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2" firstSheet="0" activeTab="3"/>
  </bookViews>
  <sheets>
    <sheet name="Penne" sheetId="1" state="visible" r:id="rId2"/>
    <sheet name="Septeme" sheetId="2" state="visible" r:id="rId3"/>
    <sheet name="Arles" sheetId="3" state="visible" r:id="rId4"/>
    <sheet name="Marseille" sheetId="4" state="visible" r:id="rId5"/>
    <sheet name="Marseille avec Angleterre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<sst xmlns="http://schemas.openxmlformats.org/spreadsheetml/2006/main" count="46537" uniqueCount="484">
  <si>
    <t>Entré par</t>
  </si>
  <si>
    <t>Source</t>
  </si>
  <si>
    <t>Exportations (Sorties)/Importations (Entrées)</t>
  </si>
  <si>
    <t>Année</t>
  </si>
  <si>
    <t>Direction</t>
  </si>
  <si>
    <t>Bureau Principal</t>
  </si>
  <si>
    <t>Page</t>
  </si>
  <si>
    <t>Nom Marchandise</t>
  </si>
  <si>
    <t>Pays ou Région</t>
  </si>
  <si>
    <t>Noms des Ports et Pays de France</t>
  </si>
  <si>
    <t>Quantité</t>
  </si>
  <si>
    <t>Unité de poids ou quantité</t>
  </si>
  <si>
    <t>Prix unitaire / unité de compte Lt</t>
  </si>
  <si>
    <t>Prix unitaire / unité de compte Sous</t>
  </si>
  <si>
    <t>Prix unitaire / unité de compte Deniers</t>
  </si>
  <si>
    <t>Prix unitaire en décimale de Lt</t>
  </si>
  <si>
    <t>Valeur en livres tournois</t>
  </si>
  <si>
    <t>valeur en sous</t>
  </si>
  <si>
    <t>valeur en denier</t>
  </si>
  <si>
    <t>Valeur (Prix unitaire </t>
  </si>
  <si>
    <t>Valeur en décimales de livress tournois</t>
  </si>
  <si>
    <t>Différence</t>
  </si>
  <si>
    <t>Largeur en lignes (pour tissu)</t>
  </si>
  <si>
    <t>Remarques</t>
  </si>
  <si>
    <t>Jérémy Hervelin</t>
  </si>
  <si>
    <t>F12 1667</t>
  </si>
  <si>
    <t>Importations</t>
  </si>
  <si>
    <t>Marseille</t>
  </si>
  <si>
    <t>Penne</t>
  </si>
  <si>
    <t>Septeme</t>
  </si>
  <si>
    <t>Arles</t>
  </si>
  <si>
    <t>Numéro de ligne</t>
  </si>
  <si>
    <t>Unité de mesure</t>
  </si>
  <si>
    <t>Ports et Pays de France</t>
  </si>
  <si>
    <t>Espagne</t>
  </si>
  <si>
    <t>Portugal</t>
  </si>
  <si>
    <t>Etats du Roi de Sardaigne</t>
  </si>
  <si>
    <t>Genes</t>
  </si>
  <si>
    <t>Milan, Toscane et Lucques</t>
  </si>
  <si>
    <t>Etat Eclésiastique</t>
  </si>
  <si>
    <t>Naples, Sicile et Parme</t>
  </si>
  <si>
    <t>Venise</t>
  </si>
  <si>
    <t>Etat de Barbarie</t>
  </si>
  <si>
    <t>Levant et Empire Ottoman</t>
  </si>
  <si>
    <t>Hollande</t>
  </si>
  <si>
    <t>4 Villes Anséatiques</t>
  </si>
  <si>
    <t>Etats de l'Empereur en Allemagne et Flandre</t>
  </si>
  <si>
    <t>Darnemark et Norvege</t>
  </si>
  <si>
    <t>Suede</t>
  </si>
  <si>
    <t>Etats du Roi de Prusse</t>
  </si>
  <si>
    <t>Russie</t>
  </si>
  <si>
    <t>Etats-Unis d'Amérique</t>
  </si>
  <si>
    <t>Total Général</t>
  </si>
  <si>
    <t>Total quantité en décimales</t>
  </si>
  <si>
    <t>Différences quantité</t>
  </si>
  <si>
    <t>Total Valeur en décimales de Lt</t>
  </si>
  <si>
    <t>Différence valeurs</t>
  </si>
  <si>
    <t>Remarque calculs</t>
  </si>
  <si>
    <t>Noms</t>
  </si>
  <si>
    <t>Quantités</t>
  </si>
  <si>
    <t>Valeurs</t>
  </si>
  <si>
    <t>Valeurs sommées</t>
  </si>
  <si>
    <t>Erreur</t>
  </si>
  <si>
    <t>Acier</t>
  </si>
  <si>
    <t>quintal</t>
  </si>
  <si>
    <t>Amadou</t>
  </si>
  <si>
    <t>livre</t>
  </si>
  <si>
    <t>Amandes ; cassées</t>
  </si>
  <si>
    <t>Balais ; de palme</t>
  </si>
  <si>
    <t>douzaine</t>
  </si>
  <si>
    <t>Baleine ; canon</t>
  </si>
  <si>
    <t>Beurre</t>
  </si>
  <si>
    <t>Bierre</t>
  </si>
  <si>
    <t>Bijoutrie</t>
  </si>
  <si>
    <t>Bois ; de buis</t>
  </si>
  <si>
    <r>
      <rPr>
        <b val="true"/>
        <sz val="11"/>
        <rFont val="Trebuchet MS"/>
        <family val="2"/>
        <charset val="1"/>
      </rPr>
      <t>prix implicite de environ </t>
    </r>
    <r>
      <rPr>
        <sz val="11"/>
        <rFont val="Trebuchet MS"/>
        <family val="2"/>
        <charset val="1"/>
      </rPr>
      <t>7 lt</t>
    </r>
    <r>
      <rPr>
        <sz val="11"/>
        <rFont val="Trebuchet MS"/>
        <family val="2"/>
        <charset val="1"/>
      </rPr>
      <t> le quintal</t>
    </r>
  </si>
  <si>
    <t>Bois ; à brûler</t>
  </si>
  <si>
    <t>Corse</t>
  </si>
  <si>
    <t>Bois ; en cercles</t>
  </si>
  <si>
    <t>paquet</t>
  </si>
  <si>
    <t>Bois ; en cercles ; pour tanier</t>
  </si>
  <si>
    <t>pièce</t>
  </si>
  <si>
    <t>Bois ; de charonage</t>
  </si>
  <si>
    <t>Bois ; de chene</t>
  </si>
  <si>
    <t>Bois ; merrein ; en donelles</t>
  </si>
  <si>
    <t>le cent</t>
  </si>
  <si>
    <t>Bois ; en matures</t>
  </si>
  <si>
    <t>Bois ; de Pui ; en planches</t>
  </si>
  <si>
    <t>Bois ; en planches ; du Nord</t>
  </si>
  <si>
    <t>Bois ; en poutres</t>
  </si>
  <si>
    <t>problème d'unité entre le prix et les quantités</t>
  </si>
  <si>
    <t>Bois ; ouvré ; divers</t>
  </si>
  <si>
    <t>Bois ; ouvré ; en  barre ; de Cabestan</t>
  </si>
  <si>
    <t>Bois ; en rames</t>
  </si>
  <si>
    <t>paire</t>
  </si>
  <si>
    <t>Bois ; des Indes ; de Brésil</t>
  </si>
  <si>
    <t>Bois ; des Indes ; de Campêche</t>
  </si>
  <si>
    <t>Bois ; des Indes ; d'Ebene</t>
  </si>
  <si>
    <t>Lorient</t>
  </si>
  <si>
    <t>Bois ; des Indes ; de Gayac</t>
  </si>
  <si>
    <t>Bois ; des Indes ; jaune</t>
  </si>
  <si>
    <t>Bois ; des Indes ; de Saint Marthois</t>
  </si>
  <si>
    <r>
      <rPr>
        <sz val="12"/>
        <color rgb="FFFF0000"/>
        <rFont val="Calibri"/>
        <family val="2"/>
        <charset val="1"/>
      </rPr>
      <t>Bois ; des Indes ; de Santal ; </t>
    </r>
    <r>
      <rPr>
        <sz val="12"/>
        <color rgb="FFFF0000"/>
        <rFont val="Calibri"/>
        <family val="2"/>
        <charset val="1"/>
      </rPr>
      <t>mouton</t>
    </r>
  </si>
  <si>
    <t>Bonneterie ; de coton ; en bas</t>
  </si>
  <si>
    <t>Bonneterie ; de coton ; en bonnet</t>
  </si>
  <si>
    <t>Bonneterie ; de fil ; en bas</t>
  </si>
  <si>
    <t>Bourre ; de soye</t>
  </si>
  <si>
    <t>Bourre ; de fil</t>
  </si>
  <si>
    <t>Bray</t>
  </si>
  <si>
    <t>Bayonne</t>
  </si>
  <si>
    <t>Bray ; goudron</t>
  </si>
  <si>
    <t>Bray ; resine</t>
  </si>
  <si>
    <t>Cacao</t>
  </si>
  <si>
    <t>prix venant d'Espagne</t>
  </si>
  <si>
    <t>prix venant des autres puissances</t>
  </si>
  <si>
    <t>Caffé ; divers</t>
  </si>
  <si>
    <t>Caffé ; du Levant</t>
  </si>
  <si>
    <t>Cendres ; diverses</t>
  </si>
  <si>
    <t>Cendres ; barille</t>
  </si>
  <si>
    <t>Cendres ; bourde</t>
  </si>
  <si>
    <r>
      <rPr>
        <sz val="12"/>
        <color rgb="FFFF0000"/>
        <rFont val="Calibri"/>
        <family val="2"/>
        <charset val="1"/>
      </rPr>
      <t>Cendres ; de </t>
    </r>
    <r>
      <rPr>
        <sz val="12"/>
        <color rgb="FFFF0000"/>
        <rFont val="Calibri"/>
        <family val="2"/>
        <charset val="1"/>
      </rPr>
      <t>griguonia</t>
    </r>
  </si>
  <si>
    <t>Cendres ; potasse</t>
  </si>
  <si>
    <t>Cendres ; soude</t>
  </si>
  <si>
    <t>Cendres ; d'Egipte</t>
  </si>
  <si>
    <t>Chairs ; salées ; diverses</t>
  </si>
  <si>
    <t>Chairs ; salées ; de bœuf</t>
  </si>
  <si>
    <t>Chairs ; salées ; saucissons</t>
  </si>
  <si>
    <t>Chairs ; salées ; boyaux</t>
  </si>
  <si>
    <t>Chanvre ; brut</t>
  </si>
  <si>
    <t>Chanvre ; peigné</t>
  </si>
  <si>
    <t>Chapeaux ; de paille</t>
  </si>
  <si>
    <t>Charbon ; de bois</t>
  </si>
  <si>
    <t>Charbon ; de pierre</t>
  </si>
  <si>
    <t>Chocolat</t>
  </si>
  <si>
    <t>Cire ; en grain</t>
  </si>
  <si>
    <t>Cire ; jaune</t>
  </si>
  <si>
    <t>Colles ; diverses</t>
  </si>
  <si>
    <t>Corail ; ouvré</t>
  </si>
  <si>
    <t>?</t>
  </si>
  <si>
    <t>prix pratiqué d'Espagne et Gènes différent</t>
  </si>
  <si>
    <t>Corail ; brut</t>
  </si>
  <si>
    <t>Cordages</t>
  </si>
  <si>
    <t>Cordes ; à violon</t>
  </si>
  <si>
    <t>Cornes ; de mouton</t>
  </si>
  <si>
    <t>Coton ; filé</t>
  </si>
  <si>
    <t>Coton ; filé ; rouge</t>
  </si>
  <si>
    <t>Coton ; en laine</t>
  </si>
  <si>
    <t>prix identique pratiqué par le port de Lorient et le Levant mais différent du Portugal</t>
  </si>
  <si>
    <t>Couvertures ; fil et coton</t>
  </si>
  <si>
    <t>Crin</t>
  </si>
  <si>
    <t>Cuir ; de bœuf ; en poil</t>
  </si>
  <si>
    <t>Cuivre ; en feuille</t>
  </si>
  <si>
    <t>Cuivre ; en pain</t>
  </si>
  <si>
    <t>Cuivre ; ouvré</t>
  </si>
  <si>
    <t>Cuivre ; vieux</t>
  </si>
  <si>
    <t>Dentelle ; de fil</t>
  </si>
  <si>
    <t>Drogues ; diverses</t>
  </si>
  <si>
    <t>Drogues ; borax</t>
  </si>
  <si>
    <t>Drogues ; gomme ; arabique</t>
  </si>
  <si>
    <t>Drogues ; gomme ; adragants</t>
  </si>
  <si>
    <t>Drogues ; gomme ; de barbarie</t>
  </si>
  <si>
    <t>Drogues ; gomme ; commune</t>
  </si>
  <si>
    <t>Drogues ; mastic</t>
  </si>
  <si>
    <t>Drogues ; medicinales ; diverses</t>
  </si>
  <si>
    <t>Drogues ; medicinales ; beaume</t>
  </si>
  <si>
    <t>Drogues ; medicinales ; benjoin</t>
  </si>
  <si>
    <t>Drogues ; medicinales ; cachou</t>
  </si>
  <si>
    <t>Drogues ; medicinales ; corne ; fine</t>
  </si>
  <si>
    <t>Drogues ; medicinales ; cautharides</t>
  </si>
  <si>
    <t>Drogues ; medicinales ; carrouge</t>
  </si>
  <si>
    <t>Drogues ; medicinales ; coloquinte</t>
  </si>
  <si>
    <t>Drogues ; medicinales ; coq ; du Levant</t>
  </si>
  <si>
    <t>Drogues ; medicinales ; coralin</t>
  </si>
  <si>
    <t>Drogues ; medicinales ; crème ; de tarte</t>
  </si>
  <si>
    <t>Drogues ; medicinales ; cumin</t>
  </si>
  <si>
    <t>Drogues ; medicinales ; huile ; d'amandes ; douce</t>
  </si>
  <si>
    <t>Drogues ; medicinales ; jalap</t>
  </si>
  <si>
    <t>Drogues ; medicinales ; ipecacuana</t>
  </si>
  <si>
    <t>Drogues ; medicinales ; manne</t>
  </si>
  <si>
    <t>Drogues ; medicinales ; quinquina</t>
  </si>
  <si>
    <t>Drogues ; medicinales ; reglisses</t>
  </si>
  <si>
    <t>Drogues ; medicinales ; rhubarbe</t>
  </si>
  <si>
    <t>Drogues ; medicinales ; saffran</t>
  </si>
  <si>
    <t>Drogues ; medicinales ; salsepareille</t>
  </si>
  <si>
    <t>Drogues ; medicinales ; scamonée</t>
  </si>
  <si>
    <t>Drogues ; medicinales ; séné</t>
  </si>
  <si>
    <t>Drogues ; medicinales ; storax</t>
  </si>
  <si>
    <t>Drogues ; medicinales ; suc ; de reglisse</t>
  </si>
  <si>
    <t>Drogues ; medicinales ; tamarin</t>
  </si>
  <si>
    <t>Drogues ; medicinales ; vanille</t>
  </si>
  <si>
    <t>Drogues ; metalliques et chimiques ; argent</t>
  </si>
  <si>
    <t>Drogues ; metalliques et chimiques ; arsenic</t>
  </si>
  <si>
    <t>Drogues ; metalliques et chimiques ; antimoine</t>
  </si>
  <si>
    <t>Drogues ; metalliques et chimiques ; sel ; amoniac</t>
  </si>
  <si>
    <t>Drogues ; metalliques et chimiques ; sel ; de tartre</t>
  </si>
  <si>
    <r>
      <rPr>
        <sz val="12"/>
        <color rgb="FFFF0000"/>
        <rFont val="Calibri"/>
        <family val="2"/>
        <charset val="1"/>
      </rPr>
      <t>Drogues ; metalliques et chimiques ; </t>
    </r>
    <r>
      <rPr>
        <sz val="12"/>
        <color rgb="FFFF0000"/>
        <rFont val="Calibri"/>
        <family val="2"/>
        <charset val="1"/>
      </rPr>
      <t>toutemayen</t>
    </r>
  </si>
  <si>
    <t>Drogues ; metalliques et chimiques ; vitriol</t>
  </si>
  <si>
    <t>Drogues ; odorantes ; encens</t>
  </si>
  <si>
    <t>Drogues ; pour peinture et teinture ; diverses</t>
  </si>
  <si>
    <t>Drogues ; pour peinture et teinture ; alun</t>
  </si>
  <si>
    <t>Drogues ; pour peinture et teinture ; alquifoux</t>
  </si>
  <si>
    <t>Drogues ; pour peinture et teinture ; azur</t>
  </si>
  <si>
    <t>Drogues ; pour peinture et teinture ; brun ; rouge</t>
  </si>
  <si>
    <t>Drogues ; pour peinture et teinture ; ceruse</t>
  </si>
  <si>
    <t>Drogues ; pour peinture et teinture ; cochenille</t>
  </si>
  <si>
    <t>Drogues ; pour peinture et teinture ; couperose</t>
  </si>
  <si>
    <t>Drogues ; pour peinture et teinture ; craye</t>
  </si>
  <si>
    <t>Drogues ; pour peinture et teinture ; galles</t>
  </si>
  <si>
    <t>Drogues ; pour peinture et teinture ; garence</t>
  </si>
  <si>
    <t>Drogues ; pour peinture et teinture ; graine ; d'avignon</t>
  </si>
  <si>
    <t>Drogues ; pour peinture et teinture ; indigo</t>
  </si>
  <si>
    <t>Drogues ; pour peinture et teinture ; indigo ; de Guatemala</t>
  </si>
  <si>
    <t>Drogues ; pour peinture et teinture ; inde ; platte</t>
  </si>
  <si>
    <t>Drogues ; pour peinture et teinture ; iris</t>
  </si>
  <si>
    <t>Drogues ; pour peinture et teinture ; lacque</t>
  </si>
  <si>
    <t>Drogues ; pour peinture et teinture ; racine d'alizay</t>
  </si>
  <si>
    <t>Drogues ; pour peinture et teinture ; rocou</t>
  </si>
  <si>
    <t>Drogues ; pour peinture et teinture ; saffranon</t>
  </si>
  <si>
    <t>Drogues ; pour peinture et teinture ; sumac</t>
  </si>
  <si>
    <t>Drogues ; pour peinture et teinture ; tartre</t>
  </si>
  <si>
    <t>Drogues ; pour peinture et teinture ; vermillon</t>
  </si>
  <si>
    <t>Drogues ; pour peinture et teinture ; verdet</t>
  </si>
  <si>
    <t>Eau ; de fleurs ; d'orange</t>
  </si>
  <si>
    <t>Eau ; de senteur</t>
  </si>
  <si>
    <t>Eau ; de vie</t>
  </si>
  <si>
    <t>muid</t>
  </si>
  <si>
    <r>
      <rPr>
        <b val="true"/>
        <sz val="11"/>
        <rFont val="Trebuchet MS"/>
        <family val="2"/>
        <charset val="1"/>
      </rPr>
      <t>prix implicite de environ </t>
    </r>
    <r>
      <rPr>
        <sz val="11"/>
        <rFont val="Trebuchet MS"/>
        <family val="2"/>
        <charset val="1"/>
      </rPr>
      <t>113 lt et 12 sous</t>
    </r>
    <r>
      <rPr>
        <sz val="11"/>
        <rFont val="Trebuchet MS"/>
        <family val="2"/>
        <charset val="1"/>
      </rPr>
      <t>, soit 113,6 lt le muid</t>
    </r>
  </si>
  <si>
    <t>Engrais ; en colombien</t>
  </si>
  <si>
    <t>Epicerie ; en canelle</t>
  </si>
  <si>
    <t>Epicerie ; fleurs ; de canelle</t>
  </si>
  <si>
    <t>Epicerie ; girofle</t>
  </si>
  <si>
    <t>Epicerie ; noix ; muscade</t>
  </si>
  <si>
    <t>Epicerie ; piment</t>
  </si>
  <si>
    <t>Epicerie ; poivre</t>
  </si>
  <si>
    <t>Epicerie ; poivre ; girofle</t>
  </si>
  <si>
    <t>Eponge</t>
  </si>
  <si>
    <t>Essence</t>
  </si>
  <si>
    <t>Etain</t>
  </si>
  <si>
    <t>Etoffe ; de soye</t>
  </si>
  <si>
    <t>Etoffe ; en velours</t>
  </si>
  <si>
    <t>Etoffe ; en bours ; du Levant</t>
  </si>
  <si>
    <t>Farine</t>
  </si>
  <si>
    <t>Fayence</t>
  </si>
  <si>
    <t>Fers ; divers ou fondu</t>
  </si>
  <si>
    <t>Fers ; en ancre</t>
  </si>
  <si>
    <t>Fers ; en balons</t>
  </si>
  <si>
    <t>Fers ; en barre</t>
  </si>
  <si>
    <t>Fers ; blanc</t>
  </si>
  <si>
    <t>Fers ; ouvré</t>
  </si>
  <si>
    <t>Fers ; en plaque</t>
  </si>
  <si>
    <t>Fers ; en tôle</t>
  </si>
  <si>
    <t>Fers ; vieux</t>
  </si>
  <si>
    <t>Fil ; de chanvre ; blanc</t>
  </si>
  <si>
    <t>Fil ; à voile</t>
  </si>
  <si>
    <t>Fourage ; en glands ; de chêne</t>
  </si>
  <si>
    <t>Fourage ; en sou</t>
  </si>
  <si>
    <t>Fromage ; commun</t>
  </si>
  <si>
    <t>Fromage ; de Hollande</t>
  </si>
  <si>
    <t>Fromage ; de parmeson</t>
  </si>
  <si>
    <t>Fruits ; divers</t>
  </si>
  <si>
    <t>Fruits ; confits ; en confitures</t>
  </si>
  <si>
    <t>Fruits ; confits ; au vinaigre ; en capris</t>
  </si>
  <si>
    <t>Fruits ; secs ; en dattes</t>
  </si>
  <si>
    <t>Fruits ; secs ; figues</t>
  </si>
  <si>
    <t>Fruits ; secs ; noix et noisettes</t>
  </si>
  <si>
    <t>Fruits ; secs ; pistaches</t>
  </si>
  <si>
    <t>Fruits ; secs ; raisins</t>
  </si>
  <si>
    <t>Fruits ; secs ; raisins ; de Corenthe</t>
  </si>
  <si>
    <t>Fruits ; verds ou crus ; chateignes</t>
  </si>
  <si>
    <t>Fruits ; verds ou crus ; limons</t>
  </si>
  <si>
    <t>Fruits ; verds ou crus ; oranges</t>
  </si>
  <si>
    <t>Fruits ; verds ou crus ; poires</t>
  </si>
  <si>
    <t>Fruits ; verds ou crus ; prommes</t>
  </si>
  <si>
    <t>Futailles ; vides</t>
  </si>
  <si>
    <t>Grains ; comestibles ; avoine</t>
  </si>
  <si>
    <t>charge de 300 livres</t>
  </si>
  <si>
    <t>Grains ; comestibles ; bled ; froment</t>
  </si>
  <si>
    <t>Dunkerque</t>
  </si>
  <si>
    <t>Grains ; comestibles ; miltet</t>
  </si>
  <si>
    <t>Grains ; comestibles ; orge</t>
  </si>
  <si>
    <t>Grains ; comestibles ; ris</t>
  </si>
  <si>
    <t>Grains ; comestibles ; seigle</t>
  </si>
  <si>
    <t>Graines ; diverses</t>
  </si>
  <si>
    <t>Graines ; d'anis</t>
  </si>
  <si>
    <t>Graines ; de lin</t>
  </si>
  <si>
    <t>Graines ; longue</t>
  </si>
  <si>
    <t>Graines ; de moutarde</t>
  </si>
  <si>
    <t>Graisse</t>
  </si>
  <si>
    <t>Habillements ; en capots ; de laine</t>
  </si>
  <si>
    <t>Habillements ; en fourure ; de soye</t>
  </si>
  <si>
    <t>Horlogerie</t>
  </si>
  <si>
    <t>Huile ; spirituelle ; de girofle</t>
  </si>
  <si>
    <t>Huile ; spirituelle ; de lin</t>
  </si>
  <si>
    <t>Huile ; spirituelle ; d'olive</t>
  </si>
  <si>
    <t>muid de 120 livres</t>
  </si>
  <si>
    <t>ou 12 sous la livre</t>
  </si>
  <si>
    <t>Huile ; spirituelle ; de poisson</t>
  </si>
  <si>
    <t>Huile ; spirituelle ; de baleine</t>
  </si>
  <si>
    <t>Ivoire ; en dents ; d'éléphant</t>
  </si>
  <si>
    <t>Jus ; de limon</t>
  </si>
  <si>
    <t>Laine ; de chevron</t>
  </si>
  <si>
    <t>Laine ; fine</t>
  </si>
  <si>
    <t>Laine ; lavée</t>
  </si>
  <si>
    <t>Laine ; pellade</t>
  </si>
  <si>
    <t>Laine ; de pouille</t>
  </si>
  <si>
    <t>Laine ; de segovie</t>
  </si>
  <si>
    <t>Laine ; surge</t>
  </si>
  <si>
    <t>Laine ; commune</t>
  </si>
  <si>
    <t>Laiton ; filé</t>
  </si>
  <si>
    <t>Légumes ; divers</t>
  </si>
  <si>
    <t>Légumes ; aile</t>
  </si>
  <si>
    <t>le reste</t>
  </si>
  <si>
    <t>Légumes ; feves</t>
  </si>
  <si>
    <t>Légumes ; haricots</t>
  </si>
  <si>
    <t>Légumes ; oignons</t>
  </si>
  <si>
    <t>Légumes ; pois</t>
  </si>
  <si>
    <t>Légumes ; pois ; chiche</t>
  </si>
  <si>
    <t>Lie ; de vin</t>
  </si>
  <si>
    <t>Liege ; en bouchon</t>
  </si>
  <si>
    <t>Liege ; en planche</t>
  </si>
  <si>
    <t>Lin ; peigné</t>
  </si>
  <si>
    <t>Liqueur ; commune</t>
  </si>
  <si>
    <t>Liqueur ; sirops ; fin</t>
  </si>
  <si>
    <t>Libraririe</t>
  </si>
  <si>
    <t>Marbre ; brut</t>
  </si>
  <si>
    <t>Marbre ; ouvré</t>
  </si>
  <si>
    <t>Marchandises ; à la valeur</t>
  </si>
  <si>
    <t>Meches ; souffrée</t>
  </si>
  <si>
    <t>Mercerie ; diverse</t>
  </si>
  <si>
    <t>Miel</t>
  </si>
  <si>
    <t>Mineraux</t>
  </si>
  <si>
    <t>Mouchoirs ; de coton ; blanc</t>
  </si>
  <si>
    <t>Mouhcoirs ; de fil</t>
  </si>
  <si>
    <t>Mouchoirs ; de soye</t>
  </si>
  <si>
    <t>Oignons ; de fleurs</t>
  </si>
  <si>
    <r>
      <rPr>
        <sz val="12"/>
        <color rgb="FFFF0000"/>
        <rFont val="Calibri"/>
        <family val="2"/>
        <charset val="1"/>
      </rPr>
      <t>Oignons ; de </t>
    </r>
    <r>
      <rPr>
        <sz val="12"/>
        <color rgb="FFFF0000"/>
        <rFont val="Calibri"/>
        <family val="2"/>
        <charset val="1"/>
      </rPr>
      <t>squille</t>
    </r>
  </si>
  <si>
    <t>Orfevrerie</t>
  </si>
  <si>
    <t>marc</t>
  </si>
  <si>
    <t>Ouvrages ; divers</t>
  </si>
  <si>
    <t>Ouvrages ; d'auffe ; en cousses</t>
  </si>
  <si>
    <t>Ouvrages ; d'auffe ; ouvré</t>
  </si>
  <si>
    <t>Ouvrages ; de jonc ; en mattes</t>
  </si>
  <si>
    <t>Ouvrages ; d'ivoire</t>
  </si>
  <si>
    <t>Ouvrages ; d'ozier ; en corbeilles</t>
  </si>
  <si>
    <t>Ouvrages ; de porcelaine</t>
  </si>
  <si>
    <t>Ouvrages ; de terre ; cuite ; en pipes</t>
  </si>
  <si>
    <t>Ouvrages ; en briques ; vernissées</t>
  </si>
  <si>
    <r>
      <rPr>
        <sz val="12"/>
        <color rgb="FFFF0000"/>
        <rFont val="Calibri"/>
        <family val="2"/>
        <charset val="1"/>
      </rPr>
      <t>Ouvrages ; de verre ; en</t>
    </r>
    <r>
      <rPr>
        <sz val="12"/>
        <color rgb="FFFF0000"/>
        <rFont val="Calibri"/>
        <family val="2"/>
        <charset val="1"/>
      </rPr>
      <t> ?</t>
    </r>
  </si>
  <si>
    <t>Papier ; blanc ; à ecrire</t>
  </si>
  <si>
    <t>rame</t>
  </si>
  <si>
    <t>Papier ; de pliage</t>
  </si>
  <si>
    <t>Parapluye</t>
  </si>
  <si>
    <t>Parfumerie ; diverse</t>
  </si>
  <si>
    <t>Parfumerie ; pâte ; d'amande</t>
  </si>
  <si>
    <t>Parfumerie ; pomade</t>
  </si>
  <si>
    <t>Parfumerie ; savonettes</t>
  </si>
  <si>
    <t>Pâte ; d'Italie ; sagon</t>
  </si>
  <si>
    <t>Pâte ; d'Italie ; semouille</t>
  </si>
  <si>
    <t>Pâte ; d'Italie ; vemissel</t>
  </si>
  <si>
    <t>Peaux ; diverses</t>
  </si>
  <si>
    <t>Peaux ; de bouc</t>
  </si>
  <si>
    <t>Peaux ; de chevre ; en poil</t>
  </si>
  <si>
    <t>Peaux ; de lapin ; en poil</t>
  </si>
  <si>
    <t>Peaux ; de lievres ; en poil</t>
  </si>
  <si>
    <t>Peaux ; de mouton ; en laine</t>
  </si>
  <si>
    <t>Peaux ; de veaux ; en poil</t>
  </si>
  <si>
    <t>Pierres ; d'ardoises</t>
  </si>
  <si>
    <r>
      <rPr>
        <b val="true"/>
        <sz val="11"/>
        <rFont val="Trebuchet MS"/>
        <family val="2"/>
        <charset val="1"/>
      </rPr>
      <t>prix implicite de environ </t>
    </r>
    <r>
      <rPr>
        <sz val="11"/>
        <rFont val="Trebuchet MS"/>
        <family val="2"/>
        <charset val="1"/>
      </rPr>
      <t>90 lt 6 sous</t>
    </r>
    <r>
      <rPr>
        <sz val="11"/>
        <rFont val="Trebuchet MS"/>
        <family val="2"/>
        <charset val="1"/>
      </rPr>
      <t>, soit 90,3 lt le quintal</t>
    </r>
  </si>
  <si>
    <t>Pierres ; à éguiser</t>
  </si>
  <si>
    <t>Pierres ; à faulx</t>
  </si>
  <si>
    <t>Pierres ; à huile</t>
  </si>
  <si>
    <t>Pierres ; ponce</t>
  </si>
  <si>
    <t>Plomb ; en grenaille</t>
  </si>
  <si>
    <t>Plomb ; en pain</t>
  </si>
  <si>
    <t>Plume ; à lit</t>
  </si>
  <si>
    <t>Poil ; de chevre ; simple</t>
  </si>
  <si>
    <t>Poil ; de chevre ; filé</t>
  </si>
  <si>
    <t>Poissons ; divers</t>
  </si>
  <si>
    <t>Poissons ; salé ; en harangs</t>
  </si>
  <si>
    <t>baril</t>
  </si>
  <si>
    <t>Poissons ; morue ; seche</t>
  </si>
  <si>
    <t>Poissons ; sardines</t>
  </si>
  <si>
    <t>barique</t>
  </si>
  <si>
    <t>Poissons ; saumon</t>
  </si>
  <si>
    <t>Poissons ; stocfich</t>
  </si>
  <si>
    <t>Poissons ; thon</t>
  </si>
  <si>
    <t>Poissons ; salés ; marinés ; anchois</t>
  </si>
  <si>
    <t>barils</t>
  </si>
  <si>
    <t>Perles ; en semeuse ; sous la dénomination de Grainelle</t>
  </si>
  <si>
    <t>Quincaillerie ; diverse</t>
  </si>
  <si>
    <t>Quincaillerie ; de fer ; en clous</t>
  </si>
  <si>
    <t>Quincaillerie ; de fer ; en fil</t>
  </si>
  <si>
    <t>Quincaillerie ; de fer ; etain ; en faulx</t>
  </si>
  <si>
    <t>Quincaillerie ; de cuivre ; en caffetieres</t>
  </si>
  <si>
    <t>Rognures ; de corne</t>
  </si>
  <si>
    <t>Rubans ; de soye</t>
  </si>
  <si>
    <t>Rubans ; de fil</t>
  </si>
  <si>
    <t>Souffre</t>
  </si>
  <si>
    <t>Souffre ; en canon</t>
  </si>
  <si>
    <t>Soye ; brousse</t>
  </si>
  <si>
    <t>Soye ; ecrue</t>
  </si>
  <si>
    <t>Soye ; greze</t>
  </si>
  <si>
    <t>Soye ; moresque</t>
  </si>
  <si>
    <t>Soye ; ouvrée</t>
  </si>
  <si>
    <t>Soye ; en cocou</t>
  </si>
  <si>
    <t>Soye ; en strasse</t>
  </si>
  <si>
    <t>Suif ; en chandelle</t>
  </si>
  <si>
    <t>Suif ; en pain</t>
  </si>
  <si>
    <t>Tabac ; en feuilles</t>
  </si>
  <si>
    <r>
      <rPr>
        <sz val="12"/>
        <color rgb="FFFF0000"/>
        <rFont val="Calibri"/>
        <family val="2"/>
        <charset val="1"/>
      </rPr>
      <t>Terre ;</t>
    </r>
    <r>
      <rPr>
        <sz val="12"/>
        <color rgb="FFFF0000"/>
        <rFont val="Calibri"/>
        <family val="2"/>
        <charset val="1"/>
      </rPr>
      <t> pozolane</t>
    </r>
  </si>
  <si>
    <t>Terre ; rouge</t>
  </si>
  <si>
    <t>Thé</t>
  </si>
  <si>
    <t>Terraille ; commune</t>
  </si>
  <si>
    <t>Toile ; de coton ; blanche ; dite abati</t>
  </si>
  <si>
    <t>Toile ; de coton ; blanche ; dite aman</t>
  </si>
  <si>
    <t>Toile ; de coton ; blanche ; dite guinée</t>
  </si>
  <si>
    <t>Toile ; de coton ; blanche ; dite escanite</t>
  </si>
  <si>
    <t>Toile ; de coton ; blanche ; dite large</t>
  </si>
  <si>
    <t>Toile ; de coton ; blanche ; dite de mitte</t>
  </si>
  <si>
    <t>Toile ; de coton ; blanche ; mousseline</t>
  </si>
  <si>
    <t>Toile ; de coton ; blanche ; nanquin</t>
  </si>
  <si>
    <t>Toile ; de chanvre ; blanche</t>
  </si>
  <si>
    <t>Toile ; d'emballage</t>
  </si>
  <si>
    <t>Toile ; de crin</t>
  </si>
  <si>
    <t>Verre ; cassé</t>
  </si>
  <si>
    <t>Vin ; blanc</t>
  </si>
  <si>
    <t>Vin ; de Chipre</t>
  </si>
  <si>
    <t>Vin ; de liqueur</t>
  </si>
  <si>
    <t>Vin ; de Malaga</t>
  </si>
  <si>
    <t>pinte</t>
  </si>
  <si>
    <t>Vin ; muscat</t>
  </si>
  <si>
    <t>Vin ; rouge</t>
  </si>
  <si>
    <t>muid de 62,5 pintes</t>
  </si>
  <si>
    <t>Vin ; de Tinto</t>
  </si>
  <si>
    <t>Ustenciles ; de pêche ; en filets</t>
  </si>
  <si>
    <t>Catégorie</t>
  </si>
  <si>
    <t>Bois, métaux, combustibles</t>
  </si>
  <si>
    <t>Angleterre</t>
  </si>
  <si>
    <t>Bois ; merrein</t>
  </si>
  <si>
    <t>en nombre</t>
  </si>
  <si>
    <t>Bois ; divers ; des Isles</t>
  </si>
  <si>
    <t>Etain ; en bloc</t>
  </si>
  <si>
    <t>Fer ; blanc</t>
  </si>
  <si>
    <t>Fer ; en barres</t>
  </si>
  <si>
    <t>Goudron</t>
  </si>
  <si>
    <t>Fer ; fondu</t>
  </si>
  <si>
    <t>Fer ; noir ; en feuilles</t>
  </si>
  <si>
    <t>Fer ; en cercles</t>
  </si>
  <si>
    <t>Plomb</t>
  </si>
  <si>
    <t>Suif</t>
  </si>
  <si>
    <t>Comestibles</t>
  </si>
  <si>
    <t>Thon ; mariné</t>
  </si>
  <si>
    <t>Drogueries et epiceries</t>
  </si>
  <si>
    <t>Alquifoux</t>
  </si>
  <si>
    <t>Houblon</t>
  </si>
  <si>
    <t>Canelle</t>
  </si>
  <si>
    <t>Cavia liquea</t>
  </si>
  <si>
    <t>Castoream</t>
  </si>
  <si>
    <t>Indigo</t>
  </si>
  <si>
    <t>Alun</t>
  </si>
  <si>
    <t>Litarge</t>
  </si>
  <si>
    <t>Piment</t>
  </si>
  <si>
    <t>Poivre ; ordinaire</t>
  </si>
  <si>
    <t>Poivre ; en grabeau</t>
  </si>
  <si>
    <t>Objets manufacturés</t>
  </si>
  <si>
    <t>Bonneterie ; de coton</t>
  </si>
  <si>
    <t>Bonneterie ; de fil</t>
  </si>
  <si>
    <t>Bonneterie ; de laine</t>
  </si>
  <si>
    <t>Etoffes ; de coton</t>
  </si>
  <si>
    <t>Etoffes ; de laine</t>
  </si>
  <si>
    <t>Objets d'industrie</t>
  </si>
  <si>
    <t>Cornes ; à lanterne</t>
  </si>
  <si>
    <t>Futailles ; vuides</t>
  </si>
  <si>
    <t>Instruments ; de musique</t>
  </si>
  <si>
    <t>Instruments ; de mathématique</t>
  </si>
  <si>
    <t>Mercerie</t>
  </si>
  <si>
    <t>Ouvrages ; de cuir</t>
  </si>
  <si>
    <t>Pelleterie</t>
  </si>
  <si>
    <t>Quincaillerie ; de fer ; en acier</t>
  </si>
  <si>
    <t>Quincaillerie ; de cuivre ; en chaud</t>
  </si>
  <si>
    <t>Verrerie</t>
  </si>
  <si>
    <t>Boisson</t>
  </si>
  <si>
    <t>Divers</t>
  </si>
  <si>
    <t>Marchandises à la valeur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</si>
</sst>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@"/>
    <numFmt numFmtId="166" formatCode="#,##0.00"/>
    <numFmt numFmtId="167" formatCode="#,##0"/>
    <numFmt numFmtId="168" formatCode="#,##0.0000000"/>
    <numFmt numFmtId="169" formatCode="0.00"/>
    <numFmt numFmtId="170" formatCode="0.0000000"/>
  </numFmts>
  <fonts count="11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Trebuchet MS"/>
      <family val="2"/>
      <charset val="1"/>
    </font>
    <font>
      <b val="true"/>
      <sz val="12"/>
      <color rgb="FF000000"/>
      <name val="Calibri"/>
      <family val="2"/>
      <charset val="1"/>
    </font>
    <font>
      <sz val="11"/>
      <name val="Trebuchet MS"/>
      <family val="2"/>
      <charset val="1"/>
    </font>
    <font>
      <sz val="11"/>
      <color rgb="FFFF6600"/>
      <name val="Trebuchet MS"/>
      <family val="2"/>
      <charset val="1"/>
    </font>
    <font>
      <sz val="11"/>
      <color rgb="FF008000"/>
      <name val="Trebuchet MS"/>
      <family val="2"/>
      <charset val="1"/>
    </font>
    <font>
      <sz val="11"/>
      <color rgb="FFFF0000"/>
      <name val="Trebuchet MS"/>
      <family val="2"/>
      <charset val="1"/>
    </font>
    <font>
      <sz val="12"/>
      <color rgb="FFFF000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B9CDE5"/>
        <bgColor rgb="FFC0C0C0"/>
      </patternFill>
    </fill>
    <fill>
      <patternFill patternType="solid">
        <fgColor rgb="FFFFFFFF"/>
        <bgColor rgb="FFFFFFCC"/>
      </patternFill>
    </fill>
    <fill>
      <patternFill patternType="solid">
        <fgColor rgb="FFFFFF00"/>
        <bgColor rgb="FFFFFF00"/>
      </patternFill>
    </fill>
    <fill>
      <patternFill patternType="solid">
        <fgColor rgb="FFDCE6F2"/>
        <bgColor rgb="FFC6EFCE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5" fillId="2" borderId="1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5" fontId="4" fillId="2" borderId="1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6" fontId="4" fillId="2" borderId="1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7" fontId="4" fillId="2" borderId="1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8" fontId="4" fillId="2" borderId="1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6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5" fontId="6" fillId="3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6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6" fillId="3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6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6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1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6" fontId="6" fillId="2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6" fillId="2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6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" fillId="2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6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6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6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6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6" fillId="5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6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6" fillId="5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6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7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8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9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9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9" fillId="3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dxfs count="1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DCE6F2"/>
      <rgbColor rgb="FF660066"/>
      <rgbColor rgb="FFFF8080"/>
      <rgbColor rgb="FF0066CC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6EFCE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61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149"/>
  <sheetViews>
    <sheetView windowProtection="false" showFormulas="false" showGridLines="true" showRowColHeaders="true" showZeros="true" rightToLeft="false" tabSelected="false" showOutlineSymbols="true" defaultGridColor="true" view="normal" topLeftCell="A51" colorId="64" zoomScale="45" zoomScaleNormal="45" zoomScalePageLayoutView="100" workbookViewId="0">
      <selection pane="topLeft" activeCell="D20" activeCellId="0" sqref="D20"/>
    </sheetView>
  </sheetViews>
  <sheetFormatPr defaultRowHeight="16"/>
  <cols>
    <col collapsed="false" hidden="false" max="1" min="1" style="0" width="14.924882629108"/>
    <col collapsed="false" hidden="false" max="2" min="2" style="0" width="8.6056338028169"/>
    <col collapsed="false" hidden="false" max="3" min="3" style="0" width="12.4976525821596"/>
    <col collapsed="false" hidden="false" max="4" min="4" style="0" width="6.73239436619718"/>
    <col collapsed="false" hidden="false" max="5" min="5" style="0" width="9.32394366197183"/>
    <col collapsed="false" hidden="false" max="6" min="6" style="0" width="8.92488262910798"/>
    <col collapsed="false" hidden="false" max="7" min="7" style="0" width="5.1924882629108"/>
    <col collapsed="false" hidden="false" max="8" min="8" style="0" width="18.169014084507"/>
    <col collapsed="false" hidden="false" max="9" min="9" style="0" width="7.79342723004695"/>
    <col collapsed="false" hidden="false" max="10" min="10" style="0" width="8.76056338028169"/>
    <col collapsed="false" hidden="false" max="11" min="11" style="0" width="9.32394366197183"/>
    <col collapsed="false" hidden="false" max="12" min="12" style="0" width="8.6056338028169"/>
    <col collapsed="false" hidden="false" max="13" min="13" style="1" width="18.6572769953052"/>
    <col collapsed="false" hidden="false" max="15" min="14" style="0" width="8.11737089201878"/>
    <col collapsed="false" hidden="false" max="16" min="16" style="0" width="10.8638497652582"/>
    <col collapsed="false" hidden="false" max="17" min="17" style="0" width="9.48826291079812"/>
    <col collapsed="false" hidden="false" max="18" min="18" style="0" width="7.79342723004695"/>
    <col collapsed="false" hidden="false" max="19" min="19" style="0" width="6.89671361502347"/>
    <col collapsed="false" hidden="false" max="20" min="20" style="0" width="11.5211267605634"/>
    <col collapsed="false" hidden="false" max="21" min="21" style="0" width="9.81220657276995"/>
    <col collapsed="false" hidden="false" max="22" min="22" style="0" width="10.4694835680751"/>
    <col collapsed="false" hidden="false" max="23" min="23" style="0" width="10.6338028169014"/>
    <col collapsed="false" hidden="false" max="24" min="24" style="0" width="9.16901408450704"/>
    <col collapsed="false" hidden="false" max="25" min="25" style="0" width="9.81220657276995"/>
    <col collapsed="false" hidden="false" max="26" min="26" style="0" width="9.32394366197183"/>
    <col collapsed="false" hidden="false" max="33" min="27" style="0" width="9.81220657276995"/>
    <col collapsed="false" hidden="false" max="34" min="34" style="0" width="9.32394366197183"/>
    <col collapsed="false" hidden="false" max="36" min="35" style="0" width="9.81220657276995"/>
    <col collapsed="false" hidden="false" max="37" min="37" style="0" width="10.8638497652582"/>
    <col collapsed="false" hidden="false" max="38" min="38" style="0" width="12.7370892018779"/>
    <col collapsed="false" hidden="false" max="39" min="39" style="0" width="8.27230046948357"/>
    <col collapsed="false" hidden="false" max="40" min="40" style="0" width="15.5774647887324"/>
    <col collapsed="false" hidden="false" max="41" min="41" style="0" width="8.43661971830986"/>
    <col collapsed="false" hidden="false" max="42" min="42" style="0" width="18.8215962441315"/>
    <col collapsed="false" hidden="false" max="43" min="43" style="0" width="14.1924882629108"/>
    <col collapsed="false" hidden="false" max="44" min="44" style="0" width="15.5774647887324"/>
    <col collapsed="false" hidden="false" max="45" min="45" style="0" width="17.4413145539906"/>
    <col collapsed="false" hidden="false" max="46" min="46" style="0" width="23.6103286384977"/>
    <col collapsed="false" hidden="false" max="1025" min="47" style="0" width="10.5399061032864"/>
  </cols>
  <sheetData>
    <row r="1" customFormat="false" ht="84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4" t="s">
        <v>8</v>
      </c>
      <c r="J1" s="4" t="s">
        <v>9</v>
      </c>
      <c r="K1" s="5" t="s">
        <v>10</v>
      </c>
      <c r="L1" s="6" t="s">
        <v>11</v>
      </c>
      <c r="M1" s="5" t="s">
        <v>12</v>
      </c>
      <c r="N1" s="5" t="s">
        <v>13</v>
      </c>
      <c r="O1" s="5" t="s">
        <v>14</v>
      </c>
      <c r="P1" s="7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6" t="s">
        <v>22</v>
      </c>
      <c r="X1" s="6" t="s">
        <v>23</v>
      </c>
    </row>
    <row r="2" customFormat="false" ht="16" hidden="false" customHeight="false" outlineLevel="0" collapsed="false">
      <c r="A2" s="8" t="s">
        <v>24</v>
      </c>
      <c r="B2" s="9" t="s">
        <v>25</v>
      </c>
      <c r="C2" s="9" t="s">
        <v>26</v>
      </c>
      <c r="D2" s="10" t="n">
        <v>1789</v>
      </c>
      <c r="E2" s="9" t="s">
        <v>27</v>
      </c>
      <c r="F2" s="9" t="s">
        <v>28</v>
      </c>
      <c r="G2" s="11" t="n">
        <v>2</v>
      </c>
      <c r="H2" s="12"/>
      <c r="I2" s="13"/>
      <c r="J2" s="13"/>
      <c r="K2" s="14"/>
      <c r="L2" s="15"/>
      <c r="M2" s="14"/>
      <c r="N2" s="14"/>
      <c r="O2" s="16"/>
      <c r="P2" s="17" t="n">
        <f aca="false">M2+(0.05*N2)+(O2/240)</f>
        <v>0</v>
      </c>
      <c r="Q2" s="14"/>
      <c r="R2" s="14"/>
      <c r="S2" s="14"/>
      <c r="T2" s="14" t="n">
        <f aca="false">Q2+(R2*0.05)+(S2/240)</f>
        <v>0</v>
      </c>
      <c r="U2" s="14" t="n">
        <f aca="false">K2*P2</f>
        <v>0</v>
      </c>
      <c r="V2" s="18" t="n">
        <f aca="false">T2-U2</f>
        <v>0</v>
      </c>
      <c r="W2" s="19"/>
      <c r="X2" s="19"/>
    </row>
    <row r="3" customFormat="false" ht="16" hidden="false" customHeight="false" outlineLevel="0" collapsed="false">
      <c r="A3" s="8" t="s">
        <v>24</v>
      </c>
      <c r="B3" s="9" t="s">
        <v>25</v>
      </c>
      <c r="C3" s="9" t="s">
        <v>26</v>
      </c>
      <c r="D3" s="10" t="n">
        <v>1789</v>
      </c>
      <c r="E3" s="9" t="s">
        <v>27</v>
      </c>
      <c r="F3" s="9" t="s">
        <v>28</v>
      </c>
      <c r="G3" s="11" t="n">
        <v>2</v>
      </c>
      <c r="H3" s="12"/>
      <c r="I3" s="13"/>
      <c r="J3" s="13"/>
      <c r="K3" s="14"/>
      <c r="L3" s="15"/>
      <c r="M3" s="14"/>
      <c r="N3" s="14"/>
      <c r="O3" s="16"/>
      <c r="P3" s="17" t="n">
        <f aca="false">M3+(0.05*N3)+(O3/240)</f>
        <v>0</v>
      </c>
      <c r="Q3" s="14"/>
      <c r="R3" s="14"/>
      <c r="S3" s="14"/>
      <c r="T3" s="14" t="n">
        <f aca="false">Q3+(R3*0.05)+(S3/240)</f>
        <v>0</v>
      </c>
      <c r="U3" s="14" t="n">
        <f aca="false">K3*P3</f>
        <v>0</v>
      </c>
      <c r="V3" s="18" t="n">
        <f aca="false">T3-U3</f>
        <v>0</v>
      </c>
      <c r="W3" s="19"/>
      <c r="X3" s="19"/>
    </row>
    <row r="4" customFormat="false" ht="16" hidden="false" customHeight="false" outlineLevel="0" collapsed="false">
      <c r="A4" s="8" t="s">
        <v>24</v>
      </c>
      <c r="B4" s="9" t="s">
        <v>25</v>
      </c>
      <c r="C4" s="9" t="s">
        <v>26</v>
      </c>
      <c r="D4" s="10" t="n">
        <v>1789</v>
      </c>
      <c r="E4" s="9" t="s">
        <v>27</v>
      </c>
      <c r="F4" s="9" t="s">
        <v>28</v>
      </c>
      <c r="G4" s="11" t="n">
        <v>2</v>
      </c>
      <c r="H4" s="12"/>
      <c r="I4" s="13"/>
      <c r="J4" s="13"/>
      <c r="K4" s="14"/>
      <c r="L4" s="15"/>
      <c r="M4" s="14"/>
      <c r="N4" s="14"/>
      <c r="O4" s="16"/>
      <c r="P4" s="17" t="n">
        <f aca="false">M4+(0.05*N4)+(O4/240)</f>
        <v>0</v>
      </c>
      <c r="Q4" s="14"/>
      <c r="R4" s="14"/>
      <c r="S4" s="14"/>
      <c r="T4" s="14" t="n">
        <f aca="false">Q4+(R4*0.05)+(S4/240)</f>
        <v>0</v>
      </c>
      <c r="U4" s="14" t="n">
        <f aca="false">K4*P4</f>
        <v>0</v>
      </c>
      <c r="V4" s="18" t="n">
        <f aca="false">T4-U4</f>
        <v>0</v>
      </c>
      <c r="W4" s="19"/>
      <c r="X4" s="19"/>
    </row>
    <row r="5" customFormat="false" ht="16" hidden="false" customHeight="false" outlineLevel="0" collapsed="false">
      <c r="A5" s="8" t="s">
        <v>24</v>
      </c>
      <c r="B5" s="9" t="s">
        <v>25</v>
      </c>
      <c r="C5" s="9" t="s">
        <v>26</v>
      </c>
      <c r="D5" s="10" t="n">
        <v>1789</v>
      </c>
      <c r="E5" s="9" t="s">
        <v>27</v>
      </c>
      <c r="F5" s="9" t="s">
        <v>28</v>
      </c>
      <c r="G5" s="11" t="n">
        <v>2</v>
      </c>
      <c r="H5" s="12"/>
      <c r="I5" s="13"/>
      <c r="J5" s="13"/>
      <c r="K5" s="14"/>
      <c r="L5" s="15"/>
      <c r="M5" s="14"/>
      <c r="N5" s="14"/>
      <c r="O5" s="16"/>
      <c r="P5" s="17" t="n">
        <f aca="false">M5+(0.05*N5)+(O5/240)</f>
        <v>0</v>
      </c>
      <c r="Q5" s="14"/>
      <c r="R5" s="14"/>
      <c r="S5" s="14"/>
      <c r="T5" s="14" t="n">
        <f aca="false">Q5+(R5*0.05)+(S5/240)</f>
        <v>0</v>
      </c>
      <c r="U5" s="14" t="n">
        <f aca="false">K5*P5</f>
        <v>0</v>
      </c>
      <c r="V5" s="18" t="n">
        <f aca="false">T5-U5</f>
        <v>0</v>
      </c>
      <c r="W5" s="19"/>
      <c r="X5" s="19"/>
    </row>
    <row r="6" customFormat="false" ht="16" hidden="false" customHeight="false" outlineLevel="0" collapsed="false">
      <c r="A6" s="8" t="s">
        <v>24</v>
      </c>
      <c r="B6" s="9" t="s">
        <v>25</v>
      </c>
      <c r="C6" s="9" t="s">
        <v>26</v>
      </c>
      <c r="D6" s="10" t="n">
        <v>1789</v>
      </c>
      <c r="E6" s="9" t="s">
        <v>27</v>
      </c>
      <c r="F6" s="9" t="s">
        <v>28</v>
      </c>
      <c r="G6" s="11" t="n">
        <v>2</v>
      </c>
      <c r="H6" s="12"/>
      <c r="I6" s="13"/>
      <c r="J6" s="13"/>
      <c r="K6" s="14"/>
      <c r="L6" s="15"/>
      <c r="M6" s="14"/>
      <c r="N6" s="14"/>
      <c r="O6" s="16"/>
      <c r="P6" s="17" t="n">
        <f aca="false">M6+(0.05*N6)+(O6/240)</f>
        <v>0</v>
      </c>
      <c r="Q6" s="14"/>
      <c r="R6" s="14"/>
      <c r="S6" s="14"/>
      <c r="T6" s="14" t="n">
        <f aca="false">Q6+(R6*0.05)+(S6/240)</f>
        <v>0</v>
      </c>
      <c r="U6" s="14" t="n">
        <f aca="false">K6*P6</f>
        <v>0</v>
      </c>
      <c r="V6" s="18" t="n">
        <f aca="false">T6-U6</f>
        <v>0</v>
      </c>
      <c r="W6" s="19"/>
      <c r="X6" s="19"/>
    </row>
    <row r="7" customFormat="false" ht="16" hidden="false" customHeight="false" outlineLevel="0" collapsed="false">
      <c r="A7" s="8" t="s">
        <v>24</v>
      </c>
      <c r="B7" s="9" t="s">
        <v>25</v>
      </c>
      <c r="C7" s="9" t="s">
        <v>26</v>
      </c>
      <c r="D7" s="10" t="n">
        <v>1789</v>
      </c>
      <c r="E7" s="9" t="s">
        <v>27</v>
      </c>
      <c r="F7" s="9" t="s">
        <v>28</v>
      </c>
      <c r="G7" s="11" t="n">
        <v>2</v>
      </c>
      <c r="H7" s="12"/>
      <c r="I7" s="13"/>
      <c r="J7" s="13"/>
      <c r="K7" s="14"/>
      <c r="L7" s="15"/>
      <c r="M7" s="14"/>
      <c r="N7" s="14"/>
      <c r="O7" s="16"/>
      <c r="P7" s="17" t="n">
        <f aca="false">M7+(0.05*N7)+(O7/240)</f>
        <v>0</v>
      </c>
      <c r="Q7" s="14"/>
      <c r="R7" s="14"/>
      <c r="S7" s="14"/>
      <c r="T7" s="14" t="n">
        <f aca="false">Q7+(R7*0.05)+(S7/240)</f>
        <v>0</v>
      </c>
      <c r="U7" s="14" t="n">
        <f aca="false">K7*P7</f>
        <v>0</v>
      </c>
      <c r="V7" s="18" t="n">
        <f aca="false">T7-U7</f>
        <v>0</v>
      </c>
      <c r="W7" s="19"/>
      <c r="X7" s="19"/>
    </row>
    <row r="8" customFormat="false" ht="16" hidden="false" customHeight="false" outlineLevel="0" collapsed="false">
      <c r="A8" s="8" t="s">
        <v>24</v>
      </c>
      <c r="B8" s="9" t="s">
        <v>25</v>
      </c>
      <c r="C8" s="9" t="s">
        <v>26</v>
      </c>
      <c r="D8" s="10" t="n">
        <v>1789</v>
      </c>
      <c r="E8" s="9" t="s">
        <v>27</v>
      </c>
      <c r="F8" s="9" t="s">
        <v>28</v>
      </c>
      <c r="G8" s="11" t="n">
        <v>2</v>
      </c>
      <c r="H8" s="12"/>
      <c r="I8" s="13"/>
      <c r="J8" s="13"/>
      <c r="K8" s="14"/>
      <c r="L8" s="15"/>
      <c r="M8" s="14"/>
      <c r="N8" s="14"/>
      <c r="O8" s="16"/>
      <c r="P8" s="17" t="n">
        <f aca="false">M8+(0.05*N8)+(O8/240)</f>
        <v>0</v>
      </c>
      <c r="Q8" s="14"/>
      <c r="R8" s="14"/>
      <c r="S8" s="14"/>
      <c r="T8" s="14" t="n">
        <f aca="false">Q8+(R8*0.05)+(S8/240)</f>
        <v>0</v>
      </c>
      <c r="U8" s="14" t="n">
        <f aca="false">K8*P8</f>
        <v>0</v>
      </c>
      <c r="V8" s="18" t="n">
        <f aca="false">T8-U8</f>
        <v>0</v>
      </c>
      <c r="W8" s="19"/>
      <c r="X8" s="19"/>
    </row>
    <row r="9" customFormat="false" ht="16" hidden="false" customHeight="false" outlineLevel="0" collapsed="false">
      <c r="A9" s="8" t="s">
        <v>24</v>
      </c>
      <c r="B9" s="9" t="s">
        <v>25</v>
      </c>
      <c r="C9" s="9" t="s">
        <v>26</v>
      </c>
      <c r="D9" s="10" t="n">
        <v>1789</v>
      </c>
      <c r="E9" s="9" t="s">
        <v>27</v>
      </c>
      <c r="F9" s="9" t="s">
        <v>28</v>
      </c>
      <c r="G9" s="11" t="n">
        <v>2</v>
      </c>
      <c r="H9" s="12"/>
      <c r="I9" s="13"/>
      <c r="J9" s="13"/>
      <c r="K9" s="14"/>
      <c r="L9" s="15"/>
      <c r="M9" s="14"/>
      <c r="N9" s="14"/>
      <c r="O9" s="16"/>
      <c r="P9" s="17" t="n">
        <f aca="false">M9+(0.05*N9)+(O9/240)</f>
        <v>0</v>
      </c>
      <c r="Q9" s="14"/>
      <c r="R9" s="14"/>
      <c r="S9" s="14"/>
      <c r="T9" s="14" t="n">
        <f aca="false">Q9+(R9*0.05)+(S9/240)</f>
        <v>0</v>
      </c>
      <c r="U9" s="14" t="n">
        <f aca="false">K9*P9</f>
        <v>0</v>
      </c>
      <c r="V9" s="18" t="n">
        <f aca="false">T9-U9</f>
        <v>0</v>
      </c>
      <c r="W9" s="19"/>
      <c r="X9" s="19"/>
    </row>
    <row r="10" customFormat="false" ht="16" hidden="false" customHeight="false" outlineLevel="0" collapsed="false">
      <c r="A10" s="8" t="s">
        <v>24</v>
      </c>
      <c r="B10" s="9" t="s">
        <v>25</v>
      </c>
      <c r="C10" s="9" t="s">
        <v>26</v>
      </c>
      <c r="D10" s="10" t="n">
        <v>1789</v>
      </c>
      <c r="E10" s="9" t="s">
        <v>27</v>
      </c>
      <c r="F10" s="9" t="s">
        <v>28</v>
      </c>
      <c r="G10" s="11" t="n">
        <v>2</v>
      </c>
      <c r="H10" s="12"/>
      <c r="I10" s="13"/>
      <c r="J10" s="13"/>
      <c r="K10" s="14"/>
      <c r="L10" s="15"/>
      <c r="M10" s="14"/>
      <c r="N10" s="14"/>
      <c r="O10" s="16"/>
      <c r="P10" s="17" t="n">
        <f aca="false">M10+(0.05*N10)+(O10/240)</f>
        <v>0</v>
      </c>
      <c r="Q10" s="14"/>
      <c r="R10" s="14"/>
      <c r="S10" s="14"/>
      <c r="T10" s="14" t="n">
        <f aca="false">Q10+(R10*0.05)+(S10/240)</f>
        <v>0</v>
      </c>
      <c r="U10" s="14" t="n">
        <f aca="false">K10*P10</f>
        <v>0</v>
      </c>
      <c r="V10" s="18" t="n">
        <f aca="false">T10-U10</f>
        <v>0</v>
      </c>
      <c r="W10" s="19"/>
      <c r="X10" s="19"/>
    </row>
    <row r="11" customFormat="false" ht="16" hidden="false" customHeight="false" outlineLevel="0" collapsed="false">
      <c r="A11" s="8" t="s">
        <v>24</v>
      </c>
      <c r="B11" s="9" t="s">
        <v>25</v>
      </c>
      <c r="C11" s="9" t="s">
        <v>26</v>
      </c>
      <c r="D11" s="10" t="n">
        <v>1789</v>
      </c>
      <c r="E11" s="9" t="s">
        <v>27</v>
      </c>
      <c r="F11" s="9" t="s">
        <v>28</v>
      </c>
      <c r="G11" s="11" t="n">
        <v>2</v>
      </c>
      <c r="H11" s="12"/>
      <c r="I11" s="13"/>
      <c r="J11" s="13"/>
      <c r="K11" s="14"/>
      <c r="L11" s="15"/>
      <c r="M11" s="14"/>
      <c r="N11" s="14"/>
      <c r="O11" s="16"/>
      <c r="P11" s="17" t="n">
        <f aca="false">M11+(0.05*N11)+(O11/240)</f>
        <v>0</v>
      </c>
      <c r="Q11" s="14"/>
      <c r="R11" s="14"/>
      <c r="S11" s="14"/>
      <c r="T11" s="14" t="n">
        <f aca="false">Q11+(R11*0.05)+(S11/240)</f>
        <v>0</v>
      </c>
      <c r="U11" s="14" t="n">
        <f aca="false">K11*P11</f>
        <v>0</v>
      </c>
      <c r="V11" s="18" t="n">
        <f aca="false">T11-U11</f>
        <v>0</v>
      </c>
      <c r="W11" s="19"/>
      <c r="X11" s="19"/>
    </row>
    <row r="12" customFormat="false" ht="16" hidden="false" customHeight="false" outlineLevel="0" collapsed="false">
      <c r="A12" s="8" t="s">
        <v>24</v>
      </c>
      <c r="B12" s="9" t="s">
        <v>25</v>
      </c>
      <c r="C12" s="9" t="s">
        <v>26</v>
      </c>
      <c r="D12" s="10" t="n">
        <v>1789</v>
      </c>
      <c r="E12" s="9" t="s">
        <v>27</v>
      </c>
      <c r="F12" s="9" t="s">
        <v>28</v>
      </c>
      <c r="G12" s="11" t="n">
        <v>2</v>
      </c>
      <c r="H12" s="12"/>
      <c r="I12" s="13"/>
      <c r="J12" s="13"/>
      <c r="K12" s="14"/>
      <c r="L12" s="15"/>
      <c r="M12" s="14"/>
      <c r="N12" s="14"/>
      <c r="O12" s="16"/>
      <c r="P12" s="17" t="n">
        <f aca="false">M12+(0.05*N12)+(O12/240)</f>
        <v>0</v>
      </c>
      <c r="Q12" s="14"/>
      <c r="R12" s="14"/>
      <c r="S12" s="14"/>
      <c r="T12" s="14" t="n">
        <f aca="false">Q12+(R12*0.05)+(S12/240)</f>
        <v>0</v>
      </c>
      <c r="U12" s="14" t="n">
        <f aca="false">K12*P12</f>
        <v>0</v>
      </c>
      <c r="V12" s="18" t="n">
        <f aca="false">T12-U12</f>
        <v>0</v>
      </c>
      <c r="W12" s="19"/>
      <c r="X12" s="19"/>
    </row>
    <row r="13" customFormat="false" ht="16" hidden="false" customHeight="false" outlineLevel="0" collapsed="false">
      <c r="A13" s="8" t="s">
        <v>24</v>
      </c>
      <c r="B13" s="9" t="s">
        <v>25</v>
      </c>
      <c r="C13" s="9" t="s">
        <v>26</v>
      </c>
      <c r="D13" s="10" t="n">
        <v>1789</v>
      </c>
      <c r="E13" s="9" t="s">
        <v>27</v>
      </c>
      <c r="F13" s="9" t="s">
        <v>28</v>
      </c>
      <c r="G13" s="11" t="n">
        <v>2</v>
      </c>
      <c r="H13" s="12"/>
      <c r="I13" s="13"/>
      <c r="J13" s="13"/>
      <c r="K13" s="14"/>
      <c r="L13" s="15"/>
      <c r="M13" s="14"/>
      <c r="N13" s="14"/>
      <c r="O13" s="16"/>
      <c r="P13" s="17" t="n">
        <f aca="false">M13+(0.05*N13)+(O13/240)</f>
        <v>0</v>
      </c>
      <c r="Q13" s="14"/>
      <c r="R13" s="14"/>
      <c r="S13" s="14"/>
      <c r="T13" s="14" t="n">
        <f aca="false">Q13+(R13*0.05)+(S13/240)</f>
        <v>0</v>
      </c>
      <c r="U13" s="14" t="n">
        <f aca="false">K13*P13</f>
        <v>0</v>
      </c>
      <c r="V13" s="18" t="n">
        <f aca="false">T13-U13</f>
        <v>0</v>
      </c>
      <c r="W13" s="19"/>
      <c r="X13" s="19"/>
    </row>
    <row r="14" customFormat="false" ht="16" hidden="false" customHeight="false" outlineLevel="0" collapsed="false">
      <c r="A14" s="8" t="s">
        <v>24</v>
      </c>
      <c r="B14" s="9" t="s">
        <v>25</v>
      </c>
      <c r="C14" s="9" t="s">
        <v>26</v>
      </c>
      <c r="D14" s="10" t="n">
        <v>1789</v>
      </c>
      <c r="E14" s="9" t="s">
        <v>27</v>
      </c>
      <c r="F14" s="9" t="s">
        <v>28</v>
      </c>
      <c r="G14" s="11" t="n">
        <v>2</v>
      </c>
      <c r="H14" s="12"/>
      <c r="I14" s="13"/>
      <c r="J14" s="13"/>
      <c r="K14" s="14"/>
      <c r="L14" s="15"/>
      <c r="M14" s="14"/>
      <c r="N14" s="14"/>
      <c r="O14" s="16"/>
      <c r="P14" s="17" t="n">
        <f aca="false">M14+(0.05*N14)+(O14/240)</f>
        <v>0</v>
      </c>
      <c r="Q14" s="14"/>
      <c r="R14" s="14"/>
      <c r="S14" s="14"/>
      <c r="T14" s="14" t="n">
        <f aca="false">Q14+(R14*0.05)+(S14/240)</f>
        <v>0</v>
      </c>
      <c r="U14" s="14" t="n">
        <f aca="false">K14*P14</f>
        <v>0</v>
      </c>
      <c r="V14" s="18" t="n">
        <f aca="false">T14-U14</f>
        <v>0</v>
      </c>
      <c r="W14" s="19"/>
      <c r="X14" s="19"/>
    </row>
    <row r="15" customFormat="false" ht="16" hidden="false" customHeight="false" outlineLevel="0" collapsed="false">
      <c r="A15" s="8" t="s">
        <v>24</v>
      </c>
      <c r="B15" s="9" t="s">
        <v>25</v>
      </c>
      <c r="C15" s="9" t="s">
        <v>26</v>
      </c>
      <c r="D15" s="10" t="n">
        <v>1789</v>
      </c>
      <c r="E15" s="9" t="s">
        <v>27</v>
      </c>
      <c r="F15" s="9" t="s">
        <v>28</v>
      </c>
      <c r="G15" s="11" t="n">
        <v>2</v>
      </c>
      <c r="H15" s="12"/>
      <c r="I15" s="13"/>
      <c r="J15" s="13"/>
      <c r="K15" s="14"/>
      <c r="L15" s="15"/>
      <c r="M15" s="14"/>
      <c r="N15" s="14"/>
      <c r="O15" s="16"/>
      <c r="P15" s="17" t="n">
        <f aca="false">M15+(0.05*N15)+(O15/240)</f>
        <v>0</v>
      </c>
      <c r="Q15" s="14"/>
      <c r="R15" s="14"/>
      <c r="S15" s="14"/>
      <c r="T15" s="14" t="n">
        <f aca="false">Q15+(R15*0.05)+(S15/240)</f>
        <v>0</v>
      </c>
      <c r="U15" s="14" t="n">
        <f aca="false">K15*P15</f>
        <v>0</v>
      </c>
      <c r="V15" s="18" t="n">
        <f aca="false">T15-U15</f>
        <v>0</v>
      </c>
      <c r="W15" s="19"/>
      <c r="X15" s="19"/>
    </row>
    <row r="16" customFormat="false" ht="16" hidden="false" customHeight="false" outlineLevel="0" collapsed="false">
      <c r="A16" s="8" t="s">
        <v>24</v>
      </c>
      <c r="B16" s="9" t="s">
        <v>25</v>
      </c>
      <c r="C16" s="9" t="s">
        <v>26</v>
      </c>
      <c r="D16" s="10" t="n">
        <v>1789</v>
      </c>
      <c r="E16" s="9" t="s">
        <v>27</v>
      </c>
      <c r="F16" s="9" t="s">
        <v>28</v>
      </c>
      <c r="G16" s="11" t="n">
        <v>2</v>
      </c>
      <c r="H16" s="12"/>
      <c r="I16" s="13"/>
      <c r="J16" s="13"/>
      <c r="K16" s="14"/>
      <c r="L16" s="15"/>
      <c r="M16" s="14"/>
      <c r="N16" s="14"/>
      <c r="O16" s="16"/>
      <c r="P16" s="17" t="n">
        <f aca="false">M16+(0.05*N16)+(O16/240)</f>
        <v>0</v>
      </c>
      <c r="Q16" s="14"/>
      <c r="R16" s="14"/>
      <c r="S16" s="14"/>
      <c r="T16" s="14" t="n">
        <f aca="false">Q16+(R16*0.05)+(S16/240)</f>
        <v>0</v>
      </c>
      <c r="U16" s="14" t="n">
        <f aca="false">K16*P16</f>
        <v>0</v>
      </c>
      <c r="V16" s="18" t="n">
        <f aca="false">T16-U16</f>
        <v>0</v>
      </c>
      <c r="W16" s="19"/>
      <c r="X16" s="19"/>
    </row>
    <row r="17" customFormat="false" ht="16" hidden="false" customHeight="false" outlineLevel="0" collapsed="false">
      <c r="A17" s="8" t="s">
        <v>24</v>
      </c>
      <c r="B17" s="9" t="s">
        <v>25</v>
      </c>
      <c r="C17" s="9" t="s">
        <v>26</v>
      </c>
      <c r="D17" s="10" t="n">
        <v>1789</v>
      </c>
      <c r="E17" s="9" t="s">
        <v>27</v>
      </c>
      <c r="F17" s="9" t="s">
        <v>28</v>
      </c>
      <c r="G17" s="11" t="n">
        <v>2</v>
      </c>
      <c r="H17" s="12"/>
      <c r="I17" s="13"/>
      <c r="J17" s="13"/>
      <c r="K17" s="14"/>
      <c r="L17" s="15"/>
      <c r="M17" s="14"/>
      <c r="N17" s="14"/>
      <c r="O17" s="16"/>
      <c r="P17" s="17" t="n">
        <f aca="false">M17+(0.05*N17)+(O17/240)</f>
        <v>0</v>
      </c>
      <c r="Q17" s="14"/>
      <c r="R17" s="14"/>
      <c r="S17" s="14"/>
      <c r="T17" s="14" t="n">
        <f aca="false">Q17+(R17*0.05)+(S17/240)</f>
        <v>0</v>
      </c>
      <c r="U17" s="14" t="n">
        <f aca="false">K17*P17</f>
        <v>0</v>
      </c>
      <c r="V17" s="18" t="n">
        <f aca="false">T17-U17</f>
        <v>0</v>
      </c>
      <c r="W17" s="19"/>
      <c r="X17" s="19"/>
    </row>
    <row r="18" customFormat="false" ht="16" hidden="false" customHeight="false" outlineLevel="0" collapsed="false">
      <c r="A18" s="8" t="s">
        <v>24</v>
      </c>
      <c r="B18" s="9" t="s">
        <v>25</v>
      </c>
      <c r="C18" s="9" t="s">
        <v>26</v>
      </c>
      <c r="D18" s="10" t="n">
        <v>1789</v>
      </c>
      <c r="E18" s="9" t="s">
        <v>27</v>
      </c>
      <c r="F18" s="9" t="s">
        <v>28</v>
      </c>
      <c r="G18" s="11" t="n">
        <v>2</v>
      </c>
      <c r="H18" s="12"/>
      <c r="I18" s="13"/>
      <c r="J18" s="13"/>
      <c r="K18" s="14"/>
      <c r="L18" s="15"/>
      <c r="M18" s="14"/>
      <c r="N18" s="14"/>
      <c r="O18" s="16"/>
      <c r="P18" s="17" t="n">
        <f aca="false">M18+(0.05*N18)+(O18/240)</f>
        <v>0</v>
      </c>
      <c r="Q18" s="14"/>
      <c r="R18" s="14"/>
      <c r="S18" s="14"/>
      <c r="T18" s="14" t="n">
        <f aca="false">Q18+(R18*0.05)+(S18/240)</f>
        <v>0</v>
      </c>
      <c r="U18" s="14" t="n">
        <f aca="false">K18*P18</f>
        <v>0</v>
      </c>
      <c r="V18" s="18" t="n">
        <f aca="false">T18-U18</f>
        <v>0</v>
      </c>
      <c r="W18" s="19"/>
      <c r="X18" s="19"/>
    </row>
    <row r="19" customFormat="false" ht="16" hidden="false" customHeight="false" outlineLevel="0" collapsed="false">
      <c r="A19" s="8" t="s">
        <v>24</v>
      </c>
      <c r="B19" s="9" t="s">
        <v>25</v>
      </c>
      <c r="C19" s="9" t="s">
        <v>26</v>
      </c>
      <c r="D19" s="10" t="n">
        <v>1789</v>
      </c>
      <c r="E19" s="9" t="s">
        <v>27</v>
      </c>
      <c r="F19" s="9" t="s">
        <v>28</v>
      </c>
      <c r="G19" s="11" t="n">
        <v>2</v>
      </c>
      <c r="H19" s="12"/>
      <c r="I19" s="13"/>
      <c r="J19" s="13"/>
      <c r="K19" s="14"/>
      <c r="L19" s="15"/>
      <c r="M19" s="14"/>
      <c r="N19" s="14"/>
      <c r="O19" s="16"/>
      <c r="P19" s="17" t="n">
        <f aca="false">M19+(0.05*N19)+(O19/240)</f>
        <v>0</v>
      </c>
      <c r="Q19" s="14"/>
      <c r="R19" s="14"/>
      <c r="S19" s="14"/>
      <c r="T19" s="14" t="n">
        <f aca="false">Q19+(R19*0.05)+(S19/240)</f>
        <v>0</v>
      </c>
      <c r="U19" s="14" t="n">
        <f aca="false">K19*P19</f>
        <v>0</v>
      </c>
      <c r="V19" s="18" t="n">
        <f aca="false">T19-U19</f>
        <v>0</v>
      </c>
      <c r="W19" s="19"/>
      <c r="X19" s="19"/>
    </row>
    <row r="20" customFormat="false" ht="16" hidden="false" customHeight="false" outlineLevel="0" collapsed="false">
      <c r="A20" s="8" t="s">
        <v>24</v>
      </c>
      <c r="B20" s="9" t="s">
        <v>25</v>
      </c>
      <c r="C20" s="9" t="s">
        <v>26</v>
      </c>
      <c r="D20" s="10" t="n">
        <v>1789</v>
      </c>
      <c r="E20" s="9" t="s">
        <v>27</v>
      </c>
      <c r="F20" s="9" t="s">
        <v>28</v>
      </c>
      <c r="G20" s="11" t="n">
        <v>2</v>
      </c>
      <c r="H20" s="12"/>
      <c r="I20" s="13"/>
      <c r="J20" s="13"/>
      <c r="K20" s="14"/>
      <c r="L20" s="15"/>
      <c r="M20" s="14"/>
      <c r="N20" s="14"/>
      <c r="O20" s="16"/>
      <c r="P20" s="17" t="n">
        <f aca="false">M20+(0.05*N20)+(O20/240)</f>
        <v>0</v>
      </c>
      <c r="Q20" s="14"/>
      <c r="R20" s="14"/>
      <c r="S20" s="14"/>
      <c r="T20" s="14" t="n">
        <f aca="false">Q20+(R20*0.05)+(S20/240)</f>
        <v>0</v>
      </c>
      <c r="U20" s="14" t="n">
        <f aca="false">K20*P20</f>
        <v>0</v>
      </c>
      <c r="V20" s="18" t="n">
        <f aca="false">T20-U20</f>
        <v>0</v>
      </c>
      <c r="W20" s="19"/>
      <c r="X20" s="19"/>
    </row>
    <row r="21" customFormat="false" ht="16" hidden="false" customHeight="false" outlineLevel="0" collapsed="false">
      <c r="A21" s="8" t="s">
        <v>24</v>
      </c>
      <c r="B21" s="9" t="s">
        <v>25</v>
      </c>
      <c r="C21" s="9" t="s">
        <v>26</v>
      </c>
      <c r="D21" s="10" t="n">
        <v>1789</v>
      </c>
      <c r="E21" s="9" t="s">
        <v>27</v>
      </c>
      <c r="F21" s="9" t="s">
        <v>28</v>
      </c>
      <c r="G21" s="11" t="n">
        <v>2</v>
      </c>
      <c r="H21" s="12"/>
      <c r="I21" s="13"/>
      <c r="J21" s="13"/>
      <c r="K21" s="14"/>
      <c r="L21" s="15"/>
      <c r="M21" s="14"/>
      <c r="N21" s="14"/>
      <c r="O21" s="16"/>
      <c r="P21" s="17" t="n">
        <f aca="false">M21+(0.05*N21)+(O21/240)</f>
        <v>0</v>
      </c>
      <c r="Q21" s="14"/>
      <c r="R21" s="14"/>
      <c r="S21" s="14"/>
      <c r="T21" s="14" t="n">
        <f aca="false">Q21+(R21*0.05)+(S21/240)</f>
        <v>0</v>
      </c>
      <c r="U21" s="14" t="n">
        <f aca="false">K21*P21</f>
        <v>0</v>
      </c>
      <c r="V21" s="18" t="n">
        <f aca="false">T21-U21</f>
        <v>0</v>
      </c>
      <c r="W21" s="19"/>
      <c r="X21" s="19"/>
    </row>
    <row r="22" customFormat="false" ht="16" hidden="false" customHeight="false" outlineLevel="0" collapsed="false">
      <c r="A22" s="8" t="s">
        <v>24</v>
      </c>
      <c r="B22" s="9" t="s">
        <v>25</v>
      </c>
      <c r="C22" s="9" t="s">
        <v>26</v>
      </c>
      <c r="D22" s="10" t="n">
        <v>1789</v>
      </c>
      <c r="E22" s="9" t="s">
        <v>27</v>
      </c>
      <c r="F22" s="9" t="s">
        <v>28</v>
      </c>
      <c r="G22" s="11" t="n">
        <v>2</v>
      </c>
      <c r="H22" s="12"/>
      <c r="I22" s="13"/>
      <c r="J22" s="13"/>
      <c r="K22" s="14"/>
      <c r="L22" s="15"/>
      <c r="M22" s="14"/>
      <c r="N22" s="14"/>
      <c r="O22" s="16"/>
      <c r="P22" s="17" t="n">
        <f aca="false">M22+(0.05*N22)+(O22/240)</f>
        <v>0</v>
      </c>
      <c r="Q22" s="14"/>
      <c r="R22" s="14"/>
      <c r="S22" s="14"/>
      <c r="T22" s="14" t="n">
        <f aca="false">Q22+(R22*0.05)+(S22/240)</f>
        <v>0</v>
      </c>
      <c r="U22" s="14" t="n">
        <f aca="false">K22*P22</f>
        <v>0</v>
      </c>
      <c r="V22" s="18" t="n">
        <f aca="false">T22-U22</f>
        <v>0</v>
      </c>
      <c r="W22" s="19"/>
      <c r="X22" s="19"/>
    </row>
    <row r="23" customFormat="false" ht="16" hidden="false" customHeight="false" outlineLevel="0" collapsed="false">
      <c r="A23" s="8" t="s">
        <v>24</v>
      </c>
      <c r="B23" s="9" t="s">
        <v>25</v>
      </c>
      <c r="C23" s="9" t="s">
        <v>26</v>
      </c>
      <c r="D23" s="10" t="n">
        <v>1789</v>
      </c>
      <c r="E23" s="9" t="s">
        <v>27</v>
      </c>
      <c r="F23" s="9" t="s">
        <v>28</v>
      </c>
      <c r="G23" s="11" t="n">
        <v>2</v>
      </c>
      <c r="H23" s="12"/>
      <c r="I23" s="13"/>
      <c r="J23" s="13"/>
      <c r="K23" s="14"/>
      <c r="L23" s="15"/>
      <c r="M23" s="14"/>
      <c r="N23" s="14"/>
      <c r="O23" s="16"/>
      <c r="P23" s="17" t="n">
        <f aca="false">M23+(0.05*N23)+(O23/240)</f>
        <v>0</v>
      </c>
      <c r="Q23" s="14"/>
      <c r="R23" s="14"/>
      <c r="S23" s="14"/>
      <c r="T23" s="14" t="n">
        <f aca="false">Q23+(R23*0.05)+(S23/240)</f>
        <v>0</v>
      </c>
      <c r="U23" s="14" t="n">
        <f aca="false">K23*P23</f>
        <v>0</v>
      </c>
      <c r="V23" s="18" t="n">
        <f aca="false">T23-U23</f>
        <v>0</v>
      </c>
      <c r="W23" s="19"/>
      <c r="X23" s="19"/>
    </row>
    <row r="24" customFormat="false" ht="16" hidden="false" customHeight="false" outlineLevel="0" collapsed="false">
      <c r="A24" s="8" t="s">
        <v>24</v>
      </c>
      <c r="B24" s="9" t="s">
        <v>25</v>
      </c>
      <c r="C24" s="9" t="s">
        <v>26</v>
      </c>
      <c r="D24" s="10" t="n">
        <v>1789</v>
      </c>
      <c r="E24" s="9" t="s">
        <v>27</v>
      </c>
      <c r="F24" s="9" t="s">
        <v>28</v>
      </c>
      <c r="G24" s="11" t="n">
        <v>2</v>
      </c>
      <c r="H24" s="12"/>
      <c r="I24" s="13"/>
      <c r="J24" s="13"/>
      <c r="K24" s="14"/>
      <c r="L24" s="15"/>
      <c r="M24" s="14"/>
      <c r="N24" s="14"/>
      <c r="O24" s="16"/>
      <c r="P24" s="17" t="n">
        <f aca="false">M24+(0.05*N24)+(O24/240)</f>
        <v>0</v>
      </c>
      <c r="Q24" s="14"/>
      <c r="R24" s="14"/>
      <c r="S24" s="14"/>
      <c r="T24" s="14" t="n">
        <f aca="false">Q24+(R24*0.05)+(S24/240)</f>
        <v>0</v>
      </c>
      <c r="U24" s="14" t="n">
        <f aca="false">K24*P24</f>
        <v>0</v>
      </c>
      <c r="V24" s="18" t="n">
        <f aca="false">T24-U24</f>
        <v>0</v>
      </c>
      <c r="W24" s="19"/>
      <c r="X24" s="19"/>
    </row>
    <row r="25" customFormat="false" ht="16" hidden="false" customHeight="false" outlineLevel="0" collapsed="false">
      <c r="A25" s="8" t="s">
        <v>24</v>
      </c>
      <c r="B25" s="9" t="s">
        <v>25</v>
      </c>
      <c r="C25" s="9" t="s">
        <v>26</v>
      </c>
      <c r="D25" s="10" t="n">
        <v>1789</v>
      </c>
      <c r="E25" s="9" t="s">
        <v>27</v>
      </c>
      <c r="F25" s="9" t="s">
        <v>28</v>
      </c>
      <c r="G25" s="11" t="n">
        <v>2</v>
      </c>
      <c r="H25" s="12"/>
      <c r="I25" s="13"/>
      <c r="J25" s="13"/>
      <c r="K25" s="14"/>
      <c r="L25" s="15"/>
      <c r="M25" s="14"/>
      <c r="N25" s="14"/>
      <c r="O25" s="16"/>
      <c r="P25" s="17" t="n">
        <f aca="false">M25+(0.05*N25)+(O25/240)</f>
        <v>0</v>
      </c>
      <c r="Q25" s="14"/>
      <c r="R25" s="14"/>
      <c r="S25" s="14"/>
      <c r="T25" s="14" t="n">
        <f aca="false">Q25+(R25*0.05)+(S25/240)</f>
        <v>0</v>
      </c>
      <c r="U25" s="14" t="n">
        <f aca="false">K25*P25</f>
        <v>0</v>
      </c>
      <c r="V25" s="18" t="n">
        <f aca="false">T25-U25</f>
        <v>0</v>
      </c>
      <c r="W25" s="19"/>
      <c r="X25" s="19"/>
    </row>
    <row r="26" customFormat="false" ht="16" hidden="false" customHeight="false" outlineLevel="0" collapsed="false">
      <c r="A26" s="8" t="s">
        <v>24</v>
      </c>
      <c r="B26" s="9" t="s">
        <v>25</v>
      </c>
      <c r="C26" s="9" t="s">
        <v>26</v>
      </c>
      <c r="D26" s="10" t="n">
        <v>1789</v>
      </c>
      <c r="E26" s="9" t="s">
        <v>27</v>
      </c>
      <c r="F26" s="9" t="s">
        <v>28</v>
      </c>
      <c r="G26" s="11" t="n">
        <v>2</v>
      </c>
      <c r="H26" s="12"/>
      <c r="I26" s="13"/>
      <c r="J26" s="13"/>
      <c r="K26" s="14"/>
      <c r="L26" s="15"/>
      <c r="M26" s="14"/>
      <c r="N26" s="14"/>
      <c r="O26" s="16"/>
      <c r="P26" s="17" t="n">
        <f aca="false">M26+(0.05*N26)+(O26/240)</f>
        <v>0</v>
      </c>
      <c r="Q26" s="14"/>
      <c r="R26" s="14"/>
      <c r="S26" s="14"/>
      <c r="T26" s="14" t="n">
        <f aca="false">Q26+(R26*0.05)+(S26/240)</f>
        <v>0</v>
      </c>
      <c r="U26" s="14" t="n">
        <f aca="false">K26*P26</f>
        <v>0</v>
      </c>
      <c r="V26" s="18" t="n">
        <f aca="false">T26-U26</f>
        <v>0</v>
      </c>
      <c r="W26" s="19"/>
      <c r="X26" s="19"/>
    </row>
    <row r="27" customFormat="false" ht="16" hidden="false" customHeight="false" outlineLevel="0" collapsed="false">
      <c r="A27" s="8" t="s">
        <v>24</v>
      </c>
      <c r="B27" s="9" t="s">
        <v>25</v>
      </c>
      <c r="C27" s="9" t="s">
        <v>26</v>
      </c>
      <c r="D27" s="10" t="n">
        <v>1789</v>
      </c>
      <c r="E27" s="9" t="s">
        <v>27</v>
      </c>
      <c r="F27" s="9" t="s">
        <v>28</v>
      </c>
      <c r="G27" s="11" t="n">
        <v>2</v>
      </c>
      <c r="H27" s="12"/>
      <c r="I27" s="13"/>
      <c r="J27" s="13"/>
      <c r="K27" s="14"/>
      <c r="L27" s="15"/>
      <c r="M27" s="14"/>
      <c r="N27" s="14"/>
      <c r="O27" s="16"/>
      <c r="P27" s="17" t="n">
        <f aca="false">M27+(0.05*N27)+(O27/240)</f>
        <v>0</v>
      </c>
      <c r="Q27" s="14"/>
      <c r="R27" s="14"/>
      <c r="S27" s="14"/>
      <c r="T27" s="14" t="n">
        <f aca="false">Q27+(R27*0.05)+(S27/240)</f>
        <v>0</v>
      </c>
      <c r="U27" s="14" t="n">
        <f aca="false">K27*P27</f>
        <v>0</v>
      </c>
      <c r="V27" s="18" t="n">
        <f aca="false">T27-U27</f>
        <v>0</v>
      </c>
      <c r="W27" s="19"/>
      <c r="X27" s="19"/>
    </row>
    <row r="28" customFormat="false" ht="16" hidden="false" customHeight="false" outlineLevel="0" collapsed="false">
      <c r="A28" s="8" t="s">
        <v>24</v>
      </c>
      <c r="B28" s="9" t="s">
        <v>25</v>
      </c>
      <c r="C28" s="9" t="s">
        <v>26</v>
      </c>
      <c r="D28" s="10" t="n">
        <v>1789</v>
      </c>
      <c r="E28" s="9" t="s">
        <v>27</v>
      </c>
      <c r="F28" s="9" t="s">
        <v>28</v>
      </c>
      <c r="G28" s="11" t="n">
        <v>2</v>
      </c>
      <c r="H28" s="12"/>
      <c r="I28" s="13"/>
      <c r="J28" s="13"/>
      <c r="K28" s="14"/>
      <c r="L28" s="15"/>
      <c r="M28" s="14"/>
      <c r="N28" s="14"/>
      <c r="O28" s="16"/>
      <c r="P28" s="17" t="n">
        <f aca="false">M28+(0.05*N28)+(O28/240)</f>
        <v>0</v>
      </c>
      <c r="Q28" s="14"/>
      <c r="R28" s="14"/>
      <c r="S28" s="14"/>
      <c r="T28" s="14" t="n">
        <f aca="false">Q28+(R28*0.05)+(S28/240)</f>
        <v>0</v>
      </c>
      <c r="U28" s="14" t="n">
        <f aca="false">K28*P28</f>
        <v>0</v>
      </c>
      <c r="V28" s="18" t="n">
        <f aca="false">T28-U28</f>
        <v>0</v>
      </c>
      <c r="W28" s="19"/>
      <c r="X28" s="19"/>
    </row>
    <row r="29" customFormat="false" ht="16" hidden="false" customHeight="false" outlineLevel="0" collapsed="false">
      <c r="A29" s="8" t="s">
        <v>24</v>
      </c>
      <c r="B29" s="9" t="s">
        <v>25</v>
      </c>
      <c r="C29" s="9" t="s">
        <v>26</v>
      </c>
      <c r="D29" s="10" t="n">
        <v>1789</v>
      </c>
      <c r="E29" s="9" t="s">
        <v>27</v>
      </c>
      <c r="F29" s="9" t="s">
        <v>28</v>
      </c>
      <c r="G29" s="11" t="n">
        <v>2</v>
      </c>
      <c r="H29" s="12"/>
      <c r="I29" s="13"/>
      <c r="J29" s="13"/>
      <c r="K29" s="14"/>
      <c r="L29" s="15"/>
      <c r="M29" s="14"/>
      <c r="N29" s="14"/>
      <c r="O29" s="16"/>
      <c r="P29" s="17" t="n">
        <f aca="false">M29+(0.05*N29)+(O29/240)</f>
        <v>0</v>
      </c>
      <c r="Q29" s="14"/>
      <c r="R29" s="14"/>
      <c r="S29" s="14"/>
      <c r="T29" s="14" t="n">
        <f aca="false">Q29+(R29*0.05)+(S29/240)</f>
        <v>0</v>
      </c>
      <c r="U29" s="14" t="n">
        <f aca="false">K29*P29</f>
        <v>0</v>
      </c>
      <c r="V29" s="18" t="n">
        <f aca="false">T29-U29</f>
        <v>0</v>
      </c>
      <c r="W29" s="19"/>
      <c r="X29" s="19"/>
    </row>
    <row r="30" customFormat="false" ht="16" hidden="false" customHeight="false" outlineLevel="0" collapsed="false">
      <c r="A30" s="8" t="s">
        <v>24</v>
      </c>
      <c r="B30" s="9" t="s">
        <v>25</v>
      </c>
      <c r="C30" s="9" t="s">
        <v>26</v>
      </c>
      <c r="D30" s="10" t="n">
        <v>1789</v>
      </c>
      <c r="E30" s="9" t="s">
        <v>27</v>
      </c>
      <c r="F30" s="9" t="s">
        <v>28</v>
      </c>
      <c r="G30" s="11" t="n">
        <v>2</v>
      </c>
      <c r="H30" s="12"/>
      <c r="I30" s="13"/>
      <c r="J30" s="13"/>
      <c r="K30" s="14"/>
      <c r="L30" s="15"/>
      <c r="M30" s="14"/>
      <c r="N30" s="14"/>
      <c r="O30" s="16"/>
      <c r="P30" s="17" t="n">
        <f aca="false">M30+(0.05*N30)+(O30/240)</f>
        <v>0</v>
      </c>
      <c r="Q30" s="14"/>
      <c r="R30" s="14"/>
      <c r="S30" s="14"/>
      <c r="T30" s="14" t="n">
        <f aca="false">Q30+(R30*0.05)+(S30/240)</f>
        <v>0</v>
      </c>
      <c r="U30" s="14" t="n">
        <f aca="false">K30*P30</f>
        <v>0</v>
      </c>
      <c r="V30" s="18" t="n">
        <f aca="false">T30-U30</f>
        <v>0</v>
      </c>
      <c r="W30" s="19"/>
      <c r="X30" s="19"/>
    </row>
    <row r="31" customFormat="false" ht="16" hidden="false" customHeight="false" outlineLevel="0" collapsed="false">
      <c r="A31" s="8" t="s">
        <v>24</v>
      </c>
      <c r="B31" s="9" t="s">
        <v>25</v>
      </c>
      <c r="C31" s="9" t="s">
        <v>26</v>
      </c>
      <c r="D31" s="10" t="n">
        <v>1789</v>
      </c>
      <c r="E31" s="9" t="s">
        <v>27</v>
      </c>
      <c r="F31" s="9" t="s">
        <v>28</v>
      </c>
      <c r="G31" s="11" t="n">
        <v>2</v>
      </c>
      <c r="H31" s="12"/>
      <c r="I31" s="13"/>
      <c r="J31" s="13"/>
      <c r="K31" s="14"/>
      <c r="L31" s="15"/>
      <c r="M31" s="14"/>
      <c r="N31" s="14"/>
      <c r="O31" s="16"/>
      <c r="P31" s="17" t="n">
        <f aca="false">M31+(0.05*N31)+(O31/240)</f>
        <v>0</v>
      </c>
      <c r="Q31" s="14"/>
      <c r="R31" s="14"/>
      <c r="S31" s="14"/>
      <c r="T31" s="14" t="n">
        <f aca="false">Q31+(R31*0.05)+(S31/240)</f>
        <v>0</v>
      </c>
      <c r="U31" s="14" t="n">
        <f aca="false">K31*P31</f>
        <v>0</v>
      </c>
      <c r="V31" s="18" t="n">
        <f aca="false">T31-U31</f>
        <v>0</v>
      </c>
      <c r="W31" s="19"/>
      <c r="X31" s="19"/>
    </row>
    <row r="32" customFormat="false" ht="16" hidden="false" customHeight="false" outlineLevel="0" collapsed="false">
      <c r="A32" s="8" t="s">
        <v>24</v>
      </c>
      <c r="B32" s="9" t="s">
        <v>25</v>
      </c>
      <c r="C32" s="9" t="s">
        <v>26</v>
      </c>
      <c r="D32" s="10" t="n">
        <v>1789</v>
      </c>
      <c r="E32" s="9" t="s">
        <v>27</v>
      </c>
      <c r="F32" s="9" t="s">
        <v>28</v>
      </c>
      <c r="G32" s="11" t="n">
        <v>2</v>
      </c>
      <c r="H32" s="12"/>
      <c r="I32" s="13"/>
      <c r="J32" s="13"/>
      <c r="K32" s="14"/>
      <c r="L32" s="15"/>
      <c r="M32" s="14"/>
      <c r="N32" s="14"/>
      <c r="O32" s="16"/>
      <c r="P32" s="17" t="n">
        <f aca="false">M32+(0.05*N32)+(O32/240)</f>
        <v>0</v>
      </c>
      <c r="Q32" s="14"/>
      <c r="R32" s="14"/>
      <c r="S32" s="14"/>
      <c r="T32" s="14" t="n">
        <f aca="false">Q32+(R32*0.05)+(S32/240)</f>
        <v>0</v>
      </c>
      <c r="U32" s="14" t="n">
        <f aca="false">K32*P32</f>
        <v>0</v>
      </c>
      <c r="V32" s="18" t="n">
        <f aca="false">T32-U32</f>
        <v>0</v>
      </c>
      <c r="W32" s="19"/>
      <c r="X32" s="19"/>
    </row>
    <row r="33" customFormat="false" ht="16" hidden="false" customHeight="false" outlineLevel="0" collapsed="false">
      <c r="A33" s="8" t="s">
        <v>24</v>
      </c>
      <c r="B33" s="9" t="s">
        <v>25</v>
      </c>
      <c r="C33" s="9" t="s">
        <v>26</v>
      </c>
      <c r="D33" s="10" t="n">
        <v>1789</v>
      </c>
      <c r="E33" s="9" t="s">
        <v>27</v>
      </c>
      <c r="F33" s="9" t="s">
        <v>28</v>
      </c>
      <c r="G33" s="11" t="n">
        <v>2</v>
      </c>
      <c r="H33" s="12"/>
      <c r="I33" s="13"/>
      <c r="J33" s="13"/>
      <c r="K33" s="14"/>
      <c r="L33" s="15"/>
      <c r="M33" s="14"/>
      <c r="N33" s="14"/>
      <c r="O33" s="16"/>
      <c r="P33" s="17" t="n">
        <f aca="false">M33+(0.05*N33)+(O33/240)</f>
        <v>0</v>
      </c>
      <c r="Q33" s="14"/>
      <c r="R33" s="14"/>
      <c r="S33" s="14"/>
      <c r="T33" s="14" t="n">
        <f aca="false">Q33+(R33*0.05)+(S33/240)</f>
        <v>0</v>
      </c>
      <c r="U33" s="14" t="n">
        <f aca="false">K33*P33</f>
        <v>0</v>
      </c>
      <c r="V33" s="18" t="n">
        <f aca="false">T33-U33</f>
        <v>0</v>
      </c>
      <c r="W33" s="19"/>
      <c r="X33" s="19"/>
    </row>
    <row r="34" customFormat="false" ht="16" hidden="false" customHeight="false" outlineLevel="0" collapsed="false">
      <c r="A34" s="8" t="s">
        <v>24</v>
      </c>
      <c r="B34" s="9" t="s">
        <v>25</v>
      </c>
      <c r="C34" s="9" t="s">
        <v>26</v>
      </c>
      <c r="D34" s="10" t="n">
        <v>1789</v>
      </c>
      <c r="E34" s="9" t="s">
        <v>27</v>
      </c>
      <c r="F34" s="9" t="s">
        <v>28</v>
      </c>
      <c r="G34" s="11" t="n">
        <v>2</v>
      </c>
      <c r="H34" s="12"/>
      <c r="I34" s="13"/>
      <c r="J34" s="13"/>
      <c r="K34" s="14"/>
      <c r="L34" s="15"/>
      <c r="M34" s="14"/>
      <c r="N34" s="14"/>
      <c r="O34" s="16"/>
      <c r="P34" s="17" t="n">
        <f aca="false">M34+(0.05*N34)+(O34/240)</f>
        <v>0</v>
      </c>
      <c r="Q34" s="14"/>
      <c r="R34" s="14"/>
      <c r="S34" s="14"/>
      <c r="T34" s="14" t="n">
        <f aca="false">Q34+(R34*0.05)+(S34/240)</f>
        <v>0</v>
      </c>
      <c r="U34" s="14" t="n">
        <f aca="false">K34*P34</f>
        <v>0</v>
      </c>
      <c r="V34" s="18" t="n">
        <f aca="false">T34-U34</f>
        <v>0</v>
      </c>
      <c r="W34" s="19"/>
      <c r="X34" s="19"/>
    </row>
    <row r="35" customFormat="false" ht="16" hidden="false" customHeight="false" outlineLevel="0" collapsed="false">
      <c r="A35" s="8" t="s">
        <v>24</v>
      </c>
      <c r="B35" s="9" t="s">
        <v>25</v>
      </c>
      <c r="C35" s="9" t="s">
        <v>26</v>
      </c>
      <c r="D35" s="10" t="n">
        <v>1789</v>
      </c>
      <c r="E35" s="9" t="s">
        <v>27</v>
      </c>
      <c r="F35" s="9" t="s">
        <v>28</v>
      </c>
      <c r="G35" s="11" t="n">
        <v>2</v>
      </c>
      <c r="H35" s="12"/>
      <c r="I35" s="13"/>
      <c r="J35" s="13"/>
      <c r="K35" s="14"/>
      <c r="L35" s="15"/>
      <c r="M35" s="14"/>
      <c r="N35" s="14"/>
      <c r="O35" s="16"/>
      <c r="P35" s="17" t="n">
        <f aca="false">M35+(0.05*N35)+(O35/240)</f>
        <v>0</v>
      </c>
      <c r="Q35" s="14"/>
      <c r="R35" s="14"/>
      <c r="S35" s="14"/>
      <c r="T35" s="14" t="n">
        <f aca="false">Q35+(R35*0.05)+(S35/240)</f>
        <v>0</v>
      </c>
      <c r="U35" s="14" t="n">
        <f aca="false">K35*P35</f>
        <v>0</v>
      </c>
      <c r="V35" s="18" t="n">
        <f aca="false">T35-U35</f>
        <v>0</v>
      </c>
      <c r="W35" s="19"/>
      <c r="X35" s="19"/>
    </row>
    <row r="36" customFormat="false" ht="16" hidden="false" customHeight="false" outlineLevel="0" collapsed="false">
      <c r="A36" s="8" t="s">
        <v>24</v>
      </c>
      <c r="B36" s="9" t="s">
        <v>25</v>
      </c>
      <c r="C36" s="9" t="s">
        <v>26</v>
      </c>
      <c r="D36" s="10" t="n">
        <v>1789</v>
      </c>
      <c r="E36" s="9" t="s">
        <v>27</v>
      </c>
      <c r="F36" s="9" t="s">
        <v>28</v>
      </c>
      <c r="G36" s="11" t="n">
        <v>2</v>
      </c>
      <c r="H36" s="12"/>
      <c r="I36" s="13"/>
      <c r="J36" s="13"/>
      <c r="K36" s="14"/>
      <c r="L36" s="15"/>
      <c r="M36" s="14"/>
      <c r="N36" s="14"/>
      <c r="O36" s="16"/>
      <c r="P36" s="17" t="n">
        <f aca="false">M36+(0.05*N36)+(O36/240)</f>
        <v>0</v>
      </c>
      <c r="Q36" s="14"/>
      <c r="R36" s="14"/>
      <c r="S36" s="14"/>
      <c r="T36" s="14" t="n">
        <f aca="false">Q36+(R36*0.05)+(S36/240)</f>
        <v>0</v>
      </c>
      <c r="U36" s="14" t="n">
        <f aca="false">K36*P36</f>
        <v>0</v>
      </c>
      <c r="V36" s="18" t="n">
        <f aca="false">T36-U36</f>
        <v>0</v>
      </c>
      <c r="W36" s="19"/>
      <c r="X36" s="19"/>
    </row>
    <row r="37" customFormat="false" ht="16" hidden="false" customHeight="false" outlineLevel="0" collapsed="false">
      <c r="A37" s="8" t="s">
        <v>24</v>
      </c>
      <c r="B37" s="9" t="s">
        <v>25</v>
      </c>
      <c r="C37" s="9" t="s">
        <v>26</v>
      </c>
      <c r="D37" s="10" t="n">
        <v>1789</v>
      </c>
      <c r="E37" s="9" t="s">
        <v>27</v>
      </c>
      <c r="F37" s="9" t="s">
        <v>28</v>
      </c>
      <c r="G37" s="11" t="n">
        <v>2</v>
      </c>
      <c r="H37" s="12"/>
      <c r="I37" s="13"/>
      <c r="J37" s="13"/>
      <c r="K37" s="14"/>
      <c r="L37" s="15"/>
      <c r="M37" s="14"/>
      <c r="N37" s="14"/>
      <c r="O37" s="16"/>
      <c r="P37" s="17" t="n">
        <f aca="false">M37+(0.05*N37)+(O37/240)</f>
        <v>0</v>
      </c>
      <c r="Q37" s="14"/>
      <c r="R37" s="14"/>
      <c r="S37" s="14"/>
      <c r="T37" s="14" t="n">
        <f aca="false">Q37+(R37*0.05)+(S37/240)</f>
        <v>0</v>
      </c>
      <c r="U37" s="14" t="n">
        <f aca="false">K37*P37</f>
        <v>0</v>
      </c>
      <c r="V37" s="18" t="n">
        <f aca="false">T37-U37</f>
        <v>0</v>
      </c>
      <c r="W37" s="19"/>
      <c r="X37" s="19"/>
    </row>
    <row r="38" customFormat="false" ht="16" hidden="false" customHeight="false" outlineLevel="0" collapsed="false">
      <c r="A38" s="8" t="s">
        <v>24</v>
      </c>
      <c r="B38" s="9" t="s">
        <v>25</v>
      </c>
      <c r="C38" s="9" t="s">
        <v>26</v>
      </c>
      <c r="D38" s="10" t="n">
        <v>1789</v>
      </c>
      <c r="E38" s="9" t="s">
        <v>27</v>
      </c>
      <c r="F38" s="9" t="s">
        <v>28</v>
      </c>
      <c r="G38" s="11" t="n">
        <v>2</v>
      </c>
      <c r="H38" s="12"/>
      <c r="I38" s="13"/>
      <c r="J38" s="13"/>
      <c r="K38" s="14"/>
      <c r="L38" s="15"/>
      <c r="M38" s="14"/>
      <c r="N38" s="14"/>
      <c r="O38" s="16"/>
      <c r="P38" s="17" t="n">
        <f aca="false">M38+(0.05*N38)+(O38/240)</f>
        <v>0</v>
      </c>
      <c r="Q38" s="14"/>
      <c r="R38" s="14"/>
      <c r="S38" s="14"/>
      <c r="T38" s="14" t="n">
        <f aca="false">Q38+(R38*0.05)+(S38/240)</f>
        <v>0</v>
      </c>
      <c r="U38" s="14" t="n">
        <f aca="false">K38*P38</f>
        <v>0</v>
      </c>
      <c r="V38" s="18" t="n">
        <f aca="false">T38-U38</f>
        <v>0</v>
      </c>
      <c r="W38" s="19"/>
      <c r="X38" s="19"/>
    </row>
    <row r="39" customFormat="false" ht="16" hidden="false" customHeight="false" outlineLevel="0" collapsed="false">
      <c r="A39" s="8" t="s">
        <v>24</v>
      </c>
      <c r="B39" s="9" t="s">
        <v>25</v>
      </c>
      <c r="C39" s="9" t="s">
        <v>26</v>
      </c>
      <c r="D39" s="10" t="n">
        <v>1789</v>
      </c>
      <c r="E39" s="9" t="s">
        <v>27</v>
      </c>
      <c r="F39" s="9" t="s">
        <v>28</v>
      </c>
      <c r="G39" s="11" t="n">
        <v>2</v>
      </c>
      <c r="H39" s="12"/>
      <c r="I39" s="13"/>
      <c r="J39" s="13"/>
      <c r="K39" s="14"/>
      <c r="L39" s="15"/>
      <c r="M39" s="14"/>
      <c r="N39" s="14"/>
      <c r="O39" s="16"/>
      <c r="P39" s="17" t="n">
        <f aca="false">M39+(0.05*N39)+(O39/240)</f>
        <v>0</v>
      </c>
      <c r="Q39" s="14"/>
      <c r="R39" s="14"/>
      <c r="S39" s="14"/>
      <c r="T39" s="14" t="n">
        <f aca="false">Q39+(R39*0.05)+(S39/240)</f>
        <v>0</v>
      </c>
      <c r="U39" s="14" t="n">
        <f aca="false">K39*P39</f>
        <v>0</v>
      </c>
      <c r="V39" s="18" t="n">
        <f aca="false">T39-U39</f>
        <v>0</v>
      </c>
      <c r="W39" s="19"/>
      <c r="X39" s="19"/>
    </row>
    <row r="40" customFormat="false" ht="16" hidden="false" customHeight="false" outlineLevel="0" collapsed="false">
      <c r="A40" s="8" t="s">
        <v>24</v>
      </c>
      <c r="B40" s="9" t="s">
        <v>25</v>
      </c>
      <c r="C40" s="9" t="s">
        <v>26</v>
      </c>
      <c r="D40" s="10" t="n">
        <v>1789</v>
      </c>
      <c r="E40" s="9" t="s">
        <v>27</v>
      </c>
      <c r="F40" s="9" t="s">
        <v>28</v>
      </c>
      <c r="G40" s="11" t="n">
        <v>2</v>
      </c>
      <c r="H40" s="12"/>
      <c r="I40" s="13"/>
      <c r="J40" s="13"/>
      <c r="K40" s="14"/>
      <c r="L40" s="15"/>
      <c r="M40" s="14"/>
      <c r="N40" s="14"/>
      <c r="O40" s="16"/>
      <c r="P40" s="17" t="n">
        <f aca="false">M40+(0.05*N40)+(O40/240)</f>
        <v>0</v>
      </c>
      <c r="Q40" s="14"/>
      <c r="R40" s="14"/>
      <c r="S40" s="14"/>
      <c r="T40" s="14" t="n">
        <f aca="false">Q40+(R40*0.05)+(S40/240)</f>
        <v>0</v>
      </c>
      <c r="U40" s="14" t="n">
        <f aca="false">K40*P40</f>
        <v>0</v>
      </c>
      <c r="V40" s="18" t="n">
        <f aca="false">T40-U40</f>
        <v>0</v>
      </c>
      <c r="W40" s="19"/>
      <c r="X40" s="19"/>
    </row>
    <row r="41" customFormat="false" ht="16" hidden="false" customHeight="false" outlineLevel="0" collapsed="false">
      <c r="A41" s="8" t="s">
        <v>24</v>
      </c>
      <c r="B41" s="9" t="s">
        <v>25</v>
      </c>
      <c r="C41" s="9" t="s">
        <v>26</v>
      </c>
      <c r="D41" s="10" t="n">
        <v>1789</v>
      </c>
      <c r="E41" s="9" t="s">
        <v>27</v>
      </c>
      <c r="F41" s="9" t="s">
        <v>28</v>
      </c>
      <c r="G41" s="11" t="n">
        <v>2</v>
      </c>
      <c r="H41" s="12"/>
      <c r="I41" s="13"/>
      <c r="J41" s="13"/>
      <c r="K41" s="14"/>
      <c r="L41" s="15"/>
      <c r="M41" s="14"/>
      <c r="N41" s="14"/>
      <c r="O41" s="16"/>
      <c r="P41" s="17" t="n">
        <f aca="false">M41+(0.05*N41)+(O41/240)</f>
        <v>0</v>
      </c>
      <c r="Q41" s="14"/>
      <c r="R41" s="14"/>
      <c r="S41" s="14"/>
      <c r="T41" s="14" t="n">
        <f aca="false">Q41+(R41*0.05)+(S41/240)</f>
        <v>0</v>
      </c>
      <c r="U41" s="14" t="n">
        <f aca="false">K41*P41</f>
        <v>0</v>
      </c>
      <c r="V41" s="18" t="n">
        <f aca="false">T41-U41</f>
        <v>0</v>
      </c>
      <c r="W41" s="19"/>
      <c r="X41" s="19"/>
    </row>
    <row r="42" customFormat="false" ht="16" hidden="false" customHeight="false" outlineLevel="0" collapsed="false">
      <c r="A42" s="8" t="s">
        <v>24</v>
      </c>
      <c r="B42" s="9" t="s">
        <v>25</v>
      </c>
      <c r="C42" s="9" t="s">
        <v>26</v>
      </c>
      <c r="D42" s="10" t="n">
        <v>1789</v>
      </c>
      <c r="E42" s="9" t="s">
        <v>27</v>
      </c>
      <c r="F42" s="9" t="s">
        <v>28</v>
      </c>
      <c r="G42" s="11" t="n">
        <v>2</v>
      </c>
      <c r="H42" s="12"/>
      <c r="I42" s="13"/>
      <c r="J42" s="13"/>
      <c r="K42" s="14"/>
      <c r="L42" s="15"/>
      <c r="M42" s="14"/>
      <c r="N42" s="14"/>
      <c r="O42" s="16"/>
      <c r="P42" s="17" t="n">
        <f aca="false">M42+(0.05*N42)+(O42/240)</f>
        <v>0</v>
      </c>
      <c r="Q42" s="14"/>
      <c r="R42" s="14"/>
      <c r="S42" s="14"/>
      <c r="T42" s="14" t="n">
        <f aca="false">Q42+(R42*0.05)+(S42/240)</f>
        <v>0</v>
      </c>
      <c r="U42" s="14" t="n">
        <f aca="false">K42*P42</f>
        <v>0</v>
      </c>
      <c r="V42" s="18" t="n">
        <f aca="false">T42-U42</f>
        <v>0</v>
      </c>
      <c r="W42" s="19"/>
      <c r="X42" s="19"/>
    </row>
    <row r="43" customFormat="false" ht="16" hidden="false" customHeight="false" outlineLevel="0" collapsed="false">
      <c r="A43" s="8" t="s">
        <v>24</v>
      </c>
      <c r="B43" s="9" t="s">
        <v>25</v>
      </c>
      <c r="C43" s="9" t="s">
        <v>26</v>
      </c>
      <c r="D43" s="10" t="n">
        <v>1789</v>
      </c>
      <c r="E43" s="9" t="s">
        <v>27</v>
      </c>
      <c r="F43" s="9" t="s">
        <v>28</v>
      </c>
      <c r="G43" s="11" t="n">
        <v>2</v>
      </c>
      <c r="H43" s="12"/>
      <c r="I43" s="13"/>
      <c r="J43" s="13"/>
      <c r="K43" s="14"/>
      <c r="L43" s="15"/>
      <c r="M43" s="14"/>
      <c r="N43" s="14"/>
      <c r="O43" s="16"/>
      <c r="P43" s="17" t="n">
        <f aca="false">M43+(0.05*N43)+(O43/240)</f>
        <v>0</v>
      </c>
      <c r="Q43" s="14"/>
      <c r="R43" s="14"/>
      <c r="S43" s="14"/>
      <c r="T43" s="14" t="n">
        <f aca="false">Q43+(R43*0.05)+(S43/240)</f>
        <v>0</v>
      </c>
      <c r="U43" s="14" t="n">
        <f aca="false">K43*P43</f>
        <v>0</v>
      </c>
      <c r="V43" s="18" t="n">
        <f aca="false">T43-U43</f>
        <v>0</v>
      </c>
      <c r="W43" s="19"/>
      <c r="X43" s="19"/>
    </row>
    <row r="44" customFormat="false" ht="16" hidden="false" customHeight="false" outlineLevel="0" collapsed="false">
      <c r="A44" s="8" t="s">
        <v>24</v>
      </c>
      <c r="B44" s="9" t="s">
        <v>25</v>
      </c>
      <c r="C44" s="9" t="s">
        <v>26</v>
      </c>
      <c r="D44" s="10" t="n">
        <v>1789</v>
      </c>
      <c r="E44" s="9" t="s">
        <v>27</v>
      </c>
      <c r="F44" s="9" t="s">
        <v>28</v>
      </c>
      <c r="G44" s="11" t="n">
        <v>2</v>
      </c>
      <c r="H44" s="12"/>
      <c r="I44" s="13"/>
      <c r="J44" s="13"/>
      <c r="K44" s="14"/>
      <c r="L44" s="15"/>
      <c r="M44" s="14"/>
      <c r="N44" s="14"/>
      <c r="O44" s="16"/>
      <c r="P44" s="17" t="n">
        <f aca="false">M44+(0.05*N44)+(O44/240)</f>
        <v>0</v>
      </c>
      <c r="Q44" s="14"/>
      <c r="R44" s="14"/>
      <c r="S44" s="14"/>
      <c r="T44" s="14" t="n">
        <f aca="false">Q44+(R44*0.05)+(S44/240)</f>
        <v>0</v>
      </c>
      <c r="U44" s="14" t="n">
        <f aca="false">K44*P44</f>
        <v>0</v>
      </c>
      <c r="V44" s="18" t="n">
        <f aca="false">T44-U44</f>
        <v>0</v>
      </c>
      <c r="W44" s="19"/>
      <c r="X44" s="19"/>
    </row>
    <row r="45" customFormat="false" ht="16" hidden="false" customHeight="false" outlineLevel="0" collapsed="false">
      <c r="A45" s="8" t="s">
        <v>24</v>
      </c>
      <c r="B45" s="9" t="s">
        <v>25</v>
      </c>
      <c r="C45" s="9" t="s">
        <v>26</v>
      </c>
      <c r="D45" s="10" t="n">
        <v>1789</v>
      </c>
      <c r="E45" s="9" t="s">
        <v>27</v>
      </c>
      <c r="F45" s="9" t="s">
        <v>28</v>
      </c>
      <c r="G45" s="11" t="n">
        <v>2</v>
      </c>
      <c r="H45" s="12"/>
      <c r="I45" s="13"/>
      <c r="J45" s="13"/>
      <c r="K45" s="14"/>
      <c r="L45" s="15"/>
      <c r="M45" s="14"/>
      <c r="N45" s="14"/>
      <c r="O45" s="16"/>
      <c r="P45" s="17" t="n">
        <f aca="false">M45+(0.05*N45)+(O45/240)</f>
        <v>0</v>
      </c>
      <c r="Q45" s="14"/>
      <c r="R45" s="14"/>
      <c r="S45" s="14"/>
      <c r="T45" s="14" t="n">
        <f aca="false">Q45+(R45*0.05)+(S45/240)</f>
        <v>0</v>
      </c>
      <c r="U45" s="14" t="n">
        <f aca="false">K45*P45</f>
        <v>0</v>
      </c>
      <c r="V45" s="18" t="n">
        <f aca="false">T45-U45</f>
        <v>0</v>
      </c>
      <c r="W45" s="19"/>
      <c r="X45" s="19"/>
    </row>
    <row r="46" customFormat="false" ht="16" hidden="false" customHeight="false" outlineLevel="0" collapsed="false">
      <c r="A46" s="8" t="s">
        <v>24</v>
      </c>
      <c r="B46" s="9" t="s">
        <v>25</v>
      </c>
      <c r="C46" s="9" t="s">
        <v>26</v>
      </c>
      <c r="D46" s="10" t="n">
        <v>1789</v>
      </c>
      <c r="E46" s="9" t="s">
        <v>27</v>
      </c>
      <c r="F46" s="9" t="s">
        <v>28</v>
      </c>
      <c r="G46" s="11" t="n">
        <v>2</v>
      </c>
      <c r="H46" s="12"/>
      <c r="I46" s="13"/>
      <c r="J46" s="13"/>
      <c r="K46" s="14"/>
      <c r="L46" s="15"/>
      <c r="M46" s="14"/>
      <c r="N46" s="14"/>
      <c r="O46" s="16"/>
      <c r="P46" s="17" t="n">
        <f aca="false">M46+(0.05*N46)+(O46/240)</f>
        <v>0</v>
      </c>
      <c r="Q46" s="14"/>
      <c r="R46" s="14"/>
      <c r="S46" s="14"/>
      <c r="T46" s="14" t="n">
        <f aca="false">Q46+(R46*0.05)+(S46/240)</f>
        <v>0</v>
      </c>
      <c r="U46" s="14" t="n">
        <f aca="false">K46*P46</f>
        <v>0</v>
      </c>
      <c r="V46" s="18" t="n">
        <f aca="false">T46-U46</f>
        <v>0</v>
      </c>
      <c r="W46" s="19"/>
      <c r="X46" s="19"/>
    </row>
    <row r="47" customFormat="false" ht="16" hidden="false" customHeight="false" outlineLevel="0" collapsed="false">
      <c r="A47" s="8" t="s">
        <v>24</v>
      </c>
      <c r="B47" s="9" t="s">
        <v>25</v>
      </c>
      <c r="C47" s="9" t="s">
        <v>26</v>
      </c>
      <c r="D47" s="10" t="n">
        <v>1789</v>
      </c>
      <c r="E47" s="9" t="s">
        <v>27</v>
      </c>
      <c r="F47" s="9" t="s">
        <v>28</v>
      </c>
      <c r="G47" s="11" t="n">
        <v>2</v>
      </c>
      <c r="H47" s="12"/>
      <c r="I47" s="13"/>
      <c r="J47" s="13"/>
      <c r="K47" s="14"/>
      <c r="L47" s="15"/>
      <c r="M47" s="14"/>
      <c r="N47" s="14"/>
      <c r="O47" s="16"/>
      <c r="P47" s="17" t="n">
        <f aca="false">M47+(0.05*N47)+(O47/240)</f>
        <v>0</v>
      </c>
      <c r="Q47" s="14"/>
      <c r="R47" s="14"/>
      <c r="S47" s="14"/>
      <c r="T47" s="14" t="n">
        <f aca="false">Q47+(R47*0.05)+(S47/240)</f>
        <v>0</v>
      </c>
      <c r="U47" s="14" t="n">
        <f aca="false">K47*P47</f>
        <v>0</v>
      </c>
      <c r="V47" s="18" t="n">
        <f aca="false">T47-U47</f>
        <v>0</v>
      </c>
      <c r="W47" s="19"/>
      <c r="X47" s="19"/>
    </row>
    <row r="48" customFormat="false" ht="16" hidden="false" customHeight="false" outlineLevel="0" collapsed="false">
      <c r="A48" s="8" t="s">
        <v>24</v>
      </c>
      <c r="B48" s="9" t="s">
        <v>25</v>
      </c>
      <c r="C48" s="9" t="s">
        <v>26</v>
      </c>
      <c r="D48" s="10" t="n">
        <v>1789</v>
      </c>
      <c r="E48" s="9" t="s">
        <v>27</v>
      </c>
      <c r="F48" s="9" t="s">
        <v>28</v>
      </c>
      <c r="G48" s="11" t="n">
        <v>2</v>
      </c>
      <c r="H48" s="12"/>
      <c r="I48" s="13"/>
      <c r="J48" s="13"/>
      <c r="K48" s="14"/>
      <c r="L48" s="15"/>
      <c r="M48" s="14"/>
      <c r="N48" s="14"/>
      <c r="O48" s="16"/>
      <c r="P48" s="17" t="n">
        <f aca="false">M48+(0.05*N48)+(O48/240)</f>
        <v>0</v>
      </c>
      <c r="Q48" s="14"/>
      <c r="R48" s="14"/>
      <c r="S48" s="14"/>
      <c r="T48" s="14" t="n">
        <f aca="false">Q48+(R48*0.05)+(S48/240)</f>
        <v>0</v>
      </c>
      <c r="U48" s="14" t="n">
        <f aca="false">K48*P48</f>
        <v>0</v>
      </c>
      <c r="V48" s="18" t="n">
        <f aca="false">T48-U48</f>
        <v>0</v>
      </c>
      <c r="W48" s="19"/>
      <c r="X48" s="19"/>
    </row>
    <row r="49" customFormat="false" ht="16" hidden="false" customHeight="false" outlineLevel="0" collapsed="false">
      <c r="A49" s="8" t="s">
        <v>24</v>
      </c>
      <c r="B49" s="9" t="s">
        <v>25</v>
      </c>
      <c r="C49" s="9" t="s">
        <v>26</v>
      </c>
      <c r="D49" s="10" t="n">
        <v>1789</v>
      </c>
      <c r="E49" s="9" t="s">
        <v>27</v>
      </c>
      <c r="F49" s="9" t="s">
        <v>28</v>
      </c>
      <c r="G49" s="11" t="n">
        <v>2</v>
      </c>
      <c r="H49" s="12"/>
      <c r="I49" s="13"/>
      <c r="J49" s="13"/>
      <c r="K49" s="14"/>
      <c r="L49" s="15"/>
      <c r="M49" s="14"/>
      <c r="N49" s="14"/>
      <c r="O49" s="16"/>
      <c r="P49" s="17" t="n">
        <f aca="false">M49+(0.05*N49)+(O49/240)</f>
        <v>0</v>
      </c>
      <c r="Q49" s="14"/>
      <c r="R49" s="14"/>
      <c r="S49" s="14"/>
      <c r="T49" s="14" t="n">
        <f aca="false">Q49+(R49*0.05)+(S49/240)</f>
        <v>0</v>
      </c>
      <c r="U49" s="14" t="n">
        <f aca="false">K49*P49</f>
        <v>0</v>
      </c>
      <c r="V49" s="18" t="n">
        <f aca="false">T49-U49</f>
        <v>0</v>
      </c>
      <c r="W49" s="19"/>
      <c r="X49" s="19"/>
    </row>
    <row r="50" customFormat="false" ht="16" hidden="false" customHeight="false" outlineLevel="0" collapsed="false">
      <c r="A50" s="8" t="s">
        <v>24</v>
      </c>
      <c r="B50" s="9" t="s">
        <v>25</v>
      </c>
      <c r="C50" s="9" t="s">
        <v>26</v>
      </c>
      <c r="D50" s="10" t="n">
        <v>1789</v>
      </c>
      <c r="E50" s="9" t="s">
        <v>27</v>
      </c>
      <c r="F50" s="9" t="s">
        <v>28</v>
      </c>
      <c r="G50" s="11" t="n">
        <v>2</v>
      </c>
      <c r="H50" s="12"/>
      <c r="I50" s="13"/>
      <c r="J50" s="13"/>
      <c r="K50" s="14"/>
      <c r="L50" s="15"/>
      <c r="M50" s="14"/>
      <c r="N50" s="14"/>
      <c r="O50" s="16"/>
      <c r="P50" s="17" t="n">
        <f aca="false">M50+(0.05*N50)+(O50/240)</f>
        <v>0</v>
      </c>
      <c r="Q50" s="14"/>
      <c r="R50" s="14"/>
      <c r="S50" s="14"/>
      <c r="T50" s="14" t="n">
        <f aca="false">Q50+(R50*0.05)+(S50/240)</f>
        <v>0</v>
      </c>
      <c r="U50" s="14" t="n">
        <f aca="false">K50*P50</f>
        <v>0</v>
      </c>
      <c r="V50" s="18" t="n">
        <f aca="false">T50-U50</f>
        <v>0</v>
      </c>
      <c r="W50" s="19"/>
      <c r="X50" s="19"/>
    </row>
    <row r="51" customFormat="false" ht="16" hidden="false" customHeight="false" outlineLevel="0" collapsed="false">
      <c r="A51" s="8" t="s">
        <v>24</v>
      </c>
      <c r="B51" s="9" t="s">
        <v>25</v>
      </c>
      <c r="C51" s="9" t="s">
        <v>26</v>
      </c>
      <c r="D51" s="10" t="n">
        <v>1789</v>
      </c>
      <c r="E51" s="9" t="s">
        <v>27</v>
      </c>
      <c r="F51" s="9" t="s">
        <v>28</v>
      </c>
      <c r="G51" s="11" t="n">
        <v>2</v>
      </c>
      <c r="H51" s="12"/>
      <c r="I51" s="13"/>
      <c r="J51" s="13"/>
      <c r="K51" s="14"/>
      <c r="L51" s="15"/>
      <c r="M51" s="14"/>
      <c r="N51" s="14"/>
      <c r="O51" s="16"/>
      <c r="P51" s="17" t="n">
        <f aca="false">M51+(0.05*N51)+(O51/240)</f>
        <v>0</v>
      </c>
      <c r="Q51" s="14"/>
      <c r="R51" s="14"/>
      <c r="S51" s="14"/>
      <c r="T51" s="14" t="n">
        <f aca="false">Q51+(R51*0.05)+(S51/240)</f>
        <v>0</v>
      </c>
      <c r="U51" s="14" t="n">
        <f aca="false">K51*P51</f>
        <v>0</v>
      </c>
      <c r="V51" s="18" t="n">
        <f aca="false">T51-U51</f>
        <v>0</v>
      </c>
      <c r="W51" s="19"/>
      <c r="X51" s="19"/>
    </row>
    <row r="52" customFormat="false" ht="16" hidden="false" customHeight="false" outlineLevel="0" collapsed="false">
      <c r="A52" s="8" t="s">
        <v>24</v>
      </c>
      <c r="B52" s="9" t="s">
        <v>25</v>
      </c>
      <c r="C52" s="9" t="s">
        <v>26</v>
      </c>
      <c r="D52" s="10" t="n">
        <v>1789</v>
      </c>
      <c r="E52" s="9" t="s">
        <v>27</v>
      </c>
      <c r="F52" s="9" t="s">
        <v>28</v>
      </c>
      <c r="G52" s="11" t="n">
        <v>2</v>
      </c>
      <c r="H52" s="12"/>
      <c r="I52" s="13"/>
      <c r="J52" s="13"/>
      <c r="K52" s="14"/>
      <c r="L52" s="15"/>
      <c r="M52" s="14"/>
      <c r="N52" s="14"/>
      <c r="O52" s="16"/>
      <c r="P52" s="17" t="n">
        <f aca="false">M52+(0.05*N52)+(O52/240)</f>
        <v>0</v>
      </c>
      <c r="Q52" s="14"/>
      <c r="R52" s="14"/>
      <c r="S52" s="14"/>
      <c r="T52" s="14" t="n">
        <f aca="false">Q52+(R52*0.05)+(S52/240)</f>
        <v>0</v>
      </c>
      <c r="U52" s="14" t="n">
        <f aca="false">K52*P52</f>
        <v>0</v>
      </c>
      <c r="V52" s="18" t="n">
        <f aca="false">T52-U52</f>
        <v>0</v>
      </c>
      <c r="W52" s="19"/>
      <c r="X52" s="19"/>
    </row>
    <row r="53" customFormat="false" ht="16" hidden="false" customHeight="false" outlineLevel="0" collapsed="false">
      <c r="A53" s="8" t="s">
        <v>24</v>
      </c>
      <c r="B53" s="9" t="s">
        <v>25</v>
      </c>
      <c r="C53" s="9" t="s">
        <v>26</v>
      </c>
      <c r="D53" s="10" t="n">
        <v>1789</v>
      </c>
      <c r="E53" s="9" t="s">
        <v>27</v>
      </c>
      <c r="F53" s="9" t="s">
        <v>28</v>
      </c>
      <c r="G53" s="11" t="n">
        <v>2</v>
      </c>
      <c r="H53" s="12"/>
      <c r="I53" s="13"/>
      <c r="J53" s="13"/>
      <c r="K53" s="14"/>
      <c r="L53" s="15"/>
      <c r="M53" s="14"/>
      <c r="N53" s="14"/>
      <c r="O53" s="16"/>
      <c r="P53" s="17" t="n">
        <f aca="false">M53+(0.05*N53)+(O53/240)</f>
        <v>0</v>
      </c>
      <c r="Q53" s="14"/>
      <c r="R53" s="14"/>
      <c r="S53" s="14"/>
      <c r="T53" s="14" t="n">
        <f aca="false">Q53+(R53*0.05)+(S53/240)</f>
        <v>0</v>
      </c>
      <c r="U53" s="14" t="n">
        <f aca="false">K53*P53</f>
        <v>0</v>
      </c>
      <c r="V53" s="18" t="n">
        <f aca="false">T53-U53</f>
        <v>0</v>
      </c>
      <c r="W53" s="19"/>
      <c r="X53" s="19"/>
    </row>
    <row r="54" customFormat="false" ht="16" hidden="false" customHeight="false" outlineLevel="0" collapsed="false">
      <c r="A54" s="8" t="s">
        <v>24</v>
      </c>
      <c r="B54" s="9" t="s">
        <v>25</v>
      </c>
      <c r="C54" s="9" t="s">
        <v>26</v>
      </c>
      <c r="D54" s="10" t="n">
        <v>1789</v>
      </c>
      <c r="E54" s="9" t="s">
        <v>27</v>
      </c>
      <c r="F54" s="9" t="s">
        <v>28</v>
      </c>
      <c r="G54" s="11" t="n">
        <v>2</v>
      </c>
      <c r="H54" s="12"/>
      <c r="I54" s="13"/>
      <c r="J54" s="13"/>
      <c r="K54" s="14"/>
      <c r="L54" s="15"/>
      <c r="M54" s="14"/>
      <c r="N54" s="14"/>
      <c r="O54" s="16"/>
      <c r="P54" s="17" t="n">
        <f aca="false">M54+(0.05*N54)+(O54/240)</f>
        <v>0</v>
      </c>
      <c r="Q54" s="14"/>
      <c r="R54" s="14"/>
      <c r="S54" s="14"/>
      <c r="T54" s="14" t="n">
        <f aca="false">Q54+(R54*0.05)+(S54/240)</f>
        <v>0</v>
      </c>
      <c r="U54" s="14" t="n">
        <f aca="false">K54*P54</f>
        <v>0</v>
      </c>
      <c r="V54" s="18" t="n">
        <f aca="false">T54-U54</f>
        <v>0</v>
      </c>
      <c r="W54" s="19"/>
      <c r="X54" s="19"/>
    </row>
    <row r="55" customFormat="false" ht="16" hidden="false" customHeight="false" outlineLevel="0" collapsed="false">
      <c r="A55" s="8" t="s">
        <v>24</v>
      </c>
      <c r="B55" s="9" t="s">
        <v>25</v>
      </c>
      <c r="C55" s="9" t="s">
        <v>26</v>
      </c>
      <c r="D55" s="10" t="n">
        <v>1789</v>
      </c>
      <c r="E55" s="9" t="s">
        <v>27</v>
      </c>
      <c r="F55" s="9" t="s">
        <v>28</v>
      </c>
      <c r="G55" s="11" t="n">
        <v>2</v>
      </c>
      <c r="H55" s="12"/>
      <c r="I55" s="13"/>
      <c r="J55" s="13"/>
      <c r="K55" s="14"/>
      <c r="L55" s="15"/>
      <c r="M55" s="14"/>
      <c r="N55" s="14"/>
      <c r="O55" s="16"/>
      <c r="P55" s="17" t="n">
        <f aca="false">M55+(0.05*N55)+(O55/240)</f>
        <v>0</v>
      </c>
      <c r="Q55" s="14"/>
      <c r="R55" s="14"/>
      <c r="S55" s="14"/>
      <c r="T55" s="14" t="n">
        <f aca="false">Q55+(R55*0.05)+(S55/240)</f>
        <v>0</v>
      </c>
      <c r="U55" s="14" t="n">
        <f aca="false">K55*P55</f>
        <v>0</v>
      </c>
      <c r="V55" s="18" t="n">
        <f aca="false">T55-U55</f>
        <v>0</v>
      </c>
      <c r="W55" s="19"/>
      <c r="X55" s="19"/>
    </row>
    <row r="56" customFormat="false" ht="16" hidden="false" customHeight="false" outlineLevel="0" collapsed="false">
      <c r="A56" s="8" t="s">
        <v>24</v>
      </c>
      <c r="B56" s="9" t="s">
        <v>25</v>
      </c>
      <c r="C56" s="9" t="s">
        <v>26</v>
      </c>
      <c r="D56" s="10" t="n">
        <v>1789</v>
      </c>
      <c r="E56" s="9" t="s">
        <v>27</v>
      </c>
      <c r="F56" s="9" t="s">
        <v>28</v>
      </c>
      <c r="G56" s="11" t="n">
        <v>2</v>
      </c>
      <c r="H56" s="12"/>
      <c r="I56" s="13"/>
      <c r="J56" s="13"/>
      <c r="K56" s="14"/>
      <c r="L56" s="15"/>
      <c r="M56" s="14"/>
      <c r="N56" s="14"/>
      <c r="O56" s="16"/>
      <c r="P56" s="17" t="n">
        <f aca="false">M56+(0.05*N56)+(O56/240)</f>
        <v>0</v>
      </c>
      <c r="Q56" s="14"/>
      <c r="R56" s="14"/>
      <c r="S56" s="14"/>
      <c r="T56" s="14" t="n">
        <f aca="false">Q56+(R56*0.05)+(S56/240)</f>
        <v>0</v>
      </c>
      <c r="U56" s="14" t="n">
        <f aca="false">K56*P56</f>
        <v>0</v>
      </c>
      <c r="V56" s="18" t="n">
        <f aca="false">T56-U56</f>
        <v>0</v>
      </c>
      <c r="W56" s="19"/>
      <c r="X56" s="19"/>
    </row>
    <row r="57" customFormat="false" ht="16" hidden="false" customHeight="false" outlineLevel="0" collapsed="false">
      <c r="A57" s="8" t="s">
        <v>24</v>
      </c>
      <c r="B57" s="9" t="s">
        <v>25</v>
      </c>
      <c r="C57" s="9" t="s">
        <v>26</v>
      </c>
      <c r="D57" s="10" t="n">
        <v>1789</v>
      </c>
      <c r="E57" s="9" t="s">
        <v>27</v>
      </c>
      <c r="F57" s="9" t="s">
        <v>28</v>
      </c>
      <c r="G57" s="11" t="n">
        <v>2</v>
      </c>
      <c r="H57" s="12"/>
      <c r="I57" s="13"/>
      <c r="J57" s="13"/>
      <c r="K57" s="14"/>
      <c r="L57" s="15"/>
      <c r="M57" s="14"/>
      <c r="N57" s="14"/>
      <c r="O57" s="16"/>
      <c r="P57" s="17" t="n">
        <f aca="false">M57+(0.05*N57)+(O57/240)</f>
        <v>0</v>
      </c>
      <c r="Q57" s="14"/>
      <c r="R57" s="14"/>
      <c r="S57" s="14"/>
      <c r="T57" s="14" t="n">
        <f aca="false">Q57+(R57*0.05)+(S57/240)</f>
        <v>0</v>
      </c>
      <c r="U57" s="14" t="n">
        <f aca="false">K57*P57</f>
        <v>0</v>
      </c>
      <c r="V57" s="18" t="n">
        <f aca="false">T57-U57</f>
        <v>0</v>
      </c>
      <c r="W57" s="19"/>
      <c r="X57" s="19"/>
    </row>
    <row r="58" customFormat="false" ht="16" hidden="false" customHeight="false" outlineLevel="0" collapsed="false">
      <c r="A58" s="8" t="s">
        <v>24</v>
      </c>
      <c r="B58" s="9" t="s">
        <v>25</v>
      </c>
      <c r="C58" s="9" t="s">
        <v>26</v>
      </c>
      <c r="D58" s="10" t="n">
        <v>1789</v>
      </c>
      <c r="E58" s="9" t="s">
        <v>27</v>
      </c>
      <c r="F58" s="9" t="s">
        <v>28</v>
      </c>
      <c r="G58" s="11" t="n">
        <v>2</v>
      </c>
      <c r="H58" s="12"/>
      <c r="I58" s="13"/>
      <c r="J58" s="13"/>
      <c r="K58" s="14"/>
      <c r="L58" s="15"/>
      <c r="M58" s="14"/>
      <c r="N58" s="14"/>
      <c r="O58" s="16"/>
      <c r="P58" s="17" t="n">
        <f aca="false">M58+(0.05*N58)+(O58/240)</f>
        <v>0</v>
      </c>
      <c r="Q58" s="14"/>
      <c r="R58" s="14"/>
      <c r="S58" s="14"/>
      <c r="T58" s="14" t="n">
        <f aca="false">Q58+(R58*0.05)+(S58/240)</f>
        <v>0</v>
      </c>
      <c r="U58" s="14" t="n">
        <f aca="false">K58*P58</f>
        <v>0</v>
      </c>
      <c r="V58" s="18" t="n">
        <f aca="false">T58-U58</f>
        <v>0</v>
      </c>
      <c r="W58" s="19"/>
      <c r="X58" s="19"/>
    </row>
    <row r="59" customFormat="false" ht="16" hidden="false" customHeight="false" outlineLevel="0" collapsed="false">
      <c r="A59" s="8" t="s">
        <v>24</v>
      </c>
      <c r="B59" s="9" t="s">
        <v>25</v>
      </c>
      <c r="C59" s="9" t="s">
        <v>26</v>
      </c>
      <c r="D59" s="10" t="n">
        <v>1789</v>
      </c>
      <c r="E59" s="9" t="s">
        <v>27</v>
      </c>
      <c r="F59" s="9" t="s">
        <v>28</v>
      </c>
      <c r="G59" s="11" t="n">
        <v>2</v>
      </c>
      <c r="H59" s="12"/>
      <c r="I59" s="13"/>
      <c r="J59" s="13"/>
      <c r="K59" s="14"/>
      <c r="L59" s="15"/>
      <c r="M59" s="14"/>
      <c r="N59" s="14"/>
      <c r="O59" s="16"/>
      <c r="P59" s="17" t="n">
        <f aca="false">M59+(0.05*N59)+(O59/240)</f>
        <v>0</v>
      </c>
      <c r="Q59" s="14"/>
      <c r="R59" s="14"/>
      <c r="S59" s="14"/>
      <c r="T59" s="14" t="n">
        <f aca="false">Q59+(R59*0.05)+(S59/240)</f>
        <v>0</v>
      </c>
      <c r="U59" s="14" t="n">
        <f aca="false">K59*P59</f>
        <v>0</v>
      </c>
      <c r="V59" s="18" t="n">
        <f aca="false">T59-U59</f>
        <v>0</v>
      </c>
      <c r="W59" s="19"/>
      <c r="X59" s="19"/>
    </row>
    <row r="60" customFormat="false" ht="16" hidden="false" customHeight="false" outlineLevel="0" collapsed="false">
      <c r="A60" s="8" t="s">
        <v>24</v>
      </c>
      <c r="B60" s="9" t="s">
        <v>25</v>
      </c>
      <c r="C60" s="9" t="s">
        <v>26</v>
      </c>
      <c r="D60" s="10" t="n">
        <v>1789</v>
      </c>
      <c r="E60" s="9" t="s">
        <v>27</v>
      </c>
      <c r="F60" s="9" t="s">
        <v>28</v>
      </c>
      <c r="G60" s="11" t="n">
        <v>2</v>
      </c>
      <c r="H60" s="12"/>
      <c r="I60" s="13"/>
      <c r="J60" s="13"/>
      <c r="K60" s="14"/>
      <c r="L60" s="15"/>
      <c r="M60" s="14"/>
      <c r="N60" s="14"/>
      <c r="O60" s="16"/>
      <c r="P60" s="17" t="n">
        <f aca="false">M60+(0.05*N60)+(O60/240)</f>
        <v>0</v>
      </c>
      <c r="Q60" s="14"/>
      <c r="R60" s="14"/>
      <c r="S60" s="14"/>
      <c r="T60" s="14" t="n">
        <f aca="false">Q60+(R60*0.05)+(S60/240)</f>
        <v>0</v>
      </c>
      <c r="U60" s="14" t="n">
        <f aca="false">K60*P60</f>
        <v>0</v>
      </c>
      <c r="V60" s="18" t="n">
        <f aca="false">T60-U60</f>
        <v>0</v>
      </c>
      <c r="W60" s="19"/>
      <c r="X60" s="19"/>
    </row>
    <row r="61" customFormat="false" ht="16" hidden="false" customHeight="false" outlineLevel="0" collapsed="false">
      <c r="A61" s="8" t="s">
        <v>24</v>
      </c>
      <c r="B61" s="9" t="s">
        <v>25</v>
      </c>
      <c r="C61" s="9" t="s">
        <v>26</v>
      </c>
      <c r="D61" s="10" t="n">
        <v>1789</v>
      </c>
      <c r="E61" s="9" t="s">
        <v>27</v>
      </c>
      <c r="F61" s="9" t="s">
        <v>28</v>
      </c>
      <c r="G61" s="11" t="n">
        <v>2</v>
      </c>
      <c r="H61" s="12"/>
      <c r="I61" s="13"/>
      <c r="J61" s="13"/>
      <c r="K61" s="14"/>
      <c r="L61" s="15"/>
      <c r="M61" s="14"/>
      <c r="N61" s="14"/>
      <c r="O61" s="16"/>
      <c r="P61" s="17" t="n">
        <f aca="false">M61+(0.05*N61)+(O61/240)</f>
        <v>0</v>
      </c>
      <c r="Q61" s="14"/>
      <c r="R61" s="14"/>
      <c r="S61" s="14"/>
      <c r="T61" s="14" t="n">
        <f aca="false">Q61+(R61*0.05)+(S61/240)</f>
        <v>0</v>
      </c>
      <c r="U61" s="14" t="n">
        <f aca="false">K61*P61</f>
        <v>0</v>
      </c>
      <c r="V61" s="18" t="n">
        <f aca="false">T61-U61</f>
        <v>0</v>
      </c>
      <c r="W61" s="19"/>
      <c r="X61" s="19"/>
    </row>
    <row r="62" customFormat="false" ht="16" hidden="false" customHeight="false" outlineLevel="0" collapsed="false">
      <c r="A62" s="8" t="s">
        <v>24</v>
      </c>
      <c r="B62" s="9" t="s">
        <v>25</v>
      </c>
      <c r="C62" s="9" t="s">
        <v>26</v>
      </c>
      <c r="D62" s="10" t="n">
        <v>1789</v>
      </c>
      <c r="E62" s="9" t="s">
        <v>27</v>
      </c>
      <c r="F62" s="9" t="s">
        <v>28</v>
      </c>
      <c r="G62" s="11" t="n">
        <v>2</v>
      </c>
      <c r="H62" s="12"/>
      <c r="I62" s="13"/>
      <c r="J62" s="13"/>
      <c r="K62" s="14"/>
      <c r="L62" s="15"/>
      <c r="M62" s="14"/>
      <c r="N62" s="14"/>
      <c r="O62" s="16"/>
      <c r="P62" s="17" t="n">
        <f aca="false">M62+(0.05*N62)+(O62/240)</f>
        <v>0</v>
      </c>
      <c r="Q62" s="14"/>
      <c r="R62" s="14"/>
      <c r="S62" s="14"/>
      <c r="T62" s="14" t="n">
        <f aca="false">Q62+(R62*0.05)+(S62/240)</f>
        <v>0</v>
      </c>
      <c r="U62" s="14" t="n">
        <f aca="false">K62*P62</f>
        <v>0</v>
      </c>
      <c r="V62" s="18" t="n">
        <f aca="false">T62-U62</f>
        <v>0</v>
      </c>
      <c r="W62" s="19"/>
      <c r="X62" s="19"/>
    </row>
    <row r="63" customFormat="false" ht="16" hidden="false" customHeight="false" outlineLevel="0" collapsed="false">
      <c r="A63" s="8" t="s">
        <v>24</v>
      </c>
      <c r="B63" s="9" t="s">
        <v>25</v>
      </c>
      <c r="C63" s="9" t="s">
        <v>26</v>
      </c>
      <c r="D63" s="10" t="n">
        <v>1789</v>
      </c>
      <c r="E63" s="9" t="s">
        <v>27</v>
      </c>
      <c r="F63" s="9" t="s">
        <v>28</v>
      </c>
      <c r="G63" s="11" t="n">
        <v>2</v>
      </c>
      <c r="H63" s="12"/>
      <c r="I63" s="13"/>
      <c r="J63" s="13"/>
      <c r="K63" s="14"/>
      <c r="L63" s="15"/>
      <c r="M63" s="14"/>
      <c r="N63" s="14"/>
      <c r="O63" s="16"/>
      <c r="P63" s="17" t="n">
        <f aca="false">M63+(0.05*N63)+(O63/240)</f>
        <v>0</v>
      </c>
      <c r="Q63" s="14"/>
      <c r="R63" s="14"/>
      <c r="S63" s="14"/>
      <c r="T63" s="14" t="n">
        <f aca="false">Q63+(R63*0.05)+(S63/240)</f>
        <v>0</v>
      </c>
      <c r="U63" s="14" t="n">
        <f aca="false">K63*P63</f>
        <v>0</v>
      </c>
      <c r="V63" s="18" t="n">
        <f aca="false">T63-U63</f>
        <v>0</v>
      </c>
      <c r="W63" s="19"/>
      <c r="X63" s="19"/>
    </row>
    <row r="64" customFormat="false" ht="16" hidden="false" customHeight="false" outlineLevel="0" collapsed="false">
      <c r="A64" s="8" t="s">
        <v>24</v>
      </c>
      <c r="B64" s="9" t="s">
        <v>25</v>
      </c>
      <c r="C64" s="9" t="s">
        <v>26</v>
      </c>
      <c r="D64" s="10" t="n">
        <v>1789</v>
      </c>
      <c r="E64" s="9" t="s">
        <v>27</v>
      </c>
      <c r="F64" s="9" t="s">
        <v>28</v>
      </c>
      <c r="G64" s="11" t="n">
        <v>2</v>
      </c>
      <c r="H64" s="12"/>
      <c r="I64" s="13"/>
      <c r="J64" s="13"/>
      <c r="K64" s="14"/>
      <c r="L64" s="15"/>
      <c r="M64" s="14"/>
      <c r="N64" s="14"/>
      <c r="O64" s="16"/>
      <c r="P64" s="17" t="n">
        <f aca="false">M64+(0.05*N64)+(O64/240)</f>
        <v>0</v>
      </c>
      <c r="Q64" s="14"/>
      <c r="R64" s="14"/>
      <c r="S64" s="14"/>
      <c r="T64" s="14" t="n">
        <f aca="false">Q64+(R64*0.05)+(S64/240)</f>
        <v>0</v>
      </c>
      <c r="U64" s="14" t="n">
        <f aca="false">K64*P64</f>
        <v>0</v>
      </c>
      <c r="V64" s="18" t="n">
        <f aca="false">T64-U64</f>
        <v>0</v>
      </c>
      <c r="W64" s="19"/>
      <c r="X64" s="19"/>
    </row>
    <row r="65" customFormat="false" ht="16" hidden="false" customHeight="false" outlineLevel="0" collapsed="false">
      <c r="A65" s="8" t="s">
        <v>24</v>
      </c>
      <c r="B65" s="9" t="s">
        <v>25</v>
      </c>
      <c r="C65" s="9" t="s">
        <v>26</v>
      </c>
      <c r="D65" s="10" t="n">
        <v>1789</v>
      </c>
      <c r="E65" s="9" t="s">
        <v>27</v>
      </c>
      <c r="F65" s="9" t="s">
        <v>28</v>
      </c>
      <c r="G65" s="11" t="n">
        <v>2</v>
      </c>
      <c r="H65" s="12"/>
      <c r="I65" s="13"/>
      <c r="J65" s="13"/>
      <c r="K65" s="14"/>
      <c r="L65" s="15"/>
      <c r="M65" s="14"/>
      <c r="N65" s="14"/>
      <c r="O65" s="16"/>
      <c r="P65" s="17" t="n">
        <f aca="false">M65+(0.05*N65)+(O65/240)</f>
        <v>0</v>
      </c>
      <c r="Q65" s="14"/>
      <c r="R65" s="14"/>
      <c r="S65" s="14"/>
      <c r="T65" s="14" t="n">
        <f aca="false">Q65+(R65*0.05)+(S65/240)</f>
        <v>0</v>
      </c>
      <c r="U65" s="14" t="n">
        <f aca="false">K65*P65</f>
        <v>0</v>
      </c>
      <c r="V65" s="18" t="n">
        <f aca="false">T65-U65</f>
        <v>0</v>
      </c>
      <c r="W65" s="19"/>
      <c r="X65" s="19"/>
    </row>
    <row r="66" customFormat="false" ht="16" hidden="false" customHeight="false" outlineLevel="0" collapsed="false">
      <c r="A66" s="8" t="s">
        <v>24</v>
      </c>
      <c r="B66" s="9" t="s">
        <v>25</v>
      </c>
      <c r="C66" s="9" t="s">
        <v>26</v>
      </c>
      <c r="D66" s="10" t="n">
        <v>1789</v>
      </c>
      <c r="E66" s="9" t="s">
        <v>27</v>
      </c>
      <c r="F66" s="9" t="s">
        <v>28</v>
      </c>
      <c r="G66" s="11" t="n">
        <v>2</v>
      </c>
      <c r="H66" s="12"/>
      <c r="I66" s="13"/>
      <c r="J66" s="13"/>
      <c r="K66" s="14"/>
      <c r="L66" s="15"/>
      <c r="M66" s="14"/>
      <c r="N66" s="14"/>
      <c r="O66" s="16"/>
      <c r="P66" s="17" t="n">
        <f aca="false">M66+(0.05*N66)+(O66/240)</f>
        <v>0</v>
      </c>
      <c r="Q66" s="14"/>
      <c r="R66" s="14"/>
      <c r="S66" s="14"/>
      <c r="T66" s="14" t="n">
        <f aca="false">Q66+(R66*0.05)+(S66/240)</f>
        <v>0</v>
      </c>
      <c r="U66" s="14" t="n">
        <f aca="false">K66*P66</f>
        <v>0</v>
      </c>
      <c r="V66" s="18" t="n">
        <f aca="false">T66-U66</f>
        <v>0</v>
      </c>
      <c r="W66" s="19"/>
      <c r="X66" s="19"/>
    </row>
    <row r="67" customFormat="false" ht="16" hidden="false" customHeight="false" outlineLevel="0" collapsed="false">
      <c r="A67" s="8" t="s">
        <v>24</v>
      </c>
      <c r="B67" s="9" t="s">
        <v>25</v>
      </c>
      <c r="C67" s="9" t="s">
        <v>26</v>
      </c>
      <c r="D67" s="10" t="n">
        <v>1789</v>
      </c>
      <c r="E67" s="9" t="s">
        <v>27</v>
      </c>
      <c r="F67" s="9" t="s">
        <v>28</v>
      </c>
      <c r="G67" s="11" t="n">
        <v>2</v>
      </c>
      <c r="H67" s="12"/>
      <c r="I67" s="13"/>
      <c r="J67" s="13"/>
      <c r="K67" s="14"/>
      <c r="L67" s="15"/>
      <c r="M67" s="14"/>
      <c r="N67" s="14"/>
      <c r="O67" s="16"/>
      <c r="P67" s="17" t="n">
        <f aca="false">M67+(0.05*N67)+(O67/240)</f>
        <v>0</v>
      </c>
      <c r="Q67" s="14"/>
      <c r="R67" s="14"/>
      <c r="S67" s="14"/>
      <c r="T67" s="14" t="n">
        <f aca="false">Q67+(R67*0.05)+(S67/240)</f>
        <v>0</v>
      </c>
      <c r="U67" s="14" t="n">
        <f aca="false">K67*P67</f>
        <v>0</v>
      </c>
      <c r="V67" s="18" t="n">
        <f aca="false">T67-U67</f>
        <v>0</v>
      </c>
      <c r="W67" s="19"/>
      <c r="X67" s="19"/>
    </row>
    <row r="68" customFormat="false" ht="16" hidden="false" customHeight="false" outlineLevel="0" collapsed="false">
      <c r="A68" s="8" t="s">
        <v>24</v>
      </c>
      <c r="B68" s="9" t="s">
        <v>25</v>
      </c>
      <c r="C68" s="9" t="s">
        <v>26</v>
      </c>
      <c r="D68" s="10" t="n">
        <v>1789</v>
      </c>
      <c r="E68" s="9" t="s">
        <v>27</v>
      </c>
      <c r="F68" s="9" t="s">
        <v>28</v>
      </c>
      <c r="G68" s="11" t="n">
        <v>2</v>
      </c>
      <c r="H68" s="12"/>
      <c r="I68" s="13"/>
      <c r="J68" s="13"/>
      <c r="K68" s="14"/>
      <c r="L68" s="15"/>
      <c r="M68" s="14"/>
      <c r="N68" s="14"/>
      <c r="O68" s="16"/>
      <c r="P68" s="17" t="n">
        <f aca="false">M68+(0.05*N68)+(O68/240)</f>
        <v>0</v>
      </c>
      <c r="Q68" s="14"/>
      <c r="R68" s="14"/>
      <c r="S68" s="14"/>
      <c r="T68" s="14" t="n">
        <f aca="false">Q68+(R68*0.05)+(S68/240)</f>
        <v>0</v>
      </c>
      <c r="U68" s="14" t="n">
        <f aca="false">K68*P68</f>
        <v>0</v>
      </c>
      <c r="V68" s="18" t="n">
        <f aca="false">T68-U68</f>
        <v>0</v>
      </c>
      <c r="W68" s="19"/>
      <c r="X68" s="19"/>
    </row>
    <row r="69" customFormat="false" ht="16" hidden="false" customHeight="false" outlineLevel="0" collapsed="false">
      <c r="A69" s="8" t="s">
        <v>24</v>
      </c>
      <c r="B69" s="9" t="s">
        <v>25</v>
      </c>
      <c r="C69" s="9" t="s">
        <v>26</v>
      </c>
      <c r="D69" s="10" t="n">
        <v>1789</v>
      </c>
      <c r="E69" s="9" t="s">
        <v>27</v>
      </c>
      <c r="F69" s="9" t="s">
        <v>28</v>
      </c>
      <c r="G69" s="11" t="n">
        <v>2</v>
      </c>
      <c r="H69" s="12"/>
      <c r="I69" s="13"/>
      <c r="J69" s="13"/>
      <c r="K69" s="14"/>
      <c r="L69" s="15"/>
      <c r="M69" s="14"/>
      <c r="N69" s="14"/>
      <c r="O69" s="16"/>
      <c r="P69" s="17" t="n">
        <f aca="false">M69+(0.05*N69)+(O69/240)</f>
        <v>0</v>
      </c>
      <c r="Q69" s="14"/>
      <c r="R69" s="14"/>
      <c r="S69" s="14"/>
      <c r="T69" s="14" t="n">
        <f aca="false">Q69+(R69*0.05)+(S69/240)</f>
        <v>0</v>
      </c>
      <c r="U69" s="14" t="n">
        <f aca="false">K69*P69</f>
        <v>0</v>
      </c>
      <c r="V69" s="18" t="n">
        <f aca="false">T69-U69</f>
        <v>0</v>
      </c>
      <c r="W69" s="19"/>
      <c r="X69" s="19"/>
    </row>
    <row r="70" customFormat="false" ht="16" hidden="false" customHeight="false" outlineLevel="0" collapsed="false">
      <c r="A70" s="8" t="s">
        <v>24</v>
      </c>
      <c r="B70" s="9" t="s">
        <v>25</v>
      </c>
      <c r="C70" s="9" t="s">
        <v>26</v>
      </c>
      <c r="D70" s="10" t="n">
        <v>1789</v>
      </c>
      <c r="E70" s="9" t="s">
        <v>27</v>
      </c>
      <c r="F70" s="9" t="s">
        <v>28</v>
      </c>
      <c r="G70" s="11" t="n">
        <v>2</v>
      </c>
      <c r="H70" s="12"/>
      <c r="I70" s="13"/>
      <c r="J70" s="13"/>
      <c r="K70" s="14"/>
      <c r="L70" s="15"/>
      <c r="M70" s="14"/>
      <c r="N70" s="14"/>
      <c r="O70" s="16"/>
      <c r="P70" s="17" t="n">
        <f aca="false">M70+(0.05*N70)+(O70/240)</f>
        <v>0</v>
      </c>
      <c r="Q70" s="14"/>
      <c r="R70" s="14"/>
      <c r="S70" s="14"/>
      <c r="T70" s="14" t="n">
        <f aca="false">Q70+(R70*0.05)+(S70/240)</f>
        <v>0</v>
      </c>
      <c r="U70" s="14" t="n">
        <f aca="false">K70*P70</f>
        <v>0</v>
      </c>
      <c r="V70" s="18" t="n">
        <f aca="false">T70-U70</f>
        <v>0</v>
      </c>
      <c r="W70" s="19"/>
      <c r="X70" s="19"/>
    </row>
    <row r="71" customFormat="false" ht="16" hidden="false" customHeight="false" outlineLevel="0" collapsed="false">
      <c r="A71" s="8" t="s">
        <v>24</v>
      </c>
      <c r="B71" s="9" t="s">
        <v>25</v>
      </c>
      <c r="C71" s="9" t="s">
        <v>26</v>
      </c>
      <c r="D71" s="10" t="n">
        <v>1789</v>
      </c>
      <c r="E71" s="9" t="s">
        <v>27</v>
      </c>
      <c r="F71" s="9" t="s">
        <v>28</v>
      </c>
      <c r="G71" s="11" t="n">
        <v>2</v>
      </c>
      <c r="H71" s="12"/>
      <c r="I71" s="13"/>
      <c r="J71" s="13"/>
      <c r="K71" s="14"/>
      <c r="L71" s="15"/>
      <c r="M71" s="14"/>
      <c r="N71" s="14"/>
      <c r="O71" s="16"/>
      <c r="P71" s="17" t="n">
        <f aca="false">M71+(0.05*N71)+(O71/240)</f>
        <v>0</v>
      </c>
      <c r="Q71" s="14"/>
      <c r="R71" s="14"/>
      <c r="S71" s="14"/>
      <c r="T71" s="14" t="n">
        <f aca="false">Q71+(R71*0.05)+(S71/240)</f>
        <v>0</v>
      </c>
      <c r="U71" s="14" t="n">
        <f aca="false">K71*P71</f>
        <v>0</v>
      </c>
      <c r="V71" s="18" t="n">
        <f aca="false">T71-U71</f>
        <v>0</v>
      </c>
      <c r="W71" s="19"/>
      <c r="X71" s="19"/>
    </row>
    <row r="72" customFormat="false" ht="16" hidden="false" customHeight="false" outlineLevel="0" collapsed="false">
      <c r="A72" s="8" t="s">
        <v>24</v>
      </c>
      <c r="B72" s="9" t="s">
        <v>25</v>
      </c>
      <c r="C72" s="9" t="s">
        <v>26</v>
      </c>
      <c r="D72" s="10" t="n">
        <v>1789</v>
      </c>
      <c r="E72" s="9" t="s">
        <v>27</v>
      </c>
      <c r="F72" s="9" t="s">
        <v>28</v>
      </c>
      <c r="G72" s="11" t="n">
        <v>2</v>
      </c>
      <c r="H72" s="12"/>
      <c r="I72" s="13"/>
      <c r="J72" s="13"/>
      <c r="K72" s="14"/>
      <c r="L72" s="15"/>
      <c r="M72" s="14"/>
      <c r="N72" s="14"/>
      <c r="O72" s="16"/>
      <c r="P72" s="17" t="n">
        <f aca="false">M72+(0.05*N72)+(O72/240)</f>
        <v>0</v>
      </c>
      <c r="Q72" s="14"/>
      <c r="R72" s="14"/>
      <c r="S72" s="14"/>
      <c r="T72" s="14" t="n">
        <f aca="false">Q72+(R72*0.05)+(S72/240)</f>
        <v>0</v>
      </c>
      <c r="U72" s="14" t="n">
        <f aca="false">K72*P72</f>
        <v>0</v>
      </c>
      <c r="V72" s="18" t="n">
        <f aca="false">T72-U72</f>
        <v>0</v>
      </c>
      <c r="W72" s="19"/>
      <c r="X72" s="19"/>
    </row>
    <row r="73" customFormat="false" ht="16" hidden="false" customHeight="false" outlineLevel="0" collapsed="false">
      <c r="A73" s="8" t="s">
        <v>24</v>
      </c>
      <c r="B73" s="9" t="s">
        <v>25</v>
      </c>
      <c r="C73" s="9" t="s">
        <v>26</v>
      </c>
      <c r="D73" s="10" t="n">
        <v>1789</v>
      </c>
      <c r="E73" s="9" t="s">
        <v>27</v>
      </c>
      <c r="F73" s="9" t="s">
        <v>28</v>
      </c>
      <c r="G73" s="11" t="n">
        <v>2</v>
      </c>
      <c r="H73" s="12"/>
      <c r="I73" s="13"/>
      <c r="J73" s="13"/>
      <c r="K73" s="14"/>
      <c r="L73" s="15"/>
      <c r="M73" s="14"/>
      <c r="N73" s="14"/>
      <c r="O73" s="16"/>
      <c r="P73" s="17" t="n">
        <f aca="false">M73+(0.05*N73)+(O73/240)</f>
        <v>0</v>
      </c>
      <c r="Q73" s="14"/>
      <c r="R73" s="14"/>
      <c r="S73" s="14"/>
      <c r="T73" s="14" t="n">
        <f aca="false">Q73+(R73*0.05)+(S73/240)</f>
        <v>0</v>
      </c>
      <c r="U73" s="14" t="n">
        <f aca="false">K73*P73</f>
        <v>0</v>
      </c>
      <c r="V73" s="18" t="n">
        <f aca="false">T73-U73</f>
        <v>0</v>
      </c>
      <c r="W73" s="19"/>
      <c r="X73" s="19"/>
    </row>
    <row r="74" customFormat="false" ht="16" hidden="false" customHeight="false" outlineLevel="0" collapsed="false">
      <c r="A74" s="8" t="s">
        <v>24</v>
      </c>
      <c r="B74" s="9" t="s">
        <v>25</v>
      </c>
      <c r="C74" s="9" t="s">
        <v>26</v>
      </c>
      <c r="D74" s="10" t="n">
        <v>1789</v>
      </c>
      <c r="E74" s="9" t="s">
        <v>27</v>
      </c>
      <c r="F74" s="9" t="s">
        <v>28</v>
      </c>
      <c r="G74" s="11" t="n">
        <v>2</v>
      </c>
      <c r="H74" s="12"/>
      <c r="I74" s="13"/>
      <c r="J74" s="13"/>
      <c r="K74" s="14"/>
      <c r="L74" s="15"/>
      <c r="M74" s="14"/>
      <c r="N74" s="14"/>
      <c r="O74" s="16"/>
      <c r="P74" s="17" t="n">
        <f aca="false">M74+(0.05*N74)+(O74/240)</f>
        <v>0</v>
      </c>
      <c r="Q74" s="14"/>
      <c r="R74" s="14"/>
      <c r="S74" s="14"/>
      <c r="T74" s="14" t="n">
        <f aca="false">Q74+(R74*0.05)+(S74/240)</f>
        <v>0</v>
      </c>
      <c r="U74" s="14" t="n">
        <f aca="false">K74*P74</f>
        <v>0</v>
      </c>
      <c r="V74" s="18" t="n">
        <f aca="false">T74-U74</f>
        <v>0</v>
      </c>
      <c r="W74" s="19"/>
      <c r="X74" s="19"/>
    </row>
    <row r="75" customFormat="false" ht="16" hidden="false" customHeight="false" outlineLevel="0" collapsed="false">
      <c r="A75" s="8" t="s">
        <v>24</v>
      </c>
      <c r="B75" s="9" t="s">
        <v>25</v>
      </c>
      <c r="C75" s="9" t="s">
        <v>26</v>
      </c>
      <c r="D75" s="10" t="n">
        <v>1789</v>
      </c>
      <c r="E75" s="9" t="s">
        <v>27</v>
      </c>
      <c r="F75" s="9" t="s">
        <v>28</v>
      </c>
      <c r="G75" s="11" t="n">
        <v>2</v>
      </c>
      <c r="H75" s="12"/>
      <c r="I75" s="13"/>
      <c r="J75" s="13"/>
      <c r="K75" s="14"/>
      <c r="L75" s="15"/>
      <c r="M75" s="14"/>
      <c r="N75" s="14"/>
      <c r="O75" s="16"/>
      <c r="P75" s="17" t="n">
        <f aca="false">M75+(0.05*N75)+(O75/240)</f>
        <v>0</v>
      </c>
      <c r="Q75" s="14"/>
      <c r="R75" s="14"/>
      <c r="S75" s="14"/>
      <c r="T75" s="14" t="n">
        <f aca="false">Q75+(R75*0.05)+(S75/240)</f>
        <v>0</v>
      </c>
      <c r="U75" s="14" t="n">
        <f aca="false">K75*P75</f>
        <v>0</v>
      </c>
      <c r="V75" s="18" t="n">
        <f aca="false">T75-U75</f>
        <v>0</v>
      </c>
      <c r="W75" s="19"/>
      <c r="X75" s="19"/>
    </row>
    <row r="76" customFormat="false" ht="16" hidden="false" customHeight="false" outlineLevel="0" collapsed="false">
      <c r="A76" s="8" t="s">
        <v>24</v>
      </c>
      <c r="B76" s="9" t="s">
        <v>25</v>
      </c>
      <c r="C76" s="9" t="s">
        <v>26</v>
      </c>
      <c r="D76" s="10" t="n">
        <v>1789</v>
      </c>
      <c r="E76" s="9" t="s">
        <v>27</v>
      </c>
      <c r="F76" s="9" t="s">
        <v>28</v>
      </c>
      <c r="G76" s="11" t="n">
        <v>2</v>
      </c>
      <c r="H76" s="12"/>
      <c r="I76" s="13"/>
      <c r="J76" s="13"/>
      <c r="K76" s="14"/>
      <c r="L76" s="15"/>
      <c r="M76" s="14"/>
      <c r="N76" s="14"/>
      <c r="O76" s="16"/>
      <c r="P76" s="17" t="n">
        <f aca="false">M76+(0.05*N76)+(O76/240)</f>
        <v>0</v>
      </c>
      <c r="Q76" s="14"/>
      <c r="R76" s="14"/>
      <c r="S76" s="14"/>
      <c r="T76" s="14" t="n">
        <f aca="false">Q76+(R76*0.05)+(S76/240)</f>
        <v>0</v>
      </c>
      <c r="U76" s="14" t="n">
        <f aca="false">K76*P76</f>
        <v>0</v>
      </c>
      <c r="V76" s="18" t="n">
        <f aca="false">T76-U76</f>
        <v>0</v>
      </c>
      <c r="W76" s="19"/>
      <c r="X76" s="19"/>
    </row>
    <row r="77" customFormat="false" ht="16" hidden="false" customHeight="false" outlineLevel="0" collapsed="false">
      <c r="A77" s="8" t="s">
        <v>24</v>
      </c>
      <c r="B77" s="9" t="s">
        <v>25</v>
      </c>
      <c r="C77" s="9" t="s">
        <v>26</v>
      </c>
      <c r="D77" s="10" t="n">
        <v>1789</v>
      </c>
      <c r="E77" s="9" t="s">
        <v>27</v>
      </c>
      <c r="F77" s="9" t="s">
        <v>28</v>
      </c>
      <c r="G77" s="11" t="n">
        <v>2</v>
      </c>
      <c r="H77" s="12"/>
      <c r="I77" s="13"/>
      <c r="J77" s="13"/>
      <c r="K77" s="14"/>
      <c r="L77" s="15"/>
      <c r="M77" s="14"/>
      <c r="N77" s="14"/>
      <c r="O77" s="16"/>
      <c r="P77" s="17" t="n">
        <f aca="false">M77+(0.05*N77)+(O77/240)</f>
        <v>0</v>
      </c>
      <c r="Q77" s="14"/>
      <c r="R77" s="14"/>
      <c r="S77" s="14"/>
      <c r="T77" s="14" t="n">
        <f aca="false">Q77+(R77*0.05)+(S77/240)</f>
        <v>0</v>
      </c>
      <c r="U77" s="14" t="n">
        <f aca="false">K77*P77</f>
        <v>0</v>
      </c>
      <c r="V77" s="18" t="n">
        <f aca="false">T77-U77</f>
        <v>0</v>
      </c>
      <c r="W77" s="19"/>
      <c r="X77" s="19"/>
    </row>
    <row r="78" customFormat="false" ht="16" hidden="false" customHeight="false" outlineLevel="0" collapsed="false">
      <c r="A78" s="8" t="s">
        <v>24</v>
      </c>
      <c r="B78" s="9" t="s">
        <v>25</v>
      </c>
      <c r="C78" s="9" t="s">
        <v>26</v>
      </c>
      <c r="D78" s="10" t="n">
        <v>1789</v>
      </c>
      <c r="E78" s="9" t="s">
        <v>27</v>
      </c>
      <c r="F78" s="9" t="s">
        <v>28</v>
      </c>
      <c r="G78" s="11" t="n">
        <v>2</v>
      </c>
      <c r="H78" s="12"/>
      <c r="I78" s="13"/>
      <c r="J78" s="13"/>
      <c r="K78" s="14"/>
      <c r="L78" s="15"/>
      <c r="M78" s="14"/>
      <c r="N78" s="14"/>
      <c r="O78" s="16"/>
      <c r="P78" s="17" t="n">
        <f aca="false">M78+(0.05*N78)+(O78/240)</f>
        <v>0</v>
      </c>
      <c r="Q78" s="14"/>
      <c r="R78" s="14"/>
      <c r="S78" s="14"/>
      <c r="T78" s="14" t="n">
        <f aca="false">Q78+(R78*0.05)+(S78/240)</f>
        <v>0</v>
      </c>
      <c r="U78" s="14" t="n">
        <f aca="false">K78*P78</f>
        <v>0</v>
      </c>
      <c r="V78" s="18" t="n">
        <f aca="false">T78-U78</f>
        <v>0</v>
      </c>
      <c r="W78" s="19"/>
      <c r="X78" s="19"/>
    </row>
    <row r="79" customFormat="false" ht="16" hidden="false" customHeight="false" outlineLevel="0" collapsed="false">
      <c r="A79" s="8" t="s">
        <v>24</v>
      </c>
      <c r="B79" s="9" t="s">
        <v>25</v>
      </c>
      <c r="C79" s="9" t="s">
        <v>26</v>
      </c>
      <c r="D79" s="10" t="n">
        <v>1789</v>
      </c>
      <c r="E79" s="9" t="s">
        <v>27</v>
      </c>
      <c r="F79" s="9" t="s">
        <v>28</v>
      </c>
      <c r="G79" s="11" t="n">
        <v>2</v>
      </c>
      <c r="H79" s="12"/>
      <c r="I79" s="13"/>
      <c r="J79" s="13"/>
      <c r="K79" s="14"/>
      <c r="L79" s="15"/>
      <c r="M79" s="14"/>
      <c r="N79" s="14"/>
      <c r="O79" s="16"/>
      <c r="P79" s="17" t="n">
        <f aca="false">M79+(0.05*N79)+(O79/240)</f>
        <v>0</v>
      </c>
      <c r="Q79" s="14"/>
      <c r="R79" s="14"/>
      <c r="S79" s="14"/>
      <c r="T79" s="14" t="n">
        <f aca="false">Q79+(R79*0.05)+(S79/240)</f>
        <v>0</v>
      </c>
      <c r="U79" s="14" t="n">
        <f aca="false">K79*P79</f>
        <v>0</v>
      </c>
      <c r="V79" s="18" t="n">
        <f aca="false">T79-U79</f>
        <v>0</v>
      </c>
      <c r="W79" s="19"/>
      <c r="X79" s="19"/>
    </row>
    <row r="80" customFormat="false" ht="16" hidden="false" customHeight="false" outlineLevel="0" collapsed="false">
      <c r="A80" s="8" t="s">
        <v>24</v>
      </c>
      <c r="B80" s="9" t="s">
        <v>25</v>
      </c>
      <c r="C80" s="9" t="s">
        <v>26</v>
      </c>
      <c r="D80" s="10" t="n">
        <v>1789</v>
      </c>
      <c r="E80" s="9" t="s">
        <v>27</v>
      </c>
      <c r="F80" s="9" t="s">
        <v>28</v>
      </c>
      <c r="G80" s="11" t="n">
        <v>2</v>
      </c>
      <c r="H80" s="12"/>
      <c r="I80" s="13"/>
      <c r="J80" s="13"/>
      <c r="K80" s="14"/>
      <c r="L80" s="15"/>
      <c r="M80" s="14"/>
      <c r="N80" s="14"/>
      <c r="O80" s="16"/>
      <c r="P80" s="17" t="n">
        <f aca="false">M80+(0.05*N80)+(O80/240)</f>
        <v>0</v>
      </c>
      <c r="Q80" s="14"/>
      <c r="R80" s="14"/>
      <c r="S80" s="14"/>
      <c r="T80" s="14" t="n">
        <f aca="false">Q80+(R80*0.05)+(S80/240)</f>
        <v>0</v>
      </c>
      <c r="U80" s="14" t="n">
        <f aca="false">K80*P80</f>
        <v>0</v>
      </c>
      <c r="V80" s="18" t="n">
        <f aca="false">T80-U80</f>
        <v>0</v>
      </c>
      <c r="W80" s="19"/>
      <c r="X80" s="19"/>
    </row>
    <row r="81" customFormat="false" ht="16" hidden="false" customHeight="false" outlineLevel="0" collapsed="false">
      <c r="A81" s="8" t="s">
        <v>24</v>
      </c>
      <c r="B81" s="9" t="s">
        <v>25</v>
      </c>
      <c r="C81" s="9" t="s">
        <v>26</v>
      </c>
      <c r="D81" s="10" t="n">
        <v>1789</v>
      </c>
      <c r="E81" s="9" t="s">
        <v>27</v>
      </c>
      <c r="F81" s="9" t="s">
        <v>28</v>
      </c>
      <c r="G81" s="11" t="n">
        <v>2</v>
      </c>
      <c r="H81" s="12"/>
      <c r="I81" s="13"/>
      <c r="J81" s="13"/>
      <c r="K81" s="14"/>
      <c r="L81" s="15"/>
      <c r="M81" s="14"/>
      <c r="N81" s="14"/>
      <c r="O81" s="16"/>
      <c r="P81" s="17" t="n">
        <f aca="false">M81+(0.05*N81)+(O81/240)</f>
        <v>0</v>
      </c>
      <c r="Q81" s="14"/>
      <c r="R81" s="14"/>
      <c r="S81" s="14"/>
      <c r="T81" s="14" t="n">
        <f aca="false">Q81+(R81*0.05)+(S81/240)</f>
        <v>0</v>
      </c>
      <c r="U81" s="14" t="n">
        <f aca="false">K81*P81</f>
        <v>0</v>
      </c>
      <c r="V81" s="18" t="n">
        <f aca="false">T81-U81</f>
        <v>0</v>
      </c>
      <c r="W81" s="19"/>
      <c r="X81" s="19"/>
    </row>
    <row r="82" customFormat="false" ht="16" hidden="false" customHeight="false" outlineLevel="0" collapsed="false">
      <c r="A82" s="8" t="s">
        <v>24</v>
      </c>
      <c r="B82" s="9" t="s">
        <v>25</v>
      </c>
      <c r="C82" s="9" t="s">
        <v>26</v>
      </c>
      <c r="D82" s="10" t="n">
        <v>1789</v>
      </c>
      <c r="E82" s="9" t="s">
        <v>27</v>
      </c>
      <c r="F82" s="9" t="s">
        <v>28</v>
      </c>
      <c r="G82" s="11" t="n">
        <v>2</v>
      </c>
      <c r="H82" s="12"/>
      <c r="I82" s="13"/>
      <c r="J82" s="13"/>
      <c r="K82" s="14"/>
      <c r="L82" s="15"/>
      <c r="M82" s="14"/>
      <c r="N82" s="14"/>
      <c r="O82" s="16"/>
      <c r="P82" s="17" t="n">
        <f aca="false">M82+(0.05*N82)+(O82/240)</f>
        <v>0</v>
      </c>
      <c r="Q82" s="14"/>
      <c r="R82" s="14"/>
      <c r="S82" s="14"/>
      <c r="T82" s="14" t="n">
        <f aca="false">Q82+(R82*0.05)+(S82/240)</f>
        <v>0</v>
      </c>
      <c r="U82" s="14" t="n">
        <f aca="false">K82*P82</f>
        <v>0</v>
      </c>
      <c r="V82" s="18" t="n">
        <f aca="false">T82-U82</f>
        <v>0</v>
      </c>
      <c r="W82" s="19"/>
      <c r="X82" s="19"/>
    </row>
    <row r="83" customFormat="false" ht="16" hidden="false" customHeight="false" outlineLevel="0" collapsed="false">
      <c r="A83" s="8" t="s">
        <v>24</v>
      </c>
      <c r="B83" s="9" t="s">
        <v>25</v>
      </c>
      <c r="C83" s="9" t="s">
        <v>26</v>
      </c>
      <c r="D83" s="10" t="n">
        <v>1789</v>
      </c>
      <c r="E83" s="9" t="s">
        <v>27</v>
      </c>
      <c r="F83" s="9" t="s">
        <v>28</v>
      </c>
      <c r="G83" s="11" t="n">
        <v>2</v>
      </c>
      <c r="H83" s="12"/>
      <c r="I83" s="13"/>
      <c r="J83" s="13"/>
      <c r="K83" s="14"/>
      <c r="L83" s="15"/>
      <c r="M83" s="14"/>
      <c r="N83" s="14"/>
      <c r="O83" s="16"/>
      <c r="P83" s="17" t="n">
        <f aca="false">M83+(0.05*N83)+(O83/240)</f>
        <v>0</v>
      </c>
      <c r="Q83" s="14"/>
      <c r="R83" s="14"/>
      <c r="S83" s="14"/>
      <c r="T83" s="14" t="n">
        <f aca="false">Q83+(R83*0.05)+(S83/240)</f>
        <v>0</v>
      </c>
      <c r="U83" s="14" t="n">
        <f aca="false">K83*P83</f>
        <v>0</v>
      </c>
      <c r="V83" s="18" t="n">
        <f aca="false">T83-U83</f>
        <v>0</v>
      </c>
      <c r="W83" s="19"/>
      <c r="X83" s="19"/>
    </row>
    <row r="84" customFormat="false" ht="16" hidden="false" customHeight="false" outlineLevel="0" collapsed="false">
      <c r="A84" s="8" t="s">
        <v>24</v>
      </c>
      <c r="B84" s="9" t="s">
        <v>25</v>
      </c>
      <c r="C84" s="9" t="s">
        <v>26</v>
      </c>
      <c r="D84" s="10" t="n">
        <v>1789</v>
      </c>
      <c r="E84" s="9" t="s">
        <v>27</v>
      </c>
      <c r="F84" s="9" t="s">
        <v>28</v>
      </c>
      <c r="G84" s="11" t="n">
        <v>2</v>
      </c>
      <c r="H84" s="12"/>
      <c r="I84" s="13"/>
      <c r="J84" s="13"/>
      <c r="K84" s="14"/>
      <c r="L84" s="15"/>
      <c r="M84" s="14"/>
      <c r="N84" s="14"/>
      <c r="O84" s="16"/>
      <c r="P84" s="17" t="n">
        <f aca="false">M84+(0.05*N84)+(O84/240)</f>
        <v>0</v>
      </c>
      <c r="Q84" s="14"/>
      <c r="R84" s="14"/>
      <c r="S84" s="14"/>
      <c r="T84" s="14" t="n">
        <f aca="false">Q84+(R84*0.05)+(S84/240)</f>
        <v>0</v>
      </c>
      <c r="U84" s="14" t="n">
        <f aca="false">K84*P84</f>
        <v>0</v>
      </c>
      <c r="V84" s="18" t="n">
        <f aca="false">T84-U84</f>
        <v>0</v>
      </c>
      <c r="W84" s="19"/>
      <c r="X84" s="19"/>
    </row>
    <row r="85" customFormat="false" ht="16" hidden="false" customHeight="false" outlineLevel="0" collapsed="false">
      <c r="A85" s="8" t="s">
        <v>24</v>
      </c>
      <c r="B85" s="9" t="s">
        <v>25</v>
      </c>
      <c r="C85" s="9" t="s">
        <v>26</v>
      </c>
      <c r="D85" s="10" t="n">
        <v>1789</v>
      </c>
      <c r="E85" s="9" t="s">
        <v>27</v>
      </c>
      <c r="F85" s="9" t="s">
        <v>28</v>
      </c>
      <c r="G85" s="11" t="n">
        <v>2</v>
      </c>
      <c r="H85" s="12"/>
      <c r="I85" s="13"/>
      <c r="J85" s="13"/>
      <c r="K85" s="14"/>
      <c r="L85" s="15"/>
      <c r="M85" s="14"/>
      <c r="N85" s="14"/>
      <c r="O85" s="16"/>
      <c r="P85" s="17" t="n">
        <f aca="false">M85+(0.05*N85)+(O85/240)</f>
        <v>0</v>
      </c>
      <c r="Q85" s="14"/>
      <c r="R85" s="14"/>
      <c r="S85" s="14"/>
      <c r="T85" s="14" t="n">
        <f aca="false">Q85+(R85*0.05)+(S85/240)</f>
        <v>0</v>
      </c>
      <c r="U85" s="14" t="n">
        <f aca="false">K85*P85</f>
        <v>0</v>
      </c>
      <c r="V85" s="18" t="n">
        <f aca="false">T85-U85</f>
        <v>0</v>
      </c>
      <c r="W85" s="19"/>
      <c r="X85" s="19"/>
    </row>
    <row r="86" customFormat="false" ht="16" hidden="false" customHeight="false" outlineLevel="0" collapsed="false">
      <c r="A86" s="8" t="s">
        <v>24</v>
      </c>
      <c r="B86" s="9" t="s">
        <v>25</v>
      </c>
      <c r="C86" s="9" t="s">
        <v>26</v>
      </c>
      <c r="D86" s="10" t="n">
        <v>1789</v>
      </c>
      <c r="E86" s="9" t="s">
        <v>27</v>
      </c>
      <c r="F86" s="9" t="s">
        <v>28</v>
      </c>
      <c r="G86" s="11" t="n">
        <v>2</v>
      </c>
      <c r="H86" s="12"/>
      <c r="I86" s="13"/>
      <c r="J86" s="13"/>
      <c r="K86" s="14"/>
      <c r="L86" s="15"/>
      <c r="M86" s="14"/>
      <c r="N86" s="14"/>
      <c r="O86" s="16"/>
      <c r="P86" s="17" t="n">
        <f aca="false">M86+(0.05*N86)+(O86/240)</f>
        <v>0</v>
      </c>
      <c r="Q86" s="14"/>
      <c r="R86" s="14"/>
      <c r="S86" s="14"/>
      <c r="T86" s="14" t="n">
        <f aca="false">Q86+(R86*0.05)+(S86/240)</f>
        <v>0</v>
      </c>
      <c r="U86" s="14" t="n">
        <f aca="false">K86*P86</f>
        <v>0</v>
      </c>
      <c r="V86" s="18" t="n">
        <f aca="false">T86-U86</f>
        <v>0</v>
      </c>
      <c r="W86" s="19"/>
      <c r="X86" s="19"/>
    </row>
    <row r="87" customFormat="false" ht="16" hidden="false" customHeight="false" outlineLevel="0" collapsed="false">
      <c r="A87" s="8" t="s">
        <v>24</v>
      </c>
      <c r="B87" s="9" t="s">
        <v>25</v>
      </c>
      <c r="C87" s="9" t="s">
        <v>26</v>
      </c>
      <c r="D87" s="10" t="n">
        <v>1789</v>
      </c>
      <c r="E87" s="9" t="s">
        <v>27</v>
      </c>
      <c r="F87" s="9" t="s">
        <v>28</v>
      </c>
      <c r="G87" s="11" t="n">
        <v>2</v>
      </c>
      <c r="H87" s="12"/>
      <c r="I87" s="13"/>
      <c r="J87" s="13"/>
      <c r="K87" s="14"/>
      <c r="L87" s="15"/>
      <c r="M87" s="14"/>
      <c r="N87" s="14"/>
      <c r="O87" s="16"/>
      <c r="P87" s="17" t="n">
        <f aca="false">M87+(0.05*N87)+(O87/240)</f>
        <v>0</v>
      </c>
      <c r="Q87" s="14"/>
      <c r="R87" s="14"/>
      <c r="S87" s="14"/>
      <c r="T87" s="14" t="n">
        <f aca="false">Q87+(R87*0.05)+(S87/240)</f>
        <v>0</v>
      </c>
      <c r="U87" s="14" t="n">
        <f aca="false">K87*P87</f>
        <v>0</v>
      </c>
      <c r="V87" s="18" t="n">
        <f aca="false">T87-U87</f>
        <v>0</v>
      </c>
      <c r="W87" s="19"/>
      <c r="X87" s="19"/>
    </row>
    <row r="88" customFormat="false" ht="16" hidden="false" customHeight="false" outlineLevel="0" collapsed="false">
      <c r="A88" s="8" t="s">
        <v>24</v>
      </c>
      <c r="B88" s="9" t="s">
        <v>25</v>
      </c>
      <c r="C88" s="9" t="s">
        <v>26</v>
      </c>
      <c r="D88" s="10" t="n">
        <v>1789</v>
      </c>
      <c r="E88" s="9" t="s">
        <v>27</v>
      </c>
      <c r="F88" s="9" t="s">
        <v>28</v>
      </c>
      <c r="G88" s="11" t="n">
        <v>2</v>
      </c>
      <c r="H88" s="12"/>
      <c r="I88" s="13"/>
      <c r="J88" s="13"/>
      <c r="K88" s="14"/>
      <c r="L88" s="15"/>
      <c r="M88" s="14"/>
      <c r="N88" s="14"/>
      <c r="O88" s="16"/>
      <c r="P88" s="17" t="n">
        <f aca="false">M88+(0.05*N88)+(O88/240)</f>
        <v>0</v>
      </c>
      <c r="Q88" s="14"/>
      <c r="R88" s="14"/>
      <c r="S88" s="14"/>
      <c r="T88" s="14" t="n">
        <f aca="false">Q88+(R88*0.05)+(S88/240)</f>
        <v>0</v>
      </c>
      <c r="U88" s="14" t="n">
        <f aca="false">K88*P88</f>
        <v>0</v>
      </c>
      <c r="V88" s="18" t="n">
        <f aca="false">T88-U88</f>
        <v>0</v>
      </c>
      <c r="W88" s="19"/>
      <c r="X88" s="19"/>
    </row>
    <row r="89" customFormat="false" ht="16" hidden="false" customHeight="false" outlineLevel="0" collapsed="false">
      <c r="A89" s="8" t="s">
        <v>24</v>
      </c>
      <c r="B89" s="9" t="s">
        <v>25</v>
      </c>
      <c r="C89" s="9" t="s">
        <v>26</v>
      </c>
      <c r="D89" s="10" t="n">
        <v>1789</v>
      </c>
      <c r="E89" s="9" t="s">
        <v>27</v>
      </c>
      <c r="F89" s="9" t="s">
        <v>28</v>
      </c>
      <c r="G89" s="11" t="n">
        <v>2</v>
      </c>
      <c r="H89" s="12"/>
      <c r="I89" s="13"/>
      <c r="J89" s="13"/>
      <c r="K89" s="14"/>
      <c r="L89" s="15"/>
      <c r="M89" s="14"/>
      <c r="N89" s="14"/>
      <c r="O89" s="16"/>
      <c r="P89" s="17" t="n">
        <f aca="false">M89+(0.05*N89)+(O89/240)</f>
        <v>0</v>
      </c>
      <c r="Q89" s="14"/>
      <c r="R89" s="14"/>
      <c r="S89" s="14"/>
      <c r="T89" s="14" t="n">
        <f aca="false">Q89+(R89*0.05)+(S89/240)</f>
        <v>0</v>
      </c>
      <c r="U89" s="14" t="n">
        <f aca="false">K89*P89</f>
        <v>0</v>
      </c>
      <c r="V89" s="18" t="n">
        <f aca="false">T89-U89</f>
        <v>0</v>
      </c>
      <c r="W89" s="19"/>
      <c r="X89" s="19"/>
    </row>
    <row r="90" customFormat="false" ht="16" hidden="false" customHeight="false" outlineLevel="0" collapsed="false">
      <c r="A90" s="8" t="s">
        <v>24</v>
      </c>
      <c r="B90" s="9" t="s">
        <v>25</v>
      </c>
      <c r="C90" s="9" t="s">
        <v>26</v>
      </c>
      <c r="D90" s="10" t="n">
        <v>1789</v>
      </c>
      <c r="E90" s="9" t="s">
        <v>27</v>
      </c>
      <c r="F90" s="9" t="s">
        <v>28</v>
      </c>
      <c r="G90" s="11" t="n">
        <v>2</v>
      </c>
      <c r="H90" s="12"/>
      <c r="I90" s="13"/>
      <c r="J90" s="13"/>
      <c r="K90" s="14"/>
      <c r="L90" s="15"/>
      <c r="M90" s="14"/>
      <c r="N90" s="14"/>
      <c r="O90" s="16"/>
      <c r="P90" s="17" t="n">
        <f aca="false">M90+(0.05*N90)+(O90/240)</f>
        <v>0</v>
      </c>
      <c r="Q90" s="14"/>
      <c r="R90" s="14"/>
      <c r="S90" s="14"/>
      <c r="T90" s="14" t="n">
        <f aca="false">Q90+(R90*0.05)+(S90/240)</f>
        <v>0</v>
      </c>
      <c r="U90" s="14" t="n">
        <f aca="false">K90*P90</f>
        <v>0</v>
      </c>
      <c r="V90" s="18" t="n">
        <f aca="false">T90-U90</f>
        <v>0</v>
      </c>
      <c r="W90" s="19"/>
      <c r="X90" s="19"/>
    </row>
    <row r="91" customFormat="false" ht="16" hidden="false" customHeight="false" outlineLevel="0" collapsed="false">
      <c r="A91" s="8" t="s">
        <v>24</v>
      </c>
      <c r="B91" s="9" t="s">
        <v>25</v>
      </c>
      <c r="C91" s="9" t="s">
        <v>26</v>
      </c>
      <c r="D91" s="10" t="n">
        <v>1789</v>
      </c>
      <c r="E91" s="9" t="s">
        <v>27</v>
      </c>
      <c r="F91" s="9" t="s">
        <v>28</v>
      </c>
      <c r="G91" s="11" t="n">
        <v>2</v>
      </c>
      <c r="H91" s="12"/>
      <c r="I91" s="13"/>
      <c r="J91" s="13"/>
      <c r="K91" s="14"/>
      <c r="L91" s="15"/>
      <c r="M91" s="14"/>
      <c r="N91" s="14"/>
      <c r="O91" s="16"/>
      <c r="P91" s="17" t="n">
        <f aca="false">M91+(0.05*N91)+(O91/240)</f>
        <v>0</v>
      </c>
      <c r="Q91" s="14"/>
      <c r="R91" s="14"/>
      <c r="S91" s="14"/>
      <c r="T91" s="14" t="n">
        <f aca="false">Q91+(R91*0.05)+(S91/240)</f>
        <v>0</v>
      </c>
      <c r="U91" s="14" t="n">
        <f aca="false">K91*P91</f>
        <v>0</v>
      </c>
      <c r="V91" s="18" t="n">
        <f aca="false">T91-U91</f>
        <v>0</v>
      </c>
      <c r="W91" s="19"/>
      <c r="X91" s="19"/>
    </row>
    <row r="92" customFormat="false" ht="16" hidden="false" customHeight="false" outlineLevel="0" collapsed="false">
      <c r="A92" s="8" t="s">
        <v>24</v>
      </c>
      <c r="B92" s="9" t="s">
        <v>25</v>
      </c>
      <c r="C92" s="9" t="s">
        <v>26</v>
      </c>
      <c r="D92" s="10" t="n">
        <v>1789</v>
      </c>
      <c r="E92" s="9" t="s">
        <v>27</v>
      </c>
      <c r="F92" s="9" t="s">
        <v>28</v>
      </c>
      <c r="G92" s="11" t="n">
        <v>2</v>
      </c>
      <c r="H92" s="12"/>
      <c r="I92" s="13"/>
      <c r="J92" s="13"/>
      <c r="K92" s="14"/>
      <c r="L92" s="15"/>
      <c r="M92" s="14"/>
      <c r="N92" s="14"/>
      <c r="O92" s="16"/>
      <c r="P92" s="17" t="n">
        <f aca="false">M92+(0.05*N92)+(O92/240)</f>
        <v>0</v>
      </c>
      <c r="Q92" s="14"/>
      <c r="R92" s="14"/>
      <c r="S92" s="14"/>
      <c r="T92" s="14" t="n">
        <f aca="false">Q92+(R92*0.05)+(S92/240)</f>
        <v>0</v>
      </c>
      <c r="U92" s="14" t="n">
        <f aca="false">K92*P92</f>
        <v>0</v>
      </c>
      <c r="V92" s="18" t="n">
        <f aca="false">T92-U92</f>
        <v>0</v>
      </c>
      <c r="W92" s="19"/>
      <c r="X92" s="19"/>
    </row>
    <row r="93" customFormat="false" ht="16" hidden="false" customHeight="false" outlineLevel="0" collapsed="false">
      <c r="A93" s="8" t="s">
        <v>24</v>
      </c>
      <c r="B93" s="9" t="s">
        <v>25</v>
      </c>
      <c r="C93" s="9" t="s">
        <v>26</v>
      </c>
      <c r="D93" s="10" t="n">
        <v>1789</v>
      </c>
      <c r="E93" s="9" t="s">
        <v>27</v>
      </c>
      <c r="F93" s="9" t="s">
        <v>28</v>
      </c>
      <c r="G93" s="11" t="n">
        <v>2</v>
      </c>
      <c r="H93" s="12"/>
      <c r="I93" s="13"/>
      <c r="J93" s="13"/>
      <c r="K93" s="14"/>
      <c r="L93" s="15"/>
      <c r="M93" s="14"/>
      <c r="N93" s="14"/>
      <c r="O93" s="16"/>
      <c r="P93" s="17" t="n">
        <f aca="false">M93+(0.05*N93)+(O93/240)</f>
        <v>0</v>
      </c>
      <c r="Q93" s="14"/>
      <c r="R93" s="14"/>
      <c r="S93" s="14"/>
      <c r="T93" s="14" t="n">
        <f aca="false">Q93+(R93*0.05)+(S93/240)</f>
        <v>0</v>
      </c>
      <c r="U93" s="14" t="n">
        <f aca="false">K93*P93</f>
        <v>0</v>
      </c>
      <c r="V93" s="18" t="n">
        <f aca="false">T93-U93</f>
        <v>0</v>
      </c>
      <c r="W93" s="19"/>
      <c r="X93" s="19"/>
    </row>
    <row r="94" customFormat="false" ht="16" hidden="false" customHeight="false" outlineLevel="0" collapsed="false">
      <c r="A94" s="8" t="s">
        <v>24</v>
      </c>
      <c r="B94" s="9" t="s">
        <v>25</v>
      </c>
      <c r="C94" s="9" t="s">
        <v>26</v>
      </c>
      <c r="D94" s="10" t="n">
        <v>1789</v>
      </c>
      <c r="E94" s="9" t="s">
        <v>27</v>
      </c>
      <c r="F94" s="9" t="s">
        <v>28</v>
      </c>
      <c r="G94" s="11" t="n">
        <v>2</v>
      </c>
      <c r="H94" s="12"/>
      <c r="I94" s="13"/>
      <c r="J94" s="13"/>
      <c r="K94" s="14"/>
      <c r="L94" s="15"/>
      <c r="M94" s="14"/>
      <c r="N94" s="14"/>
      <c r="O94" s="16"/>
      <c r="P94" s="17" t="n">
        <f aca="false">M94+(0.05*N94)+(O94/240)</f>
        <v>0</v>
      </c>
      <c r="Q94" s="14"/>
      <c r="R94" s="14"/>
      <c r="S94" s="14"/>
      <c r="T94" s="14" t="n">
        <f aca="false">Q94+(R94*0.05)+(S94/240)</f>
        <v>0</v>
      </c>
      <c r="U94" s="14" t="n">
        <f aca="false">K94*P94</f>
        <v>0</v>
      </c>
      <c r="V94" s="18" t="n">
        <f aca="false">T94-U94</f>
        <v>0</v>
      </c>
      <c r="W94" s="19"/>
      <c r="X94" s="19"/>
    </row>
    <row r="95" customFormat="false" ht="16" hidden="false" customHeight="false" outlineLevel="0" collapsed="false">
      <c r="A95" s="8" t="s">
        <v>24</v>
      </c>
      <c r="B95" s="9" t="s">
        <v>25</v>
      </c>
      <c r="C95" s="9" t="s">
        <v>26</v>
      </c>
      <c r="D95" s="10" t="n">
        <v>1789</v>
      </c>
      <c r="E95" s="9" t="s">
        <v>27</v>
      </c>
      <c r="F95" s="9" t="s">
        <v>28</v>
      </c>
      <c r="G95" s="11" t="n">
        <v>2</v>
      </c>
      <c r="H95" s="12"/>
      <c r="I95" s="13"/>
      <c r="J95" s="13"/>
      <c r="K95" s="14"/>
      <c r="L95" s="15"/>
      <c r="M95" s="14"/>
      <c r="N95" s="14"/>
      <c r="O95" s="16"/>
      <c r="P95" s="17" t="n">
        <f aca="false">M95+(0.05*N95)+(O95/240)</f>
        <v>0</v>
      </c>
      <c r="Q95" s="14"/>
      <c r="R95" s="14"/>
      <c r="S95" s="14"/>
      <c r="T95" s="14" t="n">
        <f aca="false">Q95+(R95*0.05)+(S95/240)</f>
        <v>0</v>
      </c>
      <c r="U95" s="14" t="n">
        <f aca="false">K95*P95</f>
        <v>0</v>
      </c>
      <c r="V95" s="18" t="n">
        <f aca="false">T95-U95</f>
        <v>0</v>
      </c>
      <c r="W95" s="19"/>
      <c r="X95" s="19"/>
    </row>
    <row r="96" customFormat="false" ht="16" hidden="false" customHeight="false" outlineLevel="0" collapsed="false">
      <c r="A96" s="8" t="s">
        <v>24</v>
      </c>
      <c r="B96" s="9" t="s">
        <v>25</v>
      </c>
      <c r="C96" s="9" t="s">
        <v>26</v>
      </c>
      <c r="D96" s="10" t="n">
        <v>1789</v>
      </c>
      <c r="E96" s="9" t="s">
        <v>27</v>
      </c>
      <c r="F96" s="9" t="s">
        <v>28</v>
      </c>
      <c r="G96" s="11" t="n">
        <v>2</v>
      </c>
      <c r="H96" s="12"/>
      <c r="I96" s="13"/>
      <c r="J96" s="13"/>
      <c r="K96" s="14"/>
      <c r="L96" s="15"/>
      <c r="M96" s="14"/>
      <c r="N96" s="14"/>
      <c r="O96" s="16"/>
      <c r="P96" s="17" t="n">
        <f aca="false">M96+(0.05*N96)+(O96/240)</f>
        <v>0</v>
      </c>
      <c r="Q96" s="14"/>
      <c r="R96" s="14"/>
      <c r="S96" s="14"/>
      <c r="T96" s="14" t="n">
        <f aca="false">Q96+(R96*0.05)+(S96/240)</f>
        <v>0</v>
      </c>
      <c r="U96" s="14" t="n">
        <f aca="false">K96*P96</f>
        <v>0</v>
      </c>
      <c r="V96" s="18" t="n">
        <f aca="false">T96-U96</f>
        <v>0</v>
      </c>
      <c r="W96" s="19"/>
      <c r="X96" s="19"/>
    </row>
    <row r="97" customFormat="false" ht="16" hidden="false" customHeight="false" outlineLevel="0" collapsed="false">
      <c r="A97" s="8" t="s">
        <v>24</v>
      </c>
      <c r="B97" s="9" t="s">
        <v>25</v>
      </c>
      <c r="C97" s="9" t="s">
        <v>26</v>
      </c>
      <c r="D97" s="10" t="n">
        <v>1789</v>
      </c>
      <c r="E97" s="9" t="s">
        <v>27</v>
      </c>
      <c r="F97" s="9" t="s">
        <v>28</v>
      </c>
      <c r="G97" s="11" t="n">
        <v>2</v>
      </c>
      <c r="H97" s="12"/>
      <c r="I97" s="13"/>
      <c r="J97" s="13"/>
      <c r="K97" s="14"/>
      <c r="L97" s="15"/>
      <c r="M97" s="14"/>
      <c r="N97" s="14"/>
      <c r="O97" s="16"/>
      <c r="P97" s="17" t="n">
        <f aca="false">M97+(0.05*N97)+(O97/240)</f>
        <v>0</v>
      </c>
      <c r="Q97" s="14"/>
      <c r="R97" s="14"/>
      <c r="S97" s="14"/>
      <c r="T97" s="14" t="n">
        <f aca="false">Q97+(R97*0.05)+(S97/240)</f>
        <v>0</v>
      </c>
      <c r="U97" s="14" t="n">
        <f aca="false">K97*P97</f>
        <v>0</v>
      </c>
      <c r="V97" s="18" t="n">
        <f aca="false">T97-U97</f>
        <v>0</v>
      </c>
      <c r="W97" s="19"/>
      <c r="X97" s="19"/>
    </row>
    <row r="98" customFormat="false" ht="16" hidden="false" customHeight="false" outlineLevel="0" collapsed="false">
      <c r="A98" s="8" t="s">
        <v>24</v>
      </c>
      <c r="B98" s="9" t="s">
        <v>25</v>
      </c>
      <c r="C98" s="9" t="s">
        <v>26</v>
      </c>
      <c r="D98" s="10" t="n">
        <v>1789</v>
      </c>
      <c r="E98" s="9" t="s">
        <v>27</v>
      </c>
      <c r="F98" s="9" t="s">
        <v>28</v>
      </c>
      <c r="G98" s="11" t="n">
        <v>2</v>
      </c>
      <c r="H98" s="12"/>
      <c r="I98" s="13"/>
      <c r="J98" s="13"/>
      <c r="K98" s="14"/>
      <c r="L98" s="15"/>
      <c r="M98" s="14"/>
      <c r="N98" s="14"/>
      <c r="O98" s="16"/>
      <c r="P98" s="17" t="n">
        <f aca="false">M98+(0.05*N98)+(O98/240)</f>
        <v>0</v>
      </c>
      <c r="Q98" s="14"/>
      <c r="R98" s="14"/>
      <c r="S98" s="14"/>
      <c r="T98" s="14" t="n">
        <f aca="false">Q98+(R98*0.05)+(S98/240)</f>
        <v>0</v>
      </c>
      <c r="U98" s="14" t="n">
        <f aca="false">K98*P98</f>
        <v>0</v>
      </c>
      <c r="V98" s="18" t="n">
        <f aca="false">T98-U98</f>
        <v>0</v>
      </c>
      <c r="W98" s="19"/>
      <c r="X98" s="19"/>
    </row>
    <row r="99" customFormat="false" ht="16" hidden="false" customHeight="false" outlineLevel="0" collapsed="false">
      <c r="A99" s="8" t="s">
        <v>24</v>
      </c>
      <c r="B99" s="9" t="s">
        <v>25</v>
      </c>
      <c r="C99" s="9" t="s">
        <v>26</v>
      </c>
      <c r="D99" s="10" t="n">
        <v>1789</v>
      </c>
      <c r="E99" s="9" t="s">
        <v>27</v>
      </c>
      <c r="F99" s="9" t="s">
        <v>28</v>
      </c>
      <c r="G99" s="11" t="n">
        <v>2</v>
      </c>
      <c r="H99" s="12"/>
      <c r="I99" s="13"/>
      <c r="J99" s="13"/>
      <c r="K99" s="14"/>
      <c r="L99" s="15"/>
      <c r="M99" s="14"/>
      <c r="N99" s="14"/>
      <c r="O99" s="16"/>
      <c r="P99" s="17" t="n">
        <f aca="false">M99+(0.05*N99)+(O99/240)</f>
        <v>0</v>
      </c>
      <c r="Q99" s="14"/>
      <c r="R99" s="14"/>
      <c r="S99" s="14"/>
      <c r="T99" s="14" t="n">
        <f aca="false">Q99+(R99*0.05)+(S99/240)</f>
        <v>0</v>
      </c>
      <c r="U99" s="14" t="n">
        <f aca="false">K99*P99</f>
        <v>0</v>
      </c>
      <c r="V99" s="18" t="n">
        <f aca="false">T99-U99</f>
        <v>0</v>
      </c>
      <c r="W99" s="19"/>
      <c r="X99" s="19"/>
    </row>
    <row r="100" customFormat="false" ht="16" hidden="false" customHeight="false" outlineLevel="0" collapsed="false">
      <c r="A100" s="8" t="s">
        <v>24</v>
      </c>
      <c r="B100" s="9" t="s">
        <v>25</v>
      </c>
      <c r="C100" s="9" t="s">
        <v>26</v>
      </c>
      <c r="D100" s="10" t="n">
        <v>1789</v>
      </c>
      <c r="E100" s="9" t="s">
        <v>27</v>
      </c>
      <c r="F100" s="9" t="s">
        <v>28</v>
      </c>
      <c r="G100" s="11" t="n">
        <v>2</v>
      </c>
      <c r="H100" s="12"/>
      <c r="I100" s="13"/>
      <c r="J100" s="13"/>
      <c r="K100" s="14"/>
      <c r="L100" s="15"/>
      <c r="M100" s="14"/>
      <c r="N100" s="14"/>
      <c r="O100" s="16"/>
      <c r="P100" s="17" t="n">
        <f aca="false">M100+(0.05*N100)+(O100/240)</f>
        <v>0</v>
      </c>
      <c r="Q100" s="14"/>
      <c r="R100" s="14"/>
      <c r="S100" s="14"/>
      <c r="T100" s="14" t="n">
        <f aca="false">Q100+(R100*0.05)+(S100/240)</f>
        <v>0</v>
      </c>
      <c r="U100" s="14" t="n">
        <f aca="false">K100*P100</f>
        <v>0</v>
      </c>
      <c r="V100" s="18" t="n">
        <f aca="false">T100-U100</f>
        <v>0</v>
      </c>
      <c r="W100" s="19"/>
      <c r="X100" s="19"/>
    </row>
    <row r="101" customFormat="false" ht="16" hidden="false" customHeight="false" outlineLevel="0" collapsed="false">
      <c r="A101" s="8" t="s">
        <v>24</v>
      </c>
      <c r="B101" s="9" t="s">
        <v>25</v>
      </c>
      <c r="C101" s="9" t="s">
        <v>26</v>
      </c>
      <c r="D101" s="10" t="n">
        <v>1789</v>
      </c>
      <c r="E101" s="9" t="s">
        <v>27</v>
      </c>
      <c r="F101" s="9" t="s">
        <v>28</v>
      </c>
      <c r="G101" s="11" t="n">
        <v>2</v>
      </c>
      <c r="H101" s="12"/>
      <c r="I101" s="13"/>
      <c r="J101" s="13"/>
      <c r="K101" s="14"/>
      <c r="L101" s="15"/>
      <c r="M101" s="14"/>
      <c r="N101" s="14"/>
      <c r="O101" s="16"/>
      <c r="P101" s="17" t="n">
        <f aca="false">M101+(0.05*N101)+(O101/240)</f>
        <v>0</v>
      </c>
      <c r="Q101" s="14"/>
      <c r="R101" s="14"/>
      <c r="S101" s="14"/>
      <c r="T101" s="14" t="n">
        <f aca="false">Q101+(R101*0.05)+(S101/240)</f>
        <v>0</v>
      </c>
      <c r="U101" s="14" t="n">
        <f aca="false">K101*P101</f>
        <v>0</v>
      </c>
      <c r="V101" s="18" t="n">
        <f aca="false">T101-U101</f>
        <v>0</v>
      </c>
      <c r="W101" s="19"/>
      <c r="X101" s="19"/>
    </row>
    <row r="102" customFormat="false" ht="16" hidden="false" customHeight="false" outlineLevel="0" collapsed="false">
      <c r="A102" s="8" t="s">
        <v>24</v>
      </c>
      <c r="B102" s="9" t="s">
        <v>25</v>
      </c>
      <c r="C102" s="9" t="s">
        <v>26</v>
      </c>
      <c r="D102" s="10" t="n">
        <v>1789</v>
      </c>
      <c r="E102" s="9" t="s">
        <v>27</v>
      </c>
      <c r="F102" s="9" t="s">
        <v>28</v>
      </c>
      <c r="G102" s="11" t="n">
        <v>2</v>
      </c>
      <c r="H102" s="12"/>
      <c r="I102" s="13"/>
      <c r="J102" s="13"/>
      <c r="K102" s="14"/>
      <c r="L102" s="15"/>
      <c r="M102" s="14"/>
      <c r="N102" s="14"/>
      <c r="O102" s="16"/>
      <c r="P102" s="17" t="n">
        <f aca="false">M102+(0.05*N102)+(O102/240)</f>
        <v>0</v>
      </c>
      <c r="Q102" s="14"/>
      <c r="R102" s="14"/>
      <c r="S102" s="14"/>
      <c r="T102" s="14" t="n">
        <f aca="false">Q102+(R102*0.05)+(S102/240)</f>
        <v>0</v>
      </c>
      <c r="U102" s="14" t="n">
        <f aca="false">K102*P102</f>
        <v>0</v>
      </c>
      <c r="V102" s="18" t="n">
        <f aca="false">T102-U102</f>
        <v>0</v>
      </c>
      <c r="W102" s="19"/>
      <c r="X102" s="19"/>
    </row>
    <row r="103" customFormat="false" ht="16" hidden="false" customHeight="false" outlineLevel="0" collapsed="false">
      <c r="A103" s="8" t="s">
        <v>24</v>
      </c>
      <c r="B103" s="9" t="s">
        <v>25</v>
      </c>
      <c r="C103" s="9" t="s">
        <v>26</v>
      </c>
      <c r="D103" s="10" t="n">
        <v>1789</v>
      </c>
      <c r="E103" s="9" t="s">
        <v>27</v>
      </c>
      <c r="F103" s="9" t="s">
        <v>28</v>
      </c>
      <c r="G103" s="11" t="n">
        <v>2</v>
      </c>
      <c r="H103" s="12"/>
      <c r="I103" s="13"/>
      <c r="J103" s="13"/>
      <c r="K103" s="14"/>
      <c r="L103" s="15"/>
      <c r="M103" s="14"/>
      <c r="N103" s="14"/>
      <c r="O103" s="16"/>
      <c r="P103" s="17" t="n">
        <f aca="false">M103+(0.05*N103)+(O103/240)</f>
        <v>0</v>
      </c>
      <c r="Q103" s="14"/>
      <c r="R103" s="14"/>
      <c r="S103" s="14"/>
      <c r="T103" s="14" t="n">
        <f aca="false">Q103+(R103*0.05)+(S103/240)</f>
        <v>0</v>
      </c>
      <c r="U103" s="14" t="n">
        <f aca="false">K103*P103</f>
        <v>0</v>
      </c>
      <c r="V103" s="18" t="n">
        <f aca="false">T103-U103</f>
        <v>0</v>
      </c>
      <c r="W103" s="19"/>
      <c r="X103" s="19"/>
    </row>
    <row r="104" customFormat="false" ht="16" hidden="false" customHeight="false" outlineLevel="0" collapsed="false">
      <c r="A104" s="8" t="s">
        <v>24</v>
      </c>
      <c r="B104" s="9" t="s">
        <v>25</v>
      </c>
      <c r="C104" s="9" t="s">
        <v>26</v>
      </c>
      <c r="D104" s="10" t="n">
        <v>1789</v>
      </c>
      <c r="E104" s="9" t="s">
        <v>27</v>
      </c>
      <c r="F104" s="9" t="s">
        <v>28</v>
      </c>
      <c r="G104" s="11" t="n">
        <v>2</v>
      </c>
      <c r="H104" s="12"/>
      <c r="I104" s="13"/>
      <c r="J104" s="13"/>
      <c r="K104" s="14"/>
      <c r="L104" s="15"/>
      <c r="M104" s="14"/>
      <c r="N104" s="14"/>
      <c r="O104" s="16"/>
      <c r="P104" s="17" t="n">
        <f aca="false">M104+(0.05*N104)+(O104/240)</f>
        <v>0</v>
      </c>
      <c r="Q104" s="14"/>
      <c r="R104" s="14"/>
      <c r="S104" s="14"/>
      <c r="T104" s="14" t="n">
        <f aca="false">Q104+(R104*0.05)+(S104/240)</f>
        <v>0</v>
      </c>
      <c r="U104" s="14" t="n">
        <f aca="false">K104*P104</f>
        <v>0</v>
      </c>
      <c r="V104" s="18" t="n">
        <f aca="false">T104-U104</f>
        <v>0</v>
      </c>
      <c r="W104" s="19"/>
      <c r="X104" s="19"/>
    </row>
    <row r="105" customFormat="false" ht="16" hidden="false" customHeight="false" outlineLevel="0" collapsed="false">
      <c r="A105" s="8" t="s">
        <v>24</v>
      </c>
      <c r="B105" s="9" t="s">
        <v>25</v>
      </c>
      <c r="C105" s="9" t="s">
        <v>26</v>
      </c>
      <c r="D105" s="10" t="n">
        <v>1789</v>
      </c>
      <c r="E105" s="9" t="s">
        <v>27</v>
      </c>
      <c r="F105" s="9" t="s">
        <v>28</v>
      </c>
      <c r="G105" s="11" t="n">
        <v>2</v>
      </c>
      <c r="H105" s="12"/>
      <c r="I105" s="13"/>
      <c r="J105" s="13"/>
      <c r="K105" s="14"/>
      <c r="L105" s="15"/>
      <c r="M105" s="14"/>
      <c r="N105" s="14"/>
      <c r="O105" s="16"/>
      <c r="P105" s="17" t="n">
        <f aca="false">M105+(0.05*N105)+(O105/240)</f>
        <v>0</v>
      </c>
      <c r="Q105" s="14"/>
      <c r="R105" s="14"/>
      <c r="S105" s="14"/>
      <c r="T105" s="14" t="n">
        <f aca="false">Q105+(R105*0.05)+(S105/240)</f>
        <v>0</v>
      </c>
      <c r="U105" s="14" t="n">
        <f aca="false">K105*P105</f>
        <v>0</v>
      </c>
      <c r="V105" s="18" t="n">
        <f aca="false">T105-U105</f>
        <v>0</v>
      </c>
      <c r="W105" s="19"/>
      <c r="X105" s="19"/>
    </row>
    <row r="106" customFormat="false" ht="16" hidden="false" customHeight="false" outlineLevel="0" collapsed="false">
      <c r="A106" s="8" t="s">
        <v>24</v>
      </c>
      <c r="B106" s="9" t="s">
        <v>25</v>
      </c>
      <c r="C106" s="9" t="s">
        <v>26</v>
      </c>
      <c r="D106" s="10" t="n">
        <v>1789</v>
      </c>
      <c r="E106" s="9" t="s">
        <v>27</v>
      </c>
      <c r="F106" s="9" t="s">
        <v>28</v>
      </c>
      <c r="G106" s="11" t="n">
        <v>2</v>
      </c>
      <c r="H106" s="12"/>
      <c r="I106" s="13"/>
      <c r="J106" s="13"/>
      <c r="K106" s="14"/>
      <c r="L106" s="15"/>
      <c r="M106" s="14"/>
      <c r="N106" s="14"/>
      <c r="O106" s="16"/>
      <c r="P106" s="17" t="n">
        <f aca="false">M106+(0.05*N106)+(O106/240)</f>
        <v>0</v>
      </c>
      <c r="Q106" s="14"/>
      <c r="R106" s="14"/>
      <c r="S106" s="14"/>
      <c r="T106" s="14" t="n">
        <f aca="false">Q106+(R106*0.05)+(S106/240)</f>
        <v>0</v>
      </c>
      <c r="U106" s="14" t="n">
        <f aca="false">K106*P106</f>
        <v>0</v>
      </c>
      <c r="V106" s="18" t="n">
        <f aca="false">T106-U106</f>
        <v>0</v>
      </c>
      <c r="W106" s="19"/>
      <c r="X106" s="19"/>
    </row>
    <row r="107" customFormat="false" ht="16" hidden="false" customHeight="false" outlineLevel="0" collapsed="false">
      <c r="A107" s="8" t="s">
        <v>24</v>
      </c>
      <c r="B107" s="9" t="s">
        <v>25</v>
      </c>
      <c r="C107" s="9" t="s">
        <v>26</v>
      </c>
      <c r="D107" s="10" t="n">
        <v>1789</v>
      </c>
      <c r="E107" s="9" t="s">
        <v>27</v>
      </c>
      <c r="F107" s="9" t="s">
        <v>28</v>
      </c>
      <c r="G107" s="11" t="n">
        <v>2</v>
      </c>
      <c r="H107" s="12"/>
      <c r="I107" s="13"/>
      <c r="J107" s="13"/>
      <c r="K107" s="14"/>
      <c r="L107" s="15"/>
      <c r="M107" s="14"/>
      <c r="N107" s="14"/>
      <c r="O107" s="16"/>
      <c r="P107" s="17" t="n">
        <f aca="false">M107+(0.05*N107)+(O107/240)</f>
        <v>0</v>
      </c>
      <c r="Q107" s="14"/>
      <c r="R107" s="14"/>
      <c r="S107" s="14"/>
      <c r="T107" s="14" t="n">
        <f aca="false">Q107+(R107*0.05)+(S107/240)</f>
        <v>0</v>
      </c>
      <c r="U107" s="14" t="n">
        <f aca="false">K107*P107</f>
        <v>0</v>
      </c>
      <c r="V107" s="18" t="n">
        <f aca="false">T107-U107</f>
        <v>0</v>
      </c>
      <c r="W107" s="19"/>
      <c r="X107" s="19"/>
    </row>
    <row r="108" customFormat="false" ht="16" hidden="false" customHeight="false" outlineLevel="0" collapsed="false">
      <c r="A108" s="8" t="s">
        <v>24</v>
      </c>
      <c r="B108" s="9" t="s">
        <v>25</v>
      </c>
      <c r="C108" s="9" t="s">
        <v>26</v>
      </c>
      <c r="D108" s="10" t="n">
        <v>1789</v>
      </c>
      <c r="E108" s="9" t="s">
        <v>27</v>
      </c>
      <c r="F108" s="9" t="s">
        <v>28</v>
      </c>
      <c r="G108" s="11" t="n">
        <v>2</v>
      </c>
      <c r="H108" s="12"/>
      <c r="I108" s="13"/>
      <c r="J108" s="13"/>
      <c r="K108" s="14"/>
      <c r="L108" s="15"/>
      <c r="M108" s="14"/>
      <c r="N108" s="14"/>
      <c r="O108" s="16"/>
      <c r="P108" s="17" t="n">
        <f aca="false">M108+(0.05*N108)+(O108/240)</f>
        <v>0</v>
      </c>
      <c r="Q108" s="14"/>
      <c r="R108" s="14"/>
      <c r="S108" s="14"/>
      <c r="T108" s="14" t="n">
        <f aca="false">Q108+(R108*0.05)+(S108/240)</f>
        <v>0</v>
      </c>
      <c r="U108" s="14" t="n">
        <f aca="false">K108*P108</f>
        <v>0</v>
      </c>
      <c r="V108" s="18" t="n">
        <f aca="false">T108-U108</f>
        <v>0</v>
      </c>
      <c r="W108" s="19"/>
      <c r="X108" s="19"/>
    </row>
    <row r="109" customFormat="false" ht="16" hidden="false" customHeight="false" outlineLevel="0" collapsed="false">
      <c r="A109" s="8" t="s">
        <v>24</v>
      </c>
      <c r="B109" s="9" t="s">
        <v>25</v>
      </c>
      <c r="C109" s="9" t="s">
        <v>26</v>
      </c>
      <c r="D109" s="10" t="n">
        <v>1789</v>
      </c>
      <c r="E109" s="9" t="s">
        <v>27</v>
      </c>
      <c r="F109" s="9" t="s">
        <v>28</v>
      </c>
      <c r="G109" s="11" t="n">
        <v>2</v>
      </c>
      <c r="H109" s="12"/>
      <c r="I109" s="13"/>
      <c r="J109" s="13"/>
      <c r="K109" s="14"/>
      <c r="L109" s="15"/>
      <c r="M109" s="14"/>
      <c r="N109" s="14"/>
      <c r="O109" s="16"/>
      <c r="P109" s="17" t="n">
        <f aca="false">M109+(0.05*N109)+(O109/240)</f>
        <v>0</v>
      </c>
      <c r="Q109" s="14"/>
      <c r="R109" s="14"/>
      <c r="S109" s="14"/>
      <c r="T109" s="14" t="n">
        <f aca="false">Q109+(R109*0.05)+(S109/240)</f>
        <v>0</v>
      </c>
      <c r="U109" s="14" t="n">
        <f aca="false">K109*P109</f>
        <v>0</v>
      </c>
      <c r="V109" s="18" t="n">
        <f aca="false">T109-U109</f>
        <v>0</v>
      </c>
      <c r="W109" s="19"/>
      <c r="X109" s="19"/>
    </row>
    <row r="110" customFormat="false" ht="16" hidden="false" customHeight="false" outlineLevel="0" collapsed="false">
      <c r="A110" s="8" t="s">
        <v>24</v>
      </c>
      <c r="B110" s="9" t="s">
        <v>25</v>
      </c>
      <c r="C110" s="9" t="s">
        <v>26</v>
      </c>
      <c r="D110" s="10" t="n">
        <v>1789</v>
      </c>
      <c r="E110" s="9" t="s">
        <v>27</v>
      </c>
      <c r="F110" s="9" t="s">
        <v>28</v>
      </c>
      <c r="G110" s="11" t="n">
        <v>2</v>
      </c>
      <c r="H110" s="12"/>
      <c r="I110" s="13"/>
      <c r="J110" s="13"/>
      <c r="K110" s="14"/>
      <c r="L110" s="15"/>
      <c r="M110" s="14"/>
      <c r="N110" s="14"/>
      <c r="O110" s="16"/>
      <c r="P110" s="17" t="n">
        <f aca="false">M110+(0.05*N110)+(O110/240)</f>
        <v>0</v>
      </c>
      <c r="Q110" s="14"/>
      <c r="R110" s="14"/>
      <c r="S110" s="14"/>
      <c r="T110" s="14" t="n">
        <f aca="false">Q110+(R110*0.05)+(S110/240)</f>
        <v>0</v>
      </c>
      <c r="U110" s="14" t="n">
        <f aca="false">K110*P110</f>
        <v>0</v>
      </c>
      <c r="V110" s="18" t="n">
        <f aca="false">T110-U110</f>
        <v>0</v>
      </c>
      <c r="W110" s="19"/>
      <c r="X110" s="19"/>
    </row>
    <row r="111" customFormat="false" ht="16" hidden="false" customHeight="false" outlineLevel="0" collapsed="false">
      <c r="A111" s="8" t="s">
        <v>24</v>
      </c>
      <c r="B111" s="9" t="s">
        <v>25</v>
      </c>
      <c r="C111" s="9" t="s">
        <v>26</v>
      </c>
      <c r="D111" s="10" t="n">
        <v>1789</v>
      </c>
      <c r="E111" s="9" t="s">
        <v>27</v>
      </c>
      <c r="F111" s="9" t="s">
        <v>28</v>
      </c>
      <c r="G111" s="11" t="n">
        <v>2</v>
      </c>
      <c r="H111" s="12"/>
      <c r="I111" s="13"/>
      <c r="J111" s="13"/>
      <c r="K111" s="14"/>
      <c r="L111" s="15"/>
      <c r="M111" s="14"/>
      <c r="N111" s="14"/>
      <c r="O111" s="16"/>
      <c r="P111" s="17" t="n">
        <f aca="false">M111+(0.05*N111)+(O111/240)</f>
        <v>0</v>
      </c>
      <c r="Q111" s="14"/>
      <c r="R111" s="14"/>
      <c r="S111" s="14"/>
      <c r="T111" s="14" t="n">
        <f aca="false">Q111+(R111*0.05)+(S111/240)</f>
        <v>0</v>
      </c>
      <c r="U111" s="14" t="n">
        <f aca="false">K111*P111</f>
        <v>0</v>
      </c>
      <c r="V111" s="18" t="n">
        <f aca="false">T111-U111</f>
        <v>0</v>
      </c>
      <c r="W111" s="19"/>
      <c r="X111" s="19"/>
    </row>
    <row r="112" customFormat="false" ht="16" hidden="false" customHeight="false" outlineLevel="0" collapsed="false">
      <c r="A112" s="8" t="s">
        <v>24</v>
      </c>
      <c r="B112" s="9" t="s">
        <v>25</v>
      </c>
      <c r="C112" s="9" t="s">
        <v>26</v>
      </c>
      <c r="D112" s="10" t="n">
        <v>1789</v>
      </c>
      <c r="E112" s="9" t="s">
        <v>27</v>
      </c>
      <c r="F112" s="9" t="s">
        <v>28</v>
      </c>
      <c r="G112" s="11" t="n">
        <v>2</v>
      </c>
      <c r="H112" s="12"/>
      <c r="I112" s="13"/>
      <c r="J112" s="13"/>
      <c r="K112" s="14"/>
      <c r="L112" s="15"/>
      <c r="M112" s="14"/>
      <c r="N112" s="14"/>
      <c r="O112" s="16"/>
      <c r="P112" s="17" t="n">
        <f aca="false">M112+(0.05*N112)+(O112/240)</f>
        <v>0</v>
      </c>
      <c r="Q112" s="14"/>
      <c r="R112" s="14"/>
      <c r="S112" s="14"/>
      <c r="T112" s="14" t="n">
        <f aca="false">Q112+(R112*0.05)+(S112/240)</f>
        <v>0</v>
      </c>
      <c r="U112" s="14" t="n">
        <f aca="false">K112*P112</f>
        <v>0</v>
      </c>
      <c r="V112" s="18" t="n">
        <f aca="false">T112-U112</f>
        <v>0</v>
      </c>
      <c r="W112" s="19"/>
      <c r="X112" s="19"/>
    </row>
    <row r="113" customFormat="false" ht="16" hidden="false" customHeight="false" outlineLevel="0" collapsed="false">
      <c r="A113" s="8" t="s">
        <v>24</v>
      </c>
      <c r="B113" s="9" t="s">
        <v>25</v>
      </c>
      <c r="C113" s="9" t="s">
        <v>26</v>
      </c>
      <c r="D113" s="10" t="n">
        <v>1789</v>
      </c>
      <c r="E113" s="9" t="s">
        <v>27</v>
      </c>
      <c r="F113" s="9" t="s">
        <v>28</v>
      </c>
      <c r="G113" s="11" t="n">
        <v>2</v>
      </c>
      <c r="H113" s="12"/>
      <c r="I113" s="13"/>
      <c r="J113" s="13"/>
      <c r="K113" s="14"/>
      <c r="L113" s="15"/>
      <c r="M113" s="14"/>
      <c r="N113" s="14"/>
      <c r="O113" s="16"/>
      <c r="P113" s="17" t="n">
        <f aca="false">M113+(0.05*N113)+(O113/240)</f>
        <v>0</v>
      </c>
      <c r="Q113" s="14"/>
      <c r="R113" s="14"/>
      <c r="S113" s="14"/>
      <c r="T113" s="14" t="n">
        <f aca="false">Q113+(R113*0.05)+(S113/240)</f>
        <v>0</v>
      </c>
      <c r="U113" s="14" t="n">
        <f aca="false">K113*P113</f>
        <v>0</v>
      </c>
      <c r="V113" s="18" t="n">
        <f aca="false">T113-U113</f>
        <v>0</v>
      </c>
      <c r="W113" s="19"/>
      <c r="X113" s="19"/>
    </row>
    <row r="114" customFormat="false" ht="16" hidden="false" customHeight="false" outlineLevel="0" collapsed="false">
      <c r="A114" s="8" t="s">
        <v>24</v>
      </c>
      <c r="B114" s="9" t="s">
        <v>25</v>
      </c>
      <c r="C114" s="9" t="s">
        <v>26</v>
      </c>
      <c r="D114" s="10" t="n">
        <v>1789</v>
      </c>
      <c r="E114" s="9" t="s">
        <v>27</v>
      </c>
      <c r="F114" s="9" t="s">
        <v>28</v>
      </c>
      <c r="G114" s="11" t="n">
        <v>2</v>
      </c>
      <c r="H114" s="12"/>
      <c r="I114" s="13"/>
      <c r="J114" s="13"/>
      <c r="K114" s="14"/>
      <c r="L114" s="15"/>
      <c r="M114" s="14"/>
      <c r="N114" s="14"/>
      <c r="O114" s="16"/>
      <c r="P114" s="17" t="n">
        <f aca="false">M114+(0.05*N114)+(O114/240)</f>
        <v>0</v>
      </c>
      <c r="Q114" s="14"/>
      <c r="R114" s="14"/>
      <c r="S114" s="14"/>
      <c r="T114" s="14" t="n">
        <f aca="false">Q114+(R114*0.05)+(S114/240)</f>
        <v>0</v>
      </c>
      <c r="U114" s="14" t="n">
        <f aca="false">K114*P114</f>
        <v>0</v>
      </c>
      <c r="V114" s="18" t="n">
        <f aca="false">T114-U114</f>
        <v>0</v>
      </c>
      <c r="W114" s="19"/>
      <c r="X114" s="19"/>
    </row>
    <row r="115" customFormat="false" ht="16" hidden="false" customHeight="false" outlineLevel="0" collapsed="false">
      <c r="A115" s="8" t="s">
        <v>24</v>
      </c>
      <c r="B115" s="9" t="s">
        <v>25</v>
      </c>
      <c r="C115" s="9" t="s">
        <v>26</v>
      </c>
      <c r="D115" s="10" t="n">
        <v>1789</v>
      </c>
      <c r="E115" s="9" t="s">
        <v>27</v>
      </c>
      <c r="F115" s="9" t="s">
        <v>28</v>
      </c>
      <c r="G115" s="11" t="n">
        <v>2</v>
      </c>
      <c r="H115" s="12"/>
      <c r="I115" s="13"/>
      <c r="J115" s="13"/>
      <c r="K115" s="14"/>
      <c r="L115" s="15"/>
      <c r="M115" s="14"/>
      <c r="N115" s="14"/>
      <c r="O115" s="16"/>
      <c r="P115" s="17" t="n">
        <f aca="false">M115+(0.05*N115)+(O115/240)</f>
        <v>0</v>
      </c>
      <c r="Q115" s="14"/>
      <c r="R115" s="14"/>
      <c r="S115" s="14"/>
      <c r="T115" s="14" t="n">
        <f aca="false">Q115+(R115*0.05)+(S115/240)</f>
        <v>0</v>
      </c>
      <c r="U115" s="14" t="n">
        <f aca="false">K115*P115</f>
        <v>0</v>
      </c>
      <c r="V115" s="18" t="n">
        <f aca="false">T115-U115</f>
        <v>0</v>
      </c>
      <c r="W115" s="19"/>
      <c r="X115" s="19"/>
    </row>
    <row r="116" customFormat="false" ht="16" hidden="false" customHeight="false" outlineLevel="0" collapsed="false">
      <c r="A116" s="8" t="s">
        <v>24</v>
      </c>
      <c r="B116" s="9" t="s">
        <v>25</v>
      </c>
      <c r="C116" s="9" t="s">
        <v>26</v>
      </c>
      <c r="D116" s="10" t="n">
        <v>1789</v>
      </c>
      <c r="E116" s="9" t="s">
        <v>27</v>
      </c>
      <c r="F116" s="9" t="s">
        <v>28</v>
      </c>
      <c r="G116" s="11" t="n">
        <v>2</v>
      </c>
      <c r="H116" s="12"/>
      <c r="I116" s="13"/>
      <c r="J116" s="13"/>
      <c r="K116" s="14"/>
      <c r="L116" s="15"/>
      <c r="M116" s="14"/>
      <c r="N116" s="14"/>
      <c r="O116" s="16"/>
      <c r="P116" s="17" t="n">
        <f aca="false">M116+(0.05*N116)+(O116/240)</f>
        <v>0</v>
      </c>
      <c r="Q116" s="14"/>
      <c r="R116" s="14"/>
      <c r="S116" s="14"/>
      <c r="T116" s="14" t="n">
        <f aca="false">Q116+(R116*0.05)+(S116/240)</f>
        <v>0</v>
      </c>
      <c r="U116" s="14" t="n">
        <f aca="false">K116*P116</f>
        <v>0</v>
      </c>
      <c r="V116" s="18" t="n">
        <f aca="false">T116-U116</f>
        <v>0</v>
      </c>
      <c r="W116" s="19"/>
      <c r="X116" s="19"/>
    </row>
    <row r="117" customFormat="false" ht="16" hidden="false" customHeight="false" outlineLevel="0" collapsed="false">
      <c r="A117" s="8" t="s">
        <v>24</v>
      </c>
      <c r="B117" s="9" t="s">
        <v>25</v>
      </c>
      <c r="C117" s="9" t="s">
        <v>26</v>
      </c>
      <c r="D117" s="10" t="n">
        <v>1789</v>
      </c>
      <c r="E117" s="9" t="s">
        <v>27</v>
      </c>
      <c r="F117" s="9" t="s">
        <v>28</v>
      </c>
      <c r="G117" s="11" t="n">
        <v>2</v>
      </c>
      <c r="H117" s="12"/>
      <c r="I117" s="13"/>
      <c r="J117" s="13"/>
      <c r="K117" s="14"/>
      <c r="L117" s="15"/>
      <c r="M117" s="14"/>
      <c r="N117" s="14"/>
      <c r="O117" s="16"/>
      <c r="P117" s="17" t="n">
        <f aca="false">M117+(0.05*N117)+(O117/240)</f>
        <v>0</v>
      </c>
      <c r="Q117" s="14"/>
      <c r="R117" s="14"/>
      <c r="S117" s="14"/>
      <c r="T117" s="14" t="n">
        <f aca="false">Q117+(R117*0.05)+(S117/240)</f>
        <v>0</v>
      </c>
      <c r="U117" s="14" t="n">
        <f aca="false">K117*P117</f>
        <v>0</v>
      </c>
      <c r="V117" s="18" t="n">
        <f aca="false">T117-U117</f>
        <v>0</v>
      </c>
      <c r="W117" s="19"/>
      <c r="X117" s="19"/>
    </row>
    <row r="118" customFormat="false" ht="16" hidden="false" customHeight="false" outlineLevel="0" collapsed="false">
      <c r="A118" s="8" t="s">
        <v>24</v>
      </c>
      <c r="B118" s="9" t="s">
        <v>25</v>
      </c>
      <c r="C118" s="9" t="s">
        <v>26</v>
      </c>
      <c r="D118" s="10" t="n">
        <v>1789</v>
      </c>
      <c r="E118" s="9" t="s">
        <v>27</v>
      </c>
      <c r="F118" s="9" t="s">
        <v>28</v>
      </c>
      <c r="G118" s="11" t="n">
        <v>2</v>
      </c>
      <c r="H118" s="12"/>
      <c r="I118" s="13"/>
      <c r="J118" s="13"/>
      <c r="K118" s="14"/>
      <c r="L118" s="15"/>
      <c r="M118" s="14"/>
      <c r="N118" s="14"/>
      <c r="O118" s="16"/>
      <c r="P118" s="17" t="n">
        <f aca="false">M118+(0.05*N118)+(O118/240)</f>
        <v>0</v>
      </c>
      <c r="Q118" s="14"/>
      <c r="R118" s="14"/>
      <c r="S118" s="14"/>
      <c r="T118" s="14" t="n">
        <f aca="false">Q118+(R118*0.05)+(S118/240)</f>
        <v>0</v>
      </c>
      <c r="U118" s="14" t="n">
        <f aca="false">K118*P118</f>
        <v>0</v>
      </c>
      <c r="V118" s="18" t="n">
        <f aca="false">T118-U118</f>
        <v>0</v>
      </c>
      <c r="W118" s="19"/>
      <c r="X118" s="19"/>
    </row>
    <row r="119" customFormat="false" ht="16" hidden="false" customHeight="false" outlineLevel="0" collapsed="false">
      <c r="A119" s="8" t="s">
        <v>24</v>
      </c>
      <c r="B119" s="9" t="s">
        <v>25</v>
      </c>
      <c r="C119" s="9" t="s">
        <v>26</v>
      </c>
      <c r="D119" s="10" t="n">
        <v>1789</v>
      </c>
      <c r="E119" s="9" t="s">
        <v>27</v>
      </c>
      <c r="F119" s="9" t="s">
        <v>28</v>
      </c>
      <c r="G119" s="11" t="n">
        <v>2</v>
      </c>
      <c r="H119" s="12"/>
      <c r="I119" s="13"/>
      <c r="J119" s="13"/>
      <c r="K119" s="14"/>
      <c r="L119" s="15"/>
      <c r="M119" s="14"/>
      <c r="N119" s="14"/>
      <c r="O119" s="16"/>
      <c r="P119" s="17" t="n">
        <f aca="false">M119+(0.05*N119)+(O119/240)</f>
        <v>0</v>
      </c>
      <c r="Q119" s="14"/>
      <c r="R119" s="14"/>
      <c r="S119" s="14"/>
      <c r="T119" s="14" t="n">
        <f aca="false">Q119+(R119*0.05)+(S119/240)</f>
        <v>0</v>
      </c>
      <c r="U119" s="14" t="n">
        <f aca="false">K119*P119</f>
        <v>0</v>
      </c>
      <c r="V119" s="18" t="n">
        <f aca="false">T119-U119</f>
        <v>0</v>
      </c>
      <c r="W119" s="19"/>
      <c r="X119" s="19"/>
    </row>
    <row r="120" customFormat="false" ht="16" hidden="false" customHeight="false" outlineLevel="0" collapsed="false">
      <c r="A120" s="8" t="s">
        <v>24</v>
      </c>
      <c r="B120" s="9" t="s">
        <v>25</v>
      </c>
      <c r="C120" s="9" t="s">
        <v>26</v>
      </c>
      <c r="D120" s="10" t="n">
        <v>1789</v>
      </c>
      <c r="E120" s="9" t="s">
        <v>27</v>
      </c>
      <c r="F120" s="9" t="s">
        <v>28</v>
      </c>
      <c r="G120" s="11" t="n">
        <v>2</v>
      </c>
      <c r="H120" s="12"/>
      <c r="I120" s="13"/>
      <c r="J120" s="13"/>
      <c r="K120" s="14"/>
      <c r="L120" s="15"/>
      <c r="M120" s="14"/>
      <c r="N120" s="14"/>
      <c r="O120" s="16"/>
      <c r="P120" s="17" t="n">
        <f aca="false">M120+(0.05*N120)+(O120/240)</f>
        <v>0</v>
      </c>
      <c r="Q120" s="14"/>
      <c r="R120" s="14"/>
      <c r="S120" s="14"/>
      <c r="T120" s="14" t="n">
        <f aca="false">Q120+(R120*0.05)+(S120/240)</f>
        <v>0</v>
      </c>
      <c r="U120" s="14" t="n">
        <f aca="false">K120*P120</f>
        <v>0</v>
      </c>
      <c r="V120" s="18" t="n">
        <f aca="false">T120-U120</f>
        <v>0</v>
      </c>
      <c r="W120" s="19"/>
      <c r="X120" s="19"/>
    </row>
    <row r="121" customFormat="false" ht="16" hidden="false" customHeight="false" outlineLevel="0" collapsed="false">
      <c r="A121" s="8" t="s">
        <v>24</v>
      </c>
      <c r="B121" s="9" t="s">
        <v>25</v>
      </c>
      <c r="C121" s="9" t="s">
        <v>26</v>
      </c>
      <c r="D121" s="10" t="n">
        <v>1789</v>
      </c>
      <c r="E121" s="9" t="s">
        <v>27</v>
      </c>
      <c r="F121" s="9" t="s">
        <v>28</v>
      </c>
      <c r="G121" s="11" t="n">
        <v>2</v>
      </c>
      <c r="H121" s="12"/>
      <c r="I121" s="13"/>
      <c r="J121" s="13"/>
      <c r="K121" s="14"/>
      <c r="L121" s="15"/>
      <c r="M121" s="14"/>
      <c r="N121" s="14"/>
      <c r="O121" s="16"/>
      <c r="P121" s="17" t="n">
        <f aca="false">M121+(0.05*N121)+(O121/240)</f>
        <v>0</v>
      </c>
      <c r="Q121" s="14"/>
      <c r="R121" s="14"/>
      <c r="S121" s="14"/>
      <c r="T121" s="14" t="n">
        <f aca="false">Q121+(R121*0.05)+(S121/240)</f>
        <v>0</v>
      </c>
      <c r="U121" s="14" t="n">
        <f aca="false">K121*P121</f>
        <v>0</v>
      </c>
      <c r="V121" s="18" t="n">
        <f aca="false">T121-U121</f>
        <v>0</v>
      </c>
      <c r="W121" s="19"/>
      <c r="X121" s="19"/>
    </row>
    <row r="122" customFormat="false" ht="16" hidden="false" customHeight="false" outlineLevel="0" collapsed="false">
      <c r="A122" s="8" t="s">
        <v>24</v>
      </c>
      <c r="B122" s="9" t="s">
        <v>25</v>
      </c>
      <c r="C122" s="9" t="s">
        <v>26</v>
      </c>
      <c r="D122" s="10" t="n">
        <v>1789</v>
      </c>
      <c r="E122" s="9" t="s">
        <v>27</v>
      </c>
      <c r="F122" s="9" t="s">
        <v>28</v>
      </c>
      <c r="G122" s="11" t="n">
        <v>2</v>
      </c>
      <c r="H122" s="12"/>
      <c r="I122" s="13"/>
      <c r="J122" s="13"/>
      <c r="K122" s="14"/>
      <c r="L122" s="15"/>
      <c r="M122" s="14"/>
      <c r="N122" s="14"/>
      <c r="O122" s="16"/>
      <c r="P122" s="17" t="n">
        <f aca="false">M122+(0.05*N122)+(O122/240)</f>
        <v>0</v>
      </c>
      <c r="Q122" s="14"/>
      <c r="R122" s="14"/>
      <c r="S122" s="14"/>
      <c r="T122" s="14" t="n">
        <f aca="false">Q122+(R122*0.05)+(S122/240)</f>
        <v>0</v>
      </c>
      <c r="U122" s="14" t="n">
        <f aca="false">K122*P122</f>
        <v>0</v>
      </c>
      <c r="V122" s="18" t="n">
        <f aca="false">T122-U122</f>
        <v>0</v>
      </c>
      <c r="W122" s="19"/>
      <c r="X122" s="19"/>
    </row>
    <row r="123" customFormat="false" ht="16" hidden="false" customHeight="false" outlineLevel="0" collapsed="false">
      <c r="A123" s="8" t="s">
        <v>24</v>
      </c>
      <c r="B123" s="9" t="s">
        <v>25</v>
      </c>
      <c r="C123" s="9" t="s">
        <v>26</v>
      </c>
      <c r="D123" s="10" t="n">
        <v>1789</v>
      </c>
      <c r="E123" s="9" t="s">
        <v>27</v>
      </c>
      <c r="F123" s="9" t="s">
        <v>28</v>
      </c>
      <c r="G123" s="11" t="n">
        <v>2</v>
      </c>
      <c r="H123" s="12"/>
      <c r="I123" s="13"/>
      <c r="J123" s="13"/>
      <c r="K123" s="14"/>
      <c r="L123" s="15"/>
      <c r="M123" s="14"/>
      <c r="N123" s="14"/>
      <c r="O123" s="16"/>
      <c r="P123" s="17" t="n">
        <f aca="false">M123+(0.05*N123)+(O123/240)</f>
        <v>0</v>
      </c>
      <c r="Q123" s="14"/>
      <c r="R123" s="14"/>
      <c r="S123" s="14"/>
      <c r="T123" s="14" t="n">
        <f aca="false">Q123+(R123*0.05)+(S123/240)</f>
        <v>0</v>
      </c>
      <c r="U123" s="14" t="n">
        <f aca="false">K123*P123</f>
        <v>0</v>
      </c>
      <c r="V123" s="18" t="n">
        <f aca="false">T123-U123</f>
        <v>0</v>
      </c>
      <c r="W123" s="19"/>
      <c r="X123" s="19"/>
    </row>
    <row r="124" customFormat="false" ht="16" hidden="false" customHeight="false" outlineLevel="0" collapsed="false">
      <c r="A124" s="8" t="s">
        <v>24</v>
      </c>
      <c r="B124" s="9" t="s">
        <v>25</v>
      </c>
      <c r="C124" s="9" t="s">
        <v>26</v>
      </c>
      <c r="D124" s="10" t="n">
        <v>1789</v>
      </c>
      <c r="E124" s="9" t="s">
        <v>27</v>
      </c>
      <c r="F124" s="9" t="s">
        <v>28</v>
      </c>
      <c r="G124" s="11" t="n">
        <v>2</v>
      </c>
      <c r="H124" s="12"/>
      <c r="I124" s="13"/>
      <c r="J124" s="13"/>
      <c r="K124" s="14"/>
      <c r="L124" s="15"/>
      <c r="M124" s="14"/>
      <c r="N124" s="14"/>
      <c r="O124" s="16"/>
      <c r="P124" s="17" t="n">
        <f aca="false">M124+(0.05*N124)+(O124/240)</f>
        <v>0</v>
      </c>
      <c r="Q124" s="14"/>
      <c r="R124" s="14"/>
      <c r="S124" s="14"/>
      <c r="T124" s="14" t="n">
        <f aca="false">Q124+(R124*0.05)+(S124/240)</f>
        <v>0</v>
      </c>
      <c r="U124" s="14" t="n">
        <f aca="false">K124*P124</f>
        <v>0</v>
      </c>
      <c r="V124" s="18" t="n">
        <f aca="false">T124-U124</f>
        <v>0</v>
      </c>
      <c r="W124" s="19"/>
      <c r="X124" s="19"/>
    </row>
    <row r="125" customFormat="false" ht="16" hidden="false" customHeight="false" outlineLevel="0" collapsed="false">
      <c r="A125" s="8" t="s">
        <v>24</v>
      </c>
      <c r="B125" s="9" t="s">
        <v>25</v>
      </c>
      <c r="C125" s="9" t="s">
        <v>26</v>
      </c>
      <c r="D125" s="10" t="n">
        <v>1789</v>
      </c>
      <c r="E125" s="9" t="s">
        <v>27</v>
      </c>
      <c r="F125" s="9" t="s">
        <v>28</v>
      </c>
      <c r="G125" s="11" t="n">
        <v>2</v>
      </c>
      <c r="H125" s="12"/>
      <c r="I125" s="13"/>
      <c r="J125" s="13"/>
      <c r="K125" s="14"/>
      <c r="L125" s="15"/>
      <c r="M125" s="14"/>
      <c r="N125" s="14"/>
      <c r="O125" s="16"/>
      <c r="P125" s="17" t="n">
        <f aca="false">M125+(0.05*N125)+(O125/240)</f>
        <v>0</v>
      </c>
      <c r="Q125" s="14"/>
      <c r="R125" s="14"/>
      <c r="S125" s="14"/>
      <c r="T125" s="14" t="n">
        <f aca="false">Q125+(R125*0.05)+(S125/240)</f>
        <v>0</v>
      </c>
      <c r="U125" s="14" t="n">
        <f aca="false">K125*P125</f>
        <v>0</v>
      </c>
      <c r="V125" s="18" t="n">
        <f aca="false">T125-U125</f>
        <v>0</v>
      </c>
      <c r="W125" s="19"/>
      <c r="X125" s="19"/>
    </row>
    <row r="126" customFormat="false" ht="16" hidden="false" customHeight="false" outlineLevel="0" collapsed="false">
      <c r="A126" s="8" t="s">
        <v>24</v>
      </c>
      <c r="B126" s="9" t="s">
        <v>25</v>
      </c>
      <c r="C126" s="9" t="s">
        <v>26</v>
      </c>
      <c r="D126" s="10" t="n">
        <v>1789</v>
      </c>
      <c r="E126" s="9" t="s">
        <v>27</v>
      </c>
      <c r="F126" s="9" t="s">
        <v>28</v>
      </c>
      <c r="G126" s="11" t="n">
        <v>2</v>
      </c>
      <c r="H126" s="12"/>
      <c r="I126" s="13"/>
      <c r="J126" s="13"/>
      <c r="K126" s="14"/>
      <c r="L126" s="15"/>
      <c r="M126" s="14"/>
      <c r="N126" s="14"/>
      <c r="O126" s="16"/>
      <c r="P126" s="17" t="n">
        <f aca="false">M126+(0.05*N126)+(O126/240)</f>
        <v>0</v>
      </c>
      <c r="Q126" s="14"/>
      <c r="R126" s="14"/>
      <c r="S126" s="14"/>
      <c r="T126" s="14" t="n">
        <f aca="false">Q126+(R126*0.05)+(S126/240)</f>
        <v>0</v>
      </c>
      <c r="U126" s="14" t="n">
        <f aca="false">K126*P126</f>
        <v>0</v>
      </c>
      <c r="V126" s="18" t="n">
        <f aca="false">T126-U126</f>
        <v>0</v>
      </c>
      <c r="W126" s="19"/>
      <c r="X126" s="19"/>
    </row>
    <row r="127" customFormat="false" ht="16" hidden="false" customHeight="false" outlineLevel="0" collapsed="false">
      <c r="A127" s="8" t="s">
        <v>24</v>
      </c>
      <c r="B127" s="9" t="s">
        <v>25</v>
      </c>
      <c r="C127" s="9" t="s">
        <v>26</v>
      </c>
      <c r="D127" s="10" t="n">
        <v>1789</v>
      </c>
      <c r="E127" s="9" t="s">
        <v>27</v>
      </c>
      <c r="F127" s="9" t="s">
        <v>28</v>
      </c>
      <c r="G127" s="11" t="n">
        <v>2</v>
      </c>
      <c r="H127" s="12"/>
      <c r="I127" s="13"/>
      <c r="J127" s="13"/>
      <c r="K127" s="14"/>
      <c r="L127" s="15"/>
      <c r="M127" s="14"/>
      <c r="N127" s="14"/>
      <c r="O127" s="16"/>
      <c r="P127" s="17" t="n">
        <f aca="false">M127+(0.05*N127)+(O127/240)</f>
        <v>0</v>
      </c>
      <c r="Q127" s="14"/>
      <c r="R127" s="14"/>
      <c r="S127" s="14"/>
      <c r="T127" s="14" t="n">
        <f aca="false">Q127+(R127*0.05)+(S127/240)</f>
        <v>0</v>
      </c>
      <c r="U127" s="14" t="n">
        <f aca="false">K127*P127</f>
        <v>0</v>
      </c>
      <c r="V127" s="18" t="n">
        <f aca="false">T127-U127</f>
        <v>0</v>
      </c>
      <c r="W127" s="19"/>
      <c r="X127" s="19"/>
    </row>
    <row r="128" customFormat="false" ht="16" hidden="false" customHeight="false" outlineLevel="0" collapsed="false">
      <c r="A128" s="8" t="s">
        <v>24</v>
      </c>
      <c r="B128" s="9" t="s">
        <v>25</v>
      </c>
      <c r="C128" s="9" t="s">
        <v>26</v>
      </c>
      <c r="D128" s="10" t="n">
        <v>1789</v>
      </c>
      <c r="E128" s="9" t="s">
        <v>27</v>
      </c>
      <c r="F128" s="9" t="s">
        <v>28</v>
      </c>
      <c r="G128" s="11" t="n">
        <v>2</v>
      </c>
      <c r="H128" s="12"/>
      <c r="I128" s="13"/>
      <c r="J128" s="13"/>
      <c r="K128" s="14"/>
      <c r="L128" s="15"/>
      <c r="M128" s="14"/>
      <c r="N128" s="14"/>
      <c r="O128" s="16"/>
      <c r="P128" s="17" t="n">
        <f aca="false">M128+(0.05*N128)+(O128/240)</f>
        <v>0</v>
      </c>
      <c r="Q128" s="14"/>
      <c r="R128" s="14"/>
      <c r="S128" s="14"/>
      <c r="T128" s="14" t="n">
        <f aca="false">Q128+(R128*0.05)+(S128/240)</f>
        <v>0</v>
      </c>
      <c r="U128" s="14" t="n">
        <f aca="false">K128*P128</f>
        <v>0</v>
      </c>
      <c r="V128" s="18" t="n">
        <f aca="false">T128-U128</f>
        <v>0</v>
      </c>
      <c r="W128" s="19"/>
      <c r="X128" s="19"/>
    </row>
    <row r="129" customFormat="false" ht="16" hidden="false" customHeight="false" outlineLevel="0" collapsed="false">
      <c r="A129" s="8" t="s">
        <v>24</v>
      </c>
      <c r="B129" s="9" t="s">
        <v>25</v>
      </c>
      <c r="C129" s="9" t="s">
        <v>26</v>
      </c>
      <c r="D129" s="10" t="n">
        <v>1789</v>
      </c>
      <c r="E129" s="9" t="s">
        <v>27</v>
      </c>
      <c r="F129" s="9" t="s">
        <v>28</v>
      </c>
      <c r="G129" s="11" t="n">
        <v>2</v>
      </c>
      <c r="H129" s="12"/>
      <c r="I129" s="13"/>
      <c r="J129" s="13"/>
      <c r="K129" s="14"/>
      <c r="L129" s="15"/>
      <c r="M129" s="14"/>
      <c r="N129" s="14"/>
      <c r="O129" s="16"/>
      <c r="P129" s="17" t="n">
        <f aca="false">M129+(0.05*N129)+(O129/240)</f>
        <v>0</v>
      </c>
      <c r="Q129" s="14"/>
      <c r="R129" s="14"/>
      <c r="S129" s="14"/>
      <c r="T129" s="14" t="n">
        <f aca="false">Q129+(R129*0.05)+(S129/240)</f>
        <v>0</v>
      </c>
      <c r="U129" s="14" t="n">
        <f aca="false">K129*P129</f>
        <v>0</v>
      </c>
      <c r="V129" s="18" t="n">
        <f aca="false">T129-U129</f>
        <v>0</v>
      </c>
      <c r="W129" s="19"/>
      <c r="X129" s="19"/>
    </row>
    <row r="130" customFormat="false" ht="16" hidden="false" customHeight="false" outlineLevel="0" collapsed="false">
      <c r="A130" s="8" t="s">
        <v>24</v>
      </c>
      <c r="B130" s="9" t="s">
        <v>25</v>
      </c>
      <c r="C130" s="9" t="s">
        <v>26</v>
      </c>
      <c r="D130" s="10" t="n">
        <v>1789</v>
      </c>
      <c r="E130" s="9" t="s">
        <v>27</v>
      </c>
      <c r="F130" s="9" t="s">
        <v>28</v>
      </c>
      <c r="G130" s="11" t="n">
        <v>2</v>
      </c>
      <c r="H130" s="12"/>
      <c r="I130" s="13"/>
      <c r="J130" s="13"/>
      <c r="K130" s="14"/>
      <c r="L130" s="15"/>
      <c r="M130" s="14"/>
      <c r="N130" s="14"/>
      <c r="O130" s="16"/>
      <c r="P130" s="17" t="n">
        <f aca="false">M130+(0.05*N130)+(O130/240)</f>
        <v>0</v>
      </c>
      <c r="Q130" s="14"/>
      <c r="R130" s="14"/>
      <c r="S130" s="14"/>
      <c r="T130" s="14" t="n">
        <f aca="false">Q130+(R130*0.05)+(S130/240)</f>
        <v>0</v>
      </c>
      <c r="U130" s="14" t="n">
        <f aca="false">K130*P130</f>
        <v>0</v>
      </c>
      <c r="V130" s="18" t="n">
        <f aca="false">T130-U130</f>
        <v>0</v>
      </c>
      <c r="W130" s="19"/>
      <c r="X130" s="19"/>
    </row>
    <row r="131" customFormat="false" ht="16" hidden="false" customHeight="false" outlineLevel="0" collapsed="false">
      <c r="A131" s="8" t="s">
        <v>24</v>
      </c>
      <c r="B131" s="9" t="s">
        <v>25</v>
      </c>
      <c r="C131" s="9" t="s">
        <v>26</v>
      </c>
      <c r="D131" s="10" t="n">
        <v>1789</v>
      </c>
      <c r="E131" s="9" t="s">
        <v>27</v>
      </c>
      <c r="F131" s="9" t="s">
        <v>28</v>
      </c>
      <c r="G131" s="11" t="n">
        <v>2</v>
      </c>
      <c r="H131" s="12"/>
      <c r="I131" s="13"/>
      <c r="J131" s="13"/>
      <c r="K131" s="14"/>
      <c r="L131" s="15"/>
      <c r="M131" s="14"/>
      <c r="N131" s="14"/>
      <c r="O131" s="16"/>
      <c r="P131" s="17" t="n">
        <f aca="false">M131+(0.05*N131)+(O131/240)</f>
        <v>0</v>
      </c>
      <c r="Q131" s="14"/>
      <c r="R131" s="14"/>
      <c r="S131" s="14"/>
      <c r="T131" s="14" t="n">
        <f aca="false">Q131+(R131*0.05)+(S131/240)</f>
        <v>0</v>
      </c>
      <c r="U131" s="14" t="n">
        <f aca="false">K131*P131</f>
        <v>0</v>
      </c>
      <c r="V131" s="18" t="n">
        <f aca="false">T131-U131</f>
        <v>0</v>
      </c>
      <c r="W131" s="19"/>
      <c r="X131" s="19"/>
    </row>
    <row r="132" customFormat="false" ht="16" hidden="false" customHeight="false" outlineLevel="0" collapsed="false">
      <c r="A132" s="8" t="s">
        <v>24</v>
      </c>
      <c r="B132" s="9" t="s">
        <v>25</v>
      </c>
      <c r="C132" s="9" t="s">
        <v>26</v>
      </c>
      <c r="D132" s="10" t="n">
        <v>1789</v>
      </c>
      <c r="E132" s="9" t="s">
        <v>27</v>
      </c>
      <c r="F132" s="9" t="s">
        <v>28</v>
      </c>
      <c r="G132" s="11" t="n">
        <v>2</v>
      </c>
      <c r="H132" s="12"/>
      <c r="I132" s="13"/>
      <c r="J132" s="13"/>
      <c r="K132" s="14"/>
      <c r="L132" s="15"/>
      <c r="M132" s="14"/>
      <c r="N132" s="14"/>
      <c r="O132" s="16"/>
      <c r="P132" s="17" t="n">
        <f aca="false">M132+(0.05*N132)+(O132/240)</f>
        <v>0</v>
      </c>
      <c r="Q132" s="14"/>
      <c r="R132" s="14"/>
      <c r="S132" s="14"/>
      <c r="T132" s="14" t="n">
        <f aca="false">Q132+(R132*0.05)+(S132/240)</f>
        <v>0</v>
      </c>
      <c r="U132" s="14" t="n">
        <f aca="false">K132*P132</f>
        <v>0</v>
      </c>
      <c r="V132" s="18" t="n">
        <f aca="false">T132-U132</f>
        <v>0</v>
      </c>
      <c r="W132" s="19"/>
      <c r="X132" s="19"/>
    </row>
    <row r="133" customFormat="false" ht="16" hidden="false" customHeight="false" outlineLevel="0" collapsed="false">
      <c r="A133" s="8" t="s">
        <v>24</v>
      </c>
      <c r="B133" s="9" t="s">
        <v>25</v>
      </c>
      <c r="C133" s="9" t="s">
        <v>26</v>
      </c>
      <c r="D133" s="10" t="n">
        <v>1789</v>
      </c>
      <c r="E133" s="9" t="s">
        <v>27</v>
      </c>
      <c r="F133" s="9" t="s">
        <v>28</v>
      </c>
      <c r="G133" s="11" t="n">
        <v>2</v>
      </c>
      <c r="H133" s="12"/>
      <c r="I133" s="13"/>
      <c r="J133" s="13"/>
      <c r="K133" s="14"/>
      <c r="L133" s="15"/>
      <c r="M133" s="14"/>
      <c r="N133" s="14"/>
      <c r="O133" s="16"/>
      <c r="P133" s="17" t="n">
        <f aca="false">M133+(0.05*N133)+(O133/240)</f>
        <v>0</v>
      </c>
      <c r="Q133" s="14"/>
      <c r="R133" s="14"/>
      <c r="S133" s="14"/>
      <c r="T133" s="14" t="n">
        <f aca="false">Q133+(R133*0.05)+(S133/240)</f>
        <v>0</v>
      </c>
      <c r="U133" s="14" t="n">
        <f aca="false">K133*P133</f>
        <v>0</v>
      </c>
      <c r="V133" s="18" t="n">
        <f aca="false">T133-U133</f>
        <v>0</v>
      </c>
      <c r="W133" s="19"/>
      <c r="X133" s="19"/>
    </row>
    <row r="134" customFormat="false" ht="16" hidden="false" customHeight="false" outlineLevel="0" collapsed="false">
      <c r="A134" s="8" t="s">
        <v>24</v>
      </c>
      <c r="B134" s="9" t="s">
        <v>25</v>
      </c>
      <c r="C134" s="9" t="s">
        <v>26</v>
      </c>
      <c r="D134" s="10" t="n">
        <v>1789</v>
      </c>
      <c r="E134" s="9" t="s">
        <v>27</v>
      </c>
      <c r="F134" s="9" t="s">
        <v>28</v>
      </c>
      <c r="G134" s="11" t="n">
        <v>2</v>
      </c>
      <c r="H134" s="12"/>
      <c r="I134" s="13"/>
      <c r="J134" s="13"/>
      <c r="K134" s="14"/>
      <c r="L134" s="15"/>
      <c r="M134" s="14"/>
      <c r="N134" s="14"/>
      <c r="O134" s="16"/>
      <c r="P134" s="17" t="n">
        <f aca="false">M134+(0.05*N134)+(O134/240)</f>
        <v>0</v>
      </c>
      <c r="Q134" s="14"/>
      <c r="R134" s="14"/>
      <c r="S134" s="14"/>
      <c r="T134" s="14" t="n">
        <f aca="false">Q134+(R134*0.05)+(S134/240)</f>
        <v>0</v>
      </c>
      <c r="U134" s="14" t="n">
        <f aca="false">K134*P134</f>
        <v>0</v>
      </c>
      <c r="V134" s="18" t="n">
        <f aca="false">T134-U134</f>
        <v>0</v>
      </c>
      <c r="W134" s="19"/>
      <c r="X134" s="19"/>
    </row>
    <row r="135" customFormat="false" ht="16" hidden="false" customHeight="false" outlineLevel="0" collapsed="false">
      <c r="A135" s="8" t="s">
        <v>24</v>
      </c>
      <c r="B135" s="9" t="s">
        <v>25</v>
      </c>
      <c r="C135" s="9" t="s">
        <v>26</v>
      </c>
      <c r="D135" s="10" t="n">
        <v>1789</v>
      </c>
      <c r="E135" s="9" t="s">
        <v>27</v>
      </c>
      <c r="F135" s="9" t="s">
        <v>28</v>
      </c>
      <c r="G135" s="11" t="n">
        <v>2</v>
      </c>
      <c r="H135" s="12"/>
      <c r="I135" s="13"/>
      <c r="J135" s="13"/>
      <c r="K135" s="14"/>
      <c r="L135" s="15"/>
      <c r="M135" s="14"/>
      <c r="N135" s="14"/>
      <c r="O135" s="16"/>
      <c r="P135" s="17" t="n">
        <f aca="false">M135+(0.05*N135)+(O135/240)</f>
        <v>0</v>
      </c>
      <c r="Q135" s="14"/>
      <c r="R135" s="14"/>
      <c r="S135" s="14"/>
      <c r="T135" s="14" t="n">
        <f aca="false">Q135+(R135*0.05)+(S135/240)</f>
        <v>0</v>
      </c>
      <c r="U135" s="14" t="n">
        <f aca="false">K135*P135</f>
        <v>0</v>
      </c>
      <c r="V135" s="18" t="n">
        <f aca="false">T135-U135</f>
        <v>0</v>
      </c>
      <c r="W135" s="19"/>
      <c r="X135" s="19"/>
    </row>
    <row r="136" customFormat="false" ht="16" hidden="false" customHeight="false" outlineLevel="0" collapsed="false">
      <c r="A136" s="8" t="s">
        <v>24</v>
      </c>
      <c r="B136" s="9" t="s">
        <v>25</v>
      </c>
      <c r="C136" s="9" t="s">
        <v>26</v>
      </c>
      <c r="D136" s="10" t="n">
        <v>1789</v>
      </c>
      <c r="E136" s="9" t="s">
        <v>27</v>
      </c>
      <c r="F136" s="9" t="s">
        <v>28</v>
      </c>
      <c r="G136" s="11" t="n">
        <v>2</v>
      </c>
      <c r="H136" s="12"/>
      <c r="I136" s="13"/>
      <c r="J136" s="13"/>
      <c r="K136" s="14"/>
      <c r="L136" s="15"/>
      <c r="M136" s="14"/>
      <c r="N136" s="14"/>
      <c r="O136" s="16"/>
      <c r="P136" s="17" t="n">
        <f aca="false">M136+(0.05*N136)+(O136/240)</f>
        <v>0</v>
      </c>
      <c r="Q136" s="14"/>
      <c r="R136" s="14"/>
      <c r="S136" s="14"/>
      <c r="T136" s="14" t="n">
        <f aca="false">Q136+(R136*0.05)+(S136/240)</f>
        <v>0</v>
      </c>
      <c r="U136" s="14" t="n">
        <f aca="false">K136*P136</f>
        <v>0</v>
      </c>
      <c r="V136" s="18" t="n">
        <f aca="false">T136-U136</f>
        <v>0</v>
      </c>
      <c r="W136" s="19"/>
      <c r="X136" s="19"/>
    </row>
    <row r="137" customFormat="false" ht="16" hidden="false" customHeight="false" outlineLevel="0" collapsed="false">
      <c r="A137" s="8" t="s">
        <v>24</v>
      </c>
      <c r="B137" s="9" t="s">
        <v>25</v>
      </c>
      <c r="C137" s="9" t="s">
        <v>26</v>
      </c>
      <c r="D137" s="10" t="n">
        <v>1789</v>
      </c>
      <c r="E137" s="9" t="s">
        <v>27</v>
      </c>
      <c r="F137" s="9" t="s">
        <v>28</v>
      </c>
      <c r="G137" s="11" t="n">
        <v>2</v>
      </c>
      <c r="H137" s="12"/>
      <c r="I137" s="13"/>
      <c r="J137" s="13"/>
      <c r="K137" s="14"/>
      <c r="L137" s="15"/>
      <c r="M137" s="14"/>
      <c r="N137" s="14"/>
      <c r="O137" s="16"/>
      <c r="P137" s="17" t="n">
        <f aca="false">M137+(0.05*N137)+(O137/240)</f>
        <v>0</v>
      </c>
      <c r="Q137" s="14"/>
      <c r="R137" s="14"/>
      <c r="S137" s="14"/>
      <c r="T137" s="14" t="n">
        <f aca="false">Q137+(R137*0.05)+(S137/240)</f>
        <v>0</v>
      </c>
      <c r="U137" s="14" t="n">
        <f aca="false">K137*P137</f>
        <v>0</v>
      </c>
      <c r="V137" s="18" t="n">
        <f aca="false">T137-U137</f>
        <v>0</v>
      </c>
      <c r="W137" s="19"/>
      <c r="X137" s="19"/>
    </row>
    <row r="138" customFormat="false" ht="16" hidden="false" customHeight="false" outlineLevel="0" collapsed="false">
      <c r="A138" s="8" t="s">
        <v>24</v>
      </c>
      <c r="B138" s="9" t="s">
        <v>25</v>
      </c>
      <c r="C138" s="9" t="s">
        <v>26</v>
      </c>
      <c r="D138" s="10" t="n">
        <v>1789</v>
      </c>
      <c r="E138" s="9" t="s">
        <v>27</v>
      </c>
      <c r="F138" s="9" t="s">
        <v>28</v>
      </c>
      <c r="G138" s="11" t="n">
        <v>2</v>
      </c>
      <c r="H138" s="12"/>
      <c r="I138" s="13"/>
      <c r="J138" s="13"/>
      <c r="K138" s="14"/>
      <c r="L138" s="15"/>
      <c r="M138" s="14"/>
      <c r="N138" s="14"/>
      <c r="O138" s="16"/>
      <c r="P138" s="17" t="n">
        <f aca="false">M138+(0.05*N138)+(O138/240)</f>
        <v>0</v>
      </c>
      <c r="Q138" s="14"/>
      <c r="R138" s="14"/>
      <c r="S138" s="14"/>
      <c r="T138" s="14" t="n">
        <f aca="false">Q138+(R138*0.05)+(S138/240)</f>
        <v>0</v>
      </c>
      <c r="U138" s="14" t="n">
        <f aca="false">K138*P138</f>
        <v>0</v>
      </c>
      <c r="V138" s="18" t="n">
        <f aca="false">T138-U138</f>
        <v>0</v>
      </c>
      <c r="W138" s="19"/>
      <c r="X138" s="19"/>
    </row>
    <row r="139" customFormat="false" ht="16" hidden="false" customHeight="false" outlineLevel="0" collapsed="false">
      <c r="A139" s="8" t="s">
        <v>24</v>
      </c>
      <c r="B139" s="9" t="s">
        <v>25</v>
      </c>
      <c r="C139" s="9" t="s">
        <v>26</v>
      </c>
      <c r="D139" s="10" t="n">
        <v>1789</v>
      </c>
      <c r="E139" s="9" t="s">
        <v>27</v>
      </c>
      <c r="F139" s="9" t="s">
        <v>28</v>
      </c>
      <c r="G139" s="11" t="n">
        <v>2</v>
      </c>
      <c r="H139" s="12"/>
      <c r="I139" s="13"/>
      <c r="J139" s="13"/>
      <c r="K139" s="14"/>
      <c r="L139" s="15"/>
      <c r="M139" s="14"/>
      <c r="N139" s="14"/>
      <c r="O139" s="16"/>
      <c r="P139" s="17" t="n">
        <f aca="false">M139+(0.05*N139)+(O139/240)</f>
        <v>0</v>
      </c>
      <c r="Q139" s="14"/>
      <c r="R139" s="14"/>
      <c r="S139" s="14"/>
      <c r="T139" s="14" t="n">
        <f aca="false">Q139+(R139*0.05)+(S139/240)</f>
        <v>0</v>
      </c>
      <c r="U139" s="14" t="n">
        <f aca="false">K139*P139</f>
        <v>0</v>
      </c>
      <c r="V139" s="18" t="n">
        <f aca="false">T139-U139</f>
        <v>0</v>
      </c>
      <c r="W139" s="19"/>
      <c r="X139" s="19"/>
    </row>
    <row r="140" customFormat="false" ht="16" hidden="false" customHeight="false" outlineLevel="0" collapsed="false">
      <c r="A140" s="8" t="s">
        <v>24</v>
      </c>
      <c r="B140" s="9" t="s">
        <v>25</v>
      </c>
      <c r="C140" s="9" t="s">
        <v>26</v>
      </c>
      <c r="D140" s="10" t="n">
        <v>1789</v>
      </c>
      <c r="E140" s="9" t="s">
        <v>27</v>
      </c>
      <c r="F140" s="9" t="s">
        <v>28</v>
      </c>
      <c r="G140" s="11" t="n">
        <v>2</v>
      </c>
      <c r="H140" s="12"/>
      <c r="I140" s="13"/>
      <c r="J140" s="13"/>
      <c r="K140" s="14"/>
      <c r="L140" s="15"/>
      <c r="M140" s="14"/>
      <c r="N140" s="14"/>
      <c r="O140" s="16"/>
      <c r="P140" s="17" t="n">
        <f aca="false">M140+(0.05*N140)+(O140/240)</f>
        <v>0</v>
      </c>
      <c r="Q140" s="14"/>
      <c r="R140" s="14"/>
      <c r="S140" s="14"/>
      <c r="T140" s="14" t="n">
        <f aca="false">Q140+(R140*0.05)+(S140/240)</f>
        <v>0</v>
      </c>
      <c r="U140" s="14" t="n">
        <f aca="false">K140*P140</f>
        <v>0</v>
      </c>
      <c r="V140" s="18" t="n">
        <f aca="false">T140-U140</f>
        <v>0</v>
      </c>
      <c r="W140" s="19"/>
      <c r="X140" s="19"/>
    </row>
    <row r="141" customFormat="false" ht="16" hidden="false" customHeight="false" outlineLevel="0" collapsed="false">
      <c r="A141" s="8" t="s">
        <v>24</v>
      </c>
      <c r="B141" s="9" t="s">
        <v>25</v>
      </c>
      <c r="C141" s="9" t="s">
        <v>26</v>
      </c>
      <c r="D141" s="10" t="n">
        <v>1789</v>
      </c>
      <c r="E141" s="9" t="s">
        <v>27</v>
      </c>
      <c r="F141" s="9" t="s">
        <v>28</v>
      </c>
      <c r="G141" s="11" t="n">
        <v>2</v>
      </c>
      <c r="H141" s="12"/>
      <c r="I141" s="13"/>
      <c r="J141" s="13"/>
      <c r="K141" s="14"/>
      <c r="L141" s="15"/>
      <c r="M141" s="14"/>
      <c r="N141" s="14"/>
      <c r="O141" s="16"/>
      <c r="P141" s="17" t="n">
        <f aca="false">M141+(0.05*N141)+(O141/240)</f>
        <v>0</v>
      </c>
      <c r="Q141" s="14"/>
      <c r="R141" s="14"/>
      <c r="S141" s="14"/>
      <c r="T141" s="14" t="n">
        <f aca="false">Q141+(R141*0.05)+(S141/240)</f>
        <v>0</v>
      </c>
      <c r="U141" s="14" t="n">
        <f aca="false">K141*P141</f>
        <v>0</v>
      </c>
      <c r="V141" s="18" t="n">
        <f aca="false">T141-U141</f>
        <v>0</v>
      </c>
      <c r="W141" s="19"/>
      <c r="X141" s="19"/>
    </row>
    <row r="142" customFormat="false" ht="16" hidden="false" customHeight="false" outlineLevel="0" collapsed="false">
      <c r="A142" s="8" t="s">
        <v>24</v>
      </c>
      <c r="B142" s="9" t="s">
        <v>25</v>
      </c>
      <c r="C142" s="9" t="s">
        <v>26</v>
      </c>
      <c r="D142" s="10" t="n">
        <v>1789</v>
      </c>
      <c r="E142" s="9" t="s">
        <v>27</v>
      </c>
      <c r="F142" s="9" t="s">
        <v>28</v>
      </c>
      <c r="G142" s="11" t="n">
        <v>2</v>
      </c>
      <c r="H142" s="12"/>
      <c r="I142" s="13"/>
      <c r="J142" s="13"/>
      <c r="K142" s="14"/>
      <c r="L142" s="15"/>
      <c r="M142" s="14"/>
      <c r="N142" s="14"/>
      <c r="O142" s="16"/>
      <c r="P142" s="17" t="n">
        <f aca="false">M142+(0.05*N142)+(O142/240)</f>
        <v>0</v>
      </c>
      <c r="Q142" s="14"/>
      <c r="R142" s="14"/>
      <c r="S142" s="14"/>
      <c r="T142" s="14" t="n">
        <f aca="false">Q142+(R142*0.05)+(S142/240)</f>
        <v>0</v>
      </c>
      <c r="U142" s="14" t="n">
        <f aca="false">K142*P142</f>
        <v>0</v>
      </c>
      <c r="V142" s="18" t="n">
        <f aca="false">T142-U142</f>
        <v>0</v>
      </c>
      <c r="W142" s="19"/>
      <c r="X142" s="19"/>
    </row>
    <row r="143" customFormat="false" ht="16" hidden="false" customHeight="false" outlineLevel="0" collapsed="false">
      <c r="A143" s="8" t="s">
        <v>24</v>
      </c>
      <c r="B143" s="9" t="s">
        <v>25</v>
      </c>
      <c r="C143" s="9" t="s">
        <v>26</v>
      </c>
      <c r="D143" s="10" t="n">
        <v>1789</v>
      </c>
      <c r="E143" s="9" t="s">
        <v>27</v>
      </c>
      <c r="F143" s="9" t="s">
        <v>28</v>
      </c>
      <c r="G143" s="11" t="n">
        <v>2</v>
      </c>
      <c r="H143" s="12"/>
      <c r="I143" s="13"/>
      <c r="J143" s="13"/>
      <c r="K143" s="14"/>
      <c r="L143" s="15"/>
      <c r="M143" s="14"/>
      <c r="N143" s="14"/>
      <c r="O143" s="16"/>
      <c r="P143" s="17" t="n">
        <f aca="false">M143+(0.05*N143)+(O143/240)</f>
        <v>0</v>
      </c>
      <c r="Q143" s="14"/>
      <c r="R143" s="14"/>
      <c r="S143" s="14"/>
      <c r="T143" s="14" t="n">
        <f aca="false">Q143+(R143*0.05)+(S143/240)</f>
        <v>0</v>
      </c>
      <c r="U143" s="14" t="n">
        <f aca="false">K143*P143</f>
        <v>0</v>
      </c>
      <c r="V143" s="18" t="n">
        <f aca="false">T143-U143</f>
        <v>0</v>
      </c>
      <c r="W143" s="19"/>
      <c r="X143" s="19"/>
    </row>
    <row r="144" customFormat="false" ht="16" hidden="false" customHeight="false" outlineLevel="0" collapsed="false">
      <c r="A144" s="8" t="s">
        <v>24</v>
      </c>
      <c r="B144" s="9" t="s">
        <v>25</v>
      </c>
      <c r="C144" s="9" t="s">
        <v>26</v>
      </c>
      <c r="D144" s="10" t="n">
        <v>1789</v>
      </c>
      <c r="E144" s="9" t="s">
        <v>27</v>
      </c>
      <c r="F144" s="9" t="s">
        <v>28</v>
      </c>
      <c r="G144" s="11" t="n">
        <v>2</v>
      </c>
      <c r="H144" s="12"/>
      <c r="I144" s="13"/>
      <c r="J144" s="13"/>
      <c r="K144" s="14"/>
      <c r="L144" s="15"/>
      <c r="M144" s="14"/>
      <c r="N144" s="14"/>
      <c r="O144" s="16"/>
      <c r="P144" s="17" t="n">
        <f aca="false">M144+(0.05*N144)+(O144/240)</f>
        <v>0</v>
      </c>
      <c r="Q144" s="14"/>
      <c r="R144" s="14"/>
      <c r="S144" s="14"/>
      <c r="T144" s="14" t="n">
        <f aca="false">Q144+(R144*0.05)+(S144/240)</f>
        <v>0</v>
      </c>
      <c r="U144" s="14" t="n">
        <f aca="false">K144*P144</f>
        <v>0</v>
      </c>
      <c r="V144" s="18" t="n">
        <f aca="false">T144-U144</f>
        <v>0</v>
      </c>
      <c r="W144" s="19"/>
      <c r="X144" s="19"/>
    </row>
    <row r="145" customFormat="false" ht="16" hidden="false" customHeight="false" outlineLevel="0" collapsed="false">
      <c r="A145" s="8" t="s">
        <v>24</v>
      </c>
      <c r="B145" s="9" t="s">
        <v>25</v>
      </c>
      <c r="C145" s="9" t="s">
        <v>26</v>
      </c>
      <c r="D145" s="10" t="n">
        <v>1789</v>
      </c>
      <c r="E145" s="9" t="s">
        <v>27</v>
      </c>
      <c r="F145" s="9" t="s">
        <v>28</v>
      </c>
      <c r="G145" s="11" t="n">
        <v>2</v>
      </c>
      <c r="H145" s="12"/>
      <c r="I145" s="13"/>
      <c r="J145" s="13"/>
      <c r="K145" s="14"/>
      <c r="L145" s="15"/>
      <c r="M145" s="14"/>
      <c r="N145" s="14"/>
      <c r="O145" s="16"/>
      <c r="P145" s="17" t="n">
        <f aca="false">M145+(0.05*N145)+(O145/240)</f>
        <v>0</v>
      </c>
      <c r="Q145" s="14"/>
      <c r="R145" s="14"/>
      <c r="S145" s="14"/>
      <c r="T145" s="14" t="n">
        <f aca="false">Q145+(R145*0.05)+(S145/240)</f>
        <v>0</v>
      </c>
      <c r="U145" s="14" t="n">
        <f aca="false">K145*P145</f>
        <v>0</v>
      </c>
      <c r="V145" s="18" t="n">
        <f aca="false">T145-U145</f>
        <v>0</v>
      </c>
      <c r="W145" s="19"/>
      <c r="X145" s="19"/>
    </row>
    <row r="146" customFormat="false" ht="16" hidden="false" customHeight="false" outlineLevel="0" collapsed="false">
      <c r="A146" s="8" t="s">
        <v>24</v>
      </c>
      <c r="B146" s="9" t="s">
        <v>25</v>
      </c>
      <c r="C146" s="9" t="s">
        <v>26</v>
      </c>
      <c r="D146" s="10" t="n">
        <v>1789</v>
      </c>
      <c r="E146" s="9" t="s">
        <v>27</v>
      </c>
      <c r="F146" s="9" t="s">
        <v>28</v>
      </c>
      <c r="G146" s="11" t="n">
        <v>2</v>
      </c>
      <c r="H146" s="12"/>
      <c r="I146" s="13"/>
      <c r="J146" s="13"/>
      <c r="K146" s="14"/>
      <c r="L146" s="15"/>
      <c r="M146" s="14"/>
      <c r="N146" s="14"/>
      <c r="O146" s="16"/>
      <c r="P146" s="17" t="n">
        <f aca="false">M146+(0.05*N146)+(O146/240)</f>
        <v>0</v>
      </c>
      <c r="Q146" s="14"/>
      <c r="R146" s="14"/>
      <c r="S146" s="14"/>
      <c r="T146" s="14" t="n">
        <f aca="false">Q146+(R146*0.05)+(S146/240)</f>
        <v>0</v>
      </c>
      <c r="U146" s="14" t="n">
        <f aca="false">K146*P146</f>
        <v>0</v>
      </c>
      <c r="V146" s="18" t="n">
        <f aca="false">T146-U146</f>
        <v>0</v>
      </c>
      <c r="W146" s="19"/>
      <c r="X146" s="19"/>
    </row>
    <row r="147" customFormat="false" ht="16" hidden="false" customHeight="false" outlineLevel="0" collapsed="false">
      <c r="A147" s="8" t="s">
        <v>24</v>
      </c>
      <c r="B147" s="9" t="s">
        <v>25</v>
      </c>
      <c r="C147" s="9" t="s">
        <v>26</v>
      </c>
      <c r="D147" s="10" t="n">
        <v>1789</v>
      </c>
      <c r="E147" s="9" t="s">
        <v>27</v>
      </c>
      <c r="F147" s="9" t="s">
        <v>28</v>
      </c>
      <c r="G147" s="11" t="n">
        <v>2</v>
      </c>
      <c r="H147" s="12"/>
      <c r="I147" s="13"/>
      <c r="J147" s="13"/>
      <c r="K147" s="14"/>
      <c r="L147" s="15"/>
      <c r="M147" s="14"/>
      <c r="N147" s="14"/>
      <c r="O147" s="16"/>
      <c r="P147" s="17" t="n">
        <f aca="false">M147+(0.05*N147)+(O147/240)</f>
        <v>0</v>
      </c>
      <c r="Q147" s="14"/>
      <c r="R147" s="14"/>
      <c r="S147" s="14"/>
      <c r="T147" s="14" t="n">
        <f aca="false">Q147+(R147*0.05)+(S147/240)</f>
        <v>0</v>
      </c>
      <c r="U147" s="14" t="n">
        <f aca="false">K147*P147</f>
        <v>0</v>
      </c>
      <c r="V147" s="18" t="n">
        <f aca="false">T147-U147</f>
        <v>0</v>
      </c>
      <c r="W147" s="19"/>
      <c r="X147" s="19"/>
    </row>
    <row r="148" customFormat="false" ht="16" hidden="false" customHeight="false" outlineLevel="0" collapsed="false">
      <c r="A148" s="8" t="s">
        <v>24</v>
      </c>
      <c r="B148" s="9" t="s">
        <v>25</v>
      </c>
      <c r="C148" s="9" t="s">
        <v>26</v>
      </c>
      <c r="D148" s="10" t="n">
        <v>1789</v>
      </c>
      <c r="E148" s="9" t="s">
        <v>27</v>
      </c>
      <c r="F148" s="9" t="s">
        <v>28</v>
      </c>
      <c r="G148" s="11" t="n">
        <v>2</v>
      </c>
      <c r="H148" s="12"/>
      <c r="I148" s="13"/>
      <c r="J148" s="13"/>
      <c r="K148" s="14"/>
      <c r="L148" s="15"/>
      <c r="M148" s="14"/>
      <c r="N148" s="14"/>
      <c r="O148" s="16"/>
      <c r="P148" s="17" t="n">
        <f aca="false">M148+(0.05*N148)+(O148/240)</f>
        <v>0</v>
      </c>
      <c r="Q148" s="14"/>
      <c r="R148" s="14"/>
      <c r="S148" s="14"/>
      <c r="T148" s="14" t="n">
        <f aca="false">Q148+(R148*0.05)+(S148/240)</f>
        <v>0</v>
      </c>
      <c r="U148" s="14" t="n">
        <f aca="false">K148*P148</f>
        <v>0</v>
      </c>
      <c r="V148" s="18" t="n">
        <f aca="false">T148-U148</f>
        <v>0</v>
      </c>
      <c r="W148" s="19"/>
      <c r="X148" s="19"/>
    </row>
    <row r="149" customFormat="false" ht="16" hidden="false" customHeight="false" outlineLevel="0" collapsed="false">
      <c r="A149" s="8" t="s">
        <v>24</v>
      </c>
      <c r="B149" s="9" t="s">
        <v>25</v>
      </c>
      <c r="C149" s="9" t="s">
        <v>26</v>
      </c>
      <c r="D149" s="10" t="n">
        <v>1789</v>
      </c>
      <c r="E149" s="9" t="s">
        <v>27</v>
      </c>
      <c r="F149" s="9" t="s">
        <v>28</v>
      </c>
      <c r="G149" s="11" t="n">
        <v>2</v>
      </c>
      <c r="H149" s="12"/>
      <c r="I149" s="13"/>
      <c r="J149" s="13"/>
      <c r="K149" s="14"/>
      <c r="L149" s="15"/>
      <c r="M149" s="14"/>
      <c r="N149" s="14"/>
      <c r="O149" s="16"/>
      <c r="P149" s="17" t="n">
        <f aca="false">M149+(0.05*N149)+(O149/240)</f>
        <v>0</v>
      </c>
      <c r="Q149" s="14"/>
      <c r="R149" s="14"/>
      <c r="S149" s="14"/>
      <c r="T149" s="14" t="n">
        <f aca="false">Q149+(R149*0.05)+(S149/240)</f>
        <v>0</v>
      </c>
      <c r="U149" s="14" t="n">
        <f aca="false">K149*P149</f>
        <v>0</v>
      </c>
      <c r="V149" s="18" t="n">
        <f aca="false">T149-U149</f>
        <v>0</v>
      </c>
      <c r="W149" s="19"/>
      <c r="X149" s="19"/>
    </row>
  </sheetData>
  <conditionalFormatting sqref="V2:V149">
    <cfRule type="cellIs" priority="2" operator="greaterThan" aboveAverage="0" equalAverage="0" bottom="0" percent="0" rank="0" text="" dxfId="0">
      <formula>0</formula>
    </cfRule>
  </conditionalFormatting>
  <conditionalFormatting sqref="V1">
    <cfRule type="cellIs" priority="3" operator="greaterThan" aboveAverage="0" equalAverage="0" bottom="0" percent="0" rank="0" text="" dxfId="1">
      <formula>0</formula>
    </cfRule>
  </conditionalFormatting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150"/>
  <sheetViews>
    <sheetView windowProtection="false" showFormulas="false" showGridLines="true" showRowColHeaders="true" showZeros="true" rightToLeft="false" tabSelected="false" showOutlineSymbols="true" defaultGridColor="true" view="normal" topLeftCell="A96" colorId="64" zoomScale="45" zoomScaleNormal="45" zoomScalePageLayoutView="100" workbookViewId="0">
      <selection pane="topLeft" activeCell="G16" activeCellId="0" sqref="G16"/>
    </sheetView>
  </sheetViews>
  <sheetFormatPr defaultRowHeight="16"/>
  <cols>
    <col collapsed="false" hidden="false" max="1" min="1" style="0" width="14.924882629108"/>
    <col collapsed="false" hidden="false" max="2" min="2" style="0" width="8.6056338028169"/>
    <col collapsed="false" hidden="false" max="3" min="3" style="0" width="12.4976525821596"/>
    <col collapsed="false" hidden="false" max="4" min="4" style="0" width="6.73239436619718"/>
    <col collapsed="false" hidden="false" max="5" min="5" style="0" width="9.32394366197183"/>
    <col collapsed="false" hidden="false" max="6" min="6" style="0" width="8.92488262910798"/>
    <col collapsed="false" hidden="false" max="7" min="7" style="0" width="5.1924882629108"/>
    <col collapsed="false" hidden="false" max="8" min="8" style="0" width="18.169014084507"/>
    <col collapsed="false" hidden="false" max="9" min="9" style="0" width="7.79342723004695"/>
    <col collapsed="false" hidden="false" max="10" min="10" style="0" width="8.76056338028169"/>
    <col collapsed="false" hidden="false" max="11" min="11" style="0" width="9.32394366197183"/>
    <col collapsed="false" hidden="false" max="12" min="12" style="0" width="8.6056338028169"/>
    <col collapsed="false" hidden="false" max="13" min="13" style="1" width="18.6572769953052"/>
    <col collapsed="false" hidden="false" max="15" min="14" style="0" width="8.11737089201878"/>
    <col collapsed="false" hidden="false" max="16" min="16" style="0" width="10.8638497652582"/>
    <col collapsed="false" hidden="false" max="17" min="17" style="0" width="9.48826291079812"/>
    <col collapsed="false" hidden="false" max="18" min="18" style="0" width="7.79342723004695"/>
    <col collapsed="false" hidden="false" max="19" min="19" style="0" width="6.89671361502347"/>
    <col collapsed="false" hidden="false" max="20" min="20" style="0" width="11.5211267605634"/>
    <col collapsed="false" hidden="false" max="21" min="21" style="0" width="9.81220657276995"/>
    <col collapsed="false" hidden="false" max="22" min="22" style="0" width="10.4694835680751"/>
    <col collapsed="false" hidden="false" max="23" min="23" style="0" width="10.6338028169014"/>
    <col collapsed="false" hidden="false" max="24" min="24" style="0" width="9.16901408450704"/>
    <col collapsed="false" hidden="false" max="25" min="25" style="0" width="9.81220657276995"/>
    <col collapsed="false" hidden="false" max="26" min="26" style="0" width="9.32394366197183"/>
    <col collapsed="false" hidden="false" max="33" min="27" style="0" width="9.81220657276995"/>
    <col collapsed="false" hidden="false" max="34" min="34" style="0" width="9.32394366197183"/>
    <col collapsed="false" hidden="false" max="36" min="35" style="0" width="9.81220657276995"/>
    <col collapsed="false" hidden="false" max="37" min="37" style="0" width="10.8638497652582"/>
    <col collapsed="false" hidden="false" max="38" min="38" style="0" width="12.7370892018779"/>
    <col collapsed="false" hidden="false" max="39" min="39" style="0" width="8.27230046948357"/>
    <col collapsed="false" hidden="false" max="40" min="40" style="0" width="15.5774647887324"/>
    <col collapsed="false" hidden="false" max="41" min="41" style="0" width="8.43661971830986"/>
    <col collapsed="false" hidden="false" max="42" min="42" style="0" width="18.8215962441315"/>
    <col collapsed="false" hidden="false" max="43" min="43" style="0" width="14.1924882629108"/>
    <col collapsed="false" hidden="false" max="44" min="44" style="0" width="15.5774647887324"/>
    <col collapsed="false" hidden="false" max="45" min="45" style="0" width="17.4413145539906"/>
    <col collapsed="false" hidden="false" max="46" min="46" style="0" width="23.6103286384977"/>
    <col collapsed="false" hidden="false" max="1025" min="47" style="0" width="10.5399061032864"/>
  </cols>
  <sheetData>
    <row r="1" customFormat="false" ht="84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4" t="s">
        <v>8</v>
      </c>
      <c r="J1" s="4" t="s">
        <v>9</v>
      </c>
      <c r="K1" s="5" t="s">
        <v>10</v>
      </c>
      <c r="L1" s="6" t="s">
        <v>11</v>
      </c>
      <c r="M1" s="5" t="s">
        <v>12</v>
      </c>
      <c r="N1" s="5" t="s">
        <v>13</v>
      </c>
      <c r="O1" s="5" t="s">
        <v>14</v>
      </c>
      <c r="P1" s="7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6" t="s">
        <v>22</v>
      </c>
      <c r="X1" s="6" t="s">
        <v>23</v>
      </c>
    </row>
    <row r="2" customFormat="false" ht="16" hidden="false" customHeight="false" outlineLevel="0" collapsed="false">
      <c r="A2" s="8" t="s">
        <v>24</v>
      </c>
      <c r="B2" s="9" t="s">
        <v>25</v>
      </c>
      <c r="C2" s="9" t="s">
        <v>26</v>
      </c>
      <c r="D2" s="10" t="n">
        <v>1789</v>
      </c>
      <c r="E2" s="9" t="s">
        <v>27</v>
      </c>
      <c r="F2" s="9" t="s">
        <v>29</v>
      </c>
      <c r="G2" s="11" t="n">
        <v>6</v>
      </c>
      <c r="H2" s="12"/>
      <c r="I2" s="13"/>
      <c r="J2" s="13"/>
      <c r="K2" s="14"/>
      <c r="L2" s="15"/>
      <c r="M2" s="14"/>
      <c r="N2" s="14"/>
      <c r="O2" s="16"/>
      <c r="P2" s="17" t="n">
        <f aca="false">M2+(0.05*N2)+(O2/240)</f>
        <v>0</v>
      </c>
      <c r="Q2" s="14"/>
      <c r="R2" s="14"/>
      <c r="S2" s="14"/>
      <c r="T2" s="14" t="n">
        <f aca="false">Q2+(R2*0.05)+(S2/240)</f>
        <v>0</v>
      </c>
      <c r="U2" s="14" t="n">
        <f aca="false">K2*P2</f>
        <v>0</v>
      </c>
      <c r="V2" s="18" t="n">
        <f aca="false">T2-U2</f>
        <v>0</v>
      </c>
      <c r="W2" s="19"/>
      <c r="X2" s="19"/>
    </row>
    <row r="3" customFormat="false" ht="16" hidden="false" customHeight="false" outlineLevel="0" collapsed="false">
      <c r="A3" s="8" t="s">
        <v>24</v>
      </c>
      <c r="B3" s="9" t="s">
        <v>25</v>
      </c>
      <c r="C3" s="9" t="s">
        <v>26</v>
      </c>
      <c r="D3" s="10" t="n">
        <v>1789</v>
      </c>
      <c r="E3" s="9" t="s">
        <v>27</v>
      </c>
      <c r="F3" s="9" t="s">
        <v>29</v>
      </c>
      <c r="G3" s="11" t="n">
        <v>6</v>
      </c>
      <c r="H3" s="12"/>
      <c r="I3" s="13"/>
      <c r="J3" s="13"/>
      <c r="K3" s="14"/>
      <c r="L3" s="15"/>
      <c r="M3" s="14"/>
      <c r="N3" s="14"/>
      <c r="O3" s="16"/>
      <c r="P3" s="17" t="n">
        <f aca="false">M3+(0.05*N3)+(O3/240)</f>
        <v>0</v>
      </c>
      <c r="Q3" s="14"/>
      <c r="R3" s="14"/>
      <c r="S3" s="14"/>
      <c r="T3" s="14" t="n">
        <f aca="false">Q3+(R3*0.05)+(S3/240)</f>
        <v>0</v>
      </c>
      <c r="U3" s="14" t="n">
        <f aca="false">K3*P3</f>
        <v>0</v>
      </c>
      <c r="V3" s="18" t="n">
        <f aca="false">T3-U3</f>
        <v>0</v>
      </c>
      <c r="W3" s="19"/>
      <c r="X3" s="19"/>
    </row>
    <row r="4" customFormat="false" ht="16" hidden="false" customHeight="false" outlineLevel="0" collapsed="false">
      <c r="A4" s="8" t="s">
        <v>24</v>
      </c>
      <c r="B4" s="9" t="s">
        <v>25</v>
      </c>
      <c r="C4" s="9" t="s">
        <v>26</v>
      </c>
      <c r="D4" s="10" t="n">
        <v>1789</v>
      </c>
      <c r="E4" s="9" t="s">
        <v>27</v>
      </c>
      <c r="F4" s="9" t="s">
        <v>29</v>
      </c>
      <c r="G4" s="11" t="n">
        <v>6</v>
      </c>
      <c r="H4" s="12"/>
      <c r="I4" s="13"/>
      <c r="J4" s="13"/>
      <c r="K4" s="14"/>
      <c r="L4" s="15"/>
      <c r="M4" s="14"/>
      <c r="N4" s="14"/>
      <c r="O4" s="16"/>
      <c r="P4" s="17" t="n">
        <f aca="false">M4+(0.05*N4)+(O4/240)</f>
        <v>0</v>
      </c>
      <c r="Q4" s="14"/>
      <c r="R4" s="14"/>
      <c r="S4" s="14"/>
      <c r="T4" s="14" t="n">
        <f aca="false">Q4+(R4*0.05)+(S4/240)</f>
        <v>0</v>
      </c>
      <c r="U4" s="14" t="n">
        <f aca="false">K4*P4</f>
        <v>0</v>
      </c>
      <c r="V4" s="18" t="n">
        <f aca="false">T4-U4</f>
        <v>0</v>
      </c>
      <c r="W4" s="19"/>
      <c r="X4" s="19"/>
    </row>
    <row r="5" customFormat="false" ht="16" hidden="false" customHeight="false" outlineLevel="0" collapsed="false">
      <c r="A5" s="8" t="s">
        <v>24</v>
      </c>
      <c r="B5" s="9" t="s">
        <v>25</v>
      </c>
      <c r="C5" s="9" t="s">
        <v>26</v>
      </c>
      <c r="D5" s="10" t="n">
        <v>1789</v>
      </c>
      <c r="E5" s="9" t="s">
        <v>27</v>
      </c>
      <c r="F5" s="9" t="s">
        <v>29</v>
      </c>
      <c r="G5" s="11" t="n">
        <v>6</v>
      </c>
      <c r="H5" s="12"/>
      <c r="I5" s="13"/>
      <c r="J5" s="13"/>
      <c r="K5" s="14"/>
      <c r="L5" s="15"/>
      <c r="M5" s="14"/>
      <c r="N5" s="14"/>
      <c r="O5" s="16"/>
      <c r="P5" s="17" t="n">
        <f aca="false">M5+(0.05*N5)+(O5/240)</f>
        <v>0</v>
      </c>
      <c r="Q5" s="14"/>
      <c r="R5" s="14"/>
      <c r="S5" s="14"/>
      <c r="T5" s="14" t="n">
        <f aca="false">Q5+(R5*0.05)+(S5/240)</f>
        <v>0</v>
      </c>
      <c r="U5" s="14" t="n">
        <f aca="false">K5*P5</f>
        <v>0</v>
      </c>
      <c r="V5" s="18" t="n">
        <f aca="false">T5-U5</f>
        <v>0</v>
      </c>
      <c r="W5" s="19"/>
      <c r="X5" s="19"/>
    </row>
    <row r="6" customFormat="false" ht="16" hidden="false" customHeight="false" outlineLevel="0" collapsed="false">
      <c r="A6" s="8" t="s">
        <v>24</v>
      </c>
      <c r="B6" s="9" t="s">
        <v>25</v>
      </c>
      <c r="C6" s="9" t="s">
        <v>26</v>
      </c>
      <c r="D6" s="10" t="n">
        <v>1789</v>
      </c>
      <c r="E6" s="9" t="s">
        <v>27</v>
      </c>
      <c r="F6" s="9" t="s">
        <v>29</v>
      </c>
      <c r="G6" s="11" t="n">
        <v>6</v>
      </c>
      <c r="H6" s="12"/>
      <c r="I6" s="13"/>
      <c r="J6" s="13"/>
      <c r="K6" s="14"/>
      <c r="L6" s="15"/>
      <c r="M6" s="14"/>
      <c r="N6" s="14"/>
      <c r="O6" s="16"/>
      <c r="P6" s="17" t="n">
        <f aca="false">M6+(0.05*N6)+(O6/240)</f>
        <v>0</v>
      </c>
      <c r="Q6" s="14"/>
      <c r="R6" s="14"/>
      <c r="S6" s="14"/>
      <c r="T6" s="14" t="n">
        <f aca="false">Q6+(R6*0.05)+(S6/240)</f>
        <v>0</v>
      </c>
      <c r="U6" s="14" t="n">
        <f aca="false">K6*P6</f>
        <v>0</v>
      </c>
      <c r="V6" s="18" t="n">
        <f aca="false">T6-U6</f>
        <v>0</v>
      </c>
      <c r="W6" s="19"/>
      <c r="X6" s="19"/>
    </row>
    <row r="7" customFormat="false" ht="16" hidden="false" customHeight="false" outlineLevel="0" collapsed="false">
      <c r="A7" s="8" t="s">
        <v>24</v>
      </c>
      <c r="B7" s="9" t="s">
        <v>25</v>
      </c>
      <c r="C7" s="9" t="s">
        <v>26</v>
      </c>
      <c r="D7" s="10" t="n">
        <v>1789</v>
      </c>
      <c r="E7" s="9" t="s">
        <v>27</v>
      </c>
      <c r="F7" s="9" t="s">
        <v>29</v>
      </c>
      <c r="G7" s="11" t="n">
        <v>6</v>
      </c>
      <c r="H7" s="12"/>
      <c r="I7" s="13"/>
      <c r="J7" s="13"/>
      <c r="K7" s="14"/>
      <c r="L7" s="15"/>
      <c r="M7" s="14"/>
      <c r="N7" s="14"/>
      <c r="O7" s="16"/>
      <c r="P7" s="17" t="n">
        <f aca="false">M7+(0.05*N7)+(O7/240)</f>
        <v>0</v>
      </c>
      <c r="Q7" s="14"/>
      <c r="R7" s="14"/>
      <c r="S7" s="14"/>
      <c r="T7" s="14" t="n">
        <f aca="false">Q7+(R7*0.05)+(S7/240)</f>
        <v>0</v>
      </c>
      <c r="U7" s="14" t="n">
        <f aca="false">K7*P7</f>
        <v>0</v>
      </c>
      <c r="V7" s="18" t="n">
        <f aca="false">T7-U7</f>
        <v>0</v>
      </c>
      <c r="W7" s="19"/>
      <c r="X7" s="19"/>
    </row>
    <row r="8" customFormat="false" ht="16" hidden="false" customHeight="false" outlineLevel="0" collapsed="false">
      <c r="A8" s="8" t="s">
        <v>24</v>
      </c>
      <c r="B8" s="9" t="s">
        <v>25</v>
      </c>
      <c r="C8" s="9" t="s">
        <v>26</v>
      </c>
      <c r="D8" s="10" t="n">
        <v>1789</v>
      </c>
      <c r="E8" s="9" t="s">
        <v>27</v>
      </c>
      <c r="F8" s="9" t="s">
        <v>29</v>
      </c>
      <c r="G8" s="11" t="n">
        <v>6</v>
      </c>
      <c r="H8" s="12"/>
      <c r="I8" s="13"/>
      <c r="J8" s="13"/>
      <c r="K8" s="14"/>
      <c r="L8" s="15"/>
      <c r="M8" s="14"/>
      <c r="N8" s="14"/>
      <c r="O8" s="16"/>
      <c r="P8" s="17" t="n">
        <f aca="false">M8+(0.05*N8)+(O8/240)</f>
        <v>0</v>
      </c>
      <c r="Q8" s="14"/>
      <c r="R8" s="14"/>
      <c r="S8" s="14"/>
      <c r="T8" s="14" t="n">
        <f aca="false">Q8+(R8*0.05)+(S8/240)</f>
        <v>0</v>
      </c>
      <c r="U8" s="14" t="n">
        <f aca="false">K8*P8</f>
        <v>0</v>
      </c>
      <c r="V8" s="18" t="n">
        <f aca="false">T8-U8</f>
        <v>0</v>
      </c>
      <c r="W8" s="19"/>
      <c r="X8" s="19"/>
    </row>
    <row r="9" customFormat="false" ht="16" hidden="false" customHeight="false" outlineLevel="0" collapsed="false">
      <c r="A9" s="8" t="s">
        <v>24</v>
      </c>
      <c r="B9" s="9" t="s">
        <v>25</v>
      </c>
      <c r="C9" s="9" t="s">
        <v>26</v>
      </c>
      <c r="D9" s="10" t="n">
        <v>1789</v>
      </c>
      <c r="E9" s="9" t="s">
        <v>27</v>
      </c>
      <c r="F9" s="9" t="s">
        <v>29</v>
      </c>
      <c r="G9" s="11" t="n">
        <v>6</v>
      </c>
      <c r="H9" s="12"/>
      <c r="I9" s="13"/>
      <c r="J9" s="13"/>
      <c r="K9" s="14"/>
      <c r="L9" s="15"/>
      <c r="M9" s="14"/>
      <c r="N9" s="14"/>
      <c r="O9" s="16"/>
      <c r="P9" s="17" t="n">
        <f aca="false">M9+(0.05*N9)+(O9/240)</f>
        <v>0</v>
      </c>
      <c r="Q9" s="14"/>
      <c r="R9" s="14"/>
      <c r="S9" s="14"/>
      <c r="T9" s="14" t="n">
        <f aca="false">Q9+(R9*0.05)+(S9/240)</f>
        <v>0</v>
      </c>
      <c r="U9" s="14" t="n">
        <f aca="false">K9*P9</f>
        <v>0</v>
      </c>
      <c r="V9" s="18" t="n">
        <f aca="false">T9-U9</f>
        <v>0</v>
      </c>
      <c r="W9" s="19"/>
      <c r="X9" s="19"/>
    </row>
    <row r="10" customFormat="false" ht="16" hidden="false" customHeight="false" outlineLevel="0" collapsed="false">
      <c r="A10" s="8" t="s">
        <v>24</v>
      </c>
      <c r="B10" s="9" t="s">
        <v>25</v>
      </c>
      <c r="C10" s="9" t="s">
        <v>26</v>
      </c>
      <c r="D10" s="10" t="n">
        <v>1789</v>
      </c>
      <c r="E10" s="9" t="s">
        <v>27</v>
      </c>
      <c r="F10" s="9" t="s">
        <v>29</v>
      </c>
      <c r="G10" s="11" t="n">
        <v>6</v>
      </c>
      <c r="H10" s="12"/>
      <c r="I10" s="13"/>
      <c r="J10" s="13"/>
      <c r="K10" s="14"/>
      <c r="L10" s="15"/>
      <c r="M10" s="14"/>
      <c r="N10" s="14"/>
      <c r="O10" s="16"/>
      <c r="P10" s="17" t="n">
        <f aca="false">M10+(0.05*N10)+(O10/240)</f>
        <v>0</v>
      </c>
      <c r="Q10" s="14"/>
      <c r="R10" s="14"/>
      <c r="S10" s="14"/>
      <c r="T10" s="14" t="n">
        <f aca="false">Q10+(R10*0.05)+(S10/240)</f>
        <v>0</v>
      </c>
      <c r="U10" s="14" t="n">
        <f aca="false">K10*P10</f>
        <v>0</v>
      </c>
      <c r="V10" s="18" t="n">
        <f aca="false">T10-U10</f>
        <v>0</v>
      </c>
      <c r="W10" s="19"/>
      <c r="X10" s="19"/>
    </row>
    <row r="11" customFormat="false" ht="16" hidden="false" customHeight="false" outlineLevel="0" collapsed="false">
      <c r="A11" s="8" t="s">
        <v>24</v>
      </c>
      <c r="B11" s="9" t="s">
        <v>25</v>
      </c>
      <c r="C11" s="9" t="s">
        <v>26</v>
      </c>
      <c r="D11" s="10" t="n">
        <v>1789</v>
      </c>
      <c r="E11" s="9" t="s">
        <v>27</v>
      </c>
      <c r="F11" s="9" t="s">
        <v>29</v>
      </c>
      <c r="G11" s="11" t="n">
        <v>6</v>
      </c>
      <c r="H11" s="12"/>
      <c r="I11" s="13"/>
      <c r="J11" s="13"/>
      <c r="K11" s="14"/>
      <c r="L11" s="15"/>
      <c r="M11" s="14"/>
      <c r="N11" s="14"/>
      <c r="O11" s="16"/>
      <c r="P11" s="17" t="n">
        <f aca="false">M11+(0.05*N11)+(O11/240)</f>
        <v>0</v>
      </c>
      <c r="Q11" s="14"/>
      <c r="R11" s="14"/>
      <c r="S11" s="14"/>
      <c r="T11" s="14" t="n">
        <f aca="false">Q11+(R11*0.05)+(S11/240)</f>
        <v>0</v>
      </c>
      <c r="U11" s="14" t="n">
        <f aca="false">K11*P11</f>
        <v>0</v>
      </c>
      <c r="V11" s="18" t="n">
        <f aca="false">T11-U11</f>
        <v>0</v>
      </c>
      <c r="W11" s="19"/>
      <c r="X11" s="19"/>
    </row>
    <row r="12" customFormat="false" ht="16" hidden="false" customHeight="false" outlineLevel="0" collapsed="false">
      <c r="A12" s="8" t="s">
        <v>24</v>
      </c>
      <c r="B12" s="9" t="s">
        <v>25</v>
      </c>
      <c r="C12" s="9" t="s">
        <v>26</v>
      </c>
      <c r="D12" s="10" t="n">
        <v>1789</v>
      </c>
      <c r="E12" s="9" t="s">
        <v>27</v>
      </c>
      <c r="F12" s="9" t="s">
        <v>29</v>
      </c>
      <c r="G12" s="11" t="n">
        <v>6</v>
      </c>
      <c r="H12" s="12"/>
      <c r="I12" s="13"/>
      <c r="J12" s="13"/>
      <c r="K12" s="14"/>
      <c r="L12" s="15"/>
      <c r="M12" s="14"/>
      <c r="N12" s="14"/>
      <c r="O12" s="16"/>
      <c r="P12" s="17" t="n">
        <f aca="false">M12+(0.05*N12)+(O12/240)</f>
        <v>0</v>
      </c>
      <c r="Q12" s="14"/>
      <c r="R12" s="14"/>
      <c r="S12" s="14"/>
      <c r="T12" s="14" t="n">
        <f aca="false">Q12+(R12*0.05)+(S12/240)</f>
        <v>0</v>
      </c>
      <c r="U12" s="14" t="n">
        <f aca="false">K12*P12</f>
        <v>0</v>
      </c>
      <c r="V12" s="18" t="n">
        <f aca="false">T12-U12</f>
        <v>0</v>
      </c>
      <c r="W12" s="19"/>
      <c r="X12" s="19"/>
    </row>
    <row r="13" customFormat="false" ht="16" hidden="false" customHeight="false" outlineLevel="0" collapsed="false">
      <c r="A13" s="8" t="s">
        <v>24</v>
      </c>
      <c r="B13" s="9" t="s">
        <v>25</v>
      </c>
      <c r="C13" s="9" t="s">
        <v>26</v>
      </c>
      <c r="D13" s="10" t="n">
        <v>1789</v>
      </c>
      <c r="E13" s="9" t="s">
        <v>27</v>
      </c>
      <c r="F13" s="9" t="s">
        <v>29</v>
      </c>
      <c r="G13" s="11" t="n">
        <v>6</v>
      </c>
      <c r="H13" s="12"/>
      <c r="I13" s="13"/>
      <c r="J13" s="13"/>
      <c r="K13" s="14"/>
      <c r="L13" s="15"/>
      <c r="M13" s="14"/>
      <c r="N13" s="14"/>
      <c r="O13" s="16"/>
      <c r="P13" s="17" t="n">
        <f aca="false">M13+(0.05*N13)+(O13/240)</f>
        <v>0</v>
      </c>
      <c r="Q13" s="14"/>
      <c r="R13" s="14"/>
      <c r="S13" s="14"/>
      <c r="T13" s="14" t="n">
        <f aca="false">Q13+(R13*0.05)+(S13/240)</f>
        <v>0</v>
      </c>
      <c r="U13" s="14" t="n">
        <f aca="false">K13*P13</f>
        <v>0</v>
      </c>
      <c r="V13" s="18" t="n">
        <f aca="false">T13-U13</f>
        <v>0</v>
      </c>
      <c r="W13" s="19"/>
      <c r="X13" s="19"/>
    </row>
    <row r="14" customFormat="false" ht="16" hidden="false" customHeight="false" outlineLevel="0" collapsed="false">
      <c r="A14" s="8" t="s">
        <v>24</v>
      </c>
      <c r="B14" s="9" t="s">
        <v>25</v>
      </c>
      <c r="C14" s="9" t="s">
        <v>26</v>
      </c>
      <c r="D14" s="10" t="n">
        <v>1789</v>
      </c>
      <c r="E14" s="9" t="s">
        <v>27</v>
      </c>
      <c r="F14" s="9" t="s">
        <v>29</v>
      </c>
      <c r="G14" s="11" t="n">
        <v>6</v>
      </c>
      <c r="H14" s="12"/>
      <c r="I14" s="13"/>
      <c r="J14" s="13"/>
      <c r="K14" s="14"/>
      <c r="L14" s="15"/>
      <c r="M14" s="14"/>
      <c r="N14" s="14"/>
      <c r="O14" s="16"/>
      <c r="P14" s="17" t="n">
        <f aca="false">M14+(0.05*N14)+(O14/240)</f>
        <v>0</v>
      </c>
      <c r="Q14" s="14"/>
      <c r="R14" s="14"/>
      <c r="S14" s="14"/>
      <c r="T14" s="14" t="n">
        <f aca="false">Q14+(R14*0.05)+(S14/240)</f>
        <v>0</v>
      </c>
      <c r="U14" s="14" t="n">
        <f aca="false">K14*P14</f>
        <v>0</v>
      </c>
      <c r="V14" s="18" t="n">
        <f aca="false">T14-U14</f>
        <v>0</v>
      </c>
      <c r="W14" s="19"/>
      <c r="X14" s="19"/>
    </row>
    <row r="15" customFormat="false" ht="16" hidden="false" customHeight="false" outlineLevel="0" collapsed="false">
      <c r="A15" s="8" t="s">
        <v>24</v>
      </c>
      <c r="B15" s="9" t="s">
        <v>25</v>
      </c>
      <c r="C15" s="9" t="s">
        <v>26</v>
      </c>
      <c r="D15" s="10" t="n">
        <v>1789</v>
      </c>
      <c r="E15" s="9" t="s">
        <v>27</v>
      </c>
      <c r="F15" s="9" t="s">
        <v>29</v>
      </c>
      <c r="G15" s="11" t="n">
        <v>6</v>
      </c>
      <c r="H15" s="12"/>
      <c r="I15" s="13"/>
      <c r="J15" s="13"/>
      <c r="K15" s="14"/>
      <c r="L15" s="15"/>
      <c r="M15" s="14"/>
      <c r="N15" s="14"/>
      <c r="O15" s="16"/>
      <c r="P15" s="17" t="n">
        <f aca="false">M15+(0.05*N15)+(O15/240)</f>
        <v>0</v>
      </c>
      <c r="Q15" s="14"/>
      <c r="R15" s="14"/>
      <c r="S15" s="14"/>
      <c r="T15" s="14" t="n">
        <f aca="false">Q15+(R15*0.05)+(S15/240)</f>
        <v>0</v>
      </c>
      <c r="U15" s="14" t="n">
        <f aca="false">K15*P15</f>
        <v>0</v>
      </c>
      <c r="V15" s="18" t="n">
        <f aca="false">T15-U15</f>
        <v>0</v>
      </c>
      <c r="W15" s="19"/>
      <c r="X15" s="19"/>
    </row>
    <row r="16" customFormat="false" ht="16" hidden="false" customHeight="false" outlineLevel="0" collapsed="false">
      <c r="A16" s="8" t="s">
        <v>24</v>
      </c>
      <c r="B16" s="9" t="s">
        <v>25</v>
      </c>
      <c r="C16" s="9" t="s">
        <v>26</v>
      </c>
      <c r="D16" s="10" t="n">
        <v>1789</v>
      </c>
      <c r="E16" s="9" t="s">
        <v>27</v>
      </c>
      <c r="F16" s="9" t="s">
        <v>29</v>
      </c>
      <c r="G16" s="11" t="n">
        <v>6</v>
      </c>
      <c r="H16" s="12"/>
      <c r="I16" s="13"/>
      <c r="J16" s="13"/>
      <c r="K16" s="14"/>
      <c r="L16" s="15"/>
      <c r="M16" s="14"/>
      <c r="N16" s="14"/>
      <c r="O16" s="16"/>
      <c r="P16" s="17" t="n">
        <f aca="false">M16+(0.05*N16)+(O16/240)</f>
        <v>0</v>
      </c>
      <c r="Q16" s="14"/>
      <c r="R16" s="14"/>
      <c r="S16" s="14"/>
      <c r="T16" s="14" t="n">
        <f aca="false">Q16+(R16*0.05)+(S16/240)</f>
        <v>0</v>
      </c>
      <c r="U16" s="14" t="n">
        <f aca="false">K16*P16</f>
        <v>0</v>
      </c>
      <c r="V16" s="18" t="n">
        <f aca="false">T16-U16</f>
        <v>0</v>
      </c>
      <c r="W16" s="19"/>
      <c r="X16" s="19"/>
    </row>
    <row r="17" customFormat="false" ht="16" hidden="false" customHeight="false" outlineLevel="0" collapsed="false">
      <c r="A17" s="8" t="s">
        <v>24</v>
      </c>
      <c r="B17" s="9" t="s">
        <v>25</v>
      </c>
      <c r="C17" s="9" t="s">
        <v>26</v>
      </c>
      <c r="D17" s="10" t="n">
        <v>1789</v>
      </c>
      <c r="E17" s="9" t="s">
        <v>27</v>
      </c>
      <c r="F17" s="9" t="s">
        <v>29</v>
      </c>
      <c r="G17" s="11" t="n">
        <v>6</v>
      </c>
      <c r="H17" s="12"/>
      <c r="I17" s="13"/>
      <c r="J17" s="13"/>
      <c r="K17" s="14"/>
      <c r="L17" s="15"/>
      <c r="M17" s="14"/>
      <c r="N17" s="14"/>
      <c r="O17" s="16"/>
      <c r="P17" s="17" t="n">
        <f aca="false">M17+(0.05*N17)+(O17/240)</f>
        <v>0</v>
      </c>
      <c r="Q17" s="14"/>
      <c r="R17" s="14"/>
      <c r="S17" s="14"/>
      <c r="T17" s="14" t="n">
        <f aca="false">Q17+(R17*0.05)+(S17/240)</f>
        <v>0</v>
      </c>
      <c r="U17" s="14" t="n">
        <f aca="false">K17*P17</f>
        <v>0</v>
      </c>
      <c r="V17" s="18" t="n">
        <f aca="false">T17-U17</f>
        <v>0</v>
      </c>
      <c r="W17" s="19"/>
      <c r="X17" s="19"/>
    </row>
    <row r="18" customFormat="false" ht="16" hidden="false" customHeight="false" outlineLevel="0" collapsed="false">
      <c r="A18" s="8" t="s">
        <v>24</v>
      </c>
      <c r="B18" s="9" t="s">
        <v>25</v>
      </c>
      <c r="C18" s="9" t="s">
        <v>26</v>
      </c>
      <c r="D18" s="10" t="n">
        <v>1789</v>
      </c>
      <c r="E18" s="9" t="s">
        <v>27</v>
      </c>
      <c r="F18" s="9" t="s">
        <v>29</v>
      </c>
      <c r="G18" s="11" t="n">
        <v>6</v>
      </c>
      <c r="H18" s="12"/>
      <c r="I18" s="13"/>
      <c r="J18" s="13"/>
      <c r="K18" s="14"/>
      <c r="L18" s="15"/>
      <c r="M18" s="14"/>
      <c r="N18" s="14"/>
      <c r="O18" s="16"/>
      <c r="P18" s="17" t="n">
        <f aca="false">M18+(0.05*N18)+(O18/240)</f>
        <v>0</v>
      </c>
      <c r="Q18" s="14"/>
      <c r="R18" s="14"/>
      <c r="S18" s="14"/>
      <c r="T18" s="14" t="n">
        <f aca="false">Q18+(R18*0.05)+(S18/240)</f>
        <v>0</v>
      </c>
      <c r="U18" s="14" t="n">
        <f aca="false">K18*P18</f>
        <v>0</v>
      </c>
      <c r="V18" s="18" t="n">
        <f aca="false">T18-U18</f>
        <v>0</v>
      </c>
      <c r="W18" s="19"/>
      <c r="X18" s="19"/>
    </row>
    <row r="19" customFormat="false" ht="16" hidden="false" customHeight="false" outlineLevel="0" collapsed="false">
      <c r="A19" s="8" t="s">
        <v>24</v>
      </c>
      <c r="B19" s="9" t="s">
        <v>25</v>
      </c>
      <c r="C19" s="9" t="s">
        <v>26</v>
      </c>
      <c r="D19" s="10" t="n">
        <v>1789</v>
      </c>
      <c r="E19" s="9" t="s">
        <v>27</v>
      </c>
      <c r="F19" s="9" t="s">
        <v>29</v>
      </c>
      <c r="G19" s="11" t="n">
        <v>6</v>
      </c>
      <c r="H19" s="12"/>
      <c r="I19" s="13"/>
      <c r="J19" s="13"/>
      <c r="K19" s="14"/>
      <c r="L19" s="15"/>
      <c r="M19" s="14"/>
      <c r="N19" s="14"/>
      <c r="O19" s="16"/>
      <c r="P19" s="17" t="n">
        <f aca="false">M19+(0.05*N19)+(O19/240)</f>
        <v>0</v>
      </c>
      <c r="Q19" s="14"/>
      <c r="R19" s="14"/>
      <c r="S19" s="14"/>
      <c r="T19" s="14" t="n">
        <f aca="false">Q19+(R19*0.05)+(S19/240)</f>
        <v>0</v>
      </c>
      <c r="U19" s="14" t="n">
        <f aca="false">K19*P19</f>
        <v>0</v>
      </c>
      <c r="V19" s="18" t="n">
        <f aca="false">T19-U19</f>
        <v>0</v>
      </c>
      <c r="W19" s="19"/>
      <c r="X19" s="19"/>
    </row>
    <row r="20" customFormat="false" ht="16" hidden="false" customHeight="false" outlineLevel="0" collapsed="false">
      <c r="A20" s="8" t="s">
        <v>24</v>
      </c>
      <c r="B20" s="9" t="s">
        <v>25</v>
      </c>
      <c r="C20" s="9" t="s">
        <v>26</v>
      </c>
      <c r="D20" s="10" t="n">
        <v>1789</v>
      </c>
      <c r="E20" s="9" t="s">
        <v>27</v>
      </c>
      <c r="F20" s="9" t="s">
        <v>29</v>
      </c>
      <c r="G20" s="11" t="n">
        <v>6</v>
      </c>
      <c r="H20" s="12"/>
      <c r="I20" s="13"/>
      <c r="J20" s="13"/>
      <c r="K20" s="14"/>
      <c r="L20" s="15"/>
      <c r="M20" s="14"/>
      <c r="N20" s="14"/>
      <c r="O20" s="16"/>
      <c r="P20" s="17" t="n">
        <f aca="false">M20+(0.05*N20)+(O20/240)</f>
        <v>0</v>
      </c>
      <c r="Q20" s="14"/>
      <c r="R20" s="14"/>
      <c r="S20" s="14"/>
      <c r="T20" s="14" t="n">
        <f aca="false">Q20+(R20*0.05)+(S20/240)</f>
        <v>0</v>
      </c>
      <c r="U20" s="14" t="n">
        <f aca="false">K20*P20</f>
        <v>0</v>
      </c>
      <c r="V20" s="18" t="n">
        <f aca="false">T20-U20</f>
        <v>0</v>
      </c>
      <c r="W20" s="19"/>
      <c r="X20" s="19"/>
    </row>
    <row r="21" customFormat="false" ht="16" hidden="false" customHeight="false" outlineLevel="0" collapsed="false">
      <c r="A21" s="8" t="s">
        <v>24</v>
      </c>
      <c r="B21" s="9" t="s">
        <v>25</v>
      </c>
      <c r="C21" s="9" t="s">
        <v>26</v>
      </c>
      <c r="D21" s="10" t="n">
        <v>1789</v>
      </c>
      <c r="E21" s="9" t="s">
        <v>27</v>
      </c>
      <c r="F21" s="9" t="s">
        <v>29</v>
      </c>
      <c r="G21" s="11" t="n">
        <v>6</v>
      </c>
      <c r="H21" s="12"/>
      <c r="I21" s="13"/>
      <c r="J21" s="13"/>
      <c r="K21" s="14"/>
      <c r="L21" s="15"/>
      <c r="M21" s="14"/>
      <c r="N21" s="14"/>
      <c r="O21" s="16"/>
      <c r="P21" s="17" t="n">
        <f aca="false">M21+(0.05*N21)+(O21/240)</f>
        <v>0</v>
      </c>
      <c r="Q21" s="14"/>
      <c r="R21" s="14"/>
      <c r="S21" s="14"/>
      <c r="T21" s="14" t="n">
        <f aca="false">Q21+(R21*0.05)+(S21/240)</f>
        <v>0</v>
      </c>
      <c r="U21" s="14" t="n">
        <f aca="false">K21*P21</f>
        <v>0</v>
      </c>
      <c r="V21" s="18" t="n">
        <f aca="false">T21-U21</f>
        <v>0</v>
      </c>
      <c r="W21" s="19"/>
      <c r="X21" s="19"/>
    </row>
    <row r="22" customFormat="false" ht="16" hidden="false" customHeight="false" outlineLevel="0" collapsed="false">
      <c r="A22" s="8" t="s">
        <v>24</v>
      </c>
      <c r="B22" s="9" t="s">
        <v>25</v>
      </c>
      <c r="C22" s="9" t="s">
        <v>26</v>
      </c>
      <c r="D22" s="10" t="n">
        <v>1789</v>
      </c>
      <c r="E22" s="9" t="s">
        <v>27</v>
      </c>
      <c r="F22" s="9" t="s">
        <v>29</v>
      </c>
      <c r="G22" s="11" t="n">
        <v>6</v>
      </c>
      <c r="H22" s="12"/>
      <c r="I22" s="13"/>
      <c r="J22" s="13"/>
      <c r="K22" s="14"/>
      <c r="L22" s="15"/>
      <c r="M22" s="14"/>
      <c r="N22" s="14"/>
      <c r="O22" s="16"/>
      <c r="P22" s="17" t="n">
        <f aca="false">M22+(0.05*N22)+(O22/240)</f>
        <v>0</v>
      </c>
      <c r="Q22" s="14"/>
      <c r="R22" s="14"/>
      <c r="S22" s="14"/>
      <c r="T22" s="14" t="n">
        <f aca="false">Q22+(R22*0.05)+(S22/240)</f>
        <v>0</v>
      </c>
      <c r="U22" s="14" t="n">
        <f aca="false">K22*P22</f>
        <v>0</v>
      </c>
      <c r="V22" s="18" t="n">
        <f aca="false">T22-U22</f>
        <v>0</v>
      </c>
      <c r="W22" s="19"/>
      <c r="X22" s="19"/>
    </row>
    <row r="23" customFormat="false" ht="16" hidden="false" customHeight="false" outlineLevel="0" collapsed="false">
      <c r="A23" s="8" t="s">
        <v>24</v>
      </c>
      <c r="B23" s="9" t="s">
        <v>25</v>
      </c>
      <c r="C23" s="9" t="s">
        <v>26</v>
      </c>
      <c r="D23" s="10" t="n">
        <v>1789</v>
      </c>
      <c r="E23" s="9" t="s">
        <v>27</v>
      </c>
      <c r="F23" s="9" t="s">
        <v>29</v>
      </c>
      <c r="G23" s="11" t="n">
        <v>6</v>
      </c>
      <c r="H23" s="12"/>
      <c r="I23" s="13"/>
      <c r="J23" s="13"/>
      <c r="K23" s="14"/>
      <c r="L23" s="15"/>
      <c r="M23" s="14"/>
      <c r="N23" s="14"/>
      <c r="O23" s="16"/>
      <c r="P23" s="17" t="n">
        <f aca="false">M23+(0.05*N23)+(O23/240)</f>
        <v>0</v>
      </c>
      <c r="Q23" s="14"/>
      <c r="R23" s="14"/>
      <c r="S23" s="14"/>
      <c r="T23" s="14" t="n">
        <f aca="false">Q23+(R23*0.05)+(S23/240)</f>
        <v>0</v>
      </c>
      <c r="U23" s="14" t="n">
        <f aca="false">K23*P23</f>
        <v>0</v>
      </c>
      <c r="V23" s="18" t="n">
        <f aca="false">T23-U23</f>
        <v>0</v>
      </c>
      <c r="W23" s="19"/>
      <c r="X23" s="19"/>
    </row>
    <row r="24" customFormat="false" ht="16" hidden="false" customHeight="false" outlineLevel="0" collapsed="false">
      <c r="A24" s="8" t="s">
        <v>24</v>
      </c>
      <c r="B24" s="9" t="s">
        <v>25</v>
      </c>
      <c r="C24" s="9" t="s">
        <v>26</v>
      </c>
      <c r="D24" s="10" t="n">
        <v>1789</v>
      </c>
      <c r="E24" s="9" t="s">
        <v>27</v>
      </c>
      <c r="F24" s="9" t="s">
        <v>29</v>
      </c>
      <c r="G24" s="11" t="n">
        <v>6</v>
      </c>
      <c r="H24" s="12"/>
      <c r="I24" s="13"/>
      <c r="J24" s="13"/>
      <c r="K24" s="14"/>
      <c r="L24" s="15"/>
      <c r="M24" s="14"/>
      <c r="N24" s="14"/>
      <c r="O24" s="16"/>
      <c r="P24" s="17" t="n">
        <f aca="false">M24+(0.05*N24)+(O24/240)</f>
        <v>0</v>
      </c>
      <c r="Q24" s="14"/>
      <c r="R24" s="14"/>
      <c r="S24" s="14"/>
      <c r="T24" s="14" t="n">
        <f aca="false">Q24+(R24*0.05)+(S24/240)</f>
        <v>0</v>
      </c>
      <c r="U24" s="14" t="n">
        <f aca="false">K24*P24</f>
        <v>0</v>
      </c>
      <c r="V24" s="18" t="n">
        <f aca="false">T24-U24</f>
        <v>0</v>
      </c>
      <c r="W24" s="19"/>
      <c r="X24" s="19"/>
    </row>
    <row r="25" customFormat="false" ht="16" hidden="false" customHeight="false" outlineLevel="0" collapsed="false">
      <c r="A25" s="8" t="s">
        <v>24</v>
      </c>
      <c r="B25" s="9" t="s">
        <v>25</v>
      </c>
      <c r="C25" s="9" t="s">
        <v>26</v>
      </c>
      <c r="D25" s="10" t="n">
        <v>1789</v>
      </c>
      <c r="E25" s="9" t="s">
        <v>27</v>
      </c>
      <c r="F25" s="9" t="s">
        <v>29</v>
      </c>
      <c r="G25" s="11" t="n">
        <v>6</v>
      </c>
      <c r="H25" s="12"/>
      <c r="I25" s="13"/>
      <c r="J25" s="13"/>
      <c r="K25" s="14"/>
      <c r="L25" s="15"/>
      <c r="M25" s="14"/>
      <c r="N25" s="14"/>
      <c r="O25" s="16"/>
      <c r="P25" s="17" t="n">
        <f aca="false">M25+(0.05*N25)+(O25/240)</f>
        <v>0</v>
      </c>
      <c r="Q25" s="14"/>
      <c r="R25" s="14"/>
      <c r="S25" s="14"/>
      <c r="T25" s="14" t="n">
        <f aca="false">Q25+(R25*0.05)+(S25/240)</f>
        <v>0</v>
      </c>
      <c r="U25" s="14" t="n">
        <f aca="false">K25*P25</f>
        <v>0</v>
      </c>
      <c r="V25" s="18" t="n">
        <f aca="false">T25-U25</f>
        <v>0</v>
      </c>
      <c r="W25" s="19"/>
      <c r="X25" s="19"/>
    </row>
    <row r="26" customFormat="false" ht="16" hidden="false" customHeight="false" outlineLevel="0" collapsed="false">
      <c r="A26" s="8" t="s">
        <v>24</v>
      </c>
      <c r="B26" s="9" t="s">
        <v>25</v>
      </c>
      <c r="C26" s="9" t="s">
        <v>26</v>
      </c>
      <c r="D26" s="10" t="n">
        <v>1789</v>
      </c>
      <c r="E26" s="9" t="s">
        <v>27</v>
      </c>
      <c r="F26" s="9" t="s">
        <v>29</v>
      </c>
      <c r="G26" s="11" t="n">
        <v>6</v>
      </c>
      <c r="H26" s="12"/>
      <c r="I26" s="13"/>
      <c r="J26" s="13"/>
      <c r="K26" s="14"/>
      <c r="L26" s="15"/>
      <c r="M26" s="14"/>
      <c r="N26" s="14"/>
      <c r="O26" s="16"/>
      <c r="P26" s="17" t="n">
        <f aca="false">M26+(0.05*N26)+(O26/240)</f>
        <v>0</v>
      </c>
      <c r="Q26" s="14"/>
      <c r="R26" s="14"/>
      <c r="S26" s="14"/>
      <c r="T26" s="14" t="n">
        <f aca="false">Q26+(R26*0.05)+(S26/240)</f>
        <v>0</v>
      </c>
      <c r="U26" s="14" t="n">
        <f aca="false">K26*P26</f>
        <v>0</v>
      </c>
      <c r="V26" s="18" t="n">
        <f aca="false">T26-U26</f>
        <v>0</v>
      </c>
      <c r="W26" s="19"/>
      <c r="X26" s="19"/>
    </row>
    <row r="27" customFormat="false" ht="16" hidden="false" customHeight="false" outlineLevel="0" collapsed="false">
      <c r="A27" s="8" t="s">
        <v>24</v>
      </c>
      <c r="B27" s="9" t="s">
        <v>25</v>
      </c>
      <c r="C27" s="9" t="s">
        <v>26</v>
      </c>
      <c r="D27" s="10" t="n">
        <v>1789</v>
      </c>
      <c r="E27" s="9" t="s">
        <v>27</v>
      </c>
      <c r="F27" s="9" t="s">
        <v>29</v>
      </c>
      <c r="G27" s="11" t="n">
        <v>6</v>
      </c>
      <c r="H27" s="12"/>
      <c r="I27" s="13"/>
      <c r="J27" s="13"/>
      <c r="K27" s="14"/>
      <c r="L27" s="15"/>
      <c r="M27" s="14"/>
      <c r="N27" s="14"/>
      <c r="O27" s="16"/>
      <c r="P27" s="17" t="n">
        <f aca="false">M27+(0.05*N27)+(O27/240)</f>
        <v>0</v>
      </c>
      <c r="Q27" s="14"/>
      <c r="R27" s="14"/>
      <c r="S27" s="14"/>
      <c r="T27" s="14" t="n">
        <f aca="false">Q27+(R27*0.05)+(S27/240)</f>
        <v>0</v>
      </c>
      <c r="U27" s="14" t="n">
        <f aca="false">K27*P27</f>
        <v>0</v>
      </c>
      <c r="V27" s="18" t="n">
        <f aca="false">T27-U27</f>
        <v>0</v>
      </c>
      <c r="W27" s="19"/>
      <c r="X27" s="19"/>
    </row>
    <row r="28" customFormat="false" ht="16" hidden="false" customHeight="false" outlineLevel="0" collapsed="false">
      <c r="A28" s="8" t="s">
        <v>24</v>
      </c>
      <c r="B28" s="9" t="s">
        <v>25</v>
      </c>
      <c r="C28" s="9" t="s">
        <v>26</v>
      </c>
      <c r="D28" s="10" t="n">
        <v>1789</v>
      </c>
      <c r="E28" s="9" t="s">
        <v>27</v>
      </c>
      <c r="F28" s="9" t="s">
        <v>29</v>
      </c>
      <c r="G28" s="11" t="n">
        <v>6</v>
      </c>
      <c r="H28" s="12"/>
      <c r="I28" s="13"/>
      <c r="J28" s="13"/>
      <c r="K28" s="14"/>
      <c r="L28" s="15"/>
      <c r="M28" s="14"/>
      <c r="N28" s="14"/>
      <c r="O28" s="16"/>
      <c r="P28" s="17" t="n">
        <f aca="false">M28+(0.05*N28)+(O28/240)</f>
        <v>0</v>
      </c>
      <c r="Q28" s="14"/>
      <c r="R28" s="14"/>
      <c r="S28" s="14"/>
      <c r="T28" s="14" t="n">
        <f aca="false">Q28+(R28*0.05)+(S28/240)</f>
        <v>0</v>
      </c>
      <c r="U28" s="14" t="n">
        <f aca="false">K28*P28</f>
        <v>0</v>
      </c>
      <c r="V28" s="18" t="n">
        <f aca="false">T28-U28</f>
        <v>0</v>
      </c>
      <c r="W28" s="19"/>
      <c r="X28" s="19"/>
    </row>
    <row r="29" customFormat="false" ht="16" hidden="false" customHeight="false" outlineLevel="0" collapsed="false">
      <c r="A29" s="8" t="s">
        <v>24</v>
      </c>
      <c r="B29" s="9" t="s">
        <v>25</v>
      </c>
      <c r="C29" s="9" t="s">
        <v>26</v>
      </c>
      <c r="D29" s="10" t="n">
        <v>1789</v>
      </c>
      <c r="E29" s="9" t="s">
        <v>27</v>
      </c>
      <c r="F29" s="9" t="s">
        <v>29</v>
      </c>
      <c r="G29" s="11" t="n">
        <v>6</v>
      </c>
      <c r="H29" s="12"/>
      <c r="I29" s="13"/>
      <c r="J29" s="13"/>
      <c r="K29" s="14"/>
      <c r="L29" s="15"/>
      <c r="M29" s="14"/>
      <c r="N29" s="14"/>
      <c r="O29" s="16"/>
      <c r="P29" s="17" t="n">
        <f aca="false">M29+(0.05*N29)+(O29/240)</f>
        <v>0</v>
      </c>
      <c r="Q29" s="14"/>
      <c r="R29" s="14"/>
      <c r="S29" s="14"/>
      <c r="T29" s="14" t="n">
        <f aca="false">Q29+(R29*0.05)+(S29/240)</f>
        <v>0</v>
      </c>
      <c r="U29" s="14" t="n">
        <f aca="false">K29*P29</f>
        <v>0</v>
      </c>
      <c r="V29" s="18" t="n">
        <f aca="false">T29-U29</f>
        <v>0</v>
      </c>
      <c r="W29" s="19"/>
      <c r="X29" s="19"/>
    </row>
    <row r="30" customFormat="false" ht="16" hidden="false" customHeight="false" outlineLevel="0" collapsed="false">
      <c r="A30" s="8" t="s">
        <v>24</v>
      </c>
      <c r="B30" s="9" t="s">
        <v>25</v>
      </c>
      <c r="C30" s="9" t="s">
        <v>26</v>
      </c>
      <c r="D30" s="10" t="n">
        <v>1789</v>
      </c>
      <c r="E30" s="9" t="s">
        <v>27</v>
      </c>
      <c r="F30" s="9" t="s">
        <v>29</v>
      </c>
      <c r="G30" s="11" t="n">
        <v>6</v>
      </c>
      <c r="H30" s="12"/>
      <c r="I30" s="13"/>
      <c r="J30" s="13"/>
      <c r="K30" s="14"/>
      <c r="L30" s="15"/>
      <c r="M30" s="14"/>
      <c r="N30" s="14"/>
      <c r="O30" s="16"/>
      <c r="P30" s="17" t="n">
        <f aca="false">M30+(0.05*N30)+(O30/240)</f>
        <v>0</v>
      </c>
      <c r="Q30" s="14"/>
      <c r="R30" s="14"/>
      <c r="S30" s="14"/>
      <c r="T30" s="14" t="n">
        <f aca="false">Q30+(R30*0.05)+(S30/240)</f>
        <v>0</v>
      </c>
      <c r="U30" s="14" t="n">
        <f aca="false">K30*P30</f>
        <v>0</v>
      </c>
      <c r="V30" s="18" t="n">
        <f aca="false">T30-U30</f>
        <v>0</v>
      </c>
      <c r="W30" s="19"/>
      <c r="X30" s="19"/>
    </row>
    <row r="31" customFormat="false" ht="16" hidden="false" customHeight="false" outlineLevel="0" collapsed="false">
      <c r="A31" s="8" t="s">
        <v>24</v>
      </c>
      <c r="B31" s="9" t="s">
        <v>25</v>
      </c>
      <c r="C31" s="9" t="s">
        <v>26</v>
      </c>
      <c r="D31" s="10" t="n">
        <v>1789</v>
      </c>
      <c r="E31" s="9" t="s">
        <v>27</v>
      </c>
      <c r="F31" s="9" t="s">
        <v>29</v>
      </c>
      <c r="G31" s="11" t="n">
        <v>6</v>
      </c>
      <c r="H31" s="12"/>
      <c r="I31" s="13"/>
      <c r="J31" s="13"/>
      <c r="K31" s="14"/>
      <c r="L31" s="15"/>
      <c r="M31" s="14"/>
      <c r="N31" s="14"/>
      <c r="O31" s="16"/>
      <c r="P31" s="17" t="n">
        <f aca="false">M31+(0.05*N31)+(O31/240)</f>
        <v>0</v>
      </c>
      <c r="Q31" s="14"/>
      <c r="R31" s="14"/>
      <c r="S31" s="14"/>
      <c r="T31" s="14" t="n">
        <f aca="false">Q31+(R31*0.05)+(S31/240)</f>
        <v>0</v>
      </c>
      <c r="U31" s="14" t="n">
        <f aca="false">K31*P31</f>
        <v>0</v>
      </c>
      <c r="V31" s="18" t="n">
        <f aca="false">T31-U31</f>
        <v>0</v>
      </c>
      <c r="W31" s="19"/>
      <c r="X31" s="19"/>
    </row>
    <row r="32" customFormat="false" ht="16" hidden="false" customHeight="false" outlineLevel="0" collapsed="false">
      <c r="A32" s="8" t="s">
        <v>24</v>
      </c>
      <c r="B32" s="9" t="s">
        <v>25</v>
      </c>
      <c r="C32" s="9" t="s">
        <v>26</v>
      </c>
      <c r="D32" s="10" t="n">
        <v>1789</v>
      </c>
      <c r="E32" s="9" t="s">
        <v>27</v>
      </c>
      <c r="F32" s="9" t="s">
        <v>29</v>
      </c>
      <c r="G32" s="11" t="n">
        <v>6</v>
      </c>
      <c r="H32" s="12"/>
      <c r="I32" s="13"/>
      <c r="J32" s="13"/>
      <c r="K32" s="14"/>
      <c r="L32" s="15"/>
      <c r="M32" s="14"/>
      <c r="N32" s="14"/>
      <c r="O32" s="16"/>
      <c r="P32" s="17" t="n">
        <f aca="false">M32+(0.05*N32)+(O32/240)</f>
        <v>0</v>
      </c>
      <c r="Q32" s="14"/>
      <c r="R32" s="14"/>
      <c r="S32" s="14"/>
      <c r="T32" s="14" t="n">
        <f aca="false">Q32+(R32*0.05)+(S32/240)</f>
        <v>0</v>
      </c>
      <c r="U32" s="14" t="n">
        <f aca="false">K32*P32</f>
        <v>0</v>
      </c>
      <c r="V32" s="18" t="n">
        <f aca="false">T32-U32</f>
        <v>0</v>
      </c>
      <c r="W32" s="19"/>
      <c r="X32" s="19"/>
    </row>
    <row r="33" customFormat="false" ht="16" hidden="false" customHeight="false" outlineLevel="0" collapsed="false">
      <c r="A33" s="8" t="s">
        <v>24</v>
      </c>
      <c r="B33" s="9" t="s">
        <v>25</v>
      </c>
      <c r="C33" s="9" t="s">
        <v>26</v>
      </c>
      <c r="D33" s="10" t="n">
        <v>1789</v>
      </c>
      <c r="E33" s="9" t="s">
        <v>27</v>
      </c>
      <c r="F33" s="9" t="s">
        <v>29</v>
      </c>
      <c r="G33" s="11" t="n">
        <v>6</v>
      </c>
      <c r="H33" s="12"/>
      <c r="I33" s="13"/>
      <c r="J33" s="13"/>
      <c r="K33" s="14"/>
      <c r="L33" s="15"/>
      <c r="M33" s="14"/>
      <c r="N33" s="14"/>
      <c r="O33" s="16"/>
      <c r="P33" s="17" t="n">
        <f aca="false">M33+(0.05*N33)+(O33/240)</f>
        <v>0</v>
      </c>
      <c r="Q33" s="14"/>
      <c r="R33" s="14"/>
      <c r="S33" s="14"/>
      <c r="T33" s="14" t="n">
        <f aca="false">Q33+(R33*0.05)+(S33/240)</f>
        <v>0</v>
      </c>
      <c r="U33" s="14" t="n">
        <f aca="false">K33*P33</f>
        <v>0</v>
      </c>
      <c r="V33" s="18" t="n">
        <f aca="false">T33-U33</f>
        <v>0</v>
      </c>
      <c r="W33" s="19"/>
      <c r="X33" s="19"/>
    </row>
    <row r="34" customFormat="false" ht="16" hidden="false" customHeight="false" outlineLevel="0" collapsed="false">
      <c r="A34" s="8" t="s">
        <v>24</v>
      </c>
      <c r="B34" s="9" t="s">
        <v>25</v>
      </c>
      <c r="C34" s="9" t="s">
        <v>26</v>
      </c>
      <c r="D34" s="10" t="n">
        <v>1789</v>
      </c>
      <c r="E34" s="9" t="s">
        <v>27</v>
      </c>
      <c r="F34" s="9" t="s">
        <v>29</v>
      </c>
      <c r="G34" s="11" t="n">
        <v>6</v>
      </c>
      <c r="H34" s="12"/>
      <c r="I34" s="13"/>
      <c r="J34" s="13"/>
      <c r="K34" s="14"/>
      <c r="L34" s="15"/>
      <c r="M34" s="14"/>
      <c r="N34" s="14"/>
      <c r="O34" s="16"/>
      <c r="P34" s="17" t="n">
        <f aca="false">M34+(0.05*N34)+(O34/240)</f>
        <v>0</v>
      </c>
      <c r="Q34" s="14"/>
      <c r="R34" s="14"/>
      <c r="S34" s="14"/>
      <c r="T34" s="14" t="n">
        <f aca="false">Q34+(R34*0.05)+(S34/240)</f>
        <v>0</v>
      </c>
      <c r="U34" s="14" t="n">
        <f aca="false">K34*P34</f>
        <v>0</v>
      </c>
      <c r="V34" s="18" t="n">
        <f aca="false">T34-U34</f>
        <v>0</v>
      </c>
      <c r="W34" s="19"/>
      <c r="X34" s="19"/>
    </row>
    <row r="35" customFormat="false" ht="16" hidden="false" customHeight="false" outlineLevel="0" collapsed="false">
      <c r="A35" s="8" t="s">
        <v>24</v>
      </c>
      <c r="B35" s="9" t="s">
        <v>25</v>
      </c>
      <c r="C35" s="9" t="s">
        <v>26</v>
      </c>
      <c r="D35" s="10" t="n">
        <v>1789</v>
      </c>
      <c r="E35" s="9" t="s">
        <v>27</v>
      </c>
      <c r="F35" s="9" t="s">
        <v>29</v>
      </c>
      <c r="G35" s="11" t="n">
        <v>6</v>
      </c>
      <c r="H35" s="12"/>
      <c r="I35" s="13"/>
      <c r="J35" s="13"/>
      <c r="K35" s="14"/>
      <c r="L35" s="15"/>
      <c r="M35" s="14"/>
      <c r="N35" s="14"/>
      <c r="O35" s="16"/>
      <c r="P35" s="17" t="n">
        <f aca="false">M35+(0.05*N35)+(O35/240)</f>
        <v>0</v>
      </c>
      <c r="Q35" s="14"/>
      <c r="R35" s="14"/>
      <c r="S35" s="14"/>
      <c r="T35" s="14" t="n">
        <f aca="false">Q35+(R35*0.05)+(S35/240)</f>
        <v>0</v>
      </c>
      <c r="U35" s="14" t="n">
        <f aca="false">K35*P35</f>
        <v>0</v>
      </c>
      <c r="V35" s="18" t="n">
        <f aca="false">T35-U35</f>
        <v>0</v>
      </c>
      <c r="W35" s="19"/>
      <c r="X35" s="19"/>
    </row>
    <row r="36" customFormat="false" ht="16" hidden="false" customHeight="false" outlineLevel="0" collapsed="false">
      <c r="A36" s="8" t="s">
        <v>24</v>
      </c>
      <c r="B36" s="9" t="s">
        <v>25</v>
      </c>
      <c r="C36" s="9" t="s">
        <v>26</v>
      </c>
      <c r="D36" s="10" t="n">
        <v>1789</v>
      </c>
      <c r="E36" s="9" t="s">
        <v>27</v>
      </c>
      <c r="F36" s="9" t="s">
        <v>29</v>
      </c>
      <c r="G36" s="11" t="n">
        <v>6</v>
      </c>
      <c r="H36" s="12"/>
      <c r="I36" s="13"/>
      <c r="J36" s="13"/>
      <c r="K36" s="14"/>
      <c r="L36" s="15"/>
      <c r="M36" s="14"/>
      <c r="N36" s="14"/>
      <c r="O36" s="16"/>
      <c r="P36" s="17" t="n">
        <f aca="false">M36+(0.05*N36)+(O36/240)</f>
        <v>0</v>
      </c>
      <c r="Q36" s="14"/>
      <c r="R36" s="14"/>
      <c r="S36" s="14"/>
      <c r="T36" s="14" t="n">
        <f aca="false">Q36+(R36*0.05)+(S36/240)</f>
        <v>0</v>
      </c>
      <c r="U36" s="14" t="n">
        <f aca="false">K36*P36</f>
        <v>0</v>
      </c>
      <c r="V36" s="18" t="n">
        <f aca="false">T36-U36</f>
        <v>0</v>
      </c>
      <c r="W36" s="19"/>
      <c r="X36" s="19"/>
    </row>
    <row r="37" customFormat="false" ht="16" hidden="false" customHeight="false" outlineLevel="0" collapsed="false">
      <c r="A37" s="8" t="s">
        <v>24</v>
      </c>
      <c r="B37" s="9" t="s">
        <v>25</v>
      </c>
      <c r="C37" s="9" t="s">
        <v>26</v>
      </c>
      <c r="D37" s="10" t="n">
        <v>1789</v>
      </c>
      <c r="E37" s="9" t="s">
        <v>27</v>
      </c>
      <c r="F37" s="9" t="s">
        <v>29</v>
      </c>
      <c r="G37" s="11" t="n">
        <v>6</v>
      </c>
      <c r="H37" s="12"/>
      <c r="I37" s="13"/>
      <c r="J37" s="13"/>
      <c r="K37" s="14"/>
      <c r="L37" s="15"/>
      <c r="M37" s="14"/>
      <c r="N37" s="14"/>
      <c r="O37" s="16"/>
      <c r="P37" s="17" t="n">
        <f aca="false">M37+(0.05*N37)+(O37/240)</f>
        <v>0</v>
      </c>
      <c r="Q37" s="14"/>
      <c r="R37" s="14"/>
      <c r="S37" s="14"/>
      <c r="T37" s="14" t="n">
        <f aca="false">Q37+(R37*0.05)+(S37/240)</f>
        <v>0</v>
      </c>
      <c r="U37" s="14" t="n">
        <f aca="false">K37*P37</f>
        <v>0</v>
      </c>
      <c r="V37" s="18" t="n">
        <f aca="false">T37-U37</f>
        <v>0</v>
      </c>
      <c r="W37" s="19"/>
      <c r="X37" s="19"/>
    </row>
    <row r="38" customFormat="false" ht="16" hidden="false" customHeight="false" outlineLevel="0" collapsed="false">
      <c r="A38" s="8" t="s">
        <v>24</v>
      </c>
      <c r="B38" s="9" t="s">
        <v>25</v>
      </c>
      <c r="C38" s="9" t="s">
        <v>26</v>
      </c>
      <c r="D38" s="10" t="n">
        <v>1789</v>
      </c>
      <c r="E38" s="9" t="s">
        <v>27</v>
      </c>
      <c r="F38" s="9" t="s">
        <v>29</v>
      </c>
      <c r="G38" s="11" t="n">
        <v>6</v>
      </c>
      <c r="H38" s="12"/>
      <c r="I38" s="13"/>
      <c r="J38" s="13"/>
      <c r="K38" s="14"/>
      <c r="L38" s="15"/>
      <c r="M38" s="14"/>
      <c r="N38" s="14"/>
      <c r="O38" s="16"/>
      <c r="P38" s="17" t="n">
        <f aca="false">M38+(0.05*N38)+(O38/240)</f>
        <v>0</v>
      </c>
      <c r="Q38" s="14"/>
      <c r="R38" s="14"/>
      <c r="S38" s="14"/>
      <c r="T38" s="14" t="n">
        <f aca="false">Q38+(R38*0.05)+(S38/240)</f>
        <v>0</v>
      </c>
      <c r="U38" s="14" t="n">
        <f aca="false">K38*P38</f>
        <v>0</v>
      </c>
      <c r="V38" s="18" t="n">
        <f aca="false">T38-U38</f>
        <v>0</v>
      </c>
      <c r="W38" s="19"/>
      <c r="X38" s="19"/>
    </row>
    <row r="39" customFormat="false" ht="16" hidden="false" customHeight="false" outlineLevel="0" collapsed="false">
      <c r="A39" s="8" t="s">
        <v>24</v>
      </c>
      <c r="B39" s="9" t="s">
        <v>25</v>
      </c>
      <c r="C39" s="9" t="s">
        <v>26</v>
      </c>
      <c r="D39" s="10" t="n">
        <v>1789</v>
      </c>
      <c r="E39" s="9" t="s">
        <v>27</v>
      </c>
      <c r="F39" s="9" t="s">
        <v>29</v>
      </c>
      <c r="G39" s="11" t="n">
        <v>6</v>
      </c>
      <c r="H39" s="12"/>
      <c r="I39" s="13"/>
      <c r="J39" s="13"/>
      <c r="K39" s="14"/>
      <c r="L39" s="15"/>
      <c r="M39" s="14"/>
      <c r="N39" s="14"/>
      <c r="O39" s="16"/>
      <c r="P39" s="17" t="n">
        <f aca="false">M39+(0.05*N39)+(O39/240)</f>
        <v>0</v>
      </c>
      <c r="Q39" s="14"/>
      <c r="R39" s="14"/>
      <c r="S39" s="14"/>
      <c r="T39" s="14" t="n">
        <f aca="false">Q39+(R39*0.05)+(S39/240)</f>
        <v>0</v>
      </c>
      <c r="U39" s="14" t="n">
        <f aca="false">K39*P39</f>
        <v>0</v>
      </c>
      <c r="V39" s="18" t="n">
        <f aca="false">T39-U39</f>
        <v>0</v>
      </c>
      <c r="W39" s="19"/>
      <c r="X39" s="19"/>
    </row>
    <row r="40" customFormat="false" ht="16" hidden="false" customHeight="false" outlineLevel="0" collapsed="false">
      <c r="A40" s="8" t="s">
        <v>24</v>
      </c>
      <c r="B40" s="9" t="s">
        <v>25</v>
      </c>
      <c r="C40" s="9" t="s">
        <v>26</v>
      </c>
      <c r="D40" s="10" t="n">
        <v>1789</v>
      </c>
      <c r="E40" s="9" t="s">
        <v>27</v>
      </c>
      <c r="F40" s="9" t="s">
        <v>29</v>
      </c>
      <c r="G40" s="11" t="n">
        <v>6</v>
      </c>
      <c r="H40" s="12"/>
      <c r="I40" s="13"/>
      <c r="J40" s="13"/>
      <c r="K40" s="14"/>
      <c r="L40" s="15"/>
      <c r="M40" s="14"/>
      <c r="N40" s="14"/>
      <c r="O40" s="16"/>
      <c r="P40" s="17" t="n">
        <f aca="false">M40+(0.05*N40)+(O40/240)</f>
        <v>0</v>
      </c>
      <c r="Q40" s="14"/>
      <c r="R40" s="14"/>
      <c r="S40" s="14"/>
      <c r="T40" s="14" t="n">
        <f aca="false">Q40+(R40*0.05)+(S40/240)</f>
        <v>0</v>
      </c>
      <c r="U40" s="14" t="n">
        <f aca="false">K40*P40</f>
        <v>0</v>
      </c>
      <c r="V40" s="18" t="n">
        <f aca="false">T40-U40</f>
        <v>0</v>
      </c>
      <c r="W40" s="19"/>
      <c r="X40" s="19"/>
    </row>
    <row r="41" customFormat="false" ht="16" hidden="false" customHeight="false" outlineLevel="0" collapsed="false">
      <c r="A41" s="8" t="s">
        <v>24</v>
      </c>
      <c r="B41" s="9" t="s">
        <v>25</v>
      </c>
      <c r="C41" s="9" t="s">
        <v>26</v>
      </c>
      <c r="D41" s="10" t="n">
        <v>1789</v>
      </c>
      <c r="E41" s="9" t="s">
        <v>27</v>
      </c>
      <c r="F41" s="9" t="s">
        <v>29</v>
      </c>
      <c r="G41" s="11" t="n">
        <v>6</v>
      </c>
      <c r="H41" s="12"/>
      <c r="I41" s="13"/>
      <c r="J41" s="13"/>
      <c r="K41" s="14"/>
      <c r="L41" s="15"/>
      <c r="M41" s="14"/>
      <c r="N41" s="14"/>
      <c r="O41" s="16"/>
      <c r="P41" s="17" t="n">
        <f aca="false">M41+(0.05*N41)+(O41/240)</f>
        <v>0</v>
      </c>
      <c r="Q41" s="14"/>
      <c r="R41" s="14"/>
      <c r="S41" s="14"/>
      <c r="T41" s="14" t="n">
        <f aca="false">Q41+(R41*0.05)+(S41/240)</f>
        <v>0</v>
      </c>
      <c r="U41" s="14" t="n">
        <f aca="false">K41*P41</f>
        <v>0</v>
      </c>
      <c r="V41" s="18" t="n">
        <f aca="false">T41-U41</f>
        <v>0</v>
      </c>
      <c r="W41" s="19"/>
      <c r="X41" s="19"/>
    </row>
    <row r="42" customFormat="false" ht="16" hidden="false" customHeight="false" outlineLevel="0" collapsed="false">
      <c r="A42" s="8" t="s">
        <v>24</v>
      </c>
      <c r="B42" s="9" t="s">
        <v>25</v>
      </c>
      <c r="C42" s="9" t="s">
        <v>26</v>
      </c>
      <c r="D42" s="10" t="n">
        <v>1789</v>
      </c>
      <c r="E42" s="9" t="s">
        <v>27</v>
      </c>
      <c r="F42" s="9" t="s">
        <v>29</v>
      </c>
      <c r="G42" s="11" t="n">
        <v>6</v>
      </c>
      <c r="H42" s="12"/>
      <c r="I42" s="13"/>
      <c r="J42" s="13"/>
      <c r="K42" s="14"/>
      <c r="L42" s="15"/>
      <c r="M42" s="14"/>
      <c r="N42" s="14"/>
      <c r="O42" s="16"/>
      <c r="P42" s="17" t="n">
        <f aca="false">M42+(0.05*N42)+(O42/240)</f>
        <v>0</v>
      </c>
      <c r="Q42" s="14"/>
      <c r="R42" s="14"/>
      <c r="S42" s="14"/>
      <c r="T42" s="14" t="n">
        <f aca="false">Q42+(R42*0.05)+(S42/240)</f>
        <v>0</v>
      </c>
      <c r="U42" s="14" t="n">
        <f aca="false">K42*P42</f>
        <v>0</v>
      </c>
      <c r="V42" s="18" t="n">
        <f aca="false">T42-U42</f>
        <v>0</v>
      </c>
      <c r="W42" s="19"/>
      <c r="X42" s="19"/>
    </row>
    <row r="43" customFormat="false" ht="16" hidden="false" customHeight="false" outlineLevel="0" collapsed="false">
      <c r="A43" s="8" t="s">
        <v>24</v>
      </c>
      <c r="B43" s="9" t="s">
        <v>25</v>
      </c>
      <c r="C43" s="9" t="s">
        <v>26</v>
      </c>
      <c r="D43" s="10" t="n">
        <v>1789</v>
      </c>
      <c r="E43" s="9" t="s">
        <v>27</v>
      </c>
      <c r="F43" s="9" t="s">
        <v>29</v>
      </c>
      <c r="G43" s="11" t="n">
        <v>6</v>
      </c>
      <c r="H43" s="12"/>
      <c r="I43" s="13"/>
      <c r="J43" s="13"/>
      <c r="K43" s="14"/>
      <c r="L43" s="15"/>
      <c r="M43" s="14"/>
      <c r="N43" s="14"/>
      <c r="O43" s="16"/>
      <c r="P43" s="17" t="n">
        <f aca="false">M43+(0.05*N43)+(O43/240)</f>
        <v>0</v>
      </c>
      <c r="Q43" s="14"/>
      <c r="R43" s="14"/>
      <c r="S43" s="14"/>
      <c r="T43" s="14" t="n">
        <f aca="false">Q43+(R43*0.05)+(S43/240)</f>
        <v>0</v>
      </c>
      <c r="U43" s="14" t="n">
        <f aca="false">K43*P43</f>
        <v>0</v>
      </c>
      <c r="V43" s="18" t="n">
        <f aca="false">T43-U43</f>
        <v>0</v>
      </c>
      <c r="W43" s="19"/>
      <c r="X43" s="19"/>
    </row>
    <row r="44" customFormat="false" ht="16" hidden="false" customHeight="false" outlineLevel="0" collapsed="false">
      <c r="A44" s="8" t="s">
        <v>24</v>
      </c>
      <c r="B44" s="9" t="s">
        <v>25</v>
      </c>
      <c r="C44" s="9" t="s">
        <v>26</v>
      </c>
      <c r="D44" s="10" t="n">
        <v>1789</v>
      </c>
      <c r="E44" s="9" t="s">
        <v>27</v>
      </c>
      <c r="F44" s="9" t="s">
        <v>29</v>
      </c>
      <c r="G44" s="11" t="n">
        <v>6</v>
      </c>
      <c r="H44" s="12"/>
      <c r="I44" s="13"/>
      <c r="J44" s="13"/>
      <c r="K44" s="14"/>
      <c r="L44" s="15"/>
      <c r="M44" s="14"/>
      <c r="N44" s="14"/>
      <c r="O44" s="16"/>
      <c r="P44" s="17" t="n">
        <f aca="false">M44+(0.05*N44)+(O44/240)</f>
        <v>0</v>
      </c>
      <c r="Q44" s="14"/>
      <c r="R44" s="14"/>
      <c r="S44" s="14"/>
      <c r="T44" s="14" t="n">
        <f aca="false">Q44+(R44*0.05)+(S44/240)</f>
        <v>0</v>
      </c>
      <c r="U44" s="14" t="n">
        <f aca="false">K44*P44</f>
        <v>0</v>
      </c>
      <c r="V44" s="18" t="n">
        <f aca="false">T44-U44</f>
        <v>0</v>
      </c>
      <c r="W44" s="19"/>
      <c r="X44" s="19"/>
    </row>
    <row r="45" customFormat="false" ht="16" hidden="false" customHeight="false" outlineLevel="0" collapsed="false">
      <c r="A45" s="8" t="s">
        <v>24</v>
      </c>
      <c r="B45" s="9" t="s">
        <v>25</v>
      </c>
      <c r="C45" s="9" t="s">
        <v>26</v>
      </c>
      <c r="D45" s="10" t="n">
        <v>1789</v>
      </c>
      <c r="E45" s="9" t="s">
        <v>27</v>
      </c>
      <c r="F45" s="9" t="s">
        <v>29</v>
      </c>
      <c r="G45" s="11" t="n">
        <v>6</v>
      </c>
      <c r="H45" s="12"/>
      <c r="I45" s="13"/>
      <c r="J45" s="13"/>
      <c r="K45" s="14"/>
      <c r="L45" s="15"/>
      <c r="M45" s="14"/>
      <c r="N45" s="14"/>
      <c r="O45" s="16"/>
      <c r="P45" s="17" t="n">
        <f aca="false">M45+(0.05*N45)+(O45/240)</f>
        <v>0</v>
      </c>
      <c r="Q45" s="14"/>
      <c r="R45" s="14"/>
      <c r="S45" s="14"/>
      <c r="T45" s="14" t="n">
        <f aca="false">Q45+(R45*0.05)+(S45/240)</f>
        <v>0</v>
      </c>
      <c r="U45" s="14" t="n">
        <f aca="false">K45*P45</f>
        <v>0</v>
      </c>
      <c r="V45" s="18" t="n">
        <f aca="false">T45-U45</f>
        <v>0</v>
      </c>
      <c r="W45" s="19"/>
      <c r="X45" s="19"/>
    </row>
    <row r="46" customFormat="false" ht="16" hidden="false" customHeight="false" outlineLevel="0" collapsed="false">
      <c r="A46" s="8" t="s">
        <v>24</v>
      </c>
      <c r="B46" s="9" t="s">
        <v>25</v>
      </c>
      <c r="C46" s="9" t="s">
        <v>26</v>
      </c>
      <c r="D46" s="10" t="n">
        <v>1789</v>
      </c>
      <c r="E46" s="9" t="s">
        <v>27</v>
      </c>
      <c r="F46" s="9" t="s">
        <v>29</v>
      </c>
      <c r="G46" s="11" t="n">
        <v>6</v>
      </c>
      <c r="H46" s="12"/>
      <c r="I46" s="13"/>
      <c r="J46" s="13"/>
      <c r="K46" s="14"/>
      <c r="L46" s="15"/>
      <c r="M46" s="14"/>
      <c r="N46" s="14"/>
      <c r="O46" s="16"/>
      <c r="P46" s="17" t="n">
        <f aca="false">M46+(0.05*N46)+(O46/240)</f>
        <v>0</v>
      </c>
      <c r="Q46" s="14"/>
      <c r="R46" s="14"/>
      <c r="S46" s="14"/>
      <c r="T46" s="14" t="n">
        <f aca="false">Q46+(R46*0.05)+(S46/240)</f>
        <v>0</v>
      </c>
      <c r="U46" s="14" t="n">
        <f aca="false">K46*P46</f>
        <v>0</v>
      </c>
      <c r="V46" s="18" t="n">
        <f aca="false">T46-U46</f>
        <v>0</v>
      </c>
      <c r="W46" s="19"/>
      <c r="X46" s="19"/>
    </row>
    <row r="47" customFormat="false" ht="16" hidden="false" customHeight="false" outlineLevel="0" collapsed="false">
      <c r="A47" s="8" t="s">
        <v>24</v>
      </c>
      <c r="B47" s="9" t="s">
        <v>25</v>
      </c>
      <c r="C47" s="9" t="s">
        <v>26</v>
      </c>
      <c r="D47" s="10" t="n">
        <v>1789</v>
      </c>
      <c r="E47" s="9" t="s">
        <v>27</v>
      </c>
      <c r="F47" s="9" t="s">
        <v>29</v>
      </c>
      <c r="G47" s="11" t="n">
        <v>6</v>
      </c>
      <c r="H47" s="12"/>
      <c r="I47" s="13"/>
      <c r="J47" s="13"/>
      <c r="K47" s="14"/>
      <c r="L47" s="15"/>
      <c r="M47" s="14"/>
      <c r="N47" s="14"/>
      <c r="O47" s="16"/>
      <c r="P47" s="17" t="n">
        <f aca="false">M47+(0.05*N47)+(O47/240)</f>
        <v>0</v>
      </c>
      <c r="Q47" s="14"/>
      <c r="R47" s="14"/>
      <c r="S47" s="14"/>
      <c r="T47" s="14" t="n">
        <f aca="false">Q47+(R47*0.05)+(S47/240)</f>
        <v>0</v>
      </c>
      <c r="U47" s="14" t="n">
        <f aca="false">K47*P47</f>
        <v>0</v>
      </c>
      <c r="V47" s="18" t="n">
        <f aca="false">T47-U47</f>
        <v>0</v>
      </c>
      <c r="W47" s="19"/>
      <c r="X47" s="19"/>
    </row>
    <row r="48" customFormat="false" ht="16" hidden="false" customHeight="false" outlineLevel="0" collapsed="false">
      <c r="A48" s="8" t="s">
        <v>24</v>
      </c>
      <c r="B48" s="9" t="s">
        <v>25</v>
      </c>
      <c r="C48" s="9" t="s">
        <v>26</v>
      </c>
      <c r="D48" s="10" t="n">
        <v>1789</v>
      </c>
      <c r="E48" s="9" t="s">
        <v>27</v>
      </c>
      <c r="F48" s="9" t="s">
        <v>29</v>
      </c>
      <c r="G48" s="11" t="n">
        <v>6</v>
      </c>
      <c r="H48" s="12"/>
      <c r="I48" s="13"/>
      <c r="J48" s="13"/>
      <c r="K48" s="14"/>
      <c r="L48" s="15"/>
      <c r="M48" s="14"/>
      <c r="N48" s="14"/>
      <c r="O48" s="16"/>
      <c r="P48" s="17" t="n">
        <f aca="false">M48+(0.05*N48)+(O48/240)</f>
        <v>0</v>
      </c>
      <c r="Q48" s="14"/>
      <c r="R48" s="14"/>
      <c r="S48" s="14"/>
      <c r="T48" s="14" t="n">
        <f aca="false">Q48+(R48*0.05)+(S48/240)</f>
        <v>0</v>
      </c>
      <c r="U48" s="14" t="n">
        <f aca="false">K48*P48</f>
        <v>0</v>
      </c>
      <c r="V48" s="18" t="n">
        <f aca="false">T48-U48</f>
        <v>0</v>
      </c>
      <c r="W48" s="19"/>
      <c r="X48" s="19"/>
    </row>
    <row r="49" customFormat="false" ht="16" hidden="false" customHeight="false" outlineLevel="0" collapsed="false">
      <c r="A49" s="8" t="s">
        <v>24</v>
      </c>
      <c r="B49" s="9" t="s">
        <v>25</v>
      </c>
      <c r="C49" s="9" t="s">
        <v>26</v>
      </c>
      <c r="D49" s="10" t="n">
        <v>1789</v>
      </c>
      <c r="E49" s="9" t="s">
        <v>27</v>
      </c>
      <c r="F49" s="9" t="s">
        <v>29</v>
      </c>
      <c r="G49" s="11" t="n">
        <v>6</v>
      </c>
      <c r="H49" s="12"/>
      <c r="I49" s="13"/>
      <c r="J49" s="13"/>
      <c r="K49" s="14"/>
      <c r="L49" s="15"/>
      <c r="M49" s="14"/>
      <c r="N49" s="14"/>
      <c r="O49" s="16"/>
      <c r="P49" s="17" t="n">
        <f aca="false">M49+(0.05*N49)+(O49/240)</f>
        <v>0</v>
      </c>
      <c r="Q49" s="14"/>
      <c r="R49" s="14"/>
      <c r="S49" s="14"/>
      <c r="T49" s="14" t="n">
        <f aca="false">Q49+(R49*0.05)+(S49/240)</f>
        <v>0</v>
      </c>
      <c r="U49" s="14" t="n">
        <f aca="false">K49*P49</f>
        <v>0</v>
      </c>
      <c r="V49" s="18" t="n">
        <f aca="false">T49-U49</f>
        <v>0</v>
      </c>
      <c r="W49" s="19"/>
      <c r="X49" s="19"/>
    </row>
    <row r="50" customFormat="false" ht="16" hidden="false" customHeight="false" outlineLevel="0" collapsed="false">
      <c r="A50" s="8" t="s">
        <v>24</v>
      </c>
      <c r="B50" s="9" t="s">
        <v>25</v>
      </c>
      <c r="C50" s="9" t="s">
        <v>26</v>
      </c>
      <c r="D50" s="10" t="n">
        <v>1789</v>
      </c>
      <c r="E50" s="9" t="s">
        <v>27</v>
      </c>
      <c r="F50" s="9" t="s">
        <v>29</v>
      </c>
      <c r="G50" s="11" t="n">
        <v>6</v>
      </c>
      <c r="H50" s="12"/>
      <c r="I50" s="13"/>
      <c r="J50" s="13"/>
      <c r="K50" s="14"/>
      <c r="L50" s="15"/>
      <c r="M50" s="14"/>
      <c r="N50" s="14"/>
      <c r="O50" s="16"/>
      <c r="P50" s="17" t="n">
        <f aca="false">M50+(0.05*N50)+(O50/240)</f>
        <v>0</v>
      </c>
      <c r="Q50" s="14"/>
      <c r="R50" s="14"/>
      <c r="S50" s="14"/>
      <c r="T50" s="14" t="n">
        <f aca="false">Q50+(R50*0.05)+(S50/240)</f>
        <v>0</v>
      </c>
      <c r="U50" s="14" t="n">
        <f aca="false">K50*P50</f>
        <v>0</v>
      </c>
      <c r="V50" s="18" t="n">
        <f aca="false">T50-U50</f>
        <v>0</v>
      </c>
      <c r="W50" s="19"/>
      <c r="X50" s="19"/>
    </row>
    <row r="51" customFormat="false" ht="16" hidden="false" customHeight="false" outlineLevel="0" collapsed="false">
      <c r="A51" s="8" t="s">
        <v>24</v>
      </c>
      <c r="B51" s="9" t="s">
        <v>25</v>
      </c>
      <c r="C51" s="9" t="s">
        <v>26</v>
      </c>
      <c r="D51" s="10" t="n">
        <v>1789</v>
      </c>
      <c r="E51" s="9" t="s">
        <v>27</v>
      </c>
      <c r="F51" s="9" t="s">
        <v>29</v>
      </c>
      <c r="G51" s="11" t="n">
        <v>6</v>
      </c>
      <c r="H51" s="12"/>
      <c r="I51" s="13"/>
      <c r="J51" s="13"/>
      <c r="K51" s="14"/>
      <c r="L51" s="15"/>
      <c r="M51" s="14"/>
      <c r="N51" s="14"/>
      <c r="O51" s="16"/>
      <c r="P51" s="17" t="n">
        <f aca="false">M51+(0.05*N51)+(O51/240)</f>
        <v>0</v>
      </c>
      <c r="Q51" s="14"/>
      <c r="R51" s="14"/>
      <c r="S51" s="14"/>
      <c r="T51" s="14" t="n">
        <f aca="false">Q51+(R51*0.05)+(S51/240)</f>
        <v>0</v>
      </c>
      <c r="U51" s="14" t="n">
        <f aca="false">K51*P51</f>
        <v>0</v>
      </c>
      <c r="V51" s="18" t="n">
        <f aca="false">T51-U51</f>
        <v>0</v>
      </c>
      <c r="W51" s="19"/>
      <c r="X51" s="19"/>
    </row>
    <row r="52" customFormat="false" ht="16" hidden="false" customHeight="false" outlineLevel="0" collapsed="false">
      <c r="A52" s="8" t="s">
        <v>24</v>
      </c>
      <c r="B52" s="9" t="s">
        <v>25</v>
      </c>
      <c r="C52" s="9" t="s">
        <v>26</v>
      </c>
      <c r="D52" s="10" t="n">
        <v>1789</v>
      </c>
      <c r="E52" s="9" t="s">
        <v>27</v>
      </c>
      <c r="F52" s="9" t="s">
        <v>29</v>
      </c>
      <c r="G52" s="11" t="n">
        <v>6</v>
      </c>
      <c r="H52" s="12"/>
      <c r="I52" s="13"/>
      <c r="J52" s="13"/>
      <c r="K52" s="14"/>
      <c r="L52" s="15"/>
      <c r="M52" s="14"/>
      <c r="N52" s="14"/>
      <c r="O52" s="16"/>
      <c r="P52" s="17" t="n">
        <f aca="false">M52+(0.05*N52)+(O52/240)</f>
        <v>0</v>
      </c>
      <c r="Q52" s="14"/>
      <c r="R52" s="14"/>
      <c r="S52" s="14"/>
      <c r="T52" s="14" t="n">
        <f aca="false">Q52+(R52*0.05)+(S52/240)</f>
        <v>0</v>
      </c>
      <c r="U52" s="14" t="n">
        <f aca="false">K52*P52</f>
        <v>0</v>
      </c>
      <c r="V52" s="18" t="n">
        <f aca="false">T52-U52</f>
        <v>0</v>
      </c>
      <c r="W52" s="19"/>
      <c r="X52" s="19"/>
    </row>
    <row r="53" customFormat="false" ht="16" hidden="false" customHeight="false" outlineLevel="0" collapsed="false">
      <c r="A53" s="8" t="s">
        <v>24</v>
      </c>
      <c r="B53" s="9" t="s">
        <v>25</v>
      </c>
      <c r="C53" s="9" t="s">
        <v>26</v>
      </c>
      <c r="D53" s="10" t="n">
        <v>1789</v>
      </c>
      <c r="E53" s="9" t="s">
        <v>27</v>
      </c>
      <c r="F53" s="9" t="s">
        <v>29</v>
      </c>
      <c r="G53" s="11" t="n">
        <v>6</v>
      </c>
      <c r="H53" s="12"/>
      <c r="I53" s="13"/>
      <c r="J53" s="13"/>
      <c r="K53" s="14"/>
      <c r="L53" s="15"/>
      <c r="M53" s="14"/>
      <c r="N53" s="14"/>
      <c r="O53" s="16"/>
      <c r="P53" s="17" t="n">
        <f aca="false">M53+(0.05*N53)+(O53/240)</f>
        <v>0</v>
      </c>
      <c r="Q53" s="14"/>
      <c r="R53" s="14"/>
      <c r="S53" s="14"/>
      <c r="T53" s="14" t="n">
        <f aca="false">Q53+(R53*0.05)+(S53/240)</f>
        <v>0</v>
      </c>
      <c r="U53" s="14" t="n">
        <f aca="false">K53*P53</f>
        <v>0</v>
      </c>
      <c r="V53" s="18" t="n">
        <f aca="false">T53-U53</f>
        <v>0</v>
      </c>
      <c r="W53" s="19"/>
      <c r="X53" s="19"/>
    </row>
    <row r="54" customFormat="false" ht="16" hidden="false" customHeight="false" outlineLevel="0" collapsed="false">
      <c r="A54" s="8" t="s">
        <v>24</v>
      </c>
      <c r="B54" s="9" t="s">
        <v>25</v>
      </c>
      <c r="C54" s="9" t="s">
        <v>26</v>
      </c>
      <c r="D54" s="10" t="n">
        <v>1789</v>
      </c>
      <c r="E54" s="9" t="s">
        <v>27</v>
      </c>
      <c r="F54" s="9" t="s">
        <v>29</v>
      </c>
      <c r="G54" s="11" t="n">
        <v>6</v>
      </c>
      <c r="H54" s="12"/>
      <c r="I54" s="13"/>
      <c r="J54" s="13"/>
      <c r="K54" s="14"/>
      <c r="L54" s="15"/>
      <c r="M54" s="14"/>
      <c r="N54" s="14"/>
      <c r="O54" s="16"/>
      <c r="P54" s="17" t="n">
        <f aca="false">M54+(0.05*N54)+(O54/240)</f>
        <v>0</v>
      </c>
      <c r="Q54" s="14"/>
      <c r="R54" s="14"/>
      <c r="S54" s="14"/>
      <c r="T54" s="14" t="n">
        <f aca="false">Q54+(R54*0.05)+(S54/240)</f>
        <v>0</v>
      </c>
      <c r="U54" s="14" t="n">
        <f aca="false">K54*P54</f>
        <v>0</v>
      </c>
      <c r="V54" s="18" t="n">
        <f aca="false">T54-U54</f>
        <v>0</v>
      </c>
      <c r="W54" s="19"/>
      <c r="X54" s="19"/>
    </row>
    <row r="55" customFormat="false" ht="16" hidden="false" customHeight="false" outlineLevel="0" collapsed="false">
      <c r="A55" s="8" t="s">
        <v>24</v>
      </c>
      <c r="B55" s="9" t="s">
        <v>25</v>
      </c>
      <c r="C55" s="9" t="s">
        <v>26</v>
      </c>
      <c r="D55" s="10" t="n">
        <v>1789</v>
      </c>
      <c r="E55" s="9" t="s">
        <v>27</v>
      </c>
      <c r="F55" s="9" t="s">
        <v>29</v>
      </c>
      <c r="G55" s="11" t="n">
        <v>6</v>
      </c>
      <c r="H55" s="12"/>
      <c r="I55" s="13"/>
      <c r="J55" s="13"/>
      <c r="K55" s="14"/>
      <c r="L55" s="15"/>
      <c r="M55" s="14"/>
      <c r="N55" s="14"/>
      <c r="O55" s="16"/>
      <c r="P55" s="17" t="n">
        <f aca="false">M55+(0.05*N55)+(O55/240)</f>
        <v>0</v>
      </c>
      <c r="Q55" s="14"/>
      <c r="R55" s="14"/>
      <c r="S55" s="14"/>
      <c r="T55" s="14" t="n">
        <f aca="false">Q55+(R55*0.05)+(S55/240)</f>
        <v>0</v>
      </c>
      <c r="U55" s="14" t="n">
        <f aca="false">K55*P55</f>
        <v>0</v>
      </c>
      <c r="V55" s="18" t="n">
        <f aca="false">T55-U55</f>
        <v>0</v>
      </c>
      <c r="W55" s="19"/>
      <c r="X55" s="19"/>
    </row>
    <row r="56" customFormat="false" ht="16" hidden="false" customHeight="false" outlineLevel="0" collapsed="false">
      <c r="A56" s="8" t="s">
        <v>24</v>
      </c>
      <c r="B56" s="9" t="s">
        <v>25</v>
      </c>
      <c r="C56" s="9" t="s">
        <v>26</v>
      </c>
      <c r="D56" s="10" t="n">
        <v>1789</v>
      </c>
      <c r="E56" s="9" t="s">
        <v>27</v>
      </c>
      <c r="F56" s="9" t="s">
        <v>29</v>
      </c>
      <c r="G56" s="11" t="n">
        <v>6</v>
      </c>
      <c r="H56" s="12"/>
      <c r="I56" s="13"/>
      <c r="J56" s="13"/>
      <c r="K56" s="14"/>
      <c r="L56" s="15"/>
      <c r="M56" s="14"/>
      <c r="N56" s="14"/>
      <c r="O56" s="16"/>
      <c r="P56" s="17" t="n">
        <f aca="false">M56+(0.05*N56)+(O56/240)</f>
        <v>0</v>
      </c>
      <c r="Q56" s="14"/>
      <c r="R56" s="14"/>
      <c r="S56" s="14"/>
      <c r="T56" s="14" t="n">
        <f aca="false">Q56+(R56*0.05)+(S56/240)</f>
        <v>0</v>
      </c>
      <c r="U56" s="14" t="n">
        <f aca="false">K56*P56</f>
        <v>0</v>
      </c>
      <c r="V56" s="18" t="n">
        <f aca="false">T56-U56</f>
        <v>0</v>
      </c>
      <c r="W56" s="19"/>
      <c r="X56" s="19"/>
    </row>
    <row r="57" customFormat="false" ht="16" hidden="false" customHeight="false" outlineLevel="0" collapsed="false">
      <c r="A57" s="8" t="s">
        <v>24</v>
      </c>
      <c r="B57" s="9" t="s">
        <v>25</v>
      </c>
      <c r="C57" s="9" t="s">
        <v>26</v>
      </c>
      <c r="D57" s="10" t="n">
        <v>1789</v>
      </c>
      <c r="E57" s="9" t="s">
        <v>27</v>
      </c>
      <c r="F57" s="9" t="s">
        <v>29</v>
      </c>
      <c r="G57" s="11" t="n">
        <v>6</v>
      </c>
      <c r="H57" s="12"/>
      <c r="I57" s="13"/>
      <c r="J57" s="13"/>
      <c r="K57" s="14"/>
      <c r="L57" s="15"/>
      <c r="M57" s="14"/>
      <c r="N57" s="14"/>
      <c r="O57" s="16"/>
      <c r="P57" s="17" t="n">
        <f aca="false">M57+(0.05*N57)+(O57/240)</f>
        <v>0</v>
      </c>
      <c r="Q57" s="14"/>
      <c r="R57" s="14"/>
      <c r="S57" s="14"/>
      <c r="T57" s="14" t="n">
        <f aca="false">Q57+(R57*0.05)+(S57/240)</f>
        <v>0</v>
      </c>
      <c r="U57" s="14" t="n">
        <f aca="false">K57*P57</f>
        <v>0</v>
      </c>
      <c r="V57" s="18" t="n">
        <f aca="false">T57-U57</f>
        <v>0</v>
      </c>
      <c r="W57" s="19"/>
      <c r="X57" s="19"/>
    </row>
    <row r="58" customFormat="false" ht="16" hidden="false" customHeight="false" outlineLevel="0" collapsed="false">
      <c r="A58" s="8" t="s">
        <v>24</v>
      </c>
      <c r="B58" s="9" t="s">
        <v>25</v>
      </c>
      <c r="C58" s="9" t="s">
        <v>26</v>
      </c>
      <c r="D58" s="10" t="n">
        <v>1789</v>
      </c>
      <c r="E58" s="9" t="s">
        <v>27</v>
      </c>
      <c r="F58" s="9" t="s">
        <v>29</v>
      </c>
      <c r="G58" s="11" t="n">
        <v>6</v>
      </c>
      <c r="H58" s="12"/>
      <c r="I58" s="13"/>
      <c r="J58" s="13"/>
      <c r="K58" s="14"/>
      <c r="L58" s="15"/>
      <c r="M58" s="14"/>
      <c r="N58" s="14"/>
      <c r="O58" s="16"/>
      <c r="P58" s="17" t="n">
        <f aca="false">M58+(0.05*N58)+(O58/240)</f>
        <v>0</v>
      </c>
      <c r="Q58" s="14"/>
      <c r="R58" s="14"/>
      <c r="S58" s="14"/>
      <c r="T58" s="14" t="n">
        <f aca="false">Q58+(R58*0.05)+(S58/240)</f>
        <v>0</v>
      </c>
      <c r="U58" s="14" t="n">
        <f aca="false">K58*P58</f>
        <v>0</v>
      </c>
      <c r="V58" s="18" t="n">
        <f aca="false">T58-U58</f>
        <v>0</v>
      </c>
      <c r="W58" s="19"/>
      <c r="X58" s="19"/>
    </row>
    <row r="59" customFormat="false" ht="16" hidden="false" customHeight="false" outlineLevel="0" collapsed="false">
      <c r="A59" s="8" t="s">
        <v>24</v>
      </c>
      <c r="B59" s="9" t="s">
        <v>25</v>
      </c>
      <c r="C59" s="9" t="s">
        <v>26</v>
      </c>
      <c r="D59" s="10" t="n">
        <v>1789</v>
      </c>
      <c r="E59" s="9" t="s">
        <v>27</v>
      </c>
      <c r="F59" s="9" t="s">
        <v>29</v>
      </c>
      <c r="G59" s="11" t="n">
        <v>6</v>
      </c>
      <c r="H59" s="12"/>
      <c r="I59" s="13"/>
      <c r="J59" s="13"/>
      <c r="K59" s="14"/>
      <c r="L59" s="15"/>
      <c r="M59" s="14"/>
      <c r="N59" s="14"/>
      <c r="O59" s="16"/>
      <c r="P59" s="17" t="n">
        <f aca="false">M59+(0.05*N59)+(O59/240)</f>
        <v>0</v>
      </c>
      <c r="Q59" s="14"/>
      <c r="R59" s="14"/>
      <c r="S59" s="14"/>
      <c r="T59" s="14" t="n">
        <f aca="false">Q59+(R59*0.05)+(S59/240)</f>
        <v>0</v>
      </c>
      <c r="U59" s="14" t="n">
        <f aca="false">K59*P59</f>
        <v>0</v>
      </c>
      <c r="V59" s="18" t="n">
        <f aca="false">T59-U59</f>
        <v>0</v>
      </c>
      <c r="W59" s="19"/>
      <c r="X59" s="19"/>
    </row>
    <row r="60" customFormat="false" ht="16" hidden="false" customHeight="false" outlineLevel="0" collapsed="false">
      <c r="A60" s="8" t="s">
        <v>24</v>
      </c>
      <c r="B60" s="9" t="s">
        <v>25</v>
      </c>
      <c r="C60" s="9" t="s">
        <v>26</v>
      </c>
      <c r="D60" s="10" t="n">
        <v>1789</v>
      </c>
      <c r="E60" s="9" t="s">
        <v>27</v>
      </c>
      <c r="F60" s="9" t="s">
        <v>29</v>
      </c>
      <c r="G60" s="11" t="n">
        <v>6</v>
      </c>
      <c r="H60" s="12"/>
      <c r="I60" s="13"/>
      <c r="J60" s="13"/>
      <c r="K60" s="14"/>
      <c r="L60" s="15"/>
      <c r="M60" s="14"/>
      <c r="N60" s="14"/>
      <c r="O60" s="16"/>
      <c r="P60" s="17" t="n">
        <f aca="false">M60+(0.05*N60)+(O60/240)</f>
        <v>0</v>
      </c>
      <c r="Q60" s="14"/>
      <c r="R60" s="14"/>
      <c r="S60" s="14"/>
      <c r="T60" s="14" t="n">
        <f aca="false">Q60+(R60*0.05)+(S60/240)</f>
        <v>0</v>
      </c>
      <c r="U60" s="14" t="n">
        <f aca="false">K60*P60</f>
        <v>0</v>
      </c>
      <c r="V60" s="18" t="n">
        <f aca="false">T60-U60</f>
        <v>0</v>
      </c>
      <c r="W60" s="19"/>
      <c r="X60" s="19"/>
    </row>
    <row r="61" customFormat="false" ht="16" hidden="false" customHeight="false" outlineLevel="0" collapsed="false">
      <c r="A61" s="8" t="s">
        <v>24</v>
      </c>
      <c r="B61" s="9" t="s">
        <v>25</v>
      </c>
      <c r="C61" s="9" t="s">
        <v>26</v>
      </c>
      <c r="D61" s="10" t="n">
        <v>1789</v>
      </c>
      <c r="E61" s="9" t="s">
        <v>27</v>
      </c>
      <c r="F61" s="9" t="s">
        <v>29</v>
      </c>
      <c r="G61" s="11" t="n">
        <v>6</v>
      </c>
      <c r="H61" s="12"/>
      <c r="I61" s="13"/>
      <c r="J61" s="13"/>
      <c r="K61" s="14"/>
      <c r="L61" s="15"/>
      <c r="M61" s="14"/>
      <c r="N61" s="14"/>
      <c r="O61" s="16"/>
      <c r="P61" s="17" t="n">
        <f aca="false">M61+(0.05*N61)+(O61/240)</f>
        <v>0</v>
      </c>
      <c r="Q61" s="14"/>
      <c r="R61" s="14"/>
      <c r="S61" s="14"/>
      <c r="T61" s="14" t="n">
        <f aca="false">Q61+(R61*0.05)+(S61/240)</f>
        <v>0</v>
      </c>
      <c r="U61" s="14" t="n">
        <f aca="false">K61*P61</f>
        <v>0</v>
      </c>
      <c r="V61" s="18" t="n">
        <f aca="false">T61-U61</f>
        <v>0</v>
      </c>
      <c r="W61" s="19"/>
      <c r="X61" s="19"/>
    </row>
    <row r="62" customFormat="false" ht="16" hidden="false" customHeight="false" outlineLevel="0" collapsed="false">
      <c r="A62" s="8" t="s">
        <v>24</v>
      </c>
      <c r="B62" s="9" t="s">
        <v>25</v>
      </c>
      <c r="C62" s="9" t="s">
        <v>26</v>
      </c>
      <c r="D62" s="10" t="n">
        <v>1789</v>
      </c>
      <c r="E62" s="9" t="s">
        <v>27</v>
      </c>
      <c r="F62" s="9" t="s">
        <v>29</v>
      </c>
      <c r="G62" s="11" t="n">
        <v>6</v>
      </c>
      <c r="H62" s="12"/>
      <c r="I62" s="13"/>
      <c r="J62" s="13"/>
      <c r="K62" s="14"/>
      <c r="L62" s="15"/>
      <c r="M62" s="14"/>
      <c r="N62" s="14"/>
      <c r="O62" s="16"/>
      <c r="P62" s="17" t="n">
        <f aca="false">M62+(0.05*N62)+(O62/240)</f>
        <v>0</v>
      </c>
      <c r="Q62" s="14"/>
      <c r="R62" s="14"/>
      <c r="S62" s="14"/>
      <c r="T62" s="14" t="n">
        <f aca="false">Q62+(R62*0.05)+(S62/240)</f>
        <v>0</v>
      </c>
      <c r="U62" s="14" t="n">
        <f aca="false">K62*P62</f>
        <v>0</v>
      </c>
      <c r="V62" s="18" t="n">
        <f aca="false">T62-U62</f>
        <v>0</v>
      </c>
      <c r="W62" s="19"/>
      <c r="X62" s="19"/>
    </row>
    <row r="63" customFormat="false" ht="16" hidden="false" customHeight="false" outlineLevel="0" collapsed="false">
      <c r="A63" s="8" t="s">
        <v>24</v>
      </c>
      <c r="B63" s="9" t="s">
        <v>25</v>
      </c>
      <c r="C63" s="9" t="s">
        <v>26</v>
      </c>
      <c r="D63" s="10" t="n">
        <v>1789</v>
      </c>
      <c r="E63" s="9" t="s">
        <v>27</v>
      </c>
      <c r="F63" s="9" t="s">
        <v>29</v>
      </c>
      <c r="G63" s="11" t="n">
        <v>6</v>
      </c>
      <c r="H63" s="12"/>
      <c r="I63" s="13"/>
      <c r="J63" s="13"/>
      <c r="K63" s="14"/>
      <c r="L63" s="15"/>
      <c r="M63" s="14"/>
      <c r="N63" s="14"/>
      <c r="O63" s="16"/>
      <c r="P63" s="17" t="n">
        <f aca="false">M63+(0.05*N63)+(O63/240)</f>
        <v>0</v>
      </c>
      <c r="Q63" s="14"/>
      <c r="R63" s="14"/>
      <c r="S63" s="14"/>
      <c r="T63" s="14" t="n">
        <f aca="false">Q63+(R63*0.05)+(S63/240)</f>
        <v>0</v>
      </c>
      <c r="U63" s="14" t="n">
        <f aca="false">K63*P63</f>
        <v>0</v>
      </c>
      <c r="V63" s="18" t="n">
        <f aca="false">T63-U63</f>
        <v>0</v>
      </c>
      <c r="W63" s="19"/>
      <c r="X63" s="19"/>
    </row>
    <row r="64" customFormat="false" ht="16" hidden="false" customHeight="false" outlineLevel="0" collapsed="false">
      <c r="A64" s="8" t="s">
        <v>24</v>
      </c>
      <c r="B64" s="9" t="s">
        <v>25</v>
      </c>
      <c r="C64" s="9" t="s">
        <v>26</v>
      </c>
      <c r="D64" s="10" t="n">
        <v>1789</v>
      </c>
      <c r="E64" s="9" t="s">
        <v>27</v>
      </c>
      <c r="F64" s="9" t="s">
        <v>29</v>
      </c>
      <c r="G64" s="11" t="n">
        <v>6</v>
      </c>
      <c r="H64" s="12"/>
      <c r="I64" s="13"/>
      <c r="J64" s="13"/>
      <c r="K64" s="14"/>
      <c r="L64" s="15"/>
      <c r="M64" s="14"/>
      <c r="N64" s="14"/>
      <c r="O64" s="16"/>
      <c r="P64" s="17" t="n">
        <f aca="false">M64+(0.05*N64)+(O64/240)</f>
        <v>0</v>
      </c>
      <c r="Q64" s="14"/>
      <c r="R64" s="14"/>
      <c r="S64" s="14"/>
      <c r="T64" s="14" t="n">
        <f aca="false">Q64+(R64*0.05)+(S64/240)</f>
        <v>0</v>
      </c>
      <c r="U64" s="14" t="n">
        <f aca="false">K64*P64</f>
        <v>0</v>
      </c>
      <c r="V64" s="18" t="n">
        <f aca="false">T64-U64</f>
        <v>0</v>
      </c>
      <c r="W64" s="19"/>
      <c r="X64" s="19"/>
    </row>
    <row r="65" customFormat="false" ht="16" hidden="false" customHeight="false" outlineLevel="0" collapsed="false">
      <c r="A65" s="8" t="s">
        <v>24</v>
      </c>
      <c r="B65" s="9" t="s">
        <v>25</v>
      </c>
      <c r="C65" s="9" t="s">
        <v>26</v>
      </c>
      <c r="D65" s="10" t="n">
        <v>1789</v>
      </c>
      <c r="E65" s="9" t="s">
        <v>27</v>
      </c>
      <c r="F65" s="9" t="s">
        <v>29</v>
      </c>
      <c r="G65" s="11" t="n">
        <v>6</v>
      </c>
      <c r="H65" s="12"/>
      <c r="I65" s="13"/>
      <c r="J65" s="13"/>
      <c r="K65" s="14"/>
      <c r="L65" s="15"/>
      <c r="M65" s="14"/>
      <c r="N65" s="14"/>
      <c r="O65" s="16"/>
      <c r="P65" s="17" t="n">
        <f aca="false">M65+(0.05*N65)+(O65/240)</f>
        <v>0</v>
      </c>
      <c r="Q65" s="14"/>
      <c r="R65" s="14"/>
      <c r="S65" s="14"/>
      <c r="T65" s="14" t="n">
        <f aca="false">Q65+(R65*0.05)+(S65/240)</f>
        <v>0</v>
      </c>
      <c r="U65" s="14" t="n">
        <f aca="false">K65*P65</f>
        <v>0</v>
      </c>
      <c r="V65" s="18" t="n">
        <f aca="false">T65-U65</f>
        <v>0</v>
      </c>
      <c r="W65" s="19"/>
      <c r="X65" s="19"/>
    </row>
    <row r="66" customFormat="false" ht="16" hidden="false" customHeight="false" outlineLevel="0" collapsed="false">
      <c r="A66" s="8" t="s">
        <v>24</v>
      </c>
      <c r="B66" s="9" t="s">
        <v>25</v>
      </c>
      <c r="C66" s="9" t="s">
        <v>26</v>
      </c>
      <c r="D66" s="10" t="n">
        <v>1789</v>
      </c>
      <c r="E66" s="9" t="s">
        <v>27</v>
      </c>
      <c r="F66" s="9" t="s">
        <v>29</v>
      </c>
      <c r="G66" s="11" t="n">
        <v>6</v>
      </c>
      <c r="H66" s="12"/>
      <c r="I66" s="13"/>
      <c r="J66" s="13"/>
      <c r="K66" s="14"/>
      <c r="L66" s="15"/>
      <c r="M66" s="14"/>
      <c r="N66" s="14"/>
      <c r="O66" s="16"/>
      <c r="P66" s="17" t="n">
        <f aca="false">M66+(0.05*N66)+(O66/240)</f>
        <v>0</v>
      </c>
      <c r="Q66" s="14"/>
      <c r="R66" s="14"/>
      <c r="S66" s="14"/>
      <c r="T66" s="14" t="n">
        <f aca="false">Q66+(R66*0.05)+(S66/240)</f>
        <v>0</v>
      </c>
      <c r="U66" s="14" t="n">
        <f aca="false">K66*P66</f>
        <v>0</v>
      </c>
      <c r="V66" s="18" t="n">
        <f aca="false">T66-U66</f>
        <v>0</v>
      </c>
      <c r="W66" s="19"/>
      <c r="X66" s="19"/>
    </row>
    <row r="67" customFormat="false" ht="16" hidden="false" customHeight="false" outlineLevel="0" collapsed="false">
      <c r="A67" s="8" t="s">
        <v>24</v>
      </c>
      <c r="B67" s="9" t="s">
        <v>25</v>
      </c>
      <c r="C67" s="9" t="s">
        <v>26</v>
      </c>
      <c r="D67" s="10" t="n">
        <v>1789</v>
      </c>
      <c r="E67" s="9" t="s">
        <v>27</v>
      </c>
      <c r="F67" s="9" t="s">
        <v>29</v>
      </c>
      <c r="G67" s="11" t="n">
        <v>6</v>
      </c>
      <c r="H67" s="12"/>
      <c r="I67" s="13"/>
      <c r="J67" s="13"/>
      <c r="K67" s="14"/>
      <c r="L67" s="15"/>
      <c r="M67" s="14"/>
      <c r="N67" s="14"/>
      <c r="O67" s="16"/>
      <c r="P67" s="17" t="n">
        <f aca="false">M67+(0.05*N67)+(O67/240)</f>
        <v>0</v>
      </c>
      <c r="Q67" s="14"/>
      <c r="R67" s="14"/>
      <c r="S67" s="14"/>
      <c r="T67" s="14" t="n">
        <f aca="false">Q67+(R67*0.05)+(S67/240)</f>
        <v>0</v>
      </c>
      <c r="U67" s="14" t="n">
        <f aca="false">K67*P67</f>
        <v>0</v>
      </c>
      <c r="V67" s="18" t="n">
        <f aca="false">T67-U67</f>
        <v>0</v>
      </c>
      <c r="W67" s="19"/>
      <c r="X67" s="19"/>
    </row>
    <row r="68" customFormat="false" ht="16" hidden="false" customHeight="false" outlineLevel="0" collapsed="false">
      <c r="A68" s="8" t="s">
        <v>24</v>
      </c>
      <c r="B68" s="9" t="s">
        <v>25</v>
      </c>
      <c r="C68" s="9" t="s">
        <v>26</v>
      </c>
      <c r="D68" s="10" t="n">
        <v>1789</v>
      </c>
      <c r="E68" s="9" t="s">
        <v>27</v>
      </c>
      <c r="F68" s="9" t="s">
        <v>29</v>
      </c>
      <c r="G68" s="11" t="n">
        <v>6</v>
      </c>
      <c r="H68" s="12"/>
      <c r="I68" s="13"/>
      <c r="J68" s="13"/>
      <c r="K68" s="14"/>
      <c r="L68" s="15"/>
      <c r="M68" s="14"/>
      <c r="N68" s="14"/>
      <c r="O68" s="16"/>
      <c r="P68" s="17" t="n">
        <f aca="false">M68+(0.05*N68)+(O68/240)</f>
        <v>0</v>
      </c>
      <c r="Q68" s="14"/>
      <c r="R68" s="14"/>
      <c r="S68" s="14"/>
      <c r="T68" s="14" t="n">
        <f aca="false">Q68+(R68*0.05)+(S68/240)</f>
        <v>0</v>
      </c>
      <c r="U68" s="14" t="n">
        <f aca="false">K68*P68</f>
        <v>0</v>
      </c>
      <c r="V68" s="18" t="n">
        <f aca="false">T68-U68</f>
        <v>0</v>
      </c>
      <c r="W68" s="19"/>
      <c r="X68" s="19"/>
    </row>
    <row r="69" customFormat="false" ht="16" hidden="false" customHeight="false" outlineLevel="0" collapsed="false">
      <c r="A69" s="8" t="s">
        <v>24</v>
      </c>
      <c r="B69" s="9" t="s">
        <v>25</v>
      </c>
      <c r="C69" s="9" t="s">
        <v>26</v>
      </c>
      <c r="D69" s="10" t="n">
        <v>1789</v>
      </c>
      <c r="E69" s="9" t="s">
        <v>27</v>
      </c>
      <c r="F69" s="9" t="s">
        <v>29</v>
      </c>
      <c r="G69" s="11" t="n">
        <v>6</v>
      </c>
      <c r="H69" s="12"/>
      <c r="I69" s="13"/>
      <c r="J69" s="13"/>
      <c r="K69" s="14"/>
      <c r="L69" s="15"/>
      <c r="M69" s="14"/>
      <c r="N69" s="14"/>
      <c r="O69" s="16"/>
      <c r="P69" s="17" t="n">
        <f aca="false">M69+(0.05*N69)+(O69/240)</f>
        <v>0</v>
      </c>
      <c r="Q69" s="14"/>
      <c r="R69" s="14"/>
      <c r="S69" s="14"/>
      <c r="T69" s="14" t="n">
        <f aca="false">Q69+(R69*0.05)+(S69/240)</f>
        <v>0</v>
      </c>
      <c r="U69" s="14" t="n">
        <f aca="false">K69*P69</f>
        <v>0</v>
      </c>
      <c r="V69" s="18" t="n">
        <f aca="false">T69-U69</f>
        <v>0</v>
      </c>
      <c r="W69" s="19"/>
      <c r="X69" s="19"/>
    </row>
    <row r="70" customFormat="false" ht="16" hidden="false" customHeight="false" outlineLevel="0" collapsed="false">
      <c r="A70" s="8" t="s">
        <v>24</v>
      </c>
      <c r="B70" s="9" t="s">
        <v>25</v>
      </c>
      <c r="C70" s="9" t="s">
        <v>26</v>
      </c>
      <c r="D70" s="10" t="n">
        <v>1789</v>
      </c>
      <c r="E70" s="9" t="s">
        <v>27</v>
      </c>
      <c r="F70" s="9" t="s">
        <v>29</v>
      </c>
      <c r="G70" s="11" t="n">
        <v>6</v>
      </c>
      <c r="H70" s="12"/>
      <c r="I70" s="13"/>
      <c r="J70" s="13"/>
      <c r="K70" s="14"/>
      <c r="L70" s="15"/>
      <c r="M70" s="14"/>
      <c r="N70" s="14"/>
      <c r="O70" s="16"/>
      <c r="P70" s="17" t="n">
        <f aca="false">M70+(0.05*N70)+(O70/240)</f>
        <v>0</v>
      </c>
      <c r="Q70" s="14"/>
      <c r="R70" s="14"/>
      <c r="S70" s="14"/>
      <c r="T70" s="14" t="n">
        <f aca="false">Q70+(R70*0.05)+(S70/240)</f>
        <v>0</v>
      </c>
      <c r="U70" s="14" t="n">
        <f aca="false">K70*P70</f>
        <v>0</v>
      </c>
      <c r="V70" s="18" t="n">
        <f aca="false">T70-U70</f>
        <v>0</v>
      </c>
      <c r="W70" s="19"/>
      <c r="X70" s="19"/>
    </row>
    <row r="71" customFormat="false" ht="16" hidden="false" customHeight="false" outlineLevel="0" collapsed="false">
      <c r="A71" s="8" t="s">
        <v>24</v>
      </c>
      <c r="B71" s="9" t="s">
        <v>25</v>
      </c>
      <c r="C71" s="9" t="s">
        <v>26</v>
      </c>
      <c r="D71" s="10" t="n">
        <v>1789</v>
      </c>
      <c r="E71" s="9" t="s">
        <v>27</v>
      </c>
      <c r="F71" s="9" t="s">
        <v>29</v>
      </c>
      <c r="G71" s="11" t="n">
        <v>6</v>
      </c>
      <c r="H71" s="12"/>
      <c r="I71" s="13"/>
      <c r="J71" s="13"/>
      <c r="K71" s="14"/>
      <c r="L71" s="15"/>
      <c r="M71" s="14"/>
      <c r="N71" s="14"/>
      <c r="O71" s="16"/>
      <c r="P71" s="17" t="n">
        <f aca="false">M71+(0.05*N71)+(O71/240)</f>
        <v>0</v>
      </c>
      <c r="Q71" s="14"/>
      <c r="R71" s="14"/>
      <c r="S71" s="14"/>
      <c r="T71" s="14" t="n">
        <f aca="false">Q71+(R71*0.05)+(S71/240)</f>
        <v>0</v>
      </c>
      <c r="U71" s="14" t="n">
        <f aca="false">K71*P71</f>
        <v>0</v>
      </c>
      <c r="V71" s="18" t="n">
        <f aca="false">T71-U71</f>
        <v>0</v>
      </c>
      <c r="W71" s="19"/>
      <c r="X71" s="19"/>
    </row>
    <row r="72" customFormat="false" ht="16" hidden="false" customHeight="false" outlineLevel="0" collapsed="false">
      <c r="A72" s="8" t="s">
        <v>24</v>
      </c>
      <c r="B72" s="9" t="s">
        <v>25</v>
      </c>
      <c r="C72" s="9" t="s">
        <v>26</v>
      </c>
      <c r="D72" s="10" t="n">
        <v>1789</v>
      </c>
      <c r="E72" s="9" t="s">
        <v>27</v>
      </c>
      <c r="F72" s="9" t="s">
        <v>29</v>
      </c>
      <c r="G72" s="11" t="n">
        <v>6</v>
      </c>
      <c r="H72" s="12"/>
      <c r="I72" s="13"/>
      <c r="J72" s="13"/>
      <c r="K72" s="14"/>
      <c r="L72" s="15"/>
      <c r="M72" s="14"/>
      <c r="N72" s="14"/>
      <c r="O72" s="16"/>
      <c r="P72" s="17" t="n">
        <f aca="false">M72+(0.05*N72)+(O72/240)</f>
        <v>0</v>
      </c>
      <c r="Q72" s="14"/>
      <c r="R72" s="14"/>
      <c r="S72" s="14"/>
      <c r="T72" s="14" t="n">
        <f aca="false">Q72+(R72*0.05)+(S72/240)</f>
        <v>0</v>
      </c>
      <c r="U72" s="14" t="n">
        <f aca="false">K72*P72</f>
        <v>0</v>
      </c>
      <c r="V72" s="18" t="n">
        <f aca="false">T72-U72</f>
        <v>0</v>
      </c>
      <c r="W72" s="19"/>
      <c r="X72" s="19"/>
    </row>
    <row r="73" customFormat="false" ht="16" hidden="false" customHeight="false" outlineLevel="0" collapsed="false">
      <c r="A73" s="8" t="s">
        <v>24</v>
      </c>
      <c r="B73" s="9" t="s">
        <v>25</v>
      </c>
      <c r="C73" s="9" t="s">
        <v>26</v>
      </c>
      <c r="D73" s="10" t="n">
        <v>1789</v>
      </c>
      <c r="E73" s="9" t="s">
        <v>27</v>
      </c>
      <c r="F73" s="9" t="s">
        <v>29</v>
      </c>
      <c r="G73" s="11" t="n">
        <v>6</v>
      </c>
      <c r="H73" s="12"/>
      <c r="I73" s="13"/>
      <c r="J73" s="13"/>
      <c r="K73" s="14"/>
      <c r="L73" s="15"/>
      <c r="M73" s="14"/>
      <c r="N73" s="14"/>
      <c r="O73" s="16"/>
      <c r="P73" s="17" t="n">
        <f aca="false">M73+(0.05*N73)+(O73/240)</f>
        <v>0</v>
      </c>
      <c r="Q73" s="14"/>
      <c r="R73" s="14"/>
      <c r="S73" s="14"/>
      <c r="T73" s="14" t="n">
        <f aca="false">Q73+(R73*0.05)+(S73/240)</f>
        <v>0</v>
      </c>
      <c r="U73" s="14" t="n">
        <f aca="false">K73*P73</f>
        <v>0</v>
      </c>
      <c r="V73" s="18" t="n">
        <f aca="false">T73-U73</f>
        <v>0</v>
      </c>
      <c r="W73" s="19"/>
      <c r="X73" s="19"/>
    </row>
    <row r="74" customFormat="false" ht="16" hidden="false" customHeight="false" outlineLevel="0" collapsed="false">
      <c r="A74" s="8" t="s">
        <v>24</v>
      </c>
      <c r="B74" s="9" t="s">
        <v>25</v>
      </c>
      <c r="C74" s="9" t="s">
        <v>26</v>
      </c>
      <c r="D74" s="10" t="n">
        <v>1789</v>
      </c>
      <c r="E74" s="9" t="s">
        <v>27</v>
      </c>
      <c r="F74" s="9" t="s">
        <v>29</v>
      </c>
      <c r="G74" s="11" t="n">
        <v>6</v>
      </c>
      <c r="H74" s="12"/>
      <c r="I74" s="13"/>
      <c r="J74" s="13"/>
      <c r="K74" s="14"/>
      <c r="L74" s="15"/>
      <c r="M74" s="14"/>
      <c r="N74" s="14"/>
      <c r="O74" s="16"/>
      <c r="P74" s="17" t="n">
        <f aca="false">M74+(0.05*N74)+(O74/240)</f>
        <v>0</v>
      </c>
      <c r="Q74" s="14"/>
      <c r="R74" s="14"/>
      <c r="S74" s="14"/>
      <c r="T74" s="14" t="n">
        <f aca="false">Q74+(R74*0.05)+(S74/240)</f>
        <v>0</v>
      </c>
      <c r="U74" s="14" t="n">
        <f aca="false">K74*P74</f>
        <v>0</v>
      </c>
      <c r="V74" s="18" t="n">
        <f aca="false">T74-U74</f>
        <v>0</v>
      </c>
      <c r="W74" s="19"/>
      <c r="X74" s="19"/>
    </row>
    <row r="75" customFormat="false" ht="16" hidden="false" customHeight="false" outlineLevel="0" collapsed="false">
      <c r="A75" s="8" t="s">
        <v>24</v>
      </c>
      <c r="B75" s="9" t="s">
        <v>25</v>
      </c>
      <c r="C75" s="9" t="s">
        <v>26</v>
      </c>
      <c r="D75" s="10" t="n">
        <v>1789</v>
      </c>
      <c r="E75" s="9" t="s">
        <v>27</v>
      </c>
      <c r="F75" s="9" t="s">
        <v>29</v>
      </c>
      <c r="G75" s="11" t="n">
        <v>6</v>
      </c>
      <c r="H75" s="12"/>
      <c r="I75" s="13"/>
      <c r="J75" s="13"/>
      <c r="K75" s="14"/>
      <c r="L75" s="15"/>
      <c r="M75" s="14"/>
      <c r="N75" s="14"/>
      <c r="O75" s="16"/>
      <c r="P75" s="17" t="n">
        <f aca="false">M75+(0.05*N75)+(O75/240)</f>
        <v>0</v>
      </c>
      <c r="Q75" s="14"/>
      <c r="R75" s="14"/>
      <c r="S75" s="14"/>
      <c r="T75" s="14" t="n">
        <f aca="false">Q75+(R75*0.05)+(S75/240)</f>
        <v>0</v>
      </c>
      <c r="U75" s="14" t="n">
        <f aca="false">K75*P75</f>
        <v>0</v>
      </c>
      <c r="V75" s="18" t="n">
        <f aca="false">T75-U75</f>
        <v>0</v>
      </c>
      <c r="W75" s="19"/>
      <c r="X75" s="19"/>
    </row>
    <row r="76" customFormat="false" ht="16" hidden="false" customHeight="false" outlineLevel="0" collapsed="false">
      <c r="A76" s="8" t="s">
        <v>24</v>
      </c>
      <c r="B76" s="9" t="s">
        <v>25</v>
      </c>
      <c r="C76" s="9" t="s">
        <v>26</v>
      </c>
      <c r="D76" s="10" t="n">
        <v>1789</v>
      </c>
      <c r="E76" s="9" t="s">
        <v>27</v>
      </c>
      <c r="F76" s="9" t="s">
        <v>29</v>
      </c>
      <c r="G76" s="11" t="n">
        <v>6</v>
      </c>
      <c r="H76" s="12"/>
      <c r="I76" s="13"/>
      <c r="J76" s="13"/>
      <c r="K76" s="14"/>
      <c r="L76" s="15"/>
      <c r="M76" s="14"/>
      <c r="N76" s="14"/>
      <c r="O76" s="16"/>
      <c r="P76" s="17" t="n">
        <f aca="false">M76+(0.05*N76)+(O76/240)</f>
        <v>0</v>
      </c>
      <c r="Q76" s="14"/>
      <c r="R76" s="14"/>
      <c r="S76" s="14"/>
      <c r="T76" s="14" t="n">
        <f aca="false">Q76+(R76*0.05)+(S76/240)</f>
        <v>0</v>
      </c>
      <c r="U76" s="14" t="n">
        <f aca="false">K76*P76</f>
        <v>0</v>
      </c>
      <c r="V76" s="18" t="n">
        <f aca="false">T76-U76</f>
        <v>0</v>
      </c>
      <c r="W76" s="19"/>
      <c r="X76" s="19"/>
    </row>
    <row r="77" customFormat="false" ht="16" hidden="false" customHeight="false" outlineLevel="0" collapsed="false">
      <c r="A77" s="8" t="s">
        <v>24</v>
      </c>
      <c r="B77" s="9" t="s">
        <v>25</v>
      </c>
      <c r="C77" s="9" t="s">
        <v>26</v>
      </c>
      <c r="D77" s="10" t="n">
        <v>1789</v>
      </c>
      <c r="E77" s="9" t="s">
        <v>27</v>
      </c>
      <c r="F77" s="9" t="s">
        <v>29</v>
      </c>
      <c r="G77" s="11" t="n">
        <v>6</v>
      </c>
      <c r="H77" s="12"/>
      <c r="I77" s="13"/>
      <c r="J77" s="13"/>
      <c r="K77" s="14"/>
      <c r="L77" s="15"/>
      <c r="M77" s="14"/>
      <c r="N77" s="14"/>
      <c r="O77" s="16"/>
      <c r="P77" s="17" t="n">
        <f aca="false">M77+(0.05*N77)+(O77/240)</f>
        <v>0</v>
      </c>
      <c r="Q77" s="14"/>
      <c r="R77" s="14"/>
      <c r="S77" s="14"/>
      <c r="T77" s="14" t="n">
        <f aca="false">Q77+(R77*0.05)+(S77/240)</f>
        <v>0</v>
      </c>
      <c r="U77" s="14" t="n">
        <f aca="false">K77*P77</f>
        <v>0</v>
      </c>
      <c r="V77" s="18" t="n">
        <f aca="false">T77-U77</f>
        <v>0</v>
      </c>
      <c r="W77" s="19"/>
      <c r="X77" s="19"/>
    </row>
    <row r="78" customFormat="false" ht="16" hidden="false" customHeight="false" outlineLevel="0" collapsed="false">
      <c r="A78" s="8" t="s">
        <v>24</v>
      </c>
      <c r="B78" s="9" t="s">
        <v>25</v>
      </c>
      <c r="C78" s="9" t="s">
        <v>26</v>
      </c>
      <c r="D78" s="10" t="n">
        <v>1789</v>
      </c>
      <c r="E78" s="9" t="s">
        <v>27</v>
      </c>
      <c r="F78" s="9" t="s">
        <v>29</v>
      </c>
      <c r="G78" s="11" t="n">
        <v>6</v>
      </c>
      <c r="H78" s="12"/>
      <c r="I78" s="13"/>
      <c r="J78" s="13"/>
      <c r="K78" s="14"/>
      <c r="L78" s="15"/>
      <c r="M78" s="14"/>
      <c r="N78" s="14"/>
      <c r="O78" s="16"/>
      <c r="P78" s="17" t="n">
        <f aca="false">M78+(0.05*N78)+(O78/240)</f>
        <v>0</v>
      </c>
      <c r="Q78" s="14"/>
      <c r="R78" s="14"/>
      <c r="S78" s="14"/>
      <c r="T78" s="14" t="n">
        <f aca="false">Q78+(R78*0.05)+(S78/240)</f>
        <v>0</v>
      </c>
      <c r="U78" s="14" t="n">
        <f aca="false">K78*P78</f>
        <v>0</v>
      </c>
      <c r="V78" s="18" t="n">
        <f aca="false">T78-U78</f>
        <v>0</v>
      </c>
      <c r="W78" s="19"/>
      <c r="X78" s="19"/>
    </row>
    <row r="79" customFormat="false" ht="16" hidden="false" customHeight="false" outlineLevel="0" collapsed="false">
      <c r="A79" s="8" t="s">
        <v>24</v>
      </c>
      <c r="B79" s="9" t="s">
        <v>25</v>
      </c>
      <c r="C79" s="9" t="s">
        <v>26</v>
      </c>
      <c r="D79" s="10" t="n">
        <v>1789</v>
      </c>
      <c r="E79" s="9" t="s">
        <v>27</v>
      </c>
      <c r="F79" s="9" t="s">
        <v>29</v>
      </c>
      <c r="G79" s="11" t="n">
        <v>6</v>
      </c>
      <c r="H79" s="12"/>
      <c r="I79" s="13"/>
      <c r="J79" s="13"/>
      <c r="K79" s="14"/>
      <c r="L79" s="15"/>
      <c r="M79" s="14"/>
      <c r="N79" s="14"/>
      <c r="O79" s="16"/>
      <c r="P79" s="17" t="n">
        <f aca="false">M79+(0.05*N79)+(O79/240)</f>
        <v>0</v>
      </c>
      <c r="Q79" s="14"/>
      <c r="R79" s="14"/>
      <c r="S79" s="14"/>
      <c r="T79" s="14" t="n">
        <f aca="false">Q79+(R79*0.05)+(S79/240)</f>
        <v>0</v>
      </c>
      <c r="U79" s="14" t="n">
        <f aca="false">K79*P79</f>
        <v>0</v>
      </c>
      <c r="V79" s="18" t="n">
        <f aca="false">T79-U79</f>
        <v>0</v>
      </c>
      <c r="W79" s="19"/>
      <c r="X79" s="19"/>
    </row>
    <row r="80" customFormat="false" ht="16" hidden="false" customHeight="false" outlineLevel="0" collapsed="false">
      <c r="A80" s="8" t="s">
        <v>24</v>
      </c>
      <c r="B80" s="9" t="s">
        <v>25</v>
      </c>
      <c r="C80" s="9" t="s">
        <v>26</v>
      </c>
      <c r="D80" s="10" t="n">
        <v>1789</v>
      </c>
      <c r="E80" s="9" t="s">
        <v>27</v>
      </c>
      <c r="F80" s="9" t="s">
        <v>29</v>
      </c>
      <c r="G80" s="11" t="n">
        <v>6</v>
      </c>
      <c r="H80" s="12"/>
      <c r="I80" s="13"/>
      <c r="J80" s="13"/>
      <c r="K80" s="14"/>
      <c r="L80" s="15"/>
      <c r="M80" s="14"/>
      <c r="N80" s="14"/>
      <c r="O80" s="16"/>
      <c r="P80" s="17" t="n">
        <f aca="false">M80+(0.05*N80)+(O80/240)</f>
        <v>0</v>
      </c>
      <c r="Q80" s="14"/>
      <c r="R80" s="14"/>
      <c r="S80" s="14"/>
      <c r="T80" s="14" t="n">
        <f aca="false">Q80+(R80*0.05)+(S80/240)</f>
        <v>0</v>
      </c>
      <c r="U80" s="14" t="n">
        <f aca="false">K80*P80</f>
        <v>0</v>
      </c>
      <c r="V80" s="18" t="n">
        <f aca="false">T80-U80</f>
        <v>0</v>
      </c>
      <c r="W80" s="19"/>
      <c r="X80" s="19"/>
    </row>
    <row r="81" customFormat="false" ht="16" hidden="false" customHeight="false" outlineLevel="0" collapsed="false">
      <c r="A81" s="8" t="s">
        <v>24</v>
      </c>
      <c r="B81" s="9" t="s">
        <v>25</v>
      </c>
      <c r="C81" s="9" t="s">
        <v>26</v>
      </c>
      <c r="D81" s="10" t="n">
        <v>1789</v>
      </c>
      <c r="E81" s="9" t="s">
        <v>27</v>
      </c>
      <c r="F81" s="9" t="s">
        <v>29</v>
      </c>
      <c r="G81" s="11" t="n">
        <v>6</v>
      </c>
      <c r="H81" s="12"/>
      <c r="I81" s="13"/>
      <c r="J81" s="13"/>
      <c r="K81" s="14"/>
      <c r="L81" s="15"/>
      <c r="M81" s="14"/>
      <c r="N81" s="14"/>
      <c r="O81" s="16"/>
      <c r="P81" s="17" t="n">
        <f aca="false">M81+(0.05*N81)+(O81/240)</f>
        <v>0</v>
      </c>
      <c r="Q81" s="14"/>
      <c r="R81" s="14"/>
      <c r="S81" s="14"/>
      <c r="T81" s="14" t="n">
        <f aca="false">Q81+(R81*0.05)+(S81/240)</f>
        <v>0</v>
      </c>
      <c r="U81" s="14" t="n">
        <f aca="false">K81*P81</f>
        <v>0</v>
      </c>
      <c r="V81" s="18" t="n">
        <f aca="false">T81-U81</f>
        <v>0</v>
      </c>
      <c r="W81" s="19"/>
      <c r="X81" s="19"/>
    </row>
    <row r="82" customFormat="false" ht="16" hidden="false" customHeight="false" outlineLevel="0" collapsed="false">
      <c r="A82" s="8" t="s">
        <v>24</v>
      </c>
      <c r="B82" s="9" t="s">
        <v>25</v>
      </c>
      <c r="C82" s="9" t="s">
        <v>26</v>
      </c>
      <c r="D82" s="10" t="n">
        <v>1789</v>
      </c>
      <c r="E82" s="9" t="s">
        <v>27</v>
      </c>
      <c r="F82" s="9" t="s">
        <v>29</v>
      </c>
      <c r="G82" s="11" t="n">
        <v>6</v>
      </c>
      <c r="H82" s="12"/>
      <c r="I82" s="13"/>
      <c r="J82" s="13"/>
      <c r="K82" s="14"/>
      <c r="L82" s="15"/>
      <c r="M82" s="14"/>
      <c r="N82" s="14"/>
      <c r="O82" s="16"/>
      <c r="P82" s="17" t="n">
        <f aca="false">M82+(0.05*N82)+(O82/240)</f>
        <v>0</v>
      </c>
      <c r="Q82" s="14"/>
      <c r="R82" s="14"/>
      <c r="S82" s="14"/>
      <c r="T82" s="14" t="n">
        <f aca="false">Q82+(R82*0.05)+(S82/240)</f>
        <v>0</v>
      </c>
      <c r="U82" s="14" t="n">
        <f aca="false">K82*P82</f>
        <v>0</v>
      </c>
      <c r="V82" s="18" t="n">
        <f aca="false">T82-U82</f>
        <v>0</v>
      </c>
      <c r="W82" s="19"/>
      <c r="X82" s="19"/>
    </row>
    <row r="83" customFormat="false" ht="16" hidden="false" customHeight="false" outlineLevel="0" collapsed="false">
      <c r="A83" s="8" t="s">
        <v>24</v>
      </c>
      <c r="B83" s="9" t="s">
        <v>25</v>
      </c>
      <c r="C83" s="9" t="s">
        <v>26</v>
      </c>
      <c r="D83" s="10" t="n">
        <v>1789</v>
      </c>
      <c r="E83" s="9" t="s">
        <v>27</v>
      </c>
      <c r="F83" s="9" t="s">
        <v>29</v>
      </c>
      <c r="G83" s="11" t="n">
        <v>6</v>
      </c>
      <c r="H83" s="12"/>
      <c r="I83" s="13"/>
      <c r="J83" s="13"/>
      <c r="K83" s="14"/>
      <c r="L83" s="15"/>
      <c r="M83" s="14"/>
      <c r="N83" s="14"/>
      <c r="O83" s="16"/>
      <c r="P83" s="17" t="n">
        <f aca="false">M83+(0.05*N83)+(O83/240)</f>
        <v>0</v>
      </c>
      <c r="Q83" s="14"/>
      <c r="R83" s="14"/>
      <c r="S83" s="14"/>
      <c r="T83" s="14" t="n">
        <f aca="false">Q83+(R83*0.05)+(S83/240)</f>
        <v>0</v>
      </c>
      <c r="U83" s="14" t="n">
        <f aca="false">K83*P83</f>
        <v>0</v>
      </c>
      <c r="V83" s="18" t="n">
        <f aca="false">T83-U83</f>
        <v>0</v>
      </c>
      <c r="W83" s="19"/>
      <c r="X83" s="19"/>
    </row>
    <row r="84" customFormat="false" ht="16" hidden="false" customHeight="false" outlineLevel="0" collapsed="false">
      <c r="A84" s="8" t="s">
        <v>24</v>
      </c>
      <c r="B84" s="9" t="s">
        <v>25</v>
      </c>
      <c r="C84" s="9" t="s">
        <v>26</v>
      </c>
      <c r="D84" s="10" t="n">
        <v>1789</v>
      </c>
      <c r="E84" s="9" t="s">
        <v>27</v>
      </c>
      <c r="F84" s="9" t="s">
        <v>29</v>
      </c>
      <c r="G84" s="11" t="n">
        <v>6</v>
      </c>
      <c r="H84" s="12"/>
      <c r="I84" s="13"/>
      <c r="J84" s="13"/>
      <c r="K84" s="14"/>
      <c r="L84" s="15"/>
      <c r="M84" s="14"/>
      <c r="N84" s="14"/>
      <c r="O84" s="16"/>
      <c r="P84" s="17" t="n">
        <f aca="false">M84+(0.05*N84)+(O84/240)</f>
        <v>0</v>
      </c>
      <c r="Q84" s="14"/>
      <c r="R84" s="14"/>
      <c r="S84" s="14"/>
      <c r="T84" s="14" t="n">
        <f aca="false">Q84+(R84*0.05)+(S84/240)</f>
        <v>0</v>
      </c>
      <c r="U84" s="14" t="n">
        <f aca="false">K84*P84</f>
        <v>0</v>
      </c>
      <c r="V84" s="18" t="n">
        <f aca="false">T84-U84</f>
        <v>0</v>
      </c>
      <c r="W84" s="19"/>
      <c r="X84" s="19"/>
    </row>
    <row r="85" customFormat="false" ht="16" hidden="false" customHeight="false" outlineLevel="0" collapsed="false">
      <c r="A85" s="8" t="s">
        <v>24</v>
      </c>
      <c r="B85" s="9" t="s">
        <v>25</v>
      </c>
      <c r="C85" s="9" t="s">
        <v>26</v>
      </c>
      <c r="D85" s="10" t="n">
        <v>1789</v>
      </c>
      <c r="E85" s="9" t="s">
        <v>27</v>
      </c>
      <c r="F85" s="9" t="s">
        <v>29</v>
      </c>
      <c r="G85" s="11" t="n">
        <v>6</v>
      </c>
      <c r="H85" s="12"/>
      <c r="I85" s="13"/>
      <c r="J85" s="13"/>
      <c r="K85" s="14"/>
      <c r="L85" s="15"/>
      <c r="M85" s="14"/>
      <c r="N85" s="14"/>
      <c r="O85" s="16"/>
      <c r="P85" s="17" t="n">
        <f aca="false">M85+(0.05*N85)+(O85/240)</f>
        <v>0</v>
      </c>
      <c r="Q85" s="14"/>
      <c r="R85" s="14"/>
      <c r="S85" s="14"/>
      <c r="T85" s="14" t="n">
        <f aca="false">Q85+(R85*0.05)+(S85/240)</f>
        <v>0</v>
      </c>
      <c r="U85" s="14" t="n">
        <f aca="false">K85*P85</f>
        <v>0</v>
      </c>
      <c r="V85" s="18" t="n">
        <f aca="false">T85-U85</f>
        <v>0</v>
      </c>
      <c r="W85" s="19"/>
      <c r="X85" s="19"/>
    </row>
    <row r="86" customFormat="false" ht="16" hidden="false" customHeight="false" outlineLevel="0" collapsed="false">
      <c r="A86" s="8" t="s">
        <v>24</v>
      </c>
      <c r="B86" s="9" t="s">
        <v>25</v>
      </c>
      <c r="C86" s="9" t="s">
        <v>26</v>
      </c>
      <c r="D86" s="10" t="n">
        <v>1789</v>
      </c>
      <c r="E86" s="9" t="s">
        <v>27</v>
      </c>
      <c r="F86" s="9" t="s">
        <v>29</v>
      </c>
      <c r="G86" s="11" t="n">
        <v>6</v>
      </c>
      <c r="H86" s="12"/>
      <c r="I86" s="13"/>
      <c r="J86" s="13"/>
      <c r="K86" s="14"/>
      <c r="L86" s="15"/>
      <c r="M86" s="14"/>
      <c r="N86" s="14"/>
      <c r="O86" s="16"/>
      <c r="P86" s="17" t="n">
        <f aca="false">M86+(0.05*N86)+(O86/240)</f>
        <v>0</v>
      </c>
      <c r="Q86" s="14"/>
      <c r="R86" s="14"/>
      <c r="S86" s="14"/>
      <c r="T86" s="14" t="n">
        <f aca="false">Q86+(R86*0.05)+(S86/240)</f>
        <v>0</v>
      </c>
      <c r="U86" s="14" t="n">
        <f aca="false">K86*P86</f>
        <v>0</v>
      </c>
      <c r="V86" s="18" t="n">
        <f aca="false">T86-U86</f>
        <v>0</v>
      </c>
      <c r="W86" s="19"/>
      <c r="X86" s="19"/>
    </row>
    <row r="87" customFormat="false" ht="16" hidden="false" customHeight="false" outlineLevel="0" collapsed="false">
      <c r="A87" s="8" t="s">
        <v>24</v>
      </c>
      <c r="B87" s="9" t="s">
        <v>25</v>
      </c>
      <c r="C87" s="9" t="s">
        <v>26</v>
      </c>
      <c r="D87" s="10" t="n">
        <v>1789</v>
      </c>
      <c r="E87" s="9" t="s">
        <v>27</v>
      </c>
      <c r="F87" s="9" t="s">
        <v>29</v>
      </c>
      <c r="G87" s="11" t="n">
        <v>6</v>
      </c>
      <c r="H87" s="12"/>
      <c r="I87" s="13"/>
      <c r="J87" s="13"/>
      <c r="K87" s="14"/>
      <c r="L87" s="15"/>
      <c r="M87" s="14"/>
      <c r="N87" s="14"/>
      <c r="O87" s="16"/>
      <c r="P87" s="17" t="n">
        <f aca="false">M87+(0.05*N87)+(O87/240)</f>
        <v>0</v>
      </c>
      <c r="Q87" s="14"/>
      <c r="R87" s="14"/>
      <c r="S87" s="14"/>
      <c r="T87" s="14" t="n">
        <f aca="false">Q87+(R87*0.05)+(S87/240)</f>
        <v>0</v>
      </c>
      <c r="U87" s="14" t="n">
        <f aca="false">K87*P87</f>
        <v>0</v>
      </c>
      <c r="V87" s="18" t="n">
        <f aca="false">T87-U87</f>
        <v>0</v>
      </c>
      <c r="W87" s="19"/>
      <c r="X87" s="19"/>
    </row>
    <row r="88" customFormat="false" ht="16" hidden="false" customHeight="false" outlineLevel="0" collapsed="false">
      <c r="A88" s="8" t="s">
        <v>24</v>
      </c>
      <c r="B88" s="9" t="s">
        <v>25</v>
      </c>
      <c r="C88" s="9" t="s">
        <v>26</v>
      </c>
      <c r="D88" s="10" t="n">
        <v>1789</v>
      </c>
      <c r="E88" s="9" t="s">
        <v>27</v>
      </c>
      <c r="F88" s="9" t="s">
        <v>29</v>
      </c>
      <c r="G88" s="11" t="n">
        <v>6</v>
      </c>
      <c r="H88" s="12"/>
      <c r="I88" s="13"/>
      <c r="J88" s="13"/>
      <c r="K88" s="14"/>
      <c r="L88" s="15"/>
      <c r="M88" s="14"/>
      <c r="N88" s="14"/>
      <c r="O88" s="16"/>
      <c r="P88" s="17" t="n">
        <f aca="false">M88+(0.05*N88)+(O88/240)</f>
        <v>0</v>
      </c>
      <c r="Q88" s="14"/>
      <c r="R88" s="14"/>
      <c r="S88" s="14"/>
      <c r="T88" s="14" t="n">
        <f aca="false">Q88+(R88*0.05)+(S88/240)</f>
        <v>0</v>
      </c>
      <c r="U88" s="14" t="n">
        <f aca="false">K88*P88</f>
        <v>0</v>
      </c>
      <c r="V88" s="18" t="n">
        <f aca="false">T88-U88</f>
        <v>0</v>
      </c>
      <c r="W88" s="19"/>
      <c r="X88" s="19"/>
    </row>
    <row r="89" customFormat="false" ht="16" hidden="false" customHeight="false" outlineLevel="0" collapsed="false">
      <c r="A89" s="8" t="s">
        <v>24</v>
      </c>
      <c r="B89" s="9" t="s">
        <v>25</v>
      </c>
      <c r="C89" s="9" t="s">
        <v>26</v>
      </c>
      <c r="D89" s="10" t="n">
        <v>1789</v>
      </c>
      <c r="E89" s="9" t="s">
        <v>27</v>
      </c>
      <c r="F89" s="9" t="s">
        <v>29</v>
      </c>
      <c r="G89" s="11" t="n">
        <v>6</v>
      </c>
      <c r="H89" s="12"/>
      <c r="I89" s="13"/>
      <c r="J89" s="13"/>
      <c r="K89" s="14"/>
      <c r="L89" s="15"/>
      <c r="M89" s="14"/>
      <c r="N89" s="14"/>
      <c r="O89" s="16"/>
      <c r="P89" s="17" t="n">
        <f aca="false">M89+(0.05*N89)+(O89/240)</f>
        <v>0</v>
      </c>
      <c r="Q89" s="14"/>
      <c r="R89" s="14"/>
      <c r="S89" s="14"/>
      <c r="T89" s="14" t="n">
        <f aca="false">Q89+(R89*0.05)+(S89/240)</f>
        <v>0</v>
      </c>
      <c r="U89" s="14" t="n">
        <f aca="false">K89*P89</f>
        <v>0</v>
      </c>
      <c r="V89" s="18" t="n">
        <f aca="false">T89-U89</f>
        <v>0</v>
      </c>
      <c r="W89" s="19"/>
      <c r="X89" s="19"/>
    </row>
    <row r="90" customFormat="false" ht="16" hidden="false" customHeight="false" outlineLevel="0" collapsed="false">
      <c r="A90" s="8" t="s">
        <v>24</v>
      </c>
      <c r="B90" s="9" t="s">
        <v>25</v>
      </c>
      <c r="C90" s="9" t="s">
        <v>26</v>
      </c>
      <c r="D90" s="10" t="n">
        <v>1789</v>
      </c>
      <c r="E90" s="9" t="s">
        <v>27</v>
      </c>
      <c r="F90" s="9" t="s">
        <v>29</v>
      </c>
      <c r="G90" s="11" t="n">
        <v>6</v>
      </c>
      <c r="H90" s="12"/>
      <c r="I90" s="13"/>
      <c r="J90" s="13"/>
      <c r="K90" s="14"/>
      <c r="L90" s="15"/>
      <c r="M90" s="14"/>
      <c r="N90" s="14"/>
      <c r="O90" s="16"/>
      <c r="P90" s="17" t="n">
        <f aca="false">M90+(0.05*N90)+(O90/240)</f>
        <v>0</v>
      </c>
      <c r="Q90" s="14"/>
      <c r="R90" s="14"/>
      <c r="S90" s="14"/>
      <c r="T90" s="14" t="n">
        <f aca="false">Q90+(R90*0.05)+(S90/240)</f>
        <v>0</v>
      </c>
      <c r="U90" s="14" t="n">
        <f aca="false">K90*P90</f>
        <v>0</v>
      </c>
      <c r="V90" s="18" t="n">
        <f aca="false">T90-U90</f>
        <v>0</v>
      </c>
      <c r="W90" s="19"/>
      <c r="X90" s="19"/>
    </row>
    <row r="91" customFormat="false" ht="16" hidden="false" customHeight="false" outlineLevel="0" collapsed="false">
      <c r="A91" s="8" t="s">
        <v>24</v>
      </c>
      <c r="B91" s="9" t="s">
        <v>25</v>
      </c>
      <c r="C91" s="9" t="s">
        <v>26</v>
      </c>
      <c r="D91" s="10" t="n">
        <v>1789</v>
      </c>
      <c r="E91" s="9" t="s">
        <v>27</v>
      </c>
      <c r="F91" s="9" t="s">
        <v>29</v>
      </c>
      <c r="G91" s="11" t="n">
        <v>6</v>
      </c>
      <c r="H91" s="12"/>
      <c r="I91" s="13"/>
      <c r="J91" s="13"/>
      <c r="K91" s="14"/>
      <c r="L91" s="15"/>
      <c r="M91" s="14"/>
      <c r="N91" s="14"/>
      <c r="O91" s="16"/>
      <c r="P91" s="17" t="n">
        <f aca="false">M91+(0.05*N91)+(O91/240)</f>
        <v>0</v>
      </c>
      <c r="Q91" s="14"/>
      <c r="R91" s="14"/>
      <c r="S91" s="14"/>
      <c r="T91" s="14" t="n">
        <f aca="false">Q91+(R91*0.05)+(S91/240)</f>
        <v>0</v>
      </c>
      <c r="U91" s="14" t="n">
        <f aca="false">K91*P91</f>
        <v>0</v>
      </c>
      <c r="V91" s="18" t="n">
        <f aca="false">T91-U91</f>
        <v>0</v>
      </c>
      <c r="W91" s="19"/>
      <c r="X91" s="19"/>
    </row>
    <row r="92" customFormat="false" ht="16" hidden="false" customHeight="false" outlineLevel="0" collapsed="false">
      <c r="A92" s="8" t="s">
        <v>24</v>
      </c>
      <c r="B92" s="9" t="s">
        <v>25</v>
      </c>
      <c r="C92" s="9" t="s">
        <v>26</v>
      </c>
      <c r="D92" s="10" t="n">
        <v>1789</v>
      </c>
      <c r="E92" s="9" t="s">
        <v>27</v>
      </c>
      <c r="F92" s="9" t="s">
        <v>29</v>
      </c>
      <c r="G92" s="11" t="n">
        <v>6</v>
      </c>
      <c r="H92" s="12"/>
      <c r="I92" s="13"/>
      <c r="J92" s="13"/>
      <c r="K92" s="14"/>
      <c r="L92" s="15"/>
      <c r="M92" s="14"/>
      <c r="N92" s="14"/>
      <c r="O92" s="16"/>
      <c r="P92" s="17" t="n">
        <f aca="false">M92+(0.05*N92)+(O92/240)</f>
        <v>0</v>
      </c>
      <c r="Q92" s="14"/>
      <c r="R92" s="14"/>
      <c r="S92" s="14"/>
      <c r="T92" s="14" t="n">
        <f aca="false">Q92+(R92*0.05)+(S92/240)</f>
        <v>0</v>
      </c>
      <c r="U92" s="14" t="n">
        <f aca="false">K92*P92</f>
        <v>0</v>
      </c>
      <c r="V92" s="18" t="n">
        <f aca="false">T92-U92</f>
        <v>0</v>
      </c>
      <c r="W92" s="19"/>
      <c r="X92" s="19"/>
    </row>
    <row r="93" customFormat="false" ht="16" hidden="false" customHeight="false" outlineLevel="0" collapsed="false">
      <c r="A93" s="8" t="s">
        <v>24</v>
      </c>
      <c r="B93" s="9" t="s">
        <v>25</v>
      </c>
      <c r="C93" s="9" t="s">
        <v>26</v>
      </c>
      <c r="D93" s="10" t="n">
        <v>1789</v>
      </c>
      <c r="E93" s="9" t="s">
        <v>27</v>
      </c>
      <c r="F93" s="9" t="s">
        <v>29</v>
      </c>
      <c r="G93" s="11" t="n">
        <v>6</v>
      </c>
      <c r="H93" s="12"/>
      <c r="I93" s="13"/>
      <c r="J93" s="13"/>
      <c r="K93" s="14"/>
      <c r="L93" s="15"/>
      <c r="M93" s="14"/>
      <c r="N93" s="14"/>
      <c r="O93" s="16"/>
      <c r="P93" s="17" t="n">
        <f aca="false">M93+(0.05*N93)+(O93/240)</f>
        <v>0</v>
      </c>
      <c r="Q93" s="14"/>
      <c r="R93" s="14"/>
      <c r="S93" s="14"/>
      <c r="T93" s="14" t="n">
        <f aca="false">Q93+(R93*0.05)+(S93/240)</f>
        <v>0</v>
      </c>
      <c r="U93" s="14" t="n">
        <f aca="false">K93*P93</f>
        <v>0</v>
      </c>
      <c r="V93" s="18" t="n">
        <f aca="false">T93-U93</f>
        <v>0</v>
      </c>
      <c r="W93" s="19"/>
      <c r="X93" s="19"/>
    </row>
    <row r="94" customFormat="false" ht="16" hidden="false" customHeight="false" outlineLevel="0" collapsed="false">
      <c r="A94" s="8" t="s">
        <v>24</v>
      </c>
      <c r="B94" s="9" t="s">
        <v>25</v>
      </c>
      <c r="C94" s="9" t="s">
        <v>26</v>
      </c>
      <c r="D94" s="10" t="n">
        <v>1789</v>
      </c>
      <c r="E94" s="9" t="s">
        <v>27</v>
      </c>
      <c r="F94" s="9" t="s">
        <v>29</v>
      </c>
      <c r="G94" s="11" t="n">
        <v>6</v>
      </c>
      <c r="H94" s="12"/>
      <c r="I94" s="13"/>
      <c r="J94" s="13"/>
      <c r="K94" s="14"/>
      <c r="L94" s="15"/>
      <c r="M94" s="14"/>
      <c r="N94" s="14"/>
      <c r="O94" s="16"/>
      <c r="P94" s="17" t="n">
        <f aca="false">M94+(0.05*N94)+(O94/240)</f>
        <v>0</v>
      </c>
      <c r="Q94" s="14"/>
      <c r="R94" s="14"/>
      <c r="S94" s="14"/>
      <c r="T94" s="14" t="n">
        <f aca="false">Q94+(R94*0.05)+(S94/240)</f>
        <v>0</v>
      </c>
      <c r="U94" s="14" t="n">
        <f aca="false">K94*P94</f>
        <v>0</v>
      </c>
      <c r="V94" s="18" t="n">
        <f aca="false">T94-U94</f>
        <v>0</v>
      </c>
      <c r="W94" s="19"/>
      <c r="X94" s="19"/>
    </row>
    <row r="95" customFormat="false" ht="16" hidden="false" customHeight="false" outlineLevel="0" collapsed="false">
      <c r="A95" s="8" t="s">
        <v>24</v>
      </c>
      <c r="B95" s="9" t="s">
        <v>25</v>
      </c>
      <c r="C95" s="9" t="s">
        <v>26</v>
      </c>
      <c r="D95" s="10" t="n">
        <v>1789</v>
      </c>
      <c r="E95" s="9" t="s">
        <v>27</v>
      </c>
      <c r="F95" s="9" t="s">
        <v>29</v>
      </c>
      <c r="G95" s="11" t="n">
        <v>6</v>
      </c>
      <c r="H95" s="12"/>
      <c r="I95" s="13"/>
      <c r="J95" s="13"/>
      <c r="K95" s="14"/>
      <c r="L95" s="15"/>
      <c r="M95" s="14"/>
      <c r="N95" s="14"/>
      <c r="O95" s="16"/>
      <c r="P95" s="17" t="n">
        <f aca="false">M95+(0.05*N95)+(O95/240)</f>
        <v>0</v>
      </c>
      <c r="Q95" s="14"/>
      <c r="R95" s="14"/>
      <c r="S95" s="14"/>
      <c r="T95" s="14" t="n">
        <f aca="false">Q95+(R95*0.05)+(S95/240)</f>
        <v>0</v>
      </c>
      <c r="U95" s="14" t="n">
        <f aca="false">K95*P95</f>
        <v>0</v>
      </c>
      <c r="V95" s="18" t="n">
        <f aca="false">T95-U95</f>
        <v>0</v>
      </c>
      <c r="W95" s="19"/>
      <c r="X95" s="19"/>
    </row>
    <row r="96" customFormat="false" ht="16" hidden="false" customHeight="false" outlineLevel="0" collapsed="false">
      <c r="A96" s="8" t="s">
        <v>24</v>
      </c>
      <c r="B96" s="9" t="s">
        <v>25</v>
      </c>
      <c r="C96" s="9" t="s">
        <v>26</v>
      </c>
      <c r="D96" s="10" t="n">
        <v>1789</v>
      </c>
      <c r="E96" s="9" t="s">
        <v>27</v>
      </c>
      <c r="F96" s="9" t="s">
        <v>29</v>
      </c>
      <c r="G96" s="11" t="n">
        <v>6</v>
      </c>
      <c r="H96" s="12"/>
      <c r="I96" s="13"/>
      <c r="J96" s="13"/>
      <c r="K96" s="14"/>
      <c r="L96" s="15"/>
      <c r="M96" s="14"/>
      <c r="N96" s="14"/>
      <c r="O96" s="16"/>
      <c r="P96" s="17" t="n">
        <f aca="false">M96+(0.05*N96)+(O96/240)</f>
        <v>0</v>
      </c>
      <c r="Q96" s="14"/>
      <c r="R96" s="14"/>
      <c r="S96" s="14"/>
      <c r="T96" s="14" t="n">
        <f aca="false">Q96+(R96*0.05)+(S96/240)</f>
        <v>0</v>
      </c>
      <c r="U96" s="14" t="n">
        <f aca="false">K96*P96</f>
        <v>0</v>
      </c>
      <c r="V96" s="18" t="n">
        <f aca="false">T96-U96</f>
        <v>0</v>
      </c>
      <c r="W96" s="19"/>
      <c r="X96" s="19"/>
    </row>
    <row r="97" customFormat="false" ht="16" hidden="false" customHeight="false" outlineLevel="0" collapsed="false">
      <c r="A97" s="8" t="s">
        <v>24</v>
      </c>
      <c r="B97" s="9" t="s">
        <v>25</v>
      </c>
      <c r="C97" s="9" t="s">
        <v>26</v>
      </c>
      <c r="D97" s="10" t="n">
        <v>1789</v>
      </c>
      <c r="E97" s="9" t="s">
        <v>27</v>
      </c>
      <c r="F97" s="9" t="s">
        <v>29</v>
      </c>
      <c r="G97" s="11" t="n">
        <v>6</v>
      </c>
      <c r="H97" s="12"/>
      <c r="I97" s="13"/>
      <c r="J97" s="13"/>
      <c r="K97" s="14"/>
      <c r="L97" s="15"/>
      <c r="M97" s="14"/>
      <c r="N97" s="14"/>
      <c r="O97" s="16"/>
      <c r="P97" s="17" t="n">
        <f aca="false">M97+(0.05*N97)+(O97/240)</f>
        <v>0</v>
      </c>
      <c r="Q97" s="14"/>
      <c r="R97" s="14"/>
      <c r="S97" s="14"/>
      <c r="T97" s="14" t="n">
        <f aca="false">Q97+(R97*0.05)+(S97/240)</f>
        <v>0</v>
      </c>
      <c r="U97" s="14" t="n">
        <f aca="false">K97*P97</f>
        <v>0</v>
      </c>
      <c r="V97" s="18" t="n">
        <f aca="false">T97-U97</f>
        <v>0</v>
      </c>
      <c r="W97" s="19"/>
      <c r="X97" s="19"/>
    </row>
    <row r="98" customFormat="false" ht="16" hidden="false" customHeight="false" outlineLevel="0" collapsed="false">
      <c r="A98" s="8" t="s">
        <v>24</v>
      </c>
      <c r="B98" s="9" t="s">
        <v>25</v>
      </c>
      <c r="C98" s="9" t="s">
        <v>26</v>
      </c>
      <c r="D98" s="10" t="n">
        <v>1789</v>
      </c>
      <c r="E98" s="9" t="s">
        <v>27</v>
      </c>
      <c r="F98" s="9" t="s">
        <v>29</v>
      </c>
      <c r="G98" s="11" t="n">
        <v>6</v>
      </c>
      <c r="H98" s="12"/>
      <c r="I98" s="13"/>
      <c r="J98" s="13"/>
      <c r="K98" s="14"/>
      <c r="L98" s="15"/>
      <c r="M98" s="14"/>
      <c r="N98" s="14"/>
      <c r="O98" s="16"/>
      <c r="P98" s="17" t="n">
        <f aca="false">M98+(0.05*N98)+(O98/240)</f>
        <v>0</v>
      </c>
      <c r="Q98" s="14"/>
      <c r="R98" s="14"/>
      <c r="S98" s="14"/>
      <c r="T98" s="14" t="n">
        <f aca="false">Q98+(R98*0.05)+(S98/240)</f>
        <v>0</v>
      </c>
      <c r="U98" s="14" t="n">
        <f aca="false">K98*P98</f>
        <v>0</v>
      </c>
      <c r="V98" s="18" t="n">
        <f aca="false">T98-U98</f>
        <v>0</v>
      </c>
      <c r="W98" s="19"/>
      <c r="X98" s="19"/>
    </row>
    <row r="99" customFormat="false" ht="16" hidden="false" customHeight="false" outlineLevel="0" collapsed="false">
      <c r="A99" s="8" t="s">
        <v>24</v>
      </c>
      <c r="B99" s="9" t="s">
        <v>25</v>
      </c>
      <c r="C99" s="9" t="s">
        <v>26</v>
      </c>
      <c r="D99" s="10" t="n">
        <v>1789</v>
      </c>
      <c r="E99" s="9" t="s">
        <v>27</v>
      </c>
      <c r="F99" s="9" t="s">
        <v>29</v>
      </c>
      <c r="G99" s="11" t="n">
        <v>6</v>
      </c>
      <c r="H99" s="12"/>
      <c r="I99" s="13"/>
      <c r="J99" s="13"/>
      <c r="K99" s="14"/>
      <c r="L99" s="15"/>
      <c r="M99" s="14"/>
      <c r="N99" s="14"/>
      <c r="O99" s="16"/>
      <c r="P99" s="17" t="n">
        <f aca="false">M99+(0.05*N99)+(O99/240)</f>
        <v>0</v>
      </c>
      <c r="Q99" s="14"/>
      <c r="R99" s="14"/>
      <c r="S99" s="14"/>
      <c r="T99" s="14" t="n">
        <f aca="false">Q99+(R99*0.05)+(S99/240)</f>
        <v>0</v>
      </c>
      <c r="U99" s="14" t="n">
        <f aca="false">K99*P99</f>
        <v>0</v>
      </c>
      <c r="V99" s="18" t="n">
        <f aca="false">T99-U99</f>
        <v>0</v>
      </c>
      <c r="W99" s="19"/>
      <c r="X99" s="19"/>
    </row>
    <row r="100" customFormat="false" ht="16" hidden="false" customHeight="false" outlineLevel="0" collapsed="false">
      <c r="A100" s="8" t="s">
        <v>24</v>
      </c>
      <c r="B100" s="9" t="s">
        <v>25</v>
      </c>
      <c r="C100" s="9" t="s">
        <v>26</v>
      </c>
      <c r="D100" s="10" t="n">
        <v>1789</v>
      </c>
      <c r="E100" s="9" t="s">
        <v>27</v>
      </c>
      <c r="F100" s="9" t="s">
        <v>29</v>
      </c>
      <c r="G100" s="11" t="n">
        <v>6</v>
      </c>
      <c r="H100" s="12"/>
      <c r="I100" s="13"/>
      <c r="J100" s="13"/>
      <c r="K100" s="14"/>
      <c r="L100" s="15"/>
      <c r="M100" s="14"/>
      <c r="N100" s="14"/>
      <c r="O100" s="16"/>
      <c r="P100" s="17" t="n">
        <f aca="false">M100+(0.05*N100)+(O100/240)</f>
        <v>0</v>
      </c>
      <c r="Q100" s="14"/>
      <c r="R100" s="14"/>
      <c r="S100" s="14"/>
      <c r="T100" s="14" t="n">
        <f aca="false">Q100+(R100*0.05)+(S100/240)</f>
        <v>0</v>
      </c>
      <c r="U100" s="14" t="n">
        <f aca="false">K100*P100</f>
        <v>0</v>
      </c>
      <c r="V100" s="18" t="n">
        <f aca="false">T100-U100</f>
        <v>0</v>
      </c>
      <c r="W100" s="19"/>
      <c r="X100" s="19"/>
    </row>
    <row r="101" customFormat="false" ht="16" hidden="false" customHeight="false" outlineLevel="0" collapsed="false">
      <c r="A101" s="8" t="s">
        <v>24</v>
      </c>
      <c r="B101" s="9" t="s">
        <v>25</v>
      </c>
      <c r="C101" s="9" t="s">
        <v>26</v>
      </c>
      <c r="D101" s="10" t="n">
        <v>1789</v>
      </c>
      <c r="E101" s="9" t="s">
        <v>27</v>
      </c>
      <c r="F101" s="9" t="s">
        <v>29</v>
      </c>
      <c r="G101" s="11" t="n">
        <v>6</v>
      </c>
      <c r="H101" s="12"/>
      <c r="I101" s="13"/>
      <c r="J101" s="13"/>
      <c r="K101" s="14"/>
      <c r="L101" s="15"/>
      <c r="M101" s="14"/>
      <c r="N101" s="14"/>
      <c r="O101" s="16"/>
      <c r="P101" s="17" t="n">
        <f aca="false">M101+(0.05*N101)+(O101/240)</f>
        <v>0</v>
      </c>
      <c r="Q101" s="14"/>
      <c r="R101" s="14"/>
      <c r="S101" s="14"/>
      <c r="T101" s="14" t="n">
        <f aca="false">Q101+(R101*0.05)+(S101/240)</f>
        <v>0</v>
      </c>
      <c r="U101" s="14" t="n">
        <f aca="false">K101*P101</f>
        <v>0</v>
      </c>
      <c r="V101" s="18" t="n">
        <f aca="false">T101-U101</f>
        <v>0</v>
      </c>
      <c r="W101" s="19"/>
      <c r="X101" s="19"/>
    </row>
    <row r="102" customFormat="false" ht="16" hidden="false" customHeight="false" outlineLevel="0" collapsed="false">
      <c r="A102" s="8" t="s">
        <v>24</v>
      </c>
      <c r="B102" s="9" t="s">
        <v>25</v>
      </c>
      <c r="C102" s="9" t="s">
        <v>26</v>
      </c>
      <c r="D102" s="10" t="n">
        <v>1789</v>
      </c>
      <c r="E102" s="9" t="s">
        <v>27</v>
      </c>
      <c r="F102" s="9" t="s">
        <v>29</v>
      </c>
      <c r="G102" s="11" t="n">
        <v>6</v>
      </c>
      <c r="H102" s="12"/>
      <c r="I102" s="13"/>
      <c r="J102" s="13"/>
      <c r="K102" s="14"/>
      <c r="L102" s="15"/>
      <c r="M102" s="14"/>
      <c r="N102" s="14"/>
      <c r="O102" s="16"/>
      <c r="P102" s="17" t="n">
        <f aca="false">M102+(0.05*N102)+(O102/240)</f>
        <v>0</v>
      </c>
      <c r="Q102" s="14"/>
      <c r="R102" s="14"/>
      <c r="S102" s="14"/>
      <c r="T102" s="14" t="n">
        <f aca="false">Q102+(R102*0.05)+(S102/240)</f>
        <v>0</v>
      </c>
      <c r="U102" s="14" t="n">
        <f aca="false">K102*P102</f>
        <v>0</v>
      </c>
      <c r="V102" s="18" t="n">
        <f aca="false">T102-U102</f>
        <v>0</v>
      </c>
      <c r="W102" s="19"/>
      <c r="X102" s="19"/>
    </row>
    <row r="103" customFormat="false" ht="16" hidden="false" customHeight="false" outlineLevel="0" collapsed="false">
      <c r="A103" s="8" t="s">
        <v>24</v>
      </c>
      <c r="B103" s="9" t="s">
        <v>25</v>
      </c>
      <c r="C103" s="9" t="s">
        <v>26</v>
      </c>
      <c r="D103" s="10" t="n">
        <v>1789</v>
      </c>
      <c r="E103" s="9" t="s">
        <v>27</v>
      </c>
      <c r="F103" s="9" t="s">
        <v>29</v>
      </c>
      <c r="G103" s="11" t="n">
        <v>6</v>
      </c>
      <c r="H103" s="12"/>
      <c r="I103" s="13"/>
      <c r="J103" s="13"/>
      <c r="K103" s="14"/>
      <c r="L103" s="15"/>
      <c r="M103" s="14"/>
      <c r="N103" s="14"/>
      <c r="O103" s="16"/>
      <c r="P103" s="17" t="n">
        <f aca="false">M103+(0.05*N103)+(O103/240)</f>
        <v>0</v>
      </c>
      <c r="Q103" s="14"/>
      <c r="R103" s="14"/>
      <c r="S103" s="14"/>
      <c r="T103" s="14" t="n">
        <f aca="false">Q103+(R103*0.05)+(S103/240)</f>
        <v>0</v>
      </c>
      <c r="U103" s="14" t="n">
        <f aca="false">K103*P103</f>
        <v>0</v>
      </c>
      <c r="V103" s="18" t="n">
        <f aca="false">T103-U103</f>
        <v>0</v>
      </c>
      <c r="W103" s="19"/>
      <c r="X103" s="19"/>
    </row>
    <row r="104" customFormat="false" ht="16" hidden="false" customHeight="false" outlineLevel="0" collapsed="false">
      <c r="A104" s="8" t="s">
        <v>24</v>
      </c>
      <c r="B104" s="9" t="s">
        <v>25</v>
      </c>
      <c r="C104" s="9" t="s">
        <v>26</v>
      </c>
      <c r="D104" s="10" t="n">
        <v>1789</v>
      </c>
      <c r="E104" s="9" t="s">
        <v>27</v>
      </c>
      <c r="F104" s="9" t="s">
        <v>29</v>
      </c>
      <c r="G104" s="11" t="n">
        <v>6</v>
      </c>
      <c r="H104" s="12"/>
      <c r="I104" s="13"/>
      <c r="J104" s="13"/>
      <c r="K104" s="14"/>
      <c r="L104" s="15"/>
      <c r="M104" s="14"/>
      <c r="N104" s="14"/>
      <c r="O104" s="16"/>
      <c r="P104" s="17" t="n">
        <f aca="false">M104+(0.05*N104)+(O104/240)</f>
        <v>0</v>
      </c>
      <c r="Q104" s="14"/>
      <c r="R104" s="14"/>
      <c r="S104" s="14"/>
      <c r="T104" s="14" t="n">
        <f aca="false">Q104+(R104*0.05)+(S104/240)</f>
        <v>0</v>
      </c>
      <c r="U104" s="14" t="n">
        <f aca="false">K104*P104</f>
        <v>0</v>
      </c>
      <c r="V104" s="18" t="n">
        <f aca="false">T104-U104</f>
        <v>0</v>
      </c>
      <c r="W104" s="19"/>
      <c r="X104" s="19"/>
    </row>
    <row r="105" customFormat="false" ht="16" hidden="false" customHeight="false" outlineLevel="0" collapsed="false">
      <c r="A105" s="8" t="s">
        <v>24</v>
      </c>
      <c r="B105" s="9" t="s">
        <v>25</v>
      </c>
      <c r="C105" s="9" t="s">
        <v>26</v>
      </c>
      <c r="D105" s="10" t="n">
        <v>1789</v>
      </c>
      <c r="E105" s="9" t="s">
        <v>27</v>
      </c>
      <c r="F105" s="9" t="s">
        <v>29</v>
      </c>
      <c r="G105" s="11" t="n">
        <v>6</v>
      </c>
      <c r="H105" s="12"/>
      <c r="I105" s="13"/>
      <c r="J105" s="13"/>
      <c r="K105" s="14"/>
      <c r="L105" s="15"/>
      <c r="M105" s="14"/>
      <c r="N105" s="14"/>
      <c r="O105" s="16"/>
      <c r="P105" s="17" t="n">
        <f aca="false">M105+(0.05*N105)+(O105/240)</f>
        <v>0</v>
      </c>
      <c r="Q105" s="14"/>
      <c r="R105" s="14"/>
      <c r="S105" s="14"/>
      <c r="T105" s="14" t="n">
        <f aca="false">Q105+(R105*0.05)+(S105/240)</f>
        <v>0</v>
      </c>
      <c r="U105" s="14" t="n">
        <f aca="false">K105*P105</f>
        <v>0</v>
      </c>
      <c r="V105" s="18" t="n">
        <f aca="false">T105-U105</f>
        <v>0</v>
      </c>
      <c r="W105" s="19"/>
      <c r="X105" s="19"/>
    </row>
    <row r="106" customFormat="false" ht="16" hidden="false" customHeight="false" outlineLevel="0" collapsed="false">
      <c r="A106" s="8" t="s">
        <v>24</v>
      </c>
      <c r="B106" s="9" t="s">
        <v>25</v>
      </c>
      <c r="C106" s="9" t="s">
        <v>26</v>
      </c>
      <c r="D106" s="10" t="n">
        <v>1789</v>
      </c>
      <c r="E106" s="9" t="s">
        <v>27</v>
      </c>
      <c r="F106" s="9" t="s">
        <v>29</v>
      </c>
      <c r="G106" s="11" t="n">
        <v>6</v>
      </c>
      <c r="H106" s="12"/>
      <c r="I106" s="13"/>
      <c r="J106" s="13"/>
      <c r="K106" s="14"/>
      <c r="L106" s="15"/>
      <c r="M106" s="14"/>
      <c r="N106" s="14"/>
      <c r="O106" s="16"/>
      <c r="P106" s="17" t="n">
        <f aca="false">M106+(0.05*N106)+(O106/240)</f>
        <v>0</v>
      </c>
      <c r="Q106" s="14"/>
      <c r="R106" s="14"/>
      <c r="S106" s="14"/>
      <c r="T106" s="14" t="n">
        <f aca="false">Q106+(R106*0.05)+(S106/240)</f>
        <v>0</v>
      </c>
      <c r="U106" s="14" t="n">
        <f aca="false">K106*P106</f>
        <v>0</v>
      </c>
      <c r="V106" s="18" t="n">
        <f aca="false">T106-U106</f>
        <v>0</v>
      </c>
      <c r="W106" s="19"/>
      <c r="X106" s="19"/>
    </row>
    <row r="107" customFormat="false" ht="16" hidden="false" customHeight="false" outlineLevel="0" collapsed="false">
      <c r="A107" s="8" t="s">
        <v>24</v>
      </c>
      <c r="B107" s="9" t="s">
        <v>25</v>
      </c>
      <c r="C107" s="9" t="s">
        <v>26</v>
      </c>
      <c r="D107" s="10" t="n">
        <v>1789</v>
      </c>
      <c r="E107" s="9" t="s">
        <v>27</v>
      </c>
      <c r="F107" s="9" t="s">
        <v>29</v>
      </c>
      <c r="G107" s="11" t="n">
        <v>6</v>
      </c>
      <c r="H107" s="12"/>
      <c r="I107" s="13"/>
      <c r="J107" s="13"/>
      <c r="K107" s="14"/>
      <c r="L107" s="15"/>
      <c r="M107" s="14"/>
      <c r="N107" s="14"/>
      <c r="O107" s="16"/>
      <c r="P107" s="17" t="n">
        <f aca="false">M107+(0.05*N107)+(O107/240)</f>
        <v>0</v>
      </c>
      <c r="Q107" s="14"/>
      <c r="R107" s="14"/>
      <c r="S107" s="14"/>
      <c r="T107" s="14" t="n">
        <f aca="false">Q107+(R107*0.05)+(S107/240)</f>
        <v>0</v>
      </c>
      <c r="U107" s="14" t="n">
        <f aca="false">K107*P107</f>
        <v>0</v>
      </c>
      <c r="V107" s="18" t="n">
        <f aca="false">T107-U107</f>
        <v>0</v>
      </c>
      <c r="W107" s="19"/>
      <c r="X107" s="19"/>
    </row>
    <row r="108" customFormat="false" ht="16" hidden="false" customHeight="false" outlineLevel="0" collapsed="false">
      <c r="A108" s="8" t="s">
        <v>24</v>
      </c>
      <c r="B108" s="9" t="s">
        <v>25</v>
      </c>
      <c r="C108" s="9" t="s">
        <v>26</v>
      </c>
      <c r="D108" s="10" t="n">
        <v>1789</v>
      </c>
      <c r="E108" s="9" t="s">
        <v>27</v>
      </c>
      <c r="F108" s="9" t="s">
        <v>29</v>
      </c>
      <c r="G108" s="11" t="n">
        <v>6</v>
      </c>
      <c r="H108" s="12"/>
      <c r="I108" s="13"/>
      <c r="J108" s="13"/>
      <c r="K108" s="14"/>
      <c r="L108" s="15"/>
      <c r="M108" s="14"/>
      <c r="N108" s="14"/>
      <c r="O108" s="16"/>
      <c r="P108" s="17" t="n">
        <f aca="false">M108+(0.05*N108)+(O108/240)</f>
        <v>0</v>
      </c>
      <c r="Q108" s="14"/>
      <c r="R108" s="14"/>
      <c r="S108" s="14"/>
      <c r="T108" s="14" t="n">
        <f aca="false">Q108+(R108*0.05)+(S108/240)</f>
        <v>0</v>
      </c>
      <c r="U108" s="14" t="n">
        <f aca="false">K108*P108</f>
        <v>0</v>
      </c>
      <c r="V108" s="18" t="n">
        <f aca="false">T108-U108</f>
        <v>0</v>
      </c>
      <c r="W108" s="19"/>
      <c r="X108" s="19"/>
    </row>
    <row r="109" customFormat="false" ht="16" hidden="false" customHeight="false" outlineLevel="0" collapsed="false">
      <c r="A109" s="8" t="s">
        <v>24</v>
      </c>
      <c r="B109" s="9" t="s">
        <v>25</v>
      </c>
      <c r="C109" s="9" t="s">
        <v>26</v>
      </c>
      <c r="D109" s="10" t="n">
        <v>1789</v>
      </c>
      <c r="E109" s="9" t="s">
        <v>27</v>
      </c>
      <c r="F109" s="9" t="s">
        <v>29</v>
      </c>
      <c r="G109" s="11" t="n">
        <v>6</v>
      </c>
      <c r="H109" s="12"/>
      <c r="I109" s="13"/>
      <c r="J109" s="13"/>
      <c r="K109" s="14"/>
      <c r="L109" s="15"/>
      <c r="M109" s="14"/>
      <c r="N109" s="14"/>
      <c r="O109" s="16"/>
      <c r="P109" s="17" t="n">
        <f aca="false">M109+(0.05*N109)+(O109/240)</f>
        <v>0</v>
      </c>
      <c r="Q109" s="14"/>
      <c r="R109" s="14"/>
      <c r="S109" s="14"/>
      <c r="T109" s="14" t="n">
        <f aca="false">Q109+(R109*0.05)+(S109/240)</f>
        <v>0</v>
      </c>
      <c r="U109" s="14" t="n">
        <f aca="false">K109*P109</f>
        <v>0</v>
      </c>
      <c r="V109" s="18" t="n">
        <f aca="false">T109-U109</f>
        <v>0</v>
      </c>
      <c r="W109" s="19"/>
      <c r="X109" s="19"/>
    </row>
    <row r="110" customFormat="false" ht="16" hidden="false" customHeight="false" outlineLevel="0" collapsed="false">
      <c r="A110" s="8" t="s">
        <v>24</v>
      </c>
      <c r="B110" s="9" t="s">
        <v>25</v>
      </c>
      <c r="C110" s="9" t="s">
        <v>26</v>
      </c>
      <c r="D110" s="10" t="n">
        <v>1789</v>
      </c>
      <c r="E110" s="9" t="s">
        <v>27</v>
      </c>
      <c r="F110" s="9" t="s">
        <v>29</v>
      </c>
      <c r="G110" s="11" t="n">
        <v>6</v>
      </c>
      <c r="H110" s="12"/>
      <c r="I110" s="13"/>
      <c r="J110" s="13"/>
      <c r="K110" s="14"/>
      <c r="L110" s="15"/>
      <c r="M110" s="14"/>
      <c r="N110" s="14"/>
      <c r="O110" s="16"/>
      <c r="P110" s="17" t="n">
        <f aca="false">M110+(0.05*N110)+(O110/240)</f>
        <v>0</v>
      </c>
      <c r="Q110" s="14"/>
      <c r="R110" s="14"/>
      <c r="S110" s="14"/>
      <c r="T110" s="14" t="n">
        <f aca="false">Q110+(R110*0.05)+(S110/240)</f>
        <v>0</v>
      </c>
      <c r="U110" s="14" t="n">
        <f aca="false">K110*P110</f>
        <v>0</v>
      </c>
      <c r="V110" s="18" t="n">
        <f aca="false">T110-U110</f>
        <v>0</v>
      </c>
      <c r="W110" s="19"/>
      <c r="X110" s="19"/>
    </row>
    <row r="111" customFormat="false" ht="16" hidden="false" customHeight="false" outlineLevel="0" collapsed="false">
      <c r="A111" s="8" t="s">
        <v>24</v>
      </c>
      <c r="B111" s="9" t="s">
        <v>25</v>
      </c>
      <c r="C111" s="9" t="s">
        <v>26</v>
      </c>
      <c r="D111" s="10" t="n">
        <v>1789</v>
      </c>
      <c r="E111" s="9" t="s">
        <v>27</v>
      </c>
      <c r="F111" s="9" t="s">
        <v>29</v>
      </c>
      <c r="G111" s="11" t="n">
        <v>6</v>
      </c>
      <c r="H111" s="12"/>
      <c r="I111" s="13"/>
      <c r="J111" s="13"/>
      <c r="K111" s="14"/>
      <c r="L111" s="15"/>
      <c r="M111" s="14"/>
      <c r="N111" s="14"/>
      <c r="O111" s="16"/>
      <c r="P111" s="17" t="n">
        <f aca="false">M111+(0.05*N111)+(O111/240)</f>
        <v>0</v>
      </c>
      <c r="Q111" s="14"/>
      <c r="R111" s="14"/>
      <c r="S111" s="14"/>
      <c r="T111" s="14" t="n">
        <f aca="false">Q111+(R111*0.05)+(S111/240)</f>
        <v>0</v>
      </c>
      <c r="U111" s="14" t="n">
        <f aca="false">K111*P111</f>
        <v>0</v>
      </c>
      <c r="V111" s="18" t="n">
        <f aca="false">T111-U111</f>
        <v>0</v>
      </c>
      <c r="W111" s="19"/>
      <c r="X111" s="19"/>
    </row>
    <row r="112" customFormat="false" ht="16" hidden="false" customHeight="false" outlineLevel="0" collapsed="false">
      <c r="A112" s="8" t="s">
        <v>24</v>
      </c>
      <c r="B112" s="9" t="s">
        <v>25</v>
      </c>
      <c r="C112" s="9" t="s">
        <v>26</v>
      </c>
      <c r="D112" s="10" t="n">
        <v>1789</v>
      </c>
      <c r="E112" s="9" t="s">
        <v>27</v>
      </c>
      <c r="F112" s="9" t="s">
        <v>29</v>
      </c>
      <c r="G112" s="11" t="n">
        <v>6</v>
      </c>
      <c r="H112" s="12"/>
      <c r="I112" s="13"/>
      <c r="J112" s="13"/>
      <c r="K112" s="14"/>
      <c r="L112" s="15"/>
      <c r="M112" s="14"/>
      <c r="N112" s="14"/>
      <c r="O112" s="16"/>
      <c r="P112" s="17" t="n">
        <f aca="false">M112+(0.05*N112)+(O112/240)</f>
        <v>0</v>
      </c>
      <c r="Q112" s="14"/>
      <c r="R112" s="14"/>
      <c r="S112" s="14"/>
      <c r="T112" s="14" t="n">
        <f aca="false">Q112+(R112*0.05)+(S112/240)</f>
        <v>0</v>
      </c>
      <c r="U112" s="14" t="n">
        <f aca="false">K112*P112</f>
        <v>0</v>
      </c>
      <c r="V112" s="18" t="n">
        <f aca="false">T112-U112</f>
        <v>0</v>
      </c>
      <c r="W112" s="19"/>
      <c r="X112" s="19"/>
    </row>
    <row r="113" customFormat="false" ht="16" hidden="false" customHeight="false" outlineLevel="0" collapsed="false">
      <c r="A113" s="8" t="s">
        <v>24</v>
      </c>
      <c r="B113" s="9" t="s">
        <v>25</v>
      </c>
      <c r="C113" s="9" t="s">
        <v>26</v>
      </c>
      <c r="D113" s="10" t="n">
        <v>1789</v>
      </c>
      <c r="E113" s="9" t="s">
        <v>27</v>
      </c>
      <c r="F113" s="9" t="s">
        <v>29</v>
      </c>
      <c r="G113" s="11" t="n">
        <v>6</v>
      </c>
      <c r="H113" s="12"/>
      <c r="I113" s="13"/>
      <c r="J113" s="13"/>
      <c r="K113" s="14"/>
      <c r="L113" s="15"/>
      <c r="M113" s="14"/>
      <c r="N113" s="14"/>
      <c r="O113" s="16"/>
      <c r="P113" s="17" t="n">
        <f aca="false">M113+(0.05*N113)+(O113/240)</f>
        <v>0</v>
      </c>
      <c r="Q113" s="14"/>
      <c r="R113" s="14"/>
      <c r="S113" s="14"/>
      <c r="T113" s="14" t="n">
        <f aca="false">Q113+(R113*0.05)+(S113/240)</f>
        <v>0</v>
      </c>
      <c r="U113" s="14" t="n">
        <f aca="false">K113*P113</f>
        <v>0</v>
      </c>
      <c r="V113" s="18" t="n">
        <f aca="false">T113-U113</f>
        <v>0</v>
      </c>
      <c r="W113" s="19"/>
      <c r="X113" s="19"/>
    </row>
    <row r="114" customFormat="false" ht="16" hidden="false" customHeight="false" outlineLevel="0" collapsed="false">
      <c r="A114" s="8" t="s">
        <v>24</v>
      </c>
      <c r="B114" s="9" t="s">
        <v>25</v>
      </c>
      <c r="C114" s="9" t="s">
        <v>26</v>
      </c>
      <c r="D114" s="10" t="n">
        <v>1789</v>
      </c>
      <c r="E114" s="9" t="s">
        <v>27</v>
      </c>
      <c r="F114" s="9" t="s">
        <v>29</v>
      </c>
      <c r="G114" s="11" t="n">
        <v>6</v>
      </c>
      <c r="H114" s="12"/>
      <c r="I114" s="13"/>
      <c r="J114" s="13"/>
      <c r="K114" s="14"/>
      <c r="L114" s="15"/>
      <c r="M114" s="14"/>
      <c r="N114" s="14"/>
      <c r="O114" s="16"/>
      <c r="P114" s="17" t="n">
        <f aca="false">M114+(0.05*N114)+(O114/240)</f>
        <v>0</v>
      </c>
      <c r="Q114" s="14"/>
      <c r="R114" s="14"/>
      <c r="S114" s="14"/>
      <c r="T114" s="14" t="n">
        <f aca="false">Q114+(R114*0.05)+(S114/240)</f>
        <v>0</v>
      </c>
      <c r="U114" s="14" t="n">
        <f aca="false">K114*P114</f>
        <v>0</v>
      </c>
      <c r="V114" s="18" t="n">
        <f aca="false">T114-U114</f>
        <v>0</v>
      </c>
      <c r="W114" s="19"/>
      <c r="X114" s="19"/>
    </row>
    <row r="115" customFormat="false" ht="16" hidden="false" customHeight="false" outlineLevel="0" collapsed="false">
      <c r="A115" s="8" t="s">
        <v>24</v>
      </c>
      <c r="B115" s="9" t="s">
        <v>25</v>
      </c>
      <c r="C115" s="9" t="s">
        <v>26</v>
      </c>
      <c r="D115" s="10" t="n">
        <v>1789</v>
      </c>
      <c r="E115" s="9" t="s">
        <v>27</v>
      </c>
      <c r="F115" s="9" t="s">
        <v>29</v>
      </c>
      <c r="G115" s="11" t="n">
        <v>6</v>
      </c>
      <c r="H115" s="12"/>
      <c r="I115" s="13"/>
      <c r="J115" s="13"/>
      <c r="K115" s="14"/>
      <c r="L115" s="15"/>
      <c r="M115" s="14"/>
      <c r="N115" s="14"/>
      <c r="O115" s="16"/>
      <c r="P115" s="17" t="n">
        <f aca="false">M115+(0.05*N115)+(O115/240)</f>
        <v>0</v>
      </c>
      <c r="Q115" s="14"/>
      <c r="R115" s="14"/>
      <c r="S115" s="14"/>
      <c r="T115" s="14" t="n">
        <f aca="false">Q115+(R115*0.05)+(S115/240)</f>
        <v>0</v>
      </c>
      <c r="U115" s="14" t="n">
        <f aca="false">K115*P115</f>
        <v>0</v>
      </c>
      <c r="V115" s="18" t="n">
        <f aca="false">T115-U115</f>
        <v>0</v>
      </c>
      <c r="W115" s="19"/>
      <c r="X115" s="19"/>
    </row>
    <row r="116" customFormat="false" ht="16" hidden="false" customHeight="false" outlineLevel="0" collapsed="false">
      <c r="A116" s="8" t="s">
        <v>24</v>
      </c>
      <c r="B116" s="9" t="s">
        <v>25</v>
      </c>
      <c r="C116" s="9" t="s">
        <v>26</v>
      </c>
      <c r="D116" s="10" t="n">
        <v>1789</v>
      </c>
      <c r="E116" s="9" t="s">
        <v>27</v>
      </c>
      <c r="F116" s="9" t="s">
        <v>29</v>
      </c>
      <c r="G116" s="11" t="n">
        <v>6</v>
      </c>
      <c r="H116" s="12"/>
      <c r="I116" s="13"/>
      <c r="J116" s="13"/>
      <c r="K116" s="14"/>
      <c r="L116" s="15"/>
      <c r="M116" s="14"/>
      <c r="N116" s="14"/>
      <c r="O116" s="16"/>
      <c r="P116" s="17" t="n">
        <f aca="false">M116+(0.05*N116)+(O116/240)</f>
        <v>0</v>
      </c>
      <c r="Q116" s="14"/>
      <c r="R116" s="14"/>
      <c r="S116" s="14"/>
      <c r="T116" s="14" t="n">
        <f aca="false">Q116+(R116*0.05)+(S116/240)</f>
        <v>0</v>
      </c>
      <c r="U116" s="14" t="n">
        <f aca="false">K116*P116</f>
        <v>0</v>
      </c>
      <c r="V116" s="18" t="n">
        <f aca="false">T116-U116</f>
        <v>0</v>
      </c>
      <c r="W116" s="19"/>
      <c r="X116" s="19"/>
    </row>
    <row r="117" customFormat="false" ht="16" hidden="false" customHeight="false" outlineLevel="0" collapsed="false">
      <c r="A117" s="8" t="s">
        <v>24</v>
      </c>
      <c r="B117" s="9" t="s">
        <v>25</v>
      </c>
      <c r="C117" s="9" t="s">
        <v>26</v>
      </c>
      <c r="D117" s="10" t="n">
        <v>1789</v>
      </c>
      <c r="E117" s="9" t="s">
        <v>27</v>
      </c>
      <c r="F117" s="9" t="s">
        <v>29</v>
      </c>
      <c r="G117" s="11" t="n">
        <v>6</v>
      </c>
      <c r="H117" s="12"/>
      <c r="I117" s="13"/>
      <c r="J117" s="13"/>
      <c r="K117" s="14"/>
      <c r="L117" s="15"/>
      <c r="M117" s="14"/>
      <c r="N117" s="14"/>
      <c r="O117" s="16"/>
      <c r="P117" s="17" t="n">
        <f aca="false">M117+(0.05*N117)+(O117/240)</f>
        <v>0</v>
      </c>
      <c r="Q117" s="14"/>
      <c r="R117" s="14"/>
      <c r="S117" s="14"/>
      <c r="T117" s="14" t="n">
        <f aca="false">Q117+(R117*0.05)+(S117/240)</f>
        <v>0</v>
      </c>
      <c r="U117" s="14" t="n">
        <f aca="false">K117*P117</f>
        <v>0</v>
      </c>
      <c r="V117" s="18" t="n">
        <f aca="false">T117-U117</f>
        <v>0</v>
      </c>
      <c r="W117" s="19"/>
      <c r="X117" s="19"/>
    </row>
    <row r="118" customFormat="false" ht="16" hidden="false" customHeight="false" outlineLevel="0" collapsed="false">
      <c r="A118" s="8" t="s">
        <v>24</v>
      </c>
      <c r="B118" s="9" t="s">
        <v>25</v>
      </c>
      <c r="C118" s="9" t="s">
        <v>26</v>
      </c>
      <c r="D118" s="10" t="n">
        <v>1789</v>
      </c>
      <c r="E118" s="9" t="s">
        <v>27</v>
      </c>
      <c r="F118" s="9" t="s">
        <v>29</v>
      </c>
      <c r="G118" s="11" t="n">
        <v>6</v>
      </c>
      <c r="H118" s="12"/>
      <c r="I118" s="13"/>
      <c r="J118" s="13"/>
      <c r="K118" s="14"/>
      <c r="L118" s="15"/>
      <c r="M118" s="14"/>
      <c r="N118" s="14"/>
      <c r="O118" s="16"/>
      <c r="P118" s="17" t="n">
        <f aca="false">M118+(0.05*N118)+(O118/240)</f>
        <v>0</v>
      </c>
      <c r="Q118" s="14"/>
      <c r="R118" s="14"/>
      <c r="S118" s="14"/>
      <c r="T118" s="14" t="n">
        <f aca="false">Q118+(R118*0.05)+(S118/240)</f>
        <v>0</v>
      </c>
      <c r="U118" s="14" t="n">
        <f aca="false">K118*P118</f>
        <v>0</v>
      </c>
      <c r="V118" s="18" t="n">
        <f aca="false">T118-U118</f>
        <v>0</v>
      </c>
      <c r="W118" s="19"/>
      <c r="X118" s="19"/>
    </row>
    <row r="119" customFormat="false" ht="16" hidden="false" customHeight="false" outlineLevel="0" collapsed="false">
      <c r="A119" s="8" t="s">
        <v>24</v>
      </c>
      <c r="B119" s="9" t="s">
        <v>25</v>
      </c>
      <c r="C119" s="9" t="s">
        <v>26</v>
      </c>
      <c r="D119" s="10" t="n">
        <v>1789</v>
      </c>
      <c r="E119" s="9" t="s">
        <v>27</v>
      </c>
      <c r="F119" s="9" t="s">
        <v>29</v>
      </c>
      <c r="G119" s="11" t="n">
        <v>6</v>
      </c>
      <c r="H119" s="12"/>
      <c r="I119" s="13"/>
      <c r="J119" s="13"/>
      <c r="K119" s="14"/>
      <c r="L119" s="15"/>
      <c r="M119" s="14"/>
      <c r="N119" s="14"/>
      <c r="O119" s="16"/>
      <c r="P119" s="17" t="n">
        <f aca="false">M119+(0.05*N119)+(O119/240)</f>
        <v>0</v>
      </c>
      <c r="Q119" s="14"/>
      <c r="R119" s="14"/>
      <c r="S119" s="14"/>
      <c r="T119" s="14" t="n">
        <f aca="false">Q119+(R119*0.05)+(S119/240)</f>
        <v>0</v>
      </c>
      <c r="U119" s="14" t="n">
        <f aca="false">K119*P119</f>
        <v>0</v>
      </c>
      <c r="V119" s="18" t="n">
        <f aca="false">T119-U119</f>
        <v>0</v>
      </c>
      <c r="W119" s="19"/>
      <c r="X119" s="19"/>
    </row>
    <row r="120" customFormat="false" ht="16" hidden="false" customHeight="false" outlineLevel="0" collapsed="false">
      <c r="A120" s="8" t="s">
        <v>24</v>
      </c>
      <c r="B120" s="9" t="s">
        <v>25</v>
      </c>
      <c r="C120" s="9" t="s">
        <v>26</v>
      </c>
      <c r="D120" s="10" t="n">
        <v>1789</v>
      </c>
      <c r="E120" s="9" t="s">
        <v>27</v>
      </c>
      <c r="F120" s="9" t="s">
        <v>29</v>
      </c>
      <c r="G120" s="11" t="n">
        <v>6</v>
      </c>
      <c r="H120" s="12"/>
      <c r="I120" s="13"/>
      <c r="J120" s="13"/>
      <c r="K120" s="14"/>
      <c r="L120" s="15"/>
      <c r="M120" s="14"/>
      <c r="N120" s="14"/>
      <c r="O120" s="16"/>
      <c r="P120" s="17" t="n">
        <f aca="false">M120+(0.05*N120)+(O120/240)</f>
        <v>0</v>
      </c>
      <c r="Q120" s="14"/>
      <c r="R120" s="14"/>
      <c r="S120" s="14"/>
      <c r="T120" s="14" t="n">
        <f aca="false">Q120+(R120*0.05)+(S120/240)</f>
        <v>0</v>
      </c>
      <c r="U120" s="14" t="n">
        <f aca="false">K120*P120</f>
        <v>0</v>
      </c>
      <c r="V120" s="18" t="n">
        <f aca="false">T120-U120</f>
        <v>0</v>
      </c>
      <c r="W120" s="19"/>
      <c r="X120" s="19"/>
    </row>
    <row r="121" customFormat="false" ht="16" hidden="false" customHeight="false" outlineLevel="0" collapsed="false">
      <c r="A121" s="8" t="s">
        <v>24</v>
      </c>
      <c r="B121" s="9" t="s">
        <v>25</v>
      </c>
      <c r="C121" s="9" t="s">
        <v>26</v>
      </c>
      <c r="D121" s="10" t="n">
        <v>1789</v>
      </c>
      <c r="E121" s="9" t="s">
        <v>27</v>
      </c>
      <c r="F121" s="9" t="s">
        <v>29</v>
      </c>
      <c r="G121" s="11" t="n">
        <v>6</v>
      </c>
      <c r="H121" s="12"/>
      <c r="I121" s="13"/>
      <c r="J121" s="13"/>
      <c r="K121" s="14"/>
      <c r="L121" s="15"/>
      <c r="M121" s="14"/>
      <c r="N121" s="14"/>
      <c r="O121" s="16"/>
      <c r="P121" s="17" t="n">
        <f aca="false">M121+(0.05*N121)+(O121/240)</f>
        <v>0</v>
      </c>
      <c r="Q121" s="14"/>
      <c r="R121" s="14"/>
      <c r="S121" s="14"/>
      <c r="T121" s="14" t="n">
        <f aca="false">Q121+(R121*0.05)+(S121/240)</f>
        <v>0</v>
      </c>
      <c r="U121" s="14" t="n">
        <f aca="false">K121*P121</f>
        <v>0</v>
      </c>
      <c r="V121" s="18" t="n">
        <f aca="false">T121-U121</f>
        <v>0</v>
      </c>
      <c r="W121" s="19"/>
      <c r="X121" s="19"/>
    </row>
    <row r="122" customFormat="false" ht="16" hidden="false" customHeight="false" outlineLevel="0" collapsed="false">
      <c r="A122" s="8" t="s">
        <v>24</v>
      </c>
      <c r="B122" s="9" t="s">
        <v>25</v>
      </c>
      <c r="C122" s="9" t="s">
        <v>26</v>
      </c>
      <c r="D122" s="10" t="n">
        <v>1789</v>
      </c>
      <c r="E122" s="9" t="s">
        <v>27</v>
      </c>
      <c r="F122" s="9" t="s">
        <v>29</v>
      </c>
      <c r="G122" s="11" t="n">
        <v>6</v>
      </c>
      <c r="H122" s="12"/>
      <c r="I122" s="13"/>
      <c r="J122" s="13"/>
      <c r="K122" s="14"/>
      <c r="L122" s="15"/>
      <c r="M122" s="14"/>
      <c r="N122" s="14"/>
      <c r="O122" s="16"/>
      <c r="P122" s="17" t="n">
        <f aca="false">M122+(0.05*N122)+(O122/240)</f>
        <v>0</v>
      </c>
      <c r="Q122" s="14"/>
      <c r="R122" s="14"/>
      <c r="S122" s="14"/>
      <c r="T122" s="14" t="n">
        <f aca="false">Q122+(R122*0.05)+(S122/240)</f>
        <v>0</v>
      </c>
      <c r="U122" s="14" t="n">
        <f aca="false">K122*P122</f>
        <v>0</v>
      </c>
      <c r="V122" s="18" t="n">
        <f aca="false">T122-U122</f>
        <v>0</v>
      </c>
      <c r="W122" s="19"/>
      <c r="X122" s="19"/>
    </row>
    <row r="123" customFormat="false" ht="16" hidden="false" customHeight="false" outlineLevel="0" collapsed="false">
      <c r="A123" s="8" t="s">
        <v>24</v>
      </c>
      <c r="B123" s="9" t="s">
        <v>25</v>
      </c>
      <c r="C123" s="9" t="s">
        <v>26</v>
      </c>
      <c r="D123" s="10" t="n">
        <v>1789</v>
      </c>
      <c r="E123" s="9" t="s">
        <v>27</v>
      </c>
      <c r="F123" s="9" t="s">
        <v>29</v>
      </c>
      <c r="G123" s="11" t="n">
        <v>6</v>
      </c>
      <c r="H123" s="12"/>
      <c r="I123" s="13"/>
      <c r="J123" s="13"/>
      <c r="K123" s="14"/>
      <c r="L123" s="15"/>
      <c r="M123" s="14"/>
      <c r="N123" s="14"/>
      <c r="O123" s="16"/>
      <c r="P123" s="17" t="n">
        <f aca="false">M123+(0.05*N123)+(O123/240)</f>
        <v>0</v>
      </c>
      <c r="Q123" s="14"/>
      <c r="R123" s="14"/>
      <c r="S123" s="14"/>
      <c r="T123" s="14" t="n">
        <f aca="false">Q123+(R123*0.05)+(S123/240)</f>
        <v>0</v>
      </c>
      <c r="U123" s="14" t="n">
        <f aca="false">K123*P123</f>
        <v>0</v>
      </c>
      <c r="V123" s="18" t="n">
        <f aca="false">T123-U123</f>
        <v>0</v>
      </c>
      <c r="W123" s="19"/>
      <c r="X123" s="19"/>
    </row>
    <row r="124" customFormat="false" ht="16" hidden="false" customHeight="false" outlineLevel="0" collapsed="false">
      <c r="A124" s="8" t="s">
        <v>24</v>
      </c>
      <c r="B124" s="9" t="s">
        <v>25</v>
      </c>
      <c r="C124" s="9" t="s">
        <v>26</v>
      </c>
      <c r="D124" s="10" t="n">
        <v>1789</v>
      </c>
      <c r="E124" s="9" t="s">
        <v>27</v>
      </c>
      <c r="F124" s="9" t="s">
        <v>29</v>
      </c>
      <c r="G124" s="11" t="n">
        <v>6</v>
      </c>
      <c r="H124" s="12"/>
      <c r="I124" s="13"/>
      <c r="J124" s="13"/>
      <c r="K124" s="14"/>
      <c r="L124" s="15"/>
      <c r="M124" s="14"/>
      <c r="N124" s="14"/>
      <c r="O124" s="16"/>
      <c r="P124" s="17" t="n">
        <f aca="false">M124+(0.05*N124)+(O124/240)</f>
        <v>0</v>
      </c>
      <c r="Q124" s="14"/>
      <c r="R124" s="14"/>
      <c r="S124" s="14"/>
      <c r="T124" s="14" t="n">
        <f aca="false">Q124+(R124*0.05)+(S124/240)</f>
        <v>0</v>
      </c>
      <c r="U124" s="14" t="n">
        <f aca="false">K124*P124</f>
        <v>0</v>
      </c>
      <c r="V124" s="18" t="n">
        <f aca="false">T124-U124</f>
        <v>0</v>
      </c>
      <c r="W124" s="19"/>
      <c r="X124" s="19"/>
    </row>
    <row r="125" customFormat="false" ht="16" hidden="false" customHeight="false" outlineLevel="0" collapsed="false">
      <c r="A125" s="8" t="s">
        <v>24</v>
      </c>
      <c r="B125" s="9" t="s">
        <v>25</v>
      </c>
      <c r="C125" s="9" t="s">
        <v>26</v>
      </c>
      <c r="D125" s="10" t="n">
        <v>1789</v>
      </c>
      <c r="E125" s="9" t="s">
        <v>27</v>
      </c>
      <c r="F125" s="9" t="s">
        <v>29</v>
      </c>
      <c r="G125" s="11" t="n">
        <v>6</v>
      </c>
      <c r="H125" s="12"/>
      <c r="I125" s="13"/>
      <c r="J125" s="13"/>
      <c r="K125" s="14"/>
      <c r="L125" s="15"/>
      <c r="M125" s="14"/>
      <c r="N125" s="14"/>
      <c r="O125" s="16"/>
      <c r="P125" s="17" t="n">
        <f aca="false">M125+(0.05*N125)+(O125/240)</f>
        <v>0</v>
      </c>
      <c r="Q125" s="14"/>
      <c r="R125" s="14"/>
      <c r="S125" s="14"/>
      <c r="T125" s="14" t="n">
        <f aca="false">Q125+(R125*0.05)+(S125/240)</f>
        <v>0</v>
      </c>
      <c r="U125" s="14" t="n">
        <f aca="false">K125*P125</f>
        <v>0</v>
      </c>
      <c r="V125" s="18" t="n">
        <f aca="false">T125-U125</f>
        <v>0</v>
      </c>
      <c r="W125" s="19"/>
      <c r="X125" s="19"/>
    </row>
    <row r="126" customFormat="false" ht="16" hidden="false" customHeight="false" outlineLevel="0" collapsed="false">
      <c r="A126" s="8" t="s">
        <v>24</v>
      </c>
      <c r="B126" s="9" t="s">
        <v>25</v>
      </c>
      <c r="C126" s="9" t="s">
        <v>26</v>
      </c>
      <c r="D126" s="10" t="n">
        <v>1789</v>
      </c>
      <c r="E126" s="9" t="s">
        <v>27</v>
      </c>
      <c r="F126" s="9" t="s">
        <v>29</v>
      </c>
      <c r="G126" s="11" t="n">
        <v>6</v>
      </c>
      <c r="H126" s="12"/>
      <c r="I126" s="13"/>
      <c r="J126" s="13"/>
      <c r="K126" s="14"/>
      <c r="L126" s="15"/>
      <c r="M126" s="14"/>
      <c r="N126" s="14"/>
      <c r="O126" s="16"/>
      <c r="P126" s="17" t="n">
        <f aca="false">M126+(0.05*N126)+(O126/240)</f>
        <v>0</v>
      </c>
      <c r="Q126" s="14"/>
      <c r="R126" s="14"/>
      <c r="S126" s="14"/>
      <c r="T126" s="14" t="n">
        <f aca="false">Q126+(R126*0.05)+(S126/240)</f>
        <v>0</v>
      </c>
      <c r="U126" s="14" t="n">
        <f aca="false">K126*P126</f>
        <v>0</v>
      </c>
      <c r="V126" s="18" t="n">
        <f aca="false">T126-U126</f>
        <v>0</v>
      </c>
      <c r="W126" s="19"/>
      <c r="X126" s="19"/>
    </row>
    <row r="127" customFormat="false" ht="16" hidden="false" customHeight="false" outlineLevel="0" collapsed="false">
      <c r="A127" s="8" t="s">
        <v>24</v>
      </c>
      <c r="B127" s="9" t="s">
        <v>25</v>
      </c>
      <c r="C127" s="9" t="s">
        <v>26</v>
      </c>
      <c r="D127" s="10" t="n">
        <v>1789</v>
      </c>
      <c r="E127" s="9" t="s">
        <v>27</v>
      </c>
      <c r="F127" s="9" t="s">
        <v>29</v>
      </c>
      <c r="G127" s="11" t="n">
        <v>6</v>
      </c>
      <c r="H127" s="12"/>
      <c r="I127" s="13"/>
      <c r="J127" s="13"/>
      <c r="K127" s="14"/>
      <c r="L127" s="15"/>
      <c r="M127" s="14"/>
      <c r="N127" s="14"/>
      <c r="O127" s="16"/>
      <c r="P127" s="17" t="n">
        <f aca="false">M127+(0.05*N127)+(O127/240)</f>
        <v>0</v>
      </c>
      <c r="Q127" s="14"/>
      <c r="R127" s="14"/>
      <c r="S127" s="14"/>
      <c r="T127" s="14" t="n">
        <f aca="false">Q127+(R127*0.05)+(S127/240)</f>
        <v>0</v>
      </c>
      <c r="U127" s="14" t="n">
        <f aca="false">K127*P127</f>
        <v>0</v>
      </c>
      <c r="V127" s="18" t="n">
        <f aca="false">T127-U127</f>
        <v>0</v>
      </c>
      <c r="W127" s="19"/>
      <c r="X127" s="19"/>
    </row>
    <row r="128" customFormat="false" ht="16" hidden="false" customHeight="false" outlineLevel="0" collapsed="false">
      <c r="A128" s="8" t="s">
        <v>24</v>
      </c>
      <c r="B128" s="9" t="s">
        <v>25</v>
      </c>
      <c r="C128" s="9" t="s">
        <v>26</v>
      </c>
      <c r="D128" s="10" t="n">
        <v>1789</v>
      </c>
      <c r="E128" s="9" t="s">
        <v>27</v>
      </c>
      <c r="F128" s="9" t="s">
        <v>29</v>
      </c>
      <c r="G128" s="11" t="n">
        <v>6</v>
      </c>
      <c r="H128" s="12"/>
      <c r="I128" s="13"/>
      <c r="J128" s="13"/>
      <c r="K128" s="14"/>
      <c r="L128" s="15"/>
      <c r="M128" s="14"/>
      <c r="N128" s="14"/>
      <c r="O128" s="16"/>
      <c r="P128" s="17" t="n">
        <f aca="false">M128+(0.05*N128)+(O128/240)</f>
        <v>0</v>
      </c>
      <c r="Q128" s="14"/>
      <c r="R128" s="14"/>
      <c r="S128" s="14"/>
      <c r="T128" s="14" t="n">
        <f aca="false">Q128+(R128*0.05)+(S128/240)</f>
        <v>0</v>
      </c>
      <c r="U128" s="14" t="n">
        <f aca="false">K128*P128</f>
        <v>0</v>
      </c>
      <c r="V128" s="18" t="n">
        <f aca="false">T128-U128</f>
        <v>0</v>
      </c>
      <c r="W128" s="19"/>
      <c r="X128" s="19"/>
    </row>
    <row r="129" customFormat="false" ht="16" hidden="false" customHeight="false" outlineLevel="0" collapsed="false">
      <c r="A129" s="8" t="s">
        <v>24</v>
      </c>
      <c r="B129" s="9" t="s">
        <v>25</v>
      </c>
      <c r="C129" s="9" t="s">
        <v>26</v>
      </c>
      <c r="D129" s="10" t="n">
        <v>1789</v>
      </c>
      <c r="E129" s="9" t="s">
        <v>27</v>
      </c>
      <c r="F129" s="9" t="s">
        <v>29</v>
      </c>
      <c r="G129" s="11" t="n">
        <v>6</v>
      </c>
      <c r="H129" s="12"/>
      <c r="I129" s="13"/>
      <c r="J129" s="13"/>
      <c r="K129" s="14"/>
      <c r="L129" s="15"/>
      <c r="M129" s="14"/>
      <c r="N129" s="14"/>
      <c r="O129" s="16"/>
      <c r="P129" s="17" t="n">
        <f aca="false">M129+(0.05*N129)+(O129/240)</f>
        <v>0</v>
      </c>
      <c r="Q129" s="14"/>
      <c r="R129" s="14"/>
      <c r="S129" s="14"/>
      <c r="T129" s="14" t="n">
        <f aca="false">Q129+(R129*0.05)+(S129/240)</f>
        <v>0</v>
      </c>
      <c r="U129" s="14" t="n">
        <f aca="false">K129*P129</f>
        <v>0</v>
      </c>
      <c r="V129" s="18" t="n">
        <f aca="false">T129-U129</f>
        <v>0</v>
      </c>
      <c r="W129" s="19"/>
      <c r="X129" s="19"/>
    </row>
    <row r="130" customFormat="false" ht="16" hidden="false" customHeight="false" outlineLevel="0" collapsed="false">
      <c r="A130" s="8" t="s">
        <v>24</v>
      </c>
      <c r="B130" s="9" t="s">
        <v>25</v>
      </c>
      <c r="C130" s="9" t="s">
        <v>26</v>
      </c>
      <c r="D130" s="10" t="n">
        <v>1789</v>
      </c>
      <c r="E130" s="9" t="s">
        <v>27</v>
      </c>
      <c r="F130" s="9" t="s">
        <v>29</v>
      </c>
      <c r="G130" s="11" t="n">
        <v>6</v>
      </c>
      <c r="H130" s="12"/>
      <c r="I130" s="13"/>
      <c r="J130" s="13"/>
      <c r="K130" s="14"/>
      <c r="L130" s="15"/>
      <c r="M130" s="14"/>
      <c r="N130" s="14"/>
      <c r="O130" s="16"/>
      <c r="P130" s="17" t="n">
        <f aca="false">M130+(0.05*N130)+(O130/240)</f>
        <v>0</v>
      </c>
      <c r="Q130" s="14"/>
      <c r="R130" s="14"/>
      <c r="S130" s="14"/>
      <c r="T130" s="14" t="n">
        <f aca="false">Q130+(R130*0.05)+(S130/240)</f>
        <v>0</v>
      </c>
      <c r="U130" s="14" t="n">
        <f aca="false">K130*P130</f>
        <v>0</v>
      </c>
      <c r="V130" s="18" t="n">
        <f aca="false">T130-U130</f>
        <v>0</v>
      </c>
      <c r="W130" s="19"/>
      <c r="X130" s="19"/>
    </row>
    <row r="131" customFormat="false" ht="16" hidden="false" customHeight="false" outlineLevel="0" collapsed="false">
      <c r="A131" s="8" t="s">
        <v>24</v>
      </c>
      <c r="B131" s="9" t="s">
        <v>25</v>
      </c>
      <c r="C131" s="9" t="s">
        <v>26</v>
      </c>
      <c r="D131" s="10" t="n">
        <v>1789</v>
      </c>
      <c r="E131" s="9" t="s">
        <v>27</v>
      </c>
      <c r="F131" s="9" t="s">
        <v>29</v>
      </c>
      <c r="G131" s="11" t="n">
        <v>6</v>
      </c>
      <c r="H131" s="12"/>
      <c r="I131" s="13"/>
      <c r="J131" s="13"/>
      <c r="K131" s="14"/>
      <c r="L131" s="15"/>
      <c r="M131" s="14"/>
      <c r="N131" s="14"/>
      <c r="O131" s="16"/>
      <c r="P131" s="17" t="n">
        <f aca="false">M131+(0.05*N131)+(O131/240)</f>
        <v>0</v>
      </c>
      <c r="Q131" s="14"/>
      <c r="R131" s="14"/>
      <c r="S131" s="14"/>
      <c r="T131" s="14" t="n">
        <f aca="false">Q131+(R131*0.05)+(S131/240)</f>
        <v>0</v>
      </c>
      <c r="U131" s="14" t="n">
        <f aca="false">K131*P131</f>
        <v>0</v>
      </c>
      <c r="V131" s="18" t="n">
        <f aca="false">T131-U131</f>
        <v>0</v>
      </c>
      <c r="W131" s="19"/>
      <c r="X131" s="19"/>
    </row>
    <row r="132" customFormat="false" ht="16" hidden="false" customHeight="false" outlineLevel="0" collapsed="false">
      <c r="A132" s="8" t="s">
        <v>24</v>
      </c>
      <c r="B132" s="9" t="s">
        <v>25</v>
      </c>
      <c r="C132" s="9" t="s">
        <v>26</v>
      </c>
      <c r="D132" s="10" t="n">
        <v>1789</v>
      </c>
      <c r="E132" s="9" t="s">
        <v>27</v>
      </c>
      <c r="F132" s="9" t="s">
        <v>29</v>
      </c>
      <c r="G132" s="11" t="n">
        <v>6</v>
      </c>
      <c r="H132" s="12"/>
      <c r="I132" s="13"/>
      <c r="J132" s="13"/>
      <c r="K132" s="14"/>
      <c r="L132" s="15"/>
      <c r="M132" s="14"/>
      <c r="N132" s="14"/>
      <c r="O132" s="16"/>
      <c r="P132" s="17" t="n">
        <f aca="false">M132+(0.05*N132)+(O132/240)</f>
        <v>0</v>
      </c>
      <c r="Q132" s="14"/>
      <c r="R132" s="14"/>
      <c r="S132" s="14"/>
      <c r="T132" s="14" t="n">
        <f aca="false">Q132+(R132*0.05)+(S132/240)</f>
        <v>0</v>
      </c>
      <c r="U132" s="14" t="n">
        <f aca="false">K132*P132</f>
        <v>0</v>
      </c>
      <c r="V132" s="18" t="n">
        <f aca="false">T132-U132</f>
        <v>0</v>
      </c>
      <c r="W132" s="19"/>
      <c r="X132" s="19"/>
    </row>
    <row r="133" customFormat="false" ht="16" hidden="false" customHeight="false" outlineLevel="0" collapsed="false">
      <c r="A133" s="8" t="s">
        <v>24</v>
      </c>
      <c r="B133" s="9" t="s">
        <v>25</v>
      </c>
      <c r="C133" s="9" t="s">
        <v>26</v>
      </c>
      <c r="D133" s="10" t="n">
        <v>1789</v>
      </c>
      <c r="E133" s="9" t="s">
        <v>27</v>
      </c>
      <c r="F133" s="9" t="s">
        <v>29</v>
      </c>
      <c r="G133" s="11" t="n">
        <v>6</v>
      </c>
      <c r="H133" s="12"/>
      <c r="I133" s="13"/>
      <c r="J133" s="13"/>
      <c r="K133" s="14"/>
      <c r="L133" s="15"/>
      <c r="M133" s="14"/>
      <c r="N133" s="14"/>
      <c r="O133" s="16"/>
      <c r="P133" s="17" t="n">
        <f aca="false">M133+(0.05*N133)+(O133/240)</f>
        <v>0</v>
      </c>
      <c r="Q133" s="14"/>
      <c r="R133" s="14"/>
      <c r="S133" s="14"/>
      <c r="T133" s="14" t="n">
        <f aca="false">Q133+(R133*0.05)+(S133/240)</f>
        <v>0</v>
      </c>
      <c r="U133" s="14" t="n">
        <f aca="false">K133*P133</f>
        <v>0</v>
      </c>
      <c r="V133" s="18" t="n">
        <f aca="false">T133-U133</f>
        <v>0</v>
      </c>
      <c r="W133" s="19"/>
      <c r="X133" s="19"/>
    </row>
    <row r="134" customFormat="false" ht="16" hidden="false" customHeight="false" outlineLevel="0" collapsed="false">
      <c r="A134" s="8" t="s">
        <v>24</v>
      </c>
      <c r="B134" s="9" t="s">
        <v>25</v>
      </c>
      <c r="C134" s="9" t="s">
        <v>26</v>
      </c>
      <c r="D134" s="10" t="n">
        <v>1789</v>
      </c>
      <c r="E134" s="9" t="s">
        <v>27</v>
      </c>
      <c r="F134" s="9" t="s">
        <v>29</v>
      </c>
      <c r="G134" s="11" t="n">
        <v>6</v>
      </c>
      <c r="H134" s="12"/>
      <c r="I134" s="13"/>
      <c r="J134" s="13"/>
      <c r="K134" s="14"/>
      <c r="L134" s="15"/>
      <c r="M134" s="14"/>
      <c r="N134" s="14"/>
      <c r="O134" s="16"/>
      <c r="P134" s="17" t="n">
        <f aca="false">M134+(0.05*N134)+(O134/240)</f>
        <v>0</v>
      </c>
      <c r="Q134" s="14"/>
      <c r="R134" s="14"/>
      <c r="S134" s="14"/>
      <c r="T134" s="14" t="n">
        <f aca="false">Q134+(R134*0.05)+(S134/240)</f>
        <v>0</v>
      </c>
      <c r="U134" s="14" t="n">
        <f aca="false">K134*P134</f>
        <v>0</v>
      </c>
      <c r="V134" s="18" t="n">
        <f aca="false">T134-U134</f>
        <v>0</v>
      </c>
      <c r="W134" s="19"/>
      <c r="X134" s="19"/>
    </row>
    <row r="135" customFormat="false" ht="16" hidden="false" customHeight="false" outlineLevel="0" collapsed="false">
      <c r="A135" s="8" t="s">
        <v>24</v>
      </c>
      <c r="B135" s="9" t="s">
        <v>25</v>
      </c>
      <c r="C135" s="9" t="s">
        <v>26</v>
      </c>
      <c r="D135" s="10" t="n">
        <v>1789</v>
      </c>
      <c r="E135" s="9" t="s">
        <v>27</v>
      </c>
      <c r="F135" s="9" t="s">
        <v>29</v>
      </c>
      <c r="G135" s="11" t="n">
        <v>6</v>
      </c>
      <c r="H135" s="12"/>
      <c r="I135" s="13"/>
      <c r="J135" s="13"/>
      <c r="K135" s="14"/>
      <c r="L135" s="15"/>
      <c r="M135" s="14"/>
      <c r="N135" s="14"/>
      <c r="O135" s="16"/>
      <c r="P135" s="17" t="n">
        <f aca="false">M135+(0.05*N135)+(O135/240)</f>
        <v>0</v>
      </c>
      <c r="Q135" s="14"/>
      <c r="R135" s="14"/>
      <c r="S135" s="14"/>
      <c r="T135" s="14" t="n">
        <f aca="false">Q135+(R135*0.05)+(S135/240)</f>
        <v>0</v>
      </c>
      <c r="U135" s="14" t="n">
        <f aca="false">K135*P135</f>
        <v>0</v>
      </c>
      <c r="V135" s="18" t="n">
        <f aca="false">T135-U135</f>
        <v>0</v>
      </c>
      <c r="W135" s="19"/>
      <c r="X135" s="19"/>
    </row>
    <row r="136" customFormat="false" ht="16" hidden="false" customHeight="false" outlineLevel="0" collapsed="false">
      <c r="A136" s="8" t="s">
        <v>24</v>
      </c>
      <c r="B136" s="9" t="s">
        <v>25</v>
      </c>
      <c r="C136" s="9" t="s">
        <v>26</v>
      </c>
      <c r="D136" s="10" t="n">
        <v>1789</v>
      </c>
      <c r="E136" s="9" t="s">
        <v>27</v>
      </c>
      <c r="F136" s="9" t="s">
        <v>29</v>
      </c>
      <c r="G136" s="11" t="n">
        <v>6</v>
      </c>
      <c r="H136" s="12"/>
      <c r="I136" s="13"/>
      <c r="J136" s="13"/>
      <c r="K136" s="14"/>
      <c r="L136" s="15"/>
      <c r="M136" s="14"/>
      <c r="N136" s="14"/>
      <c r="O136" s="16"/>
      <c r="P136" s="17" t="n">
        <f aca="false">M136+(0.05*N136)+(O136/240)</f>
        <v>0</v>
      </c>
      <c r="Q136" s="14"/>
      <c r="R136" s="14"/>
      <c r="S136" s="14"/>
      <c r="T136" s="14" t="n">
        <f aca="false">Q136+(R136*0.05)+(S136/240)</f>
        <v>0</v>
      </c>
      <c r="U136" s="14" t="n">
        <f aca="false">K136*P136</f>
        <v>0</v>
      </c>
      <c r="V136" s="18" t="n">
        <f aca="false">T136-U136</f>
        <v>0</v>
      </c>
      <c r="W136" s="19"/>
      <c r="X136" s="19"/>
    </row>
    <row r="137" customFormat="false" ht="16" hidden="false" customHeight="false" outlineLevel="0" collapsed="false">
      <c r="A137" s="8" t="s">
        <v>24</v>
      </c>
      <c r="B137" s="9" t="s">
        <v>25</v>
      </c>
      <c r="C137" s="9" t="s">
        <v>26</v>
      </c>
      <c r="D137" s="10" t="n">
        <v>1789</v>
      </c>
      <c r="E137" s="9" t="s">
        <v>27</v>
      </c>
      <c r="F137" s="9" t="s">
        <v>29</v>
      </c>
      <c r="G137" s="11" t="n">
        <v>6</v>
      </c>
      <c r="H137" s="12"/>
      <c r="I137" s="13"/>
      <c r="J137" s="13"/>
      <c r="K137" s="14"/>
      <c r="L137" s="15"/>
      <c r="M137" s="14"/>
      <c r="N137" s="14"/>
      <c r="O137" s="16"/>
      <c r="P137" s="17" t="n">
        <f aca="false">M137+(0.05*N137)+(O137/240)</f>
        <v>0</v>
      </c>
      <c r="Q137" s="14"/>
      <c r="R137" s="14"/>
      <c r="S137" s="14"/>
      <c r="T137" s="14" t="n">
        <f aca="false">Q137+(R137*0.05)+(S137/240)</f>
        <v>0</v>
      </c>
      <c r="U137" s="14" t="n">
        <f aca="false">K137*P137</f>
        <v>0</v>
      </c>
      <c r="V137" s="18" t="n">
        <f aca="false">T137-U137</f>
        <v>0</v>
      </c>
      <c r="W137" s="19"/>
      <c r="X137" s="19"/>
    </row>
    <row r="138" customFormat="false" ht="16" hidden="false" customHeight="false" outlineLevel="0" collapsed="false">
      <c r="A138" s="8" t="s">
        <v>24</v>
      </c>
      <c r="B138" s="9" t="s">
        <v>25</v>
      </c>
      <c r="C138" s="9" t="s">
        <v>26</v>
      </c>
      <c r="D138" s="10" t="n">
        <v>1789</v>
      </c>
      <c r="E138" s="9" t="s">
        <v>27</v>
      </c>
      <c r="F138" s="9" t="s">
        <v>29</v>
      </c>
      <c r="G138" s="11" t="n">
        <v>6</v>
      </c>
      <c r="H138" s="12"/>
      <c r="I138" s="13"/>
      <c r="J138" s="13"/>
      <c r="K138" s="14"/>
      <c r="L138" s="15"/>
      <c r="M138" s="14"/>
      <c r="N138" s="14"/>
      <c r="O138" s="16"/>
      <c r="P138" s="17" t="n">
        <f aca="false">M138+(0.05*N138)+(O138/240)</f>
        <v>0</v>
      </c>
      <c r="Q138" s="14"/>
      <c r="R138" s="14"/>
      <c r="S138" s="14"/>
      <c r="T138" s="14" t="n">
        <f aca="false">Q138+(R138*0.05)+(S138/240)</f>
        <v>0</v>
      </c>
      <c r="U138" s="14" t="n">
        <f aca="false">K138*P138</f>
        <v>0</v>
      </c>
      <c r="V138" s="18" t="n">
        <f aca="false">T138-U138</f>
        <v>0</v>
      </c>
      <c r="W138" s="19"/>
      <c r="X138" s="19"/>
    </row>
    <row r="139" customFormat="false" ht="16" hidden="false" customHeight="false" outlineLevel="0" collapsed="false">
      <c r="A139" s="8" t="s">
        <v>24</v>
      </c>
      <c r="B139" s="9" t="s">
        <v>25</v>
      </c>
      <c r="C139" s="9" t="s">
        <v>26</v>
      </c>
      <c r="D139" s="10" t="n">
        <v>1789</v>
      </c>
      <c r="E139" s="9" t="s">
        <v>27</v>
      </c>
      <c r="F139" s="9" t="s">
        <v>29</v>
      </c>
      <c r="G139" s="11" t="n">
        <v>6</v>
      </c>
      <c r="H139" s="12"/>
      <c r="I139" s="13"/>
      <c r="J139" s="13"/>
      <c r="K139" s="14"/>
      <c r="L139" s="15"/>
      <c r="M139" s="14"/>
      <c r="N139" s="14"/>
      <c r="O139" s="16"/>
      <c r="P139" s="17" t="n">
        <f aca="false">M139+(0.05*N139)+(O139/240)</f>
        <v>0</v>
      </c>
      <c r="Q139" s="14"/>
      <c r="R139" s="14"/>
      <c r="S139" s="14"/>
      <c r="T139" s="14" t="n">
        <f aca="false">Q139+(R139*0.05)+(S139/240)</f>
        <v>0</v>
      </c>
      <c r="U139" s="14" t="n">
        <f aca="false">K139*P139</f>
        <v>0</v>
      </c>
      <c r="V139" s="18" t="n">
        <f aca="false">T139-U139</f>
        <v>0</v>
      </c>
      <c r="W139" s="19"/>
      <c r="X139" s="19"/>
    </row>
    <row r="140" customFormat="false" ht="16" hidden="false" customHeight="false" outlineLevel="0" collapsed="false">
      <c r="A140" s="8" t="s">
        <v>24</v>
      </c>
      <c r="B140" s="9" t="s">
        <v>25</v>
      </c>
      <c r="C140" s="9" t="s">
        <v>26</v>
      </c>
      <c r="D140" s="10" t="n">
        <v>1789</v>
      </c>
      <c r="E140" s="9" t="s">
        <v>27</v>
      </c>
      <c r="F140" s="9" t="s">
        <v>29</v>
      </c>
      <c r="G140" s="11" t="n">
        <v>6</v>
      </c>
      <c r="H140" s="12"/>
      <c r="I140" s="13"/>
      <c r="J140" s="13"/>
      <c r="K140" s="14"/>
      <c r="L140" s="15"/>
      <c r="M140" s="14"/>
      <c r="N140" s="14"/>
      <c r="O140" s="16"/>
      <c r="P140" s="17" t="n">
        <f aca="false">M140+(0.05*N140)+(O140/240)</f>
        <v>0</v>
      </c>
      <c r="Q140" s="14"/>
      <c r="R140" s="14"/>
      <c r="S140" s="14"/>
      <c r="T140" s="14" t="n">
        <f aca="false">Q140+(R140*0.05)+(S140/240)</f>
        <v>0</v>
      </c>
      <c r="U140" s="14" t="n">
        <f aca="false">K140*P140</f>
        <v>0</v>
      </c>
      <c r="V140" s="18" t="n">
        <f aca="false">T140-U140</f>
        <v>0</v>
      </c>
      <c r="W140" s="19"/>
      <c r="X140" s="19"/>
    </row>
    <row r="141" customFormat="false" ht="16" hidden="false" customHeight="false" outlineLevel="0" collapsed="false">
      <c r="A141" s="8" t="s">
        <v>24</v>
      </c>
      <c r="B141" s="9" t="s">
        <v>25</v>
      </c>
      <c r="C141" s="9" t="s">
        <v>26</v>
      </c>
      <c r="D141" s="10" t="n">
        <v>1789</v>
      </c>
      <c r="E141" s="9" t="s">
        <v>27</v>
      </c>
      <c r="F141" s="9" t="s">
        <v>29</v>
      </c>
      <c r="G141" s="11" t="n">
        <v>6</v>
      </c>
      <c r="H141" s="12"/>
      <c r="I141" s="13"/>
      <c r="J141" s="13"/>
      <c r="K141" s="14"/>
      <c r="L141" s="15"/>
      <c r="M141" s="14"/>
      <c r="N141" s="14"/>
      <c r="O141" s="16"/>
      <c r="P141" s="17" t="n">
        <f aca="false">M141+(0.05*N141)+(O141/240)</f>
        <v>0</v>
      </c>
      <c r="Q141" s="14"/>
      <c r="R141" s="14"/>
      <c r="S141" s="14"/>
      <c r="T141" s="14" t="n">
        <f aca="false">Q141+(R141*0.05)+(S141/240)</f>
        <v>0</v>
      </c>
      <c r="U141" s="14" t="n">
        <f aca="false">K141*P141</f>
        <v>0</v>
      </c>
      <c r="V141" s="18" t="n">
        <f aca="false">T141-U141</f>
        <v>0</v>
      </c>
      <c r="W141" s="19"/>
      <c r="X141" s="19"/>
    </row>
    <row r="142" customFormat="false" ht="16" hidden="false" customHeight="false" outlineLevel="0" collapsed="false">
      <c r="A142" s="8" t="s">
        <v>24</v>
      </c>
      <c r="B142" s="9" t="s">
        <v>25</v>
      </c>
      <c r="C142" s="9" t="s">
        <v>26</v>
      </c>
      <c r="D142" s="10" t="n">
        <v>1789</v>
      </c>
      <c r="E142" s="9" t="s">
        <v>27</v>
      </c>
      <c r="F142" s="9" t="s">
        <v>29</v>
      </c>
      <c r="G142" s="11" t="n">
        <v>6</v>
      </c>
      <c r="H142" s="12"/>
      <c r="I142" s="13"/>
      <c r="J142" s="13"/>
      <c r="K142" s="14"/>
      <c r="L142" s="15"/>
      <c r="M142" s="14"/>
      <c r="N142" s="14"/>
      <c r="O142" s="16"/>
      <c r="P142" s="17" t="n">
        <f aca="false">M142+(0.05*N142)+(O142/240)</f>
        <v>0</v>
      </c>
      <c r="Q142" s="14"/>
      <c r="R142" s="14"/>
      <c r="S142" s="14"/>
      <c r="T142" s="14" t="n">
        <f aca="false">Q142+(R142*0.05)+(S142/240)</f>
        <v>0</v>
      </c>
      <c r="U142" s="14" t="n">
        <f aca="false">K142*P142</f>
        <v>0</v>
      </c>
      <c r="V142" s="18" t="n">
        <f aca="false">T142-U142</f>
        <v>0</v>
      </c>
      <c r="W142" s="19"/>
      <c r="X142" s="19"/>
    </row>
    <row r="143" customFormat="false" ht="16" hidden="false" customHeight="false" outlineLevel="0" collapsed="false">
      <c r="A143" s="8" t="s">
        <v>24</v>
      </c>
      <c r="B143" s="9" t="s">
        <v>25</v>
      </c>
      <c r="C143" s="9" t="s">
        <v>26</v>
      </c>
      <c r="D143" s="10" t="n">
        <v>1789</v>
      </c>
      <c r="E143" s="9" t="s">
        <v>27</v>
      </c>
      <c r="F143" s="9" t="s">
        <v>29</v>
      </c>
      <c r="G143" s="11" t="n">
        <v>6</v>
      </c>
      <c r="H143" s="12"/>
      <c r="I143" s="13"/>
      <c r="J143" s="13"/>
      <c r="K143" s="14"/>
      <c r="L143" s="15"/>
      <c r="M143" s="14"/>
      <c r="N143" s="14"/>
      <c r="O143" s="16"/>
      <c r="P143" s="17" t="n">
        <f aca="false">M143+(0.05*N143)+(O143/240)</f>
        <v>0</v>
      </c>
      <c r="Q143" s="14"/>
      <c r="R143" s="14"/>
      <c r="S143" s="14"/>
      <c r="T143" s="14" t="n">
        <f aca="false">Q143+(R143*0.05)+(S143/240)</f>
        <v>0</v>
      </c>
      <c r="U143" s="14" t="n">
        <f aca="false">K143*P143</f>
        <v>0</v>
      </c>
      <c r="V143" s="18" t="n">
        <f aca="false">T143-U143</f>
        <v>0</v>
      </c>
      <c r="W143" s="19"/>
      <c r="X143" s="19"/>
    </row>
    <row r="144" customFormat="false" ht="16" hidden="false" customHeight="false" outlineLevel="0" collapsed="false">
      <c r="A144" s="8" t="s">
        <v>24</v>
      </c>
      <c r="B144" s="9" t="s">
        <v>25</v>
      </c>
      <c r="C144" s="9" t="s">
        <v>26</v>
      </c>
      <c r="D144" s="10" t="n">
        <v>1789</v>
      </c>
      <c r="E144" s="9" t="s">
        <v>27</v>
      </c>
      <c r="F144" s="9" t="s">
        <v>29</v>
      </c>
      <c r="G144" s="11" t="n">
        <v>6</v>
      </c>
      <c r="H144" s="12"/>
      <c r="I144" s="13"/>
      <c r="J144" s="13"/>
      <c r="K144" s="14"/>
      <c r="L144" s="15"/>
      <c r="M144" s="14"/>
      <c r="N144" s="14"/>
      <c r="O144" s="16"/>
      <c r="P144" s="17" t="n">
        <f aca="false">M144+(0.05*N144)+(O144/240)</f>
        <v>0</v>
      </c>
      <c r="Q144" s="14"/>
      <c r="R144" s="14"/>
      <c r="S144" s="14"/>
      <c r="T144" s="14" t="n">
        <f aca="false">Q144+(R144*0.05)+(S144/240)</f>
        <v>0</v>
      </c>
      <c r="U144" s="14" t="n">
        <f aca="false">K144*P144</f>
        <v>0</v>
      </c>
      <c r="V144" s="18" t="n">
        <f aca="false">T144-U144</f>
        <v>0</v>
      </c>
      <c r="W144" s="19"/>
      <c r="X144" s="19"/>
    </row>
    <row r="145" customFormat="false" ht="16" hidden="false" customHeight="false" outlineLevel="0" collapsed="false">
      <c r="A145" s="8" t="s">
        <v>24</v>
      </c>
      <c r="B145" s="9" t="s">
        <v>25</v>
      </c>
      <c r="C145" s="9" t="s">
        <v>26</v>
      </c>
      <c r="D145" s="10" t="n">
        <v>1789</v>
      </c>
      <c r="E145" s="9" t="s">
        <v>27</v>
      </c>
      <c r="F145" s="9" t="s">
        <v>29</v>
      </c>
      <c r="G145" s="11" t="n">
        <v>6</v>
      </c>
      <c r="H145" s="12"/>
      <c r="I145" s="13"/>
      <c r="J145" s="13"/>
      <c r="K145" s="14"/>
      <c r="L145" s="15"/>
      <c r="M145" s="14"/>
      <c r="N145" s="14"/>
      <c r="O145" s="16"/>
      <c r="P145" s="17" t="n">
        <f aca="false">M145+(0.05*N145)+(O145/240)</f>
        <v>0</v>
      </c>
      <c r="Q145" s="14"/>
      <c r="R145" s="14"/>
      <c r="S145" s="14"/>
      <c r="T145" s="14" t="n">
        <f aca="false">Q145+(R145*0.05)+(S145/240)</f>
        <v>0</v>
      </c>
      <c r="U145" s="14" t="n">
        <f aca="false">K145*P145</f>
        <v>0</v>
      </c>
      <c r="V145" s="18" t="n">
        <f aca="false">T145-U145</f>
        <v>0</v>
      </c>
      <c r="W145" s="19"/>
      <c r="X145" s="19"/>
    </row>
    <row r="146" customFormat="false" ht="16" hidden="false" customHeight="false" outlineLevel="0" collapsed="false">
      <c r="A146" s="8" t="s">
        <v>24</v>
      </c>
      <c r="B146" s="9" t="s">
        <v>25</v>
      </c>
      <c r="C146" s="9" t="s">
        <v>26</v>
      </c>
      <c r="D146" s="10" t="n">
        <v>1789</v>
      </c>
      <c r="E146" s="9" t="s">
        <v>27</v>
      </c>
      <c r="F146" s="9" t="s">
        <v>29</v>
      </c>
      <c r="G146" s="11" t="n">
        <v>6</v>
      </c>
      <c r="H146" s="12"/>
      <c r="I146" s="13"/>
      <c r="J146" s="13"/>
      <c r="K146" s="14"/>
      <c r="L146" s="15"/>
      <c r="M146" s="14"/>
      <c r="N146" s="14"/>
      <c r="O146" s="16"/>
      <c r="P146" s="17" t="n">
        <f aca="false">M146+(0.05*N146)+(O146/240)</f>
        <v>0</v>
      </c>
      <c r="Q146" s="14"/>
      <c r="R146" s="14"/>
      <c r="S146" s="14"/>
      <c r="T146" s="14" t="n">
        <f aca="false">Q146+(R146*0.05)+(S146/240)</f>
        <v>0</v>
      </c>
      <c r="U146" s="14" t="n">
        <f aca="false">K146*P146</f>
        <v>0</v>
      </c>
      <c r="V146" s="18" t="n">
        <f aca="false">T146-U146</f>
        <v>0</v>
      </c>
      <c r="W146" s="19"/>
      <c r="X146" s="19"/>
    </row>
    <row r="147" customFormat="false" ht="16" hidden="false" customHeight="false" outlineLevel="0" collapsed="false">
      <c r="A147" s="8" t="s">
        <v>24</v>
      </c>
      <c r="B147" s="9" t="s">
        <v>25</v>
      </c>
      <c r="C147" s="9" t="s">
        <v>26</v>
      </c>
      <c r="D147" s="10" t="n">
        <v>1789</v>
      </c>
      <c r="E147" s="9" t="s">
        <v>27</v>
      </c>
      <c r="F147" s="9" t="s">
        <v>29</v>
      </c>
      <c r="G147" s="11" t="n">
        <v>6</v>
      </c>
      <c r="H147" s="12"/>
      <c r="I147" s="13"/>
      <c r="J147" s="13"/>
      <c r="K147" s="14"/>
      <c r="L147" s="15"/>
      <c r="M147" s="14"/>
      <c r="N147" s="14"/>
      <c r="O147" s="16"/>
      <c r="P147" s="17" t="n">
        <f aca="false">M147+(0.05*N147)+(O147/240)</f>
        <v>0</v>
      </c>
      <c r="Q147" s="14"/>
      <c r="R147" s="14"/>
      <c r="S147" s="14"/>
      <c r="T147" s="14" t="n">
        <f aca="false">Q147+(R147*0.05)+(S147/240)</f>
        <v>0</v>
      </c>
      <c r="U147" s="14" t="n">
        <f aca="false">K147*P147</f>
        <v>0</v>
      </c>
      <c r="V147" s="18" t="n">
        <f aca="false">T147-U147</f>
        <v>0</v>
      </c>
      <c r="W147" s="19"/>
      <c r="X147" s="19"/>
    </row>
    <row r="148" customFormat="false" ht="16" hidden="false" customHeight="false" outlineLevel="0" collapsed="false">
      <c r="A148" s="8" t="s">
        <v>24</v>
      </c>
      <c r="B148" s="9" t="s">
        <v>25</v>
      </c>
      <c r="C148" s="9" t="s">
        <v>26</v>
      </c>
      <c r="D148" s="10" t="n">
        <v>1789</v>
      </c>
      <c r="E148" s="9" t="s">
        <v>27</v>
      </c>
      <c r="F148" s="9" t="s">
        <v>29</v>
      </c>
      <c r="G148" s="11" t="n">
        <v>6</v>
      </c>
      <c r="H148" s="12"/>
      <c r="I148" s="13"/>
      <c r="J148" s="13"/>
      <c r="K148" s="14"/>
      <c r="L148" s="15"/>
      <c r="M148" s="14"/>
      <c r="N148" s="14"/>
      <c r="O148" s="16"/>
      <c r="P148" s="17" t="n">
        <f aca="false">M148+(0.05*N148)+(O148/240)</f>
        <v>0</v>
      </c>
      <c r="Q148" s="14"/>
      <c r="R148" s="14"/>
      <c r="S148" s="14"/>
      <c r="T148" s="14" t="n">
        <f aca="false">Q148+(R148*0.05)+(S148/240)</f>
        <v>0</v>
      </c>
      <c r="U148" s="14" t="n">
        <f aca="false">K148*P148</f>
        <v>0</v>
      </c>
      <c r="V148" s="18" t="n">
        <f aca="false">T148-U148</f>
        <v>0</v>
      </c>
      <c r="W148" s="19"/>
      <c r="X148" s="19"/>
    </row>
    <row r="149" customFormat="false" ht="16" hidden="false" customHeight="false" outlineLevel="0" collapsed="false">
      <c r="A149" s="8" t="s">
        <v>24</v>
      </c>
      <c r="B149" s="9" t="s">
        <v>25</v>
      </c>
      <c r="C149" s="9" t="s">
        <v>26</v>
      </c>
      <c r="D149" s="10" t="n">
        <v>1789</v>
      </c>
      <c r="E149" s="9" t="s">
        <v>27</v>
      </c>
      <c r="F149" s="9" t="s">
        <v>29</v>
      </c>
      <c r="G149" s="11" t="n">
        <v>6</v>
      </c>
      <c r="H149" s="12"/>
      <c r="I149" s="13"/>
      <c r="J149" s="13"/>
      <c r="K149" s="14"/>
      <c r="L149" s="15"/>
      <c r="M149" s="14"/>
      <c r="N149" s="14"/>
      <c r="O149" s="16"/>
      <c r="P149" s="17" t="n">
        <f aca="false">M149+(0.05*N149)+(O149/240)</f>
        <v>0</v>
      </c>
      <c r="Q149" s="14"/>
      <c r="R149" s="14"/>
      <c r="S149" s="14"/>
      <c r="T149" s="14" t="n">
        <f aca="false">Q149+(R149*0.05)+(S149/240)</f>
        <v>0</v>
      </c>
      <c r="U149" s="14" t="n">
        <f aca="false">K149*P149</f>
        <v>0</v>
      </c>
      <c r="V149" s="18" t="n">
        <f aca="false">T149-U149</f>
        <v>0</v>
      </c>
      <c r="W149" s="19"/>
      <c r="X149" s="19"/>
    </row>
    <row r="150" customFormat="false" ht="16" hidden="false" customHeight="false" outlineLevel="0" collapsed="false">
      <c r="A150" s="8" t="s">
        <v>24</v>
      </c>
      <c r="B150" s="9" t="s">
        <v>25</v>
      </c>
      <c r="C150" s="9" t="s">
        <v>26</v>
      </c>
      <c r="D150" s="10" t="n">
        <v>1789</v>
      </c>
      <c r="E150" s="9" t="s">
        <v>27</v>
      </c>
      <c r="F150" s="9" t="s">
        <v>29</v>
      </c>
      <c r="G150" s="11" t="n">
        <v>6</v>
      </c>
      <c r="H150" s="12"/>
      <c r="I150" s="13"/>
      <c r="J150" s="13"/>
      <c r="K150" s="14"/>
      <c r="L150" s="15"/>
      <c r="M150" s="14"/>
      <c r="N150" s="14"/>
      <c r="O150" s="16"/>
      <c r="P150" s="17" t="n">
        <f aca="false">M150+(0.05*N150)+(O150/240)</f>
        <v>0</v>
      </c>
      <c r="Q150" s="14"/>
      <c r="R150" s="14"/>
      <c r="S150" s="14"/>
      <c r="T150" s="14" t="n">
        <f aca="false">Q150+(R150*0.05)+(S150/240)</f>
        <v>0</v>
      </c>
      <c r="U150" s="14" t="n">
        <f aca="false">K150*P150</f>
        <v>0</v>
      </c>
      <c r="V150" s="18" t="n">
        <f aca="false">T150-U150</f>
        <v>0</v>
      </c>
      <c r="W150" s="19"/>
      <c r="X150" s="19"/>
    </row>
  </sheetData>
  <conditionalFormatting sqref="V2:V150">
    <cfRule type="cellIs" priority="2" operator="greaterThan" aboveAverage="0" equalAverage="0" bottom="0" percent="0" rank="0" text="" dxfId="0">
      <formula>0</formula>
    </cfRule>
  </conditionalFormatting>
  <conditionalFormatting sqref="V1">
    <cfRule type="cellIs" priority="3" operator="greaterThan" aboveAverage="0" equalAverage="0" bottom="0" percent="0" rank="0" text="" dxfId="1">
      <formula>0</formula>
    </cfRule>
  </conditionalFormatting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150"/>
  <sheetViews>
    <sheetView windowProtection="false" showFormulas="false" showGridLines="true" showRowColHeaders="true" showZeros="true" rightToLeft="false" tabSelected="false" showOutlineSymbols="true" defaultGridColor="true" view="normal" topLeftCell="A115" colorId="64" zoomScale="45" zoomScaleNormal="45" zoomScalePageLayoutView="100" workbookViewId="0">
      <selection pane="topLeft" activeCell="H2" activeCellId="0" sqref="H2"/>
    </sheetView>
  </sheetViews>
  <sheetFormatPr defaultRowHeight="16"/>
  <cols>
    <col collapsed="false" hidden="false" max="1" min="1" style="0" width="14.924882629108"/>
    <col collapsed="false" hidden="false" max="2" min="2" style="0" width="8.6056338028169"/>
    <col collapsed="false" hidden="false" max="3" min="3" style="0" width="12.4976525821596"/>
    <col collapsed="false" hidden="false" max="4" min="4" style="0" width="6.73239436619718"/>
    <col collapsed="false" hidden="false" max="5" min="5" style="0" width="9.32394366197183"/>
    <col collapsed="false" hidden="false" max="6" min="6" style="0" width="8.92488262910798"/>
    <col collapsed="false" hidden="false" max="7" min="7" style="0" width="5.1924882629108"/>
    <col collapsed="false" hidden="false" max="8" min="8" style="0" width="18.169014084507"/>
    <col collapsed="false" hidden="false" max="9" min="9" style="0" width="7.79342723004695"/>
    <col collapsed="false" hidden="false" max="10" min="10" style="0" width="8.76056338028169"/>
    <col collapsed="false" hidden="false" max="11" min="11" style="0" width="9.32394366197183"/>
    <col collapsed="false" hidden="false" max="12" min="12" style="0" width="8.6056338028169"/>
    <col collapsed="false" hidden="false" max="13" min="13" style="1" width="18.6572769953052"/>
    <col collapsed="false" hidden="false" max="15" min="14" style="0" width="8.11737089201878"/>
    <col collapsed="false" hidden="false" max="16" min="16" style="0" width="10.8638497652582"/>
    <col collapsed="false" hidden="false" max="17" min="17" style="0" width="9.48826291079812"/>
    <col collapsed="false" hidden="false" max="18" min="18" style="0" width="7.79342723004695"/>
    <col collapsed="false" hidden="false" max="19" min="19" style="0" width="6.89671361502347"/>
    <col collapsed="false" hidden="false" max="20" min="20" style="0" width="11.5211267605634"/>
    <col collapsed="false" hidden="false" max="21" min="21" style="0" width="9.81220657276995"/>
    <col collapsed="false" hidden="false" max="22" min="22" style="0" width="10.4694835680751"/>
    <col collapsed="false" hidden="false" max="23" min="23" style="0" width="10.6338028169014"/>
    <col collapsed="false" hidden="false" max="24" min="24" style="0" width="15.2441314553991"/>
    <col collapsed="false" hidden="false" max="25" min="25" style="0" width="9.81220657276995"/>
    <col collapsed="false" hidden="false" max="26" min="26" style="0" width="9.32394366197183"/>
    <col collapsed="false" hidden="false" max="33" min="27" style="0" width="9.81220657276995"/>
    <col collapsed="false" hidden="false" max="34" min="34" style="0" width="9.32394366197183"/>
    <col collapsed="false" hidden="false" max="36" min="35" style="0" width="9.81220657276995"/>
    <col collapsed="false" hidden="false" max="37" min="37" style="0" width="10.8638497652582"/>
    <col collapsed="false" hidden="false" max="38" min="38" style="0" width="12.7370892018779"/>
    <col collapsed="false" hidden="false" max="39" min="39" style="0" width="8.27230046948357"/>
    <col collapsed="false" hidden="false" max="40" min="40" style="0" width="15.5774647887324"/>
    <col collapsed="false" hidden="false" max="41" min="41" style="0" width="8.43661971830986"/>
    <col collapsed="false" hidden="false" max="42" min="42" style="0" width="18.8215962441315"/>
    <col collapsed="false" hidden="false" max="43" min="43" style="0" width="14.1924882629108"/>
    <col collapsed="false" hidden="false" max="44" min="44" style="0" width="15.5774647887324"/>
    <col collapsed="false" hidden="false" max="45" min="45" style="0" width="17.4413145539906"/>
    <col collapsed="false" hidden="false" max="46" min="46" style="0" width="23.6103286384977"/>
    <col collapsed="false" hidden="false" max="1025" min="47" style="0" width="10.5399061032864"/>
  </cols>
  <sheetData>
    <row r="1" customFormat="false" ht="84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4" t="s">
        <v>8</v>
      </c>
      <c r="J1" s="4" t="s">
        <v>9</v>
      </c>
      <c r="K1" s="5" t="s">
        <v>10</v>
      </c>
      <c r="L1" s="6" t="s">
        <v>11</v>
      </c>
      <c r="M1" s="5" t="s">
        <v>12</v>
      </c>
      <c r="N1" s="5" t="s">
        <v>13</v>
      </c>
      <c r="O1" s="5" t="s">
        <v>14</v>
      </c>
      <c r="P1" s="7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6" t="s">
        <v>22</v>
      </c>
      <c r="X1" s="6" t="s">
        <v>23</v>
      </c>
    </row>
    <row r="2" customFormat="false" ht="16" hidden="false" customHeight="false" outlineLevel="0" collapsed="false">
      <c r="A2" s="8" t="s">
        <v>24</v>
      </c>
      <c r="B2" s="9" t="s">
        <v>25</v>
      </c>
      <c r="C2" s="9" t="s">
        <v>26</v>
      </c>
      <c r="D2" s="10" t="n">
        <v>1789</v>
      </c>
      <c r="E2" s="9" t="s">
        <v>27</v>
      </c>
      <c r="F2" s="9" t="s">
        <v>30</v>
      </c>
      <c r="G2" s="9" t="n">
        <v>12</v>
      </c>
      <c r="H2" s="12"/>
      <c r="I2" s="13"/>
      <c r="J2" s="13"/>
      <c r="K2" s="14"/>
      <c r="L2" s="15"/>
      <c r="M2" s="14"/>
      <c r="N2" s="14"/>
      <c r="O2" s="16"/>
      <c r="P2" s="17" t="n">
        <f aca="false">M2+(0.05*N2)+(O2/240)</f>
        <v>0</v>
      </c>
      <c r="Q2" s="14"/>
      <c r="R2" s="14"/>
      <c r="S2" s="14"/>
      <c r="T2" s="14" t="n">
        <f aca="false">Q2+(R2*0.05)+(S2/240)</f>
        <v>0</v>
      </c>
      <c r="U2" s="14" t="n">
        <f aca="false">K2*P2</f>
        <v>0</v>
      </c>
      <c r="V2" s="18" t="n">
        <f aca="false">T2-U2</f>
        <v>0</v>
      </c>
      <c r="W2" s="19"/>
      <c r="X2" s="19"/>
    </row>
    <row r="3" customFormat="false" ht="16" hidden="false" customHeight="false" outlineLevel="0" collapsed="false">
      <c r="A3" s="8" t="s">
        <v>24</v>
      </c>
      <c r="B3" s="9" t="s">
        <v>25</v>
      </c>
      <c r="C3" s="9" t="s">
        <v>26</v>
      </c>
      <c r="D3" s="10" t="n">
        <v>1789</v>
      </c>
      <c r="E3" s="9" t="s">
        <v>27</v>
      </c>
      <c r="F3" s="9" t="s">
        <v>30</v>
      </c>
      <c r="G3" s="9" t="n">
        <v>12</v>
      </c>
      <c r="H3" s="12"/>
      <c r="I3" s="13"/>
      <c r="J3" s="13"/>
      <c r="K3" s="14"/>
      <c r="L3" s="15"/>
      <c r="M3" s="14"/>
      <c r="N3" s="14"/>
      <c r="O3" s="16"/>
      <c r="P3" s="17" t="n">
        <f aca="false">M3+(0.05*N3)+(O3/240)</f>
        <v>0</v>
      </c>
      <c r="Q3" s="14"/>
      <c r="R3" s="14"/>
      <c r="S3" s="14"/>
      <c r="T3" s="14" t="n">
        <f aca="false">Q3+(R3*0.05)+(S3/240)</f>
        <v>0</v>
      </c>
      <c r="U3" s="14" t="n">
        <f aca="false">K3*P3</f>
        <v>0</v>
      </c>
      <c r="V3" s="18" t="n">
        <f aca="false">T3-U3</f>
        <v>0</v>
      </c>
      <c r="W3" s="19"/>
      <c r="X3" s="19"/>
    </row>
    <row r="4" customFormat="false" ht="16" hidden="false" customHeight="false" outlineLevel="0" collapsed="false">
      <c r="A4" s="8" t="s">
        <v>24</v>
      </c>
      <c r="B4" s="9" t="s">
        <v>25</v>
      </c>
      <c r="C4" s="9" t="s">
        <v>26</v>
      </c>
      <c r="D4" s="10" t="n">
        <v>1789</v>
      </c>
      <c r="E4" s="9" t="s">
        <v>27</v>
      </c>
      <c r="F4" s="9" t="s">
        <v>30</v>
      </c>
      <c r="G4" s="9" t="n">
        <v>12</v>
      </c>
      <c r="H4" s="12"/>
      <c r="I4" s="13"/>
      <c r="J4" s="13"/>
      <c r="K4" s="14"/>
      <c r="L4" s="15"/>
      <c r="M4" s="14"/>
      <c r="N4" s="14"/>
      <c r="O4" s="16"/>
      <c r="P4" s="17" t="n">
        <f aca="false">M4+(0.05*N4)+(O4/240)</f>
        <v>0</v>
      </c>
      <c r="Q4" s="14"/>
      <c r="R4" s="14"/>
      <c r="S4" s="14"/>
      <c r="T4" s="14" t="n">
        <f aca="false">Q4+(R4*0.05)+(S4/240)</f>
        <v>0</v>
      </c>
      <c r="U4" s="14" t="n">
        <f aca="false">K4*P4</f>
        <v>0</v>
      </c>
      <c r="V4" s="18" t="n">
        <f aca="false">T4-U4</f>
        <v>0</v>
      </c>
      <c r="W4" s="19"/>
      <c r="X4" s="19"/>
    </row>
    <row r="5" customFormat="false" ht="16" hidden="false" customHeight="false" outlineLevel="0" collapsed="false">
      <c r="A5" s="8" t="s">
        <v>24</v>
      </c>
      <c r="B5" s="9" t="s">
        <v>25</v>
      </c>
      <c r="C5" s="9" t="s">
        <v>26</v>
      </c>
      <c r="D5" s="10" t="n">
        <v>1789</v>
      </c>
      <c r="E5" s="9" t="s">
        <v>27</v>
      </c>
      <c r="F5" s="9" t="s">
        <v>30</v>
      </c>
      <c r="G5" s="9" t="n">
        <v>12</v>
      </c>
      <c r="H5" s="12"/>
      <c r="I5" s="13"/>
      <c r="J5" s="13"/>
      <c r="K5" s="14"/>
      <c r="L5" s="15"/>
      <c r="M5" s="14"/>
      <c r="N5" s="14"/>
      <c r="O5" s="16"/>
      <c r="P5" s="17" t="n">
        <f aca="false">M5+(0.05*N5)+(O5/240)</f>
        <v>0</v>
      </c>
      <c r="Q5" s="14"/>
      <c r="R5" s="14"/>
      <c r="S5" s="14"/>
      <c r="T5" s="14" t="n">
        <f aca="false">Q5+(R5*0.05)+(S5/240)</f>
        <v>0</v>
      </c>
      <c r="U5" s="14" t="n">
        <f aca="false">K5*P5</f>
        <v>0</v>
      </c>
      <c r="V5" s="18" t="n">
        <f aca="false">T5-U5</f>
        <v>0</v>
      </c>
      <c r="W5" s="19"/>
      <c r="X5" s="19"/>
    </row>
    <row r="6" customFormat="false" ht="16" hidden="false" customHeight="false" outlineLevel="0" collapsed="false">
      <c r="A6" s="8" t="s">
        <v>24</v>
      </c>
      <c r="B6" s="9" t="s">
        <v>25</v>
      </c>
      <c r="C6" s="9" t="s">
        <v>26</v>
      </c>
      <c r="D6" s="10" t="n">
        <v>1789</v>
      </c>
      <c r="E6" s="9" t="s">
        <v>27</v>
      </c>
      <c r="F6" s="9" t="s">
        <v>30</v>
      </c>
      <c r="G6" s="9" t="n">
        <v>12</v>
      </c>
      <c r="H6" s="12"/>
      <c r="I6" s="13"/>
      <c r="J6" s="13"/>
      <c r="K6" s="14"/>
      <c r="L6" s="15"/>
      <c r="M6" s="14"/>
      <c r="N6" s="14"/>
      <c r="O6" s="16"/>
      <c r="P6" s="17" t="n">
        <f aca="false">M6+(0.05*N6)+(O6/240)</f>
        <v>0</v>
      </c>
      <c r="Q6" s="14"/>
      <c r="R6" s="14"/>
      <c r="S6" s="14"/>
      <c r="T6" s="14" t="n">
        <f aca="false">Q6+(R6*0.05)+(S6/240)</f>
        <v>0</v>
      </c>
      <c r="U6" s="14" t="n">
        <f aca="false">K6*P6</f>
        <v>0</v>
      </c>
      <c r="V6" s="18" t="n">
        <f aca="false">T6-U6</f>
        <v>0</v>
      </c>
      <c r="W6" s="19"/>
      <c r="X6" s="19"/>
    </row>
    <row r="7" customFormat="false" ht="16" hidden="false" customHeight="false" outlineLevel="0" collapsed="false">
      <c r="A7" s="8" t="s">
        <v>24</v>
      </c>
      <c r="B7" s="9" t="s">
        <v>25</v>
      </c>
      <c r="C7" s="9" t="s">
        <v>26</v>
      </c>
      <c r="D7" s="10" t="n">
        <v>1789</v>
      </c>
      <c r="E7" s="9" t="s">
        <v>27</v>
      </c>
      <c r="F7" s="9" t="s">
        <v>30</v>
      </c>
      <c r="G7" s="9" t="n">
        <v>12</v>
      </c>
      <c r="H7" s="12"/>
      <c r="I7" s="13"/>
      <c r="J7" s="13"/>
      <c r="K7" s="14"/>
      <c r="L7" s="15"/>
      <c r="M7" s="14"/>
      <c r="N7" s="14"/>
      <c r="O7" s="16"/>
      <c r="P7" s="17" t="n">
        <f aca="false">M7+(0.05*N7)+(O7/240)</f>
        <v>0</v>
      </c>
      <c r="Q7" s="14"/>
      <c r="R7" s="14"/>
      <c r="S7" s="14"/>
      <c r="T7" s="14" t="n">
        <f aca="false">Q7+(R7*0.05)+(S7/240)</f>
        <v>0</v>
      </c>
      <c r="U7" s="14" t="n">
        <f aca="false">K7*P7</f>
        <v>0</v>
      </c>
      <c r="V7" s="18" t="n">
        <f aca="false">T7-U7</f>
        <v>0</v>
      </c>
      <c r="W7" s="19"/>
      <c r="X7" s="19"/>
    </row>
    <row r="8" customFormat="false" ht="16" hidden="false" customHeight="false" outlineLevel="0" collapsed="false">
      <c r="A8" s="8" t="s">
        <v>24</v>
      </c>
      <c r="B8" s="9" t="s">
        <v>25</v>
      </c>
      <c r="C8" s="9" t="s">
        <v>26</v>
      </c>
      <c r="D8" s="10" t="n">
        <v>1789</v>
      </c>
      <c r="E8" s="9" t="s">
        <v>27</v>
      </c>
      <c r="F8" s="9" t="s">
        <v>30</v>
      </c>
      <c r="G8" s="9" t="n">
        <v>12</v>
      </c>
      <c r="H8" s="12"/>
      <c r="I8" s="13"/>
      <c r="J8" s="13"/>
      <c r="K8" s="14"/>
      <c r="L8" s="15"/>
      <c r="M8" s="14"/>
      <c r="N8" s="14"/>
      <c r="O8" s="16"/>
      <c r="P8" s="17" t="n">
        <f aca="false">M8+(0.05*N8)+(O8/240)</f>
        <v>0</v>
      </c>
      <c r="Q8" s="14"/>
      <c r="R8" s="14"/>
      <c r="S8" s="14"/>
      <c r="T8" s="14" t="n">
        <f aca="false">Q8+(R8*0.05)+(S8/240)</f>
        <v>0</v>
      </c>
      <c r="U8" s="14" t="n">
        <f aca="false">K8*P8</f>
        <v>0</v>
      </c>
      <c r="V8" s="18" t="n">
        <f aca="false">T8-U8</f>
        <v>0</v>
      </c>
      <c r="W8" s="19"/>
      <c r="X8" s="19"/>
    </row>
    <row r="9" customFormat="false" ht="16" hidden="false" customHeight="false" outlineLevel="0" collapsed="false">
      <c r="A9" s="8" t="s">
        <v>24</v>
      </c>
      <c r="B9" s="9" t="s">
        <v>25</v>
      </c>
      <c r="C9" s="9" t="s">
        <v>26</v>
      </c>
      <c r="D9" s="10" t="n">
        <v>1789</v>
      </c>
      <c r="E9" s="9" t="s">
        <v>27</v>
      </c>
      <c r="F9" s="9" t="s">
        <v>30</v>
      </c>
      <c r="G9" s="9" t="n">
        <v>12</v>
      </c>
      <c r="H9" s="12"/>
      <c r="I9" s="13"/>
      <c r="J9" s="13"/>
      <c r="K9" s="14"/>
      <c r="L9" s="15"/>
      <c r="M9" s="14"/>
      <c r="N9" s="14"/>
      <c r="O9" s="16"/>
      <c r="P9" s="17" t="n">
        <f aca="false">M9+(0.05*N9)+(O9/240)</f>
        <v>0</v>
      </c>
      <c r="Q9" s="14"/>
      <c r="R9" s="14"/>
      <c r="S9" s="14"/>
      <c r="T9" s="14" t="n">
        <f aca="false">Q9+(R9*0.05)+(S9/240)</f>
        <v>0</v>
      </c>
      <c r="U9" s="14" t="n">
        <f aca="false">K9*P9</f>
        <v>0</v>
      </c>
      <c r="V9" s="18" t="n">
        <f aca="false">T9-U9</f>
        <v>0</v>
      </c>
      <c r="W9" s="19"/>
      <c r="X9" s="19"/>
    </row>
    <row r="10" customFormat="false" ht="16" hidden="false" customHeight="false" outlineLevel="0" collapsed="false">
      <c r="A10" s="8" t="s">
        <v>24</v>
      </c>
      <c r="B10" s="9" t="s">
        <v>25</v>
      </c>
      <c r="C10" s="9" t="s">
        <v>26</v>
      </c>
      <c r="D10" s="10" t="n">
        <v>1789</v>
      </c>
      <c r="E10" s="9" t="s">
        <v>27</v>
      </c>
      <c r="F10" s="9" t="s">
        <v>30</v>
      </c>
      <c r="G10" s="9" t="n">
        <v>12</v>
      </c>
      <c r="H10" s="12"/>
      <c r="I10" s="13"/>
      <c r="J10" s="13"/>
      <c r="K10" s="14"/>
      <c r="L10" s="15"/>
      <c r="M10" s="14"/>
      <c r="N10" s="14"/>
      <c r="O10" s="16"/>
      <c r="P10" s="17" t="n">
        <f aca="false">M10+(0.05*N10)+(O10/240)</f>
        <v>0</v>
      </c>
      <c r="Q10" s="14"/>
      <c r="R10" s="14"/>
      <c r="S10" s="14"/>
      <c r="T10" s="14" t="n">
        <f aca="false">Q10+(R10*0.05)+(S10/240)</f>
        <v>0</v>
      </c>
      <c r="U10" s="14" t="n">
        <f aca="false">K10*P10</f>
        <v>0</v>
      </c>
      <c r="V10" s="18" t="n">
        <f aca="false">T10-U10</f>
        <v>0</v>
      </c>
      <c r="W10" s="19"/>
      <c r="X10" s="19"/>
    </row>
    <row r="11" customFormat="false" ht="16" hidden="false" customHeight="false" outlineLevel="0" collapsed="false">
      <c r="A11" s="8" t="s">
        <v>24</v>
      </c>
      <c r="B11" s="9" t="s">
        <v>25</v>
      </c>
      <c r="C11" s="9" t="s">
        <v>26</v>
      </c>
      <c r="D11" s="10" t="n">
        <v>1789</v>
      </c>
      <c r="E11" s="9" t="s">
        <v>27</v>
      </c>
      <c r="F11" s="9" t="s">
        <v>30</v>
      </c>
      <c r="G11" s="9" t="n">
        <v>12</v>
      </c>
      <c r="H11" s="12"/>
      <c r="I11" s="13"/>
      <c r="J11" s="13"/>
      <c r="K11" s="14"/>
      <c r="L11" s="15"/>
      <c r="M11" s="14"/>
      <c r="N11" s="14"/>
      <c r="O11" s="16"/>
      <c r="P11" s="17" t="n">
        <f aca="false">M11+(0.05*N11)+(O11/240)</f>
        <v>0</v>
      </c>
      <c r="Q11" s="14"/>
      <c r="R11" s="14"/>
      <c r="S11" s="14"/>
      <c r="T11" s="14" t="n">
        <f aca="false">Q11+(R11*0.05)+(S11/240)</f>
        <v>0</v>
      </c>
      <c r="U11" s="14" t="n">
        <f aca="false">K11*P11</f>
        <v>0</v>
      </c>
      <c r="V11" s="18" t="n">
        <f aca="false">T11-U11</f>
        <v>0</v>
      </c>
      <c r="W11" s="19"/>
      <c r="X11" s="19"/>
    </row>
    <row r="12" customFormat="false" ht="16" hidden="false" customHeight="false" outlineLevel="0" collapsed="false">
      <c r="A12" s="8" t="s">
        <v>24</v>
      </c>
      <c r="B12" s="9" t="s">
        <v>25</v>
      </c>
      <c r="C12" s="9" t="s">
        <v>26</v>
      </c>
      <c r="D12" s="10" t="n">
        <v>1789</v>
      </c>
      <c r="E12" s="9" t="s">
        <v>27</v>
      </c>
      <c r="F12" s="9" t="s">
        <v>30</v>
      </c>
      <c r="G12" s="9" t="n">
        <v>12</v>
      </c>
      <c r="H12" s="12"/>
      <c r="I12" s="13"/>
      <c r="J12" s="13"/>
      <c r="K12" s="14"/>
      <c r="L12" s="15"/>
      <c r="M12" s="14"/>
      <c r="N12" s="14"/>
      <c r="O12" s="16"/>
      <c r="P12" s="17" t="n">
        <f aca="false">M12+(0.05*N12)+(O12/240)</f>
        <v>0</v>
      </c>
      <c r="Q12" s="14"/>
      <c r="R12" s="14"/>
      <c r="S12" s="14"/>
      <c r="T12" s="14" t="n">
        <f aca="false">Q12+(R12*0.05)+(S12/240)</f>
        <v>0</v>
      </c>
      <c r="U12" s="14" t="n">
        <f aca="false">K12*P12</f>
        <v>0</v>
      </c>
      <c r="V12" s="18" t="n">
        <f aca="false">T12-U12</f>
        <v>0</v>
      </c>
      <c r="W12" s="19"/>
      <c r="X12" s="19"/>
    </row>
    <row r="13" customFormat="false" ht="16" hidden="false" customHeight="false" outlineLevel="0" collapsed="false">
      <c r="A13" s="8" t="s">
        <v>24</v>
      </c>
      <c r="B13" s="9" t="s">
        <v>25</v>
      </c>
      <c r="C13" s="9" t="s">
        <v>26</v>
      </c>
      <c r="D13" s="10" t="n">
        <v>1789</v>
      </c>
      <c r="E13" s="9" t="s">
        <v>27</v>
      </c>
      <c r="F13" s="9" t="s">
        <v>30</v>
      </c>
      <c r="G13" s="9" t="n">
        <v>12</v>
      </c>
      <c r="H13" s="12"/>
      <c r="I13" s="13"/>
      <c r="J13" s="13"/>
      <c r="K13" s="14"/>
      <c r="L13" s="15"/>
      <c r="M13" s="14"/>
      <c r="N13" s="14"/>
      <c r="O13" s="16"/>
      <c r="P13" s="17" t="n">
        <f aca="false">M13+(0.05*N13)+(O13/240)</f>
        <v>0</v>
      </c>
      <c r="Q13" s="14"/>
      <c r="R13" s="14"/>
      <c r="S13" s="14"/>
      <c r="T13" s="14" t="n">
        <f aca="false">Q13+(R13*0.05)+(S13/240)</f>
        <v>0</v>
      </c>
      <c r="U13" s="14" t="n">
        <f aca="false">K13*P13</f>
        <v>0</v>
      </c>
      <c r="V13" s="18" t="n">
        <f aca="false">T13-U13</f>
        <v>0</v>
      </c>
      <c r="W13" s="19"/>
      <c r="X13" s="19"/>
    </row>
    <row r="14" customFormat="false" ht="16" hidden="false" customHeight="false" outlineLevel="0" collapsed="false">
      <c r="A14" s="8" t="s">
        <v>24</v>
      </c>
      <c r="B14" s="9" t="s">
        <v>25</v>
      </c>
      <c r="C14" s="9" t="s">
        <v>26</v>
      </c>
      <c r="D14" s="10" t="n">
        <v>1789</v>
      </c>
      <c r="E14" s="9" t="s">
        <v>27</v>
      </c>
      <c r="F14" s="9" t="s">
        <v>30</v>
      </c>
      <c r="G14" s="9" t="n">
        <v>12</v>
      </c>
      <c r="H14" s="12"/>
      <c r="I14" s="13"/>
      <c r="J14" s="13"/>
      <c r="K14" s="14"/>
      <c r="L14" s="15"/>
      <c r="M14" s="14"/>
      <c r="N14" s="14"/>
      <c r="O14" s="16"/>
      <c r="P14" s="17" t="n">
        <f aca="false">M14+(0.05*N14)+(O14/240)</f>
        <v>0</v>
      </c>
      <c r="Q14" s="14"/>
      <c r="R14" s="14"/>
      <c r="S14" s="14"/>
      <c r="T14" s="14" t="n">
        <f aca="false">Q14+(R14*0.05)+(S14/240)</f>
        <v>0</v>
      </c>
      <c r="U14" s="14" t="n">
        <f aca="false">K14*P14</f>
        <v>0</v>
      </c>
      <c r="V14" s="18" t="n">
        <f aca="false">T14-U14</f>
        <v>0</v>
      </c>
      <c r="W14" s="19"/>
      <c r="X14" s="19"/>
    </row>
    <row r="15" customFormat="false" ht="16" hidden="false" customHeight="false" outlineLevel="0" collapsed="false">
      <c r="A15" s="8" t="s">
        <v>24</v>
      </c>
      <c r="B15" s="9" t="s">
        <v>25</v>
      </c>
      <c r="C15" s="9" t="s">
        <v>26</v>
      </c>
      <c r="D15" s="10" t="n">
        <v>1789</v>
      </c>
      <c r="E15" s="9" t="s">
        <v>27</v>
      </c>
      <c r="F15" s="9" t="s">
        <v>30</v>
      </c>
      <c r="G15" s="9" t="n">
        <v>12</v>
      </c>
      <c r="H15" s="12"/>
      <c r="I15" s="13"/>
      <c r="J15" s="13"/>
      <c r="K15" s="14"/>
      <c r="L15" s="15"/>
      <c r="M15" s="14"/>
      <c r="N15" s="14"/>
      <c r="O15" s="16"/>
      <c r="P15" s="17" t="n">
        <f aca="false">M15+(0.05*N15)+(O15/240)</f>
        <v>0</v>
      </c>
      <c r="Q15" s="14"/>
      <c r="R15" s="14"/>
      <c r="S15" s="14"/>
      <c r="T15" s="14" t="n">
        <f aca="false">Q15+(R15*0.05)+(S15/240)</f>
        <v>0</v>
      </c>
      <c r="U15" s="14" t="n">
        <f aca="false">K15*P15</f>
        <v>0</v>
      </c>
      <c r="V15" s="18" t="n">
        <f aca="false">T15-U15</f>
        <v>0</v>
      </c>
      <c r="W15" s="19"/>
      <c r="X15" s="19"/>
    </row>
    <row r="16" customFormat="false" ht="16" hidden="false" customHeight="false" outlineLevel="0" collapsed="false">
      <c r="A16" s="8" t="s">
        <v>24</v>
      </c>
      <c r="B16" s="9" t="s">
        <v>25</v>
      </c>
      <c r="C16" s="9" t="s">
        <v>26</v>
      </c>
      <c r="D16" s="10" t="n">
        <v>1789</v>
      </c>
      <c r="E16" s="9" t="s">
        <v>27</v>
      </c>
      <c r="F16" s="9" t="s">
        <v>30</v>
      </c>
      <c r="G16" s="9" t="n">
        <v>12</v>
      </c>
      <c r="H16" s="12"/>
      <c r="I16" s="13"/>
      <c r="J16" s="13"/>
      <c r="K16" s="14"/>
      <c r="L16" s="15"/>
      <c r="M16" s="14"/>
      <c r="N16" s="14"/>
      <c r="O16" s="16"/>
      <c r="P16" s="17" t="n">
        <f aca="false">M16+(0.05*N16)+(O16/240)</f>
        <v>0</v>
      </c>
      <c r="Q16" s="14"/>
      <c r="R16" s="14"/>
      <c r="S16" s="14"/>
      <c r="T16" s="14" t="n">
        <f aca="false">Q16+(R16*0.05)+(S16/240)</f>
        <v>0</v>
      </c>
      <c r="U16" s="14" t="n">
        <f aca="false">K16*P16</f>
        <v>0</v>
      </c>
      <c r="V16" s="18" t="n">
        <f aca="false">T16-U16</f>
        <v>0</v>
      </c>
      <c r="W16" s="19"/>
      <c r="X16" s="19"/>
    </row>
    <row r="17" customFormat="false" ht="16" hidden="false" customHeight="false" outlineLevel="0" collapsed="false">
      <c r="A17" s="8" t="s">
        <v>24</v>
      </c>
      <c r="B17" s="9" t="s">
        <v>25</v>
      </c>
      <c r="C17" s="9" t="s">
        <v>26</v>
      </c>
      <c r="D17" s="10" t="n">
        <v>1789</v>
      </c>
      <c r="E17" s="9" t="s">
        <v>27</v>
      </c>
      <c r="F17" s="9" t="s">
        <v>30</v>
      </c>
      <c r="G17" s="9" t="n">
        <v>12</v>
      </c>
      <c r="H17" s="12"/>
      <c r="I17" s="13"/>
      <c r="J17" s="13"/>
      <c r="K17" s="14"/>
      <c r="L17" s="15"/>
      <c r="M17" s="14"/>
      <c r="N17" s="14"/>
      <c r="O17" s="16"/>
      <c r="P17" s="17" t="n">
        <f aca="false">M17+(0.05*N17)+(O17/240)</f>
        <v>0</v>
      </c>
      <c r="Q17" s="14"/>
      <c r="R17" s="14"/>
      <c r="S17" s="14"/>
      <c r="T17" s="14" t="n">
        <f aca="false">Q17+(R17*0.05)+(S17/240)</f>
        <v>0</v>
      </c>
      <c r="U17" s="14" t="n">
        <f aca="false">K17*P17</f>
        <v>0</v>
      </c>
      <c r="V17" s="18" t="n">
        <f aca="false">T17-U17</f>
        <v>0</v>
      </c>
      <c r="W17" s="19"/>
      <c r="X17" s="19"/>
    </row>
    <row r="18" customFormat="false" ht="16" hidden="false" customHeight="false" outlineLevel="0" collapsed="false">
      <c r="A18" s="8" t="s">
        <v>24</v>
      </c>
      <c r="B18" s="9" t="s">
        <v>25</v>
      </c>
      <c r="C18" s="9" t="s">
        <v>26</v>
      </c>
      <c r="D18" s="10" t="n">
        <v>1789</v>
      </c>
      <c r="E18" s="9" t="s">
        <v>27</v>
      </c>
      <c r="F18" s="9" t="s">
        <v>30</v>
      </c>
      <c r="G18" s="9" t="n">
        <v>12</v>
      </c>
      <c r="H18" s="12"/>
      <c r="I18" s="13"/>
      <c r="J18" s="13"/>
      <c r="K18" s="14"/>
      <c r="L18" s="15"/>
      <c r="M18" s="14"/>
      <c r="N18" s="14"/>
      <c r="O18" s="16"/>
      <c r="P18" s="17" t="n">
        <f aca="false">M18+(0.05*N18)+(O18/240)</f>
        <v>0</v>
      </c>
      <c r="Q18" s="14"/>
      <c r="R18" s="14"/>
      <c r="S18" s="14"/>
      <c r="T18" s="14" t="n">
        <f aca="false">Q18+(R18*0.05)+(S18/240)</f>
        <v>0</v>
      </c>
      <c r="U18" s="14" t="n">
        <f aca="false">K18*P18</f>
        <v>0</v>
      </c>
      <c r="V18" s="18" t="n">
        <f aca="false">T18-U18</f>
        <v>0</v>
      </c>
      <c r="W18" s="19"/>
      <c r="X18" s="19"/>
    </row>
    <row r="19" customFormat="false" ht="16" hidden="false" customHeight="false" outlineLevel="0" collapsed="false">
      <c r="A19" s="8" t="s">
        <v>24</v>
      </c>
      <c r="B19" s="9" t="s">
        <v>25</v>
      </c>
      <c r="C19" s="9" t="s">
        <v>26</v>
      </c>
      <c r="D19" s="10" t="n">
        <v>1789</v>
      </c>
      <c r="E19" s="9" t="s">
        <v>27</v>
      </c>
      <c r="F19" s="9" t="s">
        <v>30</v>
      </c>
      <c r="G19" s="9" t="n">
        <v>12</v>
      </c>
      <c r="H19" s="12"/>
      <c r="I19" s="13"/>
      <c r="J19" s="13"/>
      <c r="K19" s="14"/>
      <c r="L19" s="15"/>
      <c r="M19" s="14"/>
      <c r="N19" s="14"/>
      <c r="O19" s="16"/>
      <c r="P19" s="17" t="n">
        <f aca="false">M19+(0.05*N19)+(O19/240)</f>
        <v>0</v>
      </c>
      <c r="Q19" s="14"/>
      <c r="R19" s="14"/>
      <c r="S19" s="14"/>
      <c r="T19" s="14" t="n">
        <f aca="false">Q19+(R19*0.05)+(S19/240)</f>
        <v>0</v>
      </c>
      <c r="U19" s="14" t="n">
        <f aca="false">K19*P19</f>
        <v>0</v>
      </c>
      <c r="V19" s="18" t="n">
        <f aca="false">T19-U19</f>
        <v>0</v>
      </c>
      <c r="W19" s="19"/>
      <c r="X19" s="19"/>
    </row>
    <row r="20" customFormat="false" ht="16" hidden="false" customHeight="false" outlineLevel="0" collapsed="false">
      <c r="A20" s="8" t="s">
        <v>24</v>
      </c>
      <c r="B20" s="9" t="s">
        <v>25</v>
      </c>
      <c r="C20" s="9" t="s">
        <v>26</v>
      </c>
      <c r="D20" s="10" t="n">
        <v>1789</v>
      </c>
      <c r="E20" s="9" t="s">
        <v>27</v>
      </c>
      <c r="F20" s="9" t="s">
        <v>30</v>
      </c>
      <c r="G20" s="9" t="n">
        <v>12</v>
      </c>
      <c r="H20" s="12"/>
      <c r="I20" s="13"/>
      <c r="J20" s="13"/>
      <c r="K20" s="14"/>
      <c r="L20" s="15"/>
      <c r="M20" s="14"/>
      <c r="N20" s="14"/>
      <c r="O20" s="16"/>
      <c r="P20" s="17" t="n">
        <f aca="false">M20+(0.05*N20)+(O20/240)</f>
        <v>0</v>
      </c>
      <c r="Q20" s="14"/>
      <c r="R20" s="14"/>
      <c r="S20" s="14"/>
      <c r="T20" s="14" t="n">
        <f aca="false">Q20+(R20*0.05)+(S20/240)</f>
        <v>0</v>
      </c>
      <c r="U20" s="14" t="n">
        <f aca="false">K20*P20</f>
        <v>0</v>
      </c>
      <c r="V20" s="18" t="n">
        <f aca="false">T20-U20</f>
        <v>0</v>
      </c>
      <c r="W20" s="19"/>
      <c r="X20" s="19"/>
    </row>
    <row r="21" customFormat="false" ht="16" hidden="false" customHeight="false" outlineLevel="0" collapsed="false">
      <c r="A21" s="8" t="s">
        <v>24</v>
      </c>
      <c r="B21" s="9" t="s">
        <v>25</v>
      </c>
      <c r="C21" s="9" t="s">
        <v>26</v>
      </c>
      <c r="D21" s="10" t="n">
        <v>1789</v>
      </c>
      <c r="E21" s="9" t="s">
        <v>27</v>
      </c>
      <c r="F21" s="9" t="s">
        <v>30</v>
      </c>
      <c r="G21" s="9" t="n">
        <v>12</v>
      </c>
      <c r="H21" s="12"/>
      <c r="I21" s="13"/>
      <c r="J21" s="13"/>
      <c r="K21" s="14"/>
      <c r="L21" s="15"/>
      <c r="M21" s="14"/>
      <c r="N21" s="14"/>
      <c r="O21" s="16"/>
      <c r="P21" s="17" t="n">
        <f aca="false">M21+(0.05*N21)+(O21/240)</f>
        <v>0</v>
      </c>
      <c r="Q21" s="14"/>
      <c r="R21" s="14"/>
      <c r="S21" s="14"/>
      <c r="T21" s="14" t="n">
        <f aca="false">Q21+(R21*0.05)+(S21/240)</f>
        <v>0</v>
      </c>
      <c r="U21" s="14" t="n">
        <f aca="false">K21*P21</f>
        <v>0</v>
      </c>
      <c r="V21" s="18" t="n">
        <f aca="false">T21-U21</f>
        <v>0</v>
      </c>
      <c r="W21" s="19"/>
      <c r="X21" s="19"/>
    </row>
    <row r="22" customFormat="false" ht="16" hidden="false" customHeight="false" outlineLevel="0" collapsed="false">
      <c r="A22" s="8" t="s">
        <v>24</v>
      </c>
      <c r="B22" s="9" t="s">
        <v>25</v>
      </c>
      <c r="C22" s="9" t="s">
        <v>26</v>
      </c>
      <c r="D22" s="10" t="n">
        <v>1789</v>
      </c>
      <c r="E22" s="9" t="s">
        <v>27</v>
      </c>
      <c r="F22" s="9" t="s">
        <v>30</v>
      </c>
      <c r="G22" s="9" t="n">
        <v>12</v>
      </c>
      <c r="H22" s="12"/>
      <c r="I22" s="13"/>
      <c r="J22" s="13"/>
      <c r="K22" s="14"/>
      <c r="L22" s="15"/>
      <c r="M22" s="14"/>
      <c r="N22" s="14"/>
      <c r="O22" s="16"/>
      <c r="P22" s="17" t="n">
        <f aca="false">M22+(0.05*N22)+(O22/240)</f>
        <v>0</v>
      </c>
      <c r="Q22" s="14"/>
      <c r="R22" s="14"/>
      <c r="S22" s="14"/>
      <c r="T22" s="14" t="n">
        <f aca="false">Q22+(R22*0.05)+(S22/240)</f>
        <v>0</v>
      </c>
      <c r="U22" s="14" t="n">
        <f aca="false">K22*P22</f>
        <v>0</v>
      </c>
      <c r="V22" s="18" t="n">
        <f aca="false">T22-U22</f>
        <v>0</v>
      </c>
      <c r="W22" s="19"/>
      <c r="X22" s="19"/>
    </row>
    <row r="23" customFormat="false" ht="16" hidden="false" customHeight="false" outlineLevel="0" collapsed="false">
      <c r="A23" s="8" t="s">
        <v>24</v>
      </c>
      <c r="B23" s="9" t="s">
        <v>25</v>
      </c>
      <c r="C23" s="9" t="s">
        <v>26</v>
      </c>
      <c r="D23" s="10" t="n">
        <v>1789</v>
      </c>
      <c r="E23" s="9" t="s">
        <v>27</v>
      </c>
      <c r="F23" s="9" t="s">
        <v>30</v>
      </c>
      <c r="G23" s="9" t="n">
        <v>12</v>
      </c>
      <c r="H23" s="12"/>
      <c r="I23" s="13"/>
      <c r="J23" s="13"/>
      <c r="K23" s="14"/>
      <c r="L23" s="15"/>
      <c r="M23" s="14"/>
      <c r="N23" s="14"/>
      <c r="O23" s="16"/>
      <c r="P23" s="17" t="n">
        <f aca="false">M23+(0.05*N23)+(O23/240)</f>
        <v>0</v>
      </c>
      <c r="Q23" s="14"/>
      <c r="R23" s="14"/>
      <c r="S23" s="14"/>
      <c r="T23" s="14" t="n">
        <f aca="false">Q23+(R23*0.05)+(S23/240)</f>
        <v>0</v>
      </c>
      <c r="U23" s="14" t="n">
        <f aca="false">K23*P23</f>
        <v>0</v>
      </c>
      <c r="V23" s="18" t="n">
        <f aca="false">T23-U23</f>
        <v>0</v>
      </c>
      <c r="W23" s="19"/>
      <c r="X23" s="19"/>
    </row>
    <row r="24" customFormat="false" ht="16" hidden="false" customHeight="false" outlineLevel="0" collapsed="false">
      <c r="A24" s="8" t="s">
        <v>24</v>
      </c>
      <c r="B24" s="9" t="s">
        <v>25</v>
      </c>
      <c r="C24" s="9" t="s">
        <v>26</v>
      </c>
      <c r="D24" s="10" t="n">
        <v>1789</v>
      </c>
      <c r="E24" s="9" t="s">
        <v>27</v>
      </c>
      <c r="F24" s="9" t="s">
        <v>30</v>
      </c>
      <c r="G24" s="9" t="n">
        <v>12</v>
      </c>
      <c r="H24" s="12"/>
      <c r="I24" s="13"/>
      <c r="J24" s="13"/>
      <c r="K24" s="14"/>
      <c r="L24" s="15"/>
      <c r="M24" s="14"/>
      <c r="N24" s="14"/>
      <c r="O24" s="16"/>
      <c r="P24" s="17" t="n">
        <f aca="false">M24+(0.05*N24)+(O24/240)</f>
        <v>0</v>
      </c>
      <c r="Q24" s="14"/>
      <c r="R24" s="14"/>
      <c r="S24" s="14"/>
      <c r="T24" s="14" t="n">
        <f aca="false">Q24+(R24*0.05)+(S24/240)</f>
        <v>0</v>
      </c>
      <c r="U24" s="14" t="n">
        <f aca="false">K24*P24</f>
        <v>0</v>
      </c>
      <c r="V24" s="18" t="n">
        <f aca="false">T24-U24</f>
        <v>0</v>
      </c>
      <c r="W24" s="19"/>
      <c r="X24" s="19"/>
    </row>
    <row r="25" customFormat="false" ht="16" hidden="false" customHeight="false" outlineLevel="0" collapsed="false">
      <c r="A25" s="8" t="s">
        <v>24</v>
      </c>
      <c r="B25" s="9" t="s">
        <v>25</v>
      </c>
      <c r="C25" s="9" t="s">
        <v>26</v>
      </c>
      <c r="D25" s="10" t="n">
        <v>1789</v>
      </c>
      <c r="E25" s="9" t="s">
        <v>27</v>
      </c>
      <c r="F25" s="9" t="s">
        <v>30</v>
      </c>
      <c r="G25" s="9" t="n">
        <v>12</v>
      </c>
      <c r="H25" s="12"/>
      <c r="I25" s="13"/>
      <c r="J25" s="13"/>
      <c r="K25" s="14"/>
      <c r="L25" s="15"/>
      <c r="M25" s="14"/>
      <c r="N25" s="14"/>
      <c r="O25" s="16"/>
      <c r="P25" s="17" t="n">
        <f aca="false">M25+(0.05*N25)+(O25/240)</f>
        <v>0</v>
      </c>
      <c r="Q25" s="14"/>
      <c r="R25" s="14"/>
      <c r="S25" s="14"/>
      <c r="T25" s="14" t="n">
        <f aca="false">Q25+(R25*0.05)+(S25/240)</f>
        <v>0</v>
      </c>
      <c r="U25" s="14" t="n">
        <f aca="false">K25*P25</f>
        <v>0</v>
      </c>
      <c r="V25" s="18" t="n">
        <f aca="false">T25-U25</f>
        <v>0</v>
      </c>
      <c r="W25" s="19"/>
      <c r="X25" s="19"/>
    </row>
    <row r="26" customFormat="false" ht="16" hidden="false" customHeight="false" outlineLevel="0" collapsed="false">
      <c r="A26" s="8" t="s">
        <v>24</v>
      </c>
      <c r="B26" s="9" t="s">
        <v>25</v>
      </c>
      <c r="C26" s="9" t="s">
        <v>26</v>
      </c>
      <c r="D26" s="10" t="n">
        <v>1789</v>
      </c>
      <c r="E26" s="9" t="s">
        <v>27</v>
      </c>
      <c r="F26" s="9" t="s">
        <v>30</v>
      </c>
      <c r="G26" s="9" t="n">
        <v>12</v>
      </c>
      <c r="H26" s="12"/>
      <c r="I26" s="13"/>
      <c r="J26" s="13"/>
      <c r="K26" s="14"/>
      <c r="L26" s="15"/>
      <c r="M26" s="14"/>
      <c r="N26" s="14"/>
      <c r="O26" s="16"/>
      <c r="P26" s="17" t="n">
        <f aca="false">M26+(0.05*N26)+(O26/240)</f>
        <v>0</v>
      </c>
      <c r="Q26" s="14"/>
      <c r="R26" s="14"/>
      <c r="S26" s="14"/>
      <c r="T26" s="14" t="n">
        <f aca="false">Q26+(R26*0.05)+(S26/240)</f>
        <v>0</v>
      </c>
      <c r="U26" s="14" t="n">
        <f aca="false">K26*P26</f>
        <v>0</v>
      </c>
      <c r="V26" s="18" t="n">
        <f aca="false">T26-U26</f>
        <v>0</v>
      </c>
      <c r="W26" s="19"/>
      <c r="X26" s="19"/>
    </row>
    <row r="27" customFormat="false" ht="16" hidden="false" customHeight="false" outlineLevel="0" collapsed="false">
      <c r="A27" s="8" t="s">
        <v>24</v>
      </c>
      <c r="B27" s="9" t="s">
        <v>25</v>
      </c>
      <c r="C27" s="9" t="s">
        <v>26</v>
      </c>
      <c r="D27" s="10" t="n">
        <v>1789</v>
      </c>
      <c r="E27" s="9" t="s">
        <v>27</v>
      </c>
      <c r="F27" s="9" t="s">
        <v>30</v>
      </c>
      <c r="G27" s="9" t="n">
        <v>12</v>
      </c>
      <c r="H27" s="12"/>
      <c r="I27" s="13"/>
      <c r="J27" s="13"/>
      <c r="K27" s="14"/>
      <c r="L27" s="15"/>
      <c r="M27" s="14"/>
      <c r="N27" s="14"/>
      <c r="O27" s="16"/>
      <c r="P27" s="17" t="n">
        <f aca="false">M27+(0.05*N27)+(O27/240)</f>
        <v>0</v>
      </c>
      <c r="Q27" s="14"/>
      <c r="R27" s="14"/>
      <c r="S27" s="14"/>
      <c r="T27" s="14" t="n">
        <f aca="false">Q27+(R27*0.05)+(S27/240)</f>
        <v>0</v>
      </c>
      <c r="U27" s="14" t="n">
        <f aca="false">K27*P27</f>
        <v>0</v>
      </c>
      <c r="V27" s="18" t="n">
        <f aca="false">T27-U27</f>
        <v>0</v>
      </c>
      <c r="W27" s="19"/>
      <c r="X27" s="19"/>
    </row>
    <row r="28" customFormat="false" ht="16" hidden="false" customHeight="false" outlineLevel="0" collapsed="false">
      <c r="A28" s="8" t="s">
        <v>24</v>
      </c>
      <c r="B28" s="9" t="s">
        <v>25</v>
      </c>
      <c r="C28" s="9" t="s">
        <v>26</v>
      </c>
      <c r="D28" s="10" t="n">
        <v>1789</v>
      </c>
      <c r="E28" s="9" t="s">
        <v>27</v>
      </c>
      <c r="F28" s="9" t="s">
        <v>30</v>
      </c>
      <c r="G28" s="9" t="n">
        <v>12</v>
      </c>
      <c r="H28" s="12"/>
      <c r="I28" s="13"/>
      <c r="J28" s="13"/>
      <c r="K28" s="14"/>
      <c r="L28" s="15"/>
      <c r="M28" s="14"/>
      <c r="N28" s="14"/>
      <c r="O28" s="16"/>
      <c r="P28" s="17" t="n">
        <f aca="false">M28+(0.05*N28)+(O28/240)</f>
        <v>0</v>
      </c>
      <c r="Q28" s="14"/>
      <c r="R28" s="14"/>
      <c r="S28" s="14"/>
      <c r="T28" s="14" t="n">
        <f aca="false">Q28+(R28*0.05)+(S28/240)</f>
        <v>0</v>
      </c>
      <c r="U28" s="14" t="n">
        <f aca="false">K28*P28</f>
        <v>0</v>
      </c>
      <c r="V28" s="18" t="n">
        <f aca="false">T28-U28</f>
        <v>0</v>
      </c>
      <c r="W28" s="19"/>
      <c r="X28" s="19"/>
    </row>
    <row r="29" customFormat="false" ht="16" hidden="false" customHeight="false" outlineLevel="0" collapsed="false">
      <c r="A29" s="8" t="s">
        <v>24</v>
      </c>
      <c r="B29" s="9" t="s">
        <v>25</v>
      </c>
      <c r="C29" s="9" t="s">
        <v>26</v>
      </c>
      <c r="D29" s="10" t="n">
        <v>1789</v>
      </c>
      <c r="E29" s="9" t="s">
        <v>27</v>
      </c>
      <c r="F29" s="9" t="s">
        <v>30</v>
      </c>
      <c r="G29" s="9" t="n">
        <v>12</v>
      </c>
      <c r="H29" s="12"/>
      <c r="I29" s="13"/>
      <c r="J29" s="13"/>
      <c r="K29" s="14"/>
      <c r="L29" s="15"/>
      <c r="M29" s="14"/>
      <c r="N29" s="14"/>
      <c r="O29" s="16"/>
      <c r="P29" s="17" t="n">
        <f aca="false">M29+(0.05*N29)+(O29/240)</f>
        <v>0</v>
      </c>
      <c r="Q29" s="14"/>
      <c r="R29" s="14"/>
      <c r="S29" s="14"/>
      <c r="T29" s="14" t="n">
        <f aca="false">Q29+(R29*0.05)+(S29/240)</f>
        <v>0</v>
      </c>
      <c r="U29" s="14" t="n">
        <f aca="false">K29*P29</f>
        <v>0</v>
      </c>
      <c r="V29" s="18" t="n">
        <f aca="false">T29-U29</f>
        <v>0</v>
      </c>
      <c r="W29" s="19"/>
      <c r="X29" s="19"/>
    </row>
    <row r="30" customFormat="false" ht="16" hidden="false" customHeight="false" outlineLevel="0" collapsed="false">
      <c r="A30" s="8" t="s">
        <v>24</v>
      </c>
      <c r="B30" s="9" t="s">
        <v>25</v>
      </c>
      <c r="C30" s="9" t="s">
        <v>26</v>
      </c>
      <c r="D30" s="10" t="n">
        <v>1789</v>
      </c>
      <c r="E30" s="9" t="s">
        <v>27</v>
      </c>
      <c r="F30" s="9" t="s">
        <v>30</v>
      </c>
      <c r="G30" s="9" t="n">
        <v>12</v>
      </c>
      <c r="H30" s="12"/>
      <c r="I30" s="13"/>
      <c r="J30" s="13"/>
      <c r="K30" s="14"/>
      <c r="L30" s="15"/>
      <c r="M30" s="14"/>
      <c r="N30" s="14"/>
      <c r="O30" s="16"/>
      <c r="P30" s="17" t="n">
        <f aca="false">M30+(0.05*N30)+(O30/240)</f>
        <v>0</v>
      </c>
      <c r="Q30" s="14"/>
      <c r="R30" s="14"/>
      <c r="S30" s="14"/>
      <c r="T30" s="14" t="n">
        <f aca="false">Q30+(R30*0.05)+(S30/240)</f>
        <v>0</v>
      </c>
      <c r="U30" s="14" t="n">
        <f aca="false">K30*P30</f>
        <v>0</v>
      </c>
      <c r="V30" s="18" t="n">
        <f aca="false">T30-U30</f>
        <v>0</v>
      </c>
      <c r="W30" s="19"/>
      <c r="X30" s="19"/>
    </row>
    <row r="31" customFormat="false" ht="16" hidden="false" customHeight="false" outlineLevel="0" collapsed="false">
      <c r="A31" s="8" t="s">
        <v>24</v>
      </c>
      <c r="B31" s="9" t="s">
        <v>25</v>
      </c>
      <c r="C31" s="9" t="s">
        <v>26</v>
      </c>
      <c r="D31" s="10" t="n">
        <v>1789</v>
      </c>
      <c r="E31" s="9" t="s">
        <v>27</v>
      </c>
      <c r="F31" s="9" t="s">
        <v>30</v>
      </c>
      <c r="G31" s="9" t="n">
        <v>12</v>
      </c>
      <c r="H31" s="12"/>
      <c r="I31" s="13"/>
      <c r="J31" s="13"/>
      <c r="K31" s="14"/>
      <c r="L31" s="15"/>
      <c r="M31" s="14"/>
      <c r="N31" s="14"/>
      <c r="O31" s="16"/>
      <c r="P31" s="17" t="n">
        <f aca="false">M31+(0.05*N31)+(O31/240)</f>
        <v>0</v>
      </c>
      <c r="Q31" s="14"/>
      <c r="R31" s="14"/>
      <c r="S31" s="14"/>
      <c r="T31" s="14" t="n">
        <f aca="false">Q31+(R31*0.05)+(S31/240)</f>
        <v>0</v>
      </c>
      <c r="U31" s="14" t="n">
        <f aca="false">K31*P31</f>
        <v>0</v>
      </c>
      <c r="V31" s="18" t="n">
        <f aca="false">T31-U31</f>
        <v>0</v>
      </c>
      <c r="W31" s="19"/>
      <c r="X31" s="19"/>
    </row>
    <row r="32" customFormat="false" ht="16" hidden="false" customHeight="false" outlineLevel="0" collapsed="false">
      <c r="A32" s="8" t="s">
        <v>24</v>
      </c>
      <c r="B32" s="9" t="s">
        <v>25</v>
      </c>
      <c r="C32" s="9" t="s">
        <v>26</v>
      </c>
      <c r="D32" s="10" t="n">
        <v>1789</v>
      </c>
      <c r="E32" s="9" t="s">
        <v>27</v>
      </c>
      <c r="F32" s="9" t="s">
        <v>30</v>
      </c>
      <c r="G32" s="9" t="n">
        <v>12</v>
      </c>
      <c r="H32" s="12"/>
      <c r="I32" s="13"/>
      <c r="J32" s="13"/>
      <c r="K32" s="14"/>
      <c r="L32" s="15"/>
      <c r="M32" s="14"/>
      <c r="N32" s="14"/>
      <c r="O32" s="16"/>
      <c r="P32" s="17" t="n">
        <f aca="false">M32+(0.05*N32)+(O32/240)</f>
        <v>0</v>
      </c>
      <c r="Q32" s="14"/>
      <c r="R32" s="14"/>
      <c r="S32" s="14"/>
      <c r="T32" s="14" t="n">
        <f aca="false">Q32+(R32*0.05)+(S32/240)</f>
        <v>0</v>
      </c>
      <c r="U32" s="14" t="n">
        <f aca="false">K32*P32</f>
        <v>0</v>
      </c>
      <c r="V32" s="18" t="n">
        <f aca="false">T32-U32</f>
        <v>0</v>
      </c>
      <c r="W32" s="19"/>
      <c r="X32" s="19"/>
    </row>
    <row r="33" customFormat="false" ht="16" hidden="false" customHeight="false" outlineLevel="0" collapsed="false">
      <c r="A33" s="8" t="s">
        <v>24</v>
      </c>
      <c r="B33" s="9" t="s">
        <v>25</v>
      </c>
      <c r="C33" s="9" t="s">
        <v>26</v>
      </c>
      <c r="D33" s="10" t="n">
        <v>1789</v>
      </c>
      <c r="E33" s="9" t="s">
        <v>27</v>
      </c>
      <c r="F33" s="9" t="s">
        <v>30</v>
      </c>
      <c r="G33" s="9" t="n">
        <v>12</v>
      </c>
      <c r="H33" s="12"/>
      <c r="I33" s="13"/>
      <c r="J33" s="13"/>
      <c r="K33" s="14"/>
      <c r="L33" s="15"/>
      <c r="M33" s="14"/>
      <c r="N33" s="14"/>
      <c r="O33" s="16"/>
      <c r="P33" s="17" t="n">
        <f aca="false">M33+(0.05*N33)+(O33/240)</f>
        <v>0</v>
      </c>
      <c r="Q33" s="14"/>
      <c r="R33" s="14"/>
      <c r="S33" s="14"/>
      <c r="T33" s="14" t="n">
        <f aca="false">Q33+(R33*0.05)+(S33/240)</f>
        <v>0</v>
      </c>
      <c r="U33" s="14" t="n">
        <f aca="false">K33*P33</f>
        <v>0</v>
      </c>
      <c r="V33" s="18" t="n">
        <f aca="false">T33-U33</f>
        <v>0</v>
      </c>
      <c r="W33" s="19"/>
      <c r="X33" s="19"/>
    </row>
    <row r="34" customFormat="false" ht="16" hidden="false" customHeight="false" outlineLevel="0" collapsed="false">
      <c r="A34" s="8" t="s">
        <v>24</v>
      </c>
      <c r="B34" s="9" t="s">
        <v>25</v>
      </c>
      <c r="C34" s="9" t="s">
        <v>26</v>
      </c>
      <c r="D34" s="10" t="n">
        <v>1789</v>
      </c>
      <c r="E34" s="9" t="s">
        <v>27</v>
      </c>
      <c r="F34" s="9" t="s">
        <v>30</v>
      </c>
      <c r="G34" s="9" t="n">
        <v>12</v>
      </c>
      <c r="H34" s="12"/>
      <c r="I34" s="13"/>
      <c r="J34" s="13"/>
      <c r="K34" s="14"/>
      <c r="L34" s="15"/>
      <c r="M34" s="14"/>
      <c r="N34" s="14"/>
      <c r="O34" s="16"/>
      <c r="P34" s="17" t="n">
        <f aca="false">M34+(0.05*N34)+(O34/240)</f>
        <v>0</v>
      </c>
      <c r="Q34" s="14"/>
      <c r="R34" s="14"/>
      <c r="S34" s="14"/>
      <c r="T34" s="14" t="n">
        <f aca="false">Q34+(R34*0.05)+(S34/240)</f>
        <v>0</v>
      </c>
      <c r="U34" s="14" t="n">
        <f aca="false">K34*P34</f>
        <v>0</v>
      </c>
      <c r="V34" s="18" t="n">
        <f aca="false">T34-U34</f>
        <v>0</v>
      </c>
      <c r="W34" s="19"/>
      <c r="X34" s="19"/>
    </row>
    <row r="35" customFormat="false" ht="16" hidden="false" customHeight="false" outlineLevel="0" collapsed="false">
      <c r="A35" s="8" t="s">
        <v>24</v>
      </c>
      <c r="B35" s="9" t="s">
        <v>25</v>
      </c>
      <c r="C35" s="9" t="s">
        <v>26</v>
      </c>
      <c r="D35" s="10" t="n">
        <v>1789</v>
      </c>
      <c r="E35" s="9" t="s">
        <v>27</v>
      </c>
      <c r="F35" s="9" t="s">
        <v>30</v>
      </c>
      <c r="G35" s="9" t="n">
        <v>12</v>
      </c>
      <c r="H35" s="12"/>
      <c r="I35" s="13"/>
      <c r="J35" s="13"/>
      <c r="K35" s="14"/>
      <c r="L35" s="15"/>
      <c r="M35" s="14"/>
      <c r="N35" s="14"/>
      <c r="O35" s="16"/>
      <c r="P35" s="17" t="n">
        <f aca="false">M35+(0.05*N35)+(O35/240)</f>
        <v>0</v>
      </c>
      <c r="Q35" s="14"/>
      <c r="R35" s="14"/>
      <c r="S35" s="14"/>
      <c r="T35" s="14" t="n">
        <f aca="false">Q35+(R35*0.05)+(S35/240)</f>
        <v>0</v>
      </c>
      <c r="U35" s="14" t="n">
        <f aca="false">K35*P35</f>
        <v>0</v>
      </c>
      <c r="V35" s="18" t="n">
        <f aca="false">T35-U35</f>
        <v>0</v>
      </c>
      <c r="W35" s="19"/>
      <c r="X35" s="19"/>
    </row>
    <row r="36" customFormat="false" ht="16" hidden="false" customHeight="false" outlineLevel="0" collapsed="false">
      <c r="A36" s="8" t="s">
        <v>24</v>
      </c>
      <c r="B36" s="9" t="s">
        <v>25</v>
      </c>
      <c r="C36" s="9" t="s">
        <v>26</v>
      </c>
      <c r="D36" s="10" t="n">
        <v>1789</v>
      </c>
      <c r="E36" s="9" t="s">
        <v>27</v>
      </c>
      <c r="F36" s="9" t="s">
        <v>30</v>
      </c>
      <c r="G36" s="9" t="n">
        <v>12</v>
      </c>
      <c r="H36" s="12"/>
      <c r="I36" s="13"/>
      <c r="J36" s="13"/>
      <c r="K36" s="14"/>
      <c r="L36" s="15"/>
      <c r="M36" s="14"/>
      <c r="N36" s="14"/>
      <c r="O36" s="16"/>
      <c r="P36" s="17" t="n">
        <f aca="false">M36+(0.05*N36)+(O36/240)</f>
        <v>0</v>
      </c>
      <c r="Q36" s="14"/>
      <c r="R36" s="14"/>
      <c r="S36" s="14"/>
      <c r="T36" s="14" t="n">
        <f aca="false">Q36+(R36*0.05)+(S36/240)</f>
        <v>0</v>
      </c>
      <c r="U36" s="14" t="n">
        <f aca="false">K36*P36</f>
        <v>0</v>
      </c>
      <c r="V36" s="18" t="n">
        <f aca="false">T36-U36</f>
        <v>0</v>
      </c>
      <c r="W36" s="19"/>
      <c r="X36" s="19"/>
    </row>
    <row r="37" customFormat="false" ht="16" hidden="false" customHeight="false" outlineLevel="0" collapsed="false">
      <c r="A37" s="8" t="s">
        <v>24</v>
      </c>
      <c r="B37" s="9" t="s">
        <v>25</v>
      </c>
      <c r="C37" s="9" t="s">
        <v>26</v>
      </c>
      <c r="D37" s="10" t="n">
        <v>1789</v>
      </c>
      <c r="E37" s="9" t="s">
        <v>27</v>
      </c>
      <c r="F37" s="9" t="s">
        <v>30</v>
      </c>
      <c r="G37" s="9" t="n">
        <v>12</v>
      </c>
      <c r="H37" s="12"/>
      <c r="I37" s="13"/>
      <c r="J37" s="13"/>
      <c r="K37" s="14"/>
      <c r="L37" s="15"/>
      <c r="M37" s="14"/>
      <c r="N37" s="14"/>
      <c r="O37" s="16"/>
      <c r="P37" s="17" t="n">
        <f aca="false">M37+(0.05*N37)+(O37/240)</f>
        <v>0</v>
      </c>
      <c r="Q37" s="14"/>
      <c r="R37" s="14"/>
      <c r="S37" s="14"/>
      <c r="T37" s="14" t="n">
        <f aca="false">Q37+(R37*0.05)+(S37/240)</f>
        <v>0</v>
      </c>
      <c r="U37" s="14" t="n">
        <f aca="false">K37*P37</f>
        <v>0</v>
      </c>
      <c r="V37" s="18" t="n">
        <f aca="false">T37-U37</f>
        <v>0</v>
      </c>
      <c r="W37" s="19"/>
      <c r="X37" s="19"/>
    </row>
    <row r="38" customFormat="false" ht="16" hidden="false" customHeight="false" outlineLevel="0" collapsed="false">
      <c r="A38" s="8" t="s">
        <v>24</v>
      </c>
      <c r="B38" s="9" t="s">
        <v>25</v>
      </c>
      <c r="C38" s="9" t="s">
        <v>26</v>
      </c>
      <c r="D38" s="10" t="n">
        <v>1789</v>
      </c>
      <c r="E38" s="9" t="s">
        <v>27</v>
      </c>
      <c r="F38" s="9" t="s">
        <v>30</v>
      </c>
      <c r="G38" s="9" t="n">
        <v>12</v>
      </c>
      <c r="H38" s="12"/>
      <c r="I38" s="13"/>
      <c r="J38" s="13"/>
      <c r="K38" s="14"/>
      <c r="L38" s="15"/>
      <c r="M38" s="14"/>
      <c r="N38" s="14"/>
      <c r="O38" s="16"/>
      <c r="P38" s="17" t="n">
        <f aca="false">M38+(0.05*N38)+(O38/240)</f>
        <v>0</v>
      </c>
      <c r="Q38" s="14"/>
      <c r="R38" s="14"/>
      <c r="S38" s="14"/>
      <c r="T38" s="14" t="n">
        <f aca="false">Q38+(R38*0.05)+(S38/240)</f>
        <v>0</v>
      </c>
      <c r="U38" s="14" t="n">
        <f aca="false">K38*P38</f>
        <v>0</v>
      </c>
      <c r="V38" s="18" t="n">
        <f aca="false">T38-U38</f>
        <v>0</v>
      </c>
      <c r="W38" s="19"/>
      <c r="X38" s="19"/>
    </row>
    <row r="39" customFormat="false" ht="16" hidden="false" customHeight="false" outlineLevel="0" collapsed="false">
      <c r="A39" s="8" t="s">
        <v>24</v>
      </c>
      <c r="B39" s="9" t="s">
        <v>25</v>
      </c>
      <c r="C39" s="9" t="s">
        <v>26</v>
      </c>
      <c r="D39" s="10" t="n">
        <v>1789</v>
      </c>
      <c r="E39" s="9" t="s">
        <v>27</v>
      </c>
      <c r="F39" s="9" t="s">
        <v>30</v>
      </c>
      <c r="G39" s="9" t="n">
        <v>12</v>
      </c>
      <c r="H39" s="12"/>
      <c r="I39" s="13"/>
      <c r="J39" s="13"/>
      <c r="K39" s="14"/>
      <c r="L39" s="15"/>
      <c r="M39" s="14"/>
      <c r="N39" s="14"/>
      <c r="O39" s="16"/>
      <c r="P39" s="17" t="n">
        <f aca="false">M39+(0.05*N39)+(O39/240)</f>
        <v>0</v>
      </c>
      <c r="Q39" s="14"/>
      <c r="R39" s="14"/>
      <c r="S39" s="14"/>
      <c r="T39" s="14" t="n">
        <f aca="false">Q39+(R39*0.05)+(S39/240)</f>
        <v>0</v>
      </c>
      <c r="U39" s="14" t="n">
        <f aca="false">K39*P39</f>
        <v>0</v>
      </c>
      <c r="V39" s="18" t="n">
        <f aca="false">T39-U39</f>
        <v>0</v>
      </c>
      <c r="W39" s="19"/>
      <c r="X39" s="19"/>
    </row>
    <row r="40" customFormat="false" ht="16" hidden="false" customHeight="false" outlineLevel="0" collapsed="false">
      <c r="A40" s="8" t="s">
        <v>24</v>
      </c>
      <c r="B40" s="9" t="s">
        <v>25</v>
      </c>
      <c r="C40" s="9" t="s">
        <v>26</v>
      </c>
      <c r="D40" s="10" t="n">
        <v>1789</v>
      </c>
      <c r="E40" s="9" t="s">
        <v>27</v>
      </c>
      <c r="F40" s="9" t="s">
        <v>30</v>
      </c>
      <c r="G40" s="9" t="n">
        <v>12</v>
      </c>
      <c r="H40" s="12"/>
      <c r="I40" s="13"/>
      <c r="J40" s="13"/>
      <c r="K40" s="14"/>
      <c r="L40" s="15"/>
      <c r="M40" s="14"/>
      <c r="N40" s="14"/>
      <c r="O40" s="16"/>
      <c r="P40" s="17" t="n">
        <f aca="false">M40+(0.05*N40)+(O40/240)</f>
        <v>0</v>
      </c>
      <c r="Q40" s="14"/>
      <c r="R40" s="14"/>
      <c r="S40" s="14"/>
      <c r="T40" s="14" t="n">
        <f aca="false">Q40+(R40*0.05)+(S40/240)</f>
        <v>0</v>
      </c>
      <c r="U40" s="14" t="n">
        <f aca="false">K40*P40</f>
        <v>0</v>
      </c>
      <c r="V40" s="18" t="n">
        <f aca="false">T40-U40</f>
        <v>0</v>
      </c>
      <c r="W40" s="19"/>
      <c r="X40" s="19"/>
    </row>
    <row r="41" customFormat="false" ht="16" hidden="false" customHeight="false" outlineLevel="0" collapsed="false">
      <c r="A41" s="8" t="s">
        <v>24</v>
      </c>
      <c r="B41" s="9" t="s">
        <v>25</v>
      </c>
      <c r="C41" s="9" t="s">
        <v>26</v>
      </c>
      <c r="D41" s="10" t="n">
        <v>1789</v>
      </c>
      <c r="E41" s="9" t="s">
        <v>27</v>
      </c>
      <c r="F41" s="9" t="s">
        <v>30</v>
      </c>
      <c r="G41" s="9" t="n">
        <v>12</v>
      </c>
      <c r="H41" s="12"/>
      <c r="I41" s="13"/>
      <c r="J41" s="13"/>
      <c r="K41" s="14"/>
      <c r="L41" s="15"/>
      <c r="M41" s="14"/>
      <c r="N41" s="14"/>
      <c r="O41" s="16"/>
      <c r="P41" s="17" t="n">
        <f aca="false">M41+(0.05*N41)+(O41/240)</f>
        <v>0</v>
      </c>
      <c r="Q41" s="14"/>
      <c r="R41" s="14"/>
      <c r="S41" s="14"/>
      <c r="T41" s="14" t="n">
        <f aca="false">Q41+(R41*0.05)+(S41/240)</f>
        <v>0</v>
      </c>
      <c r="U41" s="14" t="n">
        <f aca="false">K41*P41</f>
        <v>0</v>
      </c>
      <c r="V41" s="18" t="n">
        <f aca="false">T41-U41</f>
        <v>0</v>
      </c>
      <c r="W41" s="19"/>
      <c r="X41" s="19"/>
    </row>
    <row r="42" customFormat="false" ht="16" hidden="false" customHeight="false" outlineLevel="0" collapsed="false">
      <c r="A42" s="8" t="s">
        <v>24</v>
      </c>
      <c r="B42" s="9" t="s">
        <v>25</v>
      </c>
      <c r="C42" s="9" t="s">
        <v>26</v>
      </c>
      <c r="D42" s="10" t="n">
        <v>1789</v>
      </c>
      <c r="E42" s="9" t="s">
        <v>27</v>
      </c>
      <c r="F42" s="9" t="s">
        <v>30</v>
      </c>
      <c r="G42" s="9" t="n">
        <v>12</v>
      </c>
      <c r="H42" s="12"/>
      <c r="I42" s="13"/>
      <c r="J42" s="13"/>
      <c r="K42" s="14"/>
      <c r="L42" s="15"/>
      <c r="M42" s="14"/>
      <c r="N42" s="14"/>
      <c r="O42" s="16"/>
      <c r="P42" s="17" t="n">
        <f aca="false">M42+(0.05*N42)+(O42/240)</f>
        <v>0</v>
      </c>
      <c r="Q42" s="14"/>
      <c r="R42" s="14"/>
      <c r="S42" s="14"/>
      <c r="T42" s="14" t="n">
        <f aca="false">Q42+(R42*0.05)+(S42/240)</f>
        <v>0</v>
      </c>
      <c r="U42" s="14" t="n">
        <f aca="false">K42*P42</f>
        <v>0</v>
      </c>
      <c r="V42" s="18" t="n">
        <f aca="false">T42-U42</f>
        <v>0</v>
      </c>
      <c r="W42" s="19"/>
      <c r="X42" s="19"/>
    </row>
    <row r="43" customFormat="false" ht="16" hidden="false" customHeight="false" outlineLevel="0" collapsed="false">
      <c r="A43" s="8" t="s">
        <v>24</v>
      </c>
      <c r="B43" s="9" t="s">
        <v>25</v>
      </c>
      <c r="C43" s="9" t="s">
        <v>26</v>
      </c>
      <c r="D43" s="10" t="n">
        <v>1789</v>
      </c>
      <c r="E43" s="9" t="s">
        <v>27</v>
      </c>
      <c r="F43" s="9" t="s">
        <v>30</v>
      </c>
      <c r="G43" s="9" t="n">
        <v>12</v>
      </c>
      <c r="H43" s="12"/>
      <c r="I43" s="13"/>
      <c r="J43" s="13"/>
      <c r="K43" s="14"/>
      <c r="L43" s="15"/>
      <c r="M43" s="14"/>
      <c r="N43" s="14"/>
      <c r="O43" s="16"/>
      <c r="P43" s="17" t="n">
        <f aca="false">M43+(0.05*N43)+(O43/240)</f>
        <v>0</v>
      </c>
      <c r="Q43" s="14"/>
      <c r="R43" s="14"/>
      <c r="S43" s="14"/>
      <c r="T43" s="14" t="n">
        <f aca="false">Q43+(R43*0.05)+(S43/240)</f>
        <v>0</v>
      </c>
      <c r="U43" s="14" t="n">
        <f aca="false">K43*P43</f>
        <v>0</v>
      </c>
      <c r="V43" s="18" t="n">
        <f aca="false">T43-U43</f>
        <v>0</v>
      </c>
      <c r="W43" s="19"/>
      <c r="X43" s="19"/>
    </row>
    <row r="44" customFormat="false" ht="16" hidden="false" customHeight="false" outlineLevel="0" collapsed="false">
      <c r="A44" s="8" t="s">
        <v>24</v>
      </c>
      <c r="B44" s="9" t="s">
        <v>25</v>
      </c>
      <c r="C44" s="9" t="s">
        <v>26</v>
      </c>
      <c r="D44" s="10" t="n">
        <v>1789</v>
      </c>
      <c r="E44" s="9" t="s">
        <v>27</v>
      </c>
      <c r="F44" s="9" t="s">
        <v>30</v>
      </c>
      <c r="G44" s="9" t="n">
        <v>12</v>
      </c>
      <c r="H44" s="12"/>
      <c r="I44" s="13"/>
      <c r="J44" s="13"/>
      <c r="K44" s="14"/>
      <c r="L44" s="15"/>
      <c r="M44" s="14"/>
      <c r="N44" s="14"/>
      <c r="O44" s="16"/>
      <c r="P44" s="17" t="n">
        <f aca="false">M44+(0.05*N44)+(O44/240)</f>
        <v>0</v>
      </c>
      <c r="Q44" s="14"/>
      <c r="R44" s="14"/>
      <c r="S44" s="14"/>
      <c r="T44" s="14" t="n">
        <f aca="false">Q44+(R44*0.05)+(S44/240)</f>
        <v>0</v>
      </c>
      <c r="U44" s="14" t="n">
        <f aca="false">K44*P44</f>
        <v>0</v>
      </c>
      <c r="V44" s="18" t="n">
        <f aca="false">T44-U44</f>
        <v>0</v>
      </c>
      <c r="W44" s="19"/>
      <c r="X44" s="19"/>
    </row>
    <row r="45" customFormat="false" ht="16" hidden="false" customHeight="false" outlineLevel="0" collapsed="false">
      <c r="A45" s="8" t="s">
        <v>24</v>
      </c>
      <c r="B45" s="9" t="s">
        <v>25</v>
      </c>
      <c r="C45" s="9" t="s">
        <v>26</v>
      </c>
      <c r="D45" s="10" t="n">
        <v>1789</v>
      </c>
      <c r="E45" s="9" t="s">
        <v>27</v>
      </c>
      <c r="F45" s="9" t="s">
        <v>30</v>
      </c>
      <c r="G45" s="9" t="n">
        <v>12</v>
      </c>
      <c r="H45" s="12"/>
      <c r="I45" s="13"/>
      <c r="J45" s="13"/>
      <c r="K45" s="14"/>
      <c r="L45" s="15"/>
      <c r="M45" s="14"/>
      <c r="N45" s="14"/>
      <c r="O45" s="16"/>
      <c r="P45" s="17" t="n">
        <f aca="false">M45+(0.05*N45)+(O45/240)</f>
        <v>0</v>
      </c>
      <c r="Q45" s="14"/>
      <c r="R45" s="14"/>
      <c r="S45" s="14"/>
      <c r="T45" s="14" t="n">
        <f aca="false">Q45+(R45*0.05)+(S45/240)</f>
        <v>0</v>
      </c>
      <c r="U45" s="14" t="n">
        <f aca="false">K45*P45</f>
        <v>0</v>
      </c>
      <c r="V45" s="18" t="n">
        <f aca="false">T45-U45</f>
        <v>0</v>
      </c>
      <c r="W45" s="19"/>
      <c r="X45" s="19"/>
    </row>
    <row r="46" customFormat="false" ht="16" hidden="false" customHeight="false" outlineLevel="0" collapsed="false">
      <c r="A46" s="8" t="s">
        <v>24</v>
      </c>
      <c r="B46" s="9" t="s">
        <v>25</v>
      </c>
      <c r="C46" s="9" t="s">
        <v>26</v>
      </c>
      <c r="D46" s="10" t="n">
        <v>1789</v>
      </c>
      <c r="E46" s="9" t="s">
        <v>27</v>
      </c>
      <c r="F46" s="9" t="s">
        <v>30</v>
      </c>
      <c r="G46" s="9" t="n">
        <v>12</v>
      </c>
      <c r="H46" s="12"/>
      <c r="I46" s="13"/>
      <c r="J46" s="13"/>
      <c r="K46" s="14"/>
      <c r="L46" s="15"/>
      <c r="M46" s="14"/>
      <c r="N46" s="14"/>
      <c r="O46" s="16"/>
      <c r="P46" s="17" t="n">
        <f aca="false">M46+(0.05*N46)+(O46/240)</f>
        <v>0</v>
      </c>
      <c r="Q46" s="14"/>
      <c r="R46" s="14"/>
      <c r="S46" s="14"/>
      <c r="T46" s="14" t="n">
        <f aca="false">Q46+(R46*0.05)+(S46/240)</f>
        <v>0</v>
      </c>
      <c r="U46" s="14" t="n">
        <f aca="false">K46*P46</f>
        <v>0</v>
      </c>
      <c r="V46" s="18" t="n">
        <f aca="false">T46-U46</f>
        <v>0</v>
      </c>
      <c r="W46" s="19"/>
      <c r="X46" s="19"/>
    </row>
    <row r="47" customFormat="false" ht="16" hidden="false" customHeight="false" outlineLevel="0" collapsed="false">
      <c r="A47" s="8" t="s">
        <v>24</v>
      </c>
      <c r="B47" s="9" t="s">
        <v>25</v>
      </c>
      <c r="C47" s="9" t="s">
        <v>26</v>
      </c>
      <c r="D47" s="10" t="n">
        <v>1789</v>
      </c>
      <c r="E47" s="9" t="s">
        <v>27</v>
      </c>
      <c r="F47" s="9" t="s">
        <v>30</v>
      </c>
      <c r="G47" s="9" t="n">
        <v>12</v>
      </c>
      <c r="H47" s="12"/>
      <c r="I47" s="13"/>
      <c r="J47" s="13"/>
      <c r="K47" s="14"/>
      <c r="L47" s="15"/>
      <c r="M47" s="14"/>
      <c r="N47" s="14"/>
      <c r="O47" s="16"/>
      <c r="P47" s="17" t="n">
        <f aca="false">M47+(0.05*N47)+(O47/240)</f>
        <v>0</v>
      </c>
      <c r="Q47" s="14"/>
      <c r="R47" s="14"/>
      <c r="S47" s="14"/>
      <c r="T47" s="14" t="n">
        <f aca="false">Q47+(R47*0.05)+(S47/240)</f>
        <v>0</v>
      </c>
      <c r="U47" s="14" t="n">
        <f aca="false">K47*P47</f>
        <v>0</v>
      </c>
      <c r="V47" s="18" t="n">
        <f aca="false">T47-U47</f>
        <v>0</v>
      </c>
      <c r="W47" s="19"/>
      <c r="X47" s="19"/>
    </row>
    <row r="48" customFormat="false" ht="16" hidden="false" customHeight="false" outlineLevel="0" collapsed="false">
      <c r="A48" s="8" t="s">
        <v>24</v>
      </c>
      <c r="B48" s="9" t="s">
        <v>25</v>
      </c>
      <c r="C48" s="9" t="s">
        <v>26</v>
      </c>
      <c r="D48" s="10" t="n">
        <v>1789</v>
      </c>
      <c r="E48" s="9" t="s">
        <v>27</v>
      </c>
      <c r="F48" s="9" t="s">
        <v>30</v>
      </c>
      <c r="G48" s="9" t="n">
        <v>12</v>
      </c>
      <c r="H48" s="12"/>
      <c r="I48" s="13"/>
      <c r="J48" s="13"/>
      <c r="K48" s="14"/>
      <c r="L48" s="15"/>
      <c r="M48" s="14"/>
      <c r="N48" s="14"/>
      <c r="O48" s="16"/>
      <c r="P48" s="17" t="n">
        <f aca="false">M48+(0.05*N48)+(O48/240)</f>
        <v>0</v>
      </c>
      <c r="Q48" s="14"/>
      <c r="R48" s="14"/>
      <c r="S48" s="14"/>
      <c r="T48" s="14" t="n">
        <f aca="false">Q48+(R48*0.05)+(S48/240)</f>
        <v>0</v>
      </c>
      <c r="U48" s="14" t="n">
        <f aca="false">K48*P48</f>
        <v>0</v>
      </c>
      <c r="V48" s="18" t="n">
        <f aca="false">T48-U48</f>
        <v>0</v>
      </c>
      <c r="W48" s="19"/>
      <c r="X48" s="19"/>
    </row>
    <row r="49" customFormat="false" ht="16" hidden="false" customHeight="false" outlineLevel="0" collapsed="false">
      <c r="A49" s="8" t="s">
        <v>24</v>
      </c>
      <c r="B49" s="9" t="s">
        <v>25</v>
      </c>
      <c r="C49" s="9" t="s">
        <v>26</v>
      </c>
      <c r="D49" s="10" t="n">
        <v>1789</v>
      </c>
      <c r="E49" s="9" t="s">
        <v>27</v>
      </c>
      <c r="F49" s="9" t="s">
        <v>30</v>
      </c>
      <c r="G49" s="9" t="n">
        <v>12</v>
      </c>
      <c r="H49" s="12"/>
      <c r="I49" s="13"/>
      <c r="J49" s="13"/>
      <c r="K49" s="14"/>
      <c r="L49" s="15"/>
      <c r="M49" s="14"/>
      <c r="N49" s="14"/>
      <c r="O49" s="16"/>
      <c r="P49" s="17" t="n">
        <f aca="false">M49+(0.05*N49)+(O49/240)</f>
        <v>0</v>
      </c>
      <c r="Q49" s="14"/>
      <c r="R49" s="14"/>
      <c r="S49" s="14"/>
      <c r="T49" s="14" t="n">
        <f aca="false">Q49+(R49*0.05)+(S49/240)</f>
        <v>0</v>
      </c>
      <c r="U49" s="14" t="n">
        <f aca="false">K49*P49</f>
        <v>0</v>
      </c>
      <c r="V49" s="18" t="n">
        <f aca="false">T49-U49</f>
        <v>0</v>
      </c>
      <c r="W49" s="19"/>
      <c r="X49" s="19"/>
    </row>
    <row r="50" customFormat="false" ht="16" hidden="false" customHeight="false" outlineLevel="0" collapsed="false">
      <c r="A50" s="8" t="s">
        <v>24</v>
      </c>
      <c r="B50" s="9" t="s">
        <v>25</v>
      </c>
      <c r="C50" s="9" t="s">
        <v>26</v>
      </c>
      <c r="D50" s="10" t="n">
        <v>1789</v>
      </c>
      <c r="E50" s="9" t="s">
        <v>27</v>
      </c>
      <c r="F50" s="9" t="s">
        <v>30</v>
      </c>
      <c r="G50" s="9" t="n">
        <v>12</v>
      </c>
      <c r="H50" s="12"/>
      <c r="I50" s="13"/>
      <c r="J50" s="13"/>
      <c r="K50" s="14"/>
      <c r="L50" s="15"/>
      <c r="M50" s="14"/>
      <c r="N50" s="14"/>
      <c r="O50" s="16"/>
      <c r="P50" s="17" t="n">
        <f aca="false">M50+(0.05*N50)+(O50/240)</f>
        <v>0</v>
      </c>
      <c r="Q50" s="14"/>
      <c r="R50" s="14"/>
      <c r="S50" s="14"/>
      <c r="T50" s="14" t="n">
        <f aca="false">Q50+(R50*0.05)+(S50/240)</f>
        <v>0</v>
      </c>
      <c r="U50" s="14" t="n">
        <f aca="false">K50*P50</f>
        <v>0</v>
      </c>
      <c r="V50" s="18" t="n">
        <f aca="false">T50-U50</f>
        <v>0</v>
      </c>
      <c r="W50" s="19"/>
      <c r="X50" s="19"/>
    </row>
    <row r="51" customFormat="false" ht="16" hidden="false" customHeight="false" outlineLevel="0" collapsed="false">
      <c r="A51" s="8" t="s">
        <v>24</v>
      </c>
      <c r="B51" s="9" t="s">
        <v>25</v>
      </c>
      <c r="C51" s="9" t="s">
        <v>26</v>
      </c>
      <c r="D51" s="10" t="n">
        <v>1789</v>
      </c>
      <c r="E51" s="9" t="s">
        <v>27</v>
      </c>
      <c r="F51" s="9" t="s">
        <v>30</v>
      </c>
      <c r="G51" s="9" t="n">
        <v>12</v>
      </c>
      <c r="H51" s="12"/>
      <c r="I51" s="13"/>
      <c r="J51" s="13"/>
      <c r="K51" s="14"/>
      <c r="L51" s="15"/>
      <c r="M51" s="14"/>
      <c r="N51" s="14"/>
      <c r="O51" s="16"/>
      <c r="P51" s="17" t="n">
        <f aca="false">M51+(0.05*N51)+(O51/240)</f>
        <v>0</v>
      </c>
      <c r="Q51" s="14"/>
      <c r="R51" s="14"/>
      <c r="S51" s="14"/>
      <c r="T51" s="14" t="n">
        <f aca="false">Q51+(R51*0.05)+(S51/240)</f>
        <v>0</v>
      </c>
      <c r="U51" s="14" t="n">
        <f aca="false">K51*P51</f>
        <v>0</v>
      </c>
      <c r="V51" s="18" t="n">
        <f aca="false">T51-U51</f>
        <v>0</v>
      </c>
      <c r="W51" s="19"/>
      <c r="X51" s="19"/>
    </row>
    <row r="52" customFormat="false" ht="16" hidden="false" customHeight="false" outlineLevel="0" collapsed="false">
      <c r="A52" s="8" t="s">
        <v>24</v>
      </c>
      <c r="B52" s="9" t="s">
        <v>25</v>
      </c>
      <c r="C52" s="9" t="s">
        <v>26</v>
      </c>
      <c r="D52" s="10" t="n">
        <v>1789</v>
      </c>
      <c r="E52" s="9" t="s">
        <v>27</v>
      </c>
      <c r="F52" s="9" t="s">
        <v>30</v>
      </c>
      <c r="G52" s="9" t="n">
        <v>12</v>
      </c>
      <c r="H52" s="12"/>
      <c r="I52" s="13"/>
      <c r="J52" s="13"/>
      <c r="K52" s="14"/>
      <c r="L52" s="15"/>
      <c r="M52" s="14"/>
      <c r="N52" s="14"/>
      <c r="O52" s="16"/>
      <c r="P52" s="17" t="n">
        <f aca="false">M52+(0.05*N52)+(O52/240)</f>
        <v>0</v>
      </c>
      <c r="Q52" s="14"/>
      <c r="R52" s="14"/>
      <c r="S52" s="14"/>
      <c r="T52" s="14" t="n">
        <f aca="false">Q52+(R52*0.05)+(S52/240)</f>
        <v>0</v>
      </c>
      <c r="U52" s="14" t="n">
        <f aca="false">K52*P52</f>
        <v>0</v>
      </c>
      <c r="V52" s="18" t="n">
        <f aca="false">T52-U52</f>
        <v>0</v>
      </c>
      <c r="W52" s="19"/>
      <c r="X52" s="19"/>
    </row>
    <row r="53" customFormat="false" ht="16" hidden="false" customHeight="false" outlineLevel="0" collapsed="false">
      <c r="A53" s="8" t="s">
        <v>24</v>
      </c>
      <c r="B53" s="9" t="s">
        <v>25</v>
      </c>
      <c r="C53" s="9" t="s">
        <v>26</v>
      </c>
      <c r="D53" s="10" t="n">
        <v>1789</v>
      </c>
      <c r="E53" s="9" t="s">
        <v>27</v>
      </c>
      <c r="F53" s="9" t="s">
        <v>30</v>
      </c>
      <c r="G53" s="9" t="n">
        <v>12</v>
      </c>
      <c r="H53" s="12"/>
      <c r="I53" s="13"/>
      <c r="J53" s="13"/>
      <c r="K53" s="14"/>
      <c r="L53" s="15"/>
      <c r="M53" s="14"/>
      <c r="N53" s="14"/>
      <c r="O53" s="16"/>
      <c r="P53" s="17" t="n">
        <f aca="false">M53+(0.05*N53)+(O53/240)</f>
        <v>0</v>
      </c>
      <c r="Q53" s="14"/>
      <c r="R53" s="14"/>
      <c r="S53" s="14"/>
      <c r="T53" s="14" t="n">
        <f aca="false">Q53+(R53*0.05)+(S53/240)</f>
        <v>0</v>
      </c>
      <c r="U53" s="14" t="n">
        <f aca="false">K53*P53</f>
        <v>0</v>
      </c>
      <c r="V53" s="18" t="n">
        <f aca="false">T53-U53</f>
        <v>0</v>
      </c>
      <c r="W53" s="19"/>
      <c r="X53" s="19"/>
    </row>
    <row r="54" customFormat="false" ht="16" hidden="false" customHeight="false" outlineLevel="0" collapsed="false">
      <c r="A54" s="8" t="s">
        <v>24</v>
      </c>
      <c r="B54" s="9" t="s">
        <v>25</v>
      </c>
      <c r="C54" s="9" t="s">
        <v>26</v>
      </c>
      <c r="D54" s="10" t="n">
        <v>1789</v>
      </c>
      <c r="E54" s="9" t="s">
        <v>27</v>
      </c>
      <c r="F54" s="9" t="s">
        <v>30</v>
      </c>
      <c r="G54" s="9" t="n">
        <v>12</v>
      </c>
      <c r="H54" s="12"/>
      <c r="I54" s="13"/>
      <c r="J54" s="13"/>
      <c r="K54" s="14"/>
      <c r="L54" s="15"/>
      <c r="M54" s="14"/>
      <c r="N54" s="14"/>
      <c r="O54" s="16"/>
      <c r="P54" s="17" t="n">
        <f aca="false">M54+(0.05*N54)+(O54/240)</f>
        <v>0</v>
      </c>
      <c r="Q54" s="14"/>
      <c r="R54" s="14"/>
      <c r="S54" s="14"/>
      <c r="T54" s="14" t="n">
        <f aca="false">Q54+(R54*0.05)+(S54/240)</f>
        <v>0</v>
      </c>
      <c r="U54" s="14" t="n">
        <f aca="false">K54*P54</f>
        <v>0</v>
      </c>
      <c r="V54" s="18" t="n">
        <f aca="false">T54-U54</f>
        <v>0</v>
      </c>
      <c r="W54" s="19"/>
      <c r="X54" s="19"/>
    </row>
    <row r="55" customFormat="false" ht="16" hidden="false" customHeight="false" outlineLevel="0" collapsed="false">
      <c r="A55" s="8" t="s">
        <v>24</v>
      </c>
      <c r="B55" s="9" t="s">
        <v>25</v>
      </c>
      <c r="C55" s="9" t="s">
        <v>26</v>
      </c>
      <c r="D55" s="10" t="n">
        <v>1789</v>
      </c>
      <c r="E55" s="9" t="s">
        <v>27</v>
      </c>
      <c r="F55" s="9" t="s">
        <v>30</v>
      </c>
      <c r="G55" s="9" t="n">
        <v>12</v>
      </c>
      <c r="H55" s="12"/>
      <c r="I55" s="13"/>
      <c r="J55" s="13"/>
      <c r="K55" s="14"/>
      <c r="L55" s="15"/>
      <c r="M55" s="14"/>
      <c r="N55" s="14"/>
      <c r="O55" s="16"/>
      <c r="P55" s="17" t="n">
        <f aca="false">M55+(0.05*N55)+(O55/240)</f>
        <v>0</v>
      </c>
      <c r="Q55" s="14"/>
      <c r="R55" s="14"/>
      <c r="S55" s="14"/>
      <c r="T55" s="14" t="n">
        <f aca="false">Q55+(R55*0.05)+(S55/240)</f>
        <v>0</v>
      </c>
      <c r="U55" s="14" t="n">
        <f aca="false">K55*P55</f>
        <v>0</v>
      </c>
      <c r="V55" s="18" t="n">
        <f aca="false">T55-U55</f>
        <v>0</v>
      </c>
      <c r="W55" s="19"/>
      <c r="X55" s="19"/>
    </row>
    <row r="56" customFormat="false" ht="16" hidden="false" customHeight="false" outlineLevel="0" collapsed="false">
      <c r="A56" s="8" t="s">
        <v>24</v>
      </c>
      <c r="B56" s="9" t="s">
        <v>25</v>
      </c>
      <c r="C56" s="9" t="s">
        <v>26</v>
      </c>
      <c r="D56" s="10" t="n">
        <v>1789</v>
      </c>
      <c r="E56" s="9" t="s">
        <v>27</v>
      </c>
      <c r="F56" s="9" t="s">
        <v>30</v>
      </c>
      <c r="G56" s="9" t="n">
        <v>12</v>
      </c>
      <c r="H56" s="12"/>
      <c r="I56" s="13"/>
      <c r="J56" s="13"/>
      <c r="K56" s="14"/>
      <c r="L56" s="15"/>
      <c r="M56" s="14"/>
      <c r="N56" s="14"/>
      <c r="O56" s="16"/>
      <c r="P56" s="17" t="n">
        <f aca="false">M56+(0.05*N56)+(O56/240)</f>
        <v>0</v>
      </c>
      <c r="Q56" s="14"/>
      <c r="R56" s="14"/>
      <c r="S56" s="14"/>
      <c r="T56" s="14" t="n">
        <f aca="false">Q56+(R56*0.05)+(S56/240)</f>
        <v>0</v>
      </c>
      <c r="U56" s="14" t="n">
        <f aca="false">K56*P56</f>
        <v>0</v>
      </c>
      <c r="V56" s="18" t="n">
        <f aca="false">T56-U56</f>
        <v>0</v>
      </c>
      <c r="W56" s="19"/>
      <c r="X56" s="19"/>
    </row>
    <row r="57" customFormat="false" ht="16" hidden="false" customHeight="false" outlineLevel="0" collapsed="false">
      <c r="A57" s="8" t="s">
        <v>24</v>
      </c>
      <c r="B57" s="9" t="s">
        <v>25</v>
      </c>
      <c r="C57" s="9" t="s">
        <v>26</v>
      </c>
      <c r="D57" s="10" t="n">
        <v>1789</v>
      </c>
      <c r="E57" s="9" t="s">
        <v>27</v>
      </c>
      <c r="F57" s="9" t="s">
        <v>30</v>
      </c>
      <c r="G57" s="9" t="n">
        <v>12</v>
      </c>
      <c r="H57" s="12"/>
      <c r="I57" s="13"/>
      <c r="J57" s="13"/>
      <c r="K57" s="14"/>
      <c r="L57" s="15"/>
      <c r="M57" s="14"/>
      <c r="N57" s="14"/>
      <c r="O57" s="16"/>
      <c r="P57" s="17" t="n">
        <f aca="false">M57+(0.05*N57)+(O57/240)</f>
        <v>0</v>
      </c>
      <c r="Q57" s="14"/>
      <c r="R57" s="14"/>
      <c r="S57" s="14"/>
      <c r="T57" s="14" t="n">
        <f aca="false">Q57+(R57*0.05)+(S57/240)</f>
        <v>0</v>
      </c>
      <c r="U57" s="14" t="n">
        <f aca="false">K57*P57</f>
        <v>0</v>
      </c>
      <c r="V57" s="18" t="n">
        <f aca="false">T57-U57</f>
        <v>0</v>
      </c>
      <c r="W57" s="19"/>
      <c r="X57" s="19"/>
    </row>
    <row r="58" customFormat="false" ht="16" hidden="false" customHeight="false" outlineLevel="0" collapsed="false">
      <c r="A58" s="8" t="s">
        <v>24</v>
      </c>
      <c r="B58" s="9" t="s">
        <v>25</v>
      </c>
      <c r="C58" s="9" t="s">
        <v>26</v>
      </c>
      <c r="D58" s="10" t="n">
        <v>1789</v>
      </c>
      <c r="E58" s="9" t="s">
        <v>27</v>
      </c>
      <c r="F58" s="9" t="s">
        <v>30</v>
      </c>
      <c r="G58" s="9" t="n">
        <v>12</v>
      </c>
      <c r="H58" s="12"/>
      <c r="I58" s="13"/>
      <c r="J58" s="13"/>
      <c r="K58" s="14"/>
      <c r="L58" s="15"/>
      <c r="M58" s="14"/>
      <c r="N58" s="14"/>
      <c r="O58" s="16"/>
      <c r="P58" s="17" t="n">
        <f aca="false">M58+(0.05*N58)+(O58/240)</f>
        <v>0</v>
      </c>
      <c r="Q58" s="14"/>
      <c r="R58" s="14"/>
      <c r="S58" s="14"/>
      <c r="T58" s="14" t="n">
        <f aca="false">Q58+(R58*0.05)+(S58/240)</f>
        <v>0</v>
      </c>
      <c r="U58" s="14" t="n">
        <f aca="false">K58*P58</f>
        <v>0</v>
      </c>
      <c r="V58" s="18" t="n">
        <f aca="false">T58-U58</f>
        <v>0</v>
      </c>
      <c r="W58" s="19"/>
      <c r="X58" s="19"/>
    </row>
    <row r="59" customFormat="false" ht="16" hidden="false" customHeight="false" outlineLevel="0" collapsed="false">
      <c r="A59" s="8" t="s">
        <v>24</v>
      </c>
      <c r="B59" s="9" t="s">
        <v>25</v>
      </c>
      <c r="C59" s="9" t="s">
        <v>26</v>
      </c>
      <c r="D59" s="10" t="n">
        <v>1789</v>
      </c>
      <c r="E59" s="9" t="s">
        <v>27</v>
      </c>
      <c r="F59" s="9" t="s">
        <v>30</v>
      </c>
      <c r="G59" s="9" t="n">
        <v>12</v>
      </c>
      <c r="H59" s="12"/>
      <c r="I59" s="13"/>
      <c r="J59" s="13"/>
      <c r="K59" s="14"/>
      <c r="L59" s="15"/>
      <c r="M59" s="14"/>
      <c r="N59" s="14"/>
      <c r="O59" s="16"/>
      <c r="P59" s="17" t="n">
        <f aca="false">M59+(0.05*N59)+(O59/240)</f>
        <v>0</v>
      </c>
      <c r="Q59" s="14"/>
      <c r="R59" s="14"/>
      <c r="S59" s="14"/>
      <c r="T59" s="14" t="n">
        <f aca="false">Q59+(R59*0.05)+(S59/240)</f>
        <v>0</v>
      </c>
      <c r="U59" s="14" t="n">
        <f aca="false">K59*P59</f>
        <v>0</v>
      </c>
      <c r="V59" s="18" t="n">
        <f aca="false">T59-U59</f>
        <v>0</v>
      </c>
      <c r="W59" s="19"/>
      <c r="X59" s="19"/>
    </row>
    <row r="60" customFormat="false" ht="16" hidden="false" customHeight="false" outlineLevel="0" collapsed="false">
      <c r="A60" s="8" t="s">
        <v>24</v>
      </c>
      <c r="B60" s="9" t="s">
        <v>25</v>
      </c>
      <c r="C60" s="9" t="s">
        <v>26</v>
      </c>
      <c r="D60" s="10" t="n">
        <v>1789</v>
      </c>
      <c r="E60" s="9" t="s">
        <v>27</v>
      </c>
      <c r="F60" s="9" t="s">
        <v>30</v>
      </c>
      <c r="G60" s="9" t="n">
        <v>12</v>
      </c>
      <c r="H60" s="12"/>
      <c r="I60" s="13"/>
      <c r="J60" s="13"/>
      <c r="K60" s="14"/>
      <c r="L60" s="15"/>
      <c r="M60" s="14"/>
      <c r="N60" s="14"/>
      <c r="O60" s="16"/>
      <c r="P60" s="17" t="n">
        <f aca="false">M60+(0.05*N60)+(O60/240)</f>
        <v>0</v>
      </c>
      <c r="Q60" s="14"/>
      <c r="R60" s="14"/>
      <c r="S60" s="14"/>
      <c r="T60" s="14" t="n">
        <f aca="false">Q60+(R60*0.05)+(S60/240)</f>
        <v>0</v>
      </c>
      <c r="U60" s="14" t="n">
        <f aca="false">K60*P60</f>
        <v>0</v>
      </c>
      <c r="V60" s="18" t="n">
        <f aca="false">T60-U60</f>
        <v>0</v>
      </c>
      <c r="W60" s="19"/>
      <c r="X60" s="19"/>
    </row>
    <row r="61" customFormat="false" ht="16" hidden="false" customHeight="false" outlineLevel="0" collapsed="false">
      <c r="A61" s="8" t="s">
        <v>24</v>
      </c>
      <c r="B61" s="9" t="s">
        <v>25</v>
      </c>
      <c r="C61" s="9" t="s">
        <v>26</v>
      </c>
      <c r="D61" s="10" t="n">
        <v>1789</v>
      </c>
      <c r="E61" s="9" t="s">
        <v>27</v>
      </c>
      <c r="F61" s="9" t="s">
        <v>30</v>
      </c>
      <c r="G61" s="9" t="n">
        <v>12</v>
      </c>
      <c r="H61" s="12"/>
      <c r="I61" s="13"/>
      <c r="J61" s="13"/>
      <c r="K61" s="14"/>
      <c r="L61" s="15"/>
      <c r="M61" s="14"/>
      <c r="N61" s="14"/>
      <c r="O61" s="16"/>
      <c r="P61" s="17" t="n">
        <f aca="false">M61+(0.05*N61)+(O61/240)</f>
        <v>0</v>
      </c>
      <c r="Q61" s="14"/>
      <c r="R61" s="14"/>
      <c r="S61" s="14"/>
      <c r="T61" s="14" t="n">
        <f aca="false">Q61+(R61*0.05)+(S61/240)</f>
        <v>0</v>
      </c>
      <c r="U61" s="14" t="n">
        <f aca="false">K61*P61</f>
        <v>0</v>
      </c>
      <c r="V61" s="18" t="n">
        <f aca="false">T61-U61</f>
        <v>0</v>
      </c>
      <c r="W61" s="19"/>
      <c r="X61" s="19"/>
    </row>
    <row r="62" customFormat="false" ht="16" hidden="false" customHeight="false" outlineLevel="0" collapsed="false">
      <c r="A62" s="8" t="s">
        <v>24</v>
      </c>
      <c r="B62" s="9" t="s">
        <v>25</v>
      </c>
      <c r="C62" s="9" t="s">
        <v>26</v>
      </c>
      <c r="D62" s="10" t="n">
        <v>1789</v>
      </c>
      <c r="E62" s="9" t="s">
        <v>27</v>
      </c>
      <c r="F62" s="9" t="s">
        <v>30</v>
      </c>
      <c r="G62" s="9" t="n">
        <v>12</v>
      </c>
      <c r="H62" s="12"/>
      <c r="I62" s="13"/>
      <c r="J62" s="13"/>
      <c r="K62" s="14"/>
      <c r="L62" s="15"/>
      <c r="M62" s="14"/>
      <c r="N62" s="14"/>
      <c r="O62" s="16"/>
      <c r="P62" s="17" t="n">
        <f aca="false">M62+(0.05*N62)+(O62/240)</f>
        <v>0</v>
      </c>
      <c r="Q62" s="14"/>
      <c r="R62" s="14"/>
      <c r="S62" s="14"/>
      <c r="T62" s="14" t="n">
        <f aca="false">Q62+(R62*0.05)+(S62/240)</f>
        <v>0</v>
      </c>
      <c r="U62" s="14" t="n">
        <f aca="false">K62*P62</f>
        <v>0</v>
      </c>
      <c r="V62" s="18" t="n">
        <f aca="false">T62-U62</f>
        <v>0</v>
      </c>
      <c r="W62" s="19"/>
      <c r="X62" s="19"/>
    </row>
    <row r="63" customFormat="false" ht="16" hidden="false" customHeight="false" outlineLevel="0" collapsed="false">
      <c r="A63" s="8" t="s">
        <v>24</v>
      </c>
      <c r="B63" s="9" t="s">
        <v>25</v>
      </c>
      <c r="C63" s="9" t="s">
        <v>26</v>
      </c>
      <c r="D63" s="10" t="n">
        <v>1789</v>
      </c>
      <c r="E63" s="9" t="s">
        <v>27</v>
      </c>
      <c r="F63" s="9" t="s">
        <v>30</v>
      </c>
      <c r="G63" s="9" t="n">
        <v>12</v>
      </c>
      <c r="H63" s="12"/>
      <c r="I63" s="13"/>
      <c r="J63" s="13"/>
      <c r="K63" s="14"/>
      <c r="L63" s="15"/>
      <c r="M63" s="14"/>
      <c r="N63" s="14"/>
      <c r="O63" s="16"/>
      <c r="P63" s="17" t="n">
        <f aca="false">M63+(0.05*N63)+(O63/240)</f>
        <v>0</v>
      </c>
      <c r="Q63" s="14"/>
      <c r="R63" s="14"/>
      <c r="S63" s="14"/>
      <c r="T63" s="14" t="n">
        <f aca="false">Q63+(R63*0.05)+(S63/240)</f>
        <v>0</v>
      </c>
      <c r="U63" s="14" t="n">
        <f aca="false">K63*P63</f>
        <v>0</v>
      </c>
      <c r="V63" s="18" t="n">
        <f aca="false">T63-U63</f>
        <v>0</v>
      </c>
      <c r="W63" s="19"/>
      <c r="X63" s="19"/>
    </row>
    <row r="64" customFormat="false" ht="16" hidden="false" customHeight="false" outlineLevel="0" collapsed="false">
      <c r="A64" s="8" t="s">
        <v>24</v>
      </c>
      <c r="B64" s="9" t="s">
        <v>25</v>
      </c>
      <c r="C64" s="9" t="s">
        <v>26</v>
      </c>
      <c r="D64" s="10" t="n">
        <v>1789</v>
      </c>
      <c r="E64" s="9" t="s">
        <v>27</v>
      </c>
      <c r="F64" s="9" t="s">
        <v>30</v>
      </c>
      <c r="G64" s="9" t="n">
        <v>12</v>
      </c>
      <c r="H64" s="12"/>
      <c r="I64" s="13"/>
      <c r="J64" s="13"/>
      <c r="K64" s="14"/>
      <c r="L64" s="15"/>
      <c r="M64" s="14"/>
      <c r="N64" s="14"/>
      <c r="O64" s="16"/>
      <c r="P64" s="17" t="n">
        <f aca="false">M64+(0.05*N64)+(O64/240)</f>
        <v>0</v>
      </c>
      <c r="Q64" s="14"/>
      <c r="R64" s="14"/>
      <c r="S64" s="14"/>
      <c r="T64" s="14" t="n">
        <f aca="false">Q64+(R64*0.05)+(S64/240)</f>
        <v>0</v>
      </c>
      <c r="U64" s="14" t="n">
        <f aca="false">K64*P64</f>
        <v>0</v>
      </c>
      <c r="V64" s="18" t="n">
        <f aca="false">T64-U64</f>
        <v>0</v>
      </c>
      <c r="W64" s="19"/>
      <c r="X64" s="19"/>
    </row>
    <row r="65" customFormat="false" ht="16" hidden="false" customHeight="false" outlineLevel="0" collapsed="false">
      <c r="A65" s="8" t="s">
        <v>24</v>
      </c>
      <c r="B65" s="9" t="s">
        <v>25</v>
      </c>
      <c r="C65" s="9" t="s">
        <v>26</v>
      </c>
      <c r="D65" s="10" t="n">
        <v>1789</v>
      </c>
      <c r="E65" s="9" t="s">
        <v>27</v>
      </c>
      <c r="F65" s="9" t="s">
        <v>30</v>
      </c>
      <c r="G65" s="9" t="n">
        <v>12</v>
      </c>
      <c r="H65" s="12"/>
      <c r="I65" s="13"/>
      <c r="J65" s="13"/>
      <c r="K65" s="14"/>
      <c r="L65" s="15"/>
      <c r="M65" s="14"/>
      <c r="N65" s="14"/>
      <c r="O65" s="16"/>
      <c r="P65" s="17" t="n">
        <f aca="false">M65+(0.05*N65)+(O65/240)</f>
        <v>0</v>
      </c>
      <c r="Q65" s="14"/>
      <c r="R65" s="14"/>
      <c r="S65" s="14"/>
      <c r="T65" s="14" t="n">
        <f aca="false">Q65+(R65*0.05)+(S65/240)</f>
        <v>0</v>
      </c>
      <c r="U65" s="14" t="n">
        <f aca="false">K65*P65</f>
        <v>0</v>
      </c>
      <c r="V65" s="18" t="n">
        <f aca="false">T65-U65</f>
        <v>0</v>
      </c>
      <c r="W65" s="19"/>
      <c r="X65" s="19"/>
    </row>
    <row r="66" customFormat="false" ht="16" hidden="false" customHeight="false" outlineLevel="0" collapsed="false">
      <c r="A66" s="8" t="s">
        <v>24</v>
      </c>
      <c r="B66" s="9" t="s">
        <v>25</v>
      </c>
      <c r="C66" s="9" t="s">
        <v>26</v>
      </c>
      <c r="D66" s="10" t="n">
        <v>1789</v>
      </c>
      <c r="E66" s="9" t="s">
        <v>27</v>
      </c>
      <c r="F66" s="9" t="s">
        <v>30</v>
      </c>
      <c r="G66" s="9" t="n">
        <v>12</v>
      </c>
      <c r="H66" s="12"/>
      <c r="I66" s="13"/>
      <c r="J66" s="13"/>
      <c r="K66" s="14"/>
      <c r="L66" s="15"/>
      <c r="M66" s="14"/>
      <c r="N66" s="14"/>
      <c r="O66" s="16"/>
      <c r="P66" s="17" t="n">
        <f aca="false">M66+(0.05*N66)+(O66/240)</f>
        <v>0</v>
      </c>
      <c r="Q66" s="14"/>
      <c r="R66" s="14"/>
      <c r="S66" s="14"/>
      <c r="T66" s="14" t="n">
        <f aca="false">Q66+(R66*0.05)+(S66/240)</f>
        <v>0</v>
      </c>
      <c r="U66" s="14" t="n">
        <f aca="false">K66*P66</f>
        <v>0</v>
      </c>
      <c r="V66" s="18" t="n">
        <f aca="false">T66-U66</f>
        <v>0</v>
      </c>
      <c r="W66" s="19"/>
      <c r="X66" s="19"/>
    </row>
    <row r="67" customFormat="false" ht="16" hidden="false" customHeight="false" outlineLevel="0" collapsed="false">
      <c r="A67" s="8" t="s">
        <v>24</v>
      </c>
      <c r="B67" s="9" t="s">
        <v>25</v>
      </c>
      <c r="C67" s="9" t="s">
        <v>26</v>
      </c>
      <c r="D67" s="10" t="n">
        <v>1789</v>
      </c>
      <c r="E67" s="9" t="s">
        <v>27</v>
      </c>
      <c r="F67" s="9" t="s">
        <v>30</v>
      </c>
      <c r="G67" s="9" t="n">
        <v>12</v>
      </c>
      <c r="H67" s="12"/>
      <c r="I67" s="13"/>
      <c r="J67" s="13"/>
      <c r="K67" s="14"/>
      <c r="L67" s="15"/>
      <c r="M67" s="14"/>
      <c r="N67" s="14"/>
      <c r="O67" s="16"/>
      <c r="P67" s="17" t="n">
        <f aca="false">M67+(0.05*N67)+(O67/240)</f>
        <v>0</v>
      </c>
      <c r="Q67" s="14"/>
      <c r="R67" s="14"/>
      <c r="S67" s="14"/>
      <c r="T67" s="14" t="n">
        <f aca="false">Q67+(R67*0.05)+(S67/240)</f>
        <v>0</v>
      </c>
      <c r="U67" s="14" t="n">
        <f aca="false">K67*P67</f>
        <v>0</v>
      </c>
      <c r="V67" s="18" t="n">
        <f aca="false">T67-U67</f>
        <v>0</v>
      </c>
      <c r="W67" s="19"/>
      <c r="X67" s="19"/>
    </row>
    <row r="68" customFormat="false" ht="16" hidden="false" customHeight="false" outlineLevel="0" collapsed="false">
      <c r="A68" s="8" t="s">
        <v>24</v>
      </c>
      <c r="B68" s="9" t="s">
        <v>25</v>
      </c>
      <c r="C68" s="9" t="s">
        <v>26</v>
      </c>
      <c r="D68" s="10" t="n">
        <v>1789</v>
      </c>
      <c r="E68" s="9" t="s">
        <v>27</v>
      </c>
      <c r="F68" s="9" t="s">
        <v>30</v>
      </c>
      <c r="G68" s="9" t="n">
        <v>12</v>
      </c>
      <c r="H68" s="12"/>
      <c r="I68" s="13"/>
      <c r="J68" s="13"/>
      <c r="K68" s="14"/>
      <c r="L68" s="15"/>
      <c r="M68" s="14"/>
      <c r="N68" s="14"/>
      <c r="O68" s="16"/>
      <c r="P68" s="17" t="n">
        <f aca="false">M68+(0.05*N68)+(O68/240)</f>
        <v>0</v>
      </c>
      <c r="Q68" s="14"/>
      <c r="R68" s="14"/>
      <c r="S68" s="14"/>
      <c r="T68" s="14" t="n">
        <f aca="false">Q68+(R68*0.05)+(S68/240)</f>
        <v>0</v>
      </c>
      <c r="U68" s="14" t="n">
        <f aca="false">K68*P68</f>
        <v>0</v>
      </c>
      <c r="V68" s="18" t="n">
        <f aca="false">T68-U68</f>
        <v>0</v>
      </c>
      <c r="W68" s="19"/>
      <c r="X68" s="19"/>
    </row>
    <row r="69" customFormat="false" ht="16" hidden="false" customHeight="false" outlineLevel="0" collapsed="false">
      <c r="A69" s="8" t="s">
        <v>24</v>
      </c>
      <c r="B69" s="9" t="s">
        <v>25</v>
      </c>
      <c r="C69" s="9" t="s">
        <v>26</v>
      </c>
      <c r="D69" s="10" t="n">
        <v>1789</v>
      </c>
      <c r="E69" s="9" t="s">
        <v>27</v>
      </c>
      <c r="F69" s="9" t="s">
        <v>30</v>
      </c>
      <c r="G69" s="9" t="n">
        <v>12</v>
      </c>
      <c r="H69" s="12"/>
      <c r="I69" s="13"/>
      <c r="J69" s="13"/>
      <c r="K69" s="14"/>
      <c r="L69" s="15"/>
      <c r="M69" s="14"/>
      <c r="N69" s="14"/>
      <c r="O69" s="16"/>
      <c r="P69" s="17" t="n">
        <f aca="false">M69+(0.05*N69)+(O69/240)</f>
        <v>0</v>
      </c>
      <c r="Q69" s="14"/>
      <c r="R69" s="14"/>
      <c r="S69" s="14"/>
      <c r="T69" s="14" t="n">
        <f aca="false">Q69+(R69*0.05)+(S69/240)</f>
        <v>0</v>
      </c>
      <c r="U69" s="14" t="n">
        <f aca="false">K69*P69</f>
        <v>0</v>
      </c>
      <c r="V69" s="18" t="n">
        <f aca="false">T69-U69</f>
        <v>0</v>
      </c>
      <c r="W69" s="19"/>
      <c r="X69" s="19"/>
    </row>
    <row r="70" customFormat="false" ht="16" hidden="false" customHeight="false" outlineLevel="0" collapsed="false">
      <c r="A70" s="8" t="s">
        <v>24</v>
      </c>
      <c r="B70" s="9" t="s">
        <v>25</v>
      </c>
      <c r="C70" s="9" t="s">
        <v>26</v>
      </c>
      <c r="D70" s="10" t="n">
        <v>1789</v>
      </c>
      <c r="E70" s="9" t="s">
        <v>27</v>
      </c>
      <c r="F70" s="9" t="s">
        <v>30</v>
      </c>
      <c r="G70" s="9" t="n">
        <v>12</v>
      </c>
      <c r="H70" s="12"/>
      <c r="I70" s="13"/>
      <c r="J70" s="13"/>
      <c r="K70" s="14"/>
      <c r="L70" s="15"/>
      <c r="M70" s="14"/>
      <c r="N70" s="14"/>
      <c r="O70" s="16"/>
      <c r="P70" s="17" t="n">
        <f aca="false">M70+(0.05*N70)+(O70/240)</f>
        <v>0</v>
      </c>
      <c r="Q70" s="14"/>
      <c r="R70" s="14"/>
      <c r="S70" s="14"/>
      <c r="T70" s="14" t="n">
        <f aca="false">Q70+(R70*0.05)+(S70/240)</f>
        <v>0</v>
      </c>
      <c r="U70" s="14" t="n">
        <f aca="false">K70*P70</f>
        <v>0</v>
      </c>
      <c r="V70" s="18" t="n">
        <f aca="false">T70-U70</f>
        <v>0</v>
      </c>
      <c r="W70" s="19"/>
      <c r="X70" s="19"/>
    </row>
    <row r="71" customFormat="false" ht="16" hidden="false" customHeight="false" outlineLevel="0" collapsed="false">
      <c r="A71" s="8" t="s">
        <v>24</v>
      </c>
      <c r="B71" s="9" t="s">
        <v>25</v>
      </c>
      <c r="C71" s="9" t="s">
        <v>26</v>
      </c>
      <c r="D71" s="10" t="n">
        <v>1789</v>
      </c>
      <c r="E71" s="9" t="s">
        <v>27</v>
      </c>
      <c r="F71" s="9" t="s">
        <v>30</v>
      </c>
      <c r="G71" s="9" t="n">
        <v>12</v>
      </c>
      <c r="H71" s="12"/>
      <c r="I71" s="13"/>
      <c r="J71" s="13"/>
      <c r="K71" s="14"/>
      <c r="L71" s="15"/>
      <c r="M71" s="14"/>
      <c r="N71" s="14"/>
      <c r="O71" s="16"/>
      <c r="P71" s="17" t="n">
        <f aca="false">M71+(0.05*N71)+(O71/240)</f>
        <v>0</v>
      </c>
      <c r="Q71" s="14"/>
      <c r="R71" s="14"/>
      <c r="S71" s="14"/>
      <c r="T71" s="14" t="n">
        <f aca="false">Q71+(R71*0.05)+(S71/240)</f>
        <v>0</v>
      </c>
      <c r="U71" s="14" t="n">
        <f aca="false">K71*P71</f>
        <v>0</v>
      </c>
      <c r="V71" s="18" t="n">
        <f aca="false">T71-U71</f>
        <v>0</v>
      </c>
      <c r="W71" s="19"/>
      <c r="X71" s="19"/>
    </row>
    <row r="72" customFormat="false" ht="16" hidden="false" customHeight="false" outlineLevel="0" collapsed="false">
      <c r="A72" s="8" t="s">
        <v>24</v>
      </c>
      <c r="B72" s="9" t="s">
        <v>25</v>
      </c>
      <c r="C72" s="9" t="s">
        <v>26</v>
      </c>
      <c r="D72" s="10" t="n">
        <v>1789</v>
      </c>
      <c r="E72" s="9" t="s">
        <v>27</v>
      </c>
      <c r="F72" s="9" t="s">
        <v>30</v>
      </c>
      <c r="G72" s="9" t="n">
        <v>12</v>
      </c>
      <c r="H72" s="12"/>
      <c r="I72" s="13"/>
      <c r="J72" s="13"/>
      <c r="K72" s="14"/>
      <c r="L72" s="15"/>
      <c r="M72" s="14"/>
      <c r="N72" s="14"/>
      <c r="O72" s="16"/>
      <c r="P72" s="17" t="n">
        <f aca="false">M72+(0.05*N72)+(O72/240)</f>
        <v>0</v>
      </c>
      <c r="Q72" s="14"/>
      <c r="R72" s="14"/>
      <c r="S72" s="14"/>
      <c r="T72" s="14" t="n">
        <f aca="false">Q72+(R72*0.05)+(S72/240)</f>
        <v>0</v>
      </c>
      <c r="U72" s="14" t="n">
        <f aca="false">K72*P72</f>
        <v>0</v>
      </c>
      <c r="V72" s="18" t="n">
        <f aca="false">T72-U72</f>
        <v>0</v>
      </c>
      <c r="W72" s="19"/>
      <c r="X72" s="19"/>
    </row>
    <row r="73" customFormat="false" ht="16" hidden="false" customHeight="false" outlineLevel="0" collapsed="false">
      <c r="A73" s="8" t="s">
        <v>24</v>
      </c>
      <c r="B73" s="9" t="s">
        <v>25</v>
      </c>
      <c r="C73" s="9" t="s">
        <v>26</v>
      </c>
      <c r="D73" s="10" t="n">
        <v>1789</v>
      </c>
      <c r="E73" s="9" t="s">
        <v>27</v>
      </c>
      <c r="F73" s="9" t="s">
        <v>30</v>
      </c>
      <c r="G73" s="9" t="n">
        <v>12</v>
      </c>
      <c r="H73" s="12"/>
      <c r="I73" s="13"/>
      <c r="J73" s="13"/>
      <c r="K73" s="14"/>
      <c r="L73" s="15"/>
      <c r="M73" s="14"/>
      <c r="N73" s="14"/>
      <c r="O73" s="16"/>
      <c r="P73" s="17" t="n">
        <f aca="false">M73+(0.05*N73)+(O73/240)</f>
        <v>0</v>
      </c>
      <c r="Q73" s="14"/>
      <c r="R73" s="14"/>
      <c r="S73" s="14"/>
      <c r="T73" s="14" t="n">
        <f aca="false">Q73+(R73*0.05)+(S73/240)</f>
        <v>0</v>
      </c>
      <c r="U73" s="14" t="n">
        <f aca="false">K73*P73</f>
        <v>0</v>
      </c>
      <c r="V73" s="18" t="n">
        <f aca="false">T73-U73</f>
        <v>0</v>
      </c>
      <c r="W73" s="19"/>
      <c r="X73" s="19"/>
    </row>
    <row r="74" customFormat="false" ht="16" hidden="false" customHeight="false" outlineLevel="0" collapsed="false">
      <c r="A74" s="8" t="s">
        <v>24</v>
      </c>
      <c r="B74" s="9" t="s">
        <v>25</v>
      </c>
      <c r="C74" s="9" t="s">
        <v>26</v>
      </c>
      <c r="D74" s="10" t="n">
        <v>1789</v>
      </c>
      <c r="E74" s="9" t="s">
        <v>27</v>
      </c>
      <c r="F74" s="9" t="s">
        <v>30</v>
      </c>
      <c r="G74" s="9" t="n">
        <v>12</v>
      </c>
      <c r="H74" s="12"/>
      <c r="I74" s="13"/>
      <c r="J74" s="13"/>
      <c r="K74" s="14"/>
      <c r="L74" s="15"/>
      <c r="M74" s="14"/>
      <c r="N74" s="14"/>
      <c r="O74" s="16"/>
      <c r="P74" s="17" t="n">
        <f aca="false">M74+(0.05*N74)+(O74/240)</f>
        <v>0</v>
      </c>
      <c r="Q74" s="14"/>
      <c r="R74" s="14"/>
      <c r="S74" s="14"/>
      <c r="T74" s="14" t="n">
        <f aca="false">Q74+(R74*0.05)+(S74/240)</f>
        <v>0</v>
      </c>
      <c r="U74" s="14" t="n">
        <f aca="false">K74*P74</f>
        <v>0</v>
      </c>
      <c r="V74" s="18" t="n">
        <f aca="false">T74-U74</f>
        <v>0</v>
      </c>
      <c r="W74" s="19"/>
      <c r="X74" s="19"/>
    </row>
    <row r="75" customFormat="false" ht="16" hidden="false" customHeight="false" outlineLevel="0" collapsed="false">
      <c r="A75" s="8" t="s">
        <v>24</v>
      </c>
      <c r="B75" s="9" t="s">
        <v>25</v>
      </c>
      <c r="C75" s="9" t="s">
        <v>26</v>
      </c>
      <c r="D75" s="10" t="n">
        <v>1789</v>
      </c>
      <c r="E75" s="9" t="s">
        <v>27</v>
      </c>
      <c r="F75" s="9" t="s">
        <v>30</v>
      </c>
      <c r="G75" s="9" t="n">
        <v>12</v>
      </c>
      <c r="H75" s="12"/>
      <c r="I75" s="13"/>
      <c r="J75" s="13"/>
      <c r="K75" s="14"/>
      <c r="L75" s="15"/>
      <c r="M75" s="14"/>
      <c r="N75" s="14"/>
      <c r="O75" s="16"/>
      <c r="P75" s="17" t="n">
        <f aca="false">M75+(0.05*N75)+(O75/240)</f>
        <v>0</v>
      </c>
      <c r="Q75" s="14"/>
      <c r="R75" s="14"/>
      <c r="S75" s="14"/>
      <c r="T75" s="14" t="n">
        <f aca="false">Q75+(R75*0.05)+(S75/240)</f>
        <v>0</v>
      </c>
      <c r="U75" s="14" t="n">
        <f aca="false">K75*P75</f>
        <v>0</v>
      </c>
      <c r="V75" s="18" t="n">
        <f aca="false">T75-U75</f>
        <v>0</v>
      </c>
      <c r="W75" s="19"/>
      <c r="X75" s="19"/>
    </row>
    <row r="76" customFormat="false" ht="16" hidden="false" customHeight="false" outlineLevel="0" collapsed="false">
      <c r="A76" s="8" t="s">
        <v>24</v>
      </c>
      <c r="B76" s="9" t="s">
        <v>25</v>
      </c>
      <c r="C76" s="9" t="s">
        <v>26</v>
      </c>
      <c r="D76" s="10" t="n">
        <v>1789</v>
      </c>
      <c r="E76" s="9" t="s">
        <v>27</v>
      </c>
      <c r="F76" s="9" t="s">
        <v>30</v>
      </c>
      <c r="G76" s="9" t="n">
        <v>12</v>
      </c>
      <c r="H76" s="12"/>
      <c r="I76" s="13"/>
      <c r="J76" s="13"/>
      <c r="K76" s="14"/>
      <c r="L76" s="15"/>
      <c r="M76" s="14"/>
      <c r="N76" s="14"/>
      <c r="O76" s="16"/>
      <c r="P76" s="17" t="n">
        <f aca="false">M76+(0.05*N76)+(O76/240)</f>
        <v>0</v>
      </c>
      <c r="Q76" s="14"/>
      <c r="R76" s="14"/>
      <c r="S76" s="14"/>
      <c r="T76" s="14" t="n">
        <f aca="false">Q76+(R76*0.05)+(S76/240)</f>
        <v>0</v>
      </c>
      <c r="U76" s="14" t="n">
        <f aca="false">K76*P76</f>
        <v>0</v>
      </c>
      <c r="V76" s="18" t="n">
        <f aca="false">T76-U76</f>
        <v>0</v>
      </c>
      <c r="W76" s="19"/>
      <c r="X76" s="19"/>
    </row>
    <row r="77" customFormat="false" ht="16" hidden="false" customHeight="false" outlineLevel="0" collapsed="false">
      <c r="A77" s="8" t="s">
        <v>24</v>
      </c>
      <c r="B77" s="9" t="s">
        <v>25</v>
      </c>
      <c r="C77" s="9" t="s">
        <v>26</v>
      </c>
      <c r="D77" s="10" t="n">
        <v>1789</v>
      </c>
      <c r="E77" s="9" t="s">
        <v>27</v>
      </c>
      <c r="F77" s="9" t="s">
        <v>30</v>
      </c>
      <c r="G77" s="9" t="n">
        <v>12</v>
      </c>
      <c r="H77" s="12"/>
      <c r="I77" s="13"/>
      <c r="J77" s="13"/>
      <c r="K77" s="14"/>
      <c r="L77" s="15"/>
      <c r="M77" s="14"/>
      <c r="N77" s="14"/>
      <c r="O77" s="16"/>
      <c r="P77" s="17" t="n">
        <f aca="false">M77+(0.05*N77)+(O77/240)</f>
        <v>0</v>
      </c>
      <c r="Q77" s="14"/>
      <c r="R77" s="14"/>
      <c r="S77" s="14"/>
      <c r="T77" s="14" t="n">
        <f aca="false">Q77+(R77*0.05)+(S77/240)</f>
        <v>0</v>
      </c>
      <c r="U77" s="14" t="n">
        <f aca="false">K77*P77</f>
        <v>0</v>
      </c>
      <c r="V77" s="18" t="n">
        <f aca="false">T77-U77</f>
        <v>0</v>
      </c>
      <c r="W77" s="19"/>
      <c r="X77" s="19"/>
    </row>
    <row r="78" customFormat="false" ht="16" hidden="false" customHeight="false" outlineLevel="0" collapsed="false">
      <c r="A78" s="8" t="s">
        <v>24</v>
      </c>
      <c r="B78" s="9" t="s">
        <v>25</v>
      </c>
      <c r="C78" s="9" t="s">
        <v>26</v>
      </c>
      <c r="D78" s="10" t="n">
        <v>1789</v>
      </c>
      <c r="E78" s="9" t="s">
        <v>27</v>
      </c>
      <c r="F78" s="9" t="s">
        <v>30</v>
      </c>
      <c r="G78" s="9" t="n">
        <v>12</v>
      </c>
      <c r="H78" s="12"/>
      <c r="I78" s="13"/>
      <c r="J78" s="13"/>
      <c r="K78" s="14"/>
      <c r="L78" s="15"/>
      <c r="M78" s="14"/>
      <c r="N78" s="14"/>
      <c r="O78" s="16"/>
      <c r="P78" s="17" t="n">
        <f aca="false">M78+(0.05*N78)+(O78/240)</f>
        <v>0</v>
      </c>
      <c r="Q78" s="14"/>
      <c r="R78" s="14"/>
      <c r="S78" s="14"/>
      <c r="T78" s="14" t="n">
        <f aca="false">Q78+(R78*0.05)+(S78/240)</f>
        <v>0</v>
      </c>
      <c r="U78" s="14" t="n">
        <f aca="false">K78*P78</f>
        <v>0</v>
      </c>
      <c r="V78" s="18" t="n">
        <f aca="false">T78-U78</f>
        <v>0</v>
      </c>
      <c r="W78" s="19"/>
      <c r="X78" s="19"/>
    </row>
    <row r="79" customFormat="false" ht="16" hidden="false" customHeight="false" outlineLevel="0" collapsed="false">
      <c r="A79" s="8" t="s">
        <v>24</v>
      </c>
      <c r="B79" s="9" t="s">
        <v>25</v>
      </c>
      <c r="C79" s="9" t="s">
        <v>26</v>
      </c>
      <c r="D79" s="10" t="n">
        <v>1789</v>
      </c>
      <c r="E79" s="9" t="s">
        <v>27</v>
      </c>
      <c r="F79" s="9" t="s">
        <v>30</v>
      </c>
      <c r="G79" s="9" t="n">
        <v>12</v>
      </c>
      <c r="H79" s="12"/>
      <c r="I79" s="13"/>
      <c r="J79" s="13"/>
      <c r="K79" s="14"/>
      <c r="L79" s="15"/>
      <c r="M79" s="14"/>
      <c r="N79" s="14"/>
      <c r="O79" s="16"/>
      <c r="P79" s="17" t="n">
        <f aca="false">M79+(0.05*N79)+(O79/240)</f>
        <v>0</v>
      </c>
      <c r="Q79" s="14"/>
      <c r="R79" s="14"/>
      <c r="S79" s="14"/>
      <c r="T79" s="14" t="n">
        <f aca="false">Q79+(R79*0.05)+(S79/240)</f>
        <v>0</v>
      </c>
      <c r="U79" s="14" t="n">
        <f aca="false">K79*P79</f>
        <v>0</v>
      </c>
      <c r="V79" s="18" t="n">
        <f aca="false">T79-U79</f>
        <v>0</v>
      </c>
      <c r="W79" s="19"/>
      <c r="X79" s="19"/>
    </row>
    <row r="80" customFormat="false" ht="16" hidden="false" customHeight="false" outlineLevel="0" collapsed="false">
      <c r="A80" s="8" t="s">
        <v>24</v>
      </c>
      <c r="B80" s="9" t="s">
        <v>25</v>
      </c>
      <c r="C80" s="9" t="s">
        <v>26</v>
      </c>
      <c r="D80" s="10" t="n">
        <v>1789</v>
      </c>
      <c r="E80" s="9" t="s">
        <v>27</v>
      </c>
      <c r="F80" s="9" t="s">
        <v>30</v>
      </c>
      <c r="G80" s="9" t="n">
        <v>12</v>
      </c>
      <c r="H80" s="12"/>
      <c r="I80" s="13"/>
      <c r="J80" s="13"/>
      <c r="K80" s="14"/>
      <c r="L80" s="15"/>
      <c r="M80" s="14"/>
      <c r="N80" s="14"/>
      <c r="O80" s="16"/>
      <c r="P80" s="17" t="n">
        <f aca="false">M80+(0.05*N80)+(O80/240)</f>
        <v>0</v>
      </c>
      <c r="Q80" s="14"/>
      <c r="R80" s="14"/>
      <c r="S80" s="14"/>
      <c r="T80" s="14" t="n">
        <f aca="false">Q80+(R80*0.05)+(S80/240)</f>
        <v>0</v>
      </c>
      <c r="U80" s="14" t="n">
        <f aca="false">K80*P80</f>
        <v>0</v>
      </c>
      <c r="V80" s="18" t="n">
        <f aca="false">T80-U80</f>
        <v>0</v>
      </c>
      <c r="W80" s="19"/>
      <c r="X80" s="19"/>
    </row>
    <row r="81" customFormat="false" ht="16" hidden="false" customHeight="false" outlineLevel="0" collapsed="false">
      <c r="A81" s="8" t="s">
        <v>24</v>
      </c>
      <c r="B81" s="9" t="s">
        <v>25</v>
      </c>
      <c r="C81" s="9" t="s">
        <v>26</v>
      </c>
      <c r="D81" s="10" t="n">
        <v>1789</v>
      </c>
      <c r="E81" s="9" t="s">
        <v>27</v>
      </c>
      <c r="F81" s="9" t="s">
        <v>30</v>
      </c>
      <c r="G81" s="9" t="n">
        <v>12</v>
      </c>
      <c r="H81" s="12"/>
      <c r="I81" s="13"/>
      <c r="J81" s="13"/>
      <c r="K81" s="14"/>
      <c r="L81" s="15"/>
      <c r="M81" s="14"/>
      <c r="N81" s="14"/>
      <c r="O81" s="16"/>
      <c r="P81" s="17" t="n">
        <f aca="false">M81+(0.05*N81)+(O81/240)</f>
        <v>0</v>
      </c>
      <c r="Q81" s="14"/>
      <c r="R81" s="14"/>
      <c r="S81" s="14"/>
      <c r="T81" s="14" t="n">
        <f aca="false">Q81+(R81*0.05)+(S81/240)</f>
        <v>0</v>
      </c>
      <c r="U81" s="14" t="n">
        <f aca="false">K81*P81</f>
        <v>0</v>
      </c>
      <c r="V81" s="18" t="n">
        <f aca="false">T81-U81</f>
        <v>0</v>
      </c>
      <c r="W81" s="19"/>
      <c r="X81" s="19"/>
    </row>
    <row r="82" customFormat="false" ht="16" hidden="false" customHeight="false" outlineLevel="0" collapsed="false">
      <c r="A82" s="8" t="s">
        <v>24</v>
      </c>
      <c r="B82" s="9" t="s">
        <v>25</v>
      </c>
      <c r="C82" s="9" t="s">
        <v>26</v>
      </c>
      <c r="D82" s="10" t="n">
        <v>1789</v>
      </c>
      <c r="E82" s="9" t="s">
        <v>27</v>
      </c>
      <c r="F82" s="9" t="s">
        <v>30</v>
      </c>
      <c r="G82" s="9" t="n">
        <v>12</v>
      </c>
      <c r="H82" s="12"/>
      <c r="I82" s="13"/>
      <c r="J82" s="13"/>
      <c r="K82" s="14"/>
      <c r="L82" s="15"/>
      <c r="M82" s="14"/>
      <c r="N82" s="14"/>
      <c r="O82" s="16"/>
      <c r="P82" s="17" t="n">
        <f aca="false">M82+(0.05*N82)+(O82/240)</f>
        <v>0</v>
      </c>
      <c r="Q82" s="14"/>
      <c r="R82" s="14"/>
      <c r="S82" s="14"/>
      <c r="T82" s="14" t="n">
        <f aca="false">Q82+(R82*0.05)+(S82/240)</f>
        <v>0</v>
      </c>
      <c r="U82" s="14" t="n">
        <f aca="false">K82*P82</f>
        <v>0</v>
      </c>
      <c r="V82" s="18" t="n">
        <f aca="false">T82-U82</f>
        <v>0</v>
      </c>
      <c r="W82" s="19"/>
      <c r="X82" s="19"/>
    </row>
    <row r="83" customFormat="false" ht="16" hidden="false" customHeight="false" outlineLevel="0" collapsed="false">
      <c r="A83" s="8" t="s">
        <v>24</v>
      </c>
      <c r="B83" s="9" t="s">
        <v>25</v>
      </c>
      <c r="C83" s="9" t="s">
        <v>26</v>
      </c>
      <c r="D83" s="10" t="n">
        <v>1789</v>
      </c>
      <c r="E83" s="9" t="s">
        <v>27</v>
      </c>
      <c r="F83" s="9" t="s">
        <v>30</v>
      </c>
      <c r="G83" s="9" t="n">
        <v>12</v>
      </c>
      <c r="H83" s="12"/>
      <c r="I83" s="13"/>
      <c r="J83" s="13"/>
      <c r="K83" s="14"/>
      <c r="L83" s="15"/>
      <c r="M83" s="14"/>
      <c r="N83" s="14"/>
      <c r="O83" s="16"/>
      <c r="P83" s="17" t="n">
        <f aca="false">M83+(0.05*N83)+(O83/240)</f>
        <v>0</v>
      </c>
      <c r="Q83" s="14"/>
      <c r="R83" s="14"/>
      <c r="S83" s="14"/>
      <c r="T83" s="14" t="n">
        <f aca="false">Q83+(R83*0.05)+(S83/240)</f>
        <v>0</v>
      </c>
      <c r="U83" s="14" t="n">
        <f aca="false">K83*P83</f>
        <v>0</v>
      </c>
      <c r="V83" s="18" t="n">
        <f aca="false">T83-U83</f>
        <v>0</v>
      </c>
      <c r="W83" s="19"/>
      <c r="X83" s="19"/>
    </row>
    <row r="84" customFormat="false" ht="16" hidden="false" customHeight="false" outlineLevel="0" collapsed="false">
      <c r="A84" s="8" t="s">
        <v>24</v>
      </c>
      <c r="B84" s="9" t="s">
        <v>25</v>
      </c>
      <c r="C84" s="9" t="s">
        <v>26</v>
      </c>
      <c r="D84" s="10" t="n">
        <v>1789</v>
      </c>
      <c r="E84" s="9" t="s">
        <v>27</v>
      </c>
      <c r="F84" s="9" t="s">
        <v>30</v>
      </c>
      <c r="G84" s="9" t="n">
        <v>12</v>
      </c>
      <c r="H84" s="12"/>
      <c r="I84" s="13"/>
      <c r="J84" s="13"/>
      <c r="K84" s="14"/>
      <c r="L84" s="15"/>
      <c r="M84" s="14"/>
      <c r="N84" s="14"/>
      <c r="O84" s="16"/>
      <c r="P84" s="17" t="n">
        <f aca="false">M84+(0.05*N84)+(O84/240)</f>
        <v>0</v>
      </c>
      <c r="Q84" s="14"/>
      <c r="R84" s="14"/>
      <c r="S84" s="14"/>
      <c r="T84" s="14" t="n">
        <f aca="false">Q84+(R84*0.05)+(S84/240)</f>
        <v>0</v>
      </c>
      <c r="U84" s="14" t="n">
        <f aca="false">K84*P84</f>
        <v>0</v>
      </c>
      <c r="V84" s="18" t="n">
        <f aca="false">T84-U84</f>
        <v>0</v>
      </c>
      <c r="W84" s="19"/>
      <c r="X84" s="19"/>
    </row>
    <row r="85" customFormat="false" ht="16" hidden="false" customHeight="false" outlineLevel="0" collapsed="false">
      <c r="A85" s="8" t="s">
        <v>24</v>
      </c>
      <c r="B85" s="9" t="s">
        <v>25</v>
      </c>
      <c r="C85" s="9" t="s">
        <v>26</v>
      </c>
      <c r="D85" s="10" t="n">
        <v>1789</v>
      </c>
      <c r="E85" s="9" t="s">
        <v>27</v>
      </c>
      <c r="F85" s="9" t="s">
        <v>30</v>
      </c>
      <c r="G85" s="9" t="n">
        <v>12</v>
      </c>
      <c r="H85" s="12"/>
      <c r="I85" s="13"/>
      <c r="J85" s="13"/>
      <c r="K85" s="14"/>
      <c r="L85" s="15"/>
      <c r="M85" s="14"/>
      <c r="N85" s="14"/>
      <c r="O85" s="16"/>
      <c r="P85" s="17" t="n">
        <f aca="false">M85+(0.05*N85)+(O85/240)</f>
        <v>0</v>
      </c>
      <c r="Q85" s="14"/>
      <c r="R85" s="14"/>
      <c r="S85" s="14"/>
      <c r="T85" s="14" t="n">
        <f aca="false">Q85+(R85*0.05)+(S85/240)</f>
        <v>0</v>
      </c>
      <c r="U85" s="14" t="n">
        <f aca="false">K85*P85</f>
        <v>0</v>
      </c>
      <c r="V85" s="18" t="n">
        <f aca="false">T85-U85</f>
        <v>0</v>
      </c>
      <c r="W85" s="19"/>
      <c r="X85" s="19"/>
    </row>
    <row r="86" customFormat="false" ht="16" hidden="false" customHeight="false" outlineLevel="0" collapsed="false">
      <c r="A86" s="8" t="s">
        <v>24</v>
      </c>
      <c r="B86" s="9" t="s">
        <v>25</v>
      </c>
      <c r="C86" s="9" t="s">
        <v>26</v>
      </c>
      <c r="D86" s="10" t="n">
        <v>1789</v>
      </c>
      <c r="E86" s="9" t="s">
        <v>27</v>
      </c>
      <c r="F86" s="9" t="s">
        <v>30</v>
      </c>
      <c r="G86" s="9" t="n">
        <v>12</v>
      </c>
      <c r="H86" s="12"/>
      <c r="I86" s="13"/>
      <c r="J86" s="13"/>
      <c r="K86" s="14"/>
      <c r="L86" s="15"/>
      <c r="M86" s="14"/>
      <c r="N86" s="14"/>
      <c r="O86" s="16"/>
      <c r="P86" s="17" t="n">
        <f aca="false">M86+(0.05*N86)+(O86/240)</f>
        <v>0</v>
      </c>
      <c r="Q86" s="14"/>
      <c r="R86" s="14"/>
      <c r="S86" s="14"/>
      <c r="T86" s="14" t="n">
        <f aca="false">Q86+(R86*0.05)+(S86/240)</f>
        <v>0</v>
      </c>
      <c r="U86" s="14" t="n">
        <f aca="false">K86*P86</f>
        <v>0</v>
      </c>
      <c r="V86" s="18" t="n">
        <f aca="false">T86-U86</f>
        <v>0</v>
      </c>
      <c r="W86" s="19"/>
      <c r="X86" s="19"/>
    </row>
    <row r="87" customFormat="false" ht="16" hidden="false" customHeight="false" outlineLevel="0" collapsed="false">
      <c r="A87" s="8" t="s">
        <v>24</v>
      </c>
      <c r="B87" s="9" t="s">
        <v>25</v>
      </c>
      <c r="C87" s="9" t="s">
        <v>26</v>
      </c>
      <c r="D87" s="10" t="n">
        <v>1789</v>
      </c>
      <c r="E87" s="9" t="s">
        <v>27</v>
      </c>
      <c r="F87" s="9" t="s">
        <v>30</v>
      </c>
      <c r="G87" s="9" t="n">
        <v>12</v>
      </c>
      <c r="H87" s="12"/>
      <c r="I87" s="13"/>
      <c r="J87" s="13"/>
      <c r="K87" s="14"/>
      <c r="L87" s="15"/>
      <c r="M87" s="14"/>
      <c r="N87" s="14"/>
      <c r="O87" s="16"/>
      <c r="P87" s="17" t="n">
        <f aca="false">M87+(0.05*N87)+(O87/240)</f>
        <v>0</v>
      </c>
      <c r="Q87" s="14"/>
      <c r="R87" s="14"/>
      <c r="S87" s="14"/>
      <c r="T87" s="14" t="n">
        <f aca="false">Q87+(R87*0.05)+(S87/240)</f>
        <v>0</v>
      </c>
      <c r="U87" s="14" t="n">
        <f aca="false">K87*P87</f>
        <v>0</v>
      </c>
      <c r="V87" s="18" t="n">
        <f aca="false">T87-U87</f>
        <v>0</v>
      </c>
      <c r="W87" s="19"/>
      <c r="X87" s="19"/>
    </row>
    <row r="88" customFormat="false" ht="16" hidden="false" customHeight="false" outlineLevel="0" collapsed="false">
      <c r="A88" s="8" t="s">
        <v>24</v>
      </c>
      <c r="B88" s="9" t="s">
        <v>25</v>
      </c>
      <c r="C88" s="9" t="s">
        <v>26</v>
      </c>
      <c r="D88" s="10" t="n">
        <v>1789</v>
      </c>
      <c r="E88" s="9" t="s">
        <v>27</v>
      </c>
      <c r="F88" s="9" t="s">
        <v>30</v>
      </c>
      <c r="G88" s="9" t="n">
        <v>12</v>
      </c>
      <c r="H88" s="12"/>
      <c r="I88" s="13"/>
      <c r="J88" s="13"/>
      <c r="K88" s="14"/>
      <c r="L88" s="15"/>
      <c r="M88" s="14"/>
      <c r="N88" s="14"/>
      <c r="O88" s="16"/>
      <c r="P88" s="17" t="n">
        <f aca="false">M88+(0.05*N88)+(O88/240)</f>
        <v>0</v>
      </c>
      <c r="Q88" s="14"/>
      <c r="R88" s="14"/>
      <c r="S88" s="14"/>
      <c r="T88" s="14" t="n">
        <f aca="false">Q88+(R88*0.05)+(S88/240)</f>
        <v>0</v>
      </c>
      <c r="U88" s="14" t="n">
        <f aca="false">K88*P88</f>
        <v>0</v>
      </c>
      <c r="V88" s="18" t="n">
        <f aca="false">T88-U88</f>
        <v>0</v>
      </c>
      <c r="W88" s="19"/>
      <c r="X88" s="19"/>
    </row>
    <row r="89" customFormat="false" ht="16" hidden="false" customHeight="false" outlineLevel="0" collapsed="false">
      <c r="A89" s="8" t="s">
        <v>24</v>
      </c>
      <c r="B89" s="9" t="s">
        <v>25</v>
      </c>
      <c r="C89" s="9" t="s">
        <v>26</v>
      </c>
      <c r="D89" s="10" t="n">
        <v>1789</v>
      </c>
      <c r="E89" s="9" t="s">
        <v>27</v>
      </c>
      <c r="F89" s="9" t="s">
        <v>30</v>
      </c>
      <c r="G89" s="9" t="n">
        <v>12</v>
      </c>
      <c r="H89" s="12"/>
      <c r="I89" s="13"/>
      <c r="J89" s="13"/>
      <c r="K89" s="14"/>
      <c r="L89" s="15"/>
      <c r="M89" s="14"/>
      <c r="N89" s="14"/>
      <c r="O89" s="16"/>
      <c r="P89" s="17" t="n">
        <f aca="false">M89+(0.05*N89)+(O89/240)</f>
        <v>0</v>
      </c>
      <c r="Q89" s="14"/>
      <c r="R89" s="14"/>
      <c r="S89" s="14"/>
      <c r="T89" s="14" t="n">
        <f aca="false">Q89+(R89*0.05)+(S89/240)</f>
        <v>0</v>
      </c>
      <c r="U89" s="14" t="n">
        <f aca="false">K89*P89</f>
        <v>0</v>
      </c>
      <c r="V89" s="18" t="n">
        <f aca="false">T89-U89</f>
        <v>0</v>
      </c>
      <c r="W89" s="19"/>
      <c r="X89" s="19"/>
    </row>
    <row r="90" customFormat="false" ht="16" hidden="false" customHeight="false" outlineLevel="0" collapsed="false">
      <c r="A90" s="8" t="s">
        <v>24</v>
      </c>
      <c r="B90" s="9" t="s">
        <v>25</v>
      </c>
      <c r="C90" s="9" t="s">
        <v>26</v>
      </c>
      <c r="D90" s="10" t="n">
        <v>1789</v>
      </c>
      <c r="E90" s="9" t="s">
        <v>27</v>
      </c>
      <c r="F90" s="9" t="s">
        <v>30</v>
      </c>
      <c r="G90" s="9" t="n">
        <v>12</v>
      </c>
      <c r="H90" s="12"/>
      <c r="I90" s="13"/>
      <c r="J90" s="13"/>
      <c r="K90" s="14"/>
      <c r="L90" s="15"/>
      <c r="M90" s="14"/>
      <c r="N90" s="14"/>
      <c r="O90" s="16"/>
      <c r="P90" s="17" t="n">
        <f aca="false">M90+(0.05*N90)+(O90/240)</f>
        <v>0</v>
      </c>
      <c r="Q90" s="14"/>
      <c r="R90" s="14"/>
      <c r="S90" s="14"/>
      <c r="T90" s="14" t="n">
        <f aca="false">Q90+(R90*0.05)+(S90/240)</f>
        <v>0</v>
      </c>
      <c r="U90" s="14" t="n">
        <f aca="false">K90*P90</f>
        <v>0</v>
      </c>
      <c r="V90" s="18" t="n">
        <f aca="false">T90-U90</f>
        <v>0</v>
      </c>
      <c r="W90" s="19"/>
      <c r="X90" s="19"/>
    </row>
    <row r="91" customFormat="false" ht="16" hidden="false" customHeight="false" outlineLevel="0" collapsed="false">
      <c r="A91" s="8" t="s">
        <v>24</v>
      </c>
      <c r="B91" s="9" t="s">
        <v>25</v>
      </c>
      <c r="C91" s="9" t="s">
        <v>26</v>
      </c>
      <c r="D91" s="10" t="n">
        <v>1789</v>
      </c>
      <c r="E91" s="9" t="s">
        <v>27</v>
      </c>
      <c r="F91" s="9" t="s">
        <v>30</v>
      </c>
      <c r="G91" s="9" t="n">
        <v>12</v>
      </c>
      <c r="H91" s="12"/>
      <c r="I91" s="13"/>
      <c r="J91" s="13"/>
      <c r="K91" s="14"/>
      <c r="L91" s="15"/>
      <c r="M91" s="14"/>
      <c r="N91" s="14"/>
      <c r="O91" s="16"/>
      <c r="P91" s="17" t="n">
        <f aca="false">M91+(0.05*N91)+(O91/240)</f>
        <v>0</v>
      </c>
      <c r="Q91" s="14"/>
      <c r="R91" s="14"/>
      <c r="S91" s="14"/>
      <c r="T91" s="14" t="n">
        <f aca="false">Q91+(R91*0.05)+(S91/240)</f>
        <v>0</v>
      </c>
      <c r="U91" s="14" t="n">
        <f aca="false">K91*P91</f>
        <v>0</v>
      </c>
      <c r="V91" s="18" t="n">
        <f aca="false">T91-U91</f>
        <v>0</v>
      </c>
      <c r="W91" s="19"/>
      <c r="X91" s="19"/>
    </row>
    <row r="92" customFormat="false" ht="16" hidden="false" customHeight="false" outlineLevel="0" collapsed="false">
      <c r="A92" s="8" t="s">
        <v>24</v>
      </c>
      <c r="B92" s="9" t="s">
        <v>25</v>
      </c>
      <c r="C92" s="9" t="s">
        <v>26</v>
      </c>
      <c r="D92" s="10" t="n">
        <v>1789</v>
      </c>
      <c r="E92" s="9" t="s">
        <v>27</v>
      </c>
      <c r="F92" s="9" t="s">
        <v>30</v>
      </c>
      <c r="G92" s="9" t="n">
        <v>12</v>
      </c>
      <c r="H92" s="12"/>
      <c r="I92" s="13"/>
      <c r="J92" s="13"/>
      <c r="K92" s="14"/>
      <c r="L92" s="15"/>
      <c r="M92" s="14"/>
      <c r="N92" s="14"/>
      <c r="O92" s="16"/>
      <c r="P92" s="17" t="n">
        <f aca="false">M92+(0.05*N92)+(O92/240)</f>
        <v>0</v>
      </c>
      <c r="Q92" s="14"/>
      <c r="R92" s="14"/>
      <c r="S92" s="14"/>
      <c r="T92" s="14" t="n">
        <f aca="false">Q92+(R92*0.05)+(S92/240)</f>
        <v>0</v>
      </c>
      <c r="U92" s="14" t="n">
        <f aca="false">K92*P92</f>
        <v>0</v>
      </c>
      <c r="V92" s="18" t="n">
        <f aca="false">T92-U92</f>
        <v>0</v>
      </c>
      <c r="W92" s="19"/>
      <c r="X92" s="19"/>
    </row>
    <row r="93" customFormat="false" ht="16" hidden="false" customHeight="false" outlineLevel="0" collapsed="false">
      <c r="A93" s="8" t="s">
        <v>24</v>
      </c>
      <c r="B93" s="9" t="s">
        <v>25</v>
      </c>
      <c r="C93" s="9" t="s">
        <v>26</v>
      </c>
      <c r="D93" s="10" t="n">
        <v>1789</v>
      </c>
      <c r="E93" s="9" t="s">
        <v>27</v>
      </c>
      <c r="F93" s="9" t="s">
        <v>30</v>
      </c>
      <c r="G93" s="9" t="n">
        <v>12</v>
      </c>
      <c r="H93" s="12"/>
      <c r="I93" s="13"/>
      <c r="J93" s="13"/>
      <c r="K93" s="14"/>
      <c r="L93" s="15"/>
      <c r="M93" s="14"/>
      <c r="N93" s="14"/>
      <c r="O93" s="16"/>
      <c r="P93" s="17" t="n">
        <f aca="false">M93+(0.05*N93)+(O93/240)</f>
        <v>0</v>
      </c>
      <c r="Q93" s="14"/>
      <c r="R93" s="14"/>
      <c r="S93" s="14"/>
      <c r="T93" s="14" t="n">
        <f aca="false">Q93+(R93*0.05)+(S93/240)</f>
        <v>0</v>
      </c>
      <c r="U93" s="14" t="n">
        <f aca="false">K93*P93</f>
        <v>0</v>
      </c>
      <c r="V93" s="18" t="n">
        <f aca="false">T93-U93</f>
        <v>0</v>
      </c>
      <c r="W93" s="19"/>
      <c r="X93" s="19"/>
    </row>
    <row r="94" customFormat="false" ht="16" hidden="false" customHeight="false" outlineLevel="0" collapsed="false">
      <c r="A94" s="8" t="s">
        <v>24</v>
      </c>
      <c r="B94" s="9" t="s">
        <v>25</v>
      </c>
      <c r="C94" s="9" t="s">
        <v>26</v>
      </c>
      <c r="D94" s="10" t="n">
        <v>1789</v>
      </c>
      <c r="E94" s="9" t="s">
        <v>27</v>
      </c>
      <c r="F94" s="9" t="s">
        <v>30</v>
      </c>
      <c r="G94" s="9" t="n">
        <v>12</v>
      </c>
      <c r="H94" s="12"/>
      <c r="I94" s="13"/>
      <c r="J94" s="13"/>
      <c r="K94" s="14"/>
      <c r="L94" s="15"/>
      <c r="M94" s="14"/>
      <c r="N94" s="14"/>
      <c r="O94" s="16"/>
      <c r="P94" s="17" t="n">
        <f aca="false">M94+(0.05*N94)+(O94/240)</f>
        <v>0</v>
      </c>
      <c r="Q94" s="14"/>
      <c r="R94" s="14"/>
      <c r="S94" s="14"/>
      <c r="T94" s="14" t="n">
        <f aca="false">Q94+(R94*0.05)+(S94/240)</f>
        <v>0</v>
      </c>
      <c r="U94" s="14" t="n">
        <f aca="false">K94*P94</f>
        <v>0</v>
      </c>
      <c r="V94" s="18" t="n">
        <f aca="false">T94-U94</f>
        <v>0</v>
      </c>
      <c r="W94" s="19"/>
      <c r="X94" s="19"/>
    </row>
    <row r="95" customFormat="false" ht="16" hidden="false" customHeight="false" outlineLevel="0" collapsed="false">
      <c r="A95" s="8" t="s">
        <v>24</v>
      </c>
      <c r="B95" s="9" t="s">
        <v>25</v>
      </c>
      <c r="C95" s="9" t="s">
        <v>26</v>
      </c>
      <c r="D95" s="10" t="n">
        <v>1789</v>
      </c>
      <c r="E95" s="9" t="s">
        <v>27</v>
      </c>
      <c r="F95" s="9" t="s">
        <v>30</v>
      </c>
      <c r="G95" s="9" t="n">
        <v>12</v>
      </c>
      <c r="H95" s="12"/>
      <c r="I95" s="13"/>
      <c r="J95" s="13"/>
      <c r="K95" s="14"/>
      <c r="L95" s="15"/>
      <c r="M95" s="14"/>
      <c r="N95" s="14"/>
      <c r="O95" s="16"/>
      <c r="P95" s="17" t="n">
        <f aca="false">M95+(0.05*N95)+(O95/240)</f>
        <v>0</v>
      </c>
      <c r="Q95" s="14"/>
      <c r="R95" s="14"/>
      <c r="S95" s="14"/>
      <c r="T95" s="14" t="n">
        <f aca="false">Q95+(R95*0.05)+(S95/240)</f>
        <v>0</v>
      </c>
      <c r="U95" s="14" t="n">
        <f aca="false">K95*P95</f>
        <v>0</v>
      </c>
      <c r="V95" s="18" t="n">
        <f aca="false">T95-U95</f>
        <v>0</v>
      </c>
      <c r="W95" s="19"/>
      <c r="X95" s="19"/>
    </row>
    <row r="96" customFormat="false" ht="16" hidden="false" customHeight="false" outlineLevel="0" collapsed="false">
      <c r="A96" s="8" t="s">
        <v>24</v>
      </c>
      <c r="B96" s="9" t="s">
        <v>25</v>
      </c>
      <c r="C96" s="9" t="s">
        <v>26</v>
      </c>
      <c r="D96" s="10" t="n">
        <v>1789</v>
      </c>
      <c r="E96" s="9" t="s">
        <v>27</v>
      </c>
      <c r="F96" s="9" t="s">
        <v>30</v>
      </c>
      <c r="G96" s="9" t="n">
        <v>12</v>
      </c>
      <c r="H96" s="12"/>
      <c r="I96" s="13"/>
      <c r="J96" s="13"/>
      <c r="K96" s="14"/>
      <c r="L96" s="15"/>
      <c r="M96" s="14"/>
      <c r="N96" s="14"/>
      <c r="O96" s="16"/>
      <c r="P96" s="17" t="n">
        <f aca="false">M96+(0.05*N96)+(O96/240)</f>
        <v>0</v>
      </c>
      <c r="Q96" s="14"/>
      <c r="R96" s="14"/>
      <c r="S96" s="14"/>
      <c r="T96" s="14" t="n">
        <f aca="false">Q96+(R96*0.05)+(S96/240)</f>
        <v>0</v>
      </c>
      <c r="U96" s="14" t="n">
        <f aca="false">K96*P96</f>
        <v>0</v>
      </c>
      <c r="V96" s="18" t="n">
        <f aca="false">T96-U96</f>
        <v>0</v>
      </c>
      <c r="W96" s="19"/>
      <c r="X96" s="19"/>
    </row>
    <row r="97" customFormat="false" ht="16" hidden="false" customHeight="false" outlineLevel="0" collapsed="false">
      <c r="A97" s="8" t="s">
        <v>24</v>
      </c>
      <c r="B97" s="9" t="s">
        <v>25</v>
      </c>
      <c r="C97" s="9" t="s">
        <v>26</v>
      </c>
      <c r="D97" s="10" t="n">
        <v>1789</v>
      </c>
      <c r="E97" s="9" t="s">
        <v>27</v>
      </c>
      <c r="F97" s="9" t="s">
        <v>30</v>
      </c>
      <c r="G97" s="9" t="n">
        <v>12</v>
      </c>
      <c r="H97" s="12"/>
      <c r="I97" s="13"/>
      <c r="J97" s="13"/>
      <c r="K97" s="14"/>
      <c r="L97" s="15"/>
      <c r="M97" s="14"/>
      <c r="N97" s="14"/>
      <c r="O97" s="16"/>
      <c r="P97" s="17" t="n">
        <f aca="false">M97+(0.05*N97)+(O97/240)</f>
        <v>0</v>
      </c>
      <c r="Q97" s="14"/>
      <c r="R97" s="14"/>
      <c r="S97" s="14"/>
      <c r="T97" s="14" t="n">
        <f aca="false">Q97+(R97*0.05)+(S97/240)</f>
        <v>0</v>
      </c>
      <c r="U97" s="14" t="n">
        <f aca="false">K97*P97</f>
        <v>0</v>
      </c>
      <c r="V97" s="18" t="n">
        <f aca="false">T97-U97</f>
        <v>0</v>
      </c>
      <c r="W97" s="19"/>
      <c r="X97" s="19"/>
    </row>
    <row r="98" customFormat="false" ht="16" hidden="false" customHeight="false" outlineLevel="0" collapsed="false">
      <c r="A98" s="8" t="s">
        <v>24</v>
      </c>
      <c r="B98" s="9" t="s">
        <v>25</v>
      </c>
      <c r="C98" s="9" t="s">
        <v>26</v>
      </c>
      <c r="D98" s="10" t="n">
        <v>1789</v>
      </c>
      <c r="E98" s="9" t="s">
        <v>27</v>
      </c>
      <c r="F98" s="9" t="s">
        <v>30</v>
      </c>
      <c r="G98" s="9" t="n">
        <v>12</v>
      </c>
      <c r="H98" s="12"/>
      <c r="I98" s="13"/>
      <c r="J98" s="13"/>
      <c r="K98" s="14"/>
      <c r="L98" s="15"/>
      <c r="M98" s="14"/>
      <c r="N98" s="14"/>
      <c r="O98" s="16"/>
      <c r="P98" s="17" t="n">
        <f aca="false">M98+(0.05*N98)+(O98/240)</f>
        <v>0</v>
      </c>
      <c r="Q98" s="14"/>
      <c r="R98" s="14"/>
      <c r="S98" s="14"/>
      <c r="T98" s="14" t="n">
        <f aca="false">Q98+(R98*0.05)+(S98/240)</f>
        <v>0</v>
      </c>
      <c r="U98" s="14" t="n">
        <f aca="false">K98*P98</f>
        <v>0</v>
      </c>
      <c r="V98" s="18" t="n">
        <f aca="false">T98-U98</f>
        <v>0</v>
      </c>
      <c r="W98" s="19"/>
      <c r="X98" s="19"/>
    </row>
    <row r="99" customFormat="false" ht="16" hidden="false" customHeight="false" outlineLevel="0" collapsed="false">
      <c r="A99" s="8" t="s">
        <v>24</v>
      </c>
      <c r="B99" s="9" t="s">
        <v>25</v>
      </c>
      <c r="C99" s="9" t="s">
        <v>26</v>
      </c>
      <c r="D99" s="10" t="n">
        <v>1789</v>
      </c>
      <c r="E99" s="9" t="s">
        <v>27</v>
      </c>
      <c r="F99" s="9" t="s">
        <v>30</v>
      </c>
      <c r="G99" s="9" t="n">
        <v>12</v>
      </c>
      <c r="H99" s="12"/>
      <c r="I99" s="13"/>
      <c r="J99" s="13"/>
      <c r="K99" s="14"/>
      <c r="L99" s="15"/>
      <c r="M99" s="14"/>
      <c r="N99" s="14"/>
      <c r="O99" s="16"/>
      <c r="P99" s="17" t="n">
        <f aca="false">M99+(0.05*N99)+(O99/240)</f>
        <v>0</v>
      </c>
      <c r="Q99" s="14"/>
      <c r="R99" s="14"/>
      <c r="S99" s="14"/>
      <c r="T99" s="14" t="n">
        <f aca="false">Q99+(R99*0.05)+(S99/240)</f>
        <v>0</v>
      </c>
      <c r="U99" s="14" t="n">
        <f aca="false">K99*P99</f>
        <v>0</v>
      </c>
      <c r="V99" s="18" t="n">
        <f aca="false">T99-U99</f>
        <v>0</v>
      </c>
      <c r="W99" s="19"/>
      <c r="X99" s="19"/>
    </row>
    <row r="100" customFormat="false" ht="16" hidden="false" customHeight="false" outlineLevel="0" collapsed="false">
      <c r="A100" s="8" t="s">
        <v>24</v>
      </c>
      <c r="B100" s="9" t="s">
        <v>25</v>
      </c>
      <c r="C100" s="9" t="s">
        <v>26</v>
      </c>
      <c r="D100" s="10" t="n">
        <v>1789</v>
      </c>
      <c r="E100" s="9" t="s">
        <v>27</v>
      </c>
      <c r="F100" s="9" t="s">
        <v>30</v>
      </c>
      <c r="G100" s="9" t="n">
        <v>12</v>
      </c>
      <c r="H100" s="12"/>
      <c r="I100" s="13"/>
      <c r="J100" s="13"/>
      <c r="K100" s="14"/>
      <c r="L100" s="15"/>
      <c r="M100" s="14"/>
      <c r="N100" s="14"/>
      <c r="O100" s="16"/>
      <c r="P100" s="17" t="n">
        <f aca="false">M100+(0.05*N100)+(O100/240)</f>
        <v>0</v>
      </c>
      <c r="Q100" s="14"/>
      <c r="R100" s="14"/>
      <c r="S100" s="14"/>
      <c r="T100" s="14" t="n">
        <f aca="false">Q100+(R100*0.05)+(S100/240)</f>
        <v>0</v>
      </c>
      <c r="U100" s="14" t="n">
        <f aca="false">K100*P100</f>
        <v>0</v>
      </c>
      <c r="V100" s="18" t="n">
        <f aca="false">T100-U100</f>
        <v>0</v>
      </c>
      <c r="W100" s="19"/>
      <c r="X100" s="19"/>
    </row>
    <row r="101" customFormat="false" ht="16" hidden="false" customHeight="false" outlineLevel="0" collapsed="false">
      <c r="A101" s="8" t="s">
        <v>24</v>
      </c>
      <c r="B101" s="9" t="s">
        <v>25</v>
      </c>
      <c r="C101" s="9" t="s">
        <v>26</v>
      </c>
      <c r="D101" s="10" t="n">
        <v>1789</v>
      </c>
      <c r="E101" s="9" t="s">
        <v>27</v>
      </c>
      <c r="F101" s="9" t="s">
        <v>30</v>
      </c>
      <c r="G101" s="9" t="n">
        <v>12</v>
      </c>
      <c r="H101" s="12"/>
      <c r="I101" s="13"/>
      <c r="J101" s="13"/>
      <c r="K101" s="14"/>
      <c r="L101" s="15"/>
      <c r="M101" s="14"/>
      <c r="N101" s="14"/>
      <c r="O101" s="16"/>
      <c r="P101" s="17" t="n">
        <f aca="false">M101+(0.05*N101)+(O101/240)</f>
        <v>0</v>
      </c>
      <c r="Q101" s="14"/>
      <c r="R101" s="14"/>
      <c r="S101" s="14"/>
      <c r="T101" s="14" t="n">
        <f aca="false">Q101+(R101*0.05)+(S101/240)</f>
        <v>0</v>
      </c>
      <c r="U101" s="14" t="n">
        <f aca="false">K101*P101</f>
        <v>0</v>
      </c>
      <c r="V101" s="18" t="n">
        <f aca="false">T101-U101</f>
        <v>0</v>
      </c>
      <c r="W101" s="19"/>
      <c r="X101" s="19"/>
    </row>
    <row r="102" customFormat="false" ht="16" hidden="false" customHeight="false" outlineLevel="0" collapsed="false">
      <c r="A102" s="8" t="s">
        <v>24</v>
      </c>
      <c r="B102" s="9" t="s">
        <v>25</v>
      </c>
      <c r="C102" s="9" t="s">
        <v>26</v>
      </c>
      <c r="D102" s="10" t="n">
        <v>1789</v>
      </c>
      <c r="E102" s="9" t="s">
        <v>27</v>
      </c>
      <c r="F102" s="9" t="s">
        <v>30</v>
      </c>
      <c r="G102" s="9" t="n">
        <v>12</v>
      </c>
      <c r="H102" s="12"/>
      <c r="I102" s="13"/>
      <c r="J102" s="13"/>
      <c r="K102" s="14"/>
      <c r="L102" s="15"/>
      <c r="M102" s="14"/>
      <c r="N102" s="14"/>
      <c r="O102" s="16"/>
      <c r="P102" s="17" t="n">
        <f aca="false">M102+(0.05*N102)+(O102/240)</f>
        <v>0</v>
      </c>
      <c r="Q102" s="14"/>
      <c r="R102" s="14"/>
      <c r="S102" s="14"/>
      <c r="T102" s="14" t="n">
        <f aca="false">Q102+(R102*0.05)+(S102/240)</f>
        <v>0</v>
      </c>
      <c r="U102" s="14" t="n">
        <f aca="false">K102*P102</f>
        <v>0</v>
      </c>
      <c r="V102" s="18" t="n">
        <f aca="false">T102-U102</f>
        <v>0</v>
      </c>
      <c r="W102" s="19"/>
      <c r="X102" s="19"/>
    </row>
    <row r="103" customFormat="false" ht="16" hidden="false" customHeight="false" outlineLevel="0" collapsed="false">
      <c r="A103" s="8" t="s">
        <v>24</v>
      </c>
      <c r="B103" s="9" t="s">
        <v>25</v>
      </c>
      <c r="C103" s="9" t="s">
        <v>26</v>
      </c>
      <c r="D103" s="10" t="n">
        <v>1789</v>
      </c>
      <c r="E103" s="9" t="s">
        <v>27</v>
      </c>
      <c r="F103" s="9" t="s">
        <v>30</v>
      </c>
      <c r="G103" s="9" t="n">
        <v>12</v>
      </c>
      <c r="H103" s="12"/>
      <c r="I103" s="13"/>
      <c r="J103" s="13"/>
      <c r="K103" s="14"/>
      <c r="L103" s="15"/>
      <c r="M103" s="14"/>
      <c r="N103" s="14"/>
      <c r="O103" s="16"/>
      <c r="P103" s="17" t="n">
        <f aca="false">M103+(0.05*N103)+(O103/240)</f>
        <v>0</v>
      </c>
      <c r="Q103" s="14"/>
      <c r="R103" s="14"/>
      <c r="S103" s="14"/>
      <c r="T103" s="14" t="n">
        <f aca="false">Q103+(R103*0.05)+(S103/240)</f>
        <v>0</v>
      </c>
      <c r="U103" s="14" t="n">
        <f aca="false">K103*P103</f>
        <v>0</v>
      </c>
      <c r="V103" s="18" t="n">
        <f aca="false">T103-U103</f>
        <v>0</v>
      </c>
      <c r="W103" s="19"/>
      <c r="X103" s="19"/>
    </row>
    <row r="104" customFormat="false" ht="16" hidden="false" customHeight="false" outlineLevel="0" collapsed="false">
      <c r="A104" s="8" t="s">
        <v>24</v>
      </c>
      <c r="B104" s="9" t="s">
        <v>25</v>
      </c>
      <c r="C104" s="9" t="s">
        <v>26</v>
      </c>
      <c r="D104" s="10" t="n">
        <v>1789</v>
      </c>
      <c r="E104" s="9" t="s">
        <v>27</v>
      </c>
      <c r="F104" s="9" t="s">
        <v>30</v>
      </c>
      <c r="G104" s="9" t="n">
        <v>12</v>
      </c>
      <c r="H104" s="12"/>
      <c r="I104" s="13"/>
      <c r="J104" s="13"/>
      <c r="K104" s="14"/>
      <c r="L104" s="15"/>
      <c r="M104" s="14"/>
      <c r="N104" s="14"/>
      <c r="O104" s="16"/>
      <c r="P104" s="17" t="n">
        <f aca="false">M104+(0.05*N104)+(O104/240)</f>
        <v>0</v>
      </c>
      <c r="Q104" s="14"/>
      <c r="R104" s="14"/>
      <c r="S104" s="14"/>
      <c r="T104" s="14" t="n">
        <f aca="false">Q104+(R104*0.05)+(S104/240)</f>
        <v>0</v>
      </c>
      <c r="U104" s="14" t="n">
        <f aca="false">K104*P104</f>
        <v>0</v>
      </c>
      <c r="V104" s="18" t="n">
        <f aca="false">T104-U104</f>
        <v>0</v>
      </c>
      <c r="W104" s="19"/>
      <c r="X104" s="19"/>
    </row>
    <row r="105" customFormat="false" ht="16" hidden="false" customHeight="false" outlineLevel="0" collapsed="false">
      <c r="A105" s="8" t="s">
        <v>24</v>
      </c>
      <c r="B105" s="9" t="s">
        <v>25</v>
      </c>
      <c r="C105" s="9" t="s">
        <v>26</v>
      </c>
      <c r="D105" s="10" t="n">
        <v>1789</v>
      </c>
      <c r="E105" s="9" t="s">
        <v>27</v>
      </c>
      <c r="F105" s="9" t="s">
        <v>30</v>
      </c>
      <c r="G105" s="9" t="n">
        <v>12</v>
      </c>
      <c r="H105" s="12"/>
      <c r="I105" s="13"/>
      <c r="J105" s="13"/>
      <c r="K105" s="14"/>
      <c r="L105" s="15"/>
      <c r="M105" s="14"/>
      <c r="N105" s="14"/>
      <c r="O105" s="16"/>
      <c r="P105" s="17" t="n">
        <f aca="false">M105+(0.05*N105)+(O105/240)</f>
        <v>0</v>
      </c>
      <c r="Q105" s="14"/>
      <c r="R105" s="14"/>
      <c r="S105" s="14"/>
      <c r="T105" s="14" t="n">
        <f aca="false">Q105+(R105*0.05)+(S105/240)</f>
        <v>0</v>
      </c>
      <c r="U105" s="14" t="n">
        <f aca="false">K105*P105</f>
        <v>0</v>
      </c>
      <c r="V105" s="18" t="n">
        <f aca="false">T105-U105</f>
        <v>0</v>
      </c>
      <c r="W105" s="19"/>
      <c r="X105" s="19"/>
    </row>
    <row r="106" customFormat="false" ht="16" hidden="false" customHeight="false" outlineLevel="0" collapsed="false">
      <c r="A106" s="8" t="s">
        <v>24</v>
      </c>
      <c r="B106" s="9" t="s">
        <v>25</v>
      </c>
      <c r="C106" s="9" t="s">
        <v>26</v>
      </c>
      <c r="D106" s="10" t="n">
        <v>1789</v>
      </c>
      <c r="E106" s="9" t="s">
        <v>27</v>
      </c>
      <c r="F106" s="9" t="s">
        <v>30</v>
      </c>
      <c r="G106" s="9" t="n">
        <v>12</v>
      </c>
      <c r="H106" s="12"/>
      <c r="I106" s="13"/>
      <c r="J106" s="13"/>
      <c r="K106" s="14"/>
      <c r="L106" s="15"/>
      <c r="M106" s="14"/>
      <c r="N106" s="14"/>
      <c r="O106" s="16"/>
      <c r="P106" s="17" t="n">
        <f aca="false">M106+(0.05*N106)+(O106/240)</f>
        <v>0</v>
      </c>
      <c r="Q106" s="14"/>
      <c r="R106" s="14"/>
      <c r="S106" s="14"/>
      <c r="T106" s="14" t="n">
        <f aca="false">Q106+(R106*0.05)+(S106/240)</f>
        <v>0</v>
      </c>
      <c r="U106" s="14" t="n">
        <f aca="false">K106*P106</f>
        <v>0</v>
      </c>
      <c r="V106" s="18" t="n">
        <f aca="false">T106-U106</f>
        <v>0</v>
      </c>
      <c r="W106" s="19"/>
      <c r="X106" s="19"/>
    </row>
    <row r="107" customFormat="false" ht="16" hidden="false" customHeight="false" outlineLevel="0" collapsed="false">
      <c r="A107" s="8" t="s">
        <v>24</v>
      </c>
      <c r="B107" s="9" t="s">
        <v>25</v>
      </c>
      <c r="C107" s="9" t="s">
        <v>26</v>
      </c>
      <c r="D107" s="10" t="n">
        <v>1789</v>
      </c>
      <c r="E107" s="9" t="s">
        <v>27</v>
      </c>
      <c r="F107" s="9" t="s">
        <v>30</v>
      </c>
      <c r="G107" s="9" t="n">
        <v>12</v>
      </c>
      <c r="H107" s="12"/>
      <c r="I107" s="13"/>
      <c r="J107" s="13"/>
      <c r="K107" s="14"/>
      <c r="L107" s="15"/>
      <c r="M107" s="14"/>
      <c r="N107" s="14"/>
      <c r="O107" s="16"/>
      <c r="P107" s="17" t="n">
        <f aca="false">M107+(0.05*N107)+(O107/240)</f>
        <v>0</v>
      </c>
      <c r="Q107" s="14"/>
      <c r="R107" s="14"/>
      <c r="S107" s="14"/>
      <c r="T107" s="14" t="n">
        <f aca="false">Q107+(R107*0.05)+(S107/240)</f>
        <v>0</v>
      </c>
      <c r="U107" s="14" t="n">
        <f aca="false">K107*P107</f>
        <v>0</v>
      </c>
      <c r="V107" s="18" t="n">
        <f aca="false">T107-U107</f>
        <v>0</v>
      </c>
      <c r="W107" s="19"/>
      <c r="X107" s="19"/>
    </row>
    <row r="108" customFormat="false" ht="16" hidden="false" customHeight="false" outlineLevel="0" collapsed="false">
      <c r="A108" s="8" t="s">
        <v>24</v>
      </c>
      <c r="B108" s="9" t="s">
        <v>25</v>
      </c>
      <c r="C108" s="9" t="s">
        <v>26</v>
      </c>
      <c r="D108" s="10" t="n">
        <v>1789</v>
      </c>
      <c r="E108" s="9" t="s">
        <v>27</v>
      </c>
      <c r="F108" s="9" t="s">
        <v>30</v>
      </c>
      <c r="G108" s="9" t="n">
        <v>12</v>
      </c>
      <c r="H108" s="12"/>
      <c r="I108" s="13"/>
      <c r="J108" s="13"/>
      <c r="K108" s="14"/>
      <c r="L108" s="15"/>
      <c r="M108" s="14"/>
      <c r="N108" s="14"/>
      <c r="O108" s="16"/>
      <c r="P108" s="17" t="n">
        <f aca="false">M108+(0.05*N108)+(O108/240)</f>
        <v>0</v>
      </c>
      <c r="Q108" s="14"/>
      <c r="R108" s="14"/>
      <c r="S108" s="14"/>
      <c r="T108" s="14" t="n">
        <f aca="false">Q108+(R108*0.05)+(S108/240)</f>
        <v>0</v>
      </c>
      <c r="U108" s="14" t="n">
        <f aca="false">K108*P108</f>
        <v>0</v>
      </c>
      <c r="V108" s="18" t="n">
        <f aca="false">T108-U108</f>
        <v>0</v>
      </c>
      <c r="W108" s="19"/>
      <c r="X108" s="19"/>
    </row>
    <row r="109" customFormat="false" ht="16" hidden="false" customHeight="false" outlineLevel="0" collapsed="false">
      <c r="A109" s="8" t="s">
        <v>24</v>
      </c>
      <c r="B109" s="9" t="s">
        <v>25</v>
      </c>
      <c r="C109" s="9" t="s">
        <v>26</v>
      </c>
      <c r="D109" s="10" t="n">
        <v>1789</v>
      </c>
      <c r="E109" s="9" t="s">
        <v>27</v>
      </c>
      <c r="F109" s="9" t="s">
        <v>30</v>
      </c>
      <c r="G109" s="9" t="n">
        <v>12</v>
      </c>
      <c r="H109" s="12"/>
      <c r="I109" s="13"/>
      <c r="J109" s="13"/>
      <c r="K109" s="14"/>
      <c r="L109" s="15"/>
      <c r="M109" s="14"/>
      <c r="N109" s="14"/>
      <c r="O109" s="16"/>
      <c r="P109" s="17" t="n">
        <f aca="false">M109+(0.05*N109)+(O109/240)</f>
        <v>0</v>
      </c>
      <c r="Q109" s="14"/>
      <c r="R109" s="14"/>
      <c r="S109" s="14"/>
      <c r="T109" s="14" t="n">
        <f aca="false">Q109+(R109*0.05)+(S109/240)</f>
        <v>0</v>
      </c>
      <c r="U109" s="14" t="n">
        <f aca="false">K109*P109</f>
        <v>0</v>
      </c>
      <c r="V109" s="18" t="n">
        <f aca="false">T109-U109</f>
        <v>0</v>
      </c>
      <c r="W109" s="19"/>
      <c r="X109" s="19"/>
    </row>
    <row r="110" customFormat="false" ht="16" hidden="false" customHeight="false" outlineLevel="0" collapsed="false">
      <c r="A110" s="8" t="s">
        <v>24</v>
      </c>
      <c r="B110" s="9" t="s">
        <v>25</v>
      </c>
      <c r="C110" s="9" t="s">
        <v>26</v>
      </c>
      <c r="D110" s="10" t="n">
        <v>1789</v>
      </c>
      <c r="E110" s="9" t="s">
        <v>27</v>
      </c>
      <c r="F110" s="9" t="s">
        <v>30</v>
      </c>
      <c r="G110" s="9" t="n">
        <v>12</v>
      </c>
      <c r="H110" s="12"/>
      <c r="I110" s="13"/>
      <c r="J110" s="13"/>
      <c r="K110" s="14"/>
      <c r="L110" s="15"/>
      <c r="M110" s="14"/>
      <c r="N110" s="14"/>
      <c r="O110" s="16"/>
      <c r="P110" s="17" t="n">
        <f aca="false">M110+(0.05*N110)+(O110/240)</f>
        <v>0</v>
      </c>
      <c r="Q110" s="14"/>
      <c r="R110" s="14"/>
      <c r="S110" s="14"/>
      <c r="T110" s="14" t="n">
        <f aca="false">Q110+(R110*0.05)+(S110/240)</f>
        <v>0</v>
      </c>
      <c r="U110" s="14" t="n">
        <f aca="false">K110*P110</f>
        <v>0</v>
      </c>
      <c r="V110" s="18" t="n">
        <f aca="false">T110-U110</f>
        <v>0</v>
      </c>
      <c r="W110" s="19"/>
      <c r="X110" s="19"/>
    </row>
    <row r="111" customFormat="false" ht="16" hidden="false" customHeight="false" outlineLevel="0" collapsed="false">
      <c r="A111" s="8" t="s">
        <v>24</v>
      </c>
      <c r="B111" s="9" t="s">
        <v>25</v>
      </c>
      <c r="C111" s="9" t="s">
        <v>26</v>
      </c>
      <c r="D111" s="10" t="n">
        <v>1789</v>
      </c>
      <c r="E111" s="9" t="s">
        <v>27</v>
      </c>
      <c r="F111" s="9" t="s">
        <v>30</v>
      </c>
      <c r="G111" s="9" t="n">
        <v>12</v>
      </c>
      <c r="H111" s="12"/>
      <c r="I111" s="13"/>
      <c r="J111" s="13"/>
      <c r="K111" s="14"/>
      <c r="L111" s="15"/>
      <c r="M111" s="14"/>
      <c r="N111" s="14"/>
      <c r="O111" s="16"/>
      <c r="P111" s="17" t="n">
        <f aca="false">M111+(0.05*N111)+(O111/240)</f>
        <v>0</v>
      </c>
      <c r="Q111" s="14"/>
      <c r="R111" s="14"/>
      <c r="S111" s="14"/>
      <c r="T111" s="14" t="n">
        <f aca="false">Q111+(R111*0.05)+(S111/240)</f>
        <v>0</v>
      </c>
      <c r="U111" s="14" t="n">
        <f aca="false">K111*P111</f>
        <v>0</v>
      </c>
      <c r="V111" s="18" t="n">
        <f aca="false">T111-U111</f>
        <v>0</v>
      </c>
      <c r="W111" s="19"/>
      <c r="X111" s="19"/>
    </row>
    <row r="112" customFormat="false" ht="16" hidden="false" customHeight="false" outlineLevel="0" collapsed="false">
      <c r="A112" s="8" t="s">
        <v>24</v>
      </c>
      <c r="B112" s="9" t="s">
        <v>25</v>
      </c>
      <c r="C112" s="9" t="s">
        <v>26</v>
      </c>
      <c r="D112" s="10" t="n">
        <v>1789</v>
      </c>
      <c r="E112" s="9" t="s">
        <v>27</v>
      </c>
      <c r="F112" s="9" t="s">
        <v>30</v>
      </c>
      <c r="G112" s="9" t="n">
        <v>12</v>
      </c>
      <c r="H112" s="12"/>
      <c r="I112" s="13"/>
      <c r="J112" s="13"/>
      <c r="K112" s="14"/>
      <c r="L112" s="15"/>
      <c r="M112" s="14"/>
      <c r="N112" s="14"/>
      <c r="O112" s="16"/>
      <c r="P112" s="17" t="n">
        <f aca="false">M112+(0.05*N112)+(O112/240)</f>
        <v>0</v>
      </c>
      <c r="Q112" s="14"/>
      <c r="R112" s="14"/>
      <c r="S112" s="14"/>
      <c r="T112" s="14" t="n">
        <f aca="false">Q112+(R112*0.05)+(S112/240)</f>
        <v>0</v>
      </c>
      <c r="U112" s="14" t="n">
        <f aca="false">K112*P112</f>
        <v>0</v>
      </c>
      <c r="V112" s="18" t="n">
        <f aca="false">T112-U112</f>
        <v>0</v>
      </c>
      <c r="W112" s="19"/>
      <c r="X112" s="19"/>
    </row>
    <row r="113" customFormat="false" ht="16" hidden="false" customHeight="false" outlineLevel="0" collapsed="false">
      <c r="A113" s="8" t="s">
        <v>24</v>
      </c>
      <c r="B113" s="9" t="s">
        <v>25</v>
      </c>
      <c r="C113" s="9" t="s">
        <v>26</v>
      </c>
      <c r="D113" s="10" t="n">
        <v>1789</v>
      </c>
      <c r="E113" s="9" t="s">
        <v>27</v>
      </c>
      <c r="F113" s="9" t="s">
        <v>30</v>
      </c>
      <c r="G113" s="9" t="n">
        <v>12</v>
      </c>
      <c r="H113" s="12"/>
      <c r="I113" s="13"/>
      <c r="J113" s="13"/>
      <c r="K113" s="14"/>
      <c r="L113" s="15"/>
      <c r="M113" s="14"/>
      <c r="N113" s="14"/>
      <c r="O113" s="16"/>
      <c r="P113" s="17" t="n">
        <f aca="false">M113+(0.05*N113)+(O113/240)</f>
        <v>0</v>
      </c>
      <c r="Q113" s="14"/>
      <c r="R113" s="14"/>
      <c r="S113" s="14"/>
      <c r="T113" s="14" t="n">
        <f aca="false">Q113+(R113*0.05)+(S113/240)</f>
        <v>0</v>
      </c>
      <c r="U113" s="14" t="n">
        <f aca="false">K113*P113</f>
        <v>0</v>
      </c>
      <c r="V113" s="18" t="n">
        <f aca="false">T113-U113</f>
        <v>0</v>
      </c>
      <c r="W113" s="19"/>
      <c r="X113" s="19"/>
    </row>
    <row r="114" customFormat="false" ht="16" hidden="false" customHeight="false" outlineLevel="0" collapsed="false">
      <c r="A114" s="8" t="s">
        <v>24</v>
      </c>
      <c r="B114" s="9" t="s">
        <v>25</v>
      </c>
      <c r="C114" s="9" t="s">
        <v>26</v>
      </c>
      <c r="D114" s="10" t="n">
        <v>1789</v>
      </c>
      <c r="E114" s="9" t="s">
        <v>27</v>
      </c>
      <c r="F114" s="9" t="s">
        <v>30</v>
      </c>
      <c r="G114" s="9" t="n">
        <v>12</v>
      </c>
      <c r="H114" s="12"/>
      <c r="I114" s="13"/>
      <c r="J114" s="13"/>
      <c r="K114" s="14"/>
      <c r="L114" s="15"/>
      <c r="M114" s="14"/>
      <c r="N114" s="14"/>
      <c r="O114" s="16"/>
      <c r="P114" s="17" t="n">
        <f aca="false">M114+(0.05*N114)+(O114/240)</f>
        <v>0</v>
      </c>
      <c r="Q114" s="14"/>
      <c r="R114" s="14"/>
      <c r="S114" s="14"/>
      <c r="T114" s="14" t="n">
        <f aca="false">Q114+(R114*0.05)+(S114/240)</f>
        <v>0</v>
      </c>
      <c r="U114" s="14" t="n">
        <f aca="false">K114*P114</f>
        <v>0</v>
      </c>
      <c r="V114" s="18" t="n">
        <f aca="false">T114-U114</f>
        <v>0</v>
      </c>
      <c r="W114" s="19"/>
      <c r="X114" s="19"/>
    </row>
    <row r="115" customFormat="false" ht="16" hidden="false" customHeight="false" outlineLevel="0" collapsed="false">
      <c r="A115" s="8" t="s">
        <v>24</v>
      </c>
      <c r="B115" s="9" t="s">
        <v>25</v>
      </c>
      <c r="C115" s="9" t="s">
        <v>26</v>
      </c>
      <c r="D115" s="10" t="n">
        <v>1789</v>
      </c>
      <c r="E115" s="9" t="s">
        <v>27</v>
      </c>
      <c r="F115" s="9" t="s">
        <v>30</v>
      </c>
      <c r="G115" s="9" t="n">
        <v>12</v>
      </c>
      <c r="H115" s="12"/>
      <c r="I115" s="13"/>
      <c r="J115" s="13"/>
      <c r="K115" s="14"/>
      <c r="L115" s="15"/>
      <c r="M115" s="14"/>
      <c r="N115" s="14"/>
      <c r="O115" s="16"/>
      <c r="P115" s="17" t="n">
        <f aca="false">M115+(0.05*N115)+(O115/240)</f>
        <v>0</v>
      </c>
      <c r="Q115" s="14"/>
      <c r="R115" s="14"/>
      <c r="S115" s="14"/>
      <c r="T115" s="14" t="n">
        <f aca="false">Q115+(R115*0.05)+(S115/240)</f>
        <v>0</v>
      </c>
      <c r="U115" s="14" t="n">
        <f aca="false">K115*P115</f>
        <v>0</v>
      </c>
      <c r="V115" s="18" t="n">
        <f aca="false">T115-U115</f>
        <v>0</v>
      </c>
      <c r="W115" s="19"/>
      <c r="X115" s="19"/>
    </row>
    <row r="116" customFormat="false" ht="16" hidden="false" customHeight="false" outlineLevel="0" collapsed="false">
      <c r="A116" s="8" t="s">
        <v>24</v>
      </c>
      <c r="B116" s="9" t="s">
        <v>25</v>
      </c>
      <c r="C116" s="9" t="s">
        <v>26</v>
      </c>
      <c r="D116" s="10" t="n">
        <v>1789</v>
      </c>
      <c r="E116" s="9" t="s">
        <v>27</v>
      </c>
      <c r="F116" s="9" t="s">
        <v>30</v>
      </c>
      <c r="G116" s="9" t="n">
        <v>12</v>
      </c>
      <c r="H116" s="12"/>
      <c r="I116" s="13"/>
      <c r="J116" s="13"/>
      <c r="K116" s="14"/>
      <c r="L116" s="15"/>
      <c r="M116" s="14"/>
      <c r="N116" s="14"/>
      <c r="O116" s="16"/>
      <c r="P116" s="17" t="n">
        <f aca="false">M116+(0.05*N116)+(O116/240)</f>
        <v>0</v>
      </c>
      <c r="Q116" s="14"/>
      <c r="R116" s="14"/>
      <c r="S116" s="14"/>
      <c r="T116" s="14" t="n">
        <f aca="false">Q116+(R116*0.05)+(S116/240)</f>
        <v>0</v>
      </c>
      <c r="U116" s="14" t="n">
        <f aca="false">K116*P116</f>
        <v>0</v>
      </c>
      <c r="V116" s="18" t="n">
        <f aca="false">T116-U116</f>
        <v>0</v>
      </c>
      <c r="W116" s="19"/>
      <c r="X116" s="19"/>
    </row>
    <row r="117" customFormat="false" ht="16" hidden="false" customHeight="false" outlineLevel="0" collapsed="false">
      <c r="A117" s="8" t="s">
        <v>24</v>
      </c>
      <c r="B117" s="9" t="s">
        <v>25</v>
      </c>
      <c r="C117" s="9" t="s">
        <v>26</v>
      </c>
      <c r="D117" s="10" t="n">
        <v>1789</v>
      </c>
      <c r="E117" s="9" t="s">
        <v>27</v>
      </c>
      <c r="F117" s="9" t="s">
        <v>30</v>
      </c>
      <c r="G117" s="9" t="n">
        <v>12</v>
      </c>
      <c r="H117" s="12"/>
      <c r="I117" s="13"/>
      <c r="J117" s="13"/>
      <c r="K117" s="14"/>
      <c r="L117" s="15"/>
      <c r="M117" s="14"/>
      <c r="N117" s="14"/>
      <c r="O117" s="16"/>
      <c r="P117" s="17" t="n">
        <f aca="false">M117+(0.05*N117)+(O117/240)</f>
        <v>0</v>
      </c>
      <c r="Q117" s="14"/>
      <c r="R117" s="14"/>
      <c r="S117" s="14"/>
      <c r="T117" s="14" t="n">
        <f aca="false">Q117+(R117*0.05)+(S117/240)</f>
        <v>0</v>
      </c>
      <c r="U117" s="14" t="n">
        <f aca="false">K117*P117</f>
        <v>0</v>
      </c>
      <c r="V117" s="18" t="n">
        <f aca="false">T117-U117</f>
        <v>0</v>
      </c>
      <c r="W117" s="19"/>
      <c r="X117" s="19"/>
    </row>
    <row r="118" customFormat="false" ht="16" hidden="false" customHeight="false" outlineLevel="0" collapsed="false">
      <c r="A118" s="8" t="s">
        <v>24</v>
      </c>
      <c r="B118" s="9" t="s">
        <v>25</v>
      </c>
      <c r="C118" s="9" t="s">
        <v>26</v>
      </c>
      <c r="D118" s="10" t="n">
        <v>1789</v>
      </c>
      <c r="E118" s="9" t="s">
        <v>27</v>
      </c>
      <c r="F118" s="9" t="s">
        <v>30</v>
      </c>
      <c r="G118" s="9" t="n">
        <v>12</v>
      </c>
      <c r="H118" s="12"/>
      <c r="I118" s="13"/>
      <c r="J118" s="13"/>
      <c r="K118" s="14"/>
      <c r="L118" s="15"/>
      <c r="M118" s="14"/>
      <c r="N118" s="14"/>
      <c r="O118" s="16"/>
      <c r="P118" s="17" t="n">
        <f aca="false">M118+(0.05*N118)+(O118/240)</f>
        <v>0</v>
      </c>
      <c r="Q118" s="14"/>
      <c r="R118" s="14"/>
      <c r="S118" s="14"/>
      <c r="T118" s="14" t="n">
        <f aca="false">Q118+(R118*0.05)+(S118/240)</f>
        <v>0</v>
      </c>
      <c r="U118" s="14" t="n">
        <f aca="false">K118*P118</f>
        <v>0</v>
      </c>
      <c r="V118" s="18" t="n">
        <f aca="false">T118-U118</f>
        <v>0</v>
      </c>
      <c r="W118" s="19"/>
      <c r="X118" s="19"/>
    </row>
    <row r="119" customFormat="false" ht="16" hidden="false" customHeight="false" outlineLevel="0" collapsed="false">
      <c r="A119" s="8" t="s">
        <v>24</v>
      </c>
      <c r="B119" s="9" t="s">
        <v>25</v>
      </c>
      <c r="C119" s="9" t="s">
        <v>26</v>
      </c>
      <c r="D119" s="10" t="n">
        <v>1789</v>
      </c>
      <c r="E119" s="9" t="s">
        <v>27</v>
      </c>
      <c r="F119" s="9" t="s">
        <v>30</v>
      </c>
      <c r="G119" s="9" t="n">
        <v>12</v>
      </c>
      <c r="H119" s="12"/>
      <c r="I119" s="13"/>
      <c r="J119" s="13"/>
      <c r="K119" s="14"/>
      <c r="L119" s="15"/>
      <c r="M119" s="14"/>
      <c r="N119" s="14"/>
      <c r="O119" s="16"/>
      <c r="P119" s="17" t="n">
        <f aca="false">M119+(0.05*N119)+(O119/240)</f>
        <v>0</v>
      </c>
      <c r="Q119" s="14"/>
      <c r="R119" s="14"/>
      <c r="S119" s="14"/>
      <c r="T119" s="14" t="n">
        <f aca="false">Q119+(R119*0.05)+(S119/240)</f>
        <v>0</v>
      </c>
      <c r="U119" s="14" t="n">
        <f aca="false">K119*P119</f>
        <v>0</v>
      </c>
      <c r="V119" s="18" t="n">
        <f aca="false">T119-U119</f>
        <v>0</v>
      </c>
      <c r="W119" s="19"/>
      <c r="X119" s="19"/>
    </row>
    <row r="120" customFormat="false" ht="16" hidden="false" customHeight="false" outlineLevel="0" collapsed="false">
      <c r="A120" s="8" t="s">
        <v>24</v>
      </c>
      <c r="B120" s="9" t="s">
        <v>25</v>
      </c>
      <c r="C120" s="9" t="s">
        <v>26</v>
      </c>
      <c r="D120" s="10" t="n">
        <v>1789</v>
      </c>
      <c r="E120" s="9" t="s">
        <v>27</v>
      </c>
      <c r="F120" s="9" t="s">
        <v>30</v>
      </c>
      <c r="G120" s="9" t="n">
        <v>12</v>
      </c>
      <c r="H120" s="12"/>
      <c r="I120" s="13"/>
      <c r="J120" s="13"/>
      <c r="K120" s="14"/>
      <c r="L120" s="15"/>
      <c r="M120" s="14"/>
      <c r="N120" s="14"/>
      <c r="O120" s="16"/>
      <c r="P120" s="17" t="n">
        <f aca="false">M120+(0.05*N120)+(O120/240)</f>
        <v>0</v>
      </c>
      <c r="Q120" s="14"/>
      <c r="R120" s="14"/>
      <c r="S120" s="14"/>
      <c r="T120" s="14" t="n">
        <f aca="false">Q120+(R120*0.05)+(S120/240)</f>
        <v>0</v>
      </c>
      <c r="U120" s="14" t="n">
        <f aca="false">K120*P120</f>
        <v>0</v>
      </c>
      <c r="V120" s="18" t="n">
        <f aca="false">T120-U120</f>
        <v>0</v>
      </c>
      <c r="W120" s="19"/>
      <c r="X120" s="19"/>
    </row>
    <row r="121" customFormat="false" ht="16" hidden="false" customHeight="false" outlineLevel="0" collapsed="false">
      <c r="A121" s="8" t="s">
        <v>24</v>
      </c>
      <c r="B121" s="9" t="s">
        <v>25</v>
      </c>
      <c r="C121" s="9" t="s">
        <v>26</v>
      </c>
      <c r="D121" s="10" t="n">
        <v>1789</v>
      </c>
      <c r="E121" s="9" t="s">
        <v>27</v>
      </c>
      <c r="F121" s="9" t="s">
        <v>30</v>
      </c>
      <c r="G121" s="9" t="n">
        <v>12</v>
      </c>
      <c r="H121" s="12"/>
      <c r="I121" s="13"/>
      <c r="J121" s="13"/>
      <c r="K121" s="14"/>
      <c r="L121" s="15"/>
      <c r="M121" s="14"/>
      <c r="N121" s="14"/>
      <c r="O121" s="16"/>
      <c r="P121" s="17" t="n">
        <f aca="false">M121+(0.05*N121)+(O121/240)</f>
        <v>0</v>
      </c>
      <c r="Q121" s="14"/>
      <c r="R121" s="14"/>
      <c r="S121" s="14"/>
      <c r="T121" s="14" t="n">
        <f aca="false">Q121+(R121*0.05)+(S121/240)</f>
        <v>0</v>
      </c>
      <c r="U121" s="14" t="n">
        <f aca="false">K121*P121</f>
        <v>0</v>
      </c>
      <c r="V121" s="18" t="n">
        <f aca="false">T121-U121</f>
        <v>0</v>
      </c>
      <c r="W121" s="19"/>
      <c r="X121" s="19"/>
    </row>
    <row r="122" customFormat="false" ht="16" hidden="false" customHeight="false" outlineLevel="0" collapsed="false">
      <c r="A122" s="8" t="s">
        <v>24</v>
      </c>
      <c r="B122" s="9" t="s">
        <v>25</v>
      </c>
      <c r="C122" s="9" t="s">
        <v>26</v>
      </c>
      <c r="D122" s="10" t="n">
        <v>1789</v>
      </c>
      <c r="E122" s="9" t="s">
        <v>27</v>
      </c>
      <c r="F122" s="9" t="s">
        <v>30</v>
      </c>
      <c r="G122" s="9" t="n">
        <v>12</v>
      </c>
      <c r="H122" s="12"/>
      <c r="I122" s="13"/>
      <c r="J122" s="13"/>
      <c r="K122" s="14"/>
      <c r="L122" s="15"/>
      <c r="M122" s="14"/>
      <c r="N122" s="14"/>
      <c r="O122" s="16"/>
      <c r="P122" s="17" t="n">
        <f aca="false">M122+(0.05*N122)+(O122/240)</f>
        <v>0</v>
      </c>
      <c r="Q122" s="14"/>
      <c r="R122" s="14"/>
      <c r="S122" s="14"/>
      <c r="T122" s="14" t="n">
        <f aca="false">Q122+(R122*0.05)+(S122/240)</f>
        <v>0</v>
      </c>
      <c r="U122" s="14" t="n">
        <f aca="false">K122*P122</f>
        <v>0</v>
      </c>
      <c r="V122" s="18" t="n">
        <f aca="false">T122-U122</f>
        <v>0</v>
      </c>
      <c r="W122" s="19"/>
      <c r="X122" s="19"/>
    </row>
    <row r="123" customFormat="false" ht="16" hidden="false" customHeight="false" outlineLevel="0" collapsed="false">
      <c r="A123" s="8" t="s">
        <v>24</v>
      </c>
      <c r="B123" s="9" t="s">
        <v>25</v>
      </c>
      <c r="C123" s="9" t="s">
        <v>26</v>
      </c>
      <c r="D123" s="10" t="n">
        <v>1789</v>
      </c>
      <c r="E123" s="9" t="s">
        <v>27</v>
      </c>
      <c r="F123" s="9" t="s">
        <v>30</v>
      </c>
      <c r="G123" s="9" t="n">
        <v>12</v>
      </c>
      <c r="H123" s="12"/>
      <c r="I123" s="13"/>
      <c r="J123" s="13"/>
      <c r="K123" s="14"/>
      <c r="L123" s="15"/>
      <c r="M123" s="14"/>
      <c r="N123" s="14"/>
      <c r="O123" s="16"/>
      <c r="P123" s="17" t="n">
        <f aca="false">M123+(0.05*N123)+(O123/240)</f>
        <v>0</v>
      </c>
      <c r="Q123" s="14"/>
      <c r="R123" s="14"/>
      <c r="S123" s="14"/>
      <c r="T123" s="14" t="n">
        <f aca="false">Q123+(R123*0.05)+(S123/240)</f>
        <v>0</v>
      </c>
      <c r="U123" s="14" t="n">
        <f aca="false">K123*P123</f>
        <v>0</v>
      </c>
      <c r="V123" s="18" t="n">
        <f aca="false">T123-U123</f>
        <v>0</v>
      </c>
      <c r="W123" s="19"/>
      <c r="X123" s="19"/>
    </row>
    <row r="124" customFormat="false" ht="16" hidden="false" customHeight="false" outlineLevel="0" collapsed="false">
      <c r="A124" s="8" t="s">
        <v>24</v>
      </c>
      <c r="B124" s="9" t="s">
        <v>25</v>
      </c>
      <c r="C124" s="9" t="s">
        <v>26</v>
      </c>
      <c r="D124" s="10" t="n">
        <v>1789</v>
      </c>
      <c r="E124" s="9" t="s">
        <v>27</v>
      </c>
      <c r="F124" s="9" t="s">
        <v>30</v>
      </c>
      <c r="G124" s="9" t="n">
        <v>12</v>
      </c>
      <c r="H124" s="12"/>
      <c r="I124" s="13"/>
      <c r="J124" s="13"/>
      <c r="K124" s="14"/>
      <c r="L124" s="15"/>
      <c r="M124" s="14"/>
      <c r="N124" s="14"/>
      <c r="O124" s="16"/>
      <c r="P124" s="17" t="n">
        <f aca="false">M124+(0.05*N124)+(O124/240)</f>
        <v>0</v>
      </c>
      <c r="Q124" s="14"/>
      <c r="R124" s="14"/>
      <c r="S124" s="14"/>
      <c r="T124" s="14" t="n">
        <f aca="false">Q124+(R124*0.05)+(S124/240)</f>
        <v>0</v>
      </c>
      <c r="U124" s="14" t="n">
        <f aca="false">K124*P124</f>
        <v>0</v>
      </c>
      <c r="V124" s="18" t="n">
        <f aca="false">T124-U124</f>
        <v>0</v>
      </c>
      <c r="W124" s="19"/>
      <c r="X124" s="19"/>
    </row>
    <row r="125" customFormat="false" ht="16" hidden="false" customHeight="false" outlineLevel="0" collapsed="false">
      <c r="A125" s="8" t="s">
        <v>24</v>
      </c>
      <c r="B125" s="9" t="s">
        <v>25</v>
      </c>
      <c r="C125" s="9" t="s">
        <v>26</v>
      </c>
      <c r="D125" s="10" t="n">
        <v>1789</v>
      </c>
      <c r="E125" s="9" t="s">
        <v>27</v>
      </c>
      <c r="F125" s="9" t="s">
        <v>30</v>
      </c>
      <c r="G125" s="9" t="n">
        <v>12</v>
      </c>
      <c r="H125" s="12"/>
      <c r="I125" s="13"/>
      <c r="J125" s="13"/>
      <c r="K125" s="14"/>
      <c r="L125" s="15"/>
      <c r="M125" s="14"/>
      <c r="N125" s="14"/>
      <c r="O125" s="16"/>
      <c r="P125" s="17" t="n">
        <f aca="false">M125+(0.05*N125)+(O125/240)</f>
        <v>0</v>
      </c>
      <c r="Q125" s="14"/>
      <c r="R125" s="14"/>
      <c r="S125" s="14"/>
      <c r="T125" s="14" t="n">
        <f aca="false">Q125+(R125*0.05)+(S125/240)</f>
        <v>0</v>
      </c>
      <c r="U125" s="14" t="n">
        <f aca="false">K125*P125</f>
        <v>0</v>
      </c>
      <c r="V125" s="18" t="n">
        <f aca="false">T125-U125</f>
        <v>0</v>
      </c>
      <c r="W125" s="19"/>
      <c r="X125" s="19"/>
    </row>
    <row r="126" customFormat="false" ht="16" hidden="false" customHeight="false" outlineLevel="0" collapsed="false">
      <c r="A126" s="8" t="s">
        <v>24</v>
      </c>
      <c r="B126" s="9" t="s">
        <v>25</v>
      </c>
      <c r="C126" s="9" t="s">
        <v>26</v>
      </c>
      <c r="D126" s="10" t="n">
        <v>1789</v>
      </c>
      <c r="E126" s="9" t="s">
        <v>27</v>
      </c>
      <c r="F126" s="9" t="s">
        <v>30</v>
      </c>
      <c r="G126" s="9" t="n">
        <v>12</v>
      </c>
      <c r="H126" s="12"/>
      <c r="I126" s="13"/>
      <c r="J126" s="13"/>
      <c r="K126" s="14"/>
      <c r="L126" s="15"/>
      <c r="M126" s="14"/>
      <c r="N126" s="14"/>
      <c r="O126" s="16"/>
      <c r="P126" s="17" t="n">
        <f aca="false">M126+(0.05*N126)+(O126/240)</f>
        <v>0</v>
      </c>
      <c r="Q126" s="14"/>
      <c r="R126" s="14"/>
      <c r="S126" s="14"/>
      <c r="T126" s="14" t="n">
        <f aca="false">Q126+(R126*0.05)+(S126/240)</f>
        <v>0</v>
      </c>
      <c r="U126" s="14" t="n">
        <f aca="false">K126*P126</f>
        <v>0</v>
      </c>
      <c r="V126" s="18" t="n">
        <f aca="false">T126-U126</f>
        <v>0</v>
      </c>
      <c r="W126" s="19"/>
      <c r="X126" s="19"/>
    </row>
    <row r="127" customFormat="false" ht="16" hidden="false" customHeight="false" outlineLevel="0" collapsed="false">
      <c r="A127" s="8" t="s">
        <v>24</v>
      </c>
      <c r="B127" s="9" t="s">
        <v>25</v>
      </c>
      <c r="C127" s="9" t="s">
        <v>26</v>
      </c>
      <c r="D127" s="10" t="n">
        <v>1789</v>
      </c>
      <c r="E127" s="9" t="s">
        <v>27</v>
      </c>
      <c r="F127" s="9" t="s">
        <v>30</v>
      </c>
      <c r="G127" s="9" t="n">
        <v>12</v>
      </c>
      <c r="H127" s="12"/>
      <c r="I127" s="13"/>
      <c r="J127" s="13"/>
      <c r="K127" s="14"/>
      <c r="L127" s="15"/>
      <c r="M127" s="14"/>
      <c r="N127" s="14"/>
      <c r="O127" s="16"/>
      <c r="P127" s="17" t="n">
        <f aca="false">M127+(0.05*N127)+(O127/240)</f>
        <v>0</v>
      </c>
      <c r="Q127" s="14"/>
      <c r="R127" s="14"/>
      <c r="S127" s="14"/>
      <c r="T127" s="14" t="n">
        <f aca="false">Q127+(R127*0.05)+(S127/240)</f>
        <v>0</v>
      </c>
      <c r="U127" s="14" t="n">
        <f aca="false">K127*P127</f>
        <v>0</v>
      </c>
      <c r="V127" s="18" t="n">
        <f aca="false">T127-U127</f>
        <v>0</v>
      </c>
      <c r="W127" s="19"/>
      <c r="X127" s="19"/>
    </row>
    <row r="128" customFormat="false" ht="16" hidden="false" customHeight="false" outlineLevel="0" collapsed="false">
      <c r="A128" s="8" t="s">
        <v>24</v>
      </c>
      <c r="B128" s="9" t="s">
        <v>25</v>
      </c>
      <c r="C128" s="9" t="s">
        <v>26</v>
      </c>
      <c r="D128" s="10" t="n">
        <v>1789</v>
      </c>
      <c r="E128" s="9" t="s">
        <v>27</v>
      </c>
      <c r="F128" s="9" t="s">
        <v>30</v>
      </c>
      <c r="G128" s="9" t="n">
        <v>12</v>
      </c>
      <c r="H128" s="12"/>
      <c r="I128" s="13"/>
      <c r="J128" s="13"/>
      <c r="K128" s="14"/>
      <c r="L128" s="15"/>
      <c r="M128" s="14"/>
      <c r="N128" s="14"/>
      <c r="O128" s="16"/>
      <c r="P128" s="17" t="n">
        <f aca="false">M128+(0.05*N128)+(O128/240)</f>
        <v>0</v>
      </c>
      <c r="Q128" s="14"/>
      <c r="R128" s="14"/>
      <c r="S128" s="14"/>
      <c r="T128" s="14" t="n">
        <f aca="false">Q128+(R128*0.05)+(S128/240)</f>
        <v>0</v>
      </c>
      <c r="U128" s="14" t="n">
        <f aca="false">K128*P128</f>
        <v>0</v>
      </c>
      <c r="V128" s="18" t="n">
        <f aca="false">T128-U128</f>
        <v>0</v>
      </c>
      <c r="W128" s="19"/>
      <c r="X128" s="19"/>
    </row>
    <row r="129" customFormat="false" ht="16" hidden="false" customHeight="false" outlineLevel="0" collapsed="false">
      <c r="A129" s="8" t="s">
        <v>24</v>
      </c>
      <c r="B129" s="9" t="s">
        <v>25</v>
      </c>
      <c r="C129" s="9" t="s">
        <v>26</v>
      </c>
      <c r="D129" s="10" t="n">
        <v>1789</v>
      </c>
      <c r="E129" s="9" t="s">
        <v>27</v>
      </c>
      <c r="F129" s="9" t="s">
        <v>30</v>
      </c>
      <c r="G129" s="9" t="n">
        <v>12</v>
      </c>
      <c r="H129" s="12"/>
      <c r="I129" s="13"/>
      <c r="J129" s="13"/>
      <c r="K129" s="14"/>
      <c r="L129" s="15"/>
      <c r="M129" s="14"/>
      <c r="N129" s="14"/>
      <c r="O129" s="16"/>
      <c r="P129" s="17" t="n">
        <f aca="false">M129+(0.05*N129)+(O129/240)</f>
        <v>0</v>
      </c>
      <c r="Q129" s="14"/>
      <c r="R129" s="14"/>
      <c r="S129" s="14"/>
      <c r="T129" s="14" t="n">
        <f aca="false">Q129+(R129*0.05)+(S129/240)</f>
        <v>0</v>
      </c>
      <c r="U129" s="14" t="n">
        <f aca="false">K129*P129</f>
        <v>0</v>
      </c>
      <c r="V129" s="18" t="n">
        <f aca="false">T129-U129</f>
        <v>0</v>
      </c>
      <c r="W129" s="19"/>
      <c r="X129" s="19"/>
    </row>
    <row r="130" customFormat="false" ht="16" hidden="false" customHeight="false" outlineLevel="0" collapsed="false">
      <c r="A130" s="8" t="s">
        <v>24</v>
      </c>
      <c r="B130" s="9" t="s">
        <v>25</v>
      </c>
      <c r="C130" s="9" t="s">
        <v>26</v>
      </c>
      <c r="D130" s="10" t="n">
        <v>1789</v>
      </c>
      <c r="E130" s="9" t="s">
        <v>27</v>
      </c>
      <c r="F130" s="9" t="s">
        <v>30</v>
      </c>
      <c r="G130" s="9" t="n">
        <v>12</v>
      </c>
      <c r="H130" s="12"/>
      <c r="I130" s="13"/>
      <c r="J130" s="13"/>
      <c r="K130" s="14"/>
      <c r="L130" s="15"/>
      <c r="M130" s="14"/>
      <c r="N130" s="14"/>
      <c r="O130" s="16"/>
      <c r="P130" s="17" t="n">
        <f aca="false">M130+(0.05*N130)+(O130/240)</f>
        <v>0</v>
      </c>
      <c r="Q130" s="14"/>
      <c r="R130" s="14"/>
      <c r="S130" s="14"/>
      <c r="T130" s="14" t="n">
        <f aca="false">Q130+(R130*0.05)+(S130/240)</f>
        <v>0</v>
      </c>
      <c r="U130" s="14" t="n">
        <f aca="false">K130*P130</f>
        <v>0</v>
      </c>
      <c r="V130" s="18" t="n">
        <f aca="false">T130-U130</f>
        <v>0</v>
      </c>
      <c r="W130" s="19"/>
      <c r="X130" s="19"/>
    </row>
    <row r="131" customFormat="false" ht="16" hidden="false" customHeight="false" outlineLevel="0" collapsed="false">
      <c r="A131" s="8" t="s">
        <v>24</v>
      </c>
      <c r="B131" s="9" t="s">
        <v>25</v>
      </c>
      <c r="C131" s="9" t="s">
        <v>26</v>
      </c>
      <c r="D131" s="10" t="n">
        <v>1789</v>
      </c>
      <c r="E131" s="9" t="s">
        <v>27</v>
      </c>
      <c r="F131" s="9" t="s">
        <v>30</v>
      </c>
      <c r="G131" s="9" t="n">
        <v>12</v>
      </c>
      <c r="H131" s="12"/>
      <c r="I131" s="13"/>
      <c r="J131" s="13"/>
      <c r="K131" s="14"/>
      <c r="L131" s="15"/>
      <c r="M131" s="14"/>
      <c r="N131" s="14"/>
      <c r="O131" s="16"/>
      <c r="P131" s="17" t="n">
        <f aca="false">M131+(0.05*N131)+(O131/240)</f>
        <v>0</v>
      </c>
      <c r="Q131" s="14"/>
      <c r="R131" s="14"/>
      <c r="S131" s="14"/>
      <c r="T131" s="14" t="n">
        <f aca="false">Q131+(R131*0.05)+(S131/240)</f>
        <v>0</v>
      </c>
      <c r="U131" s="14" t="n">
        <f aca="false">K131*P131</f>
        <v>0</v>
      </c>
      <c r="V131" s="18" t="n">
        <f aca="false">T131-U131</f>
        <v>0</v>
      </c>
      <c r="W131" s="19"/>
      <c r="X131" s="19"/>
    </row>
    <row r="132" customFormat="false" ht="16" hidden="false" customHeight="false" outlineLevel="0" collapsed="false">
      <c r="A132" s="8" t="s">
        <v>24</v>
      </c>
      <c r="B132" s="9" t="s">
        <v>25</v>
      </c>
      <c r="C132" s="9" t="s">
        <v>26</v>
      </c>
      <c r="D132" s="10" t="n">
        <v>1789</v>
      </c>
      <c r="E132" s="9" t="s">
        <v>27</v>
      </c>
      <c r="F132" s="9" t="s">
        <v>30</v>
      </c>
      <c r="G132" s="9" t="n">
        <v>12</v>
      </c>
      <c r="H132" s="12"/>
      <c r="I132" s="13"/>
      <c r="J132" s="13"/>
      <c r="K132" s="14"/>
      <c r="L132" s="15"/>
      <c r="M132" s="14"/>
      <c r="N132" s="14"/>
      <c r="O132" s="16"/>
      <c r="P132" s="17" t="n">
        <f aca="false">M132+(0.05*N132)+(O132/240)</f>
        <v>0</v>
      </c>
      <c r="Q132" s="14"/>
      <c r="R132" s="14"/>
      <c r="S132" s="14"/>
      <c r="T132" s="14" t="n">
        <f aca="false">Q132+(R132*0.05)+(S132/240)</f>
        <v>0</v>
      </c>
      <c r="U132" s="14" t="n">
        <f aca="false">K132*P132</f>
        <v>0</v>
      </c>
      <c r="V132" s="18" t="n">
        <f aca="false">T132-U132</f>
        <v>0</v>
      </c>
      <c r="W132" s="19"/>
      <c r="X132" s="19"/>
    </row>
    <row r="133" customFormat="false" ht="16" hidden="false" customHeight="false" outlineLevel="0" collapsed="false">
      <c r="A133" s="8" t="s">
        <v>24</v>
      </c>
      <c r="B133" s="9" t="s">
        <v>25</v>
      </c>
      <c r="C133" s="9" t="s">
        <v>26</v>
      </c>
      <c r="D133" s="10" t="n">
        <v>1789</v>
      </c>
      <c r="E133" s="9" t="s">
        <v>27</v>
      </c>
      <c r="F133" s="9" t="s">
        <v>30</v>
      </c>
      <c r="G133" s="9" t="n">
        <v>12</v>
      </c>
      <c r="H133" s="12"/>
      <c r="I133" s="13"/>
      <c r="J133" s="13"/>
      <c r="K133" s="14"/>
      <c r="L133" s="15"/>
      <c r="M133" s="14"/>
      <c r="N133" s="14"/>
      <c r="O133" s="16"/>
      <c r="P133" s="17" t="n">
        <f aca="false">M133+(0.05*N133)+(O133/240)</f>
        <v>0</v>
      </c>
      <c r="Q133" s="14"/>
      <c r="R133" s="14"/>
      <c r="S133" s="14"/>
      <c r="T133" s="14" t="n">
        <f aca="false">Q133+(R133*0.05)+(S133/240)</f>
        <v>0</v>
      </c>
      <c r="U133" s="14" t="n">
        <f aca="false">K133*P133</f>
        <v>0</v>
      </c>
      <c r="V133" s="18" t="n">
        <f aca="false">T133-U133</f>
        <v>0</v>
      </c>
      <c r="W133" s="19"/>
      <c r="X133" s="19"/>
    </row>
    <row r="134" customFormat="false" ht="16" hidden="false" customHeight="false" outlineLevel="0" collapsed="false">
      <c r="A134" s="8" t="s">
        <v>24</v>
      </c>
      <c r="B134" s="9" t="s">
        <v>25</v>
      </c>
      <c r="C134" s="9" t="s">
        <v>26</v>
      </c>
      <c r="D134" s="10" t="n">
        <v>1789</v>
      </c>
      <c r="E134" s="9" t="s">
        <v>27</v>
      </c>
      <c r="F134" s="9" t="s">
        <v>30</v>
      </c>
      <c r="G134" s="9" t="n">
        <v>12</v>
      </c>
      <c r="H134" s="12"/>
      <c r="I134" s="13"/>
      <c r="J134" s="13"/>
      <c r="K134" s="14"/>
      <c r="L134" s="15"/>
      <c r="M134" s="14"/>
      <c r="N134" s="14"/>
      <c r="O134" s="16"/>
      <c r="P134" s="17" t="n">
        <f aca="false">M134+(0.05*N134)+(O134/240)</f>
        <v>0</v>
      </c>
      <c r="Q134" s="14"/>
      <c r="R134" s="14"/>
      <c r="S134" s="14"/>
      <c r="T134" s="14" t="n">
        <f aca="false">Q134+(R134*0.05)+(S134/240)</f>
        <v>0</v>
      </c>
      <c r="U134" s="14" t="n">
        <f aca="false">K134*P134</f>
        <v>0</v>
      </c>
      <c r="V134" s="18" t="n">
        <f aca="false">T134-U134</f>
        <v>0</v>
      </c>
      <c r="W134" s="19"/>
      <c r="X134" s="19"/>
    </row>
    <row r="135" customFormat="false" ht="16" hidden="false" customHeight="false" outlineLevel="0" collapsed="false">
      <c r="A135" s="8" t="s">
        <v>24</v>
      </c>
      <c r="B135" s="9" t="s">
        <v>25</v>
      </c>
      <c r="C135" s="9" t="s">
        <v>26</v>
      </c>
      <c r="D135" s="10" t="n">
        <v>1789</v>
      </c>
      <c r="E135" s="9" t="s">
        <v>27</v>
      </c>
      <c r="F135" s="9" t="s">
        <v>30</v>
      </c>
      <c r="G135" s="9" t="n">
        <v>12</v>
      </c>
      <c r="H135" s="12"/>
      <c r="I135" s="13"/>
      <c r="J135" s="13"/>
      <c r="K135" s="14"/>
      <c r="L135" s="15"/>
      <c r="M135" s="14"/>
      <c r="N135" s="14"/>
      <c r="O135" s="16"/>
      <c r="P135" s="17" t="n">
        <f aca="false">M135+(0.05*N135)+(O135/240)</f>
        <v>0</v>
      </c>
      <c r="Q135" s="14"/>
      <c r="R135" s="14"/>
      <c r="S135" s="14"/>
      <c r="T135" s="14" t="n">
        <f aca="false">Q135+(R135*0.05)+(S135/240)</f>
        <v>0</v>
      </c>
      <c r="U135" s="14" t="n">
        <f aca="false">K135*P135</f>
        <v>0</v>
      </c>
      <c r="V135" s="18" t="n">
        <f aca="false">T135-U135</f>
        <v>0</v>
      </c>
      <c r="W135" s="19"/>
      <c r="X135" s="19"/>
    </row>
    <row r="136" customFormat="false" ht="16" hidden="false" customHeight="false" outlineLevel="0" collapsed="false">
      <c r="A136" s="8" t="s">
        <v>24</v>
      </c>
      <c r="B136" s="9" t="s">
        <v>25</v>
      </c>
      <c r="C136" s="9" t="s">
        <v>26</v>
      </c>
      <c r="D136" s="10" t="n">
        <v>1789</v>
      </c>
      <c r="E136" s="9" t="s">
        <v>27</v>
      </c>
      <c r="F136" s="9" t="s">
        <v>30</v>
      </c>
      <c r="G136" s="9" t="n">
        <v>12</v>
      </c>
      <c r="H136" s="12"/>
      <c r="I136" s="13"/>
      <c r="J136" s="13"/>
      <c r="K136" s="14"/>
      <c r="L136" s="15"/>
      <c r="M136" s="14"/>
      <c r="N136" s="14"/>
      <c r="O136" s="16"/>
      <c r="P136" s="17" t="n">
        <f aca="false">M136+(0.05*N136)+(O136/240)</f>
        <v>0</v>
      </c>
      <c r="Q136" s="14"/>
      <c r="R136" s="14"/>
      <c r="S136" s="14"/>
      <c r="T136" s="14" t="n">
        <f aca="false">Q136+(R136*0.05)+(S136/240)</f>
        <v>0</v>
      </c>
      <c r="U136" s="14" t="n">
        <f aca="false">K136*P136</f>
        <v>0</v>
      </c>
      <c r="V136" s="18" t="n">
        <f aca="false">T136-U136</f>
        <v>0</v>
      </c>
      <c r="W136" s="19"/>
      <c r="X136" s="19"/>
    </row>
    <row r="137" customFormat="false" ht="16" hidden="false" customHeight="false" outlineLevel="0" collapsed="false">
      <c r="A137" s="8" t="s">
        <v>24</v>
      </c>
      <c r="B137" s="9" t="s">
        <v>25</v>
      </c>
      <c r="C137" s="9" t="s">
        <v>26</v>
      </c>
      <c r="D137" s="10" t="n">
        <v>1789</v>
      </c>
      <c r="E137" s="9" t="s">
        <v>27</v>
      </c>
      <c r="F137" s="9" t="s">
        <v>30</v>
      </c>
      <c r="G137" s="9" t="n">
        <v>12</v>
      </c>
      <c r="H137" s="12"/>
      <c r="I137" s="13"/>
      <c r="J137" s="13"/>
      <c r="K137" s="14"/>
      <c r="L137" s="15"/>
      <c r="M137" s="14"/>
      <c r="N137" s="14"/>
      <c r="O137" s="16"/>
      <c r="P137" s="17" t="n">
        <f aca="false">M137+(0.05*N137)+(O137/240)</f>
        <v>0</v>
      </c>
      <c r="Q137" s="14"/>
      <c r="R137" s="14"/>
      <c r="S137" s="14"/>
      <c r="T137" s="14" t="n">
        <f aca="false">Q137+(R137*0.05)+(S137/240)</f>
        <v>0</v>
      </c>
      <c r="U137" s="14" t="n">
        <f aca="false">K137*P137</f>
        <v>0</v>
      </c>
      <c r="V137" s="18" t="n">
        <f aca="false">T137-U137</f>
        <v>0</v>
      </c>
      <c r="W137" s="19"/>
      <c r="X137" s="19"/>
    </row>
    <row r="138" customFormat="false" ht="16" hidden="false" customHeight="false" outlineLevel="0" collapsed="false">
      <c r="A138" s="8" t="s">
        <v>24</v>
      </c>
      <c r="B138" s="9" t="s">
        <v>25</v>
      </c>
      <c r="C138" s="9" t="s">
        <v>26</v>
      </c>
      <c r="D138" s="10" t="n">
        <v>1789</v>
      </c>
      <c r="E138" s="9" t="s">
        <v>27</v>
      </c>
      <c r="F138" s="9" t="s">
        <v>30</v>
      </c>
      <c r="G138" s="9" t="n">
        <v>12</v>
      </c>
      <c r="H138" s="12"/>
      <c r="I138" s="13"/>
      <c r="J138" s="13"/>
      <c r="K138" s="14"/>
      <c r="L138" s="15"/>
      <c r="M138" s="14"/>
      <c r="N138" s="14"/>
      <c r="O138" s="16"/>
      <c r="P138" s="17" t="n">
        <f aca="false">M138+(0.05*N138)+(O138/240)</f>
        <v>0</v>
      </c>
      <c r="Q138" s="14"/>
      <c r="R138" s="14"/>
      <c r="S138" s="14"/>
      <c r="T138" s="14" t="n">
        <f aca="false">Q138+(R138*0.05)+(S138/240)</f>
        <v>0</v>
      </c>
      <c r="U138" s="14" t="n">
        <f aca="false">K138*P138</f>
        <v>0</v>
      </c>
      <c r="V138" s="18" t="n">
        <f aca="false">T138-U138</f>
        <v>0</v>
      </c>
      <c r="W138" s="19"/>
      <c r="X138" s="19"/>
    </row>
    <row r="139" customFormat="false" ht="16" hidden="false" customHeight="false" outlineLevel="0" collapsed="false">
      <c r="A139" s="8" t="s">
        <v>24</v>
      </c>
      <c r="B139" s="9" t="s">
        <v>25</v>
      </c>
      <c r="C139" s="9" t="s">
        <v>26</v>
      </c>
      <c r="D139" s="10" t="n">
        <v>1789</v>
      </c>
      <c r="E139" s="9" t="s">
        <v>27</v>
      </c>
      <c r="F139" s="9" t="s">
        <v>30</v>
      </c>
      <c r="G139" s="9" t="n">
        <v>12</v>
      </c>
      <c r="H139" s="12"/>
      <c r="I139" s="13"/>
      <c r="J139" s="13"/>
      <c r="K139" s="14"/>
      <c r="L139" s="15"/>
      <c r="M139" s="14"/>
      <c r="N139" s="14"/>
      <c r="O139" s="16"/>
      <c r="P139" s="17" t="n">
        <f aca="false">M139+(0.05*N139)+(O139/240)</f>
        <v>0</v>
      </c>
      <c r="Q139" s="14"/>
      <c r="R139" s="14"/>
      <c r="S139" s="14"/>
      <c r="T139" s="14" t="n">
        <f aca="false">Q139+(R139*0.05)+(S139/240)</f>
        <v>0</v>
      </c>
      <c r="U139" s="14" t="n">
        <f aca="false">K139*P139</f>
        <v>0</v>
      </c>
      <c r="V139" s="18" t="n">
        <f aca="false">T139-U139</f>
        <v>0</v>
      </c>
      <c r="W139" s="19"/>
      <c r="X139" s="19"/>
    </row>
    <row r="140" customFormat="false" ht="16" hidden="false" customHeight="false" outlineLevel="0" collapsed="false">
      <c r="A140" s="8" t="s">
        <v>24</v>
      </c>
      <c r="B140" s="9" t="s">
        <v>25</v>
      </c>
      <c r="C140" s="9" t="s">
        <v>26</v>
      </c>
      <c r="D140" s="10" t="n">
        <v>1789</v>
      </c>
      <c r="E140" s="9" t="s">
        <v>27</v>
      </c>
      <c r="F140" s="9" t="s">
        <v>30</v>
      </c>
      <c r="G140" s="9" t="n">
        <v>12</v>
      </c>
      <c r="H140" s="12"/>
      <c r="I140" s="13"/>
      <c r="J140" s="13"/>
      <c r="K140" s="14"/>
      <c r="L140" s="15"/>
      <c r="M140" s="14"/>
      <c r="N140" s="14"/>
      <c r="O140" s="16"/>
      <c r="P140" s="17" t="n">
        <f aca="false">M140+(0.05*N140)+(O140/240)</f>
        <v>0</v>
      </c>
      <c r="Q140" s="14"/>
      <c r="R140" s="14"/>
      <c r="S140" s="14"/>
      <c r="T140" s="14" t="n">
        <f aca="false">Q140+(R140*0.05)+(S140/240)</f>
        <v>0</v>
      </c>
      <c r="U140" s="14" t="n">
        <f aca="false">K140*P140</f>
        <v>0</v>
      </c>
      <c r="V140" s="18" t="n">
        <f aca="false">T140-U140</f>
        <v>0</v>
      </c>
      <c r="W140" s="19"/>
      <c r="X140" s="19"/>
    </row>
    <row r="141" customFormat="false" ht="16" hidden="false" customHeight="false" outlineLevel="0" collapsed="false">
      <c r="A141" s="8" t="s">
        <v>24</v>
      </c>
      <c r="B141" s="9" t="s">
        <v>25</v>
      </c>
      <c r="C141" s="9" t="s">
        <v>26</v>
      </c>
      <c r="D141" s="10" t="n">
        <v>1789</v>
      </c>
      <c r="E141" s="9" t="s">
        <v>27</v>
      </c>
      <c r="F141" s="9" t="s">
        <v>30</v>
      </c>
      <c r="G141" s="9" t="n">
        <v>12</v>
      </c>
      <c r="H141" s="12"/>
      <c r="I141" s="13"/>
      <c r="J141" s="13"/>
      <c r="K141" s="14"/>
      <c r="L141" s="15"/>
      <c r="M141" s="14"/>
      <c r="N141" s="14"/>
      <c r="O141" s="16"/>
      <c r="P141" s="17" t="n">
        <f aca="false">M141+(0.05*N141)+(O141/240)</f>
        <v>0</v>
      </c>
      <c r="Q141" s="14"/>
      <c r="R141" s="14"/>
      <c r="S141" s="14"/>
      <c r="T141" s="14" t="n">
        <f aca="false">Q141+(R141*0.05)+(S141/240)</f>
        <v>0</v>
      </c>
      <c r="U141" s="14" t="n">
        <f aca="false">K141*P141</f>
        <v>0</v>
      </c>
      <c r="V141" s="18" t="n">
        <f aca="false">T141-U141</f>
        <v>0</v>
      </c>
      <c r="W141" s="19"/>
      <c r="X141" s="19"/>
    </row>
    <row r="142" customFormat="false" ht="16" hidden="false" customHeight="false" outlineLevel="0" collapsed="false">
      <c r="A142" s="8" t="s">
        <v>24</v>
      </c>
      <c r="B142" s="9" t="s">
        <v>25</v>
      </c>
      <c r="C142" s="9" t="s">
        <v>26</v>
      </c>
      <c r="D142" s="10" t="n">
        <v>1789</v>
      </c>
      <c r="E142" s="9" t="s">
        <v>27</v>
      </c>
      <c r="F142" s="9" t="s">
        <v>30</v>
      </c>
      <c r="G142" s="9" t="n">
        <v>12</v>
      </c>
      <c r="H142" s="12"/>
      <c r="I142" s="13"/>
      <c r="J142" s="13"/>
      <c r="K142" s="14"/>
      <c r="L142" s="15"/>
      <c r="M142" s="14"/>
      <c r="N142" s="14"/>
      <c r="O142" s="16"/>
      <c r="P142" s="17" t="n">
        <f aca="false">M142+(0.05*N142)+(O142/240)</f>
        <v>0</v>
      </c>
      <c r="Q142" s="14"/>
      <c r="R142" s="14"/>
      <c r="S142" s="14"/>
      <c r="T142" s="14" t="n">
        <f aca="false">Q142+(R142*0.05)+(S142/240)</f>
        <v>0</v>
      </c>
      <c r="U142" s="14" t="n">
        <f aca="false">K142*P142</f>
        <v>0</v>
      </c>
      <c r="V142" s="18" t="n">
        <f aca="false">T142-U142</f>
        <v>0</v>
      </c>
      <c r="W142" s="19"/>
      <c r="X142" s="19"/>
    </row>
    <row r="143" customFormat="false" ht="16" hidden="false" customHeight="false" outlineLevel="0" collapsed="false">
      <c r="A143" s="8" t="s">
        <v>24</v>
      </c>
      <c r="B143" s="9" t="s">
        <v>25</v>
      </c>
      <c r="C143" s="9" t="s">
        <v>26</v>
      </c>
      <c r="D143" s="10" t="n">
        <v>1789</v>
      </c>
      <c r="E143" s="9" t="s">
        <v>27</v>
      </c>
      <c r="F143" s="9" t="s">
        <v>30</v>
      </c>
      <c r="G143" s="9" t="n">
        <v>12</v>
      </c>
      <c r="H143" s="12"/>
      <c r="I143" s="13"/>
      <c r="J143" s="13"/>
      <c r="K143" s="14"/>
      <c r="L143" s="15"/>
      <c r="M143" s="14"/>
      <c r="N143" s="14"/>
      <c r="O143" s="16"/>
      <c r="P143" s="17" t="n">
        <f aca="false">M143+(0.05*N143)+(O143/240)</f>
        <v>0</v>
      </c>
      <c r="Q143" s="14"/>
      <c r="R143" s="14"/>
      <c r="S143" s="14"/>
      <c r="T143" s="14" t="n">
        <f aca="false">Q143+(R143*0.05)+(S143/240)</f>
        <v>0</v>
      </c>
      <c r="U143" s="14" t="n">
        <f aca="false">K143*P143</f>
        <v>0</v>
      </c>
      <c r="V143" s="18" t="n">
        <f aca="false">T143-U143</f>
        <v>0</v>
      </c>
      <c r="W143" s="19"/>
      <c r="X143" s="19"/>
    </row>
    <row r="144" customFormat="false" ht="16" hidden="false" customHeight="false" outlineLevel="0" collapsed="false">
      <c r="A144" s="8" t="s">
        <v>24</v>
      </c>
      <c r="B144" s="9" t="s">
        <v>25</v>
      </c>
      <c r="C144" s="9" t="s">
        <v>26</v>
      </c>
      <c r="D144" s="10" t="n">
        <v>1789</v>
      </c>
      <c r="E144" s="9" t="s">
        <v>27</v>
      </c>
      <c r="F144" s="9" t="s">
        <v>30</v>
      </c>
      <c r="G144" s="9" t="n">
        <v>12</v>
      </c>
      <c r="H144" s="12"/>
      <c r="I144" s="13"/>
      <c r="J144" s="13"/>
      <c r="K144" s="14"/>
      <c r="L144" s="15"/>
      <c r="M144" s="14"/>
      <c r="N144" s="14"/>
      <c r="O144" s="16"/>
      <c r="P144" s="17" t="n">
        <f aca="false">M144+(0.05*N144)+(O144/240)</f>
        <v>0</v>
      </c>
      <c r="Q144" s="14"/>
      <c r="R144" s="14"/>
      <c r="S144" s="14"/>
      <c r="T144" s="14" t="n">
        <f aca="false">Q144+(R144*0.05)+(S144/240)</f>
        <v>0</v>
      </c>
      <c r="U144" s="14" t="n">
        <f aca="false">K144*P144</f>
        <v>0</v>
      </c>
      <c r="V144" s="18" t="n">
        <f aca="false">T144-U144</f>
        <v>0</v>
      </c>
      <c r="W144" s="19"/>
      <c r="X144" s="19"/>
    </row>
    <row r="145" customFormat="false" ht="16" hidden="false" customHeight="false" outlineLevel="0" collapsed="false">
      <c r="A145" s="8" t="s">
        <v>24</v>
      </c>
      <c r="B145" s="9" t="s">
        <v>25</v>
      </c>
      <c r="C145" s="9" t="s">
        <v>26</v>
      </c>
      <c r="D145" s="10" t="n">
        <v>1789</v>
      </c>
      <c r="E145" s="9" t="s">
        <v>27</v>
      </c>
      <c r="F145" s="9" t="s">
        <v>30</v>
      </c>
      <c r="G145" s="9" t="n">
        <v>12</v>
      </c>
      <c r="H145" s="12"/>
      <c r="I145" s="13"/>
      <c r="J145" s="13"/>
      <c r="K145" s="14"/>
      <c r="L145" s="15"/>
      <c r="M145" s="14"/>
      <c r="N145" s="14"/>
      <c r="O145" s="16"/>
      <c r="P145" s="17" t="n">
        <f aca="false">M145+(0.05*N145)+(O145/240)</f>
        <v>0</v>
      </c>
      <c r="Q145" s="14"/>
      <c r="R145" s="14"/>
      <c r="S145" s="14"/>
      <c r="T145" s="14" t="n">
        <f aca="false">Q145+(R145*0.05)+(S145/240)</f>
        <v>0</v>
      </c>
      <c r="U145" s="14" t="n">
        <f aca="false">K145*P145</f>
        <v>0</v>
      </c>
      <c r="V145" s="18" t="n">
        <f aca="false">T145-U145</f>
        <v>0</v>
      </c>
      <c r="W145" s="19"/>
      <c r="X145" s="19"/>
    </row>
    <row r="146" customFormat="false" ht="16" hidden="false" customHeight="false" outlineLevel="0" collapsed="false">
      <c r="A146" s="8" t="s">
        <v>24</v>
      </c>
      <c r="B146" s="9" t="s">
        <v>25</v>
      </c>
      <c r="C146" s="9" t="s">
        <v>26</v>
      </c>
      <c r="D146" s="10" t="n">
        <v>1789</v>
      </c>
      <c r="E146" s="9" t="s">
        <v>27</v>
      </c>
      <c r="F146" s="9" t="s">
        <v>30</v>
      </c>
      <c r="G146" s="9" t="n">
        <v>12</v>
      </c>
      <c r="H146" s="12"/>
      <c r="I146" s="13"/>
      <c r="J146" s="13"/>
      <c r="K146" s="14"/>
      <c r="L146" s="15"/>
      <c r="M146" s="14"/>
      <c r="N146" s="14"/>
      <c r="O146" s="16"/>
      <c r="P146" s="17" t="n">
        <f aca="false">M146+(0.05*N146)+(O146/240)</f>
        <v>0</v>
      </c>
      <c r="Q146" s="14"/>
      <c r="R146" s="14"/>
      <c r="S146" s="14"/>
      <c r="T146" s="14" t="n">
        <f aca="false">Q146+(R146*0.05)+(S146/240)</f>
        <v>0</v>
      </c>
      <c r="U146" s="14" t="n">
        <f aca="false">K146*P146</f>
        <v>0</v>
      </c>
      <c r="V146" s="18" t="n">
        <f aca="false">T146-U146</f>
        <v>0</v>
      </c>
      <c r="W146" s="19"/>
      <c r="X146" s="19"/>
    </row>
    <row r="147" customFormat="false" ht="16" hidden="false" customHeight="false" outlineLevel="0" collapsed="false">
      <c r="A147" s="8" t="s">
        <v>24</v>
      </c>
      <c r="B147" s="9" t="s">
        <v>25</v>
      </c>
      <c r="C147" s="9" t="s">
        <v>26</v>
      </c>
      <c r="D147" s="10" t="n">
        <v>1789</v>
      </c>
      <c r="E147" s="9" t="s">
        <v>27</v>
      </c>
      <c r="F147" s="9" t="s">
        <v>30</v>
      </c>
      <c r="G147" s="9" t="n">
        <v>12</v>
      </c>
      <c r="H147" s="12"/>
      <c r="I147" s="13"/>
      <c r="J147" s="13"/>
      <c r="K147" s="14"/>
      <c r="L147" s="15"/>
      <c r="M147" s="14"/>
      <c r="N147" s="14"/>
      <c r="O147" s="16"/>
      <c r="P147" s="17" t="n">
        <f aca="false">M147+(0.05*N147)+(O147/240)</f>
        <v>0</v>
      </c>
      <c r="Q147" s="14"/>
      <c r="R147" s="14"/>
      <c r="S147" s="14"/>
      <c r="T147" s="14" t="n">
        <f aca="false">Q147+(R147*0.05)+(S147/240)</f>
        <v>0</v>
      </c>
      <c r="U147" s="14" t="n">
        <f aca="false">K147*P147</f>
        <v>0</v>
      </c>
      <c r="V147" s="18" t="n">
        <f aca="false">T147-U147</f>
        <v>0</v>
      </c>
      <c r="W147" s="19"/>
      <c r="X147" s="19"/>
    </row>
    <row r="148" customFormat="false" ht="16" hidden="false" customHeight="false" outlineLevel="0" collapsed="false">
      <c r="A148" s="8" t="s">
        <v>24</v>
      </c>
      <c r="B148" s="9" t="s">
        <v>25</v>
      </c>
      <c r="C148" s="9" t="s">
        <v>26</v>
      </c>
      <c r="D148" s="10" t="n">
        <v>1789</v>
      </c>
      <c r="E148" s="9" t="s">
        <v>27</v>
      </c>
      <c r="F148" s="9" t="s">
        <v>30</v>
      </c>
      <c r="G148" s="9" t="n">
        <v>12</v>
      </c>
      <c r="H148" s="12"/>
      <c r="I148" s="13"/>
      <c r="J148" s="13"/>
      <c r="K148" s="14"/>
      <c r="L148" s="15"/>
      <c r="M148" s="14"/>
      <c r="N148" s="14"/>
      <c r="O148" s="16"/>
      <c r="P148" s="17" t="n">
        <f aca="false">M148+(0.05*N148)+(O148/240)</f>
        <v>0</v>
      </c>
      <c r="Q148" s="14"/>
      <c r="R148" s="14"/>
      <c r="S148" s="14"/>
      <c r="T148" s="14" t="n">
        <f aca="false">Q148+(R148*0.05)+(S148/240)</f>
        <v>0</v>
      </c>
      <c r="U148" s="14" t="n">
        <f aca="false">K148*P148</f>
        <v>0</v>
      </c>
      <c r="V148" s="18" t="n">
        <f aca="false">T148-U148</f>
        <v>0</v>
      </c>
      <c r="W148" s="19"/>
      <c r="X148" s="19"/>
    </row>
    <row r="149" customFormat="false" ht="16" hidden="false" customHeight="false" outlineLevel="0" collapsed="false">
      <c r="A149" s="8" t="s">
        <v>24</v>
      </c>
      <c r="B149" s="9" t="s">
        <v>25</v>
      </c>
      <c r="C149" s="9" t="s">
        <v>26</v>
      </c>
      <c r="D149" s="10" t="n">
        <v>1789</v>
      </c>
      <c r="E149" s="9" t="s">
        <v>27</v>
      </c>
      <c r="F149" s="9" t="s">
        <v>30</v>
      </c>
      <c r="G149" s="9" t="n">
        <v>12</v>
      </c>
      <c r="H149" s="12"/>
      <c r="I149" s="13"/>
      <c r="J149" s="13"/>
      <c r="K149" s="14"/>
      <c r="L149" s="15"/>
      <c r="M149" s="14"/>
      <c r="N149" s="14"/>
      <c r="O149" s="16"/>
      <c r="P149" s="17" t="n">
        <f aca="false">M149+(0.05*N149)+(O149/240)</f>
        <v>0</v>
      </c>
      <c r="Q149" s="14"/>
      <c r="R149" s="14"/>
      <c r="S149" s="14"/>
      <c r="T149" s="14" t="n">
        <f aca="false">Q149+(R149*0.05)+(S149/240)</f>
        <v>0</v>
      </c>
      <c r="U149" s="14" t="n">
        <f aca="false">K149*P149</f>
        <v>0</v>
      </c>
      <c r="V149" s="18" t="n">
        <f aca="false">T149-U149</f>
        <v>0</v>
      </c>
      <c r="W149" s="19"/>
      <c r="X149" s="19"/>
    </row>
    <row r="150" customFormat="false" ht="16" hidden="false" customHeight="false" outlineLevel="0" collapsed="false">
      <c r="A150" s="8" t="s">
        <v>24</v>
      </c>
      <c r="B150" s="9" t="s">
        <v>25</v>
      </c>
      <c r="C150" s="9" t="s">
        <v>26</v>
      </c>
      <c r="D150" s="10" t="n">
        <v>1789</v>
      </c>
      <c r="E150" s="9" t="s">
        <v>27</v>
      </c>
      <c r="F150" s="9" t="s">
        <v>30</v>
      </c>
      <c r="G150" s="9" t="n">
        <v>12</v>
      </c>
      <c r="H150" s="12"/>
      <c r="I150" s="13"/>
      <c r="J150" s="13"/>
      <c r="K150" s="14"/>
      <c r="L150" s="15"/>
      <c r="M150" s="14"/>
      <c r="N150" s="14"/>
      <c r="O150" s="16"/>
      <c r="P150" s="17" t="n">
        <f aca="false">M150+(0.05*N150)+(O150/240)</f>
        <v>0</v>
      </c>
      <c r="Q150" s="14"/>
      <c r="R150" s="14"/>
      <c r="S150" s="14"/>
      <c r="T150" s="14" t="n">
        <f aca="false">Q150+(R150*0.05)+(S150/240)</f>
        <v>0</v>
      </c>
      <c r="U150" s="14" t="n">
        <f aca="false">K150*P150</f>
        <v>0</v>
      </c>
      <c r="V150" s="18" t="n">
        <f aca="false">T150-U150</f>
        <v>0</v>
      </c>
      <c r="W150" s="19"/>
      <c r="X150" s="19"/>
    </row>
  </sheetData>
  <conditionalFormatting sqref="V2:V150">
    <cfRule type="cellIs" priority="2" operator="greaterThan" aboveAverage="0" equalAverage="0" bottom="0" percent="0" rank="0" text="" dxfId="0">
      <formula>0</formula>
    </cfRule>
  </conditionalFormatting>
  <conditionalFormatting sqref="V1">
    <cfRule type="cellIs" priority="3" operator="greaterThan" aboveAverage="0" equalAverage="0" bottom="0" percent="0" rank="0" text="" dxfId="1">
      <formula>0</formula>
    </cfRule>
  </conditionalFormatting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K5967"/>
  <sheetViews>
    <sheetView windowProtection="false" showFormulas="false" showGridLines="true" showRowColHeaders="true" showZeros="true" rightToLeft="false" tabSelected="true" showOutlineSymbols="true" defaultGridColor="true" view="normal" topLeftCell="A340" colorId="64" zoomScale="45" zoomScaleNormal="45" zoomScalePageLayoutView="100" workbookViewId="0">
      <selection pane="topLeft" activeCell="R352" activeCellId="0" sqref="R352"/>
    </sheetView>
  </sheetViews>
  <sheetFormatPr defaultRowHeight="16"/>
  <cols>
    <col collapsed="false" hidden="false" max="1" min="1" style="0" width="10.5399061032864"/>
    <col collapsed="false" hidden="false" max="2" min="2" style="0" width="14.924882629108"/>
    <col collapsed="false" hidden="false" max="3" min="3" style="0" width="8.6056338028169"/>
    <col collapsed="false" hidden="false" max="4" min="4" style="0" width="12.4976525821596"/>
    <col collapsed="false" hidden="false" max="5" min="5" style="0" width="6.73239436619718"/>
    <col collapsed="false" hidden="false" max="6" min="6" style="0" width="9.32394366197183"/>
    <col collapsed="false" hidden="false" max="7" min="7" style="0" width="8.92488262910798"/>
    <col collapsed="false" hidden="false" max="8" min="8" style="0" width="5.1924882629108"/>
    <col collapsed="false" hidden="false" max="9" min="9" style="0" width="50.0516431924883"/>
    <col collapsed="false" hidden="false" max="10" min="10" style="0" width="10.1455399061033"/>
    <col collapsed="false" hidden="false" max="12" min="11" style="0" width="8.11737089201878"/>
    <col collapsed="false" hidden="false" max="13" min="13" style="0" width="12.1643192488263"/>
    <col collapsed="false" hidden="false" max="14" min="14" style="0" width="18.169014084507"/>
    <col collapsed="false" hidden="false" max="15" min="15" style="1" width="10.4694835680751"/>
    <col collapsed="false" hidden="false" max="18" min="16" style="0" width="9.81220657276995"/>
    <col collapsed="false" hidden="false" max="19" min="19" style="0" width="10.8638497652582"/>
    <col collapsed="false" hidden="false" max="20" min="20" style="0" width="9.32394366197183"/>
    <col collapsed="false" hidden="false" max="21" min="21" style="0" width="8.76056338028169"/>
    <col collapsed="false" hidden="false" max="22" min="22" style="0" width="9.81220657276995"/>
    <col collapsed="false" hidden="false" max="23" min="23" style="0" width="10.8638497652582"/>
    <col collapsed="false" hidden="false" max="24" min="24" style="0" width="9.32394366197183"/>
    <col collapsed="false" hidden="false" max="25" min="25" style="0" width="10.8638497652582"/>
    <col collapsed="false" hidden="false" max="27" min="26" style="0" width="9.81220657276995"/>
    <col collapsed="false" hidden="false" max="28" min="28" style="0" width="9.32394366197183"/>
    <col collapsed="false" hidden="false" max="29" min="29" style="0" width="10.8638497652582"/>
    <col collapsed="false" hidden="false" max="30" min="30" style="0" width="9.81220657276995"/>
    <col collapsed="false" hidden="false" max="31" min="31" style="0" width="11.6854460093897"/>
    <col collapsed="false" hidden="false" max="32" min="32" style="0" width="9.32394366197183"/>
    <col collapsed="false" hidden="false" max="33" min="33" style="0" width="9.81220657276995"/>
    <col collapsed="false" hidden="false" max="34" min="34" style="0" width="9.32394366197183"/>
    <col collapsed="false" hidden="false" max="37" min="35" style="0" width="10.8638497652582"/>
    <col collapsed="false" hidden="false" max="38" min="38" style="0" width="9.32394366197183"/>
    <col collapsed="false" hidden="false" max="39" min="39" style="0" width="9.81220657276995"/>
    <col collapsed="false" hidden="false" max="40" min="40" style="0" width="9.32394366197183"/>
    <col collapsed="false" hidden="false" max="41" min="41" style="0" width="9.81220657276995"/>
    <col collapsed="false" hidden="false" max="42" min="42" style="0" width="9.32394366197183"/>
    <col collapsed="false" hidden="false" max="43" min="43" style="0" width="9.81220657276995"/>
    <col collapsed="false" hidden="false" max="44" min="44" style="0" width="9.32394366197183"/>
    <col collapsed="false" hidden="false" max="45" min="45" style="0" width="9.81220657276995"/>
    <col collapsed="false" hidden="false" max="46" min="46" style="0" width="9.32394366197183"/>
    <col collapsed="false" hidden="false" max="47" min="47" style="0" width="10.8638497652582"/>
    <col collapsed="false" hidden="false" max="48" min="48" style="0" width="9.32394366197183"/>
    <col collapsed="false" hidden="false" max="49" min="49" style="0" width="8.76056338028169"/>
    <col collapsed="false" hidden="false" max="50" min="50" style="0" width="9.32394366197183"/>
    <col collapsed="false" hidden="false" max="51" min="51" style="0" width="9.81220657276995"/>
    <col collapsed="false" hidden="false" max="52" min="52" style="0" width="9.32394366197183"/>
    <col collapsed="false" hidden="false" max="53" min="53" style="0" width="9.81220657276995"/>
    <col collapsed="false" hidden="false" max="54" min="54" style="0" width="10.8638497652582"/>
    <col collapsed="false" hidden="false" max="55" min="55" style="0" width="9.32394366197183"/>
    <col collapsed="false" hidden="false" max="56" min="56" style="0" width="15.5774647887324"/>
    <col collapsed="false" hidden="false" max="57" min="57" style="0" width="9.48826291079812"/>
    <col collapsed="false" hidden="false" max="59" min="58" style="0" width="16.7934272300469"/>
    <col collapsed="false" hidden="false" max="60" min="60" style="0" width="16.6291079812207"/>
    <col collapsed="false" hidden="false" max="61" min="61" style="0" width="17.4413145539906"/>
    <col collapsed="false" hidden="false" max="62" min="62" style="0" width="23.6103286384977"/>
    <col collapsed="false" hidden="false" max="63" min="63" style="0" width="40.2394366197183"/>
    <col collapsed="false" hidden="false" max="1025" min="64" style="0" width="10.5399061032864"/>
  </cols>
  <sheetData>
    <row r="1" customFormat="false" ht="84" hidden="false" customHeight="true" outlineLevel="0" collapsed="false">
      <c r="A1" s="0" t="s">
        <v>31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3" t="s">
        <v>7</v>
      </c>
      <c r="J1" s="5" t="s">
        <v>12</v>
      </c>
      <c r="K1" s="5" t="s">
        <v>13</v>
      </c>
      <c r="L1" s="5" t="s">
        <v>14</v>
      </c>
      <c r="M1" s="7" t="s">
        <v>15</v>
      </c>
      <c r="N1" s="6" t="s">
        <v>32</v>
      </c>
      <c r="O1" s="6" t="s">
        <v>33</v>
      </c>
      <c r="P1" s="6"/>
      <c r="Q1" s="6"/>
      <c r="R1" s="6" t="s">
        <v>34</v>
      </c>
      <c r="S1" s="6"/>
      <c r="T1" s="6" t="s">
        <v>35</v>
      </c>
      <c r="U1" s="6"/>
      <c r="V1" s="6" t="s">
        <v>36</v>
      </c>
      <c r="W1" s="6"/>
      <c r="X1" s="6" t="s">
        <v>37</v>
      </c>
      <c r="Y1" s="6"/>
      <c r="Z1" s="6" t="s">
        <v>38</v>
      </c>
      <c r="AA1" s="6"/>
      <c r="AB1" s="6" t="s">
        <v>39</v>
      </c>
      <c r="AC1" s="6"/>
      <c r="AD1" s="6" t="s">
        <v>40</v>
      </c>
      <c r="AE1" s="6"/>
      <c r="AF1" s="6" t="s">
        <v>41</v>
      </c>
      <c r="AG1" s="6"/>
      <c r="AH1" s="6" t="s">
        <v>42</v>
      </c>
      <c r="AI1" s="6"/>
      <c r="AJ1" s="6" t="s">
        <v>43</v>
      </c>
      <c r="AK1" s="6"/>
      <c r="AL1" s="6" t="s">
        <v>44</v>
      </c>
      <c r="AM1" s="6"/>
      <c r="AN1" s="6" t="s">
        <v>45</v>
      </c>
      <c r="AO1" s="6"/>
      <c r="AP1" s="6" t="s">
        <v>46</v>
      </c>
      <c r="AQ1" s="6"/>
      <c r="AR1" s="6" t="s">
        <v>47</v>
      </c>
      <c r="AS1" s="6"/>
      <c r="AT1" s="6" t="s">
        <v>48</v>
      </c>
      <c r="AU1" s="6"/>
      <c r="AV1" s="6" t="s">
        <v>49</v>
      </c>
      <c r="AW1" s="6"/>
      <c r="AX1" s="6" t="s">
        <v>50</v>
      </c>
      <c r="AY1" s="6"/>
      <c r="AZ1" s="6" t="s">
        <v>51</v>
      </c>
      <c r="BA1" s="6"/>
      <c r="BB1" s="6" t="s">
        <v>52</v>
      </c>
      <c r="BC1" s="6"/>
      <c r="BD1" s="6"/>
      <c r="BE1" s="6"/>
      <c r="BF1" s="6" t="s">
        <v>53</v>
      </c>
      <c r="BG1" s="6" t="s">
        <v>54</v>
      </c>
      <c r="BH1" s="6" t="s">
        <v>55</v>
      </c>
      <c r="BI1" s="6" t="s">
        <v>56</v>
      </c>
      <c r="BJ1" s="6" t="s">
        <v>57</v>
      </c>
      <c r="BK1" s="6" t="s">
        <v>23</v>
      </c>
    </row>
    <row r="2" customFormat="false" ht="16" hidden="false" customHeight="false" outlineLevel="0" collapsed="false">
      <c r="B2" s="20"/>
      <c r="C2" s="20"/>
      <c r="D2" s="20"/>
      <c r="E2" s="21"/>
      <c r="F2" s="20"/>
      <c r="G2" s="20"/>
      <c r="H2" s="20"/>
      <c r="I2" s="22"/>
      <c r="J2" s="23"/>
      <c r="K2" s="23"/>
      <c r="L2" s="24"/>
      <c r="M2" s="25"/>
      <c r="N2" s="25"/>
      <c r="O2" s="26" t="s">
        <v>58</v>
      </c>
      <c r="P2" s="25" t="s">
        <v>59</v>
      </c>
      <c r="Q2" s="25" t="s">
        <v>60</v>
      </c>
      <c r="R2" s="25" t="s">
        <v>59</v>
      </c>
      <c r="S2" s="25" t="s">
        <v>60</v>
      </c>
      <c r="T2" s="25" t="s">
        <v>59</v>
      </c>
      <c r="U2" s="25" t="s">
        <v>60</v>
      </c>
      <c r="V2" s="25" t="s">
        <v>59</v>
      </c>
      <c r="W2" s="25" t="s">
        <v>60</v>
      </c>
      <c r="X2" s="25" t="s">
        <v>59</v>
      </c>
      <c r="Y2" s="25" t="s">
        <v>60</v>
      </c>
      <c r="Z2" s="25" t="s">
        <v>59</v>
      </c>
      <c r="AA2" s="25" t="s">
        <v>60</v>
      </c>
      <c r="AB2" s="25" t="s">
        <v>59</v>
      </c>
      <c r="AC2" s="25" t="s">
        <v>60</v>
      </c>
      <c r="AD2" s="25" t="s">
        <v>59</v>
      </c>
      <c r="AE2" s="25" t="s">
        <v>60</v>
      </c>
      <c r="AF2" s="25" t="s">
        <v>59</v>
      </c>
      <c r="AG2" s="25" t="s">
        <v>60</v>
      </c>
      <c r="AH2" s="25" t="s">
        <v>59</v>
      </c>
      <c r="AI2" s="25" t="s">
        <v>60</v>
      </c>
      <c r="AJ2" s="25" t="s">
        <v>59</v>
      </c>
      <c r="AK2" s="25" t="s">
        <v>60</v>
      </c>
      <c r="AL2" s="25" t="s">
        <v>59</v>
      </c>
      <c r="AM2" s="25" t="s">
        <v>60</v>
      </c>
      <c r="AN2" s="25" t="s">
        <v>59</v>
      </c>
      <c r="AO2" s="25" t="s">
        <v>60</v>
      </c>
      <c r="AP2" s="25" t="s">
        <v>59</v>
      </c>
      <c r="AQ2" s="25" t="s">
        <v>60</v>
      </c>
      <c r="AR2" s="25" t="s">
        <v>59</v>
      </c>
      <c r="AS2" s="25" t="s">
        <v>60</v>
      </c>
      <c r="AT2" s="25" t="s">
        <v>59</v>
      </c>
      <c r="AU2" s="25" t="s">
        <v>60</v>
      </c>
      <c r="AV2" s="25" t="s">
        <v>59</v>
      </c>
      <c r="AW2" s="25" t="s">
        <v>60</v>
      </c>
      <c r="AX2" s="25" t="s">
        <v>59</v>
      </c>
      <c r="AY2" s="25" t="s">
        <v>60</v>
      </c>
      <c r="AZ2" s="25" t="s">
        <v>59</v>
      </c>
      <c r="BA2" s="25" t="s">
        <v>60</v>
      </c>
      <c r="BB2" s="25" t="s">
        <v>59</v>
      </c>
      <c r="BC2" s="25" t="s">
        <v>60</v>
      </c>
      <c r="BD2" s="25" t="s">
        <v>61</v>
      </c>
      <c r="BE2" s="25" t="s">
        <v>62</v>
      </c>
      <c r="BF2" s="20"/>
      <c r="BG2" s="20"/>
      <c r="BH2" s="20"/>
      <c r="BI2" s="20"/>
      <c r="BJ2" s="20"/>
      <c r="BK2" s="20"/>
    </row>
    <row r="3" customFormat="false" ht="16" hidden="false" customHeight="false" outlineLevel="0" collapsed="false">
      <c r="A3" s="0" t="n">
        <v>1</v>
      </c>
      <c r="B3" s="8" t="s">
        <v>24</v>
      </c>
      <c r="C3" s="9" t="s">
        <v>25</v>
      </c>
      <c r="D3" s="9" t="s">
        <v>26</v>
      </c>
      <c r="E3" s="10" t="n">
        <v>1789</v>
      </c>
      <c r="F3" s="9" t="s">
        <v>27</v>
      </c>
      <c r="G3" s="9" t="s">
        <v>27</v>
      </c>
      <c r="H3" s="11" t="n">
        <v>18</v>
      </c>
      <c r="I3" s="11" t="s">
        <v>63</v>
      </c>
      <c r="J3" s="14" t="n">
        <v>27</v>
      </c>
      <c r="K3" s="14"/>
      <c r="L3" s="16"/>
      <c r="M3" s="27" t="n">
        <f aca="false">J3+(K3/20)+(L3/240)</f>
        <v>27</v>
      </c>
      <c r="N3" s="17" t="s">
        <v>64</v>
      </c>
      <c r="O3" s="11"/>
      <c r="P3" s="28"/>
      <c r="Q3" s="28" t="str">
        <f aca="false">IF(O3&lt;&gt;"",P3*M3,"")</f>
        <v/>
      </c>
      <c r="R3" s="28"/>
      <c r="S3" s="28" t="n">
        <f aca="false">R3*$M3</f>
        <v>0</v>
      </c>
      <c r="T3" s="28"/>
      <c r="U3" s="28" t="n">
        <f aca="false">T3*$M3</f>
        <v>0</v>
      </c>
      <c r="V3" s="28"/>
      <c r="W3" s="28" t="n">
        <f aca="false">V3*$M3</f>
        <v>0</v>
      </c>
      <c r="X3" s="28" t="n">
        <f aca="false">700/100</f>
        <v>7</v>
      </c>
      <c r="Y3" s="28" t="n">
        <v>189</v>
      </c>
      <c r="Z3" s="29"/>
      <c r="AA3" s="28" t="n">
        <v>9506</v>
      </c>
      <c r="AB3" s="28"/>
      <c r="AC3" s="28" t="n">
        <f aca="false">AB3*$M3</f>
        <v>0</v>
      </c>
      <c r="AD3" s="28"/>
      <c r="AE3" s="28" t="n">
        <f aca="false">AD3*$M3</f>
        <v>0</v>
      </c>
      <c r="AF3" s="28"/>
      <c r="AG3" s="28" t="n">
        <f aca="false">AF3*$M3</f>
        <v>0</v>
      </c>
      <c r="AH3" s="28"/>
      <c r="AI3" s="28" t="n">
        <f aca="false">AH3*$M3</f>
        <v>0</v>
      </c>
      <c r="AJ3" s="28"/>
      <c r="AK3" s="28" t="n">
        <f aca="false">AJ3*$M3</f>
        <v>0</v>
      </c>
      <c r="AL3" s="28" t="n">
        <f aca="false">72509/100</f>
        <v>725.09</v>
      </c>
      <c r="AM3" s="28" t="n">
        <v>19577</v>
      </c>
      <c r="AN3" s="28"/>
      <c r="AO3" s="28" t="n">
        <f aca="false">AN3*$M3</f>
        <v>0</v>
      </c>
      <c r="AP3" s="28"/>
      <c r="AQ3" s="28" t="n">
        <f aca="false">AP3*$M3</f>
        <v>0</v>
      </c>
      <c r="AR3" s="28"/>
      <c r="AS3" s="28" t="n">
        <f aca="false">AR3*$M3</f>
        <v>0</v>
      </c>
      <c r="AT3" s="28" t="n">
        <f aca="false">36750/100</f>
        <v>367.5</v>
      </c>
      <c r="AU3" s="28" t="n">
        <v>9922</v>
      </c>
      <c r="AV3" s="28"/>
      <c r="AW3" s="28" t="n">
        <f aca="false">AV3*$M3</f>
        <v>0</v>
      </c>
      <c r="AX3" s="28"/>
      <c r="AY3" s="28" t="n">
        <f aca="false">AX3*$M3</f>
        <v>0</v>
      </c>
      <c r="AZ3" s="28"/>
      <c r="BA3" s="28" t="n">
        <f aca="false">AZ3*$M3</f>
        <v>0</v>
      </c>
      <c r="BB3" s="30" t="n">
        <f aca="false">145166/100</f>
        <v>1451.66</v>
      </c>
      <c r="BC3" s="11" t="n">
        <v>39194</v>
      </c>
      <c r="BD3" s="31" t="n">
        <f aca="false">SUM(S3,U3,W3,Y3,AA3,AC3,AE3,AG3,AI3,AK3,AM3,AO3,AQ3,AS3,AU3,AW3,AY3,BA3)</f>
        <v>39194</v>
      </c>
      <c r="BE3" s="28" t="n">
        <f aca="false">BC3-BD3</f>
        <v>0</v>
      </c>
      <c r="BF3" s="32" t="n">
        <f aca="false">SUM(R3,T3,V3,X3,Z3,AB3,AD3,AF3,AH3,AJ3,AL3,AN3,AP3,AR3,AT3,AV3,AX3,AZ3)</f>
        <v>1099.59</v>
      </c>
      <c r="BG3" s="33" t="n">
        <f aca="false">BB3-BF3</f>
        <v>352.07</v>
      </c>
      <c r="BH3" s="34" t="n">
        <f aca="false">BF3*M3</f>
        <v>29688.93</v>
      </c>
      <c r="BI3" s="35" t="n">
        <f aca="false">BC3-BH3</f>
        <v>9505.07</v>
      </c>
      <c r="BJ3" s="19" t="str">
        <f aca="false">IF(BI3=0,"",IF(BI3&lt;&gt;BC3,"erreur de calcul",IF(BF3&lt;&gt;0,"pas de prix",IF(M3&lt;&gt; 0,"pas de quantité","pas de prix, ni de quantité"))))</f>
        <v>erreur de calcul</v>
      </c>
      <c r="BK3" s="19"/>
    </row>
    <row r="4" customFormat="false" ht="16" hidden="false" customHeight="false" outlineLevel="0" collapsed="false">
      <c r="A4" s="0" t="n">
        <v>2</v>
      </c>
      <c r="B4" s="8" t="s">
        <v>24</v>
      </c>
      <c r="C4" s="9" t="s">
        <v>25</v>
      </c>
      <c r="D4" s="9" t="s">
        <v>26</v>
      </c>
      <c r="E4" s="10" t="n">
        <v>1789</v>
      </c>
      <c r="F4" s="9" t="s">
        <v>27</v>
      </c>
      <c r="G4" s="9" t="s">
        <v>27</v>
      </c>
      <c r="H4" s="11" t="n">
        <v>18</v>
      </c>
      <c r="I4" s="11" t="s">
        <v>65</v>
      </c>
      <c r="J4" s="14"/>
      <c r="K4" s="14" t="n">
        <v>20</v>
      </c>
      <c r="L4" s="16"/>
      <c r="M4" s="27" t="n">
        <f aca="false">J4+(K4/20)+(L4/240)</f>
        <v>1</v>
      </c>
      <c r="N4" s="17" t="s">
        <v>66</v>
      </c>
      <c r="O4" s="11"/>
      <c r="P4" s="28"/>
      <c r="Q4" s="28" t="str">
        <f aca="false">IF(O4&lt;&gt;"",P4*M4,"")</f>
        <v/>
      </c>
      <c r="R4" s="28"/>
      <c r="S4" s="28" t="n">
        <f aca="false">R4*$M4</f>
        <v>0</v>
      </c>
      <c r="T4" s="28"/>
      <c r="U4" s="28" t="n">
        <f aca="false">T4*$M4</f>
        <v>0</v>
      </c>
      <c r="V4" s="28"/>
      <c r="W4" s="28" t="n">
        <f aca="false">V4*$M4</f>
        <v>0</v>
      </c>
      <c r="X4" s="28" t="n">
        <v>2365</v>
      </c>
      <c r="Y4" s="28" t="n">
        <v>2365</v>
      </c>
      <c r="Z4" s="29" t="n">
        <v>234</v>
      </c>
      <c r="AA4" s="28" t="n">
        <v>234</v>
      </c>
      <c r="AB4" s="28"/>
      <c r="AC4" s="28" t="n">
        <f aca="false">AB4*$M4</f>
        <v>0</v>
      </c>
      <c r="AD4" s="28" t="n">
        <v>17776</v>
      </c>
      <c r="AE4" s="28" t="n">
        <v>17776</v>
      </c>
      <c r="AF4" s="28"/>
      <c r="AG4" s="28" t="n">
        <f aca="false">AF4*$M4</f>
        <v>0</v>
      </c>
      <c r="AH4" s="28"/>
      <c r="AI4" s="28" t="n">
        <f aca="false">AH4*$M4</f>
        <v>0</v>
      </c>
      <c r="AJ4" s="28"/>
      <c r="AK4" s="28" t="n">
        <f aca="false">AJ4*$M4</f>
        <v>0</v>
      </c>
      <c r="AL4" s="28"/>
      <c r="AM4" s="28" t="n">
        <f aca="false">AL4*$M4</f>
        <v>0</v>
      </c>
      <c r="AN4" s="28"/>
      <c r="AO4" s="28" t="n">
        <f aca="false">AN4*$M4</f>
        <v>0</v>
      </c>
      <c r="AP4" s="28"/>
      <c r="AQ4" s="28" t="n">
        <f aca="false">AP4*$M4</f>
        <v>0</v>
      </c>
      <c r="AR4" s="28"/>
      <c r="AS4" s="28" t="n">
        <f aca="false">AR4*$M4</f>
        <v>0</v>
      </c>
      <c r="AT4" s="28"/>
      <c r="AU4" s="28" t="n">
        <f aca="false">AT4*$M4</f>
        <v>0</v>
      </c>
      <c r="AV4" s="28"/>
      <c r="AW4" s="28" t="n">
        <f aca="false">AV4*$M4</f>
        <v>0</v>
      </c>
      <c r="AX4" s="28"/>
      <c r="AY4" s="28" t="n">
        <f aca="false">AX4*$M4</f>
        <v>0</v>
      </c>
      <c r="AZ4" s="28"/>
      <c r="BA4" s="28" t="n">
        <f aca="false">AZ4*$M4</f>
        <v>0</v>
      </c>
      <c r="BB4" s="30" t="n">
        <v>20375</v>
      </c>
      <c r="BC4" s="11" t="n">
        <v>20375</v>
      </c>
      <c r="BD4" s="31" t="n">
        <f aca="false">SUM(S4,U4,W4,Y4,AA4,AC4,AE4,AG4,AI4,AK4,AM4,AO4,AQ4,AS4,AU4,AW4,AY4,BA4)</f>
        <v>20375</v>
      </c>
      <c r="BE4" s="28" t="n">
        <f aca="false">BC4-BD4</f>
        <v>0</v>
      </c>
      <c r="BF4" s="32" t="n">
        <f aca="false">SUM(R4,T4,V4,X4,Z4,AB4,AD4,AF4,AH4,AJ4,AL4,AN4,AP4,AR4,AT4,AV4,AX4,AZ4)</f>
        <v>20375</v>
      </c>
      <c r="BG4" s="33" t="n">
        <f aca="false">BB4-BF4</f>
        <v>0</v>
      </c>
      <c r="BH4" s="34" t="n">
        <f aca="false">BF4*M4</f>
        <v>20375</v>
      </c>
      <c r="BI4" s="35" t="n">
        <f aca="false">BC4-BH4</f>
        <v>0</v>
      </c>
      <c r="BJ4" s="19" t="str">
        <f aca="false">IF(BI4=0,"",IF(BI4&lt;&gt;BC4,"erreur de calcul",IF(BF4&lt;&gt;0,"pas de prix",IF(M4&lt;&gt; 0,"pas de quantité","pas de prix, ni de quantité"))))</f>
        <v/>
      </c>
      <c r="BK4" s="19"/>
    </row>
    <row r="5" customFormat="false" ht="16" hidden="false" customHeight="false" outlineLevel="0" collapsed="false">
      <c r="A5" s="0" t="n">
        <v>3</v>
      </c>
      <c r="B5" s="8" t="s">
        <v>24</v>
      </c>
      <c r="C5" s="9" t="s">
        <v>25</v>
      </c>
      <c r="D5" s="9" t="s">
        <v>26</v>
      </c>
      <c r="E5" s="10" t="n">
        <v>1789</v>
      </c>
      <c r="F5" s="9" t="s">
        <v>27</v>
      </c>
      <c r="G5" s="9" t="s">
        <v>27</v>
      </c>
      <c r="H5" s="11" t="n">
        <v>18</v>
      </c>
      <c r="I5" s="11" t="s">
        <v>67</v>
      </c>
      <c r="J5" s="14" t="n">
        <v>56</v>
      </c>
      <c r="K5" s="14"/>
      <c r="L5" s="16"/>
      <c r="M5" s="27" t="n">
        <f aca="false">J5+(K5/20)+(L5/240)</f>
        <v>56</v>
      </c>
      <c r="N5" s="17" t="s">
        <v>64</v>
      </c>
      <c r="O5" s="11"/>
      <c r="P5" s="28"/>
      <c r="Q5" s="28" t="str">
        <f aca="false">IF(O5&lt;&gt;"",P5*M5,"")</f>
        <v/>
      </c>
      <c r="R5" s="28" t="n">
        <f aca="false">27159/100</f>
        <v>271.59</v>
      </c>
      <c r="S5" s="28" t="n">
        <v>15209</v>
      </c>
      <c r="T5" s="28"/>
      <c r="U5" s="28" t="n">
        <f aca="false">T5*$M5</f>
        <v>0</v>
      </c>
      <c r="V5" s="28" t="n">
        <f aca="false">1044/100</f>
        <v>10.44</v>
      </c>
      <c r="W5" s="28" t="n">
        <v>585</v>
      </c>
      <c r="X5" s="28" t="n">
        <f aca="false">1838/100</f>
        <v>18.38</v>
      </c>
      <c r="Y5" s="36" t="n">
        <v>4557</v>
      </c>
      <c r="Z5" s="29"/>
      <c r="AA5" s="28" t="n">
        <v>2566</v>
      </c>
      <c r="AB5" s="28"/>
      <c r="AC5" s="28" t="n">
        <f aca="false">AB5*$M5</f>
        <v>0</v>
      </c>
      <c r="AD5" s="28" t="n">
        <f aca="false">17833/100</f>
        <v>178.33</v>
      </c>
      <c r="AE5" s="28" t="n">
        <v>9986</v>
      </c>
      <c r="AF5" s="28"/>
      <c r="AG5" s="28" t="n">
        <f aca="false">AF5*$M5</f>
        <v>0</v>
      </c>
      <c r="AH5" s="28" t="n">
        <f aca="false">30595/100</f>
        <v>305.95</v>
      </c>
      <c r="AI5" s="28" t="n">
        <v>17133</v>
      </c>
      <c r="AJ5" s="28"/>
      <c r="AK5" s="28" t="n">
        <f aca="false">AJ5*$M5</f>
        <v>0</v>
      </c>
      <c r="AL5" s="28"/>
      <c r="AM5" s="28" t="n">
        <f aca="false">AL5*$M5</f>
        <v>0</v>
      </c>
      <c r="AN5" s="28"/>
      <c r="AO5" s="28" t="n">
        <f aca="false">AN5*$M5</f>
        <v>0</v>
      </c>
      <c r="AP5" s="28"/>
      <c r="AQ5" s="28" t="n">
        <f aca="false">AP5*$M5</f>
        <v>0</v>
      </c>
      <c r="AR5" s="28"/>
      <c r="AS5" s="28" t="n">
        <f aca="false">AR5*$M5</f>
        <v>0</v>
      </c>
      <c r="AT5" s="28"/>
      <c r="AU5" s="28" t="n">
        <f aca="false">AT5*$M5</f>
        <v>0</v>
      </c>
      <c r="AV5" s="28"/>
      <c r="AW5" s="28" t="n">
        <f aca="false">AV5*$M5</f>
        <v>0</v>
      </c>
      <c r="AX5" s="28"/>
      <c r="AY5" s="28" t="n">
        <f aca="false">AX5*$M5</f>
        <v>0</v>
      </c>
      <c r="AZ5" s="28"/>
      <c r="BA5" s="28" t="n">
        <f aca="false">AZ5*$M5</f>
        <v>0</v>
      </c>
      <c r="BB5" s="30" t="n">
        <f aca="false">83051/100</f>
        <v>830.51</v>
      </c>
      <c r="BC5" s="11" t="n">
        <v>50036</v>
      </c>
      <c r="BD5" s="31" t="n">
        <f aca="false">SUM(S5,U5,W5,Y5,AA5,AC5,AE5,AG5,AI5,AK5,AM5,AO5,AQ5,AS5,AU5,AW5,AY5,BA5)</f>
        <v>50036</v>
      </c>
      <c r="BE5" s="28" t="n">
        <f aca="false">BC5-BD5</f>
        <v>0</v>
      </c>
      <c r="BF5" s="32" t="n">
        <f aca="false">SUM(R5,T5,V5,X5,Z5,AB5,AD5,AF5,AH5,AJ5,AL5,AN5,AP5,AR5,AT5,AV5,AX5,AZ5)</f>
        <v>784.69</v>
      </c>
      <c r="BG5" s="33" t="n">
        <f aca="false">BB5-BF5</f>
        <v>45.8199999999999</v>
      </c>
      <c r="BH5" s="34" t="n">
        <f aca="false">BF5*M5</f>
        <v>43942.64</v>
      </c>
      <c r="BI5" s="35" t="n">
        <f aca="false">BC5-BH5</f>
        <v>6093.36</v>
      </c>
      <c r="BJ5" s="19" t="str">
        <f aca="false">IF(BI5=0,"",IF(BI5&lt;&gt;BC5,"erreur de calcul",IF(BF5&lt;&gt;0,"pas de prix",IF(M5&lt;&gt; 0,"pas de quantité","pas de prix, ni de quantité"))))</f>
        <v>erreur de calcul</v>
      </c>
      <c r="BK5" s="19"/>
    </row>
    <row r="6" customFormat="false" ht="16" hidden="false" customHeight="false" outlineLevel="0" collapsed="false">
      <c r="A6" s="0" t="n">
        <v>4</v>
      </c>
      <c r="B6" s="8" t="s">
        <v>24</v>
      </c>
      <c r="C6" s="9" t="s">
        <v>25</v>
      </c>
      <c r="D6" s="9" t="s">
        <v>26</v>
      </c>
      <c r="E6" s="10" t="n">
        <v>1789</v>
      </c>
      <c r="F6" s="9" t="s">
        <v>27</v>
      </c>
      <c r="G6" s="9" t="s">
        <v>27</v>
      </c>
      <c r="H6" s="11" t="n">
        <v>18</v>
      </c>
      <c r="I6" s="11" t="s">
        <v>68</v>
      </c>
      <c r="J6" s="14"/>
      <c r="K6" s="14" t="n">
        <v>30</v>
      </c>
      <c r="L6" s="16"/>
      <c r="M6" s="27" t="n">
        <f aca="false">J6+(K6/20)+(L6/240)</f>
        <v>1.5</v>
      </c>
      <c r="N6" s="17" t="s">
        <v>69</v>
      </c>
      <c r="O6" s="11"/>
      <c r="P6" s="28"/>
      <c r="Q6" s="28" t="str">
        <f aca="false">IF(O6&lt;&gt;"",P6*M6,"")</f>
        <v/>
      </c>
      <c r="R6" s="28" t="n">
        <v>5460</v>
      </c>
      <c r="S6" s="28" t="n">
        <v>8190</v>
      </c>
      <c r="T6" s="28"/>
      <c r="U6" s="28" t="n">
        <f aca="false">T6*$M6</f>
        <v>0</v>
      </c>
      <c r="V6" s="28"/>
      <c r="W6" s="28" t="n">
        <f aca="false">V6*$M6</f>
        <v>0</v>
      </c>
      <c r="X6" s="28" t="n">
        <v>1061</v>
      </c>
      <c r="Y6" s="28" t="n">
        <v>1591</v>
      </c>
      <c r="Z6" s="29"/>
      <c r="AA6" s="28" t="n">
        <v>5766</v>
      </c>
      <c r="AB6" s="28"/>
      <c r="AC6" s="28" t="n">
        <f aca="false">AB6*$M6</f>
        <v>0</v>
      </c>
      <c r="AD6" s="28"/>
      <c r="AE6" s="28" t="n">
        <f aca="false">AD6*$M6</f>
        <v>0</v>
      </c>
      <c r="AF6" s="28"/>
      <c r="AG6" s="28" t="n">
        <f aca="false">AF6*$M6</f>
        <v>0</v>
      </c>
      <c r="AH6" s="28"/>
      <c r="AI6" s="28" t="n">
        <f aca="false">AH6*$M6</f>
        <v>0</v>
      </c>
      <c r="AJ6" s="28"/>
      <c r="AK6" s="28" t="n">
        <f aca="false">AJ6*$M6</f>
        <v>0</v>
      </c>
      <c r="AL6" s="28"/>
      <c r="AM6" s="28" t="n">
        <f aca="false">AL6*$M6</f>
        <v>0</v>
      </c>
      <c r="AN6" s="28"/>
      <c r="AO6" s="28" t="n">
        <f aca="false">AN6*$M6</f>
        <v>0</v>
      </c>
      <c r="AP6" s="28"/>
      <c r="AQ6" s="28" t="n">
        <f aca="false">AP6*$M6</f>
        <v>0</v>
      </c>
      <c r="AR6" s="28"/>
      <c r="AS6" s="28" t="n">
        <f aca="false">AR6*$M6</f>
        <v>0</v>
      </c>
      <c r="AT6" s="28"/>
      <c r="AU6" s="28" t="n">
        <f aca="false">AT6*$M6</f>
        <v>0</v>
      </c>
      <c r="AV6" s="28"/>
      <c r="AW6" s="28" t="n">
        <f aca="false">AV6*$M6</f>
        <v>0</v>
      </c>
      <c r="AX6" s="28"/>
      <c r="AY6" s="28" t="n">
        <f aca="false">AX6*$M6</f>
        <v>0</v>
      </c>
      <c r="AZ6" s="28"/>
      <c r="BA6" s="28" t="n">
        <f aca="false">AZ6*$M6</f>
        <v>0</v>
      </c>
      <c r="BB6" s="30" t="n">
        <v>10365</v>
      </c>
      <c r="BC6" s="11" t="n">
        <v>15547</v>
      </c>
      <c r="BD6" s="31" t="n">
        <f aca="false">SUM(S6,U6,W6,Y6,AA6,AC6,AE6,AG6,AI6,AK6,AM6,AO6,AQ6,AS6,AU6,AW6,AY6,BA6)</f>
        <v>15547</v>
      </c>
      <c r="BE6" s="28" t="n">
        <f aca="false">BC6-BD6</f>
        <v>0</v>
      </c>
      <c r="BF6" s="32" t="n">
        <f aca="false">SUM(R6,T6,V6,X6,Z6,AB6,AD6,AF6,AH6,AJ6,AL6,AN6,AP6,AR6,AT6,AV6,AX6,AZ6)</f>
        <v>6521</v>
      </c>
      <c r="BG6" s="33" t="n">
        <f aca="false">BB6-BF6</f>
        <v>3844</v>
      </c>
      <c r="BH6" s="34" t="n">
        <f aca="false">BF6*M6</f>
        <v>9781.5</v>
      </c>
      <c r="BI6" s="35" t="n">
        <f aca="false">BC6-BH6</f>
        <v>5765.5</v>
      </c>
      <c r="BJ6" s="19" t="str">
        <f aca="false">IF(BI6=0,"",IF(BI6&lt;&gt;BC6,"erreur de calcul",IF(BF6&lt;&gt;0,"pas de prix",IF(M6&lt;&gt; 0,"pas de quantité","pas de prix, ni de quantité"))))</f>
        <v>erreur de calcul</v>
      </c>
      <c r="BK6" s="19"/>
    </row>
    <row r="7" customFormat="false" ht="16" hidden="false" customHeight="false" outlineLevel="0" collapsed="false">
      <c r="A7" s="0" t="n">
        <v>5</v>
      </c>
      <c r="B7" s="8" t="s">
        <v>24</v>
      </c>
      <c r="C7" s="9" t="s">
        <v>25</v>
      </c>
      <c r="D7" s="9" t="s">
        <v>26</v>
      </c>
      <c r="E7" s="10" t="n">
        <v>1789</v>
      </c>
      <c r="F7" s="9" t="s">
        <v>27</v>
      </c>
      <c r="G7" s="9" t="s">
        <v>27</v>
      </c>
      <c r="H7" s="11" t="n">
        <v>18</v>
      </c>
      <c r="I7" s="11" t="s">
        <v>70</v>
      </c>
      <c r="J7" s="14" t="n">
        <v>190</v>
      </c>
      <c r="K7" s="14"/>
      <c r="L7" s="16"/>
      <c r="M7" s="27" t="n">
        <f aca="false">J7+(K7/20)+(L7/240)</f>
        <v>190</v>
      </c>
      <c r="N7" s="17" t="s">
        <v>64</v>
      </c>
      <c r="O7" s="11"/>
      <c r="P7" s="28"/>
      <c r="Q7" s="28" t="str">
        <f aca="false">IF(O7&lt;&gt;"",P7*M7,"")</f>
        <v/>
      </c>
      <c r="R7" s="28"/>
      <c r="S7" s="28" t="n">
        <f aca="false">R7*$M7</f>
        <v>0</v>
      </c>
      <c r="T7" s="28" t="n">
        <f aca="false">22283/100</f>
        <v>222.83</v>
      </c>
      <c r="U7" s="28" t="n">
        <v>42338</v>
      </c>
      <c r="V7" s="28" t="n">
        <f aca="false">1289/100</f>
        <v>12.89</v>
      </c>
      <c r="W7" s="28" t="n">
        <v>2449</v>
      </c>
      <c r="X7" s="28"/>
      <c r="Y7" s="28" t="n">
        <f aca="false">X7*$M7</f>
        <v>0</v>
      </c>
      <c r="Z7" s="29"/>
      <c r="AA7" s="28" t="n">
        <f aca="false">Z7*$M7</f>
        <v>0</v>
      </c>
      <c r="AB7" s="28"/>
      <c r="AC7" s="28" t="n">
        <f aca="false">AB7*$M7</f>
        <v>0</v>
      </c>
      <c r="AD7" s="28"/>
      <c r="AE7" s="28" t="n">
        <f aca="false">AD7*$M7</f>
        <v>0</v>
      </c>
      <c r="AF7" s="28"/>
      <c r="AG7" s="28" t="n">
        <f aca="false">AF7*$M7</f>
        <v>0</v>
      </c>
      <c r="AH7" s="28"/>
      <c r="AI7" s="28" t="n">
        <f aca="false">AH7*$M7</f>
        <v>0</v>
      </c>
      <c r="AJ7" s="28"/>
      <c r="AK7" s="28" t="n">
        <f aca="false">AJ7*$M7</f>
        <v>0</v>
      </c>
      <c r="AL7" s="28"/>
      <c r="AM7" s="28" t="n">
        <f aca="false">AL7*$M7</f>
        <v>0</v>
      </c>
      <c r="AN7" s="28"/>
      <c r="AO7" s="28" t="n">
        <f aca="false">AN7*$M7</f>
        <v>0</v>
      </c>
      <c r="AP7" s="28"/>
      <c r="AQ7" s="28" t="n">
        <f aca="false">AP7*$M7</f>
        <v>0</v>
      </c>
      <c r="AR7" s="28"/>
      <c r="AS7" s="28" t="n">
        <f aca="false">AR7*$M7</f>
        <v>0</v>
      </c>
      <c r="AT7" s="28"/>
      <c r="AU7" s="28" t="n">
        <f aca="false">AT7*$M7</f>
        <v>0</v>
      </c>
      <c r="AV7" s="28"/>
      <c r="AW7" s="28" t="n">
        <f aca="false">AV7*$M7</f>
        <v>0</v>
      </c>
      <c r="AX7" s="28"/>
      <c r="AY7" s="28" t="n">
        <f aca="false">AX7*$M7</f>
        <v>0</v>
      </c>
      <c r="AZ7" s="28"/>
      <c r="BA7" s="28" t="n">
        <f aca="false">AZ7*$M7</f>
        <v>0</v>
      </c>
      <c r="BB7" s="30" t="n">
        <f aca="false">23572/100</f>
        <v>235.72</v>
      </c>
      <c r="BC7" s="11" t="n">
        <v>44787</v>
      </c>
      <c r="BD7" s="31" t="n">
        <f aca="false">SUM(S7,U7,W7,Y7,AA7,AC7,AE7,AG7,AI7,AK7,AM7,AO7,AQ7,AS7,AU7,AW7,AY7,BA7)</f>
        <v>44787</v>
      </c>
      <c r="BE7" s="28" t="n">
        <f aca="false">BC7-BD7</f>
        <v>0</v>
      </c>
      <c r="BF7" s="32" t="n">
        <f aca="false">SUM(R7,T7,V7,X7,Z7,AB7,AD7,AF7,AH7,AJ7,AL7,AN7,AP7,AR7,AT7,AV7,AX7,AZ7)</f>
        <v>235.72</v>
      </c>
      <c r="BG7" s="33" t="n">
        <f aca="false">BB7-BF7</f>
        <v>0</v>
      </c>
      <c r="BH7" s="34" t="n">
        <f aca="false">BF7*M7</f>
        <v>44786.8</v>
      </c>
      <c r="BI7" s="35" t="n">
        <f aca="false">BC7-BH7</f>
        <v>0.19999999999709</v>
      </c>
      <c r="BJ7" s="19" t="str">
        <f aca="false">IF(BI7=0,"",IF(BI7&lt;&gt;BC7,"erreur de calcul",IF(BF7&lt;&gt;0,"pas de prix",IF(M7&lt;&gt; 0,"pas de quantité","pas de prix, ni de quantité"))))</f>
        <v>erreur de calcul</v>
      </c>
      <c r="BK7" s="19"/>
    </row>
    <row r="8" customFormat="false" ht="16" hidden="false" customHeight="false" outlineLevel="0" collapsed="false">
      <c r="A8" s="0" t="n">
        <v>6</v>
      </c>
      <c r="B8" s="8" t="s">
        <v>24</v>
      </c>
      <c r="C8" s="9" t="s">
        <v>25</v>
      </c>
      <c r="D8" s="9" t="s">
        <v>26</v>
      </c>
      <c r="E8" s="10" t="n">
        <v>1789</v>
      </c>
      <c r="F8" s="9" t="s">
        <v>27</v>
      </c>
      <c r="G8" s="9" t="s">
        <v>27</v>
      </c>
      <c r="H8" s="11" t="n">
        <v>18</v>
      </c>
      <c r="I8" s="11" t="s">
        <v>71</v>
      </c>
      <c r="J8" s="14" t="n">
        <v>60</v>
      </c>
      <c r="K8" s="14"/>
      <c r="L8" s="16"/>
      <c r="M8" s="27" t="n">
        <f aca="false">J8+(K8/20)+(L8/240)</f>
        <v>60</v>
      </c>
      <c r="N8" s="17" t="s">
        <v>64</v>
      </c>
      <c r="O8" s="11"/>
      <c r="P8" s="28"/>
      <c r="Q8" s="28" t="str">
        <f aca="false">IF(O8&lt;&gt;"",P8*M8,"")</f>
        <v/>
      </c>
      <c r="R8" s="28" t="n">
        <f aca="false">674/100</f>
        <v>6.74</v>
      </c>
      <c r="S8" s="28" t="n">
        <v>404</v>
      </c>
      <c r="T8" s="28"/>
      <c r="U8" s="28" t="n">
        <f aca="false">T8*$M8</f>
        <v>0</v>
      </c>
      <c r="V8" s="28"/>
      <c r="W8" s="28" t="n">
        <f aca="false">V8*$M8</f>
        <v>0</v>
      </c>
      <c r="X8" s="28"/>
      <c r="Y8" s="28" t="n">
        <f aca="false">X8*$M8</f>
        <v>0</v>
      </c>
      <c r="Z8" s="29"/>
      <c r="AA8" s="28" t="n">
        <f aca="false">Z8*$M8</f>
        <v>0</v>
      </c>
      <c r="AB8" s="28"/>
      <c r="AC8" s="28" t="n">
        <f aca="false">AB8*$M8</f>
        <v>0</v>
      </c>
      <c r="AD8" s="28"/>
      <c r="AE8" s="28" t="n">
        <f aca="false">AD8*$M8</f>
        <v>0</v>
      </c>
      <c r="AF8" s="28"/>
      <c r="AG8" s="28" t="n">
        <f aca="false">AF8*$M8</f>
        <v>0</v>
      </c>
      <c r="AH8" s="28"/>
      <c r="AI8" s="28" t="n">
        <f aca="false">AH8*$M8</f>
        <v>0</v>
      </c>
      <c r="AJ8" s="28"/>
      <c r="AK8" s="28" t="n">
        <f aca="false">AJ8*$M8</f>
        <v>0</v>
      </c>
      <c r="AL8" s="28" t="n">
        <f aca="false">1133/100</f>
        <v>11.33</v>
      </c>
      <c r="AM8" s="28" t="n">
        <v>680</v>
      </c>
      <c r="AN8" s="28" t="n">
        <f aca="false">3140/100</f>
        <v>31.4</v>
      </c>
      <c r="AO8" s="28" t="n">
        <v>1884</v>
      </c>
      <c r="AP8" s="28"/>
      <c r="AQ8" s="28" t="n">
        <f aca="false">AP8*$M8</f>
        <v>0</v>
      </c>
      <c r="AR8" s="28"/>
      <c r="AS8" s="28" t="n">
        <f aca="false">AR8*$M8</f>
        <v>0</v>
      </c>
      <c r="AT8" s="28"/>
      <c r="AU8" s="28" t="n">
        <f aca="false">AT8*$M8</f>
        <v>0</v>
      </c>
      <c r="AV8" s="28"/>
      <c r="AW8" s="28" t="n">
        <f aca="false">AV8*$M8</f>
        <v>0</v>
      </c>
      <c r="AX8" s="28"/>
      <c r="AY8" s="28" t="n">
        <f aca="false">AX8*$M8</f>
        <v>0</v>
      </c>
      <c r="AZ8" s="28"/>
      <c r="BA8" s="28" t="n">
        <f aca="false">AZ8*$M8</f>
        <v>0</v>
      </c>
      <c r="BB8" s="30" t="n">
        <f aca="false">4947/100</f>
        <v>49.47</v>
      </c>
      <c r="BC8" s="11" t="n">
        <v>2968</v>
      </c>
      <c r="BD8" s="31" t="n">
        <f aca="false">SUM(S8,U8,W8,Y8,AA8,AC8,AE8,AG8,AI8,AK8,AM8,AO8,AQ8,AS8,AU8,AW8,AY8,BA8)</f>
        <v>2968</v>
      </c>
      <c r="BE8" s="28" t="n">
        <f aca="false">BC8-BD8</f>
        <v>0</v>
      </c>
      <c r="BF8" s="32" t="n">
        <f aca="false">SUM(R8,T8,V8,X8,Z8,AB8,AD8,AF8,AH8,AJ8,AL8,AN8,AP8,AR8,AT8,AV8,AX8,AZ8)</f>
        <v>49.47</v>
      </c>
      <c r="BG8" s="33" t="n">
        <f aca="false">BB8-BF8</f>
        <v>0</v>
      </c>
      <c r="BH8" s="34" t="n">
        <f aca="false">BF8*M8</f>
        <v>2968.2</v>
      </c>
      <c r="BI8" s="35" t="n">
        <f aca="false">BC8-BH8</f>
        <v>-0.199999999999818</v>
      </c>
      <c r="BJ8" s="19" t="str">
        <f aca="false">IF(BI8=0,"",IF(BI8&lt;&gt;BC8,"erreur de calcul",IF(BF8&lt;&gt;0,"pas de prix",IF(M8&lt;&gt; 0,"pas de quantité","pas de prix, ni de quantité"))))</f>
        <v>erreur de calcul</v>
      </c>
      <c r="BK8" s="19"/>
    </row>
    <row r="9" customFormat="false" ht="16" hidden="false" customHeight="false" outlineLevel="0" collapsed="false">
      <c r="A9" s="0" t="n">
        <v>7</v>
      </c>
      <c r="B9" s="8" t="s">
        <v>24</v>
      </c>
      <c r="C9" s="9" t="s">
        <v>25</v>
      </c>
      <c r="D9" s="9" t="s">
        <v>26</v>
      </c>
      <c r="E9" s="10" t="n">
        <v>1789</v>
      </c>
      <c r="F9" s="9" t="s">
        <v>27</v>
      </c>
      <c r="G9" s="9" t="s">
        <v>27</v>
      </c>
      <c r="H9" s="11" t="n">
        <v>18</v>
      </c>
      <c r="I9" s="11" t="s">
        <v>72</v>
      </c>
      <c r="J9" s="14" t="n">
        <v>15</v>
      </c>
      <c r="K9" s="14"/>
      <c r="L9" s="16"/>
      <c r="M9" s="27" t="n">
        <f aca="false">J9+(K9/20)+(L9/240)</f>
        <v>15</v>
      </c>
      <c r="N9" s="17" t="s">
        <v>64</v>
      </c>
      <c r="O9" s="11"/>
      <c r="P9" s="28"/>
      <c r="Q9" s="28" t="str">
        <f aca="false">IF(O9&lt;&gt;"",P9*M9,"")</f>
        <v/>
      </c>
      <c r="R9" s="28"/>
      <c r="S9" s="28" t="n">
        <f aca="false">R9*$M9</f>
        <v>0</v>
      </c>
      <c r="T9" s="28"/>
      <c r="U9" s="28" t="n">
        <f aca="false">T9*$M9</f>
        <v>0</v>
      </c>
      <c r="V9" s="28"/>
      <c r="W9" s="28" t="n">
        <f aca="false">V9*$M9</f>
        <v>0</v>
      </c>
      <c r="X9" s="28"/>
      <c r="Y9" s="28" t="n">
        <f aca="false">X9*$M9</f>
        <v>0</v>
      </c>
      <c r="Z9" s="29"/>
      <c r="AA9" s="28" t="n">
        <f aca="false">Z9*$M9</f>
        <v>0</v>
      </c>
      <c r="AB9" s="28"/>
      <c r="AC9" s="28" t="n">
        <f aca="false">AB9*$M9</f>
        <v>0</v>
      </c>
      <c r="AD9" s="28"/>
      <c r="AE9" s="28" t="n">
        <f aca="false">AD9*$M9</f>
        <v>0</v>
      </c>
      <c r="AF9" s="28"/>
      <c r="AG9" s="28" t="n">
        <f aca="false">AF9*$M9</f>
        <v>0</v>
      </c>
      <c r="AH9" s="28"/>
      <c r="AI9" s="28" t="n">
        <f aca="false">AH9*$M9</f>
        <v>0</v>
      </c>
      <c r="AJ9" s="28"/>
      <c r="AK9" s="28" t="n">
        <f aca="false">AJ9*$M9</f>
        <v>0</v>
      </c>
      <c r="AL9" s="28" t="n">
        <f aca="false">119*288*0.02+88*0.02</f>
        <v>687.2</v>
      </c>
      <c r="AM9" s="28" t="n">
        <v>10308</v>
      </c>
      <c r="AN9" s="28"/>
      <c r="AO9" s="28" t="n">
        <f aca="false">AN9*$M9</f>
        <v>0</v>
      </c>
      <c r="AP9" s="28"/>
      <c r="AQ9" s="28" t="n">
        <f aca="false">AP9*$M9</f>
        <v>0</v>
      </c>
      <c r="AR9" s="28"/>
      <c r="AS9" s="28" t="n">
        <f aca="false">AR9*$M9</f>
        <v>0</v>
      </c>
      <c r="AT9" s="28"/>
      <c r="AU9" s="28" t="n">
        <f aca="false">AT9*$M9</f>
        <v>0</v>
      </c>
      <c r="AV9" s="28"/>
      <c r="AW9" s="28" t="n">
        <f aca="false">AV9*$M9</f>
        <v>0</v>
      </c>
      <c r="AX9" s="28"/>
      <c r="AY9" s="28" t="n">
        <f aca="false">AX9*$M9</f>
        <v>0</v>
      </c>
      <c r="AZ9" s="28"/>
      <c r="BA9" s="28" t="n">
        <f aca="false">AZ9*$M9</f>
        <v>0</v>
      </c>
      <c r="BB9" s="30" t="n">
        <f aca="false">119*288*0.02+88*0.02</f>
        <v>687.2</v>
      </c>
      <c r="BC9" s="11" t="n">
        <v>10308</v>
      </c>
      <c r="BD9" s="31" t="n">
        <f aca="false">SUM(S9,U9,W9,Y9,AA9,AC9,AE9,AG9,AI9,AK9,AM9,AO9,AQ9,AS9,AU9,AW9,AY9,BA9)</f>
        <v>10308</v>
      </c>
      <c r="BE9" s="28" t="n">
        <f aca="false">BC9-BD9</f>
        <v>0</v>
      </c>
      <c r="BF9" s="32" t="n">
        <f aca="false">SUM(R9,T9,V9,X9,Z9,AB9,AD9,AF9,AH9,AJ9,AL9,AN9,AP9,AR9,AT9,AV9,AX9,AZ9)</f>
        <v>687.2</v>
      </c>
      <c r="BG9" s="33" t="n">
        <f aca="false">BB9-BF9</f>
        <v>0</v>
      </c>
      <c r="BH9" s="34" t="n">
        <f aca="false">BF9*M9</f>
        <v>10308</v>
      </c>
      <c r="BI9" s="35" t="n">
        <f aca="false">BC9-BH9</f>
        <v>0</v>
      </c>
      <c r="BJ9" s="19" t="str">
        <f aca="false">IF(BI9=0,"",IF(BI9&lt;&gt;BC9,"erreur de calcul",IF(BF9&lt;&gt;0,"pas de prix",IF(M9&lt;&gt; 0,"pas de quantité","pas de prix, ni de quantité"))))</f>
        <v/>
      </c>
      <c r="BK9" s="19"/>
    </row>
    <row r="10" customFormat="false" ht="16" hidden="false" customHeight="false" outlineLevel="0" collapsed="false">
      <c r="A10" s="0" t="n">
        <v>8</v>
      </c>
      <c r="B10" s="8" t="s">
        <v>24</v>
      </c>
      <c r="C10" s="9" t="s">
        <v>25</v>
      </c>
      <c r="D10" s="9" t="s">
        <v>26</v>
      </c>
      <c r="E10" s="10" t="n">
        <v>1789</v>
      </c>
      <c r="F10" s="9" t="s">
        <v>27</v>
      </c>
      <c r="G10" s="9" t="s">
        <v>27</v>
      </c>
      <c r="H10" s="11" t="n">
        <v>18</v>
      </c>
      <c r="I10" s="11" t="s">
        <v>73</v>
      </c>
      <c r="J10" s="14"/>
      <c r="K10" s="14"/>
      <c r="L10" s="16"/>
      <c r="M10" s="27" t="n">
        <f aca="false">J10+(K10/20)+(L10/240)</f>
        <v>0</v>
      </c>
      <c r="N10" s="17"/>
      <c r="O10" s="11"/>
      <c r="P10" s="28"/>
      <c r="Q10" s="28" t="str">
        <f aca="false">IF(O10&lt;&gt;"",P10*M10,"")</f>
        <v/>
      </c>
      <c r="R10" s="28"/>
      <c r="S10" s="28" t="n">
        <f aca="false">R10*$M10</f>
        <v>0</v>
      </c>
      <c r="T10" s="28"/>
      <c r="U10" s="28" t="n">
        <f aca="false">T10*$M10</f>
        <v>0</v>
      </c>
      <c r="V10" s="28"/>
      <c r="W10" s="28" t="n">
        <v>3356</v>
      </c>
      <c r="X10" s="28"/>
      <c r="Y10" s="28" t="n">
        <v>1444</v>
      </c>
      <c r="Z10" s="29"/>
      <c r="AA10" s="28" t="n">
        <f aca="false">Z10*$M10</f>
        <v>0</v>
      </c>
      <c r="AB10" s="28"/>
      <c r="AC10" s="28" t="n">
        <f aca="false">AB10*$M10</f>
        <v>0</v>
      </c>
      <c r="AD10" s="28"/>
      <c r="AE10" s="28" t="n">
        <f aca="false">AD10*$M10</f>
        <v>0</v>
      </c>
      <c r="AF10" s="28"/>
      <c r="AG10" s="28" t="n">
        <f aca="false">AF10*$M10</f>
        <v>0</v>
      </c>
      <c r="AH10" s="28"/>
      <c r="AI10" s="28" t="n">
        <f aca="false">AH10*$M10</f>
        <v>0</v>
      </c>
      <c r="AJ10" s="28"/>
      <c r="AK10" s="28" t="n">
        <f aca="false">AJ10*$M10</f>
        <v>0</v>
      </c>
      <c r="AL10" s="28"/>
      <c r="AM10" s="28" t="n">
        <f aca="false">AL10*$M10</f>
        <v>0</v>
      </c>
      <c r="AN10" s="28"/>
      <c r="AO10" s="28" t="n">
        <f aca="false">AN10*$M10</f>
        <v>0</v>
      </c>
      <c r="AP10" s="28"/>
      <c r="AQ10" s="28" t="n">
        <f aca="false">AP10*$M10</f>
        <v>0</v>
      </c>
      <c r="AR10" s="28"/>
      <c r="AS10" s="28" t="n">
        <f aca="false">AR10*$M10</f>
        <v>0</v>
      </c>
      <c r="AT10" s="28"/>
      <c r="AU10" s="28" t="n">
        <f aca="false">AT10*$M10</f>
        <v>0</v>
      </c>
      <c r="AV10" s="28"/>
      <c r="AW10" s="28" t="n">
        <f aca="false">AV10*$M10</f>
        <v>0</v>
      </c>
      <c r="AX10" s="28"/>
      <c r="AY10" s="28" t="n">
        <f aca="false">AX10*$M10</f>
        <v>0</v>
      </c>
      <c r="AZ10" s="28"/>
      <c r="BA10" s="28" t="n">
        <f aca="false">AZ10*$M10</f>
        <v>0</v>
      </c>
      <c r="BB10" s="30"/>
      <c r="BC10" s="11" t="n">
        <v>4800</v>
      </c>
      <c r="BD10" s="31" t="n">
        <f aca="false">SUM(S10,U10,W10,Y10,AA10,AC10,AE10,AG10,AI10,AK10,AM10,AO10,AQ10,AS10,AU10,AW10,AY10,BA10)</f>
        <v>4800</v>
      </c>
      <c r="BE10" s="28" t="n">
        <f aca="false">BC10-BD10</f>
        <v>0</v>
      </c>
      <c r="BF10" s="32" t="n">
        <f aca="false">SUM(R10,T10,V10,X10,Z10,AB10,AD10,AF10,AH10,AJ10,AL10,AN10,AP10,AR10,AT10,AV10,AX10,AZ10)</f>
        <v>0</v>
      </c>
      <c r="BG10" s="33" t="n">
        <f aca="false">BB10-BF10</f>
        <v>0</v>
      </c>
      <c r="BH10" s="34" t="n">
        <f aca="false">BF10*M10</f>
        <v>0</v>
      </c>
      <c r="BI10" s="35" t="n">
        <f aca="false">BC10-BH10</f>
        <v>4800</v>
      </c>
      <c r="BJ10" s="19" t="str">
        <f aca="false">IF(BI10=0,"",IF(BI10&lt;&gt;BC10,"erreur de calcul",IF(BF10&lt;&gt;0,"pas de prix",IF(M10&lt;&gt; 0,"pas de quantité","pas de prix, ni de quantité"))))</f>
        <v>pas de prix, ni de quantité</v>
      </c>
      <c r="BK10" s="19"/>
    </row>
    <row r="11" customFormat="false" ht="16" hidden="false" customHeight="false" outlineLevel="0" collapsed="false">
      <c r="A11" s="0" t="n">
        <v>9</v>
      </c>
      <c r="B11" s="8" t="s">
        <v>24</v>
      </c>
      <c r="C11" s="9" t="s">
        <v>25</v>
      </c>
      <c r="D11" s="9" t="s">
        <v>26</v>
      </c>
      <c r="E11" s="10" t="n">
        <v>1789</v>
      </c>
      <c r="F11" s="9" t="s">
        <v>27</v>
      </c>
      <c r="G11" s="9" t="s">
        <v>27</v>
      </c>
      <c r="H11" s="11" t="n">
        <v>18</v>
      </c>
      <c r="I11" s="11" t="s">
        <v>74</v>
      </c>
      <c r="J11" s="14"/>
      <c r="K11" s="14"/>
      <c r="L11" s="16"/>
      <c r="M11" s="27" t="n">
        <f aca="false">J11+(K11/20)+(L11/240)</f>
        <v>0</v>
      </c>
      <c r="N11" s="17" t="s">
        <v>66</v>
      </c>
      <c r="O11" s="11"/>
      <c r="P11" s="28"/>
      <c r="Q11" s="28" t="str">
        <f aca="false">IF(O11&lt;&gt;"",P11*M11,"")</f>
        <v/>
      </c>
      <c r="R11" s="28"/>
      <c r="S11" s="28" t="n">
        <f aca="false">R11*$M11</f>
        <v>0</v>
      </c>
      <c r="T11" s="28"/>
      <c r="U11" s="28" t="n">
        <f aca="false">T11*$M11</f>
        <v>0</v>
      </c>
      <c r="V11" s="28"/>
      <c r="W11" s="28" t="n">
        <f aca="false">V11*$M11</f>
        <v>0</v>
      </c>
      <c r="X11" s="28"/>
      <c r="Y11" s="28" t="n">
        <f aca="false">X11*$M11</f>
        <v>0</v>
      </c>
      <c r="Z11" s="29"/>
      <c r="AA11" s="28"/>
      <c r="AB11" s="28"/>
      <c r="AC11" s="28" t="n">
        <f aca="false">AB11*$M11</f>
        <v>0</v>
      </c>
      <c r="AD11" s="28"/>
      <c r="AE11" s="28" t="n">
        <f aca="false">AD11*$M11</f>
        <v>0</v>
      </c>
      <c r="AF11" s="28"/>
      <c r="AG11" s="28" t="n">
        <f aca="false">AF11*$M11</f>
        <v>0</v>
      </c>
      <c r="AH11" s="28"/>
      <c r="AI11" s="28" t="n">
        <f aca="false">AH11*$M11</f>
        <v>0</v>
      </c>
      <c r="AJ11" s="28" t="n">
        <v>45346</v>
      </c>
      <c r="AK11" s="28" t="n">
        <v>3174</v>
      </c>
      <c r="AL11" s="28"/>
      <c r="AM11" s="28" t="n">
        <f aca="false">AL11*$M11</f>
        <v>0</v>
      </c>
      <c r="AN11" s="28"/>
      <c r="AO11" s="28" t="n">
        <f aca="false">AN11*$M11</f>
        <v>0</v>
      </c>
      <c r="AP11" s="28"/>
      <c r="AQ11" s="28" t="n">
        <f aca="false">AP11*$M11</f>
        <v>0</v>
      </c>
      <c r="AR11" s="28"/>
      <c r="AS11" s="28" t="n">
        <f aca="false">AR11*$M11</f>
        <v>0</v>
      </c>
      <c r="AT11" s="28"/>
      <c r="AU11" s="28" t="n">
        <f aca="false">AT11*$M11</f>
        <v>0</v>
      </c>
      <c r="AV11" s="28"/>
      <c r="AW11" s="28" t="n">
        <f aca="false">AV11*$M11</f>
        <v>0</v>
      </c>
      <c r="AX11" s="28"/>
      <c r="AY11" s="28" t="n">
        <f aca="false">AX11*$M11</f>
        <v>0</v>
      </c>
      <c r="AZ11" s="28"/>
      <c r="BA11" s="28" t="n">
        <f aca="false">AZ11*$M11</f>
        <v>0</v>
      </c>
      <c r="BB11" s="30" t="n">
        <v>45346</v>
      </c>
      <c r="BC11" s="11" t="n">
        <v>3174</v>
      </c>
      <c r="BD11" s="31" t="n">
        <f aca="false">SUM(S11,U11,W11,Y11,AA11,AC11,AE11,AG11,AI11,AK11,AM11,AO11,AQ11,AS11,AU11,AW11,AY11,BA11)</f>
        <v>3174</v>
      </c>
      <c r="BE11" s="28" t="n">
        <f aca="false">BC11-BD11</f>
        <v>0</v>
      </c>
      <c r="BF11" s="32" t="n">
        <f aca="false">SUM(R11,T11,V11,X11,Z11,AB11,AD11,AF11,AH11,AJ11,AL11,AN11,AP11,AR11,AT11,AV11,AX11,AZ11)</f>
        <v>45346</v>
      </c>
      <c r="BG11" s="33" t="n">
        <f aca="false">BB11-BF11</f>
        <v>0</v>
      </c>
      <c r="BH11" s="34" t="n">
        <f aca="false">BF11*M11</f>
        <v>0</v>
      </c>
      <c r="BI11" s="35" t="n">
        <f aca="false">BC11-BH11</f>
        <v>3174</v>
      </c>
      <c r="BJ11" s="19" t="str">
        <f aca="false">IF(BI11=0,"",IF(BI11&lt;&gt;BC11,"erreur de calcul",IF(BF11&lt;&gt;0,"pas de prix",IF(M11&lt;&gt; 0,"pas de quantité","pas de prix, ni de quantité"))))</f>
        <v>pas de prix</v>
      </c>
      <c r="BK11" s="19" t="s">
        <v>75</v>
      </c>
    </row>
    <row r="12" customFormat="false" ht="16" hidden="false" customHeight="false" outlineLevel="0" collapsed="false">
      <c r="A12" s="0" t="n">
        <v>10</v>
      </c>
      <c r="B12" s="8" t="s">
        <v>24</v>
      </c>
      <c r="C12" s="9" t="s">
        <v>25</v>
      </c>
      <c r="D12" s="9" t="s">
        <v>26</v>
      </c>
      <c r="E12" s="10" t="n">
        <v>1789</v>
      </c>
      <c r="F12" s="9" t="s">
        <v>27</v>
      </c>
      <c r="G12" s="9" t="s">
        <v>27</v>
      </c>
      <c r="H12" s="11" t="n">
        <v>18</v>
      </c>
      <c r="I12" s="11" t="s">
        <v>76</v>
      </c>
      <c r="J12" s="14"/>
      <c r="K12" s="14" t="n">
        <v>20</v>
      </c>
      <c r="L12" s="16"/>
      <c r="M12" s="27" t="n">
        <f aca="false">J12+(K12/20)+(L12/240)</f>
        <v>1</v>
      </c>
      <c r="N12" s="17" t="s">
        <v>64</v>
      </c>
      <c r="O12" s="11" t="s">
        <v>77</v>
      </c>
      <c r="P12" s="28" t="n">
        <f aca="false">14282238/100</f>
        <v>142822.38</v>
      </c>
      <c r="Q12" s="28" t="n">
        <v>142822</v>
      </c>
      <c r="R12" s="28" t="n">
        <f aca="false">66667/100</f>
        <v>666.67</v>
      </c>
      <c r="S12" s="28" t="n">
        <v>667</v>
      </c>
      <c r="T12" s="28"/>
      <c r="U12" s="28" t="n">
        <f aca="false">T12*$M12</f>
        <v>0</v>
      </c>
      <c r="V12" s="28"/>
      <c r="W12" s="28" t="n">
        <f aca="false">V12*$M12</f>
        <v>0</v>
      </c>
      <c r="X12" s="28" t="n">
        <f aca="false">281532/100</f>
        <v>2815.32</v>
      </c>
      <c r="Y12" s="28" t="n">
        <v>2815</v>
      </c>
      <c r="Z12" s="29" t="n">
        <f aca="false">366667/100</f>
        <v>3666.67</v>
      </c>
      <c r="AA12" s="28" t="n">
        <v>3666</v>
      </c>
      <c r="AB12" s="28" t="n">
        <f aca="false">33334/100</f>
        <v>333.34</v>
      </c>
      <c r="AC12" s="28" t="n">
        <v>333</v>
      </c>
      <c r="AD12" s="28"/>
      <c r="AE12" s="28" t="n">
        <f aca="false">AD12*$M12</f>
        <v>0</v>
      </c>
      <c r="AF12" s="28"/>
      <c r="AG12" s="28" t="n">
        <f aca="false">AF12*$M12</f>
        <v>0</v>
      </c>
      <c r="AH12" s="28"/>
      <c r="AI12" s="28" t="n">
        <f aca="false">AH12*$M12</f>
        <v>0</v>
      </c>
      <c r="AJ12" s="28"/>
      <c r="AK12" s="28" t="n">
        <f aca="false">AJ12*$M12</f>
        <v>0</v>
      </c>
      <c r="AL12" s="28"/>
      <c r="AM12" s="28" t="n">
        <f aca="false">AL12*$M12</f>
        <v>0</v>
      </c>
      <c r="AN12" s="28"/>
      <c r="AO12" s="28" t="n">
        <f aca="false">AN12*$M12</f>
        <v>0</v>
      </c>
      <c r="AP12" s="28"/>
      <c r="AQ12" s="28" t="n">
        <f aca="false">AP12*$M12</f>
        <v>0</v>
      </c>
      <c r="AR12" s="28"/>
      <c r="AS12" s="28" t="n">
        <f aca="false">AR12*$M12</f>
        <v>0</v>
      </c>
      <c r="AT12" s="28"/>
      <c r="AU12" s="28" t="n">
        <f aca="false">AT12*$M12</f>
        <v>0</v>
      </c>
      <c r="AV12" s="28"/>
      <c r="AW12" s="28" t="n">
        <f aca="false">AV12*$M12</f>
        <v>0</v>
      </c>
      <c r="AX12" s="28"/>
      <c r="AY12" s="28" t="n">
        <f aca="false">AX12*$M12</f>
        <v>0</v>
      </c>
      <c r="AZ12" s="28"/>
      <c r="BA12" s="28" t="n">
        <f aca="false">AZ12*$M12</f>
        <v>0</v>
      </c>
      <c r="BB12" s="30" t="n">
        <f aca="false">748200/100</f>
        <v>7482</v>
      </c>
      <c r="BC12" s="11" t="n">
        <v>7481</v>
      </c>
      <c r="BD12" s="31" t="n">
        <f aca="false">SUM(S12,U12,W12,Y12,AA12,AC12,AE12,AG12,AI12,AK12,AM12,AO12,AQ12,AS12,AU12,AW12,AY12,BA12)</f>
        <v>7481</v>
      </c>
      <c r="BE12" s="28" t="n">
        <f aca="false">BC12-BD12</f>
        <v>0</v>
      </c>
      <c r="BF12" s="32" t="n">
        <f aca="false">SUM(R12,T12,V12,X12,Z12,AB12,AD12,AF12,AH12,AJ12,AL12,AN12,AP12,AR12,AT12,AV12,AX12,AZ12)</f>
        <v>7482</v>
      </c>
      <c r="BG12" s="33" t="n">
        <f aca="false">BB12-BF12</f>
        <v>0</v>
      </c>
      <c r="BH12" s="34" t="n">
        <f aca="false">BF12*M12</f>
        <v>7482</v>
      </c>
      <c r="BI12" s="35" t="n">
        <f aca="false">BC12-BH12</f>
        <v>-1</v>
      </c>
      <c r="BJ12" s="19" t="str">
        <f aca="false">IF(BI12=0,"",IF(BI12&lt;&gt;BC12,"erreur de calcul",IF(BF12&lt;&gt;0,"pas de prix",IF(M12&lt;&gt; 0,"pas de quantité","pas de prix, ni de quantité"))))</f>
        <v>erreur de calcul</v>
      </c>
      <c r="BK12" s="19"/>
    </row>
    <row r="13" customFormat="false" ht="16" hidden="false" customHeight="false" outlineLevel="0" collapsed="false">
      <c r="A13" s="0" t="n">
        <v>11</v>
      </c>
      <c r="B13" s="8" t="s">
        <v>24</v>
      </c>
      <c r="C13" s="9" t="s">
        <v>25</v>
      </c>
      <c r="D13" s="9" t="s">
        <v>26</v>
      </c>
      <c r="E13" s="10" t="n">
        <v>1789</v>
      </c>
      <c r="F13" s="9" t="s">
        <v>27</v>
      </c>
      <c r="G13" s="9" t="s">
        <v>27</v>
      </c>
      <c r="H13" s="11" t="n">
        <v>18</v>
      </c>
      <c r="I13" s="11" t="s">
        <v>78</v>
      </c>
      <c r="J13" s="14"/>
      <c r="K13" s="14" t="n">
        <v>50</v>
      </c>
      <c r="L13" s="16"/>
      <c r="M13" s="27" t="n">
        <f aca="false">J13+(K13/20)+(L13/240)</f>
        <v>2.5</v>
      </c>
      <c r="N13" s="17" t="s">
        <v>79</v>
      </c>
      <c r="O13" s="11"/>
      <c r="P13" s="28"/>
      <c r="Q13" s="28" t="str">
        <f aca="false">IF(O13&lt;&gt;"",P13*M13,"")</f>
        <v/>
      </c>
      <c r="R13" s="28"/>
      <c r="S13" s="28" t="n">
        <f aca="false">R13*$M13</f>
        <v>0</v>
      </c>
      <c r="T13" s="28"/>
      <c r="U13" s="28" t="n">
        <f aca="false">T13*$M13</f>
        <v>0</v>
      </c>
      <c r="V13" s="28"/>
      <c r="W13" s="28" t="n">
        <f aca="false">V13*$M13</f>
        <v>0</v>
      </c>
      <c r="X13" s="28" t="n">
        <v>61807</v>
      </c>
      <c r="Y13" s="28" t="n">
        <v>154517</v>
      </c>
      <c r="Z13" s="29"/>
      <c r="AA13" s="28" t="n">
        <f aca="false">Z13*$M13</f>
        <v>0</v>
      </c>
      <c r="AB13" s="28"/>
      <c r="AC13" s="28" t="n">
        <f aca="false">AB13*$M13</f>
        <v>0</v>
      </c>
      <c r="AD13" s="28" t="n">
        <v>43640</v>
      </c>
      <c r="AE13" s="28" t="n">
        <v>109100</v>
      </c>
      <c r="AF13" s="28"/>
      <c r="AG13" s="28" t="n">
        <f aca="false">AF13*$M13</f>
        <v>0</v>
      </c>
      <c r="AH13" s="28"/>
      <c r="AI13" s="28" t="n">
        <f aca="false">AH13*$M13</f>
        <v>0</v>
      </c>
      <c r="AJ13" s="28"/>
      <c r="AK13" s="28" t="n">
        <f aca="false">AJ13*$M13</f>
        <v>0</v>
      </c>
      <c r="AL13" s="28"/>
      <c r="AM13" s="28" t="n">
        <f aca="false">AL13*$M13</f>
        <v>0</v>
      </c>
      <c r="AN13" s="28"/>
      <c r="AO13" s="28" t="n">
        <f aca="false">AN13*$M13</f>
        <v>0</v>
      </c>
      <c r="AP13" s="28"/>
      <c r="AQ13" s="28" t="n">
        <f aca="false">AP13*$M13</f>
        <v>0</v>
      </c>
      <c r="AR13" s="28"/>
      <c r="AS13" s="28" t="n">
        <f aca="false">AR13*$M13</f>
        <v>0</v>
      </c>
      <c r="AT13" s="28"/>
      <c r="AU13" s="28" t="n">
        <f aca="false">AT13*$M13</f>
        <v>0</v>
      </c>
      <c r="AV13" s="28"/>
      <c r="AW13" s="28" t="n">
        <f aca="false">AV13*$M13</f>
        <v>0</v>
      </c>
      <c r="AX13" s="28"/>
      <c r="AY13" s="28" t="n">
        <f aca="false">AX13*$M13</f>
        <v>0</v>
      </c>
      <c r="AZ13" s="28"/>
      <c r="BA13" s="28" t="n">
        <f aca="false">AZ13*$M13</f>
        <v>0</v>
      </c>
      <c r="BB13" s="30" t="n">
        <v>105447</v>
      </c>
      <c r="BC13" s="11" t="n">
        <v>263617</v>
      </c>
      <c r="BD13" s="31" t="n">
        <f aca="false">SUM(S13,U13,W13,Y13,AA13,AC13,AE13,AG13,AI13,AK13,AM13,AO13,AQ13,AS13,AU13,AW13,AY13,BA13)</f>
        <v>263617</v>
      </c>
      <c r="BE13" s="28" t="n">
        <f aca="false">BC13-BD13</f>
        <v>0</v>
      </c>
      <c r="BF13" s="32" t="n">
        <f aca="false">SUM(R13,T13,V13,X13,Z13,AB13,AD13,AF13,AH13,AJ13,AL13,AN13,AP13,AR13,AT13,AV13,AX13,AZ13)</f>
        <v>105447</v>
      </c>
      <c r="BG13" s="33" t="n">
        <f aca="false">BB13-BF13</f>
        <v>0</v>
      </c>
      <c r="BH13" s="34" t="n">
        <f aca="false">BF13*M13</f>
        <v>263617.5</v>
      </c>
      <c r="BI13" s="35" t="n">
        <f aca="false">BC13-BH13</f>
        <v>-0.5</v>
      </c>
      <c r="BJ13" s="19" t="str">
        <f aca="false">IF(BI13=0,"",IF(BI13&lt;&gt;BC13,"erreur de calcul",IF(BF13&lt;&gt;0,"pas de prix",IF(M13&lt;&gt; 0,"pas de quantité","pas de prix, ni de quantité"))))</f>
        <v>erreur de calcul</v>
      </c>
      <c r="BK13" s="19"/>
    </row>
    <row r="14" customFormat="false" ht="16" hidden="false" customHeight="false" outlineLevel="0" collapsed="false">
      <c r="A14" s="0" t="n">
        <v>12</v>
      </c>
      <c r="B14" s="8" t="s">
        <v>24</v>
      </c>
      <c r="C14" s="9" t="s">
        <v>25</v>
      </c>
      <c r="D14" s="9" t="s">
        <v>26</v>
      </c>
      <c r="E14" s="10" t="n">
        <v>1789</v>
      </c>
      <c r="F14" s="9" t="s">
        <v>27</v>
      </c>
      <c r="G14" s="9" t="s">
        <v>27</v>
      </c>
      <c r="H14" s="11" t="n">
        <v>18</v>
      </c>
      <c r="I14" s="11" t="s">
        <v>80</v>
      </c>
      <c r="J14" s="14"/>
      <c r="K14" s="14" t="n">
        <v>4</v>
      </c>
      <c r="L14" s="16"/>
      <c r="M14" s="27" t="n">
        <f aca="false">J14+(K14/20)+(L14/240)</f>
        <v>0.2</v>
      </c>
      <c r="N14" s="17" t="s">
        <v>81</v>
      </c>
      <c r="O14" s="11"/>
      <c r="P14" s="28"/>
      <c r="Q14" s="28" t="str">
        <f aca="false">IF(O14&lt;&gt;"",P14*M14,"")</f>
        <v/>
      </c>
      <c r="R14" s="28"/>
      <c r="S14" s="28" t="n">
        <f aca="false">R14*$M14</f>
        <v>0</v>
      </c>
      <c r="T14" s="28"/>
      <c r="U14" s="28" t="n">
        <f aca="false">T14*$M14</f>
        <v>0</v>
      </c>
      <c r="V14" s="28"/>
      <c r="W14" s="28" t="n">
        <f aca="false">V14*$M14</f>
        <v>0</v>
      </c>
      <c r="X14" s="28" t="n">
        <v>5800</v>
      </c>
      <c r="Y14" s="28" t="n">
        <v>1160</v>
      </c>
      <c r="Z14" s="29"/>
      <c r="AA14" s="28" t="n">
        <v>1069</v>
      </c>
      <c r="AB14" s="28"/>
      <c r="AC14" s="28" t="n">
        <f aca="false">AB14*$M14</f>
        <v>0</v>
      </c>
      <c r="AD14" s="28"/>
      <c r="AE14" s="28" t="n">
        <f aca="false">AD14*$M14</f>
        <v>0</v>
      </c>
      <c r="AF14" s="28"/>
      <c r="AG14" s="28" t="n">
        <f aca="false">AF14*$M14</f>
        <v>0</v>
      </c>
      <c r="AH14" s="28"/>
      <c r="AI14" s="28" t="n">
        <f aca="false">AH14*$M14</f>
        <v>0</v>
      </c>
      <c r="AJ14" s="28"/>
      <c r="AK14" s="28" t="n">
        <f aca="false">AJ14*$M14</f>
        <v>0</v>
      </c>
      <c r="AL14" s="28"/>
      <c r="AM14" s="28" t="n">
        <f aca="false">AL14*$M14</f>
        <v>0</v>
      </c>
      <c r="AN14" s="28"/>
      <c r="AO14" s="28" t="n">
        <f aca="false">AN14*$M14</f>
        <v>0</v>
      </c>
      <c r="AP14" s="28"/>
      <c r="AQ14" s="28" t="n">
        <f aca="false">AP14*$M14</f>
        <v>0</v>
      </c>
      <c r="AR14" s="28"/>
      <c r="AS14" s="28" t="n">
        <f aca="false">AR14*$M14</f>
        <v>0</v>
      </c>
      <c r="AT14" s="28"/>
      <c r="AU14" s="28" t="n">
        <f aca="false">AT14*$M14</f>
        <v>0</v>
      </c>
      <c r="AV14" s="28"/>
      <c r="AW14" s="28" t="n">
        <f aca="false">AV14*$M14</f>
        <v>0</v>
      </c>
      <c r="AX14" s="28"/>
      <c r="AY14" s="28" t="n">
        <f aca="false">AX14*$M14</f>
        <v>0</v>
      </c>
      <c r="AZ14" s="28"/>
      <c r="BA14" s="28" t="n">
        <f aca="false">AZ14*$M14</f>
        <v>0</v>
      </c>
      <c r="BB14" s="30" t="n">
        <v>11144</v>
      </c>
      <c r="BC14" s="11" t="n">
        <v>2229</v>
      </c>
      <c r="BD14" s="31" t="n">
        <f aca="false">SUM(S14,U14,W14,Y14,AA14,AC14,AE14,AG14,AI14,AK14,AM14,AO14,AQ14,AS14,AU14,AW14,AY14,BA14)</f>
        <v>2229</v>
      </c>
      <c r="BE14" s="28" t="n">
        <f aca="false">BC14-BD14</f>
        <v>0</v>
      </c>
      <c r="BF14" s="32" t="n">
        <f aca="false">SUM(R14,T14,V14,X14,Z14,AB14,AD14,AF14,AH14,AJ14,AL14,AN14,AP14,AR14,AT14,AV14,AX14,AZ14)</f>
        <v>5800</v>
      </c>
      <c r="BG14" s="33" t="n">
        <f aca="false">BB14-BF14</f>
        <v>5344</v>
      </c>
      <c r="BH14" s="34" t="n">
        <f aca="false">BF14*M14</f>
        <v>1160</v>
      </c>
      <c r="BI14" s="35" t="n">
        <f aca="false">BC14-BH14</f>
        <v>1069</v>
      </c>
      <c r="BJ14" s="19" t="str">
        <f aca="false">IF(BI14=0,"",IF(BI14&lt;&gt;BC14,"erreur de calcul",IF(BF14&lt;&gt;0,"pas de prix",IF(M14&lt;&gt; 0,"pas de quantité","pas de prix, ni de quantité"))))</f>
        <v>erreur de calcul</v>
      </c>
      <c r="BK14" s="19"/>
    </row>
    <row r="15" customFormat="false" ht="16" hidden="false" customHeight="false" outlineLevel="0" collapsed="false">
      <c r="A15" s="0" t="n">
        <v>13</v>
      </c>
      <c r="B15" s="8" t="s">
        <v>24</v>
      </c>
      <c r="C15" s="9" t="s">
        <v>25</v>
      </c>
      <c r="D15" s="9" t="s">
        <v>26</v>
      </c>
      <c r="E15" s="10" t="n">
        <v>1789</v>
      </c>
      <c r="F15" s="9" t="s">
        <v>27</v>
      </c>
      <c r="G15" s="9" t="s">
        <v>27</v>
      </c>
      <c r="H15" s="11" t="n">
        <v>18</v>
      </c>
      <c r="I15" s="11" t="s">
        <v>82</v>
      </c>
      <c r="J15" s="14" t="n">
        <v>17</v>
      </c>
      <c r="K15" s="14"/>
      <c r="L15" s="16"/>
      <c r="M15" s="27" t="n">
        <f aca="false">J15+(K15/20)+(L15/240)</f>
        <v>17</v>
      </c>
      <c r="N15" s="17" t="s">
        <v>69</v>
      </c>
      <c r="O15" s="11"/>
      <c r="P15" s="28"/>
      <c r="Q15" s="28" t="str">
        <f aca="false">IF(O15&lt;&gt;"",P15*M15,"")</f>
        <v/>
      </c>
      <c r="R15" s="28"/>
      <c r="S15" s="28" t="n">
        <f aca="false">R15*$M15</f>
        <v>0</v>
      </c>
      <c r="T15" s="28"/>
      <c r="U15" s="28" t="n">
        <f aca="false">T15*$M15</f>
        <v>0</v>
      </c>
      <c r="V15" s="28"/>
      <c r="W15" s="28" t="n">
        <f aca="false">V15*$M15</f>
        <v>0</v>
      </c>
      <c r="X15" s="28" t="n">
        <v>600</v>
      </c>
      <c r="Y15" s="28" t="n">
        <v>10200</v>
      </c>
      <c r="Z15" s="29"/>
      <c r="AA15" s="28" t="n">
        <f aca="false">Z15*$M15</f>
        <v>0</v>
      </c>
      <c r="AB15" s="28"/>
      <c r="AC15" s="28" t="n">
        <f aca="false">AB15*$M15</f>
        <v>0</v>
      </c>
      <c r="AD15" s="28"/>
      <c r="AE15" s="28" t="n">
        <f aca="false">AD15*$M15</f>
        <v>0</v>
      </c>
      <c r="AF15" s="28"/>
      <c r="AG15" s="28" t="n">
        <f aca="false">AF15*$M15</f>
        <v>0</v>
      </c>
      <c r="AH15" s="28"/>
      <c r="AI15" s="28" t="n">
        <f aca="false">AH15*$M15</f>
        <v>0</v>
      </c>
      <c r="AJ15" s="28"/>
      <c r="AK15" s="28" t="n">
        <f aca="false">AJ15*$M15</f>
        <v>0</v>
      </c>
      <c r="AL15" s="28"/>
      <c r="AM15" s="28" t="n">
        <f aca="false">AL15*$M15</f>
        <v>0</v>
      </c>
      <c r="AN15" s="28"/>
      <c r="AO15" s="28" t="n">
        <f aca="false">AN15*$M15</f>
        <v>0</v>
      </c>
      <c r="AP15" s="28"/>
      <c r="AQ15" s="28" t="n">
        <f aca="false">AP15*$M15</f>
        <v>0</v>
      </c>
      <c r="AR15" s="28"/>
      <c r="AS15" s="28" t="n">
        <f aca="false">AR15*$M15</f>
        <v>0</v>
      </c>
      <c r="AT15" s="28"/>
      <c r="AU15" s="28" t="n">
        <f aca="false">AT15*$M15</f>
        <v>0</v>
      </c>
      <c r="AV15" s="28"/>
      <c r="AW15" s="28" t="n">
        <f aca="false">AV15*$M15</f>
        <v>0</v>
      </c>
      <c r="AX15" s="28"/>
      <c r="AY15" s="28" t="n">
        <f aca="false">AX15*$M15</f>
        <v>0</v>
      </c>
      <c r="AZ15" s="28"/>
      <c r="BA15" s="28" t="n">
        <f aca="false">AZ15*$M15</f>
        <v>0</v>
      </c>
      <c r="BB15" s="30" t="n">
        <v>600</v>
      </c>
      <c r="BC15" s="11" t="n">
        <v>10200</v>
      </c>
      <c r="BD15" s="31" t="n">
        <f aca="false">SUM(S15,U15,W15,Y15,AA15,AC15,AE15,AG15,AI15,AK15,AM15,AO15,AQ15,AS15,AU15,AW15,AY15,BA15)</f>
        <v>10200</v>
      </c>
      <c r="BE15" s="28" t="n">
        <f aca="false">BC15-BD15</f>
        <v>0</v>
      </c>
      <c r="BF15" s="32" t="n">
        <f aca="false">SUM(R15,T15,V15,X15,Z15,AB15,AD15,AF15,AH15,AJ15,AL15,AN15,AP15,AR15,AT15,AV15,AX15,AZ15)</f>
        <v>600</v>
      </c>
      <c r="BG15" s="33" t="n">
        <f aca="false">BB15-BF15</f>
        <v>0</v>
      </c>
      <c r="BH15" s="34" t="n">
        <f aca="false">BF15*M15</f>
        <v>10200</v>
      </c>
      <c r="BI15" s="35" t="n">
        <f aca="false">BC15-BH15</f>
        <v>0</v>
      </c>
      <c r="BJ15" s="19" t="str">
        <f aca="false">IF(BI15=0,"",IF(BI15&lt;&gt;BC15,"erreur de calcul",IF(BF15&lt;&gt;0,"pas de prix",IF(M15&lt;&gt; 0,"pas de quantité","pas de prix, ni de quantité"))))</f>
        <v/>
      </c>
      <c r="BK15" s="19"/>
    </row>
    <row r="16" customFormat="false" ht="16" hidden="false" customHeight="false" outlineLevel="0" collapsed="false">
      <c r="A16" s="0" t="n">
        <v>14</v>
      </c>
      <c r="B16" s="8" t="s">
        <v>24</v>
      </c>
      <c r="C16" s="9" t="s">
        <v>25</v>
      </c>
      <c r="D16" s="9" t="s">
        <v>26</v>
      </c>
      <c r="E16" s="10" t="n">
        <v>1789</v>
      </c>
      <c r="F16" s="9" t="s">
        <v>27</v>
      </c>
      <c r="G16" s="9" t="s">
        <v>27</v>
      </c>
      <c r="H16" s="11" t="n">
        <v>18</v>
      </c>
      <c r="I16" s="11" t="s">
        <v>83</v>
      </c>
      <c r="J16" s="14" t="n">
        <v>20</v>
      </c>
      <c r="K16" s="14"/>
      <c r="L16" s="16"/>
      <c r="M16" s="27" t="n">
        <f aca="false">J16+(K16/20)+(L16/240)</f>
        <v>20</v>
      </c>
      <c r="N16" s="17" t="s">
        <v>81</v>
      </c>
      <c r="O16" s="11"/>
      <c r="P16" s="28"/>
      <c r="Q16" s="28" t="str">
        <f aca="false">IF(O16&lt;&gt;"",P16*M16,"")</f>
        <v/>
      </c>
      <c r="R16" s="28"/>
      <c r="S16" s="28" t="n">
        <f aca="false">R16*$M16</f>
        <v>0</v>
      </c>
      <c r="T16" s="28"/>
      <c r="U16" s="28" t="n">
        <f aca="false">T16*$M16</f>
        <v>0</v>
      </c>
      <c r="V16" s="28"/>
      <c r="W16" s="28" t="n">
        <f aca="false">V16*$M16</f>
        <v>0</v>
      </c>
      <c r="X16" s="28"/>
      <c r="Y16" s="28" t="n">
        <f aca="false">X16*$M16</f>
        <v>0</v>
      </c>
      <c r="Z16" s="29"/>
      <c r="AA16" s="28" t="n">
        <f aca="false">Z16*$M16</f>
        <v>0</v>
      </c>
      <c r="AB16" s="28" t="n">
        <v>460</v>
      </c>
      <c r="AC16" s="28" t="n">
        <v>9200</v>
      </c>
      <c r="AD16" s="28"/>
      <c r="AE16" s="28" t="n">
        <f aca="false">AD16*$M16</f>
        <v>0</v>
      </c>
      <c r="AF16" s="28"/>
      <c r="AG16" s="28" t="n">
        <f aca="false">AF16*$M16</f>
        <v>0</v>
      </c>
      <c r="AH16" s="28"/>
      <c r="AI16" s="28" t="n">
        <f aca="false">AH16*$M16</f>
        <v>0</v>
      </c>
      <c r="AJ16" s="28"/>
      <c r="AK16" s="28" t="n">
        <f aca="false">AJ16*$M16</f>
        <v>0</v>
      </c>
      <c r="AL16" s="28"/>
      <c r="AM16" s="28" t="n">
        <f aca="false">AL16*$M16</f>
        <v>0</v>
      </c>
      <c r="AN16" s="28"/>
      <c r="AO16" s="28" t="n">
        <f aca="false">AN16*$M16</f>
        <v>0</v>
      </c>
      <c r="AP16" s="28"/>
      <c r="AQ16" s="28" t="n">
        <f aca="false">AP16*$M16</f>
        <v>0</v>
      </c>
      <c r="AR16" s="28"/>
      <c r="AS16" s="28" t="n">
        <f aca="false">AR16*$M16</f>
        <v>0</v>
      </c>
      <c r="AT16" s="28"/>
      <c r="AU16" s="28" t="n">
        <f aca="false">AT16*$M16</f>
        <v>0</v>
      </c>
      <c r="AV16" s="28"/>
      <c r="AW16" s="28" t="n">
        <f aca="false">AV16*$M16</f>
        <v>0</v>
      </c>
      <c r="AX16" s="28"/>
      <c r="AY16" s="28" t="n">
        <f aca="false">AX16*$M16</f>
        <v>0</v>
      </c>
      <c r="AZ16" s="28"/>
      <c r="BA16" s="28" t="n">
        <f aca="false">AZ16*$M16</f>
        <v>0</v>
      </c>
      <c r="BB16" s="30" t="n">
        <v>460</v>
      </c>
      <c r="BC16" s="11" t="n">
        <v>9200</v>
      </c>
      <c r="BD16" s="31" t="n">
        <f aca="false">SUM(S16,U16,W16,Y16,AA16,AC16,AE16,AG16,AI16,AK16,AM16,AO16,AQ16,AS16,AU16,AW16,AY16,BA16)</f>
        <v>9200</v>
      </c>
      <c r="BE16" s="28" t="n">
        <f aca="false">BC16-BD16</f>
        <v>0</v>
      </c>
      <c r="BF16" s="32" t="n">
        <f aca="false">SUM(R16,T16,V16,X16,Z16,AB16,AD16,AF16,AH16,AJ16,AL16,AN16,AP16,AR16,AT16,AV16,AX16,AZ16)</f>
        <v>460</v>
      </c>
      <c r="BG16" s="33" t="n">
        <f aca="false">BB16-BF16</f>
        <v>0</v>
      </c>
      <c r="BH16" s="34" t="n">
        <f aca="false">BF16*M16</f>
        <v>9200</v>
      </c>
      <c r="BI16" s="35" t="n">
        <f aca="false">BC16-BH16</f>
        <v>0</v>
      </c>
      <c r="BJ16" s="19" t="str">
        <f aca="false">IF(BI16=0,"",IF(BI16&lt;&gt;BC16,"erreur de calcul",IF(BF16&lt;&gt;0,"pas de prix",IF(M16&lt;&gt; 0,"pas de quantité","pas de prix, ni de quantité"))))</f>
        <v/>
      </c>
      <c r="BK16" s="19"/>
    </row>
    <row r="17" customFormat="false" ht="16" hidden="false" customHeight="false" outlineLevel="0" collapsed="false">
      <c r="A17" s="0" t="n">
        <v>15</v>
      </c>
      <c r="B17" s="8" t="s">
        <v>24</v>
      </c>
      <c r="C17" s="9" t="s">
        <v>25</v>
      </c>
      <c r="D17" s="9" t="s">
        <v>26</v>
      </c>
      <c r="E17" s="10" t="n">
        <v>1789</v>
      </c>
      <c r="F17" s="9" t="s">
        <v>27</v>
      </c>
      <c r="G17" s="9" t="s">
        <v>27</v>
      </c>
      <c r="H17" s="11" t="n">
        <v>18</v>
      </c>
      <c r="I17" s="11" t="s">
        <v>84</v>
      </c>
      <c r="J17" s="14" t="n">
        <v>16</v>
      </c>
      <c r="K17" s="14"/>
      <c r="L17" s="16"/>
      <c r="M17" s="27" t="n">
        <f aca="false">J17+(K17/20)+(L17/240)</f>
        <v>16</v>
      </c>
      <c r="N17" s="17" t="s">
        <v>85</v>
      </c>
      <c r="O17" s="11"/>
      <c r="P17" s="28"/>
      <c r="Q17" s="28" t="str">
        <f aca="false">IF(O17&lt;&gt;"",P17*M17,"")</f>
        <v/>
      </c>
      <c r="R17" s="28"/>
      <c r="S17" s="28" t="n">
        <f aca="false">R17*$M17</f>
        <v>0</v>
      </c>
      <c r="T17" s="28"/>
      <c r="U17" s="28" t="n">
        <f aca="false">T17*$M17</f>
        <v>0</v>
      </c>
      <c r="V17" s="28" t="n">
        <f aca="false">1600/100</f>
        <v>16</v>
      </c>
      <c r="W17" s="28" t="n">
        <v>256</v>
      </c>
      <c r="X17" s="28" t="n">
        <f aca="false">227136/100</f>
        <v>2271.36</v>
      </c>
      <c r="Y17" s="28" t="n">
        <v>36342</v>
      </c>
      <c r="Z17" s="29"/>
      <c r="AA17" s="28" t="n">
        <v>304</v>
      </c>
      <c r="AB17" s="28" t="n">
        <f aca="false">6850/100</f>
        <v>68.5</v>
      </c>
      <c r="AC17" s="28" t="n">
        <v>1096</v>
      </c>
      <c r="AD17" s="28" t="n">
        <f aca="false">204300/100</f>
        <v>2043</v>
      </c>
      <c r="AE17" s="28" t="n">
        <v>32688</v>
      </c>
      <c r="AF17" s="28" t="n">
        <f aca="false">9750/100</f>
        <v>97.5</v>
      </c>
      <c r="AG17" s="28" t="n">
        <v>1560</v>
      </c>
      <c r="AH17" s="28"/>
      <c r="AI17" s="28" t="n">
        <f aca="false">AH17*$M17</f>
        <v>0</v>
      </c>
      <c r="AJ17" s="28"/>
      <c r="AK17" s="28" t="n">
        <f aca="false">AJ17*$M17</f>
        <v>0</v>
      </c>
      <c r="AL17" s="28" t="n">
        <f aca="false">1414/100</f>
        <v>14.14</v>
      </c>
      <c r="AM17" s="28" t="n">
        <v>226</v>
      </c>
      <c r="AN17" s="28" t="n">
        <f aca="false">29500/100</f>
        <v>295</v>
      </c>
      <c r="AO17" s="28" t="n">
        <v>4720</v>
      </c>
      <c r="AP17" s="28"/>
      <c r="AQ17" s="28" t="n">
        <f aca="false">AP17*$M17</f>
        <v>0</v>
      </c>
      <c r="AR17" s="28" t="n">
        <f aca="false">1520/100</f>
        <v>15.2</v>
      </c>
      <c r="AS17" s="28" t="n">
        <v>243</v>
      </c>
      <c r="AT17" s="28"/>
      <c r="AU17" s="28" t="n">
        <f aca="false">AT17*$M17</f>
        <v>0</v>
      </c>
      <c r="AV17" s="28" t="n">
        <f aca="false">2100/100</f>
        <v>21</v>
      </c>
      <c r="AW17" s="28" t="n">
        <v>336</v>
      </c>
      <c r="AX17" s="28" t="n">
        <f aca="false">1320/100</f>
        <v>13.2</v>
      </c>
      <c r="AY17" s="28" t="n">
        <v>211</v>
      </c>
      <c r="AZ17" s="28" t="n">
        <f aca="false">177746/100</f>
        <v>1777.46</v>
      </c>
      <c r="BA17" s="28" t="n">
        <v>28439</v>
      </c>
      <c r="BB17" s="30" t="n">
        <f aca="false">665136/100</f>
        <v>6651.36</v>
      </c>
      <c r="BC17" s="11" t="n">
        <v>106421</v>
      </c>
      <c r="BD17" s="31" t="n">
        <f aca="false">SUM(S17,U17,W17,Y17,AA17,AC17,AE17,AG17,AI17,AK17,AM17,AO17,AQ17,AS17,AU17,AW17,AY17,BA17)</f>
        <v>106421</v>
      </c>
      <c r="BE17" s="28" t="n">
        <f aca="false">BC17-BD17</f>
        <v>0</v>
      </c>
      <c r="BF17" s="32" t="n">
        <f aca="false">SUM(R17,T17,V17,X17,Z17,AB17,AD17,AF17,AH17,AJ17,AL17,AN17,AP17,AR17,AT17,AV17,AX17,AZ17)</f>
        <v>6632.36</v>
      </c>
      <c r="BG17" s="33" t="n">
        <f aca="false">BB17-BF17</f>
        <v>18.9999999999991</v>
      </c>
      <c r="BH17" s="34" t="n">
        <f aca="false">BF17*M17</f>
        <v>106117.76</v>
      </c>
      <c r="BI17" s="35" t="n">
        <f aca="false">BC17-BH17</f>
        <v>303.239999999991</v>
      </c>
      <c r="BJ17" s="19" t="str">
        <f aca="false">IF(BI17=0,"",IF(BI17&lt;&gt;BC17,"erreur de calcul",IF(BF17&lt;&gt;0,"pas de prix",IF(M17&lt;&gt; 0,"pas de quantité","pas de prix, ni de quantité"))))</f>
        <v>erreur de calcul</v>
      </c>
      <c r="BK17" s="19"/>
    </row>
    <row r="18" customFormat="false" ht="16" hidden="false" customHeight="false" outlineLevel="0" collapsed="false">
      <c r="A18" s="0" t="n">
        <v>16</v>
      </c>
      <c r="B18" s="8" t="s">
        <v>24</v>
      </c>
      <c r="C18" s="9" t="s">
        <v>25</v>
      </c>
      <c r="D18" s="9" t="s">
        <v>26</v>
      </c>
      <c r="E18" s="10" t="n">
        <v>1789</v>
      </c>
      <c r="F18" s="9" t="s">
        <v>27</v>
      </c>
      <c r="G18" s="9" t="s">
        <v>27</v>
      </c>
      <c r="H18" s="11" t="n">
        <v>18</v>
      </c>
      <c r="I18" s="11" t="s">
        <v>86</v>
      </c>
      <c r="J18" s="14" t="n">
        <v>55</v>
      </c>
      <c r="K18" s="14"/>
      <c r="L18" s="16"/>
      <c r="M18" s="27" t="n">
        <f aca="false">J18+(K18/20)+(L18/240)</f>
        <v>55</v>
      </c>
      <c r="N18" s="17" t="s">
        <v>81</v>
      </c>
      <c r="O18" s="11"/>
      <c r="P18" s="28"/>
      <c r="Q18" s="28" t="str">
        <f aca="false">IF(O18&lt;&gt;"",P18*M18,"")</f>
        <v/>
      </c>
      <c r="R18" s="28"/>
      <c r="S18" s="28" t="n">
        <f aca="false">R18*$M18</f>
        <v>0</v>
      </c>
      <c r="T18" s="28"/>
      <c r="U18" s="28" t="n">
        <f aca="false">T18*$M18</f>
        <v>0</v>
      </c>
      <c r="V18" s="28"/>
      <c r="W18" s="28" t="n">
        <f aca="false">V18*$M18</f>
        <v>0</v>
      </c>
      <c r="X18" s="28"/>
      <c r="Y18" s="28" t="n">
        <f aca="false">X18*$M18</f>
        <v>0</v>
      </c>
      <c r="Z18" s="29"/>
      <c r="AA18" s="28" t="n">
        <f aca="false">Z18*$M18</f>
        <v>0</v>
      </c>
      <c r="AB18" s="28"/>
      <c r="AC18" s="28" t="n">
        <f aca="false">AB18*$M18</f>
        <v>0</v>
      </c>
      <c r="AD18" s="28"/>
      <c r="AE18" s="28" t="n">
        <f aca="false">AD18*$M18</f>
        <v>0</v>
      </c>
      <c r="AF18" s="28"/>
      <c r="AG18" s="28" t="n">
        <f aca="false">AF18*$M18</f>
        <v>0</v>
      </c>
      <c r="AH18" s="28"/>
      <c r="AI18" s="28" t="n">
        <f aca="false">AH18*$M18</f>
        <v>0</v>
      </c>
      <c r="AJ18" s="28"/>
      <c r="AK18" s="28" t="n">
        <f aca="false">AJ18*$M18</f>
        <v>0</v>
      </c>
      <c r="AL18" s="28"/>
      <c r="AM18" s="28" t="n">
        <f aca="false">AL18*$M18</f>
        <v>0</v>
      </c>
      <c r="AN18" s="28"/>
      <c r="AO18" s="28" t="n">
        <f aca="false">AN18*$M18</f>
        <v>0</v>
      </c>
      <c r="AP18" s="28"/>
      <c r="AQ18" s="28" t="n">
        <f aca="false">AP18*$M18</f>
        <v>0</v>
      </c>
      <c r="AR18" s="28"/>
      <c r="AS18" s="28" t="n">
        <f aca="false">AR18*$M18</f>
        <v>0</v>
      </c>
      <c r="AT18" s="28"/>
      <c r="AU18" s="28" t="n">
        <f aca="false">AT18*$M18</f>
        <v>0</v>
      </c>
      <c r="AV18" s="28" t="n">
        <v>319</v>
      </c>
      <c r="AW18" s="28" t="n">
        <v>17545</v>
      </c>
      <c r="AX18" s="28"/>
      <c r="AY18" s="28" t="n">
        <f aca="false">AX18*$M18</f>
        <v>0</v>
      </c>
      <c r="AZ18" s="28"/>
      <c r="BA18" s="28" t="n">
        <f aca="false">AZ18*$M18</f>
        <v>0</v>
      </c>
      <c r="BB18" s="30" t="n">
        <v>319</v>
      </c>
      <c r="BC18" s="11" t="n">
        <v>17545</v>
      </c>
      <c r="BD18" s="31" t="n">
        <f aca="false">SUM(S18,U18,W18,Y18,AA18,AC18,AE18,AG18,AI18,AK18,AM18,AO18,AQ18,AS18,AU18,AW18,AY18,BA18)</f>
        <v>17545</v>
      </c>
      <c r="BE18" s="28" t="n">
        <f aca="false">BC18-BD18</f>
        <v>0</v>
      </c>
      <c r="BF18" s="32" t="n">
        <f aca="false">SUM(R18,T18,V18,X18,Z18,AB18,AD18,AF18,AH18,AJ18,AL18,AN18,AP18,AR18,AT18,AV18,AX18,AZ18)</f>
        <v>319</v>
      </c>
      <c r="BG18" s="33" t="n">
        <f aca="false">BB18-BF18</f>
        <v>0</v>
      </c>
      <c r="BH18" s="34" t="n">
        <f aca="false">BF18*M18</f>
        <v>17545</v>
      </c>
      <c r="BI18" s="35" t="n">
        <f aca="false">BC18-BH18</f>
        <v>0</v>
      </c>
      <c r="BJ18" s="19" t="str">
        <f aca="false">IF(BI18=0,"",IF(BI18&lt;&gt;BC18,"erreur de calcul",IF(BF18&lt;&gt;0,"pas de prix",IF(M18&lt;&gt; 0,"pas de quantité","pas de prix, ni de quantité"))))</f>
        <v/>
      </c>
      <c r="BK18" s="19"/>
    </row>
    <row r="19" customFormat="false" ht="16" hidden="false" customHeight="false" outlineLevel="0" collapsed="false">
      <c r="A19" s="0" t="n">
        <v>17</v>
      </c>
      <c r="B19" s="8" t="s">
        <v>24</v>
      </c>
      <c r="C19" s="9" t="s">
        <v>25</v>
      </c>
      <c r="D19" s="9" t="s">
        <v>26</v>
      </c>
      <c r="E19" s="10" t="n">
        <v>1789</v>
      </c>
      <c r="F19" s="9" t="s">
        <v>27</v>
      </c>
      <c r="G19" s="9" t="s">
        <v>27</v>
      </c>
      <c r="H19" s="11" t="n">
        <v>18</v>
      </c>
      <c r="I19" s="11" t="s">
        <v>87</v>
      </c>
      <c r="J19" s="14" t="n">
        <v>6</v>
      </c>
      <c r="K19" s="14"/>
      <c r="L19" s="16"/>
      <c r="M19" s="27" t="n">
        <f aca="false">J19+(K19/20)+(L19/240)</f>
        <v>6</v>
      </c>
      <c r="N19" s="17" t="s">
        <v>69</v>
      </c>
      <c r="O19" s="11" t="s">
        <v>77</v>
      </c>
      <c r="P19" s="28" t="n">
        <v>630</v>
      </c>
      <c r="Q19" s="28" t="n">
        <v>3780</v>
      </c>
      <c r="R19" s="28"/>
      <c r="S19" s="28" t="n">
        <f aca="false">R19*$M19</f>
        <v>0</v>
      </c>
      <c r="T19" s="28" t="n">
        <v>63</v>
      </c>
      <c r="U19" s="28" t="n">
        <v>378</v>
      </c>
      <c r="V19" s="28" t="n">
        <v>2406</v>
      </c>
      <c r="W19" s="28" t="n">
        <v>14436</v>
      </c>
      <c r="X19" s="28" t="n">
        <v>222</v>
      </c>
      <c r="Y19" s="28" t="n">
        <v>1332</v>
      </c>
      <c r="Z19" s="29"/>
      <c r="AA19" s="28" t="n">
        <f aca="false">Z19*$M19</f>
        <v>0</v>
      </c>
      <c r="AB19" s="28"/>
      <c r="AC19" s="28" t="n">
        <f aca="false">AB19*$M19</f>
        <v>0</v>
      </c>
      <c r="AD19" s="28"/>
      <c r="AE19" s="28" t="n">
        <f aca="false">AD19*$M19</f>
        <v>0</v>
      </c>
      <c r="AF19" s="28" t="n">
        <v>330</v>
      </c>
      <c r="AG19" s="28" t="n">
        <v>1980</v>
      </c>
      <c r="AH19" s="28"/>
      <c r="AI19" s="28" t="n">
        <f aca="false">AH19*$M19</f>
        <v>0</v>
      </c>
      <c r="AJ19" s="28"/>
      <c r="AK19" s="28" t="n">
        <f aca="false">AJ19*$M19</f>
        <v>0</v>
      </c>
      <c r="AL19" s="28"/>
      <c r="AM19" s="28" t="n">
        <f aca="false">AL19*$M19</f>
        <v>0</v>
      </c>
      <c r="AN19" s="28"/>
      <c r="AO19" s="28" t="n">
        <f aca="false">AN19*$M19</f>
        <v>0</v>
      </c>
      <c r="AP19" s="28"/>
      <c r="AQ19" s="28" t="n">
        <f aca="false">AP19*$M19</f>
        <v>0</v>
      </c>
      <c r="AR19" s="28"/>
      <c r="AS19" s="28" t="n">
        <f aca="false">AR19*$M19</f>
        <v>0</v>
      </c>
      <c r="AT19" s="28"/>
      <c r="AU19" s="28" t="n">
        <f aca="false">AT19*$M19</f>
        <v>0</v>
      </c>
      <c r="AV19" s="28"/>
      <c r="AW19" s="28" t="n">
        <f aca="false">AV19*$M19</f>
        <v>0</v>
      </c>
      <c r="AX19" s="28"/>
      <c r="AY19" s="28" t="n">
        <f aca="false">AX19*$M19</f>
        <v>0</v>
      </c>
      <c r="AZ19" s="28"/>
      <c r="BA19" s="28" t="n">
        <f aca="false">AZ19*$M19</f>
        <v>0</v>
      </c>
      <c r="BB19" s="30" t="n">
        <v>3021</v>
      </c>
      <c r="BC19" s="11" t="n">
        <v>18126</v>
      </c>
      <c r="BD19" s="31" t="n">
        <f aca="false">SUM(S19,U19,W19,Y19,AA19,AC19,AE19,AG19,AI19,AK19,AM19,AO19,AQ19,AS19,AU19,AW19,AY19,BA19)</f>
        <v>18126</v>
      </c>
      <c r="BE19" s="28" t="n">
        <f aca="false">BC19-BD19</f>
        <v>0</v>
      </c>
      <c r="BF19" s="32" t="n">
        <f aca="false">SUM(R19,T19,V19,X19,Z19,AB19,AD19,AF19,AH19,AJ19,AL19,AN19,AP19,AR19,AT19,AV19,AX19,AZ19)</f>
        <v>3021</v>
      </c>
      <c r="BG19" s="33" t="n">
        <f aca="false">BB19-BF19</f>
        <v>0</v>
      </c>
      <c r="BH19" s="34" t="n">
        <f aca="false">BF19*M19</f>
        <v>18126</v>
      </c>
      <c r="BI19" s="35" t="n">
        <f aca="false">BC19-BH19</f>
        <v>0</v>
      </c>
      <c r="BJ19" s="19" t="str">
        <f aca="false">IF(BI19=0,"",IF(BI19&lt;&gt;BC19,"erreur de calcul",IF(BF19&lt;&gt;0,"pas de prix",IF(M19&lt;&gt; 0,"pas de quantité","pas de prix, ni de quantité"))))</f>
        <v/>
      </c>
      <c r="BK19" s="19"/>
    </row>
    <row r="20" customFormat="false" ht="16" hidden="false" customHeight="false" outlineLevel="0" collapsed="false">
      <c r="A20" s="0" t="n">
        <v>18</v>
      </c>
      <c r="B20" s="8" t="s">
        <v>24</v>
      </c>
      <c r="C20" s="9" t="s">
        <v>25</v>
      </c>
      <c r="D20" s="9" t="s">
        <v>26</v>
      </c>
      <c r="E20" s="10" t="n">
        <v>1789</v>
      </c>
      <c r="F20" s="9" t="s">
        <v>27</v>
      </c>
      <c r="G20" s="9" t="s">
        <v>27</v>
      </c>
      <c r="H20" s="11" t="n">
        <v>18</v>
      </c>
      <c r="I20" s="11" t="s">
        <v>88</v>
      </c>
      <c r="J20" s="14" t="n">
        <v>26</v>
      </c>
      <c r="K20" s="14"/>
      <c r="L20" s="16"/>
      <c r="M20" s="27" t="n">
        <f aca="false">J20+(K20/20)+(L20/240)</f>
        <v>26</v>
      </c>
      <c r="N20" s="17" t="s">
        <v>69</v>
      </c>
      <c r="O20" s="11"/>
      <c r="P20" s="28"/>
      <c r="Q20" s="28" t="str">
        <f aca="false">IF(O20&lt;&gt;"",P20*M20,"")</f>
        <v/>
      </c>
      <c r="R20" s="28"/>
      <c r="S20" s="28" t="n">
        <f aca="false">R20*$M20</f>
        <v>0</v>
      </c>
      <c r="T20" s="28"/>
      <c r="U20" s="28" t="n">
        <f aca="false">T20*$M20</f>
        <v>0</v>
      </c>
      <c r="V20" s="28"/>
      <c r="W20" s="28" t="n">
        <f aca="false">V20*$M20</f>
        <v>0</v>
      </c>
      <c r="X20" s="28"/>
      <c r="Y20" s="28" t="n">
        <f aca="false">X20*$M20</f>
        <v>0</v>
      </c>
      <c r="Z20" s="29"/>
      <c r="AA20" s="28" t="n">
        <f aca="false">Z20*$M20</f>
        <v>0</v>
      </c>
      <c r="AB20" s="28"/>
      <c r="AC20" s="28" t="n">
        <f aca="false">AB20*$M20</f>
        <v>0</v>
      </c>
      <c r="AD20" s="28"/>
      <c r="AE20" s="28" t="n">
        <f aca="false">AD20*$M20</f>
        <v>0</v>
      </c>
      <c r="AF20" s="28"/>
      <c r="AG20" s="28" t="n">
        <f aca="false">AF20*$M20</f>
        <v>0</v>
      </c>
      <c r="AH20" s="28"/>
      <c r="AI20" s="28" t="n">
        <f aca="false">AH20*$M20</f>
        <v>0</v>
      </c>
      <c r="AJ20" s="28"/>
      <c r="AK20" s="28" t="n">
        <f aca="false">AJ20*$M20</f>
        <v>0</v>
      </c>
      <c r="AL20" s="28"/>
      <c r="AM20" s="28" t="n">
        <f aca="false">AL20*$M20</f>
        <v>0</v>
      </c>
      <c r="AN20" s="28" t="n">
        <v>150</v>
      </c>
      <c r="AO20" s="28" t="n">
        <v>3900</v>
      </c>
      <c r="AP20" s="28"/>
      <c r="AQ20" s="28" t="n">
        <f aca="false">AP20*$M20</f>
        <v>0</v>
      </c>
      <c r="AR20" s="28" t="n">
        <v>4140</v>
      </c>
      <c r="AS20" s="28" t="n">
        <v>107640</v>
      </c>
      <c r="AT20" s="28" t="n">
        <v>6957</v>
      </c>
      <c r="AU20" s="28" t="n">
        <v>180882</v>
      </c>
      <c r="AV20" s="28" t="n">
        <v>171</v>
      </c>
      <c r="AW20" s="28" t="n">
        <v>4446</v>
      </c>
      <c r="AX20" s="28" t="n">
        <v>838</v>
      </c>
      <c r="AY20" s="28" t="n">
        <v>21788</v>
      </c>
      <c r="AZ20" s="28" t="n">
        <v>35</v>
      </c>
      <c r="BA20" s="28" t="n">
        <v>910</v>
      </c>
      <c r="BB20" s="30" t="n">
        <v>12291</v>
      </c>
      <c r="BC20" s="11" t="n">
        <v>319566</v>
      </c>
      <c r="BD20" s="31" t="n">
        <f aca="false">SUM(S20,U20,W20,Y20,AA20,AC20,AE20,AG20,AI20,AK20,AM20,AO20,AQ20,AS20,AU20,AW20,AY20,BA20)</f>
        <v>319566</v>
      </c>
      <c r="BE20" s="28" t="n">
        <f aca="false">BC20-BD20</f>
        <v>0</v>
      </c>
      <c r="BF20" s="32" t="n">
        <f aca="false">SUM(R20,T20,V20,X20,Z20,AB20,AD20,AF20,AH20,AJ20,AL20,AN20,AP20,AR20,AT20,AV20,AX20,AZ20)</f>
        <v>12291</v>
      </c>
      <c r="BG20" s="33" t="n">
        <f aca="false">BB20-BF20</f>
        <v>0</v>
      </c>
      <c r="BH20" s="34" t="n">
        <f aca="false">BF20*M20</f>
        <v>319566</v>
      </c>
      <c r="BI20" s="35" t="n">
        <f aca="false">BC20-BH20</f>
        <v>0</v>
      </c>
      <c r="BJ20" s="19" t="str">
        <f aca="false">IF(BI20=0,"",IF(BI20&lt;&gt;BC20,"erreur de calcul",IF(BF20&lt;&gt;0,"pas de prix",IF(M20&lt;&gt; 0,"pas de quantité","pas de prix, ni de quantité"))))</f>
        <v/>
      </c>
      <c r="BK20" s="19"/>
    </row>
    <row r="21" customFormat="false" ht="16" hidden="false" customHeight="false" outlineLevel="0" collapsed="false">
      <c r="A21" s="0" t="n">
        <v>19</v>
      </c>
      <c r="B21" s="8" t="s">
        <v>24</v>
      </c>
      <c r="C21" s="9" t="s">
        <v>25</v>
      </c>
      <c r="D21" s="9" t="s">
        <v>26</v>
      </c>
      <c r="E21" s="10" t="n">
        <v>1789</v>
      </c>
      <c r="F21" s="9" t="s">
        <v>27</v>
      </c>
      <c r="G21" s="9" t="s">
        <v>27</v>
      </c>
      <c r="H21" s="11" t="n">
        <v>18</v>
      </c>
      <c r="I21" s="11" t="s">
        <v>89</v>
      </c>
      <c r="J21" s="14" t="n">
        <v>7</v>
      </c>
      <c r="K21" s="14"/>
      <c r="L21" s="16"/>
      <c r="M21" s="27" t="n">
        <f aca="false">J21+(K21/20)+(L21/240)</f>
        <v>7</v>
      </c>
      <c r="N21" s="17" t="s">
        <v>81</v>
      </c>
      <c r="O21" s="11" t="s">
        <v>77</v>
      </c>
      <c r="P21" s="37" t="n">
        <f aca="false">196*4.34</f>
        <v>850.64</v>
      </c>
      <c r="Q21" s="28" t="n">
        <v>5960</v>
      </c>
      <c r="R21" s="28"/>
      <c r="S21" s="28" t="n">
        <f aca="false">R21*$M21</f>
        <v>0</v>
      </c>
      <c r="T21" s="28"/>
      <c r="U21" s="28" t="n">
        <f aca="false">T21*$M21</f>
        <v>0</v>
      </c>
      <c r="V21" s="28"/>
      <c r="W21" s="28" t="n">
        <f aca="false">V21*$M21</f>
        <v>0</v>
      </c>
      <c r="X21" s="28"/>
      <c r="Y21" s="28" t="n">
        <f aca="false">X21*$M21</f>
        <v>0</v>
      </c>
      <c r="Z21" s="29"/>
      <c r="AA21" s="28" t="n">
        <f aca="false">Z21*$M21</f>
        <v>0</v>
      </c>
      <c r="AB21" s="28"/>
      <c r="AC21" s="28" t="n">
        <f aca="false">AB21*$M21</f>
        <v>0</v>
      </c>
      <c r="AD21" s="28"/>
      <c r="AE21" s="28" t="n">
        <f aca="false">AD21*$M21</f>
        <v>0</v>
      </c>
      <c r="AF21" s="28"/>
      <c r="AG21" s="28" t="n">
        <f aca="false">AF21*$M21</f>
        <v>0</v>
      </c>
      <c r="AH21" s="28"/>
      <c r="AI21" s="28" t="n">
        <f aca="false">AH21*$M21</f>
        <v>0</v>
      </c>
      <c r="AJ21" s="28"/>
      <c r="AK21" s="28" t="n">
        <f aca="false">AJ21*$M21</f>
        <v>0</v>
      </c>
      <c r="AL21" s="28"/>
      <c r="AM21" s="28" t="n">
        <f aca="false">AL21*$M21</f>
        <v>0</v>
      </c>
      <c r="AN21" s="28"/>
      <c r="AO21" s="28" t="n">
        <f aca="false">AN21*$M21</f>
        <v>0</v>
      </c>
      <c r="AP21" s="28"/>
      <c r="AQ21" s="28" t="n">
        <f aca="false">AP21*$M21</f>
        <v>0</v>
      </c>
      <c r="AR21" s="38" t="n">
        <v>1763</v>
      </c>
      <c r="AS21" s="28" t="n">
        <v>42312</v>
      </c>
      <c r="AT21" s="28"/>
      <c r="AU21" s="28" t="n">
        <f aca="false">AT21*$M21</f>
        <v>0</v>
      </c>
      <c r="AV21" s="28"/>
      <c r="AW21" s="28" t="n">
        <f aca="false">AV21*$M21</f>
        <v>0</v>
      </c>
      <c r="AX21" s="38" t="n">
        <v>377</v>
      </c>
      <c r="AY21" s="28" t="n">
        <v>9425</v>
      </c>
      <c r="AZ21" s="28"/>
      <c r="BA21" s="28" t="n">
        <f aca="false">AZ21*$M21</f>
        <v>0</v>
      </c>
      <c r="BB21" s="30" t="n">
        <v>2140</v>
      </c>
      <c r="BC21" s="11" t="n">
        <v>51737</v>
      </c>
      <c r="BD21" s="31" t="n">
        <f aca="false">SUM(S21,U21,W21,Y21,AA21,AC21,AE21,AG21,AI21,AK21,AM21,AO21,AQ21,AS21,AU21,AW21,AY21,BA21)</f>
        <v>51737</v>
      </c>
      <c r="BE21" s="28" t="n">
        <f aca="false">BC21-BD21</f>
        <v>0</v>
      </c>
      <c r="BF21" s="32" t="n">
        <f aca="false">SUM(R21,T21,V21,X21,Z21,AB21,AD21,AF21,AH21,AJ21,AL21,AN21,AP21,AR21,AT21,AV21,AX21,AZ21)</f>
        <v>2140</v>
      </c>
      <c r="BG21" s="33" t="n">
        <f aca="false">BB21-BF21</f>
        <v>0</v>
      </c>
      <c r="BH21" s="34" t="n">
        <f aca="false">BF21*M21</f>
        <v>14980</v>
      </c>
      <c r="BI21" s="35" t="n">
        <f aca="false">BC21-BH21</f>
        <v>36757</v>
      </c>
      <c r="BJ21" s="19" t="str">
        <f aca="false">IF(BI21=0,"",IF(BI21&lt;&gt;BC21,"erreur de calcul",IF(BF21&lt;&gt;0,"pas de prix",IF(M21&lt;&gt; 0,"pas de quantité","pas de prix, ni de quantité"))))</f>
        <v>erreur de calcul</v>
      </c>
      <c r="BK21" s="19" t="s">
        <v>90</v>
      </c>
    </row>
    <row r="22" customFormat="false" ht="16" hidden="false" customHeight="false" outlineLevel="0" collapsed="false">
      <c r="A22" s="0" t="n">
        <v>20</v>
      </c>
      <c r="B22" s="8" t="s">
        <v>24</v>
      </c>
      <c r="C22" s="9" t="s">
        <v>25</v>
      </c>
      <c r="D22" s="9" t="s">
        <v>26</v>
      </c>
      <c r="E22" s="10" t="n">
        <v>1789</v>
      </c>
      <c r="F22" s="9" t="s">
        <v>27</v>
      </c>
      <c r="G22" s="9" t="s">
        <v>27</v>
      </c>
      <c r="H22" s="11" t="n">
        <v>18</v>
      </c>
      <c r="I22" s="11" t="s">
        <v>91</v>
      </c>
      <c r="J22" s="14" t="n">
        <v>30</v>
      </c>
      <c r="K22" s="14"/>
      <c r="L22" s="16"/>
      <c r="M22" s="27" t="n">
        <f aca="false">J22+(K22/20)+(L22/240)</f>
        <v>30</v>
      </c>
      <c r="N22" s="17" t="s">
        <v>64</v>
      </c>
      <c r="O22" s="11"/>
      <c r="P22" s="28"/>
      <c r="Q22" s="28" t="str">
        <f aca="false">IF(O22&lt;&gt;"",P22*M22,"")</f>
        <v/>
      </c>
      <c r="R22" s="28"/>
      <c r="S22" s="28" t="n">
        <f aca="false">R22*$M22</f>
        <v>0</v>
      </c>
      <c r="T22" s="28"/>
      <c r="U22" s="28" t="n">
        <f aca="false">T22*$M22</f>
        <v>0</v>
      </c>
      <c r="V22" s="28"/>
      <c r="W22" s="28" t="n">
        <f aca="false">V22*$M22</f>
        <v>0</v>
      </c>
      <c r="X22" s="28" t="n">
        <f aca="false">12300/100</f>
        <v>123</v>
      </c>
      <c r="Y22" s="28" t="n">
        <v>3690</v>
      </c>
      <c r="Z22" s="29"/>
      <c r="AA22" s="28" t="n">
        <f aca="false">Z22*$M22</f>
        <v>0</v>
      </c>
      <c r="AB22" s="28"/>
      <c r="AC22" s="28" t="n">
        <f aca="false">AB22*$M22</f>
        <v>0</v>
      </c>
      <c r="AD22" s="28" t="n">
        <f aca="false">16277/100</f>
        <v>162.77</v>
      </c>
      <c r="AE22" s="28" t="n">
        <v>4883</v>
      </c>
      <c r="AF22" s="28"/>
      <c r="AG22" s="28" t="n">
        <f aca="false">AF22*$M22</f>
        <v>0</v>
      </c>
      <c r="AH22" s="28"/>
      <c r="AI22" s="28" t="n">
        <f aca="false">AH22*$M22</f>
        <v>0</v>
      </c>
      <c r="AJ22" s="28"/>
      <c r="AK22" s="28" t="n">
        <f aca="false">AJ22*$M22</f>
        <v>0</v>
      </c>
      <c r="AL22" s="28"/>
      <c r="AM22" s="28" t="n">
        <f aca="false">AL22*$M22</f>
        <v>0</v>
      </c>
      <c r="AN22" s="28"/>
      <c r="AO22" s="28" t="n">
        <f aca="false">AN22*$M22</f>
        <v>0</v>
      </c>
      <c r="AP22" s="28"/>
      <c r="AQ22" s="28" t="n">
        <f aca="false">AP22*$M22</f>
        <v>0</v>
      </c>
      <c r="AR22" s="28"/>
      <c r="AS22" s="28" t="n">
        <f aca="false">AR22*$M22</f>
        <v>0</v>
      </c>
      <c r="AT22" s="28"/>
      <c r="AU22" s="28" t="n">
        <f aca="false">AT22*$M22</f>
        <v>0</v>
      </c>
      <c r="AV22" s="28"/>
      <c r="AW22" s="28" t="n">
        <f aca="false">AV22*$M22</f>
        <v>0</v>
      </c>
      <c r="AX22" s="28"/>
      <c r="AY22" s="28" t="n">
        <f aca="false">AX22*$M22</f>
        <v>0</v>
      </c>
      <c r="AZ22" s="28"/>
      <c r="BA22" s="28" t="n">
        <f aca="false">AZ22*$M22</f>
        <v>0</v>
      </c>
      <c r="BB22" s="30" t="n">
        <f aca="false">28577/100</f>
        <v>285.77</v>
      </c>
      <c r="BC22" s="11" t="n">
        <v>8573</v>
      </c>
      <c r="BD22" s="31" t="n">
        <f aca="false">SUM(S22,U22,W22,Y22,AA22,AC22,AE22,AG22,AI22,AK22,AM22,AO22,AQ22,AS22,AU22,AW22,AY22,BA22)</f>
        <v>8573</v>
      </c>
      <c r="BE22" s="28" t="n">
        <f aca="false">BC22-BD22</f>
        <v>0</v>
      </c>
      <c r="BF22" s="32" t="n">
        <f aca="false">SUM(R22,T22,V22,X22,Z22,AB22,AD22,AF22,AH22,AJ22,AL22,AN22,AP22,AR22,AT22,AV22,AX22,AZ22)</f>
        <v>285.77</v>
      </c>
      <c r="BG22" s="33" t="n">
        <f aca="false">BB22-BF22</f>
        <v>0</v>
      </c>
      <c r="BH22" s="34" t="n">
        <f aca="false">BF22*M22</f>
        <v>8573.1</v>
      </c>
      <c r="BI22" s="35" t="n">
        <f aca="false">BC22-BH22</f>
        <v>-0.0999999999985448</v>
      </c>
      <c r="BJ22" s="19" t="str">
        <f aca="false">IF(BI22=0,"",IF(BI22&lt;&gt;BC22,"erreur de calcul",IF(BF22&lt;&gt;0,"pas de prix",IF(M22&lt;&gt; 0,"pas de quantité","pas de prix, ni de quantité"))))</f>
        <v>erreur de calcul</v>
      </c>
      <c r="BK22" s="19"/>
    </row>
    <row r="23" customFormat="false" ht="16" hidden="false" customHeight="false" outlineLevel="0" collapsed="false">
      <c r="A23" s="0" t="n">
        <v>21</v>
      </c>
      <c r="B23" s="8" t="s">
        <v>24</v>
      </c>
      <c r="C23" s="9" t="s">
        <v>25</v>
      </c>
      <c r="D23" s="9" t="s">
        <v>26</v>
      </c>
      <c r="E23" s="10" t="n">
        <v>1789</v>
      </c>
      <c r="F23" s="9" t="s">
        <v>27</v>
      </c>
      <c r="G23" s="9" t="s">
        <v>27</v>
      </c>
      <c r="H23" s="11" t="n">
        <v>18</v>
      </c>
      <c r="I23" s="11" t="s">
        <v>92</v>
      </c>
      <c r="J23" s="14"/>
      <c r="K23" s="14" t="n">
        <v>25</v>
      </c>
      <c r="L23" s="16"/>
      <c r="M23" s="27" t="n">
        <f aca="false">J23+(K23/20)+(L23/240)</f>
        <v>1.25</v>
      </c>
      <c r="N23" s="17" t="s">
        <v>81</v>
      </c>
      <c r="O23" s="11"/>
      <c r="P23" s="28"/>
      <c r="Q23" s="28" t="str">
        <f aca="false">IF(O23&lt;&gt;"",P23*M23,"")</f>
        <v/>
      </c>
      <c r="R23" s="28"/>
      <c r="S23" s="28" t="n">
        <f aca="false">R23*$M23</f>
        <v>0</v>
      </c>
      <c r="T23" s="28"/>
      <c r="U23" s="28" t="n">
        <f aca="false">T23*$M23</f>
        <v>0</v>
      </c>
      <c r="V23" s="28"/>
      <c r="W23" s="28" t="n">
        <f aca="false">V23*$M23</f>
        <v>0</v>
      </c>
      <c r="X23" s="28" t="n">
        <v>17192</v>
      </c>
      <c r="Y23" s="28" t="n">
        <v>21490</v>
      </c>
      <c r="Z23" s="29"/>
      <c r="AA23" s="28" t="n">
        <f aca="false">Z23*$M23</f>
        <v>0</v>
      </c>
      <c r="AB23" s="28"/>
      <c r="AC23" s="28" t="n">
        <f aca="false">AB23*$M23</f>
        <v>0</v>
      </c>
      <c r="AD23" s="28"/>
      <c r="AE23" s="28" t="n">
        <f aca="false">AD23*$M23</f>
        <v>0</v>
      </c>
      <c r="AF23" s="28"/>
      <c r="AG23" s="28" t="n">
        <f aca="false">AF23*$M23</f>
        <v>0</v>
      </c>
      <c r="AH23" s="28"/>
      <c r="AI23" s="28" t="n">
        <f aca="false">AH23*$M23</f>
        <v>0</v>
      </c>
      <c r="AJ23" s="28"/>
      <c r="AK23" s="28" t="n">
        <f aca="false">AJ23*$M23</f>
        <v>0</v>
      </c>
      <c r="AL23" s="28"/>
      <c r="AM23" s="28" t="n">
        <f aca="false">AL23*$M23</f>
        <v>0</v>
      </c>
      <c r="AN23" s="28"/>
      <c r="AO23" s="28" t="n">
        <f aca="false">AN23*$M23</f>
        <v>0</v>
      </c>
      <c r="AP23" s="28"/>
      <c r="AQ23" s="28" t="n">
        <f aca="false">AP23*$M23</f>
        <v>0</v>
      </c>
      <c r="AR23" s="28"/>
      <c r="AS23" s="28" t="n">
        <f aca="false">AR23*$M23</f>
        <v>0</v>
      </c>
      <c r="AT23" s="28"/>
      <c r="AU23" s="28" t="n">
        <f aca="false">AT23*$M23</f>
        <v>0</v>
      </c>
      <c r="AV23" s="28"/>
      <c r="AW23" s="28" t="n">
        <f aca="false">AV23*$M23</f>
        <v>0</v>
      </c>
      <c r="AX23" s="28"/>
      <c r="AY23" s="28" t="n">
        <f aca="false">AX23*$M23</f>
        <v>0</v>
      </c>
      <c r="AZ23" s="28"/>
      <c r="BA23" s="28" t="n">
        <f aca="false">AZ23*$M23</f>
        <v>0</v>
      </c>
      <c r="BB23" s="30" t="n">
        <v>17192</v>
      </c>
      <c r="BC23" s="11" t="n">
        <v>21490</v>
      </c>
      <c r="BD23" s="31" t="n">
        <f aca="false">SUM(S23,U23,W23,Y23,AA23,AC23,AE23,AG23,AI23,AK23,AM23,AO23,AQ23,AS23,AU23,AW23,AY23,BA23)</f>
        <v>21490</v>
      </c>
      <c r="BE23" s="28" t="n">
        <f aca="false">BC23-BD23</f>
        <v>0</v>
      </c>
      <c r="BF23" s="32" t="n">
        <f aca="false">SUM(R23,T23,V23,X23,Z23,AB23,AD23,AF23,AH23,AJ23,AL23,AN23,AP23,AR23,AT23,AV23,AX23,AZ23)</f>
        <v>17192</v>
      </c>
      <c r="BG23" s="33" t="n">
        <f aca="false">BB23-BF23</f>
        <v>0</v>
      </c>
      <c r="BH23" s="34" t="n">
        <f aca="false">BF23*M23</f>
        <v>21490</v>
      </c>
      <c r="BI23" s="35" t="n">
        <f aca="false">BC23-BH23</f>
        <v>0</v>
      </c>
      <c r="BJ23" s="19" t="str">
        <f aca="false">IF(BI23=0,"",IF(BI23&lt;&gt;BC23,"erreur de calcul",IF(BF23&lt;&gt;0,"pas de prix",IF(M23&lt;&gt; 0,"pas de quantité","pas de prix, ni de quantité"))))</f>
        <v/>
      </c>
      <c r="BK23" s="19"/>
    </row>
    <row r="24" customFormat="false" ht="16" hidden="false" customHeight="false" outlineLevel="0" collapsed="false">
      <c r="A24" s="0" t="n">
        <v>22</v>
      </c>
      <c r="B24" s="8" t="s">
        <v>24</v>
      </c>
      <c r="C24" s="9" t="s">
        <v>25</v>
      </c>
      <c r="D24" s="9" t="s">
        <v>26</v>
      </c>
      <c r="E24" s="10" t="n">
        <v>1789</v>
      </c>
      <c r="F24" s="9" t="s">
        <v>27</v>
      </c>
      <c r="G24" s="9" t="s">
        <v>27</v>
      </c>
      <c r="H24" s="11" t="n">
        <v>18</v>
      </c>
      <c r="I24" s="11" t="s">
        <v>93</v>
      </c>
      <c r="J24" s="14" t="n">
        <v>4</v>
      </c>
      <c r="K24" s="14"/>
      <c r="L24" s="16"/>
      <c r="M24" s="27" t="n">
        <f aca="false">J24+(K24/20)+(L24/240)</f>
        <v>4</v>
      </c>
      <c r="N24" s="17" t="s">
        <v>94</v>
      </c>
      <c r="O24" s="11"/>
      <c r="P24" s="28"/>
      <c r="Q24" s="28" t="str">
        <f aca="false">IF(O24&lt;&gt;"",P24*M24,"")</f>
        <v/>
      </c>
      <c r="R24" s="28"/>
      <c r="S24" s="28" t="n">
        <f aca="false">R24*$M24</f>
        <v>0</v>
      </c>
      <c r="T24" s="28"/>
      <c r="U24" s="28" t="n">
        <f aca="false">T24*$M24</f>
        <v>0</v>
      </c>
      <c r="V24" s="28"/>
      <c r="W24" s="28" t="n">
        <f aca="false">V24*$M24</f>
        <v>0</v>
      </c>
      <c r="X24" s="28"/>
      <c r="Y24" s="28" t="n">
        <f aca="false">X24*$M24</f>
        <v>0</v>
      </c>
      <c r="Z24" s="29"/>
      <c r="AA24" s="28" t="n">
        <f aca="false">Z24*$M24</f>
        <v>0</v>
      </c>
      <c r="AB24" s="28"/>
      <c r="AC24" s="28" t="n">
        <f aca="false">AB24*$M24</f>
        <v>0</v>
      </c>
      <c r="AD24" s="28"/>
      <c r="AE24" s="28" t="n">
        <f aca="false">AD24*$M24</f>
        <v>0</v>
      </c>
      <c r="AF24" s="28" t="n">
        <v>900</v>
      </c>
      <c r="AG24" s="28" t="n">
        <v>3600</v>
      </c>
      <c r="AH24" s="28"/>
      <c r="AI24" s="28" t="n">
        <f aca="false">AH24*$M24</f>
        <v>0</v>
      </c>
      <c r="AJ24" s="28"/>
      <c r="AK24" s="28" t="n">
        <f aca="false">AJ24*$M24</f>
        <v>0</v>
      </c>
      <c r="AL24" s="28"/>
      <c r="AM24" s="28" t="n">
        <f aca="false">AL24*$M24</f>
        <v>0</v>
      </c>
      <c r="AN24" s="28"/>
      <c r="AO24" s="28" t="n">
        <f aca="false">AN24*$M24</f>
        <v>0</v>
      </c>
      <c r="AP24" s="28"/>
      <c r="AQ24" s="28" t="n">
        <f aca="false">AP24*$M24</f>
        <v>0</v>
      </c>
      <c r="AR24" s="28" t="n">
        <v>36</v>
      </c>
      <c r="AS24" s="28" t="n">
        <v>144</v>
      </c>
      <c r="AT24" s="28"/>
      <c r="AU24" s="28" t="n">
        <f aca="false">AT24*$M24</f>
        <v>0</v>
      </c>
      <c r="AV24" s="28"/>
      <c r="AW24" s="28" t="n">
        <f aca="false">AV24*$M24</f>
        <v>0</v>
      </c>
      <c r="AX24" s="28"/>
      <c r="AY24" s="28" t="n">
        <f aca="false">AX24*$M24</f>
        <v>0</v>
      </c>
      <c r="AZ24" s="28"/>
      <c r="BA24" s="28" t="n">
        <f aca="false">AZ24*$M24</f>
        <v>0</v>
      </c>
      <c r="BB24" s="30" t="n">
        <v>936</v>
      </c>
      <c r="BC24" s="11" t="n">
        <v>3744</v>
      </c>
      <c r="BD24" s="31" t="n">
        <f aca="false">SUM(S24,U24,W24,Y24,AA24,AC24,AE24,AG24,AI24,AK24,AM24,AO24,AQ24,AS24,AU24,AW24,AY24,BA24)</f>
        <v>3744</v>
      </c>
      <c r="BE24" s="28" t="n">
        <f aca="false">BC24-BD24</f>
        <v>0</v>
      </c>
      <c r="BF24" s="32" t="n">
        <f aca="false">SUM(R24,T24,V24,X24,Z24,AB24,AD24,AF24,AH24,AJ24,AL24,AN24,AP24,AR24,AT24,AV24,AX24,AZ24)</f>
        <v>936</v>
      </c>
      <c r="BG24" s="33" t="n">
        <f aca="false">BB24-BF24</f>
        <v>0</v>
      </c>
      <c r="BH24" s="34" t="n">
        <f aca="false">BF24*M24</f>
        <v>3744</v>
      </c>
      <c r="BI24" s="35" t="n">
        <f aca="false">BC24-BH24</f>
        <v>0</v>
      </c>
      <c r="BJ24" s="19" t="str">
        <f aca="false">IF(BI24=0,"",IF(BI24&lt;&gt;BC24,"erreur de calcul",IF(BF24&lt;&gt;0,"pas de prix",IF(M24&lt;&gt; 0,"pas de quantité","pas de prix, ni de quantité"))))</f>
        <v/>
      </c>
      <c r="BK24" s="19"/>
    </row>
    <row r="25" customFormat="false" ht="16" hidden="false" customHeight="false" outlineLevel="0" collapsed="false">
      <c r="A25" s="0" t="n">
        <v>23</v>
      </c>
      <c r="B25" s="8" t="s">
        <v>24</v>
      </c>
      <c r="C25" s="9" t="s">
        <v>25</v>
      </c>
      <c r="D25" s="9" t="s">
        <v>26</v>
      </c>
      <c r="E25" s="10" t="n">
        <v>1789</v>
      </c>
      <c r="F25" s="9" t="s">
        <v>27</v>
      </c>
      <c r="G25" s="9" t="s">
        <v>27</v>
      </c>
      <c r="H25" s="11" t="n">
        <v>18</v>
      </c>
      <c r="I25" s="11" t="s">
        <v>95</v>
      </c>
      <c r="J25" s="14" t="n">
        <v>40</v>
      </c>
      <c r="K25" s="14"/>
      <c r="L25" s="16"/>
      <c r="M25" s="27" t="n">
        <f aca="false">J25+(K25/20)+(L25/240)</f>
        <v>40</v>
      </c>
      <c r="N25" s="17" t="s">
        <v>64</v>
      </c>
      <c r="O25" s="11"/>
      <c r="P25" s="28"/>
      <c r="Q25" s="28" t="str">
        <f aca="false">IF(O25&lt;&gt;"",P25*M25,"")</f>
        <v/>
      </c>
      <c r="R25" s="28" t="n">
        <f aca="false">16000/100</f>
        <v>160</v>
      </c>
      <c r="S25" s="28" t="n">
        <v>6400</v>
      </c>
      <c r="T25" s="28"/>
      <c r="U25" s="28" t="n">
        <f aca="false">T25*$M25</f>
        <v>0</v>
      </c>
      <c r="V25" s="28"/>
      <c r="W25" s="28" t="n">
        <f aca="false">V25*$M25</f>
        <v>0</v>
      </c>
      <c r="X25" s="28"/>
      <c r="Y25" s="28" t="n">
        <f aca="false">X25*$M25</f>
        <v>0</v>
      </c>
      <c r="Z25" s="29"/>
      <c r="AA25" s="28" t="n">
        <f aca="false">Z25*$M25</f>
        <v>0</v>
      </c>
      <c r="AB25" s="28"/>
      <c r="AC25" s="28" t="n">
        <f aca="false">AB25*$M25</f>
        <v>0</v>
      </c>
      <c r="AD25" s="28"/>
      <c r="AE25" s="28" t="n">
        <f aca="false">AD25*$M25</f>
        <v>0</v>
      </c>
      <c r="AF25" s="28"/>
      <c r="AG25" s="28" t="n">
        <f aca="false">AF25*$M25</f>
        <v>0</v>
      </c>
      <c r="AH25" s="28"/>
      <c r="AI25" s="28" t="n">
        <f aca="false">AH25*$M25</f>
        <v>0</v>
      </c>
      <c r="AJ25" s="28"/>
      <c r="AK25" s="28" t="n">
        <f aca="false">AJ25*$M25</f>
        <v>0</v>
      </c>
      <c r="AL25" s="28"/>
      <c r="AM25" s="28" t="n">
        <f aca="false">AL25*$M25</f>
        <v>0</v>
      </c>
      <c r="AN25" s="28"/>
      <c r="AO25" s="28" t="n">
        <f aca="false">AN25*$M25</f>
        <v>0</v>
      </c>
      <c r="AP25" s="28"/>
      <c r="AQ25" s="28" t="n">
        <f aca="false">AP25*$M25</f>
        <v>0</v>
      </c>
      <c r="AR25" s="28"/>
      <c r="AS25" s="28" t="n">
        <f aca="false">AR25*$M25</f>
        <v>0</v>
      </c>
      <c r="AT25" s="28"/>
      <c r="AU25" s="28" t="n">
        <f aca="false">AT25*$M25</f>
        <v>0</v>
      </c>
      <c r="AV25" s="28"/>
      <c r="AW25" s="28" t="n">
        <f aca="false">AV25*$M25</f>
        <v>0</v>
      </c>
      <c r="AX25" s="28"/>
      <c r="AY25" s="28" t="n">
        <f aca="false">AX25*$M25</f>
        <v>0</v>
      </c>
      <c r="AZ25" s="28"/>
      <c r="BA25" s="28" t="n">
        <f aca="false">AZ25*$M25</f>
        <v>0</v>
      </c>
      <c r="BB25" s="30" t="n">
        <f aca="false">16000/100</f>
        <v>160</v>
      </c>
      <c r="BC25" s="11" t="n">
        <v>6400</v>
      </c>
      <c r="BD25" s="31" t="n">
        <f aca="false">SUM(S25,U25,W25,Y25,AA25,AC25,AE25,AG25,AI25,AK25,AM25,AO25,AQ25,AS25,AU25,AW25,AY25,BA25)</f>
        <v>6400</v>
      </c>
      <c r="BE25" s="28" t="n">
        <f aca="false">BC25-BD25</f>
        <v>0</v>
      </c>
      <c r="BF25" s="32" t="n">
        <f aca="false">SUM(R25,T25,V25,X25,Z25,AB25,AD25,AF25,AH25,AJ25,AL25,AN25,AP25,AR25,AT25,AV25,AX25,AZ25)</f>
        <v>160</v>
      </c>
      <c r="BG25" s="33" t="n">
        <f aca="false">BB25-BF25</f>
        <v>0</v>
      </c>
      <c r="BH25" s="34" t="n">
        <f aca="false">BF25*M25</f>
        <v>6400</v>
      </c>
      <c r="BI25" s="35" t="n">
        <f aca="false">BC25-BH25</f>
        <v>0</v>
      </c>
      <c r="BJ25" s="19" t="str">
        <f aca="false">IF(BI25=0,"",IF(BI25&lt;&gt;BC25,"erreur de calcul",IF(BF25&lt;&gt;0,"pas de prix",IF(M25&lt;&gt; 0,"pas de quantité","pas de prix, ni de quantité"))))</f>
        <v/>
      </c>
      <c r="BK25" s="19"/>
    </row>
    <row r="26" customFormat="false" ht="16" hidden="false" customHeight="false" outlineLevel="0" collapsed="false">
      <c r="A26" s="0" t="n">
        <v>24</v>
      </c>
      <c r="B26" s="8" t="s">
        <v>24</v>
      </c>
      <c r="C26" s="9" t="s">
        <v>25</v>
      </c>
      <c r="D26" s="9" t="s">
        <v>26</v>
      </c>
      <c r="E26" s="10" t="n">
        <v>1789</v>
      </c>
      <c r="F26" s="9" t="s">
        <v>27</v>
      </c>
      <c r="G26" s="9" t="s">
        <v>27</v>
      </c>
      <c r="H26" s="11" t="n">
        <v>18</v>
      </c>
      <c r="I26" s="11" t="s">
        <v>96</v>
      </c>
      <c r="J26" s="14" t="n">
        <v>25</v>
      </c>
      <c r="K26" s="14"/>
      <c r="L26" s="16"/>
      <c r="M26" s="27" t="n">
        <f aca="false">J26+(K26/20)+(L26/240)</f>
        <v>25</v>
      </c>
      <c r="N26" s="17" t="s">
        <v>64</v>
      </c>
      <c r="O26" s="11"/>
      <c r="P26" s="28"/>
      <c r="Q26" s="28" t="str">
        <f aca="false">IF(O26&lt;&gt;"",P26*M26,"")</f>
        <v/>
      </c>
      <c r="R26" s="28" t="n">
        <f aca="false">968306/100</f>
        <v>9683.06</v>
      </c>
      <c r="S26" s="28" t="n">
        <v>242076</v>
      </c>
      <c r="T26" s="28"/>
      <c r="U26" s="28" t="n">
        <f aca="false">T26*$M26</f>
        <v>0</v>
      </c>
      <c r="V26" s="28"/>
      <c r="W26" s="28" t="n">
        <f aca="false">V26*$M26</f>
        <v>0</v>
      </c>
      <c r="X26" s="28" t="n">
        <f aca="false">39234/100</f>
        <v>392.34</v>
      </c>
      <c r="Y26" s="28" t="n">
        <v>9808</v>
      </c>
      <c r="Z26" s="29"/>
      <c r="AA26" s="28" t="n">
        <v>3410</v>
      </c>
      <c r="AB26" s="28"/>
      <c r="AC26" s="28" t="n">
        <f aca="false">AB26*$M26</f>
        <v>0</v>
      </c>
      <c r="AD26" s="28"/>
      <c r="AE26" s="28" t="n">
        <f aca="false">AD26*$M26</f>
        <v>0</v>
      </c>
      <c r="AF26" s="28"/>
      <c r="AG26" s="28" t="n">
        <f aca="false">AF26*$M26</f>
        <v>0</v>
      </c>
      <c r="AH26" s="28"/>
      <c r="AI26" s="28" t="n">
        <f aca="false">AH26*$M26</f>
        <v>0</v>
      </c>
      <c r="AJ26" s="28"/>
      <c r="AK26" s="28" t="n">
        <f aca="false">AJ26*$M26</f>
        <v>0</v>
      </c>
      <c r="AL26" s="28" t="n">
        <f aca="false">2665/100</f>
        <v>26.65</v>
      </c>
      <c r="AM26" s="28" t="n">
        <v>666</v>
      </c>
      <c r="AN26" s="28"/>
      <c r="AO26" s="28" t="n">
        <f aca="false">AN26*$M26</f>
        <v>0</v>
      </c>
      <c r="AP26" s="28"/>
      <c r="AQ26" s="28" t="n">
        <f aca="false">AP26*$M26</f>
        <v>0</v>
      </c>
      <c r="AR26" s="28"/>
      <c r="AS26" s="28" t="n">
        <f aca="false">AR26*$M26</f>
        <v>0</v>
      </c>
      <c r="AT26" s="28"/>
      <c r="AU26" s="28" t="n">
        <f aca="false">AT26*$M26</f>
        <v>0</v>
      </c>
      <c r="AV26" s="28"/>
      <c r="AW26" s="28" t="n">
        <f aca="false">AV26*$M26</f>
        <v>0</v>
      </c>
      <c r="AX26" s="28"/>
      <c r="AY26" s="28" t="n">
        <f aca="false">AX26*$M26</f>
        <v>0</v>
      </c>
      <c r="AZ26" s="28" t="n">
        <f aca="false">118115/100</f>
        <v>1181.15</v>
      </c>
      <c r="BA26" s="28" t="n">
        <v>29529</v>
      </c>
      <c r="BB26" s="30" t="n">
        <f aca="false">1141960/100</f>
        <v>11419.6</v>
      </c>
      <c r="BC26" s="11" t="n">
        <v>285489</v>
      </c>
      <c r="BD26" s="31" t="n">
        <f aca="false">SUM(S26,U26,W26,Y26,AA26,AC26,AE26,AG26,AI26,AK26,AM26,AO26,AQ26,AS26,AU26,AW26,AY26,BA26)</f>
        <v>285489</v>
      </c>
      <c r="BE26" s="28" t="n">
        <f aca="false">BC26-BD26</f>
        <v>0</v>
      </c>
      <c r="BF26" s="32" t="n">
        <f aca="false">SUM(R26,T26,V26,X26,Z26,AB26,AD26,AF26,AH26,AJ26,AL26,AN26,AP26,AR26,AT26,AV26,AX26,AZ26)</f>
        <v>11283.2</v>
      </c>
      <c r="BG26" s="33" t="n">
        <f aca="false">BB26-BF26</f>
        <v>136.400000000001</v>
      </c>
      <c r="BH26" s="34" t="n">
        <f aca="false">BF26*M26</f>
        <v>282080</v>
      </c>
      <c r="BI26" s="35" t="n">
        <f aca="false">BC26-BH26</f>
        <v>3409</v>
      </c>
      <c r="BJ26" s="19" t="str">
        <f aca="false">IF(BI26=0,"",IF(BI26&lt;&gt;BC26,"erreur de calcul",IF(BF26&lt;&gt;0,"pas de prix",IF(M26&lt;&gt; 0,"pas de quantité","pas de prix, ni de quantité"))))</f>
        <v>erreur de calcul</v>
      </c>
      <c r="BK26" s="19"/>
    </row>
    <row r="27" customFormat="false" ht="16" hidden="false" customHeight="false" outlineLevel="0" collapsed="false">
      <c r="A27" s="0" t="n">
        <v>25</v>
      </c>
      <c r="B27" s="8" t="s">
        <v>24</v>
      </c>
      <c r="C27" s="9" t="s">
        <v>25</v>
      </c>
      <c r="D27" s="9" t="s">
        <v>26</v>
      </c>
      <c r="E27" s="10" t="n">
        <v>1789</v>
      </c>
      <c r="F27" s="9" t="s">
        <v>27</v>
      </c>
      <c r="G27" s="9" t="s">
        <v>27</v>
      </c>
      <c r="H27" s="11" t="n">
        <v>18</v>
      </c>
      <c r="I27" s="11" t="s">
        <v>97</v>
      </c>
      <c r="J27" s="14" t="n">
        <v>30</v>
      </c>
      <c r="K27" s="14"/>
      <c r="L27" s="16"/>
      <c r="M27" s="27" t="n">
        <f aca="false">J27+(K27/20)+(L27/240)</f>
        <v>30</v>
      </c>
      <c r="N27" s="17" t="s">
        <v>64</v>
      </c>
      <c r="O27" s="11" t="s">
        <v>98</v>
      </c>
      <c r="P27" s="28" t="n">
        <f aca="false">16672/100</f>
        <v>166.72</v>
      </c>
      <c r="Q27" s="28" t="n">
        <v>5002</v>
      </c>
      <c r="R27" s="28"/>
      <c r="S27" s="28" t="n">
        <f aca="false">R27*$M27</f>
        <v>0</v>
      </c>
      <c r="T27" s="28"/>
      <c r="U27" s="28" t="n">
        <f aca="false">T27*$M27</f>
        <v>0</v>
      </c>
      <c r="V27" s="28"/>
      <c r="W27" s="28" t="n">
        <f aca="false">V27*$M27</f>
        <v>0</v>
      </c>
      <c r="X27" s="28"/>
      <c r="Y27" s="28" t="n">
        <f aca="false">X27*$M27</f>
        <v>0</v>
      </c>
      <c r="Z27" s="29"/>
      <c r="AA27" s="28" t="n">
        <f aca="false">Z27*$M27</f>
        <v>0</v>
      </c>
      <c r="AB27" s="28"/>
      <c r="AC27" s="28" t="n">
        <f aca="false">AB27*$M27</f>
        <v>0</v>
      </c>
      <c r="AD27" s="28"/>
      <c r="AE27" s="28" t="n">
        <f aca="false">AD27*$M27</f>
        <v>0</v>
      </c>
      <c r="AF27" s="28"/>
      <c r="AG27" s="28" t="n">
        <f aca="false">AF27*$M27</f>
        <v>0</v>
      </c>
      <c r="AH27" s="28"/>
      <c r="AI27" s="28" t="n">
        <f aca="false">AH27*$M27</f>
        <v>0</v>
      </c>
      <c r="AJ27" s="28"/>
      <c r="AK27" s="28" t="n">
        <f aca="false">AJ27*$M27</f>
        <v>0</v>
      </c>
      <c r="AL27" s="28"/>
      <c r="AM27" s="28" t="n">
        <f aca="false">AL27*$M27</f>
        <v>0</v>
      </c>
      <c r="AN27" s="28"/>
      <c r="AO27" s="28" t="n">
        <f aca="false">AN27*$M27</f>
        <v>0</v>
      </c>
      <c r="AP27" s="28"/>
      <c r="AQ27" s="28" t="n">
        <f aca="false">AP27*$M27</f>
        <v>0</v>
      </c>
      <c r="AR27" s="28"/>
      <c r="AS27" s="28" t="n">
        <f aca="false">AR27*$M27</f>
        <v>0</v>
      </c>
      <c r="AT27" s="28"/>
      <c r="AU27" s="28" t="n">
        <f aca="false">AT27*$M27</f>
        <v>0</v>
      </c>
      <c r="AV27" s="28"/>
      <c r="AW27" s="28" t="n">
        <f aca="false">AV27*$M27</f>
        <v>0</v>
      </c>
      <c r="AX27" s="28"/>
      <c r="AY27" s="28" t="n">
        <f aca="false">AX27*$M27</f>
        <v>0</v>
      </c>
      <c r="AZ27" s="28"/>
      <c r="BA27" s="28" t="n">
        <f aca="false">AZ27*$M27</f>
        <v>0</v>
      </c>
      <c r="BB27" s="30"/>
      <c r="BC27" s="11"/>
      <c r="BD27" s="31" t="n">
        <f aca="false">SUM(S27,U27,W27,Y27,AA27,AC27,AE27,AG27,AI27,AK27,AM27,AO27,AQ27,AS27,AU27,AW27,AY27,BA27)</f>
        <v>0</v>
      </c>
      <c r="BE27" s="28" t="n">
        <f aca="false">BC27-BD27</f>
        <v>0</v>
      </c>
      <c r="BF27" s="32" t="n">
        <f aca="false">SUM(R27,T27,V27,X27,Z27,AB27,AD27,AF27,AH27,AJ27,AL27,AN27,AP27,AR27,AT27,AV27,AX27,AZ27)</f>
        <v>0</v>
      </c>
      <c r="BG27" s="33" t="n">
        <f aca="false">BB27-BF27</f>
        <v>0</v>
      </c>
      <c r="BH27" s="34" t="n">
        <f aca="false">BF27*M27</f>
        <v>0</v>
      </c>
      <c r="BI27" s="35" t="n">
        <f aca="false">BC27-BH27</f>
        <v>0</v>
      </c>
      <c r="BJ27" s="19" t="str">
        <f aca="false">IF(BI27=0,"",IF(BI27&lt;&gt;BC27,"erreur de calcul",IF(BF27&lt;&gt;0,"pas de prix",IF(M27&lt;&gt; 0,"pas de quantité","pas de prix, ni de quantité"))))</f>
        <v/>
      </c>
      <c r="BK27" s="19"/>
    </row>
    <row r="28" customFormat="false" ht="16" hidden="false" customHeight="false" outlineLevel="0" collapsed="false">
      <c r="A28" s="0" t="n">
        <v>26</v>
      </c>
      <c r="B28" s="8" t="s">
        <v>24</v>
      </c>
      <c r="C28" s="9" t="s">
        <v>25</v>
      </c>
      <c r="D28" s="9" t="s">
        <v>26</v>
      </c>
      <c r="E28" s="10" t="n">
        <v>1789</v>
      </c>
      <c r="F28" s="9" t="s">
        <v>27</v>
      </c>
      <c r="G28" s="9" t="s">
        <v>27</v>
      </c>
      <c r="H28" s="11" t="n">
        <v>18</v>
      </c>
      <c r="I28" s="11" t="s">
        <v>99</v>
      </c>
      <c r="J28" s="14" t="n">
        <v>12</v>
      </c>
      <c r="K28" s="14"/>
      <c r="L28" s="16"/>
      <c r="M28" s="27" t="n">
        <f aca="false">J28+(K28/20)+(L28/240)</f>
        <v>12</v>
      </c>
      <c r="N28" s="17" t="s">
        <v>64</v>
      </c>
      <c r="O28" s="11"/>
      <c r="P28" s="28"/>
      <c r="Q28" s="28" t="str">
        <f aca="false">IF(O28&lt;&gt;"",P28*M28,"")</f>
        <v/>
      </c>
      <c r="R28" s="28" t="n">
        <f aca="false">7077/100</f>
        <v>70.77</v>
      </c>
      <c r="S28" s="28" t="n">
        <v>849</v>
      </c>
      <c r="T28" s="28"/>
      <c r="U28" s="28" t="n">
        <f aca="false">T28*$M28</f>
        <v>0</v>
      </c>
      <c r="V28" s="28"/>
      <c r="W28" s="28" t="n">
        <f aca="false">V28*$M28</f>
        <v>0</v>
      </c>
      <c r="X28" s="28"/>
      <c r="Y28" s="28" t="n">
        <f aca="false">X28*$M28</f>
        <v>0</v>
      </c>
      <c r="Z28" s="29"/>
      <c r="AA28" s="28" t="n">
        <v>866</v>
      </c>
      <c r="AB28" s="28"/>
      <c r="AC28" s="28" t="n">
        <f aca="false">AB28*$M28</f>
        <v>0</v>
      </c>
      <c r="AD28" s="28"/>
      <c r="AE28" s="28" t="n">
        <f aca="false">AD28*$M28</f>
        <v>0</v>
      </c>
      <c r="AF28" s="28"/>
      <c r="AG28" s="28" t="n">
        <f aca="false">AF28*$M28</f>
        <v>0</v>
      </c>
      <c r="AH28" s="28"/>
      <c r="AI28" s="28" t="n">
        <f aca="false">AH28*$M28</f>
        <v>0</v>
      </c>
      <c r="AJ28" s="28"/>
      <c r="AK28" s="28" t="n">
        <f aca="false">AJ28*$M28</f>
        <v>0</v>
      </c>
      <c r="AL28" s="28"/>
      <c r="AM28" s="28" t="n">
        <f aca="false">AL28*$M28</f>
        <v>0</v>
      </c>
      <c r="AN28" s="28"/>
      <c r="AO28" s="28" t="n">
        <f aca="false">AN28*$M28</f>
        <v>0</v>
      </c>
      <c r="AP28" s="28"/>
      <c r="AQ28" s="28" t="n">
        <f aca="false">AP28*$M28</f>
        <v>0</v>
      </c>
      <c r="AR28" s="28"/>
      <c r="AS28" s="28" t="n">
        <f aca="false">AR28*$M28</f>
        <v>0</v>
      </c>
      <c r="AT28" s="28"/>
      <c r="AU28" s="28" t="n">
        <f aca="false">AT28*$M28</f>
        <v>0</v>
      </c>
      <c r="AV28" s="28"/>
      <c r="AW28" s="28" t="n">
        <f aca="false">AV28*$M28</f>
        <v>0</v>
      </c>
      <c r="AX28" s="28"/>
      <c r="AY28" s="28" t="n">
        <f aca="false">AX28*$M28</f>
        <v>0</v>
      </c>
      <c r="AZ28" s="28"/>
      <c r="BA28" s="28" t="n">
        <f aca="false">AZ28*$M28</f>
        <v>0</v>
      </c>
      <c r="BB28" s="30" t="n">
        <f aca="false">14294/100</f>
        <v>142.94</v>
      </c>
      <c r="BC28" s="11" t="n">
        <v>1715</v>
      </c>
      <c r="BD28" s="31" t="n">
        <f aca="false">SUM(S28,U28,W28,Y28,AA28,AC28,AE28,AG28,AI28,AK28,AM28,AO28,AQ28,AS28,AU28,AW28,AY28,BA28)</f>
        <v>1715</v>
      </c>
      <c r="BE28" s="28" t="n">
        <f aca="false">BC28-BD28</f>
        <v>0</v>
      </c>
      <c r="BF28" s="32" t="n">
        <f aca="false">SUM(R28,T28,V28,X28,Z28,AB28,AD28,AF28,AH28,AJ28,AL28,AN28,AP28,AR28,AT28,AV28,AX28,AZ28)</f>
        <v>70.77</v>
      </c>
      <c r="BG28" s="33" t="n">
        <f aca="false">BB28-BF28</f>
        <v>72.17</v>
      </c>
      <c r="BH28" s="34" t="n">
        <f aca="false">BF28*M28</f>
        <v>849.24</v>
      </c>
      <c r="BI28" s="35" t="n">
        <f aca="false">BC28-BH28</f>
        <v>865.76</v>
      </c>
      <c r="BJ28" s="19" t="str">
        <f aca="false">IF(BI28=0,"",IF(BI28&lt;&gt;BC28,"erreur de calcul",IF(BF28&lt;&gt;0,"pas de prix",IF(M28&lt;&gt; 0,"pas de quantité","pas de prix, ni de quantité"))))</f>
        <v>erreur de calcul</v>
      </c>
      <c r="BK28" s="19"/>
    </row>
    <row r="29" customFormat="false" ht="16" hidden="false" customHeight="false" outlineLevel="0" collapsed="false">
      <c r="A29" s="0" t="n">
        <v>27</v>
      </c>
      <c r="B29" s="8" t="s">
        <v>24</v>
      </c>
      <c r="C29" s="9" t="s">
        <v>25</v>
      </c>
      <c r="D29" s="9" t="s">
        <v>26</v>
      </c>
      <c r="E29" s="10" t="n">
        <v>1789</v>
      </c>
      <c r="F29" s="9" t="s">
        <v>27</v>
      </c>
      <c r="G29" s="9" t="s">
        <v>27</v>
      </c>
      <c r="H29" s="11" t="n">
        <v>18</v>
      </c>
      <c r="I29" s="11" t="s">
        <v>100</v>
      </c>
      <c r="J29" s="14" t="n">
        <v>13</v>
      </c>
      <c r="K29" s="14"/>
      <c r="L29" s="16"/>
      <c r="M29" s="27" t="n">
        <f aca="false">J29+(K29/20)+(L29/240)</f>
        <v>13</v>
      </c>
      <c r="N29" s="17" t="s">
        <v>64</v>
      </c>
      <c r="O29" s="11"/>
      <c r="P29" s="28"/>
      <c r="Q29" s="28" t="str">
        <f aca="false">IF(O29&lt;&gt;"",P29*M29,"")</f>
        <v/>
      </c>
      <c r="R29" s="28"/>
      <c r="S29" s="28" t="n">
        <f aca="false">R29*$M29</f>
        <v>0</v>
      </c>
      <c r="T29" s="28"/>
      <c r="U29" s="28" t="n">
        <f aca="false">T29*$M29</f>
        <v>0</v>
      </c>
      <c r="V29" s="28"/>
      <c r="W29" s="28" t="n">
        <f aca="false">V29*$M29</f>
        <v>0</v>
      </c>
      <c r="X29" s="28"/>
      <c r="Y29" s="28" t="n">
        <f aca="false">X29*$M29</f>
        <v>0</v>
      </c>
      <c r="Z29" s="29"/>
      <c r="AA29" s="28" t="n">
        <f aca="false">Z29*$M29</f>
        <v>0</v>
      </c>
      <c r="AB29" s="28"/>
      <c r="AC29" s="28" t="n">
        <f aca="false">AB29*$M29</f>
        <v>0</v>
      </c>
      <c r="AD29" s="28"/>
      <c r="AE29" s="28" t="n">
        <f aca="false">AD29*$M29</f>
        <v>0</v>
      </c>
      <c r="AF29" s="28"/>
      <c r="AG29" s="28" t="n">
        <f aca="false">AF29*$M29</f>
        <v>0</v>
      </c>
      <c r="AH29" s="28"/>
      <c r="AI29" s="28" t="n">
        <f aca="false">AH29*$M29</f>
        <v>0</v>
      </c>
      <c r="AJ29" s="28" t="n">
        <f aca="false">7819/100</f>
        <v>78.19</v>
      </c>
      <c r="AK29" s="28" t="n">
        <v>1016</v>
      </c>
      <c r="AL29" s="28" t="n">
        <f aca="false">10382/100</f>
        <v>103.82</v>
      </c>
      <c r="AM29" s="28" t="n">
        <v>1350</v>
      </c>
      <c r="AN29" s="28"/>
      <c r="AO29" s="28" t="n">
        <f aca="false">AN29*$M29</f>
        <v>0</v>
      </c>
      <c r="AP29" s="28"/>
      <c r="AQ29" s="28" t="n">
        <f aca="false">AP29*$M29</f>
        <v>0</v>
      </c>
      <c r="AR29" s="28"/>
      <c r="AS29" s="28" t="n">
        <f aca="false">AR29*$M29</f>
        <v>0</v>
      </c>
      <c r="AT29" s="28"/>
      <c r="AU29" s="28" t="n">
        <f aca="false">AT29*$M29</f>
        <v>0</v>
      </c>
      <c r="AV29" s="28"/>
      <c r="AW29" s="28" t="n">
        <f aca="false">AV29*$M29</f>
        <v>0</v>
      </c>
      <c r="AX29" s="28"/>
      <c r="AY29" s="28" t="n">
        <f aca="false">AX29*$M29</f>
        <v>0</v>
      </c>
      <c r="AZ29" s="28"/>
      <c r="BA29" s="28" t="n">
        <f aca="false">AZ29*$M29</f>
        <v>0</v>
      </c>
      <c r="BB29" s="30" t="n">
        <f aca="false">18201/100</f>
        <v>182.01</v>
      </c>
      <c r="BC29" s="11" t="n">
        <v>2366</v>
      </c>
      <c r="BD29" s="31" t="n">
        <f aca="false">SUM(S29,U29,W29,Y29,AA29,AC29,AE29,AG29,AI29,AK29,AM29,AO29,AQ29,AS29,AU29,AW29,AY29,BA29)</f>
        <v>2366</v>
      </c>
      <c r="BE29" s="28" t="n">
        <f aca="false">BC29-BD29</f>
        <v>0</v>
      </c>
      <c r="BF29" s="32" t="n">
        <f aca="false">SUM(R29,T29,V29,X29,Z29,AB29,AD29,AF29,AH29,AJ29,AL29,AN29,AP29,AR29,AT29,AV29,AX29,AZ29)</f>
        <v>182.01</v>
      </c>
      <c r="BG29" s="33" t="n">
        <f aca="false">BB29-BF29</f>
        <v>0</v>
      </c>
      <c r="BH29" s="34" t="n">
        <f aca="false">BF29*M29</f>
        <v>2366.13</v>
      </c>
      <c r="BI29" s="35" t="n">
        <f aca="false">BC29-BH29</f>
        <v>-0.130000000000109</v>
      </c>
      <c r="BJ29" s="19" t="str">
        <f aca="false">IF(BI29=0,"",IF(BI29&lt;&gt;BC29,"erreur de calcul",IF(BF29&lt;&gt;0,"pas de prix",IF(M29&lt;&gt; 0,"pas de quantité","pas de prix, ni de quantité"))))</f>
        <v>erreur de calcul</v>
      </c>
      <c r="BK29" s="19"/>
    </row>
    <row r="30" customFormat="false" ht="16" hidden="false" customHeight="false" outlineLevel="0" collapsed="false">
      <c r="A30" s="0" t="n">
        <v>28</v>
      </c>
      <c r="B30" s="8" t="s">
        <v>24</v>
      </c>
      <c r="C30" s="9" t="s">
        <v>25</v>
      </c>
      <c r="D30" s="9" t="s">
        <v>26</v>
      </c>
      <c r="E30" s="10" t="n">
        <v>1789</v>
      </c>
      <c r="F30" s="9" t="s">
        <v>27</v>
      </c>
      <c r="G30" s="9" t="s">
        <v>27</v>
      </c>
      <c r="H30" s="11" t="n">
        <v>18</v>
      </c>
      <c r="I30" s="11" t="s">
        <v>101</v>
      </c>
      <c r="J30" s="14" t="n">
        <v>35</v>
      </c>
      <c r="K30" s="14"/>
      <c r="L30" s="16"/>
      <c r="M30" s="27" t="n">
        <f aca="false">J30+(K30/20)+(L30/240)</f>
        <v>35</v>
      </c>
      <c r="N30" s="17" t="s">
        <v>64</v>
      </c>
      <c r="O30" s="11"/>
      <c r="P30" s="28"/>
      <c r="Q30" s="28" t="str">
        <f aca="false">IF(O30&lt;&gt;"",P30*M30,"")</f>
        <v/>
      </c>
      <c r="R30" s="28"/>
      <c r="S30" s="28" t="n">
        <f aca="false">R30*$M30</f>
        <v>0</v>
      </c>
      <c r="T30" s="28"/>
      <c r="U30" s="28" t="n">
        <f aca="false">T30*$M30</f>
        <v>0</v>
      </c>
      <c r="V30" s="28"/>
      <c r="W30" s="28" t="n">
        <f aca="false">V30*$M30</f>
        <v>0</v>
      </c>
      <c r="X30" s="28"/>
      <c r="Y30" s="28" t="n">
        <f aca="false">X30*$M30</f>
        <v>0</v>
      </c>
      <c r="Z30" s="29"/>
      <c r="AA30" s="28" t="n">
        <f aca="false">Z30*$M30</f>
        <v>0</v>
      </c>
      <c r="AB30" s="28"/>
      <c r="AC30" s="28" t="n">
        <f aca="false">AB30*$M30</f>
        <v>0</v>
      </c>
      <c r="AD30" s="28"/>
      <c r="AE30" s="28" t="n">
        <f aca="false">AD30*$M30</f>
        <v>0</v>
      </c>
      <c r="AF30" s="28"/>
      <c r="AG30" s="28" t="n">
        <f aca="false">AF30*$M30</f>
        <v>0</v>
      </c>
      <c r="AH30" s="28"/>
      <c r="AI30" s="28" t="n">
        <f aca="false">AH30*$M30</f>
        <v>0</v>
      </c>
      <c r="AJ30" s="28"/>
      <c r="AK30" s="28" t="n">
        <f aca="false">AJ30*$M30</f>
        <v>0</v>
      </c>
      <c r="AL30" s="28" t="n">
        <f aca="false">65277/100</f>
        <v>652.77</v>
      </c>
      <c r="AM30" s="28" t="n">
        <v>22847</v>
      </c>
      <c r="AN30" s="28"/>
      <c r="AO30" s="28" t="n">
        <f aca="false">AN30*$M30</f>
        <v>0</v>
      </c>
      <c r="AP30" s="28"/>
      <c r="AQ30" s="28" t="n">
        <f aca="false">AP30*$M30</f>
        <v>0</v>
      </c>
      <c r="AR30" s="28"/>
      <c r="AS30" s="28" t="n">
        <f aca="false">AR30*$M30</f>
        <v>0</v>
      </c>
      <c r="AT30" s="28"/>
      <c r="AU30" s="28" t="n">
        <f aca="false">AT30*$M30</f>
        <v>0</v>
      </c>
      <c r="AV30" s="28"/>
      <c r="AW30" s="28" t="n">
        <f aca="false">AV30*$M30</f>
        <v>0</v>
      </c>
      <c r="AX30" s="28"/>
      <c r="AY30" s="28" t="n">
        <f aca="false">AX30*$M30</f>
        <v>0</v>
      </c>
      <c r="AZ30" s="28"/>
      <c r="BA30" s="28" t="n">
        <f aca="false">AZ30*$M30</f>
        <v>0</v>
      </c>
      <c r="BB30" s="30" t="n">
        <f aca="false">65277/100</f>
        <v>652.77</v>
      </c>
      <c r="BC30" s="11" t="n">
        <v>22847</v>
      </c>
      <c r="BD30" s="31" t="n">
        <f aca="false">SUM(S30,U30,W30,Y30,AA30,AC30,AE30,AG30,AI30,AK30,AM30,AO30,AQ30,AS30,AU30,AW30,AY30,BA30)</f>
        <v>22847</v>
      </c>
      <c r="BE30" s="28" t="n">
        <f aca="false">BC30-BD30</f>
        <v>0</v>
      </c>
      <c r="BF30" s="32" t="n">
        <f aca="false">SUM(R30,T30,V30,X30,Z30,AB30,AD30,AF30,AH30,AJ30,AL30,AN30,AP30,AR30,AT30,AV30,AX30,AZ30)</f>
        <v>652.77</v>
      </c>
      <c r="BG30" s="33" t="n">
        <f aca="false">BB30-BF30</f>
        <v>0</v>
      </c>
      <c r="BH30" s="34" t="n">
        <f aca="false">BF30*M30</f>
        <v>22846.95</v>
      </c>
      <c r="BI30" s="35" t="n">
        <f aca="false">BC30-BH30</f>
        <v>0.0499999999992724</v>
      </c>
      <c r="BJ30" s="19" t="str">
        <f aca="false">IF(BI30=0,"",IF(BI30&lt;&gt;BC30,"erreur de calcul",IF(BF30&lt;&gt;0,"pas de prix",IF(M30&lt;&gt; 0,"pas de quantité","pas de prix, ni de quantité"))))</f>
        <v>erreur de calcul</v>
      </c>
      <c r="BK30" s="19"/>
    </row>
    <row r="31" customFormat="false" ht="16" hidden="false" customHeight="false" outlineLevel="0" collapsed="false">
      <c r="A31" s="0" t="n">
        <v>29</v>
      </c>
      <c r="B31" s="8" t="s">
        <v>24</v>
      </c>
      <c r="C31" s="9" t="s">
        <v>25</v>
      </c>
      <c r="D31" s="9" t="s">
        <v>26</v>
      </c>
      <c r="E31" s="10" t="n">
        <v>1789</v>
      </c>
      <c r="F31" s="9" t="s">
        <v>27</v>
      </c>
      <c r="G31" s="9" t="s">
        <v>27</v>
      </c>
      <c r="H31" s="11" t="n">
        <v>18</v>
      </c>
      <c r="I31" s="11" t="s">
        <v>102</v>
      </c>
      <c r="J31" s="14" t="n">
        <v>47</v>
      </c>
      <c r="K31" s="14"/>
      <c r="L31" s="16"/>
      <c r="M31" s="27" t="n">
        <f aca="false">J31+(K31/20)+(L31/240)</f>
        <v>47</v>
      </c>
      <c r="N31" s="17" t="s">
        <v>64</v>
      </c>
      <c r="O31" s="11"/>
      <c r="P31" s="28"/>
      <c r="Q31" s="28" t="str">
        <f aca="false">IF(O31&lt;&gt;"",P31*M31,"")</f>
        <v/>
      </c>
      <c r="R31" s="28" t="n">
        <f aca="false">8467/100</f>
        <v>84.67</v>
      </c>
      <c r="S31" s="28" t="n">
        <v>3979</v>
      </c>
      <c r="T31" s="28"/>
      <c r="U31" s="28" t="n">
        <f aca="false">T31*$M31</f>
        <v>0</v>
      </c>
      <c r="V31" s="28"/>
      <c r="W31" s="28" t="n">
        <f aca="false">V31*$M31</f>
        <v>0</v>
      </c>
      <c r="X31" s="28"/>
      <c r="Y31" s="28" t="n">
        <f aca="false">X31*$M31</f>
        <v>0</v>
      </c>
      <c r="Z31" s="29"/>
      <c r="AA31" s="28" t="n">
        <f aca="false">Z31*$M31</f>
        <v>0</v>
      </c>
      <c r="AB31" s="28"/>
      <c r="AC31" s="28" t="n">
        <f aca="false">AB31*$M31</f>
        <v>0</v>
      </c>
      <c r="AD31" s="28"/>
      <c r="AE31" s="28" t="n">
        <f aca="false">AD31*$M31</f>
        <v>0</v>
      </c>
      <c r="AF31" s="28"/>
      <c r="AG31" s="28" t="n">
        <f aca="false">AF31*$M31</f>
        <v>0</v>
      </c>
      <c r="AH31" s="28"/>
      <c r="AI31" s="28" t="n">
        <f aca="false">AH31*$M31</f>
        <v>0</v>
      </c>
      <c r="AJ31" s="28"/>
      <c r="AK31" s="28" t="n">
        <f aca="false">AJ31*$M31</f>
        <v>0</v>
      </c>
      <c r="AL31" s="28"/>
      <c r="AM31" s="28" t="n">
        <f aca="false">AL31*$M31</f>
        <v>0</v>
      </c>
      <c r="AN31" s="28"/>
      <c r="AO31" s="28" t="n">
        <f aca="false">AN31*$M31</f>
        <v>0</v>
      </c>
      <c r="AP31" s="28"/>
      <c r="AQ31" s="28" t="n">
        <f aca="false">AP31*$M31</f>
        <v>0</v>
      </c>
      <c r="AR31" s="28"/>
      <c r="AS31" s="28" t="n">
        <f aca="false">AR31*$M31</f>
        <v>0</v>
      </c>
      <c r="AT31" s="28"/>
      <c r="AU31" s="28" t="n">
        <f aca="false">AT31*$M31</f>
        <v>0</v>
      </c>
      <c r="AV31" s="28"/>
      <c r="AW31" s="28" t="n">
        <f aca="false">AV31*$M31</f>
        <v>0</v>
      </c>
      <c r="AX31" s="28"/>
      <c r="AY31" s="28" t="n">
        <f aca="false">AX31*$M31</f>
        <v>0</v>
      </c>
      <c r="AZ31" s="28"/>
      <c r="BA31" s="28" t="n">
        <f aca="false">AZ31*$M31</f>
        <v>0</v>
      </c>
      <c r="BB31" s="30" t="n">
        <f aca="false">8467/100</f>
        <v>84.67</v>
      </c>
      <c r="BC31" s="11" t="n">
        <v>3979</v>
      </c>
      <c r="BD31" s="31" t="n">
        <f aca="false">SUM(S31,U31,W31,Y31,AA31,AC31,AE31,AG31,AI31,AK31,AM31,AO31,AQ31,AS31,AU31,AW31,AY31,BA31)</f>
        <v>3979</v>
      </c>
      <c r="BE31" s="28" t="n">
        <f aca="false">BC31-BD31</f>
        <v>0</v>
      </c>
      <c r="BF31" s="32" t="n">
        <f aca="false">SUM(R31,T31,V31,X31,Z31,AB31,AD31,AF31,AH31,AJ31,AL31,AN31,AP31,AR31,AT31,AV31,AX31,AZ31)</f>
        <v>84.67</v>
      </c>
      <c r="BG31" s="33" t="n">
        <f aca="false">BB31-BF31</f>
        <v>0</v>
      </c>
      <c r="BH31" s="34" t="n">
        <f aca="false">BF31*M31</f>
        <v>3979.49</v>
      </c>
      <c r="BI31" s="35" t="n">
        <f aca="false">BC31-BH31</f>
        <v>-0.490000000000237</v>
      </c>
      <c r="BJ31" s="19" t="str">
        <f aca="false">IF(BI31=0,"",IF(BI31&lt;&gt;BC31,"erreur de calcul",IF(BF31&lt;&gt;0,"pas de prix",IF(M31&lt;&gt; 0,"pas de quantité","pas de prix, ni de quantité"))))</f>
        <v>erreur de calcul</v>
      </c>
      <c r="BK31" s="19"/>
    </row>
    <row r="32" customFormat="false" ht="16" hidden="false" customHeight="false" outlineLevel="0" collapsed="false">
      <c r="A32" s="0" t="n">
        <v>30</v>
      </c>
      <c r="B32" s="8" t="s">
        <v>24</v>
      </c>
      <c r="C32" s="9" t="s">
        <v>25</v>
      </c>
      <c r="D32" s="9" t="s">
        <v>26</v>
      </c>
      <c r="E32" s="10" t="n">
        <v>1789</v>
      </c>
      <c r="F32" s="9" t="s">
        <v>27</v>
      </c>
      <c r="G32" s="9" t="s">
        <v>27</v>
      </c>
      <c r="H32" s="11" t="n">
        <v>18</v>
      </c>
      <c r="I32" s="11" t="s">
        <v>103</v>
      </c>
      <c r="J32" s="14" t="n">
        <v>475</v>
      </c>
      <c r="K32" s="14"/>
      <c r="L32" s="16"/>
      <c r="M32" s="27" t="n">
        <f aca="false">J32+(K32/20)+(L32/240)</f>
        <v>475</v>
      </c>
      <c r="N32" s="17" t="s">
        <v>64</v>
      </c>
      <c r="O32" s="11"/>
      <c r="P32" s="28"/>
      <c r="Q32" s="28" t="str">
        <f aca="false">IF(O32&lt;&gt;"",P32*M32,"")</f>
        <v/>
      </c>
      <c r="R32" s="28"/>
      <c r="S32" s="28" t="n">
        <f aca="false">R32*$M32</f>
        <v>0</v>
      </c>
      <c r="T32" s="28"/>
      <c r="U32" s="28" t="n">
        <f aca="false">T32*$M32</f>
        <v>0</v>
      </c>
      <c r="V32" s="28" t="n">
        <f aca="false">1746/100</f>
        <v>17.46</v>
      </c>
      <c r="W32" s="28" t="n">
        <v>8293</v>
      </c>
      <c r="X32" s="28"/>
      <c r="Y32" s="28" t="n">
        <f aca="false">X32*$M32</f>
        <v>0</v>
      </c>
      <c r="Z32" s="29"/>
      <c r="AA32" s="28" t="n">
        <f aca="false">Z32*$M32</f>
        <v>0</v>
      </c>
      <c r="AB32" s="28"/>
      <c r="AC32" s="28" t="n">
        <f aca="false">AB32*$M32</f>
        <v>0</v>
      </c>
      <c r="AD32" s="28"/>
      <c r="AE32" s="28" t="n">
        <f aca="false">AD32*$M32</f>
        <v>0</v>
      </c>
      <c r="AF32" s="28"/>
      <c r="AG32" s="28" t="n">
        <f aca="false">AF32*$M32</f>
        <v>0</v>
      </c>
      <c r="AH32" s="28"/>
      <c r="AI32" s="28" t="n">
        <f aca="false">AH32*$M32</f>
        <v>0</v>
      </c>
      <c r="AJ32" s="28" t="n">
        <f aca="false">1667/100</f>
        <v>16.67</v>
      </c>
      <c r="AK32" s="28" t="n">
        <v>7918</v>
      </c>
      <c r="AL32" s="28"/>
      <c r="AM32" s="28" t="n">
        <f aca="false">AL32*$M32</f>
        <v>0</v>
      </c>
      <c r="AN32" s="28"/>
      <c r="AO32" s="28" t="n">
        <f aca="false">AN32*$M32</f>
        <v>0</v>
      </c>
      <c r="AP32" s="28"/>
      <c r="AQ32" s="28" t="n">
        <f aca="false">AP32*$M32</f>
        <v>0</v>
      </c>
      <c r="AR32" s="28"/>
      <c r="AS32" s="28" t="n">
        <f aca="false">AR32*$M32</f>
        <v>0</v>
      </c>
      <c r="AT32" s="28"/>
      <c r="AU32" s="28" t="n">
        <f aca="false">AT32*$M32</f>
        <v>0</v>
      </c>
      <c r="AV32" s="28"/>
      <c r="AW32" s="28" t="n">
        <f aca="false">AV32*$M32</f>
        <v>0</v>
      </c>
      <c r="AX32" s="28"/>
      <c r="AY32" s="28" t="n">
        <f aca="false">AX32*$M32</f>
        <v>0</v>
      </c>
      <c r="AZ32" s="28"/>
      <c r="BA32" s="28" t="n">
        <f aca="false">AZ32*$M32</f>
        <v>0</v>
      </c>
      <c r="BB32" s="30" t="n">
        <f aca="false">3413/100</f>
        <v>34.13</v>
      </c>
      <c r="BC32" s="11" t="n">
        <v>16211</v>
      </c>
      <c r="BD32" s="31" t="n">
        <f aca="false">SUM(S32,U32,W32,Y32,AA32,AC32,AE32,AG32,AI32,AK32,AM32,AO32,AQ32,AS32,AU32,AW32,AY32,BA32)</f>
        <v>16211</v>
      </c>
      <c r="BE32" s="28" t="n">
        <f aca="false">BC32-BD32</f>
        <v>0</v>
      </c>
      <c r="BF32" s="32" t="n">
        <f aca="false">SUM(R32,T32,V32,X32,Z32,AB32,AD32,AF32,AH32,AJ32,AL32,AN32,AP32,AR32,AT32,AV32,AX32,AZ32)</f>
        <v>34.13</v>
      </c>
      <c r="BG32" s="33" t="n">
        <f aca="false">BB32-BF32</f>
        <v>0</v>
      </c>
      <c r="BH32" s="34" t="n">
        <f aca="false">BF32*M32</f>
        <v>16211.75</v>
      </c>
      <c r="BI32" s="35" t="n">
        <f aca="false">BC32-BH32</f>
        <v>-0.750000000001819</v>
      </c>
      <c r="BJ32" s="19" t="str">
        <f aca="false">IF(BI32=0,"",IF(BI32&lt;&gt;BC32,"erreur de calcul",IF(BF32&lt;&gt;0,"pas de prix",IF(M32&lt;&gt; 0,"pas de quantité","pas de prix, ni de quantité"))))</f>
        <v>erreur de calcul</v>
      </c>
      <c r="BK32" s="19"/>
    </row>
    <row r="33" customFormat="false" ht="16" hidden="false" customHeight="false" outlineLevel="0" collapsed="false">
      <c r="A33" s="0" t="n">
        <v>31</v>
      </c>
      <c r="B33" s="8" t="s">
        <v>24</v>
      </c>
      <c r="C33" s="9" t="s">
        <v>25</v>
      </c>
      <c r="D33" s="9" t="s">
        <v>26</v>
      </c>
      <c r="E33" s="10" t="n">
        <v>1789</v>
      </c>
      <c r="F33" s="9" t="s">
        <v>27</v>
      </c>
      <c r="G33" s="9" t="s">
        <v>27</v>
      </c>
      <c r="H33" s="11" t="n">
        <v>18</v>
      </c>
      <c r="I33" s="11" t="s">
        <v>104</v>
      </c>
      <c r="J33" s="14" t="n">
        <v>310</v>
      </c>
      <c r="K33" s="14"/>
      <c r="L33" s="16"/>
      <c r="M33" s="27" t="n">
        <f aca="false">J33+(K33/20)+(L33/240)</f>
        <v>310</v>
      </c>
      <c r="N33" s="17" t="s">
        <v>64</v>
      </c>
      <c r="O33" s="11"/>
      <c r="P33" s="28"/>
      <c r="Q33" s="28" t="str">
        <f aca="false">IF(O33&lt;&gt;"",P33*M33,"")</f>
        <v/>
      </c>
      <c r="R33" s="28"/>
      <c r="S33" s="28" t="n">
        <f aca="false">R33*$M33</f>
        <v>0</v>
      </c>
      <c r="T33" s="28"/>
      <c r="U33" s="28" t="n">
        <f aca="false">T33*$M33</f>
        <v>0</v>
      </c>
      <c r="V33" s="28" t="n">
        <f aca="false">1087/100</f>
        <v>10.87</v>
      </c>
      <c r="W33" s="28" t="n">
        <v>3370</v>
      </c>
      <c r="X33" s="28" t="n">
        <f aca="false">285/100</f>
        <v>2.85</v>
      </c>
      <c r="Y33" s="28" t="n">
        <v>883</v>
      </c>
      <c r="Z33" s="29"/>
      <c r="AA33" s="28" t="n">
        <f aca="false">Z33*$M33</f>
        <v>0</v>
      </c>
      <c r="AB33" s="28"/>
      <c r="AC33" s="28" t="n">
        <f aca="false">AB33*$M33</f>
        <v>0</v>
      </c>
      <c r="AD33" s="28"/>
      <c r="AE33" s="28" t="n">
        <f aca="false">AD33*$M33</f>
        <v>0</v>
      </c>
      <c r="AF33" s="28"/>
      <c r="AG33" s="28" t="n">
        <f aca="false">AF33*$M33</f>
        <v>0</v>
      </c>
      <c r="AH33" s="28"/>
      <c r="AI33" s="28" t="n">
        <f aca="false">AH33*$M33</f>
        <v>0</v>
      </c>
      <c r="AJ33" s="28"/>
      <c r="AK33" s="28" t="n">
        <f aca="false">AJ33*$M33</f>
        <v>0</v>
      </c>
      <c r="AL33" s="28"/>
      <c r="AM33" s="28" t="n">
        <f aca="false">AL33*$M33</f>
        <v>0</v>
      </c>
      <c r="AN33" s="28"/>
      <c r="AO33" s="28" t="n">
        <f aca="false">AN33*$M33</f>
        <v>0</v>
      </c>
      <c r="AP33" s="28"/>
      <c r="AQ33" s="28" t="n">
        <f aca="false">AP33*$M33</f>
        <v>0</v>
      </c>
      <c r="AR33" s="28"/>
      <c r="AS33" s="28" t="n">
        <f aca="false">AR33*$M33</f>
        <v>0</v>
      </c>
      <c r="AT33" s="28"/>
      <c r="AU33" s="28" t="n">
        <f aca="false">AT33*$M33</f>
        <v>0</v>
      </c>
      <c r="AV33" s="28"/>
      <c r="AW33" s="28" t="n">
        <f aca="false">AV33*$M33</f>
        <v>0</v>
      </c>
      <c r="AX33" s="28"/>
      <c r="AY33" s="28" t="n">
        <f aca="false">AX33*$M33</f>
        <v>0</v>
      </c>
      <c r="AZ33" s="28"/>
      <c r="BA33" s="28" t="n">
        <f aca="false">AZ33*$M33</f>
        <v>0</v>
      </c>
      <c r="BB33" s="30" t="n">
        <f aca="false">1372/100</f>
        <v>13.72</v>
      </c>
      <c r="BC33" s="11" t="n">
        <v>4253</v>
      </c>
      <c r="BD33" s="31" t="n">
        <f aca="false">SUM(S33,U33,W33,Y33,AA33,AC33,AE33,AG33,AI33,AK33,AM33,AO33,AQ33,AS33,AU33,AW33,AY33,BA33)</f>
        <v>4253</v>
      </c>
      <c r="BE33" s="28" t="n">
        <f aca="false">BC33-BD33</f>
        <v>0</v>
      </c>
      <c r="BF33" s="32" t="n">
        <f aca="false">SUM(R33,T33,V33,X33,Z33,AB33,AD33,AF33,AH33,AJ33,AL33,AN33,AP33,AR33,AT33,AV33,AX33,AZ33)</f>
        <v>13.72</v>
      </c>
      <c r="BG33" s="33" t="n">
        <f aca="false">BB33-BF33</f>
        <v>0</v>
      </c>
      <c r="BH33" s="34" t="n">
        <f aca="false">BF33*M33</f>
        <v>4253.2</v>
      </c>
      <c r="BI33" s="35" t="n">
        <f aca="false">BC33-BH33</f>
        <v>-0.199999999999818</v>
      </c>
      <c r="BJ33" s="19" t="str">
        <f aca="false">IF(BI33=0,"",IF(BI33&lt;&gt;BC33,"erreur de calcul",IF(BF33&lt;&gt;0,"pas de prix",IF(M33&lt;&gt; 0,"pas de quantité","pas de prix, ni de quantité"))))</f>
        <v>erreur de calcul</v>
      </c>
      <c r="BK33" s="19"/>
    </row>
    <row r="34" customFormat="false" ht="16" hidden="false" customHeight="false" outlineLevel="0" collapsed="false">
      <c r="A34" s="0" t="n">
        <v>32</v>
      </c>
      <c r="B34" s="8" t="s">
        <v>24</v>
      </c>
      <c r="C34" s="9" t="s">
        <v>25</v>
      </c>
      <c r="D34" s="9" t="s">
        <v>26</v>
      </c>
      <c r="E34" s="10" t="n">
        <v>1789</v>
      </c>
      <c r="F34" s="9" t="s">
        <v>27</v>
      </c>
      <c r="G34" s="9" t="s">
        <v>27</v>
      </c>
      <c r="H34" s="11" t="n">
        <v>18</v>
      </c>
      <c r="I34" s="11" t="s">
        <v>105</v>
      </c>
      <c r="J34" s="14" t="n">
        <v>570</v>
      </c>
      <c r="K34" s="14"/>
      <c r="L34" s="16"/>
      <c r="M34" s="27" t="n">
        <f aca="false">J34+(K34/20)+(L34/240)</f>
        <v>570</v>
      </c>
      <c r="N34" s="17" t="s">
        <v>64</v>
      </c>
      <c r="O34" s="11"/>
      <c r="P34" s="28"/>
      <c r="Q34" s="28" t="str">
        <f aca="false">IF(O34&lt;&gt;"",P34*M34,"")</f>
        <v/>
      </c>
      <c r="R34" s="28"/>
      <c r="S34" s="28" t="n">
        <f aca="false">R34*$M34</f>
        <v>0</v>
      </c>
      <c r="T34" s="28"/>
      <c r="U34" s="28" t="n">
        <f aca="false">T34*$M34</f>
        <v>0</v>
      </c>
      <c r="V34" s="28" t="n">
        <f aca="false">7423/100</f>
        <v>74.23</v>
      </c>
      <c r="W34" s="28" t="n">
        <v>42311</v>
      </c>
      <c r="X34" s="28" t="n">
        <f aca="false">798/100</f>
        <v>7.98</v>
      </c>
      <c r="Y34" s="28" t="n">
        <v>4549</v>
      </c>
      <c r="Z34" s="29" t="n">
        <f aca="false">2068/100</f>
        <v>20.68</v>
      </c>
      <c r="AA34" s="28" t="n">
        <v>8368</v>
      </c>
      <c r="AB34" s="28"/>
      <c r="AC34" s="28" t="n">
        <f aca="false">AB34*$M34</f>
        <v>0</v>
      </c>
      <c r="AD34" s="28" t="n">
        <f aca="false">226/100</f>
        <v>2.26</v>
      </c>
      <c r="AE34" s="28" t="n">
        <v>1288</v>
      </c>
      <c r="AF34" s="28"/>
      <c r="AG34" s="28" t="n">
        <f aca="false">AF34*$M34</f>
        <v>0</v>
      </c>
      <c r="AH34" s="28"/>
      <c r="AI34" s="28" t="n">
        <f aca="false">AH34*$M34</f>
        <v>0</v>
      </c>
      <c r="AJ34" s="28"/>
      <c r="AK34" s="28" t="n">
        <f aca="false">AJ34*$M34</f>
        <v>0</v>
      </c>
      <c r="AL34" s="28"/>
      <c r="AM34" s="28" t="n">
        <f aca="false">AL34*$M34</f>
        <v>0</v>
      </c>
      <c r="AN34" s="28"/>
      <c r="AO34" s="28" t="n">
        <f aca="false">AN34*$M34</f>
        <v>0</v>
      </c>
      <c r="AP34" s="28"/>
      <c r="AQ34" s="28" t="n">
        <f aca="false">AP34*$M34</f>
        <v>0</v>
      </c>
      <c r="AR34" s="28"/>
      <c r="AS34" s="28" t="n">
        <f aca="false">AR34*$M34</f>
        <v>0</v>
      </c>
      <c r="AT34" s="28"/>
      <c r="AU34" s="28" t="n">
        <f aca="false">AT34*$M34</f>
        <v>0</v>
      </c>
      <c r="AV34" s="28"/>
      <c r="AW34" s="28" t="n">
        <f aca="false">AV34*$M34</f>
        <v>0</v>
      </c>
      <c r="AX34" s="28"/>
      <c r="AY34" s="28" t="n">
        <f aca="false">AX34*$M34</f>
        <v>0</v>
      </c>
      <c r="AZ34" s="28"/>
      <c r="BA34" s="28" t="n">
        <f aca="false">AZ34*$M34</f>
        <v>0</v>
      </c>
      <c r="BB34" s="30" t="n">
        <f aca="false">10515/100</f>
        <v>105.15</v>
      </c>
      <c r="BC34" s="11" t="n">
        <v>56516</v>
      </c>
      <c r="BD34" s="31" t="n">
        <f aca="false">SUM(S34,U34,W34,Y34,AA34,AC34,AE34,AG34,AI34,AK34,AM34,AO34,AQ34,AS34,AU34,AW34,AY34,BA34)</f>
        <v>56516</v>
      </c>
      <c r="BE34" s="28" t="n">
        <f aca="false">BC34-BD34</f>
        <v>0</v>
      </c>
      <c r="BF34" s="32" t="n">
        <f aca="false">SUM(R34,T34,V34,X34,Z34,AB34,AD34,AF34,AH34,AJ34,AL34,AN34,AP34,AR34,AT34,AV34,AX34,AZ34)</f>
        <v>105.15</v>
      </c>
      <c r="BG34" s="33" t="n">
        <f aca="false">BB34-BF34</f>
        <v>0</v>
      </c>
      <c r="BH34" s="34" t="n">
        <f aca="false">BF34*M34</f>
        <v>59935.5</v>
      </c>
      <c r="BI34" s="35" t="n">
        <f aca="false">BC34-BH34</f>
        <v>-3419.5</v>
      </c>
      <c r="BJ34" s="19" t="str">
        <f aca="false">IF(BI34=0,"",IF(BI34&lt;&gt;BC34,"erreur de calcul",IF(BF34&lt;&gt;0,"pas de prix",IF(M34&lt;&gt; 0,"pas de quantité","pas de prix, ni de quantité"))))</f>
        <v>erreur de calcul</v>
      </c>
      <c r="BK34" s="19"/>
    </row>
    <row r="35" customFormat="false" ht="16" hidden="false" customHeight="false" outlineLevel="0" collapsed="false">
      <c r="A35" s="0" t="n">
        <v>33</v>
      </c>
      <c r="B35" s="8" t="s">
        <v>24</v>
      </c>
      <c r="C35" s="9" t="s">
        <v>25</v>
      </c>
      <c r="D35" s="9" t="s">
        <v>26</v>
      </c>
      <c r="E35" s="10" t="n">
        <v>1789</v>
      </c>
      <c r="F35" s="9" t="s">
        <v>27</v>
      </c>
      <c r="G35" s="9" t="s">
        <v>27</v>
      </c>
      <c r="H35" s="11" t="n">
        <v>18</v>
      </c>
      <c r="I35" s="11" t="s">
        <v>106</v>
      </c>
      <c r="J35" s="14"/>
      <c r="K35" s="14" t="n">
        <v>40</v>
      </c>
      <c r="L35" s="16"/>
      <c r="M35" s="27" t="n">
        <f aca="false">J35+(K35/20)+(L35/240)</f>
        <v>2</v>
      </c>
      <c r="N35" s="17" t="s">
        <v>66</v>
      </c>
      <c r="O35" s="11"/>
      <c r="P35" s="28"/>
      <c r="Q35" s="28" t="str">
        <f aca="false">IF(O35&lt;&gt;"",P35*M35,"")</f>
        <v/>
      </c>
      <c r="R35" s="28"/>
      <c r="S35" s="28" t="n">
        <f aca="false">R35*$M35</f>
        <v>0</v>
      </c>
      <c r="T35" s="28"/>
      <c r="U35" s="28" t="n">
        <f aca="false">T35*$M35</f>
        <v>0</v>
      </c>
      <c r="V35" s="28"/>
      <c r="W35" s="28" t="n">
        <f aca="false">V35*$M35</f>
        <v>0</v>
      </c>
      <c r="X35" s="28" t="n">
        <v>892</v>
      </c>
      <c r="Y35" s="28" t="n">
        <v>1784</v>
      </c>
      <c r="Z35" s="29"/>
      <c r="AA35" s="28" t="n">
        <f aca="false">Z35*$M35</f>
        <v>0</v>
      </c>
      <c r="AB35" s="28"/>
      <c r="AC35" s="28" t="n">
        <f aca="false">AB35*$M35</f>
        <v>0</v>
      </c>
      <c r="AD35" s="28"/>
      <c r="AE35" s="28" t="n">
        <f aca="false">AD35*$M35</f>
        <v>0</v>
      </c>
      <c r="AF35" s="28"/>
      <c r="AG35" s="28" t="n">
        <f aca="false">AF35*$M35</f>
        <v>0</v>
      </c>
      <c r="AH35" s="28"/>
      <c r="AI35" s="28" t="n">
        <f aca="false">AH35*$M35</f>
        <v>0</v>
      </c>
      <c r="AJ35" s="28" t="n">
        <v>1961</v>
      </c>
      <c r="AK35" s="28" t="n">
        <v>3922</v>
      </c>
      <c r="AL35" s="28"/>
      <c r="AM35" s="28" t="n">
        <f aca="false">AL35*$M35</f>
        <v>0</v>
      </c>
      <c r="AN35" s="28"/>
      <c r="AO35" s="28" t="n">
        <f aca="false">AN35*$M35</f>
        <v>0</v>
      </c>
      <c r="AP35" s="28"/>
      <c r="AQ35" s="28" t="n">
        <f aca="false">AP35*$M35</f>
        <v>0</v>
      </c>
      <c r="AR35" s="28"/>
      <c r="AS35" s="28" t="n">
        <f aca="false">AR35*$M35</f>
        <v>0</v>
      </c>
      <c r="AT35" s="28"/>
      <c r="AU35" s="28" t="n">
        <f aca="false">AT35*$M35</f>
        <v>0</v>
      </c>
      <c r="AV35" s="28"/>
      <c r="AW35" s="28" t="n">
        <f aca="false">AV35*$M35</f>
        <v>0</v>
      </c>
      <c r="AX35" s="28"/>
      <c r="AY35" s="28" t="n">
        <f aca="false">AX35*$M35</f>
        <v>0</v>
      </c>
      <c r="AZ35" s="28"/>
      <c r="BA35" s="28" t="n">
        <f aca="false">AZ35*$M35</f>
        <v>0</v>
      </c>
      <c r="BB35" s="30" t="n">
        <v>2853</v>
      </c>
      <c r="BC35" s="11" t="n">
        <v>5706</v>
      </c>
      <c r="BD35" s="31" t="n">
        <f aca="false">SUM(S35,U35,W35,Y35,AA35,AC35,AE35,AG35,AI35,AK35,AM35,AO35,AQ35,AS35,AU35,AW35,AY35,BA35)</f>
        <v>5706</v>
      </c>
      <c r="BE35" s="28" t="n">
        <f aca="false">BC35-BD35</f>
        <v>0</v>
      </c>
      <c r="BF35" s="32" t="n">
        <f aca="false">SUM(R35,T35,V35,X35,Z35,AB35,AD35,AF35,AH35,AJ35,AL35,AN35,AP35,AR35,AT35,AV35,AX35,AZ35)</f>
        <v>2853</v>
      </c>
      <c r="BG35" s="33" t="n">
        <f aca="false">BB35-BF35</f>
        <v>0</v>
      </c>
      <c r="BH35" s="34" t="n">
        <f aca="false">BF35*M35</f>
        <v>5706</v>
      </c>
      <c r="BI35" s="35" t="n">
        <f aca="false">BC35-BH35</f>
        <v>0</v>
      </c>
      <c r="BJ35" s="19" t="str">
        <f aca="false">IF(BI35=0,"",IF(BI35&lt;&gt;BC35,"erreur de calcul",IF(BF35&lt;&gt;0,"pas de prix",IF(M35&lt;&gt; 0,"pas de quantité","pas de prix, ni de quantité"))))</f>
        <v/>
      </c>
      <c r="BK35" s="19"/>
    </row>
    <row r="36" customFormat="false" ht="16" hidden="false" customHeight="false" outlineLevel="0" collapsed="false">
      <c r="A36" s="0" t="n">
        <v>34</v>
      </c>
      <c r="B36" s="8" t="s">
        <v>24</v>
      </c>
      <c r="C36" s="9" t="s">
        <v>25</v>
      </c>
      <c r="D36" s="9" t="s">
        <v>26</v>
      </c>
      <c r="E36" s="10" t="n">
        <v>1789</v>
      </c>
      <c r="F36" s="9" t="s">
        <v>27</v>
      </c>
      <c r="G36" s="9" t="s">
        <v>27</v>
      </c>
      <c r="H36" s="11" t="n">
        <v>18</v>
      </c>
      <c r="I36" s="11" t="s">
        <v>107</v>
      </c>
      <c r="J36" s="14" t="n">
        <v>180</v>
      </c>
      <c r="K36" s="14"/>
      <c r="L36" s="16"/>
      <c r="M36" s="27" t="n">
        <f aca="false">J36+(K36/20)+(L36/240)</f>
        <v>180</v>
      </c>
      <c r="N36" s="17" t="s">
        <v>64</v>
      </c>
      <c r="O36" s="11"/>
      <c r="P36" s="28"/>
      <c r="Q36" s="28" t="str">
        <f aca="false">IF(O36&lt;&gt;"",P36*M36,"")</f>
        <v/>
      </c>
      <c r="R36" s="28"/>
      <c r="S36" s="28" t="n">
        <f aca="false">R36*$M36</f>
        <v>0</v>
      </c>
      <c r="T36" s="28"/>
      <c r="U36" s="28" t="n">
        <f aca="false">T36*$M36</f>
        <v>0</v>
      </c>
      <c r="V36" s="28"/>
      <c r="W36" s="28" t="n">
        <f aca="false">V36*$M36</f>
        <v>0</v>
      </c>
      <c r="X36" s="28"/>
      <c r="Y36" s="28" t="n">
        <f aca="false">X36*$M36</f>
        <v>0</v>
      </c>
      <c r="Z36" s="29"/>
      <c r="AA36" s="28" t="n">
        <f aca="false">Z36*$M36</f>
        <v>0</v>
      </c>
      <c r="AB36" s="28"/>
      <c r="AC36" s="28" t="n">
        <f aca="false">AB36*$M36</f>
        <v>0</v>
      </c>
      <c r="AD36" s="28"/>
      <c r="AE36" s="28" t="n">
        <f aca="false">AD36*$M36</f>
        <v>0</v>
      </c>
      <c r="AF36" s="28"/>
      <c r="AG36" s="28" t="n">
        <f aca="false">AF36*$M36</f>
        <v>0</v>
      </c>
      <c r="AH36" s="28"/>
      <c r="AI36" s="28" t="n">
        <f aca="false">AH36*$M36</f>
        <v>0</v>
      </c>
      <c r="AJ36" s="28" t="n">
        <f aca="false">28680/100</f>
        <v>286.8</v>
      </c>
      <c r="AK36" s="28" t="n">
        <v>51624</v>
      </c>
      <c r="AL36" s="28"/>
      <c r="AM36" s="28" t="n">
        <f aca="false">AL36*$M36</f>
        <v>0</v>
      </c>
      <c r="AN36" s="28"/>
      <c r="AO36" s="28" t="n">
        <f aca="false">AN36*$M36</f>
        <v>0</v>
      </c>
      <c r="AP36" s="28"/>
      <c r="AQ36" s="28" t="n">
        <f aca="false">AP36*$M36</f>
        <v>0</v>
      </c>
      <c r="AR36" s="28"/>
      <c r="AS36" s="28" t="n">
        <f aca="false">AR36*$M36</f>
        <v>0</v>
      </c>
      <c r="AT36" s="28"/>
      <c r="AU36" s="28" t="n">
        <f aca="false">AT36*$M36</f>
        <v>0</v>
      </c>
      <c r="AV36" s="28"/>
      <c r="AW36" s="28" t="n">
        <f aca="false">AV36*$M36</f>
        <v>0</v>
      </c>
      <c r="AX36" s="28"/>
      <c r="AY36" s="28" t="n">
        <f aca="false">AX36*$M36</f>
        <v>0</v>
      </c>
      <c r="AZ36" s="28"/>
      <c r="BA36" s="28" t="n">
        <f aca="false">AZ36*$M36</f>
        <v>0</v>
      </c>
      <c r="BB36" s="30" t="n">
        <f aca="false">28680/100</f>
        <v>286.8</v>
      </c>
      <c r="BC36" s="11" t="n">
        <v>51624</v>
      </c>
      <c r="BD36" s="31" t="n">
        <f aca="false">SUM(S36,U36,W36,Y36,AA36,AC36,AE36,AG36,AI36,AK36,AM36,AO36,AQ36,AS36,AU36,AW36,AY36,BA36)</f>
        <v>51624</v>
      </c>
      <c r="BE36" s="28" t="n">
        <f aca="false">BC36-BD36</f>
        <v>0</v>
      </c>
      <c r="BF36" s="32" t="n">
        <f aca="false">SUM(R36,T36,V36,X36,Z36,AB36,AD36,AF36,AH36,AJ36,AL36,AN36,AP36,AR36,AT36,AV36,AX36,AZ36)</f>
        <v>286.8</v>
      </c>
      <c r="BG36" s="33" t="n">
        <f aca="false">BB36-BF36</f>
        <v>0</v>
      </c>
      <c r="BH36" s="34" t="n">
        <f aca="false">BF36*M36</f>
        <v>51624</v>
      </c>
      <c r="BI36" s="35" t="n">
        <f aca="false">BC36-BH36</f>
        <v>0</v>
      </c>
      <c r="BJ36" s="19" t="str">
        <f aca="false">IF(BI36=0,"",IF(BI36&lt;&gt;BC36,"erreur de calcul",IF(BF36&lt;&gt;0,"pas de prix",IF(M36&lt;&gt; 0,"pas de quantité","pas de prix, ni de quantité"))))</f>
        <v/>
      </c>
      <c r="BK36" s="19"/>
    </row>
    <row r="37" customFormat="false" ht="16" hidden="false" customHeight="false" outlineLevel="0" collapsed="false">
      <c r="A37" s="0" t="n">
        <v>35</v>
      </c>
      <c r="B37" s="8" t="s">
        <v>24</v>
      </c>
      <c r="C37" s="9" t="s">
        <v>25</v>
      </c>
      <c r="D37" s="9" t="s">
        <v>26</v>
      </c>
      <c r="E37" s="10" t="n">
        <v>1789</v>
      </c>
      <c r="F37" s="9" t="s">
        <v>27</v>
      </c>
      <c r="G37" s="9" t="s">
        <v>27</v>
      </c>
      <c r="H37" s="11" t="n">
        <v>18</v>
      </c>
      <c r="I37" s="11" t="s">
        <v>108</v>
      </c>
      <c r="J37" s="14" t="n">
        <v>11</v>
      </c>
      <c r="K37" s="14"/>
      <c r="L37" s="16"/>
      <c r="M37" s="27" t="n">
        <f aca="false">J37+(K37/20)+(L37/240)</f>
        <v>11</v>
      </c>
      <c r="N37" s="17" t="s">
        <v>64</v>
      </c>
      <c r="O37" s="11" t="s">
        <v>109</v>
      </c>
      <c r="P37" s="28" t="n">
        <f aca="false">121700/100</f>
        <v>1217</v>
      </c>
      <c r="Q37" s="28" t="n">
        <v>13387</v>
      </c>
      <c r="R37" s="28"/>
      <c r="S37" s="28" t="n">
        <f aca="false">R37*$M37</f>
        <v>0</v>
      </c>
      <c r="T37" s="28"/>
      <c r="U37" s="28" t="n">
        <f aca="false">T37*$M37</f>
        <v>0</v>
      </c>
      <c r="V37" s="28"/>
      <c r="W37" s="28" t="n">
        <f aca="false">V37*$M37</f>
        <v>0</v>
      </c>
      <c r="X37" s="28"/>
      <c r="Y37" s="28" t="n">
        <f aca="false">X37*$M37</f>
        <v>0</v>
      </c>
      <c r="Z37" s="29"/>
      <c r="AA37" s="28" t="n">
        <f aca="false">Z37*$M37</f>
        <v>0</v>
      </c>
      <c r="AB37" s="28"/>
      <c r="AC37" s="28" t="n">
        <f aca="false">AB37*$M37</f>
        <v>0</v>
      </c>
      <c r="AD37" s="28"/>
      <c r="AE37" s="28" t="n">
        <f aca="false">AD37*$M37</f>
        <v>0</v>
      </c>
      <c r="AF37" s="28"/>
      <c r="AG37" s="28" t="n">
        <f aca="false">AF37*$M37</f>
        <v>0</v>
      </c>
      <c r="AH37" s="28"/>
      <c r="AI37" s="28" t="n">
        <f aca="false">AH37*$M37</f>
        <v>0</v>
      </c>
      <c r="AJ37" s="28"/>
      <c r="AK37" s="28" t="n">
        <f aca="false">AJ37*$M37</f>
        <v>0</v>
      </c>
      <c r="AL37" s="28" t="n">
        <f aca="false">1784/100</f>
        <v>17.84</v>
      </c>
      <c r="AM37" s="28" t="n">
        <v>196</v>
      </c>
      <c r="AN37" s="28" t="n">
        <f aca="false">7942/100</f>
        <v>79.42</v>
      </c>
      <c r="AO37" s="28" t="n">
        <v>874</v>
      </c>
      <c r="AP37" s="28"/>
      <c r="AQ37" s="28" t="n">
        <f aca="false">AP37*$M37</f>
        <v>0</v>
      </c>
      <c r="AR37" s="28" t="n">
        <f aca="false">13980/100</f>
        <v>139.8</v>
      </c>
      <c r="AS37" s="28" t="n">
        <v>1538</v>
      </c>
      <c r="AT37" s="28" t="n">
        <f aca="false">96390/100</f>
        <v>963.9</v>
      </c>
      <c r="AU37" s="28" t="n">
        <v>10603</v>
      </c>
      <c r="AV37" s="28"/>
      <c r="AW37" s="28" t="n">
        <f aca="false">AV37*$M37</f>
        <v>0</v>
      </c>
      <c r="AX37" s="28"/>
      <c r="AY37" s="28" t="n">
        <f aca="false">AX37*$M37</f>
        <v>0</v>
      </c>
      <c r="AZ37" s="28"/>
      <c r="BA37" s="28" t="n">
        <f aca="false">AZ37*$M37</f>
        <v>0</v>
      </c>
      <c r="BB37" s="30" t="n">
        <f aca="false">120096/100</f>
        <v>1200.96</v>
      </c>
      <c r="BC37" s="11" t="n">
        <v>13211</v>
      </c>
      <c r="BD37" s="31" t="n">
        <f aca="false">SUM(S37,U37,W37,Y37,AA37,AC37,AE37,AG37,AI37,AK37,AM37,AO37,AQ37,AS37,AU37,AW37,AY37,BA37)</f>
        <v>13211</v>
      </c>
      <c r="BE37" s="28" t="n">
        <f aca="false">BC37-BD37</f>
        <v>0</v>
      </c>
      <c r="BF37" s="32" t="n">
        <f aca="false">SUM(R37,T37,V37,X37,Z37,AB37,AD37,AF37,AH37,AJ37,AL37,AN37,AP37,AR37,AT37,AV37,AX37,AZ37)</f>
        <v>1200.96</v>
      </c>
      <c r="BG37" s="33" t="n">
        <f aca="false">BB37-BF37</f>
        <v>0</v>
      </c>
      <c r="BH37" s="34" t="n">
        <f aca="false">BF37*M37</f>
        <v>13210.56</v>
      </c>
      <c r="BI37" s="35" t="n">
        <f aca="false">BC37-BH37</f>
        <v>0.43999999999869</v>
      </c>
      <c r="BJ37" s="19" t="str">
        <f aca="false">IF(BI37=0,"",IF(BI37&lt;&gt;BC37,"erreur de calcul",IF(BF37&lt;&gt;0,"pas de prix",IF(M37&lt;&gt; 0,"pas de quantité","pas de prix, ni de quantité"))))</f>
        <v>erreur de calcul</v>
      </c>
      <c r="BK37" s="19"/>
    </row>
    <row r="38" customFormat="false" ht="16" hidden="false" customHeight="false" outlineLevel="0" collapsed="false">
      <c r="A38" s="0" t="n">
        <v>36</v>
      </c>
      <c r="B38" s="8" t="s">
        <v>24</v>
      </c>
      <c r="C38" s="9" t="s">
        <v>25</v>
      </c>
      <c r="D38" s="9" t="s">
        <v>26</v>
      </c>
      <c r="E38" s="10" t="n">
        <v>1789</v>
      </c>
      <c r="F38" s="9" t="s">
        <v>27</v>
      </c>
      <c r="G38" s="9" t="s">
        <v>27</v>
      </c>
      <c r="H38" s="11" t="n">
        <v>18</v>
      </c>
      <c r="I38" s="11" t="s">
        <v>110</v>
      </c>
      <c r="J38" s="14" t="n">
        <v>12</v>
      </c>
      <c r="K38" s="14"/>
      <c r="L38" s="16"/>
      <c r="M38" s="27" t="n">
        <f aca="false">J38+(K38/20)+(L38/240)</f>
        <v>12</v>
      </c>
      <c r="N38" s="17" t="s">
        <v>64</v>
      </c>
      <c r="O38" s="11" t="s">
        <v>109</v>
      </c>
      <c r="P38" s="28" t="n">
        <f aca="false">20419/100</f>
        <v>204.19</v>
      </c>
      <c r="Q38" s="28" t="n">
        <v>2450</v>
      </c>
      <c r="R38" s="28" t="n">
        <f aca="false">30663/100</f>
        <v>306.63</v>
      </c>
      <c r="S38" s="28" t="n">
        <v>3679</v>
      </c>
      <c r="T38" s="28"/>
      <c r="U38" s="28" t="n">
        <f aca="false">T38*$M38</f>
        <v>0</v>
      </c>
      <c r="V38" s="28"/>
      <c r="W38" s="28" t="n">
        <f aca="false">V38*$M38</f>
        <v>0</v>
      </c>
      <c r="X38" s="28"/>
      <c r="Y38" s="28" t="n">
        <f aca="false">X38*$M38</f>
        <v>0</v>
      </c>
      <c r="Z38" s="29"/>
      <c r="AA38" s="28" t="n">
        <f aca="false">Z38*$M38</f>
        <v>0</v>
      </c>
      <c r="AB38" s="28"/>
      <c r="AC38" s="28" t="n">
        <f aca="false">AB38*$M38</f>
        <v>0</v>
      </c>
      <c r="AD38" s="28"/>
      <c r="AE38" s="28" t="n">
        <f aca="false">AD38*$M38</f>
        <v>0</v>
      </c>
      <c r="AF38" s="28"/>
      <c r="AG38" s="28" t="n">
        <f aca="false">AF38*$M38</f>
        <v>0</v>
      </c>
      <c r="AH38" s="28"/>
      <c r="AI38" s="28" t="n">
        <f aca="false">AH38*$M38</f>
        <v>0</v>
      </c>
      <c r="AJ38" s="28"/>
      <c r="AK38" s="28" t="n">
        <f aca="false">AJ38*$M38</f>
        <v>0</v>
      </c>
      <c r="AL38" s="28"/>
      <c r="AM38" s="28" t="n">
        <f aca="false">AL38*$M38</f>
        <v>0</v>
      </c>
      <c r="AN38" s="28" t="n">
        <f aca="false">114207/100</f>
        <v>1142.07</v>
      </c>
      <c r="AO38" s="28" t="n">
        <v>13705</v>
      </c>
      <c r="AP38" s="28" t="n">
        <f aca="false">2100/100</f>
        <v>21</v>
      </c>
      <c r="AQ38" s="28" t="n">
        <v>252</v>
      </c>
      <c r="AR38" s="28" t="n">
        <f aca="false">16107/100</f>
        <v>161.07</v>
      </c>
      <c r="AS38" s="28" t="n">
        <v>1933</v>
      </c>
      <c r="AT38" s="28" t="n">
        <f aca="false">553069/100</f>
        <v>5530.69</v>
      </c>
      <c r="AU38" s="28" t="n">
        <v>66368</v>
      </c>
      <c r="AV38" s="28" t="n">
        <f aca="false">6160/100</f>
        <v>61.6</v>
      </c>
      <c r="AW38" s="28" t="n">
        <v>739</v>
      </c>
      <c r="AX38" s="28" t="n">
        <f aca="false">2640/100</f>
        <v>26.4</v>
      </c>
      <c r="AY38" s="28" t="n">
        <v>317</v>
      </c>
      <c r="AZ38" s="28" t="n">
        <f aca="false">8767/100</f>
        <v>87.67</v>
      </c>
      <c r="BA38" s="36" t="n">
        <v>1085</v>
      </c>
      <c r="BB38" s="30" t="n">
        <f aca="false">733753/100</f>
        <v>7337.53</v>
      </c>
      <c r="BC38" s="11" t="n">
        <v>88078</v>
      </c>
      <c r="BD38" s="31" t="n">
        <f aca="false">SUM(S38,U38,W38,Y38,AA38,AC38,AE38,AG38,AI38,AK38,AM38,AO38,AQ38,AS38,AU38,AW38,AY38,BA38)</f>
        <v>88078</v>
      </c>
      <c r="BE38" s="28" t="n">
        <f aca="false">BC38-BD38</f>
        <v>0</v>
      </c>
      <c r="BF38" s="32" t="n">
        <f aca="false">SUM(R38,T38,V38,X38,Z38,AB38,AD38,AF38,AH38,AJ38,AL38,AN38,AP38,AR38,AT38,AV38,AX38,AZ38)</f>
        <v>7337.13</v>
      </c>
      <c r="BG38" s="33" t="n">
        <f aca="false">BB38-BF38</f>
        <v>0.400000000000546</v>
      </c>
      <c r="BH38" s="34" t="n">
        <f aca="false">BF38*M38</f>
        <v>88045.56</v>
      </c>
      <c r="BI38" s="35" t="n">
        <f aca="false">BC38-BH38</f>
        <v>32.4400000000023</v>
      </c>
      <c r="BJ38" s="19" t="str">
        <f aca="false">IF(BI38=0,"",IF(BI38&lt;&gt;BC38,"erreur de calcul",IF(BF38&lt;&gt;0,"pas de prix",IF(M38&lt;&gt; 0,"pas de quantité","pas de prix, ni de quantité"))))</f>
        <v>erreur de calcul</v>
      </c>
      <c r="BK38" s="19"/>
    </row>
    <row r="39" customFormat="false" ht="16" hidden="false" customHeight="false" outlineLevel="0" collapsed="false">
      <c r="A39" s="0" t="n">
        <v>37</v>
      </c>
      <c r="B39" s="8" t="s">
        <v>24</v>
      </c>
      <c r="C39" s="9" t="s">
        <v>25</v>
      </c>
      <c r="D39" s="9" t="s">
        <v>26</v>
      </c>
      <c r="E39" s="10" t="n">
        <v>1789</v>
      </c>
      <c r="F39" s="9" t="s">
        <v>27</v>
      </c>
      <c r="G39" s="9" t="s">
        <v>27</v>
      </c>
      <c r="H39" s="11" t="n">
        <v>18</v>
      </c>
      <c r="I39" s="11" t="s">
        <v>111</v>
      </c>
      <c r="J39" s="14" t="n">
        <v>10</v>
      </c>
      <c r="K39" s="14"/>
      <c r="L39" s="16"/>
      <c r="M39" s="27" t="n">
        <f aca="false">J39+(K39/20)+(L39/240)</f>
        <v>10</v>
      </c>
      <c r="N39" s="17" t="s">
        <v>64</v>
      </c>
      <c r="O39" s="11"/>
      <c r="P39" s="28"/>
      <c r="Q39" s="28" t="str">
        <f aca="false">IF(O39&lt;&gt;"",P39*M39,"")</f>
        <v/>
      </c>
      <c r="R39" s="28"/>
      <c r="S39" s="28" t="n">
        <f aca="false">R39*$M39</f>
        <v>0</v>
      </c>
      <c r="T39" s="28"/>
      <c r="U39" s="28" t="n">
        <f aca="false">T39*$M39</f>
        <v>0</v>
      </c>
      <c r="V39" s="28"/>
      <c r="W39" s="28" t="n">
        <f aca="false">V39*$M39</f>
        <v>0</v>
      </c>
      <c r="X39" s="28"/>
      <c r="Y39" s="28" t="n">
        <f aca="false">X39*$M39</f>
        <v>0</v>
      </c>
      <c r="Z39" s="29"/>
      <c r="AA39" s="28" t="n">
        <f aca="false">Z39*$M39</f>
        <v>0</v>
      </c>
      <c r="AB39" s="28"/>
      <c r="AC39" s="28" t="n">
        <f aca="false">AB39*$M39</f>
        <v>0</v>
      </c>
      <c r="AD39" s="28"/>
      <c r="AE39" s="28" t="n">
        <f aca="false">AD39*$M39</f>
        <v>0</v>
      </c>
      <c r="AF39" s="28"/>
      <c r="AG39" s="28" t="n">
        <f aca="false">AF39*$M39</f>
        <v>0</v>
      </c>
      <c r="AH39" s="28"/>
      <c r="AI39" s="28" t="n">
        <f aca="false">AH39*$M39</f>
        <v>0</v>
      </c>
      <c r="AJ39" s="28"/>
      <c r="AK39" s="28" t="n">
        <f aca="false">AJ39*$M39</f>
        <v>0</v>
      </c>
      <c r="AL39" s="28"/>
      <c r="AM39" s="28" t="n">
        <f aca="false">AL39*$M39</f>
        <v>0</v>
      </c>
      <c r="AN39" s="28"/>
      <c r="AO39" s="28" t="n">
        <f aca="false">AN39*$M39</f>
        <v>0</v>
      </c>
      <c r="AP39" s="28"/>
      <c r="AQ39" s="28" t="n">
        <f aca="false">AP39*$M39</f>
        <v>0</v>
      </c>
      <c r="AR39" s="28"/>
      <c r="AS39" s="28" t="n">
        <f aca="false">AR39*$M39</f>
        <v>0</v>
      </c>
      <c r="AT39" s="28"/>
      <c r="AU39" s="28" t="n">
        <f aca="false">AT39*$M39</f>
        <v>0</v>
      </c>
      <c r="AV39" s="28"/>
      <c r="AW39" s="28" t="n">
        <f aca="false">AV39*$M39</f>
        <v>0</v>
      </c>
      <c r="AX39" s="28"/>
      <c r="AY39" s="28" t="n">
        <f aca="false">AX39*$M39</f>
        <v>0</v>
      </c>
      <c r="AZ39" s="28" t="n">
        <f aca="false">16133/100</f>
        <v>161.33</v>
      </c>
      <c r="BA39" s="28" t="n">
        <v>1613</v>
      </c>
      <c r="BB39" s="30"/>
      <c r="BC39" s="11" t="n">
        <v>1613</v>
      </c>
      <c r="BD39" s="31" t="n">
        <f aca="false">SUM(S39,U39,W39,Y39,AA39,AC39,AE39,AG39,AI39,AK39,AM39,AO39,AQ39,AS39,AU39,AW39,AY39,BA39)</f>
        <v>1613</v>
      </c>
      <c r="BE39" s="28" t="n">
        <f aca="false">BC39-BD39</f>
        <v>0</v>
      </c>
      <c r="BF39" s="32" t="n">
        <f aca="false">SUM(R39,T39,V39,X39,Z39,AB39,AD39,AF39,AH39,AJ39,AL39,AN39,AP39,AR39,AT39,AV39,AX39,AZ39)</f>
        <v>161.33</v>
      </c>
      <c r="BG39" s="33" t="n">
        <f aca="false">BB39-BF39</f>
        <v>-161.33</v>
      </c>
      <c r="BH39" s="34" t="n">
        <f aca="false">BF39*M39</f>
        <v>1613.3</v>
      </c>
      <c r="BI39" s="35" t="n">
        <f aca="false">BC39-BH39</f>
        <v>-0.300000000000182</v>
      </c>
      <c r="BJ39" s="19" t="str">
        <f aca="false">IF(BI39=0,"",IF(BI39&lt;&gt;BC39,"erreur de calcul",IF(BF39&lt;&gt;0,"pas de prix",IF(M39&lt;&gt; 0,"pas de quantité","pas de prix, ni de quantité"))))</f>
        <v>erreur de calcul</v>
      </c>
      <c r="BK39" s="19"/>
    </row>
    <row r="40" customFormat="false" ht="16" hidden="false" customHeight="false" outlineLevel="0" collapsed="false">
      <c r="A40" s="0" t="n">
        <v>38</v>
      </c>
      <c r="B40" s="8" t="s">
        <v>24</v>
      </c>
      <c r="C40" s="9" t="s">
        <v>25</v>
      </c>
      <c r="D40" s="9" t="s">
        <v>26</v>
      </c>
      <c r="E40" s="10" t="n">
        <v>1789</v>
      </c>
      <c r="F40" s="9" t="s">
        <v>27</v>
      </c>
      <c r="G40" s="9" t="s">
        <v>27</v>
      </c>
      <c r="H40" s="11" t="n">
        <v>18</v>
      </c>
      <c r="I40" s="11" t="s">
        <v>112</v>
      </c>
      <c r="J40" s="14" t="n">
        <v>100</v>
      </c>
      <c r="K40" s="14"/>
      <c r="L40" s="16"/>
      <c r="M40" s="27" t="n">
        <f aca="false">J40+(K40/20)+(L40/240)</f>
        <v>100</v>
      </c>
      <c r="N40" s="17" t="s">
        <v>64</v>
      </c>
      <c r="O40" s="11"/>
      <c r="P40" s="28"/>
      <c r="Q40" s="28" t="str">
        <f aca="false">IF(O40&lt;&gt;"",P40*M40,"")</f>
        <v/>
      </c>
      <c r="R40" s="28" t="n">
        <f aca="false">69730/100</f>
        <v>697.3</v>
      </c>
      <c r="S40" s="28" t="n">
        <v>69730</v>
      </c>
      <c r="T40" s="28"/>
      <c r="U40" s="28" t="n">
        <f aca="false">T40*$M40</f>
        <v>0</v>
      </c>
      <c r="V40" s="28"/>
      <c r="W40" s="28" t="n">
        <f aca="false">V40*$M40</f>
        <v>0</v>
      </c>
      <c r="X40" s="28"/>
      <c r="Y40" s="28" t="n">
        <f aca="false">X40*$M40</f>
        <v>0</v>
      </c>
      <c r="Z40" s="29"/>
      <c r="AA40" s="28" t="n">
        <f aca="false">Z40*$M40</f>
        <v>0</v>
      </c>
      <c r="AB40" s="28"/>
      <c r="AC40" s="28" t="n">
        <f aca="false">AB40*$M40</f>
        <v>0</v>
      </c>
      <c r="AD40" s="28"/>
      <c r="AE40" s="28" t="n">
        <f aca="false">AD40*$M40</f>
        <v>0</v>
      </c>
      <c r="AF40" s="28"/>
      <c r="AG40" s="28" t="n">
        <f aca="false">AF40*$M40</f>
        <v>0</v>
      </c>
      <c r="AH40" s="28"/>
      <c r="AI40" s="28" t="n">
        <f aca="false">AH40*$M40</f>
        <v>0</v>
      </c>
      <c r="AJ40" s="28"/>
      <c r="AK40" s="28" t="n">
        <f aca="false">AJ40*$M40</f>
        <v>0</v>
      </c>
      <c r="AL40" s="28"/>
      <c r="AM40" s="28" t="n">
        <f aca="false">AL40*$M40</f>
        <v>0</v>
      </c>
      <c r="AN40" s="28"/>
      <c r="AO40" s="28" t="n">
        <f aca="false">AN40*$M40</f>
        <v>0</v>
      </c>
      <c r="AP40" s="28"/>
      <c r="AQ40" s="28" t="n">
        <f aca="false">AP40*$M40</f>
        <v>0</v>
      </c>
      <c r="AR40" s="28"/>
      <c r="AS40" s="28" t="n">
        <f aca="false">AR40*$M40</f>
        <v>0</v>
      </c>
      <c r="AT40" s="28"/>
      <c r="AU40" s="28" t="n">
        <f aca="false">AT40*$M40</f>
        <v>0</v>
      </c>
      <c r="AV40" s="28"/>
      <c r="AW40" s="28" t="n">
        <f aca="false">AV40*$M40</f>
        <v>0</v>
      </c>
      <c r="AX40" s="28"/>
      <c r="AY40" s="28" t="n">
        <f aca="false">AX40*$M40</f>
        <v>0</v>
      </c>
      <c r="AZ40" s="28"/>
      <c r="BA40" s="28" t="n">
        <f aca="false">AZ40*$M40</f>
        <v>0</v>
      </c>
      <c r="BB40" s="30" t="n">
        <f aca="false">69730/100</f>
        <v>697.3</v>
      </c>
      <c r="BC40" s="11" t="n">
        <v>69730</v>
      </c>
      <c r="BD40" s="31" t="n">
        <f aca="false">SUM(S40,U40,W40,Y40,AA40,AC40,AE40,AG40,AI40,AK40,AM40,AO40,AQ40,AS40,AU40,AW40,AY40,BA40)</f>
        <v>69730</v>
      </c>
      <c r="BE40" s="28" t="n">
        <f aca="false">BC40-BD40</f>
        <v>0</v>
      </c>
      <c r="BF40" s="32" t="n">
        <f aca="false">SUM(R40,T40,V40,X40,Z40,AB40,AD40,AF40,AH40,AJ40,AL40,AN40,AP40,AR40,AT40,AV40,AX40,AZ40)</f>
        <v>697.3</v>
      </c>
      <c r="BG40" s="33" t="n">
        <f aca="false">BB40-BF40</f>
        <v>0</v>
      </c>
      <c r="BH40" s="34" t="n">
        <f aca="false">BF40*M40</f>
        <v>69730</v>
      </c>
      <c r="BI40" s="35" t="n">
        <f aca="false">BC40-BH40</f>
        <v>0</v>
      </c>
      <c r="BJ40" s="19" t="str">
        <f aca="false">IF(BI40=0,"",IF(BI40&lt;&gt;BC40,"erreur de calcul",IF(BF40&lt;&gt;0,"pas de prix",IF(M40&lt;&gt; 0,"pas de quantité","pas de prix, ni de quantité"))))</f>
        <v/>
      </c>
      <c r="BK40" s="19" t="s">
        <v>113</v>
      </c>
    </row>
    <row r="41" customFormat="false" ht="16" hidden="false" customHeight="false" outlineLevel="0" collapsed="false">
      <c r="A41" s="0" t="n">
        <v>39</v>
      </c>
      <c r="B41" s="8" t="s">
        <v>24</v>
      </c>
      <c r="C41" s="9" t="s">
        <v>25</v>
      </c>
      <c r="D41" s="9" t="s">
        <v>26</v>
      </c>
      <c r="E41" s="10" t="n">
        <v>1789</v>
      </c>
      <c r="F41" s="9" t="s">
        <v>27</v>
      </c>
      <c r="G41" s="9" t="s">
        <v>27</v>
      </c>
      <c r="H41" s="11" t="n">
        <v>18</v>
      </c>
      <c r="I41" s="11" t="s">
        <v>112</v>
      </c>
      <c r="J41" s="14" t="n">
        <v>50</v>
      </c>
      <c r="K41" s="14"/>
      <c r="L41" s="16"/>
      <c r="M41" s="27" t="n">
        <f aca="false">J41+(K41/20)+(L41/240)</f>
        <v>50</v>
      </c>
      <c r="N41" s="17" t="s">
        <v>64</v>
      </c>
      <c r="O41" s="11"/>
      <c r="P41" s="28"/>
      <c r="Q41" s="28" t="str">
        <f aca="false">IF(O41&lt;&gt;"",P41*M41,"")</f>
        <v/>
      </c>
      <c r="R41" s="28"/>
      <c r="S41" s="28" t="n">
        <f aca="false">R41*$M41</f>
        <v>0</v>
      </c>
      <c r="T41" s="28"/>
      <c r="U41" s="28" t="n">
        <f aca="false">T41*$M41</f>
        <v>0</v>
      </c>
      <c r="V41" s="28"/>
      <c r="W41" s="28" t="n">
        <f aca="false">V41*$M41</f>
        <v>0</v>
      </c>
      <c r="X41" s="28" t="n">
        <f aca="false">38043/100</f>
        <v>380.43</v>
      </c>
      <c r="Y41" s="28" t="n">
        <v>19021</v>
      </c>
      <c r="Z41" s="29" t="n">
        <f aca="false">10658/100</f>
        <v>106.58</v>
      </c>
      <c r="AA41" s="28" t="n">
        <v>5329</v>
      </c>
      <c r="AB41" s="28"/>
      <c r="AC41" s="28" t="n">
        <f aca="false">AB41*$M41</f>
        <v>0</v>
      </c>
      <c r="AD41" s="28"/>
      <c r="AE41" s="28" t="n">
        <f aca="false">AD41*$M41</f>
        <v>0</v>
      </c>
      <c r="AF41" s="28"/>
      <c r="AG41" s="28" t="n">
        <f aca="false">AF41*$M41</f>
        <v>0</v>
      </c>
      <c r="AH41" s="28"/>
      <c r="AI41" s="28" t="n">
        <f aca="false">AH41*$M41</f>
        <v>0</v>
      </c>
      <c r="AJ41" s="28"/>
      <c r="AK41" s="28" t="n">
        <f aca="false">AJ41*$M41</f>
        <v>0</v>
      </c>
      <c r="AL41" s="28" t="n">
        <f aca="false">39321/100</f>
        <v>393.21</v>
      </c>
      <c r="AM41" s="28" t="n">
        <v>19660</v>
      </c>
      <c r="AN41" s="28"/>
      <c r="AO41" s="28" t="n">
        <f aca="false">AN41*$M41</f>
        <v>0</v>
      </c>
      <c r="AP41" s="28"/>
      <c r="AQ41" s="28" t="n">
        <f aca="false">AP41*$M41</f>
        <v>0</v>
      </c>
      <c r="AR41" s="28"/>
      <c r="AS41" s="28" t="n">
        <f aca="false">AR41*$M41</f>
        <v>0</v>
      </c>
      <c r="AT41" s="28"/>
      <c r="AU41" s="28" t="n">
        <f aca="false">AT41*$M41</f>
        <v>0</v>
      </c>
      <c r="AV41" s="28"/>
      <c r="AW41" s="28" t="n">
        <f aca="false">AV41*$M41</f>
        <v>0</v>
      </c>
      <c r="AX41" s="28"/>
      <c r="AY41" s="28" t="n">
        <f aca="false">AX41*$M41</f>
        <v>0</v>
      </c>
      <c r="AZ41" s="28"/>
      <c r="BA41" s="28" t="n">
        <f aca="false">AZ41*$M41</f>
        <v>0</v>
      </c>
      <c r="BB41" s="30" t="n">
        <f aca="false">88022/100</f>
        <v>880.22</v>
      </c>
      <c r="BC41" s="11" t="n">
        <v>44010</v>
      </c>
      <c r="BD41" s="31" t="n">
        <f aca="false">SUM(S41,U41,W41,Y41,AA41,AC41,AE41,AG41,AI41,AK41,AM41,AO41,AQ41,AS41,AU41,AW41,AY41,BA41)</f>
        <v>44010</v>
      </c>
      <c r="BE41" s="28" t="n">
        <f aca="false">BC41-BD41</f>
        <v>0</v>
      </c>
      <c r="BF41" s="32" t="n">
        <f aca="false">SUM(R41,T41,V41,X41,Z41,AB41,AD41,AF41,AH41,AJ41,AL41,AN41,AP41,AR41,AT41,AV41,AX41,AZ41)</f>
        <v>880.22</v>
      </c>
      <c r="BG41" s="33" t="n">
        <f aca="false">BB41-BF41</f>
        <v>0</v>
      </c>
      <c r="BH41" s="34" t="n">
        <f aca="false">BF41*M41</f>
        <v>44011</v>
      </c>
      <c r="BI41" s="35" t="n">
        <f aca="false">BC41-BH41</f>
        <v>-1</v>
      </c>
      <c r="BJ41" s="19" t="str">
        <f aca="false">IF(BI41=0,"",IF(BI41&lt;&gt;BC41,"erreur de calcul",IF(BF41&lt;&gt;0,"pas de prix",IF(M41&lt;&gt; 0,"pas de quantité","pas de prix, ni de quantité"))))</f>
        <v>erreur de calcul</v>
      </c>
      <c r="BK41" s="19" t="s">
        <v>114</v>
      </c>
    </row>
    <row r="42" customFormat="false" ht="16" hidden="false" customHeight="false" outlineLevel="0" collapsed="false">
      <c r="A42" s="0" t="n">
        <v>40</v>
      </c>
      <c r="B42" s="8" t="s">
        <v>24</v>
      </c>
      <c r="C42" s="9" t="s">
        <v>25</v>
      </c>
      <c r="D42" s="9" t="s">
        <v>26</v>
      </c>
      <c r="E42" s="10" t="n">
        <v>1789</v>
      </c>
      <c r="F42" s="9" t="s">
        <v>27</v>
      </c>
      <c r="G42" s="9" t="s">
        <v>27</v>
      </c>
      <c r="H42" s="11" t="n">
        <v>18</v>
      </c>
      <c r="I42" s="11" t="s">
        <v>115</v>
      </c>
      <c r="J42" s="14"/>
      <c r="K42" s="14" t="n">
        <v>28</v>
      </c>
      <c r="L42" s="16"/>
      <c r="M42" s="27" t="n">
        <f aca="false">J42+(K42/20)+(L42/240)</f>
        <v>1.4</v>
      </c>
      <c r="N42" s="17" t="s">
        <v>66</v>
      </c>
      <c r="O42" s="11" t="s">
        <v>98</v>
      </c>
      <c r="P42" s="28" t="n">
        <v>754</v>
      </c>
      <c r="Q42" s="28" t="n">
        <v>1056</v>
      </c>
      <c r="R42" s="28"/>
      <c r="S42" s="28" t="n">
        <f aca="false">R42*$M42</f>
        <v>0</v>
      </c>
      <c r="T42" s="28"/>
      <c r="U42" s="28" t="n">
        <f aca="false">T42*$M42</f>
        <v>0</v>
      </c>
      <c r="V42" s="28" t="n">
        <v>426</v>
      </c>
      <c r="W42" s="28" t="n">
        <v>596</v>
      </c>
      <c r="X42" s="28"/>
      <c r="Y42" s="28" t="n">
        <f aca="false">X42*$M42</f>
        <v>0</v>
      </c>
      <c r="Z42" s="29"/>
      <c r="AA42" s="28" t="n">
        <f aca="false">Z42*$M42</f>
        <v>0</v>
      </c>
      <c r="AB42" s="28"/>
      <c r="AC42" s="28" t="n">
        <f aca="false">AB42*$M42</f>
        <v>0</v>
      </c>
      <c r="AD42" s="28"/>
      <c r="AE42" s="28" t="n">
        <f aca="false">AD42*$M42</f>
        <v>0</v>
      </c>
      <c r="AF42" s="28"/>
      <c r="AG42" s="28" t="n">
        <f aca="false">AF42*$M42</f>
        <v>0</v>
      </c>
      <c r="AH42" s="28"/>
      <c r="AI42" s="28" t="n">
        <f aca="false">AH42*$M42</f>
        <v>0</v>
      </c>
      <c r="AJ42" s="28"/>
      <c r="AK42" s="28" t="n">
        <f aca="false">AJ42*$M42</f>
        <v>0</v>
      </c>
      <c r="AL42" s="28" t="n">
        <v>142</v>
      </c>
      <c r="AM42" s="28" t="n">
        <v>199</v>
      </c>
      <c r="AN42" s="28"/>
      <c r="AO42" s="28" t="n">
        <f aca="false">AN42*$M42</f>
        <v>0</v>
      </c>
      <c r="AP42" s="28"/>
      <c r="AQ42" s="28" t="n">
        <f aca="false">AP42*$M42</f>
        <v>0</v>
      </c>
      <c r="AR42" s="28"/>
      <c r="AS42" s="28" t="n">
        <f aca="false">AR42*$M42</f>
        <v>0</v>
      </c>
      <c r="AT42" s="28"/>
      <c r="AU42" s="28" t="n">
        <f aca="false">AT42*$M42</f>
        <v>0</v>
      </c>
      <c r="AV42" s="28"/>
      <c r="AW42" s="28" t="n">
        <f aca="false">AV42*$M42</f>
        <v>0</v>
      </c>
      <c r="AX42" s="28"/>
      <c r="AY42" s="28" t="n">
        <f aca="false">AX42*$M42</f>
        <v>0</v>
      </c>
      <c r="AZ42" s="28"/>
      <c r="BA42" s="28" t="n">
        <f aca="false">AZ42*$M42</f>
        <v>0</v>
      </c>
      <c r="BB42" s="30" t="n">
        <v>568</v>
      </c>
      <c r="BC42" s="11" t="n">
        <v>795</v>
      </c>
      <c r="BD42" s="31" t="n">
        <f aca="false">SUM(S42,U42,W42,Y42,AA42,AC42,AE42,AG42,AI42,AK42,AM42,AO42,AQ42,AS42,AU42,AW42,AY42,BA42)</f>
        <v>795</v>
      </c>
      <c r="BE42" s="28" t="n">
        <f aca="false">BC42-BD42</f>
        <v>0</v>
      </c>
      <c r="BF42" s="32" t="n">
        <f aca="false">SUM(R42,T42,V42,X42,Z42,AB42,AD42,AF42,AH42,AJ42,AL42,AN42,AP42,AR42,AT42,AV42,AX42,AZ42)</f>
        <v>568</v>
      </c>
      <c r="BG42" s="33" t="n">
        <f aca="false">BB42-BF42</f>
        <v>0</v>
      </c>
      <c r="BH42" s="34" t="n">
        <f aca="false">BF42*M42</f>
        <v>795.2</v>
      </c>
      <c r="BI42" s="35" t="n">
        <f aca="false">BC42-BH42</f>
        <v>-0.199999999999932</v>
      </c>
      <c r="BJ42" s="19" t="str">
        <f aca="false">IF(BI42=0,"",IF(BI42&lt;&gt;BC42,"erreur de calcul",IF(BF42&lt;&gt;0,"pas de prix",IF(M42&lt;&gt; 0,"pas de quantité","pas de prix, ni de quantité"))))</f>
        <v>erreur de calcul</v>
      </c>
      <c r="BK42" s="19"/>
    </row>
    <row r="43" customFormat="false" ht="16" hidden="false" customHeight="false" outlineLevel="0" collapsed="false">
      <c r="A43" s="0" t="n">
        <v>41</v>
      </c>
      <c r="B43" s="8" t="s">
        <v>24</v>
      </c>
      <c r="C43" s="9" t="s">
        <v>25</v>
      </c>
      <c r="D43" s="9" t="s">
        <v>26</v>
      </c>
      <c r="E43" s="10" t="n">
        <v>1789</v>
      </c>
      <c r="F43" s="9" t="s">
        <v>27</v>
      </c>
      <c r="G43" s="9" t="s">
        <v>27</v>
      </c>
      <c r="H43" s="11" t="n">
        <v>18</v>
      </c>
      <c r="I43" s="11" t="s">
        <v>116</v>
      </c>
      <c r="J43" s="14"/>
      <c r="K43" s="14" t="n">
        <v>40</v>
      </c>
      <c r="L43" s="16"/>
      <c r="M43" s="27" t="n">
        <f aca="false">J43+(K43/20)+(L43/240)</f>
        <v>2</v>
      </c>
      <c r="N43" s="17" t="s">
        <v>66</v>
      </c>
      <c r="O43" s="11"/>
      <c r="P43" s="28"/>
      <c r="Q43" s="28" t="str">
        <f aca="false">IF(O43&lt;&gt;"",P43*M43,"")</f>
        <v/>
      </c>
      <c r="R43" s="28"/>
      <c r="S43" s="28" t="n">
        <f aca="false">R43*$M43</f>
        <v>0</v>
      </c>
      <c r="T43" s="28"/>
      <c r="U43" s="28" t="n">
        <f aca="false">T43*$M43</f>
        <v>0</v>
      </c>
      <c r="V43" s="28"/>
      <c r="W43" s="28" t="n">
        <f aca="false">V43*$M43</f>
        <v>0</v>
      </c>
      <c r="X43" s="28"/>
      <c r="Y43" s="28" t="n">
        <f aca="false">X43*$M43</f>
        <v>0</v>
      </c>
      <c r="Z43" s="29"/>
      <c r="AA43" s="28" t="n">
        <f aca="false">Z43*$M43</f>
        <v>0</v>
      </c>
      <c r="AB43" s="28"/>
      <c r="AC43" s="28" t="n">
        <f aca="false">AB43*$M43</f>
        <v>0</v>
      </c>
      <c r="AD43" s="28"/>
      <c r="AE43" s="28" t="n">
        <f aca="false">AD43*$M43</f>
        <v>0</v>
      </c>
      <c r="AF43" s="28"/>
      <c r="AG43" s="28" t="n">
        <f aca="false">AF43*$M43</f>
        <v>0</v>
      </c>
      <c r="AH43" s="28"/>
      <c r="AI43" s="28" t="n">
        <f aca="false">AH43*$M43</f>
        <v>0</v>
      </c>
      <c r="AJ43" s="28" t="n">
        <v>232710</v>
      </c>
      <c r="AK43" s="28" t="n">
        <v>465420</v>
      </c>
      <c r="AL43" s="28"/>
      <c r="AM43" s="28" t="n">
        <f aca="false">AL43*$M43</f>
        <v>0</v>
      </c>
      <c r="AN43" s="28"/>
      <c r="AO43" s="28" t="n">
        <f aca="false">AN43*$M43</f>
        <v>0</v>
      </c>
      <c r="AP43" s="28"/>
      <c r="AQ43" s="28" t="n">
        <f aca="false">AP43*$M43</f>
        <v>0</v>
      </c>
      <c r="AR43" s="28"/>
      <c r="AS43" s="28" t="n">
        <f aca="false">AR43*$M43</f>
        <v>0</v>
      </c>
      <c r="AT43" s="28"/>
      <c r="AU43" s="28" t="n">
        <f aca="false">AT43*$M43</f>
        <v>0</v>
      </c>
      <c r="AV43" s="28"/>
      <c r="AW43" s="28" t="n">
        <f aca="false">AV43*$M43</f>
        <v>0</v>
      </c>
      <c r="AX43" s="28"/>
      <c r="AY43" s="28" t="n">
        <f aca="false">AX43*$M43</f>
        <v>0</v>
      </c>
      <c r="AZ43" s="28"/>
      <c r="BA43" s="28" t="n">
        <f aca="false">AZ43*$M43</f>
        <v>0</v>
      </c>
      <c r="BB43" s="30" t="n">
        <v>232710</v>
      </c>
      <c r="BC43" s="11" t="n">
        <v>465420</v>
      </c>
      <c r="BD43" s="31" t="n">
        <f aca="false">SUM(S43,U43,W43,Y43,AA43,AC43,AE43,AG43,AI43,AK43,AM43,AO43,AQ43,AS43,AU43,AW43,AY43,BA43)</f>
        <v>465420</v>
      </c>
      <c r="BE43" s="28" t="n">
        <f aca="false">BC43-BD43</f>
        <v>0</v>
      </c>
      <c r="BF43" s="32" t="n">
        <f aca="false">SUM(R43,T43,V43,X43,Z43,AB43,AD43,AF43,AH43,AJ43,AL43,AN43,AP43,AR43,AT43,AV43,AX43,AZ43)</f>
        <v>232710</v>
      </c>
      <c r="BG43" s="33" t="n">
        <f aca="false">BB43-BF43</f>
        <v>0</v>
      </c>
      <c r="BH43" s="34" t="n">
        <f aca="false">BF43*M43</f>
        <v>465420</v>
      </c>
      <c r="BI43" s="35" t="n">
        <f aca="false">BC43-BH43</f>
        <v>0</v>
      </c>
      <c r="BJ43" s="19" t="str">
        <f aca="false">IF(BI43=0,"",IF(BI43&lt;&gt;BC43,"erreur de calcul",IF(BF43&lt;&gt;0,"pas de prix",IF(M43&lt;&gt; 0,"pas de quantité","pas de prix, ni de quantité"))))</f>
        <v/>
      </c>
      <c r="BK43" s="19"/>
    </row>
    <row r="44" customFormat="false" ht="16" hidden="false" customHeight="false" outlineLevel="0" collapsed="false">
      <c r="A44" s="0" t="n">
        <v>1</v>
      </c>
      <c r="B44" s="8" t="s">
        <v>24</v>
      </c>
      <c r="C44" s="9" t="s">
        <v>25</v>
      </c>
      <c r="D44" s="9" t="s">
        <v>26</v>
      </c>
      <c r="E44" s="10" t="n">
        <v>1789</v>
      </c>
      <c r="F44" s="9" t="s">
        <v>27</v>
      </c>
      <c r="G44" s="9" t="s">
        <v>27</v>
      </c>
      <c r="H44" s="11" t="n">
        <v>20</v>
      </c>
      <c r="I44" s="11" t="s">
        <v>117</v>
      </c>
      <c r="J44" s="14" t="n">
        <v>10</v>
      </c>
      <c r="K44" s="14"/>
      <c r="L44" s="16"/>
      <c r="M44" s="27" t="n">
        <f aca="false">J44+(K44/20)+(L44/240)</f>
        <v>10</v>
      </c>
      <c r="N44" s="17" t="s">
        <v>64</v>
      </c>
      <c r="O44" s="11"/>
      <c r="P44" s="28"/>
      <c r="Q44" s="28" t="str">
        <f aca="false">IF(O44&lt;&gt;"",P44*M44,"")</f>
        <v/>
      </c>
      <c r="R44" s="28" t="n">
        <f aca="false">2120/100</f>
        <v>21.2</v>
      </c>
      <c r="S44" s="28" t="n">
        <v>212</v>
      </c>
      <c r="T44" s="28"/>
      <c r="U44" s="28" t="n">
        <f aca="false">T44*$M44</f>
        <v>0</v>
      </c>
      <c r="V44" s="28" t="n">
        <f aca="false">4184/100</f>
        <v>41.84</v>
      </c>
      <c r="W44" s="28" t="n">
        <v>418</v>
      </c>
      <c r="X44" s="28"/>
      <c r="Y44" s="28" t="n">
        <f aca="false">X44*$M44</f>
        <v>0</v>
      </c>
      <c r="Z44" s="28"/>
      <c r="AA44" s="28" t="n">
        <f aca="false">Z44*$M44</f>
        <v>0</v>
      </c>
      <c r="AB44" s="28" t="n">
        <f aca="false">4467/100</f>
        <v>44.67</v>
      </c>
      <c r="AC44" s="28" t="n">
        <v>447</v>
      </c>
      <c r="AD44" s="28"/>
      <c r="AE44" s="28" t="n">
        <f aca="false">AD44*$M44</f>
        <v>0</v>
      </c>
      <c r="AF44" s="28"/>
      <c r="AG44" s="28" t="n">
        <f aca="false">AF44*$M44</f>
        <v>0</v>
      </c>
      <c r="AH44" s="28"/>
      <c r="AI44" s="28" t="n">
        <f aca="false">AH44*$M44</f>
        <v>0</v>
      </c>
      <c r="AJ44" s="28" t="n">
        <f aca="false">37604/100</f>
        <v>376.04</v>
      </c>
      <c r="AK44" s="28" t="n">
        <v>3760</v>
      </c>
      <c r="AL44" s="28"/>
      <c r="AM44" s="28" t="n">
        <f aca="false">AL44*$M44</f>
        <v>0</v>
      </c>
      <c r="AN44" s="28"/>
      <c r="AO44" s="28" t="n">
        <f aca="false">AN44*$M44</f>
        <v>0</v>
      </c>
      <c r="AP44" s="28"/>
      <c r="AQ44" s="28" t="n">
        <f aca="false">AP44*$M44</f>
        <v>0</v>
      </c>
      <c r="AR44" s="28"/>
      <c r="AS44" s="28" t="n">
        <f aca="false">AR44*$M44</f>
        <v>0</v>
      </c>
      <c r="AT44" s="28"/>
      <c r="AU44" s="28" t="n">
        <f aca="false">AT44*$M44</f>
        <v>0</v>
      </c>
      <c r="AV44" s="28"/>
      <c r="AW44" s="28" t="n">
        <f aca="false">AV44*$M44</f>
        <v>0</v>
      </c>
      <c r="AX44" s="28"/>
      <c r="AY44" s="28" t="n">
        <f aca="false">AX44*$M44</f>
        <v>0</v>
      </c>
      <c r="AZ44" s="28"/>
      <c r="BA44" s="28" t="n">
        <f aca="false">AZ44*$M44</f>
        <v>0</v>
      </c>
      <c r="BB44" s="30" t="n">
        <f aca="false">46255/100</f>
        <v>462.55</v>
      </c>
      <c r="BC44" s="11" t="n">
        <v>4837</v>
      </c>
      <c r="BD44" s="31" t="n">
        <f aca="false">SUM(S44,U44,W44,Y44,AA44,AC44,AE44,AG44,AI44,AK44,AM44,AO44,AQ44,AS44,AU44,AW44,AY44,BA44)</f>
        <v>4837</v>
      </c>
      <c r="BE44" s="28" t="n">
        <f aca="false">BC44-BD44</f>
        <v>0</v>
      </c>
      <c r="BF44" s="32" t="n">
        <f aca="false">SUM(R44,T44,V44,X44,Z44,AB44,AD44,AF44,AH44,AJ44,AL44,AN44,AP44,AR44,AT44,AV44,AX44,AZ44)</f>
        <v>483.75</v>
      </c>
      <c r="BG44" s="33" t="n">
        <f aca="false">BB44-BF44</f>
        <v>-21.2</v>
      </c>
      <c r="BH44" s="34" t="n">
        <f aca="false">BF44*M44</f>
        <v>4837.5</v>
      </c>
      <c r="BI44" s="35" t="n">
        <f aca="false">BC44-BH44</f>
        <v>-0.50000000000091</v>
      </c>
      <c r="BJ44" s="19" t="str">
        <f aca="false">IF(BI44=0,"",IF(BI44&lt;&gt;BC44,"erreur de calcul",IF(BF44&lt;&gt;0,"pas de prix",IF(M44&lt;&gt; 0,"pas de quantité","pas de prix, ni de quantité"))))</f>
        <v>erreur de calcul</v>
      </c>
      <c r="BK44" s="19"/>
    </row>
    <row r="45" customFormat="false" ht="16" hidden="false" customHeight="false" outlineLevel="0" collapsed="false">
      <c r="A45" s="0" t="n">
        <v>2</v>
      </c>
      <c r="B45" s="8" t="s">
        <v>24</v>
      </c>
      <c r="C45" s="9" t="s">
        <v>25</v>
      </c>
      <c r="D45" s="9" t="s">
        <v>26</v>
      </c>
      <c r="E45" s="10" t="n">
        <v>1789</v>
      </c>
      <c r="F45" s="9" t="s">
        <v>27</v>
      </c>
      <c r="G45" s="9" t="s">
        <v>27</v>
      </c>
      <c r="H45" s="11" t="n">
        <v>20</v>
      </c>
      <c r="I45" s="11" t="s">
        <v>118</v>
      </c>
      <c r="J45" s="14" t="n">
        <v>10</v>
      </c>
      <c r="K45" s="14"/>
      <c r="L45" s="16"/>
      <c r="M45" s="27" t="n">
        <f aca="false">J45+(K45/20)+(L45/240)</f>
        <v>10</v>
      </c>
      <c r="N45" s="17" t="s">
        <v>64</v>
      </c>
      <c r="O45" s="11"/>
      <c r="P45" s="28"/>
      <c r="Q45" s="28" t="str">
        <f aca="false">IF(O45&lt;&gt;"",P45*M45,"")</f>
        <v/>
      </c>
      <c r="R45" s="28" t="n">
        <f aca="false">6450193/100</f>
        <v>64501.93</v>
      </c>
      <c r="S45" s="28" t="n">
        <v>645019</v>
      </c>
      <c r="T45" s="28"/>
      <c r="U45" s="28" t="n">
        <f aca="false">T45*$M45</f>
        <v>0</v>
      </c>
      <c r="V45" s="28"/>
      <c r="W45" s="28" t="n">
        <f aca="false">V45*$M45</f>
        <v>0</v>
      </c>
      <c r="X45" s="28"/>
      <c r="Y45" s="28" t="n">
        <f aca="false">X45*$M45</f>
        <v>0</v>
      </c>
      <c r="Z45" s="28"/>
      <c r="AA45" s="28" t="n">
        <f aca="false">Z45*$M45</f>
        <v>0</v>
      </c>
      <c r="AB45" s="28"/>
      <c r="AC45" s="28" t="n">
        <f aca="false">AB45*$M45</f>
        <v>0</v>
      </c>
      <c r="AD45" s="28" t="n">
        <f aca="false">601547/100</f>
        <v>6015.47</v>
      </c>
      <c r="AE45" s="28" t="n">
        <v>60155</v>
      </c>
      <c r="AF45" s="28"/>
      <c r="AG45" s="28" t="n">
        <f aca="false">AF45*$M45</f>
        <v>0</v>
      </c>
      <c r="AH45" s="28" t="n">
        <f aca="false">727551/100</f>
        <v>7275.51</v>
      </c>
      <c r="AI45" s="28" t="n">
        <v>72755</v>
      </c>
      <c r="AJ45" s="28" t="n">
        <f aca="false">52982/100</f>
        <v>529.82</v>
      </c>
      <c r="AK45" s="28" t="n">
        <v>5299</v>
      </c>
      <c r="AL45" s="28"/>
      <c r="AM45" s="28" t="n">
        <f aca="false">AL45*$M45</f>
        <v>0</v>
      </c>
      <c r="AN45" s="28"/>
      <c r="AO45" s="28" t="n">
        <f aca="false">AN45*$M45</f>
        <v>0</v>
      </c>
      <c r="AP45" s="28"/>
      <c r="AQ45" s="28" t="n">
        <f aca="false">AP45*$M45</f>
        <v>0</v>
      </c>
      <c r="AR45" s="28"/>
      <c r="AS45" s="28" t="n">
        <f aca="false">AR45*$M45</f>
        <v>0</v>
      </c>
      <c r="AT45" s="28"/>
      <c r="AU45" s="28" t="n">
        <f aca="false">AT45*$M45</f>
        <v>0</v>
      </c>
      <c r="AV45" s="28"/>
      <c r="AW45" s="28" t="n">
        <f aca="false">AV45*$M45</f>
        <v>0</v>
      </c>
      <c r="AX45" s="28"/>
      <c r="AY45" s="28" t="n">
        <f aca="false">AX45*$M45</f>
        <v>0</v>
      </c>
      <c r="AZ45" s="28"/>
      <c r="BA45" s="28" t="n">
        <f aca="false">AZ45*$M45</f>
        <v>0</v>
      </c>
      <c r="BB45" s="30" t="n">
        <f aca="false">7832273/100</f>
        <v>78322.73</v>
      </c>
      <c r="BC45" s="11" t="n">
        <v>783228</v>
      </c>
      <c r="BD45" s="31" t="n">
        <f aca="false">SUM(S45,U45,W45,Y45,AA45,AC45,AE45,AG45,AI45,AK45,AM45,AO45,AQ45,AS45,AU45,AW45,AY45,BA45)</f>
        <v>783228</v>
      </c>
      <c r="BE45" s="28" t="n">
        <f aca="false">BC45-BD45</f>
        <v>0</v>
      </c>
      <c r="BF45" s="32" t="n">
        <f aca="false">SUM(R45,T45,V45,X45,Z45,AB45,AD45,AF45,AH45,AJ45,AL45,AN45,AP45,AR45,AT45,AV45,AX45,AZ45)</f>
        <v>78322.73</v>
      </c>
      <c r="BG45" s="33" t="n">
        <f aca="false">BB45-BF45</f>
        <v>0</v>
      </c>
      <c r="BH45" s="34" t="n">
        <f aca="false">BF45*M45</f>
        <v>783227.3</v>
      </c>
      <c r="BI45" s="35" t="n">
        <f aca="false">BC45-BH45</f>
        <v>0.700000000069849</v>
      </c>
      <c r="BJ45" s="19" t="str">
        <f aca="false">IF(BI45=0,"",IF(BI45&lt;&gt;BC45,"erreur de calcul",IF(BF45&lt;&gt;0,"pas de prix",IF(M45&lt;&gt; 0,"pas de quantité","pas de prix, ni de quantité"))))</f>
        <v>erreur de calcul</v>
      </c>
      <c r="BK45" s="19"/>
    </row>
    <row r="46" customFormat="false" ht="16" hidden="false" customHeight="false" outlineLevel="0" collapsed="false">
      <c r="A46" s="0" t="n">
        <v>3</v>
      </c>
      <c r="B46" s="8" t="s">
        <v>24</v>
      </c>
      <c r="C46" s="9" t="s">
        <v>25</v>
      </c>
      <c r="D46" s="9" t="s">
        <v>26</v>
      </c>
      <c r="E46" s="10" t="n">
        <v>1789</v>
      </c>
      <c r="F46" s="9" t="s">
        <v>27</v>
      </c>
      <c r="G46" s="9" t="s">
        <v>27</v>
      </c>
      <c r="H46" s="11" t="n">
        <v>20</v>
      </c>
      <c r="I46" s="11" t="s">
        <v>119</v>
      </c>
      <c r="J46" s="14" t="n">
        <v>10</v>
      </c>
      <c r="K46" s="14"/>
      <c r="L46" s="16"/>
      <c r="M46" s="27" t="n">
        <f aca="false">J46+(K46/20)+(L46/240)</f>
        <v>10</v>
      </c>
      <c r="N46" s="17" t="s">
        <v>64</v>
      </c>
      <c r="O46" s="11"/>
      <c r="P46" s="28"/>
      <c r="Q46" s="28" t="str">
        <f aca="false">IF(O46&lt;&gt;"",P46*M46,"")</f>
        <v/>
      </c>
      <c r="R46" s="28" t="n">
        <f aca="false">2617064/100</f>
        <v>26170.64</v>
      </c>
      <c r="S46" s="28" t="n">
        <v>261706</v>
      </c>
      <c r="T46" s="28"/>
      <c r="U46" s="28" t="n">
        <f aca="false">T46*$M46</f>
        <v>0</v>
      </c>
      <c r="V46" s="28" t="n">
        <f aca="false">251959/100</f>
        <v>2519.59</v>
      </c>
      <c r="W46" s="28" t="n">
        <v>25196</v>
      </c>
      <c r="X46" s="28"/>
      <c r="Y46" s="28" t="n">
        <f aca="false">X46*$M46</f>
        <v>0</v>
      </c>
      <c r="Z46" s="28"/>
      <c r="AA46" s="28" t="n">
        <f aca="false">Z46*$M46</f>
        <v>0</v>
      </c>
      <c r="AB46" s="28"/>
      <c r="AC46" s="28" t="n">
        <f aca="false">AB46*$M46</f>
        <v>0</v>
      </c>
      <c r="AD46" s="28"/>
      <c r="AE46" s="28" t="n">
        <f aca="false">AD46*$M46</f>
        <v>0</v>
      </c>
      <c r="AF46" s="28"/>
      <c r="AG46" s="28" t="n">
        <f aca="false">AF46*$M46</f>
        <v>0</v>
      </c>
      <c r="AH46" s="28"/>
      <c r="AI46" s="28" t="n">
        <f aca="false">AH46*$M46</f>
        <v>0</v>
      </c>
      <c r="AJ46" s="28"/>
      <c r="AK46" s="28" t="n">
        <f aca="false">AJ46*$M46</f>
        <v>0</v>
      </c>
      <c r="AL46" s="28"/>
      <c r="AM46" s="28" t="n">
        <f aca="false">AL46*$M46</f>
        <v>0</v>
      </c>
      <c r="AN46" s="28"/>
      <c r="AO46" s="28" t="n">
        <f aca="false">AN46*$M46</f>
        <v>0</v>
      </c>
      <c r="AP46" s="28"/>
      <c r="AQ46" s="28" t="n">
        <f aca="false">AP46*$M46</f>
        <v>0</v>
      </c>
      <c r="AR46" s="28"/>
      <c r="AS46" s="28" t="n">
        <f aca="false">AR46*$M46</f>
        <v>0</v>
      </c>
      <c r="AT46" s="28"/>
      <c r="AU46" s="28" t="n">
        <f aca="false">AT46*$M46</f>
        <v>0</v>
      </c>
      <c r="AV46" s="28"/>
      <c r="AW46" s="28" t="n">
        <f aca="false">AV46*$M46</f>
        <v>0</v>
      </c>
      <c r="AX46" s="28"/>
      <c r="AY46" s="28" t="n">
        <f aca="false">AX46*$M46</f>
        <v>0</v>
      </c>
      <c r="AZ46" s="28"/>
      <c r="BA46" s="28" t="n">
        <f aca="false">AZ46*$M46</f>
        <v>0</v>
      </c>
      <c r="BB46" s="30" t="n">
        <f aca="false">2869023/100</f>
        <v>28690.23</v>
      </c>
      <c r="BC46" s="11" t="n">
        <v>286902</v>
      </c>
      <c r="BD46" s="31" t="n">
        <f aca="false">SUM(S46,U46,W46,Y46,AA46,AC46,AE46,AG46,AI46,AK46,AM46,AO46,AQ46,AS46,AU46,AW46,AY46,BA46)</f>
        <v>286902</v>
      </c>
      <c r="BE46" s="28" t="n">
        <f aca="false">BC46-BD46</f>
        <v>0</v>
      </c>
      <c r="BF46" s="32" t="n">
        <f aca="false">SUM(R46,T46,V46,X46,Z46,AB46,AD46,AF46,AH46,AJ46,AL46,AN46,AP46,AR46,AT46,AV46,AX46,AZ46)</f>
        <v>28690.23</v>
      </c>
      <c r="BG46" s="33" t="n">
        <f aca="false">BB46-BF46</f>
        <v>0</v>
      </c>
      <c r="BH46" s="34" t="n">
        <f aca="false">BF46*M46</f>
        <v>286902.3</v>
      </c>
      <c r="BI46" s="35" t="n">
        <f aca="false">BC46-BH46</f>
        <v>-0.299999999988358</v>
      </c>
      <c r="BJ46" s="19" t="str">
        <f aca="false">IF(BI46=0,"",IF(BI46&lt;&gt;BC46,"erreur de calcul",IF(BF46&lt;&gt;0,"pas de prix",IF(M46&lt;&gt; 0,"pas de quantité","pas de prix, ni de quantité"))))</f>
        <v>erreur de calcul</v>
      </c>
      <c r="BK46" s="19"/>
    </row>
    <row r="47" customFormat="false" ht="16" hidden="false" customHeight="false" outlineLevel="0" collapsed="false">
      <c r="A47" s="0" t="n">
        <v>4</v>
      </c>
      <c r="B47" s="8" t="s">
        <v>24</v>
      </c>
      <c r="C47" s="9" t="s">
        <v>25</v>
      </c>
      <c r="D47" s="9" t="s">
        <v>26</v>
      </c>
      <c r="E47" s="10" t="n">
        <v>1789</v>
      </c>
      <c r="F47" s="9" t="s">
        <v>27</v>
      </c>
      <c r="G47" s="9" t="s">
        <v>27</v>
      </c>
      <c r="H47" s="11" t="n">
        <v>20</v>
      </c>
      <c r="I47" s="11" t="s">
        <v>120</v>
      </c>
      <c r="J47" s="14" t="n">
        <v>12</v>
      </c>
      <c r="K47" s="14"/>
      <c r="L47" s="16"/>
      <c r="M47" s="27" t="n">
        <f aca="false">J47+(K47/20)+(L47/240)</f>
        <v>12</v>
      </c>
      <c r="N47" s="17" t="s">
        <v>64</v>
      </c>
      <c r="O47" s="11" t="s">
        <v>77</v>
      </c>
      <c r="P47" s="28" t="n">
        <f aca="false">18334/100</f>
        <v>183.34</v>
      </c>
      <c r="Q47" s="28" t="n">
        <v>2200</v>
      </c>
      <c r="R47" s="28"/>
      <c r="S47" s="28" t="n">
        <f aca="false">R47*$M47</f>
        <v>0</v>
      </c>
      <c r="T47" s="28"/>
      <c r="U47" s="28" t="n">
        <f aca="false">T47*$M47</f>
        <v>0</v>
      </c>
      <c r="V47" s="28"/>
      <c r="W47" s="28" t="n">
        <f aca="false">V47*$M47</f>
        <v>0</v>
      </c>
      <c r="X47" s="28" t="n">
        <f aca="false">15268/100</f>
        <v>152.68</v>
      </c>
      <c r="Y47" s="28" t="n">
        <v>1832</v>
      </c>
      <c r="Z47" s="28"/>
      <c r="AA47" s="28" t="n">
        <f aca="false">Z47*$M47</f>
        <v>0</v>
      </c>
      <c r="AB47" s="28"/>
      <c r="AC47" s="28" t="n">
        <f aca="false">AB47*$M47</f>
        <v>0</v>
      </c>
      <c r="AD47" s="28"/>
      <c r="AE47" s="28" t="n">
        <f aca="false">AD47*$M47</f>
        <v>0</v>
      </c>
      <c r="AF47" s="28"/>
      <c r="AG47" s="28" t="n">
        <f aca="false">AF47*$M47</f>
        <v>0</v>
      </c>
      <c r="AH47" s="28"/>
      <c r="AI47" s="28" t="n">
        <f aca="false">AH47*$M47</f>
        <v>0</v>
      </c>
      <c r="AJ47" s="28" t="n">
        <f aca="false">26667/100</f>
        <v>266.67</v>
      </c>
      <c r="AK47" s="28" t="n">
        <v>3200</v>
      </c>
      <c r="AL47" s="28"/>
      <c r="AM47" s="28" t="n">
        <f aca="false">AL47*$M47</f>
        <v>0</v>
      </c>
      <c r="AN47" s="28"/>
      <c r="AO47" s="28" t="n">
        <f aca="false">AN47*$M47</f>
        <v>0</v>
      </c>
      <c r="AP47" s="28"/>
      <c r="AQ47" s="28" t="n">
        <f aca="false">AP47*$M47</f>
        <v>0</v>
      </c>
      <c r="AR47" s="28"/>
      <c r="AS47" s="28" t="n">
        <f aca="false">AR47*$M47</f>
        <v>0</v>
      </c>
      <c r="AT47" s="28"/>
      <c r="AU47" s="28" t="n">
        <f aca="false">AT47*$M47</f>
        <v>0</v>
      </c>
      <c r="AV47" s="28"/>
      <c r="AW47" s="28" t="n">
        <f aca="false">AV47*$M47</f>
        <v>0</v>
      </c>
      <c r="AX47" s="28"/>
      <c r="AY47" s="28" t="n">
        <f aca="false">AX47*$M47</f>
        <v>0</v>
      </c>
      <c r="AZ47" s="28"/>
      <c r="BA47" s="28" t="n">
        <f aca="false">AZ47*$M47</f>
        <v>0</v>
      </c>
      <c r="BB47" s="30" t="n">
        <f aca="false">41935/100</f>
        <v>419.35</v>
      </c>
      <c r="BC47" s="11" t="n">
        <v>5032</v>
      </c>
      <c r="BD47" s="31" t="n">
        <f aca="false">SUM(S47,U47,W47,Y47,AA47,AC47,AE47,AG47,AI47,AK47,AM47,AO47,AQ47,AS47,AU47,AW47,AY47,BA47)</f>
        <v>5032</v>
      </c>
      <c r="BE47" s="28" t="n">
        <f aca="false">BC47-BD47</f>
        <v>0</v>
      </c>
      <c r="BF47" s="32" t="n">
        <f aca="false">SUM(R47,T47,V47,X47,Z47,AB47,AD47,AF47,AH47,AJ47,AL47,AN47,AP47,AR47,AT47,AV47,AX47,AZ47)</f>
        <v>419.35</v>
      </c>
      <c r="BG47" s="33" t="n">
        <f aca="false">BB47-BF47</f>
        <v>0</v>
      </c>
      <c r="BH47" s="34" t="n">
        <f aca="false">BF47*M47</f>
        <v>5032.2</v>
      </c>
      <c r="BI47" s="35" t="n">
        <f aca="false">BC47-BH47</f>
        <v>-0.200000000000728</v>
      </c>
      <c r="BJ47" s="19" t="str">
        <f aca="false">IF(BI47=0,"",IF(BI47&lt;&gt;BC47,"erreur de calcul",IF(BF47&lt;&gt;0,"pas de prix",IF(M47&lt;&gt; 0,"pas de quantité","pas de prix, ni de quantité"))))</f>
        <v>erreur de calcul</v>
      </c>
      <c r="BK47" s="19"/>
    </row>
    <row r="48" customFormat="false" ht="16" hidden="false" customHeight="false" outlineLevel="0" collapsed="false">
      <c r="A48" s="0" t="n">
        <v>5</v>
      </c>
      <c r="B48" s="8" t="s">
        <v>24</v>
      </c>
      <c r="C48" s="9" t="s">
        <v>25</v>
      </c>
      <c r="D48" s="9" t="s">
        <v>26</v>
      </c>
      <c r="E48" s="10" t="n">
        <v>1789</v>
      </c>
      <c r="F48" s="9" t="s">
        <v>27</v>
      </c>
      <c r="G48" s="9" t="s">
        <v>27</v>
      </c>
      <c r="H48" s="11" t="n">
        <v>20</v>
      </c>
      <c r="I48" s="11" t="s">
        <v>121</v>
      </c>
      <c r="J48" s="14" t="n">
        <v>28</v>
      </c>
      <c r="K48" s="14"/>
      <c r="L48" s="16"/>
      <c r="M48" s="27" t="n">
        <f aca="false">J48+(K48/20)+(L48/240)</f>
        <v>28</v>
      </c>
      <c r="N48" s="17" t="s">
        <v>64</v>
      </c>
      <c r="O48" s="11"/>
      <c r="P48" s="28"/>
      <c r="Q48" s="28" t="str">
        <f aca="false">IF(O48&lt;&gt;"",P48*M48,"")</f>
        <v/>
      </c>
      <c r="R48" s="28"/>
      <c r="S48" s="28" t="n">
        <f aca="false">R48*$M48</f>
        <v>0</v>
      </c>
      <c r="T48" s="28"/>
      <c r="U48" s="28" t="n">
        <f aca="false">T48*$M48</f>
        <v>0</v>
      </c>
      <c r="V48" s="28"/>
      <c r="W48" s="28" t="n">
        <f aca="false">V48*$M48</f>
        <v>0</v>
      </c>
      <c r="X48" s="28"/>
      <c r="Y48" s="28" t="n">
        <f aca="false">X48*$M48</f>
        <v>0</v>
      </c>
      <c r="Z48" s="28" t="n">
        <f aca="false">187504/100</f>
        <v>1875.04</v>
      </c>
      <c r="AA48" s="28" t="n">
        <v>52501</v>
      </c>
      <c r="AB48" s="28" t="n">
        <f aca="false">1041667/100</f>
        <v>10416.67</v>
      </c>
      <c r="AC48" s="28" t="n">
        <v>291667</v>
      </c>
      <c r="AD48" s="28"/>
      <c r="AE48" s="28" t="n">
        <f aca="false">AD48*$M48</f>
        <v>0</v>
      </c>
      <c r="AF48" s="28"/>
      <c r="AG48" s="28" t="n">
        <f aca="false">AF48*$M48</f>
        <v>0</v>
      </c>
      <c r="AH48" s="28"/>
      <c r="AI48" s="28" t="n">
        <f aca="false">AH48*$M48</f>
        <v>0</v>
      </c>
      <c r="AJ48" s="28"/>
      <c r="AK48" s="28" t="n">
        <f aca="false">AJ48*$M48</f>
        <v>0</v>
      </c>
      <c r="AL48" s="28"/>
      <c r="AM48" s="28" t="n">
        <f aca="false">AL48*$M48</f>
        <v>0</v>
      </c>
      <c r="AN48" s="28"/>
      <c r="AO48" s="28" t="n">
        <f aca="false">AN48*$M48</f>
        <v>0</v>
      </c>
      <c r="AP48" s="28"/>
      <c r="AQ48" s="28" t="n">
        <f aca="false">AP48*$M48</f>
        <v>0</v>
      </c>
      <c r="AR48" s="28"/>
      <c r="AS48" s="28" t="n">
        <f aca="false">AR48*$M48</f>
        <v>0</v>
      </c>
      <c r="AT48" s="28"/>
      <c r="AU48" s="28" t="n">
        <f aca="false">AT48*$M48</f>
        <v>0</v>
      </c>
      <c r="AV48" s="28"/>
      <c r="AW48" s="28" t="n">
        <f aca="false">AV48*$M48</f>
        <v>0</v>
      </c>
      <c r="AX48" s="28"/>
      <c r="AY48" s="28" t="n">
        <f aca="false">AX48*$M48</f>
        <v>0</v>
      </c>
      <c r="AZ48" s="28"/>
      <c r="BA48" s="28" t="n">
        <f aca="false">AZ48*$M48</f>
        <v>0</v>
      </c>
      <c r="BB48" s="30" t="n">
        <f aca="false">1229171/100</f>
        <v>12291.71</v>
      </c>
      <c r="BC48" s="11" t="n">
        <v>344168</v>
      </c>
      <c r="BD48" s="31" t="n">
        <f aca="false">SUM(S48,U48,W48,Y48,AA48,AC48,AE48,AG48,AI48,AK48,AM48,AO48,AQ48,AS48,AU48,AW48,AY48,BA48)</f>
        <v>344168</v>
      </c>
      <c r="BE48" s="28" t="n">
        <f aca="false">BC48-BD48</f>
        <v>0</v>
      </c>
      <c r="BF48" s="32" t="n">
        <f aca="false">SUM(R48,T48,V48,X48,Z48,AB48,AD48,AF48,AH48,AJ48,AL48,AN48,AP48,AR48,AT48,AV48,AX48,AZ48)</f>
        <v>12291.71</v>
      </c>
      <c r="BG48" s="33" t="n">
        <f aca="false">BB48-BF48</f>
        <v>0</v>
      </c>
      <c r="BH48" s="34" t="n">
        <f aca="false">BF48*M48</f>
        <v>344167.88</v>
      </c>
      <c r="BI48" s="35" t="n">
        <f aca="false">BC48-BH48</f>
        <v>0.119999999995343</v>
      </c>
      <c r="BJ48" s="19" t="str">
        <f aca="false">IF(BI48=0,"",IF(BI48&lt;&gt;BC48,"erreur de calcul",IF(BF48&lt;&gt;0,"pas de prix",IF(M48&lt;&gt; 0,"pas de quantité","pas de prix, ni de quantité"))))</f>
        <v>erreur de calcul</v>
      </c>
      <c r="BK48" s="19"/>
    </row>
    <row r="49" customFormat="false" ht="16" hidden="false" customHeight="false" outlineLevel="0" collapsed="false">
      <c r="A49" s="0" t="n">
        <v>6</v>
      </c>
      <c r="B49" s="8" t="s">
        <v>24</v>
      </c>
      <c r="C49" s="9" t="s">
        <v>25</v>
      </c>
      <c r="D49" s="9" t="s">
        <v>26</v>
      </c>
      <c r="E49" s="10" t="n">
        <v>1789</v>
      </c>
      <c r="F49" s="9" t="s">
        <v>27</v>
      </c>
      <c r="G49" s="9" t="s">
        <v>27</v>
      </c>
      <c r="H49" s="11" t="n">
        <v>20</v>
      </c>
      <c r="I49" s="11" t="s">
        <v>122</v>
      </c>
      <c r="J49" s="14" t="n">
        <v>16</v>
      </c>
      <c r="K49" s="14"/>
      <c r="L49" s="16"/>
      <c r="M49" s="27" t="n">
        <f aca="false">J49+(K49/20)+(L49/240)</f>
        <v>16</v>
      </c>
      <c r="N49" s="17" t="s">
        <v>64</v>
      </c>
      <c r="O49" s="11"/>
      <c r="P49" s="28"/>
      <c r="Q49" s="28" t="str">
        <f aca="false">IF(O49&lt;&gt;"",P49*M49,"")</f>
        <v/>
      </c>
      <c r="R49" s="28" t="n">
        <f aca="false">1774951/100</f>
        <v>17749.51</v>
      </c>
      <c r="S49" s="28" t="n">
        <v>283992</v>
      </c>
      <c r="T49" s="28"/>
      <c r="U49" s="28" t="n">
        <f aca="false">T49*$M49</f>
        <v>0</v>
      </c>
      <c r="V49" s="28"/>
      <c r="W49" s="28" t="n">
        <f aca="false">V49*$M49</f>
        <v>0</v>
      </c>
      <c r="X49" s="28" t="n">
        <f aca="false">20834/100</f>
        <v>208.34</v>
      </c>
      <c r="Y49" s="28" t="n">
        <v>3333</v>
      </c>
      <c r="Z49" s="28" t="n">
        <f aca="false">85901/100</f>
        <v>859.01</v>
      </c>
      <c r="AA49" s="28" t="n">
        <v>13744</v>
      </c>
      <c r="AB49" s="28"/>
      <c r="AC49" s="28" t="n">
        <f aca="false">AB49*$M49</f>
        <v>0</v>
      </c>
      <c r="AD49" s="28" t="n">
        <f aca="false">6847841/100</f>
        <v>68478.41</v>
      </c>
      <c r="AE49" s="28" t="n">
        <v>1095654</v>
      </c>
      <c r="AF49" s="28"/>
      <c r="AG49" s="28" t="n">
        <f aca="false">AF49*$M49</f>
        <v>0</v>
      </c>
      <c r="AH49" s="28"/>
      <c r="AI49" s="28" t="n">
        <f aca="false">AH49*$M49</f>
        <v>0</v>
      </c>
      <c r="AJ49" s="28" t="n">
        <f aca="false">50417/100</f>
        <v>504.17</v>
      </c>
      <c r="AK49" s="28" t="n">
        <v>8067</v>
      </c>
      <c r="AL49" s="28"/>
      <c r="AM49" s="28" t="n">
        <f aca="false">AL49*$M49</f>
        <v>0</v>
      </c>
      <c r="AN49" s="28"/>
      <c r="AO49" s="28" t="n">
        <f aca="false">AN49*$M49</f>
        <v>0</v>
      </c>
      <c r="AP49" s="28"/>
      <c r="AQ49" s="28" t="n">
        <f aca="false">AP49*$M49</f>
        <v>0</v>
      </c>
      <c r="AR49" s="28"/>
      <c r="AS49" s="28" t="n">
        <f aca="false">AR49*$M49</f>
        <v>0</v>
      </c>
      <c r="AT49" s="28"/>
      <c r="AU49" s="28" t="n">
        <f aca="false">AT49*$M49</f>
        <v>0</v>
      </c>
      <c r="AV49" s="28"/>
      <c r="AW49" s="28" t="n">
        <f aca="false">AV49*$M49</f>
        <v>0</v>
      </c>
      <c r="AX49" s="28"/>
      <c r="AY49" s="28" t="n">
        <f aca="false">AX49*$M49</f>
        <v>0</v>
      </c>
      <c r="AZ49" s="28"/>
      <c r="BA49" s="28" t="n">
        <f aca="false">AZ49*$M49</f>
        <v>0</v>
      </c>
      <c r="BB49" s="30" t="n">
        <f aca="false">8779944/100</f>
        <v>87799.44</v>
      </c>
      <c r="BC49" s="11" t="n">
        <v>1404790</v>
      </c>
      <c r="BD49" s="31" t="n">
        <f aca="false">SUM(S49,U49,W49,Y49,AA49,AC49,AE49,AG49,AI49,AK49,AM49,AO49,AQ49,AS49,AU49,AW49,AY49,BA49)</f>
        <v>1404790</v>
      </c>
      <c r="BE49" s="28" t="n">
        <f aca="false">BC49-BD49</f>
        <v>0</v>
      </c>
      <c r="BF49" s="32" t="n">
        <f aca="false">SUM(R49,T49,V49,X49,Z49,AB49,AD49,AF49,AH49,AJ49,AL49,AN49,AP49,AR49,AT49,AV49,AX49,AZ49)</f>
        <v>87799.44</v>
      </c>
      <c r="BG49" s="33" t="n">
        <f aca="false">BB49-BF49</f>
        <v>0</v>
      </c>
      <c r="BH49" s="34" t="n">
        <f aca="false">BF49*M49</f>
        <v>1404791.04</v>
      </c>
      <c r="BI49" s="35" t="n">
        <f aca="false">BC49-BH49</f>
        <v>-1.03999999980442</v>
      </c>
      <c r="BJ49" s="19" t="str">
        <f aca="false">IF(BI49=0,"",IF(BI49&lt;&gt;BC49,"erreur de calcul",IF(BF49&lt;&gt;0,"pas de prix",IF(M49&lt;&gt; 0,"pas de quantité","pas de prix, ni de quantité"))))</f>
        <v>erreur de calcul</v>
      </c>
      <c r="BK49" s="19"/>
    </row>
    <row r="50" customFormat="false" ht="16" hidden="false" customHeight="false" outlineLevel="0" collapsed="false">
      <c r="A50" s="0" t="n">
        <v>7</v>
      </c>
      <c r="B50" s="8" t="s">
        <v>24</v>
      </c>
      <c r="C50" s="9" t="s">
        <v>25</v>
      </c>
      <c r="D50" s="9" t="s">
        <v>26</v>
      </c>
      <c r="E50" s="10" t="n">
        <v>1789</v>
      </c>
      <c r="F50" s="9" t="s">
        <v>27</v>
      </c>
      <c r="G50" s="9" t="s">
        <v>27</v>
      </c>
      <c r="H50" s="11" t="n">
        <v>20</v>
      </c>
      <c r="I50" s="11" t="s">
        <v>123</v>
      </c>
      <c r="J50" s="14" t="n">
        <v>12</v>
      </c>
      <c r="K50" s="14"/>
      <c r="L50" s="16"/>
      <c r="M50" s="27" t="n">
        <f aca="false">J50+(K50/20)+(L50/240)</f>
        <v>12</v>
      </c>
      <c r="N50" s="17" t="s">
        <v>64</v>
      </c>
      <c r="O50" s="11"/>
      <c r="P50" s="28"/>
      <c r="Q50" s="28" t="str">
        <f aca="false">IF(O50&lt;&gt;"",P50*M50,"")</f>
        <v/>
      </c>
      <c r="R50" s="28"/>
      <c r="S50" s="28" t="n">
        <f aca="false">R50*$M50</f>
        <v>0</v>
      </c>
      <c r="T50" s="28"/>
      <c r="U50" s="28" t="n">
        <f aca="false">T50*$M50</f>
        <v>0</v>
      </c>
      <c r="V50" s="28"/>
      <c r="W50" s="28" t="n">
        <f aca="false">V50*$M50</f>
        <v>0</v>
      </c>
      <c r="X50" s="28"/>
      <c r="Y50" s="28" t="n">
        <f aca="false">X50*$M50</f>
        <v>0</v>
      </c>
      <c r="Z50" s="28"/>
      <c r="AA50" s="28" t="n">
        <f aca="false">Z50*$M50</f>
        <v>0</v>
      </c>
      <c r="AB50" s="28"/>
      <c r="AC50" s="28" t="n">
        <f aca="false">AB50*$M50</f>
        <v>0</v>
      </c>
      <c r="AD50" s="28"/>
      <c r="AE50" s="28" t="n">
        <f aca="false">AD50*$M50</f>
        <v>0</v>
      </c>
      <c r="AF50" s="28"/>
      <c r="AG50" s="28" t="n">
        <f aca="false">AF50*$M50</f>
        <v>0</v>
      </c>
      <c r="AH50" s="28"/>
      <c r="AI50" s="28" t="n">
        <f aca="false">AH50*$M50</f>
        <v>0</v>
      </c>
      <c r="AJ50" s="28" t="n">
        <f aca="false">5697511/100</f>
        <v>56975.11</v>
      </c>
      <c r="AK50" s="28" t="n">
        <v>683701</v>
      </c>
      <c r="AL50" s="28"/>
      <c r="AM50" s="28" t="n">
        <f aca="false">AL50*$M50</f>
        <v>0</v>
      </c>
      <c r="AN50" s="28"/>
      <c r="AO50" s="28" t="n">
        <f aca="false">AN50*$M50</f>
        <v>0</v>
      </c>
      <c r="AP50" s="28"/>
      <c r="AQ50" s="28" t="n">
        <f aca="false">AP50*$M50</f>
        <v>0</v>
      </c>
      <c r="AR50" s="28"/>
      <c r="AS50" s="28" t="n">
        <f aca="false">AR50*$M50</f>
        <v>0</v>
      </c>
      <c r="AT50" s="28"/>
      <c r="AU50" s="28" t="n">
        <f aca="false">AT50*$M50</f>
        <v>0</v>
      </c>
      <c r="AV50" s="28"/>
      <c r="AW50" s="28" t="n">
        <f aca="false">AV50*$M50</f>
        <v>0</v>
      </c>
      <c r="AX50" s="28"/>
      <c r="AY50" s="28" t="n">
        <f aca="false">AX50*$M50</f>
        <v>0</v>
      </c>
      <c r="AZ50" s="28"/>
      <c r="BA50" s="28" t="n">
        <f aca="false">AZ50*$M50</f>
        <v>0</v>
      </c>
      <c r="BB50" s="30" t="n">
        <f aca="false">5697511/100</f>
        <v>56975.11</v>
      </c>
      <c r="BC50" s="11" t="n">
        <v>683701</v>
      </c>
      <c r="BD50" s="31" t="n">
        <f aca="false">SUM(S50,U50,W50,Y50,AA50,AC50,AE50,AG50,AI50,AK50,AM50,AO50,AQ50,AS50,AU50,AW50,AY50,BA50)</f>
        <v>683701</v>
      </c>
      <c r="BE50" s="28" t="n">
        <f aca="false">BC50-BD50</f>
        <v>0</v>
      </c>
      <c r="BF50" s="32" t="n">
        <f aca="false">SUM(R50,T50,V50,X50,Z50,AB50,AD50,AF50,AH50,AJ50,AL50,AN50,AP50,AR50,AT50,AV50,AX50,AZ50)</f>
        <v>56975.11</v>
      </c>
      <c r="BG50" s="33" t="n">
        <f aca="false">BB50-BF50</f>
        <v>0</v>
      </c>
      <c r="BH50" s="34" t="n">
        <f aca="false">BF50*M50</f>
        <v>683701.32</v>
      </c>
      <c r="BI50" s="35" t="n">
        <f aca="false">BC50-BH50</f>
        <v>-0.320000000065193</v>
      </c>
      <c r="BJ50" s="19" t="str">
        <f aca="false">IF(BI50=0,"",IF(BI50&lt;&gt;BC50,"erreur de calcul",IF(BF50&lt;&gt;0,"pas de prix",IF(M50&lt;&gt; 0,"pas de quantité","pas de prix, ni de quantité"))))</f>
        <v>erreur de calcul</v>
      </c>
      <c r="BK50" s="19"/>
    </row>
    <row r="51" customFormat="false" ht="16" hidden="false" customHeight="false" outlineLevel="0" collapsed="false">
      <c r="A51" s="0" t="n">
        <v>8</v>
      </c>
      <c r="B51" s="8" t="s">
        <v>24</v>
      </c>
      <c r="C51" s="9" t="s">
        <v>25</v>
      </c>
      <c r="D51" s="9" t="s">
        <v>26</v>
      </c>
      <c r="E51" s="10" t="n">
        <v>1789</v>
      </c>
      <c r="F51" s="9" t="s">
        <v>27</v>
      </c>
      <c r="G51" s="9" t="s">
        <v>27</v>
      </c>
      <c r="H51" s="11" t="n">
        <v>20</v>
      </c>
      <c r="I51" s="11" t="s">
        <v>124</v>
      </c>
      <c r="J51" s="14" t="n">
        <v>34</v>
      </c>
      <c r="K51" s="14"/>
      <c r="L51" s="16"/>
      <c r="M51" s="27" t="n">
        <f aca="false">J51+(K51/20)+(L51/240)</f>
        <v>34</v>
      </c>
      <c r="N51" s="17" t="s">
        <v>64</v>
      </c>
      <c r="O51" s="11"/>
      <c r="P51" s="28"/>
      <c r="Q51" s="28" t="str">
        <f aca="false">IF(O51&lt;&gt;"",P51*M51,"")</f>
        <v/>
      </c>
      <c r="R51" s="28"/>
      <c r="S51" s="28" t="n">
        <f aca="false">R51*$M51</f>
        <v>0</v>
      </c>
      <c r="T51" s="28"/>
      <c r="U51" s="28" t="n">
        <f aca="false">T51*$M51</f>
        <v>0</v>
      </c>
      <c r="V51" s="28" t="n">
        <f aca="false">528/100</f>
        <v>5.28</v>
      </c>
      <c r="W51" s="28" t="n">
        <v>179</v>
      </c>
      <c r="X51" s="28"/>
      <c r="Y51" s="28" t="n">
        <f aca="false">X51*$M51</f>
        <v>0</v>
      </c>
      <c r="Z51" s="28" t="n">
        <f aca="false">1014/100</f>
        <v>10.14</v>
      </c>
      <c r="AA51" s="36" t="n">
        <v>243</v>
      </c>
      <c r="AB51" s="28"/>
      <c r="AC51" s="28" t="n">
        <f aca="false">AB51*$M51</f>
        <v>0</v>
      </c>
      <c r="AD51" s="28"/>
      <c r="AE51" s="28" t="n">
        <f aca="false">AD51*$M51</f>
        <v>0</v>
      </c>
      <c r="AF51" s="28"/>
      <c r="AG51" s="28" t="n">
        <f aca="false">AF51*$M51</f>
        <v>0</v>
      </c>
      <c r="AH51" s="28"/>
      <c r="AI51" s="28" t="n">
        <f aca="false">AH51*$M51</f>
        <v>0</v>
      </c>
      <c r="AJ51" s="28"/>
      <c r="AK51" s="28" t="n">
        <f aca="false">AJ51*$M51</f>
        <v>0</v>
      </c>
      <c r="AL51" s="28" t="n">
        <f aca="false">1917/100</f>
        <v>19.17</v>
      </c>
      <c r="AM51" s="28" t="n">
        <v>652</v>
      </c>
      <c r="AN51" s="28"/>
      <c r="AO51" s="28" t="n">
        <f aca="false">AN51*$M51</f>
        <v>0</v>
      </c>
      <c r="AP51" s="28"/>
      <c r="AQ51" s="28" t="n">
        <f aca="false">AP51*$M51</f>
        <v>0</v>
      </c>
      <c r="AR51" s="28"/>
      <c r="AS51" s="28" t="n">
        <f aca="false">AR51*$M51</f>
        <v>0</v>
      </c>
      <c r="AT51" s="28"/>
      <c r="AU51" s="28" t="n">
        <f aca="false">AT51*$M51</f>
        <v>0</v>
      </c>
      <c r="AV51" s="28"/>
      <c r="AW51" s="28" t="n">
        <f aca="false">AV51*$M51</f>
        <v>0</v>
      </c>
      <c r="AX51" s="28"/>
      <c r="AY51" s="28" t="n">
        <f aca="false">AX51*$M51</f>
        <v>0</v>
      </c>
      <c r="AZ51" s="28"/>
      <c r="BA51" s="28" t="n">
        <f aca="false">AZ51*$M51</f>
        <v>0</v>
      </c>
      <c r="BB51" s="30" t="n">
        <f aca="false">3459/100</f>
        <v>34.59</v>
      </c>
      <c r="BC51" s="11" t="n">
        <v>1074</v>
      </c>
      <c r="BD51" s="31" t="n">
        <f aca="false">SUM(S51,U51,W51,Y51,AA51,AC51,AE51,AG51,AI51,AK51,AM51,AO51,AQ51,AS51,AU51,AW51,AY51,BA51)</f>
        <v>1074</v>
      </c>
      <c r="BE51" s="28" t="n">
        <f aca="false">BC51-BD51</f>
        <v>0</v>
      </c>
      <c r="BF51" s="32" t="n">
        <f aca="false">SUM(R51,T51,V51,X51,Z51,AB51,AD51,AF51,AH51,AJ51,AL51,AN51,AP51,AR51,AT51,AV51,AX51,AZ51)</f>
        <v>34.59</v>
      </c>
      <c r="BG51" s="33" t="n">
        <f aca="false">BB51-BF51</f>
        <v>0</v>
      </c>
      <c r="BH51" s="34" t="n">
        <f aca="false">BF51*M51</f>
        <v>1176.06</v>
      </c>
      <c r="BI51" s="35" t="n">
        <f aca="false">BC51-BH51</f>
        <v>-102.06</v>
      </c>
      <c r="BJ51" s="19" t="str">
        <f aca="false">IF(BI51=0,"",IF(BI51&lt;&gt;BC51,"erreur de calcul",IF(BF51&lt;&gt;0,"pas de prix",IF(M51&lt;&gt; 0,"pas de quantité","pas de prix, ni de quantité"))))</f>
        <v>erreur de calcul</v>
      </c>
      <c r="BK51" s="19"/>
    </row>
    <row r="52" customFormat="false" ht="16" hidden="false" customHeight="false" outlineLevel="0" collapsed="false">
      <c r="A52" s="0" t="n">
        <v>9</v>
      </c>
      <c r="B52" s="8" t="s">
        <v>24</v>
      </c>
      <c r="C52" s="9" t="s">
        <v>25</v>
      </c>
      <c r="D52" s="9" t="s">
        <v>26</v>
      </c>
      <c r="E52" s="10" t="n">
        <v>1789</v>
      </c>
      <c r="F52" s="9" t="s">
        <v>27</v>
      </c>
      <c r="G52" s="9" t="s">
        <v>27</v>
      </c>
      <c r="H52" s="11" t="n">
        <v>20</v>
      </c>
      <c r="I52" s="11" t="s">
        <v>125</v>
      </c>
      <c r="J52" s="14" t="n">
        <v>30</v>
      </c>
      <c r="K52" s="14"/>
      <c r="L52" s="16"/>
      <c r="M52" s="27" t="n">
        <f aca="false">J52+(K52/20)+(L52/240)</f>
        <v>30</v>
      </c>
      <c r="N52" s="17" t="s">
        <v>64</v>
      </c>
      <c r="O52" s="11"/>
      <c r="P52" s="28"/>
      <c r="Q52" s="28" t="str">
        <f aca="false">IF(O52&lt;&gt;"",P52*M52,"")</f>
        <v/>
      </c>
      <c r="R52" s="28" t="n">
        <f aca="false">31476/100</f>
        <v>314.76</v>
      </c>
      <c r="S52" s="28" t="n">
        <v>9443</v>
      </c>
      <c r="T52" s="28"/>
      <c r="U52" s="28" t="n">
        <f aca="false">T52*$M52</f>
        <v>0</v>
      </c>
      <c r="V52" s="28"/>
      <c r="W52" s="28" t="n">
        <f aca="false">V52*$M52</f>
        <v>0</v>
      </c>
      <c r="X52" s="28"/>
      <c r="Y52" s="28" t="n">
        <f aca="false">X52*$M52</f>
        <v>0</v>
      </c>
      <c r="Z52" s="28" t="n">
        <f aca="false">2320/100</f>
        <v>23.2</v>
      </c>
      <c r="AA52" s="28" t="n">
        <v>696</v>
      </c>
      <c r="AB52" s="28"/>
      <c r="AC52" s="28" t="n">
        <f aca="false">AB52*$M52</f>
        <v>0</v>
      </c>
      <c r="AD52" s="28"/>
      <c r="AE52" s="28" t="n">
        <f aca="false">AD52*$M52</f>
        <v>0</v>
      </c>
      <c r="AF52" s="28"/>
      <c r="AG52" s="28" t="n">
        <f aca="false">AF52*$M52</f>
        <v>0</v>
      </c>
      <c r="AH52" s="28"/>
      <c r="AI52" s="28" t="n">
        <f aca="false">AH52*$M52</f>
        <v>0</v>
      </c>
      <c r="AJ52" s="28"/>
      <c r="AK52" s="28" t="n">
        <f aca="false">AJ52*$M52</f>
        <v>0</v>
      </c>
      <c r="AL52" s="28"/>
      <c r="AM52" s="28" t="n">
        <f aca="false">AL52*$M52</f>
        <v>0</v>
      </c>
      <c r="AN52" s="28"/>
      <c r="AO52" s="28" t="n">
        <f aca="false">AN52*$M52</f>
        <v>0</v>
      </c>
      <c r="AP52" s="28"/>
      <c r="AQ52" s="28" t="n">
        <f aca="false">AP52*$M52</f>
        <v>0</v>
      </c>
      <c r="AR52" s="28" t="n">
        <f aca="false">5100/100</f>
        <v>51</v>
      </c>
      <c r="AS52" s="28" t="n">
        <v>1530</v>
      </c>
      <c r="AT52" s="28"/>
      <c r="AU52" s="28" t="n">
        <f aca="false">AT52*$M52</f>
        <v>0</v>
      </c>
      <c r="AV52" s="28"/>
      <c r="AW52" s="28" t="n">
        <f aca="false">AV52*$M52</f>
        <v>0</v>
      </c>
      <c r="AX52" s="28"/>
      <c r="AY52" s="28" t="n">
        <f aca="false">AX52*$M52</f>
        <v>0</v>
      </c>
      <c r="AZ52" s="28" t="n">
        <f aca="false">26345/100</f>
        <v>263.45</v>
      </c>
      <c r="BA52" s="28" t="n">
        <v>7903</v>
      </c>
      <c r="BB52" s="30" t="n">
        <f aca="false">65241/100</f>
        <v>652.41</v>
      </c>
      <c r="BC52" s="11" t="n">
        <v>19572</v>
      </c>
      <c r="BD52" s="31" t="n">
        <f aca="false">SUM(S52,U52,W52,Y52,AA52,AC52,AE52,AG52,AI52,AK52,AM52,AO52,AQ52,AS52,AU52,AW52,AY52,BA52)</f>
        <v>19572</v>
      </c>
      <c r="BE52" s="28" t="n">
        <f aca="false">BC52-BD52</f>
        <v>0</v>
      </c>
      <c r="BF52" s="32" t="n">
        <f aca="false">SUM(R52,T52,V52,X52,Z52,AB52,AD52,AF52,AH52,AJ52,AL52,AN52,AP52,AR52,AT52,AV52,AX52,AZ52)</f>
        <v>652.41</v>
      </c>
      <c r="BG52" s="33" t="n">
        <f aca="false">BB52-BF52</f>
        <v>0</v>
      </c>
      <c r="BH52" s="34" t="n">
        <f aca="false">BF52*M52</f>
        <v>19572.3</v>
      </c>
      <c r="BI52" s="35" t="n">
        <f aca="false">BC52-BH52</f>
        <v>-0.299999999999272</v>
      </c>
      <c r="BJ52" s="19" t="str">
        <f aca="false">IF(BI52=0,"",IF(BI52&lt;&gt;BC52,"erreur de calcul",IF(BF52&lt;&gt;0,"pas de prix",IF(M52&lt;&gt; 0,"pas de quantité","pas de prix, ni de quantité"))))</f>
        <v>erreur de calcul</v>
      </c>
      <c r="BK52" s="19"/>
    </row>
    <row r="53" customFormat="false" ht="16" hidden="false" customHeight="false" outlineLevel="0" collapsed="false">
      <c r="A53" s="0" t="n">
        <v>10</v>
      </c>
      <c r="B53" s="8" t="s">
        <v>24</v>
      </c>
      <c r="C53" s="9" t="s">
        <v>25</v>
      </c>
      <c r="D53" s="9" t="s">
        <v>26</v>
      </c>
      <c r="E53" s="10" t="n">
        <v>1789</v>
      </c>
      <c r="F53" s="9" t="s">
        <v>27</v>
      </c>
      <c r="G53" s="9" t="s">
        <v>27</v>
      </c>
      <c r="H53" s="11" t="n">
        <v>20</v>
      </c>
      <c r="I53" s="11" t="s">
        <v>126</v>
      </c>
      <c r="J53" s="14" t="n">
        <v>75</v>
      </c>
      <c r="K53" s="14"/>
      <c r="L53" s="16"/>
      <c r="M53" s="27" t="n">
        <f aca="false">J53+(K53/20)+(L53/240)</f>
        <v>75</v>
      </c>
      <c r="N53" s="17" t="s">
        <v>64</v>
      </c>
      <c r="O53" s="11"/>
      <c r="P53" s="28"/>
      <c r="Q53" s="28" t="str">
        <f aca="false">IF(O53&lt;&gt;"",P53*M53,"")</f>
        <v/>
      </c>
      <c r="R53" s="28"/>
      <c r="S53" s="28" t="n">
        <f aca="false">R53*$M53</f>
        <v>0</v>
      </c>
      <c r="T53" s="28"/>
      <c r="U53" s="28" t="n">
        <f aca="false">T53*$M53</f>
        <v>0</v>
      </c>
      <c r="V53" s="28"/>
      <c r="W53" s="28" t="n">
        <f aca="false">V53*$M53</f>
        <v>0</v>
      </c>
      <c r="X53" s="28" t="n">
        <f aca="false">223/100</f>
        <v>2.23</v>
      </c>
      <c r="Y53" s="28" t="n">
        <v>167</v>
      </c>
      <c r="Z53" s="28" t="n">
        <f aca="false">2897/100</f>
        <v>28.97</v>
      </c>
      <c r="AA53" s="28" t="n">
        <v>2173</v>
      </c>
      <c r="AB53" s="28"/>
      <c r="AC53" s="28" t="n">
        <f aca="false">AB53*$M53</f>
        <v>0</v>
      </c>
      <c r="AD53" s="28"/>
      <c r="AE53" s="28" t="n">
        <f aca="false">AD53*$M53</f>
        <v>0</v>
      </c>
      <c r="AF53" s="28"/>
      <c r="AG53" s="28" t="n">
        <f aca="false">AF53*$M53</f>
        <v>0</v>
      </c>
      <c r="AH53" s="28"/>
      <c r="AI53" s="28" t="n">
        <f aca="false">AH53*$M53</f>
        <v>0</v>
      </c>
      <c r="AJ53" s="28"/>
      <c r="AK53" s="28" t="n">
        <f aca="false">AJ53*$M53</f>
        <v>0</v>
      </c>
      <c r="AL53" s="28"/>
      <c r="AM53" s="28" t="n">
        <f aca="false">AL53*$M53</f>
        <v>0</v>
      </c>
      <c r="AN53" s="28"/>
      <c r="AO53" s="28" t="n">
        <f aca="false">AN53*$M53</f>
        <v>0</v>
      </c>
      <c r="AP53" s="28"/>
      <c r="AQ53" s="28" t="n">
        <f aca="false">AP53*$M53</f>
        <v>0</v>
      </c>
      <c r="AR53" s="28"/>
      <c r="AS53" s="28" t="n">
        <f aca="false">AR53*$M53</f>
        <v>0</v>
      </c>
      <c r="AT53" s="28"/>
      <c r="AU53" s="28" t="n">
        <f aca="false">AT53*$M53</f>
        <v>0</v>
      </c>
      <c r="AV53" s="28"/>
      <c r="AW53" s="28" t="n">
        <f aca="false">AV53*$M53</f>
        <v>0</v>
      </c>
      <c r="AX53" s="28"/>
      <c r="AY53" s="28" t="n">
        <f aca="false">AX53*$M53</f>
        <v>0</v>
      </c>
      <c r="AZ53" s="28"/>
      <c r="BA53" s="28" t="n">
        <f aca="false">AZ53*$M53</f>
        <v>0</v>
      </c>
      <c r="BB53" s="30" t="n">
        <f aca="false">3120/100</f>
        <v>31.2</v>
      </c>
      <c r="BC53" s="11" t="n">
        <v>2340</v>
      </c>
      <c r="BD53" s="31" t="n">
        <f aca="false">SUM(S53,U53,W53,Y53,AA53,AC53,AE53,AG53,AI53,AK53,AM53,AO53,AQ53,AS53,AU53,AW53,AY53,BA53)</f>
        <v>2340</v>
      </c>
      <c r="BE53" s="28" t="n">
        <f aca="false">BC53-BD53</f>
        <v>0</v>
      </c>
      <c r="BF53" s="32" t="n">
        <f aca="false">SUM(R53,T53,V53,X53,Z53,AB53,AD53,AF53,AH53,AJ53,AL53,AN53,AP53,AR53,AT53,AV53,AX53,AZ53)</f>
        <v>31.2</v>
      </c>
      <c r="BG53" s="33" t="n">
        <f aca="false">BB53-BF53</f>
        <v>0</v>
      </c>
      <c r="BH53" s="34" t="n">
        <f aca="false">BF53*M53</f>
        <v>2340</v>
      </c>
      <c r="BI53" s="35" t="n">
        <f aca="false">BC53-BH53</f>
        <v>0</v>
      </c>
      <c r="BJ53" s="19" t="str">
        <f aca="false">IF(BI53=0,"",IF(BI53&lt;&gt;BC53,"erreur de calcul",IF(BF53&lt;&gt;0,"pas de prix",IF(M53&lt;&gt; 0,"pas de quantité","pas de prix, ni de quantité"))))</f>
        <v/>
      </c>
      <c r="BK53" s="19"/>
    </row>
    <row r="54" customFormat="false" ht="16" hidden="false" customHeight="false" outlineLevel="0" collapsed="false">
      <c r="A54" s="0" t="n">
        <v>11</v>
      </c>
      <c r="B54" s="8" t="s">
        <v>24</v>
      </c>
      <c r="C54" s="9" t="s">
        <v>25</v>
      </c>
      <c r="D54" s="9" t="s">
        <v>26</v>
      </c>
      <c r="E54" s="10" t="n">
        <v>1789</v>
      </c>
      <c r="F54" s="9" t="s">
        <v>27</v>
      </c>
      <c r="G54" s="9" t="s">
        <v>27</v>
      </c>
      <c r="H54" s="11" t="n">
        <v>20</v>
      </c>
      <c r="I54" s="11" t="s">
        <v>127</v>
      </c>
      <c r="J54" s="14" t="n">
        <v>75</v>
      </c>
      <c r="K54" s="14"/>
      <c r="L54" s="16"/>
      <c r="M54" s="27" t="n">
        <f aca="false">J54+(K54/20)+(L54/240)</f>
        <v>75</v>
      </c>
      <c r="N54" s="17" t="s">
        <v>64</v>
      </c>
      <c r="O54" s="11"/>
      <c r="P54" s="28"/>
      <c r="Q54" s="28" t="str">
        <f aca="false">IF(O54&lt;&gt;"",P54*M54,"")</f>
        <v/>
      </c>
      <c r="R54" s="28"/>
      <c r="S54" s="28" t="n">
        <f aca="false">R54*$M54</f>
        <v>0</v>
      </c>
      <c r="T54" s="28"/>
      <c r="U54" s="28" t="n">
        <f aca="false">T54*$M54</f>
        <v>0</v>
      </c>
      <c r="V54" s="28" t="n">
        <f aca="false">5807/100</f>
        <v>58.07</v>
      </c>
      <c r="W54" s="28" t="n">
        <v>4355</v>
      </c>
      <c r="X54" s="28"/>
      <c r="Y54" s="28" t="n">
        <f aca="false">X54*$M54</f>
        <v>0</v>
      </c>
      <c r="Z54" s="28"/>
      <c r="AA54" s="28" t="n">
        <f aca="false">Z54*$M54</f>
        <v>0</v>
      </c>
      <c r="AB54" s="28"/>
      <c r="AC54" s="28" t="n">
        <f aca="false">AB54*$M54</f>
        <v>0</v>
      </c>
      <c r="AD54" s="28"/>
      <c r="AE54" s="28" t="n">
        <f aca="false">AD54*$M54</f>
        <v>0</v>
      </c>
      <c r="AF54" s="28"/>
      <c r="AG54" s="28" t="n">
        <f aca="false">AF54*$M54</f>
        <v>0</v>
      </c>
      <c r="AH54" s="28"/>
      <c r="AI54" s="28" t="n">
        <f aca="false">AH54*$M54</f>
        <v>0</v>
      </c>
      <c r="AJ54" s="28"/>
      <c r="AK54" s="28" t="n">
        <f aca="false">AJ54*$M54</f>
        <v>0</v>
      </c>
      <c r="AL54" s="28"/>
      <c r="AM54" s="28" t="n">
        <f aca="false">AL54*$M54</f>
        <v>0</v>
      </c>
      <c r="AN54" s="28"/>
      <c r="AO54" s="28" t="n">
        <f aca="false">AN54*$M54</f>
        <v>0</v>
      </c>
      <c r="AP54" s="28"/>
      <c r="AQ54" s="28" t="n">
        <f aca="false">AP54*$M54</f>
        <v>0</v>
      </c>
      <c r="AR54" s="28"/>
      <c r="AS54" s="28" t="n">
        <f aca="false">AR54*$M54</f>
        <v>0</v>
      </c>
      <c r="AT54" s="28"/>
      <c r="AU54" s="28" t="n">
        <f aca="false">AT54*$M54</f>
        <v>0</v>
      </c>
      <c r="AV54" s="28"/>
      <c r="AW54" s="28" t="n">
        <f aca="false">AV54*$M54</f>
        <v>0</v>
      </c>
      <c r="AX54" s="28"/>
      <c r="AY54" s="28" t="n">
        <f aca="false">AX54*$M54</f>
        <v>0</v>
      </c>
      <c r="AZ54" s="28"/>
      <c r="BA54" s="28" t="n">
        <f aca="false">AZ54*$M54</f>
        <v>0</v>
      </c>
      <c r="BB54" s="30" t="n">
        <f aca="false">5807/100</f>
        <v>58.07</v>
      </c>
      <c r="BC54" s="11" t="n">
        <v>4355</v>
      </c>
      <c r="BD54" s="31" t="n">
        <f aca="false">SUM(S54,U54,W54,Y54,AA54,AC54,AE54,AG54,AI54,AK54,AM54,AO54,AQ54,AS54,AU54,AW54,AY54,BA54)</f>
        <v>4355</v>
      </c>
      <c r="BE54" s="28" t="n">
        <f aca="false">BC54-BD54</f>
        <v>0</v>
      </c>
      <c r="BF54" s="32" t="n">
        <f aca="false">SUM(R54,T54,V54,X54,Z54,AB54,AD54,AF54,AH54,AJ54,AL54,AN54,AP54,AR54,AT54,AV54,AX54,AZ54)</f>
        <v>58.07</v>
      </c>
      <c r="BG54" s="33" t="n">
        <f aca="false">BB54-BF54</f>
        <v>0</v>
      </c>
      <c r="BH54" s="34" t="n">
        <f aca="false">BF54*M54</f>
        <v>4355.25</v>
      </c>
      <c r="BI54" s="35" t="n">
        <f aca="false">BC54-BH54</f>
        <v>-0.25</v>
      </c>
      <c r="BJ54" s="19" t="str">
        <f aca="false">IF(BI54=0,"",IF(BI54&lt;&gt;BC54,"erreur de calcul",IF(BF54&lt;&gt;0,"pas de prix",IF(M54&lt;&gt; 0,"pas de quantité","pas de prix, ni de quantité"))))</f>
        <v>erreur de calcul</v>
      </c>
      <c r="BK54" s="19"/>
    </row>
    <row r="55" customFormat="false" ht="16" hidden="false" customHeight="false" outlineLevel="0" collapsed="false">
      <c r="A55" s="0" t="n">
        <v>12</v>
      </c>
      <c r="B55" s="8" t="s">
        <v>24</v>
      </c>
      <c r="C55" s="9" t="s">
        <v>25</v>
      </c>
      <c r="D55" s="9" t="s">
        <v>26</v>
      </c>
      <c r="E55" s="10" t="n">
        <v>1789</v>
      </c>
      <c r="F55" s="9" t="s">
        <v>27</v>
      </c>
      <c r="G55" s="9" t="s">
        <v>27</v>
      </c>
      <c r="H55" s="11" t="n">
        <v>20</v>
      </c>
      <c r="I55" s="11" t="s">
        <v>128</v>
      </c>
      <c r="J55" s="14" t="n">
        <v>42</v>
      </c>
      <c r="K55" s="14"/>
      <c r="L55" s="16"/>
      <c r="M55" s="27" t="n">
        <f aca="false">J55+(K55/20)+(L55/240)</f>
        <v>42</v>
      </c>
      <c r="N55" s="17" t="s">
        <v>64</v>
      </c>
      <c r="O55" s="11"/>
      <c r="P55" s="28"/>
      <c r="Q55" s="28" t="str">
        <f aca="false">IF(O55&lt;&gt;"",P55*M55,"")</f>
        <v/>
      </c>
      <c r="R55" s="28"/>
      <c r="S55" s="28" t="n">
        <f aca="false">R55*$M55</f>
        <v>0</v>
      </c>
      <c r="T55" s="28"/>
      <c r="U55" s="28" t="n">
        <f aca="false">T55*$M55</f>
        <v>0</v>
      </c>
      <c r="V55" s="28" t="n">
        <f aca="false">347073/100</f>
        <v>3470.73</v>
      </c>
      <c r="W55" s="28" t="n">
        <v>145771</v>
      </c>
      <c r="X55" s="28" t="n">
        <f aca="false">188616/100</f>
        <v>1886.16</v>
      </c>
      <c r="Y55" s="28" t="n">
        <v>79219</v>
      </c>
      <c r="Z55" s="28" t="n">
        <f aca="false">518894/100</f>
        <v>5188.94</v>
      </c>
      <c r="AA55" s="28" t="n">
        <v>217935</v>
      </c>
      <c r="AB55" s="28" t="n">
        <f aca="false">965148/100</f>
        <v>9651.48</v>
      </c>
      <c r="AC55" s="28" t="n">
        <v>405362</v>
      </c>
      <c r="AD55" s="28" t="n">
        <f aca="false">759238/100</f>
        <v>7592.38</v>
      </c>
      <c r="AE55" s="28" t="n">
        <v>318880</v>
      </c>
      <c r="AF55" s="28" t="n">
        <f aca="false">254167/100</f>
        <v>2541.67</v>
      </c>
      <c r="AG55" s="28" t="n">
        <v>106750</v>
      </c>
      <c r="AH55" s="28"/>
      <c r="AI55" s="28" t="n">
        <f aca="false">AH55*$M55</f>
        <v>0</v>
      </c>
      <c r="AJ55" s="28"/>
      <c r="AK55" s="28" t="n">
        <f aca="false">AJ55*$M55</f>
        <v>0</v>
      </c>
      <c r="AL55" s="28"/>
      <c r="AM55" s="28" t="n">
        <f aca="false">AL55*$M55</f>
        <v>0</v>
      </c>
      <c r="AN55" s="28" t="n">
        <f aca="false">73551/100</f>
        <v>735.51</v>
      </c>
      <c r="AO55" s="28" t="n">
        <v>30891</v>
      </c>
      <c r="AP55" s="28"/>
      <c r="AQ55" s="28" t="n">
        <f aca="false">AP55*$M55</f>
        <v>0</v>
      </c>
      <c r="AR55" s="28" t="n">
        <f aca="false">45836/100</f>
        <v>458.36</v>
      </c>
      <c r="AS55" s="28" t="n">
        <v>19251</v>
      </c>
      <c r="AT55" s="28"/>
      <c r="AU55" s="28" t="n">
        <f aca="false">AT55*$M55</f>
        <v>0</v>
      </c>
      <c r="AV55" s="28"/>
      <c r="AW55" s="28" t="n">
        <f aca="false">AV55*$M55</f>
        <v>0</v>
      </c>
      <c r="AX55" s="28" t="n">
        <f aca="false">566574/100</f>
        <v>5665.74</v>
      </c>
      <c r="AY55" s="28" t="n">
        <v>237961</v>
      </c>
      <c r="AZ55" s="28"/>
      <c r="BA55" s="28" t="n">
        <f aca="false">AZ55*$M55</f>
        <v>0</v>
      </c>
      <c r="BB55" s="30" t="n">
        <f aca="false">3719097/100</f>
        <v>37190.97</v>
      </c>
      <c r="BC55" s="11" t="n">
        <v>1562020</v>
      </c>
      <c r="BD55" s="31" t="n">
        <f aca="false">SUM(S55,U55,W55,Y55,AA55,AC55,AE55,AG55,AI55,AK55,AM55,AO55,AQ55,AS55,AU55,AW55,AY55,BA55)</f>
        <v>1562020</v>
      </c>
      <c r="BE55" s="28" t="n">
        <f aca="false">BC55-BD55</f>
        <v>0</v>
      </c>
      <c r="BF55" s="32" t="n">
        <f aca="false">SUM(R55,T55,V55,X55,Z55,AB55,AD55,AF55,AH55,AJ55,AL55,AN55,AP55,AR55,AT55,AV55,AX55,AZ55)</f>
        <v>37190.97</v>
      </c>
      <c r="BG55" s="33" t="n">
        <f aca="false">BB55-BF55</f>
        <v>0</v>
      </c>
      <c r="BH55" s="34" t="n">
        <f aca="false">BF55*M55</f>
        <v>1562020.74</v>
      </c>
      <c r="BI55" s="35" t="n">
        <f aca="false">BC55-BH55</f>
        <v>-0.739999999990687</v>
      </c>
      <c r="BJ55" s="19" t="str">
        <f aca="false">IF(BI55=0,"",IF(BI55&lt;&gt;BC55,"erreur de calcul",IF(BF55&lt;&gt;0,"pas de prix",IF(M55&lt;&gt; 0,"pas de quantité","pas de prix, ni de quantité"))))</f>
        <v>erreur de calcul</v>
      </c>
      <c r="BK55" s="19"/>
    </row>
    <row r="56" customFormat="false" ht="16" hidden="false" customHeight="false" outlineLevel="0" collapsed="false">
      <c r="A56" s="0" t="n">
        <v>13</v>
      </c>
      <c r="B56" s="8" t="s">
        <v>24</v>
      </c>
      <c r="C56" s="9" t="s">
        <v>25</v>
      </c>
      <c r="D56" s="9" t="s">
        <v>26</v>
      </c>
      <c r="E56" s="10" t="n">
        <v>1789</v>
      </c>
      <c r="F56" s="9" t="s">
        <v>27</v>
      </c>
      <c r="G56" s="9" t="s">
        <v>27</v>
      </c>
      <c r="H56" s="11" t="n">
        <v>20</v>
      </c>
      <c r="I56" s="11" t="s">
        <v>129</v>
      </c>
      <c r="J56" s="14" t="n">
        <v>75</v>
      </c>
      <c r="K56" s="14"/>
      <c r="L56" s="16"/>
      <c r="M56" s="27" t="n">
        <f aca="false">J56+(K56/20)+(L56/240)</f>
        <v>75</v>
      </c>
      <c r="N56" s="17" t="s">
        <v>64</v>
      </c>
      <c r="O56" s="11"/>
      <c r="P56" s="28"/>
      <c r="Q56" s="28" t="str">
        <f aca="false">IF(O56&lt;&gt;"",P56*M56,"")</f>
        <v/>
      </c>
      <c r="R56" s="28"/>
      <c r="S56" s="28" t="n">
        <f aca="false">R56*$M56</f>
        <v>0</v>
      </c>
      <c r="T56" s="28"/>
      <c r="U56" s="28" t="n">
        <f aca="false">T56*$M56</f>
        <v>0</v>
      </c>
      <c r="V56" s="28"/>
      <c r="W56" s="28" t="n">
        <f aca="false">V56*$M56</f>
        <v>0</v>
      </c>
      <c r="X56" s="28" t="n">
        <f aca="false">3418/100</f>
        <v>34.18</v>
      </c>
      <c r="Y56" s="28" t="n">
        <v>2563</v>
      </c>
      <c r="Z56" s="28" t="n">
        <f aca="false">3755/100</f>
        <v>37.55</v>
      </c>
      <c r="AA56" s="28" t="n">
        <v>2817</v>
      </c>
      <c r="AB56" s="28"/>
      <c r="AC56" s="28" t="n">
        <f aca="false">AB56*$M56</f>
        <v>0</v>
      </c>
      <c r="AD56" s="28" t="n">
        <f aca="false">75529/100</f>
        <v>755.29</v>
      </c>
      <c r="AE56" s="28" t="n">
        <v>56647</v>
      </c>
      <c r="AF56" s="28"/>
      <c r="AG56" s="28" t="n">
        <f aca="false">AF56*$M56</f>
        <v>0</v>
      </c>
      <c r="AH56" s="28"/>
      <c r="AI56" s="28" t="n">
        <f aca="false">AH56*$M56</f>
        <v>0</v>
      </c>
      <c r="AJ56" s="28"/>
      <c r="AK56" s="28" t="n">
        <f aca="false">AJ56*$M56</f>
        <v>0</v>
      </c>
      <c r="AL56" s="28"/>
      <c r="AM56" s="28" t="n">
        <f aca="false">AL56*$M56</f>
        <v>0</v>
      </c>
      <c r="AN56" s="28"/>
      <c r="AO56" s="28" t="n">
        <f aca="false">AN56*$M56</f>
        <v>0</v>
      </c>
      <c r="AP56" s="28"/>
      <c r="AQ56" s="28" t="n">
        <f aca="false">AP56*$M56</f>
        <v>0</v>
      </c>
      <c r="AR56" s="28"/>
      <c r="AS56" s="28" t="n">
        <f aca="false">AR56*$M56</f>
        <v>0</v>
      </c>
      <c r="AT56" s="28"/>
      <c r="AU56" s="28" t="n">
        <f aca="false">AT56*$M56</f>
        <v>0</v>
      </c>
      <c r="AV56" s="28"/>
      <c r="AW56" s="28" t="n">
        <f aca="false">AV56*$M56</f>
        <v>0</v>
      </c>
      <c r="AX56" s="28"/>
      <c r="AY56" s="28" t="n">
        <f aca="false">AX56*$M56</f>
        <v>0</v>
      </c>
      <c r="AZ56" s="28"/>
      <c r="BA56" s="28" t="n">
        <f aca="false">AZ56*$M56</f>
        <v>0</v>
      </c>
      <c r="BB56" s="30" t="n">
        <f aca="false">82702/100</f>
        <v>827.02</v>
      </c>
      <c r="BC56" s="11" t="n">
        <v>62027</v>
      </c>
      <c r="BD56" s="31" t="n">
        <f aca="false">SUM(S56,U56,W56,Y56,AA56,AC56,AE56,AG56,AI56,AK56,AM56,AO56,AQ56,AS56,AU56,AW56,AY56,BA56)</f>
        <v>62027</v>
      </c>
      <c r="BE56" s="28" t="n">
        <f aca="false">BC56-BD56</f>
        <v>0</v>
      </c>
      <c r="BF56" s="32" t="n">
        <f aca="false">SUM(R56,T56,V56,X56,Z56,AB56,AD56,AF56,AH56,AJ56,AL56,AN56,AP56,AR56,AT56,AV56,AX56,AZ56)</f>
        <v>827.02</v>
      </c>
      <c r="BG56" s="33" t="n">
        <f aca="false">BB56-BF56</f>
        <v>0</v>
      </c>
      <c r="BH56" s="34" t="n">
        <f aca="false">BF56*M56</f>
        <v>62026.5</v>
      </c>
      <c r="BI56" s="35" t="n">
        <f aca="false">BC56-BH56</f>
        <v>0.500000000007276</v>
      </c>
      <c r="BJ56" s="19" t="str">
        <f aca="false">IF(BI56=0,"",IF(BI56&lt;&gt;BC56,"erreur de calcul",IF(BF56&lt;&gt;0,"pas de prix",IF(M56&lt;&gt; 0,"pas de quantité","pas de prix, ni de quantité"))))</f>
        <v>erreur de calcul</v>
      </c>
      <c r="BK56" s="19"/>
    </row>
    <row r="57" customFormat="false" ht="16" hidden="false" customHeight="false" outlineLevel="0" collapsed="false">
      <c r="A57" s="0" t="n">
        <v>14</v>
      </c>
      <c r="B57" s="8" t="s">
        <v>24</v>
      </c>
      <c r="C57" s="9" t="s">
        <v>25</v>
      </c>
      <c r="D57" s="9" t="s">
        <v>26</v>
      </c>
      <c r="E57" s="10" t="n">
        <v>1789</v>
      </c>
      <c r="F57" s="9" t="s">
        <v>27</v>
      </c>
      <c r="G57" s="9" t="s">
        <v>27</v>
      </c>
      <c r="H57" s="11" t="n">
        <v>20</v>
      </c>
      <c r="I57" s="11" t="s">
        <v>130</v>
      </c>
      <c r="J57" s="14" t="n">
        <v>170</v>
      </c>
      <c r="K57" s="14"/>
      <c r="L57" s="16"/>
      <c r="M57" s="27" t="n">
        <f aca="false">J57+(K57/20)+(L57/240)</f>
        <v>170</v>
      </c>
      <c r="N57" s="17" t="s">
        <v>64</v>
      </c>
      <c r="O57" s="11"/>
      <c r="P57" s="28"/>
      <c r="Q57" s="28" t="str">
        <f aca="false">IF(O57&lt;&gt;"",P57*M57,"")</f>
        <v/>
      </c>
      <c r="R57" s="28"/>
      <c r="S57" s="28" t="n">
        <f aca="false">R57*$M57</f>
        <v>0</v>
      </c>
      <c r="T57" s="28"/>
      <c r="U57" s="28" t="n">
        <f aca="false">T57*$M57</f>
        <v>0</v>
      </c>
      <c r="V57" s="28" t="n">
        <f aca="false">488/100</f>
        <v>4.88</v>
      </c>
      <c r="W57" s="28" t="n">
        <v>830</v>
      </c>
      <c r="X57" s="28"/>
      <c r="Y57" s="28" t="n">
        <f aca="false">X57*$M57</f>
        <v>0</v>
      </c>
      <c r="Z57" s="28" t="n">
        <f aca="false">8480/100</f>
        <v>84.8</v>
      </c>
      <c r="AA57" s="28" t="n">
        <v>14416</v>
      </c>
      <c r="AB57" s="28"/>
      <c r="AC57" s="28" t="n">
        <f aca="false">AB57*$M57</f>
        <v>0</v>
      </c>
      <c r="AD57" s="28" t="n">
        <f aca="false">291/100</f>
        <v>2.91</v>
      </c>
      <c r="AE57" s="28" t="n">
        <v>495</v>
      </c>
      <c r="AF57" s="28"/>
      <c r="AG57" s="28" t="n">
        <f aca="false">AF57*$M57</f>
        <v>0</v>
      </c>
      <c r="AH57" s="28"/>
      <c r="AI57" s="28" t="n">
        <f aca="false">AH57*$M57</f>
        <v>0</v>
      </c>
      <c r="AJ57" s="28"/>
      <c r="AK57" s="28" t="n">
        <f aca="false">AJ57*$M57</f>
        <v>0</v>
      </c>
      <c r="AL57" s="28"/>
      <c r="AM57" s="28" t="n">
        <f aca="false">AL57*$M57</f>
        <v>0</v>
      </c>
      <c r="AN57" s="28"/>
      <c r="AO57" s="28" t="n">
        <f aca="false">AN57*$M57</f>
        <v>0</v>
      </c>
      <c r="AP57" s="28"/>
      <c r="AQ57" s="28" t="n">
        <f aca="false">AP57*$M57</f>
        <v>0</v>
      </c>
      <c r="AR57" s="28"/>
      <c r="AS57" s="28" t="n">
        <f aca="false">AR57*$M57</f>
        <v>0</v>
      </c>
      <c r="AT57" s="28"/>
      <c r="AU57" s="28" t="n">
        <f aca="false">AT57*$M57</f>
        <v>0</v>
      </c>
      <c r="AV57" s="28"/>
      <c r="AW57" s="28" t="n">
        <f aca="false">AV57*$M57</f>
        <v>0</v>
      </c>
      <c r="AX57" s="28"/>
      <c r="AY57" s="28" t="n">
        <f aca="false">AX57*$M57</f>
        <v>0</v>
      </c>
      <c r="AZ57" s="28"/>
      <c r="BA57" s="28" t="n">
        <f aca="false">AZ57*$M57</f>
        <v>0</v>
      </c>
      <c r="BB57" s="30" t="n">
        <f aca="false">9259/100</f>
        <v>92.59</v>
      </c>
      <c r="BC57" s="11" t="n">
        <v>15741</v>
      </c>
      <c r="BD57" s="31" t="n">
        <f aca="false">SUM(S57,U57,W57,Y57,AA57,AC57,AE57,AG57,AI57,AK57,AM57,AO57,AQ57,AS57,AU57,AW57,AY57,BA57)</f>
        <v>15741</v>
      </c>
      <c r="BE57" s="28" t="n">
        <f aca="false">BC57-BD57</f>
        <v>0</v>
      </c>
      <c r="BF57" s="32" t="n">
        <f aca="false">SUM(R57,T57,V57,X57,Z57,AB57,AD57,AF57,AH57,AJ57,AL57,AN57,AP57,AR57,AT57,AV57,AX57,AZ57)</f>
        <v>92.59</v>
      </c>
      <c r="BG57" s="33" t="n">
        <f aca="false">BB57-BF57</f>
        <v>0</v>
      </c>
      <c r="BH57" s="34" t="n">
        <f aca="false">BF57*M57</f>
        <v>15740.3</v>
      </c>
      <c r="BI57" s="35" t="n">
        <f aca="false">BC57-BH57</f>
        <v>0.700000000002547</v>
      </c>
      <c r="BJ57" s="19" t="str">
        <f aca="false">IF(BI57=0,"",IF(BI57&lt;&gt;BC57,"erreur de calcul",IF(BF57&lt;&gt;0,"pas de prix",IF(M57&lt;&gt; 0,"pas de quantité","pas de prix, ni de quantité"))))</f>
        <v>erreur de calcul</v>
      </c>
      <c r="BK57" s="19"/>
    </row>
    <row r="58" customFormat="false" ht="16" hidden="false" customHeight="false" outlineLevel="0" collapsed="false">
      <c r="A58" s="0" t="n">
        <v>15</v>
      </c>
      <c r="B58" s="8" t="s">
        <v>24</v>
      </c>
      <c r="C58" s="9" t="s">
        <v>25</v>
      </c>
      <c r="D58" s="9" t="s">
        <v>26</v>
      </c>
      <c r="E58" s="10" t="n">
        <v>1789</v>
      </c>
      <c r="F58" s="9" t="s">
        <v>27</v>
      </c>
      <c r="G58" s="9" t="s">
        <v>27</v>
      </c>
      <c r="H58" s="11" t="n">
        <v>20</v>
      </c>
      <c r="I58" s="11" t="s">
        <v>131</v>
      </c>
      <c r="J58" s="14"/>
      <c r="K58" s="14" t="n">
        <v>55</v>
      </c>
      <c r="L58" s="16"/>
      <c r="M58" s="27" t="n">
        <f aca="false">J58+(K58/20)+(L58/240)</f>
        <v>2.75</v>
      </c>
      <c r="N58" s="17" t="s">
        <v>64</v>
      </c>
      <c r="O58" s="11"/>
      <c r="P58" s="28"/>
      <c r="Q58" s="28" t="str">
        <f aca="false">IF(O58&lt;&gt;"",P58*M58,"")</f>
        <v/>
      </c>
      <c r="R58" s="28"/>
      <c r="S58" s="28" t="n">
        <f aca="false">R58*$M58</f>
        <v>0</v>
      </c>
      <c r="T58" s="28"/>
      <c r="U58" s="28" t="n">
        <f aca="false">T58*$M58</f>
        <v>0</v>
      </c>
      <c r="V58" s="28"/>
      <c r="W58" s="28" t="n">
        <f aca="false">V58*$M58</f>
        <v>0</v>
      </c>
      <c r="X58" s="28"/>
      <c r="Y58" s="28" t="n">
        <f aca="false">X58*$M58</f>
        <v>0</v>
      </c>
      <c r="Z58" s="28" t="n">
        <f aca="false">3875617/100</f>
        <v>38756.17</v>
      </c>
      <c r="AA58" s="28" t="n">
        <v>106579</v>
      </c>
      <c r="AB58" s="28" t="n">
        <f aca="false">62500/100</f>
        <v>625</v>
      </c>
      <c r="AC58" s="28" t="n">
        <v>1719</v>
      </c>
      <c r="AD58" s="28" t="n">
        <f aca="false">360000/100</f>
        <v>3600</v>
      </c>
      <c r="AE58" s="28" t="n">
        <v>9900</v>
      </c>
      <c r="AF58" s="28"/>
      <c r="AG58" s="28" t="n">
        <f aca="false">AF58*$M58</f>
        <v>0</v>
      </c>
      <c r="AH58" s="28"/>
      <c r="AI58" s="28" t="n">
        <f aca="false">AH58*$M58</f>
        <v>0</v>
      </c>
      <c r="AJ58" s="28"/>
      <c r="AK58" s="28" t="n">
        <f aca="false">AJ58*$M58</f>
        <v>0</v>
      </c>
      <c r="AL58" s="28"/>
      <c r="AM58" s="28" t="n">
        <f aca="false">AL58*$M58</f>
        <v>0</v>
      </c>
      <c r="AN58" s="28"/>
      <c r="AO58" s="28" t="n">
        <f aca="false">AN58*$M58</f>
        <v>0</v>
      </c>
      <c r="AP58" s="28"/>
      <c r="AQ58" s="28" t="n">
        <f aca="false">AP58*$M58</f>
        <v>0</v>
      </c>
      <c r="AR58" s="28"/>
      <c r="AS58" s="28" t="n">
        <f aca="false">AR58*$M58</f>
        <v>0</v>
      </c>
      <c r="AT58" s="28"/>
      <c r="AU58" s="28" t="n">
        <f aca="false">AT58*$M58</f>
        <v>0</v>
      </c>
      <c r="AV58" s="28"/>
      <c r="AW58" s="28" t="n">
        <f aca="false">AV58*$M58</f>
        <v>0</v>
      </c>
      <c r="AX58" s="28"/>
      <c r="AY58" s="28" t="n">
        <f aca="false">AX58*$M58</f>
        <v>0</v>
      </c>
      <c r="AZ58" s="28"/>
      <c r="BA58" s="28" t="n">
        <f aca="false">AZ58*$M58</f>
        <v>0</v>
      </c>
      <c r="BB58" s="30" t="n">
        <f aca="false">4298117/100</f>
        <v>42981.17</v>
      </c>
      <c r="BC58" s="11" t="n">
        <v>118198</v>
      </c>
      <c r="BD58" s="31" t="n">
        <f aca="false">SUM(S58,U58,W58,Y58,AA58,AC58,AE58,AG58,AI58,AK58,AM58,AO58,AQ58,AS58,AU58,AW58,AY58,BA58)</f>
        <v>118198</v>
      </c>
      <c r="BE58" s="28" t="n">
        <f aca="false">BC58-BD58</f>
        <v>0</v>
      </c>
      <c r="BF58" s="32" t="n">
        <f aca="false">SUM(R58,T58,V58,X58,Z58,AB58,AD58,AF58,AH58,AJ58,AL58,AN58,AP58,AR58,AT58,AV58,AX58,AZ58)</f>
        <v>42981.17</v>
      </c>
      <c r="BG58" s="33" t="n">
        <f aca="false">BB58-BF58</f>
        <v>0</v>
      </c>
      <c r="BH58" s="34" t="n">
        <f aca="false">BF58*M58</f>
        <v>118198.2175</v>
      </c>
      <c r="BI58" s="35" t="n">
        <f aca="false">BC58-BH58</f>
        <v>-0.217499999998836</v>
      </c>
      <c r="BJ58" s="19" t="str">
        <f aca="false">IF(BI58=0,"",IF(BI58&lt;&gt;BC58,"erreur de calcul",IF(BF58&lt;&gt;0,"pas de prix",IF(M58&lt;&gt; 0,"pas de quantité","pas de prix, ni de quantité"))))</f>
        <v>erreur de calcul</v>
      </c>
      <c r="BK58" s="19"/>
    </row>
    <row r="59" customFormat="false" ht="16" hidden="false" customHeight="false" outlineLevel="0" collapsed="false">
      <c r="A59" s="0" t="n">
        <v>16</v>
      </c>
      <c r="B59" s="8" t="s">
        <v>24</v>
      </c>
      <c r="C59" s="9" t="s">
        <v>25</v>
      </c>
      <c r="D59" s="9" t="s">
        <v>26</v>
      </c>
      <c r="E59" s="10" t="n">
        <v>1789</v>
      </c>
      <c r="F59" s="9" t="s">
        <v>27</v>
      </c>
      <c r="G59" s="9" t="s">
        <v>27</v>
      </c>
      <c r="H59" s="11" t="n">
        <v>20</v>
      </c>
      <c r="I59" s="11" t="s">
        <v>132</v>
      </c>
      <c r="J59" s="14"/>
      <c r="K59" s="14" t="n">
        <v>50</v>
      </c>
      <c r="L59" s="16"/>
      <c r="M59" s="27" t="n">
        <f aca="false">J59+(K59/20)+(L59/240)</f>
        <v>2.5</v>
      </c>
      <c r="N59" s="17" t="s">
        <v>64</v>
      </c>
      <c r="O59" s="11"/>
      <c r="P59" s="28"/>
      <c r="Q59" s="28" t="str">
        <f aca="false">IF(O59&lt;&gt;"",P59*M59,"")</f>
        <v/>
      </c>
      <c r="R59" s="28"/>
      <c r="S59" s="28" t="n">
        <f aca="false">R59*$M59</f>
        <v>0</v>
      </c>
      <c r="T59" s="28"/>
      <c r="U59" s="28" t="n">
        <f aca="false">T59*$M59</f>
        <v>0</v>
      </c>
      <c r="V59" s="28"/>
      <c r="W59" s="28" t="n">
        <f aca="false">V59*$M59</f>
        <v>0</v>
      </c>
      <c r="X59" s="28" t="n">
        <f aca="false">25000/100</f>
        <v>250</v>
      </c>
      <c r="Y59" s="28" t="n">
        <v>625</v>
      </c>
      <c r="Z59" s="28" t="n">
        <f aca="false">9335/100</f>
        <v>93.35</v>
      </c>
      <c r="AA59" s="28" t="n">
        <v>233</v>
      </c>
      <c r="AB59" s="28"/>
      <c r="AC59" s="28" t="n">
        <f aca="false">AB59*$M59</f>
        <v>0</v>
      </c>
      <c r="AD59" s="28"/>
      <c r="AE59" s="28" t="n">
        <f aca="false">AD59*$M59</f>
        <v>0</v>
      </c>
      <c r="AF59" s="28"/>
      <c r="AG59" s="28" t="n">
        <f aca="false">AF59*$M59</f>
        <v>0</v>
      </c>
      <c r="AH59" s="28"/>
      <c r="AI59" s="28" t="n">
        <f aca="false">AH59*$M59</f>
        <v>0</v>
      </c>
      <c r="AJ59" s="28"/>
      <c r="AK59" s="28" t="n">
        <f aca="false">AJ59*$M59</f>
        <v>0</v>
      </c>
      <c r="AL59" s="28"/>
      <c r="AM59" s="28" t="n">
        <f aca="false">AL59*$M59</f>
        <v>0</v>
      </c>
      <c r="AN59" s="28"/>
      <c r="AO59" s="28" t="n">
        <f aca="false">AN59*$M59</f>
        <v>0</v>
      </c>
      <c r="AP59" s="28"/>
      <c r="AQ59" s="28" t="n">
        <f aca="false">AP59*$M59</f>
        <v>0</v>
      </c>
      <c r="AR59" s="28"/>
      <c r="AS59" s="28" t="n">
        <f aca="false">AR59*$M59</f>
        <v>0</v>
      </c>
      <c r="AT59" s="28"/>
      <c r="AU59" s="28" t="n">
        <f aca="false">AT59*$M59</f>
        <v>0</v>
      </c>
      <c r="AV59" s="28"/>
      <c r="AW59" s="28" t="n">
        <f aca="false">AV59*$M59</f>
        <v>0</v>
      </c>
      <c r="AX59" s="28"/>
      <c r="AY59" s="28" t="n">
        <f aca="false">AX59*$M59</f>
        <v>0</v>
      </c>
      <c r="AZ59" s="28"/>
      <c r="BA59" s="28" t="n">
        <f aca="false">AZ59*$M59</f>
        <v>0</v>
      </c>
      <c r="BB59" s="30" t="n">
        <f aca="false">34335/100</f>
        <v>343.35</v>
      </c>
      <c r="BC59" s="11" t="n">
        <v>858</v>
      </c>
      <c r="BD59" s="31" t="n">
        <f aca="false">SUM(S59,U59,W59,Y59,AA59,AC59,AE59,AG59,AI59,AK59,AM59,AO59,AQ59,AS59,AU59,AW59,AY59,BA59)</f>
        <v>858</v>
      </c>
      <c r="BE59" s="28" t="n">
        <f aca="false">BC59-BD59</f>
        <v>0</v>
      </c>
      <c r="BF59" s="32" t="n">
        <f aca="false">SUM(R59,T59,V59,X59,Z59,AB59,AD59,AF59,AH59,AJ59,AL59,AN59,AP59,AR59,AT59,AV59,AX59,AZ59)</f>
        <v>343.35</v>
      </c>
      <c r="BG59" s="33" t="n">
        <f aca="false">BB59-BF59</f>
        <v>0</v>
      </c>
      <c r="BH59" s="34" t="n">
        <f aca="false">BF59*M59</f>
        <v>858.375</v>
      </c>
      <c r="BI59" s="35" t="n">
        <f aca="false">BC59-BH59</f>
        <v>-0.375</v>
      </c>
      <c r="BJ59" s="19" t="str">
        <f aca="false">IF(BI59=0,"",IF(BI59&lt;&gt;BC59,"erreur de calcul",IF(BF59&lt;&gt;0,"pas de prix",IF(M59&lt;&gt; 0,"pas de quantité","pas de prix, ni de quantité"))))</f>
        <v>erreur de calcul</v>
      </c>
      <c r="BK59" s="19"/>
    </row>
    <row r="60" customFormat="false" ht="16" hidden="false" customHeight="false" outlineLevel="0" collapsed="false">
      <c r="A60" s="0" t="n">
        <v>17</v>
      </c>
      <c r="B60" s="8" t="s">
        <v>24</v>
      </c>
      <c r="C60" s="9" t="s">
        <v>25</v>
      </c>
      <c r="D60" s="9" t="s">
        <v>26</v>
      </c>
      <c r="E60" s="10" t="n">
        <v>1789</v>
      </c>
      <c r="F60" s="9" t="s">
        <v>27</v>
      </c>
      <c r="G60" s="9" t="s">
        <v>27</v>
      </c>
      <c r="H60" s="11" t="n">
        <v>20</v>
      </c>
      <c r="I60" s="11" t="s">
        <v>133</v>
      </c>
      <c r="J60" s="14" t="n">
        <v>175</v>
      </c>
      <c r="K60" s="14"/>
      <c r="L60" s="16"/>
      <c r="M60" s="27" t="n">
        <f aca="false">J60+(K60/20)+(L60/240)</f>
        <v>175</v>
      </c>
      <c r="N60" s="17" t="s">
        <v>64</v>
      </c>
      <c r="O60" s="11"/>
      <c r="P60" s="28"/>
      <c r="Q60" s="28" t="str">
        <f aca="false">IF(O60&lt;&gt;"",P60*M60,"")</f>
        <v/>
      </c>
      <c r="R60" s="28" t="n">
        <f aca="false">84/100</f>
        <v>0.84</v>
      </c>
      <c r="S60" s="28" t="n">
        <v>147</v>
      </c>
      <c r="T60" s="28"/>
      <c r="U60" s="28" t="n">
        <f aca="false">T60*$M60</f>
        <v>0</v>
      </c>
      <c r="V60" s="28"/>
      <c r="W60" s="28" t="n">
        <f aca="false">V60*$M60</f>
        <v>0</v>
      </c>
      <c r="X60" s="28" t="n">
        <f aca="false">124/100</f>
        <v>1.24</v>
      </c>
      <c r="Y60" s="28" t="n">
        <v>217</v>
      </c>
      <c r="Z60" s="28" t="n">
        <f aca="false">6034/100</f>
        <v>60.34</v>
      </c>
      <c r="AA60" s="28" t="n">
        <v>10559</v>
      </c>
      <c r="AB60" s="28" t="n">
        <f aca="false">147/100</f>
        <v>1.47</v>
      </c>
      <c r="AC60" s="28" t="n">
        <v>257</v>
      </c>
      <c r="AD60" s="28" t="n">
        <f aca="false">195/100</f>
        <v>1.95</v>
      </c>
      <c r="AE60" s="28" t="n">
        <v>341</v>
      </c>
      <c r="AF60" s="28"/>
      <c r="AG60" s="28" t="n">
        <f aca="false">AF60*$M60</f>
        <v>0</v>
      </c>
      <c r="AH60" s="28"/>
      <c r="AI60" s="28" t="n">
        <f aca="false">AH60*$M60</f>
        <v>0</v>
      </c>
      <c r="AJ60" s="28"/>
      <c r="AK60" s="28" t="n">
        <f aca="false">AJ60*$M60</f>
        <v>0</v>
      </c>
      <c r="AL60" s="28"/>
      <c r="AM60" s="28" t="n">
        <f aca="false">AL60*$M60</f>
        <v>0</v>
      </c>
      <c r="AN60" s="28"/>
      <c r="AO60" s="28" t="n">
        <f aca="false">AN60*$M60</f>
        <v>0</v>
      </c>
      <c r="AP60" s="28"/>
      <c r="AQ60" s="28" t="n">
        <f aca="false">AP60*$M60</f>
        <v>0</v>
      </c>
      <c r="AR60" s="28"/>
      <c r="AS60" s="28" t="n">
        <f aca="false">AR60*$M60</f>
        <v>0</v>
      </c>
      <c r="AT60" s="28"/>
      <c r="AU60" s="28" t="n">
        <f aca="false">AT60*$M60</f>
        <v>0</v>
      </c>
      <c r="AV60" s="28"/>
      <c r="AW60" s="28" t="n">
        <f aca="false">AV60*$M60</f>
        <v>0</v>
      </c>
      <c r="AX60" s="28"/>
      <c r="AY60" s="28" t="n">
        <f aca="false">AX60*$M60</f>
        <v>0</v>
      </c>
      <c r="AZ60" s="28"/>
      <c r="BA60" s="28" t="n">
        <f aca="false">AZ60*$M60</f>
        <v>0</v>
      </c>
      <c r="BB60" s="30" t="n">
        <f aca="false">6584/100</f>
        <v>65.84</v>
      </c>
      <c r="BC60" s="11" t="n">
        <v>11521</v>
      </c>
      <c r="BD60" s="31" t="n">
        <f aca="false">SUM(S60,U60,W60,Y60,AA60,AC60,AE60,AG60,AI60,AK60,AM60,AO60,AQ60,AS60,AU60,AW60,AY60,BA60)</f>
        <v>11521</v>
      </c>
      <c r="BE60" s="28" t="n">
        <f aca="false">BC60-BD60</f>
        <v>0</v>
      </c>
      <c r="BF60" s="32" t="n">
        <f aca="false">SUM(R60,T60,V60,X60,Z60,AB60,AD60,AF60,AH60,AJ60,AL60,AN60,AP60,AR60,AT60,AV60,AX60,AZ60)</f>
        <v>65.84</v>
      </c>
      <c r="BG60" s="33" t="n">
        <f aca="false">BB60-BF60</f>
        <v>0</v>
      </c>
      <c r="BH60" s="34" t="n">
        <f aca="false">BF60*M60</f>
        <v>11522</v>
      </c>
      <c r="BI60" s="35" t="n">
        <f aca="false">BC60-BH60</f>
        <v>-1</v>
      </c>
      <c r="BJ60" s="19" t="str">
        <f aca="false">IF(BI60=0,"",IF(BI60&lt;&gt;BC60,"erreur de calcul",IF(BF60&lt;&gt;0,"pas de prix",IF(M60&lt;&gt; 0,"pas de quantité","pas de prix, ni de quantité"))))</f>
        <v>erreur de calcul</v>
      </c>
      <c r="BK60" s="19"/>
    </row>
    <row r="61" customFormat="false" ht="16" hidden="false" customHeight="false" outlineLevel="0" collapsed="false">
      <c r="A61" s="0" t="n">
        <v>18</v>
      </c>
      <c r="B61" s="8" t="s">
        <v>24</v>
      </c>
      <c r="C61" s="9" t="s">
        <v>25</v>
      </c>
      <c r="D61" s="9" t="s">
        <v>26</v>
      </c>
      <c r="E61" s="10" t="n">
        <v>1789</v>
      </c>
      <c r="F61" s="9" t="s">
        <v>27</v>
      </c>
      <c r="G61" s="9" t="s">
        <v>27</v>
      </c>
      <c r="H61" s="11" t="n">
        <v>20</v>
      </c>
      <c r="I61" s="11" t="s">
        <v>134</v>
      </c>
      <c r="J61" s="14" t="n">
        <v>210</v>
      </c>
      <c r="K61" s="14"/>
      <c r="L61" s="16"/>
      <c r="M61" s="27" t="n">
        <f aca="false">J61+(K61/20)+(L61/240)</f>
        <v>210</v>
      </c>
      <c r="N61" s="17" t="s">
        <v>64</v>
      </c>
      <c r="O61" s="11"/>
      <c r="P61" s="28"/>
      <c r="Q61" s="28" t="str">
        <f aca="false">IF(O61&lt;&gt;"",P61*M61,"")</f>
        <v/>
      </c>
      <c r="R61" s="28"/>
      <c r="S61" s="28" t="n">
        <f aca="false">R61*$M61</f>
        <v>0</v>
      </c>
      <c r="T61" s="28"/>
      <c r="U61" s="28" t="n">
        <f aca="false">T61*$M61</f>
        <v>0</v>
      </c>
      <c r="V61" s="28"/>
      <c r="W61" s="28" t="n">
        <f aca="false">V61*$M61</f>
        <v>0</v>
      </c>
      <c r="X61" s="28" t="n">
        <f aca="false">869/100</f>
        <v>8.69</v>
      </c>
      <c r="Y61" s="28" t="n">
        <v>1825</v>
      </c>
      <c r="Z61" s="28"/>
      <c r="AA61" s="28" t="n">
        <f aca="false">Z61*$M61</f>
        <v>0</v>
      </c>
      <c r="AB61" s="28"/>
      <c r="AC61" s="28" t="n">
        <f aca="false">AB61*$M61</f>
        <v>0</v>
      </c>
      <c r="AD61" s="28"/>
      <c r="AE61" s="28" t="n">
        <f aca="false">AD61*$M61</f>
        <v>0</v>
      </c>
      <c r="AF61" s="28"/>
      <c r="AG61" s="28" t="n">
        <f aca="false">AF61*$M61</f>
        <v>0</v>
      </c>
      <c r="AH61" s="28"/>
      <c r="AI61" s="28" t="n">
        <f aca="false">AH61*$M61</f>
        <v>0</v>
      </c>
      <c r="AJ61" s="28"/>
      <c r="AK61" s="28" t="n">
        <f aca="false">AJ61*$M61</f>
        <v>0</v>
      </c>
      <c r="AL61" s="28"/>
      <c r="AM61" s="28" t="n">
        <f aca="false">AL61*$M61</f>
        <v>0</v>
      </c>
      <c r="AN61" s="28"/>
      <c r="AO61" s="28" t="n">
        <f aca="false">AN61*$M61</f>
        <v>0</v>
      </c>
      <c r="AP61" s="28"/>
      <c r="AQ61" s="28" t="n">
        <f aca="false">AP61*$M61</f>
        <v>0</v>
      </c>
      <c r="AR61" s="28"/>
      <c r="AS61" s="28" t="n">
        <f aca="false">AR61*$M61</f>
        <v>0</v>
      </c>
      <c r="AT61" s="28"/>
      <c r="AU61" s="28" t="n">
        <f aca="false">AT61*$M61</f>
        <v>0</v>
      </c>
      <c r="AV61" s="28"/>
      <c r="AW61" s="28" t="n">
        <f aca="false">AV61*$M61</f>
        <v>0</v>
      </c>
      <c r="AX61" s="28"/>
      <c r="AY61" s="28" t="n">
        <f aca="false">AX61*$M61</f>
        <v>0</v>
      </c>
      <c r="AZ61" s="28"/>
      <c r="BA61" s="28" t="n">
        <f aca="false">AZ61*$M61</f>
        <v>0</v>
      </c>
      <c r="BB61" s="30" t="n">
        <f aca="false">869/100</f>
        <v>8.69</v>
      </c>
      <c r="BC61" s="11" t="n">
        <v>1825</v>
      </c>
      <c r="BD61" s="31" t="n">
        <f aca="false">SUM(S61,U61,W61,Y61,AA61,AC61,AE61,AG61,AI61,AK61,AM61,AO61,AQ61,AS61,AU61,AW61,AY61,BA61)</f>
        <v>1825</v>
      </c>
      <c r="BE61" s="28" t="n">
        <f aca="false">BC61-BD61</f>
        <v>0</v>
      </c>
      <c r="BF61" s="32" t="n">
        <f aca="false">SUM(R61,T61,V61,X61,Z61,AB61,AD61,AF61,AH61,AJ61,AL61,AN61,AP61,AR61,AT61,AV61,AX61,AZ61)</f>
        <v>8.69</v>
      </c>
      <c r="BG61" s="33" t="n">
        <f aca="false">BB61-BF61</f>
        <v>0</v>
      </c>
      <c r="BH61" s="34" t="n">
        <f aca="false">BF61*M61</f>
        <v>1824.9</v>
      </c>
      <c r="BI61" s="35" t="n">
        <f aca="false">BC61-BH61</f>
        <v>0.100000000000136</v>
      </c>
      <c r="BJ61" s="19" t="str">
        <f aca="false">IF(BI61=0,"",IF(BI61&lt;&gt;BC61,"erreur de calcul",IF(BF61&lt;&gt;0,"pas de prix",IF(M61&lt;&gt; 0,"pas de quantité","pas de prix, ni de quantité"))))</f>
        <v>erreur de calcul</v>
      </c>
      <c r="BK61" s="19"/>
    </row>
    <row r="62" customFormat="false" ht="16" hidden="false" customHeight="false" outlineLevel="0" collapsed="false">
      <c r="A62" s="0" t="n">
        <v>19</v>
      </c>
      <c r="B62" s="8" t="s">
        <v>24</v>
      </c>
      <c r="C62" s="9" t="s">
        <v>25</v>
      </c>
      <c r="D62" s="9" t="s">
        <v>26</v>
      </c>
      <c r="E62" s="10" t="n">
        <v>1789</v>
      </c>
      <c r="F62" s="9" t="s">
        <v>27</v>
      </c>
      <c r="G62" s="9" t="s">
        <v>27</v>
      </c>
      <c r="H62" s="11" t="n">
        <v>20</v>
      </c>
      <c r="I62" s="11" t="s">
        <v>135</v>
      </c>
      <c r="J62" s="14" t="n">
        <v>170</v>
      </c>
      <c r="K62" s="14"/>
      <c r="L62" s="16"/>
      <c r="M62" s="27" t="n">
        <f aca="false">J62+(K62/20)+(L62/240)</f>
        <v>170</v>
      </c>
      <c r="N62" s="17" t="s">
        <v>64</v>
      </c>
      <c r="O62" s="11" t="s">
        <v>77</v>
      </c>
      <c r="P62" s="28" t="n">
        <f aca="false">11451/100</f>
        <v>114.51</v>
      </c>
      <c r="Q62" s="28" t="n">
        <v>19467</v>
      </c>
      <c r="R62" s="28"/>
      <c r="S62" s="28" t="n">
        <f aca="false">R62*$M62</f>
        <v>0</v>
      </c>
      <c r="T62" s="28"/>
      <c r="U62" s="28" t="n">
        <f aca="false">T62*$M62</f>
        <v>0</v>
      </c>
      <c r="V62" s="28"/>
      <c r="W62" s="28" t="n">
        <f aca="false">V62*$M62</f>
        <v>0</v>
      </c>
      <c r="X62" s="28"/>
      <c r="Y62" s="28" t="n">
        <f aca="false">X62*$M62</f>
        <v>0</v>
      </c>
      <c r="Z62" s="28"/>
      <c r="AA62" s="28" t="n">
        <f aca="false">Z62*$M62</f>
        <v>0</v>
      </c>
      <c r="AB62" s="28"/>
      <c r="AC62" s="28" t="n">
        <f aca="false">AB62*$M62</f>
        <v>0</v>
      </c>
      <c r="AD62" s="28"/>
      <c r="AE62" s="28" t="n">
        <f aca="false">AD62*$M62</f>
        <v>0</v>
      </c>
      <c r="AF62" s="28"/>
      <c r="AG62" s="28" t="n">
        <f aca="false">AF62*$M62</f>
        <v>0</v>
      </c>
      <c r="AH62" s="28" t="n">
        <f aca="false">229459/100</f>
        <v>2294.59</v>
      </c>
      <c r="AI62" s="28" t="n">
        <v>390080</v>
      </c>
      <c r="AJ62" s="28" t="n">
        <f aca="false">202301/100</f>
        <v>2023.01</v>
      </c>
      <c r="AK62" s="28" t="n">
        <v>343912</v>
      </c>
      <c r="AL62" s="28"/>
      <c r="AM62" s="28" t="n">
        <f aca="false">AL62*$M62</f>
        <v>0</v>
      </c>
      <c r="AN62" s="28"/>
      <c r="AO62" s="28" t="n">
        <f aca="false">AN62*$M62</f>
        <v>0</v>
      </c>
      <c r="AP62" s="28"/>
      <c r="AQ62" s="28" t="n">
        <f aca="false">AP62*$M62</f>
        <v>0</v>
      </c>
      <c r="AR62" s="28"/>
      <c r="AS62" s="28" t="n">
        <f aca="false">AR62*$M62</f>
        <v>0</v>
      </c>
      <c r="AT62" s="28"/>
      <c r="AU62" s="28" t="n">
        <f aca="false">AT62*$M62</f>
        <v>0</v>
      </c>
      <c r="AV62" s="28"/>
      <c r="AW62" s="28" t="n">
        <f aca="false">AV62*$M62</f>
        <v>0</v>
      </c>
      <c r="AX62" s="28"/>
      <c r="AY62" s="28" t="n">
        <f aca="false">AX62*$M62</f>
        <v>0</v>
      </c>
      <c r="AZ62" s="28" t="n">
        <f aca="false">2736/100</f>
        <v>27.36</v>
      </c>
      <c r="BA62" s="28" t="n">
        <v>4651</v>
      </c>
      <c r="BB62" s="30" t="n">
        <f aca="false">434496/100</f>
        <v>4344.96</v>
      </c>
      <c r="BC62" s="11" t="n">
        <v>738643</v>
      </c>
      <c r="BD62" s="31" t="n">
        <f aca="false">SUM(S62,U62,W62,Y62,AA62,AC62,AE62,AG62,AI62,AK62,AM62,AO62,AQ62,AS62,AU62,AW62,AY62,BA62)</f>
        <v>738643</v>
      </c>
      <c r="BE62" s="28" t="n">
        <f aca="false">BC62-BD62</f>
        <v>0</v>
      </c>
      <c r="BF62" s="32" t="n">
        <f aca="false">SUM(R62,T62,V62,X62,Z62,AB62,AD62,AF62,AH62,AJ62,AL62,AN62,AP62,AR62,AT62,AV62,AX62,AZ62)</f>
        <v>4344.96</v>
      </c>
      <c r="BG62" s="33" t="n">
        <f aca="false">BB62-BF62</f>
        <v>0</v>
      </c>
      <c r="BH62" s="34" t="n">
        <f aca="false">BF62*M62</f>
        <v>738643.2</v>
      </c>
      <c r="BI62" s="35" t="n">
        <f aca="false">BC62-BH62</f>
        <v>-0.199999999953434</v>
      </c>
      <c r="BJ62" s="19" t="str">
        <f aca="false">IF(BI62=0,"",IF(BI62&lt;&gt;BC62,"erreur de calcul",IF(BF62&lt;&gt;0,"pas de prix",IF(M62&lt;&gt; 0,"pas de quantité","pas de prix, ni de quantité"))))</f>
        <v>erreur de calcul</v>
      </c>
      <c r="BK62" s="19"/>
    </row>
    <row r="63" customFormat="false" ht="16" hidden="false" customHeight="false" outlineLevel="0" collapsed="false">
      <c r="A63" s="0" t="n">
        <v>20</v>
      </c>
      <c r="B63" s="8" t="s">
        <v>24</v>
      </c>
      <c r="C63" s="9" t="s">
        <v>25</v>
      </c>
      <c r="D63" s="9" t="s">
        <v>26</v>
      </c>
      <c r="E63" s="10" t="n">
        <v>1789</v>
      </c>
      <c r="F63" s="9" t="s">
        <v>27</v>
      </c>
      <c r="G63" s="9" t="s">
        <v>27</v>
      </c>
      <c r="H63" s="11" t="n">
        <v>20</v>
      </c>
      <c r="I63" s="11" t="s">
        <v>136</v>
      </c>
      <c r="J63" s="14" t="n">
        <v>41</v>
      </c>
      <c r="K63" s="14"/>
      <c r="L63" s="16"/>
      <c r="M63" s="27" t="n">
        <f aca="false">J63+(K63/20)+(L63/240)</f>
        <v>41</v>
      </c>
      <c r="N63" s="17" t="s">
        <v>64</v>
      </c>
      <c r="O63" s="11"/>
      <c r="P63" s="28"/>
      <c r="Q63" s="28" t="str">
        <f aca="false">IF(O63&lt;&gt;"",P63*M63,"")</f>
        <v/>
      </c>
      <c r="R63" s="28" t="n">
        <f aca="false">1210/100</f>
        <v>12.1</v>
      </c>
      <c r="S63" s="28" t="n">
        <v>496</v>
      </c>
      <c r="T63" s="28"/>
      <c r="U63" s="28" t="n">
        <f aca="false">T63*$M63</f>
        <v>0</v>
      </c>
      <c r="V63" s="28"/>
      <c r="W63" s="28" t="n">
        <f aca="false">V63*$M63</f>
        <v>0</v>
      </c>
      <c r="X63" s="28"/>
      <c r="Y63" s="28" t="n">
        <f aca="false">X63*$M63</f>
        <v>0</v>
      </c>
      <c r="Z63" s="28"/>
      <c r="AA63" s="28" t="n">
        <f aca="false">Z63*$M63</f>
        <v>0</v>
      </c>
      <c r="AB63" s="28"/>
      <c r="AC63" s="28" t="n">
        <f aca="false">AB63*$M63</f>
        <v>0</v>
      </c>
      <c r="AD63" s="28"/>
      <c r="AE63" s="28" t="n">
        <f aca="false">AD63*$M63</f>
        <v>0</v>
      </c>
      <c r="AF63" s="28"/>
      <c r="AG63" s="28" t="n">
        <f aca="false">AF63*$M63</f>
        <v>0</v>
      </c>
      <c r="AH63" s="28"/>
      <c r="AI63" s="28" t="n">
        <f aca="false">AH63*$M63</f>
        <v>0</v>
      </c>
      <c r="AJ63" s="28"/>
      <c r="AK63" s="28" t="n">
        <f aca="false">AJ63*$M63</f>
        <v>0</v>
      </c>
      <c r="AL63" s="28" t="n">
        <f aca="false">85034/100</f>
        <v>850.34</v>
      </c>
      <c r="AM63" s="28" t="n">
        <v>34864</v>
      </c>
      <c r="AN63" s="28" t="n">
        <f aca="false">1024/100</f>
        <v>10.24</v>
      </c>
      <c r="AO63" s="28" t="n">
        <v>420</v>
      </c>
      <c r="AP63" s="28"/>
      <c r="AQ63" s="28" t="n">
        <f aca="false">AP63*$M63</f>
        <v>0</v>
      </c>
      <c r="AR63" s="28"/>
      <c r="AS63" s="28" t="n">
        <f aca="false">AR63*$M63</f>
        <v>0</v>
      </c>
      <c r="AT63" s="28"/>
      <c r="AU63" s="28" t="n">
        <f aca="false">AT63*$M63</f>
        <v>0</v>
      </c>
      <c r="AV63" s="28"/>
      <c r="AW63" s="28" t="n">
        <f aca="false">AV63*$M63</f>
        <v>0</v>
      </c>
      <c r="AX63" s="28"/>
      <c r="AY63" s="28" t="n">
        <f aca="false">AX63*$M63</f>
        <v>0</v>
      </c>
      <c r="AZ63" s="28"/>
      <c r="BA63" s="28" t="n">
        <f aca="false">AZ63*$M63</f>
        <v>0</v>
      </c>
      <c r="BB63" s="30" t="n">
        <f aca="false">87268/100</f>
        <v>872.68</v>
      </c>
      <c r="BC63" s="11" t="n">
        <v>35780</v>
      </c>
      <c r="BD63" s="31" t="n">
        <f aca="false">SUM(S63,U63,W63,Y63,AA63,AC63,AE63,AG63,AI63,AK63,AM63,AO63,AQ63,AS63,AU63,AW63,AY63,BA63)</f>
        <v>35780</v>
      </c>
      <c r="BE63" s="28" t="n">
        <f aca="false">BC63-BD63</f>
        <v>0</v>
      </c>
      <c r="BF63" s="32" t="n">
        <f aca="false">SUM(R63,T63,V63,X63,Z63,AB63,AD63,AF63,AH63,AJ63,AL63,AN63,AP63,AR63,AT63,AV63,AX63,AZ63)</f>
        <v>872.68</v>
      </c>
      <c r="BG63" s="33" t="n">
        <f aca="false">BB63-BF63</f>
        <v>0</v>
      </c>
      <c r="BH63" s="34" t="n">
        <f aca="false">BF63*M63</f>
        <v>35779.88</v>
      </c>
      <c r="BI63" s="35" t="n">
        <f aca="false">BC63-BH63</f>
        <v>0.119999999995343</v>
      </c>
      <c r="BJ63" s="19" t="str">
        <f aca="false">IF(BI63=0,"",IF(BI63&lt;&gt;BC63,"erreur de calcul",IF(BF63&lt;&gt;0,"pas de prix",IF(M63&lt;&gt; 0,"pas de quantité","pas de prix, ni de quantité"))))</f>
        <v>erreur de calcul</v>
      </c>
      <c r="BK63" s="19"/>
    </row>
    <row r="64" customFormat="false" ht="16" hidden="false" customHeight="false" outlineLevel="0" collapsed="false">
      <c r="A64" s="0" t="n">
        <v>21</v>
      </c>
      <c r="B64" s="8" t="s">
        <v>24</v>
      </c>
      <c r="C64" s="9" t="s">
        <v>25</v>
      </c>
      <c r="D64" s="9" t="s">
        <v>26</v>
      </c>
      <c r="E64" s="10" t="n">
        <v>1789</v>
      </c>
      <c r="F64" s="9" t="s">
        <v>27</v>
      </c>
      <c r="G64" s="9" t="s">
        <v>27</v>
      </c>
      <c r="H64" s="11" t="n">
        <v>20</v>
      </c>
      <c r="I64" s="11" t="s">
        <v>137</v>
      </c>
      <c r="J64" s="14"/>
      <c r="K64" s="14"/>
      <c r="L64" s="16"/>
      <c r="M64" s="27" t="n">
        <f aca="false">J64+(K64/20)+(L64/240)</f>
        <v>0</v>
      </c>
      <c r="N64" s="39" t="s">
        <v>138</v>
      </c>
      <c r="O64" s="11"/>
      <c r="P64" s="28"/>
      <c r="Q64" s="28" t="str">
        <f aca="false">IF(O64&lt;&gt;"",P64*M64,"")</f>
        <v/>
      </c>
      <c r="R64" s="28" t="n">
        <v>337</v>
      </c>
      <c r="S64" s="28" t="n">
        <v>6250</v>
      </c>
      <c r="T64" s="28"/>
      <c r="U64" s="28" t="n">
        <f aca="false">T64*$M64</f>
        <v>0</v>
      </c>
      <c r="V64" s="28"/>
      <c r="W64" s="28" t="n">
        <f aca="false">V64*$M64</f>
        <v>0</v>
      </c>
      <c r="X64" s="28" t="n">
        <v>760</v>
      </c>
      <c r="Y64" s="28" t="n">
        <v>18259</v>
      </c>
      <c r="Z64" s="28"/>
      <c r="AA64" s="28" t="n">
        <f aca="false">Z64*$M64</f>
        <v>0</v>
      </c>
      <c r="AB64" s="28"/>
      <c r="AC64" s="28" t="n">
        <f aca="false">AB64*$M64</f>
        <v>0</v>
      </c>
      <c r="AD64" s="28"/>
      <c r="AE64" s="28" t="n">
        <f aca="false">AD64*$M64</f>
        <v>0</v>
      </c>
      <c r="AF64" s="28"/>
      <c r="AG64" s="28" t="n">
        <f aca="false">AF64*$M64</f>
        <v>0</v>
      </c>
      <c r="AH64" s="28"/>
      <c r="AI64" s="28" t="n">
        <f aca="false">AH64*$M64</f>
        <v>0</v>
      </c>
      <c r="AJ64" s="28"/>
      <c r="AK64" s="28" t="n">
        <f aca="false">AJ64*$M64</f>
        <v>0</v>
      </c>
      <c r="AL64" s="28"/>
      <c r="AM64" s="28" t="n">
        <f aca="false">AL64*$M64</f>
        <v>0</v>
      </c>
      <c r="AN64" s="28"/>
      <c r="AO64" s="28" t="n">
        <f aca="false">AN64*$M64</f>
        <v>0</v>
      </c>
      <c r="AP64" s="28"/>
      <c r="AQ64" s="28" t="n">
        <f aca="false">AP64*$M64</f>
        <v>0</v>
      </c>
      <c r="AR64" s="28"/>
      <c r="AS64" s="28" t="n">
        <f aca="false">AR64*$M64</f>
        <v>0</v>
      </c>
      <c r="AT64" s="28"/>
      <c r="AU64" s="28" t="n">
        <f aca="false">AT64*$M64</f>
        <v>0</v>
      </c>
      <c r="AV64" s="28"/>
      <c r="AW64" s="28" t="n">
        <f aca="false">AV64*$M64</f>
        <v>0</v>
      </c>
      <c r="AX64" s="28"/>
      <c r="AY64" s="28" t="n">
        <f aca="false">AX64*$M64</f>
        <v>0</v>
      </c>
      <c r="AZ64" s="28"/>
      <c r="BA64" s="28" t="n">
        <f aca="false">AZ64*$M64</f>
        <v>0</v>
      </c>
      <c r="BB64" s="30" t="n">
        <f aca="false">1097</f>
        <v>1097</v>
      </c>
      <c r="BC64" s="11" t="n">
        <v>24509</v>
      </c>
      <c r="BD64" s="31" t="n">
        <f aca="false">SUM(S64,U64,W64,Y64,AA64,AC64,AE64,AG64,AI64,AK64,AM64,AO64,AQ64,AS64,AU64,AW64,AY64,BA64)</f>
        <v>24509</v>
      </c>
      <c r="BE64" s="28" t="n">
        <f aca="false">BC64-BD64</f>
        <v>0</v>
      </c>
      <c r="BF64" s="32" t="n">
        <f aca="false">SUM(R64,T64,V64,X64,Z64,AB64,AD64,AF64,AH64,AJ64,AL64,AN64,AP64,AR64,AT64,AV64,AX64,AZ64)</f>
        <v>1097</v>
      </c>
      <c r="BG64" s="33" t="n">
        <f aca="false">BB64-BF64</f>
        <v>0</v>
      </c>
      <c r="BH64" s="34" t="n">
        <f aca="false">BF64*M64</f>
        <v>0</v>
      </c>
      <c r="BI64" s="35" t="n">
        <f aca="false">BC64-BH64</f>
        <v>24509</v>
      </c>
      <c r="BJ64" s="19" t="str">
        <f aca="false">IF(BI64=0,"",IF(BI64&lt;&gt;BC64,"erreur de calcul",IF(BF64&lt;&gt;0,"pas de prix",IF(M64&lt;&gt; 0,"pas de quantité","pas de prix, ni de quantité"))))</f>
        <v>pas de prix</v>
      </c>
      <c r="BK64" s="19" t="s">
        <v>139</v>
      </c>
    </row>
    <row r="65" customFormat="false" ht="16" hidden="false" customHeight="false" outlineLevel="0" collapsed="false">
      <c r="A65" s="0" t="n">
        <v>22</v>
      </c>
      <c r="B65" s="8" t="s">
        <v>24</v>
      </c>
      <c r="C65" s="9" t="s">
        <v>25</v>
      </c>
      <c r="D65" s="9" t="s">
        <v>26</v>
      </c>
      <c r="E65" s="10" t="n">
        <v>1789</v>
      </c>
      <c r="F65" s="9" t="s">
        <v>27</v>
      </c>
      <c r="G65" s="9" t="s">
        <v>27</v>
      </c>
      <c r="H65" s="11" t="n">
        <v>20</v>
      </c>
      <c r="I65" s="11" t="s">
        <v>140</v>
      </c>
      <c r="J65" s="14" t="n">
        <v>28</v>
      </c>
      <c r="K65" s="14"/>
      <c r="L65" s="16"/>
      <c r="M65" s="27" t="n">
        <f aca="false">J65+(K65/20)+(L65/240)</f>
        <v>28</v>
      </c>
      <c r="N65" s="17" t="s">
        <v>64</v>
      </c>
      <c r="O65" s="11"/>
      <c r="P65" s="28"/>
      <c r="Q65" s="28" t="str">
        <f aca="false">IF(O65&lt;&gt;"",P65*M65,"")</f>
        <v/>
      </c>
      <c r="R65" s="28"/>
      <c r="S65" s="28" t="n">
        <f aca="false">R65*$M65</f>
        <v>0</v>
      </c>
      <c r="T65" s="28"/>
      <c r="U65" s="28" t="n">
        <f aca="false">T65*$M65</f>
        <v>0</v>
      </c>
      <c r="V65" s="28"/>
      <c r="W65" s="28" t="n">
        <f aca="false">V65*$M65</f>
        <v>0</v>
      </c>
      <c r="X65" s="28"/>
      <c r="Y65" s="28" t="n">
        <f aca="false">X65*$M65</f>
        <v>0</v>
      </c>
      <c r="Z65" s="28" t="n">
        <f aca="false">2572/100</f>
        <v>25.72</v>
      </c>
      <c r="AA65" s="28" t="n">
        <v>720</v>
      </c>
      <c r="AB65" s="28"/>
      <c r="AC65" s="28" t="n">
        <f aca="false">AB65*$M65</f>
        <v>0</v>
      </c>
      <c r="AD65" s="28"/>
      <c r="AE65" s="28" t="n">
        <f aca="false">AD65*$M65</f>
        <v>0</v>
      </c>
      <c r="AF65" s="28"/>
      <c r="AG65" s="28" t="n">
        <f aca="false">AF65*$M65</f>
        <v>0</v>
      </c>
      <c r="AH65" s="28" t="n">
        <f aca="false">3367/100</f>
        <v>33.67</v>
      </c>
      <c r="AI65" s="36" t="n">
        <v>915</v>
      </c>
      <c r="AJ65" s="28"/>
      <c r="AK65" s="28" t="n">
        <f aca="false">AJ65*$M65</f>
        <v>0</v>
      </c>
      <c r="AL65" s="28"/>
      <c r="AM65" s="28" t="n">
        <f aca="false">AL65*$M65</f>
        <v>0</v>
      </c>
      <c r="AN65" s="28"/>
      <c r="AO65" s="28" t="n">
        <f aca="false">AN65*$M65</f>
        <v>0</v>
      </c>
      <c r="AP65" s="28"/>
      <c r="AQ65" s="28" t="n">
        <f aca="false">AP65*$M65</f>
        <v>0</v>
      </c>
      <c r="AR65" s="28"/>
      <c r="AS65" s="28" t="n">
        <f aca="false">AR65*$M65</f>
        <v>0</v>
      </c>
      <c r="AT65" s="28"/>
      <c r="AU65" s="28" t="n">
        <f aca="false">AT65*$M65</f>
        <v>0</v>
      </c>
      <c r="AV65" s="28"/>
      <c r="AW65" s="28" t="n">
        <f aca="false">AV65*$M65</f>
        <v>0</v>
      </c>
      <c r="AX65" s="28"/>
      <c r="AY65" s="28" t="n">
        <f aca="false">AX65*$M65</f>
        <v>0</v>
      </c>
      <c r="AZ65" s="28"/>
      <c r="BA65" s="28" t="n">
        <f aca="false">AZ65*$M65</f>
        <v>0</v>
      </c>
      <c r="BB65" s="30" t="n">
        <f aca="false">5939/100</f>
        <v>59.39</v>
      </c>
      <c r="BC65" s="11" t="n">
        <v>1635</v>
      </c>
      <c r="BD65" s="31" t="n">
        <f aca="false">SUM(S65,U65,W65,Y65,AA65,AC65,AE65,AG65,AI65,AK65,AM65,AO65,AQ65,AS65,AU65,AW65,AY65,BA65)</f>
        <v>1635</v>
      </c>
      <c r="BE65" s="28" t="n">
        <f aca="false">BC65-BD65</f>
        <v>0</v>
      </c>
      <c r="BF65" s="32" t="n">
        <f aca="false">SUM(R65,T65,V65,X65,Z65,AB65,AD65,AF65,AH65,AJ65,AL65,AN65,AP65,AR65,AT65,AV65,AX65,AZ65)</f>
        <v>59.39</v>
      </c>
      <c r="BG65" s="33" t="n">
        <f aca="false">BB65-BF65</f>
        <v>0</v>
      </c>
      <c r="BH65" s="34" t="n">
        <f aca="false">BF65*M65</f>
        <v>1662.92</v>
      </c>
      <c r="BI65" s="35" t="n">
        <f aca="false">BC65-BH65</f>
        <v>-27.9200000000001</v>
      </c>
      <c r="BJ65" s="19" t="str">
        <f aca="false">IF(BI65=0,"",IF(BI65&lt;&gt;BC65,"erreur de calcul",IF(BF65&lt;&gt;0,"pas de prix",IF(M65&lt;&gt; 0,"pas de quantité","pas de prix, ni de quantité"))))</f>
        <v>erreur de calcul</v>
      </c>
      <c r="BK65" s="19"/>
    </row>
    <row r="66" customFormat="false" ht="16" hidden="false" customHeight="false" outlineLevel="0" collapsed="false">
      <c r="A66" s="0" t="n">
        <v>23</v>
      </c>
      <c r="B66" s="8" t="s">
        <v>24</v>
      </c>
      <c r="C66" s="9" t="s">
        <v>25</v>
      </c>
      <c r="D66" s="9" t="s">
        <v>26</v>
      </c>
      <c r="E66" s="10" t="n">
        <v>1789</v>
      </c>
      <c r="F66" s="9" t="s">
        <v>27</v>
      </c>
      <c r="G66" s="9" t="s">
        <v>27</v>
      </c>
      <c r="H66" s="11" t="n">
        <v>20</v>
      </c>
      <c r="I66" s="11" t="s">
        <v>141</v>
      </c>
      <c r="J66" s="14" t="n">
        <v>50</v>
      </c>
      <c r="K66" s="14"/>
      <c r="L66" s="16"/>
      <c r="M66" s="27" t="n">
        <f aca="false">J66+(K66/20)+(L66/240)</f>
        <v>50</v>
      </c>
      <c r="N66" s="17" t="s">
        <v>64</v>
      </c>
      <c r="O66" s="11"/>
      <c r="P66" s="28"/>
      <c r="Q66" s="28" t="str">
        <f aca="false">IF(O66&lt;&gt;"",P66*M66,"")</f>
        <v/>
      </c>
      <c r="R66" s="28" t="n">
        <f aca="false">79168/100</f>
        <v>791.68</v>
      </c>
      <c r="S66" s="28" t="n">
        <v>39584</v>
      </c>
      <c r="T66" s="28"/>
      <c r="U66" s="28" t="n">
        <f aca="false">T66*$M66</f>
        <v>0</v>
      </c>
      <c r="V66" s="28" t="n">
        <f aca="false">18545/100</f>
        <v>185.45</v>
      </c>
      <c r="W66" s="28" t="n">
        <v>9272</v>
      </c>
      <c r="X66" s="28" t="n">
        <f aca="false">10784/100</f>
        <v>107.84</v>
      </c>
      <c r="Y66" s="28" t="n">
        <v>5392</v>
      </c>
      <c r="Z66" s="28" t="n">
        <f aca="false">22033/100</f>
        <v>220.33</v>
      </c>
      <c r="AA66" s="28" t="n">
        <v>11016</v>
      </c>
      <c r="AB66" s="28" t="n">
        <f aca="false">4478/100</f>
        <v>44.78</v>
      </c>
      <c r="AC66" s="28" t="n">
        <v>2239</v>
      </c>
      <c r="AD66" s="28" t="n">
        <f aca="false">8901/100</f>
        <v>89.01</v>
      </c>
      <c r="AE66" s="28" t="n">
        <v>4450</v>
      </c>
      <c r="AF66" s="28"/>
      <c r="AG66" s="28" t="n">
        <f aca="false">AF66*$M66</f>
        <v>0</v>
      </c>
      <c r="AH66" s="28"/>
      <c r="AI66" s="28" t="n">
        <f aca="false">AH66*$M66</f>
        <v>0</v>
      </c>
      <c r="AJ66" s="28"/>
      <c r="AK66" s="28" t="n">
        <f aca="false">AJ66*$M66</f>
        <v>0</v>
      </c>
      <c r="AL66" s="28" t="n">
        <f aca="false">2917/100</f>
        <v>29.17</v>
      </c>
      <c r="AM66" s="28" t="n">
        <v>1458</v>
      </c>
      <c r="AN66" s="28"/>
      <c r="AO66" s="28" t="n">
        <f aca="false">AN66*$M66</f>
        <v>0</v>
      </c>
      <c r="AP66" s="28"/>
      <c r="AQ66" s="28" t="n">
        <f aca="false">AP66*$M66</f>
        <v>0</v>
      </c>
      <c r="AR66" s="28"/>
      <c r="AS66" s="28" t="n">
        <f aca="false">AR66*$M66</f>
        <v>0</v>
      </c>
      <c r="AT66" s="28"/>
      <c r="AU66" s="28" t="n">
        <f aca="false">AT66*$M66</f>
        <v>0</v>
      </c>
      <c r="AV66" s="28"/>
      <c r="AW66" s="28" t="n">
        <f aca="false">AV66*$M66</f>
        <v>0</v>
      </c>
      <c r="AX66" s="28" t="n">
        <f aca="false">6667/100</f>
        <v>66.67</v>
      </c>
      <c r="AY66" s="28" t="n">
        <v>3333</v>
      </c>
      <c r="AZ66" s="28"/>
      <c r="BA66" s="28" t="n">
        <f aca="false">AZ66*$M66</f>
        <v>0</v>
      </c>
      <c r="BB66" s="30" t="n">
        <f aca="false">153493/100</f>
        <v>1534.93</v>
      </c>
      <c r="BC66" s="11" t="n">
        <v>76744</v>
      </c>
      <c r="BD66" s="31" t="n">
        <f aca="false">SUM(S66,U66,W66,Y66,AA66,AC66,AE66,AG66,AI66,AK66,AM66,AO66,AQ66,AS66,AU66,AW66,AY66,BA66)</f>
        <v>76744</v>
      </c>
      <c r="BE66" s="28" t="n">
        <f aca="false">BC66-BD66</f>
        <v>0</v>
      </c>
      <c r="BF66" s="32" t="n">
        <f aca="false">SUM(R66,T66,V66,X66,Z66,AB66,AD66,AF66,AH66,AJ66,AL66,AN66,AP66,AR66,AT66,AV66,AX66,AZ66)</f>
        <v>1534.93</v>
      </c>
      <c r="BG66" s="33" t="n">
        <f aca="false">BB66-BF66</f>
        <v>0</v>
      </c>
      <c r="BH66" s="34" t="n">
        <f aca="false">BF66*M66</f>
        <v>76746.5</v>
      </c>
      <c r="BI66" s="35" t="n">
        <f aca="false">BC66-BH66</f>
        <v>-2.49999999998545</v>
      </c>
      <c r="BJ66" s="19" t="str">
        <f aca="false">IF(BI66=0,"",IF(BI66&lt;&gt;BC66,"erreur de calcul",IF(BF66&lt;&gt;0,"pas de prix",IF(M66&lt;&gt; 0,"pas de quantité","pas de prix, ni de quantité"))))</f>
        <v>erreur de calcul</v>
      </c>
      <c r="BK66" s="19"/>
    </row>
    <row r="67" customFormat="false" ht="16" hidden="false" customHeight="false" outlineLevel="0" collapsed="false">
      <c r="A67" s="0" t="n">
        <v>24</v>
      </c>
      <c r="B67" s="8" t="s">
        <v>24</v>
      </c>
      <c r="C67" s="9" t="s">
        <v>25</v>
      </c>
      <c r="D67" s="9" t="s">
        <v>26</v>
      </c>
      <c r="E67" s="10" t="n">
        <v>1789</v>
      </c>
      <c r="F67" s="9" t="s">
        <v>27</v>
      </c>
      <c r="G67" s="9" t="s">
        <v>27</v>
      </c>
      <c r="H67" s="11" t="n">
        <v>20</v>
      </c>
      <c r="I67" s="11" t="s">
        <v>142</v>
      </c>
      <c r="J67" s="14" t="n">
        <v>12</v>
      </c>
      <c r="K67" s="14"/>
      <c r="L67" s="16"/>
      <c r="M67" s="27" t="n">
        <f aca="false">J67+(K67/20)+(L67/240)</f>
        <v>12</v>
      </c>
      <c r="N67" s="17" t="s">
        <v>66</v>
      </c>
      <c r="O67" s="11"/>
      <c r="P67" s="28"/>
      <c r="Q67" s="28" t="str">
        <f aca="false">IF(O67&lt;&gt;"",P67*M67,"")</f>
        <v/>
      </c>
      <c r="R67" s="28"/>
      <c r="S67" s="28" t="n">
        <f aca="false">R67*$M67</f>
        <v>0</v>
      </c>
      <c r="T67" s="28"/>
      <c r="U67" s="28" t="n">
        <f aca="false">T67*$M67</f>
        <v>0</v>
      </c>
      <c r="V67" s="28"/>
      <c r="W67" s="28" t="n">
        <f aca="false">V67*$M67</f>
        <v>0</v>
      </c>
      <c r="X67" s="28"/>
      <c r="Y67" s="28" t="n">
        <f aca="false">X67*$M67</f>
        <v>0</v>
      </c>
      <c r="Z67" s="28"/>
      <c r="AA67" s="28" t="n">
        <f aca="false">Z67*$M67</f>
        <v>0</v>
      </c>
      <c r="AB67" s="28" t="n">
        <v>21</v>
      </c>
      <c r="AC67" s="28" t="n">
        <v>252</v>
      </c>
      <c r="AD67" s="28" t="n">
        <v>672</v>
      </c>
      <c r="AE67" s="28" t="n">
        <v>8064</v>
      </c>
      <c r="AF67" s="28"/>
      <c r="AG67" s="28" t="n">
        <f aca="false">AF67*$M67</f>
        <v>0</v>
      </c>
      <c r="AH67" s="28"/>
      <c r="AI67" s="28" t="n">
        <f aca="false">AH67*$M67</f>
        <v>0</v>
      </c>
      <c r="AJ67" s="28"/>
      <c r="AK67" s="28" t="n">
        <f aca="false">AJ67*$M67</f>
        <v>0</v>
      </c>
      <c r="AL67" s="28"/>
      <c r="AM67" s="28" t="n">
        <f aca="false">AL67*$M67</f>
        <v>0</v>
      </c>
      <c r="AN67" s="28"/>
      <c r="AO67" s="28" t="n">
        <f aca="false">AN67*$M67</f>
        <v>0</v>
      </c>
      <c r="AP67" s="28"/>
      <c r="AQ67" s="28" t="n">
        <f aca="false">AP67*$M67</f>
        <v>0</v>
      </c>
      <c r="AR67" s="28"/>
      <c r="AS67" s="28" t="n">
        <f aca="false">AR67*$M67</f>
        <v>0</v>
      </c>
      <c r="AT67" s="28"/>
      <c r="AU67" s="28" t="n">
        <f aca="false">AT67*$M67</f>
        <v>0</v>
      </c>
      <c r="AV67" s="28"/>
      <c r="AW67" s="28" t="n">
        <f aca="false">AV67*$M67</f>
        <v>0</v>
      </c>
      <c r="AX67" s="28"/>
      <c r="AY67" s="28" t="n">
        <f aca="false">AX67*$M67</f>
        <v>0</v>
      </c>
      <c r="AZ67" s="28"/>
      <c r="BA67" s="28" t="n">
        <f aca="false">AZ67*$M67</f>
        <v>0</v>
      </c>
      <c r="BB67" s="30" t="n">
        <v>693</v>
      </c>
      <c r="BC67" s="11" t="n">
        <v>8316</v>
      </c>
      <c r="BD67" s="31" t="n">
        <f aca="false">SUM(S67,U67,W67,Y67,AA67,AC67,AE67,AG67,AI67,AK67,AM67,AO67,AQ67,AS67,AU67,AW67,AY67,BA67)</f>
        <v>8316</v>
      </c>
      <c r="BE67" s="28" t="n">
        <f aca="false">BC67-BD67</f>
        <v>0</v>
      </c>
      <c r="BF67" s="32" t="n">
        <f aca="false">SUM(R67,T67,V67,X67,Z67,AB67,AD67,AF67,AH67,AJ67,AL67,AN67,AP67,AR67,AT67,AV67,AX67,AZ67)</f>
        <v>693</v>
      </c>
      <c r="BG67" s="33" t="n">
        <f aca="false">BB67-BF67</f>
        <v>0</v>
      </c>
      <c r="BH67" s="34" t="n">
        <f aca="false">BF67*M67</f>
        <v>8316</v>
      </c>
      <c r="BI67" s="35" t="n">
        <f aca="false">BC67-BH67</f>
        <v>0</v>
      </c>
      <c r="BJ67" s="19" t="str">
        <f aca="false">IF(BI67=0,"",IF(BI67&lt;&gt;BC67,"erreur de calcul",IF(BF67&lt;&gt;0,"pas de prix",IF(M67&lt;&gt; 0,"pas de quantité","pas de prix, ni de quantité"))))</f>
        <v/>
      </c>
      <c r="BK67" s="19"/>
    </row>
    <row r="68" customFormat="false" ht="16" hidden="false" customHeight="false" outlineLevel="0" collapsed="false">
      <c r="A68" s="0" t="n">
        <v>25</v>
      </c>
      <c r="B68" s="8" t="s">
        <v>24</v>
      </c>
      <c r="C68" s="9" t="s">
        <v>25</v>
      </c>
      <c r="D68" s="9" t="s">
        <v>26</v>
      </c>
      <c r="E68" s="10" t="n">
        <v>1789</v>
      </c>
      <c r="F68" s="9" t="s">
        <v>27</v>
      </c>
      <c r="G68" s="9" t="s">
        <v>27</v>
      </c>
      <c r="H68" s="11" t="n">
        <v>20</v>
      </c>
      <c r="I68" s="11" t="s">
        <v>143</v>
      </c>
      <c r="J68" s="14" t="n">
        <v>8</v>
      </c>
      <c r="K68" s="14"/>
      <c r="L68" s="16"/>
      <c r="M68" s="27" t="n">
        <f aca="false">J68+(K68/20)+(L68/240)</f>
        <v>8</v>
      </c>
      <c r="N68" s="17" t="s">
        <v>85</v>
      </c>
      <c r="O68" s="11"/>
      <c r="P68" s="28"/>
      <c r="Q68" s="28" t="str">
        <f aca="false">IF(O68&lt;&gt;"",P68*M68,"")</f>
        <v/>
      </c>
      <c r="R68" s="28" t="n">
        <f aca="false">74969/100</f>
        <v>749.69</v>
      </c>
      <c r="S68" s="28" t="n">
        <v>5997</v>
      </c>
      <c r="T68" s="28"/>
      <c r="U68" s="28" t="n">
        <f aca="false">T68*$M68</f>
        <v>0</v>
      </c>
      <c r="V68" s="28" t="n">
        <f aca="false">58256/100</f>
        <v>582.56</v>
      </c>
      <c r="W68" s="28" t="n">
        <v>4660</v>
      </c>
      <c r="X68" s="28" t="n">
        <f aca="false">14450/100</f>
        <v>144.5</v>
      </c>
      <c r="Y68" s="28" t="n">
        <v>1156</v>
      </c>
      <c r="Z68" s="28" t="n">
        <f aca="false">4397/100</f>
        <v>43.97</v>
      </c>
      <c r="AA68" s="28" t="n">
        <v>352</v>
      </c>
      <c r="AB68" s="28"/>
      <c r="AC68" s="28" t="n">
        <f aca="false">AB68*$M68</f>
        <v>0</v>
      </c>
      <c r="AD68" s="28" t="n">
        <f aca="false">6400/100</f>
        <v>64</v>
      </c>
      <c r="AE68" s="28" t="n">
        <v>512</v>
      </c>
      <c r="AF68" s="28" t="n">
        <f aca="false">19450/100</f>
        <v>194.5</v>
      </c>
      <c r="AG68" s="28" t="n">
        <v>1556</v>
      </c>
      <c r="AH68" s="28" t="n">
        <f aca="false">2496/100</f>
        <v>24.96</v>
      </c>
      <c r="AI68" s="28" t="n">
        <v>200</v>
      </c>
      <c r="AJ68" s="28"/>
      <c r="AK68" s="28" t="n">
        <f aca="false">AJ68*$M68</f>
        <v>0</v>
      </c>
      <c r="AL68" s="28"/>
      <c r="AM68" s="28" t="n">
        <f aca="false">AL68*$M68</f>
        <v>0</v>
      </c>
      <c r="AN68" s="28"/>
      <c r="AO68" s="28" t="n">
        <f aca="false">AN68*$M68</f>
        <v>0</v>
      </c>
      <c r="AP68" s="28"/>
      <c r="AQ68" s="28" t="n">
        <f aca="false">AP68*$M68</f>
        <v>0</v>
      </c>
      <c r="AR68" s="28"/>
      <c r="AS68" s="28" t="n">
        <f aca="false">AR68*$M68</f>
        <v>0</v>
      </c>
      <c r="AT68" s="28"/>
      <c r="AU68" s="28" t="n">
        <f aca="false">AT68*$M68</f>
        <v>0</v>
      </c>
      <c r="AV68" s="28"/>
      <c r="AW68" s="28" t="n">
        <f aca="false">AV68*$M68</f>
        <v>0</v>
      </c>
      <c r="AX68" s="28"/>
      <c r="AY68" s="28" t="n">
        <f aca="false">AX68*$M68</f>
        <v>0</v>
      </c>
      <c r="AZ68" s="28"/>
      <c r="BA68" s="28" t="n">
        <f aca="false">AZ68*$M68</f>
        <v>0</v>
      </c>
      <c r="BB68" s="30" t="n">
        <f aca="false">180418/100</f>
        <v>1804.18</v>
      </c>
      <c r="BC68" s="11" t="n">
        <v>14433</v>
      </c>
      <c r="BD68" s="31" t="n">
        <f aca="false">SUM(S68,U68,W68,Y68,AA68,AC68,AE68,AG68,AI68,AK68,AM68,AO68,AQ68,AS68,AU68,AW68,AY68,BA68)</f>
        <v>14433</v>
      </c>
      <c r="BE68" s="28" t="n">
        <f aca="false">BC68-BD68</f>
        <v>0</v>
      </c>
      <c r="BF68" s="32" t="n">
        <f aca="false">SUM(R68,T68,V68,X68,Z68,AB68,AD68,AF68,AH68,AJ68,AL68,AN68,AP68,AR68,AT68,AV68,AX68,AZ68)</f>
        <v>1804.18</v>
      </c>
      <c r="BG68" s="33" t="n">
        <f aca="false">BB68-BF68</f>
        <v>0</v>
      </c>
      <c r="BH68" s="34" t="n">
        <f aca="false">BF68*M68</f>
        <v>14433.44</v>
      </c>
      <c r="BI68" s="35" t="n">
        <f aca="false">BC68-BH68</f>
        <v>-0.440000000000509</v>
      </c>
      <c r="BJ68" s="19" t="str">
        <f aca="false">IF(BI68=0,"",IF(BI68&lt;&gt;BC68,"erreur de calcul",IF(BF68&lt;&gt;0,"pas de prix",IF(M68&lt;&gt; 0,"pas de quantité","pas de prix, ni de quantité"))))</f>
        <v>erreur de calcul</v>
      </c>
      <c r="BK68" s="19"/>
    </row>
    <row r="69" customFormat="false" ht="16" hidden="false" customHeight="false" outlineLevel="0" collapsed="false">
      <c r="A69" s="0" t="n">
        <v>26</v>
      </c>
      <c r="B69" s="8" t="s">
        <v>24</v>
      </c>
      <c r="C69" s="9" t="s">
        <v>25</v>
      </c>
      <c r="D69" s="9" t="s">
        <v>26</v>
      </c>
      <c r="E69" s="10" t="n">
        <v>1789</v>
      </c>
      <c r="F69" s="9" t="s">
        <v>27</v>
      </c>
      <c r="G69" s="9" t="s">
        <v>27</v>
      </c>
      <c r="H69" s="11" t="n">
        <v>20</v>
      </c>
      <c r="I69" s="11" t="s">
        <v>144</v>
      </c>
      <c r="J69" s="14" t="n">
        <v>3</v>
      </c>
      <c r="K69" s="14"/>
      <c r="L69" s="16"/>
      <c r="M69" s="27" t="n">
        <f aca="false">J69+(K69/20)+(L69/240)</f>
        <v>3</v>
      </c>
      <c r="N69" s="17" t="s">
        <v>66</v>
      </c>
      <c r="O69" s="11"/>
      <c r="P69" s="28"/>
      <c r="Q69" s="28" t="str">
        <f aca="false">IF(O69&lt;&gt;"",P69*M69,"")</f>
        <v/>
      </c>
      <c r="R69" s="28"/>
      <c r="S69" s="28" t="n">
        <f aca="false">R69*$M69</f>
        <v>0</v>
      </c>
      <c r="T69" s="28"/>
      <c r="U69" s="28" t="n">
        <f aca="false">T69*$M69</f>
        <v>0</v>
      </c>
      <c r="V69" s="28" t="n">
        <v>24347</v>
      </c>
      <c r="W69" s="28" t="n">
        <v>73041</v>
      </c>
      <c r="X69" s="28" t="n">
        <v>2300</v>
      </c>
      <c r="Y69" s="28" t="n">
        <v>6900</v>
      </c>
      <c r="Z69" s="28" t="n">
        <v>152</v>
      </c>
      <c r="AA69" s="28" t="n">
        <v>456</v>
      </c>
      <c r="AB69" s="28"/>
      <c r="AC69" s="28" t="n">
        <f aca="false">AB69*$M69</f>
        <v>0</v>
      </c>
      <c r="AD69" s="28" t="n">
        <v>53940</v>
      </c>
      <c r="AE69" s="28" t="n">
        <v>161820</v>
      </c>
      <c r="AF69" s="28"/>
      <c r="AG69" s="28" t="n">
        <f aca="false">AF69*$M69</f>
        <v>0</v>
      </c>
      <c r="AH69" s="28"/>
      <c r="AI69" s="28" t="n">
        <f aca="false">AH69*$M69</f>
        <v>0</v>
      </c>
      <c r="AJ69" s="28" t="n">
        <v>1668909</v>
      </c>
      <c r="AK69" s="28" t="n">
        <v>5006727</v>
      </c>
      <c r="AL69" s="28"/>
      <c r="AM69" s="28" t="n">
        <f aca="false">AL69*$M69</f>
        <v>0</v>
      </c>
      <c r="AN69" s="28"/>
      <c r="AO69" s="28" t="n">
        <f aca="false">AN69*$M69</f>
        <v>0</v>
      </c>
      <c r="AP69" s="28" t="n">
        <v>165</v>
      </c>
      <c r="AQ69" s="28" t="n">
        <v>495</v>
      </c>
      <c r="AR69" s="28"/>
      <c r="AS69" s="28" t="n">
        <f aca="false">AR69*$M69</f>
        <v>0</v>
      </c>
      <c r="AT69" s="28"/>
      <c r="AU69" s="28" t="n">
        <f aca="false">AT69*$M69</f>
        <v>0</v>
      </c>
      <c r="AV69" s="28"/>
      <c r="AW69" s="28" t="n">
        <f aca="false">AV69*$M69</f>
        <v>0</v>
      </c>
      <c r="AX69" s="28"/>
      <c r="AY69" s="28" t="n">
        <f aca="false">AX69*$M69</f>
        <v>0</v>
      </c>
      <c r="AZ69" s="28"/>
      <c r="BA69" s="28" t="n">
        <f aca="false">AZ69*$M69</f>
        <v>0</v>
      </c>
      <c r="BB69" s="30" t="n">
        <v>1736540</v>
      </c>
      <c r="BC69" s="11" t="n">
        <v>5249439</v>
      </c>
      <c r="BD69" s="31" t="n">
        <f aca="false">SUM(S69,U69,W69,Y69,AA69,AC69,AE69,AG69,AI69,AK69,AM69,AO69,AQ69,AS69,AU69,AW69,AY69,BA69)</f>
        <v>5249439</v>
      </c>
      <c r="BE69" s="28" t="n">
        <f aca="false">BC69-BD69</f>
        <v>0</v>
      </c>
      <c r="BF69" s="32" t="n">
        <f aca="false">SUM(R69,T69,V69,X69,Z69,AB69,AD69,AF69,AH69,AJ69,AL69,AN69,AP69,AR69,AT69,AV69,AX69,AZ69)</f>
        <v>1749813</v>
      </c>
      <c r="BG69" s="33" t="n">
        <f aca="false">BB69-BF69</f>
        <v>-13273</v>
      </c>
      <c r="BH69" s="34" t="n">
        <f aca="false">BF69*M69</f>
        <v>5249439</v>
      </c>
      <c r="BI69" s="35" t="n">
        <f aca="false">BC69-BH69</f>
        <v>0</v>
      </c>
      <c r="BJ69" s="19" t="str">
        <f aca="false">IF(BI69=0,"",IF(BI69&lt;&gt;BC69,"erreur de calcul",IF(BF69&lt;&gt;0,"pas de prix",IF(M69&lt;&gt; 0,"pas de quantité","pas de prix, ni de quantité"))))</f>
        <v/>
      </c>
      <c r="BK69" s="19"/>
    </row>
    <row r="70" customFormat="false" ht="16" hidden="false" customHeight="false" outlineLevel="0" collapsed="false">
      <c r="A70" s="0" t="n">
        <v>27</v>
      </c>
      <c r="B70" s="8" t="s">
        <v>24</v>
      </c>
      <c r="C70" s="9" t="s">
        <v>25</v>
      </c>
      <c r="D70" s="9" t="s">
        <v>26</v>
      </c>
      <c r="E70" s="10" t="n">
        <v>1789</v>
      </c>
      <c r="F70" s="9" t="s">
        <v>27</v>
      </c>
      <c r="G70" s="9" t="s">
        <v>27</v>
      </c>
      <c r="H70" s="11" t="n">
        <v>20</v>
      </c>
      <c r="I70" s="11" t="s">
        <v>145</v>
      </c>
      <c r="J70" s="14" t="n">
        <v>4</v>
      </c>
      <c r="K70" s="14" t="n">
        <v>18</v>
      </c>
      <c r="L70" s="16"/>
      <c r="M70" s="27" t="n">
        <f aca="false">J70+(K70/20)+(L70/240)</f>
        <v>4.9</v>
      </c>
      <c r="N70" s="17" t="s">
        <v>66</v>
      </c>
      <c r="O70" s="11"/>
      <c r="P70" s="28"/>
      <c r="Q70" s="28" t="str">
        <f aca="false">IF(O70&lt;&gt;"",P70*M70,"")</f>
        <v/>
      </c>
      <c r="R70" s="28"/>
      <c r="S70" s="28" t="n">
        <f aca="false">R70*$M70</f>
        <v>0</v>
      </c>
      <c r="T70" s="28"/>
      <c r="U70" s="28" t="n">
        <f aca="false">T70*$M70</f>
        <v>0</v>
      </c>
      <c r="V70" s="28"/>
      <c r="W70" s="28" t="n">
        <f aca="false">V70*$M70</f>
        <v>0</v>
      </c>
      <c r="X70" s="28"/>
      <c r="Y70" s="28" t="n">
        <f aca="false">X70*$M70</f>
        <v>0</v>
      </c>
      <c r="Z70" s="28"/>
      <c r="AA70" s="28" t="n">
        <f aca="false">Z70*$M70</f>
        <v>0</v>
      </c>
      <c r="AB70" s="28"/>
      <c r="AC70" s="28" t="n">
        <f aca="false">AB70*$M70</f>
        <v>0</v>
      </c>
      <c r="AD70" s="28"/>
      <c r="AE70" s="28" t="n">
        <f aca="false">AD70*$M70</f>
        <v>0</v>
      </c>
      <c r="AF70" s="28"/>
      <c r="AG70" s="28" t="n">
        <f aca="false">AF70*$M70</f>
        <v>0</v>
      </c>
      <c r="AH70" s="28"/>
      <c r="AI70" s="28" t="n">
        <f aca="false">AH70*$M70</f>
        <v>0</v>
      </c>
      <c r="AJ70" s="28" t="n">
        <v>14916</v>
      </c>
      <c r="AK70" s="28" t="n">
        <v>73088</v>
      </c>
      <c r="AL70" s="28"/>
      <c r="AM70" s="28" t="n">
        <f aca="false">AL70*$M70</f>
        <v>0</v>
      </c>
      <c r="AN70" s="28"/>
      <c r="AO70" s="28" t="n">
        <f aca="false">AN70*$M70</f>
        <v>0</v>
      </c>
      <c r="AP70" s="28"/>
      <c r="AQ70" s="28" t="n">
        <f aca="false">AP70*$M70</f>
        <v>0</v>
      </c>
      <c r="AR70" s="28"/>
      <c r="AS70" s="28" t="n">
        <f aca="false">AR70*$M70</f>
        <v>0</v>
      </c>
      <c r="AT70" s="28"/>
      <c r="AU70" s="28" t="n">
        <f aca="false">AT70*$M70</f>
        <v>0</v>
      </c>
      <c r="AV70" s="28"/>
      <c r="AW70" s="28" t="n">
        <f aca="false">AV70*$M70</f>
        <v>0</v>
      </c>
      <c r="AX70" s="28"/>
      <c r="AY70" s="28" t="n">
        <f aca="false">AX70*$M70</f>
        <v>0</v>
      </c>
      <c r="AZ70" s="28"/>
      <c r="BA70" s="28" t="n">
        <f aca="false">AZ70*$M70</f>
        <v>0</v>
      </c>
      <c r="BB70" s="30" t="n">
        <v>14916</v>
      </c>
      <c r="BC70" s="11" t="n">
        <v>73088</v>
      </c>
      <c r="BD70" s="31" t="n">
        <f aca="false">SUM(S70,U70,W70,Y70,AA70,AC70,AE70,AG70,AI70,AK70,AM70,AO70,AQ70,AS70,AU70,AW70,AY70,BA70)</f>
        <v>73088</v>
      </c>
      <c r="BE70" s="28" t="n">
        <f aca="false">BC70-BD70</f>
        <v>0</v>
      </c>
      <c r="BF70" s="32" t="n">
        <f aca="false">SUM(R70,T70,V70,X70,Z70,AB70,AD70,AF70,AH70,AJ70,AL70,AN70,AP70,AR70,AT70,AV70,AX70,AZ70)</f>
        <v>14916</v>
      </c>
      <c r="BG70" s="33" t="n">
        <f aca="false">BB70-BF70</f>
        <v>0</v>
      </c>
      <c r="BH70" s="34" t="n">
        <f aca="false">BF70*M70</f>
        <v>73088.4</v>
      </c>
      <c r="BI70" s="35" t="n">
        <f aca="false">BC70-BH70</f>
        <v>-0.400000000008731</v>
      </c>
      <c r="BJ70" s="19" t="str">
        <f aca="false">IF(BI70=0,"",IF(BI70&lt;&gt;BC70,"erreur de calcul",IF(BF70&lt;&gt;0,"pas de prix",IF(M70&lt;&gt; 0,"pas de quantité","pas de prix, ni de quantité"))))</f>
        <v>erreur de calcul</v>
      </c>
      <c r="BK70" s="19"/>
    </row>
    <row r="71" customFormat="false" ht="16" hidden="false" customHeight="false" outlineLevel="0" collapsed="false">
      <c r="A71" s="0" t="n">
        <v>28</v>
      </c>
      <c r="B71" s="8" t="s">
        <v>24</v>
      </c>
      <c r="C71" s="9" t="s">
        <v>25</v>
      </c>
      <c r="D71" s="9" t="s">
        <v>26</v>
      </c>
      <c r="E71" s="10" t="n">
        <v>1789</v>
      </c>
      <c r="F71" s="9" t="s">
        <v>27</v>
      </c>
      <c r="G71" s="9" t="s">
        <v>27</v>
      </c>
      <c r="H71" s="11" t="n">
        <v>20</v>
      </c>
      <c r="I71" s="11" t="s">
        <v>146</v>
      </c>
      <c r="J71" s="14" t="n">
        <v>126</v>
      </c>
      <c r="K71" s="14"/>
      <c r="L71" s="16"/>
      <c r="M71" s="27"/>
      <c r="N71" s="17" t="s">
        <v>66</v>
      </c>
      <c r="O71" s="11" t="s">
        <v>98</v>
      </c>
      <c r="P71" s="28" t="n">
        <v>9641</v>
      </c>
      <c r="Q71" s="28" t="n">
        <v>12148</v>
      </c>
      <c r="R71" s="28"/>
      <c r="S71" s="28" t="n">
        <f aca="false">R71*$M71</f>
        <v>0</v>
      </c>
      <c r="T71" s="28" t="n">
        <v>82676</v>
      </c>
      <c r="U71" s="28" t="n">
        <v>28572</v>
      </c>
      <c r="V71" s="28"/>
      <c r="W71" s="28" t="n">
        <f aca="false">V71*$M71</f>
        <v>0</v>
      </c>
      <c r="X71" s="28"/>
      <c r="Y71" s="28" t="n">
        <f aca="false">X71*$M71</f>
        <v>0</v>
      </c>
      <c r="Z71" s="28"/>
      <c r="AA71" s="28" t="n">
        <f aca="false">Z71*$M71</f>
        <v>0</v>
      </c>
      <c r="AB71" s="28"/>
      <c r="AC71" s="28" t="n">
        <f aca="false">AB71*$M71</f>
        <v>0</v>
      </c>
      <c r="AD71" s="28"/>
      <c r="AE71" s="28" t="n">
        <f aca="false">AD71*$M71</f>
        <v>0</v>
      </c>
      <c r="AF71" s="28"/>
      <c r="AG71" s="28" t="n">
        <f aca="false">AF71*$M71</f>
        <v>0</v>
      </c>
      <c r="AH71" s="28"/>
      <c r="AI71" s="28" t="n">
        <f aca="false">AH71*$M71</f>
        <v>0</v>
      </c>
      <c r="AJ71" s="28" t="n">
        <v>6408925</v>
      </c>
      <c r="AK71" s="28" t="n">
        <v>8075245</v>
      </c>
      <c r="AL71" s="28"/>
      <c r="AM71" s="28" t="n">
        <f aca="false">AL71*$M71</f>
        <v>0</v>
      </c>
      <c r="AN71" s="28"/>
      <c r="AO71" s="28" t="n">
        <f aca="false">AN71*$M71</f>
        <v>0</v>
      </c>
      <c r="AP71" s="28"/>
      <c r="AQ71" s="28" t="n">
        <f aca="false">AP71*$M71</f>
        <v>0</v>
      </c>
      <c r="AR71" s="28"/>
      <c r="AS71" s="28" t="n">
        <f aca="false">AR71*$M71</f>
        <v>0</v>
      </c>
      <c r="AT71" s="28"/>
      <c r="AU71" s="28" t="n">
        <f aca="false">AT71*$M71</f>
        <v>0</v>
      </c>
      <c r="AV71" s="28"/>
      <c r="AW71" s="28" t="n">
        <f aca="false">AV71*$M71</f>
        <v>0</v>
      </c>
      <c r="AX71" s="28"/>
      <c r="AY71" s="28" t="n">
        <f aca="false">AX71*$M71</f>
        <v>0</v>
      </c>
      <c r="AZ71" s="28"/>
      <c r="BA71" s="28" t="n">
        <f aca="false">AZ71*$M71</f>
        <v>0</v>
      </c>
      <c r="BB71" s="11" t="n">
        <v>6431601</v>
      </c>
      <c r="BC71" s="11" t="n">
        <v>8103817</v>
      </c>
      <c r="BD71" s="31" t="n">
        <f aca="false">SUM(S71,U71,W71,Y71,AA71,AC71,AE71,AG71,AI71,AK71,AM71,AO71,AQ71,AS71,AU71,AW71,AY71,BA71)</f>
        <v>8103817</v>
      </c>
      <c r="BE71" s="28" t="n">
        <f aca="false">BC71-BD71</f>
        <v>0</v>
      </c>
      <c r="BF71" s="32" t="n">
        <f aca="false">SUM(R71,T71,V71,X71,Z71,AB71,AD71,AF71,AH71,AJ71,AL71,AN71,AP71,AR71,AT71,AV71,AX71,AZ71)</f>
        <v>6491601</v>
      </c>
      <c r="BG71" s="33" t="n">
        <f aca="false">BB71-BF71</f>
        <v>-60000</v>
      </c>
      <c r="BH71" s="34" t="n">
        <f aca="false">BF71*M71</f>
        <v>0</v>
      </c>
      <c r="BI71" s="35" t="n">
        <f aca="false">BC71-BH71</f>
        <v>8103817</v>
      </c>
      <c r="BJ71" s="19" t="str">
        <f aca="false">IF(BI71=0,"",IF(BI71&lt;&gt;BC71,"erreur de calcul",IF(BF71&lt;&gt;0,"pas de prix",IF(M71&lt;&gt; 0,"pas de quantité","pas de prix, ni de quantité"))))</f>
        <v>pas de prix</v>
      </c>
      <c r="BK71" s="19" t="s">
        <v>147</v>
      </c>
    </row>
    <row r="72" customFormat="false" ht="16" hidden="false" customHeight="false" outlineLevel="0" collapsed="false">
      <c r="A72" s="0" t="n">
        <v>29</v>
      </c>
      <c r="B72" s="8" t="s">
        <v>24</v>
      </c>
      <c r="C72" s="9" t="s">
        <v>25</v>
      </c>
      <c r="D72" s="9" t="s">
        <v>26</v>
      </c>
      <c r="E72" s="10" t="n">
        <v>1789</v>
      </c>
      <c r="F72" s="9" t="s">
        <v>27</v>
      </c>
      <c r="G72" s="9" t="s">
        <v>27</v>
      </c>
      <c r="H72" s="11" t="n">
        <v>20</v>
      </c>
      <c r="I72" s="11" t="s">
        <v>148</v>
      </c>
      <c r="J72" s="14"/>
      <c r="K72" s="14" t="n">
        <v>20</v>
      </c>
      <c r="L72" s="16"/>
      <c r="M72" s="27" t="n">
        <f aca="false">J72+(K72/20)+(L72/240)</f>
        <v>1</v>
      </c>
      <c r="N72" s="17" t="s">
        <v>66</v>
      </c>
      <c r="O72" s="11"/>
      <c r="P72" s="28"/>
      <c r="Q72" s="28" t="str">
        <f aca="false">IF(O72&lt;&gt;"",P72*M72,"")</f>
        <v/>
      </c>
      <c r="R72" s="28"/>
      <c r="S72" s="28" t="n">
        <f aca="false">R72*$M72</f>
        <v>0</v>
      </c>
      <c r="T72" s="28"/>
      <c r="U72" s="28" t="n">
        <f aca="false">T72*$M72</f>
        <v>0</v>
      </c>
      <c r="V72" s="28" t="n">
        <v>392</v>
      </c>
      <c r="W72" s="28" t="n">
        <v>392</v>
      </c>
      <c r="X72" s="28"/>
      <c r="Y72" s="28" t="n">
        <f aca="false">X72*$M72</f>
        <v>0</v>
      </c>
      <c r="Z72" s="28"/>
      <c r="AA72" s="28" t="n">
        <f aca="false">Z72*$M72</f>
        <v>0</v>
      </c>
      <c r="AB72" s="28"/>
      <c r="AC72" s="28" t="n">
        <f aca="false">AB72*$M72</f>
        <v>0</v>
      </c>
      <c r="AD72" s="28" t="n">
        <v>7596</v>
      </c>
      <c r="AE72" s="28" t="n">
        <v>7596</v>
      </c>
      <c r="AF72" s="28"/>
      <c r="AG72" s="28" t="n">
        <f aca="false">AF72*$M72</f>
        <v>0</v>
      </c>
      <c r="AH72" s="28"/>
      <c r="AI72" s="28" t="n">
        <f aca="false">AH72*$M72</f>
        <v>0</v>
      </c>
      <c r="AJ72" s="28"/>
      <c r="AK72" s="28" t="n">
        <f aca="false">AJ72*$M72</f>
        <v>0</v>
      </c>
      <c r="AL72" s="28"/>
      <c r="AM72" s="28" t="n">
        <f aca="false">AL72*$M72</f>
        <v>0</v>
      </c>
      <c r="AN72" s="28"/>
      <c r="AO72" s="28" t="n">
        <f aca="false">AN72*$M72</f>
        <v>0</v>
      </c>
      <c r="AP72" s="28"/>
      <c r="AQ72" s="28" t="n">
        <f aca="false">AP72*$M72</f>
        <v>0</v>
      </c>
      <c r="AR72" s="28"/>
      <c r="AS72" s="28" t="n">
        <f aca="false">AR72*$M72</f>
        <v>0</v>
      </c>
      <c r="AT72" s="28"/>
      <c r="AU72" s="28" t="n">
        <f aca="false">AT72*$M72</f>
        <v>0</v>
      </c>
      <c r="AV72" s="28"/>
      <c r="AW72" s="28" t="n">
        <f aca="false">AV72*$M72</f>
        <v>0</v>
      </c>
      <c r="AX72" s="28"/>
      <c r="AY72" s="28" t="n">
        <f aca="false">AX72*$M72</f>
        <v>0</v>
      </c>
      <c r="AZ72" s="28"/>
      <c r="BA72" s="28" t="n">
        <f aca="false">AZ72*$M72</f>
        <v>0</v>
      </c>
      <c r="BB72" s="30" t="n">
        <v>7988</v>
      </c>
      <c r="BC72" s="11" t="n">
        <v>7988</v>
      </c>
      <c r="BD72" s="31" t="n">
        <f aca="false">SUM(S72,U72,W72,Y72,AA72,AC72,AE72,AG72,AI72,AK72,AM72,AO72,AQ72,AS72,AU72,AW72,AY72,BA72)</f>
        <v>7988</v>
      </c>
      <c r="BE72" s="28" t="n">
        <f aca="false">BC72-BD72</f>
        <v>0</v>
      </c>
      <c r="BF72" s="32" t="n">
        <f aca="false">SUM(R72,T72,V72,X72,Z72,AB72,AD72,AF72,AH72,AJ72,AL72,AN72,AP72,AR72,AT72,AV72,AX72,AZ72)</f>
        <v>7988</v>
      </c>
      <c r="BG72" s="33" t="n">
        <f aca="false">BB72-BF72</f>
        <v>0</v>
      </c>
      <c r="BH72" s="34" t="n">
        <f aca="false">BF72*M72</f>
        <v>7988</v>
      </c>
      <c r="BI72" s="35" t="n">
        <f aca="false">BC72-BH72</f>
        <v>0</v>
      </c>
      <c r="BJ72" s="19" t="str">
        <f aca="false">IF(BI72=0,"",IF(BI72&lt;&gt;BC72,"erreur de calcul",IF(BF72&lt;&gt;0,"pas de prix",IF(M72&lt;&gt; 0,"pas de quantité","pas de prix, ni de quantité"))))</f>
        <v/>
      </c>
      <c r="BK72" s="19"/>
    </row>
    <row r="73" customFormat="false" ht="16" hidden="false" customHeight="false" outlineLevel="0" collapsed="false">
      <c r="A73" s="0" t="n">
        <v>30</v>
      </c>
      <c r="B73" s="8" t="s">
        <v>24</v>
      </c>
      <c r="C73" s="9" t="s">
        <v>25</v>
      </c>
      <c r="D73" s="9" t="s">
        <v>26</v>
      </c>
      <c r="E73" s="10" t="n">
        <v>1789</v>
      </c>
      <c r="F73" s="9" t="s">
        <v>27</v>
      </c>
      <c r="G73" s="9" t="s">
        <v>27</v>
      </c>
      <c r="H73" s="11" t="n">
        <v>20</v>
      </c>
      <c r="I73" s="11" t="s">
        <v>149</v>
      </c>
      <c r="J73" s="14" t="n">
        <v>70</v>
      </c>
      <c r="K73" s="14"/>
      <c r="L73" s="16"/>
      <c r="M73" s="27" t="n">
        <f aca="false">J73+(K73/20)+(L73/240)</f>
        <v>70</v>
      </c>
      <c r="N73" s="17" t="s">
        <v>64</v>
      </c>
      <c r="O73" s="11"/>
      <c r="P73" s="28"/>
      <c r="Q73" s="28" t="str">
        <f aca="false">IF(O73&lt;&gt;"",P73*M73,"")</f>
        <v/>
      </c>
      <c r="R73" s="28"/>
      <c r="S73" s="28" t="n">
        <f aca="false">R73*$M73</f>
        <v>0</v>
      </c>
      <c r="T73" s="28"/>
      <c r="U73" s="28" t="n">
        <f aca="false">T73*$M73</f>
        <v>0</v>
      </c>
      <c r="V73" s="28"/>
      <c r="W73" s="28" t="n">
        <f aca="false">V73*$M73</f>
        <v>0</v>
      </c>
      <c r="X73" s="28"/>
      <c r="Y73" s="28" t="n">
        <f aca="false">X73*$M73</f>
        <v>0</v>
      </c>
      <c r="Z73" s="28" t="n">
        <f aca="false">1904/100</f>
        <v>19.04</v>
      </c>
      <c r="AA73" s="28" t="n">
        <v>1333</v>
      </c>
      <c r="AB73" s="28"/>
      <c r="AC73" s="28" t="n">
        <f aca="false">AB73*$M73</f>
        <v>0</v>
      </c>
      <c r="AD73" s="28" t="n">
        <f aca="false">51370/100</f>
        <v>513.7</v>
      </c>
      <c r="AE73" s="28" t="n">
        <v>35959</v>
      </c>
      <c r="AF73" s="28"/>
      <c r="AG73" s="28" t="n">
        <f aca="false">AF73*$M73</f>
        <v>0</v>
      </c>
      <c r="AH73" s="28" t="n">
        <f aca="false">8872/100</f>
        <v>88.72</v>
      </c>
      <c r="AI73" s="28" t="n">
        <v>6210</v>
      </c>
      <c r="AJ73" s="28" t="n">
        <f aca="false">14751/100</f>
        <v>147.51</v>
      </c>
      <c r="AK73" s="28" t="n">
        <v>10326</v>
      </c>
      <c r="AL73" s="28"/>
      <c r="AM73" s="28" t="n">
        <f aca="false">AL73*$M73</f>
        <v>0</v>
      </c>
      <c r="AN73" s="28"/>
      <c r="AO73" s="28" t="n">
        <f aca="false">AN73*$M73</f>
        <v>0</v>
      </c>
      <c r="AP73" s="28"/>
      <c r="AQ73" s="28" t="n">
        <f aca="false">AP73*$M73</f>
        <v>0</v>
      </c>
      <c r="AR73" s="28"/>
      <c r="AS73" s="28" t="n">
        <f aca="false">AR73*$M73</f>
        <v>0</v>
      </c>
      <c r="AT73" s="28"/>
      <c r="AU73" s="28" t="n">
        <f aca="false">AT73*$M73</f>
        <v>0</v>
      </c>
      <c r="AV73" s="28"/>
      <c r="AW73" s="28" t="n">
        <f aca="false">AV73*$M73</f>
        <v>0</v>
      </c>
      <c r="AX73" s="28"/>
      <c r="AY73" s="28" t="n">
        <f aca="false">AX73*$M73</f>
        <v>0</v>
      </c>
      <c r="AZ73" s="28"/>
      <c r="BA73" s="28" t="n">
        <f aca="false">AZ73*$M73</f>
        <v>0</v>
      </c>
      <c r="BB73" s="30" t="n">
        <f aca="false">76897/100</f>
        <v>768.97</v>
      </c>
      <c r="BC73" s="11" t="n">
        <v>53828</v>
      </c>
      <c r="BD73" s="31" t="n">
        <f aca="false">SUM(S73,U73,W73,Y73,AA73,AC73,AE73,AG73,AI73,AK73,AM73,AO73,AQ73,AS73,AU73,AW73,AY73,BA73)</f>
        <v>53828</v>
      </c>
      <c r="BE73" s="28" t="n">
        <f aca="false">BC73-BD73</f>
        <v>0</v>
      </c>
      <c r="BF73" s="32" t="n">
        <f aca="false">SUM(R73,T73,V73,X73,Z73,AB73,AD73,AF73,AH73,AJ73,AL73,AN73,AP73,AR73,AT73,AV73,AX73,AZ73)</f>
        <v>768.97</v>
      </c>
      <c r="BG73" s="33" t="n">
        <f aca="false">BB73-BF73</f>
        <v>0</v>
      </c>
      <c r="BH73" s="34" t="n">
        <f aca="false">BF73*M73</f>
        <v>53827.9</v>
      </c>
      <c r="BI73" s="35" t="n">
        <f aca="false">BC73-BH73</f>
        <v>0.0999999999985448</v>
      </c>
      <c r="BJ73" s="19" t="str">
        <f aca="false">IF(BI73=0,"",IF(BI73&lt;&gt;BC73,"erreur de calcul",IF(BF73&lt;&gt;0,"pas de prix",IF(M73&lt;&gt; 0,"pas de quantité","pas de prix, ni de quantité"))))</f>
        <v>erreur de calcul</v>
      </c>
      <c r="BK73" s="19"/>
    </row>
    <row r="74" customFormat="false" ht="16" hidden="false" customHeight="false" outlineLevel="0" collapsed="false">
      <c r="A74" s="0" t="n">
        <v>31</v>
      </c>
      <c r="B74" s="8" t="s">
        <v>24</v>
      </c>
      <c r="C74" s="9" t="s">
        <v>25</v>
      </c>
      <c r="D74" s="9" t="s">
        <v>26</v>
      </c>
      <c r="E74" s="10" t="n">
        <v>1789</v>
      </c>
      <c r="F74" s="9" t="s">
        <v>27</v>
      </c>
      <c r="G74" s="9" t="s">
        <v>27</v>
      </c>
      <c r="H74" s="11" t="n">
        <v>20</v>
      </c>
      <c r="I74" s="11" t="s">
        <v>150</v>
      </c>
      <c r="J74" s="14" t="n">
        <v>70</v>
      </c>
      <c r="K74" s="14"/>
      <c r="L74" s="16"/>
      <c r="M74" s="27" t="n">
        <f aca="false">J74+(K74/20)+(L74/240)</f>
        <v>70</v>
      </c>
      <c r="N74" s="17" t="s">
        <v>64</v>
      </c>
      <c r="O74" s="11" t="s">
        <v>77</v>
      </c>
      <c r="P74" s="28" t="n">
        <f aca="false">115178/100</f>
        <v>1151.78</v>
      </c>
      <c r="Q74" s="28" t="n">
        <v>80625</v>
      </c>
      <c r="R74" s="28"/>
      <c r="S74" s="28" t="n">
        <f aca="false">R74*$M74</f>
        <v>0</v>
      </c>
      <c r="T74" s="28"/>
      <c r="U74" s="28" t="n">
        <f aca="false">T74*$M74</f>
        <v>0</v>
      </c>
      <c r="V74" s="28"/>
      <c r="W74" s="28" t="n">
        <f aca="false">V74*$M74</f>
        <v>0</v>
      </c>
      <c r="X74" s="28"/>
      <c r="Y74" s="28" t="n">
        <f aca="false">X74*$M74</f>
        <v>0</v>
      </c>
      <c r="Z74" s="28"/>
      <c r="AA74" s="28" t="n">
        <f aca="false">Z74*$M74</f>
        <v>0</v>
      </c>
      <c r="AB74" s="28"/>
      <c r="AC74" s="28" t="n">
        <f aca="false">AB74*$M74</f>
        <v>0</v>
      </c>
      <c r="AD74" s="28"/>
      <c r="AE74" s="28" t="n">
        <f aca="false">AD74*$M74</f>
        <v>0</v>
      </c>
      <c r="AF74" s="28"/>
      <c r="AG74" s="28" t="n">
        <f aca="false">AF74*$M74</f>
        <v>0</v>
      </c>
      <c r="AH74" s="28"/>
      <c r="AI74" s="28" t="n">
        <f aca="false">AH74*$M74</f>
        <v>0</v>
      </c>
      <c r="AJ74" s="28"/>
      <c r="AK74" s="28" t="n">
        <f aca="false">AJ74*$M74</f>
        <v>0</v>
      </c>
      <c r="AL74" s="28"/>
      <c r="AM74" s="28" t="n">
        <f aca="false">AL74*$M74</f>
        <v>0</v>
      </c>
      <c r="AN74" s="28"/>
      <c r="AO74" s="28" t="n">
        <f aca="false">AN74*$M74</f>
        <v>0</v>
      </c>
      <c r="AP74" s="28"/>
      <c r="AQ74" s="28" t="n">
        <f aca="false">AP74*$M74</f>
        <v>0</v>
      </c>
      <c r="AR74" s="28"/>
      <c r="AS74" s="28" t="n">
        <f aca="false">AR74*$M74</f>
        <v>0</v>
      </c>
      <c r="AT74" s="28"/>
      <c r="AU74" s="28" t="n">
        <f aca="false">AT74*$M74</f>
        <v>0</v>
      </c>
      <c r="AV74" s="28"/>
      <c r="AW74" s="28" t="n">
        <f aca="false">AV74*$M74</f>
        <v>0</v>
      </c>
      <c r="AX74" s="28"/>
      <c r="AY74" s="28" t="n">
        <f aca="false">AX74*$M74</f>
        <v>0</v>
      </c>
      <c r="AZ74" s="28"/>
      <c r="BA74" s="28" t="n">
        <f aca="false">AZ74*$M74</f>
        <v>0</v>
      </c>
      <c r="BB74" s="30"/>
      <c r="BC74" s="11"/>
      <c r="BD74" s="31" t="n">
        <f aca="false">SUM(S74,U74,W74,Y74,AA74,AC74,AE74,AG74,AI74,AK74,AM74,AO74,AQ74,AS74,AU74,AW74,AY74,BA74)</f>
        <v>0</v>
      </c>
      <c r="BE74" s="28" t="n">
        <f aca="false">BC74-BD74</f>
        <v>0</v>
      </c>
      <c r="BF74" s="32" t="n">
        <f aca="false">SUM(R74,T74,V74,X74,Z74,AB74,AD74,AF74,AH74,AJ74,AL74,AN74,AP74,AR74,AT74,AV74,AX74,AZ74)</f>
        <v>0</v>
      </c>
      <c r="BG74" s="33" t="n">
        <f aca="false">BB74-BF74</f>
        <v>0</v>
      </c>
      <c r="BH74" s="34" t="n">
        <f aca="false">BF74*M74</f>
        <v>0</v>
      </c>
      <c r="BI74" s="35" t="n">
        <f aca="false">BC74-BH74</f>
        <v>0</v>
      </c>
      <c r="BJ74" s="19" t="str">
        <f aca="false">IF(BI74=0,"",IF(BI74&lt;&gt;BC74,"erreur de calcul",IF(BF74&lt;&gt;0,"pas de prix",IF(M74&lt;&gt; 0,"pas de quantité","pas de prix, ni de quantité"))))</f>
        <v/>
      </c>
      <c r="BK74" s="19"/>
    </row>
    <row r="75" customFormat="false" ht="16" hidden="false" customHeight="false" outlineLevel="0" collapsed="false">
      <c r="A75" s="0" t="n">
        <v>32</v>
      </c>
      <c r="B75" s="8" t="s">
        <v>24</v>
      </c>
      <c r="C75" s="9" t="s">
        <v>25</v>
      </c>
      <c r="D75" s="9" t="s">
        <v>26</v>
      </c>
      <c r="E75" s="10" t="n">
        <v>1789</v>
      </c>
      <c r="F75" s="9" t="s">
        <v>27</v>
      </c>
      <c r="G75" s="9" t="s">
        <v>27</v>
      </c>
      <c r="H75" s="11" t="n">
        <v>20</v>
      </c>
      <c r="I75" s="11" t="s">
        <v>150</v>
      </c>
      <c r="J75" s="14" t="n">
        <v>70</v>
      </c>
      <c r="K75" s="14"/>
      <c r="L75" s="16"/>
      <c r="M75" s="27" t="n">
        <f aca="false">J75+(K75/20)+(L75/240)</f>
        <v>70</v>
      </c>
      <c r="N75" s="17" t="s">
        <v>64</v>
      </c>
      <c r="O75" s="11" t="s">
        <v>98</v>
      </c>
      <c r="P75" s="28" t="n">
        <f aca="false">9840/100</f>
        <v>98.4</v>
      </c>
      <c r="Q75" s="28" t="n">
        <v>6888</v>
      </c>
      <c r="R75" s="28" t="n">
        <f aca="false">382028/100</f>
        <v>3820.28</v>
      </c>
      <c r="S75" s="28" t="n">
        <v>267420</v>
      </c>
      <c r="T75" s="28" t="n">
        <f aca="false">131361/100</f>
        <v>1313.61</v>
      </c>
      <c r="U75" s="28" t="n">
        <v>91953</v>
      </c>
      <c r="V75" s="28" t="n">
        <f aca="false">8856/100</f>
        <v>88.56</v>
      </c>
      <c r="W75" s="28" t="n">
        <v>6199</v>
      </c>
      <c r="X75" s="28" t="n">
        <f aca="false">171125/100</f>
        <v>1711.25</v>
      </c>
      <c r="Y75" s="28" t="n">
        <v>119787</v>
      </c>
      <c r="Z75" s="28" t="n">
        <f aca="false">24259/100</f>
        <v>242.59</v>
      </c>
      <c r="AA75" s="28" t="n">
        <v>16981</v>
      </c>
      <c r="AB75" s="28"/>
      <c r="AC75" s="28" t="n">
        <f aca="false">AB75*$M75</f>
        <v>0</v>
      </c>
      <c r="AD75" s="28" t="n">
        <f aca="false">33694/100</f>
        <v>336.94</v>
      </c>
      <c r="AE75" s="28" t="n">
        <v>23586</v>
      </c>
      <c r="AF75" s="28" t="n">
        <f aca="false">89734/100</f>
        <v>897.34</v>
      </c>
      <c r="AG75" s="28" t="n">
        <v>62814</v>
      </c>
      <c r="AH75" s="28" t="n">
        <f aca="false">1955727/100</f>
        <v>19557.27</v>
      </c>
      <c r="AI75" s="28" t="n">
        <v>1369009</v>
      </c>
      <c r="AJ75" s="28" t="n">
        <f aca="false">11740/100</f>
        <v>117.4</v>
      </c>
      <c r="AK75" s="28" t="n">
        <v>8218</v>
      </c>
      <c r="AL75" s="28"/>
      <c r="AM75" s="28" t="n">
        <f aca="false">AL75*$M75</f>
        <v>0</v>
      </c>
      <c r="AN75" s="28"/>
      <c r="AO75" s="28" t="n">
        <f aca="false">AN75*$M75</f>
        <v>0</v>
      </c>
      <c r="AP75" s="28"/>
      <c r="AQ75" s="28" t="n">
        <f aca="false">AP75*$M75</f>
        <v>0</v>
      </c>
      <c r="AR75" s="28"/>
      <c r="AS75" s="28" t="n">
        <f aca="false">AR75*$M75</f>
        <v>0</v>
      </c>
      <c r="AT75" s="28"/>
      <c r="AU75" s="28" t="n">
        <f aca="false">AT75*$M75</f>
        <v>0</v>
      </c>
      <c r="AV75" s="28"/>
      <c r="AW75" s="28" t="n">
        <f aca="false">AV75*$M75</f>
        <v>0</v>
      </c>
      <c r="AX75" s="28" t="n">
        <f aca="false">15000/100</f>
        <v>150</v>
      </c>
      <c r="AY75" s="28" t="n">
        <v>10500</v>
      </c>
      <c r="AZ75" s="28"/>
      <c r="BA75" s="28" t="n">
        <f aca="false">AZ75*$M75</f>
        <v>0</v>
      </c>
      <c r="BB75" s="30" t="n">
        <f aca="false">2823524/100</f>
        <v>28235.24</v>
      </c>
      <c r="BC75" s="11" t="n">
        <v>1976467</v>
      </c>
      <c r="BD75" s="31" t="n">
        <f aca="false">SUM(S75,U75,W75,Y75,AA75,AC75,AE75,AG75,AI75,AK75,AM75,AO75,AQ75,AS75,AU75,AW75,AY75,BA75)</f>
        <v>1976467</v>
      </c>
      <c r="BE75" s="28" t="n">
        <f aca="false">BC75-BD75</f>
        <v>0</v>
      </c>
      <c r="BF75" s="32" t="n">
        <f aca="false">SUM(R75,T75,V75,X75,Z75,AB75,AD75,AF75,AH75,AJ75,AL75,AN75,AP75,AR75,AT75,AV75,AX75,AZ75)</f>
        <v>28235.24</v>
      </c>
      <c r="BG75" s="33" t="n">
        <f aca="false">BB75-BF75</f>
        <v>0</v>
      </c>
      <c r="BH75" s="34" t="n">
        <f aca="false">BF75*M75</f>
        <v>1976466.8</v>
      </c>
      <c r="BI75" s="35" t="n">
        <f aca="false">BC75-BH75</f>
        <v>0.199999999953434</v>
      </c>
      <c r="BJ75" s="19" t="str">
        <f aca="false">IF(BI75=0,"",IF(BI75&lt;&gt;BC75,"erreur de calcul",IF(BF75&lt;&gt;0,"pas de prix",IF(M75&lt;&gt; 0,"pas de quantité","pas de prix, ni de quantité"))))</f>
        <v>erreur de calcul</v>
      </c>
      <c r="BK75" s="19"/>
    </row>
    <row r="76" customFormat="false" ht="16" hidden="false" customHeight="false" outlineLevel="0" collapsed="false">
      <c r="A76" s="0" t="n">
        <v>33</v>
      </c>
      <c r="B76" s="8" t="s">
        <v>24</v>
      </c>
      <c r="C76" s="9" t="s">
        <v>25</v>
      </c>
      <c r="D76" s="9" t="s">
        <v>26</v>
      </c>
      <c r="E76" s="10" t="n">
        <v>1789</v>
      </c>
      <c r="F76" s="9" t="s">
        <v>27</v>
      </c>
      <c r="G76" s="9" t="s">
        <v>27</v>
      </c>
      <c r="H76" s="11" t="n">
        <v>20</v>
      </c>
      <c r="I76" s="11" t="s">
        <v>151</v>
      </c>
      <c r="J76" s="14" t="n">
        <v>150</v>
      </c>
      <c r="K76" s="14"/>
      <c r="L76" s="16"/>
      <c r="M76" s="27" t="n">
        <f aca="false">J76+(K76/20)+(L76/240)</f>
        <v>150</v>
      </c>
      <c r="N76" s="17" t="s">
        <v>64</v>
      </c>
      <c r="O76" s="11"/>
      <c r="P76" s="28"/>
      <c r="Q76" s="28" t="str">
        <f aca="false">IF(O76&lt;&gt;"",P76*M76,"")</f>
        <v/>
      </c>
      <c r="R76" s="28"/>
      <c r="S76" s="28" t="n">
        <f aca="false">R76*$M76</f>
        <v>0</v>
      </c>
      <c r="T76" s="28"/>
      <c r="U76" s="28" t="n">
        <f aca="false">T76*$M76</f>
        <v>0</v>
      </c>
      <c r="V76" s="28"/>
      <c r="W76" s="28" t="n">
        <f aca="false">V76*$M76</f>
        <v>0</v>
      </c>
      <c r="X76" s="28"/>
      <c r="Y76" s="28" t="n">
        <f aca="false">X76*$M76</f>
        <v>0</v>
      </c>
      <c r="Z76" s="28"/>
      <c r="AA76" s="28" t="n">
        <f aca="false">Z76*$M76</f>
        <v>0</v>
      </c>
      <c r="AB76" s="28"/>
      <c r="AC76" s="28" t="n">
        <f aca="false">AB76*$M76</f>
        <v>0</v>
      </c>
      <c r="AD76" s="28"/>
      <c r="AE76" s="28" t="n">
        <f aca="false">AD76*$M76</f>
        <v>0</v>
      </c>
      <c r="AF76" s="28"/>
      <c r="AG76" s="28" t="n">
        <f aca="false">AF76*$M76</f>
        <v>0</v>
      </c>
      <c r="AH76" s="28"/>
      <c r="AI76" s="28" t="n">
        <f aca="false">AH76*$M76</f>
        <v>0</v>
      </c>
      <c r="AJ76" s="28"/>
      <c r="AK76" s="28" t="n">
        <f aca="false">AJ76*$M76</f>
        <v>0</v>
      </c>
      <c r="AL76" s="28"/>
      <c r="AM76" s="28" t="n">
        <f aca="false">AL76*$M76</f>
        <v>0</v>
      </c>
      <c r="AN76" s="28" t="n">
        <f aca="false">118785/100</f>
        <v>1187.85</v>
      </c>
      <c r="AO76" s="28" t="n">
        <v>178177</v>
      </c>
      <c r="AP76" s="28"/>
      <c r="AQ76" s="28" t="n">
        <f aca="false">AP76*$M76</f>
        <v>0</v>
      </c>
      <c r="AR76" s="28"/>
      <c r="AS76" s="28" t="n">
        <f aca="false">AR76*$M76</f>
        <v>0</v>
      </c>
      <c r="AT76" s="28"/>
      <c r="AU76" s="28" t="n">
        <f aca="false">AT76*$M76</f>
        <v>0</v>
      </c>
      <c r="AV76" s="28"/>
      <c r="AW76" s="28" t="n">
        <f aca="false">AV76*$M76</f>
        <v>0</v>
      </c>
      <c r="AX76" s="28"/>
      <c r="AY76" s="28" t="n">
        <f aca="false">AX76*$M76</f>
        <v>0</v>
      </c>
      <c r="AZ76" s="28"/>
      <c r="BA76" s="28" t="n">
        <f aca="false">AZ76*$M76</f>
        <v>0</v>
      </c>
      <c r="BB76" s="30" t="n">
        <f aca="false">118785/100</f>
        <v>1187.85</v>
      </c>
      <c r="BC76" s="11" t="n">
        <v>178177</v>
      </c>
      <c r="BD76" s="31" t="n">
        <f aca="false">SUM(S76,U76,W76,Y76,AA76,AC76,AE76,AG76,AI76,AK76,AM76,AO76,AQ76,AS76,AU76,AW76,AY76,BA76)</f>
        <v>178177</v>
      </c>
      <c r="BE76" s="28" t="n">
        <f aca="false">BC76-BD76</f>
        <v>0</v>
      </c>
      <c r="BF76" s="32" t="n">
        <f aca="false">SUM(R76,T76,V76,X76,Z76,AB76,AD76,AF76,AH76,AJ76,AL76,AN76,AP76,AR76,AT76,AV76,AX76,AZ76)</f>
        <v>1187.85</v>
      </c>
      <c r="BG76" s="33" t="n">
        <f aca="false">BB76-BF76</f>
        <v>0</v>
      </c>
      <c r="BH76" s="34" t="n">
        <f aca="false">BF76*M76</f>
        <v>178177.5</v>
      </c>
      <c r="BI76" s="35" t="n">
        <f aca="false">BC76-BH76</f>
        <v>-0.5</v>
      </c>
      <c r="BJ76" s="19" t="str">
        <f aca="false">IF(BI76=0,"",IF(BI76&lt;&gt;BC76,"erreur de calcul",IF(BF76&lt;&gt;0,"pas de prix",IF(M76&lt;&gt; 0,"pas de quantité","pas de prix, ni de quantité"))))</f>
        <v>erreur de calcul</v>
      </c>
      <c r="BK76" s="19"/>
    </row>
    <row r="77" customFormat="false" ht="16" hidden="false" customHeight="false" outlineLevel="0" collapsed="false">
      <c r="A77" s="0" t="n">
        <v>34</v>
      </c>
      <c r="B77" s="8" t="s">
        <v>24</v>
      </c>
      <c r="C77" s="9" t="s">
        <v>25</v>
      </c>
      <c r="D77" s="9" t="s">
        <v>26</v>
      </c>
      <c r="E77" s="10" t="n">
        <v>1789</v>
      </c>
      <c r="F77" s="9" t="s">
        <v>27</v>
      </c>
      <c r="G77" s="9" t="s">
        <v>27</v>
      </c>
      <c r="H77" s="11" t="n">
        <v>20</v>
      </c>
      <c r="I77" s="11" t="s">
        <v>152</v>
      </c>
      <c r="J77" s="14" t="n">
        <v>80</v>
      </c>
      <c r="K77" s="14"/>
      <c r="L77" s="16"/>
      <c r="M77" s="27" t="n">
        <f aca="false">J77+(K77/20)+(L77/240)</f>
        <v>80</v>
      </c>
      <c r="N77" s="17" t="s">
        <v>64</v>
      </c>
      <c r="O77" s="11"/>
      <c r="P77" s="28"/>
      <c r="Q77" s="28" t="str">
        <f aca="false">IF(O77&lt;&gt;"",P77*M77,"")</f>
        <v/>
      </c>
      <c r="R77" s="28"/>
      <c r="S77" s="28" t="n">
        <f aca="false">R77*$M77</f>
        <v>0</v>
      </c>
      <c r="T77" s="28"/>
      <c r="U77" s="28" t="n">
        <f aca="false">T77*$M77</f>
        <v>0</v>
      </c>
      <c r="V77" s="28"/>
      <c r="W77" s="28" t="n">
        <f aca="false">V77*$M77</f>
        <v>0</v>
      </c>
      <c r="X77" s="28"/>
      <c r="Y77" s="28" t="n">
        <f aca="false">X77*$M77</f>
        <v>0</v>
      </c>
      <c r="Z77" s="28"/>
      <c r="AA77" s="28" t="n">
        <f aca="false">Z77*$M77</f>
        <v>0</v>
      </c>
      <c r="AB77" s="28"/>
      <c r="AC77" s="28" t="n">
        <f aca="false">AB77*$M77</f>
        <v>0</v>
      </c>
      <c r="AD77" s="28" t="n">
        <f aca="false">3142/100</f>
        <v>31.42</v>
      </c>
      <c r="AE77" s="28" t="n">
        <v>2514</v>
      </c>
      <c r="AF77" s="28"/>
      <c r="AG77" s="28" t="n">
        <f aca="false">AF77*$M77</f>
        <v>0</v>
      </c>
      <c r="AH77" s="28" t="n">
        <f aca="false">4868/100</f>
        <v>48.68</v>
      </c>
      <c r="AI77" s="36" t="n">
        <v>3874</v>
      </c>
      <c r="AJ77" s="28" t="n">
        <f aca="false">1541601/100</f>
        <v>15416.01</v>
      </c>
      <c r="AK77" s="28" t="n">
        <v>1233281</v>
      </c>
      <c r="AL77" s="28"/>
      <c r="AM77" s="28" t="n">
        <f aca="false">AL77*$M77</f>
        <v>0</v>
      </c>
      <c r="AN77" s="28"/>
      <c r="AO77" s="28" t="n">
        <f aca="false">AN77*$M77</f>
        <v>0</v>
      </c>
      <c r="AP77" s="28"/>
      <c r="AQ77" s="28" t="n">
        <f aca="false">AP77*$M77</f>
        <v>0</v>
      </c>
      <c r="AR77" s="28"/>
      <c r="AS77" s="28" t="n">
        <f aca="false">AR77*$M77</f>
        <v>0</v>
      </c>
      <c r="AT77" s="28"/>
      <c r="AU77" s="28" t="n">
        <f aca="false">AT77*$M77</f>
        <v>0</v>
      </c>
      <c r="AV77" s="28"/>
      <c r="AW77" s="28" t="n">
        <f aca="false">AV77*$M77</f>
        <v>0</v>
      </c>
      <c r="AX77" s="28"/>
      <c r="AY77" s="28" t="n">
        <f aca="false">AX77*$M77</f>
        <v>0</v>
      </c>
      <c r="AZ77" s="28"/>
      <c r="BA77" s="28" t="n">
        <f aca="false">AZ77*$M77</f>
        <v>0</v>
      </c>
      <c r="BB77" s="30" t="n">
        <f aca="false">1549611/100</f>
        <v>15496.11</v>
      </c>
      <c r="BC77" s="11" t="n">
        <v>1239669</v>
      </c>
      <c r="BD77" s="31" t="n">
        <f aca="false">SUM(S77,U77,W77,Y77,AA77,AC77,AE77,AG77,AI77,AK77,AM77,AO77,AQ77,AS77,AU77,AW77,AY77,BA77)</f>
        <v>1239669</v>
      </c>
      <c r="BE77" s="28" t="n">
        <f aca="false">BC77-BD77</f>
        <v>0</v>
      </c>
      <c r="BF77" s="32" t="n">
        <f aca="false">SUM(R77,T77,V77,X77,Z77,AB77,AD77,AF77,AH77,AJ77,AL77,AN77,AP77,AR77,AT77,AV77,AX77,AZ77)</f>
        <v>15496.11</v>
      </c>
      <c r="BG77" s="33" t="n">
        <f aca="false">BB77-BF77</f>
        <v>0</v>
      </c>
      <c r="BH77" s="34" t="n">
        <f aca="false">BF77*M77</f>
        <v>1239688.8</v>
      </c>
      <c r="BI77" s="35" t="n">
        <f aca="false">BC77-BH77</f>
        <v>-19.8000000000466</v>
      </c>
      <c r="BJ77" s="19" t="str">
        <f aca="false">IF(BI77=0,"",IF(BI77&lt;&gt;BC77,"erreur de calcul",IF(BF77&lt;&gt;0,"pas de prix",IF(M77&lt;&gt; 0,"pas de quantité","pas de prix, ni de quantité"))))</f>
        <v>erreur de calcul</v>
      </c>
      <c r="BK77" s="19"/>
    </row>
    <row r="78" customFormat="false" ht="16" hidden="false" customHeight="false" outlineLevel="0" collapsed="false">
      <c r="A78" s="0" t="n">
        <v>35</v>
      </c>
      <c r="B78" s="8" t="s">
        <v>24</v>
      </c>
      <c r="C78" s="9" t="s">
        <v>25</v>
      </c>
      <c r="D78" s="9" t="s">
        <v>26</v>
      </c>
      <c r="E78" s="10" t="n">
        <v>1789</v>
      </c>
      <c r="F78" s="9" t="s">
        <v>27</v>
      </c>
      <c r="G78" s="9" t="s">
        <v>27</v>
      </c>
      <c r="H78" s="11" t="n">
        <v>20</v>
      </c>
      <c r="I78" s="11" t="s">
        <v>153</v>
      </c>
      <c r="J78" s="14" t="n">
        <v>148</v>
      </c>
      <c r="K78" s="14"/>
      <c r="L78" s="16"/>
      <c r="M78" s="27" t="n">
        <f aca="false">J78+(K78/20)+(L78/240)</f>
        <v>148</v>
      </c>
      <c r="N78" s="17" t="s">
        <v>64</v>
      </c>
      <c r="O78" s="11"/>
      <c r="P78" s="28"/>
      <c r="Q78" s="28" t="str">
        <f aca="false">IF(O78&lt;&gt;"",P78*M78,"")</f>
        <v/>
      </c>
      <c r="R78" s="28"/>
      <c r="S78" s="28" t="n">
        <f aca="false">R78*$M78</f>
        <v>0</v>
      </c>
      <c r="T78" s="28"/>
      <c r="U78" s="28" t="n">
        <f aca="false">T78*$M78</f>
        <v>0</v>
      </c>
      <c r="V78" s="28"/>
      <c r="W78" s="28" t="n">
        <f aca="false">V78*$M78</f>
        <v>0</v>
      </c>
      <c r="X78" s="28"/>
      <c r="Y78" s="28" t="n">
        <f aca="false">X78*$M78</f>
        <v>0</v>
      </c>
      <c r="Z78" s="28"/>
      <c r="AA78" s="28" t="n">
        <f aca="false">Z78*$M78</f>
        <v>0</v>
      </c>
      <c r="AB78" s="28"/>
      <c r="AC78" s="28" t="n">
        <f aca="false">AB78*$M78</f>
        <v>0</v>
      </c>
      <c r="AD78" s="28"/>
      <c r="AE78" s="28" t="n">
        <f aca="false">AD78*$M78</f>
        <v>0</v>
      </c>
      <c r="AF78" s="28"/>
      <c r="AG78" s="28" t="n">
        <f aca="false">AF78*$M78</f>
        <v>0</v>
      </c>
      <c r="AH78" s="28"/>
      <c r="AI78" s="28" t="n">
        <f aca="false">AH78*$M78</f>
        <v>0</v>
      </c>
      <c r="AJ78" s="28"/>
      <c r="AK78" s="28" t="n">
        <f aca="false">AJ78*$M78</f>
        <v>0</v>
      </c>
      <c r="AL78" s="28" t="n">
        <f aca="false">1472/100</f>
        <v>14.72</v>
      </c>
      <c r="AM78" s="28" t="n">
        <v>2178</v>
      </c>
      <c r="AN78" s="28"/>
      <c r="AO78" s="28" t="n">
        <f aca="false">AN78*$M78</f>
        <v>0</v>
      </c>
      <c r="AP78" s="28"/>
      <c r="AQ78" s="28" t="n">
        <f aca="false">AP78*$M78</f>
        <v>0</v>
      </c>
      <c r="AR78" s="28"/>
      <c r="AS78" s="28" t="n">
        <f aca="false">AR78*$M78</f>
        <v>0</v>
      </c>
      <c r="AT78" s="28"/>
      <c r="AU78" s="28" t="n">
        <f aca="false">AT78*$M78</f>
        <v>0</v>
      </c>
      <c r="AV78" s="28"/>
      <c r="AW78" s="28" t="n">
        <f aca="false">AV78*$M78</f>
        <v>0</v>
      </c>
      <c r="AX78" s="28"/>
      <c r="AY78" s="28" t="n">
        <f aca="false">AX78*$M78</f>
        <v>0</v>
      </c>
      <c r="AZ78" s="28"/>
      <c r="BA78" s="28" t="n">
        <f aca="false">AZ78*$M78</f>
        <v>0</v>
      </c>
      <c r="BB78" s="30" t="n">
        <f aca="false">1472/100</f>
        <v>14.72</v>
      </c>
      <c r="BC78" s="11" t="n">
        <v>2178</v>
      </c>
      <c r="BD78" s="31" t="n">
        <f aca="false">SUM(S78,U78,W78,Y78,AA78,AC78,AE78,AG78,AI78,AK78,AM78,AO78,AQ78,AS78,AU78,AW78,AY78,BA78)</f>
        <v>2178</v>
      </c>
      <c r="BE78" s="28" t="n">
        <f aca="false">BC78-BD78</f>
        <v>0</v>
      </c>
      <c r="BF78" s="32" t="n">
        <f aca="false">SUM(R78,T78,V78,X78,Z78,AB78,AD78,AF78,AH78,AJ78,AL78,AN78,AP78,AR78,AT78,AV78,AX78,AZ78)</f>
        <v>14.72</v>
      </c>
      <c r="BG78" s="33" t="n">
        <f aca="false">BB78-BF78</f>
        <v>0</v>
      </c>
      <c r="BH78" s="34" t="n">
        <f aca="false">BF78*M78</f>
        <v>2178.56</v>
      </c>
      <c r="BI78" s="35" t="n">
        <f aca="false">BC78-BH78</f>
        <v>-0.559999999999945</v>
      </c>
      <c r="BJ78" s="19" t="str">
        <f aca="false">IF(BI78=0,"",IF(BI78&lt;&gt;BC78,"erreur de calcul",IF(BF78&lt;&gt;0,"pas de prix",IF(M78&lt;&gt; 0,"pas de quantité","pas de prix, ni de quantité"))))</f>
        <v>erreur de calcul</v>
      </c>
      <c r="BK78" s="19"/>
    </row>
    <row r="79" customFormat="false" ht="16" hidden="false" customHeight="false" outlineLevel="0" collapsed="false">
      <c r="A79" s="0" t="n">
        <v>36</v>
      </c>
      <c r="B79" s="8" t="s">
        <v>24</v>
      </c>
      <c r="C79" s="9" t="s">
        <v>25</v>
      </c>
      <c r="D79" s="9" t="s">
        <v>26</v>
      </c>
      <c r="E79" s="10" t="n">
        <v>1789</v>
      </c>
      <c r="F79" s="9" t="s">
        <v>27</v>
      </c>
      <c r="G79" s="9" t="s">
        <v>27</v>
      </c>
      <c r="H79" s="11" t="n">
        <v>20</v>
      </c>
      <c r="I79" s="11" t="s">
        <v>154</v>
      </c>
      <c r="J79" s="14" t="n">
        <v>75</v>
      </c>
      <c r="K79" s="14"/>
      <c r="L79" s="16"/>
      <c r="M79" s="27" t="n">
        <f aca="false">J79+(K79/20)+(L79/240)</f>
        <v>75</v>
      </c>
      <c r="N79" s="17" t="s">
        <v>64</v>
      </c>
      <c r="O79" s="11"/>
      <c r="P79" s="28"/>
      <c r="Q79" s="28" t="str">
        <f aca="false">IF(O79&lt;&gt;"",P79*M79,"")</f>
        <v/>
      </c>
      <c r="R79" s="28"/>
      <c r="S79" s="28" t="n">
        <f aca="false">R79*$M79</f>
        <v>0</v>
      </c>
      <c r="T79" s="28"/>
      <c r="U79" s="28" t="n">
        <f aca="false">T79*$M79</f>
        <v>0</v>
      </c>
      <c r="V79" s="28" t="n">
        <f aca="false">627/100</f>
        <v>6.27</v>
      </c>
      <c r="W79" s="28" t="n">
        <v>470</v>
      </c>
      <c r="X79" s="28"/>
      <c r="Y79" s="28" t="n">
        <f aca="false">X79*$M79</f>
        <v>0</v>
      </c>
      <c r="Z79" s="28"/>
      <c r="AA79" s="28" t="n">
        <f aca="false">Z79*$M79</f>
        <v>0</v>
      </c>
      <c r="AB79" s="28"/>
      <c r="AC79" s="28" t="n">
        <f aca="false">AB79*$M79</f>
        <v>0</v>
      </c>
      <c r="AD79" s="28"/>
      <c r="AE79" s="28" t="n">
        <f aca="false">AD79*$M79</f>
        <v>0</v>
      </c>
      <c r="AF79" s="28"/>
      <c r="AG79" s="28" t="n">
        <f aca="false">AF79*$M79</f>
        <v>0</v>
      </c>
      <c r="AH79" s="28"/>
      <c r="AI79" s="28" t="n">
        <f aca="false">AH79*$M79</f>
        <v>0</v>
      </c>
      <c r="AJ79" s="28"/>
      <c r="AK79" s="28" t="n">
        <f aca="false">AJ79*$M79</f>
        <v>0</v>
      </c>
      <c r="AL79" s="28"/>
      <c r="AM79" s="28" t="n">
        <f aca="false">AL79*$M79</f>
        <v>0</v>
      </c>
      <c r="AN79" s="28"/>
      <c r="AO79" s="28" t="n">
        <f aca="false">AN79*$M79</f>
        <v>0</v>
      </c>
      <c r="AP79" s="28"/>
      <c r="AQ79" s="28" t="n">
        <f aca="false">AP79*$M79</f>
        <v>0</v>
      </c>
      <c r="AR79" s="28"/>
      <c r="AS79" s="28" t="n">
        <f aca="false">AR79*$M79</f>
        <v>0</v>
      </c>
      <c r="AT79" s="28"/>
      <c r="AU79" s="28" t="n">
        <f aca="false">AT79*$M79</f>
        <v>0</v>
      </c>
      <c r="AV79" s="28"/>
      <c r="AW79" s="28" t="n">
        <f aca="false">AV79*$M79</f>
        <v>0</v>
      </c>
      <c r="AX79" s="28"/>
      <c r="AY79" s="28" t="n">
        <f aca="false">AX79*$M79</f>
        <v>0</v>
      </c>
      <c r="AZ79" s="28"/>
      <c r="BA79" s="28" t="n">
        <f aca="false">AZ79*$M79</f>
        <v>0</v>
      </c>
      <c r="BB79" s="30" t="n">
        <f aca="false">627/100</f>
        <v>6.27</v>
      </c>
      <c r="BC79" s="11" t="n">
        <v>470</v>
      </c>
      <c r="BD79" s="31" t="n">
        <f aca="false">SUM(S79,U79,W79,Y79,AA79,AC79,AE79,AG79,AI79,AK79,AM79,AO79,AQ79,AS79,AU79,AW79,AY79,BA79)</f>
        <v>470</v>
      </c>
      <c r="BE79" s="28" t="n">
        <f aca="false">BC79-BD79</f>
        <v>0</v>
      </c>
      <c r="BF79" s="32" t="n">
        <f aca="false">SUM(R79,T79,V79,X79,Z79,AB79,AD79,AF79,AH79,AJ79,AL79,AN79,AP79,AR79,AT79,AV79,AX79,AZ79)</f>
        <v>6.27</v>
      </c>
      <c r="BG79" s="33" t="n">
        <f aca="false">BB79-BF79</f>
        <v>0</v>
      </c>
      <c r="BH79" s="34" t="n">
        <f aca="false">BF79*M79</f>
        <v>470.25</v>
      </c>
      <c r="BI79" s="35" t="n">
        <f aca="false">BC79-BH79</f>
        <v>-0.249999999999943</v>
      </c>
      <c r="BJ79" s="19" t="str">
        <f aca="false">IF(BI79=0,"",IF(BI79&lt;&gt;BC79,"erreur de calcul",IF(BF79&lt;&gt;0,"pas de prix",IF(M79&lt;&gt; 0,"pas de quantité","pas de prix, ni de quantité"))))</f>
        <v>erreur de calcul</v>
      </c>
      <c r="BK79" s="19"/>
    </row>
    <row r="80" customFormat="false" ht="16" hidden="false" customHeight="false" outlineLevel="0" collapsed="false">
      <c r="A80" s="0" t="n">
        <v>1</v>
      </c>
      <c r="B80" s="8" t="s">
        <v>24</v>
      </c>
      <c r="C80" s="9" t="s">
        <v>25</v>
      </c>
      <c r="D80" s="9" t="s">
        <v>26</v>
      </c>
      <c r="E80" s="10" t="n">
        <v>1789</v>
      </c>
      <c r="F80" s="9" t="s">
        <v>27</v>
      </c>
      <c r="G80" s="9" t="s">
        <v>27</v>
      </c>
      <c r="H80" s="11" t="n">
        <v>21</v>
      </c>
      <c r="I80" s="11" t="s">
        <v>155</v>
      </c>
      <c r="J80" s="14" t="n">
        <v>60</v>
      </c>
      <c r="K80" s="14"/>
      <c r="L80" s="16"/>
      <c r="M80" s="27" t="n">
        <f aca="false">J80+(K80/20)+(L80/240)</f>
        <v>60</v>
      </c>
      <c r="N80" s="17" t="s">
        <v>66</v>
      </c>
      <c r="O80" s="11"/>
      <c r="P80" s="28"/>
      <c r="Q80" s="28" t="str">
        <f aca="false">IF(O80&lt;&gt;"",P80*M80,"")</f>
        <v/>
      </c>
      <c r="R80" s="28"/>
      <c r="S80" s="28" t="n">
        <f aca="false">R80*$M80</f>
        <v>0</v>
      </c>
      <c r="T80" s="28"/>
      <c r="U80" s="28" t="n">
        <f aca="false">T80*$M80</f>
        <v>0</v>
      </c>
      <c r="V80" s="28"/>
      <c r="W80" s="28" t="n">
        <f aca="false">V80*$M80</f>
        <v>0</v>
      </c>
      <c r="X80" s="28" t="n">
        <v>10</v>
      </c>
      <c r="Y80" s="28" t="n">
        <v>600</v>
      </c>
      <c r="Z80" s="28"/>
      <c r="AA80" s="28" t="n">
        <f aca="false">Z80*$M80</f>
        <v>0</v>
      </c>
      <c r="AB80" s="28"/>
      <c r="AC80" s="28" t="n">
        <f aca="false">AB80*$M80</f>
        <v>0</v>
      </c>
      <c r="AD80" s="28"/>
      <c r="AE80" s="28" t="n">
        <f aca="false">AD80*$M80</f>
        <v>0</v>
      </c>
      <c r="AF80" s="28"/>
      <c r="AG80" s="28" t="n">
        <f aca="false">AF80*$M80</f>
        <v>0</v>
      </c>
      <c r="AH80" s="28"/>
      <c r="AI80" s="28" t="n">
        <f aca="false">AH80*$M80</f>
        <v>0</v>
      </c>
      <c r="AJ80" s="28"/>
      <c r="AK80" s="28" t="n">
        <f aca="false">AJ80*$M80</f>
        <v>0</v>
      </c>
      <c r="AL80" s="28"/>
      <c r="AM80" s="28" t="n">
        <f aca="false">AL80*$M80</f>
        <v>0</v>
      </c>
      <c r="AN80" s="28"/>
      <c r="AO80" s="28" t="n">
        <f aca="false">AN80*$M80</f>
        <v>0</v>
      </c>
      <c r="AP80" s="28"/>
      <c r="AQ80" s="28" t="n">
        <f aca="false">AP80*$M80</f>
        <v>0</v>
      </c>
      <c r="AR80" s="28"/>
      <c r="AS80" s="28" t="n">
        <f aca="false">AR80*$M80</f>
        <v>0</v>
      </c>
      <c r="AT80" s="28"/>
      <c r="AU80" s="28" t="n">
        <f aca="false">AT80*$M80</f>
        <v>0</v>
      </c>
      <c r="AV80" s="28"/>
      <c r="AW80" s="28" t="n">
        <f aca="false">AV80*$M80</f>
        <v>0</v>
      </c>
      <c r="AX80" s="28"/>
      <c r="AY80" s="28" t="n">
        <f aca="false">AX80*$M80</f>
        <v>0</v>
      </c>
      <c r="AZ80" s="28"/>
      <c r="BA80" s="28" t="n">
        <f aca="false">AZ80*$M80</f>
        <v>0</v>
      </c>
      <c r="BB80" s="30" t="n">
        <v>10</v>
      </c>
      <c r="BC80" s="11" t="n">
        <v>600</v>
      </c>
      <c r="BD80" s="31" t="n">
        <f aca="false">SUM(S80,U80,W80,Y80,AA80,AC80,AE80,AG80,AI80,AK80,AM80,AO80,AQ80,AS80,AU80,AW80,AY80,BA80)</f>
        <v>600</v>
      </c>
      <c r="BE80" s="28" t="n">
        <f aca="false">BC80-BD80</f>
        <v>0</v>
      </c>
      <c r="BF80" s="32" t="n">
        <f aca="false">SUM(R80,T80,V80,X80,Z80,AB80,AD80,AF80,AH80,AJ80,AL80,AN80,AP80,AR80,AT80,AV80,AX80,AZ80)</f>
        <v>10</v>
      </c>
      <c r="BG80" s="33" t="n">
        <f aca="false">BB80-BF80</f>
        <v>0</v>
      </c>
      <c r="BH80" s="34" t="n">
        <f aca="false">BF80*M80</f>
        <v>600</v>
      </c>
      <c r="BI80" s="35" t="n">
        <f aca="false">BC80-BH80</f>
        <v>0</v>
      </c>
      <c r="BJ80" s="19" t="str">
        <f aca="false">IF(BI80=0,"",IF(BI80&lt;&gt;BC80,"erreur de calcul",IF(BF80&lt;&gt;0,"pas de prix",IF(M80&lt;&gt; 0,"pas de quantité","pas de prix, ni de quantité"))))</f>
        <v/>
      </c>
      <c r="BK80" s="19"/>
    </row>
    <row r="81" customFormat="false" ht="16" hidden="false" customHeight="false" outlineLevel="0" collapsed="false">
      <c r="A81" s="0" t="n">
        <v>2</v>
      </c>
      <c r="B81" s="8" t="s">
        <v>24</v>
      </c>
      <c r="C81" s="9" t="s">
        <v>25</v>
      </c>
      <c r="D81" s="9" t="s">
        <v>26</v>
      </c>
      <c r="E81" s="10" t="n">
        <v>1789</v>
      </c>
      <c r="F81" s="9" t="s">
        <v>27</v>
      </c>
      <c r="G81" s="9" t="s">
        <v>27</v>
      </c>
      <c r="H81" s="11" t="n">
        <v>21</v>
      </c>
      <c r="I81" s="11" t="s">
        <v>156</v>
      </c>
      <c r="J81" s="14"/>
      <c r="K81" s="14"/>
      <c r="L81" s="16"/>
      <c r="M81" s="27" t="n">
        <f aca="false">J81+(K81/20)+(L81/240)</f>
        <v>0</v>
      </c>
      <c r="N81" s="17"/>
      <c r="O81" s="11"/>
      <c r="P81" s="28"/>
      <c r="Q81" s="28" t="str">
        <f aca="false">IF(O81&lt;&gt;"",P81*M81,"")</f>
        <v/>
      </c>
      <c r="R81" s="28"/>
      <c r="S81" s="28" t="n">
        <v>304</v>
      </c>
      <c r="T81" s="28"/>
      <c r="U81" s="28" t="n">
        <f aca="false">T81*$M81</f>
        <v>0</v>
      </c>
      <c r="V81" s="28"/>
      <c r="W81" s="28" t="n">
        <f aca="false">V81*$M81</f>
        <v>0</v>
      </c>
      <c r="X81" s="28"/>
      <c r="Y81" s="28" t="n">
        <f aca="false">X81*$M81</f>
        <v>0</v>
      </c>
      <c r="Z81" s="28"/>
      <c r="AA81" s="28" t="n">
        <v>270</v>
      </c>
      <c r="AB81" s="28"/>
      <c r="AC81" s="28" t="n">
        <f aca="false">AB81*$M81</f>
        <v>0</v>
      </c>
      <c r="AD81" s="28"/>
      <c r="AE81" s="28" t="n">
        <f aca="false">AD81*$M81</f>
        <v>0</v>
      </c>
      <c r="AF81" s="28"/>
      <c r="AG81" s="28" t="n">
        <v>175</v>
      </c>
      <c r="AH81" s="28"/>
      <c r="AI81" s="28" t="n">
        <f aca="false">AH81*$M81</f>
        <v>0</v>
      </c>
      <c r="AJ81" s="28"/>
      <c r="AK81" s="28" t="n">
        <f aca="false">AJ81*$M81</f>
        <v>0</v>
      </c>
      <c r="AL81" s="28"/>
      <c r="AM81" s="28" t="n">
        <v>240</v>
      </c>
      <c r="AN81" s="28"/>
      <c r="AO81" s="28" t="n">
        <v>808</v>
      </c>
      <c r="AP81" s="28"/>
      <c r="AQ81" s="28" t="n">
        <f aca="false">AP81*$M81</f>
        <v>0</v>
      </c>
      <c r="AR81" s="28"/>
      <c r="AS81" s="28" t="n">
        <f aca="false">AR81*$M81</f>
        <v>0</v>
      </c>
      <c r="AT81" s="28"/>
      <c r="AU81" s="28" t="n">
        <f aca="false">AT81*$M81</f>
        <v>0</v>
      </c>
      <c r="AV81" s="28"/>
      <c r="AW81" s="28" t="n">
        <f aca="false">AV81*$M81</f>
        <v>0</v>
      </c>
      <c r="AX81" s="28"/>
      <c r="AY81" s="28" t="n">
        <f aca="false">AX81*$M81</f>
        <v>0</v>
      </c>
      <c r="AZ81" s="28"/>
      <c r="BA81" s="28" t="n">
        <f aca="false">AZ81*$M81</f>
        <v>0</v>
      </c>
      <c r="BB81" s="30"/>
      <c r="BC81" s="11" t="n">
        <v>1797</v>
      </c>
      <c r="BD81" s="31" t="n">
        <f aca="false">SUM(S81,U81,W81,Y81,AA81,AC81,AE81,AG81,AI81,AK81,AM81,AO81,AQ81,AS81,AU81,AW81,AY81,BA81)</f>
        <v>1797</v>
      </c>
      <c r="BE81" s="28" t="n">
        <f aca="false">BC81-BD81</f>
        <v>0</v>
      </c>
      <c r="BF81" s="32" t="n">
        <f aca="false">SUM(R81,T81,V81,X81,Z81,AB81,AD81,AF81,AH81,AJ81,AL81,AN81,AP81,AR81,AT81,AV81,AX81,AZ81)</f>
        <v>0</v>
      </c>
      <c r="BG81" s="33" t="n">
        <f aca="false">BB81-BF81</f>
        <v>0</v>
      </c>
      <c r="BH81" s="34" t="n">
        <f aca="false">BF81*M81</f>
        <v>0</v>
      </c>
      <c r="BI81" s="35" t="n">
        <f aca="false">BC81-BH81</f>
        <v>1797</v>
      </c>
      <c r="BJ81" s="19" t="str">
        <f aca="false">IF(BI81=0,"",IF(BI81&lt;&gt;BC81,"erreur de calcul",IF(BF81&lt;&gt;0,"pas de prix",IF(M81&lt;&gt; 0,"pas de quantité","pas de prix, ni de quantité"))))</f>
        <v>pas de prix, ni de quantité</v>
      </c>
      <c r="BK81" s="19"/>
    </row>
    <row r="82" customFormat="false" ht="16" hidden="false" customHeight="false" outlineLevel="0" collapsed="false">
      <c r="A82" s="0" t="n">
        <v>3</v>
      </c>
      <c r="B82" s="8" t="s">
        <v>24</v>
      </c>
      <c r="C82" s="9" t="s">
        <v>25</v>
      </c>
      <c r="D82" s="9" t="s">
        <v>26</v>
      </c>
      <c r="E82" s="10" t="n">
        <v>1789</v>
      </c>
      <c r="F82" s="9" t="s">
        <v>27</v>
      </c>
      <c r="G82" s="9" t="s">
        <v>27</v>
      </c>
      <c r="H82" s="11" t="n">
        <v>21</v>
      </c>
      <c r="I82" s="11" t="s">
        <v>156</v>
      </c>
      <c r="J82" s="14" t="n">
        <v>175</v>
      </c>
      <c r="K82" s="14"/>
      <c r="L82" s="16"/>
      <c r="M82" s="27" t="n">
        <f aca="false">J82+(K82/20)+(L82/240)</f>
        <v>175</v>
      </c>
      <c r="N82" s="17" t="s">
        <v>64</v>
      </c>
      <c r="O82" s="11" t="s">
        <v>98</v>
      </c>
      <c r="P82" s="28" t="n">
        <f aca="false">147/100</f>
        <v>1.47</v>
      </c>
      <c r="Q82" s="28" t="n">
        <v>257</v>
      </c>
      <c r="R82" s="28" t="n">
        <f aca="false">3429/100</f>
        <v>34.29</v>
      </c>
      <c r="S82" s="28" t="n">
        <v>6001</v>
      </c>
      <c r="T82" s="28"/>
      <c r="U82" s="28" t="n">
        <f aca="false">T82*$M82</f>
        <v>0</v>
      </c>
      <c r="V82" s="28" t="n">
        <f aca="false">5135/100</f>
        <v>51.35</v>
      </c>
      <c r="W82" s="28" t="n">
        <v>8986</v>
      </c>
      <c r="X82" s="28" t="n">
        <f aca="false">33716/100</f>
        <v>337.16</v>
      </c>
      <c r="Y82" s="28" t="n">
        <v>59003</v>
      </c>
      <c r="Z82" s="28" t="n">
        <f aca="false">14982/100</f>
        <v>149.82</v>
      </c>
      <c r="AA82" s="28" t="n">
        <v>26218</v>
      </c>
      <c r="AB82" s="28"/>
      <c r="AC82" s="28" t="n">
        <f aca="false">AB82*$M82</f>
        <v>0</v>
      </c>
      <c r="AD82" s="28"/>
      <c r="AE82" s="28" t="n">
        <f aca="false">AD82*$M82</f>
        <v>0</v>
      </c>
      <c r="AF82" s="28"/>
      <c r="AG82" s="28" t="n">
        <f aca="false">AF82*$M82</f>
        <v>0</v>
      </c>
      <c r="AH82" s="28" t="n">
        <f aca="false">439/100</f>
        <v>4.39</v>
      </c>
      <c r="AI82" s="28" t="n">
        <v>768</v>
      </c>
      <c r="AJ82" s="28" t="n">
        <f aca="false">163722/100</f>
        <v>1637.22</v>
      </c>
      <c r="AK82" s="28" t="n">
        <v>286513</v>
      </c>
      <c r="AL82" s="28" t="n">
        <f aca="false">17649/100</f>
        <v>176.49</v>
      </c>
      <c r="AM82" s="28" t="n">
        <v>30886</v>
      </c>
      <c r="AN82" s="28" t="n">
        <f aca="false">6852/100</f>
        <v>68.52</v>
      </c>
      <c r="AO82" s="28" t="n">
        <v>11991</v>
      </c>
      <c r="AP82" s="28"/>
      <c r="AQ82" s="28" t="n">
        <f aca="false">AP82*$M82</f>
        <v>0</v>
      </c>
      <c r="AR82" s="28"/>
      <c r="AS82" s="28" t="n">
        <f aca="false">AR82*$M82</f>
        <v>0</v>
      </c>
      <c r="AT82" s="28"/>
      <c r="AU82" s="28" t="n">
        <f aca="false">AT82*$M82</f>
        <v>0</v>
      </c>
      <c r="AV82" s="28"/>
      <c r="AW82" s="28" t="n">
        <f aca="false">AV82*$M82</f>
        <v>0</v>
      </c>
      <c r="AX82" s="28"/>
      <c r="AY82" s="28" t="n">
        <f aca="false">AX82*$M82</f>
        <v>0</v>
      </c>
      <c r="AZ82" s="28"/>
      <c r="BA82" s="28" t="n">
        <f aca="false">AZ82*$M82</f>
        <v>0</v>
      </c>
      <c r="BB82" s="30" t="n">
        <f aca="false">245924/100</f>
        <v>2459.24</v>
      </c>
      <c r="BC82" s="11" t="n">
        <v>430366</v>
      </c>
      <c r="BD82" s="31" t="n">
        <f aca="false">SUM(S82,U82,W82,Y82,AA82,AC82,AE82,AG82,AI82,AK82,AM82,AO82,AQ82,AS82,AU82,AW82,AY82,BA82)</f>
        <v>430366</v>
      </c>
      <c r="BE82" s="28" t="n">
        <f aca="false">BC82-BD82</f>
        <v>0</v>
      </c>
      <c r="BF82" s="32" t="n">
        <f aca="false">SUM(R82,T82,V82,X82,Z82,AB82,AD82,AF82,AH82,AJ82,AL82,AN82,AP82,AR82,AT82,AV82,AX82,AZ82)</f>
        <v>2459.24</v>
      </c>
      <c r="BG82" s="33" t="n">
        <f aca="false">BB82-BF82</f>
        <v>0</v>
      </c>
      <c r="BH82" s="34" t="n">
        <f aca="false">BF82*M82</f>
        <v>430367</v>
      </c>
      <c r="BI82" s="35" t="n">
        <f aca="false">BC82-BH82</f>
        <v>-0.999999999941792</v>
      </c>
      <c r="BJ82" s="19" t="str">
        <f aca="false">IF(BI82=0,"",IF(BI82&lt;&gt;BC82,"erreur de calcul",IF(BF82&lt;&gt;0,"pas de prix",IF(M82&lt;&gt; 0,"pas de quantité","pas de prix, ni de quantité"))))</f>
        <v>erreur de calcul</v>
      </c>
      <c r="BK82" s="19"/>
    </row>
    <row r="83" customFormat="false" ht="16" hidden="false" customHeight="false" outlineLevel="0" collapsed="false">
      <c r="A83" s="0" t="n">
        <v>4</v>
      </c>
      <c r="B83" s="8" t="s">
        <v>24</v>
      </c>
      <c r="C83" s="9" t="s">
        <v>25</v>
      </c>
      <c r="D83" s="9" t="s">
        <v>26</v>
      </c>
      <c r="E83" s="10" t="n">
        <v>1789</v>
      </c>
      <c r="F83" s="9" t="s">
        <v>27</v>
      </c>
      <c r="G83" s="9" t="s">
        <v>27</v>
      </c>
      <c r="H83" s="11" t="n">
        <v>21</v>
      </c>
      <c r="I83" s="11" t="s">
        <v>157</v>
      </c>
      <c r="J83" s="14" t="n">
        <v>240</v>
      </c>
      <c r="K83" s="14"/>
      <c r="L83" s="16"/>
      <c r="M83" s="27" t="n">
        <f aca="false">J83+(K83/20)+(L83/240)</f>
        <v>240</v>
      </c>
      <c r="N83" s="17" t="s">
        <v>64</v>
      </c>
      <c r="O83" s="11"/>
      <c r="P83" s="28"/>
      <c r="Q83" s="28" t="str">
        <f aca="false">IF(O83&lt;&gt;"",P83*M83,"")</f>
        <v/>
      </c>
      <c r="R83" s="28"/>
      <c r="S83" s="28" t="n">
        <f aca="false">R83*$M83</f>
        <v>0</v>
      </c>
      <c r="T83" s="28"/>
      <c r="U83" s="28" t="n">
        <f aca="false">T83*$M83</f>
        <v>0</v>
      </c>
      <c r="V83" s="28"/>
      <c r="W83" s="28" t="n">
        <f aca="false">V83*$M83</f>
        <v>0</v>
      </c>
      <c r="X83" s="28"/>
      <c r="Y83" s="28" t="n">
        <f aca="false">X83*$M83</f>
        <v>0</v>
      </c>
      <c r="Z83" s="28"/>
      <c r="AA83" s="28" t="n">
        <f aca="false">Z83*$M83</f>
        <v>0</v>
      </c>
      <c r="AB83" s="28"/>
      <c r="AC83" s="28" t="n">
        <f aca="false">AB83*$M83</f>
        <v>0</v>
      </c>
      <c r="AD83" s="28"/>
      <c r="AE83" s="28" t="n">
        <f aca="false">AD83*$M83</f>
        <v>0</v>
      </c>
      <c r="AF83" s="28"/>
      <c r="AG83" s="28" t="n">
        <f aca="false">AF83*$M83</f>
        <v>0</v>
      </c>
      <c r="AH83" s="28"/>
      <c r="AI83" s="28" t="n">
        <f aca="false">AH83*$M83</f>
        <v>0</v>
      </c>
      <c r="AJ83" s="28"/>
      <c r="AK83" s="28" t="n">
        <f aca="false">AJ83*$M83</f>
        <v>0</v>
      </c>
      <c r="AL83" s="28" t="n">
        <f aca="false">290/100</f>
        <v>2.9</v>
      </c>
      <c r="AM83" s="36" t="n">
        <v>2208</v>
      </c>
      <c r="AN83" s="28"/>
      <c r="AO83" s="28" t="n">
        <f aca="false">AN83*$M83</f>
        <v>0</v>
      </c>
      <c r="AP83" s="28"/>
      <c r="AQ83" s="28" t="n">
        <f aca="false">AP83*$M83</f>
        <v>0</v>
      </c>
      <c r="AR83" s="28"/>
      <c r="AS83" s="28" t="n">
        <f aca="false">AR83*$M83</f>
        <v>0</v>
      </c>
      <c r="AT83" s="28"/>
      <c r="AU83" s="28" t="n">
        <f aca="false">AT83*$M83</f>
        <v>0</v>
      </c>
      <c r="AV83" s="28"/>
      <c r="AW83" s="28" t="n">
        <f aca="false">AV83*$M83</f>
        <v>0</v>
      </c>
      <c r="AX83" s="28"/>
      <c r="AY83" s="28" t="n">
        <f aca="false">AX83*$M83</f>
        <v>0</v>
      </c>
      <c r="AZ83" s="28"/>
      <c r="BA83" s="28" t="n">
        <f aca="false">AZ83*$M83</f>
        <v>0</v>
      </c>
      <c r="BB83" s="30" t="n">
        <f aca="false">290/100</f>
        <v>2.9</v>
      </c>
      <c r="BC83" s="11" t="n">
        <v>2208</v>
      </c>
      <c r="BD83" s="31" t="n">
        <f aca="false">SUM(S83,U83,W83,Y83,AA83,AC83,AE83,AG83,AI83,AK83,AM83,AO83,AQ83,AS83,AU83,AW83,AY83,BA83)</f>
        <v>2208</v>
      </c>
      <c r="BE83" s="28" t="n">
        <f aca="false">BC83-BD83</f>
        <v>0</v>
      </c>
      <c r="BF83" s="32" t="n">
        <f aca="false">SUM(R83,T83,V83,X83,Z83,AB83,AD83,AF83,AH83,AJ83,AL83,AN83,AP83,AR83,AT83,AV83,AX83,AZ83)</f>
        <v>2.9</v>
      </c>
      <c r="BG83" s="33" t="n">
        <f aca="false">BB83-BF83</f>
        <v>0</v>
      </c>
      <c r="BH83" s="34" t="n">
        <f aca="false">BF83*M83</f>
        <v>696</v>
      </c>
      <c r="BI83" s="35" t="n">
        <f aca="false">BC83-BH83</f>
        <v>1512</v>
      </c>
      <c r="BJ83" s="19" t="str">
        <f aca="false">IF(BI83=0,"",IF(BI83&lt;&gt;BC83,"erreur de calcul",IF(BF83&lt;&gt;0,"pas de prix",IF(M83&lt;&gt; 0,"pas de quantité","pas de prix, ni de quantité"))))</f>
        <v>erreur de calcul</v>
      </c>
      <c r="BK83" s="19"/>
    </row>
    <row r="84" customFormat="false" ht="16" hidden="false" customHeight="false" outlineLevel="0" collapsed="false">
      <c r="A84" s="0" t="n">
        <v>5</v>
      </c>
      <c r="B84" s="8" t="s">
        <v>24</v>
      </c>
      <c r="C84" s="9" t="s">
        <v>25</v>
      </c>
      <c r="D84" s="9" t="s">
        <v>26</v>
      </c>
      <c r="E84" s="10" t="n">
        <v>1789</v>
      </c>
      <c r="F84" s="9" t="s">
        <v>27</v>
      </c>
      <c r="G84" s="9" t="s">
        <v>27</v>
      </c>
      <c r="H84" s="11" t="n">
        <v>21</v>
      </c>
      <c r="I84" s="11" t="s">
        <v>158</v>
      </c>
      <c r="J84" s="14" t="n">
        <v>115</v>
      </c>
      <c r="K84" s="14"/>
      <c r="L84" s="16"/>
      <c r="M84" s="27" t="n">
        <f aca="false">J84+(K84/20)+(L84/240)</f>
        <v>115</v>
      </c>
      <c r="N84" s="17" t="s">
        <v>64</v>
      </c>
      <c r="O84" s="11"/>
      <c r="P84" s="28"/>
      <c r="Q84" s="28" t="str">
        <f aca="false">IF(O84&lt;&gt;"",P84*M84,"")</f>
        <v/>
      </c>
      <c r="R84" s="28"/>
      <c r="S84" s="28" t="n">
        <f aca="false">R84*$M84</f>
        <v>0</v>
      </c>
      <c r="T84" s="28"/>
      <c r="U84" s="28" t="n">
        <f aca="false">T84*$M84</f>
        <v>0</v>
      </c>
      <c r="V84" s="28"/>
      <c r="W84" s="28" t="n">
        <f aca="false">V84*$M84</f>
        <v>0</v>
      </c>
      <c r="X84" s="28"/>
      <c r="Y84" s="28" t="n">
        <f aca="false">X84*$M84</f>
        <v>0</v>
      </c>
      <c r="Z84" s="28"/>
      <c r="AA84" s="28" t="n">
        <f aca="false">Z84*$M84</f>
        <v>0</v>
      </c>
      <c r="AB84" s="28"/>
      <c r="AC84" s="28" t="n">
        <f aca="false">AB84*$M84</f>
        <v>0</v>
      </c>
      <c r="AD84" s="28"/>
      <c r="AE84" s="28" t="n">
        <f aca="false">AD84*$M84</f>
        <v>0</v>
      </c>
      <c r="AF84" s="28"/>
      <c r="AG84" s="28" t="n">
        <f aca="false">AF84*$M84</f>
        <v>0</v>
      </c>
      <c r="AH84" s="28"/>
      <c r="AI84" s="28" t="n">
        <f aca="false">AH84*$M84</f>
        <v>0</v>
      </c>
      <c r="AJ84" s="28" t="n">
        <f aca="false">491552/100</f>
        <v>4915.52</v>
      </c>
      <c r="AK84" s="28" t="n">
        <v>565285</v>
      </c>
      <c r="AL84" s="28"/>
      <c r="AM84" s="28" t="n">
        <f aca="false">AL84*$M84</f>
        <v>0</v>
      </c>
      <c r="AN84" s="28"/>
      <c r="AO84" s="28" t="n">
        <f aca="false">AN84*$M84</f>
        <v>0</v>
      </c>
      <c r="AP84" s="28"/>
      <c r="AQ84" s="28" t="n">
        <f aca="false">AP84*$M84</f>
        <v>0</v>
      </c>
      <c r="AR84" s="28"/>
      <c r="AS84" s="28" t="n">
        <f aca="false">AR84*$M84</f>
        <v>0</v>
      </c>
      <c r="AT84" s="28"/>
      <c r="AU84" s="28" t="n">
        <f aca="false">AT84*$M84</f>
        <v>0</v>
      </c>
      <c r="AV84" s="28"/>
      <c r="AW84" s="28" t="n">
        <f aca="false">AV84*$M84</f>
        <v>0</v>
      </c>
      <c r="AX84" s="28"/>
      <c r="AY84" s="28" t="n">
        <f aca="false">AX84*$M84</f>
        <v>0</v>
      </c>
      <c r="AZ84" s="28"/>
      <c r="BA84" s="28" t="n">
        <f aca="false">AZ84*$M84</f>
        <v>0</v>
      </c>
      <c r="BB84" s="30" t="n">
        <f aca="false">491552/100</f>
        <v>4915.52</v>
      </c>
      <c r="BC84" s="11" t="n">
        <v>565285</v>
      </c>
      <c r="BD84" s="31" t="n">
        <f aca="false">SUM(S84,U84,W84,Y84,AA84,AC84,AE84,AG84,AI84,AK84,AM84,AO84,AQ84,AS84,AU84,AW84,AY84,BA84)</f>
        <v>565285</v>
      </c>
      <c r="BE84" s="28" t="n">
        <f aca="false">BC84-BD84</f>
        <v>0</v>
      </c>
      <c r="BF84" s="32" t="n">
        <f aca="false">SUM(R84,T84,V84,X84,Z84,AB84,AD84,AF84,AH84,AJ84,AL84,AN84,AP84,AR84,AT84,AV84,AX84,AZ84)</f>
        <v>4915.52</v>
      </c>
      <c r="BG84" s="33" t="n">
        <f aca="false">BB84-BF84</f>
        <v>0</v>
      </c>
      <c r="BH84" s="34" t="n">
        <f aca="false">BF84*M84</f>
        <v>565284.8</v>
      </c>
      <c r="BI84" s="35" t="n">
        <f aca="false">BC84-BH84</f>
        <v>0.199999999953434</v>
      </c>
      <c r="BJ84" s="19" t="str">
        <f aca="false">IF(BI84=0,"",IF(BI84&lt;&gt;BC84,"erreur de calcul",IF(BF84&lt;&gt;0,"pas de prix",IF(M84&lt;&gt; 0,"pas de quantité","pas de prix, ni de quantité"))))</f>
        <v>erreur de calcul</v>
      </c>
      <c r="BK84" s="19"/>
    </row>
    <row r="85" customFormat="false" ht="16" hidden="false" customHeight="false" outlineLevel="0" collapsed="false">
      <c r="A85" s="0" t="n">
        <v>6</v>
      </c>
      <c r="B85" s="8" t="s">
        <v>24</v>
      </c>
      <c r="C85" s="9" t="s">
        <v>25</v>
      </c>
      <c r="D85" s="9" t="s">
        <v>26</v>
      </c>
      <c r="E85" s="10" t="n">
        <v>1789</v>
      </c>
      <c r="F85" s="9" t="s">
        <v>27</v>
      </c>
      <c r="G85" s="9" t="s">
        <v>27</v>
      </c>
      <c r="H85" s="11" t="n">
        <v>21</v>
      </c>
      <c r="I85" s="11" t="s">
        <v>159</v>
      </c>
      <c r="J85" s="14" t="n">
        <v>240</v>
      </c>
      <c r="K85" s="14"/>
      <c r="L85" s="16"/>
      <c r="M85" s="27" t="n">
        <f aca="false">J85+(K85/20)+(L85/240)</f>
        <v>240</v>
      </c>
      <c r="N85" s="17" t="s">
        <v>64</v>
      </c>
      <c r="O85" s="11"/>
      <c r="P85" s="28"/>
      <c r="Q85" s="28" t="str">
        <f aca="false">IF(O85&lt;&gt;"",P85*M85,"")</f>
        <v/>
      </c>
      <c r="R85" s="28"/>
      <c r="S85" s="28" t="n">
        <f aca="false">R85*$M85</f>
        <v>0</v>
      </c>
      <c r="T85" s="28"/>
      <c r="U85" s="28" t="n">
        <f aca="false">T85*$M85</f>
        <v>0</v>
      </c>
      <c r="V85" s="28"/>
      <c r="W85" s="28" t="n">
        <f aca="false">V85*$M85</f>
        <v>0</v>
      </c>
      <c r="X85" s="28"/>
      <c r="Y85" s="28" t="n">
        <f aca="false">X85*$M85</f>
        <v>0</v>
      </c>
      <c r="Z85" s="28"/>
      <c r="AA85" s="28" t="n">
        <f aca="false">Z85*$M85</f>
        <v>0</v>
      </c>
      <c r="AB85" s="28"/>
      <c r="AC85" s="28" t="n">
        <f aca="false">AB85*$M85</f>
        <v>0</v>
      </c>
      <c r="AD85" s="28"/>
      <c r="AE85" s="28" t="n">
        <f aca="false">AD85*$M85</f>
        <v>0</v>
      </c>
      <c r="AF85" s="28"/>
      <c r="AG85" s="28" t="n">
        <f aca="false">AF85*$M85</f>
        <v>0</v>
      </c>
      <c r="AH85" s="28"/>
      <c r="AI85" s="28" t="n">
        <f aca="false">AH85*$M85</f>
        <v>0</v>
      </c>
      <c r="AJ85" s="28" t="n">
        <f aca="false">46293/100</f>
        <v>462.93</v>
      </c>
      <c r="AK85" s="28" t="n">
        <v>111103</v>
      </c>
      <c r="AL85" s="28"/>
      <c r="AM85" s="28" t="n">
        <f aca="false">AL85*$M85</f>
        <v>0</v>
      </c>
      <c r="AN85" s="28"/>
      <c r="AO85" s="28" t="n">
        <f aca="false">AN85*$M85</f>
        <v>0</v>
      </c>
      <c r="AP85" s="28"/>
      <c r="AQ85" s="28" t="n">
        <f aca="false">AP85*$M85</f>
        <v>0</v>
      </c>
      <c r="AR85" s="28"/>
      <c r="AS85" s="28" t="n">
        <f aca="false">AR85*$M85</f>
        <v>0</v>
      </c>
      <c r="AT85" s="28"/>
      <c r="AU85" s="28" t="n">
        <f aca="false">AT85*$M85</f>
        <v>0</v>
      </c>
      <c r="AV85" s="28"/>
      <c r="AW85" s="28" t="n">
        <f aca="false">AV85*$M85</f>
        <v>0</v>
      </c>
      <c r="AX85" s="28"/>
      <c r="AY85" s="28" t="n">
        <f aca="false">AX85*$M85</f>
        <v>0</v>
      </c>
      <c r="AZ85" s="28"/>
      <c r="BA85" s="28" t="n">
        <f aca="false">AZ85*$M85</f>
        <v>0</v>
      </c>
      <c r="BB85" s="30" t="n">
        <f aca="false">46293/100</f>
        <v>462.93</v>
      </c>
      <c r="BC85" s="11" t="n">
        <v>111103</v>
      </c>
      <c r="BD85" s="31" t="n">
        <f aca="false">SUM(S85,U85,W85,Y85,AA85,AC85,AE85,AG85,AI85,AK85,AM85,AO85,AQ85,AS85,AU85,AW85,AY85,BA85)</f>
        <v>111103</v>
      </c>
      <c r="BE85" s="28" t="n">
        <f aca="false">BC85-BD85</f>
        <v>0</v>
      </c>
      <c r="BF85" s="32" t="n">
        <f aca="false">SUM(R85,T85,V85,X85,Z85,AB85,AD85,AF85,AH85,AJ85,AL85,AN85,AP85,AR85,AT85,AV85,AX85,AZ85)</f>
        <v>462.93</v>
      </c>
      <c r="BG85" s="33" t="n">
        <f aca="false">BB85-BF85</f>
        <v>0</v>
      </c>
      <c r="BH85" s="34" t="n">
        <f aca="false">BF85*M85</f>
        <v>111103.2</v>
      </c>
      <c r="BI85" s="35" t="n">
        <f aca="false">BC85-BH85</f>
        <v>-0.19999999999709</v>
      </c>
      <c r="BJ85" s="19" t="str">
        <f aca="false">IF(BI85=0,"",IF(BI85&lt;&gt;BC85,"erreur de calcul",IF(BF85&lt;&gt;0,"pas de prix",IF(M85&lt;&gt; 0,"pas de quantité","pas de prix, ni de quantité"))))</f>
        <v>erreur de calcul</v>
      </c>
      <c r="BK85" s="19"/>
    </row>
    <row r="86" customFormat="false" ht="16" hidden="false" customHeight="false" outlineLevel="0" collapsed="false">
      <c r="A86" s="0" t="n">
        <v>7</v>
      </c>
      <c r="B86" s="8" t="s">
        <v>24</v>
      </c>
      <c r="C86" s="9" t="s">
        <v>25</v>
      </c>
      <c r="D86" s="9" t="s">
        <v>26</v>
      </c>
      <c r="E86" s="10" t="n">
        <v>1789</v>
      </c>
      <c r="F86" s="9" t="s">
        <v>27</v>
      </c>
      <c r="G86" s="9" t="s">
        <v>27</v>
      </c>
      <c r="H86" s="11" t="n">
        <v>21</v>
      </c>
      <c r="I86" s="11" t="s">
        <v>160</v>
      </c>
      <c r="J86" s="14" t="n">
        <v>70</v>
      </c>
      <c r="K86" s="14"/>
      <c r="L86" s="16"/>
      <c r="M86" s="27" t="n">
        <f aca="false">J86+(K86/20)+(L86/240)</f>
        <v>70</v>
      </c>
      <c r="N86" s="17" t="s">
        <v>64</v>
      </c>
      <c r="O86" s="11"/>
      <c r="P86" s="28"/>
      <c r="Q86" s="28" t="str">
        <f aca="false">IF(O86&lt;&gt;"",P86*M86,"")</f>
        <v/>
      </c>
      <c r="R86" s="28"/>
      <c r="S86" s="28" t="n">
        <f aca="false">R86*$M86</f>
        <v>0</v>
      </c>
      <c r="T86" s="28"/>
      <c r="U86" s="28" t="n">
        <f aca="false">T86*$M86</f>
        <v>0</v>
      </c>
      <c r="V86" s="28"/>
      <c r="W86" s="28" t="n">
        <f aca="false">V86*$M86</f>
        <v>0</v>
      </c>
      <c r="X86" s="28"/>
      <c r="Y86" s="28" t="n">
        <f aca="false">X86*$M86</f>
        <v>0</v>
      </c>
      <c r="Z86" s="28"/>
      <c r="AA86" s="28" t="n">
        <f aca="false">Z86*$M86</f>
        <v>0</v>
      </c>
      <c r="AB86" s="28"/>
      <c r="AC86" s="28" t="n">
        <f aca="false">AB86*$M86</f>
        <v>0</v>
      </c>
      <c r="AD86" s="28"/>
      <c r="AE86" s="28" t="n">
        <f aca="false">AD86*$M86</f>
        <v>0</v>
      </c>
      <c r="AF86" s="28"/>
      <c r="AG86" s="28" t="n">
        <f aca="false">AF86*$M86</f>
        <v>0</v>
      </c>
      <c r="AH86" s="28" t="n">
        <f aca="false">125849/100</f>
        <v>1258.49</v>
      </c>
      <c r="AI86" s="28" t="n">
        <v>88094</v>
      </c>
      <c r="AJ86" s="28"/>
      <c r="AK86" s="28" t="n">
        <f aca="false">AJ86*$M86</f>
        <v>0</v>
      </c>
      <c r="AL86" s="28"/>
      <c r="AM86" s="28" t="n">
        <f aca="false">AL86*$M86</f>
        <v>0</v>
      </c>
      <c r="AN86" s="28"/>
      <c r="AO86" s="28" t="n">
        <f aca="false">AN86*$M86</f>
        <v>0</v>
      </c>
      <c r="AP86" s="28"/>
      <c r="AQ86" s="28" t="n">
        <f aca="false">AP86*$M86</f>
        <v>0</v>
      </c>
      <c r="AR86" s="28"/>
      <c r="AS86" s="28" t="n">
        <f aca="false">AR86*$M86</f>
        <v>0</v>
      </c>
      <c r="AT86" s="28"/>
      <c r="AU86" s="28" t="n">
        <f aca="false">AT86*$M86</f>
        <v>0</v>
      </c>
      <c r="AV86" s="28"/>
      <c r="AW86" s="28" t="n">
        <f aca="false">AV86*$M86</f>
        <v>0</v>
      </c>
      <c r="AX86" s="28"/>
      <c r="AY86" s="28" t="n">
        <f aca="false">AX86*$M86</f>
        <v>0</v>
      </c>
      <c r="AZ86" s="28"/>
      <c r="BA86" s="28" t="n">
        <f aca="false">AZ86*$M86</f>
        <v>0</v>
      </c>
      <c r="BB86" s="30" t="n">
        <f aca="false">125849/100</f>
        <v>1258.49</v>
      </c>
      <c r="BC86" s="11" t="n">
        <v>88094</v>
      </c>
      <c r="BD86" s="31" t="n">
        <f aca="false">SUM(S86,U86,W86,Y86,AA86,AC86,AE86,AG86,AI86,AK86,AM86,AO86,AQ86,AS86,AU86,AW86,AY86,BA86)</f>
        <v>88094</v>
      </c>
      <c r="BE86" s="28" t="n">
        <f aca="false">BC86-BD86</f>
        <v>0</v>
      </c>
      <c r="BF86" s="32" t="n">
        <f aca="false">SUM(R86,T86,V86,X86,Z86,AB86,AD86,AF86,AH86,AJ86,AL86,AN86,AP86,AR86,AT86,AV86,AX86,AZ86)</f>
        <v>1258.49</v>
      </c>
      <c r="BG86" s="33" t="n">
        <f aca="false">BB86-BF86</f>
        <v>0</v>
      </c>
      <c r="BH86" s="34" t="n">
        <f aca="false">BF86*M86</f>
        <v>88094.3</v>
      </c>
      <c r="BI86" s="35" t="n">
        <f aca="false">BC86-BH86</f>
        <v>-0.30000000000291</v>
      </c>
      <c r="BJ86" s="19" t="str">
        <f aca="false">IF(BI86=0,"",IF(BI86&lt;&gt;BC86,"erreur de calcul",IF(BF86&lt;&gt;0,"pas de prix",IF(M86&lt;&gt; 0,"pas de quantité","pas de prix, ni de quantité"))))</f>
        <v>erreur de calcul</v>
      </c>
      <c r="BK86" s="19"/>
    </row>
    <row r="87" customFormat="false" ht="16" hidden="false" customHeight="false" outlineLevel="0" collapsed="false">
      <c r="A87" s="0" t="n">
        <v>8</v>
      </c>
      <c r="B87" s="8" t="s">
        <v>24</v>
      </c>
      <c r="C87" s="9" t="s">
        <v>25</v>
      </c>
      <c r="D87" s="9" t="s">
        <v>26</v>
      </c>
      <c r="E87" s="10" t="n">
        <v>1789</v>
      </c>
      <c r="F87" s="9" t="s">
        <v>27</v>
      </c>
      <c r="G87" s="9" t="s">
        <v>27</v>
      </c>
      <c r="H87" s="11" t="n">
        <v>21</v>
      </c>
      <c r="I87" s="11" t="s">
        <v>161</v>
      </c>
      <c r="J87" s="14" t="n">
        <v>50</v>
      </c>
      <c r="K87" s="14"/>
      <c r="L87" s="16"/>
      <c r="M87" s="27" t="n">
        <f aca="false">J87+(K87/20)+(L87/240)</f>
        <v>50</v>
      </c>
      <c r="N87" s="17" t="s">
        <v>64</v>
      </c>
      <c r="O87" s="11"/>
      <c r="P87" s="28"/>
      <c r="Q87" s="28" t="str">
        <f aca="false">IF(O87&lt;&gt;"",P87*M87,"")</f>
        <v/>
      </c>
      <c r="R87" s="28"/>
      <c r="S87" s="28" t="n">
        <f aca="false">R87*$M87</f>
        <v>0</v>
      </c>
      <c r="T87" s="28"/>
      <c r="U87" s="28" t="n">
        <f aca="false">T87*$M87</f>
        <v>0</v>
      </c>
      <c r="V87" s="28"/>
      <c r="W87" s="28" t="n">
        <f aca="false">V87*$M87</f>
        <v>0</v>
      </c>
      <c r="X87" s="28" t="n">
        <f aca="false">18055/100</f>
        <v>180.55</v>
      </c>
      <c r="Y87" s="28" t="n">
        <v>9027</v>
      </c>
      <c r="Z87" s="28" t="n">
        <f aca="false">17880/100</f>
        <v>178.8</v>
      </c>
      <c r="AA87" s="28" t="n">
        <v>8940</v>
      </c>
      <c r="AB87" s="28"/>
      <c r="AC87" s="28" t="n">
        <f aca="false">AB87*$M87</f>
        <v>0</v>
      </c>
      <c r="AD87" s="28" t="n">
        <f aca="false">104483/100</f>
        <v>1044.83</v>
      </c>
      <c r="AE87" s="28" t="n">
        <v>52241</v>
      </c>
      <c r="AF87" s="28"/>
      <c r="AG87" s="28" t="n">
        <f aca="false">AF87*$M87</f>
        <v>0</v>
      </c>
      <c r="AH87" s="28"/>
      <c r="AI87" s="28" t="n">
        <f aca="false">AH87*$M87</f>
        <v>0</v>
      </c>
      <c r="AJ87" s="28"/>
      <c r="AK87" s="28" t="n">
        <f aca="false">AJ87*$M87</f>
        <v>0</v>
      </c>
      <c r="AL87" s="28"/>
      <c r="AM87" s="28" t="n">
        <f aca="false">AL87*$M87</f>
        <v>0</v>
      </c>
      <c r="AN87" s="28"/>
      <c r="AO87" s="28" t="n">
        <f aca="false">AN87*$M87</f>
        <v>0</v>
      </c>
      <c r="AP87" s="28"/>
      <c r="AQ87" s="28" t="n">
        <f aca="false">AP87*$M87</f>
        <v>0</v>
      </c>
      <c r="AR87" s="28"/>
      <c r="AS87" s="28" t="n">
        <f aca="false">AR87*$M87</f>
        <v>0</v>
      </c>
      <c r="AT87" s="28"/>
      <c r="AU87" s="28" t="n">
        <f aca="false">AT87*$M87</f>
        <v>0</v>
      </c>
      <c r="AV87" s="28"/>
      <c r="AW87" s="28" t="n">
        <f aca="false">AV87*$M87</f>
        <v>0</v>
      </c>
      <c r="AX87" s="28"/>
      <c r="AY87" s="28" t="n">
        <f aca="false">AX87*$M87</f>
        <v>0</v>
      </c>
      <c r="AZ87" s="28"/>
      <c r="BA87" s="28" t="n">
        <f aca="false">AZ87*$M87</f>
        <v>0</v>
      </c>
      <c r="BB87" s="30" t="n">
        <f aca="false">140418/100</f>
        <v>1404.18</v>
      </c>
      <c r="BC87" s="11" t="n">
        <v>70208</v>
      </c>
      <c r="BD87" s="31" t="n">
        <f aca="false">SUM(S87,U87,W87,Y87,AA87,AC87,AE87,AG87,AI87,AK87,AM87,AO87,AQ87,AS87,AU87,AW87,AY87,BA87)</f>
        <v>70208</v>
      </c>
      <c r="BE87" s="28" t="n">
        <f aca="false">BC87-BD87</f>
        <v>0</v>
      </c>
      <c r="BF87" s="32" t="n">
        <f aca="false">SUM(R87,T87,V87,X87,Z87,AB87,AD87,AF87,AH87,AJ87,AL87,AN87,AP87,AR87,AT87,AV87,AX87,AZ87)</f>
        <v>1404.18</v>
      </c>
      <c r="BG87" s="33" t="n">
        <f aca="false">BB87-BF87</f>
        <v>0</v>
      </c>
      <c r="BH87" s="34" t="n">
        <f aca="false">BF87*M87</f>
        <v>70209</v>
      </c>
      <c r="BI87" s="35" t="n">
        <f aca="false">BC87-BH87</f>
        <v>-0.999999999985448</v>
      </c>
      <c r="BJ87" s="19" t="str">
        <f aca="false">IF(BI87=0,"",IF(BI87&lt;&gt;BC87,"erreur de calcul",IF(BF87&lt;&gt;0,"pas de prix",IF(M87&lt;&gt; 0,"pas de quantité","pas de prix, ni de quantité"))))</f>
        <v>erreur de calcul</v>
      </c>
      <c r="BK87" s="19"/>
    </row>
    <row r="88" customFormat="false" ht="16" hidden="false" customHeight="false" outlineLevel="0" collapsed="false">
      <c r="A88" s="0" t="n">
        <v>9</v>
      </c>
      <c r="B88" s="8" t="s">
        <v>24</v>
      </c>
      <c r="C88" s="9" t="s">
        <v>25</v>
      </c>
      <c r="D88" s="9" t="s">
        <v>26</v>
      </c>
      <c r="E88" s="10" t="n">
        <v>1789</v>
      </c>
      <c r="F88" s="9" t="s">
        <v>27</v>
      </c>
      <c r="G88" s="9" t="s">
        <v>27</v>
      </c>
      <c r="H88" s="11" t="n">
        <v>21</v>
      </c>
      <c r="I88" s="11" t="s">
        <v>162</v>
      </c>
      <c r="J88" s="14" t="n">
        <v>250</v>
      </c>
      <c r="K88" s="14"/>
      <c r="L88" s="16"/>
      <c r="M88" s="27" t="n">
        <f aca="false">J88+(K88/20)+(L88/240)</f>
        <v>250</v>
      </c>
      <c r="N88" s="17" t="s">
        <v>64</v>
      </c>
      <c r="O88" s="11"/>
      <c r="P88" s="28"/>
      <c r="Q88" s="28" t="str">
        <f aca="false">IF(O88&lt;&gt;"",P88*M88,"")</f>
        <v/>
      </c>
      <c r="R88" s="28"/>
      <c r="S88" s="28" t="n">
        <f aca="false">R88*$M88</f>
        <v>0</v>
      </c>
      <c r="T88" s="28"/>
      <c r="U88" s="28" t="n">
        <f aca="false">T88*$M88</f>
        <v>0</v>
      </c>
      <c r="V88" s="28"/>
      <c r="W88" s="28" t="n">
        <f aca="false">V88*$M88</f>
        <v>0</v>
      </c>
      <c r="X88" s="28"/>
      <c r="Y88" s="28" t="n">
        <f aca="false">X88*$M88</f>
        <v>0</v>
      </c>
      <c r="Z88" s="28"/>
      <c r="AA88" s="28" t="n">
        <f aca="false">Z88*$M88</f>
        <v>0</v>
      </c>
      <c r="AB88" s="28"/>
      <c r="AC88" s="28" t="n">
        <f aca="false">AB88*$M88</f>
        <v>0</v>
      </c>
      <c r="AD88" s="28"/>
      <c r="AE88" s="28" t="n">
        <f aca="false">AD88*$M88</f>
        <v>0</v>
      </c>
      <c r="AF88" s="28"/>
      <c r="AG88" s="28" t="n">
        <f aca="false">AF88*$M88</f>
        <v>0</v>
      </c>
      <c r="AH88" s="28"/>
      <c r="AI88" s="28" t="n">
        <f aca="false">AH88*$M88</f>
        <v>0</v>
      </c>
      <c r="AJ88" s="28" t="n">
        <f aca="false">2306/100</f>
        <v>23.06</v>
      </c>
      <c r="AK88" s="36" t="n">
        <v>5073</v>
      </c>
      <c r="AL88" s="28"/>
      <c r="AM88" s="28" t="n">
        <f aca="false">AL88*$M88</f>
        <v>0</v>
      </c>
      <c r="AN88" s="28"/>
      <c r="AO88" s="28" t="n">
        <f aca="false">AN88*$M88</f>
        <v>0</v>
      </c>
      <c r="AP88" s="28"/>
      <c r="AQ88" s="28" t="n">
        <f aca="false">AP88*$M88</f>
        <v>0</v>
      </c>
      <c r="AR88" s="28"/>
      <c r="AS88" s="28" t="n">
        <f aca="false">AR88*$M88</f>
        <v>0</v>
      </c>
      <c r="AT88" s="28"/>
      <c r="AU88" s="28" t="n">
        <f aca="false">AT88*$M88</f>
        <v>0</v>
      </c>
      <c r="AV88" s="28"/>
      <c r="AW88" s="28" t="n">
        <f aca="false">AV88*$M88</f>
        <v>0</v>
      </c>
      <c r="AX88" s="28"/>
      <c r="AY88" s="28" t="n">
        <f aca="false">AX88*$M88</f>
        <v>0</v>
      </c>
      <c r="AZ88" s="28"/>
      <c r="BA88" s="28" t="n">
        <f aca="false">AZ88*$M88</f>
        <v>0</v>
      </c>
      <c r="BB88" s="30" t="n">
        <f aca="false">2306/100</f>
        <v>23.06</v>
      </c>
      <c r="BC88" s="11" t="n">
        <v>5073</v>
      </c>
      <c r="BD88" s="31" t="n">
        <f aca="false">SUM(S88,U88,W88,Y88,AA88,AC88,AE88,AG88,AI88,AK88,AM88,AO88,AQ88,AS88,AU88,AW88,AY88,BA88)</f>
        <v>5073</v>
      </c>
      <c r="BE88" s="28" t="n">
        <f aca="false">BC88-BD88</f>
        <v>0</v>
      </c>
      <c r="BF88" s="32" t="n">
        <f aca="false">SUM(R88,T88,V88,X88,Z88,AB88,AD88,AF88,AH88,AJ88,AL88,AN88,AP88,AR88,AT88,AV88,AX88,AZ88)</f>
        <v>23.06</v>
      </c>
      <c r="BG88" s="33" t="n">
        <f aca="false">BB88-BF88</f>
        <v>0</v>
      </c>
      <c r="BH88" s="34" t="n">
        <f aca="false">BF88*M88</f>
        <v>5765</v>
      </c>
      <c r="BI88" s="35" t="n">
        <f aca="false">BC88-BH88</f>
        <v>-692</v>
      </c>
      <c r="BJ88" s="19" t="str">
        <f aca="false">IF(BI88=0,"",IF(BI88&lt;&gt;BC88,"erreur de calcul",IF(BF88&lt;&gt;0,"pas de prix",IF(M88&lt;&gt; 0,"pas de quantité","pas de prix, ni de quantité"))))</f>
        <v>erreur de calcul</v>
      </c>
      <c r="BK88" s="19"/>
    </row>
    <row r="89" customFormat="false" ht="16" hidden="false" customHeight="false" outlineLevel="0" collapsed="false">
      <c r="A89" s="0" t="n">
        <v>10</v>
      </c>
      <c r="B89" s="8" t="s">
        <v>24</v>
      </c>
      <c r="C89" s="9" t="s">
        <v>25</v>
      </c>
      <c r="D89" s="9" t="s">
        <v>26</v>
      </c>
      <c r="E89" s="10" t="n">
        <v>1789</v>
      </c>
      <c r="F89" s="9" t="s">
        <v>27</v>
      </c>
      <c r="G89" s="9" t="s">
        <v>27</v>
      </c>
      <c r="H89" s="11" t="n">
        <v>21</v>
      </c>
      <c r="I89" s="11" t="s">
        <v>163</v>
      </c>
      <c r="J89" s="14"/>
      <c r="K89" s="14"/>
      <c r="L89" s="16"/>
      <c r="M89" s="27" t="n">
        <f aca="false">J89+(K89/20)+(L89/240)</f>
        <v>0</v>
      </c>
      <c r="N89" s="17"/>
      <c r="O89" s="11"/>
      <c r="P89" s="28"/>
      <c r="Q89" s="28" t="str">
        <f aca="false">IF(O89&lt;&gt;"",P89*M89,"")</f>
        <v/>
      </c>
      <c r="R89" s="28"/>
      <c r="S89" s="28" t="n">
        <v>1571</v>
      </c>
      <c r="T89" s="28"/>
      <c r="U89" s="28" t="n">
        <f aca="false">T89*$M89</f>
        <v>0</v>
      </c>
      <c r="V89" s="28"/>
      <c r="W89" s="28" t="n">
        <v>182</v>
      </c>
      <c r="X89" s="28"/>
      <c r="Y89" s="28" t="n">
        <v>1801</v>
      </c>
      <c r="Z89" s="28"/>
      <c r="AA89" s="28" t="n">
        <v>214</v>
      </c>
      <c r="AB89" s="28"/>
      <c r="AC89" s="28" t="n">
        <f aca="false">AB89*$M89</f>
        <v>0</v>
      </c>
      <c r="AD89" s="28"/>
      <c r="AE89" s="28" t="n">
        <v>401</v>
      </c>
      <c r="AF89" s="28"/>
      <c r="AG89" s="28" t="n">
        <f aca="false">AF89*$M89</f>
        <v>0</v>
      </c>
      <c r="AH89" s="28"/>
      <c r="AI89" s="28" t="n">
        <f aca="false">AH89*$M89</f>
        <v>0</v>
      </c>
      <c r="AJ89" s="28"/>
      <c r="AK89" s="28" t="n">
        <f aca="false">AJ89*$M89</f>
        <v>0</v>
      </c>
      <c r="AL89" s="28"/>
      <c r="AM89" s="28" t="n">
        <v>760</v>
      </c>
      <c r="AN89" s="28"/>
      <c r="AO89" s="28" t="n">
        <f aca="false">AN89*$M89</f>
        <v>0</v>
      </c>
      <c r="AP89" s="28"/>
      <c r="AQ89" s="28" t="n">
        <f aca="false">AP89*$M89</f>
        <v>0</v>
      </c>
      <c r="AR89" s="28"/>
      <c r="AS89" s="28" t="n">
        <f aca="false">AR89*$M89</f>
        <v>0</v>
      </c>
      <c r="AT89" s="28"/>
      <c r="AU89" s="28" t="n">
        <f aca="false">AT89*$M89</f>
        <v>0</v>
      </c>
      <c r="AV89" s="28"/>
      <c r="AW89" s="28" t="n">
        <f aca="false">AV89*$M89</f>
        <v>0</v>
      </c>
      <c r="AX89" s="28"/>
      <c r="AY89" s="28" t="n">
        <f aca="false">AX89*$M89</f>
        <v>0</v>
      </c>
      <c r="AZ89" s="28"/>
      <c r="BA89" s="28" t="n">
        <f aca="false">AZ89*$M89</f>
        <v>0</v>
      </c>
      <c r="BB89" s="30"/>
      <c r="BC89" s="11" t="n">
        <v>4929</v>
      </c>
      <c r="BD89" s="31" t="n">
        <f aca="false">SUM(S89,U89,W89,Y89,AA89,AC89,AE89,AG89,AI89,AK89,AM89,AO89,AQ89,AS89,AU89,AW89,AY89,BA89)</f>
        <v>4929</v>
      </c>
      <c r="BE89" s="28" t="n">
        <f aca="false">BC89-BD89</f>
        <v>0</v>
      </c>
      <c r="BF89" s="32" t="n">
        <f aca="false">SUM(R89,T89,V89,X89,Z89,AB89,AD89,AF89,AH89,AJ89,AL89,AN89,AP89,AR89,AT89,AV89,AX89,AZ89)</f>
        <v>0</v>
      </c>
      <c r="BG89" s="33" t="n">
        <f aca="false">BB89-BF89</f>
        <v>0</v>
      </c>
      <c r="BH89" s="34" t="n">
        <f aca="false">BF89*M89</f>
        <v>0</v>
      </c>
      <c r="BI89" s="35" t="n">
        <f aca="false">BC89-BH89</f>
        <v>4929</v>
      </c>
      <c r="BJ89" s="19" t="str">
        <f aca="false">IF(BI89=0,"",IF(BI89&lt;&gt;BC89,"erreur de calcul",IF(BF89&lt;&gt;0,"pas de prix",IF(M89&lt;&gt; 0,"pas de quantité","pas de prix, ni de quantité"))))</f>
        <v>pas de prix, ni de quantité</v>
      </c>
      <c r="BK89" s="19"/>
    </row>
    <row r="90" customFormat="false" ht="16" hidden="false" customHeight="false" outlineLevel="0" collapsed="false">
      <c r="A90" s="0" t="n">
        <v>11</v>
      </c>
      <c r="B90" s="8" t="s">
        <v>24</v>
      </c>
      <c r="C90" s="9" t="s">
        <v>25</v>
      </c>
      <c r="D90" s="9" t="s">
        <v>26</v>
      </c>
      <c r="E90" s="10" t="n">
        <v>1789</v>
      </c>
      <c r="F90" s="9" t="s">
        <v>27</v>
      </c>
      <c r="G90" s="9" t="s">
        <v>27</v>
      </c>
      <c r="H90" s="11" t="n">
        <v>21</v>
      </c>
      <c r="I90" s="11" t="s">
        <v>164</v>
      </c>
      <c r="J90" s="14" t="n">
        <v>580</v>
      </c>
      <c r="K90" s="14"/>
      <c r="L90" s="16"/>
      <c r="M90" s="27" t="n">
        <f aca="false">J90+(K90/20)+(L90/240)</f>
        <v>580</v>
      </c>
      <c r="N90" s="17" t="s">
        <v>64</v>
      </c>
      <c r="O90" s="11"/>
      <c r="P90" s="28"/>
      <c r="Q90" s="28" t="str">
        <f aca="false">IF(O90&lt;&gt;"",P90*M90,"")</f>
        <v/>
      </c>
      <c r="R90" s="28" t="n">
        <f aca="false">294/100</f>
        <v>2.94</v>
      </c>
      <c r="S90" s="28" t="n">
        <v>1705</v>
      </c>
      <c r="T90" s="28"/>
      <c r="U90" s="28" t="n">
        <f aca="false">T90*$M90</f>
        <v>0</v>
      </c>
      <c r="V90" s="28"/>
      <c r="W90" s="28" t="n">
        <f aca="false">V90*$M90</f>
        <v>0</v>
      </c>
      <c r="X90" s="28"/>
      <c r="Y90" s="28" t="n">
        <f aca="false">X90*$M90</f>
        <v>0</v>
      </c>
      <c r="Z90" s="28"/>
      <c r="AA90" s="28" t="n">
        <f aca="false">Z90*$M90</f>
        <v>0</v>
      </c>
      <c r="AB90" s="28"/>
      <c r="AC90" s="28" t="n">
        <f aca="false">AB90*$M90</f>
        <v>0</v>
      </c>
      <c r="AD90" s="28"/>
      <c r="AE90" s="28" t="n">
        <f aca="false">AD90*$M90</f>
        <v>0</v>
      </c>
      <c r="AF90" s="28"/>
      <c r="AG90" s="28" t="n">
        <f aca="false">AF90*$M90</f>
        <v>0</v>
      </c>
      <c r="AH90" s="28"/>
      <c r="AI90" s="28" t="n">
        <f aca="false">AH90*$M90</f>
        <v>0</v>
      </c>
      <c r="AJ90" s="28"/>
      <c r="AK90" s="28" t="n">
        <f aca="false">AJ90*$M90</f>
        <v>0</v>
      </c>
      <c r="AL90" s="28"/>
      <c r="AM90" s="28" t="n">
        <f aca="false">AL90*$M90</f>
        <v>0</v>
      </c>
      <c r="AN90" s="28"/>
      <c r="AO90" s="28" t="n">
        <f aca="false">AN90*$M90</f>
        <v>0</v>
      </c>
      <c r="AP90" s="28"/>
      <c r="AQ90" s="28" t="n">
        <f aca="false">AP90*$M90</f>
        <v>0</v>
      </c>
      <c r="AR90" s="28"/>
      <c r="AS90" s="28" t="n">
        <f aca="false">AR90*$M90</f>
        <v>0</v>
      </c>
      <c r="AT90" s="28"/>
      <c r="AU90" s="28" t="n">
        <f aca="false">AT90*$M90</f>
        <v>0</v>
      </c>
      <c r="AV90" s="28"/>
      <c r="AW90" s="28" t="n">
        <f aca="false">AV90*$M90</f>
        <v>0</v>
      </c>
      <c r="AX90" s="28"/>
      <c r="AY90" s="28" t="n">
        <f aca="false">AX90*$M90</f>
        <v>0</v>
      </c>
      <c r="AZ90" s="28"/>
      <c r="BA90" s="28" t="n">
        <f aca="false">AZ90*$M90</f>
        <v>0</v>
      </c>
      <c r="BB90" s="30" t="n">
        <f aca="false">294/100</f>
        <v>2.94</v>
      </c>
      <c r="BC90" s="11" t="n">
        <v>1705</v>
      </c>
      <c r="BD90" s="31" t="n">
        <f aca="false">SUM(S90,U90,W90,Y90,AA90,AC90,AE90,AG90,AI90,AK90,AM90,AO90,AQ90,AS90,AU90,AW90,AY90,BA90)</f>
        <v>1705</v>
      </c>
      <c r="BE90" s="28" t="n">
        <f aca="false">BC90-BD90</f>
        <v>0</v>
      </c>
      <c r="BF90" s="32" t="n">
        <f aca="false">SUM(R90,T90,V90,X90,Z90,AB90,AD90,AF90,AH90,AJ90,AL90,AN90,AP90,AR90,AT90,AV90,AX90,AZ90)</f>
        <v>2.94</v>
      </c>
      <c r="BG90" s="33" t="n">
        <f aca="false">BB90-BF90</f>
        <v>0</v>
      </c>
      <c r="BH90" s="34" t="n">
        <f aca="false">BF90*M90</f>
        <v>1705.2</v>
      </c>
      <c r="BI90" s="35" t="n">
        <f aca="false">BC90-BH90</f>
        <v>-0.200000000000045</v>
      </c>
      <c r="BJ90" s="19" t="str">
        <f aca="false">IF(BI90=0,"",IF(BI90&lt;&gt;BC90,"erreur de calcul",IF(BF90&lt;&gt;0,"pas de prix",IF(M90&lt;&gt; 0,"pas de quantité","pas de prix, ni de quantité"))))</f>
        <v>erreur de calcul</v>
      </c>
      <c r="BK90" s="19"/>
    </row>
    <row r="91" customFormat="false" ht="16" hidden="false" customHeight="false" outlineLevel="0" collapsed="false">
      <c r="A91" s="0" t="n">
        <v>12</v>
      </c>
      <c r="B91" s="8" t="s">
        <v>24</v>
      </c>
      <c r="C91" s="9" t="s">
        <v>25</v>
      </c>
      <c r="D91" s="9" t="s">
        <v>26</v>
      </c>
      <c r="E91" s="10" t="n">
        <v>1789</v>
      </c>
      <c r="F91" s="9" t="s">
        <v>27</v>
      </c>
      <c r="G91" s="9" t="s">
        <v>27</v>
      </c>
      <c r="H91" s="11" t="n">
        <v>21</v>
      </c>
      <c r="I91" s="11" t="s">
        <v>165</v>
      </c>
      <c r="J91" s="14" t="n">
        <v>180</v>
      </c>
      <c r="K91" s="14"/>
      <c r="L91" s="16"/>
      <c r="M91" s="27" t="n">
        <f aca="false">J91+(K91/20)+(L91/240)</f>
        <v>180</v>
      </c>
      <c r="N91" s="17" t="s">
        <v>64</v>
      </c>
      <c r="O91" s="11"/>
      <c r="P91" s="28"/>
      <c r="Q91" s="28" t="str">
        <f aca="false">IF(O91&lt;&gt;"",P91*M91,"")</f>
        <v/>
      </c>
      <c r="R91" s="28"/>
      <c r="S91" s="28" t="n">
        <f aca="false">R91*$M91</f>
        <v>0</v>
      </c>
      <c r="T91" s="28"/>
      <c r="U91" s="28" t="n">
        <f aca="false">T91*$M91</f>
        <v>0</v>
      </c>
      <c r="V91" s="28"/>
      <c r="W91" s="28" t="n">
        <f aca="false">V91*$M91</f>
        <v>0</v>
      </c>
      <c r="X91" s="28"/>
      <c r="Y91" s="28" t="n">
        <f aca="false">X91*$M91</f>
        <v>0</v>
      </c>
      <c r="Z91" s="28"/>
      <c r="AA91" s="28" t="n">
        <f aca="false">Z91*$M91</f>
        <v>0</v>
      </c>
      <c r="AB91" s="28"/>
      <c r="AC91" s="28" t="n">
        <f aca="false">AB91*$M91</f>
        <v>0</v>
      </c>
      <c r="AD91" s="28"/>
      <c r="AE91" s="28" t="n">
        <f aca="false">AD91*$M91</f>
        <v>0</v>
      </c>
      <c r="AF91" s="28"/>
      <c r="AG91" s="28" t="n">
        <f aca="false">AF91*$M91</f>
        <v>0</v>
      </c>
      <c r="AH91" s="28"/>
      <c r="AI91" s="28" t="n">
        <f aca="false">AH91*$M91</f>
        <v>0</v>
      </c>
      <c r="AJ91" s="28"/>
      <c r="AK91" s="28" t="n">
        <f aca="false">AJ91*$M91</f>
        <v>0</v>
      </c>
      <c r="AL91" s="28"/>
      <c r="AM91" s="28" t="n">
        <f aca="false">AL91*$M91</f>
        <v>0</v>
      </c>
      <c r="AN91" s="28"/>
      <c r="AO91" s="28" t="n">
        <f aca="false">AN91*$M91</f>
        <v>0</v>
      </c>
      <c r="AP91" s="28" t="n">
        <f aca="false">13754/100</f>
        <v>137.54</v>
      </c>
      <c r="AQ91" s="28" t="n">
        <v>24757</v>
      </c>
      <c r="AR91" s="28"/>
      <c r="AS91" s="28" t="n">
        <f aca="false">AR91*$M91</f>
        <v>0</v>
      </c>
      <c r="AT91" s="28"/>
      <c r="AU91" s="28" t="n">
        <f aca="false">AT91*$M91</f>
        <v>0</v>
      </c>
      <c r="AV91" s="28"/>
      <c r="AW91" s="28" t="n">
        <f aca="false">AV91*$M91</f>
        <v>0</v>
      </c>
      <c r="AX91" s="28"/>
      <c r="AY91" s="28" t="n">
        <f aca="false">AX91*$M91</f>
        <v>0</v>
      </c>
      <c r="AZ91" s="28"/>
      <c r="BA91" s="28" t="n">
        <f aca="false">AZ91*$M91</f>
        <v>0</v>
      </c>
      <c r="BB91" s="30" t="n">
        <f aca="false">17360/100</f>
        <v>173.6</v>
      </c>
      <c r="BC91" s="11" t="n">
        <v>24757</v>
      </c>
      <c r="BD91" s="31" t="n">
        <f aca="false">SUM(S91,U91,W91,Y91,AA91,AC91,AE91,AG91,AI91,AK91,AM91,AO91,AQ91,AS91,AU91,AW91,AY91,BA91)</f>
        <v>24757</v>
      </c>
      <c r="BE91" s="28" t="n">
        <f aca="false">BC91-BD91</f>
        <v>0</v>
      </c>
      <c r="BF91" s="32" t="n">
        <f aca="false">SUM(R91,T91,V91,X91,Z91,AB91,AD91,AF91,AH91,AJ91,AL91,AN91,AP91,AR91,AT91,AV91,AX91,AZ91)</f>
        <v>137.54</v>
      </c>
      <c r="BG91" s="33" t="n">
        <f aca="false">BB91-BF91</f>
        <v>36.06</v>
      </c>
      <c r="BH91" s="34" t="n">
        <f aca="false">BF91*M91</f>
        <v>24757.2</v>
      </c>
      <c r="BI91" s="35" t="n">
        <f aca="false">BC91-BH91</f>
        <v>-0.19999999999709</v>
      </c>
      <c r="BJ91" s="19" t="str">
        <f aca="false">IF(BI91=0,"",IF(BI91&lt;&gt;BC91,"erreur de calcul",IF(BF91&lt;&gt;0,"pas de prix",IF(M91&lt;&gt; 0,"pas de quantité","pas de prix, ni de quantité"))))</f>
        <v>erreur de calcul</v>
      </c>
      <c r="BK91" s="19"/>
    </row>
    <row r="92" customFormat="false" ht="16" hidden="false" customHeight="false" outlineLevel="0" collapsed="false">
      <c r="A92" s="0" t="n">
        <v>13</v>
      </c>
      <c r="B92" s="8" t="s">
        <v>24</v>
      </c>
      <c r="C92" s="9" t="s">
        <v>25</v>
      </c>
      <c r="D92" s="9" t="s">
        <v>26</v>
      </c>
      <c r="E92" s="10" t="n">
        <v>1789</v>
      </c>
      <c r="F92" s="9" t="s">
        <v>27</v>
      </c>
      <c r="G92" s="9" t="s">
        <v>27</v>
      </c>
      <c r="H92" s="11" t="n">
        <v>21</v>
      </c>
      <c r="I92" s="11" t="s">
        <v>166</v>
      </c>
      <c r="J92" s="14" t="n">
        <v>90</v>
      </c>
      <c r="K92" s="14"/>
      <c r="L92" s="16"/>
      <c r="M92" s="27" t="n">
        <f aca="false">J92+(K92/20)+(L92/240)</f>
        <v>90</v>
      </c>
      <c r="N92" s="17" t="s">
        <v>64</v>
      </c>
      <c r="O92" s="11"/>
      <c r="P92" s="28"/>
      <c r="Q92" s="28" t="str">
        <f aca="false">IF(O92&lt;&gt;"",P92*M92,"")</f>
        <v/>
      </c>
      <c r="R92" s="28" t="n">
        <f aca="false">3606/100</f>
        <v>36.06</v>
      </c>
      <c r="S92" s="28" t="n">
        <v>3245</v>
      </c>
      <c r="T92" s="28"/>
      <c r="U92" s="28" t="n">
        <f aca="false">T92*$M92</f>
        <v>0</v>
      </c>
      <c r="V92" s="28"/>
      <c r="W92" s="28" t="n">
        <f aca="false">V92*$M92</f>
        <v>0</v>
      </c>
      <c r="X92" s="28"/>
      <c r="Y92" s="28" t="n">
        <f aca="false">X92*$M92</f>
        <v>0</v>
      </c>
      <c r="Z92" s="28"/>
      <c r="AA92" s="28" t="n">
        <f aca="false">Z92*$M92</f>
        <v>0</v>
      </c>
      <c r="AB92" s="28"/>
      <c r="AC92" s="28" t="n">
        <f aca="false">AB92*$M92</f>
        <v>0</v>
      </c>
      <c r="AD92" s="28"/>
      <c r="AE92" s="28" t="n">
        <f aca="false">AD92*$M92</f>
        <v>0</v>
      </c>
      <c r="AF92" s="28"/>
      <c r="AG92" s="28" t="n">
        <f aca="false">AF92*$M92</f>
        <v>0</v>
      </c>
      <c r="AH92" s="28"/>
      <c r="AI92" s="28" t="n">
        <f aca="false">AH92*$M92</f>
        <v>0</v>
      </c>
      <c r="AJ92" s="28"/>
      <c r="AK92" s="28" t="n">
        <f aca="false">AJ92*$M92</f>
        <v>0</v>
      </c>
      <c r="AL92" s="28"/>
      <c r="AM92" s="28" t="n">
        <f aca="false">AL92*$M92</f>
        <v>0</v>
      </c>
      <c r="AN92" s="28"/>
      <c r="AO92" s="28" t="n">
        <f aca="false">AN92*$M92</f>
        <v>0</v>
      </c>
      <c r="AP92" s="28"/>
      <c r="AQ92" s="28" t="n">
        <f aca="false">AP92*$M92</f>
        <v>0</v>
      </c>
      <c r="AR92" s="28"/>
      <c r="AS92" s="28" t="n">
        <f aca="false">AR92*$M92</f>
        <v>0</v>
      </c>
      <c r="AT92" s="28"/>
      <c r="AU92" s="28" t="n">
        <f aca="false">AT92*$M92</f>
        <v>0</v>
      </c>
      <c r="AV92" s="28"/>
      <c r="AW92" s="28" t="n">
        <f aca="false">AV92*$M92</f>
        <v>0</v>
      </c>
      <c r="AX92" s="28"/>
      <c r="AY92" s="28" t="n">
        <f aca="false">AX92*$M92</f>
        <v>0</v>
      </c>
      <c r="AZ92" s="28"/>
      <c r="BA92" s="28" t="n">
        <f aca="false">AZ92*$M92</f>
        <v>0</v>
      </c>
      <c r="BB92" s="30" t="n">
        <f aca="false">3606/100</f>
        <v>36.06</v>
      </c>
      <c r="BC92" s="11" t="n">
        <v>3245</v>
      </c>
      <c r="BD92" s="31" t="n">
        <f aca="false">SUM(S92,U92,W92,Y92,AA92,AC92,AE92,AG92,AI92,AK92,AM92,AO92,AQ92,AS92,AU92,AW92,AY92,BA92)</f>
        <v>3245</v>
      </c>
      <c r="BE92" s="28" t="n">
        <f aca="false">BC92-BD92</f>
        <v>0</v>
      </c>
      <c r="BF92" s="32" t="n">
        <f aca="false">SUM(R92,T92,V92,X92,Z92,AB92,AD92,AF92,AH92,AJ92,AL92,AN92,AP92,AR92,AT92,AV92,AX92,AZ92)</f>
        <v>36.06</v>
      </c>
      <c r="BG92" s="33" t="n">
        <f aca="false">BB92-BF92</f>
        <v>0</v>
      </c>
      <c r="BH92" s="34" t="n">
        <f aca="false">BF92*M92</f>
        <v>3245.4</v>
      </c>
      <c r="BI92" s="35" t="n">
        <f aca="false">BC92-BH92</f>
        <v>-0.400000000000091</v>
      </c>
      <c r="BJ92" s="19" t="str">
        <f aca="false">IF(BI92=0,"",IF(BI92&lt;&gt;BC92,"erreur de calcul",IF(BF92&lt;&gt;0,"pas de prix",IF(M92&lt;&gt; 0,"pas de quantité","pas de prix, ni de quantité"))))</f>
        <v>erreur de calcul</v>
      </c>
      <c r="BK92" s="19"/>
    </row>
    <row r="93" customFormat="false" ht="16" hidden="false" customHeight="false" outlineLevel="0" collapsed="false">
      <c r="A93" s="0" t="n">
        <v>14</v>
      </c>
      <c r="B93" s="8" t="s">
        <v>24</v>
      </c>
      <c r="C93" s="9" t="s">
        <v>25</v>
      </c>
      <c r="D93" s="9" t="s">
        <v>26</v>
      </c>
      <c r="E93" s="10" t="n">
        <v>1789</v>
      </c>
      <c r="F93" s="9" t="s">
        <v>27</v>
      </c>
      <c r="G93" s="9" t="s">
        <v>27</v>
      </c>
      <c r="H93" s="11" t="n">
        <v>21</v>
      </c>
      <c r="I93" s="11" t="s">
        <v>167</v>
      </c>
      <c r="J93" s="14" t="n">
        <v>60</v>
      </c>
      <c r="K93" s="14"/>
      <c r="L93" s="16"/>
      <c r="M93" s="27" t="n">
        <f aca="false">J93+(K93/20)+(L93/240)</f>
        <v>60</v>
      </c>
      <c r="N93" s="17" t="s">
        <v>64</v>
      </c>
      <c r="O93" s="11"/>
      <c r="P93" s="28"/>
      <c r="Q93" s="28" t="str">
        <f aca="false">IF(O93&lt;&gt;"",P93*M93,"")</f>
        <v/>
      </c>
      <c r="R93" s="28" t="n">
        <f aca="false">19377/100</f>
        <v>193.77</v>
      </c>
      <c r="S93" s="28" t="n">
        <v>11626</v>
      </c>
      <c r="T93" s="28"/>
      <c r="U93" s="28" t="n">
        <f aca="false">T93*$M93</f>
        <v>0</v>
      </c>
      <c r="V93" s="28"/>
      <c r="W93" s="28" t="n">
        <f aca="false">V93*$M93</f>
        <v>0</v>
      </c>
      <c r="X93" s="28"/>
      <c r="Y93" s="28" t="n">
        <f aca="false">X93*$M93</f>
        <v>0</v>
      </c>
      <c r="Z93" s="28"/>
      <c r="AA93" s="28" t="n">
        <f aca="false">Z93*$M93</f>
        <v>0</v>
      </c>
      <c r="AB93" s="28"/>
      <c r="AC93" s="28" t="n">
        <f aca="false">AB93*$M93</f>
        <v>0</v>
      </c>
      <c r="AD93" s="28"/>
      <c r="AE93" s="28" t="n">
        <f aca="false">AD93*$M93</f>
        <v>0</v>
      </c>
      <c r="AF93" s="28"/>
      <c r="AG93" s="28" t="n">
        <f aca="false">AF93*$M93</f>
        <v>0</v>
      </c>
      <c r="AH93" s="28"/>
      <c r="AI93" s="28" t="n">
        <f aca="false">AH93*$M93</f>
        <v>0</v>
      </c>
      <c r="AJ93" s="28"/>
      <c r="AK93" s="28" t="n">
        <f aca="false">AJ93*$M93</f>
        <v>0</v>
      </c>
      <c r="AL93" s="28"/>
      <c r="AM93" s="28" t="n">
        <f aca="false">AL93*$M93</f>
        <v>0</v>
      </c>
      <c r="AN93" s="28"/>
      <c r="AO93" s="28" t="n">
        <f aca="false">AN93*$M93</f>
        <v>0</v>
      </c>
      <c r="AP93" s="28"/>
      <c r="AQ93" s="28" t="n">
        <f aca="false">AP93*$M93</f>
        <v>0</v>
      </c>
      <c r="AR93" s="28"/>
      <c r="AS93" s="28" t="n">
        <f aca="false">AR93*$M93</f>
        <v>0</v>
      </c>
      <c r="AT93" s="28"/>
      <c r="AU93" s="28" t="n">
        <f aca="false">AT93*$M93</f>
        <v>0</v>
      </c>
      <c r="AV93" s="28"/>
      <c r="AW93" s="28" t="n">
        <f aca="false">AV93*$M93</f>
        <v>0</v>
      </c>
      <c r="AX93" s="28"/>
      <c r="AY93" s="28" t="n">
        <f aca="false">AX93*$M93</f>
        <v>0</v>
      </c>
      <c r="AZ93" s="28"/>
      <c r="BA93" s="28" t="n">
        <f aca="false">AZ93*$M93</f>
        <v>0</v>
      </c>
      <c r="BB93" s="30" t="n">
        <f aca="false">19377/100</f>
        <v>193.77</v>
      </c>
      <c r="BC93" s="11" t="n">
        <v>11626</v>
      </c>
      <c r="BD93" s="31" t="n">
        <f aca="false">SUM(S93,U93,W93,Y93,AA93,AC93,AE93,AG93,AI93,AK93,AM93,AO93,AQ93,AS93,AU93,AW93,AY93,BA93)</f>
        <v>11626</v>
      </c>
      <c r="BE93" s="28" t="n">
        <f aca="false">BC93-BD93</f>
        <v>0</v>
      </c>
      <c r="BF93" s="32" t="n">
        <f aca="false">SUM(R93,T93,V93,X93,Z93,AB93,AD93,AF93,AH93,AJ93,AL93,AN93,AP93,AR93,AT93,AV93,AX93,AZ93)</f>
        <v>193.77</v>
      </c>
      <c r="BG93" s="33" t="n">
        <f aca="false">BB93-BF93</f>
        <v>0</v>
      </c>
      <c r="BH93" s="34" t="n">
        <f aca="false">BF93*M93</f>
        <v>11626.2</v>
      </c>
      <c r="BI93" s="35" t="n">
        <f aca="false">BC93-BH93</f>
        <v>-0.200000000000728</v>
      </c>
      <c r="BJ93" s="19" t="str">
        <f aca="false">IF(BI93=0,"",IF(BI93&lt;&gt;BC93,"erreur de calcul",IF(BF93&lt;&gt;0,"pas de prix",IF(M93&lt;&gt; 0,"pas de quantité","pas de prix, ni de quantité"))))</f>
        <v>erreur de calcul</v>
      </c>
      <c r="BK93" s="19"/>
    </row>
    <row r="94" customFormat="false" ht="16" hidden="false" customHeight="false" outlineLevel="0" collapsed="false">
      <c r="A94" s="0" t="n">
        <v>15</v>
      </c>
      <c r="B94" s="8" t="s">
        <v>24</v>
      </c>
      <c r="C94" s="9" t="s">
        <v>25</v>
      </c>
      <c r="D94" s="9" t="s">
        <v>26</v>
      </c>
      <c r="E94" s="10" t="n">
        <v>1789</v>
      </c>
      <c r="F94" s="9" t="s">
        <v>27</v>
      </c>
      <c r="G94" s="9" t="s">
        <v>27</v>
      </c>
      <c r="H94" s="11" t="n">
        <v>21</v>
      </c>
      <c r="I94" s="11" t="s">
        <v>168</v>
      </c>
      <c r="J94" s="14" t="n">
        <v>345</v>
      </c>
      <c r="K94" s="14"/>
      <c r="L94" s="16"/>
      <c r="M94" s="27" t="n">
        <f aca="false">J94+(K94/20)+(L94/240)</f>
        <v>345</v>
      </c>
      <c r="N94" s="17" t="s">
        <v>64</v>
      </c>
      <c r="O94" s="11"/>
      <c r="P94" s="28"/>
      <c r="Q94" s="28" t="str">
        <f aca="false">IF(O94&lt;&gt;"",P94*M94,"")</f>
        <v/>
      </c>
      <c r="R94" s="28" t="n">
        <f aca="false">617/100</f>
        <v>6.17</v>
      </c>
      <c r="S94" s="28" t="n">
        <v>2129</v>
      </c>
      <c r="T94" s="28"/>
      <c r="U94" s="28" t="n">
        <f aca="false">T94*$M94</f>
        <v>0</v>
      </c>
      <c r="V94" s="28"/>
      <c r="W94" s="28" t="n">
        <f aca="false">V94*$M94</f>
        <v>0</v>
      </c>
      <c r="X94" s="28"/>
      <c r="Y94" s="28" t="n">
        <f aca="false">X94*$M94</f>
        <v>0</v>
      </c>
      <c r="Z94" s="28"/>
      <c r="AA94" s="28" t="n">
        <f aca="false">Z94*$M94</f>
        <v>0</v>
      </c>
      <c r="AB94" s="28"/>
      <c r="AC94" s="28" t="n">
        <f aca="false">AB94*$M94</f>
        <v>0</v>
      </c>
      <c r="AD94" s="28" t="n">
        <f aca="false">1270/100</f>
        <v>12.7</v>
      </c>
      <c r="AE94" s="28" t="n">
        <v>4381</v>
      </c>
      <c r="AF94" s="28"/>
      <c r="AG94" s="28" t="n">
        <f aca="false">AF94*$M94</f>
        <v>0</v>
      </c>
      <c r="AH94" s="28"/>
      <c r="AI94" s="28" t="n">
        <f aca="false">AH94*$M94</f>
        <v>0</v>
      </c>
      <c r="AJ94" s="28"/>
      <c r="AK94" s="28" t="n">
        <f aca="false">AJ94*$M94</f>
        <v>0</v>
      </c>
      <c r="AL94" s="28"/>
      <c r="AM94" s="28" t="n">
        <f aca="false">AL94*$M94</f>
        <v>0</v>
      </c>
      <c r="AN94" s="28"/>
      <c r="AO94" s="28" t="n">
        <f aca="false">AN94*$M94</f>
        <v>0</v>
      </c>
      <c r="AP94" s="28"/>
      <c r="AQ94" s="28" t="n">
        <f aca="false">AP94*$M94</f>
        <v>0</v>
      </c>
      <c r="AR94" s="28"/>
      <c r="AS94" s="28" t="n">
        <f aca="false">AR94*$M94</f>
        <v>0</v>
      </c>
      <c r="AT94" s="28"/>
      <c r="AU94" s="28" t="n">
        <f aca="false">AT94*$M94</f>
        <v>0</v>
      </c>
      <c r="AV94" s="28"/>
      <c r="AW94" s="28" t="n">
        <f aca="false">AV94*$M94</f>
        <v>0</v>
      </c>
      <c r="AX94" s="28"/>
      <c r="AY94" s="28" t="n">
        <f aca="false">AX94*$M94</f>
        <v>0</v>
      </c>
      <c r="AZ94" s="28"/>
      <c r="BA94" s="28" t="n">
        <f aca="false">AZ94*$M94</f>
        <v>0</v>
      </c>
      <c r="BB94" s="30" t="n">
        <f aca="false">1887/100</f>
        <v>18.87</v>
      </c>
      <c r="BC94" s="11" t="n">
        <v>6510</v>
      </c>
      <c r="BD94" s="31" t="n">
        <f aca="false">SUM(S94,U94,W94,Y94,AA94,AC94,AE94,AG94,AI94,AK94,AM94,AO94,AQ94,AS94,AU94,AW94,AY94,BA94)</f>
        <v>6510</v>
      </c>
      <c r="BE94" s="28" t="n">
        <f aca="false">BC94-BD94</f>
        <v>0</v>
      </c>
      <c r="BF94" s="32" t="n">
        <f aca="false">SUM(R94,T94,V94,X94,Z94,AB94,AD94,AF94,AH94,AJ94,AL94,AN94,AP94,AR94,AT94,AV94,AX94,AZ94)</f>
        <v>18.87</v>
      </c>
      <c r="BG94" s="33" t="n">
        <f aca="false">BB94-BF94</f>
        <v>0</v>
      </c>
      <c r="BH94" s="34" t="n">
        <f aca="false">BF94*M94</f>
        <v>6510.15</v>
      </c>
      <c r="BI94" s="35" t="n">
        <f aca="false">BC94-BH94</f>
        <v>-0.149999999998727</v>
      </c>
      <c r="BJ94" s="19" t="str">
        <f aca="false">IF(BI94=0,"",IF(BI94&lt;&gt;BC94,"erreur de calcul",IF(BF94&lt;&gt;0,"pas de prix",IF(M94&lt;&gt; 0,"pas de quantité","pas de prix, ni de quantité"))))</f>
        <v>erreur de calcul</v>
      </c>
      <c r="BK94" s="19"/>
    </row>
    <row r="95" customFormat="false" ht="16" hidden="false" customHeight="false" outlineLevel="0" collapsed="false">
      <c r="A95" s="0" t="n">
        <v>16</v>
      </c>
      <c r="B95" s="8" t="s">
        <v>24</v>
      </c>
      <c r="C95" s="9" t="s">
        <v>25</v>
      </c>
      <c r="D95" s="9" t="s">
        <v>26</v>
      </c>
      <c r="E95" s="10" t="n">
        <v>1789</v>
      </c>
      <c r="F95" s="9" t="s">
        <v>27</v>
      </c>
      <c r="G95" s="9" t="s">
        <v>27</v>
      </c>
      <c r="H95" s="11" t="n">
        <v>21</v>
      </c>
      <c r="I95" s="11" t="s">
        <v>169</v>
      </c>
      <c r="J95" s="14" t="n">
        <v>6</v>
      </c>
      <c r="K95" s="14"/>
      <c r="L95" s="16"/>
      <c r="M95" s="27" t="n">
        <f aca="false">J95+(K95/20)+(L95/240)</f>
        <v>6</v>
      </c>
      <c r="N95" s="17" t="s">
        <v>64</v>
      </c>
      <c r="O95" s="11"/>
      <c r="P95" s="28"/>
      <c r="Q95" s="28" t="str">
        <f aca="false">IF(O95&lt;&gt;"",P95*M95,"")</f>
        <v/>
      </c>
      <c r="R95" s="28"/>
      <c r="S95" s="28" t="n">
        <f aca="false">R95*$M95</f>
        <v>0</v>
      </c>
      <c r="T95" s="28"/>
      <c r="U95" s="28" t="n">
        <f aca="false">T95*$M95</f>
        <v>0</v>
      </c>
      <c r="V95" s="28"/>
      <c r="W95" s="28" t="n">
        <f aca="false">V95*$M95</f>
        <v>0</v>
      </c>
      <c r="X95" s="28" t="n">
        <f aca="false">39752/100</f>
        <v>397.52</v>
      </c>
      <c r="Y95" s="28" t="n">
        <v>2385</v>
      </c>
      <c r="Z95" s="28"/>
      <c r="AA95" s="28" t="n">
        <f aca="false">Z95*$M95</f>
        <v>0</v>
      </c>
      <c r="AB95" s="28"/>
      <c r="AC95" s="28" t="n">
        <f aca="false">AB95*$M95</f>
        <v>0</v>
      </c>
      <c r="AD95" s="28"/>
      <c r="AE95" s="28" t="n">
        <f aca="false">AD95*$M95</f>
        <v>0</v>
      </c>
      <c r="AF95" s="28"/>
      <c r="AG95" s="28" t="n">
        <f aca="false">AF95*$M95</f>
        <v>0</v>
      </c>
      <c r="AH95" s="28"/>
      <c r="AI95" s="28" t="n">
        <f aca="false">AH95*$M95</f>
        <v>0</v>
      </c>
      <c r="AJ95" s="28"/>
      <c r="AK95" s="28" t="n">
        <f aca="false">AJ95*$M95</f>
        <v>0</v>
      </c>
      <c r="AL95" s="28"/>
      <c r="AM95" s="28" t="n">
        <f aca="false">AL95*$M95</f>
        <v>0</v>
      </c>
      <c r="AN95" s="28"/>
      <c r="AO95" s="28" t="n">
        <f aca="false">AN95*$M95</f>
        <v>0</v>
      </c>
      <c r="AP95" s="28"/>
      <c r="AQ95" s="28" t="n">
        <f aca="false">AP95*$M95</f>
        <v>0</v>
      </c>
      <c r="AR95" s="28"/>
      <c r="AS95" s="28" t="n">
        <f aca="false">AR95*$M95</f>
        <v>0</v>
      </c>
      <c r="AT95" s="28"/>
      <c r="AU95" s="28" t="n">
        <f aca="false">AT95*$M95</f>
        <v>0</v>
      </c>
      <c r="AV95" s="28"/>
      <c r="AW95" s="28" t="n">
        <f aca="false">AV95*$M95</f>
        <v>0</v>
      </c>
      <c r="AX95" s="28"/>
      <c r="AY95" s="28" t="n">
        <f aca="false">AX95*$M95</f>
        <v>0</v>
      </c>
      <c r="AZ95" s="28"/>
      <c r="BA95" s="28" t="n">
        <f aca="false">AZ95*$M95</f>
        <v>0</v>
      </c>
      <c r="BB95" s="30" t="n">
        <f aca="false">39752/100</f>
        <v>397.52</v>
      </c>
      <c r="BC95" s="11" t="n">
        <v>2385</v>
      </c>
      <c r="BD95" s="31" t="n">
        <f aca="false">SUM(S95,U95,W95,Y95,AA95,AC95,AE95,AG95,AI95,AK95,AM95,AO95,AQ95,AS95,AU95,AW95,AY95,BA95)</f>
        <v>2385</v>
      </c>
      <c r="BE95" s="28" t="n">
        <f aca="false">BC95-BD95</f>
        <v>0</v>
      </c>
      <c r="BF95" s="32" t="n">
        <f aca="false">SUM(R95,T95,V95,X95,Z95,AB95,AD95,AF95,AH95,AJ95,AL95,AN95,AP95,AR95,AT95,AV95,AX95,AZ95)</f>
        <v>397.52</v>
      </c>
      <c r="BG95" s="33" t="n">
        <f aca="false">BB95-BF95</f>
        <v>0</v>
      </c>
      <c r="BH95" s="34" t="n">
        <f aca="false">BF95*M95</f>
        <v>2385.12</v>
      </c>
      <c r="BI95" s="35" t="n">
        <f aca="false">BC95-BH95</f>
        <v>-0.119999999999891</v>
      </c>
      <c r="BJ95" s="19" t="str">
        <f aca="false">IF(BI95=0,"",IF(BI95&lt;&gt;BC95,"erreur de calcul",IF(BF95&lt;&gt;0,"pas de prix",IF(M95&lt;&gt; 0,"pas de quantité","pas de prix, ni de quantité"))))</f>
        <v>erreur de calcul</v>
      </c>
      <c r="BK95" s="19"/>
    </row>
    <row r="96" customFormat="false" ht="16" hidden="false" customHeight="false" outlineLevel="0" collapsed="false">
      <c r="A96" s="0" t="n">
        <v>17</v>
      </c>
      <c r="B96" s="8" t="s">
        <v>24</v>
      </c>
      <c r="C96" s="9" t="s">
        <v>25</v>
      </c>
      <c r="D96" s="9" t="s">
        <v>26</v>
      </c>
      <c r="E96" s="10" t="n">
        <v>1789</v>
      </c>
      <c r="F96" s="9" t="s">
        <v>27</v>
      </c>
      <c r="G96" s="9" t="s">
        <v>27</v>
      </c>
      <c r="H96" s="11" t="n">
        <v>21</v>
      </c>
      <c r="I96" s="11" t="s">
        <v>170</v>
      </c>
      <c r="J96" s="14" t="n">
        <v>90</v>
      </c>
      <c r="K96" s="14"/>
      <c r="L96" s="16"/>
      <c r="M96" s="27" t="n">
        <f aca="false">J96+(K96/20)+(L96/240)</f>
        <v>90</v>
      </c>
      <c r="N96" s="17" t="s">
        <v>64</v>
      </c>
      <c r="O96" s="11"/>
      <c r="P96" s="28"/>
      <c r="Q96" s="28" t="str">
        <f aca="false">IF(O96&lt;&gt;"",P96*M96,"")</f>
        <v/>
      </c>
      <c r="R96" s="28"/>
      <c r="S96" s="28" t="n">
        <f aca="false">R96*$M96</f>
        <v>0</v>
      </c>
      <c r="T96" s="28"/>
      <c r="U96" s="28" t="n">
        <f aca="false">T96*$M96</f>
        <v>0</v>
      </c>
      <c r="V96" s="28"/>
      <c r="W96" s="28" t="n">
        <f aca="false">V96*$M96</f>
        <v>0</v>
      </c>
      <c r="X96" s="28"/>
      <c r="Y96" s="28" t="n">
        <f aca="false">X96*$M96</f>
        <v>0</v>
      </c>
      <c r="Z96" s="28" t="n">
        <f aca="false">3136/100</f>
        <v>31.36</v>
      </c>
      <c r="AA96" s="28" t="n">
        <v>2822</v>
      </c>
      <c r="AB96" s="28"/>
      <c r="AC96" s="28" t="n">
        <f aca="false">AB96*$M96</f>
        <v>0</v>
      </c>
      <c r="AD96" s="28"/>
      <c r="AE96" s="28" t="n">
        <f aca="false">AD96*$M96</f>
        <v>0</v>
      </c>
      <c r="AF96" s="28"/>
      <c r="AG96" s="28" t="n">
        <f aca="false">AF96*$M96</f>
        <v>0</v>
      </c>
      <c r="AH96" s="28"/>
      <c r="AI96" s="28" t="n">
        <f aca="false">AH96*$M96</f>
        <v>0</v>
      </c>
      <c r="AJ96" s="28"/>
      <c r="AK96" s="28" t="n">
        <f aca="false">AJ96*$M96</f>
        <v>0</v>
      </c>
      <c r="AL96" s="28"/>
      <c r="AM96" s="28" t="n">
        <f aca="false">AL96*$M96</f>
        <v>0</v>
      </c>
      <c r="AN96" s="28"/>
      <c r="AO96" s="28" t="n">
        <f aca="false">AN96*$M96</f>
        <v>0</v>
      </c>
      <c r="AP96" s="28"/>
      <c r="AQ96" s="28" t="n">
        <f aca="false">AP96*$M96</f>
        <v>0</v>
      </c>
      <c r="AR96" s="28"/>
      <c r="AS96" s="28" t="n">
        <f aca="false">AR96*$M96</f>
        <v>0</v>
      </c>
      <c r="AT96" s="28"/>
      <c r="AU96" s="28" t="n">
        <f aca="false">AT96*$M96</f>
        <v>0</v>
      </c>
      <c r="AV96" s="28"/>
      <c r="AW96" s="28" t="n">
        <f aca="false">AV96*$M96</f>
        <v>0</v>
      </c>
      <c r="AX96" s="28"/>
      <c r="AY96" s="28" t="n">
        <f aca="false">AX96*$M96</f>
        <v>0</v>
      </c>
      <c r="AZ96" s="28"/>
      <c r="BA96" s="28" t="n">
        <f aca="false">AZ96*$M96</f>
        <v>0</v>
      </c>
      <c r="BB96" s="30" t="n">
        <f aca="false">3136/100</f>
        <v>31.36</v>
      </c>
      <c r="BC96" s="11" t="n">
        <v>2822</v>
      </c>
      <c r="BD96" s="31" t="n">
        <f aca="false">SUM(S96,U96,W96,Y96,AA96,AC96,AE96,AG96,AI96,AK96,AM96,AO96,AQ96,AS96,AU96,AW96,AY96,BA96)</f>
        <v>2822</v>
      </c>
      <c r="BE96" s="28" t="n">
        <f aca="false">BC96-BD96</f>
        <v>0</v>
      </c>
      <c r="BF96" s="32" t="n">
        <f aca="false">SUM(R96,T96,V96,X96,Z96,AB96,AD96,AF96,AH96,AJ96,AL96,AN96,AP96,AR96,AT96,AV96,AX96,AZ96)</f>
        <v>31.36</v>
      </c>
      <c r="BG96" s="33" t="n">
        <f aca="false">BB96-BF96</f>
        <v>0</v>
      </c>
      <c r="BH96" s="34" t="n">
        <f aca="false">BF96*M96</f>
        <v>2822.4</v>
      </c>
      <c r="BI96" s="35" t="n">
        <f aca="false">BC96-BH96</f>
        <v>-0.400000000000091</v>
      </c>
      <c r="BJ96" s="19" t="str">
        <f aca="false">IF(BI96=0,"",IF(BI96&lt;&gt;BC96,"erreur de calcul",IF(BF96&lt;&gt;0,"pas de prix",IF(M96&lt;&gt; 0,"pas de quantité","pas de prix, ni de quantité"))))</f>
        <v>erreur de calcul</v>
      </c>
      <c r="BK96" s="19"/>
    </row>
    <row r="97" customFormat="false" ht="16" hidden="false" customHeight="false" outlineLevel="0" collapsed="false">
      <c r="A97" s="0" t="n">
        <v>18</v>
      </c>
      <c r="B97" s="8" t="s">
        <v>24</v>
      </c>
      <c r="C97" s="9" t="s">
        <v>25</v>
      </c>
      <c r="D97" s="9" t="s">
        <v>26</v>
      </c>
      <c r="E97" s="10" t="n">
        <v>1789</v>
      </c>
      <c r="F97" s="9" t="s">
        <v>27</v>
      </c>
      <c r="G97" s="9" t="s">
        <v>27</v>
      </c>
      <c r="H97" s="11" t="n">
        <v>21</v>
      </c>
      <c r="I97" s="11" t="s">
        <v>171</v>
      </c>
      <c r="J97" s="14" t="n">
        <v>90</v>
      </c>
      <c r="K97" s="14"/>
      <c r="L97" s="16"/>
      <c r="M97" s="27" t="n">
        <f aca="false">J97+(K97/20)+(L97/240)</f>
        <v>90</v>
      </c>
      <c r="N97" s="17" t="s">
        <v>64</v>
      </c>
      <c r="O97" s="11"/>
      <c r="P97" s="28"/>
      <c r="Q97" s="28" t="str">
        <f aca="false">IF(O97&lt;&gt;"",P97*M97,"")</f>
        <v/>
      </c>
      <c r="R97" s="28"/>
      <c r="S97" s="28" t="n">
        <f aca="false">R97*$M97</f>
        <v>0</v>
      </c>
      <c r="T97" s="28"/>
      <c r="U97" s="28" t="n">
        <f aca="false">T97*$M97</f>
        <v>0</v>
      </c>
      <c r="V97" s="28"/>
      <c r="W97" s="28" t="n">
        <f aca="false">V97*$M97</f>
        <v>0</v>
      </c>
      <c r="X97" s="28"/>
      <c r="Y97" s="28" t="n">
        <f aca="false">X97*$M97</f>
        <v>0</v>
      </c>
      <c r="Z97" s="28"/>
      <c r="AA97" s="28" t="n">
        <f aca="false">Z97*$M97</f>
        <v>0</v>
      </c>
      <c r="AB97" s="28"/>
      <c r="AC97" s="28" t="n">
        <f aca="false">AB97*$M97</f>
        <v>0</v>
      </c>
      <c r="AD97" s="28"/>
      <c r="AE97" s="28" t="n">
        <f aca="false">AD97*$M97</f>
        <v>0</v>
      </c>
      <c r="AF97" s="28"/>
      <c r="AG97" s="28" t="n">
        <f aca="false">AF97*$M97</f>
        <v>0</v>
      </c>
      <c r="AH97" s="28"/>
      <c r="AI97" s="28" t="n">
        <f aca="false">AH97*$M97</f>
        <v>0</v>
      </c>
      <c r="AJ97" s="28" t="n">
        <f aca="false">5337/100</f>
        <v>53.37</v>
      </c>
      <c r="AK97" s="28" t="n">
        <v>4803</v>
      </c>
      <c r="AL97" s="28"/>
      <c r="AM97" s="28" t="n">
        <f aca="false">AL97*$M97</f>
        <v>0</v>
      </c>
      <c r="AN97" s="28"/>
      <c r="AO97" s="28" t="n">
        <f aca="false">AN97*$M97</f>
        <v>0</v>
      </c>
      <c r="AP97" s="28"/>
      <c r="AQ97" s="28" t="n">
        <f aca="false">AP97*$M97</f>
        <v>0</v>
      </c>
      <c r="AR97" s="28"/>
      <c r="AS97" s="28" t="n">
        <f aca="false">AR97*$M97</f>
        <v>0</v>
      </c>
      <c r="AT97" s="28"/>
      <c r="AU97" s="28" t="n">
        <f aca="false">AT97*$M97</f>
        <v>0</v>
      </c>
      <c r="AV97" s="28"/>
      <c r="AW97" s="28" t="n">
        <f aca="false">AV97*$M97</f>
        <v>0</v>
      </c>
      <c r="AX97" s="28"/>
      <c r="AY97" s="28" t="n">
        <f aca="false">AX97*$M97</f>
        <v>0</v>
      </c>
      <c r="AZ97" s="28"/>
      <c r="BA97" s="28" t="n">
        <f aca="false">AZ97*$M97</f>
        <v>0</v>
      </c>
      <c r="BB97" s="30" t="n">
        <f aca="false">5337/100</f>
        <v>53.37</v>
      </c>
      <c r="BC97" s="11" t="n">
        <v>4803</v>
      </c>
      <c r="BD97" s="31" t="n">
        <f aca="false">SUM(S97,U97,W97,Y97,AA97,AC97,AE97,AG97,AI97,AK97,AM97,AO97,AQ97,AS97,AU97,AW97,AY97,BA97)</f>
        <v>4803</v>
      </c>
      <c r="BE97" s="28" t="n">
        <f aca="false">BC97-BD97</f>
        <v>0</v>
      </c>
      <c r="BF97" s="32" t="n">
        <f aca="false">SUM(R97,T97,V97,X97,Z97,AB97,AD97,AF97,AH97,AJ97,AL97,AN97,AP97,AR97,AT97,AV97,AX97,AZ97)</f>
        <v>53.37</v>
      </c>
      <c r="BG97" s="33" t="n">
        <f aca="false">BB97-BF97</f>
        <v>0</v>
      </c>
      <c r="BH97" s="34" t="n">
        <f aca="false">BF97*M97</f>
        <v>4803.3</v>
      </c>
      <c r="BI97" s="35" t="n">
        <f aca="false">BC97-BH97</f>
        <v>-0.300000000000182</v>
      </c>
      <c r="BJ97" s="19" t="str">
        <f aca="false">IF(BI97=0,"",IF(BI97&lt;&gt;BC97,"erreur de calcul",IF(BF97&lt;&gt;0,"pas de prix",IF(M97&lt;&gt; 0,"pas de quantité","pas de prix, ni de quantité"))))</f>
        <v>erreur de calcul</v>
      </c>
      <c r="BK97" s="19"/>
    </row>
    <row r="98" customFormat="false" ht="16" hidden="false" customHeight="false" outlineLevel="0" collapsed="false">
      <c r="A98" s="0" t="n">
        <v>19</v>
      </c>
      <c r="B98" s="8" t="s">
        <v>24</v>
      </c>
      <c r="C98" s="9" t="s">
        <v>25</v>
      </c>
      <c r="D98" s="9" t="s">
        <v>26</v>
      </c>
      <c r="E98" s="10" t="n">
        <v>1789</v>
      </c>
      <c r="F98" s="9" t="s">
        <v>27</v>
      </c>
      <c r="G98" s="9" t="s">
        <v>27</v>
      </c>
      <c r="H98" s="11" t="n">
        <v>21</v>
      </c>
      <c r="I98" s="11" t="s">
        <v>172</v>
      </c>
      <c r="J98" s="14" t="n">
        <v>15</v>
      </c>
      <c r="K98" s="14"/>
      <c r="L98" s="16"/>
      <c r="M98" s="27" t="n">
        <f aca="false">J98+(K98/20)+(L98/240)</f>
        <v>15</v>
      </c>
      <c r="N98" s="17" t="s">
        <v>64</v>
      </c>
      <c r="O98" s="11" t="s">
        <v>77</v>
      </c>
      <c r="P98" s="28" t="n">
        <f aca="false">12406/100</f>
        <v>124.06</v>
      </c>
      <c r="Q98" s="28" t="n">
        <v>1861</v>
      </c>
      <c r="R98" s="28"/>
      <c r="S98" s="28" t="n">
        <f aca="false">R98*$M98</f>
        <v>0</v>
      </c>
      <c r="T98" s="28"/>
      <c r="U98" s="28" t="n">
        <f aca="false">T98*$M98</f>
        <v>0</v>
      </c>
      <c r="V98" s="28"/>
      <c r="W98" s="28" t="n">
        <f aca="false">V98*$M98</f>
        <v>0</v>
      </c>
      <c r="X98" s="28"/>
      <c r="Y98" s="28" t="n">
        <f aca="false">X98*$M98</f>
        <v>0</v>
      </c>
      <c r="Z98" s="28"/>
      <c r="AA98" s="28" t="n">
        <f aca="false">Z98*$M98</f>
        <v>0</v>
      </c>
      <c r="AB98" s="28"/>
      <c r="AC98" s="28" t="n">
        <f aca="false">AB98*$M98</f>
        <v>0</v>
      </c>
      <c r="AD98" s="28"/>
      <c r="AE98" s="28" t="n">
        <f aca="false">AD98*$M98</f>
        <v>0</v>
      </c>
      <c r="AF98" s="28"/>
      <c r="AG98" s="28" t="n">
        <f aca="false">AF98*$M98</f>
        <v>0</v>
      </c>
      <c r="AH98" s="28"/>
      <c r="AI98" s="28" t="n">
        <f aca="false">AH98*$M98</f>
        <v>0</v>
      </c>
      <c r="AJ98" s="28"/>
      <c r="AK98" s="28" t="n">
        <f aca="false">AJ98*$M98</f>
        <v>0</v>
      </c>
      <c r="AL98" s="28"/>
      <c r="AM98" s="28" t="n">
        <f aca="false">AL98*$M98</f>
        <v>0</v>
      </c>
      <c r="AN98" s="28"/>
      <c r="AO98" s="28" t="n">
        <f aca="false">AN98*$M98</f>
        <v>0</v>
      </c>
      <c r="AP98" s="28"/>
      <c r="AQ98" s="28" t="n">
        <f aca="false">AP98*$M98</f>
        <v>0</v>
      </c>
      <c r="AR98" s="28"/>
      <c r="AS98" s="28" t="n">
        <f aca="false">AR98*$M98</f>
        <v>0</v>
      </c>
      <c r="AT98" s="28"/>
      <c r="AU98" s="28" t="n">
        <f aca="false">AT98*$M98</f>
        <v>0</v>
      </c>
      <c r="AV98" s="28"/>
      <c r="AW98" s="28" t="n">
        <f aca="false">AV98*$M98</f>
        <v>0</v>
      </c>
      <c r="AX98" s="28"/>
      <c r="AY98" s="28" t="n">
        <f aca="false">AX98*$M98</f>
        <v>0</v>
      </c>
      <c r="AZ98" s="28"/>
      <c r="BA98" s="28" t="n">
        <f aca="false">AZ98*$M98</f>
        <v>0</v>
      </c>
      <c r="BB98" s="30"/>
      <c r="BC98" s="11"/>
      <c r="BD98" s="31" t="n">
        <f aca="false">SUM(S98,U98,W98,Y98,AA98,AC98,AE98,AG98,AI98,AK98,AM98,AO98,AQ98,AS98,AU98,AW98,AY98,BA98)</f>
        <v>0</v>
      </c>
      <c r="BE98" s="28" t="n">
        <f aca="false">BC98-BD98</f>
        <v>0</v>
      </c>
      <c r="BF98" s="32" t="n">
        <f aca="false">SUM(R98,T98,V98,X98,Z98,AB98,AD98,AF98,AH98,AJ98,AL98,AN98,AP98,AR98,AT98,AV98,AX98,AZ98)</f>
        <v>0</v>
      </c>
      <c r="BG98" s="33" t="n">
        <f aca="false">BB98-BF98</f>
        <v>0</v>
      </c>
      <c r="BH98" s="34" t="n">
        <f aca="false">BF98*M98</f>
        <v>0</v>
      </c>
      <c r="BI98" s="35" t="n">
        <f aca="false">BC98-BH98</f>
        <v>0</v>
      </c>
      <c r="BJ98" s="19" t="str">
        <f aca="false">IF(BI98=0,"",IF(BI98&lt;&gt;BC98,"erreur de calcul",IF(BF98&lt;&gt;0,"pas de prix",IF(M98&lt;&gt; 0,"pas de quantité","pas de prix, ni de quantité"))))</f>
        <v/>
      </c>
      <c r="BK98" s="19"/>
    </row>
    <row r="99" customFormat="false" ht="16" hidden="false" customHeight="false" outlineLevel="0" collapsed="false">
      <c r="A99" s="0" t="n">
        <v>20</v>
      </c>
      <c r="B99" s="8" t="s">
        <v>24</v>
      </c>
      <c r="C99" s="9" t="s">
        <v>25</v>
      </c>
      <c r="D99" s="9" t="s">
        <v>26</v>
      </c>
      <c r="E99" s="10" t="n">
        <v>1789</v>
      </c>
      <c r="F99" s="9" t="s">
        <v>27</v>
      </c>
      <c r="G99" s="9" t="s">
        <v>27</v>
      </c>
      <c r="H99" s="11" t="n">
        <v>21</v>
      </c>
      <c r="I99" s="11" t="s">
        <v>173</v>
      </c>
      <c r="J99" s="14" t="n">
        <v>36</v>
      </c>
      <c r="K99" s="14"/>
      <c r="L99" s="16"/>
      <c r="M99" s="27" t="n">
        <f aca="false">J99+(K99/20)+(L99/240)</f>
        <v>36</v>
      </c>
      <c r="N99" s="17" t="s">
        <v>64</v>
      </c>
      <c r="O99" s="11"/>
      <c r="P99" s="28"/>
      <c r="Q99" s="28" t="str">
        <f aca="false">IF(O99&lt;&gt;"",P99*M99,"")</f>
        <v/>
      </c>
      <c r="R99" s="28"/>
      <c r="S99" s="28" t="n">
        <f aca="false">R99*$M99</f>
        <v>0</v>
      </c>
      <c r="T99" s="28"/>
      <c r="U99" s="28" t="n">
        <f aca="false">T99*$M99</f>
        <v>0</v>
      </c>
      <c r="V99" s="28"/>
      <c r="W99" s="28" t="n">
        <f aca="false">V99*$M99</f>
        <v>0</v>
      </c>
      <c r="X99" s="28"/>
      <c r="Y99" s="28" t="n">
        <f aca="false">X99*$M99</f>
        <v>0</v>
      </c>
      <c r="Z99" s="28"/>
      <c r="AA99" s="28" t="n">
        <f aca="false">Z99*$M99</f>
        <v>0</v>
      </c>
      <c r="AB99" s="28"/>
      <c r="AC99" s="28" t="n">
        <f aca="false">AB99*$M99</f>
        <v>0</v>
      </c>
      <c r="AD99" s="28" t="n">
        <f aca="false">80722/100</f>
        <v>807.22</v>
      </c>
      <c r="AE99" s="28" t="n">
        <v>29060</v>
      </c>
      <c r="AF99" s="28"/>
      <c r="AG99" s="28" t="n">
        <f aca="false">AF99*$M99</f>
        <v>0</v>
      </c>
      <c r="AH99" s="28"/>
      <c r="AI99" s="28" t="n">
        <f aca="false">AH99*$M99</f>
        <v>0</v>
      </c>
      <c r="AJ99" s="28"/>
      <c r="AK99" s="28" t="n">
        <f aca="false">AJ99*$M99</f>
        <v>0</v>
      </c>
      <c r="AL99" s="28"/>
      <c r="AM99" s="28" t="n">
        <f aca="false">AL99*$M99</f>
        <v>0</v>
      </c>
      <c r="AN99" s="28"/>
      <c r="AO99" s="28" t="n">
        <f aca="false">AN99*$M99</f>
        <v>0</v>
      </c>
      <c r="AP99" s="28"/>
      <c r="AQ99" s="28" t="n">
        <f aca="false">AP99*$M99</f>
        <v>0</v>
      </c>
      <c r="AR99" s="28"/>
      <c r="AS99" s="28" t="n">
        <f aca="false">AR99*$M99</f>
        <v>0</v>
      </c>
      <c r="AT99" s="28"/>
      <c r="AU99" s="28" t="n">
        <f aca="false">AT99*$M99</f>
        <v>0</v>
      </c>
      <c r="AV99" s="28"/>
      <c r="AW99" s="28" t="n">
        <f aca="false">AV99*$M99</f>
        <v>0</v>
      </c>
      <c r="AX99" s="28"/>
      <c r="AY99" s="28" t="n">
        <f aca="false">AX99*$M99</f>
        <v>0</v>
      </c>
      <c r="AZ99" s="28"/>
      <c r="BA99" s="28" t="n">
        <f aca="false">AZ99*$M99</f>
        <v>0</v>
      </c>
      <c r="BB99" s="30" t="n">
        <f aca="false">80722/100</f>
        <v>807.22</v>
      </c>
      <c r="BC99" s="11" t="n">
        <v>29060</v>
      </c>
      <c r="BD99" s="31" t="n">
        <f aca="false">SUM(S99,U99,W99,Y99,AA99,AC99,AE99,AG99,AI99,AK99,AM99,AO99,AQ99,AS99,AU99,AW99,AY99,BA99)</f>
        <v>29060</v>
      </c>
      <c r="BE99" s="28" t="n">
        <f aca="false">BC99-BD99</f>
        <v>0</v>
      </c>
      <c r="BF99" s="32" t="n">
        <f aca="false">SUM(R99,T99,V99,X99,Z99,AB99,AD99,AF99,AH99,AJ99,AL99,AN99,AP99,AR99,AT99,AV99,AX99,AZ99)</f>
        <v>807.22</v>
      </c>
      <c r="BG99" s="33" t="n">
        <f aca="false">BB99-BF99</f>
        <v>0</v>
      </c>
      <c r="BH99" s="34" t="n">
        <f aca="false">BF99*M99</f>
        <v>29059.92</v>
      </c>
      <c r="BI99" s="35" t="n">
        <f aca="false">BC99-BH99</f>
        <v>0.0799999999981083</v>
      </c>
      <c r="BJ99" s="19" t="str">
        <f aca="false">IF(BI99=0,"",IF(BI99&lt;&gt;BC99,"erreur de calcul",IF(BF99&lt;&gt;0,"pas de prix",IF(M99&lt;&gt; 0,"pas de quantité","pas de prix, ni de quantité"))))</f>
        <v>erreur de calcul</v>
      </c>
      <c r="BK99" s="19"/>
    </row>
    <row r="100" customFormat="false" ht="16" hidden="false" customHeight="false" outlineLevel="0" collapsed="false">
      <c r="A100" s="0" t="n">
        <v>21</v>
      </c>
      <c r="B100" s="8" t="s">
        <v>24</v>
      </c>
      <c r="C100" s="9" t="s">
        <v>25</v>
      </c>
      <c r="D100" s="9" t="s">
        <v>26</v>
      </c>
      <c r="E100" s="10" t="n">
        <v>1789</v>
      </c>
      <c r="F100" s="9" t="s">
        <v>27</v>
      </c>
      <c r="G100" s="9" t="s">
        <v>27</v>
      </c>
      <c r="H100" s="11" t="n">
        <v>21</v>
      </c>
      <c r="I100" s="11" t="s">
        <v>174</v>
      </c>
      <c r="J100" s="14" t="n">
        <v>31</v>
      </c>
      <c r="K100" s="14"/>
      <c r="L100" s="16"/>
      <c r="M100" s="27" t="n">
        <f aca="false">J100+(K100/20)+(L100/240)</f>
        <v>31</v>
      </c>
      <c r="N100" s="17" t="s">
        <v>64</v>
      </c>
      <c r="O100" s="11"/>
      <c r="P100" s="28"/>
      <c r="Q100" s="28" t="str">
        <f aca="false">IF(O100&lt;&gt;"",P100*M100,"")</f>
        <v/>
      </c>
      <c r="R100" s="28"/>
      <c r="S100" s="28" t="n">
        <f aca="false">R100*$M100</f>
        <v>0</v>
      </c>
      <c r="T100" s="28"/>
      <c r="U100" s="28" t="n">
        <f aca="false">T100*$M100</f>
        <v>0</v>
      </c>
      <c r="V100" s="28"/>
      <c r="W100" s="28" t="n">
        <f aca="false">V100*$M100</f>
        <v>0</v>
      </c>
      <c r="X100" s="28"/>
      <c r="Y100" s="28" t="n">
        <f aca="false">X100*$M100</f>
        <v>0</v>
      </c>
      <c r="Z100" s="28"/>
      <c r="AA100" s="28" t="n">
        <f aca="false">Z100*$M100</f>
        <v>0</v>
      </c>
      <c r="AB100" s="28"/>
      <c r="AC100" s="28" t="n">
        <f aca="false">AB100*$M100</f>
        <v>0</v>
      </c>
      <c r="AD100" s="28"/>
      <c r="AE100" s="28" t="n">
        <f aca="false">AD100*$M100</f>
        <v>0</v>
      </c>
      <c r="AF100" s="28"/>
      <c r="AG100" s="28" t="n">
        <f aca="false">AF100*$M100</f>
        <v>0</v>
      </c>
      <c r="AH100" s="28" t="n">
        <f aca="false">4599/100</f>
        <v>45.99</v>
      </c>
      <c r="AI100" s="28" t="n">
        <v>1426</v>
      </c>
      <c r="AJ100" s="28" t="n">
        <f aca="false">12691/100</f>
        <v>126.91</v>
      </c>
      <c r="AK100" s="28" t="n">
        <v>3934</v>
      </c>
      <c r="AL100" s="28"/>
      <c r="AM100" s="28" t="n">
        <f aca="false">AL100*$M100</f>
        <v>0</v>
      </c>
      <c r="AN100" s="28"/>
      <c r="AO100" s="28" t="n">
        <f aca="false">AN100*$M100</f>
        <v>0</v>
      </c>
      <c r="AP100" s="28"/>
      <c r="AQ100" s="28" t="n">
        <f aca="false">AP100*$M100</f>
        <v>0</v>
      </c>
      <c r="AR100" s="28"/>
      <c r="AS100" s="28" t="n">
        <f aca="false">AR100*$M100</f>
        <v>0</v>
      </c>
      <c r="AT100" s="28"/>
      <c r="AU100" s="28" t="n">
        <f aca="false">AT100*$M100</f>
        <v>0</v>
      </c>
      <c r="AV100" s="28"/>
      <c r="AW100" s="28" t="n">
        <f aca="false">AV100*$M100</f>
        <v>0</v>
      </c>
      <c r="AX100" s="28"/>
      <c r="AY100" s="28" t="n">
        <f aca="false">AX100*$M100</f>
        <v>0</v>
      </c>
      <c r="AZ100" s="28"/>
      <c r="BA100" s="28" t="n">
        <f aca="false">AZ100*$M100</f>
        <v>0</v>
      </c>
      <c r="BB100" s="30" t="n">
        <f aca="false">17290/100</f>
        <v>172.9</v>
      </c>
      <c r="BC100" s="11" t="n">
        <v>5360</v>
      </c>
      <c r="BD100" s="31" t="n">
        <f aca="false">SUM(S100,U100,W100,Y100,AA100,AC100,AE100,AG100,AI100,AK100,AM100,AO100,AQ100,AS100,AU100,AW100,AY100,BA100)</f>
        <v>5360</v>
      </c>
      <c r="BE100" s="28" t="n">
        <f aca="false">BC100-BD100</f>
        <v>0</v>
      </c>
      <c r="BF100" s="32" t="n">
        <f aca="false">SUM(R100,T100,V100,X100,Z100,AB100,AD100,AF100,AH100,AJ100,AL100,AN100,AP100,AR100,AT100,AV100,AX100,AZ100)</f>
        <v>172.9</v>
      </c>
      <c r="BG100" s="33" t="n">
        <f aca="false">BB100-BF100</f>
        <v>0</v>
      </c>
      <c r="BH100" s="34" t="n">
        <f aca="false">BF100*M100</f>
        <v>5359.9</v>
      </c>
      <c r="BI100" s="35" t="n">
        <f aca="false">BC100-BH100</f>
        <v>0.0999999999994543</v>
      </c>
      <c r="BJ100" s="19" t="str">
        <f aca="false">IF(BI100=0,"",IF(BI100&lt;&gt;BC100,"erreur de calcul",IF(BF100&lt;&gt;0,"pas de prix",IF(M100&lt;&gt; 0,"pas de quantité","pas de prix, ni de quantité"))))</f>
        <v>erreur de calcul</v>
      </c>
      <c r="BK100" s="19"/>
    </row>
    <row r="101" customFormat="false" ht="16" hidden="false" customHeight="false" outlineLevel="0" collapsed="false">
      <c r="A101" s="0" t="n">
        <v>22</v>
      </c>
      <c r="B101" s="8" t="s">
        <v>24</v>
      </c>
      <c r="C101" s="9" t="s">
        <v>25</v>
      </c>
      <c r="D101" s="9" t="s">
        <v>26</v>
      </c>
      <c r="E101" s="10" t="n">
        <v>1789</v>
      </c>
      <c r="F101" s="9" t="s">
        <v>27</v>
      </c>
      <c r="G101" s="9" t="s">
        <v>27</v>
      </c>
      <c r="H101" s="11" t="n">
        <v>21</v>
      </c>
      <c r="I101" s="11" t="s">
        <v>175</v>
      </c>
      <c r="J101" s="14" t="n">
        <v>120</v>
      </c>
      <c r="K101" s="14"/>
      <c r="L101" s="16"/>
      <c r="M101" s="27" t="n">
        <f aca="false">J101+(K101/20)+(L101/240)</f>
        <v>120</v>
      </c>
      <c r="N101" s="17" t="s">
        <v>64</v>
      </c>
      <c r="O101" s="11"/>
      <c r="P101" s="28"/>
      <c r="Q101" s="28" t="str">
        <f aca="false">IF(O101&lt;&gt;"",P101*M101,"")</f>
        <v/>
      </c>
      <c r="R101" s="28"/>
      <c r="S101" s="28" t="n">
        <f aca="false">R101*$M101</f>
        <v>0</v>
      </c>
      <c r="T101" s="28"/>
      <c r="U101" s="28" t="n">
        <f aca="false">T101*$M101</f>
        <v>0</v>
      </c>
      <c r="V101" s="28"/>
      <c r="W101" s="28" t="n">
        <f aca="false">V101*$M101</f>
        <v>0</v>
      </c>
      <c r="X101" s="28" t="n">
        <f aca="false">2364/100</f>
        <v>23.64</v>
      </c>
      <c r="Y101" s="28" t="n">
        <v>2837</v>
      </c>
      <c r="Z101" s="28"/>
      <c r="AA101" s="28" t="n">
        <f aca="false">Z101*$M101</f>
        <v>0</v>
      </c>
      <c r="AB101" s="28"/>
      <c r="AC101" s="28" t="n">
        <f aca="false">AB101*$M101</f>
        <v>0</v>
      </c>
      <c r="AD101" s="28"/>
      <c r="AE101" s="28" t="n">
        <f aca="false">AD101*$M101</f>
        <v>0</v>
      </c>
      <c r="AF101" s="28"/>
      <c r="AG101" s="28" t="n">
        <f aca="false">AF101*$M101</f>
        <v>0</v>
      </c>
      <c r="AH101" s="28"/>
      <c r="AI101" s="28" t="n">
        <f aca="false">AH101*$M101</f>
        <v>0</v>
      </c>
      <c r="AJ101" s="28"/>
      <c r="AK101" s="28" t="n">
        <f aca="false">AJ101*$M101</f>
        <v>0</v>
      </c>
      <c r="AL101" s="28"/>
      <c r="AM101" s="28" t="n">
        <f aca="false">AL101*$M101</f>
        <v>0</v>
      </c>
      <c r="AN101" s="28"/>
      <c r="AO101" s="28" t="n">
        <f aca="false">AN101*$M101</f>
        <v>0</v>
      </c>
      <c r="AP101" s="28"/>
      <c r="AQ101" s="28" t="n">
        <f aca="false">AP101*$M101</f>
        <v>0</v>
      </c>
      <c r="AR101" s="28"/>
      <c r="AS101" s="28" t="n">
        <f aca="false">AR101*$M101</f>
        <v>0</v>
      </c>
      <c r="AT101" s="28"/>
      <c r="AU101" s="28" t="n">
        <f aca="false">AT101*$M101</f>
        <v>0</v>
      </c>
      <c r="AV101" s="28"/>
      <c r="AW101" s="28" t="n">
        <f aca="false">AV101*$M101</f>
        <v>0</v>
      </c>
      <c r="AX101" s="28"/>
      <c r="AY101" s="28" t="n">
        <f aca="false">AX101*$M101</f>
        <v>0</v>
      </c>
      <c r="AZ101" s="28"/>
      <c r="BA101" s="28" t="n">
        <f aca="false">AZ101*$M101</f>
        <v>0</v>
      </c>
      <c r="BB101" s="30" t="n">
        <f aca="false">2364/100</f>
        <v>23.64</v>
      </c>
      <c r="BC101" s="11" t="n">
        <v>2837</v>
      </c>
      <c r="BD101" s="31" t="n">
        <f aca="false">SUM(S101,U101,W101,Y101,AA101,AC101,AE101,AG101,AI101,AK101,AM101,AO101,AQ101,AS101,AU101,AW101,AY101,BA101)</f>
        <v>2837</v>
      </c>
      <c r="BE101" s="28" t="n">
        <f aca="false">BC101-BD101</f>
        <v>0</v>
      </c>
      <c r="BF101" s="32" t="n">
        <f aca="false">SUM(R101,T101,V101,X101,Z101,AB101,AD101,AF101,AH101,AJ101,AL101,AN101,AP101,AR101,AT101,AV101,AX101,AZ101)</f>
        <v>23.64</v>
      </c>
      <c r="BG101" s="33" t="n">
        <f aca="false">BB101-BF101</f>
        <v>0</v>
      </c>
      <c r="BH101" s="34" t="n">
        <f aca="false">BF101*M101</f>
        <v>2836.8</v>
      </c>
      <c r="BI101" s="35" t="n">
        <f aca="false">BC101-BH101</f>
        <v>0.199999999999818</v>
      </c>
      <c r="BJ101" s="19" t="str">
        <f aca="false">IF(BI101=0,"",IF(BI101&lt;&gt;BC101,"erreur de calcul",IF(BF101&lt;&gt;0,"pas de prix",IF(M101&lt;&gt; 0,"pas de quantité","pas de prix, ni de quantité"))))</f>
        <v>erreur de calcul</v>
      </c>
      <c r="BK101" s="19"/>
    </row>
    <row r="102" customFormat="false" ht="16" hidden="false" customHeight="false" outlineLevel="0" collapsed="false">
      <c r="A102" s="0" t="n">
        <v>23</v>
      </c>
      <c r="B102" s="8" t="s">
        <v>24</v>
      </c>
      <c r="C102" s="9" t="s">
        <v>25</v>
      </c>
      <c r="D102" s="9" t="s">
        <v>26</v>
      </c>
      <c r="E102" s="10" t="n">
        <v>1789</v>
      </c>
      <c r="F102" s="9" t="s">
        <v>27</v>
      </c>
      <c r="G102" s="9" t="s">
        <v>27</v>
      </c>
      <c r="H102" s="11" t="n">
        <v>21</v>
      </c>
      <c r="I102" s="11" t="s">
        <v>176</v>
      </c>
      <c r="J102" s="14" t="n">
        <v>170</v>
      </c>
      <c r="K102" s="14"/>
      <c r="L102" s="16"/>
      <c r="M102" s="27" t="n">
        <f aca="false">J102+(K102/20)+(L102/240)</f>
        <v>170</v>
      </c>
      <c r="N102" s="17" t="s">
        <v>64</v>
      </c>
      <c r="O102" s="11"/>
      <c r="P102" s="28"/>
      <c r="Q102" s="28" t="str">
        <f aca="false">IF(O102&lt;&gt;"",P102*M102,"")</f>
        <v/>
      </c>
      <c r="R102" s="28" t="n">
        <f aca="false">9760/100</f>
        <v>97.6</v>
      </c>
      <c r="S102" s="28" t="n">
        <v>16592</v>
      </c>
      <c r="T102" s="28"/>
      <c r="U102" s="28" t="n">
        <f aca="false">T102*$M102</f>
        <v>0</v>
      </c>
      <c r="V102" s="28"/>
      <c r="W102" s="28" t="n">
        <f aca="false">V102*$M102</f>
        <v>0</v>
      </c>
      <c r="X102" s="28"/>
      <c r="Y102" s="28" t="n">
        <f aca="false">X102*$M102</f>
        <v>0</v>
      </c>
      <c r="Z102" s="28" t="n">
        <f aca="false">1589/100</f>
        <v>15.89</v>
      </c>
      <c r="AA102" s="28" t="n">
        <v>2701</v>
      </c>
      <c r="AB102" s="28"/>
      <c r="AC102" s="28" t="n">
        <f aca="false">AB102*$M102</f>
        <v>0</v>
      </c>
      <c r="AD102" s="28"/>
      <c r="AE102" s="28" t="n">
        <f aca="false">AD102*$M102</f>
        <v>0</v>
      </c>
      <c r="AF102" s="28"/>
      <c r="AG102" s="28" t="n">
        <f aca="false">AF102*$M102</f>
        <v>0</v>
      </c>
      <c r="AH102" s="28"/>
      <c r="AI102" s="28" t="n">
        <f aca="false">AH102*$M102</f>
        <v>0</v>
      </c>
      <c r="AJ102" s="28"/>
      <c r="AK102" s="28" t="n">
        <f aca="false">AJ102*$M102</f>
        <v>0</v>
      </c>
      <c r="AL102" s="28"/>
      <c r="AM102" s="28" t="n">
        <f aca="false">AL102*$M102</f>
        <v>0</v>
      </c>
      <c r="AN102" s="28"/>
      <c r="AO102" s="28" t="n">
        <f aca="false">AN102*$M102</f>
        <v>0</v>
      </c>
      <c r="AP102" s="28"/>
      <c r="AQ102" s="28" t="n">
        <f aca="false">AP102*$M102</f>
        <v>0</v>
      </c>
      <c r="AR102" s="28"/>
      <c r="AS102" s="28" t="n">
        <f aca="false">AR102*$M102</f>
        <v>0</v>
      </c>
      <c r="AT102" s="28"/>
      <c r="AU102" s="28" t="n">
        <f aca="false">AT102*$M102</f>
        <v>0</v>
      </c>
      <c r="AV102" s="28"/>
      <c r="AW102" s="28" t="n">
        <f aca="false">AV102*$M102</f>
        <v>0</v>
      </c>
      <c r="AX102" s="28"/>
      <c r="AY102" s="28" t="n">
        <f aca="false">AX102*$M102</f>
        <v>0</v>
      </c>
      <c r="AZ102" s="28"/>
      <c r="BA102" s="28" t="n">
        <f aca="false">AZ102*$M102</f>
        <v>0</v>
      </c>
      <c r="BB102" s="30" t="n">
        <f aca="false">11349/100</f>
        <v>113.49</v>
      </c>
      <c r="BC102" s="11" t="n">
        <v>19293</v>
      </c>
      <c r="BD102" s="31" t="n">
        <f aca="false">SUM(S102,U102,W102,Y102,AA102,AC102,AE102,AG102,AI102,AK102,AM102,AO102,AQ102,AS102,AU102,AW102,AY102,BA102)</f>
        <v>19293</v>
      </c>
      <c r="BE102" s="28" t="n">
        <f aca="false">BC102-BD102</f>
        <v>0</v>
      </c>
      <c r="BF102" s="32" t="n">
        <f aca="false">SUM(R102,T102,V102,X102,Z102,AB102,AD102,AF102,AH102,AJ102,AL102,AN102,AP102,AR102,AT102,AV102,AX102,AZ102)</f>
        <v>113.49</v>
      </c>
      <c r="BG102" s="33" t="n">
        <f aca="false">BB102-BF102</f>
        <v>0</v>
      </c>
      <c r="BH102" s="34" t="n">
        <f aca="false">BF102*M102</f>
        <v>19293.3</v>
      </c>
      <c r="BI102" s="35" t="n">
        <f aca="false">BC102-BH102</f>
        <v>-0.299999999999272</v>
      </c>
      <c r="BJ102" s="19" t="str">
        <f aca="false">IF(BI102=0,"",IF(BI102&lt;&gt;BC102,"erreur de calcul",IF(BF102&lt;&gt;0,"pas de prix",IF(M102&lt;&gt; 0,"pas de quantité","pas de prix, ni de quantité"))))</f>
        <v>erreur de calcul</v>
      </c>
      <c r="BK102" s="19"/>
    </row>
    <row r="103" customFormat="false" ht="16" hidden="false" customHeight="false" outlineLevel="0" collapsed="false">
      <c r="A103" s="0" t="n">
        <v>24</v>
      </c>
      <c r="B103" s="8" t="s">
        <v>24</v>
      </c>
      <c r="C103" s="9" t="s">
        <v>25</v>
      </c>
      <c r="D103" s="9" t="s">
        <v>26</v>
      </c>
      <c r="E103" s="10" t="n">
        <v>1789</v>
      </c>
      <c r="F103" s="9" t="s">
        <v>27</v>
      </c>
      <c r="G103" s="9" t="s">
        <v>27</v>
      </c>
      <c r="H103" s="11" t="n">
        <v>21</v>
      </c>
      <c r="I103" s="11" t="s">
        <v>177</v>
      </c>
      <c r="J103" s="14" t="n">
        <v>9</v>
      </c>
      <c r="K103" s="14"/>
      <c r="L103" s="16"/>
      <c r="M103" s="27" t="n">
        <f aca="false">J103+(K103/20)+(L103/240)</f>
        <v>9</v>
      </c>
      <c r="N103" s="17" t="s">
        <v>66</v>
      </c>
      <c r="O103" s="11"/>
      <c r="P103" s="28"/>
      <c r="Q103" s="28" t="str">
        <f aca="false">IF(O103&lt;&gt;"",P103*M103,"")</f>
        <v/>
      </c>
      <c r="R103" s="28"/>
      <c r="S103" s="28" t="n">
        <f aca="false">R103*$M103</f>
        <v>0</v>
      </c>
      <c r="T103" s="28" t="n">
        <v>349</v>
      </c>
      <c r="U103" s="28" t="n">
        <v>3141</v>
      </c>
      <c r="V103" s="28"/>
      <c r="W103" s="28" t="n">
        <f aca="false">V103*$M103</f>
        <v>0</v>
      </c>
      <c r="X103" s="28" t="n">
        <v>315</v>
      </c>
      <c r="Y103" s="28" t="n">
        <v>2835</v>
      </c>
      <c r="Z103" s="28" t="n">
        <v>733</v>
      </c>
      <c r="AA103" s="28" t="n">
        <v>6597</v>
      </c>
      <c r="AB103" s="28"/>
      <c r="AC103" s="28" t="n">
        <f aca="false">AB103*$M103</f>
        <v>0</v>
      </c>
      <c r="AD103" s="28" t="n">
        <v>162</v>
      </c>
      <c r="AE103" s="28" t="n">
        <v>1458</v>
      </c>
      <c r="AF103" s="28"/>
      <c r="AG103" s="28" t="n">
        <f aca="false">AF103*$M103</f>
        <v>0</v>
      </c>
      <c r="AH103" s="28"/>
      <c r="AI103" s="28" t="n">
        <f aca="false">AH103*$M103</f>
        <v>0</v>
      </c>
      <c r="AJ103" s="28"/>
      <c r="AK103" s="28" t="n">
        <f aca="false">AJ103*$M103</f>
        <v>0</v>
      </c>
      <c r="AL103" s="28"/>
      <c r="AM103" s="28" t="n">
        <f aca="false">AL103*$M103</f>
        <v>0</v>
      </c>
      <c r="AN103" s="28"/>
      <c r="AO103" s="28" t="n">
        <f aca="false">AN103*$M103</f>
        <v>0</v>
      </c>
      <c r="AP103" s="28"/>
      <c r="AQ103" s="28" t="n">
        <f aca="false">AP103*$M103</f>
        <v>0</v>
      </c>
      <c r="AR103" s="28"/>
      <c r="AS103" s="28" t="n">
        <f aca="false">AR103*$M103</f>
        <v>0</v>
      </c>
      <c r="AT103" s="28"/>
      <c r="AU103" s="28" t="n">
        <f aca="false">AT103*$M103</f>
        <v>0</v>
      </c>
      <c r="AV103" s="28"/>
      <c r="AW103" s="28" t="n">
        <f aca="false">AV103*$M103</f>
        <v>0</v>
      </c>
      <c r="AX103" s="28"/>
      <c r="AY103" s="28" t="n">
        <f aca="false">AX103*$M103</f>
        <v>0</v>
      </c>
      <c r="AZ103" s="28"/>
      <c r="BA103" s="28" t="n">
        <f aca="false">AZ103*$M103</f>
        <v>0</v>
      </c>
      <c r="BB103" s="30" t="n">
        <f aca="false">1559</f>
        <v>1559</v>
      </c>
      <c r="BC103" s="11" t="n">
        <v>14031</v>
      </c>
      <c r="BD103" s="31" t="n">
        <f aca="false">SUM(S103,U103,W103,Y103,AA103,AC103,AE103,AG103,AI103,AK103,AM103,AO103,AQ103,AS103,AU103,AW103,AY103,BA103)</f>
        <v>14031</v>
      </c>
      <c r="BE103" s="28" t="n">
        <f aca="false">BC103-BD103</f>
        <v>0</v>
      </c>
      <c r="BF103" s="32" t="n">
        <f aca="false">SUM(R103,T103,V103,X103,Z103,AB103,AD103,AF103,AH103,AJ103,AL103,AN103,AP103,AR103,AT103,AV103,AX103,AZ103)</f>
        <v>1559</v>
      </c>
      <c r="BG103" s="33" t="n">
        <f aca="false">BB103-BF103</f>
        <v>0</v>
      </c>
      <c r="BH103" s="34" t="n">
        <f aca="false">BF103*M103</f>
        <v>14031</v>
      </c>
      <c r="BI103" s="35" t="n">
        <f aca="false">BC103-BH103</f>
        <v>0</v>
      </c>
      <c r="BJ103" s="19" t="str">
        <f aca="false">IF(BI103=0,"",IF(BI103&lt;&gt;BC103,"erreur de calcul",IF(BF103&lt;&gt;0,"pas de prix",IF(M103&lt;&gt; 0,"pas de quantité","pas de prix, ni de quantité"))))</f>
        <v/>
      </c>
      <c r="BK103" s="19"/>
    </row>
    <row r="104" customFormat="false" ht="16" hidden="false" customHeight="false" outlineLevel="0" collapsed="false">
      <c r="A104" s="0" t="n">
        <v>25</v>
      </c>
      <c r="B104" s="8" t="s">
        <v>24</v>
      </c>
      <c r="C104" s="9" t="s">
        <v>25</v>
      </c>
      <c r="D104" s="9" t="s">
        <v>26</v>
      </c>
      <c r="E104" s="10" t="n">
        <v>1789</v>
      </c>
      <c r="F104" s="9" t="s">
        <v>27</v>
      </c>
      <c r="G104" s="9" t="s">
        <v>27</v>
      </c>
      <c r="H104" s="11" t="n">
        <v>21</v>
      </c>
      <c r="I104" s="11" t="s">
        <v>178</v>
      </c>
      <c r="J104" s="14" t="n">
        <v>125</v>
      </c>
      <c r="K104" s="14"/>
      <c r="L104" s="16"/>
      <c r="M104" s="27" t="n">
        <f aca="false">J104+(K104/20)+(L104/240)</f>
        <v>125</v>
      </c>
      <c r="N104" s="17" t="s">
        <v>64</v>
      </c>
      <c r="O104" s="11"/>
      <c r="P104" s="28"/>
      <c r="Q104" s="28" t="str">
        <f aca="false">IF(O104&lt;&gt;"",P104*M104,"")</f>
        <v/>
      </c>
      <c r="R104" s="28"/>
      <c r="S104" s="28" t="n">
        <f aca="false">R104*$M104</f>
        <v>0</v>
      </c>
      <c r="T104" s="28"/>
      <c r="U104" s="28" t="n">
        <f aca="false">T104*$M104</f>
        <v>0</v>
      </c>
      <c r="V104" s="28"/>
      <c r="W104" s="28" t="n">
        <f aca="false">V104*$M104</f>
        <v>0</v>
      </c>
      <c r="X104" s="28" t="n">
        <f aca="false">10764/100</f>
        <v>107.64</v>
      </c>
      <c r="Y104" s="28" t="n">
        <v>13455</v>
      </c>
      <c r="Z104" s="28" t="n">
        <f aca="false">13215/100</f>
        <v>132.15</v>
      </c>
      <c r="AA104" s="28" t="n">
        <v>16519</v>
      </c>
      <c r="AB104" s="28"/>
      <c r="AC104" s="28" t="n">
        <f aca="false">AB104*$M104</f>
        <v>0</v>
      </c>
      <c r="AD104" s="28" t="n">
        <f aca="false">188461/100</f>
        <v>1884.61</v>
      </c>
      <c r="AE104" s="28" t="n">
        <v>235576</v>
      </c>
      <c r="AF104" s="28"/>
      <c r="AG104" s="28" t="n">
        <f aca="false">AF104*$M104</f>
        <v>0</v>
      </c>
      <c r="AH104" s="28"/>
      <c r="AI104" s="28" t="n">
        <f aca="false">AH104*$M104</f>
        <v>0</v>
      </c>
      <c r="AJ104" s="28"/>
      <c r="AK104" s="28" t="n">
        <f aca="false">AJ104*$M104</f>
        <v>0</v>
      </c>
      <c r="AL104" s="28"/>
      <c r="AM104" s="28" t="n">
        <f aca="false">AL104*$M104</f>
        <v>0</v>
      </c>
      <c r="AN104" s="28"/>
      <c r="AO104" s="28" t="n">
        <f aca="false">AN104*$M104</f>
        <v>0</v>
      </c>
      <c r="AP104" s="28"/>
      <c r="AQ104" s="28" t="n">
        <f aca="false">AP104*$M104</f>
        <v>0</v>
      </c>
      <c r="AR104" s="28"/>
      <c r="AS104" s="28" t="n">
        <f aca="false">AR104*$M104</f>
        <v>0</v>
      </c>
      <c r="AT104" s="28"/>
      <c r="AU104" s="28" t="n">
        <f aca="false">AT104*$M104</f>
        <v>0</v>
      </c>
      <c r="AV104" s="28"/>
      <c r="AW104" s="28" t="n">
        <f aca="false">AV104*$M104</f>
        <v>0</v>
      </c>
      <c r="AX104" s="28"/>
      <c r="AY104" s="28" t="n">
        <f aca="false">AX104*$M104</f>
        <v>0</v>
      </c>
      <c r="AZ104" s="28"/>
      <c r="BA104" s="28" t="n">
        <f aca="false">AZ104*$M104</f>
        <v>0</v>
      </c>
      <c r="BB104" s="30" t="n">
        <f aca="false">212440/100</f>
        <v>2124.4</v>
      </c>
      <c r="BC104" s="11" t="n">
        <v>265550</v>
      </c>
      <c r="BD104" s="31" t="n">
        <f aca="false">SUM(S104,U104,W104,Y104,AA104,AC104,AE104,AG104,AI104,AK104,AM104,AO104,AQ104,AS104,AU104,AW104,AY104,BA104)</f>
        <v>265550</v>
      </c>
      <c r="BE104" s="28" t="n">
        <f aca="false">BC104-BD104</f>
        <v>0</v>
      </c>
      <c r="BF104" s="32" t="n">
        <f aca="false">SUM(R104,T104,V104,X104,Z104,AB104,AD104,AF104,AH104,AJ104,AL104,AN104,AP104,AR104,AT104,AV104,AX104,AZ104)</f>
        <v>2124.4</v>
      </c>
      <c r="BG104" s="33" t="n">
        <f aca="false">BB104-BF104</f>
        <v>0</v>
      </c>
      <c r="BH104" s="34" t="n">
        <f aca="false">BF104*M104</f>
        <v>265550</v>
      </c>
      <c r="BI104" s="35" t="n">
        <f aca="false">BC104-BH104</f>
        <v>0</v>
      </c>
      <c r="BJ104" s="19" t="str">
        <f aca="false">IF(BI104=0,"",IF(BI104&lt;&gt;BC104,"erreur de calcul",IF(BF104&lt;&gt;0,"pas de prix",IF(M104&lt;&gt; 0,"pas de quantité","pas de prix, ni de quantité"))))</f>
        <v/>
      </c>
      <c r="BK104" s="19"/>
    </row>
    <row r="105" customFormat="false" ht="16" hidden="false" customHeight="false" outlineLevel="0" collapsed="false">
      <c r="A105" s="0" t="n">
        <v>26</v>
      </c>
      <c r="B105" s="8" t="s">
        <v>24</v>
      </c>
      <c r="C105" s="9" t="s">
        <v>25</v>
      </c>
      <c r="D105" s="9" t="s">
        <v>26</v>
      </c>
      <c r="E105" s="10" t="n">
        <v>1789</v>
      </c>
      <c r="F105" s="9" t="s">
        <v>27</v>
      </c>
      <c r="G105" s="9" t="s">
        <v>27</v>
      </c>
      <c r="H105" s="11" t="n">
        <v>21</v>
      </c>
      <c r="I105" s="11" t="s">
        <v>179</v>
      </c>
      <c r="J105" s="14" t="n">
        <v>7</v>
      </c>
      <c r="K105" s="14"/>
      <c r="L105" s="16"/>
      <c r="M105" s="27" t="n">
        <f aca="false">J105+(K105/20)+(L105/240)</f>
        <v>7</v>
      </c>
      <c r="N105" s="17" t="s">
        <v>66</v>
      </c>
      <c r="O105" s="11"/>
      <c r="P105" s="28"/>
      <c r="Q105" s="28" t="str">
        <f aca="false">IF(O105&lt;&gt;"",P105*M105,"")</f>
        <v/>
      </c>
      <c r="R105" s="28" t="n">
        <v>8441</v>
      </c>
      <c r="S105" s="28" t="n">
        <v>59087</v>
      </c>
      <c r="T105" s="28"/>
      <c r="U105" s="28" t="n">
        <f aca="false">T105*$M105</f>
        <v>0</v>
      </c>
      <c r="V105" s="28"/>
      <c r="W105" s="28" t="n">
        <f aca="false">V105*$M105</f>
        <v>0</v>
      </c>
      <c r="X105" s="28"/>
      <c r="Y105" s="28" t="n">
        <f aca="false">X105*$M105</f>
        <v>0</v>
      </c>
      <c r="Z105" s="28"/>
      <c r="AA105" s="28" t="n">
        <f aca="false">Z105*$M105</f>
        <v>0</v>
      </c>
      <c r="AB105" s="28" t="n">
        <v>357</v>
      </c>
      <c r="AC105" s="28" t="n">
        <v>2499</v>
      </c>
      <c r="AD105" s="28"/>
      <c r="AE105" s="28" t="n">
        <f aca="false">AD105*$M105</f>
        <v>0</v>
      </c>
      <c r="AF105" s="28"/>
      <c r="AG105" s="28" t="n">
        <f aca="false">AF105*$M105</f>
        <v>0</v>
      </c>
      <c r="AH105" s="28"/>
      <c r="AI105" s="28" t="n">
        <f aca="false">AH105*$M105</f>
        <v>0</v>
      </c>
      <c r="AJ105" s="28"/>
      <c r="AK105" s="28" t="n">
        <f aca="false">AJ105*$M105</f>
        <v>0</v>
      </c>
      <c r="AL105" s="28"/>
      <c r="AM105" s="28" t="n">
        <f aca="false">AL105*$M105</f>
        <v>0</v>
      </c>
      <c r="AN105" s="28"/>
      <c r="AO105" s="28" t="n">
        <f aca="false">AN105*$M105</f>
        <v>0</v>
      </c>
      <c r="AP105" s="28"/>
      <c r="AQ105" s="28" t="n">
        <f aca="false">AP105*$M105</f>
        <v>0</v>
      </c>
      <c r="AR105" s="28"/>
      <c r="AS105" s="28" t="n">
        <f aca="false">AR105*$M105</f>
        <v>0</v>
      </c>
      <c r="AT105" s="28"/>
      <c r="AU105" s="28" t="n">
        <f aca="false">AT105*$M105</f>
        <v>0</v>
      </c>
      <c r="AV105" s="28"/>
      <c r="AW105" s="28" t="n">
        <f aca="false">AV105*$M105</f>
        <v>0</v>
      </c>
      <c r="AX105" s="28"/>
      <c r="AY105" s="28" t="n">
        <f aca="false">AX105*$M105</f>
        <v>0</v>
      </c>
      <c r="AZ105" s="28"/>
      <c r="BA105" s="28" t="n">
        <f aca="false">AZ105*$M105</f>
        <v>0</v>
      </c>
      <c r="BB105" s="30" t="n">
        <v>8798</v>
      </c>
      <c r="BC105" s="11" t="n">
        <v>61586</v>
      </c>
      <c r="BD105" s="31" t="n">
        <f aca="false">SUM(S105,U105,W105,Y105,AA105,AC105,AE105,AG105,AI105,AK105,AM105,AO105,AQ105,AS105,AU105,AW105,AY105,BA105)</f>
        <v>61586</v>
      </c>
      <c r="BE105" s="28" t="n">
        <f aca="false">BC105-BD105</f>
        <v>0</v>
      </c>
      <c r="BF105" s="32" t="n">
        <f aca="false">SUM(R105,T105,V105,X105,Z105,AB105,AD105,AF105,AH105,AJ105,AL105,AN105,AP105,AR105,AT105,AV105,AX105,AZ105)</f>
        <v>8798</v>
      </c>
      <c r="BG105" s="33" t="n">
        <f aca="false">BB105-BF105</f>
        <v>0</v>
      </c>
      <c r="BH105" s="34" t="n">
        <f aca="false">BF105*M105</f>
        <v>61586</v>
      </c>
      <c r="BI105" s="35" t="n">
        <f aca="false">BC105-BH105</f>
        <v>0</v>
      </c>
      <c r="BJ105" s="19" t="str">
        <f aca="false">IF(BI105=0,"",IF(BI105&lt;&gt;BC105,"erreur de calcul",IF(BF105&lt;&gt;0,"pas de prix",IF(M105&lt;&gt; 0,"pas de quantité","pas de prix, ni de quantité"))))</f>
        <v/>
      </c>
      <c r="BK105" s="19"/>
    </row>
    <row r="106" customFormat="false" ht="16" hidden="false" customHeight="false" outlineLevel="0" collapsed="false">
      <c r="A106" s="0" t="n">
        <v>27</v>
      </c>
      <c r="B106" s="8" t="s">
        <v>24</v>
      </c>
      <c r="C106" s="9" t="s">
        <v>25</v>
      </c>
      <c r="D106" s="9" t="s">
        <v>26</v>
      </c>
      <c r="E106" s="10" t="n">
        <v>1789</v>
      </c>
      <c r="F106" s="9" t="s">
        <v>27</v>
      </c>
      <c r="G106" s="9" t="s">
        <v>27</v>
      </c>
      <c r="H106" s="11" t="n">
        <v>21</v>
      </c>
      <c r="I106" s="11" t="s">
        <v>180</v>
      </c>
      <c r="J106" s="14" t="n">
        <v>9</v>
      </c>
      <c r="K106" s="14"/>
      <c r="L106" s="16"/>
      <c r="M106" s="27" t="n">
        <f aca="false">J106+(K106/20)+(L106/240)</f>
        <v>9</v>
      </c>
      <c r="N106" s="17" t="s">
        <v>64</v>
      </c>
      <c r="O106" s="11"/>
      <c r="P106" s="28"/>
      <c r="Q106" s="28" t="str">
        <f aca="false">IF(O106&lt;&gt;"",P106*M106,"")</f>
        <v/>
      </c>
      <c r="R106" s="28" t="n">
        <f aca="false">22662/100</f>
        <v>226.62</v>
      </c>
      <c r="S106" s="28" t="n">
        <v>2039</v>
      </c>
      <c r="T106" s="28"/>
      <c r="U106" s="28" t="n">
        <f aca="false">T106*$M106</f>
        <v>0</v>
      </c>
      <c r="V106" s="28"/>
      <c r="W106" s="28" t="n">
        <f aca="false">V106*$M106</f>
        <v>0</v>
      </c>
      <c r="X106" s="28"/>
      <c r="Y106" s="28" t="n">
        <f aca="false">X106*$M106</f>
        <v>0</v>
      </c>
      <c r="Z106" s="28"/>
      <c r="AA106" s="28" t="n">
        <f aca="false">Z106*$M106</f>
        <v>0</v>
      </c>
      <c r="AB106" s="28"/>
      <c r="AC106" s="28" t="n">
        <f aca="false">AB106*$M106</f>
        <v>0</v>
      </c>
      <c r="AD106" s="28"/>
      <c r="AE106" s="28" t="n">
        <f aca="false">AD106*$M106</f>
        <v>0</v>
      </c>
      <c r="AF106" s="28"/>
      <c r="AG106" s="28" t="n">
        <f aca="false">AF106*$M106</f>
        <v>0</v>
      </c>
      <c r="AH106" s="28"/>
      <c r="AI106" s="28" t="n">
        <f aca="false">AH106*$M106</f>
        <v>0</v>
      </c>
      <c r="AJ106" s="28"/>
      <c r="AK106" s="28" t="n">
        <f aca="false">AJ106*$M106</f>
        <v>0</v>
      </c>
      <c r="AL106" s="28"/>
      <c r="AM106" s="28" t="n">
        <f aca="false">AL106*$M106</f>
        <v>0</v>
      </c>
      <c r="AN106" s="28"/>
      <c r="AO106" s="28" t="n">
        <f aca="false">AN106*$M106</f>
        <v>0</v>
      </c>
      <c r="AP106" s="28"/>
      <c r="AQ106" s="28" t="n">
        <f aca="false">AP106*$M106</f>
        <v>0</v>
      </c>
      <c r="AR106" s="28"/>
      <c r="AS106" s="28" t="n">
        <f aca="false">AR106*$M106</f>
        <v>0</v>
      </c>
      <c r="AT106" s="28"/>
      <c r="AU106" s="28" t="n">
        <f aca="false">AT106*$M106</f>
        <v>0</v>
      </c>
      <c r="AV106" s="28"/>
      <c r="AW106" s="28" t="n">
        <f aca="false">AV106*$M106</f>
        <v>0</v>
      </c>
      <c r="AX106" s="28"/>
      <c r="AY106" s="28" t="n">
        <f aca="false">AX106*$M106</f>
        <v>0</v>
      </c>
      <c r="AZ106" s="28"/>
      <c r="BA106" s="28" t="n">
        <f aca="false">AZ106*$M106</f>
        <v>0</v>
      </c>
      <c r="BB106" s="30" t="n">
        <f aca="false">22662/100</f>
        <v>226.62</v>
      </c>
      <c r="BC106" s="11" t="n">
        <v>2039</v>
      </c>
      <c r="BD106" s="31" t="n">
        <f aca="false">SUM(S106,U106,W106,Y106,AA106,AC106,AE106,AG106,AI106,AK106,AM106,AO106,AQ106,AS106,AU106,AW106,AY106,BA106)</f>
        <v>2039</v>
      </c>
      <c r="BE106" s="28" t="n">
        <f aca="false">BC106-BD106</f>
        <v>0</v>
      </c>
      <c r="BF106" s="32" t="n">
        <f aca="false">SUM(R106,T106,V106,X106,Z106,AB106,AD106,AF106,AH106,AJ106,AL106,AN106,AP106,AR106,AT106,AV106,AX106,AZ106)</f>
        <v>226.62</v>
      </c>
      <c r="BG106" s="33" t="n">
        <f aca="false">BB106-BF106</f>
        <v>0</v>
      </c>
      <c r="BH106" s="34" t="n">
        <f aca="false">BF106*M106</f>
        <v>2039.58</v>
      </c>
      <c r="BI106" s="35" t="n">
        <f aca="false">BC106-BH106</f>
        <v>-0.579999999999927</v>
      </c>
      <c r="BJ106" s="19" t="str">
        <f aca="false">IF(BI106=0,"",IF(BI106&lt;&gt;BC106,"erreur de calcul",IF(BF106&lt;&gt;0,"pas de prix",IF(M106&lt;&gt; 0,"pas de quantité","pas de prix, ni de quantité"))))</f>
        <v>erreur de calcul</v>
      </c>
      <c r="BK106" s="19"/>
    </row>
    <row r="107" customFormat="false" ht="16" hidden="false" customHeight="false" outlineLevel="0" collapsed="false">
      <c r="A107" s="0" t="n">
        <v>28</v>
      </c>
      <c r="B107" s="8" t="s">
        <v>24</v>
      </c>
      <c r="C107" s="9" t="s">
        <v>25</v>
      </c>
      <c r="D107" s="9" t="s">
        <v>26</v>
      </c>
      <c r="E107" s="10" t="n">
        <v>1789</v>
      </c>
      <c r="F107" s="9" t="s">
        <v>27</v>
      </c>
      <c r="G107" s="9" t="s">
        <v>27</v>
      </c>
      <c r="H107" s="11" t="n">
        <v>21</v>
      </c>
      <c r="I107" s="11" t="s">
        <v>181</v>
      </c>
      <c r="J107" s="14" t="n">
        <v>8</v>
      </c>
      <c r="K107" s="14" t="n">
        <v>10</v>
      </c>
      <c r="L107" s="16"/>
      <c r="M107" s="27" t="n">
        <f aca="false">J107+(K107/20)+(L107/240)</f>
        <v>8.5</v>
      </c>
      <c r="N107" s="17" t="s">
        <v>66</v>
      </c>
      <c r="O107" s="11"/>
      <c r="P107" s="28"/>
      <c r="Q107" s="28" t="str">
        <f aca="false">IF(O107&lt;&gt;"",P107*M107,"")</f>
        <v/>
      </c>
      <c r="R107" s="28" t="n">
        <v>1770</v>
      </c>
      <c r="S107" s="28" t="n">
        <v>15045</v>
      </c>
      <c r="T107" s="28"/>
      <c r="U107" s="28" t="n">
        <f aca="false">T107*$M107</f>
        <v>0</v>
      </c>
      <c r="V107" s="28"/>
      <c r="W107" s="28" t="n">
        <f aca="false">V107*$M107</f>
        <v>0</v>
      </c>
      <c r="X107" s="28"/>
      <c r="Y107" s="28" t="n">
        <f aca="false">X107*$M107</f>
        <v>0</v>
      </c>
      <c r="Z107" s="28"/>
      <c r="AA107" s="28" t="n">
        <f aca="false">Z107*$M107</f>
        <v>0</v>
      </c>
      <c r="AB107" s="28"/>
      <c r="AC107" s="28" t="n">
        <f aca="false">AB107*$M107</f>
        <v>0</v>
      </c>
      <c r="AD107" s="28"/>
      <c r="AE107" s="28" t="n">
        <f aca="false">AD107*$M107</f>
        <v>0</v>
      </c>
      <c r="AF107" s="28"/>
      <c r="AG107" s="28" t="n">
        <f aca="false">AF107*$M107</f>
        <v>0</v>
      </c>
      <c r="AH107" s="28"/>
      <c r="AI107" s="28" t="n">
        <f aca="false">AH107*$M107</f>
        <v>0</v>
      </c>
      <c r="AJ107" s="28" t="n">
        <v>323</v>
      </c>
      <c r="AK107" s="28" t="n">
        <v>2745</v>
      </c>
      <c r="AL107" s="28"/>
      <c r="AM107" s="28" t="n">
        <f aca="false">AL107*$M107</f>
        <v>0</v>
      </c>
      <c r="AN107" s="28"/>
      <c r="AO107" s="28" t="n">
        <f aca="false">AN107*$M107</f>
        <v>0</v>
      </c>
      <c r="AP107" s="28"/>
      <c r="AQ107" s="28" t="n">
        <f aca="false">AP107*$M107</f>
        <v>0</v>
      </c>
      <c r="AR107" s="28"/>
      <c r="AS107" s="28" t="n">
        <f aca="false">AR107*$M107</f>
        <v>0</v>
      </c>
      <c r="AT107" s="28"/>
      <c r="AU107" s="28" t="n">
        <f aca="false">AT107*$M107</f>
        <v>0</v>
      </c>
      <c r="AV107" s="28"/>
      <c r="AW107" s="28" t="n">
        <f aca="false">AV107*$M107</f>
        <v>0</v>
      </c>
      <c r="AX107" s="28"/>
      <c r="AY107" s="28" t="n">
        <f aca="false">AX107*$M107</f>
        <v>0</v>
      </c>
      <c r="AZ107" s="28"/>
      <c r="BA107" s="28" t="n">
        <f aca="false">AZ107*$M107</f>
        <v>0</v>
      </c>
      <c r="BB107" s="30" t="n">
        <v>2093</v>
      </c>
      <c r="BC107" s="11" t="n">
        <v>17790</v>
      </c>
      <c r="BD107" s="31" t="n">
        <f aca="false">SUM(S107,U107,W107,Y107,AA107,AC107,AE107,AG107,AI107,AK107,AM107,AO107,AQ107,AS107,AU107,AW107,AY107,BA107)</f>
        <v>17790</v>
      </c>
      <c r="BE107" s="28" t="n">
        <f aca="false">BC107-BD107</f>
        <v>0</v>
      </c>
      <c r="BF107" s="32" t="n">
        <f aca="false">SUM(R107,T107,V107,X107,Z107,AB107,AD107,AF107,AH107,AJ107,AL107,AN107,AP107,AR107,AT107,AV107,AX107,AZ107)</f>
        <v>2093</v>
      </c>
      <c r="BG107" s="33" t="n">
        <f aca="false">BB107-BF107</f>
        <v>0</v>
      </c>
      <c r="BH107" s="34" t="n">
        <f aca="false">BF107*M107</f>
        <v>17790.5</v>
      </c>
      <c r="BI107" s="35" t="n">
        <f aca="false">BC107-BH107</f>
        <v>-0.5</v>
      </c>
      <c r="BJ107" s="19" t="str">
        <f aca="false">IF(BI107=0,"",IF(BI107&lt;&gt;BC107,"erreur de calcul",IF(BF107&lt;&gt;0,"pas de prix",IF(M107&lt;&gt; 0,"pas de quantité","pas de prix, ni de quantité"))))</f>
        <v>erreur de calcul</v>
      </c>
      <c r="BK107" s="19"/>
    </row>
    <row r="108" customFormat="false" ht="16" hidden="false" customHeight="false" outlineLevel="0" collapsed="false">
      <c r="A108" s="0" t="n">
        <v>29</v>
      </c>
      <c r="B108" s="8" t="s">
        <v>24</v>
      </c>
      <c r="C108" s="9" t="s">
        <v>25</v>
      </c>
      <c r="D108" s="9" t="s">
        <v>26</v>
      </c>
      <c r="E108" s="10" t="n">
        <v>1789</v>
      </c>
      <c r="F108" s="9" t="s">
        <v>27</v>
      </c>
      <c r="G108" s="9" t="s">
        <v>27</v>
      </c>
      <c r="H108" s="11" t="n">
        <v>21</v>
      </c>
      <c r="I108" s="11" t="s">
        <v>182</v>
      </c>
      <c r="J108" s="14" t="n">
        <v>24</v>
      </c>
      <c r="K108" s="14"/>
      <c r="L108" s="16"/>
      <c r="M108" s="27" t="n">
        <f aca="false">J108+(K108/20)+(L108/240)</f>
        <v>24</v>
      </c>
      <c r="N108" s="17" t="s">
        <v>66</v>
      </c>
      <c r="O108" s="11"/>
      <c r="P108" s="28"/>
      <c r="Q108" s="28" t="str">
        <f aca="false">IF(O108&lt;&gt;"",P108*M108,"")</f>
        <v/>
      </c>
      <c r="R108" s="28" t="n">
        <v>478</v>
      </c>
      <c r="S108" s="28" t="n">
        <v>11472</v>
      </c>
      <c r="T108" s="28"/>
      <c r="U108" s="28" t="n">
        <f aca="false">T108*$M108</f>
        <v>0</v>
      </c>
      <c r="V108" s="28" t="n">
        <v>38</v>
      </c>
      <c r="W108" s="28" t="n">
        <v>912</v>
      </c>
      <c r="X108" s="28"/>
      <c r="Y108" s="28" t="n">
        <f aca="false">X108*$M108</f>
        <v>0</v>
      </c>
      <c r="Z108" s="28"/>
      <c r="AA108" s="28" t="n">
        <f aca="false">Z108*$M108</f>
        <v>0</v>
      </c>
      <c r="AB108" s="28"/>
      <c r="AC108" s="28" t="n">
        <f aca="false">AB108*$M108</f>
        <v>0</v>
      </c>
      <c r="AD108" s="28"/>
      <c r="AE108" s="28" t="n">
        <f aca="false">AD108*$M108</f>
        <v>0</v>
      </c>
      <c r="AF108" s="28"/>
      <c r="AG108" s="28" t="n">
        <f aca="false">AF108*$M108</f>
        <v>0</v>
      </c>
      <c r="AH108" s="28"/>
      <c r="AI108" s="28" t="n">
        <f aca="false">AH108*$M108</f>
        <v>0</v>
      </c>
      <c r="AJ108" s="28"/>
      <c r="AK108" s="28" t="n">
        <f aca="false">AJ108*$M108</f>
        <v>0</v>
      </c>
      <c r="AL108" s="28"/>
      <c r="AM108" s="28" t="n">
        <f aca="false">AL108*$M108</f>
        <v>0</v>
      </c>
      <c r="AN108" s="28"/>
      <c r="AO108" s="28" t="n">
        <f aca="false">AN108*$M108</f>
        <v>0</v>
      </c>
      <c r="AP108" s="28"/>
      <c r="AQ108" s="28" t="n">
        <f aca="false">AP108*$M108</f>
        <v>0</v>
      </c>
      <c r="AR108" s="28"/>
      <c r="AS108" s="28" t="n">
        <f aca="false">AR108*$M108</f>
        <v>0</v>
      </c>
      <c r="AT108" s="28"/>
      <c r="AU108" s="28" t="n">
        <f aca="false">AT108*$M108</f>
        <v>0</v>
      </c>
      <c r="AV108" s="28"/>
      <c r="AW108" s="28" t="n">
        <f aca="false">AV108*$M108</f>
        <v>0</v>
      </c>
      <c r="AX108" s="28"/>
      <c r="AY108" s="28" t="n">
        <f aca="false">AX108*$M108</f>
        <v>0</v>
      </c>
      <c r="AZ108" s="28"/>
      <c r="BA108" s="28" t="n">
        <f aca="false">AZ108*$M108</f>
        <v>0</v>
      </c>
      <c r="BB108" s="30" t="n">
        <v>516</v>
      </c>
      <c r="BC108" s="11" t="n">
        <v>12384</v>
      </c>
      <c r="BD108" s="31" t="n">
        <f aca="false">SUM(S108,U108,W108,Y108,AA108,AC108,AE108,AG108,AI108,AK108,AM108,AO108,AQ108,AS108,AU108,AW108,AY108,BA108)</f>
        <v>12384</v>
      </c>
      <c r="BE108" s="28" t="n">
        <f aca="false">BC108-BD108</f>
        <v>0</v>
      </c>
      <c r="BF108" s="32" t="n">
        <f aca="false">SUM(R108,T108,V108,X108,Z108,AB108,AD108,AF108,AH108,AJ108,AL108,AN108,AP108,AR108,AT108,AV108,AX108,AZ108)</f>
        <v>516</v>
      </c>
      <c r="BG108" s="33" t="n">
        <f aca="false">BB108-BF108</f>
        <v>0</v>
      </c>
      <c r="BH108" s="34" t="n">
        <f aca="false">BF108*M108</f>
        <v>12384</v>
      </c>
      <c r="BI108" s="35" t="n">
        <f aca="false">BC108-BH108</f>
        <v>0</v>
      </c>
      <c r="BJ108" s="19" t="str">
        <f aca="false">IF(BI108=0,"",IF(BI108&lt;&gt;BC108,"erreur de calcul",IF(BF108&lt;&gt;0,"pas de prix",IF(M108&lt;&gt; 0,"pas de quantité","pas de prix, ni de quantité"))))</f>
        <v/>
      </c>
      <c r="BK108" s="19"/>
    </row>
    <row r="109" customFormat="false" ht="16" hidden="false" customHeight="false" outlineLevel="0" collapsed="false">
      <c r="A109" s="0" t="n">
        <v>30</v>
      </c>
      <c r="B109" s="8" t="s">
        <v>24</v>
      </c>
      <c r="C109" s="9" t="s">
        <v>25</v>
      </c>
      <c r="D109" s="9" t="s">
        <v>26</v>
      </c>
      <c r="E109" s="10" t="n">
        <v>1789</v>
      </c>
      <c r="F109" s="9" t="s">
        <v>27</v>
      </c>
      <c r="G109" s="9" t="s">
        <v>27</v>
      </c>
      <c r="H109" s="11" t="n">
        <v>21</v>
      </c>
      <c r="I109" s="11" t="s">
        <v>183</v>
      </c>
      <c r="J109" s="14" t="n">
        <v>240</v>
      </c>
      <c r="K109" s="14"/>
      <c r="L109" s="16"/>
      <c r="M109" s="27" t="n">
        <f aca="false">J109+(K109/20)+(L109/240)</f>
        <v>240</v>
      </c>
      <c r="N109" s="17" t="s">
        <v>64</v>
      </c>
      <c r="O109" s="11"/>
      <c r="P109" s="28"/>
      <c r="Q109" s="28" t="str">
        <f aca="false">IF(O109&lt;&gt;"",P109*M109,"")</f>
        <v/>
      </c>
      <c r="R109" s="28" t="n">
        <f aca="false">52196/100</f>
        <v>521.96</v>
      </c>
      <c r="S109" s="28" t="n">
        <v>125270</v>
      </c>
      <c r="T109" s="28" t="n">
        <f aca="false">29767/100</f>
        <v>297.67</v>
      </c>
      <c r="U109" s="28" t="n">
        <v>71441</v>
      </c>
      <c r="V109" s="28"/>
      <c r="W109" s="28" t="n">
        <f aca="false">V109*$M109</f>
        <v>0</v>
      </c>
      <c r="X109" s="28"/>
      <c r="Y109" s="28" t="n">
        <f aca="false">X109*$M109</f>
        <v>0</v>
      </c>
      <c r="Z109" s="28"/>
      <c r="AA109" s="28" t="n">
        <f aca="false">Z109*$M109</f>
        <v>0</v>
      </c>
      <c r="AB109" s="28"/>
      <c r="AC109" s="28" t="n">
        <f aca="false">AB109*$M109</f>
        <v>0</v>
      </c>
      <c r="AD109" s="28"/>
      <c r="AE109" s="28" t="n">
        <f aca="false">AD109*$M109</f>
        <v>0</v>
      </c>
      <c r="AF109" s="28"/>
      <c r="AG109" s="28" t="n">
        <f aca="false">AF109*$M109</f>
        <v>0</v>
      </c>
      <c r="AH109" s="28"/>
      <c r="AI109" s="28" t="n">
        <f aca="false">AH109*$M109</f>
        <v>0</v>
      </c>
      <c r="AJ109" s="28"/>
      <c r="AK109" s="28" t="n">
        <f aca="false">AJ109*$M109</f>
        <v>0</v>
      </c>
      <c r="AL109" s="28"/>
      <c r="AM109" s="28" t="n">
        <f aca="false">AL109*$M109</f>
        <v>0</v>
      </c>
      <c r="AN109" s="28"/>
      <c r="AO109" s="28" t="n">
        <f aca="false">AN109*$M109</f>
        <v>0</v>
      </c>
      <c r="AP109" s="28"/>
      <c r="AQ109" s="28" t="n">
        <f aca="false">AP109*$M109</f>
        <v>0</v>
      </c>
      <c r="AR109" s="28"/>
      <c r="AS109" s="28" t="n">
        <f aca="false">AR109*$M109</f>
        <v>0</v>
      </c>
      <c r="AT109" s="28"/>
      <c r="AU109" s="28" t="n">
        <f aca="false">AT109*$M109</f>
        <v>0</v>
      </c>
      <c r="AV109" s="28"/>
      <c r="AW109" s="28" t="n">
        <f aca="false">AV109*$M109</f>
        <v>0</v>
      </c>
      <c r="AX109" s="28"/>
      <c r="AY109" s="28" t="n">
        <f aca="false">AX109*$M109</f>
        <v>0</v>
      </c>
      <c r="AZ109" s="28"/>
      <c r="BA109" s="28" t="n">
        <f aca="false">AZ109*$M109</f>
        <v>0</v>
      </c>
      <c r="BB109" s="30" t="n">
        <f aca="false">81963/100</f>
        <v>819.63</v>
      </c>
      <c r="BC109" s="11" t="n">
        <v>196711</v>
      </c>
      <c r="BD109" s="31" t="n">
        <f aca="false">SUM(S109,U109,W109,Y109,AA109,AC109,AE109,AG109,AI109,AK109,AM109,AO109,AQ109,AS109,AU109,AW109,AY109,BA109)</f>
        <v>196711</v>
      </c>
      <c r="BE109" s="28" t="n">
        <f aca="false">BC109-BD109</f>
        <v>0</v>
      </c>
      <c r="BF109" s="32" t="n">
        <f aca="false">SUM(R109,T109,V109,X109,Z109,AB109,AD109,AF109,AH109,AJ109,AL109,AN109,AP109,AR109,AT109,AV109,AX109,AZ109)</f>
        <v>819.63</v>
      </c>
      <c r="BG109" s="33" t="n">
        <f aca="false">BB109-BF109</f>
        <v>0</v>
      </c>
      <c r="BH109" s="34" t="n">
        <f aca="false">BF109*M109</f>
        <v>196711.2</v>
      </c>
      <c r="BI109" s="35" t="n">
        <f aca="false">BC109-BH109</f>
        <v>-0.200000000011642</v>
      </c>
      <c r="BJ109" s="19" t="str">
        <f aca="false">IF(BI109=0,"",IF(BI109&lt;&gt;BC109,"erreur de calcul",IF(BF109&lt;&gt;0,"pas de prix",IF(M109&lt;&gt; 0,"pas de quantité","pas de prix, ni de quantité"))))</f>
        <v>erreur de calcul</v>
      </c>
      <c r="BK109" s="19"/>
    </row>
    <row r="110" customFormat="false" ht="16" hidden="false" customHeight="false" outlineLevel="0" collapsed="false">
      <c r="A110" s="0" t="n">
        <v>31</v>
      </c>
      <c r="B110" s="8" t="s">
        <v>24</v>
      </c>
      <c r="C110" s="9" t="s">
        <v>25</v>
      </c>
      <c r="D110" s="9" t="s">
        <v>26</v>
      </c>
      <c r="E110" s="10" t="n">
        <v>1789</v>
      </c>
      <c r="F110" s="9" t="s">
        <v>27</v>
      </c>
      <c r="G110" s="9" t="s">
        <v>27</v>
      </c>
      <c r="H110" s="11" t="n">
        <v>21</v>
      </c>
      <c r="I110" s="11" t="s">
        <v>184</v>
      </c>
      <c r="J110" s="14" t="n">
        <v>13</v>
      </c>
      <c r="K110" s="14"/>
      <c r="L110" s="16"/>
      <c r="M110" s="27" t="n">
        <f aca="false">J110+(K110/20)+(L110/240)</f>
        <v>13</v>
      </c>
      <c r="N110" s="17" t="s">
        <v>66</v>
      </c>
      <c r="O110" s="11"/>
      <c r="P110" s="28"/>
      <c r="Q110" s="28" t="str">
        <f aca="false">IF(O110&lt;&gt;"",P110*M110,"")</f>
        <v/>
      </c>
      <c r="R110" s="28"/>
      <c r="S110" s="28" t="n">
        <f aca="false">R110*$M110</f>
        <v>0</v>
      </c>
      <c r="T110" s="28"/>
      <c r="U110" s="28" t="n">
        <f aca="false">T110*$M110</f>
        <v>0</v>
      </c>
      <c r="V110" s="28"/>
      <c r="W110" s="28" t="n">
        <f aca="false">V110*$M110</f>
        <v>0</v>
      </c>
      <c r="X110" s="28"/>
      <c r="Y110" s="28" t="n">
        <f aca="false">X110*$M110</f>
        <v>0</v>
      </c>
      <c r="Z110" s="28"/>
      <c r="AA110" s="28" t="n">
        <f aca="false">Z110*$M110</f>
        <v>0</v>
      </c>
      <c r="AB110" s="28"/>
      <c r="AC110" s="28" t="n">
        <f aca="false">AB110*$M110</f>
        <v>0</v>
      </c>
      <c r="AD110" s="28"/>
      <c r="AE110" s="28" t="n">
        <f aca="false">AD110*$M110</f>
        <v>0</v>
      </c>
      <c r="AF110" s="28"/>
      <c r="AG110" s="28" t="n">
        <f aca="false">AF110*$M110</f>
        <v>0</v>
      </c>
      <c r="AH110" s="28"/>
      <c r="AI110" s="28" t="n">
        <f aca="false">AH110*$M110</f>
        <v>0</v>
      </c>
      <c r="AJ110" s="28" t="n">
        <v>354</v>
      </c>
      <c r="AK110" s="28" t="n">
        <v>4602</v>
      </c>
      <c r="AL110" s="28"/>
      <c r="AM110" s="28" t="n">
        <f aca="false">AL110*$M110</f>
        <v>0</v>
      </c>
      <c r="AN110" s="28"/>
      <c r="AO110" s="28" t="n">
        <f aca="false">AN110*$M110</f>
        <v>0</v>
      </c>
      <c r="AP110" s="28"/>
      <c r="AQ110" s="28" t="n">
        <f aca="false">AP110*$M110</f>
        <v>0</v>
      </c>
      <c r="AR110" s="28"/>
      <c r="AS110" s="28" t="n">
        <f aca="false">AR110*$M110</f>
        <v>0</v>
      </c>
      <c r="AT110" s="28"/>
      <c r="AU110" s="28" t="n">
        <f aca="false">AT110*$M110</f>
        <v>0</v>
      </c>
      <c r="AV110" s="28"/>
      <c r="AW110" s="28" t="n">
        <f aca="false">AV110*$M110</f>
        <v>0</v>
      </c>
      <c r="AX110" s="28"/>
      <c r="AY110" s="28" t="n">
        <f aca="false">AX110*$M110</f>
        <v>0</v>
      </c>
      <c r="AZ110" s="28"/>
      <c r="BA110" s="28" t="n">
        <f aca="false">AZ110*$M110</f>
        <v>0</v>
      </c>
      <c r="BB110" s="30" t="n">
        <v>354</v>
      </c>
      <c r="BC110" s="11" t="n">
        <v>4602</v>
      </c>
      <c r="BD110" s="31" t="n">
        <f aca="false">SUM(S110,U110,W110,Y110,AA110,AC110,AE110,AG110,AI110,AK110,AM110,AO110,AQ110,AS110,AU110,AW110,AY110,BA110)</f>
        <v>4602</v>
      </c>
      <c r="BE110" s="28" t="n">
        <f aca="false">BC110-BD110</f>
        <v>0</v>
      </c>
      <c r="BF110" s="32" t="n">
        <f aca="false">SUM(R110,T110,V110,X110,Z110,AB110,AD110,AF110,AH110,AJ110,AL110,AN110,AP110,AR110,AT110,AV110,AX110,AZ110)</f>
        <v>354</v>
      </c>
      <c r="BG110" s="33" t="n">
        <f aca="false">BB110-BF110</f>
        <v>0</v>
      </c>
      <c r="BH110" s="34" t="n">
        <f aca="false">BF110*M110</f>
        <v>4602</v>
      </c>
      <c r="BI110" s="35" t="n">
        <f aca="false">BC110-BH110</f>
        <v>0</v>
      </c>
      <c r="BJ110" s="19" t="str">
        <f aca="false">IF(BI110=0,"",IF(BI110&lt;&gt;BC110,"erreur de calcul",IF(BF110&lt;&gt;0,"pas de prix",IF(M110&lt;&gt; 0,"pas de quantité","pas de prix, ni de quantité"))))</f>
        <v/>
      </c>
      <c r="BK110" s="19"/>
    </row>
    <row r="111" customFormat="false" ht="16" hidden="false" customHeight="false" outlineLevel="0" collapsed="false">
      <c r="A111" s="0" t="n">
        <v>32</v>
      </c>
      <c r="B111" s="8" t="s">
        <v>24</v>
      </c>
      <c r="C111" s="9" t="s">
        <v>25</v>
      </c>
      <c r="D111" s="9" t="s">
        <v>26</v>
      </c>
      <c r="E111" s="10" t="n">
        <v>1789</v>
      </c>
      <c r="F111" s="9" t="s">
        <v>27</v>
      </c>
      <c r="G111" s="9" t="s">
        <v>27</v>
      </c>
      <c r="H111" s="11" t="n">
        <v>21</v>
      </c>
      <c r="I111" s="11" t="s">
        <v>185</v>
      </c>
      <c r="J111" s="14" t="n">
        <v>245</v>
      </c>
      <c r="K111" s="14"/>
      <c r="L111" s="16"/>
      <c r="M111" s="27" t="n">
        <f aca="false">J111+(K111/20)+(L111/240)</f>
        <v>245</v>
      </c>
      <c r="N111" s="17" t="s">
        <v>64</v>
      </c>
      <c r="O111" s="11"/>
      <c r="P111" s="28"/>
      <c r="Q111" s="28" t="str">
        <f aca="false">IF(O111&lt;&gt;"",P111*M111,"")</f>
        <v/>
      </c>
      <c r="R111" s="28"/>
      <c r="S111" s="28" t="n">
        <f aca="false">R111*$M111</f>
        <v>0</v>
      </c>
      <c r="T111" s="28"/>
      <c r="U111" s="28" t="n">
        <f aca="false">T111*$M111</f>
        <v>0</v>
      </c>
      <c r="V111" s="28"/>
      <c r="W111" s="28" t="n">
        <f aca="false">V111*$M111</f>
        <v>0</v>
      </c>
      <c r="X111" s="28" t="n">
        <f aca="false">720/100</f>
        <v>7.2</v>
      </c>
      <c r="Y111" s="28" t="n">
        <v>1764</v>
      </c>
      <c r="Z111" s="28" t="n">
        <f aca="false">40366/100</f>
        <v>403.66</v>
      </c>
      <c r="AA111" s="28" t="n">
        <v>98897</v>
      </c>
      <c r="AB111" s="28"/>
      <c r="AC111" s="28" t="n">
        <f aca="false">AB111*$M111</f>
        <v>0</v>
      </c>
      <c r="AD111" s="28"/>
      <c r="AE111" s="28" t="n">
        <f aca="false">AD111*$M111</f>
        <v>0</v>
      </c>
      <c r="AF111" s="28"/>
      <c r="AG111" s="28" t="n">
        <f aca="false">AF111*$M111</f>
        <v>0</v>
      </c>
      <c r="AH111" s="28"/>
      <c r="AI111" s="28" t="n">
        <f aca="false">AH111*$M111</f>
        <v>0</v>
      </c>
      <c r="AJ111" s="28" t="n">
        <f aca="false">83243/100</f>
        <v>832.43</v>
      </c>
      <c r="AK111" s="28" t="n">
        <v>203945</v>
      </c>
      <c r="AL111" s="28"/>
      <c r="AM111" s="28" t="n">
        <f aca="false">AL111*$M111</f>
        <v>0</v>
      </c>
      <c r="AN111" s="28"/>
      <c r="AO111" s="28" t="n">
        <f aca="false">AN111*$M111</f>
        <v>0</v>
      </c>
      <c r="AP111" s="28"/>
      <c r="AQ111" s="28" t="n">
        <f aca="false">AP111*$M111</f>
        <v>0</v>
      </c>
      <c r="AR111" s="28"/>
      <c r="AS111" s="28" t="n">
        <f aca="false">AR111*$M111</f>
        <v>0</v>
      </c>
      <c r="AT111" s="28"/>
      <c r="AU111" s="28" t="n">
        <f aca="false">AT111*$M111</f>
        <v>0</v>
      </c>
      <c r="AV111" s="28"/>
      <c r="AW111" s="28" t="n">
        <f aca="false">AV111*$M111</f>
        <v>0</v>
      </c>
      <c r="AX111" s="28"/>
      <c r="AY111" s="28" t="n">
        <f aca="false">AX111*$M111</f>
        <v>0</v>
      </c>
      <c r="AZ111" s="28"/>
      <c r="BA111" s="28" t="n">
        <f aca="false">AZ111*$M111</f>
        <v>0</v>
      </c>
      <c r="BB111" s="30" t="n">
        <f aca="false">124329/100</f>
        <v>1243.29</v>
      </c>
      <c r="BC111" s="11" t="n">
        <v>304606</v>
      </c>
      <c r="BD111" s="31" t="n">
        <f aca="false">SUM(S111,U111,W111,Y111,AA111,AC111,AE111,AG111,AI111,AK111,AM111,AO111,AQ111,AS111,AU111,AW111,AY111,BA111)</f>
        <v>304606</v>
      </c>
      <c r="BE111" s="28" t="n">
        <f aca="false">BC111-BD111</f>
        <v>0</v>
      </c>
      <c r="BF111" s="32" t="n">
        <f aca="false">SUM(R111,T111,V111,X111,Z111,AB111,AD111,AF111,AH111,AJ111,AL111,AN111,AP111,AR111,AT111,AV111,AX111,AZ111)</f>
        <v>1243.29</v>
      </c>
      <c r="BG111" s="33" t="n">
        <f aca="false">BB111-BF111</f>
        <v>0</v>
      </c>
      <c r="BH111" s="34" t="n">
        <f aca="false">BF111*M111</f>
        <v>304606.05</v>
      </c>
      <c r="BI111" s="35" t="n">
        <f aca="false">BC111-BH111</f>
        <v>-0.0499999999883585</v>
      </c>
      <c r="BJ111" s="19" t="str">
        <f aca="false">IF(BI111=0,"",IF(BI111&lt;&gt;BC111,"erreur de calcul",IF(BF111&lt;&gt;0,"pas de prix",IF(M111&lt;&gt; 0,"pas de quantité","pas de prix, ni de quantité"))))</f>
        <v>erreur de calcul</v>
      </c>
      <c r="BK111" s="19"/>
    </row>
    <row r="112" customFormat="false" ht="16" hidden="false" customHeight="false" outlineLevel="0" collapsed="false">
      <c r="A112" s="0" t="n">
        <v>33</v>
      </c>
      <c r="B112" s="8" t="s">
        <v>24</v>
      </c>
      <c r="C112" s="9" t="s">
        <v>25</v>
      </c>
      <c r="D112" s="9" t="s">
        <v>26</v>
      </c>
      <c r="E112" s="10" t="n">
        <v>1789</v>
      </c>
      <c r="F112" s="9" t="s">
        <v>27</v>
      </c>
      <c r="G112" s="9" t="s">
        <v>27</v>
      </c>
      <c r="H112" s="11" t="n">
        <v>21</v>
      </c>
      <c r="I112" s="11" t="s">
        <v>186</v>
      </c>
      <c r="J112" s="14" t="n">
        <v>240</v>
      </c>
      <c r="K112" s="14"/>
      <c r="L112" s="16"/>
      <c r="M112" s="27" t="n">
        <f aca="false">J112+(K112/20)+(L112/240)</f>
        <v>240</v>
      </c>
      <c r="N112" s="17" t="s">
        <v>64</v>
      </c>
      <c r="O112" s="11"/>
      <c r="P112" s="28"/>
      <c r="Q112" s="28" t="str">
        <f aca="false">IF(O112&lt;&gt;"",P112*M112,"")</f>
        <v/>
      </c>
      <c r="R112" s="28"/>
      <c r="S112" s="28" t="n">
        <f aca="false">R112*$M112</f>
        <v>0</v>
      </c>
      <c r="T112" s="28"/>
      <c r="U112" s="28" t="n">
        <f aca="false">T112*$M112</f>
        <v>0</v>
      </c>
      <c r="V112" s="28"/>
      <c r="W112" s="28" t="n">
        <f aca="false">V112*$M112</f>
        <v>0</v>
      </c>
      <c r="X112" s="28"/>
      <c r="Y112" s="28" t="n">
        <f aca="false">X112*$M112</f>
        <v>0</v>
      </c>
      <c r="Z112" s="28"/>
      <c r="AA112" s="28" t="n">
        <f aca="false">Z112*$M112</f>
        <v>0</v>
      </c>
      <c r="AB112" s="28"/>
      <c r="AC112" s="28" t="n">
        <f aca="false">AB112*$M112</f>
        <v>0</v>
      </c>
      <c r="AD112" s="28"/>
      <c r="AE112" s="28" t="n">
        <f aca="false">AD112*$M112</f>
        <v>0</v>
      </c>
      <c r="AF112" s="28"/>
      <c r="AG112" s="28" t="n">
        <f aca="false">AF112*$M112</f>
        <v>0</v>
      </c>
      <c r="AH112" s="28"/>
      <c r="AI112" s="28" t="n">
        <f aca="false">AH112*$M112</f>
        <v>0</v>
      </c>
      <c r="AJ112" s="28" t="n">
        <f aca="false">803/100</f>
        <v>8.03</v>
      </c>
      <c r="AK112" s="28" t="n">
        <v>1927</v>
      </c>
      <c r="AL112" s="28"/>
      <c r="AM112" s="28" t="n">
        <f aca="false">AL112*$M112</f>
        <v>0</v>
      </c>
      <c r="AN112" s="28"/>
      <c r="AO112" s="28" t="n">
        <f aca="false">AN112*$M112</f>
        <v>0</v>
      </c>
      <c r="AP112" s="28"/>
      <c r="AQ112" s="28" t="n">
        <f aca="false">AP112*$M112</f>
        <v>0</v>
      </c>
      <c r="AR112" s="28"/>
      <c r="AS112" s="28" t="n">
        <f aca="false">AR112*$M112</f>
        <v>0</v>
      </c>
      <c r="AT112" s="28"/>
      <c r="AU112" s="28" t="n">
        <f aca="false">AT112*$M112</f>
        <v>0</v>
      </c>
      <c r="AV112" s="28"/>
      <c r="AW112" s="28" t="n">
        <f aca="false">AV112*$M112</f>
        <v>0</v>
      </c>
      <c r="AX112" s="28"/>
      <c r="AY112" s="28" t="n">
        <f aca="false">AX112*$M112</f>
        <v>0</v>
      </c>
      <c r="AZ112" s="28"/>
      <c r="BA112" s="28" t="n">
        <f aca="false">AZ112*$M112</f>
        <v>0</v>
      </c>
      <c r="BB112" s="30" t="n">
        <f aca="false">803/100</f>
        <v>8.03</v>
      </c>
      <c r="BC112" s="11" t="n">
        <v>1927</v>
      </c>
      <c r="BD112" s="31" t="n">
        <f aca="false">SUM(S112,U112,W112,Y112,AA112,AC112,AE112,AG112,AI112,AK112,AM112,AO112,AQ112,AS112,AU112,AW112,AY112,BA112)</f>
        <v>1927</v>
      </c>
      <c r="BE112" s="28" t="n">
        <f aca="false">BC112-BD112</f>
        <v>0</v>
      </c>
      <c r="BF112" s="32" t="n">
        <f aca="false">SUM(R112,T112,V112,X112,Z112,AB112,AD112,AF112,AH112,AJ112,AL112,AN112,AP112,AR112,AT112,AV112,AX112,AZ112)</f>
        <v>8.03</v>
      </c>
      <c r="BG112" s="33" t="n">
        <f aca="false">BB112-BF112</f>
        <v>0</v>
      </c>
      <c r="BH112" s="34" t="n">
        <f aca="false">BF112*M112</f>
        <v>1927.2</v>
      </c>
      <c r="BI112" s="35" t="n">
        <f aca="false">BC112-BH112</f>
        <v>-0.199999999999818</v>
      </c>
      <c r="BJ112" s="19" t="str">
        <f aca="false">IF(BI112=0,"",IF(BI112&lt;&gt;BC112,"erreur de calcul",IF(BF112&lt;&gt;0,"pas de prix",IF(M112&lt;&gt; 0,"pas de quantité","pas de prix, ni de quantité"))))</f>
        <v>erreur de calcul</v>
      </c>
      <c r="BK112" s="19"/>
    </row>
    <row r="113" customFormat="false" ht="16" hidden="false" customHeight="false" outlineLevel="0" collapsed="false">
      <c r="A113" s="0" t="n">
        <v>34</v>
      </c>
      <c r="B113" s="8" t="s">
        <v>24</v>
      </c>
      <c r="C113" s="9" t="s">
        <v>25</v>
      </c>
      <c r="D113" s="9" t="s">
        <v>26</v>
      </c>
      <c r="E113" s="10" t="n">
        <v>1789</v>
      </c>
      <c r="F113" s="9" t="s">
        <v>27</v>
      </c>
      <c r="G113" s="9" t="s">
        <v>27</v>
      </c>
      <c r="H113" s="11" t="n">
        <v>21</v>
      </c>
      <c r="I113" s="11" t="s">
        <v>187</v>
      </c>
      <c r="J113" s="14" t="n">
        <v>45</v>
      </c>
      <c r="K113" s="14"/>
      <c r="L113" s="16"/>
      <c r="M113" s="27" t="n">
        <f aca="false">J113+(K113/20)+(L113/240)</f>
        <v>45</v>
      </c>
      <c r="N113" s="17" t="s">
        <v>64</v>
      </c>
      <c r="O113" s="11"/>
      <c r="P113" s="28"/>
      <c r="Q113" s="28" t="str">
        <f aca="false">IF(O113&lt;&gt;"",P113*M113,"")</f>
        <v/>
      </c>
      <c r="R113" s="28" t="n">
        <f aca="false">8827/100</f>
        <v>88.27</v>
      </c>
      <c r="S113" s="28" t="n">
        <v>3972</v>
      </c>
      <c r="T113" s="28"/>
      <c r="U113" s="28" t="n">
        <f aca="false">T113*$M113</f>
        <v>0</v>
      </c>
      <c r="V113" s="28"/>
      <c r="W113" s="28" t="n">
        <f aca="false">V113*$M113</f>
        <v>0</v>
      </c>
      <c r="X113" s="28" t="n">
        <f aca="false">8951/100</f>
        <v>89.51</v>
      </c>
      <c r="Y113" s="28" t="n">
        <v>4028</v>
      </c>
      <c r="Z113" s="28" t="n">
        <f aca="false">49106/100</f>
        <v>491.06</v>
      </c>
      <c r="AA113" s="28" t="n">
        <v>22098</v>
      </c>
      <c r="AB113" s="28"/>
      <c r="AC113" s="28" t="n">
        <f aca="false">AB113*$M113</f>
        <v>0</v>
      </c>
      <c r="AD113" s="28" t="n">
        <f aca="false">313412/100</f>
        <v>3134.12</v>
      </c>
      <c r="AE113" s="28" t="n">
        <v>141035</v>
      </c>
      <c r="AF113" s="28"/>
      <c r="AG113" s="28" t="n">
        <f aca="false">AF113*$M113</f>
        <v>0</v>
      </c>
      <c r="AH113" s="28"/>
      <c r="AI113" s="28" t="n">
        <f aca="false">AH113*$M113</f>
        <v>0</v>
      </c>
      <c r="AJ113" s="28"/>
      <c r="AK113" s="28" t="n">
        <f aca="false">AJ113*$M113</f>
        <v>0</v>
      </c>
      <c r="AL113" s="28"/>
      <c r="AM113" s="28" t="n">
        <f aca="false">AL113*$M113</f>
        <v>0</v>
      </c>
      <c r="AN113" s="28"/>
      <c r="AO113" s="28" t="n">
        <f aca="false">AN113*$M113</f>
        <v>0</v>
      </c>
      <c r="AP113" s="28"/>
      <c r="AQ113" s="28" t="n">
        <f aca="false">AP113*$M113</f>
        <v>0</v>
      </c>
      <c r="AR113" s="28"/>
      <c r="AS113" s="28" t="n">
        <f aca="false">AR113*$M113</f>
        <v>0</v>
      </c>
      <c r="AT113" s="28"/>
      <c r="AU113" s="28" t="n">
        <f aca="false">AT113*$M113</f>
        <v>0</v>
      </c>
      <c r="AV113" s="28"/>
      <c r="AW113" s="28" t="n">
        <f aca="false">AV113*$M113</f>
        <v>0</v>
      </c>
      <c r="AX113" s="28"/>
      <c r="AY113" s="28" t="n">
        <f aca="false">AX113*$M113</f>
        <v>0</v>
      </c>
      <c r="AZ113" s="28"/>
      <c r="BA113" s="28" t="n">
        <f aca="false">AZ113*$M113</f>
        <v>0</v>
      </c>
      <c r="BB113" s="30" t="n">
        <f aca="false">380296/100</f>
        <v>3802.96</v>
      </c>
      <c r="BC113" s="11" t="n">
        <v>171133</v>
      </c>
      <c r="BD113" s="31" t="n">
        <f aca="false">SUM(S113,U113,W113,Y113,AA113,AC113,AE113,AG113,AI113,AK113,AM113,AO113,AQ113,AS113,AU113,AW113,AY113,BA113)</f>
        <v>171133</v>
      </c>
      <c r="BE113" s="28" t="n">
        <f aca="false">BC113-BD113</f>
        <v>0</v>
      </c>
      <c r="BF113" s="32" t="n">
        <f aca="false">SUM(R113,T113,V113,X113,Z113,AB113,AD113,AF113,AH113,AJ113,AL113,AN113,AP113,AR113,AT113,AV113,AX113,AZ113)</f>
        <v>3802.96</v>
      </c>
      <c r="BG113" s="33" t="n">
        <f aca="false">BB113-BF113</f>
        <v>0</v>
      </c>
      <c r="BH113" s="34" t="n">
        <f aca="false">BF113*M113</f>
        <v>171133.2</v>
      </c>
      <c r="BI113" s="35" t="n">
        <f aca="false">BC113-BH113</f>
        <v>-0.200000000011642</v>
      </c>
      <c r="BJ113" s="19" t="str">
        <f aca="false">IF(BI113=0,"",IF(BI113&lt;&gt;BC113,"erreur de calcul",IF(BF113&lt;&gt;0,"pas de prix",IF(M113&lt;&gt; 0,"pas de quantité","pas de prix, ni de quantité"))))</f>
        <v>erreur de calcul</v>
      </c>
      <c r="BK113" s="19"/>
    </row>
    <row r="114" customFormat="false" ht="16" hidden="false" customHeight="false" outlineLevel="0" collapsed="false">
      <c r="A114" s="0" t="n">
        <v>35</v>
      </c>
      <c r="B114" s="8" t="s">
        <v>24</v>
      </c>
      <c r="C114" s="9" t="s">
        <v>25</v>
      </c>
      <c r="D114" s="9" t="s">
        <v>26</v>
      </c>
      <c r="E114" s="10" t="n">
        <v>1789</v>
      </c>
      <c r="F114" s="9" t="s">
        <v>27</v>
      </c>
      <c r="G114" s="9" t="s">
        <v>27</v>
      </c>
      <c r="H114" s="11" t="n">
        <v>21</v>
      </c>
      <c r="I114" s="11" t="s">
        <v>188</v>
      </c>
      <c r="J114" s="14" t="n">
        <v>60</v>
      </c>
      <c r="K114" s="14"/>
      <c r="L114" s="16"/>
      <c r="M114" s="27" t="n">
        <f aca="false">J114+(K114/20)+(L114/240)</f>
        <v>60</v>
      </c>
      <c r="N114" s="17" t="s">
        <v>64</v>
      </c>
      <c r="O114" s="11"/>
      <c r="P114" s="28"/>
      <c r="Q114" s="28" t="str">
        <f aca="false">IF(O114&lt;&gt;"",P114*M114,"")</f>
        <v/>
      </c>
      <c r="R114" s="28"/>
      <c r="S114" s="28" t="n">
        <f aca="false">R114*$M114</f>
        <v>0</v>
      </c>
      <c r="T114" s="28"/>
      <c r="U114" s="28" t="n">
        <f aca="false">T114*$M114</f>
        <v>0</v>
      </c>
      <c r="V114" s="28"/>
      <c r="W114" s="28" t="n">
        <f aca="false">V114*$M114</f>
        <v>0</v>
      </c>
      <c r="X114" s="28"/>
      <c r="Y114" s="28" t="n">
        <f aca="false">X114*$M114</f>
        <v>0</v>
      </c>
      <c r="Z114" s="28"/>
      <c r="AA114" s="28" t="n">
        <f aca="false">Z114*$M114</f>
        <v>0</v>
      </c>
      <c r="AB114" s="28"/>
      <c r="AC114" s="28" t="n">
        <f aca="false">AB114*$M114</f>
        <v>0</v>
      </c>
      <c r="AD114" s="28"/>
      <c r="AE114" s="28" t="n">
        <f aca="false">AD114*$M114</f>
        <v>0</v>
      </c>
      <c r="AF114" s="28"/>
      <c r="AG114" s="28" t="n">
        <f aca="false">AF114*$M114</f>
        <v>0</v>
      </c>
      <c r="AH114" s="28"/>
      <c r="AI114" s="28" t="n">
        <f aca="false">AH114*$M114</f>
        <v>0</v>
      </c>
      <c r="AJ114" s="28" t="n">
        <f aca="false">6391/100</f>
        <v>63.91</v>
      </c>
      <c r="AK114" s="28" t="n">
        <v>3835</v>
      </c>
      <c r="AL114" s="28"/>
      <c r="AM114" s="28" t="n">
        <f aca="false">AL114*$M114</f>
        <v>0</v>
      </c>
      <c r="AN114" s="28"/>
      <c r="AO114" s="28" t="n">
        <f aca="false">AN114*$M114</f>
        <v>0</v>
      </c>
      <c r="AP114" s="28"/>
      <c r="AQ114" s="28" t="n">
        <f aca="false">AP114*$M114</f>
        <v>0</v>
      </c>
      <c r="AR114" s="28"/>
      <c r="AS114" s="28" t="n">
        <f aca="false">AR114*$M114</f>
        <v>0</v>
      </c>
      <c r="AT114" s="28"/>
      <c r="AU114" s="28" t="n">
        <f aca="false">AT114*$M114</f>
        <v>0</v>
      </c>
      <c r="AV114" s="28"/>
      <c r="AW114" s="28" t="n">
        <f aca="false">AV114*$M114</f>
        <v>0</v>
      </c>
      <c r="AX114" s="28"/>
      <c r="AY114" s="28" t="n">
        <f aca="false">AX114*$M114</f>
        <v>0</v>
      </c>
      <c r="AZ114" s="28"/>
      <c r="BA114" s="28" t="n">
        <f aca="false">AZ114*$M114</f>
        <v>0</v>
      </c>
      <c r="BB114" s="30" t="n">
        <f aca="false">6391/100</f>
        <v>63.91</v>
      </c>
      <c r="BC114" s="11" t="n">
        <v>3835</v>
      </c>
      <c r="BD114" s="31" t="n">
        <f aca="false">SUM(S114,U114,W114,Y114,AA114,AC114,AE114,AG114,AI114,AK114,AM114,AO114,AQ114,AS114,AU114,AW114,AY114,BA114)</f>
        <v>3835</v>
      </c>
      <c r="BE114" s="28" t="n">
        <f aca="false">BC114-BD114</f>
        <v>0</v>
      </c>
      <c r="BF114" s="32" t="n">
        <f aca="false">SUM(R114,T114,V114,X114,Z114,AB114,AD114,AF114,AH114,AJ114,AL114,AN114,AP114,AR114,AT114,AV114,AX114,AZ114)</f>
        <v>63.91</v>
      </c>
      <c r="BG114" s="33" t="n">
        <f aca="false">BB114-BF114</f>
        <v>0</v>
      </c>
      <c r="BH114" s="34" t="n">
        <f aca="false">BF114*M114</f>
        <v>3834.6</v>
      </c>
      <c r="BI114" s="35" t="n">
        <f aca="false">BC114-BH114</f>
        <v>0.400000000000091</v>
      </c>
      <c r="BJ114" s="19" t="str">
        <f aca="false">IF(BI114=0,"",IF(BI114&lt;&gt;BC114,"erreur de calcul",IF(BF114&lt;&gt;0,"pas de prix",IF(M114&lt;&gt; 0,"pas de quantité","pas de prix, ni de quantité"))))</f>
        <v>erreur de calcul</v>
      </c>
      <c r="BK114" s="19"/>
    </row>
    <row r="115" customFormat="false" ht="16" hidden="false" customHeight="false" outlineLevel="0" collapsed="false">
      <c r="A115" s="0" t="n">
        <v>36</v>
      </c>
      <c r="B115" s="8" t="s">
        <v>24</v>
      </c>
      <c r="C115" s="9" t="s">
        <v>25</v>
      </c>
      <c r="D115" s="9" t="s">
        <v>26</v>
      </c>
      <c r="E115" s="10" t="n">
        <v>1789</v>
      </c>
      <c r="F115" s="9" t="s">
        <v>27</v>
      </c>
      <c r="G115" s="9" t="s">
        <v>27</v>
      </c>
      <c r="H115" s="11" t="n">
        <v>21</v>
      </c>
      <c r="I115" s="11" t="s">
        <v>189</v>
      </c>
      <c r="J115" s="14" t="n">
        <v>30</v>
      </c>
      <c r="K115" s="14"/>
      <c r="L115" s="16"/>
      <c r="M115" s="27" t="n">
        <f aca="false">J115+(K115/20)+(L115/240)</f>
        <v>30</v>
      </c>
      <c r="N115" s="17" t="s">
        <v>66</v>
      </c>
      <c r="O115" s="11"/>
      <c r="P115" s="28"/>
      <c r="Q115" s="28" t="str">
        <f aca="false">IF(O115&lt;&gt;"",P115*M115,"")</f>
        <v/>
      </c>
      <c r="R115" s="28"/>
      <c r="S115" s="28" t="n">
        <f aca="false">R115*$M115</f>
        <v>0</v>
      </c>
      <c r="T115" s="28"/>
      <c r="U115" s="28" t="n">
        <f aca="false">T115*$M115</f>
        <v>0</v>
      </c>
      <c r="V115" s="28"/>
      <c r="W115" s="28" t="n">
        <f aca="false">V115*$M115</f>
        <v>0</v>
      </c>
      <c r="X115" s="28" t="n">
        <v>146</v>
      </c>
      <c r="Y115" s="28" t="n">
        <v>4380</v>
      </c>
      <c r="Z115" s="28"/>
      <c r="AA115" s="28" t="n">
        <f aca="false">Z115*$M115</f>
        <v>0</v>
      </c>
      <c r="AB115" s="28"/>
      <c r="AC115" s="28" t="n">
        <f aca="false">AB115*$M115</f>
        <v>0</v>
      </c>
      <c r="AD115" s="28"/>
      <c r="AE115" s="28" t="n">
        <f aca="false">AD115*$M115</f>
        <v>0</v>
      </c>
      <c r="AF115" s="28"/>
      <c r="AG115" s="28" t="n">
        <f aca="false">AF115*$M115</f>
        <v>0</v>
      </c>
      <c r="AH115" s="28"/>
      <c r="AI115" s="28" t="n">
        <f aca="false">AH115*$M115</f>
        <v>0</v>
      </c>
      <c r="AJ115" s="28"/>
      <c r="AK115" s="28" t="n">
        <f aca="false">AJ115*$M115</f>
        <v>0</v>
      </c>
      <c r="AL115" s="28"/>
      <c r="AM115" s="28" t="n">
        <f aca="false">AL115*$M115</f>
        <v>0</v>
      </c>
      <c r="AN115" s="28"/>
      <c r="AO115" s="28" t="n">
        <f aca="false">AN115*$M115</f>
        <v>0</v>
      </c>
      <c r="AP115" s="28"/>
      <c r="AQ115" s="28" t="n">
        <f aca="false">AP115*$M115</f>
        <v>0</v>
      </c>
      <c r="AR115" s="28"/>
      <c r="AS115" s="28" t="n">
        <f aca="false">AR115*$M115</f>
        <v>0</v>
      </c>
      <c r="AT115" s="28"/>
      <c r="AU115" s="28" t="n">
        <f aca="false">AT115*$M115</f>
        <v>0</v>
      </c>
      <c r="AV115" s="28"/>
      <c r="AW115" s="28" t="n">
        <f aca="false">AV115*$M115</f>
        <v>0</v>
      </c>
      <c r="AX115" s="28"/>
      <c r="AY115" s="28" t="n">
        <f aca="false">AX115*$M115</f>
        <v>0</v>
      </c>
      <c r="AZ115" s="28"/>
      <c r="BA115" s="28" t="n">
        <f aca="false">AZ115*$M115</f>
        <v>0</v>
      </c>
      <c r="BB115" s="30" t="n">
        <v>146</v>
      </c>
      <c r="BC115" s="11" t="n">
        <v>4380</v>
      </c>
      <c r="BD115" s="31" t="n">
        <f aca="false">SUM(S115,U115,W115,Y115,AA115,AC115,AE115,AG115,AI115,AK115,AM115,AO115,AQ115,AS115,AU115,AW115,AY115,BA115)</f>
        <v>4380</v>
      </c>
      <c r="BE115" s="28" t="n">
        <f aca="false">BC115-BD115</f>
        <v>0</v>
      </c>
      <c r="BF115" s="32" t="n">
        <f aca="false">SUM(R115,T115,V115,X115,Z115,AB115,AD115,AF115,AH115,AJ115,AL115,AN115,AP115,AR115,AT115,AV115,AX115,AZ115)</f>
        <v>146</v>
      </c>
      <c r="BG115" s="33" t="n">
        <f aca="false">BB115-BF115</f>
        <v>0</v>
      </c>
      <c r="BH115" s="34" t="n">
        <f aca="false">BF115*M115</f>
        <v>4380</v>
      </c>
      <c r="BI115" s="35" t="n">
        <f aca="false">BC115-BH115</f>
        <v>0</v>
      </c>
      <c r="BJ115" s="19" t="str">
        <f aca="false">IF(BI115=0,"",IF(BI115&lt;&gt;BC115,"erreur de calcul",IF(BF115&lt;&gt;0,"pas de prix",IF(M115&lt;&gt; 0,"pas de quantité","pas de prix, ni de quantité"))))</f>
        <v/>
      </c>
      <c r="BK115" s="19"/>
    </row>
    <row r="116" customFormat="false" ht="16" hidden="false" customHeight="false" outlineLevel="0" collapsed="false">
      <c r="A116" s="0" t="n">
        <v>37</v>
      </c>
      <c r="B116" s="8" t="s">
        <v>24</v>
      </c>
      <c r="C116" s="9" t="s">
        <v>25</v>
      </c>
      <c r="D116" s="9" t="s">
        <v>26</v>
      </c>
      <c r="E116" s="10" t="n">
        <v>1789</v>
      </c>
      <c r="F116" s="9" t="s">
        <v>27</v>
      </c>
      <c r="G116" s="9" t="s">
        <v>27</v>
      </c>
      <c r="H116" s="11" t="n">
        <v>21</v>
      </c>
      <c r="I116" s="11" t="s">
        <v>190</v>
      </c>
      <c r="J116" s="14" t="n">
        <v>3</v>
      </c>
      <c r="K116" s="14"/>
      <c r="L116" s="16"/>
      <c r="M116" s="27" t="n">
        <f aca="false">J116+(K116/20)+(L116/240)</f>
        <v>3</v>
      </c>
      <c r="N116" s="17" t="s">
        <v>66</v>
      </c>
      <c r="O116" s="11"/>
      <c r="P116" s="28"/>
      <c r="Q116" s="28" t="str">
        <f aca="false">IF(O116&lt;&gt;"",P116*M116,"")</f>
        <v/>
      </c>
      <c r="R116" s="28"/>
      <c r="S116" s="28" t="n">
        <f aca="false">R116*$M116</f>
        <v>0</v>
      </c>
      <c r="T116" s="28"/>
      <c r="U116" s="28" t="n">
        <f aca="false">T116*$M116</f>
        <v>0</v>
      </c>
      <c r="V116" s="28"/>
      <c r="W116" s="28" t="n">
        <f aca="false">V116*$M116</f>
        <v>0</v>
      </c>
      <c r="X116" s="28" t="n">
        <v>284</v>
      </c>
      <c r="Y116" s="28" t="n">
        <v>852</v>
      </c>
      <c r="Z116" s="28" t="n">
        <v>8028</v>
      </c>
      <c r="AA116" s="28" t="n">
        <v>24084</v>
      </c>
      <c r="AB116" s="28"/>
      <c r="AC116" s="28" t="n">
        <f aca="false">AB116*$M116</f>
        <v>0</v>
      </c>
      <c r="AD116" s="28"/>
      <c r="AE116" s="28" t="n">
        <f aca="false">AD116*$M116</f>
        <v>0</v>
      </c>
      <c r="AF116" s="28"/>
      <c r="AG116" s="28" t="n">
        <f aca="false">AF116*$M116</f>
        <v>0</v>
      </c>
      <c r="AH116" s="28"/>
      <c r="AI116" s="28" t="n">
        <f aca="false">AH116*$M116</f>
        <v>0</v>
      </c>
      <c r="AJ116" s="28"/>
      <c r="AK116" s="28" t="n">
        <f aca="false">AJ116*$M116</f>
        <v>0</v>
      </c>
      <c r="AL116" s="28"/>
      <c r="AM116" s="28" t="n">
        <f aca="false">AL116*$M116</f>
        <v>0</v>
      </c>
      <c r="AN116" s="28" t="n">
        <v>2127</v>
      </c>
      <c r="AO116" s="28" t="n">
        <v>6381</v>
      </c>
      <c r="AP116" s="28"/>
      <c r="AQ116" s="28" t="n">
        <f aca="false">AP116*$M116</f>
        <v>0</v>
      </c>
      <c r="AR116" s="28"/>
      <c r="AS116" s="28" t="n">
        <f aca="false">AR116*$M116</f>
        <v>0</v>
      </c>
      <c r="AT116" s="28"/>
      <c r="AU116" s="28" t="n">
        <f aca="false">AT116*$M116</f>
        <v>0</v>
      </c>
      <c r="AV116" s="28"/>
      <c r="AW116" s="28" t="n">
        <f aca="false">AV116*$M116</f>
        <v>0</v>
      </c>
      <c r="AX116" s="28"/>
      <c r="AY116" s="28" t="n">
        <f aca="false">AX116*$M116</f>
        <v>0</v>
      </c>
      <c r="AZ116" s="28"/>
      <c r="BA116" s="28" t="n">
        <f aca="false">AZ116*$M116</f>
        <v>0</v>
      </c>
      <c r="BB116" s="30" t="n">
        <v>10439</v>
      </c>
      <c r="BC116" s="11" t="n">
        <v>31317</v>
      </c>
      <c r="BD116" s="31" t="n">
        <f aca="false">SUM(S116,U116,W116,Y116,AA116,AC116,AE116,AG116,AI116,AK116,AM116,AO116,AQ116,AS116,AU116,AW116,AY116,BA116)</f>
        <v>31317</v>
      </c>
      <c r="BE116" s="28" t="n">
        <f aca="false">BC116-BD116</f>
        <v>0</v>
      </c>
      <c r="BF116" s="32" t="n">
        <f aca="false">SUM(R116,T116,V116,X116,Z116,AB116,AD116,AF116,AH116,AJ116,AL116,AN116,AP116,AR116,AT116,AV116,AX116,AZ116)</f>
        <v>10439</v>
      </c>
      <c r="BG116" s="33" t="n">
        <f aca="false">BB116-BF116</f>
        <v>0</v>
      </c>
      <c r="BH116" s="34" t="n">
        <f aca="false">BF116*M116</f>
        <v>31317</v>
      </c>
      <c r="BI116" s="35" t="n">
        <f aca="false">BC116-BH116</f>
        <v>0</v>
      </c>
      <c r="BJ116" s="19" t="str">
        <f aca="false">IF(BI116=0,"",IF(BI116&lt;&gt;BC116,"erreur de calcul",IF(BF116&lt;&gt;0,"pas de prix",IF(M116&lt;&gt; 0,"pas de quantité","pas de prix, ni de quantité"))))</f>
        <v/>
      </c>
      <c r="BK116" s="19"/>
    </row>
    <row r="117" customFormat="false" ht="16" hidden="false" customHeight="false" outlineLevel="0" collapsed="false">
      <c r="A117" s="0" t="n">
        <v>38</v>
      </c>
      <c r="B117" s="8" t="s">
        <v>24</v>
      </c>
      <c r="C117" s="9" t="s">
        <v>25</v>
      </c>
      <c r="D117" s="9" t="s">
        <v>26</v>
      </c>
      <c r="E117" s="10" t="n">
        <v>1789</v>
      </c>
      <c r="F117" s="9" t="s">
        <v>27</v>
      </c>
      <c r="G117" s="9" t="s">
        <v>27</v>
      </c>
      <c r="H117" s="11" t="n">
        <v>21</v>
      </c>
      <c r="I117" s="11" t="s">
        <v>191</v>
      </c>
      <c r="J117" s="14" t="n">
        <v>25</v>
      </c>
      <c r="K117" s="14"/>
      <c r="L117" s="16"/>
      <c r="M117" s="27" t="n">
        <f aca="false">J117+(K117/20)+(L117/240)</f>
        <v>25</v>
      </c>
      <c r="N117" s="17" t="s">
        <v>64</v>
      </c>
      <c r="O117" s="11"/>
      <c r="P117" s="28"/>
      <c r="Q117" s="28" t="str">
        <f aca="false">IF(O117&lt;&gt;"",P117*M117,"")</f>
        <v/>
      </c>
      <c r="R117" s="28"/>
      <c r="S117" s="28" t="n">
        <f aca="false">R117*$M117</f>
        <v>0</v>
      </c>
      <c r="T117" s="28"/>
      <c r="U117" s="28" t="n">
        <f aca="false">T117*$M117</f>
        <v>0</v>
      </c>
      <c r="V117" s="28"/>
      <c r="W117" s="28" t="n">
        <f aca="false">V117*$M117</f>
        <v>0</v>
      </c>
      <c r="X117" s="28"/>
      <c r="Y117" s="28" t="n">
        <f aca="false">X117*$M117</f>
        <v>0</v>
      </c>
      <c r="Z117" s="28" t="n">
        <f aca="false">5034/100</f>
        <v>50.34</v>
      </c>
      <c r="AA117" s="28" t="n">
        <v>1258</v>
      </c>
      <c r="AB117" s="28"/>
      <c r="AC117" s="28" t="n">
        <f aca="false">AB117*$M117</f>
        <v>0</v>
      </c>
      <c r="AD117" s="28"/>
      <c r="AE117" s="28" t="n">
        <f aca="false">AD117*$M117</f>
        <v>0</v>
      </c>
      <c r="AF117" s="28"/>
      <c r="AG117" s="28" t="n">
        <f aca="false">AF117*$M117</f>
        <v>0</v>
      </c>
      <c r="AH117" s="28"/>
      <c r="AI117" s="28" t="n">
        <f aca="false">AH117*$M117</f>
        <v>0</v>
      </c>
      <c r="AJ117" s="28"/>
      <c r="AK117" s="28" t="n">
        <f aca="false">AJ117*$M117</f>
        <v>0</v>
      </c>
      <c r="AL117" s="28" t="n">
        <f aca="false">1375/100</f>
        <v>13.75</v>
      </c>
      <c r="AM117" s="28" t="n">
        <v>344</v>
      </c>
      <c r="AN117" s="28" t="n">
        <f aca="false">6710/100</f>
        <v>67.1</v>
      </c>
      <c r="AO117" s="28" t="n">
        <v>1677</v>
      </c>
      <c r="AP117" s="28"/>
      <c r="AQ117" s="28" t="n">
        <f aca="false">AP117*$M117</f>
        <v>0</v>
      </c>
      <c r="AR117" s="28"/>
      <c r="AS117" s="28" t="n">
        <f aca="false">AR117*$M117</f>
        <v>0</v>
      </c>
      <c r="AT117" s="28"/>
      <c r="AU117" s="28" t="n">
        <f aca="false">AT117*$M117</f>
        <v>0</v>
      </c>
      <c r="AV117" s="28"/>
      <c r="AW117" s="28" t="n">
        <f aca="false">AV117*$M117</f>
        <v>0</v>
      </c>
      <c r="AX117" s="28"/>
      <c r="AY117" s="28" t="n">
        <f aca="false">AX117*$M117</f>
        <v>0</v>
      </c>
      <c r="AZ117" s="28"/>
      <c r="BA117" s="28" t="n">
        <f aca="false">AZ117*$M117</f>
        <v>0</v>
      </c>
      <c r="BB117" s="30" t="n">
        <f aca="false">13119/100</f>
        <v>131.19</v>
      </c>
      <c r="BC117" s="11" t="n">
        <v>3279</v>
      </c>
      <c r="BD117" s="31" t="n">
        <f aca="false">SUM(S117,U117,W117,Y117,AA117,AC117,AE117,AG117,AI117,AK117,AM117,AO117,AQ117,AS117,AU117,AW117,AY117,BA117)</f>
        <v>3279</v>
      </c>
      <c r="BE117" s="28" t="n">
        <f aca="false">BC117-BD117</f>
        <v>0</v>
      </c>
      <c r="BF117" s="32" t="n">
        <f aca="false">SUM(R117,T117,V117,X117,Z117,AB117,AD117,AF117,AH117,AJ117,AL117,AN117,AP117,AR117,AT117,AV117,AX117,AZ117)</f>
        <v>131.19</v>
      </c>
      <c r="BG117" s="33" t="n">
        <f aca="false">BB117-BF117</f>
        <v>0</v>
      </c>
      <c r="BH117" s="34" t="n">
        <f aca="false">BF117*M117</f>
        <v>3279.75</v>
      </c>
      <c r="BI117" s="35" t="n">
        <f aca="false">BC117-BH117</f>
        <v>-0.75</v>
      </c>
      <c r="BJ117" s="19" t="str">
        <f aca="false">IF(BI117=0,"",IF(BI117&lt;&gt;BC117,"erreur de calcul",IF(BF117&lt;&gt;0,"pas de prix",IF(M117&lt;&gt; 0,"pas de quantité","pas de prix, ni de quantité"))))</f>
        <v>erreur de calcul</v>
      </c>
      <c r="BK117" s="19"/>
    </row>
    <row r="118" customFormat="false" ht="16" hidden="false" customHeight="false" outlineLevel="0" collapsed="false">
      <c r="A118" s="0" t="n">
        <v>39</v>
      </c>
      <c r="B118" s="8" t="s">
        <v>24</v>
      </c>
      <c r="C118" s="9" t="s">
        <v>25</v>
      </c>
      <c r="D118" s="9" t="s">
        <v>26</v>
      </c>
      <c r="E118" s="10" t="n">
        <v>1789</v>
      </c>
      <c r="F118" s="9" t="s">
        <v>27</v>
      </c>
      <c r="G118" s="9" t="s">
        <v>27</v>
      </c>
      <c r="H118" s="11" t="n">
        <v>21</v>
      </c>
      <c r="I118" s="11" t="s">
        <v>192</v>
      </c>
      <c r="J118" s="14" t="n">
        <v>25</v>
      </c>
      <c r="K118" s="14"/>
      <c r="L118" s="16"/>
      <c r="M118" s="27" t="n">
        <f aca="false">J118+(K118/20)+(L118/240)</f>
        <v>25</v>
      </c>
      <c r="N118" s="17" t="s">
        <v>64</v>
      </c>
      <c r="O118" s="11"/>
      <c r="P118" s="28"/>
      <c r="Q118" s="28" t="str">
        <f aca="false">IF(O118&lt;&gt;"",P118*M118,"")</f>
        <v/>
      </c>
      <c r="R118" s="28"/>
      <c r="S118" s="28" t="n">
        <f aca="false">R118*$M118</f>
        <v>0</v>
      </c>
      <c r="T118" s="28"/>
      <c r="U118" s="28" t="n">
        <f aca="false">T118*$M118</f>
        <v>0</v>
      </c>
      <c r="V118" s="28"/>
      <c r="W118" s="28" t="n">
        <f aca="false">V118*$M118</f>
        <v>0</v>
      </c>
      <c r="X118" s="28"/>
      <c r="Y118" s="28" t="n">
        <f aca="false">X118*$M118</f>
        <v>0</v>
      </c>
      <c r="Z118" s="28" t="n">
        <f aca="false">5561/100</f>
        <v>55.61</v>
      </c>
      <c r="AA118" s="28" t="n">
        <v>1390</v>
      </c>
      <c r="AB118" s="28"/>
      <c r="AC118" s="28" t="n">
        <f aca="false">AB118*$M118</f>
        <v>0</v>
      </c>
      <c r="AD118" s="28"/>
      <c r="AE118" s="28" t="n">
        <f aca="false">AD118*$M118</f>
        <v>0</v>
      </c>
      <c r="AF118" s="28"/>
      <c r="AG118" s="28" t="n">
        <f aca="false">AF118*$M118</f>
        <v>0</v>
      </c>
      <c r="AH118" s="28"/>
      <c r="AI118" s="28" t="n">
        <f aca="false">AH118*$M118</f>
        <v>0</v>
      </c>
      <c r="AJ118" s="28"/>
      <c r="AK118" s="28" t="n">
        <f aca="false">AJ118*$M118</f>
        <v>0</v>
      </c>
      <c r="AL118" s="28"/>
      <c r="AM118" s="28" t="n">
        <f aca="false">AL118*$M118</f>
        <v>0</v>
      </c>
      <c r="AN118" s="28"/>
      <c r="AO118" s="28" t="n">
        <f aca="false">AN118*$M118</f>
        <v>0</v>
      </c>
      <c r="AP118" s="28"/>
      <c r="AQ118" s="28" t="n">
        <f aca="false">AP118*$M118</f>
        <v>0</v>
      </c>
      <c r="AR118" s="28"/>
      <c r="AS118" s="28" t="n">
        <f aca="false">AR118*$M118</f>
        <v>0</v>
      </c>
      <c r="AT118" s="28"/>
      <c r="AU118" s="28" t="n">
        <f aca="false">AT118*$M118</f>
        <v>0</v>
      </c>
      <c r="AV118" s="28"/>
      <c r="AW118" s="28" t="n">
        <f aca="false">AV118*$M118</f>
        <v>0</v>
      </c>
      <c r="AX118" s="28"/>
      <c r="AY118" s="28" t="n">
        <f aca="false">AX118*$M118</f>
        <v>0</v>
      </c>
      <c r="AZ118" s="28"/>
      <c r="BA118" s="28" t="n">
        <f aca="false">AZ118*$M118</f>
        <v>0</v>
      </c>
      <c r="BB118" s="30" t="n">
        <f aca="false">5561/100</f>
        <v>55.61</v>
      </c>
      <c r="BC118" s="11" t="n">
        <v>1390</v>
      </c>
      <c r="BD118" s="31" t="n">
        <f aca="false">SUM(S118,U118,W118,Y118,AA118,AC118,AE118,AG118,AI118,AK118,AM118,AO118,AQ118,AS118,AU118,AW118,AY118,BA118)</f>
        <v>1390</v>
      </c>
      <c r="BE118" s="28" t="n">
        <f aca="false">BC118-BD118</f>
        <v>0</v>
      </c>
      <c r="BF118" s="32" t="n">
        <f aca="false">SUM(R118,T118,V118,X118,Z118,AB118,AD118,AF118,AH118,AJ118,AL118,AN118,AP118,AR118,AT118,AV118,AX118,AZ118)</f>
        <v>55.61</v>
      </c>
      <c r="BG118" s="33" t="n">
        <f aca="false">BB118-BF118</f>
        <v>0</v>
      </c>
      <c r="BH118" s="34" t="n">
        <f aca="false">BF118*M118</f>
        <v>1390.25</v>
      </c>
      <c r="BI118" s="35" t="n">
        <f aca="false">BC118-BH118</f>
        <v>-0.25</v>
      </c>
      <c r="BJ118" s="19" t="str">
        <f aca="false">IF(BI118=0,"",IF(BI118&lt;&gt;BC118,"erreur de calcul",IF(BF118&lt;&gt;0,"pas de prix",IF(M118&lt;&gt; 0,"pas de quantité","pas de prix, ni de quantité"))))</f>
        <v>erreur de calcul</v>
      </c>
      <c r="BK118" s="19"/>
    </row>
    <row r="119" customFormat="false" ht="16" hidden="false" customHeight="false" outlineLevel="0" collapsed="false">
      <c r="A119" s="0" t="n">
        <v>40</v>
      </c>
      <c r="B119" s="8" t="s">
        <v>24</v>
      </c>
      <c r="C119" s="9" t="s">
        <v>25</v>
      </c>
      <c r="D119" s="9" t="s">
        <v>26</v>
      </c>
      <c r="E119" s="10" t="n">
        <v>1789</v>
      </c>
      <c r="F119" s="9" t="s">
        <v>27</v>
      </c>
      <c r="G119" s="9" t="s">
        <v>27</v>
      </c>
      <c r="H119" s="11" t="n">
        <v>21</v>
      </c>
      <c r="I119" s="11" t="s">
        <v>193</v>
      </c>
      <c r="J119" s="14" t="n">
        <v>168</v>
      </c>
      <c r="K119" s="14"/>
      <c r="L119" s="16"/>
      <c r="M119" s="27" t="n">
        <f aca="false">J119+(K119/20)+(L119/240)</f>
        <v>168</v>
      </c>
      <c r="N119" s="17" t="s">
        <v>64</v>
      </c>
      <c r="O119" s="11"/>
      <c r="P119" s="28"/>
      <c r="Q119" s="28" t="str">
        <f aca="false">IF(O119&lt;&gt;"",P119*M119,"")</f>
        <v/>
      </c>
      <c r="R119" s="28"/>
      <c r="S119" s="28" t="n">
        <f aca="false">R119*$M119</f>
        <v>0</v>
      </c>
      <c r="T119" s="28"/>
      <c r="U119" s="28" t="n">
        <f aca="false">T119*$M119</f>
        <v>0</v>
      </c>
      <c r="V119" s="28"/>
      <c r="W119" s="28" t="n">
        <f aca="false">V119*$M119</f>
        <v>0</v>
      </c>
      <c r="X119" s="28"/>
      <c r="Y119" s="28" t="n">
        <f aca="false">X119*$M119</f>
        <v>0</v>
      </c>
      <c r="Z119" s="28"/>
      <c r="AA119" s="28" t="n">
        <f aca="false">Z119*$M119</f>
        <v>0</v>
      </c>
      <c r="AB119" s="28"/>
      <c r="AC119" s="28" t="n">
        <f aca="false">AB119*$M119</f>
        <v>0</v>
      </c>
      <c r="AD119" s="28"/>
      <c r="AE119" s="28" t="n">
        <f aca="false">AD119*$M119</f>
        <v>0</v>
      </c>
      <c r="AF119" s="28"/>
      <c r="AG119" s="28" t="n">
        <f aca="false">AF119*$M119</f>
        <v>0</v>
      </c>
      <c r="AH119" s="28"/>
      <c r="AI119" s="28" t="n">
        <f aca="false">AH119*$M119</f>
        <v>0</v>
      </c>
      <c r="AJ119" s="28" t="n">
        <f aca="false">14590/100</f>
        <v>145.9</v>
      </c>
      <c r="AK119" s="28" t="n">
        <v>24511</v>
      </c>
      <c r="AL119" s="28"/>
      <c r="AM119" s="28" t="n">
        <f aca="false">AL119*$M119</f>
        <v>0</v>
      </c>
      <c r="AN119" s="28"/>
      <c r="AO119" s="28" t="n">
        <f aca="false">AN119*$M119</f>
        <v>0</v>
      </c>
      <c r="AP119" s="28"/>
      <c r="AQ119" s="28" t="n">
        <f aca="false">AP119*$M119</f>
        <v>0</v>
      </c>
      <c r="AR119" s="28"/>
      <c r="AS119" s="28" t="n">
        <f aca="false">AR119*$M119</f>
        <v>0</v>
      </c>
      <c r="AT119" s="28"/>
      <c r="AU119" s="28" t="n">
        <f aca="false">AT119*$M119</f>
        <v>0</v>
      </c>
      <c r="AV119" s="28"/>
      <c r="AW119" s="28" t="n">
        <f aca="false">AV119*$M119</f>
        <v>0</v>
      </c>
      <c r="AX119" s="28"/>
      <c r="AY119" s="28" t="n">
        <f aca="false">AX119*$M119</f>
        <v>0</v>
      </c>
      <c r="AZ119" s="28"/>
      <c r="BA119" s="28" t="n">
        <f aca="false">AZ119*$M119</f>
        <v>0</v>
      </c>
      <c r="BB119" s="30" t="n">
        <f aca="false">14590/100</f>
        <v>145.9</v>
      </c>
      <c r="BC119" s="11" t="n">
        <v>24511</v>
      </c>
      <c r="BD119" s="31" t="n">
        <f aca="false">SUM(S119,U119,W119,Y119,AA119,AC119,AE119,AG119,AI119,AK119,AM119,AO119,AQ119,AS119,AU119,AW119,AY119,BA119)</f>
        <v>24511</v>
      </c>
      <c r="BE119" s="28" t="n">
        <f aca="false">BC119-BD119</f>
        <v>0</v>
      </c>
      <c r="BF119" s="32" t="n">
        <f aca="false">SUM(R119,T119,V119,X119,Z119,AB119,AD119,AF119,AH119,AJ119,AL119,AN119,AP119,AR119,AT119,AV119,AX119,AZ119)</f>
        <v>145.9</v>
      </c>
      <c r="BG119" s="33" t="n">
        <f aca="false">BB119-BF119</f>
        <v>0</v>
      </c>
      <c r="BH119" s="34" t="n">
        <f aca="false">BF119*M119</f>
        <v>24511.2</v>
      </c>
      <c r="BI119" s="35" t="n">
        <f aca="false">BC119-BH119</f>
        <v>-0.200000000000728</v>
      </c>
      <c r="BJ119" s="19" t="str">
        <f aca="false">IF(BI119=0,"",IF(BI119&lt;&gt;BC119,"erreur de calcul",IF(BF119&lt;&gt;0,"pas de prix",IF(M119&lt;&gt; 0,"pas de quantité","pas de prix, ni de quantité"))))</f>
        <v>erreur de calcul</v>
      </c>
      <c r="BK119" s="19"/>
    </row>
    <row r="120" customFormat="false" ht="16" hidden="false" customHeight="false" outlineLevel="0" collapsed="false">
      <c r="A120" s="0" t="n">
        <v>41</v>
      </c>
      <c r="B120" s="8" t="s">
        <v>24</v>
      </c>
      <c r="C120" s="9" t="s">
        <v>25</v>
      </c>
      <c r="D120" s="9" t="s">
        <v>26</v>
      </c>
      <c r="E120" s="10" t="n">
        <v>1789</v>
      </c>
      <c r="F120" s="9" t="s">
        <v>27</v>
      </c>
      <c r="G120" s="9" t="s">
        <v>27</v>
      </c>
      <c r="H120" s="11" t="n">
        <v>21</v>
      </c>
      <c r="I120" s="11" t="s">
        <v>194</v>
      </c>
      <c r="J120" s="14" t="n">
        <v>120</v>
      </c>
      <c r="K120" s="14"/>
      <c r="L120" s="16"/>
      <c r="M120" s="27" t="n">
        <f aca="false">J120+(K120/20)+(L120/240)</f>
        <v>120</v>
      </c>
      <c r="N120" s="17" t="s">
        <v>64</v>
      </c>
      <c r="O120" s="11"/>
      <c r="P120" s="28"/>
      <c r="Q120" s="28" t="str">
        <f aca="false">IF(O120&lt;&gt;"",P120*M120,"")</f>
        <v/>
      </c>
      <c r="R120" s="28"/>
      <c r="S120" s="28" t="n">
        <f aca="false">R120*$M120</f>
        <v>0</v>
      </c>
      <c r="T120" s="28"/>
      <c r="U120" s="28" t="n">
        <f aca="false">T120*$M120</f>
        <v>0</v>
      </c>
      <c r="V120" s="28"/>
      <c r="W120" s="28" t="n">
        <f aca="false">V120*$M120</f>
        <v>0</v>
      </c>
      <c r="X120" s="28"/>
      <c r="Y120" s="28" t="n">
        <f aca="false">X120*$M120</f>
        <v>0</v>
      </c>
      <c r="Z120" s="28"/>
      <c r="AA120" s="28" t="n">
        <f aca="false">Z120*$M120</f>
        <v>0</v>
      </c>
      <c r="AB120" s="28"/>
      <c r="AC120" s="28" t="n">
        <f aca="false">AB120*$M120</f>
        <v>0</v>
      </c>
      <c r="AD120" s="28" t="n">
        <f aca="false">6930/100</f>
        <v>69.3</v>
      </c>
      <c r="AE120" s="28" t="n">
        <v>8316</v>
      </c>
      <c r="AF120" s="28"/>
      <c r="AG120" s="28" t="n">
        <f aca="false">AF120*$M120</f>
        <v>0</v>
      </c>
      <c r="AH120" s="28"/>
      <c r="AI120" s="28" t="n">
        <f aca="false">AH120*$M120</f>
        <v>0</v>
      </c>
      <c r="AJ120" s="28"/>
      <c r="AK120" s="28" t="n">
        <f aca="false">AJ120*$M120</f>
        <v>0</v>
      </c>
      <c r="AL120" s="28"/>
      <c r="AM120" s="28" t="n">
        <f aca="false">AL120*$M120</f>
        <v>0</v>
      </c>
      <c r="AN120" s="28"/>
      <c r="AO120" s="28" t="n">
        <f aca="false">AN120*$M120</f>
        <v>0</v>
      </c>
      <c r="AP120" s="28"/>
      <c r="AQ120" s="28" t="n">
        <f aca="false">AP120*$M120</f>
        <v>0</v>
      </c>
      <c r="AR120" s="28"/>
      <c r="AS120" s="28" t="n">
        <f aca="false">AR120*$M120</f>
        <v>0</v>
      </c>
      <c r="AT120" s="28"/>
      <c r="AU120" s="28" t="n">
        <f aca="false">AT120*$M120</f>
        <v>0</v>
      </c>
      <c r="AV120" s="28"/>
      <c r="AW120" s="28" t="n">
        <f aca="false">AV120*$M120</f>
        <v>0</v>
      </c>
      <c r="AX120" s="28"/>
      <c r="AY120" s="28" t="n">
        <f aca="false">AX120*$M120</f>
        <v>0</v>
      </c>
      <c r="AZ120" s="28"/>
      <c r="BA120" s="28" t="n">
        <f aca="false">AZ120*$M120</f>
        <v>0</v>
      </c>
      <c r="BB120" s="30" t="n">
        <f aca="false">6930/100</f>
        <v>69.3</v>
      </c>
      <c r="BC120" s="11" t="n">
        <v>8316</v>
      </c>
      <c r="BD120" s="31" t="n">
        <f aca="false">SUM(S120,U120,W120,Y120,AA120,AC120,AE120,AG120,AI120,AK120,AM120,AO120,AQ120,AS120,AU120,AW120,AY120,BA120)</f>
        <v>8316</v>
      </c>
      <c r="BE120" s="28" t="n">
        <f aca="false">BC120-BD120</f>
        <v>0</v>
      </c>
      <c r="BF120" s="32" t="n">
        <f aca="false">SUM(R120,T120,V120,X120,Z120,AB120,AD120,AF120,AH120,AJ120,AL120,AN120,AP120,AR120,AT120,AV120,AX120,AZ120)</f>
        <v>69.3</v>
      </c>
      <c r="BG120" s="33" t="n">
        <f aca="false">BB120-BF120</f>
        <v>0</v>
      </c>
      <c r="BH120" s="34" t="n">
        <f aca="false">BF120*M120</f>
        <v>8316</v>
      </c>
      <c r="BI120" s="35" t="n">
        <f aca="false">BC120-BH120</f>
        <v>0</v>
      </c>
      <c r="BJ120" s="19" t="str">
        <f aca="false">IF(BI120=0,"",IF(BI120&lt;&gt;BC120,"erreur de calcul",IF(BF120&lt;&gt;0,"pas de prix",IF(M120&lt;&gt; 0,"pas de quantité","pas de prix, ni de quantité"))))</f>
        <v/>
      </c>
      <c r="BK120" s="19"/>
    </row>
    <row r="121" customFormat="false" ht="16" hidden="false" customHeight="false" outlineLevel="0" collapsed="false">
      <c r="A121" s="0" t="n">
        <v>42</v>
      </c>
      <c r="B121" s="8" t="s">
        <v>24</v>
      </c>
      <c r="C121" s="9" t="s">
        <v>25</v>
      </c>
      <c r="D121" s="9" t="s">
        <v>26</v>
      </c>
      <c r="E121" s="10" t="n">
        <v>1789</v>
      </c>
      <c r="F121" s="9" t="s">
        <v>27</v>
      </c>
      <c r="G121" s="9" t="s">
        <v>27</v>
      </c>
      <c r="H121" s="11" t="n">
        <v>21</v>
      </c>
      <c r="I121" s="11" t="s">
        <v>195</v>
      </c>
      <c r="J121" s="14" t="n">
        <v>70</v>
      </c>
      <c r="K121" s="14"/>
      <c r="L121" s="16"/>
      <c r="M121" s="27" t="n">
        <f aca="false">J121+(K121/20)+(L121/240)</f>
        <v>70</v>
      </c>
      <c r="N121" s="17" t="s">
        <v>64</v>
      </c>
      <c r="O121" s="11"/>
      <c r="P121" s="28"/>
      <c r="Q121" s="28" t="str">
        <f aca="false">IF(O121&lt;&gt;"",P121*M121,"")</f>
        <v/>
      </c>
      <c r="R121" s="28"/>
      <c r="S121" s="28" t="n">
        <f aca="false">R121*$M121</f>
        <v>0</v>
      </c>
      <c r="T121" s="28"/>
      <c r="U121" s="28" t="n">
        <f aca="false">T121*$M121</f>
        <v>0</v>
      </c>
      <c r="V121" s="28"/>
      <c r="W121" s="28" t="n">
        <f aca="false">V121*$M121</f>
        <v>0</v>
      </c>
      <c r="X121" s="28"/>
      <c r="Y121" s="28" t="n">
        <f aca="false">X121*$M121</f>
        <v>0</v>
      </c>
      <c r="Z121" s="28"/>
      <c r="AA121" s="28" t="n">
        <f aca="false">Z121*$M121</f>
        <v>0</v>
      </c>
      <c r="AB121" s="28"/>
      <c r="AC121" s="28" t="n">
        <f aca="false">AB121*$M121</f>
        <v>0</v>
      </c>
      <c r="AD121" s="28"/>
      <c r="AE121" s="28" t="n">
        <f aca="false">AD121*$M121</f>
        <v>0</v>
      </c>
      <c r="AF121" s="28"/>
      <c r="AG121" s="28" t="n">
        <f aca="false">AF121*$M121</f>
        <v>0</v>
      </c>
      <c r="AH121" s="28"/>
      <c r="AI121" s="28" t="n">
        <f aca="false">AH121*$M121</f>
        <v>0</v>
      </c>
      <c r="AJ121" s="28"/>
      <c r="AK121" s="28" t="n">
        <f aca="false">AJ121*$M121</f>
        <v>0</v>
      </c>
      <c r="AL121" s="28"/>
      <c r="AM121" s="28" t="n">
        <f aca="false">AL121*$M121</f>
        <v>0</v>
      </c>
      <c r="AN121" s="28"/>
      <c r="AO121" s="28" t="n">
        <f aca="false">AN121*$M121</f>
        <v>0</v>
      </c>
      <c r="AP121" s="28" t="n">
        <f aca="false">13200/100</f>
        <v>132</v>
      </c>
      <c r="AQ121" s="28" t="n">
        <v>9240</v>
      </c>
      <c r="AR121" s="28"/>
      <c r="AS121" s="28" t="n">
        <f aca="false">AR121*$M121</f>
        <v>0</v>
      </c>
      <c r="AT121" s="28"/>
      <c r="AU121" s="28" t="n">
        <f aca="false">AT121*$M121</f>
        <v>0</v>
      </c>
      <c r="AV121" s="28"/>
      <c r="AW121" s="28" t="n">
        <f aca="false">AV121*$M121</f>
        <v>0</v>
      </c>
      <c r="AX121" s="28"/>
      <c r="AY121" s="28" t="n">
        <f aca="false">AX121*$M121</f>
        <v>0</v>
      </c>
      <c r="AZ121" s="28"/>
      <c r="BA121" s="28" t="n">
        <f aca="false">AZ121*$M121</f>
        <v>0</v>
      </c>
      <c r="BB121" s="30" t="n">
        <f aca="false">13200/100</f>
        <v>132</v>
      </c>
      <c r="BC121" s="11" t="n">
        <v>9240</v>
      </c>
      <c r="BD121" s="31" t="n">
        <f aca="false">SUM(S121,U121,W121,Y121,AA121,AC121,AE121,AG121,AI121,AK121,AM121,AO121,AQ121,AS121,AU121,AW121,AY121,BA121)</f>
        <v>9240</v>
      </c>
      <c r="BE121" s="28" t="n">
        <f aca="false">BC121-BD121</f>
        <v>0</v>
      </c>
      <c r="BF121" s="32" t="n">
        <f aca="false">SUM(R121,T121,V121,X121,Z121,AB121,AD121,AF121,AH121,AJ121,AL121,AN121,AP121,AR121,AT121,AV121,AX121,AZ121)</f>
        <v>132</v>
      </c>
      <c r="BG121" s="33" t="n">
        <f aca="false">BB121-BF121</f>
        <v>0</v>
      </c>
      <c r="BH121" s="34" t="n">
        <f aca="false">BF121*M121</f>
        <v>9240</v>
      </c>
      <c r="BI121" s="35" t="n">
        <f aca="false">BC121-BH121</f>
        <v>0</v>
      </c>
      <c r="BJ121" s="19" t="str">
        <f aca="false">IF(BI121=0,"",IF(BI121&lt;&gt;BC121,"erreur de calcul",IF(BF121&lt;&gt;0,"pas de prix",IF(M121&lt;&gt; 0,"pas de quantité","pas de prix, ni de quantité"))))</f>
        <v/>
      </c>
      <c r="BK121" s="19"/>
    </row>
    <row r="122" customFormat="false" ht="16" hidden="false" customHeight="false" outlineLevel="0" collapsed="false">
      <c r="A122" s="0" t="n">
        <v>43</v>
      </c>
      <c r="B122" s="8" t="s">
        <v>24</v>
      </c>
      <c r="C122" s="9" t="s">
        <v>25</v>
      </c>
      <c r="D122" s="9" t="s">
        <v>26</v>
      </c>
      <c r="E122" s="10" t="n">
        <v>1789</v>
      </c>
      <c r="F122" s="9" t="s">
        <v>27</v>
      </c>
      <c r="G122" s="9" t="s">
        <v>27</v>
      </c>
      <c r="H122" s="11" t="n">
        <v>21</v>
      </c>
      <c r="I122" s="11" t="s">
        <v>196</v>
      </c>
      <c r="J122" s="14" t="n">
        <v>65</v>
      </c>
      <c r="K122" s="14"/>
      <c r="L122" s="16"/>
      <c r="M122" s="27" t="n">
        <f aca="false">J122+(K122/20)+(L122/240)</f>
        <v>65</v>
      </c>
      <c r="N122" s="17" t="s">
        <v>64</v>
      </c>
      <c r="O122" s="11"/>
      <c r="P122" s="28"/>
      <c r="Q122" s="28" t="str">
        <f aca="false">IF(O122&lt;&gt;"",P122*M122,"")</f>
        <v/>
      </c>
      <c r="R122" s="28"/>
      <c r="S122" s="28" t="n">
        <f aca="false">R122*$M122</f>
        <v>0</v>
      </c>
      <c r="T122" s="28"/>
      <c r="U122" s="28" t="n">
        <f aca="false">T122*$M122</f>
        <v>0</v>
      </c>
      <c r="V122" s="28"/>
      <c r="W122" s="28" t="n">
        <f aca="false">V122*$M122</f>
        <v>0</v>
      </c>
      <c r="X122" s="28"/>
      <c r="Y122" s="28" t="n">
        <f aca="false">X122*$M122</f>
        <v>0</v>
      </c>
      <c r="Z122" s="28" t="n">
        <f aca="false">44247/100</f>
        <v>442.47</v>
      </c>
      <c r="AA122" s="28" t="n">
        <v>28760</v>
      </c>
      <c r="AB122" s="28" t="n">
        <f aca="false">1906/100</f>
        <v>19.06</v>
      </c>
      <c r="AC122" s="28" t="n">
        <v>1239</v>
      </c>
      <c r="AD122" s="28"/>
      <c r="AE122" s="28" t="n">
        <f aca="false">AD122*$M122</f>
        <v>0</v>
      </c>
      <c r="AF122" s="28"/>
      <c r="AG122" s="28" t="n">
        <f aca="false">AF122*$M122</f>
        <v>0</v>
      </c>
      <c r="AH122" s="28"/>
      <c r="AI122" s="28" t="n">
        <f aca="false">AH122*$M122</f>
        <v>0</v>
      </c>
      <c r="AJ122" s="28"/>
      <c r="AK122" s="28" t="n">
        <f aca="false">AJ122*$M122</f>
        <v>0</v>
      </c>
      <c r="AL122" s="28" t="n">
        <f aca="false">625/100</f>
        <v>6.25</v>
      </c>
      <c r="AM122" s="28" t="n">
        <v>406</v>
      </c>
      <c r="AN122" s="28"/>
      <c r="AO122" s="28" t="n">
        <f aca="false">AN122*$M122</f>
        <v>0</v>
      </c>
      <c r="AP122" s="28"/>
      <c r="AQ122" s="28" t="n">
        <f aca="false">AP122*$M122</f>
        <v>0</v>
      </c>
      <c r="AR122" s="28"/>
      <c r="AS122" s="28" t="n">
        <f aca="false">AR122*$M122</f>
        <v>0</v>
      </c>
      <c r="AT122" s="28"/>
      <c r="AU122" s="28" t="n">
        <f aca="false">AT122*$M122</f>
        <v>0</v>
      </c>
      <c r="AV122" s="28"/>
      <c r="AW122" s="28" t="n">
        <f aca="false">AV122*$M122</f>
        <v>0</v>
      </c>
      <c r="AX122" s="28"/>
      <c r="AY122" s="28" t="n">
        <f aca="false">AX122*$M122</f>
        <v>0</v>
      </c>
      <c r="AZ122" s="28"/>
      <c r="BA122" s="28" t="n">
        <f aca="false">AZ122*$M122</f>
        <v>0</v>
      </c>
      <c r="BB122" s="30" t="n">
        <f aca="false">46778/100</f>
        <v>467.78</v>
      </c>
      <c r="BC122" s="11" t="n">
        <v>30405</v>
      </c>
      <c r="BD122" s="31" t="n">
        <f aca="false">SUM(S122,U122,W122,Y122,AA122,AC122,AE122,AG122,AI122,AK122,AM122,AO122,AQ122,AS122,AU122,AW122,AY122,BA122)</f>
        <v>30405</v>
      </c>
      <c r="BE122" s="28" t="n">
        <f aca="false">BC122-BD122</f>
        <v>0</v>
      </c>
      <c r="BF122" s="32" t="n">
        <f aca="false">SUM(R122,T122,V122,X122,Z122,AB122,AD122,AF122,AH122,AJ122,AL122,AN122,AP122,AR122,AT122,AV122,AX122,AZ122)</f>
        <v>467.78</v>
      </c>
      <c r="BG122" s="33" t="n">
        <f aca="false">BB122-BF122</f>
        <v>0</v>
      </c>
      <c r="BH122" s="34" t="n">
        <f aca="false">BF122*M122</f>
        <v>30405.7</v>
      </c>
      <c r="BI122" s="35" t="n">
        <f aca="false">BC122-BH122</f>
        <v>-0.700000000000728</v>
      </c>
      <c r="BJ122" s="19" t="str">
        <f aca="false">IF(BI122=0,"",IF(BI122&lt;&gt;BC122,"erreur de calcul",IF(BF122&lt;&gt;0,"pas de prix",IF(M122&lt;&gt; 0,"pas de quantité","pas de prix, ni de quantité"))))</f>
        <v>erreur de calcul</v>
      </c>
      <c r="BK122" s="19"/>
    </row>
    <row r="123" customFormat="false" ht="16" hidden="false" customHeight="false" outlineLevel="0" collapsed="false">
      <c r="A123" s="0" t="n">
        <v>44</v>
      </c>
      <c r="B123" s="8" t="s">
        <v>24</v>
      </c>
      <c r="C123" s="9" t="s">
        <v>25</v>
      </c>
      <c r="D123" s="9" t="s">
        <v>26</v>
      </c>
      <c r="E123" s="10" t="n">
        <v>1789</v>
      </c>
      <c r="F123" s="9" t="s">
        <v>27</v>
      </c>
      <c r="G123" s="9" t="s">
        <v>27</v>
      </c>
      <c r="H123" s="11" t="n">
        <v>21</v>
      </c>
      <c r="I123" s="11" t="s">
        <v>197</v>
      </c>
      <c r="J123" s="14" t="n">
        <v>70</v>
      </c>
      <c r="K123" s="14"/>
      <c r="L123" s="16"/>
      <c r="M123" s="27" t="n">
        <f aca="false">J123+(K123/20)+(L123/240)</f>
        <v>70</v>
      </c>
      <c r="N123" s="17" t="s">
        <v>64</v>
      </c>
      <c r="O123" s="11"/>
      <c r="P123" s="28"/>
      <c r="Q123" s="28" t="str">
        <f aca="false">IF(O123&lt;&gt;"",P123*M123,"")</f>
        <v/>
      </c>
      <c r="R123" s="28"/>
      <c r="S123" s="28" t="n">
        <f aca="false">R123*$M123</f>
        <v>0</v>
      </c>
      <c r="T123" s="28"/>
      <c r="U123" s="28" t="n">
        <f aca="false">T123*$M123</f>
        <v>0</v>
      </c>
      <c r="V123" s="28"/>
      <c r="W123" s="28" t="n">
        <f aca="false">V123*$M123</f>
        <v>0</v>
      </c>
      <c r="X123" s="28"/>
      <c r="Y123" s="28" t="n">
        <f aca="false">X123*$M123</f>
        <v>0</v>
      </c>
      <c r="Z123" s="28"/>
      <c r="AA123" s="28" t="n">
        <f aca="false">Z123*$M123</f>
        <v>0</v>
      </c>
      <c r="AB123" s="28"/>
      <c r="AC123" s="28" t="n">
        <f aca="false">AB123*$M123</f>
        <v>0</v>
      </c>
      <c r="AD123" s="28"/>
      <c r="AE123" s="28" t="n">
        <f aca="false">AD123*$M123</f>
        <v>0</v>
      </c>
      <c r="AF123" s="28"/>
      <c r="AG123" s="28" t="n">
        <f aca="false">AF123*$M123</f>
        <v>0</v>
      </c>
      <c r="AH123" s="28"/>
      <c r="AI123" s="28" t="n">
        <f aca="false">AH123*$M123</f>
        <v>0</v>
      </c>
      <c r="AJ123" s="28" t="n">
        <f aca="false">156436/100</f>
        <v>1564.36</v>
      </c>
      <c r="AK123" s="28" t="n">
        <v>109505</v>
      </c>
      <c r="AL123" s="28"/>
      <c r="AM123" s="28" t="n">
        <f aca="false">AL123*$M123</f>
        <v>0</v>
      </c>
      <c r="AN123" s="28"/>
      <c r="AO123" s="28" t="n">
        <f aca="false">AN123*$M123</f>
        <v>0</v>
      </c>
      <c r="AP123" s="28"/>
      <c r="AQ123" s="28" t="n">
        <f aca="false">AP123*$M123</f>
        <v>0</v>
      </c>
      <c r="AR123" s="28"/>
      <c r="AS123" s="28" t="n">
        <f aca="false">AR123*$M123</f>
        <v>0</v>
      </c>
      <c r="AT123" s="28"/>
      <c r="AU123" s="28" t="n">
        <f aca="false">AT123*$M123</f>
        <v>0</v>
      </c>
      <c r="AV123" s="28"/>
      <c r="AW123" s="28" t="n">
        <f aca="false">AV123*$M123</f>
        <v>0</v>
      </c>
      <c r="AX123" s="28"/>
      <c r="AY123" s="28" t="n">
        <f aca="false">AX123*$M123</f>
        <v>0</v>
      </c>
      <c r="AZ123" s="28"/>
      <c r="BA123" s="28" t="n">
        <f aca="false">AZ123*$M123</f>
        <v>0</v>
      </c>
      <c r="BB123" s="30" t="n">
        <f aca="false">156436/100</f>
        <v>1564.36</v>
      </c>
      <c r="BC123" s="11" t="n">
        <v>109505</v>
      </c>
      <c r="BD123" s="31" t="n">
        <f aca="false">SUM(S123,U123,W123,Y123,AA123,AC123,AE123,AG123,AI123,AK123,AM123,AO123,AQ123,AS123,AU123,AW123,AY123,BA123)</f>
        <v>109505</v>
      </c>
      <c r="BE123" s="28" t="n">
        <f aca="false">BC123-BD123</f>
        <v>0</v>
      </c>
      <c r="BF123" s="32" t="n">
        <f aca="false">SUM(R123,T123,V123,X123,Z123,AB123,AD123,AF123,AH123,AJ123,AL123,AN123,AP123,AR123,AT123,AV123,AX123,AZ123)</f>
        <v>1564.36</v>
      </c>
      <c r="BG123" s="33" t="n">
        <f aca="false">BB123-BF123</f>
        <v>0</v>
      </c>
      <c r="BH123" s="34" t="n">
        <f aca="false">BF123*M123</f>
        <v>109505.2</v>
      </c>
      <c r="BI123" s="35" t="n">
        <f aca="false">BC123-BH123</f>
        <v>-0.19999999999709</v>
      </c>
      <c r="BJ123" s="19" t="str">
        <f aca="false">IF(BI123=0,"",IF(BI123&lt;&gt;BC123,"erreur de calcul",IF(BF123&lt;&gt;0,"pas de prix",IF(M123&lt;&gt; 0,"pas de quantité","pas de prix, ni de quantité"))))</f>
        <v>erreur de calcul</v>
      </c>
      <c r="BK123" s="19"/>
    </row>
    <row r="124" customFormat="false" ht="16" hidden="false" customHeight="false" outlineLevel="0" collapsed="false">
      <c r="A124" s="0" t="n">
        <v>45</v>
      </c>
      <c r="B124" s="8" t="s">
        <v>24</v>
      </c>
      <c r="C124" s="9" t="s">
        <v>25</v>
      </c>
      <c r="D124" s="9" t="s">
        <v>26</v>
      </c>
      <c r="E124" s="10" t="n">
        <v>1789</v>
      </c>
      <c r="F124" s="9" t="s">
        <v>27</v>
      </c>
      <c r="G124" s="9" t="s">
        <v>27</v>
      </c>
      <c r="H124" s="11" t="n">
        <v>21</v>
      </c>
      <c r="I124" s="11" t="s">
        <v>198</v>
      </c>
      <c r="J124" s="14"/>
      <c r="K124" s="14"/>
      <c r="L124" s="16"/>
      <c r="M124" s="27" t="n">
        <f aca="false">J124+(K124/20)+(L124/240)</f>
        <v>0</v>
      </c>
      <c r="N124" s="17"/>
      <c r="O124" s="11" t="s">
        <v>98</v>
      </c>
      <c r="P124" s="28"/>
      <c r="Q124" s="28" t="n">
        <v>306</v>
      </c>
      <c r="R124" s="28"/>
      <c r="S124" s="28" t="n">
        <v>387</v>
      </c>
      <c r="T124" s="28"/>
      <c r="U124" s="28" t="n">
        <f aca="false">T124*$M124</f>
        <v>0</v>
      </c>
      <c r="V124" s="28"/>
      <c r="W124" s="28" t="n">
        <v>2349</v>
      </c>
      <c r="X124" s="28"/>
      <c r="Y124" s="28" t="n">
        <v>978</v>
      </c>
      <c r="Z124" s="28"/>
      <c r="AA124" s="28" t="n">
        <f aca="false">Z124*$M124</f>
        <v>0</v>
      </c>
      <c r="AB124" s="28"/>
      <c r="AC124" s="28" t="n">
        <f aca="false">AB124*$M124</f>
        <v>0</v>
      </c>
      <c r="AD124" s="28"/>
      <c r="AE124" s="28" t="n">
        <v>328</v>
      </c>
      <c r="AF124" s="28"/>
      <c r="AG124" s="28" t="n">
        <f aca="false">AF124*$M124</f>
        <v>0</v>
      </c>
      <c r="AH124" s="28"/>
      <c r="AI124" s="28" t="n">
        <f aca="false">AH124*$M124</f>
        <v>0</v>
      </c>
      <c r="AJ124" s="28"/>
      <c r="AK124" s="28" t="n">
        <v>878</v>
      </c>
      <c r="AL124" s="28"/>
      <c r="AM124" s="28" t="n">
        <v>1546</v>
      </c>
      <c r="AN124" s="28"/>
      <c r="AO124" s="28" t="n">
        <f aca="false">AN124*$M124</f>
        <v>0</v>
      </c>
      <c r="AP124" s="28"/>
      <c r="AQ124" s="28" t="n">
        <f aca="false">AP124*$M124</f>
        <v>0</v>
      </c>
      <c r="AR124" s="28"/>
      <c r="AS124" s="28" t="n">
        <f aca="false">AR124*$M124</f>
        <v>0</v>
      </c>
      <c r="AT124" s="28"/>
      <c r="AU124" s="28" t="n">
        <f aca="false">AT124*$M124</f>
        <v>0</v>
      </c>
      <c r="AV124" s="28"/>
      <c r="AW124" s="28" t="n">
        <f aca="false">AV124*$M124</f>
        <v>0</v>
      </c>
      <c r="AX124" s="28"/>
      <c r="AY124" s="28" t="n">
        <f aca="false">AX124*$M124</f>
        <v>0</v>
      </c>
      <c r="AZ124" s="28"/>
      <c r="BA124" s="28" t="n">
        <f aca="false">AZ124*$M124</f>
        <v>0</v>
      </c>
      <c r="BB124" s="30"/>
      <c r="BC124" s="11" t="n">
        <v>6466</v>
      </c>
      <c r="BD124" s="31" t="n">
        <f aca="false">SUM(S124,U124,W124,Y124,AA124,AC124,AE124,AG124,AI124,AK124,AM124,AO124,AQ124,AS124,AU124,AW124,AY124,BA124)</f>
        <v>6466</v>
      </c>
      <c r="BE124" s="28" t="n">
        <f aca="false">BC124-BD124</f>
        <v>0</v>
      </c>
      <c r="BF124" s="32" t="n">
        <f aca="false">SUM(R124,T124,V124,X124,Z124,AB124,AD124,AF124,AH124,AJ124,AL124,AN124,AP124,AR124,AT124,AV124,AX124,AZ124)</f>
        <v>0</v>
      </c>
      <c r="BG124" s="33" t="n">
        <f aca="false">BB124-BF124</f>
        <v>0</v>
      </c>
      <c r="BH124" s="34" t="n">
        <f aca="false">BF124*M124</f>
        <v>0</v>
      </c>
      <c r="BI124" s="35" t="n">
        <f aca="false">BC124-BH124</f>
        <v>6466</v>
      </c>
      <c r="BJ124" s="19" t="str">
        <f aca="false">IF(BI124=0,"",IF(BI124&lt;&gt;BC124,"erreur de calcul",IF(BF124&lt;&gt;0,"pas de prix",IF(M124&lt;&gt; 0,"pas de quantité","pas de prix, ni de quantité"))))</f>
        <v>pas de prix, ni de quantité</v>
      </c>
      <c r="BK124" s="19"/>
    </row>
    <row r="125" customFormat="false" ht="16" hidden="false" customHeight="false" outlineLevel="0" collapsed="false">
      <c r="A125" s="0" t="n">
        <v>46</v>
      </c>
      <c r="B125" s="8" t="s">
        <v>24</v>
      </c>
      <c r="C125" s="9" t="s">
        <v>25</v>
      </c>
      <c r="D125" s="9" t="s">
        <v>26</v>
      </c>
      <c r="E125" s="10" t="n">
        <v>1789</v>
      </c>
      <c r="F125" s="9" t="s">
        <v>27</v>
      </c>
      <c r="G125" s="9" t="s">
        <v>27</v>
      </c>
      <c r="H125" s="11" t="n">
        <v>21</v>
      </c>
      <c r="I125" s="11" t="s">
        <v>199</v>
      </c>
      <c r="J125" s="14" t="n">
        <v>27</v>
      </c>
      <c r="K125" s="14"/>
      <c r="L125" s="16"/>
      <c r="M125" s="27" t="n">
        <f aca="false">J125+(K125/20)+(L125/240)</f>
        <v>27</v>
      </c>
      <c r="N125" s="17" t="s">
        <v>64</v>
      </c>
      <c r="O125" s="11"/>
      <c r="P125" s="28"/>
      <c r="Q125" s="28" t="str">
        <f aca="false">IF(O125&lt;&gt;"",P125*M125,"")</f>
        <v/>
      </c>
      <c r="R125" s="28" t="n">
        <f aca="false">108627/100</f>
        <v>1086.27</v>
      </c>
      <c r="S125" s="28" t="n">
        <v>29329</v>
      </c>
      <c r="T125" s="28"/>
      <c r="U125" s="28" t="n">
        <f aca="false">T125*$M125</f>
        <v>0</v>
      </c>
      <c r="V125" s="28"/>
      <c r="W125" s="28" t="n">
        <f aca="false">V125*$M125</f>
        <v>0</v>
      </c>
      <c r="X125" s="28"/>
      <c r="Y125" s="28" t="n">
        <f aca="false">X125*$M125</f>
        <v>0</v>
      </c>
      <c r="Z125" s="28"/>
      <c r="AA125" s="28" t="n">
        <f aca="false">Z125*$M125</f>
        <v>0</v>
      </c>
      <c r="AB125" s="28" t="n">
        <f aca="false">535243/100</f>
        <v>5352.43</v>
      </c>
      <c r="AC125" s="28" t="n">
        <v>144516</v>
      </c>
      <c r="AD125" s="28"/>
      <c r="AE125" s="28" t="n">
        <f aca="false">AD125*$M125</f>
        <v>0</v>
      </c>
      <c r="AF125" s="28" t="n">
        <f aca="false">75759/100</f>
        <v>757.59</v>
      </c>
      <c r="AG125" s="28" t="n">
        <v>20455</v>
      </c>
      <c r="AH125" s="28"/>
      <c r="AI125" s="28" t="n">
        <f aca="false">AH125*$M125</f>
        <v>0</v>
      </c>
      <c r="AJ125" s="28" t="n">
        <f aca="false">77800/100</f>
        <v>778</v>
      </c>
      <c r="AK125" s="36" t="n">
        <v>21016</v>
      </c>
      <c r="AL125" s="28" t="n">
        <f aca="false">28078/100</f>
        <v>280.78</v>
      </c>
      <c r="AM125" s="28" t="n">
        <v>7581</v>
      </c>
      <c r="AN125" s="28" t="n">
        <f aca="false">15417/100</f>
        <v>154.17</v>
      </c>
      <c r="AO125" s="28" t="n">
        <v>4162</v>
      </c>
      <c r="AP125" s="28"/>
      <c r="AQ125" s="28" t="n">
        <f aca="false">AP125*$M125</f>
        <v>0</v>
      </c>
      <c r="AR125" s="28"/>
      <c r="AS125" s="28" t="n">
        <f aca="false">AR125*$M125</f>
        <v>0</v>
      </c>
      <c r="AT125" s="28"/>
      <c r="AU125" s="28" t="n">
        <f aca="false">AT125*$M125</f>
        <v>0</v>
      </c>
      <c r="AV125" s="28"/>
      <c r="AW125" s="28" t="n">
        <f aca="false">AV125*$M125</f>
        <v>0</v>
      </c>
      <c r="AX125" s="28"/>
      <c r="AY125" s="28" t="n">
        <f aca="false">AX125*$M125</f>
        <v>0</v>
      </c>
      <c r="AZ125" s="28"/>
      <c r="BA125" s="28" t="n">
        <f aca="false">AZ125*$M125</f>
        <v>0</v>
      </c>
      <c r="BB125" s="30" t="n">
        <f aca="false">840924/100</f>
        <v>8409.24</v>
      </c>
      <c r="BC125" s="11" t="n">
        <v>227059</v>
      </c>
      <c r="BD125" s="31" t="n">
        <f aca="false">SUM(S125,U125,W125,Y125,AA125,AC125,AE125,AG125,AI125,AK125,AM125,AO125,AQ125,AS125,AU125,AW125,AY125,BA125)</f>
        <v>227059</v>
      </c>
      <c r="BE125" s="28" t="n">
        <f aca="false">BC125-BD125</f>
        <v>0</v>
      </c>
      <c r="BF125" s="32" t="n">
        <f aca="false">SUM(R125,T125,V125,X125,Z125,AB125,AD125,AF125,AH125,AJ125,AL125,AN125,AP125,AR125,AT125,AV125,AX125,AZ125)</f>
        <v>8409.24</v>
      </c>
      <c r="BG125" s="33" t="n">
        <f aca="false">BB125-BF125</f>
        <v>0</v>
      </c>
      <c r="BH125" s="34" t="n">
        <f aca="false">BF125*M125</f>
        <v>227049.48</v>
      </c>
      <c r="BI125" s="35" t="n">
        <f aca="false">BC125-BH125</f>
        <v>9.52000000001863</v>
      </c>
      <c r="BJ125" s="19" t="str">
        <f aca="false">IF(BI125=0,"",IF(BI125&lt;&gt;BC125,"erreur de calcul",IF(BF125&lt;&gt;0,"pas de prix",IF(M125&lt;&gt; 0,"pas de quantité","pas de prix, ni de quantité"))))</f>
        <v>erreur de calcul</v>
      </c>
      <c r="BK125" s="19"/>
    </row>
    <row r="126" customFormat="false" ht="16" hidden="false" customHeight="false" outlineLevel="0" collapsed="false">
      <c r="A126" s="0" t="n">
        <v>47</v>
      </c>
      <c r="B126" s="8" t="s">
        <v>24</v>
      </c>
      <c r="C126" s="9" t="s">
        <v>25</v>
      </c>
      <c r="D126" s="9" t="s">
        <v>26</v>
      </c>
      <c r="E126" s="10" t="n">
        <v>1789</v>
      </c>
      <c r="F126" s="9" t="s">
        <v>27</v>
      </c>
      <c r="G126" s="9" t="s">
        <v>27</v>
      </c>
      <c r="H126" s="11" t="n">
        <v>21</v>
      </c>
      <c r="I126" s="11" t="s">
        <v>200</v>
      </c>
      <c r="J126" s="14" t="n">
        <v>25</v>
      </c>
      <c r="K126" s="14"/>
      <c r="L126" s="16"/>
      <c r="M126" s="27" t="n">
        <f aca="false">J126+(K126/20)+(L126/240)</f>
        <v>25</v>
      </c>
      <c r="N126" s="17" t="s">
        <v>64</v>
      </c>
      <c r="O126" s="11"/>
      <c r="P126" s="28"/>
      <c r="Q126" s="28" t="str">
        <f aca="false">IF(O126&lt;&gt;"",P126*M126,"")</f>
        <v/>
      </c>
      <c r="R126" s="28"/>
      <c r="S126" s="28" t="n">
        <f aca="false">R126*$M126</f>
        <v>0</v>
      </c>
      <c r="T126" s="28"/>
      <c r="U126" s="28" t="n">
        <f aca="false">T126*$M126</f>
        <v>0</v>
      </c>
      <c r="V126" s="28" t="n">
        <f aca="false">56427/100</f>
        <v>564.27</v>
      </c>
      <c r="W126" s="28" t="n">
        <v>14107</v>
      </c>
      <c r="X126" s="28"/>
      <c r="Y126" s="28" t="n">
        <f aca="false">X126*$M126</f>
        <v>0</v>
      </c>
      <c r="Z126" s="28" t="n">
        <f aca="false">98758/100</f>
        <v>987.58</v>
      </c>
      <c r="AA126" s="28" t="n">
        <v>24689</v>
      </c>
      <c r="AB126" s="28"/>
      <c r="AC126" s="28" t="n">
        <f aca="false">AB126*$M126</f>
        <v>0</v>
      </c>
      <c r="AD126" s="28"/>
      <c r="AE126" s="28" t="n">
        <f aca="false">AD126*$M126</f>
        <v>0</v>
      </c>
      <c r="AF126" s="28"/>
      <c r="AG126" s="28" t="n">
        <f aca="false">AF126*$M126</f>
        <v>0</v>
      </c>
      <c r="AH126" s="28"/>
      <c r="AI126" s="28" t="n">
        <f aca="false">AH126*$M126</f>
        <v>0</v>
      </c>
      <c r="AJ126" s="28"/>
      <c r="AK126" s="28" t="n">
        <f aca="false">AJ126*$M126</f>
        <v>0</v>
      </c>
      <c r="AL126" s="28"/>
      <c r="AM126" s="28" t="n">
        <f aca="false">AL126*$M126</f>
        <v>0</v>
      </c>
      <c r="AN126" s="28"/>
      <c r="AO126" s="28" t="n">
        <f aca="false">AN126*$M126</f>
        <v>0</v>
      </c>
      <c r="AP126" s="28"/>
      <c r="AQ126" s="28" t="n">
        <f aca="false">AP126*$M126</f>
        <v>0</v>
      </c>
      <c r="AR126" s="28"/>
      <c r="AS126" s="28" t="n">
        <f aca="false">AR126*$M126</f>
        <v>0</v>
      </c>
      <c r="AT126" s="28"/>
      <c r="AU126" s="28" t="n">
        <f aca="false">AT126*$M126</f>
        <v>0</v>
      </c>
      <c r="AV126" s="28"/>
      <c r="AW126" s="28" t="n">
        <f aca="false">AV126*$M126</f>
        <v>0</v>
      </c>
      <c r="AX126" s="28"/>
      <c r="AY126" s="28" t="n">
        <f aca="false">AX126*$M126</f>
        <v>0</v>
      </c>
      <c r="AZ126" s="28"/>
      <c r="BA126" s="28" t="n">
        <f aca="false">AZ126*$M126</f>
        <v>0</v>
      </c>
      <c r="BB126" s="30" t="n">
        <f aca="false">155115/100</f>
        <v>1551.15</v>
      </c>
      <c r="BC126" s="11" t="n">
        <v>38796</v>
      </c>
      <c r="BD126" s="31" t="n">
        <f aca="false">SUM(S126,U126,W126,Y126,AA126,AC126,AE126,AG126,AI126,AK126,AM126,AO126,AQ126,AS126,AU126,AW126,AY126,BA126)</f>
        <v>38796</v>
      </c>
      <c r="BE126" s="28" t="n">
        <f aca="false">BC126-BD126</f>
        <v>0</v>
      </c>
      <c r="BF126" s="32" t="n">
        <f aca="false">SUM(R126,T126,V126,X126,Z126,AB126,AD126,AF126,AH126,AJ126,AL126,AN126,AP126,AR126,AT126,AV126,AX126,AZ126)</f>
        <v>1551.85</v>
      </c>
      <c r="BG126" s="33" t="n">
        <f aca="false">BB126-BF126</f>
        <v>-0.699999999999818</v>
      </c>
      <c r="BH126" s="34" t="n">
        <f aca="false">BF126*M126</f>
        <v>38796.25</v>
      </c>
      <c r="BI126" s="35" t="n">
        <f aca="false">BC126-BH126</f>
        <v>-0.25</v>
      </c>
      <c r="BJ126" s="19" t="str">
        <f aca="false">IF(BI126=0,"",IF(BI126&lt;&gt;BC126,"erreur de calcul",IF(BF126&lt;&gt;0,"pas de prix",IF(M126&lt;&gt; 0,"pas de quantité","pas de prix, ni de quantité"))))</f>
        <v>erreur de calcul</v>
      </c>
      <c r="BK126" s="19"/>
    </row>
    <row r="127" customFormat="false" ht="16" hidden="false" customHeight="false" outlineLevel="0" collapsed="false">
      <c r="A127" s="0" t="n">
        <v>48</v>
      </c>
      <c r="B127" s="8" t="s">
        <v>24</v>
      </c>
      <c r="C127" s="9" t="s">
        <v>25</v>
      </c>
      <c r="D127" s="9" t="s">
        <v>26</v>
      </c>
      <c r="E127" s="10" t="n">
        <v>1789</v>
      </c>
      <c r="F127" s="9" t="s">
        <v>27</v>
      </c>
      <c r="G127" s="9" t="s">
        <v>27</v>
      </c>
      <c r="H127" s="11" t="n">
        <v>21</v>
      </c>
      <c r="I127" s="11" t="s">
        <v>201</v>
      </c>
      <c r="J127" s="14"/>
      <c r="K127" s="14" t="n">
        <v>15</v>
      </c>
      <c r="L127" s="16"/>
      <c r="M127" s="27" t="n">
        <f aca="false">J127+(K127/20)+(L127/240)</f>
        <v>0.75</v>
      </c>
      <c r="N127" s="17" t="s">
        <v>66</v>
      </c>
      <c r="O127" s="11"/>
      <c r="P127" s="28"/>
      <c r="Q127" s="28" t="str">
        <f aca="false">IF(O127&lt;&gt;"",P127*M127,"")</f>
        <v/>
      </c>
      <c r="R127" s="28"/>
      <c r="S127" s="28" t="n">
        <f aca="false">R127*$M127</f>
        <v>0</v>
      </c>
      <c r="T127" s="28"/>
      <c r="U127" s="28" t="n">
        <f aca="false">T127*$M127</f>
        <v>0</v>
      </c>
      <c r="V127" s="28"/>
      <c r="W127" s="28" t="n">
        <f aca="false">V127*$M127</f>
        <v>0</v>
      </c>
      <c r="X127" s="28"/>
      <c r="Y127" s="28" t="n">
        <f aca="false">X127*$M127</f>
        <v>0</v>
      </c>
      <c r="Z127" s="28"/>
      <c r="AA127" s="28" t="n">
        <f aca="false">Z127*$M127</f>
        <v>0</v>
      </c>
      <c r="AB127" s="28"/>
      <c r="AC127" s="28" t="n">
        <f aca="false">AB127*$M127</f>
        <v>0</v>
      </c>
      <c r="AD127" s="28"/>
      <c r="AE127" s="28" t="n">
        <f aca="false">AD127*$M127</f>
        <v>0</v>
      </c>
      <c r="AF127" s="28"/>
      <c r="AG127" s="28" t="n">
        <f aca="false">AF127*$M127</f>
        <v>0</v>
      </c>
      <c r="AH127" s="28"/>
      <c r="AI127" s="28" t="n">
        <f aca="false">AH127*$M127</f>
        <v>0</v>
      </c>
      <c r="AJ127" s="28"/>
      <c r="AK127" s="28" t="n">
        <f aca="false">AJ127*$M127</f>
        <v>0</v>
      </c>
      <c r="AL127" s="28" t="n">
        <v>6171</v>
      </c>
      <c r="AM127" s="28" t="n">
        <v>4628</v>
      </c>
      <c r="AN127" s="28"/>
      <c r="AO127" s="28" t="n">
        <f aca="false">AN127*$M127</f>
        <v>0</v>
      </c>
      <c r="AP127" s="28"/>
      <c r="AQ127" s="28" t="n">
        <f aca="false">AP127*$M127</f>
        <v>0</v>
      </c>
      <c r="AR127" s="28"/>
      <c r="AS127" s="28" t="n">
        <f aca="false">AR127*$M127</f>
        <v>0</v>
      </c>
      <c r="AT127" s="28"/>
      <c r="AU127" s="28" t="n">
        <f aca="false">AT127*$M127</f>
        <v>0</v>
      </c>
      <c r="AV127" s="28"/>
      <c r="AW127" s="28" t="n">
        <f aca="false">AV127*$M127</f>
        <v>0</v>
      </c>
      <c r="AX127" s="28"/>
      <c r="AY127" s="28" t="n">
        <f aca="false">AX127*$M127</f>
        <v>0</v>
      </c>
      <c r="AZ127" s="28"/>
      <c r="BA127" s="28" t="n">
        <f aca="false">AZ127*$M127</f>
        <v>0</v>
      </c>
      <c r="BB127" s="30" t="n">
        <v>6171</v>
      </c>
      <c r="BC127" s="11" t="n">
        <v>4628</v>
      </c>
      <c r="BD127" s="31" t="n">
        <f aca="false">SUM(S127,U127,W127,Y127,AA127,AC127,AE127,AG127,AI127,AK127,AM127,AO127,AQ127,AS127,AU127,AW127,AY127,BA127)</f>
        <v>4628</v>
      </c>
      <c r="BE127" s="28" t="n">
        <f aca="false">BC127-BD127</f>
        <v>0</v>
      </c>
      <c r="BF127" s="32" t="n">
        <f aca="false">SUM(R127,T127,V127,X127,Z127,AB127,AD127,AF127,AH127,AJ127,AL127,AN127,AP127,AR127,AT127,AV127,AX127,AZ127)</f>
        <v>6171</v>
      </c>
      <c r="BG127" s="33" t="n">
        <f aca="false">BB127-BF127</f>
        <v>0</v>
      </c>
      <c r="BH127" s="34" t="n">
        <f aca="false">BF127*M127</f>
        <v>4628.25</v>
      </c>
      <c r="BI127" s="35" t="n">
        <f aca="false">BC127-BH127</f>
        <v>-0.25</v>
      </c>
      <c r="BJ127" s="19" t="str">
        <f aca="false">IF(BI127=0,"",IF(BI127&lt;&gt;BC127,"erreur de calcul",IF(BF127&lt;&gt;0,"pas de prix",IF(M127&lt;&gt; 0,"pas de quantité","pas de prix, ni de quantité"))))</f>
        <v>erreur de calcul</v>
      </c>
      <c r="BK127" s="19"/>
    </row>
    <row r="128" customFormat="false" ht="16" hidden="false" customHeight="false" outlineLevel="0" collapsed="false">
      <c r="A128" s="0" t="n">
        <v>1</v>
      </c>
      <c r="B128" s="8" t="s">
        <v>24</v>
      </c>
      <c r="C128" s="9" t="s">
        <v>25</v>
      </c>
      <c r="D128" s="9" t="s">
        <v>26</v>
      </c>
      <c r="E128" s="10" t="n">
        <v>1789</v>
      </c>
      <c r="F128" s="9" t="s">
        <v>27</v>
      </c>
      <c r="G128" s="9" t="s">
        <v>27</v>
      </c>
      <c r="H128" s="11" t="n">
        <v>22</v>
      </c>
      <c r="I128" s="11" t="s">
        <v>202</v>
      </c>
      <c r="J128" s="14" t="n">
        <v>10</v>
      </c>
      <c r="K128" s="14"/>
      <c r="L128" s="16"/>
      <c r="M128" s="27" t="n">
        <f aca="false">J128+(K128/20)+(L128/240)</f>
        <v>10</v>
      </c>
      <c r="N128" s="17" t="s">
        <v>64</v>
      </c>
      <c r="O128" s="11"/>
      <c r="P128" s="28"/>
      <c r="Q128" s="28" t="str">
        <f aca="false">IF(O128&lt;&gt;"",P128*M128,"")</f>
        <v/>
      </c>
      <c r="R128" s="28" t="n">
        <f aca="false">36147/100</f>
        <v>361.47</v>
      </c>
      <c r="S128" s="28" t="n">
        <v>3615</v>
      </c>
      <c r="T128" s="28"/>
      <c r="U128" s="28" t="n">
        <f aca="false">T128*$M128</f>
        <v>0</v>
      </c>
      <c r="V128" s="28"/>
      <c r="W128" s="28" t="n">
        <f aca="false">V128*$M128</f>
        <v>0</v>
      </c>
      <c r="X128" s="28"/>
      <c r="Y128" s="28" t="n">
        <f aca="false">X128*$M128</f>
        <v>0</v>
      </c>
      <c r="Z128" s="28"/>
      <c r="AA128" s="28" t="n">
        <f aca="false">Z128*$M128</f>
        <v>0</v>
      </c>
      <c r="AB128" s="28"/>
      <c r="AC128" s="28" t="n">
        <f aca="false">AB128*$M128</f>
        <v>0</v>
      </c>
      <c r="AD128" s="28" t="n">
        <f aca="false">14437/100</f>
        <v>144.37</v>
      </c>
      <c r="AE128" s="28" t="n">
        <v>1444</v>
      </c>
      <c r="AF128" s="28"/>
      <c r="AG128" s="28" t="n">
        <f aca="false">AF128*$M128</f>
        <v>0</v>
      </c>
      <c r="AH128" s="28"/>
      <c r="AI128" s="28" t="n">
        <f aca="false">AH128*$M128</f>
        <v>0</v>
      </c>
      <c r="AJ128" s="28"/>
      <c r="AK128" s="28" t="n">
        <f aca="false">AJ128*$M128</f>
        <v>0</v>
      </c>
      <c r="AL128" s="28" t="n">
        <f aca="false">36351/100</f>
        <v>363.51</v>
      </c>
      <c r="AM128" s="28" t="n">
        <v>3635</v>
      </c>
      <c r="AN128" s="28"/>
      <c r="AO128" s="28" t="n">
        <f aca="false">AN128*$M128</f>
        <v>0</v>
      </c>
      <c r="AP128" s="28"/>
      <c r="AQ128" s="28" t="n">
        <f aca="false">AP128*$M128</f>
        <v>0</v>
      </c>
      <c r="AR128" s="28"/>
      <c r="AS128" s="28" t="n">
        <f aca="false">AR128*$M128</f>
        <v>0</v>
      </c>
      <c r="AT128" s="28" t="n">
        <f aca="false">25120/100</f>
        <v>251.2</v>
      </c>
      <c r="AU128" s="28" t="n">
        <v>2512</v>
      </c>
      <c r="AV128" s="28"/>
      <c r="AW128" s="28" t="n">
        <f aca="false">AV128*$M128</f>
        <v>0</v>
      </c>
      <c r="AX128" s="28"/>
      <c r="AY128" s="28" t="n">
        <f aca="false">AX128*$M128</f>
        <v>0</v>
      </c>
      <c r="AZ128" s="28"/>
      <c r="BA128" s="28" t="n">
        <f aca="false">AZ128*$M128</f>
        <v>0</v>
      </c>
      <c r="BB128" s="30" t="n">
        <f aca="false">112055/100</f>
        <v>1120.55</v>
      </c>
      <c r="BC128" s="11" t="n">
        <v>11206</v>
      </c>
      <c r="BD128" s="31" t="n">
        <f aca="false">SUM(S128,U128,W128,Y128,AA128,AC128,AE128,AG128,AI128,AK128,AM128,AO128,AQ128,AS128,AU128,AW128,AY128,BA128)</f>
        <v>11206</v>
      </c>
      <c r="BE128" s="28" t="n">
        <f aca="false">BC128-BD128</f>
        <v>0</v>
      </c>
      <c r="BF128" s="32" t="n">
        <f aca="false">SUM(R128,T128,V128,X128,Z128,AB128,AD128,AF128,AH128,AJ128,AL128,AN128,AP128,AR128,AT128,AV128,AX128,AZ128)</f>
        <v>1120.55</v>
      </c>
      <c r="BG128" s="33" t="n">
        <f aca="false">BB128-BF128</f>
        <v>0</v>
      </c>
      <c r="BH128" s="34" t="n">
        <f aca="false">BF128*M128</f>
        <v>11205.5</v>
      </c>
      <c r="BI128" s="35" t="n">
        <f aca="false">BC128-BH128</f>
        <v>0.499999999998181</v>
      </c>
      <c r="BJ128" s="19" t="str">
        <f aca="false">IF(BI128=0,"",IF(BI128&lt;&gt;BC128,"erreur de calcul",IF(BF128&lt;&gt;0,"pas de prix",IF(M128&lt;&gt; 0,"pas de quantité","pas de prix, ni de quantité"))))</f>
        <v>erreur de calcul</v>
      </c>
      <c r="BK128" s="19"/>
    </row>
    <row r="129" customFormat="false" ht="16" hidden="false" customHeight="false" outlineLevel="0" collapsed="false">
      <c r="A129" s="0" t="n">
        <v>2</v>
      </c>
      <c r="B129" s="8" t="s">
        <v>24</v>
      </c>
      <c r="C129" s="9" t="s">
        <v>25</v>
      </c>
      <c r="D129" s="9" t="s">
        <v>26</v>
      </c>
      <c r="E129" s="10" t="n">
        <v>1789</v>
      </c>
      <c r="F129" s="9" t="s">
        <v>27</v>
      </c>
      <c r="G129" s="9" t="s">
        <v>27</v>
      </c>
      <c r="H129" s="11" t="n">
        <v>22</v>
      </c>
      <c r="I129" s="11" t="s">
        <v>203</v>
      </c>
      <c r="J129" s="14" t="n">
        <v>20</v>
      </c>
      <c r="K129" s="14"/>
      <c r="L129" s="16"/>
      <c r="M129" s="27" t="n">
        <f aca="false">J129+(K129/20)+(L129/240)</f>
        <v>20</v>
      </c>
      <c r="N129" s="17" t="s">
        <v>64</v>
      </c>
      <c r="O129" s="11"/>
      <c r="P129" s="28"/>
      <c r="Q129" s="28" t="str">
        <f aca="false">IF(O129&lt;&gt;"",P129*M129,"")</f>
        <v/>
      </c>
      <c r="R129" s="28"/>
      <c r="S129" s="28" t="n">
        <f aca="false">R129*$M129</f>
        <v>0</v>
      </c>
      <c r="T129" s="28"/>
      <c r="U129" s="28" t="n">
        <f aca="false">T129*$M129</f>
        <v>0</v>
      </c>
      <c r="V129" s="28"/>
      <c r="W129" s="28" t="n">
        <f aca="false">V129*$M129</f>
        <v>0</v>
      </c>
      <c r="X129" s="28"/>
      <c r="Y129" s="28" t="n">
        <f aca="false">X129*$M129</f>
        <v>0</v>
      </c>
      <c r="Z129" s="28"/>
      <c r="AA129" s="28" t="n">
        <f aca="false">Z129*$M129</f>
        <v>0</v>
      </c>
      <c r="AB129" s="28"/>
      <c r="AC129" s="28" t="n">
        <f aca="false">AB129*$M129</f>
        <v>0</v>
      </c>
      <c r="AD129" s="28"/>
      <c r="AE129" s="28" t="n">
        <f aca="false">AD129*$M129</f>
        <v>0</v>
      </c>
      <c r="AF129" s="28"/>
      <c r="AG129" s="28" t="n">
        <f aca="false">AF129*$M129</f>
        <v>0</v>
      </c>
      <c r="AH129" s="28"/>
      <c r="AI129" s="28" t="n">
        <f aca="false">AH129*$M129</f>
        <v>0</v>
      </c>
      <c r="AJ129" s="28"/>
      <c r="AK129" s="28" t="n">
        <f aca="false">AJ129*$M129</f>
        <v>0</v>
      </c>
      <c r="AL129" s="28" t="n">
        <f aca="false">109254/100</f>
        <v>1092.54</v>
      </c>
      <c r="AM129" s="28" t="n">
        <v>21851</v>
      </c>
      <c r="AN129" s="28"/>
      <c r="AO129" s="28" t="n">
        <f aca="false">AN129*$M129</f>
        <v>0</v>
      </c>
      <c r="AP129" s="28"/>
      <c r="AQ129" s="28" t="n">
        <f aca="false">AP129*$M129</f>
        <v>0</v>
      </c>
      <c r="AR129" s="28"/>
      <c r="AS129" s="28" t="n">
        <f aca="false">AR129*$M129</f>
        <v>0</v>
      </c>
      <c r="AT129" s="28"/>
      <c r="AU129" s="28" t="n">
        <f aca="false">AT129*$M129</f>
        <v>0</v>
      </c>
      <c r="AV129" s="28"/>
      <c r="AW129" s="28" t="n">
        <f aca="false">AV129*$M129</f>
        <v>0</v>
      </c>
      <c r="AX129" s="28"/>
      <c r="AY129" s="28" t="n">
        <f aca="false">AX129*$M129</f>
        <v>0</v>
      </c>
      <c r="AZ129" s="28"/>
      <c r="BA129" s="28" t="n">
        <f aca="false">AZ129*$M129</f>
        <v>0</v>
      </c>
      <c r="BB129" s="30" t="n">
        <f aca="false">109254/100</f>
        <v>1092.54</v>
      </c>
      <c r="BC129" s="11" t="n">
        <v>21851</v>
      </c>
      <c r="BD129" s="31" t="n">
        <f aca="false">SUM(S129,U129,W129,Y129,AA129,AC129,AE129,AG129,AI129,AK129,AM129,AO129,AQ129,AS129,AU129,AW129,AY129,BA129)</f>
        <v>21851</v>
      </c>
      <c r="BE129" s="28" t="n">
        <f aca="false">BC129-BD129</f>
        <v>0</v>
      </c>
      <c r="BF129" s="32" t="n">
        <f aca="false">SUM(R129,T129,V129,X129,Z129,AB129,AD129,AF129,AH129,AJ129,AL129,AN129,AP129,AR129,AT129,AV129,AX129,AZ129)</f>
        <v>1092.54</v>
      </c>
      <c r="BG129" s="33" t="n">
        <f aca="false">BB129-BF129</f>
        <v>0</v>
      </c>
      <c r="BH129" s="34" t="n">
        <f aca="false">BF129*M129</f>
        <v>21850.8</v>
      </c>
      <c r="BI129" s="35" t="n">
        <f aca="false">BC129-BH129</f>
        <v>0.200000000000728</v>
      </c>
      <c r="BJ129" s="19" t="str">
        <f aca="false">IF(BI129=0,"",IF(BI129&lt;&gt;BC129,"erreur de calcul",IF(BF129&lt;&gt;0,"pas de prix",IF(M129&lt;&gt; 0,"pas de quantité","pas de prix, ni de quantité"))))</f>
        <v>erreur de calcul</v>
      </c>
      <c r="BK129" s="19"/>
    </row>
    <row r="130" customFormat="false" ht="16" hidden="false" customHeight="false" outlineLevel="0" collapsed="false">
      <c r="A130" s="0" t="n">
        <v>3</v>
      </c>
      <c r="B130" s="8" t="s">
        <v>24</v>
      </c>
      <c r="C130" s="9" t="s">
        <v>25</v>
      </c>
      <c r="D130" s="9" t="s">
        <v>26</v>
      </c>
      <c r="E130" s="10" t="n">
        <v>1789</v>
      </c>
      <c r="F130" s="9" t="s">
        <v>27</v>
      </c>
      <c r="G130" s="9" t="s">
        <v>27</v>
      </c>
      <c r="H130" s="11" t="n">
        <v>22</v>
      </c>
      <c r="I130" s="11" t="s">
        <v>204</v>
      </c>
      <c r="J130" s="14" t="n">
        <v>20</v>
      </c>
      <c r="K130" s="14"/>
      <c r="L130" s="16"/>
      <c r="M130" s="27" t="n">
        <f aca="false">J130+(K130/20)+(L130/240)</f>
        <v>20</v>
      </c>
      <c r="N130" s="17" t="s">
        <v>66</v>
      </c>
      <c r="O130" s="11"/>
      <c r="P130" s="28"/>
      <c r="Q130" s="28" t="str">
        <f aca="false">IF(O130&lt;&gt;"",P130*M130,"")</f>
        <v/>
      </c>
      <c r="R130" s="28" t="n">
        <v>106125</v>
      </c>
      <c r="S130" s="36" t="n">
        <v>2162500</v>
      </c>
      <c r="T130" s="28"/>
      <c r="U130" s="28" t="n">
        <f aca="false">T130*$M130</f>
        <v>0</v>
      </c>
      <c r="V130" s="28"/>
      <c r="W130" s="28" t="n">
        <f aca="false">V130*$M130</f>
        <v>0</v>
      </c>
      <c r="X130" s="28"/>
      <c r="Y130" s="28" t="n">
        <f aca="false">X130*$M130</f>
        <v>0</v>
      </c>
      <c r="Z130" s="28"/>
      <c r="AA130" s="28" t="n">
        <f aca="false">Z130*$M130</f>
        <v>0</v>
      </c>
      <c r="AB130" s="28"/>
      <c r="AC130" s="28" t="n">
        <f aca="false">AB130*$M130</f>
        <v>0</v>
      </c>
      <c r="AD130" s="28"/>
      <c r="AE130" s="28" t="n">
        <f aca="false">AD130*$M130</f>
        <v>0</v>
      </c>
      <c r="AF130" s="28"/>
      <c r="AG130" s="28" t="n">
        <f aca="false">AF130*$M130</f>
        <v>0</v>
      </c>
      <c r="AH130" s="28"/>
      <c r="AI130" s="28" t="n">
        <f aca="false">AH130*$M130</f>
        <v>0</v>
      </c>
      <c r="AJ130" s="28"/>
      <c r="AK130" s="28" t="n">
        <f aca="false">AJ130*$M130</f>
        <v>0</v>
      </c>
      <c r="AL130" s="28"/>
      <c r="AM130" s="28" t="n">
        <f aca="false">AL130*$M130</f>
        <v>0</v>
      </c>
      <c r="AN130" s="28"/>
      <c r="AO130" s="28" t="n">
        <f aca="false">AN130*$M130</f>
        <v>0</v>
      </c>
      <c r="AP130" s="28"/>
      <c r="AQ130" s="28" t="n">
        <f aca="false">AP130*$M130</f>
        <v>0</v>
      </c>
      <c r="AR130" s="28"/>
      <c r="AS130" s="28" t="n">
        <f aca="false">AR130*$M130</f>
        <v>0</v>
      </c>
      <c r="AT130" s="28"/>
      <c r="AU130" s="28" t="n">
        <f aca="false">AT130*$M130</f>
        <v>0</v>
      </c>
      <c r="AV130" s="28"/>
      <c r="AW130" s="28" t="n">
        <f aca="false">AV130*$M130</f>
        <v>0</v>
      </c>
      <c r="AX130" s="28"/>
      <c r="AY130" s="28" t="n">
        <f aca="false">AX130*$M130</f>
        <v>0</v>
      </c>
      <c r="AZ130" s="28"/>
      <c r="BA130" s="28" t="n">
        <f aca="false">AZ130*$M130</f>
        <v>0</v>
      </c>
      <c r="BB130" s="30" t="n">
        <v>108125</v>
      </c>
      <c r="BC130" s="11" t="n">
        <v>2162500</v>
      </c>
      <c r="BD130" s="31" t="n">
        <f aca="false">SUM(S130,U130,W130,Y130,AA130,AC130,AE130,AG130,AI130,AK130,AM130,AO130,AQ130,AS130,AU130,AW130,AY130,BA130)</f>
        <v>2162500</v>
      </c>
      <c r="BE130" s="28" t="n">
        <f aca="false">BC130-BD130</f>
        <v>0</v>
      </c>
      <c r="BF130" s="32" t="n">
        <f aca="false">SUM(R130,T130,V130,X130,Z130,AB130,AD130,AF130,AH130,AJ130,AL130,AN130,AP130,AR130,AT130,AV130,AX130,AZ130)</f>
        <v>106125</v>
      </c>
      <c r="BG130" s="33" t="n">
        <f aca="false">BB130-BF130</f>
        <v>2000</v>
      </c>
      <c r="BH130" s="34" t="n">
        <f aca="false">BF130*M130</f>
        <v>2122500</v>
      </c>
      <c r="BI130" s="35" t="n">
        <f aca="false">BC130-BH130</f>
        <v>40000</v>
      </c>
      <c r="BJ130" s="19" t="str">
        <f aca="false">IF(BI130=0,"",IF(BI130&lt;&gt;BC130,"erreur de calcul",IF(BF130&lt;&gt;0,"pas de prix",IF(M130&lt;&gt; 0,"pas de quantité","pas de prix, ni de quantité"))))</f>
        <v>erreur de calcul</v>
      </c>
      <c r="BK130" s="19"/>
    </row>
    <row r="131" customFormat="false" ht="16" hidden="false" customHeight="false" outlineLevel="0" collapsed="false">
      <c r="A131" s="0" t="n">
        <v>4</v>
      </c>
      <c r="B131" s="8" t="s">
        <v>24</v>
      </c>
      <c r="C131" s="9" t="s">
        <v>25</v>
      </c>
      <c r="D131" s="9" t="s">
        <v>26</v>
      </c>
      <c r="E131" s="10" t="n">
        <v>1789</v>
      </c>
      <c r="F131" s="9" t="s">
        <v>27</v>
      </c>
      <c r="G131" s="9" t="s">
        <v>27</v>
      </c>
      <c r="H131" s="11" t="n">
        <v>22</v>
      </c>
      <c r="I131" s="11" t="s">
        <v>205</v>
      </c>
      <c r="J131" s="14" t="n">
        <v>15</v>
      </c>
      <c r="K131" s="14"/>
      <c r="L131" s="16"/>
      <c r="M131" s="27" t="n">
        <f aca="false">J131+(K131/20)+(L131/240)</f>
        <v>15</v>
      </c>
      <c r="N131" s="17" t="s">
        <v>64</v>
      </c>
      <c r="O131" s="11"/>
      <c r="P131" s="28"/>
      <c r="Q131" s="28" t="str">
        <f aca="false">IF(O131&lt;&gt;"",P131*M131,"")</f>
        <v/>
      </c>
      <c r="R131" s="28"/>
      <c r="S131" s="28" t="n">
        <f aca="false">R131*$M131</f>
        <v>0</v>
      </c>
      <c r="T131" s="28"/>
      <c r="U131" s="28" t="n">
        <f aca="false">T131*$M131</f>
        <v>0</v>
      </c>
      <c r="V131" s="28"/>
      <c r="W131" s="28" t="n">
        <f aca="false">V131*$M131</f>
        <v>0</v>
      </c>
      <c r="X131" s="28"/>
      <c r="Y131" s="28" t="n">
        <f aca="false">X131*$M131</f>
        <v>0</v>
      </c>
      <c r="Z131" s="28" t="n">
        <f aca="false">27897/100</f>
        <v>278.97</v>
      </c>
      <c r="AA131" s="28" t="n">
        <v>4184</v>
      </c>
      <c r="AB131" s="28"/>
      <c r="AC131" s="28" t="n">
        <f aca="false">AB131*$M131</f>
        <v>0</v>
      </c>
      <c r="AD131" s="28"/>
      <c r="AE131" s="28" t="n">
        <f aca="false">AD131*$M131</f>
        <v>0</v>
      </c>
      <c r="AF131" s="28"/>
      <c r="AG131" s="28" t="n">
        <f aca="false">AF131*$M131</f>
        <v>0</v>
      </c>
      <c r="AH131" s="28"/>
      <c r="AI131" s="28" t="n">
        <f aca="false">AH131*$M131</f>
        <v>0</v>
      </c>
      <c r="AJ131" s="28"/>
      <c r="AK131" s="28" t="n">
        <f aca="false">AJ131*$M131</f>
        <v>0</v>
      </c>
      <c r="AL131" s="28" t="n">
        <f aca="false">63734/100</f>
        <v>637.34</v>
      </c>
      <c r="AM131" s="28" t="n">
        <v>9560</v>
      </c>
      <c r="AN131" s="28"/>
      <c r="AO131" s="28" t="n">
        <f aca="false">AN131*$M131</f>
        <v>0</v>
      </c>
      <c r="AP131" s="28"/>
      <c r="AQ131" s="28" t="n">
        <f aca="false">AP131*$M131</f>
        <v>0</v>
      </c>
      <c r="AR131" s="28"/>
      <c r="AS131" s="28" t="n">
        <f aca="false">AR131*$M131</f>
        <v>0</v>
      </c>
      <c r="AT131" s="28"/>
      <c r="AU131" s="28" t="n">
        <f aca="false">AT131*$M131</f>
        <v>0</v>
      </c>
      <c r="AV131" s="28"/>
      <c r="AW131" s="28" t="n">
        <f aca="false">AV131*$M131</f>
        <v>0</v>
      </c>
      <c r="AX131" s="28"/>
      <c r="AY131" s="28" t="n">
        <f aca="false">AX131*$M131</f>
        <v>0</v>
      </c>
      <c r="AZ131" s="28"/>
      <c r="BA131" s="28" t="n">
        <f aca="false">AZ131*$M131</f>
        <v>0</v>
      </c>
      <c r="BB131" s="30" t="n">
        <f aca="false">91631/100</f>
        <v>916.31</v>
      </c>
      <c r="BC131" s="11" t="n">
        <v>13744</v>
      </c>
      <c r="BD131" s="31" t="n">
        <f aca="false">SUM(S131,U131,W131,Y131,AA131,AC131,AE131,AG131,AI131,AK131,AM131,AO131,AQ131,AS131,AU131,AW131,AY131,BA131)</f>
        <v>13744</v>
      </c>
      <c r="BE131" s="28" t="n">
        <f aca="false">BC131-BD131</f>
        <v>0</v>
      </c>
      <c r="BF131" s="32" t="n">
        <f aca="false">SUM(R131,T131,V131,X131,Z131,AB131,AD131,AF131,AH131,AJ131,AL131,AN131,AP131,AR131,AT131,AV131,AX131,AZ131)</f>
        <v>916.31</v>
      </c>
      <c r="BG131" s="33" t="n">
        <f aca="false">BB131-BF131</f>
        <v>0</v>
      </c>
      <c r="BH131" s="34" t="n">
        <f aca="false">BF131*M131</f>
        <v>13744.65</v>
      </c>
      <c r="BI131" s="35" t="n">
        <f aca="false">BC131-BH131</f>
        <v>-0.650000000001455</v>
      </c>
      <c r="BJ131" s="19" t="str">
        <f aca="false">IF(BI131=0,"",IF(BI131&lt;&gt;BC131,"erreur de calcul",IF(BF131&lt;&gt;0,"pas de prix",IF(M131&lt;&gt; 0,"pas de quantité","pas de prix, ni de quantité"))))</f>
        <v>erreur de calcul</v>
      </c>
      <c r="BK131" s="19"/>
    </row>
    <row r="132" customFormat="false" ht="16" hidden="false" customHeight="false" outlineLevel="0" collapsed="false">
      <c r="A132" s="0" t="n">
        <v>5</v>
      </c>
      <c r="B132" s="8" t="s">
        <v>24</v>
      </c>
      <c r="C132" s="9" t="s">
        <v>25</v>
      </c>
      <c r="D132" s="9" t="s">
        <v>26</v>
      </c>
      <c r="E132" s="10" t="n">
        <v>1789</v>
      </c>
      <c r="F132" s="9" t="s">
        <v>27</v>
      </c>
      <c r="G132" s="9" t="s">
        <v>27</v>
      </c>
      <c r="H132" s="11" t="n">
        <v>22</v>
      </c>
      <c r="I132" s="11" t="s">
        <v>206</v>
      </c>
      <c r="J132" s="14" t="n">
        <v>30</v>
      </c>
      <c r="K132" s="14"/>
      <c r="L132" s="16"/>
      <c r="M132" s="27" t="n">
        <f aca="false">J132+(K132/20)+(L132/240)</f>
        <v>30</v>
      </c>
      <c r="N132" s="17" t="s">
        <v>64</v>
      </c>
      <c r="O132" s="11"/>
      <c r="P132" s="28"/>
      <c r="Q132" s="28" t="str">
        <f aca="false">IF(O132&lt;&gt;"",P132*M132,"")</f>
        <v/>
      </c>
      <c r="R132" s="28" t="n">
        <f aca="false">8334/100</f>
        <v>83.34</v>
      </c>
      <c r="S132" s="28" t="n">
        <v>2500</v>
      </c>
      <c r="T132" s="28"/>
      <c r="U132" s="28" t="n">
        <f aca="false">T132*$M132</f>
        <v>0</v>
      </c>
      <c r="V132" s="28"/>
      <c r="W132" s="28" t="n">
        <f aca="false">V132*$M132</f>
        <v>0</v>
      </c>
      <c r="X132" s="28"/>
      <c r="Y132" s="28" t="n">
        <f aca="false">X132*$M132</f>
        <v>0</v>
      </c>
      <c r="Z132" s="28"/>
      <c r="AA132" s="28" t="n">
        <f aca="false">Z132*$M132</f>
        <v>0</v>
      </c>
      <c r="AB132" s="28"/>
      <c r="AC132" s="28" t="n">
        <f aca="false">AB132*$M132</f>
        <v>0</v>
      </c>
      <c r="AD132" s="28"/>
      <c r="AE132" s="28" t="n">
        <f aca="false">AD132*$M132</f>
        <v>0</v>
      </c>
      <c r="AF132" s="28"/>
      <c r="AG132" s="28" t="n">
        <f aca="false">AF132*$M132</f>
        <v>0</v>
      </c>
      <c r="AH132" s="28"/>
      <c r="AI132" s="28" t="n">
        <f aca="false">AH132*$M132</f>
        <v>0</v>
      </c>
      <c r="AJ132" s="28"/>
      <c r="AK132" s="28" t="n">
        <f aca="false">AJ132*$M132</f>
        <v>0</v>
      </c>
      <c r="AL132" s="28"/>
      <c r="AM132" s="28" t="n">
        <f aca="false">AL132*$M132</f>
        <v>0</v>
      </c>
      <c r="AN132" s="28"/>
      <c r="AO132" s="28" t="n">
        <f aca="false">AN132*$M132</f>
        <v>0</v>
      </c>
      <c r="AP132" s="28"/>
      <c r="AQ132" s="28" t="n">
        <f aca="false">AP132*$M132</f>
        <v>0</v>
      </c>
      <c r="AR132" s="28"/>
      <c r="AS132" s="28" t="n">
        <f aca="false">AR132*$M132</f>
        <v>0</v>
      </c>
      <c r="AT132" s="28"/>
      <c r="AU132" s="28" t="n">
        <f aca="false">AT132*$M132</f>
        <v>0</v>
      </c>
      <c r="AV132" s="28"/>
      <c r="AW132" s="28" t="n">
        <f aca="false">AV132*$M132</f>
        <v>0</v>
      </c>
      <c r="AX132" s="28"/>
      <c r="AY132" s="28" t="n">
        <f aca="false">AX132*$M132</f>
        <v>0</v>
      </c>
      <c r="AZ132" s="28"/>
      <c r="BA132" s="28" t="n">
        <f aca="false">AZ132*$M132</f>
        <v>0</v>
      </c>
      <c r="BB132" s="30" t="n">
        <f aca="false">8334/100</f>
        <v>83.34</v>
      </c>
      <c r="BC132" s="11" t="n">
        <v>2500</v>
      </c>
      <c r="BD132" s="31" t="n">
        <f aca="false">SUM(S132,U132,W132,Y132,AA132,AC132,AE132,AG132,AI132,AK132,AM132,AO132,AQ132,AS132,AU132,AW132,AY132,BA132)</f>
        <v>2500</v>
      </c>
      <c r="BE132" s="28" t="n">
        <f aca="false">BC132-BD132</f>
        <v>0</v>
      </c>
      <c r="BF132" s="32" t="n">
        <f aca="false">SUM(R132,T132,V132,X132,Z132,AB132,AD132,AF132,AH132,AJ132,AL132,AN132,AP132,AR132,AT132,AV132,AX132,AZ132)</f>
        <v>83.34</v>
      </c>
      <c r="BG132" s="33" t="n">
        <f aca="false">BB132-BF132</f>
        <v>0</v>
      </c>
      <c r="BH132" s="34" t="n">
        <f aca="false">BF132*M132</f>
        <v>2500.2</v>
      </c>
      <c r="BI132" s="35" t="n">
        <f aca="false">BC132-BH132</f>
        <v>-0.200000000000273</v>
      </c>
      <c r="BJ132" s="19" t="str">
        <f aca="false">IF(BI132=0,"",IF(BI132&lt;&gt;BC132,"erreur de calcul",IF(BF132&lt;&gt;0,"pas de prix",IF(M132&lt;&gt; 0,"pas de quantité","pas de prix, ni de quantité"))))</f>
        <v>erreur de calcul</v>
      </c>
      <c r="BK132" s="19"/>
    </row>
    <row r="133" customFormat="false" ht="16" hidden="false" customHeight="false" outlineLevel="0" collapsed="false">
      <c r="A133" s="0" t="n">
        <v>6</v>
      </c>
      <c r="B133" s="8" t="s">
        <v>24</v>
      </c>
      <c r="C133" s="9" t="s">
        <v>25</v>
      </c>
      <c r="D133" s="9" t="s">
        <v>26</v>
      </c>
      <c r="E133" s="10" t="n">
        <v>1789</v>
      </c>
      <c r="F133" s="9" t="s">
        <v>27</v>
      </c>
      <c r="G133" s="9" t="s">
        <v>27</v>
      </c>
      <c r="H133" s="11" t="n">
        <v>22</v>
      </c>
      <c r="I133" s="11" t="s">
        <v>207</v>
      </c>
      <c r="J133" s="14"/>
      <c r="K133" s="14" t="n">
        <v>20</v>
      </c>
      <c r="L133" s="16"/>
      <c r="M133" s="27" t="n">
        <f aca="false">J133+(K133/20)+(L133/240)</f>
        <v>1</v>
      </c>
      <c r="N133" s="17" t="s">
        <v>66</v>
      </c>
      <c r="O133" s="11"/>
      <c r="P133" s="28"/>
      <c r="Q133" s="28" t="str">
        <f aca="false">IF(O133&lt;&gt;"",P133*M133,"")</f>
        <v/>
      </c>
      <c r="R133" s="28"/>
      <c r="S133" s="28" t="n">
        <f aca="false">R133*$M133</f>
        <v>0</v>
      </c>
      <c r="T133" s="28"/>
      <c r="U133" s="28" t="n">
        <f aca="false">T133*$M133</f>
        <v>0</v>
      </c>
      <c r="V133" s="28"/>
      <c r="W133" s="28" t="n">
        <f aca="false">V133*$M133</f>
        <v>0</v>
      </c>
      <c r="X133" s="28" t="n">
        <v>33010</v>
      </c>
      <c r="Y133" s="28" t="n">
        <v>33010</v>
      </c>
      <c r="Z133" s="28" t="n">
        <v>292003</v>
      </c>
      <c r="AA133" s="28" t="n">
        <v>292003</v>
      </c>
      <c r="AB133" s="28" t="n">
        <v>15558</v>
      </c>
      <c r="AC133" s="28" t="n">
        <v>15558</v>
      </c>
      <c r="AD133" s="28" t="n">
        <v>80515</v>
      </c>
      <c r="AE133" s="28" t="n">
        <v>80515</v>
      </c>
      <c r="AF133" s="28"/>
      <c r="AG133" s="28" t="n">
        <f aca="false">AF133*$M133</f>
        <v>0</v>
      </c>
      <c r="AH133" s="28"/>
      <c r="AI133" s="28" t="n">
        <f aca="false">AH133*$M133</f>
        <v>0</v>
      </c>
      <c r="AJ133" s="28" t="n">
        <v>515373</v>
      </c>
      <c r="AK133" s="28" t="n">
        <v>515373</v>
      </c>
      <c r="AL133" s="28"/>
      <c r="AM133" s="28" t="n">
        <f aca="false">AL133*$M133</f>
        <v>0</v>
      </c>
      <c r="AN133" s="28" t="n">
        <v>3480</v>
      </c>
      <c r="AO133" s="28" t="n">
        <v>3480</v>
      </c>
      <c r="AP133" s="28"/>
      <c r="AQ133" s="28" t="n">
        <f aca="false">AP133*$M133</f>
        <v>0</v>
      </c>
      <c r="AR133" s="28"/>
      <c r="AS133" s="28" t="n">
        <f aca="false">AR133*$M133</f>
        <v>0</v>
      </c>
      <c r="AT133" s="28"/>
      <c r="AU133" s="28" t="n">
        <f aca="false">AT133*$M133</f>
        <v>0</v>
      </c>
      <c r="AV133" s="28"/>
      <c r="AW133" s="28" t="n">
        <f aca="false">AV133*$M133</f>
        <v>0</v>
      </c>
      <c r="AX133" s="28"/>
      <c r="AY133" s="28" t="n">
        <f aca="false">AX133*$M133</f>
        <v>0</v>
      </c>
      <c r="AZ133" s="28"/>
      <c r="BA133" s="28" t="n">
        <f aca="false">AZ133*$M133</f>
        <v>0</v>
      </c>
      <c r="BB133" s="30" t="n">
        <v>939939</v>
      </c>
      <c r="BC133" s="11" t="n">
        <v>939939</v>
      </c>
      <c r="BD133" s="31" t="n">
        <f aca="false">SUM(S133,U133,W133,Y133,AA133,AC133,AE133,AG133,AI133,AK133,AM133,AO133,AQ133,AS133,AU133,AW133,AY133,BA133)</f>
        <v>939939</v>
      </c>
      <c r="BE133" s="28" t="n">
        <f aca="false">BC133-BD133</f>
        <v>0</v>
      </c>
      <c r="BF133" s="32" t="n">
        <f aca="false">SUM(R133,T133,V133,X133,Z133,AB133,AD133,AF133,AH133,AJ133,AL133,AN133,AP133,AR133,AT133,AV133,AX133,AZ133)</f>
        <v>939939</v>
      </c>
      <c r="BG133" s="33" t="n">
        <f aca="false">BB133-BF133</f>
        <v>0</v>
      </c>
      <c r="BH133" s="34" t="n">
        <f aca="false">BF133*M133</f>
        <v>939939</v>
      </c>
      <c r="BI133" s="35" t="n">
        <f aca="false">BC133-BH133</f>
        <v>0</v>
      </c>
      <c r="BJ133" s="19" t="str">
        <f aca="false">IF(BI133=0,"",IF(BI133&lt;&gt;BC133,"erreur de calcul",IF(BF133&lt;&gt;0,"pas de prix",IF(M133&lt;&gt; 0,"pas de quantité","pas de prix, ni de quantité"))))</f>
        <v/>
      </c>
      <c r="BK133" s="19"/>
    </row>
    <row r="134" customFormat="false" ht="16" hidden="false" customHeight="false" outlineLevel="0" collapsed="false">
      <c r="A134" s="0" t="n">
        <v>7</v>
      </c>
      <c r="B134" s="8" t="s">
        <v>24</v>
      </c>
      <c r="C134" s="9" t="s">
        <v>25</v>
      </c>
      <c r="D134" s="9" t="s">
        <v>26</v>
      </c>
      <c r="E134" s="10" t="n">
        <v>1789</v>
      </c>
      <c r="F134" s="9" t="s">
        <v>27</v>
      </c>
      <c r="G134" s="9" t="s">
        <v>27</v>
      </c>
      <c r="H134" s="11" t="n">
        <v>22</v>
      </c>
      <c r="I134" s="11" t="s">
        <v>208</v>
      </c>
      <c r="J134" s="14" t="n">
        <v>60</v>
      </c>
      <c r="K134" s="14"/>
      <c r="L134" s="16"/>
      <c r="M134" s="27" t="n">
        <f aca="false">J134+(K134/20)+(L134/240)</f>
        <v>60</v>
      </c>
      <c r="N134" s="17" t="s">
        <v>64</v>
      </c>
      <c r="O134" s="11"/>
      <c r="P134" s="28"/>
      <c r="Q134" s="28" t="str">
        <f aca="false">IF(O134&lt;&gt;"",P134*M134,"")</f>
        <v/>
      </c>
      <c r="R134" s="28"/>
      <c r="S134" s="28" t="n">
        <f aca="false">R134*$M134</f>
        <v>0</v>
      </c>
      <c r="T134" s="28"/>
      <c r="U134" s="28" t="n">
        <f aca="false">T134*$M134</f>
        <v>0</v>
      </c>
      <c r="V134" s="28"/>
      <c r="W134" s="28" t="n">
        <f aca="false">V134*$M134</f>
        <v>0</v>
      </c>
      <c r="X134" s="28"/>
      <c r="Y134" s="28" t="n">
        <f aca="false">X134*$M134</f>
        <v>0</v>
      </c>
      <c r="Z134" s="28"/>
      <c r="AA134" s="28" t="n">
        <f aca="false">Z134*$M134</f>
        <v>0</v>
      </c>
      <c r="AB134" s="28"/>
      <c r="AC134" s="28" t="n">
        <f aca="false">AB134*$M134</f>
        <v>0</v>
      </c>
      <c r="AD134" s="28"/>
      <c r="AE134" s="28" t="n">
        <f aca="false">AD134*$M134</f>
        <v>0</v>
      </c>
      <c r="AF134" s="28"/>
      <c r="AG134" s="28" t="n">
        <f aca="false">AF134*$M134</f>
        <v>0</v>
      </c>
      <c r="AH134" s="28"/>
      <c r="AI134" s="28" t="n">
        <f aca="false">AH134*$M134</f>
        <v>0</v>
      </c>
      <c r="AJ134" s="28"/>
      <c r="AK134" s="28" t="n">
        <f aca="false">AJ134*$M134</f>
        <v>0</v>
      </c>
      <c r="AL134" s="28" t="n">
        <f aca="false">28692/100</f>
        <v>286.92</v>
      </c>
      <c r="AM134" s="28" t="n">
        <v>17215</v>
      </c>
      <c r="AN134" s="28"/>
      <c r="AO134" s="28" t="n">
        <f aca="false">AN134*$M134</f>
        <v>0</v>
      </c>
      <c r="AP134" s="28"/>
      <c r="AQ134" s="28" t="n">
        <f aca="false">AP134*$M134</f>
        <v>0</v>
      </c>
      <c r="AR134" s="28"/>
      <c r="AS134" s="28" t="n">
        <f aca="false">AR134*$M134</f>
        <v>0</v>
      </c>
      <c r="AT134" s="28"/>
      <c r="AU134" s="28" t="n">
        <f aca="false">AT134*$M134</f>
        <v>0</v>
      </c>
      <c r="AV134" s="28"/>
      <c r="AW134" s="28" t="n">
        <f aca="false">AV134*$M134</f>
        <v>0</v>
      </c>
      <c r="AX134" s="28"/>
      <c r="AY134" s="28" t="n">
        <f aca="false">AX134*$M134</f>
        <v>0</v>
      </c>
      <c r="AZ134" s="28"/>
      <c r="BA134" s="28" t="n">
        <f aca="false">AZ134*$M134</f>
        <v>0</v>
      </c>
      <c r="BB134" s="30" t="n">
        <f aca="false">28692/100</f>
        <v>286.92</v>
      </c>
      <c r="BC134" s="11" t="n">
        <v>17215</v>
      </c>
      <c r="BD134" s="31" t="n">
        <f aca="false">SUM(S134,U134,W134,Y134,AA134,AC134,AE134,AG134,AI134,AK134,AM134,AO134,AQ134,AS134,AU134,AW134,AY134,BA134)</f>
        <v>17215</v>
      </c>
      <c r="BE134" s="28" t="n">
        <f aca="false">BC134-BD134</f>
        <v>0</v>
      </c>
      <c r="BF134" s="32" t="n">
        <f aca="false">SUM(R134,T134,V134,X134,Z134,AB134,AD134,AF134,AH134,AJ134,AL134,AN134,AP134,AR134,AT134,AV134,AX134,AZ134)</f>
        <v>286.92</v>
      </c>
      <c r="BG134" s="33" t="n">
        <f aca="false">BB134-BF134</f>
        <v>0</v>
      </c>
      <c r="BH134" s="34" t="n">
        <f aca="false">BF134*M134</f>
        <v>17215.2</v>
      </c>
      <c r="BI134" s="35" t="n">
        <f aca="false">BC134-BH134</f>
        <v>-0.200000000000728</v>
      </c>
      <c r="BJ134" s="19" t="str">
        <f aca="false">IF(BI134=0,"",IF(BI134&lt;&gt;BC134,"erreur de calcul",IF(BF134&lt;&gt;0,"pas de prix",IF(M134&lt;&gt; 0,"pas de quantité","pas de prix, ni de quantité"))))</f>
        <v>erreur de calcul</v>
      </c>
      <c r="BK134" s="19"/>
    </row>
    <row r="135" customFormat="false" ht="16" hidden="false" customHeight="false" outlineLevel="0" collapsed="false">
      <c r="A135" s="0" t="n">
        <v>8</v>
      </c>
      <c r="B135" s="8" t="s">
        <v>24</v>
      </c>
      <c r="C135" s="9" t="s">
        <v>25</v>
      </c>
      <c r="D135" s="9" t="s">
        <v>26</v>
      </c>
      <c r="E135" s="10" t="n">
        <v>1789</v>
      </c>
      <c r="F135" s="9" t="s">
        <v>27</v>
      </c>
      <c r="G135" s="9" t="s">
        <v>27</v>
      </c>
      <c r="H135" s="11" t="n">
        <v>22</v>
      </c>
      <c r="I135" s="11" t="s">
        <v>209</v>
      </c>
      <c r="J135" s="14" t="n">
        <v>26</v>
      </c>
      <c r="K135" s="14"/>
      <c r="L135" s="16"/>
      <c r="M135" s="27" t="n">
        <f aca="false">J135+(K135/20)+(L135/240)</f>
        <v>26</v>
      </c>
      <c r="N135" s="17" t="s">
        <v>64</v>
      </c>
      <c r="O135" s="11"/>
      <c r="P135" s="28"/>
      <c r="Q135" s="28" t="str">
        <f aca="false">IF(O135&lt;&gt;"",P135*M135,"")</f>
        <v/>
      </c>
      <c r="R135" s="28" t="n">
        <f aca="false">9675/100</f>
        <v>96.75</v>
      </c>
      <c r="S135" s="28" t="n">
        <v>2515</v>
      </c>
      <c r="T135" s="28"/>
      <c r="U135" s="28" t="n">
        <f aca="false">T135*$M135</f>
        <v>0</v>
      </c>
      <c r="V135" s="28"/>
      <c r="W135" s="28" t="n">
        <f aca="false">V135*$M135</f>
        <v>0</v>
      </c>
      <c r="X135" s="28"/>
      <c r="Y135" s="28" t="n">
        <f aca="false">X135*$M135</f>
        <v>0</v>
      </c>
      <c r="Z135" s="28"/>
      <c r="AA135" s="28" t="n">
        <f aca="false">Z135*$M135</f>
        <v>0</v>
      </c>
      <c r="AB135" s="28"/>
      <c r="AC135" s="28" t="n">
        <f aca="false">AB135*$M135</f>
        <v>0</v>
      </c>
      <c r="AD135" s="28"/>
      <c r="AE135" s="28" t="n">
        <f aca="false">AD135*$M135</f>
        <v>0</v>
      </c>
      <c r="AF135" s="28"/>
      <c r="AG135" s="28" t="n">
        <f aca="false">AF135*$M135</f>
        <v>0</v>
      </c>
      <c r="AH135" s="28"/>
      <c r="AI135" s="28" t="n">
        <f aca="false">AH135*$M135</f>
        <v>0</v>
      </c>
      <c r="AJ135" s="28"/>
      <c r="AK135" s="28" t="n">
        <f aca="false">AJ135*$M135</f>
        <v>0</v>
      </c>
      <c r="AL135" s="28"/>
      <c r="AM135" s="28" t="n">
        <f aca="false">AL135*$M135</f>
        <v>0</v>
      </c>
      <c r="AN135" s="28"/>
      <c r="AO135" s="28" t="n">
        <f aca="false">AN135*$M135</f>
        <v>0</v>
      </c>
      <c r="AP135" s="28"/>
      <c r="AQ135" s="28" t="n">
        <f aca="false">AP135*$M135</f>
        <v>0</v>
      </c>
      <c r="AR135" s="28"/>
      <c r="AS135" s="28" t="n">
        <f aca="false">AR135*$M135</f>
        <v>0</v>
      </c>
      <c r="AT135" s="28"/>
      <c r="AU135" s="28" t="n">
        <f aca="false">AT135*$M135</f>
        <v>0</v>
      </c>
      <c r="AV135" s="28"/>
      <c r="AW135" s="28" t="n">
        <f aca="false">AV135*$M135</f>
        <v>0</v>
      </c>
      <c r="AX135" s="28"/>
      <c r="AY135" s="28" t="n">
        <f aca="false">AX135*$M135</f>
        <v>0</v>
      </c>
      <c r="AZ135" s="28"/>
      <c r="BA135" s="28" t="n">
        <f aca="false">AZ135*$M135</f>
        <v>0</v>
      </c>
      <c r="BB135" s="30" t="n">
        <f aca="false">9675/100</f>
        <v>96.75</v>
      </c>
      <c r="BC135" s="11" t="n">
        <v>2515</v>
      </c>
      <c r="BD135" s="31" t="n">
        <f aca="false">SUM(S135,U135,W135,Y135,AA135,AC135,AE135,AG135,AI135,AK135,AM135,AO135,AQ135,AS135,AU135,AW135,AY135,BA135)</f>
        <v>2515</v>
      </c>
      <c r="BE135" s="28" t="n">
        <f aca="false">BC135-BD135</f>
        <v>0</v>
      </c>
      <c r="BF135" s="32" t="n">
        <f aca="false">SUM(R135,T135,V135,X135,Z135,AB135,AD135,AF135,AH135,AJ135,AL135,AN135,AP135,AR135,AT135,AV135,AX135,AZ135)</f>
        <v>96.75</v>
      </c>
      <c r="BG135" s="33" t="n">
        <f aca="false">BB135-BF135</f>
        <v>0</v>
      </c>
      <c r="BH135" s="34" t="n">
        <f aca="false">BF135*M135</f>
        <v>2515.5</v>
      </c>
      <c r="BI135" s="35" t="n">
        <f aca="false">BC135-BH135</f>
        <v>-0.5</v>
      </c>
      <c r="BJ135" s="19" t="str">
        <f aca="false">IF(BI135=0,"",IF(BI135&lt;&gt;BC135,"erreur de calcul",IF(BF135&lt;&gt;0,"pas de prix",IF(M135&lt;&gt; 0,"pas de quantité","pas de prix, ni de quantité"))))</f>
        <v>erreur de calcul</v>
      </c>
      <c r="BK135" s="19"/>
    </row>
    <row r="136" customFormat="false" ht="16" hidden="false" customHeight="false" outlineLevel="0" collapsed="false">
      <c r="A136" s="0" t="n">
        <v>9</v>
      </c>
      <c r="B136" s="8" t="s">
        <v>24</v>
      </c>
      <c r="C136" s="9" t="s">
        <v>25</v>
      </c>
      <c r="D136" s="9" t="s">
        <v>26</v>
      </c>
      <c r="E136" s="10" t="n">
        <v>1789</v>
      </c>
      <c r="F136" s="9" t="s">
        <v>27</v>
      </c>
      <c r="G136" s="9" t="s">
        <v>27</v>
      </c>
      <c r="H136" s="11" t="n">
        <v>22</v>
      </c>
      <c r="I136" s="11" t="s">
        <v>210</v>
      </c>
      <c r="J136" s="14" t="n">
        <v>8</v>
      </c>
      <c r="K136" s="14" t="n">
        <v>15</v>
      </c>
      <c r="L136" s="16"/>
      <c r="M136" s="27" t="n">
        <f aca="false">J136+(K136/20)+(L136/240)</f>
        <v>8.75</v>
      </c>
      <c r="N136" s="17" t="s">
        <v>66</v>
      </c>
      <c r="O136" s="11"/>
      <c r="P136" s="28"/>
      <c r="Q136" s="28" t="str">
        <f aca="false">IF(O136&lt;&gt;"",P136*M136,"")</f>
        <v/>
      </c>
      <c r="R136" s="28"/>
      <c r="S136" s="28" t="n">
        <f aca="false">R136*$M136</f>
        <v>0</v>
      </c>
      <c r="T136" s="28"/>
      <c r="U136" s="28" t="n">
        <f aca="false">T136*$M136</f>
        <v>0</v>
      </c>
      <c r="V136" s="28" t="n">
        <v>2562</v>
      </c>
      <c r="W136" s="36" t="n">
        <v>21777</v>
      </c>
      <c r="X136" s="28" t="n">
        <v>127</v>
      </c>
      <c r="Y136" s="28" t="n">
        <v>1111</v>
      </c>
      <c r="Z136" s="28" t="n">
        <v>1945</v>
      </c>
      <c r="AA136" s="28" t="n">
        <v>17018</v>
      </c>
      <c r="AB136" s="28"/>
      <c r="AC136" s="28" t="n">
        <f aca="false">AB136*$M136</f>
        <v>0</v>
      </c>
      <c r="AD136" s="28"/>
      <c r="AE136" s="28" t="n">
        <f aca="false">AD136*$M136</f>
        <v>0</v>
      </c>
      <c r="AF136" s="28"/>
      <c r="AG136" s="28" t="n">
        <f aca="false">AF136*$M136</f>
        <v>0</v>
      </c>
      <c r="AH136" s="28"/>
      <c r="AI136" s="28" t="n">
        <f aca="false">AH136*$M136</f>
        <v>0</v>
      </c>
      <c r="AJ136" s="28"/>
      <c r="AK136" s="28" t="n">
        <f aca="false">AJ136*$M136</f>
        <v>0</v>
      </c>
      <c r="AL136" s="28" t="n">
        <v>3538</v>
      </c>
      <c r="AM136" s="36" t="n">
        <v>30073</v>
      </c>
      <c r="AN136" s="28"/>
      <c r="AO136" s="28" t="n">
        <f aca="false">AN136*$M136</f>
        <v>0</v>
      </c>
      <c r="AP136" s="28"/>
      <c r="AQ136" s="28" t="n">
        <f aca="false">AP136*$M136</f>
        <v>0</v>
      </c>
      <c r="AR136" s="28"/>
      <c r="AS136" s="28" t="n">
        <f aca="false">AR136*$M136</f>
        <v>0</v>
      </c>
      <c r="AT136" s="28"/>
      <c r="AU136" s="28" t="n">
        <f aca="false">AT136*$M136</f>
        <v>0</v>
      </c>
      <c r="AV136" s="28"/>
      <c r="AW136" s="28" t="n">
        <f aca="false">AV136*$M136</f>
        <v>0</v>
      </c>
      <c r="AX136" s="28"/>
      <c r="AY136" s="28" t="n">
        <f aca="false">AX136*$M136</f>
        <v>0</v>
      </c>
      <c r="AZ136" s="28" t="n">
        <v>11559</v>
      </c>
      <c r="BA136" s="28" t="n">
        <v>101141</v>
      </c>
      <c r="BB136" s="30" t="n">
        <v>19731</v>
      </c>
      <c r="BC136" s="11" t="n">
        <v>171120</v>
      </c>
      <c r="BD136" s="31" t="n">
        <f aca="false">SUM(S136,U136,W136,Y136,AA136,AC136,AE136,AG136,AI136,AK136,AM136,AO136,AQ136,AS136,AU136,AW136,AY136,BA136)</f>
        <v>171120</v>
      </c>
      <c r="BE136" s="28" t="n">
        <f aca="false">BC136-BD136</f>
        <v>0</v>
      </c>
      <c r="BF136" s="32" t="n">
        <f aca="false">SUM(R136,T136,V136,X136,Z136,AB136,AD136,AF136,AH136,AJ136,AL136,AN136,AP136,AR136,AT136,AV136,AX136,AZ136)</f>
        <v>19731</v>
      </c>
      <c r="BG136" s="33" t="n">
        <f aca="false">BB136-BF136</f>
        <v>0</v>
      </c>
      <c r="BH136" s="34" t="n">
        <f aca="false">BF136*M136</f>
        <v>172646.25</v>
      </c>
      <c r="BI136" s="35" t="n">
        <f aca="false">BC136-BH136</f>
        <v>-1526.25</v>
      </c>
      <c r="BJ136" s="19" t="str">
        <f aca="false">IF(BI136=0,"",IF(BI136&lt;&gt;BC136,"erreur de calcul",IF(BF136&lt;&gt;0,"pas de prix",IF(M136&lt;&gt; 0,"pas de quantité","pas de prix, ni de quantité"))))</f>
        <v>erreur de calcul</v>
      </c>
      <c r="BK136" s="19"/>
    </row>
    <row r="137" customFormat="false" ht="16" hidden="false" customHeight="false" outlineLevel="0" collapsed="false">
      <c r="A137" s="0" t="n">
        <v>10</v>
      </c>
      <c r="B137" s="8" t="s">
        <v>24</v>
      </c>
      <c r="C137" s="9" t="s">
        <v>25</v>
      </c>
      <c r="D137" s="9" t="s">
        <v>26</v>
      </c>
      <c r="E137" s="10" t="n">
        <v>1789</v>
      </c>
      <c r="F137" s="9" t="s">
        <v>27</v>
      </c>
      <c r="G137" s="9" t="s">
        <v>27</v>
      </c>
      <c r="H137" s="11" t="n">
        <v>22</v>
      </c>
      <c r="I137" s="11" t="s">
        <v>211</v>
      </c>
      <c r="J137" s="14" t="n">
        <v>11</v>
      </c>
      <c r="K137" s="14"/>
      <c r="L137" s="16"/>
      <c r="M137" s="27" t="n">
        <f aca="false">J137+(K137/20)+(L137/240)</f>
        <v>11</v>
      </c>
      <c r="N137" s="17" t="s">
        <v>66</v>
      </c>
      <c r="O137" s="11"/>
      <c r="P137" s="28"/>
      <c r="Q137" s="28" t="str">
        <f aca="false">IF(O137&lt;&gt;"",P137*M137,"")</f>
        <v/>
      </c>
      <c r="R137" s="28" t="n">
        <v>95190</v>
      </c>
      <c r="S137" s="28" t="n">
        <v>1047090</v>
      </c>
      <c r="T137" s="28"/>
      <c r="U137" s="28" t="n">
        <f aca="false">T137*$M137</f>
        <v>0</v>
      </c>
      <c r="V137" s="28"/>
      <c r="W137" s="28" t="n">
        <f aca="false">V137*$M137</f>
        <v>0</v>
      </c>
      <c r="X137" s="28"/>
      <c r="Y137" s="28" t="n">
        <f aca="false">X137*$M137</f>
        <v>0</v>
      </c>
      <c r="Z137" s="28"/>
      <c r="AA137" s="28" t="n">
        <f aca="false">Z137*$M137</f>
        <v>0</v>
      </c>
      <c r="AB137" s="28"/>
      <c r="AC137" s="28" t="n">
        <f aca="false">AB137*$M137</f>
        <v>0</v>
      </c>
      <c r="AD137" s="28"/>
      <c r="AE137" s="28" t="n">
        <f aca="false">AD137*$M137</f>
        <v>0</v>
      </c>
      <c r="AF137" s="28"/>
      <c r="AG137" s="28" t="n">
        <f aca="false">AF137*$M137</f>
        <v>0</v>
      </c>
      <c r="AH137" s="28"/>
      <c r="AI137" s="28" t="n">
        <f aca="false">AH137*$M137</f>
        <v>0</v>
      </c>
      <c r="AJ137" s="28"/>
      <c r="AK137" s="28" t="n">
        <f aca="false">AJ137*$M137</f>
        <v>0</v>
      </c>
      <c r="AL137" s="28"/>
      <c r="AM137" s="28" t="n">
        <f aca="false">AL137*$M137</f>
        <v>0</v>
      </c>
      <c r="AN137" s="28"/>
      <c r="AO137" s="28" t="n">
        <f aca="false">AN137*$M137</f>
        <v>0</v>
      </c>
      <c r="AP137" s="28"/>
      <c r="AQ137" s="28" t="n">
        <f aca="false">AP137*$M137</f>
        <v>0</v>
      </c>
      <c r="AR137" s="28"/>
      <c r="AS137" s="28" t="n">
        <f aca="false">AR137*$M137</f>
        <v>0</v>
      </c>
      <c r="AT137" s="28"/>
      <c r="AU137" s="28" t="n">
        <f aca="false">AT137*$M137</f>
        <v>0</v>
      </c>
      <c r="AV137" s="28"/>
      <c r="AW137" s="28" t="n">
        <f aca="false">AV137*$M137</f>
        <v>0</v>
      </c>
      <c r="AX137" s="28"/>
      <c r="AY137" s="28" t="n">
        <f aca="false">AX137*$M137</f>
        <v>0</v>
      </c>
      <c r="AZ137" s="28"/>
      <c r="BA137" s="28" t="n">
        <f aca="false">AZ137*$M137</f>
        <v>0</v>
      </c>
      <c r="BB137" s="30" t="n">
        <v>95190</v>
      </c>
      <c r="BC137" s="11" t="n">
        <v>1047090</v>
      </c>
      <c r="BD137" s="31" t="n">
        <f aca="false">SUM(S137,U137,W137,Y137,AA137,AC137,AE137,AG137,AI137,AK137,AM137,AO137,AQ137,AS137,AU137,AW137,AY137,BA137)</f>
        <v>1047090</v>
      </c>
      <c r="BE137" s="28" t="n">
        <f aca="false">BC137-BD137</f>
        <v>0</v>
      </c>
      <c r="BF137" s="32" t="n">
        <f aca="false">SUM(R137,T137,V137,X137,Z137,AB137,AD137,AF137,AH137,AJ137,AL137,AN137,AP137,AR137,AT137,AV137,AX137,AZ137)</f>
        <v>95190</v>
      </c>
      <c r="BG137" s="33" t="n">
        <f aca="false">BB137-BF137</f>
        <v>0</v>
      </c>
      <c r="BH137" s="34" t="n">
        <f aca="false">BF137*M137</f>
        <v>1047090</v>
      </c>
      <c r="BI137" s="35" t="n">
        <f aca="false">BC137-BH137</f>
        <v>0</v>
      </c>
      <c r="BJ137" s="19" t="str">
        <f aca="false">IF(BI137=0,"",IF(BI137&lt;&gt;BC137,"erreur de calcul",IF(BF137&lt;&gt;0,"pas de prix",IF(M137&lt;&gt; 0,"pas de quantité","pas de prix, ni de quantité"))))</f>
        <v/>
      </c>
      <c r="BK137" s="19"/>
    </row>
    <row r="138" customFormat="false" ht="16" hidden="false" customHeight="false" outlineLevel="0" collapsed="false">
      <c r="A138" s="0" t="n">
        <v>11</v>
      </c>
      <c r="B138" s="8" t="s">
        <v>24</v>
      </c>
      <c r="C138" s="9" t="s">
        <v>25</v>
      </c>
      <c r="D138" s="9" t="s">
        <v>26</v>
      </c>
      <c r="E138" s="10" t="n">
        <v>1789</v>
      </c>
      <c r="F138" s="9" t="s">
        <v>27</v>
      </c>
      <c r="G138" s="9" t="s">
        <v>27</v>
      </c>
      <c r="H138" s="11" t="n">
        <v>22</v>
      </c>
      <c r="I138" s="40" t="s">
        <v>212</v>
      </c>
      <c r="J138" s="14" t="n">
        <v>75</v>
      </c>
      <c r="K138" s="14"/>
      <c r="L138" s="16"/>
      <c r="M138" s="27" t="n">
        <f aca="false">J138+(K138/20)+(L138/240)</f>
        <v>75</v>
      </c>
      <c r="N138" s="17" t="s">
        <v>64</v>
      </c>
      <c r="O138" s="11"/>
      <c r="P138" s="28"/>
      <c r="Q138" s="28" t="str">
        <f aca="false">IF(O138&lt;&gt;"",P138*M138,"")</f>
        <v/>
      </c>
      <c r="R138" s="28"/>
      <c r="S138" s="28" t="n">
        <f aca="false">R138*$M138</f>
        <v>0</v>
      </c>
      <c r="T138" s="28"/>
      <c r="U138" s="28" t="n">
        <f aca="false">T138*$M138</f>
        <v>0</v>
      </c>
      <c r="V138" s="28"/>
      <c r="W138" s="28" t="n">
        <f aca="false">V138*$M138</f>
        <v>0</v>
      </c>
      <c r="X138" s="28"/>
      <c r="Y138" s="28" t="n">
        <f aca="false">X138*$M138</f>
        <v>0</v>
      </c>
      <c r="Z138" s="28"/>
      <c r="AA138" s="28" t="n">
        <f aca="false">Z138*$M138</f>
        <v>0</v>
      </c>
      <c r="AB138" s="28"/>
      <c r="AC138" s="28" t="n">
        <f aca="false">AB138*$M138</f>
        <v>0</v>
      </c>
      <c r="AD138" s="28"/>
      <c r="AE138" s="28" t="n">
        <f aca="false">AD138*$M138</f>
        <v>0</v>
      </c>
      <c r="AF138" s="28"/>
      <c r="AG138" s="28" t="n">
        <f aca="false">AF138*$M138</f>
        <v>0</v>
      </c>
      <c r="AH138" s="28"/>
      <c r="AI138" s="28" t="n">
        <f aca="false">AH138*$M138</f>
        <v>0</v>
      </c>
      <c r="AJ138" s="28"/>
      <c r="AK138" s="28" t="n">
        <f aca="false">AJ138*$M138</f>
        <v>0</v>
      </c>
      <c r="AL138" s="28" t="n">
        <f aca="false">2372/100</f>
        <v>23.72</v>
      </c>
      <c r="AM138" s="28" t="n">
        <v>1779</v>
      </c>
      <c r="AN138" s="28"/>
      <c r="AO138" s="28" t="n">
        <f aca="false">AN138*$M138</f>
        <v>0</v>
      </c>
      <c r="AP138" s="28"/>
      <c r="AQ138" s="28" t="n">
        <f aca="false">AP138*$M138</f>
        <v>0</v>
      </c>
      <c r="AR138" s="28"/>
      <c r="AS138" s="28" t="n">
        <f aca="false">AR138*$M138</f>
        <v>0</v>
      </c>
      <c r="AT138" s="28"/>
      <c r="AU138" s="28" t="n">
        <f aca="false">AT138*$M138</f>
        <v>0</v>
      </c>
      <c r="AV138" s="28"/>
      <c r="AW138" s="28" t="n">
        <f aca="false">AV138*$M138</f>
        <v>0</v>
      </c>
      <c r="AX138" s="28"/>
      <c r="AY138" s="28" t="n">
        <f aca="false">AX138*$M138</f>
        <v>0</v>
      </c>
      <c r="AZ138" s="28"/>
      <c r="BA138" s="28" t="n">
        <f aca="false">AZ138*$M138</f>
        <v>0</v>
      </c>
      <c r="BB138" s="30" t="n">
        <f aca="false">2372/100</f>
        <v>23.72</v>
      </c>
      <c r="BC138" s="11" t="n">
        <v>1779</v>
      </c>
      <c r="BD138" s="31" t="n">
        <f aca="false">SUM(S138,U138,W138,Y138,AA138,AC138,AE138,AG138,AI138,AK138,AM138,AO138,AQ138,AS138,AU138,AW138,AY138,BA138)</f>
        <v>1779</v>
      </c>
      <c r="BE138" s="28" t="n">
        <f aca="false">BC138-BD138</f>
        <v>0</v>
      </c>
      <c r="BF138" s="32" t="n">
        <f aca="false">SUM(R138,T138,V138,X138,Z138,AB138,AD138,AF138,AH138,AJ138,AL138,AN138,AP138,AR138,AT138,AV138,AX138,AZ138)</f>
        <v>23.72</v>
      </c>
      <c r="BG138" s="33" t="n">
        <f aca="false">BB138-BF138</f>
        <v>0</v>
      </c>
      <c r="BH138" s="34" t="n">
        <f aca="false">BF138*M138</f>
        <v>1779</v>
      </c>
      <c r="BI138" s="35" t="n">
        <f aca="false">BC138-BH138</f>
        <v>0</v>
      </c>
      <c r="BJ138" s="19" t="str">
        <f aca="false">IF(BI138=0,"",IF(BI138&lt;&gt;BC138,"erreur de calcul",IF(BF138&lt;&gt;0,"pas de prix",IF(M138&lt;&gt; 0,"pas de quantité","pas de prix, ni de quantité"))))</f>
        <v/>
      </c>
      <c r="BK138" s="19"/>
    </row>
    <row r="139" customFormat="false" ht="16" hidden="false" customHeight="false" outlineLevel="0" collapsed="false">
      <c r="A139" s="0" t="n">
        <v>12</v>
      </c>
      <c r="B139" s="8" t="s">
        <v>24</v>
      </c>
      <c r="C139" s="9" t="s">
        <v>25</v>
      </c>
      <c r="D139" s="9" t="s">
        <v>26</v>
      </c>
      <c r="E139" s="10" t="n">
        <v>1789</v>
      </c>
      <c r="F139" s="9" t="s">
        <v>27</v>
      </c>
      <c r="G139" s="9" t="s">
        <v>27</v>
      </c>
      <c r="H139" s="11" t="n">
        <v>22</v>
      </c>
      <c r="I139" s="11" t="s">
        <v>213</v>
      </c>
      <c r="J139" s="14" t="n">
        <v>31</v>
      </c>
      <c r="K139" s="14"/>
      <c r="L139" s="16"/>
      <c r="M139" s="27" t="n">
        <f aca="false">J139+(K139/20)+(L139/240)</f>
        <v>31</v>
      </c>
      <c r="N139" s="17" t="s">
        <v>64</v>
      </c>
      <c r="O139" s="11"/>
      <c r="P139" s="28"/>
      <c r="Q139" s="28" t="str">
        <f aca="false">IF(O139&lt;&gt;"",P139*M139,"")</f>
        <v/>
      </c>
      <c r="R139" s="28"/>
      <c r="S139" s="28" t="n">
        <f aca="false">R139*$M139</f>
        <v>0</v>
      </c>
      <c r="T139" s="28"/>
      <c r="U139" s="28" t="n">
        <f aca="false">T139*$M139</f>
        <v>0</v>
      </c>
      <c r="V139" s="28"/>
      <c r="W139" s="28" t="n">
        <f aca="false">V139*$M139</f>
        <v>0</v>
      </c>
      <c r="X139" s="28"/>
      <c r="Y139" s="28" t="n">
        <f aca="false">X139*$M139</f>
        <v>0</v>
      </c>
      <c r="Z139" s="28" t="n">
        <f aca="false">18202/100</f>
        <v>182.02</v>
      </c>
      <c r="AA139" s="28" t="n">
        <v>5643</v>
      </c>
      <c r="AB139" s="28"/>
      <c r="AC139" s="28" t="n">
        <f aca="false">AB139*$M139</f>
        <v>0</v>
      </c>
      <c r="AD139" s="28"/>
      <c r="AE139" s="28" t="n">
        <f aca="false">AD139*$M139</f>
        <v>0</v>
      </c>
      <c r="AF139" s="28"/>
      <c r="AG139" s="28" t="n">
        <f aca="false">AF139*$M139</f>
        <v>0</v>
      </c>
      <c r="AH139" s="28"/>
      <c r="AI139" s="28" t="n">
        <f aca="false">AH139*$M139</f>
        <v>0</v>
      </c>
      <c r="AJ139" s="28"/>
      <c r="AK139" s="28" t="n">
        <f aca="false">AJ139*$M139</f>
        <v>0</v>
      </c>
      <c r="AL139" s="28"/>
      <c r="AM139" s="28" t="n">
        <f aca="false">AL139*$M139</f>
        <v>0</v>
      </c>
      <c r="AN139" s="28"/>
      <c r="AO139" s="28" t="n">
        <f aca="false">AN139*$M139</f>
        <v>0</v>
      </c>
      <c r="AP139" s="28"/>
      <c r="AQ139" s="28" t="n">
        <f aca="false">AP139*$M139</f>
        <v>0</v>
      </c>
      <c r="AR139" s="28"/>
      <c r="AS139" s="28" t="n">
        <f aca="false">AR139*$M139</f>
        <v>0</v>
      </c>
      <c r="AT139" s="28"/>
      <c r="AU139" s="28" t="n">
        <f aca="false">AT139*$M139</f>
        <v>0</v>
      </c>
      <c r="AV139" s="28"/>
      <c r="AW139" s="28" t="n">
        <f aca="false">AV139*$M139</f>
        <v>0</v>
      </c>
      <c r="AX139" s="28"/>
      <c r="AY139" s="28" t="n">
        <f aca="false">AX139*$M139</f>
        <v>0</v>
      </c>
      <c r="AZ139" s="28"/>
      <c r="BA139" s="28" t="n">
        <f aca="false">AZ139*$M139</f>
        <v>0</v>
      </c>
      <c r="BB139" s="30" t="n">
        <f aca="false">18202/100</f>
        <v>182.02</v>
      </c>
      <c r="BC139" s="11" t="n">
        <v>5643</v>
      </c>
      <c r="BD139" s="31" t="n">
        <f aca="false">SUM(S139,U139,W139,Y139,AA139,AC139,AE139,AG139,AI139,AK139,AM139,AO139,AQ139,AS139,AU139,AW139,AY139,BA139)</f>
        <v>5643</v>
      </c>
      <c r="BE139" s="28" t="n">
        <f aca="false">BC139-BD139</f>
        <v>0</v>
      </c>
      <c r="BF139" s="32" t="n">
        <f aca="false">SUM(R139,T139,V139,X139,Z139,AB139,AD139,AF139,AH139,AJ139,AL139,AN139,AP139,AR139,AT139,AV139,AX139,AZ139)</f>
        <v>182.02</v>
      </c>
      <c r="BG139" s="33" t="n">
        <f aca="false">BB139-BF139</f>
        <v>0</v>
      </c>
      <c r="BH139" s="34" t="n">
        <f aca="false">BF139*M139</f>
        <v>5642.62</v>
      </c>
      <c r="BI139" s="35" t="n">
        <f aca="false">BC139-BH139</f>
        <v>0.380000000000109</v>
      </c>
      <c r="BJ139" s="19" t="str">
        <f aca="false">IF(BI139=0,"",IF(BI139&lt;&gt;BC139,"erreur de calcul",IF(BF139&lt;&gt;0,"pas de prix",IF(M139&lt;&gt; 0,"pas de quantité","pas de prix, ni de quantité"))))</f>
        <v>erreur de calcul</v>
      </c>
      <c r="BK139" s="19"/>
    </row>
    <row r="140" customFormat="false" ht="16" hidden="false" customHeight="false" outlineLevel="0" collapsed="false">
      <c r="A140" s="0" t="n">
        <v>13</v>
      </c>
      <c r="B140" s="8" t="s">
        <v>24</v>
      </c>
      <c r="C140" s="9" t="s">
        <v>25</v>
      </c>
      <c r="D140" s="9" t="s">
        <v>26</v>
      </c>
      <c r="E140" s="10" t="n">
        <v>1789</v>
      </c>
      <c r="F140" s="9" t="s">
        <v>27</v>
      </c>
      <c r="G140" s="9" t="s">
        <v>27</v>
      </c>
      <c r="H140" s="11" t="n">
        <v>22</v>
      </c>
      <c r="I140" s="11" t="s">
        <v>214</v>
      </c>
      <c r="J140" s="14"/>
      <c r="K140" s="14" t="n">
        <v>20</v>
      </c>
      <c r="L140" s="16"/>
      <c r="M140" s="27" t="n">
        <f aca="false">J140+(K140/20)+(L140/240)</f>
        <v>1</v>
      </c>
      <c r="N140" s="17" t="s">
        <v>66</v>
      </c>
      <c r="O140" s="11"/>
      <c r="P140" s="28"/>
      <c r="Q140" s="28" t="str">
        <f aca="false">IF(O140&lt;&gt;"",P140*M140,"")</f>
        <v/>
      </c>
      <c r="R140" s="28"/>
      <c r="S140" s="28" t="n">
        <f aca="false">R140*$M140</f>
        <v>0</v>
      </c>
      <c r="T140" s="28"/>
      <c r="U140" s="28" t="n">
        <f aca="false">T140*$M140</f>
        <v>0</v>
      </c>
      <c r="V140" s="28"/>
      <c r="W140" s="28" t="n">
        <f aca="false">V140*$M140</f>
        <v>0</v>
      </c>
      <c r="X140" s="28"/>
      <c r="Y140" s="28" t="n">
        <f aca="false">X140*$M140</f>
        <v>0</v>
      </c>
      <c r="Z140" s="28"/>
      <c r="AA140" s="28" t="n">
        <f aca="false">Z140*$M140</f>
        <v>0</v>
      </c>
      <c r="AB140" s="28"/>
      <c r="AC140" s="28" t="n">
        <f aca="false">AB140*$M140</f>
        <v>0</v>
      </c>
      <c r="AD140" s="28"/>
      <c r="AE140" s="28" t="n">
        <f aca="false">AD140*$M140</f>
        <v>0</v>
      </c>
      <c r="AF140" s="28" t="n">
        <v>2831</v>
      </c>
      <c r="AG140" s="28" t="n">
        <v>2831</v>
      </c>
      <c r="AH140" s="28"/>
      <c r="AI140" s="28" t="n">
        <f aca="false">AH140*$M140</f>
        <v>0</v>
      </c>
      <c r="AJ140" s="28"/>
      <c r="AK140" s="28" t="n">
        <f aca="false">AJ140*$M140</f>
        <v>0</v>
      </c>
      <c r="AL140" s="28"/>
      <c r="AM140" s="28" t="n">
        <f aca="false">AL140*$M140</f>
        <v>0</v>
      </c>
      <c r="AN140" s="28"/>
      <c r="AO140" s="28" t="n">
        <f aca="false">AN140*$M140</f>
        <v>0</v>
      </c>
      <c r="AP140" s="28"/>
      <c r="AQ140" s="28" t="n">
        <f aca="false">AP140*$M140</f>
        <v>0</v>
      </c>
      <c r="AR140" s="28"/>
      <c r="AS140" s="28" t="n">
        <f aca="false">AR140*$M140</f>
        <v>0</v>
      </c>
      <c r="AT140" s="28"/>
      <c r="AU140" s="28" t="n">
        <f aca="false">AT140*$M140</f>
        <v>0</v>
      </c>
      <c r="AV140" s="28"/>
      <c r="AW140" s="28" t="n">
        <f aca="false">AV140*$M140</f>
        <v>0</v>
      </c>
      <c r="AX140" s="28"/>
      <c r="AY140" s="28" t="n">
        <f aca="false">AX140*$M140</f>
        <v>0</v>
      </c>
      <c r="AZ140" s="28"/>
      <c r="BA140" s="28" t="n">
        <f aca="false">AZ140*$M140</f>
        <v>0</v>
      </c>
      <c r="BB140" s="30" t="n">
        <v>2831</v>
      </c>
      <c r="BC140" s="11" t="n">
        <v>2831</v>
      </c>
      <c r="BD140" s="31" t="n">
        <f aca="false">SUM(S140,U140,W140,Y140,AA140,AC140,AE140,AG140,AI140,AK140,AM140,AO140,AQ140,AS140,AU140,AW140,AY140,BA140)</f>
        <v>2831</v>
      </c>
      <c r="BE140" s="28" t="n">
        <f aca="false">BC140-BD140</f>
        <v>0</v>
      </c>
      <c r="BF140" s="32" t="n">
        <f aca="false">SUM(R140,T140,V140,X140,Z140,AB140,AD140,AF140,AH140,AJ140,AL140,AN140,AP140,AR140,AT140,AV140,AX140,AZ140)</f>
        <v>2831</v>
      </c>
      <c r="BG140" s="33" t="n">
        <f aca="false">BB140-BF140</f>
        <v>0</v>
      </c>
      <c r="BH140" s="34" t="n">
        <f aca="false">BF140*M140</f>
        <v>2831</v>
      </c>
      <c r="BI140" s="35" t="n">
        <f aca="false">BC140-BH140</f>
        <v>0</v>
      </c>
      <c r="BJ140" s="19" t="str">
        <f aca="false">IF(BI140=0,"",IF(BI140&lt;&gt;BC140,"erreur de calcul",IF(BF140&lt;&gt;0,"pas de prix",IF(M140&lt;&gt; 0,"pas de quantité","pas de prix, ni de quantité"))))</f>
        <v/>
      </c>
      <c r="BK140" s="19"/>
    </row>
    <row r="141" customFormat="false" ht="16" hidden="false" customHeight="false" outlineLevel="0" collapsed="false">
      <c r="A141" s="0" t="n">
        <v>14</v>
      </c>
      <c r="B141" s="8" t="s">
        <v>24</v>
      </c>
      <c r="C141" s="9" t="s">
        <v>25</v>
      </c>
      <c r="D141" s="9" t="s">
        <v>26</v>
      </c>
      <c r="E141" s="10" t="n">
        <v>1789</v>
      </c>
      <c r="F141" s="9" t="s">
        <v>27</v>
      </c>
      <c r="G141" s="9" t="s">
        <v>27</v>
      </c>
      <c r="H141" s="11" t="n">
        <v>22</v>
      </c>
      <c r="I141" s="11" t="s">
        <v>215</v>
      </c>
      <c r="J141" s="14" t="n">
        <v>36</v>
      </c>
      <c r="K141" s="14"/>
      <c r="L141" s="16"/>
      <c r="M141" s="27" t="n">
        <f aca="false">J141+(K141/20)+(L141/240)</f>
        <v>36</v>
      </c>
      <c r="N141" s="17" t="s">
        <v>64</v>
      </c>
      <c r="O141" s="11"/>
      <c r="P141" s="28"/>
      <c r="Q141" s="28" t="str">
        <f aca="false">IF(O141&lt;&gt;"",P141*M141,"")</f>
        <v/>
      </c>
      <c r="R141" s="28"/>
      <c r="S141" s="28" t="n">
        <f aca="false">R141*$M141</f>
        <v>0</v>
      </c>
      <c r="T141" s="28"/>
      <c r="U141" s="28" t="n">
        <f aca="false">T141*$M141</f>
        <v>0</v>
      </c>
      <c r="V141" s="28"/>
      <c r="W141" s="28" t="n">
        <f aca="false">V141*$M141</f>
        <v>0</v>
      </c>
      <c r="X141" s="28"/>
      <c r="Y141" s="28" t="n">
        <f aca="false">X141*$M141</f>
        <v>0</v>
      </c>
      <c r="Z141" s="28"/>
      <c r="AA141" s="28" t="n">
        <f aca="false">Z141*$M141</f>
        <v>0</v>
      </c>
      <c r="AB141" s="28"/>
      <c r="AC141" s="28" t="n">
        <f aca="false">AB141*$M141</f>
        <v>0</v>
      </c>
      <c r="AD141" s="28"/>
      <c r="AE141" s="28" t="n">
        <f aca="false">AD141*$M141</f>
        <v>0</v>
      </c>
      <c r="AF141" s="28"/>
      <c r="AG141" s="28" t="n">
        <f aca="false">AF141*$M141</f>
        <v>0</v>
      </c>
      <c r="AH141" s="28" t="n">
        <f aca="false">92472/100</f>
        <v>924.72</v>
      </c>
      <c r="AI141" s="28" t="n">
        <v>33290</v>
      </c>
      <c r="AJ141" s="28" t="n">
        <f aca="false">490633/100</f>
        <v>4906.33</v>
      </c>
      <c r="AK141" s="28" t="n">
        <v>176628</v>
      </c>
      <c r="AL141" s="28"/>
      <c r="AM141" s="28" t="n">
        <f aca="false">AL141*$M141</f>
        <v>0</v>
      </c>
      <c r="AN141" s="28"/>
      <c r="AO141" s="28" t="n">
        <f aca="false">AN141*$M141</f>
        <v>0</v>
      </c>
      <c r="AP141" s="28"/>
      <c r="AQ141" s="28" t="n">
        <f aca="false">AP141*$M141</f>
        <v>0</v>
      </c>
      <c r="AR141" s="28"/>
      <c r="AS141" s="28" t="n">
        <f aca="false">AR141*$M141</f>
        <v>0</v>
      </c>
      <c r="AT141" s="28"/>
      <c r="AU141" s="28" t="n">
        <f aca="false">AT141*$M141</f>
        <v>0</v>
      </c>
      <c r="AV141" s="28"/>
      <c r="AW141" s="28" t="n">
        <f aca="false">AV141*$M141</f>
        <v>0</v>
      </c>
      <c r="AX141" s="28"/>
      <c r="AY141" s="28" t="n">
        <f aca="false">AX141*$M141</f>
        <v>0</v>
      </c>
      <c r="AZ141" s="28"/>
      <c r="BA141" s="28" t="n">
        <f aca="false">AZ141*$M141</f>
        <v>0</v>
      </c>
      <c r="BB141" s="30" t="n">
        <f aca="false">583105/100</f>
        <v>5831.05</v>
      </c>
      <c r="BC141" s="11" t="n">
        <v>209918</v>
      </c>
      <c r="BD141" s="31" t="n">
        <f aca="false">SUM(S141,U141,W141,Y141,AA141,AC141,AE141,AG141,AI141,AK141,AM141,AO141,AQ141,AS141,AU141,AW141,AY141,BA141)</f>
        <v>209918</v>
      </c>
      <c r="BE141" s="28" t="n">
        <f aca="false">BC141-BD141</f>
        <v>0</v>
      </c>
      <c r="BF141" s="32" t="n">
        <f aca="false">SUM(R141,T141,V141,X141,Z141,AB141,AD141,AF141,AH141,AJ141,AL141,AN141,AP141,AR141,AT141,AV141,AX141,AZ141)</f>
        <v>5831.05</v>
      </c>
      <c r="BG141" s="33" t="n">
        <f aca="false">BB141-BF141</f>
        <v>0</v>
      </c>
      <c r="BH141" s="34" t="n">
        <f aca="false">BF141*M141</f>
        <v>209917.8</v>
      </c>
      <c r="BI141" s="35" t="n">
        <f aca="false">BC141-BH141</f>
        <v>0.199999999982538</v>
      </c>
      <c r="BJ141" s="19" t="str">
        <f aca="false">IF(BI141=0,"",IF(BI141&lt;&gt;BC141,"erreur de calcul",IF(BF141&lt;&gt;0,"pas de prix",IF(M141&lt;&gt; 0,"pas de quantité","pas de prix, ni de quantité"))))</f>
        <v>erreur de calcul</v>
      </c>
      <c r="BK141" s="19"/>
    </row>
    <row r="142" customFormat="false" ht="16" hidden="false" customHeight="false" outlineLevel="0" collapsed="false">
      <c r="A142" s="0" t="n">
        <v>15</v>
      </c>
      <c r="B142" s="8" t="s">
        <v>24</v>
      </c>
      <c r="C142" s="9" t="s">
        <v>25</v>
      </c>
      <c r="D142" s="9" t="s">
        <v>26</v>
      </c>
      <c r="E142" s="10" t="n">
        <v>1789</v>
      </c>
      <c r="F142" s="9" t="s">
        <v>27</v>
      </c>
      <c r="G142" s="9" t="s">
        <v>27</v>
      </c>
      <c r="H142" s="11" t="n">
        <v>22</v>
      </c>
      <c r="I142" s="11" t="s">
        <v>216</v>
      </c>
      <c r="J142" s="14"/>
      <c r="K142" s="14" t="n">
        <v>22</v>
      </c>
      <c r="L142" s="16"/>
      <c r="M142" s="27" t="n">
        <f aca="false">J142+(K142/20)+(L142/240)</f>
        <v>1.1</v>
      </c>
      <c r="N142" s="17" t="s">
        <v>66</v>
      </c>
      <c r="O142" s="11"/>
      <c r="P142" s="28"/>
      <c r="Q142" s="28" t="str">
        <f aca="false">IF(O142&lt;&gt;"",P142*M142,"")</f>
        <v/>
      </c>
      <c r="R142" s="28"/>
      <c r="S142" s="28" t="n">
        <f aca="false">R142*$M142</f>
        <v>0</v>
      </c>
      <c r="T142" s="28"/>
      <c r="U142" s="28" t="n">
        <f aca="false">T142*$M142</f>
        <v>0</v>
      </c>
      <c r="V142" s="28" t="n">
        <v>2875</v>
      </c>
      <c r="W142" s="28" t="n">
        <v>3162</v>
      </c>
      <c r="X142" s="28"/>
      <c r="Y142" s="28" t="n">
        <f aca="false">X142*$M142</f>
        <v>0</v>
      </c>
      <c r="Z142" s="28"/>
      <c r="AA142" s="28" t="n">
        <f aca="false">Z142*$M142</f>
        <v>0</v>
      </c>
      <c r="AB142" s="28"/>
      <c r="AC142" s="28" t="n">
        <f aca="false">AB142*$M142</f>
        <v>0</v>
      </c>
      <c r="AD142" s="28"/>
      <c r="AE142" s="28" t="n">
        <f aca="false">AD142*$M142</f>
        <v>0</v>
      </c>
      <c r="AF142" s="28"/>
      <c r="AG142" s="28" t="n">
        <f aca="false">AF142*$M142</f>
        <v>0</v>
      </c>
      <c r="AH142" s="28"/>
      <c r="AI142" s="28" t="n">
        <f aca="false">AH142*$M142</f>
        <v>0</v>
      </c>
      <c r="AJ142" s="28"/>
      <c r="AK142" s="28" t="n">
        <f aca="false">AJ142*$M142</f>
        <v>0</v>
      </c>
      <c r="AL142" s="28"/>
      <c r="AM142" s="28" t="n">
        <f aca="false">AL142*$M142</f>
        <v>0</v>
      </c>
      <c r="AN142" s="28"/>
      <c r="AO142" s="28" t="n">
        <f aca="false">AN142*$M142</f>
        <v>0</v>
      </c>
      <c r="AP142" s="28"/>
      <c r="AQ142" s="28" t="n">
        <f aca="false">AP142*$M142</f>
        <v>0</v>
      </c>
      <c r="AR142" s="28"/>
      <c r="AS142" s="28" t="n">
        <f aca="false">AR142*$M142</f>
        <v>0</v>
      </c>
      <c r="AT142" s="28"/>
      <c r="AU142" s="28" t="n">
        <f aca="false">AT142*$M142</f>
        <v>0</v>
      </c>
      <c r="AV142" s="28"/>
      <c r="AW142" s="28" t="n">
        <f aca="false">AV142*$M142</f>
        <v>0</v>
      </c>
      <c r="AX142" s="28"/>
      <c r="AY142" s="28" t="n">
        <f aca="false">AX142*$M142</f>
        <v>0</v>
      </c>
      <c r="AZ142" s="28"/>
      <c r="BA142" s="28" t="n">
        <f aca="false">AZ142*$M142</f>
        <v>0</v>
      </c>
      <c r="BB142" s="30" t="n">
        <v>2875</v>
      </c>
      <c r="BC142" s="11" t="n">
        <v>3162</v>
      </c>
      <c r="BD142" s="31" t="n">
        <f aca="false">SUM(S142,U142,W142,Y142,AA142,AC142,AE142,AG142,AI142,AK142,AM142,AO142,AQ142,AS142,AU142,AW142,AY142,BA142)</f>
        <v>3162</v>
      </c>
      <c r="BE142" s="28" t="n">
        <f aca="false">BC142-BD142</f>
        <v>0</v>
      </c>
      <c r="BF142" s="32" t="n">
        <f aca="false">SUM(R142,T142,V142,X142,Z142,AB142,AD142,AF142,AH142,AJ142,AL142,AN142,AP142,AR142,AT142,AV142,AX142,AZ142)</f>
        <v>2875</v>
      </c>
      <c r="BG142" s="33" t="n">
        <f aca="false">BB142-BF142</f>
        <v>0</v>
      </c>
      <c r="BH142" s="34" t="n">
        <f aca="false">BF142*M142</f>
        <v>3162.5</v>
      </c>
      <c r="BI142" s="35" t="n">
        <f aca="false">BC142-BH142</f>
        <v>-0.500000000000455</v>
      </c>
      <c r="BJ142" s="19" t="str">
        <f aca="false">IF(BI142=0,"",IF(BI142&lt;&gt;BC142,"erreur de calcul",IF(BF142&lt;&gt;0,"pas de prix",IF(M142&lt;&gt; 0,"pas de quantité","pas de prix, ni de quantité"))))</f>
        <v>erreur de calcul</v>
      </c>
      <c r="BK142" s="19"/>
    </row>
    <row r="143" customFormat="false" ht="16" hidden="false" customHeight="false" outlineLevel="0" collapsed="false">
      <c r="A143" s="0" t="n">
        <v>16</v>
      </c>
      <c r="B143" s="8" t="s">
        <v>24</v>
      </c>
      <c r="C143" s="9" t="s">
        <v>25</v>
      </c>
      <c r="D143" s="9" t="s">
        <v>26</v>
      </c>
      <c r="E143" s="10" t="n">
        <v>1789</v>
      </c>
      <c r="F143" s="9" t="s">
        <v>27</v>
      </c>
      <c r="G143" s="9" t="s">
        <v>27</v>
      </c>
      <c r="H143" s="11" t="n">
        <v>22</v>
      </c>
      <c r="I143" s="11" t="s">
        <v>217</v>
      </c>
      <c r="J143" s="14" t="n">
        <v>90</v>
      </c>
      <c r="K143" s="14"/>
      <c r="L143" s="16"/>
      <c r="M143" s="27" t="n">
        <f aca="false">J143+(K143/20)+(L143/240)</f>
        <v>90</v>
      </c>
      <c r="N143" s="17" t="s">
        <v>64</v>
      </c>
      <c r="O143" s="11"/>
      <c r="P143" s="28"/>
      <c r="Q143" s="28" t="str">
        <f aca="false">IF(O143&lt;&gt;"",P143*M143,"")</f>
        <v/>
      </c>
      <c r="R143" s="28"/>
      <c r="S143" s="28" t="n">
        <f aca="false">R143*$M143</f>
        <v>0</v>
      </c>
      <c r="T143" s="28"/>
      <c r="U143" s="28" t="n">
        <f aca="false">T143*$M143</f>
        <v>0</v>
      </c>
      <c r="V143" s="28"/>
      <c r="W143" s="28" t="n">
        <f aca="false">V143*$M143</f>
        <v>0</v>
      </c>
      <c r="X143" s="28"/>
      <c r="Y143" s="28" t="n">
        <f aca="false">X143*$M143</f>
        <v>0</v>
      </c>
      <c r="Z143" s="28" t="n">
        <f aca="false">2440/100</f>
        <v>24.4</v>
      </c>
      <c r="AA143" s="28" t="n">
        <v>2196</v>
      </c>
      <c r="AB143" s="28"/>
      <c r="AC143" s="28" t="n">
        <f aca="false">AB143*$M143</f>
        <v>0</v>
      </c>
      <c r="AD143" s="28"/>
      <c r="AE143" s="28" t="n">
        <f aca="false">AD143*$M143</f>
        <v>0</v>
      </c>
      <c r="AF143" s="28"/>
      <c r="AG143" s="28" t="n">
        <f aca="false">AF143*$M143</f>
        <v>0</v>
      </c>
      <c r="AH143" s="28"/>
      <c r="AI143" s="28" t="n">
        <f aca="false">AH143*$M143</f>
        <v>0</v>
      </c>
      <c r="AJ143" s="28" t="n">
        <f aca="false">524577/100</f>
        <v>5245.77</v>
      </c>
      <c r="AK143" s="28" t="n">
        <v>472116</v>
      </c>
      <c r="AL143" s="28"/>
      <c r="AM143" s="28" t="n">
        <f aca="false">AL143*$M143</f>
        <v>0</v>
      </c>
      <c r="AN143" s="28"/>
      <c r="AO143" s="28" t="n">
        <f aca="false">AN143*$M143</f>
        <v>0</v>
      </c>
      <c r="AP143" s="28"/>
      <c r="AQ143" s="28" t="n">
        <f aca="false">AP143*$M143</f>
        <v>0</v>
      </c>
      <c r="AR143" s="28"/>
      <c r="AS143" s="28" t="n">
        <f aca="false">AR143*$M143</f>
        <v>0</v>
      </c>
      <c r="AT143" s="28"/>
      <c r="AU143" s="28" t="n">
        <f aca="false">AT143*$M143</f>
        <v>0</v>
      </c>
      <c r="AV143" s="28"/>
      <c r="AW143" s="28" t="n">
        <f aca="false">AV143*$M143</f>
        <v>0</v>
      </c>
      <c r="AX143" s="28"/>
      <c r="AY143" s="28" t="n">
        <f aca="false">AX143*$M143</f>
        <v>0</v>
      </c>
      <c r="AZ143" s="28"/>
      <c r="BA143" s="28" t="n">
        <f aca="false">AZ143*$M143</f>
        <v>0</v>
      </c>
      <c r="BB143" s="30" t="n">
        <f aca="false">526980/100</f>
        <v>5269.8</v>
      </c>
      <c r="BC143" s="11" t="n">
        <v>474312</v>
      </c>
      <c r="BD143" s="31" t="n">
        <f aca="false">SUM(S143,U143,W143,Y143,AA143,AC143,AE143,AG143,AI143,AK143,AM143,AO143,AQ143,AS143,AU143,AW143,AY143,BA143)</f>
        <v>474312</v>
      </c>
      <c r="BE143" s="28" t="n">
        <f aca="false">BC143-BD143</f>
        <v>0</v>
      </c>
      <c r="BF143" s="32" t="n">
        <f aca="false">SUM(R143,T143,V143,X143,Z143,AB143,AD143,AF143,AH143,AJ143,AL143,AN143,AP143,AR143,AT143,AV143,AX143,AZ143)</f>
        <v>5270.17</v>
      </c>
      <c r="BG143" s="33" t="n">
        <f aca="false">BB143-BF143</f>
        <v>-0.369999999999891</v>
      </c>
      <c r="BH143" s="34" t="n">
        <f aca="false">BF143*M143</f>
        <v>474315.3</v>
      </c>
      <c r="BI143" s="35" t="n">
        <f aca="false">BC143-BH143</f>
        <v>-3.29999999998836</v>
      </c>
      <c r="BJ143" s="19" t="str">
        <f aca="false">IF(BI143=0,"",IF(BI143&lt;&gt;BC143,"erreur de calcul",IF(BF143&lt;&gt;0,"pas de prix",IF(M143&lt;&gt; 0,"pas de quantité","pas de prix, ni de quantité"))))</f>
        <v>erreur de calcul</v>
      </c>
      <c r="BK143" s="19"/>
    </row>
    <row r="144" customFormat="false" ht="16" hidden="false" customHeight="false" outlineLevel="0" collapsed="false">
      <c r="A144" s="0" t="n">
        <v>17</v>
      </c>
      <c r="B144" s="8" t="s">
        <v>24</v>
      </c>
      <c r="C144" s="9" t="s">
        <v>25</v>
      </c>
      <c r="D144" s="9" t="s">
        <v>26</v>
      </c>
      <c r="E144" s="10" t="n">
        <v>1789</v>
      </c>
      <c r="F144" s="9" t="s">
        <v>27</v>
      </c>
      <c r="G144" s="9" t="s">
        <v>27</v>
      </c>
      <c r="H144" s="11" t="n">
        <v>22</v>
      </c>
      <c r="I144" s="11" t="s">
        <v>218</v>
      </c>
      <c r="J144" s="14" t="n">
        <v>15</v>
      </c>
      <c r="K144" s="14"/>
      <c r="L144" s="16"/>
      <c r="M144" s="27" t="n">
        <f aca="false">J144+(K144/20)+(L144/240)</f>
        <v>15</v>
      </c>
      <c r="N144" s="17" t="s">
        <v>64</v>
      </c>
      <c r="O144" s="11"/>
      <c r="P144" s="28"/>
      <c r="Q144" s="28" t="str">
        <f aca="false">IF(O144&lt;&gt;"",P144*M144,"")</f>
        <v/>
      </c>
      <c r="R144" s="28" t="n">
        <f aca="false">12250/100</f>
        <v>122.5</v>
      </c>
      <c r="S144" s="28" t="n">
        <v>1837</v>
      </c>
      <c r="T144" s="28"/>
      <c r="U144" s="28" t="n">
        <f aca="false">T144*$M144</f>
        <v>0</v>
      </c>
      <c r="V144" s="28"/>
      <c r="W144" s="28" t="n">
        <f aca="false">V144*$M144</f>
        <v>0</v>
      </c>
      <c r="X144" s="28" t="n">
        <f aca="false">118493/100</f>
        <v>1184.93</v>
      </c>
      <c r="Y144" s="28" t="n">
        <v>17774</v>
      </c>
      <c r="Z144" s="28" t="n">
        <f aca="false">16835/100</f>
        <v>168.35</v>
      </c>
      <c r="AA144" s="28" t="n">
        <v>2525</v>
      </c>
      <c r="AB144" s="28"/>
      <c r="AC144" s="28" t="n">
        <f aca="false">AB144*$M144</f>
        <v>0</v>
      </c>
      <c r="AD144" s="28" t="n">
        <f aca="false">268622/100</f>
        <v>2686.22</v>
      </c>
      <c r="AE144" s="28" t="n">
        <v>40293</v>
      </c>
      <c r="AF144" s="28"/>
      <c r="AG144" s="28" t="n">
        <f aca="false">AF144*$M144</f>
        <v>0</v>
      </c>
      <c r="AH144" s="28"/>
      <c r="AI144" s="28" t="n">
        <f aca="false">AH144*$M144</f>
        <v>0</v>
      </c>
      <c r="AJ144" s="28" t="n">
        <f aca="false">70164/100</f>
        <v>701.64</v>
      </c>
      <c r="AK144" s="28" t="n">
        <v>10524</v>
      </c>
      <c r="AL144" s="28"/>
      <c r="AM144" s="28" t="n">
        <f aca="false">AL144*$M144</f>
        <v>0</v>
      </c>
      <c r="AN144" s="28"/>
      <c r="AO144" s="28" t="n">
        <f aca="false">AN144*$M144</f>
        <v>0</v>
      </c>
      <c r="AP144" s="28"/>
      <c r="AQ144" s="28" t="n">
        <f aca="false">AP144*$M144</f>
        <v>0</v>
      </c>
      <c r="AR144" s="28"/>
      <c r="AS144" s="28" t="n">
        <f aca="false">AR144*$M144</f>
        <v>0</v>
      </c>
      <c r="AT144" s="28"/>
      <c r="AU144" s="28" t="n">
        <f aca="false">AT144*$M144</f>
        <v>0</v>
      </c>
      <c r="AV144" s="28"/>
      <c r="AW144" s="28" t="n">
        <f aca="false">AV144*$M144</f>
        <v>0</v>
      </c>
      <c r="AX144" s="28"/>
      <c r="AY144" s="28" t="n">
        <f aca="false">AX144*$M144</f>
        <v>0</v>
      </c>
      <c r="AZ144" s="28"/>
      <c r="BA144" s="28" t="n">
        <f aca="false">AZ144*$M144</f>
        <v>0</v>
      </c>
      <c r="BB144" s="30" t="n">
        <f aca="false">486364/100</f>
        <v>4863.64</v>
      </c>
      <c r="BC144" s="11" t="n">
        <v>72953</v>
      </c>
      <c r="BD144" s="31" t="n">
        <f aca="false">SUM(S144,U144,W144,Y144,AA144,AC144,AE144,AG144,AI144,AK144,AM144,AO144,AQ144,AS144,AU144,AW144,AY144,BA144)</f>
        <v>72953</v>
      </c>
      <c r="BE144" s="28" t="n">
        <f aca="false">BC144-BD144</f>
        <v>0</v>
      </c>
      <c r="BF144" s="32" t="n">
        <f aca="false">SUM(R144,T144,V144,X144,Z144,AB144,AD144,AF144,AH144,AJ144,AL144,AN144,AP144,AR144,AT144,AV144,AX144,AZ144)</f>
        <v>4863.64</v>
      </c>
      <c r="BG144" s="33" t="n">
        <f aca="false">BB144-BF144</f>
        <v>0</v>
      </c>
      <c r="BH144" s="34" t="n">
        <f aca="false">BF144*M144</f>
        <v>72954.6</v>
      </c>
      <c r="BI144" s="35" t="n">
        <f aca="false">BC144-BH144</f>
        <v>-1.59999999999127</v>
      </c>
      <c r="BJ144" s="19" t="str">
        <f aca="false">IF(BI144=0,"",IF(BI144&lt;&gt;BC144,"erreur de calcul",IF(BF144&lt;&gt;0,"pas de prix",IF(M144&lt;&gt; 0,"pas de quantité","pas de prix, ni de quantité"))))</f>
        <v>erreur de calcul</v>
      </c>
      <c r="BK144" s="19"/>
    </row>
    <row r="145" customFormat="false" ht="16" hidden="false" customHeight="false" outlineLevel="0" collapsed="false">
      <c r="A145" s="0" t="n">
        <v>18</v>
      </c>
      <c r="B145" s="8" t="s">
        <v>24</v>
      </c>
      <c r="C145" s="9" t="s">
        <v>25</v>
      </c>
      <c r="D145" s="9" t="s">
        <v>26</v>
      </c>
      <c r="E145" s="10" t="n">
        <v>1789</v>
      </c>
      <c r="F145" s="9" t="s">
        <v>27</v>
      </c>
      <c r="G145" s="9" t="s">
        <v>27</v>
      </c>
      <c r="H145" s="11" t="n">
        <v>22</v>
      </c>
      <c r="I145" s="11" t="s">
        <v>219</v>
      </c>
      <c r="J145" s="14" t="n">
        <v>12</v>
      </c>
      <c r="K145" s="14"/>
      <c r="L145" s="16"/>
      <c r="M145" s="27" t="n">
        <f aca="false">J145+(K145/20)+(L145/240)</f>
        <v>12</v>
      </c>
      <c r="N145" s="17" t="s">
        <v>64</v>
      </c>
      <c r="O145" s="11"/>
      <c r="P145" s="28"/>
      <c r="Q145" s="28" t="str">
        <f aca="false">IF(O145&lt;&gt;"",P145*M145,"")</f>
        <v/>
      </c>
      <c r="R145" s="28"/>
      <c r="S145" s="28" t="n">
        <f aca="false">R145*$M145</f>
        <v>0</v>
      </c>
      <c r="T145" s="28"/>
      <c r="U145" s="28" t="n">
        <f aca="false">T145*$M145</f>
        <v>0</v>
      </c>
      <c r="V145" s="28"/>
      <c r="W145" s="28" t="n">
        <f aca="false">V145*$M145</f>
        <v>0</v>
      </c>
      <c r="X145" s="28" t="n">
        <f aca="false">26072/100</f>
        <v>260.72</v>
      </c>
      <c r="Y145" s="28" t="n">
        <v>3129</v>
      </c>
      <c r="Z145" s="28" t="n">
        <f aca="false">16340/100</f>
        <v>163.4</v>
      </c>
      <c r="AA145" s="28" t="n">
        <v>1961</v>
      </c>
      <c r="AB145" s="28"/>
      <c r="AC145" s="28" t="n">
        <f aca="false">AB145*$M145</f>
        <v>0</v>
      </c>
      <c r="AD145" s="28" t="n">
        <f aca="false">76351/100</f>
        <v>763.51</v>
      </c>
      <c r="AE145" s="28" t="n">
        <v>9162</v>
      </c>
      <c r="AF145" s="28"/>
      <c r="AG145" s="28" t="n">
        <f aca="false">AF145*$M145</f>
        <v>0</v>
      </c>
      <c r="AH145" s="28"/>
      <c r="AI145" s="28" t="n">
        <f aca="false">AH145*$M145</f>
        <v>0</v>
      </c>
      <c r="AJ145" s="28"/>
      <c r="AK145" s="28" t="n">
        <f aca="false">AJ145*$M145</f>
        <v>0</v>
      </c>
      <c r="AL145" s="28"/>
      <c r="AM145" s="28" t="n">
        <f aca="false">AL145*$M145</f>
        <v>0</v>
      </c>
      <c r="AN145" s="28"/>
      <c r="AO145" s="28" t="n">
        <f aca="false">AN145*$M145</f>
        <v>0</v>
      </c>
      <c r="AP145" s="28"/>
      <c r="AQ145" s="28" t="n">
        <f aca="false">AP145*$M145</f>
        <v>0</v>
      </c>
      <c r="AR145" s="28"/>
      <c r="AS145" s="28" t="n">
        <f aca="false">AR145*$M145</f>
        <v>0</v>
      </c>
      <c r="AT145" s="28"/>
      <c r="AU145" s="28" t="n">
        <f aca="false">AT145*$M145</f>
        <v>0</v>
      </c>
      <c r="AV145" s="28"/>
      <c r="AW145" s="28" t="n">
        <f aca="false">AV145*$M145</f>
        <v>0</v>
      </c>
      <c r="AX145" s="28"/>
      <c r="AY145" s="28" t="n">
        <f aca="false">AX145*$M145</f>
        <v>0</v>
      </c>
      <c r="AZ145" s="28"/>
      <c r="BA145" s="28" t="n">
        <f aca="false">AZ145*$M145</f>
        <v>0</v>
      </c>
      <c r="BB145" s="30" t="n">
        <f aca="false">118763/100</f>
        <v>1187.63</v>
      </c>
      <c r="BC145" s="11" t="n">
        <v>14252</v>
      </c>
      <c r="BD145" s="31" t="n">
        <f aca="false">SUM(S145,U145,W145,Y145,AA145,AC145,AE145,AG145,AI145,AK145,AM145,AO145,AQ145,AS145,AU145,AW145,AY145,BA145)</f>
        <v>14252</v>
      </c>
      <c r="BE145" s="28" t="n">
        <f aca="false">BC145-BD145</f>
        <v>0</v>
      </c>
      <c r="BF145" s="32" t="n">
        <f aca="false">SUM(R145,T145,V145,X145,Z145,AB145,AD145,AF145,AH145,AJ145,AL145,AN145,AP145,AR145,AT145,AV145,AX145,AZ145)</f>
        <v>1187.63</v>
      </c>
      <c r="BG145" s="33" t="n">
        <f aca="false">BB145-BF145</f>
        <v>0</v>
      </c>
      <c r="BH145" s="34" t="n">
        <f aca="false">BF145*M145</f>
        <v>14251.56</v>
      </c>
      <c r="BI145" s="35" t="n">
        <f aca="false">BC145-BH145</f>
        <v>0.43999999999869</v>
      </c>
      <c r="BJ145" s="19" t="str">
        <f aca="false">IF(BI145=0,"",IF(BI145&lt;&gt;BC145,"erreur de calcul",IF(BF145&lt;&gt;0,"pas de prix",IF(M145&lt;&gt; 0,"pas de quantité","pas de prix, ni de quantité"))))</f>
        <v>erreur de calcul</v>
      </c>
      <c r="BK145" s="19"/>
    </row>
    <row r="146" customFormat="false" ht="16" hidden="false" customHeight="false" outlineLevel="0" collapsed="false">
      <c r="A146" s="0" t="n">
        <v>19</v>
      </c>
      <c r="B146" s="8" t="s">
        <v>24</v>
      </c>
      <c r="C146" s="9" t="s">
        <v>25</v>
      </c>
      <c r="D146" s="9" t="s">
        <v>26</v>
      </c>
      <c r="E146" s="10" t="n">
        <v>1789</v>
      </c>
      <c r="F146" s="9" t="s">
        <v>27</v>
      </c>
      <c r="G146" s="9" t="s">
        <v>27</v>
      </c>
      <c r="H146" s="11" t="n">
        <v>22</v>
      </c>
      <c r="I146" s="11" t="s">
        <v>220</v>
      </c>
      <c r="J146" s="14" t="n">
        <v>8</v>
      </c>
      <c r="K146" s="14"/>
      <c r="L146" s="16"/>
      <c r="M146" s="27" t="n">
        <f aca="false">J146+(K146/20)+(L146/240)</f>
        <v>8</v>
      </c>
      <c r="N146" s="17" t="s">
        <v>66</v>
      </c>
      <c r="O146" s="11"/>
      <c r="P146" s="28"/>
      <c r="Q146" s="28" t="str">
        <f aca="false">IF(O146&lt;&gt;"",P146*M146,"")</f>
        <v/>
      </c>
      <c r="R146" s="28" t="n">
        <v>3798</v>
      </c>
      <c r="S146" s="28" t="n">
        <v>30384</v>
      </c>
      <c r="T146" s="28"/>
      <c r="U146" s="28" t="n">
        <f aca="false">T146*$M146</f>
        <v>0</v>
      </c>
      <c r="V146" s="28"/>
      <c r="W146" s="28" t="n">
        <f aca="false">V146*$M146</f>
        <v>0</v>
      </c>
      <c r="X146" s="28"/>
      <c r="Y146" s="28" t="n">
        <f aca="false">X146*$M146</f>
        <v>0</v>
      </c>
      <c r="Z146" s="28"/>
      <c r="AA146" s="28" t="n">
        <f aca="false">Z146*$M146</f>
        <v>0</v>
      </c>
      <c r="AB146" s="28"/>
      <c r="AC146" s="28" t="n">
        <f aca="false">AB146*$M146</f>
        <v>0</v>
      </c>
      <c r="AD146" s="28"/>
      <c r="AE146" s="28" t="n">
        <f aca="false">AD146*$M146</f>
        <v>0</v>
      </c>
      <c r="AF146" s="28"/>
      <c r="AG146" s="28" t="n">
        <f aca="false">AF146*$M146</f>
        <v>0</v>
      </c>
      <c r="AH146" s="28"/>
      <c r="AI146" s="28" t="n">
        <f aca="false">AH146*$M146</f>
        <v>0</v>
      </c>
      <c r="AJ146" s="28" t="n">
        <v>322</v>
      </c>
      <c r="AK146" s="28" t="n">
        <v>2576</v>
      </c>
      <c r="AL146" s="28"/>
      <c r="AM146" s="28" t="n">
        <f aca="false">AL146*$M146</f>
        <v>0</v>
      </c>
      <c r="AN146" s="28"/>
      <c r="AO146" s="28" t="n">
        <f aca="false">AN146*$M146</f>
        <v>0</v>
      </c>
      <c r="AP146" s="28"/>
      <c r="AQ146" s="28" t="n">
        <f aca="false">AP146*$M146</f>
        <v>0</v>
      </c>
      <c r="AR146" s="28"/>
      <c r="AS146" s="28" t="n">
        <f aca="false">AR146*$M146</f>
        <v>0</v>
      </c>
      <c r="AT146" s="28"/>
      <c r="AU146" s="28" t="n">
        <f aca="false">AT146*$M146</f>
        <v>0</v>
      </c>
      <c r="AV146" s="28"/>
      <c r="AW146" s="28" t="n">
        <f aca="false">AV146*$M146</f>
        <v>0</v>
      </c>
      <c r="AX146" s="28"/>
      <c r="AY146" s="28" t="n">
        <f aca="false">AX146*$M146</f>
        <v>0</v>
      </c>
      <c r="AZ146" s="28"/>
      <c r="BA146" s="28" t="n">
        <f aca="false">AZ146*$M146</f>
        <v>0</v>
      </c>
      <c r="BB146" s="30" t="n">
        <v>4120</v>
      </c>
      <c r="BC146" s="11" t="n">
        <v>32960</v>
      </c>
      <c r="BD146" s="31" t="n">
        <f aca="false">SUM(S146,U146,W146,Y146,AA146,AC146,AE146,AG146,AI146,AK146,AM146,AO146,AQ146,AS146,AU146,AW146,AY146,BA146)</f>
        <v>32960</v>
      </c>
      <c r="BE146" s="28" t="n">
        <f aca="false">BC146-BD146</f>
        <v>0</v>
      </c>
      <c r="BF146" s="32" t="n">
        <f aca="false">SUM(R146,T146,V146,X146,Z146,AB146,AD146,AF146,AH146,AJ146,AL146,AN146,AP146,AR146,AT146,AV146,AX146,AZ146)</f>
        <v>4120</v>
      </c>
      <c r="BG146" s="33" t="n">
        <f aca="false">BB146-BF146</f>
        <v>0</v>
      </c>
      <c r="BH146" s="34" t="n">
        <f aca="false">BF146*M146</f>
        <v>32960</v>
      </c>
      <c r="BI146" s="35" t="n">
        <f aca="false">BC146-BH146</f>
        <v>0</v>
      </c>
      <c r="BJ146" s="19" t="str">
        <f aca="false">IF(BI146=0,"",IF(BI146&lt;&gt;BC146,"erreur de calcul",IF(BF146&lt;&gt;0,"pas de prix",IF(M146&lt;&gt; 0,"pas de quantité","pas de prix, ni de quantité"))))</f>
        <v/>
      </c>
      <c r="BK146" s="19"/>
    </row>
    <row r="147" customFormat="false" ht="16" hidden="false" customHeight="false" outlineLevel="0" collapsed="false">
      <c r="A147" s="0" t="n">
        <v>20</v>
      </c>
      <c r="B147" s="8" t="s">
        <v>24</v>
      </c>
      <c r="C147" s="9" t="s">
        <v>25</v>
      </c>
      <c r="D147" s="9" t="s">
        <v>26</v>
      </c>
      <c r="E147" s="10" t="n">
        <v>1789</v>
      </c>
      <c r="F147" s="9" t="s">
        <v>27</v>
      </c>
      <c r="G147" s="9" t="s">
        <v>27</v>
      </c>
      <c r="H147" s="11" t="n">
        <v>22</v>
      </c>
      <c r="I147" s="11" t="s">
        <v>221</v>
      </c>
      <c r="J147" s="14"/>
      <c r="K147" s="14" t="n">
        <v>20</v>
      </c>
      <c r="L147" s="16"/>
      <c r="M147" s="27" t="n">
        <f aca="false">J147+(K147/20)+(L147/240)</f>
        <v>1</v>
      </c>
      <c r="N147" s="17" t="s">
        <v>66</v>
      </c>
      <c r="O147" s="11"/>
      <c r="P147" s="28"/>
      <c r="Q147" s="28" t="str">
        <f aca="false">IF(O147&lt;&gt;"",P147*M147,"")</f>
        <v/>
      </c>
      <c r="R147" s="28" t="n">
        <v>1353</v>
      </c>
      <c r="S147" s="28" t="n">
        <v>1353</v>
      </c>
      <c r="T147" s="28"/>
      <c r="U147" s="28" t="n">
        <f aca="false">T147*$M147</f>
        <v>0</v>
      </c>
      <c r="V147" s="28"/>
      <c r="W147" s="28" t="n">
        <f aca="false">V147*$M147</f>
        <v>0</v>
      </c>
      <c r="X147" s="28"/>
      <c r="Y147" s="28" t="n">
        <f aca="false">X147*$M147</f>
        <v>0</v>
      </c>
      <c r="Z147" s="28"/>
      <c r="AA147" s="28" t="n">
        <f aca="false">Z147*$M147</f>
        <v>0</v>
      </c>
      <c r="AB147" s="28"/>
      <c r="AC147" s="28" t="n">
        <f aca="false">AB147*$M147</f>
        <v>0</v>
      </c>
      <c r="AD147" s="28"/>
      <c r="AE147" s="28" t="n">
        <f aca="false">AD147*$M147</f>
        <v>0</v>
      </c>
      <c r="AF147" s="28"/>
      <c r="AG147" s="28" t="n">
        <f aca="false">AF147*$M147</f>
        <v>0</v>
      </c>
      <c r="AH147" s="28"/>
      <c r="AI147" s="28" t="n">
        <f aca="false">AH147*$M147</f>
        <v>0</v>
      </c>
      <c r="AJ147" s="28"/>
      <c r="AK147" s="28" t="n">
        <f aca="false">AJ147*$M147</f>
        <v>0</v>
      </c>
      <c r="AL147" s="28"/>
      <c r="AM147" s="28" t="n">
        <f aca="false">AL147*$M147</f>
        <v>0</v>
      </c>
      <c r="AN147" s="28"/>
      <c r="AO147" s="28" t="n">
        <f aca="false">AN147*$M147</f>
        <v>0</v>
      </c>
      <c r="AP147" s="28"/>
      <c r="AQ147" s="28" t="n">
        <f aca="false">AP147*$M147</f>
        <v>0</v>
      </c>
      <c r="AR147" s="28"/>
      <c r="AS147" s="28" t="n">
        <f aca="false">AR147*$M147</f>
        <v>0</v>
      </c>
      <c r="AT147" s="28"/>
      <c r="AU147" s="28" t="n">
        <f aca="false">AT147*$M147</f>
        <v>0</v>
      </c>
      <c r="AV147" s="28"/>
      <c r="AW147" s="28" t="n">
        <f aca="false">AV147*$M147</f>
        <v>0</v>
      </c>
      <c r="AX147" s="28"/>
      <c r="AY147" s="28" t="n">
        <f aca="false">AX147*$M147</f>
        <v>0</v>
      </c>
      <c r="AZ147" s="28"/>
      <c r="BA147" s="28" t="n">
        <f aca="false">AZ147*$M147</f>
        <v>0</v>
      </c>
      <c r="BB147" s="30" t="n">
        <v>1353</v>
      </c>
      <c r="BC147" s="11" t="n">
        <v>1353</v>
      </c>
      <c r="BD147" s="31" t="n">
        <f aca="false">SUM(S147,U147,W147,Y147,AA147,AC147,AE147,AG147,AI147,AK147,AM147,AO147,AQ147,AS147,AU147,AW147,AY147,BA147)</f>
        <v>1353</v>
      </c>
      <c r="BE147" s="28" t="n">
        <f aca="false">BC147-BD147</f>
        <v>0</v>
      </c>
      <c r="BF147" s="32" t="n">
        <f aca="false">SUM(R147,T147,V147,X147,Z147,AB147,AD147,AF147,AH147,AJ147,AL147,AN147,AP147,AR147,AT147,AV147,AX147,AZ147)</f>
        <v>1353</v>
      </c>
      <c r="BG147" s="33" t="n">
        <f aca="false">BB147-BF147</f>
        <v>0</v>
      </c>
      <c r="BH147" s="34" t="n">
        <f aca="false">BF147*M147</f>
        <v>1353</v>
      </c>
      <c r="BI147" s="35" t="n">
        <f aca="false">BC147-BH147</f>
        <v>0</v>
      </c>
      <c r="BJ147" s="19" t="str">
        <f aca="false">IF(BI147=0,"",IF(BI147&lt;&gt;BC147,"erreur de calcul",IF(BF147&lt;&gt;0,"pas de prix",IF(M147&lt;&gt; 0,"pas de quantité","pas de prix, ni de quantité"))))</f>
        <v/>
      </c>
      <c r="BK147" s="19"/>
    </row>
    <row r="148" customFormat="false" ht="16" hidden="false" customHeight="false" outlineLevel="0" collapsed="false">
      <c r="A148" s="0" t="n">
        <v>21</v>
      </c>
      <c r="B148" s="8" t="s">
        <v>24</v>
      </c>
      <c r="C148" s="9" t="s">
        <v>25</v>
      </c>
      <c r="D148" s="9" t="s">
        <v>26</v>
      </c>
      <c r="E148" s="10" t="n">
        <v>1789</v>
      </c>
      <c r="F148" s="9" t="s">
        <v>27</v>
      </c>
      <c r="G148" s="9" t="s">
        <v>27</v>
      </c>
      <c r="H148" s="11" t="n">
        <v>22</v>
      </c>
      <c r="I148" s="11" t="s">
        <v>222</v>
      </c>
      <c r="J148" s="14" t="n">
        <v>85</v>
      </c>
      <c r="K148" s="14"/>
      <c r="L148" s="16"/>
      <c r="M148" s="27" t="n">
        <f aca="false">J148+(K148/20)+(L148/240)</f>
        <v>85</v>
      </c>
      <c r="N148" s="17" t="s">
        <v>64</v>
      </c>
      <c r="O148" s="11"/>
      <c r="P148" s="28"/>
      <c r="Q148" s="28" t="str">
        <f aca="false">IF(O148&lt;&gt;"",P148*M148,"")</f>
        <v/>
      </c>
      <c r="R148" s="28"/>
      <c r="S148" s="28" t="n">
        <f aca="false">R148*$M148</f>
        <v>0</v>
      </c>
      <c r="T148" s="28"/>
      <c r="U148" s="28" t="n">
        <f aca="false">T148*$M148</f>
        <v>0</v>
      </c>
      <c r="V148" s="28" t="n">
        <f aca="false">10813/100</f>
        <v>108.13</v>
      </c>
      <c r="W148" s="28" t="n">
        <v>9191</v>
      </c>
      <c r="X148" s="28" t="n">
        <f aca="false">43400/100</f>
        <v>434</v>
      </c>
      <c r="Y148" s="28" t="n">
        <v>36890</v>
      </c>
      <c r="Z148" s="28" t="n">
        <f aca="false">702/100</f>
        <v>7.02</v>
      </c>
      <c r="AA148" s="28" t="n">
        <v>597</v>
      </c>
      <c r="AB148" s="28"/>
      <c r="AC148" s="28" t="n">
        <f aca="false">AB148*$M148</f>
        <v>0</v>
      </c>
      <c r="AD148" s="28" t="n">
        <f aca="false">171/100</f>
        <v>1.71</v>
      </c>
      <c r="AE148" s="28" t="n">
        <v>145</v>
      </c>
      <c r="AF148" s="28"/>
      <c r="AG148" s="28" t="n">
        <f aca="false">AF148*$M148</f>
        <v>0</v>
      </c>
      <c r="AH148" s="28"/>
      <c r="AI148" s="28" t="n">
        <f aca="false">AH148*$M148</f>
        <v>0</v>
      </c>
      <c r="AJ148" s="28" t="n">
        <f aca="false">17388/100</f>
        <v>173.88</v>
      </c>
      <c r="AK148" s="28" t="n">
        <v>14780</v>
      </c>
      <c r="AL148" s="28"/>
      <c r="AM148" s="28" t="n">
        <f aca="false">AL148*$M148</f>
        <v>0</v>
      </c>
      <c r="AN148" s="28"/>
      <c r="AO148" s="28" t="n">
        <f aca="false">AN148*$M148</f>
        <v>0</v>
      </c>
      <c r="AP148" s="28"/>
      <c r="AQ148" s="28" t="n">
        <f aca="false">AP148*$M148</f>
        <v>0</v>
      </c>
      <c r="AR148" s="28"/>
      <c r="AS148" s="28" t="n">
        <f aca="false">AR148*$M148</f>
        <v>0</v>
      </c>
      <c r="AT148" s="28"/>
      <c r="AU148" s="28" t="n">
        <f aca="false">AT148*$M148</f>
        <v>0</v>
      </c>
      <c r="AV148" s="28"/>
      <c r="AW148" s="28" t="n">
        <f aca="false">AV148*$M148</f>
        <v>0</v>
      </c>
      <c r="AX148" s="28"/>
      <c r="AY148" s="28" t="n">
        <f aca="false">AX148*$M148</f>
        <v>0</v>
      </c>
      <c r="AZ148" s="28"/>
      <c r="BA148" s="28" t="n">
        <f aca="false">AZ148*$M148</f>
        <v>0</v>
      </c>
      <c r="BB148" s="30" t="n">
        <f aca="false">72474/100</f>
        <v>724.74</v>
      </c>
      <c r="BC148" s="11" t="n">
        <v>61603</v>
      </c>
      <c r="BD148" s="31" t="n">
        <f aca="false">SUM(S148,U148,W148,Y148,AA148,AC148,AE148,AG148,AI148,AK148,AM148,AO148,AQ148,AS148,AU148,AW148,AY148,BA148)</f>
        <v>61603</v>
      </c>
      <c r="BE148" s="28" t="n">
        <f aca="false">BC148-BD148</f>
        <v>0</v>
      </c>
      <c r="BF148" s="32" t="n">
        <f aca="false">SUM(R148,T148,V148,X148,Z148,AB148,AD148,AF148,AH148,AJ148,AL148,AN148,AP148,AR148,AT148,AV148,AX148,AZ148)</f>
        <v>724.74</v>
      </c>
      <c r="BG148" s="33" t="n">
        <f aca="false">BB148-BF148</f>
        <v>0</v>
      </c>
      <c r="BH148" s="34" t="n">
        <f aca="false">BF148*M148</f>
        <v>61602.9</v>
      </c>
      <c r="BI148" s="35" t="n">
        <f aca="false">BC148-BH148</f>
        <v>0.0999999999985448</v>
      </c>
      <c r="BJ148" s="19" t="str">
        <f aca="false">IF(BI148=0,"",IF(BI148&lt;&gt;BC148,"erreur de calcul",IF(BF148&lt;&gt;0,"pas de prix",IF(M148&lt;&gt; 0,"pas de quantité","pas de prix, ni de quantité"))))</f>
        <v>erreur de calcul</v>
      </c>
      <c r="BK148" s="19"/>
    </row>
    <row r="149" customFormat="false" ht="16" hidden="false" customHeight="false" outlineLevel="0" collapsed="false">
      <c r="A149" s="0" t="n">
        <v>22</v>
      </c>
      <c r="B149" s="8" t="s">
        <v>24</v>
      </c>
      <c r="C149" s="9" t="s">
        <v>25</v>
      </c>
      <c r="D149" s="9" t="s">
        <v>26</v>
      </c>
      <c r="E149" s="10" t="n">
        <v>1789</v>
      </c>
      <c r="F149" s="9" t="s">
        <v>27</v>
      </c>
      <c r="G149" s="9" t="s">
        <v>27</v>
      </c>
      <c r="H149" s="11" t="n">
        <v>22</v>
      </c>
      <c r="I149" s="11" t="s">
        <v>223</v>
      </c>
      <c r="J149" s="14" t="n">
        <v>150</v>
      </c>
      <c r="K149" s="14"/>
      <c r="L149" s="16"/>
      <c r="M149" s="27" t="n">
        <f aca="false">J149+(K149/20)+(L149/240)</f>
        <v>150</v>
      </c>
      <c r="N149" s="17" t="s">
        <v>64</v>
      </c>
      <c r="O149" s="11"/>
      <c r="P149" s="28"/>
      <c r="Q149" s="28" t="str">
        <f aca="false">IF(O149&lt;&gt;"",P149*M149,"")</f>
        <v/>
      </c>
      <c r="R149" s="28"/>
      <c r="S149" s="28" t="n">
        <f aca="false">R149*$M149</f>
        <v>0</v>
      </c>
      <c r="T149" s="28"/>
      <c r="U149" s="28" t="n">
        <f aca="false">T149*$M149</f>
        <v>0</v>
      </c>
      <c r="V149" s="28"/>
      <c r="W149" s="28" t="n">
        <f aca="false">V149*$M149</f>
        <v>0</v>
      </c>
      <c r="X149" s="28" t="n">
        <f aca="false">1415/100</f>
        <v>14.15</v>
      </c>
      <c r="Y149" s="28" t="n">
        <v>2122</v>
      </c>
      <c r="Z149" s="28"/>
      <c r="AA149" s="28" t="n">
        <f aca="false">Z149*$M149</f>
        <v>0</v>
      </c>
      <c r="AB149" s="28"/>
      <c r="AC149" s="28" t="n">
        <f aca="false">AB149*$M149</f>
        <v>0</v>
      </c>
      <c r="AD149" s="28" t="n">
        <f aca="false">1806/100</f>
        <v>18.06</v>
      </c>
      <c r="AE149" s="28" t="n">
        <v>2709</v>
      </c>
      <c r="AF149" s="28"/>
      <c r="AG149" s="28" t="n">
        <f aca="false">AF149*$M149</f>
        <v>0</v>
      </c>
      <c r="AH149" s="28"/>
      <c r="AI149" s="28" t="n">
        <f aca="false">AH149*$M149</f>
        <v>0</v>
      </c>
      <c r="AJ149" s="28"/>
      <c r="AK149" s="28" t="n">
        <f aca="false">AJ149*$M149</f>
        <v>0</v>
      </c>
      <c r="AL149" s="28"/>
      <c r="AM149" s="28" t="n">
        <f aca="false">AL149*$M149</f>
        <v>0</v>
      </c>
      <c r="AN149" s="28"/>
      <c r="AO149" s="28" t="n">
        <f aca="false">AN149*$M149</f>
        <v>0</v>
      </c>
      <c r="AP149" s="28"/>
      <c r="AQ149" s="28" t="n">
        <f aca="false">AP149*$M149</f>
        <v>0</v>
      </c>
      <c r="AR149" s="28"/>
      <c r="AS149" s="28" t="n">
        <f aca="false">AR149*$M149</f>
        <v>0</v>
      </c>
      <c r="AT149" s="28"/>
      <c r="AU149" s="28" t="n">
        <f aca="false">AT149*$M149</f>
        <v>0</v>
      </c>
      <c r="AV149" s="28"/>
      <c r="AW149" s="28" t="n">
        <f aca="false">AV149*$M149</f>
        <v>0</v>
      </c>
      <c r="AX149" s="28"/>
      <c r="AY149" s="28" t="n">
        <f aca="false">AX149*$M149</f>
        <v>0</v>
      </c>
      <c r="AZ149" s="28"/>
      <c r="BA149" s="28" t="n">
        <f aca="false">AZ149*$M149</f>
        <v>0</v>
      </c>
      <c r="BB149" s="30" t="n">
        <f aca="false">3221/100</f>
        <v>32.21</v>
      </c>
      <c r="BC149" s="11" t="n">
        <v>4831</v>
      </c>
      <c r="BD149" s="31" t="n">
        <f aca="false">SUM(S149,U149,W149,Y149,AA149,AC149,AE149,AG149,AI149,AK149,AM149,AO149,AQ149,AS149,AU149,AW149,AY149,BA149)</f>
        <v>4831</v>
      </c>
      <c r="BE149" s="28" t="n">
        <f aca="false">BC149-BD149</f>
        <v>0</v>
      </c>
      <c r="BF149" s="32" t="n">
        <f aca="false">SUM(R149,T149,V149,X149,Z149,AB149,AD149,AF149,AH149,AJ149,AL149,AN149,AP149,AR149,AT149,AV149,AX149,AZ149)</f>
        <v>32.21</v>
      </c>
      <c r="BG149" s="33" t="n">
        <f aca="false">BB149-BF149</f>
        <v>0</v>
      </c>
      <c r="BH149" s="34" t="n">
        <f aca="false">BF149*M149</f>
        <v>4831.5</v>
      </c>
      <c r="BI149" s="35" t="n">
        <f aca="false">BC149-BH149</f>
        <v>-0.5</v>
      </c>
      <c r="BJ149" s="19" t="str">
        <f aca="false">IF(BI149=0,"",IF(BI149&lt;&gt;BC149,"erreur de calcul",IF(BF149&lt;&gt;0,"pas de prix",IF(M149&lt;&gt; 0,"pas de quantité","pas de prix, ni de quantité"))))</f>
        <v>erreur de calcul</v>
      </c>
      <c r="BK149" s="19"/>
    </row>
    <row r="150" customFormat="false" ht="16" hidden="false" customHeight="false" outlineLevel="0" collapsed="false">
      <c r="A150" s="0" t="n">
        <v>23</v>
      </c>
      <c r="B150" s="8" t="s">
        <v>24</v>
      </c>
      <c r="C150" s="9" t="s">
        <v>25</v>
      </c>
      <c r="D150" s="9" t="s">
        <v>26</v>
      </c>
      <c r="E150" s="10" t="n">
        <v>1789</v>
      </c>
      <c r="F150" s="9" t="s">
        <v>27</v>
      </c>
      <c r="G150" s="9" t="s">
        <v>27</v>
      </c>
      <c r="H150" s="11" t="n">
        <v>22</v>
      </c>
      <c r="I150" s="11" t="s">
        <v>224</v>
      </c>
      <c r="J150" s="14"/>
      <c r="K150" s="14"/>
      <c r="L150" s="16"/>
      <c r="M150" s="27" t="n">
        <f aca="false">J150+(K150/20)+(L150/240)</f>
        <v>0</v>
      </c>
      <c r="N150" s="17" t="s">
        <v>225</v>
      </c>
      <c r="O150" s="11"/>
      <c r="P150" s="28"/>
      <c r="Q150" s="28" t="str">
        <f aca="false">IF(O150&lt;&gt;"",P150*M150,"")</f>
        <v/>
      </c>
      <c r="R150" s="28" t="n">
        <f aca="false">2+121/288</f>
        <v>2.42013888888889</v>
      </c>
      <c r="S150" s="28" t="n">
        <v>275</v>
      </c>
      <c r="T150" s="28"/>
      <c r="U150" s="28" t="n">
        <f aca="false">T150*$M150</f>
        <v>0</v>
      </c>
      <c r="V150" s="28"/>
      <c r="W150" s="28" t="n">
        <f aca="false">V150*$M150</f>
        <v>0</v>
      </c>
      <c r="X150" s="28"/>
      <c r="Y150" s="28" t="n">
        <f aca="false">X150*$M150</f>
        <v>0</v>
      </c>
      <c r="Z150" s="28"/>
      <c r="AA150" s="28" t="n">
        <f aca="false">Z150*$M150</f>
        <v>0</v>
      </c>
      <c r="AB150" s="28"/>
      <c r="AC150" s="28" t="n">
        <f aca="false">AB150*$M150</f>
        <v>0</v>
      </c>
      <c r="AD150" s="28"/>
      <c r="AE150" s="28" t="n">
        <f aca="false">AD150*$M150</f>
        <v>0</v>
      </c>
      <c r="AF150" s="28"/>
      <c r="AG150" s="28" t="n">
        <f aca="false">AF150*$M150</f>
        <v>0</v>
      </c>
      <c r="AH150" s="28"/>
      <c r="AI150" s="28" t="n">
        <f aca="false">AH150*$M150</f>
        <v>0</v>
      </c>
      <c r="AJ150" s="28"/>
      <c r="AK150" s="28" t="n">
        <f aca="false">AJ150*$M150</f>
        <v>0</v>
      </c>
      <c r="AL150" s="28"/>
      <c r="AM150" s="28" t="n">
        <f aca="false">AL150*$M150</f>
        <v>0</v>
      </c>
      <c r="AN150" s="28"/>
      <c r="AO150" s="28" t="n">
        <f aca="false">AN150*$M150</f>
        <v>0</v>
      </c>
      <c r="AP150" s="28"/>
      <c r="AQ150" s="28" t="n">
        <f aca="false">AP150*$M150</f>
        <v>0</v>
      </c>
      <c r="AR150" s="28"/>
      <c r="AS150" s="28" t="n">
        <f aca="false">AR150*$M150</f>
        <v>0</v>
      </c>
      <c r="AT150" s="28"/>
      <c r="AU150" s="28" t="n">
        <f aca="false">AT150*$M150</f>
        <v>0</v>
      </c>
      <c r="AV150" s="28"/>
      <c r="AW150" s="28" t="n">
        <f aca="false">AV150*$M150</f>
        <v>0</v>
      </c>
      <c r="AX150" s="28"/>
      <c r="AY150" s="28" t="n">
        <f aca="false">AX150*$M150</f>
        <v>0</v>
      </c>
      <c r="AZ150" s="28"/>
      <c r="BA150" s="28" t="n">
        <f aca="false">AZ150*$M150</f>
        <v>0</v>
      </c>
      <c r="BB150" s="30" t="n">
        <f aca="false">2+121/288</f>
        <v>2.42013888888889</v>
      </c>
      <c r="BC150" s="11" t="n">
        <v>275</v>
      </c>
      <c r="BD150" s="31" t="n">
        <f aca="false">SUM(S150,U150,W150,Y150,AA150,AC150,AE150,AG150,AI150,AK150,AM150,AO150,AQ150,AS150,AU150,AW150,AY150,BA150)</f>
        <v>275</v>
      </c>
      <c r="BE150" s="28" t="n">
        <f aca="false">BC150-BD150</f>
        <v>0</v>
      </c>
      <c r="BF150" s="32" t="n">
        <f aca="false">SUM(R150,T150,V150,X150,Z150,AB150,AD150,AF150,AH150,AJ150,AL150,AN150,AP150,AR150,AT150,AV150,AX150,AZ150)</f>
        <v>2.42013888888889</v>
      </c>
      <c r="BG150" s="33" t="n">
        <f aca="false">BB150-BF150</f>
        <v>0</v>
      </c>
      <c r="BH150" s="34" t="n">
        <f aca="false">BF150*M150</f>
        <v>0</v>
      </c>
      <c r="BI150" s="35" t="n">
        <f aca="false">BC150-BH150</f>
        <v>275</v>
      </c>
      <c r="BJ150" s="19" t="str">
        <f aca="false">IF(BI150=0,"",IF(BI150&lt;&gt;BC150,"erreur de calcul",IF(BF150&lt;&gt;0,"pas de prix",IF(M150&lt;&gt; 0,"pas de quantité","pas de prix, ni de quantité"))))</f>
        <v>pas de prix</v>
      </c>
      <c r="BK150" s="19" t="s">
        <v>226</v>
      </c>
    </row>
    <row r="151" customFormat="false" ht="16" hidden="false" customHeight="false" outlineLevel="0" collapsed="false">
      <c r="A151" s="0" t="n">
        <v>24</v>
      </c>
      <c r="B151" s="8" t="s">
        <v>24</v>
      </c>
      <c r="C151" s="9" t="s">
        <v>25</v>
      </c>
      <c r="D151" s="9" t="s">
        <v>26</v>
      </c>
      <c r="E151" s="10" t="n">
        <v>1789</v>
      </c>
      <c r="F151" s="9" t="s">
        <v>27</v>
      </c>
      <c r="G151" s="9" t="s">
        <v>27</v>
      </c>
      <c r="H151" s="11" t="n">
        <v>22</v>
      </c>
      <c r="I151" s="11" t="s">
        <v>227</v>
      </c>
      <c r="J151" s="14" t="n">
        <v>8</v>
      </c>
      <c r="K151" s="14"/>
      <c r="L151" s="16"/>
      <c r="M151" s="27" t="n">
        <f aca="false">J151+(K151/20)+(L151/240)</f>
        <v>8</v>
      </c>
      <c r="N151" s="17" t="s">
        <v>64</v>
      </c>
      <c r="O151" s="11" t="s">
        <v>77</v>
      </c>
      <c r="P151" s="28" t="n">
        <f aca="false">3668/100</f>
        <v>36.68</v>
      </c>
      <c r="Q151" s="36" t="n">
        <v>239</v>
      </c>
      <c r="R151" s="28" t="n">
        <f aca="false">267216/100</f>
        <v>2672.16</v>
      </c>
      <c r="S151" s="28" t="n">
        <v>21377</v>
      </c>
      <c r="T151" s="28"/>
      <c r="U151" s="28" t="n">
        <f aca="false">T151*$M151</f>
        <v>0</v>
      </c>
      <c r="V151" s="28"/>
      <c r="W151" s="28" t="n">
        <f aca="false">V151*$M151</f>
        <v>0</v>
      </c>
      <c r="X151" s="28"/>
      <c r="Y151" s="28" t="n">
        <f aca="false">X151*$M151</f>
        <v>0</v>
      </c>
      <c r="Z151" s="28"/>
      <c r="AA151" s="28" t="n">
        <f aca="false">Z151*$M151</f>
        <v>0</v>
      </c>
      <c r="AB151" s="28"/>
      <c r="AC151" s="28" t="n">
        <f aca="false">AB151*$M151</f>
        <v>0</v>
      </c>
      <c r="AD151" s="28" t="n">
        <f aca="false">3334/100</f>
        <v>33.34</v>
      </c>
      <c r="AE151" s="28" t="n">
        <v>267</v>
      </c>
      <c r="AF151" s="28"/>
      <c r="AG151" s="28" t="n">
        <f aca="false">AF151*$M151</f>
        <v>0</v>
      </c>
      <c r="AH151" s="28"/>
      <c r="AI151" s="28" t="n">
        <f aca="false">AH151*$M151</f>
        <v>0</v>
      </c>
      <c r="AJ151" s="28"/>
      <c r="AK151" s="28" t="n">
        <f aca="false">AJ151*$M151</f>
        <v>0</v>
      </c>
      <c r="AL151" s="28"/>
      <c r="AM151" s="28" t="n">
        <f aca="false">AL151*$M151</f>
        <v>0</v>
      </c>
      <c r="AN151" s="28"/>
      <c r="AO151" s="28" t="n">
        <f aca="false">AN151*$M151</f>
        <v>0</v>
      </c>
      <c r="AP151" s="28"/>
      <c r="AQ151" s="28" t="n">
        <f aca="false">AP151*$M151</f>
        <v>0</v>
      </c>
      <c r="AR151" s="28"/>
      <c r="AS151" s="28" t="n">
        <f aca="false">AR151*$M151</f>
        <v>0</v>
      </c>
      <c r="AT151" s="28"/>
      <c r="AU151" s="28" t="n">
        <f aca="false">AT151*$M151</f>
        <v>0</v>
      </c>
      <c r="AV151" s="28"/>
      <c r="AW151" s="28" t="n">
        <f aca="false">AV151*$M151</f>
        <v>0</v>
      </c>
      <c r="AX151" s="28"/>
      <c r="AY151" s="28" t="n">
        <f aca="false">AX151*$M151</f>
        <v>0</v>
      </c>
      <c r="AZ151" s="28"/>
      <c r="BA151" s="28" t="n">
        <f aca="false">AZ151*$M151</f>
        <v>0</v>
      </c>
      <c r="BB151" s="30" t="n">
        <f aca="false">270550/100</f>
        <v>2705.5</v>
      </c>
      <c r="BC151" s="11" t="n">
        <v>21644</v>
      </c>
      <c r="BD151" s="31" t="n">
        <f aca="false">SUM(S151,U151,W151,Y151,AA151,AC151,AE151,AG151,AI151,AK151,AM151,AO151,AQ151,AS151,AU151,AW151,AY151,BA151)</f>
        <v>21644</v>
      </c>
      <c r="BE151" s="28" t="n">
        <f aca="false">BC151-BD151</f>
        <v>0</v>
      </c>
      <c r="BF151" s="32" t="n">
        <f aca="false">SUM(R151,T151,V151,X151,Z151,AB151,AD151,AF151,AH151,AJ151,AL151,AN151,AP151,AR151,AT151,AV151,AX151,AZ151)</f>
        <v>2705.5</v>
      </c>
      <c r="BG151" s="33" t="n">
        <f aca="false">BB151-BF151</f>
        <v>0</v>
      </c>
      <c r="BH151" s="34" t="n">
        <f aca="false">BF151*M151</f>
        <v>21644</v>
      </c>
      <c r="BI151" s="35" t="n">
        <f aca="false">BC151-BH151</f>
        <v>0</v>
      </c>
      <c r="BJ151" s="19" t="str">
        <f aca="false">IF(BI151=0,"",IF(BI151&lt;&gt;BC151,"erreur de calcul",IF(BF151&lt;&gt;0,"pas de prix",IF(M151&lt;&gt; 0,"pas de quantité","pas de prix, ni de quantité"))))</f>
        <v/>
      </c>
      <c r="BK151" s="19"/>
    </row>
    <row r="152" customFormat="false" ht="16" hidden="false" customHeight="false" outlineLevel="0" collapsed="false">
      <c r="A152" s="0" t="n">
        <v>25</v>
      </c>
      <c r="B152" s="8" t="s">
        <v>24</v>
      </c>
      <c r="C152" s="9" t="s">
        <v>25</v>
      </c>
      <c r="D152" s="9" t="s">
        <v>26</v>
      </c>
      <c r="E152" s="10" t="n">
        <v>1789</v>
      </c>
      <c r="F152" s="9" t="s">
        <v>27</v>
      </c>
      <c r="G152" s="9" t="s">
        <v>27</v>
      </c>
      <c r="H152" s="11" t="n">
        <v>22</v>
      </c>
      <c r="I152" s="11" t="s">
        <v>228</v>
      </c>
      <c r="J152" s="14" t="n">
        <v>11</v>
      </c>
      <c r="K152" s="14"/>
      <c r="L152" s="16"/>
      <c r="M152" s="27" t="n">
        <f aca="false">J152+(K152/20)+(L152/240)</f>
        <v>11</v>
      </c>
      <c r="N152" s="17" t="s">
        <v>66</v>
      </c>
      <c r="O152" s="11"/>
      <c r="P152" s="28"/>
      <c r="Q152" s="28" t="str">
        <f aca="false">IF(O152&lt;&gt;"",P152*M152,"")</f>
        <v/>
      </c>
      <c r="R152" s="28"/>
      <c r="S152" s="28" t="n">
        <f aca="false">R152*$M152</f>
        <v>0</v>
      </c>
      <c r="T152" s="28" t="n">
        <v>2017</v>
      </c>
      <c r="U152" s="28" t="n">
        <v>22187</v>
      </c>
      <c r="V152" s="28"/>
      <c r="W152" s="28" t="n">
        <f aca="false">V152*$M152</f>
        <v>0</v>
      </c>
      <c r="X152" s="28"/>
      <c r="Y152" s="28" t="n">
        <f aca="false">X152*$M152</f>
        <v>0</v>
      </c>
      <c r="Z152" s="28" t="n">
        <v>3804</v>
      </c>
      <c r="AA152" s="28" t="n">
        <v>41844</v>
      </c>
      <c r="AB152" s="28"/>
      <c r="AC152" s="28" t="n">
        <f aca="false">AB152*$M152</f>
        <v>0</v>
      </c>
      <c r="AD152" s="28"/>
      <c r="AE152" s="28" t="n">
        <f aca="false">AD152*$M152</f>
        <v>0</v>
      </c>
      <c r="AF152" s="28"/>
      <c r="AG152" s="28" t="n">
        <f aca="false">AF152*$M152</f>
        <v>0</v>
      </c>
      <c r="AH152" s="28"/>
      <c r="AI152" s="28" t="n">
        <f aca="false">AH152*$M152</f>
        <v>0</v>
      </c>
      <c r="AJ152" s="28" t="n">
        <v>117</v>
      </c>
      <c r="AK152" s="28" t="n">
        <v>1287</v>
      </c>
      <c r="AL152" s="28" t="n">
        <v>8694</v>
      </c>
      <c r="AM152" s="28" t="n">
        <v>95634</v>
      </c>
      <c r="AN152" s="28"/>
      <c r="AO152" s="28" t="n">
        <f aca="false">AN152*$M152</f>
        <v>0</v>
      </c>
      <c r="AP152" s="28" t="n">
        <v>5697</v>
      </c>
      <c r="AQ152" s="28" t="n">
        <v>62667</v>
      </c>
      <c r="AR152" s="28"/>
      <c r="AS152" s="28" t="n">
        <f aca="false">AR152*$M152</f>
        <v>0</v>
      </c>
      <c r="AT152" s="28"/>
      <c r="AU152" s="28" t="n">
        <f aca="false">AT152*$M152</f>
        <v>0</v>
      </c>
      <c r="AV152" s="28"/>
      <c r="AW152" s="28" t="n">
        <f aca="false">AV152*$M152</f>
        <v>0</v>
      </c>
      <c r="AX152" s="28"/>
      <c r="AY152" s="28" t="n">
        <f aca="false">AX152*$M152</f>
        <v>0</v>
      </c>
      <c r="AZ152" s="28"/>
      <c r="BA152" s="28" t="n">
        <f aca="false">AZ152*$M152</f>
        <v>0</v>
      </c>
      <c r="BB152" s="30" t="n">
        <v>20329</v>
      </c>
      <c r="BC152" s="11" t="n">
        <v>223619</v>
      </c>
      <c r="BD152" s="31" t="n">
        <f aca="false">SUM(S152,U152,W152,Y152,AA152,AC152,AE152,AG152,AI152,AK152,AM152,AO152,AQ152,AS152,AU152,AW152,AY152,BA152)</f>
        <v>223619</v>
      </c>
      <c r="BE152" s="28" t="n">
        <f aca="false">BC152-BD152</f>
        <v>0</v>
      </c>
      <c r="BF152" s="32" t="n">
        <f aca="false">SUM(R152,T152,V152,X152,Z152,AB152,AD152,AF152,AH152,AJ152,AL152,AN152,AP152,AR152,AT152,AV152,AX152,AZ152)</f>
        <v>20329</v>
      </c>
      <c r="BG152" s="33" t="n">
        <f aca="false">BB152-BF152</f>
        <v>0</v>
      </c>
      <c r="BH152" s="34" t="n">
        <f aca="false">BF152*M152</f>
        <v>223619</v>
      </c>
      <c r="BI152" s="35" t="n">
        <f aca="false">BC152-BH152</f>
        <v>0</v>
      </c>
      <c r="BJ152" s="19" t="str">
        <f aca="false">IF(BI152=0,"",IF(BI152&lt;&gt;BC152,"erreur de calcul",IF(BF152&lt;&gt;0,"pas de prix",IF(M152&lt;&gt; 0,"pas de quantité","pas de prix, ni de quantité"))))</f>
        <v/>
      </c>
      <c r="BK152" s="19"/>
    </row>
    <row r="153" customFormat="false" ht="16" hidden="false" customHeight="false" outlineLevel="0" collapsed="false">
      <c r="A153" s="0" t="n">
        <v>26</v>
      </c>
      <c r="B153" s="8" t="s">
        <v>24</v>
      </c>
      <c r="C153" s="9" t="s">
        <v>25</v>
      </c>
      <c r="D153" s="9" t="s">
        <v>26</v>
      </c>
      <c r="E153" s="10" t="n">
        <v>1789</v>
      </c>
      <c r="F153" s="9" t="s">
        <v>27</v>
      </c>
      <c r="G153" s="9" t="s">
        <v>27</v>
      </c>
      <c r="H153" s="11" t="n">
        <v>22</v>
      </c>
      <c r="I153" s="11" t="s">
        <v>229</v>
      </c>
      <c r="J153" s="14" t="n">
        <v>5</v>
      </c>
      <c r="K153" s="14"/>
      <c r="L153" s="16"/>
      <c r="M153" s="27" t="n">
        <f aca="false">J153+(K153/20)+(L153/240)</f>
        <v>5</v>
      </c>
      <c r="N153" s="17" t="s">
        <v>66</v>
      </c>
      <c r="O153" s="11"/>
      <c r="P153" s="28"/>
      <c r="Q153" s="28" t="str">
        <f aca="false">IF(O153&lt;&gt;"",P153*M153,"")</f>
        <v/>
      </c>
      <c r="R153" s="28"/>
      <c r="S153" s="28" t="n">
        <f aca="false">R153*$M153</f>
        <v>0</v>
      </c>
      <c r="T153" s="28" t="n">
        <v>4117</v>
      </c>
      <c r="U153" s="28" t="n">
        <v>20585</v>
      </c>
      <c r="V153" s="28"/>
      <c r="W153" s="28" t="n">
        <f aca="false">V153*$M153</f>
        <v>0</v>
      </c>
      <c r="X153" s="28"/>
      <c r="Y153" s="28" t="n">
        <f aca="false">X153*$M153</f>
        <v>0</v>
      </c>
      <c r="Z153" s="28"/>
      <c r="AA153" s="28" t="n">
        <f aca="false">Z153*$M153</f>
        <v>0</v>
      </c>
      <c r="AB153" s="28"/>
      <c r="AC153" s="28" t="n">
        <f aca="false">AB153*$M153</f>
        <v>0</v>
      </c>
      <c r="AD153" s="28"/>
      <c r="AE153" s="28" t="n">
        <f aca="false">AD153*$M153</f>
        <v>0</v>
      </c>
      <c r="AF153" s="28"/>
      <c r="AG153" s="28" t="n">
        <f aca="false">AF153*$M153</f>
        <v>0</v>
      </c>
      <c r="AH153" s="28"/>
      <c r="AI153" s="28" t="n">
        <f aca="false">AH153*$M153</f>
        <v>0</v>
      </c>
      <c r="AJ153" s="28"/>
      <c r="AK153" s="28" t="n">
        <f aca="false">AJ153*$M153</f>
        <v>0</v>
      </c>
      <c r="AL153" s="28"/>
      <c r="AM153" s="28" t="n">
        <f aca="false">AL153*$M153</f>
        <v>0</v>
      </c>
      <c r="AN153" s="28"/>
      <c r="AO153" s="28" t="n">
        <f aca="false">AN153*$M153</f>
        <v>0</v>
      </c>
      <c r="AP153" s="28"/>
      <c r="AQ153" s="28" t="n">
        <f aca="false">AP153*$M153</f>
        <v>0</v>
      </c>
      <c r="AR153" s="28"/>
      <c r="AS153" s="28" t="n">
        <f aca="false">AR153*$M153</f>
        <v>0</v>
      </c>
      <c r="AT153" s="28"/>
      <c r="AU153" s="28" t="n">
        <f aca="false">AT153*$M153</f>
        <v>0</v>
      </c>
      <c r="AV153" s="28"/>
      <c r="AW153" s="28" t="n">
        <f aca="false">AV153*$M153</f>
        <v>0</v>
      </c>
      <c r="AX153" s="28"/>
      <c r="AY153" s="28" t="n">
        <f aca="false">AX153*$M153</f>
        <v>0</v>
      </c>
      <c r="AZ153" s="28"/>
      <c r="BA153" s="28" t="n">
        <f aca="false">AZ153*$M153</f>
        <v>0</v>
      </c>
      <c r="BB153" s="30" t="n">
        <v>4117</v>
      </c>
      <c r="BC153" s="11" t="n">
        <v>20585</v>
      </c>
      <c r="BD153" s="31" t="n">
        <f aca="false">SUM(S153,U153,W153,Y153,AA153,AC153,AE153,AG153,AI153,AK153,AM153,AO153,AQ153,AS153,AU153,AW153,AY153,BA153)</f>
        <v>20585</v>
      </c>
      <c r="BE153" s="28" t="n">
        <f aca="false">BC153-BD153</f>
        <v>0</v>
      </c>
      <c r="BF153" s="32" t="n">
        <f aca="false">SUM(R153,T153,V153,X153,Z153,AB153,AD153,AF153,AH153,AJ153,AL153,AN153,AP153,AR153,AT153,AV153,AX153,AZ153)</f>
        <v>4117</v>
      </c>
      <c r="BG153" s="33" t="n">
        <f aca="false">BB153-BF153</f>
        <v>0</v>
      </c>
      <c r="BH153" s="34" t="n">
        <f aca="false">BF153*M153</f>
        <v>20585</v>
      </c>
      <c r="BI153" s="35" t="n">
        <f aca="false">BC153-BH153</f>
        <v>0</v>
      </c>
      <c r="BJ153" s="19" t="str">
        <f aca="false">IF(BI153=0,"",IF(BI153&lt;&gt;BC153,"erreur de calcul",IF(BF153&lt;&gt;0,"pas de prix",IF(M153&lt;&gt; 0,"pas de quantité","pas de prix, ni de quantité"))))</f>
        <v/>
      </c>
      <c r="BK153" s="19"/>
    </row>
    <row r="154" customFormat="false" ht="16" hidden="false" customHeight="false" outlineLevel="0" collapsed="false">
      <c r="A154" s="0" t="n">
        <v>27</v>
      </c>
      <c r="B154" s="8" t="s">
        <v>24</v>
      </c>
      <c r="C154" s="9" t="s">
        <v>25</v>
      </c>
      <c r="D154" s="9" t="s">
        <v>26</v>
      </c>
      <c r="E154" s="10" t="n">
        <v>1789</v>
      </c>
      <c r="F154" s="9" t="s">
        <v>27</v>
      </c>
      <c r="G154" s="9" t="s">
        <v>27</v>
      </c>
      <c r="H154" s="11" t="n">
        <v>22</v>
      </c>
      <c r="I154" s="11" t="s">
        <v>230</v>
      </c>
      <c r="J154" s="14" t="n">
        <v>11</v>
      </c>
      <c r="K154" s="14"/>
      <c r="L154" s="16"/>
      <c r="M154" s="27" t="n">
        <f aca="false">J154+(K154/20)+(L154/240)</f>
        <v>11</v>
      </c>
      <c r="N154" s="17" t="s">
        <v>66</v>
      </c>
      <c r="O154" s="11"/>
      <c r="P154" s="28"/>
      <c r="Q154" s="28" t="str">
        <f aca="false">IF(O154&lt;&gt;"",P154*M154,"")</f>
        <v/>
      </c>
      <c r="R154" s="28"/>
      <c r="S154" s="28" t="n">
        <f aca="false">R154*$M154</f>
        <v>0</v>
      </c>
      <c r="T154" s="28"/>
      <c r="U154" s="28" t="n">
        <f aca="false">T154*$M154</f>
        <v>0</v>
      </c>
      <c r="V154" s="28"/>
      <c r="W154" s="28" t="n">
        <f aca="false">V154*$M154</f>
        <v>0</v>
      </c>
      <c r="X154" s="28"/>
      <c r="Y154" s="28" t="n">
        <f aca="false">X154*$M154</f>
        <v>0</v>
      </c>
      <c r="Z154" s="28"/>
      <c r="AA154" s="28" t="n">
        <f aca="false">Z154*$M154</f>
        <v>0</v>
      </c>
      <c r="AB154" s="28"/>
      <c r="AC154" s="28" t="n">
        <f aca="false">AB154*$M154</f>
        <v>0</v>
      </c>
      <c r="AD154" s="28"/>
      <c r="AE154" s="28" t="n">
        <f aca="false">AD154*$M154</f>
        <v>0</v>
      </c>
      <c r="AF154" s="28"/>
      <c r="AG154" s="28" t="n">
        <f aca="false">AF154*$M154</f>
        <v>0</v>
      </c>
      <c r="AH154" s="28"/>
      <c r="AI154" s="28" t="n">
        <f aca="false">AH154*$M154</f>
        <v>0</v>
      </c>
      <c r="AJ154" s="28"/>
      <c r="AK154" s="28" t="n">
        <f aca="false">AJ154*$M154</f>
        <v>0</v>
      </c>
      <c r="AL154" s="28" t="n">
        <v>34854</v>
      </c>
      <c r="AM154" s="28" t="n">
        <v>383394</v>
      </c>
      <c r="AN154" s="28"/>
      <c r="AO154" s="28" t="n">
        <f aca="false">AN154*$M154</f>
        <v>0</v>
      </c>
      <c r="AP154" s="28"/>
      <c r="AQ154" s="28" t="n">
        <f aca="false">AP154*$M154</f>
        <v>0</v>
      </c>
      <c r="AR154" s="28"/>
      <c r="AS154" s="28" t="n">
        <f aca="false">AR154*$M154</f>
        <v>0</v>
      </c>
      <c r="AT154" s="28"/>
      <c r="AU154" s="28" t="n">
        <f aca="false">AT154*$M154</f>
        <v>0</v>
      </c>
      <c r="AV154" s="28"/>
      <c r="AW154" s="28" t="n">
        <f aca="false">AV154*$M154</f>
        <v>0</v>
      </c>
      <c r="AX154" s="28"/>
      <c r="AY154" s="28" t="n">
        <f aca="false">AX154*$M154</f>
        <v>0</v>
      </c>
      <c r="AZ154" s="28"/>
      <c r="BA154" s="28" t="n">
        <f aca="false">AZ154*$M154</f>
        <v>0</v>
      </c>
      <c r="BB154" s="30" t="n">
        <v>34854</v>
      </c>
      <c r="BC154" s="11" t="n">
        <v>383394</v>
      </c>
      <c r="BD154" s="31" t="n">
        <f aca="false">SUM(S154,U154,W154,Y154,AA154,AC154,AE154,AG154,AI154,AK154,AM154,AO154,AQ154,AS154,AU154,AW154,AY154,BA154)</f>
        <v>383394</v>
      </c>
      <c r="BE154" s="28" t="n">
        <f aca="false">BC154-BD154</f>
        <v>0</v>
      </c>
      <c r="BF154" s="32" t="n">
        <f aca="false">SUM(R154,T154,V154,X154,Z154,AB154,AD154,AF154,AH154,AJ154,AL154,AN154,AP154,AR154,AT154,AV154,AX154,AZ154)</f>
        <v>34854</v>
      </c>
      <c r="BG154" s="33" t="n">
        <f aca="false">BB154-BF154</f>
        <v>0</v>
      </c>
      <c r="BH154" s="34" t="n">
        <f aca="false">BF154*M154</f>
        <v>383394</v>
      </c>
      <c r="BI154" s="35" t="n">
        <f aca="false">BC154-BH154</f>
        <v>0</v>
      </c>
      <c r="BJ154" s="19" t="str">
        <f aca="false">IF(BI154=0,"",IF(BI154&lt;&gt;BC154,"erreur de calcul",IF(BF154&lt;&gt;0,"pas de prix",IF(M154&lt;&gt; 0,"pas de quantité","pas de prix, ni de quantité"))))</f>
        <v/>
      </c>
      <c r="BK154" s="19"/>
    </row>
    <row r="155" customFormat="false" ht="16" hidden="false" customHeight="false" outlineLevel="0" collapsed="false">
      <c r="A155" s="0" t="n">
        <v>28</v>
      </c>
      <c r="B155" s="8" t="s">
        <v>24</v>
      </c>
      <c r="C155" s="9" t="s">
        <v>25</v>
      </c>
      <c r="D155" s="9" t="s">
        <v>26</v>
      </c>
      <c r="E155" s="10" t="n">
        <v>1789</v>
      </c>
      <c r="F155" s="9" t="s">
        <v>27</v>
      </c>
      <c r="G155" s="9" t="s">
        <v>27</v>
      </c>
      <c r="H155" s="11" t="n">
        <v>22</v>
      </c>
      <c r="I155" s="11" t="s">
        <v>231</v>
      </c>
      <c r="J155" s="14" t="n">
        <v>18</v>
      </c>
      <c r="K155" s="14"/>
      <c r="L155" s="16"/>
      <c r="M155" s="27" t="n">
        <f aca="false">J155+(K155/20)+(L155/240)</f>
        <v>18</v>
      </c>
      <c r="N155" s="17" t="s">
        <v>66</v>
      </c>
      <c r="O155" s="11"/>
      <c r="P155" s="28"/>
      <c r="Q155" s="28" t="str">
        <f aca="false">IF(O155&lt;&gt;"",P155*M155,"")</f>
        <v/>
      </c>
      <c r="R155" s="28"/>
      <c r="S155" s="28" t="n">
        <f aca="false">R155*$M155</f>
        <v>0</v>
      </c>
      <c r="T155" s="28"/>
      <c r="U155" s="28" t="n">
        <f aca="false">T155*$M155</f>
        <v>0</v>
      </c>
      <c r="V155" s="28"/>
      <c r="W155" s="28" t="n">
        <f aca="false">V155*$M155</f>
        <v>0</v>
      </c>
      <c r="X155" s="28"/>
      <c r="Y155" s="28" t="n">
        <f aca="false">X155*$M155</f>
        <v>0</v>
      </c>
      <c r="Z155" s="28"/>
      <c r="AA155" s="28" t="n">
        <f aca="false">Z155*$M155</f>
        <v>0</v>
      </c>
      <c r="AB155" s="28"/>
      <c r="AC155" s="28" t="n">
        <f aca="false">AB155*$M155</f>
        <v>0</v>
      </c>
      <c r="AD155" s="28"/>
      <c r="AE155" s="28" t="n">
        <f aca="false">AD155*$M155</f>
        <v>0</v>
      </c>
      <c r="AF155" s="28"/>
      <c r="AG155" s="28" t="n">
        <f aca="false">AF155*$M155</f>
        <v>0</v>
      </c>
      <c r="AH155" s="28"/>
      <c r="AI155" s="28" t="n">
        <f aca="false">AH155*$M155</f>
        <v>0</v>
      </c>
      <c r="AJ155" s="28"/>
      <c r="AK155" s="28" t="n">
        <f aca="false">AJ155*$M155</f>
        <v>0</v>
      </c>
      <c r="AL155" s="28" t="n">
        <v>623</v>
      </c>
      <c r="AM155" s="28" t="n">
        <v>11214</v>
      </c>
      <c r="AN155" s="28"/>
      <c r="AO155" s="28" t="n">
        <f aca="false">AN155*$M155</f>
        <v>0</v>
      </c>
      <c r="AP155" s="28"/>
      <c r="AQ155" s="28" t="n">
        <f aca="false">AP155*$M155</f>
        <v>0</v>
      </c>
      <c r="AR155" s="28"/>
      <c r="AS155" s="28" t="n">
        <f aca="false">AR155*$M155</f>
        <v>0</v>
      </c>
      <c r="AT155" s="28"/>
      <c r="AU155" s="28" t="n">
        <f aca="false">AT155*$M155</f>
        <v>0</v>
      </c>
      <c r="AV155" s="28"/>
      <c r="AW155" s="28" t="n">
        <f aca="false">AV155*$M155</f>
        <v>0</v>
      </c>
      <c r="AX155" s="28"/>
      <c r="AY155" s="28" t="n">
        <f aca="false">AX155*$M155</f>
        <v>0</v>
      </c>
      <c r="AZ155" s="28"/>
      <c r="BA155" s="28" t="n">
        <f aca="false">AZ155*$M155</f>
        <v>0</v>
      </c>
      <c r="BB155" s="30" t="n">
        <v>623</v>
      </c>
      <c r="BC155" s="11" t="n">
        <v>11214</v>
      </c>
      <c r="BD155" s="31" t="n">
        <f aca="false">SUM(S155,U155,W155,Y155,AA155,AC155,AE155,AG155,AI155,AK155,AM155,AO155,AQ155,AS155,AU155,AW155,AY155,BA155)</f>
        <v>11214</v>
      </c>
      <c r="BE155" s="28" t="n">
        <f aca="false">BC155-BD155</f>
        <v>0</v>
      </c>
      <c r="BF155" s="32" t="n">
        <f aca="false">SUM(R155,T155,V155,X155,Z155,AB155,AD155,AF155,AH155,AJ155,AL155,AN155,AP155,AR155,AT155,AV155,AX155,AZ155)</f>
        <v>623</v>
      </c>
      <c r="BG155" s="33" t="n">
        <f aca="false">BB155-BF155</f>
        <v>0</v>
      </c>
      <c r="BH155" s="34" t="n">
        <f aca="false">BF155*M155</f>
        <v>11214</v>
      </c>
      <c r="BI155" s="35" t="n">
        <f aca="false">BC155-BH155</f>
        <v>0</v>
      </c>
      <c r="BJ155" s="19" t="str">
        <f aca="false">IF(BI155=0,"",IF(BI155&lt;&gt;BC155,"erreur de calcul",IF(BF155&lt;&gt;0,"pas de prix",IF(M155&lt;&gt; 0,"pas de quantité","pas de prix, ni de quantité"))))</f>
        <v/>
      </c>
      <c r="BK155" s="19"/>
    </row>
    <row r="156" customFormat="false" ht="16" hidden="false" customHeight="false" outlineLevel="0" collapsed="false">
      <c r="A156" s="0" t="n">
        <v>29</v>
      </c>
      <c r="B156" s="8" t="s">
        <v>24</v>
      </c>
      <c r="C156" s="9" t="s">
        <v>25</v>
      </c>
      <c r="D156" s="9" t="s">
        <v>26</v>
      </c>
      <c r="E156" s="10" t="n">
        <v>1789</v>
      </c>
      <c r="F156" s="9" t="s">
        <v>27</v>
      </c>
      <c r="G156" s="9" t="s">
        <v>27</v>
      </c>
      <c r="H156" s="11" t="n">
        <v>22</v>
      </c>
      <c r="I156" s="11" t="s">
        <v>232</v>
      </c>
      <c r="J156" s="14" t="n">
        <v>66</v>
      </c>
      <c r="K156" s="14"/>
      <c r="L156" s="16"/>
      <c r="M156" s="27" t="n">
        <f aca="false">J156+(K156/20)+(L156/240)</f>
        <v>66</v>
      </c>
      <c r="N156" s="17" t="s">
        <v>64</v>
      </c>
      <c r="O156" s="11"/>
      <c r="P156" s="28"/>
      <c r="Q156" s="28" t="str">
        <f aca="false">IF(O156&lt;&gt;"",P156*M156,"")</f>
        <v/>
      </c>
      <c r="R156" s="28"/>
      <c r="S156" s="28" t="n">
        <f aca="false">R156*$M156</f>
        <v>0</v>
      </c>
      <c r="T156" s="28" t="n">
        <f aca="false">4580/100</f>
        <v>45.8</v>
      </c>
      <c r="U156" s="28" t="n">
        <v>3023</v>
      </c>
      <c r="V156" s="28"/>
      <c r="W156" s="28" t="n">
        <f aca="false">V156*$M156</f>
        <v>0</v>
      </c>
      <c r="X156" s="28"/>
      <c r="Y156" s="28" t="n">
        <f aca="false">X156*$M156</f>
        <v>0</v>
      </c>
      <c r="Z156" s="28"/>
      <c r="AA156" s="28" t="n">
        <f aca="false">Z156*$M156</f>
        <v>0</v>
      </c>
      <c r="AB156" s="28"/>
      <c r="AC156" s="28" t="n">
        <f aca="false">AB156*$M156</f>
        <v>0</v>
      </c>
      <c r="AD156" s="28"/>
      <c r="AE156" s="28" t="n">
        <f aca="false">AD156*$M156</f>
        <v>0</v>
      </c>
      <c r="AF156" s="28"/>
      <c r="AG156" s="28" t="n">
        <f aca="false">AF156*$M156</f>
        <v>0</v>
      </c>
      <c r="AH156" s="28"/>
      <c r="AI156" s="28" t="n">
        <f aca="false">AH156*$M156</f>
        <v>0</v>
      </c>
      <c r="AJ156" s="28"/>
      <c r="AK156" s="28" t="n">
        <f aca="false">AJ156*$M156</f>
        <v>0</v>
      </c>
      <c r="AL156" s="28"/>
      <c r="AM156" s="28" t="n">
        <f aca="false">AL156*$M156</f>
        <v>0</v>
      </c>
      <c r="AN156" s="28"/>
      <c r="AO156" s="28" t="n">
        <f aca="false">AN156*$M156</f>
        <v>0</v>
      </c>
      <c r="AP156" s="28"/>
      <c r="AQ156" s="28" t="n">
        <f aca="false">AP156*$M156</f>
        <v>0</v>
      </c>
      <c r="AR156" s="28"/>
      <c r="AS156" s="28" t="n">
        <f aca="false">AR156*$M156</f>
        <v>0</v>
      </c>
      <c r="AT156" s="28"/>
      <c r="AU156" s="28" t="n">
        <f aca="false">AT156*$M156</f>
        <v>0</v>
      </c>
      <c r="AV156" s="28"/>
      <c r="AW156" s="28" t="n">
        <f aca="false">AV156*$M156</f>
        <v>0</v>
      </c>
      <c r="AX156" s="28"/>
      <c r="AY156" s="28" t="n">
        <f aca="false">AX156*$M156</f>
        <v>0</v>
      </c>
      <c r="AZ156" s="28"/>
      <c r="BA156" s="28" t="n">
        <f aca="false">AZ156*$M156</f>
        <v>0</v>
      </c>
      <c r="BB156" s="30" t="n">
        <f aca="false">4580/100</f>
        <v>45.8</v>
      </c>
      <c r="BC156" s="11" t="n">
        <v>3023</v>
      </c>
      <c r="BD156" s="31" t="n">
        <f aca="false">SUM(S156,U156,W156,Y156,AA156,AC156,AE156,AG156,AI156,AK156,AM156,AO156,AQ156,AS156,AU156,AW156,AY156,BA156)</f>
        <v>3023</v>
      </c>
      <c r="BE156" s="28" t="n">
        <f aca="false">BC156-BD156</f>
        <v>0</v>
      </c>
      <c r="BF156" s="32" t="n">
        <f aca="false">SUM(R156,T156,V156,X156,Z156,AB156,AD156,AF156,AH156,AJ156,AL156,AN156,AP156,AR156,AT156,AV156,AX156,AZ156)</f>
        <v>45.8</v>
      </c>
      <c r="BG156" s="33" t="n">
        <f aca="false">BB156-BF156</f>
        <v>0</v>
      </c>
      <c r="BH156" s="34" t="n">
        <f aca="false">BF156*M156</f>
        <v>3022.8</v>
      </c>
      <c r="BI156" s="35" t="n">
        <f aca="false">BC156-BH156</f>
        <v>0.200000000000273</v>
      </c>
      <c r="BJ156" s="19" t="str">
        <f aca="false">IF(BI156=0,"",IF(BI156&lt;&gt;BC156,"erreur de calcul",IF(BF156&lt;&gt;0,"pas de prix",IF(M156&lt;&gt; 0,"pas de quantité","pas de prix, ni de quantité"))))</f>
        <v>erreur de calcul</v>
      </c>
      <c r="BK156" s="19"/>
    </row>
    <row r="157" customFormat="false" ht="16" hidden="false" customHeight="false" outlineLevel="0" collapsed="false">
      <c r="A157" s="0" t="n">
        <v>30</v>
      </c>
      <c r="B157" s="8" t="s">
        <v>24</v>
      </c>
      <c r="C157" s="9" t="s">
        <v>25</v>
      </c>
      <c r="D157" s="9" t="s">
        <v>26</v>
      </c>
      <c r="E157" s="10" t="n">
        <v>1789</v>
      </c>
      <c r="F157" s="9" t="s">
        <v>27</v>
      </c>
      <c r="G157" s="9" t="s">
        <v>27</v>
      </c>
      <c r="H157" s="11" t="n">
        <v>22</v>
      </c>
      <c r="I157" s="11" t="s">
        <v>233</v>
      </c>
      <c r="J157" s="14" t="n">
        <v>155</v>
      </c>
      <c r="K157" s="14"/>
      <c r="L157" s="16"/>
      <c r="M157" s="27" t="n">
        <f aca="false">J157+(K157/20)+(L157/240)</f>
        <v>155</v>
      </c>
      <c r="N157" s="17" t="s">
        <v>64</v>
      </c>
      <c r="O157" s="11"/>
      <c r="P157" s="28"/>
      <c r="Q157" s="28" t="str">
        <f aca="false">IF(O157&lt;&gt;"",P157*M157,"")</f>
        <v/>
      </c>
      <c r="R157" s="28" t="n">
        <f aca="false">27574/100</f>
        <v>275.74</v>
      </c>
      <c r="S157" s="28" t="n">
        <v>42740</v>
      </c>
      <c r="T157" s="28" t="n">
        <f aca="false">7820/100</f>
        <v>78.2</v>
      </c>
      <c r="U157" s="28" t="n">
        <v>12121</v>
      </c>
      <c r="V157" s="28"/>
      <c r="W157" s="28" t="n">
        <f aca="false">V157*$M157</f>
        <v>0</v>
      </c>
      <c r="X157" s="28" t="n">
        <f aca="false">37316/100</f>
        <v>373.16</v>
      </c>
      <c r="Y157" s="28" t="n">
        <v>57840</v>
      </c>
      <c r="Z157" s="28" t="n">
        <f aca="false">1394/100</f>
        <v>13.94</v>
      </c>
      <c r="AA157" s="28" t="n">
        <v>2161</v>
      </c>
      <c r="AB157" s="28"/>
      <c r="AC157" s="28" t="n">
        <f aca="false">AB157*$M157</f>
        <v>0</v>
      </c>
      <c r="AD157" s="28"/>
      <c r="AE157" s="28" t="n">
        <f aca="false">AD157*$M157</f>
        <v>0</v>
      </c>
      <c r="AF157" s="28"/>
      <c r="AG157" s="28" t="n">
        <f aca="false">AF157*$M157</f>
        <v>0</v>
      </c>
      <c r="AH157" s="28"/>
      <c r="AI157" s="28" t="n">
        <f aca="false">AH157*$M157</f>
        <v>0</v>
      </c>
      <c r="AJ157" s="28"/>
      <c r="AK157" s="28" t="n">
        <f aca="false">AJ157*$M157</f>
        <v>0</v>
      </c>
      <c r="AL157" s="28" t="n">
        <f aca="false">158255/100</f>
        <v>1582.55</v>
      </c>
      <c r="AM157" s="28" t="n">
        <v>245295</v>
      </c>
      <c r="AN157" s="28"/>
      <c r="AO157" s="28" t="n">
        <f aca="false">AN157*$M157</f>
        <v>0</v>
      </c>
      <c r="AP157" s="28" t="n">
        <f aca="false">417945/100</f>
        <v>4179.45</v>
      </c>
      <c r="AQ157" s="28" t="n">
        <v>647815</v>
      </c>
      <c r="AR157" s="28"/>
      <c r="AS157" s="28" t="n">
        <f aca="false">AR157*$M157</f>
        <v>0</v>
      </c>
      <c r="AT157" s="28"/>
      <c r="AU157" s="28" t="n">
        <f aca="false">AT157*$M157</f>
        <v>0</v>
      </c>
      <c r="AV157" s="28"/>
      <c r="AW157" s="28" t="n">
        <f aca="false">AV157*$M157</f>
        <v>0</v>
      </c>
      <c r="AX157" s="28"/>
      <c r="AY157" s="28" t="n">
        <f aca="false">AX157*$M157</f>
        <v>0</v>
      </c>
      <c r="AZ157" s="28"/>
      <c r="BA157" s="28" t="n">
        <f aca="false">AZ157*$M157</f>
        <v>0</v>
      </c>
      <c r="BB157" s="30" t="n">
        <f aca="false">650304/100</f>
        <v>6503.04</v>
      </c>
      <c r="BC157" s="11" t="n">
        <v>1007972</v>
      </c>
      <c r="BD157" s="31" t="n">
        <f aca="false">SUM(S157,U157,W157,Y157,AA157,AC157,AE157,AG157,AI157,AK157,AM157,AO157,AQ157,AS157,AU157,AW157,AY157,BA157)</f>
        <v>1007972</v>
      </c>
      <c r="BE157" s="28" t="n">
        <f aca="false">BC157-BD157</f>
        <v>0</v>
      </c>
      <c r="BF157" s="32" t="n">
        <f aca="false">SUM(R157,T157,V157,X157,Z157,AB157,AD157,AF157,AH157,AJ157,AL157,AN157,AP157,AR157,AT157,AV157,AX157,AZ157)</f>
        <v>6503.04</v>
      </c>
      <c r="BG157" s="33" t="n">
        <f aca="false">BB157-BF157</f>
        <v>0</v>
      </c>
      <c r="BH157" s="34" t="n">
        <f aca="false">BF157*M157</f>
        <v>1007971.2</v>
      </c>
      <c r="BI157" s="35" t="n">
        <f aca="false">BC157-BH157</f>
        <v>0.800000000162981</v>
      </c>
      <c r="BJ157" s="19" t="str">
        <f aca="false">IF(BI157=0,"",IF(BI157&lt;&gt;BC157,"erreur de calcul",IF(BF157&lt;&gt;0,"pas de prix",IF(M157&lt;&gt; 0,"pas de quantité","pas de prix, ni de quantité"))))</f>
        <v>erreur de calcul</v>
      </c>
      <c r="BK157" s="19"/>
    </row>
    <row r="158" customFormat="false" ht="16" hidden="false" customHeight="false" outlineLevel="0" collapsed="false">
      <c r="A158" s="0" t="n">
        <v>31</v>
      </c>
      <c r="B158" s="8" t="s">
        <v>24</v>
      </c>
      <c r="C158" s="9" t="s">
        <v>25</v>
      </c>
      <c r="D158" s="9" t="s">
        <v>26</v>
      </c>
      <c r="E158" s="10" t="n">
        <v>1789</v>
      </c>
      <c r="F158" s="9" t="s">
        <v>27</v>
      </c>
      <c r="G158" s="9" t="s">
        <v>27</v>
      </c>
      <c r="H158" s="11" t="n">
        <v>22</v>
      </c>
      <c r="I158" s="11" t="s">
        <v>234</v>
      </c>
      <c r="J158" s="14" t="n">
        <v>110</v>
      </c>
      <c r="K158" s="14"/>
      <c r="L158" s="16"/>
      <c r="M158" s="27" t="n">
        <f aca="false">J158+(K158/20)+(L158/240)</f>
        <v>110</v>
      </c>
      <c r="N158" s="17" t="s">
        <v>64</v>
      </c>
      <c r="O158" s="11"/>
      <c r="P158" s="28"/>
      <c r="Q158" s="28" t="str">
        <f aca="false">IF(O158&lt;&gt;"",P158*M158,"")</f>
        <v/>
      </c>
      <c r="R158" s="28" t="n">
        <f aca="false">73942/100</f>
        <v>739.42</v>
      </c>
      <c r="S158" s="28" t="n">
        <v>81336</v>
      </c>
      <c r="T158" s="28"/>
      <c r="U158" s="28" t="n">
        <f aca="false">T158*$M158</f>
        <v>0</v>
      </c>
      <c r="V158" s="28"/>
      <c r="W158" s="28" t="n">
        <f aca="false">V158*$M158</f>
        <v>0</v>
      </c>
      <c r="X158" s="28"/>
      <c r="Y158" s="28" t="n">
        <f aca="false">X158*$M158</f>
        <v>0</v>
      </c>
      <c r="Z158" s="28"/>
      <c r="AA158" s="28" t="n">
        <f aca="false">Z158*$M158</f>
        <v>0</v>
      </c>
      <c r="AB158" s="28"/>
      <c r="AC158" s="28" t="n">
        <f aca="false">AB158*$M158</f>
        <v>0</v>
      </c>
      <c r="AD158" s="28"/>
      <c r="AE158" s="28" t="n">
        <f aca="false">AD158*$M158</f>
        <v>0</v>
      </c>
      <c r="AF158" s="28"/>
      <c r="AG158" s="28" t="n">
        <f aca="false">AF158*$M158</f>
        <v>0</v>
      </c>
      <c r="AH158" s="28"/>
      <c r="AI158" s="28" t="n">
        <f aca="false">AH158*$M158</f>
        <v>0</v>
      </c>
      <c r="AJ158" s="28"/>
      <c r="AK158" s="28" t="n">
        <f aca="false">AJ158*$M158</f>
        <v>0</v>
      </c>
      <c r="AL158" s="28"/>
      <c r="AM158" s="28" t="n">
        <f aca="false">AL158*$M158</f>
        <v>0</v>
      </c>
      <c r="AN158" s="28"/>
      <c r="AO158" s="28" t="n">
        <f aca="false">AN158*$M158</f>
        <v>0</v>
      </c>
      <c r="AP158" s="28"/>
      <c r="AQ158" s="28" t="n">
        <f aca="false">AP158*$M158</f>
        <v>0</v>
      </c>
      <c r="AR158" s="28"/>
      <c r="AS158" s="28" t="n">
        <f aca="false">AR158*$M158</f>
        <v>0</v>
      </c>
      <c r="AT158" s="28"/>
      <c r="AU158" s="28" t="n">
        <f aca="false">AT158*$M158</f>
        <v>0</v>
      </c>
      <c r="AV158" s="28"/>
      <c r="AW158" s="28" t="n">
        <f aca="false">AV158*$M158</f>
        <v>0</v>
      </c>
      <c r="AX158" s="28"/>
      <c r="AY158" s="28" t="n">
        <f aca="false">AX158*$M158</f>
        <v>0</v>
      </c>
      <c r="AZ158" s="28"/>
      <c r="BA158" s="28" t="n">
        <f aca="false">AZ158*$M158</f>
        <v>0</v>
      </c>
      <c r="BB158" s="30" t="n">
        <f aca="false">73942/100</f>
        <v>739.42</v>
      </c>
      <c r="BC158" s="11" t="n">
        <v>81336</v>
      </c>
      <c r="BD158" s="31" t="n">
        <f aca="false">SUM(S158,U158,W158,Y158,AA158,AC158,AE158,AG158,AI158,AK158,AM158,AO158,AQ158,AS158,AU158,AW158,AY158,BA158)</f>
        <v>81336</v>
      </c>
      <c r="BE158" s="28" t="n">
        <f aca="false">BC158-BD158</f>
        <v>0</v>
      </c>
      <c r="BF158" s="32" t="n">
        <f aca="false">SUM(R158,T158,V158,X158,Z158,AB158,AD158,AF158,AH158,AJ158,AL158,AN158,AP158,AR158,AT158,AV158,AX158,AZ158)</f>
        <v>739.42</v>
      </c>
      <c r="BG158" s="33" t="n">
        <f aca="false">BB158-BF158</f>
        <v>0</v>
      </c>
      <c r="BH158" s="34" t="n">
        <f aca="false">BF158*M158</f>
        <v>81336.2</v>
      </c>
      <c r="BI158" s="35" t="n">
        <f aca="false">BC158-BH158</f>
        <v>-0.19999999999709</v>
      </c>
      <c r="BJ158" s="19" t="str">
        <f aca="false">IF(BI158=0,"",IF(BI158&lt;&gt;BC158,"erreur de calcul",IF(BF158&lt;&gt;0,"pas de prix",IF(M158&lt;&gt; 0,"pas de quantité","pas de prix, ni de quantité"))))</f>
        <v>erreur de calcul</v>
      </c>
      <c r="BK158" s="19"/>
    </row>
    <row r="159" customFormat="false" ht="16" hidden="false" customHeight="false" outlineLevel="0" collapsed="false">
      <c r="A159" s="0" t="n">
        <v>32</v>
      </c>
      <c r="B159" s="8" t="s">
        <v>24</v>
      </c>
      <c r="C159" s="9" t="s">
        <v>25</v>
      </c>
      <c r="D159" s="9" t="s">
        <v>26</v>
      </c>
      <c r="E159" s="10" t="n">
        <v>1789</v>
      </c>
      <c r="F159" s="9" t="s">
        <v>27</v>
      </c>
      <c r="G159" s="9" t="s">
        <v>27</v>
      </c>
      <c r="H159" s="11" t="n">
        <v>22</v>
      </c>
      <c r="I159" s="11" t="s">
        <v>235</v>
      </c>
      <c r="J159" s="14" t="n">
        <v>60</v>
      </c>
      <c r="K159" s="14"/>
      <c r="L159" s="16"/>
      <c r="M159" s="27" t="n">
        <f aca="false">J159+(K159/20)+(L159/240)</f>
        <v>60</v>
      </c>
      <c r="N159" s="17" t="s">
        <v>64</v>
      </c>
      <c r="O159" s="11"/>
      <c r="P159" s="28"/>
      <c r="Q159" s="28" t="str">
        <f aca="false">IF(O159&lt;&gt;"",P159*M159,"")</f>
        <v/>
      </c>
      <c r="R159" s="28"/>
      <c r="S159" s="28" t="n">
        <f aca="false">R159*$M159</f>
        <v>0</v>
      </c>
      <c r="T159" s="28"/>
      <c r="U159" s="28" t="n">
        <f aca="false">T159*$M159</f>
        <v>0</v>
      </c>
      <c r="V159" s="28"/>
      <c r="W159" s="28" t="n">
        <f aca="false">V159*$M159</f>
        <v>0</v>
      </c>
      <c r="X159" s="28" t="n">
        <f aca="false">232/100</f>
        <v>2.32</v>
      </c>
      <c r="Y159" s="28" t="n">
        <v>139</v>
      </c>
      <c r="Z159" s="28" t="n">
        <f aca="false">5603/100</f>
        <v>56.03</v>
      </c>
      <c r="AA159" s="28" t="n">
        <v>3362</v>
      </c>
      <c r="AB159" s="28"/>
      <c r="AC159" s="28" t="n">
        <f aca="false">AB159*$M159</f>
        <v>0</v>
      </c>
      <c r="AD159" s="28" t="n">
        <f aca="false">1410/100</f>
        <v>14.1</v>
      </c>
      <c r="AE159" s="28" t="n">
        <v>846</v>
      </c>
      <c r="AF159" s="28"/>
      <c r="AG159" s="28" t="n">
        <f aca="false">AF159*$M159</f>
        <v>0</v>
      </c>
      <c r="AH159" s="28" t="n">
        <f aca="false">162899/100</f>
        <v>1628.99</v>
      </c>
      <c r="AI159" s="28" t="n">
        <v>97739</v>
      </c>
      <c r="AJ159" s="28" t="n">
        <f aca="false">6506/100</f>
        <v>65.06</v>
      </c>
      <c r="AK159" s="28" t="n">
        <v>3904</v>
      </c>
      <c r="AL159" s="28"/>
      <c r="AM159" s="28" t="n">
        <f aca="false">AL159*$M159</f>
        <v>0</v>
      </c>
      <c r="AN159" s="28"/>
      <c r="AO159" s="28" t="n">
        <f aca="false">AN159*$M159</f>
        <v>0</v>
      </c>
      <c r="AP159" s="28"/>
      <c r="AQ159" s="28" t="n">
        <f aca="false">AP159*$M159</f>
        <v>0</v>
      </c>
      <c r="AR159" s="28"/>
      <c r="AS159" s="28" t="n">
        <f aca="false">AR159*$M159</f>
        <v>0</v>
      </c>
      <c r="AT159" s="28"/>
      <c r="AU159" s="28" t="n">
        <f aca="false">AT159*$M159</f>
        <v>0</v>
      </c>
      <c r="AV159" s="28"/>
      <c r="AW159" s="28" t="n">
        <f aca="false">AV159*$M159</f>
        <v>0</v>
      </c>
      <c r="AX159" s="28"/>
      <c r="AY159" s="28" t="n">
        <f aca="false">AX159*$M159</f>
        <v>0</v>
      </c>
      <c r="AZ159" s="28"/>
      <c r="BA159" s="28" t="n">
        <f aca="false">AZ159*$M159</f>
        <v>0</v>
      </c>
      <c r="BB159" s="30" t="n">
        <f aca="false">176650/100</f>
        <v>1766.5</v>
      </c>
      <c r="BC159" s="11" t="n">
        <v>105990</v>
      </c>
      <c r="BD159" s="31" t="n">
        <f aca="false">SUM(S159,U159,W159,Y159,AA159,AC159,AE159,AG159,AI159,AK159,AM159,AO159,AQ159,AS159,AU159,AW159,AY159,BA159)</f>
        <v>105990</v>
      </c>
      <c r="BE159" s="28" t="n">
        <f aca="false">BC159-BD159</f>
        <v>0</v>
      </c>
      <c r="BF159" s="32" t="n">
        <f aca="false">SUM(R159,T159,V159,X159,Z159,AB159,AD159,AF159,AH159,AJ159,AL159,AN159,AP159,AR159,AT159,AV159,AX159,AZ159)</f>
        <v>1766.5</v>
      </c>
      <c r="BG159" s="33" t="n">
        <f aca="false">BB159-BF159</f>
        <v>0</v>
      </c>
      <c r="BH159" s="34" t="n">
        <f aca="false">BF159*M159</f>
        <v>105990</v>
      </c>
      <c r="BI159" s="35" t="n">
        <f aca="false">BC159-BH159</f>
        <v>0</v>
      </c>
      <c r="BJ159" s="19" t="str">
        <f aca="false">IF(BI159=0,"",IF(BI159&lt;&gt;BC159,"erreur de calcul",IF(BF159&lt;&gt;0,"pas de prix",IF(M159&lt;&gt; 0,"pas de quantité","pas de prix, ni de quantité"))))</f>
        <v/>
      </c>
      <c r="BK159" s="19"/>
    </row>
    <row r="160" customFormat="false" ht="16" hidden="false" customHeight="false" outlineLevel="0" collapsed="false">
      <c r="A160" s="0" t="n">
        <v>33</v>
      </c>
      <c r="B160" s="8" t="s">
        <v>24</v>
      </c>
      <c r="C160" s="9" t="s">
        <v>25</v>
      </c>
      <c r="D160" s="9" t="s">
        <v>26</v>
      </c>
      <c r="E160" s="10" t="n">
        <v>1789</v>
      </c>
      <c r="F160" s="9" t="s">
        <v>27</v>
      </c>
      <c r="G160" s="9" t="s">
        <v>27</v>
      </c>
      <c r="H160" s="11" t="n">
        <v>22</v>
      </c>
      <c r="I160" s="11" t="s">
        <v>236</v>
      </c>
      <c r="J160" s="14" t="n">
        <v>710</v>
      </c>
      <c r="K160" s="14"/>
      <c r="L160" s="16"/>
      <c r="M160" s="27" t="n">
        <f aca="false">J160+(K160/20)+(L160/240)</f>
        <v>710</v>
      </c>
      <c r="N160" s="17" t="s">
        <v>64</v>
      </c>
      <c r="O160" s="11"/>
      <c r="P160" s="28"/>
      <c r="Q160" s="28" t="str">
        <f aca="false">IF(O160&lt;&gt;"",P160*M160,"")</f>
        <v/>
      </c>
      <c r="R160" s="28"/>
      <c r="S160" s="28" t="n">
        <f aca="false">R160*$M160</f>
        <v>0</v>
      </c>
      <c r="T160" s="28"/>
      <c r="U160" s="28" t="n">
        <f aca="false">T160*$M160</f>
        <v>0</v>
      </c>
      <c r="V160" s="28" t="n">
        <f aca="false">108/100</f>
        <v>1.08</v>
      </c>
      <c r="W160" s="28" t="n">
        <v>767</v>
      </c>
      <c r="X160" s="28" t="n">
        <f aca="false">1190/100</f>
        <v>11.9</v>
      </c>
      <c r="Y160" s="28" t="n">
        <v>8449</v>
      </c>
      <c r="Z160" s="28" t="n">
        <f aca="false">487/100</f>
        <v>4.87</v>
      </c>
      <c r="AA160" s="28" t="n">
        <v>3458</v>
      </c>
      <c r="AB160" s="28"/>
      <c r="AC160" s="28" t="n">
        <f aca="false">AB160*$M160</f>
        <v>0</v>
      </c>
      <c r="AD160" s="28" t="n">
        <f aca="false">9170/100</f>
        <v>91.7</v>
      </c>
      <c r="AE160" s="28" t="n">
        <v>65107</v>
      </c>
      <c r="AF160" s="28" t="n">
        <f aca="false">531/100</f>
        <v>5.31</v>
      </c>
      <c r="AG160" s="28" t="n">
        <v>3770</v>
      </c>
      <c r="AH160" s="28"/>
      <c r="AI160" s="28" t="n">
        <f aca="false">AH160*$M160</f>
        <v>0</v>
      </c>
      <c r="AJ160" s="28"/>
      <c r="AK160" s="28" t="n">
        <f aca="false">AJ160*$M160</f>
        <v>0</v>
      </c>
      <c r="AL160" s="28"/>
      <c r="AM160" s="28" t="n">
        <f aca="false">AL160*$M160</f>
        <v>0</v>
      </c>
      <c r="AN160" s="28"/>
      <c r="AO160" s="28" t="n">
        <f aca="false">AN160*$M160</f>
        <v>0</v>
      </c>
      <c r="AP160" s="28"/>
      <c r="AQ160" s="28" t="n">
        <f aca="false">AP160*$M160</f>
        <v>0</v>
      </c>
      <c r="AR160" s="28"/>
      <c r="AS160" s="28" t="n">
        <f aca="false">AR160*$M160</f>
        <v>0</v>
      </c>
      <c r="AT160" s="28"/>
      <c r="AU160" s="28" t="n">
        <f aca="false">AT160*$M160</f>
        <v>0</v>
      </c>
      <c r="AV160" s="28"/>
      <c r="AW160" s="28" t="n">
        <f aca="false">AV160*$M160</f>
        <v>0</v>
      </c>
      <c r="AX160" s="28"/>
      <c r="AY160" s="28" t="n">
        <f aca="false">AX160*$M160</f>
        <v>0</v>
      </c>
      <c r="AZ160" s="28"/>
      <c r="BA160" s="28" t="n">
        <f aca="false">AZ160*$M160</f>
        <v>0</v>
      </c>
      <c r="BB160" s="30" t="n">
        <f aca="false">11486/100</f>
        <v>114.86</v>
      </c>
      <c r="BC160" s="11" t="n">
        <v>81551</v>
      </c>
      <c r="BD160" s="31" t="n">
        <f aca="false">SUM(S160,U160,W160,Y160,AA160,AC160,AE160,AG160,AI160,AK160,AM160,AO160,AQ160,AS160,AU160,AW160,AY160,BA160)</f>
        <v>81551</v>
      </c>
      <c r="BE160" s="28" t="n">
        <f aca="false">BC160-BD160</f>
        <v>0</v>
      </c>
      <c r="BF160" s="32" t="n">
        <f aca="false">SUM(R160,T160,V160,X160,Z160,AB160,AD160,AF160,AH160,AJ160,AL160,AN160,AP160,AR160,AT160,AV160,AX160,AZ160)</f>
        <v>114.86</v>
      </c>
      <c r="BG160" s="33" t="n">
        <f aca="false">BB160-BF160</f>
        <v>0</v>
      </c>
      <c r="BH160" s="34" t="n">
        <f aca="false">BF160*M160</f>
        <v>81550.6</v>
      </c>
      <c r="BI160" s="35" t="n">
        <f aca="false">BC160-BH160</f>
        <v>0.399999999994179</v>
      </c>
      <c r="BJ160" s="19" t="str">
        <f aca="false">IF(BI160=0,"",IF(BI160&lt;&gt;BC160,"erreur de calcul",IF(BF160&lt;&gt;0,"pas de prix",IF(M160&lt;&gt; 0,"pas de quantité","pas de prix, ni de quantité"))))</f>
        <v>erreur de calcul</v>
      </c>
      <c r="BK160" s="19"/>
    </row>
    <row r="161" customFormat="false" ht="16" hidden="false" customHeight="false" outlineLevel="0" collapsed="false">
      <c r="A161" s="0" t="n">
        <v>34</v>
      </c>
      <c r="B161" s="8" t="s">
        <v>24</v>
      </c>
      <c r="C161" s="9" t="s">
        <v>25</v>
      </c>
      <c r="D161" s="9" t="s">
        <v>26</v>
      </c>
      <c r="E161" s="10" t="n">
        <v>1789</v>
      </c>
      <c r="F161" s="9" t="s">
        <v>27</v>
      </c>
      <c r="G161" s="9" t="s">
        <v>27</v>
      </c>
      <c r="H161" s="11" t="n">
        <v>22</v>
      </c>
      <c r="I161" s="11" t="s">
        <v>237</v>
      </c>
      <c r="J161" s="14" t="n">
        <v>91</v>
      </c>
      <c r="K161" s="14"/>
      <c r="L161" s="16"/>
      <c r="M161" s="27" t="n">
        <f aca="false">J161+(K161/20)+(L161/240)</f>
        <v>91</v>
      </c>
      <c r="N161" s="17" t="s">
        <v>64</v>
      </c>
      <c r="O161" s="11"/>
      <c r="P161" s="28"/>
      <c r="Q161" s="28" t="str">
        <f aca="false">IF(O161&lt;&gt;"",P161*M161,"")</f>
        <v/>
      </c>
      <c r="R161" s="28"/>
      <c r="S161" s="28" t="n">
        <f aca="false">R161*$M161</f>
        <v>0</v>
      </c>
      <c r="T161" s="28"/>
      <c r="U161" s="28" t="n">
        <f aca="false">T161*$M161</f>
        <v>0</v>
      </c>
      <c r="V161" s="28"/>
      <c r="W161" s="28" t="n">
        <f aca="false">V161*$M161</f>
        <v>0</v>
      </c>
      <c r="X161" s="28" t="n">
        <f aca="false">3384/100</f>
        <v>33.84</v>
      </c>
      <c r="Y161" s="28" t="n">
        <v>3079</v>
      </c>
      <c r="Z161" s="28" t="n">
        <f aca="false">18105/100</f>
        <v>181.05</v>
      </c>
      <c r="AA161" s="28" t="n">
        <v>16475</v>
      </c>
      <c r="AB161" s="28"/>
      <c r="AC161" s="28" t="n">
        <f aca="false">AB161*$M161</f>
        <v>0</v>
      </c>
      <c r="AD161" s="28"/>
      <c r="AE161" s="28" t="n">
        <f aca="false">AD161*$M161</f>
        <v>0</v>
      </c>
      <c r="AF161" s="28"/>
      <c r="AG161" s="28" t="n">
        <f aca="false">AF161*$M161</f>
        <v>0</v>
      </c>
      <c r="AH161" s="28"/>
      <c r="AI161" s="28" t="n">
        <f aca="false">AH161*$M161</f>
        <v>0</v>
      </c>
      <c r="AJ161" s="28"/>
      <c r="AK161" s="28" t="n">
        <f aca="false">AJ161*$M161</f>
        <v>0</v>
      </c>
      <c r="AL161" s="28"/>
      <c r="AM161" s="28" t="n">
        <f aca="false">AL161*$M161</f>
        <v>0</v>
      </c>
      <c r="AN161" s="28"/>
      <c r="AO161" s="28" t="n">
        <f aca="false">AN161*$M161</f>
        <v>0</v>
      </c>
      <c r="AP161" s="28"/>
      <c r="AQ161" s="28" t="n">
        <f aca="false">AP161*$M161</f>
        <v>0</v>
      </c>
      <c r="AR161" s="28"/>
      <c r="AS161" s="28" t="n">
        <f aca="false">AR161*$M161</f>
        <v>0</v>
      </c>
      <c r="AT161" s="28"/>
      <c r="AU161" s="28" t="n">
        <f aca="false">AT161*$M161</f>
        <v>0</v>
      </c>
      <c r="AV161" s="28"/>
      <c r="AW161" s="28" t="n">
        <f aca="false">AV161*$M161</f>
        <v>0</v>
      </c>
      <c r="AX161" s="28"/>
      <c r="AY161" s="28" t="n">
        <f aca="false">AX161*$M161</f>
        <v>0</v>
      </c>
      <c r="AZ161" s="28"/>
      <c r="BA161" s="28" t="n">
        <f aca="false">AZ161*$M161</f>
        <v>0</v>
      </c>
      <c r="BB161" s="30" t="n">
        <f aca="false">21489/100</f>
        <v>214.89</v>
      </c>
      <c r="BC161" s="11" t="n">
        <v>19554</v>
      </c>
      <c r="BD161" s="31" t="n">
        <f aca="false">SUM(S161,U161,W161,Y161,AA161,AC161,AE161,AG161,AI161,AK161,AM161,AO161,AQ161,AS161,AU161,AW161,AY161,BA161)</f>
        <v>19554</v>
      </c>
      <c r="BE161" s="28" t="n">
        <f aca="false">BC161-BD161</f>
        <v>0</v>
      </c>
      <c r="BF161" s="32" t="n">
        <f aca="false">SUM(R161,T161,V161,X161,Z161,AB161,AD161,AF161,AH161,AJ161,AL161,AN161,AP161,AR161,AT161,AV161,AX161,AZ161)</f>
        <v>214.89</v>
      </c>
      <c r="BG161" s="33" t="n">
        <f aca="false">BB161-BF161</f>
        <v>0</v>
      </c>
      <c r="BH161" s="34" t="n">
        <f aca="false">BF161*M161</f>
        <v>19554.99</v>
      </c>
      <c r="BI161" s="35" t="n">
        <f aca="false">BC161-BH161</f>
        <v>-0.990000000001601</v>
      </c>
      <c r="BJ161" s="19" t="str">
        <f aca="false">IF(BI161=0,"",IF(BI161&lt;&gt;BC161,"erreur de calcul",IF(BF161&lt;&gt;0,"pas de prix",IF(M161&lt;&gt; 0,"pas de quantité","pas de prix, ni de quantité"))))</f>
        <v>erreur de calcul</v>
      </c>
      <c r="BK161" s="19"/>
    </row>
    <row r="162" customFormat="false" ht="16" hidden="false" customHeight="false" outlineLevel="0" collapsed="false">
      <c r="A162" s="0" t="n">
        <v>35</v>
      </c>
      <c r="B162" s="8" t="s">
        <v>24</v>
      </c>
      <c r="C162" s="9" t="s">
        <v>25</v>
      </c>
      <c r="D162" s="9" t="s">
        <v>26</v>
      </c>
      <c r="E162" s="10" t="n">
        <v>1789</v>
      </c>
      <c r="F162" s="9" t="s">
        <v>27</v>
      </c>
      <c r="G162" s="9" t="s">
        <v>27</v>
      </c>
      <c r="H162" s="11" t="n">
        <v>22</v>
      </c>
      <c r="I162" s="11" t="s">
        <v>238</v>
      </c>
      <c r="J162" s="14" t="n">
        <v>40</v>
      </c>
      <c r="K162" s="14"/>
      <c r="L162" s="16"/>
      <c r="M162" s="27" t="n">
        <f aca="false">J162+(K162/20)+(L162/240)</f>
        <v>40</v>
      </c>
      <c r="N162" s="17" t="s">
        <v>66</v>
      </c>
      <c r="O162" s="11"/>
      <c r="P162" s="28"/>
      <c r="Q162" s="28" t="str">
        <f aca="false">IF(O162&lt;&gt;"",P162*M162,"")</f>
        <v/>
      </c>
      <c r="R162" s="28" t="n">
        <v>150</v>
      </c>
      <c r="S162" s="28" t="n">
        <v>6000</v>
      </c>
      <c r="T162" s="28"/>
      <c r="U162" s="28" t="n">
        <f aca="false">T162*$M162</f>
        <v>0</v>
      </c>
      <c r="V162" s="28" t="n">
        <v>467</v>
      </c>
      <c r="W162" s="28" t="n">
        <v>18680</v>
      </c>
      <c r="X162" s="28" t="n">
        <v>1124</v>
      </c>
      <c r="Y162" s="28" t="n">
        <v>44960</v>
      </c>
      <c r="Z162" s="28" t="n">
        <v>591</v>
      </c>
      <c r="AA162" s="28" t="n">
        <v>23640</v>
      </c>
      <c r="AB162" s="28"/>
      <c r="AC162" s="28" t="n">
        <f aca="false">AB162*$M162</f>
        <v>0</v>
      </c>
      <c r="AD162" s="28" t="n">
        <v>554</v>
      </c>
      <c r="AE162" s="28" t="n">
        <v>22160</v>
      </c>
      <c r="AF162" s="28"/>
      <c r="AG162" s="28" t="n">
        <f aca="false">AF162*$M162</f>
        <v>0</v>
      </c>
      <c r="AH162" s="28"/>
      <c r="AI162" s="28" t="n">
        <f aca="false">AH162*$M162</f>
        <v>0</v>
      </c>
      <c r="AJ162" s="28" t="n">
        <v>1109</v>
      </c>
      <c r="AK162" s="28" t="n">
        <v>44360</v>
      </c>
      <c r="AL162" s="28"/>
      <c r="AM162" s="28" t="n">
        <f aca="false">AL162*$M162</f>
        <v>0</v>
      </c>
      <c r="AN162" s="28"/>
      <c r="AO162" s="28" t="n">
        <f aca="false">AN162*$M162</f>
        <v>0</v>
      </c>
      <c r="AP162" s="28"/>
      <c r="AQ162" s="28" t="n">
        <f aca="false">AP162*$M162</f>
        <v>0</v>
      </c>
      <c r="AR162" s="28"/>
      <c r="AS162" s="28" t="n">
        <f aca="false">AR162*$M162</f>
        <v>0</v>
      </c>
      <c r="AT162" s="28"/>
      <c r="AU162" s="28" t="n">
        <f aca="false">AT162*$M162</f>
        <v>0</v>
      </c>
      <c r="AV162" s="28"/>
      <c r="AW162" s="28" t="n">
        <f aca="false">AV162*$M162</f>
        <v>0</v>
      </c>
      <c r="AX162" s="28"/>
      <c r="AY162" s="28" t="n">
        <f aca="false">AX162*$M162</f>
        <v>0</v>
      </c>
      <c r="AZ162" s="28"/>
      <c r="BA162" s="28" t="n">
        <f aca="false">AZ162*$M162</f>
        <v>0</v>
      </c>
      <c r="BB162" s="30" t="n">
        <v>3995</v>
      </c>
      <c r="BC162" s="11" t="n">
        <v>159800</v>
      </c>
      <c r="BD162" s="31" t="n">
        <f aca="false">SUM(S162,U162,W162,Y162,AA162,AC162,AE162,AG162,AI162,AK162,AM162,AO162,AQ162,AS162,AU162,AW162,AY162,BA162)</f>
        <v>159800</v>
      </c>
      <c r="BE162" s="28" t="n">
        <f aca="false">BC162-BD162</f>
        <v>0</v>
      </c>
      <c r="BF162" s="32" t="n">
        <f aca="false">SUM(R162,T162,V162,X162,Z162,AB162,AD162,AF162,AH162,AJ162,AL162,AN162,AP162,AR162,AT162,AV162,AX162,AZ162)</f>
        <v>3995</v>
      </c>
      <c r="BG162" s="33" t="n">
        <f aca="false">BB162-BF162</f>
        <v>0</v>
      </c>
      <c r="BH162" s="34" t="n">
        <f aca="false">BF162*M162</f>
        <v>159800</v>
      </c>
      <c r="BI162" s="35" t="n">
        <f aca="false">BC162-BH162</f>
        <v>0</v>
      </c>
      <c r="BJ162" s="19" t="str">
        <f aca="false">IF(BI162=0,"",IF(BI162&lt;&gt;BC162,"erreur de calcul",IF(BF162&lt;&gt;0,"pas de prix",IF(M162&lt;&gt; 0,"pas de quantité","pas de prix, ni de quantité"))))</f>
        <v/>
      </c>
      <c r="BK162" s="19"/>
    </row>
    <row r="163" customFormat="false" ht="16" hidden="false" customHeight="false" outlineLevel="0" collapsed="false">
      <c r="A163" s="0" t="n">
        <v>36</v>
      </c>
      <c r="B163" s="8" t="s">
        <v>24</v>
      </c>
      <c r="C163" s="9" t="s">
        <v>25</v>
      </c>
      <c r="D163" s="9" t="s">
        <v>26</v>
      </c>
      <c r="E163" s="10" t="n">
        <v>1789</v>
      </c>
      <c r="F163" s="9" t="s">
        <v>27</v>
      </c>
      <c r="G163" s="9" t="s">
        <v>27</v>
      </c>
      <c r="H163" s="11" t="n">
        <v>22</v>
      </c>
      <c r="I163" s="11" t="s">
        <v>239</v>
      </c>
      <c r="J163" s="14" t="n">
        <v>48</v>
      </c>
      <c r="K163" s="14"/>
      <c r="L163" s="16"/>
      <c r="M163" s="27" t="n">
        <f aca="false">J163+(K163/20)+(L163/240)</f>
        <v>48</v>
      </c>
      <c r="N163" s="17" t="s">
        <v>66</v>
      </c>
      <c r="O163" s="11"/>
      <c r="P163" s="28"/>
      <c r="Q163" s="28" t="str">
        <f aca="false">IF(O163&lt;&gt;"",P163*M163,"")</f>
        <v/>
      </c>
      <c r="R163" s="28"/>
      <c r="S163" s="28" t="n">
        <f aca="false">R163*$M163</f>
        <v>0</v>
      </c>
      <c r="T163" s="28"/>
      <c r="U163" s="28" t="n">
        <f aca="false">T163*$M163</f>
        <v>0</v>
      </c>
      <c r="V163" s="28" t="n">
        <v>690</v>
      </c>
      <c r="W163" s="28" t="n">
        <v>33120</v>
      </c>
      <c r="X163" s="28" t="n">
        <v>3577</v>
      </c>
      <c r="Y163" s="28" t="n">
        <v>171696</v>
      </c>
      <c r="Z163" s="28"/>
      <c r="AA163" s="28" t="n">
        <f aca="false">Z163*$M163</f>
        <v>0</v>
      </c>
      <c r="AB163" s="28"/>
      <c r="AC163" s="28" t="n">
        <f aca="false">AB163*$M163</f>
        <v>0</v>
      </c>
      <c r="AD163" s="28"/>
      <c r="AE163" s="28" t="n">
        <f aca="false">AD163*$M163</f>
        <v>0</v>
      </c>
      <c r="AF163" s="28"/>
      <c r="AG163" s="28" t="n">
        <f aca="false">AF163*$M163</f>
        <v>0</v>
      </c>
      <c r="AH163" s="28"/>
      <c r="AI163" s="28" t="n">
        <f aca="false">AH163*$M163</f>
        <v>0</v>
      </c>
      <c r="AJ163" s="28"/>
      <c r="AK163" s="28" t="n">
        <f aca="false">AJ163*$M163</f>
        <v>0</v>
      </c>
      <c r="AL163" s="28"/>
      <c r="AM163" s="28" t="n">
        <f aca="false">AL163*$M163</f>
        <v>0</v>
      </c>
      <c r="AN163" s="28"/>
      <c r="AO163" s="28" t="n">
        <f aca="false">AN163*$M163</f>
        <v>0</v>
      </c>
      <c r="AP163" s="28"/>
      <c r="AQ163" s="28" t="n">
        <f aca="false">AP163*$M163</f>
        <v>0</v>
      </c>
      <c r="AR163" s="28"/>
      <c r="AS163" s="28" t="n">
        <f aca="false">AR163*$M163</f>
        <v>0</v>
      </c>
      <c r="AT163" s="28"/>
      <c r="AU163" s="28" t="n">
        <f aca="false">AT163*$M163</f>
        <v>0</v>
      </c>
      <c r="AV163" s="28"/>
      <c r="AW163" s="28" t="n">
        <f aca="false">AV163*$M163</f>
        <v>0</v>
      </c>
      <c r="AX163" s="28"/>
      <c r="AY163" s="28" t="n">
        <f aca="false">AX163*$M163</f>
        <v>0</v>
      </c>
      <c r="AZ163" s="28"/>
      <c r="BA163" s="28" t="n">
        <f aca="false">AZ163*$M163</f>
        <v>0</v>
      </c>
      <c r="BB163" s="30" t="n">
        <v>4267</v>
      </c>
      <c r="BC163" s="11" t="n">
        <v>204816</v>
      </c>
      <c r="BD163" s="31" t="n">
        <f aca="false">SUM(S163,U163,W163,Y163,AA163,AC163,AE163,AG163,AI163,AK163,AM163,AO163,AQ163,AS163,AU163,AW163,AY163,BA163)</f>
        <v>204816</v>
      </c>
      <c r="BE163" s="28" t="n">
        <f aca="false">BC163-BD163</f>
        <v>0</v>
      </c>
      <c r="BF163" s="32" t="n">
        <f aca="false">SUM(R163,T163,V163,X163,Z163,AB163,AD163,AF163,AH163,AJ163,AL163,AN163,AP163,AR163,AT163,AV163,AX163,AZ163)</f>
        <v>4267</v>
      </c>
      <c r="BG163" s="33" t="n">
        <f aca="false">BB163-BF163</f>
        <v>0</v>
      </c>
      <c r="BH163" s="34" t="n">
        <f aca="false">BF163*M163</f>
        <v>204816</v>
      </c>
      <c r="BI163" s="35" t="n">
        <f aca="false">BC163-BH163</f>
        <v>0</v>
      </c>
      <c r="BJ163" s="19" t="str">
        <f aca="false">IF(BI163=0,"",IF(BI163&lt;&gt;BC163,"erreur de calcul",IF(BF163&lt;&gt;0,"pas de prix",IF(M163&lt;&gt; 0,"pas de quantité","pas de prix, ni de quantité"))))</f>
        <v/>
      </c>
      <c r="BK163" s="19"/>
    </row>
    <row r="164" customFormat="false" ht="16" hidden="false" customHeight="false" outlineLevel="0" collapsed="false">
      <c r="A164" s="0" t="n">
        <v>37</v>
      </c>
      <c r="B164" s="8" t="s">
        <v>24</v>
      </c>
      <c r="C164" s="9" t="s">
        <v>25</v>
      </c>
      <c r="D164" s="9" t="s">
        <v>26</v>
      </c>
      <c r="E164" s="10" t="n">
        <v>1789</v>
      </c>
      <c r="F164" s="9" t="s">
        <v>27</v>
      </c>
      <c r="G164" s="9" t="s">
        <v>27</v>
      </c>
      <c r="H164" s="11" t="n">
        <v>22</v>
      </c>
      <c r="I164" s="11" t="s">
        <v>240</v>
      </c>
      <c r="J164" s="14" t="n">
        <v>30</v>
      </c>
      <c r="K164" s="14"/>
      <c r="L164" s="16"/>
      <c r="M164" s="27" t="n">
        <f aca="false">J164+(K164/20)+(L164/240)</f>
        <v>30</v>
      </c>
      <c r="N164" s="17" t="s">
        <v>66</v>
      </c>
      <c r="O164" s="11"/>
      <c r="P164" s="28"/>
      <c r="Q164" s="28" t="str">
        <f aca="false">IF(O164&lt;&gt;"",P164*M164,"")</f>
        <v/>
      </c>
      <c r="R164" s="28"/>
      <c r="S164" s="28" t="n">
        <f aca="false">R164*$M164</f>
        <v>0</v>
      </c>
      <c r="T164" s="28"/>
      <c r="U164" s="28" t="n">
        <f aca="false">T164*$M164</f>
        <v>0</v>
      </c>
      <c r="V164" s="28"/>
      <c r="W164" s="28" t="n">
        <f aca="false">V164*$M164</f>
        <v>0</v>
      </c>
      <c r="X164" s="28"/>
      <c r="Y164" s="28" t="n">
        <f aca="false">X164*$M164</f>
        <v>0</v>
      </c>
      <c r="Z164" s="28"/>
      <c r="AA164" s="28" t="n">
        <f aca="false">Z164*$M164</f>
        <v>0</v>
      </c>
      <c r="AB164" s="28"/>
      <c r="AC164" s="28" t="n">
        <f aca="false">AB164*$M164</f>
        <v>0</v>
      </c>
      <c r="AD164" s="28"/>
      <c r="AE164" s="28" t="n">
        <f aca="false">AD164*$M164</f>
        <v>0</v>
      </c>
      <c r="AF164" s="28"/>
      <c r="AG164" s="28" t="n">
        <f aca="false">AF164*$M164</f>
        <v>0</v>
      </c>
      <c r="AH164" s="28"/>
      <c r="AI164" s="28" t="n">
        <f aca="false">AH164*$M164</f>
        <v>0</v>
      </c>
      <c r="AJ164" s="28" t="n">
        <v>4770</v>
      </c>
      <c r="AK164" s="28" t="n">
        <v>143100</v>
      </c>
      <c r="AL164" s="28"/>
      <c r="AM164" s="28" t="n">
        <f aca="false">AL164*$M164</f>
        <v>0</v>
      </c>
      <c r="AN164" s="28"/>
      <c r="AO164" s="28" t="n">
        <f aca="false">AN164*$M164</f>
        <v>0</v>
      </c>
      <c r="AP164" s="28"/>
      <c r="AQ164" s="28" t="n">
        <f aca="false">AP164*$M164</f>
        <v>0</v>
      </c>
      <c r="AR164" s="28"/>
      <c r="AS164" s="28" t="n">
        <f aca="false">AR164*$M164</f>
        <v>0</v>
      </c>
      <c r="AT164" s="28"/>
      <c r="AU164" s="28" t="n">
        <f aca="false">AT164*$M164</f>
        <v>0</v>
      </c>
      <c r="AV164" s="28"/>
      <c r="AW164" s="28" t="n">
        <f aca="false">AV164*$M164</f>
        <v>0</v>
      </c>
      <c r="AX164" s="28"/>
      <c r="AY164" s="28" t="n">
        <f aca="false">AX164*$M164</f>
        <v>0</v>
      </c>
      <c r="AZ164" s="28"/>
      <c r="BA164" s="28" t="n">
        <f aca="false">AZ164*$M164</f>
        <v>0</v>
      </c>
      <c r="BB164" s="30" t="n">
        <v>4770</v>
      </c>
      <c r="BC164" s="11" t="n">
        <v>143100</v>
      </c>
      <c r="BD164" s="31" t="n">
        <f aca="false">SUM(S164,U164,W164,Y164,AA164,AC164,AE164,AG164,AI164,AK164,AM164,AO164,AQ164,AS164,AU164,AW164,AY164,BA164)</f>
        <v>143100</v>
      </c>
      <c r="BE164" s="28" t="n">
        <f aca="false">BC164-BD164</f>
        <v>0</v>
      </c>
      <c r="BF164" s="32" t="n">
        <f aca="false">SUM(R164,T164,V164,X164,Z164,AB164,AD164,AF164,AH164,AJ164,AL164,AN164,AP164,AR164,AT164,AV164,AX164,AZ164)</f>
        <v>4770</v>
      </c>
      <c r="BG164" s="33" t="n">
        <f aca="false">BB164-BF164</f>
        <v>0</v>
      </c>
      <c r="BH164" s="34" t="n">
        <f aca="false">BF164*M164</f>
        <v>143100</v>
      </c>
      <c r="BI164" s="35" t="n">
        <f aca="false">BC164-BH164</f>
        <v>0</v>
      </c>
      <c r="BJ164" s="19" t="str">
        <f aca="false">IF(BI164=0,"",IF(BI164&lt;&gt;BC164,"erreur de calcul",IF(BF164&lt;&gt;0,"pas de prix",IF(M164&lt;&gt; 0,"pas de quantité","pas de prix, ni de quantité"))))</f>
        <v/>
      </c>
      <c r="BK164" s="19"/>
    </row>
    <row r="165" customFormat="false" ht="16" hidden="false" customHeight="false" outlineLevel="0" collapsed="false">
      <c r="A165" s="0" t="n">
        <v>38</v>
      </c>
      <c r="B165" s="8" t="s">
        <v>24</v>
      </c>
      <c r="C165" s="9" t="s">
        <v>25</v>
      </c>
      <c r="D165" s="9" t="s">
        <v>26</v>
      </c>
      <c r="E165" s="10" t="n">
        <v>1789</v>
      </c>
      <c r="F165" s="9" t="s">
        <v>27</v>
      </c>
      <c r="G165" s="9" t="s">
        <v>27</v>
      </c>
      <c r="H165" s="11" t="n">
        <v>22</v>
      </c>
      <c r="I165" s="11" t="s">
        <v>241</v>
      </c>
      <c r="J165" s="14" t="n">
        <v>24</v>
      </c>
      <c r="K165" s="14"/>
      <c r="L165" s="16"/>
      <c r="M165" s="27" t="n">
        <f aca="false">J165+(K165/20)+(L165/240)</f>
        <v>24</v>
      </c>
      <c r="N165" s="17" t="s">
        <v>64</v>
      </c>
      <c r="O165" s="11"/>
      <c r="P165" s="28"/>
      <c r="Q165" s="28" t="str">
        <f aca="false">IF(O165&lt;&gt;"",P165*M165,"")</f>
        <v/>
      </c>
      <c r="R165" s="28" t="n">
        <f aca="false">188958/100</f>
        <v>1889.58</v>
      </c>
      <c r="S165" s="28" t="n">
        <v>45350</v>
      </c>
      <c r="T165" s="28"/>
      <c r="U165" s="28" t="n">
        <f aca="false">T165*$M165</f>
        <v>0</v>
      </c>
      <c r="V165" s="28"/>
      <c r="W165" s="28" t="n">
        <f aca="false">V165*$M165</f>
        <v>0</v>
      </c>
      <c r="X165" s="28" t="n">
        <f aca="false">10567/100</f>
        <v>105.67</v>
      </c>
      <c r="Y165" s="28" t="n">
        <v>2536</v>
      </c>
      <c r="Z165" s="28" t="n">
        <f aca="false">9467/100</f>
        <v>94.67</v>
      </c>
      <c r="AA165" s="28" t="n">
        <v>2272</v>
      </c>
      <c r="AB165" s="28"/>
      <c r="AC165" s="28" t="n">
        <f aca="false">AB165*$M165</f>
        <v>0</v>
      </c>
      <c r="AD165" s="28"/>
      <c r="AE165" s="28" t="n">
        <f aca="false">AD165*$M165</f>
        <v>0</v>
      </c>
      <c r="AF165" s="28"/>
      <c r="AG165" s="28" t="n">
        <f aca="false">AF165*$M165</f>
        <v>0</v>
      </c>
      <c r="AH165" s="28"/>
      <c r="AI165" s="28" t="n">
        <f aca="false">AH165*$M165</f>
        <v>0</v>
      </c>
      <c r="AJ165" s="28"/>
      <c r="AK165" s="28" t="n">
        <f aca="false">AJ165*$M165</f>
        <v>0</v>
      </c>
      <c r="AL165" s="28"/>
      <c r="AM165" s="28" t="n">
        <f aca="false">AL165*$M165</f>
        <v>0</v>
      </c>
      <c r="AN165" s="28"/>
      <c r="AO165" s="28" t="n">
        <f aca="false">AN165*$M165</f>
        <v>0</v>
      </c>
      <c r="AP165" s="28"/>
      <c r="AQ165" s="28" t="n">
        <f aca="false">AP165*$M165</f>
        <v>0</v>
      </c>
      <c r="AR165" s="28"/>
      <c r="AS165" s="28" t="n">
        <f aca="false">AR165*$M165</f>
        <v>0</v>
      </c>
      <c r="AT165" s="28"/>
      <c r="AU165" s="28" t="n">
        <f aca="false">AT165*$M165</f>
        <v>0</v>
      </c>
      <c r="AV165" s="28"/>
      <c r="AW165" s="28" t="n">
        <f aca="false">AV165*$M165</f>
        <v>0</v>
      </c>
      <c r="AX165" s="28"/>
      <c r="AY165" s="28" t="n">
        <f aca="false">AX165*$M165</f>
        <v>0</v>
      </c>
      <c r="AZ165" s="28" t="n">
        <f aca="false">328659/100</f>
        <v>3286.59</v>
      </c>
      <c r="BA165" s="28" t="n">
        <v>78878</v>
      </c>
      <c r="BB165" s="30" t="n">
        <f aca="false">537651/100</f>
        <v>5376.51</v>
      </c>
      <c r="BC165" s="11" t="n">
        <v>129036</v>
      </c>
      <c r="BD165" s="31" t="n">
        <f aca="false">SUM(S165,U165,W165,Y165,AA165,AC165,AE165,AG165,AI165,AK165,AM165,AO165,AQ165,AS165,AU165,AW165,AY165,BA165)</f>
        <v>129036</v>
      </c>
      <c r="BE165" s="28" t="n">
        <f aca="false">BC165-BD165</f>
        <v>0</v>
      </c>
      <c r="BF165" s="32" t="n">
        <f aca="false">SUM(R165,T165,V165,X165,Z165,AB165,AD165,AF165,AH165,AJ165,AL165,AN165,AP165,AR165,AT165,AV165,AX165,AZ165)</f>
        <v>5376.51</v>
      </c>
      <c r="BG165" s="33" t="n">
        <f aca="false">BB165-BF165</f>
        <v>0</v>
      </c>
      <c r="BH165" s="34" t="n">
        <f aca="false">BF165*M165</f>
        <v>129036.24</v>
      </c>
      <c r="BI165" s="35" t="n">
        <f aca="false">BC165-BH165</f>
        <v>-0.240000000005239</v>
      </c>
      <c r="BJ165" s="19" t="str">
        <f aca="false">IF(BI165=0,"",IF(BI165&lt;&gt;BC165,"erreur de calcul",IF(BF165&lt;&gt;0,"pas de prix",IF(M165&lt;&gt; 0,"pas de quantité","pas de prix, ni de quantité"))))</f>
        <v>erreur de calcul</v>
      </c>
      <c r="BK165" s="19"/>
    </row>
    <row r="166" customFormat="false" ht="16" hidden="false" customHeight="false" outlineLevel="0" collapsed="false">
      <c r="A166" s="0" t="n">
        <v>39</v>
      </c>
      <c r="B166" s="8" t="s">
        <v>24</v>
      </c>
      <c r="C166" s="9" t="s">
        <v>25</v>
      </c>
      <c r="D166" s="9" t="s">
        <v>26</v>
      </c>
      <c r="E166" s="10" t="n">
        <v>1789</v>
      </c>
      <c r="F166" s="9" t="s">
        <v>27</v>
      </c>
      <c r="G166" s="9" t="s">
        <v>27</v>
      </c>
      <c r="H166" s="11" t="n">
        <v>22</v>
      </c>
      <c r="I166" s="11" t="s">
        <v>242</v>
      </c>
      <c r="J166" s="14" t="n">
        <v>41</v>
      </c>
      <c r="K166" s="14"/>
      <c r="L166" s="16"/>
      <c r="M166" s="27" t="n">
        <f aca="false">J166+(K166/20)+(L166/240)</f>
        <v>41</v>
      </c>
      <c r="N166" s="17" t="s">
        <v>64</v>
      </c>
      <c r="O166" s="11"/>
      <c r="P166" s="28"/>
      <c r="Q166" s="28" t="str">
        <f aca="false">IF(O166&lt;&gt;"",P166*M166,"")</f>
        <v/>
      </c>
      <c r="R166" s="28"/>
      <c r="S166" s="28" t="n">
        <f aca="false">R166*$M166</f>
        <v>0</v>
      </c>
      <c r="T166" s="28"/>
      <c r="U166" s="28" t="n">
        <f aca="false">T166*$M166</f>
        <v>0</v>
      </c>
      <c r="V166" s="28" t="n">
        <f aca="false">441/100</f>
        <v>4.41</v>
      </c>
      <c r="W166" s="28" t="n">
        <v>181</v>
      </c>
      <c r="X166" s="28"/>
      <c r="Y166" s="28" t="n">
        <f aca="false">X166*$M166</f>
        <v>0</v>
      </c>
      <c r="Z166" s="28"/>
      <c r="AA166" s="28" t="n">
        <f aca="false">Z166*$M166</f>
        <v>0</v>
      </c>
      <c r="AB166" s="28"/>
      <c r="AC166" s="28" t="n">
        <f aca="false">AB166*$M166</f>
        <v>0</v>
      </c>
      <c r="AD166" s="28"/>
      <c r="AE166" s="28" t="n">
        <f aca="false">AD166*$M166</f>
        <v>0</v>
      </c>
      <c r="AF166" s="28"/>
      <c r="AG166" s="28" t="n">
        <f aca="false">AF166*$M166</f>
        <v>0</v>
      </c>
      <c r="AH166" s="28"/>
      <c r="AI166" s="28" t="n">
        <f aca="false">AH166*$M166</f>
        <v>0</v>
      </c>
      <c r="AJ166" s="28"/>
      <c r="AK166" s="28" t="n">
        <f aca="false">AJ166*$M166</f>
        <v>0</v>
      </c>
      <c r="AL166" s="28"/>
      <c r="AM166" s="28" t="n">
        <f aca="false">AL166*$M166</f>
        <v>0</v>
      </c>
      <c r="AN166" s="28"/>
      <c r="AO166" s="28" t="n">
        <f aca="false">AN166*$M166</f>
        <v>0</v>
      </c>
      <c r="AP166" s="28"/>
      <c r="AQ166" s="28" t="n">
        <f aca="false">AP166*$M166</f>
        <v>0</v>
      </c>
      <c r="AR166" s="28"/>
      <c r="AS166" s="28" t="n">
        <f aca="false">AR166*$M166</f>
        <v>0</v>
      </c>
      <c r="AT166" s="28"/>
      <c r="AU166" s="28" t="n">
        <f aca="false">AT166*$M166</f>
        <v>0</v>
      </c>
      <c r="AV166" s="28"/>
      <c r="AW166" s="28" t="n">
        <f aca="false">AV166*$M166</f>
        <v>0</v>
      </c>
      <c r="AX166" s="28"/>
      <c r="AY166" s="28" t="n">
        <f aca="false">AX166*$M166</f>
        <v>0</v>
      </c>
      <c r="AZ166" s="28"/>
      <c r="BA166" s="28" t="n">
        <f aca="false">AZ166*$M166</f>
        <v>0</v>
      </c>
      <c r="BB166" s="30" t="n">
        <f aca="false">441/100</f>
        <v>4.41</v>
      </c>
      <c r="BC166" s="11" t="n">
        <v>181</v>
      </c>
      <c r="BD166" s="31" t="n">
        <f aca="false">SUM(S166,U166,W166,Y166,AA166,AC166,AE166,AG166,AI166,AK166,AM166,AO166,AQ166,AS166,AU166,AW166,AY166,BA166)</f>
        <v>181</v>
      </c>
      <c r="BE166" s="28" t="n">
        <f aca="false">BC166-BD166</f>
        <v>0</v>
      </c>
      <c r="BF166" s="32" t="n">
        <f aca="false">SUM(R166,T166,V166,X166,Z166,AB166,AD166,AF166,AH166,AJ166,AL166,AN166,AP166,AR166,AT166,AV166,AX166,AZ166)</f>
        <v>4.41</v>
      </c>
      <c r="BG166" s="33" t="n">
        <f aca="false">BB166-BF166</f>
        <v>0</v>
      </c>
      <c r="BH166" s="34" t="n">
        <f aca="false">BF166*M166</f>
        <v>180.81</v>
      </c>
      <c r="BI166" s="35" t="n">
        <f aca="false">BC166-BH166</f>
        <v>0.189999999999998</v>
      </c>
      <c r="BJ166" s="19" t="str">
        <f aca="false">IF(BI166=0,"",IF(BI166&lt;&gt;BC166,"erreur de calcul",IF(BF166&lt;&gt;0,"pas de prix",IF(M166&lt;&gt; 0,"pas de quantité","pas de prix, ni de quantité"))))</f>
        <v>erreur de calcul</v>
      </c>
      <c r="BK166" s="19"/>
    </row>
    <row r="167" customFormat="false" ht="16" hidden="false" customHeight="false" outlineLevel="0" collapsed="false">
      <c r="A167" s="0" t="n">
        <v>1</v>
      </c>
      <c r="B167" s="8" t="s">
        <v>24</v>
      </c>
      <c r="C167" s="9" t="s">
        <v>25</v>
      </c>
      <c r="D167" s="9" t="s">
        <v>26</v>
      </c>
      <c r="E167" s="10" t="n">
        <v>1789</v>
      </c>
      <c r="F167" s="9" t="s">
        <v>27</v>
      </c>
      <c r="G167" s="9" t="s">
        <v>27</v>
      </c>
      <c r="H167" s="11" t="n">
        <v>23</v>
      </c>
      <c r="I167" s="11" t="s">
        <v>243</v>
      </c>
      <c r="J167" s="14"/>
      <c r="K167" s="14"/>
      <c r="L167" s="16"/>
      <c r="M167" s="27" t="n">
        <f aca="false">J167+(K167/20)+(L167/240)</f>
        <v>0</v>
      </c>
      <c r="N167" s="17"/>
      <c r="O167" s="11"/>
      <c r="P167" s="28"/>
      <c r="Q167" s="28" t="str">
        <f aca="false">IF(O167&lt;&gt;"",P167*M167,"")</f>
        <v/>
      </c>
      <c r="R167" s="28"/>
      <c r="S167" s="28" t="n">
        <f aca="false">R167*$M167</f>
        <v>0</v>
      </c>
      <c r="T167" s="28"/>
      <c r="U167" s="28" t="n">
        <f aca="false">T167*$M167</f>
        <v>0</v>
      </c>
      <c r="V167" s="28"/>
      <c r="W167" s="28" t="n">
        <f aca="false">V167*$M167</f>
        <v>0</v>
      </c>
      <c r="X167" s="28"/>
      <c r="Y167" s="28" t="n">
        <v>100</v>
      </c>
      <c r="Z167" s="28"/>
      <c r="AA167" s="28" t="n">
        <v>563</v>
      </c>
      <c r="AB167" s="28"/>
      <c r="AC167" s="28" t="n">
        <f aca="false">AB167*$M167</f>
        <v>0</v>
      </c>
      <c r="AD167" s="28"/>
      <c r="AE167" s="28" t="n">
        <f aca="false">AD167*$M167</f>
        <v>0</v>
      </c>
      <c r="AF167" s="28"/>
      <c r="AG167" s="28" t="n">
        <f aca="false">AF167*$M167</f>
        <v>0</v>
      </c>
      <c r="AH167" s="28"/>
      <c r="AI167" s="28" t="n">
        <f aca="false">AH167*$M167</f>
        <v>0</v>
      </c>
      <c r="AJ167" s="28"/>
      <c r="AK167" s="28" t="n">
        <f aca="false">AJ167*$M167</f>
        <v>0</v>
      </c>
      <c r="AL167" s="28"/>
      <c r="AM167" s="28" t="n">
        <v>1015</v>
      </c>
      <c r="AN167" s="28"/>
      <c r="AO167" s="28" t="n">
        <f aca="false">AN167*$M167</f>
        <v>0</v>
      </c>
      <c r="AP167" s="28"/>
      <c r="AQ167" s="28" t="n">
        <f aca="false">AP167*$M167</f>
        <v>0</v>
      </c>
      <c r="AR167" s="28"/>
      <c r="AS167" s="28" t="n">
        <f aca="false">AR167*$M167</f>
        <v>0</v>
      </c>
      <c r="AT167" s="28"/>
      <c r="AU167" s="28" t="n">
        <f aca="false">AT167*$M167</f>
        <v>0</v>
      </c>
      <c r="AV167" s="28"/>
      <c r="AW167" s="28" t="n">
        <f aca="false">AV167*$M167</f>
        <v>0</v>
      </c>
      <c r="AX167" s="28"/>
      <c r="AY167" s="28" t="n">
        <f aca="false">AX167*$M167</f>
        <v>0</v>
      </c>
      <c r="AZ167" s="28"/>
      <c r="BA167" s="28" t="n">
        <f aca="false">AZ167*$M167</f>
        <v>0</v>
      </c>
      <c r="BB167" s="30"/>
      <c r="BC167" s="11" t="n">
        <v>1678</v>
      </c>
      <c r="BD167" s="31" t="n">
        <f aca="false">SUM(S167,U167,W167,Y167,AA167,AC167,AE167,AG167,AI167,AK167,AM167,AO167,AQ167,AS167,AU167,AW167,AY167,BA167)</f>
        <v>1678</v>
      </c>
      <c r="BE167" s="28" t="n">
        <f aca="false">BC167-BD167</f>
        <v>0</v>
      </c>
      <c r="BF167" s="32" t="n">
        <f aca="false">SUM(R167,T167,V167,X167,Z167,AB167,AD167,AF167,AH167,AJ167,AL167,AN167,AP167,AR167,AT167,AV167,AX167,AZ167)</f>
        <v>0</v>
      </c>
      <c r="BG167" s="33" t="n">
        <f aca="false">BB167-BF167</f>
        <v>0</v>
      </c>
      <c r="BH167" s="34" t="n">
        <f aca="false">BF167*M167</f>
        <v>0</v>
      </c>
      <c r="BI167" s="35" t="n">
        <f aca="false">BC167-BH167</f>
        <v>1678</v>
      </c>
      <c r="BJ167" s="19" t="str">
        <f aca="false">IF(BI167=0,"",IF(BI167&lt;&gt;BC167,"erreur de calcul",IF(BF167&lt;&gt;0,"pas de prix",IF(M167&lt;&gt; 0,"pas de quantité","pas de prix, ni de quantité"))))</f>
        <v>pas de prix, ni de quantité</v>
      </c>
      <c r="BK167" s="19"/>
    </row>
    <row r="168" customFormat="false" ht="16" hidden="false" customHeight="false" outlineLevel="0" collapsed="false">
      <c r="A168" s="0" t="n">
        <v>2</v>
      </c>
      <c r="B168" s="8" t="s">
        <v>24</v>
      </c>
      <c r="C168" s="9" t="s">
        <v>25</v>
      </c>
      <c r="D168" s="9" t="s">
        <v>26</v>
      </c>
      <c r="E168" s="10" t="n">
        <v>1789</v>
      </c>
      <c r="F168" s="9" t="s">
        <v>27</v>
      </c>
      <c r="G168" s="9" t="s">
        <v>27</v>
      </c>
      <c r="H168" s="11" t="n">
        <v>23</v>
      </c>
      <c r="I168" s="11" t="s">
        <v>244</v>
      </c>
      <c r="J168" s="14" t="n">
        <v>22</v>
      </c>
      <c r="K168" s="14"/>
      <c r="L168" s="16"/>
      <c r="M168" s="27" t="n">
        <f aca="false">J168+(K168/20)+(L168/240)</f>
        <v>22</v>
      </c>
      <c r="N168" s="17" t="s">
        <v>64</v>
      </c>
      <c r="O168" s="11"/>
      <c r="P168" s="28"/>
      <c r="Q168" s="28" t="str">
        <f aca="false">IF(O168&lt;&gt;"",P168*M168,"")</f>
        <v/>
      </c>
      <c r="R168" s="28"/>
      <c r="S168" s="28" t="n">
        <f aca="false">R168*$M168</f>
        <v>0</v>
      </c>
      <c r="T168" s="28"/>
      <c r="U168" s="28" t="n">
        <f aca="false">T168*$M168</f>
        <v>0</v>
      </c>
      <c r="V168" s="28"/>
      <c r="W168" s="28" t="n">
        <f aca="false">V168*$M168</f>
        <v>0</v>
      </c>
      <c r="X168" s="28" t="n">
        <f aca="false">15346/100</f>
        <v>153.46</v>
      </c>
      <c r="Y168" s="28" t="n">
        <v>3376</v>
      </c>
      <c r="Z168" s="28"/>
      <c r="AA168" s="28" t="n">
        <f aca="false">Z168*$M168</f>
        <v>0</v>
      </c>
      <c r="AB168" s="28"/>
      <c r="AC168" s="28" t="n">
        <f aca="false">AB168*$M168</f>
        <v>0</v>
      </c>
      <c r="AD168" s="28"/>
      <c r="AE168" s="28" t="n">
        <f aca="false">AD168*$M168</f>
        <v>0</v>
      </c>
      <c r="AF168" s="28"/>
      <c r="AG168" s="28" t="n">
        <f aca="false">AF168*$M168</f>
        <v>0</v>
      </c>
      <c r="AH168" s="28"/>
      <c r="AI168" s="28" t="n">
        <f aca="false">AH168*$M168</f>
        <v>0</v>
      </c>
      <c r="AJ168" s="28"/>
      <c r="AK168" s="28" t="n">
        <f aca="false">AJ168*$M168</f>
        <v>0</v>
      </c>
      <c r="AL168" s="28" t="n">
        <f aca="false">9084/100</f>
        <v>90.84</v>
      </c>
      <c r="AM168" s="28" t="n">
        <v>1998</v>
      </c>
      <c r="AN168" s="28" t="n">
        <f aca="false">8917/100</f>
        <v>89.17</v>
      </c>
      <c r="AO168" s="28" t="n">
        <v>1962</v>
      </c>
      <c r="AP168" s="28"/>
      <c r="AQ168" s="28" t="n">
        <f aca="false">AP168*$M168</f>
        <v>0</v>
      </c>
      <c r="AR168" s="28"/>
      <c r="AS168" s="28" t="n">
        <f aca="false">AR168*$M168</f>
        <v>0</v>
      </c>
      <c r="AT168" s="28"/>
      <c r="AU168" s="28" t="n">
        <f aca="false">AT168*$M168</f>
        <v>0</v>
      </c>
      <c r="AV168" s="28"/>
      <c r="AW168" s="28" t="n">
        <f aca="false">AV168*$M168</f>
        <v>0</v>
      </c>
      <c r="AX168" s="28"/>
      <c r="AY168" s="28" t="n">
        <f aca="false">AX168*$M168</f>
        <v>0</v>
      </c>
      <c r="AZ168" s="28"/>
      <c r="BA168" s="28" t="n">
        <f aca="false">AZ168*$M168</f>
        <v>0</v>
      </c>
      <c r="BB168" s="30" t="n">
        <f aca="false">3347/100</f>
        <v>33.47</v>
      </c>
      <c r="BC168" s="11" t="n">
        <v>7336</v>
      </c>
      <c r="BD168" s="31" t="n">
        <f aca="false">SUM(S168,U168,W168,Y168,AA168,AC168,AE168,AG168,AI168,AK168,AM168,AO168,AQ168,AS168,AU168,AW168,AY168,BA168)</f>
        <v>7336</v>
      </c>
      <c r="BE168" s="28" t="n">
        <f aca="false">BC168-BD168</f>
        <v>0</v>
      </c>
      <c r="BF168" s="32" t="n">
        <f aca="false">SUM(R168,T168,V168,X168,Z168,AB168,AD168,AF168,AH168,AJ168,AL168,AN168,AP168,AR168,AT168,AV168,AX168,AZ168)</f>
        <v>333.47</v>
      </c>
      <c r="BG168" s="33" t="n">
        <f aca="false">BB168-BF168</f>
        <v>-300</v>
      </c>
      <c r="BH168" s="34" t="n">
        <f aca="false">BF168*M168</f>
        <v>7336.34</v>
      </c>
      <c r="BI168" s="35" t="n">
        <f aca="false">BC168-BH168</f>
        <v>-0.340000000000146</v>
      </c>
      <c r="BJ168" s="19" t="str">
        <f aca="false">IF(BI168=0,"",IF(BI168&lt;&gt;BC168,"erreur de calcul",IF(BF168&lt;&gt;0,"pas de prix",IF(M168&lt;&gt; 0,"pas de quantité","pas de prix, ni de quantité"))))</f>
        <v>erreur de calcul</v>
      </c>
      <c r="BK168" s="19"/>
    </row>
    <row r="169" customFormat="false" ht="16" hidden="false" customHeight="false" outlineLevel="0" collapsed="false">
      <c r="A169" s="0" t="n">
        <v>3</v>
      </c>
      <c r="B169" s="8" t="s">
        <v>24</v>
      </c>
      <c r="C169" s="9" t="s">
        <v>25</v>
      </c>
      <c r="D169" s="9" t="s">
        <v>26</v>
      </c>
      <c r="E169" s="10" t="n">
        <v>1789</v>
      </c>
      <c r="F169" s="9" t="s">
        <v>27</v>
      </c>
      <c r="G169" s="9" t="s">
        <v>27</v>
      </c>
      <c r="H169" s="11" t="n">
        <v>23</v>
      </c>
      <c r="I169" s="11" t="s">
        <v>245</v>
      </c>
      <c r="J169" s="14" t="n">
        <v>28</v>
      </c>
      <c r="K169" s="14"/>
      <c r="L169" s="16"/>
      <c r="M169" s="27" t="n">
        <f aca="false">J169+(K169/20)+(L169/240)</f>
        <v>28</v>
      </c>
      <c r="N169" s="17" t="s">
        <v>64</v>
      </c>
      <c r="O169" s="11"/>
      <c r="P169" s="28"/>
      <c r="Q169" s="28" t="str">
        <f aca="false">IF(O169&lt;&gt;"",P169*M169,"")</f>
        <v/>
      </c>
      <c r="R169" s="28"/>
      <c r="S169" s="28" t="n">
        <f aca="false">R169*$M169</f>
        <v>0</v>
      </c>
      <c r="T169" s="28"/>
      <c r="U169" s="28" t="n">
        <f aca="false">T169*$M169</f>
        <v>0</v>
      </c>
      <c r="V169" s="28"/>
      <c r="W169" s="28" t="n">
        <f aca="false">V169*$M169</f>
        <v>0</v>
      </c>
      <c r="X169" s="28" t="n">
        <f aca="false">61654/100</f>
        <v>616.54</v>
      </c>
      <c r="Y169" s="28" t="n">
        <v>17263</v>
      </c>
      <c r="Z169" s="28"/>
      <c r="AA169" s="28" t="n">
        <f aca="false">Z169*$M169</f>
        <v>0</v>
      </c>
      <c r="AB169" s="28"/>
      <c r="AC169" s="28" t="n">
        <f aca="false">AB169*$M169</f>
        <v>0</v>
      </c>
      <c r="AD169" s="28"/>
      <c r="AE169" s="28" t="n">
        <f aca="false">AD169*$M169</f>
        <v>0</v>
      </c>
      <c r="AF169" s="28"/>
      <c r="AG169" s="28" t="n">
        <f aca="false">AF169*$M169</f>
        <v>0</v>
      </c>
      <c r="AH169" s="28"/>
      <c r="AI169" s="28" t="n">
        <f aca="false">AH169*$M169</f>
        <v>0</v>
      </c>
      <c r="AJ169" s="28"/>
      <c r="AK169" s="28" t="n">
        <f aca="false">AJ169*$M169</f>
        <v>0</v>
      </c>
      <c r="AL169" s="28"/>
      <c r="AM169" s="28" t="n">
        <f aca="false">AL169*$M169</f>
        <v>0</v>
      </c>
      <c r="AN169" s="28" t="n">
        <f aca="false">6250/100</f>
        <v>62.5</v>
      </c>
      <c r="AO169" s="28" t="n">
        <v>1750</v>
      </c>
      <c r="AP169" s="28"/>
      <c r="AQ169" s="28" t="n">
        <f aca="false">AP169*$M169</f>
        <v>0</v>
      </c>
      <c r="AR169" s="28"/>
      <c r="AS169" s="28" t="n">
        <f aca="false">AR169*$M169</f>
        <v>0</v>
      </c>
      <c r="AT169" s="28"/>
      <c r="AU169" s="28" t="n">
        <f aca="false">AT169*$M169</f>
        <v>0</v>
      </c>
      <c r="AV169" s="28"/>
      <c r="AW169" s="28" t="n">
        <f aca="false">AV169*$M169</f>
        <v>0</v>
      </c>
      <c r="AX169" s="28"/>
      <c r="AY169" s="28" t="n">
        <f aca="false">AX169*$M169</f>
        <v>0</v>
      </c>
      <c r="AZ169" s="28"/>
      <c r="BA169" s="28" t="n">
        <f aca="false">AZ169*$M169</f>
        <v>0</v>
      </c>
      <c r="BB169" s="30" t="n">
        <f aca="false">67904/100</f>
        <v>679.04</v>
      </c>
      <c r="BC169" s="11" t="n">
        <v>19013</v>
      </c>
      <c r="BD169" s="31" t="n">
        <f aca="false">SUM(S169,U169,W169,Y169,AA169,AC169,AE169,AG169,AI169,AK169,AM169,AO169,AQ169,AS169,AU169,AW169,AY169,BA169)</f>
        <v>19013</v>
      </c>
      <c r="BE169" s="28" t="n">
        <f aca="false">BC169-BD169</f>
        <v>0</v>
      </c>
      <c r="BF169" s="32" t="n">
        <f aca="false">SUM(R169,T169,V169,X169,Z169,AB169,AD169,AF169,AH169,AJ169,AL169,AN169,AP169,AR169,AT169,AV169,AX169,AZ169)</f>
        <v>679.04</v>
      </c>
      <c r="BG169" s="33" t="n">
        <f aca="false">BB169-BF169</f>
        <v>0</v>
      </c>
      <c r="BH169" s="34" t="n">
        <f aca="false">BF169*M169</f>
        <v>19013.12</v>
      </c>
      <c r="BI169" s="35" t="n">
        <f aca="false">BC169-BH169</f>
        <v>-0.119999999998981</v>
      </c>
      <c r="BJ169" s="19" t="str">
        <f aca="false">IF(BI169=0,"",IF(BI169&lt;&gt;BC169,"erreur de calcul",IF(BF169&lt;&gt;0,"pas de prix",IF(M169&lt;&gt; 0,"pas de quantité","pas de prix, ni de quantité"))))</f>
        <v>erreur de calcul</v>
      </c>
      <c r="BK169" s="19"/>
    </row>
    <row r="170" customFormat="false" ht="16" hidden="false" customHeight="false" outlineLevel="0" collapsed="false">
      <c r="A170" s="0" t="n">
        <v>4</v>
      </c>
      <c r="B170" s="8" t="s">
        <v>24</v>
      </c>
      <c r="C170" s="9" t="s">
        <v>25</v>
      </c>
      <c r="D170" s="9" t="s">
        <v>26</v>
      </c>
      <c r="E170" s="10" t="n">
        <v>1789</v>
      </c>
      <c r="F170" s="9" t="s">
        <v>27</v>
      </c>
      <c r="G170" s="9" t="s">
        <v>27</v>
      </c>
      <c r="H170" s="11" t="n">
        <v>23</v>
      </c>
      <c r="I170" s="11" t="s">
        <v>246</v>
      </c>
      <c r="J170" s="14" t="n">
        <v>17</v>
      </c>
      <c r="K170" s="14"/>
      <c r="L170" s="16"/>
      <c r="M170" s="27" t="n">
        <f aca="false">J170+(K170/20)+(L170/240)</f>
        <v>17</v>
      </c>
      <c r="N170" s="17" t="s">
        <v>64</v>
      </c>
      <c r="O170" s="11"/>
      <c r="P170" s="28"/>
      <c r="Q170" s="28" t="str">
        <f aca="false">IF(O170&lt;&gt;"",P170*M170,"")</f>
        <v/>
      </c>
      <c r="R170" s="28"/>
      <c r="S170" s="28" t="n">
        <f aca="false">R170*$M170</f>
        <v>0</v>
      </c>
      <c r="T170" s="28"/>
      <c r="U170" s="28" t="n">
        <f aca="false">T170*$M170</f>
        <v>0</v>
      </c>
      <c r="V170" s="28" t="n">
        <f aca="false">25000/100</f>
        <v>250</v>
      </c>
      <c r="W170" s="28" t="n">
        <v>4250</v>
      </c>
      <c r="X170" s="28" t="n">
        <f aca="false">78153/100</f>
        <v>781.53</v>
      </c>
      <c r="Y170" s="28" t="n">
        <v>13286</v>
      </c>
      <c r="Z170" s="28"/>
      <c r="AA170" s="28" t="n">
        <f aca="false">Z170*$M170</f>
        <v>0</v>
      </c>
      <c r="AB170" s="28"/>
      <c r="AC170" s="28" t="n">
        <f aca="false">AB170*$M170</f>
        <v>0</v>
      </c>
      <c r="AD170" s="28"/>
      <c r="AE170" s="28" t="n">
        <f aca="false">AD170*$M170</f>
        <v>0</v>
      </c>
      <c r="AF170" s="28"/>
      <c r="AG170" s="28" t="n">
        <f aca="false">AF170*$M170</f>
        <v>0</v>
      </c>
      <c r="AH170" s="28"/>
      <c r="AI170" s="28" t="n">
        <f aca="false">AH170*$M170</f>
        <v>0</v>
      </c>
      <c r="AJ170" s="28"/>
      <c r="AK170" s="28" t="n">
        <f aca="false">AJ170*$M170</f>
        <v>0</v>
      </c>
      <c r="AL170" s="28" t="n">
        <f aca="false">113774/100</f>
        <v>1137.74</v>
      </c>
      <c r="AM170" s="28" t="n">
        <v>19341</v>
      </c>
      <c r="AN170" s="28" t="n">
        <f aca="false">749547/100</f>
        <v>7495.47</v>
      </c>
      <c r="AO170" s="28" t="n">
        <v>127423</v>
      </c>
      <c r="AP170" s="28"/>
      <c r="AQ170" s="28" t="n">
        <f aca="false">AP170*$M170</f>
        <v>0</v>
      </c>
      <c r="AR170" s="28" t="n">
        <f aca="false">578251/100</f>
        <v>5782.51</v>
      </c>
      <c r="AS170" s="28" t="n">
        <v>98303</v>
      </c>
      <c r="AT170" s="28" t="n">
        <f aca="false">9141217/100</f>
        <v>91412.17</v>
      </c>
      <c r="AU170" s="28" t="n">
        <v>1554007</v>
      </c>
      <c r="AV170" s="28"/>
      <c r="AW170" s="28" t="n">
        <f aca="false">AV170*$M170</f>
        <v>0</v>
      </c>
      <c r="AX170" s="28" t="n">
        <f aca="false">314570/100</f>
        <v>3145.7</v>
      </c>
      <c r="AY170" s="28" t="n">
        <v>53477</v>
      </c>
      <c r="AZ170" s="28"/>
      <c r="BA170" s="28" t="n">
        <f aca="false">AZ170*$M170</f>
        <v>0</v>
      </c>
      <c r="BB170" s="30" t="n">
        <f aca="false">11004767/100</f>
        <v>110047.67</v>
      </c>
      <c r="BC170" s="11" t="n">
        <v>1870087</v>
      </c>
      <c r="BD170" s="31" t="n">
        <f aca="false">SUM(S170,U170,W170,Y170,AA170,AC170,AE170,AG170,AI170,AK170,AM170,AO170,AQ170,AS170,AU170,AW170,AY170,BA170)</f>
        <v>1870087</v>
      </c>
      <c r="BE170" s="28" t="n">
        <f aca="false">BC170-BD170</f>
        <v>0</v>
      </c>
      <c r="BF170" s="32" t="n">
        <f aca="false">SUM(R170,T170,V170,X170,Z170,AB170,AD170,AF170,AH170,AJ170,AL170,AN170,AP170,AR170,AT170,AV170,AX170,AZ170)</f>
        <v>110005.12</v>
      </c>
      <c r="BG170" s="33" t="n">
        <f aca="false">BB170-BF170</f>
        <v>42.5500000000029</v>
      </c>
      <c r="BH170" s="34" t="n">
        <f aca="false">BF170*M170</f>
        <v>1870087.04</v>
      </c>
      <c r="BI170" s="35" t="n">
        <f aca="false">BC170-BH170</f>
        <v>-0.0400000000372529</v>
      </c>
      <c r="BJ170" s="19" t="str">
        <f aca="false">IF(BI170=0,"",IF(BI170&lt;&gt;BC170,"erreur de calcul",IF(BF170&lt;&gt;0,"pas de prix",IF(M170&lt;&gt; 0,"pas de quantité","pas de prix, ni de quantité"))))</f>
        <v>erreur de calcul</v>
      </c>
      <c r="BK170" s="19"/>
    </row>
    <row r="171" customFormat="false" ht="16" hidden="false" customHeight="false" outlineLevel="0" collapsed="false">
      <c r="A171" s="0" t="n">
        <v>5</v>
      </c>
      <c r="B171" s="8" t="s">
        <v>24</v>
      </c>
      <c r="C171" s="9" t="s">
        <v>25</v>
      </c>
      <c r="D171" s="9" t="s">
        <v>26</v>
      </c>
      <c r="E171" s="10" t="n">
        <v>1789</v>
      </c>
      <c r="F171" s="9" t="s">
        <v>27</v>
      </c>
      <c r="G171" s="9" t="s">
        <v>27</v>
      </c>
      <c r="H171" s="11" t="n">
        <v>23</v>
      </c>
      <c r="I171" s="11" t="s">
        <v>247</v>
      </c>
      <c r="J171" s="14" t="n">
        <v>60</v>
      </c>
      <c r="K171" s="14"/>
      <c r="L171" s="16"/>
      <c r="M171" s="27" t="n">
        <f aca="false">J171+(K171/20)+(L171/240)</f>
        <v>60</v>
      </c>
      <c r="N171" s="17" t="s">
        <v>64</v>
      </c>
      <c r="O171" s="11"/>
      <c r="P171" s="28"/>
      <c r="Q171" s="28" t="str">
        <f aca="false">IF(O171&lt;&gt;"",P171*M171,"")</f>
        <v/>
      </c>
      <c r="R171" s="28" t="n">
        <f aca="false">17500/100</f>
        <v>175</v>
      </c>
      <c r="S171" s="28" t="n">
        <v>10500</v>
      </c>
      <c r="T171" s="28"/>
      <c r="U171" s="28" t="n">
        <f aca="false">T171*$M171</f>
        <v>0</v>
      </c>
      <c r="V171" s="28"/>
      <c r="W171" s="28" t="n">
        <f aca="false">V171*$M171</f>
        <v>0</v>
      </c>
      <c r="X171" s="28"/>
      <c r="Y171" s="28" t="n">
        <f aca="false">X171*$M171</f>
        <v>0</v>
      </c>
      <c r="Z171" s="28"/>
      <c r="AA171" s="28" t="n">
        <f aca="false">Z171*$M171</f>
        <v>0</v>
      </c>
      <c r="AB171" s="28"/>
      <c r="AC171" s="28" t="n">
        <f aca="false">AB171*$M171</f>
        <v>0</v>
      </c>
      <c r="AD171" s="28"/>
      <c r="AE171" s="28" t="n">
        <f aca="false">AD171*$M171</f>
        <v>0</v>
      </c>
      <c r="AF171" s="28"/>
      <c r="AG171" s="28" t="n">
        <f aca="false">AF171*$M171</f>
        <v>0</v>
      </c>
      <c r="AH171" s="28"/>
      <c r="AI171" s="28" t="n">
        <f aca="false">AH171*$M171</f>
        <v>0</v>
      </c>
      <c r="AJ171" s="28"/>
      <c r="AK171" s="28" t="n">
        <f aca="false">AJ171*$M171</f>
        <v>0</v>
      </c>
      <c r="AL171" s="28"/>
      <c r="AM171" s="28" t="n">
        <f aca="false">AL171*$M171</f>
        <v>0</v>
      </c>
      <c r="AN171" s="28" t="n">
        <f aca="false">107571/100</f>
        <v>1075.71</v>
      </c>
      <c r="AO171" s="28" t="n">
        <v>64543</v>
      </c>
      <c r="AP171" s="28"/>
      <c r="AQ171" s="28" t="n">
        <f aca="false">AP171*$M171</f>
        <v>0</v>
      </c>
      <c r="AR171" s="28"/>
      <c r="AS171" s="28" t="n">
        <f aca="false">AR171*$M171</f>
        <v>0</v>
      </c>
      <c r="AT171" s="28"/>
      <c r="AU171" s="28" t="n">
        <f aca="false">AT171*$M171</f>
        <v>0</v>
      </c>
      <c r="AV171" s="28"/>
      <c r="AW171" s="28" t="n">
        <f aca="false">AV171*$M171</f>
        <v>0</v>
      </c>
      <c r="AX171" s="28"/>
      <c r="AY171" s="28" t="n">
        <f aca="false">AX171*$M171</f>
        <v>0</v>
      </c>
      <c r="AZ171" s="28"/>
      <c r="BA171" s="28" t="n">
        <f aca="false">AZ171*$M171</f>
        <v>0</v>
      </c>
      <c r="BB171" s="30" t="n">
        <f aca="false">125071/100</f>
        <v>1250.71</v>
      </c>
      <c r="BC171" s="11" t="n">
        <v>75043</v>
      </c>
      <c r="BD171" s="31" t="n">
        <f aca="false">SUM(S171,U171,W171,Y171,AA171,AC171,AE171,AG171,AI171,AK171,AM171,AO171,AQ171,AS171,AU171,AW171,AY171,BA171)</f>
        <v>75043</v>
      </c>
      <c r="BE171" s="28" t="n">
        <f aca="false">BC171-BD171</f>
        <v>0</v>
      </c>
      <c r="BF171" s="32" t="n">
        <f aca="false">SUM(R171,T171,V171,X171,Z171,AB171,AD171,AF171,AH171,AJ171,AL171,AN171,AP171,AR171,AT171,AV171,AX171,AZ171)</f>
        <v>1250.71</v>
      </c>
      <c r="BG171" s="33" t="n">
        <f aca="false">BB171-BF171</f>
        <v>0</v>
      </c>
      <c r="BH171" s="34" t="n">
        <f aca="false">BF171*M171</f>
        <v>75042.6</v>
      </c>
      <c r="BI171" s="35" t="n">
        <f aca="false">BC171-BH171</f>
        <v>0.399999999994179</v>
      </c>
      <c r="BJ171" s="19" t="str">
        <f aca="false">IF(BI171=0,"",IF(BI171&lt;&gt;BC171,"erreur de calcul",IF(BF171&lt;&gt;0,"pas de prix",IF(M171&lt;&gt; 0,"pas de quantité","pas de prix, ni de quantité"))))</f>
        <v>erreur de calcul</v>
      </c>
      <c r="BK171" s="19"/>
    </row>
    <row r="172" customFormat="false" ht="16" hidden="false" customHeight="false" outlineLevel="0" collapsed="false">
      <c r="A172" s="0" t="n">
        <v>6</v>
      </c>
      <c r="B172" s="8" t="s">
        <v>24</v>
      </c>
      <c r="C172" s="9" t="s">
        <v>25</v>
      </c>
      <c r="D172" s="9" t="s">
        <v>26</v>
      </c>
      <c r="E172" s="10" t="n">
        <v>1789</v>
      </c>
      <c r="F172" s="9" t="s">
        <v>27</v>
      </c>
      <c r="G172" s="9" t="s">
        <v>27</v>
      </c>
      <c r="H172" s="11" t="n">
        <v>23</v>
      </c>
      <c r="I172" s="11" t="s">
        <v>248</v>
      </c>
      <c r="J172" s="14" t="n">
        <v>30</v>
      </c>
      <c r="K172" s="14"/>
      <c r="L172" s="16"/>
      <c r="M172" s="27" t="n">
        <f aca="false">J172+(K172/20)+(L172/240)</f>
        <v>30</v>
      </c>
      <c r="N172" s="17" t="s">
        <v>64</v>
      </c>
      <c r="O172" s="11"/>
      <c r="P172" s="28"/>
      <c r="Q172" s="28" t="str">
        <f aca="false">IF(O172&lt;&gt;"",P172*M172,"")</f>
        <v/>
      </c>
      <c r="R172" s="28"/>
      <c r="S172" s="28" t="n">
        <f aca="false">R172*$M172</f>
        <v>0</v>
      </c>
      <c r="T172" s="28"/>
      <c r="U172" s="28" t="n">
        <f aca="false">T172*$M172</f>
        <v>0</v>
      </c>
      <c r="V172" s="28"/>
      <c r="W172" s="28" t="n">
        <f aca="false">V172*$M172</f>
        <v>0</v>
      </c>
      <c r="X172" s="28" t="n">
        <f aca="false">8491/100</f>
        <v>84.91</v>
      </c>
      <c r="Y172" s="28" t="n">
        <v>2547</v>
      </c>
      <c r="Z172" s="28"/>
      <c r="AA172" s="28" t="n">
        <f aca="false">Z172*$M172</f>
        <v>0</v>
      </c>
      <c r="AB172" s="28"/>
      <c r="AC172" s="28" t="n">
        <f aca="false">AB172*$M172</f>
        <v>0</v>
      </c>
      <c r="AD172" s="28"/>
      <c r="AE172" s="28" t="n">
        <f aca="false">AD172*$M172</f>
        <v>0</v>
      </c>
      <c r="AF172" s="28"/>
      <c r="AG172" s="28" t="n">
        <f aca="false">AF172*$M172</f>
        <v>0</v>
      </c>
      <c r="AH172" s="28"/>
      <c r="AI172" s="28" t="n">
        <f aca="false">AH172*$M172</f>
        <v>0</v>
      </c>
      <c r="AJ172" s="28"/>
      <c r="AK172" s="28" t="n">
        <f aca="false">AJ172*$M172</f>
        <v>0</v>
      </c>
      <c r="AL172" s="28"/>
      <c r="AM172" s="28" t="n">
        <f aca="false">AL172*$M172</f>
        <v>0</v>
      </c>
      <c r="AN172" s="28"/>
      <c r="AO172" s="28" t="n">
        <f aca="false">AN172*$M172</f>
        <v>0</v>
      </c>
      <c r="AP172" s="28"/>
      <c r="AQ172" s="28" t="n">
        <f aca="false">AP172*$M172</f>
        <v>0</v>
      </c>
      <c r="AR172" s="28"/>
      <c r="AS172" s="28" t="n">
        <f aca="false">AR172*$M172</f>
        <v>0</v>
      </c>
      <c r="AT172" s="28"/>
      <c r="AU172" s="28" t="n">
        <f aca="false">AT172*$M172</f>
        <v>0</v>
      </c>
      <c r="AV172" s="28"/>
      <c r="AW172" s="28" t="n">
        <f aca="false">AV172*$M172</f>
        <v>0</v>
      </c>
      <c r="AX172" s="28"/>
      <c r="AY172" s="28" t="n">
        <f aca="false">AX172*$M172</f>
        <v>0</v>
      </c>
      <c r="AZ172" s="28"/>
      <c r="BA172" s="28" t="n">
        <f aca="false">AZ172*$M172</f>
        <v>0</v>
      </c>
      <c r="BB172" s="30" t="n">
        <f aca="false">8491/100</f>
        <v>84.91</v>
      </c>
      <c r="BC172" s="11" t="n">
        <v>2547</v>
      </c>
      <c r="BD172" s="31" t="n">
        <f aca="false">SUM(S172,U172,W172,Y172,AA172,AC172,AE172,AG172,AI172,AK172,AM172,AO172,AQ172,AS172,AU172,AW172,AY172,BA172)</f>
        <v>2547</v>
      </c>
      <c r="BE172" s="28" t="n">
        <f aca="false">BC172-BD172</f>
        <v>0</v>
      </c>
      <c r="BF172" s="32" t="n">
        <f aca="false">SUM(R172,T172,V172,X172,Z172,AB172,AD172,AF172,AH172,AJ172,AL172,AN172,AP172,AR172,AT172,AV172,AX172,AZ172)</f>
        <v>84.91</v>
      </c>
      <c r="BG172" s="33" t="n">
        <f aca="false">BB172-BF172</f>
        <v>0</v>
      </c>
      <c r="BH172" s="34" t="n">
        <f aca="false">BF172*M172</f>
        <v>2547.3</v>
      </c>
      <c r="BI172" s="35" t="n">
        <f aca="false">BC172-BH172</f>
        <v>-0.299999999999727</v>
      </c>
      <c r="BJ172" s="19" t="str">
        <f aca="false">IF(BI172=0,"",IF(BI172&lt;&gt;BC172,"erreur de calcul",IF(BF172&lt;&gt;0,"pas de prix",IF(M172&lt;&gt; 0,"pas de quantité","pas de prix, ni de quantité"))))</f>
        <v>erreur de calcul</v>
      </c>
      <c r="BK172" s="19"/>
    </row>
    <row r="173" customFormat="false" ht="16" hidden="false" customHeight="false" outlineLevel="0" collapsed="false">
      <c r="A173" s="0" t="n">
        <v>7</v>
      </c>
      <c r="B173" s="8" t="s">
        <v>24</v>
      </c>
      <c r="C173" s="9" t="s">
        <v>25</v>
      </c>
      <c r="D173" s="9" t="s">
        <v>26</v>
      </c>
      <c r="E173" s="10" t="n">
        <v>1789</v>
      </c>
      <c r="F173" s="9" t="s">
        <v>27</v>
      </c>
      <c r="G173" s="9" t="s">
        <v>27</v>
      </c>
      <c r="H173" s="11" t="n">
        <v>23</v>
      </c>
      <c r="I173" s="11" t="s">
        <v>249</v>
      </c>
      <c r="J173" s="14" t="n">
        <v>27</v>
      </c>
      <c r="K173" s="14"/>
      <c r="L173" s="16"/>
      <c r="M173" s="27" t="n">
        <f aca="false">J173+(K173/20)+(L173/240)</f>
        <v>27</v>
      </c>
      <c r="N173" s="17" t="s">
        <v>64</v>
      </c>
      <c r="O173" s="11"/>
      <c r="P173" s="28"/>
      <c r="Q173" s="28" t="str">
        <f aca="false">IF(O173&lt;&gt;"",P173*M173,"")</f>
        <v/>
      </c>
      <c r="R173" s="28"/>
      <c r="S173" s="28" t="n">
        <f aca="false">R173*$M173</f>
        <v>0</v>
      </c>
      <c r="T173" s="28"/>
      <c r="U173" s="28" t="n">
        <f aca="false">T173*$M173</f>
        <v>0</v>
      </c>
      <c r="V173" s="28"/>
      <c r="W173" s="28" t="n">
        <f aca="false">V173*$M173</f>
        <v>0</v>
      </c>
      <c r="X173" s="28"/>
      <c r="Y173" s="28" t="n">
        <f aca="false">X173*$M173</f>
        <v>0</v>
      </c>
      <c r="Z173" s="28"/>
      <c r="AA173" s="28" t="n">
        <f aca="false">Z173*$M173</f>
        <v>0</v>
      </c>
      <c r="AB173" s="28"/>
      <c r="AC173" s="28" t="n">
        <f aca="false">AB173*$M173</f>
        <v>0</v>
      </c>
      <c r="AD173" s="28"/>
      <c r="AE173" s="28" t="n">
        <f aca="false">AD173*$M173</f>
        <v>0</v>
      </c>
      <c r="AF173" s="28"/>
      <c r="AG173" s="28" t="n">
        <f aca="false">AF173*$M173</f>
        <v>0</v>
      </c>
      <c r="AH173" s="28"/>
      <c r="AI173" s="28" t="n">
        <f aca="false">AH173*$M173</f>
        <v>0</v>
      </c>
      <c r="AJ173" s="28"/>
      <c r="AK173" s="28" t="n">
        <f aca="false">AJ173*$M173</f>
        <v>0</v>
      </c>
      <c r="AL173" s="28" t="n">
        <f aca="false">168254/100</f>
        <v>1682.54</v>
      </c>
      <c r="AM173" s="28" t="n">
        <v>45428</v>
      </c>
      <c r="AN173" s="28"/>
      <c r="AO173" s="28" t="n">
        <f aca="false">AN173*$M173</f>
        <v>0</v>
      </c>
      <c r="AP173" s="28"/>
      <c r="AQ173" s="28" t="n">
        <f aca="false">AP173*$M173</f>
        <v>0</v>
      </c>
      <c r="AR173" s="28"/>
      <c r="AS173" s="28" t="n">
        <f aca="false">AR173*$M173</f>
        <v>0</v>
      </c>
      <c r="AT173" s="28"/>
      <c r="AU173" s="28" t="n">
        <f aca="false">AT173*$M173</f>
        <v>0</v>
      </c>
      <c r="AV173" s="28"/>
      <c r="AW173" s="28" t="n">
        <f aca="false">AV173*$M173</f>
        <v>0</v>
      </c>
      <c r="AX173" s="28"/>
      <c r="AY173" s="28" t="n">
        <f aca="false">AX173*$M173</f>
        <v>0</v>
      </c>
      <c r="AZ173" s="28"/>
      <c r="BA173" s="28" t="n">
        <f aca="false">AZ173*$M173</f>
        <v>0</v>
      </c>
      <c r="BB173" s="30" t="n">
        <f aca="false">168254/100</f>
        <v>1682.54</v>
      </c>
      <c r="BC173" s="11" t="n">
        <v>45428</v>
      </c>
      <c r="BD173" s="31" t="n">
        <f aca="false">SUM(S173,U173,W173,Y173,AA173,AC173,AE173,AG173,AI173,AK173,AM173,AO173,AQ173,AS173,AU173,AW173,AY173,BA173)</f>
        <v>45428</v>
      </c>
      <c r="BE173" s="28" t="n">
        <f aca="false">BC173-BD173</f>
        <v>0</v>
      </c>
      <c r="BF173" s="32" t="n">
        <f aca="false">SUM(R173,T173,V173,X173,Z173,AB173,AD173,AF173,AH173,AJ173,AL173,AN173,AP173,AR173,AT173,AV173,AX173,AZ173)</f>
        <v>1682.54</v>
      </c>
      <c r="BG173" s="33" t="n">
        <f aca="false">BB173-BF173</f>
        <v>0</v>
      </c>
      <c r="BH173" s="34" t="n">
        <f aca="false">BF173*M173</f>
        <v>45428.58</v>
      </c>
      <c r="BI173" s="35" t="n">
        <f aca="false">BC173-BH173</f>
        <v>-0.580000000001746</v>
      </c>
      <c r="BJ173" s="19" t="str">
        <f aca="false">IF(BI173=0,"",IF(BI173&lt;&gt;BC173,"erreur de calcul",IF(BF173&lt;&gt;0,"pas de prix",IF(M173&lt;&gt; 0,"pas de quantité","pas de prix, ni de quantité"))))</f>
        <v>erreur de calcul</v>
      </c>
      <c r="BK173" s="19"/>
    </row>
    <row r="174" customFormat="false" ht="16" hidden="false" customHeight="false" outlineLevel="0" collapsed="false">
      <c r="A174" s="0" t="n">
        <v>8</v>
      </c>
      <c r="B174" s="8" t="s">
        <v>24</v>
      </c>
      <c r="C174" s="9" t="s">
        <v>25</v>
      </c>
      <c r="D174" s="9" t="s">
        <v>26</v>
      </c>
      <c r="E174" s="10" t="n">
        <v>1789</v>
      </c>
      <c r="F174" s="9" t="s">
        <v>27</v>
      </c>
      <c r="G174" s="9" t="s">
        <v>27</v>
      </c>
      <c r="H174" s="11" t="n">
        <v>23</v>
      </c>
      <c r="I174" s="11" t="s">
        <v>250</v>
      </c>
      <c r="J174" s="14" t="n">
        <v>27</v>
      </c>
      <c r="K174" s="14"/>
      <c r="L174" s="16"/>
      <c r="M174" s="27" t="n">
        <f aca="false">J174+(K174/20)+(L174/240)</f>
        <v>27</v>
      </c>
      <c r="N174" s="17" t="s">
        <v>64</v>
      </c>
      <c r="O174" s="11"/>
      <c r="P174" s="28"/>
      <c r="Q174" s="28" t="str">
        <f aca="false">IF(O174&lt;&gt;"",P174*M174,"")</f>
        <v/>
      </c>
      <c r="R174" s="28"/>
      <c r="S174" s="28" t="n">
        <f aca="false">R174*$M174</f>
        <v>0</v>
      </c>
      <c r="T174" s="28"/>
      <c r="U174" s="28" t="n">
        <f aca="false">T174*$M174</f>
        <v>0</v>
      </c>
      <c r="V174" s="28"/>
      <c r="W174" s="28" t="n">
        <f aca="false">V174*$M174</f>
        <v>0</v>
      </c>
      <c r="X174" s="28"/>
      <c r="Y174" s="28" t="n">
        <f aca="false">X174*$M174</f>
        <v>0</v>
      </c>
      <c r="Z174" s="28"/>
      <c r="AA174" s="28" t="n">
        <f aca="false">Z174*$M174</f>
        <v>0</v>
      </c>
      <c r="AB174" s="28"/>
      <c r="AC174" s="28" t="n">
        <f aca="false">AB174*$M174</f>
        <v>0</v>
      </c>
      <c r="AD174" s="28"/>
      <c r="AE174" s="28" t="n">
        <f aca="false">AD174*$M174</f>
        <v>0</v>
      </c>
      <c r="AF174" s="28"/>
      <c r="AG174" s="28" t="n">
        <f aca="false">AF174*$M174</f>
        <v>0</v>
      </c>
      <c r="AH174" s="28"/>
      <c r="AI174" s="28" t="n">
        <f aca="false">AH174*$M174</f>
        <v>0</v>
      </c>
      <c r="AJ174" s="28"/>
      <c r="AK174" s="28" t="n">
        <f aca="false">AJ174*$M174</f>
        <v>0</v>
      </c>
      <c r="AL174" s="28"/>
      <c r="AM174" s="28" t="n">
        <f aca="false">AL174*$M174</f>
        <v>0</v>
      </c>
      <c r="AN174" s="28" t="n">
        <f aca="false">4108/100</f>
        <v>41.08</v>
      </c>
      <c r="AO174" s="28" t="n">
        <v>1109</v>
      </c>
      <c r="AP174" s="28"/>
      <c r="AQ174" s="28" t="n">
        <f aca="false">AP174*$M174</f>
        <v>0</v>
      </c>
      <c r="AR174" s="28"/>
      <c r="AS174" s="28" t="n">
        <f aca="false">AR174*$M174</f>
        <v>0</v>
      </c>
      <c r="AT174" s="28" t="n">
        <f aca="false">37084/100</f>
        <v>370.84</v>
      </c>
      <c r="AU174" s="36" t="n">
        <v>9963</v>
      </c>
      <c r="AV174" s="28"/>
      <c r="AW174" s="28" t="n">
        <f aca="false">AV174*$M174</f>
        <v>0</v>
      </c>
      <c r="AX174" s="28"/>
      <c r="AY174" s="28" t="n">
        <f aca="false">AX174*$M174</f>
        <v>0</v>
      </c>
      <c r="AZ174" s="28"/>
      <c r="BA174" s="28" t="n">
        <f aca="false">AZ174*$M174</f>
        <v>0</v>
      </c>
      <c r="BB174" s="30" t="n">
        <f aca="false">41192/100</f>
        <v>411.92</v>
      </c>
      <c r="BC174" s="11" t="n">
        <v>11072</v>
      </c>
      <c r="BD174" s="31" t="n">
        <f aca="false">SUM(S174,U174,W174,Y174,AA174,AC174,AE174,AG174,AI174,AK174,AM174,AO174,AQ174,AS174,AU174,AW174,AY174,BA174)</f>
        <v>11072</v>
      </c>
      <c r="BE174" s="28" t="n">
        <f aca="false">BC174-BD174</f>
        <v>0</v>
      </c>
      <c r="BF174" s="32" t="n">
        <f aca="false">SUM(R174,T174,V174,X174,Z174,AB174,AD174,AF174,AH174,AJ174,AL174,AN174,AP174,AR174,AT174,AV174,AX174,AZ174)</f>
        <v>411.92</v>
      </c>
      <c r="BG174" s="33" t="n">
        <f aca="false">BB174-BF174</f>
        <v>0</v>
      </c>
      <c r="BH174" s="34" t="n">
        <f aca="false">BF174*M174</f>
        <v>11121.84</v>
      </c>
      <c r="BI174" s="35" t="n">
        <f aca="false">BC174-BH174</f>
        <v>-49.8399999999983</v>
      </c>
      <c r="BJ174" s="19" t="str">
        <f aca="false">IF(BI174=0,"",IF(BI174&lt;&gt;BC174,"erreur de calcul",IF(BF174&lt;&gt;0,"pas de prix",IF(M174&lt;&gt; 0,"pas de quantité","pas de prix, ni de quantité"))))</f>
        <v>erreur de calcul</v>
      </c>
      <c r="BK174" s="19"/>
    </row>
    <row r="175" customFormat="false" ht="16" hidden="false" customHeight="false" outlineLevel="0" collapsed="false">
      <c r="A175" s="0" t="n">
        <v>9</v>
      </c>
      <c r="B175" s="8" t="s">
        <v>24</v>
      </c>
      <c r="C175" s="9" t="s">
        <v>25</v>
      </c>
      <c r="D175" s="9" t="s">
        <v>26</v>
      </c>
      <c r="E175" s="10" t="n">
        <v>1789</v>
      </c>
      <c r="F175" s="9" t="s">
        <v>27</v>
      </c>
      <c r="G175" s="9" t="s">
        <v>27</v>
      </c>
      <c r="H175" s="11" t="n">
        <v>23</v>
      </c>
      <c r="I175" s="11" t="s">
        <v>251</v>
      </c>
      <c r="J175" s="14" t="n">
        <v>6</v>
      </c>
      <c r="K175" s="14"/>
      <c r="L175" s="16"/>
      <c r="M175" s="27" t="n">
        <f aca="false">J175+(K175/20)+(L175/240)</f>
        <v>6</v>
      </c>
      <c r="N175" s="17" t="s">
        <v>64</v>
      </c>
      <c r="O175" s="11"/>
      <c r="P175" s="28"/>
      <c r="Q175" s="28" t="str">
        <f aca="false">IF(O175&lt;&gt;"",P175*M175,"")</f>
        <v/>
      </c>
      <c r="R175" s="28"/>
      <c r="S175" s="28" t="n">
        <f aca="false">R175*$M175</f>
        <v>0</v>
      </c>
      <c r="T175" s="28"/>
      <c r="U175" s="28" t="n">
        <f aca="false">T175*$M175</f>
        <v>0</v>
      </c>
      <c r="V175" s="28"/>
      <c r="W175" s="28" t="n">
        <f aca="false">V175*$M175</f>
        <v>0</v>
      </c>
      <c r="X175" s="28"/>
      <c r="Y175" s="28" t="n">
        <f aca="false">X175*$M175</f>
        <v>0</v>
      </c>
      <c r="Z175" s="28"/>
      <c r="AA175" s="28" t="n">
        <f aca="false">Z175*$M175</f>
        <v>0</v>
      </c>
      <c r="AB175" s="28"/>
      <c r="AC175" s="28" t="n">
        <f aca="false">AB175*$M175</f>
        <v>0</v>
      </c>
      <c r="AD175" s="28"/>
      <c r="AE175" s="28" t="n">
        <f aca="false">AD175*$M175</f>
        <v>0</v>
      </c>
      <c r="AF175" s="28"/>
      <c r="AG175" s="28" t="n">
        <f aca="false">AF175*$M175</f>
        <v>0</v>
      </c>
      <c r="AH175" s="28"/>
      <c r="AI175" s="28" t="n">
        <f aca="false">AH175*$M175</f>
        <v>0</v>
      </c>
      <c r="AJ175" s="28"/>
      <c r="AK175" s="28" t="n">
        <f aca="false">AJ175*$M175</f>
        <v>0</v>
      </c>
      <c r="AL175" s="28"/>
      <c r="AM175" s="28" t="n">
        <f aca="false">AL175*$M175</f>
        <v>0</v>
      </c>
      <c r="AN175" s="28"/>
      <c r="AO175" s="28" t="n">
        <f aca="false">AN175*$M175</f>
        <v>0</v>
      </c>
      <c r="AP175" s="28"/>
      <c r="AQ175" s="28" t="n">
        <f aca="false">AP175*$M175</f>
        <v>0</v>
      </c>
      <c r="AR175" s="28"/>
      <c r="AS175" s="28" t="n">
        <f aca="false">AR175*$M175</f>
        <v>0</v>
      </c>
      <c r="AT175" s="28"/>
      <c r="AU175" s="28" t="n">
        <f aca="false">AT175*$M175</f>
        <v>0</v>
      </c>
      <c r="AV175" s="28"/>
      <c r="AW175" s="28" t="n">
        <f aca="false">AV175*$M175</f>
        <v>0</v>
      </c>
      <c r="AX175" s="28"/>
      <c r="AY175" s="28" t="n">
        <f aca="false">AX175*$M175</f>
        <v>0</v>
      </c>
      <c r="AZ175" s="28"/>
      <c r="BA175" s="28" t="n">
        <f aca="false">AZ175*$M175</f>
        <v>0</v>
      </c>
      <c r="BB175" s="30"/>
      <c r="BC175" s="11"/>
      <c r="BD175" s="31" t="n">
        <f aca="false">SUM(S175,U175,W175,Y175,AA175,AC175,AE175,AG175,AI175,AK175,AM175,AO175,AQ175,AS175,AU175,AW175,AY175,BA175)</f>
        <v>0</v>
      </c>
      <c r="BE175" s="28" t="n">
        <f aca="false">BC175-BD175</f>
        <v>0</v>
      </c>
      <c r="BF175" s="32" t="n">
        <f aca="false">SUM(R175,T175,V175,X175,Z175,AB175,AD175,AF175,AH175,AJ175,AL175,AN175,AP175,AR175,AT175,AV175,AX175,AZ175)</f>
        <v>0</v>
      </c>
      <c r="BG175" s="33" t="n">
        <f aca="false">BB175-BF175</f>
        <v>0</v>
      </c>
      <c r="BH175" s="34" t="n">
        <f aca="false">BF175*M175</f>
        <v>0</v>
      </c>
      <c r="BI175" s="35" t="n">
        <f aca="false">BC175-BH175</f>
        <v>0</v>
      </c>
      <c r="BJ175" s="19" t="str">
        <f aca="false">IF(BI175=0,"",IF(BI175&lt;&gt;BC175,"erreur de calcul",IF(BF175&lt;&gt;0,"pas de prix",IF(M175&lt;&gt; 0,"pas de quantité","pas de prix, ni de quantité"))))</f>
        <v/>
      </c>
      <c r="BK175" s="19"/>
    </row>
    <row r="176" customFormat="false" ht="16" hidden="false" customHeight="false" outlineLevel="0" collapsed="false">
      <c r="A176" s="0" t="n">
        <v>10</v>
      </c>
      <c r="B176" s="8" t="s">
        <v>24</v>
      </c>
      <c r="C176" s="9" t="s">
        <v>25</v>
      </c>
      <c r="D176" s="9" t="s">
        <v>26</v>
      </c>
      <c r="E176" s="10" t="n">
        <v>1789</v>
      </c>
      <c r="F176" s="9" t="s">
        <v>27</v>
      </c>
      <c r="G176" s="9" t="s">
        <v>27</v>
      </c>
      <c r="H176" s="11" t="n">
        <v>23</v>
      </c>
      <c r="I176" s="11" t="s">
        <v>252</v>
      </c>
      <c r="J176" s="14" t="n">
        <v>240</v>
      </c>
      <c r="K176" s="14"/>
      <c r="L176" s="16"/>
      <c r="M176" s="27" t="n">
        <f aca="false">J176+(K176/20)+(L176/240)</f>
        <v>240</v>
      </c>
      <c r="N176" s="17" t="s">
        <v>64</v>
      </c>
      <c r="O176" s="11"/>
      <c r="P176" s="28"/>
      <c r="Q176" s="28" t="str">
        <f aca="false">IF(O176&lt;&gt;"",P176*M176,"")</f>
        <v/>
      </c>
      <c r="R176" s="28"/>
      <c r="S176" s="28" t="n">
        <f aca="false">R176*$M176</f>
        <v>0</v>
      </c>
      <c r="T176" s="28"/>
      <c r="U176" s="28" t="n">
        <f aca="false">T176*$M176</f>
        <v>0</v>
      </c>
      <c r="V176" s="28" t="n">
        <f aca="false">4204/100</f>
        <v>42.04</v>
      </c>
      <c r="W176" s="28" t="n">
        <v>10090</v>
      </c>
      <c r="X176" s="28" t="n">
        <f aca="false">2799/100</f>
        <v>27.99</v>
      </c>
      <c r="Y176" s="28" t="n">
        <v>6718</v>
      </c>
      <c r="Z176" s="28" t="n">
        <f aca="false">2536/100</f>
        <v>25.36</v>
      </c>
      <c r="AA176" s="28" t="n">
        <v>6086</v>
      </c>
      <c r="AB176" s="28" t="n">
        <f aca="false">3393/100</f>
        <v>33.93</v>
      </c>
      <c r="AC176" s="28" t="n">
        <v>8143</v>
      </c>
      <c r="AD176" s="28" t="n">
        <f aca="false">242/100</f>
        <v>2.42</v>
      </c>
      <c r="AE176" s="28" t="n">
        <v>581</v>
      </c>
      <c r="AF176" s="28"/>
      <c r="AG176" s="28" t="n">
        <f aca="false">AF176*$M176</f>
        <v>0</v>
      </c>
      <c r="AH176" s="28"/>
      <c r="AI176" s="28" t="n">
        <f aca="false">AH176*$M176</f>
        <v>0</v>
      </c>
      <c r="AJ176" s="28"/>
      <c r="AK176" s="28" t="n">
        <f aca="false">AJ176*$M176</f>
        <v>0</v>
      </c>
      <c r="AL176" s="28"/>
      <c r="AM176" s="28" t="n">
        <f aca="false">AL176*$M176</f>
        <v>0</v>
      </c>
      <c r="AN176" s="28"/>
      <c r="AO176" s="28" t="n">
        <f aca="false">AN176*$M176</f>
        <v>0</v>
      </c>
      <c r="AP176" s="28"/>
      <c r="AQ176" s="28" t="n">
        <f aca="false">AP176*$M176</f>
        <v>0</v>
      </c>
      <c r="AR176" s="28"/>
      <c r="AS176" s="28" t="n">
        <f aca="false">AR176*$M176</f>
        <v>0</v>
      </c>
      <c r="AT176" s="28"/>
      <c r="AU176" s="28" t="n">
        <f aca="false">AT176*$M176</f>
        <v>0</v>
      </c>
      <c r="AV176" s="28"/>
      <c r="AW176" s="28" t="n">
        <f aca="false">AV176*$M176</f>
        <v>0</v>
      </c>
      <c r="AX176" s="28"/>
      <c r="AY176" s="28" t="n">
        <f aca="false">AX176*$M176</f>
        <v>0</v>
      </c>
      <c r="AZ176" s="28"/>
      <c r="BA176" s="28" t="n">
        <f aca="false">AZ176*$M176</f>
        <v>0</v>
      </c>
      <c r="BB176" s="30" t="n">
        <f aca="false">13174/100</f>
        <v>131.74</v>
      </c>
      <c r="BC176" s="11" t="n">
        <v>31618</v>
      </c>
      <c r="BD176" s="31" t="n">
        <f aca="false">SUM(S176,U176,W176,Y176,AA176,AC176,AE176,AG176,AI176,AK176,AM176,AO176,AQ176,AS176,AU176,AW176,AY176,BA176)</f>
        <v>31618</v>
      </c>
      <c r="BE176" s="28" t="n">
        <f aca="false">BC176-BD176</f>
        <v>0</v>
      </c>
      <c r="BF176" s="32" t="n">
        <f aca="false">SUM(R176,T176,V176,X176,Z176,AB176,AD176,AF176,AH176,AJ176,AL176,AN176,AP176,AR176,AT176,AV176,AX176,AZ176)</f>
        <v>131.74</v>
      </c>
      <c r="BG176" s="33" t="n">
        <f aca="false">BB176-BF176</f>
        <v>0</v>
      </c>
      <c r="BH176" s="34" t="n">
        <f aca="false">BF176*M176</f>
        <v>31617.6</v>
      </c>
      <c r="BI176" s="35" t="n">
        <f aca="false">BC176-BH176</f>
        <v>0.399999999997817</v>
      </c>
      <c r="BJ176" s="19" t="str">
        <f aca="false">IF(BI176=0,"",IF(BI176&lt;&gt;BC176,"erreur de calcul",IF(BF176&lt;&gt;0,"pas de prix",IF(M176&lt;&gt; 0,"pas de quantité","pas de prix, ni de quantité"))))</f>
        <v>erreur de calcul</v>
      </c>
      <c r="BK176" s="19"/>
    </row>
    <row r="177" customFormat="false" ht="16" hidden="false" customHeight="false" outlineLevel="0" collapsed="false">
      <c r="A177" s="0" t="n">
        <v>11</v>
      </c>
      <c r="B177" s="8" t="s">
        <v>24</v>
      </c>
      <c r="C177" s="9" t="s">
        <v>25</v>
      </c>
      <c r="D177" s="9" t="s">
        <v>26</v>
      </c>
      <c r="E177" s="10" t="n">
        <v>1789</v>
      </c>
      <c r="F177" s="9" t="s">
        <v>27</v>
      </c>
      <c r="G177" s="9" t="s">
        <v>27</v>
      </c>
      <c r="H177" s="11" t="n">
        <v>23</v>
      </c>
      <c r="I177" s="11" t="s">
        <v>253</v>
      </c>
      <c r="J177" s="14" t="n">
        <v>190</v>
      </c>
      <c r="K177" s="14"/>
      <c r="L177" s="16"/>
      <c r="M177" s="27" t="n">
        <f aca="false">J177+(K177/20)+(L177/240)</f>
        <v>190</v>
      </c>
      <c r="N177" s="17" t="s">
        <v>64</v>
      </c>
      <c r="O177" s="11"/>
      <c r="P177" s="28"/>
      <c r="Q177" s="28" t="str">
        <f aca="false">IF(O177&lt;&gt;"",P177*M177,"")</f>
        <v/>
      </c>
      <c r="R177" s="28"/>
      <c r="S177" s="28" t="n">
        <f aca="false">R177*$M177</f>
        <v>0</v>
      </c>
      <c r="T177" s="28"/>
      <c r="U177" s="28" t="n">
        <f aca="false">T177*$M177</f>
        <v>0</v>
      </c>
      <c r="V177" s="28"/>
      <c r="W177" s="28" t="n">
        <f aca="false">V177*$M177</f>
        <v>0</v>
      </c>
      <c r="X177" s="28" t="n">
        <f aca="false">14963/100</f>
        <v>149.63</v>
      </c>
      <c r="Y177" s="36" t="n">
        <v>28420</v>
      </c>
      <c r="Z177" s="28"/>
      <c r="AA177" s="28" t="n">
        <f aca="false">Z177*$M177</f>
        <v>0</v>
      </c>
      <c r="AB177" s="28"/>
      <c r="AC177" s="28" t="n">
        <f aca="false">AB177*$M177</f>
        <v>0</v>
      </c>
      <c r="AD177" s="28"/>
      <c r="AE177" s="28" t="n">
        <f aca="false">AD177*$M177</f>
        <v>0</v>
      </c>
      <c r="AF177" s="28"/>
      <c r="AG177" s="28" t="n">
        <f aca="false">AF177*$M177</f>
        <v>0</v>
      </c>
      <c r="AH177" s="28"/>
      <c r="AI177" s="28" t="n">
        <f aca="false">AH177*$M177</f>
        <v>0</v>
      </c>
      <c r="AJ177" s="28"/>
      <c r="AK177" s="28" t="n">
        <f aca="false">AJ177*$M177</f>
        <v>0</v>
      </c>
      <c r="AL177" s="28"/>
      <c r="AM177" s="28" t="n">
        <f aca="false">AL177*$M177</f>
        <v>0</v>
      </c>
      <c r="AN177" s="28"/>
      <c r="AO177" s="28" t="n">
        <f aca="false">AN177*$M177</f>
        <v>0</v>
      </c>
      <c r="AP177" s="28"/>
      <c r="AQ177" s="28" t="n">
        <f aca="false">AP177*$M177</f>
        <v>0</v>
      </c>
      <c r="AR177" s="28"/>
      <c r="AS177" s="28" t="n">
        <f aca="false">AR177*$M177</f>
        <v>0</v>
      </c>
      <c r="AT177" s="28"/>
      <c r="AU177" s="28" t="n">
        <f aca="false">AT177*$M177</f>
        <v>0</v>
      </c>
      <c r="AV177" s="28"/>
      <c r="AW177" s="28" t="n">
        <f aca="false">AV177*$M177</f>
        <v>0</v>
      </c>
      <c r="AX177" s="28"/>
      <c r="AY177" s="28" t="n">
        <f aca="false">AX177*$M177</f>
        <v>0</v>
      </c>
      <c r="AZ177" s="28"/>
      <c r="BA177" s="28" t="n">
        <f aca="false">AZ177*$M177</f>
        <v>0</v>
      </c>
      <c r="BB177" s="30" t="n">
        <f aca="false">14963/100</f>
        <v>149.63</v>
      </c>
      <c r="BC177" s="11" t="n">
        <v>28420</v>
      </c>
      <c r="BD177" s="31" t="n">
        <f aca="false">SUM(S177,U177,W177,Y177,AA177,AC177,AE177,AG177,AI177,AK177,AM177,AO177,AQ177,AS177,AU177,AW177,AY177,BA177)</f>
        <v>28420</v>
      </c>
      <c r="BE177" s="28" t="n">
        <f aca="false">BC177-BD177</f>
        <v>0</v>
      </c>
      <c r="BF177" s="32" t="n">
        <f aca="false">SUM(R177,T177,V177,X177,Z177,AB177,AD177,AF177,AH177,AJ177,AL177,AN177,AP177,AR177,AT177,AV177,AX177,AZ177)</f>
        <v>149.63</v>
      </c>
      <c r="BG177" s="33" t="n">
        <f aca="false">BB177-BF177</f>
        <v>0</v>
      </c>
      <c r="BH177" s="34" t="n">
        <f aca="false">BF177*M177</f>
        <v>28429.7</v>
      </c>
      <c r="BI177" s="35" t="n">
        <f aca="false">BC177-BH177</f>
        <v>-9.70000000000073</v>
      </c>
      <c r="BJ177" s="19" t="str">
        <f aca="false">IF(BI177=0,"",IF(BI177&lt;&gt;BC177,"erreur de calcul",IF(BF177&lt;&gt;0,"pas de prix",IF(M177&lt;&gt; 0,"pas de quantité","pas de prix, ni de quantité"))))</f>
        <v>erreur de calcul</v>
      </c>
      <c r="BK177" s="19"/>
    </row>
    <row r="178" customFormat="false" ht="16" hidden="false" customHeight="false" outlineLevel="0" collapsed="false">
      <c r="A178" s="0" t="n">
        <v>12</v>
      </c>
      <c r="B178" s="8" t="s">
        <v>24</v>
      </c>
      <c r="C178" s="9" t="s">
        <v>25</v>
      </c>
      <c r="D178" s="9" t="s">
        <v>26</v>
      </c>
      <c r="E178" s="10" t="n">
        <v>1789</v>
      </c>
      <c r="F178" s="9" t="s">
        <v>27</v>
      </c>
      <c r="G178" s="9" t="s">
        <v>27</v>
      </c>
      <c r="H178" s="11" t="n">
        <v>23</v>
      </c>
      <c r="I178" s="11" t="s">
        <v>254</v>
      </c>
      <c r="J178" s="14" t="n">
        <v>14</v>
      </c>
      <c r="K178" s="14"/>
      <c r="L178" s="16"/>
      <c r="M178" s="27" t="n">
        <f aca="false">J178+(K178/20)+(L178/240)</f>
        <v>14</v>
      </c>
      <c r="N178" s="17" t="s">
        <v>64</v>
      </c>
      <c r="O178" s="11"/>
      <c r="P178" s="28"/>
      <c r="Q178" s="28" t="str">
        <f aca="false">IF(O178&lt;&gt;"",P178*M178,"")</f>
        <v/>
      </c>
      <c r="R178" s="28"/>
      <c r="S178" s="28" t="n">
        <f aca="false">R178*$M178</f>
        <v>0</v>
      </c>
      <c r="T178" s="28"/>
      <c r="U178" s="28" t="n">
        <f aca="false">T178*$M178</f>
        <v>0</v>
      </c>
      <c r="V178" s="28"/>
      <c r="W178" s="28" t="n">
        <f aca="false">V178*$M178</f>
        <v>0</v>
      </c>
      <c r="X178" s="28"/>
      <c r="Y178" s="28" t="n">
        <f aca="false">X178*$M178</f>
        <v>0</v>
      </c>
      <c r="Z178" s="28" t="n">
        <f aca="false">445483/100</f>
        <v>4454.83</v>
      </c>
      <c r="AA178" s="28" t="n">
        <v>62368</v>
      </c>
      <c r="AB178" s="28"/>
      <c r="AC178" s="28" t="n">
        <f aca="false">AB178*$M178</f>
        <v>0</v>
      </c>
      <c r="AD178" s="28"/>
      <c r="AE178" s="28" t="n">
        <f aca="false">AD178*$M178</f>
        <v>0</v>
      </c>
      <c r="AF178" s="28"/>
      <c r="AG178" s="28" t="n">
        <f aca="false">AF178*$M178</f>
        <v>0</v>
      </c>
      <c r="AH178" s="28"/>
      <c r="AI178" s="28" t="n">
        <f aca="false">AH178*$M178</f>
        <v>0</v>
      </c>
      <c r="AJ178" s="28"/>
      <c r="AK178" s="28" t="n">
        <f aca="false">AJ178*$M178</f>
        <v>0</v>
      </c>
      <c r="AL178" s="28"/>
      <c r="AM178" s="28" t="n">
        <f aca="false">AL178*$M178</f>
        <v>0</v>
      </c>
      <c r="AN178" s="28"/>
      <c r="AO178" s="28" t="n">
        <f aca="false">AN178*$M178</f>
        <v>0</v>
      </c>
      <c r="AP178" s="28"/>
      <c r="AQ178" s="28" t="n">
        <f aca="false">AP178*$M178</f>
        <v>0</v>
      </c>
      <c r="AR178" s="28"/>
      <c r="AS178" s="28" t="n">
        <f aca="false">AR178*$M178</f>
        <v>0</v>
      </c>
      <c r="AT178" s="28"/>
      <c r="AU178" s="28" t="n">
        <f aca="false">AT178*$M178</f>
        <v>0</v>
      </c>
      <c r="AV178" s="28"/>
      <c r="AW178" s="28" t="n">
        <f aca="false">AV178*$M178</f>
        <v>0</v>
      </c>
      <c r="AX178" s="28"/>
      <c r="AY178" s="28" t="n">
        <f aca="false">AX178*$M178</f>
        <v>0</v>
      </c>
      <c r="AZ178" s="28"/>
      <c r="BA178" s="28" t="n">
        <f aca="false">AZ178*$M178</f>
        <v>0</v>
      </c>
      <c r="BB178" s="30" t="n">
        <f aca="false">445483/100</f>
        <v>4454.83</v>
      </c>
      <c r="BC178" s="11" t="n">
        <v>62368</v>
      </c>
      <c r="BD178" s="31" t="n">
        <f aca="false">SUM(S178,U178,W178,Y178,AA178,AC178,AE178,AG178,AI178,AK178,AM178,AO178,AQ178,AS178,AU178,AW178,AY178,BA178)</f>
        <v>62368</v>
      </c>
      <c r="BE178" s="28" t="n">
        <f aca="false">BC178-BD178</f>
        <v>0</v>
      </c>
      <c r="BF178" s="32" t="n">
        <f aca="false">SUM(R178,T178,V178,X178,Z178,AB178,AD178,AF178,AH178,AJ178,AL178,AN178,AP178,AR178,AT178,AV178,AX178,AZ178)</f>
        <v>4454.83</v>
      </c>
      <c r="BG178" s="33" t="n">
        <f aca="false">BB178-BF178</f>
        <v>0</v>
      </c>
      <c r="BH178" s="34" t="n">
        <f aca="false">BF178*M178</f>
        <v>62367.62</v>
      </c>
      <c r="BI178" s="35" t="n">
        <f aca="false">BC178-BH178</f>
        <v>0.380000000004657</v>
      </c>
      <c r="BJ178" s="19" t="str">
        <f aca="false">IF(BI178=0,"",IF(BI178&lt;&gt;BC178,"erreur de calcul",IF(BF178&lt;&gt;0,"pas de prix",IF(M178&lt;&gt; 0,"pas de quantité","pas de prix, ni de quantité"))))</f>
        <v>erreur de calcul</v>
      </c>
      <c r="BK178" s="19"/>
    </row>
    <row r="179" customFormat="false" ht="16" hidden="false" customHeight="false" outlineLevel="0" collapsed="false">
      <c r="A179" s="0" t="n">
        <v>13</v>
      </c>
      <c r="B179" s="8" t="s">
        <v>24</v>
      </c>
      <c r="C179" s="9" t="s">
        <v>25</v>
      </c>
      <c r="D179" s="9" t="s">
        <v>26</v>
      </c>
      <c r="E179" s="10" t="n">
        <v>1789</v>
      </c>
      <c r="F179" s="9" t="s">
        <v>27</v>
      </c>
      <c r="G179" s="9" t="s">
        <v>27</v>
      </c>
      <c r="H179" s="11" t="n">
        <v>23</v>
      </c>
      <c r="I179" s="11" t="s">
        <v>255</v>
      </c>
      <c r="J179" s="14" t="n">
        <v>6</v>
      </c>
      <c r="K179" s="14"/>
      <c r="L179" s="16"/>
      <c r="M179" s="27" t="n">
        <f aca="false">J179+(K179/20)+(L179/240)</f>
        <v>6</v>
      </c>
      <c r="N179" s="17" t="s">
        <v>64</v>
      </c>
      <c r="O179" s="11"/>
      <c r="P179" s="28"/>
      <c r="Q179" s="28" t="str">
        <f aca="false">IF(O179&lt;&gt;"",P179*M179,"")</f>
        <v/>
      </c>
      <c r="R179" s="28"/>
      <c r="S179" s="28" t="n">
        <f aca="false">R179*$M179</f>
        <v>0</v>
      </c>
      <c r="T179" s="28"/>
      <c r="U179" s="28" t="n">
        <f aca="false">T179*$M179</f>
        <v>0</v>
      </c>
      <c r="V179" s="28"/>
      <c r="W179" s="28" t="n">
        <f aca="false">V179*$M179</f>
        <v>0</v>
      </c>
      <c r="X179" s="28" t="n">
        <f aca="false">8263/100</f>
        <v>82.63</v>
      </c>
      <c r="Y179" s="28" t="n">
        <v>496</v>
      </c>
      <c r="Z179" s="28"/>
      <c r="AA179" s="28" t="n">
        <f aca="false">Z179*$M179</f>
        <v>0</v>
      </c>
      <c r="AB179" s="28" t="n">
        <f aca="false">62695/100</f>
        <v>626.95</v>
      </c>
      <c r="AC179" s="28" t="n">
        <v>3762</v>
      </c>
      <c r="AD179" s="28"/>
      <c r="AE179" s="28" t="n">
        <f aca="false">AD179*$M179</f>
        <v>0</v>
      </c>
      <c r="AF179" s="28"/>
      <c r="AG179" s="28" t="n">
        <f aca="false">AF179*$M179</f>
        <v>0</v>
      </c>
      <c r="AH179" s="28"/>
      <c r="AI179" s="28" t="n">
        <f aca="false">AH179*$M179</f>
        <v>0</v>
      </c>
      <c r="AJ179" s="28"/>
      <c r="AK179" s="28" t="n">
        <f aca="false">AJ179*$M179</f>
        <v>0</v>
      </c>
      <c r="AL179" s="28"/>
      <c r="AM179" s="28" t="n">
        <f aca="false">AL179*$M179</f>
        <v>0</v>
      </c>
      <c r="AN179" s="28"/>
      <c r="AO179" s="28" t="n">
        <f aca="false">AN179*$M179</f>
        <v>0</v>
      </c>
      <c r="AP179" s="28"/>
      <c r="AQ179" s="28" t="n">
        <f aca="false">AP179*$M179</f>
        <v>0</v>
      </c>
      <c r="AR179" s="28"/>
      <c r="AS179" s="28" t="n">
        <f aca="false">AR179*$M179</f>
        <v>0</v>
      </c>
      <c r="AT179" s="28"/>
      <c r="AU179" s="28" t="n">
        <f aca="false">AT179*$M179</f>
        <v>0</v>
      </c>
      <c r="AV179" s="28"/>
      <c r="AW179" s="28" t="n">
        <f aca="false">AV179*$M179</f>
        <v>0</v>
      </c>
      <c r="AX179" s="28"/>
      <c r="AY179" s="28" t="n">
        <f aca="false">AX179*$M179</f>
        <v>0</v>
      </c>
      <c r="AZ179" s="28"/>
      <c r="BA179" s="28" t="n">
        <f aca="false">AZ179*$M179</f>
        <v>0</v>
      </c>
      <c r="BB179" s="30" t="n">
        <f aca="false">70958/100</f>
        <v>709.58</v>
      </c>
      <c r="BC179" s="11" t="n">
        <v>4258</v>
      </c>
      <c r="BD179" s="31" t="n">
        <f aca="false">SUM(S179,U179,W179,Y179,AA179,AC179,AE179,AG179,AI179,AK179,AM179,AO179,AQ179,AS179,AU179,AW179,AY179,BA179)</f>
        <v>4258</v>
      </c>
      <c r="BE179" s="28" t="n">
        <f aca="false">BC179-BD179</f>
        <v>0</v>
      </c>
      <c r="BF179" s="32" t="n">
        <f aca="false">SUM(R179,T179,V179,X179,Z179,AB179,AD179,AF179,AH179,AJ179,AL179,AN179,AP179,AR179,AT179,AV179,AX179,AZ179)</f>
        <v>709.58</v>
      </c>
      <c r="BG179" s="33" t="n">
        <f aca="false">BB179-BF179</f>
        <v>0</v>
      </c>
      <c r="BH179" s="34" t="n">
        <f aca="false">BF179*M179</f>
        <v>4257.48</v>
      </c>
      <c r="BI179" s="35" t="n">
        <f aca="false">BC179-BH179</f>
        <v>0.519999999999527</v>
      </c>
      <c r="BJ179" s="19" t="str">
        <f aca="false">IF(BI179=0,"",IF(BI179&lt;&gt;BC179,"erreur de calcul",IF(BF179&lt;&gt;0,"pas de prix",IF(M179&lt;&gt; 0,"pas de quantité","pas de prix, ni de quantité"))))</f>
        <v>erreur de calcul</v>
      </c>
      <c r="BK179" s="19"/>
    </row>
    <row r="180" customFormat="false" ht="16" hidden="false" customHeight="false" outlineLevel="0" collapsed="false">
      <c r="A180" s="0" t="n">
        <v>14</v>
      </c>
      <c r="B180" s="8" t="s">
        <v>24</v>
      </c>
      <c r="C180" s="9" t="s">
        <v>25</v>
      </c>
      <c r="D180" s="9" t="s">
        <v>26</v>
      </c>
      <c r="E180" s="10" t="n">
        <v>1789</v>
      </c>
      <c r="F180" s="9" t="s">
        <v>27</v>
      </c>
      <c r="G180" s="9" t="s">
        <v>27</v>
      </c>
      <c r="H180" s="11" t="n">
        <v>23</v>
      </c>
      <c r="I180" s="11" t="s">
        <v>256</v>
      </c>
      <c r="J180" s="14" t="n">
        <v>30</v>
      </c>
      <c r="K180" s="14"/>
      <c r="L180" s="16"/>
      <c r="M180" s="27" t="n">
        <f aca="false">J180+(K180/20)+(L180/240)</f>
        <v>30</v>
      </c>
      <c r="N180" s="17" t="s">
        <v>64</v>
      </c>
      <c r="O180" s="11"/>
      <c r="P180" s="28"/>
      <c r="Q180" s="28" t="str">
        <f aca="false">IF(O180&lt;&gt;"",P180*M180,"")</f>
        <v/>
      </c>
      <c r="R180" s="28" t="n">
        <f aca="false">1584/100</f>
        <v>15.84</v>
      </c>
      <c r="S180" s="28" t="n">
        <v>475</v>
      </c>
      <c r="T180" s="28"/>
      <c r="U180" s="28" t="n">
        <f aca="false">T180*$M180</f>
        <v>0</v>
      </c>
      <c r="V180" s="28" t="n">
        <f aca="false">78834/100</f>
        <v>788.34</v>
      </c>
      <c r="W180" s="28" t="n">
        <v>23650</v>
      </c>
      <c r="X180" s="28"/>
      <c r="Y180" s="28" t="n">
        <f aca="false">X180*$M180</f>
        <v>0</v>
      </c>
      <c r="Z180" s="28"/>
      <c r="AA180" s="28" t="n">
        <f aca="false">Z180*$M180</f>
        <v>0</v>
      </c>
      <c r="AB180" s="28"/>
      <c r="AC180" s="28" t="n">
        <f aca="false">AB180*$M180</f>
        <v>0</v>
      </c>
      <c r="AD180" s="28"/>
      <c r="AE180" s="28" t="n">
        <f aca="false">AD180*$M180</f>
        <v>0</v>
      </c>
      <c r="AF180" s="28"/>
      <c r="AG180" s="28" t="n">
        <f aca="false">AF180*$M180</f>
        <v>0</v>
      </c>
      <c r="AH180" s="28"/>
      <c r="AI180" s="28" t="n">
        <f aca="false">AH180*$M180</f>
        <v>0</v>
      </c>
      <c r="AJ180" s="28"/>
      <c r="AK180" s="28" t="n">
        <f aca="false">AJ180*$M180</f>
        <v>0</v>
      </c>
      <c r="AL180" s="28"/>
      <c r="AM180" s="28" t="n">
        <f aca="false">AL180*$M180</f>
        <v>0</v>
      </c>
      <c r="AN180" s="28"/>
      <c r="AO180" s="28" t="n">
        <f aca="false">AN180*$M180</f>
        <v>0</v>
      </c>
      <c r="AP180" s="28"/>
      <c r="AQ180" s="28" t="n">
        <f aca="false">AP180*$M180</f>
        <v>0</v>
      </c>
      <c r="AR180" s="28"/>
      <c r="AS180" s="28" t="n">
        <f aca="false">AR180*$M180</f>
        <v>0</v>
      </c>
      <c r="AT180" s="28"/>
      <c r="AU180" s="28" t="n">
        <f aca="false">AT180*$M180</f>
        <v>0</v>
      </c>
      <c r="AV180" s="28"/>
      <c r="AW180" s="28" t="n">
        <f aca="false">AV180*$M180</f>
        <v>0</v>
      </c>
      <c r="AX180" s="28"/>
      <c r="AY180" s="28" t="n">
        <f aca="false">AX180*$M180</f>
        <v>0</v>
      </c>
      <c r="AZ180" s="28"/>
      <c r="BA180" s="28" t="n">
        <f aca="false">AZ180*$M180</f>
        <v>0</v>
      </c>
      <c r="BB180" s="30" t="n">
        <f aca="false">80418/100</f>
        <v>804.18</v>
      </c>
      <c r="BC180" s="11" t="n">
        <v>24125</v>
      </c>
      <c r="BD180" s="31" t="n">
        <f aca="false">SUM(S180,U180,W180,Y180,AA180,AC180,AE180,AG180,AI180,AK180,AM180,AO180,AQ180,AS180,AU180,AW180,AY180,BA180)</f>
        <v>24125</v>
      </c>
      <c r="BE180" s="28" t="n">
        <f aca="false">BC180-BD180</f>
        <v>0</v>
      </c>
      <c r="BF180" s="32" t="n">
        <f aca="false">SUM(R180,T180,V180,X180,Z180,AB180,AD180,AF180,AH180,AJ180,AL180,AN180,AP180,AR180,AT180,AV180,AX180,AZ180)</f>
        <v>804.18</v>
      </c>
      <c r="BG180" s="33" t="n">
        <f aca="false">BB180-BF180</f>
        <v>0</v>
      </c>
      <c r="BH180" s="34" t="n">
        <f aca="false">BF180*M180</f>
        <v>24125.4</v>
      </c>
      <c r="BI180" s="35" t="n">
        <f aca="false">BC180-BH180</f>
        <v>-0.400000000001455</v>
      </c>
      <c r="BJ180" s="19" t="str">
        <f aca="false">IF(BI180=0,"",IF(BI180&lt;&gt;BC180,"erreur de calcul",IF(BF180&lt;&gt;0,"pas de prix",IF(M180&lt;&gt; 0,"pas de quantité","pas de prix, ni de quantité"))))</f>
        <v>erreur de calcul</v>
      </c>
      <c r="BK180" s="19"/>
    </row>
    <row r="181" customFormat="false" ht="16" hidden="false" customHeight="false" outlineLevel="0" collapsed="false">
      <c r="A181" s="0" t="n">
        <v>15</v>
      </c>
      <c r="B181" s="8" t="s">
        <v>24</v>
      </c>
      <c r="C181" s="9" t="s">
        <v>25</v>
      </c>
      <c r="D181" s="9" t="s">
        <v>26</v>
      </c>
      <c r="E181" s="10" t="n">
        <v>1789</v>
      </c>
      <c r="F181" s="9" t="s">
        <v>27</v>
      </c>
      <c r="G181" s="9" t="s">
        <v>27</v>
      </c>
      <c r="H181" s="11" t="n">
        <v>23</v>
      </c>
      <c r="I181" s="11" t="s">
        <v>257</v>
      </c>
      <c r="J181" s="14" t="n">
        <v>40</v>
      </c>
      <c r="K181" s="14"/>
      <c r="L181" s="16"/>
      <c r="M181" s="27" t="n">
        <f aca="false">J181+(K181/20)+(L181/240)</f>
        <v>40</v>
      </c>
      <c r="N181" s="17" t="s">
        <v>64</v>
      </c>
      <c r="O181" s="11"/>
      <c r="P181" s="28"/>
      <c r="Q181" s="28" t="str">
        <f aca="false">IF(O181&lt;&gt;"",P181*M181,"")</f>
        <v/>
      </c>
      <c r="R181" s="28"/>
      <c r="S181" s="28" t="n">
        <f aca="false">R181*$M181</f>
        <v>0</v>
      </c>
      <c r="T181" s="28"/>
      <c r="U181" s="28" t="n">
        <f aca="false">T181*$M181</f>
        <v>0</v>
      </c>
      <c r="V181" s="28"/>
      <c r="W181" s="28" t="n">
        <f aca="false">V181*$M181</f>
        <v>0</v>
      </c>
      <c r="X181" s="28"/>
      <c r="Y181" s="28" t="n">
        <f aca="false">X181*$M181</f>
        <v>0</v>
      </c>
      <c r="Z181" s="28"/>
      <c r="AA181" s="28" t="n">
        <f aca="false">Z181*$M181</f>
        <v>0</v>
      </c>
      <c r="AB181" s="28"/>
      <c r="AC181" s="28" t="n">
        <f aca="false">AB181*$M181</f>
        <v>0</v>
      </c>
      <c r="AD181" s="28"/>
      <c r="AE181" s="28" t="n">
        <f aca="false">AD181*$M181</f>
        <v>0</v>
      </c>
      <c r="AF181" s="28"/>
      <c r="AG181" s="28" t="n">
        <f aca="false">AF181*$M181</f>
        <v>0</v>
      </c>
      <c r="AH181" s="28"/>
      <c r="AI181" s="28" t="n">
        <f aca="false">AH181*$M181</f>
        <v>0</v>
      </c>
      <c r="AJ181" s="28"/>
      <c r="AK181" s="28" t="n">
        <f aca="false">AJ181*$M181</f>
        <v>0</v>
      </c>
      <c r="AL181" s="28" t="n">
        <f aca="false">784564/100</f>
        <v>7845.64</v>
      </c>
      <c r="AM181" s="28" t="n">
        <v>313826</v>
      </c>
      <c r="AN181" s="28" t="n">
        <f aca="false">33500/100</f>
        <v>335</v>
      </c>
      <c r="AO181" s="28" t="n">
        <v>13400</v>
      </c>
      <c r="AP181" s="28"/>
      <c r="AQ181" s="28" t="n">
        <f aca="false">AP181*$M181</f>
        <v>0</v>
      </c>
      <c r="AR181" s="28"/>
      <c r="AS181" s="28" t="n">
        <f aca="false">AR181*$M181</f>
        <v>0</v>
      </c>
      <c r="AT181" s="28"/>
      <c r="AU181" s="28" t="n">
        <f aca="false">AT181*$M181</f>
        <v>0</v>
      </c>
      <c r="AV181" s="28"/>
      <c r="AW181" s="28" t="n">
        <f aca="false">AV181*$M181</f>
        <v>0</v>
      </c>
      <c r="AX181" s="28"/>
      <c r="AY181" s="28" t="n">
        <f aca="false">AX181*$M181</f>
        <v>0</v>
      </c>
      <c r="AZ181" s="28"/>
      <c r="BA181" s="28" t="n">
        <f aca="false">AZ181*$M181</f>
        <v>0</v>
      </c>
      <c r="BB181" s="30" t="n">
        <f aca="false">818064/100</f>
        <v>8180.64</v>
      </c>
      <c r="BC181" s="11" t="n">
        <v>327226</v>
      </c>
      <c r="BD181" s="31" t="n">
        <f aca="false">SUM(S181,U181,W181,Y181,AA181,AC181,AE181,AG181,AI181,AK181,AM181,AO181,AQ181,AS181,AU181,AW181,AY181,BA181)</f>
        <v>327226</v>
      </c>
      <c r="BE181" s="28" t="n">
        <f aca="false">BC181-BD181</f>
        <v>0</v>
      </c>
      <c r="BF181" s="32" t="n">
        <f aca="false">SUM(R181,T181,V181,X181,Z181,AB181,AD181,AF181,AH181,AJ181,AL181,AN181,AP181,AR181,AT181,AV181,AX181,AZ181)</f>
        <v>8180.64</v>
      </c>
      <c r="BG181" s="33" t="n">
        <f aca="false">BB181-BF181</f>
        <v>0</v>
      </c>
      <c r="BH181" s="34" t="n">
        <f aca="false">BF181*M181</f>
        <v>327225.6</v>
      </c>
      <c r="BI181" s="35" t="n">
        <f aca="false">BC181-BH181</f>
        <v>0.399999999965075</v>
      </c>
      <c r="BJ181" s="19" t="str">
        <f aca="false">IF(BI181=0,"",IF(BI181&lt;&gt;BC181,"erreur de calcul",IF(BF181&lt;&gt;0,"pas de prix",IF(M181&lt;&gt; 0,"pas de quantité","pas de prix, ni de quantité"))))</f>
        <v>erreur de calcul</v>
      </c>
      <c r="BK181" s="19"/>
    </row>
    <row r="182" customFormat="false" ht="16" hidden="false" customHeight="false" outlineLevel="0" collapsed="false">
      <c r="A182" s="0" t="n">
        <v>16</v>
      </c>
      <c r="B182" s="8" t="s">
        <v>24</v>
      </c>
      <c r="C182" s="9" t="s">
        <v>25</v>
      </c>
      <c r="D182" s="9" t="s">
        <v>26</v>
      </c>
      <c r="E182" s="10" t="n">
        <v>1789</v>
      </c>
      <c r="F182" s="9" t="s">
        <v>27</v>
      </c>
      <c r="G182" s="9" t="s">
        <v>27</v>
      </c>
      <c r="H182" s="11" t="n">
        <v>23</v>
      </c>
      <c r="I182" s="11" t="s">
        <v>258</v>
      </c>
      <c r="J182" s="14" t="n">
        <v>75</v>
      </c>
      <c r="K182" s="14"/>
      <c r="L182" s="16"/>
      <c r="M182" s="27" t="n">
        <f aca="false">J182+(K182/20)+(L182/240)</f>
        <v>75</v>
      </c>
      <c r="N182" s="17" t="s">
        <v>64</v>
      </c>
      <c r="O182" s="11"/>
      <c r="P182" s="28"/>
      <c r="Q182" s="28" t="str">
        <f aca="false">IF(O182&lt;&gt;"",P182*M182,"")</f>
        <v/>
      </c>
      <c r="R182" s="28"/>
      <c r="S182" s="28" t="n">
        <f aca="false">R182*$M182</f>
        <v>0</v>
      </c>
      <c r="T182" s="28"/>
      <c r="U182" s="28" t="n">
        <f aca="false">T182*$M182</f>
        <v>0</v>
      </c>
      <c r="V182" s="28" t="n">
        <f aca="false">1000/100</f>
        <v>10</v>
      </c>
      <c r="W182" s="28" t="n">
        <v>750</v>
      </c>
      <c r="X182" s="28" t="n">
        <f aca="false">17232/100</f>
        <v>172.32</v>
      </c>
      <c r="Y182" s="28" t="n">
        <v>12924</v>
      </c>
      <c r="Z182" s="28" t="n">
        <f aca="false">942/100</f>
        <v>9.42</v>
      </c>
      <c r="AA182" s="28" t="n">
        <v>706</v>
      </c>
      <c r="AB182" s="28"/>
      <c r="AC182" s="28" t="n">
        <f aca="false">AB182*$M182</f>
        <v>0</v>
      </c>
      <c r="AD182" s="28" t="n">
        <f aca="false">415/100</f>
        <v>4.15</v>
      </c>
      <c r="AE182" s="28" t="n">
        <v>311</v>
      </c>
      <c r="AF182" s="28"/>
      <c r="AG182" s="28" t="n">
        <f aca="false">AF182*$M182</f>
        <v>0</v>
      </c>
      <c r="AH182" s="28"/>
      <c r="AI182" s="28" t="n">
        <f aca="false">AH182*$M182</f>
        <v>0</v>
      </c>
      <c r="AJ182" s="28"/>
      <c r="AK182" s="28" t="n">
        <f aca="false">AJ182*$M182</f>
        <v>0</v>
      </c>
      <c r="AL182" s="28"/>
      <c r="AM182" s="28" t="n">
        <f aca="false">AL182*$M182</f>
        <v>0</v>
      </c>
      <c r="AN182" s="28"/>
      <c r="AO182" s="28" t="n">
        <f aca="false">AN182*$M182</f>
        <v>0</v>
      </c>
      <c r="AP182" s="28"/>
      <c r="AQ182" s="28" t="n">
        <f aca="false">AP182*$M182</f>
        <v>0</v>
      </c>
      <c r="AR182" s="28"/>
      <c r="AS182" s="28" t="n">
        <f aca="false">AR182*$M182</f>
        <v>0</v>
      </c>
      <c r="AT182" s="28"/>
      <c r="AU182" s="28" t="n">
        <f aca="false">AT182*$M182</f>
        <v>0</v>
      </c>
      <c r="AV182" s="28"/>
      <c r="AW182" s="28" t="n">
        <f aca="false">AV182*$M182</f>
        <v>0</v>
      </c>
      <c r="AX182" s="28"/>
      <c r="AY182" s="28" t="n">
        <f aca="false">AX182*$M182</f>
        <v>0</v>
      </c>
      <c r="AZ182" s="28"/>
      <c r="BA182" s="28" t="n">
        <f aca="false">AZ182*$M182</f>
        <v>0</v>
      </c>
      <c r="BB182" s="30" t="n">
        <f aca="false">19589/100</f>
        <v>195.89</v>
      </c>
      <c r="BC182" s="11" t="n">
        <v>14691</v>
      </c>
      <c r="BD182" s="31" t="n">
        <f aca="false">SUM(S182,U182,W182,Y182,AA182,AC182,AE182,AG182,AI182,AK182,AM182,AO182,AQ182,AS182,AU182,AW182,AY182,BA182)</f>
        <v>14691</v>
      </c>
      <c r="BE182" s="28" t="n">
        <f aca="false">BC182-BD182</f>
        <v>0</v>
      </c>
      <c r="BF182" s="32" t="n">
        <f aca="false">SUM(R182,T182,V182,X182,Z182,AB182,AD182,AF182,AH182,AJ182,AL182,AN182,AP182,AR182,AT182,AV182,AX182,AZ182)</f>
        <v>195.89</v>
      </c>
      <c r="BG182" s="33" t="n">
        <f aca="false">BB182-BF182</f>
        <v>0</v>
      </c>
      <c r="BH182" s="34" t="n">
        <f aca="false">BF182*M182</f>
        <v>14691.75</v>
      </c>
      <c r="BI182" s="35" t="n">
        <f aca="false">BC182-BH182</f>
        <v>-0.749999999998181</v>
      </c>
      <c r="BJ182" s="19" t="str">
        <f aca="false">IF(BI182=0,"",IF(BI182&lt;&gt;BC182,"erreur de calcul",IF(BF182&lt;&gt;0,"pas de prix",IF(M182&lt;&gt; 0,"pas de quantité","pas de prix, ni de quantité"))))</f>
        <v>erreur de calcul</v>
      </c>
      <c r="BK182" s="19"/>
    </row>
    <row r="183" customFormat="false" ht="16" hidden="false" customHeight="false" outlineLevel="0" collapsed="false">
      <c r="A183" s="0" t="n">
        <v>17</v>
      </c>
      <c r="B183" s="8" t="s">
        <v>24</v>
      </c>
      <c r="C183" s="9" t="s">
        <v>25</v>
      </c>
      <c r="D183" s="9" t="s">
        <v>26</v>
      </c>
      <c r="E183" s="10" t="n">
        <v>1789</v>
      </c>
      <c r="F183" s="9" t="s">
        <v>27</v>
      </c>
      <c r="G183" s="9" t="s">
        <v>27</v>
      </c>
      <c r="H183" s="11" t="n">
        <v>23</v>
      </c>
      <c r="I183" s="11" t="s">
        <v>259</v>
      </c>
      <c r="J183" s="14"/>
      <c r="K183" s="14"/>
      <c r="L183" s="16"/>
      <c r="M183" s="27" t="n">
        <f aca="false">J183+(K183/20)+(L183/240)</f>
        <v>0</v>
      </c>
      <c r="N183" s="17"/>
      <c r="O183" s="11"/>
      <c r="P183" s="28"/>
      <c r="Q183" s="28" t="str">
        <f aca="false">IF(O183&lt;&gt;"",P183*M183,"")</f>
        <v/>
      </c>
      <c r="R183" s="28"/>
      <c r="S183" s="28" t="n">
        <v>957</v>
      </c>
      <c r="T183" s="28"/>
      <c r="U183" s="28" t="n">
        <f aca="false">T183*$M183</f>
        <v>0</v>
      </c>
      <c r="V183" s="28"/>
      <c r="W183" s="28" t="n">
        <v>354</v>
      </c>
      <c r="X183" s="28"/>
      <c r="Y183" s="28" t="n">
        <v>398</v>
      </c>
      <c r="Z183" s="28"/>
      <c r="AA183" s="28" t="n">
        <v>685</v>
      </c>
      <c r="AB183" s="28"/>
      <c r="AC183" s="28" t="n">
        <v>120</v>
      </c>
      <c r="AD183" s="28"/>
      <c r="AE183" s="28" t="n">
        <v>2994</v>
      </c>
      <c r="AF183" s="28"/>
      <c r="AG183" s="28" t="n">
        <f aca="false">AF183*$M183</f>
        <v>0</v>
      </c>
      <c r="AH183" s="28"/>
      <c r="AI183" s="28" t="n">
        <f aca="false">AH183*$M183</f>
        <v>0</v>
      </c>
      <c r="AJ183" s="28"/>
      <c r="AK183" s="28" t="n">
        <v>144</v>
      </c>
      <c r="AL183" s="28"/>
      <c r="AM183" s="28" t="n">
        <f aca="false">AL183*$M183</f>
        <v>0</v>
      </c>
      <c r="AN183" s="28"/>
      <c r="AO183" s="28" t="n">
        <f aca="false">AN183*$M183</f>
        <v>0</v>
      </c>
      <c r="AP183" s="28"/>
      <c r="AQ183" s="28" t="n">
        <f aca="false">AP183*$M183</f>
        <v>0</v>
      </c>
      <c r="AR183" s="28"/>
      <c r="AS183" s="28" t="n">
        <f aca="false">AR183*$M183</f>
        <v>0</v>
      </c>
      <c r="AT183" s="28"/>
      <c r="AU183" s="28" t="n">
        <f aca="false">AT183*$M183</f>
        <v>0</v>
      </c>
      <c r="AV183" s="28"/>
      <c r="AW183" s="28" t="n">
        <f aca="false">AV183*$M183</f>
        <v>0</v>
      </c>
      <c r="AX183" s="28"/>
      <c r="AY183" s="28" t="n">
        <f aca="false">AX183*$M183</f>
        <v>0</v>
      </c>
      <c r="AZ183" s="28"/>
      <c r="BA183" s="28" t="n">
        <f aca="false">AZ183*$M183</f>
        <v>0</v>
      </c>
      <c r="BB183" s="30"/>
      <c r="BC183" s="11" t="n">
        <v>5652</v>
      </c>
      <c r="BD183" s="31" t="n">
        <f aca="false">SUM(S183,U183,W183,Y183,AA183,AC183,AE183,AG183,AI183,AK183,AM183,AO183,AQ183,AS183,AU183,AW183,AY183,BA183)</f>
        <v>5652</v>
      </c>
      <c r="BE183" s="28" t="n">
        <f aca="false">BC183-BD183</f>
        <v>0</v>
      </c>
      <c r="BF183" s="32" t="n">
        <f aca="false">SUM(R183,T183,V183,X183,Z183,AB183,AD183,AF183,AH183,AJ183,AL183,AN183,AP183,AR183,AT183,AV183,AX183,AZ183)</f>
        <v>0</v>
      </c>
      <c r="BG183" s="33" t="n">
        <f aca="false">BB183-BF183</f>
        <v>0</v>
      </c>
      <c r="BH183" s="34" t="n">
        <f aca="false">BF183*M183</f>
        <v>0</v>
      </c>
      <c r="BI183" s="35" t="n">
        <f aca="false">BC183-BH183</f>
        <v>5652</v>
      </c>
      <c r="BJ183" s="19" t="str">
        <f aca="false">IF(BI183=0,"",IF(BI183&lt;&gt;BC183,"erreur de calcul",IF(BF183&lt;&gt;0,"pas de prix",IF(M183&lt;&gt; 0,"pas de quantité","pas de prix, ni de quantité"))))</f>
        <v>pas de prix, ni de quantité</v>
      </c>
      <c r="BK183" s="19"/>
    </row>
    <row r="184" customFormat="false" ht="16" hidden="false" customHeight="false" outlineLevel="0" collapsed="false">
      <c r="A184" s="0" t="n">
        <v>18</v>
      </c>
      <c r="B184" s="8" t="s">
        <v>24</v>
      </c>
      <c r="C184" s="9" t="s">
        <v>25</v>
      </c>
      <c r="D184" s="9" t="s">
        <v>26</v>
      </c>
      <c r="E184" s="10" t="n">
        <v>1789</v>
      </c>
      <c r="F184" s="9" t="s">
        <v>27</v>
      </c>
      <c r="G184" s="9" t="s">
        <v>27</v>
      </c>
      <c r="H184" s="11" t="n">
        <v>23</v>
      </c>
      <c r="I184" s="11" t="s">
        <v>260</v>
      </c>
      <c r="J184" s="14" t="n">
        <v>88</v>
      </c>
      <c r="K184" s="14"/>
      <c r="L184" s="16"/>
      <c r="M184" s="27" t="n">
        <f aca="false">J184+(K184/20)+(L184/240)</f>
        <v>88</v>
      </c>
      <c r="N184" s="17" t="s">
        <v>64</v>
      </c>
      <c r="O184" s="11"/>
      <c r="P184" s="28"/>
      <c r="Q184" s="28" t="str">
        <f aca="false">IF(O184&lt;&gt;"",P184*M184,"")</f>
        <v/>
      </c>
      <c r="R184" s="28"/>
      <c r="S184" s="28" t="n">
        <f aca="false">R184*$M184</f>
        <v>0</v>
      </c>
      <c r="T184" s="28"/>
      <c r="U184" s="28" t="n">
        <f aca="false">T184*$M184</f>
        <v>0</v>
      </c>
      <c r="V184" s="28"/>
      <c r="W184" s="28" t="n">
        <f aca="false">V184*$M184</f>
        <v>0</v>
      </c>
      <c r="X184" s="28" t="n">
        <f aca="false">21004/100</f>
        <v>210.04</v>
      </c>
      <c r="Y184" s="28" t="n">
        <v>18483</v>
      </c>
      <c r="Z184" s="28"/>
      <c r="AA184" s="28" t="n">
        <f aca="false">Z184*$M184</f>
        <v>0</v>
      </c>
      <c r="AB184" s="28"/>
      <c r="AC184" s="28" t="n">
        <f aca="false">AB184*$M184</f>
        <v>0</v>
      </c>
      <c r="AD184" s="28"/>
      <c r="AE184" s="28" t="n">
        <f aca="false">AD184*$M184</f>
        <v>0</v>
      </c>
      <c r="AF184" s="28"/>
      <c r="AG184" s="28" t="n">
        <f aca="false">AF184*$M184</f>
        <v>0</v>
      </c>
      <c r="AH184" s="28"/>
      <c r="AI184" s="28" t="n">
        <f aca="false">AH184*$M184</f>
        <v>0</v>
      </c>
      <c r="AJ184" s="28"/>
      <c r="AK184" s="28" t="n">
        <f aca="false">AJ184*$M184</f>
        <v>0</v>
      </c>
      <c r="AL184" s="28"/>
      <c r="AM184" s="28" t="n">
        <f aca="false">AL184*$M184</f>
        <v>0</v>
      </c>
      <c r="AN184" s="28"/>
      <c r="AO184" s="28" t="n">
        <f aca="false">AN184*$M184</f>
        <v>0</v>
      </c>
      <c r="AP184" s="28"/>
      <c r="AQ184" s="28" t="n">
        <f aca="false">AP184*$M184</f>
        <v>0</v>
      </c>
      <c r="AR184" s="28"/>
      <c r="AS184" s="28" t="n">
        <f aca="false">AR184*$M184</f>
        <v>0</v>
      </c>
      <c r="AT184" s="28"/>
      <c r="AU184" s="28" t="n">
        <f aca="false">AT184*$M184</f>
        <v>0</v>
      </c>
      <c r="AV184" s="28"/>
      <c r="AW184" s="28" t="n">
        <f aca="false">AV184*$M184</f>
        <v>0</v>
      </c>
      <c r="AX184" s="28"/>
      <c r="AY184" s="28" t="n">
        <f aca="false">AX184*$M184</f>
        <v>0</v>
      </c>
      <c r="AZ184" s="28"/>
      <c r="BA184" s="28" t="n">
        <f aca="false">AZ184*$M184</f>
        <v>0</v>
      </c>
      <c r="BB184" s="30" t="n">
        <f aca="false">21004/100</f>
        <v>210.04</v>
      </c>
      <c r="BC184" s="11" t="n">
        <v>18483</v>
      </c>
      <c r="BD184" s="31" t="n">
        <f aca="false">SUM(S184,U184,W184,Y184,AA184,AC184,AE184,AG184,AI184,AK184,AM184,AO184,AQ184,AS184,AU184,AW184,AY184,BA184)</f>
        <v>18483</v>
      </c>
      <c r="BE184" s="28" t="n">
        <f aca="false">BC184-BD184</f>
        <v>0</v>
      </c>
      <c r="BF184" s="32" t="n">
        <f aca="false">SUM(R184,T184,V184,X184,Z184,AB184,AD184,AF184,AH184,AJ184,AL184,AN184,AP184,AR184,AT184,AV184,AX184,AZ184)</f>
        <v>210.04</v>
      </c>
      <c r="BG184" s="33" t="n">
        <f aca="false">BB184-BF184</f>
        <v>0</v>
      </c>
      <c r="BH184" s="34" t="n">
        <f aca="false">BF184*M184</f>
        <v>18483.52</v>
      </c>
      <c r="BI184" s="35" t="n">
        <f aca="false">BC184-BH184</f>
        <v>-0.520000000000437</v>
      </c>
      <c r="BJ184" s="19" t="str">
        <f aca="false">IF(BI184=0,"",IF(BI184&lt;&gt;BC184,"erreur de calcul",IF(BF184&lt;&gt;0,"pas de prix",IF(M184&lt;&gt; 0,"pas de quantité","pas de prix, ni de quantité"))))</f>
        <v>erreur de calcul</v>
      </c>
      <c r="BK184" s="19"/>
    </row>
    <row r="185" customFormat="false" ht="16" hidden="false" customHeight="false" outlineLevel="0" collapsed="false">
      <c r="A185" s="0" t="n">
        <v>19</v>
      </c>
      <c r="B185" s="8" t="s">
        <v>24</v>
      </c>
      <c r="C185" s="9" t="s">
        <v>25</v>
      </c>
      <c r="D185" s="9" t="s">
        <v>26</v>
      </c>
      <c r="E185" s="10" t="n">
        <v>1789</v>
      </c>
      <c r="F185" s="9" t="s">
        <v>27</v>
      </c>
      <c r="G185" s="9" t="s">
        <v>27</v>
      </c>
      <c r="H185" s="11" t="n">
        <v>23</v>
      </c>
      <c r="I185" s="11" t="s">
        <v>261</v>
      </c>
      <c r="J185" s="14" t="n">
        <v>35</v>
      </c>
      <c r="K185" s="14"/>
      <c r="L185" s="16"/>
      <c r="M185" s="27" t="n">
        <f aca="false">J185+(K185/20)+(L185/240)</f>
        <v>35</v>
      </c>
      <c r="N185" s="17" t="s">
        <v>64</v>
      </c>
      <c r="O185" s="11"/>
      <c r="P185" s="28"/>
      <c r="Q185" s="28" t="str">
        <f aca="false">IF(O185&lt;&gt;"",P185*M185,"")</f>
        <v/>
      </c>
      <c r="R185" s="28" t="n">
        <f aca="false">2877/100</f>
        <v>28.77</v>
      </c>
      <c r="S185" s="28" t="n">
        <v>1007</v>
      </c>
      <c r="T185" s="28"/>
      <c r="U185" s="28" t="n">
        <f aca="false">T185*$M185</f>
        <v>0</v>
      </c>
      <c r="V185" s="28"/>
      <c r="W185" s="28" t="n">
        <f aca="false">V185*$M185</f>
        <v>0</v>
      </c>
      <c r="X185" s="28"/>
      <c r="Y185" s="28" t="n">
        <f aca="false">X185*$M185</f>
        <v>0</v>
      </c>
      <c r="Z185" s="28"/>
      <c r="AA185" s="28" t="n">
        <f aca="false">Z185*$M185</f>
        <v>0</v>
      </c>
      <c r="AB185" s="28"/>
      <c r="AC185" s="28" t="n">
        <f aca="false">AB185*$M185</f>
        <v>0</v>
      </c>
      <c r="AD185" s="28"/>
      <c r="AE185" s="28" t="n">
        <f aca="false">AD185*$M185</f>
        <v>0</v>
      </c>
      <c r="AF185" s="28"/>
      <c r="AG185" s="28" t="n">
        <f aca="false">AF185*$M185</f>
        <v>0</v>
      </c>
      <c r="AH185" s="28"/>
      <c r="AI185" s="28" t="n">
        <f aca="false">AH185*$M185</f>
        <v>0</v>
      </c>
      <c r="AJ185" s="28"/>
      <c r="AK185" s="28" t="n">
        <f aca="false">AJ185*$M185</f>
        <v>0</v>
      </c>
      <c r="AL185" s="28"/>
      <c r="AM185" s="28" t="n">
        <f aca="false">AL185*$M185</f>
        <v>0</v>
      </c>
      <c r="AN185" s="28"/>
      <c r="AO185" s="28" t="n">
        <f aca="false">AN185*$M185</f>
        <v>0</v>
      </c>
      <c r="AP185" s="28"/>
      <c r="AQ185" s="28" t="n">
        <f aca="false">AP185*$M185</f>
        <v>0</v>
      </c>
      <c r="AR185" s="28"/>
      <c r="AS185" s="28" t="n">
        <f aca="false">AR185*$M185</f>
        <v>0</v>
      </c>
      <c r="AT185" s="28"/>
      <c r="AU185" s="28" t="n">
        <f aca="false">AT185*$M185</f>
        <v>0</v>
      </c>
      <c r="AV185" s="28"/>
      <c r="AW185" s="28" t="n">
        <f aca="false">AV185*$M185</f>
        <v>0</v>
      </c>
      <c r="AX185" s="28"/>
      <c r="AY185" s="28" t="n">
        <f aca="false">AX185*$M185</f>
        <v>0</v>
      </c>
      <c r="AZ185" s="28"/>
      <c r="BA185" s="28" t="n">
        <f aca="false">AZ185*$M185</f>
        <v>0</v>
      </c>
      <c r="BB185" s="30" t="n">
        <f aca="false">2877/100</f>
        <v>28.77</v>
      </c>
      <c r="BC185" s="11" t="n">
        <v>1007</v>
      </c>
      <c r="BD185" s="31" t="n">
        <f aca="false">SUM(S185,U185,W185,Y185,AA185,AC185,AE185,AG185,AI185,AK185,AM185,AO185,AQ185,AS185,AU185,AW185,AY185,BA185)</f>
        <v>1007</v>
      </c>
      <c r="BE185" s="28" t="n">
        <f aca="false">BC185-BD185</f>
        <v>0</v>
      </c>
      <c r="BF185" s="32" t="n">
        <f aca="false">SUM(R185,T185,V185,X185,Z185,AB185,AD185,AF185,AH185,AJ185,AL185,AN185,AP185,AR185,AT185,AV185,AX185,AZ185)</f>
        <v>28.77</v>
      </c>
      <c r="BG185" s="33" t="n">
        <f aca="false">BB185-BF185</f>
        <v>0</v>
      </c>
      <c r="BH185" s="34" t="n">
        <f aca="false">BF185*M185</f>
        <v>1006.95</v>
      </c>
      <c r="BI185" s="35" t="n">
        <f aca="false">BC185-BH185</f>
        <v>0.0500000000000682</v>
      </c>
      <c r="BJ185" s="19" t="str">
        <f aca="false">IF(BI185=0,"",IF(BI185&lt;&gt;BC185,"erreur de calcul",IF(BF185&lt;&gt;0,"pas de prix",IF(M185&lt;&gt; 0,"pas de quantité","pas de prix, ni de quantité"))))</f>
        <v>erreur de calcul</v>
      </c>
      <c r="BK185" s="19"/>
    </row>
    <row r="186" customFormat="false" ht="16" hidden="false" customHeight="false" outlineLevel="0" collapsed="false">
      <c r="A186" s="0" t="n">
        <v>20</v>
      </c>
      <c r="B186" s="8" t="s">
        <v>24</v>
      </c>
      <c r="C186" s="9" t="s">
        <v>25</v>
      </c>
      <c r="D186" s="9" t="s">
        <v>26</v>
      </c>
      <c r="E186" s="10" t="n">
        <v>1789</v>
      </c>
      <c r="F186" s="9" t="s">
        <v>27</v>
      </c>
      <c r="G186" s="9" t="s">
        <v>27</v>
      </c>
      <c r="H186" s="11" t="n">
        <v>23</v>
      </c>
      <c r="I186" s="11" t="s">
        <v>262</v>
      </c>
      <c r="J186" s="14" t="n">
        <v>40</v>
      </c>
      <c r="K186" s="14"/>
      <c r="L186" s="16"/>
      <c r="M186" s="27" t="n">
        <f aca="false">J186+(K186/20)+(L186/240)</f>
        <v>40</v>
      </c>
      <c r="N186" s="17" t="s">
        <v>64</v>
      </c>
      <c r="O186" s="11"/>
      <c r="P186" s="28"/>
      <c r="Q186" s="28" t="str">
        <f aca="false">IF(O186&lt;&gt;"",P186*M186,"")</f>
        <v/>
      </c>
      <c r="R186" s="28"/>
      <c r="S186" s="28" t="n">
        <f aca="false">R186*$M186</f>
        <v>0</v>
      </c>
      <c r="T186" s="28"/>
      <c r="U186" s="28" t="n">
        <f aca="false">T186*$M186</f>
        <v>0</v>
      </c>
      <c r="V186" s="28"/>
      <c r="W186" s="28" t="n">
        <f aca="false">V186*$M186</f>
        <v>0</v>
      </c>
      <c r="X186" s="28"/>
      <c r="Y186" s="28" t="n">
        <f aca="false">X186*$M186</f>
        <v>0</v>
      </c>
      <c r="Z186" s="28"/>
      <c r="AA186" s="28" t="n">
        <f aca="false">Z186*$M186</f>
        <v>0</v>
      </c>
      <c r="AB186" s="28"/>
      <c r="AC186" s="28" t="n">
        <f aca="false">AB186*$M186</f>
        <v>0</v>
      </c>
      <c r="AD186" s="28"/>
      <c r="AE186" s="28" t="n">
        <f aca="false">AD186*$M186</f>
        <v>0</v>
      </c>
      <c r="AF186" s="28"/>
      <c r="AG186" s="28" t="n">
        <f aca="false">AF186*$M186</f>
        <v>0</v>
      </c>
      <c r="AH186" s="28" t="n">
        <f aca="false">108620/100</f>
        <v>1086.2</v>
      </c>
      <c r="AI186" s="28" t="n">
        <v>43448</v>
      </c>
      <c r="AJ186" s="28"/>
      <c r="AK186" s="28" t="n">
        <f aca="false">AJ186*$M186</f>
        <v>0</v>
      </c>
      <c r="AL186" s="28"/>
      <c r="AM186" s="28" t="n">
        <f aca="false">AL186*$M186</f>
        <v>0</v>
      </c>
      <c r="AN186" s="28"/>
      <c r="AO186" s="28" t="n">
        <f aca="false">AN186*$M186</f>
        <v>0</v>
      </c>
      <c r="AP186" s="28"/>
      <c r="AQ186" s="28" t="n">
        <f aca="false">AP186*$M186</f>
        <v>0</v>
      </c>
      <c r="AR186" s="28"/>
      <c r="AS186" s="28" t="n">
        <f aca="false">AR186*$M186</f>
        <v>0</v>
      </c>
      <c r="AT186" s="28"/>
      <c r="AU186" s="28" t="n">
        <f aca="false">AT186*$M186</f>
        <v>0</v>
      </c>
      <c r="AV186" s="28"/>
      <c r="AW186" s="28" t="n">
        <f aca="false">AV186*$M186</f>
        <v>0</v>
      </c>
      <c r="AX186" s="28"/>
      <c r="AY186" s="28" t="n">
        <f aca="false">AX186*$M186</f>
        <v>0</v>
      </c>
      <c r="AZ186" s="28"/>
      <c r="BA186" s="28" t="n">
        <f aca="false">AZ186*$M186</f>
        <v>0</v>
      </c>
      <c r="BB186" s="30" t="n">
        <f aca="false">108620/100</f>
        <v>1086.2</v>
      </c>
      <c r="BC186" s="11" t="n">
        <v>43448</v>
      </c>
      <c r="BD186" s="31" t="n">
        <f aca="false">SUM(S186,U186,W186,Y186,AA186,AC186,AE186,AG186,AI186,AK186,AM186,AO186,AQ186,AS186,AU186,AW186,AY186,BA186)</f>
        <v>43448</v>
      </c>
      <c r="BE186" s="28" t="n">
        <f aca="false">BC186-BD186</f>
        <v>0</v>
      </c>
      <c r="BF186" s="32" t="n">
        <f aca="false">SUM(R186,T186,V186,X186,Z186,AB186,AD186,AF186,AH186,AJ186,AL186,AN186,AP186,AR186,AT186,AV186,AX186,AZ186)</f>
        <v>1086.2</v>
      </c>
      <c r="BG186" s="33" t="n">
        <f aca="false">BB186-BF186</f>
        <v>0</v>
      </c>
      <c r="BH186" s="34" t="n">
        <f aca="false">BF186*M186</f>
        <v>43448</v>
      </c>
      <c r="BI186" s="35" t="n">
        <f aca="false">BC186-BH186</f>
        <v>0</v>
      </c>
      <c r="BJ186" s="19" t="str">
        <f aca="false">IF(BI186=0,"",IF(BI186&lt;&gt;BC186,"erreur de calcul",IF(BF186&lt;&gt;0,"pas de prix",IF(M186&lt;&gt; 0,"pas de quantité","pas de prix, ni de quantité"))))</f>
        <v/>
      </c>
      <c r="BK186" s="19"/>
    </row>
    <row r="187" customFormat="false" ht="16" hidden="false" customHeight="false" outlineLevel="0" collapsed="false">
      <c r="A187" s="0" t="n">
        <v>21</v>
      </c>
      <c r="B187" s="8" t="s">
        <v>24</v>
      </c>
      <c r="C187" s="9" t="s">
        <v>25</v>
      </c>
      <c r="D187" s="9" t="s">
        <v>26</v>
      </c>
      <c r="E187" s="10" t="n">
        <v>1789</v>
      </c>
      <c r="F187" s="9" t="s">
        <v>27</v>
      </c>
      <c r="G187" s="9" t="s">
        <v>27</v>
      </c>
      <c r="H187" s="11" t="n">
        <v>23</v>
      </c>
      <c r="I187" s="11" t="s">
        <v>263</v>
      </c>
      <c r="J187" s="14" t="n">
        <v>12</v>
      </c>
      <c r="K187" s="14"/>
      <c r="L187" s="16"/>
      <c r="M187" s="27" t="n">
        <f aca="false">J187+(K187/20)+(L187/240)</f>
        <v>12</v>
      </c>
      <c r="N187" s="17" t="s">
        <v>64</v>
      </c>
      <c r="O187" s="11"/>
      <c r="P187" s="28"/>
      <c r="Q187" s="28" t="str">
        <f aca="false">IF(O187&lt;&gt;"",P187*M187,"")</f>
        <v/>
      </c>
      <c r="R187" s="28"/>
      <c r="S187" s="28" t="n">
        <f aca="false">R187*$M187</f>
        <v>0</v>
      </c>
      <c r="T187" s="28"/>
      <c r="U187" s="28" t="n">
        <f aca="false">T187*$M187</f>
        <v>0</v>
      </c>
      <c r="V187" s="28"/>
      <c r="W187" s="28" t="n">
        <f aca="false">V187*$M187</f>
        <v>0</v>
      </c>
      <c r="X187" s="28"/>
      <c r="Y187" s="28" t="n">
        <f aca="false">X187*$M187</f>
        <v>0</v>
      </c>
      <c r="Z187" s="28"/>
      <c r="AA187" s="28" t="n">
        <f aca="false">Z187*$M187</f>
        <v>0</v>
      </c>
      <c r="AB187" s="28"/>
      <c r="AC187" s="28" t="n">
        <f aca="false">AB187*$M187</f>
        <v>0</v>
      </c>
      <c r="AD187" s="28" t="n">
        <f aca="false">485726/100</f>
        <v>4857.26</v>
      </c>
      <c r="AE187" s="28" t="n">
        <v>58287</v>
      </c>
      <c r="AF187" s="28"/>
      <c r="AG187" s="28" t="n">
        <f aca="false">AF187*$M187</f>
        <v>0</v>
      </c>
      <c r="AH187" s="28"/>
      <c r="AI187" s="28" t="n">
        <f aca="false">AH187*$M187</f>
        <v>0</v>
      </c>
      <c r="AJ187" s="28" t="n">
        <f aca="false">259291/100</f>
        <v>2592.91</v>
      </c>
      <c r="AK187" s="28" t="n">
        <v>31115</v>
      </c>
      <c r="AL187" s="28"/>
      <c r="AM187" s="28" t="n">
        <f aca="false">AL187*$M187</f>
        <v>0</v>
      </c>
      <c r="AN187" s="28"/>
      <c r="AO187" s="28" t="n">
        <f aca="false">AN187*$M187</f>
        <v>0</v>
      </c>
      <c r="AP187" s="28"/>
      <c r="AQ187" s="28" t="n">
        <f aca="false">AP187*$M187</f>
        <v>0</v>
      </c>
      <c r="AR187" s="28"/>
      <c r="AS187" s="28" t="n">
        <f aca="false">AR187*$M187</f>
        <v>0</v>
      </c>
      <c r="AT187" s="28"/>
      <c r="AU187" s="28" t="n">
        <f aca="false">AT187*$M187</f>
        <v>0</v>
      </c>
      <c r="AV187" s="28"/>
      <c r="AW187" s="28" t="n">
        <f aca="false">AV187*$M187</f>
        <v>0</v>
      </c>
      <c r="AX187" s="28"/>
      <c r="AY187" s="28" t="n">
        <f aca="false">AX187*$M187</f>
        <v>0</v>
      </c>
      <c r="AZ187" s="28"/>
      <c r="BA187" s="28" t="n">
        <f aca="false">AZ187*$M187</f>
        <v>0</v>
      </c>
      <c r="BB187" s="30" t="n">
        <f aca="false">745017/100</f>
        <v>7450.17</v>
      </c>
      <c r="BC187" s="11" t="n">
        <v>89402</v>
      </c>
      <c r="BD187" s="31" t="n">
        <f aca="false">SUM(S187,U187,W187,Y187,AA187,AC187,AE187,AG187,AI187,AK187,AM187,AO187,AQ187,AS187,AU187,AW187,AY187,BA187)</f>
        <v>89402</v>
      </c>
      <c r="BE187" s="28" t="n">
        <f aca="false">BC187-BD187</f>
        <v>0</v>
      </c>
      <c r="BF187" s="32" t="n">
        <f aca="false">SUM(R187,T187,V187,X187,Z187,AB187,AD187,AF187,AH187,AJ187,AL187,AN187,AP187,AR187,AT187,AV187,AX187,AZ187)</f>
        <v>7450.17</v>
      </c>
      <c r="BG187" s="33" t="n">
        <f aca="false">BB187-BF187</f>
        <v>0</v>
      </c>
      <c r="BH187" s="34" t="n">
        <f aca="false">BF187*M187</f>
        <v>89402.04</v>
      </c>
      <c r="BI187" s="35" t="n">
        <f aca="false">BC187-BH187</f>
        <v>-0.0400000000081491</v>
      </c>
      <c r="BJ187" s="19" t="str">
        <f aca="false">IF(BI187=0,"",IF(BI187&lt;&gt;BC187,"erreur de calcul",IF(BF187&lt;&gt;0,"pas de prix",IF(M187&lt;&gt; 0,"pas de quantité","pas de prix, ni de quantité"))))</f>
        <v>erreur de calcul</v>
      </c>
      <c r="BK187" s="19"/>
    </row>
    <row r="188" customFormat="false" ht="16" hidden="false" customHeight="false" outlineLevel="0" collapsed="false">
      <c r="A188" s="0" t="n">
        <v>22</v>
      </c>
      <c r="B188" s="8" t="s">
        <v>24</v>
      </c>
      <c r="C188" s="9" t="s">
        <v>25</v>
      </c>
      <c r="D188" s="9" t="s">
        <v>26</v>
      </c>
      <c r="E188" s="10" t="n">
        <v>1789</v>
      </c>
      <c r="F188" s="9" t="s">
        <v>27</v>
      </c>
      <c r="G188" s="9" t="s">
        <v>27</v>
      </c>
      <c r="H188" s="11" t="n">
        <v>23</v>
      </c>
      <c r="I188" s="11" t="s">
        <v>264</v>
      </c>
      <c r="J188" s="14" t="n">
        <v>15</v>
      </c>
      <c r="K188" s="14"/>
      <c r="L188" s="16"/>
      <c r="M188" s="27" t="n">
        <f aca="false">J188+(K188/20)+(L188/240)</f>
        <v>15</v>
      </c>
      <c r="N188" s="17" t="s">
        <v>64</v>
      </c>
      <c r="O188" s="11"/>
      <c r="P188" s="28"/>
      <c r="Q188" s="28" t="str">
        <f aca="false">IF(O188&lt;&gt;"",P188*M188,"")</f>
        <v/>
      </c>
      <c r="R188" s="28"/>
      <c r="S188" s="28" t="n">
        <f aca="false">R188*$M188</f>
        <v>0</v>
      </c>
      <c r="T188" s="28"/>
      <c r="U188" s="28" t="n">
        <f aca="false">T188*$M188</f>
        <v>0</v>
      </c>
      <c r="V188" s="28"/>
      <c r="W188" s="28" t="n">
        <f aca="false">V188*$M188</f>
        <v>0</v>
      </c>
      <c r="X188" s="28"/>
      <c r="Y188" s="28" t="n">
        <f aca="false">X188*$M188</f>
        <v>0</v>
      </c>
      <c r="Z188" s="28" t="n">
        <f aca="false">65502/100</f>
        <v>655.02</v>
      </c>
      <c r="AA188" s="28" t="n">
        <v>9825</v>
      </c>
      <c r="AB188" s="28"/>
      <c r="AC188" s="28" t="n">
        <f aca="false">AB188*$M188</f>
        <v>0</v>
      </c>
      <c r="AD188" s="28" t="n">
        <f aca="false">207046/100</f>
        <v>2070.46</v>
      </c>
      <c r="AE188" s="28" t="n">
        <v>31057</v>
      </c>
      <c r="AF188" s="28"/>
      <c r="AG188" s="28" t="n">
        <f aca="false">AF188*$M188</f>
        <v>0</v>
      </c>
      <c r="AH188" s="28"/>
      <c r="AI188" s="28" t="n">
        <f aca="false">AH188*$M188</f>
        <v>0</v>
      </c>
      <c r="AJ188" s="28" t="n">
        <f aca="false">11048/100</f>
        <v>110.48</v>
      </c>
      <c r="AK188" s="28" t="n">
        <v>1657</v>
      </c>
      <c r="AL188" s="28"/>
      <c r="AM188" s="28" t="n">
        <f aca="false">AL188*$M188</f>
        <v>0</v>
      </c>
      <c r="AN188" s="28"/>
      <c r="AO188" s="28" t="n">
        <f aca="false">AN188*$M188</f>
        <v>0</v>
      </c>
      <c r="AP188" s="28"/>
      <c r="AQ188" s="28" t="n">
        <f aca="false">AP188*$M188</f>
        <v>0</v>
      </c>
      <c r="AR188" s="28"/>
      <c r="AS188" s="28" t="n">
        <f aca="false">AR188*$M188</f>
        <v>0</v>
      </c>
      <c r="AT188" s="28"/>
      <c r="AU188" s="28" t="n">
        <f aca="false">AT188*$M188</f>
        <v>0</v>
      </c>
      <c r="AV188" s="28"/>
      <c r="AW188" s="28" t="n">
        <f aca="false">AV188*$M188</f>
        <v>0</v>
      </c>
      <c r="AX188" s="28"/>
      <c r="AY188" s="28" t="n">
        <f aca="false">AX188*$M188</f>
        <v>0</v>
      </c>
      <c r="AZ188" s="28"/>
      <c r="BA188" s="28" t="n">
        <f aca="false">AZ188*$M188</f>
        <v>0</v>
      </c>
      <c r="BB188" s="30" t="n">
        <f aca="false">283596/100</f>
        <v>2835.96</v>
      </c>
      <c r="BC188" s="11" t="n">
        <v>42539</v>
      </c>
      <c r="BD188" s="31" t="n">
        <f aca="false">SUM(S188,U188,W188,Y188,AA188,AC188,AE188,AG188,AI188,AK188,AM188,AO188,AQ188,AS188,AU188,AW188,AY188,BA188)</f>
        <v>42539</v>
      </c>
      <c r="BE188" s="28" t="n">
        <f aca="false">BC188-BD188</f>
        <v>0</v>
      </c>
      <c r="BF188" s="32" t="n">
        <f aca="false">SUM(R188,T188,V188,X188,Z188,AB188,AD188,AF188,AH188,AJ188,AL188,AN188,AP188,AR188,AT188,AV188,AX188,AZ188)</f>
        <v>2835.96</v>
      </c>
      <c r="BG188" s="33" t="n">
        <f aca="false">BB188-BF188</f>
        <v>0</v>
      </c>
      <c r="BH188" s="34" t="n">
        <f aca="false">BF188*M188</f>
        <v>42539.4</v>
      </c>
      <c r="BI188" s="35" t="n">
        <f aca="false">BC188-BH188</f>
        <v>-0.400000000001455</v>
      </c>
      <c r="BJ188" s="19" t="str">
        <f aca="false">IF(BI188=0,"",IF(BI188&lt;&gt;BC188,"erreur de calcul",IF(BF188&lt;&gt;0,"pas de prix",IF(M188&lt;&gt; 0,"pas de quantité","pas de prix, ni de quantité"))))</f>
        <v>erreur de calcul</v>
      </c>
      <c r="BK188" s="19"/>
    </row>
    <row r="189" customFormat="false" ht="16" hidden="false" customHeight="false" outlineLevel="0" collapsed="false">
      <c r="A189" s="0" t="n">
        <v>23</v>
      </c>
      <c r="B189" s="8" t="s">
        <v>24</v>
      </c>
      <c r="C189" s="9" t="s">
        <v>25</v>
      </c>
      <c r="D189" s="9" t="s">
        <v>26</v>
      </c>
      <c r="E189" s="10" t="n">
        <v>1789</v>
      </c>
      <c r="F189" s="9" t="s">
        <v>27</v>
      </c>
      <c r="G189" s="9" t="s">
        <v>27</v>
      </c>
      <c r="H189" s="11" t="n">
        <v>23</v>
      </c>
      <c r="I189" s="11" t="s">
        <v>265</v>
      </c>
      <c r="J189" s="14"/>
      <c r="K189" s="14" t="n">
        <v>40</v>
      </c>
      <c r="L189" s="16"/>
      <c r="M189" s="27" t="n">
        <f aca="false">J189+(K189/20)+(L189/240)</f>
        <v>2</v>
      </c>
      <c r="N189" s="17" t="s">
        <v>66</v>
      </c>
      <c r="O189" s="11"/>
      <c r="P189" s="28"/>
      <c r="Q189" s="28" t="str">
        <f aca="false">IF(O189&lt;&gt;"",P189*M189,"")</f>
        <v/>
      </c>
      <c r="R189" s="28"/>
      <c r="S189" s="28" t="n">
        <f aca="false">R189*$M189</f>
        <v>0</v>
      </c>
      <c r="T189" s="28"/>
      <c r="U189" s="28" t="n">
        <f aca="false">T189*$M189</f>
        <v>0</v>
      </c>
      <c r="V189" s="28"/>
      <c r="W189" s="28" t="n">
        <f aca="false">V189*$M189</f>
        <v>0</v>
      </c>
      <c r="X189" s="28" t="n">
        <v>6275</v>
      </c>
      <c r="Y189" s="28" t="n">
        <v>12550</v>
      </c>
      <c r="Z189" s="28" t="n">
        <v>8662</v>
      </c>
      <c r="AA189" s="28" t="n">
        <v>17324</v>
      </c>
      <c r="AB189" s="28"/>
      <c r="AC189" s="28" t="n">
        <f aca="false">AB189*$M189</f>
        <v>0</v>
      </c>
      <c r="AD189" s="28" t="n">
        <v>2196</v>
      </c>
      <c r="AE189" s="28" t="n">
        <v>4392</v>
      </c>
      <c r="AF189" s="28"/>
      <c r="AG189" s="28" t="n">
        <f aca="false">AF189*$M189</f>
        <v>0</v>
      </c>
      <c r="AH189" s="28"/>
      <c r="AI189" s="28" t="n">
        <f aca="false">AH189*$M189</f>
        <v>0</v>
      </c>
      <c r="AJ189" s="28"/>
      <c r="AK189" s="28" t="n">
        <f aca="false">AJ189*$M189</f>
        <v>0</v>
      </c>
      <c r="AL189" s="28"/>
      <c r="AM189" s="28" t="n">
        <f aca="false">AL189*$M189</f>
        <v>0</v>
      </c>
      <c r="AN189" s="28"/>
      <c r="AO189" s="28" t="n">
        <f aca="false">AN189*$M189</f>
        <v>0</v>
      </c>
      <c r="AP189" s="28"/>
      <c r="AQ189" s="28" t="n">
        <f aca="false">AP189*$M189</f>
        <v>0</v>
      </c>
      <c r="AR189" s="28"/>
      <c r="AS189" s="28" t="n">
        <f aca="false">AR189*$M189</f>
        <v>0</v>
      </c>
      <c r="AT189" s="28"/>
      <c r="AU189" s="28" t="n">
        <f aca="false">AT189*$M189</f>
        <v>0</v>
      </c>
      <c r="AV189" s="28"/>
      <c r="AW189" s="28" t="n">
        <f aca="false">AV189*$M189</f>
        <v>0</v>
      </c>
      <c r="AX189" s="28"/>
      <c r="AY189" s="28" t="n">
        <f aca="false">AX189*$M189</f>
        <v>0</v>
      </c>
      <c r="AZ189" s="28"/>
      <c r="BA189" s="28" t="n">
        <f aca="false">AZ189*$M189</f>
        <v>0</v>
      </c>
      <c r="BB189" s="30" t="n">
        <v>17133</v>
      </c>
      <c r="BC189" s="11" t="n">
        <v>34266</v>
      </c>
      <c r="BD189" s="31" t="n">
        <f aca="false">SUM(S189,U189,W189,Y189,AA189,AC189,AE189,AG189,AI189,AK189,AM189,AO189,AQ189,AS189,AU189,AW189,AY189,BA189)</f>
        <v>34266</v>
      </c>
      <c r="BE189" s="28" t="n">
        <f aca="false">BC189-BD189</f>
        <v>0</v>
      </c>
      <c r="BF189" s="32" t="n">
        <f aca="false">SUM(R189,T189,V189,X189,Z189,AB189,AD189,AF189,AH189,AJ189,AL189,AN189,AP189,AR189,AT189,AV189,AX189,AZ189)</f>
        <v>17133</v>
      </c>
      <c r="BG189" s="33" t="n">
        <f aca="false">BB189-BF189</f>
        <v>0</v>
      </c>
      <c r="BH189" s="34" t="n">
        <f aca="false">BF189*M189</f>
        <v>34266</v>
      </c>
      <c r="BI189" s="35" t="n">
        <f aca="false">BC189-BH189</f>
        <v>0</v>
      </c>
      <c r="BJ189" s="19" t="str">
        <f aca="false">IF(BI189=0,"",IF(BI189&lt;&gt;BC189,"erreur de calcul",IF(BF189&lt;&gt;0,"pas de prix",IF(M189&lt;&gt; 0,"pas de quantité","pas de prix, ni de quantité"))))</f>
        <v/>
      </c>
      <c r="BK189" s="19"/>
    </row>
    <row r="190" customFormat="false" ht="16" hidden="false" customHeight="false" outlineLevel="0" collapsed="false">
      <c r="A190" s="0" t="n">
        <v>24</v>
      </c>
      <c r="B190" s="8" t="s">
        <v>24</v>
      </c>
      <c r="C190" s="9" t="s">
        <v>25</v>
      </c>
      <c r="D190" s="9" t="s">
        <v>26</v>
      </c>
      <c r="E190" s="10" t="n">
        <v>1789</v>
      </c>
      <c r="F190" s="9" t="s">
        <v>27</v>
      </c>
      <c r="G190" s="9" t="s">
        <v>27</v>
      </c>
      <c r="H190" s="11" t="n">
        <v>23</v>
      </c>
      <c r="I190" s="11" t="s">
        <v>266</v>
      </c>
      <c r="J190" s="14" t="n">
        <v>17</v>
      </c>
      <c r="K190" s="14" t="n">
        <v>10</v>
      </c>
      <c r="L190" s="16"/>
      <c r="M190" s="27" t="n">
        <f aca="false">J190+(K190/20)+(L190/240)</f>
        <v>17.5</v>
      </c>
      <c r="N190" s="17" t="s">
        <v>64</v>
      </c>
      <c r="O190" s="11"/>
      <c r="P190" s="28"/>
      <c r="Q190" s="28" t="str">
        <f aca="false">IF(O190&lt;&gt;"",P190*M190,"")</f>
        <v/>
      </c>
      <c r="R190" s="28" t="n">
        <f aca="false">147621/100</f>
        <v>1476.21</v>
      </c>
      <c r="S190" s="28" t="n">
        <v>25834</v>
      </c>
      <c r="T190" s="28"/>
      <c r="U190" s="28" t="n">
        <f aca="false">T190*$M190</f>
        <v>0</v>
      </c>
      <c r="V190" s="28"/>
      <c r="W190" s="28" t="n">
        <f aca="false">V190*$M190</f>
        <v>0</v>
      </c>
      <c r="X190" s="28"/>
      <c r="Y190" s="28" t="n">
        <f aca="false">X190*$M190</f>
        <v>0</v>
      </c>
      <c r="Z190" s="28" t="n">
        <f aca="false">7220/100</f>
        <v>72.2</v>
      </c>
      <c r="AA190" s="28" t="n">
        <v>1263</v>
      </c>
      <c r="AB190" s="28"/>
      <c r="AC190" s="28" t="n">
        <f aca="false">AB190*$M190</f>
        <v>0</v>
      </c>
      <c r="AD190" s="28" t="n">
        <f aca="false">524444/100</f>
        <v>5244.44</v>
      </c>
      <c r="AE190" s="36" t="n">
        <v>91767</v>
      </c>
      <c r="AF190" s="28"/>
      <c r="AG190" s="28" t="n">
        <f aca="false">AF190*$M190</f>
        <v>0</v>
      </c>
      <c r="AH190" s="28"/>
      <c r="AI190" s="28" t="n">
        <f aca="false">AH190*$M190</f>
        <v>0</v>
      </c>
      <c r="AJ190" s="28" t="n">
        <f aca="false">124394/100</f>
        <v>1243.94</v>
      </c>
      <c r="AK190" s="28" t="n">
        <v>21769</v>
      </c>
      <c r="AL190" s="28"/>
      <c r="AM190" s="28" t="n">
        <f aca="false">AL190*$M190</f>
        <v>0</v>
      </c>
      <c r="AN190" s="28"/>
      <c r="AO190" s="28" t="n">
        <f aca="false">AN190*$M190</f>
        <v>0</v>
      </c>
      <c r="AP190" s="28"/>
      <c r="AQ190" s="28" t="n">
        <f aca="false">AP190*$M190</f>
        <v>0</v>
      </c>
      <c r="AR190" s="28"/>
      <c r="AS190" s="28" t="n">
        <f aca="false">AR190*$M190</f>
        <v>0</v>
      </c>
      <c r="AT190" s="28"/>
      <c r="AU190" s="28" t="n">
        <f aca="false">AT190*$M190</f>
        <v>0</v>
      </c>
      <c r="AV190" s="28"/>
      <c r="AW190" s="28" t="n">
        <f aca="false">AV190*$M190</f>
        <v>0</v>
      </c>
      <c r="AX190" s="28"/>
      <c r="AY190" s="28" t="n">
        <f aca="false">AX190*$M190</f>
        <v>0</v>
      </c>
      <c r="AZ190" s="28"/>
      <c r="BA190" s="28" t="n">
        <f aca="false">AZ190*$M190</f>
        <v>0</v>
      </c>
      <c r="BB190" s="30" t="n">
        <f aca="false">803679/100</f>
        <v>8036.79</v>
      </c>
      <c r="BC190" s="11" t="n">
        <v>140633</v>
      </c>
      <c r="BD190" s="31" t="n">
        <f aca="false">SUM(S190,U190,W190,Y190,AA190,AC190,AE190,AG190,AI190,AK190,AM190,AO190,AQ190,AS190,AU190,AW190,AY190,BA190)</f>
        <v>140633</v>
      </c>
      <c r="BE190" s="28" t="n">
        <f aca="false">BC190-BD190</f>
        <v>0</v>
      </c>
      <c r="BF190" s="32" t="n">
        <f aca="false">SUM(R190,T190,V190,X190,Z190,AB190,AD190,AF190,AH190,AJ190,AL190,AN190,AP190,AR190,AT190,AV190,AX190,AZ190)</f>
        <v>8036.79</v>
      </c>
      <c r="BG190" s="33" t="n">
        <f aca="false">BB190-BF190</f>
        <v>0</v>
      </c>
      <c r="BH190" s="34" t="n">
        <f aca="false">BF190*M190</f>
        <v>140643.825</v>
      </c>
      <c r="BI190" s="35" t="n">
        <f aca="false">BC190-BH190</f>
        <v>-10.8249999999825</v>
      </c>
      <c r="BJ190" s="19" t="str">
        <f aca="false">IF(BI190=0,"",IF(BI190&lt;&gt;BC190,"erreur de calcul",IF(BF190&lt;&gt;0,"pas de prix",IF(M190&lt;&gt; 0,"pas de quantité","pas de prix, ni de quantité"))))</f>
        <v>erreur de calcul</v>
      </c>
      <c r="BK190" s="19"/>
    </row>
    <row r="191" customFormat="false" ht="16" hidden="false" customHeight="false" outlineLevel="0" collapsed="false">
      <c r="A191" s="0" t="n">
        <v>25</v>
      </c>
      <c r="B191" s="8" t="s">
        <v>24</v>
      </c>
      <c r="C191" s="9" t="s">
        <v>25</v>
      </c>
      <c r="D191" s="9" t="s">
        <v>26</v>
      </c>
      <c r="E191" s="10" t="n">
        <v>1789</v>
      </c>
      <c r="F191" s="9" t="s">
        <v>27</v>
      </c>
      <c r="G191" s="9" t="s">
        <v>27</v>
      </c>
      <c r="H191" s="11" t="n">
        <v>23</v>
      </c>
      <c r="I191" s="11" t="s">
        <v>267</v>
      </c>
      <c r="J191" s="14" t="n">
        <v>25</v>
      </c>
      <c r="K191" s="14"/>
      <c r="L191" s="16"/>
      <c r="M191" s="27" t="n">
        <f aca="false">J191+(K191/20)+(L191/240)</f>
        <v>25</v>
      </c>
      <c r="N191" s="17" t="s">
        <v>64</v>
      </c>
      <c r="O191" s="11"/>
      <c r="P191" s="28"/>
      <c r="Q191" s="28" t="str">
        <f aca="false">IF(O191&lt;&gt;"",P191*M191,"")</f>
        <v/>
      </c>
      <c r="R191" s="28"/>
      <c r="S191" s="28" t="n">
        <f aca="false">R191*$M191</f>
        <v>0</v>
      </c>
      <c r="T191" s="28"/>
      <c r="U191" s="28" t="n">
        <f aca="false">T191*$M191</f>
        <v>0</v>
      </c>
      <c r="V191" s="28"/>
      <c r="W191" s="28" t="n">
        <f aca="false">V191*$M191</f>
        <v>0</v>
      </c>
      <c r="X191" s="28"/>
      <c r="Y191" s="28" t="n">
        <f aca="false">X191*$M191</f>
        <v>0</v>
      </c>
      <c r="Z191" s="28"/>
      <c r="AA191" s="28" t="n">
        <f aca="false">Z191*$M191</f>
        <v>0</v>
      </c>
      <c r="AB191" s="28"/>
      <c r="AC191" s="28" t="n">
        <f aca="false">AB191*$M191</f>
        <v>0</v>
      </c>
      <c r="AD191" s="28" t="n">
        <f aca="false">136004/100</f>
        <v>1360.04</v>
      </c>
      <c r="AE191" s="28" t="n">
        <v>34001</v>
      </c>
      <c r="AF191" s="28"/>
      <c r="AG191" s="28" t="n">
        <f aca="false">AF191*$M191</f>
        <v>0</v>
      </c>
      <c r="AH191" s="28"/>
      <c r="AI191" s="28" t="n">
        <f aca="false">AH191*$M191</f>
        <v>0</v>
      </c>
      <c r="AJ191" s="28" t="n">
        <f aca="false">173052/100</f>
        <v>1730.52</v>
      </c>
      <c r="AK191" s="28" t="n">
        <v>43263</v>
      </c>
      <c r="AL191" s="28"/>
      <c r="AM191" s="28" t="n">
        <f aca="false">AL191*$M191</f>
        <v>0</v>
      </c>
      <c r="AN191" s="28"/>
      <c r="AO191" s="28" t="n">
        <f aca="false">AN191*$M191</f>
        <v>0</v>
      </c>
      <c r="AP191" s="28"/>
      <c r="AQ191" s="28" t="n">
        <f aca="false">AP191*$M191</f>
        <v>0</v>
      </c>
      <c r="AR191" s="28"/>
      <c r="AS191" s="28" t="n">
        <f aca="false">AR191*$M191</f>
        <v>0</v>
      </c>
      <c r="AT191" s="28"/>
      <c r="AU191" s="28" t="n">
        <f aca="false">AT191*$M191</f>
        <v>0</v>
      </c>
      <c r="AV191" s="28"/>
      <c r="AW191" s="28" t="n">
        <f aca="false">AV191*$M191</f>
        <v>0</v>
      </c>
      <c r="AX191" s="28"/>
      <c r="AY191" s="28" t="n">
        <f aca="false">AX191*$M191</f>
        <v>0</v>
      </c>
      <c r="AZ191" s="28"/>
      <c r="BA191" s="28" t="n">
        <f aca="false">AZ191*$M191</f>
        <v>0</v>
      </c>
      <c r="BB191" s="30" t="n">
        <f aca="false">309056/100</f>
        <v>3090.56</v>
      </c>
      <c r="BC191" s="11" t="n">
        <v>77264</v>
      </c>
      <c r="BD191" s="31" t="n">
        <f aca="false">SUM(S191,U191,W191,Y191,AA191,AC191,AE191,AG191,AI191,AK191,AM191,AO191,AQ191,AS191,AU191,AW191,AY191,BA191)</f>
        <v>77264</v>
      </c>
      <c r="BE191" s="28" t="n">
        <f aca="false">BC191-BD191</f>
        <v>0</v>
      </c>
      <c r="BF191" s="32" t="n">
        <f aca="false">SUM(R191,T191,V191,X191,Z191,AB191,AD191,AF191,AH191,AJ191,AL191,AN191,AP191,AR191,AT191,AV191,AX191,AZ191)</f>
        <v>3090.56</v>
      </c>
      <c r="BG191" s="33" t="n">
        <f aca="false">BB191-BF191</f>
        <v>0</v>
      </c>
      <c r="BH191" s="34" t="n">
        <f aca="false">BF191*M191</f>
        <v>77264</v>
      </c>
      <c r="BI191" s="35" t="n">
        <f aca="false">BC191-BH191</f>
        <v>0</v>
      </c>
      <c r="BJ191" s="19" t="str">
        <f aca="false">IF(BI191=0,"",IF(BI191&lt;&gt;BC191,"erreur de calcul",IF(BF191&lt;&gt;0,"pas de prix",IF(M191&lt;&gt; 0,"pas de quantité","pas de prix, ni de quantité"))))</f>
        <v/>
      </c>
      <c r="BK191" s="19"/>
    </row>
    <row r="192" customFormat="false" ht="16" hidden="false" customHeight="false" outlineLevel="0" collapsed="false">
      <c r="A192" s="0" t="n">
        <v>26</v>
      </c>
      <c r="B192" s="8" t="s">
        <v>24</v>
      </c>
      <c r="C192" s="9" t="s">
        <v>25</v>
      </c>
      <c r="D192" s="9" t="s">
        <v>26</v>
      </c>
      <c r="E192" s="10" t="n">
        <v>1789</v>
      </c>
      <c r="F192" s="9" t="s">
        <v>27</v>
      </c>
      <c r="G192" s="9" t="s">
        <v>27</v>
      </c>
      <c r="H192" s="11" t="n">
        <v>23</v>
      </c>
      <c r="I192" s="11" t="s">
        <v>268</v>
      </c>
      <c r="J192" s="14" t="n">
        <v>8</v>
      </c>
      <c r="K192" s="14"/>
      <c r="L192" s="16"/>
      <c r="M192" s="27" t="n">
        <f aca="false">J192+(K192/20)+(L192/240)</f>
        <v>8</v>
      </c>
      <c r="N192" s="17" t="s">
        <v>64</v>
      </c>
      <c r="O192" s="11"/>
      <c r="P192" s="28"/>
      <c r="Q192" s="28" t="str">
        <f aca="false">IF(O192&lt;&gt;"",P192*M192,"")</f>
        <v/>
      </c>
      <c r="R192" s="28"/>
      <c r="S192" s="28" t="n">
        <f aca="false">R192*$M192</f>
        <v>0</v>
      </c>
      <c r="T192" s="28"/>
      <c r="U192" s="28" t="n">
        <f aca="false">T192*$M192</f>
        <v>0</v>
      </c>
      <c r="V192" s="28" t="n">
        <f aca="false">260752/100</f>
        <v>2607.52</v>
      </c>
      <c r="W192" s="28" t="n">
        <v>20860</v>
      </c>
      <c r="X192" s="28" t="n">
        <f aca="false">170453/100</f>
        <v>1704.53</v>
      </c>
      <c r="Y192" s="28" t="n">
        <v>13636</v>
      </c>
      <c r="Z192" s="28"/>
      <c r="AA192" s="28" t="n">
        <f aca="false">Z192*$M192</f>
        <v>0</v>
      </c>
      <c r="AB192" s="28"/>
      <c r="AC192" s="28" t="n">
        <f aca="false">AB192*$M192</f>
        <v>0</v>
      </c>
      <c r="AD192" s="28"/>
      <c r="AE192" s="28" t="n">
        <f aca="false">AD192*$M192</f>
        <v>0</v>
      </c>
      <c r="AF192" s="28"/>
      <c r="AG192" s="28" t="n">
        <f aca="false">AF192*$M192</f>
        <v>0</v>
      </c>
      <c r="AH192" s="28"/>
      <c r="AI192" s="28" t="n">
        <f aca="false">AH192*$M192</f>
        <v>0</v>
      </c>
      <c r="AJ192" s="28"/>
      <c r="AK192" s="28" t="n">
        <f aca="false">AJ192*$M192</f>
        <v>0</v>
      </c>
      <c r="AL192" s="28"/>
      <c r="AM192" s="28" t="n">
        <f aca="false">AL192*$M192</f>
        <v>0</v>
      </c>
      <c r="AN192" s="28"/>
      <c r="AO192" s="28" t="n">
        <f aca="false">AN192*$M192</f>
        <v>0</v>
      </c>
      <c r="AP192" s="28"/>
      <c r="AQ192" s="28" t="n">
        <f aca="false">AP192*$M192</f>
        <v>0</v>
      </c>
      <c r="AR192" s="28"/>
      <c r="AS192" s="28" t="n">
        <f aca="false">AR192*$M192</f>
        <v>0</v>
      </c>
      <c r="AT192" s="28"/>
      <c r="AU192" s="28" t="n">
        <f aca="false">AT192*$M192</f>
        <v>0</v>
      </c>
      <c r="AV192" s="28"/>
      <c r="AW192" s="28" t="n">
        <f aca="false">AV192*$M192</f>
        <v>0</v>
      </c>
      <c r="AX192" s="28"/>
      <c r="AY192" s="28" t="n">
        <f aca="false">AX192*$M192</f>
        <v>0</v>
      </c>
      <c r="AZ192" s="28"/>
      <c r="BA192" s="28" t="n">
        <f aca="false">AZ192*$M192</f>
        <v>0</v>
      </c>
      <c r="BB192" s="30" t="n">
        <f aca="false">431205/100</f>
        <v>4312.05</v>
      </c>
      <c r="BC192" s="11" t="n">
        <v>34496</v>
      </c>
      <c r="BD192" s="31" t="n">
        <f aca="false">SUM(S192,U192,W192,Y192,AA192,AC192,AE192,AG192,AI192,AK192,AM192,AO192,AQ192,AS192,AU192,AW192,AY192,BA192)</f>
        <v>34496</v>
      </c>
      <c r="BE192" s="28" t="n">
        <f aca="false">BC192-BD192</f>
        <v>0</v>
      </c>
      <c r="BF192" s="32" t="n">
        <f aca="false">SUM(R192,T192,V192,X192,Z192,AB192,AD192,AF192,AH192,AJ192,AL192,AN192,AP192,AR192,AT192,AV192,AX192,AZ192)</f>
        <v>4312.05</v>
      </c>
      <c r="BG192" s="33" t="n">
        <f aca="false">BB192-BF192</f>
        <v>0</v>
      </c>
      <c r="BH192" s="34" t="n">
        <f aca="false">BF192*M192</f>
        <v>34496.4</v>
      </c>
      <c r="BI192" s="35" t="n">
        <f aca="false">BC192-BH192</f>
        <v>-0.400000000001455</v>
      </c>
      <c r="BJ192" s="19" t="str">
        <f aca="false">IF(BI192=0,"",IF(BI192&lt;&gt;BC192,"erreur de calcul",IF(BF192&lt;&gt;0,"pas de prix",IF(M192&lt;&gt; 0,"pas de quantité","pas de prix, ni de quantité"))))</f>
        <v>erreur de calcul</v>
      </c>
      <c r="BK192" s="19"/>
    </row>
    <row r="193" customFormat="false" ht="16" hidden="false" customHeight="false" outlineLevel="0" collapsed="false">
      <c r="A193" s="0" t="n">
        <v>27</v>
      </c>
      <c r="B193" s="8" t="s">
        <v>24</v>
      </c>
      <c r="C193" s="9" t="s">
        <v>25</v>
      </c>
      <c r="D193" s="9" t="s">
        <v>26</v>
      </c>
      <c r="E193" s="10" t="n">
        <v>1789</v>
      </c>
      <c r="F193" s="9" t="s">
        <v>27</v>
      </c>
      <c r="G193" s="9" t="s">
        <v>27</v>
      </c>
      <c r="H193" s="11" t="n">
        <v>23</v>
      </c>
      <c r="I193" s="11" t="s">
        <v>269</v>
      </c>
      <c r="J193" s="14"/>
      <c r="K193" s="14" t="n">
        <v>50</v>
      </c>
      <c r="L193" s="16"/>
      <c r="M193" s="27" t="n">
        <f aca="false">J193+(K193/20)+(L193/240)</f>
        <v>2.5</v>
      </c>
      <c r="N193" s="17" t="s">
        <v>85</v>
      </c>
      <c r="O193" s="11"/>
      <c r="P193" s="28"/>
      <c r="Q193" s="28" t="str">
        <f aca="false">IF(O193&lt;&gt;"",P193*M193,"")</f>
        <v/>
      </c>
      <c r="R193" s="28"/>
      <c r="S193" s="28" t="n">
        <f aca="false">R193*$M193</f>
        <v>0</v>
      </c>
      <c r="T193" s="28"/>
      <c r="U193" s="28" t="n">
        <f aca="false">T193*$M193</f>
        <v>0</v>
      </c>
      <c r="V193" s="28" t="n">
        <f aca="false">221150/100</f>
        <v>2211.5</v>
      </c>
      <c r="W193" s="28" t="n">
        <v>5529</v>
      </c>
      <c r="X193" s="28" t="n">
        <f aca="false">3922156/100</f>
        <v>39221.56</v>
      </c>
      <c r="Y193" s="28" t="n">
        <v>98054</v>
      </c>
      <c r="Z193" s="28"/>
      <c r="AA193" s="28" t="n">
        <f aca="false">Z193*$M193</f>
        <v>0</v>
      </c>
      <c r="AB193" s="28"/>
      <c r="AC193" s="28" t="n">
        <f aca="false">AB193*$M193</f>
        <v>0</v>
      </c>
      <c r="AD193" s="28" t="n">
        <f aca="false">297900/100</f>
        <v>2979</v>
      </c>
      <c r="AE193" s="28" t="n">
        <v>7447</v>
      </c>
      <c r="AF193" s="28"/>
      <c r="AG193" s="28" t="n">
        <f aca="false">AF193*$M193</f>
        <v>0</v>
      </c>
      <c r="AH193" s="28"/>
      <c r="AI193" s="28" t="n">
        <f aca="false">AH193*$M193</f>
        <v>0</v>
      </c>
      <c r="AJ193" s="28"/>
      <c r="AK193" s="28" t="n">
        <f aca="false">AJ193*$M193</f>
        <v>0</v>
      </c>
      <c r="AL193" s="28"/>
      <c r="AM193" s="28" t="n">
        <f aca="false">AL193*$M193</f>
        <v>0</v>
      </c>
      <c r="AN193" s="28"/>
      <c r="AO193" s="28" t="n">
        <f aca="false">AN193*$M193</f>
        <v>0</v>
      </c>
      <c r="AP193" s="28"/>
      <c r="AQ193" s="28" t="n">
        <f aca="false">AP193*$M193</f>
        <v>0</v>
      </c>
      <c r="AR193" s="28"/>
      <c r="AS193" s="28" t="n">
        <f aca="false">AR193*$M193</f>
        <v>0</v>
      </c>
      <c r="AT193" s="28"/>
      <c r="AU193" s="28" t="n">
        <f aca="false">AT193*$M193</f>
        <v>0</v>
      </c>
      <c r="AV193" s="28"/>
      <c r="AW193" s="28" t="n">
        <f aca="false">AV193*$M193</f>
        <v>0</v>
      </c>
      <c r="AX193" s="28"/>
      <c r="AY193" s="28" t="n">
        <f aca="false">AX193*$M193</f>
        <v>0</v>
      </c>
      <c r="AZ193" s="28"/>
      <c r="BA193" s="28" t="n">
        <f aca="false">AZ193*$M193</f>
        <v>0</v>
      </c>
      <c r="BB193" s="30" t="n">
        <f aca="false">4441206/100</f>
        <v>44412.06</v>
      </c>
      <c r="BC193" s="11" t="n">
        <v>111030</v>
      </c>
      <c r="BD193" s="31" t="n">
        <f aca="false">SUM(S193,U193,W193,Y193,AA193,AC193,AE193,AG193,AI193,AK193,AM193,AO193,AQ193,AS193,AU193,AW193,AY193,BA193)</f>
        <v>111030</v>
      </c>
      <c r="BE193" s="28" t="n">
        <f aca="false">BC193-BD193</f>
        <v>0</v>
      </c>
      <c r="BF193" s="32" t="n">
        <f aca="false">SUM(R193,T193,V193,X193,Z193,AB193,AD193,AF193,AH193,AJ193,AL193,AN193,AP193,AR193,AT193,AV193,AX193,AZ193)</f>
        <v>44412.06</v>
      </c>
      <c r="BG193" s="33" t="n">
        <f aca="false">BB193-BF193</f>
        <v>0</v>
      </c>
      <c r="BH193" s="34" t="n">
        <f aca="false">BF193*M193</f>
        <v>111030.15</v>
      </c>
      <c r="BI193" s="35" t="n">
        <f aca="false">BC193-BH193</f>
        <v>-0.149999999994179</v>
      </c>
      <c r="BJ193" s="19" t="str">
        <f aca="false">IF(BI193=0,"",IF(BI193&lt;&gt;BC193,"erreur de calcul",IF(BF193&lt;&gt;0,"pas de prix",IF(M193&lt;&gt; 0,"pas de quantité","pas de prix, ni de quantité"))))</f>
        <v>erreur de calcul</v>
      </c>
      <c r="BK193" s="19"/>
    </row>
    <row r="194" customFormat="false" ht="16" hidden="false" customHeight="false" outlineLevel="0" collapsed="false">
      <c r="A194" s="0" t="n">
        <v>28</v>
      </c>
      <c r="B194" s="8" t="s">
        <v>24</v>
      </c>
      <c r="C194" s="9" t="s">
        <v>25</v>
      </c>
      <c r="D194" s="9" t="s">
        <v>26</v>
      </c>
      <c r="E194" s="10" t="n">
        <v>1789</v>
      </c>
      <c r="F194" s="9" t="s">
        <v>27</v>
      </c>
      <c r="G194" s="9" t="s">
        <v>27</v>
      </c>
      <c r="H194" s="11" t="n">
        <v>23</v>
      </c>
      <c r="I194" s="11" t="s">
        <v>270</v>
      </c>
      <c r="J194" s="14" t="n">
        <v>5</v>
      </c>
      <c r="K194" s="14"/>
      <c r="L194" s="16"/>
      <c r="M194" s="27" t="n">
        <f aca="false">J194+(K194/20)+(L194/240)</f>
        <v>5</v>
      </c>
      <c r="N194" s="17" t="s">
        <v>85</v>
      </c>
      <c r="O194" s="11"/>
      <c r="P194" s="28"/>
      <c r="Q194" s="28" t="str">
        <f aca="false">IF(O194&lt;&gt;"",P194*M194,"")</f>
        <v/>
      </c>
      <c r="R194" s="28" t="n">
        <f aca="false">328200/100</f>
        <v>3282</v>
      </c>
      <c r="S194" s="28" t="n">
        <v>16410</v>
      </c>
      <c r="T194" s="28"/>
      <c r="U194" s="28" t="n">
        <f aca="false">T194*$M194</f>
        <v>0</v>
      </c>
      <c r="V194" s="28" t="n">
        <f aca="false">667000/100</f>
        <v>6670</v>
      </c>
      <c r="W194" s="36" t="n">
        <v>33360</v>
      </c>
      <c r="X194" s="28" t="n">
        <f aca="false">506800/100</f>
        <v>5068</v>
      </c>
      <c r="Y194" s="28" t="n">
        <v>25340</v>
      </c>
      <c r="Z194" s="28"/>
      <c r="AA194" s="28" t="n">
        <f aca="false">Z194*$M194</f>
        <v>0</v>
      </c>
      <c r="AB194" s="28"/>
      <c r="AC194" s="28" t="n">
        <f aca="false">AB194*$M194</f>
        <v>0</v>
      </c>
      <c r="AD194" s="28"/>
      <c r="AE194" s="28" t="n">
        <f aca="false">AD194*$M194</f>
        <v>0</v>
      </c>
      <c r="AF194" s="28"/>
      <c r="AG194" s="28" t="n">
        <f aca="false">AF194*$M194</f>
        <v>0</v>
      </c>
      <c r="AH194" s="28"/>
      <c r="AI194" s="28" t="n">
        <f aca="false">AH194*$M194</f>
        <v>0</v>
      </c>
      <c r="AJ194" s="28" t="n">
        <f aca="false">320500/100</f>
        <v>3205</v>
      </c>
      <c r="AK194" s="28" t="n">
        <v>16025</v>
      </c>
      <c r="AL194" s="28"/>
      <c r="AM194" s="28" t="n">
        <f aca="false">AL194*$M194</f>
        <v>0</v>
      </c>
      <c r="AN194" s="28"/>
      <c r="AO194" s="28" t="n">
        <f aca="false">AN194*$M194</f>
        <v>0</v>
      </c>
      <c r="AP194" s="28"/>
      <c r="AQ194" s="28" t="n">
        <f aca="false">AP194*$M194</f>
        <v>0</v>
      </c>
      <c r="AR194" s="28"/>
      <c r="AS194" s="28" t="n">
        <f aca="false">AR194*$M194</f>
        <v>0</v>
      </c>
      <c r="AT194" s="28"/>
      <c r="AU194" s="28" t="n">
        <f aca="false">AT194*$M194</f>
        <v>0</v>
      </c>
      <c r="AV194" s="28"/>
      <c r="AW194" s="28" t="n">
        <f aca="false">AV194*$M194</f>
        <v>0</v>
      </c>
      <c r="AX194" s="28"/>
      <c r="AY194" s="28" t="n">
        <f aca="false">AX194*$M194</f>
        <v>0</v>
      </c>
      <c r="AZ194" s="28"/>
      <c r="BA194" s="28" t="n">
        <f aca="false">AZ194*$M194</f>
        <v>0</v>
      </c>
      <c r="BB194" s="30" t="n">
        <f aca="false">1822500/100</f>
        <v>18225</v>
      </c>
      <c r="BC194" s="11" t="n">
        <v>91135</v>
      </c>
      <c r="BD194" s="31" t="n">
        <f aca="false">SUM(S194,U194,W194,Y194,AA194,AC194,AE194,AG194,AI194,AK194,AM194,AO194,AQ194,AS194,AU194,AW194,AY194,BA194)</f>
        <v>91135</v>
      </c>
      <c r="BE194" s="28" t="n">
        <f aca="false">BC194-BD194</f>
        <v>0</v>
      </c>
      <c r="BF194" s="32" t="n">
        <f aca="false">SUM(R194,T194,V194,X194,Z194,AB194,AD194,AF194,AH194,AJ194,AL194,AN194,AP194,AR194,AT194,AV194,AX194,AZ194)</f>
        <v>18225</v>
      </c>
      <c r="BG194" s="33" t="n">
        <f aca="false">BB194-BF194</f>
        <v>0</v>
      </c>
      <c r="BH194" s="34" t="n">
        <f aca="false">BF194*M194</f>
        <v>91125</v>
      </c>
      <c r="BI194" s="35" t="n">
        <f aca="false">BC194-BH194</f>
        <v>10</v>
      </c>
      <c r="BJ194" s="19" t="str">
        <f aca="false">IF(BI194=0,"",IF(BI194&lt;&gt;BC194,"erreur de calcul",IF(BF194&lt;&gt;0,"pas de prix",IF(M194&lt;&gt; 0,"pas de quantité","pas de prix, ni de quantité"))))</f>
        <v>erreur de calcul</v>
      </c>
      <c r="BK194" s="19"/>
    </row>
    <row r="195" customFormat="false" ht="16" hidden="false" customHeight="false" outlineLevel="0" collapsed="false">
      <c r="A195" s="0" t="n">
        <v>29</v>
      </c>
      <c r="B195" s="8" t="s">
        <v>24</v>
      </c>
      <c r="C195" s="9" t="s">
        <v>25</v>
      </c>
      <c r="D195" s="9" t="s">
        <v>26</v>
      </c>
      <c r="E195" s="10" t="n">
        <v>1789</v>
      </c>
      <c r="F195" s="9" t="s">
        <v>27</v>
      </c>
      <c r="G195" s="9" t="s">
        <v>27</v>
      </c>
      <c r="H195" s="11" t="n">
        <v>23</v>
      </c>
      <c r="I195" s="11" t="s">
        <v>271</v>
      </c>
      <c r="J195" s="14" t="n">
        <v>7</v>
      </c>
      <c r="K195" s="14" t="n">
        <v>10</v>
      </c>
      <c r="L195" s="16"/>
      <c r="M195" s="27" t="n">
        <f aca="false">J195+(K195/20)+(L195/240)</f>
        <v>7.5</v>
      </c>
      <c r="N195" s="17" t="s">
        <v>64</v>
      </c>
      <c r="O195" s="11"/>
      <c r="P195" s="28"/>
      <c r="Q195" s="28" t="str">
        <f aca="false">IF(O195&lt;&gt;"",P195*M195,"")</f>
        <v/>
      </c>
      <c r="R195" s="28"/>
      <c r="S195" s="28" t="n">
        <f aca="false">R195*$M195</f>
        <v>0</v>
      </c>
      <c r="T195" s="28"/>
      <c r="U195" s="28" t="n">
        <f aca="false">T195*$M195</f>
        <v>0</v>
      </c>
      <c r="V195" s="28"/>
      <c r="W195" s="28" t="n">
        <f aca="false">V195*$M195</f>
        <v>0</v>
      </c>
      <c r="X195" s="28" t="n">
        <f aca="false">191888/100</f>
        <v>1918.88</v>
      </c>
      <c r="Y195" s="28" t="n">
        <v>14392</v>
      </c>
      <c r="Z195" s="28"/>
      <c r="AA195" s="28" t="n">
        <f aca="false">Z195*$M195</f>
        <v>0</v>
      </c>
      <c r="AB195" s="28"/>
      <c r="AC195" s="28" t="n">
        <f aca="false">AB195*$M195</f>
        <v>0</v>
      </c>
      <c r="AD195" s="28"/>
      <c r="AE195" s="28" t="n">
        <f aca="false">AD195*$M195</f>
        <v>0</v>
      </c>
      <c r="AF195" s="28"/>
      <c r="AG195" s="28" t="n">
        <f aca="false">AF195*$M195</f>
        <v>0</v>
      </c>
      <c r="AH195" s="28"/>
      <c r="AI195" s="28" t="n">
        <f aca="false">AH195*$M195</f>
        <v>0</v>
      </c>
      <c r="AJ195" s="28"/>
      <c r="AK195" s="28" t="n">
        <f aca="false">AJ195*$M195</f>
        <v>0</v>
      </c>
      <c r="AL195" s="28"/>
      <c r="AM195" s="28" t="n">
        <f aca="false">AL195*$M195</f>
        <v>0</v>
      </c>
      <c r="AN195" s="28"/>
      <c r="AO195" s="28" t="n">
        <f aca="false">AN195*$M195</f>
        <v>0</v>
      </c>
      <c r="AP195" s="28"/>
      <c r="AQ195" s="28" t="n">
        <f aca="false">AP195*$M195</f>
        <v>0</v>
      </c>
      <c r="AR195" s="28"/>
      <c r="AS195" s="28" t="n">
        <f aca="false">AR195*$M195</f>
        <v>0</v>
      </c>
      <c r="AT195" s="28"/>
      <c r="AU195" s="28" t="n">
        <f aca="false">AT195*$M195</f>
        <v>0</v>
      </c>
      <c r="AV195" s="28"/>
      <c r="AW195" s="28" t="n">
        <f aca="false">AV195*$M195</f>
        <v>0</v>
      </c>
      <c r="AX195" s="28"/>
      <c r="AY195" s="28" t="n">
        <f aca="false">AX195*$M195</f>
        <v>0</v>
      </c>
      <c r="AZ195" s="28"/>
      <c r="BA195" s="28" t="n">
        <f aca="false">AZ195*$M195</f>
        <v>0</v>
      </c>
      <c r="BB195" s="30" t="n">
        <f aca="false">191888/100</f>
        <v>1918.88</v>
      </c>
      <c r="BC195" s="11" t="n">
        <v>14392</v>
      </c>
      <c r="BD195" s="31" t="n">
        <f aca="false">SUM(S195,U195,W195,Y195,AA195,AC195,AE195,AG195,AI195,AK195,AM195,AO195,AQ195,AS195,AU195,AW195,AY195,BA195)</f>
        <v>14392</v>
      </c>
      <c r="BE195" s="28" t="n">
        <f aca="false">BC195-BD195</f>
        <v>0</v>
      </c>
      <c r="BF195" s="32" t="n">
        <f aca="false">SUM(R195,T195,V195,X195,Z195,AB195,AD195,AF195,AH195,AJ195,AL195,AN195,AP195,AR195,AT195,AV195,AX195,AZ195)</f>
        <v>1918.88</v>
      </c>
      <c r="BG195" s="33" t="n">
        <f aca="false">BB195-BF195</f>
        <v>0</v>
      </c>
      <c r="BH195" s="34" t="n">
        <f aca="false">BF195*M195</f>
        <v>14391.6</v>
      </c>
      <c r="BI195" s="35" t="n">
        <f aca="false">BC195-BH195</f>
        <v>0.399999999999636</v>
      </c>
      <c r="BJ195" s="19" t="str">
        <f aca="false">IF(BI195=0,"",IF(BI195&lt;&gt;BC195,"erreur de calcul",IF(BF195&lt;&gt;0,"pas de prix",IF(M195&lt;&gt; 0,"pas de quantité","pas de prix, ni de quantité"))))</f>
        <v>erreur de calcul</v>
      </c>
      <c r="BK195" s="19"/>
    </row>
    <row r="196" customFormat="false" ht="16" hidden="false" customHeight="false" outlineLevel="0" collapsed="false">
      <c r="A196" s="0" t="n">
        <v>30</v>
      </c>
      <c r="B196" s="8" t="s">
        <v>24</v>
      </c>
      <c r="C196" s="9" t="s">
        <v>25</v>
      </c>
      <c r="D196" s="9" t="s">
        <v>26</v>
      </c>
      <c r="E196" s="10" t="n">
        <v>1789</v>
      </c>
      <c r="F196" s="9" t="s">
        <v>27</v>
      </c>
      <c r="G196" s="9" t="s">
        <v>27</v>
      </c>
      <c r="H196" s="11" t="n">
        <v>23</v>
      </c>
      <c r="I196" s="11" t="s">
        <v>272</v>
      </c>
      <c r="J196" s="14" t="n">
        <v>6</v>
      </c>
      <c r="K196" s="14"/>
      <c r="L196" s="16"/>
      <c r="M196" s="27" t="n">
        <f aca="false">J196+(K196/20)+(L196/240)</f>
        <v>6</v>
      </c>
      <c r="N196" s="17" t="s">
        <v>64</v>
      </c>
      <c r="O196" s="11"/>
      <c r="P196" s="28"/>
      <c r="Q196" s="28" t="str">
        <f aca="false">IF(O196&lt;&gt;"",P196*M196,"")</f>
        <v/>
      </c>
      <c r="R196" s="28"/>
      <c r="S196" s="28" t="n">
        <f aca="false">R196*$M196</f>
        <v>0</v>
      </c>
      <c r="T196" s="28"/>
      <c r="U196" s="28" t="n">
        <f aca="false">T196*$M196</f>
        <v>0</v>
      </c>
      <c r="V196" s="28" t="n">
        <f aca="false">26711/100</f>
        <v>267.11</v>
      </c>
      <c r="W196" s="28" t="n">
        <v>1603</v>
      </c>
      <c r="X196" s="28" t="n">
        <f aca="false">790699/100</f>
        <v>7906.99</v>
      </c>
      <c r="Y196" s="28" t="n">
        <v>47442</v>
      </c>
      <c r="Z196" s="28" t="n">
        <f aca="false">50169/100</f>
        <v>501.69</v>
      </c>
      <c r="AA196" s="28" t="n">
        <v>3010</v>
      </c>
      <c r="AB196" s="28"/>
      <c r="AC196" s="28" t="n">
        <f aca="false">AB196*$M196</f>
        <v>0</v>
      </c>
      <c r="AD196" s="28"/>
      <c r="AE196" s="28" t="n">
        <f aca="false">AD196*$M196</f>
        <v>0</v>
      </c>
      <c r="AF196" s="28"/>
      <c r="AG196" s="28" t="n">
        <f aca="false">AF196*$M196</f>
        <v>0</v>
      </c>
      <c r="AH196" s="28"/>
      <c r="AI196" s="28" t="n">
        <f aca="false">AH196*$M196</f>
        <v>0</v>
      </c>
      <c r="AJ196" s="28"/>
      <c r="AK196" s="28" t="n">
        <f aca="false">AJ196*$M196</f>
        <v>0</v>
      </c>
      <c r="AL196" s="28"/>
      <c r="AM196" s="28" t="n">
        <f aca="false">AL196*$M196</f>
        <v>0</v>
      </c>
      <c r="AN196" s="28"/>
      <c r="AO196" s="28" t="n">
        <f aca="false">AN196*$M196</f>
        <v>0</v>
      </c>
      <c r="AP196" s="28"/>
      <c r="AQ196" s="28" t="n">
        <f aca="false">AP196*$M196</f>
        <v>0</v>
      </c>
      <c r="AR196" s="28"/>
      <c r="AS196" s="28" t="n">
        <f aca="false">AR196*$M196</f>
        <v>0</v>
      </c>
      <c r="AT196" s="28"/>
      <c r="AU196" s="28" t="n">
        <f aca="false">AT196*$M196</f>
        <v>0</v>
      </c>
      <c r="AV196" s="28"/>
      <c r="AW196" s="28" t="n">
        <f aca="false">AV196*$M196</f>
        <v>0</v>
      </c>
      <c r="AX196" s="28"/>
      <c r="AY196" s="28" t="n">
        <f aca="false">AX196*$M196</f>
        <v>0</v>
      </c>
      <c r="AZ196" s="28"/>
      <c r="BA196" s="28" t="n">
        <f aca="false">AZ196*$M196</f>
        <v>0</v>
      </c>
      <c r="BB196" s="30" t="n">
        <f aca="false">867559/100</f>
        <v>8675.59</v>
      </c>
      <c r="BC196" s="11" t="n">
        <v>52055</v>
      </c>
      <c r="BD196" s="31" t="n">
        <f aca="false">SUM(S196,U196,W196,Y196,AA196,AC196,AE196,AG196,AI196,AK196,AM196,AO196,AQ196,AS196,AU196,AW196,AY196,BA196)</f>
        <v>52055</v>
      </c>
      <c r="BE196" s="28" t="n">
        <f aca="false">BC196-BD196</f>
        <v>0</v>
      </c>
      <c r="BF196" s="32" t="n">
        <f aca="false">SUM(R196,T196,V196,X196,Z196,AB196,AD196,AF196,AH196,AJ196,AL196,AN196,AP196,AR196,AT196,AV196,AX196,AZ196)</f>
        <v>8675.79</v>
      </c>
      <c r="BG196" s="33" t="n">
        <f aca="false">BB196-BF196</f>
        <v>-0.200000000000728</v>
      </c>
      <c r="BH196" s="34" t="n">
        <f aca="false">BF196*M196</f>
        <v>52054.74</v>
      </c>
      <c r="BI196" s="35" t="n">
        <f aca="false">BC196-BH196</f>
        <v>0.259999999994761</v>
      </c>
      <c r="BJ196" s="19" t="str">
        <f aca="false">IF(BI196=0,"",IF(BI196&lt;&gt;BC196,"erreur de calcul",IF(BF196&lt;&gt;0,"pas de prix",IF(M196&lt;&gt; 0,"pas de quantité","pas de prix, ni de quantité"))))</f>
        <v>erreur de calcul</v>
      </c>
      <c r="BK196" s="19"/>
    </row>
    <row r="197" customFormat="false" ht="16" hidden="false" customHeight="false" outlineLevel="0" collapsed="false">
      <c r="A197" s="0" t="n">
        <v>31</v>
      </c>
      <c r="B197" s="8" t="s">
        <v>24</v>
      </c>
      <c r="C197" s="9" t="s">
        <v>25</v>
      </c>
      <c r="D197" s="9" t="s">
        <v>26</v>
      </c>
      <c r="E197" s="10" t="n">
        <v>1789</v>
      </c>
      <c r="F197" s="9" t="s">
        <v>27</v>
      </c>
      <c r="G197" s="9" t="s">
        <v>27</v>
      </c>
      <c r="H197" s="11" t="n">
        <v>23</v>
      </c>
      <c r="I197" s="11" t="s">
        <v>273</v>
      </c>
      <c r="J197" s="14" t="n">
        <v>8</v>
      </c>
      <c r="K197" s="14"/>
      <c r="L197" s="16"/>
      <c r="M197" s="27" t="n">
        <f aca="false">J197+(K197/20)+(L197/240)</f>
        <v>8</v>
      </c>
      <c r="N197" s="17" t="s">
        <v>81</v>
      </c>
      <c r="O197" s="11"/>
      <c r="P197" s="28"/>
      <c r="Q197" s="28" t="str">
        <f aca="false">IF(O197&lt;&gt;"",P197*M197,"")</f>
        <v/>
      </c>
      <c r="R197" s="28" t="n">
        <v>27</v>
      </c>
      <c r="S197" s="28" t="n">
        <v>216</v>
      </c>
      <c r="T197" s="28"/>
      <c r="U197" s="28" t="n">
        <f aca="false">T197*$M197</f>
        <v>0</v>
      </c>
      <c r="V197" s="28"/>
      <c r="W197" s="28" t="n">
        <f aca="false">V197*$M197</f>
        <v>0</v>
      </c>
      <c r="X197" s="28" t="n">
        <v>40</v>
      </c>
      <c r="Y197" s="28" t="n">
        <v>320</v>
      </c>
      <c r="Z197" s="28"/>
      <c r="AA197" s="28" t="n">
        <f aca="false">Z197*$M197</f>
        <v>0</v>
      </c>
      <c r="AB197" s="28"/>
      <c r="AC197" s="28" t="n">
        <f aca="false">AB197*$M197</f>
        <v>0</v>
      </c>
      <c r="AD197" s="28" t="n">
        <v>164</v>
      </c>
      <c r="AE197" s="28" t="n">
        <v>1312</v>
      </c>
      <c r="AF197" s="28"/>
      <c r="AG197" s="28" t="n">
        <f aca="false">AF197*$M197</f>
        <v>0</v>
      </c>
      <c r="AH197" s="28" t="n">
        <v>263</v>
      </c>
      <c r="AI197" s="28" t="n">
        <v>2104</v>
      </c>
      <c r="AJ197" s="28"/>
      <c r="AK197" s="28" t="n">
        <f aca="false">AJ197*$M197</f>
        <v>0</v>
      </c>
      <c r="AL197" s="28"/>
      <c r="AM197" s="28" t="n">
        <f aca="false">AL197*$M197</f>
        <v>0</v>
      </c>
      <c r="AN197" s="28"/>
      <c r="AO197" s="28" t="n">
        <f aca="false">AN197*$M197</f>
        <v>0</v>
      </c>
      <c r="AP197" s="28"/>
      <c r="AQ197" s="28" t="n">
        <f aca="false">AP197*$M197</f>
        <v>0</v>
      </c>
      <c r="AR197" s="28" t="n">
        <v>278</v>
      </c>
      <c r="AS197" s="28" t="n">
        <v>2224</v>
      </c>
      <c r="AT197" s="28"/>
      <c r="AU197" s="28" t="n">
        <f aca="false">AT197*$M197</f>
        <v>0</v>
      </c>
      <c r="AV197" s="28"/>
      <c r="AW197" s="28" t="n">
        <f aca="false">AV197*$M197</f>
        <v>0</v>
      </c>
      <c r="AX197" s="28"/>
      <c r="AY197" s="28" t="n">
        <f aca="false">AX197*$M197</f>
        <v>0</v>
      </c>
      <c r="AZ197" s="28"/>
      <c r="BA197" s="28" t="n">
        <f aca="false">AZ197*$M197</f>
        <v>0</v>
      </c>
      <c r="BB197" s="30" t="n">
        <v>772</v>
      </c>
      <c r="BC197" s="11" t="n">
        <v>6176</v>
      </c>
      <c r="BD197" s="31" t="n">
        <f aca="false">SUM(S197,U197,W197,Y197,AA197,AC197,AE197,AG197,AI197,AK197,AM197,AO197,AQ197,AS197,AU197,AW197,AY197,BA197)</f>
        <v>6176</v>
      </c>
      <c r="BE197" s="28" t="n">
        <f aca="false">BC197-BD197</f>
        <v>0</v>
      </c>
      <c r="BF197" s="32" t="n">
        <f aca="false">SUM(R197,T197,V197,X197,Z197,AB197,AD197,AF197,AH197,AJ197,AL197,AN197,AP197,AR197,AT197,AV197,AX197,AZ197)</f>
        <v>772</v>
      </c>
      <c r="BG197" s="33" t="n">
        <f aca="false">BB197-BF197</f>
        <v>0</v>
      </c>
      <c r="BH197" s="34" t="n">
        <f aca="false">BF197*M197</f>
        <v>6176</v>
      </c>
      <c r="BI197" s="35" t="n">
        <f aca="false">BC197-BH197</f>
        <v>0</v>
      </c>
      <c r="BJ197" s="19" t="str">
        <f aca="false">IF(BI197=0,"",IF(BI197&lt;&gt;BC197,"erreur de calcul",IF(BF197&lt;&gt;0,"pas de prix",IF(M197&lt;&gt; 0,"pas de quantité","pas de prix, ni de quantité"))))</f>
        <v/>
      </c>
      <c r="BK197" s="19"/>
    </row>
    <row r="198" customFormat="false" ht="16" hidden="false" customHeight="false" outlineLevel="0" collapsed="false">
      <c r="A198" s="0" t="n">
        <v>32</v>
      </c>
      <c r="B198" s="8" t="s">
        <v>24</v>
      </c>
      <c r="C198" s="9" t="s">
        <v>25</v>
      </c>
      <c r="D198" s="9" t="s">
        <v>26</v>
      </c>
      <c r="E198" s="10" t="n">
        <v>1789</v>
      </c>
      <c r="F198" s="9" t="s">
        <v>27</v>
      </c>
      <c r="G198" s="9" t="s">
        <v>27</v>
      </c>
      <c r="H198" s="11" t="n">
        <v>23</v>
      </c>
      <c r="I198" s="11" t="s">
        <v>274</v>
      </c>
      <c r="J198" s="14" t="n">
        <v>17</v>
      </c>
      <c r="K198" s="14"/>
      <c r="L198" s="16"/>
      <c r="M198" s="27" t="n">
        <f aca="false">J198+(K198/20)+(L198/240)</f>
        <v>17</v>
      </c>
      <c r="N198" s="17" t="s">
        <v>275</v>
      </c>
      <c r="O198" s="11"/>
      <c r="P198" s="28"/>
      <c r="Q198" s="28" t="str">
        <f aca="false">IF(O198&lt;&gt;"",P198*M198,"")</f>
        <v/>
      </c>
      <c r="R198" s="28" t="n">
        <v>200</v>
      </c>
      <c r="S198" s="28" t="n">
        <v>3400</v>
      </c>
      <c r="T198" s="28"/>
      <c r="U198" s="28" t="n">
        <f aca="false">T198*$M198</f>
        <v>0</v>
      </c>
      <c r="V198" s="28"/>
      <c r="W198" s="28" t="n">
        <f aca="false">V198*$M198</f>
        <v>0</v>
      </c>
      <c r="X198" s="28"/>
      <c r="Y198" s="28" t="n">
        <f aca="false">X198*$M198</f>
        <v>0</v>
      </c>
      <c r="Z198" s="28" t="n">
        <v>145</v>
      </c>
      <c r="AA198" s="28" t="n">
        <v>2465</v>
      </c>
      <c r="AB198" s="28"/>
      <c r="AC198" s="28" t="n">
        <f aca="false">AB198*$M198</f>
        <v>0</v>
      </c>
      <c r="AD198" s="28"/>
      <c r="AE198" s="28" t="n">
        <f aca="false">AD198*$M198</f>
        <v>0</v>
      </c>
      <c r="AF198" s="28"/>
      <c r="AG198" s="28" t="n">
        <f aca="false">AF198*$M198</f>
        <v>0</v>
      </c>
      <c r="AH198" s="28"/>
      <c r="AI198" s="28" t="n">
        <f aca="false">AH198*$M198</f>
        <v>0</v>
      </c>
      <c r="AJ198" s="28"/>
      <c r="AK198" s="28" t="n">
        <f aca="false">AJ198*$M198</f>
        <v>0</v>
      </c>
      <c r="AL198" s="28"/>
      <c r="AM198" s="28" t="n">
        <f aca="false">AL198*$M198</f>
        <v>0</v>
      </c>
      <c r="AN198" s="28" t="n">
        <v>12</v>
      </c>
      <c r="AO198" s="28" t="n">
        <v>204</v>
      </c>
      <c r="AP198" s="28"/>
      <c r="AQ198" s="28" t="n">
        <f aca="false">AP198*$M198</f>
        <v>0</v>
      </c>
      <c r="AR198" s="28"/>
      <c r="AS198" s="28" t="n">
        <f aca="false">AR198*$M198</f>
        <v>0</v>
      </c>
      <c r="AT198" s="28"/>
      <c r="AU198" s="28" t="n">
        <f aca="false">AT198*$M198</f>
        <v>0</v>
      </c>
      <c r="AV198" s="28"/>
      <c r="AW198" s="28" t="n">
        <f aca="false">AV198*$M198</f>
        <v>0</v>
      </c>
      <c r="AX198" s="28"/>
      <c r="AY198" s="28" t="n">
        <f aca="false">AX198*$M198</f>
        <v>0</v>
      </c>
      <c r="AZ198" s="28"/>
      <c r="BA198" s="28" t="n">
        <f aca="false">AZ198*$M198</f>
        <v>0</v>
      </c>
      <c r="BB198" s="30" t="n">
        <v>357</v>
      </c>
      <c r="BC198" s="11" t="n">
        <v>6069</v>
      </c>
      <c r="BD198" s="31" t="n">
        <f aca="false">SUM(S198,U198,W198,Y198,AA198,AC198,AE198,AG198,AI198,AK198,AM198,AO198,AQ198,AS198,AU198,AW198,AY198,BA198)</f>
        <v>6069</v>
      </c>
      <c r="BE198" s="28" t="n">
        <f aca="false">BC198-BD198</f>
        <v>0</v>
      </c>
      <c r="BF198" s="32" t="n">
        <f aca="false">SUM(R198,T198,V198,X198,Z198,AB198,AD198,AF198,AH198,AJ198,AL198,AN198,AP198,AR198,AT198,AV198,AX198,AZ198)</f>
        <v>357</v>
      </c>
      <c r="BG198" s="33" t="n">
        <f aca="false">BB198-BF198</f>
        <v>0</v>
      </c>
      <c r="BH198" s="34" t="n">
        <f aca="false">BF198*M198</f>
        <v>6069</v>
      </c>
      <c r="BI198" s="35" t="n">
        <f aca="false">BC198-BH198</f>
        <v>0</v>
      </c>
      <c r="BJ198" s="19" t="str">
        <f aca="false">IF(BI198=0,"",IF(BI198&lt;&gt;BC198,"erreur de calcul",IF(BF198&lt;&gt;0,"pas de prix",IF(M198&lt;&gt; 0,"pas de quantité","pas de prix, ni de quantité"))))</f>
        <v/>
      </c>
      <c r="BK198" s="19" t="s">
        <v>275</v>
      </c>
    </row>
    <row r="199" customFormat="false" ht="16" hidden="false" customHeight="false" outlineLevel="0" collapsed="false">
      <c r="A199" s="0" t="n">
        <v>33</v>
      </c>
      <c r="B199" s="8" t="s">
        <v>24</v>
      </c>
      <c r="C199" s="9" t="s">
        <v>25</v>
      </c>
      <c r="D199" s="9" t="s">
        <v>26</v>
      </c>
      <c r="E199" s="10" t="n">
        <v>1789</v>
      </c>
      <c r="F199" s="9" t="s">
        <v>27</v>
      </c>
      <c r="G199" s="9" t="s">
        <v>27</v>
      </c>
      <c r="H199" s="11" t="n">
        <v>23</v>
      </c>
      <c r="I199" s="11" t="s">
        <v>276</v>
      </c>
      <c r="J199" s="14" t="n">
        <v>36</v>
      </c>
      <c r="K199" s="14"/>
      <c r="L199" s="16"/>
      <c r="M199" s="27" t="n">
        <f aca="false">J199+(K199/20)+(L199/240)</f>
        <v>36</v>
      </c>
      <c r="N199" s="17" t="s">
        <v>275</v>
      </c>
      <c r="O199" s="11" t="s">
        <v>277</v>
      </c>
      <c r="P199" s="28" t="n">
        <v>1860</v>
      </c>
      <c r="Q199" s="28" t="n">
        <v>66960</v>
      </c>
      <c r="R199" s="28"/>
      <c r="S199" s="28" t="n">
        <f aca="false">R199*$M199</f>
        <v>0</v>
      </c>
      <c r="T199" s="28"/>
      <c r="U199" s="28" t="n">
        <f aca="false">T199*$M199</f>
        <v>0</v>
      </c>
      <c r="V199" s="28"/>
      <c r="W199" s="28" t="n">
        <f aca="false">V199*$M199</f>
        <v>0</v>
      </c>
      <c r="X199" s="28"/>
      <c r="Y199" s="28" t="n">
        <f aca="false">X199*$M199</f>
        <v>0</v>
      </c>
      <c r="Z199" s="28"/>
      <c r="AA199" s="28" t="n">
        <f aca="false">Z199*$M199</f>
        <v>0</v>
      </c>
      <c r="AB199" s="28"/>
      <c r="AC199" s="28" t="n">
        <f aca="false">AB199*$M199</f>
        <v>0</v>
      </c>
      <c r="AD199" s="28"/>
      <c r="AE199" s="28" t="n">
        <f aca="false">AD199*$M199</f>
        <v>0</v>
      </c>
      <c r="AF199" s="28"/>
      <c r="AG199" s="28" t="n">
        <f aca="false">AF199*$M199</f>
        <v>0</v>
      </c>
      <c r="AH199" s="28"/>
      <c r="AI199" s="28" t="n">
        <f aca="false">AH199*$M199</f>
        <v>0</v>
      </c>
      <c r="AJ199" s="28"/>
      <c r="AK199" s="28" t="n">
        <f aca="false">AJ199*$M199</f>
        <v>0</v>
      </c>
      <c r="AL199" s="28"/>
      <c r="AM199" s="28" t="n">
        <f aca="false">AL199*$M199</f>
        <v>0</v>
      </c>
      <c r="AN199" s="28"/>
      <c r="AO199" s="28" t="n">
        <f aca="false">AN199*$M199</f>
        <v>0</v>
      </c>
      <c r="AP199" s="28"/>
      <c r="AQ199" s="28" t="n">
        <f aca="false">AP199*$M199</f>
        <v>0</v>
      </c>
      <c r="AR199" s="28"/>
      <c r="AS199" s="28" t="n">
        <f aca="false">AR199*$M199</f>
        <v>0</v>
      </c>
      <c r="AT199" s="28"/>
      <c r="AU199" s="28" t="n">
        <f aca="false">AT199*$M199</f>
        <v>0</v>
      </c>
      <c r="AV199" s="28"/>
      <c r="AW199" s="28" t="n">
        <f aca="false">AV199*$M199</f>
        <v>0</v>
      </c>
      <c r="AX199" s="28"/>
      <c r="AY199" s="28" t="n">
        <f aca="false">AX199*$M199</f>
        <v>0</v>
      </c>
      <c r="AZ199" s="28"/>
      <c r="BA199" s="28" t="n">
        <f aca="false">AZ199*$M199</f>
        <v>0</v>
      </c>
      <c r="BB199" s="30"/>
      <c r="BC199" s="11"/>
      <c r="BD199" s="31" t="n">
        <f aca="false">SUM(S199,U199,W199,Y199,AA199,AC199,AE199,AG199,AI199,AK199,AM199,AO199,AQ199,AS199,AU199,AW199,AY199,BA199)</f>
        <v>0</v>
      </c>
      <c r="BE199" s="28" t="n">
        <f aca="false">BC199-BD199</f>
        <v>0</v>
      </c>
      <c r="BF199" s="32" t="n">
        <f aca="false">SUM(R199,T199,V199,X199,Z199,AB199,AD199,AF199,AH199,AJ199,AL199,AN199,AP199,AR199,AT199,AV199,AX199,AZ199)</f>
        <v>0</v>
      </c>
      <c r="BG199" s="33" t="n">
        <f aca="false">BB199-BF199</f>
        <v>0</v>
      </c>
      <c r="BH199" s="34" t="n">
        <f aca="false">BF199*M199</f>
        <v>0</v>
      </c>
      <c r="BI199" s="35" t="n">
        <f aca="false">BC199-BH199</f>
        <v>0</v>
      </c>
      <c r="BJ199" s="19" t="str">
        <f aca="false">IF(BI199=0,"",IF(BI199&lt;&gt;BC199,"erreur de calcul",IF(BF199&lt;&gt;0,"pas de prix",IF(M199&lt;&gt; 0,"pas de quantité","pas de prix, ni de quantité"))))</f>
        <v/>
      </c>
      <c r="BK199" s="19" t="s">
        <v>275</v>
      </c>
    </row>
    <row r="200" customFormat="false" ht="16" hidden="false" customHeight="false" outlineLevel="0" collapsed="false">
      <c r="A200" s="0" t="n">
        <v>34</v>
      </c>
      <c r="B200" s="8" t="s">
        <v>24</v>
      </c>
      <c r="C200" s="9" t="s">
        <v>25</v>
      </c>
      <c r="D200" s="9" t="s">
        <v>26</v>
      </c>
      <c r="E200" s="10" t="n">
        <v>1789</v>
      </c>
      <c r="F200" s="9" t="s">
        <v>27</v>
      </c>
      <c r="G200" s="9" t="s">
        <v>27</v>
      </c>
      <c r="H200" s="11" t="n">
        <v>23</v>
      </c>
      <c r="I200" s="11" t="s">
        <v>276</v>
      </c>
      <c r="J200" s="14" t="n">
        <v>36</v>
      </c>
      <c r="K200" s="14"/>
      <c r="L200" s="16"/>
      <c r="M200" s="27" t="n">
        <f aca="false">J200+(K200/20)+(L200/240)</f>
        <v>36</v>
      </c>
      <c r="N200" s="17" t="s">
        <v>275</v>
      </c>
      <c r="O200" s="11" t="s">
        <v>77</v>
      </c>
      <c r="P200" s="28" t="n">
        <v>900</v>
      </c>
      <c r="Q200" s="28" t="n">
        <v>32400</v>
      </c>
      <c r="R200" s="28" t="n">
        <v>7250</v>
      </c>
      <c r="S200" s="28" t="n">
        <v>261000</v>
      </c>
      <c r="T200" s="28"/>
      <c r="U200" s="28" t="n">
        <f aca="false">T200*$M200</f>
        <v>0</v>
      </c>
      <c r="V200" s="28" t="n">
        <v>38389</v>
      </c>
      <c r="W200" s="28" t="n">
        <v>1382004</v>
      </c>
      <c r="X200" s="28" t="n">
        <v>19350</v>
      </c>
      <c r="Y200" s="28" t="n">
        <v>696600</v>
      </c>
      <c r="Z200" s="28" t="n">
        <v>25392</v>
      </c>
      <c r="AA200" s="28" t="n">
        <v>914112</v>
      </c>
      <c r="AB200" s="28" t="n">
        <v>31863</v>
      </c>
      <c r="AC200" s="28" t="n">
        <v>1147068</v>
      </c>
      <c r="AD200" s="28" t="n">
        <v>149064</v>
      </c>
      <c r="AE200" s="28" t="n">
        <v>5366304</v>
      </c>
      <c r="AF200" s="28" t="n">
        <v>1270</v>
      </c>
      <c r="AG200" s="28" t="n">
        <v>45720</v>
      </c>
      <c r="AH200" s="28" t="n">
        <v>54784</v>
      </c>
      <c r="AI200" s="28" t="n">
        <v>1972224</v>
      </c>
      <c r="AJ200" s="28" t="n">
        <v>1200</v>
      </c>
      <c r="AK200" s="28" t="n">
        <v>43200</v>
      </c>
      <c r="AL200" s="28" t="n">
        <v>10055</v>
      </c>
      <c r="AM200" s="28" t="n">
        <v>361980</v>
      </c>
      <c r="AN200" s="28"/>
      <c r="AO200" s="28" t="n">
        <f aca="false">AN200*$M200</f>
        <v>0</v>
      </c>
      <c r="AP200" s="28"/>
      <c r="AQ200" s="28" t="n">
        <f aca="false">AP200*$M200</f>
        <v>0</v>
      </c>
      <c r="AR200" s="28" t="n">
        <v>220</v>
      </c>
      <c r="AS200" s="28" t="n">
        <f aca="false">AR200*$M200</f>
        <v>7920</v>
      </c>
      <c r="AT200" s="28"/>
      <c r="AU200" s="28" t="n">
        <f aca="false">AT200*$M200</f>
        <v>0</v>
      </c>
      <c r="AV200" s="28"/>
      <c r="AW200" s="28" t="n">
        <f aca="false">AV200*$M200</f>
        <v>0</v>
      </c>
      <c r="AX200" s="28" t="n">
        <v>100</v>
      </c>
      <c r="AY200" s="28" t="n">
        <v>3600</v>
      </c>
      <c r="AZ200" s="28" t="n">
        <v>9241</v>
      </c>
      <c r="BA200" s="28" t="n">
        <v>332676</v>
      </c>
      <c r="BB200" s="30" t="n">
        <v>348178</v>
      </c>
      <c r="BC200" s="11" t="n">
        <v>12534408</v>
      </c>
      <c r="BD200" s="31" t="n">
        <f aca="false">SUM(S200,U200,W200,Y200,AA200,AC200,AE200,AG200,AI200,AK200,AM200,AO200,AQ200,AS200,AU200,AW200,AY200,BA200)</f>
        <v>12534408</v>
      </c>
      <c r="BE200" s="28" t="n">
        <f aca="false">BC200-BD200</f>
        <v>0</v>
      </c>
      <c r="BF200" s="32" t="n">
        <f aca="false">SUM(R200,T200,V200,X200,Z200,AB200,AD200,AF200,AH200,AJ200,AL200,AN200,AP200,AR200,AT200,AV200,AX200,AZ200)</f>
        <v>348178</v>
      </c>
      <c r="BG200" s="33" t="n">
        <f aca="false">BB200-BF200</f>
        <v>0</v>
      </c>
      <c r="BH200" s="34" t="n">
        <f aca="false">BF200*M200</f>
        <v>12534408</v>
      </c>
      <c r="BI200" s="35" t="n">
        <f aca="false">BC200-BH200</f>
        <v>0</v>
      </c>
      <c r="BJ200" s="19" t="str">
        <f aca="false">IF(BI200=0,"",IF(BI200&lt;&gt;BC200,"erreur de calcul",IF(BF200&lt;&gt;0,"pas de prix",IF(M200&lt;&gt; 0,"pas de quantité","pas de prix, ni de quantité"))))</f>
        <v/>
      </c>
      <c r="BK200" s="19"/>
    </row>
    <row r="201" customFormat="false" ht="16" hidden="false" customHeight="false" outlineLevel="0" collapsed="false">
      <c r="A201" s="0" t="n">
        <v>35</v>
      </c>
      <c r="B201" s="8" t="s">
        <v>24</v>
      </c>
      <c r="C201" s="9" t="s">
        <v>25</v>
      </c>
      <c r="D201" s="9" t="s">
        <v>26</v>
      </c>
      <c r="E201" s="10" t="n">
        <v>1789</v>
      </c>
      <c r="F201" s="9" t="s">
        <v>27</v>
      </c>
      <c r="G201" s="9" t="s">
        <v>27</v>
      </c>
      <c r="H201" s="11" t="n">
        <v>23</v>
      </c>
      <c r="I201" s="11" t="s">
        <v>278</v>
      </c>
      <c r="J201" s="14" t="n">
        <v>12</v>
      </c>
      <c r="K201" s="14"/>
      <c r="L201" s="16"/>
      <c r="M201" s="27" t="n">
        <f aca="false">J201+(K201/20)+(L201/240)</f>
        <v>12</v>
      </c>
      <c r="N201" s="17" t="s">
        <v>64</v>
      </c>
      <c r="O201" s="11" t="s">
        <v>77</v>
      </c>
      <c r="P201" s="28" t="n">
        <f aca="false">10417/100</f>
        <v>104.17</v>
      </c>
      <c r="Q201" s="28" t="n">
        <v>1250</v>
      </c>
      <c r="R201" s="28" t="n">
        <f aca="false">351312/100</f>
        <v>3513.12</v>
      </c>
      <c r="S201" s="28" t="n">
        <v>42157</v>
      </c>
      <c r="T201" s="28"/>
      <c r="U201" s="28" t="n">
        <f aca="false">T201*$M201</f>
        <v>0</v>
      </c>
      <c r="V201" s="28" t="n">
        <f aca="false">52251/100</f>
        <v>522.51</v>
      </c>
      <c r="W201" s="28" t="n">
        <v>6270</v>
      </c>
      <c r="X201" s="28" t="n">
        <f aca="false">2393/100</f>
        <v>23.93</v>
      </c>
      <c r="Y201" s="28" t="n">
        <v>287</v>
      </c>
      <c r="Z201" s="28" t="n">
        <f aca="false">44842/100</f>
        <v>448.42</v>
      </c>
      <c r="AA201" s="28" t="n">
        <v>5381</v>
      </c>
      <c r="AB201" s="28"/>
      <c r="AC201" s="28" t="n">
        <f aca="false">AB201*$M201</f>
        <v>0</v>
      </c>
      <c r="AD201" s="28"/>
      <c r="AE201" s="28" t="n">
        <f aca="false">AD201*$M201</f>
        <v>0</v>
      </c>
      <c r="AF201" s="28"/>
      <c r="AG201" s="28" t="n">
        <f aca="false">AF201*$M201</f>
        <v>0</v>
      </c>
      <c r="AH201" s="28" t="n">
        <f aca="false">164167/100</f>
        <v>1641.67</v>
      </c>
      <c r="AI201" s="28" t="n">
        <v>19700</v>
      </c>
      <c r="AJ201" s="28"/>
      <c r="AK201" s="28" t="n">
        <f aca="false">AJ201*$M201</f>
        <v>0</v>
      </c>
      <c r="AL201" s="28"/>
      <c r="AM201" s="28" t="n">
        <f aca="false">AL201*$M201</f>
        <v>0</v>
      </c>
      <c r="AN201" s="28"/>
      <c r="AO201" s="28" t="n">
        <f aca="false">AN201*$M201</f>
        <v>0</v>
      </c>
      <c r="AP201" s="28"/>
      <c r="AQ201" s="28" t="n">
        <f aca="false">AP201*$M201</f>
        <v>0</v>
      </c>
      <c r="AR201" s="28"/>
      <c r="AS201" s="28" t="n">
        <f aca="false">AR201*$M201</f>
        <v>0</v>
      </c>
      <c r="AT201" s="28"/>
      <c r="AU201" s="28" t="n">
        <f aca="false">AT201*$M201</f>
        <v>0</v>
      </c>
      <c r="AV201" s="28"/>
      <c r="AW201" s="28" t="n">
        <f aca="false">AV201*$M201</f>
        <v>0</v>
      </c>
      <c r="AX201" s="28"/>
      <c r="AY201" s="28" t="n">
        <f aca="false">AX201*$M201</f>
        <v>0</v>
      </c>
      <c r="AZ201" s="28" t="n">
        <f aca="false">25000/100</f>
        <v>250</v>
      </c>
      <c r="BA201" s="28" t="n">
        <v>3000</v>
      </c>
      <c r="BB201" s="30"/>
      <c r="BC201" s="11" t="n">
        <v>76795</v>
      </c>
      <c r="BD201" s="31" t="n">
        <f aca="false">SUM(S201,U201,W201,Y201,AA201,AC201,AE201,AG201,AI201,AK201,AM201,AO201,AQ201,AS201,AU201,AW201,AY201,BA201)</f>
        <v>76795</v>
      </c>
      <c r="BE201" s="28" t="n">
        <f aca="false">BC201-BD201</f>
        <v>0</v>
      </c>
      <c r="BF201" s="32" t="n">
        <f aca="false">SUM(R201,T201,V201,X201,Z201,AB201,AD201,AF201,AH201,AJ201,AL201,AN201,AP201,AR201,AT201,AV201,AX201,AZ201)</f>
        <v>6399.65</v>
      </c>
      <c r="BG201" s="33" t="n">
        <f aca="false">BB201-BF201</f>
        <v>-6399.65</v>
      </c>
      <c r="BH201" s="34" t="n">
        <f aca="false">BF201*M201</f>
        <v>76795.8</v>
      </c>
      <c r="BI201" s="35" t="n">
        <f aca="false">BC201-BH201</f>
        <v>-0.799999999988359</v>
      </c>
      <c r="BJ201" s="19" t="str">
        <f aca="false">IF(BI201=0,"",IF(BI201&lt;&gt;BC201,"erreur de calcul",IF(BF201&lt;&gt;0,"pas de prix",IF(M201&lt;&gt; 0,"pas de quantité","pas de prix, ni de quantité"))))</f>
        <v>erreur de calcul</v>
      </c>
      <c r="BK201" s="19"/>
    </row>
    <row r="202" customFormat="false" ht="16" hidden="false" customHeight="false" outlineLevel="0" collapsed="false">
      <c r="A202" s="0" t="n">
        <v>36</v>
      </c>
      <c r="B202" s="8" t="s">
        <v>24</v>
      </c>
      <c r="C202" s="9" t="s">
        <v>25</v>
      </c>
      <c r="D202" s="9" t="s">
        <v>26</v>
      </c>
      <c r="E202" s="10" t="n">
        <v>1789</v>
      </c>
      <c r="F202" s="9" t="s">
        <v>27</v>
      </c>
      <c r="G202" s="9" t="s">
        <v>27</v>
      </c>
      <c r="H202" s="11" t="n">
        <v>23</v>
      </c>
      <c r="I202" s="11" t="s">
        <v>279</v>
      </c>
      <c r="J202" s="14" t="n">
        <v>18</v>
      </c>
      <c r="K202" s="14"/>
      <c r="L202" s="16"/>
      <c r="M202" s="27" t="n">
        <f aca="false">J202+(K202/20)+(L202/240)</f>
        <v>18</v>
      </c>
      <c r="N202" s="17" t="s">
        <v>275</v>
      </c>
      <c r="O202" s="11"/>
      <c r="P202" s="28"/>
      <c r="Q202" s="28" t="str">
        <f aca="false">IF(O202&lt;&gt;"",P202*M202,"")</f>
        <v/>
      </c>
      <c r="R202" s="28"/>
      <c r="S202" s="28" t="n">
        <f aca="false">R202*$M202</f>
        <v>0</v>
      </c>
      <c r="T202" s="28"/>
      <c r="U202" s="28" t="n">
        <f aca="false">T202*$M202</f>
        <v>0</v>
      </c>
      <c r="V202" s="28" t="n">
        <v>100</v>
      </c>
      <c r="W202" s="28" t="n">
        <v>1800</v>
      </c>
      <c r="X202" s="28"/>
      <c r="Y202" s="28" t="n">
        <f aca="false">X202*$M202</f>
        <v>0</v>
      </c>
      <c r="Z202" s="28"/>
      <c r="AA202" s="28" t="n">
        <f aca="false">Z202*$M202</f>
        <v>0</v>
      </c>
      <c r="AB202" s="28"/>
      <c r="AC202" s="28" t="n">
        <f aca="false">AB202*$M202</f>
        <v>0</v>
      </c>
      <c r="AD202" s="28" t="n">
        <v>1936</v>
      </c>
      <c r="AE202" s="28" t="n">
        <v>34848</v>
      </c>
      <c r="AF202" s="28"/>
      <c r="AG202" s="28" t="n">
        <f aca="false">AF202*$M202</f>
        <v>0</v>
      </c>
      <c r="AH202" s="28" t="n">
        <v>600</v>
      </c>
      <c r="AI202" s="28" t="n">
        <v>10800</v>
      </c>
      <c r="AJ202" s="28"/>
      <c r="AK202" s="28" t="n">
        <f aca="false">AJ202*$M202</f>
        <v>0</v>
      </c>
      <c r="AL202" s="28"/>
      <c r="AM202" s="28" t="n">
        <f aca="false">AL202*$M202</f>
        <v>0</v>
      </c>
      <c r="AN202" s="28" t="n">
        <v>12</v>
      </c>
      <c r="AO202" s="28" t="n">
        <v>216</v>
      </c>
      <c r="AP202" s="28"/>
      <c r="AQ202" s="28" t="n">
        <f aca="false">AP202*$M202</f>
        <v>0</v>
      </c>
      <c r="AR202" s="28" t="n">
        <v>12</v>
      </c>
      <c r="AS202" s="28" t="n">
        <v>216</v>
      </c>
      <c r="AT202" s="28"/>
      <c r="AU202" s="28" t="n">
        <f aca="false">AT202*$M202</f>
        <v>0</v>
      </c>
      <c r="AV202" s="28"/>
      <c r="AW202" s="28" t="n">
        <f aca="false">AV202*$M202</f>
        <v>0</v>
      </c>
      <c r="AX202" s="28"/>
      <c r="AY202" s="28" t="n">
        <f aca="false">AX202*$M202</f>
        <v>0</v>
      </c>
      <c r="AZ202" s="28"/>
      <c r="BA202" s="28" t="n">
        <f aca="false">AZ202*$M202</f>
        <v>0</v>
      </c>
      <c r="BB202" s="30" t="n">
        <v>2660</v>
      </c>
      <c r="BC202" s="11" t="n">
        <v>47880</v>
      </c>
      <c r="BD202" s="31" t="n">
        <f aca="false">SUM(S202,U202,W202,Y202,AA202,AC202,AE202,AG202,AI202,AK202,AM202,AO202,AQ202,AS202,AU202,AW202,AY202,BA202)</f>
        <v>47880</v>
      </c>
      <c r="BE202" s="28" t="n">
        <f aca="false">BC202-BD202</f>
        <v>0</v>
      </c>
      <c r="BF202" s="32" t="n">
        <f aca="false">SUM(R202,T202,V202,X202,Z202,AB202,AD202,AF202,AH202,AJ202,AL202,AN202,AP202,AR202,AT202,AV202,AX202,AZ202)</f>
        <v>2660</v>
      </c>
      <c r="BG202" s="33" t="n">
        <f aca="false">BB202-BF202</f>
        <v>0</v>
      </c>
      <c r="BH202" s="34" t="n">
        <f aca="false">BF202*M202</f>
        <v>47880</v>
      </c>
      <c r="BI202" s="35" t="n">
        <f aca="false">BC202-BH202</f>
        <v>0</v>
      </c>
      <c r="BJ202" s="19" t="str">
        <f aca="false">IF(BI202=0,"",IF(BI202&lt;&gt;BC202,"erreur de calcul",IF(BF202&lt;&gt;0,"pas de prix",IF(M202&lt;&gt; 0,"pas de quantité","pas de prix, ni de quantité"))))</f>
        <v/>
      </c>
      <c r="BK202" s="19"/>
    </row>
    <row r="203" customFormat="false" ht="16" hidden="false" customHeight="false" outlineLevel="0" collapsed="false">
      <c r="A203" s="0" t="n">
        <v>37</v>
      </c>
      <c r="B203" s="8" t="s">
        <v>24</v>
      </c>
      <c r="C203" s="9" t="s">
        <v>25</v>
      </c>
      <c r="D203" s="9" t="s">
        <v>26</v>
      </c>
      <c r="E203" s="10" t="n">
        <v>1789</v>
      </c>
      <c r="F203" s="9" t="s">
        <v>27</v>
      </c>
      <c r="G203" s="9" t="s">
        <v>27</v>
      </c>
      <c r="H203" s="11" t="n">
        <v>23</v>
      </c>
      <c r="I203" s="11" t="s">
        <v>280</v>
      </c>
      <c r="J203" s="14" t="n">
        <v>25</v>
      </c>
      <c r="K203" s="14"/>
      <c r="L203" s="16"/>
      <c r="M203" s="27" t="n">
        <f aca="false">J203+(K203/20)+(L203/240)</f>
        <v>25</v>
      </c>
      <c r="N203" s="17" t="s">
        <v>64</v>
      </c>
      <c r="O203" s="11"/>
      <c r="P203" s="28"/>
      <c r="Q203" s="28" t="str">
        <f aca="false">IF(O203&lt;&gt;"",P203*M203,"")</f>
        <v/>
      </c>
      <c r="R203" s="28"/>
      <c r="S203" s="28" t="n">
        <f aca="false">R203*$M203</f>
        <v>0</v>
      </c>
      <c r="T203" s="28"/>
      <c r="U203" s="28" t="n">
        <f aca="false">T203*$M203</f>
        <v>0</v>
      </c>
      <c r="V203" s="28" t="n">
        <f aca="false">1664501/100</f>
        <v>16645.01</v>
      </c>
      <c r="W203" s="28" t="n">
        <v>416125</v>
      </c>
      <c r="X203" s="28" t="n">
        <f aca="false">2171980/100</f>
        <v>21719.8</v>
      </c>
      <c r="Y203" s="28" t="n">
        <v>542995</v>
      </c>
      <c r="Z203" s="28" t="n">
        <f aca="false">11567/100</f>
        <v>115.67</v>
      </c>
      <c r="AA203" s="28" t="n">
        <v>2892</v>
      </c>
      <c r="AB203" s="28" t="n">
        <f aca="false">985/100</f>
        <v>9.85</v>
      </c>
      <c r="AC203" s="28" t="n">
        <v>246</v>
      </c>
      <c r="AD203" s="28" t="n">
        <f aca="false">399494/100</f>
        <v>3994.94</v>
      </c>
      <c r="AE203" s="28" t="n">
        <v>99873</v>
      </c>
      <c r="AF203" s="28"/>
      <c r="AG203" s="28" t="n">
        <f aca="false">AF203*$M203</f>
        <v>0</v>
      </c>
      <c r="AH203" s="28"/>
      <c r="AI203" s="28" t="n">
        <f aca="false">AH203*$M203</f>
        <v>0</v>
      </c>
      <c r="AJ203" s="28"/>
      <c r="AK203" s="28" t="n">
        <f aca="false">AJ203*$M203</f>
        <v>0</v>
      </c>
      <c r="AL203" s="28"/>
      <c r="AM203" s="28" t="n">
        <f aca="false">AL203*$M203</f>
        <v>0</v>
      </c>
      <c r="AN203" s="28"/>
      <c r="AO203" s="28" t="n">
        <f aca="false">AN203*$M203</f>
        <v>0</v>
      </c>
      <c r="AP203" s="28"/>
      <c r="AQ203" s="28" t="n">
        <f aca="false">AP203*$M203</f>
        <v>0</v>
      </c>
      <c r="AR203" s="28"/>
      <c r="AS203" s="28" t="n">
        <f aca="false">AR203*$M203</f>
        <v>0</v>
      </c>
      <c r="AT203" s="28"/>
      <c r="AU203" s="28" t="n">
        <f aca="false">AT203*$M203</f>
        <v>0</v>
      </c>
      <c r="AV203" s="28"/>
      <c r="AW203" s="28" t="n">
        <f aca="false">AV203*$M203</f>
        <v>0</v>
      </c>
      <c r="AX203" s="28"/>
      <c r="AY203" s="28" t="n">
        <f aca="false">AX203*$M203</f>
        <v>0</v>
      </c>
      <c r="AZ203" s="28" t="n">
        <f aca="false">57000/100</f>
        <v>570</v>
      </c>
      <c r="BA203" s="28" t="n">
        <v>14250</v>
      </c>
      <c r="BB203" s="30" t="n">
        <f aca="false">4305527/100</f>
        <v>43055.27</v>
      </c>
      <c r="BC203" s="11" t="n">
        <v>1076381</v>
      </c>
      <c r="BD203" s="31" t="n">
        <f aca="false">SUM(S203,U203,W203,Y203,AA203,AC203,AE203,AG203,AI203,AK203,AM203,AO203,AQ203,AS203,AU203,AW203,AY203,BA203)</f>
        <v>1076381</v>
      </c>
      <c r="BE203" s="28" t="n">
        <f aca="false">BC203-BD203</f>
        <v>0</v>
      </c>
      <c r="BF203" s="32" t="n">
        <f aca="false">SUM(R203,T203,V203,X203,Z203,AB203,AD203,AF203,AH203,AJ203,AL203,AN203,AP203,AR203,AT203,AV203,AX203,AZ203)</f>
        <v>43055.27</v>
      </c>
      <c r="BG203" s="33" t="n">
        <f aca="false">BB203-BF203</f>
        <v>0</v>
      </c>
      <c r="BH203" s="34" t="n">
        <f aca="false">BF203*M203</f>
        <v>1076381.75</v>
      </c>
      <c r="BI203" s="35" t="n">
        <f aca="false">BC203-BH203</f>
        <v>-0.75</v>
      </c>
      <c r="BJ203" s="19" t="str">
        <f aca="false">IF(BI203=0,"",IF(BI203&lt;&gt;BC203,"erreur de calcul",IF(BF203&lt;&gt;0,"pas de prix",IF(M203&lt;&gt; 0,"pas de quantité","pas de prix, ni de quantité"))))</f>
        <v>erreur de calcul</v>
      </c>
      <c r="BK203" s="19"/>
    </row>
    <row r="204" customFormat="false" ht="16" hidden="false" customHeight="false" outlineLevel="0" collapsed="false">
      <c r="A204" s="0" t="n">
        <v>38</v>
      </c>
      <c r="B204" s="8" t="s">
        <v>24</v>
      </c>
      <c r="C204" s="9" t="s">
        <v>25</v>
      </c>
      <c r="D204" s="9" t="s">
        <v>26</v>
      </c>
      <c r="E204" s="10" t="n">
        <v>1789</v>
      </c>
      <c r="F204" s="9" t="s">
        <v>27</v>
      </c>
      <c r="G204" s="9" t="s">
        <v>27</v>
      </c>
      <c r="H204" s="11" t="n">
        <v>23</v>
      </c>
      <c r="I204" s="11" t="s">
        <v>281</v>
      </c>
      <c r="J204" s="14" t="n">
        <v>18</v>
      </c>
      <c r="K204" s="14"/>
      <c r="L204" s="16"/>
      <c r="M204" s="27" t="n">
        <f aca="false">J204+(K204/20)+(L204/240)</f>
        <v>18</v>
      </c>
      <c r="N204" s="17" t="s">
        <v>275</v>
      </c>
      <c r="O204" s="11"/>
      <c r="P204" s="28"/>
      <c r="Q204" s="28" t="str">
        <f aca="false">IF(O204&lt;&gt;"",P204*M204,"")</f>
        <v/>
      </c>
      <c r="R204" s="28"/>
      <c r="S204" s="28" t="n">
        <f aca="false">R204*$M204</f>
        <v>0</v>
      </c>
      <c r="T204" s="28"/>
      <c r="U204" s="28" t="n">
        <f aca="false">T204*$M204</f>
        <v>0</v>
      </c>
      <c r="V204" s="28" t="n">
        <v>537</v>
      </c>
      <c r="W204" s="28" t="n">
        <v>9666</v>
      </c>
      <c r="X204" s="28"/>
      <c r="Y204" s="28" t="n">
        <f aca="false">X204*$M204</f>
        <v>0</v>
      </c>
      <c r="Z204" s="28"/>
      <c r="AA204" s="28" t="n">
        <f aca="false">Z204*$M204</f>
        <v>0</v>
      </c>
      <c r="AB204" s="28"/>
      <c r="AC204" s="28" t="n">
        <f aca="false">AB204*$M204</f>
        <v>0</v>
      </c>
      <c r="AD204" s="28"/>
      <c r="AE204" s="28" t="n">
        <f aca="false">AD204*$M204</f>
        <v>0</v>
      </c>
      <c r="AF204" s="28"/>
      <c r="AG204" s="28" t="n">
        <f aca="false">AF204*$M204</f>
        <v>0</v>
      </c>
      <c r="AH204" s="28"/>
      <c r="AI204" s="28" t="n">
        <f aca="false">AH204*$M204</f>
        <v>0</v>
      </c>
      <c r="AJ204" s="28"/>
      <c r="AK204" s="28" t="n">
        <f aca="false">AJ204*$M204</f>
        <v>0</v>
      </c>
      <c r="AL204" s="28"/>
      <c r="AM204" s="28" t="n">
        <f aca="false">AL204*$M204</f>
        <v>0</v>
      </c>
      <c r="AN204" s="28"/>
      <c r="AO204" s="28" t="n">
        <f aca="false">AN204*$M204</f>
        <v>0</v>
      </c>
      <c r="AP204" s="28"/>
      <c r="AQ204" s="28" t="n">
        <f aca="false">AP204*$M204</f>
        <v>0</v>
      </c>
      <c r="AR204" s="28"/>
      <c r="AS204" s="28" t="n">
        <f aca="false">AR204*$M204</f>
        <v>0</v>
      </c>
      <c r="AT204" s="28"/>
      <c r="AU204" s="28" t="n">
        <f aca="false">AT204*$M204</f>
        <v>0</v>
      </c>
      <c r="AV204" s="28"/>
      <c r="AW204" s="28" t="n">
        <f aca="false">AV204*$M204</f>
        <v>0</v>
      </c>
      <c r="AX204" s="28" t="n">
        <v>1700</v>
      </c>
      <c r="AY204" s="36" t="n">
        <v>33600</v>
      </c>
      <c r="AZ204" s="28"/>
      <c r="BA204" s="28" t="n">
        <f aca="false">AZ204*$M204</f>
        <v>0</v>
      </c>
      <c r="BB204" s="30" t="n">
        <v>2237</v>
      </c>
      <c r="BC204" s="11" t="n">
        <v>43266</v>
      </c>
      <c r="BD204" s="31" t="n">
        <f aca="false">SUM(S204,U204,W204,Y204,AA204,AC204,AE204,AG204,AI204,AK204,AM204,AO204,AQ204,AS204,AU204,AW204,AY204,BA204)</f>
        <v>43266</v>
      </c>
      <c r="BE204" s="28" t="n">
        <f aca="false">BC204-BD204</f>
        <v>0</v>
      </c>
      <c r="BF204" s="32" t="n">
        <f aca="false">SUM(R204,T204,V204,X204,Z204,AB204,AD204,AF204,AH204,AJ204,AL204,AN204,AP204,AR204,AT204,AV204,AX204,AZ204)</f>
        <v>2237</v>
      </c>
      <c r="BG204" s="33" t="n">
        <f aca="false">BB204-BF204</f>
        <v>0</v>
      </c>
      <c r="BH204" s="34" t="n">
        <f aca="false">BF204*M204</f>
        <v>40266</v>
      </c>
      <c r="BI204" s="35" t="n">
        <f aca="false">BC204-BH204</f>
        <v>3000</v>
      </c>
      <c r="BJ204" s="19" t="str">
        <f aca="false">IF(BI204=0,"",IF(BI204&lt;&gt;BC204,"erreur de calcul",IF(BF204&lt;&gt;0,"pas de prix",IF(M204&lt;&gt; 0,"pas de quantité","pas de prix, ni de quantité"))))</f>
        <v>erreur de calcul</v>
      </c>
      <c r="BK204" s="19"/>
    </row>
    <row r="205" customFormat="false" ht="16" hidden="false" customHeight="false" outlineLevel="0" collapsed="false">
      <c r="A205" s="0" t="n">
        <v>39</v>
      </c>
      <c r="B205" s="8" t="s">
        <v>24</v>
      </c>
      <c r="C205" s="9" t="s">
        <v>25</v>
      </c>
      <c r="D205" s="9" t="s">
        <v>26</v>
      </c>
      <c r="E205" s="10" t="n">
        <v>1789</v>
      </c>
      <c r="F205" s="9" t="s">
        <v>27</v>
      </c>
      <c r="G205" s="9" t="s">
        <v>27</v>
      </c>
      <c r="H205" s="11" t="n">
        <v>23</v>
      </c>
      <c r="I205" s="11" t="s">
        <v>282</v>
      </c>
      <c r="J205" s="14"/>
      <c r="K205" s="14"/>
      <c r="L205" s="16"/>
      <c r="M205" s="27" t="n">
        <f aca="false">J205+(K205/20)+(L205/240)</f>
        <v>0</v>
      </c>
      <c r="N205" s="17"/>
      <c r="O205" s="11"/>
      <c r="P205" s="28"/>
      <c r="Q205" s="28" t="str">
        <f aca="false">IF(O205&lt;&gt;"",P205*M205,"")</f>
        <v/>
      </c>
      <c r="R205" s="28"/>
      <c r="S205" s="28" t="n">
        <f aca="false">R205*$M205</f>
        <v>0</v>
      </c>
      <c r="T205" s="28"/>
      <c r="U205" s="28" t="n">
        <f aca="false">T205*$M205</f>
        <v>0</v>
      </c>
      <c r="V205" s="28"/>
      <c r="W205" s="28" t="n">
        <v>1962</v>
      </c>
      <c r="X205" s="28"/>
      <c r="Y205" s="28" t="n">
        <v>148</v>
      </c>
      <c r="Z205" s="28"/>
      <c r="AA205" s="28" t="n">
        <v>221</v>
      </c>
      <c r="AB205" s="28"/>
      <c r="AC205" s="28" t="n">
        <f aca="false">AB205*$M205</f>
        <v>0</v>
      </c>
      <c r="AD205" s="28"/>
      <c r="AE205" s="28" t="n">
        <v>725</v>
      </c>
      <c r="AF205" s="28"/>
      <c r="AG205" s="28" t="n">
        <f aca="false">AF205*$M205</f>
        <v>0</v>
      </c>
      <c r="AH205" s="28"/>
      <c r="AI205" s="28" t="n">
        <v>414</v>
      </c>
      <c r="AJ205" s="28"/>
      <c r="AK205" s="28" t="n">
        <f aca="false">AJ205*$M205</f>
        <v>0</v>
      </c>
      <c r="AL205" s="28"/>
      <c r="AM205" s="28" t="n">
        <f aca="false">AL205*$M205</f>
        <v>0</v>
      </c>
      <c r="AN205" s="28"/>
      <c r="AO205" s="28" t="n">
        <f aca="false">AN205*$M205</f>
        <v>0</v>
      </c>
      <c r="AP205" s="28"/>
      <c r="AQ205" s="28" t="n">
        <f aca="false">AP205*$M205</f>
        <v>0</v>
      </c>
      <c r="AR205" s="28"/>
      <c r="AS205" s="28" t="n">
        <f aca="false">AR205*$M205</f>
        <v>0</v>
      </c>
      <c r="AT205" s="28"/>
      <c r="AU205" s="28" t="n">
        <f aca="false">AT205*$M205</f>
        <v>0</v>
      </c>
      <c r="AV205" s="28"/>
      <c r="AW205" s="28" t="n">
        <v>276</v>
      </c>
      <c r="AX205" s="28"/>
      <c r="AY205" s="28" t="n">
        <f aca="false">AX205*$M205</f>
        <v>0</v>
      </c>
      <c r="AZ205" s="28"/>
      <c r="BA205" s="28" t="n">
        <f aca="false">AZ205*$M205</f>
        <v>0</v>
      </c>
      <c r="BB205" s="30"/>
      <c r="BC205" s="11" t="n">
        <v>3746</v>
      </c>
      <c r="BD205" s="31" t="n">
        <f aca="false">SUM(S205,U205,W205,Y205,AA205,AC205,AE205,AG205,AI205,AK205,AM205,AO205,AQ205,AS205,AU205,AW205,AY205,BA205)</f>
        <v>3746</v>
      </c>
      <c r="BE205" s="28" t="n">
        <f aca="false">BC205-BD205</f>
        <v>0</v>
      </c>
      <c r="BF205" s="32" t="n">
        <f aca="false">SUM(R205,T205,V205,X205,Z205,AB205,AD205,AF205,AH205,AJ205,AL205,AN205,AP205,AR205,AT205,AV205,AX205,AZ205)</f>
        <v>0</v>
      </c>
      <c r="BG205" s="33" t="n">
        <f aca="false">BB205-BF205</f>
        <v>0</v>
      </c>
      <c r="BH205" s="34" t="n">
        <f aca="false">BF205*M205</f>
        <v>0</v>
      </c>
      <c r="BI205" s="35" t="n">
        <f aca="false">BC205-BH205</f>
        <v>3746</v>
      </c>
      <c r="BJ205" s="19" t="str">
        <f aca="false">IF(BI205=0,"",IF(BI205&lt;&gt;BC205,"erreur de calcul",IF(BF205&lt;&gt;0,"pas de prix",IF(M205&lt;&gt; 0,"pas de quantité","pas de prix, ni de quantité"))))</f>
        <v>pas de prix, ni de quantité</v>
      </c>
      <c r="BK205" s="19"/>
    </row>
    <row r="206" customFormat="false" ht="16" hidden="false" customHeight="false" outlineLevel="0" collapsed="false">
      <c r="A206" s="0" t="n">
        <v>40</v>
      </c>
      <c r="B206" s="8" t="s">
        <v>24</v>
      </c>
      <c r="C206" s="9" t="s">
        <v>25</v>
      </c>
      <c r="D206" s="9" t="s">
        <v>26</v>
      </c>
      <c r="E206" s="10" t="n">
        <v>1789</v>
      </c>
      <c r="F206" s="9" t="s">
        <v>27</v>
      </c>
      <c r="G206" s="9" t="s">
        <v>27</v>
      </c>
      <c r="H206" s="11" t="n">
        <v>23</v>
      </c>
      <c r="I206" s="11" t="s">
        <v>283</v>
      </c>
      <c r="J206" s="14" t="n">
        <v>25</v>
      </c>
      <c r="K206" s="14"/>
      <c r="L206" s="16"/>
      <c r="M206" s="27" t="n">
        <f aca="false">J206+(K206/20)+(L206/240)</f>
        <v>25</v>
      </c>
      <c r="N206" s="17" t="s">
        <v>64</v>
      </c>
      <c r="O206" s="11"/>
      <c r="P206" s="28"/>
      <c r="Q206" s="28" t="str">
        <f aca="false">IF(O206&lt;&gt;"",P206*M206,"")</f>
        <v/>
      </c>
      <c r="R206" s="28" t="n">
        <f aca="false">12568/100</f>
        <v>125.68</v>
      </c>
      <c r="S206" s="28" t="n">
        <v>3142</v>
      </c>
      <c r="T206" s="28"/>
      <c r="U206" s="28" t="n">
        <f aca="false">T206*$M206</f>
        <v>0</v>
      </c>
      <c r="V206" s="28"/>
      <c r="W206" s="28" t="n">
        <f aca="false">V206*$M206</f>
        <v>0</v>
      </c>
      <c r="X206" s="28"/>
      <c r="Y206" s="28" t="n">
        <f aca="false">X206*$M206</f>
        <v>0</v>
      </c>
      <c r="Z206" s="28"/>
      <c r="AA206" s="28" t="n">
        <f aca="false">Z206*$M206</f>
        <v>0</v>
      </c>
      <c r="AB206" s="28"/>
      <c r="AC206" s="28" t="n">
        <f aca="false">AB206*$M206</f>
        <v>0</v>
      </c>
      <c r="AD206" s="28"/>
      <c r="AE206" s="28" t="n">
        <f aca="false">AD206*$M206</f>
        <v>0</v>
      </c>
      <c r="AF206" s="28"/>
      <c r="AG206" s="28" t="n">
        <f aca="false">AF206*$M206</f>
        <v>0</v>
      </c>
      <c r="AH206" s="28"/>
      <c r="AI206" s="28" t="n">
        <f aca="false">AH206*$M206</f>
        <v>0</v>
      </c>
      <c r="AJ206" s="28" t="n">
        <f aca="false">5355/100</f>
        <v>53.55</v>
      </c>
      <c r="AK206" s="28" t="n">
        <v>1339</v>
      </c>
      <c r="AL206" s="28"/>
      <c r="AM206" s="28" t="n">
        <f aca="false">AL206*$M206</f>
        <v>0</v>
      </c>
      <c r="AN206" s="28"/>
      <c r="AO206" s="28" t="n">
        <f aca="false">AN206*$M206</f>
        <v>0</v>
      </c>
      <c r="AP206" s="28"/>
      <c r="AQ206" s="28" t="n">
        <f aca="false">AP206*$M206</f>
        <v>0</v>
      </c>
      <c r="AR206" s="28"/>
      <c r="AS206" s="28" t="n">
        <f aca="false">AR206*$M206</f>
        <v>0</v>
      </c>
      <c r="AT206" s="28"/>
      <c r="AU206" s="28" t="n">
        <f aca="false">AT206*$M206</f>
        <v>0</v>
      </c>
      <c r="AV206" s="28"/>
      <c r="AW206" s="28" t="n">
        <f aca="false">AV206*$M206</f>
        <v>0</v>
      </c>
      <c r="AX206" s="28"/>
      <c r="AY206" s="28" t="n">
        <f aca="false">AX206*$M206</f>
        <v>0</v>
      </c>
      <c r="AZ206" s="28"/>
      <c r="BA206" s="28" t="n">
        <f aca="false">AZ206*$M206</f>
        <v>0</v>
      </c>
      <c r="BB206" s="30" t="n">
        <f aca="false">17923/100</f>
        <v>179.23</v>
      </c>
      <c r="BC206" s="11" t="n">
        <v>4481</v>
      </c>
      <c r="BD206" s="31" t="n">
        <f aca="false">SUM(S206,U206,W206,Y206,AA206,AC206,AE206,AG206,AI206,AK206,AM206,AO206,AQ206,AS206,AU206,AW206,AY206,BA206)</f>
        <v>4481</v>
      </c>
      <c r="BE206" s="28" t="n">
        <f aca="false">BC206-BD206</f>
        <v>0</v>
      </c>
      <c r="BF206" s="32" t="n">
        <f aca="false">SUM(R206,T206,V206,X206,Z206,AB206,AD206,AF206,AH206,AJ206,AL206,AN206,AP206,AR206,AT206,AV206,AX206,AZ206)</f>
        <v>179.23</v>
      </c>
      <c r="BG206" s="33" t="n">
        <f aca="false">BB206-BF206</f>
        <v>0</v>
      </c>
      <c r="BH206" s="34" t="n">
        <f aca="false">BF206*M206</f>
        <v>4480.75</v>
      </c>
      <c r="BI206" s="35" t="n">
        <f aca="false">BC206-BH206</f>
        <v>0.25</v>
      </c>
      <c r="BJ206" s="19" t="str">
        <f aca="false">IF(BI206=0,"",IF(BI206&lt;&gt;BC206,"erreur de calcul",IF(BF206&lt;&gt;0,"pas de prix",IF(M206&lt;&gt; 0,"pas de quantité","pas de prix, ni de quantité"))))</f>
        <v>erreur de calcul</v>
      </c>
      <c r="BK206" s="19"/>
    </row>
    <row r="207" customFormat="false" ht="16" hidden="false" customHeight="false" outlineLevel="0" collapsed="false">
      <c r="A207" s="0" t="n">
        <v>41</v>
      </c>
      <c r="B207" s="8" t="s">
        <v>24</v>
      </c>
      <c r="C207" s="9" t="s">
        <v>25</v>
      </c>
      <c r="D207" s="9" t="s">
        <v>26</v>
      </c>
      <c r="E207" s="10" t="n">
        <v>1789</v>
      </c>
      <c r="F207" s="9" t="s">
        <v>27</v>
      </c>
      <c r="G207" s="9" t="s">
        <v>27</v>
      </c>
      <c r="H207" s="11" t="n">
        <v>23</v>
      </c>
      <c r="I207" s="11" t="s">
        <v>284</v>
      </c>
      <c r="J207" s="14" t="n">
        <v>17</v>
      </c>
      <c r="K207" s="14"/>
      <c r="L207" s="16"/>
      <c r="M207" s="27" t="n">
        <f aca="false">J207+(K207/20)+(L207/240)</f>
        <v>17</v>
      </c>
      <c r="N207" s="17" t="s">
        <v>64</v>
      </c>
      <c r="O207" s="11"/>
      <c r="P207" s="28"/>
      <c r="Q207" s="28" t="str">
        <f aca="false">IF(O207&lt;&gt;"",P207*M207,"")</f>
        <v/>
      </c>
      <c r="R207" s="28" t="n">
        <f aca="false">56873/100</f>
        <v>568.73</v>
      </c>
      <c r="S207" s="36" t="n">
        <v>3981</v>
      </c>
      <c r="T207" s="28"/>
      <c r="U207" s="28" t="n">
        <f aca="false">T207*$M207</f>
        <v>0</v>
      </c>
      <c r="V207" s="28"/>
      <c r="W207" s="28" t="n">
        <f aca="false">V207*$M207</f>
        <v>0</v>
      </c>
      <c r="X207" s="28"/>
      <c r="Y207" s="28" t="n">
        <f aca="false">X207*$M207</f>
        <v>0</v>
      </c>
      <c r="Z207" s="28"/>
      <c r="AA207" s="28" t="n">
        <f aca="false">Z207*$M207</f>
        <v>0</v>
      </c>
      <c r="AB207" s="28"/>
      <c r="AC207" s="28" t="n">
        <f aca="false">AB207*$M207</f>
        <v>0</v>
      </c>
      <c r="AD207" s="28"/>
      <c r="AE207" s="28" t="n">
        <f aca="false">AD207*$M207</f>
        <v>0</v>
      </c>
      <c r="AF207" s="28"/>
      <c r="AG207" s="28" t="n">
        <f aca="false">AF207*$M207</f>
        <v>0</v>
      </c>
      <c r="AH207" s="28"/>
      <c r="AI207" s="28" t="n">
        <f aca="false">AH207*$M207</f>
        <v>0</v>
      </c>
      <c r="AJ207" s="28"/>
      <c r="AK207" s="28" t="n">
        <f aca="false">AJ207*$M207</f>
        <v>0</v>
      </c>
      <c r="AL207" s="28" t="n">
        <f aca="false">19651/100</f>
        <v>196.51</v>
      </c>
      <c r="AM207" s="28" t="n">
        <v>3341</v>
      </c>
      <c r="AN207" s="28"/>
      <c r="AO207" s="28" t="n">
        <f aca="false">AN207*$M207</f>
        <v>0</v>
      </c>
      <c r="AP207" s="28"/>
      <c r="AQ207" s="28" t="n">
        <f aca="false">AP207*$M207</f>
        <v>0</v>
      </c>
      <c r="AR207" s="28"/>
      <c r="AS207" s="28" t="n">
        <f aca="false">AR207*$M207</f>
        <v>0</v>
      </c>
      <c r="AT207" s="28"/>
      <c r="AU207" s="28" t="n">
        <f aca="false">AT207*$M207</f>
        <v>0</v>
      </c>
      <c r="AV207" s="28"/>
      <c r="AW207" s="28" t="n">
        <f aca="false">AV207*$M207</f>
        <v>0</v>
      </c>
      <c r="AX207" s="28"/>
      <c r="AY207" s="28" t="n">
        <f aca="false">AX207*$M207</f>
        <v>0</v>
      </c>
      <c r="AZ207" s="28"/>
      <c r="BA207" s="28" t="n">
        <f aca="false">AZ207*$M207</f>
        <v>0</v>
      </c>
      <c r="BB207" s="30" t="n">
        <f aca="false">76524/100</f>
        <v>765.24</v>
      </c>
      <c r="BC207" s="11" t="n">
        <v>7322</v>
      </c>
      <c r="BD207" s="31" t="n">
        <f aca="false">SUM(S207,U207,W207,Y207,AA207,AC207,AE207,AG207,AI207,AK207,AM207,AO207,AQ207,AS207,AU207,AW207,AY207,BA207)</f>
        <v>7322</v>
      </c>
      <c r="BE207" s="28" t="n">
        <f aca="false">BC207-BD207</f>
        <v>0</v>
      </c>
      <c r="BF207" s="32" t="n">
        <f aca="false">SUM(R207,T207,V207,X207,Z207,AB207,AD207,AF207,AH207,AJ207,AL207,AN207,AP207,AR207,AT207,AV207,AX207,AZ207)</f>
        <v>765.24</v>
      </c>
      <c r="BG207" s="33" t="n">
        <f aca="false">BB207-BF207</f>
        <v>0</v>
      </c>
      <c r="BH207" s="34" t="n">
        <f aca="false">BF207*M207</f>
        <v>13009.08</v>
      </c>
      <c r="BI207" s="35" t="n">
        <f aca="false">BC207-BH207</f>
        <v>-5687.08</v>
      </c>
      <c r="BJ207" s="19" t="str">
        <f aca="false">IF(BI207=0,"",IF(BI207&lt;&gt;BC207,"erreur de calcul",IF(BF207&lt;&gt;0,"pas de prix",IF(M207&lt;&gt; 0,"pas de quantité","pas de prix, ni de quantité"))))</f>
        <v>erreur de calcul</v>
      </c>
      <c r="BK207" s="19"/>
    </row>
    <row r="208" customFormat="false" ht="16" hidden="false" customHeight="false" outlineLevel="0" collapsed="false">
      <c r="A208" s="0" t="n">
        <v>42</v>
      </c>
      <c r="B208" s="8" t="s">
        <v>24</v>
      </c>
      <c r="C208" s="9" t="s">
        <v>25</v>
      </c>
      <c r="D208" s="9" t="s">
        <v>26</v>
      </c>
      <c r="E208" s="10" t="n">
        <v>1789</v>
      </c>
      <c r="F208" s="9" t="s">
        <v>27</v>
      </c>
      <c r="G208" s="9" t="s">
        <v>27</v>
      </c>
      <c r="H208" s="11" t="n">
        <v>23</v>
      </c>
      <c r="I208" s="11" t="s">
        <v>285</v>
      </c>
      <c r="J208" s="14" t="n">
        <v>15</v>
      </c>
      <c r="K208" s="14"/>
      <c r="L208" s="16"/>
      <c r="M208" s="27" t="n">
        <f aca="false">J208+(K208/20)+(L208/240)</f>
        <v>15</v>
      </c>
      <c r="N208" s="17" t="s">
        <v>64</v>
      </c>
      <c r="O208" s="11"/>
      <c r="P208" s="28"/>
      <c r="Q208" s="28" t="str">
        <f aca="false">IF(O208&lt;&gt;"",P208*M208,"")</f>
        <v/>
      </c>
      <c r="R208" s="28" t="n">
        <f aca="false">10520/100</f>
        <v>105.2</v>
      </c>
      <c r="S208" s="28" t="n">
        <v>1578</v>
      </c>
      <c r="T208" s="28"/>
      <c r="U208" s="28" t="n">
        <f aca="false">T208*$M208</f>
        <v>0</v>
      </c>
      <c r="V208" s="28"/>
      <c r="W208" s="28" t="n">
        <f aca="false">V208*$M208</f>
        <v>0</v>
      </c>
      <c r="X208" s="28"/>
      <c r="Y208" s="28" t="n">
        <f aca="false">X208*$M208</f>
        <v>0</v>
      </c>
      <c r="Z208" s="28" t="n">
        <f aca="false">39052/100</f>
        <v>390.52</v>
      </c>
      <c r="AA208" s="28" t="n">
        <v>5858</v>
      </c>
      <c r="AB208" s="28"/>
      <c r="AC208" s="28" t="n">
        <f aca="false">AB208*$M208</f>
        <v>0</v>
      </c>
      <c r="AD208" s="28" t="n">
        <f aca="false">101189/100</f>
        <v>1011.89</v>
      </c>
      <c r="AE208" s="28" t="n">
        <v>15178</v>
      </c>
      <c r="AF208" s="28"/>
      <c r="AG208" s="28" t="n">
        <f aca="false">AF208*$M208</f>
        <v>0</v>
      </c>
      <c r="AH208" s="28" t="n">
        <f aca="false">48408/100</f>
        <v>484.08</v>
      </c>
      <c r="AI208" s="28" t="n">
        <v>7261</v>
      </c>
      <c r="AJ208" s="28" t="n">
        <f aca="false">17847/100</f>
        <v>178.47</v>
      </c>
      <c r="AK208" s="28" t="n">
        <v>2677</v>
      </c>
      <c r="AL208" s="28"/>
      <c r="AM208" s="28" t="n">
        <f aca="false">AL208*$M208</f>
        <v>0</v>
      </c>
      <c r="AN208" s="28"/>
      <c r="AO208" s="28" t="n">
        <f aca="false">AN208*$M208</f>
        <v>0</v>
      </c>
      <c r="AP208" s="28"/>
      <c r="AQ208" s="28" t="n">
        <f aca="false">AP208*$M208</f>
        <v>0</v>
      </c>
      <c r="AR208" s="28"/>
      <c r="AS208" s="28" t="n">
        <f aca="false">AR208*$M208</f>
        <v>0</v>
      </c>
      <c r="AT208" s="28"/>
      <c r="AU208" s="28" t="n">
        <f aca="false">AT208*$M208</f>
        <v>0</v>
      </c>
      <c r="AV208" s="28"/>
      <c r="AW208" s="28" t="n">
        <f aca="false">AV208*$M208</f>
        <v>0</v>
      </c>
      <c r="AX208" s="28"/>
      <c r="AY208" s="28" t="n">
        <f aca="false">AX208*$M208</f>
        <v>0</v>
      </c>
      <c r="AZ208" s="28"/>
      <c r="BA208" s="28" t="n">
        <f aca="false">AZ208*$M208</f>
        <v>0</v>
      </c>
      <c r="BB208" s="30" t="n">
        <f aca="false">217016/100</f>
        <v>2170.16</v>
      </c>
      <c r="BC208" s="11" t="n">
        <v>32552</v>
      </c>
      <c r="BD208" s="31" t="n">
        <f aca="false">SUM(S208,U208,W208,Y208,AA208,AC208,AE208,AG208,AI208,AK208,AM208,AO208,AQ208,AS208,AU208,AW208,AY208,BA208)</f>
        <v>32552</v>
      </c>
      <c r="BE208" s="28" t="n">
        <f aca="false">BC208-BD208</f>
        <v>0</v>
      </c>
      <c r="BF208" s="32" t="n">
        <f aca="false">SUM(R208,T208,V208,X208,Z208,AB208,AD208,AF208,AH208,AJ208,AL208,AN208,AP208,AR208,AT208,AV208,AX208,AZ208)</f>
        <v>2170.16</v>
      </c>
      <c r="BG208" s="33" t="n">
        <f aca="false">BB208-BF208</f>
        <v>0</v>
      </c>
      <c r="BH208" s="34" t="n">
        <f aca="false">BF208*M208</f>
        <v>32552.4</v>
      </c>
      <c r="BI208" s="35" t="n">
        <f aca="false">BC208-BH208</f>
        <v>-0.399999999997817</v>
      </c>
      <c r="BJ208" s="19" t="str">
        <f aca="false">IF(BI208=0,"",IF(BI208&lt;&gt;BC208,"erreur de calcul",IF(BF208&lt;&gt;0,"pas de prix",IF(M208&lt;&gt; 0,"pas de quantité","pas de prix, ni de quantité"))))</f>
        <v>erreur de calcul</v>
      </c>
      <c r="BK208" s="19"/>
    </row>
    <row r="209" customFormat="false" ht="16" hidden="false" customHeight="false" outlineLevel="0" collapsed="false">
      <c r="A209" s="0" t="n">
        <v>43</v>
      </c>
      <c r="B209" s="8" t="s">
        <v>24</v>
      </c>
      <c r="C209" s="9" t="s">
        <v>25</v>
      </c>
      <c r="D209" s="9" t="s">
        <v>26</v>
      </c>
      <c r="E209" s="10" t="n">
        <v>1789</v>
      </c>
      <c r="F209" s="9" t="s">
        <v>27</v>
      </c>
      <c r="G209" s="9" t="s">
        <v>27</v>
      </c>
      <c r="H209" s="11" t="n">
        <v>23</v>
      </c>
      <c r="I209" s="11" t="s">
        <v>286</v>
      </c>
      <c r="J209" s="14" t="n">
        <v>20</v>
      </c>
      <c r="K209" s="14"/>
      <c r="L209" s="16"/>
      <c r="M209" s="27" t="n">
        <f aca="false">J209+(K209/20)+(L209/240)</f>
        <v>20</v>
      </c>
      <c r="N209" s="17" t="s">
        <v>64</v>
      </c>
      <c r="O209" s="11"/>
      <c r="P209" s="28"/>
      <c r="Q209" s="28" t="str">
        <f aca="false">IF(O209&lt;&gt;"",P209*M209,"")</f>
        <v/>
      </c>
      <c r="R209" s="28"/>
      <c r="S209" s="28" t="n">
        <f aca="false">R209*$M209</f>
        <v>0</v>
      </c>
      <c r="T209" s="28"/>
      <c r="U209" s="28" t="n">
        <f aca="false">T209*$M209</f>
        <v>0</v>
      </c>
      <c r="V209" s="28"/>
      <c r="W209" s="28" t="n">
        <f aca="false">V209*$M209</f>
        <v>0</v>
      </c>
      <c r="X209" s="28"/>
      <c r="Y209" s="28" t="n">
        <f aca="false">X209*$M209</f>
        <v>0</v>
      </c>
      <c r="Z209" s="28"/>
      <c r="AA209" s="28" t="n">
        <f aca="false">Z209*$M209</f>
        <v>0</v>
      </c>
      <c r="AB209" s="28"/>
      <c r="AC209" s="28" t="n">
        <f aca="false">AB209*$M209</f>
        <v>0</v>
      </c>
      <c r="AD209" s="28" t="n">
        <f aca="false">8852/100</f>
        <v>88.52</v>
      </c>
      <c r="AE209" s="28" t="n">
        <v>1770</v>
      </c>
      <c r="AF209" s="28"/>
      <c r="AG209" s="28" t="n">
        <f aca="false">AF209*$M209</f>
        <v>0</v>
      </c>
      <c r="AH209" s="28"/>
      <c r="AI209" s="28" t="n">
        <f aca="false">AH209*$M209</f>
        <v>0</v>
      </c>
      <c r="AJ209" s="28"/>
      <c r="AK209" s="28" t="n">
        <f aca="false">AJ209*$M209</f>
        <v>0</v>
      </c>
      <c r="AL209" s="28"/>
      <c r="AM209" s="28" t="n">
        <f aca="false">AL209*$M209</f>
        <v>0</v>
      </c>
      <c r="AN209" s="28"/>
      <c r="AO209" s="28" t="n">
        <f aca="false">AN209*$M209</f>
        <v>0</v>
      </c>
      <c r="AP209" s="28"/>
      <c r="AQ209" s="28" t="n">
        <f aca="false">AP209*$M209</f>
        <v>0</v>
      </c>
      <c r="AR209" s="28"/>
      <c r="AS209" s="28" t="n">
        <f aca="false">AR209*$M209</f>
        <v>0</v>
      </c>
      <c r="AT209" s="28"/>
      <c r="AU209" s="28" t="n">
        <f aca="false">AT209*$M209</f>
        <v>0</v>
      </c>
      <c r="AV209" s="28"/>
      <c r="AW209" s="28" t="n">
        <f aca="false">AV209*$M209</f>
        <v>0</v>
      </c>
      <c r="AX209" s="28"/>
      <c r="AY209" s="28" t="n">
        <f aca="false">AX209*$M209</f>
        <v>0</v>
      </c>
      <c r="AZ209" s="28"/>
      <c r="BA209" s="28" t="n">
        <f aca="false">AZ209*$M209</f>
        <v>0</v>
      </c>
      <c r="BB209" s="30" t="n">
        <f aca="false">8852/100</f>
        <v>88.52</v>
      </c>
      <c r="BC209" s="11" t="n">
        <v>1770</v>
      </c>
      <c r="BD209" s="31" t="n">
        <f aca="false">SUM(S209,U209,W209,Y209,AA209,AC209,AE209,AG209,AI209,AK209,AM209,AO209,AQ209,AS209,AU209,AW209,AY209,BA209)</f>
        <v>1770</v>
      </c>
      <c r="BE209" s="28" t="n">
        <f aca="false">BC209-BD209</f>
        <v>0</v>
      </c>
      <c r="BF209" s="32" t="n">
        <f aca="false">SUM(R209,T209,V209,X209,Z209,AB209,AD209,AF209,AH209,AJ209,AL209,AN209,AP209,AR209,AT209,AV209,AX209,AZ209)</f>
        <v>88.52</v>
      </c>
      <c r="BG209" s="33" t="n">
        <f aca="false">BB209-BF209</f>
        <v>0</v>
      </c>
      <c r="BH209" s="34" t="n">
        <f aca="false">BF209*M209</f>
        <v>1770.4</v>
      </c>
      <c r="BI209" s="35" t="n">
        <f aca="false">BC209-BH209</f>
        <v>-0.399999999999864</v>
      </c>
      <c r="BJ209" s="19" t="str">
        <f aca="false">IF(BI209=0,"",IF(BI209&lt;&gt;BC209,"erreur de calcul",IF(BF209&lt;&gt;0,"pas de prix",IF(M209&lt;&gt; 0,"pas de quantité","pas de prix, ni de quantité"))))</f>
        <v>erreur de calcul</v>
      </c>
      <c r="BK209" s="19"/>
    </row>
    <row r="210" customFormat="false" ht="16" hidden="false" customHeight="false" outlineLevel="0" collapsed="false">
      <c r="A210" s="0" t="n">
        <v>44</v>
      </c>
      <c r="B210" s="8" t="s">
        <v>24</v>
      </c>
      <c r="C210" s="9" t="s">
        <v>25</v>
      </c>
      <c r="D210" s="9" t="s">
        <v>26</v>
      </c>
      <c r="E210" s="10" t="n">
        <v>1789</v>
      </c>
      <c r="F210" s="9" t="s">
        <v>27</v>
      </c>
      <c r="G210" s="9" t="s">
        <v>27</v>
      </c>
      <c r="H210" s="11" t="n">
        <v>23</v>
      </c>
      <c r="I210" s="11" t="s">
        <v>287</v>
      </c>
      <c r="J210" s="14" t="n">
        <v>25</v>
      </c>
      <c r="K210" s="14"/>
      <c r="L210" s="16"/>
      <c r="M210" s="27" t="n">
        <f aca="false">J210+(K210/20)+(L210/240)</f>
        <v>25</v>
      </c>
      <c r="N210" s="17" t="s">
        <v>64</v>
      </c>
      <c r="O210" s="11" t="s">
        <v>77</v>
      </c>
      <c r="P210" s="28" t="n">
        <f aca="false">6325/100</f>
        <v>63.25</v>
      </c>
      <c r="Q210" s="28" t="n">
        <v>1581</v>
      </c>
      <c r="R210" s="28" t="n">
        <f aca="false">13782/100</f>
        <v>137.82</v>
      </c>
      <c r="S210" s="28" t="n">
        <v>3445</v>
      </c>
      <c r="T210" s="28"/>
      <c r="U210" s="28" t="n">
        <f aca="false">T210*$M210</f>
        <v>0</v>
      </c>
      <c r="V210" s="28"/>
      <c r="W210" s="28" t="n">
        <f aca="false">V210*$M210</f>
        <v>0</v>
      </c>
      <c r="X210" s="28" t="n">
        <f aca="false">4293/100</f>
        <v>42.93</v>
      </c>
      <c r="Y210" s="28" t="n">
        <v>1073</v>
      </c>
      <c r="Z210" s="28"/>
      <c r="AA210" s="28" t="n">
        <f aca="false">Z210*$M210</f>
        <v>0</v>
      </c>
      <c r="AB210" s="28"/>
      <c r="AC210" s="28" t="n">
        <f aca="false">AB210*$M210</f>
        <v>0</v>
      </c>
      <c r="AD210" s="28"/>
      <c r="AE210" s="28" t="n">
        <f aca="false">AD210*$M210</f>
        <v>0</v>
      </c>
      <c r="AF210" s="28"/>
      <c r="AG210" s="28" t="n">
        <f aca="false">AF210*$M210</f>
        <v>0</v>
      </c>
      <c r="AH210" s="28"/>
      <c r="AI210" s="28" t="n">
        <f aca="false">AH210*$M210</f>
        <v>0</v>
      </c>
      <c r="AJ210" s="28"/>
      <c r="AK210" s="28" t="n">
        <f aca="false">AJ210*$M210</f>
        <v>0</v>
      </c>
      <c r="AL210" s="28"/>
      <c r="AM210" s="28" t="n">
        <f aca="false">AL210*$M210</f>
        <v>0</v>
      </c>
      <c r="AN210" s="28"/>
      <c r="AO210" s="28" t="n">
        <f aca="false">AN210*$M210</f>
        <v>0</v>
      </c>
      <c r="AP210" s="28"/>
      <c r="AQ210" s="28" t="n">
        <f aca="false">AP210*$M210</f>
        <v>0</v>
      </c>
      <c r="AR210" s="28"/>
      <c r="AS210" s="28" t="n">
        <f aca="false">AR210*$M210</f>
        <v>0</v>
      </c>
      <c r="AT210" s="28"/>
      <c r="AU210" s="28" t="n">
        <f aca="false">AT210*$M210</f>
        <v>0</v>
      </c>
      <c r="AV210" s="28"/>
      <c r="AW210" s="28" t="n">
        <f aca="false">AV210*$M210</f>
        <v>0</v>
      </c>
      <c r="AX210" s="28"/>
      <c r="AY210" s="28" t="n">
        <f aca="false">AX210*$M210</f>
        <v>0</v>
      </c>
      <c r="AZ210" s="28"/>
      <c r="BA210" s="28" t="n">
        <f aca="false">AZ210*$M210</f>
        <v>0</v>
      </c>
      <c r="BB210" s="30" t="n">
        <f aca="false">18075/100</f>
        <v>180.75</v>
      </c>
      <c r="BC210" s="11" t="n">
        <v>4518</v>
      </c>
      <c r="BD210" s="31" t="n">
        <f aca="false">SUM(S210,U210,W210,Y210,AA210,AC210,AE210,AG210,AI210,AK210,AM210,AO210,AQ210,AS210,AU210,AW210,AY210,BA210)</f>
        <v>4518</v>
      </c>
      <c r="BE210" s="28" t="n">
        <f aca="false">BC210-BD210</f>
        <v>0</v>
      </c>
      <c r="BF210" s="32" t="n">
        <f aca="false">SUM(R210,T210,V210,X210,Z210,AB210,AD210,AF210,AH210,AJ210,AL210,AN210,AP210,AR210,AT210,AV210,AX210,AZ210)</f>
        <v>180.75</v>
      </c>
      <c r="BG210" s="33" t="n">
        <f aca="false">BB210-BF210</f>
        <v>0</v>
      </c>
      <c r="BH210" s="34" t="n">
        <f aca="false">BF210*M210</f>
        <v>4518.75</v>
      </c>
      <c r="BI210" s="35" t="n">
        <f aca="false">BC210-BH210</f>
        <v>-0.75</v>
      </c>
      <c r="BJ210" s="19" t="str">
        <f aca="false">IF(BI210=0,"",IF(BI210&lt;&gt;BC210,"erreur de calcul",IF(BF210&lt;&gt;0,"pas de prix",IF(M210&lt;&gt; 0,"pas de quantité","pas de prix, ni de quantité"))))</f>
        <v>erreur de calcul</v>
      </c>
      <c r="BK210" s="19"/>
    </row>
    <row r="211" customFormat="false" ht="16" hidden="false" customHeight="false" outlineLevel="0" collapsed="false">
      <c r="A211" s="0" t="n">
        <v>1</v>
      </c>
      <c r="B211" s="8" t="s">
        <v>24</v>
      </c>
      <c r="C211" s="9" t="s">
        <v>25</v>
      </c>
      <c r="D211" s="9" t="s">
        <v>26</v>
      </c>
      <c r="E211" s="10" t="n">
        <v>1789</v>
      </c>
      <c r="F211" s="9" t="s">
        <v>27</v>
      </c>
      <c r="G211" s="9" t="s">
        <v>27</v>
      </c>
      <c r="H211" s="11" t="n">
        <v>24</v>
      </c>
      <c r="I211" s="11" t="s">
        <v>288</v>
      </c>
      <c r="J211" s="14" t="n">
        <v>250</v>
      </c>
      <c r="K211" s="14"/>
      <c r="L211" s="16"/>
      <c r="M211" s="27" t="n">
        <f aca="false">J211+(K211/20)+(L211/240)</f>
        <v>250</v>
      </c>
      <c r="N211" s="17" t="s">
        <v>64</v>
      </c>
      <c r="O211" s="11"/>
      <c r="P211" s="28"/>
      <c r="Q211" s="28" t="str">
        <f aca="false">IF(O211&lt;&gt;"",P211*M211,"")</f>
        <v/>
      </c>
      <c r="R211" s="28"/>
      <c r="S211" s="28" t="n">
        <f aca="false">R211*$M211</f>
        <v>0</v>
      </c>
      <c r="T211" s="28"/>
      <c r="U211" s="28" t="n">
        <f aca="false">T211*$M211</f>
        <v>0</v>
      </c>
      <c r="V211" s="28"/>
      <c r="W211" s="28" t="n">
        <f aca="false">V211*$M211</f>
        <v>0</v>
      </c>
      <c r="X211" s="28"/>
      <c r="Y211" s="28" t="n">
        <f aca="false">X211*$M211</f>
        <v>0</v>
      </c>
      <c r="Z211" s="28"/>
      <c r="AA211" s="28" t="n">
        <f aca="false">Z211*$M211</f>
        <v>0</v>
      </c>
      <c r="AB211" s="28"/>
      <c r="AC211" s="28" t="n">
        <f aca="false">AB211*$M211</f>
        <v>0</v>
      </c>
      <c r="AD211" s="28"/>
      <c r="AE211" s="28" t="n">
        <f aca="false">AD211*$M211</f>
        <v>0</v>
      </c>
      <c r="AF211" s="28"/>
      <c r="AG211" s="28" t="n">
        <f aca="false">AF211*$M211</f>
        <v>0</v>
      </c>
      <c r="AH211" s="28"/>
      <c r="AI211" s="28" t="n">
        <f aca="false">AH211*$M211</f>
        <v>0</v>
      </c>
      <c r="AJ211" s="28" t="n">
        <f aca="false">5374/100</f>
        <v>53.74</v>
      </c>
      <c r="AK211" s="28" t="n">
        <v>13435</v>
      </c>
      <c r="AL211" s="28"/>
      <c r="AM211" s="28" t="n">
        <f aca="false">AL211*$M211</f>
        <v>0</v>
      </c>
      <c r="AN211" s="28"/>
      <c r="AO211" s="28" t="n">
        <f aca="false">AN211*$M211</f>
        <v>0</v>
      </c>
      <c r="AP211" s="28"/>
      <c r="AQ211" s="28" t="n">
        <f aca="false">AP211*$M211</f>
        <v>0</v>
      </c>
      <c r="AR211" s="28"/>
      <c r="AS211" s="28" t="n">
        <f aca="false">AR211*$M211</f>
        <v>0</v>
      </c>
      <c r="AT211" s="28"/>
      <c r="AU211" s="28" t="n">
        <f aca="false">AT211*$M211</f>
        <v>0</v>
      </c>
      <c r="AV211" s="28"/>
      <c r="AW211" s="28" t="n">
        <f aca="false">AV211*$M211</f>
        <v>0</v>
      </c>
      <c r="AX211" s="28"/>
      <c r="AY211" s="28" t="n">
        <f aca="false">AX211*$M211</f>
        <v>0</v>
      </c>
      <c r="AZ211" s="28"/>
      <c r="BA211" s="28" t="n">
        <f aca="false">AZ211*$M211</f>
        <v>0</v>
      </c>
      <c r="BB211" s="30" t="n">
        <f aca="false">5374/100</f>
        <v>53.74</v>
      </c>
      <c r="BC211" s="11" t="n">
        <v>13435</v>
      </c>
      <c r="BD211" s="31" t="n">
        <f aca="false">SUM(S211,U211,W211,Y211,AA211,AC211,AE211,AG211,AI211,AK211,AM211,AO211,AQ211,AS211,AU211,AW211,AY211,BA211)</f>
        <v>13435</v>
      </c>
      <c r="BE211" s="28" t="n">
        <f aca="false">BC211-BD211</f>
        <v>0</v>
      </c>
      <c r="BF211" s="32" t="n">
        <f aca="false">SUM(R211,T211,V211,X211,Z211,AB211,AD211,AF211,AH211,AJ211,AL211,AN211,AP211,AR211,AT211,AV211,AX211,AZ211)</f>
        <v>53.74</v>
      </c>
      <c r="BG211" s="33" t="n">
        <f aca="false">BB211-BF211</f>
        <v>0</v>
      </c>
      <c r="BH211" s="34" t="n">
        <f aca="false">BF211*M211</f>
        <v>13435</v>
      </c>
      <c r="BI211" s="35" t="n">
        <f aca="false">BC211-BH211</f>
        <v>0</v>
      </c>
      <c r="BJ211" s="19" t="str">
        <f aca="false">IF(BI211=0,"",IF(BI211&lt;&gt;BC211,"erreur de calcul",IF(BF211&lt;&gt;0,"pas de prix",IF(M211&lt;&gt; 0,"pas de quantité","pas de prix, ni de quantité"))))</f>
        <v/>
      </c>
      <c r="BK211" s="19"/>
    </row>
    <row r="212" customFormat="false" ht="16" hidden="false" customHeight="false" outlineLevel="0" collapsed="false">
      <c r="A212" s="0" t="n">
        <v>2</v>
      </c>
      <c r="B212" s="8" t="s">
        <v>24</v>
      </c>
      <c r="C212" s="9" t="s">
        <v>25</v>
      </c>
      <c r="D212" s="9" t="s">
        <v>26</v>
      </c>
      <c r="E212" s="10" t="n">
        <v>1789</v>
      </c>
      <c r="F212" s="9" t="s">
        <v>27</v>
      </c>
      <c r="G212" s="9" t="s">
        <v>27</v>
      </c>
      <c r="H212" s="11" t="n">
        <v>24</v>
      </c>
      <c r="I212" s="11" t="s">
        <v>289</v>
      </c>
      <c r="J212" s="14" t="n">
        <v>3</v>
      </c>
      <c r="K212" s="14"/>
      <c r="L212" s="16"/>
      <c r="M212" s="27" t="n">
        <f aca="false">J212+(K212/20)+(L212/240)</f>
        <v>3</v>
      </c>
      <c r="N212" s="17" t="s">
        <v>66</v>
      </c>
      <c r="O212" s="11"/>
      <c r="P212" s="28"/>
      <c r="Q212" s="28" t="str">
        <f aca="false">IF(O212&lt;&gt;"",P212*M212,"")</f>
        <v/>
      </c>
      <c r="R212" s="28"/>
      <c r="S212" s="28" t="n">
        <f aca="false">R212*$M212</f>
        <v>0</v>
      </c>
      <c r="T212" s="28"/>
      <c r="U212" s="28" t="n">
        <f aca="false">T212*$M212</f>
        <v>0</v>
      </c>
      <c r="V212" s="28"/>
      <c r="W212" s="28" t="n">
        <f aca="false">V212*$M212</f>
        <v>0</v>
      </c>
      <c r="X212" s="28"/>
      <c r="Y212" s="28" t="n">
        <f aca="false">X212*$M212</f>
        <v>0</v>
      </c>
      <c r="Z212" s="28"/>
      <c r="AA212" s="28" t="n">
        <f aca="false">Z212*$M212</f>
        <v>0</v>
      </c>
      <c r="AB212" s="28"/>
      <c r="AC212" s="28" t="n">
        <f aca="false">AB212*$M212</f>
        <v>0</v>
      </c>
      <c r="AD212" s="28"/>
      <c r="AE212" s="28" t="n">
        <f aca="false">AD212*$M212</f>
        <v>0</v>
      </c>
      <c r="AF212" s="28"/>
      <c r="AG212" s="28" t="n">
        <f aca="false">AF212*$M212</f>
        <v>0</v>
      </c>
      <c r="AH212" s="28"/>
      <c r="AI212" s="28" t="n">
        <f aca="false">AH212*$M212</f>
        <v>0</v>
      </c>
      <c r="AJ212" s="28" t="n">
        <v>261</v>
      </c>
      <c r="AK212" s="28" t="n">
        <v>783</v>
      </c>
      <c r="AL212" s="28"/>
      <c r="AM212" s="28" t="n">
        <f aca="false">AL212*$M212</f>
        <v>0</v>
      </c>
      <c r="AN212" s="28"/>
      <c r="AO212" s="28" t="n">
        <f aca="false">AN212*$M212</f>
        <v>0</v>
      </c>
      <c r="AP212" s="28"/>
      <c r="AQ212" s="28" t="n">
        <f aca="false">AP212*$M212</f>
        <v>0</v>
      </c>
      <c r="AR212" s="28"/>
      <c r="AS212" s="28" t="n">
        <f aca="false">AR212*$M212</f>
        <v>0</v>
      </c>
      <c r="AT212" s="28"/>
      <c r="AU212" s="28" t="n">
        <f aca="false">AT212*$M212</f>
        <v>0</v>
      </c>
      <c r="AV212" s="28"/>
      <c r="AW212" s="28" t="n">
        <f aca="false">AV212*$M212</f>
        <v>0</v>
      </c>
      <c r="AX212" s="28"/>
      <c r="AY212" s="28" t="n">
        <f aca="false">AX212*$M212</f>
        <v>0</v>
      </c>
      <c r="AZ212" s="28"/>
      <c r="BA212" s="28" t="n">
        <f aca="false">AZ212*$M212</f>
        <v>0</v>
      </c>
      <c r="BB212" s="30" t="n">
        <v>261</v>
      </c>
      <c r="BC212" s="11" t="n">
        <v>783</v>
      </c>
      <c r="BD212" s="31" t="n">
        <f aca="false">SUM(S212,U212,W212,Y212,AA212,AC212,AE212,AG212,AI212,AK212,AM212,AO212,AQ212,AS212,AU212,AW212,AY212,BA212)</f>
        <v>783</v>
      </c>
      <c r="BE212" s="28" t="n">
        <f aca="false">BC212-BD212</f>
        <v>0</v>
      </c>
      <c r="BF212" s="32" t="n">
        <f aca="false">SUM(R212,T212,V212,X212,Z212,AB212,AD212,AF212,AH212,AJ212,AL212,AN212,AP212,AR212,AT212,AV212,AX212,AZ212)</f>
        <v>261</v>
      </c>
      <c r="BG212" s="33" t="n">
        <f aca="false">BB212-BF212</f>
        <v>0</v>
      </c>
      <c r="BH212" s="34" t="n">
        <f aca="false">BF212*M212</f>
        <v>783</v>
      </c>
      <c r="BI212" s="35" t="n">
        <f aca="false">BC212-BH212</f>
        <v>0</v>
      </c>
      <c r="BJ212" s="19" t="str">
        <f aca="false">IF(BI212=0,"",IF(BI212&lt;&gt;BC212,"erreur de calcul",IF(BF212&lt;&gt;0,"pas de prix",IF(M212&lt;&gt; 0,"pas de quantité","pas de prix, ni de quantité"))))</f>
        <v/>
      </c>
      <c r="BK212" s="19"/>
    </row>
    <row r="213" customFormat="false" ht="16" hidden="false" customHeight="false" outlineLevel="0" collapsed="false">
      <c r="A213" s="0" t="n">
        <v>3</v>
      </c>
      <c r="B213" s="8" t="s">
        <v>24</v>
      </c>
      <c r="C213" s="9" t="s">
        <v>25</v>
      </c>
      <c r="D213" s="9" t="s">
        <v>26</v>
      </c>
      <c r="E213" s="10" t="n">
        <v>1789</v>
      </c>
      <c r="F213" s="9" t="s">
        <v>27</v>
      </c>
      <c r="G213" s="9" t="s">
        <v>27</v>
      </c>
      <c r="H213" s="11" t="n">
        <v>24</v>
      </c>
      <c r="I213" s="11" t="s">
        <v>290</v>
      </c>
      <c r="J213" s="14" t="n">
        <v>5</v>
      </c>
      <c r="K213" s="14"/>
      <c r="L213" s="16"/>
      <c r="M213" s="27" t="n">
        <f aca="false">J213+(K213/20)+(L213/240)</f>
        <v>5</v>
      </c>
      <c r="N213" s="17" t="s">
        <v>66</v>
      </c>
      <c r="O213" s="11"/>
      <c r="P213" s="28"/>
      <c r="Q213" s="28" t="str">
        <f aca="false">IF(O213&lt;&gt;"",P213*M213,"")</f>
        <v/>
      </c>
      <c r="R213" s="28"/>
      <c r="S213" s="28" t="n">
        <f aca="false">R213*$M213</f>
        <v>0</v>
      </c>
      <c r="T213" s="28"/>
      <c r="U213" s="28" t="n">
        <f aca="false">T213*$M213</f>
        <v>0</v>
      </c>
      <c r="V213" s="28"/>
      <c r="W213" s="28" t="n">
        <v>4765</v>
      </c>
      <c r="X213" s="28"/>
      <c r="Y213" s="28" t="n">
        <f aca="false">X213*$M213</f>
        <v>0</v>
      </c>
      <c r="Z213" s="28"/>
      <c r="AA213" s="28" t="n">
        <f aca="false">Z213*$M213</f>
        <v>0</v>
      </c>
      <c r="AB213" s="28"/>
      <c r="AC213" s="28" t="n">
        <f aca="false">AB213*$M213</f>
        <v>0</v>
      </c>
      <c r="AD213" s="28"/>
      <c r="AE213" s="28" t="n">
        <f aca="false">AD213*$M213</f>
        <v>0</v>
      </c>
      <c r="AF213" s="28"/>
      <c r="AG213" s="28" t="n">
        <f aca="false">AF213*$M213</f>
        <v>0</v>
      </c>
      <c r="AH213" s="28"/>
      <c r="AI213" s="28" t="n">
        <f aca="false">AH213*$M213</f>
        <v>0</v>
      </c>
      <c r="AJ213" s="28"/>
      <c r="AK213" s="28" t="n">
        <f aca="false">AJ213*$M213</f>
        <v>0</v>
      </c>
      <c r="AL213" s="28"/>
      <c r="AM213" s="28" t="n">
        <f aca="false">AL213*$M213</f>
        <v>0</v>
      </c>
      <c r="AN213" s="28"/>
      <c r="AO213" s="28" t="n">
        <f aca="false">AN213*$M213</f>
        <v>0</v>
      </c>
      <c r="AP213" s="28"/>
      <c r="AQ213" s="28" t="n">
        <f aca="false">AP213*$M213</f>
        <v>0</v>
      </c>
      <c r="AR213" s="28"/>
      <c r="AS213" s="28" t="n">
        <f aca="false">AR213*$M213</f>
        <v>0</v>
      </c>
      <c r="AT213" s="28"/>
      <c r="AU213" s="28" t="n">
        <f aca="false">AT213*$M213</f>
        <v>0</v>
      </c>
      <c r="AV213" s="28"/>
      <c r="AW213" s="28" t="n">
        <f aca="false">AV213*$M213</f>
        <v>0</v>
      </c>
      <c r="AX213" s="28"/>
      <c r="AY213" s="28" t="n">
        <f aca="false">AX213*$M213</f>
        <v>0</v>
      </c>
      <c r="AZ213" s="28"/>
      <c r="BA213" s="28" t="n">
        <f aca="false">AZ213*$M213</f>
        <v>0</v>
      </c>
      <c r="BB213" s="30"/>
      <c r="BC213" s="11" t="n">
        <v>4765</v>
      </c>
      <c r="BD213" s="31" t="n">
        <f aca="false">SUM(S213,U213,W213,Y213,AA213,AC213,AE213,AG213,AI213,AK213,AM213,AO213,AQ213,AS213,AU213,AW213,AY213,BA213)</f>
        <v>4765</v>
      </c>
      <c r="BE213" s="28" t="n">
        <f aca="false">BC213-BD213</f>
        <v>0</v>
      </c>
      <c r="BF213" s="32" t="n">
        <f aca="false">SUM(R213,T213,V213,X213,Z213,AB213,AD213,AF213,AH213,AJ213,AL213,AN213,AP213,AR213,AT213,AV213,AX213,AZ213)</f>
        <v>0</v>
      </c>
      <c r="BG213" s="33" t="n">
        <f aca="false">BB213-BF213</f>
        <v>0</v>
      </c>
      <c r="BH213" s="34" t="n">
        <f aca="false">BF213*M213</f>
        <v>0</v>
      </c>
      <c r="BI213" s="35" t="n">
        <f aca="false">BC213-BH213</f>
        <v>4765</v>
      </c>
      <c r="BJ213" s="19" t="str">
        <f aca="false">IF(BI213=0,"",IF(BI213&lt;&gt;BC213,"erreur de calcul",IF(BF213&lt;&gt;0,"pas de prix",IF(M213&lt;&gt; 0,"pas de quantité","pas de prix, ni de quantité"))))</f>
        <v>pas de quantité</v>
      </c>
      <c r="BK213" s="19"/>
    </row>
    <row r="214" customFormat="false" ht="16" hidden="false" customHeight="false" outlineLevel="0" collapsed="false">
      <c r="A214" s="0" t="n">
        <v>4</v>
      </c>
      <c r="B214" s="8" t="s">
        <v>24</v>
      </c>
      <c r="C214" s="9" t="s">
        <v>25</v>
      </c>
      <c r="D214" s="9" t="s">
        <v>26</v>
      </c>
      <c r="E214" s="10" t="n">
        <v>1789</v>
      </c>
      <c r="F214" s="9" t="s">
        <v>27</v>
      </c>
      <c r="G214" s="9" t="s">
        <v>27</v>
      </c>
      <c r="H214" s="11" t="n">
        <v>24</v>
      </c>
      <c r="I214" s="11" t="s">
        <v>291</v>
      </c>
      <c r="J214" s="14" t="n">
        <v>36</v>
      </c>
      <c r="K214" s="14"/>
      <c r="L214" s="16"/>
      <c r="M214" s="27" t="n">
        <f aca="false">J214+(K214/20)+(L214/240)</f>
        <v>36</v>
      </c>
      <c r="N214" s="17" t="s">
        <v>66</v>
      </c>
      <c r="O214" s="11"/>
      <c r="P214" s="28"/>
      <c r="Q214" s="28" t="str">
        <f aca="false">IF(O214&lt;&gt;"",P214*M214,"")</f>
        <v/>
      </c>
      <c r="R214" s="28"/>
      <c r="S214" s="28" t="n">
        <f aca="false">R214*$M214</f>
        <v>0</v>
      </c>
      <c r="T214" s="28"/>
      <c r="U214" s="28" t="n">
        <f aca="false">T214*$M214</f>
        <v>0</v>
      </c>
      <c r="V214" s="28"/>
      <c r="W214" s="28" t="n">
        <f aca="false">V214*$M214</f>
        <v>0</v>
      </c>
      <c r="X214" s="28"/>
      <c r="Y214" s="28" t="n">
        <f aca="false">X214*$M214</f>
        <v>0</v>
      </c>
      <c r="Z214" s="28"/>
      <c r="AA214" s="28" t="n">
        <f aca="false">Z214*$M214</f>
        <v>0</v>
      </c>
      <c r="AB214" s="28"/>
      <c r="AC214" s="28" t="n">
        <f aca="false">AB214*$M214</f>
        <v>0</v>
      </c>
      <c r="AD214" s="28"/>
      <c r="AE214" s="28" t="n">
        <f aca="false">AD214*$M214</f>
        <v>0</v>
      </c>
      <c r="AF214" s="28"/>
      <c r="AG214" s="28" t="n">
        <f aca="false">AF214*$M214</f>
        <v>0</v>
      </c>
      <c r="AH214" s="28"/>
      <c r="AI214" s="28" t="n">
        <f aca="false">AH214*$M214</f>
        <v>0</v>
      </c>
      <c r="AJ214" s="28"/>
      <c r="AK214" s="28" t="n">
        <f aca="false">AJ214*$M214</f>
        <v>0</v>
      </c>
      <c r="AL214" s="28" t="n">
        <v>387</v>
      </c>
      <c r="AM214" s="28" t="n">
        <v>13932</v>
      </c>
      <c r="AN214" s="28"/>
      <c r="AO214" s="28" t="n">
        <f aca="false">AN214*$M214</f>
        <v>0</v>
      </c>
      <c r="AP214" s="28"/>
      <c r="AQ214" s="28" t="n">
        <f aca="false">AP214*$M214</f>
        <v>0</v>
      </c>
      <c r="AR214" s="28"/>
      <c r="AS214" s="28" t="n">
        <f aca="false">AR214*$M214</f>
        <v>0</v>
      </c>
      <c r="AT214" s="28"/>
      <c r="AU214" s="28" t="n">
        <f aca="false">AT214*$M214</f>
        <v>0</v>
      </c>
      <c r="AV214" s="28"/>
      <c r="AW214" s="28" t="n">
        <f aca="false">AV214*$M214</f>
        <v>0</v>
      </c>
      <c r="AX214" s="28"/>
      <c r="AY214" s="28" t="n">
        <f aca="false">AX214*$M214</f>
        <v>0</v>
      </c>
      <c r="AZ214" s="28"/>
      <c r="BA214" s="28" t="n">
        <f aca="false">AZ214*$M214</f>
        <v>0</v>
      </c>
      <c r="BB214" s="30" t="n">
        <v>387</v>
      </c>
      <c r="BC214" s="11" t="n">
        <v>13932</v>
      </c>
      <c r="BD214" s="31" t="n">
        <f aca="false">SUM(S214,U214,W214,Y214,AA214,AC214,AE214,AG214,AI214,AK214,AM214,AO214,AQ214,AS214,AU214,AW214,AY214,BA214)</f>
        <v>13932</v>
      </c>
      <c r="BE214" s="28" t="n">
        <f aca="false">BC214-BD214</f>
        <v>0</v>
      </c>
      <c r="BF214" s="32" t="n">
        <f aca="false">SUM(R214,T214,V214,X214,Z214,AB214,AD214,AF214,AH214,AJ214,AL214,AN214,AP214,AR214,AT214,AV214,AX214,AZ214)</f>
        <v>387</v>
      </c>
      <c r="BG214" s="33" t="n">
        <f aca="false">BB214-BF214</f>
        <v>0</v>
      </c>
      <c r="BH214" s="34" t="n">
        <f aca="false">BF214*M214</f>
        <v>13932</v>
      </c>
      <c r="BI214" s="35" t="n">
        <f aca="false">BC214-BH214</f>
        <v>0</v>
      </c>
      <c r="BJ214" s="19" t="str">
        <f aca="false">IF(BI214=0,"",IF(BI214&lt;&gt;BC214,"erreur de calcul",IF(BF214&lt;&gt;0,"pas de prix",IF(M214&lt;&gt; 0,"pas de quantité","pas de prix, ni de quantité"))))</f>
        <v/>
      </c>
      <c r="BK214" s="19"/>
    </row>
    <row r="215" customFormat="false" ht="16" hidden="false" customHeight="false" outlineLevel="0" collapsed="false">
      <c r="A215" s="0" t="n">
        <v>5</v>
      </c>
      <c r="B215" s="8" t="s">
        <v>24</v>
      </c>
      <c r="C215" s="9" t="s">
        <v>25</v>
      </c>
      <c r="D215" s="9" t="s">
        <v>26</v>
      </c>
      <c r="E215" s="10" t="n">
        <v>1789</v>
      </c>
      <c r="F215" s="9" t="s">
        <v>27</v>
      </c>
      <c r="G215" s="9" t="s">
        <v>27</v>
      </c>
      <c r="H215" s="11" t="n">
        <v>24</v>
      </c>
      <c r="I215" s="11" t="s">
        <v>292</v>
      </c>
      <c r="J215" s="14" t="n">
        <v>40</v>
      </c>
      <c r="K215" s="14"/>
      <c r="L215" s="16"/>
      <c r="M215" s="27" t="n">
        <f aca="false">J215+(K215/20)+(L215/240)</f>
        <v>40</v>
      </c>
      <c r="N215" s="17" t="s">
        <v>64</v>
      </c>
      <c r="O215" s="11" t="s">
        <v>277</v>
      </c>
      <c r="P215" s="28" t="n">
        <f aca="false">4340/100</f>
        <v>43.4</v>
      </c>
      <c r="Q215" s="28" t="n">
        <v>1736</v>
      </c>
      <c r="R215" s="28"/>
      <c r="S215" s="28" t="n">
        <f aca="false">R215*$M215</f>
        <v>0</v>
      </c>
      <c r="T215" s="28"/>
      <c r="U215" s="28" t="n">
        <f aca="false">T215*$M215</f>
        <v>0</v>
      </c>
      <c r="V215" s="28" t="n">
        <f aca="false">5917/100</f>
        <v>59.17</v>
      </c>
      <c r="W215" s="28" t="n">
        <v>2367</v>
      </c>
      <c r="X215" s="28" t="n">
        <f aca="false">12510/100</f>
        <v>125.1</v>
      </c>
      <c r="Y215" s="28" t="n">
        <f aca="false">X215*$M215</f>
        <v>5004</v>
      </c>
      <c r="Z215" s="28"/>
      <c r="AA215" s="28" t="n">
        <f aca="false">Z215*$M215</f>
        <v>0</v>
      </c>
      <c r="AB215" s="28"/>
      <c r="AC215" s="28" t="n">
        <f aca="false">AB215*$M215</f>
        <v>0</v>
      </c>
      <c r="AD215" s="28" t="n">
        <f aca="false">50338/100</f>
        <v>503.38</v>
      </c>
      <c r="AE215" s="28" t="n">
        <v>20135</v>
      </c>
      <c r="AF215" s="28"/>
      <c r="AG215" s="28" t="n">
        <f aca="false">AF215*$M215</f>
        <v>0</v>
      </c>
      <c r="AH215" s="28"/>
      <c r="AI215" s="28" t="n">
        <f aca="false">AH215*$M215</f>
        <v>0</v>
      </c>
      <c r="AJ215" s="28" t="n">
        <f aca="false">440/100</f>
        <v>4.4</v>
      </c>
      <c r="AK215" s="28" t="n">
        <v>176</v>
      </c>
      <c r="AL215" s="28" t="n">
        <f aca="false">18094/100</f>
        <v>180.94</v>
      </c>
      <c r="AM215" s="28" t="n">
        <v>7238</v>
      </c>
      <c r="AN215" s="28"/>
      <c r="AO215" s="28" t="n">
        <f aca="false">AN215*$M215</f>
        <v>0</v>
      </c>
      <c r="AP215" s="28"/>
      <c r="AQ215" s="28" t="n">
        <f aca="false">AP215*$M215</f>
        <v>0</v>
      </c>
      <c r="AR215" s="28"/>
      <c r="AS215" s="28" t="n">
        <f aca="false">AR215*$M215</f>
        <v>0</v>
      </c>
      <c r="AT215" s="28"/>
      <c r="AU215" s="28" t="n">
        <f aca="false">AT215*$M215</f>
        <v>0</v>
      </c>
      <c r="AV215" s="28"/>
      <c r="AW215" s="28" t="n">
        <f aca="false">AV215*$M215</f>
        <v>0</v>
      </c>
      <c r="AX215" s="28"/>
      <c r="AY215" s="28" t="n">
        <f aca="false">AX215*$M215</f>
        <v>0</v>
      </c>
      <c r="AZ215" s="28"/>
      <c r="BA215" s="28" t="n">
        <f aca="false">AZ215*$M215</f>
        <v>0</v>
      </c>
      <c r="BB215" s="30" t="n">
        <f aca="false">87279/100</f>
        <v>872.79</v>
      </c>
      <c r="BC215" s="11" t="n">
        <v>34920</v>
      </c>
      <c r="BD215" s="31" t="n">
        <f aca="false">SUM(S215,U215,W215,Y215,AA215,AC215,AE215,AG215,AI215,AK215,AM215,AO215,AQ215,AS215,AU215,AW215,AY215,BA215)</f>
        <v>34920</v>
      </c>
      <c r="BE215" s="28" t="n">
        <f aca="false">BC215-BD215</f>
        <v>0</v>
      </c>
      <c r="BF215" s="32" t="n">
        <f aca="false">SUM(R215,T215,V215,X215,Z215,AB215,AD215,AF215,AH215,AJ215,AL215,AN215,AP215,AR215,AT215,AV215,AX215,AZ215)</f>
        <v>872.99</v>
      </c>
      <c r="BG215" s="33" t="n">
        <f aca="false">BB215-BF215</f>
        <v>-0.200000000000045</v>
      </c>
      <c r="BH215" s="34" t="n">
        <f aca="false">BF215*M215</f>
        <v>34919.6</v>
      </c>
      <c r="BI215" s="35" t="n">
        <f aca="false">BC215-BH215</f>
        <v>0.400000000001455</v>
      </c>
      <c r="BJ215" s="19" t="str">
        <f aca="false">IF(BI215=0,"",IF(BI215&lt;&gt;BC215,"erreur de calcul",IF(BF215&lt;&gt;0,"pas de prix",IF(M215&lt;&gt; 0,"pas de quantité","pas de prix, ni de quantité"))))</f>
        <v>erreur de calcul</v>
      </c>
      <c r="BK215" s="19"/>
    </row>
    <row r="216" customFormat="false" ht="16" hidden="false" customHeight="false" outlineLevel="0" collapsed="false">
      <c r="A216" s="0" t="n">
        <v>6</v>
      </c>
      <c r="B216" s="8" t="s">
        <v>24</v>
      </c>
      <c r="C216" s="9" t="s">
        <v>25</v>
      </c>
      <c r="D216" s="9" t="s">
        <v>26</v>
      </c>
      <c r="E216" s="10" t="n">
        <v>1789</v>
      </c>
      <c r="F216" s="9" t="s">
        <v>27</v>
      </c>
      <c r="G216" s="9" t="s">
        <v>27</v>
      </c>
      <c r="H216" s="11" t="n">
        <v>24</v>
      </c>
      <c r="I216" s="11" t="s">
        <v>293</v>
      </c>
      <c r="J216" s="14" t="n">
        <v>72</v>
      </c>
      <c r="K216" s="14"/>
      <c r="L216" s="16"/>
      <c r="M216" s="27" t="n">
        <f aca="false">J216+(K216/20)+(L216/240)</f>
        <v>72</v>
      </c>
      <c r="N216" s="17" t="s">
        <v>294</v>
      </c>
      <c r="O216" s="11"/>
      <c r="P216" s="28"/>
      <c r="Q216" s="28" t="str">
        <f aca="false">IF(O216&lt;&gt;"",P216*M216,"")</f>
        <v/>
      </c>
      <c r="R216" s="28" t="n">
        <v>16096</v>
      </c>
      <c r="S216" s="28" t="n">
        <v>1158912</v>
      </c>
      <c r="T216" s="28"/>
      <c r="U216" s="28" t="n">
        <f aca="false">T216*$M216</f>
        <v>0</v>
      </c>
      <c r="V216" s="28" t="n">
        <v>6580</v>
      </c>
      <c r="W216" s="28" t="n">
        <v>473760</v>
      </c>
      <c r="X216" s="28" t="n">
        <v>21336</v>
      </c>
      <c r="Y216" s="28" t="n">
        <v>1536192</v>
      </c>
      <c r="Z216" s="28" t="n">
        <v>905</v>
      </c>
      <c r="AA216" s="28" t="n">
        <v>65160</v>
      </c>
      <c r="AB216" s="28" t="n">
        <v>250</v>
      </c>
      <c r="AC216" s="28" t="n">
        <v>18000</v>
      </c>
      <c r="AD216" s="28" t="n">
        <v>155034</v>
      </c>
      <c r="AE216" s="28" t="n">
        <v>11162448</v>
      </c>
      <c r="AF216" s="28"/>
      <c r="AG216" s="28" t="n">
        <f aca="false">AF216*$M216</f>
        <v>0</v>
      </c>
      <c r="AH216" s="28" t="n">
        <v>18739</v>
      </c>
      <c r="AI216" s="28" t="n">
        <v>1349208</v>
      </c>
      <c r="AJ216" s="28" t="n">
        <v>44032</v>
      </c>
      <c r="AK216" s="28" t="n">
        <v>3170304</v>
      </c>
      <c r="AL216" s="28"/>
      <c r="AM216" s="28" t="n">
        <f aca="false">AL216*$M216</f>
        <v>0</v>
      </c>
      <c r="AN216" s="28"/>
      <c r="AO216" s="28" t="n">
        <f aca="false">AN216*$M216</f>
        <v>0</v>
      </c>
      <c r="AP216" s="28"/>
      <c r="AQ216" s="28" t="n">
        <f aca="false">AP216*$M216</f>
        <v>0</v>
      </c>
      <c r="AR216" s="28"/>
      <c r="AS216" s="28" t="n">
        <f aca="false">AR216*$M216</f>
        <v>0</v>
      </c>
      <c r="AT216" s="28"/>
      <c r="AU216" s="28" t="n">
        <f aca="false">AT216*$M216</f>
        <v>0</v>
      </c>
      <c r="AV216" s="28"/>
      <c r="AW216" s="28" t="n">
        <f aca="false">AV216*$M216</f>
        <v>0</v>
      </c>
      <c r="AX216" s="28"/>
      <c r="AY216" s="28" t="n">
        <f aca="false">AX216*$M216</f>
        <v>0</v>
      </c>
      <c r="AZ216" s="28"/>
      <c r="BA216" s="28" t="n">
        <f aca="false">AZ216*$M216</f>
        <v>0</v>
      </c>
      <c r="BB216" s="30" t="n">
        <v>262972</v>
      </c>
      <c r="BC216" s="11" t="n">
        <v>18933984</v>
      </c>
      <c r="BD216" s="31" t="n">
        <f aca="false">SUM(S216,U216,W216,Y216,AA216,AC216,AE216,AG216,AI216,AK216,AM216,AO216,AQ216,AS216,AU216,AW216,AY216,BA216)</f>
        <v>18933984</v>
      </c>
      <c r="BE216" s="28" t="n">
        <f aca="false">BC216-BD216</f>
        <v>0</v>
      </c>
      <c r="BF216" s="32" t="n">
        <f aca="false">SUM(R216,T216,V216,X216,Z216,AB216,AD216,AF216,AH216,AJ216,AL216,AN216,AP216,AR216,AT216,AV216,AX216,AZ216)</f>
        <v>262972</v>
      </c>
      <c r="BG216" s="33" t="n">
        <f aca="false">BB216-BF216</f>
        <v>0</v>
      </c>
      <c r="BH216" s="34" t="n">
        <f aca="false">BF216*M216</f>
        <v>18933984</v>
      </c>
      <c r="BI216" s="35" t="n">
        <f aca="false">BC216-BH216</f>
        <v>0</v>
      </c>
      <c r="BJ216" s="19" t="str">
        <f aca="false">IF(BI216=0,"",IF(BI216&lt;&gt;BC216,"erreur de calcul",IF(BF216&lt;&gt;0,"pas de prix",IF(M216&lt;&gt; 0,"pas de quantité","pas de prix, ni de quantité"))))</f>
        <v/>
      </c>
      <c r="BK216" s="19" t="s">
        <v>295</v>
      </c>
    </row>
    <row r="217" customFormat="false" ht="16" hidden="false" customHeight="false" outlineLevel="0" collapsed="false">
      <c r="A217" s="0" t="n">
        <v>7</v>
      </c>
      <c r="B217" s="8" t="s">
        <v>24</v>
      </c>
      <c r="C217" s="9" t="s">
        <v>25</v>
      </c>
      <c r="D217" s="9" t="s">
        <v>26</v>
      </c>
      <c r="E217" s="10" t="n">
        <v>1789</v>
      </c>
      <c r="F217" s="9" t="s">
        <v>27</v>
      </c>
      <c r="G217" s="9" t="s">
        <v>27</v>
      </c>
      <c r="H217" s="11" t="n">
        <v>24</v>
      </c>
      <c r="I217" s="11" t="s">
        <v>296</v>
      </c>
      <c r="J217" s="14" t="n">
        <v>35</v>
      </c>
      <c r="K217" s="14"/>
      <c r="L217" s="16"/>
      <c r="M217" s="27" t="n">
        <f aca="false">J217+(K217/20)+(L217/240)</f>
        <v>35</v>
      </c>
      <c r="N217" s="17" t="s">
        <v>64</v>
      </c>
      <c r="O217" s="11" t="s">
        <v>98</v>
      </c>
      <c r="P217" s="28" t="n">
        <f aca="false">450/100</f>
        <v>4.5</v>
      </c>
      <c r="Q217" s="28" t="n">
        <v>157</v>
      </c>
      <c r="R217" s="28"/>
      <c r="S217" s="28" t="n">
        <f aca="false">R217*$M217</f>
        <v>0</v>
      </c>
      <c r="T217" s="28"/>
      <c r="U217" s="28" t="n">
        <f aca="false">T217*$M217</f>
        <v>0</v>
      </c>
      <c r="V217" s="28"/>
      <c r="W217" s="28" t="n">
        <f aca="false">V217*$M217</f>
        <v>0</v>
      </c>
      <c r="X217" s="28"/>
      <c r="Y217" s="28" t="n">
        <f aca="false">X217*$M217</f>
        <v>0</v>
      </c>
      <c r="Z217" s="28"/>
      <c r="AA217" s="28" t="n">
        <f aca="false">Z217*$M217</f>
        <v>0</v>
      </c>
      <c r="AB217" s="28"/>
      <c r="AC217" s="28" t="n">
        <f aca="false">AB217*$M217</f>
        <v>0</v>
      </c>
      <c r="AD217" s="28"/>
      <c r="AE217" s="28" t="n">
        <f aca="false">AD217*$M217</f>
        <v>0</v>
      </c>
      <c r="AF217" s="28"/>
      <c r="AG217" s="28" t="n">
        <f aca="false">AF217*$M217</f>
        <v>0</v>
      </c>
      <c r="AH217" s="28"/>
      <c r="AI217" s="28" t="n">
        <f aca="false">AH217*$M217</f>
        <v>0</v>
      </c>
      <c r="AJ217" s="28"/>
      <c r="AK217" s="28" t="n">
        <f aca="false">AJ217*$M217</f>
        <v>0</v>
      </c>
      <c r="AL217" s="28"/>
      <c r="AM217" s="28" t="n">
        <f aca="false">AL217*$M217</f>
        <v>0</v>
      </c>
      <c r="AN217" s="28"/>
      <c r="AO217" s="28" t="n">
        <f aca="false">AN217*$M217</f>
        <v>0</v>
      </c>
      <c r="AP217" s="28"/>
      <c r="AQ217" s="28" t="n">
        <f aca="false">AP217*$M217</f>
        <v>0</v>
      </c>
      <c r="AR217" s="28"/>
      <c r="AS217" s="28" t="n">
        <f aca="false">AR217*$M217</f>
        <v>0</v>
      </c>
      <c r="AT217" s="28"/>
      <c r="AU217" s="28" t="n">
        <f aca="false">AT217*$M217</f>
        <v>0</v>
      </c>
      <c r="AV217" s="28"/>
      <c r="AW217" s="28" t="n">
        <f aca="false">AV217*$M217</f>
        <v>0</v>
      </c>
      <c r="AX217" s="28"/>
      <c r="AY217" s="28" t="n">
        <f aca="false">AX217*$M217</f>
        <v>0</v>
      </c>
      <c r="AZ217" s="28"/>
      <c r="BA217" s="28" t="n">
        <f aca="false">AZ217*$M217</f>
        <v>0</v>
      </c>
      <c r="BB217" s="30"/>
      <c r="BC217" s="11"/>
      <c r="BD217" s="31" t="n">
        <f aca="false">SUM(S217,U217,W217,Y217,AA217,AC217,AE217,AG217,AI217,AK217,AM217,AO217,AQ217,AS217,AU217,AW217,AY217,BA217)</f>
        <v>0</v>
      </c>
      <c r="BE217" s="28" t="n">
        <f aca="false">BC217-BD217</f>
        <v>0</v>
      </c>
      <c r="BF217" s="32" t="n">
        <f aca="false">SUM(R217,T217,V217,X217,Z217,AB217,AD217,AF217,AH217,AJ217,AL217,AN217,AP217,AR217,AT217,AV217,AX217,AZ217)</f>
        <v>0</v>
      </c>
      <c r="BG217" s="33" t="n">
        <f aca="false">BB217-BF217</f>
        <v>0</v>
      </c>
      <c r="BH217" s="34" t="n">
        <f aca="false">BF217*M217</f>
        <v>0</v>
      </c>
      <c r="BI217" s="35" t="n">
        <f aca="false">BC217-BH217</f>
        <v>0</v>
      </c>
      <c r="BJ217" s="19" t="str">
        <f aca="false">IF(BI217=0,"",IF(BI217&lt;&gt;BC217,"erreur de calcul",IF(BF217&lt;&gt;0,"pas de prix",IF(M217&lt;&gt; 0,"pas de quantité","pas de prix, ni de quantité"))))</f>
        <v/>
      </c>
      <c r="BK217" s="19"/>
    </row>
    <row r="218" customFormat="false" ht="16" hidden="false" customHeight="false" outlineLevel="0" collapsed="false">
      <c r="A218" s="0" t="n">
        <v>8</v>
      </c>
      <c r="B218" s="8" t="s">
        <v>24</v>
      </c>
      <c r="C218" s="9" t="s">
        <v>25</v>
      </c>
      <c r="D218" s="9" t="s">
        <v>26</v>
      </c>
      <c r="E218" s="10" t="n">
        <v>1789</v>
      </c>
      <c r="F218" s="9" t="s">
        <v>27</v>
      </c>
      <c r="G218" s="9" t="s">
        <v>27</v>
      </c>
      <c r="H218" s="11" t="n">
        <v>24</v>
      </c>
      <c r="I218" s="11" t="s">
        <v>297</v>
      </c>
      <c r="J218" s="14" t="n">
        <v>45</v>
      </c>
      <c r="K218" s="14"/>
      <c r="L218" s="16"/>
      <c r="M218" s="27" t="n">
        <f aca="false">J218+(K218/20)+(L218/240)</f>
        <v>45</v>
      </c>
      <c r="N218" s="17" t="s">
        <v>64</v>
      </c>
      <c r="O218" s="11"/>
      <c r="P218" s="28"/>
      <c r="Q218" s="28" t="str">
        <f aca="false">IF(O218&lt;&gt;"",P218*M218,"")</f>
        <v/>
      </c>
      <c r="R218" s="28"/>
      <c r="S218" s="28" t="n">
        <f aca="false">R218*$M218</f>
        <v>0</v>
      </c>
      <c r="T218" s="28"/>
      <c r="U218" s="28" t="n">
        <f aca="false">T218*$M218</f>
        <v>0</v>
      </c>
      <c r="V218" s="28"/>
      <c r="W218" s="28" t="n">
        <f aca="false">V218*$M218</f>
        <v>0</v>
      </c>
      <c r="X218" s="28"/>
      <c r="Y218" s="28" t="n">
        <f aca="false">X218*$M218</f>
        <v>0</v>
      </c>
      <c r="Z218" s="28"/>
      <c r="AA218" s="28" t="n">
        <f aca="false">Z218*$M218</f>
        <v>0</v>
      </c>
      <c r="AB218" s="28"/>
      <c r="AC218" s="28" t="n">
        <f aca="false">AB218*$M218</f>
        <v>0</v>
      </c>
      <c r="AD218" s="28"/>
      <c r="AE218" s="28" t="n">
        <f aca="false">AD218*$M218</f>
        <v>0</v>
      </c>
      <c r="AF218" s="28"/>
      <c r="AG218" s="28" t="n">
        <f aca="false">AF218*$M218</f>
        <v>0</v>
      </c>
      <c r="AH218" s="28"/>
      <c r="AI218" s="28" t="n">
        <f aca="false">AH218*$M218</f>
        <v>0</v>
      </c>
      <c r="AJ218" s="28"/>
      <c r="AK218" s="28" t="n">
        <f aca="false">AJ218*$M218</f>
        <v>0</v>
      </c>
      <c r="AL218" s="28"/>
      <c r="AM218" s="28" t="n">
        <f aca="false">AL218*$M218</f>
        <v>0</v>
      </c>
      <c r="AN218" s="28"/>
      <c r="AO218" s="28" t="n">
        <f aca="false">AN218*$M218</f>
        <v>0</v>
      </c>
      <c r="AP218" s="28"/>
      <c r="AQ218" s="28" t="n">
        <f aca="false">AP218*$M218</f>
        <v>0</v>
      </c>
      <c r="AR218" s="28"/>
      <c r="AS218" s="28" t="n">
        <f aca="false">AR218*$M218</f>
        <v>0</v>
      </c>
      <c r="AT218" s="28"/>
      <c r="AU218" s="28" t="n">
        <f aca="false">AT218*$M218</f>
        <v>0</v>
      </c>
      <c r="AV218" s="28"/>
      <c r="AW218" s="28" t="n">
        <f aca="false">AV218*$M218</f>
        <v>0</v>
      </c>
      <c r="AX218" s="28"/>
      <c r="AY218" s="28" t="n">
        <f aca="false">AX218*$M218</f>
        <v>0</v>
      </c>
      <c r="AZ218" s="28" t="n">
        <f aca="false">44459/100</f>
        <v>444.59</v>
      </c>
      <c r="BA218" s="28" t="n">
        <v>20006</v>
      </c>
      <c r="BB218" s="30" t="n">
        <f aca="false">44459/100</f>
        <v>444.59</v>
      </c>
      <c r="BC218" s="11" t="n">
        <v>20006</v>
      </c>
      <c r="BD218" s="31" t="n">
        <f aca="false">SUM(S218,U218,W218,Y218,AA218,AC218,AE218,AG218,AI218,AK218,AM218,AO218,AQ218,AS218,AU218,AW218,AY218,BA218)</f>
        <v>20006</v>
      </c>
      <c r="BE218" s="28" t="n">
        <f aca="false">BC218-BD218</f>
        <v>0</v>
      </c>
      <c r="BF218" s="32" t="n">
        <f aca="false">SUM(R218,T218,V218,X218,Z218,AB218,AD218,AF218,AH218,AJ218,AL218,AN218,AP218,AR218,AT218,AV218,AX218,AZ218)</f>
        <v>444.59</v>
      </c>
      <c r="BG218" s="33" t="n">
        <f aca="false">BB218-BF218</f>
        <v>0</v>
      </c>
      <c r="BH218" s="34" t="n">
        <f aca="false">BF218*M218</f>
        <v>20006.55</v>
      </c>
      <c r="BI218" s="35" t="n">
        <f aca="false">BC218-BH218</f>
        <v>-0.549999999999272</v>
      </c>
      <c r="BJ218" s="19" t="str">
        <f aca="false">IF(BI218=0,"",IF(BI218&lt;&gt;BC218,"erreur de calcul",IF(BF218&lt;&gt;0,"pas de prix",IF(M218&lt;&gt; 0,"pas de quantité","pas de prix, ni de quantité"))))</f>
        <v>erreur de calcul</v>
      </c>
      <c r="BK218" s="19"/>
    </row>
    <row r="219" customFormat="false" ht="16" hidden="false" customHeight="false" outlineLevel="0" collapsed="false">
      <c r="A219" s="0" t="n">
        <v>9</v>
      </c>
      <c r="B219" s="8" t="s">
        <v>24</v>
      </c>
      <c r="C219" s="9" t="s">
        <v>25</v>
      </c>
      <c r="D219" s="9" t="s">
        <v>26</v>
      </c>
      <c r="E219" s="10" t="n">
        <v>1789</v>
      </c>
      <c r="F219" s="9" t="s">
        <v>27</v>
      </c>
      <c r="G219" s="9" t="s">
        <v>27</v>
      </c>
      <c r="H219" s="11" t="n">
        <v>24</v>
      </c>
      <c r="I219" s="11" t="s">
        <v>298</v>
      </c>
      <c r="J219" s="14" t="n">
        <v>550</v>
      </c>
      <c r="K219" s="14"/>
      <c r="L219" s="16"/>
      <c r="M219" s="27" t="n">
        <f aca="false">J219+(K219/20)+(L219/240)</f>
        <v>550</v>
      </c>
      <c r="N219" s="17" t="s">
        <v>64</v>
      </c>
      <c r="O219" s="11"/>
      <c r="P219" s="28"/>
      <c r="Q219" s="28" t="str">
        <f aca="false">IF(O219&lt;&gt;"",P219*M219,"")</f>
        <v/>
      </c>
      <c r="R219" s="28"/>
      <c r="S219" s="28" t="n">
        <f aca="false">R219*$M219</f>
        <v>0</v>
      </c>
      <c r="T219" s="28"/>
      <c r="U219" s="28" t="n">
        <f aca="false">T219*$M219</f>
        <v>0</v>
      </c>
      <c r="V219" s="28"/>
      <c r="W219" s="28" t="n">
        <f aca="false">V219*$M219</f>
        <v>0</v>
      </c>
      <c r="X219" s="28"/>
      <c r="Y219" s="28" t="n">
        <f aca="false">X219*$M219</f>
        <v>0</v>
      </c>
      <c r="Z219" s="28"/>
      <c r="AA219" s="28" t="n">
        <f aca="false">Z219*$M219</f>
        <v>0</v>
      </c>
      <c r="AB219" s="28"/>
      <c r="AC219" s="28" t="n">
        <f aca="false">AB219*$M219</f>
        <v>0</v>
      </c>
      <c r="AD219" s="28"/>
      <c r="AE219" s="28" t="n">
        <f aca="false">AD219*$M219</f>
        <v>0</v>
      </c>
      <c r="AF219" s="28"/>
      <c r="AG219" s="28" t="n">
        <f aca="false">AF219*$M219</f>
        <v>0</v>
      </c>
      <c r="AH219" s="28" t="n">
        <f aca="false">200/100</f>
        <v>2</v>
      </c>
      <c r="AI219" s="28" t="n">
        <v>1100</v>
      </c>
      <c r="AJ219" s="28"/>
      <c r="AK219" s="28" t="n">
        <f aca="false">AJ219*$M219</f>
        <v>0</v>
      </c>
      <c r="AL219" s="28"/>
      <c r="AM219" s="28" t="n">
        <f aca="false">AL219*$M219</f>
        <v>0</v>
      </c>
      <c r="AN219" s="28"/>
      <c r="AO219" s="28" t="n">
        <f aca="false">AN219*$M219</f>
        <v>0</v>
      </c>
      <c r="AP219" s="28"/>
      <c r="AQ219" s="28" t="n">
        <f aca="false">AP219*$M219</f>
        <v>0</v>
      </c>
      <c r="AR219" s="28"/>
      <c r="AS219" s="28" t="n">
        <f aca="false">AR219*$M219</f>
        <v>0</v>
      </c>
      <c r="AT219" s="28"/>
      <c r="AU219" s="28" t="n">
        <f aca="false">AT219*$M219</f>
        <v>0</v>
      </c>
      <c r="AV219" s="28"/>
      <c r="AW219" s="28" t="n">
        <f aca="false">AV219*$M219</f>
        <v>0</v>
      </c>
      <c r="AX219" s="28"/>
      <c r="AY219" s="28" t="n">
        <f aca="false">AX219*$M219</f>
        <v>0</v>
      </c>
      <c r="AZ219" s="28"/>
      <c r="BA219" s="28" t="n">
        <f aca="false">AZ219*$M219</f>
        <v>0</v>
      </c>
      <c r="BB219" s="30" t="n">
        <f aca="false">200/100</f>
        <v>2</v>
      </c>
      <c r="BC219" s="11" t="n">
        <v>1100</v>
      </c>
      <c r="BD219" s="31" t="n">
        <f aca="false">SUM(S219,U219,W219,Y219,AA219,AC219,AE219,AG219,AI219,AK219,AM219,AO219,AQ219,AS219,AU219,AW219,AY219,BA219)</f>
        <v>1100</v>
      </c>
      <c r="BE219" s="28" t="n">
        <f aca="false">BC219-BD219</f>
        <v>0</v>
      </c>
      <c r="BF219" s="32" t="n">
        <f aca="false">SUM(R219,T219,V219,X219,Z219,AB219,AD219,AF219,AH219,AJ219,AL219,AN219,AP219,AR219,AT219,AV219,AX219,AZ219)</f>
        <v>2</v>
      </c>
      <c r="BG219" s="33" t="n">
        <f aca="false">BB219-BF219</f>
        <v>0</v>
      </c>
      <c r="BH219" s="34" t="n">
        <f aca="false">BF219*M219</f>
        <v>1100</v>
      </c>
      <c r="BI219" s="35" t="n">
        <f aca="false">BC219-BH219</f>
        <v>0</v>
      </c>
      <c r="BJ219" s="19" t="str">
        <f aca="false">IF(BI219=0,"",IF(BI219&lt;&gt;BC219,"erreur de calcul",IF(BF219&lt;&gt;0,"pas de prix",IF(M219&lt;&gt; 0,"pas de quantité","pas de prix, ni de quantité"))))</f>
        <v/>
      </c>
      <c r="BK219" s="19"/>
    </row>
    <row r="220" customFormat="false" ht="16" hidden="false" customHeight="false" outlineLevel="0" collapsed="false">
      <c r="A220" s="0" t="n">
        <v>10</v>
      </c>
      <c r="B220" s="8" t="s">
        <v>24</v>
      </c>
      <c r="C220" s="9" t="s">
        <v>25</v>
      </c>
      <c r="D220" s="9" t="s">
        <v>26</v>
      </c>
      <c r="E220" s="10" t="n">
        <v>1789</v>
      </c>
      <c r="F220" s="9" t="s">
        <v>27</v>
      </c>
      <c r="G220" s="9" t="s">
        <v>27</v>
      </c>
      <c r="H220" s="11" t="n">
        <v>24</v>
      </c>
      <c r="I220" s="11" t="s">
        <v>299</v>
      </c>
      <c r="J220" s="14" t="n">
        <v>16</v>
      </c>
      <c r="K220" s="14"/>
      <c r="L220" s="16"/>
      <c r="M220" s="27" t="n">
        <f aca="false">J220+(K220/20)+(L220/240)</f>
        <v>16</v>
      </c>
      <c r="N220" s="17" t="s">
        <v>64</v>
      </c>
      <c r="O220" s="11"/>
      <c r="P220" s="28"/>
      <c r="Q220" s="28" t="str">
        <f aca="false">IF(O220&lt;&gt;"",P220*M220,"")</f>
        <v/>
      </c>
      <c r="R220" s="28" t="n">
        <f aca="false">20*288*0.02+252*0.02</f>
        <v>120.24</v>
      </c>
      <c r="S220" s="28" t="n">
        <v>1924</v>
      </c>
      <c r="T220" s="28"/>
      <c r="U220" s="28" t="n">
        <f aca="false">T220*$M220</f>
        <v>0</v>
      </c>
      <c r="V220" s="28"/>
      <c r="W220" s="28" t="n">
        <f aca="false">V220*$M220</f>
        <v>0</v>
      </c>
      <c r="X220" s="28" t="n">
        <f aca="false">16*288*0.02+15*0.02</f>
        <v>92.46</v>
      </c>
      <c r="Y220" s="28" t="n">
        <v>1479</v>
      </c>
      <c r="Z220" s="28" t="n">
        <f aca="false">25*288*0.02+152*0.02</f>
        <v>147.04</v>
      </c>
      <c r="AA220" s="28" t="n">
        <v>2353</v>
      </c>
      <c r="AB220" s="28"/>
      <c r="AC220" s="28" t="n">
        <f aca="false">AB220*$M220</f>
        <v>0</v>
      </c>
      <c r="AD220" s="28" t="n">
        <f aca="false">127*288*0.02+236*0.02</f>
        <v>736.24</v>
      </c>
      <c r="AE220" s="28" t="n">
        <v>11780</v>
      </c>
      <c r="AF220" s="28"/>
      <c r="AG220" s="28" t="n">
        <f aca="false">AF220*$M220</f>
        <v>0</v>
      </c>
      <c r="AH220" s="28"/>
      <c r="AI220" s="28" t="n">
        <f aca="false">AH220*$M220</f>
        <v>0</v>
      </c>
      <c r="AJ220" s="28"/>
      <c r="AK220" s="28" t="n">
        <f aca="false">AJ220*$M220</f>
        <v>0</v>
      </c>
      <c r="AL220" s="28"/>
      <c r="AM220" s="28" t="n">
        <f aca="false">AL220*$M220</f>
        <v>0</v>
      </c>
      <c r="AN220" s="28"/>
      <c r="AO220" s="28" t="n">
        <f aca="false">AN220*$M220</f>
        <v>0</v>
      </c>
      <c r="AP220" s="28"/>
      <c r="AQ220" s="28" t="n">
        <f aca="false">AP220*$M220</f>
        <v>0</v>
      </c>
      <c r="AR220" s="28"/>
      <c r="AS220" s="28" t="n">
        <f aca="false">AR220*$M220</f>
        <v>0</v>
      </c>
      <c r="AT220" s="28"/>
      <c r="AU220" s="28" t="n">
        <f aca="false">AT220*$M220</f>
        <v>0</v>
      </c>
      <c r="AV220" s="28"/>
      <c r="AW220" s="28" t="n">
        <f aca="false">AV220*$M220</f>
        <v>0</v>
      </c>
      <c r="AX220" s="28"/>
      <c r="AY220" s="28" t="n">
        <f aca="false">AX220*$M220</f>
        <v>0</v>
      </c>
      <c r="AZ220" s="28"/>
      <c r="BA220" s="28" t="n">
        <f aca="false">AZ220*$M220</f>
        <v>0</v>
      </c>
      <c r="BB220" s="30" t="n">
        <f aca="false">190*288*0.02+82*0.02</f>
        <v>1096.04</v>
      </c>
      <c r="BC220" s="11" t="n">
        <v>17536</v>
      </c>
      <c r="BD220" s="31" t="n">
        <f aca="false">SUM(S220,U220,W220,Y220,AA220,AC220,AE220,AG220,AI220,AK220,AM220,AO220,AQ220,AS220,AU220,AW220,AY220,BA220)</f>
        <v>17536</v>
      </c>
      <c r="BE220" s="28" t="n">
        <f aca="false">BC220-BD220</f>
        <v>0</v>
      </c>
      <c r="BF220" s="32" t="n">
        <f aca="false">SUM(R220,T220,V220,X220,Z220,AB220,AD220,AF220,AH220,AJ220,AL220,AN220,AP220,AR220,AT220,AV220,AX220,AZ220)</f>
        <v>1095.98</v>
      </c>
      <c r="BG220" s="33" t="n">
        <f aca="false">BB220-BF220</f>
        <v>0.0600000000001728</v>
      </c>
      <c r="BH220" s="34" t="n">
        <f aca="false">BF220*M220</f>
        <v>17535.68</v>
      </c>
      <c r="BI220" s="35" t="n">
        <f aca="false">BC220-BH220</f>
        <v>0.319999999999709</v>
      </c>
      <c r="BJ220" s="19" t="str">
        <f aca="false">IF(BI220=0,"",IF(BI220&lt;&gt;BC220,"erreur de calcul",IF(BF220&lt;&gt;0,"pas de prix",IF(M220&lt;&gt; 0,"pas de quantité","pas de prix, ni de quantité"))))</f>
        <v>erreur de calcul</v>
      </c>
      <c r="BK220" s="19"/>
    </row>
    <row r="221" customFormat="false" ht="16" hidden="false" customHeight="false" outlineLevel="0" collapsed="false">
      <c r="A221" s="0" t="n">
        <v>11</v>
      </c>
      <c r="B221" s="8" t="s">
        <v>24</v>
      </c>
      <c r="C221" s="9" t="s">
        <v>25</v>
      </c>
      <c r="D221" s="9" t="s">
        <v>26</v>
      </c>
      <c r="E221" s="10" t="n">
        <v>1789</v>
      </c>
      <c r="F221" s="9" t="s">
        <v>27</v>
      </c>
      <c r="G221" s="9" t="s">
        <v>27</v>
      </c>
      <c r="H221" s="11" t="n">
        <v>24</v>
      </c>
      <c r="I221" s="11" t="s">
        <v>300</v>
      </c>
      <c r="J221" s="14" t="n">
        <v>360</v>
      </c>
      <c r="K221" s="14"/>
      <c r="L221" s="16"/>
      <c r="M221" s="27" t="n">
        <f aca="false">J221+(K221/20)+(L221/240)</f>
        <v>360</v>
      </c>
      <c r="N221" s="17" t="s">
        <v>64</v>
      </c>
      <c r="O221" s="11"/>
      <c r="P221" s="28"/>
      <c r="Q221" s="28" t="str">
        <f aca="false">IF(O221&lt;&gt;"",P221*M221,"")</f>
        <v/>
      </c>
      <c r="R221" s="28"/>
      <c r="S221" s="28" t="n">
        <f aca="false">R221*$M221</f>
        <v>0</v>
      </c>
      <c r="T221" s="28"/>
      <c r="U221" s="28" t="n">
        <f aca="false">T221*$M221</f>
        <v>0</v>
      </c>
      <c r="V221" s="28"/>
      <c r="W221" s="28" t="n">
        <f aca="false">V221*$M221</f>
        <v>0</v>
      </c>
      <c r="X221" s="28"/>
      <c r="Y221" s="28" t="n">
        <f aca="false">X221*$M221</f>
        <v>0</v>
      </c>
      <c r="Z221" s="28"/>
      <c r="AA221" s="28" t="n">
        <f aca="false">Z221*$M221</f>
        <v>0</v>
      </c>
      <c r="AB221" s="28"/>
      <c r="AC221" s="28" t="n">
        <f aca="false">AB221*$M221</f>
        <v>0</v>
      </c>
      <c r="AD221" s="28"/>
      <c r="AE221" s="28" t="n">
        <f aca="false">AD221*$M221</f>
        <v>0</v>
      </c>
      <c r="AF221" s="28"/>
      <c r="AG221" s="28" t="n">
        <f aca="false">AF221*$M221</f>
        <v>0</v>
      </c>
      <c r="AH221" s="28"/>
      <c r="AI221" s="28" t="n">
        <f aca="false">AH221*$M221</f>
        <v>0</v>
      </c>
      <c r="AJ221" s="28" t="n">
        <f aca="false">371073/100</f>
        <v>3710.73</v>
      </c>
      <c r="AK221" s="28" t="n">
        <v>1335863</v>
      </c>
      <c r="AL221" s="28"/>
      <c r="AM221" s="28" t="n">
        <f aca="false">AL221*$M221</f>
        <v>0</v>
      </c>
      <c r="AN221" s="28"/>
      <c r="AO221" s="28" t="n">
        <f aca="false">AN221*$M221</f>
        <v>0</v>
      </c>
      <c r="AP221" s="28"/>
      <c r="AQ221" s="28" t="n">
        <f aca="false">AP221*$M221</f>
        <v>0</v>
      </c>
      <c r="AR221" s="28"/>
      <c r="AS221" s="28" t="n">
        <f aca="false">AR221*$M221</f>
        <v>0</v>
      </c>
      <c r="AT221" s="28"/>
      <c r="AU221" s="28" t="n">
        <f aca="false">AT221*$M221</f>
        <v>0</v>
      </c>
      <c r="AV221" s="28"/>
      <c r="AW221" s="28" t="n">
        <f aca="false">AV221*$M221</f>
        <v>0</v>
      </c>
      <c r="AX221" s="28"/>
      <c r="AY221" s="28" t="n">
        <f aca="false">AX221*$M221</f>
        <v>0</v>
      </c>
      <c r="AZ221" s="28"/>
      <c r="BA221" s="28" t="n">
        <f aca="false">AZ221*$M221</f>
        <v>0</v>
      </c>
      <c r="BB221" s="30" t="n">
        <f aca="false">371073/100</f>
        <v>3710.73</v>
      </c>
      <c r="BC221" s="11" t="n">
        <v>1335863</v>
      </c>
      <c r="BD221" s="31" t="n">
        <f aca="false">SUM(S221,U221,W221,Y221,AA221,AC221,AE221,AG221,AI221,AK221,AM221,AO221,AQ221,AS221,AU221,AW221,AY221,BA221)</f>
        <v>1335863</v>
      </c>
      <c r="BE221" s="28" t="n">
        <f aca="false">BC221-BD221</f>
        <v>0</v>
      </c>
      <c r="BF221" s="32" t="n">
        <f aca="false">SUM(R221,T221,V221,X221,Z221,AB221,AD221,AF221,AH221,AJ221,AL221,AN221,AP221,AR221,AT221,AV221,AX221,AZ221)</f>
        <v>3710.73</v>
      </c>
      <c r="BG221" s="33" t="n">
        <f aca="false">BB221-BF221</f>
        <v>0</v>
      </c>
      <c r="BH221" s="34" t="n">
        <f aca="false">BF221*M221</f>
        <v>1335862.8</v>
      </c>
      <c r="BI221" s="35" t="n">
        <f aca="false">BC221-BH221</f>
        <v>0.199999999953434</v>
      </c>
      <c r="BJ221" s="19" t="str">
        <f aca="false">IF(BI221=0,"",IF(BI221&lt;&gt;BC221,"erreur de calcul",IF(BF221&lt;&gt;0,"pas de prix",IF(M221&lt;&gt; 0,"pas de quantité","pas de prix, ni de quantité"))))</f>
        <v>erreur de calcul</v>
      </c>
      <c r="BK221" s="19"/>
    </row>
    <row r="222" customFormat="false" ht="16" hidden="false" customHeight="false" outlineLevel="0" collapsed="false">
      <c r="A222" s="0" t="n">
        <v>12</v>
      </c>
      <c r="B222" s="8" t="s">
        <v>24</v>
      </c>
      <c r="C222" s="9" t="s">
        <v>25</v>
      </c>
      <c r="D222" s="9" t="s">
        <v>26</v>
      </c>
      <c r="E222" s="10" t="n">
        <v>1789</v>
      </c>
      <c r="F222" s="9" t="s">
        <v>27</v>
      </c>
      <c r="G222" s="9" t="s">
        <v>27</v>
      </c>
      <c r="H222" s="11" t="n">
        <v>24</v>
      </c>
      <c r="I222" s="11" t="s">
        <v>301</v>
      </c>
      <c r="J222" s="14" t="n">
        <v>3</v>
      </c>
      <c r="K222" s="14"/>
      <c r="L222" s="16"/>
      <c r="M222" s="27" t="n">
        <f aca="false">J222+(K222/20)+(L222/240)</f>
        <v>3</v>
      </c>
      <c r="N222" s="17" t="s">
        <v>66</v>
      </c>
      <c r="O222" s="11"/>
      <c r="P222" s="28"/>
      <c r="Q222" s="28" t="str">
        <f aca="false">IF(O222&lt;&gt;"",P222*M222,"")</f>
        <v/>
      </c>
      <c r="R222" s="28"/>
      <c r="S222" s="28" t="n">
        <f aca="false">R222*$M222</f>
        <v>0</v>
      </c>
      <c r="T222" s="28"/>
      <c r="U222" s="28" t="n">
        <f aca="false">T222*$M222</f>
        <v>0</v>
      </c>
      <c r="V222" s="28"/>
      <c r="W222" s="28" t="n">
        <f aca="false">V222*$M222</f>
        <v>0</v>
      </c>
      <c r="X222" s="28"/>
      <c r="Y222" s="28" t="n">
        <f aca="false">X222*$M222</f>
        <v>0</v>
      </c>
      <c r="Z222" s="28"/>
      <c r="AA222" s="28" t="n">
        <f aca="false">Z222*$M222</f>
        <v>0</v>
      </c>
      <c r="AB222" s="28"/>
      <c r="AC222" s="28" t="n">
        <f aca="false">AB222*$M222</f>
        <v>0</v>
      </c>
      <c r="AD222" s="28"/>
      <c r="AE222" s="28" t="n">
        <f aca="false">AD222*$M222</f>
        <v>0</v>
      </c>
      <c r="AF222" s="28"/>
      <c r="AG222" s="28" t="n">
        <f aca="false">AF222*$M222</f>
        <v>0</v>
      </c>
      <c r="AH222" s="28"/>
      <c r="AI222" s="28" t="n">
        <f aca="false">AH222*$M222</f>
        <v>0</v>
      </c>
      <c r="AJ222" s="28" t="n">
        <v>19281</v>
      </c>
      <c r="AK222" s="28" t="n">
        <v>57843</v>
      </c>
      <c r="AL222" s="28"/>
      <c r="AM222" s="28" t="n">
        <f aca="false">AL222*$M222</f>
        <v>0</v>
      </c>
      <c r="AN222" s="28"/>
      <c r="AO222" s="28" t="n">
        <f aca="false">AN222*$M222</f>
        <v>0</v>
      </c>
      <c r="AP222" s="28"/>
      <c r="AQ222" s="28" t="n">
        <f aca="false">AP222*$M222</f>
        <v>0</v>
      </c>
      <c r="AR222" s="28"/>
      <c r="AS222" s="28" t="n">
        <f aca="false">AR222*$M222</f>
        <v>0</v>
      </c>
      <c r="AT222" s="28"/>
      <c r="AU222" s="28" t="n">
        <f aca="false">AT222*$M222</f>
        <v>0</v>
      </c>
      <c r="AV222" s="28"/>
      <c r="AW222" s="28" t="n">
        <f aca="false">AV222*$M222</f>
        <v>0</v>
      </c>
      <c r="AX222" s="28"/>
      <c r="AY222" s="28" t="n">
        <f aca="false">AX222*$M222</f>
        <v>0</v>
      </c>
      <c r="AZ222" s="28"/>
      <c r="BA222" s="28" t="n">
        <f aca="false">AZ222*$M222</f>
        <v>0</v>
      </c>
      <c r="BB222" s="30" t="n">
        <v>19281</v>
      </c>
      <c r="BC222" s="11" t="n">
        <v>57843</v>
      </c>
      <c r="BD222" s="31" t="n">
        <f aca="false">SUM(S222,U222,W222,Y222,AA222,AC222,AE222,AG222,AI222,AK222,AM222,AO222,AQ222,AS222,AU222,AW222,AY222,BA222)</f>
        <v>57843</v>
      </c>
      <c r="BE222" s="28" t="n">
        <f aca="false">BC222-BD222</f>
        <v>0</v>
      </c>
      <c r="BF222" s="32" t="n">
        <f aca="false">SUM(R222,T222,V222,X222,Z222,AB222,AD222,AF222,AH222,AJ222,AL222,AN222,AP222,AR222,AT222,AV222,AX222,AZ222)</f>
        <v>19281</v>
      </c>
      <c r="BG222" s="33" t="n">
        <f aca="false">BB222-BF222</f>
        <v>0</v>
      </c>
      <c r="BH222" s="34" t="n">
        <f aca="false">BF222*M222</f>
        <v>57843</v>
      </c>
      <c r="BI222" s="35" t="n">
        <f aca="false">BC222-BH222</f>
        <v>0</v>
      </c>
      <c r="BJ222" s="19" t="str">
        <f aca="false">IF(BI222=0,"",IF(BI222&lt;&gt;BC222,"erreur de calcul",IF(BF222&lt;&gt;0,"pas de prix",IF(M222&lt;&gt; 0,"pas de quantité","pas de prix, ni de quantité"))))</f>
        <v/>
      </c>
      <c r="BK222" s="19"/>
    </row>
    <row r="223" customFormat="false" ht="16" hidden="false" customHeight="false" outlineLevel="0" collapsed="false">
      <c r="A223" s="0" t="n">
        <v>13</v>
      </c>
      <c r="B223" s="8" t="s">
        <v>24</v>
      </c>
      <c r="C223" s="9" t="s">
        <v>25</v>
      </c>
      <c r="D223" s="9" t="s">
        <v>26</v>
      </c>
      <c r="E223" s="10" t="n">
        <v>1789</v>
      </c>
      <c r="F223" s="9" t="s">
        <v>27</v>
      </c>
      <c r="G223" s="9" t="s">
        <v>27</v>
      </c>
      <c r="H223" s="11" t="n">
        <v>24</v>
      </c>
      <c r="I223" s="11" t="s">
        <v>302</v>
      </c>
      <c r="J223" s="14" t="n">
        <v>112</v>
      </c>
      <c r="K223" s="14"/>
      <c r="L223" s="16"/>
      <c r="M223" s="27" t="n">
        <f aca="false">J223+(K223/20)+(L223/240)</f>
        <v>112</v>
      </c>
      <c r="N223" s="17" t="s">
        <v>64</v>
      </c>
      <c r="O223" s="11"/>
      <c r="P223" s="28"/>
      <c r="Q223" s="28" t="str">
        <f aca="false">IF(O223&lt;&gt;"",P223*M223,"")</f>
        <v/>
      </c>
      <c r="R223" s="28" t="n">
        <f aca="false">99503/100</f>
        <v>995.03</v>
      </c>
      <c r="S223" s="28" t="n">
        <v>111443</v>
      </c>
      <c r="T223" s="28"/>
      <c r="U223" s="28" t="n">
        <f aca="false">T223*$M223</f>
        <v>0</v>
      </c>
      <c r="V223" s="28" t="n">
        <f aca="false">8445/100</f>
        <v>84.45</v>
      </c>
      <c r="W223" s="28" t="n">
        <v>9458</v>
      </c>
      <c r="X223" s="28" t="n">
        <f aca="false">2517/100</f>
        <v>25.17</v>
      </c>
      <c r="Y223" s="28" t="n">
        <v>2819</v>
      </c>
      <c r="Z223" s="28" t="n">
        <f aca="false">4729/100</f>
        <v>47.29</v>
      </c>
      <c r="AA223" s="28" t="n">
        <v>5296</v>
      </c>
      <c r="AB223" s="28" t="n">
        <f aca="false">198115/100</f>
        <v>1981.15</v>
      </c>
      <c r="AC223" s="28" t="n">
        <v>221889</v>
      </c>
      <c r="AD223" s="28"/>
      <c r="AE223" s="28" t="n">
        <f aca="false">AD223*$M223</f>
        <v>0</v>
      </c>
      <c r="AF223" s="28"/>
      <c r="AG223" s="28" t="n">
        <f aca="false">AF223*$M223</f>
        <v>0</v>
      </c>
      <c r="AH223" s="28" t="n">
        <f aca="false">67420/100</f>
        <v>674.2</v>
      </c>
      <c r="AI223" s="28" t="n">
        <v>75510</v>
      </c>
      <c r="AJ223" s="28" t="n">
        <f aca="false">415806/100</f>
        <v>4158.06</v>
      </c>
      <c r="AK223" s="28" t="n">
        <v>465703</v>
      </c>
      <c r="AL223" s="28"/>
      <c r="AM223" s="28" t="n">
        <f aca="false">AL223*$M223</f>
        <v>0</v>
      </c>
      <c r="AN223" s="28" t="n">
        <f aca="false">324/100</f>
        <v>3.24</v>
      </c>
      <c r="AO223" s="28" t="n">
        <v>363</v>
      </c>
      <c r="AP223" s="28"/>
      <c r="AQ223" s="28" t="n">
        <f aca="false">AP223*$M223</f>
        <v>0</v>
      </c>
      <c r="AR223" s="28"/>
      <c r="AS223" s="28" t="n">
        <f aca="false">AR223*$M223</f>
        <v>0</v>
      </c>
      <c r="AT223" s="28"/>
      <c r="AU223" s="28" t="n">
        <f aca="false">AT223*$M223</f>
        <v>0</v>
      </c>
      <c r="AV223" s="28"/>
      <c r="AW223" s="28" t="n">
        <f aca="false">AV223*$M223</f>
        <v>0</v>
      </c>
      <c r="AX223" s="28"/>
      <c r="AY223" s="28" t="n">
        <f aca="false">AX223*$M223</f>
        <v>0</v>
      </c>
      <c r="AZ223" s="28"/>
      <c r="BA223" s="28" t="n">
        <f aca="false">AZ223*$M223</f>
        <v>0</v>
      </c>
      <c r="BB223" s="30" t="n">
        <f aca="false">796859/100</f>
        <v>7968.59</v>
      </c>
      <c r="BC223" s="11" t="n">
        <v>892481</v>
      </c>
      <c r="BD223" s="31" t="n">
        <f aca="false">SUM(S223,U223,W223,Y223,AA223,AC223,AE223,AG223,AI223,AK223,AM223,AO223,AQ223,AS223,AU223,AW223,AY223,BA223)</f>
        <v>892481</v>
      </c>
      <c r="BE223" s="28" t="n">
        <f aca="false">BC223-BD223</f>
        <v>0</v>
      </c>
      <c r="BF223" s="32" t="n">
        <f aca="false">SUM(R223,T223,V223,X223,Z223,AB223,AD223,AF223,AH223,AJ223,AL223,AN223,AP223,AR223,AT223,AV223,AX223,AZ223)</f>
        <v>7968.59</v>
      </c>
      <c r="BG223" s="33" t="n">
        <f aca="false">BB223-BF223</f>
        <v>0</v>
      </c>
      <c r="BH223" s="34" t="n">
        <f aca="false">BF223*M223</f>
        <v>892482.08</v>
      </c>
      <c r="BI223" s="35" t="n">
        <f aca="false">BC223-BH223</f>
        <v>-1.07999999995809</v>
      </c>
      <c r="BJ223" s="19" t="str">
        <f aca="false">IF(BI223=0,"",IF(BI223&lt;&gt;BC223,"erreur de calcul",IF(BF223&lt;&gt;0,"pas de prix",IF(M223&lt;&gt; 0,"pas de quantité","pas de prix, ni de quantité"))))</f>
        <v>erreur de calcul</v>
      </c>
      <c r="BK223" s="19"/>
    </row>
    <row r="224" customFormat="false" ht="16" hidden="false" customHeight="false" outlineLevel="0" collapsed="false">
      <c r="A224" s="0" t="n">
        <v>14</v>
      </c>
      <c r="B224" s="8" t="s">
        <v>24</v>
      </c>
      <c r="C224" s="9" t="s">
        <v>25</v>
      </c>
      <c r="D224" s="9" t="s">
        <v>26</v>
      </c>
      <c r="E224" s="10" t="n">
        <v>1789</v>
      </c>
      <c r="F224" s="9" t="s">
        <v>27</v>
      </c>
      <c r="G224" s="9" t="s">
        <v>27</v>
      </c>
      <c r="H224" s="11" t="n">
        <v>24</v>
      </c>
      <c r="I224" s="11" t="s">
        <v>303</v>
      </c>
      <c r="J224" s="14" t="n">
        <v>50</v>
      </c>
      <c r="K224" s="14"/>
      <c r="L224" s="16"/>
      <c r="M224" s="27" t="n">
        <f aca="false">J224+(K224/20)+(L224/240)</f>
        <v>50</v>
      </c>
      <c r="N224" s="17" t="s">
        <v>64</v>
      </c>
      <c r="O224" s="11"/>
      <c r="P224" s="28"/>
      <c r="Q224" s="28" t="str">
        <f aca="false">IF(O224&lt;&gt;"",P224*M224,"")</f>
        <v/>
      </c>
      <c r="R224" s="28"/>
      <c r="S224" s="28" t="n">
        <f aca="false">R224*$M224</f>
        <v>0</v>
      </c>
      <c r="T224" s="28"/>
      <c r="U224" s="28" t="n">
        <f aca="false">T224*$M224</f>
        <v>0</v>
      </c>
      <c r="V224" s="28"/>
      <c r="W224" s="28" t="n">
        <f aca="false">V224*$M224</f>
        <v>0</v>
      </c>
      <c r="X224" s="28"/>
      <c r="Y224" s="28" t="n">
        <f aca="false">X224*$M224</f>
        <v>0</v>
      </c>
      <c r="Z224" s="28"/>
      <c r="AA224" s="28" t="n">
        <f aca="false">Z224*$M224</f>
        <v>0</v>
      </c>
      <c r="AB224" s="28"/>
      <c r="AC224" s="28" t="n">
        <f aca="false">AB224*$M224</f>
        <v>0</v>
      </c>
      <c r="AD224" s="28"/>
      <c r="AE224" s="28" t="n">
        <f aca="false">AD224*$M224</f>
        <v>0</v>
      </c>
      <c r="AF224" s="28"/>
      <c r="AG224" s="28" t="n">
        <f aca="false">AF224*$M224</f>
        <v>0</v>
      </c>
      <c r="AH224" s="28" t="n">
        <f aca="false">208461/100</f>
        <v>2084.61</v>
      </c>
      <c r="AI224" s="28" t="n">
        <v>104230</v>
      </c>
      <c r="AJ224" s="28" t="n">
        <f aca="false">757624/100</f>
        <v>7576.24</v>
      </c>
      <c r="AK224" s="28" t="n">
        <v>378812</v>
      </c>
      <c r="AL224" s="28"/>
      <c r="AM224" s="28" t="n">
        <f aca="false">AL224*$M224</f>
        <v>0</v>
      </c>
      <c r="AN224" s="28"/>
      <c r="AO224" s="28" t="n">
        <f aca="false">AN224*$M224</f>
        <v>0</v>
      </c>
      <c r="AP224" s="28"/>
      <c r="AQ224" s="28" t="n">
        <f aca="false">AP224*$M224</f>
        <v>0</v>
      </c>
      <c r="AR224" s="28"/>
      <c r="AS224" s="28" t="n">
        <f aca="false">AR224*$M224</f>
        <v>0</v>
      </c>
      <c r="AT224" s="28"/>
      <c r="AU224" s="28" t="n">
        <f aca="false">AT224*$M224</f>
        <v>0</v>
      </c>
      <c r="AV224" s="28"/>
      <c r="AW224" s="28" t="n">
        <f aca="false">AV224*$M224</f>
        <v>0</v>
      </c>
      <c r="AX224" s="28"/>
      <c r="AY224" s="28" t="n">
        <f aca="false">AX224*$M224</f>
        <v>0</v>
      </c>
      <c r="AZ224" s="28"/>
      <c r="BA224" s="28" t="n">
        <f aca="false">AZ224*$M224</f>
        <v>0</v>
      </c>
      <c r="BB224" s="30" t="n">
        <f aca="false">966085/100</f>
        <v>9660.85</v>
      </c>
      <c r="BC224" s="11" t="n">
        <v>483042</v>
      </c>
      <c r="BD224" s="31" t="n">
        <f aca="false">SUM(S224,U224,W224,Y224,AA224,AC224,AE224,AG224,AI224,AK224,AM224,AO224,AQ224,AS224,AU224,AW224,AY224,BA224)</f>
        <v>483042</v>
      </c>
      <c r="BE224" s="28" t="n">
        <f aca="false">BC224-BD224</f>
        <v>0</v>
      </c>
      <c r="BF224" s="32" t="n">
        <f aca="false">SUM(R224,T224,V224,X224,Z224,AB224,AD224,AF224,AH224,AJ224,AL224,AN224,AP224,AR224,AT224,AV224,AX224,AZ224)</f>
        <v>9660.85</v>
      </c>
      <c r="BG224" s="33" t="n">
        <f aca="false">BB224-BF224</f>
        <v>0</v>
      </c>
      <c r="BH224" s="34" t="n">
        <f aca="false">BF224*M224</f>
        <v>483042.5</v>
      </c>
      <c r="BI224" s="35" t="n">
        <f aca="false">BC224-BH224</f>
        <v>-0.5</v>
      </c>
      <c r="BJ224" s="19" t="str">
        <f aca="false">IF(BI224=0,"",IF(BI224&lt;&gt;BC224,"erreur de calcul",IF(BF224&lt;&gt;0,"pas de prix",IF(M224&lt;&gt; 0,"pas de quantité","pas de prix, ni de quantité"))))</f>
        <v>erreur de calcul</v>
      </c>
      <c r="BK224" s="19"/>
    </row>
    <row r="225" customFormat="false" ht="16" hidden="false" customHeight="false" outlineLevel="0" collapsed="false">
      <c r="A225" s="0" t="n">
        <v>15</v>
      </c>
      <c r="B225" s="8" t="s">
        <v>24</v>
      </c>
      <c r="C225" s="9" t="s">
        <v>25</v>
      </c>
      <c r="D225" s="9" t="s">
        <v>26</v>
      </c>
      <c r="E225" s="10" t="n">
        <v>1789</v>
      </c>
      <c r="F225" s="9" t="s">
        <v>27</v>
      </c>
      <c r="G225" s="9" t="s">
        <v>27</v>
      </c>
      <c r="H225" s="11" t="n">
        <v>24</v>
      </c>
      <c r="I225" s="11" t="s">
        <v>304</v>
      </c>
      <c r="J225" s="14" t="n">
        <v>340</v>
      </c>
      <c r="K225" s="14"/>
      <c r="L225" s="16"/>
      <c r="M225" s="27" t="n">
        <f aca="false">J225+(K225/20)+(L225/240)</f>
        <v>340</v>
      </c>
      <c r="N225" s="17" t="s">
        <v>64</v>
      </c>
      <c r="O225" s="11"/>
      <c r="P225" s="28"/>
      <c r="Q225" s="28" t="str">
        <f aca="false">IF(O225&lt;&gt;"",P225*M225,"")</f>
        <v/>
      </c>
      <c r="R225" s="28"/>
      <c r="S225" s="28" t="n">
        <f aca="false">R225*$M225</f>
        <v>0</v>
      </c>
      <c r="T225" s="28"/>
      <c r="U225" s="28" t="n">
        <f aca="false">T225*$M225</f>
        <v>0</v>
      </c>
      <c r="V225" s="28"/>
      <c r="W225" s="28" t="n">
        <f aca="false">V225*$M225</f>
        <v>0</v>
      </c>
      <c r="X225" s="28"/>
      <c r="Y225" s="28" t="n">
        <f aca="false">X225*$M225</f>
        <v>0</v>
      </c>
      <c r="Z225" s="28"/>
      <c r="AA225" s="28" t="n">
        <f aca="false">Z225*$M225</f>
        <v>0</v>
      </c>
      <c r="AB225" s="28"/>
      <c r="AC225" s="28" t="n">
        <f aca="false">AB225*$M225</f>
        <v>0</v>
      </c>
      <c r="AD225" s="28" t="n">
        <f aca="false">339883/100</f>
        <v>3398.83</v>
      </c>
      <c r="AE225" s="28" t="n">
        <v>1155602</v>
      </c>
      <c r="AF225" s="28"/>
      <c r="AG225" s="28" t="n">
        <f aca="false">AF225*$M225</f>
        <v>0</v>
      </c>
      <c r="AH225" s="28"/>
      <c r="AI225" s="28" t="n">
        <f aca="false">AH225*$M225</f>
        <v>0</v>
      </c>
      <c r="AJ225" s="28"/>
      <c r="AK225" s="28" t="n">
        <f aca="false">AJ225*$M225</f>
        <v>0</v>
      </c>
      <c r="AL225" s="28"/>
      <c r="AM225" s="28" t="n">
        <f aca="false">AL225*$M225</f>
        <v>0</v>
      </c>
      <c r="AN225" s="28"/>
      <c r="AO225" s="28" t="n">
        <f aca="false">AN225*$M225</f>
        <v>0</v>
      </c>
      <c r="AP225" s="28"/>
      <c r="AQ225" s="28" t="n">
        <f aca="false">AP225*$M225</f>
        <v>0</v>
      </c>
      <c r="AR225" s="28"/>
      <c r="AS225" s="28" t="n">
        <f aca="false">AR225*$M225</f>
        <v>0</v>
      </c>
      <c r="AT225" s="28"/>
      <c r="AU225" s="28" t="n">
        <f aca="false">AT225*$M225</f>
        <v>0</v>
      </c>
      <c r="AV225" s="28"/>
      <c r="AW225" s="28" t="n">
        <f aca="false">AV225*$M225</f>
        <v>0</v>
      </c>
      <c r="AX225" s="28"/>
      <c r="AY225" s="28" t="n">
        <f aca="false">AX225*$M225</f>
        <v>0</v>
      </c>
      <c r="AZ225" s="28"/>
      <c r="BA225" s="28" t="n">
        <f aca="false">AZ225*$M225</f>
        <v>0</v>
      </c>
      <c r="BB225" s="30" t="n">
        <f aca="false">339883/100</f>
        <v>3398.83</v>
      </c>
      <c r="BC225" s="11" t="n">
        <v>1155602</v>
      </c>
      <c r="BD225" s="31" t="n">
        <f aca="false">SUM(S225,U225,W225,Y225,AA225,AC225,AE225,AG225,AI225,AK225,AM225,AO225,AQ225,AS225,AU225,AW225,AY225,BA225)</f>
        <v>1155602</v>
      </c>
      <c r="BE225" s="28" t="n">
        <f aca="false">BC225-BD225</f>
        <v>0</v>
      </c>
      <c r="BF225" s="32" t="n">
        <f aca="false">SUM(R225,T225,V225,X225,Z225,AB225,AD225,AF225,AH225,AJ225,AL225,AN225,AP225,AR225,AT225,AV225,AX225,AZ225)</f>
        <v>3398.83</v>
      </c>
      <c r="BG225" s="33" t="n">
        <f aca="false">BB225-BF225</f>
        <v>0</v>
      </c>
      <c r="BH225" s="34" t="n">
        <f aca="false">BF225*M225</f>
        <v>1155602.2</v>
      </c>
      <c r="BI225" s="35" t="n">
        <f aca="false">BC225-BH225</f>
        <v>-0.199999999953434</v>
      </c>
      <c r="BJ225" s="19" t="str">
        <f aca="false">IF(BI225=0,"",IF(BI225&lt;&gt;BC225,"erreur de calcul",IF(BF225&lt;&gt;0,"pas de prix",IF(M225&lt;&gt; 0,"pas de quantité","pas de prix, ni de quantité"))))</f>
        <v>erreur de calcul</v>
      </c>
      <c r="BK225" s="19"/>
    </row>
    <row r="226" customFormat="false" ht="16" hidden="false" customHeight="false" outlineLevel="0" collapsed="false">
      <c r="A226" s="0" t="n">
        <v>16</v>
      </c>
      <c r="B226" s="8" t="s">
        <v>24</v>
      </c>
      <c r="C226" s="9" t="s">
        <v>25</v>
      </c>
      <c r="D226" s="9" t="s">
        <v>26</v>
      </c>
      <c r="E226" s="10" t="n">
        <v>1789</v>
      </c>
      <c r="F226" s="9" t="s">
        <v>27</v>
      </c>
      <c r="G226" s="9" t="s">
        <v>27</v>
      </c>
      <c r="H226" s="11" t="n">
        <v>24</v>
      </c>
      <c r="I226" s="11" t="s">
        <v>305</v>
      </c>
      <c r="J226" s="14" t="n">
        <v>235</v>
      </c>
      <c r="K226" s="14"/>
      <c r="L226" s="16"/>
      <c r="M226" s="27" t="n">
        <f aca="false">J226+(K226/20)+(L226/240)</f>
        <v>235</v>
      </c>
      <c r="N226" s="17" t="s">
        <v>64</v>
      </c>
      <c r="O226" s="11"/>
      <c r="P226" s="28"/>
      <c r="Q226" s="28" t="str">
        <f aca="false">IF(O226&lt;&gt;"",P226*M226,"")</f>
        <v/>
      </c>
      <c r="R226" s="28" t="n">
        <f aca="false">34642/100</f>
        <v>346.42</v>
      </c>
      <c r="S226" s="28" t="n">
        <v>81409</v>
      </c>
      <c r="T226" s="28"/>
      <c r="U226" s="28" t="n">
        <f aca="false">T226*$M226</f>
        <v>0</v>
      </c>
      <c r="V226" s="28"/>
      <c r="W226" s="28" t="n">
        <f aca="false">V226*$M226</f>
        <v>0</v>
      </c>
      <c r="X226" s="28"/>
      <c r="Y226" s="28" t="n">
        <f aca="false">X226*$M226</f>
        <v>0</v>
      </c>
      <c r="Z226" s="28"/>
      <c r="AA226" s="28" t="n">
        <f aca="false">Z226*$M226</f>
        <v>0</v>
      </c>
      <c r="AB226" s="28"/>
      <c r="AC226" s="28" t="n">
        <f aca="false">AB226*$M226</f>
        <v>0</v>
      </c>
      <c r="AD226" s="28"/>
      <c r="AE226" s="28" t="n">
        <f aca="false">AD226*$M226</f>
        <v>0</v>
      </c>
      <c r="AF226" s="28"/>
      <c r="AG226" s="28" t="n">
        <f aca="false">AF226*$M226</f>
        <v>0</v>
      </c>
      <c r="AH226" s="28"/>
      <c r="AI226" s="28" t="n">
        <f aca="false">AH226*$M226</f>
        <v>0</v>
      </c>
      <c r="AJ226" s="28"/>
      <c r="AK226" s="28" t="n">
        <f aca="false">AJ226*$M226</f>
        <v>0</v>
      </c>
      <c r="AL226" s="28"/>
      <c r="AM226" s="28" t="n">
        <f aca="false">AL226*$M226</f>
        <v>0</v>
      </c>
      <c r="AN226" s="28"/>
      <c r="AO226" s="28" t="n">
        <f aca="false">AN226*$M226</f>
        <v>0</v>
      </c>
      <c r="AP226" s="28"/>
      <c r="AQ226" s="28" t="n">
        <f aca="false">AP226*$M226</f>
        <v>0</v>
      </c>
      <c r="AR226" s="28"/>
      <c r="AS226" s="28" t="n">
        <f aca="false">AR226*$M226</f>
        <v>0</v>
      </c>
      <c r="AT226" s="28"/>
      <c r="AU226" s="28" t="n">
        <f aca="false">AT226*$M226</f>
        <v>0</v>
      </c>
      <c r="AV226" s="28"/>
      <c r="AW226" s="28" t="n">
        <f aca="false">AV226*$M226</f>
        <v>0</v>
      </c>
      <c r="AX226" s="28"/>
      <c r="AY226" s="28" t="n">
        <f aca="false">AX226*$M226</f>
        <v>0</v>
      </c>
      <c r="AZ226" s="28"/>
      <c r="BA226" s="28" t="n">
        <f aca="false">AZ226*$M226</f>
        <v>0</v>
      </c>
      <c r="BB226" s="30" t="n">
        <f aca="false">34642/100</f>
        <v>346.42</v>
      </c>
      <c r="BC226" s="11" t="n">
        <v>81409</v>
      </c>
      <c r="BD226" s="31" t="n">
        <f aca="false">SUM(S226,U226,W226,Y226,AA226,AC226,AE226,AG226,AI226,AK226,AM226,AO226,AQ226,AS226,AU226,AW226,AY226,BA226)</f>
        <v>81409</v>
      </c>
      <c r="BE226" s="28" t="n">
        <f aca="false">BC226-BD226</f>
        <v>0</v>
      </c>
      <c r="BF226" s="32" t="n">
        <f aca="false">SUM(R226,T226,V226,X226,Z226,AB226,AD226,AF226,AH226,AJ226,AL226,AN226,AP226,AR226,AT226,AV226,AX226,AZ226)</f>
        <v>346.42</v>
      </c>
      <c r="BG226" s="33" t="n">
        <f aca="false">BB226-BF226</f>
        <v>0</v>
      </c>
      <c r="BH226" s="34" t="n">
        <f aca="false">BF226*M226</f>
        <v>81408.7</v>
      </c>
      <c r="BI226" s="35" t="n">
        <f aca="false">BC226-BH226</f>
        <v>0.30000000000291</v>
      </c>
      <c r="BJ226" s="19" t="str">
        <f aca="false">IF(BI226=0,"",IF(BI226&lt;&gt;BC226,"erreur de calcul",IF(BF226&lt;&gt;0,"pas de prix",IF(M226&lt;&gt; 0,"pas de quantité","pas de prix, ni de quantité"))))</f>
        <v>erreur de calcul</v>
      </c>
      <c r="BK226" s="19"/>
    </row>
    <row r="227" customFormat="false" ht="16" hidden="false" customHeight="false" outlineLevel="0" collapsed="false">
      <c r="A227" s="0" t="n">
        <v>17</v>
      </c>
      <c r="B227" s="8" t="s">
        <v>24</v>
      </c>
      <c r="C227" s="9" t="s">
        <v>25</v>
      </c>
      <c r="D227" s="9" t="s">
        <v>26</v>
      </c>
      <c r="E227" s="10" t="n">
        <v>1789</v>
      </c>
      <c r="F227" s="9" t="s">
        <v>27</v>
      </c>
      <c r="G227" s="9" t="s">
        <v>27</v>
      </c>
      <c r="H227" s="11" t="n">
        <v>24</v>
      </c>
      <c r="I227" s="11" t="s">
        <v>306</v>
      </c>
      <c r="J227" s="14" t="n">
        <v>71</v>
      </c>
      <c r="K227" s="14"/>
      <c r="L227" s="16"/>
      <c r="M227" s="27" t="n">
        <f aca="false">J227+(K227/20)+(L227/240)</f>
        <v>71</v>
      </c>
      <c r="N227" s="17" t="s">
        <v>64</v>
      </c>
      <c r="O227" s="11"/>
      <c r="P227" s="28"/>
      <c r="Q227" s="28" t="str">
        <f aca="false">IF(O227&lt;&gt;"",P227*M227,"")</f>
        <v/>
      </c>
      <c r="R227" s="28"/>
      <c r="S227" s="28" t="n">
        <f aca="false">R227*$M227</f>
        <v>0</v>
      </c>
      <c r="T227" s="28"/>
      <c r="U227" s="28" t="n">
        <f aca="false">T227*$M227</f>
        <v>0</v>
      </c>
      <c r="V227" s="28" t="n">
        <f aca="false">12674/100</f>
        <v>126.74</v>
      </c>
      <c r="W227" s="28" t="n">
        <v>8998</v>
      </c>
      <c r="X227" s="28"/>
      <c r="Y227" s="28" t="n">
        <f aca="false">X227*$M227</f>
        <v>0</v>
      </c>
      <c r="Z227" s="28"/>
      <c r="AA227" s="28" t="n">
        <f aca="false">Z227*$M227</f>
        <v>0</v>
      </c>
      <c r="AB227" s="28"/>
      <c r="AC227" s="28" t="n">
        <f aca="false">AB227*$M227</f>
        <v>0</v>
      </c>
      <c r="AD227" s="28"/>
      <c r="AE227" s="28" t="n">
        <f aca="false">AD227*$M227</f>
        <v>0</v>
      </c>
      <c r="AF227" s="28" t="n">
        <f aca="false">4283/100</f>
        <v>42.83</v>
      </c>
      <c r="AG227" s="28" t="n">
        <v>3041</v>
      </c>
      <c r="AH227" s="28" t="n">
        <f aca="false">2978140/100</f>
        <v>29781.4</v>
      </c>
      <c r="AI227" s="28" t="n">
        <v>2114479</v>
      </c>
      <c r="AJ227" s="28" t="n">
        <f aca="false">4119032/100</f>
        <v>41190.32</v>
      </c>
      <c r="AK227" s="28" t="n">
        <v>2924512</v>
      </c>
      <c r="AL227" s="28"/>
      <c r="AM227" s="28" t="n">
        <f aca="false">AL227*$M227</f>
        <v>0</v>
      </c>
      <c r="AN227" s="28"/>
      <c r="AO227" s="28" t="n">
        <f aca="false">AN227*$M227</f>
        <v>0</v>
      </c>
      <c r="AP227" s="28"/>
      <c r="AQ227" s="28" t="n">
        <f aca="false">AP227*$M227</f>
        <v>0</v>
      </c>
      <c r="AR227" s="28"/>
      <c r="AS227" s="28" t="n">
        <f aca="false">AR227*$M227</f>
        <v>0</v>
      </c>
      <c r="AT227" s="28"/>
      <c r="AU227" s="28" t="n">
        <f aca="false">AT227*$M227</f>
        <v>0</v>
      </c>
      <c r="AV227" s="28"/>
      <c r="AW227" s="28" t="n">
        <f aca="false">AV227*$M227</f>
        <v>0</v>
      </c>
      <c r="AX227" s="28"/>
      <c r="AY227" s="28" t="n">
        <f aca="false">AX227*$M227</f>
        <v>0</v>
      </c>
      <c r="AZ227" s="28"/>
      <c r="BA227" s="28" t="n">
        <f aca="false">AZ227*$M227</f>
        <v>0</v>
      </c>
      <c r="BB227" s="30" t="n">
        <f aca="false">7114129/100</f>
        <v>71141.29</v>
      </c>
      <c r="BC227" s="11" t="n">
        <v>5051030</v>
      </c>
      <c r="BD227" s="31" t="n">
        <f aca="false">SUM(S227,U227,W227,Y227,AA227,AC227,AE227,AG227,AI227,AK227,AM227,AO227,AQ227,AS227,AU227,AW227,AY227,BA227)</f>
        <v>5051030</v>
      </c>
      <c r="BE227" s="28" t="n">
        <f aca="false">BC227-BD227</f>
        <v>0</v>
      </c>
      <c r="BF227" s="32" t="n">
        <f aca="false">SUM(R227,T227,V227,X227,Z227,AB227,AD227,AF227,AH227,AJ227,AL227,AN227,AP227,AR227,AT227,AV227,AX227,AZ227)</f>
        <v>71141.29</v>
      </c>
      <c r="BG227" s="33" t="n">
        <f aca="false">BB227-BF227</f>
        <v>0</v>
      </c>
      <c r="BH227" s="34" t="n">
        <f aca="false">BF227*M227</f>
        <v>5051031.59</v>
      </c>
      <c r="BI227" s="35" t="n">
        <f aca="false">BC227-BH227</f>
        <v>-1.59000000078231</v>
      </c>
      <c r="BJ227" s="19" t="str">
        <f aca="false">IF(BI227=0,"",IF(BI227&lt;&gt;BC227,"erreur de calcul",IF(BF227&lt;&gt;0,"pas de prix",IF(M227&lt;&gt; 0,"pas de quantité","pas de prix, ni de quantité"))))</f>
        <v>erreur de calcul</v>
      </c>
      <c r="BK227" s="19"/>
    </row>
    <row r="228" customFormat="false" ht="16" hidden="false" customHeight="false" outlineLevel="0" collapsed="false">
      <c r="A228" s="0" t="n">
        <v>18</v>
      </c>
      <c r="B228" s="8" t="s">
        <v>24</v>
      </c>
      <c r="C228" s="9" t="s">
        <v>25</v>
      </c>
      <c r="D228" s="9" t="s">
        <v>26</v>
      </c>
      <c r="E228" s="10" t="n">
        <v>1789</v>
      </c>
      <c r="F228" s="9" t="s">
        <v>27</v>
      </c>
      <c r="G228" s="9" t="s">
        <v>27</v>
      </c>
      <c r="H228" s="11" t="n">
        <v>24</v>
      </c>
      <c r="I228" s="11" t="s">
        <v>307</v>
      </c>
      <c r="J228" s="14" t="n">
        <v>45</v>
      </c>
      <c r="K228" s="14"/>
      <c r="L228" s="16"/>
      <c r="M228" s="27" t="n">
        <f aca="false">J228+(K228/20)+(L228/240)</f>
        <v>45</v>
      </c>
      <c r="N228" s="17" t="s">
        <v>64</v>
      </c>
      <c r="O228" s="11"/>
      <c r="P228" s="28"/>
      <c r="Q228" s="28" t="str">
        <f aca="false">IF(O228&lt;&gt;"",P228*M228,"")</f>
        <v/>
      </c>
      <c r="R228" s="28"/>
      <c r="S228" s="28" t="n">
        <f aca="false">R228*$M228</f>
        <v>0</v>
      </c>
      <c r="T228" s="28"/>
      <c r="U228" s="28" t="n">
        <f aca="false">T228*$M228</f>
        <v>0</v>
      </c>
      <c r="V228" s="28"/>
      <c r="W228" s="28" t="n">
        <f aca="false">V228*$M228</f>
        <v>0</v>
      </c>
      <c r="X228" s="28"/>
      <c r="Y228" s="28" t="n">
        <f aca="false">X228*$M228</f>
        <v>0</v>
      </c>
      <c r="Z228" s="28"/>
      <c r="AA228" s="28" t="n">
        <f aca="false">Z228*$M228</f>
        <v>0</v>
      </c>
      <c r="AB228" s="28"/>
      <c r="AC228" s="28" t="n">
        <f aca="false">AB228*$M228</f>
        <v>0</v>
      </c>
      <c r="AD228" s="28"/>
      <c r="AE228" s="28" t="n">
        <f aca="false">AD228*$M228</f>
        <v>0</v>
      </c>
      <c r="AF228" s="28"/>
      <c r="AG228" s="28" t="n">
        <f aca="false">AF228*$M228</f>
        <v>0</v>
      </c>
      <c r="AH228" s="28"/>
      <c r="AI228" s="28" t="n">
        <f aca="false">AH228*$M228</f>
        <v>0</v>
      </c>
      <c r="AJ228" s="28"/>
      <c r="AK228" s="28" t="n">
        <f aca="false">AJ228*$M228</f>
        <v>0</v>
      </c>
      <c r="AL228" s="28"/>
      <c r="AM228" s="28" t="n">
        <f aca="false">AL228*$M228</f>
        <v>0</v>
      </c>
      <c r="AN228" s="28" t="n">
        <f aca="false">971/100</f>
        <v>9.71</v>
      </c>
      <c r="AO228" s="28" t="n">
        <v>437</v>
      </c>
      <c r="AP228" s="28"/>
      <c r="AQ228" s="28" t="n">
        <f aca="false">AP228*$M228</f>
        <v>0</v>
      </c>
      <c r="AR228" s="28"/>
      <c r="AS228" s="28" t="n">
        <f aca="false">AR228*$M228</f>
        <v>0</v>
      </c>
      <c r="AT228" s="28"/>
      <c r="AU228" s="28" t="n">
        <f aca="false">AT228*$M228</f>
        <v>0</v>
      </c>
      <c r="AV228" s="28"/>
      <c r="AW228" s="28" t="n">
        <f aca="false">AV228*$M228</f>
        <v>0</v>
      </c>
      <c r="AX228" s="28"/>
      <c r="AY228" s="28" t="n">
        <f aca="false">AX228*$M228</f>
        <v>0</v>
      </c>
      <c r="AZ228" s="28"/>
      <c r="BA228" s="28" t="n">
        <f aca="false">AZ228*$M228</f>
        <v>0</v>
      </c>
      <c r="BB228" s="30" t="n">
        <f aca="false">971/100</f>
        <v>9.71</v>
      </c>
      <c r="BC228" s="11" t="n">
        <v>437</v>
      </c>
      <c r="BD228" s="31" t="n">
        <f aca="false">SUM(S228,U228,W228,Y228,AA228,AC228,AE228,AG228,AI228,AK228,AM228,AO228,AQ228,AS228,AU228,AW228,AY228,BA228)</f>
        <v>437</v>
      </c>
      <c r="BE228" s="28" t="n">
        <f aca="false">BC228-BD228</f>
        <v>0</v>
      </c>
      <c r="BF228" s="32" t="n">
        <f aca="false">SUM(R228,T228,V228,X228,Z228,AB228,AD228,AF228,AH228,AJ228,AL228,AN228,AP228,AR228,AT228,AV228,AX228,AZ228)</f>
        <v>9.71</v>
      </c>
      <c r="BG228" s="33" t="n">
        <f aca="false">BB228-BF228</f>
        <v>0</v>
      </c>
      <c r="BH228" s="34" t="n">
        <f aca="false">BF228*M228</f>
        <v>436.95</v>
      </c>
      <c r="BI228" s="35" t="n">
        <f aca="false">BC228-BH228</f>
        <v>0.0499999999999545</v>
      </c>
      <c r="BJ228" s="19" t="str">
        <f aca="false">IF(BI228=0,"",IF(BI228&lt;&gt;BC228,"erreur de calcul",IF(BF228&lt;&gt;0,"pas de prix",IF(M228&lt;&gt; 0,"pas de quantité","pas de prix, ni de quantité"))))</f>
        <v>erreur de calcul</v>
      </c>
      <c r="BK228" s="19"/>
    </row>
    <row r="229" customFormat="false" ht="16" hidden="false" customHeight="false" outlineLevel="0" collapsed="false">
      <c r="A229" s="0" t="n">
        <v>19</v>
      </c>
      <c r="B229" s="8" t="s">
        <v>24</v>
      </c>
      <c r="C229" s="9" t="s">
        <v>25</v>
      </c>
      <c r="D229" s="9" t="s">
        <v>26</v>
      </c>
      <c r="E229" s="10" t="n">
        <v>1789</v>
      </c>
      <c r="F229" s="9" t="s">
        <v>27</v>
      </c>
      <c r="G229" s="9" t="s">
        <v>27</v>
      </c>
      <c r="H229" s="11" t="n">
        <v>24</v>
      </c>
      <c r="I229" s="11" t="s">
        <v>308</v>
      </c>
      <c r="J229" s="14" t="n">
        <v>240</v>
      </c>
      <c r="K229" s="14"/>
      <c r="L229" s="16"/>
      <c r="M229" s="27" t="n">
        <f aca="false">J229+(K229/20)+(L229/240)</f>
        <v>240</v>
      </c>
      <c r="N229" s="17" t="s">
        <v>64</v>
      </c>
      <c r="O229" s="11"/>
      <c r="P229" s="28"/>
      <c r="Q229" s="28" t="str">
        <f aca="false">IF(O229&lt;&gt;"",P229*M229,"")</f>
        <v/>
      </c>
      <c r="R229" s="28"/>
      <c r="S229" s="28" t="n">
        <f aca="false">R229*$M229</f>
        <v>0</v>
      </c>
      <c r="T229" s="28"/>
      <c r="U229" s="28" t="n">
        <f aca="false">T229*$M229</f>
        <v>0</v>
      </c>
      <c r="V229" s="28"/>
      <c r="W229" s="28" t="n">
        <f aca="false">V229*$M229</f>
        <v>0</v>
      </c>
      <c r="X229" s="28"/>
      <c r="Y229" s="28" t="n">
        <f aca="false">X229*$M229</f>
        <v>0</v>
      </c>
      <c r="Z229" s="28"/>
      <c r="AA229" s="28" t="n">
        <f aca="false">Z229*$M229</f>
        <v>0</v>
      </c>
      <c r="AB229" s="28"/>
      <c r="AC229" s="28" t="n">
        <f aca="false">AB229*$M229</f>
        <v>0</v>
      </c>
      <c r="AD229" s="28"/>
      <c r="AE229" s="28" t="n">
        <f aca="false">AD229*$M229</f>
        <v>0</v>
      </c>
      <c r="AF229" s="28"/>
      <c r="AG229" s="28" t="n">
        <f aca="false">AF229*$M229</f>
        <v>0</v>
      </c>
      <c r="AH229" s="28"/>
      <c r="AI229" s="28" t="n">
        <f aca="false">AH229*$M229</f>
        <v>0</v>
      </c>
      <c r="AJ229" s="28"/>
      <c r="AK229" s="28" t="n">
        <f aca="false">AJ229*$M229</f>
        <v>0</v>
      </c>
      <c r="AL229" s="28" t="n">
        <f aca="false">2173/100</f>
        <v>21.73</v>
      </c>
      <c r="AM229" s="28" t="n">
        <v>5215</v>
      </c>
      <c r="AN229" s="28"/>
      <c r="AO229" s="28" t="n">
        <f aca="false">AN229*$M229</f>
        <v>0</v>
      </c>
      <c r="AP229" s="28"/>
      <c r="AQ229" s="28" t="n">
        <f aca="false">AP229*$M229</f>
        <v>0</v>
      </c>
      <c r="AR229" s="28"/>
      <c r="AS229" s="28" t="n">
        <f aca="false">AR229*$M229</f>
        <v>0</v>
      </c>
      <c r="AT229" s="28"/>
      <c r="AU229" s="28" t="n">
        <f aca="false">AT229*$M229</f>
        <v>0</v>
      </c>
      <c r="AV229" s="28"/>
      <c r="AW229" s="28" t="n">
        <f aca="false">AV229*$M229</f>
        <v>0</v>
      </c>
      <c r="AX229" s="28"/>
      <c r="AY229" s="28" t="n">
        <f aca="false">AX229*$M229</f>
        <v>0</v>
      </c>
      <c r="AZ229" s="28"/>
      <c r="BA229" s="28" t="n">
        <f aca="false">AZ229*$M229</f>
        <v>0</v>
      </c>
      <c r="BB229" s="30" t="n">
        <f aca="false">2173/100</f>
        <v>21.73</v>
      </c>
      <c r="BC229" s="11" t="n">
        <v>5215</v>
      </c>
      <c r="BD229" s="31" t="n">
        <f aca="false">SUM(S229,U229,W229,Y229,AA229,AC229,AE229,AG229,AI229,AK229,AM229,AO229,AQ229,AS229,AU229,AW229,AY229,BA229)</f>
        <v>5215</v>
      </c>
      <c r="BE229" s="28" t="n">
        <f aca="false">BC229-BD229</f>
        <v>0</v>
      </c>
      <c r="BF229" s="32" t="n">
        <f aca="false">SUM(R229,T229,V229,X229,Z229,AB229,AD229,AF229,AH229,AJ229,AL229,AN229,AP229,AR229,AT229,AV229,AX229,AZ229)</f>
        <v>21.73</v>
      </c>
      <c r="BG229" s="33" t="n">
        <f aca="false">BB229-BF229</f>
        <v>0</v>
      </c>
      <c r="BH229" s="34" t="n">
        <f aca="false">BF229*M229</f>
        <v>5215.2</v>
      </c>
      <c r="BI229" s="35" t="n">
        <f aca="false">BC229-BH229</f>
        <v>-0.199999999999818</v>
      </c>
      <c r="BJ229" s="19" t="str">
        <f aca="false">IF(BI229=0,"",IF(BI229&lt;&gt;BC229,"erreur de calcul",IF(BF229&lt;&gt;0,"pas de prix",IF(M229&lt;&gt; 0,"pas de quantité","pas de prix, ni de quantité"))))</f>
        <v>erreur de calcul</v>
      </c>
      <c r="BK229" s="19"/>
    </row>
    <row r="230" customFormat="false" ht="16" hidden="false" customHeight="false" outlineLevel="0" collapsed="false">
      <c r="A230" s="0" t="n">
        <v>20</v>
      </c>
      <c r="B230" s="8" t="s">
        <v>24</v>
      </c>
      <c r="C230" s="9" t="s">
        <v>25</v>
      </c>
      <c r="D230" s="9" t="s">
        <v>26</v>
      </c>
      <c r="E230" s="10" t="n">
        <v>1789</v>
      </c>
      <c r="F230" s="9" t="s">
        <v>27</v>
      </c>
      <c r="G230" s="9" t="s">
        <v>27</v>
      </c>
      <c r="H230" s="11" t="n">
        <v>24</v>
      </c>
      <c r="I230" s="11" t="s">
        <v>309</v>
      </c>
      <c r="J230" s="14"/>
      <c r="K230" s="14"/>
      <c r="L230" s="16"/>
      <c r="M230" s="27" t="n">
        <f aca="false">J230+(K230/20)+(L230/240)</f>
        <v>0</v>
      </c>
      <c r="N230" s="17"/>
      <c r="O230" s="11"/>
      <c r="P230" s="28"/>
      <c r="Q230" s="28" t="str">
        <f aca="false">IF(O230&lt;&gt;"",P230*M230,"")</f>
        <v/>
      </c>
      <c r="R230" s="28"/>
      <c r="S230" s="28" t="n">
        <f aca="false">R230*$M230</f>
        <v>0</v>
      </c>
      <c r="T230" s="28"/>
      <c r="U230" s="28" t="n">
        <f aca="false">T230*$M230</f>
        <v>0</v>
      </c>
      <c r="V230" s="28"/>
      <c r="W230" s="28" t="n">
        <v>195</v>
      </c>
      <c r="X230" s="28"/>
      <c r="Y230" s="28" t="n">
        <v>640</v>
      </c>
      <c r="Z230" s="28"/>
      <c r="AA230" s="28" t="n">
        <f aca="false">Z230*$M230</f>
        <v>0</v>
      </c>
      <c r="AB230" s="28"/>
      <c r="AC230" s="28" t="n">
        <f aca="false">AB230*$M230</f>
        <v>0</v>
      </c>
      <c r="AD230" s="28"/>
      <c r="AE230" s="28" t="n">
        <f aca="false">AD230*$M230</f>
        <v>0</v>
      </c>
      <c r="AF230" s="28"/>
      <c r="AG230" s="28" t="n">
        <f aca="false">AF230*$M230</f>
        <v>0</v>
      </c>
      <c r="AH230" s="28"/>
      <c r="AI230" s="28" t="n">
        <f aca="false">AH230*$M230</f>
        <v>0</v>
      </c>
      <c r="AJ230" s="28"/>
      <c r="AK230" s="28" t="n">
        <v>121</v>
      </c>
      <c r="AL230" s="28"/>
      <c r="AM230" s="28" t="n">
        <v>412</v>
      </c>
      <c r="AN230" s="28"/>
      <c r="AO230" s="28" t="n">
        <f aca="false">AN230*$M230</f>
        <v>0</v>
      </c>
      <c r="AP230" s="28"/>
      <c r="AQ230" s="28" t="n">
        <f aca="false">AP230*$M230</f>
        <v>0</v>
      </c>
      <c r="AR230" s="28"/>
      <c r="AS230" s="28" t="n">
        <f aca="false">AR230*$M230</f>
        <v>0</v>
      </c>
      <c r="AT230" s="28"/>
      <c r="AU230" s="28" t="n">
        <f aca="false">AT230*$M230</f>
        <v>0</v>
      </c>
      <c r="AV230" s="28"/>
      <c r="AW230" s="28" t="n">
        <f aca="false">AV230*$M230</f>
        <v>0</v>
      </c>
      <c r="AX230" s="28"/>
      <c r="AY230" s="28" t="n">
        <f aca="false">AX230*$M230</f>
        <v>0</v>
      </c>
      <c r="AZ230" s="28"/>
      <c r="BA230" s="28" t="n">
        <f aca="false">AZ230*$M230</f>
        <v>0</v>
      </c>
      <c r="BB230" s="30"/>
      <c r="BC230" s="11" t="n">
        <v>1368</v>
      </c>
      <c r="BD230" s="31" t="n">
        <f aca="false">SUM(S230,U230,W230,Y230,AA230,AC230,AE230,AG230,AI230,AK230,AM230,AO230,AQ230,AS230,AU230,AW230,AY230,BA230)</f>
        <v>1368</v>
      </c>
      <c r="BE230" s="28" t="n">
        <f aca="false">BC230-BD230</f>
        <v>0</v>
      </c>
      <c r="BF230" s="32" t="n">
        <f aca="false">SUM(R230,T230,V230,X230,Z230,AB230,AD230,AF230,AH230,AJ230,AL230,AN230,AP230,AR230,AT230,AV230,AX230,AZ230)</f>
        <v>0</v>
      </c>
      <c r="BG230" s="33" t="n">
        <f aca="false">BB230-BF230</f>
        <v>0</v>
      </c>
      <c r="BH230" s="34" t="n">
        <f aca="false">BF230*M230</f>
        <v>0</v>
      </c>
      <c r="BI230" s="35" t="n">
        <f aca="false">BC230-BH230</f>
        <v>1368</v>
      </c>
      <c r="BJ230" s="19" t="str">
        <f aca="false">IF(BI230=0,"",IF(BI230&lt;&gt;BC230,"erreur de calcul",IF(BF230&lt;&gt;0,"pas de prix",IF(M230&lt;&gt; 0,"pas de quantité","pas de prix, ni de quantité"))))</f>
        <v>pas de prix, ni de quantité</v>
      </c>
      <c r="BK230" s="19"/>
    </row>
    <row r="231" customFormat="false" ht="16" hidden="false" customHeight="false" outlineLevel="0" collapsed="false">
      <c r="A231" s="0" t="n">
        <v>21</v>
      </c>
      <c r="B231" s="8" t="s">
        <v>24</v>
      </c>
      <c r="C231" s="9" t="s">
        <v>25</v>
      </c>
      <c r="D231" s="9" t="s">
        <v>26</v>
      </c>
      <c r="E231" s="10" t="n">
        <v>1789</v>
      </c>
      <c r="F231" s="9" t="s">
        <v>27</v>
      </c>
      <c r="G231" s="9" t="s">
        <v>27</v>
      </c>
      <c r="H231" s="11" t="n">
        <v>24</v>
      </c>
      <c r="I231" s="11" t="s">
        <v>310</v>
      </c>
      <c r="J231" s="14"/>
      <c r="K231" s="14" t="n">
        <v>3</v>
      </c>
      <c r="L231" s="16"/>
      <c r="M231" s="27" t="n">
        <f aca="false">J231+(K231/20)+(L231/240)</f>
        <v>0.15</v>
      </c>
      <c r="N231" s="17" t="s">
        <v>311</v>
      </c>
      <c r="O231" s="11"/>
      <c r="P231" s="28"/>
      <c r="Q231" s="28" t="str">
        <f aca="false">IF(O231&lt;&gt;"",P231*M231,"")</f>
        <v/>
      </c>
      <c r="R231" s="28"/>
      <c r="S231" s="28" t="n">
        <f aca="false">R231*$M231</f>
        <v>0</v>
      </c>
      <c r="T231" s="28"/>
      <c r="U231" s="28" t="n">
        <f aca="false">T231*$M231</f>
        <v>0</v>
      </c>
      <c r="V231" s="28"/>
      <c r="W231" s="28" t="n">
        <f aca="false">V231*$M231</f>
        <v>0</v>
      </c>
      <c r="X231" s="28" t="n">
        <v>32065</v>
      </c>
      <c r="Y231" s="28" t="n">
        <v>4810</v>
      </c>
      <c r="Z231" s="28" t="n">
        <v>20652</v>
      </c>
      <c r="AA231" s="28" t="n">
        <v>3098</v>
      </c>
      <c r="AB231" s="28"/>
      <c r="AC231" s="28" t="n">
        <f aca="false">AB231*$M231</f>
        <v>0</v>
      </c>
      <c r="AD231" s="28"/>
      <c r="AE231" s="28" t="n">
        <f aca="false">AD231*$M231</f>
        <v>0</v>
      </c>
      <c r="AF231" s="28"/>
      <c r="AG231" s="28" t="n">
        <f aca="false">AF231*$M231</f>
        <v>0</v>
      </c>
      <c r="AH231" s="28"/>
      <c r="AI231" s="28" t="n">
        <f aca="false">AH231*$M231</f>
        <v>0</v>
      </c>
      <c r="AJ231" s="28"/>
      <c r="AK231" s="28" t="n">
        <f aca="false">AJ231*$M231</f>
        <v>0</v>
      </c>
      <c r="AL231" s="28"/>
      <c r="AM231" s="28" t="n">
        <f aca="false">AL231*$M231</f>
        <v>0</v>
      </c>
      <c r="AN231" s="28"/>
      <c r="AO231" s="28" t="n">
        <f aca="false">AN231*$M231</f>
        <v>0</v>
      </c>
      <c r="AP231" s="28"/>
      <c r="AQ231" s="28" t="n">
        <f aca="false">AP231*$M231</f>
        <v>0</v>
      </c>
      <c r="AR231" s="28"/>
      <c r="AS231" s="28" t="n">
        <f aca="false">AR231*$M231</f>
        <v>0</v>
      </c>
      <c r="AT231" s="28"/>
      <c r="AU231" s="28" t="n">
        <f aca="false">AT231*$M231</f>
        <v>0</v>
      </c>
      <c r="AV231" s="28"/>
      <c r="AW231" s="28" t="n">
        <f aca="false">AV231*$M231</f>
        <v>0</v>
      </c>
      <c r="AX231" s="28"/>
      <c r="AY231" s="28" t="n">
        <f aca="false">AX231*$M231</f>
        <v>0</v>
      </c>
      <c r="AZ231" s="28"/>
      <c r="BA231" s="28" t="n">
        <f aca="false">AZ231*$M231</f>
        <v>0</v>
      </c>
      <c r="BB231" s="30" t="n">
        <v>52717</v>
      </c>
      <c r="BC231" s="11" t="n">
        <v>7908</v>
      </c>
      <c r="BD231" s="31" t="n">
        <f aca="false">SUM(S231,U231,W231,Y231,AA231,AC231,AE231,AG231,AI231,AK231,AM231,AO231,AQ231,AS231,AU231,AW231,AY231,BA231)</f>
        <v>7908</v>
      </c>
      <c r="BE231" s="28" t="n">
        <f aca="false">BC231-BD231</f>
        <v>0</v>
      </c>
      <c r="BF231" s="32" t="n">
        <f aca="false">SUM(R231,T231,V231,X231,Z231,AB231,AD231,AF231,AH231,AJ231,AL231,AN231,AP231,AR231,AT231,AV231,AX231,AZ231)</f>
        <v>52717</v>
      </c>
      <c r="BG231" s="33" t="n">
        <f aca="false">BB231-BF231</f>
        <v>0</v>
      </c>
      <c r="BH231" s="34" t="n">
        <f aca="false">BF231*M231</f>
        <v>7907.55</v>
      </c>
      <c r="BI231" s="35" t="n">
        <f aca="false">BC231-BH231</f>
        <v>0.450000000000728</v>
      </c>
      <c r="BJ231" s="19" t="str">
        <f aca="false">IF(BI231=0,"",IF(BI231&lt;&gt;BC231,"erreur de calcul",IF(BF231&lt;&gt;0,"pas de prix",IF(M231&lt;&gt; 0,"pas de quantité","pas de prix, ni de quantité"))))</f>
        <v>erreur de calcul</v>
      </c>
      <c r="BK231" s="19"/>
    </row>
    <row r="232" customFormat="false" ht="16" hidden="false" customHeight="false" outlineLevel="0" collapsed="false">
      <c r="A232" s="0" t="n">
        <v>22</v>
      </c>
      <c r="B232" s="8" t="s">
        <v>24</v>
      </c>
      <c r="C232" s="9" t="s">
        <v>25</v>
      </c>
      <c r="D232" s="9" t="s">
        <v>26</v>
      </c>
      <c r="E232" s="10" t="n">
        <v>1789</v>
      </c>
      <c r="F232" s="9" t="s">
        <v>27</v>
      </c>
      <c r="G232" s="9" t="s">
        <v>27</v>
      </c>
      <c r="H232" s="11" t="n">
        <v>24</v>
      </c>
      <c r="I232" s="11" t="s">
        <v>312</v>
      </c>
      <c r="J232" s="14" t="n">
        <v>15</v>
      </c>
      <c r="K232" s="14"/>
      <c r="L232" s="16"/>
      <c r="M232" s="27" t="n">
        <f aca="false">J232+(K232/20)+(L232/240)</f>
        <v>15</v>
      </c>
      <c r="N232" s="17" t="s">
        <v>275</v>
      </c>
      <c r="O232" s="11"/>
      <c r="P232" s="28"/>
      <c r="Q232" s="28" t="str">
        <f aca="false">IF(O232&lt;&gt;"",P232*M232,"")</f>
        <v/>
      </c>
      <c r="R232" s="28"/>
      <c r="S232" s="28" t="n">
        <f aca="false">R232*$M232</f>
        <v>0</v>
      </c>
      <c r="T232" s="28"/>
      <c r="U232" s="28" t="n">
        <f aca="false">T232*$M232</f>
        <v>0</v>
      </c>
      <c r="V232" s="28" t="n">
        <v>1479</v>
      </c>
      <c r="W232" s="28" t="n">
        <v>22185</v>
      </c>
      <c r="X232" s="28" t="n">
        <v>1500</v>
      </c>
      <c r="Y232" s="28" t="n">
        <v>22500</v>
      </c>
      <c r="Z232" s="28" t="n">
        <v>300</v>
      </c>
      <c r="AA232" s="28" t="n">
        <v>4500</v>
      </c>
      <c r="AB232" s="28" t="n">
        <v>168</v>
      </c>
      <c r="AC232" s="28" t="n">
        <v>2520</v>
      </c>
      <c r="AD232" s="28" t="n">
        <v>14570</v>
      </c>
      <c r="AE232" s="28" t="n">
        <v>218550</v>
      </c>
      <c r="AF232" s="28"/>
      <c r="AG232" s="28" t="n">
        <f aca="false">AF232*$M232</f>
        <v>0</v>
      </c>
      <c r="AH232" s="28" t="n">
        <v>5748</v>
      </c>
      <c r="AI232" s="28" t="n">
        <v>86220</v>
      </c>
      <c r="AJ232" s="28"/>
      <c r="AK232" s="28" t="n">
        <f aca="false">AJ232*$M232</f>
        <v>0</v>
      </c>
      <c r="AL232" s="28" t="n">
        <v>710</v>
      </c>
      <c r="AM232" s="28" t="n">
        <v>10650</v>
      </c>
      <c r="AN232" s="28" t="n">
        <v>600</v>
      </c>
      <c r="AO232" s="28" t="n">
        <v>9000</v>
      </c>
      <c r="AP232" s="28"/>
      <c r="AQ232" s="28" t="n">
        <f aca="false">AP232*$M232</f>
        <v>0</v>
      </c>
      <c r="AR232" s="28" t="n">
        <v>1200</v>
      </c>
      <c r="AS232" s="28" t="n">
        <v>18000</v>
      </c>
      <c r="AT232" s="28"/>
      <c r="AU232" s="28" t="n">
        <f aca="false">AT232*$M232</f>
        <v>0</v>
      </c>
      <c r="AV232" s="28"/>
      <c r="AW232" s="28" t="n">
        <f aca="false">AV232*$M232</f>
        <v>0</v>
      </c>
      <c r="AX232" s="28"/>
      <c r="AY232" s="28" t="n">
        <f aca="false">AX232*$M232</f>
        <v>0</v>
      </c>
      <c r="AZ232" s="28"/>
      <c r="BA232" s="28" t="n">
        <f aca="false">AZ232*$M232</f>
        <v>0</v>
      </c>
      <c r="BB232" s="30" t="n">
        <v>26275</v>
      </c>
      <c r="BC232" s="11" t="n">
        <v>394125</v>
      </c>
      <c r="BD232" s="31" t="n">
        <f aca="false">SUM(S232,U232,W232,Y232,AA232,AC232,AE232,AG232,AI232,AK232,AM232,AO232,AQ232,AS232,AU232,AW232,AY232,BA232)</f>
        <v>394125</v>
      </c>
      <c r="BE232" s="28" t="n">
        <f aca="false">BC232-BD232</f>
        <v>0</v>
      </c>
      <c r="BF232" s="32" t="n">
        <f aca="false">SUM(R232,T232,V232,X232,Z232,AB232,AD232,AF232,AH232,AJ232,AL232,AN232,AP232,AR232,AT232,AV232,AX232,AZ232)</f>
        <v>26275</v>
      </c>
      <c r="BG232" s="33" t="n">
        <f aca="false">BB232-BF232</f>
        <v>0</v>
      </c>
      <c r="BH232" s="34" t="n">
        <f aca="false">BF232*M232</f>
        <v>394125</v>
      </c>
      <c r="BI232" s="35" t="n">
        <f aca="false">BC232-BH232</f>
        <v>0</v>
      </c>
      <c r="BJ232" s="19" t="str">
        <f aca="false">IF(BI232=0,"",IF(BI232&lt;&gt;BC232,"erreur de calcul",IF(BF232&lt;&gt;0,"pas de prix",IF(M232&lt;&gt; 0,"pas de quantité","pas de prix, ni de quantité"))))</f>
        <v/>
      </c>
      <c r="BK232" s="19"/>
    </row>
    <row r="233" customFormat="false" ht="16" hidden="false" customHeight="false" outlineLevel="0" collapsed="false">
      <c r="A233" s="0" t="n">
        <v>23</v>
      </c>
      <c r="B233" s="8" t="s">
        <v>24</v>
      </c>
      <c r="C233" s="9" t="s">
        <v>25</v>
      </c>
      <c r="D233" s="9" t="s">
        <v>26</v>
      </c>
      <c r="E233" s="10" t="n">
        <v>1789</v>
      </c>
      <c r="F233" s="9" t="s">
        <v>27</v>
      </c>
      <c r="G233" s="9" t="s">
        <v>27</v>
      </c>
      <c r="H233" s="11" t="n">
        <v>24</v>
      </c>
      <c r="I233" s="11" t="s">
        <v>313</v>
      </c>
      <c r="J233" s="14" t="n">
        <v>9</v>
      </c>
      <c r="K233" s="14"/>
      <c r="L233" s="16"/>
      <c r="M233" s="27" t="n">
        <f aca="false">J233+(K233/20)+(L233/240)</f>
        <v>9</v>
      </c>
      <c r="N233" s="17" t="s">
        <v>64</v>
      </c>
      <c r="O233" s="11"/>
      <c r="P233" s="28"/>
      <c r="Q233" s="28" t="str">
        <f aca="false">IF(O233&lt;&gt;"",P233*M233,"")</f>
        <v/>
      </c>
      <c r="R233" s="28"/>
      <c r="S233" s="28" t="n">
        <f aca="false">R233*$M233</f>
        <v>0</v>
      </c>
      <c r="T233" s="28"/>
      <c r="U233" s="28" t="n">
        <f aca="false">T233*$M233</f>
        <v>0</v>
      </c>
      <c r="V233" s="28"/>
      <c r="W233" s="28" t="n">
        <f aca="false">V233*$M233</f>
        <v>0</v>
      </c>
      <c r="X233" s="28" t="n">
        <f aca="false">145504/100</f>
        <v>1455.04</v>
      </c>
      <c r="Y233" s="28" t="n">
        <v>13095</v>
      </c>
      <c r="Z233" s="28" t="n">
        <f aca="false">58504/100</f>
        <v>585.04</v>
      </c>
      <c r="AA233" s="28" t="n">
        <v>5265</v>
      </c>
      <c r="AB233" s="28" t="n">
        <f aca="false">17027/100</f>
        <v>170.27</v>
      </c>
      <c r="AC233" s="28" t="n">
        <v>1532</v>
      </c>
      <c r="AD233" s="28" t="n">
        <f aca="false">84396/100</f>
        <v>843.96</v>
      </c>
      <c r="AE233" s="28" t="n">
        <v>7596</v>
      </c>
      <c r="AF233" s="28"/>
      <c r="AG233" s="28" t="n">
        <f aca="false">AF233*$M233</f>
        <v>0</v>
      </c>
      <c r="AH233" s="28" t="n">
        <f aca="false">14807/100</f>
        <v>148.07</v>
      </c>
      <c r="AI233" s="28" t="n">
        <v>1333</v>
      </c>
      <c r="AJ233" s="28"/>
      <c r="AK233" s="28" t="n">
        <f aca="false">AJ233*$M233</f>
        <v>0</v>
      </c>
      <c r="AL233" s="28"/>
      <c r="AM233" s="28" t="n">
        <f aca="false">AL233*$M233</f>
        <v>0</v>
      </c>
      <c r="AN233" s="28"/>
      <c r="AO233" s="28" t="n">
        <f aca="false">AN233*$M233</f>
        <v>0</v>
      </c>
      <c r="AP233" s="28"/>
      <c r="AQ233" s="28" t="n">
        <f aca="false">AP233*$M233</f>
        <v>0</v>
      </c>
      <c r="AR233" s="28"/>
      <c r="AS233" s="28" t="n">
        <f aca="false">AR233*$M233</f>
        <v>0</v>
      </c>
      <c r="AT233" s="28"/>
      <c r="AU233" s="28" t="n">
        <f aca="false">AT233*$M233</f>
        <v>0</v>
      </c>
      <c r="AV233" s="28"/>
      <c r="AW233" s="28" t="n">
        <f aca="false">AV233*$M233</f>
        <v>0</v>
      </c>
      <c r="AX233" s="28"/>
      <c r="AY233" s="28" t="n">
        <f aca="false">AX233*$M233</f>
        <v>0</v>
      </c>
      <c r="AZ233" s="28"/>
      <c r="BA233" s="28" t="n">
        <f aca="false">AZ233*$M233</f>
        <v>0</v>
      </c>
      <c r="BB233" s="30" t="n">
        <f aca="false">320238/100</f>
        <v>3202.38</v>
      </c>
      <c r="BC233" s="11" t="n">
        <v>28821</v>
      </c>
      <c r="BD233" s="31" t="n">
        <f aca="false">SUM(S233,U233,W233,Y233,AA233,AC233,AE233,AG233,AI233,AK233,AM233,AO233,AQ233,AS233,AU233,AW233,AY233,BA233)</f>
        <v>28821</v>
      </c>
      <c r="BE233" s="28" t="n">
        <f aca="false">BC233-BD233</f>
        <v>0</v>
      </c>
      <c r="BF233" s="32" t="n">
        <f aca="false">SUM(R233,T233,V233,X233,Z233,AB233,AD233,AF233,AH233,AJ233,AL233,AN233,AP233,AR233,AT233,AV233,AX233,AZ233)</f>
        <v>3202.38</v>
      </c>
      <c r="BG233" s="33" t="n">
        <f aca="false">BB233-BF233</f>
        <v>0</v>
      </c>
      <c r="BH233" s="34" t="n">
        <f aca="false">BF233*M233</f>
        <v>28821.42</v>
      </c>
      <c r="BI233" s="35" t="n">
        <f aca="false">BC233-BH233</f>
        <v>-0.420000000001892</v>
      </c>
      <c r="BJ233" s="19" t="str">
        <f aca="false">IF(BI233=0,"",IF(BI233&lt;&gt;BC233,"erreur de calcul",IF(BF233&lt;&gt;0,"pas de prix",IF(M233&lt;&gt; 0,"pas de quantité","pas de prix, ni de quantité"))))</f>
        <v>erreur de calcul</v>
      </c>
      <c r="BK233" s="19"/>
    </row>
    <row r="234" customFormat="false" ht="16" hidden="false" customHeight="false" outlineLevel="0" collapsed="false">
      <c r="A234" s="0" t="n">
        <v>24</v>
      </c>
      <c r="B234" s="8" t="s">
        <v>24</v>
      </c>
      <c r="C234" s="9" t="s">
        <v>25</v>
      </c>
      <c r="D234" s="9" t="s">
        <v>26</v>
      </c>
      <c r="E234" s="10" t="n">
        <v>1789</v>
      </c>
      <c r="F234" s="9" t="s">
        <v>27</v>
      </c>
      <c r="G234" s="9" t="s">
        <v>27</v>
      </c>
      <c r="H234" s="11" t="n">
        <v>24</v>
      </c>
      <c r="I234" s="11" t="s">
        <v>314</v>
      </c>
      <c r="J234" s="14"/>
      <c r="K234" s="14" t="n">
        <v>4</v>
      </c>
      <c r="L234" s="16"/>
      <c r="M234" s="27" t="n">
        <f aca="false">J234+(K234/20)+(L234/240)</f>
        <v>0.2</v>
      </c>
      <c r="N234" s="17" t="s">
        <v>311</v>
      </c>
      <c r="O234" s="11"/>
      <c r="P234" s="28"/>
      <c r="Q234" s="28" t="str">
        <f aca="false">IF(O234&lt;&gt;"",P234*M234,"")</f>
        <v/>
      </c>
      <c r="R234" s="28"/>
      <c r="S234" s="28" t="n">
        <f aca="false">R234*$M234</f>
        <v>0</v>
      </c>
      <c r="T234" s="28"/>
      <c r="U234" s="28" t="n">
        <f aca="false">T234*$M234</f>
        <v>0</v>
      </c>
      <c r="V234" s="28"/>
      <c r="W234" s="28" t="n">
        <f aca="false">V234*$M234</f>
        <v>0</v>
      </c>
      <c r="X234" s="28" t="n">
        <v>5800</v>
      </c>
      <c r="Y234" s="28" t="n">
        <v>1160</v>
      </c>
      <c r="Z234" s="28"/>
      <c r="AA234" s="28" t="n">
        <f aca="false">Z234*$M234</f>
        <v>0</v>
      </c>
      <c r="AB234" s="28"/>
      <c r="AC234" s="28" t="n">
        <f aca="false">AB234*$M234</f>
        <v>0</v>
      </c>
      <c r="AD234" s="28"/>
      <c r="AE234" s="28" t="n">
        <f aca="false">AD234*$M234</f>
        <v>0</v>
      </c>
      <c r="AF234" s="28"/>
      <c r="AG234" s="28" t="n">
        <f aca="false">AF234*$M234</f>
        <v>0</v>
      </c>
      <c r="AH234" s="28"/>
      <c r="AI234" s="28" t="n">
        <f aca="false">AH234*$M234</f>
        <v>0</v>
      </c>
      <c r="AJ234" s="28"/>
      <c r="AK234" s="28" t="n">
        <f aca="false">AJ234*$M234</f>
        <v>0</v>
      </c>
      <c r="AL234" s="28"/>
      <c r="AM234" s="28" t="n">
        <f aca="false">AL234*$M234</f>
        <v>0</v>
      </c>
      <c r="AN234" s="28"/>
      <c r="AO234" s="28" t="n">
        <f aca="false">AN234*$M234</f>
        <v>0</v>
      </c>
      <c r="AP234" s="28"/>
      <c r="AQ234" s="28" t="n">
        <f aca="false">AP234*$M234</f>
        <v>0</v>
      </c>
      <c r="AR234" s="28"/>
      <c r="AS234" s="28" t="n">
        <f aca="false">AR234*$M234</f>
        <v>0</v>
      </c>
      <c r="AT234" s="28"/>
      <c r="AU234" s="28" t="n">
        <f aca="false">AT234*$M234</f>
        <v>0</v>
      </c>
      <c r="AV234" s="28"/>
      <c r="AW234" s="28" t="n">
        <f aca="false">AV234*$M234</f>
        <v>0</v>
      </c>
      <c r="AX234" s="28"/>
      <c r="AY234" s="28" t="n">
        <f aca="false">AX234*$M234</f>
        <v>0</v>
      </c>
      <c r="AZ234" s="28"/>
      <c r="BA234" s="28" t="n">
        <f aca="false">AZ234*$M234</f>
        <v>0</v>
      </c>
      <c r="BB234" s="30" t="n">
        <v>5800</v>
      </c>
      <c r="BC234" s="11" t="n">
        <v>1160</v>
      </c>
      <c r="BD234" s="31" t="n">
        <f aca="false">SUM(S234,U234,W234,Y234,AA234,AC234,AE234,AG234,AI234,AK234,AM234,AO234,AQ234,AS234,AU234,AW234,AY234,BA234)</f>
        <v>1160</v>
      </c>
      <c r="BE234" s="28" t="n">
        <f aca="false">BC234-BD234</f>
        <v>0</v>
      </c>
      <c r="BF234" s="32" t="n">
        <f aca="false">SUM(R234,T234,V234,X234,Z234,AB234,AD234,AF234,AH234,AJ234,AL234,AN234,AP234,AR234,AT234,AV234,AX234,AZ234)</f>
        <v>5800</v>
      </c>
      <c r="BG234" s="33" t="n">
        <f aca="false">BB234-BF234</f>
        <v>0</v>
      </c>
      <c r="BH234" s="34" t="n">
        <f aca="false">BF234*M234</f>
        <v>1160</v>
      </c>
      <c r="BI234" s="35" t="n">
        <f aca="false">BC234-BH234</f>
        <v>0</v>
      </c>
      <c r="BJ234" s="19" t="str">
        <f aca="false">IF(BI234=0,"",IF(BI234&lt;&gt;BC234,"erreur de calcul",IF(BF234&lt;&gt;0,"pas de prix",IF(M234&lt;&gt; 0,"pas de quantité","pas de prix, ni de quantité"))))</f>
        <v/>
      </c>
      <c r="BK234" s="19"/>
    </row>
    <row r="235" customFormat="false" ht="16" hidden="false" customHeight="false" outlineLevel="0" collapsed="false">
      <c r="A235" s="0" t="n">
        <v>25</v>
      </c>
      <c r="B235" s="8" t="s">
        <v>24</v>
      </c>
      <c r="C235" s="9" t="s">
        <v>25</v>
      </c>
      <c r="D235" s="9" t="s">
        <v>26</v>
      </c>
      <c r="E235" s="10" t="n">
        <v>1789</v>
      </c>
      <c r="F235" s="9" t="s">
        <v>27</v>
      </c>
      <c r="G235" s="9" t="s">
        <v>27</v>
      </c>
      <c r="H235" s="11" t="n">
        <v>24</v>
      </c>
      <c r="I235" s="11" t="s">
        <v>315</v>
      </c>
      <c r="J235" s="14" t="n">
        <v>10</v>
      </c>
      <c r="K235" s="14"/>
      <c r="L235" s="16"/>
      <c r="M235" s="27" t="n">
        <f aca="false">J235+(K235/20)+(L235/240)</f>
        <v>10</v>
      </c>
      <c r="N235" s="17" t="s">
        <v>64</v>
      </c>
      <c r="O235" s="11"/>
      <c r="P235" s="28"/>
      <c r="Q235" s="28" t="str">
        <f aca="false">IF(O235&lt;&gt;"",P235*M235,"")</f>
        <v/>
      </c>
      <c r="R235" s="28"/>
      <c r="S235" s="28" t="n">
        <f aca="false">R235*$M235</f>
        <v>0</v>
      </c>
      <c r="T235" s="28"/>
      <c r="U235" s="28" t="n">
        <f aca="false">T235*$M235</f>
        <v>0</v>
      </c>
      <c r="V235" s="28"/>
      <c r="W235" s="28" t="n">
        <f aca="false">V235*$M235</f>
        <v>0</v>
      </c>
      <c r="X235" s="28"/>
      <c r="Y235" s="28" t="n">
        <f aca="false">X235*$M235</f>
        <v>0</v>
      </c>
      <c r="Z235" s="28"/>
      <c r="AA235" s="28" t="n">
        <f aca="false">Z235*$M235</f>
        <v>0</v>
      </c>
      <c r="AB235" s="28"/>
      <c r="AC235" s="28" t="n">
        <f aca="false">AB235*$M235</f>
        <v>0</v>
      </c>
      <c r="AD235" s="28"/>
      <c r="AE235" s="28" t="n">
        <f aca="false">AD235*$M235</f>
        <v>0</v>
      </c>
      <c r="AF235" s="28"/>
      <c r="AG235" s="28" t="n">
        <f aca="false">AF235*$M235</f>
        <v>0</v>
      </c>
      <c r="AH235" s="28"/>
      <c r="AI235" s="28" t="n">
        <f aca="false">AH235*$M235</f>
        <v>0</v>
      </c>
      <c r="AJ235" s="28"/>
      <c r="AK235" s="28" t="n">
        <f aca="false">AJ235*$M235</f>
        <v>0</v>
      </c>
      <c r="AL235" s="28" t="n">
        <f aca="false">13584/100</f>
        <v>135.84</v>
      </c>
      <c r="AM235" s="28" t="n">
        <v>1358</v>
      </c>
      <c r="AN235" s="28"/>
      <c r="AO235" s="28" t="n">
        <f aca="false">AN235*$M235</f>
        <v>0</v>
      </c>
      <c r="AP235" s="28"/>
      <c r="AQ235" s="28" t="n">
        <f aca="false">AP235*$M235</f>
        <v>0</v>
      </c>
      <c r="AR235" s="28"/>
      <c r="AS235" s="28" t="n">
        <f aca="false">AR235*$M235</f>
        <v>0</v>
      </c>
      <c r="AT235" s="28"/>
      <c r="AU235" s="28" t="n">
        <f aca="false">AT235*$M235</f>
        <v>0</v>
      </c>
      <c r="AV235" s="28"/>
      <c r="AW235" s="28" t="n">
        <f aca="false">AV235*$M235</f>
        <v>0</v>
      </c>
      <c r="AX235" s="28"/>
      <c r="AY235" s="28" t="n">
        <f aca="false">AX235*$M235</f>
        <v>0</v>
      </c>
      <c r="AZ235" s="28"/>
      <c r="BA235" s="28" t="n">
        <f aca="false">AZ235*$M235</f>
        <v>0</v>
      </c>
      <c r="BB235" s="30" t="n">
        <f aca="false">13584/100</f>
        <v>135.84</v>
      </c>
      <c r="BC235" s="11" t="n">
        <v>1358</v>
      </c>
      <c r="BD235" s="31" t="n">
        <f aca="false">SUM(S235,U235,W235,Y235,AA235,AC235,AE235,AG235,AI235,AK235,AM235,AO235,AQ235,AS235,AU235,AW235,AY235,BA235)</f>
        <v>1358</v>
      </c>
      <c r="BE235" s="28" t="n">
        <f aca="false">BC235-BD235</f>
        <v>0</v>
      </c>
      <c r="BF235" s="32" t="n">
        <f aca="false">SUM(R235,T235,V235,X235,Z235,AB235,AD235,AF235,AH235,AJ235,AL235,AN235,AP235,AR235,AT235,AV235,AX235,AZ235)</f>
        <v>135.84</v>
      </c>
      <c r="BG235" s="33" t="n">
        <f aca="false">BB235-BF235</f>
        <v>0</v>
      </c>
      <c r="BH235" s="34" t="n">
        <f aca="false">BF235*M235</f>
        <v>1358.4</v>
      </c>
      <c r="BI235" s="35" t="n">
        <f aca="false">BC235-BH235</f>
        <v>-0.400000000000091</v>
      </c>
      <c r="BJ235" s="19" t="str">
        <f aca="false">IF(BI235=0,"",IF(BI235&lt;&gt;BC235,"erreur de calcul",IF(BF235&lt;&gt;0,"pas de prix",IF(M235&lt;&gt; 0,"pas de quantité","pas de prix, ni de quantité"))))</f>
        <v>erreur de calcul</v>
      </c>
      <c r="BK235" s="19"/>
    </row>
    <row r="236" customFormat="false" ht="16" hidden="false" customHeight="false" outlineLevel="0" collapsed="false">
      <c r="A236" s="0" t="n">
        <v>26</v>
      </c>
      <c r="B236" s="8" t="s">
        <v>24</v>
      </c>
      <c r="C236" s="9" t="s">
        <v>25</v>
      </c>
      <c r="D236" s="9" t="s">
        <v>26</v>
      </c>
      <c r="E236" s="10" t="n">
        <v>1789</v>
      </c>
      <c r="F236" s="9" t="s">
        <v>27</v>
      </c>
      <c r="G236" s="9" t="s">
        <v>27</v>
      </c>
      <c r="H236" s="11" t="n">
        <v>24</v>
      </c>
      <c r="I236" s="11" t="s">
        <v>316</v>
      </c>
      <c r="J236" s="14" t="n">
        <v>12</v>
      </c>
      <c r="K236" s="14"/>
      <c r="L236" s="16"/>
      <c r="M236" s="27" t="n">
        <f aca="false">J236+(K236/20)+(L236/240)</f>
        <v>12</v>
      </c>
      <c r="N236" s="17" t="s">
        <v>64</v>
      </c>
      <c r="O236" s="11"/>
      <c r="P236" s="28"/>
      <c r="Q236" s="28" t="str">
        <f aca="false">IF(O236&lt;&gt;"",P236*M236,"")</f>
        <v/>
      </c>
      <c r="R236" s="28" t="n">
        <f aca="false">8690/100</f>
        <v>86.9</v>
      </c>
      <c r="S236" s="28" t="n">
        <v>1043</v>
      </c>
      <c r="T236" s="28"/>
      <c r="U236" s="28" t="n">
        <f aca="false">T236*$M236</f>
        <v>0</v>
      </c>
      <c r="V236" s="28"/>
      <c r="W236" s="28" t="n">
        <f aca="false">V236*$M236</f>
        <v>0</v>
      </c>
      <c r="X236" s="28"/>
      <c r="Y236" s="28" t="n">
        <f aca="false">X236*$M236</f>
        <v>0</v>
      </c>
      <c r="Z236" s="28" t="n">
        <f aca="false">10000/100</f>
        <v>100</v>
      </c>
      <c r="AA236" s="28" t="n">
        <v>1200</v>
      </c>
      <c r="AB236" s="28"/>
      <c r="AC236" s="28" t="n">
        <f aca="false">AB236*$M236</f>
        <v>0</v>
      </c>
      <c r="AD236" s="28"/>
      <c r="AE236" s="28" t="n">
        <f aca="false">AD236*$M236</f>
        <v>0</v>
      </c>
      <c r="AF236" s="28"/>
      <c r="AG236" s="28" t="n">
        <f aca="false">AF236*$M236</f>
        <v>0</v>
      </c>
      <c r="AH236" s="28"/>
      <c r="AI236" s="28" t="n">
        <f aca="false">AH236*$M236</f>
        <v>0</v>
      </c>
      <c r="AJ236" s="28"/>
      <c r="AK236" s="28" t="n">
        <f aca="false">AJ236*$M236</f>
        <v>0</v>
      </c>
      <c r="AL236" s="28"/>
      <c r="AM236" s="28" t="n">
        <f aca="false">AL236*$M236</f>
        <v>0</v>
      </c>
      <c r="AN236" s="28"/>
      <c r="AO236" s="28" t="n">
        <f aca="false">AN236*$M236</f>
        <v>0</v>
      </c>
      <c r="AP236" s="28"/>
      <c r="AQ236" s="28" t="n">
        <f aca="false">AP236*$M236</f>
        <v>0</v>
      </c>
      <c r="AR236" s="28"/>
      <c r="AS236" s="28" t="n">
        <f aca="false">AR236*$M236</f>
        <v>0</v>
      </c>
      <c r="AT236" s="28"/>
      <c r="AU236" s="28" t="n">
        <f aca="false">AT236*$M236</f>
        <v>0</v>
      </c>
      <c r="AV236" s="28"/>
      <c r="AW236" s="28" t="n">
        <f aca="false">AV236*$M236</f>
        <v>0</v>
      </c>
      <c r="AX236" s="28"/>
      <c r="AY236" s="28" t="n">
        <f aca="false">AX236*$M236</f>
        <v>0</v>
      </c>
      <c r="AZ236" s="28"/>
      <c r="BA236" s="28" t="n">
        <f aca="false">AZ236*$M236</f>
        <v>0</v>
      </c>
      <c r="BB236" s="30" t="n">
        <f aca="false">18690/100</f>
        <v>186.9</v>
      </c>
      <c r="BC236" s="11" t="n">
        <v>2243</v>
      </c>
      <c r="BD236" s="31" t="n">
        <f aca="false">SUM(S236,U236,W236,Y236,AA236,AC236,AE236,AG236,AI236,AK236,AM236,AO236,AQ236,AS236,AU236,AW236,AY236,BA236)</f>
        <v>2243</v>
      </c>
      <c r="BE236" s="28" t="n">
        <f aca="false">BC236-BD236</f>
        <v>0</v>
      </c>
      <c r="BF236" s="32" t="n">
        <f aca="false">SUM(R236,T236,V236,X236,Z236,AB236,AD236,AF236,AH236,AJ236,AL236,AN236,AP236,AR236,AT236,AV236,AX236,AZ236)</f>
        <v>186.9</v>
      </c>
      <c r="BG236" s="33" t="n">
        <f aca="false">BB236-BF236</f>
        <v>0</v>
      </c>
      <c r="BH236" s="34" t="n">
        <f aca="false">BF236*M236</f>
        <v>2242.8</v>
      </c>
      <c r="BI236" s="35" t="n">
        <f aca="false">BC236-BH236</f>
        <v>0.199999999999818</v>
      </c>
      <c r="BJ236" s="19" t="str">
        <f aca="false">IF(BI236=0,"",IF(BI236&lt;&gt;BC236,"erreur de calcul",IF(BF236&lt;&gt;0,"pas de prix",IF(M236&lt;&gt; 0,"pas de quantité","pas de prix, ni de quantité"))))</f>
        <v>erreur de calcul</v>
      </c>
      <c r="BK236" s="19"/>
    </row>
    <row r="237" customFormat="false" ht="16" hidden="false" customHeight="false" outlineLevel="0" collapsed="false">
      <c r="A237" s="0" t="n">
        <v>27</v>
      </c>
      <c r="B237" s="8" t="s">
        <v>24</v>
      </c>
      <c r="C237" s="9" t="s">
        <v>25</v>
      </c>
      <c r="D237" s="9" t="s">
        <v>26</v>
      </c>
      <c r="E237" s="10" t="n">
        <v>1789</v>
      </c>
      <c r="F237" s="9" t="s">
        <v>27</v>
      </c>
      <c r="G237" s="9" t="s">
        <v>27</v>
      </c>
      <c r="H237" s="11" t="n">
        <v>24</v>
      </c>
      <c r="I237" s="11" t="s">
        <v>317</v>
      </c>
      <c r="J237" s="14" t="n">
        <v>2</v>
      </c>
      <c r="K237" s="14"/>
      <c r="L237" s="16"/>
      <c r="M237" s="27" t="n">
        <f aca="false">J237+(K237/20)+(L237/240)</f>
        <v>2</v>
      </c>
      <c r="N237" s="17" t="s">
        <v>64</v>
      </c>
      <c r="O237" s="11"/>
      <c r="P237" s="28"/>
      <c r="Q237" s="28" t="str">
        <f aca="false">IF(O237&lt;&gt;"",P237*M237,"")</f>
        <v/>
      </c>
      <c r="R237" s="28"/>
      <c r="S237" s="28" t="n">
        <f aca="false">R237*$M237</f>
        <v>0</v>
      </c>
      <c r="T237" s="28"/>
      <c r="U237" s="28" t="n">
        <f aca="false">T237*$M237</f>
        <v>0</v>
      </c>
      <c r="V237" s="28"/>
      <c r="W237" s="28" t="n">
        <f aca="false">V237*$M237</f>
        <v>0</v>
      </c>
      <c r="X237" s="28"/>
      <c r="Y237" s="28" t="n">
        <f aca="false">X237*$M237</f>
        <v>0</v>
      </c>
      <c r="Z237" s="28"/>
      <c r="AA237" s="28" t="n">
        <f aca="false">Z237*$M237</f>
        <v>0</v>
      </c>
      <c r="AB237" s="28"/>
      <c r="AC237" s="28" t="n">
        <f aca="false">AB237*$M237</f>
        <v>0</v>
      </c>
      <c r="AD237" s="28" t="n">
        <f aca="false">15417/100</f>
        <v>154.17</v>
      </c>
      <c r="AE237" s="28" t="n">
        <v>308</v>
      </c>
      <c r="AF237" s="28"/>
      <c r="AG237" s="28" t="n">
        <f aca="false">AF237*$M237</f>
        <v>0</v>
      </c>
      <c r="AH237" s="28"/>
      <c r="AI237" s="28" t="n">
        <f aca="false">AH237*$M237</f>
        <v>0</v>
      </c>
      <c r="AJ237" s="28"/>
      <c r="AK237" s="28" t="n">
        <f aca="false">AJ237*$M237</f>
        <v>0</v>
      </c>
      <c r="AL237" s="28"/>
      <c r="AM237" s="28" t="n">
        <f aca="false">AL237*$M237</f>
        <v>0</v>
      </c>
      <c r="AN237" s="28"/>
      <c r="AO237" s="28" t="n">
        <f aca="false">AN237*$M237</f>
        <v>0</v>
      </c>
      <c r="AP237" s="28"/>
      <c r="AQ237" s="28" t="n">
        <f aca="false">AP237*$M237</f>
        <v>0</v>
      </c>
      <c r="AR237" s="28"/>
      <c r="AS237" s="28" t="n">
        <f aca="false">AR237*$M237</f>
        <v>0</v>
      </c>
      <c r="AT237" s="28"/>
      <c r="AU237" s="28" t="n">
        <f aca="false">AT237*$M237</f>
        <v>0</v>
      </c>
      <c r="AV237" s="28"/>
      <c r="AW237" s="28" t="n">
        <f aca="false">AV237*$M237</f>
        <v>0</v>
      </c>
      <c r="AX237" s="28"/>
      <c r="AY237" s="28" t="n">
        <f aca="false">AX237*$M237</f>
        <v>0</v>
      </c>
      <c r="AZ237" s="28"/>
      <c r="BA237" s="28" t="n">
        <f aca="false">AZ237*$M237</f>
        <v>0</v>
      </c>
      <c r="BB237" s="30" t="n">
        <f aca="false">15417/100</f>
        <v>154.17</v>
      </c>
      <c r="BC237" s="11" t="n">
        <v>308</v>
      </c>
      <c r="BD237" s="31" t="n">
        <f aca="false">SUM(S237,U237,W237,Y237,AA237,AC237,AE237,AG237,AI237,AK237,AM237,AO237,AQ237,AS237,AU237,AW237,AY237,BA237)</f>
        <v>308</v>
      </c>
      <c r="BE237" s="28" t="n">
        <f aca="false">BC237-BD237</f>
        <v>0</v>
      </c>
      <c r="BF237" s="32" t="n">
        <f aca="false">SUM(R237,T237,V237,X237,Z237,AB237,AD237,AF237,AH237,AJ237,AL237,AN237,AP237,AR237,AT237,AV237,AX237,AZ237)</f>
        <v>154.17</v>
      </c>
      <c r="BG237" s="33" t="n">
        <f aca="false">BB237-BF237</f>
        <v>0</v>
      </c>
      <c r="BH237" s="34" t="n">
        <f aca="false">BF237*M237</f>
        <v>308.34</v>
      </c>
      <c r="BI237" s="35" t="n">
        <f aca="false">BC237-BH237</f>
        <v>-0.339999999999975</v>
      </c>
      <c r="BJ237" s="19" t="str">
        <f aca="false">IF(BI237=0,"",IF(BI237&lt;&gt;BC237,"erreur de calcul",IF(BF237&lt;&gt;0,"pas de prix",IF(M237&lt;&gt; 0,"pas de quantité","pas de prix, ni de quantité"))))</f>
        <v>erreur de calcul</v>
      </c>
      <c r="BK237" s="19"/>
    </row>
    <row r="238" customFormat="false" ht="16" hidden="false" customHeight="false" outlineLevel="0" collapsed="false">
      <c r="A238" s="0" t="n">
        <v>28</v>
      </c>
      <c r="B238" s="8" t="s">
        <v>24</v>
      </c>
      <c r="C238" s="9" t="s">
        <v>25</v>
      </c>
      <c r="D238" s="9" t="s">
        <v>26</v>
      </c>
      <c r="E238" s="10" t="n">
        <v>1789</v>
      </c>
      <c r="F238" s="9" t="s">
        <v>27</v>
      </c>
      <c r="G238" s="9" t="s">
        <v>27</v>
      </c>
      <c r="H238" s="11" t="n">
        <v>24</v>
      </c>
      <c r="I238" s="11" t="s">
        <v>318</v>
      </c>
      <c r="J238" s="14" t="n">
        <v>30</v>
      </c>
      <c r="K238" s="14"/>
      <c r="L238" s="16"/>
      <c r="M238" s="27" t="n">
        <f aca="false">J238+(K238/20)+(L238/240)</f>
        <v>30</v>
      </c>
      <c r="N238" s="17" t="s">
        <v>64</v>
      </c>
      <c r="O238" s="11"/>
      <c r="P238" s="28"/>
      <c r="Q238" s="28" t="str">
        <f aca="false">IF(O238&lt;&gt;"",P238*M238,"")</f>
        <v/>
      </c>
      <c r="R238" s="28" t="n">
        <f aca="false">55459/100</f>
        <v>554.59</v>
      </c>
      <c r="S238" s="28" t="n">
        <v>16638</v>
      </c>
      <c r="T238" s="28"/>
      <c r="U238" s="28" t="n">
        <f aca="false">T238*$M238</f>
        <v>0</v>
      </c>
      <c r="V238" s="28"/>
      <c r="W238" s="28" t="n">
        <f aca="false">V238*$M238</f>
        <v>0</v>
      </c>
      <c r="X238" s="28"/>
      <c r="Y238" s="28" t="n">
        <f aca="false">X238*$M238</f>
        <v>0</v>
      </c>
      <c r="Z238" s="28"/>
      <c r="AA238" s="28" t="n">
        <f aca="false">Z238*$M238</f>
        <v>0</v>
      </c>
      <c r="AB238" s="28"/>
      <c r="AC238" s="28" t="n">
        <f aca="false">AB238*$M238</f>
        <v>0</v>
      </c>
      <c r="AD238" s="28"/>
      <c r="AE238" s="28" t="n">
        <f aca="false">AD238*$M238</f>
        <v>0</v>
      </c>
      <c r="AF238" s="28"/>
      <c r="AG238" s="28" t="n">
        <f aca="false">AF238*$M238</f>
        <v>0</v>
      </c>
      <c r="AH238" s="28"/>
      <c r="AI238" s="28" t="n">
        <f aca="false">AH238*$M238</f>
        <v>0</v>
      </c>
      <c r="AJ238" s="28"/>
      <c r="AK238" s="28" t="n">
        <f aca="false">AJ238*$M238</f>
        <v>0</v>
      </c>
      <c r="AL238" s="28"/>
      <c r="AM238" s="28" t="n">
        <f aca="false">AL238*$M238</f>
        <v>0</v>
      </c>
      <c r="AN238" s="28"/>
      <c r="AO238" s="28" t="n">
        <f aca="false">AN238*$M238</f>
        <v>0</v>
      </c>
      <c r="AP238" s="28"/>
      <c r="AQ238" s="28" t="n">
        <f aca="false">AP238*$M238</f>
        <v>0</v>
      </c>
      <c r="AR238" s="28"/>
      <c r="AS238" s="28" t="n">
        <f aca="false">AR238*$M238</f>
        <v>0</v>
      </c>
      <c r="AT238" s="28"/>
      <c r="AU238" s="28" t="n">
        <f aca="false">AT238*$M238</f>
        <v>0</v>
      </c>
      <c r="AV238" s="28"/>
      <c r="AW238" s="28" t="n">
        <f aca="false">AV238*$M238</f>
        <v>0</v>
      </c>
      <c r="AX238" s="28"/>
      <c r="AY238" s="28" t="n">
        <f aca="false">AX238*$M238</f>
        <v>0</v>
      </c>
      <c r="AZ238" s="28"/>
      <c r="BA238" s="28" t="n">
        <f aca="false">AZ238*$M238</f>
        <v>0</v>
      </c>
      <c r="BB238" s="30" t="n">
        <f aca="false">55459/100</f>
        <v>554.59</v>
      </c>
      <c r="BC238" s="11" t="n">
        <v>16638</v>
      </c>
      <c r="BD238" s="31" t="n">
        <f aca="false">SUM(S238,U238,W238,Y238,AA238,AC238,AE238,AG238,AI238,AK238,AM238,AO238,AQ238,AS238,AU238,AW238,AY238,BA238)</f>
        <v>16638</v>
      </c>
      <c r="BE238" s="28" t="n">
        <f aca="false">BC238-BD238</f>
        <v>0</v>
      </c>
      <c r="BF238" s="32" t="n">
        <f aca="false">SUM(R238,T238,V238,X238,Z238,AB238,AD238,AF238,AH238,AJ238,AL238,AN238,AP238,AR238,AT238,AV238,AX238,AZ238)</f>
        <v>554.59</v>
      </c>
      <c r="BG238" s="33" t="n">
        <f aca="false">BB238-BF238</f>
        <v>0</v>
      </c>
      <c r="BH238" s="34" t="n">
        <f aca="false">BF238*M238</f>
        <v>16637.7</v>
      </c>
      <c r="BI238" s="35" t="n">
        <f aca="false">BC238-BH238</f>
        <v>0.299999999999272</v>
      </c>
      <c r="BJ238" s="19" t="str">
        <f aca="false">IF(BI238=0,"",IF(BI238&lt;&gt;BC238,"erreur de calcul",IF(BF238&lt;&gt;0,"pas de prix",IF(M238&lt;&gt; 0,"pas de quantité","pas de prix, ni de quantité"))))</f>
        <v>erreur de calcul</v>
      </c>
      <c r="BK238" s="19"/>
    </row>
    <row r="239" customFormat="false" ht="16" hidden="false" customHeight="false" outlineLevel="0" collapsed="false">
      <c r="A239" s="0" t="n">
        <v>29</v>
      </c>
      <c r="B239" s="8" t="s">
        <v>24</v>
      </c>
      <c r="C239" s="9" t="s">
        <v>25</v>
      </c>
      <c r="D239" s="9" t="s">
        <v>26</v>
      </c>
      <c r="E239" s="10" t="n">
        <v>1789</v>
      </c>
      <c r="F239" s="9" t="s">
        <v>27</v>
      </c>
      <c r="G239" s="9" t="s">
        <v>27</v>
      </c>
      <c r="H239" s="11" t="n">
        <v>24</v>
      </c>
      <c r="I239" s="11" t="s">
        <v>319</v>
      </c>
      <c r="J239" s="14" t="n">
        <v>10</v>
      </c>
      <c r="K239" s="14"/>
      <c r="L239" s="16"/>
      <c r="M239" s="27" t="n">
        <f aca="false">J239+(K239/20)+(L239/240)</f>
        <v>10</v>
      </c>
      <c r="N239" s="17" t="s">
        <v>64</v>
      </c>
      <c r="O239" s="11"/>
      <c r="P239" s="28"/>
      <c r="Q239" s="28" t="str">
        <f aca="false">IF(O239&lt;&gt;"",P239*M239,"")</f>
        <v/>
      </c>
      <c r="R239" s="28" t="n">
        <f aca="false">48819/100</f>
        <v>488.19</v>
      </c>
      <c r="S239" s="28" t="n">
        <v>4882</v>
      </c>
      <c r="T239" s="28"/>
      <c r="U239" s="28" t="n">
        <f aca="false">T239*$M239</f>
        <v>0</v>
      </c>
      <c r="V239" s="28" t="n">
        <f aca="false">2500/100</f>
        <v>25</v>
      </c>
      <c r="W239" s="28" t="n">
        <v>250</v>
      </c>
      <c r="X239" s="28"/>
      <c r="Y239" s="28" t="n">
        <f aca="false">X239*$M239</f>
        <v>0</v>
      </c>
      <c r="Z239" s="28" t="n">
        <f aca="false">6667/100</f>
        <v>66.67</v>
      </c>
      <c r="AA239" s="28" t="n">
        <v>667</v>
      </c>
      <c r="AB239" s="28"/>
      <c r="AC239" s="28" t="n">
        <f aca="false">AB239*$M239</f>
        <v>0</v>
      </c>
      <c r="AD239" s="28"/>
      <c r="AE239" s="28" t="n">
        <f aca="false">AD239*$M239</f>
        <v>0</v>
      </c>
      <c r="AF239" s="28"/>
      <c r="AG239" s="28" t="n">
        <f aca="false">AF239*$M239</f>
        <v>0</v>
      </c>
      <c r="AH239" s="28"/>
      <c r="AI239" s="28" t="n">
        <f aca="false">AH239*$M239</f>
        <v>0</v>
      </c>
      <c r="AJ239" s="28"/>
      <c r="AK239" s="28" t="n">
        <f aca="false">AJ239*$M239</f>
        <v>0</v>
      </c>
      <c r="AL239" s="28"/>
      <c r="AM239" s="28" t="n">
        <f aca="false">AL239*$M239</f>
        <v>0</v>
      </c>
      <c r="AN239" s="28"/>
      <c r="AO239" s="28" t="n">
        <f aca="false">AN239*$M239</f>
        <v>0</v>
      </c>
      <c r="AP239" s="28"/>
      <c r="AQ239" s="28" t="n">
        <f aca="false">AP239*$M239</f>
        <v>0</v>
      </c>
      <c r="AR239" s="28"/>
      <c r="AS239" s="28" t="n">
        <f aca="false">AR239*$M239</f>
        <v>0</v>
      </c>
      <c r="AT239" s="28"/>
      <c r="AU239" s="28" t="n">
        <f aca="false">AT239*$M239</f>
        <v>0</v>
      </c>
      <c r="AV239" s="28"/>
      <c r="AW239" s="28" t="n">
        <f aca="false">AV239*$M239</f>
        <v>0</v>
      </c>
      <c r="AX239" s="28"/>
      <c r="AY239" s="28" t="n">
        <f aca="false">AX239*$M239</f>
        <v>0</v>
      </c>
      <c r="AZ239" s="28"/>
      <c r="BA239" s="28" t="n">
        <f aca="false">AZ239*$M239</f>
        <v>0</v>
      </c>
      <c r="BB239" s="30" t="n">
        <f aca="false">57986/100</f>
        <v>579.86</v>
      </c>
      <c r="BC239" s="11" t="n">
        <v>5799</v>
      </c>
      <c r="BD239" s="31" t="n">
        <f aca="false">SUM(S239,U239,W239,Y239,AA239,AC239,AE239,AG239,AI239,AK239,AM239,AO239,AQ239,AS239,AU239,AW239,AY239,BA239)</f>
        <v>5799</v>
      </c>
      <c r="BE239" s="28" t="n">
        <f aca="false">BC239-BD239</f>
        <v>0</v>
      </c>
      <c r="BF239" s="32" t="n">
        <f aca="false">SUM(R239,T239,V239,X239,Z239,AB239,AD239,AF239,AH239,AJ239,AL239,AN239,AP239,AR239,AT239,AV239,AX239,AZ239)</f>
        <v>579.86</v>
      </c>
      <c r="BG239" s="33" t="n">
        <f aca="false">BB239-BF239</f>
        <v>0</v>
      </c>
      <c r="BH239" s="34" t="n">
        <f aca="false">BF239*M239</f>
        <v>5798.6</v>
      </c>
      <c r="BI239" s="35" t="n">
        <f aca="false">BC239-BH239</f>
        <v>0.399999999999636</v>
      </c>
      <c r="BJ239" s="19" t="str">
        <f aca="false">IF(BI239=0,"",IF(BI239&lt;&gt;BC239,"erreur de calcul",IF(BF239&lt;&gt;0,"pas de prix",IF(M239&lt;&gt; 0,"pas de quantité","pas de prix, ni de quantité"))))</f>
        <v>erreur de calcul</v>
      </c>
      <c r="BK239" s="19"/>
    </row>
    <row r="240" customFormat="false" ht="16" hidden="false" customHeight="false" outlineLevel="0" collapsed="false">
      <c r="A240" s="0" t="n">
        <v>30</v>
      </c>
      <c r="B240" s="8" t="s">
        <v>24</v>
      </c>
      <c r="C240" s="9" t="s">
        <v>25</v>
      </c>
      <c r="D240" s="9" t="s">
        <v>26</v>
      </c>
      <c r="E240" s="10" t="n">
        <v>1789</v>
      </c>
      <c r="F240" s="9" t="s">
        <v>27</v>
      </c>
      <c r="G240" s="9" t="s">
        <v>27</v>
      </c>
      <c r="H240" s="11" t="n">
        <v>24</v>
      </c>
      <c r="I240" s="11" t="s">
        <v>320</v>
      </c>
      <c r="J240" s="14" t="n">
        <v>90</v>
      </c>
      <c r="K240" s="14"/>
      <c r="L240" s="16"/>
      <c r="M240" s="27" t="n">
        <f aca="false">J240+(K240/20)+(L240/240)</f>
        <v>90</v>
      </c>
      <c r="N240" s="17" t="s">
        <v>64</v>
      </c>
      <c r="O240" s="11"/>
      <c r="P240" s="28"/>
      <c r="Q240" s="28" t="str">
        <f aca="false">IF(O240&lt;&gt;"",P240*M240,"")</f>
        <v/>
      </c>
      <c r="R240" s="28"/>
      <c r="S240" s="28" t="n">
        <f aca="false">R240*$M240</f>
        <v>0</v>
      </c>
      <c r="T240" s="28"/>
      <c r="U240" s="28" t="n">
        <f aca="false">T240*$M240</f>
        <v>0</v>
      </c>
      <c r="V240" s="28"/>
      <c r="W240" s="28" t="n">
        <f aca="false">V240*$M240</f>
        <v>0</v>
      </c>
      <c r="X240" s="28"/>
      <c r="Y240" s="28" t="n">
        <f aca="false">X240*$M240</f>
        <v>0</v>
      </c>
      <c r="Z240" s="28"/>
      <c r="AA240" s="28" t="n">
        <f aca="false">Z240*$M240</f>
        <v>0</v>
      </c>
      <c r="AB240" s="28"/>
      <c r="AC240" s="28" t="n">
        <f aca="false">AB240*$M240</f>
        <v>0</v>
      </c>
      <c r="AD240" s="28"/>
      <c r="AE240" s="28" t="n">
        <f aca="false">AD240*$M240</f>
        <v>0</v>
      </c>
      <c r="AF240" s="28"/>
      <c r="AG240" s="28" t="n">
        <f aca="false">AF240*$M240</f>
        <v>0</v>
      </c>
      <c r="AH240" s="28"/>
      <c r="AI240" s="28" t="n">
        <f aca="false">AH240*$M240</f>
        <v>0</v>
      </c>
      <c r="AJ240" s="28"/>
      <c r="AK240" s="28" t="n">
        <f aca="false">AJ240*$M240</f>
        <v>0</v>
      </c>
      <c r="AL240" s="28"/>
      <c r="AM240" s="28" t="n">
        <f aca="false">AL240*$M240</f>
        <v>0</v>
      </c>
      <c r="AN240" s="28" t="n">
        <f aca="false">2950/100</f>
        <v>29.5</v>
      </c>
      <c r="AO240" s="28" t="n">
        <v>2655</v>
      </c>
      <c r="AP240" s="28"/>
      <c r="AQ240" s="28" t="n">
        <f aca="false">AP240*$M240</f>
        <v>0</v>
      </c>
      <c r="AR240" s="28"/>
      <c r="AS240" s="28" t="n">
        <f aca="false">AR240*$M240</f>
        <v>0</v>
      </c>
      <c r="AT240" s="28"/>
      <c r="AU240" s="28" t="n">
        <f aca="false">AT240*$M240</f>
        <v>0</v>
      </c>
      <c r="AV240" s="28"/>
      <c r="AW240" s="28" t="n">
        <f aca="false">AV240*$M240</f>
        <v>0</v>
      </c>
      <c r="AX240" s="28"/>
      <c r="AY240" s="28" t="n">
        <f aca="false">AX240*$M240</f>
        <v>0</v>
      </c>
      <c r="AZ240" s="28"/>
      <c r="BA240" s="28" t="n">
        <f aca="false">AZ240*$M240</f>
        <v>0</v>
      </c>
      <c r="BB240" s="30" t="n">
        <f aca="false">2950/100</f>
        <v>29.5</v>
      </c>
      <c r="BC240" s="11" t="n">
        <v>2655</v>
      </c>
      <c r="BD240" s="31" t="n">
        <f aca="false">SUM(S240,U240,W240,Y240,AA240,AC240,AE240,AG240,AI240,AK240,AM240,AO240,AQ240,AS240,AU240,AW240,AY240,BA240)</f>
        <v>2655</v>
      </c>
      <c r="BE240" s="28" t="n">
        <f aca="false">BC240-BD240</f>
        <v>0</v>
      </c>
      <c r="BF240" s="32" t="n">
        <f aca="false">SUM(R240,T240,V240,X240,Z240,AB240,AD240,AF240,AH240,AJ240,AL240,AN240,AP240,AR240,AT240,AV240,AX240,AZ240)</f>
        <v>29.5</v>
      </c>
      <c r="BG240" s="33" t="n">
        <f aca="false">BB240-BF240</f>
        <v>0</v>
      </c>
      <c r="BH240" s="34" t="n">
        <f aca="false">BF240*M240</f>
        <v>2655</v>
      </c>
      <c r="BI240" s="35" t="n">
        <f aca="false">BC240-BH240</f>
        <v>0</v>
      </c>
      <c r="BJ240" s="19" t="str">
        <f aca="false">IF(BI240=0,"",IF(BI240&lt;&gt;BC240,"erreur de calcul",IF(BF240&lt;&gt;0,"pas de prix",IF(M240&lt;&gt; 0,"pas de quantité","pas de prix, ni de quantité"))))</f>
        <v/>
      </c>
      <c r="BK240" s="19"/>
    </row>
    <row r="241" customFormat="false" ht="16" hidden="false" customHeight="false" outlineLevel="0" collapsed="false">
      <c r="A241" s="0" t="n">
        <v>31</v>
      </c>
      <c r="B241" s="8" t="s">
        <v>24</v>
      </c>
      <c r="C241" s="9" t="s">
        <v>25</v>
      </c>
      <c r="D241" s="9" t="s">
        <v>26</v>
      </c>
      <c r="E241" s="10" t="n">
        <v>1789</v>
      </c>
      <c r="F241" s="9" t="s">
        <v>27</v>
      </c>
      <c r="G241" s="9" t="s">
        <v>27</v>
      </c>
      <c r="H241" s="11" t="n">
        <v>24</v>
      </c>
      <c r="I241" s="11" t="s">
        <v>321</v>
      </c>
      <c r="J241" s="14" t="n">
        <v>50</v>
      </c>
      <c r="K241" s="14"/>
      <c r="L241" s="16"/>
      <c r="M241" s="27" t="n">
        <f aca="false">J241+(K241/20)+(L241/240)</f>
        <v>50</v>
      </c>
      <c r="N241" s="17" t="s">
        <v>64</v>
      </c>
      <c r="O241" s="11" t="s">
        <v>277</v>
      </c>
      <c r="P241" s="28" t="n">
        <f aca="false">265*0.02</f>
        <v>5.3</v>
      </c>
      <c r="Q241" s="28" t="n">
        <f aca="false">IF(O241&lt;&gt;"",P241*M241,"")</f>
        <v>265</v>
      </c>
      <c r="R241" s="28"/>
      <c r="S241" s="28" t="n">
        <f aca="false">R241*$M241</f>
        <v>0</v>
      </c>
      <c r="T241" s="28"/>
      <c r="U241" s="28" t="n">
        <f aca="false">T241*$M241</f>
        <v>0</v>
      </c>
      <c r="V241" s="28" t="n">
        <f aca="false">2*288*0.02+153*0.02</f>
        <v>14.58</v>
      </c>
      <c r="W241" s="28" t="n">
        <v>729</v>
      </c>
      <c r="X241" s="28" t="n">
        <f aca="false">2*288*0.02+118*0.02</f>
        <v>13.88</v>
      </c>
      <c r="Y241" s="28" t="n">
        <v>694</v>
      </c>
      <c r="Z241" s="28" t="n">
        <f aca="false">25*288*0.02+103*0.02</f>
        <v>146.06</v>
      </c>
      <c r="AA241" s="28" t="n">
        <v>7303</v>
      </c>
      <c r="AB241" s="28"/>
      <c r="AC241" s="28" t="n">
        <f aca="false">AB241*$M241</f>
        <v>0</v>
      </c>
      <c r="AD241" s="28" t="n">
        <f aca="false">1*288*0.02+74*0.02</f>
        <v>7.24</v>
      </c>
      <c r="AE241" s="28" t="n">
        <v>362</v>
      </c>
      <c r="AF241" s="28" t="n">
        <f aca="false">276*0.02</f>
        <v>5.52</v>
      </c>
      <c r="AG241" s="28" t="n">
        <v>276</v>
      </c>
      <c r="AH241" s="28"/>
      <c r="AI241" s="28" t="n">
        <f aca="false">AH241*$M241</f>
        <v>0</v>
      </c>
      <c r="AJ241" s="28" t="n">
        <f aca="false">1*288*0.02+75*0.02</f>
        <v>7.26</v>
      </c>
      <c r="AK241" s="28" t="n">
        <v>363</v>
      </c>
      <c r="AL241" s="28" t="n">
        <f aca="false">2*288*0.02+176*0.02</f>
        <v>15.04</v>
      </c>
      <c r="AM241" s="28" t="n">
        <v>752</v>
      </c>
      <c r="AN241" s="28"/>
      <c r="AO241" s="28" t="n">
        <f aca="false">AN241*$M241</f>
        <v>0</v>
      </c>
      <c r="AP241" s="28"/>
      <c r="AQ241" s="28" t="n">
        <f aca="false">AP241*$M241</f>
        <v>0</v>
      </c>
      <c r="AR241" s="28"/>
      <c r="AS241" s="28" t="n">
        <f aca="false">AR241*$M241</f>
        <v>0</v>
      </c>
      <c r="AT241" s="28"/>
      <c r="AU241" s="28" t="n">
        <f aca="false">AT241*$M241</f>
        <v>0</v>
      </c>
      <c r="AV241" s="28"/>
      <c r="AW241" s="28" t="n">
        <f aca="false">AV241*$M241</f>
        <v>0</v>
      </c>
      <c r="AX241" s="28"/>
      <c r="AY241" s="28" t="n">
        <f aca="false">AX241*$M241</f>
        <v>0</v>
      </c>
      <c r="AZ241" s="28"/>
      <c r="BA241" s="28" t="n">
        <f aca="false">AZ241*$M241</f>
        <v>0</v>
      </c>
      <c r="BB241" s="30" t="n">
        <f aca="false">36*288*0.02+111*0.02</f>
        <v>209.58</v>
      </c>
      <c r="BC241" s="11" t="n">
        <v>10479</v>
      </c>
      <c r="BD241" s="31" t="n">
        <f aca="false">SUM(S241,U241,W241,Y241,AA241,AC241,AE241,AG241,AI241,AK241,AM241,AO241,AQ241,AS241,AU241,AW241,AY241,BA241)</f>
        <v>10479</v>
      </c>
      <c r="BE241" s="28" t="n">
        <f aca="false">BC241-BD241</f>
        <v>0</v>
      </c>
      <c r="BF241" s="32" t="n">
        <f aca="false">SUM(R241,T241,V241,X241,Z241,AB241,AD241,AF241,AH241,AJ241,AL241,AN241,AP241,AR241,AT241,AV241,AX241,AZ241)</f>
        <v>209.58</v>
      </c>
      <c r="BG241" s="33" t="n">
        <f aca="false">BB241-BF241</f>
        <v>0</v>
      </c>
      <c r="BH241" s="34" t="n">
        <f aca="false">BF241*M241</f>
        <v>10479</v>
      </c>
      <c r="BI241" s="35" t="n">
        <f aca="false">BC241-BH241</f>
        <v>0</v>
      </c>
      <c r="BJ241" s="19" t="str">
        <f aca="false">IF(BI241=0,"",IF(BI241&lt;&gt;BC241,"erreur de calcul",IF(BF241&lt;&gt;0,"pas de prix",IF(M241&lt;&gt; 0,"pas de quantité","pas de prix, ni de quantité"))))</f>
        <v/>
      </c>
      <c r="BK241" s="19"/>
    </row>
    <row r="242" customFormat="false" ht="16" hidden="false" customHeight="false" outlineLevel="0" collapsed="false">
      <c r="A242" s="0" t="n">
        <v>32</v>
      </c>
      <c r="B242" s="8" t="s">
        <v>24</v>
      </c>
      <c r="C242" s="9" t="s">
        <v>25</v>
      </c>
      <c r="D242" s="9" t="s">
        <v>26</v>
      </c>
      <c r="E242" s="10" t="n">
        <v>1789</v>
      </c>
      <c r="F242" s="9" t="s">
        <v>27</v>
      </c>
      <c r="G242" s="9" t="s">
        <v>27</v>
      </c>
      <c r="H242" s="11" t="n">
        <v>24</v>
      </c>
      <c r="I242" s="11" t="s">
        <v>322</v>
      </c>
      <c r="J242" s="14" t="n">
        <v>70</v>
      </c>
      <c r="K242" s="14"/>
      <c r="L242" s="16"/>
      <c r="M242" s="27" t="n">
        <f aca="false">J242+(K242/20)+(L242/240)</f>
        <v>70</v>
      </c>
      <c r="N242" s="17" t="s">
        <v>64</v>
      </c>
      <c r="O242" s="11"/>
      <c r="P242" s="28"/>
      <c r="Q242" s="28" t="str">
        <f aca="false">IF(O242&lt;&gt;"",P242*M242,"")</f>
        <v/>
      </c>
      <c r="R242" s="28"/>
      <c r="S242" s="28" t="n">
        <f aca="false">R242*$M242</f>
        <v>0</v>
      </c>
      <c r="T242" s="28"/>
      <c r="U242" s="28" t="n">
        <f aca="false">T242*$M242</f>
        <v>0</v>
      </c>
      <c r="V242" s="28"/>
      <c r="W242" s="28" t="n">
        <f aca="false">V242*$M242</f>
        <v>0</v>
      </c>
      <c r="X242" s="28"/>
      <c r="Y242" s="28" t="n">
        <f aca="false">X242*$M242</f>
        <v>0</v>
      </c>
      <c r="Z242" s="28" t="n">
        <f aca="false">2*288*0.02+217*0.02</f>
        <v>15.86</v>
      </c>
      <c r="AA242" s="28" t="n">
        <v>1111</v>
      </c>
      <c r="AB242" s="28"/>
      <c r="AC242" s="28" t="n">
        <f aca="false">AB242*$M242</f>
        <v>0</v>
      </c>
      <c r="AD242" s="28"/>
      <c r="AE242" s="28" t="n">
        <f aca="false">AD242*$M242</f>
        <v>0</v>
      </c>
      <c r="AF242" s="28"/>
      <c r="AG242" s="28" t="n">
        <f aca="false">AF242*$M242</f>
        <v>0</v>
      </c>
      <c r="AH242" s="28"/>
      <c r="AI242" s="28" t="n">
        <f aca="false">AH242*$M242</f>
        <v>0</v>
      </c>
      <c r="AJ242" s="28"/>
      <c r="AK242" s="28" t="n">
        <f aca="false">AJ242*$M242</f>
        <v>0</v>
      </c>
      <c r="AL242" s="28"/>
      <c r="AM242" s="28" t="n">
        <f aca="false">AL242*$M242</f>
        <v>0</v>
      </c>
      <c r="AN242" s="28"/>
      <c r="AO242" s="28" t="n">
        <f aca="false">AN242*$M242</f>
        <v>0</v>
      </c>
      <c r="AP242" s="28"/>
      <c r="AQ242" s="28" t="n">
        <f aca="false">AP242*$M242</f>
        <v>0</v>
      </c>
      <c r="AR242" s="28"/>
      <c r="AS242" s="28" t="n">
        <f aca="false">AR242*$M242</f>
        <v>0</v>
      </c>
      <c r="AT242" s="28"/>
      <c r="AU242" s="28" t="n">
        <f aca="false">AT242*$M242</f>
        <v>0</v>
      </c>
      <c r="AV242" s="28"/>
      <c r="AW242" s="28" t="n">
        <f aca="false">AV242*$M242</f>
        <v>0</v>
      </c>
      <c r="AX242" s="28"/>
      <c r="AY242" s="28" t="n">
        <f aca="false">AX242*$M242</f>
        <v>0</v>
      </c>
      <c r="AZ242" s="28"/>
      <c r="BA242" s="28" t="n">
        <f aca="false">AZ242*$M242</f>
        <v>0</v>
      </c>
      <c r="BB242" s="30" t="n">
        <f aca="false">2*288*0.02+217*0.02</f>
        <v>15.86</v>
      </c>
      <c r="BC242" s="11" t="n">
        <v>1111</v>
      </c>
      <c r="BD242" s="31" t="n">
        <f aca="false">SUM(S242,U242,W242,Y242,AA242,AC242,AE242,AG242,AI242,AK242,AM242,AO242,AQ242,AS242,AU242,AW242,AY242,BA242)</f>
        <v>1111</v>
      </c>
      <c r="BE242" s="28" t="n">
        <f aca="false">BC242-BD242</f>
        <v>0</v>
      </c>
      <c r="BF242" s="32" t="n">
        <f aca="false">SUM(R242,T242,V242,X242,Z242,AB242,AD242,AF242,AH242,AJ242,AL242,AN242,AP242,AR242,AT242,AV242,AX242,AZ242)</f>
        <v>15.86</v>
      </c>
      <c r="BG242" s="33" t="n">
        <f aca="false">BB242-BF242</f>
        <v>0</v>
      </c>
      <c r="BH242" s="34" t="n">
        <f aca="false">BF242*M242</f>
        <v>1110.2</v>
      </c>
      <c r="BI242" s="35" t="n">
        <f aca="false">BC242-BH242</f>
        <v>0.799999999999955</v>
      </c>
      <c r="BJ242" s="19" t="str">
        <f aca="false">IF(BI242=0,"",IF(BI242&lt;&gt;BC242,"erreur de calcul",IF(BF242&lt;&gt;0,"pas de prix",IF(M242&lt;&gt; 0,"pas de quantité","pas de prix, ni de quantité"))))</f>
        <v>erreur de calcul</v>
      </c>
      <c r="BK242" s="19"/>
    </row>
    <row r="243" customFormat="false" ht="16" hidden="false" customHeight="false" outlineLevel="0" collapsed="false">
      <c r="A243" s="0" t="n">
        <v>33</v>
      </c>
      <c r="B243" s="8" t="s">
        <v>24</v>
      </c>
      <c r="C243" s="9" t="s">
        <v>25</v>
      </c>
      <c r="D243" s="9" t="s">
        <v>26</v>
      </c>
      <c r="E243" s="10" t="n">
        <v>1789</v>
      </c>
      <c r="F243" s="9" t="s">
        <v>27</v>
      </c>
      <c r="G243" s="9" t="s">
        <v>27</v>
      </c>
      <c r="H243" s="11" t="n">
        <v>24</v>
      </c>
      <c r="I243" s="11" t="s">
        <v>323</v>
      </c>
      <c r="J243" s="14"/>
      <c r="K243" s="14" t="n">
        <v>40</v>
      </c>
      <c r="L243" s="16"/>
      <c r="M243" s="27" t="n">
        <f aca="false">J243+(K243/20)+(L243/240)</f>
        <v>2</v>
      </c>
      <c r="N243" s="17" t="s">
        <v>66</v>
      </c>
      <c r="O243" s="11"/>
      <c r="P243" s="28"/>
      <c r="Q243" s="28" t="str">
        <f aca="false">IF(O243&lt;&gt;"",P243*M243,"")</f>
        <v/>
      </c>
      <c r="R243" s="28" t="n">
        <v>780</v>
      </c>
      <c r="S243" s="28" t="n">
        <v>1560</v>
      </c>
      <c r="T243" s="28"/>
      <c r="U243" s="28" t="n">
        <f aca="false">T243*$M243</f>
        <v>0</v>
      </c>
      <c r="V243" s="28" t="n">
        <v>1552</v>
      </c>
      <c r="W243" s="28" t="n">
        <v>3104</v>
      </c>
      <c r="X243" s="28" t="n">
        <v>1051</v>
      </c>
      <c r="Y243" s="28" t="n">
        <v>2102</v>
      </c>
      <c r="Z243" s="28" t="n">
        <v>1486</v>
      </c>
      <c r="AA243" s="28" t="n">
        <v>2972</v>
      </c>
      <c r="AB243" s="28" t="n">
        <v>847</v>
      </c>
      <c r="AC243" s="28" t="n">
        <v>1694</v>
      </c>
      <c r="AD243" s="28" t="n">
        <v>114</v>
      </c>
      <c r="AE243" s="28" t="n">
        <v>228</v>
      </c>
      <c r="AF243" s="28" t="n">
        <v>407</v>
      </c>
      <c r="AG243" s="28" t="n">
        <v>814</v>
      </c>
      <c r="AH243" s="28"/>
      <c r="AI243" s="28" t="n">
        <f aca="false">AH243*$M243</f>
        <v>0</v>
      </c>
      <c r="AJ243" s="28"/>
      <c r="AK243" s="28" t="n">
        <f aca="false">AJ243*$M243</f>
        <v>0</v>
      </c>
      <c r="AL243" s="28" t="n">
        <v>1297</v>
      </c>
      <c r="AM243" s="28" t="n">
        <v>2594</v>
      </c>
      <c r="AN243" s="28"/>
      <c r="AO243" s="28" t="n">
        <f aca="false">AN243*$M243</f>
        <v>0</v>
      </c>
      <c r="AP243" s="28"/>
      <c r="AQ243" s="28" t="n">
        <f aca="false">AP243*$M243</f>
        <v>0</v>
      </c>
      <c r="AR243" s="28"/>
      <c r="AS243" s="28" t="n">
        <f aca="false">AR243*$M243</f>
        <v>0</v>
      </c>
      <c r="AT243" s="28"/>
      <c r="AU243" s="28" t="n">
        <f aca="false">AT243*$M243</f>
        <v>0</v>
      </c>
      <c r="AV243" s="28"/>
      <c r="AW243" s="28" t="n">
        <f aca="false">AV243*$M243</f>
        <v>0</v>
      </c>
      <c r="AX243" s="28"/>
      <c r="AY243" s="28" t="n">
        <f aca="false">AX243*$M243</f>
        <v>0</v>
      </c>
      <c r="AZ243" s="28"/>
      <c r="BA243" s="28" t="n">
        <f aca="false">AZ243*$M243</f>
        <v>0</v>
      </c>
      <c r="BB243" s="30" t="n">
        <v>7534</v>
      </c>
      <c r="BC243" s="11" t="n">
        <v>15068</v>
      </c>
      <c r="BD243" s="31" t="n">
        <f aca="false">SUM(S243,U243,W243,Y243,AA243,AC243,AE243,AG243,AI243,AK243,AM243,AO243,AQ243,AS243,AU243,AW243,AY243,BA243)</f>
        <v>15068</v>
      </c>
      <c r="BE243" s="28" t="n">
        <f aca="false">BC243-BD243</f>
        <v>0</v>
      </c>
      <c r="BF243" s="32" t="n">
        <f aca="false">SUM(R243,T243,V243,X243,Z243,AB243,AD243,AF243,AH243,AJ243,AL243,AN243,AP243,AR243,AT243,AV243,AX243,AZ243)</f>
        <v>7534</v>
      </c>
      <c r="BG243" s="33" t="n">
        <f aca="false">BB243-BF243</f>
        <v>0</v>
      </c>
      <c r="BH243" s="34" t="n">
        <f aca="false">BF243*M243</f>
        <v>15068</v>
      </c>
      <c r="BI243" s="35" t="n">
        <f aca="false">BC243-BH243</f>
        <v>0</v>
      </c>
      <c r="BJ243" s="19" t="str">
        <f aca="false">IF(BI243=0,"",IF(BI243&lt;&gt;BC243,"erreur de calcul",IF(BF243&lt;&gt;0,"pas de prix",IF(M243&lt;&gt; 0,"pas de quantité","pas de prix, ni de quantité"))))</f>
        <v/>
      </c>
      <c r="BK243" s="19"/>
    </row>
    <row r="244" customFormat="false" ht="16" hidden="false" customHeight="false" outlineLevel="0" collapsed="false">
      <c r="A244" s="0" t="n">
        <v>34</v>
      </c>
      <c r="B244" s="8" t="s">
        <v>24</v>
      </c>
      <c r="C244" s="9" t="s">
        <v>25</v>
      </c>
      <c r="D244" s="9" t="s">
        <v>26</v>
      </c>
      <c r="E244" s="10" t="n">
        <v>1789</v>
      </c>
      <c r="F244" s="9" t="s">
        <v>27</v>
      </c>
      <c r="G244" s="9" t="s">
        <v>27</v>
      </c>
      <c r="H244" s="11" t="n">
        <v>24</v>
      </c>
      <c r="I244" s="11" t="s">
        <v>324</v>
      </c>
      <c r="J244" s="14" t="n">
        <v>15</v>
      </c>
      <c r="K244" s="14"/>
      <c r="L244" s="16"/>
      <c r="M244" s="27" t="n">
        <f aca="false">J244+(K244/20)+(L244/240)</f>
        <v>15</v>
      </c>
      <c r="N244" s="17" t="s">
        <v>64</v>
      </c>
      <c r="O244" s="11"/>
      <c r="P244" s="28"/>
      <c r="Q244" s="28" t="str">
        <f aca="false">IF(O244&lt;&gt;"",P244*M244,"")</f>
        <v/>
      </c>
      <c r="R244" s="28" t="n">
        <f aca="false">6834/100</f>
        <v>68.34</v>
      </c>
      <c r="S244" s="28" t="n">
        <v>1025</v>
      </c>
      <c r="T244" s="28"/>
      <c r="U244" s="28" t="n">
        <f aca="false">T244*$M244</f>
        <v>0</v>
      </c>
      <c r="V244" s="28" t="n">
        <f aca="false">834/100</f>
        <v>8.34</v>
      </c>
      <c r="W244" s="28" t="n">
        <v>125</v>
      </c>
      <c r="X244" s="28" t="n">
        <f aca="false">197372/100</f>
        <v>1973.72</v>
      </c>
      <c r="Y244" s="28" t="n">
        <v>29606</v>
      </c>
      <c r="Z244" s="28" t="n">
        <f aca="false">2334702/100</f>
        <v>23347.02</v>
      </c>
      <c r="AA244" s="28" t="n">
        <v>350205</v>
      </c>
      <c r="AB244" s="28"/>
      <c r="AC244" s="28" t="n">
        <f aca="false">AB244*$M244</f>
        <v>0</v>
      </c>
      <c r="AD244" s="28" t="n">
        <f aca="false">1417/100</f>
        <v>14.17</v>
      </c>
      <c r="AE244" s="28" t="n">
        <v>212</v>
      </c>
      <c r="AF244" s="28"/>
      <c r="AG244" s="28" t="n">
        <f aca="false">AF244*$M244</f>
        <v>0</v>
      </c>
      <c r="AH244" s="28"/>
      <c r="AI244" s="28" t="n">
        <f aca="false">AH244*$M244</f>
        <v>0</v>
      </c>
      <c r="AJ244" s="28"/>
      <c r="AK244" s="28" t="n">
        <f aca="false">AJ244*$M244</f>
        <v>0</v>
      </c>
      <c r="AL244" s="28"/>
      <c r="AM244" s="28" t="n">
        <f aca="false">AL244*$M244</f>
        <v>0</v>
      </c>
      <c r="AN244" s="28"/>
      <c r="AO244" s="28" t="n">
        <f aca="false">AN244*$M244</f>
        <v>0</v>
      </c>
      <c r="AP244" s="28"/>
      <c r="AQ244" s="28" t="n">
        <f aca="false">AP244*$M244</f>
        <v>0</v>
      </c>
      <c r="AR244" s="28"/>
      <c r="AS244" s="28" t="n">
        <f aca="false">AR244*$M244</f>
        <v>0</v>
      </c>
      <c r="AT244" s="28"/>
      <c r="AU244" s="28" t="n">
        <f aca="false">AT244*$M244</f>
        <v>0</v>
      </c>
      <c r="AV244" s="28"/>
      <c r="AW244" s="28" t="n">
        <f aca="false">AV244*$M244</f>
        <v>0</v>
      </c>
      <c r="AX244" s="28"/>
      <c r="AY244" s="28" t="n">
        <f aca="false">AX244*$M244</f>
        <v>0</v>
      </c>
      <c r="AZ244" s="28"/>
      <c r="BA244" s="28" t="n">
        <f aca="false">AZ244*$M244</f>
        <v>0</v>
      </c>
      <c r="BB244" s="30" t="n">
        <f aca="false">2541159/100</f>
        <v>25411.59</v>
      </c>
      <c r="BC244" s="11" t="n">
        <v>381173</v>
      </c>
      <c r="BD244" s="31" t="n">
        <f aca="false">SUM(S244,U244,W244,Y244,AA244,AC244,AE244,AG244,AI244,AK244,AM244,AO244,AQ244,AS244,AU244,AW244,AY244,BA244)</f>
        <v>381173</v>
      </c>
      <c r="BE244" s="28" t="n">
        <f aca="false">BC244-BD244</f>
        <v>0</v>
      </c>
      <c r="BF244" s="32" t="n">
        <f aca="false">SUM(R244,T244,V244,X244,Z244,AB244,AD244,AF244,AH244,AJ244,AL244,AN244,AP244,AR244,AT244,AV244,AX244,AZ244)</f>
        <v>25411.59</v>
      </c>
      <c r="BG244" s="33" t="n">
        <f aca="false">BB244-BF244</f>
        <v>0</v>
      </c>
      <c r="BH244" s="34" t="n">
        <f aca="false">BF244*M244</f>
        <v>381173.85</v>
      </c>
      <c r="BI244" s="35" t="n">
        <f aca="false">BC244-BH244</f>
        <v>-0.849999999976717</v>
      </c>
      <c r="BJ244" s="19" t="str">
        <f aca="false">IF(BI244=0,"",IF(BI244&lt;&gt;BC244,"erreur de calcul",IF(BF244&lt;&gt;0,"pas de prix",IF(M244&lt;&gt; 0,"pas de quantité","pas de prix, ni de quantité"))))</f>
        <v>erreur de calcul</v>
      </c>
      <c r="BK244" s="19"/>
    </row>
    <row r="245" customFormat="false" ht="16" hidden="false" customHeight="false" outlineLevel="0" collapsed="false">
      <c r="A245" s="0" t="n">
        <v>35</v>
      </c>
      <c r="B245" s="8" t="s">
        <v>24</v>
      </c>
      <c r="C245" s="9" t="s">
        <v>25</v>
      </c>
      <c r="D245" s="9" t="s">
        <v>26</v>
      </c>
      <c r="E245" s="10" t="n">
        <v>1789</v>
      </c>
      <c r="F245" s="9" t="s">
        <v>27</v>
      </c>
      <c r="G245" s="9" t="s">
        <v>27</v>
      </c>
      <c r="H245" s="11" t="n">
        <v>24</v>
      </c>
      <c r="I245" s="11" t="s">
        <v>325</v>
      </c>
      <c r="J245" s="14" t="n">
        <v>25</v>
      </c>
      <c r="K245" s="14"/>
      <c r="L245" s="16"/>
      <c r="M245" s="27" t="n">
        <f aca="false">J245+(K245/20)+(L245/240)</f>
        <v>25</v>
      </c>
      <c r="N245" s="17" t="s">
        <v>64</v>
      </c>
      <c r="O245" s="11"/>
      <c r="P245" s="28"/>
      <c r="Q245" s="28" t="str">
        <f aca="false">IF(O245&lt;&gt;"",P245*M245,"")</f>
        <v/>
      </c>
      <c r="R245" s="28"/>
      <c r="S245" s="28" t="n">
        <f aca="false">R245*$M245</f>
        <v>0</v>
      </c>
      <c r="T245" s="28"/>
      <c r="U245" s="28" t="n">
        <f aca="false">T245*$M245</f>
        <v>0</v>
      </c>
      <c r="V245" s="28"/>
      <c r="W245" s="28" t="n">
        <f aca="false">V245*$M245</f>
        <v>0</v>
      </c>
      <c r="X245" s="28"/>
      <c r="Y245" s="28" t="n">
        <f aca="false">X245*$M245</f>
        <v>0</v>
      </c>
      <c r="Z245" s="28" t="n">
        <f aca="false">4971/100</f>
        <v>49.71</v>
      </c>
      <c r="AA245" s="28" t="n">
        <v>1243</v>
      </c>
      <c r="AB245" s="28" t="n">
        <f aca="false">14812/100</f>
        <v>148.12</v>
      </c>
      <c r="AC245" s="28" t="n">
        <v>3703</v>
      </c>
      <c r="AD245" s="28"/>
      <c r="AE245" s="28" t="n">
        <f aca="false">AD245*$M245</f>
        <v>0</v>
      </c>
      <c r="AF245" s="28"/>
      <c r="AG245" s="28" t="n">
        <f aca="false">AF245*$M245</f>
        <v>0</v>
      </c>
      <c r="AH245" s="28"/>
      <c r="AI245" s="28" t="n">
        <f aca="false">AH245*$M245</f>
        <v>0</v>
      </c>
      <c r="AJ245" s="28"/>
      <c r="AK245" s="28" t="n">
        <f aca="false">AJ245*$M245</f>
        <v>0</v>
      </c>
      <c r="AL245" s="28"/>
      <c r="AM245" s="28" t="n">
        <f aca="false">AL245*$M245</f>
        <v>0</v>
      </c>
      <c r="AN245" s="28"/>
      <c r="AO245" s="28" t="n">
        <f aca="false">AN245*$M245</f>
        <v>0</v>
      </c>
      <c r="AP245" s="28"/>
      <c r="AQ245" s="28" t="n">
        <f aca="false">AP245*$M245</f>
        <v>0</v>
      </c>
      <c r="AR245" s="28"/>
      <c r="AS245" s="28" t="n">
        <f aca="false">AR245*$M245</f>
        <v>0</v>
      </c>
      <c r="AT245" s="28"/>
      <c r="AU245" s="28" t="n">
        <f aca="false">AT245*$M245</f>
        <v>0</v>
      </c>
      <c r="AV245" s="28"/>
      <c r="AW245" s="28" t="n">
        <f aca="false">AV245*$M245</f>
        <v>0</v>
      </c>
      <c r="AX245" s="28"/>
      <c r="AY245" s="28" t="n">
        <f aca="false">AX245*$M245</f>
        <v>0</v>
      </c>
      <c r="AZ245" s="28"/>
      <c r="BA245" s="28" t="n">
        <f aca="false">AZ245*$M245</f>
        <v>0</v>
      </c>
      <c r="BB245" s="30" t="n">
        <f aca="false">19783/100</f>
        <v>197.83</v>
      </c>
      <c r="BC245" s="11" t="n">
        <v>4946</v>
      </c>
      <c r="BD245" s="31" t="n">
        <f aca="false">SUM(S245,U245,W245,Y245,AA245,AC245,AE245,AG245,AI245,AK245,AM245,AO245,AQ245,AS245,AU245,AW245,AY245,BA245)</f>
        <v>4946</v>
      </c>
      <c r="BE245" s="28" t="n">
        <f aca="false">BC245-BD245</f>
        <v>0</v>
      </c>
      <c r="BF245" s="32" t="n">
        <f aca="false">SUM(R245,T245,V245,X245,Z245,AB245,AD245,AF245,AH245,AJ245,AL245,AN245,AP245,AR245,AT245,AV245,AX245,AZ245)</f>
        <v>197.83</v>
      </c>
      <c r="BG245" s="33" t="n">
        <f aca="false">BB245-BF245</f>
        <v>0</v>
      </c>
      <c r="BH245" s="34" t="n">
        <f aca="false">BF245*M245</f>
        <v>4945.75</v>
      </c>
      <c r="BI245" s="35" t="n">
        <f aca="false">BC245-BH245</f>
        <v>0.25</v>
      </c>
      <c r="BJ245" s="19" t="str">
        <f aca="false">IF(BI245=0,"",IF(BI245&lt;&gt;BC245,"erreur de calcul",IF(BF245&lt;&gt;0,"pas de prix",IF(M245&lt;&gt; 0,"pas de quantité","pas de prix, ni de quantité"))))</f>
        <v>erreur de calcul</v>
      </c>
      <c r="BK245" s="19"/>
    </row>
    <row r="246" customFormat="false" ht="16" hidden="false" customHeight="false" outlineLevel="0" collapsed="false">
      <c r="A246" s="0" t="n">
        <v>36</v>
      </c>
      <c r="B246" s="8" t="s">
        <v>24</v>
      </c>
      <c r="C246" s="9" t="s">
        <v>25</v>
      </c>
      <c r="D246" s="9" t="s">
        <v>26</v>
      </c>
      <c r="E246" s="10" t="n">
        <v>1789</v>
      </c>
      <c r="F246" s="9" t="s">
        <v>27</v>
      </c>
      <c r="G246" s="9" t="s">
        <v>27</v>
      </c>
      <c r="H246" s="11" t="n">
        <v>24</v>
      </c>
      <c r="I246" s="11" t="s">
        <v>326</v>
      </c>
      <c r="J246" s="14"/>
      <c r="K246" s="14"/>
      <c r="L246" s="16"/>
      <c r="M246" s="27" t="n">
        <f aca="false">J246+(K246/20)+(L246/240)</f>
        <v>0</v>
      </c>
      <c r="N246" s="17"/>
      <c r="O246" s="11" t="s">
        <v>77</v>
      </c>
      <c r="P246" s="28"/>
      <c r="Q246" s="28" t="n">
        <v>184</v>
      </c>
      <c r="R246" s="28"/>
      <c r="S246" s="28" t="n">
        <v>84</v>
      </c>
      <c r="T246" s="28"/>
      <c r="U246" s="28" t="n">
        <v>80</v>
      </c>
      <c r="V246" s="28"/>
      <c r="W246" s="28" t="n">
        <v>115</v>
      </c>
      <c r="X246" s="28"/>
      <c r="Y246" s="28" t="n">
        <f aca="false">X246*$M246</f>
        <v>0</v>
      </c>
      <c r="Z246" s="28"/>
      <c r="AA246" s="28" t="n">
        <v>82</v>
      </c>
      <c r="AB246" s="28"/>
      <c r="AC246" s="28" t="n">
        <v>32</v>
      </c>
      <c r="AD246" s="28"/>
      <c r="AE246" s="28" t="n">
        <v>82</v>
      </c>
      <c r="AF246" s="28"/>
      <c r="AG246" s="28" t="n">
        <f aca="false">AF246*$M246</f>
        <v>0</v>
      </c>
      <c r="AH246" s="28"/>
      <c r="AI246" s="28" t="n">
        <v>129</v>
      </c>
      <c r="AJ246" s="28"/>
      <c r="AK246" s="28" t="n">
        <f aca="false">AJ246*$M246</f>
        <v>0</v>
      </c>
      <c r="AL246" s="28"/>
      <c r="AM246" s="28" t="n">
        <v>79</v>
      </c>
      <c r="AN246" s="28"/>
      <c r="AO246" s="28" t="n">
        <v>106</v>
      </c>
      <c r="AP246" s="28"/>
      <c r="AQ246" s="28" t="n">
        <f aca="false">AP246*$M246</f>
        <v>0</v>
      </c>
      <c r="AR246" s="28"/>
      <c r="AS246" s="28" t="n">
        <f aca="false">AR246*$M246</f>
        <v>0</v>
      </c>
      <c r="AT246" s="28"/>
      <c r="AU246" s="28" t="n">
        <f aca="false">AT246*$M246</f>
        <v>0</v>
      </c>
      <c r="AV246" s="28"/>
      <c r="AW246" s="28" t="n">
        <f aca="false">AV246*$M246</f>
        <v>0</v>
      </c>
      <c r="AX246" s="28"/>
      <c r="AY246" s="28" t="n">
        <f aca="false">AX246*$M246</f>
        <v>0</v>
      </c>
      <c r="AZ246" s="28"/>
      <c r="BA246" s="28" t="n">
        <f aca="false">AZ246*$M246</f>
        <v>0</v>
      </c>
      <c r="BB246" s="30"/>
      <c r="BC246" s="11" t="n">
        <v>789</v>
      </c>
      <c r="BD246" s="31" t="n">
        <f aca="false">SUM(S246,U246,W246,Y246,AA246,AC246,AE246,AG246,AI246,AK246,AM246,AO246,AQ246,AS246,AU246,AW246,AY246,BA246)</f>
        <v>789</v>
      </c>
      <c r="BE246" s="28" t="n">
        <f aca="false">BC246-BD246</f>
        <v>0</v>
      </c>
      <c r="BF246" s="32" t="n">
        <f aca="false">SUM(R246,T246,V246,X246,Z246,AB246,AD246,AF246,AH246,AJ246,AL246,AN246,AP246,AR246,AT246,AV246,AX246,AZ246)</f>
        <v>0</v>
      </c>
      <c r="BG246" s="33" t="n">
        <f aca="false">BB246-BF246</f>
        <v>0</v>
      </c>
      <c r="BH246" s="34" t="n">
        <f aca="false">BF246*M246</f>
        <v>0</v>
      </c>
      <c r="BI246" s="35" t="n">
        <f aca="false">BC246-BH246</f>
        <v>789</v>
      </c>
      <c r="BJ246" s="19" t="str">
        <f aca="false">IF(BI246=0,"",IF(BI246&lt;&gt;BC246,"erreur de calcul",IF(BF246&lt;&gt;0,"pas de prix",IF(M246&lt;&gt; 0,"pas de quantité","pas de prix, ni de quantité"))))</f>
        <v>pas de prix, ni de quantité</v>
      </c>
      <c r="BK246" s="19"/>
    </row>
    <row r="247" customFormat="false" ht="16" hidden="false" customHeight="false" outlineLevel="0" collapsed="false">
      <c r="A247" s="0" t="n">
        <v>37</v>
      </c>
      <c r="B247" s="8" t="s">
        <v>24</v>
      </c>
      <c r="C247" s="9" t="s">
        <v>25</v>
      </c>
      <c r="D247" s="9" t="s">
        <v>26</v>
      </c>
      <c r="E247" s="10" t="n">
        <v>1789</v>
      </c>
      <c r="F247" s="9" t="s">
        <v>27</v>
      </c>
      <c r="G247" s="9" t="s">
        <v>27</v>
      </c>
      <c r="H247" s="11" t="n">
        <v>24</v>
      </c>
      <c r="I247" s="11" t="s">
        <v>327</v>
      </c>
      <c r="J247" s="14"/>
      <c r="K247" s="14" t="n">
        <v>20</v>
      </c>
      <c r="L247" s="16"/>
      <c r="M247" s="27" t="n">
        <f aca="false">J247+(K247/20)+(L247/240)</f>
        <v>1</v>
      </c>
      <c r="N247" s="17" t="s">
        <v>66</v>
      </c>
      <c r="O247" s="11"/>
      <c r="P247" s="28"/>
      <c r="Q247" s="28" t="str">
        <f aca="false">IF(O247&lt;&gt;"",P247*M247,"")</f>
        <v/>
      </c>
      <c r="R247" s="28"/>
      <c r="S247" s="28" t="n">
        <f aca="false">R247*$M247</f>
        <v>0</v>
      </c>
      <c r="T247" s="28"/>
      <c r="U247" s="28" t="n">
        <f aca="false">T247*$M247</f>
        <v>0</v>
      </c>
      <c r="V247" s="28"/>
      <c r="W247" s="28" t="n">
        <f aca="false">V247*$M247</f>
        <v>0</v>
      </c>
      <c r="X247" s="28" t="n">
        <v>1705</v>
      </c>
      <c r="Y247" s="28" t="n">
        <v>1705</v>
      </c>
      <c r="Z247" s="28"/>
      <c r="AA247" s="28" t="n">
        <f aca="false">Z247*$M247</f>
        <v>0</v>
      </c>
      <c r="AB247" s="28"/>
      <c r="AC247" s="28" t="n">
        <f aca="false">AB247*$M247</f>
        <v>0</v>
      </c>
      <c r="AD247" s="28" t="n">
        <v>226</v>
      </c>
      <c r="AE247" s="28" t="n">
        <v>226</v>
      </c>
      <c r="AF247" s="28"/>
      <c r="AG247" s="28" t="n">
        <f aca="false">AF247*$M247</f>
        <v>0</v>
      </c>
      <c r="AH247" s="28"/>
      <c r="AI247" s="28" t="n">
        <f aca="false">AH247*$M247</f>
        <v>0</v>
      </c>
      <c r="AJ247" s="28"/>
      <c r="AK247" s="28" t="n">
        <f aca="false">AJ247*$M247</f>
        <v>0</v>
      </c>
      <c r="AL247" s="28"/>
      <c r="AM247" s="28" t="n">
        <f aca="false">AL247*$M247</f>
        <v>0</v>
      </c>
      <c r="AN247" s="28"/>
      <c r="AO247" s="28" t="n">
        <f aca="false">AN247*$M247</f>
        <v>0</v>
      </c>
      <c r="AP247" s="28"/>
      <c r="AQ247" s="28" t="n">
        <f aca="false">AP247*$M247</f>
        <v>0</v>
      </c>
      <c r="AR247" s="28"/>
      <c r="AS247" s="28" t="n">
        <f aca="false">AR247*$M247</f>
        <v>0</v>
      </c>
      <c r="AT247" s="28"/>
      <c r="AU247" s="28" t="n">
        <f aca="false">AT247*$M247</f>
        <v>0</v>
      </c>
      <c r="AV247" s="28"/>
      <c r="AW247" s="28" t="n">
        <f aca="false">AV247*$M247</f>
        <v>0</v>
      </c>
      <c r="AX247" s="28"/>
      <c r="AY247" s="28" t="n">
        <f aca="false">AX247*$M247</f>
        <v>0</v>
      </c>
      <c r="AZ247" s="28"/>
      <c r="BA247" s="28" t="n">
        <f aca="false">AZ247*$M247</f>
        <v>0</v>
      </c>
      <c r="BB247" s="30" t="n">
        <v>1931</v>
      </c>
      <c r="BC247" s="11" t="n">
        <v>1931</v>
      </c>
      <c r="BD247" s="31" t="n">
        <f aca="false">SUM(S247,U247,W247,Y247,AA247,AC247,AE247,AG247,AI247,AK247,AM247,AO247,AQ247,AS247,AU247,AW247,AY247,BA247)</f>
        <v>1931</v>
      </c>
      <c r="BE247" s="28" t="n">
        <f aca="false">BC247-BD247</f>
        <v>0</v>
      </c>
      <c r="BF247" s="32" t="n">
        <f aca="false">SUM(R247,T247,V247,X247,Z247,AB247,AD247,AF247,AH247,AJ247,AL247,AN247,AP247,AR247,AT247,AV247,AX247,AZ247)</f>
        <v>1931</v>
      </c>
      <c r="BG247" s="33" t="n">
        <f aca="false">BB247-BF247</f>
        <v>0</v>
      </c>
      <c r="BH247" s="34" t="n">
        <f aca="false">BF247*M247</f>
        <v>1931</v>
      </c>
      <c r="BI247" s="35" t="n">
        <f aca="false">BC247-BH247</f>
        <v>0</v>
      </c>
      <c r="BJ247" s="19" t="str">
        <f aca="false">IF(BI247=0,"",IF(BI247&lt;&gt;BC247,"erreur de calcul",IF(BF247&lt;&gt;0,"pas de prix",IF(M247&lt;&gt; 0,"pas de quantité","pas de prix, ni de quantité"))))</f>
        <v/>
      </c>
      <c r="BK247" s="19"/>
    </row>
    <row r="248" customFormat="false" ht="16" hidden="false" customHeight="false" outlineLevel="0" collapsed="false">
      <c r="A248" s="0" t="n">
        <v>38</v>
      </c>
      <c r="B248" s="8" t="s">
        <v>24</v>
      </c>
      <c r="C248" s="9" t="s">
        <v>25</v>
      </c>
      <c r="D248" s="9" t="s">
        <v>26</v>
      </c>
      <c r="E248" s="10" t="n">
        <v>1789</v>
      </c>
      <c r="F248" s="9" t="s">
        <v>27</v>
      </c>
      <c r="G248" s="9" t="s">
        <v>27</v>
      </c>
      <c r="H248" s="11" t="n">
        <v>24</v>
      </c>
      <c r="I248" s="11" t="s">
        <v>328</v>
      </c>
      <c r="J248" s="14" t="n">
        <v>208</v>
      </c>
      <c r="K248" s="14"/>
      <c r="L248" s="16"/>
      <c r="M248" s="27" t="n">
        <f aca="false">J248+(K248/20)+(L248/240)</f>
        <v>208</v>
      </c>
      <c r="N248" s="17" t="s">
        <v>64</v>
      </c>
      <c r="O248" s="11" t="s">
        <v>277</v>
      </c>
      <c r="P248" s="28" t="n">
        <f aca="false">1504/100</f>
        <v>15.04</v>
      </c>
      <c r="Q248" s="28" t="n">
        <v>3128</v>
      </c>
      <c r="R248" s="28"/>
      <c r="S248" s="28" t="n">
        <f aca="false">R248*$M248</f>
        <v>0</v>
      </c>
      <c r="T248" s="28"/>
      <c r="U248" s="28" t="n">
        <f aca="false">T248*$M248</f>
        <v>0</v>
      </c>
      <c r="V248" s="28" t="n">
        <f aca="false">536/100</f>
        <v>5.36</v>
      </c>
      <c r="W248" s="28" t="n">
        <v>1115</v>
      </c>
      <c r="X248" s="28" t="n">
        <f aca="false">1983/100</f>
        <v>19.83</v>
      </c>
      <c r="Y248" s="28" t="n">
        <v>4125</v>
      </c>
      <c r="Z248" s="28" t="n">
        <f aca="false">37641/100</f>
        <v>376.41</v>
      </c>
      <c r="AA248" s="28" t="n">
        <v>78293</v>
      </c>
      <c r="AB248" s="28" t="n">
        <f aca="false">1281/100</f>
        <v>12.81</v>
      </c>
      <c r="AC248" s="28" t="n">
        <v>2664</v>
      </c>
      <c r="AD248" s="28"/>
      <c r="AE248" s="28" t="n">
        <f aca="false">AD248*$M248</f>
        <v>0</v>
      </c>
      <c r="AF248" s="28"/>
      <c r="AG248" s="28" t="n">
        <f aca="false">AF248*$M248</f>
        <v>0</v>
      </c>
      <c r="AH248" s="28"/>
      <c r="AI248" s="28" t="n">
        <f aca="false">AH248*$M248</f>
        <v>0</v>
      </c>
      <c r="AJ248" s="28"/>
      <c r="AK248" s="28" t="n">
        <f aca="false">AJ248*$M248</f>
        <v>0</v>
      </c>
      <c r="AL248" s="28" t="n">
        <f aca="false">20789/100</f>
        <v>207.89</v>
      </c>
      <c r="AM248" s="28" t="n">
        <v>43241</v>
      </c>
      <c r="AN248" s="28" t="n">
        <f aca="false">2470/100</f>
        <v>24.7</v>
      </c>
      <c r="AO248" s="28" t="n">
        <v>5138</v>
      </c>
      <c r="AP248" s="28"/>
      <c r="AQ248" s="28" t="n">
        <f aca="false">AP248*$M248</f>
        <v>0</v>
      </c>
      <c r="AR248" s="28"/>
      <c r="AS248" s="28" t="n">
        <f aca="false">AR248*$M248</f>
        <v>0</v>
      </c>
      <c r="AT248" s="28"/>
      <c r="AU248" s="28" t="n">
        <f aca="false">AT248*$M248</f>
        <v>0</v>
      </c>
      <c r="AV248" s="28"/>
      <c r="AW248" s="28" t="n">
        <f aca="false">AV248*$M248</f>
        <v>0</v>
      </c>
      <c r="AX248" s="28"/>
      <c r="AY248" s="28" t="n">
        <f aca="false">AX248*$M248</f>
        <v>0</v>
      </c>
      <c r="AZ248" s="28"/>
      <c r="BA248" s="28" t="n">
        <f aca="false">AZ248*$M248</f>
        <v>0</v>
      </c>
      <c r="BB248" s="30" t="n">
        <f aca="false">64700/100</f>
        <v>647</v>
      </c>
      <c r="BC248" s="11" t="n">
        <v>134576</v>
      </c>
      <c r="BD248" s="31" t="n">
        <f aca="false">SUM(S248,U248,W248,Y248,AA248,AC248,AE248,AG248,AI248,AK248,AM248,AO248,AQ248,AS248,AU248,AW248,AY248,BA248)</f>
        <v>134576</v>
      </c>
      <c r="BE248" s="28" t="n">
        <f aca="false">BC248-BD248</f>
        <v>0</v>
      </c>
      <c r="BF248" s="32" t="n">
        <f aca="false">SUM(R248,T248,V248,X248,Z248,AB248,AD248,AF248,AH248,AJ248,AL248,AN248,AP248,AR248,AT248,AV248,AX248,AZ248)</f>
        <v>647</v>
      </c>
      <c r="BG248" s="33" t="n">
        <f aca="false">BB248-BF248</f>
        <v>0</v>
      </c>
      <c r="BH248" s="34" t="n">
        <f aca="false">BF248*M248</f>
        <v>134576</v>
      </c>
      <c r="BI248" s="35" t="n">
        <f aca="false">BC248-BH248</f>
        <v>0</v>
      </c>
      <c r="BJ248" s="19" t="str">
        <f aca="false">IF(BI248=0,"",IF(BI248&lt;&gt;BC248,"erreur de calcul",IF(BF248&lt;&gt;0,"pas de prix",IF(M248&lt;&gt; 0,"pas de quantité","pas de prix, ni de quantité"))))</f>
        <v/>
      </c>
      <c r="BK248" s="19"/>
    </row>
    <row r="249" customFormat="false" ht="16" hidden="false" customHeight="false" outlineLevel="0" collapsed="false">
      <c r="A249" s="0" t="n">
        <v>1</v>
      </c>
      <c r="B249" s="8" t="s">
        <v>24</v>
      </c>
      <c r="C249" s="9" t="s">
        <v>25</v>
      </c>
      <c r="D249" s="9" t="s">
        <v>26</v>
      </c>
      <c r="E249" s="10" t="n">
        <v>1789</v>
      </c>
      <c r="F249" s="9" t="s">
        <v>27</v>
      </c>
      <c r="G249" s="9" t="s">
        <v>27</v>
      </c>
      <c r="H249" s="11" t="n">
        <v>25</v>
      </c>
      <c r="I249" s="11" t="s">
        <v>329</v>
      </c>
      <c r="J249" s="14" t="n">
        <v>30</v>
      </c>
      <c r="K249" s="14"/>
      <c r="L249" s="16"/>
      <c r="M249" s="27" t="n">
        <f aca="false">J249+(K249/20)+(L249/240)</f>
        <v>30</v>
      </c>
      <c r="N249" s="17" t="s">
        <v>64</v>
      </c>
      <c r="O249" s="11"/>
      <c r="P249" s="28"/>
      <c r="Q249" s="28" t="str">
        <f aca="false">IF(O249&lt;&gt;"",P249*M249,"")</f>
        <v/>
      </c>
      <c r="R249" s="28" t="n">
        <f aca="false">888/100</f>
        <v>8.88</v>
      </c>
      <c r="S249" s="28" t="n">
        <v>266</v>
      </c>
      <c r="T249" s="28"/>
      <c r="U249" s="28" t="n">
        <f aca="false">T249*$M249</f>
        <v>0</v>
      </c>
      <c r="V249" s="28" t="n">
        <f aca="false">1151/100</f>
        <v>11.51</v>
      </c>
      <c r="W249" s="28" t="n">
        <v>345</v>
      </c>
      <c r="X249" s="28"/>
      <c r="Y249" s="28" t="n">
        <f aca="false">X249*$M249</f>
        <v>0</v>
      </c>
      <c r="Z249" s="28"/>
      <c r="AA249" s="28" t="n">
        <f aca="false">Z249*$M249</f>
        <v>0</v>
      </c>
      <c r="AB249" s="28"/>
      <c r="AC249" s="28" t="n">
        <f aca="false">AB249*$M249</f>
        <v>0</v>
      </c>
      <c r="AD249" s="28"/>
      <c r="AE249" s="28" t="n">
        <f aca="false">AD249*$M249</f>
        <v>0</v>
      </c>
      <c r="AF249" s="28"/>
      <c r="AG249" s="28" t="n">
        <f aca="false">AF249*$M249</f>
        <v>0</v>
      </c>
      <c r="AH249" s="28"/>
      <c r="AI249" s="28" t="n">
        <f aca="false">AH249*$M249</f>
        <v>0</v>
      </c>
      <c r="AJ249" s="28"/>
      <c r="AK249" s="28" t="n">
        <f aca="false">AJ249*$M249</f>
        <v>0</v>
      </c>
      <c r="AL249" s="28"/>
      <c r="AM249" s="28" t="n">
        <f aca="false">AL249*$M249</f>
        <v>0</v>
      </c>
      <c r="AN249" s="28"/>
      <c r="AO249" s="28" t="n">
        <f aca="false">AN249*$M249</f>
        <v>0</v>
      </c>
      <c r="AP249" s="28"/>
      <c r="AQ249" s="28" t="n">
        <f aca="false">AP249*$M249</f>
        <v>0</v>
      </c>
      <c r="AR249" s="28"/>
      <c r="AS249" s="28" t="n">
        <f aca="false">AR249*$M249</f>
        <v>0</v>
      </c>
      <c r="AT249" s="28"/>
      <c r="AU249" s="28" t="n">
        <f aca="false">AT249*$M249</f>
        <v>0</v>
      </c>
      <c r="AV249" s="28"/>
      <c r="AW249" s="28" t="n">
        <f aca="false">AV249*$M249</f>
        <v>0</v>
      </c>
      <c r="AX249" s="28"/>
      <c r="AY249" s="28" t="n">
        <f aca="false">AX249*$M249</f>
        <v>0</v>
      </c>
      <c r="AZ249" s="28"/>
      <c r="BA249" s="28" t="n">
        <f aca="false">AZ249*$M249</f>
        <v>0</v>
      </c>
      <c r="BB249" s="30" t="n">
        <f aca="false">2039/100</f>
        <v>20.39</v>
      </c>
      <c r="BC249" s="11" t="n">
        <v>611</v>
      </c>
      <c r="BD249" s="31" t="n">
        <f aca="false">SUM(S249,U249,W249,Y249,AA249,AC249,AE249,AG249,AI249,AK249,AM249,AO249,AQ249,AS249,AU249,AW249,AY249,BA249)</f>
        <v>611</v>
      </c>
      <c r="BE249" s="28" t="n">
        <f aca="false">BC249-BD249</f>
        <v>0</v>
      </c>
      <c r="BF249" s="32" t="n">
        <f aca="false">SUM(R249,T249,V249,X249,Z249,AB249,AD249,AF249,AH249,AJ249,AL249,AN249,AP249,AR249,AT249,AV249,AX249,AZ249)</f>
        <v>20.39</v>
      </c>
      <c r="BG249" s="33" t="n">
        <f aca="false">BB249-BF249</f>
        <v>0</v>
      </c>
      <c r="BH249" s="34" t="n">
        <f aca="false">BF249*M249</f>
        <v>611.7</v>
      </c>
      <c r="BI249" s="35" t="n">
        <f aca="false">BC249-BH249</f>
        <v>-0.700000000000046</v>
      </c>
      <c r="BJ249" s="19" t="str">
        <f aca="false">IF(BI249=0,"",IF(BI249&lt;&gt;BC249,"erreur de calcul",IF(BF249&lt;&gt;0,"pas de prix",IF(M249&lt;&gt; 0,"pas de quantité","pas de prix, ni de quantité"))))</f>
        <v>erreur de calcul</v>
      </c>
      <c r="BK249" s="19"/>
    </row>
    <row r="250" customFormat="false" ht="16" hidden="false" customHeight="false" outlineLevel="0" collapsed="false">
      <c r="A250" s="0" t="n">
        <v>2</v>
      </c>
      <c r="B250" s="8" t="s">
        <v>24</v>
      </c>
      <c r="C250" s="9" t="s">
        <v>25</v>
      </c>
      <c r="D250" s="9" t="s">
        <v>26</v>
      </c>
      <c r="E250" s="10" t="n">
        <v>1789</v>
      </c>
      <c r="F250" s="9" t="s">
        <v>27</v>
      </c>
      <c r="G250" s="9" t="s">
        <v>27</v>
      </c>
      <c r="H250" s="11" t="n">
        <v>25</v>
      </c>
      <c r="I250" s="11" t="s">
        <v>330</v>
      </c>
      <c r="J250" s="14"/>
      <c r="K250" s="14" t="n">
        <v>20</v>
      </c>
      <c r="L250" s="16"/>
      <c r="M250" s="27" t="n">
        <f aca="false">J250+(K250/20)+(L250/240)</f>
        <v>1</v>
      </c>
      <c r="N250" s="17" t="s">
        <v>66</v>
      </c>
      <c r="O250" s="11"/>
      <c r="P250" s="28"/>
      <c r="Q250" s="28" t="str">
        <f aca="false">IF(O250&lt;&gt;"",P250*M250,"")</f>
        <v/>
      </c>
      <c r="R250" s="28"/>
      <c r="S250" s="28" t="n">
        <f aca="false">R250*$M250</f>
        <v>0</v>
      </c>
      <c r="T250" s="28"/>
      <c r="U250" s="28" t="n">
        <f aca="false">T250*$M250</f>
        <v>0</v>
      </c>
      <c r="V250" s="28"/>
      <c r="W250" s="28" t="n">
        <f aca="false">V250*$M250</f>
        <v>0</v>
      </c>
      <c r="X250" s="28"/>
      <c r="Y250" s="28" t="n">
        <f aca="false">X250*$M250</f>
        <v>0</v>
      </c>
      <c r="Z250" s="28"/>
      <c r="AA250" s="28" t="n">
        <f aca="false">Z250*$M250</f>
        <v>0</v>
      </c>
      <c r="AB250" s="28"/>
      <c r="AC250" s="28" t="n">
        <f aca="false">AB250*$M250</f>
        <v>0</v>
      </c>
      <c r="AD250" s="28"/>
      <c r="AE250" s="28" t="n">
        <f aca="false">AD250*$M250</f>
        <v>0</v>
      </c>
      <c r="AF250" s="28"/>
      <c r="AG250" s="28" t="n">
        <f aca="false">AF250*$M250</f>
        <v>0</v>
      </c>
      <c r="AH250" s="28"/>
      <c r="AI250" s="28" t="n">
        <f aca="false">AH250*$M250</f>
        <v>0</v>
      </c>
      <c r="AJ250" s="28"/>
      <c r="AK250" s="28" t="n">
        <f aca="false">AJ250*$M250</f>
        <v>0</v>
      </c>
      <c r="AL250" s="28" t="n">
        <v>4241</v>
      </c>
      <c r="AM250" s="28" t="n">
        <v>4241</v>
      </c>
      <c r="AN250" s="28"/>
      <c r="AO250" s="28" t="n">
        <f aca="false">AN250*$M250</f>
        <v>0</v>
      </c>
      <c r="AP250" s="28"/>
      <c r="AQ250" s="28" t="n">
        <f aca="false">AP250*$M250</f>
        <v>0</v>
      </c>
      <c r="AR250" s="28"/>
      <c r="AS250" s="28" t="n">
        <f aca="false">AR250*$M250</f>
        <v>0</v>
      </c>
      <c r="AT250" s="28"/>
      <c r="AU250" s="28" t="n">
        <f aca="false">AT250*$M250</f>
        <v>0</v>
      </c>
      <c r="AV250" s="28"/>
      <c r="AW250" s="28" t="n">
        <f aca="false">AV250*$M250</f>
        <v>0</v>
      </c>
      <c r="AX250" s="28"/>
      <c r="AY250" s="28" t="n">
        <f aca="false">AX250*$M250</f>
        <v>0</v>
      </c>
      <c r="AZ250" s="28"/>
      <c r="BA250" s="28" t="n">
        <f aca="false">AZ250*$M250</f>
        <v>0</v>
      </c>
      <c r="BB250" s="30" t="n">
        <v>4241</v>
      </c>
      <c r="BC250" s="11" t="n">
        <v>4241</v>
      </c>
      <c r="BD250" s="31" t="n">
        <f aca="false">SUM(S250,U250,W250,Y250,AA250,AC250,AE250,AG250,AI250,AK250,AM250,AO250,AQ250,AS250,AU250,AW250,AY250,BA250)</f>
        <v>4241</v>
      </c>
      <c r="BE250" s="28" t="n">
        <f aca="false">BC250-BD250</f>
        <v>0</v>
      </c>
      <c r="BF250" s="32" t="n">
        <f aca="false">SUM(R250,T250,V250,X250,Z250,AB250,AD250,AF250,AH250,AJ250,AL250,AN250,AP250,AR250,AT250,AV250,AX250,AZ250)</f>
        <v>4241</v>
      </c>
      <c r="BG250" s="33" t="n">
        <f aca="false">BB250-BF250</f>
        <v>0</v>
      </c>
      <c r="BH250" s="34" t="n">
        <f aca="false">BF250*M250</f>
        <v>4241</v>
      </c>
      <c r="BI250" s="35" t="n">
        <f aca="false">BC250-BH250</f>
        <v>0</v>
      </c>
      <c r="BJ250" s="19" t="str">
        <f aca="false">IF(BI250=0,"",IF(BI250&lt;&gt;BC250,"erreur de calcul",IF(BF250&lt;&gt;0,"pas de prix",IF(M250&lt;&gt; 0,"pas de quantité","pas de prix, ni de quantité"))))</f>
        <v/>
      </c>
      <c r="BK250" s="19"/>
    </row>
    <row r="251" customFormat="false" ht="16" hidden="false" customHeight="false" outlineLevel="0" collapsed="false">
      <c r="A251" s="0" t="n">
        <v>3</v>
      </c>
      <c r="B251" s="8" t="s">
        <v>24</v>
      </c>
      <c r="C251" s="9" t="s">
        <v>25</v>
      </c>
      <c r="D251" s="9" t="s">
        <v>26</v>
      </c>
      <c r="E251" s="10" t="n">
        <v>1789</v>
      </c>
      <c r="F251" s="9" t="s">
        <v>27</v>
      </c>
      <c r="G251" s="9" t="s">
        <v>27</v>
      </c>
      <c r="H251" s="11" t="n">
        <v>25</v>
      </c>
      <c r="I251" s="11" t="s">
        <v>331</v>
      </c>
      <c r="J251" s="14" t="n">
        <v>18</v>
      </c>
      <c r="K251" s="14"/>
      <c r="L251" s="16"/>
      <c r="M251" s="27" t="n">
        <f aca="false">J251+(K251/20)+(L251/240)</f>
        <v>18</v>
      </c>
      <c r="N251" s="17" t="s">
        <v>66</v>
      </c>
      <c r="O251" s="11" t="s">
        <v>98</v>
      </c>
      <c r="P251" s="28" t="n">
        <v>804</v>
      </c>
      <c r="Q251" s="28" t="n">
        <v>14472</v>
      </c>
      <c r="R251" s="28"/>
      <c r="S251" s="28" t="n">
        <f aca="false">R251*$M251</f>
        <v>0</v>
      </c>
      <c r="T251" s="28"/>
      <c r="U251" s="28" t="n">
        <f aca="false">T251*$M251</f>
        <v>0</v>
      </c>
      <c r="V251" s="28"/>
      <c r="W251" s="28" t="n">
        <f aca="false">V251*$M251</f>
        <v>0</v>
      </c>
      <c r="X251" s="28"/>
      <c r="Y251" s="28" t="n">
        <f aca="false">X251*$M251</f>
        <v>0</v>
      </c>
      <c r="Z251" s="28"/>
      <c r="AA251" s="28" t="n">
        <f aca="false">Z251*$M251</f>
        <v>0</v>
      </c>
      <c r="AB251" s="28"/>
      <c r="AC251" s="28" t="n">
        <f aca="false">AB251*$M251</f>
        <v>0</v>
      </c>
      <c r="AD251" s="28"/>
      <c r="AE251" s="28" t="n">
        <f aca="false">AD251*$M251</f>
        <v>0</v>
      </c>
      <c r="AF251" s="28"/>
      <c r="AG251" s="28" t="n">
        <f aca="false">AF251*$M251</f>
        <v>0</v>
      </c>
      <c r="AH251" s="28"/>
      <c r="AI251" s="28" t="n">
        <f aca="false">AH251*$M251</f>
        <v>0</v>
      </c>
      <c r="AJ251" s="28"/>
      <c r="AK251" s="28" t="n">
        <f aca="false">AJ251*$M251</f>
        <v>0</v>
      </c>
      <c r="AL251" s="28"/>
      <c r="AM251" s="28" t="n">
        <f aca="false">AL251*$M251</f>
        <v>0</v>
      </c>
      <c r="AN251" s="28"/>
      <c r="AO251" s="28" t="n">
        <f aca="false">AN251*$M251</f>
        <v>0</v>
      </c>
      <c r="AP251" s="28"/>
      <c r="AQ251" s="28" t="n">
        <f aca="false">AP251*$M251</f>
        <v>0</v>
      </c>
      <c r="AR251" s="28"/>
      <c r="AS251" s="28" t="n">
        <f aca="false">AR251*$M251</f>
        <v>0</v>
      </c>
      <c r="AT251" s="28"/>
      <c r="AU251" s="28" t="n">
        <f aca="false">AT251*$M251</f>
        <v>0</v>
      </c>
      <c r="AV251" s="28"/>
      <c r="AW251" s="28" t="n">
        <f aca="false">AV251*$M251</f>
        <v>0</v>
      </c>
      <c r="AX251" s="28"/>
      <c r="AY251" s="28" t="n">
        <f aca="false">AX251*$M251</f>
        <v>0</v>
      </c>
      <c r="AZ251" s="28"/>
      <c r="BA251" s="28" t="n">
        <f aca="false">AZ251*$M251</f>
        <v>0</v>
      </c>
      <c r="BB251" s="30"/>
      <c r="BC251" s="11"/>
      <c r="BD251" s="31" t="n">
        <f aca="false">SUM(S251,U251,W251,Y251,AA251,AC251,AE251,AG251,AI251,AK251,AM251,AO251,AQ251,AS251,AU251,AW251,AY251,BA251)</f>
        <v>0</v>
      </c>
      <c r="BE251" s="28" t="n">
        <f aca="false">BC251-BD251</f>
        <v>0</v>
      </c>
      <c r="BF251" s="32" t="n">
        <f aca="false">SUM(R251,T251,V251,X251,Z251,AB251,AD251,AF251,AH251,AJ251,AL251,AN251,AP251,AR251,AT251,AV251,AX251,AZ251)</f>
        <v>0</v>
      </c>
      <c r="BG251" s="33" t="n">
        <f aca="false">BB251-BF251</f>
        <v>0</v>
      </c>
      <c r="BH251" s="34" t="n">
        <f aca="false">BF251*M251</f>
        <v>0</v>
      </c>
      <c r="BI251" s="35" t="n">
        <f aca="false">BC251-BH251</f>
        <v>0</v>
      </c>
      <c r="BJ251" s="19" t="str">
        <f aca="false">IF(BI251=0,"",IF(BI251&lt;&gt;BC251,"erreur de calcul",IF(BF251&lt;&gt;0,"pas de prix",IF(M251&lt;&gt; 0,"pas de quantité","pas de prix, ni de quantité"))))</f>
        <v/>
      </c>
      <c r="BK251" s="19"/>
    </row>
    <row r="252" customFormat="false" ht="16" hidden="false" customHeight="false" outlineLevel="0" collapsed="false">
      <c r="A252" s="0" t="n">
        <v>4</v>
      </c>
      <c r="B252" s="8" t="s">
        <v>24</v>
      </c>
      <c r="C252" s="9" t="s">
        <v>25</v>
      </c>
      <c r="D252" s="9" t="s">
        <v>26</v>
      </c>
      <c r="E252" s="10" t="n">
        <v>1789</v>
      </c>
      <c r="F252" s="9" t="s">
        <v>27</v>
      </c>
      <c r="G252" s="9" t="s">
        <v>27</v>
      </c>
      <c r="H252" s="11" t="n">
        <v>25</v>
      </c>
      <c r="I252" s="11" t="s">
        <v>332</v>
      </c>
      <c r="J252" s="14" t="n">
        <v>18</v>
      </c>
      <c r="K252" s="14"/>
      <c r="L252" s="16"/>
      <c r="M252" s="27" t="n">
        <f aca="false">J252+(K252/20)+(L252/240)</f>
        <v>18</v>
      </c>
      <c r="N252" s="17" t="s">
        <v>66</v>
      </c>
      <c r="O252" s="11" t="s">
        <v>98</v>
      </c>
      <c r="P252" s="28" t="n">
        <v>145</v>
      </c>
      <c r="Q252" s="28" t="n">
        <v>2610</v>
      </c>
      <c r="R252" s="28"/>
      <c r="S252" s="28" t="n">
        <f aca="false">R252*$M252</f>
        <v>0</v>
      </c>
      <c r="T252" s="28"/>
      <c r="U252" s="28" t="n">
        <f aca="false">T252*$M252</f>
        <v>0</v>
      </c>
      <c r="V252" s="28"/>
      <c r="W252" s="28" t="n">
        <f aca="false">V252*$M252</f>
        <v>0</v>
      </c>
      <c r="X252" s="28"/>
      <c r="Y252" s="28" t="n">
        <f aca="false">X252*$M252</f>
        <v>0</v>
      </c>
      <c r="Z252" s="28"/>
      <c r="AA252" s="28" t="n">
        <f aca="false">Z252*$M252</f>
        <v>0</v>
      </c>
      <c r="AB252" s="28"/>
      <c r="AC252" s="28" t="n">
        <f aca="false">AB252*$M252</f>
        <v>0</v>
      </c>
      <c r="AD252" s="28"/>
      <c r="AE252" s="28" t="n">
        <f aca="false">AD252*$M252</f>
        <v>0</v>
      </c>
      <c r="AF252" s="28"/>
      <c r="AG252" s="28" t="n">
        <f aca="false">AF252*$M252</f>
        <v>0</v>
      </c>
      <c r="AH252" s="28"/>
      <c r="AI252" s="28" t="n">
        <f aca="false">AH252*$M252</f>
        <v>0</v>
      </c>
      <c r="AJ252" s="28"/>
      <c r="AK252" s="28" t="n">
        <f aca="false">AJ252*$M252</f>
        <v>0</v>
      </c>
      <c r="AL252" s="28"/>
      <c r="AM252" s="28" t="n">
        <f aca="false">AL252*$M252</f>
        <v>0</v>
      </c>
      <c r="AN252" s="28"/>
      <c r="AO252" s="28" t="n">
        <f aca="false">AN252*$M252</f>
        <v>0</v>
      </c>
      <c r="AP252" s="28"/>
      <c r="AQ252" s="28" t="n">
        <f aca="false">AP252*$M252</f>
        <v>0</v>
      </c>
      <c r="AR252" s="28"/>
      <c r="AS252" s="28" t="n">
        <f aca="false">AR252*$M252</f>
        <v>0</v>
      </c>
      <c r="AT252" s="28"/>
      <c r="AU252" s="28" t="n">
        <f aca="false">AT252*$M252</f>
        <v>0</v>
      </c>
      <c r="AV252" s="28"/>
      <c r="AW252" s="28" t="n">
        <f aca="false">AV252*$M252</f>
        <v>0</v>
      </c>
      <c r="AX252" s="28"/>
      <c r="AY252" s="28" t="n">
        <f aca="false">AX252*$M252</f>
        <v>0</v>
      </c>
      <c r="AZ252" s="28"/>
      <c r="BA252" s="28" t="n">
        <f aca="false">AZ252*$M252</f>
        <v>0</v>
      </c>
      <c r="BB252" s="30"/>
      <c r="BC252" s="11"/>
      <c r="BD252" s="31" t="n">
        <f aca="false">SUM(S252,U252,W252,Y252,AA252,AC252,AE252,AG252,AI252,AK252,AM252,AO252,AQ252,AS252,AU252,AW252,AY252,BA252)</f>
        <v>0</v>
      </c>
      <c r="BE252" s="28" t="n">
        <f aca="false">BC252-BD252</f>
        <v>0</v>
      </c>
      <c r="BF252" s="32" t="n">
        <f aca="false">SUM(R252,T252,V252,X252,Z252,AB252,AD252,AF252,AH252,AJ252,AL252,AN252,AP252,AR252,AT252,AV252,AX252,AZ252)</f>
        <v>0</v>
      </c>
      <c r="BG252" s="33" t="n">
        <f aca="false">BB252-BF252</f>
        <v>0</v>
      </c>
      <c r="BH252" s="34" t="n">
        <f aca="false">BF252*M252</f>
        <v>0</v>
      </c>
      <c r="BI252" s="35" t="n">
        <f aca="false">BC252-BH252</f>
        <v>0</v>
      </c>
      <c r="BJ252" s="19" t="str">
        <f aca="false">IF(BI252=0,"",IF(BI252&lt;&gt;BC252,"erreur de calcul",IF(BF252&lt;&gt;0,"pas de prix",IF(M252&lt;&gt; 0,"pas de quantité","pas de prix, ni de quantité"))))</f>
        <v/>
      </c>
      <c r="BK252" s="19"/>
    </row>
    <row r="253" customFormat="false" ht="16" hidden="false" customHeight="false" outlineLevel="0" collapsed="false">
      <c r="A253" s="0" t="n">
        <v>5</v>
      </c>
      <c r="B253" s="8" t="s">
        <v>24</v>
      </c>
      <c r="C253" s="9" t="s">
        <v>25</v>
      </c>
      <c r="D253" s="9" t="s">
        <v>26</v>
      </c>
      <c r="E253" s="10" t="n">
        <v>1789</v>
      </c>
      <c r="F253" s="9" t="s">
        <v>27</v>
      </c>
      <c r="G253" s="9" t="s">
        <v>27</v>
      </c>
      <c r="H253" s="11" t="n">
        <v>25</v>
      </c>
      <c r="I253" s="11" t="s">
        <v>333</v>
      </c>
      <c r="J253" s="14" t="n">
        <v>44</v>
      </c>
      <c r="K253" s="14"/>
      <c r="L253" s="16"/>
      <c r="M253" s="27" t="n">
        <f aca="false">J253+(K253/20)+(L253/240)</f>
        <v>44</v>
      </c>
      <c r="N253" s="17" t="s">
        <v>66</v>
      </c>
      <c r="O253" s="11"/>
      <c r="P253" s="28"/>
      <c r="Q253" s="28" t="str">
        <f aca="false">IF(O253&lt;&gt;"",P253*M253,"")</f>
        <v/>
      </c>
      <c r="R253" s="28" t="n">
        <v>1391</v>
      </c>
      <c r="S253" s="28" t="n">
        <v>61204</v>
      </c>
      <c r="T253" s="28"/>
      <c r="U253" s="28" t="n">
        <f aca="false">T253*$M253</f>
        <v>0</v>
      </c>
      <c r="V253" s="28"/>
      <c r="W253" s="28" t="n">
        <f aca="false">V253*$M253</f>
        <v>0</v>
      </c>
      <c r="X253" s="28"/>
      <c r="Y253" s="28" t="n">
        <f aca="false">X253*$M253</f>
        <v>0</v>
      </c>
      <c r="Z253" s="28"/>
      <c r="AA253" s="28" t="n">
        <f aca="false">Z253*$M253</f>
        <v>0</v>
      </c>
      <c r="AB253" s="28"/>
      <c r="AC253" s="28" t="n">
        <f aca="false">AB253*$M253</f>
        <v>0</v>
      </c>
      <c r="AD253" s="28"/>
      <c r="AE253" s="28" t="n">
        <f aca="false">AD253*$M253</f>
        <v>0</v>
      </c>
      <c r="AF253" s="28"/>
      <c r="AG253" s="28" t="n">
        <f aca="false">AF253*$M253</f>
        <v>0</v>
      </c>
      <c r="AH253" s="28"/>
      <c r="AI253" s="28" t="n">
        <f aca="false">AH253*$M253</f>
        <v>0</v>
      </c>
      <c r="AJ253" s="28"/>
      <c r="AK253" s="28" t="n">
        <f aca="false">AJ253*$M253</f>
        <v>0</v>
      </c>
      <c r="AL253" s="28"/>
      <c r="AM253" s="28" t="n">
        <f aca="false">AL253*$M253</f>
        <v>0</v>
      </c>
      <c r="AN253" s="28"/>
      <c r="AO253" s="28" t="n">
        <f aca="false">AN253*$M253</f>
        <v>0</v>
      </c>
      <c r="AP253" s="28"/>
      <c r="AQ253" s="28" t="n">
        <f aca="false">AP253*$M253</f>
        <v>0</v>
      </c>
      <c r="AR253" s="28"/>
      <c r="AS253" s="28" t="n">
        <f aca="false">AR253*$M253</f>
        <v>0</v>
      </c>
      <c r="AT253" s="28"/>
      <c r="AU253" s="28" t="n">
        <f aca="false">AT253*$M253</f>
        <v>0</v>
      </c>
      <c r="AV253" s="28"/>
      <c r="AW253" s="28" t="n">
        <f aca="false">AV253*$M253</f>
        <v>0</v>
      </c>
      <c r="AX253" s="28"/>
      <c r="AY253" s="28" t="n">
        <f aca="false">AX253*$M253</f>
        <v>0</v>
      </c>
      <c r="AZ253" s="28"/>
      <c r="BA253" s="28" t="n">
        <f aca="false">AZ253*$M253</f>
        <v>0</v>
      </c>
      <c r="BB253" s="30" t="n">
        <v>1391</v>
      </c>
      <c r="BC253" s="11" t="n">
        <v>61204</v>
      </c>
      <c r="BD253" s="31" t="n">
        <f aca="false">SUM(S253,U253,W253,Y253,AA253,AC253,AE253,AG253,AI253,AK253,AM253,AO253,AQ253,AS253,AU253,AW253,AY253,BA253)</f>
        <v>61204</v>
      </c>
      <c r="BE253" s="28" t="n">
        <f aca="false">BC253-BD253</f>
        <v>0</v>
      </c>
      <c r="BF253" s="32" t="n">
        <f aca="false">SUM(R253,T253,V253,X253,Z253,AB253,AD253,AF253,AH253,AJ253,AL253,AN253,AP253,AR253,AT253,AV253,AX253,AZ253)</f>
        <v>1391</v>
      </c>
      <c r="BG253" s="33" t="n">
        <f aca="false">BB253-BF253</f>
        <v>0</v>
      </c>
      <c r="BH253" s="34" t="n">
        <f aca="false">BF253*M253</f>
        <v>61204</v>
      </c>
      <c r="BI253" s="35" t="n">
        <f aca="false">BC253-BH253</f>
        <v>0</v>
      </c>
      <c r="BJ253" s="19" t="str">
        <f aca="false">IF(BI253=0,"",IF(BI253&lt;&gt;BC253,"erreur de calcul",IF(BF253&lt;&gt;0,"pas de prix",IF(M253&lt;&gt; 0,"pas de quantité","pas de prix, ni de quantité"))))</f>
        <v/>
      </c>
      <c r="BK253" s="19"/>
    </row>
    <row r="254" customFormat="false" ht="16" hidden="false" customHeight="false" outlineLevel="0" collapsed="false">
      <c r="A254" s="0" t="n">
        <v>6</v>
      </c>
      <c r="B254" s="8" t="s">
        <v>24</v>
      </c>
      <c r="C254" s="9" t="s">
        <v>25</v>
      </c>
      <c r="D254" s="9" t="s">
        <v>26</v>
      </c>
      <c r="E254" s="10" t="n">
        <v>1789</v>
      </c>
      <c r="F254" s="9" t="s">
        <v>27</v>
      </c>
      <c r="G254" s="9" t="s">
        <v>27</v>
      </c>
      <c r="H254" s="11" t="n">
        <v>25</v>
      </c>
      <c r="I254" s="11" t="s">
        <v>334</v>
      </c>
      <c r="J254" s="14" t="n">
        <v>12</v>
      </c>
      <c r="K254" s="14"/>
      <c r="L254" s="16"/>
      <c r="M254" s="27" t="n">
        <f aca="false">J254+(K254/20)+(L254/240)</f>
        <v>12</v>
      </c>
      <c r="N254" s="17" t="s">
        <v>64</v>
      </c>
      <c r="O254" s="11"/>
      <c r="P254" s="28"/>
      <c r="Q254" s="28" t="str">
        <f aca="false">IF(O254&lt;&gt;"",P254*M254,"")</f>
        <v/>
      </c>
      <c r="R254" s="28"/>
      <c r="S254" s="28" t="n">
        <f aca="false">R254*$M254</f>
        <v>0</v>
      </c>
      <c r="T254" s="28"/>
      <c r="U254" s="28" t="n">
        <f aca="false">T254*$M254</f>
        <v>0</v>
      </c>
      <c r="V254" s="28"/>
      <c r="W254" s="28" t="n">
        <f aca="false">V254*$M254</f>
        <v>0</v>
      </c>
      <c r="X254" s="28"/>
      <c r="Y254" s="28" t="n">
        <f aca="false">X254*$M254</f>
        <v>0</v>
      </c>
      <c r="Z254" s="28" t="n">
        <f aca="false">1111/100</f>
        <v>11.11</v>
      </c>
      <c r="AA254" s="28" t="n">
        <v>133</v>
      </c>
      <c r="AB254" s="28"/>
      <c r="AC254" s="28" t="n">
        <f aca="false">AB254*$M254</f>
        <v>0</v>
      </c>
      <c r="AD254" s="28"/>
      <c r="AE254" s="28" t="n">
        <f aca="false">AD254*$M254</f>
        <v>0</v>
      </c>
      <c r="AF254" s="28"/>
      <c r="AG254" s="28" t="n">
        <f aca="false">AF254*$M254</f>
        <v>0</v>
      </c>
      <c r="AH254" s="28"/>
      <c r="AI254" s="28" t="n">
        <f aca="false">AH254*$M254</f>
        <v>0</v>
      </c>
      <c r="AJ254" s="28"/>
      <c r="AK254" s="28" t="n">
        <f aca="false">AJ254*$M254</f>
        <v>0</v>
      </c>
      <c r="AL254" s="28"/>
      <c r="AM254" s="28" t="n">
        <f aca="false">AL254*$M254</f>
        <v>0</v>
      </c>
      <c r="AN254" s="28"/>
      <c r="AO254" s="28" t="n">
        <f aca="false">AN254*$M254</f>
        <v>0</v>
      </c>
      <c r="AP254" s="28"/>
      <c r="AQ254" s="28" t="n">
        <f aca="false">AP254*$M254</f>
        <v>0</v>
      </c>
      <c r="AR254" s="28"/>
      <c r="AS254" s="28" t="n">
        <f aca="false">AR254*$M254</f>
        <v>0</v>
      </c>
      <c r="AT254" s="28"/>
      <c r="AU254" s="28" t="n">
        <f aca="false">AT254*$M254</f>
        <v>0</v>
      </c>
      <c r="AV254" s="28"/>
      <c r="AW254" s="28" t="n">
        <f aca="false">AV254*$M254</f>
        <v>0</v>
      </c>
      <c r="AX254" s="28"/>
      <c r="AY254" s="28" t="n">
        <f aca="false">AX254*$M254</f>
        <v>0</v>
      </c>
      <c r="AZ254" s="28"/>
      <c r="BA254" s="28" t="n">
        <f aca="false">AZ254*$M254</f>
        <v>0</v>
      </c>
      <c r="BB254" s="30" t="n">
        <f aca="false">1111/100</f>
        <v>11.11</v>
      </c>
      <c r="BC254" s="11" t="n">
        <v>133</v>
      </c>
      <c r="BD254" s="31" t="n">
        <f aca="false">SUM(S254,U254,W254,Y254,AA254,AC254,AE254,AG254,AI254,AK254,AM254,AO254,AQ254,AS254,AU254,AW254,AY254,BA254)</f>
        <v>133</v>
      </c>
      <c r="BE254" s="28" t="n">
        <f aca="false">BC254-BD254</f>
        <v>0</v>
      </c>
      <c r="BF254" s="32" t="n">
        <f aca="false">SUM(R254,T254,V254,X254,Z254,AB254,AD254,AF254,AH254,AJ254,AL254,AN254,AP254,AR254,AT254,AV254,AX254,AZ254)</f>
        <v>11.11</v>
      </c>
      <c r="BG254" s="33" t="n">
        <f aca="false">BB254-BF254</f>
        <v>0</v>
      </c>
      <c r="BH254" s="34" t="n">
        <f aca="false">BF254*M254</f>
        <v>133.32</v>
      </c>
      <c r="BI254" s="35" t="n">
        <f aca="false">BC254-BH254</f>
        <v>-0.319999999999993</v>
      </c>
      <c r="BJ254" s="19" t="str">
        <f aca="false">IF(BI254=0,"",IF(BI254&lt;&gt;BC254,"erreur de calcul",IF(BF254&lt;&gt;0,"pas de prix",IF(M254&lt;&gt; 0,"pas de quantité","pas de prix, ni de quantité"))))</f>
        <v>erreur de calcul</v>
      </c>
      <c r="BK254" s="19"/>
    </row>
    <row r="255" customFormat="false" ht="16" hidden="false" customHeight="false" outlineLevel="0" collapsed="false">
      <c r="A255" s="0" t="n">
        <v>7</v>
      </c>
      <c r="B255" s="8" t="s">
        <v>24</v>
      </c>
      <c r="C255" s="9" t="s">
        <v>25</v>
      </c>
      <c r="D255" s="9" t="s">
        <v>26</v>
      </c>
      <c r="E255" s="10" t="n">
        <v>1789</v>
      </c>
      <c r="F255" s="9" t="s">
        <v>27</v>
      </c>
      <c r="G255" s="9" t="s">
        <v>27</v>
      </c>
      <c r="H255" s="11" t="n">
        <v>25</v>
      </c>
      <c r="I255" s="11" t="s">
        <v>335</v>
      </c>
      <c r="J255" s="14" t="n">
        <v>4</v>
      </c>
      <c r="K255" s="14" t="n">
        <v>10</v>
      </c>
      <c r="L255" s="16"/>
      <c r="M255" s="27" t="n">
        <f aca="false">J255+(K255/20)+(L255/240)</f>
        <v>4.5</v>
      </c>
      <c r="N255" s="17" t="s">
        <v>64</v>
      </c>
      <c r="O255" s="11" t="s">
        <v>77</v>
      </c>
      <c r="P255" s="28" t="n">
        <f aca="false">2334/100</f>
        <v>23.34</v>
      </c>
      <c r="Q255" s="28" t="n">
        <v>105</v>
      </c>
      <c r="R255" s="28" t="n">
        <f aca="false">8366/100</f>
        <v>83.66</v>
      </c>
      <c r="S255" s="28" t="n">
        <v>376</v>
      </c>
      <c r="T255" s="28"/>
      <c r="U255" s="28" t="n">
        <f aca="false">T255*$M255</f>
        <v>0</v>
      </c>
      <c r="V255" s="28"/>
      <c r="W255" s="28" t="n">
        <f aca="false">V255*$M255</f>
        <v>0</v>
      </c>
      <c r="X255" s="28"/>
      <c r="Y255" s="28" t="n">
        <f aca="false">X255*$M255</f>
        <v>0</v>
      </c>
      <c r="Z255" s="28"/>
      <c r="AA255" s="28" t="n">
        <f aca="false">Z255*$M255</f>
        <v>0</v>
      </c>
      <c r="AB255" s="28"/>
      <c r="AC255" s="28" t="n">
        <f aca="false">AB255*$M255</f>
        <v>0</v>
      </c>
      <c r="AD255" s="28"/>
      <c r="AE255" s="28" t="n">
        <f aca="false">AD255*$M255</f>
        <v>0</v>
      </c>
      <c r="AF255" s="28"/>
      <c r="AG255" s="28" t="n">
        <f aca="false">AF255*$M255</f>
        <v>0</v>
      </c>
      <c r="AH255" s="28"/>
      <c r="AI255" s="28" t="n">
        <f aca="false">AH255*$M255</f>
        <v>0</v>
      </c>
      <c r="AJ255" s="28"/>
      <c r="AK255" s="28" t="n">
        <f aca="false">AJ255*$M255</f>
        <v>0</v>
      </c>
      <c r="AL255" s="28"/>
      <c r="AM255" s="28" t="n">
        <f aca="false">AL255*$M255</f>
        <v>0</v>
      </c>
      <c r="AN255" s="28"/>
      <c r="AO255" s="28" t="n">
        <f aca="false">AN255*$M255</f>
        <v>0</v>
      </c>
      <c r="AP255" s="28"/>
      <c r="AQ255" s="28" t="n">
        <f aca="false">AP255*$M255</f>
        <v>0</v>
      </c>
      <c r="AR255" s="28"/>
      <c r="AS255" s="28" t="n">
        <f aca="false">AR255*$M255</f>
        <v>0</v>
      </c>
      <c r="AT255" s="28"/>
      <c r="AU255" s="28" t="n">
        <f aca="false">AT255*$M255</f>
        <v>0</v>
      </c>
      <c r="AV255" s="28"/>
      <c r="AW255" s="28" t="n">
        <f aca="false">AV255*$M255</f>
        <v>0</v>
      </c>
      <c r="AX255" s="28"/>
      <c r="AY255" s="28" t="n">
        <f aca="false">AX255*$M255</f>
        <v>0</v>
      </c>
      <c r="AZ255" s="28"/>
      <c r="BA255" s="28" t="n">
        <f aca="false">AZ255*$M255</f>
        <v>0</v>
      </c>
      <c r="BB255" s="30" t="n">
        <f aca="false">8366/100</f>
        <v>83.66</v>
      </c>
      <c r="BC255" s="11" t="n">
        <v>376</v>
      </c>
      <c r="BD255" s="31" t="n">
        <f aca="false">SUM(S255,U255,W255,Y255,AA255,AC255,AE255,AG255,AI255,AK255,AM255,AO255,AQ255,AS255,AU255,AW255,AY255,BA255)</f>
        <v>376</v>
      </c>
      <c r="BE255" s="28" t="n">
        <f aca="false">BC255-BD255</f>
        <v>0</v>
      </c>
      <c r="BF255" s="32" t="n">
        <f aca="false">SUM(R255,T255,V255,X255,Z255,AB255,AD255,AF255,AH255,AJ255,AL255,AN255,AP255,AR255,AT255,AV255,AX255,AZ255)</f>
        <v>83.66</v>
      </c>
      <c r="BG255" s="33" t="n">
        <f aca="false">BB255-BF255</f>
        <v>0</v>
      </c>
      <c r="BH255" s="34" t="n">
        <f aca="false">BF255*M255</f>
        <v>376.47</v>
      </c>
      <c r="BI255" s="35" t="n">
        <f aca="false">BC255-BH255</f>
        <v>-0.46999999999997</v>
      </c>
      <c r="BJ255" s="19" t="str">
        <f aca="false">IF(BI255=0,"",IF(BI255&lt;&gt;BC255,"erreur de calcul",IF(BF255&lt;&gt;0,"pas de prix",IF(M255&lt;&gt; 0,"pas de quantité","pas de prix, ni de quantité"))))</f>
        <v>erreur de calcul</v>
      </c>
      <c r="BK255" s="19"/>
    </row>
    <row r="256" customFormat="false" ht="16" hidden="false" customHeight="false" outlineLevel="0" collapsed="false">
      <c r="A256" s="0" t="n">
        <v>8</v>
      </c>
      <c r="B256" s="8" t="s">
        <v>24</v>
      </c>
      <c r="C256" s="9" t="s">
        <v>25</v>
      </c>
      <c r="D256" s="9" t="s">
        <v>26</v>
      </c>
      <c r="E256" s="10" t="n">
        <v>1789</v>
      </c>
      <c r="F256" s="9" t="s">
        <v>27</v>
      </c>
      <c r="G256" s="9" t="s">
        <v>27</v>
      </c>
      <c r="H256" s="11" t="n">
        <v>25</v>
      </c>
      <c r="I256" s="11" t="s">
        <v>336</v>
      </c>
      <c r="J256" s="14" t="n">
        <v>64</v>
      </c>
      <c r="K256" s="14"/>
      <c r="L256" s="16"/>
      <c r="M256" s="27" t="n">
        <f aca="false">J256+(K256/20)+(L256/240)</f>
        <v>64</v>
      </c>
      <c r="N256" s="17" t="s">
        <v>337</v>
      </c>
      <c r="O256" s="11"/>
      <c r="P256" s="28"/>
      <c r="Q256" s="28" t="str">
        <f aca="false">IF(O256&lt;&gt;"",P256*M256,"")</f>
        <v/>
      </c>
      <c r="R256" s="28"/>
      <c r="S256" s="28" t="n">
        <f aca="false">R256*$M256</f>
        <v>0</v>
      </c>
      <c r="T256" s="28"/>
      <c r="U256" s="28" t="n">
        <f aca="false">T256*$M256</f>
        <v>0</v>
      </c>
      <c r="V256" s="28" t="n">
        <v>42</v>
      </c>
      <c r="W256" s="28" t="n">
        <v>2688</v>
      </c>
      <c r="X256" s="28"/>
      <c r="Y256" s="28" t="n">
        <f aca="false">X256*$M256</f>
        <v>0</v>
      </c>
      <c r="Z256" s="28"/>
      <c r="AA256" s="28" t="n">
        <f aca="false">Z256*$M256</f>
        <v>0</v>
      </c>
      <c r="AB256" s="28"/>
      <c r="AC256" s="28" t="n">
        <f aca="false">AB256*$M256</f>
        <v>0</v>
      </c>
      <c r="AD256" s="28" t="n">
        <v>66</v>
      </c>
      <c r="AE256" s="28" t="n">
        <v>4224</v>
      </c>
      <c r="AF256" s="28"/>
      <c r="AG256" s="28" t="n">
        <f aca="false">AF256*$M256</f>
        <v>0</v>
      </c>
      <c r="AH256" s="28"/>
      <c r="AI256" s="28" t="n">
        <f aca="false">AH256*$M256</f>
        <v>0</v>
      </c>
      <c r="AJ256" s="28"/>
      <c r="AK256" s="28" t="n">
        <f aca="false">AJ256*$M256</f>
        <v>0</v>
      </c>
      <c r="AL256" s="28"/>
      <c r="AM256" s="28" t="n">
        <f aca="false">AL256*$M256</f>
        <v>0</v>
      </c>
      <c r="AN256" s="28"/>
      <c r="AO256" s="28" t="n">
        <f aca="false">AN256*$M256</f>
        <v>0</v>
      </c>
      <c r="AP256" s="28"/>
      <c r="AQ256" s="28" t="n">
        <f aca="false">AP256*$M256</f>
        <v>0</v>
      </c>
      <c r="AR256" s="28"/>
      <c r="AS256" s="28" t="n">
        <f aca="false">AR256*$M256</f>
        <v>0</v>
      </c>
      <c r="AT256" s="28"/>
      <c r="AU256" s="28" t="n">
        <f aca="false">AT256*$M256</f>
        <v>0</v>
      </c>
      <c r="AV256" s="28"/>
      <c r="AW256" s="28" t="n">
        <f aca="false">AV256*$M256</f>
        <v>0</v>
      </c>
      <c r="AX256" s="28"/>
      <c r="AY256" s="28" t="n">
        <f aca="false">AX256*$M256</f>
        <v>0</v>
      </c>
      <c r="AZ256" s="28"/>
      <c r="BA256" s="28" t="n">
        <f aca="false">AZ256*$M256</f>
        <v>0</v>
      </c>
      <c r="BB256" s="30" t="n">
        <v>108</v>
      </c>
      <c r="BC256" s="11" t="n">
        <v>6912</v>
      </c>
      <c r="BD256" s="31" t="n">
        <f aca="false">SUM(S256,U256,W256,Y256,AA256,AC256,AE256,AG256,AI256,AK256,AM256,AO256,AQ256,AS256,AU256,AW256,AY256,BA256)</f>
        <v>6912</v>
      </c>
      <c r="BE256" s="28" t="n">
        <f aca="false">BC256-BD256</f>
        <v>0</v>
      </c>
      <c r="BF256" s="32" t="n">
        <f aca="false">SUM(R256,T256,V256,X256,Z256,AB256,AD256,AF256,AH256,AJ256,AL256,AN256,AP256,AR256,AT256,AV256,AX256,AZ256)</f>
        <v>108</v>
      </c>
      <c r="BG256" s="33" t="n">
        <f aca="false">BB256-BF256</f>
        <v>0</v>
      </c>
      <c r="BH256" s="34" t="n">
        <f aca="false">BF256*M256</f>
        <v>6912</v>
      </c>
      <c r="BI256" s="35" t="n">
        <f aca="false">BC256-BH256</f>
        <v>0</v>
      </c>
      <c r="BJ256" s="19" t="str">
        <f aca="false">IF(BI256=0,"",IF(BI256&lt;&gt;BC256,"erreur de calcul",IF(BF256&lt;&gt;0,"pas de prix",IF(M256&lt;&gt; 0,"pas de quantité","pas de prix, ni de quantité"))))</f>
        <v/>
      </c>
      <c r="BK256" s="19"/>
    </row>
    <row r="257" customFormat="false" ht="16" hidden="false" customHeight="false" outlineLevel="0" collapsed="false">
      <c r="A257" s="0" t="n">
        <v>9</v>
      </c>
      <c r="B257" s="8" t="s">
        <v>24</v>
      </c>
      <c r="C257" s="9" t="s">
        <v>25</v>
      </c>
      <c r="D257" s="9" t="s">
        <v>26</v>
      </c>
      <c r="E257" s="10" t="n">
        <v>1789</v>
      </c>
      <c r="F257" s="9" t="s">
        <v>27</v>
      </c>
      <c r="G257" s="9" t="s">
        <v>27</v>
      </c>
      <c r="H257" s="11" t="n">
        <v>25</v>
      </c>
      <c r="I257" s="11" t="s">
        <v>338</v>
      </c>
      <c r="J257" s="14"/>
      <c r="K257" s="14"/>
      <c r="L257" s="16"/>
      <c r="M257" s="27" t="n">
        <f aca="false">J257+(K257/20)+(L257/240)</f>
        <v>0</v>
      </c>
      <c r="N257" s="17"/>
      <c r="O257" s="11"/>
      <c r="P257" s="28"/>
      <c r="Q257" s="28" t="str">
        <f aca="false">IF(O257&lt;&gt;"",P257*M257,"")</f>
        <v/>
      </c>
      <c r="R257" s="28"/>
      <c r="S257" s="28" t="n">
        <f aca="false">R257*$M257</f>
        <v>0</v>
      </c>
      <c r="T257" s="28"/>
      <c r="U257" s="28" t="n">
        <f aca="false">T257*$M257</f>
        <v>0</v>
      </c>
      <c r="V257" s="28"/>
      <c r="W257" s="28" t="n">
        <v>135</v>
      </c>
      <c r="X257" s="28"/>
      <c r="Y257" s="28" t="n">
        <v>642</v>
      </c>
      <c r="Z257" s="28"/>
      <c r="AA257" s="28" t="n">
        <f aca="false">Z257*$M257</f>
        <v>0</v>
      </c>
      <c r="AB257" s="28"/>
      <c r="AC257" s="28" t="n">
        <f aca="false">AB257*$M257</f>
        <v>0</v>
      </c>
      <c r="AD257" s="28"/>
      <c r="AE257" s="28" t="n">
        <f aca="false">AD257*$M257</f>
        <v>0</v>
      </c>
      <c r="AF257" s="28"/>
      <c r="AG257" s="28" t="n">
        <f aca="false">AF257*$M257</f>
        <v>0</v>
      </c>
      <c r="AH257" s="28"/>
      <c r="AI257" s="28" t="n">
        <f aca="false">AH257*$M257</f>
        <v>0</v>
      </c>
      <c r="AJ257" s="28"/>
      <c r="AK257" s="28" t="n">
        <f aca="false">AJ257*$M257</f>
        <v>0</v>
      </c>
      <c r="AL257" s="28"/>
      <c r="AM257" s="28" t="n">
        <v>375</v>
      </c>
      <c r="AN257" s="28"/>
      <c r="AO257" s="28" t="n">
        <f aca="false">AN257*$M257</f>
        <v>0</v>
      </c>
      <c r="AP257" s="28"/>
      <c r="AQ257" s="28" t="n">
        <f aca="false">AP257*$M257</f>
        <v>0</v>
      </c>
      <c r="AR257" s="28"/>
      <c r="AS257" s="28" t="n">
        <f aca="false">AR257*$M257</f>
        <v>0</v>
      </c>
      <c r="AT257" s="28"/>
      <c r="AU257" s="28" t="n">
        <f aca="false">AT257*$M257</f>
        <v>0</v>
      </c>
      <c r="AV257" s="28"/>
      <c r="AW257" s="28" t="n">
        <f aca="false">AV257*$M257</f>
        <v>0</v>
      </c>
      <c r="AX257" s="28"/>
      <c r="AY257" s="28" t="n">
        <v>765</v>
      </c>
      <c r="AZ257" s="28"/>
      <c r="BA257" s="28" t="n">
        <f aca="false">AZ257*$M257</f>
        <v>0</v>
      </c>
      <c r="BB257" s="30"/>
      <c r="BC257" s="11" t="n">
        <v>1917</v>
      </c>
      <c r="BD257" s="31" t="n">
        <f aca="false">SUM(S257,U257,W257,Y257,AA257,AC257,AE257,AG257,AI257,AK257,AM257,AO257,AQ257,AS257,AU257,AW257,AY257,BA257)</f>
        <v>1917</v>
      </c>
      <c r="BE257" s="28" t="n">
        <f aca="false">BC257-BD257</f>
        <v>0</v>
      </c>
      <c r="BF257" s="32" t="n">
        <f aca="false">SUM(R257,T257,V257,X257,Z257,AB257,AD257,AF257,AH257,AJ257,AL257,AN257,AP257,AR257,AT257,AV257,AX257,AZ257)</f>
        <v>0</v>
      </c>
      <c r="BG257" s="33" t="n">
        <f aca="false">BB257-BF257</f>
        <v>0</v>
      </c>
      <c r="BH257" s="34" t="n">
        <f aca="false">BF257*M257</f>
        <v>0</v>
      </c>
      <c r="BI257" s="35" t="n">
        <f aca="false">BC257-BH257</f>
        <v>1917</v>
      </c>
      <c r="BJ257" s="19" t="str">
        <f aca="false">IF(BI257=0,"",IF(BI257&lt;&gt;BC257,"erreur de calcul",IF(BF257&lt;&gt;0,"pas de prix",IF(M257&lt;&gt; 0,"pas de quantité","pas de prix, ni de quantité"))))</f>
        <v>pas de prix, ni de quantité</v>
      </c>
      <c r="BK257" s="19"/>
    </row>
    <row r="258" customFormat="false" ht="16" hidden="false" customHeight="false" outlineLevel="0" collapsed="false">
      <c r="A258" s="0" t="n">
        <v>10</v>
      </c>
      <c r="B258" s="8" t="s">
        <v>24</v>
      </c>
      <c r="C258" s="9" t="s">
        <v>25</v>
      </c>
      <c r="D258" s="9" t="s">
        <v>26</v>
      </c>
      <c r="E258" s="10" t="n">
        <v>1789</v>
      </c>
      <c r="F258" s="9" t="s">
        <v>27</v>
      </c>
      <c r="G258" s="9" t="s">
        <v>27</v>
      </c>
      <c r="H258" s="11" t="n">
        <v>25</v>
      </c>
      <c r="I258" s="11" t="s">
        <v>339</v>
      </c>
      <c r="J258" s="14" t="n">
        <v>7</v>
      </c>
      <c r="K258" s="14"/>
      <c r="L258" s="16"/>
      <c r="M258" s="27" t="n">
        <f aca="false">J258+(K258/20)+(L258/240)</f>
        <v>7</v>
      </c>
      <c r="N258" s="17" t="s">
        <v>69</v>
      </c>
      <c r="O258" s="11"/>
      <c r="P258" s="28"/>
      <c r="Q258" s="28" t="str">
        <f aca="false">IF(O258&lt;&gt;"",P258*M258,"")</f>
        <v/>
      </c>
      <c r="R258" s="28"/>
      <c r="S258" s="28" t="n">
        <f aca="false">R258*$M258</f>
        <v>0</v>
      </c>
      <c r="T258" s="28"/>
      <c r="U258" s="28" t="n">
        <f aca="false">T258*$M258</f>
        <v>0</v>
      </c>
      <c r="V258" s="28"/>
      <c r="W258" s="28" t="n">
        <f aca="false">V258*$M258</f>
        <v>0</v>
      </c>
      <c r="X258" s="28" t="n">
        <v>554</v>
      </c>
      <c r="Y258" s="28" t="n">
        <v>3878</v>
      </c>
      <c r="Z258" s="28"/>
      <c r="AA258" s="28" t="n">
        <f aca="false">Z258*$M258</f>
        <v>0</v>
      </c>
      <c r="AB258" s="28"/>
      <c r="AC258" s="28" t="n">
        <f aca="false">AB258*$M258</f>
        <v>0</v>
      </c>
      <c r="AD258" s="28"/>
      <c r="AE258" s="28" t="n">
        <f aca="false">AD258*$M258</f>
        <v>0</v>
      </c>
      <c r="AF258" s="28"/>
      <c r="AG258" s="28" t="n">
        <f aca="false">AF258*$M258</f>
        <v>0</v>
      </c>
      <c r="AH258" s="28"/>
      <c r="AI258" s="28" t="n">
        <f aca="false">AH258*$M258</f>
        <v>0</v>
      </c>
      <c r="AJ258" s="28"/>
      <c r="AK258" s="28" t="n">
        <f aca="false">AJ258*$M258</f>
        <v>0</v>
      </c>
      <c r="AL258" s="28"/>
      <c r="AM258" s="28" t="n">
        <f aca="false">AL258*$M258</f>
        <v>0</v>
      </c>
      <c r="AN258" s="28"/>
      <c r="AO258" s="28" t="n">
        <f aca="false">AN258*$M258</f>
        <v>0</v>
      </c>
      <c r="AP258" s="28"/>
      <c r="AQ258" s="28" t="n">
        <f aca="false">AP258*$M258</f>
        <v>0</v>
      </c>
      <c r="AR258" s="28"/>
      <c r="AS258" s="28" t="n">
        <f aca="false">AR258*$M258</f>
        <v>0</v>
      </c>
      <c r="AT258" s="28"/>
      <c r="AU258" s="28" t="n">
        <f aca="false">AT258*$M258</f>
        <v>0</v>
      </c>
      <c r="AV258" s="28"/>
      <c r="AW258" s="28" t="n">
        <f aca="false">AV258*$M258</f>
        <v>0</v>
      </c>
      <c r="AX258" s="28"/>
      <c r="AY258" s="28" t="n">
        <f aca="false">AX258*$M258</f>
        <v>0</v>
      </c>
      <c r="AZ258" s="28"/>
      <c r="BA258" s="28" t="n">
        <f aca="false">AZ258*$M258</f>
        <v>0</v>
      </c>
      <c r="BB258" s="30" t="n">
        <v>554</v>
      </c>
      <c r="BC258" s="11" t="n">
        <v>3878</v>
      </c>
      <c r="BD258" s="31" t="n">
        <f aca="false">SUM(S258,U258,W258,Y258,AA258,AC258,AE258,AG258,AI258,AK258,AM258,AO258,AQ258,AS258,AU258,AW258,AY258,BA258)</f>
        <v>3878</v>
      </c>
      <c r="BE258" s="28" t="n">
        <f aca="false">BC258-BD258</f>
        <v>0</v>
      </c>
      <c r="BF258" s="32" t="n">
        <f aca="false">SUM(R258,T258,V258,X258,Z258,AB258,AD258,AF258,AH258,AJ258,AL258,AN258,AP258,AR258,AT258,AV258,AX258,AZ258)</f>
        <v>554</v>
      </c>
      <c r="BG258" s="33" t="n">
        <f aca="false">BB258-BF258</f>
        <v>0</v>
      </c>
      <c r="BH258" s="34" t="n">
        <f aca="false">BF258*M258</f>
        <v>3878</v>
      </c>
      <c r="BI258" s="35" t="n">
        <f aca="false">BC258-BH258</f>
        <v>0</v>
      </c>
      <c r="BJ258" s="19" t="str">
        <f aca="false">IF(BI258=0,"",IF(BI258&lt;&gt;BC258,"erreur de calcul",IF(BF258&lt;&gt;0,"pas de prix",IF(M258&lt;&gt; 0,"pas de quantité","pas de prix, ni de quantité"))))</f>
        <v/>
      </c>
      <c r="BK258" s="19"/>
    </row>
    <row r="259" customFormat="false" ht="16" hidden="false" customHeight="false" outlineLevel="0" collapsed="false">
      <c r="A259" s="0" t="n">
        <v>11</v>
      </c>
      <c r="B259" s="8" t="s">
        <v>24</v>
      </c>
      <c r="C259" s="9" t="s">
        <v>25</v>
      </c>
      <c r="D259" s="9" t="s">
        <v>26</v>
      </c>
      <c r="E259" s="10" t="n">
        <v>1789</v>
      </c>
      <c r="F259" s="9" t="s">
        <v>27</v>
      </c>
      <c r="G259" s="9" t="s">
        <v>27</v>
      </c>
      <c r="H259" s="11" t="n">
        <v>25</v>
      </c>
      <c r="I259" s="11" t="s">
        <v>340</v>
      </c>
      <c r="J259" s="14" t="n">
        <v>15</v>
      </c>
      <c r="K259" s="14"/>
      <c r="L259" s="16"/>
      <c r="M259" s="27" t="n">
        <f aca="false">J259+(K259/20)+(L259/240)</f>
        <v>15</v>
      </c>
      <c r="N259" s="17" t="s">
        <v>64</v>
      </c>
      <c r="O259" s="11"/>
      <c r="P259" s="28"/>
      <c r="Q259" s="28" t="str">
        <f aca="false">IF(O259&lt;&gt;"",P259*M259,"")</f>
        <v/>
      </c>
      <c r="R259" s="28" t="n">
        <f aca="false">470959/100</f>
        <v>4709.59</v>
      </c>
      <c r="S259" s="28" t="n">
        <v>70644</v>
      </c>
      <c r="T259" s="28"/>
      <c r="U259" s="28" t="n">
        <f aca="false">T259*$M259</f>
        <v>0</v>
      </c>
      <c r="V259" s="28"/>
      <c r="W259" s="28" t="n">
        <f aca="false">V259*$M259</f>
        <v>0</v>
      </c>
      <c r="X259" s="28"/>
      <c r="Y259" s="28" t="n">
        <f aca="false">X259*$M259</f>
        <v>0</v>
      </c>
      <c r="Z259" s="28"/>
      <c r="AA259" s="28" t="n">
        <f aca="false">Z259*$M259</f>
        <v>0</v>
      </c>
      <c r="AB259" s="28"/>
      <c r="AC259" s="28" t="n">
        <f aca="false">AB259*$M259</f>
        <v>0</v>
      </c>
      <c r="AD259" s="28" t="n">
        <f aca="false">50000/100</f>
        <v>500</v>
      </c>
      <c r="AE259" s="28" t="n">
        <v>7500</v>
      </c>
      <c r="AF259" s="28"/>
      <c r="AG259" s="28" t="n">
        <f aca="false">AF259*$M259</f>
        <v>0</v>
      </c>
      <c r="AH259" s="28" t="n">
        <f aca="false">15584/100</f>
        <v>155.84</v>
      </c>
      <c r="AI259" s="28" t="n">
        <v>2338</v>
      </c>
      <c r="AJ259" s="28"/>
      <c r="AK259" s="28" t="n">
        <f aca="false">AJ259*$M259</f>
        <v>0</v>
      </c>
      <c r="AL259" s="28"/>
      <c r="AM259" s="28" t="n">
        <f aca="false">AL259*$M259</f>
        <v>0</v>
      </c>
      <c r="AN259" s="28"/>
      <c r="AO259" s="28" t="n">
        <f aca="false">AN259*$M259</f>
        <v>0</v>
      </c>
      <c r="AP259" s="28"/>
      <c r="AQ259" s="28" t="n">
        <f aca="false">AP259*$M259</f>
        <v>0</v>
      </c>
      <c r="AR259" s="28"/>
      <c r="AS259" s="28" t="n">
        <f aca="false">AR259*$M259</f>
        <v>0</v>
      </c>
      <c r="AT259" s="28"/>
      <c r="AU259" s="28" t="n">
        <f aca="false">AT259*$M259</f>
        <v>0</v>
      </c>
      <c r="AV259" s="28"/>
      <c r="AW259" s="28" t="n">
        <f aca="false">AV259*$M259</f>
        <v>0</v>
      </c>
      <c r="AX259" s="28"/>
      <c r="AY259" s="28" t="n">
        <f aca="false">AX259*$M259</f>
        <v>0</v>
      </c>
      <c r="AZ259" s="28"/>
      <c r="BA259" s="28" t="n">
        <f aca="false">AZ259*$M259</f>
        <v>0</v>
      </c>
      <c r="BB259" s="30" t="n">
        <f aca="false">535959/100</f>
        <v>5359.59</v>
      </c>
      <c r="BC259" s="11" t="n">
        <v>80482</v>
      </c>
      <c r="BD259" s="31" t="n">
        <f aca="false">SUM(S259,U259,W259,Y259,AA259,AC259,AE259,AG259,AI259,AK259,AM259,AO259,AQ259,AS259,AU259,AW259,AY259,BA259)</f>
        <v>80482</v>
      </c>
      <c r="BE259" s="28" t="n">
        <f aca="false">BC259-BD259</f>
        <v>0</v>
      </c>
      <c r="BF259" s="32" t="n">
        <f aca="false">SUM(R259,T259,V259,X259,Z259,AB259,AD259,AF259,AH259,AJ259,AL259,AN259,AP259,AR259,AT259,AV259,AX259,AZ259)</f>
        <v>5365.43</v>
      </c>
      <c r="BG259" s="33" t="n">
        <f aca="false">BB259-BF259</f>
        <v>-5.84000000000015</v>
      </c>
      <c r="BH259" s="34" t="n">
        <f aca="false">BF259*M259</f>
        <v>80481.45</v>
      </c>
      <c r="BI259" s="35" t="n">
        <f aca="false">BC259-BH259</f>
        <v>0.549999999988359</v>
      </c>
      <c r="BJ259" s="19" t="str">
        <f aca="false">IF(BI259=0,"",IF(BI259&lt;&gt;BC259,"erreur de calcul",IF(BF259&lt;&gt;0,"pas de prix",IF(M259&lt;&gt; 0,"pas de quantité","pas de prix, ni de quantité"))))</f>
        <v>erreur de calcul</v>
      </c>
      <c r="BK259" s="19"/>
    </row>
    <row r="260" customFormat="false" ht="16" hidden="false" customHeight="false" outlineLevel="0" collapsed="false">
      <c r="A260" s="0" t="n">
        <v>12</v>
      </c>
      <c r="B260" s="8" t="s">
        <v>24</v>
      </c>
      <c r="C260" s="9" t="s">
        <v>25</v>
      </c>
      <c r="D260" s="9" t="s">
        <v>26</v>
      </c>
      <c r="E260" s="10" t="n">
        <v>1789</v>
      </c>
      <c r="F260" s="9" t="s">
        <v>27</v>
      </c>
      <c r="G260" s="9" t="s">
        <v>27</v>
      </c>
      <c r="H260" s="11" t="n">
        <v>25</v>
      </c>
      <c r="I260" s="11" t="s">
        <v>341</v>
      </c>
      <c r="J260" s="14" t="n">
        <v>75</v>
      </c>
      <c r="K260" s="14"/>
      <c r="L260" s="16"/>
      <c r="M260" s="27" t="n">
        <f aca="false">J260+(K260/20)+(L260/240)</f>
        <v>75</v>
      </c>
      <c r="N260" s="17" t="s">
        <v>85</v>
      </c>
      <c r="O260" s="11"/>
      <c r="P260" s="28"/>
      <c r="Q260" s="28" t="str">
        <f aca="false">IF(O260&lt;&gt;"",P260*M260,"")</f>
        <v/>
      </c>
      <c r="R260" s="28"/>
      <c r="S260" s="28" t="n">
        <f aca="false">R260*$M260</f>
        <v>0</v>
      </c>
      <c r="T260" s="28"/>
      <c r="U260" s="28" t="n">
        <f aca="false">T260*$M260</f>
        <v>0</v>
      </c>
      <c r="V260" s="28"/>
      <c r="W260" s="28" t="n">
        <f aca="false">V260*$M260</f>
        <v>0</v>
      </c>
      <c r="X260" s="28"/>
      <c r="Y260" s="28" t="n">
        <f aca="false">X260*$M260</f>
        <v>0</v>
      </c>
      <c r="Z260" s="28"/>
      <c r="AA260" s="28" t="n">
        <f aca="false">Z260*$M260</f>
        <v>0</v>
      </c>
      <c r="AB260" s="28"/>
      <c r="AC260" s="28" t="n">
        <f aca="false">AB260*$M260</f>
        <v>0</v>
      </c>
      <c r="AD260" s="28"/>
      <c r="AE260" s="28" t="n">
        <f aca="false">AD260*$M260</f>
        <v>0</v>
      </c>
      <c r="AF260" s="28"/>
      <c r="AG260" s="28" t="n">
        <f aca="false">AF260*$M260</f>
        <v>0</v>
      </c>
      <c r="AH260" s="28"/>
      <c r="AI260" s="28" t="n">
        <f aca="false">AH260*$M260</f>
        <v>0</v>
      </c>
      <c r="AJ260" s="28"/>
      <c r="AK260" s="28" t="n">
        <f aca="false">AJ260*$M260</f>
        <v>0</v>
      </c>
      <c r="AL260" s="28"/>
      <c r="AM260" s="28" t="n">
        <f aca="false">AL260*$M260</f>
        <v>0</v>
      </c>
      <c r="AN260" s="28" t="n">
        <f aca="false">2584/100</f>
        <v>25.84</v>
      </c>
      <c r="AO260" s="28" t="n">
        <v>1938</v>
      </c>
      <c r="AP260" s="28"/>
      <c r="AQ260" s="28" t="n">
        <f aca="false">AP260*$M260</f>
        <v>0</v>
      </c>
      <c r="AR260" s="28"/>
      <c r="AS260" s="28" t="n">
        <f aca="false">AR260*$M260</f>
        <v>0</v>
      </c>
      <c r="AT260" s="28"/>
      <c r="AU260" s="28" t="n">
        <f aca="false">AT260*$M260</f>
        <v>0</v>
      </c>
      <c r="AV260" s="28"/>
      <c r="AW260" s="28" t="n">
        <f aca="false">AV260*$M260</f>
        <v>0</v>
      </c>
      <c r="AX260" s="28"/>
      <c r="AY260" s="28" t="n">
        <f aca="false">AX260*$M260</f>
        <v>0</v>
      </c>
      <c r="AZ260" s="28"/>
      <c r="BA260" s="28" t="n">
        <f aca="false">AZ260*$M260</f>
        <v>0</v>
      </c>
      <c r="BB260" s="30" t="n">
        <f aca="false">2584/100</f>
        <v>25.84</v>
      </c>
      <c r="BC260" s="11" t="n">
        <v>1938</v>
      </c>
      <c r="BD260" s="31" t="n">
        <f aca="false">SUM(S260,U260,W260,Y260,AA260,AC260,AE260,AG260,AI260,AK260,AM260,AO260,AQ260,AS260,AU260,AW260,AY260,BA260)</f>
        <v>1938</v>
      </c>
      <c r="BE260" s="28" t="n">
        <f aca="false">BC260-BD260</f>
        <v>0</v>
      </c>
      <c r="BF260" s="32" t="n">
        <f aca="false">SUM(R260,T260,V260,X260,Z260,AB260,AD260,AF260,AH260,AJ260,AL260,AN260,AP260,AR260,AT260,AV260,AX260,AZ260)</f>
        <v>25.84</v>
      </c>
      <c r="BG260" s="33" t="n">
        <f aca="false">BB260-BF260</f>
        <v>0</v>
      </c>
      <c r="BH260" s="34" t="n">
        <f aca="false">BF260*M260</f>
        <v>1938</v>
      </c>
      <c r="BI260" s="35" t="n">
        <f aca="false">BC260-BH260</f>
        <v>0</v>
      </c>
      <c r="BJ260" s="19" t="str">
        <f aca="false">IF(BI260=0,"",IF(BI260&lt;&gt;BC260,"erreur de calcul",IF(BF260&lt;&gt;0,"pas de prix",IF(M260&lt;&gt; 0,"pas de quantité","pas de prix, ni de quantité"))))</f>
        <v/>
      </c>
      <c r="BK260" s="19"/>
    </row>
    <row r="261" customFormat="false" ht="16" hidden="false" customHeight="false" outlineLevel="0" collapsed="false">
      <c r="A261" s="0" t="n">
        <v>13</v>
      </c>
      <c r="B261" s="8" t="s">
        <v>24</v>
      </c>
      <c r="C261" s="9" t="s">
        <v>25</v>
      </c>
      <c r="D261" s="9" t="s">
        <v>26</v>
      </c>
      <c r="E261" s="10" t="n">
        <v>1789</v>
      </c>
      <c r="F261" s="9" t="s">
        <v>27</v>
      </c>
      <c r="G261" s="9" t="s">
        <v>27</v>
      </c>
      <c r="H261" s="11" t="n">
        <v>25</v>
      </c>
      <c r="I261" s="11" t="s">
        <v>342</v>
      </c>
      <c r="J261" s="14" t="n">
        <v>10</v>
      </c>
      <c r="K261" s="14"/>
      <c r="L261" s="16"/>
      <c r="M261" s="27" t="n">
        <f aca="false">J261+(K261/20)+(L261/240)</f>
        <v>10</v>
      </c>
      <c r="N261" s="17" t="s">
        <v>66</v>
      </c>
      <c r="O261" s="11"/>
      <c r="P261" s="28"/>
      <c r="Q261" s="28" t="str">
        <f aca="false">IF(O261&lt;&gt;"",P261*M261,"")</f>
        <v/>
      </c>
      <c r="R261" s="28"/>
      <c r="S261" s="28" t="n">
        <f aca="false">R261*$M261</f>
        <v>0</v>
      </c>
      <c r="T261" s="28" t="n">
        <v>827</v>
      </c>
      <c r="U261" s="28" t="n">
        <v>8270</v>
      </c>
      <c r="V261" s="28"/>
      <c r="W261" s="28" t="n">
        <f aca="false">V261*$M261</f>
        <v>0</v>
      </c>
      <c r="X261" s="28"/>
      <c r="Y261" s="28" t="n">
        <f aca="false">X261*$M261</f>
        <v>0</v>
      </c>
      <c r="Z261" s="28"/>
      <c r="AA261" s="28" t="n">
        <f aca="false">Z261*$M261</f>
        <v>0</v>
      </c>
      <c r="AB261" s="28"/>
      <c r="AC261" s="28" t="n">
        <f aca="false">AB261*$M261</f>
        <v>0</v>
      </c>
      <c r="AD261" s="28"/>
      <c r="AE261" s="28" t="n">
        <f aca="false">AD261*$M261</f>
        <v>0</v>
      </c>
      <c r="AF261" s="28"/>
      <c r="AG261" s="28" t="n">
        <f aca="false">AF261*$M261</f>
        <v>0</v>
      </c>
      <c r="AH261" s="28"/>
      <c r="AI261" s="28" t="n">
        <f aca="false">AH261*$M261</f>
        <v>0</v>
      </c>
      <c r="AJ261" s="28"/>
      <c r="AK261" s="28" t="n">
        <f aca="false">AJ261*$M261</f>
        <v>0</v>
      </c>
      <c r="AL261" s="28"/>
      <c r="AM261" s="28" t="n">
        <f aca="false">AL261*$M261</f>
        <v>0</v>
      </c>
      <c r="AN261" s="28"/>
      <c r="AO261" s="28" t="n">
        <f aca="false">AN261*$M261</f>
        <v>0</v>
      </c>
      <c r="AP261" s="28"/>
      <c r="AQ261" s="28" t="n">
        <f aca="false">AP261*$M261</f>
        <v>0</v>
      </c>
      <c r="AR261" s="28"/>
      <c r="AS261" s="28" t="n">
        <f aca="false">AR261*$M261</f>
        <v>0</v>
      </c>
      <c r="AT261" s="28"/>
      <c r="AU261" s="28" t="n">
        <f aca="false">AT261*$M261</f>
        <v>0</v>
      </c>
      <c r="AV261" s="28"/>
      <c r="AW261" s="28" t="n">
        <f aca="false">AV261*$M261</f>
        <v>0</v>
      </c>
      <c r="AX261" s="28"/>
      <c r="AY261" s="28" t="n">
        <f aca="false">AX261*$M261</f>
        <v>0</v>
      </c>
      <c r="AZ261" s="28"/>
      <c r="BA261" s="28" t="n">
        <f aca="false">AZ261*$M261</f>
        <v>0</v>
      </c>
      <c r="BB261" s="30" t="n">
        <v>827</v>
      </c>
      <c r="BC261" s="11" t="n">
        <v>8270</v>
      </c>
      <c r="BD261" s="31" t="n">
        <f aca="false">SUM(S261,U261,W261,Y261,AA261,AC261,AE261,AG261,AI261,AK261,AM261,AO261,AQ261,AS261,AU261,AW261,AY261,BA261)</f>
        <v>8270</v>
      </c>
      <c r="BE261" s="28" t="n">
        <f aca="false">BC261-BD261</f>
        <v>0</v>
      </c>
      <c r="BF261" s="32" t="n">
        <f aca="false">SUM(R261,T261,V261,X261,Z261,AB261,AD261,AF261,AH261,AJ261,AL261,AN261,AP261,AR261,AT261,AV261,AX261,AZ261)</f>
        <v>827</v>
      </c>
      <c r="BG261" s="33" t="n">
        <f aca="false">BB261-BF261</f>
        <v>0</v>
      </c>
      <c r="BH261" s="34" t="n">
        <f aca="false">BF261*M261</f>
        <v>8270</v>
      </c>
      <c r="BI261" s="35" t="n">
        <f aca="false">BC261-BH261</f>
        <v>0</v>
      </c>
      <c r="BJ261" s="19" t="str">
        <f aca="false">IF(BI261=0,"",IF(BI261&lt;&gt;BC261,"erreur de calcul",IF(BF261&lt;&gt;0,"pas de prix",IF(M261&lt;&gt; 0,"pas de quantité","pas de prix, ni de quantité"))))</f>
        <v/>
      </c>
      <c r="BK261" s="19"/>
    </row>
    <row r="262" customFormat="false" ht="16" hidden="false" customHeight="false" outlineLevel="0" collapsed="false">
      <c r="A262" s="0" t="n">
        <v>14</v>
      </c>
      <c r="B262" s="8" t="s">
        <v>24</v>
      </c>
      <c r="C262" s="9" t="s">
        <v>25</v>
      </c>
      <c r="D262" s="9" t="s">
        <v>26</v>
      </c>
      <c r="E262" s="10" t="n">
        <v>1789</v>
      </c>
      <c r="F262" s="9" t="s">
        <v>27</v>
      </c>
      <c r="G262" s="9" t="s">
        <v>27</v>
      </c>
      <c r="H262" s="11" t="n">
        <v>25</v>
      </c>
      <c r="I262" s="11" t="s">
        <v>343</v>
      </c>
      <c r="J262" s="14" t="n">
        <v>4</v>
      </c>
      <c r="K262" s="14"/>
      <c r="L262" s="16"/>
      <c r="M262" s="27" t="n">
        <f aca="false">J262+(K262/20)+(L262/240)</f>
        <v>4</v>
      </c>
      <c r="N262" s="17" t="s">
        <v>69</v>
      </c>
      <c r="O262" s="11"/>
      <c r="P262" s="28"/>
      <c r="Q262" s="28" t="str">
        <f aca="false">IF(O262&lt;&gt;"",P262*M262,"")</f>
        <v/>
      </c>
      <c r="R262" s="28"/>
      <c r="S262" s="28" t="n">
        <f aca="false">R262*$M262</f>
        <v>0</v>
      </c>
      <c r="T262" s="28"/>
      <c r="U262" s="28" t="n">
        <f aca="false">T262*$M262</f>
        <v>0</v>
      </c>
      <c r="V262" s="28"/>
      <c r="W262" s="28" t="n">
        <f aca="false">V262*$M262</f>
        <v>0</v>
      </c>
      <c r="X262" s="28" t="n">
        <v>2198</v>
      </c>
      <c r="Y262" s="28" t="n">
        <v>8792</v>
      </c>
      <c r="Z262" s="28"/>
      <c r="AA262" s="28" t="n">
        <f aca="false">Z262*$M262</f>
        <v>0</v>
      </c>
      <c r="AB262" s="28"/>
      <c r="AC262" s="28" t="n">
        <f aca="false">AB262*$M262</f>
        <v>0</v>
      </c>
      <c r="AD262" s="28"/>
      <c r="AE262" s="28" t="n">
        <f aca="false">AD262*$M262</f>
        <v>0</v>
      </c>
      <c r="AF262" s="28"/>
      <c r="AG262" s="28" t="n">
        <f aca="false">AF262*$M262</f>
        <v>0</v>
      </c>
      <c r="AH262" s="28"/>
      <c r="AI262" s="28" t="n">
        <f aca="false">AH262*$M262</f>
        <v>0</v>
      </c>
      <c r="AJ262" s="28"/>
      <c r="AK262" s="28" t="n">
        <f aca="false">AJ262*$M262</f>
        <v>0</v>
      </c>
      <c r="AL262" s="28"/>
      <c r="AM262" s="28" t="n">
        <f aca="false">AL262*$M262</f>
        <v>0</v>
      </c>
      <c r="AN262" s="28"/>
      <c r="AO262" s="28" t="n">
        <f aca="false">AN262*$M262</f>
        <v>0</v>
      </c>
      <c r="AP262" s="28"/>
      <c r="AQ262" s="28" t="n">
        <f aca="false">AP262*$M262</f>
        <v>0</v>
      </c>
      <c r="AR262" s="28"/>
      <c r="AS262" s="28" t="n">
        <f aca="false">AR262*$M262</f>
        <v>0</v>
      </c>
      <c r="AT262" s="28"/>
      <c r="AU262" s="28" t="n">
        <f aca="false">AT262*$M262</f>
        <v>0</v>
      </c>
      <c r="AV262" s="28"/>
      <c r="AW262" s="28" t="n">
        <f aca="false">AV262*$M262</f>
        <v>0</v>
      </c>
      <c r="AX262" s="28"/>
      <c r="AY262" s="28" t="n">
        <f aca="false">AX262*$M262</f>
        <v>0</v>
      </c>
      <c r="AZ262" s="28"/>
      <c r="BA262" s="28" t="n">
        <f aca="false">AZ262*$M262</f>
        <v>0</v>
      </c>
      <c r="BB262" s="30" t="n">
        <v>2198</v>
      </c>
      <c r="BC262" s="11" t="n">
        <v>8792</v>
      </c>
      <c r="BD262" s="31" t="n">
        <f aca="false">SUM(S262,U262,W262,Y262,AA262,AC262,AE262,AG262,AI262,AK262,AM262,AO262,AQ262,AS262,AU262,AW262,AY262,BA262)</f>
        <v>8792</v>
      </c>
      <c r="BE262" s="28" t="n">
        <f aca="false">BC262-BD262</f>
        <v>0</v>
      </c>
      <c r="BF262" s="32" t="n">
        <f aca="false">SUM(R262,T262,V262,X262,Z262,AB262,AD262,AF262,AH262,AJ262,AL262,AN262,AP262,AR262,AT262,AV262,AX262,AZ262)</f>
        <v>2198</v>
      </c>
      <c r="BG262" s="33" t="n">
        <f aca="false">BB262-BF262</f>
        <v>0</v>
      </c>
      <c r="BH262" s="34" t="n">
        <f aca="false">BF262*M262</f>
        <v>8792</v>
      </c>
      <c r="BI262" s="35" t="n">
        <f aca="false">BC262-BH262</f>
        <v>0</v>
      </c>
      <c r="BJ262" s="19" t="str">
        <f aca="false">IF(BI262=0,"",IF(BI262&lt;&gt;BC262,"erreur de calcul",IF(BF262&lt;&gt;0,"pas de prix",IF(M262&lt;&gt; 0,"pas de quantité","pas de prix, ni de quantité"))))</f>
        <v/>
      </c>
      <c r="BK262" s="19"/>
    </row>
    <row r="263" customFormat="false" ht="16" hidden="false" customHeight="false" outlineLevel="0" collapsed="false">
      <c r="A263" s="0" t="n">
        <v>15</v>
      </c>
      <c r="B263" s="8" t="s">
        <v>24</v>
      </c>
      <c r="C263" s="9" t="s">
        <v>25</v>
      </c>
      <c r="D263" s="9" t="s">
        <v>26</v>
      </c>
      <c r="E263" s="10" t="n">
        <v>1789</v>
      </c>
      <c r="F263" s="9" t="s">
        <v>27</v>
      </c>
      <c r="G263" s="9" t="s">
        <v>27</v>
      </c>
      <c r="H263" s="11" t="n">
        <v>25</v>
      </c>
      <c r="I263" s="11" t="s">
        <v>344</v>
      </c>
      <c r="J263" s="14" t="n">
        <v>2000</v>
      </c>
      <c r="K263" s="14"/>
      <c r="L263" s="16"/>
      <c r="M263" s="27" t="n">
        <f aca="false">J263+(K263/20)+(L263/240)</f>
        <v>2000</v>
      </c>
      <c r="N263" s="17" t="s">
        <v>64</v>
      </c>
      <c r="O263" s="11" t="s">
        <v>277</v>
      </c>
      <c r="P263" s="28" t="n">
        <f aca="false">982/100</f>
        <v>9.82</v>
      </c>
      <c r="Q263" s="28" t="n">
        <v>19640</v>
      </c>
      <c r="R263" s="28"/>
      <c r="S263" s="28" t="n">
        <f aca="false">R263*$M263</f>
        <v>0</v>
      </c>
      <c r="T263" s="28"/>
      <c r="U263" s="28" t="n">
        <f aca="false">T263*$M263</f>
        <v>0</v>
      </c>
      <c r="V263" s="28"/>
      <c r="W263" s="28" t="n">
        <f aca="false">V263*$M263</f>
        <v>0</v>
      </c>
      <c r="X263" s="28"/>
      <c r="Y263" s="28" t="n">
        <f aca="false">X263*$M263</f>
        <v>0</v>
      </c>
      <c r="Z263" s="28"/>
      <c r="AA263" s="28" t="n">
        <f aca="false">Z263*$M263</f>
        <v>0</v>
      </c>
      <c r="AB263" s="28"/>
      <c r="AC263" s="28" t="n">
        <f aca="false">AB263*$M263</f>
        <v>0</v>
      </c>
      <c r="AD263" s="28"/>
      <c r="AE263" s="28" t="n">
        <f aca="false">AD263*$M263</f>
        <v>0</v>
      </c>
      <c r="AF263" s="28"/>
      <c r="AG263" s="28" t="n">
        <f aca="false">AF263*$M263</f>
        <v>0</v>
      </c>
      <c r="AH263" s="28"/>
      <c r="AI263" s="28" t="n">
        <f aca="false">AH263*$M263</f>
        <v>0</v>
      </c>
      <c r="AJ263" s="28"/>
      <c r="AK263" s="28" t="n">
        <f aca="false">AJ263*$M263</f>
        <v>0</v>
      </c>
      <c r="AL263" s="28"/>
      <c r="AM263" s="28" t="n">
        <f aca="false">AL263*$M263</f>
        <v>0</v>
      </c>
      <c r="AN263" s="28"/>
      <c r="AO263" s="28" t="n">
        <f aca="false">AN263*$M263</f>
        <v>0</v>
      </c>
      <c r="AP263" s="28"/>
      <c r="AQ263" s="28" t="n">
        <f aca="false">AP263*$M263</f>
        <v>0</v>
      </c>
      <c r="AR263" s="28"/>
      <c r="AS263" s="28" t="n">
        <f aca="false">AR263*$M263</f>
        <v>0</v>
      </c>
      <c r="AT263" s="28"/>
      <c r="AU263" s="28" t="n">
        <f aca="false">AT263*$M263</f>
        <v>0</v>
      </c>
      <c r="AV263" s="28"/>
      <c r="AW263" s="28" t="n">
        <f aca="false">AV263*$M263</f>
        <v>0</v>
      </c>
      <c r="AX263" s="28"/>
      <c r="AY263" s="28" t="n">
        <f aca="false">AX263*$M263</f>
        <v>0</v>
      </c>
      <c r="AZ263" s="28"/>
      <c r="BA263" s="28" t="n">
        <f aca="false">AZ263*$M263</f>
        <v>0</v>
      </c>
      <c r="BB263" s="30"/>
      <c r="BC263" s="11"/>
      <c r="BD263" s="31" t="n">
        <f aca="false">SUM(S263,U263,W263,Y263,AA263,AC263,AE263,AG263,AI263,AK263,AM263,AO263,AQ263,AS263,AU263,AW263,AY263,BA263)</f>
        <v>0</v>
      </c>
      <c r="BE263" s="28" t="n">
        <f aca="false">BC263-BD263</f>
        <v>0</v>
      </c>
      <c r="BF263" s="32" t="n">
        <f aca="false">SUM(R263,T263,V263,X263,Z263,AB263,AD263,AF263,AH263,AJ263,AL263,AN263,AP263,AR263,AT263,AV263,AX263,AZ263)</f>
        <v>0</v>
      </c>
      <c r="BG263" s="33" t="n">
        <f aca="false">BB263-BF263</f>
        <v>0</v>
      </c>
      <c r="BH263" s="34" t="n">
        <f aca="false">BF263*M263</f>
        <v>0</v>
      </c>
      <c r="BI263" s="35" t="n">
        <f aca="false">BC263-BH263</f>
        <v>0</v>
      </c>
      <c r="BJ263" s="19" t="str">
        <f aca="false">IF(BI263=0,"",IF(BI263&lt;&gt;BC263,"erreur de calcul",IF(BF263&lt;&gt;0,"pas de prix",IF(M263&lt;&gt; 0,"pas de quantité","pas de prix, ni de quantité"))))</f>
        <v/>
      </c>
      <c r="BK263" s="19"/>
    </row>
    <row r="264" customFormat="false" ht="16" hidden="false" customHeight="false" outlineLevel="0" collapsed="false">
      <c r="A264" s="0" t="n">
        <v>16</v>
      </c>
      <c r="B264" s="8" t="s">
        <v>24</v>
      </c>
      <c r="C264" s="9" t="s">
        <v>25</v>
      </c>
      <c r="D264" s="9" t="s">
        <v>26</v>
      </c>
      <c r="E264" s="10" t="n">
        <v>1789</v>
      </c>
      <c r="F264" s="9" t="s">
        <v>27</v>
      </c>
      <c r="G264" s="9" t="s">
        <v>27</v>
      </c>
      <c r="H264" s="11" t="n">
        <v>25</v>
      </c>
      <c r="I264" s="11" t="s">
        <v>344</v>
      </c>
      <c r="J264" s="14" t="n">
        <v>2000</v>
      </c>
      <c r="K264" s="14"/>
      <c r="L264" s="16"/>
      <c r="M264" s="27" t="n">
        <f aca="false">J264+(K264/20)+(L264/240)</f>
        <v>2000</v>
      </c>
      <c r="N264" s="17" t="s">
        <v>64</v>
      </c>
      <c r="O264" s="11" t="s">
        <v>98</v>
      </c>
      <c r="P264" s="28" t="n">
        <f aca="false">3347/100</f>
        <v>33.47</v>
      </c>
      <c r="Q264" s="28" t="n">
        <v>66940</v>
      </c>
      <c r="R264" s="28"/>
      <c r="S264" s="28" t="n">
        <f aca="false">R264*$M264</f>
        <v>0</v>
      </c>
      <c r="T264" s="28"/>
      <c r="U264" s="28" t="n">
        <f aca="false">T264*$M264</f>
        <v>0</v>
      </c>
      <c r="V264" s="28"/>
      <c r="W264" s="28" t="n">
        <f aca="false">V264*$M264</f>
        <v>0</v>
      </c>
      <c r="X264" s="28"/>
      <c r="Y264" s="28" t="n">
        <f aca="false">X264*$M264</f>
        <v>0</v>
      </c>
      <c r="Z264" s="28" t="n">
        <f aca="false">607/100</f>
        <v>6.07</v>
      </c>
      <c r="AA264" s="28" t="n">
        <f aca="false">Z264*$M264</f>
        <v>12140</v>
      </c>
      <c r="AB264" s="28"/>
      <c r="AC264" s="28" t="n">
        <f aca="false">AB264*$M264</f>
        <v>0</v>
      </c>
      <c r="AD264" s="28"/>
      <c r="AE264" s="28" t="n">
        <f aca="false">AD264*$M264</f>
        <v>0</v>
      </c>
      <c r="AF264" s="28"/>
      <c r="AG264" s="28" t="n">
        <f aca="false">AF264*$M264</f>
        <v>0</v>
      </c>
      <c r="AH264" s="28"/>
      <c r="AI264" s="28" t="n">
        <f aca="false">AH264*$M264</f>
        <v>0</v>
      </c>
      <c r="AJ264" s="28"/>
      <c r="AK264" s="28" t="n">
        <f aca="false">AJ264*$M264</f>
        <v>0</v>
      </c>
      <c r="AL264" s="28"/>
      <c r="AM264" s="28" t="n">
        <f aca="false">AL264*$M264</f>
        <v>0</v>
      </c>
      <c r="AN264" s="28" t="n">
        <f aca="false">145/100</f>
        <v>1.45</v>
      </c>
      <c r="AO264" s="28" t="n">
        <f aca="false">AN264*$M264</f>
        <v>2900</v>
      </c>
      <c r="AP264" s="28" t="n">
        <f aca="false">3865/100</f>
        <v>38.65</v>
      </c>
      <c r="AQ264" s="28" t="n">
        <v>77300</v>
      </c>
      <c r="AR264" s="28"/>
      <c r="AS264" s="28" t="n">
        <f aca="false">AR264*$M264</f>
        <v>0</v>
      </c>
      <c r="AT264" s="28"/>
      <c r="AU264" s="28" t="n">
        <f aca="false">AT264*$M264</f>
        <v>0</v>
      </c>
      <c r="AV264" s="28"/>
      <c r="AW264" s="28" t="n">
        <f aca="false">AV264*$M264</f>
        <v>0</v>
      </c>
      <c r="AX264" s="28"/>
      <c r="AY264" s="28" t="n">
        <f aca="false">AX264*$M264</f>
        <v>0</v>
      </c>
      <c r="AZ264" s="28"/>
      <c r="BA264" s="28" t="n">
        <f aca="false">AZ264*$M264</f>
        <v>0</v>
      </c>
      <c r="BB264" s="30" t="n">
        <f aca="false">4617/100</f>
        <v>46.17</v>
      </c>
      <c r="BC264" s="11" t="n">
        <v>92340</v>
      </c>
      <c r="BD264" s="31" t="n">
        <f aca="false">SUM(S264,U264,W264,Y264,AA264,AC264,AE264,AG264,AI264,AK264,AM264,AO264,AQ264,AS264,AU264,AW264,AY264,BA264)</f>
        <v>92340</v>
      </c>
      <c r="BE264" s="28" t="n">
        <f aca="false">BC264-BD264</f>
        <v>0</v>
      </c>
      <c r="BF264" s="32" t="n">
        <f aca="false">SUM(R264,T264,V264,X264,Z264,AB264,AD264,AF264,AH264,AJ264,AL264,AN264,AP264,AR264,AT264,AV264,AX264,AZ264)</f>
        <v>46.17</v>
      </c>
      <c r="BG264" s="33" t="n">
        <f aca="false">BB264-BF264</f>
        <v>0</v>
      </c>
      <c r="BH264" s="34" t="n">
        <f aca="false">BF264*M264</f>
        <v>92340</v>
      </c>
      <c r="BI264" s="35" t="n">
        <f aca="false">BC264-BH264</f>
        <v>0</v>
      </c>
      <c r="BJ264" s="19" t="str">
        <f aca="false">IF(BI264=0,"",IF(BI264&lt;&gt;BC264,"erreur de calcul",IF(BF264&lt;&gt;0,"pas de prix",IF(M264&lt;&gt; 0,"pas de quantité","pas de prix, ni de quantité"))))</f>
        <v/>
      </c>
      <c r="BK264" s="19"/>
    </row>
    <row r="265" customFormat="false" ht="16" hidden="false" customHeight="false" outlineLevel="0" collapsed="false">
      <c r="A265" s="0" t="n">
        <v>17</v>
      </c>
      <c r="B265" s="8" t="s">
        <v>24</v>
      </c>
      <c r="C265" s="9" t="s">
        <v>25</v>
      </c>
      <c r="D265" s="9" t="s">
        <v>26</v>
      </c>
      <c r="E265" s="10" t="n">
        <v>1789</v>
      </c>
      <c r="F265" s="9" t="s">
        <v>27</v>
      </c>
      <c r="G265" s="9" t="s">
        <v>27</v>
      </c>
      <c r="H265" s="11" t="n">
        <v>25</v>
      </c>
      <c r="I265" s="11" t="s">
        <v>345</v>
      </c>
      <c r="J265" s="14"/>
      <c r="K265" s="14" t="n">
        <v>12</v>
      </c>
      <c r="L265" s="16"/>
      <c r="M265" s="27" t="n">
        <f aca="false">J265+(K265/20)+(L265/240)</f>
        <v>0.6</v>
      </c>
      <c r="N265" s="17" t="s">
        <v>66</v>
      </c>
      <c r="O265" s="11"/>
      <c r="P265" s="28"/>
      <c r="Q265" s="28" t="str">
        <f aca="false">IF(O265&lt;&gt;"",P265*M265,"")</f>
        <v/>
      </c>
      <c r="R265" s="28"/>
      <c r="S265" s="28" t="n">
        <f aca="false">R265*$M265</f>
        <v>0</v>
      </c>
      <c r="T265" s="28"/>
      <c r="U265" s="28" t="n">
        <f aca="false">T265*$M265</f>
        <v>0</v>
      </c>
      <c r="V265" s="28"/>
      <c r="W265" s="28" t="n">
        <f aca="false">V265*$M265</f>
        <v>0</v>
      </c>
      <c r="X265" s="28"/>
      <c r="Y265" s="28" t="n">
        <f aca="false">X265*$M265</f>
        <v>0</v>
      </c>
      <c r="Z265" s="28"/>
      <c r="AA265" s="28" t="n">
        <f aca="false">Z265*$M265</f>
        <v>0</v>
      </c>
      <c r="AB265" s="28"/>
      <c r="AC265" s="28" t="n">
        <f aca="false">AB265*$M265</f>
        <v>0</v>
      </c>
      <c r="AD265" s="28"/>
      <c r="AE265" s="28" t="n">
        <f aca="false">AD265*$M265</f>
        <v>0</v>
      </c>
      <c r="AF265" s="28"/>
      <c r="AG265" s="28" t="n">
        <f aca="false">AF265*$M265</f>
        <v>0</v>
      </c>
      <c r="AH265" s="28"/>
      <c r="AI265" s="28" t="n">
        <f aca="false">AH265*$M265</f>
        <v>0</v>
      </c>
      <c r="AJ265" s="28"/>
      <c r="AK265" s="28" t="n">
        <f aca="false">AJ265*$M265</f>
        <v>0</v>
      </c>
      <c r="AL265" s="28" t="n">
        <v>41194</v>
      </c>
      <c r="AM265" s="28" t="n">
        <v>24716</v>
      </c>
      <c r="AN265" s="28"/>
      <c r="AO265" s="28" t="n">
        <f aca="false">AN265*$M265</f>
        <v>0</v>
      </c>
      <c r="AP265" s="28"/>
      <c r="AQ265" s="28" t="n">
        <f aca="false">AP265*$M265</f>
        <v>0</v>
      </c>
      <c r="AR265" s="28"/>
      <c r="AS265" s="28" t="n">
        <f aca="false">AR265*$M265</f>
        <v>0</v>
      </c>
      <c r="AT265" s="28"/>
      <c r="AU265" s="28" t="n">
        <f aca="false">AT265*$M265</f>
        <v>0</v>
      </c>
      <c r="AV265" s="28"/>
      <c r="AW265" s="28" t="n">
        <f aca="false">AV265*$M265</f>
        <v>0</v>
      </c>
      <c r="AX265" s="28"/>
      <c r="AY265" s="28" t="n">
        <f aca="false">AX265*$M265</f>
        <v>0</v>
      </c>
      <c r="AZ265" s="28"/>
      <c r="BA265" s="28" t="n">
        <f aca="false">AZ265*$M265</f>
        <v>0</v>
      </c>
      <c r="BB265" s="30" t="n">
        <v>41194</v>
      </c>
      <c r="BC265" s="11" t="n">
        <v>24716</v>
      </c>
      <c r="BD265" s="31" t="n">
        <f aca="false">SUM(S265,U265,W265,Y265,AA265,AC265,AE265,AG265,AI265,AK265,AM265,AO265,AQ265,AS265,AU265,AW265,AY265,BA265)</f>
        <v>24716</v>
      </c>
      <c r="BE265" s="28" t="n">
        <f aca="false">BC265-BD265</f>
        <v>0</v>
      </c>
      <c r="BF265" s="32" t="n">
        <f aca="false">SUM(R265,T265,V265,X265,Z265,AB265,AD265,AF265,AH265,AJ265,AL265,AN265,AP265,AR265,AT265,AV265,AX265,AZ265)</f>
        <v>41194</v>
      </c>
      <c r="BG265" s="33" t="n">
        <f aca="false">BB265-BF265</f>
        <v>0</v>
      </c>
      <c r="BH265" s="34" t="n">
        <f aca="false">BF265*M265</f>
        <v>24716.4</v>
      </c>
      <c r="BI265" s="35" t="n">
        <f aca="false">BC265-BH265</f>
        <v>-0.399999999997817</v>
      </c>
      <c r="BJ265" s="19" t="str">
        <f aca="false">IF(BI265=0,"",IF(BI265&lt;&gt;BC265,"erreur de calcul",IF(BF265&lt;&gt;0,"pas de prix",IF(M265&lt;&gt; 0,"pas de quantité","pas de prix, ni de quantité"))))</f>
        <v>erreur de calcul</v>
      </c>
      <c r="BK265" s="19"/>
    </row>
    <row r="266" customFormat="false" ht="16" hidden="false" customHeight="false" outlineLevel="0" collapsed="false">
      <c r="A266" s="0" t="n">
        <v>18</v>
      </c>
      <c r="B266" s="8" t="s">
        <v>24</v>
      </c>
      <c r="C266" s="9" t="s">
        <v>25</v>
      </c>
      <c r="D266" s="9" t="s">
        <v>26</v>
      </c>
      <c r="E266" s="10" t="n">
        <v>1789</v>
      </c>
      <c r="F266" s="9" t="s">
        <v>27</v>
      </c>
      <c r="G266" s="9" t="s">
        <v>27</v>
      </c>
      <c r="H266" s="11" t="n">
        <v>25</v>
      </c>
      <c r="I266" s="11" t="s">
        <v>346</v>
      </c>
      <c r="J266" s="14"/>
      <c r="K266" s="14" t="n">
        <v>50</v>
      </c>
      <c r="L266" s="16"/>
      <c r="M266" s="27" t="n">
        <f aca="false">J266+(K266/20)+(L266/240)</f>
        <v>2.5</v>
      </c>
      <c r="N266" s="17" t="s">
        <v>85</v>
      </c>
      <c r="O266" s="11"/>
      <c r="P266" s="28"/>
      <c r="Q266" s="28" t="str">
        <f aca="false">IF(O266&lt;&gt;"",P266*M266,"")</f>
        <v/>
      </c>
      <c r="R266" s="28" t="n">
        <f aca="false">371167/100</f>
        <v>3711.67</v>
      </c>
      <c r="S266" s="28" t="n">
        <v>9279</v>
      </c>
      <c r="T266" s="28"/>
      <c r="U266" s="28" t="n">
        <f aca="false">T266*$M266</f>
        <v>0</v>
      </c>
      <c r="V266" s="28"/>
      <c r="W266" s="28" t="n">
        <f aca="false">V266*$M266</f>
        <v>0</v>
      </c>
      <c r="X266" s="28"/>
      <c r="Y266" s="28" t="n">
        <f aca="false">X266*$M266</f>
        <v>0</v>
      </c>
      <c r="Z266" s="28"/>
      <c r="AA266" s="28" t="n">
        <f aca="false">Z266*$M266</f>
        <v>0</v>
      </c>
      <c r="AB266" s="28"/>
      <c r="AC266" s="28" t="n">
        <f aca="false">AB266*$M266</f>
        <v>0</v>
      </c>
      <c r="AD266" s="28"/>
      <c r="AE266" s="28" t="n">
        <f aca="false">AD266*$M266</f>
        <v>0</v>
      </c>
      <c r="AF266" s="28"/>
      <c r="AG266" s="28" t="n">
        <f aca="false">AF266*$M266</f>
        <v>0</v>
      </c>
      <c r="AH266" s="28"/>
      <c r="AI266" s="28" t="n">
        <f aca="false">AH266*$M266</f>
        <v>0</v>
      </c>
      <c r="AJ266" s="28"/>
      <c r="AK266" s="28" t="n">
        <f aca="false">AJ266*$M266</f>
        <v>0</v>
      </c>
      <c r="AL266" s="28"/>
      <c r="AM266" s="28" t="n">
        <f aca="false">AL266*$M266</f>
        <v>0</v>
      </c>
      <c r="AN266" s="28"/>
      <c r="AO266" s="28" t="n">
        <f aca="false">AN266*$M266</f>
        <v>0</v>
      </c>
      <c r="AP266" s="28"/>
      <c r="AQ266" s="28" t="n">
        <f aca="false">AP266*$M266</f>
        <v>0</v>
      </c>
      <c r="AR266" s="28"/>
      <c r="AS266" s="28" t="n">
        <f aca="false">AR266*$M266</f>
        <v>0</v>
      </c>
      <c r="AT266" s="28"/>
      <c r="AU266" s="28" t="n">
        <f aca="false">AT266*$M266</f>
        <v>0</v>
      </c>
      <c r="AV266" s="28"/>
      <c r="AW266" s="28" t="n">
        <f aca="false">AV266*$M266</f>
        <v>0</v>
      </c>
      <c r="AX266" s="28"/>
      <c r="AY266" s="28" t="n">
        <f aca="false">AX266*$M266</f>
        <v>0</v>
      </c>
      <c r="AZ266" s="28"/>
      <c r="BA266" s="28" t="n">
        <f aca="false">AZ266*$M266</f>
        <v>0</v>
      </c>
      <c r="BB266" s="30" t="n">
        <f aca="false">371167/100</f>
        <v>3711.67</v>
      </c>
      <c r="BC266" s="11" t="n">
        <v>9279</v>
      </c>
      <c r="BD266" s="31" t="n">
        <f aca="false">SUM(S266,U266,W266,Y266,AA266,AC266,AE266,AG266,AI266,AK266,AM266,AO266,AQ266,AS266,AU266,AW266,AY266,BA266)</f>
        <v>9279</v>
      </c>
      <c r="BE266" s="28" t="n">
        <f aca="false">BC266-BD266</f>
        <v>0</v>
      </c>
      <c r="BF266" s="32" t="n">
        <f aca="false">SUM(R266,T266,V266,X266,Z266,AB266,AD266,AF266,AH266,AJ266,AL266,AN266,AP266,AR266,AT266,AV266,AX266,AZ266)</f>
        <v>3711.67</v>
      </c>
      <c r="BG266" s="33" t="n">
        <f aca="false">BB266-BF266</f>
        <v>0</v>
      </c>
      <c r="BH266" s="34" t="n">
        <f aca="false">BF266*M266</f>
        <v>9279.175</v>
      </c>
      <c r="BI266" s="35" t="n">
        <f aca="false">BC266-BH266</f>
        <v>-0.174999999999272</v>
      </c>
      <c r="BJ266" s="19" t="str">
        <f aca="false">IF(BI266=0,"",IF(BI266&lt;&gt;BC266,"erreur de calcul",IF(BF266&lt;&gt;0,"pas de prix",IF(M266&lt;&gt; 0,"pas de quantité","pas de prix, ni de quantité"))))</f>
        <v>erreur de calcul</v>
      </c>
      <c r="BK266" s="19"/>
    </row>
    <row r="267" customFormat="false" ht="16" hidden="false" customHeight="false" outlineLevel="0" collapsed="false">
      <c r="A267" s="0" t="n">
        <v>19</v>
      </c>
      <c r="B267" s="8" t="s">
        <v>24</v>
      </c>
      <c r="C267" s="9" t="s">
        <v>25</v>
      </c>
      <c r="D267" s="9" t="s">
        <v>26</v>
      </c>
      <c r="E267" s="10" t="n">
        <v>1789</v>
      </c>
      <c r="F267" s="9" t="s">
        <v>27</v>
      </c>
      <c r="G267" s="9" t="s">
        <v>27</v>
      </c>
      <c r="H267" s="11" t="n">
        <v>25</v>
      </c>
      <c r="I267" s="11" t="s">
        <v>347</v>
      </c>
      <c r="J267" s="14" t="n">
        <v>60</v>
      </c>
      <c r="K267" s="14"/>
      <c r="L267" s="16"/>
      <c r="M267" s="27" t="n">
        <f aca="false">J267+(K267/20)+(L267/240)</f>
        <v>60</v>
      </c>
      <c r="N267" s="17" t="s">
        <v>64</v>
      </c>
      <c r="O267" s="11"/>
      <c r="P267" s="28"/>
      <c r="Q267" s="28" t="str">
        <f aca="false">IF(O267&lt;&gt;"",P267*M267,"")</f>
        <v/>
      </c>
      <c r="R267" s="28"/>
      <c r="S267" s="28" t="n">
        <f aca="false">R267*$M267</f>
        <v>0</v>
      </c>
      <c r="T267" s="28"/>
      <c r="U267" s="28" t="n">
        <f aca="false">T267*$M267</f>
        <v>0</v>
      </c>
      <c r="V267" s="28"/>
      <c r="W267" s="28" t="n">
        <f aca="false">V267*$M267</f>
        <v>0</v>
      </c>
      <c r="X267" s="28" t="n">
        <f aca="false">4151/100</f>
        <v>41.51</v>
      </c>
      <c r="Y267" s="28" t="n">
        <v>2491</v>
      </c>
      <c r="Z267" s="28" t="n">
        <f aca="false">13344/100</f>
        <v>133.44</v>
      </c>
      <c r="AA267" s="28" t="n">
        <v>8006</v>
      </c>
      <c r="AB267" s="28" t="n">
        <f aca="false">3323/100</f>
        <v>33.23</v>
      </c>
      <c r="AC267" s="28" t="n">
        <v>1994</v>
      </c>
      <c r="AD267" s="28"/>
      <c r="AE267" s="28" t="n">
        <f aca="false">AD267*$M267</f>
        <v>0</v>
      </c>
      <c r="AF267" s="28" t="n">
        <f aca="false">15268/100</f>
        <v>152.68</v>
      </c>
      <c r="AG267" s="28" t="n">
        <v>9161</v>
      </c>
      <c r="AH267" s="28"/>
      <c r="AI267" s="28" t="n">
        <f aca="false">AH267*$M267</f>
        <v>0</v>
      </c>
      <c r="AJ267" s="28"/>
      <c r="AK267" s="28" t="n">
        <f aca="false">AJ267*$M267</f>
        <v>0</v>
      </c>
      <c r="AL267" s="28"/>
      <c r="AM267" s="28" t="n">
        <f aca="false">AL267*$M267</f>
        <v>0</v>
      </c>
      <c r="AN267" s="28"/>
      <c r="AO267" s="28" t="n">
        <f aca="false">AN267*$M267</f>
        <v>0</v>
      </c>
      <c r="AP267" s="28"/>
      <c r="AQ267" s="28" t="n">
        <f aca="false">AP267*$M267</f>
        <v>0</v>
      </c>
      <c r="AR267" s="28"/>
      <c r="AS267" s="28" t="n">
        <f aca="false">AR267*$M267</f>
        <v>0</v>
      </c>
      <c r="AT267" s="28"/>
      <c r="AU267" s="28" t="n">
        <f aca="false">AT267*$M267</f>
        <v>0</v>
      </c>
      <c r="AV267" s="28"/>
      <c r="AW267" s="28" t="n">
        <f aca="false">AV267*$M267</f>
        <v>0</v>
      </c>
      <c r="AX267" s="28"/>
      <c r="AY267" s="28" t="n">
        <f aca="false">AX267*$M267</f>
        <v>0</v>
      </c>
      <c r="AZ267" s="28"/>
      <c r="BA267" s="28" t="n">
        <f aca="false">AZ267*$M267</f>
        <v>0</v>
      </c>
      <c r="BB267" s="30" t="n">
        <f aca="false">32763/100</f>
        <v>327.63</v>
      </c>
      <c r="BC267" s="11" t="n">
        <v>21652</v>
      </c>
      <c r="BD267" s="31" t="n">
        <f aca="false">SUM(S267,U267,W267,Y267,AA267,AC267,AE267,AG267,AI267,AK267,AM267,AO267,AQ267,AS267,AU267,AW267,AY267,BA267)</f>
        <v>21652</v>
      </c>
      <c r="BE267" s="28" t="n">
        <f aca="false">BC267-BD267</f>
        <v>0</v>
      </c>
      <c r="BF267" s="32" t="n">
        <f aca="false">SUM(R267,T267,V267,X267,Z267,AB267,AD267,AF267,AH267,AJ267,AL267,AN267,AP267,AR267,AT267,AV267,AX267,AZ267)</f>
        <v>360.86</v>
      </c>
      <c r="BG267" s="33" t="n">
        <f aca="false">BB267-BF267</f>
        <v>-33.23</v>
      </c>
      <c r="BH267" s="34" t="n">
        <f aca="false">BF267*M267</f>
        <v>21651.6</v>
      </c>
      <c r="BI267" s="35" t="n">
        <f aca="false">BC267-BH267</f>
        <v>0.399999999997817</v>
      </c>
      <c r="BJ267" s="19" t="str">
        <f aca="false">IF(BI267=0,"",IF(BI267&lt;&gt;BC267,"erreur de calcul",IF(BF267&lt;&gt;0,"pas de prix",IF(M267&lt;&gt; 0,"pas de quantité","pas de prix, ni de quantité"))))</f>
        <v>erreur de calcul</v>
      </c>
      <c r="BK267" s="19"/>
    </row>
    <row r="268" customFormat="false" ht="16" hidden="false" customHeight="false" outlineLevel="0" collapsed="false">
      <c r="A268" s="0" t="n">
        <v>20</v>
      </c>
      <c r="B268" s="8" t="s">
        <v>24</v>
      </c>
      <c r="C268" s="9" t="s">
        <v>25</v>
      </c>
      <c r="D268" s="9" t="s">
        <v>26</v>
      </c>
      <c r="E268" s="10" t="n">
        <v>1789</v>
      </c>
      <c r="F268" s="9" t="s">
        <v>27</v>
      </c>
      <c r="G268" s="9" t="s">
        <v>27</v>
      </c>
      <c r="H268" s="11" t="n">
        <v>25</v>
      </c>
      <c r="I268" s="11" t="s">
        <v>348</v>
      </c>
      <c r="J268" s="14" t="n">
        <v>9</v>
      </c>
      <c r="K268" s="14"/>
      <c r="L268" s="16"/>
      <c r="M268" s="27" t="n">
        <f aca="false">J268+(K268/20)+(L268/240)</f>
        <v>9</v>
      </c>
      <c r="N268" s="17" t="s">
        <v>349</v>
      </c>
      <c r="O268" s="11"/>
      <c r="P268" s="28"/>
      <c r="Q268" s="28" t="str">
        <f aca="false">IF(O268&lt;&gt;"",P268*M268,"")</f>
        <v/>
      </c>
      <c r="R268" s="28"/>
      <c r="S268" s="28" t="n">
        <f aca="false">R268*$M268</f>
        <v>0</v>
      </c>
      <c r="T268" s="28"/>
      <c r="U268" s="28" t="n">
        <f aca="false">T268*$M268</f>
        <v>0</v>
      </c>
      <c r="V268" s="28"/>
      <c r="W268" s="28" t="n">
        <f aca="false">V268*$M268</f>
        <v>0</v>
      </c>
      <c r="X268" s="28" t="n">
        <v>545</v>
      </c>
      <c r="Y268" s="28" t="n">
        <v>4905</v>
      </c>
      <c r="Z268" s="28"/>
      <c r="AA268" s="28" t="n">
        <f aca="false">Z268*$M268</f>
        <v>0</v>
      </c>
      <c r="AB268" s="28"/>
      <c r="AC268" s="28" t="n">
        <f aca="false">AB268*$M268</f>
        <v>0</v>
      </c>
      <c r="AD268" s="28"/>
      <c r="AE268" s="28" t="n">
        <f aca="false">AD268*$M268</f>
        <v>0</v>
      </c>
      <c r="AF268" s="28"/>
      <c r="AG268" s="28" t="n">
        <f aca="false">AF268*$M268</f>
        <v>0</v>
      </c>
      <c r="AH268" s="28"/>
      <c r="AI268" s="28" t="n">
        <f aca="false">AH268*$M268</f>
        <v>0</v>
      </c>
      <c r="AJ268" s="28"/>
      <c r="AK268" s="28" t="n">
        <f aca="false">AJ268*$M268</f>
        <v>0</v>
      </c>
      <c r="AL268" s="28" t="n">
        <v>592</v>
      </c>
      <c r="AM268" s="28" t="n">
        <v>5328</v>
      </c>
      <c r="AN268" s="28"/>
      <c r="AO268" s="28" t="n">
        <f aca="false">AN268*$M268</f>
        <v>0</v>
      </c>
      <c r="AP268" s="28"/>
      <c r="AQ268" s="28" t="n">
        <f aca="false">AP268*$M268</f>
        <v>0</v>
      </c>
      <c r="AR268" s="28"/>
      <c r="AS268" s="28" t="n">
        <f aca="false">AR268*$M268</f>
        <v>0</v>
      </c>
      <c r="AT268" s="28"/>
      <c r="AU268" s="28" t="n">
        <f aca="false">AT268*$M268</f>
        <v>0</v>
      </c>
      <c r="AV268" s="28"/>
      <c r="AW268" s="28" t="n">
        <f aca="false">AV268*$M268</f>
        <v>0</v>
      </c>
      <c r="AX268" s="28"/>
      <c r="AY268" s="28" t="n">
        <f aca="false">AX268*$M268</f>
        <v>0</v>
      </c>
      <c r="AZ268" s="28"/>
      <c r="BA268" s="28" t="n">
        <f aca="false">AZ268*$M268</f>
        <v>0</v>
      </c>
      <c r="BB268" s="30" t="n">
        <v>1137</v>
      </c>
      <c r="BC268" s="11" t="n">
        <v>10233</v>
      </c>
      <c r="BD268" s="31" t="n">
        <f aca="false">SUM(S268,U268,W268,Y268,AA268,AC268,AE268,AG268,AI268,AK268,AM268,AO268,AQ268,AS268,AU268,AW268,AY268,BA268)</f>
        <v>10233</v>
      </c>
      <c r="BE268" s="28" t="n">
        <f aca="false">BC268-BD268</f>
        <v>0</v>
      </c>
      <c r="BF268" s="32" t="n">
        <f aca="false">SUM(R268,T268,V268,X268,Z268,AB268,AD268,AF268,AH268,AJ268,AL268,AN268,AP268,AR268,AT268,AV268,AX268,AZ268)</f>
        <v>1137</v>
      </c>
      <c r="BG268" s="33" t="n">
        <f aca="false">BB268-BF268</f>
        <v>0</v>
      </c>
      <c r="BH268" s="34" t="n">
        <f aca="false">BF268*M268</f>
        <v>10233</v>
      </c>
      <c r="BI268" s="35" t="n">
        <f aca="false">BC268-BH268</f>
        <v>0</v>
      </c>
      <c r="BJ268" s="19" t="str">
        <f aca="false">IF(BI268=0,"",IF(BI268&lt;&gt;BC268,"erreur de calcul",IF(BF268&lt;&gt;0,"pas de prix",IF(M268&lt;&gt; 0,"pas de quantité","pas de prix, ni de quantité"))))</f>
        <v/>
      </c>
      <c r="BK268" s="19"/>
    </row>
    <row r="269" customFormat="false" ht="16" hidden="false" customHeight="false" outlineLevel="0" collapsed="false">
      <c r="A269" s="0" t="n">
        <v>21</v>
      </c>
      <c r="B269" s="8" t="s">
        <v>24</v>
      </c>
      <c r="C269" s="9" t="s">
        <v>25</v>
      </c>
      <c r="D269" s="9" t="s">
        <v>26</v>
      </c>
      <c r="E269" s="10" t="n">
        <v>1789</v>
      </c>
      <c r="F269" s="9" t="s">
        <v>27</v>
      </c>
      <c r="G269" s="9" t="s">
        <v>27</v>
      </c>
      <c r="H269" s="11" t="n">
        <v>25</v>
      </c>
      <c r="I269" s="11" t="s">
        <v>350</v>
      </c>
      <c r="J269" s="14"/>
      <c r="K269" s="14" t="n">
        <v>40</v>
      </c>
      <c r="L269" s="16"/>
      <c r="M269" s="27" t="n">
        <f aca="false">J269+(K269/20)+(L269/240)</f>
        <v>2</v>
      </c>
      <c r="N269" s="17" t="s">
        <v>349</v>
      </c>
      <c r="O269" s="11"/>
      <c r="P269" s="28"/>
      <c r="Q269" s="28" t="str">
        <f aca="false">IF(O269&lt;&gt;"",P269*M269,"")</f>
        <v/>
      </c>
      <c r="R269" s="28"/>
      <c r="S269" s="28" t="n">
        <f aca="false">R269*$M269</f>
        <v>0</v>
      </c>
      <c r="T269" s="28"/>
      <c r="U269" s="28" t="n">
        <f aca="false">T269*$M269</f>
        <v>0</v>
      </c>
      <c r="V269" s="28"/>
      <c r="W269" s="28" t="n">
        <f aca="false">V269*$M269</f>
        <v>0</v>
      </c>
      <c r="X269" s="28" t="n">
        <v>2688</v>
      </c>
      <c r="Y269" s="28" t="n">
        <v>5376</v>
      </c>
      <c r="Z269" s="28" t="n">
        <v>775</v>
      </c>
      <c r="AA269" s="28" t="n">
        <v>1550</v>
      </c>
      <c r="AB269" s="28"/>
      <c r="AC269" s="28" t="n">
        <f aca="false">AB269*$M269</f>
        <v>0</v>
      </c>
      <c r="AD269" s="28"/>
      <c r="AE269" s="28" t="n">
        <f aca="false">AD269*$M269</f>
        <v>0</v>
      </c>
      <c r="AF269" s="28"/>
      <c r="AG269" s="28" t="n">
        <f aca="false">AF269*$M269</f>
        <v>0</v>
      </c>
      <c r="AH269" s="28"/>
      <c r="AI269" s="28" t="n">
        <f aca="false">AH269*$M269</f>
        <v>0</v>
      </c>
      <c r="AJ269" s="28"/>
      <c r="AK269" s="28" t="n">
        <f aca="false">AJ269*$M269</f>
        <v>0</v>
      </c>
      <c r="AL269" s="28"/>
      <c r="AM269" s="28" t="n">
        <f aca="false">AL269*$M269</f>
        <v>0</v>
      </c>
      <c r="AN269" s="28"/>
      <c r="AO269" s="28" t="n">
        <f aca="false">AN269*$M269</f>
        <v>0</v>
      </c>
      <c r="AP269" s="28"/>
      <c r="AQ269" s="28" t="n">
        <f aca="false">AP269*$M269</f>
        <v>0</v>
      </c>
      <c r="AR269" s="28"/>
      <c r="AS269" s="28" t="n">
        <f aca="false">AR269*$M269</f>
        <v>0</v>
      </c>
      <c r="AT269" s="28"/>
      <c r="AU269" s="28" t="n">
        <f aca="false">AT269*$M269</f>
        <v>0</v>
      </c>
      <c r="AV269" s="28"/>
      <c r="AW269" s="28" t="n">
        <f aca="false">AV269*$M269</f>
        <v>0</v>
      </c>
      <c r="AX269" s="28"/>
      <c r="AY269" s="28" t="n">
        <f aca="false">AX269*$M269</f>
        <v>0</v>
      </c>
      <c r="AZ269" s="28"/>
      <c r="BA269" s="28" t="n">
        <f aca="false">AZ269*$M269</f>
        <v>0</v>
      </c>
      <c r="BB269" s="30" t="n">
        <v>3463</v>
      </c>
      <c r="BC269" s="11" t="n">
        <v>6926</v>
      </c>
      <c r="BD269" s="31" t="n">
        <f aca="false">SUM(S269,U269,W269,Y269,AA269,AC269,AE269,AG269,AI269,AK269,AM269,AO269,AQ269,AS269,AU269,AW269,AY269,BA269)</f>
        <v>6926</v>
      </c>
      <c r="BE269" s="28" t="n">
        <f aca="false">BC269-BD269</f>
        <v>0</v>
      </c>
      <c r="BF269" s="32" t="n">
        <f aca="false">SUM(R269,T269,V269,X269,Z269,AB269,AD269,AF269,AH269,AJ269,AL269,AN269,AP269,AR269,AT269,AV269,AX269,AZ269)</f>
        <v>3463</v>
      </c>
      <c r="BG269" s="33" t="n">
        <f aca="false">BB269-BF269</f>
        <v>0</v>
      </c>
      <c r="BH269" s="34" t="n">
        <f aca="false">BF269*M269</f>
        <v>6926</v>
      </c>
      <c r="BI269" s="35" t="n">
        <f aca="false">BC269-BH269</f>
        <v>0</v>
      </c>
      <c r="BJ269" s="19" t="str">
        <f aca="false">IF(BI269=0,"",IF(BI269&lt;&gt;BC269,"erreur de calcul",IF(BF269&lt;&gt;0,"pas de prix",IF(M269&lt;&gt; 0,"pas de quantité","pas de prix, ni de quantité"))))</f>
        <v/>
      </c>
      <c r="BK269" s="19"/>
    </row>
    <row r="270" customFormat="false" ht="16" hidden="false" customHeight="false" outlineLevel="0" collapsed="false">
      <c r="A270" s="0" t="n">
        <v>22</v>
      </c>
      <c r="B270" s="8" t="s">
        <v>24</v>
      </c>
      <c r="C270" s="9" t="s">
        <v>25</v>
      </c>
      <c r="D270" s="9" t="s">
        <v>26</v>
      </c>
      <c r="E270" s="10" t="n">
        <v>1789</v>
      </c>
      <c r="F270" s="9" t="s">
        <v>27</v>
      </c>
      <c r="G270" s="9" t="s">
        <v>27</v>
      </c>
      <c r="H270" s="11" t="n">
        <v>25</v>
      </c>
      <c r="I270" s="11" t="s">
        <v>351</v>
      </c>
      <c r="J270" s="14" t="n">
        <v>60</v>
      </c>
      <c r="K270" s="14"/>
      <c r="L270" s="16"/>
      <c r="M270" s="27" t="n">
        <f aca="false">J270+(K270/20)+(L270/240)</f>
        <v>60</v>
      </c>
      <c r="N270" s="17" t="s">
        <v>69</v>
      </c>
      <c r="O270" s="11"/>
      <c r="P270" s="28"/>
      <c r="Q270" s="28" t="str">
        <f aca="false">IF(O270&lt;&gt;"",P270*M270,"")</f>
        <v/>
      </c>
      <c r="R270" s="28"/>
      <c r="S270" s="28" t="n">
        <f aca="false">R270*$M270</f>
        <v>0</v>
      </c>
      <c r="T270" s="28"/>
      <c r="U270" s="28" t="n">
        <f aca="false">T270*$M270</f>
        <v>0</v>
      </c>
      <c r="V270" s="28" t="n">
        <v>20</v>
      </c>
      <c r="W270" s="28" t="n">
        <v>1200</v>
      </c>
      <c r="X270" s="28" t="n">
        <v>82</v>
      </c>
      <c r="Y270" s="28" t="n">
        <v>4920</v>
      </c>
      <c r="Z270" s="28"/>
      <c r="AA270" s="28" t="n">
        <f aca="false">Z270*$M270</f>
        <v>0</v>
      </c>
      <c r="AB270" s="28"/>
      <c r="AC270" s="28" t="n">
        <f aca="false">AB270*$M270</f>
        <v>0</v>
      </c>
      <c r="AD270" s="28"/>
      <c r="AE270" s="28" t="n">
        <f aca="false">AD270*$M270</f>
        <v>0</v>
      </c>
      <c r="AF270" s="28"/>
      <c r="AG270" s="28" t="n">
        <f aca="false">AF270*$M270</f>
        <v>0</v>
      </c>
      <c r="AH270" s="28"/>
      <c r="AI270" s="28" t="n">
        <f aca="false">AH270*$M270</f>
        <v>0</v>
      </c>
      <c r="AJ270" s="28"/>
      <c r="AK270" s="28" t="n">
        <f aca="false">AJ270*$M270</f>
        <v>0</v>
      </c>
      <c r="AL270" s="28"/>
      <c r="AM270" s="28" t="n">
        <f aca="false">AL270*$M270</f>
        <v>0</v>
      </c>
      <c r="AN270" s="28"/>
      <c r="AO270" s="28" t="n">
        <f aca="false">AN270*$M270</f>
        <v>0</v>
      </c>
      <c r="AP270" s="28"/>
      <c r="AQ270" s="28" t="n">
        <f aca="false">AP270*$M270</f>
        <v>0</v>
      </c>
      <c r="AR270" s="28"/>
      <c r="AS270" s="28" t="n">
        <f aca="false">AR270*$M270</f>
        <v>0</v>
      </c>
      <c r="AT270" s="28"/>
      <c r="AU270" s="28" t="n">
        <f aca="false">AT270*$M270</f>
        <v>0</v>
      </c>
      <c r="AV270" s="28"/>
      <c r="AW270" s="28" t="n">
        <f aca="false">AV270*$M270</f>
        <v>0</v>
      </c>
      <c r="AX270" s="28"/>
      <c r="AY270" s="28" t="n">
        <f aca="false">AX270*$M270</f>
        <v>0</v>
      </c>
      <c r="AZ270" s="28"/>
      <c r="BA270" s="28" t="n">
        <f aca="false">AZ270*$M270</f>
        <v>0</v>
      </c>
      <c r="BB270" s="30" t="n">
        <v>102</v>
      </c>
      <c r="BC270" s="11" t="n">
        <v>6120</v>
      </c>
      <c r="BD270" s="31" t="n">
        <f aca="false">SUM(S270,U270,W270,Y270,AA270,AC270,AE270,AG270,AI270,AK270,AM270,AO270,AQ270,AS270,AU270,AW270,AY270,BA270)</f>
        <v>6120</v>
      </c>
      <c r="BE270" s="28" t="n">
        <f aca="false">BC270-BD270</f>
        <v>0</v>
      </c>
      <c r="BF270" s="32" t="n">
        <f aca="false">SUM(R270,T270,V270,X270,Z270,AB270,AD270,AF270,AH270,AJ270,AL270,AN270,AP270,AR270,AT270,AV270,AX270,AZ270)</f>
        <v>102</v>
      </c>
      <c r="BG270" s="33" t="n">
        <f aca="false">BB270-BF270</f>
        <v>0</v>
      </c>
      <c r="BH270" s="34" t="n">
        <f aca="false">BF270*M270</f>
        <v>6120</v>
      </c>
      <c r="BI270" s="35" t="n">
        <f aca="false">BC270-BH270</f>
        <v>0</v>
      </c>
      <c r="BJ270" s="19" t="str">
        <f aca="false">IF(BI270=0,"",IF(BI270&lt;&gt;BC270,"erreur de calcul",IF(BF270&lt;&gt;0,"pas de prix",IF(M270&lt;&gt; 0,"pas de quantité","pas de prix, ni de quantité"))))</f>
        <v/>
      </c>
      <c r="BK270" s="19"/>
    </row>
    <row r="271" customFormat="false" ht="16" hidden="false" customHeight="false" outlineLevel="0" collapsed="false">
      <c r="A271" s="0" t="n">
        <v>23</v>
      </c>
      <c r="B271" s="8" t="s">
        <v>24</v>
      </c>
      <c r="C271" s="9" t="s">
        <v>25</v>
      </c>
      <c r="D271" s="9" t="s">
        <v>26</v>
      </c>
      <c r="E271" s="10" t="n">
        <v>1789</v>
      </c>
      <c r="F271" s="9" t="s">
        <v>27</v>
      </c>
      <c r="G271" s="9" t="s">
        <v>27</v>
      </c>
      <c r="H271" s="11" t="n">
        <v>25</v>
      </c>
      <c r="I271" s="11" t="s">
        <v>352</v>
      </c>
      <c r="J271" s="14" t="n">
        <v>150</v>
      </c>
      <c r="K271" s="14"/>
      <c r="L271" s="16"/>
      <c r="M271" s="27" t="n">
        <f aca="false">J271+(K271/20)+(L271/240)</f>
        <v>150</v>
      </c>
      <c r="N271" s="17" t="s">
        <v>64</v>
      </c>
      <c r="O271" s="11"/>
      <c r="P271" s="28"/>
      <c r="Q271" s="28" t="str">
        <f aca="false">IF(O271&lt;&gt;"",P271*M271,"")</f>
        <v/>
      </c>
      <c r="R271" s="28" t="n">
        <f aca="false">274/100</f>
        <v>2.74</v>
      </c>
      <c r="S271" s="28" t="n">
        <v>411</v>
      </c>
      <c r="T271" s="28"/>
      <c r="U271" s="28" t="n">
        <f aca="false">T271*$M271</f>
        <v>0</v>
      </c>
      <c r="V271" s="28" t="n">
        <f aca="false">3042/100</f>
        <v>30.42</v>
      </c>
      <c r="W271" s="28" t="n">
        <v>4563</v>
      </c>
      <c r="X271" s="28"/>
      <c r="Y271" s="28" t="n">
        <f aca="false">X271*$M271</f>
        <v>0</v>
      </c>
      <c r="Z271" s="28"/>
      <c r="AA271" s="28" t="n">
        <f aca="false">Z271*$M271</f>
        <v>0</v>
      </c>
      <c r="AB271" s="28"/>
      <c r="AC271" s="28" t="n">
        <f aca="false">AB271*$M271</f>
        <v>0</v>
      </c>
      <c r="AD271" s="28" t="n">
        <f aca="false">92/100</f>
        <v>0.92</v>
      </c>
      <c r="AE271" s="28" t="n">
        <v>138</v>
      </c>
      <c r="AF271" s="28"/>
      <c r="AG271" s="28" t="n">
        <f aca="false">AF271*$M271</f>
        <v>0</v>
      </c>
      <c r="AH271" s="28"/>
      <c r="AI271" s="28" t="n">
        <f aca="false">AH271*$M271</f>
        <v>0</v>
      </c>
      <c r="AJ271" s="28"/>
      <c r="AK271" s="28" t="n">
        <f aca="false">AJ271*$M271</f>
        <v>0</v>
      </c>
      <c r="AL271" s="28"/>
      <c r="AM271" s="28" t="n">
        <f aca="false">AL271*$M271</f>
        <v>0</v>
      </c>
      <c r="AN271" s="28"/>
      <c r="AO271" s="28" t="n">
        <f aca="false">AN271*$M271</f>
        <v>0</v>
      </c>
      <c r="AP271" s="28"/>
      <c r="AQ271" s="28" t="n">
        <f aca="false">AP271*$M271</f>
        <v>0</v>
      </c>
      <c r="AR271" s="28"/>
      <c r="AS271" s="28" t="n">
        <f aca="false">AR271*$M271</f>
        <v>0</v>
      </c>
      <c r="AT271" s="28"/>
      <c r="AU271" s="28" t="n">
        <f aca="false">AT271*$M271</f>
        <v>0</v>
      </c>
      <c r="AV271" s="28"/>
      <c r="AW271" s="28" t="n">
        <f aca="false">AV271*$M271</f>
        <v>0</v>
      </c>
      <c r="AX271" s="28"/>
      <c r="AY271" s="28" t="n">
        <f aca="false">AX271*$M271</f>
        <v>0</v>
      </c>
      <c r="AZ271" s="28"/>
      <c r="BA271" s="28" t="n">
        <f aca="false">AZ271*$M271</f>
        <v>0</v>
      </c>
      <c r="BB271" s="30" t="n">
        <f aca="false">3408/100</f>
        <v>34.08</v>
      </c>
      <c r="BC271" s="11" t="n">
        <v>5112</v>
      </c>
      <c r="BD271" s="31" t="n">
        <f aca="false">SUM(S271,U271,W271,Y271,AA271,AC271,AE271,AG271,AI271,AK271,AM271,AO271,AQ271,AS271,AU271,AW271,AY271,BA271)</f>
        <v>5112</v>
      </c>
      <c r="BE271" s="28" t="n">
        <f aca="false">BC271-BD271</f>
        <v>0</v>
      </c>
      <c r="BF271" s="32" t="n">
        <f aca="false">SUM(R271,T271,V271,X271,Z271,AB271,AD271,AF271,AH271,AJ271,AL271,AN271,AP271,AR271,AT271,AV271,AX271,AZ271)</f>
        <v>34.08</v>
      </c>
      <c r="BG271" s="33" t="n">
        <f aca="false">BB271-BF271</f>
        <v>0</v>
      </c>
      <c r="BH271" s="34" t="n">
        <f aca="false">BF271*M271</f>
        <v>5112</v>
      </c>
      <c r="BI271" s="35" t="n">
        <f aca="false">BC271-BH271</f>
        <v>0</v>
      </c>
      <c r="BJ271" s="19" t="str">
        <f aca="false">IF(BI271=0,"",IF(BI271&lt;&gt;BC271,"erreur de calcul",IF(BF271&lt;&gt;0,"pas de prix",IF(M271&lt;&gt; 0,"pas de quantité","pas de prix, ni de quantité"))))</f>
        <v/>
      </c>
      <c r="BK271" s="19"/>
    </row>
    <row r="272" customFormat="false" ht="16" hidden="false" customHeight="false" outlineLevel="0" collapsed="false">
      <c r="A272" s="0" t="n">
        <v>24</v>
      </c>
      <c r="B272" s="8" t="s">
        <v>24</v>
      </c>
      <c r="C272" s="9" t="s">
        <v>25</v>
      </c>
      <c r="D272" s="9" t="s">
        <v>26</v>
      </c>
      <c r="E272" s="10" t="n">
        <v>1789</v>
      </c>
      <c r="F272" s="9" t="s">
        <v>27</v>
      </c>
      <c r="G272" s="9" t="s">
        <v>27</v>
      </c>
      <c r="H272" s="11" t="n">
        <v>25</v>
      </c>
      <c r="I272" s="11" t="s">
        <v>353</v>
      </c>
      <c r="J272" s="14" t="n">
        <v>40</v>
      </c>
      <c r="K272" s="14"/>
      <c r="L272" s="16"/>
      <c r="M272" s="27" t="n">
        <f aca="false">J272+(K272/20)+(L272/240)</f>
        <v>40</v>
      </c>
      <c r="N272" s="17" t="s">
        <v>64</v>
      </c>
      <c r="O272" s="11"/>
      <c r="P272" s="28"/>
      <c r="Q272" s="28" t="str">
        <f aca="false">IF(O272&lt;&gt;"",P272*M272,"")</f>
        <v/>
      </c>
      <c r="R272" s="28"/>
      <c r="S272" s="28" t="n">
        <f aca="false">R272*$M272</f>
        <v>0</v>
      </c>
      <c r="T272" s="28"/>
      <c r="U272" s="28" t="n">
        <f aca="false">T272*$M272</f>
        <v>0</v>
      </c>
      <c r="V272" s="28"/>
      <c r="W272" s="28" t="n">
        <f aca="false">V272*$M272</f>
        <v>0</v>
      </c>
      <c r="X272" s="28" t="n">
        <f aca="false">4960/100</f>
        <v>49.6</v>
      </c>
      <c r="Y272" s="28" t="n">
        <v>1984</v>
      </c>
      <c r="Z272" s="28" t="n">
        <f aca="false">394/100</f>
        <v>3.94</v>
      </c>
      <c r="AA272" s="28" t="n">
        <v>158</v>
      </c>
      <c r="AB272" s="28"/>
      <c r="AC272" s="28" t="n">
        <f aca="false">AB272*$M272</f>
        <v>0</v>
      </c>
      <c r="AD272" s="28"/>
      <c r="AE272" s="28" t="n">
        <f aca="false">AD272*$M272</f>
        <v>0</v>
      </c>
      <c r="AF272" s="28"/>
      <c r="AG272" s="28" t="n">
        <f aca="false">AF272*$M272</f>
        <v>0</v>
      </c>
      <c r="AH272" s="28"/>
      <c r="AI272" s="28" t="n">
        <f aca="false">AH272*$M272</f>
        <v>0</v>
      </c>
      <c r="AJ272" s="28"/>
      <c r="AK272" s="28" t="n">
        <f aca="false">AJ272*$M272</f>
        <v>0</v>
      </c>
      <c r="AL272" s="28"/>
      <c r="AM272" s="28" t="n">
        <f aca="false">AL272*$M272</f>
        <v>0</v>
      </c>
      <c r="AN272" s="28"/>
      <c r="AO272" s="28" t="n">
        <f aca="false">AN272*$M272</f>
        <v>0</v>
      </c>
      <c r="AP272" s="28"/>
      <c r="AQ272" s="28" t="n">
        <f aca="false">AP272*$M272</f>
        <v>0</v>
      </c>
      <c r="AR272" s="28"/>
      <c r="AS272" s="28" t="n">
        <f aca="false">AR272*$M272</f>
        <v>0</v>
      </c>
      <c r="AT272" s="28"/>
      <c r="AU272" s="28" t="n">
        <f aca="false">AT272*$M272</f>
        <v>0</v>
      </c>
      <c r="AV272" s="28"/>
      <c r="AW272" s="28" t="n">
        <f aca="false">AV272*$M272</f>
        <v>0</v>
      </c>
      <c r="AX272" s="28"/>
      <c r="AY272" s="28" t="n">
        <f aca="false">AX272*$M272</f>
        <v>0</v>
      </c>
      <c r="AZ272" s="28"/>
      <c r="BA272" s="28" t="n">
        <f aca="false">AZ272*$M272</f>
        <v>0</v>
      </c>
      <c r="BB272" s="30" t="n">
        <f aca="false">5354/100</f>
        <v>53.54</v>
      </c>
      <c r="BC272" s="11" t="n">
        <v>2142</v>
      </c>
      <c r="BD272" s="31" t="n">
        <f aca="false">SUM(S272,U272,W272,Y272,AA272,AC272,AE272,AG272,AI272,AK272,AM272,AO272,AQ272,AS272,AU272,AW272,AY272,BA272)</f>
        <v>2142</v>
      </c>
      <c r="BE272" s="28" t="n">
        <f aca="false">BC272-BD272</f>
        <v>0</v>
      </c>
      <c r="BF272" s="32" t="n">
        <f aca="false">SUM(R272,T272,V272,X272,Z272,AB272,AD272,AF272,AH272,AJ272,AL272,AN272,AP272,AR272,AT272,AV272,AX272,AZ272)</f>
        <v>53.54</v>
      </c>
      <c r="BG272" s="33" t="n">
        <f aca="false">BB272-BF272</f>
        <v>0</v>
      </c>
      <c r="BH272" s="34" t="n">
        <f aca="false">BF272*M272</f>
        <v>2141.6</v>
      </c>
      <c r="BI272" s="35" t="n">
        <f aca="false">BC272-BH272</f>
        <v>0.400000000000091</v>
      </c>
      <c r="BJ272" s="19" t="str">
        <f aca="false">IF(BI272=0,"",IF(BI272&lt;&gt;BC272,"erreur de calcul",IF(BF272&lt;&gt;0,"pas de prix",IF(M272&lt;&gt; 0,"pas de quantité","pas de prix, ni de quantité"))))</f>
        <v>erreur de calcul</v>
      </c>
      <c r="BK272" s="19"/>
    </row>
    <row r="273" customFormat="false" ht="16" hidden="false" customHeight="false" outlineLevel="0" collapsed="false">
      <c r="A273" s="0" t="n">
        <v>25</v>
      </c>
      <c r="B273" s="8" t="s">
        <v>24</v>
      </c>
      <c r="C273" s="9" t="s">
        <v>25</v>
      </c>
      <c r="D273" s="9" t="s">
        <v>26</v>
      </c>
      <c r="E273" s="10" t="n">
        <v>1789</v>
      </c>
      <c r="F273" s="9" t="s">
        <v>27</v>
      </c>
      <c r="G273" s="9" t="s">
        <v>27</v>
      </c>
      <c r="H273" s="11" t="n">
        <v>25</v>
      </c>
      <c r="I273" s="11" t="s">
        <v>354</v>
      </c>
      <c r="J273" s="14" t="n">
        <v>200</v>
      </c>
      <c r="K273" s="14"/>
      <c r="L273" s="16"/>
      <c r="M273" s="27" t="n">
        <f aca="false">J273+(K273/20)+(L273/240)</f>
        <v>200</v>
      </c>
      <c r="N273" s="17" t="s">
        <v>64</v>
      </c>
      <c r="O273" s="11"/>
      <c r="P273" s="28"/>
      <c r="Q273" s="28" t="str">
        <f aca="false">IF(O273&lt;&gt;"",P273*M273,"")</f>
        <v/>
      </c>
      <c r="R273" s="28"/>
      <c r="S273" s="28" t="n">
        <f aca="false">R273*$M273</f>
        <v>0</v>
      </c>
      <c r="T273" s="28"/>
      <c r="U273" s="28" t="n">
        <f aca="false">T273*$M273</f>
        <v>0</v>
      </c>
      <c r="V273" s="28" t="n">
        <f aca="false">4367/100</f>
        <v>43.67</v>
      </c>
      <c r="W273" s="28" t="n">
        <v>8734</v>
      </c>
      <c r="X273" s="28" t="n">
        <f aca="false">346/100</f>
        <v>3.46</v>
      </c>
      <c r="Y273" s="28" t="n">
        <v>692</v>
      </c>
      <c r="Z273" s="28"/>
      <c r="AA273" s="28" t="n">
        <f aca="false">Z273*$M273</f>
        <v>0</v>
      </c>
      <c r="AB273" s="28"/>
      <c r="AC273" s="28" t="n">
        <f aca="false">AB273*$M273</f>
        <v>0</v>
      </c>
      <c r="AD273" s="28"/>
      <c r="AE273" s="28" t="n">
        <f aca="false">AD273*$M273</f>
        <v>0</v>
      </c>
      <c r="AF273" s="28"/>
      <c r="AG273" s="28" t="n">
        <f aca="false">AF273*$M273</f>
        <v>0</v>
      </c>
      <c r="AH273" s="28"/>
      <c r="AI273" s="28" t="n">
        <f aca="false">AH273*$M273</f>
        <v>0</v>
      </c>
      <c r="AJ273" s="28"/>
      <c r="AK273" s="28" t="n">
        <f aca="false">AJ273*$M273</f>
        <v>0</v>
      </c>
      <c r="AL273" s="28"/>
      <c r="AM273" s="28" t="n">
        <f aca="false">AL273*$M273</f>
        <v>0</v>
      </c>
      <c r="AN273" s="28"/>
      <c r="AO273" s="28" t="n">
        <f aca="false">AN273*$M273</f>
        <v>0</v>
      </c>
      <c r="AP273" s="28"/>
      <c r="AQ273" s="28" t="n">
        <f aca="false">AP273*$M273</f>
        <v>0</v>
      </c>
      <c r="AR273" s="28"/>
      <c r="AS273" s="28" t="n">
        <f aca="false">AR273*$M273</f>
        <v>0</v>
      </c>
      <c r="AT273" s="28"/>
      <c r="AU273" s="28" t="n">
        <f aca="false">AT273*$M273</f>
        <v>0</v>
      </c>
      <c r="AV273" s="28"/>
      <c r="AW273" s="28" t="n">
        <f aca="false">AV273*$M273</f>
        <v>0</v>
      </c>
      <c r="AX273" s="28"/>
      <c r="AY273" s="28" t="n">
        <f aca="false">AX273*$M273</f>
        <v>0</v>
      </c>
      <c r="AZ273" s="28"/>
      <c r="BA273" s="28" t="n">
        <f aca="false">AZ273*$M273</f>
        <v>0</v>
      </c>
      <c r="BB273" s="30" t="n">
        <f aca="false">4713/100</f>
        <v>47.13</v>
      </c>
      <c r="BC273" s="11" t="n">
        <v>9426</v>
      </c>
      <c r="BD273" s="31" t="n">
        <f aca="false">SUM(S273,U273,W273,Y273,AA273,AC273,AE273,AG273,AI273,AK273,AM273,AO273,AQ273,AS273,AU273,AW273,AY273,BA273)</f>
        <v>9426</v>
      </c>
      <c r="BE273" s="28" t="n">
        <f aca="false">BC273-BD273</f>
        <v>0</v>
      </c>
      <c r="BF273" s="32" t="n">
        <f aca="false">SUM(R273,T273,V273,X273,Z273,AB273,AD273,AF273,AH273,AJ273,AL273,AN273,AP273,AR273,AT273,AV273,AX273,AZ273)</f>
        <v>47.13</v>
      </c>
      <c r="BG273" s="33" t="n">
        <f aca="false">BB273-BF273</f>
        <v>0</v>
      </c>
      <c r="BH273" s="34" t="n">
        <f aca="false">BF273*M273</f>
        <v>9426</v>
      </c>
      <c r="BI273" s="35" t="n">
        <f aca="false">BC273-BH273</f>
        <v>0</v>
      </c>
      <c r="BJ273" s="19" t="str">
        <f aca="false">IF(BI273=0,"",IF(BI273&lt;&gt;BC273,"erreur de calcul",IF(BF273&lt;&gt;0,"pas de prix",IF(M273&lt;&gt; 0,"pas de quantité","pas de prix, ni de quantité"))))</f>
        <v/>
      </c>
      <c r="BK273" s="19"/>
    </row>
    <row r="274" customFormat="false" ht="16" hidden="false" customHeight="false" outlineLevel="0" collapsed="false">
      <c r="A274" s="0" t="n">
        <v>26</v>
      </c>
      <c r="B274" s="8" t="s">
        <v>24</v>
      </c>
      <c r="C274" s="9" t="s">
        <v>25</v>
      </c>
      <c r="D274" s="9" t="s">
        <v>26</v>
      </c>
      <c r="E274" s="10" t="n">
        <v>1789</v>
      </c>
      <c r="F274" s="9" t="s">
        <v>27</v>
      </c>
      <c r="G274" s="9" t="s">
        <v>27</v>
      </c>
      <c r="H274" s="11" t="n">
        <v>25</v>
      </c>
      <c r="I274" s="11" t="s">
        <v>355</v>
      </c>
      <c r="J274" s="14" t="n">
        <v>200</v>
      </c>
      <c r="K274" s="14"/>
      <c r="L274" s="16"/>
      <c r="M274" s="27" t="n">
        <f aca="false">J274+(K274/20)+(L274/240)</f>
        <v>200</v>
      </c>
      <c r="N274" s="17" t="s">
        <v>64</v>
      </c>
      <c r="O274" s="11"/>
      <c r="P274" s="28"/>
      <c r="Q274" s="28" t="str">
        <f aca="false">IF(O274&lt;&gt;"",P274*M274,"")</f>
        <v/>
      </c>
      <c r="R274" s="28"/>
      <c r="S274" s="28" t="n">
        <f aca="false">R274*$M274</f>
        <v>0</v>
      </c>
      <c r="T274" s="28"/>
      <c r="U274" s="28" t="n">
        <f aca="false">T274*$M274</f>
        <v>0</v>
      </c>
      <c r="V274" s="28" t="n">
        <f aca="false">2471/100</f>
        <v>24.71</v>
      </c>
      <c r="W274" s="28" t="n">
        <v>4942</v>
      </c>
      <c r="X274" s="28"/>
      <c r="Y274" s="28" t="n">
        <f aca="false">X274*$M274</f>
        <v>0</v>
      </c>
      <c r="Z274" s="28"/>
      <c r="AA274" s="28" t="n">
        <f aca="false">Z274*$M274</f>
        <v>0</v>
      </c>
      <c r="AB274" s="28"/>
      <c r="AC274" s="28" t="n">
        <f aca="false">AB274*$M274</f>
        <v>0</v>
      </c>
      <c r="AD274" s="28"/>
      <c r="AE274" s="28" t="n">
        <f aca="false">AD274*$M274</f>
        <v>0</v>
      </c>
      <c r="AF274" s="28"/>
      <c r="AG274" s="28" t="n">
        <f aca="false">AF274*$M274</f>
        <v>0</v>
      </c>
      <c r="AH274" s="28"/>
      <c r="AI274" s="28" t="n">
        <f aca="false">AH274*$M274</f>
        <v>0</v>
      </c>
      <c r="AJ274" s="28"/>
      <c r="AK274" s="28" t="n">
        <f aca="false">AJ274*$M274</f>
        <v>0</v>
      </c>
      <c r="AL274" s="28"/>
      <c r="AM274" s="28" t="n">
        <f aca="false">AL274*$M274</f>
        <v>0</v>
      </c>
      <c r="AN274" s="28"/>
      <c r="AO274" s="28" t="n">
        <f aca="false">AN274*$M274</f>
        <v>0</v>
      </c>
      <c r="AP274" s="28"/>
      <c r="AQ274" s="28" t="n">
        <f aca="false">AP274*$M274</f>
        <v>0</v>
      </c>
      <c r="AR274" s="28"/>
      <c r="AS274" s="28" t="n">
        <f aca="false">AR274*$M274</f>
        <v>0</v>
      </c>
      <c r="AT274" s="28"/>
      <c r="AU274" s="28" t="n">
        <f aca="false">AT274*$M274</f>
        <v>0</v>
      </c>
      <c r="AV274" s="28"/>
      <c r="AW274" s="28" t="n">
        <f aca="false">AV274*$M274</f>
        <v>0</v>
      </c>
      <c r="AX274" s="28"/>
      <c r="AY274" s="28" t="n">
        <f aca="false">AX274*$M274</f>
        <v>0</v>
      </c>
      <c r="AZ274" s="28"/>
      <c r="BA274" s="28" t="n">
        <f aca="false">AZ274*$M274</f>
        <v>0</v>
      </c>
      <c r="BB274" s="30" t="n">
        <f aca="false">2471/100</f>
        <v>24.71</v>
      </c>
      <c r="BC274" s="11" t="n">
        <v>4942</v>
      </c>
      <c r="BD274" s="31" t="n">
        <f aca="false">SUM(S274,U274,W274,Y274,AA274,AC274,AE274,AG274,AI274,AK274,AM274,AO274,AQ274,AS274,AU274,AW274,AY274,BA274)</f>
        <v>4942</v>
      </c>
      <c r="BE274" s="28" t="n">
        <f aca="false">BC274-BD274</f>
        <v>0</v>
      </c>
      <c r="BF274" s="32" t="n">
        <f aca="false">SUM(R274,T274,V274,X274,Z274,AB274,AD274,AF274,AH274,AJ274,AL274,AN274,AP274,AR274,AT274,AV274,AX274,AZ274)</f>
        <v>24.71</v>
      </c>
      <c r="BG274" s="33" t="n">
        <f aca="false">BB274-BF274</f>
        <v>0</v>
      </c>
      <c r="BH274" s="34" t="n">
        <f aca="false">BF274*M274</f>
        <v>4942</v>
      </c>
      <c r="BI274" s="35" t="n">
        <f aca="false">BC274-BH274</f>
        <v>0</v>
      </c>
      <c r="BJ274" s="19" t="str">
        <f aca="false">IF(BI274=0,"",IF(BI274&lt;&gt;BC274,"erreur de calcul",IF(BF274&lt;&gt;0,"pas de prix",IF(M274&lt;&gt; 0,"pas de quantité","pas de prix, ni de quantité"))))</f>
        <v/>
      </c>
      <c r="BK274" s="19"/>
    </row>
    <row r="275" customFormat="false" ht="16" hidden="false" customHeight="false" outlineLevel="0" collapsed="false">
      <c r="A275" s="0" t="n">
        <v>27</v>
      </c>
      <c r="B275" s="8" t="s">
        <v>24</v>
      </c>
      <c r="C275" s="9" t="s">
        <v>25</v>
      </c>
      <c r="D275" s="9" t="s">
        <v>26</v>
      </c>
      <c r="E275" s="10" t="n">
        <v>1789</v>
      </c>
      <c r="F275" s="9" t="s">
        <v>27</v>
      </c>
      <c r="G275" s="9" t="s">
        <v>27</v>
      </c>
      <c r="H275" s="11" t="n">
        <v>25</v>
      </c>
      <c r="I275" s="11" t="s">
        <v>356</v>
      </c>
      <c r="J275" s="14" t="n">
        <v>120</v>
      </c>
      <c r="K275" s="14"/>
      <c r="L275" s="16"/>
      <c r="M275" s="27" t="n">
        <f aca="false">J275+(K275/20)+(L275/240)</f>
        <v>120</v>
      </c>
      <c r="N275" s="17" t="s">
        <v>64</v>
      </c>
      <c r="O275" s="11"/>
      <c r="P275" s="28"/>
      <c r="Q275" s="28" t="str">
        <f aca="false">IF(O275&lt;&gt;"",P275*M275,"")</f>
        <v/>
      </c>
      <c r="R275" s="28"/>
      <c r="S275" s="28" t="n">
        <f aca="false">R275*$M275</f>
        <v>0</v>
      </c>
      <c r="T275" s="28"/>
      <c r="U275" s="28" t="n">
        <f aca="false">T275*$M275</f>
        <v>0</v>
      </c>
      <c r="V275" s="28"/>
      <c r="W275" s="28" t="n">
        <f aca="false">V275*$M275</f>
        <v>0</v>
      </c>
      <c r="X275" s="28"/>
      <c r="Y275" s="28" t="n">
        <f aca="false">X275*$M275</f>
        <v>0</v>
      </c>
      <c r="Z275" s="28"/>
      <c r="AA275" s="28" t="n">
        <f aca="false">Z275*$M275</f>
        <v>0</v>
      </c>
      <c r="AB275" s="28"/>
      <c r="AC275" s="28" t="n">
        <f aca="false">AB275*$M275</f>
        <v>0</v>
      </c>
      <c r="AD275" s="28"/>
      <c r="AE275" s="28" t="n">
        <f aca="false">AD275*$M275</f>
        <v>0</v>
      </c>
      <c r="AF275" s="28"/>
      <c r="AG275" s="28" t="n">
        <f aca="false">AF275*$M275</f>
        <v>0</v>
      </c>
      <c r="AH275" s="28"/>
      <c r="AI275" s="28" t="n">
        <f aca="false">AH275*$M275</f>
        <v>0</v>
      </c>
      <c r="AJ275" s="28"/>
      <c r="AK275" s="28" t="n">
        <f aca="false">AJ275*$M275</f>
        <v>0</v>
      </c>
      <c r="AL275" s="28"/>
      <c r="AM275" s="28" t="n">
        <f aca="false">AL275*$M275</f>
        <v>0</v>
      </c>
      <c r="AN275" s="28"/>
      <c r="AO275" s="28" t="n">
        <f aca="false">AN275*$M275</f>
        <v>0</v>
      </c>
      <c r="AP275" s="28" t="n">
        <f aca="false">407/100</f>
        <v>4.07</v>
      </c>
      <c r="AQ275" s="28" t="n">
        <v>488</v>
      </c>
      <c r="AR275" s="28"/>
      <c r="AS275" s="28" t="n">
        <f aca="false">AR275*$M275</f>
        <v>0</v>
      </c>
      <c r="AT275" s="28"/>
      <c r="AU275" s="28" t="n">
        <f aca="false">AT275*$M275</f>
        <v>0</v>
      </c>
      <c r="AV275" s="28"/>
      <c r="AW275" s="28" t="n">
        <f aca="false">AV275*$M275</f>
        <v>0</v>
      </c>
      <c r="AX275" s="28"/>
      <c r="AY275" s="28" t="n">
        <f aca="false">AX275*$M275</f>
        <v>0</v>
      </c>
      <c r="AZ275" s="28"/>
      <c r="BA275" s="28" t="n">
        <f aca="false">AZ275*$M275</f>
        <v>0</v>
      </c>
      <c r="BB275" s="30" t="n">
        <f aca="false">407/100</f>
        <v>4.07</v>
      </c>
      <c r="BC275" s="11" t="n">
        <v>488</v>
      </c>
      <c r="BD275" s="31" t="n">
        <f aca="false">SUM(S275,U275,W275,Y275,AA275,AC275,AE275,AG275,AI275,AK275,AM275,AO275,AQ275,AS275,AU275,AW275,AY275,BA275)</f>
        <v>488</v>
      </c>
      <c r="BE275" s="28" t="n">
        <f aca="false">BC275-BD275</f>
        <v>0</v>
      </c>
      <c r="BF275" s="32" t="n">
        <f aca="false">SUM(R275,T275,V275,X275,Z275,AB275,AD275,AF275,AH275,AJ275,AL275,AN275,AP275,AR275,AT275,AV275,AX275,AZ275)</f>
        <v>4.07</v>
      </c>
      <c r="BG275" s="33" t="n">
        <f aca="false">BB275-BF275</f>
        <v>0</v>
      </c>
      <c r="BH275" s="34" t="n">
        <f aca="false">BF275*M275</f>
        <v>488.4</v>
      </c>
      <c r="BI275" s="35" t="n">
        <f aca="false">BC275-BH275</f>
        <v>-0.400000000000034</v>
      </c>
      <c r="BJ275" s="19" t="str">
        <f aca="false">IF(BI275=0,"",IF(BI275&lt;&gt;BC275,"erreur de calcul",IF(BF275&lt;&gt;0,"pas de prix",IF(M275&lt;&gt; 0,"pas de quantité","pas de prix, ni de quantité"))))</f>
        <v>erreur de calcul</v>
      </c>
      <c r="BK275" s="19"/>
    </row>
    <row r="276" customFormat="false" ht="16" hidden="false" customHeight="false" outlineLevel="0" collapsed="false">
      <c r="A276" s="0" t="n">
        <v>28</v>
      </c>
      <c r="B276" s="8" t="s">
        <v>24</v>
      </c>
      <c r="C276" s="9" t="s">
        <v>25</v>
      </c>
      <c r="D276" s="9" t="s">
        <v>26</v>
      </c>
      <c r="E276" s="10" t="n">
        <v>1789</v>
      </c>
      <c r="F276" s="9" t="s">
        <v>27</v>
      </c>
      <c r="G276" s="9" t="s">
        <v>27</v>
      </c>
      <c r="H276" s="11" t="n">
        <v>25</v>
      </c>
      <c r="I276" s="11" t="s">
        <v>357</v>
      </c>
      <c r="J276" s="14" t="n">
        <v>30</v>
      </c>
      <c r="K276" s="14"/>
      <c r="L276" s="16"/>
      <c r="M276" s="27" t="n">
        <f aca="false">J276+(K276/20)+(L276/240)</f>
        <v>30</v>
      </c>
      <c r="N276" s="17" t="s">
        <v>64</v>
      </c>
      <c r="O276" s="11"/>
      <c r="P276" s="28"/>
      <c r="Q276" s="28" t="str">
        <f aca="false">IF(O276&lt;&gt;"",P276*M276,"")</f>
        <v/>
      </c>
      <c r="R276" s="28"/>
      <c r="S276" s="28" t="n">
        <f aca="false">R276*$M276</f>
        <v>0</v>
      </c>
      <c r="T276" s="28"/>
      <c r="U276" s="28" t="n">
        <f aca="false">T276*$M276</f>
        <v>0</v>
      </c>
      <c r="V276" s="28" t="n">
        <f aca="false">8903/100</f>
        <v>89.03</v>
      </c>
      <c r="W276" s="28" t="n">
        <v>2671</v>
      </c>
      <c r="X276" s="28" t="n">
        <f aca="false">2591/100</f>
        <v>25.91</v>
      </c>
      <c r="Y276" s="28" t="n">
        <v>777</v>
      </c>
      <c r="Z276" s="28"/>
      <c r="AA276" s="28" t="n">
        <f aca="false">Z276*$M276</f>
        <v>0</v>
      </c>
      <c r="AB276" s="28" t="n">
        <f aca="false">17041/100</f>
        <v>170.41</v>
      </c>
      <c r="AC276" s="28" t="n">
        <v>5112</v>
      </c>
      <c r="AD276" s="28" t="n">
        <f aca="false">42963/100</f>
        <v>429.63</v>
      </c>
      <c r="AE276" s="28" t="n">
        <v>12889</v>
      </c>
      <c r="AF276" s="28"/>
      <c r="AG276" s="28" t="n">
        <f aca="false">AF276*$M276</f>
        <v>0</v>
      </c>
      <c r="AH276" s="28" t="n">
        <f aca="false">138369/100</f>
        <v>1383.69</v>
      </c>
      <c r="AI276" s="28" t="n">
        <v>41511</v>
      </c>
      <c r="AJ276" s="28"/>
      <c r="AK276" s="28" t="n">
        <f aca="false">AJ276*$M276</f>
        <v>0</v>
      </c>
      <c r="AL276" s="28"/>
      <c r="AM276" s="28" t="n">
        <f aca="false">AL276*$M276</f>
        <v>0</v>
      </c>
      <c r="AN276" s="28"/>
      <c r="AO276" s="28" t="n">
        <f aca="false">AN276*$M276</f>
        <v>0</v>
      </c>
      <c r="AP276" s="28"/>
      <c r="AQ276" s="28" t="n">
        <f aca="false">AP276*$M276</f>
        <v>0</v>
      </c>
      <c r="AR276" s="28"/>
      <c r="AS276" s="28" t="n">
        <f aca="false">AR276*$M276</f>
        <v>0</v>
      </c>
      <c r="AT276" s="28"/>
      <c r="AU276" s="28" t="n">
        <f aca="false">AT276*$M276</f>
        <v>0</v>
      </c>
      <c r="AV276" s="28"/>
      <c r="AW276" s="28" t="n">
        <f aca="false">AV276*$M276</f>
        <v>0</v>
      </c>
      <c r="AX276" s="28"/>
      <c r="AY276" s="28" t="n">
        <f aca="false">AX276*$M276</f>
        <v>0</v>
      </c>
      <c r="AZ276" s="28"/>
      <c r="BA276" s="28" t="n">
        <f aca="false">AZ276*$M276</f>
        <v>0</v>
      </c>
      <c r="BB276" s="30" t="n">
        <f aca="false">209867/100</f>
        <v>2098.67</v>
      </c>
      <c r="BC276" s="11" t="n">
        <v>62960</v>
      </c>
      <c r="BD276" s="31" t="n">
        <f aca="false">SUM(S276,U276,W276,Y276,AA276,AC276,AE276,AG276,AI276,AK276,AM276,AO276,AQ276,AS276,AU276,AW276,AY276,BA276)</f>
        <v>62960</v>
      </c>
      <c r="BE276" s="28" t="n">
        <f aca="false">BC276-BD276</f>
        <v>0</v>
      </c>
      <c r="BF276" s="32" t="n">
        <f aca="false">SUM(R276,T276,V276,X276,Z276,AB276,AD276,AF276,AH276,AJ276,AL276,AN276,AP276,AR276,AT276,AV276,AX276,AZ276)</f>
        <v>2098.67</v>
      </c>
      <c r="BG276" s="33" t="n">
        <f aca="false">BB276-BF276</f>
        <v>0</v>
      </c>
      <c r="BH276" s="34" t="n">
        <f aca="false">BF276*M276</f>
        <v>62960.1</v>
      </c>
      <c r="BI276" s="35" t="n">
        <f aca="false">BC276-BH276</f>
        <v>-0.100000000013097</v>
      </c>
      <c r="BJ276" s="19" t="str">
        <f aca="false">IF(BI276=0,"",IF(BI276&lt;&gt;BC276,"erreur de calcul",IF(BF276&lt;&gt;0,"pas de prix",IF(M276&lt;&gt; 0,"pas de quantité","pas de prix, ni de quantité"))))</f>
        <v>erreur de calcul</v>
      </c>
      <c r="BK276" s="19"/>
    </row>
    <row r="277" customFormat="false" ht="16" hidden="false" customHeight="false" outlineLevel="0" collapsed="false">
      <c r="A277" s="0" t="n">
        <v>29</v>
      </c>
      <c r="B277" s="8" t="s">
        <v>24</v>
      </c>
      <c r="C277" s="9" t="s">
        <v>25</v>
      </c>
      <c r="D277" s="9" t="s">
        <v>26</v>
      </c>
      <c r="E277" s="10" t="n">
        <v>1789</v>
      </c>
      <c r="F277" s="9" t="s">
        <v>27</v>
      </c>
      <c r="G277" s="9" t="s">
        <v>27</v>
      </c>
      <c r="H277" s="11" t="n">
        <v>25</v>
      </c>
      <c r="I277" s="11" t="s">
        <v>358</v>
      </c>
      <c r="J277" s="14" t="n">
        <v>35</v>
      </c>
      <c r="K277" s="14"/>
      <c r="L277" s="16"/>
      <c r="M277" s="27" t="n">
        <f aca="false">J277+(K277/20)+(L277/240)</f>
        <v>35</v>
      </c>
      <c r="N277" s="17" t="s">
        <v>64</v>
      </c>
      <c r="O277" s="11"/>
      <c r="P277" s="28"/>
      <c r="Q277" s="28" t="str">
        <f aca="false">IF(O277&lt;&gt;"",P277*M277,"")</f>
        <v/>
      </c>
      <c r="R277" s="28"/>
      <c r="S277" s="28" t="n">
        <f aca="false">R277*$M277</f>
        <v>0</v>
      </c>
      <c r="T277" s="28"/>
      <c r="U277" s="28" t="n">
        <f aca="false">T277*$M277</f>
        <v>0</v>
      </c>
      <c r="V277" s="28" t="n">
        <f aca="false">62095/100</f>
        <v>620.95</v>
      </c>
      <c r="W277" s="28" t="n">
        <v>21733</v>
      </c>
      <c r="X277" s="28" t="n">
        <f aca="false">257918/100</f>
        <v>2579.18</v>
      </c>
      <c r="Y277" s="28" t="n">
        <v>90271</v>
      </c>
      <c r="Z277" s="28" t="n">
        <f aca="false">10723/100</f>
        <v>107.23</v>
      </c>
      <c r="AA277" s="28" t="n">
        <v>3753</v>
      </c>
      <c r="AB277" s="28" t="n">
        <f aca="false">21191/100</f>
        <v>211.91</v>
      </c>
      <c r="AC277" s="28" t="n">
        <v>7417</v>
      </c>
      <c r="AD277" s="28" t="n">
        <f aca="false">308781/100</f>
        <v>3087.81</v>
      </c>
      <c r="AE277" s="28" t="n">
        <v>108073</v>
      </c>
      <c r="AF277" s="28"/>
      <c r="AG277" s="28" t="n">
        <f aca="false">AF277*$M277</f>
        <v>0</v>
      </c>
      <c r="AH277" s="28" t="n">
        <f aca="false">5225/100</f>
        <v>52.25</v>
      </c>
      <c r="AI277" s="28" t="n">
        <v>1829</v>
      </c>
      <c r="AJ277" s="28"/>
      <c r="AK277" s="28" t="n">
        <f aca="false">AJ277*$M277</f>
        <v>0</v>
      </c>
      <c r="AL277" s="28"/>
      <c r="AM277" s="28" t="n">
        <f aca="false">AL277*$M277</f>
        <v>0</v>
      </c>
      <c r="AN277" s="28"/>
      <c r="AO277" s="28" t="n">
        <f aca="false">AN277*$M277</f>
        <v>0</v>
      </c>
      <c r="AP277" s="28"/>
      <c r="AQ277" s="28" t="n">
        <f aca="false">AP277*$M277</f>
        <v>0</v>
      </c>
      <c r="AR277" s="28"/>
      <c r="AS277" s="28" t="n">
        <f aca="false">AR277*$M277</f>
        <v>0</v>
      </c>
      <c r="AT277" s="28"/>
      <c r="AU277" s="28" t="n">
        <f aca="false">AT277*$M277</f>
        <v>0</v>
      </c>
      <c r="AV277" s="28"/>
      <c r="AW277" s="28" t="n">
        <f aca="false">AV277*$M277</f>
        <v>0</v>
      </c>
      <c r="AX277" s="28"/>
      <c r="AY277" s="28" t="n">
        <f aca="false">AX277*$M277</f>
        <v>0</v>
      </c>
      <c r="AZ277" s="28"/>
      <c r="BA277" s="28" t="n">
        <f aca="false">AZ277*$M277</f>
        <v>0</v>
      </c>
      <c r="BB277" s="30" t="n">
        <f aca="false">665933/100</f>
        <v>6659.33</v>
      </c>
      <c r="BC277" s="11" t="n">
        <v>233076</v>
      </c>
      <c r="BD277" s="31" t="n">
        <f aca="false">SUM(S277,U277,W277,Y277,AA277,AC277,AE277,AG277,AI277,AK277,AM277,AO277,AQ277,AS277,AU277,AW277,AY277,BA277)</f>
        <v>233076</v>
      </c>
      <c r="BE277" s="28" t="n">
        <f aca="false">BC277-BD277</f>
        <v>0</v>
      </c>
      <c r="BF277" s="32" t="n">
        <f aca="false">SUM(R277,T277,V277,X277,Z277,AB277,AD277,AF277,AH277,AJ277,AL277,AN277,AP277,AR277,AT277,AV277,AX277,AZ277)</f>
        <v>6659.33</v>
      </c>
      <c r="BG277" s="33" t="n">
        <f aca="false">BB277-BF277</f>
        <v>0</v>
      </c>
      <c r="BH277" s="34" t="n">
        <f aca="false">BF277*M277</f>
        <v>233076.55</v>
      </c>
      <c r="BI277" s="35" t="n">
        <f aca="false">BC277-BH277</f>
        <v>-0.549999999959255</v>
      </c>
      <c r="BJ277" s="19" t="str">
        <f aca="false">IF(BI277=0,"",IF(BI277&lt;&gt;BC277,"erreur de calcul",IF(BF277&lt;&gt;0,"pas de prix",IF(M277&lt;&gt; 0,"pas de quantité","pas de prix, ni de quantité"))))</f>
        <v>erreur de calcul</v>
      </c>
      <c r="BK277" s="19"/>
    </row>
    <row r="278" customFormat="false" ht="16" hidden="false" customHeight="false" outlineLevel="0" collapsed="false">
      <c r="A278" s="0" t="n">
        <v>30</v>
      </c>
      <c r="B278" s="8" t="s">
        <v>24</v>
      </c>
      <c r="C278" s="9" t="s">
        <v>25</v>
      </c>
      <c r="D278" s="9" t="s">
        <v>26</v>
      </c>
      <c r="E278" s="10" t="n">
        <v>1789</v>
      </c>
      <c r="F278" s="9" t="s">
        <v>27</v>
      </c>
      <c r="G278" s="9" t="s">
        <v>27</v>
      </c>
      <c r="H278" s="11" t="n">
        <v>25</v>
      </c>
      <c r="I278" s="11" t="s">
        <v>359</v>
      </c>
      <c r="J278" s="14"/>
      <c r="K278" s="14"/>
      <c r="L278" s="16"/>
      <c r="M278" s="27" t="n">
        <f aca="false">J278+(K278/20)+(L278/240)</f>
        <v>0</v>
      </c>
      <c r="N278" s="17"/>
      <c r="O278" s="11" t="s">
        <v>109</v>
      </c>
      <c r="P278" s="28"/>
      <c r="Q278" s="28" t="n">
        <v>175</v>
      </c>
      <c r="R278" s="28"/>
      <c r="S278" s="28" t="n">
        <f aca="false">R278*$M278</f>
        <v>0</v>
      </c>
      <c r="T278" s="28"/>
      <c r="U278" s="28" t="n">
        <f aca="false">T278*$M278</f>
        <v>0</v>
      </c>
      <c r="V278" s="28"/>
      <c r="W278" s="28" t="n">
        <f aca="false">V278*$M278</f>
        <v>0</v>
      </c>
      <c r="X278" s="28"/>
      <c r="Y278" s="28" t="n">
        <f aca="false">X278*$M278</f>
        <v>0</v>
      </c>
      <c r="Z278" s="28"/>
      <c r="AA278" s="28" t="n">
        <f aca="false">Z278*$M278</f>
        <v>0</v>
      </c>
      <c r="AB278" s="28"/>
      <c r="AC278" s="28" t="n">
        <f aca="false">AB278*$M278</f>
        <v>0</v>
      </c>
      <c r="AD278" s="28"/>
      <c r="AE278" s="28" t="n">
        <f aca="false">AD278*$M278</f>
        <v>0</v>
      </c>
      <c r="AF278" s="28"/>
      <c r="AG278" s="28" t="n">
        <f aca="false">AF278*$M278</f>
        <v>0</v>
      </c>
      <c r="AH278" s="28"/>
      <c r="AI278" s="28" t="n">
        <f aca="false">AH278*$M278</f>
        <v>0</v>
      </c>
      <c r="AJ278" s="28"/>
      <c r="AK278" s="28" t="n">
        <f aca="false">AJ278*$M278</f>
        <v>0</v>
      </c>
      <c r="AL278" s="28"/>
      <c r="AM278" s="28" t="n">
        <f aca="false">AL278*$M278</f>
        <v>0</v>
      </c>
      <c r="AN278" s="28"/>
      <c r="AO278" s="28" t="n">
        <f aca="false">AN278*$M278</f>
        <v>0</v>
      </c>
      <c r="AP278" s="28"/>
      <c r="AQ278" s="28" t="n">
        <f aca="false">AP278*$M278</f>
        <v>0</v>
      </c>
      <c r="AR278" s="28"/>
      <c r="AS278" s="28" t="n">
        <f aca="false">AR278*$M278</f>
        <v>0</v>
      </c>
      <c r="AT278" s="28"/>
      <c r="AU278" s="28" t="n">
        <f aca="false">AT278*$M278</f>
        <v>0</v>
      </c>
      <c r="AV278" s="28"/>
      <c r="AW278" s="28" t="n">
        <f aca="false">AV278*$M278</f>
        <v>0</v>
      </c>
      <c r="AX278" s="28"/>
      <c r="AY278" s="28" t="n">
        <f aca="false">AX278*$M278</f>
        <v>0</v>
      </c>
      <c r="AZ278" s="28"/>
      <c r="BA278" s="28" t="n">
        <f aca="false">AZ278*$M278</f>
        <v>0</v>
      </c>
      <c r="BB278" s="30"/>
      <c r="BC278" s="11"/>
      <c r="BD278" s="31" t="n">
        <f aca="false">SUM(S278,U278,W278,Y278,AA278,AC278,AE278,AG278,AI278,AK278,AM278,AO278,AQ278,AS278,AU278,AW278,AY278,BA278)</f>
        <v>0</v>
      </c>
      <c r="BE278" s="28" t="n">
        <f aca="false">BC278-BD278</f>
        <v>0</v>
      </c>
      <c r="BF278" s="32" t="n">
        <f aca="false">SUM(R278,T278,V278,X278,Z278,AB278,AD278,AF278,AH278,AJ278,AL278,AN278,AP278,AR278,AT278,AV278,AX278,AZ278)</f>
        <v>0</v>
      </c>
      <c r="BG278" s="33" t="n">
        <f aca="false">BB278-BF278</f>
        <v>0</v>
      </c>
      <c r="BH278" s="34" t="n">
        <f aca="false">BF278*M278</f>
        <v>0</v>
      </c>
      <c r="BI278" s="35" t="n">
        <f aca="false">BC278-BH278</f>
        <v>0</v>
      </c>
      <c r="BJ278" s="19" t="str">
        <f aca="false">IF(BI278=0,"",IF(BI278&lt;&gt;BC278,"erreur de calcul",IF(BF278&lt;&gt;0,"pas de prix",IF(M278&lt;&gt; 0,"pas de quantité","pas de prix, ni de quantité"))))</f>
        <v/>
      </c>
      <c r="BK278" s="19"/>
    </row>
    <row r="279" customFormat="false" ht="16" hidden="false" customHeight="false" outlineLevel="0" collapsed="false">
      <c r="A279" s="0" t="n">
        <v>31</v>
      </c>
      <c r="B279" s="8" t="s">
        <v>24</v>
      </c>
      <c r="C279" s="9" t="s">
        <v>25</v>
      </c>
      <c r="D279" s="9" t="s">
        <v>26</v>
      </c>
      <c r="E279" s="10" t="n">
        <v>1789</v>
      </c>
      <c r="F279" s="9" t="s">
        <v>27</v>
      </c>
      <c r="G279" s="9" t="s">
        <v>27</v>
      </c>
      <c r="H279" s="11" t="n">
        <v>25</v>
      </c>
      <c r="I279" s="11" t="s">
        <v>359</v>
      </c>
      <c r="J279" s="14"/>
      <c r="K279" s="14"/>
      <c r="L279" s="16"/>
      <c r="M279" s="27" t="n">
        <f aca="false">J279+(K279/20)+(L279/240)</f>
        <v>0</v>
      </c>
      <c r="N279" s="17"/>
      <c r="O279" s="11" t="s">
        <v>277</v>
      </c>
      <c r="P279" s="28"/>
      <c r="Q279" s="28" t="n">
        <v>375</v>
      </c>
      <c r="R279" s="28"/>
      <c r="S279" s="28" t="n">
        <f aca="false">R279*$M279</f>
        <v>0</v>
      </c>
      <c r="T279" s="28"/>
      <c r="U279" s="28" t="n">
        <f aca="false">T279*$M279</f>
        <v>0</v>
      </c>
      <c r="V279" s="28"/>
      <c r="W279" s="28" t="n">
        <f aca="false">V279*$M279</f>
        <v>0</v>
      </c>
      <c r="X279" s="28"/>
      <c r="Y279" s="28" t="n">
        <f aca="false">X279*$M279</f>
        <v>0</v>
      </c>
      <c r="Z279" s="28"/>
      <c r="AA279" s="28" t="n">
        <v>1361</v>
      </c>
      <c r="AB279" s="28"/>
      <c r="AC279" s="28" t="n">
        <f aca="false">AB279*$M279</f>
        <v>0</v>
      </c>
      <c r="AD279" s="28"/>
      <c r="AE279" s="28" t="n">
        <v>1182</v>
      </c>
      <c r="AF279" s="28"/>
      <c r="AG279" s="28" t="n">
        <v>649</v>
      </c>
      <c r="AH279" s="28"/>
      <c r="AI279" s="28" t="n">
        <f aca="false">AH279*$M279</f>
        <v>0</v>
      </c>
      <c r="AJ279" s="28"/>
      <c r="AK279" s="28" t="n">
        <v>862</v>
      </c>
      <c r="AL279" s="28"/>
      <c r="AM279" s="28" t="n">
        <f aca="false">AL279*$M279</f>
        <v>0</v>
      </c>
      <c r="AN279" s="28"/>
      <c r="AO279" s="28" t="n">
        <f aca="false">AN279*$M279</f>
        <v>0</v>
      </c>
      <c r="AP279" s="28"/>
      <c r="AQ279" s="28" t="n">
        <f aca="false">AP279*$M279</f>
        <v>0</v>
      </c>
      <c r="AR279" s="28"/>
      <c r="AS279" s="28" t="n">
        <f aca="false">AR279*$M279</f>
        <v>0</v>
      </c>
      <c r="AT279" s="28"/>
      <c r="AU279" s="28" t="n">
        <f aca="false">AT279*$M279</f>
        <v>0</v>
      </c>
      <c r="AV279" s="28"/>
      <c r="AW279" s="28" t="n">
        <f aca="false">AV279*$M279</f>
        <v>0</v>
      </c>
      <c r="AX279" s="28"/>
      <c r="AY279" s="28" t="n">
        <f aca="false">AX279*$M279</f>
        <v>0</v>
      </c>
      <c r="AZ279" s="28"/>
      <c r="BA279" s="28" t="n">
        <f aca="false">AZ279*$M279</f>
        <v>0</v>
      </c>
      <c r="BB279" s="30"/>
      <c r="BC279" s="11" t="n">
        <v>4054</v>
      </c>
      <c r="BD279" s="31" t="n">
        <f aca="false">SUM(S279,U279,W279,Y279,AA279,AC279,AE279,AG279,AI279,AK279,AM279,AO279,AQ279,AS279,AU279,AW279,AY279,BA279)</f>
        <v>4054</v>
      </c>
      <c r="BE279" s="28" t="n">
        <f aca="false">BC279-BD279</f>
        <v>0</v>
      </c>
      <c r="BF279" s="32" t="n">
        <f aca="false">SUM(R279,T279,V279,X279,Z279,AB279,AD279,AF279,AH279,AJ279,AL279,AN279,AP279,AR279,AT279,AV279,AX279,AZ279)</f>
        <v>0</v>
      </c>
      <c r="BG279" s="33" t="n">
        <f aca="false">BB279-BF279</f>
        <v>0</v>
      </c>
      <c r="BH279" s="34" t="n">
        <f aca="false">BF279*M279</f>
        <v>0</v>
      </c>
      <c r="BI279" s="35" t="n">
        <f aca="false">BC279-BH279</f>
        <v>4054</v>
      </c>
      <c r="BJ279" s="19" t="str">
        <f aca="false">IF(BI279=0,"",IF(BI279&lt;&gt;BC279,"erreur de calcul",IF(BF279&lt;&gt;0,"pas de prix",IF(M279&lt;&gt; 0,"pas de quantité","pas de prix, ni de quantité"))))</f>
        <v>pas de prix, ni de quantité</v>
      </c>
      <c r="BK279" s="19"/>
    </row>
    <row r="280" customFormat="false" ht="16" hidden="false" customHeight="false" outlineLevel="0" collapsed="false">
      <c r="A280" s="0" t="n">
        <v>32</v>
      </c>
      <c r="B280" s="8" t="s">
        <v>24</v>
      </c>
      <c r="C280" s="9" t="s">
        <v>25</v>
      </c>
      <c r="D280" s="9" t="s">
        <v>26</v>
      </c>
      <c r="E280" s="10" t="n">
        <v>1789</v>
      </c>
      <c r="F280" s="9" t="s">
        <v>27</v>
      </c>
      <c r="G280" s="9" t="s">
        <v>27</v>
      </c>
      <c r="H280" s="11" t="n">
        <v>25</v>
      </c>
      <c r="I280" s="11" t="s">
        <v>360</v>
      </c>
      <c r="J280" s="14" t="n">
        <v>66</v>
      </c>
      <c r="K280" s="14"/>
      <c r="L280" s="16"/>
      <c r="M280" s="27" t="n">
        <f aca="false">J280+(K280/20)+(L280/240)</f>
        <v>66</v>
      </c>
      <c r="N280" s="17" t="s">
        <v>64</v>
      </c>
      <c r="O280" s="11"/>
      <c r="P280" s="28"/>
      <c r="Q280" s="28" t="str">
        <f aca="false">IF(O280&lt;&gt;"",P280*M280,"")</f>
        <v/>
      </c>
      <c r="R280" s="28"/>
      <c r="S280" s="28" t="n">
        <f aca="false">R280*$M280</f>
        <v>0</v>
      </c>
      <c r="T280" s="28"/>
      <c r="U280" s="28" t="n">
        <f aca="false">T280*$M280</f>
        <v>0</v>
      </c>
      <c r="V280" s="28"/>
      <c r="W280" s="28" t="n">
        <f aca="false">V280*$M280</f>
        <v>0</v>
      </c>
      <c r="X280" s="28"/>
      <c r="Y280" s="28" t="n">
        <f aca="false">X280*$M280</f>
        <v>0</v>
      </c>
      <c r="Z280" s="28"/>
      <c r="AA280" s="28" t="n">
        <f aca="false">Z280*$M280</f>
        <v>0</v>
      </c>
      <c r="AB280" s="28"/>
      <c r="AC280" s="28" t="n">
        <f aca="false">AB280*$M280</f>
        <v>0</v>
      </c>
      <c r="AD280" s="28"/>
      <c r="AE280" s="28" t="n">
        <f aca="false">AD280*$M280</f>
        <v>0</v>
      </c>
      <c r="AF280" s="28"/>
      <c r="AG280" s="28" t="n">
        <f aca="false">AF280*$M280</f>
        <v>0</v>
      </c>
      <c r="AH280" s="28"/>
      <c r="AI280" s="28" t="n">
        <f aca="false">AH280*$M280</f>
        <v>0</v>
      </c>
      <c r="AJ280" s="28" t="n">
        <f aca="false">75475/100</f>
        <v>754.75</v>
      </c>
      <c r="AK280" s="28" t="n">
        <v>49813</v>
      </c>
      <c r="AL280" s="28"/>
      <c r="AM280" s="28" t="n">
        <f aca="false">AL280*$M280</f>
        <v>0</v>
      </c>
      <c r="AN280" s="28"/>
      <c r="AO280" s="28" t="n">
        <f aca="false">AN280*$M280</f>
        <v>0</v>
      </c>
      <c r="AP280" s="28"/>
      <c r="AQ280" s="28" t="n">
        <f aca="false">AP280*$M280</f>
        <v>0</v>
      </c>
      <c r="AR280" s="28"/>
      <c r="AS280" s="28" t="n">
        <f aca="false">AR280*$M280</f>
        <v>0</v>
      </c>
      <c r="AT280" s="28"/>
      <c r="AU280" s="28" t="n">
        <f aca="false">AT280*$M280</f>
        <v>0</v>
      </c>
      <c r="AV280" s="28"/>
      <c r="AW280" s="28" t="n">
        <f aca="false">AV280*$M280</f>
        <v>0</v>
      </c>
      <c r="AX280" s="28"/>
      <c r="AY280" s="28" t="n">
        <f aca="false">AX280*$M280</f>
        <v>0</v>
      </c>
      <c r="AZ280" s="28"/>
      <c r="BA280" s="28" t="n">
        <f aca="false">AZ280*$M280</f>
        <v>0</v>
      </c>
      <c r="BB280" s="30" t="n">
        <f aca="false">75475/100</f>
        <v>754.75</v>
      </c>
      <c r="BC280" s="11" t="n">
        <v>49813</v>
      </c>
      <c r="BD280" s="31" t="n">
        <f aca="false">SUM(S280,U280,W280,Y280,AA280,AC280,AE280,AG280,AI280,AK280,AM280,AO280,AQ280,AS280,AU280,AW280,AY280,BA280)</f>
        <v>49813</v>
      </c>
      <c r="BE280" s="28" t="n">
        <f aca="false">BC280-BD280</f>
        <v>0</v>
      </c>
      <c r="BF280" s="32" t="n">
        <f aca="false">SUM(R280,T280,V280,X280,Z280,AB280,AD280,AF280,AH280,AJ280,AL280,AN280,AP280,AR280,AT280,AV280,AX280,AZ280)</f>
        <v>754.75</v>
      </c>
      <c r="BG280" s="33" t="n">
        <f aca="false">BB280-BF280</f>
        <v>0</v>
      </c>
      <c r="BH280" s="34" t="n">
        <f aca="false">BF280*M280</f>
        <v>49813.5</v>
      </c>
      <c r="BI280" s="35" t="n">
        <f aca="false">BC280-BH280</f>
        <v>-0.5</v>
      </c>
      <c r="BJ280" s="19" t="str">
        <f aca="false">IF(BI280=0,"",IF(BI280&lt;&gt;BC280,"erreur de calcul",IF(BF280&lt;&gt;0,"pas de prix",IF(M280&lt;&gt; 0,"pas de quantité","pas de prix, ni de quantité"))))</f>
        <v>erreur de calcul</v>
      </c>
      <c r="BK280" s="19"/>
    </row>
    <row r="281" customFormat="false" ht="16" hidden="false" customHeight="false" outlineLevel="0" collapsed="false">
      <c r="A281" s="0" t="n">
        <v>33</v>
      </c>
      <c r="B281" s="8" t="s">
        <v>24</v>
      </c>
      <c r="C281" s="9" t="s">
        <v>25</v>
      </c>
      <c r="D281" s="9" t="s">
        <v>26</v>
      </c>
      <c r="E281" s="10" t="n">
        <v>1789</v>
      </c>
      <c r="F281" s="9" t="s">
        <v>27</v>
      </c>
      <c r="G281" s="9" t="s">
        <v>27</v>
      </c>
      <c r="H281" s="11" t="n">
        <v>25</v>
      </c>
      <c r="I281" s="11" t="s">
        <v>361</v>
      </c>
      <c r="J281" s="14" t="n">
        <v>175</v>
      </c>
      <c r="K281" s="14"/>
      <c r="L281" s="16"/>
      <c r="M281" s="27" t="n">
        <f aca="false">J281+(K281/20)+(L281/240)</f>
        <v>175</v>
      </c>
      <c r="N281" s="17" t="s">
        <v>64</v>
      </c>
      <c r="O281" s="11" t="s">
        <v>77</v>
      </c>
      <c r="P281" s="28" t="n">
        <f aca="false">183199/100</f>
        <v>1831.99</v>
      </c>
      <c r="Q281" s="28" t="n">
        <v>320598</v>
      </c>
      <c r="R281" s="28" t="n">
        <f aca="false">1514/100</f>
        <v>15.14</v>
      </c>
      <c r="S281" s="28" t="n">
        <v>2649</v>
      </c>
      <c r="T281" s="28"/>
      <c r="U281" s="28" t="n">
        <f aca="false">T281*$M281</f>
        <v>0</v>
      </c>
      <c r="V281" s="28" t="n">
        <f aca="false">170926/100</f>
        <v>1709.26</v>
      </c>
      <c r="W281" s="28" t="n">
        <v>299120</v>
      </c>
      <c r="X281" s="28" t="n">
        <f aca="false">16985/100</f>
        <v>169.85</v>
      </c>
      <c r="Y281" s="28" t="n">
        <v>29724</v>
      </c>
      <c r="Z281" s="28" t="n">
        <f aca="false">4530/100</f>
        <v>45.3</v>
      </c>
      <c r="AA281" s="28" t="n">
        <v>7927</v>
      </c>
      <c r="AB281" s="28"/>
      <c r="AC281" s="28" t="n">
        <f aca="false">AB281*$M281</f>
        <v>0</v>
      </c>
      <c r="AD281" s="28" t="n">
        <f aca="false">33770/100</f>
        <v>337.7</v>
      </c>
      <c r="AE281" s="28" t="n">
        <v>59097</v>
      </c>
      <c r="AF281" s="28"/>
      <c r="AG281" s="28" t="n">
        <f aca="false">AF281*$M281</f>
        <v>0</v>
      </c>
      <c r="AH281" s="28" t="n">
        <f aca="false">4712/100</f>
        <v>47.12</v>
      </c>
      <c r="AI281" s="28" t="n">
        <v>8246</v>
      </c>
      <c r="AJ281" s="28" t="n">
        <f aca="false">55822/100</f>
        <v>558.22</v>
      </c>
      <c r="AK281" s="28" t="n">
        <v>97688</v>
      </c>
      <c r="AL281" s="28"/>
      <c r="AM281" s="28" t="n">
        <f aca="false">AL281*$M281</f>
        <v>0</v>
      </c>
      <c r="AN281" s="28"/>
      <c r="AO281" s="28" t="n">
        <f aca="false">AN281*$M281</f>
        <v>0</v>
      </c>
      <c r="AP281" s="28"/>
      <c r="AQ281" s="28" t="n">
        <f aca="false">AP281*$M281</f>
        <v>0</v>
      </c>
      <c r="AR281" s="28"/>
      <c r="AS281" s="28" t="n">
        <f aca="false">AR281*$M281</f>
        <v>0</v>
      </c>
      <c r="AT281" s="28"/>
      <c r="AU281" s="28" t="n">
        <f aca="false">AT281*$M281</f>
        <v>0</v>
      </c>
      <c r="AV281" s="28"/>
      <c r="AW281" s="28" t="n">
        <f aca="false">AV281*$M281</f>
        <v>0</v>
      </c>
      <c r="AX281" s="28"/>
      <c r="AY281" s="28" t="n">
        <f aca="false">AX281*$M281</f>
        <v>0</v>
      </c>
      <c r="AZ281" s="28"/>
      <c r="BA281" s="28" t="n">
        <f aca="false">AZ281*$M281</f>
        <v>0</v>
      </c>
      <c r="BB281" s="30" t="n">
        <f aca="false">288259/100</f>
        <v>2882.59</v>
      </c>
      <c r="BC281" s="11" t="n">
        <v>504451</v>
      </c>
      <c r="BD281" s="31" t="n">
        <f aca="false">SUM(S281,U281,W281,Y281,AA281,AC281,AE281,AG281,AI281,AK281,AM281,AO281,AQ281,AS281,AU281,AW281,AY281,BA281)</f>
        <v>504451</v>
      </c>
      <c r="BE281" s="28" t="n">
        <f aca="false">BC281-BD281</f>
        <v>0</v>
      </c>
      <c r="BF281" s="32" t="n">
        <f aca="false">SUM(R281,T281,V281,X281,Z281,AB281,AD281,AF281,AH281,AJ281,AL281,AN281,AP281,AR281,AT281,AV281,AX281,AZ281)</f>
        <v>2882.59</v>
      </c>
      <c r="BG281" s="33" t="n">
        <f aca="false">BB281-BF281</f>
        <v>0</v>
      </c>
      <c r="BH281" s="34" t="n">
        <f aca="false">BF281*M281</f>
        <v>504453.25</v>
      </c>
      <c r="BI281" s="35" t="n">
        <f aca="false">BC281-BH281</f>
        <v>-2.24999999994179</v>
      </c>
      <c r="BJ281" s="19" t="str">
        <f aca="false">IF(BI281=0,"",IF(BI281&lt;&gt;BC281,"erreur de calcul",IF(BF281&lt;&gt;0,"pas de prix",IF(M281&lt;&gt; 0,"pas de quantité","pas de prix, ni de quantité"))))</f>
        <v>erreur de calcul</v>
      </c>
      <c r="BK281" s="19"/>
    </row>
    <row r="282" customFormat="false" ht="16" hidden="false" customHeight="false" outlineLevel="0" collapsed="false">
      <c r="A282" s="0" t="n">
        <v>34</v>
      </c>
      <c r="B282" s="8" t="s">
        <v>24</v>
      </c>
      <c r="C282" s="9" t="s">
        <v>25</v>
      </c>
      <c r="D282" s="9" t="s">
        <v>26</v>
      </c>
      <c r="E282" s="10" t="n">
        <v>1789</v>
      </c>
      <c r="F282" s="9" t="s">
        <v>27</v>
      </c>
      <c r="G282" s="9" t="s">
        <v>27</v>
      </c>
      <c r="H282" s="11" t="n">
        <v>25</v>
      </c>
      <c r="I282" s="11" t="s">
        <v>362</v>
      </c>
      <c r="J282" s="14" t="n">
        <v>150</v>
      </c>
      <c r="K282" s="14"/>
      <c r="L282" s="16"/>
      <c r="M282" s="27" t="n">
        <f aca="false">J282+(K282/20)+(L282/240)</f>
        <v>150</v>
      </c>
      <c r="N282" s="17" t="s">
        <v>64</v>
      </c>
      <c r="O282" s="11"/>
      <c r="P282" s="28"/>
      <c r="Q282" s="28" t="str">
        <f aca="false">IF(O282&lt;&gt;"",P282*M282,"")</f>
        <v/>
      </c>
      <c r="R282" s="28"/>
      <c r="S282" s="28" t="n">
        <f aca="false">R282*$M282</f>
        <v>0</v>
      </c>
      <c r="T282" s="28"/>
      <c r="U282" s="28" t="n">
        <f aca="false">T282*$M282</f>
        <v>0</v>
      </c>
      <c r="V282" s="28" t="n">
        <f aca="false">1842/100</f>
        <v>18.42</v>
      </c>
      <c r="W282" s="28" t="n">
        <v>2763</v>
      </c>
      <c r="X282" s="28" t="n">
        <f aca="false">684/100</f>
        <v>6.84</v>
      </c>
      <c r="Y282" s="28" t="n">
        <v>1026</v>
      </c>
      <c r="Z282" s="28"/>
      <c r="AA282" s="28" t="n">
        <f aca="false">Z282*$M282</f>
        <v>0</v>
      </c>
      <c r="AB282" s="28"/>
      <c r="AC282" s="28" t="n">
        <f aca="false">AB282*$M282</f>
        <v>0</v>
      </c>
      <c r="AD282" s="28"/>
      <c r="AE282" s="28" t="n">
        <f aca="false">AD282*$M282</f>
        <v>0</v>
      </c>
      <c r="AF282" s="28"/>
      <c r="AG282" s="28" t="n">
        <f aca="false">AF282*$M282</f>
        <v>0</v>
      </c>
      <c r="AH282" s="28"/>
      <c r="AI282" s="28" t="n">
        <f aca="false">AH282*$M282</f>
        <v>0</v>
      </c>
      <c r="AJ282" s="28"/>
      <c r="AK282" s="28" t="n">
        <f aca="false">AJ282*$M282</f>
        <v>0</v>
      </c>
      <c r="AL282" s="28"/>
      <c r="AM282" s="28" t="n">
        <f aca="false">AL282*$M282</f>
        <v>0</v>
      </c>
      <c r="AN282" s="28"/>
      <c r="AO282" s="28" t="n">
        <f aca="false">AN282*$M282</f>
        <v>0</v>
      </c>
      <c r="AP282" s="28"/>
      <c r="AQ282" s="28" t="n">
        <f aca="false">AP282*$M282</f>
        <v>0</v>
      </c>
      <c r="AR282" s="28"/>
      <c r="AS282" s="28" t="n">
        <f aca="false">AR282*$M282</f>
        <v>0</v>
      </c>
      <c r="AT282" s="28"/>
      <c r="AU282" s="28" t="n">
        <f aca="false">AT282*$M282</f>
        <v>0</v>
      </c>
      <c r="AV282" s="28"/>
      <c r="AW282" s="28" t="n">
        <f aca="false">AV282*$M282</f>
        <v>0</v>
      </c>
      <c r="AX282" s="28"/>
      <c r="AY282" s="28" t="n">
        <f aca="false">AX282*$M282</f>
        <v>0</v>
      </c>
      <c r="AZ282" s="28"/>
      <c r="BA282" s="28" t="n">
        <f aca="false">AZ282*$M282</f>
        <v>0</v>
      </c>
      <c r="BB282" s="30" t="n">
        <f aca="false">2526/100</f>
        <v>25.26</v>
      </c>
      <c r="BC282" s="11" t="n">
        <v>3789</v>
      </c>
      <c r="BD282" s="31" t="n">
        <f aca="false">SUM(S282,U282,W282,Y282,AA282,AC282,AE282,AG282,AI282,AK282,AM282,AO282,AQ282,AS282,AU282,AW282,AY282,BA282)</f>
        <v>3789</v>
      </c>
      <c r="BE282" s="28" t="n">
        <f aca="false">BC282-BD282</f>
        <v>0</v>
      </c>
      <c r="BF282" s="32" t="n">
        <f aca="false">SUM(R282,T282,V282,X282,Z282,AB282,AD282,AF282,AH282,AJ282,AL282,AN282,AP282,AR282,AT282,AV282,AX282,AZ282)</f>
        <v>25.26</v>
      </c>
      <c r="BG282" s="33" t="n">
        <f aca="false">BB282-BF282</f>
        <v>0</v>
      </c>
      <c r="BH282" s="34" t="n">
        <f aca="false">BF282*M282</f>
        <v>3789</v>
      </c>
      <c r="BI282" s="35" t="n">
        <f aca="false">BC282-BH282</f>
        <v>0</v>
      </c>
      <c r="BJ282" s="19" t="str">
        <f aca="false">IF(BI282=0,"",IF(BI282&lt;&gt;BC282,"erreur de calcul",IF(BF282&lt;&gt;0,"pas de prix",IF(M282&lt;&gt; 0,"pas de quantité","pas de prix, ni de quantité"))))</f>
        <v/>
      </c>
      <c r="BK282" s="19"/>
    </row>
    <row r="283" customFormat="false" ht="16" hidden="false" customHeight="false" outlineLevel="0" collapsed="false">
      <c r="A283" s="0" t="n">
        <v>35</v>
      </c>
      <c r="B283" s="8" t="s">
        <v>24</v>
      </c>
      <c r="C283" s="9" t="s">
        <v>25</v>
      </c>
      <c r="D283" s="9" t="s">
        <v>26</v>
      </c>
      <c r="E283" s="10" t="n">
        <v>1789</v>
      </c>
      <c r="F283" s="9" t="s">
        <v>27</v>
      </c>
      <c r="G283" s="9" t="s">
        <v>27</v>
      </c>
      <c r="H283" s="11" t="n">
        <v>25</v>
      </c>
      <c r="I283" s="11" t="s">
        <v>363</v>
      </c>
      <c r="J283" s="14" t="n">
        <v>150</v>
      </c>
      <c r="K283" s="14"/>
      <c r="L283" s="16"/>
      <c r="M283" s="27" t="n">
        <f aca="false">J283+(K283/20)+(L283/240)</f>
        <v>150</v>
      </c>
      <c r="N283" s="17" t="s">
        <v>64</v>
      </c>
      <c r="O283" s="11" t="s">
        <v>77</v>
      </c>
      <c r="P283" s="28" t="n">
        <f aca="false">8567/100</f>
        <v>85.67</v>
      </c>
      <c r="Q283" s="28" t="n">
        <v>12850</v>
      </c>
      <c r="R283" s="28"/>
      <c r="S283" s="28" t="n">
        <f aca="false">R283*$M283</f>
        <v>0</v>
      </c>
      <c r="T283" s="28"/>
      <c r="U283" s="28" t="n">
        <f aca="false">T283*$M283</f>
        <v>0</v>
      </c>
      <c r="V283" s="28"/>
      <c r="W283" s="28" t="n">
        <f aca="false">V283*$M283</f>
        <v>0</v>
      </c>
      <c r="X283" s="28" t="n">
        <f aca="false">1501/100</f>
        <v>15.01</v>
      </c>
      <c r="Y283" s="28" t="n">
        <v>2251</v>
      </c>
      <c r="Z283" s="28"/>
      <c r="AA283" s="28" t="n">
        <f aca="false">Z283*$M283</f>
        <v>0</v>
      </c>
      <c r="AB283" s="28" t="n">
        <f aca="false">6420/100</f>
        <v>64.2</v>
      </c>
      <c r="AC283" s="28" t="n">
        <v>9630</v>
      </c>
      <c r="AD283" s="28"/>
      <c r="AE283" s="28" t="n">
        <f aca="false">AD283*$M283</f>
        <v>0</v>
      </c>
      <c r="AF283" s="28"/>
      <c r="AG283" s="28" t="n">
        <f aca="false">AF283*$M283</f>
        <v>0</v>
      </c>
      <c r="AH283" s="28"/>
      <c r="AI283" s="28" t="n">
        <f aca="false">AH283*$M283</f>
        <v>0</v>
      </c>
      <c r="AJ283" s="28" t="n">
        <f aca="false">138039/100</f>
        <v>1380.39</v>
      </c>
      <c r="AK283" s="28" t="n">
        <v>207058</v>
      </c>
      <c r="AL283" s="28"/>
      <c r="AM283" s="28" t="n">
        <f aca="false">AL283*$M283</f>
        <v>0</v>
      </c>
      <c r="AN283" s="28" t="n">
        <f aca="false">917/100</f>
        <v>9.17</v>
      </c>
      <c r="AO283" s="28" t="n">
        <v>1375</v>
      </c>
      <c r="AP283" s="28"/>
      <c r="AQ283" s="28" t="n">
        <f aca="false">AP283*$M283</f>
        <v>0</v>
      </c>
      <c r="AR283" s="28"/>
      <c r="AS283" s="28" t="n">
        <f aca="false">AR283*$M283</f>
        <v>0</v>
      </c>
      <c r="AT283" s="28"/>
      <c r="AU283" s="28" t="n">
        <f aca="false">AT283*$M283</f>
        <v>0</v>
      </c>
      <c r="AV283" s="28"/>
      <c r="AW283" s="28" t="n">
        <f aca="false">AV283*$M283</f>
        <v>0</v>
      </c>
      <c r="AX283" s="28"/>
      <c r="AY283" s="28" t="n">
        <f aca="false">AX283*$M283</f>
        <v>0</v>
      </c>
      <c r="AZ283" s="28"/>
      <c r="BA283" s="28" t="n">
        <f aca="false">AZ283*$M283</f>
        <v>0</v>
      </c>
      <c r="BB283" s="30" t="n">
        <f aca="false">146877/100</f>
        <v>1468.77</v>
      </c>
      <c r="BC283" s="11" t="n">
        <v>220314</v>
      </c>
      <c r="BD283" s="31" t="n">
        <f aca="false">SUM(S283,U283,W283,Y283,AA283,AC283,AE283,AG283,AI283,AK283,AM283,AO283,AQ283,AS283,AU283,AW283,AY283,BA283)</f>
        <v>220314</v>
      </c>
      <c r="BE283" s="28" t="n">
        <f aca="false">BC283-BD283</f>
        <v>0</v>
      </c>
      <c r="BF283" s="32" t="n">
        <f aca="false">SUM(R283,T283,V283,X283,Z283,AB283,AD283,AF283,AH283,AJ283,AL283,AN283,AP283,AR283,AT283,AV283,AX283,AZ283)</f>
        <v>1468.77</v>
      </c>
      <c r="BG283" s="33" t="n">
        <f aca="false">BB283-BF283</f>
        <v>0</v>
      </c>
      <c r="BH283" s="34" t="n">
        <f aca="false">BF283*M283</f>
        <v>220315.5</v>
      </c>
      <c r="BI283" s="35" t="n">
        <f aca="false">BC283-BH283</f>
        <v>-1.5000000000291</v>
      </c>
      <c r="BJ283" s="19" t="str">
        <f aca="false">IF(BI283=0,"",IF(BI283&lt;&gt;BC283,"erreur de calcul",IF(BF283&lt;&gt;0,"pas de prix",IF(M283&lt;&gt; 0,"pas de quantité","pas de prix, ni de quantité"))))</f>
        <v>erreur de calcul</v>
      </c>
      <c r="BK283" s="19"/>
    </row>
    <row r="284" customFormat="false" ht="16" hidden="false" customHeight="false" outlineLevel="0" collapsed="false">
      <c r="A284" s="0" t="n">
        <v>36</v>
      </c>
      <c r="B284" s="8" t="s">
        <v>24</v>
      </c>
      <c r="C284" s="9" t="s">
        <v>25</v>
      </c>
      <c r="D284" s="9" t="s">
        <v>26</v>
      </c>
      <c r="E284" s="10" t="n">
        <v>1789</v>
      </c>
      <c r="F284" s="9" t="s">
        <v>27</v>
      </c>
      <c r="G284" s="9" t="s">
        <v>27</v>
      </c>
      <c r="H284" s="11" t="n">
        <v>25</v>
      </c>
      <c r="I284" s="11" t="s">
        <v>364</v>
      </c>
      <c r="J284" s="14" t="n">
        <v>122</v>
      </c>
      <c r="K284" s="14"/>
      <c r="L284" s="16"/>
      <c r="M284" s="27" t="n">
        <f aca="false">J284+(K284/20)+(L284/240)</f>
        <v>122</v>
      </c>
      <c r="N284" s="17" t="s">
        <v>64</v>
      </c>
      <c r="O284" s="11" t="s">
        <v>77</v>
      </c>
      <c r="P284" s="28" t="n">
        <f aca="false">8362/100</f>
        <v>83.62</v>
      </c>
      <c r="Q284" s="28" t="n">
        <v>10202</v>
      </c>
      <c r="R284" s="28" t="n">
        <f aca="false">2402/100</f>
        <v>24.02</v>
      </c>
      <c r="S284" s="28" t="n">
        <v>2930</v>
      </c>
      <c r="T284" s="28"/>
      <c r="U284" s="28" t="n">
        <f aca="false">T284*$M284</f>
        <v>0</v>
      </c>
      <c r="V284" s="28" t="n">
        <f aca="false">3566/100</f>
        <v>35.66</v>
      </c>
      <c r="W284" s="36" t="n">
        <v>4550</v>
      </c>
      <c r="X284" s="28" t="n">
        <f aca="false">917/100</f>
        <v>9.17</v>
      </c>
      <c r="Y284" s="28" t="n">
        <v>1119</v>
      </c>
      <c r="Z284" s="28"/>
      <c r="AA284" s="28" t="n">
        <f aca="false">Z284*$M284</f>
        <v>0</v>
      </c>
      <c r="AB284" s="28"/>
      <c r="AC284" s="28" t="n">
        <f aca="false">AB284*$M284</f>
        <v>0</v>
      </c>
      <c r="AD284" s="28" t="n">
        <f aca="false">28087/100</f>
        <v>280.87</v>
      </c>
      <c r="AE284" s="28" t="n">
        <v>34266</v>
      </c>
      <c r="AF284" s="28" t="n">
        <f aca="false">1505/100</f>
        <v>15.05</v>
      </c>
      <c r="AG284" s="28" t="n">
        <v>1836</v>
      </c>
      <c r="AH284" s="28"/>
      <c r="AI284" s="28" t="n">
        <f aca="false">AH284*$M284</f>
        <v>0</v>
      </c>
      <c r="AJ284" s="28" t="n">
        <f aca="false">15314/100</f>
        <v>153.14</v>
      </c>
      <c r="AK284" s="28" t="n">
        <v>18683</v>
      </c>
      <c r="AL284" s="28"/>
      <c r="AM284" s="28" t="n">
        <f aca="false">AL284*$M284</f>
        <v>0</v>
      </c>
      <c r="AN284" s="28"/>
      <c r="AO284" s="28" t="n">
        <f aca="false">AN284*$M284</f>
        <v>0</v>
      </c>
      <c r="AP284" s="28"/>
      <c r="AQ284" s="28" t="n">
        <f aca="false">AP284*$M284</f>
        <v>0</v>
      </c>
      <c r="AR284" s="28"/>
      <c r="AS284" s="28" t="n">
        <f aca="false">AR284*$M284</f>
        <v>0</v>
      </c>
      <c r="AT284" s="28"/>
      <c r="AU284" s="28" t="n">
        <f aca="false">AT284*$M284</f>
        <v>0</v>
      </c>
      <c r="AV284" s="28"/>
      <c r="AW284" s="28" t="n">
        <f aca="false">AV284*$M284</f>
        <v>0</v>
      </c>
      <c r="AX284" s="28"/>
      <c r="AY284" s="28" t="n">
        <f aca="false">AX284*$M284</f>
        <v>0</v>
      </c>
      <c r="AZ284" s="28"/>
      <c r="BA284" s="28" t="n">
        <f aca="false">AZ284*$M284</f>
        <v>0</v>
      </c>
      <c r="BB284" s="30" t="n">
        <f aca="false">51791/100</f>
        <v>517.91</v>
      </c>
      <c r="BC284" s="11" t="n">
        <v>63384</v>
      </c>
      <c r="BD284" s="31" t="n">
        <f aca="false">SUM(S284,U284,W284,Y284,AA284,AC284,AE284,AG284,AI284,AK284,AM284,AO284,AQ284,AS284,AU284,AW284,AY284,BA284)</f>
        <v>63384</v>
      </c>
      <c r="BE284" s="28" t="n">
        <f aca="false">BC284-BD284</f>
        <v>0</v>
      </c>
      <c r="BF284" s="32" t="n">
        <f aca="false">SUM(R284,T284,V284,X284,Z284,AB284,AD284,AF284,AH284,AJ284,AL284,AN284,AP284,AR284,AT284,AV284,AX284,AZ284)</f>
        <v>517.91</v>
      </c>
      <c r="BG284" s="33" t="n">
        <f aca="false">BB284-BF284</f>
        <v>0</v>
      </c>
      <c r="BH284" s="34" t="n">
        <f aca="false">BF284*M284</f>
        <v>63185.02</v>
      </c>
      <c r="BI284" s="35" t="n">
        <f aca="false">BC284-BH284</f>
        <v>198.980000000003</v>
      </c>
      <c r="BJ284" s="19" t="str">
        <f aca="false">IF(BI284=0,"",IF(BI284&lt;&gt;BC284,"erreur de calcul",IF(BF284&lt;&gt;0,"pas de prix",IF(M284&lt;&gt; 0,"pas de quantité","pas de prix, ni de quantité"))))</f>
        <v>erreur de calcul</v>
      </c>
      <c r="BK284" s="19"/>
    </row>
    <row r="285" customFormat="false" ht="16" hidden="false" customHeight="false" outlineLevel="0" collapsed="false">
      <c r="A285" s="0" t="n">
        <v>37</v>
      </c>
      <c r="B285" s="8" t="s">
        <v>24</v>
      </c>
      <c r="C285" s="9" t="s">
        <v>25</v>
      </c>
      <c r="D285" s="9" t="s">
        <v>26</v>
      </c>
      <c r="E285" s="10" t="n">
        <v>1789</v>
      </c>
      <c r="F285" s="9" t="s">
        <v>27</v>
      </c>
      <c r="G285" s="9" t="s">
        <v>27</v>
      </c>
      <c r="H285" s="11" t="n">
        <v>25</v>
      </c>
      <c r="I285" s="11" t="s">
        <v>365</v>
      </c>
      <c r="J285" s="14" t="n">
        <v>107</v>
      </c>
      <c r="K285" s="14"/>
      <c r="L285" s="16"/>
      <c r="M285" s="27" t="n">
        <f aca="false">J285+(K285/20)+(L285/240)</f>
        <v>107</v>
      </c>
      <c r="N285" s="17" t="s">
        <v>64</v>
      </c>
      <c r="O285" s="11" t="s">
        <v>77</v>
      </c>
      <c r="P285" s="28" t="n">
        <f aca="false">1390/100</f>
        <v>13.9</v>
      </c>
      <c r="Q285" s="28" t="n">
        <v>1487</v>
      </c>
      <c r="R285" s="28"/>
      <c r="S285" s="28" t="n">
        <f aca="false">R285*$M285</f>
        <v>0</v>
      </c>
      <c r="T285" s="28"/>
      <c r="U285" s="28" t="n">
        <f aca="false">T285*$M285</f>
        <v>0</v>
      </c>
      <c r="V285" s="28" t="n">
        <f aca="false">1834/100</f>
        <v>18.34</v>
      </c>
      <c r="W285" s="28" t="n">
        <v>1962</v>
      </c>
      <c r="X285" s="28"/>
      <c r="Y285" s="28" t="n">
        <f aca="false">X285*$M285</f>
        <v>0</v>
      </c>
      <c r="Z285" s="28"/>
      <c r="AA285" s="28" t="n">
        <f aca="false">Z285*$M285</f>
        <v>0</v>
      </c>
      <c r="AB285" s="28"/>
      <c r="AC285" s="28" t="n">
        <f aca="false">AB285*$M285</f>
        <v>0</v>
      </c>
      <c r="AD285" s="28"/>
      <c r="AE285" s="28" t="n">
        <f aca="false">AD285*$M285</f>
        <v>0</v>
      </c>
      <c r="AF285" s="28"/>
      <c r="AG285" s="28" t="n">
        <f aca="false">AF285*$M285</f>
        <v>0</v>
      </c>
      <c r="AH285" s="28" t="n">
        <f aca="false">5202/100</f>
        <v>52.02</v>
      </c>
      <c r="AI285" s="28" t="n">
        <v>5566</v>
      </c>
      <c r="AJ285" s="28"/>
      <c r="AK285" s="28" t="n">
        <f aca="false">AJ285*$M285</f>
        <v>0</v>
      </c>
      <c r="AL285" s="28" t="n">
        <f aca="false">3209/100</f>
        <v>32.09</v>
      </c>
      <c r="AM285" s="28" t="n">
        <v>3434</v>
      </c>
      <c r="AN285" s="28" t="n">
        <f aca="false">80682/100</f>
        <v>806.82</v>
      </c>
      <c r="AO285" s="28" t="n">
        <v>86329</v>
      </c>
      <c r="AP285" s="28"/>
      <c r="AQ285" s="28" t="n">
        <f aca="false">AP285*$M285</f>
        <v>0</v>
      </c>
      <c r="AR285" s="28"/>
      <c r="AS285" s="28" t="n">
        <f aca="false">AR285*$M285</f>
        <v>0</v>
      </c>
      <c r="AT285" s="28"/>
      <c r="AU285" s="28" t="n">
        <f aca="false">AT285*$M285</f>
        <v>0</v>
      </c>
      <c r="AV285" s="28"/>
      <c r="AW285" s="28" t="n">
        <f aca="false">AV285*$M285</f>
        <v>0</v>
      </c>
      <c r="AX285" s="28"/>
      <c r="AY285" s="28" t="n">
        <f aca="false">AX285*$M285</f>
        <v>0</v>
      </c>
      <c r="AZ285" s="28"/>
      <c r="BA285" s="28" t="n">
        <f aca="false">AZ285*$M285</f>
        <v>0</v>
      </c>
      <c r="BB285" s="30" t="n">
        <f aca="false">90927/100</f>
        <v>909.27</v>
      </c>
      <c r="BC285" s="11" t="n">
        <v>97291</v>
      </c>
      <c r="BD285" s="31" t="n">
        <f aca="false">SUM(S285,U285,W285,Y285,AA285,AC285,AE285,AG285,AI285,AK285,AM285,AO285,AQ285,AS285,AU285,AW285,AY285,BA285)</f>
        <v>97291</v>
      </c>
      <c r="BE285" s="28" t="n">
        <f aca="false">BC285-BD285</f>
        <v>0</v>
      </c>
      <c r="BF285" s="32" t="n">
        <f aca="false">SUM(R285,T285,V285,X285,Z285,AB285,AD285,AF285,AH285,AJ285,AL285,AN285,AP285,AR285,AT285,AV285,AX285,AZ285)</f>
        <v>909.27</v>
      </c>
      <c r="BG285" s="33" t="n">
        <f aca="false">BB285-BF285</f>
        <v>0</v>
      </c>
      <c r="BH285" s="34" t="n">
        <f aca="false">BF285*M285</f>
        <v>97291.89</v>
      </c>
      <c r="BI285" s="35" t="n">
        <f aca="false">BC285-BH285</f>
        <v>-0.89000000001397</v>
      </c>
      <c r="BJ285" s="19" t="str">
        <f aca="false">IF(BI285=0,"",IF(BI285&lt;&gt;BC285,"erreur de calcul",IF(BF285&lt;&gt;0,"pas de prix",IF(M285&lt;&gt; 0,"pas de quantité","pas de prix, ni de quantité"))))</f>
        <v>erreur de calcul</v>
      </c>
      <c r="BK285" s="19"/>
    </row>
    <row r="286" customFormat="false" ht="16" hidden="false" customHeight="false" outlineLevel="0" collapsed="false">
      <c r="A286" s="0" t="n">
        <v>38</v>
      </c>
      <c r="B286" s="8" t="s">
        <v>24</v>
      </c>
      <c r="C286" s="9" t="s">
        <v>25</v>
      </c>
      <c r="D286" s="9" t="s">
        <v>26</v>
      </c>
      <c r="E286" s="10" t="n">
        <v>1789</v>
      </c>
      <c r="F286" s="9" t="s">
        <v>27</v>
      </c>
      <c r="G286" s="9" t="s">
        <v>27</v>
      </c>
      <c r="H286" s="11" t="n">
        <v>25</v>
      </c>
      <c r="I286" s="11" t="s">
        <v>366</v>
      </c>
      <c r="J286" s="14"/>
      <c r="K286" s="14"/>
      <c r="L286" s="16"/>
      <c r="M286" s="27" t="n">
        <f aca="false">J286+(K286/20)+(L286/240)</f>
        <v>0</v>
      </c>
      <c r="N286" s="17" t="s">
        <v>66</v>
      </c>
      <c r="O286" s="11"/>
      <c r="P286" s="28"/>
      <c r="Q286" s="28" t="str">
        <f aca="false">IF(O286&lt;&gt;"",P286*M286,"")</f>
        <v/>
      </c>
      <c r="R286" s="28"/>
      <c r="S286" s="28" t="n">
        <f aca="false">R286*$M286</f>
        <v>0</v>
      </c>
      <c r="T286" s="28"/>
      <c r="U286" s="28" t="n">
        <f aca="false">T286*$M286</f>
        <v>0</v>
      </c>
      <c r="V286" s="28"/>
      <c r="W286" s="28" t="n">
        <f aca="false">V286*$M286</f>
        <v>0</v>
      </c>
      <c r="X286" s="28" t="n">
        <v>797</v>
      </c>
      <c r="Y286" s="28" t="n">
        <v>720</v>
      </c>
      <c r="Z286" s="28"/>
      <c r="AA286" s="28" t="n">
        <f aca="false">Z286*$M286</f>
        <v>0</v>
      </c>
      <c r="AB286" s="28"/>
      <c r="AC286" s="28" t="n">
        <f aca="false">AB286*$M286</f>
        <v>0</v>
      </c>
      <c r="AD286" s="28"/>
      <c r="AE286" s="28" t="n">
        <f aca="false">AD286*$M286</f>
        <v>0</v>
      </c>
      <c r="AF286" s="28"/>
      <c r="AG286" s="28" t="n">
        <f aca="false">AF286*$M286</f>
        <v>0</v>
      </c>
      <c r="AH286" s="28"/>
      <c r="AI286" s="28" t="n">
        <f aca="false">AH286*$M286</f>
        <v>0</v>
      </c>
      <c r="AJ286" s="28"/>
      <c r="AK286" s="28" t="n">
        <f aca="false">AJ286*$M286</f>
        <v>0</v>
      </c>
      <c r="AL286" s="28"/>
      <c r="AM286" s="28" t="n">
        <f aca="false">AL286*$M286</f>
        <v>0</v>
      </c>
      <c r="AN286" s="28"/>
      <c r="AO286" s="28" t="n">
        <f aca="false">AN286*$M286</f>
        <v>0</v>
      </c>
      <c r="AP286" s="28"/>
      <c r="AQ286" s="28" t="n">
        <f aca="false">AP286*$M286</f>
        <v>0</v>
      </c>
      <c r="AR286" s="28"/>
      <c r="AS286" s="28" t="n">
        <f aca="false">AR286*$M286</f>
        <v>0</v>
      </c>
      <c r="AT286" s="28"/>
      <c r="AU286" s="28" t="n">
        <f aca="false">AT286*$M286</f>
        <v>0</v>
      </c>
      <c r="AV286" s="28"/>
      <c r="AW286" s="28" t="n">
        <f aca="false">AV286*$M286</f>
        <v>0</v>
      </c>
      <c r="AX286" s="28"/>
      <c r="AY286" s="28" t="n">
        <f aca="false">AX286*$M286</f>
        <v>0</v>
      </c>
      <c r="AZ286" s="28"/>
      <c r="BA286" s="28" t="n">
        <f aca="false">AZ286*$M286</f>
        <v>0</v>
      </c>
      <c r="BB286" s="30" t="n">
        <v>797</v>
      </c>
      <c r="BC286" s="11" t="n">
        <v>720</v>
      </c>
      <c r="BD286" s="31" t="n">
        <f aca="false">SUM(S286,U286,W286,Y286,AA286,AC286,AE286,AG286,AI286,AK286,AM286,AO286,AQ286,AS286,AU286,AW286,AY286,BA286)</f>
        <v>720</v>
      </c>
      <c r="BE286" s="28" t="n">
        <f aca="false">BC286-BD286</f>
        <v>0</v>
      </c>
      <c r="BF286" s="32" t="n">
        <f aca="false">SUM(R286,T286,V286,X286,Z286,AB286,AD286,AF286,AH286,AJ286,AL286,AN286,AP286,AR286,AT286,AV286,AX286,AZ286)</f>
        <v>797</v>
      </c>
      <c r="BG286" s="33" t="n">
        <f aca="false">BB286-BF286</f>
        <v>0</v>
      </c>
      <c r="BH286" s="34" t="n">
        <f aca="false">BF286*M286</f>
        <v>0</v>
      </c>
      <c r="BI286" s="35" t="n">
        <f aca="false">BC286-BH286</f>
        <v>720</v>
      </c>
      <c r="BJ286" s="19" t="str">
        <f aca="false">IF(BI286=0,"",IF(BI286&lt;&gt;BC286,"erreur de calcul",IF(BF286&lt;&gt;0,"pas de prix",IF(M286&lt;&gt; 0,"pas de quantité","pas de prix, ni de quantité"))))</f>
        <v>pas de prix</v>
      </c>
      <c r="BK286" s="19" t="s">
        <v>367</v>
      </c>
    </row>
    <row r="287" customFormat="false" ht="16" hidden="false" customHeight="false" outlineLevel="0" collapsed="false">
      <c r="A287" s="0" t="n">
        <v>39</v>
      </c>
      <c r="B287" s="8" t="s">
        <v>24</v>
      </c>
      <c r="C287" s="9" t="s">
        <v>25</v>
      </c>
      <c r="D287" s="9" t="s">
        <v>26</v>
      </c>
      <c r="E287" s="10" t="n">
        <v>1789</v>
      </c>
      <c r="F287" s="9" t="s">
        <v>27</v>
      </c>
      <c r="G287" s="9" t="s">
        <v>27</v>
      </c>
      <c r="H287" s="11" t="n">
        <v>25</v>
      </c>
      <c r="I287" s="11" t="s">
        <v>368</v>
      </c>
      <c r="J287" s="14" t="n">
        <v>4</v>
      </c>
      <c r="K287" s="14"/>
      <c r="L287" s="16"/>
      <c r="M287" s="27" t="n">
        <f aca="false">J287+(K287/20)+(L287/240)</f>
        <v>4</v>
      </c>
      <c r="N287" s="17" t="s">
        <v>64</v>
      </c>
      <c r="O287" s="11"/>
      <c r="P287" s="28"/>
      <c r="Q287" s="28" t="str">
        <f aca="false">IF(O287&lt;&gt;"",P287*M287,"")</f>
        <v/>
      </c>
      <c r="R287" s="28"/>
      <c r="S287" s="28" t="n">
        <f aca="false">R287*$M287</f>
        <v>0</v>
      </c>
      <c r="T287" s="28"/>
      <c r="U287" s="28" t="n">
        <f aca="false">T287*$M287</f>
        <v>0</v>
      </c>
      <c r="V287" s="28"/>
      <c r="W287" s="28" t="n">
        <f aca="false">V287*$M287</f>
        <v>0</v>
      </c>
      <c r="X287" s="28" t="n">
        <f aca="false">23693/100</f>
        <v>236.93</v>
      </c>
      <c r="Y287" s="28" t="n">
        <v>948</v>
      </c>
      <c r="Z287" s="28"/>
      <c r="AA287" s="28" t="n">
        <f aca="false">Z287*$M287</f>
        <v>0</v>
      </c>
      <c r="AB287" s="28"/>
      <c r="AC287" s="28" t="n">
        <f aca="false">AB287*$M287</f>
        <v>0</v>
      </c>
      <c r="AD287" s="28"/>
      <c r="AE287" s="28" t="n">
        <f aca="false">AD287*$M287</f>
        <v>0</v>
      </c>
      <c r="AF287" s="28"/>
      <c r="AG287" s="28" t="n">
        <f aca="false">AF287*$M287</f>
        <v>0</v>
      </c>
      <c r="AH287" s="28"/>
      <c r="AI287" s="28" t="n">
        <f aca="false">AH287*$M287</f>
        <v>0</v>
      </c>
      <c r="AJ287" s="28"/>
      <c r="AK287" s="28" t="n">
        <f aca="false">AJ287*$M287</f>
        <v>0</v>
      </c>
      <c r="AL287" s="28"/>
      <c r="AM287" s="28" t="n">
        <f aca="false">AL287*$M287</f>
        <v>0</v>
      </c>
      <c r="AN287" s="28"/>
      <c r="AO287" s="28" t="n">
        <f aca="false">AN287*$M287</f>
        <v>0</v>
      </c>
      <c r="AP287" s="28"/>
      <c r="AQ287" s="28" t="n">
        <f aca="false">AP287*$M287</f>
        <v>0</v>
      </c>
      <c r="AR287" s="28"/>
      <c r="AS287" s="28" t="n">
        <f aca="false">AR287*$M287</f>
        <v>0</v>
      </c>
      <c r="AT287" s="28"/>
      <c r="AU287" s="28" t="n">
        <f aca="false">AT287*$M287</f>
        <v>0</v>
      </c>
      <c r="AV287" s="28"/>
      <c r="AW287" s="28" t="n">
        <f aca="false">AV287*$M287</f>
        <v>0</v>
      </c>
      <c r="AX287" s="28"/>
      <c r="AY287" s="28" t="n">
        <f aca="false">AX287*$M287</f>
        <v>0</v>
      </c>
      <c r="AZ287" s="28"/>
      <c r="BA287" s="28" t="n">
        <f aca="false">AZ287*$M287</f>
        <v>0</v>
      </c>
      <c r="BB287" s="30" t="n">
        <f aca="false">23693/100</f>
        <v>236.93</v>
      </c>
      <c r="BC287" s="11" t="n">
        <v>948</v>
      </c>
      <c r="BD287" s="31" t="n">
        <f aca="false">SUM(S287,U287,W287,Y287,AA287,AC287,AE287,AG287,AI287,AK287,AM287,AO287,AQ287,AS287,AU287,AW287,AY287,BA287)</f>
        <v>948</v>
      </c>
      <c r="BE287" s="28" t="n">
        <f aca="false">BC287-BD287</f>
        <v>0</v>
      </c>
      <c r="BF287" s="32" t="n">
        <f aca="false">SUM(R287,T287,V287,X287,Z287,AB287,AD287,AF287,AH287,AJ287,AL287,AN287,AP287,AR287,AT287,AV287,AX287,AZ287)</f>
        <v>236.93</v>
      </c>
      <c r="BG287" s="33" t="n">
        <f aca="false">BB287-BF287</f>
        <v>0</v>
      </c>
      <c r="BH287" s="34" t="n">
        <f aca="false">BF287*M287</f>
        <v>947.72</v>
      </c>
      <c r="BI287" s="35" t="n">
        <f aca="false">BC287-BH287</f>
        <v>0.279999999999973</v>
      </c>
      <c r="BJ287" s="19" t="str">
        <f aca="false">IF(BI287=0,"",IF(BI287&lt;&gt;BC287,"erreur de calcul",IF(BF287&lt;&gt;0,"pas de prix",IF(M287&lt;&gt; 0,"pas de quantité","pas de prix, ni de quantité"))))</f>
        <v>erreur de calcul</v>
      </c>
      <c r="BK287" s="19"/>
    </row>
    <row r="288" customFormat="false" ht="16" hidden="false" customHeight="false" outlineLevel="0" collapsed="false">
      <c r="A288" s="0" t="n">
        <v>40</v>
      </c>
      <c r="B288" s="8" t="s">
        <v>24</v>
      </c>
      <c r="C288" s="9" t="s">
        <v>25</v>
      </c>
      <c r="D288" s="9" t="s">
        <v>26</v>
      </c>
      <c r="E288" s="10" t="n">
        <v>1789</v>
      </c>
      <c r="F288" s="9" t="s">
        <v>27</v>
      </c>
      <c r="G288" s="9" t="s">
        <v>27</v>
      </c>
      <c r="H288" s="11" t="n">
        <v>25</v>
      </c>
      <c r="I288" s="11" t="s">
        <v>369</v>
      </c>
      <c r="J288" s="14" t="n">
        <v>92</v>
      </c>
      <c r="K288" s="14"/>
      <c r="L288" s="16"/>
      <c r="M288" s="27" t="n">
        <f aca="false">J288+(K288/20)+(L288/240)</f>
        <v>92</v>
      </c>
      <c r="N288" s="17" t="s">
        <v>64</v>
      </c>
      <c r="O288" s="11"/>
      <c r="P288" s="28"/>
      <c r="Q288" s="28" t="str">
        <f aca="false">IF(O288&lt;&gt;"",P288*M288,"")</f>
        <v/>
      </c>
      <c r="R288" s="28"/>
      <c r="S288" s="28" t="n">
        <f aca="false">R288*$M288</f>
        <v>0</v>
      </c>
      <c r="T288" s="28"/>
      <c r="U288" s="28" t="n">
        <f aca="false">T288*$M288</f>
        <v>0</v>
      </c>
      <c r="V288" s="28"/>
      <c r="W288" s="28" t="n">
        <f aca="false">V288*$M288</f>
        <v>0</v>
      </c>
      <c r="X288" s="28" t="n">
        <f aca="false">82878/100</f>
        <v>828.78</v>
      </c>
      <c r="Y288" s="28" t="n">
        <v>76248</v>
      </c>
      <c r="Z288" s="28" t="n">
        <f aca="false">44264/100</f>
        <v>442.64</v>
      </c>
      <c r="AA288" s="36" t="n">
        <v>41023</v>
      </c>
      <c r="AB288" s="28"/>
      <c r="AC288" s="28" t="n">
        <f aca="false">AB288*$M288</f>
        <v>0</v>
      </c>
      <c r="AD288" s="28"/>
      <c r="AE288" s="28" t="n">
        <f aca="false">AD288*$M288</f>
        <v>0</v>
      </c>
      <c r="AF288" s="28"/>
      <c r="AG288" s="28" t="n">
        <f aca="false">AF288*$M288</f>
        <v>0</v>
      </c>
      <c r="AH288" s="28"/>
      <c r="AI288" s="28" t="n">
        <f aca="false">AH288*$M288</f>
        <v>0</v>
      </c>
      <c r="AJ288" s="28"/>
      <c r="AK288" s="28" t="n">
        <f aca="false">AJ288*$M288</f>
        <v>0</v>
      </c>
      <c r="AL288" s="28"/>
      <c r="AM288" s="28" t="n">
        <f aca="false">AL288*$M288</f>
        <v>0</v>
      </c>
      <c r="AN288" s="28"/>
      <c r="AO288" s="28" t="n">
        <f aca="false">AN288*$M288</f>
        <v>0</v>
      </c>
      <c r="AP288" s="28"/>
      <c r="AQ288" s="28" t="n">
        <f aca="false">AP288*$M288</f>
        <v>0</v>
      </c>
      <c r="AR288" s="28"/>
      <c r="AS288" s="28" t="n">
        <f aca="false">AR288*$M288</f>
        <v>0</v>
      </c>
      <c r="AT288" s="28"/>
      <c r="AU288" s="28" t="n">
        <f aca="false">AT288*$M288</f>
        <v>0</v>
      </c>
      <c r="AV288" s="28"/>
      <c r="AW288" s="28" t="n">
        <f aca="false">AV288*$M288</f>
        <v>0</v>
      </c>
      <c r="AX288" s="28"/>
      <c r="AY288" s="28" t="n">
        <f aca="false">AX288*$M288</f>
        <v>0</v>
      </c>
      <c r="AZ288" s="28"/>
      <c r="BA288" s="28" t="n">
        <f aca="false">AZ288*$M288</f>
        <v>0</v>
      </c>
      <c r="BB288" s="30" t="n">
        <f aca="false">127142/100</f>
        <v>1271.42</v>
      </c>
      <c r="BC288" s="11" t="n">
        <v>117271</v>
      </c>
      <c r="BD288" s="31" t="n">
        <f aca="false">SUM(S288,U288,W288,Y288,AA288,AC288,AE288,AG288,AI288,AK288,AM288,AO288,AQ288,AS288,AU288,AW288,AY288,BA288)</f>
        <v>117271</v>
      </c>
      <c r="BE288" s="28" t="n">
        <f aca="false">BC288-BD288</f>
        <v>0</v>
      </c>
      <c r="BF288" s="32" t="n">
        <f aca="false">SUM(R288,T288,V288,X288,Z288,AB288,AD288,AF288,AH288,AJ288,AL288,AN288,AP288,AR288,AT288,AV288,AX288,AZ288)</f>
        <v>1271.42</v>
      </c>
      <c r="BG288" s="33" t="n">
        <f aca="false">BB288-BF288</f>
        <v>0</v>
      </c>
      <c r="BH288" s="34" t="n">
        <f aca="false">BF288*M288</f>
        <v>116970.64</v>
      </c>
      <c r="BI288" s="35" t="n">
        <f aca="false">BC288-BH288</f>
        <v>300.359999999986</v>
      </c>
      <c r="BJ288" s="19" t="str">
        <f aca="false">IF(BI288=0,"",IF(BI288&lt;&gt;BC288,"erreur de calcul",IF(BF288&lt;&gt;0,"pas de prix",IF(M288&lt;&gt; 0,"pas de quantité","pas de prix, ni de quantité"))))</f>
        <v>erreur de calcul</v>
      </c>
      <c r="BK288" s="19"/>
    </row>
    <row r="289" customFormat="false" ht="16" hidden="false" customHeight="false" outlineLevel="0" collapsed="false">
      <c r="A289" s="0" t="n">
        <v>41</v>
      </c>
      <c r="B289" s="8" t="s">
        <v>24</v>
      </c>
      <c r="C289" s="9" t="s">
        <v>25</v>
      </c>
      <c r="D289" s="9" t="s">
        <v>26</v>
      </c>
      <c r="E289" s="10" t="n">
        <v>1789</v>
      </c>
      <c r="F289" s="9" t="s">
        <v>27</v>
      </c>
      <c r="G289" s="9" t="s">
        <v>27</v>
      </c>
      <c r="H289" s="11" t="n">
        <v>25</v>
      </c>
      <c r="I289" s="11" t="s">
        <v>370</v>
      </c>
      <c r="J289" s="14" t="n">
        <v>12</v>
      </c>
      <c r="K289" s="14"/>
      <c r="L289" s="16"/>
      <c r="M289" s="27" t="n">
        <f aca="false">J289+(K289/20)+(L289/240)</f>
        <v>12</v>
      </c>
      <c r="N289" s="17" t="s">
        <v>64</v>
      </c>
      <c r="O289" s="11"/>
      <c r="P289" s="28"/>
      <c r="Q289" s="28" t="str">
        <f aca="false">IF(O289&lt;&gt;"",P289*M289,"")</f>
        <v/>
      </c>
      <c r="R289" s="28"/>
      <c r="S289" s="28" t="n">
        <f aca="false">R289*$M289</f>
        <v>0</v>
      </c>
      <c r="T289" s="28"/>
      <c r="U289" s="28" t="n">
        <f aca="false">T289*$M289</f>
        <v>0</v>
      </c>
      <c r="V289" s="28"/>
      <c r="W289" s="28" t="n">
        <f aca="false">V289*$M289</f>
        <v>0</v>
      </c>
      <c r="X289" s="28"/>
      <c r="Y289" s="28" t="n">
        <f aca="false">X289*$M289</f>
        <v>0</v>
      </c>
      <c r="Z289" s="28"/>
      <c r="AA289" s="28" t="n">
        <f aca="false">Z289*$M289</f>
        <v>0</v>
      </c>
      <c r="AB289" s="28"/>
      <c r="AC289" s="28" t="n">
        <f aca="false">AB289*$M289</f>
        <v>0</v>
      </c>
      <c r="AD289" s="28"/>
      <c r="AE289" s="28" t="n">
        <f aca="false">AD289*$M289</f>
        <v>0</v>
      </c>
      <c r="AF289" s="28"/>
      <c r="AG289" s="28" t="n">
        <f aca="false">AF289*$M289</f>
        <v>0</v>
      </c>
      <c r="AH289" s="28"/>
      <c r="AI289" s="28" t="n">
        <f aca="false">AH289*$M289</f>
        <v>0</v>
      </c>
      <c r="AJ289" s="28" t="n">
        <f aca="false">12168/100</f>
        <v>121.68</v>
      </c>
      <c r="AK289" s="28" t="n">
        <v>1460</v>
      </c>
      <c r="AL289" s="28"/>
      <c r="AM289" s="28" t="n">
        <f aca="false">AL289*$M289</f>
        <v>0</v>
      </c>
      <c r="AN289" s="28"/>
      <c r="AO289" s="28" t="n">
        <f aca="false">AN289*$M289</f>
        <v>0</v>
      </c>
      <c r="AP289" s="28"/>
      <c r="AQ289" s="28" t="n">
        <f aca="false">AP289*$M289</f>
        <v>0</v>
      </c>
      <c r="AR289" s="28"/>
      <c r="AS289" s="28" t="n">
        <f aca="false">AR289*$M289</f>
        <v>0</v>
      </c>
      <c r="AT289" s="28"/>
      <c r="AU289" s="28" t="n">
        <f aca="false">AT289*$M289</f>
        <v>0</v>
      </c>
      <c r="AV289" s="28"/>
      <c r="AW289" s="28" t="n">
        <f aca="false">AV289*$M289</f>
        <v>0</v>
      </c>
      <c r="AX289" s="28"/>
      <c r="AY289" s="28" t="n">
        <f aca="false">AX289*$M289</f>
        <v>0</v>
      </c>
      <c r="AZ289" s="28"/>
      <c r="BA289" s="28" t="n">
        <f aca="false">AZ289*$M289</f>
        <v>0</v>
      </c>
      <c r="BB289" s="30" t="n">
        <f aca="false">12168/100</f>
        <v>121.68</v>
      </c>
      <c r="BC289" s="11" t="n">
        <v>1460</v>
      </c>
      <c r="BD289" s="31" t="n">
        <f aca="false">SUM(S289,U289,W289,Y289,AA289,AC289,AE289,AG289,AI289,AK289,AM289,AO289,AQ289,AS289,AU289,AW289,AY289,BA289)</f>
        <v>1460</v>
      </c>
      <c r="BE289" s="28" t="n">
        <f aca="false">BC289-BD289</f>
        <v>0</v>
      </c>
      <c r="BF289" s="32" t="n">
        <f aca="false">SUM(R289,T289,V289,X289,Z289,AB289,AD289,AF289,AH289,AJ289,AL289,AN289,AP289,AR289,AT289,AV289,AX289,AZ289)</f>
        <v>121.68</v>
      </c>
      <c r="BG289" s="33" t="n">
        <f aca="false">BB289-BF289</f>
        <v>0</v>
      </c>
      <c r="BH289" s="34" t="n">
        <f aca="false">BF289*M289</f>
        <v>1460.16</v>
      </c>
      <c r="BI289" s="35" t="n">
        <f aca="false">BC289-BH289</f>
        <v>-0.160000000000082</v>
      </c>
      <c r="BJ289" s="19" t="str">
        <f aca="false">IF(BI289=0,"",IF(BI289&lt;&gt;BC289,"erreur de calcul",IF(BF289&lt;&gt;0,"pas de prix",IF(M289&lt;&gt; 0,"pas de quantité","pas de prix, ni de quantité"))))</f>
        <v>erreur de calcul</v>
      </c>
      <c r="BK289" s="19"/>
    </row>
    <row r="290" customFormat="false" ht="16" hidden="false" customHeight="false" outlineLevel="0" collapsed="false">
      <c r="A290" s="0" t="n">
        <v>42</v>
      </c>
      <c r="B290" s="8" t="s">
        <v>24</v>
      </c>
      <c r="C290" s="9" t="s">
        <v>25</v>
      </c>
      <c r="D290" s="9" t="s">
        <v>26</v>
      </c>
      <c r="E290" s="10" t="n">
        <v>1789</v>
      </c>
      <c r="F290" s="9" t="s">
        <v>27</v>
      </c>
      <c r="G290" s="9" t="s">
        <v>27</v>
      </c>
      <c r="H290" s="11" t="n">
        <v>25</v>
      </c>
      <c r="I290" s="11" t="s">
        <v>371</v>
      </c>
      <c r="J290" s="14" t="n">
        <v>7</v>
      </c>
      <c r="K290" s="14"/>
      <c r="L290" s="16"/>
      <c r="M290" s="27" t="n">
        <f aca="false">J290+(K290/20)+(L290/240)</f>
        <v>7</v>
      </c>
      <c r="N290" s="17" t="s">
        <v>64</v>
      </c>
      <c r="O290" s="11"/>
      <c r="P290" s="28"/>
      <c r="Q290" s="28" t="str">
        <f aca="false">IF(O290&lt;&gt;"",P290*M290,"")</f>
        <v/>
      </c>
      <c r="R290" s="28"/>
      <c r="S290" s="28" t="n">
        <f aca="false">R290*$M290</f>
        <v>0</v>
      </c>
      <c r="T290" s="28"/>
      <c r="U290" s="28" t="n">
        <f aca="false">T290*$M290</f>
        <v>0</v>
      </c>
      <c r="V290" s="28"/>
      <c r="W290" s="28" t="n">
        <f aca="false">V290*$M290</f>
        <v>0</v>
      </c>
      <c r="X290" s="28"/>
      <c r="Y290" s="28" t="n">
        <f aca="false">X290*$M290</f>
        <v>0</v>
      </c>
      <c r="Z290" s="28"/>
      <c r="AA290" s="28" t="n">
        <f aca="false">Z290*$M290</f>
        <v>0</v>
      </c>
      <c r="AB290" s="28"/>
      <c r="AC290" s="28" t="n">
        <f aca="false">AB290*$M290</f>
        <v>0</v>
      </c>
      <c r="AD290" s="28" t="n">
        <f aca="false">58003/100</f>
        <v>580.03</v>
      </c>
      <c r="AE290" s="28" t="n">
        <v>4060</v>
      </c>
      <c r="AF290" s="28"/>
      <c r="AG290" s="28" t="n">
        <f aca="false">AF290*$M290</f>
        <v>0</v>
      </c>
      <c r="AH290" s="28"/>
      <c r="AI290" s="28" t="n">
        <f aca="false">AH290*$M290</f>
        <v>0</v>
      </c>
      <c r="AJ290" s="28"/>
      <c r="AK290" s="28" t="n">
        <f aca="false">AJ290*$M290</f>
        <v>0</v>
      </c>
      <c r="AL290" s="28"/>
      <c r="AM290" s="28" t="n">
        <f aca="false">AL290*$M290</f>
        <v>0</v>
      </c>
      <c r="AN290" s="28"/>
      <c r="AO290" s="28" t="n">
        <f aca="false">AN290*$M290</f>
        <v>0</v>
      </c>
      <c r="AP290" s="28"/>
      <c r="AQ290" s="28" t="n">
        <f aca="false">AP290*$M290</f>
        <v>0</v>
      </c>
      <c r="AR290" s="28"/>
      <c r="AS290" s="28" t="n">
        <f aca="false">AR290*$M290</f>
        <v>0</v>
      </c>
      <c r="AT290" s="28"/>
      <c r="AU290" s="28" t="n">
        <f aca="false">AT290*$M290</f>
        <v>0</v>
      </c>
      <c r="AV290" s="28"/>
      <c r="AW290" s="28" t="n">
        <f aca="false">AV290*$M290</f>
        <v>0</v>
      </c>
      <c r="AX290" s="28"/>
      <c r="AY290" s="28" t="n">
        <f aca="false">AX290*$M290</f>
        <v>0</v>
      </c>
      <c r="AZ290" s="28"/>
      <c r="BA290" s="28" t="n">
        <f aca="false">AZ290*$M290</f>
        <v>0</v>
      </c>
      <c r="BB290" s="30" t="n">
        <f aca="false">58003/100</f>
        <v>580.03</v>
      </c>
      <c r="BC290" s="11" t="n">
        <v>4060</v>
      </c>
      <c r="BD290" s="31" t="n">
        <f aca="false">SUM(S290,U290,W290,Y290,AA290,AC290,AE290,AG290,AI290,AK290,AM290,AO290,AQ290,AS290,AU290,AW290,AY290,BA290)</f>
        <v>4060</v>
      </c>
      <c r="BE290" s="28" t="n">
        <f aca="false">BC290-BD290</f>
        <v>0</v>
      </c>
      <c r="BF290" s="32" t="n">
        <f aca="false">SUM(R290,T290,V290,X290,Z290,AB290,AD290,AF290,AH290,AJ290,AL290,AN290,AP290,AR290,AT290,AV290,AX290,AZ290)</f>
        <v>580.03</v>
      </c>
      <c r="BG290" s="33" t="n">
        <f aca="false">BB290-BF290</f>
        <v>0</v>
      </c>
      <c r="BH290" s="34" t="n">
        <f aca="false">BF290*M290</f>
        <v>4060.21</v>
      </c>
      <c r="BI290" s="35" t="n">
        <f aca="false">BC290-BH290</f>
        <v>-0.210000000000036</v>
      </c>
      <c r="BJ290" s="19" t="str">
        <f aca="false">IF(BI290=0,"",IF(BI290&lt;&gt;BC290,"erreur de calcul",IF(BF290&lt;&gt;0,"pas de prix",IF(M290&lt;&gt; 0,"pas de quantité","pas de prix, ni de quantité"))))</f>
        <v>erreur de calcul</v>
      </c>
      <c r="BK290" s="19"/>
    </row>
    <row r="291" customFormat="false" ht="16" hidden="false" customHeight="false" outlineLevel="0" collapsed="false">
      <c r="A291" s="0" t="n">
        <v>1</v>
      </c>
      <c r="B291" s="8" t="s">
        <v>24</v>
      </c>
      <c r="C291" s="9" t="s">
        <v>25</v>
      </c>
      <c r="D291" s="9" t="s">
        <v>26</v>
      </c>
      <c r="E291" s="10" t="n">
        <v>1789</v>
      </c>
      <c r="F291" s="9" t="s">
        <v>27</v>
      </c>
      <c r="G291" s="9" t="s">
        <v>27</v>
      </c>
      <c r="H291" s="11" t="n">
        <v>26</v>
      </c>
      <c r="I291" s="11" t="s">
        <v>372</v>
      </c>
      <c r="J291" s="14" t="n">
        <v>30</v>
      </c>
      <c r="K291" s="14"/>
      <c r="L291" s="16"/>
      <c r="M291" s="27" t="n">
        <f aca="false">J291+(K291/20)+(L291/240)</f>
        <v>30</v>
      </c>
      <c r="N291" s="17" t="s">
        <v>64</v>
      </c>
      <c r="O291" s="11"/>
      <c r="P291" s="28"/>
      <c r="Q291" s="28" t="str">
        <f aca="false">IF(O291&lt;&gt;"",P291*M291,"")</f>
        <v/>
      </c>
      <c r="R291" s="28"/>
      <c r="S291" s="28" t="n">
        <f aca="false">R291*$M291</f>
        <v>0</v>
      </c>
      <c r="T291" s="28"/>
      <c r="U291" s="28" t="n">
        <f aca="false">T291*$M291</f>
        <v>0</v>
      </c>
      <c r="V291" s="28"/>
      <c r="W291" s="28" t="n">
        <f aca="false">V291*$M291</f>
        <v>0</v>
      </c>
      <c r="X291" s="28" t="n">
        <f aca="false">1500/100</f>
        <v>15</v>
      </c>
      <c r="Y291" s="28" t="n">
        <v>450</v>
      </c>
      <c r="Z291" s="28"/>
      <c r="AA291" s="28" t="n">
        <f aca="false">Z291*$M291</f>
        <v>0</v>
      </c>
      <c r="AB291" s="28"/>
      <c r="AC291" s="28" t="n">
        <f aca="false">AB291*$M291</f>
        <v>0</v>
      </c>
      <c r="AD291" s="28"/>
      <c r="AE291" s="28" t="n">
        <f aca="false">AD291*$M291</f>
        <v>0</v>
      </c>
      <c r="AF291" s="28"/>
      <c r="AG291" s="28" t="n">
        <f aca="false">AF291*$M291</f>
        <v>0</v>
      </c>
      <c r="AH291" s="28"/>
      <c r="AI291" s="28" t="n">
        <f aca="false">AH291*$M291</f>
        <v>0</v>
      </c>
      <c r="AJ291" s="28"/>
      <c r="AK291" s="28" t="n">
        <f aca="false">AJ291*$M291</f>
        <v>0</v>
      </c>
      <c r="AL291" s="28"/>
      <c r="AM291" s="28" t="n">
        <f aca="false">AL291*$M291</f>
        <v>0</v>
      </c>
      <c r="AN291" s="28"/>
      <c r="AO291" s="28" t="n">
        <f aca="false">AN291*$M291</f>
        <v>0</v>
      </c>
      <c r="AP291" s="28"/>
      <c r="AQ291" s="28" t="n">
        <f aca="false">AP291*$M291</f>
        <v>0</v>
      </c>
      <c r="AR291" s="28"/>
      <c r="AS291" s="28" t="n">
        <f aca="false">AR291*$M291</f>
        <v>0</v>
      </c>
      <c r="AT291" s="28"/>
      <c r="AU291" s="28" t="n">
        <f aca="false">AT291*$M291</f>
        <v>0</v>
      </c>
      <c r="AV291" s="28"/>
      <c r="AW291" s="28" t="n">
        <f aca="false">AV291*$M291</f>
        <v>0</v>
      </c>
      <c r="AX291" s="28"/>
      <c r="AY291" s="28" t="n">
        <f aca="false">AX291*$M291</f>
        <v>0</v>
      </c>
      <c r="AZ291" s="28"/>
      <c r="BA291" s="28" t="n">
        <f aca="false">AZ291*$M291</f>
        <v>0</v>
      </c>
      <c r="BB291" s="30" t="n">
        <f aca="false">1500/100</f>
        <v>15</v>
      </c>
      <c r="BC291" s="11" t="n">
        <v>450</v>
      </c>
      <c r="BD291" s="31" t="n">
        <f aca="false">SUM(S291,U291,W291,Y291,AA291,AC291,AE291,AG291,AI291,AK291,AM291,AO291,AQ291,AS291,AU291,AW291,AY291,BA291)</f>
        <v>450</v>
      </c>
      <c r="BE291" s="28" t="n">
        <f aca="false">BC291-BD291</f>
        <v>0</v>
      </c>
      <c r="BF291" s="32" t="n">
        <f aca="false">SUM(R291,T291,V291,X291,Z291,AB291,AD291,AF291,AH291,AJ291,AL291,AN291,AP291,AR291,AT291,AV291,AX291,AZ291)</f>
        <v>15</v>
      </c>
      <c r="BG291" s="33" t="n">
        <f aca="false">BB291-BF291</f>
        <v>0</v>
      </c>
      <c r="BH291" s="34" t="n">
        <f aca="false">BF291*M291</f>
        <v>450</v>
      </c>
      <c r="BI291" s="35" t="n">
        <f aca="false">BC291-BH291</f>
        <v>0</v>
      </c>
      <c r="BJ291" s="19" t="str">
        <f aca="false">IF(BI291=0,"",IF(BI291&lt;&gt;BC291,"erreur de calcul",IF(BF291&lt;&gt;0,"pas de prix",IF(M291&lt;&gt; 0,"pas de quantité","pas de prix, ni de quantité"))))</f>
        <v/>
      </c>
      <c r="BK291" s="19"/>
    </row>
    <row r="292" customFormat="false" ht="16" hidden="false" customHeight="false" outlineLevel="0" collapsed="false">
      <c r="A292" s="0" t="n">
        <v>2</v>
      </c>
      <c r="B292" s="8" t="s">
        <v>24</v>
      </c>
      <c r="C292" s="9" t="s">
        <v>25</v>
      </c>
      <c r="D292" s="9" t="s">
        <v>26</v>
      </c>
      <c r="E292" s="10" t="n">
        <v>1789</v>
      </c>
      <c r="F292" s="9" t="s">
        <v>27</v>
      </c>
      <c r="G292" s="9" t="s">
        <v>27</v>
      </c>
      <c r="H292" s="11" t="n">
        <v>26</v>
      </c>
      <c r="I292" s="11" t="s">
        <v>373</v>
      </c>
      <c r="J292" s="14" t="n">
        <v>25</v>
      </c>
      <c r="K292" s="14"/>
      <c r="L292" s="16"/>
      <c r="M292" s="27" t="n">
        <f aca="false">J292+(K292/20)+(L292/240)</f>
        <v>25</v>
      </c>
      <c r="N292" s="17" t="s">
        <v>64</v>
      </c>
      <c r="O292" s="11"/>
      <c r="P292" s="28"/>
      <c r="Q292" s="28" t="str">
        <f aca="false">IF(O292&lt;&gt;"",P292*M292,"")</f>
        <v/>
      </c>
      <c r="R292" s="28"/>
      <c r="S292" s="28" t="n">
        <f aca="false">R292*$M292</f>
        <v>0</v>
      </c>
      <c r="T292" s="28"/>
      <c r="U292" s="28" t="n">
        <f aca="false">T292*$M292</f>
        <v>0</v>
      </c>
      <c r="V292" s="28" t="n">
        <f aca="false">34168/100</f>
        <v>341.68</v>
      </c>
      <c r="W292" s="28" t="n">
        <v>8542</v>
      </c>
      <c r="X292" s="28" t="n">
        <f aca="false">128249/100</f>
        <v>1282.49</v>
      </c>
      <c r="Y292" s="28" t="n">
        <v>32062</v>
      </c>
      <c r="Z292" s="28" t="n">
        <f aca="false">21365/100</f>
        <v>213.65</v>
      </c>
      <c r="AA292" s="28" t="n">
        <v>5341</v>
      </c>
      <c r="AB292" s="28"/>
      <c r="AC292" s="28" t="n">
        <f aca="false">AB292*$M292</f>
        <v>0</v>
      </c>
      <c r="AD292" s="28"/>
      <c r="AE292" s="28" t="n">
        <f aca="false">AD292*$M292</f>
        <v>0</v>
      </c>
      <c r="AF292" s="28"/>
      <c r="AG292" s="28" t="n">
        <f aca="false">AF292*$M292</f>
        <v>0</v>
      </c>
      <c r="AH292" s="28"/>
      <c r="AI292" s="28" t="n">
        <f aca="false">AH292*$M292</f>
        <v>0</v>
      </c>
      <c r="AJ292" s="28"/>
      <c r="AK292" s="28" t="n">
        <f aca="false">AJ292*$M292</f>
        <v>0</v>
      </c>
      <c r="AL292" s="28" t="n">
        <f aca="false">155251/100</f>
        <v>1552.51</v>
      </c>
      <c r="AM292" s="28" t="n">
        <v>38813</v>
      </c>
      <c r="AN292" s="28" t="n">
        <f aca="false">185000/100</f>
        <v>1850</v>
      </c>
      <c r="AO292" s="28" t="n">
        <v>46250</v>
      </c>
      <c r="AP292" s="28"/>
      <c r="AQ292" s="28" t="n">
        <f aca="false">AP292*$M292</f>
        <v>0</v>
      </c>
      <c r="AR292" s="28"/>
      <c r="AS292" s="28" t="n">
        <f aca="false">AR292*$M292</f>
        <v>0</v>
      </c>
      <c r="AT292" s="28"/>
      <c r="AU292" s="28" t="n">
        <f aca="false">AT292*$M292</f>
        <v>0</v>
      </c>
      <c r="AV292" s="28"/>
      <c r="AW292" s="28" t="n">
        <f aca="false">AV292*$M292</f>
        <v>0</v>
      </c>
      <c r="AX292" s="28"/>
      <c r="AY292" s="28" t="n">
        <f aca="false">AX292*$M292</f>
        <v>0</v>
      </c>
      <c r="AZ292" s="28"/>
      <c r="BA292" s="28" t="n">
        <f aca="false">AZ292*$M292</f>
        <v>0</v>
      </c>
      <c r="BB292" s="30" t="n">
        <f aca="false">524033/100</f>
        <v>5240.33</v>
      </c>
      <c r="BC292" s="11" t="n">
        <v>131008</v>
      </c>
      <c r="BD292" s="31" t="n">
        <f aca="false">SUM(S292,U292,W292,Y292,AA292,AC292,AE292,AG292,AI292,AK292,AM292,AO292,AQ292,AS292,AU292,AW292,AY292,BA292)</f>
        <v>131008</v>
      </c>
      <c r="BE292" s="28" t="n">
        <f aca="false">BC292-BD292</f>
        <v>0</v>
      </c>
      <c r="BF292" s="32" t="n">
        <f aca="false">SUM(R292,T292,V292,X292,Z292,AB292,AD292,AF292,AH292,AJ292,AL292,AN292,AP292,AR292,AT292,AV292,AX292,AZ292)</f>
        <v>5240.33</v>
      </c>
      <c r="BG292" s="33" t="n">
        <f aca="false">BB292-BF292</f>
        <v>0</v>
      </c>
      <c r="BH292" s="34" t="n">
        <f aca="false">BF292*M292</f>
        <v>131008.25</v>
      </c>
      <c r="BI292" s="35" t="n">
        <f aca="false">BC292-BH292</f>
        <v>-0.250000000014552</v>
      </c>
      <c r="BJ292" s="19" t="str">
        <f aca="false">IF(BI292=0,"",IF(BI292&lt;&gt;BC292,"erreur de calcul",IF(BF292&lt;&gt;0,"pas de prix",IF(M292&lt;&gt; 0,"pas de quantité","pas de prix, ni de quantité"))))</f>
        <v>erreur de calcul</v>
      </c>
      <c r="BK292" s="19"/>
    </row>
    <row r="293" customFormat="false" ht="16" hidden="false" customHeight="false" outlineLevel="0" collapsed="false">
      <c r="A293" s="0" t="n">
        <v>3</v>
      </c>
      <c r="B293" s="8" t="s">
        <v>24</v>
      </c>
      <c r="C293" s="9" t="s">
        <v>25</v>
      </c>
      <c r="D293" s="9" t="s">
        <v>26</v>
      </c>
      <c r="E293" s="10" t="n">
        <v>1789</v>
      </c>
      <c r="F293" s="9" t="s">
        <v>27</v>
      </c>
      <c r="G293" s="9" t="s">
        <v>27</v>
      </c>
      <c r="H293" s="11" t="n">
        <v>26</v>
      </c>
      <c r="I293" s="11" t="s">
        <v>374</v>
      </c>
      <c r="J293" s="14" t="n">
        <v>70</v>
      </c>
      <c r="K293" s="14"/>
      <c r="L293" s="16"/>
      <c r="M293" s="27" t="n">
        <f aca="false">J293+(K293/20)+(L293/240)</f>
        <v>70</v>
      </c>
      <c r="N293" s="17" t="s">
        <v>64</v>
      </c>
      <c r="O293" s="11"/>
      <c r="P293" s="28"/>
      <c r="Q293" s="28" t="str">
        <f aca="false">IF(O293&lt;&gt;"",P293*M293,"")</f>
        <v/>
      </c>
      <c r="R293" s="28"/>
      <c r="S293" s="28" t="n">
        <f aca="false">R293*$M293</f>
        <v>0</v>
      </c>
      <c r="T293" s="28"/>
      <c r="U293" s="28" t="n">
        <f aca="false">T293*$M293</f>
        <v>0</v>
      </c>
      <c r="V293" s="28"/>
      <c r="W293" s="28" t="n">
        <f aca="false">V293*$M293</f>
        <v>0</v>
      </c>
      <c r="X293" s="28" t="n">
        <f aca="false">4560/100</f>
        <v>45.6</v>
      </c>
      <c r="Y293" s="28" t="n">
        <v>3192</v>
      </c>
      <c r="Z293" s="28" t="n">
        <f aca="false">1115/100</f>
        <v>11.15</v>
      </c>
      <c r="AA293" s="28" t="n">
        <v>780</v>
      </c>
      <c r="AB293" s="28"/>
      <c r="AC293" s="28" t="n">
        <f aca="false">AB293*$M293</f>
        <v>0</v>
      </c>
      <c r="AD293" s="28" t="n">
        <f aca="false">9431/100</f>
        <v>94.31</v>
      </c>
      <c r="AE293" s="28" t="n">
        <v>6602</v>
      </c>
      <c r="AF293" s="28"/>
      <c r="AG293" s="28" t="n">
        <f aca="false">AF293*$M293</f>
        <v>0</v>
      </c>
      <c r="AH293" s="28"/>
      <c r="AI293" s="28" t="n">
        <f aca="false">AH293*$M293</f>
        <v>0</v>
      </c>
      <c r="AJ293" s="28"/>
      <c r="AK293" s="28" t="n">
        <f aca="false">AJ293*$M293</f>
        <v>0</v>
      </c>
      <c r="AL293" s="28"/>
      <c r="AM293" s="28" t="n">
        <f aca="false">AL293*$M293</f>
        <v>0</v>
      </c>
      <c r="AN293" s="28"/>
      <c r="AO293" s="28" t="n">
        <f aca="false">AN293*$M293</f>
        <v>0</v>
      </c>
      <c r="AP293" s="28"/>
      <c r="AQ293" s="28" t="n">
        <f aca="false">AP293*$M293</f>
        <v>0</v>
      </c>
      <c r="AR293" s="28"/>
      <c r="AS293" s="28" t="n">
        <f aca="false">AR293*$M293</f>
        <v>0</v>
      </c>
      <c r="AT293" s="28"/>
      <c r="AU293" s="28" t="n">
        <f aca="false">AT293*$M293</f>
        <v>0</v>
      </c>
      <c r="AV293" s="28"/>
      <c r="AW293" s="28" t="n">
        <f aca="false">AV293*$M293</f>
        <v>0</v>
      </c>
      <c r="AX293" s="28"/>
      <c r="AY293" s="28" t="n">
        <f aca="false">AX293*$M293</f>
        <v>0</v>
      </c>
      <c r="AZ293" s="28"/>
      <c r="BA293" s="28" t="n">
        <f aca="false">AZ293*$M293</f>
        <v>0</v>
      </c>
      <c r="BB293" s="30" t="n">
        <f aca="false">15106/100</f>
        <v>151.06</v>
      </c>
      <c r="BC293" s="11" t="n">
        <v>10574</v>
      </c>
      <c r="BD293" s="31" t="n">
        <f aca="false">SUM(S293,U293,W293,Y293,AA293,AC293,AE293,AG293,AI293,AK293,AM293,AO293,AQ293,AS293,AU293,AW293,AY293,BA293)</f>
        <v>10574</v>
      </c>
      <c r="BE293" s="28" t="n">
        <f aca="false">BC293-BD293</f>
        <v>0</v>
      </c>
      <c r="BF293" s="32" t="n">
        <f aca="false">SUM(R293,T293,V293,X293,Z293,AB293,AD293,AF293,AH293,AJ293,AL293,AN293,AP293,AR293,AT293,AV293,AX293,AZ293)</f>
        <v>151.06</v>
      </c>
      <c r="BG293" s="33" t="n">
        <f aca="false">BB293-BF293</f>
        <v>0</v>
      </c>
      <c r="BH293" s="34" t="n">
        <f aca="false">BF293*M293</f>
        <v>10574.2</v>
      </c>
      <c r="BI293" s="35" t="n">
        <f aca="false">BC293-BH293</f>
        <v>-0.200000000000728</v>
      </c>
      <c r="BJ293" s="19" t="str">
        <f aca="false">IF(BI293=0,"",IF(BI293&lt;&gt;BC293,"erreur de calcul",IF(BF293&lt;&gt;0,"pas de prix",IF(M293&lt;&gt; 0,"pas de quantité","pas de prix, ni de quantité"))))</f>
        <v>erreur de calcul</v>
      </c>
      <c r="BK293" s="19"/>
    </row>
    <row r="294" customFormat="false" ht="16" hidden="false" customHeight="false" outlineLevel="0" collapsed="false">
      <c r="A294" s="0" t="n">
        <v>4</v>
      </c>
      <c r="B294" s="8" t="s">
        <v>24</v>
      </c>
      <c r="C294" s="9" t="s">
        <v>25</v>
      </c>
      <c r="D294" s="9" t="s">
        <v>26</v>
      </c>
      <c r="E294" s="10" t="n">
        <v>1789</v>
      </c>
      <c r="F294" s="9" t="s">
        <v>27</v>
      </c>
      <c r="G294" s="9" t="s">
        <v>27</v>
      </c>
      <c r="H294" s="11" t="n">
        <v>26</v>
      </c>
      <c r="I294" s="11" t="s">
        <v>375</v>
      </c>
      <c r="J294" s="14" t="n">
        <v>245</v>
      </c>
      <c r="K294" s="14"/>
      <c r="L294" s="16"/>
      <c r="M294" s="27" t="n">
        <f aca="false">J294+(K294/20)+(L294/240)</f>
        <v>245</v>
      </c>
      <c r="N294" s="17" t="s">
        <v>64</v>
      </c>
      <c r="O294" s="11"/>
      <c r="P294" s="28"/>
      <c r="Q294" s="28" t="str">
        <f aca="false">IF(O294&lt;&gt;"",P294*M294,"")</f>
        <v/>
      </c>
      <c r="R294" s="28"/>
      <c r="S294" s="28" t="n">
        <f aca="false">R294*$M294</f>
        <v>0</v>
      </c>
      <c r="T294" s="28"/>
      <c r="U294" s="28" t="n">
        <f aca="false">T294*$M294</f>
        <v>0</v>
      </c>
      <c r="V294" s="28"/>
      <c r="W294" s="28" t="n">
        <f aca="false">V294*$M294</f>
        <v>0</v>
      </c>
      <c r="X294" s="28"/>
      <c r="Y294" s="28" t="n">
        <f aca="false">X294*$M294</f>
        <v>0</v>
      </c>
      <c r="Z294" s="28"/>
      <c r="AA294" s="28" t="n">
        <f aca="false">Z294*$M294</f>
        <v>0</v>
      </c>
      <c r="AB294" s="28"/>
      <c r="AC294" s="28" t="n">
        <f aca="false">AB294*$M294</f>
        <v>0</v>
      </c>
      <c r="AD294" s="28"/>
      <c r="AE294" s="28" t="n">
        <f aca="false">AD294*$M294</f>
        <v>0</v>
      </c>
      <c r="AF294" s="28"/>
      <c r="AG294" s="28" t="n">
        <f aca="false">AF294*$M294</f>
        <v>0</v>
      </c>
      <c r="AH294" s="28"/>
      <c r="AI294" s="28" t="n">
        <f aca="false">AH294*$M294</f>
        <v>0</v>
      </c>
      <c r="AJ294" s="28" t="n">
        <f aca="false">751/100</f>
        <v>7.51</v>
      </c>
      <c r="AK294" s="28" t="n">
        <v>1840</v>
      </c>
      <c r="AL294" s="28"/>
      <c r="AM294" s="28" t="n">
        <f aca="false">AL294*$M294</f>
        <v>0</v>
      </c>
      <c r="AN294" s="28"/>
      <c r="AO294" s="28" t="n">
        <f aca="false">AN294*$M294</f>
        <v>0</v>
      </c>
      <c r="AP294" s="28"/>
      <c r="AQ294" s="28" t="n">
        <f aca="false">AP294*$M294</f>
        <v>0</v>
      </c>
      <c r="AR294" s="28"/>
      <c r="AS294" s="28" t="n">
        <f aca="false">AR294*$M294</f>
        <v>0</v>
      </c>
      <c r="AT294" s="28"/>
      <c r="AU294" s="28" t="n">
        <f aca="false">AT294*$M294</f>
        <v>0</v>
      </c>
      <c r="AV294" s="28"/>
      <c r="AW294" s="28" t="n">
        <f aca="false">AV294*$M294</f>
        <v>0</v>
      </c>
      <c r="AX294" s="28"/>
      <c r="AY294" s="28" t="n">
        <f aca="false">AX294*$M294</f>
        <v>0</v>
      </c>
      <c r="AZ294" s="28"/>
      <c r="BA294" s="28" t="n">
        <f aca="false">AZ294*$M294</f>
        <v>0</v>
      </c>
      <c r="BB294" s="30" t="n">
        <f aca="false">751/100</f>
        <v>7.51</v>
      </c>
      <c r="BC294" s="11" t="n">
        <v>1840</v>
      </c>
      <c r="BD294" s="31" t="n">
        <f aca="false">SUM(S294,U294,W294,Y294,AA294,AC294,AE294,AG294,AI294,AK294,AM294,AO294,AQ294,AS294,AU294,AW294,AY294,BA294)</f>
        <v>1840</v>
      </c>
      <c r="BE294" s="28" t="n">
        <f aca="false">BC294-BD294</f>
        <v>0</v>
      </c>
      <c r="BF294" s="32" t="n">
        <f aca="false">SUM(R294,T294,V294,X294,Z294,AB294,AD294,AF294,AH294,AJ294,AL294,AN294,AP294,AR294,AT294,AV294,AX294,AZ294)</f>
        <v>7.51</v>
      </c>
      <c r="BG294" s="33" t="n">
        <f aca="false">BB294-BF294</f>
        <v>0</v>
      </c>
      <c r="BH294" s="34" t="n">
        <f aca="false">BF294*M294</f>
        <v>1839.95</v>
      </c>
      <c r="BI294" s="35" t="n">
        <f aca="false">BC294-BH294</f>
        <v>0.0499999999999545</v>
      </c>
      <c r="BJ294" s="19" t="str">
        <f aca="false">IF(BI294=0,"",IF(BI294&lt;&gt;BC294,"erreur de calcul",IF(BF294&lt;&gt;0,"pas de prix",IF(M294&lt;&gt; 0,"pas de quantité","pas de prix, ni de quantité"))))</f>
        <v>erreur de calcul</v>
      </c>
      <c r="BK294" s="19"/>
    </row>
    <row r="295" customFormat="false" ht="16" hidden="false" customHeight="false" outlineLevel="0" collapsed="false">
      <c r="A295" s="0" t="n">
        <v>5</v>
      </c>
      <c r="B295" s="8" t="s">
        <v>24</v>
      </c>
      <c r="C295" s="9" t="s">
        <v>25</v>
      </c>
      <c r="D295" s="9" t="s">
        <v>26</v>
      </c>
      <c r="E295" s="10" t="n">
        <v>1789</v>
      </c>
      <c r="F295" s="9" t="s">
        <v>27</v>
      </c>
      <c r="G295" s="9" t="s">
        <v>27</v>
      </c>
      <c r="H295" s="11" t="n">
        <v>26</v>
      </c>
      <c r="I295" s="11" t="s">
        <v>376</v>
      </c>
      <c r="J295" s="14" t="n">
        <v>550</v>
      </c>
      <c r="K295" s="14"/>
      <c r="L295" s="16"/>
      <c r="M295" s="27" t="n">
        <f aca="false">J295+(K295/20)+(L295/240)</f>
        <v>550</v>
      </c>
      <c r="N295" s="17" t="s">
        <v>64</v>
      </c>
      <c r="O295" s="11"/>
      <c r="P295" s="28"/>
      <c r="Q295" s="28" t="str">
        <f aca="false">IF(O295&lt;&gt;"",P295*M295,"")</f>
        <v/>
      </c>
      <c r="R295" s="28"/>
      <c r="S295" s="28" t="n">
        <f aca="false">R295*$M295</f>
        <v>0</v>
      </c>
      <c r="T295" s="28"/>
      <c r="U295" s="28" t="n">
        <f aca="false">T295*$M295</f>
        <v>0</v>
      </c>
      <c r="V295" s="28"/>
      <c r="W295" s="28" t="n">
        <f aca="false">V295*$M295</f>
        <v>0</v>
      </c>
      <c r="X295" s="28"/>
      <c r="Y295" s="28" t="n">
        <f aca="false">X295*$M295</f>
        <v>0</v>
      </c>
      <c r="Z295" s="28"/>
      <c r="AA295" s="28" t="n">
        <f aca="false">Z295*$M295</f>
        <v>0</v>
      </c>
      <c r="AB295" s="28"/>
      <c r="AC295" s="28" t="n">
        <f aca="false">AB295*$M295</f>
        <v>0</v>
      </c>
      <c r="AD295" s="28"/>
      <c r="AE295" s="28" t="n">
        <f aca="false">AD295*$M295</f>
        <v>0</v>
      </c>
      <c r="AF295" s="28"/>
      <c r="AG295" s="28" t="n">
        <f aca="false">AF295*$M295</f>
        <v>0</v>
      </c>
      <c r="AH295" s="28"/>
      <c r="AI295" s="28" t="n">
        <f aca="false">AH295*$M295</f>
        <v>0</v>
      </c>
      <c r="AJ295" s="28" t="n">
        <f aca="false">215551/100</f>
        <v>2155.51</v>
      </c>
      <c r="AK295" s="28" t="n">
        <v>1185530</v>
      </c>
      <c r="AL295" s="28"/>
      <c r="AM295" s="28" t="n">
        <f aca="false">AL295*$M295</f>
        <v>0</v>
      </c>
      <c r="AN295" s="28"/>
      <c r="AO295" s="28" t="n">
        <f aca="false">AN295*$M295</f>
        <v>0</v>
      </c>
      <c r="AP295" s="28"/>
      <c r="AQ295" s="28" t="n">
        <f aca="false">AP295*$M295</f>
        <v>0</v>
      </c>
      <c r="AR295" s="28"/>
      <c r="AS295" s="28" t="n">
        <f aca="false">AR295*$M295</f>
        <v>0</v>
      </c>
      <c r="AT295" s="28"/>
      <c r="AU295" s="28" t="n">
        <f aca="false">AT295*$M295</f>
        <v>0</v>
      </c>
      <c r="AV295" s="28"/>
      <c r="AW295" s="28" t="n">
        <f aca="false">AV295*$M295</f>
        <v>0</v>
      </c>
      <c r="AX295" s="28"/>
      <c r="AY295" s="28" t="n">
        <f aca="false">AX295*$M295</f>
        <v>0</v>
      </c>
      <c r="AZ295" s="28"/>
      <c r="BA295" s="28" t="n">
        <f aca="false">AZ295*$M295</f>
        <v>0</v>
      </c>
      <c r="BB295" s="30" t="n">
        <f aca="false">215551/100</f>
        <v>2155.51</v>
      </c>
      <c r="BC295" s="11" t="n">
        <v>1185530</v>
      </c>
      <c r="BD295" s="31" t="n">
        <f aca="false">SUM(S295,U295,W295,Y295,AA295,AC295,AE295,AG295,AI295,AK295,AM295,AO295,AQ295,AS295,AU295,AW295,AY295,BA295)</f>
        <v>1185530</v>
      </c>
      <c r="BE295" s="28" t="n">
        <f aca="false">BC295-BD295</f>
        <v>0</v>
      </c>
      <c r="BF295" s="32" t="n">
        <f aca="false">SUM(R295,T295,V295,X295,Z295,AB295,AD295,AF295,AH295,AJ295,AL295,AN295,AP295,AR295,AT295,AV295,AX295,AZ295)</f>
        <v>2155.51</v>
      </c>
      <c r="BG295" s="33" t="n">
        <f aca="false">BB295-BF295</f>
        <v>0</v>
      </c>
      <c r="BH295" s="34" t="n">
        <f aca="false">BF295*M295</f>
        <v>1185530.5</v>
      </c>
      <c r="BI295" s="35" t="n">
        <f aca="false">BC295-BH295</f>
        <v>-0.500000000232831</v>
      </c>
      <c r="BJ295" s="19" t="str">
        <f aca="false">IF(BI295=0,"",IF(BI295&lt;&gt;BC295,"erreur de calcul",IF(BF295&lt;&gt;0,"pas de prix",IF(M295&lt;&gt; 0,"pas de quantité","pas de prix, ni de quantité"))))</f>
        <v>erreur de calcul</v>
      </c>
      <c r="BK295" s="19"/>
    </row>
    <row r="296" customFormat="false" ht="16" hidden="false" customHeight="false" outlineLevel="0" collapsed="false">
      <c r="A296" s="0" t="n">
        <v>6</v>
      </c>
      <c r="B296" s="8" t="s">
        <v>24</v>
      </c>
      <c r="C296" s="9" t="s">
        <v>25</v>
      </c>
      <c r="D296" s="9" t="s">
        <v>26</v>
      </c>
      <c r="E296" s="10" t="n">
        <v>1789</v>
      </c>
      <c r="F296" s="9" t="s">
        <v>27</v>
      </c>
      <c r="G296" s="9" t="s">
        <v>27</v>
      </c>
      <c r="H296" s="11" t="n">
        <v>26</v>
      </c>
      <c r="I296" s="11" t="s">
        <v>377</v>
      </c>
      <c r="J296" s="14"/>
      <c r="K296" s="14"/>
      <c r="L296" s="16"/>
      <c r="M296" s="27" t="n">
        <f aca="false">J296+(K296/20)+(L296/240)</f>
        <v>0</v>
      </c>
      <c r="N296" s="17"/>
      <c r="O296" s="11"/>
      <c r="P296" s="28"/>
      <c r="Q296" s="28" t="str">
        <f aca="false">IF(O296&lt;&gt;"",P296*M296,"")</f>
        <v/>
      </c>
      <c r="R296" s="28"/>
      <c r="S296" s="28" t="n">
        <f aca="false">R296*$M296</f>
        <v>0</v>
      </c>
      <c r="T296" s="28"/>
      <c r="U296" s="28" t="n">
        <f aca="false">T296*$M296</f>
        <v>0</v>
      </c>
      <c r="V296" s="28"/>
      <c r="W296" s="28" t="n">
        <v>517</v>
      </c>
      <c r="X296" s="28"/>
      <c r="Y296" s="28" t="n">
        <v>1243</v>
      </c>
      <c r="Z296" s="28"/>
      <c r="AA296" s="28" t="n">
        <f aca="false">Z296*$M296</f>
        <v>0</v>
      </c>
      <c r="AB296" s="28"/>
      <c r="AC296" s="28" t="n">
        <f aca="false">AB296*$M296</f>
        <v>0</v>
      </c>
      <c r="AD296" s="28"/>
      <c r="AE296" s="28" t="n">
        <v>694</v>
      </c>
      <c r="AF296" s="28"/>
      <c r="AG296" s="28" t="n">
        <f aca="false">AF296*$M296</f>
        <v>0</v>
      </c>
      <c r="AH296" s="28"/>
      <c r="AI296" s="28" t="n">
        <f aca="false">AH296*$M296</f>
        <v>0</v>
      </c>
      <c r="AJ296" s="28"/>
      <c r="AK296" s="28" t="n">
        <f aca="false">AJ296*$M296</f>
        <v>0</v>
      </c>
      <c r="AL296" s="28"/>
      <c r="AM296" s="28" t="n">
        <v>664</v>
      </c>
      <c r="AN296" s="28"/>
      <c r="AO296" s="28" t="n">
        <v>161</v>
      </c>
      <c r="AP296" s="28"/>
      <c r="AQ296" s="28" t="n">
        <f aca="false">AP296*$M296</f>
        <v>0</v>
      </c>
      <c r="AR296" s="28"/>
      <c r="AS296" s="28" t="n">
        <f aca="false">AR296*$M296</f>
        <v>0</v>
      </c>
      <c r="AT296" s="28"/>
      <c r="AU296" s="28" t="n">
        <f aca="false">AT296*$M296</f>
        <v>0</v>
      </c>
      <c r="AV296" s="28"/>
      <c r="AW296" s="28" t="n">
        <f aca="false">AV296*$M296</f>
        <v>0</v>
      </c>
      <c r="AX296" s="28"/>
      <c r="AY296" s="28" t="n">
        <f aca="false">AX296*$M296</f>
        <v>0</v>
      </c>
      <c r="AZ296" s="28"/>
      <c r="BA296" s="28" t="n">
        <f aca="false">AZ296*$M296</f>
        <v>0</v>
      </c>
      <c r="BB296" s="30"/>
      <c r="BC296" s="11" t="n">
        <v>3279</v>
      </c>
      <c r="BD296" s="31" t="n">
        <f aca="false">SUM(S296,U296,W296,Y296,AA296,AC296,AE296,AG296,AI296,AK296,AM296,AO296,AQ296,AS296,AU296,AW296,AY296,BA296)</f>
        <v>3279</v>
      </c>
      <c r="BE296" s="28" t="n">
        <f aca="false">BC296-BD296</f>
        <v>0</v>
      </c>
      <c r="BF296" s="32" t="n">
        <f aca="false">SUM(R296,T296,V296,X296,Z296,AB296,AD296,AF296,AH296,AJ296,AL296,AN296,AP296,AR296,AT296,AV296,AX296,AZ296)</f>
        <v>0</v>
      </c>
      <c r="BG296" s="33" t="n">
        <f aca="false">BB296-BF296</f>
        <v>0</v>
      </c>
      <c r="BH296" s="34" t="n">
        <f aca="false">BF296*M296</f>
        <v>0</v>
      </c>
      <c r="BI296" s="35" t="n">
        <f aca="false">BC296-BH296</f>
        <v>3279</v>
      </c>
      <c r="BJ296" s="19" t="str">
        <f aca="false">IF(BI296=0,"",IF(BI296&lt;&gt;BC296,"erreur de calcul",IF(BF296&lt;&gt;0,"pas de prix",IF(M296&lt;&gt; 0,"pas de quantité","pas de prix, ni de quantité"))))</f>
        <v>pas de prix, ni de quantité</v>
      </c>
      <c r="BK296" s="19"/>
    </row>
    <row r="297" customFormat="false" ht="16" hidden="false" customHeight="false" outlineLevel="0" collapsed="false">
      <c r="A297" s="0" t="n">
        <v>7</v>
      </c>
      <c r="B297" s="8" t="s">
        <v>24</v>
      </c>
      <c r="C297" s="9" t="s">
        <v>25</v>
      </c>
      <c r="D297" s="9" t="s">
        <v>26</v>
      </c>
      <c r="E297" s="10" t="n">
        <v>1789</v>
      </c>
      <c r="F297" s="9" t="s">
        <v>27</v>
      </c>
      <c r="G297" s="9" t="s">
        <v>27</v>
      </c>
      <c r="H297" s="11" t="n">
        <v>26</v>
      </c>
      <c r="I297" s="11" t="s">
        <v>378</v>
      </c>
      <c r="J297" s="14" t="n">
        <v>27</v>
      </c>
      <c r="K297" s="14"/>
      <c r="L297" s="16"/>
      <c r="M297" s="27" t="n">
        <f aca="false">J297+(K297/20)+(L297/240)</f>
        <v>27</v>
      </c>
      <c r="N297" s="17" t="s">
        <v>379</v>
      </c>
      <c r="O297" s="11" t="s">
        <v>98</v>
      </c>
      <c r="P297" s="28" t="n">
        <v>181</v>
      </c>
      <c r="Q297" s="28" t="n">
        <v>4887</v>
      </c>
      <c r="R297" s="28"/>
      <c r="S297" s="28" t="n">
        <f aca="false">R297*$M297</f>
        <v>0</v>
      </c>
      <c r="T297" s="28"/>
      <c r="U297" s="28" t="n">
        <f aca="false">T297*$M297</f>
        <v>0</v>
      </c>
      <c r="V297" s="28"/>
      <c r="W297" s="28" t="n">
        <f aca="false">V297*$M297</f>
        <v>0</v>
      </c>
      <c r="X297" s="28"/>
      <c r="Y297" s="28" t="n">
        <f aca="false">X297*$M297</f>
        <v>0</v>
      </c>
      <c r="Z297" s="28"/>
      <c r="AA297" s="28" t="n">
        <f aca="false">Z297*$M297</f>
        <v>0</v>
      </c>
      <c r="AB297" s="28"/>
      <c r="AC297" s="28" t="n">
        <f aca="false">AB297*$M297</f>
        <v>0</v>
      </c>
      <c r="AD297" s="28"/>
      <c r="AE297" s="28" t="n">
        <f aca="false">AD297*$M297</f>
        <v>0</v>
      </c>
      <c r="AF297" s="28"/>
      <c r="AG297" s="28" t="n">
        <f aca="false">AF297*$M297</f>
        <v>0</v>
      </c>
      <c r="AH297" s="28"/>
      <c r="AI297" s="28" t="n">
        <f aca="false">AH297*$M297</f>
        <v>0</v>
      </c>
      <c r="AJ297" s="28"/>
      <c r="AK297" s="28" t="n">
        <f aca="false">AJ297*$M297</f>
        <v>0</v>
      </c>
      <c r="AL297" s="28"/>
      <c r="AM297" s="28" t="n">
        <f aca="false">AL297*$M297</f>
        <v>0</v>
      </c>
      <c r="AN297" s="28"/>
      <c r="AO297" s="28" t="n">
        <f aca="false">AN297*$M297</f>
        <v>0</v>
      </c>
      <c r="AP297" s="28"/>
      <c r="AQ297" s="28" t="n">
        <f aca="false">AP297*$M297</f>
        <v>0</v>
      </c>
      <c r="AR297" s="28"/>
      <c r="AS297" s="28" t="n">
        <f aca="false">AR297*$M297</f>
        <v>0</v>
      </c>
      <c r="AT297" s="28"/>
      <c r="AU297" s="28" t="n">
        <f aca="false">AT297*$M297</f>
        <v>0</v>
      </c>
      <c r="AV297" s="28"/>
      <c r="AW297" s="28" t="n">
        <f aca="false">AV297*$M297</f>
        <v>0</v>
      </c>
      <c r="AX297" s="28"/>
      <c r="AY297" s="28" t="n">
        <f aca="false">AX297*$M297</f>
        <v>0</v>
      </c>
      <c r="AZ297" s="28"/>
      <c r="BA297" s="28" t="n">
        <f aca="false">AZ297*$M297</f>
        <v>0</v>
      </c>
      <c r="BB297" s="30"/>
      <c r="BC297" s="11"/>
      <c r="BD297" s="31" t="n">
        <f aca="false">SUM(S297,U297,W297,Y297,AA297,AC297,AE297,AG297,AI297,AK297,AM297,AO297,AQ297,AS297,AU297,AW297,AY297,BA297)</f>
        <v>0</v>
      </c>
      <c r="BE297" s="28" t="n">
        <f aca="false">BC297-BD297</f>
        <v>0</v>
      </c>
      <c r="BF297" s="32" t="n">
        <f aca="false">SUM(R297,T297,V297,X297,Z297,AB297,AD297,AF297,AH297,AJ297,AL297,AN297,AP297,AR297,AT297,AV297,AX297,AZ297)</f>
        <v>0</v>
      </c>
      <c r="BG297" s="33" t="n">
        <f aca="false">BB297-BF297</f>
        <v>0</v>
      </c>
      <c r="BH297" s="34" t="n">
        <f aca="false">BF297*M297</f>
        <v>0</v>
      </c>
      <c r="BI297" s="35" t="n">
        <f aca="false">BC297-BH297</f>
        <v>0</v>
      </c>
      <c r="BJ297" s="19" t="str">
        <f aca="false">IF(BI297=0,"",IF(BI297&lt;&gt;BC297,"erreur de calcul",IF(BF297&lt;&gt;0,"pas de prix",IF(M297&lt;&gt; 0,"pas de quantité","pas de prix, ni de quantité"))))</f>
        <v/>
      </c>
      <c r="BK297" s="19"/>
    </row>
    <row r="298" customFormat="false" ht="16" hidden="false" customHeight="false" outlineLevel="0" collapsed="false">
      <c r="A298" s="0" t="n">
        <v>8</v>
      </c>
      <c r="B298" s="8" t="s">
        <v>24</v>
      </c>
      <c r="C298" s="9" t="s">
        <v>25</v>
      </c>
      <c r="D298" s="9" t="s">
        <v>26</v>
      </c>
      <c r="E298" s="10" t="n">
        <v>1789</v>
      </c>
      <c r="F298" s="9" t="s">
        <v>27</v>
      </c>
      <c r="G298" s="9" t="s">
        <v>27</v>
      </c>
      <c r="H298" s="11" t="n">
        <v>26</v>
      </c>
      <c r="I298" s="11" t="s">
        <v>380</v>
      </c>
      <c r="J298" s="14" t="n">
        <v>30</v>
      </c>
      <c r="K298" s="14"/>
      <c r="L298" s="16"/>
      <c r="M298" s="27" t="n">
        <f aca="false">J298+(K298/20)+(L298/240)</f>
        <v>30</v>
      </c>
      <c r="N298" s="17" t="s">
        <v>64</v>
      </c>
      <c r="O298" s="11"/>
      <c r="P298" s="28"/>
      <c r="Q298" s="28" t="str">
        <f aca="false">IF(O298&lt;&gt;"",P298*M298,"")</f>
        <v/>
      </c>
      <c r="R298" s="28"/>
      <c r="S298" s="28" t="n">
        <f aca="false">R298*$M298</f>
        <v>0</v>
      </c>
      <c r="T298" s="28"/>
      <c r="U298" s="28" t="n">
        <f aca="false">T298*$M298</f>
        <v>0</v>
      </c>
      <c r="V298" s="28"/>
      <c r="W298" s="28" t="n">
        <f aca="false">V298*$M298</f>
        <v>0</v>
      </c>
      <c r="X298" s="28"/>
      <c r="Y298" s="28" t="n">
        <f aca="false">X298*$M298</f>
        <v>0</v>
      </c>
      <c r="Z298" s="28"/>
      <c r="AA298" s="28" t="n">
        <f aca="false">Z298*$M298</f>
        <v>0</v>
      </c>
      <c r="AB298" s="28"/>
      <c r="AC298" s="28" t="n">
        <f aca="false">AB298*$M298</f>
        <v>0</v>
      </c>
      <c r="AD298" s="28"/>
      <c r="AE298" s="28" t="n">
        <f aca="false">AD298*$M298</f>
        <v>0</v>
      </c>
      <c r="AF298" s="28"/>
      <c r="AG298" s="28" t="n">
        <f aca="false">AF298*$M298</f>
        <v>0</v>
      </c>
      <c r="AH298" s="28"/>
      <c r="AI298" s="28" t="n">
        <f aca="false">AH298*$M298</f>
        <v>0</v>
      </c>
      <c r="AJ298" s="28"/>
      <c r="AK298" s="28" t="n">
        <f aca="false">AJ298*$M298</f>
        <v>0</v>
      </c>
      <c r="AL298" s="28"/>
      <c r="AM298" s="28" t="n">
        <f aca="false">AL298*$M298</f>
        <v>0</v>
      </c>
      <c r="AN298" s="28"/>
      <c r="AO298" s="28" t="n">
        <f aca="false">AN298*$M298</f>
        <v>0</v>
      </c>
      <c r="AP298" s="28"/>
      <c r="AQ298" s="28" t="n">
        <f aca="false">AP298*$M298</f>
        <v>0</v>
      </c>
      <c r="AR298" s="28"/>
      <c r="AS298" s="28" t="n">
        <f aca="false">AR298*$M298</f>
        <v>0</v>
      </c>
      <c r="AT298" s="28"/>
      <c r="AU298" s="28" t="n">
        <f aca="false">AT298*$M298</f>
        <v>0</v>
      </c>
      <c r="AV298" s="28"/>
      <c r="AW298" s="28" t="n">
        <f aca="false">AV298*$M298</f>
        <v>0</v>
      </c>
      <c r="AX298" s="28" t="n">
        <f aca="false">5417/100</f>
        <v>54.17</v>
      </c>
      <c r="AY298" s="28" t="n">
        <v>1625</v>
      </c>
      <c r="AZ298" s="28"/>
      <c r="BA298" s="28" t="n">
        <f aca="false">AZ298*$M298</f>
        <v>0</v>
      </c>
      <c r="BB298" s="30"/>
      <c r="BC298" s="11" t="n">
        <v>1625</v>
      </c>
      <c r="BD298" s="31" t="n">
        <f aca="false">SUM(S298,U298,W298,Y298,AA298,AC298,AE298,AG298,AI298,AK298,AM298,AO298,AQ298,AS298,AU298,AW298,AY298,BA298)</f>
        <v>1625</v>
      </c>
      <c r="BE298" s="28" t="n">
        <f aca="false">BC298-BD298</f>
        <v>0</v>
      </c>
      <c r="BF298" s="32" t="n">
        <f aca="false">SUM(R298,T298,V298,X298,Z298,AB298,AD298,AF298,AH298,AJ298,AL298,AN298,AP298,AR298,AT298,AV298,AX298,AZ298)</f>
        <v>54.17</v>
      </c>
      <c r="BG298" s="33" t="n">
        <f aca="false">BB298-BF298</f>
        <v>-54.17</v>
      </c>
      <c r="BH298" s="34" t="n">
        <f aca="false">BF298*M298</f>
        <v>1625.1</v>
      </c>
      <c r="BI298" s="35" t="n">
        <f aca="false">BC298-BH298</f>
        <v>-0.100000000000136</v>
      </c>
      <c r="BJ298" s="19" t="str">
        <f aca="false">IF(BI298=0,"",IF(BI298&lt;&gt;BC298,"erreur de calcul",IF(BF298&lt;&gt;0,"pas de prix",IF(M298&lt;&gt; 0,"pas de quantité","pas de prix, ni de quantité"))))</f>
        <v>erreur de calcul</v>
      </c>
      <c r="BK298" s="19"/>
    </row>
    <row r="299" customFormat="false" ht="16" hidden="false" customHeight="false" outlineLevel="0" collapsed="false">
      <c r="A299" s="0" t="n">
        <v>9</v>
      </c>
      <c r="B299" s="8" t="s">
        <v>24</v>
      </c>
      <c r="C299" s="9" t="s">
        <v>25</v>
      </c>
      <c r="D299" s="9" t="s">
        <v>26</v>
      </c>
      <c r="E299" s="10" t="n">
        <v>1789</v>
      </c>
      <c r="F299" s="9" t="s">
        <v>27</v>
      </c>
      <c r="G299" s="9" t="s">
        <v>27</v>
      </c>
      <c r="H299" s="11" t="n">
        <v>26</v>
      </c>
      <c r="I299" s="11" t="s">
        <v>381</v>
      </c>
      <c r="J299" s="14" t="n">
        <v>6</v>
      </c>
      <c r="K299" s="14"/>
      <c r="L299" s="16"/>
      <c r="M299" s="27" t="n">
        <f aca="false">J299+(K299/20)+(L299/240)</f>
        <v>6</v>
      </c>
      <c r="N299" s="17" t="s">
        <v>379</v>
      </c>
      <c r="O299" s="11" t="s">
        <v>98</v>
      </c>
      <c r="P299" s="28" t="n">
        <v>3670</v>
      </c>
      <c r="Q299" s="28" t="n">
        <v>22020</v>
      </c>
      <c r="R299" s="28"/>
      <c r="S299" s="28" t="n">
        <f aca="false">R299*$M299</f>
        <v>0</v>
      </c>
      <c r="T299" s="28"/>
      <c r="U299" s="28" t="n">
        <f aca="false">T299*$M299</f>
        <v>0</v>
      </c>
      <c r="V299" s="28"/>
      <c r="W299" s="28" t="n">
        <f aca="false">V299*$M299</f>
        <v>0</v>
      </c>
      <c r="X299" s="28"/>
      <c r="Y299" s="28" t="n">
        <f aca="false">X299*$M299</f>
        <v>0</v>
      </c>
      <c r="Z299" s="28"/>
      <c r="AA299" s="28" t="n">
        <f aca="false">Z299*$M299</f>
        <v>0</v>
      </c>
      <c r="AB299" s="28"/>
      <c r="AC299" s="28" t="n">
        <f aca="false">AB299*$M299</f>
        <v>0</v>
      </c>
      <c r="AD299" s="28"/>
      <c r="AE299" s="28" t="n">
        <f aca="false">AD299*$M299</f>
        <v>0</v>
      </c>
      <c r="AF299" s="28"/>
      <c r="AG299" s="28" t="n">
        <f aca="false">AF299*$M299</f>
        <v>0</v>
      </c>
      <c r="AH299" s="28"/>
      <c r="AI299" s="28" t="n">
        <f aca="false">AH299*$M299</f>
        <v>0</v>
      </c>
      <c r="AJ299" s="28"/>
      <c r="AK299" s="28" t="n">
        <f aca="false">AJ299*$M299</f>
        <v>0</v>
      </c>
      <c r="AL299" s="28"/>
      <c r="AM299" s="28" t="n">
        <f aca="false">AL299*$M299</f>
        <v>0</v>
      </c>
      <c r="AN299" s="28"/>
      <c r="AO299" s="28" t="n">
        <f aca="false">AN299*$M299</f>
        <v>0</v>
      </c>
      <c r="AP299" s="28"/>
      <c r="AQ299" s="28" t="n">
        <f aca="false">AP299*$M299</f>
        <v>0</v>
      </c>
      <c r="AR299" s="28"/>
      <c r="AS299" s="28" t="n">
        <f aca="false">AR299*$M299</f>
        <v>0</v>
      </c>
      <c r="AT299" s="28"/>
      <c r="AU299" s="28" t="n">
        <f aca="false">AT299*$M299</f>
        <v>0</v>
      </c>
      <c r="AV299" s="28"/>
      <c r="AW299" s="28" t="n">
        <f aca="false">AV299*$M299</f>
        <v>0</v>
      </c>
      <c r="AX299" s="28"/>
      <c r="AY299" s="28" t="n">
        <f aca="false">AX299*$M299</f>
        <v>0</v>
      </c>
      <c r="AZ299" s="28"/>
      <c r="BA299" s="28" t="n">
        <f aca="false">AZ299*$M299</f>
        <v>0</v>
      </c>
      <c r="BB299" s="30"/>
      <c r="BC299" s="11"/>
      <c r="BD299" s="31" t="n">
        <f aca="false">SUM(S299,U299,W299,Y299,AA299,AC299,AE299,AG299,AI299,AK299,AM299,AO299,AQ299,AS299,AU299,AW299,AY299,BA299)</f>
        <v>0</v>
      </c>
      <c r="BE299" s="28" t="n">
        <f aca="false">BC299-BD299</f>
        <v>0</v>
      </c>
      <c r="BF299" s="32" t="n">
        <f aca="false">SUM(R299,T299,V299,X299,Z299,AB299,AD299,AF299,AH299,AJ299,AL299,AN299,AP299,AR299,AT299,AV299,AX299,AZ299)</f>
        <v>0</v>
      </c>
      <c r="BG299" s="33" t="n">
        <f aca="false">BB299-BF299</f>
        <v>0</v>
      </c>
      <c r="BH299" s="34" t="n">
        <f aca="false">BF299*M299</f>
        <v>0</v>
      </c>
      <c r="BI299" s="35" t="n">
        <f aca="false">BC299-BH299</f>
        <v>0</v>
      </c>
      <c r="BJ299" s="19" t="str">
        <f aca="false">IF(BI299=0,"",IF(BI299&lt;&gt;BC299,"erreur de calcul",IF(BF299&lt;&gt;0,"pas de prix",IF(M299&lt;&gt; 0,"pas de quantité","pas de prix, ni de quantité"))))</f>
        <v/>
      </c>
      <c r="BK299" s="19"/>
    </row>
    <row r="300" customFormat="false" ht="16" hidden="false" customHeight="false" outlineLevel="0" collapsed="false">
      <c r="A300" s="0" t="n">
        <v>10</v>
      </c>
      <c r="B300" s="8" t="s">
        <v>24</v>
      </c>
      <c r="C300" s="9" t="s">
        <v>25</v>
      </c>
      <c r="D300" s="9" t="s">
        <v>26</v>
      </c>
      <c r="E300" s="10" t="n">
        <v>1789</v>
      </c>
      <c r="F300" s="9" t="s">
        <v>27</v>
      </c>
      <c r="G300" s="9" t="s">
        <v>27</v>
      </c>
      <c r="H300" s="11" t="n">
        <v>26</v>
      </c>
      <c r="I300" s="11" t="s">
        <v>381</v>
      </c>
      <c r="J300" s="14" t="n">
        <v>40</v>
      </c>
      <c r="K300" s="14"/>
      <c r="L300" s="16"/>
      <c r="M300" s="27" t="n">
        <f aca="false">J300+(K300/20)+(L300/240)</f>
        <v>40</v>
      </c>
      <c r="N300" s="17" t="s">
        <v>382</v>
      </c>
      <c r="O300" s="11" t="s">
        <v>98</v>
      </c>
      <c r="P300" s="28" t="n">
        <v>345</v>
      </c>
      <c r="Q300" s="28" t="n">
        <v>13800</v>
      </c>
      <c r="R300" s="28"/>
      <c r="S300" s="28" t="n">
        <f aca="false">R300*$M300</f>
        <v>0</v>
      </c>
      <c r="T300" s="28"/>
      <c r="U300" s="28" t="n">
        <f aca="false">T300*$M300</f>
        <v>0</v>
      </c>
      <c r="V300" s="28"/>
      <c r="W300" s="28" t="n">
        <f aca="false">V300*$M300</f>
        <v>0</v>
      </c>
      <c r="X300" s="28"/>
      <c r="Y300" s="28" t="n">
        <f aca="false">X300*$M300</f>
        <v>0</v>
      </c>
      <c r="Z300" s="28"/>
      <c r="AA300" s="28" t="n">
        <f aca="false">Z300*$M300</f>
        <v>0</v>
      </c>
      <c r="AB300" s="28"/>
      <c r="AC300" s="28" t="n">
        <f aca="false">AB300*$M300</f>
        <v>0</v>
      </c>
      <c r="AD300" s="28"/>
      <c r="AE300" s="28" t="n">
        <f aca="false">AD300*$M300</f>
        <v>0</v>
      </c>
      <c r="AF300" s="28"/>
      <c r="AG300" s="28" t="n">
        <f aca="false">AF300*$M300</f>
        <v>0</v>
      </c>
      <c r="AH300" s="28"/>
      <c r="AI300" s="28" t="n">
        <f aca="false">AH300*$M300</f>
        <v>0</v>
      </c>
      <c r="AJ300" s="28"/>
      <c r="AK300" s="28" t="n">
        <f aca="false">AJ300*$M300</f>
        <v>0</v>
      </c>
      <c r="AL300" s="28"/>
      <c r="AM300" s="28" t="n">
        <f aca="false">AL300*$M300</f>
        <v>0</v>
      </c>
      <c r="AN300" s="28"/>
      <c r="AO300" s="28" t="n">
        <f aca="false">AN300*$M300</f>
        <v>0</v>
      </c>
      <c r="AP300" s="28"/>
      <c r="AQ300" s="28" t="n">
        <f aca="false">AP300*$M300</f>
        <v>0</v>
      </c>
      <c r="AR300" s="28"/>
      <c r="AS300" s="28" t="n">
        <f aca="false">AR300*$M300</f>
        <v>0</v>
      </c>
      <c r="AT300" s="28"/>
      <c r="AU300" s="28" t="n">
        <f aca="false">AT300*$M300</f>
        <v>0</v>
      </c>
      <c r="AV300" s="28"/>
      <c r="AW300" s="28" t="n">
        <f aca="false">AV300*$M300</f>
        <v>0</v>
      </c>
      <c r="AX300" s="28"/>
      <c r="AY300" s="28" t="n">
        <f aca="false">AX300*$M300</f>
        <v>0</v>
      </c>
      <c r="AZ300" s="28"/>
      <c r="BA300" s="28" t="n">
        <f aca="false">AZ300*$M300</f>
        <v>0</v>
      </c>
      <c r="BB300" s="30"/>
      <c r="BC300" s="11"/>
      <c r="BD300" s="31" t="n">
        <f aca="false">SUM(S300,U300,W300,Y300,AA300,AC300,AE300,AG300,AI300,AK300,AM300,AO300,AQ300,AS300,AU300,AW300,AY300,BA300)</f>
        <v>0</v>
      </c>
      <c r="BE300" s="28" t="n">
        <f aca="false">BC300-BD300</f>
        <v>0</v>
      </c>
      <c r="BF300" s="32" t="n">
        <f aca="false">SUM(R300,T300,V300,X300,Z300,AB300,AD300,AF300,AH300,AJ300,AL300,AN300,AP300,AR300,AT300,AV300,AX300,AZ300)</f>
        <v>0</v>
      </c>
      <c r="BG300" s="33" t="n">
        <f aca="false">BB300-BF300</f>
        <v>0</v>
      </c>
      <c r="BH300" s="34" t="n">
        <f aca="false">BF300*M300</f>
        <v>0</v>
      </c>
      <c r="BI300" s="35" t="n">
        <f aca="false">BC300-BH300</f>
        <v>0</v>
      </c>
      <c r="BJ300" s="19" t="str">
        <f aca="false">IF(BI300=0,"",IF(BI300&lt;&gt;BC300,"erreur de calcul",IF(BF300&lt;&gt;0,"pas de prix",IF(M300&lt;&gt; 0,"pas de quantité","pas de prix, ni de quantité"))))</f>
        <v/>
      </c>
      <c r="BK300" s="19"/>
    </row>
    <row r="301" customFormat="false" ht="16" hidden="false" customHeight="false" outlineLevel="0" collapsed="false">
      <c r="A301" s="0" t="n">
        <v>11</v>
      </c>
      <c r="B301" s="8" t="s">
        <v>24</v>
      </c>
      <c r="C301" s="9" t="s">
        <v>25</v>
      </c>
      <c r="D301" s="9" t="s">
        <v>26</v>
      </c>
      <c r="E301" s="10" t="n">
        <v>1789</v>
      </c>
      <c r="F301" s="9" t="s">
        <v>27</v>
      </c>
      <c r="G301" s="9" t="s">
        <v>27</v>
      </c>
      <c r="H301" s="11" t="n">
        <v>26</v>
      </c>
      <c r="I301" s="11" t="s">
        <v>383</v>
      </c>
      <c r="J301" s="14" t="n">
        <v>50</v>
      </c>
      <c r="K301" s="14"/>
      <c r="L301" s="16"/>
      <c r="M301" s="27" t="n">
        <f aca="false">J301+(K301/20)+(L301/240)</f>
        <v>50</v>
      </c>
      <c r="N301" s="17" t="s">
        <v>64</v>
      </c>
      <c r="O301" s="11"/>
      <c r="P301" s="28"/>
      <c r="Q301" s="28" t="str">
        <f aca="false">IF(O301&lt;&gt;"",P301*M301,"")</f>
        <v/>
      </c>
      <c r="R301" s="28" t="n">
        <f aca="false">54967/100</f>
        <v>549.67</v>
      </c>
      <c r="S301" s="28" t="n">
        <v>27483</v>
      </c>
      <c r="T301" s="28"/>
      <c r="U301" s="28" t="n">
        <f aca="false">T301*$M301</f>
        <v>0</v>
      </c>
      <c r="V301" s="28" t="n">
        <f aca="false">74693/100</f>
        <v>746.93</v>
      </c>
      <c r="W301" s="28" t="n">
        <v>37346</v>
      </c>
      <c r="X301" s="28" t="n">
        <f aca="false">161729/100</f>
        <v>1617.29</v>
      </c>
      <c r="Y301" s="28" t="n">
        <v>80864</v>
      </c>
      <c r="Z301" s="28" t="n">
        <f aca="false">106689/100</f>
        <v>1066.89</v>
      </c>
      <c r="AA301" s="28" t="n">
        <v>53344</v>
      </c>
      <c r="AB301" s="28"/>
      <c r="AC301" s="28" t="n">
        <f aca="false">AB301*$M301</f>
        <v>0</v>
      </c>
      <c r="AD301" s="28"/>
      <c r="AE301" s="28" t="n">
        <f aca="false">AD301*$M301</f>
        <v>0</v>
      </c>
      <c r="AF301" s="28"/>
      <c r="AG301" s="28" t="n">
        <f aca="false">AF301*$M301</f>
        <v>0</v>
      </c>
      <c r="AH301" s="28"/>
      <c r="AI301" s="28" t="n">
        <f aca="false">AH301*$M301</f>
        <v>0</v>
      </c>
      <c r="AJ301" s="28"/>
      <c r="AK301" s="28" t="n">
        <f aca="false">AJ301*$M301</f>
        <v>0</v>
      </c>
      <c r="AL301" s="28"/>
      <c r="AM301" s="28" t="n">
        <f aca="false">AL301*$M301</f>
        <v>0</v>
      </c>
      <c r="AN301" s="28"/>
      <c r="AO301" s="28" t="n">
        <f aca="false">AN301*$M301</f>
        <v>0</v>
      </c>
      <c r="AP301" s="28"/>
      <c r="AQ301" s="28" t="n">
        <f aca="false">AP301*$M301</f>
        <v>0</v>
      </c>
      <c r="AR301" s="28"/>
      <c r="AS301" s="28" t="n">
        <f aca="false">AR301*$M301</f>
        <v>0</v>
      </c>
      <c r="AT301" s="28"/>
      <c r="AU301" s="28" t="n">
        <f aca="false">AT301*$M301</f>
        <v>0</v>
      </c>
      <c r="AV301" s="28"/>
      <c r="AW301" s="28" t="n">
        <f aca="false">AV301*$M301</f>
        <v>0</v>
      </c>
      <c r="AX301" s="28"/>
      <c r="AY301" s="28" t="n">
        <f aca="false">AX301*$M301</f>
        <v>0</v>
      </c>
      <c r="AZ301" s="28"/>
      <c r="BA301" s="28" t="n">
        <f aca="false">AZ301*$M301</f>
        <v>0</v>
      </c>
      <c r="BB301" s="30" t="n">
        <f aca="false">398078/100</f>
        <v>3980.78</v>
      </c>
      <c r="BC301" s="11" t="n">
        <v>199037</v>
      </c>
      <c r="BD301" s="31" t="n">
        <f aca="false">SUM(S301,U301,W301,Y301,AA301,AC301,AE301,AG301,AI301,AK301,AM301,AO301,AQ301,AS301,AU301,AW301,AY301,BA301)</f>
        <v>199037</v>
      </c>
      <c r="BE301" s="28" t="n">
        <f aca="false">BC301-BD301</f>
        <v>0</v>
      </c>
      <c r="BF301" s="32" t="n">
        <f aca="false">SUM(R301,T301,V301,X301,Z301,AB301,AD301,AF301,AH301,AJ301,AL301,AN301,AP301,AR301,AT301,AV301,AX301,AZ301)</f>
        <v>3980.78</v>
      </c>
      <c r="BG301" s="33" t="n">
        <f aca="false">BB301-BF301</f>
        <v>0</v>
      </c>
      <c r="BH301" s="34" t="n">
        <f aca="false">BF301*M301</f>
        <v>199039</v>
      </c>
      <c r="BI301" s="35" t="n">
        <f aca="false">BC301-BH301</f>
        <v>-2</v>
      </c>
      <c r="BJ301" s="19" t="str">
        <f aca="false">IF(BI301=0,"",IF(BI301&lt;&gt;BC301,"erreur de calcul",IF(BF301&lt;&gt;0,"pas de prix",IF(M301&lt;&gt; 0,"pas de quantité","pas de prix, ni de quantité"))))</f>
        <v>erreur de calcul</v>
      </c>
      <c r="BK301" s="19"/>
    </row>
    <row r="302" customFormat="false" ht="16" hidden="false" customHeight="false" outlineLevel="0" collapsed="false">
      <c r="A302" s="0" t="n">
        <v>12</v>
      </c>
      <c r="B302" s="8" t="s">
        <v>24</v>
      </c>
      <c r="C302" s="9" t="s">
        <v>25</v>
      </c>
      <c r="D302" s="9" t="s">
        <v>26</v>
      </c>
      <c r="E302" s="10" t="n">
        <v>1789</v>
      </c>
      <c r="F302" s="9" t="s">
        <v>27</v>
      </c>
      <c r="G302" s="9" t="s">
        <v>27</v>
      </c>
      <c r="H302" s="11" t="n">
        <v>26</v>
      </c>
      <c r="I302" s="11" t="s">
        <v>384</v>
      </c>
      <c r="J302" s="14" t="n">
        <v>27</v>
      </c>
      <c r="K302" s="14"/>
      <c r="L302" s="16"/>
      <c r="M302" s="27" t="n">
        <f aca="false">J302+(K302/20)+(L302/240)</f>
        <v>27</v>
      </c>
      <c r="N302" s="17" t="s">
        <v>64</v>
      </c>
      <c r="O302" s="11"/>
      <c r="P302" s="28"/>
      <c r="Q302" s="28" t="str">
        <f aca="false">IF(O302&lt;&gt;"",P302*M302,"")</f>
        <v/>
      </c>
      <c r="R302" s="28"/>
      <c r="S302" s="28" t="n">
        <f aca="false">R302*$M302</f>
        <v>0</v>
      </c>
      <c r="T302" s="28"/>
      <c r="U302" s="28" t="n">
        <f aca="false">T302*$M302</f>
        <v>0</v>
      </c>
      <c r="V302" s="28"/>
      <c r="W302" s="28" t="n">
        <f aca="false">V302*$M302</f>
        <v>0</v>
      </c>
      <c r="X302" s="28"/>
      <c r="Y302" s="28" t="n">
        <f aca="false">X302*$M302</f>
        <v>0</v>
      </c>
      <c r="Z302" s="28" t="n">
        <f aca="false">13334/100</f>
        <v>133.34</v>
      </c>
      <c r="AA302" s="28" t="n">
        <v>3600</v>
      </c>
      <c r="AB302" s="28"/>
      <c r="AC302" s="28" t="n">
        <f aca="false">AB302*$M302</f>
        <v>0</v>
      </c>
      <c r="AD302" s="28"/>
      <c r="AE302" s="28" t="n">
        <f aca="false">AD302*$M302</f>
        <v>0</v>
      </c>
      <c r="AF302" s="28"/>
      <c r="AG302" s="28" t="n">
        <f aca="false">AF302*$M302</f>
        <v>0</v>
      </c>
      <c r="AH302" s="28"/>
      <c r="AI302" s="28" t="n">
        <f aca="false">AH302*$M302</f>
        <v>0</v>
      </c>
      <c r="AJ302" s="28"/>
      <c r="AK302" s="28" t="n">
        <f aca="false">AJ302*$M302</f>
        <v>0</v>
      </c>
      <c r="AL302" s="28"/>
      <c r="AM302" s="28" t="n">
        <f aca="false">AL302*$M302</f>
        <v>0</v>
      </c>
      <c r="AN302" s="28"/>
      <c r="AO302" s="28" t="n">
        <f aca="false">AN302*$M302</f>
        <v>0</v>
      </c>
      <c r="AP302" s="28"/>
      <c r="AQ302" s="28" t="n">
        <f aca="false">AP302*$M302</f>
        <v>0</v>
      </c>
      <c r="AR302" s="28"/>
      <c r="AS302" s="28" t="n">
        <f aca="false">AR302*$M302</f>
        <v>0</v>
      </c>
      <c r="AT302" s="28"/>
      <c r="AU302" s="28" t="n">
        <f aca="false">AT302*$M302</f>
        <v>0</v>
      </c>
      <c r="AV302" s="28"/>
      <c r="AW302" s="28" t="n">
        <f aca="false">AV302*$M302</f>
        <v>0</v>
      </c>
      <c r="AX302" s="28"/>
      <c r="AY302" s="28" t="n">
        <f aca="false">AX302*$M302</f>
        <v>0</v>
      </c>
      <c r="AZ302" s="28"/>
      <c r="BA302" s="28" t="n">
        <f aca="false">AZ302*$M302</f>
        <v>0</v>
      </c>
      <c r="BB302" s="30" t="n">
        <f aca="false">13334/100</f>
        <v>133.34</v>
      </c>
      <c r="BC302" s="11" t="n">
        <v>3600</v>
      </c>
      <c r="BD302" s="31" t="n">
        <f aca="false">SUM(S302,U302,W302,Y302,AA302,AC302,AE302,AG302,AI302,AK302,AM302,AO302,AQ302,AS302,AU302,AW302,AY302,BA302)</f>
        <v>3600</v>
      </c>
      <c r="BE302" s="28" t="n">
        <f aca="false">BC302-BD302</f>
        <v>0</v>
      </c>
      <c r="BF302" s="32" t="n">
        <f aca="false">SUM(R302,T302,V302,X302,Z302,AB302,AD302,AF302,AH302,AJ302,AL302,AN302,AP302,AR302,AT302,AV302,AX302,AZ302)</f>
        <v>133.34</v>
      </c>
      <c r="BG302" s="33" t="n">
        <f aca="false">BB302-BF302</f>
        <v>0</v>
      </c>
      <c r="BH302" s="34" t="n">
        <f aca="false">BF302*M302</f>
        <v>3600.18</v>
      </c>
      <c r="BI302" s="35" t="n">
        <f aca="false">BC302-BH302</f>
        <v>-0.180000000000291</v>
      </c>
      <c r="BJ302" s="19" t="str">
        <f aca="false">IF(BI302=0,"",IF(BI302&lt;&gt;BC302,"erreur de calcul",IF(BF302&lt;&gt;0,"pas de prix",IF(M302&lt;&gt; 0,"pas de quantité","pas de prix, ni de quantité"))))</f>
        <v>erreur de calcul</v>
      </c>
      <c r="BK302" s="19"/>
    </row>
    <row r="303" customFormat="false" ht="16" hidden="false" customHeight="false" outlineLevel="0" collapsed="false">
      <c r="A303" s="0" t="n">
        <v>13</v>
      </c>
      <c r="B303" s="8" t="s">
        <v>24</v>
      </c>
      <c r="C303" s="9" t="s">
        <v>25</v>
      </c>
      <c r="D303" s="9" t="s">
        <v>26</v>
      </c>
      <c r="E303" s="10" t="n">
        <v>1789</v>
      </c>
      <c r="F303" s="9" t="s">
        <v>27</v>
      </c>
      <c r="G303" s="9" t="s">
        <v>27</v>
      </c>
      <c r="H303" s="11" t="n">
        <v>26</v>
      </c>
      <c r="I303" s="11" t="s">
        <v>385</v>
      </c>
      <c r="J303" s="14" t="n">
        <v>40</v>
      </c>
      <c r="K303" s="14"/>
      <c r="L303" s="16"/>
      <c r="M303" s="27" t="n">
        <f aca="false">J303+(K303/20)+(L303/240)</f>
        <v>40</v>
      </c>
      <c r="N303" s="17" t="s">
        <v>64</v>
      </c>
      <c r="O303" s="11"/>
      <c r="P303" s="28"/>
      <c r="Q303" s="28" t="str">
        <f aca="false">IF(O303&lt;&gt;"",P303*M303,"")</f>
        <v/>
      </c>
      <c r="R303" s="28"/>
      <c r="S303" s="28" t="n">
        <f aca="false">R303*$M303</f>
        <v>0</v>
      </c>
      <c r="T303" s="28"/>
      <c r="U303" s="28" t="n">
        <f aca="false">T303*$M303</f>
        <v>0</v>
      </c>
      <c r="V303" s="28" t="n">
        <f aca="false">13801/100</f>
        <v>138.01</v>
      </c>
      <c r="W303" s="28" t="n">
        <v>5520</v>
      </c>
      <c r="X303" s="28"/>
      <c r="Y303" s="28" t="n">
        <f aca="false">X303*$M303</f>
        <v>0</v>
      </c>
      <c r="Z303" s="28"/>
      <c r="AA303" s="28" t="n">
        <f aca="false">Z303*$M303</f>
        <v>0</v>
      </c>
      <c r="AB303" s="28"/>
      <c r="AC303" s="28" t="n">
        <f aca="false">AB303*$M303</f>
        <v>0</v>
      </c>
      <c r="AD303" s="28"/>
      <c r="AE303" s="28" t="n">
        <f aca="false">AD303*$M303</f>
        <v>0</v>
      </c>
      <c r="AF303" s="28"/>
      <c r="AG303" s="28" t="n">
        <f aca="false">AF303*$M303</f>
        <v>0</v>
      </c>
      <c r="AH303" s="28"/>
      <c r="AI303" s="28" t="n">
        <f aca="false">AH303*$M303</f>
        <v>0</v>
      </c>
      <c r="AJ303" s="28"/>
      <c r="AK303" s="28" t="n">
        <f aca="false">AJ303*$M303</f>
        <v>0</v>
      </c>
      <c r="AL303" s="28"/>
      <c r="AM303" s="28" t="n">
        <f aca="false">AL303*$M303</f>
        <v>0</v>
      </c>
      <c r="AN303" s="28"/>
      <c r="AO303" s="28" t="n">
        <f aca="false">AN303*$M303</f>
        <v>0</v>
      </c>
      <c r="AP303" s="28"/>
      <c r="AQ303" s="28" t="n">
        <f aca="false">AP303*$M303</f>
        <v>0</v>
      </c>
      <c r="AR303" s="28"/>
      <c r="AS303" s="28" t="n">
        <f aca="false">AR303*$M303</f>
        <v>0</v>
      </c>
      <c r="AT303" s="28"/>
      <c r="AU303" s="28" t="n">
        <f aca="false">AT303*$M303</f>
        <v>0</v>
      </c>
      <c r="AV303" s="28"/>
      <c r="AW303" s="28" t="n">
        <f aca="false">AV303*$M303</f>
        <v>0</v>
      </c>
      <c r="AX303" s="28"/>
      <c r="AY303" s="28" t="n">
        <f aca="false">AX303*$M303</f>
        <v>0</v>
      </c>
      <c r="AZ303" s="28"/>
      <c r="BA303" s="28" t="n">
        <f aca="false">AZ303*$M303</f>
        <v>0</v>
      </c>
      <c r="BB303" s="30" t="n">
        <f aca="false">13801/100</f>
        <v>138.01</v>
      </c>
      <c r="BC303" s="11" t="n">
        <v>5520</v>
      </c>
      <c r="BD303" s="31" t="n">
        <f aca="false">SUM(S303,U303,W303,Y303,AA303,AC303,AE303,AG303,AI303,AK303,AM303,AO303,AQ303,AS303,AU303,AW303,AY303,BA303)</f>
        <v>5520</v>
      </c>
      <c r="BE303" s="28" t="n">
        <f aca="false">BC303-BD303</f>
        <v>0</v>
      </c>
      <c r="BF303" s="32" t="n">
        <f aca="false">SUM(R303,T303,V303,X303,Z303,AB303,AD303,AF303,AH303,AJ303,AL303,AN303,AP303,AR303,AT303,AV303,AX303,AZ303)</f>
        <v>138.01</v>
      </c>
      <c r="BG303" s="33" t="n">
        <f aca="false">BB303-BF303</f>
        <v>0</v>
      </c>
      <c r="BH303" s="34" t="n">
        <f aca="false">BF303*M303</f>
        <v>5520.4</v>
      </c>
      <c r="BI303" s="35" t="n">
        <f aca="false">BC303-BH303</f>
        <v>-0.399999999999636</v>
      </c>
      <c r="BJ303" s="19" t="str">
        <f aca="false">IF(BI303=0,"",IF(BI303&lt;&gt;BC303,"erreur de calcul",IF(BF303&lt;&gt;0,"pas de prix",IF(M303&lt;&gt; 0,"pas de quantité","pas de prix, ni de quantité"))))</f>
        <v>erreur de calcul</v>
      </c>
      <c r="BK303" s="19"/>
    </row>
    <row r="304" customFormat="false" ht="16" hidden="false" customHeight="false" outlineLevel="0" collapsed="false">
      <c r="A304" s="0" t="n">
        <v>14</v>
      </c>
      <c r="B304" s="8" t="s">
        <v>24</v>
      </c>
      <c r="C304" s="9" t="s">
        <v>25</v>
      </c>
      <c r="D304" s="9" t="s">
        <v>26</v>
      </c>
      <c r="E304" s="10" t="n">
        <v>1789</v>
      </c>
      <c r="F304" s="9" t="s">
        <v>27</v>
      </c>
      <c r="G304" s="9" t="s">
        <v>27</v>
      </c>
      <c r="H304" s="11" t="n">
        <v>26</v>
      </c>
      <c r="I304" s="11" t="s">
        <v>386</v>
      </c>
      <c r="J304" s="14" t="n">
        <v>10</v>
      </c>
      <c r="K304" s="14"/>
      <c r="L304" s="16"/>
      <c r="M304" s="27" t="n">
        <f aca="false">J304+(K304/20)+(L304/240)</f>
        <v>10</v>
      </c>
      <c r="N304" s="17" t="s">
        <v>387</v>
      </c>
      <c r="O304" s="11" t="s">
        <v>77</v>
      </c>
      <c r="P304" s="28" t="n">
        <v>282</v>
      </c>
      <c r="Q304" s="28" t="n">
        <v>2820</v>
      </c>
      <c r="R304" s="28" t="n">
        <v>30740</v>
      </c>
      <c r="S304" s="28" t="n">
        <v>307400</v>
      </c>
      <c r="T304" s="28"/>
      <c r="U304" s="28" t="n">
        <f aca="false">T304*$M304</f>
        <v>0</v>
      </c>
      <c r="V304" s="28" t="n">
        <v>1357</v>
      </c>
      <c r="W304" s="28" t="n">
        <v>13570</v>
      </c>
      <c r="X304" s="28" t="n">
        <v>115</v>
      </c>
      <c r="Y304" s="28" t="n">
        <v>1150</v>
      </c>
      <c r="Z304" s="28"/>
      <c r="AA304" s="28" t="n">
        <f aca="false">Z304*$M304</f>
        <v>0</v>
      </c>
      <c r="AB304" s="28"/>
      <c r="AC304" s="28" t="n">
        <f aca="false">AB304*$M304</f>
        <v>0</v>
      </c>
      <c r="AD304" s="28"/>
      <c r="AE304" s="28" t="n">
        <f aca="false">AD304*$M304</f>
        <v>0</v>
      </c>
      <c r="AF304" s="28"/>
      <c r="AG304" s="28" t="n">
        <f aca="false">AF304*$M304</f>
        <v>0</v>
      </c>
      <c r="AH304" s="28"/>
      <c r="AI304" s="28" t="n">
        <f aca="false">AH304*$M304</f>
        <v>0</v>
      </c>
      <c r="AJ304" s="28"/>
      <c r="AK304" s="28" t="n">
        <f aca="false">AJ304*$M304</f>
        <v>0</v>
      </c>
      <c r="AL304" s="28"/>
      <c r="AM304" s="28" t="n">
        <f aca="false">AL304*$M304</f>
        <v>0</v>
      </c>
      <c r="AN304" s="28"/>
      <c r="AO304" s="28" t="n">
        <f aca="false">AN304*$M304</f>
        <v>0</v>
      </c>
      <c r="AP304" s="28"/>
      <c r="AQ304" s="28" t="n">
        <f aca="false">AP304*$M304</f>
        <v>0</v>
      </c>
      <c r="AR304" s="28"/>
      <c r="AS304" s="28" t="n">
        <f aca="false">AR304*$M304</f>
        <v>0</v>
      </c>
      <c r="AT304" s="28"/>
      <c r="AU304" s="28" t="n">
        <f aca="false">AT304*$M304</f>
        <v>0</v>
      </c>
      <c r="AV304" s="28"/>
      <c r="AW304" s="28" t="n">
        <f aca="false">AV304*$M304</f>
        <v>0</v>
      </c>
      <c r="AX304" s="28"/>
      <c r="AY304" s="28" t="n">
        <f aca="false">AX304*$M304</f>
        <v>0</v>
      </c>
      <c r="AZ304" s="28"/>
      <c r="BA304" s="28" t="n">
        <f aca="false">AZ304*$M304</f>
        <v>0</v>
      </c>
      <c r="BB304" s="30" t="n">
        <f aca="false">32212/100</f>
        <v>322.12</v>
      </c>
      <c r="BC304" s="11" t="n">
        <v>322120</v>
      </c>
      <c r="BD304" s="31" t="n">
        <f aca="false">SUM(S304,U304,W304,Y304,AA304,AC304,AE304,AG304,AI304,AK304,AM304,AO304,AQ304,AS304,AU304,AW304,AY304,BA304)</f>
        <v>322120</v>
      </c>
      <c r="BE304" s="28" t="n">
        <f aca="false">BC304-BD304</f>
        <v>0</v>
      </c>
      <c r="BF304" s="32" t="n">
        <f aca="false">SUM(R304,T304,V304,X304,Z304,AB304,AD304,AF304,AH304,AJ304,AL304,AN304,AP304,AR304,AT304,AV304,AX304,AZ304)</f>
        <v>32212</v>
      </c>
      <c r="BG304" s="33" t="n">
        <f aca="false">BB304-BF304</f>
        <v>-31889.88</v>
      </c>
      <c r="BH304" s="34" t="n">
        <f aca="false">BF304*M304</f>
        <v>322120</v>
      </c>
      <c r="BI304" s="35" t="n">
        <f aca="false">BC304-BH304</f>
        <v>0</v>
      </c>
      <c r="BJ304" s="19" t="str">
        <f aca="false">IF(BI304=0,"",IF(BI304&lt;&gt;BC304,"erreur de calcul",IF(BF304&lt;&gt;0,"pas de prix",IF(M304&lt;&gt; 0,"pas de quantité","pas de prix, ni de quantité"))))</f>
        <v/>
      </c>
      <c r="BK304" s="19"/>
    </row>
    <row r="305" customFormat="false" ht="16" hidden="false" customHeight="false" outlineLevel="0" collapsed="false">
      <c r="A305" s="0" t="n">
        <v>15</v>
      </c>
      <c r="B305" s="8" t="s">
        <v>24</v>
      </c>
      <c r="C305" s="9" t="s">
        <v>25</v>
      </c>
      <c r="D305" s="9" t="s">
        <v>26</v>
      </c>
      <c r="E305" s="10" t="n">
        <v>1789</v>
      </c>
      <c r="F305" s="9" t="s">
        <v>27</v>
      </c>
      <c r="G305" s="9" t="s">
        <v>27</v>
      </c>
      <c r="H305" s="11" t="n">
        <v>26</v>
      </c>
      <c r="I305" s="11" t="s">
        <v>385</v>
      </c>
      <c r="J305" s="14" t="n">
        <v>60</v>
      </c>
      <c r="K305" s="14"/>
      <c r="L305" s="16"/>
      <c r="M305" s="27" t="n">
        <f aca="false">J305+(K305/20)+(L305/240)</f>
        <v>60</v>
      </c>
      <c r="N305" s="17" t="s">
        <v>64</v>
      </c>
      <c r="O305" s="11"/>
      <c r="P305" s="28"/>
      <c r="Q305" s="28" t="str">
        <f aca="false">IF(O305&lt;&gt;"",P305*M305,"")</f>
        <v/>
      </c>
      <c r="R305" s="28"/>
      <c r="S305" s="28" t="n">
        <f aca="false">R305*$M305</f>
        <v>0</v>
      </c>
      <c r="T305" s="28"/>
      <c r="U305" s="28" t="n">
        <f aca="false">T305*$M305</f>
        <v>0</v>
      </c>
      <c r="V305" s="28" t="n">
        <f aca="false">204759/100</f>
        <v>2047.59</v>
      </c>
      <c r="W305" s="28" t="n">
        <v>122855</v>
      </c>
      <c r="X305" s="28"/>
      <c r="Y305" s="28" t="n">
        <f aca="false">X305*$M305</f>
        <v>0</v>
      </c>
      <c r="Z305" s="28"/>
      <c r="AA305" s="28" t="n">
        <f aca="false">Z305*$M305</f>
        <v>0</v>
      </c>
      <c r="AB305" s="28"/>
      <c r="AC305" s="28" t="n">
        <f aca="false">AB305*$M305</f>
        <v>0</v>
      </c>
      <c r="AD305" s="28"/>
      <c r="AE305" s="28" t="n">
        <f aca="false">AD305*$M305</f>
        <v>0</v>
      </c>
      <c r="AF305" s="28"/>
      <c r="AG305" s="28" t="n">
        <f aca="false">AF305*$M305</f>
        <v>0</v>
      </c>
      <c r="AH305" s="28"/>
      <c r="AI305" s="28" t="n">
        <f aca="false">AH305*$M305</f>
        <v>0</v>
      </c>
      <c r="AJ305" s="28"/>
      <c r="AK305" s="28" t="n">
        <f aca="false">AJ305*$M305</f>
        <v>0</v>
      </c>
      <c r="AL305" s="28"/>
      <c r="AM305" s="28" t="n">
        <f aca="false">AL305*$M305</f>
        <v>0</v>
      </c>
      <c r="AN305" s="28"/>
      <c r="AO305" s="28" t="n">
        <f aca="false">AN305*$M305</f>
        <v>0</v>
      </c>
      <c r="AP305" s="28"/>
      <c r="AQ305" s="28" t="n">
        <f aca="false">AP305*$M305</f>
        <v>0</v>
      </c>
      <c r="AR305" s="28"/>
      <c r="AS305" s="28" t="n">
        <f aca="false">AR305*$M305</f>
        <v>0</v>
      </c>
      <c r="AT305" s="28"/>
      <c r="AU305" s="28" t="n">
        <f aca="false">AT305*$M305</f>
        <v>0</v>
      </c>
      <c r="AV305" s="28"/>
      <c r="AW305" s="28" t="n">
        <f aca="false">AV305*$M305</f>
        <v>0</v>
      </c>
      <c r="AX305" s="28"/>
      <c r="AY305" s="28" t="n">
        <f aca="false">AX305*$M305</f>
        <v>0</v>
      </c>
      <c r="AZ305" s="28"/>
      <c r="BA305" s="28" t="n">
        <f aca="false">AZ305*$M305</f>
        <v>0</v>
      </c>
      <c r="BB305" s="30" t="n">
        <f aca="false">204759/100</f>
        <v>2047.59</v>
      </c>
      <c r="BC305" s="11" t="n">
        <v>122855</v>
      </c>
      <c r="BD305" s="31" t="n">
        <f aca="false">SUM(S305,U305,W305,Y305,AA305,AC305,AE305,AG305,AI305,AK305,AM305,AO305,AQ305,AS305,AU305,AW305,AY305,BA305)</f>
        <v>122855</v>
      </c>
      <c r="BE305" s="28" t="n">
        <f aca="false">BC305-BD305</f>
        <v>0</v>
      </c>
      <c r="BF305" s="32" t="n">
        <f aca="false">SUM(R305,T305,V305,X305,Z305,AB305,AD305,AF305,AH305,AJ305,AL305,AN305,AP305,AR305,AT305,AV305,AX305,AZ305)</f>
        <v>2047.59</v>
      </c>
      <c r="BG305" s="33" t="n">
        <f aca="false">BB305-BF305</f>
        <v>0</v>
      </c>
      <c r="BH305" s="34" t="n">
        <f aca="false">BF305*M305</f>
        <v>122855.4</v>
      </c>
      <c r="BI305" s="35" t="n">
        <f aca="false">BC305-BH305</f>
        <v>-0.399999999994179</v>
      </c>
      <c r="BJ305" s="19" t="str">
        <f aca="false">IF(BI305=0,"",IF(BI305&lt;&gt;BC305,"erreur de calcul",IF(BF305&lt;&gt;0,"pas de prix",IF(M305&lt;&gt; 0,"pas de quantité","pas de prix, ni de quantité"))))</f>
        <v>erreur de calcul</v>
      </c>
      <c r="BK305" s="19"/>
    </row>
    <row r="306" customFormat="false" ht="16" hidden="false" customHeight="false" outlineLevel="0" collapsed="false">
      <c r="A306" s="0" t="n">
        <v>16</v>
      </c>
      <c r="B306" s="8" t="s">
        <v>24</v>
      </c>
      <c r="C306" s="9" t="s">
        <v>25</v>
      </c>
      <c r="D306" s="9" t="s">
        <v>26</v>
      </c>
      <c r="E306" s="10" t="n">
        <v>1789</v>
      </c>
      <c r="F306" s="9" t="s">
        <v>27</v>
      </c>
      <c r="G306" s="9" t="s">
        <v>27</v>
      </c>
      <c r="H306" s="11" t="n">
        <v>26</v>
      </c>
      <c r="I306" s="11" t="s">
        <v>388</v>
      </c>
      <c r="J306" s="14" t="n">
        <v>4</v>
      </c>
      <c r="K306" s="14" t="n">
        <v>10</v>
      </c>
      <c r="L306" s="16"/>
      <c r="M306" s="27" t="n">
        <f aca="false">J306+(K306/20)+(L306/240)</f>
        <v>4.5</v>
      </c>
      <c r="N306" s="17" t="s">
        <v>66</v>
      </c>
      <c r="O306" s="11"/>
      <c r="P306" s="28"/>
      <c r="Q306" s="28" t="str">
        <f aca="false">IF(O306&lt;&gt;"",P306*M306,"")</f>
        <v/>
      </c>
      <c r="R306" s="28" t="n">
        <v>20973</v>
      </c>
      <c r="S306" s="28" t="n">
        <v>94378</v>
      </c>
      <c r="T306" s="28"/>
      <c r="U306" s="28" t="n">
        <f aca="false">T306*$M306</f>
        <v>0</v>
      </c>
      <c r="V306" s="28"/>
      <c r="W306" s="28" t="n">
        <f aca="false">V306*$M306</f>
        <v>0</v>
      </c>
      <c r="X306" s="28"/>
      <c r="Y306" s="28" t="n">
        <f aca="false">X306*$M306</f>
        <v>0</v>
      </c>
      <c r="Z306" s="28"/>
      <c r="AA306" s="28" t="n">
        <f aca="false">Z306*$M306</f>
        <v>0</v>
      </c>
      <c r="AB306" s="28"/>
      <c r="AC306" s="28" t="n">
        <f aca="false">AB306*$M306</f>
        <v>0</v>
      </c>
      <c r="AD306" s="28"/>
      <c r="AE306" s="28" t="n">
        <f aca="false">AD306*$M306</f>
        <v>0</v>
      </c>
      <c r="AF306" s="28"/>
      <c r="AG306" s="28" t="n">
        <f aca="false">AF306*$M306</f>
        <v>0</v>
      </c>
      <c r="AH306" s="28"/>
      <c r="AI306" s="28" t="n">
        <f aca="false">AH306*$M306</f>
        <v>0</v>
      </c>
      <c r="AJ306" s="28"/>
      <c r="AK306" s="28" t="n">
        <f aca="false">AJ306*$M306</f>
        <v>0</v>
      </c>
      <c r="AL306" s="28"/>
      <c r="AM306" s="28" t="n">
        <f aca="false">AL306*$M306</f>
        <v>0</v>
      </c>
      <c r="AN306" s="28"/>
      <c r="AO306" s="28" t="n">
        <f aca="false">AN306*$M306</f>
        <v>0</v>
      </c>
      <c r="AP306" s="28"/>
      <c r="AQ306" s="28" t="n">
        <f aca="false">AP306*$M306</f>
        <v>0</v>
      </c>
      <c r="AR306" s="28"/>
      <c r="AS306" s="28" t="n">
        <f aca="false">AR306*$M306</f>
        <v>0</v>
      </c>
      <c r="AT306" s="28"/>
      <c r="AU306" s="28" t="n">
        <f aca="false">AT306*$M306</f>
        <v>0</v>
      </c>
      <c r="AV306" s="28"/>
      <c r="AW306" s="28" t="n">
        <f aca="false">AV306*$M306</f>
        <v>0</v>
      </c>
      <c r="AX306" s="28"/>
      <c r="AY306" s="28" t="n">
        <f aca="false">AX306*$M306</f>
        <v>0</v>
      </c>
      <c r="AZ306" s="28"/>
      <c r="BA306" s="28" t="n">
        <f aca="false">AZ306*$M306</f>
        <v>0</v>
      </c>
      <c r="BB306" s="30" t="n">
        <v>20973</v>
      </c>
      <c r="BC306" s="11" t="n">
        <v>94378</v>
      </c>
      <c r="BD306" s="31" t="n">
        <f aca="false">SUM(S306,U306,W306,Y306,AA306,AC306,AE306,AG306,AI306,AK306,AM306,AO306,AQ306,AS306,AU306,AW306,AY306,BA306)</f>
        <v>94378</v>
      </c>
      <c r="BE306" s="28" t="n">
        <f aca="false">BC306-BD306</f>
        <v>0</v>
      </c>
      <c r="BF306" s="32" t="n">
        <f aca="false">SUM(R306,T306,V306,X306,Z306,AB306,AD306,AF306,AH306,AJ306,AL306,AN306,AP306,AR306,AT306,AV306,AX306,AZ306)</f>
        <v>20973</v>
      </c>
      <c r="BG306" s="33" t="n">
        <f aca="false">BB306-BF306</f>
        <v>0</v>
      </c>
      <c r="BH306" s="34" t="n">
        <f aca="false">BF306*M306</f>
        <v>94378.5</v>
      </c>
      <c r="BI306" s="35" t="n">
        <f aca="false">BC306-BH306</f>
        <v>-0.5</v>
      </c>
      <c r="BJ306" s="19" t="str">
        <f aca="false">IF(BI306=0,"",IF(BI306&lt;&gt;BC306,"erreur de calcul",IF(BF306&lt;&gt;0,"pas de prix",IF(M306&lt;&gt; 0,"pas de quantité","pas de prix, ni de quantité"))))</f>
        <v>erreur de calcul</v>
      </c>
      <c r="BK306" s="19"/>
    </row>
    <row r="307" customFormat="false" ht="16" hidden="false" customHeight="false" outlineLevel="0" collapsed="false">
      <c r="A307" s="0" t="n">
        <v>17</v>
      </c>
      <c r="B307" s="8" t="s">
        <v>24</v>
      </c>
      <c r="C307" s="9" t="s">
        <v>25</v>
      </c>
      <c r="D307" s="9" t="s">
        <v>26</v>
      </c>
      <c r="E307" s="10" t="n">
        <v>1789</v>
      </c>
      <c r="F307" s="9" t="s">
        <v>27</v>
      </c>
      <c r="G307" s="9" t="s">
        <v>27</v>
      </c>
      <c r="H307" s="11" t="n">
        <v>26</v>
      </c>
      <c r="I307" s="11" t="s">
        <v>389</v>
      </c>
      <c r="J307" s="14"/>
      <c r="K307" s="14"/>
      <c r="L307" s="16"/>
      <c r="M307" s="27" t="n">
        <f aca="false">J307+(K307/20)+(L307/240)</f>
        <v>0</v>
      </c>
      <c r="N307" s="17"/>
      <c r="O307" s="11" t="s">
        <v>277</v>
      </c>
      <c r="P307" s="28"/>
      <c r="Q307" s="28" t="n">
        <v>386</v>
      </c>
      <c r="R307" s="28"/>
      <c r="S307" s="28" t="n">
        <f aca="false">R307*$M307</f>
        <v>0</v>
      </c>
      <c r="T307" s="28"/>
      <c r="U307" s="28" t="n">
        <f aca="false">T307*$M307</f>
        <v>0</v>
      </c>
      <c r="V307" s="28"/>
      <c r="W307" s="28" t="n">
        <v>189</v>
      </c>
      <c r="X307" s="28"/>
      <c r="Y307" s="28" t="n">
        <v>540</v>
      </c>
      <c r="Z307" s="28"/>
      <c r="AA307" s="28" t="n">
        <f aca="false">Z307*$M307</f>
        <v>0</v>
      </c>
      <c r="AB307" s="28"/>
      <c r="AC307" s="28" t="n">
        <f aca="false">AB307*$M307</f>
        <v>0</v>
      </c>
      <c r="AD307" s="28"/>
      <c r="AE307" s="28" t="n">
        <f aca="false">AD307*$M307</f>
        <v>0</v>
      </c>
      <c r="AF307" s="28"/>
      <c r="AG307" s="28" t="n">
        <f aca="false">AF307*$M307</f>
        <v>0</v>
      </c>
      <c r="AH307" s="28"/>
      <c r="AI307" s="28" t="n">
        <f aca="false">AH307*$M307</f>
        <v>0</v>
      </c>
      <c r="AJ307" s="28"/>
      <c r="AK307" s="28" t="n">
        <f aca="false">AJ307*$M307</f>
        <v>0</v>
      </c>
      <c r="AL307" s="28"/>
      <c r="AM307" s="28" t="n">
        <v>317</v>
      </c>
      <c r="AN307" s="28"/>
      <c r="AO307" s="28" t="n">
        <f aca="false">AN307*$M307</f>
        <v>0</v>
      </c>
      <c r="AP307" s="28"/>
      <c r="AQ307" s="28" t="n">
        <f aca="false">AP307*$M307</f>
        <v>0</v>
      </c>
      <c r="AR307" s="28"/>
      <c r="AS307" s="28" t="n">
        <f aca="false">AR307*$M307</f>
        <v>0</v>
      </c>
      <c r="AT307" s="28"/>
      <c r="AU307" s="28" t="n">
        <f aca="false">AT307*$M307</f>
        <v>0</v>
      </c>
      <c r="AV307" s="28"/>
      <c r="AW307" s="28" t="n">
        <f aca="false">AV307*$M307</f>
        <v>0</v>
      </c>
      <c r="AX307" s="28"/>
      <c r="AY307" s="28" t="n">
        <f aca="false">AX307*$M307</f>
        <v>0</v>
      </c>
      <c r="AZ307" s="28"/>
      <c r="BA307" s="28" t="n">
        <f aca="false">AZ307*$M307</f>
        <v>0</v>
      </c>
      <c r="BB307" s="30"/>
      <c r="BC307" s="11" t="n">
        <v>1046</v>
      </c>
      <c r="BD307" s="31" t="n">
        <f aca="false">SUM(S307,U307,W307,Y307,AA307,AC307,AE307,AG307,AI307,AK307,AM307,AO307,AQ307,AS307,AU307,AW307,AY307,BA307)</f>
        <v>1046</v>
      </c>
      <c r="BE307" s="28" t="n">
        <f aca="false">BC307-BD307</f>
        <v>0</v>
      </c>
      <c r="BF307" s="32" t="n">
        <f aca="false">SUM(R307,T307,V307,X307,Z307,AB307,AD307,AF307,AH307,AJ307,AL307,AN307,AP307,AR307,AT307,AV307,AX307,AZ307)</f>
        <v>0</v>
      </c>
      <c r="BG307" s="33" t="n">
        <f aca="false">BB307-BF307</f>
        <v>0</v>
      </c>
      <c r="BH307" s="34" t="n">
        <f aca="false">BF307*M307</f>
        <v>0</v>
      </c>
      <c r="BI307" s="35" t="n">
        <f aca="false">BC307-BH307</f>
        <v>1046</v>
      </c>
      <c r="BJ307" s="19" t="str">
        <f aca="false">IF(BI307=0,"",IF(BI307&lt;&gt;BC307,"erreur de calcul",IF(BF307&lt;&gt;0,"pas de prix",IF(M307&lt;&gt; 0,"pas de quantité","pas de prix, ni de quantité"))))</f>
        <v>pas de prix, ni de quantité</v>
      </c>
      <c r="BK307" s="19"/>
    </row>
    <row r="308" customFormat="false" ht="16" hidden="false" customHeight="false" outlineLevel="0" collapsed="false">
      <c r="A308" s="0" t="n">
        <v>18</v>
      </c>
      <c r="B308" s="8" t="s">
        <v>24</v>
      </c>
      <c r="C308" s="9" t="s">
        <v>25</v>
      </c>
      <c r="D308" s="9" t="s">
        <v>26</v>
      </c>
      <c r="E308" s="10" t="n">
        <v>1789</v>
      </c>
      <c r="F308" s="9" t="s">
        <v>27</v>
      </c>
      <c r="G308" s="9" t="s">
        <v>27</v>
      </c>
      <c r="H308" s="11" t="n">
        <v>26</v>
      </c>
      <c r="I308" s="11" t="s">
        <v>389</v>
      </c>
      <c r="J308" s="14" t="n">
        <v>90</v>
      </c>
      <c r="K308" s="14"/>
      <c r="L308" s="16"/>
      <c r="M308" s="27" t="n">
        <f aca="false">J308+(K308/20)+(L308/240)</f>
        <v>90</v>
      </c>
      <c r="N308" s="17" t="s">
        <v>64</v>
      </c>
      <c r="O308" s="11"/>
      <c r="P308" s="28"/>
      <c r="Q308" s="28" t="str">
        <f aca="false">IF(O308&lt;&gt;"",P308*M308,"")</f>
        <v/>
      </c>
      <c r="R308" s="28"/>
      <c r="S308" s="28" t="n">
        <f aca="false">R308*$M308</f>
        <v>0</v>
      </c>
      <c r="T308" s="28"/>
      <c r="U308" s="28" t="n">
        <f aca="false">T308*$M308</f>
        <v>0</v>
      </c>
      <c r="V308" s="28"/>
      <c r="W308" s="28" t="n">
        <f aca="false">V308*$M308</f>
        <v>0</v>
      </c>
      <c r="X308" s="28" t="n">
        <f aca="false">6341/100</f>
        <v>63.41</v>
      </c>
      <c r="Y308" s="28" t="n">
        <v>5707</v>
      </c>
      <c r="Z308" s="28" t="n">
        <f aca="false">10903/100</f>
        <v>109.03</v>
      </c>
      <c r="AA308" s="28" t="n">
        <v>9813</v>
      </c>
      <c r="AB308" s="28"/>
      <c r="AC308" s="28" t="n">
        <f aca="false">AB308*$M308</f>
        <v>0</v>
      </c>
      <c r="AD308" s="28"/>
      <c r="AE308" s="28" t="n">
        <f aca="false">AD308*$M308</f>
        <v>0</v>
      </c>
      <c r="AF308" s="28"/>
      <c r="AG308" s="28" t="n">
        <f aca="false">AF308*$M308</f>
        <v>0</v>
      </c>
      <c r="AH308" s="28"/>
      <c r="AI308" s="28" t="n">
        <f aca="false">AH308*$M308</f>
        <v>0</v>
      </c>
      <c r="AJ308" s="28"/>
      <c r="AK308" s="28" t="n">
        <f aca="false">AJ308*$M308</f>
        <v>0</v>
      </c>
      <c r="AL308" s="28" t="n">
        <f aca="false">127232/100</f>
        <v>1272.32</v>
      </c>
      <c r="AM308" s="28" t="n">
        <v>114509</v>
      </c>
      <c r="AN308" s="28" t="n">
        <f aca="false">1835/100</f>
        <v>18.35</v>
      </c>
      <c r="AO308" s="28" t="n">
        <v>1651</v>
      </c>
      <c r="AP308" s="28"/>
      <c r="AQ308" s="28" t="n">
        <f aca="false">AP308*$M308</f>
        <v>0</v>
      </c>
      <c r="AR308" s="28"/>
      <c r="AS308" s="28" t="n">
        <f aca="false">AR308*$M308</f>
        <v>0</v>
      </c>
      <c r="AT308" s="28"/>
      <c r="AU308" s="28" t="n">
        <f aca="false">AT308*$M308</f>
        <v>0</v>
      </c>
      <c r="AV308" s="28"/>
      <c r="AW308" s="28" t="n">
        <f aca="false">AV308*$M308</f>
        <v>0</v>
      </c>
      <c r="AX308" s="28"/>
      <c r="AY308" s="28" t="n">
        <f aca="false">AX308*$M308</f>
        <v>0</v>
      </c>
      <c r="AZ308" s="28"/>
      <c r="BA308" s="28" t="n">
        <f aca="false">AZ308*$M308</f>
        <v>0</v>
      </c>
      <c r="BB308" s="30" t="n">
        <f aca="false">146311/100</f>
        <v>1463.11</v>
      </c>
      <c r="BC308" s="11" t="n">
        <v>131680</v>
      </c>
      <c r="BD308" s="31" t="n">
        <f aca="false">SUM(S308,U308,W308,Y308,AA308,AC308,AE308,AG308,AI308,AK308,AM308,AO308,AQ308,AS308,AU308,AW308,AY308,BA308)</f>
        <v>131680</v>
      </c>
      <c r="BE308" s="28" t="n">
        <f aca="false">BC308-BD308</f>
        <v>0</v>
      </c>
      <c r="BF308" s="32" t="n">
        <f aca="false">SUM(R308,T308,V308,X308,Z308,AB308,AD308,AF308,AH308,AJ308,AL308,AN308,AP308,AR308,AT308,AV308,AX308,AZ308)</f>
        <v>1463.11</v>
      </c>
      <c r="BG308" s="33" t="n">
        <f aca="false">BB308-BF308</f>
        <v>0</v>
      </c>
      <c r="BH308" s="34" t="n">
        <f aca="false">BF308*M308</f>
        <v>131679.9</v>
      </c>
      <c r="BI308" s="35" t="n">
        <f aca="false">BC308-BH308</f>
        <v>0.100000000005821</v>
      </c>
      <c r="BJ308" s="19" t="str">
        <f aca="false">IF(BI308=0,"",IF(BI308&lt;&gt;BC308,"erreur de calcul",IF(BF308&lt;&gt;0,"pas de prix",IF(M308&lt;&gt; 0,"pas de quantité","pas de prix, ni de quantité"))))</f>
        <v>erreur de calcul</v>
      </c>
      <c r="BK308" s="19"/>
    </row>
    <row r="309" customFormat="false" ht="16" hidden="false" customHeight="false" outlineLevel="0" collapsed="false">
      <c r="A309" s="0" t="n">
        <v>19</v>
      </c>
      <c r="B309" s="8" t="s">
        <v>24</v>
      </c>
      <c r="C309" s="9" t="s">
        <v>25</v>
      </c>
      <c r="D309" s="9" t="s">
        <v>26</v>
      </c>
      <c r="E309" s="10" t="n">
        <v>1789</v>
      </c>
      <c r="F309" s="9" t="s">
        <v>27</v>
      </c>
      <c r="G309" s="9" t="s">
        <v>27</v>
      </c>
      <c r="H309" s="11" t="n">
        <v>26</v>
      </c>
      <c r="I309" s="11" t="s">
        <v>390</v>
      </c>
      <c r="J309" s="14" t="n">
        <v>25</v>
      </c>
      <c r="K309" s="14"/>
      <c r="L309" s="16"/>
      <c r="M309" s="27" t="n">
        <f aca="false">J309+(K309/20)+(L309/240)</f>
        <v>25</v>
      </c>
      <c r="N309" s="17" t="s">
        <v>64</v>
      </c>
      <c r="O309" s="11" t="s">
        <v>277</v>
      </c>
      <c r="P309" s="28" t="n">
        <f aca="false">13417/100</f>
        <v>134.17</v>
      </c>
      <c r="Q309" s="28" t="n">
        <v>3354</v>
      </c>
      <c r="R309" s="28"/>
      <c r="S309" s="28" t="n">
        <f aca="false">R309*$M309</f>
        <v>0</v>
      </c>
      <c r="T309" s="28"/>
      <c r="U309" s="28" t="n">
        <f aca="false">T309*$M309</f>
        <v>0</v>
      </c>
      <c r="V309" s="28"/>
      <c r="W309" s="28" t="n">
        <f aca="false">V309*$M309</f>
        <v>0</v>
      </c>
      <c r="X309" s="28"/>
      <c r="Y309" s="28" t="n">
        <f aca="false">X309*$M309</f>
        <v>0</v>
      </c>
      <c r="Z309" s="28"/>
      <c r="AA309" s="28" t="n">
        <f aca="false">Z309*$M309</f>
        <v>0</v>
      </c>
      <c r="AB309" s="28"/>
      <c r="AC309" s="28" t="n">
        <f aca="false">AB309*$M309</f>
        <v>0</v>
      </c>
      <c r="AD309" s="28"/>
      <c r="AE309" s="28" t="n">
        <f aca="false">AD309*$M309</f>
        <v>0</v>
      </c>
      <c r="AF309" s="28"/>
      <c r="AG309" s="28" t="n">
        <f aca="false">AF309*$M309</f>
        <v>0</v>
      </c>
      <c r="AH309" s="28"/>
      <c r="AI309" s="28" t="n">
        <f aca="false">AH309*$M309</f>
        <v>0</v>
      </c>
      <c r="AJ309" s="28"/>
      <c r="AK309" s="28" t="n">
        <f aca="false">AJ309*$M309</f>
        <v>0</v>
      </c>
      <c r="AL309" s="28"/>
      <c r="AM309" s="28" t="n">
        <f aca="false">AL309*$M309</f>
        <v>0</v>
      </c>
      <c r="AN309" s="28"/>
      <c r="AO309" s="28" t="n">
        <f aca="false">AN309*$M309</f>
        <v>0</v>
      </c>
      <c r="AP309" s="28"/>
      <c r="AQ309" s="28" t="n">
        <f aca="false">AP309*$M309</f>
        <v>0</v>
      </c>
      <c r="AR309" s="28"/>
      <c r="AS309" s="28" t="n">
        <f aca="false">AR309*$M309</f>
        <v>0</v>
      </c>
      <c r="AT309" s="28"/>
      <c r="AU309" s="28" t="n">
        <f aca="false">AT309*$M309</f>
        <v>0</v>
      </c>
      <c r="AV309" s="28"/>
      <c r="AW309" s="28" t="n">
        <f aca="false">AV309*$M309</f>
        <v>0</v>
      </c>
      <c r="AX309" s="28"/>
      <c r="AY309" s="28" t="n">
        <f aca="false">AX309*$M309</f>
        <v>0</v>
      </c>
      <c r="AZ309" s="28"/>
      <c r="BA309" s="28" t="n">
        <f aca="false">AZ309*$M309</f>
        <v>0</v>
      </c>
      <c r="BB309" s="30"/>
      <c r="BC309" s="11"/>
      <c r="BD309" s="31" t="n">
        <f aca="false">SUM(S309,U309,W309,Y309,AA309,AC309,AE309,AG309,AI309,AK309,AM309,AO309,AQ309,AS309,AU309,AW309,AY309,BA309)</f>
        <v>0</v>
      </c>
      <c r="BE309" s="28" t="n">
        <f aca="false">BC309-BD309</f>
        <v>0</v>
      </c>
      <c r="BF309" s="32" t="n">
        <f aca="false">SUM(R309,T309,V309,X309,Z309,AB309,AD309,AF309,AH309,AJ309,AL309,AN309,AP309,AR309,AT309,AV309,AX309,AZ309)</f>
        <v>0</v>
      </c>
      <c r="BG309" s="33" t="n">
        <f aca="false">BB309-BF309</f>
        <v>0</v>
      </c>
      <c r="BH309" s="34" t="n">
        <f aca="false">BF309*M309</f>
        <v>0</v>
      </c>
      <c r="BI309" s="35" t="n">
        <f aca="false">BC309-BH309</f>
        <v>0</v>
      </c>
      <c r="BJ309" s="19" t="str">
        <f aca="false">IF(BI309=0,"",IF(BI309&lt;&gt;BC309,"erreur de calcul",IF(BF309&lt;&gt;0,"pas de prix",IF(M309&lt;&gt; 0,"pas de quantité","pas de prix, ni de quantité"))))</f>
        <v/>
      </c>
      <c r="BK309" s="19"/>
    </row>
    <row r="310" customFormat="false" ht="16" hidden="false" customHeight="false" outlineLevel="0" collapsed="false">
      <c r="A310" s="0" t="n">
        <v>20</v>
      </c>
      <c r="B310" s="8" t="s">
        <v>24</v>
      </c>
      <c r="C310" s="9" t="s">
        <v>25</v>
      </c>
      <c r="D310" s="9" t="s">
        <v>26</v>
      </c>
      <c r="E310" s="10" t="n">
        <v>1789</v>
      </c>
      <c r="F310" s="9" t="s">
        <v>27</v>
      </c>
      <c r="G310" s="9" t="s">
        <v>27</v>
      </c>
      <c r="H310" s="11" t="n">
        <v>26</v>
      </c>
      <c r="I310" s="11" t="s">
        <v>391</v>
      </c>
      <c r="J310" s="14" t="n">
        <v>35</v>
      </c>
      <c r="K310" s="14"/>
      <c r="L310" s="16"/>
      <c r="M310" s="27" t="n">
        <f aca="false">J310+(K310/20)+(L310/240)</f>
        <v>35</v>
      </c>
      <c r="N310" s="17" t="s">
        <v>64</v>
      </c>
      <c r="O310" s="11"/>
      <c r="P310" s="28"/>
      <c r="Q310" s="28" t="str">
        <f aca="false">IF(O310&lt;&gt;"",P310*M310,"")</f>
        <v/>
      </c>
      <c r="R310" s="28"/>
      <c r="S310" s="28" t="n">
        <f aca="false">R310*$M310</f>
        <v>0</v>
      </c>
      <c r="T310" s="28"/>
      <c r="U310" s="28" t="n">
        <f aca="false">T310*$M310</f>
        <v>0</v>
      </c>
      <c r="V310" s="28"/>
      <c r="W310" s="28" t="n">
        <f aca="false">V310*$M310</f>
        <v>0</v>
      </c>
      <c r="X310" s="28"/>
      <c r="Y310" s="28" t="n">
        <f aca="false">X310*$M310</f>
        <v>0</v>
      </c>
      <c r="Z310" s="28"/>
      <c r="AA310" s="28" t="n">
        <f aca="false">Z310*$M310</f>
        <v>0</v>
      </c>
      <c r="AB310" s="28"/>
      <c r="AC310" s="28" t="n">
        <f aca="false">AB310*$M310</f>
        <v>0</v>
      </c>
      <c r="AD310" s="28"/>
      <c r="AE310" s="28" t="n">
        <f aca="false">AD310*$M310</f>
        <v>0</v>
      </c>
      <c r="AF310" s="28"/>
      <c r="AG310" s="28" t="n">
        <f aca="false">AF310*$M310</f>
        <v>0</v>
      </c>
      <c r="AH310" s="28"/>
      <c r="AI310" s="28" t="n">
        <f aca="false">AH310*$M310</f>
        <v>0</v>
      </c>
      <c r="AJ310" s="28"/>
      <c r="AK310" s="28" t="n">
        <f aca="false">AJ310*$M310</f>
        <v>0</v>
      </c>
      <c r="AL310" s="28" t="n">
        <f aca="false">3950/100</f>
        <v>39.5</v>
      </c>
      <c r="AM310" s="28" t="n">
        <v>1382</v>
      </c>
      <c r="AN310" s="28"/>
      <c r="AO310" s="28" t="n">
        <f aca="false">AN310*$M310</f>
        <v>0</v>
      </c>
      <c r="AP310" s="28"/>
      <c r="AQ310" s="28" t="n">
        <f aca="false">AP310*$M310</f>
        <v>0</v>
      </c>
      <c r="AR310" s="28"/>
      <c r="AS310" s="28" t="n">
        <f aca="false">AR310*$M310</f>
        <v>0</v>
      </c>
      <c r="AT310" s="28"/>
      <c r="AU310" s="28" t="n">
        <f aca="false">AT310*$M310</f>
        <v>0</v>
      </c>
      <c r="AV310" s="28"/>
      <c r="AW310" s="28" t="n">
        <f aca="false">AV310*$M310</f>
        <v>0</v>
      </c>
      <c r="AX310" s="28"/>
      <c r="AY310" s="28" t="n">
        <f aca="false">AX310*$M310</f>
        <v>0</v>
      </c>
      <c r="AZ310" s="28"/>
      <c r="BA310" s="28" t="n">
        <f aca="false">AZ310*$M310</f>
        <v>0</v>
      </c>
      <c r="BB310" s="30" t="n">
        <f aca="false">3950/100</f>
        <v>39.5</v>
      </c>
      <c r="BC310" s="11" t="n">
        <v>1382</v>
      </c>
      <c r="BD310" s="31" t="n">
        <f aca="false">SUM(S310,U310,W310,Y310,AA310,AC310,AE310,AG310,AI310,AK310,AM310,AO310,AQ310,AS310,AU310,AW310,AY310,BA310)</f>
        <v>1382</v>
      </c>
      <c r="BE310" s="28" t="n">
        <f aca="false">BC310-BD310</f>
        <v>0</v>
      </c>
      <c r="BF310" s="32" t="n">
        <f aca="false">SUM(R310,T310,V310,X310,Z310,AB310,AD310,AF310,AH310,AJ310,AL310,AN310,AP310,AR310,AT310,AV310,AX310,AZ310)</f>
        <v>39.5</v>
      </c>
      <c r="BG310" s="33" t="n">
        <f aca="false">BB310-BF310</f>
        <v>0</v>
      </c>
      <c r="BH310" s="34" t="n">
        <f aca="false">BF310*M310</f>
        <v>1382.5</v>
      </c>
      <c r="BI310" s="35" t="n">
        <f aca="false">BC310-BH310</f>
        <v>-0.5</v>
      </c>
      <c r="BJ310" s="19" t="str">
        <f aca="false">IF(BI310=0,"",IF(BI310&lt;&gt;BC310,"erreur de calcul",IF(BF310&lt;&gt;0,"pas de prix",IF(M310&lt;&gt; 0,"pas de quantité","pas de prix, ni de quantité"))))</f>
        <v>erreur de calcul</v>
      </c>
      <c r="BK310" s="19"/>
    </row>
    <row r="311" customFormat="false" ht="16" hidden="false" customHeight="false" outlineLevel="0" collapsed="false">
      <c r="A311" s="0" t="n">
        <v>21</v>
      </c>
      <c r="B311" s="8" t="s">
        <v>24</v>
      </c>
      <c r="C311" s="9" t="s">
        <v>25</v>
      </c>
      <c r="D311" s="9" t="s">
        <v>26</v>
      </c>
      <c r="E311" s="10" t="n">
        <v>1789</v>
      </c>
      <c r="F311" s="9" t="s">
        <v>27</v>
      </c>
      <c r="G311" s="9" t="s">
        <v>27</v>
      </c>
      <c r="H311" s="11" t="n">
        <v>26</v>
      </c>
      <c r="I311" s="11" t="s">
        <v>392</v>
      </c>
      <c r="J311" s="14" t="n">
        <v>60</v>
      </c>
      <c r="K311" s="14"/>
      <c r="L311" s="16"/>
      <c r="M311" s="27" t="n">
        <f aca="false">J311+(K311/20)+(L311/240)</f>
        <v>60</v>
      </c>
      <c r="N311" s="17" t="s">
        <v>64</v>
      </c>
      <c r="O311" s="11"/>
      <c r="P311" s="28"/>
      <c r="Q311" s="28" t="str">
        <f aca="false">IF(O311&lt;&gt;"",P311*M311,"")</f>
        <v/>
      </c>
      <c r="R311" s="28"/>
      <c r="S311" s="28" t="n">
        <f aca="false">R311*$M311</f>
        <v>0</v>
      </c>
      <c r="T311" s="28"/>
      <c r="U311" s="28" t="n">
        <f aca="false">T311*$M311</f>
        <v>0</v>
      </c>
      <c r="V311" s="28"/>
      <c r="W311" s="28" t="n">
        <f aca="false">V311*$M311</f>
        <v>0</v>
      </c>
      <c r="X311" s="28"/>
      <c r="Y311" s="28" t="n">
        <f aca="false">X311*$M311</f>
        <v>0</v>
      </c>
      <c r="Z311" s="28" t="n">
        <f aca="false">12306/100</f>
        <v>123.06</v>
      </c>
      <c r="AA311" s="28" t="n">
        <v>7384</v>
      </c>
      <c r="AB311" s="28"/>
      <c r="AC311" s="28" t="n">
        <f aca="false">AB311*$M311</f>
        <v>0</v>
      </c>
      <c r="AD311" s="28"/>
      <c r="AE311" s="28" t="n">
        <f aca="false">AD311*$M311</f>
        <v>0</v>
      </c>
      <c r="AF311" s="28"/>
      <c r="AG311" s="28" t="n">
        <f aca="false">AF311*$M311</f>
        <v>0</v>
      </c>
      <c r="AH311" s="28"/>
      <c r="AI311" s="28" t="n">
        <f aca="false">AH311*$M311</f>
        <v>0</v>
      </c>
      <c r="AJ311" s="28"/>
      <c r="AK311" s="28" t="n">
        <f aca="false">AJ311*$M311</f>
        <v>0</v>
      </c>
      <c r="AL311" s="28" t="n">
        <f aca="false">2557/100</f>
        <v>25.57</v>
      </c>
      <c r="AM311" s="28" t="n">
        <v>1534</v>
      </c>
      <c r="AN311" s="28"/>
      <c r="AO311" s="28" t="n">
        <f aca="false">AN311*$M311</f>
        <v>0</v>
      </c>
      <c r="AP311" s="28"/>
      <c r="AQ311" s="28" t="n">
        <f aca="false">AP311*$M311</f>
        <v>0</v>
      </c>
      <c r="AR311" s="28"/>
      <c r="AS311" s="28" t="n">
        <f aca="false">AR311*$M311</f>
        <v>0</v>
      </c>
      <c r="AT311" s="28" t="n">
        <f aca="false">7204/100</f>
        <v>72.04</v>
      </c>
      <c r="AU311" s="28" t="n">
        <v>4322</v>
      </c>
      <c r="AV311" s="28"/>
      <c r="AW311" s="28" t="n">
        <f aca="false">AV311*$M311</f>
        <v>0</v>
      </c>
      <c r="AX311" s="28"/>
      <c r="AY311" s="28" t="n">
        <f aca="false">AX311*$M311</f>
        <v>0</v>
      </c>
      <c r="AZ311" s="28"/>
      <c r="BA311" s="28" t="n">
        <f aca="false">AZ311*$M311</f>
        <v>0</v>
      </c>
      <c r="BB311" s="30" t="n">
        <f aca="false">22067/100</f>
        <v>220.67</v>
      </c>
      <c r="BC311" s="11" t="n">
        <v>13240</v>
      </c>
      <c r="BD311" s="31" t="n">
        <f aca="false">SUM(S311,U311,W311,Y311,AA311,AC311,AE311,AG311,AI311,AK311,AM311,AO311,AQ311,AS311,AU311,AW311,AY311,BA311)</f>
        <v>13240</v>
      </c>
      <c r="BE311" s="28" t="n">
        <f aca="false">BC311-BD311</f>
        <v>0</v>
      </c>
      <c r="BF311" s="32" t="n">
        <f aca="false">SUM(R311,T311,V311,X311,Z311,AB311,AD311,AF311,AH311,AJ311,AL311,AN311,AP311,AR311,AT311,AV311,AX311,AZ311)</f>
        <v>220.67</v>
      </c>
      <c r="BG311" s="33" t="n">
        <f aca="false">BB311-BF311</f>
        <v>0</v>
      </c>
      <c r="BH311" s="34" t="n">
        <f aca="false">BF311*M311</f>
        <v>13240.2</v>
      </c>
      <c r="BI311" s="35" t="n">
        <f aca="false">BC311-BH311</f>
        <v>-0.200000000000728</v>
      </c>
      <c r="BJ311" s="19" t="str">
        <f aca="false">IF(BI311=0,"",IF(BI311&lt;&gt;BC311,"erreur de calcul",IF(BF311&lt;&gt;0,"pas de prix",IF(M311&lt;&gt; 0,"pas de quantité","pas de prix, ni de quantité"))))</f>
        <v>erreur de calcul</v>
      </c>
      <c r="BK311" s="19"/>
    </row>
    <row r="312" customFormat="false" ht="16" hidden="false" customHeight="false" outlineLevel="0" collapsed="false">
      <c r="A312" s="0" t="n">
        <v>22</v>
      </c>
      <c r="B312" s="8" t="s">
        <v>24</v>
      </c>
      <c r="C312" s="9" t="s">
        <v>25</v>
      </c>
      <c r="D312" s="9" t="s">
        <v>26</v>
      </c>
      <c r="E312" s="10" t="n">
        <v>1789</v>
      </c>
      <c r="F312" s="9" t="s">
        <v>27</v>
      </c>
      <c r="G312" s="9" t="s">
        <v>27</v>
      </c>
      <c r="H312" s="11" t="n">
        <v>26</v>
      </c>
      <c r="I312" s="11" t="s">
        <v>393</v>
      </c>
      <c r="J312" s="14" t="n">
        <v>120</v>
      </c>
      <c r="K312" s="14"/>
      <c r="L312" s="16"/>
      <c r="M312" s="27" t="n">
        <f aca="false">J312+(K312/20)+(L312/240)</f>
        <v>120</v>
      </c>
      <c r="N312" s="17" t="s">
        <v>64</v>
      </c>
      <c r="O312" s="11"/>
      <c r="P312" s="28"/>
      <c r="Q312" s="28" t="str">
        <f aca="false">IF(O312&lt;&gt;"",P312*M312,"")</f>
        <v/>
      </c>
      <c r="R312" s="28"/>
      <c r="S312" s="28" t="n">
        <f aca="false">R312*$M312</f>
        <v>0</v>
      </c>
      <c r="T312" s="28"/>
      <c r="U312" s="28" t="n">
        <f aca="false">T312*$M312</f>
        <v>0</v>
      </c>
      <c r="V312" s="28"/>
      <c r="W312" s="28" t="n">
        <f aca="false">V312*$M312</f>
        <v>0</v>
      </c>
      <c r="X312" s="28"/>
      <c r="Y312" s="28" t="n">
        <f aca="false">X312*$M312</f>
        <v>0</v>
      </c>
      <c r="Z312" s="28"/>
      <c r="AA312" s="28" t="n">
        <f aca="false">Z312*$M312</f>
        <v>0</v>
      </c>
      <c r="AB312" s="28"/>
      <c r="AC312" s="28" t="n">
        <f aca="false">AB312*$M312</f>
        <v>0</v>
      </c>
      <c r="AD312" s="28"/>
      <c r="AE312" s="28" t="n">
        <f aca="false">AD312*$M312</f>
        <v>0</v>
      </c>
      <c r="AF312" s="28"/>
      <c r="AG312" s="28" t="n">
        <f aca="false">AF312*$M312</f>
        <v>0</v>
      </c>
      <c r="AH312" s="28"/>
      <c r="AI312" s="28" t="n">
        <f aca="false">AH312*$M312</f>
        <v>0</v>
      </c>
      <c r="AJ312" s="28" t="n">
        <f aca="false">1810/100</f>
        <v>18.1</v>
      </c>
      <c r="AK312" s="28" t="n">
        <v>2172</v>
      </c>
      <c r="AL312" s="28"/>
      <c r="AM312" s="28" t="n">
        <f aca="false">AL312*$M312</f>
        <v>0</v>
      </c>
      <c r="AN312" s="28"/>
      <c r="AO312" s="28" t="n">
        <f aca="false">AN312*$M312</f>
        <v>0</v>
      </c>
      <c r="AP312" s="28"/>
      <c r="AQ312" s="28" t="n">
        <f aca="false">AP312*$M312</f>
        <v>0</v>
      </c>
      <c r="AR312" s="28"/>
      <c r="AS312" s="28" t="n">
        <f aca="false">AR312*$M312</f>
        <v>0</v>
      </c>
      <c r="AT312" s="28"/>
      <c r="AU312" s="28" t="n">
        <f aca="false">AT312*$M312</f>
        <v>0</v>
      </c>
      <c r="AV312" s="28"/>
      <c r="AW312" s="28" t="n">
        <f aca="false">AV312*$M312</f>
        <v>0</v>
      </c>
      <c r="AX312" s="28"/>
      <c r="AY312" s="28" t="n">
        <f aca="false">AX312*$M312</f>
        <v>0</v>
      </c>
      <c r="AZ312" s="28"/>
      <c r="BA312" s="28" t="n">
        <f aca="false">AZ312*$M312</f>
        <v>0</v>
      </c>
      <c r="BB312" s="30" t="n">
        <f aca="false">1810/100</f>
        <v>18.1</v>
      </c>
      <c r="BC312" s="11" t="n">
        <v>2172</v>
      </c>
      <c r="BD312" s="31" t="n">
        <f aca="false">SUM(S312,U312,W312,Y312,AA312,AC312,AE312,AG312,AI312,AK312,AM312,AO312,AQ312,AS312,AU312,AW312,AY312,BA312)</f>
        <v>2172</v>
      </c>
      <c r="BE312" s="28" t="n">
        <f aca="false">BC312-BD312</f>
        <v>0</v>
      </c>
      <c r="BF312" s="32" t="n">
        <f aca="false">SUM(R312,T312,V312,X312,Z312,AB312,AD312,AF312,AH312,AJ312,AL312,AN312,AP312,AR312,AT312,AV312,AX312,AZ312)</f>
        <v>18.1</v>
      </c>
      <c r="BG312" s="33" t="n">
        <f aca="false">BB312-BF312</f>
        <v>0</v>
      </c>
      <c r="BH312" s="34" t="n">
        <f aca="false">BF312*M312</f>
        <v>2172</v>
      </c>
      <c r="BI312" s="35" t="n">
        <f aca="false">BC312-BH312</f>
        <v>0</v>
      </c>
      <c r="BJ312" s="19" t="str">
        <f aca="false">IF(BI312=0,"",IF(BI312&lt;&gt;BC312,"erreur de calcul",IF(BF312&lt;&gt;0,"pas de prix",IF(M312&lt;&gt; 0,"pas de quantité","pas de prix, ni de quantité"))))</f>
        <v/>
      </c>
      <c r="BK312" s="19"/>
    </row>
    <row r="313" customFormat="false" ht="16" hidden="false" customHeight="false" outlineLevel="0" collapsed="false">
      <c r="A313" s="0" t="n">
        <v>23</v>
      </c>
      <c r="B313" s="8" t="s">
        <v>24</v>
      </c>
      <c r="C313" s="9" t="s">
        <v>25</v>
      </c>
      <c r="D313" s="9" t="s">
        <v>26</v>
      </c>
      <c r="E313" s="10" t="n">
        <v>1789</v>
      </c>
      <c r="F313" s="9" t="s">
        <v>27</v>
      </c>
      <c r="G313" s="9" t="s">
        <v>27</v>
      </c>
      <c r="H313" s="11" t="n">
        <v>26</v>
      </c>
      <c r="I313" s="41" t="s">
        <v>394</v>
      </c>
      <c r="J313" s="14" t="n">
        <v>7</v>
      </c>
      <c r="K313" s="14"/>
      <c r="L313" s="16"/>
      <c r="M313" s="27" t="n">
        <f aca="false">J313+(K313/20)+(L313/240)</f>
        <v>7</v>
      </c>
      <c r="N313" s="17" t="s">
        <v>64</v>
      </c>
      <c r="O313" s="11"/>
      <c r="P313" s="28"/>
      <c r="Q313" s="28" t="str">
        <f aca="false">IF(O313&lt;&gt;"",P313*M313,"")</f>
        <v/>
      </c>
      <c r="R313" s="28" t="n">
        <f aca="false">11428/100</f>
        <v>114.28</v>
      </c>
      <c r="S313" s="28" t="n">
        <v>800</v>
      </c>
      <c r="T313" s="28"/>
      <c r="U313" s="28" t="n">
        <f aca="false">T313*$M313</f>
        <v>0</v>
      </c>
      <c r="V313" s="28" t="n">
        <f aca="false">2084/100</f>
        <v>20.84</v>
      </c>
      <c r="W313" s="36" t="n">
        <v>246</v>
      </c>
      <c r="X313" s="28"/>
      <c r="Y313" s="28" t="n">
        <f aca="false">X313*$M313</f>
        <v>0</v>
      </c>
      <c r="Z313" s="28"/>
      <c r="AA313" s="28" t="n">
        <f aca="false">Z313*$M313</f>
        <v>0</v>
      </c>
      <c r="AB313" s="28"/>
      <c r="AC313" s="28" t="n">
        <f aca="false">AB313*$M313</f>
        <v>0</v>
      </c>
      <c r="AD313" s="28"/>
      <c r="AE313" s="28" t="n">
        <f aca="false">AD313*$M313</f>
        <v>0</v>
      </c>
      <c r="AF313" s="28"/>
      <c r="AG313" s="28" t="n">
        <f aca="false">AF313*$M313</f>
        <v>0</v>
      </c>
      <c r="AH313" s="28" t="n">
        <f aca="false">6709/100</f>
        <v>67.09</v>
      </c>
      <c r="AI313" s="28" t="n">
        <v>470</v>
      </c>
      <c r="AJ313" s="28"/>
      <c r="AK313" s="28" t="n">
        <f aca="false">AJ313*$M313</f>
        <v>0</v>
      </c>
      <c r="AL313" s="28"/>
      <c r="AM313" s="28" t="n">
        <f aca="false">AL313*$M313</f>
        <v>0</v>
      </c>
      <c r="AN313" s="28"/>
      <c r="AO313" s="28" t="n">
        <f aca="false">AN313*$M313</f>
        <v>0</v>
      </c>
      <c r="AP313" s="28"/>
      <c r="AQ313" s="28" t="n">
        <f aca="false">AP313*$M313</f>
        <v>0</v>
      </c>
      <c r="AR313" s="28"/>
      <c r="AS313" s="28" t="n">
        <f aca="false">AR313*$M313</f>
        <v>0</v>
      </c>
      <c r="AT313" s="28"/>
      <c r="AU313" s="28" t="n">
        <f aca="false">AT313*$M313</f>
        <v>0</v>
      </c>
      <c r="AV313" s="28"/>
      <c r="AW313" s="28" t="n">
        <f aca="false">AV313*$M313</f>
        <v>0</v>
      </c>
      <c r="AX313" s="28"/>
      <c r="AY313" s="28" t="n">
        <f aca="false">AX313*$M313</f>
        <v>0</v>
      </c>
      <c r="AZ313" s="28"/>
      <c r="BA313" s="28" t="n">
        <f aca="false">AZ313*$M313</f>
        <v>0</v>
      </c>
      <c r="BB313" s="30" t="n">
        <f aca="false">20221/100</f>
        <v>202.21</v>
      </c>
      <c r="BC313" s="11" t="n">
        <v>1516</v>
      </c>
      <c r="BD313" s="31" t="n">
        <f aca="false">SUM(S313,U313,W313,Y313,AA313,AC313,AE313,AG313,AI313,AK313,AM313,AO313,AQ313,AS313,AU313,AW313,AY313,BA313)</f>
        <v>1516</v>
      </c>
      <c r="BE313" s="28" t="n">
        <f aca="false">BC313-BD313</f>
        <v>0</v>
      </c>
      <c r="BF313" s="32" t="n">
        <f aca="false">SUM(R313,T313,V313,X313,Z313,AB313,AD313,AF313,AH313,AJ313,AL313,AN313,AP313,AR313,AT313,AV313,AX313,AZ313)</f>
        <v>202.21</v>
      </c>
      <c r="BG313" s="33" t="n">
        <f aca="false">BB313-BF313</f>
        <v>0</v>
      </c>
      <c r="BH313" s="34" t="n">
        <f aca="false">BF313*M313</f>
        <v>1415.47</v>
      </c>
      <c r="BI313" s="35" t="n">
        <f aca="false">BC313-BH313</f>
        <v>100.53</v>
      </c>
      <c r="BJ313" s="19" t="str">
        <f aca="false">IF(BI313=0,"",IF(BI313&lt;&gt;BC313,"erreur de calcul",IF(BF313&lt;&gt;0,"pas de prix",IF(M313&lt;&gt; 0,"pas de quantité","pas de prix, ni de quantité"))))</f>
        <v>erreur de calcul</v>
      </c>
      <c r="BK313" s="19"/>
    </row>
    <row r="314" customFormat="false" ht="16" hidden="false" customHeight="false" outlineLevel="0" collapsed="false">
      <c r="A314" s="0" t="n">
        <v>24</v>
      </c>
      <c r="B314" s="8" t="s">
        <v>24</v>
      </c>
      <c r="C314" s="9" t="s">
        <v>25</v>
      </c>
      <c r="D314" s="9" t="s">
        <v>26</v>
      </c>
      <c r="E314" s="10" t="n">
        <v>1789</v>
      </c>
      <c r="F314" s="9" t="s">
        <v>27</v>
      </c>
      <c r="G314" s="9" t="s">
        <v>27</v>
      </c>
      <c r="H314" s="11" t="n">
        <v>26</v>
      </c>
      <c r="I314" s="11" t="s">
        <v>395</v>
      </c>
      <c r="J314" s="14" t="n">
        <v>40</v>
      </c>
      <c r="K314" s="14"/>
      <c r="L314" s="16"/>
      <c r="M314" s="27" t="n">
        <f aca="false">J314+(K314/20)+(L314/240)</f>
        <v>40</v>
      </c>
      <c r="N314" s="17" t="s">
        <v>66</v>
      </c>
      <c r="O314" s="11"/>
      <c r="P314" s="28"/>
      <c r="Q314" s="28" t="str">
        <f aca="false">IF(O314&lt;&gt;"",P314*M314,"")</f>
        <v/>
      </c>
      <c r="R314" s="28"/>
      <c r="S314" s="28" t="n">
        <f aca="false">R314*$M314</f>
        <v>0</v>
      </c>
      <c r="T314" s="28"/>
      <c r="U314" s="28" t="n">
        <f aca="false">T314*$M314</f>
        <v>0</v>
      </c>
      <c r="V314" s="28" t="n">
        <v>2339</v>
      </c>
      <c r="W314" s="28" t="n">
        <v>93560</v>
      </c>
      <c r="X314" s="28" t="n">
        <v>38</v>
      </c>
      <c r="Y314" s="28" t="n">
        <v>1520</v>
      </c>
      <c r="Z314" s="28"/>
      <c r="AA314" s="28" t="n">
        <f aca="false">Z314*$M314</f>
        <v>0</v>
      </c>
      <c r="AB314" s="28"/>
      <c r="AC314" s="28" t="n">
        <f aca="false">AB314*$M314</f>
        <v>0</v>
      </c>
      <c r="AD314" s="28"/>
      <c r="AE314" s="28" t="n">
        <f aca="false">AD314*$M314</f>
        <v>0</v>
      </c>
      <c r="AF314" s="28"/>
      <c r="AG314" s="28" t="n">
        <f aca="false">AF314*$M314</f>
        <v>0</v>
      </c>
      <c r="AH314" s="28"/>
      <c r="AI314" s="28" t="n">
        <f aca="false">AH314*$M314</f>
        <v>0</v>
      </c>
      <c r="AJ314" s="28"/>
      <c r="AK314" s="28" t="n">
        <f aca="false">AJ314*$M314</f>
        <v>0</v>
      </c>
      <c r="AL314" s="28"/>
      <c r="AM314" s="28" t="n">
        <f aca="false">AL314*$M314</f>
        <v>0</v>
      </c>
      <c r="AN314" s="28"/>
      <c r="AO314" s="28" t="n">
        <f aca="false">AN314*$M314</f>
        <v>0</v>
      </c>
      <c r="AP314" s="28"/>
      <c r="AQ314" s="28" t="n">
        <f aca="false">AP314*$M314</f>
        <v>0</v>
      </c>
      <c r="AR314" s="28"/>
      <c r="AS314" s="28" t="n">
        <f aca="false">AR314*$M314</f>
        <v>0</v>
      </c>
      <c r="AT314" s="28"/>
      <c r="AU314" s="28" t="n">
        <f aca="false">AT314*$M314</f>
        <v>0</v>
      </c>
      <c r="AV314" s="28"/>
      <c r="AW314" s="28" t="n">
        <f aca="false">AV314*$M314</f>
        <v>0</v>
      </c>
      <c r="AX314" s="28"/>
      <c r="AY314" s="28" t="n">
        <f aca="false">AX314*$M314</f>
        <v>0</v>
      </c>
      <c r="AZ314" s="28"/>
      <c r="BA314" s="28" t="n">
        <f aca="false">AZ314*$M314</f>
        <v>0</v>
      </c>
      <c r="BB314" s="30" t="n">
        <v>2377</v>
      </c>
      <c r="BC314" s="11" t="n">
        <v>95080</v>
      </c>
      <c r="BD314" s="31" t="n">
        <f aca="false">SUM(S314,U314,W314,Y314,AA314,AC314,AE314,AG314,AI314,AK314,AM314,AO314,AQ314,AS314,AU314,AW314,AY314,BA314)</f>
        <v>95080</v>
      </c>
      <c r="BE314" s="28" t="n">
        <f aca="false">BC314-BD314</f>
        <v>0</v>
      </c>
      <c r="BF314" s="32" t="n">
        <f aca="false">SUM(R314,T314,V314,X314,Z314,AB314,AD314,AF314,AH314,AJ314,AL314,AN314,AP314,AR314,AT314,AV314,AX314,AZ314)</f>
        <v>2377</v>
      </c>
      <c r="BG314" s="33" t="n">
        <f aca="false">BB314-BF314</f>
        <v>0</v>
      </c>
      <c r="BH314" s="34" t="n">
        <f aca="false">BF314*M314</f>
        <v>95080</v>
      </c>
      <c r="BI314" s="35" t="n">
        <f aca="false">BC314-BH314</f>
        <v>0</v>
      </c>
      <c r="BJ314" s="19" t="str">
        <f aca="false">IF(BI314=0,"",IF(BI314&lt;&gt;BC314,"erreur de calcul",IF(BF314&lt;&gt;0,"pas de prix",IF(M314&lt;&gt; 0,"pas de quantité","pas de prix, ni de quantité"))))</f>
        <v/>
      </c>
      <c r="BK314" s="19"/>
    </row>
    <row r="315" customFormat="false" ht="16" hidden="false" customHeight="false" outlineLevel="0" collapsed="false">
      <c r="A315" s="0" t="n">
        <v>25</v>
      </c>
      <c r="B315" s="8" t="s">
        <v>24</v>
      </c>
      <c r="C315" s="9" t="s">
        <v>25</v>
      </c>
      <c r="D315" s="9" t="s">
        <v>26</v>
      </c>
      <c r="E315" s="10" t="n">
        <v>1789</v>
      </c>
      <c r="F315" s="9" t="s">
        <v>27</v>
      </c>
      <c r="G315" s="9" t="s">
        <v>27</v>
      </c>
      <c r="H315" s="11" t="n">
        <v>26</v>
      </c>
      <c r="I315" s="11" t="s">
        <v>396</v>
      </c>
      <c r="J315" s="14" t="n">
        <v>2</v>
      </c>
      <c r="K315" s="14" t="n">
        <v>10</v>
      </c>
      <c r="L315" s="16"/>
      <c r="M315" s="27" t="n">
        <f aca="false">J315+(K315/20)+(L315/240)</f>
        <v>2.5</v>
      </c>
      <c r="N315" s="17" t="s">
        <v>66</v>
      </c>
      <c r="O315" s="11"/>
      <c r="P315" s="28"/>
      <c r="Q315" s="28" t="str">
        <f aca="false">IF(O315&lt;&gt;"",P315*M315,"")</f>
        <v/>
      </c>
      <c r="R315" s="28"/>
      <c r="S315" s="28" t="n">
        <f aca="false">R315*$M315</f>
        <v>0</v>
      </c>
      <c r="T315" s="28"/>
      <c r="U315" s="28" t="n">
        <f aca="false">T315*$M315</f>
        <v>0</v>
      </c>
      <c r="V315" s="28"/>
      <c r="W315" s="28" t="n">
        <f aca="false">V315*$M315</f>
        <v>0</v>
      </c>
      <c r="X315" s="28"/>
      <c r="Y315" s="28" t="n">
        <f aca="false">X315*$M315</f>
        <v>0</v>
      </c>
      <c r="Z315" s="28"/>
      <c r="AA315" s="28" t="n">
        <f aca="false">Z315*$M315</f>
        <v>0</v>
      </c>
      <c r="AB315" s="28"/>
      <c r="AC315" s="28" t="n">
        <f aca="false">AB315*$M315</f>
        <v>0</v>
      </c>
      <c r="AD315" s="28"/>
      <c r="AE315" s="28" t="n">
        <f aca="false">AD315*$M315</f>
        <v>0</v>
      </c>
      <c r="AF315" s="28"/>
      <c r="AG315" s="28" t="n">
        <f aca="false">AF315*$M315</f>
        <v>0</v>
      </c>
      <c r="AH315" s="28"/>
      <c r="AI315" s="28" t="n">
        <f aca="false">AH315*$M315</f>
        <v>0</v>
      </c>
      <c r="AJ315" s="28"/>
      <c r="AK315" s="28" t="n">
        <f aca="false">AJ315*$M315</f>
        <v>0</v>
      </c>
      <c r="AL315" s="28" t="n">
        <v>7127</v>
      </c>
      <c r="AM315" s="28" t="n">
        <v>17817</v>
      </c>
      <c r="AN315" s="28"/>
      <c r="AO315" s="28" t="n">
        <f aca="false">AN315*$M315</f>
        <v>0</v>
      </c>
      <c r="AP315" s="28"/>
      <c r="AQ315" s="28" t="n">
        <f aca="false">AP315*$M315</f>
        <v>0</v>
      </c>
      <c r="AR315" s="28"/>
      <c r="AS315" s="28" t="n">
        <f aca="false">AR315*$M315</f>
        <v>0</v>
      </c>
      <c r="AT315" s="28"/>
      <c r="AU315" s="28" t="n">
        <f aca="false">AT315*$M315</f>
        <v>0</v>
      </c>
      <c r="AV315" s="28"/>
      <c r="AW315" s="28" t="n">
        <f aca="false">AV315*$M315</f>
        <v>0</v>
      </c>
      <c r="AX315" s="28"/>
      <c r="AY315" s="28" t="n">
        <f aca="false">AX315*$M315</f>
        <v>0</v>
      </c>
      <c r="AZ315" s="28"/>
      <c r="BA315" s="28" t="n">
        <f aca="false">AZ315*$M315</f>
        <v>0</v>
      </c>
      <c r="BB315" s="30" t="n">
        <v>7127</v>
      </c>
      <c r="BC315" s="11" t="n">
        <v>17817</v>
      </c>
      <c r="BD315" s="31" t="n">
        <f aca="false">SUM(S315,U315,W315,Y315,AA315,AC315,AE315,AG315,AI315,AK315,AM315,AO315,AQ315,AS315,AU315,AW315,AY315,BA315)</f>
        <v>17817</v>
      </c>
      <c r="BE315" s="28" t="n">
        <f aca="false">BC315-BD315</f>
        <v>0</v>
      </c>
      <c r="BF315" s="32" t="n">
        <f aca="false">SUM(R315,T315,V315,X315,Z315,AB315,AD315,AF315,AH315,AJ315,AL315,AN315,AP315,AR315,AT315,AV315,AX315,AZ315)</f>
        <v>7127</v>
      </c>
      <c r="BG315" s="33" t="n">
        <f aca="false">BB315-BF315</f>
        <v>0</v>
      </c>
      <c r="BH315" s="34" t="n">
        <f aca="false">BF315*M315</f>
        <v>17817.5</v>
      </c>
      <c r="BI315" s="35" t="n">
        <f aca="false">BC315-BH315</f>
        <v>-0.5</v>
      </c>
      <c r="BJ315" s="19" t="str">
        <f aca="false">IF(BI315=0,"",IF(BI315&lt;&gt;BC315,"erreur de calcul",IF(BF315&lt;&gt;0,"pas de prix",IF(M315&lt;&gt; 0,"pas de quantité","pas de prix, ni de quantité"))))</f>
        <v>erreur de calcul</v>
      </c>
      <c r="BK315" s="19"/>
    </row>
    <row r="316" customFormat="false" ht="16" hidden="false" customHeight="false" outlineLevel="0" collapsed="false">
      <c r="A316" s="0" t="n">
        <v>26</v>
      </c>
      <c r="B316" s="8" t="s">
        <v>24</v>
      </c>
      <c r="C316" s="9" t="s">
        <v>25</v>
      </c>
      <c r="D316" s="9" t="s">
        <v>26</v>
      </c>
      <c r="E316" s="10" t="n">
        <v>1789</v>
      </c>
      <c r="F316" s="9" t="s">
        <v>27</v>
      </c>
      <c r="G316" s="9" t="s">
        <v>27</v>
      </c>
      <c r="H316" s="11" t="n">
        <v>26</v>
      </c>
      <c r="I316" s="11" t="s">
        <v>397</v>
      </c>
      <c r="J316" s="14" t="n">
        <v>6</v>
      </c>
      <c r="K316" s="14" t="n">
        <v>10</v>
      </c>
      <c r="L316" s="16"/>
      <c r="M316" s="27" t="n">
        <f aca="false">J316+(K316/20)+(L316/240)</f>
        <v>6.5</v>
      </c>
      <c r="N316" s="17" t="s">
        <v>64</v>
      </c>
      <c r="O316" s="11"/>
      <c r="P316" s="28"/>
      <c r="Q316" s="28" t="str">
        <f aca="false">IF(O316&lt;&gt;"",P316*M316,"")</f>
        <v/>
      </c>
      <c r="R316" s="28"/>
      <c r="S316" s="28" t="n">
        <f aca="false">R316*$M316</f>
        <v>0</v>
      </c>
      <c r="T316" s="28"/>
      <c r="U316" s="28" t="n">
        <f aca="false">T316*$M316</f>
        <v>0</v>
      </c>
      <c r="V316" s="28"/>
      <c r="W316" s="28" t="n">
        <f aca="false">V316*$M316</f>
        <v>0</v>
      </c>
      <c r="X316" s="28"/>
      <c r="Y316" s="28" t="n">
        <f aca="false">X316*$M316</f>
        <v>0</v>
      </c>
      <c r="Z316" s="28" t="n">
        <f aca="false">22000/100</f>
        <v>220</v>
      </c>
      <c r="AA316" s="28" t="n">
        <v>1430</v>
      </c>
      <c r="AB316" s="28"/>
      <c r="AC316" s="28" t="n">
        <f aca="false">AB316*$M316</f>
        <v>0</v>
      </c>
      <c r="AD316" s="28" t="n">
        <f aca="false">3575715/100</f>
        <v>35757.15</v>
      </c>
      <c r="AE316" s="36" t="n">
        <v>214543</v>
      </c>
      <c r="AF316" s="28"/>
      <c r="AG316" s="28" t="n">
        <f aca="false">AF316*$M316</f>
        <v>0</v>
      </c>
      <c r="AH316" s="28"/>
      <c r="AI316" s="28" t="n">
        <f aca="false">AH316*$M316</f>
        <v>0</v>
      </c>
      <c r="AJ316" s="28"/>
      <c r="AK316" s="28" t="n">
        <f aca="false">AJ316*$M316</f>
        <v>0</v>
      </c>
      <c r="AL316" s="28"/>
      <c r="AM316" s="28" t="n">
        <f aca="false">AL316*$M316</f>
        <v>0</v>
      </c>
      <c r="AN316" s="28"/>
      <c r="AO316" s="28" t="n">
        <f aca="false">AN316*$M316</f>
        <v>0</v>
      </c>
      <c r="AP316" s="28"/>
      <c r="AQ316" s="28" t="n">
        <f aca="false">AP316*$M316</f>
        <v>0</v>
      </c>
      <c r="AR316" s="28"/>
      <c r="AS316" s="28" t="n">
        <f aca="false">AR316*$M316</f>
        <v>0</v>
      </c>
      <c r="AT316" s="28"/>
      <c r="AU316" s="28" t="n">
        <f aca="false">AT316*$M316</f>
        <v>0</v>
      </c>
      <c r="AV316" s="28"/>
      <c r="AW316" s="28" t="n">
        <f aca="false">AV316*$M316</f>
        <v>0</v>
      </c>
      <c r="AX316" s="28"/>
      <c r="AY316" s="28" t="n">
        <f aca="false">AX316*$M316</f>
        <v>0</v>
      </c>
      <c r="AZ316" s="28"/>
      <c r="BA316" s="28" t="n">
        <f aca="false">AZ316*$M316</f>
        <v>0</v>
      </c>
      <c r="BB316" s="30" t="n">
        <f aca="false">3597715/100</f>
        <v>35977.15</v>
      </c>
      <c r="BC316" s="11" t="n">
        <v>215973</v>
      </c>
      <c r="BD316" s="31" t="n">
        <f aca="false">SUM(S316,U316,W316,Y316,AA316,AC316,AE316,AG316,AI316,AK316,AM316,AO316,AQ316,AS316,AU316,AW316,AY316,BA316)</f>
        <v>215973</v>
      </c>
      <c r="BE316" s="28" t="n">
        <f aca="false">BC316-BD316</f>
        <v>0</v>
      </c>
      <c r="BF316" s="32" t="n">
        <f aca="false">SUM(R316,T316,V316,X316,Z316,AB316,AD316,AF316,AH316,AJ316,AL316,AN316,AP316,AR316,AT316,AV316,AX316,AZ316)</f>
        <v>35977.15</v>
      </c>
      <c r="BG316" s="33" t="n">
        <f aca="false">BB316-BF316</f>
        <v>0</v>
      </c>
      <c r="BH316" s="34" t="n">
        <f aca="false">BF316*M316</f>
        <v>233851.475</v>
      </c>
      <c r="BI316" s="35" t="n">
        <f aca="false">BC316-BH316</f>
        <v>-17878.475</v>
      </c>
      <c r="BJ316" s="19" t="str">
        <f aca="false">IF(BI316=0,"",IF(BI316&lt;&gt;BC316,"erreur de calcul",IF(BF316&lt;&gt;0,"pas de prix",IF(M316&lt;&gt; 0,"pas de quantité","pas de prix, ni de quantité"))))</f>
        <v>erreur de calcul</v>
      </c>
      <c r="BK316" s="19"/>
    </row>
    <row r="317" customFormat="false" ht="16" hidden="false" customHeight="false" outlineLevel="0" collapsed="false">
      <c r="A317" s="0" t="n">
        <v>27</v>
      </c>
      <c r="B317" s="8" t="s">
        <v>24</v>
      </c>
      <c r="C317" s="9" t="s">
        <v>25</v>
      </c>
      <c r="D317" s="9" t="s">
        <v>26</v>
      </c>
      <c r="E317" s="10" t="n">
        <v>1789</v>
      </c>
      <c r="F317" s="9" t="s">
        <v>27</v>
      </c>
      <c r="G317" s="9" t="s">
        <v>27</v>
      </c>
      <c r="H317" s="11" t="n">
        <v>26</v>
      </c>
      <c r="I317" s="11" t="s">
        <v>398</v>
      </c>
      <c r="J317" s="14" t="n">
        <v>11</v>
      </c>
      <c r="K317" s="14"/>
      <c r="L317" s="16"/>
      <c r="M317" s="27" t="n">
        <f aca="false">J317+(K317/20)+(L317/240)</f>
        <v>11</v>
      </c>
      <c r="N317" s="17" t="s">
        <v>64</v>
      </c>
      <c r="O317" s="11"/>
      <c r="P317" s="28"/>
      <c r="Q317" s="28" t="str">
        <f aca="false">IF(O317&lt;&gt;"",P317*M317,"")</f>
        <v/>
      </c>
      <c r="R317" s="28" t="n">
        <f aca="false">166667/100</f>
        <v>1666.67</v>
      </c>
      <c r="S317" s="28" t="n">
        <v>18333</v>
      </c>
      <c r="T317" s="28"/>
      <c r="U317" s="28" t="n">
        <f aca="false">T317*$M317</f>
        <v>0</v>
      </c>
      <c r="V317" s="28"/>
      <c r="W317" s="28" t="n">
        <f aca="false">V317*$M317</f>
        <v>0</v>
      </c>
      <c r="X317" s="28"/>
      <c r="Y317" s="28" t="n">
        <f aca="false">X317*$M317</f>
        <v>0</v>
      </c>
      <c r="Z317" s="28"/>
      <c r="AA317" s="28" t="n">
        <f aca="false">Z317*$M317</f>
        <v>0</v>
      </c>
      <c r="AB317" s="28"/>
      <c r="AC317" s="28" t="n">
        <f aca="false">AB317*$M317</f>
        <v>0</v>
      </c>
      <c r="AD317" s="28" t="n">
        <f aca="false">3312/100</f>
        <v>33.12</v>
      </c>
      <c r="AE317" s="28" t="n">
        <v>364</v>
      </c>
      <c r="AF317" s="28"/>
      <c r="AG317" s="28" t="n">
        <f aca="false">AF317*$M317</f>
        <v>0</v>
      </c>
      <c r="AH317" s="28"/>
      <c r="AI317" s="28" t="n">
        <f aca="false">AH317*$M317</f>
        <v>0</v>
      </c>
      <c r="AJ317" s="28"/>
      <c r="AK317" s="28" t="n">
        <f aca="false">AJ317*$M317</f>
        <v>0</v>
      </c>
      <c r="AL317" s="28"/>
      <c r="AM317" s="28" t="n">
        <f aca="false">AL317*$M317</f>
        <v>0</v>
      </c>
      <c r="AN317" s="28"/>
      <c r="AO317" s="28" t="n">
        <f aca="false">AN317*$M317</f>
        <v>0</v>
      </c>
      <c r="AP317" s="28"/>
      <c r="AQ317" s="28" t="n">
        <f aca="false">AP317*$M317</f>
        <v>0</v>
      </c>
      <c r="AR317" s="28"/>
      <c r="AS317" s="28" t="n">
        <f aca="false">AR317*$M317</f>
        <v>0</v>
      </c>
      <c r="AT317" s="28"/>
      <c r="AU317" s="28" t="n">
        <f aca="false">AT317*$M317</f>
        <v>0</v>
      </c>
      <c r="AV317" s="28"/>
      <c r="AW317" s="28" t="n">
        <f aca="false">AV317*$M317</f>
        <v>0</v>
      </c>
      <c r="AX317" s="28"/>
      <c r="AY317" s="28" t="n">
        <f aca="false">AX317*$M317</f>
        <v>0</v>
      </c>
      <c r="AZ317" s="28"/>
      <c r="BA317" s="28" t="n">
        <f aca="false">AZ317*$M317</f>
        <v>0</v>
      </c>
      <c r="BB317" s="30" t="n">
        <f aca="false">169979/100</f>
        <v>1699.79</v>
      </c>
      <c r="BC317" s="11" t="n">
        <v>18697</v>
      </c>
      <c r="BD317" s="31" t="n">
        <f aca="false">SUM(S317,U317,W317,Y317,AA317,AC317,AE317,AG317,AI317,AK317,AM317,AO317,AQ317,AS317,AU317,AW317,AY317,BA317)</f>
        <v>18697</v>
      </c>
      <c r="BE317" s="28" t="n">
        <f aca="false">BC317-BD317</f>
        <v>0</v>
      </c>
      <c r="BF317" s="32" t="n">
        <f aca="false">SUM(R317,T317,V317,X317,Z317,AB317,AD317,AF317,AH317,AJ317,AL317,AN317,AP317,AR317,AT317,AV317,AX317,AZ317)</f>
        <v>1699.79</v>
      </c>
      <c r="BG317" s="33" t="n">
        <f aca="false">BB317-BF317</f>
        <v>0</v>
      </c>
      <c r="BH317" s="34" t="n">
        <f aca="false">BF317*M317</f>
        <v>18697.69</v>
      </c>
      <c r="BI317" s="35" t="n">
        <f aca="false">BC317-BH317</f>
        <v>-0.68999999999869</v>
      </c>
      <c r="BJ317" s="19" t="str">
        <f aca="false">IF(BI317=0,"",IF(BI317&lt;&gt;BC317,"erreur de calcul",IF(BF317&lt;&gt;0,"pas de prix",IF(M317&lt;&gt; 0,"pas de quantité","pas de prix, ni de quantité"))))</f>
        <v>erreur de calcul</v>
      </c>
      <c r="BK317" s="19"/>
    </row>
    <row r="318" customFormat="false" ht="16" hidden="false" customHeight="false" outlineLevel="0" collapsed="false">
      <c r="A318" s="0" t="n">
        <v>28</v>
      </c>
      <c r="B318" s="8" t="s">
        <v>24</v>
      </c>
      <c r="C318" s="9" t="s">
        <v>25</v>
      </c>
      <c r="D318" s="9" t="s">
        <v>26</v>
      </c>
      <c r="E318" s="10" t="n">
        <v>1789</v>
      </c>
      <c r="F318" s="9" t="s">
        <v>27</v>
      </c>
      <c r="G318" s="9" t="s">
        <v>27</v>
      </c>
      <c r="H318" s="11" t="n">
        <v>26</v>
      </c>
      <c r="I318" s="11" t="s">
        <v>399</v>
      </c>
      <c r="J318" s="14" t="n">
        <v>18</v>
      </c>
      <c r="K318" s="14"/>
      <c r="L318" s="16"/>
      <c r="M318" s="27" t="n">
        <f aca="false">J318+(K318/20)+(L318/240)</f>
        <v>18</v>
      </c>
      <c r="N318" s="17" t="s">
        <v>66</v>
      </c>
      <c r="O318" s="11"/>
      <c r="P318" s="28"/>
      <c r="Q318" s="28" t="str">
        <f aca="false">IF(O318&lt;&gt;"",P318*M318,"")</f>
        <v/>
      </c>
      <c r="R318" s="28"/>
      <c r="S318" s="28" t="n">
        <f aca="false">R318*$M318</f>
        <v>0</v>
      </c>
      <c r="T318" s="28"/>
      <c r="U318" s="28" t="n">
        <f aca="false">T318*$M318</f>
        <v>0</v>
      </c>
      <c r="V318" s="28"/>
      <c r="W318" s="28" t="n">
        <f aca="false">V318*$M318</f>
        <v>0</v>
      </c>
      <c r="X318" s="28"/>
      <c r="Y318" s="28" t="n">
        <f aca="false">X318*$M318</f>
        <v>0</v>
      </c>
      <c r="Z318" s="28"/>
      <c r="AA318" s="28" t="n">
        <f aca="false">Z318*$M318</f>
        <v>0</v>
      </c>
      <c r="AB318" s="28"/>
      <c r="AC318" s="28" t="n">
        <f aca="false">AB318*$M318</f>
        <v>0</v>
      </c>
      <c r="AD318" s="28"/>
      <c r="AE318" s="28" t="n">
        <f aca="false">AD318*$M318</f>
        <v>0</v>
      </c>
      <c r="AF318" s="28"/>
      <c r="AG318" s="28" t="n">
        <f aca="false">AF318*$M318</f>
        <v>0</v>
      </c>
      <c r="AH318" s="28"/>
      <c r="AI318" s="28" t="n">
        <f aca="false">AH318*$M318</f>
        <v>0</v>
      </c>
      <c r="AJ318" s="28" t="n">
        <v>72036</v>
      </c>
      <c r="AK318" s="28" t="n">
        <v>1296648</v>
      </c>
      <c r="AL318" s="28"/>
      <c r="AM318" s="28" t="n">
        <f aca="false">AL318*$M318</f>
        <v>0</v>
      </c>
      <c r="AN318" s="28"/>
      <c r="AO318" s="28" t="n">
        <f aca="false">AN318*$M318</f>
        <v>0</v>
      </c>
      <c r="AP318" s="28"/>
      <c r="AQ318" s="28" t="n">
        <f aca="false">AP318*$M318</f>
        <v>0</v>
      </c>
      <c r="AR318" s="28"/>
      <c r="AS318" s="28" t="n">
        <f aca="false">AR318*$M318</f>
        <v>0</v>
      </c>
      <c r="AT318" s="28"/>
      <c r="AU318" s="28" t="n">
        <f aca="false">AT318*$M318</f>
        <v>0</v>
      </c>
      <c r="AV318" s="28"/>
      <c r="AW318" s="28" t="n">
        <f aca="false">AV318*$M318</f>
        <v>0</v>
      </c>
      <c r="AX318" s="28"/>
      <c r="AY318" s="28" t="n">
        <f aca="false">AX318*$M318</f>
        <v>0</v>
      </c>
      <c r="AZ318" s="28"/>
      <c r="BA318" s="28" t="n">
        <f aca="false">AZ318*$M318</f>
        <v>0</v>
      </c>
      <c r="BB318" s="30" t="n">
        <v>72036</v>
      </c>
      <c r="BC318" s="11" t="n">
        <v>1296648</v>
      </c>
      <c r="BD318" s="31" t="n">
        <f aca="false">SUM(S318,U318,W318,Y318,AA318,AC318,AE318,AG318,AI318,AK318,AM318,AO318,AQ318,AS318,AU318,AW318,AY318,BA318)</f>
        <v>1296648</v>
      </c>
      <c r="BE318" s="28" t="n">
        <f aca="false">BC318-BD318</f>
        <v>0</v>
      </c>
      <c r="BF318" s="32" t="n">
        <f aca="false">SUM(R318,T318,V318,X318,Z318,AB318,AD318,AF318,AH318,AJ318,AL318,AN318,AP318,AR318,AT318,AV318,AX318,AZ318)</f>
        <v>72036</v>
      </c>
      <c r="BG318" s="33" t="n">
        <f aca="false">BB318-BF318</f>
        <v>0</v>
      </c>
      <c r="BH318" s="34" t="n">
        <f aca="false">BF318*M318</f>
        <v>1296648</v>
      </c>
      <c r="BI318" s="35" t="n">
        <f aca="false">BC318-BH318</f>
        <v>0</v>
      </c>
      <c r="BJ318" s="19" t="str">
        <f aca="false">IF(BI318=0,"",IF(BI318&lt;&gt;BC318,"erreur de calcul",IF(BF318&lt;&gt;0,"pas de prix",IF(M318&lt;&gt; 0,"pas de quantité","pas de prix, ni de quantité"))))</f>
        <v/>
      </c>
      <c r="BK318" s="19"/>
    </row>
    <row r="319" customFormat="false" ht="16" hidden="false" customHeight="false" outlineLevel="0" collapsed="false">
      <c r="A319" s="0" t="n">
        <v>29</v>
      </c>
      <c r="B319" s="8" t="s">
        <v>24</v>
      </c>
      <c r="C319" s="9" t="s">
        <v>25</v>
      </c>
      <c r="D319" s="9" t="s">
        <v>26</v>
      </c>
      <c r="E319" s="10" t="n">
        <v>1789</v>
      </c>
      <c r="F319" s="9" t="s">
        <v>27</v>
      </c>
      <c r="G319" s="9" t="s">
        <v>27</v>
      </c>
      <c r="H319" s="11" t="n">
        <v>26</v>
      </c>
      <c r="I319" s="11" t="s">
        <v>400</v>
      </c>
      <c r="J319" s="14" t="n">
        <v>19</v>
      </c>
      <c r="K319" s="14"/>
      <c r="L319" s="16"/>
      <c r="M319" s="27" t="n">
        <f aca="false">J319+(K319/20)+(L319/240)</f>
        <v>19</v>
      </c>
      <c r="N319" s="17" t="s">
        <v>66</v>
      </c>
      <c r="O319" s="11"/>
      <c r="P319" s="28"/>
      <c r="Q319" s="28" t="str">
        <f aca="false">IF(O319&lt;&gt;"",P319*M319,"")</f>
        <v/>
      </c>
      <c r="R319" s="28"/>
      <c r="S319" s="28" t="n">
        <f aca="false">R319*$M319</f>
        <v>0</v>
      </c>
      <c r="T319" s="28"/>
      <c r="U319" s="28" t="n">
        <f aca="false">T319*$M319</f>
        <v>0</v>
      </c>
      <c r="V319" s="28"/>
      <c r="W319" s="28" t="n">
        <f aca="false">V319*$M319</f>
        <v>0</v>
      </c>
      <c r="X319" s="28"/>
      <c r="Y319" s="28" t="n">
        <f aca="false">X319*$M319</f>
        <v>0</v>
      </c>
      <c r="Z319" s="28"/>
      <c r="AA319" s="28" t="n">
        <f aca="false">Z319*$M319</f>
        <v>0</v>
      </c>
      <c r="AB319" s="28"/>
      <c r="AC319" s="28" t="n">
        <f aca="false">AB319*$M319</f>
        <v>0</v>
      </c>
      <c r="AD319" s="28" t="n">
        <v>1176</v>
      </c>
      <c r="AE319" s="28" t="n">
        <v>22344</v>
      </c>
      <c r="AF319" s="28"/>
      <c r="AG319" s="28" t="n">
        <f aca="false">AF319*$M319</f>
        <v>0</v>
      </c>
      <c r="AH319" s="28"/>
      <c r="AI319" s="28" t="n">
        <f aca="false">AH319*$M319</f>
        <v>0</v>
      </c>
      <c r="AJ319" s="28"/>
      <c r="AK319" s="28" t="n">
        <f aca="false">AJ319*$M319</f>
        <v>0</v>
      </c>
      <c r="AL319" s="28"/>
      <c r="AM319" s="28" t="n">
        <f aca="false">AL319*$M319</f>
        <v>0</v>
      </c>
      <c r="AN319" s="28"/>
      <c r="AO319" s="28" t="n">
        <f aca="false">AN319*$M319</f>
        <v>0</v>
      </c>
      <c r="AP319" s="28"/>
      <c r="AQ319" s="28" t="n">
        <f aca="false">AP319*$M319</f>
        <v>0</v>
      </c>
      <c r="AR319" s="28"/>
      <c r="AS319" s="28" t="n">
        <f aca="false">AR319*$M319</f>
        <v>0</v>
      </c>
      <c r="AT319" s="28"/>
      <c r="AU319" s="28" t="n">
        <f aca="false">AT319*$M319</f>
        <v>0</v>
      </c>
      <c r="AV319" s="28"/>
      <c r="AW319" s="28" t="n">
        <f aca="false">AV319*$M319</f>
        <v>0</v>
      </c>
      <c r="AX319" s="28"/>
      <c r="AY319" s="28" t="n">
        <f aca="false">AX319*$M319</f>
        <v>0</v>
      </c>
      <c r="AZ319" s="28"/>
      <c r="BA319" s="28" t="n">
        <f aca="false">AZ319*$M319</f>
        <v>0</v>
      </c>
      <c r="BB319" s="30" t="n">
        <v>1176</v>
      </c>
      <c r="BC319" s="11" t="n">
        <v>22344</v>
      </c>
      <c r="BD319" s="31" t="n">
        <f aca="false">SUM(S319,U319,W319,Y319,AA319,AC319,AE319,AG319,AI319,AK319,AM319,AO319,AQ319,AS319,AU319,AW319,AY319,BA319)</f>
        <v>22344</v>
      </c>
      <c r="BE319" s="28" t="n">
        <f aca="false">BC319-BD319</f>
        <v>0</v>
      </c>
      <c r="BF319" s="32" t="n">
        <f aca="false">SUM(R319,T319,V319,X319,Z319,AB319,AD319,AF319,AH319,AJ319,AL319,AN319,AP319,AR319,AT319,AV319,AX319,AZ319)</f>
        <v>1176</v>
      </c>
      <c r="BG319" s="33" t="n">
        <f aca="false">BB319-BF319</f>
        <v>0</v>
      </c>
      <c r="BH319" s="34" t="n">
        <f aca="false">BF319*M319</f>
        <v>22344</v>
      </c>
      <c r="BI319" s="35" t="n">
        <f aca="false">BC319-BH319</f>
        <v>0</v>
      </c>
      <c r="BJ319" s="19" t="str">
        <f aca="false">IF(BI319=0,"",IF(BI319&lt;&gt;BC319,"erreur de calcul",IF(BF319&lt;&gt;0,"pas de prix",IF(M319&lt;&gt; 0,"pas de quantité","pas de prix, ni de quantité"))))</f>
        <v/>
      </c>
      <c r="BK319" s="19"/>
    </row>
    <row r="320" customFormat="false" ht="16" hidden="false" customHeight="false" outlineLevel="0" collapsed="false">
      <c r="A320" s="0" t="n">
        <v>30</v>
      </c>
      <c r="B320" s="8" t="s">
        <v>24</v>
      </c>
      <c r="C320" s="9" t="s">
        <v>25</v>
      </c>
      <c r="D320" s="9" t="s">
        <v>26</v>
      </c>
      <c r="E320" s="10" t="n">
        <v>1789</v>
      </c>
      <c r="F320" s="9" t="s">
        <v>27</v>
      </c>
      <c r="G320" s="9" t="s">
        <v>27</v>
      </c>
      <c r="H320" s="11" t="n">
        <v>26</v>
      </c>
      <c r="I320" s="11" t="s">
        <v>401</v>
      </c>
      <c r="J320" s="14" t="n">
        <v>20</v>
      </c>
      <c r="K320" s="14"/>
      <c r="L320" s="16"/>
      <c r="M320" s="27" t="n">
        <f aca="false">J320+(K320/20)+(L320/240)</f>
        <v>20</v>
      </c>
      <c r="N320" s="17" t="s">
        <v>66</v>
      </c>
      <c r="O320" s="11"/>
      <c r="P320" s="28"/>
      <c r="Q320" s="28" t="str">
        <f aca="false">IF(O320&lt;&gt;"",P320*M320,"")</f>
        <v/>
      </c>
      <c r="R320" s="28"/>
      <c r="S320" s="28" t="n">
        <f aca="false">R320*$M320</f>
        <v>0</v>
      </c>
      <c r="T320" s="28"/>
      <c r="U320" s="28" t="n">
        <f aca="false">T320*$M320</f>
        <v>0</v>
      </c>
      <c r="V320" s="28" t="n">
        <v>7478</v>
      </c>
      <c r="W320" s="28" t="n">
        <v>149560</v>
      </c>
      <c r="X320" s="28" t="n">
        <v>3386</v>
      </c>
      <c r="Y320" s="36" t="n">
        <v>66720</v>
      </c>
      <c r="Z320" s="28" t="n">
        <v>2233</v>
      </c>
      <c r="AA320" s="28" t="n">
        <v>44660</v>
      </c>
      <c r="AB320" s="28" t="n">
        <v>867</v>
      </c>
      <c r="AC320" s="28" t="n">
        <v>17340</v>
      </c>
      <c r="AD320" s="28" t="n">
        <v>32380</v>
      </c>
      <c r="AE320" s="28" t="n">
        <v>647600</v>
      </c>
      <c r="AF320" s="28"/>
      <c r="AG320" s="28" t="n">
        <f aca="false">AF320*$M320</f>
        <v>0</v>
      </c>
      <c r="AH320" s="28"/>
      <c r="AI320" s="28" t="n">
        <f aca="false">AH320*$M320</f>
        <v>0</v>
      </c>
      <c r="AJ320" s="28" t="n">
        <v>12038</v>
      </c>
      <c r="AK320" s="28" t="n">
        <v>240760</v>
      </c>
      <c r="AL320" s="28"/>
      <c r="AM320" s="28" t="n">
        <f aca="false">AL320*$M320</f>
        <v>0</v>
      </c>
      <c r="AN320" s="28"/>
      <c r="AO320" s="28" t="n">
        <f aca="false">AN320*$M320</f>
        <v>0</v>
      </c>
      <c r="AP320" s="28"/>
      <c r="AQ320" s="28" t="n">
        <f aca="false">AP320*$M320</f>
        <v>0</v>
      </c>
      <c r="AR320" s="28"/>
      <c r="AS320" s="28" t="n">
        <f aca="false">AR320*$M320</f>
        <v>0</v>
      </c>
      <c r="AT320" s="28"/>
      <c r="AU320" s="28" t="n">
        <f aca="false">AT320*$M320</f>
        <v>0</v>
      </c>
      <c r="AV320" s="28"/>
      <c r="AW320" s="28" t="n">
        <f aca="false">AV320*$M320</f>
        <v>0</v>
      </c>
      <c r="AX320" s="28"/>
      <c r="AY320" s="28" t="n">
        <f aca="false">AX320*$M320</f>
        <v>0</v>
      </c>
      <c r="AZ320" s="28"/>
      <c r="BA320" s="28" t="n">
        <f aca="false">AZ320*$M320</f>
        <v>0</v>
      </c>
      <c r="BB320" s="30" t="n">
        <v>58382</v>
      </c>
      <c r="BC320" s="11" t="n">
        <v>1166640</v>
      </c>
      <c r="BD320" s="31" t="n">
        <f aca="false">SUM(S320,U320,W320,Y320,AA320,AC320,AE320,AG320,AI320,AK320,AM320,AO320,AQ320,AS320,AU320,AW320,AY320,BA320)</f>
        <v>1166640</v>
      </c>
      <c r="BE320" s="28" t="n">
        <f aca="false">BC320-BD320</f>
        <v>0</v>
      </c>
      <c r="BF320" s="32" t="n">
        <f aca="false">SUM(R320,T320,V320,X320,Z320,AB320,AD320,AF320,AH320,AJ320,AL320,AN320,AP320,AR320,AT320,AV320,AX320,AZ320)</f>
        <v>58382</v>
      </c>
      <c r="BG320" s="33" t="n">
        <f aca="false">BB320-BF320</f>
        <v>0</v>
      </c>
      <c r="BH320" s="34" t="n">
        <f aca="false">BF320*M320</f>
        <v>1167640</v>
      </c>
      <c r="BI320" s="35" t="n">
        <f aca="false">BC320-BH320</f>
        <v>-1000</v>
      </c>
      <c r="BJ320" s="19" t="str">
        <f aca="false">IF(BI320=0,"",IF(BI320&lt;&gt;BC320,"erreur de calcul",IF(BF320&lt;&gt;0,"pas de prix",IF(M320&lt;&gt; 0,"pas de quantité","pas de prix, ni de quantité"))))</f>
        <v>erreur de calcul</v>
      </c>
      <c r="BK320" s="19"/>
    </row>
    <row r="321" customFormat="false" ht="16" hidden="false" customHeight="false" outlineLevel="0" collapsed="false">
      <c r="A321" s="0" t="n">
        <v>31</v>
      </c>
      <c r="B321" s="8" t="s">
        <v>24</v>
      </c>
      <c r="C321" s="9" t="s">
        <v>25</v>
      </c>
      <c r="D321" s="9" t="s">
        <v>26</v>
      </c>
      <c r="E321" s="10" t="n">
        <v>1789</v>
      </c>
      <c r="F321" s="9" t="s">
        <v>27</v>
      </c>
      <c r="G321" s="9" t="s">
        <v>27</v>
      </c>
      <c r="H321" s="11" t="n">
        <v>26</v>
      </c>
      <c r="I321" s="11" t="s">
        <v>402</v>
      </c>
      <c r="J321" s="14" t="n">
        <v>17</v>
      </c>
      <c r="K321" s="14"/>
      <c r="L321" s="16"/>
      <c r="M321" s="27" t="n">
        <f aca="false">J321+(K321/20)+(L321/240)</f>
        <v>17</v>
      </c>
      <c r="N321" s="17" t="s">
        <v>66</v>
      </c>
      <c r="O321" s="11"/>
      <c r="P321" s="28"/>
      <c r="Q321" s="28" t="str">
        <f aca="false">IF(O321&lt;&gt;"",P321*M321,"")</f>
        <v/>
      </c>
      <c r="R321" s="28"/>
      <c r="S321" s="28" t="n">
        <f aca="false">R321*$M321</f>
        <v>0</v>
      </c>
      <c r="T321" s="28"/>
      <c r="U321" s="28" t="n">
        <f aca="false">T321*$M321</f>
        <v>0</v>
      </c>
      <c r="V321" s="28" t="n">
        <v>126481</v>
      </c>
      <c r="W321" s="28" t="n">
        <v>2150177</v>
      </c>
      <c r="X321" s="28"/>
      <c r="Y321" s="28" t="n">
        <f aca="false">X321*$M321</f>
        <v>0</v>
      </c>
      <c r="Z321" s="28"/>
      <c r="AA321" s="28" t="n">
        <f aca="false">Z321*$M321</f>
        <v>0</v>
      </c>
      <c r="AB321" s="28"/>
      <c r="AC321" s="28" t="n">
        <f aca="false">AB321*$M321</f>
        <v>0</v>
      </c>
      <c r="AD321" s="28"/>
      <c r="AE321" s="28" t="n">
        <f aca="false">AD321*$M321</f>
        <v>0</v>
      </c>
      <c r="AF321" s="28"/>
      <c r="AG321" s="28" t="n">
        <f aca="false">AF321*$M321</f>
        <v>0</v>
      </c>
      <c r="AH321" s="28"/>
      <c r="AI321" s="28" t="n">
        <f aca="false">AH321*$M321</f>
        <v>0</v>
      </c>
      <c r="AJ321" s="28"/>
      <c r="AK321" s="28" t="n">
        <f aca="false">AJ321*$M321</f>
        <v>0</v>
      </c>
      <c r="AL321" s="28"/>
      <c r="AM321" s="28" t="n">
        <f aca="false">AL321*$M321</f>
        <v>0</v>
      </c>
      <c r="AN321" s="28"/>
      <c r="AO321" s="28" t="n">
        <f aca="false">AN321*$M321</f>
        <v>0</v>
      </c>
      <c r="AP321" s="28"/>
      <c r="AQ321" s="28" t="n">
        <f aca="false">AP321*$M321</f>
        <v>0</v>
      </c>
      <c r="AR321" s="28"/>
      <c r="AS321" s="28" t="n">
        <f aca="false">AR321*$M321</f>
        <v>0</v>
      </c>
      <c r="AT321" s="28"/>
      <c r="AU321" s="28" t="n">
        <f aca="false">AT321*$M321</f>
        <v>0</v>
      </c>
      <c r="AV321" s="28"/>
      <c r="AW321" s="28" t="n">
        <f aca="false">AV321*$M321</f>
        <v>0</v>
      </c>
      <c r="AX321" s="28"/>
      <c r="AY321" s="28" t="n">
        <f aca="false">AX321*$M321</f>
        <v>0</v>
      </c>
      <c r="AZ321" s="28"/>
      <c r="BA321" s="28" t="n">
        <f aca="false">AZ321*$M321</f>
        <v>0</v>
      </c>
      <c r="BB321" s="30" t="n">
        <v>126481</v>
      </c>
      <c r="BC321" s="11" t="n">
        <v>2150177</v>
      </c>
      <c r="BD321" s="31" t="n">
        <f aca="false">SUM(S321,U321,W321,Y321,AA321,AC321,AE321,AG321,AI321,AK321,AM321,AO321,AQ321,AS321,AU321,AW321,AY321,BA321)</f>
        <v>2150177</v>
      </c>
      <c r="BE321" s="28" t="n">
        <f aca="false">BC321-BD321</f>
        <v>0</v>
      </c>
      <c r="BF321" s="32" t="n">
        <f aca="false">SUM(R321,T321,V321,X321,Z321,AB321,AD321,AF321,AH321,AJ321,AL321,AN321,AP321,AR321,AT321,AV321,AX321,AZ321)</f>
        <v>126481</v>
      </c>
      <c r="BG321" s="33" t="n">
        <f aca="false">BB321-BF321</f>
        <v>0</v>
      </c>
      <c r="BH321" s="34" t="n">
        <f aca="false">BF321*M321</f>
        <v>2150177</v>
      </c>
      <c r="BI321" s="35" t="n">
        <f aca="false">BC321-BH321</f>
        <v>0</v>
      </c>
      <c r="BJ321" s="19" t="str">
        <f aca="false">IF(BI321=0,"",IF(BI321&lt;&gt;BC321,"erreur de calcul",IF(BF321&lt;&gt;0,"pas de prix",IF(M321&lt;&gt; 0,"pas de quantité","pas de prix, ni de quantité"))))</f>
        <v/>
      </c>
      <c r="BK321" s="19"/>
    </row>
    <row r="322" customFormat="false" ht="16" hidden="false" customHeight="false" outlineLevel="0" collapsed="false">
      <c r="A322" s="0" t="n">
        <v>32</v>
      </c>
      <c r="B322" s="8" t="s">
        <v>24</v>
      </c>
      <c r="C322" s="9" t="s">
        <v>25</v>
      </c>
      <c r="D322" s="9" t="s">
        <v>26</v>
      </c>
      <c r="E322" s="10" t="n">
        <v>1789</v>
      </c>
      <c r="F322" s="9" t="s">
        <v>27</v>
      </c>
      <c r="G322" s="9" t="s">
        <v>27</v>
      </c>
      <c r="H322" s="11" t="n">
        <v>26</v>
      </c>
      <c r="I322" s="11" t="s">
        <v>403</v>
      </c>
      <c r="J322" s="14" t="n">
        <v>28</v>
      </c>
      <c r="K322" s="14"/>
      <c r="L322" s="16"/>
      <c r="M322" s="27" t="n">
        <f aca="false">J322+(K322/20)+(L322/240)</f>
        <v>28</v>
      </c>
      <c r="N322" s="17" t="s">
        <v>66</v>
      </c>
      <c r="O322" s="11"/>
      <c r="P322" s="28"/>
      <c r="Q322" s="28" t="str">
        <f aca="false">IF(O322&lt;&gt;"",P322*M322,"")</f>
        <v/>
      </c>
      <c r="R322" s="28"/>
      <c r="S322" s="28" t="n">
        <f aca="false">R322*$M322</f>
        <v>0</v>
      </c>
      <c r="T322" s="28"/>
      <c r="U322" s="28" t="n">
        <f aca="false">T322*$M322</f>
        <v>0</v>
      </c>
      <c r="V322" s="28"/>
      <c r="W322" s="28" t="n">
        <f aca="false">V322*$M322</f>
        <v>0</v>
      </c>
      <c r="X322" s="28" t="n">
        <v>1923</v>
      </c>
      <c r="Y322" s="28" t="n">
        <v>53844</v>
      </c>
      <c r="Z322" s="28" t="n">
        <v>7280</v>
      </c>
      <c r="AA322" s="36" t="n">
        <v>203860</v>
      </c>
      <c r="AB322" s="28"/>
      <c r="AC322" s="28" t="n">
        <f aca="false">AB322*$M322</f>
        <v>0</v>
      </c>
      <c r="AD322" s="28" t="n">
        <v>128803</v>
      </c>
      <c r="AE322" s="28" t="n">
        <v>3606484</v>
      </c>
      <c r="AF322" s="28"/>
      <c r="AG322" s="28" t="n">
        <f aca="false">AF322*$M322</f>
        <v>0</v>
      </c>
      <c r="AH322" s="28"/>
      <c r="AI322" s="28" t="n">
        <f aca="false">AH322*$M322</f>
        <v>0</v>
      </c>
      <c r="AJ322" s="28"/>
      <c r="AK322" s="28" t="n">
        <f aca="false">AJ322*$M322</f>
        <v>0</v>
      </c>
      <c r="AL322" s="28"/>
      <c r="AM322" s="28" t="n">
        <f aca="false">AL322*$M322</f>
        <v>0</v>
      </c>
      <c r="AN322" s="28"/>
      <c r="AO322" s="28" t="n">
        <f aca="false">AN322*$M322</f>
        <v>0</v>
      </c>
      <c r="AP322" s="28"/>
      <c r="AQ322" s="28" t="n">
        <f aca="false">AP322*$M322</f>
        <v>0</v>
      </c>
      <c r="AR322" s="28"/>
      <c r="AS322" s="28" t="n">
        <f aca="false">AR322*$M322</f>
        <v>0</v>
      </c>
      <c r="AT322" s="28"/>
      <c r="AU322" s="28" t="n">
        <f aca="false">AT322*$M322</f>
        <v>0</v>
      </c>
      <c r="AV322" s="28"/>
      <c r="AW322" s="28" t="n">
        <f aca="false">AV322*$M322</f>
        <v>0</v>
      </c>
      <c r="AX322" s="28"/>
      <c r="AY322" s="28" t="n">
        <f aca="false">AX322*$M322</f>
        <v>0</v>
      </c>
      <c r="AZ322" s="28"/>
      <c r="BA322" s="28" t="n">
        <f aca="false">AZ322*$M322</f>
        <v>0</v>
      </c>
      <c r="BB322" s="30" t="n">
        <v>138006</v>
      </c>
      <c r="BC322" s="11" t="n">
        <v>3864188</v>
      </c>
      <c r="BD322" s="31" t="n">
        <f aca="false">SUM(S322,U322,W322,Y322,AA322,AC322,AE322,AG322,AI322,AK322,AM322,AO322,AQ322,AS322,AU322,AW322,AY322,BA322)</f>
        <v>3864188</v>
      </c>
      <c r="BE322" s="28" t="n">
        <f aca="false">BC322-BD322</f>
        <v>0</v>
      </c>
      <c r="BF322" s="32" t="n">
        <f aca="false">SUM(R322,T322,V322,X322,Z322,AB322,AD322,AF322,AH322,AJ322,AL322,AN322,AP322,AR322,AT322,AV322,AX322,AZ322)</f>
        <v>138006</v>
      </c>
      <c r="BG322" s="33" t="n">
        <f aca="false">BB322-BF322</f>
        <v>0</v>
      </c>
      <c r="BH322" s="34" t="n">
        <f aca="false">BF322*M322</f>
        <v>3864168</v>
      </c>
      <c r="BI322" s="35" t="n">
        <f aca="false">BC322-BH322</f>
        <v>20</v>
      </c>
      <c r="BJ322" s="19" t="str">
        <f aca="false">IF(BI322=0,"",IF(BI322&lt;&gt;BC322,"erreur de calcul",IF(BF322&lt;&gt;0,"pas de prix",IF(M322&lt;&gt; 0,"pas de quantité","pas de prix, ni de quantité"))))</f>
        <v>erreur de calcul</v>
      </c>
      <c r="BK322" s="19"/>
    </row>
    <row r="323" customFormat="false" ht="16" hidden="false" customHeight="false" outlineLevel="0" collapsed="false">
      <c r="A323" s="0" t="n">
        <v>33</v>
      </c>
      <c r="B323" s="8" t="s">
        <v>24</v>
      </c>
      <c r="C323" s="9" t="s">
        <v>25</v>
      </c>
      <c r="D323" s="9" t="s">
        <v>26</v>
      </c>
      <c r="E323" s="10" t="n">
        <v>1789</v>
      </c>
      <c r="F323" s="9" t="s">
        <v>27</v>
      </c>
      <c r="G323" s="9" t="s">
        <v>27</v>
      </c>
      <c r="H323" s="11" t="n">
        <v>26</v>
      </c>
      <c r="I323" s="11" t="s">
        <v>404</v>
      </c>
      <c r="J323" s="14"/>
      <c r="K323" s="14" t="n">
        <v>30</v>
      </c>
      <c r="L323" s="16"/>
      <c r="M323" s="27" t="n">
        <f aca="false">J323+(K323/20)+(L323/240)</f>
        <v>1.5</v>
      </c>
      <c r="N323" s="17" t="s">
        <v>66</v>
      </c>
      <c r="O323" s="11"/>
      <c r="P323" s="28"/>
      <c r="Q323" s="28" t="str">
        <f aca="false">IF(O323&lt;&gt;"",P323*M323,"")</f>
        <v/>
      </c>
      <c r="R323" s="28"/>
      <c r="S323" s="28" t="n">
        <f aca="false">R323*$M323</f>
        <v>0</v>
      </c>
      <c r="T323" s="28"/>
      <c r="U323" s="28" t="n">
        <f aca="false">T323*$M323</f>
        <v>0</v>
      </c>
      <c r="V323" s="28" t="n">
        <v>11245</v>
      </c>
      <c r="W323" s="28" t="n">
        <v>16867</v>
      </c>
      <c r="X323" s="28"/>
      <c r="Y323" s="28" t="n">
        <f aca="false">X323*$M323</f>
        <v>0</v>
      </c>
      <c r="Z323" s="28"/>
      <c r="AA323" s="28" t="n">
        <f aca="false">Z323*$M323</f>
        <v>0</v>
      </c>
      <c r="AB323" s="28"/>
      <c r="AC323" s="28" t="n">
        <f aca="false">AB323*$M323</f>
        <v>0</v>
      </c>
      <c r="AD323" s="28"/>
      <c r="AE323" s="28" t="n">
        <f aca="false">AD323*$M323</f>
        <v>0</v>
      </c>
      <c r="AF323" s="28"/>
      <c r="AG323" s="28" t="n">
        <f aca="false">AF323*$M323</f>
        <v>0</v>
      </c>
      <c r="AH323" s="28"/>
      <c r="AI323" s="28" t="n">
        <f aca="false">AH323*$M323</f>
        <v>0</v>
      </c>
      <c r="AJ323" s="28"/>
      <c r="AK323" s="28" t="n">
        <f aca="false">AJ323*$M323</f>
        <v>0</v>
      </c>
      <c r="AL323" s="28"/>
      <c r="AM323" s="28" t="n">
        <f aca="false">AL323*$M323</f>
        <v>0</v>
      </c>
      <c r="AN323" s="28"/>
      <c r="AO323" s="28" t="n">
        <f aca="false">AN323*$M323</f>
        <v>0</v>
      </c>
      <c r="AP323" s="28"/>
      <c r="AQ323" s="28" t="n">
        <f aca="false">AP323*$M323</f>
        <v>0</v>
      </c>
      <c r="AR323" s="28"/>
      <c r="AS323" s="28" t="n">
        <f aca="false">AR323*$M323</f>
        <v>0</v>
      </c>
      <c r="AT323" s="28"/>
      <c r="AU323" s="28" t="n">
        <f aca="false">AT323*$M323</f>
        <v>0</v>
      </c>
      <c r="AV323" s="28"/>
      <c r="AW323" s="28" t="n">
        <f aca="false">AV323*$M323</f>
        <v>0</v>
      </c>
      <c r="AX323" s="28"/>
      <c r="AY323" s="28" t="n">
        <f aca="false">AX323*$M323</f>
        <v>0</v>
      </c>
      <c r="AZ323" s="28"/>
      <c r="BA323" s="28" t="n">
        <f aca="false">AZ323*$M323</f>
        <v>0</v>
      </c>
      <c r="BB323" s="30" t="n">
        <v>11245</v>
      </c>
      <c r="BC323" s="11" t="n">
        <v>16867</v>
      </c>
      <c r="BD323" s="31" t="n">
        <f aca="false">SUM(S323,U323,W323,Y323,AA323,AC323,AE323,AG323,AI323,AK323,AM323,AO323,AQ323,AS323,AU323,AW323,AY323,BA323)</f>
        <v>16867</v>
      </c>
      <c r="BE323" s="28" t="n">
        <f aca="false">BC323-BD323</f>
        <v>0</v>
      </c>
      <c r="BF323" s="32" t="n">
        <f aca="false">SUM(R323,T323,V323,X323,Z323,AB323,AD323,AF323,AH323,AJ323,AL323,AN323,AP323,AR323,AT323,AV323,AX323,AZ323)</f>
        <v>11245</v>
      </c>
      <c r="BG323" s="33" t="n">
        <f aca="false">BB323-BF323</f>
        <v>0</v>
      </c>
      <c r="BH323" s="34" t="n">
        <f aca="false">BF323*M323</f>
        <v>16867.5</v>
      </c>
      <c r="BI323" s="35" t="n">
        <f aca="false">BC323-BH323</f>
        <v>-0.5</v>
      </c>
      <c r="BJ323" s="19" t="str">
        <f aca="false">IF(BI323=0,"",IF(BI323&lt;&gt;BC323,"erreur de calcul",IF(BF323&lt;&gt;0,"pas de prix",IF(M323&lt;&gt; 0,"pas de quantité","pas de prix, ni de quantité"))))</f>
        <v>erreur de calcul</v>
      </c>
      <c r="BK323" s="19"/>
    </row>
    <row r="324" customFormat="false" ht="16" hidden="false" customHeight="false" outlineLevel="0" collapsed="false">
      <c r="A324" s="0" t="n">
        <v>34</v>
      </c>
      <c r="B324" s="8" t="s">
        <v>24</v>
      </c>
      <c r="C324" s="9" t="s">
        <v>25</v>
      </c>
      <c r="D324" s="9" t="s">
        <v>26</v>
      </c>
      <c r="E324" s="10" t="n">
        <v>1789</v>
      </c>
      <c r="F324" s="9" t="s">
        <v>27</v>
      </c>
      <c r="G324" s="9" t="s">
        <v>27</v>
      </c>
      <c r="H324" s="11" t="n">
        <v>26</v>
      </c>
      <c r="I324" s="11" t="s">
        <v>405</v>
      </c>
      <c r="J324" s="14"/>
      <c r="K324" s="14" t="n">
        <v>40</v>
      </c>
      <c r="L324" s="16"/>
      <c r="M324" s="27" t="n">
        <f aca="false">J324+(K324/20)+(L324/240)</f>
        <v>2</v>
      </c>
      <c r="N324" s="17" t="s">
        <v>66</v>
      </c>
      <c r="O324" s="11"/>
      <c r="P324" s="28"/>
      <c r="Q324" s="28" t="str">
        <f aca="false">IF(O324&lt;&gt;"",P324*M324,"")</f>
        <v/>
      </c>
      <c r="R324" s="28"/>
      <c r="S324" s="28" t="n">
        <f aca="false">R324*$M324</f>
        <v>0</v>
      </c>
      <c r="T324" s="28"/>
      <c r="U324" s="28" t="n">
        <f aca="false">T324*$M324</f>
        <v>0</v>
      </c>
      <c r="V324" s="28"/>
      <c r="W324" s="28" t="n">
        <f aca="false">V324*$M324</f>
        <v>0</v>
      </c>
      <c r="X324" s="28"/>
      <c r="Y324" s="28" t="n">
        <f aca="false">X324*$M324</f>
        <v>0</v>
      </c>
      <c r="Z324" s="28"/>
      <c r="AA324" s="28" t="n">
        <f aca="false">Z324*$M324</f>
        <v>0</v>
      </c>
      <c r="AB324" s="28"/>
      <c r="AC324" s="28" t="n">
        <f aca="false">AB324*$M324</f>
        <v>0</v>
      </c>
      <c r="AD324" s="28"/>
      <c r="AE324" s="28" t="n">
        <f aca="false">AD324*$M324</f>
        <v>0</v>
      </c>
      <c r="AF324" s="28"/>
      <c r="AG324" s="28" t="n">
        <f aca="false">AF324*$M324</f>
        <v>0</v>
      </c>
      <c r="AH324" s="28"/>
      <c r="AI324" s="28" t="n">
        <f aca="false">AH324*$M324</f>
        <v>0</v>
      </c>
      <c r="AJ324" s="28" t="n">
        <v>9380</v>
      </c>
      <c r="AK324" s="28" t="n">
        <v>18760</v>
      </c>
      <c r="AL324" s="28"/>
      <c r="AM324" s="28" t="n">
        <f aca="false">AL324*$M324</f>
        <v>0</v>
      </c>
      <c r="AN324" s="28"/>
      <c r="AO324" s="28" t="n">
        <f aca="false">AN324*$M324</f>
        <v>0</v>
      </c>
      <c r="AP324" s="28"/>
      <c r="AQ324" s="28" t="n">
        <f aca="false">AP324*$M324</f>
        <v>0</v>
      </c>
      <c r="AR324" s="28"/>
      <c r="AS324" s="28" t="n">
        <f aca="false">AR324*$M324</f>
        <v>0</v>
      </c>
      <c r="AT324" s="28"/>
      <c r="AU324" s="28" t="n">
        <f aca="false">AT324*$M324</f>
        <v>0</v>
      </c>
      <c r="AV324" s="28"/>
      <c r="AW324" s="28" t="n">
        <f aca="false">AV324*$M324</f>
        <v>0</v>
      </c>
      <c r="AX324" s="28"/>
      <c r="AY324" s="28" t="n">
        <f aca="false">AX324*$M324</f>
        <v>0</v>
      </c>
      <c r="AZ324" s="28"/>
      <c r="BA324" s="28" t="n">
        <f aca="false">AZ324*$M324</f>
        <v>0</v>
      </c>
      <c r="BB324" s="30" t="n">
        <v>9380</v>
      </c>
      <c r="BC324" s="11" t="n">
        <v>18760</v>
      </c>
      <c r="BD324" s="31" t="n">
        <f aca="false">SUM(S324,U324,W324,Y324,AA324,AC324,AE324,AG324,AI324,AK324,AM324,AO324,AQ324,AS324,AU324,AW324,AY324,BA324)</f>
        <v>18760</v>
      </c>
      <c r="BE324" s="28" t="n">
        <f aca="false">BC324-BD324</f>
        <v>0</v>
      </c>
      <c r="BF324" s="32" t="n">
        <f aca="false">SUM(R324,T324,V324,X324,Z324,AB324,AD324,AF324,AH324,AJ324,AL324,AN324,AP324,AR324,AT324,AV324,AX324,AZ324)</f>
        <v>9380</v>
      </c>
      <c r="BG324" s="33" t="n">
        <f aca="false">BB324-BF324</f>
        <v>0</v>
      </c>
      <c r="BH324" s="34" t="n">
        <f aca="false">BF324*M324</f>
        <v>18760</v>
      </c>
      <c r="BI324" s="35" t="n">
        <f aca="false">BC324-BH324</f>
        <v>0</v>
      </c>
      <c r="BJ324" s="19" t="str">
        <f aca="false">IF(BI324=0,"",IF(BI324&lt;&gt;BC324,"erreur de calcul",IF(BF324&lt;&gt;0,"pas de prix",IF(M324&lt;&gt; 0,"pas de quantité","pas de prix, ni de quantité"))))</f>
        <v/>
      </c>
      <c r="BK324" s="19"/>
    </row>
    <row r="325" customFormat="false" ht="16" hidden="false" customHeight="false" outlineLevel="0" collapsed="false">
      <c r="A325" s="0" t="n">
        <v>35</v>
      </c>
      <c r="B325" s="8" t="s">
        <v>24</v>
      </c>
      <c r="C325" s="9" t="s">
        <v>25</v>
      </c>
      <c r="D325" s="9" t="s">
        <v>26</v>
      </c>
      <c r="E325" s="10" t="n">
        <v>1789</v>
      </c>
      <c r="F325" s="9" t="s">
        <v>27</v>
      </c>
      <c r="G325" s="9" t="s">
        <v>27</v>
      </c>
      <c r="H325" s="11" t="n">
        <v>26</v>
      </c>
      <c r="I325" s="11" t="s">
        <v>406</v>
      </c>
      <c r="J325" s="14" t="n">
        <v>55</v>
      </c>
      <c r="K325" s="14"/>
      <c r="L325" s="16"/>
      <c r="M325" s="27" t="n">
        <f aca="false">J325+(K325/20)+(L325/240)</f>
        <v>55</v>
      </c>
      <c r="N325" s="17" t="s">
        <v>64</v>
      </c>
      <c r="O325" s="11"/>
      <c r="P325" s="28"/>
      <c r="Q325" s="28" t="str">
        <f aca="false">IF(O325&lt;&gt;"",P325*M325,"")</f>
        <v/>
      </c>
      <c r="R325" s="28" t="n">
        <f aca="false">634/100</f>
        <v>6.34</v>
      </c>
      <c r="S325" s="28" t="n">
        <v>349</v>
      </c>
      <c r="T325" s="28"/>
      <c r="U325" s="28" t="n">
        <f aca="false">T325*$M325</f>
        <v>0</v>
      </c>
      <c r="V325" s="28" t="n">
        <f aca="false">2450/100</f>
        <v>24.5</v>
      </c>
      <c r="W325" s="28" t="n">
        <v>1347</v>
      </c>
      <c r="X325" s="28" t="n">
        <f aca="false">9685/100</f>
        <v>96.85</v>
      </c>
      <c r="Y325" s="28" t="n">
        <v>5327</v>
      </c>
      <c r="Z325" s="28"/>
      <c r="AA325" s="28" t="n">
        <f aca="false">Z325*$M325</f>
        <v>0</v>
      </c>
      <c r="AB325" s="28"/>
      <c r="AC325" s="28" t="n">
        <f aca="false">AB325*$M325</f>
        <v>0</v>
      </c>
      <c r="AD325" s="28"/>
      <c r="AE325" s="28" t="n">
        <f aca="false">AD325*$M325</f>
        <v>0</v>
      </c>
      <c r="AF325" s="28"/>
      <c r="AG325" s="28" t="n">
        <f aca="false">AF325*$M325</f>
        <v>0</v>
      </c>
      <c r="AH325" s="28"/>
      <c r="AI325" s="28" t="n">
        <f aca="false">AH325*$M325</f>
        <v>0</v>
      </c>
      <c r="AJ325" s="28"/>
      <c r="AK325" s="28" t="n">
        <f aca="false">AJ325*$M325</f>
        <v>0</v>
      </c>
      <c r="AL325" s="28"/>
      <c r="AM325" s="28" t="n">
        <f aca="false">AL325*$M325</f>
        <v>0</v>
      </c>
      <c r="AN325" s="28"/>
      <c r="AO325" s="28" t="n">
        <f aca="false">AN325*$M325</f>
        <v>0</v>
      </c>
      <c r="AP325" s="28"/>
      <c r="AQ325" s="28" t="n">
        <f aca="false">AP325*$M325</f>
        <v>0</v>
      </c>
      <c r="AR325" s="28"/>
      <c r="AS325" s="28" t="n">
        <f aca="false">AR325*$M325</f>
        <v>0</v>
      </c>
      <c r="AT325" s="28"/>
      <c r="AU325" s="28" t="n">
        <f aca="false">AT325*$M325</f>
        <v>0</v>
      </c>
      <c r="AV325" s="28"/>
      <c r="AW325" s="28" t="n">
        <f aca="false">AV325*$M325</f>
        <v>0</v>
      </c>
      <c r="AX325" s="28"/>
      <c r="AY325" s="28" t="n">
        <f aca="false">AX325*$M325</f>
        <v>0</v>
      </c>
      <c r="AZ325" s="28"/>
      <c r="BA325" s="28" t="n">
        <f aca="false">AZ325*$M325</f>
        <v>0</v>
      </c>
      <c r="BB325" s="30" t="n">
        <f aca="false">12769/100</f>
        <v>127.69</v>
      </c>
      <c r="BC325" s="11" t="n">
        <v>7023</v>
      </c>
      <c r="BD325" s="31" t="n">
        <f aca="false">SUM(S325,U325,W325,Y325,AA325,AC325,AE325,AG325,AI325,AK325,AM325,AO325,AQ325,AS325,AU325,AW325,AY325,BA325)</f>
        <v>7023</v>
      </c>
      <c r="BE325" s="28" t="n">
        <f aca="false">BC325-BD325</f>
        <v>0</v>
      </c>
      <c r="BF325" s="32" t="n">
        <f aca="false">SUM(R325,T325,V325,X325,Z325,AB325,AD325,AF325,AH325,AJ325,AL325,AN325,AP325,AR325,AT325,AV325,AX325,AZ325)</f>
        <v>127.69</v>
      </c>
      <c r="BG325" s="33" t="n">
        <f aca="false">BB325-BF325</f>
        <v>0</v>
      </c>
      <c r="BH325" s="34" t="n">
        <f aca="false">BF325*M325</f>
        <v>7022.95</v>
      </c>
      <c r="BI325" s="35" t="n">
        <f aca="false">BC325-BH325</f>
        <v>0.0500000000001819</v>
      </c>
      <c r="BJ325" s="19" t="str">
        <f aca="false">IF(BI325=0,"",IF(BI325&lt;&gt;BC325,"erreur de calcul",IF(BF325&lt;&gt;0,"pas de prix",IF(M325&lt;&gt; 0,"pas de quantité","pas de prix, ni de quantité"))))</f>
        <v>erreur de calcul</v>
      </c>
      <c r="BK325" s="19"/>
    </row>
    <row r="326" customFormat="false" ht="16" hidden="false" customHeight="false" outlineLevel="0" collapsed="false">
      <c r="A326" s="0" t="n">
        <v>36</v>
      </c>
      <c r="B326" s="8" t="s">
        <v>24</v>
      </c>
      <c r="C326" s="9" t="s">
        <v>25</v>
      </c>
      <c r="D326" s="9" t="s">
        <v>26</v>
      </c>
      <c r="E326" s="10" t="n">
        <v>1789</v>
      </c>
      <c r="F326" s="9" t="s">
        <v>27</v>
      </c>
      <c r="G326" s="9" t="s">
        <v>27</v>
      </c>
      <c r="H326" s="11" t="n">
        <v>26</v>
      </c>
      <c r="I326" s="11" t="s">
        <v>407</v>
      </c>
      <c r="J326" s="14" t="n">
        <v>44</v>
      </c>
      <c r="K326" s="14"/>
      <c r="L326" s="16"/>
      <c r="M326" s="27" t="n">
        <f aca="false">J326+(K326/20)+(L326/240)</f>
        <v>44</v>
      </c>
      <c r="N326" s="17" t="s">
        <v>64</v>
      </c>
      <c r="O326" s="11" t="s">
        <v>77</v>
      </c>
      <c r="P326" s="28" t="n">
        <f aca="false">1251/100</f>
        <v>12.51</v>
      </c>
      <c r="Q326" s="28" t="n">
        <v>550</v>
      </c>
      <c r="R326" s="28" t="n">
        <f aca="false">68669/100</f>
        <v>686.69</v>
      </c>
      <c r="S326" s="28" t="n">
        <v>30214</v>
      </c>
      <c r="T326" s="28"/>
      <c r="U326" s="28" t="n">
        <f aca="false">T326*$M326</f>
        <v>0</v>
      </c>
      <c r="V326" s="28" t="n">
        <f aca="false">7101/100</f>
        <v>71.01</v>
      </c>
      <c r="W326" s="28" t="n">
        <v>3124</v>
      </c>
      <c r="X326" s="28" t="n">
        <f aca="false">27549/100</f>
        <v>275.49</v>
      </c>
      <c r="Y326" s="28" t="n">
        <v>12121</v>
      </c>
      <c r="Z326" s="28" t="n">
        <f aca="false">947914/100</f>
        <v>9479.14</v>
      </c>
      <c r="AA326" s="28" t="n">
        <v>417082</v>
      </c>
      <c r="AB326" s="28" t="n">
        <f aca="false">183606/100</f>
        <v>1836.06</v>
      </c>
      <c r="AC326" s="28" t="n">
        <v>80787</v>
      </c>
      <c r="AD326" s="28" t="n">
        <f aca="false">36047/100</f>
        <v>360.47</v>
      </c>
      <c r="AE326" s="28" t="n">
        <v>15861</v>
      </c>
      <c r="AF326" s="28" t="n">
        <f aca="false">12322/100</f>
        <v>123.22</v>
      </c>
      <c r="AG326" s="28" t="n">
        <v>5422</v>
      </c>
      <c r="AH326" s="28"/>
      <c r="AI326" s="28" t="n">
        <f aca="false">AH326*$M326</f>
        <v>0</v>
      </c>
      <c r="AJ326" s="28" t="n">
        <f aca="false">3318/100</f>
        <v>33.18</v>
      </c>
      <c r="AK326" s="28" t="n">
        <v>1460</v>
      </c>
      <c r="AL326" s="28"/>
      <c r="AM326" s="28" t="n">
        <f aca="false">AL326*$M326</f>
        <v>0</v>
      </c>
      <c r="AN326" s="28" t="n">
        <f aca="false">28260/100</f>
        <v>282.6</v>
      </c>
      <c r="AO326" s="28" t="n">
        <v>12434</v>
      </c>
      <c r="AP326" s="28"/>
      <c r="AQ326" s="28" t="n">
        <f aca="false">AP326*$M326</f>
        <v>0</v>
      </c>
      <c r="AR326" s="28"/>
      <c r="AS326" s="28" t="n">
        <f aca="false">AR326*$M326</f>
        <v>0</v>
      </c>
      <c r="AT326" s="28"/>
      <c r="AU326" s="28" t="n">
        <f aca="false">AT326*$M326</f>
        <v>0</v>
      </c>
      <c r="AV326" s="28"/>
      <c r="AW326" s="28" t="n">
        <f aca="false">AV326*$M326</f>
        <v>0</v>
      </c>
      <c r="AX326" s="28"/>
      <c r="AY326" s="28" t="n">
        <f aca="false">AX326*$M326</f>
        <v>0</v>
      </c>
      <c r="AZ326" s="28"/>
      <c r="BA326" s="28" t="n">
        <f aca="false">AZ326*$M326</f>
        <v>0</v>
      </c>
      <c r="BB326" s="30" t="n">
        <f aca="false">1314786/100</f>
        <v>13147.86</v>
      </c>
      <c r="BC326" s="11" t="n">
        <v>578505</v>
      </c>
      <c r="BD326" s="31" t="n">
        <f aca="false">SUM(S326,U326,W326,Y326,AA326,AC326,AE326,AG326,AI326,AK326,AM326,AO326,AQ326,AS326,AU326,AW326,AY326,BA326)</f>
        <v>578505</v>
      </c>
      <c r="BE326" s="28" t="n">
        <f aca="false">BC326-BD326</f>
        <v>0</v>
      </c>
      <c r="BF326" s="32" t="n">
        <f aca="false">SUM(R326,T326,V326,X326,Z326,AB326,AD326,AF326,AH326,AJ326,AL326,AN326,AP326,AR326,AT326,AV326,AX326,AZ326)</f>
        <v>13147.86</v>
      </c>
      <c r="BG326" s="33" t="n">
        <f aca="false">BB326-BF326</f>
        <v>0</v>
      </c>
      <c r="BH326" s="34" t="n">
        <f aca="false">BF326*M326</f>
        <v>578505.84</v>
      </c>
      <c r="BI326" s="35" t="n">
        <f aca="false">BC326-BH326</f>
        <v>-0.839999999967404</v>
      </c>
      <c r="BJ326" s="19" t="str">
        <f aca="false">IF(BI326=0,"",IF(BI326&lt;&gt;BC326,"erreur de calcul",IF(BF326&lt;&gt;0,"pas de prix",IF(M326&lt;&gt; 0,"pas de quantité","pas de prix, ni de quantité"))))</f>
        <v>erreur de calcul</v>
      </c>
      <c r="BK326" s="19"/>
    </row>
    <row r="327" customFormat="false" ht="16" hidden="false" customHeight="false" outlineLevel="0" collapsed="false">
      <c r="A327" s="0" t="n">
        <v>37</v>
      </c>
      <c r="B327" s="8" t="s">
        <v>24</v>
      </c>
      <c r="C327" s="9" t="s">
        <v>25</v>
      </c>
      <c r="D327" s="9" t="s">
        <v>26</v>
      </c>
      <c r="E327" s="10" t="n">
        <v>1789</v>
      </c>
      <c r="F327" s="9" t="s">
        <v>27</v>
      </c>
      <c r="G327" s="9" t="s">
        <v>27</v>
      </c>
      <c r="H327" s="11" t="n">
        <v>26</v>
      </c>
      <c r="I327" s="11" t="s">
        <v>408</v>
      </c>
      <c r="J327" s="14" t="n">
        <v>40</v>
      </c>
      <c r="K327" s="14"/>
      <c r="L327" s="16"/>
      <c r="M327" s="27" t="n">
        <f aca="false">J327+(K327/20)+(L327/240)</f>
        <v>40</v>
      </c>
      <c r="N327" s="17" t="s">
        <v>64</v>
      </c>
      <c r="O327" s="11"/>
      <c r="P327" s="28"/>
      <c r="Q327" s="28" t="str">
        <f aca="false">IF(O327&lt;&gt;"",P327*M327,"")</f>
        <v/>
      </c>
      <c r="R327" s="28"/>
      <c r="S327" s="28" t="n">
        <f aca="false">R327*$M327</f>
        <v>0</v>
      </c>
      <c r="T327" s="28"/>
      <c r="U327" s="28" t="n">
        <f aca="false">T327*$M327</f>
        <v>0</v>
      </c>
      <c r="V327" s="28"/>
      <c r="W327" s="28" t="n">
        <f aca="false">V327*$M327</f>
        <v>0</v>
      </c>
      <c r="X327" s="28" t="n">
        <f aca="false">4827/100</f>
        <v>48.27</v>
      </c>
      <c r="Y327" s="28" t="n">
        <v>1931</v>
      </c>
      <c r="Z327" s="28"/>
      <c r="AA327" s="28" t="n">
        <f aca="false">Z327*$M327</f>
        <v>0</v>
      </c>
      <c r="AB327" s="28"/>
      <c r="AC327" s="28" t="n">
        <f aca="false">AB327*$M327</f>
        <v>0</v>
      </c>
      <c r="AD327" s="28"/>
      <c r="AE327" s="28" t="n">
        <f aca="false">AD327*$M327</f>
        <v>0</v>
      </c>
      <c r="AF327" s="28"/>
      <c r="AG327" s="28" t="n">
        <f aca="false">AF327*$M327</f>
        <v>0</v>
      </c>
      <c r="AH327" s="28"/>
      <c r="AI327" s="28" t="n">
        <f aca="false">AH327*$M327</f>
        <v>0</v>
      </c>
      <c r="AJ327" s="28"/>
      <c r="AK327" s="28" t="n">
        <f aca="false">AJ327*$M327</f>
        <v>0</v>
      </c>
      <c r="AL327" s="28"/>
      <c r="AM327" s="28" t="n">
        <f aca="false">AL327*$M327</f>
        <v>0</v>
      </c>
      <c r="AN327" s="28"/>
      <c r="AO327" s="28" t="n">
        <f aca="false">AN327*$M327</f>
        <v>0</v>
      </c>
      <c r="AP327" s="28"/>
      <c r="AQ327" s="28" t="n">
        <f aca="false">AP327*$M327</f>
        <v>0</v>
      </c>
      <c r="AR327" s="28"/>
      <c r="AS327" s="28" t="n">
        <f aca="false">AR327*$M327</f>
        <v>0</v>
      </c>
      <c r="AT327" s="28"/>
      <c r="AU327" s="28" t="n">
        <f aca="false">AT327*$M327</f>
        <v>0</v>
      </c>
      <c r="AV327" s="28"/>
      <c r="AW327" s="28" t="n">
        <f aca="false">AV327*$M327</f>
        <v>0</v>
      </c>
      <c r="AX327" s="28"/>
      <c r="AY327" s="28" t="n">
        <f aca="false">AX327*$M327</f>
        <v>0</v>
      </c>
      <c r="AZ327" s="28" t="n">
        <f aca="false">835109/100</f>
        <v>8351.09</v>
      </c>
      <c r="BA327" s="28" t="n">
        <v>334044</v>
      </c>
      <c r="BB327" s="30" t="n">
        <f aca="false">839936/100</f>
        <v>8399.36</v>
      </c>
      <c r="BC327" s="11" t="n">
        <v>335975</v>
      </c>
      <c r="BD327" s="31" t="n">
        <f aca="false">SUM(S327,U327,W327,Y327,AA327,AC327,AE327,AG327,AI327,AK327,AM327,AO327,AQ327,AS327,AU327,AW327,AY327,BA327)</f>
        <v>335975</v>
      </c>
      <c r="BE327" s="28" t="n">
        <f aca="false">BC327-BD327</f>
        <v>0</v>
      </c>
      <c r="BF327" s="32" t="n">
        <f aca="false">SUM(R327,T327,V327,X327,Z327,AB327,AD327,AF327,AH327,AJ327,AL327,AN327,AP327,AR327,AT327,AV327,AX327,AZ327)</f>
        <v>8399.36</v>
      </c>
      <c r="BG327" s="33" t="n">
        <f aca="false">BB327-BF327</f>
        <v>0</v>
      </c>
      <c r="BH327" s="34" t="n">
        <f aca="false">BF327*M327</f>
        <v>335974.4</v>
      </c>
      <c r="BI327" s="35" t="n">
        <f aca="false">BC327-BH327</f>
        <v>0.599999999976717</v>
      </c>
      <c r="BJ327" s="19" t="str">
        <f aca="false">IF(BI327=0,"",IF(BI327&lt;&gt;BC327,"erreur de calcul",IF(BF327&lt;&gt;0,"pas de prix",IF(M327&lt;&gt; 0,"pas de quantité","pas de prix, ni de quantité"))))</f>
        <v>erreur de calcul</v>
      </c>
      <c r="BK327" s="19"/>
    </row>
    <row r="328" customFormat="false" ht="16" hidden="false" customHeight="false" outlineLevel="0" collapsed="false">
      <c r="A328" s="0" t="n">
        <v>38</v>
      </c>
      <c r="B328" s="8" t="s">
        <v>24</v>
      </c>
      <c r="C328" s="9" t="s">
        <v>25</v>
      </c>
      <c r="D328" s="9" t="s">
        <v>26</v>
      </c>
      <c r="E328" s="10" t="n">
        <v>1789</v>
      </c>
      <c r="F328" s="9" t="s">
        <v>27</v>
      </c>
      <c r="G328" s="9" t="s">
        <v>27</v>
      </c>
      <c r="H328" s="11" t="n">
        <v>26</v>
      </c>
      <c r="I328" s="11" t="s">
        <v>409</v>
      </c>
      <c r="J328" s="14"/>
      <c r="K328" s="14" t="n">
        <v>13</v>
      </c>
      <c r="L328" s="16"/>
      <c r="M328" s="27" t="n">
        <f aca="false">J328+(K328/20)+(L328/240)</f>
        <v>0.65</v>
      </c>
      <c r="N328" s="17" t="s">
        <v>64</v>
      </c>
      <c r="O328" s="11"/>
      <c r="P328" s="28"/>
      <c r="Q328" s="28" t="str">
        <f aca="false">IF(O328&lt;&gt;"",P328*M328,"")</f>
        <v/>
      </c>
      <c r="R328" s="28"/>
      <c r="S328" s="28" t="n">
        <f aca="false">R328*$M328</f>
        <v>0</v>
      </c>
      <c r="T328" s="28"/>
      <c r="U328" s="28" t="n">
        <f aca="false">T328*$M328</f>
        <v>0</v>
      </c>
      <c r="V328" s="28"/>
      <c r="W328" s="28" t="n">
        <f aca="false">V328*$M328</f>
        <v>0</v>
      </c>
      <c r="X328" s="28"/>
      <c r="Y328" s="28" t="n">
        <f aca="false">X328*$M328</f>
        <v>0</v>
      </c>
      <c r="Z328" s="28"/>
      <c r="AA328" s="28" t="n">
        <f aca="false">Z328*$M328</f>
        <v>0</v>
      </c>
      <c r="AB328" s="28" t="n">
        <f aca="false">2471002/100</f>
        <v>24710.02</v>
      </c>
      <c r="AC328" s="28" t="n">
        <v>16061</v>
      </c>
      <c r="AD328" s="28"/>
      <c r="AE328" s="28" t="n">
        <f aca="false">AD328*$M328</f>
        <v>0</v>
      </c>
      <c r="AF328" s="28"/>
      <c r="AG328" s="28" t="n">
        <f aca="false">AF328*$M328</f>
        <v>0</v>
      </c>
      <c r="AH328" s="28"/>
      <c r="AI328" s="28" t="n">
        <f aca="false">AH328*$M328</f>
        <v>0</v>
      </c>
      <c r="AJ328" s="28"/>
      <c r="AK328" s="28" t="n">
        <f aca="false">AJ328*$M328</f>
        <v>0</v>
      </c>
      <c r="AL328" s="28"/>
      <c r="AM328" s="28" t="n">
        <f aca="false">AL328*$M328</f>
        <v>0</v>
      </c>
      <c r="AN328" s="28"/>
      <c r="AO328" s="28" t="n">
        <f aca="false">AN328*$M328</f>
        <v>0</v>
      </c>
      <c r="AP328" s="28"/>
      <c r="AQ328" s="28" t="n">
        <f aca="false">AP328*$M328</f>
        <v>0</v>
      </c>
      <c r="AR328" s="28"/>
      <c r="AS328" s="28" t="n">
        <f aca="false">AR328*$M328</f>
        <v>0</v>
      </c>
      <c r="AT328" s="28"/>
      <c r="AU328" s="28" t="n">
        <f aca="false">AT328*$M328</f>
        <v>0</v>
      </c>
      <c r="AV328" s="28"/>
      <c r="AW328" s="28" t="n">
        <f aca="false">AV328*$M328</f>
        <v>0</v>
      </c>
      <c r="AX328" s="28"/>
      <c r="AY328" s="28" t="n">
        <f aca="false">AX328*$M328</f>
        <v>0</v>
      </c>
      <c r="AZ328" s="28"/>
      <c r="BA328" s="28" t="n">
        <f aca="false">AZ328*$M328</f>
        <v>0</v>
      </c>
      <c r="BB328" s="30" t="n">
        <f aca="false">2471002</f>
        <v>2471002</v>
      </c>
      <c r="BC328" s="11" t="n">
        <v>16061</v>
      </c>
      <c r="BD328" s="31" t="n">
        <f aca="false">SUM(S328,U328,W328,Y328,AA328,AC328,AE328,AG328,AI328,AK328,AM328,AO328,AQ328,AS328,AU328,AW328,AY328,BA328)</f>
        <v>16061</v>
      </c>
      <c r="BE328" s="28" t="n">
        <f aca="false">BC328-BD328</f>
        <v>0</v>
      </c>
      <c r="BF328" s="32" t="n">
        <f aca="false">SUM(R328,T328,V328,X328,Z328,AB328,AD328,AF328,AH328,AJ328,AL328,AN328,AP328,AR328,AT328,AV328,AX328,AZ328)</f>
        <v>24710.02</v>
      </c>
      <c r="BG328" s="33" t="n">
        <f aca="false">BB328-BF328</f>
        <v>2446291.98</v>
      </c>
      <c r="BH328" s="34" t="n">
        <f aca="false">BF328*M328</f>
        <v>16061.513</v>
      </c>
      <c r="BI328" s="35" t="n">
        <f aca="false">BC328-BH328</f>
        <v>-0.513000000000829</v>
      </c>
      <c r="BJ328" s="19" t="str">
        <f aca="false">IF(BI328=0,"",IF(BI328&lt;&gt;BC328,"erreur de calcul",IF(BF328&lt;&gt;0,"pas de prix",IF(M328&lt;&gt; 0,"pas de quantité","pas de prix, ni de quantité"))))</f>
        <v>erreur de calcul</v>
      </c>
      <c r="BK328" s="19"/>
    </row>
    <row r="329" customFormat="false" ht="16" hidden="false" customHeight="false" outlineLevel="0" collapsed="false">
      <c r="A329" s="0" t="n">
        <v>39</v>
      </c>
      <c r="B329" s="8" t="s">
        <v>24</v>
      </c>
      <c r="C329" s="9" t="s">
        <v>25</v>
      </c>
      <c r="D329" s="9" t="s">
        <v>26</v>
      </c>
      <c r="E329" s="10" t="n">
        <v>1789</v>
      </c>
      <c r="F329" s="9" t="s">
        <v>27</v>
      </c>
      <c r="G329" s="9" t="s">
        <v>27</v>
      </c>
      <c r="H329" s="11" t="n">
        <v>26</v>
      </c>
      <c r="I329" s="11" t="s">
        <v>410</v>
      </c>
      <c r="J329" s="14" t="n">
        <v>10</v>
      </c>
      <c r="K329" s="14"/>
      <c r="L329" s="16"/>
      <c r="M329" s="27" t="n">
        <f aca="false">J329+(K329/20)+(L329/240)</f>
        <v>10</v>
      </c>
      <c r="N329" s="17" t="s">
        <v>64</v>
      </c>
      <c r="O329" s="11"/>
      <c r="P329" s="28"/>
      <c r="Q329" s="28" t="str">
        <f aca="false">IF(O329&lt;&gt;"",P329*M329,"")</f>
        <v/>
      </c>
      <c r="R329" s="28"/>
      <c r="S329" s="28" t="n">
        <f aca="false">R329*$M329</f>
        <v>0</v>
      </c>
      <c r="T329" s="28"/>
      <c r="U329" s="28" t="n">
        <f aca="false">T329*$M329</f>
        <v>0</v>
      </c>
      <c r="V329" s="28"/>
      <c r="W329" s="28" t="n">
        <f aca="false">V329*$M329</f>
        <v>0</v>
      </c>
      <c r="X329" s="28"/>
      <c r="Y329" s="28" t="n">
        <f aca="false">X329*$M329</f>
        <v>0</v>
      </c>
      <c r="Z329" s="28" t="n">
        <f aca="false">2481/100</f>
        <v>24.81</v>
      </c>
      <c r="AA329" s="28" t="n">
        <v>248</v>
      </c>
      <c r="AB329" s="28"/>
      <c r="AC329" s="28" t="n">
        <f aca="false">AB329*$M329</f>
        <v>0</v>
      </c>
      <c r="AD329" s="28"/>
      <c r="AE329" s="28" t="n">
        <f aca="false">AD329*$M329</f>
        <v>0</v>
      </c>
      <c r="AF329" s="28"/>
      <c r="AG329" s="28" t="n">
        <f aca="false">AF329*$M329</f>
        <v>0</v>
      </c>
      <c r="AH329" s="28"/>
      <c r="AI329" s="28" t="n">
        <f aca="false">AH329*$M329</f>
        <v>0</v>
      </c>
      <c r="AJ329" s="28"/>
      <c r="AK329" s="28" t="n">
        <f aca="false">AJ329*$M329</f>
        <v>0</v>
      </c>
      <c r="AL329" s="28"/>
      <c r="AM329" s="28" t="n">
        <f aca="false">AL329*$M329</f>
        <v>0</v>
      </c>
      <c r="AN329" s="28"/>
      <c r="AO329" s="28" t="n">
        <f aca="false">AN329*$M329</f>
        <v>0</v>
      </c>
      <c r="AP329" s="28"/>
      <c r="AQ329" s="28" t="n">
        <f aca="false">AP329*$M329</f>
        <v>0</v>
      </c>
      <c r="AR329" s="28"/>
      <c r="AS329" s="28" t="n">
        <f aca="false">AR329*$M329</f>
        <v>0</v>
      </c>
      <c r="AT329" s="28"/>
      <c r="AU329" s="28" t="n">
        <f aca="false">AT329*$M329</f>
        <v>0</v>
      </c>
      <c r="AV329" s="28"/>
      <c r="AW329" s="28" t="n">
        <f aca="false">AV329*$M329</f>
        <v>0</v>
      </c>
      <c r="AX329" s="28"/>
      <c r="AY329" s="28" t="n">
        <f aca="false">AX329*$M329</f>
        <v>0</v>
      </c>
      <c r="AZ329" s="28"/>
      <c r="BA329" s="28" t="n">
        <f aca="false">AZ329*$M329</f>
        <v>0</v>
      </c>
      <c r="BB329" s="30" t="n">
        <f aca="false">2481/100</f>
        <v>24.81</v>
      </c>
      <c r="BC329" s="11" t="n">
        <v>248</v>
      </c>
      <c r="BD329" s="31" t="n">
        <f aca="false">SUM(S329,U329,W329,Y329,AA329,AC329,AE329,AG329,AI329,AK329,AM329,AO329,AQ329,AS329,AU329,AW329,AY329,BA329)</f>
        <v>248</v>
      </c>
      <c r="BE329" s="28" t="n">
        <f aca="false">BC329-BD329</f>
        <v>0</v>
      </c>
      <c r="BF329" s="32" t="n">
        <f aca="false">SUM(R329,T329,V329,X329,Z329,AB329,AD329,AF329,AH329,AJ329,AL329,AN329,AP329,AR329,AT329,AV329,AX329,AZ329)</f>
        <v>24.81</v>
      </c>
      <c r="BG329" s="33" t="n">
        <f aca="false">BB329-BF329</f>
        <v>0</v>
      </c>
      <c r="BH329" s="34" t="n">
        <f aca="false">BF329*M329</f>
        <v>248.1</v>
      </c>
      <c r="BI329" s="35" t="n">
        <f aca="false">BC329-BH329</f>
        <v>-0.0999999999999943</v>
      </c>
      <c r="BJ329" s="19" t="str">
        <f aca="false">IF(BI329=0,"",IF(BI329&lt;&gt;BC329,"erreur de calcul",IF(BF329&lt;&gt;0,"pas de prix",IF(M329&lt;&gt; 0,"pas de quantité","pas de prix, ni de quantité"))))</f>
        <v>erreur de calcul</v>
      </c>
      <c r="BK329" s="19"/>
    </row>
    <row r="330" customFormat="false" ht="16" hidden="false" customHeight="false" outlineLevel="0" collapsed="false">
      <c r="A330" s="0" t="n">
        <v>40</v>
      </c>
      <c r="B330" s="8" t="s">
        <v>24</v>
      </c>
      <c r="C330" s="9" t="s">
        <v>25</v>
      </c>
      <c r="D330" s="9" t="s">
        <v>26</v>
      </c>
      <c r="E330" s="10" t="n">
        <v>1789</v>
      </c>
      <c r="F330" s="9" t="s">
        <v>27</v>
      </c>
      <c r="G330" s="9" t="s">
        <v>27</v>
      </c>
      <c r="H330" s="11" t="n">
        <v>26</v>
      </c>
      <c r="I330" s="11" t="s">
        <v>411</v>
      </c>
      <c r="J330" s="14" t="n">
        <v>5</v>
      </c>
      <c r="K330" s="14"/>
      <c r="L330" s="16"/>
      <c r="M330" s="27" t="n">
        <f aca="false">J330+(K330/20)+(L330/240)</f>
        <v>5</v>
      </c>
      <c r="N330" s="17" t="s">
        <v>66</v>
      </c>
      <c r="O330" s="11" t="s">
        <v>98</v>
      </c>
      <c r="P330" s="28" t="n">
        <v>1255</v>
      </c>
      <c r="Q330" s="28" t="n">
        <v>6275</v>
      </c>
      <c r="R330" s="28"/>
      <c r="S330" s="28" t="n">
        <f aca="false">R330*$M330</f>
        <v>0</v>
      </c>
      <c r="T330" s="28"/>
      <c r="U330" s="28" t="n">
        <f aca="false">T330*$M330</f>
        <v>0</v>
      </c>
      <c r="V330" s="28"/>
      <c r="W330" s="28" t="n">
        <f aca="false">V330*$M330</f>
        <v>0</v>
      </c>
      <c r="X330" s="28"/>
      <c r="Y330" s="28" t="n">
        <f aca="false">X330*$M330</f>
        <v>0</v>
      </c>
      <c r="Z330" s="28"/>
      <c r="AA330" s="28" t="n">
        <f aca="false">Z330*$M330</f>
        <v>0</v>
      </c>
      <c r="AB330" s="28"/>
      <c r="AC330" s="28" t="n">
        <f aca="false">AB330*$M330</f>
        <v>0</v>
      </c>
      <c r="AD330" s="28"/>
      <c r="AE330" s="28" t="n">
        <f aca="false">AD330*$M330</f>
        <v>0</v>
      </c>
      <c r="AF330" s="28"/>
      <c r="AG330" s="28" t="n">
        <f aca="false">AF330*$M330</f>
        <v>0</v>
      </c>
      <c r="AH330" s="28" t="n">
        <v>22</v>
      </c>
      <c r="AI330" s="28" t="n">
        <v>110</v>
      </c>
      <c r="AJ330" s="28" t="n">
        <v>2657</v>
      </c>
      <c r="AK330" s="28" t="n">
        <v>13285</v>
      </c>
      <c r="AL330" s="28"/>
      <c r="AM330" s="28" t="n">
        <f aca="false">AL330*$M330</f>
        <v>0</v>
      </c>
      <c r="AN330" s="28"/>
      <c r="AO330" s="28" t="n">
        <f aca="false">AN330*$M330</f>
        <v>0</v>
      </c>
      <c r="AP330" s="28"/>
      <c r="AQ330" s="28" t="n">
        <f aca="false">AP330*$M330</f>
        <v>0</v>
      </c>
      <c r="AR330" s="28"/>
      <c r="AS330" s="28" t="n">
        <f aca="false">AR330*$M330</f>
        <v>0</v>
      </c>
      <c r="AT330" s="28"/>
      <c r="AU330" s="28" t="n">
        <f aca="false">AT330*$M330</f>
        <v>0</v>
      </c>
      <c r="AV330" s="28"/>
      <c r="AW330" s="28" t="n">
        <f aca="false">AV330*$M330</f>
        <v>0</v>
      </c>
      <c r="AX330" s="28"/>
      <c r="AY330" s="28" t="n">
        <f aca="false">AX330*$M330</f>
        <v>0</v>
      </c>
      <c r="AZ330" s="28"/>
      <c r="BA330" s="28" t="n">
        <f aca="false">AZ330*$M330</f>
        <v>0</v>
      </c>
      <c r="BB330" s="30" t="n">
        <v>2679</v>
      </c>
      <c r="BC330" s="11" t="n">
        <v>13395</v>
      </c>
      <c r="BD330" s="31" t="n">
        <f aca="false">SUM(S330,U330,W330,Y330,AA330,AC330,AE330,AG330,AI330,AK330,AM330,AO330,AQ330,AS330,AU330,AW330,AY330,BA330)</f>
        <v>13395</v>
      </c>
      <c r="BE330" s="28" t="n">
        <f aca="false">BC330-BD330</f>
        <v>0</v>
      </c>
      <c r="BF330" s="32" t="n">
        <f aca="false">SUM(R330,T330,V330,X330,Z330,AB330,AD330,AF330,AH330,AJ330,AL330,AN330,AP330,AR330,AT330,AV330,AX330,AZ330)</f>
        <v>2679</v>
      </c>
      <c r="BG330" s="33" t="n">
        <f aca="false">BB330-BF330</f>
        <v>0</v>
      </c>
      <c r="BH330" s="34" t="n">
        <f aca="false">BF330*M330</f>
        <v>13395</v>
      </c>
      <c r="BI330" s="35" t="n">
        <f aca="false">BC330-BH330</f>
        <v>0</v>
      </c>
      <c r="BJ330" s="19" t="str">
        <f aca="false">IF(BI330=0,"",IF(BI330&lt;&gt;BC330,"erreur de calcul",IF(BF330&lt;&gt;0,"pas de prix",IF(M330&lt;&gt; 0,"pas de quantité","pas de prix, ni de quantité"))))</f>
        <v/>
      </c>
      <c r="BK330" s="19"/>
    </row>
    <row r="331" customFormat="false" ht="16" hidden="false" customHeight="false" outlineLevel="0" collapsed="false">
      <c r="A331" s="0" t="n">
        <v>1</v>
      </c>
      <c r="B331" s="8" t="s">
        <v>24</v>
      </c>
      <c r="C331" s="9" t="s">
        <v>25</v>
      </c>
      <c r="D331" s="9" t="s">
        <v>26</v>
      </c>
      <c r="E331" s="10" t="n">
        <v>1789</v>
      </c>
      <c r="F331" s="9" t="s">
        <v>27</v>
      </c>
      <c r="G331" s="9" t="s">
        <v>27</v>
      </c>
      <c r="H331" s="11" t="n">
        <v>27</v>
      </c>
      <c r="I331" s="11" t="s">
        <v>412</v>
      </c>
      <c r="J331" s="14" t="n">
        <v>7</v>
      </c>
      <c r="K331" s="14" t="n">
        <v>10</v>
      </c>
      <c r="L331" s="16"/>
      <c r="M331" s="27" t="n">
        <f aca="false">J331+(K331/20)+(L331/240)</f>
        <v>7.5</v>
      </c>
      <c r="N331" s="17" t="s">
        <v>64</v>
      </c>
      <c r="O331" s="11"/>
      <c r="P331" s="28"/>
      <c r="Q331" s="28" t="str">
        <f aca="false">IF(O331&lt;&gt;"",P331*M331,"")</f>
        <v/>
      </c>
      <c r="R331" s="28" t="n">
        <f aca="false">16667/100</f>
        <v>166.67</v>
      </c>
      <c r="S331" s="28" t="n">
        <v>1250</v>
      </c>
      <c r="T331" s="28"/>
      <c r="U331" s="28" t="n">
        <f aca="false">T331*$M331</f>
        <v>0</v>
      </c>
      <c r="V331" s="28"/>
      <c r="W331" s="28" t="n">
        <f aca="false">V331*$M331</f>
        <v>0</v>
      </c>
      <c r="X331" s="28" t="n">
        <f aca="false">407887/100</f>
        <v>4078.87</v>
      </c>
      <c r="Y331" s="28" t="n">
        <v>30591</v>
      </c>
      <c r="Z331" s="28" t="n">
        <f aca="false">4444/100</f>
        <v>44.44</v>
      </c>
      <c r="AA331" s="28" t="n">
        <v>333</v>
      </c>
      <c r="AB331" s="28" t="n">
        <f aca="false">16084/100</f>
        <v>160.84</v>
      </c>
      <c r="AC331" s="28" t="n">
        <v>1206</v>
      </c>
      <c r="AD331" s="28" t="n">
        <f aca="false">20834/100</f>
        <v>208.34</v>
      </c>
      <c r="AE331" s="28" t="n">
        <v>1562</v>
      </c>
      <c r="AF331" s="28"/>
      <c r="AG331" s="28" t="n">
        <f aca="false">AF331*$M331</f>
        <v>0</v>
      </c>
      <c r="AH331" s="28"/>
      <c r="AI331" s="28" t="n">
        <f aca="false">AH331*$M331</f>
        <v>0</v>
      </c>
      <c r="AJ331" s="28"/>
      <c r="AK331" s="28" t="n">
        <f aca="false">AJ331*$M331</f>
        <v>0</v>
      </c>
      <c r="AL331" s="28"/>
      <c r="AM331" s="28" t="n">
        <f aca="false">AL331*$M331</f>
        <v>0</v>
      </c>
      <c r="AN331" s="28"/>
      <c r="AO331" s="28" t="n">
        <f aca="false">AN331*$M331</f>
        <v>0</v>
      </c>
      <c r="AP331" s="28"/>
      <c r="AQ331" s="28" t="n">
        <f aca="false">AP331*$M331</f>
        <v>0</v>
      </c>
      <c r="AR331" s="28"/>
      <c r="AS331" s="28" t="n">
        <f aca="false">AR331*$M331</f>
        <v>0</v>
      </c>
      <c r="AT331" s="28"/>
      <c r="AU331" s="28" t="n">
        <f aca="false">AT331*$M331</f>
        <v>0</v>
      </c>
      <c r="AV331" s="28"/>
      <c r="AW331" s="28" t="n">
        <f aca="false">AV331*$M331</f>
        <v>0</v>
      </c>
      <c r="AX331" s="28"/>
      <c r="AY331" s="28" t="n">
        <f aca="false">AX331*$M331</f>
        <v>0</v>
      </c>
      <c r="AZ331" s="28"/>
      <c r="BA331" s="28" t="n">
        <f aca="false">AZ331*$M331</f>
        <v>0</v>
      </c>
      <c r="BB331" s="30" t="n">
        <f aca="false">465916/100</f>
        <v>4659.16</v>
      </c>
      <c r="BC331" s="11" t="n">
        <v>34942</v>
      </c>
      <c r="BD331" s="31" t="n">
        <f aca="false">SUM(S331,U331,W331,Y331,AA331,AC331,AE331,AG331,AI331,AK331,AM331,AO331,AQ331,AS331,AU331,AW331,AY331,BA331)</f>
        <v>34942</v>
      </c>
      <c r="BE331" s="28" t="n">
        <f aca="false">BC331-BD331</f>
        <v>0</v>
      </c>
      <c r="BF331" s="32" t="n">
        <f aca="false">SUM(R331,T331,V331,X331,Z331,AB331,AD331,AF331,AH331,AJ331,AL331,AN331,AP331,AR331,AT331,AV331,AX331,AZ331)</f>
        <v>4659.16</v>
      </c>
      <c r="BG331" s="33" t="n">
        <f aca="false">BB331-BF331</f>
        <v>0</v>
      </c>
      <c r="BH331" s="34" t="n">
        <f aca="false">BF331*M331</f>
        <v>34943.7</v>
      </c>
      <c r="BI331" s="35" t="n">
        <f aca="false">BC331-BH331</f>
        <v>-1.69999999999709</v>
      </c>
      <c r="BJ331" s="19" t="str">
        <f aca="false">IF(BI331=0,"",IF(BI331&lt;&gt;BC331,"erreur de calcul",IF(BF331&lt;&gt;0,"pas de prix",IF(M331&lt;&gt; 0,"pas de quantité","pas de prix, ni de quantité"))))</f>
        <v>erreur de calcul</v>
      </c>
      <c r="BK331" s="19"/>
    </row>
    <row r="332" customFormat="false" ht="16" hidden="false" customHeight="false" outlineLevel="0" collapsed="false">
      <c r="A332" s="0" t="n">
        <v>2</v>
      </c>
      <c r="B332" s="8" t="s">
        <v>24</v>
      </c>
      <c r="C332" s="9" t="s">
        <v>25</v>
      </c>
      <c r="D332" s="9" t="s">
        <v>26</v>
      </c>
      <c r="E332" s="10" t="n">
        <v>1789</v>
      </c>
      <c r="F332" s="9" t="s">
        <v>27</v>
      </c>
      <c r="G332" s="9" t="s">
        <v>27</v>
      </c>
      <c r="H332" s="11" t="n">
        <v>27</v>
      </c>
      <c r="I332" s="11" t="s">
        <v>413</v>
      </c>
      <c r="J332" s="14" t="n">
        <v>3</v>
      </c>
      <c r="K332" s="14"/>
      <c r="L332" s="16"/>
      <c r="M332" s="27" t="n">
        <f aca="false">J332+(K332/20)+(L332/240)</f>
        <v>3</v>
      </c>
      <c r="N332" s="17" t="s">
        <v>66</v>
      </c>
      <c r="O332" s="11"/>
      <c r="P332" s="28"/>
      <c r="Q332" s="28" t="str">
        <f aca="false">IF(O332&lt;&gt;"",P332*M332,"")</f>
        <v/>
      </c>
      <c r="R332" s="28"/>
      <c r="S332" s="28" t="n">
        <f aca="false">R332*$M332</f>
        <v>0</v>
      </c>
      <c r="T332" s="28"/>
      <c r="U332" s="28" t="n">
        <f aca="false">T332*$M332</f>
        <v>0</v>
      </c>
      <c r="V332" s="28"/>
      <c r="W332" s="28" t="n">
        <f aca="false">V332*$M332</f>
        <v>0</v>
      </c>
      <c r="X332" s="28"/>
      <c r="Y332" s="28" t="n">
        <f aca="false">X332*$M332</f>
        <v>0</v>
      </c>
      <c r="Z332" s="28"/>
      <c r="AA332" s="28" t="n">
        <f aca="false">Z332*$M332</f>
        <v>0</v>
      </c>
      <c r="AB332" s="28"/>
      <c r="AC332" s="28" t="n">
        <f aca="false">AB332*$M332</f>
        <v>0</v>
      </c>
      <c r="AD332" s="28"/>
      <c r="AE332" s="28" t="n">
        <f aca="false">AD332*$M332</f>
        <v>0</v>
      </c>
      <c r="AF332" s="28"/>
      <c r="AG332" s="28" t="n">
        <f aca="false">AF332*$M332</f>
        <v>0</v>
      </c>
      <c r="AH332" s="28"/>
      <c r="AI332" s="28" t="n">
        <f aca="false">AH332*$M332</f>
        <v>0</v>
      </c>
      <c r="AJ332" s="28" t="n">
        <v>58272</v>
      </c>
      <c r="AK332" s="28" t="n">
        <v>174816</v>
      </c>
      <c r="AL332" s="28"/>
      <c r="AM332" s="28" t="n">
        <f aca="false">AL332*$M332</f>
        <v>0</v>
      </c>
      <c r="AN332" s="28"/>
      <c r="AO332" s="28" t="n">
        <f aca="false">AN332*$M332</f>
        <v>0</v>
      </c>
      <c r="AP332" s="28"/>
      <c r="AQ332" s="28" t="n">
        <f aca="false">AP332*$M332</f>
        <v>0</v>
      </c>
      <c r="AR332" s="28"/>
      <c r="AS332" s="28" t="n">
        <f aca="false">AR332*$M332</f>
        <v>0</v>
      </c>
      <c r="AT332" s="28"/>
      <c r="AU332" s="28" t="n">
        <f aca="false">AT332*$M332</f>
        <v>0</v>
      </c>
      <c r="AV332" s="28"/>
      <c r="AW332" s="28" t="n">
        <f aca="false">AV332*$M332</f>
        <v>0</v>
      </c>
      <c r="AX332" s="28"/>
      <c r="AY332" s="28" t="n">
        <f aca="false">AX332*$M332</f>
        <v>0</v>
      </c>
      <c r="AZ332" s="28"/>
      <c r="BA332" s="28" t="n">
        <f aca="false">AZ332*$M332</f>
        <v>0</v>
      </c>
      <c r="BB332" s="30" t="n">
        <f aca="false">58272</f>
        <v>58272</v>
      </c>
      <c r="BC332" s="11" t="n">
        <v>174816</v>
      </c>
      <c r="BD332" s="31" t="n">
        <f aca="false">SUM(S332,U332,W332,Y332,AA332,AC332,AE332,AG332,AI332,AK332,AM332,AO332,AQ332,AS332,AU332,AW332,AY332,BA332)</f>
        <v>174816</v>
      </c>
      <c r="BE332" s="28" t="n">
        <f aca="false">BC332-BD332</f>
        <v>0</v>
      </c>
      <c r="BF332" s="32" t="n">
        <f aca="false">SUM(R332,T332,V332,X332,Z332,AB332,AD332,AF332,AH332,AJ332,AL332,AN332,AP332,AR332,AT332,AV332,AX332,AZ332)</f>
        <v>58272</v>
      </c>
      <c r="BG332" s="33" t="n">
        <f aca="false">BB332-BF332</f>
        <v>0</v>
      </c>
      <c r="BH332" s="34" t="n">
        <f aca="false">BF332*M332</f>
        <v>174816</v>
      </c>
      <c r="BI332" s="35" t="n">
        <f aca="false">BC332-BH332</f>
        <v>0</v>
      </c>
      <c r="BJ332" s="19" t="str">
        <f aca="false">IF(BI332=0,"",IF(BI332&lt;&gt;BC332,"erreur de calcul",IF(BF332&lt;&gt;0,"pas de prix",IF(M332&lt;&gt; 0,"pas de quantité","pas de prix, ni de quantité"))))</f>
        <v/>
      </c>
      <c r="BK332" s="19"/>
    </row>
    <row r="333" customFormat="false" ht="16" hidden="false" customHeight="false" outlineLevel="0" collapsed="false">
      <c r="A333" s="0" t="n">
        <v>3</v>
      </c>
      <c r="B333" s="8" t="s">
        <v>24</v>
      </c>
      <c r="C333" s="9" t="s">
        <v>25</v>
      </c>
      <c r="D333" s="9" t="s">
        <v>26</v>
      </c>
      <c r="E333" s="10" t="n">
        <v>1789</v>
      </c>
      <c r="F333" s="9" t="s">
        <v>27</v>
      </c>
      <c r="G333" s="9" t="s">
        <v>27</v>
      </c>
      <c r="H333" s="11" t="n">
        <v>27</v>
      </c>
      <c r="I333" s="11" t="s">
        <v>414</v>
      </c>
      <c r="J333" s="14" t="n">
        <v>3</v>
      </c>
      <c r="K333" s="14"/>
      <c r="L333" s="16"/>
      <c r="M333" s="27" t="n">
        <f aca="false">J333+(K333/20)+(L333/240)</f>
        <v>3</v>
      </c>
      <c r="N333" s="17" t="s">
        <v>66</v>
      </c>
      <c r="O333" s="11" t="s">
        <v>98</v>
      </c>
      <c r="P333" s="28" t="n">
        <v>2300</v>
      </c>
      <c r="Q333" s="28" t="n">
        <v>6900</v>
      </c>
      <c r="R333" s="28"/>
      <c r="S333" s="28" t="n">
        <f aca="false">R333*$M333</f>
        <v>0</v>
      </c>
      <c r="T333" s="28"/>
      <c r="U333" s="28" t="n">
        <f aca="false">T333*$M333</f>
        <v>0</v>
      </c>
      <c r="V333" s="28"/>
      <c r="W333" s="28" t="n">
        <f aca="false">V333*$M333</f>
        <v>0</v>
      </c>
      <c r="X333" s="28"/>
      <c r="Y333" s="28" t="n">
        <f aca="false">X333*$M333</f>
        <v>0</v>
      </c>
      <c r="Z333" s="28"/>
      <c r="AA333" s="28" t="n">
        <f aca="false">Z333*$M333</f>
        <v>0</v>
      </c>
      <c r="AB333" s="28"/>
      <c r="AC333" s="28" t="n">
        <f aca="false">AB333*$M333</f>
        <v>0</v>
      </c>
      <c r="AD333" s="28"/>
      <c r="AE333" s="28" t="n">
        <f aca="false">AD333*$M333</f>
        <v>0</v>
      </c>
      <c r="AF333" s="28"/>
      <c r="AG333" s="28" t="n">
        <f aca="false">AF333*$M333</f>
        <v>0</v>
      </c>
      <c r="AH333" s="28"/>
      <c r="AI333" s="28" t="n">
        <f aca="false">AH333*$M333</f>
        <v>0</v>
      </c>
      <c r="AJ333" s="28" t="n">
        <v>110560</v>
      </c>
      <c r="AK333" s="28" t="n">
        <v>331680</v>
      </c>
      <c r="AL333" s="28"/>
      <c r="AM333" s="28" t="n">
        <f aca="false">AL333*$M333</f>
        <v>0</v>
      </c>
      <c r="AN333" s="28"/>
      <c r="AO333" s="28" t="n">
        <f aca="false">AN333*$M333</f>
        <v>0</v>
      </c>
      <c r="AP333" s="28"/>
      <c r="AQ333" s="28" t="n">
        <f aca="false">AP333*$M333</f>
        <v>0</v>
      </c>
      <c r="AR333" s="28"/>
      <c r="AS333" s="28" t="n">
        <f aca="false">AR333*$M333</f>
        <v>0</v>
      </c>
      <c r="AT333" s="28"/>
      <c r="AU333" s="28" t="n">
        <f aca="false">AT333*$M333</f>
        <v>0</v>
      </c>
      <c r="AV333" s="28"/>
      <c r="AW333" s="28" t="n">
        <f aca="false">AV333*$M333</f>
        <v>0</v>
      </c>
      <c r="AX333" s="28"/>
      <c r="AY333" s="28" t="n">
        <f aca="false">AX333*$M333</f>
        <v>0</v>
      </c>
      <c r="AZ333" s="28"/>
      <c r="BA333" s="28" t="n">
        <f aca="false">AZ333*$M333</f>
        <v>0</v>
      </c>
      <c r="BB333" s="30" t="n">
        <v>110560</v>
      </c>
      <c r="BC333" s="11" t="n">
        <v>331680</v>
      </c>
      <c r="BD333" s="31" t="n">
        <f aca="false">SUM(S333,U333,W333,Y333,AA333,AC333,AE333,AG333,AI333,AK333,AM333,AO333,AQ333,AS333,AU333,AW333,AY333,BA333)</f>
        <v>331680</v>
      </c>
      <c r="BE333" s="28" t="n">
        <f aca="false">BC333-BD333</f>
        <v>0</v>
      </c>
      <c r="BF333" s="32" t="n">
        <f aca="false">SUM(R333,T333,V333,X333,Z333,AB333,AD333,AF333,AH333,AJ333,AL333,AN333,AP333,AR333,AT333,AV333,AX333,AZ333)</f>
        <v>110560</v>
      </c>
      <c r="BG333" s="33" t="n">
        <f aca="false">BB333-BF333</f>
        <v>0</v>
      </c>
      <c r="BH333" s="34" t="n">
        <f aca="false">BF333*M333</f>
        <v>331680</v>
      </c>
      <c r="BI333" s="35" t="n">
        <f aca="false">BC333-BH333</f>
        <v>0</v>
      </c>
      <c r="BJ333" s="19" t="str">
        <f aca="false">IF(BI333=0,"",IF(BI333&lt;&gt;BC333,"erreur de calcul",IF(BF333&lt;&gt;0,"pas de prix",IF(M333&lt;&gt; 0,"pas de quantité","pas de prix, ni de quantité"))))</f>
        <v/>
      </c>
      <c r="BK333" s="19"/>
    </row>
    <row r="334" customFormat="false" ht="16" hidden="false" customHeight="false" outlineLevel="0" collapsed="false">
      <c r="A334" s="0" t="n">
        <v>4</v>
      </c>
      <c r="B334" s="8" t="s">
        <v>24</v>
      </c>
      <c r="C334" s="9" t="s">
        <v>25</v>
      </c>
      <c r="D334" s="9" t="s">
        <v>26</v>
      </c>
      <c r="E334" s="10" t="n">
        <v>1789</v>
      </c>
      <c r="F334" s="9" t="s">
        <v>27</v>
      </c>
      <c r="G334" s="9" t="s">
        <v>27</v>
      </c>
      <c r="H334" s="11" t="n">
        <v>27</v>
      </c>
      <c r="I334" s="11" t="s">
        <v>415</v>
      </c>
      <c r="J334" s="14" t="n">
        <v>3</v>
      </c>
      <c r="K334" s="14" t="n">
        <v>10</v>
      </c>
      <c r="L334" s="16"/>
      <c r="M334" s="27" t="n">
        <f aca="false">J334+(K334/20)+(L334/240)</f>
        <v>3.5</v>
      </c>
      <c r="N334" s="17" t="s">
        <v>66</v>
      </c>
      <c r="O334" s="11" t="s">
        <v>98</v>
      </c>
      <c r="P334" s="28" t="n">
        <v>3596</v>
      </c>
      <c r="Q334" s="28" t="n">
        <v>12586</v>
      </c>
      <c r="R334" s="28"/>
      <c r="S334" s="28" t="n">
        <f aca="false">R334*$M334</f>
        <v>0</v>
      </c>
      <c r="T334" s="28"/>
      <c r="U334" s="28" t="n">
        <f aca="false">T334*$M334</f>
        <v>0</v>
      </c>
      <c r="V334" s="28"/>
      <c r="W334" s="28" t="n">
        <f aca="false">V334*$M334</f>
        <v>0</v>
      </c>
      <c r="X334" s="28"/>
      <c r="Y334" s="28" t="n">
        <f aca="false">X334*$M334</f>
        <v>0</v>
      </c>
      <c r="Z334" s="28" t="n">
        <v>218</v>
      </c>
      <c r="AA334" s="28" t="n">
        <v>763</v>
      </c>
      <c r="AB334" s="28"/>
      <c r="AC334" s="28" t="n">
        <f aca="false">AB334*$M334</f>
        <v>0</v>
      </c>
      <c r="AD334" s="28"/>
      <c r="AE334" s="28" t="n">
        <f aca="false">AD334*$M334</f>
        <v>0</v>
      </c>
      <c r="AF334" s="28"/>
      <c r="AG334" s="28" t="n">
        <f aca="false">AF334*$M334</f>
        <v>0</v>
      </c>
      <c r="AH334" s="28"/>
      <c r="AI334" s="28" t="n">
        <f aca="false">AH334*$M334</f>
        <v>0</v>
      </c>
      <c r="AJ334" s="28" t="n">
        <v>25905</v>
      </c>
      <c r="AK334" s="28" t="n">
        <v>90667</v>
      </c>
      <c r="AL334" s="28"/>
      <c r="AM334" s="28" t="n">
        <f aca="false">AL334*$M334</f>
        <v>0</v>
      </c>
      <c r="AN334" s="28"/>
      <c r="AO334" s="28" t="n">
        <f aca="false">AN334*$M334</f>
        <v>0</v>
      </c>
      <c r="AP334" s="28"/>
      <c r="AQ334" s="28" t="n">
        <f aca="false">AP334*$M334</f>
        <v>0</v>
      </c>
      <c r="AR334" s="28"/>
      <c r="AS334" s="28" t="n">
        <f aca="false">AR334*$M334</f>
        <v>0</v>
      </c>
      <c r="AT334" s="28"/>
      <c r="AU334" s="28" t="n">
        <f aca="false">AT334*$M334</f>
        <v>0</v>
      </c>
      <c r="AV334" s="28"/>
      <c r="AW334" s="28" t="n">
        <f aca="false">AV334*$M334</f>
        <v>0</v>
      </c>
      <c r="AX334" s="28"/>
      <c r="AY334" s="28" t="n">
        <f aca="false">AX334*$M334</f>
        <v>0</v>
      </c>
      <c r="AZ334" s="28"/>
      <c r="BA334" s="28" t="n">
        <f aca="false">AZ334*$M334</f>
        <v>0</v>
      </c>
      <c r="BB334" s="30" t="n">
        <v>26123</v>
      </c>
      <c r="BC334" s="11" t="n">
        <v>91430</v>
      </c>
      <c r="BD334" s="31" t="n">
        <f aca="false">SUM(S334,U334,W334,Y334,AA334,AC334,AE334,AG334,AI334,AK334,AM334,AO334,AQ334,AS334,AU334,AW334,AY334,BA334)</f>
        <v>91430</v>
      </c>
      <c r="BE334" s="28" t="n">
        <f aca="false">BC334-BD334</f>
        <v>0</v>
      </c>
      <c r="BF334" s="32" t="n">
        <f aca="false">SUM(R334,T334,V334,X334,Z334,AB334,AD334,AF334,AH334,AJ334,AL334,AN334,AP334,AR334,AT334,AV334,AX334,AZ334)</f>
        <v>26123</v>
      </c>
      <c r="BG334" s="33" t="n">
        <f aca="false">BB334-BF334</f>
        <v>0</v>
      </c>
      <c r="BH334" s="34" t="n">
        <f aca="false">BF334*M334</f>
        <v>91430.5</v>
      </c>
      <c r="BI334" s="35" t="n">
        <f aca="false">BC334-BH334</f>
        <v>-0.5</v>
      </c>
      <c r="BJ334" s="19" t="str">
        <f aca="false">IF(BI334=0,"",IF(BI334&lt;&gt;BC334,"erreur de calcul",IF(BF334&lt;&gt;0,"pas de prix",IF(M334&lt;&gt; 0,"pas de quantité","pas de prix, ni de quantité"))))</f>
        <v>erreur de calcul</v>
      </c>
      <c r="BK334" s="19"/>
    </row>
    <row r="335" customFormat="false" ht="16" hidden="false" customHeight="false" outlineLevel="0" collapsed="false">
      <c r="A335" s="0" t="n">
        <v>5</v>
      </c>
      <c r="B335" s="8" t="s">
        <v>24</v>
      </c>
      <c r="C335" s="9" t="s">
        <v>25</v>
      </c>
      <c r="D335" s="9" t="s">
        <v>26</v>
      </c>
      <c r="E335" s="10" t="n">
        <v>1789</v>
      </c>
      <c r="F335" s="9" t="s">
        <v>27</v>
      </c>
      <c r="G335" s="9" t="s">
        <v>27</v>
      </c>
      <c r="H335" s="11" t="n">
        <v>27</v>
      </c>
      <c r="I335" s="11" t="s">
        <v>416</v>
      </c>
      <c r="J335" s="14"/>
      <c r="K335" s="14" t="n">
        <v>30</v>
      </c>
      <c r="L335" s="16"/>
      <c r="M335" s="27" t="n">
        <f aca="false">J335+(K335/20)+(L335/240)</f>
        <v>1.5</v>
      </c>
      <c r="N335" s="17" t="s">
        <v>66</v>
      </c>
      <c r="O335" s="11"/>
      <c r="P335" s="28"/>
      <c r="Q335" s="28" t="str">
        <f aca="false">IF(O335&lt;&gt;"",P335*M335,"")</f>
        <v/>
      </c>
      <c r="R335" s="28"/>
      <c r="S335" s="28" t="n">
        <f aca="false">R335*$M335</f>
        <v>0</v>
      </c>
      <c r="T335" s="28"/>
      <c r="U335" s="28" t="n">
        <f aca="false">T335*$M335</f>
        <v>0</v>
      </c>
      <c r="V335" s="28"/>
      <c r="W335" s="28" t="n">
        <f aca="false">V335*$M335</f>
        <v>0</v>
      </c>
      <c r="X335" s="28"/>
      <c r="Y335" s="28" t="n">
        <f aca="false">X335*$M335</f>
        <v>0</v>
      </c>
      <c r="Z335" s="28"/>
      <c r="AA335" s="28" t="n">
        <f aca="false">Z335*$M335</f>
        <v>0</v>
      </c>
      <c r="AB335" s="28"/>
      <c r="AC335" s="28" t="n">
        <f aca="false">AB335*$M335</f>
        <v>0</v>
      </c>
      <c r="AD335" s="28"/>
      <c r="AE335" s="28" t="n">
        <f aca="false">AD335*$M335</f>
        <v>0</v>
      </c>
      <c r="AF335" s="28"/>
      <c r="AG335" s="28" t="n">
        <f aca="false">AF335*$M335</f>
        <v>0</v>
      </c>
      <c r="AH335" s="28"/>
      <c r="AI335" s="28" t="n">
        <f aca="false">AH335*$M335</f>
        <v>0</v>
      </c>
      <c r="AJ335" s="28" t="n">
        <v>75870</v>
      </c>
      <c r="AK335" s="28" t="n">
        <v>113805</v>
      </c>
      <c r="AL335" s="28"/>
      <c r="AM335" s="28" t="n">
        <f aca="false">AL335*$M335</f>
        <v>0</v>
      </c>
      <c r="AN335" s="28"/>
      <c r="AO335" s="28" t="n">
        <f aca="false">AN335*$M335</f>
        <v>0</v>
      </c>
      <c r="AP335" s="28"/>
      <c r="AQ335" s="28" t="n">
        <f aca="false">AP335*$M335</f>
        <v>0</v>
      </c>
      <c r="AR335" s="28"/>
      <c r="AS335" s="28" t="n">
        <f aca="false">AR335*$M335</f>
        <v>0</v>
      </c>
      <c r="AT335" s="28"/>
      <c r="AU335" s="28" t="n">
        <f aca="false">AT335*$M335</f>
        <v>0</v>
      </c>
      <c r="AV335" s="28"/>
      <c r="AW335" s="28" t="n">
        <f aca="false">AV335*$M335</f>
        <v>0</v>
      </c>
      <c r="AX335" s="28"/>
      <c r="AY335" s="28" t="n">
        <f aca="false">AX335*$M335</f>
        <v>0</v>
      </c>
      <c r="AZ335" s="28"/>
      <c r="BA335" s="28" t="n">
        <f aca="false">AZ335*$M335</f>
        <v>0</v>
      </c>
      <c r="BB335" s="30" t="n">
        <v>75870</v>
      </c>
      <c r="BC335" s="11" t="n">
        <v>113805</v>
      </c>
      <c r="BD335" s="31" t="n">
        <f aca="false">SUM(S335,U335,W335,Y335,AA335,AC335,AE335,AG335,AI335,AK335,AM335,AO335,AQ335,AS335,AU335,AW335,AY335,BA335)</f>
        <v>113805</v>
      </c>
      <c r="BE335" s="28" t="n">
        <f aca="false">BC335-BD335</f>
        <v>0</v>
      </c>
      <c r="BF335" s="32" t="n">
        <f aca="false">SUM(R335,T335,V335,X335,Z335,AB335,AD335,AF335,AH335,AJ335,AL335,AN335,AP335,AR335,AT335,AV335,AX335,AZ335)</f>
        <v>75870</v>
      </c>
      <c r="BG335" s="33" t="n">
        <f aca="false">BB335-BF335</f>
        <v>0</v>
      </c>
      <c r="BH335" s="34" t="n">
        <f aca="false">BF335*M335</f>
        <v>113805</v>
      </c>
      <c r="BI335" s="35" t="n">
        <f aca="false">BC335-BH335</f>
        <v>0</v>
      </c>
      <c r="BJ335" s="19" t="str">
        <f aca="false">IF(BI335=0,"",IF(BI335&lt;&gt;BC335,"erreur de calcul",IF(BF335&lt;&gt;0,"pas de prix",IF(M335&lt;&gt; 0,"pas de quantité","pas de prix, ni de quantité"))))</f>
        <v/>
      </c>
      <c r="BK335" s="19"/>
    </row>
    <row r="336" customFormat="false" ht="16" hidden="false" customHeight="false" outlineLevel="0" collapsed="false">
      <c r="A336" s="0" t="n">
        <v>6</v>
      </c>
      <c r="B336" s="8" t="s">
        <v>24</v>
      </c>
      <c r="C336" s="9" t="s">
        <v>25</v>
      </c>
      <c r="D336" s="9" t="s">
        <v>26</v>
      </c>
      <c r="E336" s="10" t="n">
        <v>1789</v>
      </c>
      <c r="F336" s="9" t="s">
        <v>27</v>
      </c>
      <c r="G336" s="9" t="s">
        <v>27</v>
      </c>
      <c r="H336" s="11" t="n">
        <v>27</v>
      </c>
      <c r="I336" s="11" t="s">
        <v>417</v>
      </c>
      <c r="J336" s="14" t="n">
        <v>3</v>
      </c>
      <c r="K336" s="14"/>
      <c r="L336" s="16"/>
      <c r="M336" s="27" t="n">
        <f aca="false">J336+(K336/20)+(L336/240)</f>
        <v>3</v>
      </c>
      <c r="N336" s="17" t="s">
        <v>66</v>
      </c>
      <c r="O336" s="11"/>
      <c r="P336" s="28"/>
      <c r="Q336" s="28" t="str">
        <f aca="false">IF(O336&lt;&gt;"",P336*M336,"")</f>
        <v/>
      </c>
      <c r="R336" s="28"/>
      <c r="S336" s="28" t="n">
        <f aca="false">R336*$M336</f>
        <v>0</v>
      </c>
      <c r="T336" s="28"/>
      <c r="U336" s="28" t="n">
        <f aca="false">T336*$M336</f>
        <v>0</v>
      </c>
      <c r="V336" s="28"/>
      <c r="W336" s="28" t="n">
        <f aca="false">V336*$M336</f>
        <v>0</v>
      </c>
      <c r="X336" s="28"/>
      <c r="Y336" s="28" t="n">
        <f aca="false">X336*$M336</f>
        <v>0</v>
      </c>
      <c r="Z336" s="28"/>
      <c r="AA336" s="28" t="n">
        <f aca="false">Z336*$M336</f>
        <v>0</v>
      </c>
      <c r="AB336" s="28"/>
      <c r="AC336" s="28" t="n">
        <f aca="false">AB336*$M336</f>
        <v>0</v>
      </c>
      <c r="AD336" s="28"/>
      <c r="AE336" s="28" t="n">
        <f aca="false">AD336*$M336</f>
        <v>0</v>
      </c>
      <c r="AF336" s="28"/>
      <c r="AG336" s="28" t="n">
        <f aca="false">AF336*$M336</f>
        <v>0</v>
      </c>
      <c r="AH336" s="28"/>
      <c r="AI336" s="28" t="n">
        <f aca="false">AH336*$M336</f>
        <v>0</v>
      </c>
      <c r="AJ336" s="28" t="n">
        <v>121588</v>
      </c>
      <c r="AK336" s="28" t="n">
        <v>364764</v>
      </c>
      <c r="AL336" s="28"/>
      <c r="AM336" s="28" t="n">
        <f aca="false">AL336*$M336</f>
        <v>0</v>
      </c>
      <c r="AN336" s="28"/>
      <c r="AO336" s="28" t="n">
        <f aca="false">AN336*$M336</f>
        <v>0</v>
      </c>
      <c r="AP336" s="28"/>
      <c r="AQ336" s="28" t="n">
        <f aca="false">AP336*$M336</f>
        <v>0</v>
      </c>
      <c r="AR336" s="28"/>
      <c r="AS336" s="28" t="n">
        <f aca="false">AR336*$M336</f>
        <v>0</v>
      </c>
      <c r="AT336" s="28"/>
      <c r="AU336" s="28" t="n">
        <f aca="false">AT336*$M336</f>
        <v>0</v>
      </c>
      <c r="AV336" s="28"/>
      <c r="AW336" s="28" t="n">
        <f aca="false">AV336*$M336</f>
        <v>0</v>
      </c>
      <c r="AX336" s="28"/>
      <c r="AY336" s="28" t="n">
        <f aca="false">AX336*$M336</f>
        <v>0</v>
      </c>
      <c r="AZ336" s="28"/>
      <c r="BA336" s="28" t="n">
        <f aca="false">AZ336*$M336</f>
        <v>0</v>
      </c>
      <c r="BB336" s="30" t="n">
        <v>121588</v>
      </c>
      <c r="BC336" s="11" t="n">
        <v>364764</v>
      </c>
      <c r="BD336" s="31" t="n">
        <f aca="false">SUM(S336,U336,W336,Y336,AA336,AC336,AE336,AG336,AI336,AK336,AM336,AO336,AQ336,AS336,AU336,AW336,AY336,BA336)</f>
        <v>364764</v>
      </c>
      <c r="BE336" s="28" t="n">
        <f aca="false">BC336-BD336</f>
        <v>0</v>
      </c>
      <c r="BF336" s="32" t="n">
        <f aca="false">SUM(R336,T336,V336,X336,Z336,AB336,AD336,AF336,AH336,AJ336,AL336,AN336,AP336,AR336,AT336,AV336,AX336,AZ336)</f>
        <v>121588</v>
      </c>
      <c r="BG336" s="33" t="n">
        <f aca="false">BB336-BF336</f>
        <v>0</v>
      </c>
      <c r="BH336" s="34" t="n">
        <f aca="false">BF336*M336</f>
        <v>364764</v>
      </c>
      <c r="BI336" s="35" t="n">
        <f aca="false">BC336-BH336</f>
        <v>0</v>
      </c>
      <c r="BJ336" s="19" t="str">
        <f aca="false">IF(BI336=0,"",IF(BI336&lt;&gt;BC336,"erreur de calcul",IF(BF336&lt;&gt;0,"pas de prix",IF(M336&lt;&gt; 0,"pas de quantité","pas de prix, ni de quantité"))))</f>
        <v/>
      </c>
      <c r="BK336" s="19"/>
    </row>
    <row r="337" customFormat="false" ht="16" hidden="false" customHeight="false" outlineLevel="0" collapsed="false">
      <c r="A337" s="0" t="n">
        <v>7</v>
      </c>
      <c r="B337" s="8" t="s">
        <v>24</v>
      </c>
      <c r="C337" s="9" t="s">
        <v>25</v>
      </c>
      <c r="D337" s="9" t="s">
        <v>26</v>
      </c>
      <c r="E337" s="10" t="n">
        <v>1789</v>
      </c>
      <c r="F337" s="9" t="s">
        <v>27</v>
      </c>
      <c r="G337" s="9" t="s">
        <v>27</v>
      </c>
      <c r="H337" s="11" t="n">
        <v>27</v>
      </c>
      <c r="I337" s="11" t="s">
        <v>418</v>
      </c>
      <c r="J337" s="14"/>
      <c r="K337" s="14" t="n">
        <v>24</v>
      </c>
      <c r="L337" s="16"/>
      <c r="M337" s="27" t="n">
        <f aca="false">J337+(K337/20)+(L337/240)</f>
        <v>1.2</v>
      </c>
      <c r="N337" s="17" t="s">
        <v>66</v>
      </c>
      <c r="O337" s="11"/>
      <c r="P337" s="28"/>
      <c r="Q337" s="28" t="str">
        <f aca="false">IF(O337&lt;&gt;"",P337*M337,"")</f>
        <v/>
      </c>
      <c r="R337" s="28"/>
      <c r="S337" s="28" t="n">
        <f aca="false">R337*$M337</f>
        <v>0</v>
      </c>
      <c r="T337" s="28"/>
      <c r="U337" s="28" t="n">
        <f aca="false">T337*$M337</f>
        <v>0</v>
      </c>
      <c r="V337" s="28"/>
      <c r="W337" s="28" t="n">
        <f aca="false">V337*$M337</f>
        <v>0</v>
      </c>
      <c r="X337" s="28"/>
      <c r="Y337" s="28" t="n">
        <f aca="false">X337*$M337</f>
        <v>0</v>
      </c>
      <c r="Z337" s="28"/>
      <c r="AA337" s="28" t="n">
        <f aca="false">Z337*$M337</f>
        <v>0</v>
      </c>
      <c r="AB337" s="28"/>
      <c r="AC337" s="28" t="n">
        <f aca="false">AB337*$M337</f>
        <v>0</v>
      </c>
      <c r="AD337" s="28"/>
      <c r="AE337" s="28" t="n">
        <f aca="false">AD337*$M337</f>
        <v>0</v>
      </c>
      <c r="AF337" s="28"/>
      <c r="AG337" s="28" t="n">
        <f aca="false">AF337*$M337</f>
        <v>0</v>
      </c>
      <c r="AH337" s="28"/>
      <c r="AI337" s="28" t="n">
        <f aca="false">AH337*$M337</f>
        <v>0</v>
      </c>
      <c r="AJ337" s="28" t="n">
        <v>50204</v>
      </c>
      <c r="AK337" s="28" t="n">
        <v>60245</v>
      </c>
      <c r="AL337" s="28"/>
      <c r="AM337" s="28" t="n">
        <f aca="false">AL337*$M337</f>
        <v>0</v>
      </c>
      <c r="AN337" s="28"/>
      <c r="AO337" s="28" t="n">
        <f aca="false">AN337*$M337</f>
        <v>0</v>
      </c>
      <c r="AP337" s="28"/>
      <c r="AQ337" s="28" t="n">
        <f aca="false">AP337*$M337</f>
        <v>0</v>
      </c>
      <c r="AR337" s="28"/>
      <c r="AS337" s="28" t="n">
        <f aca="false">AR337*$M337</f>
        <v>0</v>
      </c>
      <c r="AT337" s="28"/>
      <c r="AU337" s="28" t="n">
        <f aca="false">AT337*$M337</f>
        <v>0</v>
      </c>
      <c r="AV337" s="28"/>
      <c r="AW337" s="28" t="n">
        <f aca="false">AV337*$M337</f>
        <v>0</v>
      </c>
      <c r="AX337" s="28"/>
      <c r="AY337" s="28" t="n">
        <f aca="false">AX337*$M337</f>
        <v>0</v>
      </c>
      <c r="AZ337" s="28"/>
      <c r="BA337" s="28" t="n">
        <f aca="false">AZ337*$M337</f>
        <v>0</v>
      </c>
      <c r="BB337" s="30" t="n">
        <v>50204</v>
      </c>
      <c r="BC337" s="11" t="n">
        <v>60245</v>
      </c>
      <c r="BD337" s="31" t="n">
        <f aca="false">SUM(S337,U337,W337,Y337,AA337,AC337,AE337,AG337,AI337,AK337,AM337,AO337,AQ337,AS337,AU337,AW337,AY337,BA337)</f>
        <v>60245</v>
      </c>
      <c r="BE337" s="28" t="n">
        <f aca="false">BC337-BD337</f>
        <v>0</v>
      </c>
      <c r="BF337" s="32" t="n">
        <f aca="false">SUM(R337,T337,V337,X337,Z337,AB337,AD337,AF337,AH337,AJ337,AL337,AN337,AP337,AR337,AT337,AV337,AX337,AZ337)</f>
        <v>50204</v>
      </c>
      <c r="BG337" s="33" t="n">
        <f aca="false">BB337-BF337</f>
        <v>0</v>
      </c>
      <c r="BH337" s="34" t="n">
        <f aca="false">BF337*M337</f>
        <v>60244.8</v>
      </c>
      <c r="BI337" s="35" t="n">
        <f aca="false">BC337-BH337</f>
        <v>0.200000000004366</v>
      </c>
      <c r="BJ337" s="19" t="str">
        <f aca="false">IF(BI337=0,"",IF(BI337&lt;&gt;BC337,"erreur de calcul",IF(BF337&lt;&gt;0,"pas de prix",IF(M337&lt;&gt; 0,"pas de quantité","pas de prix, ni de quantité"))))</f>
        <v>erreur de calcul</v>
      </c>
      <c r="BK337" s="19"/>
    </row>
    <row r="338" customFormat="false" ht="16" hidden="false" customHeight="false" outlineLevel="0" collapsed="false">
      <c r="A338" s="0" t="n">
        <v>8</v>
      </c>
      <c r="B338" s="8" t="s">
        <v>24</v>
      </c>
      <c r="C338" s="9" t="s">
        <v>25</v>
      </c>
      <c r="D338" s="9" t="s">
        <v>26</v>
      </c>
      <c r="E338" s="10" t="n">
        <v>1789</v>
      </c>
      <c r="F338" s="9" t="s">
        <v>27</v>
      </c>
      <c r="G338" s="9" t="s">
        <v>27</v>
      </c>
      <c r="H338" s="11" t="n">
        <v>27</v>
      </c>
      <c r="I338" s="11" t="s">
        <v>419</v>
      </c>
      <c r="J338" s="14" t="n">
        <v>40</v>
      </c>
      <c r="K338" s="14"/>
      <c r="L338" s="16"/>
      <c r="M338" s="27" t="n">
        <f aca="false">J338+(K338/20)+(L338/240)</f>
        <v>40</v>
      </c>
      <c r="N338" s="17" t="s">
        <v>66</v>
      </c>
      <c r="O338" s="11" t="s">
        <v>98</v>
      </c>
      <c r="P338" s="28" t="n">
        <v>227</v>
      </c>
      <c r="Q338" s="28" t="n">
        <v>9080</v>
      </c>
      <c r="R338" s="28"/>
      <c r="S338" s="28" t="n">
        <f aca="false">R338*$M338</f>
        <v>0</v>
      </c>
      <c r="T338" s="28"/>
      <c r="U338" s="28" t="n">
        <f aca="false">T338*$M338</f>
        <v>0</v>
      </c>
      <c r="V338" s="28"/>
      <c r="W338" s="28" t="n">
        <f aca="false">V338*$M338</f>
        <v>0</v>
      </c>
      <c r="X338" s="28"/>
      <c r="Y338" s="28" t="n">
        <f aca="false">X338*$M338</f>
        <v>0</v>
      </c>
      <c r="Z338" s="28"/>
      <c r="AA338" s="28" t="n">
        <f aca="false">Z338*$M338</f>
        <v>0</v>
      </c>
      <c r="AB338" s="28"/>
      <c r="AC338" s="28" t="n">
        <f aca="false">AB338*$M338</f>
        <v>0</v>
      </c>
      <c r="AD338" s="28"/>
      <c r="AE338" s="28" t="n">
        <f aca="false">AD338*$M338</f>
        <v>0</v>
      </c>
      <c r="AF338" s="28"/>
      <c r="AG338" s="28" t="n">
        <f aca="false">AF338*$M338</f>
        <v>0</v>
      </c>
      <c r="AH338" s="28"/>
      <c r="AI338" s="28" t="n">
        <f aca="false">AH338*$M338</f>
        <v>0</v>
      </c>
      <c r="AJ338" s="28"/>
      <c r="AK338" s="28" t="n">
        <f aca="false">AJ338*$M338</f>
        <v>0</v>
      </c>
      <c r="AL338" s="28"/>
      <c r="AM338" s="28" t="n">
        <f aca="false">AL338*$M338</f>
        <v>0</v>
      </c>
      <c r="AN338" s="28"/>
      <c r="AO338" s="28" t="n">
        <f aca="false">AN338*$M338</f>
        <v>0</v>
      </c>
      <c r="AP338" s="28"/>
      <c r="AQ338" s="28" t="n">
        <f aca="false">AP338*$M338</f>
        <v>0</v>
      </c>
      <c r="AR338" s="28"/>
      <c r="AS338" s="28" t="n">
        <f aca="false">AR338*$M338</f>
        <v>0</v>
      </c>
      <c r="AT338" s="28"/>
      <c r="AU338" s="28" t="n">
        <f aca="false">AT338*$M338</f>
        <v>0</v>
      </c>
      <c r="AV338" s="28"/>
      <c r="AW338" s="28" t="n">
        <f aca="false">AV338*$M338</f>
        <v>0</v>
      </c>
      <c r="AX338" s="28"/>
      <c r="AY338" s="28" t="n">
        <f aca="false">AX338*$M338</f>
        <v>0</v>
      </c>
      <c r="AZ338" s="28"/>
      <c r="BA338" s="28" t="n">
        <f aca="false">AZ338*$M338</f>
        <v>0</v>
      </c>
      <c r="BB338" s="30"/>
      <c r="BC338" s="11"/>
      <c r="BD338" s="31" t="n">
        <f aca="false">SUM(S338,U338,W338,Y338,AA338,AC338,AE338,AG338,AI338,AK338,AM338,AO338,AQ338,AS338,AU338,AW338,AY338,BA338)</f>
        <v>0</v>
      </c>
      <c r="BE338" s="28" t="n">
        <f aca="false">BC338-BD338</f>
        <v>0</v>
      </c>
      <c r="BF338" s="32" t="n">
        <f aca="false">SUM(R338,T338,V338,X338,Z338,AB338,AD338,AF338,AH338,AJ338,AL338,AN338,AP338,AR338,AT338,AV338,AX338,AZ338)</f>
        <v>0</v>
      </c>
      <c r="BG338" s="33" t="n">
        <f aca="false">BB338-BF338</f>
        <v>0</v>
      </c>
      <c r="BH338" s="34" t="n">
        <f aca="false">BF338*M338</f>
        <v>0</v>
      </c>
      <c r="BI338" s="35" t="n">
        <f aca="false">BC338-BH338</f>
        <v>0</v>
      </c>
      <c r="BJ338" s="19" t="str">
        <f aca="false">IF(BI338=0,"",IF(BI338&lt;&gt;BC338,"erreur de calcul",IF(BF338&lt;&gt;0,"pas de prix",IF(M338&lt;&gt; 0,"pas de quantité","pas de prix, ni de quantité"))))</f>
        <v/>
      </c>
      <c r="BK338" s="19"/>
    </row>
    <row r="339" customFormat="false" ht="16" hidden="false" customHeight="false" outlineLevel="0" collapsed="false">
      <c r="A339" s="0" t="n">
        <v>9</v>
      </c>
      <c r="B339" s="8" t="s">
        <v>24</v>
      </c>
      <c r="C339" s="9" t="s">
        <v>25</v>
      </c>
      <c r="D339" s="9" t="s">
        <v>26</v>
      </c>
      <c r="E339" s="10" t="n">
        <v>1789</v>
      </c>
      <c r="F339" s="9" t="s">
        <v>27</v>
      </c>
      <c r="G339" s="9" t="s">
        <v>27</v>
      </c>
      <c r="H339" s="11" t="n">
        <v>27</v>
      </c>
      <c r="I339" s="11" t="s">
        <v>420</v>
      </c>
      <c r="J339" s="14" t="n">
        <v>9</v>
      </c>
      <c r="K339" s="14"/>
      <c r="L339" s="16"/>
      <c r="M339" s="27" t="n">
        <f aca="false">J339+(K339/20)+(L339/240)</f>
        <v>9</v>
      </c>
      <c r="N339" s="17" t="s">
        <v>81</v>
      </c>
      <c r="O339" s="11" t="s">
        <v>98</v>
      </c>
      <c r="P339" s="28" t="n">
        <v>2050</v>
      </c>
      <c r="Q339" s="28" t="n">
        <v>18450</v>
      </c>
      <c r="R339" s="28"/>
      <c r="S339" s="28" t="n">
        <f aca="false">R339*$M339</f>
        <v>0</v>
      </c>
      <c r="T339" s="28"/>
      <c r="U339" s="28" t="n">
        <f aca="false">T339*$M339</f>
        <v>0</v>
      </c>
      <c r="V339" s="28"/>
      <c r="W339" s="28" t="n">
        <f aca="false">V339*$M339</f>
        <v>0</v>
      </c>
      <c r="X339" s="28"/>
      <c r="Y339" s="28" t="n">
        <f aca="false">X339*$M339</f>
        <v>0</v>
      </c>
      <c r="Z339" s="28"/>
      <c r="AA339" s="28" t="n">
        <f aca="false">Z339*$M339</f>
        <v>0</v>
      </c>
      <c r="AB339" s="28"/>
      <c r="AC339" s="28" t="n">
        <f aca="false">AB339*$M339</f>
        <v>0</v>
      </c>
      <c r="AD339" s="28"/>
      <c r="AE339" s="28" t="n">
        <f aca="false">AD339*$M339</f>
        <v>0</v>
      </c>
      <c r="AF339" s="28"/>
      <c r="AG339" s="28" t="n">
        <f aca="false">AF339*$M339</f>
        <v>0</v>
      </c>
      <c r="AH339" s="28"/>
      <c r="AI339" s="28" t="n">
        <f aca="false">AH339*$M339</f>
        <v>0</v>
      </c>
      <c r="AJ339" s="28"/>
      <c r="AK339" s="28" t="n">
        <f aca="false">AJ339*$M339</f>
        <v>0</v>
      </c>
      <c r="AL339" s="28"/>
      <c r="AM339" s="28" t="n">
        <f aca="false">AL339*$M339</f>
        <v>0</v>
      </c>
      <c r="AN339" s="28"/>
      <c r="AO339" s="28" t="n">
        <f aca="false">AN339*$M339</f>
        <v>0</v>
      </c>
      <c r="AP339" s="28"/>
      <c r="AQ339" s="28" t="n">
        <f aca="false">AP339*$M339</f>
        <v>0</v>
      </c>
      <c r="AR339" s="28"/>
      <c r="AS339" s="28" t="n">
        <f aca="false">AR339*$M339</f>
        <v>0</v>
      </c>
      <c r="AT339" s="28"/>
      <c r="AU339" s="28" t="n">
        <f aca="false">AT339*$M339</f>
        <v>0</v>
      </c>
      <c r="AV339" s="28"/>
      <c r="AW339" s="28" t="n">
        <f aca="false">AV339*$M339</f>
        <v>0</v>
      </c>
      <c r="AX339" s="28"/>
      <c r="AY339" s="28" t="n">
        <f aca="false">AX339*$M339</f>
        <v>0</v>
      </c>
      <c r="AZ339" s="28"/>
      <c r="BA339" s="28" t="n">
        <f aca="false">AZ339*$M339</f>
        <v>0</v>
      </c>
      <c r="BB339" s="30"/>
      <c r="BC339" s="11"/>
      <c r="BD339" s="31" t="n">
        <f aca="false">SUM(S339,U339,W339,Y339,AA339,AC339,AE339,AG339,AI339,AK339,AM339,AO339,AQ339,AS339,AU339,AW339,AY339,BA339)</f>
        <v>0</v>
      </c>
      <c r="BE339" s="28" t="n">
        <f aca="false">BC339-BD339</f>
        <v>0</v>
      </c>
      <c r="BF339" s="32" t="n">
        <f aca="false">SUM(R339,T339,V339,X339,Z339,AB339,AD339,AF339,AH339,AJ339,AL339,AN339,AP339,AR339,AT339,AV339,AX339,AZ339)</f>
        <v>0</v>
      </c>
      <c r="BG339" s="33" t="n">
        <f aca="false">BB339-BF339</f>
        <v>0</v>
      </c>
      <c r="BH339" s="34" t="n">
        <f aca="false">BF339*M339</f>
        <v>0</v>
      </c>
      <c r="BI339" s="35" t="n">
        <f aca="false">BC339-BH339</f>
        <v>0</v>
      </c>
      <c r="BJ339" s="19" t="str">
        <f aca="false">IF(BI339=0,"",IF(BI339&lt;&gt;BC339,"erreur de calcul",IF(BF339&lt;&gt;0,"pas de prix",IF(M339&lt;&gt; 0,"pas de quantité","pas de prix, ni de quantité"))))</f>
        <v/>
      </c>
      <c r="BK339" s="19"/>
    </row>
    <row r="340" customFormat="false" ht="16" hidden="false" customHeight="false" outlineLevel="0" collapsed="false">
      <c r="A340" s="0" t="n">
        <v>10</v>
      </c>
      <c r="B340" s="8" t="s">
        <v>24</v>
      </c>
      <c r="C340" s="9" t="s">
        <v>25</v>
      </c>
      <c r="D340" s="9" t="s">
        <v>26</v>
      </c>
      <c r="E340" s="10" t="n">
        <v>1789</v>
      </c>
      <c r="F340" s="9" t="s">
        <v>27</v>
      </c>
      <c r="G340" s="9" t="s">
        <v>27</v>
      </c>
      <c r="H340" s="11" t="n">
        <v>27</v>
      </c>
      <c r="I340" s="11" t="s">
        <v>421</v>
      </c>
      <c r="J340" s="14" t="n">
        <v>220</v>
      </c>
      <c r="K340" s="14"/>
      <c r="L340" s="16"/>
      <c r="M340" s="27" t="n">
        <f aca="false">J340+(K340/20)+(L340/240)</f>
        <v>220</v>
      </c>
      <c r="N340" s="17" t="s">
        <v>64</v>
      </c>
      <c r="O340" s="11" t="s">
        <v>277</v>
      </c>
      <c r="P340" s="28" t="n">
        <f aca="false">9378/100</f>
        <v>93.78</v>
      </c>
      <c r="Q340" s="28" t="n">
        <v>20632</v>
      </c>
      <c r="R340" s="28" t="n">
        <f aca="false">245/100</f>
        <v>2.45</v>
      </c>
      <c r="S340" s="28" t="n">
        <v>539</v>
      </c>
      <c r="T340" s="28"/>
      <c r="U340" s="28" t="n">
        <f aca="false">T340*$M340</f>
        <v>0</v>
      </c>
      <c r="V340" s="28" t="n">
        <f aca="false">40119/100</f>
        <v>401.19</v>
      </c>
      <c r="W340" s="28" t="n">
        <v>88262</v>
      </c>
      <c r="X340" s="28" t="n">
        <f aca="false">14285/100</f>
        <v>142.85</v>
      </c>
      <c r="Y340" s="28" t="n">
        <v>31427</v>
      </c>
      <c r="Z340" s="28" t="n">
        <f aca="false">62608/100</f>
        <v>626.08</v>
      </c>
      <c r="AA340" s="28" t="n">
        <v>137738</v>
      </c>
      <c r="AB340" s="28" t="n">
        <f aca="false">523/100</f>
        <v>5.23</v>
      </c>
      <c r="AC340" s="28" t="n">
        <v>1151</v>
      </c>
      <c r="AD340" s="28" t="n">
        <f aca="false">56/100</f>
        <v>0.56</v>
      </c>
      <c r="AE340" s="28" t="n">
        <v>123</v>
      </c>
      <c r="AF340" s="28"/>
      <c r="AG340" s="28" t="n">
        <f aca="false">AF340*$M340</f>
        <v>0</v>
      </c>
      <c r="AH340" s="28"/>
      <c r="AI340" s="28" t="n">
        <f aca="false">AH340*$M340</f>
        <v>0</v>
      </c>
      <c r="AJ340" s="28"/>
      <c r="AK340" s="28" t="n">
        <f aca="false">AJ340*$M340</f>
        <v>0</v>
      </c>
      <c r="AL340" s="28" t="n">
        <f aca="false">3845/100</f>
        <v>38.45</v>
      </c>
      <c r="AM340" s="28" t="n">
        <v>8459</v>
      </c>
      <c r="AN340" s="28" t="n">
        <f aca="false">26510/100</f>
        <v>265.1</v>
      </c>
      <c r="AO340" s="28" t="n">
        <v>58322</v>
      </c>
      <c r="AP340" s="28" t="n">
        <f aca="false">330/100</f>
        <v>3.3</v>
      </c>
      <c r="AQ340" s="28" t="n">
        <v>726</v>
      </c>
      <c r="AR340" s="28"/>
      <c r="AS340" s="28" t="n">
        <f aca="false">AR340*$M340</f>
        <v>0</v>
      </c>
      <c r="AT340" s="28"/>
      <c r="AU340" s="28" t="n">
        <f aca="false">AT340*$M340</f>
        <v>0</v>
      </c>
      <c r="AV340" s="28"/>
      <c r="AW340" s="28" t="n">
        <f aca="false">AV340*$M340</f>
        <v>0</v>
      </c>
      <c r="AX340" s="28" t="n">
        <f aca="false">1487/100</f>
        <v>14.87</v>
      </c>
      <c r="AY340" s="28" t="n">
        <v>3271</v>
      </c>
      <c r="AZ340" s="28"/>
      <c r="BA340" s="28" t="n">
        <f aca="false">AZ340*$M340</f>
        <v>0</v>
      </c>
      <c r="BB340" s="30" t="n">
        <f aca="false">150008/100</f>
        <v>1500.08</v>
      </c>
      <c r="BC340" s="11" t="n">
        <v>330018</v>
      </c>
      <c r="BD340" s="31" t="n">
        <f aca="false">SUM(S340,U340,W340,Y340,AA340,AC340,AE340,AG340,AI340,AK340,AM340,AO340,AQ340,AS340,AU340,AW340,AY340,BA340)</f>
        <v>330018</v>
      </c>
      <c r="BE340" s="28" t="n">
        <f aca="false">BC340-BD340</f>
        <v>0</v>
      </c>
      <c r="BF340" s="32" t="n">
        <f aca="false">SUM(R340,T340,V340,X340,Z340,AB340,AD340,AF340,AH340,AJ340,AL340,AN340,AP340,AR340,AT340,AV340,AX340,AZ340)</f>
        <v>1500.08</v>
      </c>
      <c r="BG340" s="33" t="n">
        <f aca="false">BB340-BF340</f>
        <v>0</v>
      </c>
      <c r="BH340" s="34" t="n">
        <f aca="false">BF340*M340</f>
        <v>330017.6</v>
      </c>
      <c r="BI340" s="35" t="n">
        <f aca="false">BC340-BH340</f>
        <v>0.399999999965075</v>
      </c>
      <c r="BJ340" s="19" t="str">
        <f aca="false">IF(BI340=0,"",IF(BI340&lt;&gt;BC340,"erreur de calcul",IF(BF340&lt;&gt;0,"pas de prix",IF(M340&lt;&gt; 0,"pas de quantité","pas de prix, ni de quantité"))))</f>
        <v>erreur de calcul</v>
      </c>
      <c r="BK340" s="19"/>
    </row>
    <row r="341" customFormat="false" ht="16" hidden="false" customHeight="false" outlineLevel="0" collapsed="false">
      <c r="A341" s="0" t="n">
        <v>11</v>
      </c>
      <c r="B341" s="8" t="s">
        <v>24</v>
      </c>
      <c r="C341" s="9" t="s">
        <v>25</v>
      </c>
      <c r="D341" s="9" t="s">
        <v>26</v>
      </c>
      <c r="E341" s="10" t="n">
        <v>1789</v>
      </c>
      <c r="F341" s="9" t="s">
        <v>27</v>
      </c>
      <c r="G341" s="9" t="s">
        <v>27</v>
      </c>
      <c r="H341" s="11" t="n">
        <v>27</v>
      </c>
      <c r="I341" s="11" t="s">
        <v>422</v>
      </c>
      <c r="J341" s="14" t="n">
        <v>35</v>
      </c>
      <c r="K341" s="14"/>
      <c r="L341" s="16"/>
      <c r="M341" s="27" t="n">
        <f aca="false">J341+(K341/20)+(L341/240)</f>
        <v>35</v>
      </c>
      <c r="N341" s="17" t="s">
        <v>64</v>
      </c>
      <c r="O341" s="11"/>
      <c r="P341" s="28"/>
      <c r="Q341" s="28" t="str">
        <f aca="false">IF(O341&lt;&gt;"",P341*M341,"")</f>
        <v/>
      </c>
      <c r="R341" s="28"/>
      <c r="S341" s="28" t="n">
        <f aca="false">R341*$M341</f>
        <v>0</v>
      </c>
      <c r="T341" s="28"/>
      <c r="U341" s="28" t="n">
        <f aca="false">T341*$M341</f>
        <v>0</v>
      </c>
      <c r="V341" s="28"/>
      <c r="W341" s="28" t="n">
        <f aca="false">V341*$M341</f>
        <v>0</v>
      </c>
      <c r="X341" s="28"/>
      <c r="Y341" s="28" t="n">
        <f aca="false">X341*$M341</f>
        <v>0</v>
      </c>
      <c r="Z341" s="28" t="n">
        <f aca="false">9982/100</f>
        <v>99.82</v>
      </c>
      <c r="AA341" s="28" t="n">
        <v>3494</v>
      </c>
      <c r="AB341" s="28"/>
      <c r="AC341" s="28" t="n">
        <f aca="false">AB341*$M341</f>
        <v>0</v>
      </c>
      <c r="AD341" s="28"/>
      <c r="AE341" s="28" t="n">
        <f aca="false">AD341*$M341</f>
        <v>0</v>
      </c>
      <c r="AF341" s="28"/>
      <c r="AG341" s="28" t="n">
        <f aca="false">AF341*$M341</f>
        <v>0</v>
      </c>
      <c r="AH341" s="28"/>
      <c r="AI341" s="28" t="n">
        <f aca="false">AH341*$M341</f>
        <v>0</v>
      </c>
      <c r="AJ341" s="28"/>
      <c r="AK341" s="28" t="n">
        <f aca="false">AJ341*$M341</f>
        <v>0</v>
      </c>
      <c r="AL341" s="28" t="n">
        <f aca="false">28200/100</f>
        <v>282</v>
      </c>
      <c r="AM341" s="28" t="n">
        <v>9870</v>
      </c>
      <c r="AN341" s="28" t="n">
        <f aca="false">163472/100</f>
        <v>1634.72</v>
      </c>
      <c r="AO341" s="28" t="n">
        <v>57215</v>
      </c>
      <c r="AP341" s="28"/>
      <c r="AQ341" s="28" t="n">
        <f aca="false">AP341*$M341</f>
        <v>0</v>
      </c>
      <c r="AR341" s="28"/>
      <c r="AS341" s="28" t="n">
        <f aca="false">AR341*$M341</f>
        <v>0</v>
      </c>
      <c r="AT341" s="28"/>
      <c r="AU341" s="28" t="n">
        <f aca="false">AT341*$M341</f>
        <v>0</v>
      </c>
      <c r="AV341" s="28"/>
      <c r="AW341" s="28" t="n">
        <f aca="false">AV341*$M341</f>
        <v>0</v>
      </c>
      <c r="AX341" s="28" t="n">
        <f aca="false">49250/100</f>
        <v>492.5</v>
      </c>
      <c r="AY341" s="28" t="n">
        <v>17237</v>
      </c>
      <c r="AZ341" s="28"/>
      <c r="BA341" s="28" t="n">
        <f aca="false">AZ341*$M341</f>
        <v>0</v>
      </c>
      <c r="BB341" s="30" t="n">
        <f aca="false">250904/100</f>
        <v>2509.04</v>
      </c>
      <c r="BC341" s="11" t="n">
        <v>87816</v>
      </c>
      <c r="BD341" s="31" t="n">
        <f aca="false">SUM(S341,U341,W341,Y341,AA341,AC341,AE341,AG341,AI341,AK341,AM341,AO341,AQ341,AS341,AU341,AW341,AY341,BA341)</f>
        <v>87816</v>
      </c>
      <c r="BE341" s="28" t="n">
        <f aca="false">BC341-BD341</f>
        <v>0</v>
      </c>
      <c r="BF341" s="32" t="n">
        <f aca="false">SUM(R341,T341,V341,X341,Z341,AB341,AD341,AF341,AH341,AJ341,AL341,AN341,AP341,AR341,AT341,AV341,AX341,AZ341)</f>
        <v>2509.04</v>
      </c>
      <c r="BG341" s="33" t="n">
        <f aca="false">BB341-BF341</f>
        <v>0</v>
      </c>
      <c r="BH341" s="34" t="n">
        <f aca="false">BF341*M341</f>
        <v>87816.4</v>
      </c>
      <c r="BI341" s="35" t="n">
        <f aca="false">BC341-BH341</f>
        <v>-0.400000000008731</v>
      </c>
      <c r="BJ341" s="19" t="str">
        <f aca="false">IF(BI341=0,"",IF(BI341&lt;&gt;BC341,"erreur de calcul",IF(BF341&lt;&gt;0,"pas de prix",IF(M341&lt;&gt; 0,"pas de quantité","pas de prix, ni de quantité"))))</f>
        <v>erreur de calcul</v>
      </c>
      <c r="BK341" s="19"/>
    </row>
    <row r="342" customFormat="false" ht="16" hidden="false" customHeight="false" outlineLevel="0" collapsed="false">
      <c r="A342" s="0" t="n">
        <v>12</v>
      </c>
      <c r="B342" s="8" t="s">
        <v>24</v>
      </c>
      <c r="C342" s="9" t="s">
        <v>25</v>
      </c>
      <c r="D342" s="9" t="s">
        <v>26</v>
      </c>
      <c r="E342" s="10" t="n">
        <v>1789</v>
      </c>
      <c r="F342" s="9" t="s">
        <v>27</v>
      </c>
      <c r="G342" s="9" t="s">
        <v>27</v>
      </c>
      <c r="H342" s="11" t="n">
        <v>27</v>
      </c>
      <c r="I342" s="11" t="s">
        <v>423</v>
      </c>
      <c r="J342" s="14" t="n">
        <v>75</v>
      </c>
      <c r="K342" s="14"/>
      <c r="L342" s="16"/>
      <c r="M342" s="27" t="n">
        <f aca="false">J342+(K342/20)+(L342/240)</f>
        <v>75</v>
      </c>
      <c r="N342" s="17" t="s">
        <v>64</v>
      </c>
      <c r="O342" s="11"/>
      <c r="P342" s="28"/>
      <c r="Q342" s="28" t="str">
        <f aca="false">IF(O342&lt;&gt;"",P342*M342,"")</f>
        <v/>
      </c>
      <c r="R342" s="28"/>
      <c r="S342" s="28" t="n">
        <f aca="false">R342*$M342</f>
        <v>0</v>
      </c>
      <c r="T342" s="28"/>
      <c r="U342" s="28" t="n">
        <f aca="false">T342*$M342</f>
        <v>0</v>
      </c>
      <c r="V342" s="28"/>
      <c r="W342" s="28" t="n">
        <f aca="false">V342*$M342</f>
        <v>0</v>
      </c>
      <c r="X342" s="28" t="n">
        <f aca="false">1030/100</f>
        <v>10.3</v>
      </c>
      <c r="Y342" s="28" t="n">
        <v>772</v>
      </c>
      <c r="Z342" s="28"/>
      <c r="AA342" s="28" t="n">
        <f aca="false">Z342*$M342</f>
        <v>0</v>
      </c>
      <c r="AB342" s="28"/>
      <c r="AC342" s="28" t="n">
        <f aca="false">AB342*$M342</f>
        <v>0</v>
      </c>
      <c r="AD342" s="28"/>
      <c r="AE342" s="28" t="n">
        <f aca="false">AD342*$M342</f>
        <v>0</v>
      </c>
      <c r="AF342" s="28"/>
      <c r="AG342" s="28" t="n">
        <f aca="false">AF342*$M342</f>
        <v>0</v>
      </c>
      <c r="AH342" s="28"/>
      <c r="AI342" s="28" t="n">
        <f aca="false">AH342*$M342</f>
        <v>0</v>
      </c>
      <c r="AJ342" s="28"/>
      <c r="AK342" s="28" t="n">
        <f aca="false">AJ342*$M342</f>
        <v>0</v>
      </c>
      <c r="AL342" s="28"/>
      <c r="AM342" s="28" t="n">
        <f aca="false">AL342*$M342</f>
        <v>0</v>
      </c>
      <c r="AN342" s="28"/>
      <c r="AO342" s="28" t="n">
        <f aca="false">AN342*$M342</f>
        <v>0</v>
      </c>
      <c r="AP342" s="28"/>
      <c r="AQ342" s="28" t="n">
        <f aca="false">AP342*$M342</f>
        <v>0</v>
      </c>
      <c r="AR342" s="28"/>
      <c r="AS342" s="28" t="n">
        <f aca="false">AR342*$M342</f>
        <v>0</v>
      </c>
      <c r="AT342" s="28"/>
      <c r="AU342" s="28" t="n">
        <f aca="false">AT342*$M342</f>
        <v>0</v>
      </c>
      <c r="AV342" s="28"/>
      <c r="AW342" s="28" t="n">
        <f aca="false">AV342*$M342</f>
        <v>0</v>
      </c>
      <c r="AX342" s="28"/>
      <c r="AY342" s="28" t="n">
        <f aca="false">AX342*$M342</f>
        <v>0</v>
      </c>
      <c r="AZ342" s="28"/>
      <c r="BA342" s="28" t="n">
        <f aca="false">AZ342*$M342</f>
        <v>0</v>
      </c>
      <c r="BB342" s="30" t="n">
        <f aca="false">1030/100</f>
        <v>10.3</v>
      </c>
      <c r="BC342" s="11" t="n">
        <v>772</v>
      </c>
      <c r="BD342" s="31" t="n">
        <f aca="false">SUM(S342,U342,W342,Y342,AA342,AC342,AE342,AG342,AI342,AK342,AM342,AO342,AQ342,AS342,AU342,AW342,AY342,BA342)</f>
        <v>772</v>
      </c>
      <c r="BE342" s="28" t="n">
        <f aca="false">BC342-BD342</f>
        <v>0</v>
      </c>
      <c r="BF342" s="32" t="n">
        <f aca="false">SUM(R342,T342,V342,X342,Z342,AB342,AD342,AF342,AH342,AJ342,AL342,AN342,AP342,AR342,AT342,AV342,AX342,AZ342)</f>
        <v>10.3</v>
      </c>
      <c r="BG342" s="33" t="n">
        <f aca="false">BB342-BF342</f>
        <v>0</v>
      </c>
      <c r="BH342" s="34" t="n">
        <f aca="false">BF342*M342</f>
        <v>772.5</v>
      </c>
      <c r="BI342" s="35" t="n">
        <f aca="false">BC342-BH342</f>
        <v>-0.5</v>
      </c>
      <c r="BJ342" s="19" t="str">
        <f aca="false">IF(BI342=0,"",IF(BI342&lt;&gt;BC342,"erreur de calcul",IF(BF342&lt;&gt;0,"pas de prix",IF(M342&lt;&gt; 0,"pas de quantité","pas de prix, ni de quantité"))))</f>
        <v>erreur de calcul</v>
      </c>
      <c r="BK342" s="19"/>
    </row>
    <row r="343" customFormat="false" ht="16" hidden="false" customHeight="false" outlineLevel="0" collapsed="false">
      <c r="A343" s="0" t="n">
        <v>13</v>
      </c>
      <c r="B343" s="8" t="s">
        <v>24</v>
      </c>
      <c r="C343" s="9" t="s">
        <v>25</v>
      </c>
      <c r="D343" s="9" t="s">
        <v>26</v>
      </c>
      <c r="E343" s="10" t="n">
        <v>1789</v>
      </c>
      <c r="F343" s="9" t="s">
        <v>27</v>
      </c>
      <c r="G343" s="9" t="s">
        <v>27</v>
      </c>
      <c r="H343" s="11" t="n">
        <v>27</v>
      </c>
      <c r="I343" s="11" t="s">
        <v>424</v>
      </c>
      <c r="J343" s="14" t="n">
        <v>6</v>
      </c>
      <c r="K343" s="14"/>
      <c r="L343" s="16"/>
      <c r="M343" s="27" t="n">
        <f aca="false">J343+(K343/20)+(L343/240)</f>
        <v>6</v>
      </c>
      <c r="N343" s="17" t="s">
        <v>64</v>
      </c>
      <c r="O343" s="11" t="s">
        <v>277</v>
      </c>
      <c r="P343" s="28" t="n">
        <f aca="false">3582/100</f>
        <v>35.82</v>
      </c>
      <c r="Q343" s="28" t="n">
        <v>215</v>
      </c>
      <c r="R343" s="28"/>
      <c r="S343" s="28" t="n">
        <f aca="false">R343*$M343</f>
        <v>0</v>
      </c>
      <c r="T343" s="28"/>
      <c r="U343" s="28" t="n">
        <f aca="false">T343*$M343</f>
        <v>0</v>
      </c>
      <c r="V343" s="28"/>
      <c r="W343" s="28" t="n">
        <f aca="false">V343*$M343</f>
        <v>0</v>
      </c>
      <c r="X343" s="28"/>
      <c r="Y343" s="28" t="n">
        <f aca="false">X343*$M343</f>
        <v>0</v>
      </c>
      <c r="Z343" s="28"/>
      <c r="AA343" s="28" t="n">
        <f aca="false">Z343*$M343</f>
        <v>0</v>
      </c>
      <c r="AB343" s="28"/>
      <c r="AC343" s="28" t="n">
        <f aca="false">AB343*$M343</f>
        <v>0</v>
      </c>
      <c r="AD343" s="28"/>
      <c r="AE343" s="28" t="n">
        <f aca="false">AD343*$M343</f>
        <v>0</v>
      </c>
      <c r="AF343" s="28"/>
      <c r="AG343" s="28" t="n">
        <f aca="false">AF343*$M343</f>
        <v>0</v>
      </c>
      <c r="AH343" s="28"/>
      <c r="AI343" s="28" t="n">
        <f aca="false">AH343*$M343</f>
        <v>0</v>
      </c>
      <c r="AJ343" s="28" t="n">
        <f aca="false">9050/100</f>
        <v>90.5</v>
      </c>
      <c r="AK343" s="28" t="n">
        <v>543</v>
      </c>
      <c r="AL343" s="28"/>
      <c r="AM343" s="28" t="n">
        <f aca="false">AL343*$M343</f>
        <v>0</v>
      </c>
      <c r="AN343" s="28" t="n">
        <f aca="false">48717/100</f>
        <v>487.17</v>
      </c>
      <c r="AO343" s="28" t="n">
        <v>2923</v>
      </c>
      <c r="AP343" s="28"/>
      <c r="AQ343" s="28" t="n">
        <f aca="false">AP343*$M343</f>
        <v>0</v>
      </c>
      <c r="AR343" s="28"/>
      <c r="AS343" s="28" t="n">
        <f aca="false">AR343*$M343</f>
        <v>0</v>
      </c>
      <c r="AT343" s="28"/>
      <c r="AU343" s="28" t="n">
        <f aca="false">AT343*$M343</f>
        <v>0</v>
      </c>
      <c r="AV343" s="28"/>
      <c r="AW343" s="28" t="n">
        <f aca="false">AV343*$M343</f>
        <v>0</v>
      </c>
      <c r="AX343" s="28"/>
      <c r="AY343" s="28" t="n">
        <f aca="false">AX343*$M343</f>
        <v>0</v>
      </c>
      <c r="AZ343" s="28"/>
      <c r="BA343" s="28" t="n">
        <f aca="false">AZ343*$M343</f>
        <v>0</v>
      </c>
      <c r="BB343" s="30" t="n">
        <f aca="false">57767/100</f>
        <v>577.67</v>
      </c>
      <c r="BC343" s="11" t="n">
        <v>3466</v>
      </c>
      <c r="BD343" s="31" t="n">
        <f aca="false">SUM(S343,U343,W343,Y343,AA343,AC343,AE343,AG343,AI343,AK343,AM343,AO343,AQ343,AS343,AU343,AW343,AY343,BA343)</f>
        <v>3466</v>
      </c>
      <c r="BE343" s="28" t="n">
        <f aca="false">BC343-BD343</f>
        <v>0</v>
      </c>
      <c r="BF343" s="32" t="n">
        <f aca="false">SUM(R343,T343,V343,X343,Z343,AB343,AD343,AF343,AH343,AJ343,AL343,AN343,AP343,AR343,AT343,AV343,AX343,AZ343)</f>
        <v>577.67</v>
      </c>
      <c r="BG343" s="33" t="n">
        <f aca="false">BB343-BF343</f>
        <v>0</v>
      </c>
      <c r="BH343" s="34" t="n">
        <f aca="false">BF343*M343</f>
        <v>3466.02</v>
      </c>
      <c r="BI343" s="35" t="n">
        <f aca="false">BC343-BH343</f>
        <v>-0.0200000000004366</v>
      </c>
      <c r="BJ343" s="19" t="str">
        <f aca="false">IF(BI343=0,"",IF(BI343&lt;&gt;BC343,"erreur de calcul",IF(BF343&lt;&gt;0,"pas de prix",IF(M343&lt;&gt; 0,"pas de quantité","pas de prix, ni de quantité"))))</f>
        <v>erreur de calcul</v>
      </c>
      <c r="BK343" s="19"/>
    </row>
    <row r="344" customFormat="false" ht="16" hidden="false" customHeight="false" outlineLevel="0" collapsed="false">
      <c r="A344" s="0" t="n">
        <v>14</v>
      </c>
      <c r="B344" s="8" t="s">
        <v>24</v>
      </c>
      <c r="C344" s="9" t="s">
        <v>25</v>
      </c>
      <c r="D344" s="9" t="s">
        <v>26</v>
      </c>
      <c r="E344" s="10" t="n">
        <v>1789</v>
      </c>
      <c r="F344" s="9" t="s">
        <v>27</v>
      </c>
      <c r="G344" s="9" t="s">
        <v>27</v>
      </c>
      <c r="H344" s="11" t="n">
        <v>27</v>
      </c>
      <c r="I344" s="11" t="s">
        <v>425</v>
      </c>
      <c r="J344" s="14" t="n">
        <v>25</v>
      </c>
      <c r="K344" s="14"/>
      <c r="L344" s="16"/>
      <c r="M344" s="27" t="n">
        <f aca="false">J344+(K344/20)+(L344/240)</f>
        <v>25</v>
      </c>
      <c r="N344" s="17" t="s">
        <v>64</v>
      </c>
      <c r="O344" s="11"/>
      <c r="P344" s="28"/>
      <c r="Q344" s="28" t="str">
        <f aca="false">IF(O344&lt;&gt;"",P344*M344,"")</f>
        <v/>
      </c>
      <c r="R344" s="28"/>
      <c r="S344" s="28" t="n">
        <f aca="false">R344*$M344</f>
        <v>0</v>
      </c>
      <c r="T344" s="28"/>
      <c r="U344" s="28" t="n">
        <f aca="false">T344*$M344</f>
        <v>0</v>
      </c>
      <c r="V344" s="28" t="n">
        <f aca="false">10*288*0.02+114*0.02</f>
        <v>59.88</v>
      </c>
      <c r="W344" s="28" t="n">
        <v>1497</v>
      </c>
      <c r="X344" s="28"/>
      <c r="Y344" s="28" t="n">
        <f aca="false">X344*$M344</f>
        <v>0</v>
      </c>
      <c r="Z344" s="28"/>
      <c r="AA344" s="28" t="n">
        <f aca="false">Z344*$M344</f>
        <v>0</v>
      </c>
      <c r="AB344" s="28"/>
      <c r="AC344" s="28" t="n">
        <f aca="false">AB344*$M344</f>
        <v>0</v>
      </c>
      <c r="AD344" s="28"/>
      <c r="AE344" s="28" t="n">
        <f aca="false">AD344*$M344</f>
        <v>0</v>
      </c>
      <c r="AF344" s="28"/>
      <c r="AG344" s="28" t="n">
        <f aca="false">AF344*$M344</f>
        <v>0</v>
      </c>
      <c r="AH344" s="28"/>
      <c r="AI344" s="28" t="n">
        <f aca="false">AH344*$M344</f>
        <v>0</v>
      </c>
      <c r="AJ344" s="28"/>
      <c r="AK344" s="28" t="n">
        <f aca="false">AJ344*$M344</f>
        <v>0</v>
      </c>
      <c r="AL344" s="28"/>
      <c r="AM344" s="28" t="n">
        <f aca="false">AL344*$M344</f>
        <v>0</v>
      </c>
      <c r="AN344" s="28"/>
      <c r="AO344" s="28" t="n">
        <f aca="false">AN344*$M344</f>
        <v>0</v>
      </c>
      <c r="AP344" s="28"/>
      <c r="AQ344" s="28" t="n">
        <f aca="false">AP344*$M344</f>
        <v>0</v>
      </c>
      <c r="AR344" s="28"/>
      <c r="AS344" s="28" t="n">
        <f aca="false">AR344*$M344</f>
        <v>0</v>
      </c>
      <c r="AT344" s="28"/>
      <c r="AU344" s="28" t="n">
        <f aca="false">AT344*$M344</f>
        <v>0</v>
      </c>
      <c r="AV344" s="28"/>
      <c r="AW344" s="28" t="n">
        <f aca="false">AV344*$M344</f>
        <v>0</v>
      </c>
      <c r="AX344" s="28"/>
      <c r="AY344" s="28" t="n">
        <f aca="false">AX344*$M344</f>
        <v>0</v>
      </c>
      <c r="AZ344" s="28"/>
      <c r="BA344" s="28" t="n">
        <f aca="false">AZ344*$M344</f>
        <v>0</v>
      </c>
      <c r="BB344" s="30" t="n">
        <f aca="false">10*288*0.02+114*0.02</f>
        <v>59.88</v>
      </c>
      <c r="BC344" s="11" t="n">
        <v>1497</v>
      </c>
      <c r="BD344" s="31" t="n">
        <f aca="false">SUM(S344,U344,W344,Y344,AA344,AC344,AE344,AG344,AI344,AK344,AM344,AO344,AQ344,AS344,AU344,AW344,AY344,BA344)</f>
        <v>1497</v>
      </c>
      <c r="BE344" s="28" t="n">
        <f aca="false">BC344-BD344</f>
        <v>0</v>
      </c>
      <c r="BF344" s="32" t="n">
        <f aca="false">SUM(R344,T344,V344,X344,Z344,AB344,AD344,AF344,AH344,AJ344,AL344,AN344,AP344,AR344,AT344,AV344,AX344,AZ344)</f>
        <v>59.88</v>
      </c>
      <c r="BG344" s="33" t="n">
        <f aca="false">BB344-BF344</f>
        <v>0</v>
      </c>
      <c r="BH344" s="34" t="n">
        <f aca="false">BF344*M344</f>
        <v>1497</v>
      </c>
      <c r="BI344" s="35" t="n">
        <f aca="false">BC344-BH344</f>
        <v>0</v>
      </c>
      <c r="BJ344" s="19" t="str">
        <f aca="false">IF(BI344=0,"",IF(BI344&lt;&gt;BC344,"erreur de calcul",IF(BF344&lt;&gt;0,"pas de prix",IF(M344&lt;&gt; 0,"pas de quantité","pas de prix, ni de quantité"))))</f>
        <v/>
      </c>
      <c r="BK344" s="19"/>
    </row>
    <row r="345" customFormat="false" ht="16" hidden="false" customHeight="false" outlineLevel="0" collapsed="false">
      <c r="A345" s="0" t="n">
        <v>15</v>
      </c>
      <c r="B345" s="8" t="s">
        <v>24</v>
      </c>
      <c r="C345" s="9" t="s">
        <v>25</v>
      </c>
      <c r="D345" s="9" t="s">
        <v>26</v>
      </c>
      <c r="E345" s="10" t="n">
        <v>1789</v>
      </c>
      <c r="F345" s="9" t="s">
        <v>27</v>
      </c>
      <c r="G345" s="9" t="s">
        <v>27</v>
      </c>
      <c r="H345" s="11" t="n">
        <v>27</v>
      </c>
      <c r="I345" s="11" t="s">
        <v>426</v>
      </c>
      <c r="J345" s="14" t="n">
        <v>40</v>
      </c>
      <c r="K345" s="14"/>
      <c r="L345" s="16"/>
      <c r="M345" s="27" t="n">
        <f aca="false">J345+(K345/20)+(L345/240)</f>
        <v>40</v>
      </c>
      <c r="N345" s="17" t="s">
        <v>64</v>
      </c>
      <c r="O345" s="11"/>
      <c r="P345" s="28"/>
      <c r="Q345" s="28" t="str">
        <f aca="false">IF(O345&lt;&gt;"",P345*M345,"")</f>
        <v/>
      </c>
      <c r="R345" s="28"/>
      <c r="S345" s="28" t="n">
        <f aca="false">R345*$M345</f>
        <v>0</v>
      </c>
      <c r="T345" s="28"/>
      <c r="U345" s="28" t="n">
        <f aca="false">T345*$M345</f>
        <v>0</v>
      </c>
      <c r="V345" s="28"/>
      <c r="W345" s="28" t="n">
        <f aca="false">V345*$M345</f>
        <v>0</v>
      </c>
      <c r="X345" s="28"/>
      <c r="Y345" s="28" t="n">
        <f aca="false">X345*$M345</f>
        <v>0</v>
      </c>
      <c r="Z345" s="28"/>
      <c r="AA345" s="28" t="n">
        <f aca="false">Z345*$M345</f>
        <v>0</v>
      </c>
      <c r="AB345" s="28"/>
      <c r="AC345" s="28" t="n">
        <f aca="false">AB345*$M345</f>
        <v>0</v>
      </c>
      <c r="AD345" s="28"/>
      <c r="AE345" s="28" t="n">
        <f aca="false">AD345*$M345</f>
        <v>0</v>
      </c>
      <c r="AF345" s="28"/>
      <c r="AG345" s="28" t="n">
        <f aca="false">AF345*$M345</f>
        <v>0</v>
      </c>
      <c r="AH345" s="28"/>
      <c r="AI345" s="28" t="n">
        <f aca="false">AH345*$M345</f>
        <v>0</v>
      </c>
      <c r="AJ345" s="28" t="n">
        <f aca="false">1*288*0.02+59*0.02</f>
        <v>6.94</v>
      </c>
      <c r="AK345" s="28" t="n">
        <v>278</v>
      </c>
      <c r="AL345" s="28"/>
      <c r="AM345" s="28" t="n">
        <f aca="false">AL345*$M345</f>
        <v>0</v>
      </c>
      <c r="AN345" s="28"/>
      <c r="AO345" s="28" t="n">
        <f aca="false">AN345*$M345</f>
        <v>0</v>
      </c>
      <c r="AP345" s="28"/>
      <c r="AQ345" s="28" t="n">
        <f aca="false">AP345*$M345</f>
        <v>0</v>
      </c>
      <c r="AR345" s="28"/>
      <c r="AS345" s="28" t="n">
        <f aca="false">AR345*$M345</f>
        <v>0</v>
      </c>
      <c r="AT345" s="28"/>
      <c r="AU345" s="28" t="n">
        <f aca="false">AT345*$M345</f>
        <v>0</v>
      </c>
      <c r="AV345" s="28"/>
      <c r="AW345" s="28" t="n">
        <f aca="false">AV345*$M345</f>
        <v>0</v>
      </c>
      <c r="AX345" s="28"/>
      <c r="AY345" s="28" t="n">
        <f aca="false">AX345*$M345</f>
        <v>0</v>
      </c>
      <c r="AZ345" s="28"/>
      <c r="BA345" s="28" t="n">
        <f aca="false">AZ345*$M345</f>
        <v>0</v>
      </c>
      <c r="BB345" s="30" t="n">
        <f aca="false">1*288*0.02+59*0.02</f>
        <v>6.94</v>
      </c>
      <c r="BC345" s="11" t="n">
        <v>278</v>
      </c>
      <c r="BD345" s="31" t="n">
        <f aca="false">SUM(S345,U345,W345,Y345,AA345,AC345,AE345,AG345,AI345,AK345,AM345,AO345,AQ345,AS345,AU345,AW345,AY345,BA345)</f>
        <v>278</v>
      </c>
      <c r="BE345" s="28" t="n">
        <f aca="false">BC345-BD345</f>
        <v>0</v>
      </c>
      <c r="BF345" s="32" t="n">
        <f aca="false">SUM(R345,T345,V345,X345,Z345,AB345,AD345,AF345,AH345,AJ345,AL345,AN345,AP345,AR345,AT345,AV345,AX345,AZ345)</f>
        <v>6.94</v>
      </c>
      <c r="BG345" s="33" t="n">
        <f aca="false">BB345-BF345</f>
        <v>0</v>
      </c>
      <c r="BH345" s="34" t="n">
        <f aca="false">BF345*M345</f>
        <v>277.6</v>
      </c>
      <c r="BI345" s="35" t="n">
        <f aca="false">BC345-BH345</f>
        <v>0.400000000000034</v>
      </c>
      <c r="BJ345" s="19" t="str">
        <f aca="false">IF(BI345=0,"",IF(BI345&lt;&gt;BC345,"erreur de calcul",IF(BF345&lt;&gt;0,"pas de prix",IF(M345&lt;&gt; 0,"pas de quantité","pas de prix, ni de quantité"))))</f>
        <v>erreur de calcul</v>
      </c>
      <c r="BK345" s="19"/>
    </row>
    <row r="346" customFormat="false" ht="16" hidden="false" customHeight="false" outlineLevel="0" collapsed="false">
      <c r="A346" s="0" t="n">
        <v>16</v>
      </c>
      <c r="B346" s="8" t="s">
        <v>24</v>
      </c>
      <c r="C346" s="9" t="s">
        <v>25</v>
      </c>
      <c r="D346" s="9" t="s">
        <v>26</v>
      </c>
      <c r="E346" s="10" t="n">
        <v>1789</v>
      </c>
      <c r="F346" s="9" t="s">
        <v>27</v>
      </c>
      <c r="G346" s="9" t="s">
        <v>27</v>
      </c>
      <c r="H346" s="11" t="n">
        <v>27</v>
      </c>
      <c r="I346" s="11" t="s">
        <v>427</v>
      </c>
      <c r="J346" s="14" t="n">
        <v>32</v>
      </c>
      <c r="K346" s="14"/>
      <c r="L346" s="16"/>
      <c r="M346" s="27" t="n">
        <f aca="false">J346+(K346/20)+(L346/240)</f>
        <v>32</v>
      </c>
      <c r="N346" s="17" t="s">
        <v>64</v>
      </c>
      <c r="O346" s="11"/>
      <c r="P346" s="28"/>
      <c r="Q346" s="28" t="str">
        <f aca="false">IF(O346&lt;&gt;"",P346*M346,"")</f>
        <v/>
      </c>
      <c r="R346" s="28" t="n">
        <f aca="false">33*288*0.02+179*0.02</f>
        <v>193.66</v>
      </c>
      <c r="S346" s="28" t="n">
        <v>6197</v>
      </c>
      <c r="T346" s="28"/>
      <c r="U346" s="28" t="n">
        <f aca="false">T346*$M346</f>
        <v>0</v>
      </c>
      <c r="V346" s="28"/>
      <c r="W346" s="28" t="n">
        <f aca="false">V346*$M346</f>
        <v>0</v>
      </c>
      <c r="X346" s="28"/>
      <c r="Y346" s="28" t="n">
        <f aca="false">X346*$M346</f>
        <v>0</v>
      </c>
      <c r="Z346" s="28"/>
      <c r="AA346" s="28" t="n">
        <f aca="false">Z346*$M346</f>
        <v>0</v>
      </c>
      <c r="AB346" s="28"/>
      <c r="AC346" s="28" t="n">
        <f aca="false">AB346*$M346</f>
        <v>0</v>
      </c>
      <c r="AD346" s="28"/>
      <c r="AE346" s="28" t="n">
        <f aca="false">AD346*$M346</f>
        <v>0</v>
      </c>
      <c r="AF346" s="28"/>
      <c r="AG346" s="28" t="n">
        <f aca="false">AF346*$M346</f>
        <v>0</v>
      </c>
      <c r="AH346" s="28"/>
      <c r="AI346" s="28" t="n">
        <f aca="false">AH346*$M346</f>
        <v>0</v>
      </c>
      <c r="AJ346" s="28"/>
      <c r="AK346" s="28" t="n">
        <f aca="false">AJ346*$M346</f>
        <v>0</v>
      </c>
      <c r="AL346" s="28"/>
      <c r="AM346" s="28" t="n">
        <f aca="false">AL346*$M346</f>
        <v>0</v>
      </c>
      <c r="AN346" s="28"/>
      <c r="AO346" s="28" t="n">
        <f aca="false">AN346*$M346</f>
        <v>0</v>
      </c>
      <c r="AP346" s="28"/>
      <c r="AQ346" s="28" t="n">
        <f aca="false">AP346*$M346</f>
        <v>0</v>
      </c>
      <c r="AR346" s="28"/>
      <c r="AS346" s="28" t="n">
        <f aca="false">AR346*$M346</f>
        <v>0</v>
      </c>
      <c r="AT346" s="28"/>
      <c r="AU346" s="28" t="n">
        <f aca="false">AT346*$M346</f>
        <v>0</v>
      </c>
      <c r="AV346" s="28"/>
      <c r="AW346" s="28" t="n">
        <f aca="false">AV346*$M346</f>
        <v>0</v>
      </c>
      <c r="AX346" s="28"/>
      <c r="AY346" s="28" t="n">
        <f aca="false">AX346*$M346</f>
        <v>0</v>
      </c>
      <c r="AZ346" s="28"/>
      <c r="BA346" s="28" t="n">
        <f aca="false">AZ346*$M346</f>
        <v>0</v>
      </c>
      <c r="BB346" s="30" t="n">
        <f aca="false">33*288*0.02+179*0.02</f>
        <v>193.66</v>
      </c>
      <c r="BC346" s="11" t="n">
        <v>6197</v>
      </c>
      <c r="BD346" s="31" t="n">
        <f aca="false">SUM(S346,U346,W346,Y346,AA346,AC346,AE346,AG346,AI346,AK346,AM346,AO346,AQ346,AS346,AU346,AW346,AY346,BA346)</f>
        <v>6197</v>
      </c>
      <c r="BE346" s="28" t="n">
        <f aca="false">BC346-BD346</f>
        <v>0</v>
      </c>
      <c r="BF346" s="32" t="n">
        <f aca="false">SUM(R346,T346,V346,X346,Z346,AB346,AD346,AF346,AH346,AJ346,AL346,AN346,AP346,AR346,AT346,AV346,AX346,AZ346)</f>
        <v>193.66</v>
      </c>
      <c r="BG346" s="33" t="n">
        <f aca="false">BB346-BF346</f>
        <v>0</v>
      </c>
      <c r="BH346" s="34" t="n">
        <f aca="false">BF346*M346</f>
        <v>6197.12</v>
      </c>
      <c r="BI346" s="35" t="n">
        <f aca="false">BC346-BH346</f>
        <v>-0.1200000000008</v>
      </c>
      <c r="BJ346" s="19" t="str">
        <f aca="false">IF(BI346=0,"",IF(BI346&lt;&gt;BC346,"erreur de calcul",IF(BF346&lt;&gt;0,"pas de prix",IF(M346&lt;&gt; 0,"pas de quantité","pas de prix, ni de quantité"))))</f>
        <v>erreur de calcul</v>
      </c>
      <c r="BK346" s="19"/>
    </row>
    <row r="347" customFormat="false" ht="16" hidden="false" customHeight="false" outlineLevel="0" collapsed="false">
      <c r="A347" s="0" t="n">
        <v>17</v>
      </c>
      <c r="B347" s="8" t="s">
        <v>24</v>
      </c>
      <c r="C347" s="9" t="s">
        <v>25</v>
      </c>
      <c r="D347" s="9" t="s">
        <v>26</v>
      </c>
      <c r="E347" s="10" t="n">
        <v>1789</v>
      </c>
      <c r="F347" s="9" t="s">
        <v>27</v>
      </c>
      <c r="G347" s="9" t="s">
        <v>27</v>
      </c>
      <c r="H347" s="11" t="n">
        <v>27</v>
      </c>
      <c r="I347" s="11" t="s">
        <v>428</v>
      </c>
      <c r="J347" s="14"/>
      <c r="K347" s="14" t="n">
        <v>12</v>
      </c>
      <c r="L347" s="16"/>
      <c r="M347" s="27" t="n">
        <f aca="false">J347+(K347/20)+(L347/240)</f>
        <v>0.6</v>
      </c>
      <c r="N347" s="17" t="s">
        <v>429</v>
      </c>
      <c r="O347" s="11"/>
      <c r="P347" s="28"/>
      <c r="Q347" s="28" t="str">
        <f aca="false">IF(O347&lt;&gt;"",P347*M347,"")</f>
        <v/>
      </c>
      <c r="R347" s="28" t="n">
        <f aca="false">620*288+173</f>
        <v>178733</v>
      </c>
      <c r="S347" s="28" t="n">
        <v>107240</v>
      </c>
      <c r="T347" s="28"/>
      <c r="U347" s="28" t="n">
        <f aca="false">T347*$M347</f>
        <v>0</v>
      </c>
      <c r="V347" s="28"/>
      <c r="W347" s="28" t="n">
        <f aca="false">V347*$M347</f>
        <v>0</v>
      </c>
      <c r="X347" s="28" t="n">
        <f aca="false">4*288+179</f>
        <v>1331</v>
      </c>
      <c r="Y347" s="28" t="n">
        <v>799</v>
      </c>
      <c r="Z347" s="28"/>
      <c r="AA347" s="28" t="n">
        <f aca="false">Z347*$M347</f>
        <v>0</v>
      </c>
      <c r="AB347" s="28"/>
      <c r="AC347" s="28" t="n">
        <f aca="false">AB347*$M347</f>
        <v>0</v>
      </c>
      <c r="AD347" s="28"/>
      <c r="AE347" s="28" t="n">
        <f aca="false">AD347*$M347</f>
        <v>0</v>
      </c>
      <c r="AF347" s="28"/>
      <c r="AG347" s="28" t="n">
        <f aca="false">AF347*$M347</f>
        <v>0</v>
      </c>
      <c r="AH347" s="28"/>
      <c r="AI347" s="28" t="n">
        <f aca="false">AH347*$M347</f>
        <v>0</v>
      </c>
      <c r="AJ347" s="28" t="n">
        <f aca="false">12*288+227</f>
        <v>3683</v>
      </c>
      <c r="AK347" s="28" t="n">
        <v>2210</v>
      </c>
      <c r="AL347" s="28"/>
      <c r="AM347" s="28" t="n">
        <f aca="false">AL347*$M347</f>
        <v>0</v>
      </c>
      <c r="AN347" s="28"/>
      <c r="AO347" s="28" t="n">
        <f aca="false">AN347*$M347</f>
        <v>0</v>
      </c>
      <c r="AP347" s="28"/>
      <c r="AQ347" s="28" t="n">
        <f aca="false">AP347*$M347</f>
        <v>0</v>
      </c>
      <c r="AR347" s="28"/>
      <c r="AS347" s="28" t="n">
        <f aca="false">AR347*$M347</f>
        <v>0</v>
      </c>
      <c r="AT347" s="28"/>
      <c r="AU347" s="28" t="n">
        <f aca="false">AT347*$M347</f>
        <v>0</v>
      </c>
      <c r="AV347" s="28"/>
      <c r="AW347" s="28" t="n">
        <f aca="false">AV347*$M347</f>
        <v>0</v>
      </c>
      <c r="AX347" s="28"/>
      <c r="AY347" s="28" t="n">
        <f aca="false">AX347*$M347</f>
        <v>0</v>
      </c>
      <c r="AZ347" s="28"/>
      <c r="BA347" s="28" t="n">
        <f aca="false">AZ347*$M347</f>
        <v>0</v>
      </c>
      <c r="BB347" s="30" t="n">
        <f aca="false">638*288+3</f>
        <v>183747</v>
      </c>
      <c r="BC347" s="11" t="n">
        <v>110249</v>
      </c>
      <c r="BD347" s="31" t="n">
        <f aca="false">SUM(S347,U347,W347,Y347,AA347,AC347,AE347,AG347,AI347,AK347,AM347,AO347,AQ347,AS347,AU347,AW347,AY347,BA347)</f>
        <v>110249</v>
      </c>
      <c r="BE347" s="28" t="n">
        <f aca="false">BC347-BD347</f>
        <v>0</v>
      </c>
      <c r="BF347" s="32" t="n">
        <f aca="false">SUM(R347,T347,V347,X347,Z347,AB347,AD347,AF347,AH347,AJ347,AL347,AN347,AP347,AR347,AT347,AV347,AX347,AZ347)</f>
        <v>183747</v>
      </c>
      <c r="BG347" s="33" t="n">
        <f aca="false">BB347-BF347</f>
        <v>0</v>
      </c>
      <c r="BH347" s="34" t="n">
        <f aca="false">BF347*M347</f>
        <v>110248.2</v>
      </c>
      <c r="BI347" s="35" t="n">
        <f aca="false">BC347-BH347</f>
        <v>0.80000000000291</v>
      </c>
      <c r="BJ347" s="19" t="str">
        <f aca="false">IF(BI347=0,"",IF(BI347&lt;&gt;BC347,"erreur de calcul",IF(BF347&lt;&gt;0,"pas de prix",IF(M347&lt;&gt; 0,"pas de quantité","pas de prix, ni de quantité"))))</f>
        <v>erreur de calcul</v>
      </c>
      <c r="BK347" s="19"/>
    </row>
    <row r="348" customFormat="false" ht="16" hidden="false" customHeight="false" outlineLevel="0" collapsed="false">
      <c r="A348" s="0" t="n">
        <v>18</v>
      </c>
      <c r="B348" s="8" t="s">
        <v>24</v>
      </c>
      <c r="C348" s="9" t="s">
        <v>25</v>
      </c>
      <c r="D348" s="9" t="s">
        <v>26</v>
      </c>
      <c r="E348" s="10" t="n">
        <v>1789</v>
      </c>
      <c r="F348" s="9" t="s">
        <v>27</v>
      </c>
      <c r="G348" s="9" t="s">
        <v>27</v>
      </c>
      <c r="H348" s="11" t="n">
        <v>27</v>
      </c>
      <c r="I348" s="11" t="s">
        <v>430</v>
      </c>
      <c r="J348" s="14" t="n">
        <v>30</v>
      </c>
      <c r="K348" s="14"/>
      <c r="L348" s="16"/>
      <c r="M348" s="27" t="n">
        <f aca="false">J348+(K348/20)+(L348/240)</f>
        <v>30</v>
      </c>
      <c r="N348" s="17" t="s">
        <v>64</v>
      </c>
      <c r="O348" s="11" t="s">
        <v>77</v>
      </c>
      <c r="P348" s="28" t="n">
        <f aca="false">34*288*0.02+48*0.02</f>
        <v>196.8</v>
      </c>
      <c r="Q348" s="28" t="n">
        <v>5904</v>
      </c>
      <c r="R348" s="28"/>
      <c r="S348" s="28" t="n">
        <f aca="false">R348*$M348</f>
        <v>0</v>
      </c>
      <c r="T348" s="28"/>
      <c r="U348" s="28" t="n">
        <f aca="false">T348*$M348</f>
        <v>0</v>
      </c>
      <c r="V348" s="28" t="n">
        <f aca="false">3*288*0.02+162*0.02</f>
        <v>20.52</v>
      </c>
      <c r="W348" s="28" t="n">
        <v>616</v>
      </c>
      <c r="X348" s="28"/>
      <c r="Y348" s="28" t="n">
        <f aca="false">X348*$M348</f>
        <v>0</v>
      </c>
      <c r="Z348" s="28" t="n">
        <f aca="false">4*288*0.02+17*0.02</f>
        <v>23.38</v>
      </c>
      <c r="AA348" s="28" t="n">
        <v>702</v>
      </c>
      <c r="AB348" s="28" t="n">
        <f aca="false">3*288*0.02+169*0.02</f>
        <v>20.66</v>
      </c>
      <c r="AC348" s="28" t="n">
        <v>620</v>
      </c>
      <c r="AD348" s="28" t="n">
        <f aca="false">10*288*0.02+224*0.02</f>
        <v>62.08</v>
      </c>
      <c r="AE348" s="28" t="n">
        <v>1863</v>
      </c>
      <c r="AF348" s="28"/>
      <c r="AG348" s="28" t="n">
        <f aca="false">AF348*$M348</f>
        <v>0</v>
      </c>
      <c r="AH348" s="28"/>
      <c r="AI348" s="28" t="n">
        <f aca="false">AH348*$M348</f>
        <v>0</v>
      </c>
      <c r="AJ348" s="28" t="n">
        <f aca="false">200*0.02</f>
        <v>4</v>
      </c>
      <c r="AK348" s="28" t="n">
        <v>120</v>
      </c>
      <c r="AL348" s="28"/>
      <c r="AM348" s="28" t="n">
        <f aca="false">AL348*$M348</f>
        <v>0</v>
      </c>
      <c r="AN348" s="28"/>
      <c r="AO348" s="28" t="n">
        <f aca="false">AN348*$M348</f>
        <v>0</v>
      </c>
      <c r="AP348" s="28"/>
      <c r="AQ348" s="28" t="n">
        <f aca="false">AP348*$M348</f>
        <v>0</v>
      </c>
      <c r="AR348" s="28"/>
      <c r="AS348" s="28" t="n">
        <f aca="false">AR348*$M348</f>
        <v>0</v>
      </c>
      <c r="AT348" s="28"/>
      <c r="AU348" s="28" t="n">
        <f aca="false">AT348*$M348</f>
        <v>0</v>
      </c>
      <c r="AV348" s="28"/>
      <c r="AW348" s="28" t="n">
        <f aca="false">AV348*$M348</f>
        <v>0</v>
      </c>
      <c r="AX348" s="28"/>
      <c r="AY348" s="28" t="n">
        <f aca="false">AX348*$M348</f>
        <v>0</v>
      </c>
      <c r="AZ348" s="28"/>
      <c r="BA348" s="28" t="n">
        <f aca="false">AZ348*$M348</f>
        <v>0</v>
      </c>
      <c r="BB348" s="30" t="n">
        <f aca="false">22*288*0.02+196*0.02</f>
        <v>130.64</v>
      </c>
      <c r="BC348" s="11" t="n">
        <v>3921</v>
      </c>
      <c r="BD348" s="31" t="n">
        <f aca="false">SUM(S348,U348,W348,Y348,AA348,AC348,AE348,AG348,AI348,AK348,AM348,AO348,AQ348,AS348,AU348,AW348,AY348,BA348)</f>
        <v>3921</v>
      </c>
      <c r="BE348" s="28" t="n">
        <f aca="false">BC348-BD348</f>
        <v>0</v>
      </c>
      <c r="BF348" s="32" t="n">
        <f aca="false">SUM(R348,T348,V348,X348,Z348,AB348,AD348,AF348,AH348,AJ348,AL348,AN348,AP348,AR348,AT348,AV348,AX348,AZ348)</f>
        <v>130.64</v>
      </c>
      <c r="BG348" s="33" t="n">
        <f aca="false">BB348-BF348</f>
        <v>0</v>
      </c>
      <c r="BH348" s="34" t="n">
        <f aca="false">BF348*M348</f>
        <v>3919.2</v>
      </c>
      <c r="BI348" s="35" t="n">
        <f aca="false">BC348-BH348</f>
        <v>1.80000000000018</v>
      </c>
      <c r="BJ348" s="19" t="str">
        <f aca="false">IF(BI348=0,"",IF(BI348&lt;&gt;BC348,"erreur de calcul",IF(BF348&lt;&gt;0,"pas de prix",IF(M348&lt;&gt; 0,"pas de quantité","pas de prix, ni de quantité"))))</f>
        <v>erreur de calcul</v>
      </c>
      <c r="BK348" s="19"/>
    </row>
    <row r="349" customFormat="false" ht="16" hidden="false" customHeight="false" outlineLevel="0" collapsed="false">
      <c r="A349" s="0" t="n">
        <v>19</v>
      </c>
      <c r="B349" s="8" t="s">
        <v>24</v>
      </c>
      <c r="C349" s="9" t="s">
        <v>25</v>
      </c>
      <c r="D349" s="9" t="s">
        <v>26</v>
      </c>
      <c r="E349" s="10" t="n">
        <v>1789</v>
      </c>
      <c r="F349" s="9" t="s">
        <v>27</v>
      </c>
      <c r="G349" s="9" t="s">
        <v>27</v>
      </c>
      <c r="H349" s="11" t="n">
        <v>27</v>
      </c>
      <c r="I349" s="11" t="s">
        <v>431</v>
      </c>
      <c r="J349" s="14" t="n">
        <v>10</v>
      </c>
      <c r="K349" s="14"/>
      <c r="L349" s="16"/>
      <c r="M349" s="27" t="n">
        <f aca="false">J349+(K349/20)+(L349/240)</f>
        <v>10</v>
      </c>
      <c r="N349" s="17" t="s">
        <v>432</v>
      </c>
      <c r="O349" s="11" t="s">
        <v>109</v>
      </c>
      <c r="P349" s="28" t="n">
        <f aca="false">7*(288/62.5)+109/62.5</f>
        <v>34</v>
      </c>
      <c r="Q349" s="28" t="n">
        <f aca="false">IF(O349&lt;&gt;"",P349*M349,"")</f>
        <v>340</v>
      </c>
      <c r="R349" s="28" t="n">
        <f aca="false">105*(288/62.5)+135/62.5</f>
        <v>486</v>
      </c>
      <c r="S349" s="28" t="n">
        <v>4860</v>
      </c>
      <c r="T349" s="28"/>
      <c r="U349" s="28" t="n">
        <f aca="false">T349*$M349</f>
        <v>0</v>
      </c>
      <c r="V349" s="28" t="n">
        <f aca="false">8*(288/62.5)+196/62.5</f>
        <v>40</v>
      </c>
      <c r="W349" s="28" t="n">
        <v>400</v>
      </c>
      <c r="X349" s="28"/>
      <c r="Y349" s="28" t="n">
        <f aca="false">X349*$M349</f>
        <v>0</v>
      </c>
      <c r="Z349" s="28"/>
      <c r="AA349" s="28" t="n">
        <f aca="false">Z349*$M349</f>
        <v>0</v>
      </c>
      <c r="AB349" s="28"/>
      <c r="AC349" s="28" t="n">
        <f aca="false">AB349*$M349</f>
        <v>0</v>
      </c>
      <c r="AD349" s="28"/>
      <c r="AE349" s="28" t="n">
        <f aca="false">AD349*$M349</f>
        <v>0</v>
      </c>
      <c r="AF349" s="28"/>
      <c r="AG349" s="28" t="n">
        <f aca="false">AF349*$M349</f>
        <v>0</v>
      </c>
      <c r="AH349" s="28"/>
      <c r="AI349" s="28" t="n">
        <f aca="false">AH349*$M349</f>
        <v>0</v>
      </c>
      <c r="AJ349" s="28"/>
      <c r="AK349" s="28" t="n">
        <f aca="false">AJ349*$M349</f>
        <v>0</v>
      </c>
      <c r="AL349" s="28"/>
      <c r="AM349" s="28" t="n">
        <f aca="false">AL349*$M349</f>
        <v>0</v>
      </c>
      <c r="AN349" s="28"/>
      <c r="AO349" s="28" t="n">
        <f aca="false">AN349*$M349</f>
        <v>0</v>
      </c>
      <c r="AP349" s="28"/>
      <c r="AQ349" s="28" t="n">
        <f aca="false">AP349*$M349</f>
        <v>0</v>
      </c>
      <c r="AR349" s="28"/>
      <c r="AS349" s="28" t="n">
        <f aca="false">AR349*$M349</f>
        <v>0</v>
      </c>
      <c r="AT349" s="28"/>
      <c r="AU349" s="28" t="n">
        <f aca="false">AT349*$M349</f>
        <v>0</v>
      </c>
      <c r="AV349" s="28"/>
      <c r="AW349" s="28" t="n">
        <f aca="false">AV349*$M349</f>
        <v>0</v>
      </c>
      <c r="AX349" s="28"/>
      <c r="AY349" s="28" t="n">
        <f aca="false">AX349*$M349</f>
        <v>0</v>
      </c>
      <c r="AZ349" s="28"/>
      <c r="BA349" s="28" t="n">
        <f aca="false">AZ349*$M349</f>
        <v>0</v>
      </c>
      <c r="BB349" s="30" t="n">
        <f aca="false">114*(288/62.5)+43/62.5</f>
        <v>526</v>
      </c>
      <c r="BC349" s="11" t="n">
        <v>5260</v>
      </c>
      <c r="BD349" s="31" t="n">
        <f aca="false">SUM(S349,U349,W349,Y349,AA349,AC349,AE349,AG349,AI349,AK349,AM349,AO349,AQ349,AS349,AU349,AW349,AY349,BA349)</f>
        <v>5260</v>
      </c>
      <c r="BE349" s="28" t="n">
        <f aca="false">BC349-BD349</f>
        <v>0</v>
      </c>
      <c r="BF349" s="32" t="n">
        <f aca="false">SUM(R349,T349,V349,X349,Z349,AB349,AD349,AF349,AH349,AJ349,AL349,AN349,AP349,AR349,AT349,AV349,AX349,AZ349)</f>
        <v>526</v>
      </c>
      <c r="BG349" s="33" t="n">
        <f aca="false">BB349-BF349</f>
        <v>0</v>
      </c>
      <c r="BH349" s="34" t="n">
        <f aca="false">BF349*M349</f>
        <v>5260</v>
      </c>
      <c r="BI349" s="35" t="n">
        <f aca="false">BC349-BH349</f>
        <v>0</v>
      </c>
      <c r="BJ349" s="19" t="str">
        <f aca="false">IF(BI349=0,"",IF(BI349&lt;&gt;BC349,"erreur de calcul",IF(BF349&lt;&gt;0,"pas de prix",IF(M349&lt;&gt; 0,"pas de quantité","pas de prix, ni de quantité"))))</f>
        <v/>
      </c>
      <c r="BK349" s="19"/>
    </row>
    <row r="350" customFormat="false" ht="16" hidden="false" customHeight="false" outlineLevel="0" collapsed="false">
      <c r="A350" s="0" t="n">
        <v>20</v>
      </c>
      <c r="B350" s="8" t="s">
        <v>24</v>
      </c>
      <c r="C350" s="9" t="s">
        <v>25</v>
      </c>
      <c r="D350" s="9" t="s">
        <v>26</v>
      </c>
      <c r="E350" s="10" t="n">
        <v>1789</v>
      </c>
      <c r="F350" s="9" t="s">
        <v>27</v>
      </c>
      <c r="G350" s="9" t="s">
        <v>27</v>
      </c>
      <c r="H350" s="11" t="n">
        <v>27</v>
      </c>
      <c r="I350" s="11" t="s">
        <v>433</v>
      </c>
      <c r="J350" s="14"/>
      <c r="K350" s="14" t="n">
        <v>14</v>
      </c>
      <c r="L350" s="16"/>
      <c r="M350" s="27" t="n">
        <f aca="false">J350+(K350/20)+(L350/240)</f>
        <v>0.7</v>
      </c>
      <c r="N350" s="17" t="s">
        <v>429</v>
      </c>
      <c r="O350" s="11"/>
      <c r="P350" s="28"/>
      <c r="Q350" s="28" t="str">
        <f aca="false">IF(O350&lt;&gt;"",P350*M350,"")</f>
        <v/>
      </c>
      <c r="R350" s="28" t="n">
        <f aca="false">103*288+190</f>
        <v>29854</v>
      </c>
      <c r="S350" s="28" t="n">
        <v>20898</v>
      </c>
      <c r="T350" s="28"/>
      <c r="U350" s="28" t="n">
        <f aca="false">T350*$M350</f>
        <v>0</v>
      </c>
      <c r="V350" s="28"/>
      <c r="W350" s="28" t="n">
        <f aca="false">V350*$M350</f>
        <v>0</v>
      </c>
      <c r="X350" s="28"/>
      <c r="Y350" s="28" t="n">
        <f aca="false">X350*$M350</f>
        <v>0</v>
      </c>
      <c r="Z350" s="28"/>
      <c r="AA350" s="28" t="n">
        <f aca="false">Z350*$M350</f>
        <v>0</v>
      </c>
      <c r="AB350" s="28"/>
      <c r="AC350" s="28" t="n">
        <f aca="false">AB350*$M350</f>
        <v>0</v>
      </c>
      <c r="AD350" s="28"/>
      <c r="AE350" s="28" t="n">
        <f aca="false">AD350*$M350</f>
        <v>0</v>
      </c>
      <c r="AF350" s="28"/>
      <c r="AG350" s="28" t="n">
        <f aca="false">AF350*$M350</f>
        <v>0</v>
      </c>
      <c r="AH350" s="28"/>
      <c r="AI350" s="28" t="n">
        <f aca="false">AH350*$M350</f>
        <v>0</v>
      </c>
      <c r="AJ350" s="28"/>
      <c r="AK350" s="28" t="n">
        <f aca="false">AJ350*$M350</f>
        <v>0</v>
      </c>
      <c r="AL350" s="28"/>
      <c r="AM350" s="28" t="n">
        <f aca="false">AL350*$M350</f>
        <v>0</v>
      </c>
      <c r="AN350" s="28"/>
      <c r="AO350" s="28" t="n">
        <f aca="false">AN350*$M350</f>
        <v>0</v>
      </c>
      <c r="AP350" s="28"/>
      <c r="AQ350" s="28" t="n">
        <f aca="false">AP350*$M350</f>
        <v>0</v>
      </c>
      <c r="AR350" s="28"/>
      <c r="AS350" s="28" t="n">
        <f aca="false">AR350*$M350</f>
        <v>0</v>
      </c>
      <c r="AT350" s="28"/>
      <c r="AU350" s="28" t="n">
        <f aca="false">AT350*$M350</f>
        <v>0</v>
      </c>
      <c r="AV350" s="28"/>
      <c r="AW350" s="28" t="n">
        <f aca="false">AV350*$M350</f>
        <v>0</v>
      </c>
      <c r="AX350" s="28"/>
      <c r="AY350" s="28" t="n">
        <f aca="false">AX350*$M350</f>
        <v>0</v>
      </c>
      <c r="AZ350" s="28"/>
      <c r="BA350" s="28" t="n">
        <f aca="false">AZ350*$M350</f>
        <v>0</v>
      </c>
      <c r="BB350" s="30" t="n">
        <f aca="false">103*288+190</f>
        <v>29854</v>
      </c>
      <c r="BC350" s="11" t="n">
        <v>20898</v>
      </c>
      <c r="BD350" s="31" t="n">
        <f aca="false">SUM(S350,U350,W350,Y350,AA350,AC350,AE350,AG350,AI350,AK350,AM350,AO350,AQ350,AS350,AU350,AW350,AY350,BA350)</f>
        <v>20898</v>
      </c>
      <c r="BE350" s="28" t="n">
        <f aca="false">BC350-BD350</f>
        <v>0</v>
      </c>
      <c r="BF350" s="32" t="n">
        <f aca="false">SUM(R350,T350,V350,X350,Z350,AB350,AD350,AF350,AH350,AJ350,AL350,AN350,AP350,AR350,AT350,AV350,AX350,AZ350)</f>
        <v>29854</v>
      </c>
      <c r="BG350" s="33" t="n">
        <f aca="false">BB350-BF350</f>
        <v>0</v>
      </c>
      <c r="BH350" s="34" t="n">
        <f aca="false">BF350*M350</f>
        <v>20897.8</v>
      </c>
      <c r="BI350" s="35" t="n">
        <f aca="false">BC350-BH350</f>
        <v>0.200000000000728</v>
      </c>
      <c r="BJ350" s="19" t="str">
        <f aca="false">IF(BI350=0,"",IF(BI350&lt;&gt;BC350,"erreur de calcul",IF(BF350&lt;&gt;0,"pas de prix",IF(M350&lt;&gt; 0,"pas de quantité","pas de prix, ni de quantité"))))</f>
        <v>erreur de calcul</v>
      </c>
      <c r="BK350" s="19"/>
    </row>
    <row r="351" customFormat="false" ht="16" hidden="false" customHeight="false" outlineLevel="0" collapsed="false">
      <c r="A351" s="0" t="n">
        <v>21</v>
      </c>
      <c r="B351" s="8" t="s">
        <v>24</v>
      </c>
      <c r="C351" s="9" t="s">
        <v>25</v>
      </c>
      <c r="D351" s="9" t="s">
        <v>26</v>
      </c>
      <c r="E351" s="10" t="n">
        <v>1789</v>
      </c>
      <c r="F351" s="9" t="s">
        <v>27</v>
      </c>
      <c r="G351" s="9" t="s">
        <v>27</v>
      </c>
      <c r="H351" s="11" t="n">
        <v>27</v>
      </c>
      <c r="I351" s="11" t="s">
        <v>434</v>
      </c>
      <c r="J351" s="14"/>
      <c r="K351" s="14" t="n">
        <v>5</v>
      </c>
      <c r="L351" s="16"/>
      <c r="M351" s="27" t="n">
        <f aca="false">J351+(K351/20)+(L351/240)</f>
        <v>0.25</v>
      </c>
      <c r="N351" s="17" t="s">
        <v>79</v>
      </c>
      <c r="O351" s="11"/>
      <c r="P351" s="28"/>
      <c r="Q351" s="28" t="str">
        <f aca="false">IF(O351&lt;&gt;"",P351*M351,"")</f>
        <v/>
      </c>
      <c r="R351" s="28" t="n">
        <v>300402</v>
      </c>
      <c r="S351" s="28" t="n">
        <v>75100</v>
      </c>
      <c r="T351" s="28"/>
      <c r="U351" s="28" t="n">
        <f aca="false">T351*$M351</f>
        <v>0</v>
      </c>
      <c r="V351" s="28"/>
      <c r="W351" s="28" t="n">
        <f aca="false">V351*$M351</f>
        <v>0</v>
      </c>
      <c r="X351" s="28" t="n">
        <v>448</v>
      </c>
      <c r="Y351" s="28" t="n">
        <v>112</v>
      </c>
      <c r="Z351" s="28"/>
      <c r="AA351" s="28" t="n">
        <f aca="false">Z351*$M351</f>
        <v>0</v>
      </c>
      <c r="AB351" s="28"/>
      <c r="AC351" s="28" t="n">
        <f aca="false">AB351*$M351</f>
        <v>0</v>
      </c>
      <c r="AD351" s="28"/>
      <c r="AE351" s="28" t="n">
        <f aca="false">AD351*$M351</f>
        <v>0</v>
      </c>
      <c r="AF351" s="28"/>
      <c r="AG351" s="28" t="n">
        <f aca="false">AF351*$M351</f>
        <v>0</v>
      </c>
      <c r="AH351" s="28"/>
      <c r="AI351" s="28" t="n">
        <f aca="false">AH351*$M351</f>
        <v>0</v>
      </c>
      <c r="AJ351" s="28"/>
      <c r="AK351" s="28" t="n">
        <f aca="false">AJ351*$M351</f>
        <v>0</v>
      </c>
      <c r="AL351" s="28"/>
      <c r="AM351" s="28" t="n">
        <f aca="false">AL351*$M351</f>
        <v>0</v>
      </c>
      <c r="AN351" s="28"/>
      <c r="AO351" s="28" t="n">
        <f aca="false">AN351*$M351</f>
        <v>0</v>
      </c>
      <c r="AP351" s="28"/>
      <c r="AQ351" s="28" t="n">
        <f aca="false">AP351*$M351</f>
        <v>0</v>
      </c>
      <c r="AR351" s="28"/>
      <c r="AS351" s="28" t="n">
        <f aca="false">AR351*$M351</f>
        <v>0</v>
      </c>
      <c r="AT351" s="28"/>
      <c r="AU351" s="28" t="n">
        <f aca="false">AT351*$M351</f>
        <v>0</v>
      </c>
      <c r="AV351" s="28"/>
      <c r="AW351" s="28" t="n">
        <f aca="false">AV351*$M351</f>
        <v>0</v>
      </c>
      <c r="AX351" s="28"/>
      <c r="AY351" s="28" t="n">
        <f aca="false">AX351*$M351</f>
        <v>0</v>
      </c>
      <c r="AZ351" s="28"/>
      <c r="BA351" s="28" t="n">
        <f aca="false">AZ351*$M351</f>
        <v>0</v>
      </c>
      <c r="BB351" s="30" t="n">
        <v>300850</v>
      </c>
      <c r="BC351" s="11" t="n">
        <v>75212</v>
      </c>
      <c r="BD351" s="31" t="n">
        <f aca="false">SUM(S351,U351,W351,Y351,AA351,AC351,AE351,AG351,AI351,AK351,AM351,AO351,AQ351,AS351,AU351,AW351,AY351,BA351)</f>
        <v>75212</v>
      </c>
      <c r="BE351" s="28" t="n">
        <f aca="false">BC351-BD351</f>
        <v>0</v>
      </c>
      <c r="BF351" s="32" t="n">
        <f aca="false">SUM(R351,T351,V351,X351,Z351,AB351,AD351,AF351,AH351,AJ351,AL351,AN351,AP351,AR351,AT351,AV351,AX351,AZ351)</f>
        <v>300850</v>
      </c>
      <c r="BG351" s="33" t="n">
        <f aca="false">BB351-BF351</f>
        <v>0</v>
      </c>
      <c r="BH351" s="34" t="n">
        <f aca="false">BF351*M351</f>
        <v>75212.5</v>
      </c>
      <c r="BI351" s="35" t="n">
        <f aca="false">BC351-BH351</f>
        <v>-0.5</v>
      </c>
      <c r="BJ351" s="19" t="str">
        <f aca="false">IF(BI351=0,"",IF(BI351&lt;&gt;BC351,"erreur de calcul",IF(BF351&lt;&gt;0,"pas de prix",IF(M351&lt;&gt; 0,"pas de quantité","pas de prix, ni de quantité"))))</f>
        <v>erreur de calcul</v>
      </c>
      <c r="BK351" s="19"/>
    </row>
    <row r="352" customFormat="false" ht="84" hidden="false" customHeight="true" outlineLevel="0" collapsed="false">
      <c r="A352" s="0" t="s">
        <v>31</v>
      </c>
      <c r="B352" s="2" t="s">
        <v>0</v>
      </c>
      <c r="C352" s="2" t="s">
        <v>1</v>
      </c>
      <c r="D352" s="2" t="s">
        <v>2</v>
      </c>
      <c r="E352" s="2" t="s">
        <v>3</v>
      </c>
      <c r="F352" s="2" t="s">
        <v>4</v>
      </c>
      <c r="G352" s="2" t="s">
        <v>5</v>
      </c>
      <c r="H352" s="2" t="s">
        <v>6</v>
      </c>
      <c r="I352" s="3" t="s">
        <v>7</v>
      </c>
      <c r="J352" s="5" t="s">
        <v>12</v>
      </c>
      <c r="K352" s="5" t="s">
        <v>13</v>
      </c>
      <c r="L352" s="5" t="s">
        <v>14</v>
      </c>
      <c r="M352" s="7" t="s">
        <v>15</v>
      </c>
      <c r="N352" s="6" t="s">
        <v>32</v>
      </c>
      <c r="O352" s="6" t="s">
        <v>33</v>
      </c>
      <c r="P352" s="6"/>
      <c r="Q352" s="6"/>
      <c r="R352" s="6" t="s">
        <v>34</v>
      </c>
      <c r="S352" s="6"/>
      <c r="T352" s="6" t="s">
        <v>35</v>
      </c>
      <c r="U352" s="6"/>
      <c r="V352" s="6" t="s">
        <v>36</v>
      </c>
      <c r="W352" s="6"/>
      <c r="X352" s="6" t="s">
        <v>37</v>
      </c>
      <c r="Y352" s="6"/>
      <c r="Z352" s="6" t="s">
        <v>38</v>
      </c>
      <c r="AA352" s="6"/>
      <c r="AB352" s="6" t="s">
        <v>39</v>
      </c>
      <c r="AC352" s="6"/>
      <c r="AD352" s="6" t="s">
        <v>40</v>
      </c>
      <c r="AE352" s="6"/>
      <c r="AF352" s="6" t="s">
        <v>41</v>
      </c>
      <c r="AG352" s="6"/>
      <c r="AH352" s="6" t="s">
        <v>42</v>
      </c>
      <c r="AI352" s="6"/>
      <c r="AJ352" s="6" t="s">
        <v>43</v>
      </c>
      <c r="AK352" s="6"/>
      <c r="AL352" s="6" t="s">
        <v>44</v>
      </c>
      <c r="AM352" s="6"/>
      <c r="AN352" s="6" t="s">
        <v>45</v>
      </c>
      <c r="AO352" s="6"/>
      <c r="AP352" s="6" t="s">
        <v>46</v>
      </c>
      <c r="AQ352" s="6"/>
      <c r="AR352" s="6" t="s">
        <v>47</v>
      </c>
      <c r="AS352" s="6"/>
      <c r="AT352" s="6" t="s">
        <v>48</v>
      </c>
      <c r="AU352" s="6"/>
      <c r="AV352" s="6" t="s">
        <v>49</v>
      </c>
      <c r="AW352" s="6"/>
      <c r="AX352" s="6" t="s">
        <v>50</v>
      </c>
      <c r="AY352" s="6"/>
      <c r="AZ352" s="6" t="s">
        <v>51</v>
      </c>
      <c r="BA352" s="6"/>
      <c r="BB352" s="6" t="s">
        <v>52</v>
      </c>
      <c r="BC352" s="6"/>
      <c r="BD352" s="6"/>
      <c r="BE352" s="6"/>
      <c r="BF352" s="6" t="s">
        <v>53</v>
      </c>
      <c r="BG352" s="6" t="s">
        <v>54</v>
      </c>
      <c r="BH352" s="6" t="s">
        <v>55</v>
      </c>
      <c r="BI352" s="6" t="s">
        <v>56</v>
      </c>
      <c r="BJ352" s="6" t="s">
        <v>57</v>
      </c>
      <c r="BK352" s="6" t="s">
        <v>23</v>
      </c>
    </row>
    <row r="353" customFormat="false" ht="16" hidden="false" customHeight="false" outlineLevel="0" collapsed="false">
      <c r="B353" s="20"/>
      <c r="C353" s="20"/>
      <c r="D353" s="20"/>
      <c r="E353" s="21"/>
      <c r="F353" s="20"/>
      <c r="G353" s="20"/>
      <c r="H353" s="20"/>
      <c r="I353" s="22"/>
      <c r="J353" s="23"/>
      <c r="K353" s="23"/>
      <c r="L353" s="24"/>
      <c r="M353" s="25"/>
      <c r="N353" s="25"/>
      <c r="O353" s="26" t="s">
        <v>58</v>
      </c>
      <c r="P353" s="25" t="s">
        <v>59</v>
      </c>
      <c r="Q353" s="25" t="s">
        <v>60</v>
      </c>
      <c r="R353" s="25" t="s">
        <v>59</v>
      </c>
      <c r="S353" s="25" t="s">
        <v>60</v>
      </c>
      <c r="T353" s="25" t="s">
        <v>59</v>
      </c>
      <c r="U353" s="25" t="s">
        <v>60</v>
      </c>
      <c r="V353" s="25" t="s">
        <v>59</v>
      </c>
      <c r="W353" s="25" t="s">
        <v>60</v>
      </c>
      <c r="X353" s="25" t="s">
        <v>59</v>
      </c>
      <c r="Y353" s="25" t="s">
        <v>60</v>
      </c>
      <c r="Z353" s="25" t="s">
        <v>59</v>
      </c>
      <c r="AA353" s="25" t="s">
        <v>60</v>
      </c>
      <c r="AB353" s="25" t="s">
        <v>59</v>
      </c>
      <c r="AC353" s="25" t="s">
        <v>60</v>
      </c>
      <c r="AD353" s="25" t="s">
        <v>59</v>
      </c>
      <c r="AE353" s="25" t="s">
        <v>60</v>
      </c>
      <c r="AF353" s="25" t="s">
        <v>59</v>
      </c>
      <c r="AG353" s="25" t="s">
        <v>60</v>
      </c>
      <c r="AH353" s="25" t="s">
        <v>59</v>
      </c>
      <c r="AI353" s="25" t="s">
        <v>60</v>
      </c>
      <c r="AJ353" s="25" t="s">
        <v>59</v>
      </c>
      <c r="AK353" s="25" t="s">
        <v>60</v>
      </c>
      <c r="AL353" s="25" t="s">
        <v>59</v>
      </c>
      <c r="AM353" s="25" t="s">
        <v>60</v>
      </c>
      <c r="AN353" s="25" t="s">
        <v>59</v>
      </c>
      <c r="AO353" s="25" t="s">
        <v>60</v>
      </c>
      <c r="AP353" s="25" t="s">
        <v>59</v>
      </c>
      <c r="AQ353" s="25" t="s">
        <v>60</v>
      </c>
      <c r="AR353" s="25" t="s">
        <v>59</v>
      </c>
      <c r="AS353" s="25" t="s">
        <v>60</v>
      </c>
      <c r="AT353" s="25" t="s">
        <v>59</v>
      </c>
      <c r="AU353" s="25" t="s">
        <v>60</v>
      </c>
      <c r="AV353" s="25" t="s">
        <v>59</v>
      </c>
      <c r="AW353" s="25" t="s">
        <v>60</v>
      </c>
      <c r="AX353" s="25" t="s">
        <v>59</v>
      </c>
      <c r="AY353" s="25" t="s">
        <v>60</v>
      </c>
      <c r="AZ353" s="25" t="s">
        <v>59</v>
      </c>
      <c r="BA353" s="25" t="s">
        <v>60</v>
      </c>
      <c r="BB353" s="25" t="s">
        <v>61</v>
      </c>
      <c r="BC353" s="25" t="s">
        <v>62</v>
      </c>
      <c r="BD353" s="20"/>
      <c r="BE353" s="20"/>
      <c r="BF353" s="20"/>
      <c r="BG353" s="20"/>
      <c r="BH353" s="20"/>
      <c r="BI353" s="20"/>
    </row>
    <row r="354" customFormat="false" ht="16" hidden="false" customHeight="false" outlineLevel="0" collapsed="false">
      <c r="A354" s="0" t="n">
        <v>1</v>
      </c>
      <c r="B354" s="8" t="s">
        <v>24</v>
      </c>
      <c r="C354" s="9" t="s">
        <v>25</v>
      </c>
      <c r="D354" s="9" t="s">
        <v>26</v>
      </c>
      <c r="E354" s="10" t="n">
        <v>1789</v>
      </c>
      <c r="F354" s="9" t="s">
        <v>27</v>
      </c>
      <c r="G354" s="9" t="s">
        <v>27</v>
      </c>
      <c r="H354" s="11" t="n">
        <v>18</v>
      </c>
      <c r="I354" s="11" t="s">
        <v>63</v>
      </c>
      <c r="J354" s="14" t="n">
        <v>27</v>
      </c>
      <c r="K354" s="14"/>
      <c r="L354" s="16"/>
      <c r="M354" s="27" t="n">
        <f aca="false">J354+(K354/20)+(L354/240)</f>
        <v>27</v>
      </c>
      <c r="N354" s="17" t="s">
        <v>64</v>
      </c>
      <c r="O354" s="11" t="s">
        <v>34</v>
      </c>
      <c r="P354" s="28"/>
      <c r="Q354" s="28" t="n">
        <f aca="false">P354*$M354</f>
        <v>0</v>
      </c>
      <c r="R354" s="28"/>
      <c r="S354" s="28" t="n">
        <f aca="false">R354*$M354</f>
        <v>0</v>
      </c>
      <c r="T354" s="28"/>
      <c r="U354" s="28" t="n">
        <f aca="false">T354*$M354</f>
        <v>0</v>
      </c>
      <c r="V354" s="28" t="n">
        <f aca="false">700/100</f>
        <v>7</v>
      </c>
      <c r="W354" s="28" t="n">
        <v>189</v>
      </c>
      <c r="X354" s="29"/>
      <c r="Y354" s="28" t="n">
        <v>9506</v>
      </c>
      <c r="Z354" s="28"/>
      <c r="AA354" s="28" t="n">
        <f aca="false">Z354*$M354</f>
        <v>0</v>
      </c>
      <c r="AB354" s="28"/>
      <c r="AC354" s="28" t="n">
        <f aca="false">AB354*$M354</f>
        <v>0</v>
      </c>
      <c r="AD354" s="28"/>
      <c r="AE354" s="28" t="n">
        <f aca="false">AD354*$M354</f>
        <v>0</v>
      </c>
      <c r="AF354" s="28"/>
      <c r="AG354" s="28" t="n">
        <f aca="false">AF354*$M354</f>
        <v>0</v>
      </c>
      <c r="AH354" s="28"/>
      <c r="AI354" s="28" t="n">
        <f aca="false">AH354*$M354</f>
        <v>0</v>
      </c>
      <c r="AJ354" s="28" t="n">
        <f aca="false">72509/100</f>
        <v>725.09</v>
      </c>
      <c r="AK354" s="28" t="n">
        <v>19577</v>
      </c>
      <c r="AL354" s="28"/>
      <c r="AM354" s="28" t="n">
        <f aca="false">AL354*$M354</f>
        <v>0</v>
      </c>
      <c r="AN354" s="28"/>
      <c r="AO354" s="28" t="n">
        <f aca="false">AN354*$M354</f>
        <v>0</v>
      </c>
      <c r="AP354" s="28"/>
      <c r="AQ354" s="28" t="n">
        <f aca="false">AP354*$M354</f>
        <v>0</v>
      </c>
      <c r="AR354" s="28" t="n">
        <f aca="false">36750/100</f>
        <v>367.5</v>
      </c>
      <c r="AS354" s="28" t="n">
        <v>9922</v>
      </c>
      <c r="AT354" s="28"/>
      <c r="AU354" s="28" t="n">
        <f aca="false">AT354*$M354</f>
        <v>0</v>
      </c>
      <c r="AV354" s="28"/>
      <c r="AW354" s="28" t="n">
        <f aca="false">AV354*$M354</f>
        <v>0</v>
      </c>
      <c r="AX354" s="28"/>
      <c r="AY354" s="28" t="n">
        <f aca="false">AX354*$M354</f>
        <v>0</v>
      </c>
      <c r="AZ354" s="30" t="n">
        <f aca="false">145166/100</f>
        <v>1451.66</v>
      </c>
      <c r="BA354" s="11" t="n">
        <v>39194</v>
      </c>
      <c r="BB354" s="31" t="n">
        <f aca="false">SUM(Q354,S354,U354,W354,Y354,AA354,AC354,AE354,AG354,AI354,AK354,AM354,AO354,AQ354,AS354,AU354,AW354,AY354)</f>
        <v>39194</v>
      </c>
      <c r="BC354" s="28" t="n">
        <f aca="false">BA354-BB354</f>
        <v>0</v>
      </c>
      <c r="BD354" s="32" t="n">
        <f aca="false">SUM(P354,R354,T354,V354,X354,Z354,AB354,AD354,AF354,AH354,AJ354,AL354,AN354,AP354,AR354,AT354,AV354,AX354)</f>
        <v>1099.59</v>
      </c>
      <c r="BE354" s="33" t="n">
        <f aca="false">AZ354-BD354</f>
        <v>352.07</v>
      </c>
      <c r="BF354" s="34" t="n">
        <f aca="false">BD354*M354</f>
        <v>29688.93</v>
      </c>
      <c r="BG354" s="35" t="n">
        <f aca="false">BA354-BF354</f>
        <v>9505.07</v>
      </c>
      <c r="BH354" s="19" t="str">
        <f aca="false">IF(BG354=0,"",IF(BG354&lt;&gt;BA354,"erreur de calcul",IF(BD354&lt;&gt;0,"pas de prix",IF(M354&lt;&gt; 0,"pas de quantité","pas de prix, ni de quantité"))))</f>
        <v>erreur de calcul</v>
      </c>
      <c r="BI354" s="19"/>
    </row>
    <row r="355" customFormat="false" ht="16" hidden="false" customHeight="false" outlineLevel="0" collapsed="false">
      <c r="A355" s="0" t="n">
        <v>2</v>
      </c>
      <c r="B355" s="8" t="s">
        <v>24</v>
      </c>
      <c r="C355" s="9" t="s">
        <v>25</v>
      </c>
      <c r="D355" s="9" t="s">
        <v>26</v>
      </c>
      <c r="E355" s="10" t="n">
        <v>1789</v>
      </c>
      <c r="F355" s="9" t="s">
        <v>27</v>
      </c>
      <c r="G355" s="9" t="s">
        <v>27</v>
      </c>
      <c r="H355" s="11" t="n">
        <v>18</v>
      </c>
      <c r="I355" s="11" t="s">
        <v>65</v>
      </c>
      <c r="J355" s="14"/>
      <c r="K355" s="14" t="n">
        <v>20</v>
      </c>
      <c r="L355" s="16"/>
      <c r="M355" s="27" t="n">
        <f aca="false">J355+(K355/20)+(L355/240)</f>
        <v>1</v>
      </c>
      <c r="N355" s="17" t="s">
        <v>66</v>
      </c>
      <c r="O355" s="11" t="s">
        <v>34</v>
      </c>
      <c r="P355" s="28"/>
      <c r="Q355" s="28" t="n">
        <f aca="false">P355*$M355</f>
        <v>0</v>
      </c>
      <c r="R355" s="28"/>
      <c r="S355" s="28" t="n">
        <f aca="false">R355*$M355</f>
        <v>0</v>
      </c>
      <c r="T355" s="28"/>
      <c r="U355" s="28" t="n">
        <f aca="false">T355*$M355</f>
        <v>0</v>
      </c>
      <c r="V355" s="28" t="n">
        <v>2365</v>
      </c>
      <c r="W355" s="28" t="n">
        <v>2365</v>
      </c>
      <c r="X355" s="29" t="n">
        <v>234</v>
      </c>
      <c r="Y355" s="28" t="n">
        <v>234</v>
      </c>
      <c r="Z355" s="28"/>
      <c r="AA355" s="28" t="n">
        <f aca="false">Z355*$M355</f>
        <v>0</v>
      </c>
      <c r="AB355" s="28" t="n">
        <v>17776</v>
      </c>
      <c r="AC355" s="28" t="n">
        <v>17776</v>
      </c>
      <c r="AD355" s="28"/>
      <c r="AE355" s="28" t="n">
        <f aca="false">AD355*$M355</f>
        <v>0</v>
      </c>
      <c r="AF355" s="28"/>
      <c r="AG355" s="28" t="n">
        <f aca="false">AF355*$M355</f>
        <v>0</v>
      </c>
      <c r="AH355" s="28"/>
      <c r="AI355" s="28" t="n">
        <f aca="false">AH355*$M355</f>
        <v>0</v>
      </c>
      <c r="AJ355" s="28"/>
      <c r="AK355" s="28" t="n">
        <f aca="false">AJ355*$M355</f>
        <v>0</v>
      </c>
      <c r="AL355" s="28"/>
      <c r="AM355" s="28" t="n">
        <f aca="false">AL355*$M355</f>
        <v>0</v>
      </c>
      <c r="AN355" s="28"/>
      <c r="AO355" s="28" t="n">
        <f aca="false">AN355*$M355</f>
        <v>0</v>
      </c>
      <c r="AP355" s="28"/>
      <c r="AQ355" s="28" t="n">
        <f aca="false">AP355*$M355</f>
        <v>0</v>
      </c>
      <c r="AR355" s="28"/>
      <c r="AS355" s="28" t="n">
        <f aca="false">AR355*$M355</f>
        <v>0</v>
      </c>
      <c r="AT355" s="28"/>
      <c r="AU355" s="28" t="n">
        <f aca="false">AT355*$M355</f>
        <v>0</v>
      </c>
      <c r="AV355" s="28"/>
      <c r="AW355" s="28" t="n">
        <f aca="false">AV355*$M355</f>
        <v>0</v>
      </c>
      <c r="AX355" s="28"/>
      <c r="AY355" s="28" t="n">
        <f aca="false">AX355*$M355</f>
        <v>0</v>
      </c>
      <c r="AZ355" s="30" t="n">
        <v>20375</v>
      </c>
      <c r="BA355" s="11" t="n">
        <v>20375</v>
      </c>
      <c r="BB355" s="31" t="n">
        <f aca="false">SUM(Q355,S355,U355,W355,Y355,AA355,AC355,AE355,AG355,AI355,AK355,AM355,AO355,AQ355,AS355,AU355,AW355,AY355)</f>
        <v>20375</v>
      </c>
      <c r="BC355" s="28" t="n">
        <f aca="false">BA355-BB355</f>
        <v>0</v>
      </c>
      <c r="BD355" s="32" t="n">
        <f aca="false">SUM(P355,R355,T355,V355,X355,Z355,AB355,AD355,AF355,AH355,AJ355,AL355,AN355,AP355,AR355,AT355,AV355,AX355)</f>
        <v>20375</v>
      </c>
      <c r="BE355" s="33" t="n">
        <f aca="false">AZ355-BD355</f>
        <v>0</v>
      </c>
      <c r="BF355" s="34" t="n">
        <f aca="false">BD355*M355</f>
        <v>20375</v>
      </c>
      <c r="BG355" s="35" t="n">
        <f aca="false">BA355-BF355</f>
        <v>0</v>
      </c>
      <c r="BH355" s="19" t="str">
        <f aca="false">IF(BG355=0,"",IF(BG355&lt;&gt;BA355,"erreur de calcul",IF(BD355&lt;&gt;0,"pas de prix",IF(M355&lt;&gt; 0,"pas de quantité","pas de prix, ni de quantité"))))</f>
        <v/>
      </c>
      <c r="BI355" s="19"/>
    </row>
    <row r="356" customFormat="false" ht="16" hidden="false" customHeight="false" outlineLevel="0" collapsed="false">
      <c r="A356" s="0" t="n">
        <v>3</v>
      </c>
      <c r="B356" s="8" t="s">
        <v>24</v>
      </c>
      <c r="C356" s="9" t="s">
        <v>25</v>
      </c>
      <c r="D356" s="9" t="s">
        <v>26</v>
      </c>
      <c r="E356" s="10" t="n">
        <v>1789</v>
      </c>
      <c r="F356" s="9" t="s">
        <v>27</v>
      </c>
      <c r="G356" s="9" t="s">
        <v>27</v>
      </c>
      <c r="H356" s="11" t="n">
        <v>18</v>
      </c>
      <c r="I356" s="11" t="s">
        <v>67</v>
      </c>
      <c r="J356" s="14" t="n">
        <v>56</v>
      </c>
      <c r="K356" s="14"/>
      <c r="L356" s="16"/>
      <c r="M356" s="27" t="n">
        <f aca="false">J356+(K356/20)+(L356/240)</f>
        <v>56</v>
      </c>
      <c r="N356" s="17" t="s">
        <v>64</v>
      </c>
      <c r="O356" s="11" t="s">
        <v>34</v>
      </c>
      <c r="P356" s="28" t="n">
        <f aca="false">27159/100</f>
        <v>271.59</v>
      </c>
      <c r="Q356" s="28" t="n">
        <v>15209</v>
      </c>
      <c r="R356" s="28"/>
      <c r="S356" s="28" t="n">
        <f aca="false">R356*$M356</f>
        <v>0</v>
      </c>
      <c r="T356" s="28" t="n">
        <f aca="false">1044/100</f>
        <v>10.44</v>
      </c>
      <c r="U356" s="28" t="n">
        <v>585</v>
      </c>
      <c r="V356" s="28" t="n">
        <f aca="false">1838/100</f>
        <v>18.38</v>
      </c>
      <c r="W356" s="36" t="n">
        <v>4557</v>
      </c>
      <c r="X356" s="29"/>
      <c r="Y356" s="28" t="n">
        <v>2566</v>
      </c>
      <c r="Z356" s="28"/>
      <c r="AA356" s="28" t="n">
        <f aca="false">Z356*$M356</f>
        <v>0</v>
      </c>
      <c r="AB356" s="28" t="n">
        <f aca="false">17833/100</f>
        <v>178.33</v>
      </c>
      <c r="AC356" s="28" t="n">
        <v>9986</v>
      </c>
      <c r="AD356" s="28"/>
      <c r="AE356" s="28" t="n">
        <f aca="false">AD356*$M356</f>
        <v>0</v>
      </c>
      <c r="AF356" s="28" t="n">
        <f aca="false">30595/100</f>
        <v>305.95</v>
      </c>
      <c r="AG356" s="28" t="n">
        <v>17133</v>
      </c>
      <c r="AH356" s="28"/>
      <c r="AI356" s="28" t="n">
        <f aca="false">AH356*$M356</f>
        <v>0</v>
      </c>
      <c r="AJ356" s="28"/>
      <c r="AK356" s="28" t="n">
        <f aca="false">AJ356*$M356</f>
        <v>0</v>
      </c>
      <c r="AL356" s="28"/>
      <c r="AM356" s="28" t="n">
        <f aca="false">AL356*$M356</f>
        <v>0</v>
      </c>
      <c r="AN356" s="28"/>
      <c r="AO356" s="28" t="n">
        <f aca="false">AN356*$M356</f>
        <v>0</v>
      </c>
      <c r="AP356" s="28"/>
      <c r="AQ356" s="28" t="n">
        <f aca="false">AP356*$M356</f>
        <v>0</v>
      </c>
      <c r="AR356" s="28"/>
      <c r="AS356" s="28" t="n">
        <f aca="false">AR356*$M356</f>
        <v>0</v>
      </c>
      <c r="AT356" s="28"/>
      <c r="AU356" s="28" t="n">
        <f aca="false">AT356*$M356</f>
        <v>0</v>
      </c>
      <c r="AV356" s="28"/>
      <c r="AW356" s="28" t="n">
        <f aca="false">AV356*$M356</f>
        <v>0</v>
      </c>
      <c r="AX356" s="28"/>
      <c r="AY356" s="28" t="n">
        <f aca="false">AX356*$M356</f>
        <v>0</v>
      </c>
      <c r="AZ356" s="30" t="n">
        <f aca="false">83051/100</f>
        <v>830.51</v>
      </c>
      <c r="BA356" s="11" t="n">
        <v>50036</v>
      </c>
      <c r="BB356" s="31" t="n">
        <f aca="false">SUM(Q356,S356,U356,W356,Y356,AA356,AC356,AE356,AG356,AI356,AK356,AM356,AO356,AQ356,AS356,AU356,AW356,AY356)</f>
        <v>50036</v>
      </c>
      <c r="BC356" s="28" t="n">
        <f aca="false">BA356-BB356</f>
        <v>0</v>
      </c>
      <c r="BD356" s="32" t="n">
        <f aca="false">SUM(P356,R356,T356,V356,X356,Z356,AB356,AD356,AF356,AH356,AJ356,AL356,AN356,AP356,AR356,AT356,AV356,AX356)</f>
        <v>784.69</v>
      </c>
      <c r="BE356" s="33" t="n">
        <f aca="false">AZ356-BD356</f>
        <v>45.8199999999999</v>
      </c>
      <c r="BF356" s="34" t="n">
        <f aca="false">BD356*M356</f>
        <v>43942.64</v>
      </c>
      <c r="BG356" s="35" t="n">
        <f aca="false">BA356-BF356</f>
        <v>6093.36</v>
      </c>
      <c r="BH356" s="19" t="str">
        <f aca="false">IF(BG356=0,"",IF(BG356&lt;&gt;BA356,"erreur de calcul",IF(BD356&lt;&gt;0,"pas de prix",IF(M356&lt;&gt; 0,"pas de quantité","pas de prix, ni de quantité"))))</f>
        <v>erreur de calcul</v>
      </c>
      <c r="BI356" s="19"/>
    </row>
    <row r="357" customFormat="false" ht="16" hidden="false" customHeight="false" outlineLevel="0" collapsed="false">
      <c r="A357" s="0" t="n">
        <v>4</v>
      </c>
      <c r="B357" s="8" t="s">
        <v>24</v>
      </c>
      <c r="C357" s="9" t="s">
        <v>25</v>
      </c>
      <c r="D357" s="9" t="s">
        <v>26</v>
      </c>
      <c r="E357" s="10" t="n">
        <v>1789</v>
      </c>
      <c r="F357" s="9" t="s">
        <v>27</v>
      </c>
      <c r="G357" s="9" t="s">
        <v>27</v>
      </c>
      <c r="H357" s="11" t="n">
        <v>18</v>
      </c>
      <c r="I357" s="11" t="s">
        <v>68</v>
      </c>
      <c r="J357" s="14"/>
      <c r="K357" s="14" t="n">
        <v>30</v>
      </c>
      <c r="L357" s="16"/>
      <c r="M357" s="27" t="n">
        <f aca="false">J357+(K357/20)+(L357/240)</f>
        <v>1.5</v>
      </c>
      <c r="N357" s="17" t="s">
        <v>69</v>
      </c>
      <c r="O357" s="11" t="s">
        <v>34</v>
      </c>
      <c r="P357" s="28" t="n">
        <v>5460</v>
      </c>
      <c r="Q357" s="28" t="n">
        <v>8190</v>
      </c>
      <c r="R357" s="28"/>
      <c r="S357" s="28" t="n">
        <f aca="false">R357*$M357</f>
        <v>0</v>
      </c>
      <c r="T357" s="28"/>
      <c r="U357" s="28" t="n">
        <f aca="false">T357*$M357</f>
        <v>0</v>
      </c>
      <c r="V357" s="28" t="n">
        <v>1061</v>
      </c>
      <c r="W357" s="28" t="n">
        <v>1591</v>
      </c>
      <c r="X357" s="29"/>
      <c r="Y357" s="28" t="n">
        <v>5766</v>
      </c>
      <c r="Z357" s="28"/>
      <c r="AA357" s="28" t="n">
        <f aca="false">Z357*$M357</f>
        <v>0</v>
      </c>
      <c r="AB357" s="28"/>
      <c r="AC357" s="28" t="n">
        <f aca="false">AB357*$M357</f>
        <v>0</v>
      </c>
      <c r="AD357" s="28"/>
      <c r="AE357" s="28" t="n">
        <f aca="false">AD357*$M357</f>
        <v>0</v>
      </c>
      <c r="AF357" s="28"/>
      <c r="AG357" s="28" t="n">
        <f aca="false">AF357*$M357</f>
        <v>0</v>
      </c>
      <c r="AH357" s="28"/>
      <c r="AI357" s="28" t="n">
        <f aca="false">AH357*$M357</f>
        <v>0</v>
      </c>
      <c r="AJ357" s="28"/>
      <c r="AK357" s="28" t="n">
        <f aca="false">AJ357*$M357</f>
        <v>0</v>
      </c>
      <c r="AL357" s="28"/>
      <c r="AM357" s="28" t="n">
        <f aca="false">AL357*$M357</f>
        <v>0</v>
      </c>
      <c r="AN357" s="28"/>
      <c r="AO357" s="28" t="n">
        <f aca="false">AN357*$M357</f>
        <v>0</v>
      </c>
      <c r="AP357" s="28"/>
      <c r="AQ357" s="28" t="n">
        <f aca="false">AP357*$M357</f>
        <v>0</v>
      </c>
      <c r="AR357" s="28"/>
      <c r="AS357" s="28" t="n">
        <f aca="false">AR357*$M357</f>
        <v>0</v>
      </c>
      <c r="AT357" s="28"/>
      <c r="AU357" s="28" t="n">
        <f aca="false">AT357*$M357</f>
        <v>0</v>
      </c>
      <c r="AV357" s="28"/>
      <c r="AW357" s="28" t="n">
        <f aca="false">AV357*$M357</f>
        <v>0</v>
      </c>
      <c r="AX357" s="28"/>
      <c r="AY357" s="28" t="n">
        <f aca="false">AX357*$M357</f>
        <v>0</v>
      </c>
      <c r="AZ357" s="30" t="n">
        <v>10365</v>
      </c>
      <c r="BA357" s="11" t="n">
        <v>15547</v>
      </c>
      <c r="BB357" s="31" t="n">
        <f aca="false">SUM(Q357,S357,U357,W357,Y357,AA357,AC357,AE357,AG357,AI357,AK357,AM357,AO357,AQ357,AS357,AU357,AW357,AY357)</f>
        <v>15547</v>
      </c>
      <c r="BC357" s="28" t="n">
        <f aca="false">BA357-BB357</f>
        <v>0</v>
      </c>
      <c r="BD357" s="32" t="n">
        <f aca="false">SUM(P357,R357,T357,V357,X357,Z357,AB357,AD357,AF357,AH357,AJ357,AL357,AN357,AP357,AR357,AT357,AV357,AX357)</f>
        <v>6521</v>
      </c>
      <c r="BE357" s="33" t="n">
        <f aca="false">AZ357-BD357</f>
        <v>3844</v>
      </c>
      <c r="BF357" s="34" t="n">
        <f aca="false">BD357*M357</f>
        <v>9781.5</v>
      </c>
      <c r="BG357" s="35" t="n">
        <f aca="false">BA357-BF357</f>
        <v>5765.5</v>
      </c>
      <c r="BH357" s="19" t="str">
        <f aca="false">IF(BG357=0,"",IF(BG357&lt;&gt;BA357,"erreur de calcul",IF(BD357&lt;&gt;0,"pas de prix",IF(M357&lt;&gt; 0,"pas de quantité","pas de prix, ni de quantité"))))</f>
        <v>erreur de calcul</v>
      </c>
      <c r="BI357" s="19"/>
    </row>
    <row r="358" customFormat="false" ht="16" hidden="false" customHeight="false" outlineLevel="0" collapsed="false">
      <c r="A358" s="0" t="n">
        <v>5</v>
      </c>
      <c r="B358" s="8" t="s">
        <v>24</v>
      </c>
      <c r="C358" s="9" t="s">
        <v>25</v>
      </c>
      <c r="D358" s="9" t="s">
        <v>26</v>
      </c>
      <c r="E358" s="10" t="n">
        <v>1789</v>
      </c>
      <c r="F358" s="9" t="s">
        <v>27</v>
      </c>
      <c r="G358" s="9" t="s">
        <v>27</v>
      </c>
      <c r="H358" s="11" t="n">
        <v>18</v>
      </c>
      <c r="I358" s="11" t="s">
        <v>70</v>
      </c>
      <c r="J358" s="14" t="n">
        <v>190</v>
      </c>
      <c r="K358" s="14"/>
      <c r="L358" s="16"/>
      <c r="M358" s="27" t="n">
        <f aca="false">J358+(K358/20)+(L358/240)</f>
        <v>190</v>
      </c>
      <c r="N358" s="17" t="s">
        <v>64</v>
      </c>
      <c r="O358" s="11" t="s">
        <v>34</v>
      </c>
      <c r="P358" s="28"/>
      <c r="Q358" s="28" t="n">
        <f aca="false">P358*$M358</f>
        <v>0</v>
      </c>
      <c r="R358" s="28" t="n">
        <f aca="false">22283/100</f>
        <v>222.83</v>
      </c>
      <c r="S358" s="28" t="n">
        <v>42338</v>
      </c>
      <c r="T358" s="28" t="n">
        <f aca="false">1289/100</f>
        <v>12.89</v>
      </c>
      <c r="U358" s="28" t="n">
        <v>2449</v>
      </c>
      <c r="V358" s="28"/>
      <c r="W358" s="28" t="n">
        <f aca="false">V358*$M358</f>
        <v>0</v>
      </c>
      <c r="X358" s="29"/>
      <c r="Y358" s="28" t="n">
        <f aca="false">X358*$M358</f>
        <v>0</v>
      </c>
      <c r="Z358" s="28"/>
      <c r="AA358" s="28" t="n">
        <f aca="false">Z358*$M358</f>
        <v>0</v>
      </c>
      <c r="AB358" s="28"/>
      <c r="AC358" s="28" t="n">
        <f aca="false">AB358*$M358</f>
        <v>0</v>
      </c>
      <c r="AD358" s="28"/>
      <c r="AE358" s="28" t="n">
        <f aca="false">AD358*$M358</f>
        <v>0</v>
      </c>
      <c r="AF358" s="28"/>
      <c r="AG358" s="28" t="n">
        <f aca="false">AF358*$M358</f>
        <v>0</v>
      </c>
      <c r="AH358" s="28"/>
      <c r="AI358" s="28" t="n">
        <f aca="false">AH358*$M358</f>
        <v>0</v>
      </c>
      <c r="AJ358" s="28"/>
      <c r="AK358" s="28" t="n">
        <f aca="false">AJ358*$M358</f>
        <v>0</v>
      </c>
      <c r="AL358" s="28"/>
      <c r="AM358" s="28" t="n">
        <f aca="false">AL358*$M358</f>
        <v>0</v>
      </c>
      <c r="AN358" s="28"/>
      <c r="AO358" s="28" t="n">
        <f aca="false">AN358*$M358</f>
        <v>0</v>
      </c>
      <c r="AP358" s="28"/>
      <c r="AQ358" s="28" t="n">
        <f aca="false">AP358*$M358</f>
        <v>0</v>
      </c>
      <c r="AR358" s="28"/>
      <c r="AS358" s="28" t="n">
        <f aca="false">AR358*$M358</f>
        <v>0</v>
      </c>
      <c r="AT358" s="28"/>
      <c r="AU358" s="28" t="n">
        <f aca="false">AT358*$M358</f>
        <v>0</v>
      </c>
      <c r="AV358" s="28"/>
      <c r="AW358" s="28" t="n">
        <f aca="false">AV358*$M358</f>
        <v>0</v>
      </c>
      <c r="AX358" s="28"/>
      <c r="AY358" s="28" t="n">
        <f aca="false">AX358*$M358</f>
        <v>0</v>
      </c>
      <c r="AZ358" s="30" t="n">
        <f aca="false">23572/100</f>
        <v>235.72</v>
      </c>
      <c r="BA358" s="11" t="n">
        <v>44787</v>
      </c>
      <c r="BB358" s="31" t="n">
        <f aca="false">SUM(Q358,S358,U358,W358,Y358,AA358,AC358,AE358,AG358,AI358,AK358,AM358,AO358,AQ358,AS358,AU358,AW358,AY358)</f>
        <v>44787</v>
      </c>
      <c r="BC358" s="28" t="n">
        <f aca="false">BA358-BB358</f>
        <v>0</v>
      </c>
      <c r="BD358" s="32" t="n">
        <f aca="false">SUM(P358,R358,T358,V358,X358,Z358,AB358,AD358,AF358,AH358,AJ358,AL358,AN358,AP358,AR358,AT358,AV358,AX358)</f>
        <v>235.72</v>
      </c>
      <c r="BE358" s="33" t="n">
        <f aca="false">AZ358-BD358</f>
        <v>0</v>
      </c>
      <c r="BF358" s="34" t="n">
        <f aca="false">BD358*M358</f>
        <v>44786.8</v>
      </c>
      <c r="BG358" s="35" t="n">
        <f aca="false">BA358-BF358</f>
        <v>0.19999999999709</v>
      </c>
      <c r="BH358" s="19" t="str">
        <f aca="false">IF(BG358=0,"",IF(BG358&lt;&gt;BA358,"erreur de calcul",IF(BD358&lt;&gt;0,"pas de prix",IF(M358&lt;&gt; 0,"pas de quantité","pas de prix, ni de quantité"))))</f>
        <v>erreur de calcul</v>
      </c>
      <c r="BI358" s="19"/>
    </row>
    <row r="359" customFormat="false" ht="16" hidden="false" customHeight="false" outlineLevel="0" collapsed="false">
      <c r="A359" s="0" t="n">
        <v>6</v>
      </c>
      <c r="B359" s="8" t="s">
        <v>24</v>
      </c>
      <c r="C359" s="9" t="s">
        <v>25</v>
      </c>
      <c r="D359" s="9" t="s">
        <v>26</v>
      </c>
      <c r="E359" s="10" t="n">
        <v>1789</v>
      </c>
      <c r="F359" s="9" t="s">
        <v>27</v>
      </c>
      <c r="G359" s="9" t="s">
        <v>27</v>
      </c>
      <c r="H359" s="11" t="n">
        <v>18</v>
      </c>
      <c r="I359" s="11" t="s">
        <v>71</v>
      </c>
      <c r="J359" s="14" t="n">
        <v>60</v>
      </c>
      <c r="K359" s="14"/>
      <c r="L359" s="16"/>
      <c r="M359" s="27" t="n">
        <f aca="false">J359+(K359/20)+(L359/240)</f>
        <v>60</v>
      </c>
      <c r="N359" s="17" t="s">
        <v>64</v>
      </c>
      <c r="O359" s="11" t="s">
        <v>34</v>
      </c>
      <c r="P359" s="28" t="n">
        <f aca="false">674/100</f>
        <v>6.74</v>
      </c>
      <c r="Q359" s="28" t="n">
        <v>404</v>
      </c>
      <c r="R359" s="28"/>
      <c r="S359" s="28" t="n">
        <f aca="false">R359*$M359</f>
        <v>0</v>
      </c>
      <c r="T359" s="28"/>
      <c r="U359" s="28" t="n">
        <f aca="false">T359*$M359</f>
        <v>0</v>
      </c>
      <c r="V359" s="28"/>
      <c r="W359" s="28" t="n">
        <f aca="false">V359*$M359</f>
        <v>0</v>
      </c>
      <c r="X359" s="29"/>
      <c r="Y359" s="28" t="n">
        <f aca="false">X359*$M359</f>
        <v>0</v>
      </c>
      <c r="Z359" s="28"/>
      <c r="AA359" s="28" t="n">
        <f aca="false">Z359*$M359</f>
        <v>0</v>
      </c>
      <c r="AB359" s="28"/>
      <c r="AC359" s="28" t="n">
        <f aca="false">AB359*$M359</f>
        <v>0</v>
      </c>
      <c r="AD359" s="28"/>
      <c r="AE359" s="28" t="n">
        <f aca="false">AD359*$M359</f>
        <v>0</v>
      </c>
      <c r="AF359" s="28"/>
      <c r="AG359" s="28" t="n">
        <f aca="false">AF359*$M359</f>
        <v>0</v>
      </c>
      <c r="AH359" s="28"/>
      <c r="AI359" s="28" t="n">
        <f aca="false">AH359*$M359</f>
        <v>0</v>
      </c>
      <c r="AJ359" s="28" t="n">
        <f aca="false">1133/100</f>
        <v>11.33</v>
      </c>
      <c r="AK359" s="28" t="n">
        <v>680</v>
      </c>
      <c r="AL359" s="28" t="n">
        <f aca="false">3140/100</f>
        <v>31.4</v>
      </c>
      <c r="AM359" s="28" t="n">
        <v>1884</v>
      </c>
      <c r="AN359" s="28"/>
      <c r="AO359" s="28" t="n">
        <f aca="false">AN359*$M359</f>
        <v>0</v>
      </c>
      <c r="AP359" s="28"/>
      <c r="AQ359" s="28" t="n">
        <f aca="false">AP359*$M359</f>
        <v>0</v>
      </c>
      <c r="AR359" s="28"/>
      <c r="AS359" s="28" t="n">
        <f aca="false">AR359*$M359</f>
        <v>0</v>
      </c>
      <c r="AT359" s="28"/>
      <c r="AU359" s="28" t="n">
        <f aca="false">AT359*$M359</f>
        <v>0</v>
      </c>
      <c r="AV359" s="28"/>
      <c r="AW359" s="28" t="n">
        <f aca="false">AV359*$M359</f>
        <v>0</v>
      </c>
      <c r="AX359" s="28"/>
      <c r="AY359" s="28" t="n">
        <f aca="false">AX359*$M359</f>
        <v>0</v>
      </c>
      <c r="AZ359" s="30" t="n">
        <f aca="false">4947/100</f>
        <v>49.47</v>
      </c>
      <c r="BA359" s="11" t="n">
        <v>2968</v>
      </c>
      <c r="BB359" s="31" t="n">
        <f aca="false">SUM(Q359,S359,U359,W359,Y359,AA359,AC359,AE359,AG359,AI359,AK359,AM359,AO359,AQ359,AS359,AU359,AW359,AY359)</f>
        <v>2968</v>
      </c>
      <c r="BC359" s="28" t="n">
        <f aca="false">BA359-BB359</f>
        <v>0</v>
      </c>
      <c r="BD359" s="32" t="n">
        <f aca="false">SUM(P359,R359,T359,V359,X359,Z359,AB359,AD359,AF359,AH359,AJ359,AL359,AN359,AP359,AR359,AT359,AV359,AX359)</f>
        <v>49.47</v>
      </c>
      <c r="BE359" s="33" t="n">
        <f aca="false">AZ359-BD359</f>
        <v>0</v>
      </c>
      <c r="BF359" s="34" t="n">
        <f aca="false">BD359*M359</f>
        <v>2968.2</v>
      </c>
      <c r="BG359" s="35" t="n">
        <f aca="false">BA359-BF359</f>
        <v>-0.199999999999818</v>
      </c>
      <c r="BH359" s="19" t="str">
        <f aca="false">IF(BG359=0,"",IF(BG359&lt;&gt;BA359,"erreur de calcul",IF(BD359&lt;&gt;0,"pas de prix",IF(M359&lt;&gt; 0,"pas de quantité","pas de prix, ni de quantité"))))</f>
        <v>erreur de calcul</v>
      </c>
      <c r="BI359" s="19"/>
    </row>
    <row r="360" customFormat="false" ht="16" hidden="false" customHeight="false" outlineLevel="0" collapsed="false">
      <c r="A360" s="0" t="n">
        <v>7</v>
      </c>
      <c r="B360" s="8" t="s">
        <v>24</v>
      </c>
      <c r="C360" s="9" t="s">
        <v>25</v>
      </c>
      <c r="D360" s="9" t="s">
        <v>26</v>
      </c>
      <c r="E360" s="10" t="n">
        <v>1789</v>
      </c>
      <c r="F360" s="9" t="s">
        <v>27</v>
      </c>
      <c r="G360" s="9" t="s">
        <v>27</v>
      </c>
      <c r="H360" s="11" t="n">
        <v>18</v>
      </c>
      <c r="I360" s="11" t="s">
        <v>72</v>
      </c>
      <c r="J360" s="14" t="n">
        <v>15</v>
      </c>
      <c r="K360" s="14"/>
      <c r="L360" s="16"/>
      <c r="M360" s="27" t="n">
        <f aca="false">J360+(K360/20)+(L360/240)</f>
        <v>15</v>
      </c>
      <c r="N360" s="17" t="s">
        <v>64</v>
      </c>
      <c r="O360" s="11" t="s">
        <v>34</v>
      </c>
      <c r="P360" s="28"/>
      <c r="Q360" s="28" t="n">
        <f aca="false">P360*$M360</f>
        <v>0</v>
      </c>
      <c r="R360" s="28"/>
      <c r="S360" s="28" t="n">
        <f aca="false">R360*$M360</f>
        <v>0</v>
      </c>
      <c r="T360" s="28"/>
      <c r="U360" s="28" t="n">
        <f aca="false">T360*$M360</f>
        <v>0</v>
      </c>
      <c r="V360" s="28"/>
      <c r="W360" s="28" t="n">
        <f aca="false">V360*$M360</f>
        <v>0</v>
      </c>
      <c r="X360" s="29"/>
      <c r="Y360" s="28" t="n">
        <f aca="false">X360*$M360</f>
        <v>0</v>
      </c>
      <c r="Z360" s="28"/>
      <c r="AA360" s="28" t="n">
        <f aca="false">Z360*$M360</f>
        <v>0</v>
      </c>
      <c r="AB360" s="28"/>
      <c r="AC360" s="28" t="n">
        <f aca="false">AB360*$M360</f>
        <v>0</v>
      </c>
      <c r="AD360" s="28"/>
      <c r="AE360" s="28" t="n">
        <f aca="false">AD360*$M360</f>
        <v>0</v>
      </c>
      <c r="AF360" s="28"/>
      <c r="AG360" s="28" t="n">
        <f aca="false">AF360*$M360</f>
        <v>0</v>
      </c>
      <c r="AH360" s="28"/>
      <c r="AI360" s="28" t="n">
        <f aca="false">AH360*$M360</f>
        <v>0</v>
      </c>
      <c r="AJ360" s="28" t="n">
        <f aca="false">119*288*0.02+88*0.02</f>
        <v>687.2</v>
      </c>
      <c r="AK360" s="28" t="n">
        <v>10308</v>
      </c>
      <c r="AL360" s="28"/>
      <c r="AM360" s="28" t="n">
        <f aca="false">AL360*$M360</f>
        <v>0</v>
      </c>
      <c r="AN360" s="28"/>
      <c r="AO360" s="28" t="n">
        <f aca="false">AN360*$M360</f>
        <v>0</v>
      </c>
      <c r="AP360" s="28"/>
      <c r="AQ360" s="28" t="n">
        <f aca="false">AP360*$M360</f>
        <v>0</v>
      </c>
      <c r="AR360" s="28"/>
      <c r="AS360" s="28" t="n">
        <f aca="false">AR360*$M360</f>
        <v>0</v>
      </c>
      <c r="AT360" s="28"/>
      <c r="AU360" s="28" t="n">
        <f aca="false">AT360*$M360</f>
        <v>0</v>
      </c>
      <c r="AV360" s="28"/>
      <c r="AW360" s="28" t="n">
        <f aca="false">AV360*$M360</f>
        <v>0</v>
      </c>
      <c r="AX360" s="28"/>
      <c r="AY360" s="28" t="n">
        <f aca="false">AX360*$M360</f>
        <v>0</v>
      </c>
      <c r="AZ360" s="30" t="n">
        <f aca="false">119*288*0.02+88*0.02</f>
        <v>687.2</v>
      </c>
      <c r="BA360" s="11" t="n">
        <v>10308</v>
      </c>
      <c r="BB360" s="31" t="n">
        <f aca="false">SUM(Q360,S360,U360,W360,Y360,AA360,AC360,AE360,AG360,AI360,AK360,AM360,AO360,AQ360,AS360,AU360,AW360,AY360)</f>
        <v>10308</v>
      </c>
      <c r="BC360" s="28" t="n">
        <f aca="false">BA360-BB360</f>
        <v>0</v>
      </c>
      <c r="BD360" s="32" t="n">
        <f aca="false">SUM(P360,R360,T360,V360,X360,Z360,AB360,AD360,AF360,AH360,AJ360,AL360,AN360,AP360,AR360,AT360,AV360,AX360)</f>
        <v>687.2</v>
      </c>
      <c r="BE360" s="33" t="n">
        <f aca="false">AZ360-BD360</f>
        <v>0</v>
      </c>
      <c r="BF360" s="34" t="n">
        <f aca="false">BD360*M360</f>
        <v>10308</v>
      </c>
      <c r="BG360" s="35" t="n">
        <f aca="false">BA360-BF360</f>
        <v>0</v>
      </c>
      <c r="BH360" s="19" t="str">
        <f aca="false">IF(BG360=0,"",IF(BG360&lt;&gt;BA360,"erreur de calcul",IF(BD360&lt;&gt;0,"pas de prix",IF(M360&lt;&gt; 0,"pas de quantité","pas de prix, ni de quantité"))))</f>
        <v/>
      </c>
      <c r="BI360" s="19"/>
    </row>
    <row r="361" customFormat="false" ht="16" hidden="false" customHeight="false" outlineLevel="0" collapsed="false">
      <c r="A361" s="0" t="n">
        <v>8</v>
      </c>
      <c r="B361" s="8" t="s">
        <v>24</v>
      </c>
      <c r="C361" s="9" t="s">
        <v>25</v>
      </c>
      <c r="D361" s="9" t="s">
        <v>26</v>
      </c>
      <c r="E361" s="10" t="n">
        <v>1789</v>
      </c>
      <c r="F361" s="9" t="s">
        <v>27</v>
      </c>
      <c r="G361" s="9" t="s">
        <v>27</v>
      </c>
      <c r="H361" s="11" t="n">
        <v>18</v>
      </c>
      <c r="I361" s="11" t="s">
        <v>73</v>
      </c>
      <c r="J361" s="14"/>
      <c r="K361" s="14"/>
      <c r="L361" s="16"/>
      <c r="M361" s="27" t="n">
        <f aca="false">J361+(K361/20)+(L361/240)</f>
        <v>0</v>
      </c>
      <c r="N361" s="17"/>
      <c r="O361" s="11" t="s">
        <v>34</v>
      </c>
      <c r="P361" s="28"/>
      <c r="Q361" s="28" t="n">
        <f aca="false">P361*$M361</f>
        <v>0</v>
      </c>
      <c r="R361" s="28"/>
      <c r="S361" s="28" t="n">
        <f aca="false">R361*$M361</f>
        <v>0</v>
      </c>
      <c r="T361" s="28"/>
      <c r="U361" s="28" t="n">
        <v>3356</v>
      </c>
      <c r="V361" s="28"/>
      <c r="W361" s="28" t="n">
        <v>1444</v>
      </c>
      <c r="X361" s="29"/>
      <c r="Y361" s="28" t="n">
        <f aca="false">X361*$M361</f>
        <v>0</v>
      </c>
      <c r="Z361" s="28"/>
      <c r="AA361" s="28" t="n">
        <f aca="false">Z361*$M361</f>
        <v>0</v>
      </c>
      <c r="AB361" s="28"/>
      <c r="AC361" s="28" t="n">
        <f aca="false">AB361*$M361</f>
        <v>0</v>
      </c>
      <c r="AD361" s="28"/>
      <c r="AE361" s="28" t="n">
        <f aca="false">AD361*$M361</f>
        <v>0</v>
      </c>
      <c r="AF361" s="28"/>
      <c r="AG361" s="28" t="n">
        <f aca="false">AF361*$M361</f>
        <v>0</v>
      </c>
      <c r="AH361" s="28"/>
      <c r="AI361" s="28" t="n">
        <f aca="false">AH361*$M361</f>
        <v>0</v>
      </c>
      <c r="AJ361" s="28"/>
      <c r="AK361" s="28" t="n">
        <f aca="false">AJ361*$M361</f>
        <v>0</v>
      </c>
      <c r="AL361" s="28"/>
      <c r="AM361" s="28" t="n">
        <f aca="false">AL361*$M361</f>
        <v>0</v>
      </c>
      <c r="AN361" s="28"/>
      <c r="AO361" s="28" t="n">
        <f aca="false">AN361*$M361</f>
        <v>0</v>
      </c>
      <c r="AP361" s="28"/>
      <c r="AQ361" s="28" t="n">
        <f aca="false">AP361*$M361</f>
        <v>0</v>
      </c>
      <c r="AR361" s="28"/>
      <c r="AS361" s="28" t="n">
        <f aca="false">AR361*$M361</f>
        <v>0</v>
      </c>
      <c r="AT361" s="28"/>
      <c r="AU361" s="28" t="n">
        <f aca="false">AT361*$M361</f>
        <v>0</v>
      </c>
      <c r="AV361" s="28"/>
      <c r="AW361" s="28" t="n">
        <f aca="false">AV361*$M361</f>
        <v>0</v>
      </c>
      <c r="AX361" s="28"/>
      <c r="AY361" s="28" t="n">
        <f aca="false">AX361*$M361</f>
        <v>0</v>
      </c>
      <c r="AZ361" s="30"/>
      <c r="BA361" s="11" t="n">
        <v>4800</v>
      </c>
      <c r="BB361" s="31" t="n">
        <f aca="false">SUM(Q361,S361,U361,W361,Y361,AA361,AC361,AE361,AG361,AI361,AK361,AM361,AO361,AQ361,AS361,AU361,AW361,AY361)</f>
        <v>4800</v>
      </c>
      <c r="BC361" s="28" t="n">
        <f aca="false">BA361-BB361</f>
        <v>0</v>
      </c>
      <c r="BD361" s="32" t="n">
        <f aca="false">SUM(P361,R361,T361,V361,X361,Z361,AB361,AD361,AF361,AH361,AJ361,AL361,AN361,AP361,AR361,AT361,AV361,AX361)</f>
        <v>0</v>
      </c>
      <c r="BE361" s="33" t="n">
        <f aca="false">AZ361-BD361</f>
        <v>0</v>
      </c>
      <c r="BF361" s="34" t="n">
        <f aca="false">BD361*M361</f>
        <v>0</v>
      </c>
      <c r="BG361" s="35" t="n">
        <f aca="false">BA361-BF361</f>
        <v>4800</v>
      </c>
      <c r="BH361" s="19" t="str">
        <f aca="false">IF(BG361=0,"",IF(BG361&lt;&gt;BA361,"erreur de calcul",IF(BD361&lt;&gt;0,"pas de prix",IF(M361&lt;&gt; 0,"pas de quantité","pas de prix, ni de quantité"))))</f>
        <v>pas de prix, ni de quantité</v>
      </c>
      <c r="BI361" s="19"/>
    </row>
    <row r="362" customFormat="false" ht="16" hidden="false" customHeight="false" outlineLevel="0" collapsed="false">
      <c r="A362" s="0" t="n">
        <v>9</v>
      </c>
      <c r="B362" s="8" t="s">
        <v>24</v>
      </c>
      <c r="C362" s="9" t="s">
        <v>25</v>
      </c>
      <c r="D362" s="9" t="s">
        <v>26</v>
      </c>
      <c r="E362" s="10" t="n">
        <v>1789</v>
      </c>
      <c r="F362" s="9" t="s">
        <v>27</v>
      </c>
      <c r="G362" s="9" t="s">
        <v>27</v>
      </c>
      <c r="H362" s="11" t="n">
        <v>18</v>
      </c>
      <c r="I362" s="11" t="s">
        <v>74</v>
      </c>
      <c r="J362" s="14"/>
      <c r="K362" s="14"/>
      <c r="L362" s="16"/>
      <c r="M362" s="27" t="n">
        <f aca="false">J362+(K362/20)+(L362/240)</f>
        <v>0</v>
      </c>
      <c r="N362" s="17" t="s">
        <v>66</v>
      </c>
      <c r="O362" s="11" t="s">
        <v>34</v>
      </c>
      <c r="P362" s="28"/>
      <c r="Q362" s="28" t="n">
        <f aca="false">P362*$M362</f>
        <v>0</v>
      </c>
      <c r="R362" s="28"/>
      <c r="S362" s="28" t="n">
        <f aca="false">R362*$M362</f>
        <v>0</v>
      </c>
      <c r="T362" s="28"/>
      <c r="U362" s="28" t="n">
        <f aca="false">T362*$M362</f>
        <v>0</v>
      </c>
      <c r="V362" s="28"/>
      <c r="W362" s="28" t="n">
        <f aca="false">V362*$M362</f>
        <v>0</v>
      </c>
      <c r="X362" s="29"/>
      <c r="Y362" s="28"/>
      <c r="Z362" s="28"/>
      <c r="AA362" s="28" t="n">
        <f aca="false">Z362*$M362</f>
        <v>0</v>
      </c>
      <c r="AB362" s="28"/>
      <c r="AC362" s="28" t="n">
        <f aca="false">AB362*$M362</f>
        <v>0</v>
      </c>
      <c r="AD362" s="28"/>
      <c r="AE362" s="28" t="n">
        <f aca="false">AD362*$M362</f>
        <v>0</v>
      </c>
      <c r="AF362" s="28"/>
      <c r="AG362" s="28" t="n">
        <f aca="false">AF362*$M362</f>
        <v>0</v>
      </c>
      <c r="AH362" s="28" t="n">
        <v>45346</v>
      </c>
      <c r="AI362" s="28" t="n">
        <v>3174</v>
      </c>
      <c r="AJ362" s="28"/>
      <c r="AK362" s="28" t="n">
        <f aca="false">AJ362*$M362</f>
        <v>0</v>
      </c>
      <c r="AL362" s="28"/>
      <c r="AM362" s="28" t="n">
        <f aca="false">AL362*$M362</f>
        <v>0</v>
      </c>
      <c r="AN362" s="28"/>
      <c r="AO362" s="28" t="n">
        <f aca="false">AN362*$M362</f>
        <v>0</v>
      </c>
      <c r="AP362" s="28"/>
      <c r="AQ362" s="28" t="n">
        <f aca="false">AP362*$M362</f>
        <v>0</v>
      </c>
      <c r="AR362" s="28"/>
      <c r="AS362" s="28" t="n">
        <f aca="false">AR362*$M362</f>
        <v>0</v>
      </c>
      <c r="AT362" s="28"/>
      <c r="AU362" s="28" t="n">
        <f aca="false">AT362*$M362</f>
        <v>0</v>
      </c>
      <c r="AV362" s="28"/>
      <c r="AW362" s="28" t="n">
        <f aca="false">AV362*$M362</f>
        <v>0</v>
      </c>
      <c r="AX362" s="28"/>
      <c r="AY362" s="28" t="n">
        <f aca="false">AX362*$M362</f>
        <v>0</v>
      </c>
      <c r="AZ362" s="30" t="n">
        <v>45346</v>
      </c>
      <c r="BA362" s="11" t="n">
        <v>3174</v>
      </c>
      <c r="BB362" s="31" t="n">
        <f aca="false">SUM(Q362,S362,U362,W362,Y362,AA362,AC362,AE362,AG362,AI362,AK362,AM362,AO362,AQ362,AS362,AU362,AW362,AY362)</f>
        <v>3174</v>
      </c>
      <c r="BC362" s="28" t="n">
        <f aca="false">BA362-BB362</f>
        <v>0</v>
      </c>
      <c r="BD362" s="32" t="n">
        <f aca="false">SUM(P362,R362,T362,V362,X362,Z362,AB362,AD362,AF362,AH362,AJ362,AL362,AN362,AP362,AR362,AT362,AV362,AX362)</f>
        <v>45346</v>
      </c>
      <c r="BE362" s="33" t="n">
        <f aca="false">AZ362-BD362</f>
        <v>0</v>
      </c>
      <c r="BF362" s="34" t="n">
        <f aca="false">BD362*M362</f>
        <v>0</v>
      </c>
      <c r="BG362" s="35" t="n">
        <f aca="false">BA362-BF362</f>
        <v>3174</v>
      </c>
      <c r="BH362" s="19" t="str">
        <f aca="false">IF(BG362=0,"",IF(BG362&lt;&gt;BA362,"erreur de calcul",IF(BD362&lt;&gt;0,"pas de prix",IF(M362&lt;&gt; 0,"pas de quantité","pas de prix, ni de quantité"))))</f>
        <v>pas de prix</v>
      </c>
      <c r="BI362" s="19" t="s">
        <v>75</v>
      </c>
    </row>
    <row r="363" customFormat="false" ht="16" hidden="false" customHeight="false" outlineLevel="0" collapsed="false">
      <c r="A363" s="0" t="n">
        <v>10</v>
      </c>
      <c r="B363" s="8" t="s">
        <v>24</v>
      </c>
      <c r="C363" s="9" t="s">
        <v>25</v>
      </c>
      <c r="D363" s="9" t="s">
        <v>26</v>
      </c>
      <c r="E363" s="10" t="n">
        <v>1789</v>
      </c>
      <c r="F363" s="9" t="s">
        <v>27</v>
      </c>
      <c r="G363" s="9" t="s">
        <v>27</v>
      </c>
      <c r="H363" s="11" t="n">
        <v>18</v>
      </c>
      <c r="I363" s="11" t="s">
        <v>76</v>
      </c>
      <c r="J363" s="14"/>
      <c r="K363" s="14" t="n">
        <v>20</v>
      </c>
      <c r="L363" s="16"/>
      <c r="M363" s="27" t="n">
        <f aca="false">J363+(K363/20)+(L363/240)</f>
        <v>1</v>
      </c>
      <c r="N363" s="17" t="s">
        <v>64</v>
      </c>
      <c r="O363" s="11" t="s">
        <v>34</v>
      </c>
      <c r="P363" s="28" t="n">
        <f aca="false">66667/100</f>
        <v>666.67</v>
      </c>
      <c r="Q363" s="28" t="n">
        <v>667</v>
      </c>
      <c r="R363" s="28"/>
      <c r="S363" s="28" t="n">
        <f aca="false">R363*$M363</f>
        <v>0</v>
      </c>
      <c r="T363" s="28"/>
      <c r="U363" s="28" t="n">
        <f aca="false">T363*$M363</f>
        <v>0</v>
      </c>
      <c r="V363" s="28" t="n">
        <f aca="false">281532/100</f>
        <v>2815.32</v>
      </c>
      <c r="W363" s="28" t="n">
        <v>2815</v>
      </c>
      <c r="X363" s="29" t="n">
        <f aca="false">366667/100</f>
        <v>3666.67</v>
      </c>
      <c r="Y363" s="28" t="n">
        <v>3666</v>
      </c>
      <c r="Z363" s="28" t="n">
        <f aca="false">33334/100</f>
        <v>333.34</v>
      </c>
      <c r="AA363" s="28" t="n">
        <v>333</v>
      </c>
      <c r="AB363" s="28"/>
      <c r="AC363" s="28" t="n">
        <f aca="false">AB363*$M363</f>
        <v>0</v>
      </c>
      <c r="AD363" s="28"/>
      <c r="AE363" s="28" t="n">
        <f aca="false">AD363*$M363</f>
        <v>0</v>
      </c>
      <c r="AF363" s="28"/>
      <c r="AG363" s="28" t="n">
        <f aca="false">AF363*$M363</f>
        <v>0</v>
      </c>
      <c r="AH363" s="28"/>
      <c r="AI363" s="28" t="n">
        <f aca="false">AH363*$M363</f>
        <v>0</v>
      </c>
      <c r="AJ363" s="28"/>
      <c r="AK363" s="28" t="n">
        <f aca="false">AJ363*$M363</f>
        <v>0</v>
      </c>
      <c r="AL363" s="28"/>
      <c r="AM363" s="28" t="n">
        <f aca="false">AL363*$M363</f>
        <v>0</v>
      </c>
      <c r="AN363" s="28"/>
      <c r="AO363" s="28" t="n">
        <f aca="false">AN363*$M363</f>
        <v>0</v>
      </c>
      <c r="AP363" s="28"/>
      <c r="AQ363" s="28" t="n">
        <f aca="false">AP363*$M363</f>
        <v>0</v>
      </c>
      <c r="AR363" s="28"/>
      <c r="AS363" s="28" t="n">
        <f aca="false">AR363*$M363</f>
        <v>0</v>
      </c>
      <c r="AT363" s="28"/>
      <c r="AU363" s="28" t="n">
        <f aca="false">AT363*$M363</f>
        <v>0</v>
      </c>
      <c r="AV363" s="28"/>
      <c r="AW363" s="28" t="n">
        <f aca="false">AV363*$M363</f>
        <v>0</v>
      </c>
      <c r="AX363" s="28"/>
      <c r="AY363" s="28" t="n">
        <f aca="false">AX363*$M363</f>
        <v>0</v>
      </c>
      <c r="AZ363" s="30" t="n">
        <f aca="false">748200/100</f>
        <v>7482</v>
      </c>
      <c r="BA363" s="11" t="n">
        <v>7481</v>
      </c>
      <c r="BB363" s="31" t="n">
        <f aca="false">SUM(Q363,S363,U363,W363,Y363,AA363,AC363,AE363,AG363,AI363,AK363,AM363,AO363,AQ363,AS363,AU363,AW363,AY363)</f>
        <v>7481</v>
      </c>
      <c r="BC363" s="28" t="n">
        <f aca="false">BA363-BB363</f>
        <v>0</v>
      </c>
      <c r="BD363" s="32" t="n">
        <f aca="false">SUM(P363,R363,T363,V363,X363,Z363,AB363,AD363,AF363,AH363,AJ363,AL363,AN363,AP363,AR363,AT363,AV363,AX363)</f>
        <v>7482</v>
      </c>
      <c r="BE363" s="33" t="n">
        <f aca="false">AZ363-BD363</f>
        <v>0</v>
      </c>
      <c r="BF363" s="34" t="n">
        <f aca="false">BD363*M363</f>
        <v>7482</v>
      </c>
      <c r="BG363" s="35" t="n">
        <f aca="false">BA363-BF363</f>
        <v>-1</v>
      </c>
      <c r="BH363" s="19" t="str">
        <f aca="false">IF(BG363=0,"",IF(BG363&lt;&gt;BA363,"erreur de calcul",IF(BD363&lt;&gt;0,"pas de prix",IF(M363&lt;&gt; 0,"pas de quantité","pas de prix, ni de quantité"))))</f>
        <v>erreur de calcul</v>
      </c>
      <c r="BI363" s="19"/>
    </row>
    <row r="364" customFormat="false" ht="16" hidden="false" customHeight="false" outlineLevel="0" collapsed="false">
      <c r="A364" s="0" t="n">
        <v>11</v>
      </c>
      <c r="B364" s="8" t="s">
        <v>24</v>
      </c>
      <c r="C364" s="9" t="s">
        <v>25</v>
      </c>
      <c r="D364" s="9" t="s">
        <v>26</v>
      </c>
      <c r="E364" s="10" t="n">
        <v>1789</v>
      </c>
      <c r="F364" s="9" t="s">
        <v>27</v>
      </c>
      <c r="G364" s="9" t="s">
        <v>27</v>
      </c>
      <c r="H364" s="11" t="n">
        <v>18</v>
      </c>
      <c r="I364" s="11" t="s">
        <v>78</v>
      </c>
      <c r="J364" s="14"/>
      <c r="K364" s="14" t="n">
        <v>50</v>
      </c>
      <c r="L364" s="16"/>
      <c r="M364" s="27" t="n">
        <f aca="false">J364+(K364/20)+(L364/240)</f>
        <v>2.5</v>
      </c>
      <c r="N364" s="17" t="s">
        <v>79</v>
      </c>
      <c r="O364" s="11" t="s">
        <v>34</v>
      </c>
      <c r="P364" s="28"/>
      <c r="Q364" s="28" t="n">
        <f aca="false">P364*$M364</f>
        <v>0</v>
      </c>
      <c r="R364" s="28"/>
      <c r="S364" s="28" t="n">
        <f aca="false">R364*$M364</f>
        <v>0</v>
      </c>
      <c r="T364" s="28"/>
      <c r="U364" s="28" t="n">
        <f aca="false">T364*$M364</f>
        <v>0</v>
      </c>
      <c r="V364" s="28" t="n">
        <v>61807</v>
      </c>
      <c r="W364" s="28" t="n">
        <v>154517</v>
      </c>
      <c r="X364" s="29"/>
      <c r="Y364" s="28" t="n">
        <f aca="false">X364*$M364</f>
        <v>0</v>
      </c>
      <c r="Z364" s="28"/>
      <c r="AA364" s="28" t="n">
        <f aca="false">Z364*$M364</f>
        <v>0</v>
      </c>
      <c r="AB364" s="28" t="n">
        <v>43640</v>
      </c>
      <c r="AC364" s="28" t="n">
        <v>109100</v>
      </c>
      <c r="AD364" s="28"/>
      <c r="AE364" s="28" t="n">
        <f aca="false">AD364*$M364</f>
        <v>0</v>
      </c>
      <c r="AF364" s="28"/>
      <c r="AG364" s="28" t="n">
        <f aca="false">AF364*$M364</f>
        <v>0</v>
      </c>
      <c r="AH364" s="28"/>
      <c r="AI364" s="28" t="n">
        <f aca="false">AH364*$M364</f>
        <v>0</v>
      </c>
      <c r="AJ364" s="28"/>
      <c r="AK364" s="28" t="n">
        <f aca="false">AJ364*$M364</f>
        <v>0</v>
      </c>
      <c r="AL364" s="28"/>
      <c r="AM364" s="28" t="n">
        <f aca="false">AL364*$M364</f>
        <v>0</v>
      </c>
      <c r="AN364" s="28"/>
      <c r="AO364" s="28" t="n">
        <f aca="false">AN364*$M364</f>
        <v>0</v>
      </c>
      <c r="AP364" s="28"/>
      <c r="AQ364" s="28" t="n">
        <f aca="false">AP364*$M364</f>
        <v>0</v>
      </c>
      <c r="AR364" s="28"/>
      <c r="AS364" s="28" t="n">
        <f aca="false">AR364*$M364</f>
        <v>0</v>
      </c>
      <c r="AT364" s="28"/>
      <c r="AU364" s="28" t="n">
        <f aca="false">AT364*$M364</f>
        <v>0</v>
      </c>
      <c r="AV364" s="28"/>
      <c r="AW364" s="28" t="n">
        <f aca="false">AV364*$M364</f>
        <v>0</v>
      </c>
      <c r="AX364" s="28"/>
      <c r="AY364" s="28" t="n">
        <f aca="false">AX364*$M364</f>
        <v>0</v>
      </c>
      <c r="AZ364" s="30" t="n">
        <v>105447</v>
      </c>
      <c r="BA364" s="11" t="n">
        <v>263617</v>
      </c>
      <c r="BB364" s="31" t="n">
        <f aca="false">SUM(Q364,S364,U364,W364,Y364,AA364,AC364,AE364,AG364,AI364,AK364,AM364,AO364,AQ364,AS364,AU364,AW364,AY364)</f>
        <v>263617</v>
      </c>
      <c r="BC364" s="28" t="n">
        <f aca="false">BA364-BB364</f>
        <v>0</v>
      </c>
      <c r="BD364" s="32" t="n">
        <f aca="false">SUM(P364,R364,T364,V364,X364,Z364,AB364,AD364,AF364,AH364,AJ364,AL364,AN364,AP364,AR364,AT364,AV364,AX364)</f>
        <v>105447</v>
      </c>
      <c r="BE364" s="33" t="n">
        <f aca="false">AZ364-BD364</f>
        <v>0</v>
      </c>
      <c r="BF364" s="34" t="n">
        <f aca="false">BD364*M364</f>
        <v>263617.5</v>
      </c>
      <c r="BG364" s="35" t="n">
        <f aca="false">BA364-BF364</f>
        <v>-0.5</v>
      </c>
      <c r="BH364" s="19" t="str">
        <f aca="false">IF(BG364=0,"",IF(BG364&lt;&gt;BA364,"erreur de calcul",IF(BD364&lt;&gt;0,"pas de prix",IF(M364&lt;&gt; 0,"pas de quantité","pas de prix, ni de quantité"))))</f>
        <v>erreur de calcul</v>
      </c>
      <c r="BI364" s="19"/>
    </row>
    <row r="365" customFormat="false" ht="16" hidden="false" customHeight="false" outlineLevel="0" collapsed="false">
      <c r="A365" s="0" t="n">
        <v>12</v>
      </c>
      <c r="B365" s="8" t="s">
        <v>24</v>
      </c>
      <c r="C365" s="9" t="s">
        <v>25</v>
      </c>
      <c r="D365" s="9" t="s">
        <v>26</v>
      </c>
      <c r="E365" s="10" t="n">
        <v>1789</v>
      </c>
      <c r="F365" s="9" t="s">
        <v>27</v>
      </c>
      <c r="G365" s="9" t="s">
        <v>27</v>
      </c>
      <c r="H365" s="11" t="n">
        <v>18</v>
      </c>
      <c r="I365" s="11" t="s">
        <v>80</v>
      </c>
      <c r="J365" s="14"/>
      <c r="K365" s="14" t="n">
        <v>4</v>
      </c>
      <c r="L365" s="16"/>
      <c r="M365" s="27" t="n">
        <f aca="false">J365+(K365/20)+(L365/240)</f>
        <v>0.2</v>
      </c>
      <c r="N365" s="17" t="s">
        <v>81</v>
      </c>
      <c r="O365" s="11" t="s">
        <v>34</v>
      </c>
      <c r="P365" s="28"/>
      <c r="Q365" s="28" t="n">
        <f aca="false">P365*$M365</f>
        <v>0</v>
      </c>
      <c r="R365" s="28"/>
      <c r="S365" s="28" t="n">
        <f aca="false">R365*$M365</f>
        <v>0</v>
      </c>
      <c r="T365" s="28"/>
      <c r="U365" s="28" t="n">
        <f aca="false">T365*$M365</f>
        <v>0</v>
      </c>
      <c r="V365" s="28" t="n">
        <v>5800</v>
      </c>
      <c r="W365" s="28" t="n">
        <v>1160</v>
      </c>
      <c r="X365" s="29"/>
      <c r="Y365" s="28" t="n">
        <v>1069</v>
      </c>
      <c r="Z365" s="28"/>
      <c r="AA365" s="28" t="n">
        <f aca="false">Z365*$M365</f>
        <v>0</v>
      </c>
      <c r="AB365" s="28"/>
      <c r="AC365" s="28" t="n">
        <f aca="false">AB365*$M365</f>
        <v>0</v>
      </c>
      <c r="AD365" s="28"/>
      <c r="AE365" s="28" t="n">
        <f aca="false">AD365*$M365</f>
        <v>0</v>
      </c>
      <c r="AF365" s="28"/>
      <c r="AG365" s="28" t="n">
        <f aca="false">AF365*$M365</f>
        <v>0</v>
      </c>
      <c r="AH365" s="28"/>
      <c r="AI365" s="28" t="n">
        <f aca="false">AH365*$M365</f>
        <v>0</v>
      </c>
      <c r="AJ365" s="28"/>
      <c r="AK365" s="28" t="n">
        <f aca="false">AJ365*$M365</f>
        <v>0</v>
      </c>
      <c r="AL365" s="28"/>
      <c r="AM365" s="28" t="n">
        <f aca="false">AL365*$M365</f>
        <v>0</v>
      </c>
      <c r="AN365" s="28"/>
      <c r="AO365" s="28" t="n">
        <f aca="false">AN365*$M365</f>
        <v>0</v>
      </c>
      <c r="AP365" s="28"/>
      <c r="AQ365" s="28" t="n">
        <f aca="false">AP365*$M365</f>
        <v>0</v>
      </c>
      <c r="AR365" s="28"/>
      <c r="AS365" s="28" t="n">
        <f aca="false">AR365*$M365</f>
        <v>0</v>
      </c>
      <c r="AT365" s="28"/>
      <c r="AU365" s="28" t="n">
        <f aca="false">AT365*$M365</f>
        <v>0</v>
      </c>
      <c r="AV365" s="28"/>
      <c r="AW365" s="28" t="n">
        <f aca="false">AV365*$M365</f>
        <v>0</v>
      </c>
      <c r="AX365" s="28"/>
      <c r="AY365" s="28" t="n">
        <f aca="false">AX365*$M365</f>
        <v>0</v>
      </c>
      <c r="AZ365" s="30" t="n">
        <v>11144</v>
      </c>
      <c r="BA365" s="11" t="n">
        <v>2229</v>
      </c>
      <c r="BB365" s="31" t="n">
        <f aca="false">SUM(Q365,S365,U365,W365,Y365,AA365,AC365,AE365,AG365,AI365,AK365,AM365,AO365,AQ365,AS365,AU365,AW365,AY365)</f>
        <v>2229</v>
      </c>
      <c r="BC365" s="28" t="n">
        <f aca="false">BA365-BB365</f>
        <v>0</v>
      </c>
      <c r="BD365" s="32" t="n">
        <f aca="false">SUM(P365,R365,T365,V365,X365,Z365,AB365,AD365,AF365,AH365,AJ365,AL365,AN365,AP365,AR365,AT365,AV365,AX365)</f>
        <v>5800</v>
      </c>
      <c r="BE365" s="33" t="n">
        <f aca="false">AZ365-BD365</f>
        <v>5344</v>
      </c>
      <c r="BF365" s="34" t="n">
        <f aca="false">BD365*M365</f>
        <v>1160</v>
      </c>
      <c r="BG365" s="35" t="n">
        <f aca="false">BA365-BF365</f>
        <v>1069</v>
      </c>
      <c r="BH365" s="19" t="str">
        <f aca="false">IF(BG365=0,"",IF(BG365&lt;&gt;BA365,"erreur de calcul",IF(BD365&lt;&gt;0,"pas de prix",IF(M365&lt;&gt; 0,"pas de quantité","pas de prix, ni de quantité"))))</f>
        <v>erreur de calcul</v>
      </c>
      <c r="BI365" s="19"/>
    </row>
    <row r="366" customFormat="false" ht="16" hidden="false" customHeight="false" outlineLevel="0" collapsed="false">
      <c r="A366" s="0" t="n">
        <v>13</v>
      </c>
      <c r="B366" s="8" t="s">
        <v>24</v>
      </c>
      <c r="C366" s="9" t="s">
        <v>25</v>
      </c>
      <c r="D366" s="9" t="s">
        <v>26</v>
      </c>
      <c r="E366" s="10" t="n">
        <v>1789</v>
      </c>
      <c r="F366" s="9" t="s">
        <v>27</v>
      </c>
      <c r="G366" s="9" t="s">
        <v>27</v>
      </c>
      <c r="H366" s="11" t="n">
        <v>18</v>
      </c>
      <c r="I366" s="11" t="s">
        <v>82</v>
      </c>
      <c r="J366" s="14" t="n">
        <v>17</v>
      </c>
      <c r="K366" s="14"/>
      <c r="L366" s="16"/>
      <c r="M366" s="27" t="n">
        <f aca="false">J366+(K366/20)+(L366/240)</f>
        <v>17</v>
      </c>
      <c r="N366" s="17" t="s">
        <v>69</v>
      </c>
      <c r="O366" s="11" t="s">
        <v>34</v>
      </c>
      <c r="P366" s="28"/>
      <c r="Q366" s="28" t="n">
        <f aca="false">P366*$M366</f>
        <v>0</v>
      </c>
      <c r="R366" s="28"/>
      <c r="S366" s="28" t="n">
        <f aca="false">R366*$M366</f>
        <v>0</v>
      </c>
      <c r="T366" s="28"/>
      <c r="U366" s="28" t="n">
        <f aca="false">T366*$M366</f>
        <v>0</v>
      </c>
      <c r="V366" s="28" t="n">
        <v>600</v>
      </c>
      <c r="W366" s="28" t="n">
        <v>10200</v>
      </c>
      <c r="X366" s="29"/>
      <c r="Y366" s="28" t="n">
        <f aca="false">X366*$M366</f>
        <v>0</v>
      </c>
      <c r="Z366" s="28"/>
      <c r="AA366" s="28" t="n">
        <f aca="false">Z366*$M366</f>
        <v>0</v>
      </c>
      <c r="AB366" s="28"/>
      <c r="AC366" s="28" t="n">
        <f aca="false">AB366*$M366</f>
        <v>0</v>
      </c>
      <c r="AD366" s="28"/>
      <c r="AE366" s="28" t="n">
        <f aca="false">AD366*$M366</f>
        <v>0</v>
      </c>
      <c r="AF366" s="28"/>
      <c r="AG366" s="28" t="n">
        <f aca="false">AF366*$M366</f>
        <v>0</v>
      </c>
      <c r="AH366" s="28"/>
      <c r="AI366" s="28" t="n">
        <f aca="false">AH366*$M366</f>
        <v>0</v>
      </c>
      <c r="AJ366" s="28"/>
      <c r="AK366" s="28" t="n">
        <f aca="false">AJ366*$M366</f>
        <v>0</v>
      </c>
      <c r="AL366" s="28"/>
      <c r="AM366" s="28" t="n">
        <f aca="false">AL366*$M366</f>
        <v>0</v>
      </c>
      <c r="AN366" s="28"/>
      <c r="AO366" s="28" t="n">
        <f aca="false">AN366*$M366</f>
        <v>0</v>
      </c>
      <c r="AP366" s="28"/>
      <c r="AQ366" s="28" t="n">
        <f aca="false">AP366*$M366</f>
        <v>0</v>
      </c>
      <c r="AR366" s="28"/>
      <c r="AS366" s="28" t="n">
        <f aca="false">AR366*$M366</f>
        <v>0</v>
      </c>
      <c r="AT366" s="28"/>
      <c r="AU366" s="28" t="n">
        <f aca="false">AT366*$M366</f>
        <v>0</v>
      </c>
      <c r="AV366" s="28"/>
      <c r="AW366" s="28" t="n">
        <f aca="false">AV366*$M366</f>
        <v>0</v>
      </c>
      <c r="AX366" s="28"/>
      <c r="AY366" s="28" t="n">
        <f aca="false">AX366*$M366</f>
        <v>0</v>
      </c>
      <c r="AZ366" s="30" t="n">
        <v>600</v>
      </c>
      <c r="BA366" s="11" t="n">
        <v>10200</v>
      </c>
      <c r="BB366" s="31" t="n">
        <f aca="false">SUM(Q366,S366,U366,W366,Y366,AA366,AC366,AE366,AG366,AI366,AK366,AM366,AO366,AQ366,AS366,AU366,AW366,AY366)</f>
        <v>10200</v>
      </c>
      <c r="BC366" s="28" t="n">
        <f aca="false">BA366-BB366</f>
        <v>0</v>
      </c>
      <c r="BD366" s="32" t="n">
        <f aca="false">SUM(P366,R366,T366,V366,X366,Z366,AB366,AD366,AF366,AH366,AJ366,AL366,AN366,AP366,AR366,AT366,AV366,AX366)</f>
        <v>600</v>
      </c>
      <c r="BE366" s="33" t="n">
        <f aca="false">AZ366-BD366</f>
        <v>0</v>
      </c>
      <c r="BF366" s="34" t="n">
        <f aca="false">BD366*M366</f>
        <v>10200</v>
      </c>
      <c r="BG366" s="35" t="n">
        <f aca="false">BA366-BF366</f>
        <v>0</v>
      </c>
      <c r="BH366" s="19" t="str">
        <f aca="false">IF(BG366=0,"",IF(BG366&lt;&gt;BA366,"erreur de calcul",IF(BD366&lt;&gt;0,"pas de prix",IF(M366&lt;&gt; 0,"pas de quantité","pas de prix, ni de quantité"))))</f>
        <v/>
      </c>
      <c r="BI366" s="19"/>
    </row>
    <row r="367" customFormat="false" ht="16" hidden="false" customHeight="false" outlineLevel="0" collapsed="false">
      <c r="A367" s="0" t="n">
        <v>14</v>
      </c>
      <c r="B367" s="8" t="s">
        <v>24</v>
      </c>
      <c r="C367" s="9" t="s">
        <v>25</v>
      </c>
      <c r="D367" s="9" t="s">
        <v>26</v>
      </c>
      <c r="E367" s="10" t="n">
        <v>1789</v>
      </c>
      <c r="F367" s="9" t="s">
        <v>27</v>
      </c>
      <c r="G367" s="9" t="s">
        <v>27</v>
      </c>
      <c r="H367" s="11" t="n">
        <v>18</v>
      </c>
      <c r="I367" s="11" t="s">
        <v>83</v>
      </c>
      <c r="J367" s="14" t="n">
        <v>20</v>
      </c>
      <c r="K367" s="14"/>
      <c r="L367" s="16"/>
      <c r="M367" s="27" t="n">
        <f aca="false">J367+(K367/20)+(L367/240)</f>
        <v>20</v>
      </c>
      <c r="N367" s="17" t="s">
        <v>81</v>
      </c>
      <c r="O367" s="11" t="s">
        <v>34</v>
      </c>
      <c r="P367" s="28"/>
      <c r="Q367" s="28" t="n">
        <f aca="false">P367*$M367</f>
        <v>0</v>
      </c>
      <c r="R367" s="28"/>
      <c r="S367" s="28" t="n">
        <f aca="false">R367*$M367</f>
        <v>0</v>
      </c>
      <c r="T367" s="28"/>
      <c r="U367" s="28" t="n">
        <f aca="false">T367*$M367</f>
        <v>0</v>
      </c>
      <c r="V367" s="28"/>
      <c r="W367" s="28" t="n">
        <f aca="false">V367*$M367</f>
        <v>0</v>
      </c>
      <c r="X367" s="29"/>
      <c r="Y367" s="28" t="n">
        <f aca="false">X367*$M367</f>
        <v>0</v>
      </c>
      <c r="Z367" s="28" t="n">
        <v>460</v>
      </c>
      <c r="AA367" s="28" t="n">
        <v>9200</v>
      </c>
      <c r="AB367" s="28"/>
      <c r="AC367" s="28" t="n">
        <f aca="false">AB367*$M367</f>
        <v>0</v>
      </c>
      <c r="AD367" s="28"/>
      <c r="AE367" s="28" t="n">
        <f aca="false">AD367*$M367</f>
        <v>0</v>
      </c>
      <c r="AF367" s="28"/>
      <c r="AG367" s="28" t="n">
        <f aca="false">AF367*$M367</f>
        <v>0</v>
      </c>
      <c r="AH367" s="28"/>
      <c r="AI367" s="28" t="n">
        <f aca="false">AH367*$M367</f>
        <v>0</v>
      </c>
      <c r="AJ367" s="28"/>
      <c r="AK367" s="28" t="n">
        <f aca="false">AJ367*$M367</f>
        <v>0</v>
      </c>
      <c r="AL367" s="28"/>
      <c r="AM367" s="28" t="n">
        <f aca="false">AL367*$M367</f>
        <v>0</v>
      </c>
      <c r="AN367" s="28"/>
      <c r="AO367" s="28" t="n">
        <f aca="false">AN367*$M367</f>
        <v>0</v>
      </c>
      <c r="AP367" s="28"/>
      <c r="AQ367" s="28" t="n">
        <f aca="false">AP367*$M367</f>
        <v>0</v>
      </c>
      <c r="AR367" s="28"/>
      <c r="AS367" s="28" t="n">
        <f aca="false">AR367*$M367</f>
        <v>0</v>
      </c>
      <c r="AT367" s="28"/>
      <c r="AU367" s="28" t="n">
        <f aca="false">AT367*$M367</f>
        <v>0</v>
      </c>
      <c r="AV367" s="28"/>
      <c r="AW367" s="28" t="n">
        <f aca="false">AV367*$M367</f>
        <v>0</v>
      </c>
      <c r="AX367" s="28"/>
      <c r="AY367" s="28" t="n">
        <f aca="false">AX367*$M367</f>
        <v>0</v>
      </c>
      <c r="AZ367" s="30" t="n">
        <v>460</v>
      </c>
      <c r="BA367" s="11" t="n">
        <v>9200</v>
      </c>
      <c r="BB367" s="31" t="n">
        <f aca="false">SUM(Q367,S367,U367,W367,Y367,AA367,AC367,AE367,AG367,AI367,AK367,AM367,AO367,AQ367,AS367,AU367,AW367,AY367)</f>
        <v>9200</v>
      </c>
      <c r="BC367" s="28" t="n">
        <f aca="false">BA367-BB367</f>
        <v>0</v>
      </c>
      <c r="BD367" s="32" t="n">
        <f aca="false">SUM(P367,R367,T367,V367,X367,Z367,AB367,AD367,AF367,AH367,AJ367,AL367,AN367,AP367,AR367,AT367,AV367,AX367)</f>
        <v>460</v>
      </c>
      <c r="BE367" s="33" t="n">
        <f aca="false">AZ367-BD367</f>
        <v>0</v>
      </c>
      <c r="BF367" s="34" t="n">
        <f aca="false">BD367*M367</f>
        <v>9200</v>
      </c>
      <c r="BG367" s="35" t="n">
        <f aca="false">BA367-BF367</f>
        <v>0</v>
      </c>
      <c r="BH367" s="19" t="str">
        <f aca="false">IF(BG367=0,"",IF(BG367&lt;&gt;BA367,"erreur de calcul",IF(BD367&lt;&gt;0,"pas de prix",IF(M367&lt;&gt; 0,"pas de quantité","pas de prix, ni de quantité"))))</f>
        <v/>
      </c>
      <c r="BI367" s="19"/>
    </row>
    <row r="368" customFormat="false" ht="16" hidden="false" customHeight="false" outlineLevel="0" collapsed="false">
      <c r="A368" s="0" t="n">
        <v>15</v>
      </c>
      <c r="B368" s="8" t="s">
        <v>24</v>
      </c>
      <c r="C368" s="9" t="s">
        <v>25</v>
      </c>
      <c r="D368" s="9" t="s">
        <v>26</v>
      </c>
      <c r="E368" s="10" t="n">
        <v>1789</v>
      </c>
      <c r="F368" s="9" t="s">
        <v>27</v>
      </c>
      <c r="G368" s="9" t="s">
        <v>27</v>
      </c>
      <c r="H368" s="11" t="n">
        <v>18</v>
      </c>
      <c r="I368" s="11" t="s">
        <v>84</v>
      </c>
      <c r="J368" s="14" t="n">
        <v>16</v>
      </c>
      <c r="K368" s="14"/>
      <c r="L368" s="16"/>
      <c r="M368" s="27" t="n">
        <f aca="false">J368+(K368/20)+(L368/240)</f>
        <v>16</v>
      </c>
      <c r="N368" s="17" t="s">
        <v>85</v>
      </c>
      <c r="O368" s="11" t="s">
        <v>34</v>
      </c>
      <c r="P368" s="28"/>
      <c r="Q368" s="28" t="n">
        <f aca="false">P368*$M368</f>
        <v>0</v>
      </c>
      <c r="R368" s="28"/>
      <c r="S368" s="28" t="n">
        <f aca="false">R368*$M368</f>
        <v>0</v>
      </c>
      <c r="T368" s="28" t="n">
        <f aca="false">1600/100</f>
        <v>16</v>
      </c>
      <c r="U368" s="28" t="n">
        <v>256</v>
      </c>
      <c r="V368" s="28" t="n">
        <f aca="false">227136/100</f>
        <v>2271.36</v>
      </c>
      <c r="W368" s="28" t="n">
        <v>36342</v>
      </c>
      <c r="X368" s="29"/>
      <c r="Y368" s="28" t="n">
        <v>304</v>
      </c>
      <c r="Z368" s="28" t="n">
        <f aca="false">6850/100</f>
        <v>68.5</v>
      </c>
      <c r="AA368" s="28" t="n">
        <v>1096</v>
      </c>
      <c r="AB368" s="28" t="n">
        <f aca="false">204300/100</f>
        <v>2043</v>
      </c>
      <c r="AC368" s="28" t="n">
        <v>32688</v>
      </c>
      <c r="AD368" s="28" t="n">
        <f aca="false">9750/100</f>
        <v>97.5</v>
      </c>
      <c r="AE368" s="28" t="n">
        <v>1560</v>
      </c>
      <c r="AF368" s="28"/>
      <c r="AG368" s="28" t="n">
        <f aca="false">AF368*$M368</f>
        <v>0</v>
      </c>
      <c r="AH368" s="28"/>
      <c r="AI368" s="28" t="n">
        <f aca="false">AH368*$M368</f>
        <v>0</v>
      </c>
      <c r="AJ368" s="28" t="n">
        <f aca="false">1414/100</f>
        <v>14.14</v>
      </c>
      <c r="AK368" s="28" t="n">
        <v>226</v>
      </c>
      <c r="AL368" s="28" t="n">
        <f aca="false">29500/100</f>
        <v>295</v>
      </c>
      <c r="AM368" s="28" t="n">
        <v>4720</v>
      </c>
      <c r="AN368" s="28"/>
      <c r="AO368" s="28" t="n">
        <f aca="false">AN368*$M368</f>
        <v>0</v>
      </c>
      <c r="AP368" s="28" t="n">
        <f aca="false">1520/100</f>
        <v>15.2</v>
      </c>
      <c r="AQ368" s="28" t="n">
        <v>243</v>
      </c>
      <c r="AR368" s="28"/>
      <c r="AS368" s="28" t="n">
        <f aca="false">AR368*$M368</f>
        <v>0</v>
      </c>
      <c r="AT368" s="28" t="n">
        <f aca="false">2100/100</f>
        <v>21</v>
      </c>
      <c r="AU368" s="28" t="n">
        <v>336</v>
      </c>
      <c r="AV368" s="28" t="n">
        <f aca="false">1320/100</f>
        <v>13.2</v>
      </c>
      <c r="AW368" s="28" t="n">
        <v>211</v>
      </c>
      <c r="AX368" s="28" t="n">
        <f aca="false">177746/100</f>
        <v>1777.46</v>
      </c>
      <c r="AY368" s="28" t="n">
        <v>28439</v>
      </c>
      <c r="AZ368" s="30" t="n">
        <f aca="false">665136/100</f>
        <v>6651.36</v>
      </c>
      <c r="BA368" s="11" t="n">
        <v>106421</v>
      </c>
      <c r="BB368" s="31" t="n">
        <f aca="false">SUM(Q368,S368,U368,W368,Y368,AA368,AC368,AE368,AG368,AI368,AK368,AM368,AO368,AQ368,AS368,AU368,AW368,AY368)</f>
        <v>106421</v>
      </c>
      <c r="BC368" s="28" t="n">
        <f aca="false">BA368-BB368</f>
        <v>0</v>
      </c>
      <c r="BD368" s="32" t="n">
        <f aca="false">SUM(P368,R368,T368,V368,X368,Z368,AB368,AD368,AF368,AH368,AJ368,AL368,AN368,AP368,AR368,AT368,AV368,AX368)</f>
        <v>6632.36</v>
      </c>
      <c r="BE368" s="33" t="n">
        <f aca="false">AZ368-BD368</f>
        <v>18.9999999999991</v>
      </c>
      <c r="BF368" s="34" t="n">
        <f aca="false">BD368*M368</f>
        <v>106117.76</v>
      </c>
      <c r="BG368" s="35" t="n">
        <f aca="false">BA368-BF368</f>
        <v>303.239999999991</v>
      </c>
      <c r="BH368" s="19" t="str">
        <f aca="false">IF(BG368=0,"",IF(BG368&lt;&gt;BA368,"erreur de calcul",IF(BD368&lt;&gt;0,"pas de prix",IF(M368&lt;&gt; 0,"pas de quantité","pas de prix, ni de quantité"))))</f>
        <v>erreur de calcul</v>
      </c>
      <c r="BI368" s="19"/>
    </row>
    <row r="369" customFormat="false" ht="16" hidden="false" customHeight="false" outlineLevel="0" collapsed="false">
      <c r="A369" s="0" t="n">
        <v>16</v>
      </c>
      <c r="B369" s="8" t="s">
        <v>24</v>
      </c>
      <c r="C369" s="9" t="s">
        <v>25</v>
      </c>
      <c r="D369" s="9" t="s">
        <v>26</v>
      </c>
      <c r="E369" s="10" t="n">
        <v>1789</v>
      </c>
      <c r="F369" s="9" t="s">
        <v>27</v>
      </c>
      <c r="G369" s="9" t="s">
        <v>27</v>
      </c>
      <c r="H369" s="11" t="n">
        <v>18</v>
      </c>
      <c r="I369" s="11" t="s">
        <v>86</v>
      </c>
      <c r="J369" s="14" t="n">
        <v>55</v>
      </c>
      <c r="K369" s="14"/>
      <c r="L369" s="16"/>
      <c r="M369" s="27" t="n">
        <f aca="false">J369+(K369/20)+(L369/240)</f>
        <v>55</v>
      </c>
      <c r="N369" s="17" t="s">
        <v>81</v>
      </c>
      <c r="O369" s="11" t="s">
        <v>34</v>
      </c>
      <c r="P369" s="28"/>
      <c r="Q369" s="28" t="n">
        <f aca="false">P369*$M369</f>
        <v>0</v>
      </c>
      <c r="R369" s="28"/>
      <c r="S369" s="28" t="n">
        <f aca="false">R369*$M369</f>
        <v>0</v>
      </c>
      <c r="T369" s="28"/>
      <c r="U369" s="28" t="n">
        <f aca="false">T369*$M369</f>
        <v>0</v>
      </c>
      <c r="V369" s="28"/>
      <c r="W369" s="28" t="n">
        <f aca="false">V369*$M369</f>
        <v>0</v>
      </c>
      <c r="X369" s="29"/>
      <c r="Y369" s="28" t="n">
        <f aca="false">X369*$M369</f>
        <v>0</v>
      </c>
      <c r="Z369" s="28"/>
      <c r="AA369" s="28" t="n">
        <f aca="false">Z369*$M369</f>
        <v>0</v>
      </c>
      <c r="AB369" s="28"/>
      <c r="AC369" s="28" t="n">
        <f aca="false">AB369*$M369</f>
        <v>0</v>
      </c>
      <c r="AD369" s="28"/>
      <c r="AE369" s="28" t="n">
        <f aca="false">AD369*$M369</f>
        <v>0</v>
      </c>
      <c r="AF369" s="28"/>
      <c r="AG369" s="28" t="n">
        <f aca="false">AF369*$M369</f>
        <v>0</v>
      </c>
      <c r="AH369" s="28"/>
      <c r="AI369" s="28" t="n">
        <f aca="false">AH369*$M369</f>
        <v>0</v>
      </c>
      <c r="AJ369" s="28"/>
      <c r="AK369" s="28" t="n">
        <f aca="false">AJ369*$M369</f>
        <v>0</v>
      </c>
      <c r="AL369" s="28"/>
      <c r="AM369" s="28" t="n">
        <f aca="false">AL369*$M369</f>
        <v>0</v>
      </c>
      <c r="AN369" s="28"/>
      <c r="AO369" s="28" t="n">
        <f aca="false">AN369*$M369</f>
        <v>0</v>
      </c>
      <c r="AP369" s="28"/>
      <c r="AQ369" s="28" t="n">
        <f aca="false">AP369*$M369</f>
        <v>0</v>
      </c>
      <c r="AR369" s="28"/>
      <c r="AS369" s="28" t="n">
        <f aca="false">AR369*$M369</f>
        <v>0</v>
      </c>
      <c r="AT369" s="28" t="n">
        <v>319</v>
      </c>
      <c r="AU369" s="28" t="n">
        <v>17545</v>
      </c>
      <c r="AV369" s="28"/>
      <c r="AW369" s="28" t="n">
        <f aca="false">AV369*$M369</f>
        <v>0</v>
      </c>
      <c r="AX369" s="28"/>
      <c r="AY369" s="28" t="n">
        <f aca="false">AX369*$M369</f>
        <v>0</v>
      </c>
      <c r="AZ369" s="30" t="n">
        <v>319</v>
      </c>
      <c r="BA369" s="11" t="n">
        <v>17545</v>
      </c>
      <c r="BB369" s="31" t="n">
        <f aca="false">SUM(Q369,S369,U369,W369,Y369,AA369,AC369,AE369,AG369,AI369,AK369,AM369,AO369,AQ369,AS369,AU369,AW369,AY369)</f>
        <v>17545</v>
      </c>
      <c r="BC369" s="28" t="n">
        <f aca="false">BA369-BB369</f>
        <v>0</v>
      </c>
      <c r="BD369" s="32" t="n">
        <f aca="false">SUM(P369,R369,T369,V369,X369,Z369,AB369,AD369,AF369,AH369,AJ369,AL369,AN369,AP369,AR369,AT369,AV369,AX369)</f>
        <v>319</v>
      </c>
      <c r="BE369" s="33" t="n">
        <f aca="false">AZ369-BD369</f>
        <v>0</v>
      </c>
      <c r="BF369" s="34" t="n">
        <f aca="false">BD369*M369</f>
        <v>17545</v>
      </c>
      <c r="BG369" s="35" t="n">
        <f aca="false">BA369-BF369</f>
        <v>0</v>
      </c>
      <c r="BH369" s="19" t="str">
        <f aca="false">IF(BG369=0,"",IF(BG369&lt;&gt;BA369,"erreur de calcul",IF(BD369&lt;&gt;0,"pas de prix",IF(M369&lt;&gt; 0,"pas de quantité","pas de prix, ni de quantité"))))</f>
        <v/>
      </c>
      <c r="BI369" s="19"/>
    </row>
    <row r="370" customFormat="false" ht="16" hidden="false" customHeight="false" outlineLevel="0" collapsed="false">
      <c r="A370" s="0" t="n">
        <v>17</v>
      </c>
      <c r="B370" s="8" t="s">
        <v>24</v>
      </c>
      <c r="C370" s="9" t="s">
        <v>25</v>
      </c>
      <c r="D370" s="9" t="s">
        <v>26</v>
      </c>
      <c r="E370" s="10" t="n">
        <v>1789</v>
      </c>
      <c r="F370" s="9" t="s">
        <v>27</v>
      </c>
      <c r="G370" s="9" t="s">
        <v>27</v>
      </c>
      <c r="H370" s="11" t="n">
        <v>18</v>
      </c>
      <c r="I370" s="11" t="s">
        <v>87</v>
      </c>
      <c r="J370" s="14" t="n">
        <v>6</v>
      </c>
      <c r="K370" s="14"/>
      <c r="L370" s="16"/>
      <c r="M370" s="27" t="n">
        <f aca="false">J370+(K370/20)+(L370/240)</f>
        <v>6</v>
      </c>
      <c r="N370" s="17" t="s">
        <v>69</v>
      </c>
      <c r="O370" s="11" t="s">
        <v>34</v>
      </c>
      <c r="P370" s="28"/>
      <c r="Q370" s="28" t="n">
        <f aca="false">P370*$M370</f>
        <v>0</v>
      </c>
      <c r="R370" s="28" t="n">
        <v>63</v>
      </c>
      <c r="S370" s="28" t="n">
        <v>378</v>
      </c>
      <c r="T370" s="28" t="n">
        <v>2406</v>
      </c>
      <c r="U370" s="28" t="n">
        <v>14436</v>
      </c>
      <c r="V370" s="28" t="n">
        <v>222</v>
      </c>
      <c r="W370" s="28" t="n">
        <v>1332</v>
      </c>
      <c r="X370" s="29"/>
      <c r="Y370" s="28" t="n">
        <f aca="false">X370*$M370</f>
        <v>0</v>
      </c>
      <c r="Z370" s="28"/>
      <c r="AA370" s="28" t="n">
        <f aca="false">Z370*$M370</f>
        <v>0</v>
      </c>
      <c r="AB370" s="28"/>
      <c r="AC370" s="28" t="n">
        <f aca="false">AB370*$M370</f>
        <v>0</v>
      </c>
      <c r="AD370" s="28" t="n">
        <v>330</v>
      </c>
      <c r="AE370" s="28" t="n">
        <v>1980</v>
      </c>
      <c r="AF370" s="28"/>
      <c r="AG370" s="28" t="n">
        <f aca="false">AF370*$M370</f>
        <v>0</v>
      </c>
      <c r="AH370" s="28"/>
      <c r="AI370" s="28" t="n">
        <f aca="false">AH370*$M370</f>
        <v>0</v>
      </c>
      <c r="AJ370" s="28"/>
      <c r="AK370" s="28" t="n">
        <f aca="false">AJ370*$M370</f>
        <v>0</v>
      </c>
      <c r="AL370" s="28"/>
      <c r="AM370" s="28" t="n">
        <f aca="false">AL370*$M370</f>
        <v>0</v>
      </c>
      <c r="AN370" s="28"/>
      <c r="AO370" s="28" t="n">
        <f aca="false">AN370*$M370</f>
        <v>0</v>
      </c>
      <c r="AP370" s="28"/>
      <c r="AQ370" s="28" t="n">
        <f aca="false">AP370*$M370</f>
        <v>0</v>
      </c>
      <c r="AR370" s="28"/>
      <c r="AS370" s="28" t="n">
        <f aca="false">AR370*$M370</f>
        <v>0</v>
      </c>
      <c r="AT370" s="28"/>
      <c r="AU370" s="28" t="n">
        <f aca="false">AT370*$M370</f>
        <v>0</v>
      </c>
      <c r="AV370" s="28"/>
      <c r="AW370" s="28" t="n">
        <f aca="false">AV370*$M370</f>
        <v>0</v>
      </c>
      <c r="AX370" s="28"/>
      <c r="AY370" s="28" t="n">
        <f aca="false">AX370*$M370</f>
        <v>0</v>
      </c>
      <c r="AZ370" s="30" t="n">
        <v>3021</v>
      </c>
      <c r="BA370" s="11" t="n">
        <v>18126</v>
      </c>
      <c r="BB370" s="31" t="n">
        <f aca="false">SUM(Q370,S370,U370,W370,Y370,AA370,AC370,AE370,AG370,AI370,AK370,AM370,AO370,AQ370,AS370,AU370,AW370,AY370)</f>
        <v>18126</v>
      </c>
      <c r="BC370" s="28" t="n">
        <f aca="false">BA370-BB370</f>
        <v>0</v>
      </c>
      <c r="BD370" s="32" t="n">
        <f aca="false">SUM(P370,R370,T370,V370,X370,Z370,AB370,AD370,AF370,AH370,AJ370,AL370,AN370,AP370,AR370,AT370,AV370,AX370)</f>
        <v>3021</v>
      </c>
      <c r="BE370" s="33" t="n">
        <f aca="false">AZ370-BD370</f>
        <v>0</v>
      </c>
      <c r="BF370" s="34" t="n">
        <f aca="false">BD370*M370</f>
        <v>18126</v>
      </c>
      <c r="BG370" s="35" t="n">
        <f aca="false">BA370-BF370</f>
        <v>0</v>
      </c>
      <c r="BH370" s="19" t="str">
        <f aca="false">IF(BG370=0,"",IF(BG370&lt;&gt;BA370,"erreur de calcul",IF(BD370&lt;&gt;0,"pas de prix",IF(M370&lt;&gt; 0,"pas de quantité","pas de prix, ni de quantité"))))</f>
        <v/>
      </c>
      <c r="BI370" s="19"/>
    </row>
    <row r="371" customFormat="false" ht="16" hidden="false" customHeight="false" outlineLevel="0" collapsed="false">
      <c r="A371" s="0" t="n">
        <v>18</v>
      </c>
      <c r="B371" s="8" t="s">
        <v>24</v>
      </c>
      <c r="C371" s="9" t="s">
        <v>25</v>
      </c>
      <c r="D371" s="9" t="s">
        <v>26</v>
      </c>
      <c r="E371" s="10" t="n">
        <v>1789</v>
      </c>
      <c r="F371" s="9" t="s">
        <v>27</v>
      </c>
      <c r="G371" s="9" t="s">
        <v>27</v>
      </c>
      <c r="H371" s="11" t="n">
        <v>18</v>
      </c>
      <c r="I371" s="11" t="s">
        <v>88</v>
      </c>
      <c r="J371" s="14" t="n">
        <v>26</v>
      </c>
      <c r="K371" s="14"/>
      <c r="L371" s="16"/>
      <c r="M371" s="27" t="n">
        <f aca="false">J371+(K371/20)+(L371/240)</f>
        <v>26</v>
      </c>
      <c r="N371" s="17" t="s">
        <v>69</v>
      </c>
      <c r="O371" s="11" t="s">
        <v>34</v>
      </c>
      <c r="P371" s="28"/>
      <c r="Q371" s="28" t="n">
        <f aca="false">P371*$M371</f>
        <v>0</v>
      </c>
      <c r="R371" s="28"/>
      <c r="S371" s="28" t="n">
        <f aca="false">R371*$M371</f>
        <v>0</v>
      </c>
      <c r="T371" s="28"/>
      <c r="U371" s="28" t="n">
        <f aca="false">T371*$M371</f>
        <v>0</v>
      </c>
      <c r="V371" s="28"/>
      <c r="W371" s="28" t="n">
        <f aca="false">V371*$M371</f>
        <v>0</v>
      </c>
      <c r="X371" s="29"/>
      <c r="Y371" s="28" t="n">
        <f aca="false">X371*$M371</f>
        <v>0</v>
      </c>
      <c r="Z371" s="28"/>
      <c r="AA371" s="28" t="n">
        <f aca="false">Z371*$M371</f>
        <v>0</v>
      </c>
      <c r="AB371" s="28"/>
      <c r="AC371" s="28" t="n">
        <f aca="false">AB371*$M371</f>
        <v>0</v>
      </c>
      <c r="AD371" s="28"/>
      <c r="AE371" s="28" t="n">
        <f aca="false">AD371*$M371</f>
        <v>0</v>
      </c>
      <c r="AF371" s="28"/>
      <c r="AG371" s="28" t="n">
        <f aca="false">AF371*$M371</f>
        <v>0</v>
      </c>
      <c r="AH371" s="28"/>
      <c r="AI371" s="28" t="n">
        <f aca="false">AH371*$M371</f>
        <v>0</v>
      </c>
      <c r="AJ371" s="28"/>
      <c r="AK371" s="28" t="n">
        <f aca="false">AJ371*$M371</f>
        <v>0</v>
      </c>
      <c r="AL371" s="28" t="n">
        <v>150</v>
      </c>
      <c r="AM371" s="28" t="n">
        <v>3900</v>
      </c>
      <c r="AN371" s="28"/>
      <c r="AO371" s="28" t="n">
        <f aca="false">AN371*$M371</f>
        <v>0</v>
      </c>
      <c r="AP371" s="28" t="n">
        <v>4140</v>
      </c>
      <c r="AQ371" s="28" t="n">
        <v>107640</v>
      </c>
      <c r="AR371" s="28" t="n">
        <v>6957</v>
      </c>
      <c r="AS371" s="28" t="n">
        <v>180882</v>
      </c>
      <c r="AT371" s="28" t="n">
        <v>171</v>
      </c>
      <c r="AU371" s="28" t="n">
        <v>4446</v>
      </c>
      <c r="AV371" s="28" t="n">
        <v>838</v>
      </c>
      <c r="AW371" s="28" t="n">
        <v>21788</v>
      </c>
      <c r="AX371" s="28" t="n">
        <v>35</v>
      </c>
      <c r="AY371" s="28" t="n">
        <v>910</v>
      </c>
      <c r="AZ371" s="30" t="n">
        <v>12291</v>
      </c>
      <c r="BA371" s="11" t="n">
        <v>319566</v>
      </c>
      <c r="BB371" s="31" t="n">
        <f aca="false">SUM(Q371,S371,U371,W371,Y371,AA371,AC371,AE371,AG371,AI371,AK371,AM371,AO371,AQ371,AS371,AU371,AW371,AY371)</f>
        <v>319566</v>
      </c>
      <c r="BC371" s="28" t="n">
        <f aca="false">BA371-BB371</f>
        <v>0</v>
      </c>
      <c r="BD371" s="32" t="n">
        <f aca="false">SUM(P371,R371,T371,V371,X371,Z371,AB371,AD371,AF371,AH371,AJ371,AL371,AN371,AP371,AR371,AT371,AV371,AX371)</f>
        <v>12291</v>
      </c>
      <c r="BE371" s="33" t="n">
        <f aca="false">AZ371-BD371</f>
        <v>0</v>
      </c>
      <c r="BF371" s="34" t="n">
        <f aca="false">BD371*M371</f>
        <v>319566</v>
      </c>
      <c r="BG371" s="35" t="n">
        <f aca="false">BA371-BF371</f>
        <v>0</v>
      </c>
      <c r="BH371" s="19" t="str">
        <f aca="false">IF(BG371=0,"",IF(BG371&lt;&gt;BA371,"erreur de calcul",IF(BD371&lt;&gt;0,"pas de prix",IF(M371&lt;&gt; 0,"pas de quantité","pas de prix, ni de quantité"))))</f>
        <v/>
      </c>
      <c r="BI371" s="19"/>
    </row>
    <row r="372" customFormat="false" ht="16" hidden="false" customHeight="false" outlineLevel="0" collapsed="false">
      <c r="A372" s="0" t="n">
        <v>19</v>
      </c>
      <c r="B372" s="8" t="s">
        <v>24</v>
      </c>
      <c r="C372" s="9" t="s">
        <v>25</v>
      </c>
      <c r="D372" s="9" t="s">
        <v>26</v>
      </c>
      <c r="E372" s="10" t="n">
        <v>1789</v>
      </c>
      <c r="F372" s="9" t="s">
        <v>27</v>
      </c>
      <c r="G372" s="9" t="s">
        <v>27</v>
      </c>
      <c r="H372" s="11" t="n">
        <v>18</v>
      </c>
      <c r="I372" s="11" t="s">
        <v>89</v>
      </c>
      <c r="J372" s="14" t="n">
        <v>7</v>
      </c>
      <c r="K372" s="14"/>
      <c r="L372" s="16"/>
      <c r="M372" s="27" t="n">
        <f aca="false">J372+(K372/20)+(L372/240)</f>
        <v>7</v>
      </c>
      <c r="N372" s="17" t="s">
        <v>81</v>
      </c>
      <c r="O372" s="11" t="s">
        <v>34</v>
      </c>
      <c r="P372" s="28"/>
      <c r="Q372" s="28" t="n">
        <f aca="false">P372*$M372</f>
        <v>0</v>
      </c>
      <c r="R372" s="28"/>
      <c r="S372" s="28" t="n">
        <f aca="false">R372*$M372</f>
        <v>0</v>
      </c>
      <c r="T372" s="28"/>
      <c r="U372" s="28" t="n">
        <f aca="false">T372*$M372</f>
        <v>0</v>
      </c>
      <c r="V372" s="28"/>
      <c r="W372" s="28" t="n">
        <f aca="false">V372*$M372</f>
        <v>0</v>
      </c>
      <c r="X372" s="29"/>
      <c r="Y372" s="28" t="n">
        <f aca="false">X372*$M372</f>
        <v>0</v>
      </c>
      <c r="Z372" s="28"/>
      <c r="AA372" s="28" t="n">
        <f aca="false">Z372*$M372</f>
        <v>0</v>
      </c>
      <c r="AB372" s="28"/>
      <c r="AC372" s="28" t="n">
        <f aca="false">AB372*$M372</f>
        <v>0</v>
      </c>
      <c r="AD372" s="28"/>
      <c r="AE372" s="28" t="n">
        <f aca="false">AD372*$M372</f>
        <v>0</v>
      </c>
      <c r="AF372" s="28"/>
      <c r="AG372" s="28" t="n">
        <f aca="false">AF372*$M372</f>
        <v>0</v>
      </c>
      <c r="AH372" s="28"/>
      <c r="AI372" s="28" t="n">
        <f aca="false">AH372*$M372</f>
        <v>0</v>
      </c>
      <c r="AJ372" s="28"/>
      <c r="AK372" s="28" t="n">
        <f aca="false">AJ372*$M372</f>
        <v>0</v>
      </c>
      <c r="AL372" s="28"/>
      <c r="AM372" s="28" t="n">
        <f aca="false">AL372*$M372</f>
        <v>0</v>
      </c>
      <c r="AN372" s="28"/>
      <c r="AO372" s="28" t="n">
        <f aca="false">AN372*$M372</f>
        <v>0</v>
      </c>
      <c r="AP372" s="38" t="n">
        <v>1763</v>
      </c>
      <c r="AQ372" s="28" t="n">
        <v>42312</v>
      </c>
      <c r="AR372" s="28"/>
      <c r="AS372" s="28" t="n">
        <f aca="false">AR372*$M372</f>
        <v>0</v>
      </c>
      <c r="AT372" s="28"/>
      <c r="AU372" s="28" t="n">
        <f aca="false">AT372*$M372</f>
        <v>0</v>
      </c>
      <c r="AV372" s="38" t="n">
        <v>377</v>
      </c>
      <c r="AW372" s="28" t="n">
        <v>9425</v>
      </c>
      <c r="AX372" s="28"/>
      <c r="AY372" s="28" t="n">
        <f aca="false">AX372*$M372</f>
        <v>0</v>
      </c>
      <c r="AZ372" s="30" t="n">
        <v>2140</v>
      </c>
      <c r="BA372" s="11" t="n">
        <v>51737</v>
      </c>
      <c r="BB372" s="31" t="n">
        <f aca="false">SUM(Q372,S372,U372,W372,Y372,AA372,AC372,AE372,AG372,AI372,AK372,AM372,AO372,AQ372,AS372,AU372,AW372,AY372)</f>
        <v>51737</v>
      </c>
      <c r="BC372" s="28" t="n">
        <f aca="false">BA372-BB372</f>
        <v>0</v>
      </c>
      <c r="BD372" s="32" t="n">
        <f aca="false">SUM(P372,R372,T372,V372,X372,Z372,AB372,AD372,AF372,AH372,AJ372,AL372,AN372,AP372,AR372,AT372,AV372,AX372)</f>
        <v>2140</v>
      </c>
      <c r="BE372" s="33" t="n">
        <f aca="false">AZ372-BD372</f>
        <v>0</v>
      </c>
      <c r="BF372" s="34" t="n">
        <f aca="false">BD372*M372</f>
        <v>14980</v>
      </c>
      <c r="BG372" s="35" t="n">
        <f aca="false">BA372-BF372</f>
        <v>36757</v>
      </c>
      <c r="BH372" s="19" t="str">
        <f aca="false">IF(BG372=0,"",IF(BG372&lt;&gt;BA372,"erreur de calcul",IF(BD372&lt;&gt;0,"pas de prix",IF(M372&lt;&gt; 0,"pas de quantité","pas de prix, ni de quantité"))))</f>
        <v>erreur de calcul</v>
      </c>
      <c r="BI372" s="19" t="s">
        <v>90</v>
      </c>
    </row>
    <row r="373" customFormat="false" ht="16" hidden="false" customHeight="false" outlineLevel="0" collapsed="false">
      <c r="A373" s="0" t="n">
        <v>20</v>
      </c>
      <c r="B373" s="8" t="s">
        <v>24</v>
      </c>
      <c r="C373" s="9" t="s">
        <v>25</v>
      </c>
      <c r="D373" s="9" t="s">
        <v>26</v>
      </c>
      <c r="E373" s="10" t="n">
        <v>1789</v>
      </c>
      <c r="F373" s="9" t="s">
        <v>27</v>
      </c>
      <c r="G373" s="9" t="s">
        <v>27</v>
      </c>
      <c r="H373" s="11" t="n">
        <v>18</v>
      </c>
      <c r="I373" s="11" t="s">
        <v>91</v>
      </c>
      <c r="J373" s="14" t="n">
        <v>30</v>
      </c>
      <c r="K373" s="14"/>
      <c r="L373" s="16"/>
      <c r="M373" s="27" t="n">
        <f aca="false">J373+(K373/20)+(L373/240)</f>
        <v>30</v>
      </c>
      <c r="N373" s="17" t="s">
        <v>64</v>
      </c>
      <c r="O373" s="11" t="s">
        <v>34</v>
      </c>
      <c r="P373" s="28"/>
      <c r="Q373" s="28" t="n">
        <f aca="false">P373*$M373</f>
        <v>0</v>
      </c>
      <c r="R373" s="28"/>
      <c r="S373" s="28" t="n">
        <f aca="false">R373*$M373</f>
        <v>0</v>
      </c>
      <c r="T373" s="28"/>
      <c r="U373" s="28" t="n">
        <f aca="false">T373*$M373</f>
        <v>0</v>
      </c>
      <c r="V373" s="28" t="n">
        <f aca="false">12300/100</f>
        <v>123</v>
      </c>
      <c r="W373" s="28" t="n">
        <v>3690</v>
      </c>
      <c r="X373" s="29"/>
      <c r="Y373" s="28" t="n">
        <f aca="false">X373*$M373</f>
        <v>0</v>
      </c>
      <c r="Z373" s="28"/>
      <c r="AA373" s="28" t="n">
        <f aca="false">Z373*$M373</f>
        <v>0</v>
      </c>
      <c r="AB373" s="28" t="n">
        <f aca="false">16277/100</f>
        <v>162.77</v>
      </c>
      <c r="AC373" s="28" t="n">
        <v>4883</v>
      </c>
      <c r="AD373" s="28"/>
      <c r="AE373" s="28" t="n">
        <f aca="false">AD373*$M373</f>
        <v>0</v>
      </c>
      <c r="AF373" s="28"/>
      <c r="AG373" s="28" t="n">
        <f aca="false">AF373*$M373</f>
        <v>0</v>
      </c>
      <c r="AH373" s="28"/>
      <c r="AI373" s="28" t="n">
        <f aca="false">AH373*$M373</f>
        <v>0</v>
      </c>
      <c r="AJ373" s="28"/>
      <c r="AK373" s="28" t="n">
        <f aca="false">AJ373*$M373</f>
        <v>0</v>
      </c>
      <c r="AL373" s="28"/>
      <c r="AM373" s="28" t="n">
        <f aca="false">AL373*$M373</f>
        <v>0</v>
      </c>
      <c r="AN373" s="28"/>
      <c r="AO373" s="28" t="n">
        <f aca="false">AN373*$M373</f>
        <v>0</v>
      </c>
      <c r="AP373" s="28"/>
      <c r="AQ373" s="28" t="n">
        <f aca="false">AP373*$M373</f>
        <v>0</v>
      </c>
      <c r="AR373" s="28"/>
      <c r="AS373" s="28" t="n">
        <f aca="false">AR373*$M373</f>
        <v>0</v>
      </c>
      <c r="AT373" s="28"/>
      <c r="AU373" s="28" t="n">
        <f aca="false">AT373*$M373</f>
        <v>0</v>
      </c>
      <c r="AV373" s="28"/>
      <c r="AW373" s="28" t="n">
        <f aca="false">AV373*$M373</f>
        <v>0</v>
      </c>
      <c r="AX373" s="28"/>
      <c r="AY373" s="28" t="n">
        <f aca="false">AX373*$M373</f>
        <v>0</v>
      </c>
      <c r="AZ373" s="30" t="n">
        <f aca="false">28577/100</f>
        <v>285.77</v>
      </c>
      <c r="BA373" s="11" t="n">
        <v>8573</v>
      </c>
      <c r="BB373" s="31" t="n">
        <f aca="false">SUM(Q373,S373,U373,W373,Y373,AA373,AC373,AE373,AG373,AI373,AK373,AM373,AO373,AQ373,AS373,AU373,AW373,AY373)</f>
        <v>8573</v>
      </c>
      <c r="BC373" s="28" t="n">
        <f aca="false">BA373-BB373</f>
        <v>0</v>
      </c>
      <c r="BD373" s="32" t="n">
        <f aca="false">SUM(P373,R373,T373,V373,X373,Z373,AB373,AD373,AF373,AH373,AJ373,AL373,AN373,AP373,AR373,AT373,AV373,AX373)</f>
        <v>285.77</v>
      </c>
      <c r="BE373" s="33" t="n">
        <f aca="false">AZ373-BD373</f>
        <v>0</v>
      </c>
      <c r="BF373" s="34" t="n">
        <f aca="false">BD373*M373</f>
        <v>8573.1</v>
      </c>
      <c r="BG373" s="35" t="n">
        <f aca="false">BA373-BF373</f>
        <v>-0.0999999999985448</v>
      </c>
      <c r="BH373" s="19" t="str">
        <f aca="false">IF(BG373=0,"",IF(BG373&lt;&gt;BA373,"erreur de calcul",IF(BD373&lt;&gt;0,"pas de prix",IF(M373&lt;&gt; 0,"pas de quantité","pas de prix, ni de quantité"))))</f>
        <v>erreur de calcul</v>
      </c>
      <c r="BI373" s="19"/>
    </row>
    <row r="374" customFormat="false" ht="16" hidden="false" customHeight="false" outlineLevel="0" collapsed="false">
      <c r="A374" s="0" t="n">
        <v>21</v>
      </c>
      <c r="B374" s="8" t="s">
        <v>24</v>
      </c>
      <c r="C374" s="9" t="s">
        <v>25</v>
      </c>
      <c r="D374" s="9" t="s">
        <v>26</v>
      </c>
      <c r="E374" s="10" t="n">
        <v>1789</v>
      </c>
      <c r="F374" s="9" t="s">
        <v>27</v>
      </c>
      <c r="G374" s="9" t="s">
        <v>27</v>
      </c>
      <c r="H374" s="11" t="n">
        <v>18</v>
      </c>
      <c r="I374" s="11" t="s">
        <v>92</v>
      </c>
      <c r="J374" s="14"/>
      <c r="K374" s="14" t="n">
        <v>25</v>
      </c>
      <c r="L374" s="16"/>
      <c r="M374" s="27" t="n">
        <f aca="false">J374+(K374/20)+(L374/240)</f>
        <v>1.25</v>
      </c>
      <c r="N374" s="17" t="s">
        <v>81</v>
      </c>
      <c r="O374" s="11" t="s">
        <v>34</v>
      </c>
      <c r="P374" s="28"/>
      <c r="Q374" s="28" t="n">
        <f aca="false">P374*$M374</f>
        <v>0</v>
      </c>
      <c r="R374" s="28"/>
      <c r="S374" s="28" t="n">
        <f aca="false">R374*$M374</f>
        <v>0</v>
      </c>
      <c r="T374" s="28"/>
      <c r="U374" s="28" t="n">
        <f aca="false">T374*$M374</f>
        <v>0</v>
      </c>
      <c r="V374" s="28" t="n">
        <v>17192</v>
      </c>
      <c r="W374" s="28" t="n">
        <v>21490</v>
      </c>
      <c r="X374" s="29"/>
      <c r="Y374" s="28" t="n">
        <f aca="false">X374*$M374</f>
        <v>0</v>
      </c>
      <c r="Z374" s="28"/>
      <c r="AA374" s="28" t="n">
        <f aca="false">Z374*$M374</f>
        <v>0</v>
      </c>
      <c r="AB374" s="28"/>
      <c r="AC374" s="28" t="n">
        <f aca="false">AB374*$M374</f>
        <v>0</v>
      </c>
      <c r="AD374" s="28"/>
      <c r="AE374" s="28" t="n">
        <f aca="false">AD374*$M374</f>
        <v>0</v>
      </c>
      <c r="AF374" s="28"/>
      <c r="AG374" s="28" t="n">
        <f aca="false">AF374*$M374</f>
        <v>0</v>
      </c>
      <c r="AH374" s="28"/>
      <c r="AI374" s="28" t="n">
        <f aca="false">AH374*$M374</f>
        <v>0</v>
      </c>
      <c r="AJ374" s="28"/>
      <c r="AK374" s="28" t="n">
        <f aca="false">AJ374*$M374</f>
        <v>0</v>
      </c>
      <c r="AL374" s="28"/>
      <c r="AM374" s="28" t="n">
        <f aca="false">AL374*$M374</f>
        <v>0</v>
      </c>
      <c r="AN374" s="28"/>
      <c r="AO374" s="28" t="n">
        <f aca="false">AN374*$M374</f>
        <v>0</v>
      </c>
      <c r="AP374" s="28"/>
      <c r="AQ374" s="28" t="n">
        <f aca="false">AP374*$M374</f>
        <v>0</v>
      </c>
      <c r="AR374" s="28"/>
      <c r="AS374" s="28" t="n">
        <f aca="false">AR374*$M374</f>
        <v>0</v>
      </c>
      <c r="AT374" s="28"/>
      <c r="AU374" s="28" t="n">
        <f aca="false">AT374*$M374</f>
        <v>0</v>
      </c>
      <c r="AV374" s="28"/>
      <c r="AW374" s="28" t="n">
        <f aca="false">AV374*$M374</f>
        <v>0</v>
      </c>
      <c r="AX374" s="28"/>
      <c r="AY374" s="28" t="n">
        <f aca="false">AX374*$M374</f>
        <v>0</v>
      </c>
      <c r="AZ374" s="30" t="n">
        <v>17192</v>
      </c>
      <c r="BA374" s="11" t="n">
        <v>21490</v>
      </c>
      <c r="BB374" s="31" t="n">
        <f aca="false">SUM(Q374,S374,U374,W374,Y374,AA374,AC374,AE374,AG374,AI374,AK374,AM374,AO374,AQ374,AS374,AU374,AW374,AY374)</f>
        <v>21490</v>
      </c>
      <c r="BC374" s="28" t="n">
        <f aca="false">BA374-BB374</f>
        <v>0</v>
      </c>
      <c r="BD374" s="32" t="n">
        <f aca="false">SUM(P374,R374,T374,V374,X374,Z374,AB374,AD374,AF374,AH374,AJ374,AL374,AN374,AP374,AR374,AT374,AV374,AX374)</f>
        <v>17192</v>
      </c>
      <c r="BE374" s="33" t="n">
        <f aca="false">AZ374-BD374</f>
        <v>0</v>
      </c>
      <c r="BF374" s="34" t="n">
        <f aca="false">BD374*M374</f>
        <v>21490</v>
      </c>
      <c r="BG374" s="35" t="n">
        <f aca="false">BA374-BF374</f>
        <v>0</v>
      </c>
      <c r="BH374" s="19" t="str">
        <f aca="false">IF(BG374=0,"",IF(BG374&lt;&gt;BA374,"erreur de calcul",IF(BD374&lt;&gt;0,"pas de prix",IF(M374&lt;&gt; 0,"pas de quantité","pas de prix, ni de quantité"))))</f>
        <v/>
      </c>
      <c r="BI374" s="19"/>
    </row>
    <row r="375" customFormat="false" ht="16" hidden="false" customHeight="false" outlineLevel="0" collapsed="false">
      <c r="A375" s="0" t="n">
        <v>22</v>
      </c>
      <c r="B375" s="8" t="s">
        <v>24</v>
      </c>
      <c r="C375" s="9" t="s">
        <v>25</v>
      </c>
      <c r="D375" s="9" t="s">
        <v>26</v>
      </c>
      <c r="E375" s="10" t="n">
        <v>1789</v>
      </c>
      <c r="F375" s="9" t="s">
        <v>27</v>
      </c>
      <c r="G375" s="9" t="s">
        <v>27</v>
      </c>
      <c r="H375" s="11" t="n">
        <v>18</v>
      </c>
      <c r="I375" s="11" t="s">
        <v>93</v>
      </c>
      <c r="J375" s="14" t="n">
        <v>4</v>
      </c>
      <c r="K375" s="14"/>
      <c r="L375" s="16"/>
      <c r="M375" s="27" t="n">
        <f aca="false">J375+(K375/20)+(L375/240)</f>
        <v>4</v>
      </c>
      <c r="N375" s="17" t="s">
        <v>94</v>
      </c>
      <c r="O375" s="11" t="s">
        <v>34</v>
      </c>
      <c r="P375" s="28"/>
      <c r="Q375" s="28" t="n">
        <f aca="false">P375*$M375</f>
        <v>0</v>
      </c>
      <c r="R375" s="28"/>
      <c r="S375" s="28" t="n">
        <f aca="false">R375*$M375</f>
        <v>0</v>
      </c>
      <c r="T375" s="28"/>
      <c r="U375" s="28" t="n">
        <f aca="false">T375*$M375</f>
        <v>0</v>
      </c>
      <c r="V375" s="28"/>
      <c r="W375" s="28" t="n">
        <f aca="false">V375*$M375</f>
        <v>0</v>
      </c>
      <c r="X375" s="29"/>
      <c r="Y375" s="28" t="n">
        <f aca="false">X375*$M375</f>
        <v>0</v>
      </c>
      <c r="Z375" s="28"/>
      <c r="AA375" s="28" t="n">
        <f aca="false">Z375*$M375</f>
        <v>0</v>
      </c>
      <c r="AB375" s="28"/>
      <c r="AC375" s="28" t="n">
        <f aca="false">AB375*$M375</f>
        <v>0</v>
      </c>
      <c r="AD375" s="28" t="n">
        <v>900</v>
      </c>
      <c r="AE375" s="28" t="n">
        <v>3600</v>
      </c>
      <c r="AF375" s="28"/>
      <c r="AG375" s="28" t="n">
        <f aca="false">AF375*$M375</f>
        <v>0</v>
      </c>
      <c r="AH375" s="28"/>
      <c r="AI375" s="28" t="n">
        <f aca="false">AH375*$M375</f>
        <v>0</v>
      </c>
      <c r="AJ375" s="28"/>
      <c r="AK375" s="28" t="n">
        <f aca="false">AJ375*$M375</f>
        <v>0</v>
      </c>
      <c r="AL375" s="28"/>
      <c r="AM375" s="28" t="n">
        <f aca="false">AL375*$M375</f>
        <v>0</v>
      </c>
      <c r="AN375" s="28"/>
      <c r="AO375" s="28" t="n">
        <f aca="false">AN375*$M375</f>
        <v>0</v>
      </c>
      <c r="AP375" s="28" t="n">
        <v>36</v>
      </c>
      <c r="AQ375" s="28" t="n">
        <v>144</v>
      </c>
      <c r="AR375" s="28"/>
      <c r="AS375" s="28" t="n">
        <f aca="false">AR375*$M375</f>
        <v>0</v>
      </c>
      <c r="AT375" s="28"/>
      <c r="AU375" s="28" t="n">
        <f aca="false">AT375*$M375</f>
        <v>0</v>
      </c>
      <c r="AV375" s="28"/>
      <c r="AW375" s="28" t="n">
        <f aca="false">AV375*$M375</f>
        <v>0</v>
      </c>
      <c r="AX375" s="28"/>
      <c r="AY375" s="28" t="n">
        <f aca="false">AX375*$M375</f>
        <v>0</v>
      </c>
      <c r="AZ375" s="30" t="n">
        <v>936</v>
      </c>
      <c r="BA375" s="11" t="n">
        <v>3744</v>
      </c>
      <c r="BB375" s="31" t="n">
        <f aca="false">SUM(Q375,S375,U375,W375,Y375,AA375,AC375,AE375,AG375,AI375,AK375,AM375,AO375,AQ375,AS375,AU375,AW375,AY375)</f>
        <v>3744</v>
      </c>
      <c r="BC375" s="28" t="n">
        <f aca="false">BA375-BB375</f>
        <v>0</v>
      </c>
      <c r="BD375" s="32" t="n">
        <f aca="false">SUM(P375,R375,T375,V375,X375,Z375,AB375,AD375,AF375,AH375,AJ375,AL375,AN375,AP375,AR375,AT375,AV375,AX375)</f>
        <v>936</v>
      </c>
      <c r="BE375" s="33" t="n">
        <f aca="false">AZ375-BD375</f>
        <v>0</v>
      </c>
      <c r="BF375" s="34" t="n">
        <f aca="false">BD375*M375</f>
        <v>3744</v>
      </c>
      <c r="BG375" s="35" t="n">
        <f aca="false">BA375-BF375</f>
        <v>0</v>
      </c>
      <c r="BH375" s="19" t="str">
        <f aca="false">IF(BG375=0,"",IF(BG375&lt;&gt;BA375,"erreur de calcul",IF(BD375&lt;&gt;0,"pas de prix",IF(M375&lt;&gt; 0,"pas de quantité","pas de prix, ni de quantité"))))</f>
        <v/>
      </c>
      <c r="BI375" s="19"/>
    </row>
    <row r="376" customFormat="false" ht="16" hidden="false" customHeight="false" outlineLevel="0" collapsed="false">
      <c r="A376" s="0" t="n">
        <v>23</v>
      </c>
      <c r="B376" s="8" t="s">
        <v>24</v>
      </c>
      <c r="C376" s="9" t="s">
        <v>25</v>
      </c>
      <c r="D376" s="9" t="s">
        <v>26</v>
      </c>
      <c r="E376" s="10" t="n">
        <v>1789</v>
      </c>
      <c r="F376" s="9" t="s">
        <v>27</v>
      </c>
      <c r="G376" s="9" t="s">
        <v>27</v>
      </c>
      <c r="H376" s="11" t="n">
        <v>18</v>
      </c>
      <c r="I376" s="11" t="s">
        <v>95</v>
      </c>
      <c r="J376" s="14" t="n">
        <v>40</v>
      </c>
      <c r="K376" s="14"/>
      <c r="L376" s="16"/>
      <c r="M376" s="27" t="n">
        <f aca="false">J376+(K376/20)+(L376/240)</f>
        <v>40</v>
      </c>
      <c r="N376" s="17" t="s">
        <v>64</v>
      </c>
      <c r="O376" s="11" t="s">
        <v>34</v>
      </c>
      <c r="P376" s="28" t="n">
        <f aca="false">16000/100</f>
        <v>160</v>
      </c>
      <c r="Q376" s="28" t="n">
        <v>6400</v>
      </c>
      <c r="R376" s="28"/>
      <c r="S376" s="28" t="n">
        <f aca="false">R376*$M376</f>
        <v>0</v>
      </c>
      <c r="T376" s="28"/>
      <c r="U376" s="28" t="n">
        <f aca="false">T376*$M376</f>
        <v>0</v>
      </c>
      <c r="V376" s="28"/>
      <c r="W376" s="28" t="n">
        <f aca="false">V376*$M376</f>
        <v>0</v>
      </c>
      <c r="X376" s="29"/>
      <c r="Y376" s="28" t="n">
        <f aca="false">X376*$M376</f>
        <v>0</v>
      </c>
      <c r="Z376" s="28"/>
      <c r="AA376" s="28" t="n">
        <f aca="false">Z376*$M376</f>
        <v>0</v>
      </c>
      <c r="AB376" s="28"/>
      <c r="AC376" s="28" t="n">
        <f aca="false">AB376*$M376</f>
        <v>0</v>
      </c>
      <c r="AD376" s="28"/>
      <c r="AE376" s="28" t="n">
        <f aca="false">AD376*$M376</f>
        <v>0</v>
      </c>
      <c r="AF376" s="28"/>
      <c r="AG376" s="28" t="n">
        <f aca="false">AF376*$M376</f>
        <v>0</v>
      </c>
      <c r="AH376" s="28"/>
      <c r="AI376" s="28" t="n">
        <f aca="false">AH376*$M376</f>
        <v>0</v>
      </c>
      <c r="AJ376" s="28"/>
      <c r="AK376" s="28" t="n">
        <f aca="false">AJ376*$M376</f>
        <v>0</v>
      </c>
      <c r="AL376" s="28"/>
      <c r="AM376" s="28" t="n">
        <f aca="false">AL376*$M376</f>
        <v>0</v>
      </c>
      <c r="AN376" s="28"/>
      <c r="AO376" s="28" t="n">
        <f aca="false">AN376*$M376</f>
        <v>0</v>
      </c>
      <c r="AP376" s="28"/>
      <c r="AQ376" s="28" t="n">
        <f aca="false">AP376*$M376</f>
        <v>0</v>
      </c>
      <c r="AR376" s="28"/>
      <c r="AS376" s="28" t="n">
        <f aca="false">AR376*$M376</f>
        <v>0</v>
      </c>
      <c r="AT376" s="28"/>
      <c r="AU376" s="28" t="n">
        <f aca="false">AT376*$M376</f>
        <v>0</v>
      </c>
      <c r="AV376" s="28"/>
      <c r="AW376" s="28" t="n">
        <f aca="false">AV376*$M376</f>
        <v>0</v>
      </c>
      <c r="AX376" s="28"/>
      <c r="AY376" s="28" t="n">
        <f aca="false">AX376*$M376</f>
        <v>0</v>
      </c>
      <c r="AZ376" s="30" t="n">
        <f aca="false">16000/100</f>
        <v>160</v>
      </c>
      <c r="BA376" s="11" t="n">
        <v>6400</v>
      </c>
      <c r="BB376" s="31" t="n">
        <f aca="false">SUM(Q376,S376,U376,W376,Y376,AA376,AC376,AE376,AG376,AI376,AK376,AM376,AO376,AQ376,AS376,AU376,AW376,AY376)</f>
        <v>6400</v>
      </c>
      <c r="BC376" s="28" t="n">
        <f aca="false">BA376-BB376</f>
        <v>0</v>
      </c>
      <c r="BD376" s="32" t="n">
        <f aca="false">SUM(P376,R376,T376,V376,X376,Z376,AB376,AD376,AF376,AH376,AJ376,AL376,AN376,AP376,AR376,AT376,AV376,AX376)</f>
        <v>160</v>
      </c>
      <c r="BE376" s="33" t="n">
        <f aca="false">AZ376-BD376</f>
        <v>0</v>
      </c>
      <c r="BF376" s="34" t="n">
        <f aca="false">BD376*M376</f>
        <v>6400</v>
      </c>
      <c r="BG376" s="35" t="n">
        <f aca="false">BA376-BF376</f>
        <v>0</v>
      </c>
      <c r="BH376" s="19" t="str">
        <f aca="false">IF(BG376=0,"",IF(BG376&lt;&gt;BA376,"erreur de calcul",IF(BD376&lt;&gt;0,"pas de prix",IF(M376&lt;&gt; 0,"pas de quantité","pas de prix, ni de quantité"))))</f>
        <v/>
      </c>
      <c r="BI376" s="19"/>
    </row>
    <row r="377" customFormat="false" ht="16" hidden="false" customHeight="false" outlineLevel="0" collapsed="false">
      <c r="A377" s="0" t="n">
        <v>24</v>
      </c>
      <c r="B377" s="8" t="s">
        <v>24</v>
      </c>
      <c r="C377" s="9" t="s">
        <v>25</v>
      </c>
      <c r="D377" s="9" t="s">
        <v>26</v>
      </c>
      <c r="E377" s="10" t="n">
        <v>1789</v>
      </c>
      <c r="F377" s="9" t="s">
        <v>27</v>
      </c>
      <c r="G377" s="9" t="s">
        <v>27</v>
      </c>
      <c r="H377" s="11" t="n">
        <v>18</v>
      </c>
      <c r="I377" s="11" t="s">
        <v>96</v>
      </c>
      <c r="J377" s="14" t="n">
        <v>25</v>
      </c>
      <c r="K377" s="14"/>
      <c r="L377" s="16"/>
      <c r="M377" s="27" t="n">
        <f aca="false">J377+(K377/20)+(L377/240)</f>
        <v>25</v>
      </c>
      <c r="N377" s="17" t="s">
        <v>64</v>
      </c>
      <c r="O377" s="11" t="s">
        <v>34</v>
      </c>
      <c r="P377" s="28" t="n">
        <f aca="false">968306/100</f>
        <v>9683.06</v>
      </c>
      <c r="Q377" s="28" t="n">
        <v>242076</v>
      </c>
      <c r="R377" s="28"/>
      <c r="S377" s="28" t="n">
        <f aca="false">R377*$M377</f>
        <v>0</v>
      </c>
      <c r="T377" s="28"/>
      <c r="U377" s="28" t="n">
        <f aca="false">T377*$M377</f>
        <v>0</v>
      </c>
      <c r="V377" s="28" t="n">
        <f aca="false">39234/100</f>
        <v>392.34</v>
      </c>
      <c r="W377" s="28" t="n">
        <v>9808</v>
      </c>
      <c r="X377" s="29"/>
      <c r="Y377" s="28" t="n">
        <v>3410</v>
      </c>
      <c r="Z377" s="28"/>
      <c r="AA377" s="28" t="n">
        <f aca="false">Z377*$M377</f>
        <v>0</v>
      </c>
      <c r="AB377" s="28"/>
      <c r="AC377" s="28" t="n">
        <f aca="false">AB377*$M377</f>
        <v>0</v>
      </c>
      <c r="AD377" s="28"/>
      <c r="AE377" s="28" t="n">
        <f aca="false">AD377*$M377</f>
        <v>0</v>
      </c>
      <c r="AF377" s="28"/>
      <c r="AG377" s="28" t="n">
        <f aca="false">AF377*$M377</f>
        <v>0</v>
      </c>
      <c r="AH377" s="28"/>
      <c r="AI377" s="28" t="n">
        <f aca="false">AH377*$M377</f>
        <v>0</v>
      </c>
      <c r="AJ377" s="28" t="n">
        <f aca="false">2665/100</f>
        <v>26.65</v>
      </c>
      <c r="AK377" s="28" t="n">
        <v>666</v>
      </c>
      <c r="AL377" s="28"/>
      <c r="AM377" s="28" t="n">
        <f aca="false">AL377*$M377</f>
        <v>0</v>
      </c>
      <c r="AN377" s="28"/>
      <c r="AO377" s="28" t="n">
        <f aca="false">AN377*$M377</f>
        <v>0</v>
      </c>
      <c r="AP377" s="28"/>
      <c r="AQ377" s="28" t="n">
        <f aca="false">AP377*$M377</f>
        <v>0</v>
      </c>
      <c r="AR377" s="28"/>
      <c r="AS377" s="28" t="n">
        <f aca="false">AR377*$M377</f>
        <v>0</v>
      </c>
      <c r="AT377" s="28"/>
      <c r="AU377" s="28" t="n">
        <f aca="false">AT377*$M377</f>
        <v>0</v>
      </c>
      <c r="AV377" s="28"/>
      <c r="AW377" s="28" t="n">
        <f aca="false">AV377*$M377</f>
        <v>0</v>
      </c>
      <c r="AX377" s="28" t="n">
        <f aca="false">118115/100</f>
        <v>1181.15</v>
      </c>
      <c r="AY377" s="28" t="n">
        <v>29529</v>
      </c>
      <c r="AZ377" s="30" t="n">
        <f aca="false">1141960/100</f>
        <v>11419.6</v>
      </c>
      <c r="BA377" s="11" t="n">
        <v>285489</v>
      </c>
      <c r="BB377" s="31" t="n">
        <f aca="false">SUM(Q377,S377,U377,W377,Y377,AA377,AC377,AE377,AG377,AI377,AK377,AM377,AO377,AQ377,AS377,AU377,AW377,AY377)</f>
        <v>285489</v>
      </c>
      <c r="BC377" s="28" t="n">
        <f aca="false">BA377-BB377</f>
        <v>0</v>
      </c>
      <c r="BD377" s="32" t="n">
        <f aca="false">SUM(P377,R377,T377,V377,X377,Z377,AB377,AD377,AF377,AH377,AJ377,AL377,AN377,AP377,AR377,AT377,AV377,AX377)</f>
        <v>11283.2</v>
      </c>
      <c r="BE377" s="33" t="n">
        <f aca="false">AZ377-BD377</f>
        <v>136.400000000001</v>
      </c>
      <c r="BF377" s="34" t="n">
        <f aca="false">BD377*M377</f>
        <v>282080</v>
      </c>
      <c r="BG377" s="35" t="n">
        <f aca="false">BA377-BF377</f>
        <v>3409</v>
      </c>
      <c r="BH377" s="19" t="str">
        <f aca="false">IF(BG377=0,"",IF(BG377&lt;&gt;BA377,"erreur de calcul",IF(BD377&lt;&gt;0,"pas de prix",IF(M377&lt;&gt; 0,"pas de quantité","pas de prix, ni de quantité"))))</f>
        <v>erreur de calcul</v>
      </c>
      <c r="BI377" s="19"/>
    </row>
    <row r="378" customFormat="false" ht="16" hidden="false" customHeight="false" outlineLevel="0" collapsed="false">
      <c r="A378" s="0" t="n">
        <v>25</v>
      </c>
      <c r="B378" s="8" t="s">
        <v>24</v>
      </c>
      <c r="C378" s="9" t="s">
        <v>25</v>
      </c>
      <c r="D378" s="9" t="s">
        <v>26</v>
      </c>
      <c r="E378" s="10" t="n">
        <v>1789</v>
      </c>
      <c r="F378" s="9" t="s">
        <v>27</v>
      </c>
      <c r="G378" s="9" t="s">
        <v>27</v>
      </c>
      <c r="H378" s="11" t="n">
        <v>18</v>
      </c>
      <c r="I378" s="11" t="s">
        <v>97</v>
      </c>
      <c r="J378" s="14" t="n">
        <v>30</v>
      </c>
      <c r="K378" s="14"/>
      <c r="L378" s="16"/>
      <c r="M378" s="27" t="n">
        <f aca="false">J378+(K378/20)+(L378/240)</f>
        <v>30</v>
      </c>
      <c r="N378" s="17" t="s">
        <v>64</v>
      </c>
      <c r="O378" s="11" t="s">
        <v>34</v>
      </c>
      <c r="P378" s="28"/>
      <c r="Q378" s="28" t="n">
        <f aca="false">P378*$M378</f>
        <v>0</v>
      </c>
      <c r="R378" s="28"/>
      <c r="S378" s="28" t="n">
        <f aca="false">R378*$M378</f>
        <v>0</v>
      </c>
      <c r="T378" s="28"/>
      <c r="U378" s="28" t="n">
        <f aca="false">T378*$M378</f>
        <v>0</v>
      </c>
      <c r="V378" s="28"/>
      <c r="W378" s="28" t="n">
        <f aca="false">V378*$M378</f>
        <v>0</v>
      </c>
      <c r="X378" s="29"/>
      <c r="Y378" s="28" t="n">
        <f aca="false">X378*$M378</f>
        <v>0</v>
      </c>
      <c r="Z378" s="28"/>
      <c r="AA378" s="28" t="n">
        <f aca="false">Z378*$M378</f>
        <v>0</v>
      </c>
      <c r="AB378" s="28"/>
      <c r="AC378" s="28" t="n">
        <f aca="false">AB378*$M378</f>
        <v>0</v>
      </c>
      <c r="AD378" s="28"/>
      <c r="AE378" s="28" t="n">
        <f aca="false">AD378*$M378</f>
        <v>0</v>
      </c>
      <c r="AF378" s="28"/>
      <c r="AG378" s="28" t="n">
        <f aca="false">AF378*$M378</f>
        <v>0</v>
      </c>
      <c r="AH378" s="28"/>
      <c r="AI378" s="28" t="n">
        <f aca="false">AH378*$M378</f>
        <v>0</v>
      </c>
      <c r="AJ378" s="28"/>
      <c r="AK378" s="28" t="n">
        <f aca="false">AJ378*$M378</f>
        <v>0</v>
      </c>
      <c r="AL378" s="28"/>
      <c r="AM378" s="28" t="n">
        <f aca="false">AL378*$M378</f>
        <v>0</v>
      </c>
      <c r="AN378" s="28"/>
      <c r="AO378" s="28" t="n">
        <f aca="false">AN378*$M378</f>
        <v>0</v>
      </c>
      <c r="AP378" s="28"/>
      <c r="AQ378" s="28" t="n">
        <f aca="false">AP378*$M378</f>
        <v>0</v>
      </c>
      <c r="AR378" s="28"/>
      <c r="AS378" s="28" t="n">
        <f aca="false">AR378*$M378</f>
        <v>0</v>
      </c>
      <c r="AT378" s="28"/>
      <c r="AU378" s="28" t="n">
        <f aca="false">AT378*$M378</f>
        <v>0</v>
      </c>
      <c r="AV378" s="28"/>
      <c r="AW378" s="28" t="n">
        <f aca="false">AV378*$M378</f>
        <v>0</v>
      </c>
      <c r="AX378" s="28"/>
      <c r="AY378" s="28" t="n">
        <f aca="false">AX378*$M378</f>
        <v>0</v>
      </c>
      <c r="AZ378" s="30"/>
      <c r="BA378" s="11"/>
      <c r="BB378" s="31" t="n">
        <f aca="false">SUM(Q378,S378,U378,W378,Y378,AA378,AC378,AE378,AG378,AI378,AK378,AM378,AO378,AQ378,AS378,AU378,AW378,AY378)</f>
        <v>0</v>
      </c>
      <c r="BC378" s="28" t="n">
        <f aca="false">BA378-BB378</f>
        <v>0</v>
      </c>
      <c r="BD378" s="32" t="n">
        <f aca="false">SUM(P378,R378,T378,V378,X378,Z378,AB378,AD378,AF378,AH378,AJ378,AL378,AN378,AP378,AR378,AT378,AV378,AX378)</f>
        <v>0</v>
      </c>
      <c r="BE378" s="33" t="n">
        <f aca="false">AZ378-BD378</f>
        <v>0</v>
      </c>
      <c r="BF378" s="34" t="n">
        <f aca="false">BD378*M378</f>
        <v>0</v>
      </c>
      <c r="BG378" s="35" t="n">
        <f aca="false">BA378-BF378</f>
        <v>0</v>
      </c>
      <c r="BH378" s="19" t="str">
        <f aca="false">IF(BG378=0,"",IF(BG378&lt;&gt;BA378,"erreur de calcul",IF(BD378&lt;&gt;0,"pas de prix",IF(M378&lt;&gt; 0,"pas de quantité","pas de prix, ni de quantité"))))</f>
        <v/>
      </c>
      <c r="BI378" s="19"/>
    </row>
    <row r="379" customFormat="false" ht="16" hidden="false" customHeight="false" outlineLevel="0" collapsed="false">
      <c r="A379" s="0" t="n">
        <v>26</v>
      </c>
      <c r="B379" s="8" t="s">
        <v>24</v>
      </c>
      <c r="C379" s="9" t="s">
        <v>25</v>
      </c>
      <c r="D379" s="9" t="s">
        <v>26</v>
      </c>
      <c r="E379" s="10" t="n">
        <v>1789</v>
      </c>
      <c r="F379" s="9" t="s">
        <v>27</v>
      </c>
      <c r="G379" s="9" t="s">
        <v>27</v>
      </c>
      <c r="H379" s="11" t="n">
        <v>18</v>
      </c>
      <c r="I379" s="11" t="s">
        <v>99</v>
      </c>
      <c r="J379" s="14" t="n">
        <v>12</v>
      </c>
      <c r="K379" s="14"/>
      <c r="L379" s="16"/>
      <c r="M379" s="27" t="n">
        <f aca="false">J379+(K379/20)+(L379/240)</f>
        <v>12</v>
      </c>
      <c r="N379" s="17" t="s">
        <v>64</v>
      </c>
      <c r="O379" s="11" t="s">
        <v>34</v>
      </c>
      <c r="P379" s="28" t="n">
        <f aca="false">7077/100</f>
        <v>70.77</v>
      </c>
      <c r="Q379" s="28" t="n">
        <v>849</v>
      </c>
      <c r="R379" s="28"/>
      <c r="S379" s="28" t="n">
        <f aca="false">R379*$M379</f>
        <v>0</v>
      </c>
      <c r="T379" s="28"/>
      <c r="U379" s="28" t="n">
        <f aca="false">T379*$M379</f>
        <v>0</v>
      </c>
      <c r="V379" s="28"/>
      <c r="W379" s="28" t="n">
        <f aca="false">V379*$M379</f>
        <v>0</v>
      </c>
      <c r="X379" s="29"/>
      <c r="Y379" s="28" t="n">
        <v>866</v>
      </c>
      <c r="Z379" s="28"/>
      <c r="AA379" s="28" t="n">
        <f aca="false">Z379*$M379</f>
        <v>0</v>
      </c>
      <c r="AB379" s="28"/>
      <c r="AC379" s="28" t="n">
        <f aca="false">AB379*$M379</f>
        <v>0</v>
      </c>
      <c r="AD379" s="28"/>
      <c r="AE379" s="28" t="n">
        <f aca="false">AD379*$M379</f>
        <v>0</v>
      </c>
      <c r="AF379" s="28"/>
      <c r="AG379" s="28" t="n">
        <f aca="false">AF379*$M379</f>
        <v>0</v>
      </c>
      <c r="AH379" s="28"/>
      <c r="AI379" s="28" t="n">
        <f aca="false">AH379*$M379</f>
        <v>0</v>
      </c>
      <c r="AJ379" s="28"/>
      <c r="AK379" s="28" t="n">
        <f aca="false">AJ379*$M379</f>
        <v>0</v>
      </c>
      <c r="AL379" s="28"/>
      <c r="AM379" s="28" t="n">
        <f aca="false">AL379*$M379</f>
        <v>0</v>
      </c>
      <c r="AN379" s="28"/>
      <c r="AO379" s="28" t="n">
        <f aca="false">AN379*$M379</f>
        <v>0</v>
      </c>
      <c r="AP379" s="28"/>
      <c r="AQ379" s="28" t="n">
        <f aca="false">AP379*$M379</f>
        <v>0</v>
      </c>
      <c r="AR379" s="28"/>
      <c r="AS379" s="28" t="n">
        <f aca="false">AR379*$M379</f>
        <v>0</v>
      </c>
      <c r="AT379" s="28"/>
      <c r="AU379" s="28" t="n">
        <f aca="false">AT379*$M379</f>
        <v>0</v>
      </c>
      <c r="AV379" s="28"/>
      <c r="AW379" s="28" t="n">
        <f aca="false">AV379*$M379</f>
        <v>0</v>
      </c>
      <c r="AX379" s="28"/>
      <c r="AY379" s="28" t="n">
        <f aca="false">AX379*$M379</f>
        <v>0</v>
      </c>
      <c r="AZ379" s="30" t="n">
        <f aca="false">14294/100</f>
        <v>142.94</v>
      </c>
      <c r="BA379" s="11" t="n">
        <v>1715</v>
      </c>
      <c r="BB379" s="31" t="n">
        <f aca="false">SUM(Q379,S379,U379,W379,Y379,AA379,AC379,AE379,AG379,AI379,AK379,AM379,AO379,AQ379,AS379,AU379,AW379,AY379)</f>
        <v>1715</v>
      </c>
      <c r="BC379" s="28" t="n">
        <f aca="false">BA379-BB379</f>
        <v>0</v>
      </c>
      <c r="BD379" s="32" t="n">
        <f aca="false">SUM(P379,R379,T379,V379,X379,Z379,AB379,AD379,AF379,AH379,AJ379,AL379,AN379,AP379,AR379,AT379,AV379,AX379)</f>
        <v>70.77</v>
      </c>
      <c r="BE379" s="33" t="n">
        <f aca="false">AZ379-BD379</f>
        <v>72.17</v>
      </c>
      <c r="BF379" s="34" t="n">
        <f aca="false">BD379*M379</f>
        <v>849.24</v>
      </c>
      <c r="BG379" s="35" t="n">
        <f aca="false">BA379-BF379</f>
        <v>865.76</v>
      </c>
      <c r="BH379" s="19" t="str">
        <f aca="false">IF(BG379=0,"",IF(BG379&lt;&gt;BA379,"erreur de calcul",IF(BD379&lt;&gt;0,"pas de prix",IF(M379&lt;&gt; 0,"pas de quantité","pas de prix, ni de quantité"))))</f>
        <v>erreur de calcul</v>
      </c>
      <c r="BI379" s="19"/>
    </row>
    <row r="380" customFormat="false" ht="16" hidden="false" customHeight="false" outlineLevel="0" collapsed="false">
      <c r="A380" s="0" t="n">
        <v>27</v>
      </c>
      <c r="B380" s="8" t="s">
        <v>24</v>
      </c>
      <c r="C380" s="9" t="s">
        <v>25</v>
      </c>
      <c r="D380" s="9" t="s">
        <v>26</v>
      </c>
      <c r="E380" s="10" t="n">
        <v>1789</v>
      </c>
      <c r="F380" s="9" t="s">
        <v>27</v>
      </c>
      <c r="G380" s="9" t="s">
        <v>27</v>
      </c>
      <c r="H380" s="11" t="n">
        <v>18</v>
      </c>
      <c r="I380" s="11" t="s">
        <v>100</v>
      </c>
      <c r="J380" s="14" t="n">
        <v>13</v>
      </c>
      <c r="K380" s="14"/>
      <c r="L380" s="16"/>
      <c r="M380" s="27" t="n">
        <f aca="false">J380+(K380/20)+(L380/240)</f>
        <v>13</v>
      </c>
      <c r="N380" s="17" t="s">
        <v>64</v>
      </c>
      <c r="O380" s="11" t="s">
        <v>34</v>
      </c>
      <c r="P380" s="28"/>
      <c r="Q380" s="28" t="n">
        <f aca="false">P380*$M380</f>
        <v>0</v>
      </c>
      <c r="R380" s="28"/>
      <c r="S380" s="28" t="n">
        <f aca="false">R380*$M380</f>
        <v>0</v>
      </c>
      <c r="T380" s="28"/>
      <c r="U380" s="28" t="n">
        <f aca="false">T380*$M380</f>
        <v>0</v>
      </c>
      <c r="V380" s="28"/>
      <c r="W380" s="28" t="n">
        <f aca="false">V380*$M380</f>
        <v>0</v>
      </c>
      <c r="X380" s="29"/>
      <c r="Y380" s="28" t="n">
        <f aca="false">X380*$M380</f>
        <v>0</v>
      </c>
      <c r="Z380" s="28"/>
      <c r="AA380" s="28" t="n">
        <f aca="false">Z380*$M380</f>
        <v>0</v>
      </c>
      <c r="AB380" s="28"/>
      <c r="AC380" s="28" t="n">
        <f aca="false">AB380*$M380</f>
        <v>0</v>
      </c>
      <c r="AD380" s="28"/>
      <c r="AE380" s="28" t="n">
        <f aca="false">AD380*$M380</f>
        <v>0</v>
      </c>
      <c r="AF380" s="28"/>
      <c r="AG380" s="28" t="n">
        <f aca="false">AF380*$M380</f>
        <v>0</v>
      </c>
      <c r="AH380" s="28" t="n">
        <f aca="false">7819/100</f>
        <v>78.19</v>
      </c>
      <c r="AI380" s="28" t="n">
        <v>1016</v>
      </c>
      <c r="AJ380" s="28" t="n">
        <f aca="false">10382/100</f>
        <v>103.82</v>
      </c>
      <c r="AK380" s="28" t="n">
        <v>1350</v>
      </c>
      <c r="AL380" s="28"/>
      <c r="AM380" s="28" t="n">
        <f aca="false">AL380*$M380</f>
        <v>0</v>
      </c>
      <c r="AN380" s="28"/>
      <c r="AO380" s="28" t="n">
        <f aca="false">AN380*$M380</f>
        <v>0</v>
      </c>
      <c r="AP380" s="28"/>
      <c r="AQ380" s="28" t="n">
        <f aca="false">AP380*$M380</f>
        <v>0</v>
      </c>
      <c r="AR380" s="28"/>
      <c r="AS380" s="28" t="n">
        <f aca="false">AR380*$M380</f>
        <v>0</v>
      </c>
      <c r="AT380" s="28"/>
      <c r="AU380" s="28" t="n">
        <f aca="false">AT380*$M380</f>
        <v>0</v>
      </c>
      <c r="AV380" s="28"/>
      <c r="AW380" s="28" t="n">
        <f aca="false">AV380*$M380</f>
        <v>0</v>
      </c>
      <c r="AX380" s="28"/>
      <c r="AY380" s="28" t="n">
        <f aca="false">AX380*$M380</f>
        <v>0</v>
      </c>
      <c r="AZ380" s="30" t="n">
        <f aca="false">18201/100</f>
        <v>182.01</v>
      </c>
      <c r="BA380" s="11" t="n">
        <v>2366</v>
      </c>
      <c r="BB380" s="31" t="n">
        <f aca="false">SUM(Q380,S380,U380,W380,Y380,AA380,AC380,AE380,AG380,AI380,AK380,AM380,AO380,AQ380,AS380,AU380,AW380,AY380)</f>
        <v>2366</v>
      </c>
      <c r="BC380" s="28" t="n">
        <f aca="false">BA380-BB380</f>
        <v>0</v>
      </c>
      <c r="BD380" s="32" t="n">
        <f aca="false">SUM(P380,R380,T380,V380,X380,Z380,AB380,AD380,AF380,AH380,AJ380,AL380,AN380,AP380,AR380,AT380,AV380,AX380)</f>
        <v>182.01</v>
      </c>
      <c r="BE380" s="33" t="n">
        <f aca="false">AZ380-BD380</f>
        <v>0</v>
      </c>
      <c r="BF380" s="34" t="n">
        <f aca="false">BD380*M380</f>
        <v>2366.13</v>
      </c>
      <c r="BG380" s="35" t="n">
        <f aca="false">BA380-BF380</f>
        <v>-0.130000000000109</v>
      </c>
      <c r="BH380" s="19" t="str">
        <f aca="false">IF(BG380=0,"",IF(BG380&lt;&gt;BA380,"erreur de calcul",IF(BD380&lt;&gt;0,"pas de prix",IF(M380&lt;&gt; 0,"pas de quantité","pas de prix, ni de quantité"))))</f>
        <v>erreur de calcul</v>
      </c>
      <c r="BI380" s="19"/>
    </row>
    <row r="381" customFormat="false" ht="16" hidden="false" customHeight="false" outlineLevel="0" collapsed="false">
      <c r="A381" s="0" t="n">
        <v>28</v>
      </c>
      <c r="B381" s="8" t="s">
        <v>24</v>
      </c>
      <c r="C381" s="9" t="s">
        <v>25</v>
      </c>
      <c r="D381" s="9" t="s">
        <v>26</v>
      </c>
      <c r="E381" s="10" t="n">
        <v>1789</v>
      </c>
      <c r="F381" s="9" t="s">
        <v>27</v>
      </c>
      <c r="G381" s="9" t="s">
        <v>27</v>
      </c>
      <c r="H381" s="11" t="n">
        <v>18</v>
      </c>
      <c r="I381" s="11" t="s">
        <v>101</v>
      </c>
      <c r="J381" s="14" t="n">
        <v>35</v>
      </c>
      <c r="K381" s="14"/>
      <c r="L381" s="16"/>
      <c r="M381" s="27" t="n">
        <f aca="false">J381+(K381/20)+(L381/240)</f>
        <v>35</v>
      </c>
      <c r="N381" s="17" t="s">
        <v>64</v>
      </c>
      <c r="O381" s="11" t="s">
        <v>34</v>
      </c>
      <c r="P381" s="28"/>
      <c r="Q381" s="28" t="n">
        <f aca="false">P381*$M381</f>
        <v>0</v>
      </c>
      <c r="R381" s="28"/>
      <c r="S381" s="28" t="n">
        <f aca="false">R381*$M381</f>
        <v>0</v>
      </c>
      <c r="T381" s="28"/>
      <c r="U381" s="28" t="n">
        <f aca="false">T381*$M381</f>
        <v>0</v>
      </c>
      <c r="V381" s="28"/>
      <c r="W381" s="28" t="n">
        <f aca="false">V381*$M381</f>
        <v>0</v>
      </c>
      <c r="X381" s="29"/>
      <c r="Y381" s="28" t="n">
        <f aca="false">X381*$M381</f>
        <v>0</v>
      </c>
      <c r="Z381" s="28"/>
      <c r="AA381" s="28" t="n">
        <f aca="false">Z381*$M381</f>
        <v>0</v>
      </c>
      <c r="AB381" s="28"/>
      <c r="AC381" s="28" t="n">
        <f aca="false">AB381*$M381</f>
        <v>0</v>
      </c>
      <c r="AD381" s="28"/>
      <c r="AE381" s="28" t="n">
        <f aca="false">AD381*$M381</f>
        <v>0</v>
      </c>
      <c r="AF381" s="28"/>
      <c r="AG381" s="28" t="n">
        <f aca="false">AF381*$M381</f>
        <v>0</v>
      </c>
      <c r="AH381" s="28"/>
      <c r="AI381" s="28" t="n">
        <f aca="false">AH381*$M381</f>
        <v>0</v>
      </c>
      <c r="AJ381" s="28" t="n">
        <f aca="false">65277/100</f>
        <v>652.77</v>
      </c>
      <c r="AK381" s="28" t="n">
        <v>22847</v>
      </c>
      <c r="AL381" s="28"/>
      <c r="AM381" s="28" t="n">
        <f aca="false">AL381*$M381</f>
        <v>0</v>
      </c>
      <c r="AN381" s="28"/>
      <c r="AO381" s="28" t="n">
        <f aca="false">AN381*$M381</f>
        <v>0</v>
      </c>
      <c r="AP381" s="28"/>
      <c r="AQ381" s="28" t="n">
        <f aca="false">AP381*$M381</f>
        <v>0</v>
      </c>
      <c r="AR381" s="28"/>
      <c r="AS381" s="28" t="n">
        <f aca="false">AR381*$M381</f>
        <v>0</v>
      </c>
      <c r="AT381" s="28"/>
      <c r="AU381" s="28" t="n">
        <f aca="false">AT381*$M381</f>
        <v>0</v>
      </c>
      <c r="AV381" s="28"/>
      <c r="AW381" s="28" t="n">
        <f aca="false">AV381*$M381</f>
        <v>0</v>
      </c>
      <c r="AX381" s="28"/>
      <c r="AY381" s="28" t="n">
        <f aca="false">AX381*$M381</f>
        <v>0</v>
      </c>
      <c r="AZ381" s="30" t="n">
        <f aca="false">65277/100</f>
        <v>652.77</v>
      </c>
      <c r="BA381" s="11" t="n">
        <v>22847</v>
      </c>
      <c r="BB381" s="31" t="n">
        <f aca="false">SUM(Q381,S381,U381,W381,Y381,AA381,AC381,AE381,AG381,AI381,AK381,AM381,AO381,AQ381,AS381,AU381,AW381,AY381)</f>
        <v>22847</v>
      </c>
      <c r="BC381" s="28" t="n">
        <f aca="false">BA381-BB381</f>
        <v>0</v>
      </c>
      <c r="BD381" s="32" t="n">
        <f aca="false">SUM(P381,R381,T381,V381,X381,Z381,AB381,AD381,AF381,AH381,AJ381,AL381,AN381,AP381,AR381,AT381,AV381,AX381)</f>
        <v>652.77</v>
      </c>
      <c r="BE381" s="33" t="n">
        <f aca="false">AZ381-BD381</f>
        <v>0</v>
      </c>
      <c r="BF381" s="34" t="n">
        <f aca="false">BD381*M381</f>
        <v>22846.95</v>
      </c>
      <c r="BG381" s="35" t="n">
        <f aca="false">BA381-BF381</f>
        <v>0.0499999999992724</v>
      </c>
      <c r="BH381" s="19" t="str">
        <f aca="false">IF(BG381=0,"",IF(BG381&lt;&gt;BA381,"erreur de calcul",IF(BD381&lt;&gt;0,"pas de prix",IF(M381&lt;&gt; 0,"pas de quantité","pas de prix, ni de quantité"))))</f>
        <v>erreur de calcul</v>
      </c>
      <c r="BI381" s="19"/>
    </row>
    <row r="382" customFormat="false" ht="16" hidden="false" customHeight="false" outlineLevel="0" collapsed="false">
      <c r="A382" s="0" t="n">
        <v>29</v>
      </c>
      <c r="B382" s="8" t="s">
        <v>24</v>
      </c>
      <c r="C382" s="9" t="s">
        <v>25</v>
      </c>
      <c r="D382" s="9" t="s">
        <v>26</v>
      </c>
      <c r="E382" s="10" t="n">
        <v>1789</v>
      </c>
      <c r="F382" s="9" t="s">
        <v>27</v>
      </c>
      <c r="G382" s="9" t="s">
        <v>27</v>
      </c>
      <c r="H382" s="11" t="n">
        <v>18</v>
      </c>
      <c r="I382" s="11" t="s">
        <v>102</v>
      </c>
      <c r="J382" s="14" t="n">
        <v>47</v>
      </c>
      <c r="K382" s="14"/>
      <c r="L382" s="16"/>
      <c r="M382" s="27" t="n">
        <f aca="false">J382+(K382/20)+(L382/240)</f>
        <v>47</v>
      </c>
      <c r="N382" s="17" t="s">
        <v>64</v>
      </c>
      <c r="O382" s="11" t="s">
        <v>34</v>
      </c>
      <c r="P382" s="28" t="n">
        <f aca="false">8467/100</f>
        <v>84.67</v>
      </c>
      <c r="Q382" s="28" t="n">
        <v>3979</v>
      </c>
      <c r="R382" s="28"/>
      <c r="S382" s="28" t="n">
        <f aca="false">R382*$M382</f>
        <v>0</v>
      </c>
      <c r="T382" s="28"/>
      <c r="U382" s="28" t="n">
        <f aca="false">T382*$M382</f>
        <v>0</v>
      </c>
      <c r="V382" s="28"/>
      <c r="W382" s="28" t="n">
        <f aca="false">V382*$M382</f>
        <v>0</v>
      </c>
      <c r="X382" s="29"/>
      <c r="Y382" s="28" t="n">
        <f aca="false">X382*$M382</f>
        <v>0</v>
      </c>
      <c r="Z382" s="28"/>
      <c r="AA382" s="28" t="n">
        <f aca="false">Z382*$M382</f>
        <v>0</v>
      </c>
      <c r="AB382" s="28"/>
      <c r="AC382" s="28" t="n">
        <f aca="false">AB382*$M382</f>
        <v>0</v>
      </c>
      <c r="AD382" s="28"/>
      <c r="AE382" s="28" t="n">
        <f aca="false">AD382*$M382</f>
        <v>0</v>
      </c>
      <c r="AF382" s="28"/>
      <c r="AG382" s="28" t="n">
        <f aca="false">AF382*$M382</f>
        <v>0</v>
      </c>
      <c r="AH382" s="28"/>
      <c r="AI382" s="28" t="n">
        <f aca="false">AH382*$M382</f>
        <v>0</v>
      </c>
      <c r="AJ382" s="28"/>
      <c r="AK382" s="28" t="n">
        <f aca="false">AJ382*$M382</f>
        <v>0</v>
      </c>
      <c r="AL382" s="28"/>
      <c r="AM382" s="28" t="n">
        <f aca="false">AL382*$M382</f>
        <v>0</v>
      </c>
      <c r="AN382" s="28"/>
      <c r="AO382" s="28" t="n">
        <f aca="false">AN382*$M382</f>
        <v>0</v>
      </c>
      <c r="AP382" s="28"/>
      <c r="AQ382" s="28" t="n">
        <f aca="false">AP382*$M382</f>
        <v>0</v>
      </c>
      <c r="AR382" s="28"/>
      <c r="AS382" s="28" t="n">
        <f aca="false">AR382*$M382</f>
        <v>0</v>
      </c>
      <c r="AT382" s="28"/>
      <c r="AU382" s="28" t="n">
        <f aca="false">AT382*$M382</f>
        <v>0</v>
      </c>
      <c r="AV382" s="28"/>
      <c r="AW382" s="28" t="n">
        <f aca="false">AV382*$M382</f>
        <v>0</v>
      </c>
      <c r="AX382" s="28"/>
      <c r="AY382" s="28" t="n">
        <f aca="false">AX382*$M382</f>
        <v>0</v>
      </c>
      <c r="AZ382" s="30" t="n">
        <f aca="false">8467/100</f>
        <v>84.67</v>
      </c>
      <c r="BA382" s="11" t="n">
        <v>3979</v>
      </c>
      <c r="BB382" s="31" t="n">
        <f aca="false">SUM(Q382,S382,U382,W382,Y382,AA382,AC382,AE382,AG382,AI382,AK382,AM382,AO382,AQ382,AS382,AU382,AW382,AY382)</f>
        <v>3979</v>
      </c>
      <c r="BC382" s="28" t="n">
        <f aca="false">BA382-BB382</f>
        <v>0</v>
      </c>
      <c r="BD382" s="32" t="n">
        <f aca="false">SUM(P382,R382,T382,V382,X382,Z382,AB382,AD382,AF382,AH382,AJ382,AL382,AN382,AP382,AR382,AT382,AV382,AX382)</f>
        <v>84.67</v>
      </c>
      <c r="BE382" s="33" t="n">
        <f aca="false">AZ382-BD382</f>
        <v>0</v>
      </c>
      <c r="BF382" s="34" t="n">
        <f aca="false">BD382*M382</f>
        <v>3979.49</v>
      </c>
      <c r="BG382" s="35" t="n">
        <f aca="false">BA382-BF382</f>
        <v>-0.490000000000237</v>
      </c>
      <c r="BH382" s="19" t="str">
        <f aca="false">IF(BG382=0,"",IF(BG382&lt;&gt;BA382,"erreur de calcul",IF(BD382&lt;&gt;0,"pas de prix",IF(M382&lt;&gt; 0,"pas de quantité","pas de prix, ni de quantité"))))</f>
        <v>erreur de calcul</v>
      </c>
      <c r="BI382" s="19"/>
    </row>
    <row r="383" customFormat="false" ht="16" hidden="false" customHeight="false" outlineLevel="0" collapsed="false">
      <c r="A383" s="0" t="n">
        <v>30</v>
      </c>
      <c r="B383" s="8" t="s">
        <v>24</v>
      </c>
      <c r="C383" s="9" t="s">
        <v>25</v>
      </c>
      <c r="D383" s="9" t="s">
        <v>26</v>
      </c>
      <c r="E383" s="10" t="n">
        <v>1789</v>
      </c>
      <c r="F383" s="9" t="s">
        <v>27</v>
      </c>
      <c r="G383" s="9" t="s">
        <v>27</v>
      </c>
      <c r="H383" s="11" t="n">
        <v>18</v>
      </c>
      <c r="I383" s="11" t="s">
        <v>103</v>
      </c>
      <c r="J383" s="14" t="n">
        <v>475</v>
      </c>
      <c r="K383" s="14"/>
      <c r="L383" s="16"/>
      <c r="M383" s="27" t="n">
        <f aca="false">J383+(K383/20)+(L383/240)</f>
        <v>475</v>
      </c>
      <c r="N383" s="17" t="s">
        <v>64</v>
      </c>
      <c r="O383" s="11" t="s">
        <v>34</v>
      </c>
      <c r="P383" s="28"/>
      <c r="Q383" s="28" t="n">
        <f aca="false">P383*$M383</f>
        <v>0</v>
      </c>
      <c r="R383" s="28"/>
      <c r="S383" s="28" t="n">
        <f aca="false">R383*$M383</f>
        <v>0</v>
      </c>
      <c r="T383" s="28" t="n">
        <f aca="false">1746/100</f>
        <v>17.46</v>
      </c>
      <c r="U383" s="28" t="n">
        <v>8293</v>
      </c>
      <c r="V383" s="28"/>
      <c r="W383" s="28" t="n">
        <f aca="false">V383*$M383</f>
        <v>0</v>
      </c>
      <c r="X383" s="29"/>
      <c r="Y383" s="28" t="n">
        <f aca="false">X383*$M383</f>
        <v>0</v>
      </c>
      <c r="Z383" s="28"/>
      <c r="AA383" s="28" t="n">
        <f aca="false">Z383*$M383</f>
        <v>0</v>
      </c>
      <c r="AB383" s="28"/>
      <c r="AC383" s="28" t="n">
        <f aca="false">AB383*$M383</f>
        <v>0</v>
      </c>
      <c r="AD383" s="28"/>
      <c r="AE383" s="28" t="n">
        <f aca="false">AD383*$M383</f>
        <v>0</v>
      </c>
      <c r="AF383" s="28"/>
      <c r="AG383" s="28" t="n">
        <f aca="false">AF383*$M383</f>
        <v>0</v>
      </c>
      <c r="AH383" s="28" t="n">
        <f aca="false">1667/100</f>
        <v>16.67</v>
      </c>
      <c r="AI383" s="28" t="n">
        <v>7918</v>
      </c>
      <c r="AJ383" s="28"/>
      <c r="AK383" s="28" t="n">
        <f aca="false">AJ383*$M383</f>
        <v>0</v>
      </c>
      <c r="AL383" s="28"/>
      <c r="AM383" s="28" t="n">
        <f aca="false">AL383*$M383</f>
        <v>0</v>
      </c>
      <c r="AN383" s="28"/>
      <c r="AO383" s="28" t="n">
        <f aca="false">AN383*$M383</f>
        <v>0</v>
      </c>
      <c r="AP383" s="28"/>
      <c r="AQ383" s="28" t="n">
        <f aca="false">AP383*$M383</f>
        <v>0</v>
      </c>
      <c r="AR383" s="28"/>
      <c r="AS383" s="28" t="n">
        <f aca="false">AR383*$M383</f>
        <v>0</v>
      </c>
      <c r="AT383" s="28"/>
      <c r="AU383" s="28" t="n">
        <f aca="false">AT383*$M383</f>
        <v>0</v>
      </c>
      <c r="AV383" s="28"/>
      <c r="AW383" s="28" t="n">
        <f aca="false">AV383*$M383</f>
        <v>0</v>
      </c>
      <c r="AX383" s="28"/>
      <c r="AY383" s="28" t="n">
        <f aca="false">AX383*$M383</f>
        <v>0</v>
      </c>
      <c r="AZ383" s="30" t="n">
        <f aca="false">3413/100</f>
        <v>34.13</v>
      </c>
      <c r="BA383" s="11" t="n">
        <v>16211</v>
      </c>
      <c r="BB383" s="31" t="n">
        <f aca="false">SUM(Q383,S383,U383,W383,Y383,AA383,AC383,AE383,AG383,AI383,AK383,AM383,AO383,AQ383,AS383,AU383,AW383,AY383)</f>
        <v>16211</v>
      </c>
      <c r="BC383" s="28" t="n">
        <f aca="false">BA383-BB383</f>
        <v>0</v>
      </c>
      <c r="BD383" s="32" t="n">
        <f aca="false">SUM(P383,R383,T383,V383,X383,Z383,AB383,AD383,AF383,AH383,AJ383,AL383,AN383,AP383,AR383,AT383,AV383,AX383)</f>
        <v>34.13</v>
      </c>
      <c r="BE383" s="33" t="n">
        <f aca="false">AZ383-BD383</f>
        <v>0</v>
      </c>
      <c r="BF383" s="34" t="n">
        <f aca="false">BD383*M383</f>
        <v>16211.75</v>
      </c>
      <c r="BG383" s="35" t="n">
        <f aca="false">BA383-BF383</f>
        <v>-0.750000000001819</v>
      </c>
      <c r="BH383" s="19" t="str">
        <f aca="false">IF(BG383=0,"",IF(BG383&lt;&gt;BA383,"erreur de calcul",IF(BD383&lt;&gt;0,"pas de prix",IF(M383&lt;&gt; 0,"pas de quantité","pas de prix, ni de quantité"))))</f>
        <v>erreur de calcul</v>
      </c>
      <c r="BI383" s="19"/>
    </row>
    <row r="384" customFormat="false" ht="16" hidden="false" customHeight="false" outlineLevel="0" collapsed="false">
      <c r="A384" s="0" t="n">
        <v>31</v>
      </c>
      <c r="B384" s="8" t="s">
        <v>24</v>
      </c>
      <c r="C384" s="9" t="s">
        <v>25</v>
      </c>
      <c r="D384" s="9" t="s">
        <v>26</v>
      </c>
      <c r="E384" s="10" t="n">
        <v>1789</v>
      </c>
      <c r="F384" s="9" t="s">
        <v>27</v>
      </c>
      <c r="G384" s="9" t="s">
        <v>27</v>
      </c>
      <c r="H384" s="11" t="n">
        <v>18</v>
      </c>
      <c r="I384" s="11" t="s">
        <v>104</v>
      </c>
      <c r="J384" s="14" t="n">
        <v>310</v>
      </c>
      <c r="K384" s="14"/>
      <c r="L384" s="16"/>
      <c r="M384" s="27" t="n">
        <f aca="false">J384+(K384/20)+(L384/240)</f>
        <v>310</v>
      </c>
      <c r="N384" s="17" t="s">
        <v>64</v>
      </c>
      <c r="O384" s="11" t="s">
        <v>34</v>
      </c>
      <c r="P384" s="28"/>
      <c r="Q384" s="28" t="n">
        <f aca="false">P384*$M384</f>
        <v>0</v>
      </c>
      <c r="R384" s="28"/>
      <c r="S384" s="28" t="n">
        <f aca="false">R384*$M384</f>
        <v>0</v>
      </c>
      <c r="T384" s="28" t="n">
        <f aca="false">1087/100</f>
        <v>10.87</v>
      </c>
      <c r="U384" s="28" t="n">
        <v>3370</v>
      </c>
      <c r="V384" s="28" t="n">
        <f aca="false">285/100</f>
        <v>2.85</v>
      </c>
      <c r="W384" s="28" t="n">
        <v>883</v>
      </c>
      <c r="X384" s="29"/>
      <c r="Y384" s="28" t="n">
        <f aca="false">X384*$M384</f>
        <v>0</v>
      </c>
      <c r="Z384" s="28"/>
      <c r="AA384" s="28" t="n">
        <f aca="false">Z384*$M384</f>
        <v>0</v>
      </c>
      <c r="AB384" s="28"/>
      <c r="AC384" s="28" t="n">
        <f aca="false">AB384*$M384</f>
        <v>0</v>
      </c>
      <c r="AD384" s="28"/>
      <c r="AE384" s="28" t="n">
        <f aca="false">AD384*$M384</f>
        <v>0</v>
      </c>
      <c r="AF384" s="28"/>
      <c r="AG384" s="28" t="n">
        <f aca="false">AF384*$M384</f>
        <v>0</v>
      </c>
      <c r="AH384" s="28"/>
      <c r="AI384" s="28" t="n">
        <f aca="false">AH384*$M384</f>
        <v>0</v>
      </c>
      <c r="AJ384" s="28"/>
      <c r="AK384" s="28" t="n">
        <f aca="false">AJ384*$M384</f>
        <v>0</v>
      </c>
      <c r="AL384" s="28"/>
      <c r="AM384" s="28" t="n">
        <f aca="false">AL384*$M384</f>
        <v>0</v>
      </c>
      <c r="AN384" s="28"/>
      <c r="AO384" s="28" t="n">
        <f aca="false">AN384*$M384</f>
        <v>0</v>
      </c>
      <c r="AP384" s="28"/>
      <c r="AQ384" s="28" t="n">
        <f aca="false">AP384*$M384</f>
        <v>0</v>
      </c>
      <c r="AR384" s="28"/>
      <c r="AS384" s="28" t="n">
        <f aca="false">AR384*$M384</f>
        <v>0</v>
      </c>
      <c r="AT384" s="28"/>
      <c r="AU384" s="28" t="n">
        <f aca="false">AT384*$M384</f>
        <v>0</v>
      </c>
      <c r="AV384" s="28"/>
      <c r="AW384" s="28" t="n">
        <f aca="false">AV384*$M384</f>
        <v>0</v>
      </c>
      <c r="AX384" s="28"/>
      <c r="AY384" s="28" t="n">
        <f aca="false">AX384*$M384</f>
        <v>0</v>
      </c>
      <c r="AZ384" s="30" t="n">
        <f aca="false">1372/100</f>
        <v>13.72</v>
      </c>
      <c r="BA384" s="11" t="n">
        <v>4253</v>
      </c>
      <c r="BB384" s="31" t="n">
        <f aca="false">SUM(Q384,S384,U384,W384,Y384,AA384,AC384,AE384,AG384,AI384,AK384,AM384,AO384,AQ384,AS384,AU384,AW384,AY384)</f>
        <v>4253</v>
      </c>
      <c r="BC384" s="28" t="n">
        <f aca="false">BA384-BB384</f>
        <v>0</v>
      </c>
      <c r="BD384" s="32" t="n">
        <f aca="false">SUM(P384,R384,T384,V384,X384,Z384,AB384,AD384,AF384,AH384,AJ384,AL384,AN384,AP384,AR384,AT384,AV384,AX384)</f>
        <v>13.72</v>
      </c>
      <c r="BE384" s="33" t="n">
        <f aca="false">AZ384-BD384</f>
        <v>0</v>
      </c>
      <c r="BF384" s="34" t="n">
        <f aca="false">BD384*M384</f>
        <v>4253.2</v>
      </c>
      <c r="BG384" s="35" t="n">
        <f aca="false">BA384-BF384</f>
        <v>-0.199999999999818</v>
      </c>
      <c r="BH384" s="19" t="str">
        <f aca="false">IF(BG384=0,"",IF(BG384&lt;&gt;BA384,"erreur de calcul",IF(BD384&lt;&gt;0,"pas de prix",IF(M384&lt;&gt; 0,"pas de quantité","pas de prix, ni de quantité"))))</f>
        <v>erreur de calcul</v>
      </c>
      <c r="BI384" s="19"/>
    </row>
    <row r="385" customFormat="false" ht="16" hidden="false" customHeight="false" outlineLevel="0" collapsed="false">
      <c r="A385" s="0" t="n">
        <v>32</v>
      </c>
      <c r="B385" s="8" t="s">
        <v>24</v>
      </c>
      <c r="C385" s="9" t="s">
        <v>25</v>
      </c>
      <c r="D385" s="9" t="s">
        <v>26</v>
      </c>
      <c r="E385" s="10" t="n">
        <v>1789</v>
      </c>
      <c r="F385" s="9" t="s">
        <v>27</v>
      </c>
      <c r="G385" s="9" t="s">
        <v>27</v>
      </c>
      <c r="H385" s="11" t="n">
        <v>18</v>
      </c>
      <c r="I385" s="11" t="s">
        <v>105</v>
      </c>
      <c r="J385" s="14" t="n">
        <v>570</v>
      </c>
      <c r="K385" s="14"/>
      <c r="L385" s="16"/>
      <c r="M385" s="27" t="n">
        <f aca="false">J385+(K385/20)+(L385/240)</f>
        <v>570</v>
      </c>
      <c r="N385" s="17" t="s">
        <v>64</v>
      </c>
      <c r="O385" s="11" t="s">
        <v>34</v>
      </c>
      <c r="P385" s="28"/>
      <c r="Q385" s="28" t="n">
        <f aca="false">P385*$M385</f>
        <v>0</v>
      </c>
      <c r="R385" s="28"/>
      <c r="S385" s="28" t="n">
        <f aca="false">R385*$M385</f>
        <v>0</v>
      </c>
      <c r="T385" s="28" t="n">
        <f aca="false">7423/100</f>
        <v>74.23</v>
      </c>
      <c r="U385" s="28" t="n">
        <v>42311</v>
      </c>
      <c r="V385" s="28" t="n">
        <f aca="false">798/100</f>
        <v>7.98</v>
      </c>
      <c r="W385" s="28" t="n">
        <v>4549</v>
      </c>
      <c r="X385" s="29" t="n">
        <f aca="false">2068/100</f>
        <v>20.68</v>
      </c>
      <c r="Y385" s="28" t="n">
        <v>8368</v>
      </c>
      <c r="Z385" s="28"/>
      <c r="AA385" s="28" t="n">
        <f aca="false">Z385*$M385</f>
        <v>0</v>
      </c>
      <c r="AB385" s="28" t="n">
        <f aca="false">226/100</f>
        <v>2.26</v>
      </c>
      <c r="AC385" s="28" t="n">
        <v>1288</v>
      </c>
      <c r="AD385" s="28"/>
      <c r="AE385" s="28" t="n">
        <f aca="false">AD385*$M385</f>
        <v>0</v>
      </c>
      <c r="AF385" s="28"/>
      <c r="AG385" s="28" t="n">
        <f aca="false">AF385*$M385</f>
        <v>0</v>
      </c>
      <c r="AH385" s="28"/>
      <c r="AI385" s="28" t="n">
        <f aca="false">AH385*$M385</f>
        <v>0</v>
      </c>
      <c r="AJ385" s="28"/>
      <c r="AK385" s="28" t="n">
        <f aca="false">AJ385*$M385</f>
        <v>0</v>
      </c>
      <c r="AL385" s="28"/>
      <c r="AM385" s="28" t="n">
        <f aca="false">AL385*$M385</f>
        <v>0</v>
      </c>
      <c r="AN385" s="28"/>
      <c r="AO385" s="28" t="n">
        <f aca="false">AN385*$M385</f>
        <v>0</v>
      </c>
      <c r="AP385" s="28"/>
      <c r="AQ385" s="28" t="n">
        <f aca="false">AP385*$M385</f>
        <v>0</v>
      </c>
      <c r="AR385" s="28"/>
      <c r="AS385" s="28" t="n">
        <f aca="false">AR385*$M385</f>
        <v>0</v>
      </c>
      <c r="AT385" s="28"/>
      <c r="AU385" s="28" t="n">
        <f aca="false">AT385*$M385</f>
        <v>0</v>
      </c>
      <c r="AV385" s="28"/>
      <c r="AW385" s="28" t="n">
        <f aca="false">AV385*$M385</f>
        <v>0</v>
      </c>
      <c r="AX385" s="28"/>
      <c r="AY385" s="28" t="n">
        <f aca="false">AX385*$M385</f>
        <v>0</v>
      </c>
      <c r="AZ385" s="30" t="n">
        <f aca="false">10515/100</f>
        <v>105.15</v>
      </c>
      <c r="BA385" s="11" t="n">
        <v>56516</v>
      </c>
      <c r="BB385" s="31" t="n">
        <f aca="false">SUM(Q385,S385,U385,W385,Y385,AA385,AC385,AE385,AG385,AI385,AK385,AM385,AO385,AQ385,AS385,AU385,AW385,AY385)</f>
        <v>56516</v>
      </c>
      <c r="BC385" s="28" t="n">
        <f aca="false">BA385-BB385</f>
        <v>0</v>
      </c>
      <c r="BD385" s="32" t="n">
        <f aca="false">SUM(P385,R385,T385,V385,X385,Z385,AB385,AD385,AF385,AH385,AJ385,AL385,AN385,AP385,AR385,AT385,AV385,AX385)</f>
        <v>105.15</v>
      </c>
      <c r="BE385" s="33" t="n">
        <f aca="false">AZ385-BD385</f>
        <v>0</v>
      </c>
      <c r="BF385" s="34" t="n">
        <f aca="false">BD385*M385</f>
        <v>59935.5</v>
      </c>
      <c r="BG385" s="35" t="n">
        <f aca="false">BA385-BF385</f>
        <v>-3419.50000000001</v>
      </c>
      <c r="BH385" s="19" t="str">
        <f aca="false">IF(BG385=0,"",IF(BG385&lt;&gt;BA385,"erreur de calcul",IF(BD385&lt;&gt;0,"pas de prix",IF(M385&lt;&gt; 0,"pas de quantité","pas de prix, ni de quantité"))))</f>
        <v>erreur de calcul</v>
      </c>
      <c r="BI385" s="19"/>
    </row>
    <row r="386" customFormat="false" ht="16" hidden="false" customHeight="false" outlineLevel="0" collapsed="false">
      <c r="A386" s="0" t="n">
        <v>33</v>
      </c>
      <c r="B386" s="8" t="s">
        <v>24</v>
      </c>
      <c r="C386" s="9" t="s">
        <v>25</v>
      </c>
      <c r="D386" s="9" t="s">
        <v>26</v>
      </c>
      <c r="E386" s="10" t="n">
        <v>1789</v>
      </c>
      <c r="F386" s="9" t="s">
        <v>27</v>
      </c>
      <c r="G386" s="9" t="s">
        <v>27</v>
      </c>
      <c r="H386" s="11" t="n">
        <v>18</v>
      </c>
      <c r="I386" s="11" t="s">
        <v>106</v>
      </c>
      <c r="J386" s="14"/>
      <c r="K386" s="14" t="n">
        <v>40</v>
      </c>
      <c r="L386" s="16"/>
      <c r="M386" s="27" t="n">
        <f aca="false">J386+(K386/20)+(L386/240)</f>
        <v>2</v>
      </c>
      <c r="N386" s="17" t="s">
        <v>66</v>
      </c>
      <c r="O386" s="11" t="s">
        <v>34</v>
      </c>
      <c r="P386" s="28"/>
      <c r="Q386" s="28" t="n">
        <f aca="false">P386*$M386</f>
        <v>0</v>
      </c>
      <c r="R386" s="28"/>
      <c r="S386" s="28" t="n">
        <f aca="false">R386*$M386</f>
        <v>0</v>
      </c>
      <c r="T386" s="28"/>
      <c r="U386" s="28" t="n">
        <f aca="false">T386*$M386</f>
        <v>0</v>
      </c>
      <c r="V386" s="28" t="n">
        <v>892</v>
      </c>
      <c r="W386" s="28" t="n">
        <v>1784</v>
      </c>
      <c r="X386" s="29"/>
      <c r="Y386" s="28" t="n">
        <f aca="false">X386*$M386</f>
        <v>0</v>
      </c>
      <c r="Z386" s="28"/>
      <c r="AA386" s="28" t="n">
        <f aca="false">Z386*$M386</f>
        <v>0</v>
      </c>
      <c r="AB386" s="28"/>
      <c r="AC386" s="28" t="n">
        <f aca="false">AB386*$M386</f>
        <v>0</v>
      </c>
      <c r="AD386" s="28"/>
      <c r="AE386" s="28" t="n">
        <f aca="false">AD386*$M386</f>
        <v>0</v>
      </c>
      <c r="AF386" s="28"/>
      <c r="AG386" s="28" t="n">
        <f aca="false">AF386*$M386</f>
        <v>0</v>
      </c>
      <c r="AH386" s="28" t="n">
        <v>1961</v>
      </c>
      <c r="AI386" s="28" t="n">
        <v>3922</v>
      </c>
      <c r="AJ386" s="28"/>
      <c r="AK386" s="28" t="n">
        <f aca="false">AJ386*$M386</f>
        <v>0</v>
      </c>
      <c r="AL386" s="28"/>
      <c r="AM386" s="28" t="n">
        <f aca="false">AL386*$M386</f>
        <v>0</v>
      </c>
      <c r="AN386" s="28"/>
      <c r="AO386" s="28" t="n">
        <f aca="false">AN386*$M386</f>
        <v>0</v>
      </c>
      <c r="AP386" s="28"/>
      <c r="AQ386" s="28" t="n">
        <f aca="false">AP386*$M386</f>
        <v>0</v>
      </c>
      <c r="AR386" s="28"/>
      <c r="AS386" s="28" t="n">
        <f aca="false">AR386*$M386</f>
        <v>0</v>
      </c>
      <c r="AT386" s="28"/>
      <c r="AU386" s="28" t="n">
        <f aca="false">AT386*$M386</f>
        <v>0</v>
      </c>
      <c r="AV386" s="28"/>
      <c r="AW386" s="28" t="n">
        <f aca="false">AV386*$M386</f>
        <v>0</v>
      </c>
      <c r="AX386" s="28"/>
      <c r="AY386" s="28" t="n">
        <f aca="false">AX386*$M386</f>
        <v>0</v>
      </c>
      <c r="AZ386" s="30" t="n">
        <v>2853</v>
      </c>
      <c r="BA386" s="11" t="n">
        <v>5706</v>
      </c>
      <c r="BB386" s="31" t="n">
        <f aca="false">SUM(Q386,S386,U386,W386,Y386,AA386,AC386,AE386,AG386,AI386,AK386,AM386,AO386,AQ386,AS386,AU386,AW386,AY386)</f>
        <v>5706</v>
      </c>
      <c r="BC386" s="28" t="n">
        <f aca="false">BA386-BB386</f>
        <v>0</v>
      </c>
      <c r="BD386" s="32" t="n">
        <f aca="false">SUM(P386,R386,T386,V386,X386,Z386,AB386,AD386,AF386,AH386,AJ386,AL386,AN386,AP386,AR386,AT386,AV386,AX386)</f>
        <v>2853</v>
      </c>
      <c r="BE386" s="33" t="n">
        <f aca="false">AZ386-BD386</f>
        <v>0</v>
      </c>
      <c r="BF386" s="34" t="n">
        <f aca="false">BD386*M386</f>
        <v>5706</v>
      </c>
      <c r="BG386" s="35" t="n">
        <f aca="false">BA386-BF386</f>
        <v>0</v>
      </c>
      <c r="BH386" s="19" t="str">
        <f aca="false">IF(BG386=0,"",IF(BG386&lt;&gt;BA386,"erreur de calcul",IF(BD386&lt;&gt;0,"pas de prix",IF(M386&lt;&gt; 0,"pas de quantité","pas de prix, ni de quantité"))))</f>
        <v/>
      </c>
      <c r="BI386" s="19"/>
    </row>
    <row r="387" customFormat="false" ht="16" hidden="false" customHeight="false" outlineLevel="0" collapsed="false">
      <c r="A387" s="0" t="n">
        <v>34</v>
      </c>
      <c r="B387" s="8" t="s">
        <v>24</v>
      </c>
      <c r="C387" s="9" t="s">
        <v>25</v>
      </c>
      <c r="D387" s="9" t="s">
        <v>26</v>
      </c>
      <c r="E387" s="10" t="n">
        <v>1789</v>
      </c>
      <c r="F387" s="9" t="s">
        <v>27</v>
      </c>
      <c r="G387" s="9" t="s">
        <v>27</v>
      </c>
      <c r="H387" s="11" t="n">
        <v>18</v>
      </c>
      <c r="I387" s="11" t="s">
        <v>107</v>
      </c>
      <c r="J387" s="14" t="n">
        <v>180</v>
      </c>
      <c r="K387" s="14"/>
      <c r="L387" s="16"/>
      <c r="M387" s="27" t="n">
        <f aca="false">J387+(K387/20)+(L387/240)</f>
        <v>180</v>
      </c>
      <c r="N387" s="17" t="s">
        <v>64</v>
      </c>
      <c r="O387" s="11" t="s">
        <v>34</v>
      </c>
      <c r="P387" s="28"/>
      <c r="Q387" s="28" t="n">
        <f aca="false">P387*$M387</f>
        <v>0</v>
      </c>
      <c r="R387" s="28"/>
      <c r="S387" s="28" t="n">
        <f aca="false">R387*$M387</f>
        <v>0</v>
      </c>
      <c r="T387" s="28"/>
      <c r="U387" s="28" t="n">
        <f aca="false">T387*$M387</f>
        <v>0</v>
      </c>
      <c r="V387" s="28"/>
      <c r="W387" s="28" t="n">
        <f aca="false">V387*$M387</f>
        <v>0</v>
      </c>
      <c r="X387" s="29"/>
      <c r="Y387" s="28" t="n">
        <f aca="false">X387*$M387</f>
        <v>0</v>
      </c>
      <c r="Z387" s="28"/>
      <c r="AA387" s="28" t="n">
        <f aca="false">Z387*$M387</f>
        <v>0</v>
      </c>
      <c r="AB387" s="28"/>
      <c r="AC387" s="28" t="n">
        <f aca="false">AB387*$M387</f>
        <v>0</v>
      </c>
      <c r="AD387" s="28"/>
      <c r="AE387" s="28" t="n">
        <f aca="false">AD387*$M387</f>
        <v>0</v>
      </c>
      <c r="AF387" s="28"/>
      <c r="AG387" s="28" t="n">
        <f aca="false">AF387*$M387</f>
        <v>0</v>
      </c>
      <c r="AH387" s="28" t="n">
        <f aca="false">28680/100</f>
        <v>286.8</v>
      </c>
      <c r="AI387" s="28" t="n">
        <v>51624</v>
      </c>
      <c r="AJ387" s="28"/>
      <c r="AK387" s="28" t="n">
        <f aca="false">AJ387*$M387</f>
        <v>0</v>
      </c>
      <c r="AL387" s="28"/>
      <c r="AM387" s="28" t="n">
        <f aca="false">AL387*$M387</f>
        <v>0</v>
      </c>
      <c r="AN387" s="28"/>
      <c r="AO387" s="28" t="n">
        <f aca="false">AN387*$M387</f>
        <v>0</v>
      </c>
      <c r="AP387" s="28"/>
      <c r="AQ387" s="28" t="n">
        <f aca="false">AP387*$M387</f>
        <v>0</v>
      </c>
      <c r="AR387" s="28"/>
      <c r="AS387" s="28" t="n">
        <f aca="false">AR387*$M387</f>
        <v>0</v>
      </c>
      <c r="AT387" s="28"/>
      <c r="AU387" s="28" t="n">
        <f aca="false">AT387*$M387</f>
        <v>0</v>
      </c>
      <c r="AV387" s="28"/>
      <c r="AW387" s="28" t="n">
        <f aca="false">AV387*$M387</f>
        <v>0</v>
      </c>
      <c r="AX387" s="28"/>
      <c r="AY387" s="28" t="n">
        <f aca="false">AX387*$M387</f>
        <v>0</v>
      </c>
      <c r="AZ387" s="30" t="n">
        <f aca="false">28680/100</f>
        <v>286.8</v>
      </c>
      <c r="BA387" s="11" t="n">
        <v>51624</v>
      </c>
      <c r="BB387" s="31" t="n">
        <f aca="false">SUM(Q387,S387,U387,W387,Y387,AA387,AC387,AE387,AG387,AI387,AK387,AM387,AO387,AQ387,AS387,AU387,AW387,AY387)</f>
        <v>51624</v>
      </c>
      <c r="BC387" s="28" t="n">
        <f aca="false">BA387-BB387</f>
        <v>0</v>
      </c>
      <c r="BD387" s="32" t="n">
        <f aca="false">SUM(P387,R387,T387,V387,X387,Z387,AB387,AD387,AF387,AH387,AJ387,AL387,AN387,AP387,AR387,AT387,AV387,AX387)</f>
        <v>286.8</v>
      </c>
      <c r="BE387" s="33" t="n">
        <f aca="false">AZ387-BD387</f>
        <v>0</v>
      </c>
      <c r="BF387" s="34" t="n">
        <f aca="false">BD387*M387</f>
        <v>51624</v>
      </c>
      <c r="BG387" s="35" t="n">
        <f aca="false">BA387-BF387</f>
        <v>0</v>
      </c>
      <c r="BH387" s="19" t="str">
        <f aca="false">IF(BG387=0,"",IF(BG387&lt;&gt;BA387,"erreur de calcul",IF(BD387&lt;&gt;0,"pas de prix",IF(M387&lt;&gt; 0,"pas de quantité","pas de prix, ni de quantité"))))</f>
        <v/>
      </c>
      <c r="BI387" s="19"/>
    </row>
    <row r="388" customFormat="false" ht="16" hidden="false" customHeight="false" outlineLevel="0" collapsed="false">
      <c r="A388" s="0" t="n">
        <v>35</v>
      </c>
      <c r="B388" s="8" t="s">
        <v>24</v>
      </c>
      <c r="C388" s="9" t="s">
        <v>25</v>
      </c>
      <c r="D388" s="9" t="s">
        <v>26</v>
      </c>
      <c r="E388" s="10" t="n">
        <v>1789</v>
      </c>
      <c r="F388" s="9" t="s">
        <v>27</v>
      </c>
      <c r="G388" s="9" t="s">
        <v>27</v>
      </c>
      <c r="H388" s="11" t="n">
        <v>18</v>
      </c>
      <c r="I388" s="11" t="s">
        <v>108</v>
      </c>
      <c r="J388" s="14" t="n">
        <v>11</v>
      </c>
      <c r="K388" s="14"/>
      <c r="L388" s="16"/>
      <c r="M388" s="27" t="n">
        <f aca="false">J388+(K388/20)+(L388/240)</f>
        <v>11</v>
      </c>
      <c r="N388" s="17" t="s">
        <v>64</v>
      </c>
      <c r="O388" s="11" t="s">
        <v>34</v>
      </c>
      <c r="P388" s="28"/>
      <c r="Q388" s="28" t="n">
        <f aca="false">P388*$M388</f>
        <v>0</v>
      </c>
      <c r="R388" s="28"/>
      <c r="S388" s="28" t="n">
        <f aca="false">R388*$M388</f>
        <v>0</v>
      </c>
      <c r="T388" s="28"/>
      <c r="U388" s="28" t="n">
        <f aca="false">T388*$M388</f>
        <v>0</v>
      </c>
      <c r="V388" s="28"/>
      <c r="W388" s="28" t="n">
        <f aca="false">V388*$M388</f>
        <v>0</v>
      </c>
      <c r="X388" s="29"/>
      <c r="Y388" s="28" t="n">
        <f aca="false">X388*$M388</f>
        <v>0</v>
      </c>
      <c r="Z388" s="28"/>
      <c r="AA388" s="28" t="n">
        <f aca="false">Z388*$M388</f>
        <v>0</v>
      </c>
      <c r="AB388" s="28"/>
      <c r="AC388" s="28" t="n">
        <f aca="false">AB388*$M388</f>
        <v>0</v>
      </c>
      <c r="AD388" s="28"/>
      <c r="AE388" s="28" t="n">
        <f aca="false">AD388*$M388</f>
        <v>0</v>
      </c>
      <c r="AF388" s="28"/>
      <c r="AG388" s="28" t="n">
        <f aca="false">AF388*$M388</f>
        <v>0</v>
      </c>
      <c r="AH388" s="28"/>
      <c r="AI388" s="28" t="n">
        <f aca="false">AH388*$M388</f>
        <v>0</v>
      </c>
      <c r="AJ388" s="28" t="n">
        <f aca="false">1784/100</f>
        <v>17.84</v>
      </c>
      <c r="AK388" s="28" t="n">
        <v>196</v>
      </c>
      <c r="AL388" s="28" t="n">
        <f aca="false">7942/100</f>
        <v>79.42</v>
      </c>
      <c r="AM388" s="28" t="n">
        <v>874</v>
      </c>
      <c r="AN388" s="28"/>
      <c r="AO388" s="28" t="n">
        <f aca="false">AN388*$M388</f>
        <v>0</v>
      </c>
      <c r="AP388" s="28" t="n">
        <f aca="false">13980/100</f>
        <v>139.8</v>
      </c>
      <c r="AQ388" s="28" t="n">
        <v>1538</v>
      </c>
      <c r="AR388" s="28" t="n">
        <f aca="false">96390/100</f>
        <v>963.9</v>
      </c>
      <c r="AS388" s="28" t="n">
        <v>10603</v>
      </c>
      <c r="AT388" s="28"/>
      <c r="AU388" s="28" t="n">
        <f aca="false">AT388*$M388</f>
        <v>0</v>
      </c>
      <c r="AV388" s="28"/>
      <c r="AW388" s="28" t="n">
        <f aca="false">AV388*$M388</f>
        <v>0</v>
      </c>
      <c r="AX388" s="28"/>
      <c r="AY388" s="28" t="n">
        <f aca="false">AX388*$M388</f>
        <v>0</v>
      </c>
      <c r="AZ388" s="30" t="n">
        <f aca="false">120096/100</f>
        <v>1200.96</v>
      </c>
      <c r="BA388" s="11" t="n">
        <v>13211</v>
      </c>
      <c r="BB388" s="31" t="n">
        <f aca="false">SUM(Q388,S388,U388,W388,Y388,AA388,AC388,AE388,AG388,AI388,AK388,AM388,AO388,AQ388,AS388,AU388,AW388,AY388)</f>
        <v>13211</v>
      </c>
      <c r="BC388" s="28" t="n">
        <f aca="false">BA388-BB388</f>
        <v>0</v>
      </c>
      <c r="BD388" s="32" t="n">
        <f aca="false">SUM(P388,R388,T388,V388,X388,Z388,AB388,AD388,AF388,AH388,AJ388,AL388,AN388,AP388,AR388,AT388,AV388,AX388)</f>
        <v>1200.96</v>
      </c>
      <c r="BE388" s="33" t="n">
        <f aca="false">AZ388-BD388</f>
        <v>0</v>
      </c>
      <c r="BF388" s="34" t="n">
        <f aca="false">BD388*M388</f>
        <v>13210.56</v>
      </c>
      <c r="BG388" s="35" t="n">
        <f aca="false">BA388-BF388</f>
        <v>0.43999999999869</v>
      </c>
      <c r="BH388" s="19" t="str">
        <f aca="false">IF(BG388=0,"",IF(BG388&lt;&gt;BA388,"erreur de calcul",IF(BD388&lt;&gt;0,"pas de prix",IF(M388&lt;&gt; 0,"pas de quantité","pas de prix, ni de quantité"))))</f>
        <v>erreur de calcul</v>
      </c>
      <c r="BI388" s="19"/>
    </row>
    <row r="389" customFormat="false" ht="16" hidden="false" customHeight="false" outlineLevel="0" collapsed="false">
      <c r="A389" s="0" t="n">
        <v>36</v>
      </c>
      <c r="B389" s="8" t="s">
        <v>24</v>
      </c>
      <c r="C389" s="9" t="s">
        <v>25</v>
      </c>
      <c r="D389" s="9" t="s">
        <v>26</v>
      </c>
      <c r="E389" s="10" t="n">
        <v>1789</v>
      </c>
      <c r="F389" s="9" t="s">
        <v>27</v>
      </c>
      <c r="G389" s="9" t="s">
        <v>27</v>
      </c>
      <c r="H389" s="11" t="n">
        <v>18</v>
      </c>
      <c r="I389" s="11" t="s">
        <v>110</v>
      </c>
      <c r="J389" s="14" t="n">
        <v>12</v>
      </c>
      <c r="K389" s="14"/>
      <c r="L389" s="16"/>
      <c r="M389" s="27" t="n">
        <f aca="false">J389+(K389/20)+(L389/240)</f>
        <v>12</v>
      </c>
      <c r="N389" s="17" t="s">
        <v>64</v>
      </c>
      <c r="O389" s="11" t="s">
        <v>34</v>
      </c>
      <c r="P389" s="28" t="n">
        <f aca="false">30663/100</f>
        <v>306.63</v>
      </c>
      <c r="Q389" s="28" t="n">
        <v>3679</v>
      </c>
      <c r="R389" s="28"/>
      <c r="S389" s="28" t="n">
        <f aca="false">R389*$M389</f>
        <v>0</v>
      </c>
      <c r="T389" s="28"/>
      <c r="U389" s="28" t="n">
        <f aca="false">T389*$M389</f>
        <v>0</v>
      </c>
      <c r="V389" s="28"/>
      <c r="W389" s="28" t="n">
        <f aca="false">V389*$M389</f>
        <v>0</v>
      </c>
      <c r="X389" s="29"/>
      <c r="Y389" s="28" t="n">
        <f aca="false">X389*$M389</f>
        <v>0</v>
      </c>
      <c r="Z389" s="28"/>
      <c r="AA389" s="28" t="n">
        <f aca="false">Z389*$M389</f>
        <v>0</v>
      </c>
      <c r="AB389" s="28"/>
      <c r="AC389" s="28" t="n">
        <f aca="false">AB389*$M389</f>
        <v>0</v>
      </c>
      <c r="AD389" s="28"/>
      <c r="AE389" s="28" t="n">
        <f aca="false">AD389*$M389</f>
        <v>0</v>
      </c>
      <c r="AF389" s="28"/>
      <c r="AG389" s="28" t="n">
        <f aca="false">AF389*$M389</f>
        <v>0</v>
      </c>
      <c r="AH389" s="28"/>
      <c r="AI389" s="28" t="n">
        <f aca="false">AH389*$M389</f>
        <v>0</v>
      </c>
      <c r="AJ389" s="28"/>
      <c r="AK389" s="28" t="n">
        <f aca="false">AJ389*$M389</f>
        <v>0</v>
      </c>
      <c r="AL389" s="28" t="n">
        <f aca="false">114207/100</f>
        <v>1142.07</v>
      </c>
      <c r="AM389" s="28" t="n">
        <v>13705</v>
      </c>
      <c r="AN389" s="28" t="n">
        <f aca="false">2100/100</f>
        <v>21</v>
      </c>
      <c r="AO389" s="28" t="n">
        <v>252</v>
      </c>
      <c r="AP389" s="28" t="n">
        <f aca="false">16107/100</f>
        <v>161.07</v>
      </c>
      <c r="AQ389" s="28" t="n">
        <v>1933</v>
      </c>
      <c r="AR389" s="28" t="n">
        <f aca="false">553069/100</f>
        <v>5530.69</v>
      </c>
      <c r="AS389" s="28" t="n">
        <v>66368</v>
      </c>
      <c r="AT389" s="28" t="n">
        <f aca="false">6160/100</f>
        <v>61.6</v>
      </c>
      <c r="AU389" s="28" t="n">
        <v>739</v>
      </c>
      <c r="AV389" s="28" t="n">
        <f aca="false">2640/100</f>
        <v>26.4</v>
      </c>
      <c r="AW389" s="28" t="n">
        <v>317</v>
      </c>
      <c r="AX389" s="28" t="n">
        <f aca="false">8767/100</f>
        <v>87.67</v>
      </c>
      <c r="AY389" s="36" t="n">
        <v>1085</v>
      </c>
      <c r="AZ389" s="30" t="n">
        <f aca="false">733753/100</f>
        <v>7337.53</v>
      </c>
      <c r="BA389" s="11" t="n">
        <v>88078</v>
      </c>
      <c r="BB389" s="31" t="n">
        <f aca="false">SUM(Q389,S389,U389,W389,Y389,AA389,AC389,AE389,AG389,AI389,AK389,AM389,AO389,AQ389,AS389,AU389,AW389,AY389)</f>
        <v>88078</v>
      </c>
      <c r="BC389" s="28" t="n">
        <f aca="false">BA389-BB389</f>
        <v>0</v>
      </c>
      <c r="BD389" s="32" t="n">
        <f aca="false">SUM(P389,R389,T389,V389,X389,Z389,AB389,AD389,AF389,AH389,AJ389,AL389,AN389,AP389,AR389,AT389,AV389,AX389)</f>
        <v>7337.13</v>
      </c>
      <c r="BE389" s="33" t="n">
        <f aca="false">AZ389-BD389</f>
        <v>0.400000000000546</v>
      </c>
      <c r="BF389" s="34" t="n">
        <f aca="false">BD389*M389</f>
        <v>88045.56</v>
      </c>
      <c r="BG389" s="35" t="n">
        <f aca="false">BA389-BF389</f>
        <v>32.4400000000023</v>
      </c>
      <c r="BH389" s="19" t="str">
        <f aca="false">IF(BG389=0,"",IF(BG389&lt;&gt;BA389,"erreur de calcul",IF(BD389&lt;&gt;0,"pas de prix",IF(M389&lt;&gt; 0,"pas de quantité","pas de prix, ni de quantité"))))</f>
        <v>erreur de calcul</v>
      </c>
      <c r="BI389" s="19"/>
    </row>
    <row r="390" customFormat="false" ht="16" hidden="false" customHeight="false" outlineLevel="0" collapsed="false">
      <c r="A390" s="0" t="n">
        <v>37</v>
      </c>
      <c r="B390" s="8" t="s">
        <v>24</v>
      </c>
      <c r="C390" s="9" t="s">
        <v>25</v>
      </c>
      <c r="D390" s="9" t="s">
        <v>26</v>
      </c>
      <c r="E390" s="10" t="n">
        <v>1789</v>
      </c>
      <c r="F390" s="9" t="s">
        <v>27</v>
      </c>
      <c r="G390" s="9" t="s">
        <v>27</v>
      </c>
      <c r="H390" s="11" t="n">
        <v>18</v>
      </c>
      <c r="I390" s="11" t="s">
        <v>111</v>
      </c>
      <c r="J390" s="14" t="n">
        <v>10</v>
      </c>
      <c r="K390" s="14"/>
      <c r="L390" s="16"/>
      <c r="M390" s="27" t="n">
        <f aca="false">J390+(K390/20)+(L390/240)</f>
        <v>10</v>
      </c>
      <c r="N390" s="17" t="s">
        <v>64</v>
      </c>
      <c r="O390" s="11" t="s">
        <v>34</v>
      </c>
      <c r="P390" s="28"/>
      <c r="Q390" s="28" t="n">
        <f aca="false">P390*$M390</f>
        <v>0</v>
      </c>
      <c r="R390" s="28"/>
      <c r="S390" s="28" t="n">
        <f aca="false">R390*$M390</f>
        <v>0</v>
      </c>
      <c r="T390" s="28"/>
      <c r="U390" s="28" t="n">
        <f aca="false">T390*$M390</f>
        <v>0</v>
      </c>
      <c r="V390" s="28"/>
      <c r="W390" s="28" t="n">
        <f aca="false">V390*$M390</f>
        <v>0</v>
      </c>
      <c r="X390" s="29"/>
      <c r="Y390" s="28" t="n">
        <f aca="false">X390*$M390</f>
        <v>0</v>
      </c>
      <c r="Z390" s="28"/>
      <c r="AA390" s="28" t="n">
        <f aca="false">Z390*$M390</f>
        <v>0</v>
      </c>
      <c r="AB390" s="28"/>
      <c r="AC390" s="28" t="n">
        <f aca="false">AB390*$M390</f>
        <v>0</v>
      </c>
      <c r="AD390" s="28"/>
      <c r="AE390" s="28" t="n">
        <f aca="false">AD390*$M390</f>
        <v>0</v>
      </c>
      <c r="AF390" s="28"/>
      <c r="AG390" s="28" t="n">
        <f aca="false">AF390*$M390</f>
        <v>0</v>
      </c>
      <c r="AH390" s="28"/>
      <c r="AI390" s="28" t="n">
        <f aca="false">AH390*$M390</f>
        <v>0</v>
      </c>
      <c r="AJ390" s="28"/>
      <c r="AK390" s="28" t="n">
        <f aca="false">AJ390*$M390</f>
        <v>0</v>
      </c>
      <c r="AL390" s="28"/>
      <c r="AM390" s="28" t="n">
        <f aca="false">AL390*$M390</f>
        <v>0</v>
      </c>
      <c r="AN390" s="28"/>
      <c r="AO390" s="28" t="n">
        <f aca="false">AN390*$M390</f>
        <v>0</v>
      </c>
      <c r="AP390" s="28"/>
      <c r="AQ390" s="28" t="n">
        <f aca="false">AP390*$M390</f>
        <v>0</v>
      </c>
      <c r="AR390" s="28"/>
      <c r="AS390" s="28" t="n">
        <f aca="false">AR390*$M390</f>
        <v>0</v>
      </c>
      <c r="AT390" s="28"/>
      <c r="AU390" s="28" t="n">
        <f aca="false">AT390*$M390</f>
        <v>0</v>
      </c>
      <c r="AV390" s="28"/>
      <c r="AW390" s="28" t="n">
        <f aca="false">AV390*$M390</f>
        <v>0</v>
      </c>
      <c r="AX390" s="28" t="n">
        <f aca="false">16133/100</f>
        <v>161.33</v>
      </c>
      <c r="AY390" s="28" t="n">
        <v>1613</v>
      </c>
      <c r="AZ390" s="30"/>
      <c r="BA390" s="11" t="n">
        <v>1613</v>
      </c>
      <c r="BB390" s="31" t="n">
        <f aca="false">SUM(Q390,S390,U390,W390,Y390,AA390,AC390,AE390,AG390,AI390,AK390,AM390,AO390,AQ390,AS390,AU390,AW390,AY390)</f>
        <v>1613</v>
      </c>
      <c r="BC390" s="28" t="n">
        <f aca="false">BA390-BB390</f>
        <v>0</v>
      </c>
      <c r="BD390" s="32" t="n">
        <f aca="false">SUM(P390,R390,T390,V390,X390,Z390,AB390,AD390,AF390,AH390,AJ390,AL390,AN390,AP390,AR390,AT390,AV390,AX390)</f>
        <v>161.33</v>
      </c>
      <c r="BE390" s="33" t="n">
        <f aca="false">AZ390-BD390</f>
        <v>-161.33</v>
      </c>
      <c r="BF390" s="34" t="n">
        <f aca="false">BD390*M390</f>
        <v>1613.3</v>
      </c>
      <c r="BG390" s="35" t="n">
        <f aca="false">BA390-BF390</f>
        <v>-0.300000000000182</v>
      </c>
      <c r="BH390" s="19" t="str">
        <f aca="false">IF(BG390=0,"",IF(BG390&lt;&gt;BA390,"erreur de calcul",IF(BD390&lt;&gt;0,"pas de prix",IF(M390&lt;&gt; 0,"pas de quantité","pas de prix, ni de quantité"))))</f>
        <v>erreur de calcul</v>
      </c>
      <c r="BI390" s="19"/>
    </row>
    <row r="391" customFormat="false" ht="16" hidden="false" customHeight="false" outlineLevel="0" collapsed="false">
      <c r="A391" s="0" t="n">
        <v>38</v>
      </c>
      <c r="B391" s="8" t="s">
        <v>24</v>
      </c>
      <c r="C391" s="9" t="s">
        <v>25</v>
      </c>
      <c r="D391" s="9" t="s">
        <v>26</v>
      </c>
      <c r="E391" s="10" t="n">
        <v>1789</v>
      </c>
      <c r="F391" s="9" t="s">
        <v>27</v>
      </c>
      <c r="G391" s="9" t="s">
        <v>27</v>
      </c>
      <c r="H391" s="11" t="n">
        <v>18</v>
      </c>
      <c r="I391" s="11" t="s">
        <v>112</v>
      </c>
      <c r="J391" s="14" t="n">
        <v>100</v>
      </c>
      <c r="K391" s="14"/>
      <c r="L391" s="16"/>
      <c r="M391" s="27" t="n">
        <f aca="false">J391+(K391/20)+(L391/240)</f>
        <v>100</v>
      </c>
      <c r="N391" s="17" t="s">
        <v>64</v>
      </c>
      <c r="O391" s="11" t="s">
        <v>34</v>
      </c>
      <c r="P391" s="28" t="n">
        <f aca="false">69730/100</f>
        <v>697.3</v>
      </c>
      <c r="Q391" s="28" t="n">
        <v>69730</v>
      </c>
      <c r="R391" s="28"/>
      <c r="S391" s="28" t="n">
        <f aca="false">R391*$M391</f>
        <v>0</v>
      </c>
      <c r="T391" s="28"/>
      <c r="U391" s="28" t="n">
        <f aca="false">T391*$M391</f>
        <v>0</v>
      </c>
      <c r="V391" s="28"/>
      <c r="W391" s="28" t="n">
        <f aca="false">V391*$M391</f>
        <v>0</v>
      </c>
      <c r="X391" s="29"/>
      <c r="Y391" s="28" t="n">
        <f aca="false">X391*$M391</f>
        <v>0</v>
      </c>
      <c r="Z391" s="28"/>
      <c r="AA391" s="28" t="n">
        <f aca="false">Z391*$M391</f>
        <v>0</v>
      </c>
      <c r="AB391" s="28"/>
      <c r="AC391" s="28" t="n">
        <f aca="false">AB391*$M391</f>
        <v>0</v>
      </c>
      <c r="AD391" s="28"/>
      <c r="AE391" s="28" t="n">
        <f aca="false">AD391*$M391</f>
        <v>0</v>
      </c>
      <c r="AF391" s="28"/>
      <c r="AG391" s="28" t="n">
        <f aca="false">AF391*$M391</f>
        <v>0</v>
      </c>
      <c r="AH391" s="28"/>
      <c r="AI391" s="28" t="n">
        <f aca="false">AH391*$M391</f>
        <v>0</v>
      </c>
      <c r="AJ391" s="28"/>
      <c r="AK391" s="28" t="n">
        <f aca="false">AJ391*$M391</f>
        <v>0</v>
      </c>
      <c r="AL391" s="28"/>
      <c r="AM391" s="28" t="n">
        <f aca="false">AL391*$M391</f>
        <v>0</v>
      </c>
      <c r="AN391" s="28"/>
      <c r="AO391" s="28" t="n">
        <f aca="false">AN391*$M391</f>
        <v>0</v>
      </c>
      <c r="AP391" s="28"/>
      <c r="AQ391" s="28" t="n">
        <f aca="false">AP391*$M391</f>
        <v>0</v>
      </c>
      <c r="AR391" s="28"/>
      <c r="AS391" s="28" t="n">
        <f aca="false">AR391*$M391</f>
        <v>0</v>
      </c>
      <c r="AT391" s="28"/>
      <c r="AU391" s="28" t="n">
        <f aca="false">AT391*$M391</f>
        <v>0</v>
      </c>
      <c r="AV391" s="28"/>
      <c r="AW391" s="28" t="n">
        <f aca="false">AV391*$M391</f>
        <v>0</v>
      </c>
      <c r="AX391" s="28"/>
      <c r="AY391" s="28" t="n">
        <f aca="false">AX391*$M391</f>
        <v>0</v>
      </c>
      <c r="AZ391" s="30" t="n">
        <f aca="false">69730/100</f>
        <v>697.3</v>
      </c>
      <c r="BA391" s="11" t="n">
        <v>69730</v>
      </c>
      <c r="BB391" s="31" t="n">
        <f aca="false">SUM(Q391,S391,U391,W391,Y391,AA391,AC391,AE391,AG391,AI391,AK391,AM391,AO391,AQ391,AS391,AU391,AW391,AY391)</f>
        <v>69730</v>
      </c>
      <c r="BC391" s="28" t="n">
        <f aca="false">BA391-BB391</f>
        <v>0</v>
      </c>
      <c r="BD391" s="32" t="n">
        <f aca="false">SUM(P391,R391,T391,V391,X391,Z391,AB391,AD391,AF391,AH391,AJ391,AL391,AN391,AP391,AR391,AT391,AV391,AX391)</f>
        <v>697.3</v>
      </c>
      <c r="BE391" s="33" t="n">
        <f aca="false">AZ391-BD391</f>
        <v>0</v>
      </c>
      <c r="BF391" s="34" t="n">
        <f aca="false">BD391*M391</f>
        <v>69730</v>
      </c>
      <c r="BG391" s="35" t="n">
        <f aca="false">BA391-BF391</f>
        <v>0</v>
      </c>
      <c r="BH391" s="19" t="str">
        <f aca="false">IF(BG391=0,"",IF(BG391&lt;&gt;BA391,"erreur de calcul",IF(BD391&lt;&gt;0,"pas de prix",IF(M391&lt;&gt; 0,"pas de quantité","pas de prix, ni de quantité"))))</f>
        <v/>
      </c>
      <c r="BI391" s="19" t="s">
        <v>113</v>
      </c>
    </row>
    <row r="392" customFormat="false" ht="16" hidden="false" customHeight="false" outlineLevel="0" collapsed="false">
      <c r="A392" s="0" t="n">
        <v>39</v>
      </c>
      <c r="B392" s="8" t="s">
        <v>24</v>
      </c>
      <c r="C392" s="9" t="s">
        <v>25</v>
      </c>
      <c r="D392" s="9" t="s">
        <v>26</v>
      </c>
      <c r="E392" s="10" t="n">
        <v>1789</v>
      </c>
      <c r="F392" s="9" t="s">
        <v>27</v>
      </c>
      <c r="G392" s="9" t="s">
        <v>27</v>
      </c>
      <c r="H392" s="11" t="n">
        <v>18</v>
      </c>
      <c r="I392" s="11" t="s">
        <v>112</v>
      </c>
      <c r="J392" s="14" t="n">
        <v>50</v>
      </c>
      <c r="K392" s="14"/>
      <c r="L392" s="16"/>
      <c r="M392" s="27" t="n">
        <f aca="false">J392+(K392/20)+(L392/240)</f>
        <v>50</v>
      </c>
      <c r="N392" s="17" t="s">
        <v>64</v>
      </c>
      <c r="O392" s="11" t="s">
        <v>34</v>
      </c>
      <c r="P392" s="28"/>
      <c r="Q392" s="28" t="n">
        <f aca="false">P392*$M392</f>
        <v>0</v>
      </c>
      <c r="R392" s="28"/>
      <c r="S392" s="28" t="n">
        <f aca="false">R392*$M392</f>
        <v>0</v>
      </c>
      <c r="T392" s="28"/>
      <c r="U392" s="28" t="n">
        <f aca="false">T392*$M392</f>
        <v>0</v>
      </c>
      <c r="V392" s="28" t="n">
        <f aca="false">38043/100</f>
        <v>380.43</v>
      </c>
      <c r="W392" s="28" t="n">
        <v>19021</v>
      </c>
      <c r="X392" s="29" t="n">
        <f aca="false">10658/100</f>
        <v>106.58</v>
      </c>
      <c r="Y392" s="28" t="n">
        <v>5329</v>
      </c>
      <c r="Z392" s="28"/>
      <c r="AA392" s="28" t="n">
        <f aca="false">Z392*$M392</f>
        <v>0</v>
      </c>
      <c r="AB392" s="28"/>
      <c r="AC392" s="28" t="n">
        <f aca="false">AB392*$M392</f>
        <v>0</v>
      </c>
      <c r="AD392" s="28"/>
      <c r="AE392" s="28" t="n">
        <f aca="false">AD392*$M392</f>
        <v>0</v>
      </c>
      <c r="AF392" s="28"/>
      <c r="AG392" s="28" t="n">
        <f aca="false">AF392*$M392</f>
        <v>0</v>
      </c>
      <c r="AH392" s="28"/>
      <c r="AI392" s="28" t="n">
        <f aca="false">AH392*$M392</f>
        <v>0</v>
      </c>
      <c r="AJ392" s="28" t="n">
        <f aca="false">39321/100</f>
        <v>393.21</v>
      </c>
      <c r="AK392" s="28" t="n">
        <v>19660</v>
      </c>
      <c r="AL392" s="28"/>
      <c r="AM392" s="28" t="n">
        <f aca="false">AL392*$M392</f>
        <v>0</v>
      </c>
      <c r="AN392" s="28"/>
      <c r="AO392" s="28" t="n">
        <f aca="false">AN392*$M392</f>
        <v>0</v>
      </c>
      <c r="AP392" s="28"/>
      <c r="AQ392" s="28" t="n">
        <f aca="false">AP392*$M392</f>
        <v>0</v>
      </c>
      <c r="AR392" s="28"/>
      <c r="AS392" s="28" t="n">
        <f aca="false">AR392*$M392</f>
        <v>0</v>
      </c>
      <c r="AT392" s="28"/>
      <c r="AU392" s="28" t="n">
        <f aca="false">AT392*$M392</f>
        <v>0</v>
      </c>
      <c r="AV392" s="28"/>
      <c r="AW392" s="28" t="n">
        <f aca="false">AV392*$M392</f>
        <v>0</v>
      </c>
      <c r="AX392" s="28"/>
      <c r="AY392" s="28" t="n">
        <f aca="false">AX392*$M392</f>
        <v>0</v>
      </c>
      <c r="AZ392" s="30" t="n">
        <f aca="false">88022/100</f>
        <v>880.22</v>
      </c>
      <c r="BA392" s="11" t="n">
        <v>44010</v>
      </c>
      <c r="BB392" s="31" t="n">
        <f aca="false">SUM(Q392,S392,U392,W392,Y392,AA392,AC392,AE392,AG392,AI392,AK392,AM392,AO392,AQ392,AS392,AU392,AW392,AY392)</f>
        <v>44010</v>
      </c>
      <c r="BC392" s="28" t="n">
        <f aca="false">BA392-BB392</f>
        <v>0</v>
      </c>
      <c r="BD392" s="32" t="n">
        <f aca="false">SUM(P392,R392,T392,V392,X392,Z392,AB392,AD392,AF392,AH392,AJ392,AL392,AN392,AP392,AR392,AT392,AV392,AX392)</f>
        <v>880.22</v>
      </c>
      <c r="BE392" s="33" t="n">
        <f aca="false">AZ392-BD392</f>
        <v>0</v>
      </c>
      <c r="BF392" s="34" t="n">
        <f aca="false">BD392*M392</f>
        <v>44011</v>
      </c>
      <c r="BG392" s="35" t="n">
        <f aca="false">BA392-BF392</f>
        <v>-1</v>
      </c>
      <c r="BH392" s="19" t="str">
        <f aca="false">IF(BG392=0,"",IF(BG392&lt;&gt;BA392,"erreur de calcul",IF(BD392&lt;&gt;0,"pas de prix",IF(M392&lt;&gt; 0,"pas de quantité","pas de prix, ni de quantité"))))</f>
        <v>erreur de calcul</v>
      </c>
      <c r="BI392" s="19" t="s">
        <v>114</v>
      </c>
    </row>
    <row r="393" customFormat="false" ht="16" hidden="false" customHeight="false" outlineLevel="0" collapsed="false">
      <c r="A393" s="0" t="n">
        <v>40</v>
      </c>
      <c r="B393" s="8" t="s">
        <v>24</v>
      </c>
      <c r="C393" s="9" t="s">
        <v>25</v>
      </c>
      <c r="D393" s="9" t="s">
        <v>26</v>
      </c>
      <c r="E393" s="10" t="n">
        <v>1789</v>
      </c>
      <c r="F393" s="9" t="s">
        <v>27</v>
      </c>
      <c r="G393" s="9" t="s">
        <v>27</v>
      </c>
      <c r="H393" s="11" t="n">
        <v>18</v>
      </c>
      <c r="I393" s="11" t="s">
        <v>115</v>
      </c>
      <c r="J393" s="14"/>
      <c r="K393" s="14" t="n">
        <v>28</v>
      </c>
      <c r="L393" s="16"/>
      <c r="M393" s="27" t="n">
        <f aca="false">J393+(K393/20)+(L393/240)</f>
        <v>1.4</v>
      </c>
      <c r="N393" s="17" t="s">
        <v>66</v>
      </c>
      <c r="O393" s="11" t="s">
        <v>34</v>
      </c>
      <c r="P393" s="28"/>
      <c r="Q393" s="28" t="n">
        <f aca="false">P393*$M393</f>
        <v>0</v>
      </c>
      <c r="R393" s="28"/>
      <c r="S393" s="28" t="n">
        <f aca="false">R393*$M393</f>
        <v>0</v>
      </c>
      <c r="T393" s="28" t="n">
        <v>426</v>
      </c>
      <c r="U393" s="28" t="n">
        <v>596</v>
      </c>
      <c r="V393" s="28"/>
      <c r="W393" s="28" t="n">
        <f aca="false">V393*$M393</f>
        <v>0</v>
      </c>
      <c r="X393" s="29"/>
      <c r="Y393" s="28" t="n">
        <f aca="false">X393*$M393</f>
        <v>0</v>
      </c>
      <c r="Z393" s="28"/>
      <c r="AA393" s="28" t="n">
        <f aca="false">Z393*$M393</f>
        <v>0</v>
      </c>
      <c r="AB393" s="28"/>
      <c r="AC393" s="28" t="n">
        <f aca="false">AB393*$M393</f>
        <v>0</v>
      </c>
      <c r="AD393" s="28"/>
      <c r="AE393" s="28" t="n">
        <f aca="false">AD393*$M393</f>
        <v>0</v>
      </c>
      <c r="AF393" s="28"/>
      <c r="AG393" s="28" t="n">
        <f aca="false">AF393*$M393</f>
        <v>0</v>
      </c>
      <c r="AH393" s="28"/>
      <c r="AI393" s="28" t="n">
        <f aca="false">AH393*$M393</f>
        <v>0</v>
      </c>
      <c r="AJ393" s="28" t="n">
        <v>142</v>
      </c>
      <c r="AK393" s="28" t="n">
        <v>199</v>
      </c>
      <c r="AL393" s="28"/>
      <c r="AM393" s="28" t="n">
        <f aca="false">AL393*$M393</f>
        <v>0</v>
      </c>
      <c r="AN393" s="28"/>
      <c r="AO393" s="28" t="n">
        <f aca="false">AN393*$M393</f>
        <v>0</v>
      </c>
      <c r="AP393" s="28"/>
      <c r="AQ393" s="28" t="n">
        <f aca="false">AP393*$M393</f>
        <v>0</v>
      </c>
      <c r="AR393" s="28"/>
      <c r="AS393" s="28" t="n">
        <f aca="false">AR393*$M393</f>
        <v>0</v>
      </c>
      <c r="AT393" s="28"/>
      <c r="AU393" s="28" t="n">
        <f aca="false">AT393*$M393</f>
        <v>0</v>
      </c>
      <c r="AV393" s="28"/>
      <c r="AW393" s="28" t="n">
        <f aca="false">AV393*$M393</f>
        <v>0</v>
      </c>
      <c r="AX393" s="28"/>
      <c r="AY393" s="28" t="n">
        <f aca="false">AX393*$M393</f>
        <v>0</v>
      </c>
      <c r="AZ393" s="30" t="n">
        <v>568</v>
      </c>
      <c r="BA393" s="11" t="n">
        <v>795</v>
      </c>
      <c r="BB393" s="31" t="n">
        <f aca="false">SUM(Q393,S393,U393,W393,Y393,AA393,AC393,AE393,AG393,AI393,AK393,AM393,AO393,AQ393,AS393,AU393,AW393,AY393)</f>
        <v>795</v>
      </c>
      <c r="BC393" s="28" t="n">
        <f aca="false">BA393-BB393</f>
        <v>0</v>
      </c>
      <c r="BD393" s="32" t="n">
        <f aca="false">SUM(P393,R393,T393,V393,X393,Z393,AB393,AD393,AF393,AH393,AJ393,AL393,AN393,AP393,AR393,AT393,AV393,AX393)</f>
        <v>568</v>
      </c>
      <c r="BE393" s="33" t="n">
        <f aca="false">AZ393-BD393</f>
        <v>0</v>
      </c>
      <c r="BF393" s="34" t="n">
        <f aca="false">BD393*M393</f>
        <v>795.2</v>
      </c>
      <c r="BG393" s="35" t="n">
        <f aca="false">BA393-BF393</f>
        <v>-0.199999999999932</v>
      </c>
      <c r="BH393" s="19" t="str">
        <f aca="false">IF(BG393=0,"",IF(BG393&lt;&gt;BA393,"erreur de calcul",IF(BD393&lt;&gt;0,"pas de prix",IF(M393&lt;&gt; 0,"pas de quantité","pas de prix, ni de quantité"))))</f>
        <v>erreur de calcul</v>
      </c>
      <c r="BI393" s="19"/>
    </row>
    <row r="394" customFormat="false" ht="16" hidden="false" customHeight="false" outlineLevel="0" collapsed="false">
      <c r="A394" s="0" t="n">
        <v>41</v>
      </c>
      <c r="B394" s="8" t="s">
        <v>24</v>
      </c>
      <c r="C394" s="9" t="s">
        <v>25</v>
      </c>
      <c r="D394" s="9" t="s">
        <v>26</v>
      </c>
      <c r="E394" s="10" t="n">
        <v>1789</v>
      </c>
      <c r="F394" s="9" t="s">
        <v>27</v>
      </c>
      <c r="G394" s="9" t="s">
        <v>27</v>
      </c>
      <c r="H394" s="11" t="n">
        <v>18</v>
      </c>
      <c r="I394" s="11" t="s">
        <v>116</v>
      </c>
      <c r="J394" s="14"/>
      <c r="K394" s="14" t="n">
        <v>40</v>
      </c>
      <c r="L394" s="16"/>
      <c r="M394" s="27" t="n">
        <f aca="false">J394+(K394/20)+(L394/240)</f>
        <v>2</v>
      </c>
      <c r="N394" s="17" t="s">
        <v>66</v>
      </c>
      <c r="O394" s="11" t="s">
        <v>34</v>
      </c>
      <c r="P394" s="28"/>
      <c r="Q394" s="28" t="n">
        <f aca="false">P394*$M394</f>
        <v>0</v>
      </c>
      <c r="R394" s="28"/>
      <c r="S394" s="28" t="n">
        <f aca="false">R394*$M394</f>
        <v>0</v>
      </c>
      <c r="T394" s="28"/>
      <c r="U394" s="28" t="n">
        <f aca="false">T394*$M394</f>
        <v>0</v>
      </c>
      <c r="V394" s="28"/>
      <c r="W394" s="28" t="n">
        <f aca="false">V394*$M394</f>
        <v>0</v>
      </c>
      <c r="X394" s="29"/>
      <c r="Y394" s="28" t="n">
        <f aca="false">X394*$M394</f>
        <v>0</v>
      </c>
      <c r="Z394" s="28"/>
      <c r="AA394" s="28" t="n">
        <f aca="false">Z394*$M394</f>
        <v>0</v>
      </c>
      <c r="AB394" s="28"/>
      <c r="AC394" s="28" t="n">
        <f aca="false">AB394*$M394</f>
        <v>0</v>
      </c>
      <c r="AD394" s="28"/>
      <c r="AE394" s="28" t="n">
        <f aca="false">AD394*$M394</f>
        <v>0</v>
      </c>
      <c r="AF394" s="28"/>
      <c r="AG394" s="28" t="n">
        <f aca="false">AF394*$M394</f>
        <v>0</v>
      </c>
      <c r="AH394" s="28" t="n">
        <v>232710</v>
      </c>
      <c r="AI394" s="28" t="n">
        <v>465420</v>
      </c>
      <c r="AJ394" s="28"/>
      <c r="AK394" s="28" t="n">
        <f aca="false">AJ394*$M394</f>
        <v>0</v>
      </c>
      <c r="AL394" s="28"/>
      <c r="AM394" s="28" t="n">
        <f aca="false">AL394*$M394</f>
        <v>0</v>
      </c>
      <c r="AN394" s="28"/>
      <c r="AO394" s="28" t="n">
        <f aca="false">AN394*$M394</f>
        <v>0</v>
      </c>
      <c r="AP394" s="28"/>
      <c r="AQ394" s="28" t="n">
        <f aca="false">AP394*$M394</f>
        <v>0</v>
      </c>
      <c r="AR394" s="28"/>
      <c r="AS394" s="28" t="n">
        <f aca="false">AR394*$M394</f>
        <v>0</v>
      </c>
      <c r="AT394" s="28"/>
      <c r="AU394" s="28" t="n">
        <f aca="false">AT394*$M394</f>
        <v>0</v>
      </c>
      <c r="AV394" s="28"/>
      <c r="AW394" s="28" t="n">
        <f aca="false">AV394*$M394</f>
        <v>0</v>
      </c>
      <c r="AX394" s="28"/>
      <c r="AY394" s="28" t="n">
        <f aca="false">AX394*$M394</f>
        <v>0</v>
      </c>
      <c r="AZ394" s="30" t="n">
        <v>232710</v>
      </c>
      <c r="BA394" s="11" t="n">
        <v>465420</v>
      </c>
      <c r="BB394" s="31" t="n">
        <f aca="false">SUM(Q394,S394,U394,W394,Y394,AA394,AC394,AE394,AG394,AI394,AK394,AM394,AO394,AQ394,AS394,AU394,AW394,AY394)</f>
        <v>465420</v>
      </c>
      <c r="BC394" s="28" t="n">
        <f aca="false">BA394-BB394</f>
        <v>0</v>
      </c>
      <c r="BD394" s="32" t="n">
        <f aca="false">SUM(P394,R394,T394,V394,X394,Z394,AB394,AD394,AF394,AH394,AJ394,AL394,AN394,AP394,AR394,AT394,AV394,AX394)</f>
        <v>232710</v>
      </c>
      <c r="BE394" s="33" t="n">
        <f aca="false">AZ394-BD394</f>
        <v>0</v>
      </c>
      <c r="BF394" s="34" t="n">
        <f aca="false">BD394*M394</f>
        <v>465420</v>
      </c>
      <c r="BG394" s="35" t="n">
        <f aca="false">BA394-BF394</f>
        <v>0</v>
      </c>
      <c r="BH394" s="19" t="str">
        <f aca="false">IF(BG394=0,"",IF(BG394&lt;&gt;BA394,"erreur de calcul",IF(BD394&lt;&gt;0,"pas de prix",IF(M394&lt;&gt; 0,"pas de quantité","pas de prix, ni de quantité"))))</f>
        <v/>
      </c>
      <c r="BI394" s="19"/>
    </row>
    <row r="395" customFormat="false" ht="16" hidden="false" customHeight="false" outlineLevel="0" collapsed="false">
      <c r="A395" s="0" t="n">
        <v>1</v>
      </c>
      <c r="B395" s="8" t="s">
        <v>24</v>
      </c>
      <c r="C395" s="9" t="s">
        <v>25</v>
      </c>
      <c r="D395" s="9" t="s">
        <v>26</v>
      </c>
      <c r="E395" s="10" t="n">
        <v>1789</v>
      </c>
      <c r="F395" s="9" t="s">
        <v>27</v>
      </c>
      <c r="G395" s="9" t="s">
        <v>27</v>
      </c>
      <c r="H395" s="11" t="n">
        <v>20</v>
      </c>
      <c r="I395" s="11" t="s">
        <v>117</v>
      </c>
      <c r="J395" s="14" t="n">
        <v>10</v>
      </c>
      <c r="K395" s="14"/>
      <c r="L395" s="16"/>
      <c r="M395" s="27" t="n">
        <f aca="false">J395+(K395/20)+(L395/240)</f>
        <v>10</v>
      </c>
      <c r="N395" s="17" t="s">
        <v>64</v>
      </c>
      <c r="O395" s="11" t="s">
        <v>34</v>
      </c>
      <c r="P395" s="28" t="n">
        <f aca="false">2120/100</f>
        <v>21.2</v>
      </c>
      <c r="Q395" s="28" t="n">
        <v>212</v>
      </c>
      <c r="R395" s="28"/>
      <c r="S395" s="28" t="n">
        <f aca="false">R395*$M395</f>
        <v>0</v>
      </c>
      <c r="T395" s="28" t="n">
        <f aca="false">4184/100</f>
        <v>41.84</v>
      </c>
      <c r="U395" s="28" t="n">
        <v>418</v>
      </c>
      <c r="V395" s="28"/>
      <c r="W395" s="28" t="n">
        <f aca="false">V395*$M395</f>
        <v>0</v>
      </c>
      <c r="X395" s="28"/>
      <c r="Y395" s="28" t="n">
        <f aca="false">X395*$M395</f>
        <v>0</v>
      </c>
      <c r="Z395" s="28" t="n">
        <f aca="false">4467/100</f>
        <v>44.67</v>
      </c>
      <c r="AA395" s="28" t="n">
        <v>447</v>
      </c>
      <c r="AB395" s="28"/>
      <c r="AC395" s="28" t="n">
        <f aca="false">AB395*$M395</f>
        <v>0</v>
      </c>
      <c r="AD395" s="28"/>
      <c r="AE395" s="28" t="n">
        <f aca="false">AD395*$M395</f>
        <v>0</v>
      </c>
      <c r="AF395" s="28"/>
      <c r="AG395" s="28" t="n">
        <f aca="false">AF395*$M395</f>
        <v>0</v>
      </c>
      <c r="AH395" s="28" t="n">
        <f aca="false">37604/100</f>
        <v>376.04</v>
      </c>
      <c r="AI395" s="28" t="n">
        <v>3760</v>
      </c>
      <c r="AJ395" s="28"/>
      <c r="AK395" s="28" t="n">
        <f aca="false">AJ395*$M395</f>
        <v>0</v>
      </c>
      <c r="AL395" s="28"/>
      <c r="AM395" s="28" t="n">
        <f aca="false">AL395*$M395</f>
        <v>0</v>
      </c>
      <c r="AN395" s="28"/>
      <c r="AO395" s="28" t="n">
        <f aca="false">AN395*$M395</f>
        <v>0</v>
      </c>
      <c r="AP395" s="28"/>
      <c r="AQ395" s="28" t="n">
        <f aca="false">AP395*$M395</f>
        <v>0</v>
      </c>
      <c r="AR395" s="28"/>
      <c r="AS395" s="28" t="n">
        <f aca="false">AR395*$M395</f>
        <v>0</v>
      </c>
      <c r="AT395" s="28"/>
      <c r="AU395" s="28" t="n">
        <f aca="false">AT395*$M395</f>
        <v>0</v>
      </c>
      <c r="AV395" s="28"/>
      <c r="AW395" s="28" t="n">
        <f aca="false">AV395*$M395</f>
        <v>0</v>
      </c>
      <c r="AX395" s="28"/>
      <c r="AY395" s="28" t="n">
        <f aca="false">AX395*$M395</f>
        <v>0</v>
      </c>
      <c r="AZ395" s="30" t="n">
        <f aca="false">46255/100</f>
        <v>462.55</v>
      </c>
      <c r="BA395" s="11" t="n">
        <v>4837</v>
      </c>
      <c r="BB395" s="31" t="n">
        <f aca="false">SUM(Q395,S395,U395,W395,Y395,AA395,AC395,AE395,AG395,AI395,AK395,AM395,AO395,AQ395,AS395,AU395,AW395,AY395)</f>
        <v>4837</v>
      </c>
      <c r="BC395" s="28" t="n">
        <f aca="false">BA395-BB395</f>
        <v>0</v>
      </c>
      <c r="BD395" s="32" t="n">
        <f aca="false">SUM(P395,R395,T395,V395,X395,Z395,AB395,AD395,AF395,AH395,AJ395,AL395,AN395,AP395,AR395,AT395,AV395,AX395)</f>
        <v>483.75</v>
      </c>
      <c r="BE395" s="33" t="n">
        <f aca="false">AZ395-BD395</f>
        <v>-21.2</v>
      </c>
      <c r="BF395" s="34" t="n">
        <f aca="false">BD395*M395</f>
        <v>4837.5</v>
      </c>
      <c r="BG395" s="35" t="n">
        <f aca="false">BA395-BF395</f>
        <v>-0.5</v>
      </c>
      <c r="BH395" s="19" t="str">
        <f aca="false">IF(BG395=0,"",IF(BG395&lt;&gt;BA395,"erreur de calcul",IF(BD395&lt;&gt;0,"pas de prix",IF(M395&lt;&gt; 0,"pas de quantité","pas de prix, ni de quantité"))))</f>
        <v>erreur de calcul</v>
      </c>
      <c r="BI395" s="19"/>
    </row>
    <row r="396" customFormat="false" ht="16" hidden="false" customHeight="false" outlineLevel="0" collapsed="false">
      <c r="A396" s="0" t="n">
        <v>2</v>
      </c>
      <c r="B396" s="8" t="s">
        <v>24</v>
      </c>
      <c r="C396" s="9" t="s">
        <v>25</v>
      </c>
      <c r="D396" s="9" t="s">
        <v>26</v>
      </c>
      <c r="E396" s="10" t="n">
        <v>1789</v>
      </c>
      <c r="F396" s="9" t="s">
        <v>27</v>
      </c>
      <c r="G396" s="9" t="s">
        <v>27</v>
      </c>
      <c r="H396" s="11" t="n">
        <v>20</v>
      </c>
      <c r="I396" s="11" t="s">
        <v>118</v>
      </c>
      <c r="J396" s="14" t="n">
        <v>10</v>
      </c>
      <c r="K396" s="14"/>
      <c r="L396" s="16"/>
      <c r="M396" s="27" t="n">
        <f aca="false">J396+(K396/20)+(L396/240)</f>
        <v>10</v>
      </c>
      <c r="N396" s="17" t="s">
        <v>64</v>
      </c>
      <c r="O396" s="11" t="s">
        <v>34</v>
      </c>
      <c r="P396" s="28" t="n">
        <f aca="false">6450193/100</f>
        <v>64501.93</v>
      </c>
      <c r="Q396" s="28" t="n">
        <v>645019</v>
      </c>
      <c r="R396" s="28"/>
      <c r="S396" s="28" t="n">
        <f aca="false">R396*$M396</f>
        <v>0</v>
      </c>
      <c r="T396" s="28"/>
      <c r="U396" s="28" t="n">
        <f aca="false">T396*$M396</f>
        <v>0</v>
      </c>
      <c r="V396" s="28"/>
      <c r="W396" s="28" t="n">
        <f aca="false">V396*$M396</f>
        <v>0</v>
      </c>
      <c r="X396" s="28"/>
      <c r="Y396" s="28" t="n">
        <f aca="false">X396*$M396</f>
        <v>0</v>
      </c>
      <c r="Z396" s="28"/>
      <c r="AA396" s="28" t="n">
        <f aca="false">Z396*$M396</f>
        <v>0</v>
      </c>
      <c r="AB396" s="28" t="n">
        <f aca="false">601547/100</f>
        <v>6015.47</v>
      </c>
      <c r="AC396" s="28" t="n">
        <v>60155</v>
      </c>
      <c r="AD396" s="28"/>
      <c r="AE396" s="28" t="n">
        <f aca="false">AD396*$M396</f>
        <v>0</v>
      </c>
      <c r="AF396" s="28" t="n">
        <f aca="false">727551/100</f>
        <v>7275.51</v>
      </c>
      <c r="AG396" s="28" t="n">
        <v>72755</v>
      </c>
      <c r="AH396" s="28" t="n">
        <f aca="false">52982/100</f>
        <v>529.82</v>
      </c>
      <c r="AI396" s="28" t="n">
        <v>5299</v>
      </c>
      <c r="AJ396" s="28"/>
      <c r="AK396" s="28" t="n">
        <f aca="false">AJ396*$M396</f>
        <v>0</v>
      </c>
      <c r="AL396" s="28"/>
      <c r="AM396" s="28" t="n">
        <f aca="false">AL396*$M396</f>
        <v>0</v>
      </c>
      <c r="AN396" s="28"/>
      <c r="AO396" s="28" t="n">
        <f aca="false">AN396*$M396</f>
        <v>0</v>
      </c>
      <c r="AP396" s="28"/>
      <c r="AQ396" s="28" t="n">
        <f aca="false">AP396*$M396</f>
        <v>0</v>
      </c>
      <c r="AR396" s="28"/>
      <c r="AS396" s="28" t="n">
        <f aca="false">AR396*$M396</f>
        <v>0</v>
      </c>
      <c r="AT396" s="28"/>
      <c r="AU396" s="28" t="n">
        <f aca="false">AT396*$M396</f>
        <v>0</v>
      </c>
      <c r="AV396" s="28"/>
      <c r="AW396" s="28" t="n">
        <f aca="false">AV396*$M396</f>
        <v>0</v>
      </c>
      <c r="AX396" s="28"/>
      <c r="AY396" s="28" t="n">
        <f aca="false">AX396*$M396</f>
        <v>0</v>
      </c>
      <c r="AZ396" s="30" t="n">
        <f aca="false">7832273/100</f>
        <v>78322.73</v>
      </c>
      <c r="BA396" s="11" t="n">
        <v>783228</v>
      </c>
      <c r="BB396" s="31" t="n">
        <f aca="false">SUM(Q396,S396,U396,W396,Y396,AA396,AC396,AE396,AG396,AI396,AK396,AM396,AO396,AQ396,AS396,AU396,AW396,AY396)</f>
        <v>783228</v>
      </c>
      <c r="BC396" s="28" t="n">
        <f aca="false">BA396-BB396</f>
        <v>0</v>
      </c>
      <c r="BD396" s="32" t="n">
        <f aca="false">SUM(P396,R396,T396,V396,X396,Z396,AB396,AD396,AF396,AH396,AJ396,AL396,AN396,AP396,AR396,AT396,AV396,AX396)</f>
        <v>78322.73</v>
      </c>
      <c r="BE396" s="33" t="n">
        <f aca="false">AZ396-BD396</f>
        <v>0</v>
      </c>
      <c r="BF396" s="34" t="n">
        <f aca="false">BD396*M396</f>
        <v>783227.3</v>
      </c>
      <c r="BG396" s="35" t="n">
        <f aca="false">BA396-BF396</f>
        <v>0.700000000069849</v>
      </c>
      <c r="BH396" s="19" t="str">
        <f aca="false">IF(BG396=0,"",IF(BG396&lt;&gt;BA396,"erreur de calcul",IF(BD396&lt;&gt;0,"pas de prix",IF(M396&lt;&gt; 0,"pas de quantité","pas de prix, ni de quantité"))))</f>
        <v>erreur de calcul</v>
      </c>
      <c r="BI396" s="19"/>
    </row>
    <row r="397" customFormat="false" ht="16" hidden="false" customHeight="false" outlineLevel="0" collapsed="false">
      <c r="A397" s="0" t="n">
        <v>3</v>
      </c>
      <c r="B397" s="8" t="s">
        <v>24</v>
      </c>
      <c r="C397" s="9" t="s">
        <v>25</v>
      </c>
      <c r="D397" s="9" t="s">
        <v>26</v>
      </c>
      <c r="E397" s="10" t="n">
        <v>1789</v>
      </c>
      <c r="F397" s="9" t="s">
        <v>27</v>
      </c>
      <c r="G397" s="9" t="s">
        <v>27</v>
      </c>
      <c r="H397" s="11" t="n">
        <v>20</v>
      </c>
      <c r="I397" s="11" t="s">
        <v>119</v>
      </c>
      <c r="J397" s="14" t="n">
        <v>10</v>
      </c>
      <c r="K397" s="14"/>
      <c r="L397" s="16"/>
      <c r="M397" s="27" t="n">
        <f aca="false">J397+(K397/20)+(L397/240)</f>
        <v>10</v>
      </c>
      <c r="N397" s="17" t="s">
        <v>64</v>
      </c>
      <c r="O397" s="11" t="s">
        <v>34</v>
      </c>
      <c r="P397" s="28" t="n">
        <f aca="false">2617064/100</f>
        <v>26170.64</v>
      </c>
      <c r="Q397" s="28" t="n">
        <v>261706</v>
      </c>
      <c r="R397" s="28"/>
      <c r="S397" s="28" t="n">
        <f aca="false">R397*$M397</f>
        <v>0</v>
      </c>
      <c r="T397" s="28" t="n">
        <f aca="false">251959/100</f>
        <v>2519.59</v>
      </c>
      <c r="U397" s="28" t="n">
        <v>25196</v>
      </c>
      <c r="V397" s="28"/>
      <c r="W397" s="28" t="n">
        <f aca="false">V397*$M397</f>
        <v>0</v>
      </c>
      <c r="X397" s="28"/>
      <c r="Y397" s="28" t="n">
        <f aca="false">X397*$M397</f>
        <v>0</v>
      </c>
      <c r="Z397" s="28"/>
      <c r="AA397" s="28" t="n">
        <f aca="false">Z397*$M397</f>
        <v>0</v>
      </c>
      <c r="AB397" s="28"/>
      <c r="AC397" s="28" t="n">
        <f aca="false">AB397*$M397</f>
        <v>0</v>
      </c>
      <c r="AD397" s="28"/>
      <c r="AE397" s="28" t="n">
        <f aca="false">AD397*$M397</f>
        <v>0</v>
      </c>
      <c r="AF397" s="28"/>
      <c r="AG397" s="28" t="n">
        <f aca="false">AF397*$M397</f>
        <v>0</v>
      </c>
      <c r="AH397" s="28"/>
      <c r="AI397" s="28" t="n">
        <f aca="false">AH397*$M397</f>
        <v>0</v>
      </c>
      <c r="AJ397" s="28"/>
      <c r="AK397" s="28" t="n">
        <f aca="false">AJ397*$M397</f>
        <v>0</v>
      </c>
      <c r="AL397" s="28"/>
      <c r="AM397" s="28" t="n">
        <f aca="false">AL397*$M397</f>
        <v>0</v>
      </c>
      <c r="AN397" s="28"/>
      <c r="AO397" s="28" t="n">
        <f aca="false">AN397*$M397</f>
        <v>0</v>
      </c>
      <c r="AP397" s="28"/>
      <c r="AQ397" s="28" t="n">
        <f aca="false">AP397*$M397</f>
        <v>0</v>
      </c>
      <c r="AR397" s="28"/>
      <c r="AS397" s="28" t="n">
        <f aca="false">AR397*$M397</f>
        <v>0</v>
      </c>
      <c r="AT397" s="28"/>
      <c r="AU397" s="28" t="n">
        <f aca="false">AT397*$M397</f>
        <v>0</v>
      </c>
      <c r="AV397" s="28"/>
      <c r="AW397" s="28" t="n">
        <f aca="false">AV397*$M397</f>
        <v>0</v>
      </c>
      <c r="AX397" s="28"/>
      <c r="AY397" s="28" t="n">
        <f aca="false">AX397*$M397</f>
        <v>0</v>
      </c>
      <c r="AZ397" s="30" t="n">
        <f aca="false">2869023/100</f>
        <v>28690.23</v>
      </c>
      <c r="BA397" s="11" t="n">
        <v>286902</v>
      </c>
      <c r="BB397" s="31" t="n">
        <f aca="false">SUM(Q397,S397,U397,W397,Y397,AA397,AC397,AE397,AG397,AI397,AK397,AM397,AO397,AQ397,AS397,AU397,AW397,AY397)</f>
        <v>286902</v>
      </c>
      <c r="BC397" s="28" t="n">
        <f aca="false">BA397-BB397</f>
        <v>0</v>
      </c>
      <c r="BD397" s="32" t="n">
        <f aca="false">SUM(P397,R397,T397,V397,X397,Z397,AB397,AD397,AF397,AH397,AJ397,AL397,AN397,AP397,AR397,AT397,AV397,AX397)</f>
        <v>28690.23</v>
      </c>
      <c r="BE397" s="33" t="n">
        <f aca="false">AZ397-BD397</f>
        <v>0</v>
      </c>
      <c r="BF397" s="34" t="n">
        <f aca="false">BD397*M397</f>
        <v>286902.3</v>
      </c>
      <c r="BG397" s="35" t="n">
        <f aca="false">BA397-BF397</f>
        <v>-0.299999999988358</v>
      </c>
      <c r="BH397" s="19" t="str">
        <f aca="false">IF(BG397=0,"",IF(BG397&lt;&gt;BA397,"erreur de calcul",IF(BD397&lt;&gt;0,"pas de prix",IF(M397&lt;&gt; 0,"pas de quantité","pas de prix, ni de quantité"))))</f>
        <v>erreur de calcul</v>
      </c>
      <c r="BI397" s="19"/>
    </row>
    <row r="398" customFormat="false" ht="16" hidden="false" customHeight="false" outlineLevel="0" collapsed="false">
      <c r="A398" s="0" t="n">
        <v>4</v>
      </c>
      <c r="B398" s="8" t="s">
        <v>24</v>
      </c>
      <c r="C398" s="9" t="s">
        <v>25</v>
      </c>
      <c r="D398" s="9" t="s">
        <v>26</v>
      </c>
      <c r="E398" s="10" t="n">
        <v>1789</v>
      </c>
      <c r="F398" s="9" t="s">
        <v>27</v>
      </c>
      <c r="G398" s="9" t="s">
        <v>27</v>
      </c>
      <c r="H398" s="11" t="n">
        <v>20</v>
      </c>
      <c r="I398" s="11" t="s">
        <v>120</v>
      </c>
      <c r="J398" s="14" t="n">
        <v>12</v>
      </c>
      <c r="K398" s="14"/>
      <c r="L398" s="16"/>
      <c r="M398" s="27" t="n">
        <f aca="false">J398+(K398/20)+(L398/240)</f>
        <v>12</v>
      </c>
      <c r="N398" s="17" t="s">
        <v>64</v>
      </c>
      <c r="O398" s="11" t="s">
        <v>34</v>
      </c>
      <c r="P398" s="28"/>
      <c r="Q398" s="28" t="n">
        <f aca="false">P398*$M398</f>
        <v>0</v>
      </c>
      <c r="R398" s="28"/>
      <c r="S398" s="28" t="n">
        <f aca="false">R398*$M398</f>
        <v>0</v>
      </c>
      <c r="T398" s="28"/>
      <c r="U398" s="28" t="n">
        <f aca="false">T398*$M398</f>
        <v>0</v>
      </c>
      <c r="V398" s="28" t="n">
        <f aca="false">15268/100</f>
        <v>152.68</v>
      </c>
      <c r="W398" s="28" t="n">
        <v>1832</v>
      </c>
      <c r="X398" s="28"/>
      <c r="Y398" s="28" t="n">
        <f aca="false">X398*$M398</f>
        <v>0</v>
      </c>
      <c r="Z398" s="28"/>
      <c r="AA398" s="28" t="n">
        <f aca="false">Z398*$M398</f>
        <v>0</v>
      </c>
      <c r="AB398" s="28"/>
      <c r="AC398" s="28" t="n">
        <f aca="false">AB398*$M398</f>
        <v>0</v>
      </c>
      <c r="AD398" s="28"/>
      <c r="AE398" s="28" t="n">
        <f aca="false">AD398*$M398</f>
        <v>0</v>
      </c>
      <c r="AF398" s="28"/>
      <c r="AG398" s="28" t="n">
        <f aca="false">AF398*$M398</f>
        <v>0</v>
      </c>
      <c r="AH398" s="28" t="n">
        <f aca="false">26667/100</f>
        <v>266.67</v>
      </c>
      <c r="AI398" s="28" t="n">
        <v>3200</v>
      </c>
      <c r="AJ398" s="28"/>
      <c r="AK398" s="28" t="n">
        <f aca="false">AJ398*$M398</f>
        <v>0</v>
      </c>
      <c r="AL398" s="28"/>
      <c r="AM398" s="28" t="n">
        <f aca="false">AL398*$M398</f>
        <v>0</v>
      </c>
      <c r="AN398" s="28"/>
      <c r="AO398" s="28" t="n">
        <f aca="false">AN398*$M398</f>
        <v>0</v>
      </c>
      <c r="AP398" s="28"/>
      <c r="AQ398" s="28" t="n">
        <f aca="false">AP398*$M398</f>
        <v>0</v>
      </c>
      <c r="AR398" s="28"/>
      <c r="AS398" s="28" t="n">
        <f aca="false">AR398*$M398</f>
        <v>0</v>
      </c>
      <c r="AT398" s="28"/>
      <c r="AU398" s="28" t="n">
        <f aca="false">AT398*$M398</f>
        <v>0</v>
      </c>
      <c r="AV398" s="28"/>
      <c r="AW398" s="28" t="n">
        <f aca="false">AV398*$M398</f>
        <v>0</v>
      </c>
      <c r="AX398" s="28"/>
      <c r="AY398" s="28" t="n">
        <f aca="false">AX398*$M398</f>
        <v>0</v>
      </c>
      <c r="AZ398" s="30" t="n">
        <f aca="false">41935/100</f>
        <v>419.35</v>
      </c>
      <c r="BA398" s="11" t="n">
        <v>5032</v>
      </c>
      <c r="BB398" s="31" t="n">
        <f aca="false">SUM(Q398,S398,U398,W398,Y398,AA398,AC398,AE398,AG398,AI398,AK398,AM398,AO398,AQ398,AS398,AU398,AW398,AY398)</f>
        <v>5032</v>
      </c>
      <c r="BC398" s="28" t="n">
        <f aca="false">BA398-BB398</f>
        <v>0</v>
      </c>
      <c r="BD398" s="32" t="n">
        <f aca="false">SUM(P398,R398,T398,V398,X398,Z398,AB398,AD398,AF398,AH398,AJ398,AL398,AN398,AP398,AR398,AT398,AV398,AX398)</f>
        <v>419.35</v>
      </c>
      <c r="BE398" s="33" t="n">
        <f aca="false">AZ398-BD398</f>
        <v>0</v>
      </c>
      <c r="BF398" s="34" t="n">
        <f aca="false">BD398*M398</f>
        <v>5032.2</v>
      </c>
      <c r="BG398" s="35" t="n">
        <f aca="false">BA398-BF398</f>
        <v>-0.200000000000728</v>
      </c>
      <c r="BH398" s="19" t="str">
        <f aca="false">IF(BG398=0,"",IF(BG398&lt;&gt;BA398,"erreur de calcul",IF(BD398&lt;&gt;0,"pas de prix",IF(M398&lt;&gt; 0,"pas de quantité","pas de prix, ni de quantité"))))</f>
        <v>erreur de calcul</v>
      </c>
      <c r="BI398" s="19"/>
    </row>
    <row r="399" customFormat="false" ht="16" hidden="false" customHeight="false" outlineLevel="0" collapsed="false">
      <c r="A399" s="0" t="n">
        <v>5</v>
      </c>
      <c r="B399" s="8" t="s">
        <v>24</v>
      </c>
      <c r="C399" s="9" t="s">
        <v>25</v>
      </c>
      <c r="D399" s="9" t="s">
        <v>26</v>
      </c>
      <c r="E399" s="10" t="n">
        <v>1789</v>
      </c>
      <c r="F399" s="9" t="s">
        <v>27</v>
      </c>
      <c r="G399" s="9" t="s">
        <v>27</v>
      </c>
      <c r="H399" s="11" t="n">
        <v>20</v>
      </c>
      <c r="I399" s="11" t="s">
        <v>121</v>
      </c>
      <c r="J399" s="14" t="n">
        <v>28</v>
      </c>
      <c r="K399" s="14"/>
      <c r="L399" s="16"/>
      <c r="M399" s="27" t="n">
        <f aca="false">J399+(K399/20)+(L399/240)</f>
        <v>28</v>
      </c>
      <c r="N399" s="17" t="s">
        <v>64</v>
      </c>
      <c r="O399" s="11" t="s">
        <v>34</v>
      </c>
      <c r="P399" s="28"/>
      <c r="Q399" s="28" t="n">
        <f aca="false">P399*$M399</f>
        <v>0</v>
      </c>
      <c r="R399" s="28"/>
      <c r="S399" s="28" t="n">
        <f aca="false">R399*$M399</f>
        <v>0</v>
      </c>
      <c r="T399" s="28"/>
      <c r="U399" s="28" t="n">
        <f aca="false">T399*$M399</f>
        <v>0</v>
      </c>
      <c r="V399" s="28"/>
      <c r="W399" s="28" t="n">
        <f aca="false">V399*$M399</f>
        <v>0</v>
      </c>
      <c r="X399" s="28" t="n">
        <f aca="false">187504/100</f>
        <v>1875.04</v>
      </c>
      <c r="Y399" s="28" t="n">
        <v>52501</v>
      </c>
      <c r="Z399" s="28" t="n">
        <f aca="false">1041667/100</f>
        <v>10416.67</v>
      </c>
      <c r="AA399" s="28" t="n">
        <v>291667</v>
      </c>
      <c r="AB399" s="28"/>
      <c r="AC399" s="28" t="n">
        <f aca="false">AB399*$M399</f>
        <v>0</v>
      </c>
      <c r="AD399" s="28"/>
      <c r="AE399" s="28" t="n">
        <f aca="false">AD399*$M399</f>
        <v>0</v>
      </c>
      <c r="AF399" s="28"/>
      <c r="AG399" s="28" t="n">
        <f aca="false">AF399*$M399</f>
        <v>0</v>
      </c>
      <c r="AH399" s="28"/>
      <c r="AI399" s="28" t="n">
        <f aca="false">AH399*$M399</f>
        <v>0</v>
      </c>
      <c r="AJ399" s="28"/>
      <c r="AK399" s="28" t="n">
        <f aca="false">AJ399*$M399</f>
        <v>0</v>
      </c>
      <c r="AL399" s="28"/>
      <c r="AM399" s="28" t="n">
        <f aca="false">AL399*$M399</f>
        <v>0</v>
      </c>
      <c r="AN399" s="28"/>
      <c r="AO399" s="28" t="n">
        <f aca="false">AN399*$M399</f>
        <v>0</v>
      </c>
      <c r="AP399" s="28"/>
      <c r="AQ399" s="28" t="n">
        <f aca="false">AP399*$M399</f>
        <v>0</v>
      </c>
      <c r="AR399" s="28"/>
      <c r="AS399" s="28" t="n">
        <f aca="false">AR399*$M399</f>
        <v>0</v>
      </c>
      <c r="AT399" s="28"/>
      <c r="AU399" s="28" t="n">
        <f aca="false">AT399*$M399</f>
        <v>0</v>
      </c>
      <c r="AV399" s="28"/>
      <c r="AW399" s="28" t="n">
        <f aca="false">AV399*$M399</f>
        <v>0</v>
      </c>
      <c r="AX399" s="28"/>
      <c r="AY399" s="28" t="n">
        <f aca="false">AX399*$M399</f>
        <v>0</v>
      </c>
      <c r="AZ399" s="30" t="n">
        <f aca="false">1229171/100</f>
        <v>12291.71</v>
      </c>
      <c r="BA399" s="11" t="n">
        <v>344168</v>
      </c>
      <c r="BB399" s="31" t="n">
        <f aca="false">SUM(Q399,S399,U399,W399,Y399,AA399,AC399,AE399,AG399,AI399,AK399,AM399,AO399,AQ399,AS399,AU399,AW399,AY399)</f>
        <v>344168</v>
      </c>
      <c r="BC399" s="28" t="n">
        <f aca="false">BA399-BB399</f>
        <v>0</v>
      </c>
      <c r="BD399" s="32" t="n">
        <f aca="false">SUM(P399,R399,T399,V399,X399,Z399,AB399,AD399,AF399,AH399,AJ399,AL399,AN399,AP399,AR399,AT399,AV399,AX399)</f>
        <v>12291.71</v>
      </c>
      <c r="BE399" s="33" t="n">
        <f aca="false">AZ399-BD399</f>
        <v>0</v>
      </c>
      <c r="BF399" s="34" t="n">
        <f aca="false">BD399*M399</f>
        <v>344167.88</v>
      </c>
      <c r="BG399" s="35" t="n">
        <f aca="false">BA399-BF399</f>
        <v>0.119999999995343</v>
      </c>
      <c r="BH399" s="19" t="str">
        <f aca="false">IF(BG399=0,"",IF(BG399&lt;&gt;BA399,"erreur de calcul",IF(BD399&lt;&gt;0,"pas de prix",IF(M399&lt;&gt; 0,"pas de quantité","pas de prix, ni de quantité"))))</f>
        <v>erreur de calcul</v>
      </c>
      <c r="BI399" s="19"/>
    </row>
    <row r="400" customFormat="false" ht="16" hidden="false" customHeight="false" outlineLevel="0" collapsed="false">
      <c r="A400" s="0" t="n">
        <v>6</v>
      </c>
      <c r="B400" s="8" t="s">
        <v>24</v>
      </c>
      <c r="C400" s="9" t="s">
        <v>25</v>
      </c>
      <c r="D400" s="9" t="s">
        <v>26</v>
      </c>
      <c r="E400" s="10" t="n">
        <v>1789</v>
      </c>
      <c r="F400" s="9" t="s">
        <v>27</v>
      </c>
      <c r="G400" s="9" t="s">
        <v>27</v>
      </c>
      <c r="H400" s="11" t="n">
        <v>20</v>
      </c>
      <c r="I400" s="11" t="s">
        <v>122</v>
      </c>
      <c r="J400" s="14" t="n">
        <v>16</v>
      </c>
      <c r="K400" s="14"/>
      <c r="L400" s="16"/>
      <c r="M400" s="27" t="n">
        <f aca="false">J400+(K400/20)+(L400/240)</f>
        <v>16</v>
      </c>
      <c r="N400" s="17" t="s">
        <v>64</v>
      </c>
      <c r="O400" s="11" t="s">
        <v>34</v>
      </c>
      <c r="P400" s="28" t="n">
        <f aca="false">1774951/100</f>
        <v>17749.51</v>
      </c>
      <c r="Q400" s="28" t="n">
        <v>283992</v>
      </c>
      <c r="R400" s="28"/>
      <c r="S400" s="28" t="n">
        <f aca="false">R400*$M400</f>
        <v>0</v>
      </c>
      <c r="T400" s="28"/>
      <c r="U400" s="28" t="n">
        <f aca="false">T400*$M400</f>
        <v>0</v>
      </c>
      <c r="V400" s="28" t="n">
        <f aca="false">20834/100</f>
        <v>208.34</v>
      </c>
      <c r="W400" s="28" t="n">
        <v>3333</v>
      </c>
      <c r="X400" s="28" t="n">
        <f aca="false">85901/100</f>
        <v>859.01</v>
      </c>
      <c r="Y400" s="28" t="n">
        <v>13744</v>
      </c>
      <c r="Z400" s="28"/>
      <c r="AA400" s="28" t="n">
        <f aca="false">Z400*$M400</f>
        <v>0</v>
      </c>
      <c r="AB400" s="28" t="n">
        <f aca="false">6847841/100</f>
        <v>68478.41</v>
      </c>
      <c r="AC400" s="28" t="n">
        <v>1095654</v>
      </c>
      <c r="AD400" s="28"/>
      <c r="AE400" s="28" t="n">
        <f aca="false">AD400*$M400</f>
        <v>0</v>
      </c>
      <c r="AF400" s="28"/>
      <c r="AG400" s="28" t="n">
        <f aca="false">AF400*$M400</f>
        <v>0</v>
      </c>
      <c r="AH400" s="28" t="n">
        <f aca="false">50417/100</f>
        <v>504.17</v>
      </c>
      <c r="AI400" s="28" t="n">
        <v>8067</v>
      </c>
      <c r="AJ400" s="28"/>
      <c r="AK400" s="28" t="n">
        <f aca="false">AJ400*$M400</f>
        <v>0</v>
      </c>
      <c r="AL400" s="28"/>
      <c r="AM400" s="28" t="n">
        <f aca="false">AL400*$M400</f>
        <v>0</v>
      </c>
      <c r="AN400" s="28"/>
      <c r="AO400" s="28" t="n">
        <f aca="false">AN400*$M400</f>
        <v>0</v>
      </c>
      <c r="AP400" s="28"/>
      <c r="AQ400" s="28" t="n">
        <f aca="false">AP400*$M400</f>
        <v>0</v>
      </c>
      <c r="AR400" s="28"/>
      <c r="AS400" s="28" t="n">
        <f aca="false">AR400*$M400</f>
        <v>0</v>
      </c>
      <c r="AT400" s="28"/>
      <c r="AU400" s="28" t="n">
        <f aca="false">AT400*$M400</f>
        <v>0</v>
      </c>
      <c r="AV400" s="28"/>
      <c r="AW400" s="28" t="n">
        <f aca="false">AV400*$M400</f>
        <v>0</v>
      </c>
      <c r="AX400" s="28"/>
      <c r="AY400" s="28" t="n">
        <f aca="false">AX400*$M400</f>
        <v>0</v>
      </c>
      <c r="AZ400" s="30" t="n">
        <f aca="false">8779944/100</f>
        <v>87799.44</v>
      </c>
      <c r="BA400" s="11" t="n">
        <v>1404790</v>
      </c>
      <c r="BB400" s="31" t="n">
        <f aca="false">SUM(Q400,S400,U400,W400,Y400,AA400,AC400,AE400,AG400,AI400,AK400,AM400,AO400,AQ400,AS400,AU400,AW400,AY400)</f>
        <v>1404790</v>
      </c>
      <c r="BC400" s="28" t="n">
        <f aca="false">BA400-BB400</f>
        <v>0</v>
      </c>
      <c r="BD400" s="32" t="n">
        <f aca="false">SUM(P400,R400,T400,V400,X400,Z400,AB400,AD400,AF400,AH400,AJ400,AL400,AN400,AP400,AR400,AT400,AV400,AX400)</f>
        <v>87799.44</v>
      </c>
      <c r="BE400" s="33" t="n">
        <f aca="false">AZ400-BD400</f>
        <v>0</v>
      </c>
      <c r="BF400" s="34" t="n">
        <f aca="false">BD400*M400</f>
        <v>1404791.04</v>
      </c>
      <c r="BG400" s="35" t="n">
        <f aca="false">BA400-BF400</f>
        <v>-1.04000000003725</v>
      </c>
      <c r="BH400" s="19" t="str">
        <f aca="false">IF(BG400=0,"",IF(BG400&lt;&gt;BA400,"erreur de calcul",IF(BD400&lt;&gt;0,"pas de prix",IF(M400&lt;&gt; 0,"pas de quantité","pas de prix, ni de quantité"))))</f>
        <v>erreur de calcul</v>
      </c>
      <c r="BI400" s="19"/>
    </row>
    <row r="401" customFormat="false" ht="16" hidden="false" customHeight="false" outlineLevel="0" collapsed="false">
      <c r="A401" s="0" t="n">
        <v>7</v>
      </c>
      <c r="B401" s="8" t="s">
        <v>24</v>
      </c>
      <c r="C401" s="9" t="s">
        <v>25</v>
      </c>
      <c r="D401" s="9" t="s">
        <v>26</v>
      </c>
      <c r="E401" s="10" t="n">
        <v>1789</v>
      </c>
      <c r="F401" s="9" t="s">
        <v>27</v>
      </c>
      <c r="G401" s="9" t="s">
        <v>27</v>
      </c>
      <c r="H401" s="11" t="n">
        <v>20</v>
      </c>
      <c r="I401" s="11" t="s">
        <v>123</v>
      </c>
      <c r="J401" s="14" t="n">
        <v>12</v>
      </c>
      <c r="K401" s="14"/>
      <c r="L401" s="16"/>
      <c r="M401" s="27" t="n">
        <f aca="false">J401+(K401/20)+(L401/240)</f>
        <v>12</v>
      </c>
      <c r="N401" s="17" t="s">
        <v>64</v>
      </c>
      <c r="O401" s="11" t="s">
        <v>34</v>
      </c>
      <c r="P401" s="28"/>
      <c r="Q401" s="28" t="n">
        <f aca="false">P401*$M401</f>
        <v>0</v>
      </c>
      <c r="R401" s="28"/>
      <c r="S401" s="28" t="n">
        <f aca="false">R401*$M401</f>
        <v>0</v>
      </c>
      <c r="T401" s="28"/>
      <c r="U401" s="28" t="n">
        <f aca="false">T401*$M401</f>
        <v>0</v>
      </c>
      <c r="V401" s="28"/>
      <c r="W401" s="28" t="n">
        <f aca="false">V401*$M401</f>
        <v>0</v>
      </c>
      <c r="X401" s="28"/>
      <c r="Y401" s="28" t="n">
        <f aca="false">X401*$M401</f>
        <v>0</v>
      </c>
      <c r="Z401" s="28"/>
      <c r="AA401" s="28" t="n">
        <f aca="false">Z401*$M401</f>
        <v>0</v>
      </c>
      <c r="AB401" s="28"/>
      <c r="AC401" s="28" t="n">
        <f aca="false">AB401*$M401</f>
        <v>0</v>
      </c>
      <c r="AD401" s="28"/>
      <c r="AE401" s="28" t="n">
        <f aca="false">AD401*$M401</f>
        <v>0</v>
      </c>
      <c r="AF401" s="28"/>
      <c r="AG401" s="28" t="n">
        <f aca="false">AF401*$M401</f>
        <v>0</v>
      </c>
      <c r="AH401" s="28" t="n">
        <f aca="false">5697511/100</f>
        <v>56975.11</v>
      </c>
      <c r="AI401" s="28" t="n">
        <v>683701</v>
      </c>
      <c r="AJ401" s="28"/>
      <c r="AK401" s="28" t="n">
        <f aca="false">AJ401*$M401</f>
        <v>0</v>
      </c>
      <c r="AL401" s="28"/>
      <c r="AM401" s="28" t="n">
        <f aca="false">AL401*$M401</f>
        <v>0</v>
      </c>
      <c r="AN401" s="28"/>
      <c r="AO401" s="28" t="n">
        <f aca="false">AN401*$M401</f>
        <v>0</v>
      </c>
      <c r="AP401" s="28"/>
      <c r="AQ401" s="28" t="n">
        <f aca="false">AP401*$M401</f>
        <v>0</v>
      </c>
      <c r="AR401" s="28"/>
      <c r="AS401" s="28" t="n">
        <f aca="false">AR401*$M401</f>
        <v>0</v>
      </c>
      <c r="AT401" s="28"/>
      <c r="AU401" s="28" t="n">
        <f aca="false">AT401*$M401</f>
        <v>0</v>
      </c>
      <c r="AV401" s="28"/>
      <c r="AW401" s="28" t="n">
        <f aca="false">AV401*$M401</f>
        <v>0</v>
      </c>
      <c r="AX401" s="28"/>
      <c r="AY401" s="28" t="n">
        <f aca="false">AX401*$M401</f>
        <v>0</v>
      </c>
      <c r="AZ401" s="30" t="n">
        <f aca="false">5697511/100</f>
        <v>56975.11</v>
      </c>
      <c r="BA401" s="11" t="n">
        <v>683701</v>
      </c>
      <c r="BB401" s="31" t="n">
        <f aca="false">SUM(Q401,S401,U401,W401,Y401,AA401,AC401,AE401,AG401,AI401,AK401,AM401,AO401,AQ401,AS401,AU401,AW401,AY401)</f>
        <v>683701</v>
      </c>
      <c r="BC401" s="28" t="n">
        <f aca="false">BA401-BB401</f>
        <v>0</v>
      </c>
      <c r="BD401" s="32" t="n">
        <f aca="false">SUM(P401,R401,T401,V401,X401,Z401,AB401,AD401,AF401,AH401,AJ401,AL401,AN401,AP401,AR401,AT401,AV401,AX401)</f>
        <v>56975.11</v>
      </c>
      <c r="BE401" s="33" t="n">
        <f aca="false">AZ401-BD401</f>
        <v>0</v>
      </c>
      <c r="BF401" s="34" t="n">
        <f aca="false">BD401*M401</f>
        <v>683701.32</v>
      </c>
      <c r="BG401" s="35" t="n">
        <f aca="false">BA401-BF401</f>
        <v>-0.320000000065193</v>
      </c>
      <c r="BH401" s="19" t="str">
        <f aca="false">IF(BG401=0,"",IF(BG401&lt;&gt;BA401,"erreur de calcul",IF(BD401&lt;&gt;0,"pas de prix",IF(M401&lt;&gt; 0,"pas de quantité","pas de prix, ni de quantité"))))</f>
        <v>erreur de calcul</v>
      </c>
      <c r="BI401" s="19"/>
    </row>
    <row r="402" customFormat="false" ht="16" hidden="false" customHeight="false" outlineLevel="0" collapsed="false">
      <c r="A402" s="0" t="n">
        <v>8</v>
      </c>
      <c r="B402" s="8" t="s">
        <v>24</v>
      </c>
      <c r="C402" s="9" t="s">
        <v>25</v>
      </c>
      <c r="D402" s="9" t="s">
        <v>26</v>
      </c>
      <c r="E402" s="10" t="n">
        <v>1789</v>
      </c>
      <c r="F402" s="9" t="s">
        <v>27</v>
      </c>
      <c r="G402" s="9" t="s">
        <v>27</v>
      </c>
      <c r="H402" s="11" t="n">
        <v>20</v>
      </c>
      <c r="I402" s="11" t="s">
        <v>124</v>
      </c>
      <c r="J402" s="14" t="n">
        <v>34</v>
      </c>
      <c r="K402" s="14"/>
      <c r="L402" s="16"/>
      <c r="M402" s="27" t="n">
        <f aca="false">J402+(K402/20)+(L402/240)</f>
        <v>34</v>
      </c>
      <c r="N402" s="17" t="s">
        <v>64</v>
      </c>
      <c r="O402" s="11" t="s">
        <v>34</v>
      </c>
      <c r="P402" s="28"/>
      <c r="Q402" s="28" t="n">
        <f aca="false">P402*$M402</f>
        <v>0</v>
      </c>
      <c r="R402" s="28"/>
      <c r="S402" s="28" t="n">
        <f aca="false">R402*$M402</f>
        <v>0</v>
      </c>
      <c r="T402" s="28" t="n">
        <f aca="false">528/100</f>
        <v>5.28</v>
      </c>
      <c r="U402" s="28" t="n">
        <v>179</v>
      </c>
      <c r="V402" s="28"/>
      <c r="W402" s="28" t="n">
        <f aca="false">V402*$M402</f>
        <v>0</v>
      </c>
      <c r="X402" s="28" t="n">
        <f aca="false">1014/100</f>
        <v>10.14</v>
      </c>
      <c r="Y402" s="36" t="n">
        <v>243</v>
      </c>
      <c r="Z402" s="28"/>
      <c r="AA402" s="28" t="n">
        <f aca="false">Z402*$M402</f>
        <v>0</v>
      </c>
      <c r="AB402" s="28"/>
      <c r="AC402" s="28" t="n">
        <f aca="false">AB402*$M402</f>
        <v>0</v>
      </c>
      <c r="AD402" s="28"/>
      <c r="AE402" s="28" t="n">
        <f aca="false">AD402*$M402</f>
        <v>0</v>
      </c>
      <c r="AF402" s="28"/>
      <c r="AG402" s="28" t="n">
        <f aca="false">AF402*$M402</f>
        <v>0</v>
      </c>
      <c r="AH402" s="28"/>
      <c r="AI402" s="28" t="n">
        <f aca="false">AH402*$M402</f>
        <v>0</v>
      </c>
      <c r="AJ402" s="28" t="n">
        <f aca="false">1917/100</f>
        <v>19.17</v>
      </c>
      <c r="AK402" s="28" t="n">
        <v>652</v>
      </c>
      <c r="AL402" s="28"/>
      <c r="AM402" s="28" t="n">
        <f aca="false">AL402*$M402</f>
        <v>0</v>
      </c>
      <c r="AN402" s="28"/>
      <c r="AO402" s="28" t="n">
        <f aca="false">AN402*$M402</f>
        <v>0</v>
      </c>
      <c r="AP402" s="28"/>
      <c r="AQ402" s="28" t="n">
        <f aca="false">AP402*$M402</f>
        <v>0</v>
      </c>
      <c r="AR402" s="28"/>
      <c r="AS402" s="28" t="n">
        <f aca="false">AR402*$M402</f>
        <v>0</v>
      </c>
      <c r="AT402" s="28"/>
      <c r="AU402" s="28" t="n">
        <f aca="false">AT402*$M402</f>
        <v>0</v>
      </c>
      <c r="AV402" s="28"/>
      <c r="AW402" s="28" t="n">
        <f aca="false">AV402*$M402</f>
        <v>0</v>
      </c>
      <c r="AX402" s="28"/>
      <c r="AY402" s="28" t="n">
        <f aca="false">AX402*$M402</f>
        <v>0</v>
      </c>
      <c r="AZ402" s="30" t="n">
        <f aca="false">3459/100</f>
        <v>34.59</v>
      </c>
      <c r="BA402" s="11" t="n">
        <v>1074</v>
      </c>
      <c r="BB402" s="31" t="n">
        <f aca="false">SUM(Q402,S402,U402,W402,Y402,AA402,AC402,AE402,AG402,AI402,AK402,AM402,AO402,AQ402,AS402,AU402,AW402,AY402)</f>
        <v>1074</v>
      </c>
      <c r="BC402" s="28" t="n">
        <f aca="false">BA402-BB402</f>
        <v>0</v>
      </c>
      <c r="BD402" s="32" t="n">
        <f aca="false">SUM(P402,R402,T402,V402,X402,Z402,AB402,AD402,AF402,AH402,AJ402,AL402,AN402,AP402,AR402,AT402,AV402,AX402)</f>
        <v>34.59</v>
      </c>
      <c r="BE402" s="33" t="n">
        <f aca="false">AZ402-BD402</f>
        <v>0</v>
      </c>
      <c r="BF402" s="34" t="n">
        <f aca="false">BD402*M402</f>
        <v>1176.06</v>
      </c>
      <c r="BG402" s="35" t="n">
        <f aca="false">BA402-BF402</f>
        <v>-102.06</v>
      </c>
      <c r="BH402" s="19" t="str">
        <f aca="false">IF(BG402=0,"",IF(BG402&lt;&gt;BA402,"erreur de calcul",IF(BD402&lt;&gt;0,"pas de prix",IF(M402&lt;&gt; 0,"pas de quantité","pas de prix, ni de quantité"))))</f>
        <v>erreur de calcul</v>
      </c>
      <c r="BI402" s="19"/>
    </row>
    <row r="403" customFormat="false" ht="16" hidden="false" customHeight="false" outlineLevel="0" collapsed="false">
      <c r="A403" s="0" t="n">
        <v>9</v>
      </c>
      <c r="B403" s="8" t="s">
        <v>24</v>
      </c>
      <c r="C403" s="9" t="s">
        <v>25</v>
      </c>
      <c r="D403" s="9" t="s">
        <v>26</v>
      </c>
      <c r="E403" s="10" t="n">
        <v>1789</v>
      </c>
      <c r="F403" s="9" t="s">
        <v>27</v>
      </c>
      <c r="G403" s="9" t="s">
        <v>27</v>
      </c>
      <c r="H403" s="11" t="n">
        <v>20</v>
      </c>
      <c r="I403" s="11" t="s">
        <v>125</v>
      </c>
      <c r="J403" s="14" t="n">
        <v>30</v>
      </c>
      <c r="K403" s="14"/>
      <c r="L403" s="16"/>
      <c r="M403" s="27" t="n">
        <f aca="false">J403+(K403/20)+(L403/240)</f>
        <v>30</v>
      </c>
      <c r="N403" s="17" t="s">
        <v>64</v>
      </c>
      <c r="O403" s="11" t="s">
        <v>34</v>
      </c>
      <c r="P403" s="28" t="n">
        <f aca="false">31476/100</f>
        <v>314.76</v>
      </c>
      <c r="Q403" s="28" t="n">
        <v>9443</v>
      </c>
      <c r="R403" s="28"/>
      <c r="S403" s="28" t="n">
        <f aca="false">R403*$M403</f>
        <v>0</v>
      </c>
      <c r="T403" s="28"/>
      <c r="U403" s="28" t="n">
        <f aca="false">T403*$M403</f>
        <v>0</v>
      </c>
      <c r="V403" s="28"/>
      <c r="W403" s="28" t="n">
        <f aca="false">V403*$M403</f>
        <v>0</v>
      </c>
      <c r="X403" s="28" t="n">
        <f aca="false">2320/100</f>
        <v>23.2</v>
      </c>
      <c r="Y403" s="28" t="n">
        <v>696</v>
      </c>
      <c r="Z403" s="28"/>
      <c r="AA403" s="28" t="n">
        <f aca="false">Z403*$M403</f>
        <v>0</v>
      </c>
      <c r="AB403" s="28"/>
      <c r="AC403" s="28" t="n">
        <f aca="false">AB403*$M403</f>
        <v>0</v>
      </c>
      <c r="AD403" s="28"/>
      <c r="AE403" s="28" t="n">
        <f aca="false">AD403*$M403</f>
        <v>0</v>
      </c>
      <c r="AF403" s="28"/>
      <c r="AG403" s="28" t="n">
        <f aca="false">AF403*$M403</f>
        <v>0</v>
      </c>
      <c r="AH403" s="28"/>
      <c r="AI403" s="28" t="n">
        <f aca="false">AH403*$M403</f>
        <v>0</v>
      </c>
      <c r="AJ403" s="28"/>
      <c r="AK403" s="28" t="n">
        <f aca="false">AJ403*$M403</f>
        <v>0</v>
      </c>
      <c r="AL403" s="28"/>
      <c r="AM403" s="28" t="n">
        <f aca="false">AL403*$M403</f>
        <v>0</v>
      </c>
      <c r="AN403" s="28"/>
      <c r="AO403" s="28" t="n">
        <f aca="false">AN403*$M403</f>
        <v>0</v>
      </c>
      <c r="AP403" s="28" t="n">
        <f aca="false">5100/100</f>
        <v>51</v>
      </c>
      <c r="AQ403" s="28" t="n">
        <v>1530</v>
      </c>
      <c r="AR403" s="28"/>
      <c r="AS403" s="28" t="n">
        <f aca="false">AR403*$M403</f>
        <v>0</v>
      </c>
      <c r="AT403" s="28"/>
      <c r="AU403" s="28" t="n">
        <f aca="false">AT403*$M403</f>
        <v>0</v>
      </c>
      <c r="AV403" s="28"/>
      <c r="AW403" s="28" t="n">
        <f aca="false">AV403*$M403</f>
        <v>0</v>
      </c>
      <c r="AX403" s="28" t="n">
        <f aca="false">26345/100</f>
        <v>263.45</v>
      </c>
      <c r="AY403" s="28" t="n">
        <v>7903</v>
      </c>
      <c r="AZ403" s="30" t="n">
        <f aca="false">65241/100</f>
        <v>652.41</v>
      </c>
      <c r="BA403" s="11" t="n">
        <v>19572</v>
      </c>
      <c r="BB403" s="31" t="n">
        <f aca="false">SUM(Q403,S403,U403,W403,Y403,AA403,AC403,AE403,AG403,AI403,AK403,AM403,AO403,AQ403,AS403,AU403,AW403,AY403)</f>
        <v>19572</v>
      </c>
      <c r="BC403" s="28" t="n">
        <f aca="false">BA403-BB403</f>
        <v>0</v>
      </c>
      <c r="BD403" s="32" t="n">
        <f aca="false">SUM(P403,R403,T403,V403,X403,Z403,AB403,AD403,AF403,AH403,AJ403,AL403,AN403,AP403,AR403,AT403,AV403,AX403)</f>
        <v>652.41</v>
      </c>
      <c r="BE403" s="33" t="n">
        <f aca="false">AZ403-BD403</f>
        <v>0</v>
      </c>
      <c r="BF403" s="34" t="n">
        <f aca="false">BD403*M403</f>
        <v>19572.3</v>
      </c>
      <c r="BG403" s="35" t="n">
        <f aca="false">BA403-BF403</f>
        <v>-0.299999999999272</v>
      </c>
      <c r="BH403" s="19" t="str">
        <f aca="false">IF(BG403=0,"",IF(BG403&lt;&gt;BA403,"erreur de calcul",IF(BD403&lt;&gt;0,"pas de prix",IF(M403&lt;&gt; 0,"pas de quantité","pas de prix, ni de quantité"))))</f>
        <v>erreur de calcul</v>
      </c>
      <c r="BI403" s="19"/>
    </row>
    <row r="404" customFormat="false" ht="16" hidden="false" customHeight="false" outlineLevel="0" collapsed="false">
      <c r="A404" s="0" t="n">
        <v>10</v>
      </c>
      <c r="B404" s="8" t="s">
        <v>24</v>
      </c>
      <c r="C404" s="9" t="s">
        <v>25</v>
      </c>
      <c r="D404" s="9" t="s">
        <v>26</v>
      </c>
      <c r="E404" s="10" t="n">
        <v>1789</v>
      </c>
      <c r="F404" s="9" t="s">
        <v>27</v>
      </c>
      <c r="G404" s="9" t="s">
        <v>27</v>
      </c>
      <c r="H404" s="11" t="n">
        <v>20</v>
      </c>
      <c r="I404" s="11" t="s">
        <v>126</v>
      </c>
      <c r="J404" s="14" t="n">
        <v>75</v>
      </c>
      <c r="K404" s="14"/>
      <c r="L404" s="16"/>
      <c r="M404" s="27" t="n">
        <f aca="false">J404+(K404/20)+(L404/240)</f>
        <v>75</v>
      </c>
      <c r="N404" s="17" t="s">
        <v>64</v>
      </c>
      <c r="O404" s="11" t="s">
        <v>34</v>
      </c>
      <c r="P404" s="28"/>
      <c r="Q404" s="28" t="n">
        <f aca="false">P404*$M404</f>
        <v>0</v>
      </c>
      <c r="R404" s="28"/>
      <c r="S404" s="28" t="n">
        <f aca="false">R404*$M404</f>
        <v>0</v>
      </c>
      <c r="T404" s="28"/>
      <c r="U404" s="28" t="n">
        <f aca="false">T404*$M404</f>
        <v>0</v>
      </c>
      <c r="V404" s="28" t="n">
        <f aca="false">223/100</f>
        <v>2.23</v>
      </c>
      <c r="W404" s="28" t="n">
        <v>167</v>
      </c>
      <c r="X404" s="28" t="n">
        <f aca="false">2897/100</f>
        <v>28.97</v>
      </c>
      <c r="Y404" s="28" t="n">
        <v>2173</v>
      </c>
      <c r="Z404" s="28"/>
      <c r="AA404" s="28" t="n">
        <f aca="false">Z404*$M404</f>
        <v>0</v>
      </c>
      <c r="AB404" s="28"/>
      <c r="AC404" s="28" t="n">
        <f aca="false">AB404*$M404</f>
        <v>0</v>
      </c>
      <c r="AD404" s="28"/>
      <c r="AE404" s="28" t="n">
        <f aca="false">AD404*$M404</f>
        <v>0</v>
      </c>
      <c r="AF404" s="28"/>
      <c r="AG404" s="28" t="n">
        <f aca="false">AF404*$M404</f>
        <v>0</v>
      </c>
      <c r="AH404" s="28"/>
      <c r="AI404" s="28" t="n">
        <f aca="false">AH404*$M404</f>
        <v>0</v>
      </c>
      <c r="AJ404" s="28"/>
      <c r="AK404" s="28" t="n">
        <f aca="false">AJ404*$M404</f>
        <v>0</v>
      </c>
      <c r="AL404" s="28"/>
      <c r="AM404" s="28" t="n">
        <f aca="false">AL404*$M404</f>
        <v>0</v>
      </c>
      <c r="AN404" s="28"/>
      <c r="AO404" s="28" t="n">
        <f aca="false">AN404*$M404</f>
        <v>0</v>
      </c>
      <c r="AP404" s="28"/>
      <c r="AQ404" s="28" t="n">
        <f aca="false">AP404*$M404</f>
        <v>0</v>
      </c>
      <c r="AR404" s="28"/>
      <c r="AS404" s="28" t="n">
        <f aca="false">AR404*$M404</f>
        <v>0</v>
      </c>
      <c r="AT404" s="28"/>
      <c r="AU404" s="28" t="n">
        <f aca="false">AT404*$M404</f>
        <v>0</v>
      </c>
      <c r="AV404" s="28"/>
      <c r="AW404" s="28" t="n">
        <f aca="false">AV404*$M404</f>
        <v>0</v>
      </c>
      <c r="AX404" s="28"/>
      <c r="AY404" s="28" t="n">
        <f aca="false">AX404*$M404</f>
        <v>0</v>
      </c>
      <c r="AZ404" s="30" t="n">
        <f aca="false">3120/100</f>
        <v>31.2</v>
      </c>
      <c r="BA404" s="11" t="n">
        <v>2340</v>
      </c>
      <c r="BB404" s="31" t="n">
        <f aca="false">SUM(Q404,S404,U404,W404,Y404,AA404,AC404,AE404,AG404,AI404,AK404,AM404,AO404,AQ404,AS404,AU404,AW404,AY404)</f>
        <v>2340</v>
      </c>
      <c r="BC404" s="28" t="n">
        <f aca="false">BA404-BB404</f>
        <v>0</v>
      </c>
      <c r="BD404" s="32" t="n">
        <f aca="false">SUM(P404,R404,T404,V404,X404,Z404,AB404,AD404,AF404,AH404,AJ404,AL404,AN404,AP404,AR404,AT404,AV404,AX404)</f>
        <v>31.2</v>
      </c>
      <c r="BE404" s="33" t="n">
        <f aca="false">AZ404-BD404</f>
        <v>0</v>
      </c>
      <c r="BF404" s="34" t="n">
        <f aca="false">BD404*M404</f>
        <v>2340</v>
      </c>
      <c r="BG404" s="35" t="n">
        <f aca="false">BA404-BF404</f>
        <v>0</v>
      </c>
      <c r="BH404" s="19" t="str">
        <f aca="false">IF(BG404=0,"",IF(BG404&lt;&gt;BA404,"erreur de calcul",IF(BD404&lt;&gt;0,"pas de prix",IF(M404&lt;&gt; 0,"pas de quantité","pas de prix, ni de quantité"))))</f>
        <v/>
      </c>
      <c r="BI404" s="19"/>
    </row>
    <row r="405" customFormat="false" ht="16" hidden="false" customHeight="false" outlineLevel="0" collapsed="false">
      <c r="A405" s="0" t="n">
        <v>11</v>
      </c>
      <c r="B405" s="8" t="s">
        <v>24</v>
      </c>
      <c r="C405" s="9" t="s">
        <v>25</v>
      </c>
      <c r="D405" s="9" t="s">
        <v>26</v>
      </c>
      <c r="E405" s="10" t="n">
        <v>1789</v>
      </c>
      <c r="F405" s="9" t="s">
        <v>27</v>
      </c>
      <c r="G405" s="9" t="s">
        <v>27</v>
      </c>
      <c r="H405" s="11" t="n">
        <v>20</v>
      </c>
      <c r="I405" s="11" t="s">
        <v>127</v>
      </c>
      <c r="J405" s="14" t="n">
        <v>75</v>
      </c>
      <c r="K405" s="14"/>
      <c r="L405" s="16"/>
      <c r="M405" s="27" t="n">
        <f aca="false">J405+(K405/20)+(L405/240)</f>
        <v>75</v>
      </c>
      <c r="N405" s="17" t="s">
        <v>64</v>
      </c>
      <c r="O405" s="11" t="s">
        <v>34</v>
      </c>
      <c r="P405" s="28"/>
      <c r="Q405" s="28" t="n">
        <f aca="false">P405*$M405</f>
        <v>0</v>
      </c>
      <c r="R405" s="28"/>
      <c r="S405" s="28" t="n">
        <f aca="false">R405*$M405</f>
        <v>0</v>
      </c>
      <c r="T405" s="28" t="n">
        <f aca="false">5807/100</f>
        <v>58.07</v>
      </c>
      <c r="U405" s="28" t="n">
        <v>4355</v>
      </c>
      <c r="V405" s="28"/>
      <c r="W405" s="28" t="n">
        <f aca="false">V405*$M405</f>
        <v>0</v>
      </c>
      <c r="X405" s="28"/>
      <c r="Y405" s="28" t="n">
        <f aca="false">X405*$M405</f>
        <v>0</v>
      </c>
      <c r="Z405" s="28"/>
      <c r="AA405" s="28" t="n">
        <f aca="false">Z405*$M405</f>
        <v>0</v>
      </c>
      <c r="AB405" s="28"/>
      <c r="AC405" s="28" t="n">
        <f aca="false">AB405*$M405</f>
        <v>0</v>
      </c>
      <c r="AD405" s="28"/>
      <c r="AE405" s="28" t="n">
        <f aca="false">AD405*$M405</f>
        <v>0</v>
      </c>
      <c r="AF405" s="28"/>
      <c r="AG405" s="28" t="n">
        <f aca="false">AF405*$M405</f>
        <v>0</v>
      </c>
      <c r="AH405" s="28"/>
      <c r="AI405" s="28" t="n">
        <f aca="false">AH405*$M405</f>
        <v>0</v>
      </c>
      <c r="AJ405" s="28"/>
      <c r="AK405" s="28" t="n">
        <f aca="false">AJ405*$M405</f>
        <v>0</v>
      </c>
      <c r="AL405" s="28"/>
      <c r="AM405" s="28" t="n">
        <f aca="false">AL405*$M405</f>
        <v>0</v>
      </c>
      <c r="AN405" s="28"/>
      <c r="AO405" s="28" t="n">
        <f aca="false">AN405*$M405</f>
        <v>0</v>
      </c>
      <c r="AP405" s="28"/>
      <c r="AQ405" s="28" t="n">
        <f aca="false">AP405*$M405</f>
        <v>0</v>
      </c>
      <c r="AR405" s="28"/>
      <c r="AS405" s="28" t="n">
        <f aca="false">AR405*$M405</f>
        <v>0</v>
      </c>
      <c r="AT405" s="28"/>
      <c r="AU405" s="28" t="n">
        <f aca="false">AT405*$M405</f>
        <v>0</v>
      </c>
      <c r="AV405" s="28"/>
      <c r="AW405" s="28" t="n">
        <f aca="false">AV405*$M405</f>
        <v>0</v>
      </c>
      <c r="AX405" s="28"/>
      <c r="AY405" s="28" t="n">
        <f aca="false">AX405*$M405</f>
        <v>0</v>
      </c>
      <c r="AZ405" s="30" t="n">
        <f aca="false">5807/100</f>
        <v>58.07</v>
      </c>
      <c r="BA405" s="11" t="n">
        <v>4355</v>
      </c>
      <c r="BB405" s="31" t="n">
        <f aca="false">SUM(Q405,S405,U405,W405,Y405,AA405,AC405,AE405,AG405,AI405,AK405,AM405,AO405,AQ405,AS405,AU405,AW405,AY405)</f>
        <v>4355</v>
      </c>
      <c r="BC405" s="28" t="n">
        <f aca="false">BA405-BB405</f>
        <v>0</v>
      </c>
      <c r="BD405" s="32" t="n">
        <f aca="false">SUM(P405,R405,T405,V405,X405,Z405,AB405,AD405,AF405,AH405,AJ405,AL405,AN405,AP405,AR405,AT405,AV405,AX405)</f>
        <v>58.07</v>
      </c>
      <c r="BE405" s="33" t="n">
        <f aca="false">AZ405-BD405</f>
        <v>0</v>
      </c>
      <c r="BF405" s="34" t="n">
        <f aca="false">BD405*M405</f>
        <v>4355.25</v>
      </c>
      <c r="BG405" s="35" t="n">
        <f aca="false">BA405-BF405</f>
        <v>-0.25</v>
      </c>
      <c r="BH405" s="19" t="str">
        <f aca="false">IF(BG405=0,"",IF(BG405&lt;&gt;BA405,"erreur de calcul",IF(BD405&lt;&gt;0,"pas de prix",IF(M405&lt;&gt; 0,"pas de quantité","pas de prix, ni de quantité"))))</f>
        <v>erreur de calcul</v>
      </c>
      <c r="BI405" s="19"/>
    </row>
    <row r="406" customFormat="false" ht="16" hidden="false" customHeight="false" outlineLevel="0" collapsed="false">
      <c r="A406" s="0" t="n">
        <v>12</v>
      </c>
      <c r="B406" s="8" t="s">
        <v>24</v>
      </c>
      <c r="C406" s="9" t="s">
        <v>25</v>
      </c>
      <c r="D406" s="9" t="s">
        <v>26</v>
      </c>
      <c r="E406" s="10" t="n">
        <v>1789</v>
      </c>
      <c r="F406" s="9" t="s">
        <v>27</v>
      </c>
      <c r="G406" s="9" t="s">
        <v>27</v>
      </c>
      <c r="H406" s="11" t="n">
        <v>20</v>
      </c>
      <c r="I406" s="11" t="s">
        <v>128</v>
      </c>
      <c r="J406" s="14" t="n">
        <v>42</v>
      </c>
      <c r="K406" s="14"/>
      <c r="L406" s="16"/>
      <c r="M406" s="27" t="n">
        <f aca="false">J406+(K406/20)+(L406/240)</f>
        <v>42</v>
      </c>
      <c r="N406" s="17" t="s">
        <v>64</v>
      </c>
      <c r="O406" s="11" t="s">
        <v>34</v>
      </c>
      <c r="P406" s="28"/>
      <c r="Q406" s="28" t="n">
        <f aca="false">P406*$M406</f>
        <v>0</v>
      </c>
      <c r="R406" s="28"/>
      <c r="S406" s="28" t="n">
        <f aca="false">R406*$M406</f>
        <v>0</v>
      </c>
      <c r="T406" s="28" t="n">
        <f aca="false">347073/100</f>
        <v>3470.73</v>
      </c>
      <c r="U406" s="28" t="n">
        <v>145771</v>
      </c>
      <c r="V406" s="28" t="n">
        <f aca="false">188616/100</f>
        <v>1886.16</v>
      </c>
      <c r="W406" s="28" t="n">
        <v>79219</v>
      </c>
      <c r="X406" s="28" t="n">
        <f aca="false">518894/100</f>
        <v>5188.94</v>
      </c>
      <c r="Y406" s="28" t="n">
        <v>217935</v>
      </c>
      <c r="Z406" s="28" t="n">
        <f aca="false">965148/100</f>
        <v>9651.48</v>
      </c>
      <c r="AA406" s="28" t="n">
        <v>405362</v>
      </c>
      <c r="AB406" s="28" t="n">
        <f aca="false">759238/100</f>
        <v>7592.38</v>
      </c>
      <c r="AC406" s="28" t="n">
        <v>318880</v>
      </c>
      <c r="AD406" s="28" t="n">
        <f aca="false">254167/100</f>
        <v>2541.67</v>
      </c>
      <c r="AE406" s="28" t="n">
        <v>106750</v>
      </c>
      <c r="AF406" s="28"/>
      <c r="AG406" s="28" t="n">
        <f aca="false">AF406*$M406</f>
        <v>0</v>
      </c>
      <c r="AH406" s="28"/>
      <c r="AI406" s="28" t="n">
        <f aca="false">AH406*$M406</f>
        <v>0</v>
      </c>
      <c r="AJ406" s="28"/>
      <c r="AK406" s="28" t="n">
        <f aca="false">AJ406*$M406</f>
        <v>0</v>
      </c>
      <c r="AL406" s="28" t="n">
        <f aca="false">73551/100</f>
        <v>735.51</v>
      </c>
      <c r="AM406" s="28" t="n">
        <v>30891</v>
      </c>
      <c r="AN406" s="28"/>
      <c r="AO406" s="28" t="n">
        <f aca="false">AN406*$M406</f>
        <v>0</v>
      </c>
      <c r="AP406" s="28" t="n">
        <f aca="false">45836/100</f>
        <v>458.36</v>
      </c>
      <c r="AQ406" s="28" t="n">
        <v>19251</v>
      </c>
      <c r="AR406" s="28"/>
      <c r="AS406" s="28" t="n">
        <f aca="false">AR406*$M406</f>
        <v>0</v>
      </c>
      <c r="AT406" s="28"/>
      <c r="AU406" s="28" t="n">
        <f aca="false">AT406*$M406</f>
        <v>0</v>
      </c>
      <c r="AV406" s="28" t="n">
        <f aca="false">566574/100</f>
        <v>5665.74</v>
      </c>
      <c r="AW406" s="28" t="n">
        <v>237961</v>
      </c>
      <c r="AX406" s="28"/>
      <c r="AY406" s="28" t="n">
        <f aca="false">AX406*$M406</f>
        <v>0</v>
      </c>
      <c r="AZ406" s="30" t="n">
        <f aca="false">3719097/100</f>
        <v>37190.97</v>
      </c>
      <c r="BA406" s="11" t="n">
        <v>1562020</v>
      </c>
      <c r="BB406" s="31" t="n">
        <f aca="false">SUM(Q406,S406,U406,W406,Y406,AA406,AC406,AE406,AG406,AI406,AK406,AM406,AO406,AQ406,AS406,AU406,AW406,AY406)</f>
        <v>1562020</v>
      </c>
      <c r="BC406" s="28" t="n">
        <f aca="false">BA406-BB406</f>
        <v>0</v>
      </c>
      <c r="BD406" s="32" t="n">
        <f aca="false">SUM(P406,R406,T406,V406,X406,Z406,AB406,AD406,AF406,AH406,AJ406,AL406,AN406,AP406,AR406,AT406,AV406,AX406)</f>
        <v>37190.97</v>
      </c>
      <c r="BE406" s="33" t="n">
        <f aca="false">AZ406-BD406</f>
        <v>0</v>
      </c>
      <c r="BF406" s="34" t="n">
        <f aca="false">BD406*M406</f>
        <v>1562020.74</v>
      </c>
      <c r="BG406" s="35" t="n">
        <f aca="false">BA406-BF406</f>
        <v>-0.739999999990687</v>
      </c>
      <c r="BH406" s="19" t="str">
        <f aca="false">IF(BG406=0,"",IF(BG406&lt;&gt;BA406,"erreur de calcul",IF(BD406&lt;&gt;0,"pas de prix",IF(M406&lt;&gt; 0,"pas de quantité","pas de prix, ni de quantité"))))</f>
        <v>erreur de calcul</v>
      </c>
      <c r="BI406" s="19"/>
    </row>
    <row r="407" customFormat="false" ht="16" hidden="false" customHeight="false" outlineLevel="0" collapsed="false">
      <c r="A407" s="0" t="n">
        <v>13</v>
      </c>
      <c r="B407" s="8" t="s">
        <v>24</v>
      </c>
      <c r="C407" s="9" t="s">
        <v>25</v>
      </c>
      <c r="D407" s="9" t="s">
        <v>26</v>
      </c>
      <c r="E407" s="10" t="n">
        <v>1789</v>
      </c>
      <c r="F407" s="9" t="s">
        <v>27</v>
      </c>
      <c r="G407" s="9" t="s">
        <v>27</v>
      </c>
      <c r="H407" s="11" t="n">
        <v>20</v>
      </c>
      <c r="I407" s="11" t="s">
        <v>129</v>
      </c>
      <c r="J407" s="14" t="n">
        <v>75</v>
      </c>
      <c r="K407" s="14"/>
      <c r="L407" s="16"/>
      <c r="M407" s="27" t="n">
        <f aca="false">J407+(K407/20)+(L407/240)</f>
        <v>75</v>
      </c>
      <c r="N407" s="17" t="s">
        <v>64</v>
      </c>
      <c r="O407" s="11" t="s">
        <v>34</v>
      </c>
      <c r="P407" s="28"/>
      <c r="Q407" s="28" t="n">
        <f aca="false">P407*$M407</f>
        <v>0</v>
      </c>
      <c r="R407" s="28"/>
      <c r="S407" s="28" t="n">
        <f aca="false">R407*$M407</f>
        <v>0</v>
      </c>
      <c r="T407" s="28"/>
      <c r="U407" s="28" t="n">
        <f aca="false">T407*$M407</f>
        <v>0</v>
      </c>
      <c r="V407" s="28" t="n">
        <f aca="false">3418/100</f>
        <v>34.18</v>
      </c>
      <c r="W407" s="28" t="n">
        <v>2563</v>
      </c>
      <c r="X407" s="28" t="n">
        <f aca="false">3755/100</f>
        <v>37.55</v>
      </c>
      <c r="Y407" s="28" t="n">
        <v>2817</v>
      </c>
      <c r="Z407" s="28"/>
      <c r="AA407" s="28" t="n">
        <f aca="false">Z407*$M407</f>
        <v>0</v>
      </c>
      <c r="AB407" s="28" t="n">
        <f aca="false">75529/100</f>
        <v>755.29</v>
      </c>
      <c r="AC407" s="28" t="n">
        <v>56647</v>
      </c>
      <c r="AD407" s="28"/>
      <c r="AE407" s="28" t="n">
        <f aca="false">AD407*$M407</f>
        <v>0</v>
      </c>
      <c r="AF407" s="28"/>
      <c r="AG407" s="28" t="n">
        <f aca="false">AF407*$M407</f>
        <v>0</v>
      </c>
      <c r="AH407" s="28"/>
      <c r="AI407" s="28" t="n">
        <f aca="false">AH407*$M407</f>
        <v>0</v>
      </c>
      <c r="AJ407" s="28"/>
      <c r="AK407" s="28" t="n">
        <f aca="false">AJ407*$M407</f>
        <v>0</v>
      </c>
      <c r="AL407" s="28"/>
      <c r="AM407" s="28" t="n">
        <f aca="false">AL407*$M407</f>
        <v>0</v>
      </c>
      <c r="AN407" s="28"/>
      <c r="AO407" s="28" t="n">
        <f aca="false">AN407*$M407</f>
        <v>0</v>
      </c>
      <c r="AP407" s="28"/>
      <c r="AQ407" s="28" t="n">
        <f aca="false">AP407*$M407</f>
        <v>0</v>
      </c>
      <c r="AR407" s="28"/>
      <c r="AS407" s="28" t="n">
        <f aca="false">AR407*$M407</f>
        <v>0</v>
      </c>
      <c r="AT407" s="28"/>
      <c r="AU407" s="28" t="n">
        <f aca="false">AT407*$M407</f>
        <v>0</v>
      </c>
      <c r="AV407" s="28"/>
      <c r="AW407" s="28" t="n">
        <f aca="false">AV407*$M407</f>
        <v>0</v>
      </c>
      <c r="AX407" s="28"/>
      <c r="AY407" s="28" t="n">
        <f aca="false">AX407*$M407</f>
        <v>0</v>
      </c>
      <c r="AZ407" s="30" t="n">
        <f aca="false">82702/100</f>
        <v>827.02</v>
      </c>
      <c r="BA407" s="11" t="n">
        <v>62027</v>
      </c>
      <c r="BB407" s="31" t="n">
        <f aca="false">SUM(Q407,S407,U407,W407,Y407,AA407,AC407,AE407,AG407,AI407,AK407,AM407,AO407,AQ407,AS407,AU407,AW407,AY407)</f>
        <v>62027</v>
      </c>
      <c r="BC407" s="28" t="n">
        <f aca="false">BA407-BB407</f>
        <v>0</v>
      </c>
      <c r="BD407" s="32" t="n">
        <f aca="false">SUM(P407,R407,T407,V407,X407,Z407,AB407,AD407,AF407,AH407,AJ407,AL407,AN407,AP407,AR407,AT407,AV407,AX407)</f>
        <v>827.02</v>
      </c>
      <c r="BE407" s="33" t="n">
        <f aca="false">AZ407-BD407</f>
        <v>0</v>
      </c>
      <c r="BF407" s="34" t="n">
        <f aca="false">BD407*M407</f>
        <v>62026.5</v>
      </c>
      <c r="BG407" s="35" t="n">
        <f aca="false">BA407-BF407</f>
        <v>0.5</v>
      </c>
      <c r="BH407" s="19" t="str">
        <f aca="false">IF(BG407=0,"",IF(BG407&lt;&gt;BA407,"erreur de calcul",IF(BD407&lt;&gt;0,"pas de prix",IF(M407&lt;&gt; 0,"pas de quantité","pas de prix, ni de quantité"))))</f>
        <v>erreur de calcul</v>
      </c>
      <c r="BI407" s="19"/>
    </row>
    <row r="408" customFormat="false" ht="16" hidden="false" customHeight="false" outlineLevel="0" collapsed="false">
      <c r="A408" s="0" t="n">
        <v>14</v>
      </c>
      <c r="B408" s="8" t="s">
        <v>24</v>
      </c>
      <c r="C408" s="9" t="s">
        <v>25</v>
      </c>
      <c r="D408" s="9" t="s">
        <v>26</v>
      </c>
      <c r="E408" s="10" t="n">
        <v>1789</v>
      </c>
      <c r="F408" s="9" t="s">
        <v>27</v>
      </c>
      <c r="G408" s="9" t="s">
        <v>27</v>
      </c>
      <c r="H408" s="11" t="n">
        <v>20</v>
      </c>
      <c r="I408" s="11" t="s">
        <v>130</v>
      </c>
      <c r="J408" s="14" t="n">
        <v>170</v>
      </c>
      <c r="K408" s="14"/>
      <c r="L408" s="16"/>
      <c r="M408" s="27" t="n">
        <f aca="false">J408+(K408/20)+(L408/240)</f>
        <v>170</v>
      </c>
      <c r="N408" s="17" t="s">
        <v>64</v>
      </c>
      <c r="O408" s="11" t="s">
        <v>34</v>
      </c>
      <c r="P408" s="28"/>
      <c r="Q408" s="28" t="n">
        <f aca="false">P408*$M408</f>
        <v>0</v>
      </c>
      <c r="R408" s="28"/>
      <c r="S408" s="28" t="n">
        <f aca="false">R408*$M408</f>
        <v>0</v>
      </c>
      <c r="T408" s="28" t="n">
        <f aca="false">488/100</f>
        <v>4.88</v>
      </c>
      <c r="U408" s="28" t="n">
        <v>830</v>
      </c>
      <c r="V408" s="28"/>
      <c r="W408" s="28" t="n">
        <f aca="false">V408*$M408</f>
        <v>0</v>
      </c>
      <c r="X408" s="28" t="n">
        <f aca="false">8480/100</f>
        <v>84.8</v>
      </c>
      <c r="Y408" s="28" t="n">
        <v>14416</v>
      </c>
      <c r="Z408" s="28"/>
      <c r="AA408" s="28" t="n">
        <f aca="false">Z408*$M408</f>
        <v>0</v>
      </c>
      <c r="AB408" s="28" t="n">
        <f aca="false">291/100</f>
        <v>2.91</v>
      </c>
      <c r="AC408" s="28" t="n">
        <v>495</v>
      </c>
      <c r="AD408" s="28"/>
      <c r="AE408" s="28" t="n">
        <f aca="false">AD408*$M408</f>
        <v>0</v>
      </c>
      <c r="AF408" s="28"/>
      <c r="AG408" s="28" t="n">
        <f aca="false">AF408*$M408</f>
        <v>0</v>
      </c>
      <c r="AH408" s="28"/>
      <c r="AI408" s="28" t="n">
        <f aca="false">AH408*$M408</f>
        <v>0</v>
      </c>
      <c r="AJ408" s="28"/>
      <c r="AK408" s="28" t="n">
        <f aca="false">AJ408*$M408</f>
        <v>0</v>
      </c>
      <c r="AL408" s="28"/>
      <c r="AM408" s="28" t="n">
        <f aca="false">AL408*$M408</f>
        <v>0</v>
      </c>
      <c r="AN408" s="28"/>
      <c r="AO408" s="28" t="n">
        <f aca="false">AN408*$M408</f>
        <v>0</v>
      </c>
      <c r="AP408" s="28"/>
      <c r="AQ408" s="28" t="n">
        <f aca="false">AP408*$M408</f>
        <v>0</v>
      </c>
      <c r="AR408" s="28"/>
      <c r="AS408" s="28" t="n">
        <f aca="false">AR408*$M408</f>
        <v>0</v>
      </c>
      <c r="AT408" s="28"/>
      <c r="AU408" s="28" t="n">
        <f aca="false">AT408*$M408</f>
        <v>0</v>
      </c>
      <c r="AV408" s="28"/>
      <c r="AW408" s="28" t="n">
        <f aca="false">AV408*$M408</f>
        <v>0</v>
      </c>
      <c r="AX408" s="28"/>
      <c r="AY408" s="28" t="n">
        <f aca="false">AX408*$M408</f>
        <v>0</v>
      </c>
      <c r="AZ408" s="30" t="n">
        <f aca="false">9259/100</f>
        <v>92.59</v>
      </c>
      <c r="BA408" s="11" t="n">
        <v>15741</v>
      </c>
      <c r="BB408" s="31" t="n">
        <f aca="false">SUM(Q408,S408,U408,W408,Y408,AA408,AC408,AE408,AG408,AI408,AK408,AM408,AO408,AQ408,AS408,AU408,AW408,AY408)</f>
        <v>15741</v>
      </c>
      <c r="BC408" s="28" t="n">
        <f aca="false">BA408-BB408</f>
        <v>0</v>
      </c>
      <c r="BD408" s="32" t="n">
        <f aca="false">SUM(P408,R408,T408,V408,X408,Z408,AB408,AD408,AF408,AH408,AJ408,AL408,AN408,AP408,AR408,AT408,AV408,AX408)</f>
        <v>92.59</v>
      </c>
      <c r="BE408" s="33" t="n">
        <f aca="false">AZ408-BD408</f>
        <v>0</v>
      </c>
      <c r="BF408" s="34" t="n">
        <f aca="false">BD408*M408</f>
        <v>15740.3</v>
      </c>
      <c r="BG408" s="35" t="n">
        <f aca="false">BA408-BF408</f>
        <v>0.700000000002547</v>
      </c>
      <c r="BH408" s="19" t="str">
        <f aca="false">IF(BG408=0,"",IF(BG408&lt;&gt;BA408,"erreur de calcul",IF(BD408&lt;&gt;0,"pas de prix",IF(M408&lt;&gt; 0,"pas de quantité","pas de prix, ni de quantité"))))</f>
        <v>erreur de calcul</v>
      </c>
      <c r="BI408" s="19"/>
    </row>
    <row r="409" customFormat="false" ht="16" hidden="false" customHeight="false" outlineLevel="0" collapsed="false">
      <c r="A409" s="0" t="n">
        <v>15</v>
      </c>
      <c r="B409" s="8" t="s">
        <v>24</v>
      </c>
      <c r="C409" s="9" t="s">
        <v>25</v>
      </c>
      <c r="D409" s="9" t="s">
        <v>26</v>
      </c>
      <c r="E409" s="10" t="n">
        <v>1789</v>
      </c>
      <c r="F409" s="9" t="s">
        <v>27</v>
      </c>
      <c r="G409" s="9" t="s">
        <v>27</v>
      </c>
      <c r="H409" s="11" t="n">
        <v>20</v>
      </c>
      <c r="I409" s="11" t="s">
        <v>131</v>
      </c>
      <c r="J409" s="14"/>
      <c r="K409" s="14" t="n">
        <v>55</v>
      </c>
      <c r="L409" s="16"/>
      <c r="M409" s="27" t="n">
        <f aca="false">J409+(K409/20)+(L409/240)</f>
        <v>2.75</v>
      </c>
      <c r="N409" s="17" t="s">
        <v>64</v>
      </c>
      <c r="O409" s="11" t="s">
        <v>34</v>
      </c>
      <c r="P409" s="28"/>
      <c r="Q409" s="28" t="n">
        <f aca="false">P409*$M409</f>
        <v>0</v>
      </c>
      <c r="R409" s="28"/>
      <c r="S409" s="28" t="n">
        <f aca="false">R409*$M409</f>
        <v>0</v>
      </c>
      <c r="T409" s="28"/>
      <c r="U409" s="28" t="n">
        <f aca="false">T409*$M409</f>
        <v>0</v>
      </c>
      <c r="V409" s="28"/>
      <c r="W409" s="28" t="n">
        <f aca="false">V409*$M409</f>
        <v>0</v>
      </c>
      <c r="X409" s="28" t="n">
        <f aca="false">3875617/100</f>
        <v>38756.17</v>
      </c>
      <c r="Y409" s="28" t="n">
        <v>106579</v>
      </c>
      <c r="Z409" s="28" t="n">
        <f aca="false">62500/100</f>
        <v>625</v>
      </c>
      <c r="AA409" s="28" t="n">
        <v>1719</v>
      </c>
      <c r="AB409" s="28" t="n">
        <f aca="false">360000/100</f>
        <v>3600</v>
      </c>
      <c r="AC409" s="28" t="n">
        <v>9900</v>
      </c>
      <c r="AD409" s="28"/>
      <c r="AE409" s="28" t="n">
        <f aca="false">AD409*$M409</f>
        <v>0</v>
      </c>
      <c r="AF409" s="28"/>
      <c r="AG409" s="28" t="n">
        <f aca="false">AF409*$M409</f>
        <v>0</v>
      </c>
      <c r="AH409" s="28"/>
      <c r="AI409" s="28" t="n">
        <f aca="false">AH409*$M409</f>
        <v>0</v>
      </c>
      <c r="AJ409" s="28"/>
      <c r="AK409" s="28" t="n">
        <f aca="false">AJ409*$M409</f>
        <v>0</v>
      </c>
      <c r="AL409" s="28"/>
      <c r="AM409" s="28" t="n">
        <f aca="false">AL409*$M409</f>
        <v>0</v>
      </c>
      <c r="AN409" s="28"/>
      <c r="AO409" s="28" t="n">
        <f aca="false">AN409*$M409</f>
        <v>0</v>
      </c>
      <c r="AP409" s="28"/>
      <c r="AQ409" s="28" t="n">
        <f aca="false">AP409*$M409</f>
        <v>0</v>
      </c>
      <c r="AR409" s="28"/>
      <c r="AS409" s="28" t="n">
        <f aca="false">AR409*$M409</f>
        <v>0</v>
      </c>
      <c r="AT409" s="28"/>
      <c r="AU409" s="28" t="n">
        <f aca="false">AT409*$M409</f>
        <v>0</v>
      </c>
      <c r="AV409" s="28"/>
      <c r="AW409" s="28" t="n">
        <f aca="false">AV409*$M409</f>
        <v>0</v>
      </c>
      <c r="AX409" s="28"/>
      <c r="AY409" s="28" t="n">
        <f aca="false">AX409*$M409</f>
        <v>0</v>
      </c>
      <c r="AZ409" s="30" t="n">
        <f aca="false">4298117/100</f>
        <v>42981.17</v>
      </c>
      <c r="BA409" s="11" t="n">
        <v>118198</v>
      </c>
      <c r="BB409" s="31" t="n">
        <f aca="false">SUM(Q409,S409,U409,W409,Y409,AA409,AC409,AE409,AG409,AI409,AK409,AM409,AO409,AQ409,AS409,AU409,AW409,AY409)</f>
        <v>118198</v>
      </c>
      <c r="BC409" s="28" t="n">
        <f aca="false">BA409-BB409</f>
        <v>0</v>
      </c>
      <c r="BD409" s="32" t="n">
        <f aca="false">SUM(P409,R409,T409,V409,X409,Z409,AB409,AD409,AF409,AH409,AJ409,AL409,AN409,AP409,AR409,AT409,AV409,AX409)</f>
        <v>42981.17</v>
      </c>
      <c r="BE409" s="33" t="n">
        <f aca="false">AZ409-BD409</f>
        <v>0</v>
      </c>
      <c r="BF409" s="34" t="n">
        <f aca="false">BD409*M409</f>
        <v>118198.2175</v>
      </c>
      <c r="BG409" s="35" t="n">
        <f aca="false">BA409-BF409</f>
        <v>-0.217499999998836</v>
      </c>
      <c r="BH409" s="19" t="str">
        <f aca="false">IF(BG409=0,"",IF(BG409&lt;&gt;BA409,"erreur de calcul",IF(BD409&lt;&gt;0,"pas de prix",IF(M409&lt;&gt; 0,"pas de quantité","pas de prix, ni de quantité"))))</f>
        <v>erreur de calcul</v>
      </c>
      <c r="BI409" s="19"/>
    </row>
    <row r="410" customFormat="false" ht="16" hidden="false" customHeight="false" outlineLevel="0" collapsed="false">
      <c r="A410" s="0" t="n">
        <v>16</v>
      </c>
      <c r="B410" s="8" t="s">
        <v>24</v>
      </c>
      <c r="C410" s="9" t="s">
        <v>25</v>
      </c>
      <c r="D410" s="9" t="s">
        <v>26</v>
      </c>
      <c r="E410" s="10" t="n">
        <v>1789</v>
      </c>
      <c r="F410" s="9" t="s">
        <v>27</v>
      </c>
      <c r="G410" s="9" t="s">
        <v>27</v>
      </c>
      <c r="H410" s="11" t="n">
        <v>20</v>
      </c>
      <c r="I410" s="11" t="s">
        <v>132</v>
      </c>
      <c r="J410" s="14"/>
      <c r="K410" s="14" t="n">
        <v>50</v>
      </c>
      <c r="L410" s="16"/>
      <c r="M410" s="27" t="n">
        <f aca="false">J410+(K410/20)+(L410/240)</f>
        <v>2.5</v>
      </c>
      <c r="N410" s="17" t="s">
        <v>64</v>
      </c>
      <c r="O410" s="11" t="s">
        <v>34</v>
      </c>
      <c r="P410" s="28"/>
      <c r="Q410" s="28" t="n">
        <f aca="false">P410*$M410</f>
        <v>0</v>
      </c>
      <c r="R410" s="28"/>
      <c r="S410" s="28" t="n">
        <f aca="false">R410*$M410</f>
        <v>0</v>
      </c>
      <c r="T410" s="28"/>
      <c r="U410" s="28" t="n">
        <f aca="false">T410*$M410</f>
        <v>0</v>
      </c>
      <c r="V410" s="28" t="n">
        <f aca="false">25000/100</f>
        <v>250</v>
      </c>
      <c r="W410" s="28" t="n">
        <v>625</v>
      </c>
      <c r="X410" s="28" t="n">
        <f aca="false">9335/100</f>
        <v>93.35</v>
      </c>
      <c r="Y410" s="28" t="n">
        <v>233</v>
      </c>
      <c r="Z410" s="28"/>
      <c r="AA410" s="28" t="n">
        <f aca="false">Z410*$M410</f>
        <v>0</v>
      </c>
      <c r="AB410" s="28"/>
      <c r="AC410" s="28" t="n">
        <f aca="false">AB410*$M410</f>
        <v>0</v>
      </c>
      <c r="AD410" s="28"/>
      <c r="AE410" s="28" t="n">
        <f aca="false">AD410*$M410</f>
        <v>0</v>
      </c>
      <c r="AF410" s="28"/>
      <c r="AG410" s="28" t="n">
        <f aca="false">AF410*$M410</f>
        <v>0</v>
      </c>
      <c r="AH410" s="28"/>
      <c r="AI410" s="28" t="n">
        <f aca="false">AH410*$M410</f>
        <v>0</v>
      </c>
      <c r="AJ410" s="28"/>
      <c r="AK410" s="28" t="n">
        <f aca="false">AJ410*$M410</f>
        <v>0</v>
      </c>
      <c r="AL410" s="28"/>
      <c r="AM410" s="28" t="n">
        <f aca="false">AL410*$M410</f>
        <v>0</v>
      </c>
      <c r="AN410" s="28"/>
      <c r="AO410" s="28" t="n">
        <f aca="false">AN410*$M410</f>
        <v>0</v>
      </c>
      <c r="AP410" s="28"/>
      <c r="AQ410" s="28" t="n">
        <f aca="false">AP410*$M410</f>
        <v>0</v>
      </c>
      <c r="AR410" s="28"/>
      <c r="AS410" s="28" t="n">
        <f aca="false">AR410*$M410</f>
        <v>0</v>
      </c>
      <c r="AT410" s="28"/>
      <c r="AU410" s="28" t="n">
        <f aca="false">AT410*$M410</f>
        <v>0</v>
      </c>
      <c r="AV410" s="28"/>
      <c r="AW410" s="28" t="n">
        <f aca="false">AV410*$M410</f>
        <v>0</v>
      </c>
      <c r="AX410" s="28"/>
      <c r="AY410" s="28" t="n">
        <f aca="false">AX410*$M410</f>
        <v>0</v>
      </c>
      <c r="AZ410" s="30" t="n">
        <f aca="false">34335/100</f>
        <v>343.35</v>
      </c>
      <c r="BA410" s="11" t="n">
        <v>858</v>
      </c>
      <c r="BB410" s="31" t="n">
        <f aca="false">SUM(Q410,S410,U410,W410,Y410,AA410,AC410,AE410,AG410,AI410,AK410,AM410,AO410,AQ410,AS410,AU410,AW410,AY410)</f>
        <v>858</v>
      </c>
      <c r="BC410" s="28" t="n">
        <f aca="false">BA410-BB410</f>
        <v>0</v>
      </c>
      <c r="BD410" s="32" t="n">
        <f aca="false">SUM(P410,R410,T410,V410,X410,Z410,AB410,AD410,AF410,AH410,AJ410,AL410,AN410,AP410,AR410,AT410,AV410,AX410)</f>
        <v>343.35</v>
      </c>
      <c r="BE410" s="33" t="n">
        <f aca="false">AZ410-BD410</f>
        <v>0</v>
      </c>
      <c r="BF410" s="34" t="n">
        <f aca="false">BD410*M410</f>
        <v>858.375</v>
      </c>
      <c r="BG410" s="35" t="n">
        <f aca="false">BA410-BF410</f>
        <v>-0.375</v>
      </c>
      <c r="BH410" s="19" t="str">
        <f aca="false">IF(BG410=0,"",IF(BG410&lt;&gt;BA410,"erreur de calcul",IF(BD410&lt;&gt;0,"pas de prix",IF(M410&lt;&gt; 0,"pas de quantité","pas de prix, ni de quantité"))))</f>
        <v>erreur de calcul</v>
      </c>
      <c r="BI410" s="19"/>
    </row>
    <row r="411" customFormat="false" ht="16" hidden="false" customHeight="false" outlineLevel="0" collapsed="false">
      <c r="A411" s="0" t="n">
        <v>17</v>
      </c>
      <c r="B411" s="8" t="s">
        <v>24</v>
      </c>
      <c r="C411" s="9" t="s">
        <v>25</v>
      </c>
      <c r="D411" s="9" t="s">
        <v>26</v>
      </c>
      <c r="E411" s="10" t="n">
        <v>1789</v>
      </c>
      <c r="F411" s="9" t="s">
        <v>27</v>
      </c>
      <c r="G411" s="9" t="s">
        <v>27</v>
      </c>
      <c r="H411" s="11" t="n">
        <v>20</v>
      </c>
      <c r="I411" s="11" t="s">
        <v>133</v>
      </c>
      <c r="J411" s="14" t="n">
        <v>175</v>
      </c>
      <c r="K411" s="14"/>
      <c r="L411" s="16"/>
      <c r="M411" s="27" t="n">
        <f aca="false">J411+(K411/20)+(L411/240)</f>
        <v>175</v>
      </c>
      <c r="N411" s="17" t="s">
        <v>64</v>
      </c>
      <c r="O411" s="11" t="s">
        <v>34</v>
      </c>
      <c r="P411" s="28" t="n">
        <f aca="false">84/100</f>
        <v>0.84</v>
      </c>
      <c r="Q411" s="28" t="n">
        <v>147</v>
      </c>
      <c r="R411" s="28"/>
      <c r="S411" s="28" t="n">
        <f aca="false">R411*$M411</f>
        <v>0</v>
      </c>
      <c r="T411" s="28"/>
      <c r="U411" s="28" t="n">
        <f aca="false">T411*$M411</f>
        <v>0</v>
      </c>
      <c r="V411" s="28" t="n">
        <f aca="false">124/100</f>
        <v>1.24</v>
      </c>
      <c r="W411" s="28" t="n">
        <v>217</v>
      </c>
      <c r="X411" s="28" t="n">
        <f aca="false">6034/100</f>
        <v>60.34</v>
      </c>
      <c r="Y411" s="28" t="n">
        <v>10559</v>
      </c>
      <c r="Z411" s="28" t="n">
        <f aca="false">147/100</f>
        <v>1.47</v>
      </c>
      <c r="AA411" s="28" t="n">
        <v>257</v>
      </c>
      <c r="AB411" s="28" t="n">
        <f aca="false">195/100</f>
        <v>1.95</v>
      </c>
      <c r="AC411" s="28" t="n">
        <v>341</v>
      </c>
      <c r="AD411" s="28"/>
      <c r="AE411" s="28" t="n">
        <f aca="false">AD411*$M411</f>
        <v>0</v>
      </c>
      <c r="AF411" s="28"/>
      <c r="AG411" s="28" t="n">
        <f aca="false">AF411*$M411</f>
        <v>0</v>
      </c>
      <c r="AH411" s="28"/>
      <c r="AI411" s="28" t="n">
        <f aca="false">AH411*$M411</f>
        <v>0</v>
      </c>
      <c r="AJ411" s="28"/>
      <c r="AK411" s="28" t="n">
        <f aca="false">AJ411*$M411</f>
        <v>0</v>
      </c>
      <c r="AL411" s="28"/>
      <c r="AM411" s="28" t="n">
        <f aca="false">AL411*$M411</f>
        <v>0</v>
      </c>
      <c r="AN411" s="28"/>
      <c r="AO411" s="28" t="n">
        <f aca="false">AN411*$M411</f>
        <v>0</v>
      </c>
      <c r="AP411" s="28"/>
      <c r="AQ411" s="28" t="n">
        <f aca="false">AP411*$M411</f>
        <v>0</v>
      </c>
      <c r="AR411" s="28"/>
      <c r="AS411" s="28" t="n">
        <f aca="false">AR411*$M411</f>
        <v>0</v>
      </c>
      <c r="AT411" s="28"/>
      <c r="AU411" s="28" t="n">
        <f aca="false">AT411*$M411</f>
        <v>0</v>
      </c>
      <c r="AV411" s="28"/>
      <c r="AW411" s="28" t="n">
        <f aca="false">AV411*$M411</f>
        <v>0</v>
      </c>
      <c r="AX411" s="28"/>
      <c r="AY411" s="28" t="n">
        <f aca="false">AX411*$M411</f>
        <v>0</v>
      </c>
      <c r="AZ411" s="30" t="n">
        <f aca="false">6584/100</f>
        <v>65.84</v>
      </c>
      <c r="BA411" s="11" t="n">
        <v>11521</v>
      </c>
      <c r="BB411" s="31" t="n">
        <f aca="false">SUM(Q411,S411,U411,W411,Y411,AA411,AC411,AE411,AG411,AI411,AK411,AM411,AO411,AQ411,AS411,AU411,AW411,AY411)</f>
        <v>11521</v>
      </c>
      <c r="BC411" s="28" t="n">
        <f aca="false">BA411-BB411</f>
        <v>0</v>
      </c>
      <c r="BD411" s="32" t="n">
        <f aca="false">SUM(P411,R411,T411,V411,X411,Z411,AB411,AD411,AF411,AH411,AJ411,AL411,AN411,AP411,AR411,AT411,AV411,AX411)</f>
        <v>65.84</v>
      </c>
      <c r="BE411" s="33" t="n">
        <f aca="false">AZ411-BD411</f>
        <v>0</v>
      </c>
      <c r="BF411" s="34" t="n">
        <f aca="false">BD411*M411</f>
        <v>11522</v>
      </c>
      <c r="BG411" s="35" t="n">
        <f aca="false">BA411-BF411</f>
        <v>-1</v>
      </c>
      <c r="BH411" s="19" t="str">
        <f aca="false">IF(BG411=0,"",IF(BG411&lt;&gt;BA411,"erreur de calcul",IF(BD411&lt;&gt;0,"pas de prix",IF(M411&lt;&gt; 0,"pas de quantité","pas de prix, ni de quantité"))))</f>
        <v>erreur de calcul</v>
      </c>
      <c r="BI411" s="19"/>
    </row>
    <row r="412" customFormat="false" ht="16" hidden="false" customHeight="false" outlineLevel="0" collapsed="false">
      <c r="A412" s="0" t="n">
        <v>18</v>
      </c>
      <c r="B412" s="8" t="s">
        <v>24</v>
      </c>
      <c r="C412" s="9" t="s">
        <v>25</v>
      </c>
      <c r="D412" s="9" t="s">
        <v>26</v>
      </c>
      <c r="E412" s="10" t="n">
        <v>1789</v>
      </c>
      <c r="F412" s="9" t="s">
        <v>27</v>
      </c>
      <c r="G412" s="9" t="s">
        <v>27</v>
      </c>
      <c r="H412" s="11" t="n">
        <v>20</v>
      </c>
      <c r="I412" s="11" t="s">
        <v>134</v>
      </c>
      <c r="J412" s="14" t="n">
        <v>210</v>
      </c>
      <c r="K412" s="14"/>
      <c r="L412" s="16"/>
      <c r="M412" s="27" t="n">
        <f aca="false">J412+(K412/20)+(L412/240)</f>
        <v>210</v>
      </c>
      <c r="N412" s="17" t="s">
        <v>64</v>
      </c>
      <c r="O412" s="11" t="s">
        <v>34</v>
      </c>
      <c r="P412" s="28"/>
      <c r="Q412" s="28" t="n">
        <f aca="false">P412*$M412</f>
        <v>0</v>
      </c>
      <c r="R412" s="28"/>
      <c r="S412" s="28" t="n">
        <f aca="false">R412*$M412</f>
        <v>0</v>
      </c>
      <c r="T412" s="28"/>
      <c r="U412" s="28" t="n">
        <f aca="false">T412*$M412</f>
        <v>0</v>
      </c>
      <c r="V412" s="28" t="n">
        <f aca="false">869/100</f>
        <v>8.69</v>
      </c>
      <c r="W412" s="28" t="n">
        <v>1825</v>
      </c>
      <c r="X412" s="28"/>
      <c r="Y412" s="28" t="n">
        <f aca="false">X412*$M412</f>
        <v>0</v>
      </c>
      <c r="Z412" s="28"/>
      <c r="AA412" s="28" t="n">
        <f aca="false">Z412*$M412</f>
        <v>0</v>
      </c>
      <c r="AB412" s="28"/>
      <c r="AC412" s="28" t="n">
        <f aca="false">AB412*$M412</f>
        <v>0</v>
      </c>
      <c r="AD412" s="28"/>
      <c r="AE412" s="28" t="n">
        <f aca="false">AD412*$M412</f>
        <v>0</v>
      </c>
      <c r="AF412" s="28"/>
      <c r="AG412" s="28" t="n">
        <f aca="false">AF412*$M412</f>
        <v>0</v>
      </c>
      <c r="AH412" s="28"/>
      <c r="AI412" s="28" t="n">
        <f aca="false">AH412*$M412</f>
        <v>0</v>
      </c>
      <c r="AJ412" s="28"/>
      <c r="AK412" s="28" t="n">
        <f aca="false">AJ412*$M412</f>
        <v>0</v>
      </c>
      <c r="AL412" s="28"/>
      <c r="AM412" s="28" t="n">
        <f aca="false">AL412*$M412</f>
        <v>0</v>
      </c>
      <c r="AN412" s="28"/>
      <c r="AO412" s="28" t="n">
        <f aca="false">AN412*$M412</f>
        <v>0</v>
      </c>
      <c r="AP412" s="28"/>
      <c r="AQ412" s="28" t="n">
        <f aca="false">AP412*$M412</f>
        <v>0</v>
      </c>
      <c r="AR412" s="28"/>
      <c r="AS412" s="28" t="n">
        <f aca="false">AR412*$M412</f>
        <v>0</v>
      </c>
      <c r="AT412" s="28"/>
      <c r="AU412" s="28" t="n">
        <f aca="false">AT412*$M412</f>
        <v>0</v>
      </c>
      <c r="AV412" s="28"/>
      <c r="AW412" s="28" t="n">
        <f aca="false">AV412*$M412</f>
        <v>0</v>
      </c>
      <c r="AX412" s="28"/>
      <c r="AY412" s="28" t="n">
        <f aca="false">AX412*$M412</f>
        <v>0</v>
      </c>
      <c r="AZ412" s="30" t="n">
        <f aca="false">869/100</f>
        <v>8.69</v>
      </c>
      <c r="BA412" s="11" t="n">
        <v>1825</v>
      </c>
      <c r="BB412" s="31" t="n">
        <f aca="false">SUM(Q412,S412,U412,W412,Y412,AA412,AC412,AE412,AG412,AI412,AK412,AM412,AO412,AQ412,AS412,AU412,AW412,AY412)</f>
        <v>1825</v>
      </c>
      <c r="BC412" s="28" t="n">
        <f aca="false">BA412-BB412</f>
        <v>0</v>
      </c>
      <c r="BD412" s="32" t="n">
        <f aca="false">SUM(P412,R412,T412,V412,X412,Z412,AB412,AD412,AF412,AH412,AJ412,AL412,AN412,AP412,AR412,AT412,AV412,AX412)</f>
        <v>8.69</v>
      </c>
      <c r="BE412" s="33" t="n">
        <f aca="false">AZ412-BD412</f>
        <v>0</v>
      </c>
      <c r="BF412" s="34" t="n">
        <f aca="false">BD412*M412</f>
        <v>1824.9</v>
      </c>
      <c r="BG412" s="35" t="n">
        <f aca="false">BA412-BF412</f>
        <v>0.100000000000136</v>
      </c>
      <c r="BH412" s="19" t="str">
        <f aca="false">IF(BG412=0,"",IF(BG412&lt;&gt;BA412,"erreur de calcul",IF(BD412&lt;&gt;0,"pas de prix",IF(M412&lt;&gt; 0,"pas de quantité","pas de prix, ni de quantité"))))</f>
        <v>erreur de calcul</v>
      </c>
      <c r="BI412" s="19"/>
    </row>
    <row r="413" customFormat="false" ht="16" hidden="false" customHeight="false" outlineLevel="0" collapsed="false">
      <c r="A413" s="0" t="n">
        <v>19</v>
      </c>
      <c r="B413" s="8" t="s">
        <v>24</v>
      </c>
      <c r="C413" s="9" t="s">
        <v>25</v>
      </c>
      <c r="D413" s="9" t="s">
        <v>26</v>
      </c>
      <c r="E413" s="10" t="n">
        <v>1789</v>
      </c>
      <c r="F413" s="9" t="s">
        <v>27</v>
      </c>
      <c r="G413" s="9" t="s">
        <v>27</v>
      </c>
      <c r="H413" s="11" t="n">
        <v>20</v>
      </c>
      <c r="I413" s="11" t="s">
        <v>135</v>
      </c>
      <c r="J413" s="14" t="n">
        <v>170</v>
      </c>
      <c r="K413" s="14"/>
      <c r="L413" s="16"/>
      <c r="M413" s="27" t="n">
        <f aca="false">J413+(K413/20)+(L413/240)</f>
        <v>170</v>
      </c>
      <c r="N413" s="17" t="s">
        <v>64</v>
      </c>
      <c r="O413" s="11" t="s">
        <v>34</v>
      </c>
      <c r="P413" s="28"/>
      <c r="Q413" s="28" t="n">
        <f aca="false">P413*$M413</f>
        <v>0</v>
      </c>
      <c r="R413" s="28"/>
      <c r="S413" s="28" t="n">
        <f aca="false">R413*$M413</f>
        <v>0</v>
      </c>
      <c r="T413" s="28"/>
      <c r="U413" s="28" t="n">
        <f aca="false">T413*$M413</f>
        <v>0</v>
      </c>
      <c r="V413" s="28"/>
      <c r="W413" s="28" t="n">
        <f aca="false">V413*$M413</f>
        <v>0</v>
      </c>
      <c r="X413" s="28"/>
      <c r="Y413" s="28" t="n">
        <f aca="false">X413*$M413</f>
        <v>0</v>
      </c>
      <c r="Z413" s="28"/>
      <c r="AA413" s="28" t="n">
        <f aca="false">Z413*$M413</f>
        <v>0</v>
      </c>
      <c r="AB413" s="28"/>
      <c r="AC413" s="28" t="n">
        <f aca="false">AB413*$M413</f>
        <v>0</v>
      </c>
      <c r="AD413" s="28"/>
      <c r="AE413" s="28" t="n">
        <f aca="false">AD413*$M413</f>
        <v>0</v>
      </c>
      <c r="AF413" s="28" t="n">
        <f aca="false">229459/100</f>
        <v>2294.59</v>
      </c>
      <c r="AG413" s="28" t="n">
        <v>390080</v>
      </c>
      <c r="AH413" s="28" t="n">
        <f aca="false">202301/100</f>
        <v>2023.01</v>
      </c>
      <c r="AI413" s="28" t="n">
        <v>343912</v>
      </c>
      <c r="AJ413" s="28"/>
      <c r="AK413" s="28" t="n">
        <f aca="false">AJ413*$M413</f>
        <v>0</v>
      </c>
      <c r="AL413" s="28"/>
      <c r="AM413" s="28" t="n">
        <f aca="false">AL413*$M413</f>
        <v>0</v>
      </c>
      <c r="AN413" s="28"/>
      <c r="AO413" s="28" t="n">
        <f aca="false">AN413*$M413</f>
        <v>0</v>
      </c>
      <c r="AP413" s="28"/>
      <c r="AQ413" s="28" t="n">
        <f aca="false">AP413*$M413</f>
        <v>0</v>
      </c>
      <c r="AR413" s="28"/>
      <c r="AS413" s="28" t="n">
        <f aca="false">AR413*$M413</f>
        <v>0</v>
      </c>
      <c r="AT413" s="28"/>
      <c r="AU413" s="28" t="n">
        <f aca="false">AT413*$M413</f>
        <v>0</v>
      </c>
      <c r="AV413" s="28"/>
      <c r="AW413" s="28" t="n">
        <f aca="false">AV413*$M413</f>
        <v>0</v>
      </c>
      <c r="AX413" s="28" t="n">
        <f aca="false">2736/100</f>
        <v>27.36</v>
      </c>
      <c r="AY413" s="28" t="n">
        <v>4651</v>
      </c>
      <c r="AZ413" s="30" t="n">
        <f aca="false">434496/100</f>
        <v>4344.96</v>
      </c>
      <c r="BA413" s="11" t="n">
        <v>738643</v>
      </c>
      <c r="BB413" s="31" t="n">
        <f aca="false">SUM(Q413,S413,U413,W413,Y413,AA413,AC413,AE413,AG413,AI413,AK413,AM413,AO413,AQ413,AS413,AU413,AW413,AY413)</f>
        <v>738643</v>
      </c>
      <c r="BC413" s="28" t="n">
        <f aca="false">BA413-BB413</f>
        <v>0</v>
      </c>
      <c r="BD413" s="32" t="n">
        <f aca="false">SUM(P413,R413,T413,V413,X413,Z413,AB413,AD413,AF413,AH413,AJ413,AL413,AN413,AP413,AR413,AT413,AV413,AX413)</f>
        <v>4344.96</v>
      </c>
      <c r="BE413" s="33" t="n">
        <f aca="false">AZ413-BD413</f>
        <v>0</v>
      </c>
      <c r="BF413" s="34" t="n">
        <f aca="false">BD413*M413</f>
        <v>738643.2</v>
      </c>
      <c r="BG413" s="35" t="n">
        <f aca="false">BA413-BF413</f>
        <v>-0.199999999953434</v>
      </c>
      <c r="BH413" s="19" t="str">
        <f aca="false">IF(BG413=0,"",IF(BG413&lt;&gt;BA413,"erreur de calcul",IF(BD413&lt;&gt;0,"pas de prix",IF(M413&lt;&gt; 0,"pas de quantité","pas de prix, ni de quantité"))))</f>
        <v>erreur de calcul</v>
      </c>
      <c r="BI413" s="19"/>
    </row>
    <row r="414" customFormat="false" ht="16" hidden="false" customHeight="false" outlineLevel="0" collapsed="false">
      <c r="A414" s="0" t="n">
        <v>20</v>
      </c>
      <c r="B414" s="8" t="s">
        <v>24</v>
      </c>
      <c r="C414" s="9" t="s">
        <v>25</v>
      </c>
      <c r="D414" s="9" t="s">
        <v>26</v>
      </c>
      <c r="E414" s="10" t="n">
        <v>1789</v>
      </c>
      <c r="F414" s="9" t="s">
        <v>27</v>
      </c>
      <c r="G414" s="9" t="s">
        <v>27</v>
      </c>
      <c r="H414" s="11" t="n">
        <v>20</v>
      </c>
      <c r="I414" s="11" t="s">
        <v>136</v>
      </c>
      <c r="J414" s="14" t="n">
        <v>41</v>
      </c>
      <c r="K414" s="14"/>
      <c r="L414" s="16"/>
      <c r="M414" s="27" t="n">
        <f aca="false">J414+(K414/20)+(L414/240)</f>
        <v>41</v>
      </c>
      <c r="N414" s="17" t="s">
        <v>64</v>
      </c>
      <c r="O414" s="11"/>
      <c r="P414" s="28" t="n">
        <f aca="false">1210/100</f>
        <v>12.1</v>
      </c>
      <c r="Q414" s="28" t="n">
        <v>496</v>
      </c>
      <c r="R414" s="28"/>
      <c r="S414" s="28" t="n">
        <f aca="false">R414*$M414</f>
        <v>0</v>
      </c>
      <c r="T414" s="28"/>
      <c r="U414" s="28" t="n">
        <f aca="false">T414*$M414</f>
        <v>0</v>
      </c>
      <c r="V414" s="28"/>
      <c r="W414" s="28" t="n">
        <f aca="false">V414*$M414</f>
        <v>0</v>
      </c>
      <c r="X414" s="28"/>
      <c r="Y414" s="28" t="n">
        <f aca="false">X414*$M414</f>
        <v>0</v>
      </c>
      <c r="Z414" s="28"/>
      <c r="AA414" s="28" t="n">
        <f aca="false">Z414*$M414</f>
        <v>0</v>
      </c>
      <c r="AB414" s="28"/>
      <c r="AC414" s="28" t="n">
        <f aca="false">AB414*$M414</f>
        <v>0</v>
      </c>
      <c r="AD414" s="28"/>
      <c r="AE414" s="28" t="n">
        <f aca="false">AD414*$M414</f>
        <v>0</v>
      </c>
      <c r="AF414" s="28"/>
      <c r="AG414" s="28" t="n">
        <f aca="false">AF414*$M414</f>
        <v>0</v>
      </c>
      <c r="AH414" s="28"/>
      <c r="AI414" s="28" t="n">
        <f aca="false">AH414*$M414</f>
        <v>0</v>
      </c>
      <c r="AJ414" s="28" t="n">
        <f aca="false">85034/100</f>
        <v>850.34</v>
      </c>
      <c r="AK414" s="28" t="n">
        <v>34864</v>
      </c>
      <c r="AL414" s="28" t="n">
        <f aca="false">1024/100</f>
        <v>10.24</v>
      </c>
      <c r="AM414" s="28" t="n">
        <v>420</v>
      </c>
      <c r="AN414" s="28"/>
      <c r="AO414" s="28" t="n">
        <f aca="false">AN414*$M414</f>
        <v>0</v>
      </c>
      <c r="AP414" s="28"/>
      <c r="AQ414" s="28" t="n">
        <f aca="false">AP414*$M414</f>
        <v>0</v>
      </c>
      <c r="AR414" s="28"/>
      <c r="AS414" s="28" t="n">
        <f aca="false">AR414*$M414</f>
        <v>0</v>
      </c>
      <c r="AT414" s="28"/>
      <c r="AU414" s="28" t="n">
        <f aca="false">AT414*$M414</f>
        <v>0</v>
      </c>
      <c r="AV414" s="28"/>
      <c r="AW414" s="28" t="n">
        <f aca="false">AV414*$M414</f>
        <v>0</v>
      </c>
      <c r="AX414" s="28"/>
      <c r="AY414" s="28" t="n">
        <f aca="false">AX414*$M414</f>
        <v>0</v>
      </c>
      <c r="AZ414" s="30" t="n">
        <f aca="false">87268/100</f>
        <v>872.68</v>
      </c>
      <c r="BA414" s="11" t="n">
        <v>35780</v>
      </c>
      <c r="BB414" s="31" t="n">
        <f aca="false">SUM(Q414,S414,U414,W414,Y414,AA414,AC414,AE414,AG414,AI414,AK414,AM414,AO414,AQ414,AS414,AU414,AW414,AY414)</f>
        <v>35780</v>
      </c>
      <c r="BC414" s="28" t="n">
        <f aca="false">BA414-BB414</f>
        <v>0</v>
      </c>
      <c r="BD414" s="32" t="n">
        <f aca="false">SUM(P414,R414,T414,V414,X414,Z414,AB414,AD414,AF414,AH414,AJ414,AL414,AN414,AP414,AR414,AT414,AV414,AX414)</f>
        <v>872.68</v>
      </c>
      <c r="BE414" s="33" t="n">
        <f aca="false">AZ414-BD414</f>
        <v>0</v>
      </c>
      <c r="BF414" s="34" t="n">
        <f aca="false">BD414*M414</f>
        <v>35779.88</v>
      </c>
      <c r="BG414" s="35" t="n">
        <f aca="false">BA414-BF414</f>
        <v>0.119999999995343</v>
      </c>
      <c r="BH414" s="19" t="str">
        <f aca="false">IF(BG414=0,"",IF(BG414&lt;&gt;BA414,"erreur de calcul",IF(BD414&lt;&gt;0,"pas de prix",IF(M414&lt;&gt; 0,"pas de quantité","pas de prix, ni de quantité"))))</f>
        <v>erreur de calcul</v>
      </c>
      <c r="BI414" s="19"/>
    </row>
    <row r="415" customFormat="false" ht="16" hidden="false" customHeight="false" outlineLevel="0" collapsed="false">
      <c r="A415" s="0" t="n">
        <v>21</v>
      </c>
      <c r="B415" s="8" t="s">
        <v>24</v>
      </c>
      <c r="C415" s="9" t="s">
        <v>25</v>
      </c>
      <c r="D415" s="9" t="s">
        <v>26</v>
      </c>
      <c r="E415" s="10" t="n">
        <v>1789</v>
      </c>
      <c r="F415" s="9" t="s">
        <v>27</v>
      </c>
      <c r="G415" s="9" t="s">
        <v>27</v>
      </c>
      <c r="H415" s="11" t="n">
        <v>20</v>
      </c>
      <c r="I415" s="11" t="s">
        <v>137</v>
      </c>
      <c r="J415" s="14"/>
      <c r="K415" s="14"/>
      <c r="L415" s="16"/>
      <c r="M415" s="27" t="n">
        <f aca="false">J415+(K415/20)+(L415/240)</f>
        <v>0</v>
      </c>
      <c r="N415" s="39" t="s">
        <v>138</v>
      </c>
      <c r="O415" s="11"/>
      <c r="P415" s="28" t="n">
        <v>337</v>
      </c>
      <c r="Q415" s="28" t="n">
        <v>6250</v>
      </c>
      <c r="R415" s="28"/>
      <c r="S415" s="28" t="n">
        <f aca="false">R415*$M415</f>
        <v>0</v>
      </c>
      <c r="T415" s="28"/>
      <c r="U415" s="28" t="n">
        <f aca="false">T415*$M415</f>
        <v>0</v>
      </c>
      <c r="V415" s="28" t="n">
        <v>760</v>
      </c>
      <c r="W415" s="28" t="n">
        <v>18259</v>
      </c>
      <c r="X415" s="28"/>
      <c r="Y415" s="28" t="n">
        <f aca="false">X415*$M415</f>
        <v>0</v>
      </c>
      <c r="Z415" s="28"/>
      <c r="AA415" s="28" t="n">
        <f aca="false">Z415*$M415</f>
        <v>0</v>
      </c>
      <c r="AB415" s="28"/>
      <c r="AC415" s="28" t="n">
        <f aca="false">AB415*$M415</f>
        <v>0</v>
      </c>
      <c r="AD415" s="28"/>
      <c r="AE415" s="28" t="n">
        <f aca="false">AD415*$M415</f>
        <v>0</v>
      </c>
      <c r="AF415" s="28"/>
      <c r="AG415" s="28" t="n">
        <f aca="false">AF415*$M415</f>
        <v>0</v>
      </c>
      <c r="AH415" s="28"/>
      <c r="AI415" s="28" t="n">
        <f aca="false">AH415*$M415</f>
        <v>0</v>
      </c>
      <c r="AJ415" s="28"/>
      <c r="AK415" s="28" t="n">
        <f aca="false">AJ415*$M415</f>
        <v>0</v>
      </c>
      <c r="AL415" s="28"/>
      <c r="AM415" s="28" t="n">
        <f aca="false">AL415*$M415</f>
        <v>0</v>
      </c>
      <c r="AN415" s="28"/>
      <c r="AO415" s="28" t="n">
        <f aca="false">AN415*$M415</f>
        <v>0</v>
      </c>
      <c r="AP415" s="28"/>
      <c r="AQ415" s="28" t="n">
        <f aca="false">AP415*$M415</f>
        <v>0</v>
      </c>
      <c r="AR415" s="28"/>
      <c r="AS415" s="28" t="n">
        <f aca="false">AR415*$M415</f>
        <v>0</v>
      </c>
      <c r="AT415" s="28"/>
      <c r="AU415" s="28" t="n">
        <f aca="false">AT415*$M415</f>
        <v>0</v>
      </c>
      <c r="AV415" s="28"/>
      <c r="AW415" s="28" t="n">
        <f aca="false">AV415*$M415</f>
        <v>0</v>
      </c>
      <c r="AX415" s="28"/>
      <c r="AY415" s="28" t="n">
        <f aca="false">AX415*$M415</f>
        <v>0</v>
      </c>
      <c r="AZ415" s="30" t="n">
        <f aca="false">1097</f>
        <v>1097</v>
      </c>
      <c r="BA415" s="11" t="n">
        <v>24509</v>
      </c>
      <c r="BB415" s="31" t="n">
        <f aca="false">SUM(Q415,S415,U415,W415,Y415,AA415,AC415,AE415,AG415,AI415,AK415,AM415,AO415,AQ415,AS415,AU415,AW415,AY415)</f>
        <v>24509</v>
      </c>
      <c r="BC415" s="28" t="n">
        <f aca="false">BA415-BB415</f>
        <v>0</v>
      </c>
      <c r="BD415" s="32" t="n">
        <f aca="false">SUM(P415,R415,T415,V415,X415,Z415,AB415,AD415,AF415,AH415,AJ415,AL415,AN415,AP415,AR415,AT415,AV415,AX415)</f>
        <v>1097</v>
      </c>
      <c r="BE415" s="33" t="n">
        <f aca="false">AZ415-BD415</f>
        <v>0</v>
      </c>
      <c r="BF415" s="34" t="n">
        <f aca="false">BD415*M415</f>
        <v>0</v>
      </c>
      <c r="BG415" s="35" t="n">
        <f aca="false">BA415-BF415</f>
        <v>24509</v>
      </c>
      <c r="BH415" s="19" t="str">
        <f aca="false">IF(BG415=0,"",IF(BG415&lt;&gt;BA415,"erreur de calcul",IF(BD415&lt;&gt;0,"pas de prix",IF(M415&lt;&gt; 0,"pas de quantité","pas de prix, ni de quantité"))))</f>
        <v>pas de prix</v>
      </c>
      <c r="BI415" s="19" t="s">
        <v>139</v>
      </c>
    </row>
    <row r="416" customFormat="false" ht="16" hidden="false" customHeight="false" outlineLevel="0" collapsed="false">
      <c r="A416" s="0" t="n">
        <v>22</v>
      </c>
      <c r="B416" s="8" t="s">
        <v>24</v>
      </c>
      <c r="C416" s="9" t="s">
        <v>25</v>
      </c>
      <c r="D416" s="9" t="s">
        <v>26</v>
      </c>
      <c r="E416" s="10" t="n">
        <v>1789</v>
      </c>
      <c r="F416" s="9" t="s">
        <v>27</v>
      </c>
      <c r="G416" s="9" t="s">
        <v>27</v>
      </c>
      <c r="H416" s="11" t="n">
        <v>20</v>
      </c>
      <c r="I416" s="11" t="s">
        <v>140</v>
      </c>
      <c r="J416" s="14" t="n">
        <v>28</v>
      </c>
      <c r="K416" s="14"/>
      <c r="L416" s="16"/>
      <c r="M416" s="27" t="n">
        <f aca="false">J416+(K416/20)+(L416/240)</f>
        <v>28</v>
      </c>
      <c r="N416" s="17" t="s">
        <v>64</v>
      </c>
      <c r="O416" s="11"/>
      <c r="P416" s="28"/>
      <c r="Q416" s="28" t="n">
        <f aca="false">P416*$M416</f>
        <v>0</v>
      </c>
      <c r="R416" s="28"/>
      <c r="S416" s="28" t="n">
        <f aca="false">R416*$M416</f>
        <v>0</v>
      </c>
      <c r="T416" s="28"/>
      <c r="U416" s="28" t="n">
        <f aca="false">T416*$M416</f>
        <v>0</v>
      </c>
      <c r="V416" s="28"/>
      <c r="W416" s="28" t="n">
        <f aca="false">V416*$M416</f>
        <v>0</v>
      </c>
      <c r="X416" s="28" t="n">
        <f aca="false">2572/100</f>
        <v>25.72</v>
      </c>
      <c r="Y416" s="28" t="n">
        <v>720</v>
      </c>
      <c r="Z416" s="28"/>
      <c r="AA416" s="28" t="n">
        <f aca="false">Z416*$M416</f>
        <v>0</v>
      </c>
      <c r="AB416" s="28"/>
      <c r="AC416" s="28" t="n">
        <f aca="false">AB416*$M416</f>
        <v>0</v>
      </c>
      <c r="AD416" s="28"/>
      <c r="AE416" s="28" t="n">
        <f aca="false">AD416*$M416</f>
        <v>0</v>
      </c>
      <c r="AF416" s="28" t="n">
        <f aca="false">3367/100</f>
        <v>33.67</v>
      </c>
      <c r="AG416" s="36" t="n">
        <v>915</v>
      </c>
      <c r="AH416" s="28"/>
      <c r="AI416" s="28" t="n">
        <f aca="false">AH416*$M416</f>
        <v>0</v>
      </c>
      <c r="AJ416" s="28"/>
      <c r="AK416" s="28" t="n">
        <f aca="false">AJ416*$M416</f>
        <v>0</v>
      </c>
      <c r="AL416" s="28"/>
      <c r="AM416" s="28" t="n">
        <f aca="false">AL416*$M416</f>
        <v>0</v>
      </c>
      <c r="AN416" s="28"/>
      <c r="AO416" s="28" t="n">
        <f aca="false">AN416*$M416</f>
        <v>0</v>
      </c>
      <c r="AP416" s="28"/>
      <c r="AQ416" s="28" t="n">
        <f aca="false">AP416*$M416</f>
        <v>0</v>
      </c>
      <c r="AR416" s="28"/>
      <c r="AS416" s="28" t="n">
        <f aca="false">AR416*$M416</f>
        <v>0</v>
      </c>
      <c r="AT416" s="28"/>
      <c r="AU416" s="28" t="n">
        <f aca="false">AT416*$M416</f>
        <v>0</v>
      </c>
      <c r="AV416" s="28"/>
      <c r="AW416" s="28" t="n">
        <f aca="false">AV416*$M416</f>
        <v>0</v>
      </c>
      <c r="AX416" s="28"/>
      <c r="AY416" s="28" t="n">
        <f aca="false">AX416*$M416</f>
        <v>0</v>
      </c>
      <c r="AZ416" s="30" t="n">
        <f aca="false">5939/100</f>
        <v>59.39</v>
      </c>
      <c r="BA416" s="11" t="n">
        <v>1635</v>
      </c>
      <c r="BB416" s="31" t="n">
        <f aca="false">SUM(Q416,S416,U416,W416,Y416,AA416,AC416,AE416,AG416,AI416,AK416,AM416,AO416,AQ416,AS416,AU416,AW416,AY416)</f>
        <v>1635</v>
      </c>
      <c r="BC416" s="28" t="n">
        <f aca="false">BA416-BB416</f>
        <v>0</v>
      </c>
      <c r="BD416" s="32" t="n">
        <f aca="false">SUM(P416,R416,T416,V416,X416,Z416,AB416,AD416,AF416,AH416,AJ416,AL416,AN416,AP416,AR416,AT416,AV416,AX416)</f>
        <v>59.39</v>
      </c>
      <c r="BE416" s="33" t="n">
        <f aca="false">AZ416-BD416</f>
        <v>0</v>
      </c>
      <c r="BF416" s="34" t="n">
        <f aca="false">BD416*M416</f>
        <v>1662.92</v>
      </c>
      <c r="BG416" s="35" t="n">
        <f aca="false">BA416-BF416</f>
        <v>-27.9200000000001</v>
      </c>
      <c r="BH416" s="19" t="str">
        <f aca="false">IF(BG416=0,"",IF(BG416&lt;&gt;BA416,"erreur de calcul",IF(BD416&lt;&gt;0,"pas de prix",IF(M416&lt;&gt; 0,"pas de quantité","pas de prix, ni de quantité"))))</f>
        <v>erreur de calcul</v>
      </c>
      <c r="BI416" s="19"/>
    </row>
    <row r="417" customFormat="false" ht="16" hidden="false" customHeight="false" outlineLevel="0" collapsed="false">
      <c r="A417" s="0" t="n">
        <v>23</v>
      </c>
      <c r="B417" s="8" t="s">
        <v>24</v>
      </c>
      <c r="C417" s="9" t="s">
        <v>25</v>
      </c>
      <c r="D417" s="9" t="s">
        <v>26</v>
      </c>
      <c r="E417" s="10" t="n">
        <v>1789</v>
      </c>
      <c r="F417" s="9" t="s">
        <v>27</v>
      </c>
      <c r="G417" s="9" t="s">
        <v>27</v>
      </c>
      <c r="H417" s="11" t="n">
        <v>20</v>
      </c>
      <c r="I417" s="11" t="s">
        <v>141</v>
      </c>
      <c r="J417" s="14" t="n">
        <v>50</v>
      </c>
      <c r="K417" s="14"/>
      <c r="L417" s="16"/>
      <c r="M417" s="27" t="n">
        <f aca="false">J417+(K417/20)+(L417/240)</f>
        <v>50</v>
      </c>
      <c r="N417" s="17" t="s">
        <v>64</v>
      </c>
      <c r="O417" s="11"/>
      <c r="P417" s="28" t="n">
        <f aca="false">79168/100</f>
        <v>791.68</v>
      </c>
      <c r="Q417" s="28" t="n">
        <v>39584</v>
      </c>
      <c r="R417" s="28"/>
      <c r="S417" s="28" t="n">
        <f aca="false">R417*$M417</f>
        <v>0</v>
      </c>
      <c r="T417" s="28" t="n">
        <f aca="false">18545/100</f>
        <v>185.45</v>
      </c>
      <c r="U417" s="28" t="n">
        <v>9272</v>
      </c>
      <c r="V417" s="28" t="n">
        <f aca="false">10784/100</f>
        <v>107.84</v>
      </c>
      <c r="W417" s="28" t="n">
        <v>5392</v>
      </c>
      <c r="X417" s="28" t="n">
        <f aca="false">22033/100</f>
        <v>220.33</v>
      </c>
      <c r="Y417" s="28" t="n">
        <v>11016</v>
      </c>
      <c r="Z417" s="28" t="n">
        <f aca="false">4478/100</f>
        <v>44.78</v>
      </c>
      <c r="AA417" s="28" t="n">
        <v>2239</v>
      </c>
      <c r="AB417" s="28" t="n">
        <f aca="false">8901/100</f>
        <v>89.01</v>
      </c>
      <c r="AC417" s="28" t="n">
        <v>4450</v>
      </c>
      <c r="AD417" s="28"/>
      <c r="AE417" s="28" t="n">
        <f aca="false">AD417*$M417</f>
        <v>0</v>
      </c>
      <c r="AF417" s="28"/>
      <c r="AG417" s="28" t="n">
        <f aca="false">AF417*$M417</f>
        <v>0</v>
      </c>
      <c r="AH417" s="28"/>
      <c r="AI417" s="28" t="n">
        <f aca="false">AH417*$M417</f>
        <v>0</v>
      </c>
      <c r="AJ417" s="28" t="n">
        <f aca="false">2917/100</f>
        <v>29.17</v>
      </c>
      <c r="AK417" s="28" t="n">
        <v>1458</v>
      </c>
      <c r="AL417" s="28"/>
      <c r="AM417" s="28" t="n">
        <f aca="false">AL417*$M417</f>
        <v>0</v>
      </c>
      <c r="AN417" s="28"/>
      <c r="AO417" s="28" t="n">
        <f aca="false">AN417*$M417</f>
        <v>0</v>
      </c>
      <c r="AP417" s="28"/>
      <c r="AQ417" s="28" t="n">
        <f aca="false">AP417*$M417</f>
        <v>0</v>
      </c>
      <c r="AR417" s="28"/>
      <c r="AS417" s="28" t="n">
        <f aca="false">AR417*$M417</f>
        <v>0</v>
      </c>
      <c r="AT417" s="28"/>
      <c r="AU417" s="28" t="n">
        <f aca="false">AT417*$M417</f>
        <v>0</v>
      </c>
      <c r="AV417" s="28" t="n">
        <f aca="false">6667/100</f>
        <v>66.67</v>
      </c>
      <c r="AW417" s="28" t="n">
        <v>3333</v>
      </c>
      <c r="AX417" s="28"/>
      <c r="AY417" s="28" t="n">
        <f aca="false">AX417*$M417</f>
        <v>0</v>
      </c>
      <c r="AZ417" s="30" t="n">
        <f aca="false">153493/100</f>
        <v>1534.93</v>
      </c>
      <c r="BA417" s="11" t="n">
        <v>76744</v>
      </c>
      <c r="BB417" s="31" t="n">
        <f aca="false">SUM(Q417,S417,U417,W417,Y417,AA417,AC417,AE417,AG417,AI417,AK417,AM417,AO417,AQ417,AS417,AU417,AW417,AY417)</f>
        <v>76744</v>
      </c>
      <c r="BC417" s="28" t="n">
        <f aca="false">BA417-BB417</f>
        <v>0</v>
      </c>
      <c r="BD417" s="32" t="n">
        <f aca="false">SUM(P417,R417,T417,V417,X417,Z417,AB417,AD417,AF417,AH417,AJ417,AL417,AN417,AP417,AR417,AT417,AV417,AX417)</f>
        <v>1534.93</v>
      </c>
      <c r="BE417" s="33" t="n">
        <f aca="false">AZ417-BD417</f>
        <v>0</v>
      </c>
      <c r="BF417" s="34" t="n">
        <f aca="false">BD417*M417</f>
        <v>76746.5</v>
      </c>
      <c r="BG417" s="35" t="n">
        <f aca="false">BA417-BF417</f>
        <v>-2.49999999998545</v>
      </c>
      <c r="BH417" s="19" t="str">
        <f aca="false">IF(BG417=0,"",IF(BG417&lt;&gt;BA417,"erreur de calcul",IF(BD417&lt;&gt;0,"pas de prix",IF(M417&lt;&gt; 0,"pas de quantité","pas de prix, ni de quantité"))))</f>
        <v>erreur de calcul</v>
      </c>
      <c r="BI417" s="19"/>
    </row>
    <row r="418" customFormat="false" ht="16" hidden="false" customHeight="false" outlineLevel="0" collapsed="false">
      <c r="A418" s="0" t="n">
        <v>24</v>
      </c>
      <c r="B418" s="8" t="s">
        <v>24</v>
      </c>
      <c r="C418" s="9" t="s">
        <v>25</v>
      </c>
      <c r="D418" s="9" t="s">
        <v>26</v>
      </c>
      <c r="E418" s="10" t="n">
        <v>1789</v>
      </c>
      <c r="F418" s="9" t="s">
        <v>27</v>
      </c>
      <c r="G418" s="9" t="s">
        <v>27</v>
      </c>
      <c r="H418" s="11" t="n">
        <v>20</v>
      </c>
      <c r="I418" s="11" t="s">
        <v>142</v>
      </c>
      <c r="J418" s="14" t="n">
        <v>12</v>
      </c>
      <c r="K418" s="14"/>
      <c r="L418" s="16"/>
      <c r="M418" s="27" t="n">
        <f aca="false">J418+(K418/20)+(L418/240)</f>
        <v>12</v>
      </c>
      <c r="N418" s="17" t="s">
        <v>66</v>
      </c>
      <c r="O418" s="11"/>
      <c r="P418" s="28"/>
      <c r="Q418" s="28" t="n">
        <f aca="false">P418*$M418</f>
        <v>0</v>
      </c>
      <c r="R418" s="28"/>
      <c r="S418" s="28" t="n">
        <f aca="false">R418*$M418</f>
        <v>0</v>
      </c>
      <c r="T418" s="28"/>
      <c r="U418" s="28" t="n">
        <f aca="false">T418*$M418</f>
        <v>0</v>
      </c>
      <c r="V418" s="28"/>
      <c r="W418" s="28" t="n">
        <f aca="false">V418*$M418</f>
        <v>0</v>
      </c>
      <c r="X418" s="28"/>
      <c r="Y418" s="28" t="n">
        <f aca="false">X418*$M418</f>
        <v>0</v>
      </c>
      <c r="Z418" s="28" t="n">
        <v>21</v>
      </c>
      <c r="AA418" s="28" t="n">
        <v>252</v>
      </c>
      <c r="AB418" s="28" t="n">
        <v>672</v>
      </c>
      <c r="AC418" s="28" t="n">
        <v>8064</v>
      </c>
      <c r="AD418" s="28"/>
      <c r="AE418" s="28" t="n">
        <f aca="false">AD418*$M418</f>
        <v>0</v>
      </c>
      <c r="AF418" s="28"/>
      <c r="AG418" s="28" t="n">
        <f aca="false">AF418*$M418</f>
        <v>0</v>
      </c>
      <c r="AH418" s="28"/>
      <c r="AI418" s="28" t="n">
        <f aca="false">AH418*$M418</f>
        <v>0</v>
      </c>
      <c r="AJ418" s="28"/>
      <c r="AK418" s="28" t="n">
        <f aca="false">AJ418*$M418</f>
        <v>0</v>
      </c>
      <c r="AL418" s="28"/>
      <c r="AM418" s="28" t="n">
        <f aca="false">AL418*$M418</f>
        <v>0</v>
      </c>
      <c r="AN418" s="28"/>
      <c r="AO418" s="28" t="n">
        <f aca="false">AN418*$M418</f>
        <v>0</v>
      </c>
      <c r="AP418" s="28"/>
      <c r="AQ418" s="28" t="n">
        <f aca="false">AP418*$M418</f>
        <v>0</v>
      </c>
      <c r="AR418" s="28"/>
      <c r="AS418" s="28" t="n">
        <f aca="false">AR418*$M418</f>
        <v>0</v>
      </c>
      <c r="AT418" s="28"/>
      <c r="AU418" s="28" t="n">
        <f aca="false">AT418*$M418</f>
        <v>0</v>
      </c>
      <c r="AV418" s="28"/>
      <c r="AW418" s="28" t="n">
        <f aca="false">AV418*$M418</f>
        <v>0</v>
      </c>
      <c r="AX418" s="28"/>
      <c r="AY418" s="28" t="n">
        <f aca="false">AX418*$M418</f>
        <v>0</v>
      </c>
      <c r="AZ418" s="30" t="n">
        <v>693</v>
      </c>
      <c r="BA418" s="11" t="n">
        <v>8316</v>
      </c>
      <c r="BB418" s="31" t="n">
        <f aca="false">SUM(Q418,S418,U418,W418,Y418,AA418,AC418,AE418,AG418,AI418,AK418,AM418,AO418,AQ418,AS418,AU418,AW418,AY418)</f>
        <v>8316</v>
      </c>
      <c r="BC418" s="28" t="n">
        <f aca="false">BA418-BB418</f>
        <v>0</v>
      </c>
      <c r="BD418" s="32" t="n">
        <f aca="false">SUM(P418,R418,T418,V418,X418,Z418,AB418,AD418,AF418,AH418,AJ418,AL418,AN418,AP418,AR418,AT418,AV418,AX418)</f>
        <v>693</v>
      </c>
      <c r="BE418" s="33" t="n">
        <f aca="false">AZ418-BD418</f>
        <v>0</v>
      </c>
      <c r="BF418" s="34" t="n">
        <f aca="false">BD418*M418</f>
        <v>8316</v>
      </c>
      <c r="BG418" s="35" t="n">
        <f aca="false">BA418-BF418</f>
        <v>0</v>
      </c>
      <c r="BH418" s="19" t="str">
        <f aca="false">IF(BG418=0,"",IF(BG418&lt;&gt;BA418,"erreur de calcul",IF(BD418&lt;&gt;0,"pas de prix",IF(M418&lt;&gt; 0,"pas de quantité","pas de prix, ni de quantité"))))</f>
        <v/>
      </c>
      <c r="BI418" s="19"/>
    </row>
    <row r="419" customFormat="false" ht="16" hidden="false" customHeight="false" outlineLevel="0" collapsed="false">
      <c r="A419" s="0" t="n">
        <v>25</v>
      </c>
      <c r="B419" s="8" t="s">
        <v>24</v>
      </c>
      <c r="C419" s="9" t="s">
        <v>25</v>
      </c>
      <c r="D419" s="9" t="s">
        <v>26</v>
      </c>
      <c r="E419" s="10" t="n">
        <v>1789</v>
      </c>
      <c r="F419" s="9" t="s">
        <v>27</v>
      </c>
      <c r="G419" s="9" t="s">
        <v>27</v>
      </c>
      <c r="H419" s="11" t="n">
        <v>20</v>
      </c>
      <c r="I419" s="11" t="s">
        <v>143</v>
      </c>
      <c r="J419" s="14" t="n">
        <v>8</v>
      </c>
      <c r="K419" s="14"/>
      <c r="L419" s="16"/>
      <c r="M419" s="27" t="n">
        <f aca="false">J419+(K419/20)+(L419/240)</f>
        <v>8</v>
      </c>
      <c r="N419" s="17" t="s">
        <v>85</v>
      </c>
      <c r="O419" s="11"/>
      <c r="P419" s="28" t="n">
        <f aca="false">74969/100</f>
        <v>749.69</v>
      </c>
      <c r="Q419" s="28" t="n">
        <v>5997</v>
      </c>
      <c r="R419" s="28"/>
      <c r="S419" s="28" t="n">
        <f aca="false">R419*$M419</f>
        <v>0</v>
      </c>
      <c r="T419" s="28" t="n">
        <f aca="false">58256/100</f>
        <v>582.56</v>
      </c>
      <c r="U419" s="28" t="n">
        <v>4660</v>
      </c>
      <c r="V419" s="28" t="n">
        <f aca="false">14450/100</f>
        <v>144.5</v>
      </c>
      <c r="W419" s="28" t="n">
        <v>1156</v>
      </c>
      <c r="X419" s="28" t="n">
        <f aca="false">4397/100</f>
        <v>43.97</v>
      </c>
      <c r="Y419" s="28" t="n">
        <v>352</v>
      </c>
      <c r="Z419" s="28"/>
      <c r="AA419" s="28" t="n">
        <f aca="false">Z419*$M419</f>
        <v>0</v>
      </c>
      <c r="AB419" s="28" t="n">
        <f aca="false">6400/100</f>
        <v>64</v>
      </c>
      <c r="AC419" s="28" t="n">
        <v>512</v>
      </c>
      <c r="AD419" s="28" t="n">
        <f aca="false">19450/100</f>
        <v>194.5</v>
      </c>
      <c r="AE419" s="28" t="n">
        <v>1556</v>
      </c>
      <c r="AF419" s="28" t="n">
        <f aca="false">2496/100</f>
        <v>24.96</v>
      </c>
      <c r="AG419" s="28" t="n">
        <v>200</v>
      </c>
      <c r="AH419" s="28"/>
      <c r="AI419" s="28" t="n">
        <f aca="false">AH419*$M419</f>
        <v>0</v>
      </c>
      <c r="AJ419" s="28"/>
      <c r="AK419" s="28" t="n">
        <f aca="false">AJ419*$M419</f>
        <v>0</v>
      </c>
      <c r="AL419" s="28"/>
      <c r="AM419" s="28" t="n">
        <f aca="false">AL419*$M419</f>
        <v>0</v>
      </c>
      <c r="AN419" s="28"/>
      <c r="AO419" s="28" t="n">
        <f aca="false">AN419*$M419</f>
        <v>0</v>
      </c>
      <c r="AP419" s="28"/>
      <c r="AQ419" s="28" t="n">
        <f aca="false">AP419*$M419</f>
        <v>0</v>
      </c>
      <c r="AR419" s="28"/>
      <c r="AS419" s="28" t="n">
        <f aca="false">AR419*$M419</f>
        <v>0</v>
      </c>
      <c r="AT419" s="28"/>
      <c r="AU419" s="28" t="n">
        <f aca="false">AT419*$M419</f>
        <v>0</v>
      </c>
      <c r="AV419" s="28"/>
      <c r="AW419" s="28" t="n">
        <f aca="false">AV419*$M419</f>
        <v>0</v>
      </c>
      <c r="AX419" s="28"/>
      <c r="AY419" s="28" t="n">
        <f aca="false">AX419*$M419</f>
        <v>0</v>
      </c>
      <c r="AZ419" s="30" t="n">
        <f aca="false">180418/100</f>
        <v>1804.18</v>
      </c>
      <c r="BA419" s="11" t="n">
        <v>14433</v>
      </c>
      <c r="BB419" s="31" t="n">
        <f aca="false">SUM(Q419,S419,U419,W419,Y419,AA419,AC419,AE419,AG419,AI419,AK419,AM419,AO419,AQ419,AS419,AU419,AW419,AY419)</f>
        <v>14433</v>
      </c>
      <c r="BC419" s="28" t="n">
        <f aca="false">BA419-BB419</f>
        <v>0</v>
      </c>
      <c r="BD419" s="32" t="n">
        <f aca="false">SUM(P419,R419,T419,V419,X419,Z419,AB419,AD419,AF419,AH419,AJ419,AL419,AN419,AP419,AR419,AT419,AV419,AX419)</f>
        <v>1804.18</v>
      </c>
      <c r="BE419" s="33" t="n">
        <f aca="false">AZ419-BD419</f>
        <v>0</v>
      </c>
      <c r="BF419" s="34" t="n">
        <f aca="false">BD419*M419</f>
        <v>14433.44</v>
      </c>
      <c r="BG419" s="35" t="n">
        <f aca="false">BA419-BF419</f>
        <v>-0.440000000000509</v>
      </c>
      <c r="BH419" s="19" t="str">
        <f aca="false">IF(BG419=0,"",IF(BG419&lt;&gt;BA419,"erreur de calcul",IF(BD419&lt;&gt;0,"pas de prix",IF(M419&lt;&gt; 0,"pas de quantité","pas de prix, ni de quantité"))))</f>
        <v>erreur de calcul</v>
      </c>
      <c r="BI419" s="19"/>
    </row>
    <row r="420" customFormat="false" ht="16" hidden="false" customHeight="false" outlineLevel="0" collapsed="false">
      <c r="A420" s="0" t="n">
        <v>26</v>
      </c>
      <c r="B420" s="8" t="s">
        <v>24</v>
      </c>
      <c r="C420" s="9" t="s">
        <v>25</v>
      </c>
      <c r="D420" s="9" t="s">
        <v>26</v>
      </c>
      <c r="E420" s="10" t="n">
        <v>1789</v>
      </c>
      <c r="F420" s="9" t="s">
        <v>27</v>
      </c>
      <c r="G420" s="9" t="s">
        <v>27</v>
      </c>
      <c r="H420" s="11" t="n">
        <v>20</v>
      </c>
      <c r="I420" s="11" t="s">
        <v>144</v>
      </c>
      <c r="J420" s="14" t="n">
        <v>3</v>
      </c>
      <c r="K420" s="14"/>
      <c r="L420" s="16"/>
      <c r="M420" s="27" t="n">
        <f aca="false">J420+(K420/20)+(L420/240)</f>
        <v>3</v>
      </c>
      <c r="N420" s="17" t="s">
        <v>66</v>
      </c>
      <c r="O420" s="11"/>
      <c r="P420" s="28"/>
      <c r="Q420" s="28" t="n">
        <f aca="false">P420*$M420</f>
        <v>0</v>
      </c>
      <c r="R420" s="28"/>
      <c r="S420" s="28" t="n">
        <f aca="false">R420*$M420</f>
        <v>0</v>
      </c>
      <c r="T420" s="28" t="n">
        <v>24347</v>
      </c>
      <c r="U420" s="28" t="n">
        <v>73041</v>
      </c>
      <c r="V420" s="28" t="n">
        <v>2300</v>
      </c>
      <c r="W420" s="28" t="n">
        <v>6900</v>
      </c>
      <c r="X420" s="28" t="n">
        <v>152</v>
      </c>
      <c r="Y420" s="28" t="n">
        <v>456</v>
      </c>
      <c r="Z420" s="28"/>
      <c r="AA420" s="28" t="n">
        <f aca="false">Z420*$M420</f>
        <v>0</v>
      </c>
      <c r="AB420" s="28" t="n">
        <v>53940</v>
      </c>
      <c r="AC420" s="28" t="n">
        <v>161820</v>
      </c>
      <c r="AD420" s="28"/>
      <c r="AE420" s="28" t="n">
        <f aca="false">AD420*$M420</f>
        <v>0</v>
      </c>
      <c r="AF420" s="28"/>
      <c r="AG420" s="28" t="n">
        <f aca="false">AF420*$M420</f>
        <v>0</v>
      </c>
      <c r="AH420" s="28" t="n">
        <v>1668909</v>
      </c>
      <c r="AI420" s="28" t="n">
        <v>5006727</v>
      </c>
      <c r="AJ420" s="28"/>
      <c r="AK420" s="28" t="n">
        <f aca="false">AJ420*$M420</f>
        <v>0</v>
      </c>
      <c r="AL420" s="28"/>
      <c r="AM420" s="28" t="n">
        <f aca="false">AL420*$M420</f>
        <v>0</v>
      </c>
      <c r="AN420" s="28" t="n">
        <v>165</v>
      </c>
      <c r="AO420" s="28" t="n">
        <v>495</v>
      </c>
      <c r="AP420" s="28"/>
      <c r="AQ420" s="28" t="n">
        <f aca="false">AP420*$M420</f>
        <v>0</v>
      </c>
      <c r="AR420" s="28"/>
      <c r="AS420" s="28" t="n">
        <f aca="false">AR420*$M420</f>
        <v>0</v>
      </c>
      <c r="AT420" s="28"/>
      <c r="AU420" s="28" t="n">
        <f aca="false">AT420*$M420</f>
        <v>0</v>
      </c>
      <c r="AV420" s="28"/>
      <c r="AW420" s="28" t="n">
        <f aca="false">AV420*$M420</f>
        <v>0</v>
      </c>
      <c r="AX420" s="28"/>
      <c r="AY420" s="28" t="n">
        <f aca="false">AX420*$M420</f>
        <v>0</v>
      </c>
      <c r="AZ420" s="30" t="n">
        <v>1736540</v>
      </c>
      <c r="BA420" s="11" t="n">
        <v>5249439</v>
      </c>
      <c r="BB420" s="31" t="n">
        <f aca="false">SUM(Q420,S420,U420,W420,Y420,AA420,AC420,AE420,AG420,AI420,AK420,AM420,AO420,AQ420,AS420,AU420,AW420,AY420)</f>
        <v>5249439</v>
      </c>
      <c r="BC420" s="28" t="n">
        <f aca="false">BA420-BB420</f>
        <v>0</v>
      </c>
      <c r="BD420" s="32" t="n">
        <f aca="false">SUM(P420,R420,T420,V420,X420,Z420,AB420,AD420,AF420,AH420,AJ420,AL420,AN420,AP420,AR420,AT420,AV420,AX420)</f>
        <v>1749813</v>
      </c>
      <c r="BE420" s="33" t="n">
        <f aca="false">AZ420-BD420</f>
        <v>-13273</v>
      </c>
      <c r="BF420" s="34" t="n">
        <f aca="false">BD420*M420</f>
        <v>5249439</v>
      </c>
      <c r="BG420" s="35" t="n">
        <f aca="false">BA420-BF420</f>
        <v>0</v>
      </c>
      <c r="BH420" s="19" t="str">
        <f aca="false">IF(BG420=0,"",IF(BG420&lt;&gt;BA420,"erreur de calcul",IF(BD420&lt;&gt;0,"pas de prix",IF(M420&lt;&gt; 0,"pas de quantité","pas de prix, ni de quantité"))))</f>
        <v/>
      </c>
      <c r="BI420" s="19"/>
    </row>
    <row r="421" customFormat="false" ht="16" hidden="false" customHeight="false" outlineLevel="0" collapsed="false">
      <c r="A421" s="0" t="n">
        <v>27</v>
      </c>
      <c r="B421" s="8" t="s">
        <v>24</v>
      </c>
      <c r="C421" s="9" t="s">
        <v>25</v>
      </c>
      <c r="D421" s="9" t="s">
        <v>26</v>
      </c>
      <c r="E421" s="10" t="n">
        <v>1789</v>
      </c>
      <c r="F421" s="9" t="s">
        <v>27</v>
      </c>
      <c r="G421" s="9" t="s">
        <v>27</v>
      </c>
      <c r="H421" s="11" t="n">
        <v>20</v>
      </c>
      <c r="I421" s="11" t="s">
        <v>145</v>
      </c>
      <c r="J421" s="14" t="n">
        <v>4</v>
      </c>
      <c r="K421" s="14" t="n">
        <v>18</v>
      </c>
      <c r="L421" s="16"/>
      <c r="M421" s="27" t="n">
        <f aca="false">J421+(K421/20)+(L421/240)</f>
        <v>4.9</v>
      </c>
      <c r="N421" s="17" t="s">
        <v>66</v>
      </c>
      <c r="O421" s="11"/>
      <c r="P421" s="28"/>
      <c r="Q421" s="28" t="n">
        <f aca="false">P421*$M421</f>
        <v>0</v>
      </c>
      <c r="R421" s="28"/>
      <c r="S421" s="28" t="n">
        <f aca="false">R421*$M421</f>
        <v>0</v>
      </c>
      <c r="T421" s="28"/>
      <c r="U421" s="28" t="n">
        <f aca="false">T421*$M421</f>
        <v>0</v>
      </c>
      <c r="V421" s="28"/>
      <c r="W421" s="28" t="n">
        <f aca="false">V421*$M421</f>
        <v>0</v>
      </c>
      <c r="X421" s="28"/>
      <c r="Y421" s="28" t="n">
        <f aca="false">X421*$M421</f>
        <v>0</v>
      </c>
      <c r="Z421" s="28"/>
      <c r="AA421" s="28" t="n">
        <f aca="false">Z421*$M421</f>
        <v>0</v>
      </c>
      <c r="AB421" s="28"/>
      <c r="AC421" s="28" t="n">
        <f aca="false">AB421*$M421</f>
        <v>0</v>
      </c>
      <c r="AD421" s="28"/>
      <c r="AE421" s="28" t="n">
        <f aca="false">AD421*$M421</f>
        <v>0</v>
      </c>
      <c r="AF421" s="28"/>
      <c r="AG421" s="28" t="n">
        <f aca="false">AF421*$M421</f>
        <v>0</v>
      </c>
      <c r="AH421" s="28" t="n">
        <v>14916</v>
      </c>
      <c r="AI421" s="28" t="n">
        <v>73088</v>
      </c>
      <c r="AJ421" s="28"/>
      <c r="AK421" s="28" t="n">
        <f aca="false">AJ421*$M421</f>
        <v>0</v>
      </c>
      <c r="AL421" s="28"/>
      <c r="AM421" s="28" t="n">
        <f aca="false">AL421*$M421</f>
        <v>0</v>
      </c>
      <c r="AN421" s="28"/>
      <c r="AO421" s="28" t="n">
        <f aca="false">AN421*$M421</f>
        <v>0</v>
      </c>
      <c r="AP421" s="28"/>
      <c r="AQ421" s="28" t="n">
        <f aca="false">AP421*$M421</f>
        <v>0</v>
      </c>
      <c r="AR421" s="28"/>
      <c r="AS421" s="28" t="n">
        <f aca="false">AR421*$M421</f>
        <v>0</v>
      </c>
      <c r="AT421" s="28"/>
      <c r="AU421" s="28" t="n">
        <f aca="false">AT421*$M421</f>
        <v>0</v>
      </c>
      <c r="AV421" s="28"/>
      <c r="AW421" s="28" t="n">
        <f aca="false">AV421*$M421</f>
        <v>0</v>
      </c>
      <c r="AX421" s="28"/>
      <c r="AY421" s="28" t="n">
        <f aca="false">AX421*$M421</f>
        <v>0</v>
      </c>
      <c r="AZ421" s="30" t="n">
        <v>14916</v>
      </c>
      <c r="BA421" s="11" t="n">
        <v>73088</v>
      </c>
      <c r="BB421" s="31" t="n">
        <f aca="false">SUM(Q421,S421,U421,W421,Y421,AA421,AC421,AE421,AG421,AI421,AK421,AM421,AO421,AQ421,AS421,AU421,AW421,AY421)</f>
        <v>73088</v>
      </c>
      <c r="BC421" s="28" t="n">
        <f aca="false">BA421-BB421</f>
        <v>0</v>
      </c>
      <c r="BD421" s="32" t="n">
        <f aca="false">SUM(P421,R421,T421,V421,X421,Z421,AB421,AD421,AF421,AH421,AJ421,AL421,AN421,AP421,AR421,AT421,AV421,AX421)</f>
        <v>14916</v>
      </c>
      <c r="BE421" s="33" t="n">
        <f aca="false">AZ421-BD421</f>
        <v>0</v>
      </c>
      <c r="BF421" s="34" t="n">
        <f aca="false">BD421*M421</f>
        <v>73088.4</v>
      </c>
      <c r="BG421" s="35" t="n">
        <f aca="false">BA421-BF421</f>
        <v>-0.400000000008731</v>
      </c>
      <c r="BH421" s="19" t="str">
        <f aca="false">IF(BG421=0,"",IF(BG421&lt;&gt;BA421,"erreur de calcul",IF(BD421&lt;&gt;0,"pas de prix",IF(M421&lt;&gt; 0,"pas de quantité","pas de prix, ni de quantité"))))</f>
        <v>erreur de calcul</v>
      </c>
      <c r="BI421" s="19"/>
    </row>
    <row r="422" customFormat="false" ht="16" hidden="false" customHeight="false" outlineLevel="0" collapsed="false">
      <c r="A422" s="0" t="n">
        <v>28</v>
      </c>
      <c r="B422" s="8" t="s">
        <v>24</v>
      </c>
      <c r="C422" s="9" t="s">
        <v>25</v>
      </c>
      <c r="D422" s="9" t="s">
        <v>26</v>
      </c>
      <c r="E422" s="10" t="n">
        <v>1789</v>
      </c>
      <c r="F422" s="9" t="s">
        <v>27</v>
      </c>
      <c r="G422" s="9" t="s">
        <v>27</v>
      </c>
      <c r="H422" s="11" t="n">
        <v>20</v>
      </c>
      <c r="I422" s="11" t="s">
        <v>146</v>
      </c>
      <c r="J422" s="14" t="n">
        <v>126</v>
      </c>
      <c r="K422" s="14"/>
      <c r="L422" s="16"/>
      <c r="M422" s="27"/>
      <c r="N422" s="17" t="s">
        <v>66</v>
      </c>
      <c r="O422" s="11" t="s">
        <v>98</v>
      </c>
      <c r="P422" s="28"/>
      <c r="Q422" s="28" t="n">
        <f aca="false">P422*$M422</f>
        <v>0</v>
      </c>
      <c r="R422" s="28" t="n">
        <v>82676</v>
      </c>
      <c r="S422" s="28" t="n">
        <v>28572</v>
      </c>
      <c r="T422" s="28"/>
      <c r="U422" s="28" t="n">
        <f aca="false">T422*$M422</f>
        <v>0</v>
      </c>
      <c r="V422" s="28"/>
      <c r="W422" s="28" t="n">
        <f aca="false">V422*$M422</f>
        <v>0</v>
      </c>
      <c r="X422" s="28"/>
      <c r="Y422" s="28" t="n">
        <f aca="false">X422*$M422</f>
        <v>0</v>
      </c>
      <c r="Z422" s="28"/>
      <c r="AA422" s="28" t="n">
        <f aca="false">Z422*$M422</f>
        <v>0</v>
      </c>
      <c r="AB422" s="28"/>
      <c r="AC422" s="28" t="n">
        <f aca="false">AB422*$M422</f>
        <v>0</v>
      </c>
      <c r="AD422" s="28"/>
      <c r="AE422" s="28" t="n">
        <f aca="false">AD422*$M422</f>
        <v>0</v>
      </c>
      <c r="AF422" s="28"/>
      <c r="AG422" s="28" t="n">
        <f aca="false">AF422*$M422</f>
        <v>0</v>
      </c>
      <c r="AH422" s="28" t="n">
        <v>6408925</v>
      </c>
      <c r="AI422" s="28" t="n">
        <v>8075245</v>
      </c>
      <c r="AJ422" s="28"/>
      <c r="AK422" s="28" t="n">
        <f aca="false">AJ422*$M422</f>
        <v>0</v>
      </c>
      <c r="AL422" s="28"/>
      <c r="AM422" s="28" t="n">
        <f aca="false">AL422*$M422</f>
        <v>0</v>
      </c>
      <c r="AN422" s="28"/>
      <c r="AO422" s="28" t="n">
        <f aca="false">AN422*$M422</f>
        <v>0</v>
      </c>
      <c r="AP422" s="28"/>
      <c r="AQ422" s="28" t="n">
        <f aca="false">AP422*$M422</f>
        <v>0</v>
      </c>
      <c r="AR422" s="28"/>
      <c r="AS422" s="28" t="n">
        <f aca="false">AR422*$M422</f>
        <v>0</v>
      </c>
      <c r="AT422" s="28"/>
      <c r="AU422" s="28" t="n">
        <f aca="false">AT422*$M422</f>
        <v>0</v>
      </c>
      <c r="AV422" s="28"/>
      <c r="AW422" s="28" t="n">
        <f aca="false">AV422*$M422</f>
        <v>0</v>
      </c>
      <c r="AX422" s="28"/>
      <c r="AY422" s="28" t="n">
        <f aca="false">AX422*$M422</f>
        <v>0</v>
      </c>
      <c r="AZ422" s="11" t="n">
        <v>6431601</v>
      </c>
      <c r="BA422" s="11" t="n">
        <v>8103817</v>
      </c>
      <c r="BB422" s="31" t="n">
        <f aca="false">SUM(Q422,S422,U422,W422,Y422,AA422,AC422,AE422,AG422,AI422,AK422,AM422,AO422,AQ422,AS422,AU422,AW422,AY422)</f>
        <v>8103817</v>
      </c>
      <c r="BC422" s="28" t="n">
        <f aca="false">BA422-BB422</f>
        <v>0</v>
      </c>
      <c r="BD422" s="32" t="n">
        <f aca="false">SUM(P422,R422,T422,V422,X422,Z422,AB422,AD422,AF422,AH422,AJ422,AL422,AN422,AP422,AR422,AT422,AV422,AX422)</f>
        <v>6491601</v>
      </c>
      <c r="BE422" s="33" t="n">
        <f aca="false">AZ422-BD422</f>
        <v>-60000</v>
      </c>
      <c r="BF422" s="34" t="n">
        <f aca="false">BD422*M422</f>
        <v>0</v>
      </c>
      <c r="BG422" s="35" t="n">
        <f aca="false">BA422-BF422</f>
        <v>8103817</v>
      </c>
      <c r="BH422" s="19" t="str">
        <f aca="false">IF(BG422=0,"",IF(BG422&lt;&gt;BA422,"erreur de calcul",IF(BD422&lt;&gt;0,"pas de prix",IF(M422&lt;&gt; 0,"pas de quantité","pas de prix, ni de quantité"))))</f>
        <v>pas de prix</v>
      </c>
      <c r="BI422" s="19" t="s">
        <v>147</v>
      </c>
    </row>
    <row r="423" customFormat="false" ht="16" hidden="false" customHeight="false" outlineLevel="0" collapsed="false">
      <c r="A423" s="0" t="n">
        <v>29</v>
      </c>
      <c r="B423" s="8" t="s">
        <v>24</v>
      </c>
      <c r="C423" s="9" t="s">
        <v>25</v>
      </c>
      <c r="D423" s="9" t="s">
        <v>26</v>
      </c>
      <c r="E423" s="10" t="n">
        <v>1789</v>
      </c>
      <c r="F423" s="9" t="s">
        <v>27</v>
      </c>
      <c r="G423" s="9" t="s">
        <v>27</v>
      </c>
      <c r="H423" s="11" t="n">
        <v>20</v>
      </c>
      <c r="I423" s="11" t="s">
        <v>148</v>
      </c>
      <c r="J423" s="14"/>
      <c r="K423" s="14" t="n">
        <v>20</v>
      </c>
      <c r="L423" s="16"/>
      <c r="M423" s="27" t="n">
        <f aca="false">J423+(K423/20)+(L423/240)</f>
        <v>1</v>
      </c>
      <c r="N423" s="17" t="s">
        <v>66</v>
      </c>
      <c r="O423" s="11"/>
      <c r="P423" s="28"/>
      <c r="Q423" s="28" t="n">
        <f aca="false">P423*$M423</f>
        <v>0</v>
      </c>
      <c r="R423" s="28"/>
      <c r="S423" s="28" t="n">
        <f aca="false">R423*$M423</f>
        <v>0</v>
      </c>
      <c r="T423" s="28" t="n">
        <v>392</v>
      </c>
      <c r="U423" s="28" t="n">
        <v>392</v>
      </c>
      <c r="V423" s="28"/>
      <c r="W423" s="28" t="n">
        <f aca="false">V423*$M423</f>
        <v>0</v>
      </c>
      <c r="X423" s="28"/>
      <c r="Y423" s="28" t="n">
        <f aca="false">X423*$M423</f>
        <v>0</v>
      </c>
      <c r="Z423" s="28"/>
      <c r="AA423" s="28" t="n">
        <f aca="false">Z423*$M423</f>
        <v>0</v>
      </c>
      <c r="AB423" s="28" t="n">
        <v>7596</v>
      </c>
      <c r="AC423" s="28" t="n">
        <v>7596</v>
      </c>
      <c r="AD423" s="28"/>
      <c r="AE423" s="28" t="n">
        <f aca="false">AD423*$M423</f>
        <v>0</v>
      </c>
      <c r="AF423" s="28"/>
      <c r="AG423" s="28" t="n">
        <f aca="false">AF423*$M423</f>
        <v>0</v>
      </c>
      <c r="AH423" s="28"/>
      <c r="AI423" s="28" t="n">
        <f aca="false">AH423*$M423</f>
        <v>0</v>
      </c>
      <c r="AJ423" s="28"/>
      <c r="AK423" s="28" t="n">
        <f aca="false">AJ423*$M423</f>
        <v>0</v>
      </c>
      <c r="AL423" s="28"/>
      <c r="AM423" s="28" t="n">
        <f aca="false">AL423*$M423</f>
        <v>0</v>
      </c>
      <c r="AN423" s="28"/>
      <c r="AO423" s="28" t="n">
        <f aca="false">AN423*$M423</f>
        <v>0</v>
      </c>
      <c r="AP423" s="28"/>
      <c r="AQ423" s="28" t="n">
        <f aca="false">AP423*$M423</f>
        <v>0</v>
      </c>
      <c r="AR423" s="28"/>
      <c r="AS423" s="28" t="n">
        <f aca="false">AR423*$M423</f>
        <v>0</v>
      </c>
      <c r="AT423" s="28"/>
      <c r="AU423" s="28" t="n">
        <f aca="false">AT423*$M423</f>
        <v>0</v>
      </c>
      <c r="AV423" s="28"/>
      <c r="AW423" s="28" t="n">
        <f aca="false">AV423*$M423</f>
        <v>0</v>
      </c>
      <c r="AX423" s="28"/>
      <c r="AY423" s="28" t="n">
        <f aca="false">AX423*$M423</f>
        <v>0</v>
      </c>
      <c r="AZ423" s="30" t="n">
        <v>7988</v>
      </c>
      <c r="BA423" s="11" t="n">
        <v>7988</v>
      </c>
      <c r="BB423" s="31" t="n">
        <f aca="false">SUM(Q423,S423,U423,W423,Y423,AA423,AC423,AE423,AG423,AI423,AK423,AM423,AO423,AQ423,AS423,AU423,AW423,AY423)</f>
        <v>7988</v>
      </c>
      <c r="BC423" s="28" t="n">
        <f aca="false">BA423-BB423</f>
        <v>0</v>
      </c>
      <c r="BD423" s="32" t="n">
        <f aca="false">SUM(P423,R423,T423,V423,X423,Z423,AB423,AD423,AF423,AH423,AJ423,AL423,AN423,AP423,AR423,AT423,AV423,AX423)</f>
        <v>7988</v>
      </c>
      <c r="BE423" s="33" t="n">
        <f aca="false">AZ423-BD423</f>
        <v>0</v>
      </c>
      <c r="BF423" s="34" t="n">
        <f aca="false">BD423*M423</f>
        <v>7988</v>
      </c>
      <c r="BG423" s="35" t="n">
        <f aca="false">BA423-BF423</f>
        <v>0</v>
      </c>
      <c r="BH423" s="19" t="str">
        <f aca="false">IF(BG423=0,"",IF(BG423&lt;&gt;BA423,"erreur de calcul",IF(BD423&lt;&gt;0,"pas de prix",IF(M423&lt;&gt; 0,"pas de quantité","pas de prix, ni de quantité"))))</f>
        <v/>
      </c>
      <c r="BI423" s="19"/>
    </row>
    <row r="424" customFormat="false" ht="16" hidden="false" customHeight="false" outlineLevel="0" collapsed="false">
      <c r="A424" s="0" t="n">
        <v>30</v>
      </c>
      <c r="B424" s="8" t="s">
        <v>24</v>
      </c>
      <c r="C424" s="9" t="s">
        <v>25</v>
      </c>
      <c r="D424" s="9" t="s">
        <v>26</v>
      </c>
      <c r="E424" s="10" t="n">
        <v>1789</v>
      </c>
      <c r="F424" s="9" t="s">
        <v>27</v>
      </c>
      <c r="G424" s="9" t="s">
        <v>27</v>
      </c>
      <c r="H424" s="11" t="n">
        <v>20</v>
      </c>
      <c r="I424" s="11" t="s">
        <v>149</v>
      </c>
      <c r="J424" s="14" t="n">
        <v>70</v>
      </c>
      <c r="K424" s="14"/>
      <c r="L424" s="16"/>
      <c r="M424" s="27" t="n">
        <f aca="false">J424+(K424/20)+(L424/240)</f>
        <v>70</v>
      </c>
      <c r="N424" s="17" t="s">
        <v>64</v>
      </c>
      <c r="O424" s="11"/>
      <c r="P424" s="28"/>
      <c r="Q424" s="28" t="n">
        <f aca="false">P424*$M424</f>
        <v>0</v>
      </c>
      <c r="R424" s="28"/>
      <c r="S424" s="28" t="n">
        <f aca="false">R424*$M424</f>
        <v>0</v>
      </c>
      <c r="T424" s="28"/>
      <c r="U424" s="28" t="n">
        <f aca="false">T424*$M424</f>
        <v>0</v>
      </c>
      <c r="V424" s="28"/>
      <c r="W424" s="28" t="n">
        <f aca="false">V424*$M424</f>
        <v>0</v>
      </c>
      <c r="X424" s="28" t="n">
        <f aca="false">1904/100</f>
        <v>19.04</v>
      </c>
      <c r="Y424" s="28" t="n">
        <v>1333</v>
      </c>
      <c r="Z424" s="28"/>
      <c r="AA424" s="28" t="n">
        <f aca="false">Z424*$M424</f>
        <v>0</v>
      </c>
      <c r="AB424" s="28" t="n">
        <f aca="false">51370/100</f>
        <v>513.7</v>
      </c>
      <c r="AC424" s="28" t="n">
        <v>35959</v>
      </c>
      <c r="AD424" s="28"/>
      <c r="AE424" s="28" t="n">
        <f aca="false">AD424*$M424</f>
        <v>0</v>
      </c>
      <c r="AF424" s="28" t="n">
        <f aca="false">8872/100</f>
        <v>88.72</v>
      </c>
      <c r="AG424" s="28" t="n">
        <v>6210</v>
      </c>
      <c r="AH424" s="28" t="n">
        <f aca="false">14751/100</f>
        <v>147.51</v>
      </c>
      <c r="AI424" s="28" t="n">
        <v>10326</v>
      </c>
      <c r="AJ424" s="28"/>
      <c r="AK424" s="28" t="n">
        <f aca="false">AJ424*$M424</f>
        <v>0</v>
      </c>
      <c r="AL424" s="28"/>
      <c r="AM424" s="28" t="n">
        <f aca="false">AL424*$M424</f>
        <v>0</v>
      </c>
      <c r="AN424" s="28"/>
      <c r="AO424" s="28" t="n">
        <f aca="false">AN424*$M424</f>
        <v>0</v>
      </c>
      <c r="AP424" s="28"/>
      <c r="AQ424" s="28" t="n">
        <f aca="false">AP424*$M424</f>
        <v>0</v>
      </c>
      <c r="AR424" s="28"/>
      <c r="AS424" s="28" t="n">
        <f aca="false">AR424*$M424</f>
        <v>0</v>
      </c>
      <c r="AT424" s="28"/>
      <c r="AU424" s="28" t="n">
        <f aca="false">AT424*$M424</f>
        <v>0</v>
      </c>
      <c r="AV424" s="28"/>
      <c r="AW424" s="28" t="n">
        <f aca="false">AV424*$M424</f>
        <v>0</v>
      </c>
      <c r="AX424" s="28"/>
      <c r="AY424" s="28" t="n">
        <f aca="false">AX424*$M424</f>
        <v>0</v>
      </c>
      <c r="AZ424" s="30" t="n">
        <f aca="false">76897/100</f>
        <v>768.97</v>
      </c>
      <c r="BA424" s="11" t="n">
        <v>53828</v>
      </c>
      <c r="BB424" s="31" t="n">
        <f aca="false">SUM(Q424,S424,U424,W424,Y424,AA424,AC424,AE424,AG424,AI424,AK424,AM424,AO424,AQ424,AS424,AU424,AW424,AY424)</f>
        <v>53828</v>
      </c>
      <c r="BC424" s="28" t="n">
        <f aca="false">BA424-BB424</f>
        <v>0</v>
      </c>
      <c r="BD424" s="32" t="n">
        <f aca="false">SUM(P424,R424,T424,V424,X424,Z424,AB424,AD424,AF424,AH424,AJ424,AL424,AN424,AP424,AR424,AT424,AV424,AX424)</f>
        <v>768.97</v>
      </c>
      <c r="BE424" s="33" t="n">
        <f aca="false">AZ424-BD424</f>
        <v>0</v>
      </c>
      <c r="BF424" s="34" t="n">
        <f aca="false">BD424*M424</f>
        <v>53827.9</v>
      </c>
      <c r="BG424" s="35" t="n">
        <f aca="false">BA424-BF424</f>
        <v>0.0999999999985448</v>
      </c>
      <c r="BH424" s="19" t="str">
        <f aca="false">IF(BG424=0,"",IF(BG424&lt;&gt;BA424,"erreur de calcul",IF(BD424&lt;&gt;0,"pas de prix",IF(M424&lt;&gt; 0,"pas de quantité","pas de prix, ni de quantité"))))</f>
        <v>erreur de calcul</v>
      </c>
      <c r="BI424" s="19"/>
    </row>
    <row r="425" customFormat="false" ht="16" hidden="false" customHeight="false" outlineLevel="0" collapsed="false">
      <c r="A425" s="0" t="n">
        <v>31</v>
      </c>
      <c r="B425" s="8" t="s">
        <v>24</v>
      </c>
      <c r="C425" s="9" t="s">
        <v>25</v>
      </c>
      <c r="D425" s="9" t="s">
        <v>26</v>
      </c>
      <c r="E425" s="10" t="n">
        <v>1789</v>
      </c>
      <c r="F425" s="9" t="s">
        <v>27</v>
      </c>
      <c r="G425" s="9" t="s">
        <v>27</v>
      </c>
      <c r="H425" s="11" t="n">
        <v>20</v>
      </c>
      <c r="I425" s="11" t="s">
        <v>150</v>
      </c>
      <c r="J425" s="14" t="n">
        <v>70</v>
      </c>
      <c r="K425" s="14"/>
      <c r="L425" s="16"/>
      <c r="M425" s="27" t="n">
        <f aca="false">J425+(K425/20)+(L425/240)</f>
        <v>70</v>
      </c>
      <c r="N425" s="17" t="s">
        <v>64</v>
      </c>
      <c r="O425" s="11" t="s">
        <v>77</v>
      </c>
      <c r="P425" s="28"/>
      <c r="Q425" s="28" t="n">
        <f aca="false">P425*$M425</f>
        <v>0</v>
      </c>
      <c r="R425" s="28"/>
      <c r="S425" s="28" t="n">
        <f aca="false">R425*$M425</f>
        <v>0</v>
      </c>
      <c r="T425" s="28"/>
      <c r="U425" s="28" t="n">
        <f aca="false">T425*$M425</f>
        <v>0</v>
      </c>
      <c r="V425" s="28"/>
      <c r="W425" s="28" t="n">
        <f aca="false">V425*$M425</f>
        <v>0</v>
      </c>
      <c r="X425" s="28"/>
      <c r="Y425" s="28" t="n">
        <f aca="false">X425*$M425</f>
        <v>0</v>
      </c>
      <c r="Z425" s="28"/>
      <c r="AA425" s="28" t="n">
        <f aca="false">Z425*$M425</f>
        <v>0</v>
      </c>
      <c r="AB425" s="28"/>
      <c r="AC425" s="28" t="n">
        <f aca="false">AB425*$M425</f>
        <v>0</v>
      </c>
      <c r="AD425" s="28"/>
      <c r="AE425" s="28" t="n">
        <f aca="false">AD425*$M425</f>
        <v>0</v>
      </c>
      <c r="AF425" s="28"/>
      <c r="AG425" s="28" t="n">
        <f aca="false">AF425*$M425</f>
        <v>0</v>
      </c>
      <c r="AH425" s="28"/>
      <c r="AI425" s="28" t="n">
        <f aca="false">AH425*$M425</f>
        <v>0</v>
      </c>
      <c r="AJ425" s="28"/>
      <c r="AK425" s="28" t="n">
        <f aca="false">AJ425*$M425</f>
        <v>0</v>
      </c>
      <c r="AL425" s="28"/>
      <c r="AM425" s="28" t="n">
        <f aca="false">AL425*$M425</f>
        <v>0</v>
      </c>
      <c r="AN425" s="28"/>
      <c r="AO425" s="28" t="n">
        <f aca="false">AN425*$M425</f>
        <v>0</v>
      </c>
      <c r="AP425" s="28"/>
      <c r="AQ425" s="28" t="n">
        <f aca="false">AP425*$M425</f>
        <v>0</v>
      </c>
      <c r="AR425" s="28"/>
      <c r="AS425" s="28" t="n">
        <f aca="false">AR425*$M425</f>
        <v>0</v>
      </c>
      <c r="AT425" s="28"/>
      <c r="AU425" s="28" t="n">
        <f aca="false">AT425*$M425</f>
        <v>0</v>
      </c>
      <c r="AV425" s="28"/>
      <c r="AW425" s="28" t="n">
        <f aca="false">AV425*$M425</f>
        <v>0</v>
      </c>
      <c r="AX425" s="28"/>
      <c r="AY425" s="28" t="n">
        <f aca="false">AX425*$M425</f>
        <v>0</v>
      </c>
      <c r="AZ425" s="30"/>
      <c r="BA425" s="11"/>
      <c r="BB425" s="31" t="n">
        <f aca="false">SUM(Q425,S425,U425,W425,Y425,AA425,AC425,AE425,AG425,AI425,AK425,AM425,AO425,AQ425,AS425,AU425,AW425,AY425)</f>
        <v>0</v>
      </c>
      <c r="BC425" s="28" t="n">
        <f aca="false">BA425-BB425</f>
        <v>0</v>
      </c>
      <c r="BD425" s="32" t="n">
        <f aca="false">SUM(P425,R425,T425,V425,X425,Z425,AB425,AD425,AF425,AH425,AJ425,AL425,AN425,AP425,AR425,AT425,AV425,AX425)</f>
        <v>0</v>
      </c>
      <c r="BE425" s="33" t="n">
        <f aca="false">AZ425-BD425</f>
        <v>0</v>
      </c>
      <c r="BF425" s="34" t="n">
        <f aca="false">BD425*M425</f>
        <v>0</v>
      </c>
      <c r="BG425" s="35" t="n">
        <f aca="false">BA425-BF425</f>
        <v>0</v>
      </c>
      <c r="BH425" s="19" t="str">
        <f aca="false">IF(BG425=0,"",IF(BG425&lt;&gt;BA425,"erreur de calcul",IF(BD425&lt;&gt;0,"pas de prix",IF(M425&lt;&gt; 0,"pas de quantité","pas de prix, ni de quantité"))))</f>
        <v/>
      </c>
      <c r="BI425" s="19"/>
    </row>
    <row r="426" customFormat="false" ht="16" hidden="false" customHeight="false" outlineLevel="0" collapsed="false">
      <c r="A426" s="0" t="n">
        <v>32</v>
      </c>
      <c r="B426" s="8" t="s">
        <v>24</v>
      </c>
      <c r="C426" s="9" t="s">
        <v>25</v>
      </c>
      <c r="D426" s="9" t="s">
        <v>26</v>
      </c>
      <c r="E426" s="10" t="n">
        <v>1789</v>
      </c>
      <c r="F426" s="9" t="s">
        <v>27</v>
      </c>
      <c r="G426" s="9" t="s">
        <v>27</v>
      </c>
      <c r="H426" s="11" t="n">
        <v>20</v>
      </c>
      <c r="I426" s="11" t="s">
        <v>150</v>
      </c>
      <c r="J426" s="14" t="n">
        <v>70</v>
      </c>
      <c r="K426" s="14"/>
      <c r="L426" s="16"/>
      <c r="M426" s="27" t="n">
        <f aca="false">J426+(K426/20)+(L426/240)</f>
        <v>70</v>
      </c>
      <c r="N426" s="17" t="s">
        <v>64</v>
      </c>
      <c r="O426" s="11" t="s">
        <v>98</v>
      </c>
      <c r="P426" s="28" t="n">
        <f aca="false">382028/100</f>
        <v>3820.28</v>
      </c>
      <c r="Q426" s="28" t="n">
        <v>267420</v>
      </c>
      <c r="R426" s="28" t="n">
        <f aca="false">131361/100</f>
        <v>1313.61</v>
      </c>
      <c r="S426" s="28" t="n">
        <v>91953</v>
      </c>
      <c r="T426" s="28" t="n">
        <f aca="false">8856/100</f>
        <v>88.56</v>
      </c>
      <c r="U426" s="28" t="n">
        <v>6199</v>
      </c>
      <c r="V426" s="28" t="n">
        <f aca="false">171125/100</f>
        <v>1711.25</v>
      </c>
      <c r="W426" s="28" t="n">
        <v>119787</v>
      </c>
      <c r="X426" s="28" t="n">
        <f aca="false">24259/100</f>
        <v>242.59</v>
      </c>
      <c r="Y426" s="28" t="n">
        <v>16981</v>
      </c>
      <c r="Z426" s="28"/>
      <c r="AA426" s="28" t="n">
        <f aca="false">Z426*$M426</f>
        <v>0</v>
      </c>
      <c r="AB426" s="28" t="n">
        <f aca="false">33694/100</f>
        <v>336.94</v>
      </c>
      <c r="AC426" s="28" t="n">
        <v>23586</v>
      </c>
      <c r="AD426" s="28" t="n">
        <f aca="false">89734/100</f>
        <v>897.34</v>
      </c>
      <c r="AE426" s="28" t="n">
        <v>62814</v>
      </c>
      <c r="AF426" s="28" t="n">
        <f aca="false">1955727/100</f>
        <v>19557.27</v>
      </c>
      <c r="AG426" s="28" t="n">
        <v>1369009</v>
      </c>
      <c r="AH426" s="28" t="n">
        <f aca="false">11740/100</f>
        <v>117.4</v>
      </c>
      <c r="AI426" s="28" t="n">
        <v>8218</v>
      </c>
      <c r="AJ426" s="28"/>
      <c r="AK426" s="28" t="n">
        <f aca="false">AJ426*$M426</f>
        <v>0</v>
      </c>
      <c r="AL426" s="28"/>
      <c r="AM426" s="28" t="n">
        <f aca="false">AL426*$M426</f>
        <v>0</v>
      </c>
      <c r="AN426" s="28"/>
      <c r="AO426" s="28" t="n">
        <f aca="false">AN426*$M426</f>
        <v>0</v>
      </c>
      <c r="AP426" s="28"/>
      <c r="AQ426" s="28" t="n">
        <f aca="false">AP426*$M426</f>
        <v>0</v>
      </c>
      <c r="AR426" s="28"/>
      <c r="AS426" s="28" t="n">
        <f aca="false">AR426*$M426</f>
        <v>0</v>
      </c>
      <c r="AT426" s="28"/>
      <c r="AU426" s="28" t="n">
        <f aca="false">AT426*$M426</f>
        <v>0</v>
      </c>
      <c r="AV426" s="28" t="n">
        <f aca="false">15000/100</f>
        <v>150</v>
      </c>
      <c r="AW426" s="28" t="n">
        <v>10500</v>
      </c>
      <c r="AX426" s="28"/>
      <c r="AY426" s="28" t="n">
        <f aca="false">AX426*$M426</f>
        <v>0</v>
      </c>
      <c r="AZ426" s="30" t="n">
        <f aca="false">2823524/100</f>
        <v>28235.24</v>
      </c>
      <c r="BA426" s="11" t="n">
        <v>1976467</v>
      </c>
      <c r="BB426" s="31" t="n">
        <f aca="false">SUM(Q426,S426,U426,W426,Y426,AA426,AC426,AE426,AG426,AI426,AK426,AM426,AO426,AQ426,AS426,AU426,AW426,AY426)</f>
        <v>1976467</v>
      </c>
      <c r="BC426" s="28" t="n">
        <f aca="false">BA426-BB426</f>
        <v>0</v>
      </c>
      <c r="BD426" s="32" t="n">
        <f aca="false">SUM(P426,R426,T426,V426,X426,Z426,AB426,AD426,AF426,AH426,AJ426,AL426,AN426,AP426,AR426,AT426,AV426,AX426)</f>
        <v>28235.24</v>
      </c>
      <c r="BE426" s="33" t="n">
        <f aca="false">AZ426-BD426</f>
        <v>0</v>
      </c>
      <c r="BF426" s="34" t="n">
        <f aca="false">BD426*M426</f>
        <v>1976466.8</v>
      </c>
      <c r="BG426" s="35" t="n">
        <f aca="false">BA426-BF426</f>
        <v>0.199999999953434</v>
      </c>
      <c r="BH426" s="19" t="str">
        <f aca="false">IF(BG426=0,"",IF(BG426&lt;&gt;BA426,"erreur de calcul",IF(BD426&lt;&gt;0,"pas de prix",IF(M426&lt;&gt; 0,"pas de quantité","pas de prix, ni de quantité"))))</f>
        <v>erreur de calcul</v>
      </c>
      <c r="BI426" s="19"/>
    </row>
    <row r="427" customFormat="false" ht="16" hidden="false" customHeight="false" outlineLevel="0" collapsed="false">
      <c r="A427" s="0" t="n">
        <v>33</v>
      </c>
      <c r="B427" s="8" t="s">
        <v>24</v>
      </c>
      <c r="C427" s="9" t="s">
        <v>25</v>
      </c>
      <c r="D427" s="9" t="s">
        <v>26</v>
      </c>
      <c r="E427" s="10" t="n">
        <v>1789</v>
      </c>
      <c r="F427" s="9" t="s">
        <v>27</v>
      </c>
      <c r="G427" s="9" t="s">
        <v>27</v>
      </c>
      <c r="H427" s="11" t="n">
        <v>20</v>
      </c>
      <c r="I427" s="11" t="s">
        <v>151</v>
      </c>
      <c r="J427" s="14" t="n">
        <v>150</v>
      </c>
      <c r="K427" s="14"/>
      <c r="L427" s="16"/>
      <c r="M427" s="27" t="n">
        <f aca="false">J427+(K427/20)+(L427/240)</f>
        <v>150</v>
      </c>
      <c r="N427" s="17" t="s">
        <v>64</v>
      </c>
      <c r="O427" s="11"/>
      <c r="P427" s="28"/>
      <c r="Q427" s="28" t="n">
        <f aca="false">P427*$M427</f>
        <v>0</v>
      </c>
      <c r="R427" s="28"/>
      <c r="S427" s="28" t="n">
        <f aca="false">R427*$M427</f>
        <v>0</v>
      </c>
      <c r="T427" s="28"/>
      <c r="U427" s="28" t="n">
        <f aca="false">T427*$M427</f>
        <v>0</v>
      </c>
      <c r="V427" s="28"/>
      <c r="W427" s="28" t="n">
        <f aca="false">V427*$M427</f>
        <v>0</v>
      </c>
      <c r="X427" s="28"/>
      <c r="Y427" s="28" t="n">
        <f aca="false">X427*$M427</f>
        <v>0</v>
      </c>
      <c r="Z427" s="28"/>
      <c r="AA427" s="28" t="n">
        <f aca="false">Z427*$M427</f>
        <v>0</v>
      </c>
      <c r="AB427" s="28"/>
      <c r="AC427" s="28" t="n">
        <f aca="false">AB427*$M427</f>
        <v>0</v>
      </c>
      <c r="AD427" s="28"/>
      <c r="AE427" s="28" t="n">
        <f aca="false">AD427*$M427</f>
        <v>0</v>
      </c>
      <c r="AF427" s="28"/>
      <c r="AG427" s="28" t="n">
        <f aca="false">AF427*$M427</f>
        <v>0</v>
      </c>
      <c r="AH427" s="28"/>
      <c r="AI427" s="28" t="n">
        <f aca="false">AH427*$M427</f>
        <v>0</v>
      </c>
      <c r="AJ427" s="28"/>
      <c r="AK427" s="28" t="n">
        <f aca="false">AJ427*$M427</f>
        <v>0</v>
      </c>
      <c r="AL427" s="28" t="n">
        <f aca="false">118785/100</f>
        <v>1187.85</v>
      </c>
      <c r="AM427" s="28" t="n">
        <v>178177</v>
      </c>
      <c r="AN427" s="28"/>
      <c r="AO427" s="28" t="n">
        <f aca="false">AN427*$M427</f>
        <v>0</v>
      </c>
      <c r="AP427" s="28"/>
      <c r="AQ427" s="28" t="n">
        <f aca="false">AP427*$M427</f>
        <v>0</v>
      </c>
      <c r="AR427" s="28"/>
      <c r="AS427" s="28" t="n">
        <f aca="false">AR427*$M427</f>
        <v>0</v>
      </c>
      <c r="AT427" s="28"/>
      <c r="AU427" s="28" t="n">
        <f aca="false">AT427*$M427</f>
        <v>0</v>
      </c>
      <c r="AV427" s="28"/>
      <c r="AW427" s="28" t="n">
        <f aca="false">AV427*$M427</f>
        <v>0</v>
      </c>
      <c r="AX427" s="28"/>
      <c r="AY427" s="28" t="n">
        <f aca="false">AX427*$M427</f>
        <v>0</v>
      </c>
      <c r="AZ427" s="30" t="n">
        <f aca="false">118785/100</f>
        <v>1187.85</v>
      </c>
      <c r="BA427" s="11" t="n">
        <v>178177</v>
      </c>
      <c r="BB427" s="31" t="n">
        <f aca="false">SUM(Q427,S427,U427,W427,Y427,AA427,AC427,AE427,AG427,AI427,AK427,AM427,AO427,AQ427,AS427,AU427,AW427,AY427)</f>
        <v>178177</v>
      </c>
      <c r="BC427" s="28" t="n">
        <f aca="false">BA427-BB427</f>
        <v>0</v>
      </c>
      <c r="BD427" s="32" t="n">
        <f aca="false">SUM(P427,R427,T427,V427,X427,Z427,AB427,AD427,AF427,AH427,AJ427,AL427,AN427,AP427,AR427,AT427,AV427,AX427)</f>
        <v>1187.85</v>
      </c>
      <c r="BE427" s="33" t="n">
        <f aca="false">AZ427-BD427</f>
        <v>0</v>
      </c>
      <c r="BF427" s="34" t="n">
        <f aca="false">BD427*M427</f>
        <v>178177.5</v>
      </c>
      <c r="BG427" s="35" t="n">
        <f aca="false">BA427-BF427</f>
        <v>-0.5</v>
      </c>
      <c r="BH427" s="19" t="str">
        <f aca="false">IF(BG427=0,"",IF(BG427&lt;&gt;BA427,"erreur de calcul",IF(BD427&lt;&gt;0,"pas de prix",IF(M427&lt;&gt; 0,"pas de quantité","pas de prix, ni de quantité"))))</f>
        <v>erreur de calcul</v>
      </c>
      <c r="BI427" s="19"/>
    </row>
    <row r="428" customFormat="false" ht="16" hidden="false" customHeight="false" outlineLevel="0" collapsed="false">
      <c r="A428" s="0" t="n">
        <v>34</v>
      </c>
      <c r="B428" s="8" t="s">
        <v>24</v>
      </c>
      <c r="C428" s="9" t="s">
        <v>25</v>
      </c>
      <c r="D428" s="9" t="s">
        <v>26</v>
      </c>
      <c r="E428" s="10" t="n">
        <v>1789</v>
      </c>
      <c r="F428" s="9" t="s">
        <v>27</v>
      </c>
      <c r="G428" s="9" t="s">
        <v>27</v>
      </c>
      <c r="H428" s="11" t="n">
        <v>20</v>
      </c>
      <c r="I428" s="11" t="s">
        <v>152</v>
      </c>
      <c r="J428" s="14" t="n">
        <v>80</v>
      </c>
      <c r="K428" s="14"/>
      <c r="L428" s="16"/>
      <c r="M428" s="27" t="n">
        <f aca="false">J428+(K428/20)+(L428/240)</f>
        <v>80</v>
      </c>
      <c r="N428" s="17" t="s">
        <v>64</v>
      </c>
      <c r="O428" s="11"/>
      <c r="P428" s="28"/>
      <c r="Q428" s="28" t="n">
        <f aca="false">P428*$M428</f>
        <v>0</v>
      </c>
      <c r="R428" s="28"/>
      <c r="S428" s="28" t="n">
        <f aca="false">R428*$M428</f>
        <v>0</v>
      </c>
      <c r="T428" s="28"/>
      <c r="U428" s="28" t="n">
        <f aca="false">T428*$M428</f>
        <v>0</v>
      </c>
      <c r="V428" s="28"/>
      <c r="W428" s="28" t="n">
        <f aca="false">V428*$M428</f>
        <v>0</v>
      </c>
      <c r="X428" s="28"/>
      <c r="Y428" s="28" t="n">
        <f aca="false">X428*$M428</f>
        <v>0</v>
      </c>
      <c r="Z428" s="28"/>
      <c r="AA428" s="28" t="n">
        <f aca="false">Z428*$M428</f>
        <v>0</v>
      </c>
      <c r="AB428" s="28" t="n">
        <f aca="false">3142/100</f>
        <v>31.42</v>
      </c>
      <c r="AC428" s="28" t="n">
        <v>2514</v>
      </c>
      <c r="AD428" s="28"/>
      <c r="AE428" s="28" t="n">
        <f aca="false">AD428*$M428</f>
        <v>0</v>
      </c>
      <c r="AF428" s="28" t="n">
        <f aca="false">4868/100</f>
        <v>48.68</v>
      </c>
      <c r="AG428" s="36" t="n">
        <v>3874</v>
      </c>
      <c r="AH428" s="28" t="n">
        <f aca="false">1541601/100</f>
        <v>15416.01</v>
      </c>
      <c r="AI428" s="28" t="n">
        <v>1233281</v>
      </c>
      <c r="AJ428" s="28"/>
      <c r="AK428" s="28" t="n">
        <f aca="false">AJ428*$M428</f>
        <v>0</v>
      </c>
      <c r="AL428" s="28"/>
      <c r="AM428" s="28" t="n">
        <f aca="false">AL428*$M428</f>
        <v>0</v>
      </c>
      <c r="AN428" s="28"/>
      <c r="AO428" s="28" t="n">
        <f aca="false">AN428*$M428</f>
        <v>0</v>
      </c>
      <c r="AP428" s="28"/>
      <c r="AQ428" s="28" t="n">
        <f aca="false">AP428*$M428</f>
        <v>0</v>
      </c>
      <c r="AR428" s="28"/>
      <c r="AS428" s="28" t="n">
        <f aca="false">AR428*$M428</f>
        <v>0</v>
      </c>
      <c r="AT428" s="28"/>
      <c r="AU428" s="28" t="n">
        <f aca="false">AT428*$M428</f>
        <v>0</v>
      </c>
      <c r="AV428" s="28"/>
      <c r="AW428" s="28" t="n">
        <f aca="false">AV428*$M428</f>
        <v>0</v>
      </c>
      <c r="AX428" s="28"/>
      <c r="AY428" s="28" t="n">
        <f aca="false">AX428*$M428</f>
        <v>0</v>
      </c>
      <c r="AZ428" s="30" t="n">
        <f aca="false">1549611/100</f>
        <v>15496.11</v>
      </c>
      <c r="BA428" s="11" t="n">
        <v>1239669</v>
      </c>
      <c r="BB428" s="31" t="n">
        <f aca="false">SUM(Q428,S428,U428,W428,Y428,AA428,AC428,AE428,AG428,AI428,AK428,AM428,AO428,AQ428,AS428,AU428,AW428,AY428)</f>
        <v>1239669</v>
      </c>
      <c r="BC428" s="28" t="n">
        <f aca="false">BA428-BB428</f>
        <v>0</v>
      </c>
      <c r="BD428" s="32" t="n">
        <f aca="false">SUM(P428,R428,T428,V428,X428,Z428,AB428,AD428,AF428,AH428,AJ428,AL428,AN428,AP428,AR428,AT428,AV428,AX428)</f>
        <v>15496.11</v>
      </c>
      <c r="BE428" s="33" t="n">
        <f aca="false">AZ428-BD428</f>
        <v>0</v>
      </c>
      <c r="BF428" s="34" t="n">
        <f aca="false">BD428*M428</f>
        <v>1239688.8</v>
      </c>
      <c r="BG428" s="35" t="n">
        <f aca="false">BA428-BF428</f>
        <v>-19.8000000000466</v>
      </c>
      <c r="BH428" s="19" t="str">
        <f aca="false">IF(BG428=0,"",IF(BG428&lt;&gt;BA428,"erreur de calcul",IF(BD428&lt;&gt;0,"pas de prix",IF(M428&lt;&gt; 0,"pas de quantité","pas de prix, ni de quantité"))))</f>
        <v>erreur de calcul</v>
      </c>
      <c r="BI428" s="19"/>
    </row>
    <row r="429" customFormat="false" ht="16" hidden="false" customHeight="false" outlineLevel="0" collapsed="false">
      <c r="A429" s="0" t="n">
        <v>35</v>
      </c>
      <c r="B429" s="8" t="s">
        <v>24</v>
      </c>
      <c r="C429" s="9" t="s">
        <v>25</v>
      </c>
      <c r="D429" s="9" t="s">
        <v>26</v>
      </c>
      <c r="E429" s="10" t="n">
        <v>1789</v>
      </c>
      <c r="F429" s="9" t="s">
        <v>27</v>
      </c>
      <c r="G429" s="9" t="s">
        <v>27</v>
      </c>
      <c r="H429" s="11" t="n">
        <v>20</v>
      </c>
      <c r="I429" s="11" t="s">
        <v>153</v>
      </c>
      <c r="J429" s="14" t="n">
        <v>148</v>
      </c>
      <c r="K429" s="14"/>
      <c r="L429" s="16"/>
      <c r="M429" s="27" t="n">
        <f aca="false">J429+(K429/20)+(L429/240)</f>
        <v>148</v>
      </c>
      <c r="N429" s="17" t="s">
        <v>64</v>
      </c>
      <c r="O429" s="11"/>
      <c r="P429" s="28"/>
      <c r="Q429" s="28" t="n">
        <f aca="false">P429*$M429</f>
        <v>0</v>
      </c>
      <c r="R429" s="28"/>
      <c r="S429" s="28" t="n">
        <f aca="false">R429*$M429</f>
        <v>0</v>
      </c>
      <c r="T429" s="28"/>
      <c r="U429" s="28" t="n">
        <f aca="false">T429*$M429</f>
        <v>0</v>
      </c>
      <c r="V429" s="28"/>
      <c r="W429" s="28" t="n">
        <f aca="false">V429*$M429</f>
        <v>0</v>
      </c>
      <c r="X429" s="28"/>
      <c r="Y429" s="28" t="n">
        <f aca="false">X429*$M429</f>
        <v>0</v>
      </c>
      <c r="Z429" s="28"/>
      <c r="AA429" s="28" t="n">
        <f aca="false">Z429*$M429</f>
        <v>0</v>
      </c>
      <c r="AB429" s="28"/>
      <c r="AC429" s="28" t="n">
        <f aca="false">AB429*$M429</f>
        <v>0</v>
      </c>
      <c r="AD429" s="28"/>
      <c r="AE429" s="28" t="n">
        <f aca="false">AD429*$M429</f>
        <v>0</v>
      </c>
      <c r="AF429" s="28"/>
      <c r="AG429" s="28" t="n">
        <f aca="false">AF429*$M429</f>
        <v>0</v>
      </c>
      <c r="AH429" s="28"/>
      <c r="AI429" s="28" t="n">
        <f aca="false">AH429*$M429</f>
        <v>0</v>
      </c>
      <c r="AJ429" s="28" t="n">
        <f aca="false">1472/100</f>
        <v>14.72</v>
      </c>
      <c r="AK429" s="28" t="n">
        <v>2178</v>
      </c>
      <c r="AL429" s="28"/>
      <c r="AM429" s="28" t="n">
        <f aca="false">AL429*$M429</f>
        <v>0</v>
      </c>
      <c r="AN429" s="28"/>
      <c r="AO429" s="28" t="n">
        <f aca="false">AN429*$M429</f>
        <v>0</v>
      </c>
      <c r="AP429" s="28"/>
      <c r="AQ429" s="28" t="n">
        <f aca="false">AP429*$M429</f>
        <v>0</v>
      </c>
      <c r="AR429" s="28"/>
      <c r="AS429" s="28" t="n">
        <f aca="false">AR429*$M429</f>
        <v>0</v>
      </c>
      <c r="AT429" s="28"/>
      <c r="AU429" s="28" t="n">
        <f aca="false">AT429*$M429</f>
        <v>0</v>
      </c>
      <c r="AV429" s="28"/>
      <c r="AW429" s="28" t="n">
        <f aca="false">AV429*$M429</f>
        <v>0</v>
      </c>
      <c r="AX429" s="28"/>
      <c r="AY429" s="28" t="n">
        <f aca="false">AX429*$M429</f>
        <v>0</v>
      </c>
      <c r="AZ429" s="30" t="n">
        <f aca="false">1472/100</f>
        <v>14.72</v>
      </c>
      <c r="BA429" s="11" t="n">
        <v>2178</v>
      </c>
      <c r="BB429" s="31" t="n">
        <f aca="false">SUM(Q429,S429,U429,W429,Y429,AA429,AC429,AE429,AG429,AI429,AK429,AM429,AO429,AQ429,AS429,AU429,AW429,AY429)</f>
        <v>2178</v>
      </c>
      <c r="BC429" s="28" t="n">
        <f aca="false">BA429-BB429</f>
        <v>0</v>
      </c>
      <c r="BD429" s="32" t="n">
        <f aca="false">SUM(P429,R429,T429,V429,X429,Z429,AB429,AD429,AF429,AH429,AJ429,AL429,AN429,AP429,AR429,AT429,AV429,AX429)</f>
        <v>14.72</v>
      </c>
      <c r="BE429" s="33" t="n">
        <f aca="false">AZ429-BD429</f>
        <v>0</v>
      </c>
      <c r="BF429" s="34" t="n">
        <f aca="false">BD429*M429</f>
        <v>2178.56</v>
      </c>
      <c r="BG429" s="35" t="n">
        <f aca="false">BA429-BF429</f>
        <v>-0.559999999999945</v>
      </c>
      <c r="BH429" s="19" t="str">
        <f aca="false">IF(BG429=0,"",IF(BG429&lt;&gt;BA429,"erreur de calcul",IF(BD429&lt;&gt;0,"pas de prix",IF(M429&lt;&gt; 0,"pas de quantité","pas de prix, ni de quantité"))))</f>
        <v>erreur de calcul</v>
      </c>
      <c r="BI429" s="19"/>
    </row>
    <row r="430" customFormat="false" ht="16" hidden="false" customHeight="false" outlineLevel="0" collapsed="false">
      <c r="A430" s="0" t="n">
        <v>36</v>
      </c>
      <c r="B430" s="8" t="s">
        <v>24</v>
      </c>
      <c r="C430" s="9" t="s">
        <v>25</v>
      </c>
      <c r="D430" s="9" t="s">
        <v>26</v>
      </c>
      <c r="E430" s="10" t="n">
        <v>1789</v>
      </c>
      <c r="F430" s="9" t="s">
        <v>27</v>
      </c>
      <c r="G430" s="9" t="s">
        <v>27</v>
      </c>
      <c r="H430" s="11" t="n">
        <v>20</v>
      </c>
      <c r="I430" s="11" t="s">
        <v>154</v>
      </c>
      <c r="J430" s="14" t="n">
        <v>75</v>
      </c>
      <c r="K430" s="14"/>
      <c r="L430" s="16"/>
      <c r="M430" s="27" t="n">
        <f aca="false">J430+(K430/20)+(L430/240)</f>
        <v>75</v>
      </c>
      <c r="N430" s="17" t="s">
        <v>64</v>
      </c>
      <c r="O430" s="11"/>
      <c r="P430" s="28"/>
      <c r="Q430" s="28" t="n">
        <f aca="false">P430*$M430</f>
        <v>0</v>
      </c>
      <c r="R430" s="28"/>
      <c r="S430" s="28" t="n">
        <f aca="false">R430*$M430</f>
        <v>0</v>
      </c>
      <c r="T430" s="28" t="n">
        <f aca="false">627/100</f>
        <v>6.27</v>
      </c>
      <c r="U430" s="28" t="n">
        <v>470</v>
      </c>
      <c r="V430" s="28"/>
      <c r="W430" s="28" t="n">
        <f aca="false">V430*$M430</f>
        <v>0</v>
      </c>
      <c r="X430" s="28"/>
      <c r="Y430" s="28" t="n">
        <f aca="false">X430*$M430</f>
        <v>0</v>
      </c>
      <c r="Z430" s="28"/>
      <c r="AA430" s="28" t="n">
        <f aca="false">Z430*$M430</f>
        <v>0</v>
      </c>
      <c r="AB430" s="28"/>
      <c r="AC430" s="28" t="n">
        <f aca="false">AB430*$M430</f>
        <v>0</v>
      </c>
      <c r="AD430" s="28"/>
      <c r="AE430" s="28" t="n">
        <f aca="false">AD430*$M430</f>
        <v>0</v>
      </c>
      <c r="AF430" s="28"/>
      <c r="AG430" s="28" t="n">
        <f aca="false">AF430*$M430</f>
        <v>0</v>
      </c>
      <c r="AH430" s="28"/>
      <c r="AI430" s="28" t="n">
        <f aca="false">AH430*$M430</f>
        <v>0</v>
      </c>
      <c r="AJ430" s="28"/>
      <c r="AK430" s="28" t="n">
        <f aca="false">AJ430*$M430</f>
        <v>0</v>
      </c>
      <c r="AL430" s="28"/>
      <c r="AM430" s="28" t="n">
        <f aca="false">AL430*$M430</f>
        <v>0</v>
      </c>
      <c r="AN430" s="28"/>
      <c r="AO430" s="28" t="n">
        <f aca="false">AN430*$M430</f>
        <v>0</v>
      </c>
      <c r="AP430" s="28"/>
      <c r="AQ430" s="28" t="n">
        <f aca="false">AP430*$M430</f>
        <v>0</v>
      </c>
      <c r="AR430" s="28"/>
      <c r="AS430" s="28" t="n">
        <f aca="false">AR430*$M430</f>
        <v>0</v>
      </c>
      <c r="AT430" s="28"/>
      <c r="AU430" s="28" t="n">
        <f aca="false">AT430*$M430</f>
        <v>0</v>
      </c>
      <c r="AV430" s="28"/>
      <c r="AW430" s="28" t="n">
        <f aca="false">AV430*$M430</f>
        <v>0</v>
      </c>
      <c r="AX430" s="28"/>
      <c r="AY430" s="28" t="n">
        <f aca="false">AX430*$M430</f>
        <v>0</v>
      </c>
      <c r="AZ430" s="30" t="n">
        <f aca="false">627/100</f>
        <v>6.27</v>
      </c>
      <c r="BA430" s="11" t="n">
        <v>470</v>
      </c>
      <c r="BB430" s="31" t="n">
        <f aca="false">SUM(Q430,S430,U430,W430,Y430,AA430,AC430,AE430,AG430,AI430,AK430,AM430,AO430,AQ430,AS430,AU430,AW430,AY430)</f>
        <v>470</v>
      </c>
      <c r="BC430" s="28" t="n">
        <f aca="false">BA430-BB430</f>
        <v>0</v>
      </c>
      <c r="BD430" s="32" t="n">
        <f aca="false">SUM(P430,R430,T430,V430,X430,Z430,AB430,AD430,AF430,AH430,AJ430,AL430,AN430,AP430,AR430,AT430,AV430,AX430)</f>
        <v>6.27</v>
      </c>
      <c r="BE430" s="33" t="n">
        <f aca="false">AZ430-BD430</f>
        <v>0</v>
      </c>
      <c r="BF430" s="34" t="n">
        <f aca="false">BD430*M430</f>
        <v>470.25</v>
      </c>
      <c r="BG430" s="35" t="n">
        <f aca="false">BA430-BF430</f>
        <v>-0.249999999999943</v>
      </c>
      <c r="BH430" s="19" t="str">
        <f aca="false">IF(BG430=0,"",IF(BG430&lt;&gt;BA430,"erreur de calcul",IF(BD430&lt;&gt;0,"pas de prix",IF(M430&lt;&gt; 0,"pas de quantité","pas de prix, ni de quantité"))))</f>
        <v>erreur de calcul</v>
      </c>
      <c r="BI430" s="19"/>
    </row>
    <row r="431" customFormat="false" ht="16" hidden="false" customHeight="false" outlineLevel="0" collapsed="false">
      <c r="A431" s="0" t="n">
        <v>1</v>
      </c>
      <c r="B431" s="8" t="s">
        <v>24</v>
      </c>
      <c r="C431" s="9" t="s">
        <v>25</v>
      </c>
      <c r="D431" s="9" t="s">
        <v>26</v>
      </c>
      <c r="E431" s="10" t="n">
        <v>1789</v>
      </c>
      <c r="F431" s="9" t="s">
        <v>27</v>
      </c>
      <c r="G431" s="9" t="s">
        <v>27</v>
      </c>
      <c r="H431" s="11" t="n">
        <v>21</v>
      </c>
      <c r="I431" s="11" t="s">
        <v>155</v>
      </c>
      <c r="J431" s="14" t="n">
        <v>60</v>
      </c>
      <c r="K431" s="14"/>
      <c r="L431" s="16"/>
      <c r="M431" s="27" t="n">
        <f aca="false">J431+(K431/20)+(L431/240)</f>
        <v>60</v>
      </c>
      <c r="N431" s="17" t="s">
        <v>66</v>
      </c>
      <c r="O431" s="11"/>
      <c r="P431" s="28"/>
      <c r="Q431" s="28" t="n">
        <f aca="false">P431*$M431</f>
        <v>0</v>
      </c>
      <c r="R431" s="28"/>
      <c r="S431" s="28" t="n">
        <f aca="false">R431*$M431</f>
        <v>0</v>
      </c>
      <c r="T431" s="28"/>
      <c r="U431" s="28" t="n">
        <f aca="false">T431*$M431</f>
        <v>0</v>
      </c>
      <c r="V431" s="28" t="n">
        <v>10</v>
      </c>
      <c r="W431" s="28" t="n">
        <v>600</v>
      </c>
      <c r="X431" s="28"/>
      <c r="Y431" s="28" t="n">
        <f aca="false">X431*$M431</f>
        <v>0</v>
      </c>
      <c r="Z431" s="28"/>
      <c r="AA431" s="28" t="n">
        <f aca="false">Z431*$M431</f>
        <v>0</v>
      </c>
      <c r="AB431" s="28"/>
      <c r="AC431" s="28" t="n">
        <f aca="false">AB431*$M431</f>
        <v>0</v>
      </c>
      <c r="AD431" s="28"/>
      <c r="AE431" s="28" t="n">
        <f aca="false">AD431*$M431</f>
        <v>0</v>
      </c>
      <c r="AF431" s="28"/>
      <c r="AG431" s="28" t="n">
        <f aca="false">AF431*$M431</f>
        <v>0</v>
      </c>
      <c r="AH431" s="28"/>
      <c r="AI431" s="28" t="n">
        <f aca="false">AH431*$M431</f>
        <v>0</v>
      </c>
      <c r="AJ431" s="28"/>
      <c r="AK431" s="28" t="n">
        <f aca="false">AJ431*$M431</f>
        <v>0</v>
      </c>
      <c r="AL431" s="28"/>
      <c r="AM431" s="28" t="n">
        <f aca="false">AL431*$M431</f>
        <v>0</v>
      </c>
      <c r="AN431" s="28"/>
      <c r="AO431" s="28" t="n">
        <f aca="false">AN431*$M431</f>
        <v>0</v>
      </c>
      <c r="AP431" s="28"/>
      <c r="AQ431" s="28" t="n">
        <f aca="false">AP431*$M431</f>
        <v>0</v>
      </c>
      <c r="AR431" s="28"/>
      <c r="AS431" s="28" t="n">
        <f aca="false">AR431*$M431</f>
        <v>0</v>
      </c>
      <c r="AT431" s="28"/>
      <c r="AU431" s="28" t="n">
        <f aca="false">AT431*$M431</f>
        <v>0</v>
      </c>
      <c r="AV431" s="28"/>
      <c r="AW431" s="28" t="n">
        <f aca="false">AV431*$M431</f>
        <v>0</v>
      </c>
      <c r="AX431" s="28"/>
      <c r="AY431" s="28" t="n">
        <f aca="false">AX431*$M431</f>
        <v>0</v>
      </c>
      <c r="AZ431" s="30" t="n">
        <v>10</v>
      </c>
      <c r="BA431" s="11" t="n">
        <v>600</v>
      </c>
      <c r="BB431" s="31" t="n">
        <f aca="false">SUM(Q431,S431,U431,W431,Y431,AA431,AC431,AE431,AG431,AI431,AK431,AM431,AO431,AQ431,AS431,AU431,AW431,AY431)</f>
        <v>600</v>
      </c>
      <c r="BC431" s="28" t="n">
        <f aca="false">BA431-BB431</f>
        <v>0</v>
      </c>
      <c r="BD431" s="32" t="n">
        <f aca="false">SUM(P431,R431,T431,V431,X431,Z431,AB431,AD431,AF431,AH431,AJ431,AL431,AN431,AP431,AR431,AT431,AV431,AX431)</f>
        <v>10</v>
      </c>
      <c r="BE431" s="33" t="n">
        <f aca="false">AZ431-BD431</f>
        <v>0</v>
      </c>
      <c r="BF431" s="34" t="n">
        <f aca="false">BD431*M431</f>
        <v>600</v>
      </c>
      <c r="BG431" s="35" t="n">
        <f aca="false">BA431-BF431</f>
        <v>0</v>
      </c>
      <c r="BH431" s="19" t="str">
        <f aca="false">IF(BG431=0,"",IF(BG431&lt;&gt;BA431,"erreur de calcul",IF(BD431&lt;&gt;0,"pas de prix",IF(M431&lt;&gt; 0,"pas de quantité","pas de prix, ni de quantité"))))</f>
        <v/>
      </c>
      <c r="BI431" s="19"/>
    </row>
    <row r="432" customFormat="false" ht="16" hidden="false" customHeight="false" outlineLevel="0" collapsed="false">
      <c r="A432" s="0" t="n">
        <v>2</v>
      </c>
      <c r="B432" s="8" t="s">
        <v>24</v>
      </c>
      <c r="C432" s="9" t="s">
        <v>25</v>
      </c>
      <c r="D432" s="9" t="s">
        <v>26</v>
      </c>
      <c r="E432" s="10" t="n">
        <v>1789</v>
      </c>
      <c r="F432" s="9" t="s">
        <v>27</v>
      </c>
      <c r="G432" s="9" t="s">
        <v>27</v>
      </c>
      <c r="H432" s="11" t="n">
        <v>21</v>
      </c>
      <c r="I432" s="11" t="s">
        <v>156</v>
      </c>
      <c r="J432" s="14"/>
      <c r="K432" s="14"/>
      <c r="L432" s="16"/>
      <c r="M432" s="27" t="n">
        <f aca="false">J432+(K432/20)+(L432/240)</f>
        <v>0</v>
      </c>
      <c r="N432" s="17"/>
      <c r="O432" s="11"/>
      <c r="P432" s="28"/>
      <c r="Q432" s="28" t="n">
        <v>304</v>
      </c>
      <c r="R432" s="28"/>
      <c r="S432" s="28" t="n">
        <f aca="false">R432*$M432</f>
        <v>0</v>
      </c>
      <c r="T432" s="28"/>
      <c r="U432" s="28" t="n">
        <f aca="false">T432*$M432</f>
        <v>0</v>
      </c>
      <c r="V432" s="28"/>
      <c r="W432" s="28" t="n">
        <f aca="false">V432*$M432</f>
        <v>0</v>
      </c>
      <c r="X432" s="28"/>
      <c r="Y432" s="28" t="n">
        <v>270</v>
      </c>
      <c r="Z432" s="28"/>
      <c r="AA432" s="28" t="n">
        <f aca="false">Z432*$M432</f>
        <v>0</v>
      </c>
      <c r="AB432" s="28"/>
      <c r="AC432" s="28" t="n">
        <f aca="false">AB432*$M432</f>
        <v>0</v>
      </c>
      <c r="AD432" s="28"/>
      <c r="AE432" s="28" t="n">
        <v>175</v>
      </c>
      <c r="AF432" s="28"/>
      <c r="AG432" s="28" t="n">
        <f aca="false">AF432*$M432</f>
        <v>0</v>
      </c>
      <c r="AH432" s="28"/>
      <c r="AI432" s="28" t="n">
        <f aca="false">AH432*$M432</f>
        <v>0</v>
      </c>
      <c r="AJ432" s="28"/>
      <c r="AK432" s="28" t="n">
        <v>240</v>
      </c>
      <c r="AL432" s="28"/>
      <c r="AM432" s="28" t="n">
        <v>808</v>
      </c>
      <c r="AN432" s="28"/>
      <c r="AO432" s="28" t="n">
        <f aca="false">AN432*$M432</f>
        <v>0</v>
      </c>
      <c r="AP432" s="28"/>
      <c r="AQ432" s="28" t="n">
        <f aca="false">AP432*$M432</f>
        <v>0</v>
      </c>
      <c r="AR432" s="28"/>
      <c r="AS432" s="28" t="n">
        <f aca="false">AR432*$M432</f>
        <v>0</v>
      </c>
      <c r="AT432" s="28"/>
      <c r="AU432" s="28" t="n">
        <f aca="false">AT432*$M432</f>
        <v>0</v>
      </c>
      <c r="AV432" s="28"/>
      <c r="AW432" s="28" t="n">
        <f aca="false">AV432*$M432</f>
        <v>0</v>
      </c>
      <c r="AX432" s="28"/>
      <c r="AY432" s="28" t="n">
        <f aca="false">AX432*$M432</f>
        <v>0</v>
      </c>
      <c r="AZ432" s="30"/>
      <c r="BA432" s="11" t="n">
        <v>1797</v>
      </c>
      <c r="BB432" s="31" t="n">
        <f aca="false">SUM(Q432,S432,U432,W432,Y432,AA432,AC432,AE432,AG432,AI432,AK432,AM432,AO432,AQ432,AS432,AU432,AW432,AY432)</f>
        <v>1797</v>
      </c>
      <c r="BC432" s="28" t="n">
        <f aca="false">BA432-BB432</f>
        <v>0</v>
      </c>
      <c r="BD432" s="32" t="n">
        <f aca="false">SUM(P432,R432,T432,V432,X432,Z432,AB432,AD432,AF432,AH432,AJ432,AL432,AN432,AP432,AR432,AT432,AV432,AX432)</f>
        <v>0</v>
      </c>
      <c r="BE432" s="33" t="n">
        <f aca="false">AZ432-BD432</f>
        <v>0</v>
      </c>
      <c r="BF432" s="34" t="n">
        <f aca="false">BD432*M432</f>
        <v>0</v>
      </c>
      <c r="BG432" s="35" t="n">
        <f aca="false">BA432-BF432</f>
        <v>1797</v>
      </c>
      <c r="BH432" s="19" t="str">
        <f aca="false">IF(BG432=0,"",IF(BG432&lt;&gt;BA432,"erreur de calcul",IF(BD432&lt;&gt;0,"pas de prix",IF(M432&lt;&gt; 0,"pas de quantité","pas de prix, ni de quantité"))))</f>
        <v>pas de prix, ni de quantité</v>
      </c>
      <c r="BI432" s="19"/>
    </row>
    <row r="433" customFormat="false" ht="16" hidden="false" customHeight="false" outlineLevel="0" collapsed="false">
      <c r="A433" s="0" t="n">
        <v>3</v>
      </c>
      <c r="B433" s="8" t="s">
        <v>24</v>
      </c>
      <c r="C433" s="9" t="s">
        <v>25</v>
      </c>
      <c r="D433" s="9" t="s">
        <v>26</v>
      </c>
      <c r="E433" s="10" t="n">
        <v>1789</v>
      </c>
      <c r="F433" s="9" t="s">
        <v>27</v>
      </c>
      <c r="G433" s="9" t="s">
        <v>27</v>
      </c>
      <c r="H433" s="11" t="n">
        <v>21</v>
      </c>
      <c r="I433" s="11" t="s">
        <v>156</v>
      </c>
      <c r="J433" s="14" t="n">
        <v>175</v>
      </c>
      <c r="K433" s="14"/>
      <c r="L433" s="16"/>
      <c r="M433" s="27" t="n">
        <f aca="false">J433+(K433/20)+(L433/240)</f>
        <v>175</v>
      </c>
      <c r="N433" s="17" t="s">
        <v>64</v>
      </c>
      <c r="O433" s="11" t="s">
        <v>98</v>
      </c>
      <c r="P433" s="28" t="n">
        <f aca="false">3429/100</f>
        <v>34.29</v>
      </c>
      <c r="Q433" s="28" t="n">
        <v>6001</v>
      </c>
      <c r="R433" s="28"/>
      <c r="S433" s="28" t="n">
        <f aca="false">R433*$M433</f>
        <v>0</v>
      </c>
      <c r="T433" s="28" t="n">
        <f aca="false">5135/100</f>
        <v>51.35</v>
      </c>
      <c r="U433" s="28" t="n">
        <v>8986</v>
      </c>
      <c r="V433" s="28" t="n">
        <f aca="false">33716/100</f>
        <v>337.16</v>
      </c>
      <c r="W433" s="28" t="n">
        <v>59003</v>
      </c>
      <c r="X433" s="28" t="n">
        <f aca="false">14982/100</f>
        <v>149.82</v>
      </c>
      <c r="Y433" s="28" t="n">
        <v>26218</v>
      </c>
      <c r="Z433" s="28"/>
      <c r="AA433" s="28" t="n">
        <f aca="false">Z433*$M433</f>
        <v>0</v>
      </c>
      <c r="AB433" s="28"/>
      <c r="AC433" s="28" t="n">
        <f aca="false">AB433*$M433</f>
        <v>0</v>
      </c>
      <c r="AD433" s="28"/>
      <c r="AE433" s="28" t="n">
        <f aca="false">AD433*$M433</f>
        <v>0</v>
      </c>
      <c r="AF433" s="28" t="n">
        <f aca="false">439/100</f>
        <v>4.39</v>
      </c>
      <c r="AG433" s="28" t="n">
        <v>768</v>
      </c>
      <c r="AH433" s="28" t="n">
        <f aca="false">163722/100</f>
        <v>1637.22</v>
      </c>
      <c r="AI433" s="28" t="n">
        <v>286513</v>
      </c>
      <c r="AJ433" s="28" t="n">
        <f aca="false">17649/100</f>
        <v>176.49</v>
      </c>
      <c r="AK433" s="28" t="n">
        <v>30886</v>
      </c>
      <c r="AL433" s="28" t="n">
        <f aca="false">6852/100</f>
        <v>68.52</v>
      </c>
      <c r="AM433" s="28" t="n">
        <v>11991</v>
      </c>
      <c r="AN433" s="28"/>
      <c r="AO433" s="28" t="n">
        <f aca="false">AN433*$M433</f>
        <v>0</v>
      </c>
      <c r="AP433" s="28"/>
      <c r="AQ433" s="28" t="n">
        <f aca="false">AP433*$M433</f>
        <v>0</v>
      </c>
      <c r="AR433" s="28"/>
      <c r="AS433" s="28" t="n">
        <f aca="false">AR433*$M433</f>
        <v>0</v>
      </c>
      <c r="AT433" s="28"/>
      <c r="AU433" s="28" t="n">
        <f aca="false">AT433*$M433</f>
        <v>0</v>
      </c>
      <c r="AV433" s="28"/>
      <c r="AW433" s="28" t="n">
        <f aca="false">AV433*$M433</f>
        <v>0</v>
      </c>
      <c r="AX433" s="28"/>
      <c r="AY433" s="28" t="n">
        <f aca="false">AX433*$M433</f>
        <v>0</v>
      </c>
      <c r="AZ433" s="30" t="n">
        <f aca="false">245924/100</f>
        <v>2459.24</v>
      </c>
      <c r="BA433" s="11" t="n">
        <v>430366</v>
      </c>
      <c r="BB433" s="31" t="n">
        <f aca="false">SUM(Q433,S433,U433,W433,Y433,AA433,AC433,AE433,AG433,AI433,AK433,AM433,AO433,AQ433,AS433,AU433,AW433,AY433)</f>
        <v>430366</v>
      </c>
      <c r="BC433" s="28" t="n">
        <f aca="false">BA433-BB433</f>
        <v>0</v>
      </c>
      <c r="BD433" s="32" t="n">
        <f aca="false">SUM(P433,R433,T433,V433,X433,Z433,AB433,AD433,AF433,AH433,AJ433,AL433,AN433,AP433,AR433,AT433,AV433,AX433)</f>
        <v>2459.24</v>
      </c>
      <c r="BE433" s="33" t="n">
        <f aca="false">AZ433-BD433</f>
        <v>0</v>
      </c>
      <c r="BF433" s="34" t="n">
        <f aca="false">BD433*M433</f>
        <v>430367</v>
      </c>
      <c r="BG433" s="35" t="n">
        <f aca="false">BA433-BF433</f>
        <v>-1.00000000005821</v>
      </c>
      <c r="BH433" s="19" t="str">
        <f aca="false">IF(BG433=0,"",IF(BG433&lt;&gt;BA433,"erreur de calcul",IF(BD433&lt;&gt;0,"pas de prix",IF(M433&lt;&gt; 0,"pas de quantité","pas de prix, ni de quantité"))))</f>
        <v>erreur de calcul</v>
      </c>
      <c r="BI433" s="19"/>
    </row>
    <row r="434" customFormat="false" ht="16" hidden="false" customHeight="false" outlineLevel="0" collapsed="false">
      <c r="A434" s="0" t="n">
        <v>4</v>
      </c>
      <c r="B434" s="8" t="s">
        <v>24</v>
      </c>
      <c r="C434" s="9" t="s">
        <v>25</v>
      </c>
      <c r="D434" s="9" t="s">
        <v>26</v>
      </c>
      <c r="E434" s="10" t="n">
        <v>1789</v>
      </c>
      <c r="F434" s="9" t="s">
        <v>27</v>
      </c>
      <c r="G434" s="9" t="s">
        <v>27</v>
      </c>
      <c r="H434" s="11" t="n">
        <v>21</v>
      </c>
      <c r="I434" s="11" t="s">
        <v>157</v>
      </c>
      <c r="J434" s="14" t="n">
        <v>240</v>
      </c>
      <c r="K434" s="14"/>
      <c r="L434" s="16"/>
      <c r="M434" s="27" t="n">
        <f aca="false">J434+(K434/20)+(L434/240)</f>
        <v>240</v>
      </c>
      <c r="N434" s="17" t="s">
        <v>64</v>
      </c>
      <c r="O434" s="11"/>
      <c r="P434" s="28"/>
      <c r="Q434" s="28" t="n">
        <f aca="false">P434*$M434</f>
        <v>0</v>
      </c>
      <c r="R434" s="28"/>
      <c r="S434" s="28" t="n">
        <f aca="false">R434*$M434</f>
        <v>0</v>
      </c>
      <c r="T434" s="28"/>
      <c r="U434" s="28" t="n">
        <f aca="false">T434*$M434</f>
        <v>0</v>
      </c>
      <c r="V434" s="28"/>
      <c r="W434" s="28" t="n">
        <f aca="false">V434*$M434</f>
        <v>0</v>
      </c>
      <c r="X434" s="28"/>
      <c r="Y434" s="28" t="n">
        <f aca="false">X434*$M434</f>
        <v>0</v>
      </c>
      <c r="Z434" s="28"/>
      <c r="AA434" s="28" t="n">
        <f aca="false">Z434*$M434</f>
        <v>0</v>
      </c>
      <c r="AB434" s="28"/>
      <c r="AC434" s="28" t="n">
        <f aca="false">AB434*$M434</f>
        <v>0</v>
      </c>
      <c r="AD434" s="28"/>
      <c r="AE434" s="28" t="n">
        <f aca="false">AD434*$M434</f>
        <v>0</v>
      </c>
      <c r="AF434" s="28"/>
      <c r="AG434" s="28" t="n">
        <f aca="false">AF434*$M434</f>
        <v>0</v>
      </c>
      <c r="AH434" s="28"/>
      <c r="AI434" s="28" t="n">
        <f aca="false">AH434*$M434</f>
        <v>0</v>
      </c>
      <c r="AJ434" s="28" t="n">
        <f aca="false">290/100</f>
        <v>2.9</v>
      </c>
      <c r="AK434" s="36" t="n">
        <v>2208</v>
      </c>
      <c r="AL434" s="28"/>
      <c r="AM434" s="28" t="n">
        <f aca="false">AL434*$M434</f>
        <v>0</v>
      </c>
      <c r="AN434" s="28"/>
      <c r="AO434" s="28" t="n">
        <f aca="false">AN434*$M434</f>
        <v>0</v>
      </c>
      <c r="AP434" s="28"/>
      <c r="AQ434" s="28" t="n">
        <f aca="false">AP434*$M434</f>
        <v>0</v>
      </c>
      <c r="AR434" s="28"/>
      <c r="AS434" s="28" t="n">
        <f aca="false">AR434*$M434</f>
        <v>0</v>
      </c>
      <c r="AT434" s="28"/>
      <c r="AU434" s="28" t="n">
        <f aca="false">AT434*$M434</f>
        <v>0</v>
      </c>
      <c r="AV434" s="28"/>
      <c r="AW434" s="28" t="n">
        <f aca="false">AV434*$M434</f>
        <v>0</v>
      </c>
      <c r="AX434" s="28"/>
      <c r="AY434" s="28" t="n">
        <f aca="false">AX434*$M434</f>
        <v>0</v>
      </c>
      <c r="AZ434" s="30" t="n">
        <f aca="false">290/100</f>
        <v>2.9</v>
      </c>
      <c r="BA434" s="11" t="n">
        <v>2208</v>
      </c>
      <c r="BB434" s="31" t="n">
        <f aca="false">SUM(Q434,S434,U434,W434,Y434,AA434,AC434,AE434,AG434,AI434,AK434,AM434,AO434,AQ434,AS434,AU434,AW434,AY434)</f>
        <v>2208</v>
      </c>
      <c r="BC434" s="28" t="n">
        <f aca="false">BA434-BB434</f>
        <v>0</v>
      </c>
      <c r="BD434" s="32" t="n">
        <f aca="false">SUM(P434,R434,T434,V434,X434,Z434,AB434,AD434,AF434,AH434,AJ434,AL434,AN434,AP434,AR434,AT434,AV434,AX434)</f>
        <v>2.9</v>
      </c>
      <c r="BE434" s="33" t="n">
        <f aca="false">AZ434-BD434</f>
        <v>0</v>
      </c>
      <c r="BF434" s="34" t="n">
        <f aca="false">BD434*M434</f>
        <v>696</v>
      </c>
      <c r="BG434" s="35" t="n">
        <f aca="false">BA434-BF434</f>
        <v>1512</v>
      </c>
      <c r="BH434" s="19" t="str">
        <f aca="false">IF(BG434=0,"",IF(BG434&lt;&gt;BA434,"erreur de calcul",IF(BD434&lt;&gt;0,"pas de prix",IF(M434&lt;&gt; 0,"pas de quantité","pas de prix, ni de quantité"))))</f>
        <v>erreur de calcul</v>
      </c>
      <c r="BI434" s="19"/>
    </row>
    <row r="435" customFormat="false" ht="16" hidden="false" customHeight="false" outlineLevel="0" collapsed="false">
      <c r="A435" s="0" t="n">
        <v>5</v>
      </c>
      <c r="B435" s="8" t="s">
        <v>24</v>
      </c>
      <c r="C435" s="9" t="s">
        <v>25</v>
      </c>
      <c r="D435" s="9" t="s">
        <v>26</v>
      </c>
      <c r="E435" s="10" t="n">
        <v>1789</v>
      </c>
      <c r="F435" s="9" t="s">
        <v>27</v>
      </c>
      <c r="G435" s="9" t="s">
        <v>27</v>
      </c>
      <c r="H435" s="11" t="n">
        <v>21</v>
      </c>
      <c r="I435" s="11" t="s">
        <v>158</v>
      </c>
      <c r="J435" s="14" t="n">
        <v>115</v>
      </c>
      <c r="K435" s="14"/>
      <c r="L435" s="16"/>
      <c r="M435" s="27" t="n">
        <f aca="false">J435+(K435/20)+(L435/240)</f>
        <v>115</v>
      </c>
      <c r="N435" s="17" t="s">
        <v>64</v>
      </c>
      <c r="O435" s="11"/>
      <c r="P435" s="28"/>
      <c r="Q435" s="28" t="n">
        <f aca="false">P435*$M435</f>
        <v>0</v>
      </c>
      <c r="R435" s="28"/>
      <c r="S435" s="28" t="n">
        <f aca="false">R435*$M435</f>
        <v>0</v>
      </c>
      <c r="T435" s="28"/>
      <c r="U435" s="28" t="n">
        <f aca="false">T435*$M435</f>
        <v>0</v>
      </c>
      <c r="V435" s="28"/>
      <c r="W435" s="28" t="n">
        <f aca="false">V435*$M435</f>
        <v>0</v>
      </c>
      <c r="X435" s="28"/>
      <c r="Y435" s="28" t="n">
        <f aca="false">X435*$M435</f>
        <v>0</v>
      </c>
      <c r="Z435" s="28"/>
      <c r="AA435" s="28" t="n">
        <f aca="false">Z435*$M435</f>
        <v>0</v>
      </c>
      <c r="AB435" s="28"/>
      <c r="AC435" s="28" t="n">
        <f aca="false">AB435*$M435</f>
        <v>0</v>
      </c>
      <c r="AD435" s="28"/>
      <c r="AE435" s="28" t="n">
        <f aca="false">AD435*$M435</f>
        <v>0</v>
      </c>
      <c r="AF435" s="28"/>
      <c r="AG435" s="28" t="n">
        <f aca="false">AF435*$M435</f>
        <v>0</v>
      </c>
      <c r="AH435" s="28" t="n">
        <f aca="false">491552/100</f>
        <v>4915.52</v>
      </c>
      <c r="AI435" s="28" t="n">
        <v>565285</v>
      </c>
      <c r="AJ435" s="28"/>
      <c r="AK435" s="28" t="n">
        <f aca="false">AJ435*$M435</f>
        <v>0</v>
      </c>
      <c r="AL435" s="28"/>
      <c r="AM435" s="28" t="n">
        <f aca="false">AL435*$M435</f>
        <v>0</v>
      </c>
      <c r="AN435" s="28"/>
      <c r="AO435" s="28" t="n">
        <f aca="false">AN435*$M435</f>
        <v>0</v>
      </c>
      <c r="AP435" s="28"/>
      <c r="AQ435" s="28" t="n">
        <f aca="false">AP435*$M435</f>
        <v>0</v>
      </c>
      <c r="AR435" s="28"/>
      <c r="AS435" s="28" t="n">
        <f aca="false">AR435*$M435</f>
        <v>0</v>
      </c>
      <c r="AT435" s="28"/>
      <c r="AU435" s="28" t="n">
        <f aca="false">AT435*$M435</f>
        <v>0</v>
      </c>
      <c r="AV435" s="28"/>
      <c r="AW435" s="28" t="n">
        <f aca="false">AV435*$M435</f>
        <v>0</v>
      </c>
      <c r="AX435" s="28"/>
      <c r="AY435" s="28" t="n">
        <f aca="false">AX435*$M435</f>
        <v>0</v>
      </c>
      <c r="AZ435" s="30" t="n">
        <f aca="false">491552/100</f>
        <v>4915.52</v>
      </c>
      <c r="BA435" s="11" t="n">
        <v>565285</v>
      </c>
      <c r="BB435" s="31" t="n">
        <f aca="false">SUM(Q435,S435,U435,W435,Y435,AA435,AC435,AE435,AG435,AI435,AK435,AM435,AO435,AQ435,AS435,AU435,AW435,AY435)</f>
        <v>565285</v>
      </c>
      <c r="BC435" s="28" t="n">
        <f aca="false">BA435-BB435</f>
        <v>0</v>
      </c>
      <c r="BD435" s="32" t="n">
        <f aca="false">SUM(P435,R435,T435,V435,X435,Z435,AB435,AD435,AF435,AH435,AJ435,AL435,AN435,AP435,AR435,AT435,AV435,AX435)</f>
        <v>4915.52</v>
      </c>
      <c r="BE435" s="33" t="n">
        <f aca="false">AZ435-BD435</f>
        <v>0</v>
      </c>
      <c r="BF435" s="34" t="n">
        <f aca="false">BD435*M435</f>
        <v>565284.8</v>
      </c>
      <c r="BG435" s="35" t="n">
        <f aca="false">BA435-BF435</f>
        <v>0.199999999953434</v>
      </c>
      <c r="BH435" s="19" t="str">
        <f aca="false">IF(BG435=0,"",IF(BG435&lt;&gt;BA435,"erreur de calcul",IF(BD435&lt;&gt;0,"pas de prix",IF(M435&lt;&gt; 0,"pas de quantité","pas de prix, ni de quantité"))))</f>
        <v>erreur de calcul</v>
      </c>
      <c r="BI435" s="19"/>
    </row>
    <row r="436" customFormat="false" ht="16" hidden="false" customHeight="false" outlineLevel="0" collapsed="false">
      <c r="A436" s="0" t="n">
        <v>6</v>
      </c>
      <c r="B436" s="8" t="s">
        <v>24</v>
      </c>
      <c r="C436" s="9" t="s">
        <v>25</v>
      </c>
      <c r="D436" s="9" t="s">
        <v>26</v>
      </c>
      <c r="E436" s="10" t="n">
        <v>1789</v>
      </c>
      <c r="F436" s="9" t="s">
        <v>27</v>
      </c>
      <c r="G436" s="9" t="s">
        <v>27</v>
      </c>
      <c r="H436" s="11" t="n">
        <v>21</v>
      </c>
      <c r="I436" s="11" t="s">
        <v>159</v>
      </c>
      <c r="J436" s="14" t="n">
        <v>240</v>
      </c>
      <c r="K436" s="14"/>
      <c r="L436" s="16"/>
      <c r="M436" s="27" t="n">
        <f aca="false">J436+(K436/20)+(L436/240)</f>
        <v>240</v>
      </c>
      <c r="N436" s="17" t="s">
        <v>64</v>
      </c>
      <c r="O436" s="11"/>
      <c r="P436" s="28"/>
      <c r="Q436" s="28" t="n">
        <f aca="false">P436*$M436</f>
        <v>0</v>
      </c>
      <c r="R436" s="28"/>
      <c r="S436" s="28" t="n">
        <f aca="false">R436*$M436</f>
        <v>0</v>
      </c>
      <c r="T436" s="28"/>
      <c r="U436" s="28" t="n">
        <f aca="false">T436*$M436</f>
        <v>0</v>
      </c>
      <c r="V436" s="28"/>
      <c r="W436" s="28" t="n">
        <f aca="false">V436*$M436</f>
        <v>0</v>
      </c>
      <c r="X436" s="28"/>
      <c r="Y436" s="28" t="n">
        <f aca="false">X436*$M436</f>
        <v>0</v>
      </c>
      <c r="Z436" s="28"/>
      <c r="AA436" s="28" t="n">
        <f aca="false">Z436*$M436</f>
        <v>0</v>
      </c>
      <c r="AB436" s="28"/>
      <c r="AC436" s="28" t="n">
        <f aca="false">AB436*$M436</f>
        <v>0</v>
      </c>
      <c r="AD436" s="28"/>
      <c r="AE436" s="28" t="n">
        <f aca="false">AD436*$M436</f>
        <v>0</v>
      </c>
      <c r="AF436" s="28"/>
      <c r="AG436" s="28" t="n">
        <f aca="false">AF436*$M436</f>
        <v>0</v>
      </c>
      <c r="AH436" s="28" t="n">
        <f aca="false">46293/100</f>
        <v>462.93</v>
      </c>
      <c r="AI436" s="28" t="n">
        <v>111103</v>
      </c>
      <c r="AJ436" s="28"/>
      <c r="AK436" s="28" t="n">
        <f aca="false">AJ436*$M436</f>
        <v>0</v>
      </c>
      <c r="AL436" s="28"/>
      <c r="AM436" s="28" t="n">
        <f aca="false">AL436*$M436</f>
        <v>0</v>
      </c>
      <c r="AN436" s="28"/>
      <c r="AO436" s="28" t="n">
        <f aca="false">AN436*$M436</f>
        <v>0</v>
      </c>
      <c r="AP436" s="28"/>
      <c r="AQ436" s="28" t="n">
        <f aca="false">AP436*$M436</f>
        <v>0</v>
      </c>
      <c r="AR436" s="28"/>
      <c r="AS436" s="28" t="n">
        <f aca="false">AR436*$M436</f>
        <v>0</v>
      </c>
      <c r="AT436" s="28"/>
      <c r="AU436" s="28" t="n">
        <f aca="false">AT436*$M436</f>
        <v>0</v>
      </c>
      <c r="AV436" s="28"/>
      <c r="AW436" s="28" t="n">
        <f aca="false">AV436*$M436</f>
        <v>0</v>
      </c>
      <c r="AX436" s="28"/>
      <c r="AY436" s="28" t="n">
        <f aca="false">AX436*$M436</f>
        <v>0</v>
      </c>
      <c r="AZ436" s="30" t="n">
        <f aca="false">46293/100</f>
        <v>462.93</v>
      </c>
      <c r="BA436" s="11" t="n">
        <v>111103</v>
      </c>
      <c r="BB436" s="31" t="n">
        <f aca="false">SUM(Q436,S436,U436,W436,Y436,AA436,AC436,AE436,AG436,AI436,AK436,AM436,AO436,AQ436,AS436,AU436,AW436,AY436)</f>
        <v>111103</v>
      </c>
      <c r="BC436" s="28" t="n">
        <f aca="false">BA436-BB436</f>
        <v>0</v>
      </c>
      <c r="BD436" s="32" t="n">
        <f aca="false">SUM(P436,R436,T436,V436,X436,Z436,AB436,AD436,AF436,AH436,AJ436,AL436,AN436,AP436,AR436,AT436,AV436,AX436)</f>
        <v>462.93</v>
      </c>
      <c r="BE436" s="33" t="n">
        <f aca="false">AZ436-BD436</f>
        <v>0</v>
      </c>
      <c r="BF436" s="34" t="n">
        <f aca="false">BD436*M436</f>
        <v>111103.2</v>
      </c>
      <c r="BG436" s="35" t="n">
        <f aca="false">BA436-BF436</f>
        <v>-0.19999999999709</v>
      </c>
      <c r="BH436" s="19" t="str">
        <f aca="false">IF(BG436=0,"",IF(BG436&lt;&gt;BA436,"erreur de calcul",IF(BD436&lt;&gt;0,"pas de prix",IF(M436&lt;&gt; 0,"pas de quantité","pas de prix, ni de quantité"))))</f>
        <v>erreur de calcul</v>
      </c>
      <c r="BI436" s="19"/>
    </row>
    <row r="437" customFormat="false" ht="16" hidden="false" customHeight="false" outlineLevel="0" collapsed="false">
      <c r="A437" s="0" t="n">
        <v>7</v>
      </c>
      <c r="B437" s="8" t="s">
        <v>24</v>
      </c>
      <c r="C437" s="9" t="s">
        <v>25</v>
      </c>
      <c r="D437" s="9" t="s">
        <v>26</v>
      </c>
      <c r="E437" s="10" t="n">
        <v>1789</v>
      </c>
      <c r="F437" s="9" t="s">
        <v>27</v>
      </c>
      <c r="G437" s="9" t="s">
        <v>27</v>
      </c>
      <c r="H437" s="11" t="n">
        <v>21</v>
      </c>
      <c r="I437" s="11" t="s">
        <v>160</v>
      </c>
      <c r="J437" s="14" t="n">
        <v>70</v>
      </c>
      <c r="K437" s="14"/>
      <c r="L437" s="16"/>
      <c r="M437" s="27" t="n">
        <f aca="false">J437+(K437/20)+(L437/240)</f>
        <v>70</v>
      </c>
      <c r="N437" s="17" t="s">
        <v>64</v>
      </c>
      <c r="O437" s="11"/>
      <c r="P437" s="28"/>
      <c r="Q437" s="28" t="n">
        <f aca="false">P437*$M437</f>
        <v>0</v>
      </c>
      <c r="R437" s="28"/>
      <c r="S437" s="28" t="n">
        <f aca="false">R437*$M437</f>
        <v>0</v>
      </c>
      <c r="T437" s="28"/>
      <c r="U437" s="28" t="n">
        <f aca="false">T437*$M437</f>
        <v>0</v>
      </c>
      <c r="V437" s="28"/>
      <c r="W437" s="28" t="n">
        <f aca="false">V437*$M437</f>
        <v>0</v>
      </c>
      <c r="X437" s="28"/>
      <c r="Y437" s="28" t="n">
        <f aca="false">X437*$M437</f>
        <v>0</v>
      </c>
      <c r="Z437" s="28"/>
      <c r="AA437" s="28" t="n">
        <f aca="false">Z437*$M437</f>
        <v>0</v>
      </c>
      <c r="AB437" s="28"/>
      <c r="AC437" s="28" t="n">
        <f aca="false">AB437*$M437</f>
        <v>0</v>
      </c>
      <c r="AD437" s="28"/>
      <c r="AE437" s="28" t="n">
        <f aca="false">AD437*$M437</f>
        <v>0</v>
      </c>
      <c r="AF437" s="28" t="n">
        <f aca="false">125849/100</f>
        <v>1258.49</v>
      </c>
      <c r="AG437" s="28" t="n">
        <v>88094</v>
      </c>
      <c r="AH437" s="28"/>
      <c r="AI437" s="28" t="n">
        <f aca="false">AH437*$M437</f>
        <v>0</v>
      </c>
      <c r="AJ437" s="28"/>
      <c r="AK437" s="28" t="n">
        <f aca="false">AJ437*$M437</f>
        <v>0</v>
      </c>
      <c r="AL437" s="28"/>
      <c r="AM437" s="28" t="n">
        <f aca="false">AL437*$M437</f>
        <v>0</v>
      </c>
      <c r="AN437" s="28"/>
      <c r="AO437" s="28" t="n">
        <f aca="false">AN437*$M437</f>
        <v>0</v>
      </c>
      <c r="AP437" s="28"/>
      <c r="AQ437" s="28" t="n">
        <f aca="false">AP437*$M437</f>
        <v>0</v>
      </c>
      <c r="AR437" s="28"/>
      <c r="AS437" s="28" t="n">
        <f aca="false">AR437*$M437</f>
        <v>0</v>
      </c>
      <c r="AT437" s="28"/>
      <c r="AU437" s="28" t="n">
        <f aca="false">AT437*$M437</f>
        <v>0</v>
      </c>
      <c r="AV437" s="28"/>
      <c r="AW437" s="28" t="n">
        <f aca="false">AV437*$M437</f>
        <v>0</v>
      </c>
      <c r="AX437" s="28"/>
      <c r="AY437" s="28" t="n">
        <f aca="false">AX437*$M437</f>
        <v>0</v>
      </c>
      <c r="AZ437" s="30" t="n">
        <f aca="false">125849/100</f>
        <v>1258.49</v>
      </c>
      <c r="BA437" s="11" t="n">
        <v>88094</v>
      </c>
      <c r="BB437" s="31" t="n">
        <f aca="false">SUM(Q437,S437,U437,W437,Y437,AA437,AC437,AE437,AG437,AI437,AK437,AM437,AO437,AQ437,AS437,AU437,AW437,AY437)</f>
        <v>88094</v>
      </c>
      <c r="BC437" s="28" t="n">
        <f aca="false">BA437-BB437</f>
        <v>0</v>
      </c>
      <c r="BD437" s="32" t="n">
        <f aca="false">SUM(P437,R437,T437,V437,X437,Z437,AB437,AD437,AF437,AH437,AJ437,AL437,AN437,AP437,AR437,AT437,AV437,AX437)</f>
        <v>1258.49</v>
      </c>
      <c r="BE437" s="33" t="n">
        <f aca="false">AZ437-BD437</f>
        <v>0</v>
      </c>
      <c r="BF437" s="34" t="n">
        <f aca="false">BD437*M437</f>
        <v>88094.3</v>
      </c>
      <c r="BG437" s="35" t="n">
        <f aca="false">BA437-BF437</f>
        <v>-0.30000000000291</v>
      </c>
      <c r="BH437" s="19" t="str">
        <f aca="false">IF(BG437=0,"",IF(BG437&lt;&gt;BA437,"erreur de calcul",IF(BD437&lt;&gt;0,"pas de prix",IF(M437&lt;&gt; 0,"pas de quantité","pas de prix, ni de quantité"))))</f>
        <v>erreur de calcul</v>
      </c>
      <c r="BI437" s="19"/>
    </row>
    <row r="438" customFormat="false" ht="16" hidden="false" customHeight="false" outlineLevel="0" collapsed="false">
      <c r="A438" s="0" t="n">
        <v>8</v>
      </c>
      <c r="B438" s="8" t="s">
        <v>24</v>
      </c>
      <c r="C438" s="9" t="s">
        <v>25</v>
      </c>
      <c r="D438" s="9" t="s">
        <v>26</v>
      </c>
      <c r="E438" s="10" t="n">
        <v>1789</v>
      </c>
      <c r="F438" s="9" t="s">
        <v>27</v>
      </c>
      <c r="G438" s="9" t="s">
        <v>27</v>
      </c>
      <c r="H438" s="11" t="n">
        <v>21</v>
      </c>
      <c r="I438" s="11" t="s">
        <v>161</v>
      </c>
      <c r="J438" s="14" t="n">
        <v>50</v>
      </c>
      <c r="K438" s="14"/>
      <c r="L438" s="16"/>
      <c r="M438" s="27" t="n">
        <f aca="false">J438+(K438/20)+(L438/240)</f>
        <v>50</v>
      </c>
      <c r="N438" s="17" t="s">
        <v>64</v>
      </c>
      <c r="O438" s="11"/>
      <c r="P438" s="28"/>
      <c r="Q438" s="28" t="n">
        <f aca="false">P438*$M438</f>
        <v>0</v>
      </c>
      <c r="R438" s="28"/>
      <c r="S438" s="28" t="n">
        <f aca="false">R438*$M438</f>
        <v>0</v>
      </c>
      <c r="T438" s="28"/>
      <c r="U438" s="28" t="n">
        <f aca="false">T438*$M438</f>
        <v>0</v>
      </c>
      <c r="V438" s="28" t="n">
        <f aca="false">18055/100</f>
        <v>180.55</v>
      </c>
      <c r="W438" s="28" t="n">
        <v>9027</v>
      </c>
      <c r="X438" s="28" t="n">
        <f aca="false">17880/100</f>
        <v>178.8</v>
      </c>
      <c r="Y438" s="28" t="n">
        <v>8940</v>
      </c>
      <c r="Z438" s="28"/>
      <c r="AA438" s="28" t="n">
        <f aca="false">Z438*$M438</f>
        <v>0</v>
      </c>
      <c r="AB438" s="28" t="n">
        <f aca="false">104483/100</f>
        <v>1044.83</v>
      </c>
      <c r="AC438" s="28" t="n">
        <v>52241</v>
      </c>
      <c r="AD438" s="28"/>
      <c r="AE438" s="28" t="n">
        <f aca="false">AD438*$M438</f>
        <v>0</v>
      </c>
      <c r="AF438" s="28"/>
      <c r="AG438" s="28" t="n">
        <f aca="false">AF438*$M438</f>
        <v>0</v>
      </c>
      <c r="AH438" s="28"/>
      <c r="AI438" s="28" t="n">
        <f aca="false">AH438*$M438</f>
        <v>0</v>
      </c>
      <c r="AJ438" s="28"/>
      <c r="AK438" s="28" t="n">
        <f aca="false">AJ438*$M438</f>
        <v>0</v>
      </c>
      <c r="AL438" s="28"/>
      <c r="AM438" s="28" t="n">
        <f aca="false">AL438*$M438</f>
        <v>0</v>
      </c>
      <c r="AN438" s="28"/>
      <c r="AO438" s="28" t="n">
        <f aca="false">AN438*$M438</f>
        <v>0</v>
      </c>
      <c r="AP438" s="28"/>
      <c r="AQ438" s="28" t="n">
        <f aca="false">AP438*$M438</f>
        <v>0</v>
      </c>
      <c r="AR438" s="28"/>
      <c r="AS438" s="28" t="n">
        <f aca="false">AR438*$M438</f>
        <v>0</v>
      </c>
      <c r="AT438" s="28"/>
      <c r="AU438" s="28" t="n">
        <f aca="false">AT438*$M438</f>
        <v>0</v>
      </c>
      <c r="AV438" s="28"/>
      <c r="AW438" s="28" t="n">
        <f aca="false">AV438*$M438</f>
        <v>0</v>
      </c>
      <c r="AX438" s="28"/>
      <c r="AY438" s="28" t="n">
        <f aca="false">AX438*$M438</f>
        <v>0</v>
      </c>
      <c r="AZ438" s="30" t="n">
        <f aca="false">140418/100</f>
        <v>1404.18</v>
      </c>
      <c r="BA438" s="11" t="n">
        <v>70208</v>
      </c>
      <c r="BB438" s="31" t="n">
        <f aca="false">SUM(Q438,S438,U438,W438,Y438,AA438,AC438,AE438,AG438,AI438,AK438,AM438,AO438,AQ438,AS438,AU438,AW438,AY438)</f>
        <v>70208</v>
      </c>
      <c r="BC438" s="28" t="n">
        <f aca="false">BA438-BB438</f>
        <v>0</v>
      </c>
      <c r="BD438" s="32" t="n">
        <f aca="false">SUM(P438,R438,T438,V438,X438,Z438,AB438,AD438,AF438,AH438,AJ438,AL438,AN438,AP438,AR438,AT438,AV438,AX438)</f>
        <v>1404.18</v>
      </c>
      <c r="BE438" s="33" t="n">
        <f aca="false">AZ438-BD438</f>
        <v>0</v>
      </c>
      <c r="BF438" s="34" t="n">
        <f aca="false">BD438*M438</f>
        <v>70209</v>
      </c>
      <c r="BG438" s="35" t="n">
        <f aca="false">BA438-BF438</f>
        <v>-0.999999999985448</v>
      </c>
      <c r="BH438" s="19" t="str">
        <f aca="false">IF(BG438=0,"",IF(BG438&lt;&gt;BA438,"erreur de calcul",IF(BD438&lt;&gt;0,"pas de prix",IF(M438&lt;&gt; 0,"pas de quantité","pas de prix, ni de quantité"))))</f>
        <v>erreur de calcul</v>
      </c>
      <c r="BI438" s="19"/>
    </row>
    <row r="439" customFormat="false" ht="16" hidden="false" customHeight="false" outlineLevel="0" collapsed="false">
      <c r="A439" s="0" t="n">
        <v>9</v>
      </c>
      <c r="B439" s="8" t="s">
        <v>24</v>
      </c>
      <c r="C439" s="9" t="s">
        <v>25</v>
      </c>
      <c r="D439" s="9" t="s">
        <v>26</v>
      </c>
      <c r="E439" s="10" t="n">
        <v>1789</v>
      </c>
      <c r="F439" s="9" t="s">
        <v>27</v>
      </c>
      <c r="G439" s="9" t="s">
        <v>27</v>
      </c>
      <c r="H439" s="11" t="n">
        <v>21</v>
      </c>
      <c r="I439" s="11" t="s">
        <v>162</v>
      </c>
      <c r="J439" s="14" t="n">
        <v>250</v>
      </c>
      <c r="K439" s="14"/>
      <c r="L439" s="16"/>
      <c r="M439" s="27" t="n">
        <f aca="false">J439+(K439/20)+(L439/240)</f>
        <v>250</v>
      </c>
      <c r="N439" s="17" t="s">
        <v>64</v>
      </c>
      <c r="O439" s="11"/>
      <c r="P439" s="28"/>
      <c r="Q439" s="28" t="n">
        <f aca="false">P439*$M439</f>
        <v>0</v>
      </c>
      <c r="R439" s="28"/>
      <c r="S439" s="28" t="n">
        <f aca="false">R439*$M439</f>
        <v>0</v>
      </c>
      <c r="T439" s="28"/>
      <c r="U439" s="28" t="n">
        <f aca="false">T439*$M439</f>
        <v>0</v>
      </c>
      <c r="V439" s="28"/>
      <c r="W439" s="28" t="n">
        <f aca="false">V439*$M439</f>
        <v>0</v>
      </c>
      <c r="X439" s="28"/>
      <c r="Y439" s="28" t="n">
        <f aca="false">X439*$M439</f>
        <v>0</v>
      </c>
      <c r="Z439" s="28"/>
      <c r="AA439" s="28" t="n">
        <f aca="false">Z439*$M439</f>
        <v>0</v>
      </c>
      <c r="AB439" s="28"/>
      <c r="AC439" s="28" t="n">
        <f aca="false">AB439*$M439</f>
        <v>0</v>
      </c>
      <c r="AD439" s="28"/>
      <c r="AE439" s="28" t="n">
        <f aca="false">AD439*$M439</f>
        <v>0</v>
      </c>
      <c r="AF439" s="28"/>
      <c r="AG439" s="28" t="n">
        <f aca="false">AF439*$M439</f>
        <v>0</v>
      </c>
      <c r="AH439" s="28" t="n">
        <f aca="false">2306/100</f>
        <v>23.06</v>
      </c>
      <c r="AI439" s="36" t="n">
        <v>5073</v>
      </c>
      <c r="AJ439" s="28"/>
      <c r="AK439" s="28" t="n">
        <f aca="false">AJ439*$M439</f>
        <v>0</v>
      </c>
      <c r="AL439" s="28"/>
      <c r="AM439" s="28" t="n">
        <f aca="false">AL439*$M439</f>
        <v>0</v>
      </c>
      <c r="AN439" s="28"/>
      <c r="AO439" s="28" t="n">
        <f aca="false">AN439*$M439</f>
        <v>0</v>
      </c>
      <c r="AP439" s="28"/>
      <c r="AQ439" s="28" t="n">
        <f aca="false">AP439*$M439</f>
        <v>0</v>
      </c>
      <c r="AR439" s="28"/>
      <c r="AS439" s="28" t="n">
        <f aca="false">AR439*$M439</f>
        <v>0</v>
      </c>
      <c r="AT439" s="28"/>
      <c r="AU439" s="28" t="n">
        <f aca="false">AT439*$M439</f>
        <v>0</v>
      </c>
      <c r="AV439" s="28"/>
      <c r="AW439" s="28" t="n">
        <f aca="false">AV439*$M439</f>
        <v>0</v>
      </c>
      <c r="AX439" s="28"/>
      <c r="AY439" s="28" t="n">
        <f aca="false">AX439*$M439</f>
        <v>0</v>
      </c>
      <c r="AZ439" s="30" t="n">
        <f aca="false">2306/100</f>
        <v>23.06</v>
      </c>
      <c r="BA439" s="11" t="n">
        <v>5073</v>
      </c>
      <c r="BB439" s="31" t="n">
        <f aca="false">SUM(Q439,S439,U439,W439,Y439,AA439,AC439,AE439,AG439,AI439,AK439,AM439,AO439,AQ439,AS439,AU439,AW439,AY439)</f>
        <v>5073</v>
      </c>
      <c r="BC439" s="28" t="n">
        <f aca="false">BA439-BB439</f>
        <v>0</v>
      </c>
      <c r="BD439" s="32" t="n">
        <f aca="false">SUM(P439,R439,T439,V439,X439,Z439,AB439,AD439,AF439,AH439,AJ439,AL439,AN439,AP439,AR439,AT439,AV439,AX439)</f>
        <v>23.06</v>
      </c>
      <c r="BE439" s="33" t="n">
        <f aca="false">AZ439-BD439</f>
        <v>0</v>
      </c>
      <c r="BF439" s="34" t="n">
        <f aca="false">BD439*M439</f>
        <v>5765</v>
      </c>
      <c r="BG439" s="35" t="n">
        <f aca="false">BA439-BF439</f>
        <v>-692</v>
      </c>
      <c r="BH439" s="19" t="str">
        <f aca="false">IF(BG439=0,"",IF(BG439&lt;&gt;BA439,"erreur de calcul",IF(BD439&lt;&gt;0,"pas de prix",IF(M439&lt;&gt; 0,"pas de quantité","pas de prix, ni de quantité"))))</f>
        <v>erreur de calcul</v>
      </c>
      <c r="BI439" s="19"/>
    </row>
    <row r="440" customFormat="false" ht="16" hidden="false" customHeight="false" outlineLevel="0" collapsed="false">
      <c r="A440" s="0" t="n">
        <v>10</v>
      </c>
      <c r="B440" s="8" t="s">
        <v>24</v>
      </c>
      <c r="C440" s="9" t="s">
        <v>25</v>
      </c>
      <c r="D440" s="9" t="s">
        <v>26</v>
      </c>
      <c r="E440" s="10" t="n">
        <v>1789</v>
      </c>
      <c r="F440" s="9" t="s">
        <v>27</v>
      </c>
      <c r="G440" s="9" t="s">
        <v>27</v>
      </c>
      <c r="H440" s="11" t="n">
        <v>21</v>
      </c>
      <c r="I440" s="11" t="s">
        <v>163</v>
      </c>
      <c r="J440" s="14"/>
      <c r="K440" s="14"/>
      <c r="L440" s="16"/>
      <c r="M440" s="27" t="n">
        <f aca="false">J440+(K440/20)+(L440/240)</f>
        <v>0</v>
      </c>
      <c r="N440" s="17"/>
      <c r="O440" s="11"/>
      <c r="P440" s="28"/>
      <c r="Q440" s="28" t="n">
        <v>1571</v>
      </c>
      <c r="R440" s="28"/>
      <c r="S440" s="28" t="n">
        <f aca="false">R440*$M440</f>
        <v>0</v>
      </c>
      <c r="T440" s="28"/>
      <c r="U440" s="28" t="n">
        <v>182</v>
      </c>
      <c r="V440" s="28"/>
      <c r="W440" s="28" t="n">
        <v>1801</v>
      </c>
      <c r="X440" s="28"/>
      <c r="Y440" s="28" t="n">
        <v>214</v>
      </c>
      <c r="Z440" s="28"/>
      <c r="AA440" s="28" t="n">
        <f aca="false">Z440*$M440</f>
        <v>0</v>
      </c>
      <c r="AB440" s="28"/>
      <c r="AC440" s="28" t="n">
        <v>401</v>
      </c>
      <c r="AD440" s="28"/>
      <c r="AE440" s="28" t="n">
        <f aca="false">AD440*$M440</f>
        <v>0</v>
      </c>
      <c r="AF440" s="28"/>
      <c r="AG440" s="28" t="n">
        <f aca="false">AF440*$M440</f>
        <v>0</v>
      </c>
      <c r="AH440" s="28"/>
      <c r="AI440" s="28" t="n">
        <f aca="false">AH440*$M440</f>
        <v>0</v>
      </c>
      <c r="AJ440" s="28"/>
      <c r="AK440" s="28" t="n">
        <v>760</v>
      </c>
      <c r="AL440" s="28"/>
      <c r="AM440" s="28" t="n">
        <f aca="false">AL440*$M440</f>
        <v>0</v>
      </c>
      <c r="AN440" s="28"/>
      <c r="AO440" s="28" t="n">
        <f aca="false">AN440*$M440</f>
        <v>0</v>
      </c>
      <c r="AP440" s="28"/>
      <c r="AQ440" s="28" t="n">
        <f aca="false">AP440*$M440</f>
        <v>0</v>
      </c>
      <c r="AR440" s="28"/>
      <c r="AS440" s="28" t="n">
        <f aca="false">AR440*$M440</f>
        <v>0</v>
      </c>
      <c r="AT440" s="28"/>
      <c r="AU440" s="28" t="n">
        <f aca="false">AT440*$M440</f>
        <v>0</v>
      </c>
      <c r="AV440" s="28"/>
      <c r="AW440" s="28" t="n">
        <f aca="false">AV440*$M440</f>
        <v>0</v>
      </c>
      <c r="AX440" s="28"/>
      <c r="AY440" s="28" t="n">
        <f aca="false">AX440*$M440</f>
        <v>0</v>
      </c>
      <c r="AZ440" s="30"/>
      <c r="BA440" s="11" t="n">
        <v>4929</v>
      </c>
      <c r="BB440" s="31" t="n">
        <f aca="false">SUM(Q440,S440,U440,W440,Y440,AA440,AC440,AE440,AG440,AI440,AK440,AM440,AO440,AQ440,AS440,AU440,AW440,AY440)</f>
        <v>4929</v>
      </c>
      <c r="BC440" s="28" t="n">
        <f aca="false">BA440-BB440</f>
        <v>0</v>
      </c>
      <c r="BD440" s="32" t="n">
        <f aca="false">SUM(P440,R440,T440,V440,X440,Z440,AB440,AD440,AF440,AH440,AJ440,AL440,AN440,AP440,AR440,AT440,AV440,AX440)</f>
        <v>0</v>
      </c>
      <c r="BE440" s="33" t="n">
        <f aca="false">AZ440-BD440</f>
        <v>0</v>
      </c>
      <c r="BF440" s="34" t="n">
        <f aca="false">BD440*M440</f>
        <v>0</v>
      </c>
      <c r="BG440" s="35" t="n">
        <f aca="false">BA440-BF440</f>
        <v>4929</v>
      </c>
      <c r="BH440" s="19" t="str">
        <f aca="false">IF(BG440=0,"",IF(BG440&lt;&gt;BA440,"erreur de calcul",IF(BD440&lt;&gt;0,"pas de prix",IF(M440&lt;&gt; 0,"pas de quantité","pas de prix, ni de quantité"))))</f>
        <v>pas de prix, ni de quantité</v>
      </c>
      <c r="BI440" s="19"/>
    </row>
    <row r="441" customFormat="false" ht="16" hidden="false" customHeight="false" outlineLevel="0" collapsed="false">
      <c r="A441" s="0" t="n">
        <v>11</v>
      </c>
      <c r="B441" s="8" t="s">
        <v>24</v>
      </c>
      <c r="C441" s="9" t="s">
        <v>25</v>
      </c>
      <c r="D441" s="9" t="s">
        <v>26</v>
      </c>
      <c r="E441" s="10" t="n">
        <v>1789</v>
      </c>
      <c r="F441" s="9" t="s">
        <v>27</v>
      </c>
      <c r="G441" s="9" t="s">
        <v>27</v>
      </c>
      <c r="H441" s="11" t="n">
        <v>21</v>
      </c>
      <c r="I441" s="11" t="s">
        <v>164</v>
      </c>
      <c r="J441" s="14" t="n">
        <v>580</v>
      </c>
      <c r="K441" s="14"/>
      <c r="L441" s="16"/>
      <c r="M441" s="27" t="n">
        <f aca="false">J441+(K441/20)+(L441/240)</f>
        <v>580</v>
      </c>
      <c r="N441" s="17" t="s">
        <v>64</v>
      </c>
      <c r="O441" s="11"/>
      <c r="P441" s="28" t="n">
        <f aca="false">294/100</f>
        <v>2.94</v>
      </c>
      <c r="Q441" s="28" t="n">
        <v>1705</v>
      </c>
      <c r="R441" s="28"/>
      <c r="S441" s="28" t="n">
        <f aca="false">R441*$M441</f>
        <v>0</v>
      </c>
      <c r="T441" s="28"/>
      <c r="U441" s="28" t="n">
        <f aca="false">T441*$M441</f>
        <v>0</v>
      </c>
      <c r="V441" s="28"/>
      <c r="W441" s="28" t="n">
        <f aca="false">V441*$M441</f>
        <v>0</v>
      </c>
      <c r="X441" s="28"/>
      <c r="Y441" s="28" t="n">
        <f aca="false">X441*$M441</f>
        <v>0</v>
      </c>
      <c r="Z441" s="28"/>
      <c r="AA441" s="28" t="n">
        <f aca="false">Z441*$M441</f>
        <v>0</v>
      </c>
      <c r="AB441" s="28"/>
      <c r="AC441" s="28" t="n">
        <f aca="false">AB441*$M441</f>
        <v>0</v>
      </c>
      <c r="AD441" s="28"/>
      <c r="AE441" s="28" t="n">
        <f aca="false">AD441*$M441</f>
        <v>0</v>
      </c>
      <c r="AF441" s="28"/>
      <c r="AG441" s="28" t="n">
        <f aca="false">AF441*$M441</f>
        <v>0</v>
      </c>
      <c r="AH441" s="28"/>
      <c r="AI441" s="28" t="n">
        <f aca="false">AH441*$M441</f>
        <v>0</v>
      </c>
      <c r="AJ441" s="28"/>
      <c r="AK441" s="28" t="n">
        <f aca="false">AJ441*$M441</f>
        <v>0</v>
      </c>
      <c r="AL441" s="28"/>
      <c r="AM441" s="28" t="n">
        <f aca="false">AL441*$M441</f>
        <v>0</v>
      </c>
      <c r="AN441" s="28"/>
      <c r="AO441" s="28" t="n">
        <f aca="false">AN441*$M441</f>
        <v>0</v>
      </c>
      <c r="AP441" s="28"/>
      <c r="AQ441" s="28" t="n">
        <f aca="false">AP441*$M441</f>
        <v>0</v>
      </c>
      <c r="AR441" s="28"/>
      <c r="AS441" s="28" t="n">
        <f aca="false">AR441*$M441</f>
        <v>0</v>
      </c>
      <c r="AT441" s="28"/>
      <c r="AU441" s="28" t="n">
        <f aca="false">AT441*$M441</f>
        <v>0</v>
      </c>
      <c r="AV441" s="28"/>
      <c r="AW441" s="28" t="n">
        <f aca="false">AV441*$M441</f>
        <v>0</v>
      </c>
      <c r="AX441" s="28"/>
      <c r="AY441" s="28" t="n">
        <f aca="false">AX441*$M441</f>
        <v>0</v>
      </c>
      <c r="AZ441" s="30" t="n">
        <f aca="false">294/100</f>
        <v>2.94</v>
      </c>
      <c r="BA441" s="11" t="n">
        <v>1705</v>
      </c>
      <c r="BB441" s="31" t="n">
        <f aca="false">SUM(Q441,S441,U441,W441,Y441,AA441,AC441,AE441,AG441,AI441,AK441,AM441,AO441,AQ441,AS441,AU441,AW441,AY441)</f>
        <v>1705</v>
      </c>
      <c r="BC441" s="28" t="n">
        <f aca="false">BA441-BB441</f>
        <v>0</v>
      </c>
      <c r="BD441" s="32" t="n">
        <f aca="false">SUM(P441,R441,T441,V441,X441,Z441,AB441,AD441,AF441,AH441,AJ441,AL441,AN441,AP441,AR441,AT441,AV441,AX441)</f>
        <v>2.94</v>
      </c>
      <c r="BE441" s="33" t="n">
        <f aca="false">AZ441-BD441</f>
        <v>0</v>
      </c>
      <c r="BF441" s="34" t="n">
        <f aca="false">BD441*M441</f>
        <v>1705.2</v>
      </c>
      <c r="BG441" s="35" t="n">
        <f aca="false">BA441-BF441</f>
        <v>-0.200000000000045</v>
      </c>
      <c r="BH441" s="19" t="str">
        <f aca="false">IF(BG441=0,"",IF(BG441&lt;&gt;BA441,"erreur de calcul",IF(BD441&lt;&gt;0,"pas de prix",IF(M441&lt;&gt; 0,"pas de quantité","pas de prix, ni de quantité"))))</f>
        <v>erreur de calcul</v>
      </c>
      <c r="BI441" s="19"/>
    </row>
    <row r="442" customFormat="false" ht="16" hidden="false" customHeight="false" outlineLevel="0" collapsed="false">
      <c r="A442" s="0" t="n">
        <v>12</v>
      </c>
      <c r="B442" s="8" t="s">
        <v>24</v>
      </c>
      <c r="C442" s="9" t="s">
        <v>25</v>
      </c>
      <c r="D442" s="9" t="s">
        <v>26</v>
      </c>
      <c r="E442" s="10" t="n">
        <v>1789</v>
      </c>
      <c r="F442" s="9" t="s">
        <v>27</v>
      </c>
      <c r="G442" s="9" t="s">
        <v>27</v>
      </c>
      <c r="H442" s="11" t="n">
        <v>21</v>
      </c>
      <c r="I442" s="11" t="s">
        <v>165</v>
      </c>
      <c r="J442" s="14" t="n">
        <v>180</v>
      </c>
      <c r="K442" s="14"/>
      <c r="L442" s="16"/>
      <c r="M442" s="27" t="n">
        <f aca="false">J442+(K442/20)+(L442/240)</f>
        <v>180</v>
      </c>
      <c r="N442" s="17" t="s">
        <v>64</v>
      </c>
      <c r="O442" s="11"/>
      <c r="P442" s="28"/>
      <c r="Q442" s="28" t="n">
        <f aca="false">P442*$M442</f>
        <v>0</v>
      </c>
      <c r="R442" s="28"/>
      <c r="S442" s="28" t="n">
        <f aca="false">R442*$M442</f>
        <v>0</v>
      </c>
      <c r="T442" s="28"/>
      <c r="U442" s="28" t="n">
        <f aca="false">T442*$M442</f>
        <v>0</v>
      </c>
      <c r="V442" s="28"/>
      <c r="W442" s="28" t="n">
        <f aca="false">V442*$M442</f>
        <v>0</v>
      </c>
      <c r="X442" s="28"/>
      <c r="Y442" s="28" t="n">
        <f aca="false">X442*$M442</f>
        <v>0</v>
      </c>
      <c r="Z442" s="28"/>
      <c r="AA442" s="28" t="n">
        <f aca="false">Z442*$M442</f>
        <v>0</v>
      </c>
      <c r="AB442" s="28"/>
      <c r="AC442" s="28" t="n">
        <f aca="false">AB442*$M442</f>
        <v>0</v>
      </c>
      <c r="AD442" s="28"/>
      <c r="AE442" s="28" t="n">
        <f aca="false">AD442*$M442</f>
        <v>0</v>
      </c>
      <c r="AF442" s="28"/>
      <c r="AG442" s="28" t="n">
        <f aca="false">AF442*$M442</f>
        <v>0</v>
      </c>
      <c r="AH442" s="28"/>
      <c r="AI442" s="28" t="n">
        <f aca="false">AH442*$M442</f>
        <v>0</v>
      </c>
      <c r="AJ442" s="28"/>
      <c r="AK442" s="28" t="n">
        <f aca="false">AJ442*$M442</f>
        <v>0</v>
      </c>
      <c r="AL442" s="28"/>
      <c r="AM442" s="28" t="n">
        <f aca="false">AL442*$M442</f>
        <v>0</v>
      </c>
      <c r="AN442" s="28" t="n">
        <f aca="false">13754/100</f>
        <v>137.54</v>
      </c>
      <c r="AO442" s="28" t="n">
        <v>24757</v>
      </c>
      <c r="AP442" s="28"/>
      <c r="AQ442" s="28" t="n">
        <f aca="false">AP442*$M442</f>
        <v>0</v>
      </c>
      <c r="AR442" s="28"/>
      <c r="AS442" s="28" t="n">
        <f aca="false">AR442*$M442</f>
        <v>0</v>
      </c>
      <c r="AT442" s="28"/>
      <c r="AU442" s="28" t="n">
        <f aca="false">AT442*$M442</f>
        <v>0</v>
      </c>
      <c r="AV442" s="28"/>
      <c r="AW442" s="28" t="n">
        <f aca="false">AV442*$M442</f>
        <v>0</v>
      </c>
      <c r="AX442" s="28"/>
      <c r="AY442" s="28" t="n">
        <f aca="false">AX442*$M442</f>
        <v>0</v>
      </c>
      <c r="AZ442" s="30" t="n">
        <f aca="false">17360/100</f>
        <v>173.6</v>
      </c>
      <c r="BA442" s="11" t="n">
        <v>24757</v>
      </c>
      <c r="BB442" s="31" t="n">
        <f aca="false">SUM(Q442,S442,U442,W442,Y442,AA442,AC442,AE442,AG442,AI442,AK442,AM442,AO442,AQ442,AS442,AU442,AW442,AY442)</f>
        <v>24757</v>
      </c>
      <c r="BC442" s="28" t="n">
        <f aca="false">BA442-BB442</f>
        <v>0</v>
      </c>
      <c r="BD442" s="32" t="n">
        <f aca="false">SUM(P442,R442,T442,V442,X442,Z442,AB442,AD442,AF442,AH442,AJ442,AL442,AN442,AP442,AR442,AT442,AV442,AX442)</f>
        <v>137.54</v>
      </c>
      <c r="BE442" s="33" t="n">
        <f aca="false">AZ442-BD442</f>
        <v>36.06</v>
      </c>
      <c r="BF442" s="34" t="n">
        <f aca="false">BD442*M442</f>
        <v>24757.2</v>
      </c>
      <c r="BG442" s="35" t="n">
        <f aca="false">BA442-BF442</f>
        <v>-0.19999999999709</v>
      </c>
      <c r="BH442" s="19" t="str">
        <f aca="false">IF(BG442=0,"",IF(BG442&lt;&gt;BA442,"erreur de calcul",IF(BD442&lt;&gt;0,"pas de prix",IF(M442&lt;&gt; 0,"pas de quantité","pas de prix, ni de quantité"))))</f>
        <v>erreur de calcul</v>
      </c>
      <c r="BI442" s="19"/>
    </row>
    <row r="443" customFormat="false" ht="16" hidden="false" customHeight="false" outlineLevel="0" collapsed="false">
      <c r="A443" s="0" t="n">
        <v>13</v>
      </c>
      <c r="B443" s="8" t="s">
        <v>24</v>
      </c>
      <c r="C443" s="9" t="s">
        <v>25</v>
      </c>
      <c r="D443" s="9" t="s">
        <v>26</v>
      </c>
      <c r="E443" s="10" t="n">
        <v>1789</v>
      </c>
      <c r="F443" s="9" t="s">
        <v>27</v>
      </c>
      <c r="G443" s="9" t="s">
        <v>27</v>
      </c>
      <c r="H443" s="11" t="n">
        <v>21</v>
      </c>
      <c r="I443" s="11" t="s">
        <v>166</v>
      </c>
      <c r="J443" s="14" t="n">
        <v>90</v>
      </c>
      <c r="K443" s="14"/>
      <c r="L443" s="16"/>
      <c r="M443" s="27" t="n">
        <f aca="false">J443+(K443/20)+(L443/240)</f>
        <v>90</v>
      </c>
      <c r="N443" s="17" t="s">
        <v>64</v>
      </c>
      <c r="O443" s="11"/>
      <c r="P443" s="28" t="n">
        <f aca="false">3606/100</f>
        <v>36.06</v>
      </c>
      <c r="Q443" s="28" t="n">
        <v>3245</v>
      </c>
      <c r="R443" s="28"/>
      <c r="S443" s="28" t="n">
        <f aca="false">R443*$M443</f>
        <v>0</v>
      </c>
      <c r="T443" s="28"/>
      <c r="U443" s="28" t="n">
        <f aca="false">T443*$M443</f>
        <v>0</v>
      </c>
      <c r="V443" s="28"/>
      <c r="W443" s="28" t="n">
        <f aca="false">V443*$M443</f>
        <v>0</v>
      </c>
      <c r="X443" s="28"/>
      <c r="Y443" s="28" t="n">
        <f aca="false">X443*$M443</f>
        <v>0</v>
      </c>
      <c r="Z443" s="28"/>
      <c r="AA443" s="28" t="n">
        <f aca="false">Z443*$M443</f>
        <v>0</v>
      </c>
      <c r="AB443" s="28"/>
      <c r="AC443" s="28" t="n">
        <f aca="false">AB443*$M443</f>
        <v>0</v>
      </c>
      <c r="AD443" s="28"/>
      <c r="AE443" s="28" t="n">
        <f aca="false">AD443*$M443</f>
        <v>0</v>
      </c>
      <c r="AF443" s="28"/>
      <c r="AG443" s="28" t="n">
        <f aca="false">AF443*$M443</f>
        <v>0</v>
      </c>
      <c r="AH443" s="28"/>
      <c r="AI443" s="28" t="n">
        <f aca="false">AH443*$M443</f>
        <v>0</v>
      </c>
      <c r="AJ443" s="28"/>
      <c r="AK443" s="28" t="n">
        <f aca="false">AJ443*$M443</f>
        <v>0</v>
      </c>
      <c r="AL443" s="28"/>
      <c r="AM443" s="28" t="n">
        <f aca="false">AL443*$M443</f>
        <v>0</v>
      </c>
      <c r="AN443" s="28"/>
      <c r="AO443" s="28" t="n">
        <f aca="false">AN443*$M443</f>
        <v>0</v>
      </c>
      <c r="AP443" s="28"/>
      <c r="AQ443" s="28" t="n">
        <f aca="false">AP443*$M443</f>
        <v>0</v>
      </c>
      <c r="AR443" s="28"/>
      <c r="AS443" s="28" t="n">
        <f aca="false">AR443*$M443</f>
        <v>0</v>
      </c>
      <c r="AT443" s="28"/>
      <c r="AU443" s="28" t="n">
        <f aca="false">AT443*$M443</f>
        <v>0</v>
      </c>
      <c r="AV443" s="28"/>
      <c r="AW443" s="28" t="n">
        <f aca="false">AV443*$M443</f>
        <v>0</v>
      </c>
      <c r="AX443" s="28"/>
      <c r="AY443" s="28" t="n">
        <f aca="false">AX443*$M443</f>
        <v>0</v>
      </c>
      <c r="AZ443" s="30" t="n">
        <f aca="false">3606/100</f>
        <v>36.06</v>
      </c>
      <c r="BA443" s="11" t="n">
        <v>3245</v>
      </c>
      <c r="BB443" s="31" t="n">
        <f aca="false">SUM(Q443,S443,U443,W443,Y443,AA443,AC443,AE443,AG443,AI443,AK443,AM443,AO443,AQ443,AS443,AU443,AW443,AY443)</f>
        <v>3245</v>
      </c>
      <c r="BC443" s="28" t="n">
        <f aca="false">BA443-BB443</f>
        <v>0</v>
      </c>
      <c r="BD443" s="32" t="n">
        <f aca="false">SUM(P443,R443,T443,V443,X443,Z443,AB443,AD443,AF443,AH443,AJ443,AL443,AN443,AP443,AR443,AT443,AV443,AX443)</f>
        <v>36.06</v>
      </c>
      <c r="BE443" s="33" t="n">
        <f aca="false">AZ443-BD443</f>
        <v>0</v>
      </c>
      <c r="BF443" s="34" t="n">
        <f aca="false">BD443*M443</f>
        <v>3245.4</v>
      </c>
      <c r="BG443" s="35" t="n">
        <f aca="false">BA443-BF443</f>
        <v>-0.400000000000091</v>
      </c>
      <c r="BH443" s="19" t="str">
        <f aca="false">IF(BG443=0,"",IF(BG443&lt;&gt;BA443,"erreur de calcul",IF(BD443&lt;&gt;0,"pas de prix",IF(M443&lt;&gt; 0,"pas de quantité","pas de prix, ni de quantité"))))</f>
        <v>erreur de calcul</v>
      </c>
      <c r="BI443" s="19"/>
    </row>
    <row r="444" customFormat="false" ht="16" hidden="false" customHeight="false" outlineLevel="0" collapsed="false">
      <c r="A444" s="0" t="n">
        <v>14</v>
      </c>
      <c r="B444" s="8" t="s">
        <v>24</v>
      </c>
      <c r="C444" s="9" t="s">
        <v>25</v>
      </c>
      <c r="D444" s="9" t="s">
        <v>26</v>
      </c>
      <c r="E444" s="10" t="n">
        <v>1789</v>
      </c>
      <c r="F444" s="9" t="s">
        <v>27</v>
      </c>
      <c r="G444" s="9" t="s">
        <v>27</v>
      </c>
      <c r="H444" s="11" t="n">
        <v>21</v>
      </c>
      <c r="I444" s="11" t="s">
        <v>167</v>
      </c>
      <c r="J444" s="14" t="n">
        <v>60</v>
      </c>
      <c r="K444" s="14"/>
      <c r="L444" s="16"/>
      <c r="M444" s="27" t="n">
        <f aca="false">J444+(K444/20)+(L444/240)</f>
        <v>60</v>
      </c>
      <c r="N444" s="17" t="s">
        <v>64</v>
      </c>
      <c r="O444" s="11"/>
      <c r="P444" s="28" t="n">
        <f aca="false">19377/100</f>
        <v>193.77</v>
      </c>
      <c r="Q444" s="28" t="n">
        <v>11626</v>
      </c>
      <c r="R444" s="28"/>
      <c r="S444" s="28" t="n">
        <f aca="false">R444*$M444</f>
        <v>0</v>
      </c>
      <c r="T444" s="28"/>
      <c r="U444" s="28" t="n">
        <f aca="false">T444*$M444</f>
        <v>0</v>
      </c>
      <c r="V444" s="28"/>
      <c r="W444" s="28" t="n">
        <f aca="false">V444*$M444</f>
        <v>0</v>
      </c>
      <c r="X444" s="28"/>
      <c r="Y444" s="28" t="n">
        <f aca="false">X444*$M444</f>
        <v>0</v>
      </c>
      <c r="Z444" s="28"/>
      <c r="AA444" s="28" t="n">
        <f aca="false">Z444*$M444</f>
        <v>0</v>
      </c>
      <c r="AB444" s="28"/>
      <c r="AC444" s="28" t="n">
        <f aca="false">AB444*$M444</f>
        <v>0</v>
      </c>
      <c r="AD444" s="28"/>
      <c r="AE444" s="28" t="n">
        <f aca="false">AD444*$M444</f>
        <v>0</v>
      </c>
      <c r="AF444" s="28"/>
      <c r="AG444" s="28" t="n">
        <f aca="false">AF444*$M444</f>
        <v>0</v>
      </c>
      <c r="AH444" s="28"/>
      <c r="AI444" s="28" t="n">
        <f aca="false">AH444*$M444</f>
        <v>0</v>
      </c>
      <c r="AJ444" s="28"/>
      <c r="AK444" s="28" t="n">
        <f aca="false">AJ444*$M444</f>
        <v>0</v>
      </c>
      <c r="AL444" s="28"/>
      <c r="AM444" s="28" t="n">
        <f aca="false">AL444*$M444</f>
        <v>0</v>
      </c>
      <c r="AN444" s="28"/>
      <c r="AO444" s="28" t="n">
        <f aca="false">AN444*$M444</f>
        <v>0</v>
      </c>
      <c r="AP444" s="28"/>
      <c r="AQ444" s="28" t="n">
        <f aca="false">AP444*$M444</f>
        <v>0</v>
      </c>
      <c r="AR444" s="28"/>
      <c r="AS444" s="28" t="n">
        <f aca="false">AR444*$M444</f>
        <v>0</v>
      </c>
      <c r="AT444" s="28"/>
      <c r="AU444" s="28" t="n">
        <f aca="false">AT444*$M444</f>
        <v>0</v>
      </c>
      <c r="AV444" s="28"/>
      <c r="AW444" s="28" t="n">
        <f aca="false">AV444*$M444</f>
        <v>0</v>
      </c>
      <c r="AX444" s="28"/>
      <c r="AY444" s="28" t="n">
        <f aca="false">AX444*$M444</f>
        <v>0</v>
      </c>
      <c r="AZ444" s="30" t="n">
        <f aca="false">19377/100</f>
        <v>193.77</v>
      </c>
      <c r="BA444" s="11" t="n">
        <v>11626</v>
      </c>
      <c r="BB444" s="31" t="n">
        <f aca="false">SUM(Q444,S444,U444,W444,Y444,AA444,AC444,AE444,AG444,AI444,AK444,AM444,AO444,AQ444,AS444,AU444,AW444,AY444)</f>
        <v>11626</v>
      </c>
      <c r="BC444" s="28" t="n">
        <f aca="false">BA444-BB444</f>
        <v>0</v>
      </c>
      <c r="BD444" s="32" t="n">
        <f aca="false">SUM(P444,R444,T444,V444,X444,Z444,AB444,AD444,AF444,AH444,AJ444,AL444,AN444,AP444,AR444,AT444,AV444,AX444)</f>
        <v>193.77</v>
      </c>
      <c r="BE444" s="33" t="n">
        <f aca="false">AZ444-BD444</f>
        <v>0</v>
      </c>
      <c r="BF444" s="34" t="n">
        <f aca="false">BD444*M444</f>
        <v>11626.2</v>
      </c>
      <c r="BG444" s="35" t="n">
        <f aca="false">BA444-BF444</f>
        <v>-0.200000000000728</v>
      </c>
      <c r="BH444" s="19" t="str">
        <f aca="false">IF(BG444=0,"",IF(BG444&lt;&gt;BA444,"erreur de calcul",IF(BD444&lt;&gt;0,"pas de prix",IF(M444&lt;&gt; 0,"pas de quantité","pas de prix, ni de quantité"))))</f>
        <v>erreur de calcul</v>
      </c>
      <c r="BI444" s="19"/>
    </row>
    <row r="445" customFormat="false" ht="16" hidden="false" customHeight="false" outlineLevel="0" collapsed="false">
      <c r="A445" s="0" t="n">
        <v>15</v>
      </c>
      <c r="B445" s="8" t="s">
        <v>24</v>
      </c>
      <c r="C445" s="9" t="s">
        <v>25</v>
      </c>
      <c r="D445" s="9" t="s">
        <v>26</v>
      </c>
      <c r="E445" s="10" t="n">
        <v>1789</v>
      </c>
      <c r="F445" s="9" t="s">
        <v>27</v>
      </c>
      <c r="G445" s="9" t="s">
        <v>27</v>
      </c>
      <c r="H445" s="11" t="n">
        <v>21</v>
      </c>
      <c r="I445" s="11" t="s">
        <v>168</v>
      </c>
      <c r="J445" s="14" t="n">
        <v>345</v>
      </c>
      <c r="K445" s="14"/>
      <c r="L445" s="16"/>
      <c r="M445" s="27" t="n">
        <f aca="false">J445+(K445/20)+(L445/240)</f>
        <v>345</v>
      </c>
      <c r="N445" s="17" t="s">
        <v>64</v>
      </c>
      <c r="O445" s="11"/>
      <c r="P445" s="28" t="n">
        <f aca="false">617/100</f>
        <v>6.17</v>
      </c>
      <c r="Q445" s="28" t="n">
        <v>2129</v>
      </c>
      <c r="R445" s="28"/>
      <c r="S445" s="28" t="n">
        <f aca="false">R445*$M445</f>
        <v>0</v>
      </c>
      <c r="T445" s="28"/>
      <c r="U445" s="28" t="n">
        <f aca="false">T445*$M445</f>
        <v>0</v>
      </c>
      <c r="V445" s="28"/>
      <c r="W445" s="28" t="n">
        <f aca="false">V445*$M445</f>
        <v>0</v>
      </c>
      <c r="X445" s="28"/>
      <c r="Y445" s="28" t="n">
        <f aca="false">X445*$M445</f>
        <v>0</v>
      </c>
      <c r="Z445" s="28"/>
      <c r="AA445" s="28" t="n">
        <f aca="false">Z445*$M445</f>
        <v>0</v>
      </c>
      <c r="AB445" s="28" t="n">
        <f aca="false">1270/100</f>
        <v>12.7</v>
      </c>
      <c r="AC445" s="28" t="n">
        <v>4381</v>
      </c>
      <c r="AD445" s="28"/>
      <c r="AE445" s="28" t="n">
        <f aca="false">AD445*$M445</f>
        <v>0</v>
      </c>
      <c r="AF445" s="28"/>
      <c r="AG445" s="28" t="n">
        <f aca="false">AF445*$M445</f>
        <v>0</v>
      </c>
      <c r="AH445" s="28"/>
      <c r="AI445" s="28" t="n">
        <f aca="false">AH445*$M445</f>
        <v>0</v>
      </c>
      <c r="AJ445" s="28"/>
      <c r="AK445" s="28" t="n">
        <f aca="false">AJ445*$M445</f>
        <v>0</v>
      </c>
      <c r="AL445" s="28"/>
      <c r="AM445" s="28" t="n">
        <f aca="false">AL445*$M445</f>
        <v>0</v>
      </c>
      <c r="AN445" s="28"/>
      <c r="AO445" s="28" t="n">
        <f aca="false">AN445*$M445</f>
        <v>0</v>
      </c>
      <c r="AP445" s="28"/>
      <c r="AQ445" s="28" t="n">
        <f aca="false">AP445*$M445</f>
        <v>0</v>
      </c>
      <c r="AR445" s="28"/>
      <c r="AS445" s="28" t="n">
        <f aca="false">AR445*$M445</f>
        <v>0</v>
      </c>
      <c r="AT445" s="28"/>
      <c r="AU445" s="28" t="n">
        <f aca="false">AT445*$M445</f>
        <v>0</v>
      </c>
      <c r="AV445" s="28"/>
      <c r="AW445" s="28" t="n">
        <f aca="false">AV445*$M445</f>
        <v>0</v>
      </c>
      <c r="AX445" s="28"/>
      <c r="AY445" s="28" t="n">
        <f aca="false">AX445*$M445</f>
        <v>0</v>
      </c>
      <c r="AZ445" s="30" t="n">
        <f aca="false">1887/100</f>
        <v>18.87</v>
      </c>
      <c r="BA445" s="11" t="n">
        <v>6510</v>
      </c>
      <c r="BB445" s="31" t="n">
        <f aca="false">SUM(Q445,S445,U445,W445,Y445,AA445,AC445,AE445,AG445,AI445,AK445,AM445,AO445,AQ445,AS445,AU445,AW445,AY445)</f>
        <v>6510</v>
      </c>
      <c r="BC445" s="28" t="n">
        <f aca="false">BA445-BB445</f>
        <v>0</v>
      </c>
      <c r="BD445" s="32" t="n">
        <f aca="false">SUM(P445,R445,T445,V445,X445,Z445,AB445,AD445,AF445,AH445,AJ445,AL445,AN445,AP445,AR445,AT445,AV445,AX445)</f>
        <v>18.87</v>
      </c>
      <c r="BE445" s="33" t="n">
        <f aca="false">AZ445-BD445</f>
        <v>0</v>
      </c>
      <c r="BF445" s="34" t="n">
        <f aca="false">BD445*M445</f>
        <v>6510.15</v>
      </c>
      <c r="BG445" s="35" t="n">
        <f aca="false">BA445-BF445</f>
        <v>-0.149999999998727</v>
      </c>
      <c r="BH445" s="19" t="str">
        <f aca="false">IF(BG445=0,"",IF(BG445&lt;&gt;BA445,"erreur de calcul",IF(BD445&lt;&gt;0,"pas de prix",IF(M445&lt;&gt; 0,"pas de quantité","pas de prix, ni de quantité"))))</f>
        <v>erreur de calcul</v>
      </c>
      <c r="BI445" s="19"/>
    </row>
    <row r="446" customFormat="false" ht="16" hidden="false" customHeight="false" outlineLevel="0" collapsed="false">
      <c r="A446" s="0" t="n">
        <v>16</v>
      </c>
      <c r="B446" s="8" t="s">
        <v>24</v>
      </c>
      <c r="C446" s="9" t="s">
        <v>25</v>
      </c>
      <c r="D446" s="9" t="s">
        <v>26</v>
      </c>
      <c r="E446" s="10" t="n">
        <v>1789</v>
      </c>
      <c r="F446" s="9" t="s">
        <v>27</v>
      </c>
      <c r="G446" s="9" t="s">
        <v>27</v>
      </c>
      <c r="H446" s="11" t="n">
        <v>21</v>
      </c>
      <c r="I446" s="11" t="s">
        <v>169</v>
      </c>
      <c r="J446" s="14" t="n">
        <v>6</v>
      </c>
      <c r="K446" s="14"/>
      <c r="L446" s="16"/>
      <c r="M446" s="27" t="n">
        <f aca="false">J446+(K446/20)+(L446/240)</f>
        <v>6</v>
      </c>
      <c r="N446" s="17" t="s">
        <v>64</v>
      </c>
      <c r="O446" s="11"/>
      <c r="P446" s="28"/>
      <c r="Q446" s="28" t="n">
        <f aca="false">P446*$M446</f>
        <v>0</v>
      </c>
      <c r="R446" s="28"/>
      <c r="S446" s="28" t="n">
        <f aca="false">R446*$M446</f>
        <v>0</v>
      </c>
      <c r="T446" s="28"/>
      <c r="U446" s="28" t="n">
        <f aca="false">T446*$M446</f>
        <v>0</v>
      </c>
      <c r="V446" s="28" t="n">
        <f aca="false">39752/100</f>
        <v>397.52</v>
      </c>
      <c r="W446" s="28" t="n">
        <v>2385</v>
      </c>
      <c r="X446" s="28"/>
      <c r="Y446" s="28" t="n">
        <f aca="false">X446*$M446</f>
        <v>0</v>
      </c>
      <c r="Z446" s="28"/>
      <c r="AA446" s="28" t="n">
        <f aca="false">Z446*$M446</f>
        <v>0</v>
      </c>
      <c r="AB446" s="28"/>
      <c r="AC446" s="28" t="n">
        <f aca="false">AB446*$M446</f>
        <v>0</v>
      </c>
      <c r="AD446" s="28"/>
      <c r="AE446" s="28" t="n">
        <f aca="false">AD446*$M446</f>
        <v>0</v>
      </c>
      <c r="AF446" s="28"/>
      <c r="AG446" s="28" t="n">
        <f aca="false">AF446*$M446</f>
        <v>0</v>
      </c>
      <c r="AH446" s="28"/>
      <c r="AI446" s="28" t="n">
        <f aca="false">AH446*$M446</f>
        <v>0</v>
      </c>
      <c r="AJ446" s="28"/>
      <c r="AK446" s="28" t="n">
        <f aca="false">AJ446*$M446</f>
        <v>0</v>
      </c>
      <c r="AL446" s="28"/>
      <c r="AM446" s="28" t="n">
        <f aca="false">AL446*$M446</f>
        <v>0</v>
      </c>
      <c r="AN446" s="28"/>
      <c r="AO446" s="28" t="n">
        <f aca="false">AN446*$M446</f>
        <v>0</v>
      </c>
      <c r="AP446" s="28"/>
      <c r="AQ446" s="28" t="n">
        <f aca="false">AP446*$M446</f>
        <v>0</v>
      </c>
      <c r="AR446" s="28"/>
      <c r="AS446" s="28" t="n">
        <f aca="false">AR446*$M446</f>
        <v>0</v>
      </c>
      <c r="AT446" s="28"/>
      <c r="AU446" s="28" t="n">
        <f aca="false">AT446*$M446</f>
        <v>0</v>
      </c>
      <c r="AV446" s="28"/>
      <c r="AW446" s="28" t="n">
        <f aca="false">AV446*$M446</f>
        <v>0</v>
      </c>
      <c r="AX446" s="28"/>
      <c r="AY446" s="28" t="n">
        <f aca="false">AX446*$M446</f>
        <v>0</v>
      </c>
      <c r="AZ446" s="30" t="n">
        <f aca="false">39752/100</f>
        <v>397.52</v>
      </c>
      <c r="BA446" s="11" t="n">
        <v>2385</v>
      </c>
      <c r="BB446" s="31" t="n">
        <f aca="false">SUM(Q446,S446,U446,W446,Y446,AA446,AC446,AE446,AG446,AI446,AK446,AM446,AO446,AQ446,AS446,AU446,AW446,AY446)</f>
        <v>2385</v>
      </c>
      <c r="BC446" s="28" t="n">
        <f aca="false">BA446-BB446</f>
        <v>0</v>
      </c>
      <c r="BD446" s="32" t="n">
        <f aca="false">SUM(P446,R446,T446,V446,X446,Z446,AB446,AD446,AF446,AH446,AJ446,AL446,AN446,AP446,AR446,AT446,AV446,AX446)</f>
        <v>397.52</v>
      </c>
      <c r="BE446" s="33" t="n">
        <f aca="false">AZ446-BD446</f>
        <v>0</v>
      </c>
      <c r="BF446" s="34" t="n">
        <f aca="false">BD446*M446</f>
        <v>2385.12</v>
      </c>
      <c r="BG446" s="35" t="n">
        <f aca="false">BA446-BF446</f>
        <v>-0.119999999999891</v>
      </c>
      <c r="BH446" s="19" t="str">
        <f aca="false">IF(BG446=0,"",IF(BG446&lt;&gt;BA446,"erreur de calcul",IF(BD446&lt;&gt;0,"pas de prix",IF(M446&lt;&gt; 0,"pas de quantité","pas de prix, ni de quantité"))))</f>
        <v>erreur de calcul</v>
      </c>
      <c r="BI446" s="19"/>
    </row>
    <row r="447" customFormat="false" ht="16" hidden="false" customHeight="false" outlineLevel="0" collapsed="false">
      <c r="A447" s="0" t="n">
        <v>17</v>
      </c>
      <c r="B447" s="8" t="s">
        <v>24</v>
      </c>
      <c r="C447" s="9" t="s">
        <v>25</v>
      </c>
      <c r="D447" s="9" t="s">
        <v>26</v>
      </c>
      <c r="E447" s="10" t="n">
        <v>1789</v>
      </c>
      <c r="F447" s="9" t="s">
        <v>27</v>
      </c>
      <c r="G447" s="9" t="s">
        <v>27</v>
      </c>
      <c r="H447" s="11" t="n">
        <v>21</v>
      </c>
      <c r="I447" s="11" t="s">
        <v>170</v>
      </c>
      <c r="J447" s="14" t="n">
        <v>90</v>
      </c>
      <c r="K447" s="14"/>
      <c r="L447" s="16"/>
      <c r="M447" s="27" t="n">
        <f aca="false">J447+(K447/20)+(L447/240)</f>
        <v>90</v>
      </c>
      <c r="N447" s="17" t="s">
        <v>64</v>
      </c>
      <c r="O447" s="11"/>
      <c r="P447" s="28"/>
      <c r="Q447" s="28" t="n">
        <f aca="false">P447*$M447</f>
        <v>0</v>
      </c>
      <c r="R447" s="28"/>
      <c r="S447" s="28" t="n">
        <f aca="false">R447*$M447</f>
        <v>0</v>
      </c>
      <c r="T447" s="28"/>
      <c r="U447" s="28" t="n">
        <f aca="false">T447*$M447</f>
        <v>0</v>
      </c>
      <c r="V447" s="28"/>
      <c r="W447" s="28" t="n">
        <f aca="false">V447*$M447</f>
        <v>0</v>
      </c>
      <c r="X447" s="28" t="n">
        <f aca="false">3136/100</f>
        <v>31.36</v>
      </c>
      <c r="Y447" s="28" t="n">
        <v>2822</v>
      </c>
      <c r="Z447" s="28"/>
      <c r="AA447" s="28" t="n">
        <f aca="false">Z447*$M447</f>
        <v>0</v>
      </c>
      <c r="AB447" s="28"/>
      <c r="AC447" s="28" t="n">
        <f aca="false">AB447*$M447</f>
        <v>0</v>
      </c>
      <c r="AD447" s="28"/>
      <c r="AE447" s="28" t="n">
        <f aca="false">AD447*$M447</f>
        <v>0</v>
      </c>
      <c r="AF447" s="28"/>
      <c r="AG447" s="28" t="n">
        <f aca="false">AF447*$M447</f>
        <v>0</v>
      </c>
      <c r="AH447" s="28"/>
      <c r="AI447" s="28" t="n">
        <f aca="false">AH447*$M447</f>
        <v>0</v>
      </c>
      <c r="AJ447" s="28"/>
      <c r="AK447" s="28" t="n">
        <f aca="false">AJ447*$M447</f>
        <v>0</v>
      </c>
      <c r="AL447" s="28"/>
      <c r="AM447" s="28" t="n">
        <f aca="false">AL447*$M447</f>
        <v>0</v>
      </c>
      <c r="AN447" s="28"/>
      <c r="AO447" s="28" t="n">
        <f aca="false">AN447*$M447</f>
        <v>0</v>
      </c>
      <c r="AP447" s="28"/>
      <c r="AQ447" s="28" t="n">
        <f aca="false">AP447*$M447</f>
        <v>0</v>
      </c>
      <c r="AR447" s="28"/>
      <c r="AS447" s="28" t="n">
        <f aca="false">AR447*$M447</f>
        <v>0</v>
      </c>
      <c r="AT447" s="28"/>
      <c r="AU447" s="28" t="n">
        <f aca="false">AT447*$M447</f>
        <v>0</v>
      </c>
      <c r="AV447" s="28"/>
      <c r="AW447" s="28" t="n">
        <f aca="false">AV447*$M447</f>
        <v>0</v>
      </c>
      <c r="AX447" s="28"/>
      <c r="AY447" s="28" t="n">
        <f aca="false">AX447*$M447</f>
        <v>0</v>
      </c>
      <c r="AZ447" s="30" t="n">
        <f aca="false">3136/100</f>
        <v>31.36</v>
      </c>
      <c r="BA447" s="11" t="n">
        <v>2822</v>
      </c>
      <c r="BB447" s="31" t="n">
        <f aca="false">SUM(Q447,S447,U447,W447,Y447,AA447,AC447,AE447,AG447,AI447,AK447,AM447,AO447,AQ447,AS447,AU447,AW447,AY447)</f>
        <v>2822</v>
      </c>
      <c r="BC447" s="28" t="n">
        <f aca="false">BA447-BB447</f>
        <v>0</v>
      </c>
      <c r="BD447" s="32" t="n">
        <f aca="false">SUM(P447,R447,T447,V447,X447,Z447,AB447,AD447,AF447,AH447,AJ447,AL447,AN447,AP447,AR447,AT447,AV447,AX447)</f>
        <v>31.36</v>
      </c>
      <c r="BE447" s="33" t="n">
        <f aca="false">AZ447-BD447</f>
        <v>0</v>
      </c>
      <c r="BF447" s="34" t="n">
        <f aca="false">BD447*M447</f>
        <v>2822.4</v>
      </c>
      <c r="BG447" s="35" t="n">
        <f aca="false">BA447-BF447</f>
        <v>-0.400000000000091</v>
      </c>
      <c r="BH447" s="19" t="str">
        <f aca="false">IF(BG447=0,"",IF(BG447&lt;&gt;BA447,"erreur de calcul",IF(BD447&lt;&gt;0,"pas de prix",IF(M447&lt;&gt; 0,"pas de quantité","pas de prix, ni de quantité"))))</f>
        <v>erreur de calcul</v>
      </c>
      <c r="BI447" s="19"/>
    </row>
    <row r="448" customFormat="false" ht="16" hidden="false" customHeight="false" outlineLevel="0" collapsed="false">
      <c r="A448" s="0" t="n">
        <v>18</v>
      </c>
      <c r="B448" s="8" t="s">
        <v>24</v>
      </c>
      <c r="C448" s="9" t="s">
        <v>25</v>
      </c>
      <c r="D448" s="9" t="s">
        <v>26</v>
      </c>
      <c r="E448" s="10" t="n">
        <v>1789</v>
      </c>
      <c r="F448" s="9" t="s">
        <v>27</v>
      </c>
      <c r="G448" s="9" t="s">
        <v>27</v>
      </c>
      <c r="H448" s="11" t="n">
        <v>21</v>
      </c>
      <c r="I448" s="11" t="s">
        <v>171</v>
      </c>
      <c r="J448" s="14" t="n">
        <v>90</v>
      </c>
      <c r="K448" s="14"/>
      <c r="L448" s="16"/>
      <c r="M448" s="27" t="n">
        <f aca="false">J448+(K448/20)+(L448/240)</f>
        <v>90</v>
      </c>
      <c r="N448" s="17" t="s">
        <v>64</v>
      </c>
      <c r="O448" s="11"/>
      <c r="P448" s="28"/>
      <c r="Q448" s="28" t="n">
        <f aca="false">P448*$M448</f>
        <v>0</v>
      </c>
      <c r="R448" s="28"/>
      <c r="S448" s="28" t="n">
        <f aca="false">R448*$M448</f>
        <v>0</v>
      </c>
      <c r="T448" s="28"/>
      <c r="U448" s="28" t="n">
        <f aca="false">T448*$M448</f>
        <v>0</v>
      </c>
      <c r="V448" s="28"/>
      <c r="W448" s="28" t="n">
        <f aca="false">V448*$M448</f>
        <v>0</v>
      </c>
      <c r="X448" s="28"/>
      <c r="Y448" s="28" t="n">
        <f aca="false">X448*$M448</f>
        <v>0</v>
      </c>
      <c r="Z448" s="28"/>
      <c r="AA448" s="28" t="n">
        <f aca="false">Z448*$M448</f>
        <v>0</v>
      </c>
      <c r="AB448" s="28"/>
      <c r="AC448" s="28" t="n">
        <f aca="false">AB448*$M448</f>
        <v>0</v>
      </c>
      <c r="AD448" s="28"/>
      <c r="AE448" s="28" t="n">
        <f aca="false">AD448*$M448</f>
        <v>0</v>
      </c>
      <c r="AF448" s="28"/>
      <c r="AG448" s="28" t="n">
        <f aca="false">AF448*$M448</f>
        <v>0</v>
      </c>
      <c r="AH448" s="28" t="n">
        <f aca="false">5337/100</f>
        <v>53.37</v>
      </c>
      <c r="AI448" s="28" t="n">
        <v>4803</v>
      </c>
      <c r="AJ448" s="28"/>
      <c r="AK448" s="28" t="n">
        <f aca="false">AJ448*$M448</f>
        <v>0</v>
      </c>
      <c r="AL448" s="28"/>
      <c r="AM448" s="28" t="n">
        <f aca="false">AL448*$M448</f>
        <v>0</v>
      </c>
      <c r="AN448" s="28"/>
      <c r="AO448" s="28" t="n">
        <f aca="false">AN448*$M448</f>
        <v>0</v>
      </c>
      <c r="AP448" s="28"/>
      <c r="AQ448" s="28" t="n">
        <f aca="false">AP448*$M448</f>
        <v>0</v>
      </c>
      <c r="AR448" s="28"/>
      <c r="AS448" s="28" t="n">
        <f aca="false">AR448*$M448</f>
        <v>0</v>
      </c>
      <c r="AT448" s="28"/>
      <c r="AU448" s="28" t="n">
        <f aca="false">AT448*$M448</f>
        <v>0</v>
      </c>
      <c r="AV448" s="28"/>
      <c r="AW448" s="28" t="n">
        <f aca="false">AV448*$M448</f>
        <v>0</v>
      </c>
      <c r="AX448" s="28"/>
      <c r="AY448" s="28" t="n">
        <f aca="false">AX448*$M448</f>
        <v>0</v>
      </c>
      <c r="AZ448" s="30" t="n">
        <f aca="false">5337/100</f>
        <v>53.37</v>
      </c>
      <c r="BA448" s="11" t="n">
        <v>4803</v>
      </c>
      <c r="BB448" s="31" t="n">
        <f aca="false">SUM(Q448,S448,U448,W448,Y448,AA448,AC448,AE448,AG448,AI448,AK448,AM448,AO448,AQ448,AS448,AU448,AW448,AY448)</f>
        <v>4803</v>
      </c>
      <c r="BC448" s="28" t="n">
        <f aca="false">BA448-BB448</f>
        <v>0</v>
      </c>
      <c r="BD448" s="32" t="n">
        <f aca="false">SUM(P448,R448,T448,V448,X448,Z448,AB448,AD448,AF448,AH448,AJ448,AL448,AN448,AP448,AR448,AT448,AV448,AX448)</f>
        <v>53.37</v>
      </c>
      <c r="BE448" s="33" t="n">
        <f aca="false">AZ448-BD448</f>
        <v>0</v>
      </c>
      <c r="BF448" s="34" t="n">
        <f aca="false">BD448*M448</f>
        <v>4803.3</v>
      </c>
      <c r="BG448" s="35" t="n">
        <f aca="false">BA448-BF448</f>
        <v>-0.300000000000182</v>
      </c>
      <c r="BH448" s="19" t="str">
        <f aca="false">IF(BG448=0,"",IF(BG448&lt;&gt;BA448,"erreur de calcul",IF(BD448&lt;&gt;0,"pas de prix",IF(M448&lt;&gt; 0,"pas de quantité","pas de prix, ni de quantité"))))</f>
        <v>erreur de calcul</v>
      </c>
      <c r="BI448" s="19"/>
    </row>
    <row r="449" customFormat="false" ht="16" hidden="false" customHeight="false" outlineLevel="0" collapsed="false">
      <c r="A449" s="0" t="n">
        <v>19</v>
      </c>
      <c r="B449" s="8" t="s">
        <v>24</v>
      </c>
      <c r="C449" s="9" t="s">
        <v>25</v>
      </c>
      <c r="D449" s="9" t="s">
        <v>26</v>
      </c>
      <c r="E449" s="10" t="n">
        <v>1789</v>
      </c>
      <c r="F449" s="9" t="s">
        <v>27</v>
      </c>
      <c r="G449" s="9" t="s">
        <v>27</v>
      </c>
      <c r="H449" s="11" t="n">
        <v>21</v>
      </c>
      <c r="I449" s="11" t="s">
        <v>172</v>
      </c>
      <c r="J449" s="14" t="n">
        <v>15</v>
      </c>
      <c r="K449" s="14"/>
      <c r="L449" s="16"/>
      <c r="M449" s="27" t="n">
        <f aca="false">J449+(K449/20)+(L449/240)</f>
        <v>15</v>
      </c>
      <c r="N449" s="17" t="s">
        <v>64</v>
      </c>
      <c r="O449" s="11" t="s">
        <v>77</v>
      </c>
      <c r="P449" s="28"/>
      <c r="Q449" s="28" t="n">
        <f aca="false">P449*$M449</f>
        <v>0</v>
      </c>
      <c r="R449" s="28"/>
      <c r="S449" s="28" t="n">
        <f aca="false">R449*$M449</f>
        <v>0</v>
      </c>
      <c r="T449" s="28"/>
      <c r="U449" s="28" t="n">
        <f aca="false">T449*$M449</f>
        <v>0</v>
      </c>
      <c r="V449" s="28"/>
      <c r="W449" s="28" t="n">
        <f aca="false">V449*$M449</f>
        <v>0</v>
      </c>
      <c r="X449" s="28"/>
      <c r="Y449" s="28" t="n">
        <f aca="false">X449*$M449</f>
        <v>0</v>
      </c>
      <c r="Z449" s="28"/>
      <c r="AA449" s="28" t="n">
        <f aca="false">Z449*$M449</f>
        <v>0</v>
      </c>
      <c r="AB449" s="28"/>
      <c r="AC449" s="28" t="n">
        <f aca="false">AB449*$M449</f>
        <v>0</v>
      </c>
      <c r="AD449" s="28"/>
      <c r="AE449" s="28" t="n">
        <f aca="false">AD449*$M449</f>
        <v>0</v>
      </c>
      <c r="AF449" s="28"/>
      <c r="AG449" s="28" t="n">
        <f aca="false">AF449*$M449</f>
        <v>0</v>
      </c>
      <c r="AH449" s="28"/>
      <c r="AI449" s="28" t="n">
        <f aca="false">AH449*$M449</f>
        <v>0</v>
      </c>
      <c r="AJ449" s="28"/>
      <c r="AK449" s="28" t="n">
        <f aca="false">AJ449*$M449</f>
        <v>0</v>
      </c>
      <c r="AL449" s="28"/>
      <c r="AM449" s="28" t="n">
        <f aca="false">AL449*$M449</f>
        <v>0</v>
      </c>
      <c r="AN449" s="28"/>
      <c r="AO449" s="28" t="n">
        <f aca="false">AN449*$M449</f>
        <v>0</v>
      </c>
      <c r="AP449" s="28"/>
      <c r="AQ449" s="28" t="n">
        <f aca="false">AP449*$M449</f>
        <v>0</v>
      </c>
      <c r="AR449" s="28"/>
      <c r="AS449" s="28" t="n">
        <f aca="false">AR449*$M449</f>
        <v>0</v>
      </c>
      <c r="AT449" s="28"/>
      <c r="AU449" s="28" t="n">
        <f aca="false">AT449*$M449</f>
        <v>0</v>
      </c>
      <c r="AV449" s="28"/>
      <c r="AW449" s="28" t="n">
        <f aca="false">AV449*$M449</f>
        <v>0</v>
      </c>
      <c r="AX449" s="28"/>
      <c r="AY449" s="28" t="n">
        <f aca="false">AX449*$M449</f>
        <v>0</v>
      </c>
      <c r="AZ449" s="30"/>
      <c r="BA449" s="11"/>
      <c r="BB449" s="31" t="n">
        <f aca="false">SUM(Q449,S449,U449,W449,Y449,AA449,AC449,AE449,AG449,AI449,AK449,AM449,AO449,AQ449,AS449,AU449,AW449,AY449)</f>
        <v>0</v>
      </c>
      <c r="BC449" s="28" t="n">
        <f aca="false">BA449-BB449</f>
        <v>0</v>
      </c>
      <c r="BD449" s="32" t="n">
        <f aca="false">SUM(P449,R449,T449,V449,X449,Z449,AB449,AD449,AF449,AH449,AJ449,AL449,AN449,AP449,AR449,AT449,AV449,AX449)</f>
        <v>0</v>
      </c>
      <c r="BE449" s="33" t="n">
        <f aca="false">AZ449-BD449</f>
        <v>0</v>
      </c>
      <c r="BF449" s="34" t="n">
        <f aca="false">BD449*M449</f>
        <v>0</v>
      </c>
      <c r="BG449" s="35" t="n">
        <f aca="false">BA449-BF449</f>
        <v>0</v>
      </c>
      <c r="BH449" s="19" t="str">
        <f aca="false">IF(BG449=0,"",IF(BG449&lt;&gt;BA449,"erreur de calcul",IF(BD449&lt;&gt;0,"pas de prix",IF(M449&lt;&gt; 0,"pas de quantité","pas de prix, ni de quantité"))))</f>
        <v/>
      </c>
      <c r="BI449" s="19"/>
    </row>
    <row r="450" customFormat="false" ht="16" hidden="false" customHeight="false" outlineLevel="0" collapsed="false">
      <c r="A450" s="0" t="n">
        <v>20</v>
      </c>
      <c r="B450" s="8" t="s">
        <v>24</v>
      </c>
      <c r="C450" s="9" t="s">
        <v>25</v>
      </c>
      <c r="D450" s="9" t="s">
        <v>26</v>
      </c>
      <c r="E450" s="10" t="n">
        <v>1789</v>
      </c>
      <c r="F450" s="9" t="s">
        <v>27</v>
      </c>
      <c r="G450" s="9" t="s">
        <v>27</v>
      </c>
      <c r="H450" s="11" t="n">
        <v>21</v>
      </c>
      <c r="I450" s="11" t="s">
        <v>173</v>
      </c>
      <c r="J450" s="14" t="n">
        <v>36</v>
      </c>
      <c r="K450" s="14"/>
      <c r="L450" s="16"/>
      <c r="M450" s="27" t="n">
        <f aca="false">J450+(K450/20)+(L450/240)</f>
        <v>36</v>
      </c>
      <c r="N450" s="17" t="s">
        <v>64</v>
      </c>
      <c r="O450" s="11"/>
      <c r="P450" s="28"/>
      <c r="Q450" s="28" t="n">
        <f aca="false">P450*$M450</f>
        <v>0</v>
      </c>
      <c r="R450" s="28"/>
      <c r="S450" s="28" t="n">
        <f aca="false">R450*$M450</f>
        <v>0</v>
      </c>
      <c r="T450" s="28"/>
      <c r="U450" s="28" t="n">
        <f aca="false">T450*$M450</f>
        <v>0</v>
      </c>
      <c r="V450" s="28"/>
      <c r="W450" s="28" t="n">
        <f aca="false">V450*$M450</f>
        <v>0</v>
      </c>
      <c r="X450" s="28"/>
      <c r="Y450" s="28" t="n">
        <f aca="false">X450*$M450</f>
        <v>0</v>
      </c>
      <c r="Z450" s="28"/>
      <c r="AA450" s="28" t="n">
        <f aca="false">Z450*$M450</f>
        <v>0</v>
      </c>
      <c r="AB450" s="28" t="n">
        <f aca="false">80722/100</f>
        <v>807.22</v>
      </c>
      <c r="AC450" s="28" t="n">
        <v>29060</v>
      </c>
      <c r="AD450" s="28"/>
      <c r="AE450" s="28" t="n">
        <f aca="false">AD450*$M450</f>
        <v>0</v>
      </c>
      <c r="AF450" s="28"/>
      <c r="AG450" s="28" t="n">
        <f aca="false">AF450*$M450</f>
        <v>0</v>
      </c>
      <c r="AH450" s="28"/>
      <c r="AI450" s="28" t="n">
        <f aca="false">AH450*$M450</f>
        <v>0</v>
      </c>
      <c r="AJ450" s="28"/>
      <c r="AK450" s="28" t="n">
        <f aca="false">AJ450*$M450</f>
        <v>0</v>
      </c>
      <c r="AL450" s="28"/>
      <c r="AM450" s="28" t="n">
        <f aca="false">AL450*$M450</f>
        <v>0</v>
      </c>
      <c r="AN450" s="28"/>
      <c r="AO450" s="28" t="n">
        <f aca="false">AN450*$M450</f>
        <v>0</v>
      </c>
      <c r="AP450" s="28"/>
      <c r="AQ450" s="28" t="n">
        <f aca="false">AP450*$M450</f>
        <v>0</v>
      </c>
      <c r="AR450" s="28"/>
      <c r="AS450" s="28" t="n">
        <f aca="false">AR450*$M450</f>
        <v>0</v>
      </c>
      <c r="AT450" s="28"/>
      <c r="AU450" s="28" t="n">
        <f aca="false">AT450*$M450</f>
        <v>0</v>
      </c>
      <c r="AV450" s="28"/>
      <c r="AW450" s="28" t="n">
        <f aca="false">AV450*$M450</f>
        <v>0</v>
      </c>
      <c r="AX450" s="28"/>
      <c r="AY450" s="28" t="n">
        <f aca="false">AX450*$M450</f>
        <v>0</v>
      </c>
      <c r="AZ450" s="30" t="n">
        <f aca="false">80722/100</f>
        <v>807.22</v>
      </c>
      <c r="BA450" s="11" t="n">
        <v>29060</v>
      </c>
      <c r="BB450" s="31" t="n">
        <f aca="false">SUM(Q450,S450,U450,W450,Y450,AA450,AC450,AE450,AG450,AI450,AK450,AM450,AO450,AQ450,AS450,AU450,AW450,AY450)</f>
        <v>29060</v>
      </c>
      <c r="BC450" s="28" t="n">
        <f aca="false">BA450-BB450</f>
        <v>0</v>
      </c>
      <c r="BD450" s="32" t="n">
        <f aca="false">SUM(P450,R450,T450,V450,X450,Z450,AB450,AD450,AF450,AH450,AJ450,AL450,AN450,AP450,AR450,AT450,AV450,AX450)</f>
        <v>807.22</v>
      </c>
      <c r="BE450" s="33" t="n">
        <f aca="false">AZ450-BD450</f>
        <v>0</v>
      </c>
      <c r="BF450" s="34" t="n">
        <f aca="false">BD450*M450</f>
        <v>29059.92</v>
      </c>
      <c r="BG450" s="35" t="n">
        <f aca="false">BA450-BF450</f>
        <v>0.0799999999981083</v>
      </c>
      <c r="BH450" s="19" t="str">
        <f aca="false">IF(BG450=0,"",IF(BG450&lt;&gt;BA450,"erreur de calcul",IF(BD450&lt;&gt;0,"pas de prix",IF(M450&lt;&gt; 0,"pas de quantité","pas de prix, ni de quantité"))))</f>
        <v>erreur de calcul</v>
      </c>
      <c r="BI450" s="19"/>
    </row>
    <row r="451" customFormat="false" ht="16" hidden="false" customHeight="false" outlineLevel="0" collapsed="false">
      <c r="A451" s="0" t="n">
        <v>21</v>
      </c>
      <c r="B451" s="8" t="s">
        <v>24</v>
      </c>
      <c r="C451" s="9" t="s">
        <v>25</v>
      </c>
      <c r="D451" s="9" t="s">
        <v>26</v>
      </c>
      <c r="E451" s="10" t="n">
        <v>1789</v>
      </c>
      <c r="F451" s="9" t="s">
        <v>27</v>
      </c>
      <c r="G451" s="9" t="s">
        <v>27</v>
      </c>
      <c r="H451" s="11" t="n">
        <v>21</v>
      </c>
      <c r="I451" s="11" t="s">
        <v>174</v>
      </c>
      <c r="J451" s="14" t="n">
        <v>31</v>
      </c>
      <c r="K451" s="14"/>
      <c r="L451" s="16"/>
      <c r="M451" s="27" t="n">
        <f aca="false">J451+(K451/20)+(L451/240)</f>
        <v>31</v>
      </c>
      <c r="N451" s="17" t="s">
        <v>64</v>
      </c>
      <c r="O451" s="11"/>
      <c r="P451" s="28"/>
      <c r="Q451" s="28" t="n">
        <f aca="false">P451*$M451</f>
        <v>0</v>
      </c>
      <c r="R451" s="28"/>
      <c r="S451" s="28" t="n">
        <f aca="false">R451*$M451</f>
        <v>0</v>
      </c>
      <c r="T451" s="28"/>
      <c r="U451" s="28" t="n">
        <f aca="false">T451*$M451</f>
        <v>0</v>
      </c>
      <c r="V451" s="28"/>
      <c r="W451" s="28" t="n">
        <f aca="false">V451*$M451</f>
        <v>0</v>
      </c>
      <c r="X451" s="28"/>
      <c r="Y451" s="28" t="n">
        <f aca="false">X451*$M451</f>
        <v>0</v>
      </c>
      <c r="Z451" s="28"/>
      <c r="AA451" s="28" t="n">
        <f aca="false">Z451*$M451</f>
        <v>0</v>
      </c>
      <c r="AB451" s="28"/>
      <c r="AC451" s="28" t="n">
        <f aca="false">AB451*$M451</f>
        <v>0</v>
      </c>
      <c r="AD451" s="28"/>
      <c r="AE451" s="28" t="n">
        <f aca="false">AD451*$M451</f>
        <v>0</v>
      </c>
      <c r="AF451" s="28" t="n">
        <f aca="false">4599/100</f>
        <v>45.99</v>
      </c>
      <c r="AG451" s="28" t="n">
        <v>1426</v>
      </c>
      <c r="AH451" s="28" t="n">
        <f aca="false">12691/100</f>
        <v>126.91</v>
      </c>
      <c r="AI451" s="28" t="n">
        <v>3934</v>
      </c>
      <c r="AJ451" s="28"/>
      <c r="AK451" s="28" t="n">
        <f aca="false">AJ451*$M451</f>
        <v>0</v>
      </c>
      <c r="AL451" s="28"/>
      <c r="AM451" s="28" t="n">
        <f aca="false">AL451*$M451</f>
        <v>0</v>
      </c>
      <c r="AN451" s="28"/>
      <c r="AO451" s="28" t="n">
        <f aca="false">AN451*$M451</f>
        <v>0</v>
      </c>
      <c r="AP451" s="28"/>
      <c r="AQ451" s="28" t="n">
        <f aca="false">AP451*$M451</f>
        <v>0</v>
      </c>
      <c r="AR451" s="28"/>
      <c r="AS451" s="28" t="n">
        <f aca="false">AR451*$M451</f>
        <v>0</v>
      </c>
      <c r="AT451" s="28"/>
      <c r="AU451" s="28" t="n">
        <f aca="false">AT451*$M451</f>
        <v>0</v>
      </c>
      <c r="AV451" s="28"/>
      <c r="AW451" s="28" t="n">
        <f aca="false">AV451*$M451</f>
        <v>0</v>
      </c>
      <c r="AX451" s="28"/>
      <c r="AY451" s="28" t="n">
        <f aca="false">AX451*$M451</f>
        <v>0</v>
      </c>
      <c r="AZ451" s="30" t="n">
        <f aca="false">17290/100</f>
        <v>172.9</v>
      </c>
      <c r="BA451" s="11" t="n">
        <v>5360</v>
      </c>
      <c r="BB451" s="31" t="n">
        <f aca="false">SUM(Q451,S451,U451,W451,Y451,AA451,AC451,AE451,AG451,AI451,AK451,AM451,AO451,AQ451,AS451,AU451,AW451,AY451)</f>
        <v>5360</v>
      </c>
      <c r="BC451" s="28" t="n">
        <f aca="false">BA451-BB451</f>
        <v>0</v>
      </c>
      <c r="BD451" s="32" t="n">
        <f aca="false">SUM(P451,R451,T451,V451,X451,Z451,AB451,AD451,AF451,AH451,AJ451,AL451,AN451,AP451,AR451,AT451,AV451,AX451)</f>
        <v>172.9</v>
      </c>
      <c r="BE451" s="33" t="n">
        <f aca="false">AZ451-BD451</f>
        <v>0</v>
      </c>
      <c r="BF451" s="34" t="n">
        <f aca="false">BD451*M451</f>
        <v>5359.9</v>
      </c>
      <c r="BG451" s="35" t="n">
        <f aca="false">BA451-BF451</f>
        <v>0.0999999999994543</v>
      </c>
      <c r="BH451" s="19" t="str">
        <f aca="false">IF(BG451=0,"",IF(BG451&lt;&gt;BA451,"erreur de calcul",IF(BD451&lt;&gt;0,"pas de prix",IF(M451&lt;&gt; 0,"pas de quantité","pas de prix, ni de quantité"))))</f>
        <v>erreur de calcul</v>
      </c>
      <c r="BI451" s="19"/>
    </row>
    <row r="452" customFormat="false" ht="16" hidden="false" customHeight="false" outlineLevel="0" collapsed="false">
      <c r="A452" s="0" t="n">
        <v>22</v>
      </c>
      <c r="B452" s="8" t="s">
        <v>24</v>
      </c>
      <c r="C452" s="9" t="s">
        <v>25</v>
      </c>
      <c r="D452" s="9" t="s">
        <v>26</v>
      </c>
      <c r="E452" s="10" t="n">
        <v>1789</v>
      </c>
      <c r="F452" s="9" t="s">
        <v>27</v>
      </c>
      <c r="G452" s="9" t="s">
        <v>27</v>
      </c>
      <c r="H452" s="11" t="n">
        <v>21</v>
      </c>
      <c r="I452" s="11" t="s">
        <v>175</v>
      </c>
      <c r="J452" s="14" t="n">
        <v>120</v>
      </c>
      <c r="K452" s="14"/>
      <c r="L452" s="16"/>
      <c r="M452" s="27" t="n">
        <f aca="false">J452+(K452/20)+(L452/240)</f>
        <v>120</v>
      </c>
      <c r="N452" s="17" t="s">
        <v>64</v>
      </c>
      <c r="O452" s="11"/>
      <c r="P452" s="28"/>
      <c r="Q452" s="28" t="n">
        <f aca="false">P452*$M452</f>
        <v>0</v>
      </c>
      <c r="R452" s="28"/>
      <c r="S452" s="28" t="n">
        <f aca="false">R452*$M452</f>
        <v>0</v>
      </c>
      <c r="T452" s="28"/>
      <c r="U452" s="28" t="n">
        <f aca="false">T452*$M452</f>
        <v>0</v>
      </c>
      <c r="V452" s="28" t="n">
        <f aca="false">2364/100</f>
        <v>23.64</v>
      </c>
      <c r="W452" s="28" t="n">
        <v>2837</v>
      </c>
      <c r="X452" s="28"/>
      <c r="Y452" s="28" t="n">
        <f aca="false">X452*$M452</f>
        <v>0</v>
      </c>
      <c r="Z452" s="28"/>
      <c r="AA452" s="28" t="n">
        <f aca="false">Z452*$M452</f>
        <v>0</v>
      </c>
      <c r="AB452" s="28"/>
      <c r="AC452" s="28" t="n">
        <f aca="false">AB452*$M452</f>
        <v>0</v>
      </c>
      <c r="AD452" s="28"/>
      <c r="AE452" s="28" t="n">
        <f aca="false">AD452*$M452</f>
        <v>0</v>
      </c>
      <c r="AF452" s="28"/>
      <c r="AG452" s="28" t="n">
        <f aca="false">AF452*$M452</f>
        <v>0</v>
      </c>
      <c r="AH452" s="28"/>
      <c r="AI452" s="28" t="n">
        <f aca="false">AH452*$M452</f>
        <v>0</v>
      </c>
      <c r="AJ452" s="28"/>
      <c r="AK452" s="28" t="n">
        <f aca="false">AJ452*$M452</f>
        <v>0</v>
      </c>
      <c r="AL452" s="28"/>
      <c r="AM452" s="28" t="n">
        <f aca="false">AL452*$M452</f>
        <v>0</v>
      </c>
      <c r="AN452" s="28"/>
      <c r="AO452" s="28" t="n">
        <f aca="false">AN452*$M452</f>
        <v>0</v>
      </c>
      <c r="AP452" s="28"/>
      <c r="AQ452" s="28" t="n">
        <f aca="false">AP452*$M452</f>
        <v>0</v>
      </c>
      <c r="AR452" s="28"/>
      <c r="AS452" s="28" t="n">
        <f aca="false">AR452*$M452</f>
        <v>0</v>
      </c>
      <c r="AT452" s="28"/>
      <c r="AU452" s="28" t="n">
        <f aca="false">AT452*$M452</f>
        <v>0</v>
      </c>
      <c r="AV452" s="28"/>
      <c r="AW452" s="28" t="n">
        <f aca="false">AV452*$M452</f>
        <v>0</v>
      </c>
      <c r="AX452" s="28"/>
      <c r="AY452" s="28" t="n">
        <f aca="false">AX452*$M452</f>
        <v>0</v>
      </c>
      <c r="AZ452" s="30" t="n">
        <f aca="false">2364/100</f>
        <v>23.64</v>
      </c>
      <c r="BA452" s="11" t="n">
        <v>2837</v>
      </c>
      <c r="BB452" s="31" t="n">
        <f aca="false">SUM(Q452,S452,U452,W452,Y452,AA452,AC452,AE452,AG452,AI452,AK452,AM452,AO452,AQ452,AS452,AU452,AW452,AY452)</f>
        <v>2837</v>
      </c>
      <c r="BC452" s="28" t="n">
        <f aca="false">BA452-BB452</f>
        <v>0</v>
      </c>
      <c r="BD452" s="32" t="n">
        <f aca="false">SUM(P452,R452,T452,V452,X452,Z452,AB452,AD452,AF452,AH452,AJ452,AL452,AN452,AP452,AR452,AT452,AV452,AX452)</f>
        <v>23.64</v>
      </c>
      <c r="BE452" s="33" t="n">
        <f aca="false">AZ452-BD452</f>
        <v>0</v>
      </c>
      <c r="BF452" s="34" t="n">
        <f aca="false">BD452*M452</f>
        <v>2836.8</v>
      </c>
      <c r="BG452" s="35" t="n">
        <f aca="false">BA452-BF452</f>
        <v>0.199999999999818</v>
      </c>
      <c r="BH452" s="19" t="str">
        <f aca="false">IF(BG452=0,"",IF(BG452&lt;&gt;BA452,"erreur de calcul",IF(BD452&lt;&gt;0,"pas de prix",IF(M452&lt;&gt; 0,"pas de quantité","pas de prix, ni de quantité"))))</f>
        <v>erreur de calcul</v>
      </c>
      <c r="BI452" s="19"/>
    </row>
    <row r="453" customFormat="false" ht="16" hidden="false" customHeight="false" outlineLevel="0" collapsed="false">
      <c r="A453" s="0" t="n">
        <v>23</v>
      </c>
      <c r="B453" s="8" t="s">
        <v>24</v>
      </c>
      <c r="C453" s="9" t="s">
        <v>25</v>
      </c>
      <c r="D453" s="9" t="s">
        <v>26</v>
      </c>
      <c r="E453" s="10" t="n">
        <v>1789</v>
      </c>
      <c r="F453" s="9" t="s">
        <v>27</v>
      </c>
      <c r="G453" s="9" t="s">
        <v>27</v>
      </c>
      <c r="H453" s="11" t="n">
        <v>21</v>
      </c>
      <c r="I453" s="11" t="s">
        <v>176</v>
      </c>
      <c r="J453" s="14" t="n">
        <v>170</v>
      </c>
      <c r="K453" s="14"/>
      <c r="L453" s="16"/>
      <c r="M453" s="27" t="n">
        <f aca="false">J453+(K453/20)+(L453/240)</f>
        <v>170</v>
      </c>
      <c r="N453" s="17" t="s">
        <v>64</v>
      </c>
      <c r="O453" s="11"/>
      <c r="P453" s="28" t="n">
        <f aca="false">9760/100</f>
        <v>97.6</v>
      </c>
      <c r="Q453" s="28" t="n">
        <v>16592</v>
      </c>
      <c r="R453" s="28"/>
      <c r="S453" s="28" t="n">
        <f aca="false">R453*$M453</f>
        <v>0</v>
      </c>
      <c r="T453" s="28"/>
      <c r="U453" s="28" t="n">
        <f aca="false">T453*$M453</f>
        <v>0</v>
      </c>
      <c r="V453" s="28"/>
      <c r="W453" s="28" t="n">
        <f aca="false">V453*$M453</f>
        <v>0</v>
      </c>
      <c r="X453" s="28" t="n">
        <f aca="false">1589/100</f>
        <v>15.89</v>
      </c>
      <c r="Y453" s="28" t="n">
        <v>2701</v>
      </c>
      <c r="Z453" s="28"/>
      <c r="AA453" s="28" t="n">
        <f aca="false">Z453*$M453</f>
        <v>0</v>
      </c>
      <c r="AB453" s="28"/>
      <c r="AC453" s="28" t="n">
        <f aca="false">AB453*$M453</f>
        <v>0</v>
      </c>
      <c r="AD453" s="28"/>
      <c r="AE453" s="28" t="n">
        <f aca="false">AD453*$M453</f>
        <v>0</v>
      </c>
      <c r="AF453" s="28"/>
      <c r="AG453" s="28" t="n">
        <f aca="false">AF453*$M453</f>
        <v>0</v>
      </c>
      <c r="AH453" s="28"/>
      <c r="AI453" s="28" t="n">
        <f aca="false">AH453*$M453</f>
        <v>0</v>
      </c>
      <c r="AJ453" s="28"/>
      <c r="AK453" s="28" t="n">
        <f aca="false">AJ453*$M453</f>
        <v>0</v>
      </c>
      <c r="AL453" s="28"/>
      <c r="AM453" s="28" t="n">
        <f aca="false">AL453*$M453</f>
        <v>0</v>
      </c>
      <c r="AN453" s="28"/>
      <c r="AO453" s="28" t="n">
        <f aca="false">AN453*$M453</f>
        <v>0</v>
      </c>
      <c r="AP453" s="28"/>
      <c r="AQ453" s="28" t="n">
        <f aca="false">AP453*$M453</f>
        <v>0</v>
      </c>
      <c r="AR453" s="28"/>
      <c r="AS453" s="28" t="n">
        <f aca="false">AR453*$M453</f>
        <v>0</v>
      </c>
      <c r="AT453" s="28"/>
      <c r="AU453" s="28" t="n">
        <f aca="false">AT453*$M453</f>
        <v>0</v>
      </c>
      <c r="AV453" s="28"/>
      <c r="AW453" s="28" t="n">
        <f aca="false">AV453*$M453</f>
        <v>0</v>
      </c>
      <c r="AX453" s="28"/>
      <c r="AY453" s="28" t="n">
        <f aca="false">AX453*$M453</f>
        <v>0</v>
      </c>
      <c r="AZ453" s="30" t="n">
        <f aca="false">11349/100</f>
        <v>113.49</v>
      </c>
      <c r="BA453" s="11" t="n">
        <v>19293</v>
      </c>
      <c r="BB453" s="31" t="n">
        <f aca="false">SUM(Q453,S453,U453,W453,Y453,AA453,AC453,AE453,AG453,AI453,AK453,AM453,AO453,AQ453,AS453,AU453,AW453,AY453)</f>
        <v>19293</v>
      </c>
      <c r="BC453" s="28" t="n">
        <f aca="false">BA453-BB453</f>
        <v>0</v>
      </c>
      <c r="BD453" s="32" t="n">
        <f aca="false">SUM(P453,R453,T453,V453,X453,Z453,AB453,AD453,AF453,AH453,AJ453,AL453,AN453,AP453,AR453,AT453,AV453,AX453)</f>
        <v>113.49</v>
      </c>
      <c r="BE453" s="33" t="n">
        <f aca="false">AZ453-BD453</f>
        <v>0</v>
      </c>
      <c r="BF453" s="34" t="n">
        <f aca="false">BD453*M453</f>
        <v>19293.3</v>
      </c>
      <c r="BG453" s="35" t="n">
        <f aca="false">BA453-BF453</f>
        <v>-0.299999999999272</v>
      </c>
      <c r="BH453" s="19" t="str">
        <f aca="false">IF(BG453=0,"",IF(BG453&lt;&gt;BA453,"erreur de calcul",IF(BD453&lt;&gt;0,"pas de prix",IF(M453&lt;&gt; 0,"pas de quantité","pas de prix, ni de quantité"))))</f>
        <v>erreur de calcul</v>
      </c>
      <c r="BI453" s="19"/>
    </row>
    <row r="454" customFormat="false" ht="16" hidden="false" customHeight="false" outlineLevel="0" collapsed="false">
      <c r="A454" s="0" t="n">
        <v>24</v>
      </c>
      <c r="B454" s="8" t="s">
        <v>24</v>
      </c>
      <c r="C454" s="9" t="s">
        <v>25</v>
      </c>
      <c r="D454" s="9" t="s">
        <v>26</v>
      </c>
      <c r="E454" s="10" t="n">
        <v>1789</v>
      </c>
      <c r="F454" s="9" t="s">
        <v>27</v>
      </c>
      <c r="G454" s="9" t="s">
        <v>27</v>
      </c>
      <c r="H454" s="11" t="n">
        <v>21</v>
      </c>
      <c r="I454" s="11" t="s">
        <v>177</v>
      </c>
      <c r="J454" s="14" t="n">
        <v>9</v>
      </c>
      <c r="K454" s="14"/>
      <c r="L454" s="16"/>
      <c r="M454" s="27" t="n">
        <f aca="false">J454+(K454/20)+(L454/240)</f>
        <v>9</v>
      </c>
      <c r="N454" s="17" t="s">
        <v>66</v>
      </c>
      <c r="O454" s="11"/>
      <c r="P454" s="28"/>
      <c r="Q454" s="28" t="n">
        <f aca="false">P454*$M454</f>
        <v>0</v>
      </c>
      <c r="R454" s="28" t="n">
        <v>349</v>
      </c>
      <c r="S454" s="28" t="n">
        <v>3141</v>
      </c>
      <c r="T454" s="28"/>
      <c r="U454" s="28" t="n">
        <f aca="false">T454*$M454</f>
        <v>0</v>
      </c>
      <c r="V454" s="28" t="n">
        <v>315</v>
      </c>
      <c r="W454" s="28" t="n">
        <v>2835</v>
      </c>
      <c r="X454" s="28" t="n">
        <v>733</v>
      </c>
      <c r="Y454" s="28" t="n">
        <v>6597</v>
      </c>
      <c r="Z454" s="28"/>
      <c r="AA454" s="28" t="n">
        <f aca="false">Z454*$M454</f>
        <v>0</v>
      </c>
      <c r="AB454" s="28" t="n">
        <v>162</v>
      </c>
      <c r="AC454" s="28" t="n">
        <v>1458</v>
      </c>
      <c r="AD454" s="28"/>
      <c r="AE454" s="28" t="n">
        <f aca="false">AD454*$M454</f>
        <v>0</v>
      </c>
      <c r="AF454" s="28"/>
      <c r="AG454" s="28" t="n">
        <f aca="false">AF454*$M454</f>
        <v>0</v>
      </c>
      <c r="AH454" s="28"/>
      <c r="AI454" s="28" t="n">
        <f aca="false">AH454*$M454</f>
        <v>0</v>
      </c>
      <c r="AJ454" s="28"/>
      <c r="AK454" s="28" t="n">
        <f aca="false">AJ454*$M454</f>
        <v>0</v>
      </c>
      <c r="AL454" s="28"/>
      <c r="AM454" s="28" t="n">
        <f aca="false">AL454*$M454</f>
        <v>0</v>
      </c>
      <c r="AN454" s="28"/>
      <c r="AO454" s="28" t="n">
        <f aca="false">AN454*$M454</f>
        <v>0</v>
      </c>
      <c r="AP454" s="28"/>
      <c r="AQ454" s="28" t="n">
        <f aca="false">AP454*$M454</f>
        <v>0</v>
      </c>
      <c r="AR454" s="28"/>
      <c r="AS454" s="28" t="n">
        <f aca="false">AR454*$M454</f>
        <v>0</v>
      </c>
      <c r="AT454" s="28"/>
      <c r="AU454" s="28" t="n">
        <f aca="false">AT454*$M454</f>
        <v>0</v>
      </c>
      <c r="AV454" s="28"/>
      <c r="AW454" s="28" t="n">
        <f aca="false">AV454*$M454</f>
        <v>0</v>
      </c>
      <c r="AX454" s="28"/>
      <c r="AY454" s="28" t="n">
        <f aca="false">AX454*$M454</f>
        <v>0</v>
      </c>
      <c r="AZ454" s="30" t="n">
        <f aca="false">1559</f>
        <v>1559</v>
      </c>
      <c r="BA454" s="11" t="n">
        <v>14031</v>
      </c>
      <c r="BB454" s="31" t="n">
        <f aca="false">SUM(Q454,S454,U454,W454,Y454,AA454,AC454,AE454,AG454,AI454,AK454,AM454,AO454,AQ454,AS454,AU454,AW454,AY454)</f>
        <v>14031</v>
      </c>
      <c r="BC454" s="28" t="n">
        <f aca="false">BA454-BB454</f>
        <v>0</v>
      </c>
      <c r="BD454" s="32" t="n">
        <f aca="false">SUM(P454,R454,T454,V454,X454,Z454,AB454,AD454,AF454,AH454,AJ454,AL454,AN454,AP454,AR454,AT454,AV454,AX454)</f>
        <v>1559</v>
      </c>
      <c r="BE454" s="33" t="n">
        <f aca="false">AZ454-BD454</f>
        <v>0</v>
      </c>
      <c r="BF454" s="34" t="n">
        <f aca="false">BD454*M454</f>
        <v>14031</v>
      </c>
      <c r="BG454" s="35" t="n">
        <f aca="false">BA454-BF454</f>
        <v>0</v>
      </c>
      <c r="BH454" s="19" t="str">
        <f aca="false">IF(BG454=0,"",IF(BG454&lt;&gt;BA454,"erreur de calcul",IF(BD454&lt;&gt;0,"pas de prix",IF(M454&lt;&gt; 0,"pas de quantité","pas de prix, ni de quantité"))))</f>
        <v/>
      </c>
      <c r="BI454" s="19"/>
    </row>
    <row r="455" customFormat="false" ht="16" hidden="false" customHeight="false" outlineLevel="0" collapsed="false">
      <c r="A455" s="0" t="n">
        <v>25</v>
      </c>
      <c r="B455" s="8" t="s">
        <v>24</v>
      </c>
      <c r="C455" s="9" t="s">
        <v>25</v>
      </c>
      <c r="D455" s="9" t="s">
        <v>26</v>
      </c>
      <c r="E455" s="10" t="n">
        <v>1789</v>
      </c>
      <c r="F455" s="9" t="s">
        <v>27</v>
      </c>
      <c r="G455" s="9" t="s">
        <v>27</v>
      </c>
      <c r="H455" s="11" t="n">
        <v>21</v>
      </c>
      <c r="I455" s="11" t="s">
        <v>178</v>
      </c>
      <c r="J455" s="14" t="n">
        <v>125</v>
      </c>
      <c r="K455" s="14"/>
      <c r="L455" s="16"/>
      <c r="M455" s="27" t="n">
        <f aca="false">J455+(K455/20)+(L455/240)</f>
        <v>125</v>
      </c>
      <c r="N455" s="17" t="s">
        <v>64</v>
      </c>
      <c r="O455" s="11"/>
      <c r="P455" s="28"/>
      <c r="Q455" s="28" t="n">
        <f aca="false">P455*$M455</f>
        <v>0</v>
      </c>
      <c r="R455" s="28"/>
      <c r="S455" s="28" t="n">
        <f aca="false">R455*$M455</f>
        <v>0</v>
      </c>
      <c r="T455" s="28"/>
      <c r="U455" s="28" t="n">
        <f aca="false">T455*$M455</f>
        <v>0</v>
      </c>
      <c r="V455" s="28" t="n">
        <f aca="false">10764/100</f>
        <v>107.64</v>
      </c>
      <c r="W455" s="28" t="n">
        <v>13455</v>
      </c>
      <c r="X455" s="28" t="n">
        <f aca="false">13215/100</f>
        <v>132.15</v>
      </c>
      <c r="Y455" s="28" t="n">
        <v>16519</v>
      </c>
      <c r="Z455" s="28"/>
      <c r="AA455" s="28" t="n">
        <f aca="false">Z455*$M455</f>
        <v>0</v>
      </c>
      <c r="AB455" s="28" t="n">
        <f aca="false">188461/100</f>
        <v>1884.61</v>
      </c>
      <c r="AC455" s="28" t="n">
        <v>235576</v>
      </c>
      <c r="AD455" s="28"/>
      <c r="AE455" s="28" t="n">
        <f aca="false">AD455*$M455</f>
        <v>0</v>
      </c>
      <c r="AF455" s="28"/>
      <c r="AG455" s="28" t="n">
        <f aca="false">AF455*$M455</f>
        <v>0</v>
      </c>
      <c r="AH455" s="28"/>
      <c r="AI455" s="28" t="n">
        <f aca="false">AH455*$M455</f>
        <v>0</v>
      </c>
      <c r="AJ455" s="28"/>
      <c r="AK455" s="28" t="n">
        <f aca="false">AJ455*$M455</f>
        <v>0</v>
      </c>
      <c r="AL455" s="28"/>
      <c r="AM455" s="28" t="n">
        <f aca="false">AL455*$M455</f>
        <v>0</v>
      </c>
      <c r="AN455" s="28"/>
      <c r="AO455" s="28" t="n">
        <f aca="false">AN455*$M455</f>
        <v>0</v>
      </c>
      <c r="AP455" s="28"/>
      <c r="AQ455" s="28" t="n">
        <f aca="false">AP455*$M455</f>
        <v>0</v>
      </c>
      <c r="AR455" s="28"/>
      <c r="AS455" s="28" t="n">
        <f aca="false">AR455*$M455</f>
        <v>0</v>
      </c>
      <c r="AT455" s="28"/>
      <c r="AU455" s="28" t="n">
        <f aca="false">AT455*$M455</f>
        <v>0</v>
      </c>
      <c r="AV455" s="28"/>
      <c r="AW455" s="28" t="n">
        <f aca="false">AV455*$M455</f>
        <v>0</v>
      </c>
      <c r="AX455" s="28"/>
      <c r="AY455" s="28" t="n">
        <f aca="false">AX455*$M455</f>
        <v>0</v>
      </c>
      <c r="AZ455" s="30" t="n">
        <f aca="false">212440/100</f>
        <v>2124.4</v>
      </c>
      <c r="BA455" s="11" t="n">
        <v>265550</v>
      </c>
      <c r="BB455" s="31" t="n">
        <f aca="false">SUM(Q455,S455,U455,W455,Y455,AA455,AC455,AE455,AG455,AI455,AK455,AM455,AO455,AQ455,AS455,AU455,AW455,AY455)</f>
        <v>265550</v>
      </c>
      <c r="BC455" s="28" t="n">
        <f aca="false">BA455-BB455</f>
        <v>0</v>
      </c>
      <c r="BD455" s="32" t="n">
        <f aca="false">SUM(P455,R455,T455,V455,X455,Z455,AB455,AD455,AF455,AH455,AJ455,AL455,AN455,AP455,AR455,AT455,AV455,AX455)</f>
        <v>2124.4</v>
      </c>
      <c r="BE455" s="33" t="n">
        <f aca="false">AZ455-BD455</f>
        <v>0</v>
      </c>
      <c r="BF455" s="34" t="n">
        <f aca="false">BD455*M455</f>
        <v>265550</v>
      </c>
      <c r="BG455" s="35" t="n">
        <f aca="false">BA455-BF455</f>
        <v>0</v>
      </c>
      <c r="BH455" s="19" t="str">
        <f aca="false">IF(BG455=0,"",IF(BG455&lt;&gt;BA455,"erreur de calcul",IF(BD455&lt;&gt;0,"pas de prix",IF(M455&lt;&gt; 0,"pas de quantité","pas de prix, ni de quantité"))))</f>
        <v/>
      </c>
      <c r="BI455" s="19"/>
    </row>
    <row r="456" customFormat="false" ht="16" hidden="false" customHeight="false" outlineLevel="0" collapsed="false">
      <c r="A456" s="0" t="n">
        <v>26</v>
      </c>
      <c r="B456" s="8" t="s">
        <v>24</v>
      </c>
      <c r="C456" s="9" t="s">
        <v>25</v>
      </c>
      <c r="D456" s="9" t="s">
        <v>26</v>
      </c>
      <c r="E456" s="10" t="n">
        <v>1789</v>
      </c>
      <c r="F456" s="9" t="s">
        <v>27</v>
      </c>
      <c r="G456" s="9" t="s">
        <v>27</v>
      </c>
      <c r="H456" s="11" t="n">
        <v>21</v>
      </c>
      <c r="I456" s="11" t="s">
        <v>179</v>
      </c>
      <c r="J456" s="14" t="n">
        <v>7</v>
      </c>
      <c r="K456" s="14"/>
      <c r="L456" s="16"/>
      <c r="M456" s="27" t="n">
        <f aca="false">J456+(K456/20)+(L456/240)</f>
        <v>7</v>
      </c>
      <c r="N456" s="17" t="s">
        <v>66</v>
      </c>
      <c r="O456" s="11"/>
      <c r="P456" s="28" t="n">
        <v>8441</v>
      </c>
      <c r="Q456" s="28" t="n">
        <v>59087</v>
      </c>
      <c r="R456" s="28"/>
      <c r="S456" s="28" t="n">
        <f aca="false">R456*$M456</f>
        <v>0</v>
      </c>
      <c r="T456" s="28"/>
      <c r="U456" s="28" t="n">
        <f aca="false">T456*$M456</f>
        <v>0</v>
      </c>
      <c r="V456" s="28"/>
      <c r="W456" s="28" t="n">
        <f aca="false">V456*$M456</f>
        <v>0</v>
      </c>
      <c r="X456" s="28"/>
      <c r="Y456" s="28" t="n">
        <f aca="false">X456*$M456</f>
        <v>0</v>
      </c>
      <c r="Z456" s="28" t="n">
        <v>357</v>
      </c>
      <c r="AA456" s="28" t="n">
        <v>2499</v>
      </c>
      <c r="AB456" s="28"/>
      <c r="AC456" s="28" t="n">
        <f aca="false">AB456*$M456</f>
        <v>0</v>
      </c>
      <c r="AD456" s="28"/>
      <c r="AE456" s="28" t="n">
        <f aca="false">AD456*$M456</f>
        <v>0</v>
      </c>
      <c r="AF456" s="28"/>
      <c r="AG456" s="28" t="n">
        <f aca="false">AF456*$M456</f>
        <v>0</v>
      </c>
      <c r="AH456" s="28"/>
      <c r="AI456" s="28" t="n">
        <f aca="false">AH456*$M456</f>
        <v>0</v>
      </c>
      <c r="AJ456" s="28"/>
      <c r="AK456" s="28" t="n">
        <f aca="false">AJ456*$M456</f>
        <v>0</v>
      </c>
      <c r="AL456" s="28"/>
      <c r="AM456" s="28" t="n">
        <f aca="false">AL456*$M456</f>
        <v>0</v>
      </c>
      <c r="AN456" s="28"/>
      <c r="AO456" s="28" t="n">
        <f aca="false">AN456*$M456</f>
        <v>0</v>
      </c>
      <c r="AP456" s="28"/>
      <c r="AQ456" s="28" t="n">
        <f aca="false">AP456*$M456</f>
        <v>0</v>
      </c>
      <c r="AR456" s="28"/>
      <c r="AS456" s="28" t="n">
        <f aca="false">AR456*$M456</f>
        <v>0</v>
      </c>
      <c r="AT456" s="28"/>
      <c r="AU456" s="28" t="n">
        <f aca="false">AT456*$M456</f>
        <v>0</v>
      </c>
      <c r="AV456" s="28"/>
      <c r="AW456" s="28" t="n">
        <f aca="false">AV456*$M456</f>
        <v>0</v>
      </c>
      <c r="AX456" s="28"/>
      <c r="AY456" s="28" t="n">
        <f aca="false">AX456*$M456</f>
        <v>0</v>
      </c>
      <c r="AZ456" s="30" t="n">
        <v>8798</v>
      </c>
      <c r="BA456" s="11" t="n">
        <v>61586</v>
      </c>
      <c r="BB456" s="31" t="n">
        <f aca="false">SUM(Q456,S456,U456,W456,Y456,AA456,AC456,AE456,AG456,AI456,AK456,AM456,AO456,AQ456,AS456,AU456,AW456,AY456)</f>
        <v>61586</v>
      </c>
      <c r="BC456" s="28" t="n">
        <f aca="false">BA456-BB456</f>
        <v>0</v>
      </c>
      <c r="BD456" s="32" t="n">
        <f aca="false">SUM(P456,R456,T456,V456,X456,Z456,AB456,AD456,AF456,AH456,AJ456,AL456,AN456,AP456,AR456,AT456,AV456,AX456)</f>
        <v>8798</v>
      </c>
      <c r="BE456" s="33" t="n">
        <f aca="false">AZ456-BD456</f>
        <v>0</v>
      </c>
      <c r="BF456" s="34" t="n">
        <f aca="false">BD456*M456</f>
        <v>61586</v>
      </c>
      <c r="BG456" s="35" t="n">
        <f aca="false">BA456-BF456</f>
        <v>0</v>
      </c>
      <c r="BH456" s="19" t="str">
        <f aca="false">IF(BG456=0,"",IF(BG456&lt;&gt;BA456,"erreur de calcul",IF(BD456&lt;&gt;0,"pas de prix",IF(M456&lt;&gt; 0,"pas de quantité","pas de prix, ni de quantité"))))</f>
        <v/>
      </c>
      <c r="BI456" s="19"/>
    </row>
    <row r="457" customFormat="false" ht="16" hidden="false" customHeight="false" outlineLevel="0" collapsed="false">
      <c r="A457" s="0" t="n">
        <v>27</v>
      </c>
      <c r="B457" s="8" t="s">
        <v>24</v>
      </c>
      <c r="C457" s="9" t="s">
        <v>25</v>
      </c>
      <c r="D457" s="9" t="s">
        <v>26</v>
      </c>
      <c r="E457" s="10" t="n">
        <v>1789</v>
      </c>
      <c r="F457" s="9" t="s">
        <v>27</v>
      </c>
      <c r="G457" s="9" t="s">
        <v>27</v>
      </c>
      <c r="H457" s="11" t="n">
        <v>21</v>
      </c>
      <c r="I457" s="11" t="s">
        <v>180</v>
      </c>
      <c r="J457" s="14" t="n">
        <v>9</v>
      </c>
      <c r="K457" s="14"/>
      <c r="L457" s="16"/>
      <c r="M457" s="27" t="n">
        <f aca="false">J457+(K457/20)+(L457/240)</f>
        <v>9</v>
      </c>
      <c r="N457" s="17" t="s">
        <v>64</v>
      </c>
      <c r="O457" s="11"/>
      <c r="P457" s="28" t="n">
        <f aca="false">22662/100</f>
        <v>226.62</v>
      </c>
      <c r="Q457" s="28" t="n">
        <v>2039</v>
      </c>
      <c r="R457" s="28"/>
      <c r="S457" s="28" t="n">
        <f aca="false">R457*$M457</f>
        <v>0</v>
      </c>
      <c r="T457" s="28"/>
      <c r="U457" s="28" t="n">
        <f aca="false">T457*$M457</f>
        <v>0</v>
      </c>
      <c r="V457" s="28"/>
      <c r="W457" s="28" t="n">
        <f aca="false">V457*$M457</f>
        <v>0</v>
      </c>
      <c r="X457" s="28"/>
      <c r="Y457" s="28" t="n">
        <f aca="false">X457*$M457</f>
        <v>0</v>
      </c>
      <c r="Z457" s="28"/>
      <c r="AA457" s="28" t="n">
        <f aca="false">Z457*$M457</f>
        <v>0</v>
      </c>
      <c r="AB457" s="28"/>
      <c r="AC457" s="28" t="n">
        <f aca="false">AB457*$M457</f>
        <v>0</v>
      </c>
      <c r="AD457" s="28"/>
      <c r="AE457" s="28" t="n">
        <f aca="false">AD457*$M457</f>
        <v>0</v>
      </c>
      <c r="AF457" s="28"/>
      <c r="AG457" s="28" t="n">
        <f aca="false">AF457*$M457</f>
        <v>0</v>
      </c>
      <c r="AH457" s="28"/>
      <c r="AI457" s="28" t="n">
        <f aca="false">AH457*$M457</f>
        <v>0</v>
      </c>
      <c r="AJ457" s="28"/>
      <c r="AK457" s="28" t="n">
        <f aca="false">AJ457*$M457</f>
        <v>0</v>
      </c>
      <c r="AL457" s="28"/>
      <c r="AM457" s="28" t="n">
        <f aca="false">AL457*$M457</f>
        <v>0</v>
      </c>
      <c r="AN457" s="28"/>
      <c r="AO457" s="28" t="n">
        <f aca="false">AN457*$M457</f>
        <v>0</v>
      </c>
      <c r="AP457" s="28"/>
      <c r="AQ457" s="28" t="n">
        <f aca="false">AP457*$M457</f>
        <v>0</v>
      </c>
      <c r="AR457" s="28"/>
      <c r="AS457" s="28" t="n">
        <f aca="false">AR457*$M457</f>
        <v>0</v>
      </c>
      <c r="AT457" s="28"/>
      <c r="AU457" s="28" t="n">
        <f aca="false">AT457*$M457</f>
        <v>0</v>
      </c>
      <c r="AV457" s="28"/>
      <c r="AW457" s="28" t="n">
        <f aca="false">AV457*$M457</f>
        <v>0</v>
      </c>
      <c r="AX457" s="28"/>
      <c r="AY457" s="28" t="n">
        <f aca="false">AX457*$M457</f>
        <v>0</v>
      </c>
      <c r="AZ457" s="30" t="n">
        <f aca="false">22662/100</f>
        <v>226.62</v>
      </c>
      <c r="BA457" s="11" t="n">
        <v>2039</v>
      </c>
      <c r="BB457" s="31" t="n">
        <f aca="false">SUM(Q457,S457,U457,W457,Y457,AA457,AC457,AE457,AG457,AI457,AK457,AM457,AO457,AQ457,AS457,AU457,AW457,AY457)</f>
        <v>2039</v>
      </c>
      <c r="BC457" s="28" t="n">
        <f aca="false">BA457-BB457</f>
        <v>0</v>
      </c>
      <c r="BD457" s="32" t="n">
        <f aca="false">SUM(P457,R457,T457,V457,X457,Z457,AB457,AD457,AF457,AH457,AJ457,AL457,AN457,AP457,AR457,AT457,AV457,AX457)</f>
        <v>226.62</v>
      </c>
      <c r="BE457" s="33" t="n">
        <f aca="false">AZ457-BD457</f>
        <v>0</v>
      </c>
      <c r="BF457" s="34" t="n">
        <f aca="false">BD457*M457</f>
        <v>2039.58</v>
      </c>
      <c r="BG457" s="35" t="n">
        <f aca="false">BA457-BF457</f>
        <v>-0.579999999999927</v>
      </c>
      <c r="BH457" s="19" t="str">
        <f aca="false">IF(BG457=0,"",IF(BG457&lt;&gt;BA457,"erreur de calcul",IF(BD457&lt;&gt;0,"pas de prix",IF(M457&lt;&gt; 0,"pas de quantité","pas de prix, ni de quantité"))))</f>
        <v>erreur de calcul</v>
      </c>
      <c r="BI457" s="19"/>
    </row>
    <row r="458" customFormat="false" ht="16" hidden="false" customHeight="false" outlineLevel="0" collapsed="false">
      <c r="A458" s="0" t="n">
        <v>28</v>
      </c>
      <c r="B458" s="8" t="s">
        <v>24</v>
      </c>
      <c r="C458" s="9" t="s">
        <v>25</v>
      </c>
      <c r="D458" s="9" t="s">
        <v>26</v>
      </c>
      <c r="E458" s="10" t="n">
        <v>1789</v>
      </c>
      <c r="F458" s="9" t="s">
        <v>27</v>
      </c>
      <c r="G458" s="9" t="s">
        <v>27</v>
      </c>
      <c r="H458" s="11" t="n">
        <v>21</v>
      </c>
      <c r="I458" s="11" t="s">
        <v>181</v>
      </c>
      <c r="J458" s="14" t="n">
        <v>8</v>
      </c>
      <c r="K458" s="14" t="n">
        <v>10</v>
      </c>
      <c r="L458" s="16"/>
      <c r="M458" s="27" t="n">
        <f aca="false">J458+(K458/20)+(L458/240)</f>
        <v>8.5</v>
      </c>
      <c r="N458" s="17" t="s">
        <v>66</v>
      </c>
      <c r="O458" s="11"/>
      <c r="P458" s="28" t="n">
        <v>1770</v>
      </c>
      <c r="Q458" s="28" t="n">
        <v>15045</v>
      </c>
      <c r="R458" s="28"/>
      <c r="S458" s="28" t="n">
        <f aca="false">R458*$M458</f>
        <v>0</v>
      </c>
      <c r="T458" s="28"/>
      <c r="U458" s="28" t="n">
        <f aca="false">T458*$M458</f>
        <v>0</v>
      </c>
      <c r="V458" s="28"/>
      <c r="W458" s="28" t="n">
        <f aca="false">V458*$M458</f>
        <v>0</v>
      </c>
      <c r="X458" s="28"/>
      <c r="Y458" s="28" t="n">
        <f aca="false">X458*$M458</f>
        <v>0</v>
      </c>
      <c r="Z458" s="28"/>
      <c r="AA458" s="28" t="n">
        <f aca="false">Z458*$M458</f>
        <v>0</v>
      </c>
      <c r="AB458" s="28"/>
      <c r="AC458" s="28" t="n">
        <f aca="false">AB458*$M458</f>
        <v>0</v>
      </c>
      <c r="AD458" s="28"/>
      <c r="AE458" s="28" t="n">
        <f aca="false">AD458*$M458</f>
        <v>0</v>
      </c>
      <c r="AF458" s="28"/>
      <c r="AG458" s="28" t="n">
        <f aca="false">AF458*$M458</f>
        <v>0</v>
      </c>
      <c r="AH458" s="28" t="n">
        <v>323</v>
      </c>
      <c r="AI458" s="28" t="n">
        <v>2745</v>
      </c>
      <c r="AJ458" s="28"/>
      <c r="AK458" s="28" t="n">
        <f aca="false">AJ458*$M458</f>
        <v>0</v>
      </c>
      <c r="AL458" s="28"/>
      <c r="AM458" s="28" t="n">
        <f aca="false">AL458*$M458</f>
        <v>0</v>
      </c>
      <c r="AN458" s="28"/>
      <c r="AO458" s="28" t="n">
        <f aca="false">AN458*$M458</f>
        <v>0</v>
      </c>
      <c r="AP458" s="28"/>
      <c r="AQ458" s="28" t="n">
        <f aca="false">AP458*$M458</f>
        <v>0</v>
      </c>
      <c r="AR458" s="28"/>
      <c r="AS458" s="28" t="n">
        <f aca="false">AR458*$M458</f>
        <v>0</v>
      </c>
      <c r="AT458" s="28"/>
      <c r="AU458" s="28" t="n">
        <f aca="false">AT458*$M458</f>
        <v>0</v>
      </c>
      <c r="AV458" s="28"/>
      <c r="AW458" s="28" t="n">
        <f aca="false">AV458*$M458</f>
        <v>0</v>
      </c>
      <c r="AX458" s="28"/>
      <c r="AY458" s="28" t="n">
        <f aca="false">AX458*$M458</f>
        <v>0</v>
      </c>
      <c r="AZ458" s="30" t="n">
        <v>2093</v>
      </c>
      <c r="BA458" s="11" t="n">
        <v>17790</v>
      </c>
      <c r="BB458" s="31" t="n">
        <f aca="false">SUM(Q458,S458,U458,W458,Y458,AA458,AC458,AE458,AG458,AI458,AK458,AM458,AO458,AQ458,AS458,AU458,AW458,AY458)</f>
        <v>17790</v>
      </c>
      <c r="BC458" s="28" t="n">
        <f aca="false">BA458-BB458</f>
        <v>0</v>
      </c>
      <c r="BD458" s="32" t="n">
        <f aca="false">SUM(P458,R458,T458,V458,X458,Z458,AB458,AD458,AF458,AH458,AJ458,AL458,AN458,AP458,AR458,AT458,AV458,AX458)</f>
        <v>2093</v>
      </c>
      <c r="BE458" s="33" t="n">
        <f aca="false">AZ458-BD458</f>
        <v>0</v>
      </c>
      <c r="BF458" s="34" t="n">
        <f aca="false">BD458*M458</f>
        <v>17790.5</v>
      </c>
      <c r="BG458" s="35" t="n">
        <f aca="false">BA458-BF458</f>
        <v>-0.5</v>
      </c>
      <c r="BH458" s="19" t="str">
        <f aca="false">IF(BG458=0,"",IF(BG458&lt;&gt;BA458,"erreur de calcul",IF(BD458&lt;&gt;0,"pas de prix",IF(M458&lt;&gt; 0,"pas de quantité","pas de prix, ni de quantité"))))</f>
        <v>erreur de calcul</v>
      </c>
      <c r="BI458" s="19"/>
    </row>
    <row r="459" customFormat="false" ht="16" hidden="false" customHeight="false" outlineLevel="0" collapsed="false">
      <c r="A459" s="0" t="n">
        <v>29</v>
      </c>
      <c r="B459" s="8" t="s">
        <v>24</v>
      </c>
      <c r="C459" s="9" t="s">
        <v>25</v>
      </c>
      <c r="D459" s="9" t="s">
        <v>26</v>
      </c>
      <c r="E459" s="10" t="n">
        <v>1789</v>
      </c>
      <c r="F459" s="9" t="s">
        <v>27</v>
      </c>
      <c r="G459" s="9" t="s">
        <v>27</v>
      </c>
      <c r="H459" s="11" t="n">
        <v>21</v>
      </c>
      <c r="I459" s="11" t="s">
        <v>182</v>
      </c>
      <c r="J459" s="14" t="n">
        <v>24</v>
      </c>
      <c r="K459" s="14"/>
      <c r="L459" s="16"/>
      <c r="M459" s="27" t="n">
        <f aca="false">J459+(K459/20)+(L459/240)</f>
        <v>24</v>
      </c>
      <c r="N459" s="17" t="s">
        <v>66</v>
      </c>
      <c r="O459" s="11"/>
      <c r="P459" s="28" t="n">
        <v>478</v>
      </c>
      <c r="Q459" s="28" t="n">
        <v>11472</v>
      </c>
      <c r="R459" s="28"/>
      <c r="S459" s="28" t="n">
        <f aca="false">R459*$M459</f>
        <v>0</v>
      </c>
      <c r="T459" s="28" t="n">
        <v>38</v>
      </c>
      <c r="U459" s="28" t="n">
        <v>912</v>
      </c>
      <c r="V459" s="28"/>
      <c r="W459" s="28" t="n">
        <f aca="false">V459*$M459</f>
        <v>0</v>
      </c>
      <c r="X459" s="28"/>
      <c r="Y459" s="28" t="n">
        <f aca="false">X459*$M459</f>
        <v>0</v>
      </c>
      <c r="Z459" s="28"/>
      <c r="AA459" s="28" t="n">
        <f aca="false">Z459*$M459</f>
        <v>0</v>
      </c>
      <c r="AB459" s="28"/>
      <c r="AC459" s="28" t="n">
        <f aca="false">AB459*$M459</f>
        <v>0</v>
      </c>
      <c r="AD459" s="28"/>
      <c r="AE459" s="28" t="n">
        <f aca="false">AD459*$M459</f>
        <v>0</v>
      </c>
      <c r="AF459" s="28"/>
      <c r="AG459" s="28" t="n">
        <f aca="false">AF459*$M459</f>
        <v>0</v>
      </c>
      <c r="AH459" s="28"/>
      <c r="AI459" s="28" t="n">
        <f aca="false">AH459*$M459</f>
        <v>0</v>
      </c>
      <c r="AJ459" s="28"/>
      <c r="AK459" s="28" t="n">
        <f aca="false">AJ459*$M459</f>
        <v>0</v>
      </c>
      <c r="AL459" s="28"/>
      <c r="AM459" s="28" t="n">
        <f aca="false">AL459*$M459</f>
        <v>0</v>
      </c>
      <c r="AN459" s="28"/>
      <c r="AO459" s="28" t="n">
        <f aca="false">AN459*$M459</f>
        <v>0</v>
      </c>
      <c r="AP459" s="28"/>
      <c r="AQ459" s="28" t="n">
        <f aca="false">AP459*$M459</f>
        <v>0</v>
      </c>
      <c r="AR459" s="28"/>
      <c r="AS459" s="28" t="n">
        <f aca="false">AR459*$M459</f>
        <v>0</v>
      </c>
      <c r="AT459" s="28"/>
      <c r="AU459" s="28" t="n">
        <f aca="false">AT459*$M459</f>
        <v>0</v>
      </c>
      <c r="AV459" s="28"/>
      <c r="AW459" s="28" t="n">
        <f aca="false">AV459*$M459</f>
        <v>0</v>
      </c>
      <c r="AX459" s="28"/>
      <c r="AY459" s="28" t="n">
        <f aca="false">AX459*$M459</f>
        <v>0</v>
      </c>
      <c r="AZ459" s="30" t="n">
        <v>516</v>
      </c>
      <c r="BA459" s="11" t="n">
        <v>12384</v>
      </c>
      <c r="BB459" s="31" t="n">
        <f aca="false">SUM(Q459,S459,U459,W459,Y459,AA459,AC459,AE459,AG459,AI459,AK459,AM459,AO459,AQ459,AS459,AU459,AW459,AY459)</f>
        <v>12384</v>
      </c>
      <c r="BC459" s="28" t="n">
        <f aca="false">BA459-BB459</f>
        <v>0</v>
      </c>
      <c r="BD459" s="32" t="n">
        <f aca="false">SUM(P459,R459,T459,V459,X459,Z459,AB459,AD459,AF459,AH459,AJ459,AL459,AN459,AP459,AR459,AT459,AV459,AX459)</f>
        <v>516</v>
      </c>
      <c r="BE459" s="33" t="n">
        <f aca="false">AZ459-BD459</f>
        <v>0</v>
      </c>
      <c r="BF459" s="34" t="n">
        <f aca="false">BD459*M459</f>
        <v>12384</v>
      </c>
      <c r="BG459" s="35" t="n">
        <f aca="false">BA459-BF459</f>
        <v>0</v>
      </c>
      <c r="BH459" s="19" t="str">
        <f aca="false">IF(BG459=0,"",IF(BG459&lt;&gt;BA459,"erreur de calcul",IF(BD459&lt;&gt;0,"pas de prix",IF(M459&lt;&gt; 0,"pas de quantité","pas de prix, ni de quantité"))))</f>
        <v/>
      </c>
      <c r="BI459" s="19"/>
    </row>
    <row r="460" customFormat="false" ht="16" hidden="false" customHeight="false" outlineLevel="0" collapsed="false">
      <c r="A460" s="0" t="n">
        <v>30</v>
      </c>
      <c r="B460" s="8" t="s">
        <v>24</v>
      </c>
      <c r="C460" s="9" t="s">
        <v>25</v>
      </c>
      <c r="D460" s="9" t="s">
        <v>26</v>
      </c>
      <c r="E460" s="10" t="n">
        <v>1789</v>
      </c>
      <c r="F460" s="9" t="s">
        <v>27</v>
      </c>
      <c r="G460" s="9" t="s">
        <v>27</v>
      </c>
      <c r="H460" s="11" t="n">
        <v>21</v>
      </c>
      <c r="I460" s="11" t="s">
        <v>183</v>
      </c>
      <c r="J460" s="14" t="n">
        <v>240</v>
      </c>
      <c r="K460" s="14"/>
      <c r="L460" s="16"/>
      <c r="M460" s="27" t="n">
        <f aca="false">J460+(K460/20)+(L460/240)</f>
        <v>240</v>
      </c>
      <c r="N460" s="17" t="s">
        <v>64</v>
      </c>
      <c r="O460" s="11"/>
      <c r="P460" s="28" t="n">
        <f aca="false">52196/100</f>
        <v>521.96</v>
      </c>
      <c r="Q460" s="28" t="n">
        <v>125270</v>
      </c>
      <c r="R460" s="28" t="n">
        <f aca="false">29767/100</f>
        <v>297.67</v>
      </c>
      <c r="S460" s="28" t="n">
        <v>71441</v>
      </c>
      <c r="T460" s="28"/>
      <c r="U460" s="28" t="n">
        <f aca="false">T460*$M460</f>
        <v>0</v>
      </c>
      <c r="V460" s="28"/>
      <c r="W460" s="28" t="n">
        <f aca="false">V460*$M460</f>
        <v>0</v>
      </c>
      <c r="X460" s="28"/>
      <c r="Y460" s="28" t="n">
        <f aca="false">X460*$M460</f>
        <v>0</v>
      </c>
      <c r="Z460" s="28"/>
      <c r="AA460" s="28" t="n">
        <f aca="false">Z460*$M460</f>
        <v>0</v>
      </c>
      <c r="AB460" s="28"/>
      <c r="AC460" s="28" t="n">
        <f aca="false">AB460*$M460</f>
        <v>0</v>
      </c>
      <c r="AD460" s="28"/>
      <c r="AE460" s="28" t="n">
        <f aca="false">AD460*$M460</f>
        <v>0</v>
      </c>
      <c r="AF460" s="28"/>
      <c r="AG460" s="28" t="n">
        <f aca="false">AF460*$M460</f>
        <v>0</v>
      </c>
      <c r="AH460" s="28"/>
      <c r="AI460" s="28" t="n">
        <f aca="false">AH460*$M460</f>
        <v>0</v>
      </c>
      <c r="AJ460" s="28"/>
      <c r="AK460" s="28" t="n">
        <f aca="false">AJ460*$M460</f>
        <v>0</v>
      </c>
      <c r="AL460" s="28"/>
      <c r="AM460" s="28" t="n">
        <f aca="false">AL460*$M460</f>
        <v>0</v>
      </c>
      <c r="AN460" s="28"/>
      <c r="AO460" s="28" t="n">
        <f aca="false">AN460*$M460</f>
        <v>0</v>
      </c>
      <c r="AP460" s="28"/>
      <c r="AQ460" s="28" t="n">
        <f aca="false">AP460*$M460</f>
        <v>0</v>
      </c>
      <c r="AR460" s="28"/>
      <c r="AS460" s="28" t="n">
        <f aca="false">AR460*$M460</f>
        <v>0</v>
      </c>
      <c r="AT460" s="28"/>
      <c r="AU460" s="28" t="n">
        <f aca="false">AT460*$M460</f>
        <v>0</v>
      </c>
      <c r="AV460" s="28"/>
      <c r="AW460" s="28" t="n">
        <f aca="false">AV460*$M460</f>
        <v>0</v>
      </c>
      <c r="AX460" s="28"/>
      <c r="AY460" s="28" t="n">
        <f aca="false">AX460*$M460</f>
        <v>0</v>
      </c>
      <c r="AZ460" s="30" t="n">
        <f aca="false">81963/100</f>
        <v>819.63</v>
      </c>
      <c r="BA460" s="11" t="n">
        <v>196711</v>
      </c>
      <c r="BB460" s="31" t="n">
        <f aca="false">SUM(Q460,S460,U460,W460,Y460,AA460,AC460,AE460,AG460,AI460,AK460,AM460,AO460,AQ460,AS460,AU460,AW460,AY460)</f>
        <v>196711</v>
      </c>
      <c r="BC460" s="28" t="n">
        <f aca="false">BA460-BB460</f>
        <v>0</v>
      </c>
      <c r="BD460" s="32" t="n">
        <f aca="false">SUM(P460,R460,T460,V460,X460,Z460,AB460,AD460,AF460,AH460,AJ460,AL460,AN460,AP460,AR460,AT460,AV460,AX460)</f>
        <v>819.63</v>
      </c>
      <c r="BE460" s="33" t="n">
        <f aca="false">AZ460-BD460</f>
        <v>0</v>
      </c>
      <c r="BF460" s="34" t="n">
        <f aca="false">BD460*M460</f>
        <v>196711.2</v>
      </c>
      <c r="BG460" s="35" t="n">
        <f aca="false">BA460-BF460</f>
        <v>-0.200000000011642</v>
      </c>
      <c r="BH460" s="19" t="str">
        <f aca="false">IF(BG460=0,"",IF(BG460&lt;&gt;BA460,"erreur de calcul",IF(BD460&lt;&gt;0,"pas de prix",IF(M460&lt;&gt; 0,"pas de quantité","pas de prix, ni de quantité"))))</f>
        <v>erreur de calcul</v>
      </c>
      <c r="BI460" s="19"/>
    </row>
    <row r="461" customFormat="false" ht="16" hidden="false" customHeight="false" outlineLevel="0" collapsed="false">
      <c r="A461" s="0" t="n">
        <v>31</v>
      </c>
      <c r="B461" s="8" t="s">
        <v>24</v>
      </c>
      <c r="C461" s="9" t="s">
        <v>25</v>
      </c>
      <c r="D461" s="9" t="s">
        <v>26</v>
      </c>
      <c r="E461" s="10" t="n">
        <v>1789</v>
      </c>
      <c r="F461" s="9" t="s">
        <v>27</v>
      </c>
      <c r="G461" s="9" t="s">
        <v>27</v>
      </c>
      <c r="H461" s="11" t="n">
        <v>21</v>
      </c>
      <c r="I461" s="11" t="s">
        <v>184</v>
      </c>
      <c r="J461" s="14" t="n">
        <v>13</v>
      </c>
      <c r="K461" s="14"/>
      <c r="L461" s="16"/>
      <c r="M461" s="27" t="n">
        <f aca="false">J461+(K461/20)+(L461/240)</f>
        <v>13</v>
      </c>
      <c r="N461" s="17" t="s">
        <v>66</v>
      </c>
      <c r="O461" s="11"/>
      <c r="P461" s="28"/>
      <c r="Q461" s="28" t="n">
        <f aca="false">P461*$M461</f>
        <v>0</v>
      </c>
      <c r="R461" s="28"/>
      <c r="S461" s="28" t="n">
        <f aca="false">R461*$M461</f>
        <v>0</v>
      </c>
      <c r="T461" s="28"/>
      <c r="U461" s="28" t="n">
        <f aca="false">T461*$M461</f>
        <v>0</v>
      </c>
      <c r="V461" s="28"/>
      <c r="W461" s="28" t="n">
        <f aca="false">V461*$M461</f>
        <v>0</v>
      </c>
      <c r="X461" s="28"/>
      <c r="Y461" s="28" t="n">
        <f aca="false">X461*$M461</f>
        <v>0</v>
      </c>
      <c r="Z461" s="28"/>
      <c r="AA461" s="28" t="n">
        <f aca="false">Z461*$M461</f>
        <v>0</v>
      </c>
      <c r="AB461" s="28"/>
      <c r="AC461" s="28" t="n">
        <f aca="false">AB461*$M461</f>
        <v>0</v>
      </c>
      <c r="AD461" s="28"/>
      <c r="AE461" s="28" t="n">
        <f aca="false">AD461*$M461</f>
        <v>0</v>
      </c>
      <c r="AF461" s="28"/>
      <c r="AG461" s="28" t="n">
        <f aca="false">AF461*$M461</f>
        <v>0</v>
      </c>
      <c r="AH461" s="28" t="n">
        <v>354</v>
      </c>
      <c r="AI461" s="28" t="n">
        <v>4602</v>
      </c>
      <c r="AJ461" s="28"/>
      <c r="AK461" s="28" t="n">
        <f aca="false">AJ461*$M461</f>
        <v>0</v>
      </c>
      <c r="AL461" s="28"/>
      <c r="AM461" s="28" t="n">
        <f aca="false">AL461*$M461</f>
        <v>0</v>
      </c>
      <c r="AN461" s="28"/>
      <c r="AO461" s="28" t="n">
        <f aca="false">AN461*$M461</f>
        <v>0</v>
      </c>
      <c r="AP461" s="28"/>
      <c r="AQ461" s="28" t="n">
        <f aca="false">AP461*$M461</f>
        <v>0</v>
      </c>
      <c r="AR461" s="28"/>
      <c r="AS461" s="28" t="n">
        <f aca="false">AR461*$M461</f>
        <v>0</v>
      </c>
      <c r="AT461" s="28"/>
      <c r="AU461" s="28" t="n">
        <f aca="false">AT461*$M461</f>
        <v>0</v>
      </c>
      <c r="AV461" s="28"/>
      <c r="AW461" s="28" t="n">
        <f aca="false">AV461*$M461</f>
        <v>0</v>
      </c>
      <c r="AX461" s="28"/>
      <c r="AY461" s="28" t="n">
        <f aca="false">AX461*$M461</f>
        <v>0</v>
      </c>
      <c r="AZ461" s="30" t="n">
        <v>354</v>
      </c>
      <c r="BA461" s="11" t="n">
        <v>4602</v>
      </c>
      <c r="BB461" s="31" t="n">
        <f aca="false">SUM(Q461,S461,U461,W461,Y461,AA461,AC461,AE461,AG461,AI461,AK461,AM461,AO461,AQ461,AS461,AU461,AW461,AY461)</f>
        <v>4602</v>
      </c>
      <c r="BC461" s="28" t="n">
        <f aca="false">BA461-BB461</f>
        <v>0</v>
      </c>
      <c r="BD461" s="32" t="n">
        <f aca="false">SUM(P461,R461,T461,V461,X461,Z461,AB461,AD461,AF461,AH461,AJ461,AL461,AN461,AP461,AR461,AT461,AV461,AX461)</f>
        <v>354</v>
      </c>
      <c r="BE461" s="33" t="n">
        <f aca="false">AZ461-BD461</f>
        <v>0</v>
      </c>
      <c r="BF461" s="34" t="n">
        <f aca="false">BD461*M461</f>
        <v>4602</v>
      </c>
      <c r="BG461" s="35" t="n">
        <f aca="false">BA461-BF461</f>
        <v>0</v>
      </c>
      <c r="BH461" s="19" t="str">
        <f aca="false">IF(BG461=0,"",IF(BG461&lt;&gt;BA461,"erreur de calcul",IF(BD461&lt;&gt;0,"pas de prix",IF(M461&lt;&gt; 0,"pas de quantité","pas de prix, ni de quantité"))))</f>
        <v/>
      </c>
      <c r="BI461" s="19"/>
    </row>
    <row r="462" customFormat="false" ht="16" hidden="false" customHeight="false" outlineLevel="0" collapsed="false">
      <c r="A462" s="0" t="n">
        <v>32</v>
      </c>
      <c r="B462" s="8" t="s">
        <v>24</v>
      </c>
      <c r="C462" s="9" t="s">
        <v>25</v>
      </c>
      <c r="D462" s="9" t="s">
        <v>26</v>
      </c>
      <c r="E462" s="10" t="n">
        <v>1789</v>
      </c>
      <c r="F462" s="9" t="s">
        <v>27</v>
      </c>
      <c r="G462" s="9" t="s">
        <v>27</v>
      </c>
      <c r="H462" s="11" t="n">
        <v>21</v>
      </c>
      <c r="I462" s="11" t="s">
        <v>185</v>
      </c>
      <c r="J462" s="14" t="n">
        <v>245</v>
      </c>
      <c r="K462" s="14"/>
      <c r="L462" s="16"/>
      <c r="M462" s="27" t="n">
        <f aca="false">J462+(K462/20)+(L462/240)</f>
        <v>245</v>
      </c>
      <c r="N462" s="17" t="s">
        <v>64</v>
      </c>
      <c r="O462" s="11"/>
      <c r="P462" s="28"/>
      <c r="Q462" s="28" t="n">
        <f aca="false">P462*$M462</f>
        <v>0</v>
      </c>
      <c r="R462" s="28"/>
      <c r="S462" s="28" t="n">
        <f aca="false">R462*$M462</f>
        <v>0</v>
      </c>
      <c r="T462" s="28"/>
      <c r="U462" s="28" t="n">
        <f aca="false">T462*$M462</f>
        <v>0</v>
      </c>
      <c r="V462" s="28" t="n">
        <f aca="false">720/100</f>
        <v>7.2</v>
      </c>
      <c r="W462" s="28" t="n">
        <v>1764</v>
      </c>
      <c r="X462" s="28" t="n">
        <f aca="false">40366/100</f>
        <v>403.66</v>
      </c>
      <c r="Y462" s="28" t="n">
        <v>98897</v>
      </c>
      <c r="Z462" s="28"/>
      <c r="AA462" s="28" t="n">
        <f aca="false">Z462*$M462</f>
        <v>0</v>
      </c>
      <c r="AB462" s="28"/>
      <c r="AC462" s="28" t="n">
        <f aca="false">AB462*$M462</f>
        <v>0</v>
      </c>
      <c r="AD462" s="28"/>
      <c r="AE462" s="28" t="n">
        <f aca="false">AD462*$M462</f>
        <v>0</v>
      </c>
      <c r="AF462" s="28"/>
      <c r="AG462" s="28" t="n">
        <f aca="false">AF462*$M462</f>
        <v>0</v>
      </c>
      <c r="AH462" s="28" t="n">
        <f aca="false">83243/100</f>
        <v>832.43</v>
      </c>
      <c r="AI462" s="28" t="n">
        <v>203945</v>
      </c>
      <c r="AJ462" s="28"/>
      <c r="AK462" s="28" t="n">
        <f aca="false">AJ462*$M462</f>
        <v>0</v>
      </c>
      <c r="AL462" s="28"/>
      <c r="AM462" s="28" t="n">
        <f aca="false">AL462*$M462</f>
        <v>0</v>
      </c>
      <c r="AN462" s="28"/>
      <c r="AO462" s="28" t="n">
        <f aca="false">AN462*$M462</f>
        <v>0</v>
      </c>
      <c r="AP462" s="28"/>
      <c r="AQ462" s="28" t="n">
        <f aca="false">AP462*$M462</f>
        <v>0</v>
      </c>
      <c r="AR462" s="28"/>
      <c r="AS462" s="28" t="n">
        <f aca="false">AR462*$M462</f>
        <v>0</v>
      </c>
      <c r="AT462" s="28"/>
      <c r="AU462" s="28" t="n">
        <f aca="false">AT462*$M462</f>
        <v>0</v>
      </c>
      <c r="AV462" s="28"/>
      <c r="AW462" s="28" t="n">
        <f aca="false">AV462*$M462</f>
        <v>0</v>
      </c>
      <c r="AX462" s="28"/>
      <c r="AY462" s="28" t="n">
        <f aca="false">AX462*$M462</f>
        <v>0</v>
      </c>
      <c r="AZ462" s="30" t="n">
        <f aca="false">124329/100</f>
        <v>1243.29</v>
      </c>
      <c r="BA462" s="11" t="n">
        <v>304606</v>
      </c>
      <c r="BB462" s="31" t="n">
        <f aca="false">SUM(Q462,S462,U462,W462,Y462,AA462,AC462,AE462,AG462,AI462,AK462,AM462,AO462,AQ462,AS462,AU462,AW462,AY462)</f>
        <v>304606</v>
      </c>
      <c r="BC462" s="28" t="n">
        <f aca="false">BA462-BB462</f>
        <v>0</v>
      </c>
      <c r="BD462" s="32" t="n">
        <f aca="false">SUM(P462,R462,T462,V462,X462,Z462,AB462,AD462,AF462,AH462,AJ462,AL462,AN462,AP462,AR462,AT462,AV462,AX462)</f>
        <v>1243.29</v>
      </c>
      <c r="BE462" s="33" t="n">
        <f aca="false">AZ462-BD462</f>
        <v>0</v>
      </c>
      <c r="BF462" s="34" t="n">
        <f aca="false">BD462*M462</f>
        <v>304606.05</v>
      </c>
      <c r="BG462" s="35" t="n">
        <f aca="false">BA462-BF462</f>
        <v>-0.0499999999883585</v>
      </c>
      <c r="BH462" s="19" t="str">
        <f aca="false">IF(BG462=0,"",IF(BG462&lt;&gt;BA462,"erreur de calcul",IF(BD462&lt;&gt;0,"pas de prix",IF(M462&lt;&gt; 0,"pas de quantité","pas de prix, ni de quantité"))))</f>
        <v>erreur de calcul</v>
      </c>
      <c r="BI462" s="19"/>
    </row>
    <row r="463" customFormat="false" ht="16" hidden="false" customHeight="false" outlineLevel="0" collapsed="false">
      <c r="A463" s="0" t="n">
        <v>33</v>
      </c>
      <c r="B463" s="8" t="s">
        <v>24</v>
      </c>
      <c r="C463" s="9" t="s">
        <v>25</v>
      </c>
      <c r="D463" s="9" t="s">
        <v>26</v>
      </c>
      <c r="E463" s="10" t="n">
        <v>1789</v>
      </c>
      <c r="F463" s="9" t="s">
        <v>27</v>
      </c>
      <c r="G463" s="9" t="s">
        <v>27</v>
      </c>
      <c r="H463" s="11" t="n">
        <v>21</v>
      </c>
      <c r="I463" s="11" t="s">
        <v>186</v>
      </c>
      <c r="J463" s="14" t="n">
        <v>240</v>
      </c>
      <c r="K463" s="14"/>
      <c r="L463" s="16"/>
      <c r="M463" s="27" t="n">
        <f aca="false">J463+(K463/20)+(L463/240)</f>
        <v>240</v>
      </c>
      <c r="N463" s="17" t="s">
        <v>64</v>
      </c>
      <c r="O463" s="11"/>
      <c r="P463" s="28"/>
      <c r="Q463" s="28" t="n">
        <f aca="false">P463*$M463</f>
        <v>0</v>
      </c>
      <c r="R463" s="28"/>
      <c r="S463" s="28" t="n">
        <f aca="false">R463*$M463</f>
        <v>0</v>
      </c>
      <c r="T463" s="28"/>
      <c r="U463" s="28" t="n">
        <f aca="false">T463*$M463</f>
        <v>0</v>
      </c>
      <c r="V463" s="28"/>
      <c r="W463" s="28" t="n">
        <f aca="false">V463*$M463</f>
        <v>0</v>
      </c>
      <c r="X463" s="28"/>
      <c r="Y463" s="28" t="n">
        <f aca="false">X463*$M463</f>
        <v>0</v>
      </c>
      <c r="Z463" s="28"/>
      <c r="AA463" s="28" t="n">
        <f aca="false">Z463*$M463</f>
        <v>0</v>
      </c>
      <c r="AB463" s="28"/>
      <c r="AC463" s="28" t="n">
        <f aca="false">AB463*$M463</f>
        <v>0</v>
      </c>
      <c r="AD463" s="28"/>
      <c r="AE463" s="28" t="n">
        <f aca="false">AD463*$M463</f>
        <v>0</v>
      </c>
      <c r="AF463" s="28"/>
      <c r="AG463" s="28" t="n">
        <f aca="false">AF463*$M463</f>
        <v>0</v>
      </c>
      <c r="AH463" s="28" t="n">
        <f aca="false">803/100</f>
        <v>8.03</v>
      </c>
      <c r="AI463" s="28" t="n">
        <v>1927</v>
      </c>
      <c r="AJ463" s="28"/>
      <c r="AK463" s="28" t="n">
        <f aca="false">AJ463*$M463</f>
        <v>0</v>
      </c>
      <c r="AL463" s="28"/>
      <c r="AM463" s="28" t="n">
        <f aca="false">AL463*$M463</f>
        <v>0</v>
      </c>
      <c r="AN463" s="28"/>
      <c r="AO463" s="28" t="n">
        <f aca="false">AN463*$M463</f>
        <v>0</v>
      </c>
      <c r="AP463" s="28"/>
      <c r="AQ463" s="28" t="n">
        <f aca="false">AP463*$M463</f>
        <v>0</v>
      </c>
      <c r="AR463" s="28"/>
      <c r="AS463" s="28" t="n">
        <f aca="false">AR463*$M463</f>
        <v>0</v>
      </c>
      <c r="AT463" s="28"/>
      <c r="AU463" s="28" t="n">
        <f aca="false">AT463*$M463</f>
        <v>0</v>
      </c>
      <c r="AV463" s="28"/>
      <c r="AW463" s="28" t="n">
        <f aca="false">AV463*$M463</f>
        <v>0</v>
      </c>
      <c r="AX463" s="28"/>
      <c r="AY463" s="28" t="n">
        <f aca="false">AX463*$M463</f>
        <v>0</v>
      </c>
      <c r="AZ463" s="30" t="n">
        <f aca="false">803/100</f>
        <v>8.03</v>
      </c>
      <c r="BA463" s="11" t="n">
        <v>1927</v>
      </c>
      <c r="BB463" s="31" t="n">
        <f aca="false">SUM(Q463,S463,U463,W463,Y463,AA463,AC463,AE463,AG463,AI463,AK463,AM463,AO463,AQ463,AS463,AU463,AW463,AY463)</f>
        <v>1927</v>
      </c>
      <c r="BC463" s="28" t="n">
        <f aca="false">BA463-BB463</f>
        <v>0</v>
      </c>
      <c r="BD463" s="32" t="n">
        <f aca="false">SUM(P463,R463,T463,V463,X463,Z463,AB463,AD463,AF463,AH463,AJ463,AL463,AN463,AP463,AR463,AT463,AV463,AX463)</f>
        <v>8.03</v>
      </c>
      <c r="BE463" s="33" t="n">
        <f aca="false">AZ463-BD463</f>
        <v>0</v>
      </c>
      <c r="BF463" s="34" t="n">
        <f aca="false">BD463*M463</f>
        <v>1927.2</v>
      </c>
      <c r="BG463" s="35" t="n">
        <f aca="false">BA463-BF463</f>
        <v>-0.199999999999818</v>
      </c>
      <c r="BH463" s="19" t="str">
        <f aca="false">IF(BG463=0,"",IF(BG463&lt;&gt;BA463,"erreur de calcul",IF(BD463&lt;&gt;0,"pas de prix",IF(M463&lt;&gt; 0,"pas de quantité","pas de prix, ni de quantité"))))</f>
        <v>erreur de calcul</v>
      </c>
      <c r="BI463" s="19"/>
    </row>
    <row r="464" customFormat="false" ht="16" hidden="false" customHeight="false" outlineLevel="0" collapsed="false">
      <c r="A464" s="0" t="n">
        <v>34</v>
      </c>
      <c r="B464" s="8" t="s">
        <v>24</v>
      </c>
      <c r="C464" s="9" t="s">
        <v>25</v>
      </c>
      <c r="D464" s="9" t="s">
        <v>26</v>
      </c>
      <c r="E464" s="10" t="n">
        <v>1789</v>
      </c>
      <c r="F464" s="9" t="s">
        <v>27</v>
      </c>
      <c r="G464" s="9" t="s">
        <v>27</v>
      </c>
      <c r="H464" s="11" t="n">
        <v>21</v>
      </c>
      <c r="I464" s="11" t="s">
        <v>187</v>
      </c>
      <c r="J464" s="14" t="n">
        <v>45</v>
      </c>
      <c r="K464" s="14"/>
      <c r="L464" s="16"/>
      <c r="M464" s="27" t="n">
        <f aca="false">J464+(K464/20)+(L464/240)</f>
        <v>45</v>
      </c>
      <c r="N464" s="17" t="s">
        <v>64</v>
      </c>
      <c r="O464" s="11"/>
      <c r="P464" s="28" t="n">
        <f aca="false">8827/100</f>
        <v>88.27</v>
      </c>
      <c r="Q464" s="28" t="n">
        <v>3972</v>
      </c>
      <c r="R464" s="28"/>
      <c r="S464" s="28" t="n">
        <f aca="false">R464*$M464</f>
        <v>0</v>
      </c>
      <c r="T464" s="28"/>
      <c r="U464" s="28" t="n">
        <f aca="false">T464*$M464</f>
        <v>0</v>
      </c>
      <c r="V464" s="28" t="n">
        <f aca="false">8951/100</f>
        <v>89.51</v>
      </c>
      <c r="W464" s="28" t="n">
        <v>4028</v>
      </c>
      <c r="X464" s="28" t="n">
        <f aca="false">49106/100</f>
        <v>491.06</v>
      </c>
      <c r="Y464" s="28" t="n">
        <v>22098</v>
      </c>
      <c r="Z464" s="28"/>
      <c r="AA464" s="28" t="n">
        <f aca="false">Z464*$M464</f>
        <v>0</v>
      </c>
      <c r="AB464" s="28" t="n">
        <f aca="false">313412/100</f>
        <v>3134.12</v>
      </c>
      <c r="AC464" s="28" t="n">
        <v>141035</v>
      </c>
      <c r="AD464" s="28"/>
      <c r="AE464" s="28" t="n">
        <f aca="false">AD464*$M464</f>
        <v>0</v>
      </c>
      <c r="AF464" s="28"/>
      <c r="AG464" s="28" t="n">
        <f aca="false">AF464*$M464</f>
        <v>0</v>
      </c>
      <c r="AH464" s="28"/>
      <c r="AI464" s="28" t="n">
        <f aca="false">AH464*$M464</f>
        <v>0</v>
      </c>
      <c r="AJ464" s="28"/>
      <c r="AK464" s="28" t="n">
        <f aca="false">AJ464*$M464</f>
        <v>0</v>
      </c>
      <c r="AL464" s="28"/>
      <c r="AM464" s="28" t="n">
        <f aca="false">AL464*$M464</f>
        <v>0</v>
      </c>
      <c r="AN464" s="28"/>
      <c r="AO464" s="28" t="n">
        <f aca="false">AN464*$M464</f>
        <v>0</v>
      </c>
      <c r="AP464" s="28"/>
      <c r="AQ464" s="28" t="n">
        <f aca="false">AP464*$M464</f>
        <v>0</v>
      </c>
      <c r="AR464" s="28"/>
      <c r="AS464" s="28" t="n">
        <f aca="false">AR464*$M464</f>
        <v>0</v>
      </c>
      <c r="AT464" s="28"/>
      <c r="AU464" s="28" t="n">
        <f aca="false">AT464*$M464</f>
        <v>0</v>
      </c>
      <c r="AV464" s="28"/>
      <c r="AW464" s="28" t="n">
        <f aca="false">AV464*$M464</f>
        <v>0</v>
      </c>
      <c r="AX464" s="28"/>
      <c r="AY464" s="28" t="n">
        <f aca="false">AX464*$M464</f>
        <v>0</v>
      </c>
      <c r="AZ464" s="30" t="n">
        <f aca="false">380296/100</f>
        <v>3802.96</v>
      </c>
      <c r="BA464" s="11" t="n">
        <v>171133</v>
      </c>
      <c r="BB464" s="31" t="n">
        <f aca="false">SUM(Q464,S464,U464,W464,Y464,AA464,AC464,AE464,AG464,AI464,AK464,AM464,AO464,AQ464,AS464,AU464,AW464,AY464)</f>
        <v>171133</v>
      </c>
      <c r="BC464" s="28" t="n">
        <f aca="false">BA464-BB464</f>
        <v>0</v>
      </c>
      <c r="BD464" s="32" t="n">
        <f aca="false">SUM(P464,R464,T464,V464,X464,Z464,AB464,AD464,AF464,AH464,AJ464,AL464,AN464,AP464,AR464,AT464,AV464,AX464)</f>
        <v>3802.96</v>
      </c>
      <c r="BE464" s="33" t="n">
        <f aca="false">AZ464-BD464</f>
        <v>0</v>
      </c>
      <c r="BF464" s="34" t="n">
        <f aca="false">BD464*M464</f>
        <v>171133.2</v>
      </c>
      <c r="BG464" s="35" t="n">
        <f aca="false">BA464-BF464</f>
        <v>-0.200000000011642</v>
      </c>
      <c r="BH464" s="19" t="str">
        <f aca="false">IF(BG464=0,"",IF(BG464&lt;&gt;BA464,"erreur de calcul",IF(BD464&lt;&gt;0,"pas de prix",IF(M464&lt;&gt; 0,"pas de quantité","pas de prix, ni de quantité"))))</f>
        <v>erreur de calcul</v>
      </c>
      <c r="BI464" s="19"/>
    </row>
    <row r="465" customFormat="false" ht="16" hidden="false" customHeight="false" outlineLevel="0" collapsed="false">
      <c r="A465" s="0" t="n">
        <v>35</v>
      </c>
      <c r="B465" s="8" t="s">
        <v>24</v>
      </c>
      <c r="C465" s="9" t="s">
        <v>25</v>
      </c>
      <c r="D465" s="9" t="s">
        <v>26</v>
      </c>
      <c r="E465" s="10" t="n">
        <v>1789</v>
      </c>
      <c r="F465" s="9" t="s">
        <v>27</v>
      </c>
      <c r="G465" s="9" t="s">
        <v>27</v>
      </c>
      <c r="H465" s="11" t="n">
        <v>21</v>
      </c>
      <c r="I465" s="11" t="s">
        <v>188</v>
      </c>
      <c r="J465" s="14" t="n">
        <v>60</v>
      </c>
      <c r="K465" s="14"/>
      <c r="L465" s="16"/>
      <c r="M465" s="27" t="n">
        <f aca="false">J465+(K465/20)+(L465/240)</f>
        <v>60</v>
      </c>
      <c r="N465" s="17" t="s">
        <v>64</v>
      </c>
      <c r="O465" s="11"/>
      <c r="P465" s="28"/>
      <c r="Q465" s="28" t="n">
        <f aca="false">P465*$M465</f>
        <v>0</v>
      </c>
      <c r="R465" s="28"/>
      <c r="S465" s="28" t="n">
        <f aca="false">R465*$M465</f>
        <v>0</v>
      </c>
      <c r="T465" s="28"/>
      <c r="U465" s="28" t="n">
        <f aca="false">T465*$M465</f>
        <v>0</v>
      </c>
      <c r="V465" s="28"/>
      <c r="W465" s="28" t="n">
        <f aca="false">V465*$M465</f>
        <v>0</v>
      </c>
      <c r="X465" s="28"/>
      <c r="Y465" s="28" t="n">
        <f aca="false">X465*$M465</f>
        <v>0</v>
      </c>
      <c r="Z465" s="28"/>
      <c r="AA465" s="28" t="n">
        <f aca="false">Z465*$M465</f>
        <v>0</v>
      </c>
      <c r="AB465" s="28"/>
      <c r="AC465" s="28" t="n">
        <f aca="false">AB465*$M465</f>
        <v>0</v>
      </c>
      <c r="AD465" s="28"/>
      <c r="AE465" s="28" t="n">
        <f aca="false">AD465*$M465</f>
        <v>0</v>
      </c>
      <c r="AF465" s="28"/>
      <c r="AG465" s="28" t="n">
        <f aca="false">AF465*$M465</f>
        <v>0</v>
      </c>
      <c r="AH465" s="28" t="n">
        <f aca="false">6391/100</f>
        <v>63.91</v>
      </c>
      <c r="AI465" s="28" t="n">
        <v>3835</v>
      </c>
      <c r="AJ465" s="28"/>
      <c r="AK465" s="28" t="n">
        <f aca="false">AJ465*$M465</f>
        <v>0</v>
      </c>
      <c r="AL465" s="28"/>
      <c r="AM465" s="28" t="n">
        <f aca="false">AL465*$M465</f>
        <v>0</v>
      </c>
      <c r="AN465" s="28"/>
      <c r="AO465" s="28" t="n">
        <f aca="false">AN465*$M465</f>
        <v>0</v>
      </c>
      <c r="AP465" s="28"/>
      <c r="AQ465" s="28" t="n">
        <f aca="false">AP465*$M465</f>
        <v>0</v>
      </c>
      <c r="AR465" s="28"/>
      <c r="AS465" s="28" t="n">
        <f aca="false">AR465*$M465</f>
        <v>0</v>
      </c>
      <c r="AT465" s="28"/>
      <c r="AU465" s="28" t="n">
        <f aca="false">AT465*$M465</f>
        <v>0</v>
      </c>
      <c r="AV465" s="28"/>
      <c r="AW465" s="28" t="n">
        <f aca="false">AV465*$M465</f>
        <v>0</v>
      </c>
      <c r="AX465" s="28"/>
      <c r="AY465" s="28" t="n">
        <f aca="false">AX465*$M465</f>
        <v>0</v>
      </c>
      <c r="AZ465" s="30" t="n">
        <f aca="false">6391/100</f>
        <v>63.91</v>
      </c>
      <c r="BA465" s="11" t="n">
        <v>3835</v>
      </c>
      <c r="BB465" s="31" t="n">
        <f aca="false">SUM(Q465,S465,U465,W465,Y465,AA465,AC465,AE465,AG465,AI465,AK465,AM465,AO465,AQ465,AS465,AU465,AW465,AY465)</f>
        <v>3835</v>
      </c>
      <c r="BC465" s="28" t="n">
        <f aca="false">BA465-BB465</f>
        <v>0</v>
      </c>
      <c r="BD465" s="32" t="n">
        <f aca="false">SUM(P465,R465,T465,V465,X465,Z465,AB465,AD465,AF465,AH465,AJ465,AL465,AN465,AP465,AR465,AT465,AV465,AX465)</f>
        <v>63.91</v>
      </c>
      <c r="BE465" s="33" t="n">
        <f aca="false">AZ465-BD465</f>
        <v>0</v>
      </c>
      <c r="BF465" s="34" t="n">
        <f aca="false">BD465*M465</f>
        <v>3834.6</v>
      </c>
      <c r="BG465" s="35" t="n">
        <f aca="false">BA465-BF465</f>
        <v>0.400000000000091</v>
      </c>
      <c r="BH465" s="19" t="str">
        <f aca="false">IF(BG465=0,"",IF(BG465&lt;&gt;BA465,"erreur de calcul",IF(BD465&lt;&gt;0,"pas de prix",IF(M465&lt;&gt; 0,"pas de quantité","pas de prix, ni de quantité"))))</f>
        <v>erreur de calcul</v>
      </c>
      <c r="BI465" s="19"/>
    </row>
    <row r="466" customFormat="false" ht="16" hidden="false" customHeight="false" outlineLevel="0" collapsed="false">
      <c r="A466" s="0" t="n">
        <v>36</v>
      </c>
      <c r="B466" s="8" t="s">
        <v>24</v>
      </c>
      <c r="C466" s="9" t="s">
        <v>25</v>
      </c>
      <c r="D466" s="9" t="s">
        <v>26</v>
      </c>
      <c r="E466" s="10" t="n">
        <v>1789</v>
      </c>
      <c r="F466" s="9" t="s">
        <v>27</v>
      </c>
      <c r="G466" s="9" t="s">
        <v>27</v>
      </c>
      <c r="H466" s="11" t="n">
        <v>21</v>
      </c>
      <c r="I466" s="11" t="s">
        <v>189</v>
      </c>
      <c r="J466" s="14" t="n">
        <v>30</v>
      </c>
      <c r="K466" s="14"/>
      <c r="L466" s="16"/>
      <c r="M466" s="27" t="n">
        <f aca="false">J466+(K466/20)+(L466/240)</f>
        <v>30</v>
      </c>
      <c r="N466" s="17" t="s">
        <v>66</v>
      </c>
      <c r="O466" s="11"/>
      <c r="P466" s="28"/>
      <c r="Q466" s="28" t="n">
        <f aca="false">P466*$M466</f>
        <v>0</v>
      </c>
      <c r="R466" s="28"/>
      <c r="S466" s="28" t="n">
        <f aca="false">R466*$M466</f>
        <v>0</v>
      </c>
      <c r="T466" s="28"/>
      <c r="U466" s="28" t="n">
        <f aca="false">T466*$M466</f>
        <v>0</v>
      </c>
      <c r="V466" s="28" t="n">
        <v>146</v>
      </c>
      <c r="W466" s="28" t="n">
        <v>4380</v>
      </c>
      <c r="X466" s="28"/>
      <c r="Y466" s="28" t="n">
        <f aca="false">X466*$M466</f>
        <v>0</v>
      </c>
      <c r="Z466" s="28"/>
      <c r="AA466" s="28" t="n">
        <f aca="false">Z466*$M466</f>
        <v>0</v>
      </c>
      <c r="AB466" s="28"/>
      <c r="AC466" s="28" t="n">
        <f aca="false">AB466*$M466</f>
        <v>0</v>
      </c>
      <c r="AD466" s="28"/>
      <c r="AE466" s="28" t="n">
        <f aca="false">AD466*$M466</f>
        <v>0</v>
      </c>
      <c r="AF466" s="28"/>
      <c r="AG466" s="28" t="n">
        <f aca="false">AF466*$M466</f>
        <v>0</v>
      </c>
      <c r="AH466" s="28"/>
      <c r="AI466" s="28" t="n">
        <f aca="false">AH466*$M466</f>
        <v>0</v>
      </c>
      <c r="AJ466" s="28"/>
      <c r="AK466" s="28" t="n">
        <f aca="false">AJ466*$M466</f>
        <v>0</v>
      </c>
      <c r="AL466" s="28"/>
      <c r="AM466" s="28" t="n">
        <f aca="false">AL466*$M466</f>
        <v>0</v>
      </c>
      <c r="AN466" s="28"/>
      <c r="AO466" s="28" t="n">
        <f aca="false">AN466*$M466</f>
        <v>0</v>
      </c>
      <c r="AP466" s="28"/>
      <c r="AQ466" s="28" t="n">
        <f aca="false">AP466*$M466</f>
        <v>0</v>
      </c>
      <c r="AR466" s="28"/>
      <c r="AS466" s="28" t="n">
        <f aca="false">AR466*$M466</f>
        <v>0</v>
      </c>
      <c r="AT466" s="28"/>
      <c r="AU466" s="28" t="n">
        <f aca="false">AT466*$M466</f>
        <v>0</v>
      </c>
      <c r="AV466" s="28"/>
      <c r="AW466" s="28" t="n">
        <f aca="false">AV466*$M466</f>
        <v>0</v>
      </c>
      <c r="AX466" s="28"/>
      <c r="AY466" s="28" t="n">
        <f aca="false">AX466*$M466</f>
        <v>0</v>
      </c>
      <c r="AZ466" s="30" t="n">
        <v>146</v>
      </c>
      <c r="BA466" s="11" t="n">
        <v>4380</v>
      </c>
      <c r="BB466" s="31" t="n">
        <f aca="false">SUM(Q466,S466,U466,W466,Y466,AA466,AC466,AE466,AG466,AI466,AK466,AM466,AO466,AQ466,AS466,AU466,AW466,AY466)</f>
        <v>4380</v>
      </c>
      <c r="BC466" s="28" t="n">
        <f aca="false">BA466-BB466</f>
        <v>0</v>
      </c>
      <c r="BD466" s="32" t="n">
        <f aca="false">SUM(P466,R466,T466,V466,X466,Z466,AB466,AD466,AF466,AH466,AJ466,AL466,AN466,AP466,AR466,AT466,AV466,AX466)</f>
        <v>146</v>
      </c>
      <c r="BE466" s="33" t="n">
        <f aca="false">AZ466-BD466</f>
        <v>0</v>
      </c>
      <c r="BF466" s="34" t="n">
        <f aca="false">BD466*M466</f>
        <v>4380</v>
      </c>
      <c r="BG466" s="35" t="n">
        <f aca="false">BA466-BF466</f>
        <v>0</v>
      </c>
      <c r="BH466" s="19" t="str">
        <f aca="false">IF(BG466=0,"",IF(BG466&lt;&gt;BA466,"erreur de calcul",IF(BD466&lt;&gt;0,"pas de prix",IF(M466&lt;&gt; 0,"pas de quantité","pas de prix, ni de quantité"))))</f>
        <v/>
      </c>
      <c r="BI466" s="19"/>
    </row>
    <row r="467" customFormat="false" ht="16" hidden="false" customHeight="false" outlineLevel="0" collapsed="false">
      <c r="A467" s="0" t="n">
        <v>37</v>
      </c>
      <c r="B467" s="8" t="s">
        <v>24</v>
      </c>
      <c r="C467" s="9" t="s">
        <v>25</v>
      </c>
      <c r="D467" s="9" t="s">
        <v>26</v>
      </c>
      <c r="E467" s="10" t="n">
        <v>1789</v>
      </c>
      <c r="F467" s="9" t="s">
        <v>27</v>
      </c>
      <c r="G467" s="9" t="s">
        <v>27</v>
      </c>
      <c r="H467" s="11" t="n">
        <v>21</v>
      </c>
      <c r="I467" s="11" t="s">
        <v>190</v>
      </c>
      <c r="J467" s="14" t="n">
        <v>3</v>
      </c>
      <c r="K467" s="14"/>
      <c r="L467" s="16"/>
      <c r="M467" s="27" t="n">
        <f aca="false">J467+(K467/20)+(L467/240)</f>
        <v>3</v>
      </c>
      <c r="N467" s="17" t="s">
        <v>66</v>
      </c>
      <c r="O467" s="11"/>
      <c r="P467" s="28"/>
      <c r="Q467" s="28" t="n">
        <f aca="false">P467*$M467</f>
        <v>0</v>
      </c>
      <c r="R467" s="28"/>
      <c r="S467" s="28" t="n">
        <f aca="false">R467*$M467</f>
        <v>0</v>
      </c>
      <c r="T467" s="28"/>
      <c r="U467" s="28" t="n">
        <f aca="false">T467*$M467</f>
        <v>0</v>
      </c>
      <c r="V467" s="28" t="n">
        <v>284</v>
      </c>
      <c r="W467" s="28" t="n">
        <v>852</v>
      </c>
      <c r="X467" s="28" t="n">
        <v>8028</v>
      </c>
      <c r="Y467" s="28" t="n">
        <v>24084</v>
      </c>
      <c r="Z467" s="28"/>
      <c r="AA467" s="28" t="n">
        <f aca="false">Z467*$M467</f>
        <v>0</v>
      </c>
      <c r="AB467" s="28"/>
      <c r="AC467" s="28" t="n">
        <f aca="false">AB467*$M467</f>
        <v>0</v>
      </c>
      <c r="AD467" s="28"/>
      <c r="AE467" s="28" t="n">
        <f aca="false">AD467*$M467</f>
        <v>0</v>
      </c>
      <c r="AF467" s="28"/>
      <c r="AG467" s="28" t="n">
        <f aca="false">AF467*$M467</f>
        <v>0</v>
      </c>
      <c r="AH467" s="28"/>
      <c r="AI467" s="28" t="n">
        <f aca="false">AH467*$M467</f>
        <v>0</v>
      </c>
      <c r="AJ467" s="28"/>
      <c r="AK467" s="28" t="n">
        <f aca="false">AJ467*$M467</f>
        <v>0</v>
      </c>
      <c r="AL467" s="28" t="n">
        <v>2127</v>
      </c>
      <c r="AM467" s="28" t="n">
        <v>6381</v>
      </c>
      <c r="AN467" s="28"/>
      <c r="AO467" s="28" t="n">
        <f aca="false">AN467*$M467</f>
        <v>0</v>
      </c>
      <c r="AP467" s="28"/>
      <c r="AQ467" s="28" t="n">
        <f aca="false">AP467*$M467</f>
        <v>0</v>
      </c>
      <c r="AR467" s="28"/>
      <c r="AS467" s="28" t="n">
        <f aca="false">AR467*$M467</f>
        <v>0</v>
      </c>
      <c r="AT467" s="28"/>
      <c r="AU467" s="28" t="n">
        <f aca="false">AT467*$M467</f>
        <v>0</v>
      </c>
      <c r="AV467" s="28"/>
      <c r="AW467" s="28" t="n">
        <f aca="false">AV467*$M467</f>
        <v>0</v>
      </c>
      <c r="AX467" s="28"/>
      <c r="AY467" s="28" t="n">
        <f aca="false">AX467*$M467</f>
        <v>0</v>
      </c>
      <c r="AZ467" s="30" t="n">
        <v>10439</v>
      </c>
      <c r="BA467" s="11" t="n">
        <v>31317</v>
      </c>
      <c r="BB467" s="31" t="n">
        <f aca="false">SUM(Q467,S467,U467,W467,Y467,AA467,AC467,AE467,AG467,AI467,AK467,AM467,AO467,AQ467,AS467,AU467,AW467,AY467)</f>
        <v>31317</v>
      </c>
      <c r="BC467" s="28" t="n">
        <f aca="false">BA467-BB467</f>
        <v>0</v>
      </c>
      <c r="BD467" s="32" t="n">
        <f aca="false">SUM(P467,R467,T467,V467,X467,Z467,AB467,AD467,AF467,AH467,AJ467,AL467,AN467,AP467,AR467,AT467,AV467,AX467)</f>
        <v>10439</v>
      </c>
      <c r="BE467" s="33" t="n">
        <f aca="false">AZ467-BD467</f>
        <v>0</v>
      </c>
      <c r="BF467" s="34" t="n">
        <f aca="false">BD467*M467</f>
        <v>31317</v>
      </c>
      <c r="BG467" s="35" t="n">
        <f aca="false">BA467-BF467</f>
        <v>0</v>
      </c>
      <c r="BH467" s="19" t="str">
        <f aca="false">IF(BG467=0,"",IF(BG467&lt;&gt;BA467,"erreur de calcul",IF(BD467&lt;&gt;0,"pas de prix",IF(M467&lt;&gt; 0,"pas de quantité","pas de prix, ni de quantité"))))</f>
        <v/>
      </c>
      <c r="BI467" s="19"/>
    </row>
    <row r="468" customFormat="false" ht="16" hidden="false" customHeight="false" outlineLevel="0" collapsed="false">
      <c r="A468" s="0" t="n">
        <v>38</v>
      </c>
      <c r="B468" s="8" t="s">
        <v>24</v>
      </c>
      <c r="C468" s="9" t="s">
        <v>25</v>
      </c>
      <c r="D468" s="9" t="s">
        <v>26</v>
      </c>
      <c r="E468" s="10" t="n">
        <v>1789</v>
      </c>
      <c r="F468" s="9" t="s">
        <v>27</v>
      </c>
      <c r="G468" s="9" t="s">
        <v>27</v>
      </c>
      <c r="H468" s="11" t="n">
        <v>21</v>
      </c>
      <c r="I468" s="11" t="s">
        <v>191</v>
      </c>
      <c r="J468" s="14" t="n">
        <v>25</v>
      </c>
      <c r="K468" s="14"/>
      <c r="L468" s="16"/>
      <c r="M468" s="27" t="n">
        <f aca="false">J468+(K468/20)+(L468/240)</f>
        <v>25</v>
      </c>
      <c r="N468" s="17" t="s">
        <v>64</v>
      </c>
      <c r="O468" s="11"/>
      <c r="P468" s="28"/>
      <c r="Q468" s="28" t="n">
        <f aca="false">P468*$M468</f>
        <v>0</v>
      </c>
      <c r="R468" s="28"/>
      <c r="S468" s="28" t="n">
        <f aca="false">R468*$M468</f>
        <v>0</v>
      </c>
      <c r="T468" s="28"/>
      <c r="U468" s="28" t="n">
        <f aca="false">T468*$M468</f>
        <v>0</v>
      </c>
      <c r="V468" s="28"/>
      <c r="W468" s="28" t="n">
        <f aca="false">V468*$M468</f>
        <v>0</v>
      </c>
      <c r="X468" s="28" t="n">
        <f aca="false">5034/100</f>
        <v>50.34</v>
      </c>
      <c r="Y468" s="28" t="n">
        <v>1258</v>
      </c>
      <c r="Z468" s="28"/>
      <c r="AA468" s="28" t="n">
        <f aca="false">Z468*$M468</f>
        <v>0</v>
      </c>
      <c r="AB468" s="28"/>
      <c r="AC468" s="28" t="n">
        <f aca="false">AB468*$M468</f>
        <v>0</v>
      </c>
      <c r="AD468" s="28"/>
      <c r="AE468" s="28" t="n">
        <f aca="false">AD468*$M468</f>
        <v>0</v>
      </c>
      <c r="AF468" s="28"/>
      <c r="AG468" s="28" t="n">
        <f aca="false">AF468*$M468</f>
        <v>0</v>
      </c>
      <c r="AH468" s="28"/>
      <c r="AI468" s="28" t="n">
        <f aca="false">AH468*$M468</f>
        <v>0</v>
      </c>
      <c r="AJ468" s="28" t="n">
        <f aca="false">1375/100</f>
        <v>13.75</v>
      </c>
      <c r="AK468" s="28" t="n">
        <v>344</v>
      </c>
      <c r="AL468" s="28" t="n">
        <f aca="false">6710/100</f>
        <v>67.1</v>
      </c>
      <c r="AM468" s="28" t="n">
        <v>1677</v>
      </c>
      <c r="AN468" s="28"/>
      <c r="AO468" s="28" t="n">
        <f aca="false">AN468*$M468</f>
        <v>0</v>
      </c>
      <c r="AP468" s="28"/>
      <c r="AQ468" s="28" t="n">
        <f aca="false">AP468*$M468</f>
        <v>0</v>
      </c>
      <c r="AR468" s="28"/>
      <c r="AS468" s="28" t="n">
        <f aca="false">AR468*$M468</f>
        <v>0</v>
      </c>
      <c r="AT468" s="28"/>
      <c r="AU468" s="28" t="n">
        <f aca="false">AT468*$M468</f>
        <v>0</v>
      </c>
      <c r="AV468" s="28"/>
      <c r="AW468" s="28" t="n">
        <f aca="false">AV468*$M468</f>
        <v>0</v>
      </c>
      <c r="AX468" s="28"/>
      <c r="AY468" s="28" t="n">
        <f aca="false">AX468*$M468</f>
        <v>0</v>
      </c>
      <c r="AZ468" s="30" t="n">
        <f aca="false">13119/100</f>
        <v>131.19</v>
      </c>
      <c r="BA468" s="11" t="n">
        <v>3279</v>
      </c>
      <c r="BB468" s="31" t="n">
        <f aca="false">SUM(Q468,S468,U468,W468,Y468,AA468,AC468,AE468,AG468,AI468,AK468,AM468,AO468,AQ468,AS468,AU468,AW468,AY468)</f>
        <v>3279</v>
      </c>
      <c r="BC468" s="28" t="n">
        <f aca="false">BA468-BB468</f>
        <v>0</v>
      </c>
      <c r="BD468" s="32" t="n">
        <f aca="false">SUM(P468,R468,T468,V468,X468,Z468,AB468,AD468,AF468,AH468,AJ468,AL468,AN468,AP468,AR468,AT468,AV468,AX468)</f>
        <v>131.19</v>
      </c>
      <c r="BE468" s="33" t="n">
        <f aca="false">AZ468-BD468</f>
        <v>0</v>
      </c>
      <c r="BF468" s="34" t="n">
        <f aca="false">BD468*M468</f>
        <v>3279.75</v>
      </c>
      <c r="BG468" s="35" t="n">
        <f aca="false">BA468-BF468</f>
        <v>-0.75</v>
      </c>
      <c r="BH468" s="19" t="str">
        <f aca="false">IF(BG468=0,"",IF(BG468&lt;&gt;BA468,"erreur de calcul",IF(BD468&lt;&gt;0,"pas de prix",IF(M468&lt;&gt; 0,"pas de quantité","pas de prix, ni de quantité"))))</f>
        <v>erreur de calcul</v>
      </c>
      <c r="BI468" s="19"/>
    </row>
    <row r="469" customFormat="false" ht="16" hidden="false" customHeight="false" outlineLevel="0" collapsed="false">
      <c r="A469" s="0" t="n">
        <v>39</v>
      </c>
      <c r="B469" s="8" t="s">
        <v>24</v>
      </c>
      <c r="C469" s="9" t="s">
        <v>25</v>
      </c>
      <c r="D469" s="9" t="s">
        <v>26</v>
      </c>
      <c r="E469" s="10" t="n">
        <v>1789</v>
      </c>
      <c r="F469" s="9" t="s">
        <v>27</v>
      </c>
      <c r="G469" s="9" t="s">
        <v>27</v>
      </c>
      <c r="H469" s="11" t="n">
        <v>21</v>
      </c>
      <c r="I469" s="11" t="s">
        <v>192</v>
      </c>
      <c r="J469" s="14" t="n">
        <v>25</v>
      </c>
      <c r="K469" s="14"/>
      <c r="L469" s="16"/>
      <c r="M469" s="27" t="n">
        <f aca="false">J469+(K469/20)+(L469/240)</f>
        <v>25</v>
      </c>
      <c r="N469" s="17" t="s">
        <v>64</v>
      </c>
      <c r="O469" s="11"/>
      <c r="P469" s="28"/>
      <c r="Q469" s="28" t="n">
        <f aca="false">P469*$M469</f>
        <v>0</v>
      </c>
      <c r="R469" s="28"/>
      <c r="S469" s="28" t="n">
        <f aca="false">R469*$M469</f>
        <v>0</v>
      </c>
      <c r="T469" s="28"/>
      <c r="U469" s="28" t="n">
        <f aca="false">T469*$M469</f>
        <v>0</v>
      </c>
      <c r="V469" s="28"/>
      <c r="W469" s="28" t="n">
        <f aca="false">V469*$M469</f>
        <v>0</v>
      </c>
      <c r="X469" s="28" t="n">
        <f aca="false">5561/100</f>
        <v>55.61</v>
      </c>
      <c r="Y469" s="28" t="n">
        <v>1390</v>
      </c>
      <c r="Z469" s="28"/>
      <c r="AA469" s="28" t="n">
        <f aca="false">Z469*$M469</f>
        <v>0</v>
      </c>
      <c r="AB469" s="28"/>
      <c r="AC469" s="28" t="n">
        <f aca="false">AB469*$M469</f>
        <v>0</v>
      </c>
      <c r="AD469" s="28"/>
      <c r="AE469" s="28" t="n">
        <f aca="false">AD469*$M469</f>
        <v>0</v>
      </c>
      <c r="AF469" s="28"/>
      <c r="AG469" s="28" t="n">
        <f aca="false">AF469*$M469</f>
        <v>0</v>
      </c>
      <c r="AH469" s="28"/>
      <c r="AI469" s="28" t="n">
        <f aca="false">AH469*$M469</f>
        <v>0</v>
      </c>
      <c r="AJ469" s="28"/>
      <c r="AK469" s="28" t="n">
        <f aca="false">AJ469*$M469</f>
        <v>0</v>
      </c>
      <c r="AL469" s="28"/>
      <c r="AM469" s="28" t="n">
        <f aca="false">AL469*$M469</f>
        <v>0</v>
      </c>
      <c r="AN469" s="28"/>
      <c r="AO469" s="28" t="n">
        <f aca="false">AN469*$M469</f>
        <v>0</v>
      </c>
      <c r="AP469" s="28"/>
      <c r="AQ469" s="28" t="n">
        <f aca="false">AP469*$M469</f>
        <v>0</v>
      </c>
      <c r="AR469" s="28"/>
      <c r="AS469" s="28" t="n">
        <f aca="false">AR469*$M469</f>
        <v>0</v>
      </c>
      <c r="AT469" s="28"/>
      <c r="AU469" s="28" t="n">
        <f aca="false">AT469*$M469</f>
        <v>0</v>
      </c>
      <c r="AV469" s="28"/>
      <c r="AW469" s="28" t="n">
        <f aca="false">AV469*$M469</f>
        <v>0</v>
      </c>
      <c r="AX469" s="28"/>
      <c r="AY469" s="28" t="n">
        <f aca="false">AX469*$M469</f>
        <v>0</v>
      </c>
      <c r="AZ469" s="30" t="n">
        <f aca="false">5561/100</f>
        <v>55.61</v>
      </c>
      <c r="BA469" s="11" t="n">
        <v>1390</v>
      </c>
      <c r="BB469" s="31" t="n">
        <f aca="false">SUM(Q469,S469,U469,W469,Y469,AA469,AC469,AE469,AG469,AI469,AK469,AM469,AO469,AQ469,AS469,AU469,AW469,AY469)</f>
        <v>1390</v>
      </c>
      <c r="BC469" s="28" t="n">
        <f aca="false">BA469-BB469</f>
        <v>0</v>
      </c>
      <c r="BD469" s="32" t="n">
        <f aca="false">SUM(P469,R469,T469,V469,X469,Z469,AB469,AD469,AF469,AH469,AJ469,AL469,AN469,AP469,AR469,AT469,AV469,AX469)</f>
        <v>55.61</v>
      </c>
      <c r="BE469" s="33" t="n">
        <f aca="false">AZ469-BD469</f>
        <v>0</v>
      </c>
      <c r="BF469" s="34" t="n">
        <f aca="false">BD469*M469</f>
        <v>1390.25</v>
      </c>
      <c r="BG469" s="35" t="n">
        <f aca="false">BA469-BF469</f>
        <v>-0.25</v>
      </c>
      <c r="BH469" s="19" t="str">
        <f aca="false">IF(BG469=0,"",IF(BG469&lt;&gt;BA469,"erreur de calcul",IF(BD469&lt;&gt;0,"pas de prix",IF(M469&lt;&gt; 0,"pas de quantité","pas de prix, ni de quantité"))))</f>
        <v>erreur de calcul</v>
      </c>
      <c r="BI469" s="19"/>
    </row>
    <row r="470" customFormat="false" ht="16" hidden="false" customHeight="false" outlineLevel="0" collapsed="false">
      <c r="A470" s="0" t="n">
        <v>40</v>
      </c>
      <c r="B470" s="8" t="s">
        <v>24</v>
      </c>
      <c r="C470" s="9" t="s">
        <v>25</v>
      </c>
      <c r="D470" s="9" t="s">
        <v>26</v>
      </c>
      <c r="E470" s="10" t="n">
        <v>1789</v>
      </c>
      <c r="F470" s="9" t="s">
        <v>27</v>
      </c>
      <c r="G470" s="9" t="s">
        <v>27</v>
      </c>
      <c r="H470" s="11" t="n">
        <v>21</v>
      </c>
      <c r="I470" s="11" t="s">
        <v>193</v>
      </c>
      <c r="J470" s="14" t="n">
        <v>168</v>
      </c>
      <c r="K470" s="14"/>
      <c r="L470" s="16"/>
      <c r="M470" s="27" t="n">
        <f aca="false">J470+(K470/20)+(L470/240)</f>
        <v>168</v>
      </c>
      <c r="N470" s="17" t="s">
        <v>64</v>
      </c>
      <c r="O470" s="11"/>
      <c r="P470" s="28"/>
      <c r="Q470" s="28" t="n">
        <f aca="false">P470*$M470</f>
        <v>0</v>
      </c>
      <c r="R470" s="28"/>
      <c r="S470" s="28" t="n">
        <f aca="false">R470*$M470</f>
        <v>0</v>
      </c>
      <c r="T470" s="28"/>
      <c r="U470" s="28" t="n">
        <f aca="false">T470*$M470</f>
        <v>0</v>
      </c>
      <c r="V470" s="28"/>
      <c r="W470" s="28" t="n">
        <f aca="false">V470*$M470</f>
        <v>0</v>
      </c>
      <c r="X470" s="28"/>
      <c r="Y470" s="28" t="n">
        <f aca="false">X470*$M470</f>
        <v>0</v>
      </c>
      <c r="Z470" s="28"/>
      <c r="AA470" s="28" t="n">
        <f aca="false">Z470*$M470</f>
        <v>0</v>
      </c>
      <c r="AB470" s="28"/>
      <c r="AC470" s="28" t="n">
        <f aca="false">AB470*$M470</f>
        <v>0</v>
      </c>
      <c r="AD470" s="28"/>
      <c r="AE470" s="28" t="n">
        <f aca="false">AD470*$M470</f>
        <v>0</v>
      </c>
      <c r="AF470" s="28"/>
      <c r="AG470" s="28" t="n">
        <f aca="false">AF470*$M470</f>
        <v>0</v>
      </c>
      <c r="AH470" s="28" t="n">
        <f aca="false">14590/100</f>
        <v>145.9</v>
      </c>
      <c r="AI470" s="28" t="n">
        <v>24511</v>
      </c>
      <c r="AJ470" s="28"/>
      <c r="AK470" s="28" t="n">
        <f aca="false">AJ470*$M470</f>
        <v>0</v>
      </c>
      <c r="AL470" s="28"/>
      <c r="AM470" s="28" t="n">
        <f aca="false">AL470*$M470</f>
        <v>0</v>
      </c>
      <c r="AN470" s="28"/>
      <c r="AO470" s="28" t="n">
        <f aca="false">AN470*$M470</f>
        <v>0</v>
      </c>
      <c r="AP470" s="28"/>
      <c r="AQ470" s="28" t="n">
        <f aca="false">AP470*$M470</f>
        <v>0</v>
      </c>
      <c r="AR470" s="28"/>
      <c r="AS470" s="28" t="n">
        <f aca="false">AR470*$M470</f>
        <v>0</v>
      </c>
      <c r="AT470" s="28"/>
      <c r="AU470" s="28" t="n">
        <f aca="false">AT470*$M470</f>
        <v>0</v>
      </c>
      <c r="AV470" s="28"/>
      <c r="AW470" s="28" t="n">
        <f aca="false">AV470*$M470</f>
        <v>0</v>
      </c>
      <c r="AX470" s="28"/>
      <c r="AY470" s="28" t="n">
        <f aca="false">AX470*$M470</f>
        <v>0</v>
      </c>
      <c r="AZ470" s="30" t="n">
        <f aca="false">14590/100</f>
        <v>145.9</v>
      </c>
      <c r="BA470" s="11" t="n">
        <v>24511</v>
      </c>
      <c r="BB470" s="31" t="n">
        <f aca="false">SUM(Q470,S470,U470,W470,Y470,AA470,AC470,AE470,AG470,AI470,AK470,AM470,AO470,AQ470,AS470,AU470,AW470,AY470)</f>
        <v>24511</v>
      </c>
      <c r="BC470" s="28" t="n">
        <f aca="false">BA470-BB470</f>
        <v>0</v>
      </c>
      <c r="BD470" s="32" t="n">
        <f aca="false">SUM(P470,R470,T470,V470,X470,Z470,AB470,AD470,AF470,AH470,AJ470,AL470,AN470,AP470,AR470,AT470,AV470,AX470)</f>
        <v>145.9</v>
      </c>
      <c r="BE470" s="33" t="n">
        <f aca="false">AZ470-BD470</f>
        <v>0</v>
      </c>
      <c r="BF470" s="34" t="n">
        <f aca="false">BD470*M470</f>
        <v>24511.2</v>
      </c>
      <c r="BG470" s="35" t="n">
        <f aca="false">BA470-BF470</f>
        <v>-0.200000000000728</v>
      </c>
      <c r="BH470" s="19" t="str">
        <f aca="false">IF(BG470=0,"",IF(BG470&lt;&gt;BA470,"erreur de calcul",IF(BD470&lt;&gt;0,"pas de prix",IF(M470&lt;&gt; 0,"pas de quantité","pas de prix, ni de quantité"))))</f>
        <v>erreur de calcul</v>
      </c>
      <c r="BI470" s="19"/>
    </row>
    <row r="471" customFormat="false" ht="16" hidden="false" customHeight="false" outlineLevel="0" collapsed="false">
      <c r="A471" s="0" t="n">
        <v>41</v>
      </c>
      <c r="B471" s="8" t="s">
        <v>24</v>
      </c>
      <c r="C471" s="9" t="s">
        <v>25</v>
      </c>
      <c r="D471" s="9" t="s">
        <v>26</v>
      </c>
      <c r="E471" s="10" t="n">
        <v>1789</v>
      </c>
      <c r="F471" s="9" t="s">
        <v>27</v>
      </c>
      <c r="G471" s="9" t="s">
        <v>27</v>
      </c>
      <c r="H471" s="11" t="n">
        <v>21</v>
      </c>
      <c r="I471" s="11" t="s">
        <v>194</v>
      </c>
      <c r="J471" s="14" t="n">
        <v>120</v>
      </c>
      <c r="K471" s="14"/>
      <c r="L471" s="16"/>
      <c r="M471" s="27" t="n">
        <f aca="false">J471+(K471/20)+(L471/240)</f>
        <v>120</v>
      </c>
      <c r="N471" s="17" t="s">
        <v>64</v>
      </c>
      <c r="O471" s="11"/>
      <c r="P471" s="28"/>
      <c r="Q471" s="28" t="n">
        <f aca="false">P471*$M471</f>
        <v>0</v>
      </c>
      <c r="R471" s="28"/>
      <c r="S471" s="28" t="n">
        <f aca="false">R471*$M471</f>
        <v>0</v>
      </c>
      <c r="T471" s="28"/>
      <c r="U471" s="28" t="n">
        <f aca="false">T471*$M471</f>
        <v>0</v>
      </c>
      <c r="V471" s="28"/>
      <c r="W471" s="28" t="n">
        <f aca="false">V471*$M471</f>
        <v>0</v>
      </c>
      <c r="X471" s="28"/>
      <c r="Y471" s="28" t="n">
        <f aca="false">X471*$M471</f>
        <v>0</v>
      </c>
      <c r="Z471" s="28"/>
      <c r="AA471" s="28" t="n">
        <f aca="false">Z471*$M471</f>
        <v>0</v>
      </c>
      <c r="AB471" s="28" t="n">
        <f aca="false">6930/100</f>
        <v>69.3</v>
      </c>
      <c r="AC471" s="28" t="n">
        <v>8316</v>
      </c>
      <c r="AD471" s="28"/>
      <c r="AE471" s="28" t="n">
        <f aca="false">AD471*$M471</f>
        <v>0</v>
      </c>
      <c r="AF471" s="28"/>
      <c r="AG471" s="28" t="n">
        <f aca="false">AF471*$M471</f>
        <v>0</v>
      </c>
      <c r="AH471" s="28"/>
      <c r="AI471" s="28" t="n">
        <f aca="false">AH471*$M471</f>
        <v>0</v>
      </c>
      <c r="AJ471" s="28"/>
      <c r="AK471" s="28" t="n">
        <f aca="false">AJ471*$M471</f>
        <v>0</v>
      </c>
      <c r="AL471" s="28"/>
      <c r="AM471" s="28" t="n">
        <f aca="false">AL471*$M471</f>
        <v>0</v>
      </c>
      <c r="AN471" s="28"/>
      <c r="AO471" s="28" t="n">
        <f aca="false">AN471*$M471</f>
        <v>0</v>
      </c>
      <c r="AP471" s="28"/>
      <c r="AQ471" s="28" t="n">
        <f aca="false">AP471*$M471</f>
        <v>0</v>
      </c>
      <c r="AR471" s="28"/>
      <c r="AS471" s="28" t="n">
        <f aca="false">AR471*$M471</f>
        <v>0</v>
      </c>
      <c r="AT471" s="28"/>
      <c r="AU471" s="28" t="n">
        <f aca="false">AT471*$M471</f>
        <v>0</v>
      </c>
      <c r="AV471" s="28"/>
      <c r="AW471" s="28" t="n">
        <f aca="false">AV471*$M471</f>
        <v>0</v>
      </c>
      <c r="AX471" s="28"/>
      <c r="AY471" s="28" t="n">
        <f aca="false">AX471*$M471</f>
        <v>0</v>
      </c>
      <c r="AZ471" s="30" t="n">
        <f aca="false">6930/100</f>
        <v>69.3</v>
      </c>
      <c r="BA471" s="11" t="n">
        <v>8316</v>
      </c>
      <c r="BB471" s="31" t="n">
        <f aca="false">SUM(Q471,S471,U471,W471,Y471,AA471,AC471,AE471,AG471,AI471,AK471,AM471,AO471,AQ471,AS471,AU471,AW471,AY471)</f>
        <v>8316</v>
      </c>
      <c r="BC471" s="28" t="n">
        <f aca="false">BA471-BB471</f>
        <v>0</v>
      </c>
      <c r="BD471" s="32" t="n">
        <f aca="false">SUM(P471,R471,T471,V471,X471,Z471,AB471,AD471,AF471,AH471,AJ471,AL471,AN471,AP471,AR471,AT471,AV471,AX471)</f>
        <v>69.3</v>
      </c>
      <c r="BE471" s="33" t="n">
        <f aca="false">AZ471-BD471</f>
        <v>0</v>
      </c>
      <c r="BF471" s="34" t="n">
        <f aca="false">BD471*M471</f>
        <v>8316</v>
      </c>
      <c r="BG471" s="35" t="n">
        <f aca="false">BA471-BF471</f>
        <v>0</v>
      </c>
      <c r="BH471" s="19" t="str">
        <f aca="false">IF(BG471=0,"",IF(BG471&lt;&gt;BA471,"erreur de calcul",IF(BD471&lt;&gt;0,"pas de prix",IF(M471&lt;&gt; 0,"pas de quantité","pas de prix, ni de quantité"))))</f>
        <v/>
      </c>
      <c r="BI471" s="19"/>
    </row>
    <row r="472" customFormat="false" ht="16" hidden="false" customHeight="false" outlineLevel="0" collapsed="false">
      <c r="A472" s="0" t="n">
        <v>42</v>
      </c>
      <c r="B472" s="8" t="s">
        <v>24</v>
      </c>
      <c r="C472" s="9" t="s">
        <v>25</v>
      </c>
      <c r="D472" s="9" t="s">
        <v>26</v>
      </c>
      <c r="E472" s="10" t="n">
        <v>1789</v>
      </c>
      <c r="F472" s="9" t="s">
        <v>27</v>
      </c>
      <c r="G472" s="9" t="s">
        <v>27</v>
      </c>
      <c r="H472" s="11" t="n">
        <v>21</v>
      </c>
      <c r="I472" s="11" t="s">
        <v>195</v>
      </c>
      <c r="J472" s="14" t="n">
        <v>70</v>
      </c>
      <c r="K472" s="14"/>
      <c r="L472" s="16"/>
      <c r="M472" s="27" t="n">
        <f aca="false">J472+(K472/20)+(L472/240)</f>
        <v>70</v>
      </c>
      <c r="N472" s="17" t="s">
        <v>64</v>
      </c>
      <c r="O472" s="11"/>
      <c r="P472" s="28"/>
      <c r="Q472" s="28" t="n">
        <f aca="false">P472*$M472</f>
        <v>0</v>
      </c>
      <c r="R472" s="28"/>
      <c r="S472" s="28" t="n">
        <f aca="false">R472*$M472</f>
        <v>0</v>
      </c>
      <c r="T472" s="28"/>
      <c r="U472" s="28" t="n">
        <f aca="false">T472*$M472</f>
        <v>0</v>
      </c>
      <c r="V472" s="28"/>
      <c r="W472" s="28" t="n">
        <f aca="false">V472*$M472</f>
        <v>0</v>
      </c>
      <c r="X472" s="28"/>
      <c r="Y472" s="28" t="n">
        <f aca="false">X472*$M472</f>
        <v>0</v>
      </c>
      <c r="Z472" s="28"/>
      <c r="AA472" s="28" t="n">
        <f aca="false">Z472*$M472</f>
        <v>0</v>
      </c>
      <c r="AB472" s="28"/>
      <c r="AC472" s="28" t="n">
        <f aca="false">AB472*$M472</f>
        <v>0</v>
      </c>
      <c r="AD472" s="28"/>
      <c r="AE472" s="28" t="n">
        <f aca="false">AD472*$M472</f>
        <v>0</v>
      </c>
      <c r="AF472" s="28"/>
      <c r="AG472" s="28" t="n">
        <f aca="false">AF472*$M472</f>
        <v>0</v>
      </c>
      <c r="AH472" s="28"/>
      <c r="AI472" s="28" t="n">
        <f aca="false">AH472*$M472</f>
        <v>0</v>
      </c>
      <c r="AJ472" s="28"/>
      <c r="AK472" s="28" t="n">
        <f aca="false">AJ472*$M472</f>
        <v>0</v>
      </c>
      <c r="AL472" s="28"/>
      <c r="AM472" s="28" t="n">
        <f aca="false">AL472*$M472</f>
        <v>0</v>
      </c>
      <c r="AN472" s="28" t="n">
        <f aca="false">13200/100</f>
        <v>132</v>
      </c>
      <c r="AO472" s="28" t="n">
        <v>9240</v>
      </c>
      <c r="AP472" s="28"/>
      <c r="AQ472" s="28" t="n">
        <f aca="false">AP472*$M472</f>
        <v>0</v>
      </c>
      <c r="AR472" s="28"/>
      <c r="AS472" s="28" t="n">
        <f aca="false">AR472*$M472</f>
        <v>0</v>
      </c>
      <c r="AT472" s="28"/>
      <c r="AU472" s="28" t="n">
        <f aca="false">AT472*$M472</f>
        <v>0</v>
      </c>
      <c r="AV472" s="28"/>
      <c r="AW472" s="28" t="n">
        <f aca="false">AV472*$M472</f>
        <v>0</v>
      </c>
      <c r="AX472" s="28"/>
      <c r="AY472" s="28" t="n">
        <f aca="false">AX472*$M472</f>
        <v>0</v>
      </c>
      <c r="AZ472" s="30" t="n">
        <f aca="false">13200/100</f>
        <v>132</v>
      </c>
      <c r="BA472" s="11" t="n">
        <v>9240</v>
      </c>
      <c r="BB472" s="31" t="n">
        <f aca="false">SUM(Q472,S472,U472,W472,Y472,AA472,AC472,AE472,AG472,AI472,AK472,AM472,AO472,AQ472,AS472,AU472,AW472,AY472)</f>
        <v>9240</v>
      </c>
      <c r="BC472" s="28" t="n">
        <f aca="false">BA472-BB472</f>
        <v>0</v>
      </c>
      <c r="BD472" s="32" t="n">
        <f aca="false">SUM(P472,R472,T472,V472,X472,Z472,AB472,AD472,AF472,AH472,AJ472,AL472,AN472,AP472,AR472,AT472,AV472,AX472)</f>
        <v>132</v>
      </c>
      <c r="BE472" s="33" t="n">
        <f aca="false">AZ472-BD472</f>
        <v>0</v>
      </c>
      <c r="BF472" s="34" t="n">
        <f aca="false">BD472*M472</f>
        <v>9240</v>
      </c>
      <c r="BG472" s="35" t="n">
        <f aca="false">BA472-BF472</f>
        <v>0</v>
      </c>
      <c r="BH472" s="19" t="str">
        <f aca="false">IF(BG472=0,"",IF(BG472&lt;&gt;BA472,"erreur de calcul",IF(BD472&lt;&gt;0,"pas de prix",IF(M472&lt;&gt; 0,"pas de quantité","pas de prix, ni de quantité"))))</f>
        <v/>
      </c>
      <c r="BI472" s="19"/>
    </row>
    <row r="473" customFormat="false" ht="16" hidden="false" customHeight="false" outlineLevel="0" collapsed="false">
      <c r="A473" s="0" t="n">
        <v>43</v>
      </c>
      <c r="B473" s="8" t="s">
        <v>24</v>
      </c>
      <c r="C473" s="9" t="s">
        <v>25</v>
      </c>
      <c r="D473" s="9" t="s">
        <v>26</v>
      </c>
      <c r="E473" s="10" t="n">
        <v>1789</v>
      </c>
      <c r="F473" s="9" t="s">
        <v>27</v>
      </c>
      <c r="G473" s="9" t="s">
        <v>27</v>
      </c>
      <c r="H473" s="11" t="n">
        <v>21</v>
      </c>
      <c r="I473" s="11" t="s">
        <v>196</v>
      </c>
      <c r="J473" s="14" t="n">
        <v>65</v>
      </c>
      <c r="K473" s="14"/>
      <c r="L473" s="16"/>
      <c r="M473" s="27" t="n">
        <f aca="false">J473+(K473/20)+(L473/240)</f>
        <v>65</v>
      </c>
      <c r="N473" s="17" t="s">
        <v>64</v>
      </c>
      <c r="O473" s="11"/>
      <c r="P473" s="28"/>
      <c r="Q473" s="28" t="n">
        <f aca="false">P473*$M473</f>
        <v>0</v>
      </c>
      <c r="R473" s="28"/>
      <c r="S473" s="28" t="n">
        <f aca="false">R473*$M473</f>
        <v>0</v>
      </c>
      <c r="T473" s="28"/>
      <c r="U473" s="28" t="n">
        <f aca="false">T473*$M473</f>
        <v>0</v>
      </c>
      <c r="V473" s="28"/>
      <c r="W473" s="28" t="n">
        <f aca="false">V473*$M473</f>
        <v>0</v>
      </c>
      <c r="X473" s="28" t="n">
        <f aca="false">44247/100</f>
        <v>442.47</v>
      </c>
      <c r="Y473" s="28" t="n">
        <v>28760</v>
      </c>
      <c r="Z473" s="28" t="n">
        <f aca="false">1906/100</f>
        <v>19.06</v>
      </c>
      <c r="AA473" s="28" t="n">
        <v>1239</v>
      </c>
      <c r="AB473" s="28"/>
      <c r="AC473" s="28" t="n">
        <f aca="false">AB473*$M473</f>
        <v>0</v>
      </c>
      <c r="AD473" s="28"/>
      <c r="AE473" s="28" t="n">
        <f aca="false">AD473*$M473</f>
        <v>0</v>
      </c>
      <c r="AF473" s="28"/>
      <c r="AG473" s="28" t="n">
        <f aca="false">AF473*$M473</f>
        <v>0</v>
      </c>
      <c r="AH473" s="28"/>
      <c r="AI473" s="28" t="n">
        <f aca="false">AH473*$M473</f>
        <v>0</v>
      </c>
      <c r="AJ473" s="28" t="n">
        <f aca="false">625/100</f>
        <v>6.25</v>
      </c>
      <c r="AK473" s="28" t="n">
        <v>406</v>
      </c>
      <c r="AL473" s="28"/>
      <c r="AM473" s="28" t="n">
        <f aca="false">AL473*$M473</f>
        <v>0</v>
      </c>
      <c r="AN473" s="28"/>
      <c r="AO473" s="28" t="n">
        <f aca="false">AN473*$M473</f>
        <v>0</v>
      </c>
      <c r="AP473" s="28"/>
      <c r="AQ473" s="28" t="n">
        <f aca="false">AP473*$M473</f>
        <v>0</v>
      </c>
      <c r="AR473" s="28"/>
      <c r="AS473" s="28" t="n">
        <f aca="false">AR473*$M473</f>
        <v>0</v>
      </c>
      <c r="AT473" s="28"/>
      <c r="AU473" s="28" t="n">
        <f aca="false">AT473*$M473</f>
        <v>0</v>
      </c>
      <c r="AV473" s="28"/>
      <c r="AW473" s="28" t="n">
        <f aca="false">AV473*$M473</f>
        <v>0</v>
      </c>
      <c r="AX473" s="28"/>
      <c r="AY473" s="28" t="n">
        <f aca="false">AX473*$M473</f>
        <v>0</v>
      </c>
      <c r="AZ473" s="30" t="n">
        <f aca="false">46778/100</f>
        <v>467.78</v>
      </c>
      <c r="BA473" s="11" t="n">
        <v>30405</v>
      </c>
      <c r="BB473" s="31" t="n">
        <f aca="false">SUM(Q473,S473,U473,W473,Y473,AA473,AC473,AE473,AG473,AI473,AK473,AM473,AO473,AQ473,AS473,AU473,AW473,AY473)</f>
        <v>30405</v>
      </c>
      <c r="BC473" s="28" t="n">
        <f aca="false">BA473-BB473</f>
        <v>0</v>
      </c>
      <c r="BD473" s="32" t="n">
        <f aca="false">SUM(P473,R473,T473,V473,X473,Z473,AB473,AD473,AF473,AH473,AJ473,AL473,AN473,AP473,AR473,AT473,AV473,AX473)</f>
        <v>467.78</v>
      </c>
      <c r="BE473" s="33" t="n">
        <f aca="false">AZ473-BD473</f>
        <v>0</v>
      </c>
      <c r="BF473" s="34" t="n">
        <f aca="false">BD473*M473</f>
        <v>30405.7</v>
      </c>
      <c r="BG473" s="35" t="n">
        <f aca="false">BA473-BF473</f>
        <v>-0.700000000000728</v>
      </c>
      <c r="BH473" s="19" t="str">
        <f aca="false">IF(BG473=0,"",IF(BG473&lt;&gt;BA473,"erreur de calcul",IF(BD473&lt;&gt;0,"pas de prix",IF(M473&lt;&gt; 0,"pas de quantité","pas de prix, ni de quantité"))))</f>
        <v>erreur de calcul</v>
      </c>
      <c r="BI473" s="19"/>
    </row>
    <row r="474" customFormat="false" ht="16" hidden="false" customHeight="false" outlineLevel="0" collapsed="false">
      <c r="A474" s="0" t="n">
        <v>44</v>
      </c>
      <c r="B474" s="8" t="s">
        <v>24</v>
      </c>
      <c r="C474" s="9" t="s">
        <v>25</v>
      </c>
      <c r="D474" s="9" t="s">
        <v>26</v>
      </c>
      <c r="E474" s="10" t="n">
        <v>1789</v>
      </c>
      <c r="F474" s="9" t="s">
        <v>27</v>
      </c>
      <c r="G474" s="9" t="s">
        <v>27</v>
      </c>
      <c r="H474" s="11" t="n">
        <v>21</v>
      </c>
      <c r="I474" s="11" t="s">
        <v>197</v>
      </c>
      <c r="J474" s="14" t="n">
        <v>70</v>
      </c>
      <c r="K474" s="14"/>
      <c r="L474" s="16"/>
      <c r="M474" s="27" t="n">
        <f aca="false">J474+(K474/20)+(L474/240)</f>
        <v>70</v>
      </c>
      <c r="N474" s="17" t="s">
        <v>64</v>
      </c>
      <c r="O474" s="11"/>
      <c r="P474" s="28"/>
      <c r="Q474" s="28" t="n">
        <f aca="false">P474*$M474</f>
        <v>0</v>
      </c>
      <c r="R474" s="28"/>
      <c r="S474" s="28" t="n">
        <f aca="false">R474*$M474</f>
        <v>0</v>
      </c>
      <c r="T474" s="28"/>
      <c r="U474" s="28" t="n">
        <f aca="false">T474*$M474</f>
        <v>0</v>
      </c>
      <c r="V474" s="28"/>
      <c r="W474" s="28" t="n">
        <f aca="false">V474*$M474</f>
        <v>0</v>
      </c>
      <c r="X474" s="28"/>
      <c r="Y474" s="28" t="n">
        <f aca="false">X474*$M474</f>
        <v>0</v>
      </c>
      <c r="Z474" s="28"/>
      <c r="AA474" s="28" t="n">
        <f aca="false">Z474*$M474</f>
        <v>0</v>
      </c>
      <c r="AB474" s="28"/>
      <c r="AC474" s="28" t="n">
        <f aca="false">AB474*$M474</f>
        <v>0</v>
      </c>
      <c r="AD474" s="28"/>
      <c r="AE474" s="28" t="n">
        <f aca="false">AD474*$M474</f>
        <v>0</v>
      </c>
      <c r="AF474" s="28"/>
      <c r="AG474" s="28" t="n">
        <f aca="false">AF474*$M474</f>
        <v>0</v>
      </c>
      <c r="AH474" s="28" t="n">
        <f aca="false">156436/100</f>
        <v>1564.36</v>
      </c>
      <c r="AI474" s="28" t="n">
        <v>109505</v>
      </c>
      <c r="AJ474" s="28"/>
      <c r="AK474" s="28" t="n">
        <f aca="false">AJ474*$M474</f>
        <v>0</v>
      </c>
      <c r="AL474" s="28"/>
      <c r="AM474" s="28" t="n">
        <f aca="false">AL474*$M474</f>
        <v>0</v>
      </c>
      <c r="AN474" s="28"/>
      <c r="AO474" s="28" t="n">
        <f aca="false">AN474*$M474</f>
        <v>0</v>
      </c>
      <c r="AP474" s="28"/>
      <c r="AQ474" s="28" t="n">
        <f aca="false">AP474*$M474</f>
        <v>0</v>
      </c>
      <c r="AR474" s="28"/>
      <c r="AS474" s="28" t="n">
        <f aca="false">AR474*$M474</f>
        <v>0</v>
      </c>
      <c r="AT474" s="28"/>
      <c r="AU474" s="28" t="n">
        <f aca="false">AT474*$M474</f>
        <v>0</v>
      </c>
      <c r="AV474" s="28"/>
      <c r="AW474" s="28" t="n">
        <f aca="false">AV474*$M474</f>
        <v>0</v>
      </c>
      <c r="AX474" s="28"/>
      <c r="AY474" s="28" t="n">
        <f aca="false">AX474*$M474</f>
        <v>0</v>
      </c>
      <c r="AZ474" s="30" t="n">
        <f aca="false">156436/100</f>
        <v>1564.36</v>
      </c>
      <c r="BA474" s="11" t="n">
        <v>109505</v>
      </c>
      <c r="BB474" s="31" t="n">
        <f aca="false">SUM(Q474,S474,U474,W474,Y474,AA474,AC474,AE474,AG474,AI474,AK474,AM474,AO474,AQ474,AS474,AU474,AW474,AY474)</f>
        <v>109505</v>
      </c>
      <c r="BC474" s="28" t="n">
        <f aca="false">BA474-BB474</f>
        <v>0</v>
      </c>
      <c r="BD474" s="32" t="n">
        <f aca="false">SUM(P474,R474,T474,V474,X474,Z474,AB474,AD474,AF474,AH474,AJ474,AL474,AN474,AP474,AR474,AT474,AV474,AX474)</f>
        <v>1564.36</v>
      </c>
      <c r="BE474" s="33" t="n">
        <f aca="false">AZ474-BD474</f>
        <v>0</v>
      </c>
      <c r="BF474" s="34" t="n">
        <f aca="false">BD474*M474</f>
        <v>109505.2</v>
      </c>
      <c r="BG474" s="35" t="n">
        <f aca="false">BA474-BF474</f>
        <v>-0.19999999999709</v>
      </c>
      <c r="BH474" s="19" t="str">
        <f aca="false">IF(BG474=0,"",IF(BG474&lt;&gt;BA474,"erreur de calcul",IF(BD474&lt;&gt;0,"pas de prix",IF(M474&lt;&gt; 0,"pas de quantité","pas de prix, ni de quantité"))))</f>
        <v>erreur de calcul</v>
      </c>
      <c r="BI474" s="19"/>
    </row>
    <row r="475" customFormat="false" ht="16" hidden="false" customHeight="false" outlineLevel="0" collapsed="false">
      <c r="A475" s="0" t="n">
        <v>45</v>
      </c>
      <c r="B475" s="8" t="s">
        <v>24</v>
      </c>
      <c r="C475" s="9" t="s">
        <v>25</v>
      </c>
      <c r="D475" s="9" t="s">
        <v>26</v>
      </c>
      <c r="E475" s="10" t="n">
        <v>1789</v>
      </c>
      <c r="F475" s="9" t="s">
        <v>27</v>
      </c>
      <c r="G475" s="9" t="s">
        <v>27</v>
      </c>
      <c r="H475" s="11" t="n">
        <v>21</v>
      </c>
      <c r="I475" s="11" t="s">
        <v>198</v>
      </c>
      <c r="J475" s="14"/>
      <c r="K475" s="14"/>
      <c r="L475" s="16"/>
      <c r="M475" s="27" t="n">
        <f aca="false">J475+(K475/20)+(L475/240)</f>
        <v>0</v>
      </c>
      <c r="N475" s="17"/>
      <c r="O475" s="11" t="s">
        <v>98</v>
      </c>
      <c r="P475" s="28"/>
      <c r="Q475" s="28" t="n">
        <v>387</v>
      </c>
      <c r="R475" s="28"/>
      <c r="S475" s="28" t="n">
        <f aca="false">R475*$M475</f>
        <v>0</v>
      </c>
      <c r="T475" s="28"/>
      <c r="U475" s="28" t="n">
        <v>2349</v>
      </c>
      <c r="V475" s="28"/>
      <c r="W475" s="28" t="n">
        <v>978</v>
      </c>
      <c r="X475" s="28"/>
      <c r="Y475" s="28" t="n">
        <f aca="false">X475*$M475</f>
        <v>0</v>
      </c>
      <c r="Z475" s="28"/>
      <c r="AA475" s="28" t="n">
        <f aca="false">Z475*$M475</f>
        <v>0</v>
      </c>
      <c r="AB475" s="28"/>
      <c r="AC475" s="28" t="n">
        <v>328</v>
      </c>
      <c r="AD475" s="28"/>
      <c r="AE475" s="28" t="n">
        <f aca="false">AD475*$M475</f>
        <v>0</v>
      </c>
      <c r="AF475" s="28"/>
      <c r="AG475" s="28" t="n">
        <f aca="false">AF475*$M475</f>
        <v>0</v>
      </c>
      <c r="AH475" s="28"/>
      <c r="AI475" s="28" t="n">
        <v>878</v>
      </c>
      <c r="AJ475" s="28"/>
      <c r="AK475" s="28" t="n">
        <v>1546</v>
      </c>
      <c r="AL475" s="28"/>
      <c r="AM475" s="28" t="n">
        <f aca="false">AL475*$M475</f>
        <v>0</v>
      </c>
      <c r="AN475" s="28"/>
      <c r="AO475" s="28" t="n">
        <f aca="false">AN475*$M475</f>
        <v>0</v>
      </c>
      <c r="AP475" s="28"/>
      <c r="AQ475" s="28" t="n">
        <f aca="false">AP475*$M475</f>
        <v>0</v>
      </c>
      <c r="AR475" s="28"/>
      <c r="AS475" s="28" t="n">
        <f aca="false">AR475*$M475</f>
        <v>0</v>
      </c>
      <c r="AT475" s="28"/>
      <c r="AU475" s="28" t="n">
        <f aca="false">AT475*$M475</f>
        <v>0</v>
      </c>
      <c r="AV475" s="28"/>
      <c r="AW475" s="28" t="n">
        <f aca="false">AV475*$M475</f>
        <v>0</v>
      </c>
      <c r="AX475" s="28"/>
      <c r="AY475" s="28" t="n">
        <f aca="false">AX475*$M475</f>
        <v>0</v>
      </c>
      <c r="AZ475" s="30"/>
      <c r="BA475" s="11" t="n">
        <v>6466</v>
      </c>
      <c r="BB475" s="31" t="n">
        <f aca="false">SUM(Q475,S475,U475,W475,Y475,AA475,AC475,AE475,AG475,AI475,AK475,AM475,AO475,AQ475,AS475,AU475,AW475,AY475)</f>
        <v>6466</v>
      </c>
      <c r="BC475" s="28" t="n">
        <f aca="false">BA475-BB475</f>
        <v>0</v>
      </c>
      <c r="BD475" s="32" t="n">
        <f aca="false">SUM(P475,R475,T475,V475,X475,Z475,AB475,AD475,AF475,AH475,AJ475,AL475,AN475,AP475,AR475,AT475,AV475,AX475)</f>
        <v>0</v>
      </c>
      <c r="BE475" s="33" t="n">
        <f aca="false">AZ475-BD475</f>
        <v>0</v>
      </c>
      <c r="BF475" s="34" t="n">
        <f aca="false">BD475*M475</f>
        <v>0</v>
      </c>
      <c r="BG475" s="35" t="n">
        <f aca="false">BA475-BF475</f>
        <v>6466</v>
      </c>
      <c r="BH475" s="19" t="str">
        <f aca="false">IF(BG475=0,"",IF(BG475&lt;&gt;BA475,"erreur de calcul",IF(BD475&lt;&gt;0,"pas de prix",IF(M475&lt;&gt; 0,"pas de quantité","pas de prix, ni de quantité"))))</f>
        <v>pas de prix, ni de quantité</v>
      </c>
      <c r="BI475" s="19"/>
    </row>
    <row r="476" customFormat="false" ht="16" hidden="false" customHeight="false" outlineLevel="0" collapsed="false">
      <c r="A476" s="0" t="n">
        <v>46</v>
      </c>
      <c r="B476" s="8" t="s">
        <v>24</v>
      </c>
      <c r="C476" s="9" t="s">
        <v>25</v>
      </c>
      <c r="D476" s="9" t="s">
        <v>26</v>
      </c>
      <c r="E476" s="10" t="n">
        <v>1789</v>
      </c>
      <c r="F476" s="9" t="s">
        <v>27</v>
      </c>
      <c r="G476" s="9" t="s">
        <v>27</v>
      </c>
      <c r="H476" s="11" t="n">
        <v>21</v>
      </c>
      <c r="I476" s="11" t="s">
        <v>199</v>
      </c>
      <c r="J476" s="14" t="n">
        <v>27</v>
      </c>
      <c r="K476" s="14"/>
      <c r="L476" s="16"/>
      <c r="M476" s="27" t="n">
        <f aca="false">J476+(K476/20)+(L476/240)</f>
        <v>27</v>
      </c>
      <c r="N476" s="17" t="s">
        <v>64</v>
      </c>
      <c r="O476" s="11"/>
      <c r="P476" s="28" t="n">
        <f aca="false">108627/100</f>
        <v>1086.27</v>
      </c>
      <c r="Q476" s="28" t="n">
        <v>29329</v>
      </c>
      <c r="R476" s="28"/>
      <c r="S476" s="28" t="n">
        <f aca="false">R476*$M476</f>
        <v>0</v>
      </c>
      <c r="T476" s="28"/>
      <c r="U476" s="28" t="n">
        <f aca="false">T476*$M476</f>
        <v>0</v>
      </c>
      <c r="V476" s="28"/>
      <c r="W476" s="28" t="n">
        <f aca="false">V476*$M476</f>
        <v>0</v>
      </c>
      <c r="X476" s="28"/>
      <c r="Y476" s="28" t="n">
        <f aca="false">X476*$M476</f>
        <v>0</v>
      </c>
      <c r="Z476" s="28" t="n">
        <f aca="false">535243/100</f>
        <v>5352.43</v>
      </c>
      <c r="AA476" s="28" t="n">
        <v>144516</v>
      </c>
      <c r="AB476" s="28"/>
      <c r="AC476" s="28" t="n">
        <f aca="false">AB476*$M476</f>
        <v>0</v>
      </c>
      <c r="AD476" s="28" t="n">
        <f aca="false">75759/100</f>
        <v>757.59</v>
      </c>
      <c r="AE476" s="28" t="n">
        <v>20455</v>
      </c>
      <c r="AF476" s="28"/>
      <c r="AG476" s="28" t="n">
        <f aca="false">AF476*$M476</f>
        <v>0</v>
      </c>
      <c r="AH476" s="28" t="n">
        <f aca="false">77800/100</f>
        <v>778</v>
      </c>
      <c r="AI476" s="36" t="n">
        <v>21016</v>
      </c>
      <c r="AJ476" s="28" t="n">
        <f aca="false">28078/100</f>
        <v>280.78</v>
      </c>
      <c r="AK476" s="28" t="n">
        <v>7581</v>
      </c>
      <c r="AL476" s="28" t="n">
        <f aca="false">15417/100</f>
        <v>154.17</v>
      </c>
      <c r="AM476" s="28" t="n">
        <v>4162</v>
      </c>
      <c r="AN476" s="28"/>
      <c r="AO476" s="28" t="n">
        <f aca="false">AN476*$M476</f>
        <v>0</v>
      </c>
      <c r="AP476" s="28"/>
      <c r="AQ476" s="28" t="n">
        <f aca="false">AP476*$M476</f>
        <v>0</v>
      </c>
      <c r="AR476" s="28"/>
      <c r="AS476" s="28" t="n">
        <f aca="false">AR476*$M476</f>
        <v>0</v>
      </c>
      <c r="AT476" s="28"/>
      <c r="AU476" s="28" t="n">
        <f aca="false">AT476*$M476</f>
        <v>0</v>
      </c>
      <c r="AV476" s="28"/>
      <c r="AW476" s="28" t="n">
        <f aca="false">AV476*$M476</f>
        <v>0</v>
      </c>
      <c r="AX476" s="28"/>
      <c r="AY476" s="28" t="n">
        <f aca="false">AX476*$M476</f>
        <v>0</v>
      </c>
      <c r="AZ476" s="30" t="n">
        <f aca="false">840924/100</f>
        <v>8409.24</v>
      </c>
      <c r="BA476" s="11" t="n">
        <v>227059</v>
      </c>
      <c r="BB476" s="31" t="n">
        <f aca="false">SUM(Q476,S476,U476,W476,Y476,AA476,AC476,AE476,AG476,AI476,AK476,AM476,AO476,AQ476,AS476,AU476,AW476,AY476)</f>
        <v>227059</v>
      </c>
      <c r="BC476" s="28" t="n">
        <f aca="false">BA476-BB476</f>
        <v>0</v>
      </c>
      <c r="BD476" s="32" t="n">
        <f aca="false">SUM(P476,R476,T476,V476,X476,Z476,AB476,AD476,AF476,AH476,AJ476,AL476,AN476,AP476,AR476,AT476,AV476,AX476)</f>
        <v>8409.24</v>
      </c>
      <c r="BE476" s="33" t="n">
        <f aca="false">AZ476-BD476</f>
        <v>0</v>
      </c>
      <c r="BF476" s="34" t="n">
        <f aca="false">BD476*M476</f>
        <v>227049.48</v>
      </c>
      <c r="BG476" s="35" t="n">
        <f aca="false">BA476-BF476</f>
        <v>9.51999999996042</v>
      </c>
      <c r="BH476" s="19" t="str">
        <f aca="false">IF(BG476=0,"",IF(BG476&lt;&gt;BA476,"erreur de calcul",IF(BD476&lt;&gt;0,"pas de prix",IF(M476&lt;&gt; 0,"pas de quantité","pas de prix, ni de quantité"))))</f>
        <v>erreur de calcul</v>
      </c>
      <c r="BI476" s="19"/>
    </row>
    <row r="477" customFormat="false" ht="16" hidden="false" customHeight="false" outlineLevel="0" collapsed="false">
      <c r="A477" s="0" t="n">
        <v>47</v>
      </c>
      <c r="B477" s="8" t="s">
        <v>24</v>
      </c>
      <c r="C477" s="9" t="s">
        <v>25</v>
      </c>
      <c r="D477" s="9" t="s">
        <v>26</v>
      </c>
      <c r="E477" s="10" t="n">
        <v>1789</v>
      </c>
      <c r="F477" s="9" t="s">
        <v>27</v>
      </c>
      <c r="G477" s="9" t="s">
        <v>27</v>
      </c>
      <c r="H477" s="11" t="n">
        <v>21</v>
      </c>
      <c r="I477" s="11" t="s">
        <v>200</v>
      </c>
      <c r="J477" s="14" t="n">
        <v>25</v>
      </c>
      <c r="K477" s="14"/>
      <c r="L477" s="16"/>
      <c r="M477" s="27" t="n">
        <f aca="false">J477+(K477/20)+(L477/240)</f>
        <v>25</v>
      </c>
      <c r="N477" s="17" t="s">
        <v>64</v>
      </c>
      <c r="O477" s="11"/>
      <c r="P477" s="28"/>
      <c r="Q477" s="28" t="n">
        <f aca="false">P477*$M477</f>
        <v>0</v>
      </c>
      <c r="R477" s="28"/>
      <c r="S477" s="28" t="n">
        <f aca="false">R477*$M477</f>
        <v>0</v>
      </c>
      <c r="T477" s="28" t="n">
        <f aca="false">56427/100</f>
        <v>564.27</v>
      </c>
      <c r="U477" s="28" t="n">
        <v>14107</v>
      </c>
      <c r="V477" s="28"/>
      <c r="W477" s="28" t="n">
        <f aca="false">V477*$M477</f>
        <v>0</v>
      </c>
      <c r="X477" s="28" t="n">
        <f aca="false">98758/100</f>
        <v>987.58</v>
      </c>
      <c r="Y477" s="28" t="n">
        <v>24689</v>
      </c>
      <c r="Z477" s="28"/>
      <c r="AA477" s="28" t="n">
        <f aca="false">Z477*$M477</f>
        <v>0</v>
      </c>
      <c r="AB477" s="28"/>
      <c r="AC477" s="28" t="n">
        <f aca="false">AB477*$M477</f>
        <v>0</v>
      </c>
      <c r="AD477" s="28"/>
      <c r="AE477" s="28" t="n">
        <f aca="false">AD477*$M477</f>
        <v>0</v>
      </c>
      <c r="AF477" s="28"/>
      <c r="AG477" s="28" t="n">
        <f aca="false">AF477*$M477</f>
        <v>0</v>
      </c>
      <c r="AH477" s="28"/>
      <c r="AI477" s="28" t="n">
        <f aca="false">AH477*$M477</f>
        <v>0</v>
      </c>
      <c r="AJ477" s="28"/>
      <c r="AK477" s="28" t="n">
        <f aca="false">AJ477*$M477</f>
        <v>0</v>
      </c>
      <c r="AL477" s="28"/>
      <c r="AM477" s="28" t="n">
        <f aca="false">AL477*$M477</f>
        <v>0</v>
      </c>
      <c r="AN477" s="28"/>
      <c r="AO477" s="28" t="n">
        <f aca="false">AN477*$M477</f>
        <v>0</v>
      </c>
      <c r="AP477" s="28"/>
      <c r="AQ477" s="28" t="n">
        <f aca="false">AP477*$M477</f>
        <v>0</v>
      </c>
      <c r="AR477" s="28"/>
      <c r="AS477" s="28" t="n">
        <f aca="false">AR477*$M477</f>
        <v>0</v>
      </c>
      <c r="AT477" s="28"/>
      <c r="AU477" s="28" t="n">
        <f aca="false">AT477*$M477</f>
        <v>0</v>
      </c>
      <c r="AV477" s="28"/>
      <c r="AW477" s="28" t="n">
        <f aca="false">AV477*$M477</f>
        <v>0</v>
      </c>
      <c r="AX477" s="28"/>
      <c r="AY477" s="28" t="n">
        <f aca="false">AX477*$M477</f>
        <v>0</v>
      </c>
      <c r="AZ477" s="30" t="n">
        <f aca="false">155115/100</f>
        <v>1551.15</v>
      </c>
      <c r="BA477" s="11" t="n">
        <v>38796</v>
      </c>
      <c r="BB477" s="31" t="n">
        <f aca="false">SUM(Q477,S477,U477,W477,Y477,AA477,AC477,AE477,AG477,AI477,AK477,AM477,AO477,AQ477,AS477,AU477,AW477,AY477)</f>
        <v>38796</v>
      </c>
      <c r="BC477" s="28" t="n">
        <f aca="false">BA477-BB477</f>
        <v>0</v>
      </c>
      <c r="BD477" s="32" t="n">
        <f aca="false">SUM(P477,R477,T477,V477,X477,Z477,AB477,AD477,AF477,AH477,AJ477,AL477,AN477,AP477,AR477,AT477,AV477,AX477)</f>
        <v>1551.85</v>
      </c>
      <c r="BE477" s="33" t="n">
        <f aca="false">AZ477-BD477</f>
        <v>-0.699999999999818</v>
      </c>
      <c r="BF477" s="34" t="n">
        <f aca="false">BD477*M477</f>
        <v>38796.25</v>
      </c>
      <c r="BG477" s="35" t="n">
        <f aca="false">BA477-BF477</f>
        <v>-0.25</v>
      </c>
      <c r="BH477" s="19" t="str">
        <f aca="false">IF(BG477=0,"",IF(BG477&lt;&gt;BA477,"erreur de calcul",IF(BD477&lt;&gt;0,"pas de prix",IF(M477&lt;&gt; 0,"pas de quantité","pas de prix, ni de quantité"))))</f>
        <v>erreur de calcul</v>
      </c>
      <c r="BI477" s="19"/>
    </row>
    <row r="478" customFormat="false" ht="16" hidden="false" customHeight="false" outlineLevel="0" collapsed="false">
      <c r="A478" s="0" t="n">
        <v>48</v>
      </c>
      <c r="B478" s="8" t="s">
        <v>24</v>
      </c>
      <c r="C478" s="9" t="s">
        <v>25</v>
      </c>
      <c r="D478" s="9" t="s">
        <v>26</v>
      </c>
      <c r="E478" s="10" t="n">
        <v>1789</v>
      </c>
      <c r="F478" s="9" t="s">
        <v>27</v>
      </c>
      <c r="G478" s="9" t="s">
        <v>27</v>
      </c>
      <c r="H478" s="11" t="n">
        <v>21</v>
      </c>
      <c r="I478" s="11" t="s">
        <v>201</v>
      </c>
      <c r="J478" s="14"/>
      <c r="K478" s="14" t="n">
        <v>15</v>
      </c>
      <c r="L478" s="16"/>
      <c r="M478" s="27" t="n">
        <f aca="false">J478+(K478/20)+(L478/240)</f>
        <v>0.75</v>
      </c>
      <c r="N478" s="17" t="s">
        <v>66</v>
      </c>
      <c r="O478" s="11"/>
      <c r="P478" s="28"/>
      <c r="Q478" s="28" t="n">
        <f aca="false">P478*$M478</f>
        <v>0</v>
      </c>
      <c r="R478" s="28"/>
      <c r="S478" s="28" t="n">
        <f aca="false">R478*$M478</f>
        <v>0</v>
      </c>
      <c r="T478" s="28"/>
      <c r="U478" s="28" t="n">
        <f aca="false">T478*$M478</f>
        <v>0</v>
      </c>
      <c r="V478" s="28"/>
      <c r="W478" s="28" t="n">
        <f aca="false">V478*$M478</f>
        <v>0</v>
      </c>
      <c r="X478" s="28"/>
      <c r="Y478" s="28" t="n">
        <f aca="false">X478*$M478</f>
        <v>0</v>
      </c>
      <c r="Z478" s="28"/>
      <c r="AA478" s="28" t="n">
        <f aca="false">Z478*$M478</f>
        <v>0</v>
      </c>
      <c r="AB478" s="28"/>
      <c r="AC478" s="28" t="n">
        <f aca="false">AB478*$M478</f>
        <v>0</v>
      </c>
      <c r="AD478" s="28"/>
      <c r="AE478" s="28" t="n">
        <f aca="false">AD478*$M478</f>
        <v>0</v>
      </c>
      <c r="AF478" s="28"/>
      <c r="AG478" s="28" t="n">
        <f aca="false">AF478*$M478</f>
        <v>0</v>
      </c>
      <c r="AH478" s="28"/>
      <c r="AI478" s="28" t="n">
        <f aca="false">AH478*$M478</f>
        <v>0</v>
      </c>
      <c r="AJ478" s="28" t="n">
        <v>6171</v>
      </c>
      <c r="AK478" s="28" t="n">
        <v>4628</v>
      </c>
      <c r="AL478" s="28"/>
      <c r="AM478" s="28" t="n">
        <f aca="false">AL478*$M478</f>
        <v>0</v>
      </c>
      <c r="AN478" s="28"/>
      <c r="AO478" s="28" t="n">
        <f aca="false">AN478*$M478</f>
        <v>0</v>
      </c>
      <c r="AP478" s="28"/>
      <c r="AQ478" s="28" t="n">
        <f aca="false">AP478*$M478</f>
        <v>0</v>
      </c>
      <c r="AR478" s="28"/>
      <c r="AS478" s="28" t="n">
        <f aca="false">AR478*$M478</f>
        <v>0</v>
      </c>
      <c r="AT478" s="28"/>
      <c r="AU478" s="28" t="n">
        <f aca="false">AT478*$M478</f>
        <v>0</v>
      </c>
      <c r="AV478" s="28"/>
      <c r="AW478" s="28" t="n">
        <f aca="false">AV478*$M478</f>
        <v>0</v>
      </c>
      <c r="AX478" s="28"/>
      <c r="AY478" s="28" t="n">
        <f aca="false">AX478*$M478</f>
        <v>0</v>
      </c>
      <c r="AZ478" s="30" t="n">
        <v>6171</v>
      </c>
      <c r="BA478" s="11" t="n">
        <v>4628</v>
      </c>
      <c r="BB478" s="31" t="n">
        <f aca="false">SUM(Q478,S478,U478,W478,Y478,AA478,AC478,AE478,AG478,AI478,AK478,AM478,AO478,AQ478,AS478,AU478,AW478,AY478)</f>
        <v>4628</v>
      </c>
      <c r="BC478" s="28" t="n">
        <f aca="false">BA478-BB478</f>
        <v>0</v>
      </c>
      <c r="BD478" s="32" t="n">
        <f aca="false">SUM(P478,R478,T478,V478,X478,Z478,AB478,AD478,AF478,AH478,AJ478,AL478,AN478,AP478,AR478,AT478,AV478,AX478)</f>
        <v>6171</v>
      </c>
      <c r="BE478" s="33" t="n">
        <f aca="false">AZ478-BD478</f>
        <v>0</v>
      </c>
      <c r="BF478" s="34" t="n">
        <f aca="false">BD478*M478</f>
        <v>4628.25</v>
      </c>
      <c r="BG478" s="35" t="n">
        <f aca="false">BA478-BF478</f>
        <v>-0.25</v>
      </c>
      <c r="BH478" s="19" t="str">
        <f aca="false">IF(BG478=0,"",IF(BG478&lt;&gt;BA478,"erreur de calcul",IF(BD478&lt;&gt;0,"pas de prix",IF(M478&lt;&gt; 0,"pas de quantité","pas de prix, ni de quantité"))))</f>
        <v>erreur de calcul</v>
      </c>
      <c r="BI478" s="19"/>
    </row>
    <row r="479" customFormat="false" ht="16" hidden="false" customHeight="false" outlineLevel="0" collapsed="false">
      <c r="A479" s="0" t="n">
        <v>1</v>
      </c>
      <c r="B479" s="8" t="s">
        <v>24</v>
      </c>
      <c r="C479" s="9" t="s">
        <v>25</v>
      </c>
      <c r="D479" s="9" t="s">
        <v>26</v>
      </c>
      <c r="E479" s="10" t="n">
        <v>1789</v>
      </c>
      <c r="F479" s="9" t="s">
        <v>27</v>
      </c>
      <c r="G479" s="9" t="s">
        <v>27</v>
      </c>
      <c r="H479" s="11" t="n">
        <v>22</v>
      </c>
      <c r="I479" s="11" t="s">
        <v>202</v>
      </c>
      <c r="J479" s="14" t="n">
        <v>10</v>
      </c>
      <c r="K479" s="14"/>
      <c r="L479" s="16"/>
      <c r="M479" s="27" t="n">
        <f aca="false">J479+(K479/20)+(L479/240)</f>
        <v>10</v>
      </c>
      <c r="N479" s="17" t="s">
        <v>64</v>
      </c>
      <c r="O479" s="11"/>
      <c r="P479" s="28" t="n">
        <f aca="false">36147/100</f>
        <v>361.47</v>
      </c>
      <c r="Q479" s="28" t="n">
        <v>3615</v>
      </c>
      <c r="R479" s="28"/>
      <c r="S479" s="28" t="n">
        <f aca="false">R479*$M479</f>
        <v>0</v>
      </c>
      <c r="T479" s="28"/>
      <c r="U479" s="28" t="n">
        <f aca="false">T479*$M479</f>
        <v>0</v>
      </c>
      <c r="V479" s="28"/>
      <c r="W479" s="28" t="n">
        <f aca="false">V479*$M479</f>
        <v>0</v>
      </c>
      <c r="X479" s="28"/>
      <c r="Y479" s="28" t="n">
        <f aca="false">X479*$M479</f>
        <v>0</v>
      </c>
      <c r="Z479" s="28"/>
      <c r="AA479" s="28" t="n">
        <f aca="false">Z479*$M479</f>
        <v>0</v>
      </c>
      <c r="AB479" s="28" t="n">
        <f aca="false">14437/100</f>
        <v>144.37</v>
      </c>
      <c r="AC479" s="28" t="n">
        <v>1444</v>
      </c>
      <c r="AD479" s="28"/>
      <c r="AE479" s="28" t="n">
        <f aca="false">AD479*$M479</f>
        <v>0</v>
      </c>
      <c r="AF479" s="28"/>
      <c r="AG479" s="28" t="n">
        <f aca="false">AF479*$M479</f>
        <v>0</v>
      </c>
      <c r="AH479" s="28"/>
      <c r="AI479" s="28" t="n">
        <f aca="false">AH479*$M479</f>
        <v>0</v>
      </c>
      <c r="AJ479" s="28" t="n">
        <f aca="false">36351/100</f>
        <v>363.51</v>
      </c>
      <c r="AK479" s="28" t="n">
        <v>3635</v>
      </c>
      <c r="AL479" s="28"/>
      <c r="AM479" s="28" t="n">
        <f aca="false">AL479*$M479</f>
        <v>0</v>
      </c>
      <c r="AN479" s="28"/>
      <c r="AO479" s="28" t="n">
        <f aca="false">AN479*$M479</f>
        <v>0</v>
      </c>
      <c r="AP479" s="28"/>
      <c r="AQ479" s="28" t="n">
        <f aca="false">AP479*$M479</f>
        <v>0</v>
      </c>
      <c r="AR479" s="28" t="n">
        <f aca="false">25120/100</f>
        <v>251.2</v>
      </c>
      <c r="AS479" s="28" t="n">
        <v>2512</v>
      </c>
      <c r="AT479" s="28"/>
      <c r="AU479" s="28" t="n">
        <f aca="false">AT479*$M479</f>
        <v>0</v>
      </c>
      <c r="AV479" s="28"/>
      <c r="AW479" s="28" t="n">
        <f aca="false">AV479*$M479</f>
        <v>0</v>
      </c>
      <c r="AX479" s="28"/>
      <c r="AY479" s="28" t="n">
        <f aca="false">AX479*$M479</f>
        <v>0</v>
      </c>
      <c r="AZ479" s="30" t="n">
        <f aca="false">112055/100</f>
        <v>1120.55</v>
      </c>
      <c r="BA479" s="11" t="n">
        <v>11206</v>
      </c>
      <c r="BB479" s="31" t="n">
        <f aca="false">SUM(Q479,S479,U479,W479,Y479,AA479,AC479,AE479,AG479,AI479,AK479,AM479,AO479,AQ479,AS479,AU479,AW479,AY479)</f>
        <v>11206</v>
      </c>
      <c r="BC479" s="28" t="n">
        <f aca="false">BA479-BB479</f>
        <v>0</v>
      </c>
      <c r="BD479" s="32" t="n">
        <f aca="false">SUM(P479,R479,T479,V479,X479,Z479,AB479,AD479,AF479,AH479,AJ479,AL479,AN479,AP479,AR479,AT479,AV479,AX479)</f>
        <v>1120.55</v>
      </c>
      <c r="BE479" s="33" t="n">
        <f aca="false">AZ479-BD479</f>
        <v>0</v>
      </c>
      <c r="BF479" s="34" t="n">
        <f aca="false">BD479*M479</f>
        <v>11205.5</v>
      </c>
      <c r="BG479" s="35" t="n">
        <f aca="false">BA479-BF479</f>
        <v>0.5</v>
      </c>
      <c r="BH479" s="19" t="str">
        <f aca="false">IF(BG479=0,"",IF(BG479&lt;&gt;BA479,"erreur de calcul",IF(BD479&lt;&gt;0,"pas de prix",IF(M479&lt;&gt; 0,"pas de quantité","pas de prix, ni de quantité"))))</f>
        <v>erreur de calcul</v>
      </c>
      <c r="BI479" s="19"/>
    </row>
    <row r="480" customFormat="false" ht="16" hidden="false" customHeight="false" outlineLevel="0" collapsed="false">
      <c r="A480" s="0" t="n">
        <v>2</v>
      </c>
      <c r="B480" s="8" t="s">
        <v>24</v>
      </c>
      <c r="C480" s="9" t="s">
        <v>25</v>
      </c>
      <c r="D480" s="9" t="s">
        <v>26</v>
      </c>
      <c r="E480" s="10" t="n">
        <v>1789</v>
      </c>
      <c r="F480" s="9" t="s">
        <v>27</v>
      </c>
      <c r="G480" s="9" t="s">
        <v>27</v>
      </c>
      <c r="H480" s="11" t="n">
        <v>22</v>
      </c>
      <c r="I480" s="11" t="s">
        <v>203</v>
      </c>
      <c r="J480" s="14" t="n">
        <v>20</v>
      </c>
      <c r="K480" s="14"/>
      <c r="L480" s="16"/>
      <c r="M480" s="27" t="n">
        <f aca="false">J480+(K480/20)+(L480/240)</f>
        <v>20</v>
      </c>
      <c r="N480" s="17" t="s">
        <v>64</v>
      </c>
      <c r="O480" s="11"/>
      <c r="P480" s="28"/>
      <c r="Q480" s="28" t="n">
        <f aca="false">P480*$M480</f>
        <v>0</v>
      </c>
      <c r="R480" s="28"/>
      <c r="S480" s="28" t="n">
        <f aca="false">R480*$M480</f>
        <v>0</v>
      </c>
      <c r="T480" s="28"/>
      <c r="U480" s="28" t="n">
        <f aca="false">T480*$M480</f>
        <v>0</v>
      </c>
      <c r="V480" s="28"/>
      <c r="W480" s="28" t="n">
        <f aca="false">V480*$M480</f>
        <v>0</v>
      </c>
      <c r="X480" s="28"/>
      <c r="Y480" s="28" t="n">
        <f aca="false">X480*$M480</f>
        <v>0</v>
      </c>
      <c r="Z480" s="28"/>
      <c r="AA480" s="28" t="n">
        <f aca="false">Z480*$M480</f>
        <v>0</v>
      </c>
      <c r="AB480" s="28"/>
      <c r="AC480" s="28" t="n">
        <f aca="false">AB480*$M480</f>
        <v>0</v>
      </c>
      <c r="AD480" s="28"/>
      <c r="AE480" s="28" t="n">
        <f aca="false">AD480*$M480</f>
        <v>0</v>
      </c>
      <c r="AF480" s="28"/>
      <c r="AG480" s="28" t="n">
        <f aca="false">AF480*$M480</f>
        <v>0</v>
      </c>
      <c r="AH480" s="28"/>
      <c r="AI480" s="28" t="n">
        <f aca="false">AH480*$M480</f>
        <v>0</v>
      </c>
      <c r="AJ480" s="28" t="n">
        <f aca="false">109254/100</f>
        <v>1092.54</v>
      </c>
      <c r="AK480" s="28" t="n">
        <v>21851</v>
      </c>
      <c r="AL480" s="28"/>
      <c r="AM480" s="28" t="n">
        <f aca="false">AL480*$M480</f>
        <v>0</v>
      </c>
      <c r="AN480" s="28"/>
      <c r="AO480" s="28" t="n">
        <f aca="false">AN480*$M480</f>
        <v>0</v>
      </c>
      <c r="AP480" s="28"/>
      <c r="AQ480" s="28" t="n">
        <f aca="false">AP480*$M480</f>
        <v>0</v>
      </c>
      <c r="AR480" s="28"/>
      <c r="AS480" s="28" t="n">
        <f aca="false">AR480*$M480</f>
        <v>0</v>
      </c>
      <c r="AT480" s="28"/>
      <c r="AU480" s="28" t="n">
        <f aca="false">AT480*$M480</f>
        <v>0</v>
      </c>
      <c r="AV480" s="28"/>
      <c r="AW480" s="28" t="n">
        <f aca="false">AV480*$M480</f>
        <v>0</v>
      </c>
      <c r="AX480" s="28"/>
      <c r="AY480" s="28" t="n">
        <f aca="false">AX480*$M480</f>
        <v>0</v>
      </c>
      <c r="AZ480" s="30" t="n">
        <f aca="false">109254/100</f>
        <v>1092.54</v>
      </c>
      <c r="BA480" s="11" t="n">
        <v>21851</v>
      </c>
      <c r="BB480" s="31" t="n">
        <f aca="false">SUM(Q480,S480,U480,W480,Y480,AA480,AC480,AE480,AG480,AI480,AK480,AM480,AO480,AQ480,AS480,AU480,AW480,AY480)</f>
        <v>21851</v>
      </c>
      <c r="BC480" s="28" t="n">
        <f aca="false">BA480-BB480</f>
        <v>0</v>
      </c>
      <c r="BD480" s="32" t="n">
        <f aca="false">SUM(P480,R480,T480,V480,X480,Z480,AB480,AD480,AF480,AH480,AJ480,AL480,AN480,AP480,AR480,AT480,AV480,AX480)</f>
        <v>1092.54</v>
      </c>
      <c r="BE480" s="33" t="n">
        <f aca="false">AZ480-BD480</f>
        <v>0</v>
      </c>
      <c r="BF480" s="34" t="n">
        <f aca="false">BD480*M480</f>
        <v>21850.8</v>
      </c>
      <c r="BG480" s="35" t="n">
        <f aca="false">BA480-BF480</f>
        <v>0.200000000000728</v>
      </c>
      <c r="BH480" s="19" t="str">
        <f aca="false">IF(BG480=0,"",IF(BG480&lt;&gt;BA480,"erreur de calcul",IF(BD480&lt;&gt;0,"pas de prix",IF(M480&lt;&gt; 0,"pas de quantité","pas de prix, ni de quantité"))))</f>
        <v>erreur de calcul</v>
      </c>
      <c r="BI480" s="19"/>
    </row>
    <row r="481" customFormat="false" ht="16" hidden="false" customHeight="false" outlineLevel="0" collapsed="false">
      <c r="A481" s="0" t="n">
        <v>3</v>
      </c>
      <c r="B481" s="8" t="s">
        <v>24</v>
      </c>
      <c r="C481" s="9" t="s">
        <v>25</v>
      </c>
      <c r="D481" s="9" t="s">
        <v>26</v>
      </c>
      <c r="E481" s="10" t="n">
        <v>1789</v>
      </c>
      <c r="F481" s="9" t="s">
        <v>27</v>
      </c>
      <c r="G481" s="9" t="s">
        <v>27</v>
      </c>
      <c r="H481" s="11" t="n">
        <v>22</v>
      </c>
      <c r="I481" s="11" t="s">
        <v>204</v>
      </c>
      <c r="J481" s="14" t="n">
        <v>20</v>
      </c>
      <c r="K481" s="14"/>
      <c r="L481" s="16"/>
      <c r="M481" s="27" t="n">
        <f aca="false">J481+(K481/20)+(L481/240)</f>
        <v>20</v>
      </c>
      <c r="N481" s="17" t="s">
        <v>66</v>
      </c>
      <c r="O481" s="11"/>
      <c r="P481" s="28" t="n">
        <v>106125</v>
      </c>
      <c r="Q481" s="36" t="n">
        <v>2162500</v>
      </c>
      <c r="R481" s="28"/>
      <c r="S481" s="28" t="n">
        <f aca="false">R481*$M481</f>
        <v>0</v>
      </c>
      <c r="T481" s="28"/>
      <c r="U481" s="28" t="n">
        <f aca="false">T481*$M481</f>
        <v>0</v>
      </c>
      <c r="V481" s="28"/>
      <c r="W481" s="28" t="n">
        <f aca="false">V481*$M481</f>
        <v>0</v>
      </c>
      <c r="X481" s="28"/>
      <c r="Y481" s="28" t="n">
        <f aca="false">X481*$M481</f>
        <v>0</v>
      </c>
      <c r="Z481" s="28"/>
      <c r="AA481" s="28" t="n">
        <f aca="false">Z481*$M481</f>
        <v>0</v>
      </c>
      <c r="AB481" s="28"/>
      <c r="AC481" s="28" t="n">
        <f aca="false">AB481*$M481</f>
        <v>0</v>
      </c>
      <c r="AD481" s="28"/>
      <c r="AE481" s="28" t="n">
        <f aca="false">AD481*$M481</f>
        <v>0</v>
      </c>
      <c r="AF481" s="28"/>
      <c r="AG481" s="28" t="n">
        <f aca="false">AF481*$M481</f>
        <v>0</v>
      </c>
      <c r="AH481" s="28"/>
      <c r="AI481" s="28" t="n">
        <f aca="false">AH481*$M481</f>
        <v>0</v>
      </c>
      <c r="AJ481" s="28"/>
      <c r="AK481" s="28" t="n">
        <f aca="false">AJ481*$M481</f>
        <v>0</v>
      </c>
      <c r="AL481" s="28"/>
      <c r="AM481" s="28" t="n">
        <f aca="false">AL481*$M481</f>
        <v>0</v>
      </c>
      <c r="AN481" s="28"/>
      <c r="AO481" s="28" t="n">
        <f aca="false">AN481*$M481</f>
        <v>0</v>
      </c>
      <c r="AP481" s="28"/>
      <c r="AQ481" s="28" t="n">
        <f aca="false">AP481*$M481</f>
        <v>0</v>
      </c>
      <c r="AR481" s="28"/>
      <c r="AS481" s="28" t="n">
        <f aca="false">AR481*$M481</f>
        <v>0</v>
      </c>
      <c r="AT481" s="28"/>
      <c r="AU481" s="28" t="n">
        <f aca="false">AT481*$M481</f>
        <v>0</v>
      </c>
      <c r="AV481" s="28"/>
      <c r="AW481" s="28" t="n">
        <f aca="false">AV481*$M481</f>
        <v>0</v>
      </c>
      <c r="AX481" s="28"/>
      <c r="AY481" s="28" t="n">
        <f aca="false">AX481*$M481</f>
        <v>0</v>
      </c>
      <c r="AZ481" s="30" t="n">
        <v>108125</v>
      </c>
      <c r="BA481" s="11" t="n">
        <v>2162500</v>
      </c>
      <c r="BB481" s="31" t="n">
        <f aca="false">SUM(Q481,S481,U481,W481,Y481,AA481,AC481,AE481,AG481,AI481,AK481,AM481,AO481,AQ481,AS481,AU481,AW481,AY481)</f>
        <v>2162500</v>
      </c>
      <c r="BC481" s="28" t="n">
        <f aca="false">BA481-BB481</f>
        <v>0</v>
      </c>
      <c r="BD481" s="32" t="n">
        <f aca="false">SUM(P481,R481,T481,V481,X481,Z481,AB481,AD481,AF481,AH481,AJ481,AL481,AN481,AP481,AR481,AT481,AV481,AX481)</f>
        <v>106125</v>
      </c>
      <c r="BE481" s="33" t="n">
        <f aca="false">AZ481-BD481</f>
        <v>2000</v>
      </c>
      <c r="BF481" s="34" t="n">
        <f aca="false">BD481*M481</f>
        <v>2122500</v>
      </c>
      <c r="BG481" s="35" t="n">
        <f aca="false">BA481-BF481</f>
        <v>40000</v>
      </c>
      <c r="BH481" s="19" t="str">
        <f aca="false">IF(BG481=0,"",IF(BG481&lt;&gt;BA481,"erreur de calcul",IF(BD481&lt;&gt;0,"pas de prix",IF(M481&lt;&gt; 0,"pas de quantité","pas de prix, ni de quantité"))))</f>
        <v>erreur de calcul</v>
      </c>
      <c r="BI481" s="19"/>
    </row>
    <row r="482" customFormat="false" ht="16" hidden="false" customHeight="false" outlineLevel="0" collapsed="false">
      <c r="A482" s="0" t="n">
        <v>4</v>
      </c>
      <c r="B482" s="8" t="s">
        <v>24</v>
      </c>
      <c r="C482" s="9" t="s">
        <v>25</v>
      </c>
      <c r="D482" s="9" t="s">
        <v>26</v>
      </c>
      <c r="E482" s="10" t="n">
        <v>1789</v>
      </c>
      <c r="F482" s="9" t="s">
        <v>27</v>
      </c>
      <c r="G482" s="9" t="s">
        <v>27</v>
      </c>
      <c r="H482" s="11" t="n">
        <v>22</v>
      </c>
      <c r="I482" s="11" t="s">
        <v>205</v>
      </c>
      <c r="J482" s="14" t="n">
        <v>15</v>
      </c>
      <c r="K482" s="14"/>
      <c r="L482" s="16"/>
      <c r="M482" s="27" t="n">
        <f aca="false">J482+(K482/20)+(L482/240)</f>
        <v>15</v>
      </c>
      <c r="N482" s="17" t="s">
        <v>64</v>
      </c>
      <c r="O482" s="11"/>
      <c r="P482" s="28"/>
      <c r="Q482" s="28" t="n">
        <f aca="false">P482*$M482</f>
        <v>0</v>
      </c>
      <c r="R482" s="28"/>
      <c r="S482" s="28" t="n">
        <f aca="false">R482*$M482</f>
        <v>0</v>
      </c>
      <c r="T482" s="28"/>
      <c r="U482" s="28" t="n">
        <f aca="false">T482*$M482</f>
        <v>0</v>
      </c>
      <c r="V482" s="28"/>
      <c r="W482" s="28" t="n">
        <f aca="false">V482*$M482</f>
        <v>0</v>
      </c>
      <c r="X482" s="28" t="n">
        <f aca="false">27897/100</f>
        <v>278.97</v>
      </c>
      <c r="Y482" s="28" t="n">
        <v>4184</v>
      </c>
      <c r="Z482" s="28"/>
      <c r="AA482" s="28" t="n">
        <f aca="false">Z482*$M482</f>
        <v>0</v>
      </c>
      <c r="AB482" s="28"/>
      <c r="AC482" s="28" t="n">
        <f aca="false">AB482*$M482</f>
        <v>0</v>
      </c>
      <c r="AD482" s="28"/>
      <c r="AE482" s="28" t="n">
        <f aca="false">AD482*$M482</f>
        <v>0</v>
      </c>
      <c r="AF482" s="28"/>
      <c r="AG482" s="28" t="n">
        <f aca="false">AF482*$M482</f>
        <v>0</v>
      </c>
      <c r="AH482" s="28"/>
      <c r="AI482" s="28" t="n">
        <f aca="false">AH482*$M482</f>
        <v>0</v>
      </c>
      <c r="AJ482" s="28" t="n">
        <f aca="false">63734/100</f>
        <v>637.34</v>
      </c>
      <c r="AK482" s="28" t="n">
        <v>9560</v>
      </c>
      <c r="AL482" s="28"/>
      <c r="AM482" s="28" t="n">
        <f aca="false">AL482*$M482</f>
        <v>0</v>
      </c>
      <c r="AN482" s="28"/>
      <c r="AO482" s="28" t="n">
        <f aca="false">AN482*$M482</f>
        <v>0</v>
      </c>
      <c r="AP482" s="28"/>
      <c r="AQ482" s="28" t="n">
        <f aca="false">AP482*$M482</f>
        <v>0</v>
      </c>
      <c r="AR482" s="28"/>
      <c r="AS482" s="28" t="n">
        <f aca="false">AR482*$M482</f>
        <v>0</v>
      </c>
      <c r="AT482" s="28"/>
      <c r="AU482" s="28" t="n">
        <f aca="false">AT482*$M482</f>
        <v>0</v>
      </c>
      <c r="AV482" s="28"/>
      <c r="AW482" s="28" t="n">
        <f aca="false">AV482*$M482</f>
        <v>0</v>
      </c>
      <c r="AX482" s="28"/>
      <c r="AY482" s="28" t="n">
        <f aca="false">AX482*$M482</f>
        <v>0</v>
      </c>
      <c r="AZ482" s="30" t="n">
        <f aca="false">91631/100</f>
        <v>916.31</v>
      </c>
      <c r="BA482" s="11" t="n">
        <v>13744</v>
      </c>
      <c r="BB482" s="31" t="n">
        <f aca="false">SUM(Q482,S482,U482,W482,Y482,AA482,AC482,AE482,AG482,AI482,AK482,AM482,AO482,AQ482,AS482,AU482,AW482,AY482)</f>
        <v>13744</v>
      </c>
      <c r="BC482" s="28" t="n">
        <f aca="false">BA482-BB482</f>
        <v>0</v>
      </c>
      <c r="BD482" s="32" t="n">
        <f aca="false">SUM(P482,R482,T482,V482,X482,Z482,AB482,AD482,AF482,AH482,AJ482,AL482,AN482,AP482,AR482,AT482,AV482,AX482)</f>
        <v>916.31</v>
      </c>
      <c r="BE482" s="33" t="n">
        <f aca="false">AZ482-BD482</f>
        <v>0</v>
      </c>
      <c r="BF482" s="34" t="n">
        <f aca="false">BD482*M482</f>
        <v>13744.65</v>
      </c>
      <c r="BG482" s="35" t="n">
        <f aca="false">BA482-BF482</f>
        <v>-0.650000000001455</v>
      </c>
      <c r="BH482" s="19" t="str">
        <f aca="false">IF(BG482=0,"",IF(BG482&lt;&gt;BA482,"erreur de calcul",IF(BD482&lt;&gt;0,"pas de prix",IF(M482&lt;&gt; 0,"pas de quantité","pas de prix, ni de quantité"))))</f>
        <v>erreur de calcul</v>
      </c>
      <c r="BI482" s="19"/>
    </row>
    <row r="483" customFormat="false" ht="16" hidden="false" customHeight="false" outlineLevel="0" collapsed="false">
      <c r="A483" s="0" t="n">
        <v>5</v>
      </c>
      <c r="B483" s="8" t="s">
        <v>24</v>
      </c>
      <c r="C483" s="9" t="s">
        <v>25</v>
      </c>
      <c r="D483" s="9" t="s">
        <v>26</v>
      </c>
      <c r="E483" s="10" t="n">
        <v>1789</v>
      </c>
      <c r="F483" s="9" t="s">
        <v>27</v>
      </c>
      <c r="G483" s="9" t="s">
        <v>27</v>
      </c>
      <c r="H483" s="11" t="n">
        <v>22</v>
      </c>
      <c r="I483" s="11" t="s">
        <v>206</v>
      </c>
      <c r="J483" s="14" t="n">
        <v>30</v>
      </c>
      <c r="K483" s="14"/>
      <c r="L483" s="16"/>
      <c r="M483" s="27" t="n">
        <f aca="false">J483+(K483/20)+(L483/240)</f>
        <v>30</v>
      </c>
      <c r="N483" s="17" t="s">
        <v>64</v>
      </c>
      <c r="O483" s="11"/>
      <c r="P483" s="28" t="n">
        <f aca="false">8334/100</f>
        <v>83.34</v>
      </c>
      <c r="Q483" s="28" t="n">
        <v>2500</v>
      </c>
      <c r="R483" s="28"/>
      <c r="S483" s="28" t="n">
        <f aca="false">R483*$M483</f>
        <v>0</v>
      </c>
      <c r="T483" s="28"/>
      <c r="U483" s="28" t="n">
        <f aca="false">T483*$M483</f>
        <v>0</v>
      </c>
      <c r="V483" s="28"/>
      <c r="W483" s="28" t="n">
        <f aca="false">V483*$M483</f>
        <v>0</v>
      </c>
      <c r="X483" s="28"/>
      <c r="Y483" s="28" t="n">
        <f aca="false">X483*$M483</f>
        <v>0</v>
      </c>
      <c r="Z483" s="28"/>
      <c r="AA483" s="28" t="n">
        <f aca="false">Z483*$M483</f>
        <v>0</v>
      </c>
      <c r="AB483" s="28"/>
      <c r="AC483" s="28" t="n">
        <f aca="false">AB483*$M483</f>
        <v>0</v>
      </c>
      <c r="AD483" s="28"/>
      <c r="AE483" s="28" t="n">
        <f aca="false">AD483*$M483</f>
        <v>0</v>
      </c>
      <c r="AF483" s="28"/>
      <c r="AG483" s="28" t="n">
        <f aca="false">AF483*$M483</f>
        <v>0</v>
      </c>
      <c r="AH483" s="28"/>
      <c r="AI483" s="28" t="n">
        <f aca="false">AH483*$M483</f>
        <v>0</v>
      </c>
      <c r="AJ483" s="28"/>
      <c r="AK483" s="28" t="n">
        <f aca="false">AJ483*$M483</f>
        <v>0</v>
      </c>
      <c r="AL483" s="28"/>
      <c r="AM483" s="28" t="n">
        <f aca="false">AL483*$M483</f>
        <v>0</v>
      </c>
      <c r="AN483" s="28"/>
      <c r="AO483" s="28" t="n">
        <f aca="false">AN483*$M483</f>
        <v>0</v>
      </c>
      <c r="AP483" s="28"/>
      <c r="AQ483" s="28" t="n">
        <f aca="false">AP483*$M483</f>
        <v>0</v>
      </c>
      <c r="AR483" s="28"/>
      <c r="AS483" s="28" t="n">
        <f aca="false">AR483*$M483</f>
        <v>0</v>
      </c>
      <c r="AT483" s="28"/>
      <c r="AU483" s="28" t="n">
        <f aca="false">AT483*$M483</f>
        <v>0</v>
      </c>
      <c r="AV483" s="28"/>
      <c r="AW483" s="28" t="n">
        <f aca="false">AV483*$M483</f>
        <v>0</v>
      </c>
      <c r="AX483" s="28"/>
      <c r="AY483" s="28" t="n">
        <f aca="false">AX483*$M483</f>
        <v>0</v>
      </c>
      <c r="AZ483" s="30" t="n">
        <f aca="false">8334/100</f>
        <v>83.34</v>
      </c>
      <c r="BA483" s="11" t="n">
        <v>2500</v>
      </c>
      <c r="BB483" s="31" t="n">
        <f aca="false">SUM(Q483,S483,U483,W483,Y483,AA483,AC483,AE483,AG483,AI483,AK483,AM483,AO483,AQ483,AS483,AU483,AW483,AY483)</f>
        <v>2500</v>
      </c>
      <c r="BC483" s="28" t="n">
        <f aca="false">BA483-BB483</f>
        <v>0</v>
      </c>
      <c r="BD483" s="32" t="n">
        <f aca="false">SUM(P483,R483,T483,V483,X483,Z483,AB483,AD483,AF483,AH483,AJ483,AL483,AN483,AP483,AR483,AT483,AV483,AX483)</f>
        <v>83.34</v>
      </c>
      <c r="BE483" s="33" t="n">
        <f aca="false">AZ483-BD483</f>
        <v>0</v>
      </c>
      <c r="BF483" s="34" t="n">
        <f aca="false">BD483*M483</f>
        <v>2500.2</v>
      </c>
      <c r="BG483" s="35" t="n">
        <f aca="false">BA483-BF483</f>
        <v>-0.200000000000273</v>
      </c>
      <c r="BH483" s="19" t="str">
        <f aca="false">IF(BG483=0,"",IF(BG483&lt;&gt;BA483,"erreur de calcul",IF(BD483&lt;&gt;0,"pas de prix",IF(M483&lt;&gt; 0,"pas de quantité","pas de prix, ni de quantité"))))</f>
        <v>erreur de calcul</v>
      </c>
      <c r="BI483" s="19"/>
    </row>
    <row r="484" customFormat="false" ht="16" hidden="false" customHeight="false" outlineLevel="0" collapsed="false">
      <c r="A484" s="0" t="n">
        <v>6</v>
      </c>
      <c r="B484" s="8" t="s">
        <v>24</v>
      </c>
      <c r="C484" s="9" t="s">
        <v>25</v>
      </c>
      <c r="D484" s="9" t="s">
        <v>26</v>
      </c>
      <c r="E484" s="10" t="n">
        <v>1789</v>
      </c>
      <c r="F484" s="9" t="s">
        <v>27</v>
      </c>
      <c r="G484" s="9" t="s">
        <v>27</v>
      </c>
      <c r="H484" s="11" t="n">
        <v>22</v>
      </c>
      <c r="I484" s="11" t="s">
        <v>207</v>
      </c>
      <c r="J484" s="14"/>
      <c r="K484" s="14" t="n">
        <v>20</v>
      </c>
      <c r="L484" s="16"/>
      <c r="M484" s="27" t="n">
        <f aca="false">J484+(K484/20)+(L484/240)</f>
        <v>1</v>
      </c>
      <c r="N484" s="17" t="s">
        <v>66</v>
      </c>
      <c r="O484" s="11"/>
      <c r="P484" s="28"/>
      <c r="Q484" s="28" t="n">
        <f aca="false">P484*$M484</f>
        <v>0</v>
      </c>
      <c r="R484" s="28"/>
      <c r="S484" s="28" t="n">
        <f aca="false">R484*$M484</f>
        <v>0</v>
      </c>
      <c r="T484" s="28"/>
      <c r="U484" s="28" t="n">
        <f aca="false">T484*$M484</f>
        <v>0</v>
      </c>
      <c r="V484" s="28" t="n">
        <v>33010</v>
      </c>
      <c r="W484" s="28" t="n">
        <v>33010</v>
      </c>
      <c r="X484" s="28" t="n">
        <v>292003</v>
      </c>
      <c r="Y484" s="28" t="n">
        <v>292003</v>
      </c>
      <c r="Z484" s="28" t="n">
        <v>15558</v>
      </c>
      <c r="AA484" s="28" t="n">
        <v>15558</v>
      </c>
      <c r="AB484" s="28" t="n">
        <v>80515</v>
      </c>
      <c r="AC484" s="28" t="n">
        <v>80515</v>
      </c>
      <c r="AD484" s="28"/>
      <c r="AE484" s="28" t="n">
        <f aca="false">AD484*$M484</f>
        <v>0</v>
      </c>
      <c r="AF484" s="28"/>
      <c r="AG484" s="28" t="n">
        <f aca="false">AF484*$M484</f>
        <v>0</v>
      </c>
      <c r="AH484" s="28" t="n">
        <v>515373</v>
      </c>
      <c r="AI484" s="28" t="n">
        <v>515373</v>
      </c>
      <c r="AJ484" s="28"/>
      <c r="AK484" s="28" t="n">
        <f aca="false">AJ484*$M484</f>
        <v>0</v>
      </c>
      <c r="AL484" s="28" t="n">
        <v>3480</v>
      </c>
      <c r="AM484" s="28" t="n">
        <v>3480</v>
      </c>
      <c r="AN484" s="28"/>
      <c r="AO484" s="28" t="n">
        <f aca="false">AN484*$M484</f>
        <v>0</v>
      </c>
      <c r="AP484" s="28"/>
      <c r="AQ484" s="28" t="n">
        <f aca="false">AP484*$M484</f>
        <v>0</v>
      </c>
      <c r="AR484" s="28"/>
      <c r="AS484" s="28" t="n">
        <f aca="false">AR484*$M484</f>
        <v>0</v>
      </c>
      <c r="AT484" s="28"/>
      <c r="AU484" s="28" t="n">
        <f aca="false">AT484*$M484</f>
        <v>0</v>
      </c>
      <c r="AV484" s="28"/>
      <c r="AW484" s="28" t="n">
        <f aca="false">AV484*$M484</f>
        <v>0</v>
      </c>
      <c r="AX484" s="28"/>
      <c r="AY484" s="28" t="n">
        <f aca="false">AX484*$M484</f>
        <v>0</v>
      </c>
      <c r="AZ484" s="30" t="n">
        <v>939939</v>
      </c>
      <c r="BA484" s="11" t="n">
        <v>939939</v>
      </c>
      <c r="BB484" s="31" t="n">
        <f aca="false">SUM(Q484,S484,U484,W484,Y484,AA484,AC484,AE484,AG484,AI484,AK484,AM484,AO484,AQ484,AS484,AU484,AW484,AY484)</f>
        <v>939939</v>
      </c>
      <c r="BC484" s="28" t="n">
        <f aca="false">BA484-BB484</f>
        <v>0</v>
      </c>
      <c r="BD484" s="32" t="n">
        <f aca="false">SUM(P484,R484,T484,V484,X484,Z484,AB484,AD484,AF484,AH484,AJ484,AL484,AN484,AP484,AR484,AT484,AV484,AX484)</f>
        <v>939939</v>
      </c>
      <c r="BE484" s="33" t="n">
        <f aca="false">AZ484-BD484</f>
        <v>0</v>
      </c>
      <c r="BF484" s="34" t="n">
        <f aca="false">BD484*M484</f>
        <v>939939</v>
      </c>
      <c r="BG484" s="35" t="n">
        <f aca="false">BA484-BF484</f>
        <v>0</v>
      </c>
      <c r="BH484" s="19" t="str">
        <f aca="false">IF(BG484=0,"",IF(BG484&lt;&gt;BA484,"erreur de calcul",IF(BD484&lt;&gt;0,"pas de prix",IF(M484&lt;&gt; 0,"pas de quantité","pas de prix, ni de quantité"))))</f>
        <v/>
      </c>
      <c r="BI484" s="19"/>
    </row>
    <row r="485" customFormat="false" ht="16" hidden="false" customHeight="false" outlineLevel="0" collapsed="false">
      <c r="A485" s="0" t="n">
        <v>7</v>
      </c>
      <c r="B485" s="8" t="s">
        <v>24</v>
      </c>
      <c r="C485" s="9" t="s">
        <v>25</v>
      </c>
      <c r="D485" s="9" t="s">
        <v>26</v>
      </c>
      <c r="E485" s="10" t="n">
        <v>1789</v>
      </c>
      <c r="F485" s="9" t="s">
        <v>27</v>
      </c>
      <c r="G485" s="9" t="s">
        <v>27</v>
      </c>
      <c r="H485" s="11" t="n">
        <v>22</v>
      </c>
      <c r="I485" s="11" t="s">
        <v>208</v>
      </c>
      <c r="J485" s="14" t="n">
        <v>60</v>
      </c>
      <c r="K485" s="14"/>
      <c r="L485" s="16"/>
      <c r="M485" s="27" t="n">
        <f aca="false">J485+(K485/20)+(L485/240)</f>
        <v>60</v>
      </c>
      <c r="N485" s="17" t="s">
        <v>64</v>
      </c>
      <c r="O485" s="11"/>
      <c r="P485" s="28"/>
      <c r="Q485" s="28" t="n">
        <f aca="false">P485*$M485</f>
        <v>0</v>
      </c>
      <c r="R485" s="28"/>
      <c r="S485" s="28" t="n">
        <f aca="false">R485*$M485</f>
        <v>0</v>
      </c>
      <c r="T485" s="28"/>
      <c r="U485" s="28" t="n">
        <f aca="false">T485*$M485</f>
        <v>0</v>
      </c>
      <c r="V485" s="28"/>
      <c r="W485" s="28" t="n">
        <f aca="false">V485*$M485</f>
        <v>0</v>
      </c>
      <c r="X485" s="28"/>
      <c r="Y485" s="28" t="n">
        <f aca="false">X485*$M485</f>
        <v>0</v>
      </c>
      <c r="Z485" s="28"/>
      <c r="AA485" s="28" t="n">
        <f aca="false">Z485*$M485</f>
        <v>0</v>
      </c>
      <c r="AB485" s="28"/>
      <c r="AC485" s="28" t="n">
        <f aca="false">AB485*$M485</f>
        <v>0</v>
      </c>
      <c r="AD485" s="28"/>
      <c r="AE485" s="28" t="n">
        <f aca="false">AD485*$M485</f>
        <v>0</v>
      </c>
      <c r="AF485" s="28"/>
      <c r="AG485" s="28" t="n">
        <f aca="false">AF485*$M485</f>
        <v>0</v>
      </c>
      <c r="AH485" s="28"/>
      <c r="AI485" s="28" t="n">
        <f aca="false">AH485*$M485</f>
        <v>0</v>
      </c>
      <c r="AJ485" s="28" t="n">
        <f aca="false">28692/100</f>
        <v>286.92</v>
      </c>
      <c r="AK485" s="28" t="n">
        <v>17215</v>
      </c>
      <c r="AL485" s="28"/>
      <c r="AM485" s="28" t="n">
        <f aca="false">AL485*$M485</f>
        <v>0</v>
      </c>
      <c r="AN485" s="28"/>
      <c r="AO485" s="28" t="n">
        <f aca="false">AN485*$M485</f>
        <v>0</v>
      </c>
      <c r="AP485" s="28"/>
      <c r="AQ485" s="28" t="n">
        <f aca="false">AP485*$M485</f>
        <v>0</v>
      </c>
      <c r="AR485" s="28"/>
      <c r="AS485" s="28" t="n">
        <f aca="false">AR485*$M485</f>
        <v>0</v>
      </c>
      <c r="AT485" s="28"/>
      <c r="AU485" s="28" t="n">
        <f aca="false">AT485*$M485</f>
        <v>0</v>
      </c>
      <c r="AV485" s="28"/>
      <c r="AW485" s="28" t="n">
        <f aca="false">AV485*$M485</f>
        <v>0</v>
      </c>
      <c r="AX485" s="28"/>
      <c r="AY485" s="28" t="n">
        <f aca="false">AX485*$M485</f>
        <v>0</v>
      </c>
      <c r="AZ485" s="30" t="n">
        <f aca="false">28692/100</f>
        <v>286.92</v>
      </c>
      <c r="BA485" s="11" t="n">
        <v>17215</v>
      </c>
      <c r="BB485" s="31" t="n">
        <f aca="false">SUM(Q485,S485,U485,W485,Y485,AA485,AC485,AE485,AG485,AI485,AK485,AM485,AO485,AQ485,AS485,AU485,AW485,AY485)</f>
        <v>17215</v>
      </c>
      <c r="BC485" s="28" t="n">
        <f aca="false">BA485-BB485</f>
        <v>0</v>
      </c>
      <c r="BD485" s="32" t="n">
        <f aca="false">SUM(P485,R485,T485,V485,X485,Z485,AB485,AD485,AF485,AH485,AJ485,AL485,AN485,AP485,AR485,AT485,AV485,AX485)</f>
        <v>286.92</v>
      </c>
      <c r="BE485" s="33" t="n">
        <f aca="false">AZ485-BD485</f>
        <v>0</v>
      </c>
      <c r="BF485" s="34" t="n">
        <f aca="false">BD485*M485</f>
        <v>17215.2</v>
      </c>
      <c r="BG485" s="35" t="n">
        <f aca="false">BA485-BF485</f>
        <v>-0.200000000000728</v>
      </c>
      <c r="BH485" s="19" t="str">
        <f aca="false">IF(BG485=0,"",IF(BG485&lt;&gt;BA485,"erreur de calcul",IF(BD485&lt;&gt;0,"pas de prix",IF(M485&lt;&gt; 0,"pas de quantité","pas de prix, ni de quantité"))))</f>
        <v>erreur de calcul</v>
      </c>
      <c r="BI485" s="19"/>
    </row>
    <row r="486" customFormat="false" ht="16" hidden="false" customHeight="false" outlineLevel="0" collapsed="false">
      <c r="A486" s="0" t="n">
        <v>8</v>
      </c>
      <c r="B486" s="8" t="s">
        <v>24</v>
      </c>
      <c r="C486" s="9" t="s">
        <v>25</v>
      </c>
      <c r="D486" s="9" t="s">
        <v>26</v>
      </c>
      <c r="E486" s="10" t="n">
        <v>1789</v>
      </c>
      <c r="F486" s="9" t="s">
        <v>27</v>
      </c>
      <c r="G486" s="9" t="s">
        <v>27</v>
      </c>
      <c r="H486" s="11" t="n">
        <v>22</v>
      </c>
      <c r="I486" s="11" t="s">
        <v>209</v>
      </c>
      <c r="J486" s="14" t="n">
        <v>26</v>
      </c>
      <c r="K486" s="14"/>
      <c r="L486" s="16"/>
      <c r="M486" s="27" t="n">
        <f aca="false">J486+(K486/20)+(L486/240)</f>
        <v>26</v>
      </c>
      <c r="N486" s="17" t="s">
        <v>64</v>
      </c>
      <c r="O486" s="11"/>
      <c r="P486" s="28" t="n">
        <f aca="false">9675/100</f>
        <v>96.75</v>
      </c>
      <c r="Q486" s="28" t="n">
        <v>2515</v>
      </c>
      <c r="R486" s="28"/>
      <c r="S486" s="28" t="n">
        <f aca="false">R486*$M486</f>
        <v>0</v>
      </c>
      <c r="T486" s="28"/>
      <c r="U486" s="28" t="n">
        <f aca="false">T486*$M486</f>
        <v>0</v>
      </c>
      <c r="V486" s="28"/>
      <c r="W486" s="28" t="n">
        <f aca="false">V486*$M486</f>
        <v>0</v>
      </c>
      <c r="X486" s="28"/>
      <c r="Y486" s="28" t="n">
        <f aca="false">X486*$M486</f>
        <v>0</v>
      </c>
      <c r="Z486" s="28"/>
      <c r="AA486" s="28" t="n">
        <f aca="false">Z486*$M486</f>
        <v>0</v>
      </c>
      <c r="AB486" s="28"/>
      <c r="AC486" s="28" t="n">
        <f aca="false">AB486*$M486</f>
        <v>0</v>
      </c>
      <c r="AD486" s="28"/>
      <c r="AE486" s="28" t="n">
        <f aca="false">AD486*$M486</f>
        <v>0</v>
      </c>
      <c r="AF486" s="28"/>
      <c r="AG486" s="28" t="n">
        <f aca="false">AF486*$M486</f>
        <v>0</v>
      </c>
      <c r="AH486" s="28"/>
      <c r="AI486" s="28" t="n">
        <f aca="false">AH486*$M486</f>
        <v>0</v>
      </c>
      <c r="AJ486" s="28"/>
      <c r="AK486" s="28" t="n">
        <f aca="false">AJ486*$M486</f>
        <v>0</v>
      </c>
      <c r="AL486" s="28"/>
      <c r="AM486" s="28" t="n">
        <f aca="false">AL486*$M486</f>
        <v>0</v>
      </c>
      <c r="AN486" s="28"/>
      <c r="AO486" s="28" t="n">
        <f aca="false">AN486*$M486</f>
        <v>0</v>
      </c>
      <c r="AP486" s="28"/>
      <c r="AQ486" s="28" t="n">
        <f aca="false">AP486*$M486</f>
        <v>0</v>
      </c>
      <c r="AR486" s="28"/>
      <c r="AS486" s="28" t="n">
        <f aca="false">AR486*$M486</f>
        <v>0</v>
      </c>
      <c r="AT486" s="28"/>
      <c r="AU486" s="28" t="n">
        <f aca="false">AT486*$M486</f>
        <v>0</v>
      </c>
      <c r="AV486" s="28"/>
      <c r="AW486" s="28" t="n">
        <f aca="false">AV486*$M486</f>
        <v>0</v>
      </c>
      <c r="AX486" s="28"/>
      <c r="AY486" s="28" t="n">
        <f aca="false">AX486*$M486</f>
        <v>0</v>
      </c>
      <c r="AZ486" s="30" t="n">
        <f aca="false">9675/100</f>
        <v>96.75</v>
      </c>
      <c r="BA486" s="11" t="n">
        <v>2515</v>
      </c>
      <c r="BB486" s="31" t="n">
        <f aca="false">SUM(Q486,S486,U486,W486,Y486,AA486,AC486,AE486,AG486,AI486,AK486,AM486,AO486,AQ486,AS486,AU486,AW486,AY486)</f>
        <v>2515</v>
      </c>
      <c r="BC486" s="28" t="n">
        <f aca="false">BA486-BB486</f>
        <v>0</v>
      </c>
      <c r="BD486" s="32" t="n">
        <f aca="false">SUM(P486,R486,T486,V486,X486,Z486,AB486,AD486,AF486,AH486,AJ486,AL486,AN486,AP486,AR486,AT486,AV486,AX486)</f>
        <v>96.75</v>
      </c>
      <c r="BE486" s="33" t="n">
        <f aca="false">AZ486-BD486</f>
        <v>0</v>
      </c>
      <c r="BF486" s="34" t="n">
        <f aca="false">BD486*M486</f>
        <v>2515.5</v>
      </c>
      <c r="BG486" s="35" t="n">
        <f aca="false">BA486-BF486</f>
        <v>-0.5</v>
      </c>
      <c r="BH486" s="19" t="str">
        <f aca="false">IF(BG486=0,"",IF(BG486&lt;&gt;BA486,"erreur de calcul",IF(BD486&lt;&gt;0,"pas de prix",IF(M486&lt;&gt; 0,"pas de quantité","pas de prix, ni de quantité"))))</f>
        <v>erreur de calcul</v>
      </c>
      <c r="BI486" s="19"/>
    </row>
    <row r="487" customFormat="false" ht="16" hidden="false" customHeight="false" outlineLevel="0" collapsed="false">
      <c r="A487" s="0" t="n">
        <v>9</v>
      </c>
      <c r="B487" s="8" t="s">
        <v>24</v>
      </c>
      <c r="C487" s="9" t="s">
        <v>25</v>
      </c>
      <c r="D487" s="9" t="s">
        <v>26</v>
      </c>
      <c r="E487" s="10" t="n">
        <v>1789</v>
      </c>
      <c r="F487" s="9" t="s">
        <v>27</v>
      </c>
      <c r="G487" s="9" t="s">
        <v>27</v>
      </c>
      <c r="H487" s="11" t="n">
        <v>22</v>
      </c>
      <c r="I487" s="11" t="s">
        <v>210</v>
      </c>
      <c r="J487" s="14" t="n">
        <v>8</v>
      </c>
      <c r="K487" s="14" t="n">
        <v>15</v>
      </c>
      <c r="L487" s="16"/>
      <c r="M487" s="27" t="n">
        <f aca="false">J487+(K487/20)+(L487/240)</f>
        <v>8.75</v>
      </c>
      <c r="N487" s="17" t="s">
        <v>66</v>
      </c>
      <c r="O487" s="11"/>
      <c r="P487" s="28"/>
      <c r="Q487" s="28" t="n">
        <f aca="false">P487*$M487</f>
        <v>0</v>
      </c>
      <c r="R487" s="28"/>
      <c r="S487" s="28" t="n">
        <f aca="false">R487*$M487</f>
        <v>0</v>
      </c>
      <c r="T487" s="28" t="n">
        <v>2562</v>
      </c>
      <c r="U487" s="36" t="n">
        <v>21777</v>
      </c>
      <c r="V487" s="28" t="n">
        <v>127</v>
      </c>
      <c r="W487" s="28" t="n">
        <v>1111</v>
      </c>
      <c r="X487" s="28" t="n">
        <v>1945</v>
      </c>
      <c r="Y487" s="28" t="n">
        <v>17018</v>
      </c>
      <c r="Z487" s="28"/>
      <c r="AA487" s="28" t="n">
        <f aca="false">Z487*$M487</f>
        <v>0</v>
      </c>
      <c r="AB487" s="28"/>
      <c r="AC487" s="28" t="n">
        <f aca="false">AB487*$M487</f>
        <v>0</v>
      </c>
      <c r="AD487" s="28"/>
      <c r="AE487" s="28" t="n">
        <f aca="false">AD487*$M487</f>
        <v>0</v>
      </c>
      <c r="AF487" s="28"/>
      <c r="AG487" s="28" t="n">
        <f aca="false">AF487*$M487</f>
        <v>0</v>
      </c>
      <c r="AH487" s="28"/>
      <c r="AI487" s="28" t="n">
        <f aca="false">AH487*$M487</f>
        <v>0</v>
      </c>
      <c r="AJ487" s="28" t="n">
        <v>3538</v>
      </c>
      <c r="AK487" s="36" t="n">
        <v>30073</v>
      </c>
      <c r="AL487" s="28"/>
      <c r="AM487" s="28" t="n">
        <f aca="false">AL487*$M487</f>
        <v>0</v>
      </c>
      <c r="AN487" s="28"/>
      <c r="AO487" s="28" t="n">
        <f aca="false">AN487*$M487</f>
        <v>0</v>
      </c>
      <c r="AP487" s="28"/>
      <c r="AQ487" s="28" t="n">
        <f aca="false">AP487*$M487</f>
        <v>0</v>
      </c>
      <c r="AR487" s="28"/>
      <c r="AS487" s="28" t="n">
        <f aca="false">AR487*$M487</f>
        <v>0</v>
      </c>
      <c r="AT487" s="28"/>
      <c r="AU487" s="28" t="n">
        <f aca="false">AT487*$M487</f>
        <v>0</v>
      </c>
      <c r="AV487" s="28"/>
      <c r="AW487" s="28" t="n">
        <f aca="false">AV487*$M487</f>
        <v>0</v>
      </c>
      <c r="AX487" s="28" t="n">
        <v>11559</v>
      </c>
      <c r="AY487" s="28" t="n">
        <v>101141</v>
      </c>
      <c r="AZ487" s="30" t="n">
        <v>19731</v>
      </c>
      <c r="BA487" s="11" t="n">
        <v>171120</v>
      </c>
      <c r="BB487" s="31" t="n">
        <f aca="false">SUM(Q487,S487,U487,W487,Y487,AA487,AC487,AE487,AG487,AI487,AK487,AM487,AO487,AQ487,AS487,AU487,AW487,AY487)</f>
        <v>171120</v>
      </c>
      <c r="BC487" s="28" t="n">
        <f aca="false">BA487-BB487</f>
        <v>0</v>
      </c>
      <c r="BD487" s="32" t="n">
        <f aca="false">SUM(P487,R487,T487,V487,X487,Z487,AB487,AD487,AF487,AH487,AJ487,AL487,AN487,AP487,AR487,AT487,AV487,AX487)</f>
        <v>19731</v>
      </c>
      <c r="BE487" s="33" t="n">
        <f aca="false">AZ487-BD487</f>
        <v>0</v>
      </c>
      <c r="BF487" s="34" t="n">
        <f aca="false">BD487*M487</f>
        <v>172646.25</v>
      </c>
      <c r="BG487" s="35" t="n">
        <f aca="false">BA487-BF487</f>
        <v>-1526.25</v>
      </c>
      <c r="BH487" s="19" t="str">
        <f aca="false">IF(BG487=0,"",IF(BG487&lt;&gt;BA487,"erreur de calcul",IF(BD487&lt;&gt;0,"pas de prix",IF(M487&lt;&gt; 0,"pas de quantité","pas de prix, ni de quantité"))))</f>
        <v>erreur de calcul</v>
      </c>
      <c r="BI487" s="19"/>
    </row>
    <row r="488" customFormat="false" ht="16" hidden="false" customHeight="false" outlineLevel="0" collapsed="false">
      <c r="A488" s="0" t="n">
        <v>10</v>
      </c>
      <c r="B488" s="8" t="s">
        <v>24</v>
      </c>
      <c r="C488" s="9" t="s">
        <v>25</v>
      </c>
      <c r="D488" s="9" t="s">
        <v>26</v>
      </c>
      <c r="E488" s="10" t="n">
        <v>1789</v>
      </c>
      <c r="F488" s="9" t="s">
        <v>27</v>
      </c>
      <c r="G488" s="9" t="s">
        <v>27</v>
      </c>
      <c r="H488" s="11" t="n">
        <v>22</v>
      </c>
      <c r="I488" s="11" t="s">
        <v>211</v>
      </c>
      <c r="J488" s="14" t="n">
        <v>11</v>
      </c>
      <c r="K488" s="14"/>
      <c r="L488" s="16"/>
      <c r="M488" s="27" t="n">
        <f aca="false">J488+(K488/20)+(L488/240)</f>
        <v>11</v>
      </c>
      <c r="N488" s="17" t="s">
        <v>66</v>
      </c>
      <c r="O488" s="11"/>
      <c r="P488" s="28" t="n">
        <v>95190</v>
      </c>
      <c r="Q488" s="28" t="n">
        <v>1047090</v>
      </c>
      <c r="R488" s="28"/>
      <c r="S488" s="28" t="n">
        <f aca="false">R488*$M488</f>
        <v>0</v>
      </c>
      <c r="T488" s="28"/>
      <c r="U488" s="28" t="n">
        <f aca="false">T488*$M488</f>
        <v>0</v>
      </c>
      <c r="V488" s="28"/>
      <c r="W488" s="28" t="n">
        <f aca="false">V488*$M488</f>
        <v>0</v>
      </c>
      <c r="X488" s="28"/>
      <c r="Y488" s="28" t="n">
        <f aca="false">X488*$M488</f>
        <v>0</v>
      </c>
      <c r="Z488" s="28"/>
      <c r="AA488" s="28" t="n">
        <f aca="false">Z488*$M488</f>
        <v>0</v>
      </c>
      <c r="AB488" s="28"/>
      <c r="AC488" s="28" t="n">
        <f aca="false">AB488*$M488</f>
        <v>0</v>
      </c>
      <c r="AD488" s="28"/>
      <c r="AE488" s="28" t="n">
        <f aca="false">AD488*$M488</f>
        <v>0</v>
      </c>
      <c r="AF488" s="28"/>
      <c r="AG488" s="28" t="n">
        <f aca="false">AF488*$M488</f>
        <v>0</v>
      </c>
      <c r="AH488" s="28"/>
      <c r="AI488" s="28" t="n">
        <f aca="false">AH488*$M488</f>
        <v>0</v>
      </c>
      <c r="AJ488" s="28"/>
      <c r="AK488" s="28" t="n">
        <f aca="false">AJ488*$M488</f>
        <v>0</v>
      </c>
      <c r="AL488" s="28"/>
      <c r="AM488" s="28" t="n">
        <f aca="false">AL488*$M488</f>
        <v>0</v>
      </c>
      <c r="AN488" s="28"/>
      <c r="AO488" s="28" t="n">
        <f aca="false">AN488*$M488</f>
        <v>0</v>
      </c>
      <c r="AP488" s="28"/>
      <c r="AQ488" s="28" t="n">
        <f aca="false">AP488*$M488</f>
        <v>0</v>
      </c>
      <c r="AR488" s="28"/>
      <c r="AS488" s="28" t="n">
        <f aca="false">AR488*$M488</f>
        <v>0</v>
      </c>
      <c r="AT488" s="28"/>
      <c r="AU488" s="28" t="n">
        <f aca="false">AT488*$M488</f>
        <v>0</v>
      </c>
      <c r="AV488" s="28"/>
      <c r="AW488" s="28" t="n">
        <f aca="false">AV488*$M488</f>
        <v>0</v>
      </c>
      <c r="AX488" s="28"/>
      <c r="AY488" s="28" t="n">
        <f aca="false">AX488*$M488</f>
        <v>0</v>
      </c>
      <c r="AZ488" s="30" t="n">
        <v>95190</v>
      </c>
      <c r="BA488" s="11" t="n">
        <v>1047090</v>
      </c>
      <c r="BB488" s="31" t="n">
        <f aca="false">SUM(Q488,S488,U488,W488,Y488,AA488,AC488,AE488,AG488,AI488,AK488,AM488,AO488,AQ488,AS488,AU488,AW488,AY488)</f>
        <v>1047090</v>
      </c>
      <c r="BC488" s="28" t="n">
        <f aca="false">BA488-BB488</f>
        <v>0</v>
      </c>
      <c r="BD488" s="32" t="n">
        <f aca="false">SUM(P488,R488,T488,V488,X488,Z488,AB488,AD488,AF488,AH488,AJ488,AL488,AN488,AP488,AR488,AT488,AV488,AX488)</f>
        <v>95190</v>
      </c>
      <c r="BE488" s="33" t="n">
        <f aca="false">AZ488-BD488</f>
        <v>0</v>
      </c>
      <c r="BF488" s="34" t="n">
        <f aca="false">BD488*M488</f>
        <v>1047090</v>
      </c>
      <c r="BG488" s="35" t="n">
        <f aca="false">BA488-BF488</f>
        <v>0</v>
      </c>
      <c r="BH488" s="19" t="str">
        <f aca="false">IF(BG488=0,"",IF(BG488&lt;&gt;BA488,"erreur de calcul",IF(BD488&lt;&gt;0,"pas de prix",IF(M488&lt;&gt; 0,"pas de quantité","pas de prix, ni de quantité"))))</f>
        <v/>
      </c>
      <c r="BI488" s="19"/>
    </row>
    <row r="489" customFormat="false" ht="16" hidden="false" customHeight="false" outlineLevel="0" collapsed="false">
      <c r="A489" s="0" t="n">
        <v>11</v>
      </c>
      <c r="B489" s="8" t="s">
        <v>24</v>
      </c>
      <c r="C489" s="9" t="s">
        <v>25</v>
      </c>
      <c r="D489" s="9" t="s">
        <v>26</v>
      </c>
      <c r="E489" s="10" t="n">
        <v>1789</v>
      </c>
      <c r="F489" s="9" t="s">
        <v>27</v>
      </c>
      <c r="G489" s="9" t="s">
        <v>27</v>
      </c>
      <c r="H489" s="11" t="n">
        <v>22</v>
      </c>
      <c r="I489" s="40" t="s">
        <v>212</v>
      </c>
      <c r="J489" s="14" t="n">
        <v>75</v>
      </c>
      <c r="K489" s="14"/>
      <c r="L489" s="16"/>
      <c r="M489" s="27" t="n">
        <f aca="false">J489+(K489/20)+(L489/240)</f>
        <v>75</v>
      </c>
      <c r="N489" s="17" t="s">
        <v>64</v>
      </c>
      <c r="O489" s="11"/>
      <c r="P489" s="28"/>
      <c r="Q489" s="28" t="n">
        <f aca="false">P489*$M489</f>
        <v>0</v>
      </c>
      <c r="R489" s="28"/>
      <c r="S489" s="28" t="n">
        <f aca="false">R489*$M489</f>
        <v>0</v>
      </c>
      <c r="T489" s="28"/>
      <c r="U489" s="28" t="n">
        <f aca="false">T489*$M489</f>
        <v>0</v>
      </c>
      <c r="V489" s="28"/>
      <c r="W489" s="28" t="n">
        <f aca="false">V489*$M489</f>
        <v>0</v>
      </c>
      <c r="X489" s="28"/>
      <c r="Y489" s="28" t="n">
        <f aca="false">X489*$M489</f>
        <v>0</v>
      </c>
      <c r="Z489" s="28"/>
      <c r="AA489" s="28" t="n">
        <f aca="false">Z489*$M489</f>
        <v>0</v>
      </c>
      <c r="AB489" s="28"/>
      <c r="AC489" s="28" t="n">
        <f aca="false">AB489*$M489</f>
        <v>0</v>
      </c>
      <c r="AD489" s="28"/>
      <c r="AE489" s="28" t="n">
        <f aca="false">AD489*$M489</f>
        <v>0</v>
      </c>
      <c r="AF489" s="28"/>
      <c r="AG489" s="28" t="n">
        <f aca="false">AF489*$M489</f>
        <v>0</v>
      </c>
      <c r="AH489" s="28"/>
      <c r="AI489" s="28" t="n">
        <f aca="false">AH489*$M489</f>
        <v>0</v>
      </c>
      <c r="AJ489" s="28" t="n">
        <f aca="false">2372/100</f>
        <v>23.72</v>
      </c>
      <c r="AK489" s="28" t="n">
        <v>1779</v>
      </c>
      <c r="AL489" s="28"/>
      <c r="AM489" s="28" t="n">
        <f aca="false">AL489*$M489</f>
        <v>0</v>
      </c>
      <c r="AN489" s="28"/>
      <c r="AO489" s="28" t="n">
        <f aca="false">AN489*$M489</f>
        <v>0</v>
      </c>
      <c r="AP489" s="28"/>
      <c r="AQ489" s="28" t="n">
        <f aca="false">AP489*$M489</f>
        <v>0</v>
      </c>
      <c r="AR489" s="28"/>
      <c r="AS489" s="28" t="n">
        <f aca="false">AR489*$M489</f>
        <v>0</v>
      </c>
      <c r="AT489" s="28"/>
      <c r="AU489" s="28" t="n">
        <f aca="false">AT489*$M489</f>
        <v>0</v>
      </c>
      <c r="AV489" s="28"/>
      <c r="AW489" s="28" t="n">
        <f aca="false">AV489*$M489</f>
        <v>0</v>
      </c>
      <c r="AX489" s="28"/>
      <c r="AY489" s="28" t="n">
        <f aca="false">AX489*$M489</f>
        <v>0</v>
      </c>
      <c r="AZ489" s="30" t="n">
        <f aca="false">2372/100</f>
        <v>23.72</v>
      </c>
      <c r="BA489" s="11" t="n">
        <v>1779</v>
      </c>
      <c r="BB489" s="31" t="n">
        <f aca="false">SUM(Q489,S489,U489,W489,Y489,AA489,AC489,AE489,AG489,AI489,AK489,AM489,AO489,AQ489,AS489,AU489,AW489,AY489)</f>
        <v>1779</v>
      </c>
      <c r="BC489" s="28" t="n">
        <f aca="false">BA489-BB489</f>
        <v>0</v>
      </c>
      <c r="BD489" s="32" t="n">
        <f aca="false">SUM(P489,R489,T489,V489,X489,Z489,AB489,AD489,AF489,AH489,AJ489,AL489,AN489,AP489,AR489,AT489,AV489,AX489)</f>
        <v>23.72</v>
      </c>
      <c r="BE489" s="33" t="n">
        <f aca="false">AZ489-BD489</f>
        <v>0</v>
      </c>
      <c r="BF489" s="34" t="n">
        <f aca="false">BD489*M489</f>
        <v>1779</v>
      </c>
      <c r="BG489" s="35" t="n">
        <f aca="false">BA489-BF489</f>
        <v>0</v>
      </c>
      <c r="BH489" s="19" t="str">
        <f aca="false">IF(BG489=0,"",IF(BG489&lt;&gt;BA489,"erreur de calcul",IF(BD489&lt;&gt;0,"pas de prix",IF(M489&lt;&gt; 0,"pas de quantité","pas de prix, ni de quantité"))))</f>
        <v/>
      </c>
      <c r="BI489" s="19"/>
    </row>
    <row r="490" customFormat="false" ht="16" hidden="false" customHeight="false" outlineLevel="0" collapsed="false">
      <c r="A490" s="0" t="n">
        <v>12</v>
      </c>
      <c r="B490" s="8" t="s">
        <v>24</v>
      </c>
      <c r="C490" s="9" t="s">
        <v>25</v>
      </c>
      <c r="D490" s="9" t="s">
        <v>26</v>
      </c>
      <c r="E490" s="10" t="n">
        <v>1789</v>
      </c>
      <c r="F490" s="9" t="s">
        <v>27</v>
      </c>
      <c r="G490" s="9" t="s">
        <v>27</v>
      </c>
      <c r="H490" s="11" t="n">
        <v>22</v>
      </c>
      <c r="I490" s="11" t="s">
        <v>213</v>
      </c>
      <c r="J490" s="14" t="n">
        <v>31</v>
      </c>
      <c r="K490" s="14"/>
      <c r="L490" s="16"/>
      <c r="M490" s="27" t="n">
        <f aca="false">J490+(K490/20)+(L490/240)</f>
        <v>31</v>
      </c>
      <c r="N490" s="17" t="s">
        <v>64</v>
      </c>
      <c r="O490" s="11"/>
      <c r="P490" s="28"/>
      <c r="Q490" s="28" t="n">
        <f aca="false">P490*$M490</f>
        <v>0</v>
      </c>
      <c r="R490" s="28"/>
      <c r="S490" s="28" t="n">
        <f aca="false">R490*$M490</f>
        <v>0</v>
      </c>
      <c r="T490" s="28"/>
      <c r="U490" s="28" t="n">
        <f aca="false">T490*$M490</f>
        <v>0</v>
      </c>
      <c r="V490" s="28"/>
      <c r="W490" s="28" t="n">
        <f aca="false">V490*$M490</f>
        <v>0</v>
      </c>
      <c r="X490" s="28" t="n">
        <f aca="false">18202/100</f>
        <v>182.02</v>
      </c>
      <c r="Y490" s="28" t="n">
        <v>5643</v>
      </c>
      <c r="Z490" s="28"/>
      <c r="AA490" s="28" t="n">
        <f aca="false">Z490*$M490</f>
        <v>0</v>
      </c>
      <c r="AB490" s="28"/>
      <c r="AC490" s="28" t="n">
        <f aca="false">AB490*$M490</f>
        <v>0</v>
      </c>
      <c r="AD490" s="28"/>
      <c r="AE490" s="28" t="n">
        <f aca="false">AD490*$M490</f>
        <v>0</v>
      </c>
      <c r="AF490" s="28"/>
      <c r="AG490" s="28" t="n">
        <f aca="false">AF490*$M490</f>
        <v>0</v>
      </c>
      <c r="AH490" s="28"/>
      <c r="AI490" s="28" t="n">
        <f aca="false">AH490*$M490</f>
        <v>0</v>
      </c>
      <c r="AJ490" s="28"/>
      <c r="AK490" s="28" t="n">
        <f aca="false">AJ490*$M490</f>
        <v>0</v>
      </c>
      <c r="AL490" s="28"/>
      <c r="AM490" s="28" t="n">
        <f aca="false">AL490*$M490</f>
        <v>0</v>
      </c>
      <c r="AN490" s="28"/>
      <c r="AO490" s="28" t="n">
        <f aca="false">AN490*$M490</f>
        <v>0</v>
      </c>
      <c r="AP490" s="28"/>
      <c r="AQ490" s="28" t="n">
        <f aca="false">AP490*$M490</f>
        <v>0</v>
      </c>
      <c r="AR490" s="28"/>
      <c r="AS490" s="28" t="n">
        <f aca="false">AR490*$M490</f>
        <v>0</v>
      </c>
      <c r="AT490" s="28"/>
      <c r="AU490" s="28" t="n">
        <f aca="false">AT490*$M490</f>
        <v>0</v>
      </c>
      <c r="AV490" s="28"/>
      <c r="AW490" s="28" t="n">
        <f aca="false">AV490*$M490</f>
        <v>0</v>
      </c>
      <c r="AX490" s="28"/>
      <c r="AY490" s="28" t="n">
        <f aca="false">AX490*$M490</f>
        <v>0</v>
      </c>
      <c r="AZ490" s="30" t="n">
        <f aca="false">18202/100</f>
        <v>182.02</v>
      </c>
      <c r="BA490" s="11" t="n">
        <v>5643</v>
      </c>
      <c r="BB490" s="31" t="n">
        <f aca="false">SUM(Q490,S490,U490,W490,Y490,AA490,AC490,AE490,AG490,AI490,AK490,AM490,AO490,AQ490,AS490,AU490,AW490,AY490)</f>
        <v>5643</v>
      </c>
      <c r="BC490" s="28" t="n">
        <f aca="false">BA490-BB490</f>
        <v>0</v>
      </c>
      <c r="BD490" s="32" t="n">
        <f aca="false">SUM(P490,R490,T490,V490,X490,Z490,AB490,AD490,AF490,AH490,AJ490,AL490,AN490,AP490,AR490,AT490,AV490,AX490)</f>
        <v>182.02</v>
      </c>
      <c r="BE490" s="33" t="n">
        <f aca="false">AZ490-BD490</f>
        <v>0</v>
      </c>
      <c r="BF490" s="34" t="n">
        <f aca="false">BD490*M490</f>
        <v>5642.62</v>
      </c>
      <c r="BG490" s="35" t="n">
        <f aca="false">BA490-BF490</f>
        <v>0.380000000000109</v>
      </c>
      <c r="BH490" s="19" t="str">
        <f aca="false">IF(BG490=0,"",IF(BG490&lt;&gt;BA490,"erreur de calcul",IF(BD490&lt;&gt;0,"pas de prix",IF(M490&lt;&gt; 0,"pas de quantité","pas de prix, ni de quantité"))))</f>
        <v>erreur de calcul</v>
      </c>
      <c r="BI490" s="19"/>
    </row>
    <row r="491" customFormat="false" ht="16" hidden="false" customHeight="false" outlineLevel="0" collapsed="false">
      <c r="A491" s="0" t="n">
        <v>13</v>
      </c>
      <c r="B491" s="8" t="s">
        <v>24</v>
      </c>
      <c r="C491" s="9" t="s">
        <v>25</v>
      </c>
      <c r="D491" s="9" t="s">
        <v>26</v>
      </c>
      <c r="E491" s="10" t="n">
        <v>1789</v>
      </c>
      <c r="F491" s="9" t="s">
        <v>27</v>
      </c>
      <c r="G491" s="9" t="s">
        <v>27</v>
      </c>
      <c r="H491" s="11" t="n">
        <v>22</v>
      </c>
      <c r="I491" s="11" t="s">
        <v>214</v>
      </c>
      <c r="J491" s="14"/>
      <c r="K491" s="14" t="n">
        <v>20</v>
      </c>
      <c r="L491" s="16"/>
      <c r="M491" s="27" t="n">
        <f aca="false">J491+(K491/20)+(L491/240)</f>
        <v>1</v>
      </c>
      <c r="N491" s="17" t="s">
        <v>66</v>
      </c>
      <c r="O491" s="11"/>
      <c r="P491" s="28"/>
      <c r="Q491" s="28" t="n">
        <f aca="false">P491*$M491</f>
        <v>0</v>
      </c>
      <c r="R491" s="28"/>
      <c r="S491" s="28" t="n">
        <f aca="false">R491*$M491</f>
        <v>0</v>
      </c>
      <c r="T491" s="28"/>
      <c r="U491" s="28" t="n">
        <f aca="false">T491*$M491</f>
        <v>0</v>
      </c>
      <c r="V491" s="28"/>
      <c r="W491" s="28" t="n">
        <f aca="false">V491*$M491</f>
        <v>0</v>
      </c>
      <c r="X491" s="28"/>
      <c r="Y491" s="28" t="n">
        <f aca="false">X491*$M491</f>
        <v>0</v>
      </c>
      <c r="Z491" s="28"/>
      <c r="AA491" s="28" t="n">
        <f aca="false">Z491*$M491</f>
        <v>0</v>
      </c>
      <c r="AB491" s="28"/>
      <c r="AC491" s="28" t="n">
        <f aca="false">AB491*$M491</f>
        <v>0</v>
      </c>
      <c r="AD491" s="28" t="n">
        <v>2831</v>
      </c>
      <c r="AE491" s="28" t="n">
        <v>2831</v>
      </c>
      <c r="AF491" s="28"/>
      <c r="AG491" s="28" t="n">
        <f aca="false">AF491*$M491</f>
        <v>0</v>
      </c>
      <c r="AH491" s="28"/>
      <c r="AI491" s="28" t="n">
        <f aca="false">AH491*$M491</f>
        <v>0</v>
      </c>
      <c r="AJ491" s="28"/>
      <c r="AK491" s="28" t="n">
        <f aca="false">AJ491*$M491</f>
        <v>0</v>
      </c>
      <c r="AL491" s="28"/>
      <c r="AM491" s="28" t="n">
        <f aca="false">AL491*$M491</f>
        <v>0</v>
      </c>
      <c r="AN491" s="28"/>
      <c r="AO491" s="28" t="n">
        <f aca="false">AN491*$M491</f>
        <v>0</v>
      </c>
      <c r="AP491" s="28"/>
      <c r="AQ491" s="28" t="n">
        <f aca="false">AP491*$M491</f>
        <v>0</v>
      </c>
      <c r="AR491" s="28"/>
      <c r="AS491" s="28" t="n">
        <f aca="false">AR491*$M491</f>
        <v>0</v>
      </c>
      <c r="AT491" s="28"/>
      <c r="AU491" s="28" t="n">
        <f aca="false">AT491*$M491</f>
        <v>0</v>
      </c>
      <c r="AV491" s="28"/>
      <c r="AW491" s="28" t="n">
        <f aca="false">AV491*$M491</f>
        <v>0</v>
      </c>
      <c r="AX491" s="28"/>
      <c r="AY491" s="28" t="n">
        <f aca="false">AX491*$M491</f>
        <v>0</v>
      </c>
      <c r="AZ491" s="30" t="n">
        <v>2831</v>
      </c>
      <c r="BA491" s="11" t="n">
        <v>2831</v>
      </c>
      <c r="BB491" s="31" t="n">
        <f aca="false">SUM(Q491,S491,U491,W491,Y491,AA491,AC491,AE491,AG491,AI491,AK491,AM491,AO491,AQ491,AS491,AU491,AW491,AY491)</f>
        <v>2831</v>
      </c>
      <c r="BC491" s="28" t="n">
        <f aca="false">BA491-BB491</f>
        <v>0</v>
      </c>
      <c r="BD491" s="32" t="n">
        <f aca="false">SUM(P491,R491,T491,V491,X491,Z491,AB491,AD491,AF491,AH491,AJ491,AL491,AN491,AP491,AR491,AT491,AV491,AX491)</f>
        <v>2831</v>
      </c>
      <c r="BE491" s="33" t="n">
        <f aca="false">AZ491-BD491</f>
        <v>0</v>
      </c>
      <c r="BF491" s="34" t="n">
        <f aca="false">BD491*M491</f>
        <v>2831</v>
      </c>
      <c r="BG491" s="35" t="n">
        <f aca="false">BA491-BF491</f>
        <v>0</v>
      </c>
      <c r="BH491" s="19" t="str">
        <f aca="false">IF(BG491=0,"",IF(BG491&lt;&gt;BA491,"erreur de calcul",IF(BD491&lt;&gt;0,"pas de prix",IF(M491&lt;&gt; 0,"pas de quantité","pas de prix, ni de quantité"))))</f>
        <v/>
      </c>
      <c r="BI491" s="19"/>
    </row>
    <row r="492" customFormat="false" ht="16" hidden="false" customHeight="false" outlineLevel="0" collapsed="false">
      <c r="A492" s="0" t="n">
        <v>14</v>
      </c>
      <c r="B492" s="8" t="s">
        <v>24</v>
      </c>
      <c r="C492" s="9" t="s">
        <v>25</v>
      </c>
      <c r="D492" s="9" t="s">
        <v>26</v>
      </c>
      <c r="E492" s="10" t="n">
        <v>1789</v>
      </c>
      <c r="F492" s="9" t="s">
        <v>27</v>
      </c>
      <c r="G492" s="9" t="s">
        <v>27</v>
      </c>
      <c r="H492" s="11" t="n">
        <v>22</v>
      </c>
      <c r="I492" s="11" t="s">
        <v>215</v>
      </c>
      <c r="J492" s="14" t="n">
        <v>36</v>
      </c>
      <c r="K492" s="14"/>
      <c r="L492" s="16"/>
      <c r="M492" s="27" t="n">
        <f aca="false">J492+(K492/20)+(L492/240)</f>
        <v>36</v>
      </c>
      <c r="N492" s="17" t="s">
        <v>64</v>
      </c>
      <c r="O492" s="11"/>
      <c r="P492" s="28"/>
      <c r="Q492" s="28" t="n">
        <f aca="false">P492*$M492</f>
        <v>0</v>
      </c>
      <c r="R492" s="28"/>
      <c r="S492" s="28" t="n">
        <f aca="false">R492*$M492</f>
        <v>0</v>
      </c>
      <c r="T492" s="28"/>
      <c r="U492" s="28" t="n">
        <f aca="false">T492*$M492</f>
        <v>0</v>
      </c>
      <c r="V492" s="28"/>
      <c r="W492" s="28" t="n">
        <f aca="false">V492*$M492</f>
        <v>0</v>
      </c>
      <c r="X492" s="28"/>
      <c r="Y492" s="28" t="n">
        <f aca="false">X492*$M492</f>
        <v>0</v>
      </c>
      <c r="Z492" s="28"/>
      <c r="AA492" s="28" t="n">
        <f aca="false">Z492*$M492</f>
        <v>0</v>
      </c>
      <c r="AB492" s="28"/>
      <c r="AC492" s="28" t="n">
        <f aca="false">AB492*$M492</f>
        <v>0</v>
      </c>
      <c r="AD492" s="28"/>
      <c r="AE492" s="28" t="n">
        <f aca="false">AD492*$M492</f>
        <v>0</v>
      </c>
      <c r="AF492" s="28" t="n">
        <f aca="false">92472/100</f>
        <v>924.72</v>
      </c>
      <c r="AG492" s="28" t="n">
        <v>33290</v>
      </c>
      <c r="AH492" s="28" t="n">
        <f aca="false">490633/100</f>
        <v>4906.33</v>
      </c>
      <c r="AI492" s="28" t="n">
        <v>176628</v>
      </c>
      <c r="AJ492" s="28"/>
      <c r="AK492" s="28" t="n">
        <f aca="false">AJ492*$M492</f>
        <v>0</v>
      </c>
      <c r="AL492" s="28"/>
      <c r="AM492" s="28" t="n">
        <f aca="false">AL492*$M492</f>
        <v>0</v>
      </c>
      <c r="AN492" s="28"/>
      <c r="AO492" s="28" t="n">
        <f aca="false">AN492*$M492</f>
        <v>0</v>
      </c>
      <c r="AP492" s="28"/>
      <c r="AQ492" s="28" t="n">
        <f aca="false">AP492*$M492</f>
        <v>0</v>
      </c>
      <c r="AR492" s="28"/>
      <c r="AS492" s="28" t="n">
        <f aca="false">AR492*$M492</f>
        <v>0</v>
      </c>
      <c r="AT492" s="28"/>
      <c r="AU492" s="28" t="n">
        <f aca="false">AT492*$M492</f>
        <v>0</v>
      </c>
      <c r="AV492" s="28"/>
      <c r="AW492" s="28" t="n">
        <f aca="false">AV492*$M492</f>
        <v>0</v>
      </c>
      <c r="AX492" s="28"/>
      <c r="AY492" s="28" t="n">
        <f aca="false">AX492*$M492</f>
        <v>0</v>
      </c>
      <c r="AZ492" s="30" t="n">
        <f aca="false">583105/100</f>
        <v>5831.05</v>
      </c>
      <c r="BA492" s="11" t="n">
        <v>209918</v>
      </c>
      <c r="BB492" s="31" t="n">
        <f aca="false">SUM(Q492,S492,U492,W492,Y492,AA492,AC492,AE492,AG492,AI492,AK492,AM492,AO492,AQ492,AS492,AU492,AW492,AY492)</f>
        <v>209918</v>
      </c>
      <c r="BC492" s="28" t="n">
        <f aca="false">BA492-BB492</f>
        <v>0</v>
      </c>
      <c r="BD492" s="32" t="n">
        <f aca="false">SUM(P492,R492,T492,V492,X492,Z492,AB492,AD492,AF492,AH492,AJ492,AL492,AN492,AP492,AR492,AT492,AV492,AX492)</f>
        <v>5831.05</v>
      </c>
      <c r="BE492" s="33" t="n">
        <f aca="false">AZ492-BD492</f>
        <v>0</v>
      </c>
      <c r="BF492" s="34" t="n">
        <f aca="false">BD492*M492</f>
        <v>209917.8</v>
      </c>
      <c r="BG492" s="35" t="n">
        <f aca="false">BA492-BF492</f>
        <v>0.199999999982538</v>
      </c>
      <c r="BH492" s="19" t="str">
        <f aca="false">IF(BG492=0,"",IF(BG492&lt;&gt;BA492,"erreur de calcul",IF(BD492&lt;&gt;0,"pas de prix",IF(M492&lt;&gt; 0,"pas de quantité","pas de prix, ni de quantité"))))</f>
        <v>erreur de calcul</v>
      </c>
      <c r="BI492" s="19"/>
    </row>
    <row r="493" customFormat="false" ht="16" hidden="false" customHeight="false" outlineLevel="0" collapsed="false">
      <c r="A493" s="0" t="n">
        <v>15</v>
      </c>
      <c r="B493" s="8" t="s">
        <v>24</v>
      </c>
      <c r="C493" s="9" t="s">
        <v>25</v>
      </c>
      <c r="D493" s="9" t="s">
        <v>26</v>
      </c>
      <c r="E493" s="10" t="n">
        <v>1789</v>
      </c>
      <c r="F493" s="9" t="s">
        <v>27</v>
      </c>
      <c r="G493" s="9" t="s">
        <v>27</v>
      </c>
      <c r="H493" s="11" t="n">
        <v>22</v>
      </c>
      <c r="I493" s="11" t="s">
        <v>216</v>
      </c>
      <c r="J493" s="14"/>
      <c r="K493" s="14" t="n">
        <v>22</v>
      </c>
      <c r="L493" s="16"/>
      <c r="M493" s="27" t="n">
        <f aca="false">J493+(K493/20)+(L493/240)</f>
        <v>1.1</v>
      </c>
      <c r="N493" s="17" t="s">
        <v>66</v>
      </c>
      <c r="O493" s="11"/>
      <c r="P493" s="28"/>
      <c r="Q493" s="28" t="n">
        <f aca="false">P493*$M493</f>
        <v>0</v>
      </c>
      <c r="R493" s="28"/>
      <c r="S493" s="28" t="n">
        <f aca="false">R493*$M493</f>
        <v>0</v>
      </c>
      <c r="T493" s="28" t="n">
        <v>2875</v>
      </c>
      <c r="U493" s="28" t="n">
        <v>3162</v>
      </c>
      <c r="V493" s="28"/>
      <c r="W493" s="28" t="n">
        <f aca="false">V493*$M493</f>
        <v>0</v>
      </c>
      <c r="X493" s="28"/>
      <c r="Y493" s="28" t="n">
        <f aca="false">X493*$M493</f>
        <v>0</v>
      </c>
      <c r="Z493" s="28"/>
      <c r="AA493" s="28" t="n">
        <f aca="false">Z493*$M493</f>
        <v>0</v>
      </c>
      <c r="AB493" s="28"/>
      <c r="AC493" s="28" t="n">
        <f aca="false">AB493*$M493</f>
        <v>0</v>
      </c>
      <c r="AD493" s="28"/>
      <c r="AE493" s="28" t="n">
        <f aca="false">AD493*$M493</f>
        <v>0</v>
      </c>
      <c r="AF493" s="28"/>
      <c r="AG493" s="28" t="n">
        <f aca="false">AF493*$M493</f>
        <v>0</v>
      </c>
      <c r="AH493" s="28"/>
      <c r="AI493" s="28" t="n">
        <f aca="false">AH493*$M493</f>
        <v>0</v>
      </c>
      <c r="AJ493" s="28"/>
      <c r="AK493" s="28" t="n">
        <f aca="false">AJ493*$M493</f>
        <v>0</v>
      </c>
      <c r="AL493" s="28"/>
      <c r="AM493" s="28" t="n">
        <f aca="false">AL493*$M493</f>
        <v>0</v>
      </c>
      <c r="AN493" s="28"/>
      <c r="AO493" s="28" t="n">
        <f aca="false">AN493*$M493</f>
        <v>0</v>
      </c>
      <c r="AP493" s="28"/>
      <c r="AQ493" s="28" t="n">
        <f aca="false">AP493*$M493</f>
        <v>0</v>
      </c>
      <c r="AR493" s="28"/>
      <c r="AS493" s="28" t="n">
        <f aca="false">AR493*$M493</f>
        <v>0</v>
      </c>
      <c r="AT493" s="28"/>
      <c r="AU493" s="28" t="n">
        <f aca="false">AT493*$M493</f>
        <v>0</v>
      </c>
      <c r="AV493" s="28"/>
      <c r="AW493" s="28" t="n">
        <f aca="false">AV493*$M493</f>
        <v>0</v>
      </c>
      <c r="AX493" s="28"/>
      <c r="AY493" s="28" t="n">
        <f aca="false">AX493*$M493</f>
        <v>0</v>
      </c>
      <c r="AZ493" s="30" t="n">
        <v>2875</v>
      </c>
      <c r="BA493" s="11" t="n">
        <v>3162</v>
      </c>
      <c r="BB493" s="31" t="n">
        <f aca="false">SUM(Q493,S493,U493,W493,Y493,AA493,AC493,AE493,AG493,AI493,AK493,AM493,AO493,AQ493,AS493,AU493,AW493,AY493)</f>
        <v>3162</v>
      </c>
      <c r="BC493" s="28" t="n">
        <f aca="false">BA493-BB493</f>
        <v>0</v>
      </c>
      <c r="BD493" s="32" t="n">
        <f aca="false">SUM(P493,R493,T493,V493,X493,Z493,AB493,AD493,AF493,AH493,AJ493,AL493,AN493,AP493,AR493,AT493,AV493,AX493)</f>
        <v>2875</v>
      </c>
      <c r="BE493" s="33" t="n">
        <f aca="false">AZ493-BD493</f>
        <v>0</v>
      </c>
      <c r="BF493" s="34" t="n">
        <f aca="false">BD493*M493</f>
        <v>3162.5</v>
      </c>
      <c r="BG493" s="35" t="n">
        <f aca="false">BA493-BF493</f>
        <v>-0.500000000000455</v>
      </c>
      <c r="BH493" s="19" t="str">
        <f aca="false">IF(BG493=0,"",IF(BG493&lt;&gt;BA493,"erreur de calcul",IF(BD493&lt;&gt;0,"pas de prix",IF(M493&lt;&gt; 0,"pas de quantité","pas de prix, ni de quantité"))))</f>
        <v>erreur de calcul</v>
      </c>
      <c r="BI493" s="19"/>
    </row>
    <row r="494" customFormat="false" ht="16" hidden="false" customHeight="false" outlineLevel="0" collapsed="false">
      <c r="A494" s="0" t="n">
        <v>16</v>
      </c>
      <c r="B494" s="8" t="s">
        <v>24</v>
      </c>
      <c r="C494" s="9" t="s">
        <v>25</v>
      </c>
      <c r="D494" s="9" t="s">
        <v>26</v>
      </c>
      <c r="E494" s="10" t="n">
        <v>1789</v>
      </c>
      <c r="F494" s="9" t="s">
        <v>27</v>
      </c>
      <c r="G494" s="9" t="s">
        <v>27</v>
      </c>
      <c r="H494" s="11" t="n">
        <v>22</v>
      </c>
      <c r="I494" s="11" t="s">
        <v>217</v>
      </c>
      <c r="J494" s="14" t="n">
        <v>90</v>
      </c>
      <c r="K494" s="14"/>
      <c r="L494" s="16"/>
      <c r="M494" s="27" t="n">
        <f aca="false">J494+(K494/20)+(L494/240)</f>
        <v>90</v>
      </c>
      <c r="N494" s="17" t="s">
        <v>64</v>
      </c>
      <c r="O494" s="11"/>
      <c r="P494" s="28"/>
      <c r="Q494" s="28" t="n">
        <f aca="false">P494*$M494</f>
        <v>0</v>
      </c>
      <c r="R494" s="28"/>
      <c r="S494" s="28" t="n">
        <f aca="false">R494*$M494</f>
        <v>0</v>
      </c>
      <c r="T494" s="28"/>
      <c r="U494" s="28" t="n">
        <f aca="false">T494*$M494</f>
        <v>0</v>
      </c>
      <c r="V494" s="28"/>
      <c r="W494" s="28" t="n">
        <f aca="false">V494*$M494</f>
        <v>0</v>
      </c>
      <c r="X494" s="28" t="n">
        <f aca="false">2440/100</f>
        <v>24.4</v>
      </c>
      <c r="Y494" s="28" t="n">
        <v>2196</v>
      </c>
      <c r="Z494" s="28"/>
      <c r="AA494" s="28" t="n">
        <f aca="false">Z494*$M494</f>
        <v>0</v>
      </c>
      <c r="AB494" s="28"/>
      <c r="AC494" s="28" t="n">
        <f aca="false">AB494*$M494</f>
        <v>0</v>
      </c>
      <c r="AD494" s="28"/>
      <c r="AE494" s="28" t="n">
        <f aca="false">AD494*$M494</f>
        <v>0</v>
      </c>
      <c r="AF494" s="28"/>
      <c r="AG494" s="28" t="n">
        <f aca="false">AF494*$M494</f>
        <v>0</v>
      </c>
      <c r="AH494" s="28" t="n">
        <f aca="false">524577/100</f>
        <v>5245.77</v>
      </c>
      <c r="AI494" s="28" t="n">
        <v>472116</v>
      </c>
      <c r="AJ494" s="28"/>
      <c r="AK494" s="28" t="n">
        <f aca="false">AJ494*$M494</f>
        <v>0</v>
      </c>
      <c r="AL494" s="28"/>
      <c r="AM494" s="28" t="n">
        <f aca="false">AL494*$M494</f>
        <v>0</v>
      </c>
      <c r="AN494" s="28"/>
      <c r="AO494" s="28" t="n">
        <f aca="false">AN494*$M494</f>
        <v>0</v>
      </c>
      <c r="AP494" s="28"/>
      <c r="AQ494" s="28" t="n">
        <f aca="false">AP494*$M494</f>
        <v>0</v>
      </c>
      <c r="AR494" s="28"/>
      <c r="AS494" s="28" t="n">
        <f aca="false">AR494*$M494</f>
        <v>0</v>
      </c>
      <c r="AT494" s="28"/>
      <c r="AU494" s="28" t="n">
        <f aca="false">AT494*$M494</f>
        <v>0</v>
      </c>
      <c r="AV494" s="28"/>
      <c r="AW494" s="28" t="n">
        <f aca="false">AV494*$M494</f>
        <v>0</v>
      </c>
      <c r="AX494" s="28"/>
      <c r="AY494" s="28" t="n">
        <f aca="false">AX494*$M494</f>
        <v>0</v>
      </c>
      <c r="AZ494" s="30" t="n">
        <f aca="false">526980/100</f>
        <v>5269.8</v>
      </c>
      <c r="BA494" s="11" t="n">
        <v>474312</v>
      </c>
      <c r="BB494" s="31" t="n">
        <f aca="false">SUM(Q494,S494,U494,W494,Y494,AA494,AC494,AE494,AG494,AI494,AK494,AM494,AO494,AQ494,AS494,AU494,AW494,AY494)</f>
        <v>474312</v>
      </c>
      <c r="BC494" s="28" t="n">
        <f aca="false">BA494-BB494</f>
        <v>0</v>
      </c>
      <c r="BD494" s="32" t="n">
        <f aca="false">SUM(P494,R494,T494,V494,X494,Z494,AB494,AD494,AF494,AH494,AJ494,AL494,AN494,AP494,AR494,AT494,AV494,AX494)</f>
        <v>5270.17</v>
      </c>
      <c r="BE494" s="33" t="n">
        <f aca="false">AZ494-BD494</f>
        <v>-0.369999999999891</v>
      </c>
      <c r="BF494" s="34" t="n">
        <f aca="false">BD494*M494</f>
        <v>474315.3</v>
      </c>
      <c r="BG494" s="35" t="n">
        <f aca="false">BA494-BF494</f>
        <v>-3.29999999998836</v>
      </c>
      <c r="BH494" s="19" t="str">
        <f aca="false">IF(BG494=0,"",IF(BG494&lt;&gt;BA494,"erreur de calcul",IF(BD494&lt;&gt;0,"pas de prix",IF(M494&lt;&gt; 0,"pas de quantité","pas de prix, ni de quantité"))))</f>
        <v>erreur de calcul</v>
      </c>
      <c r="BI494" s="19"/>
    </row>
    <row r="495" customFormat="false" ht="16" hidden="false" customHeight="false" outlineLevel="0" collapsed="false">
      <c r="A495" s="0" t="n">
        <v>17</v>
      </c>
      <c r="B495" s="8" t="s">
        <v>24</v>
      </c>
      <c r="C495" s="9" t="s">
        <v>25</v>
      </c>
      <c r="D495" s="9" t="s">
        <v>26</v>
      </c>
      <c r="E495" s="10" t="n">
        <v>1789</v>
      </c>
      <c r="F495" s="9" t="s">
        <v>27</v>
      </c>
      <c r="G495" s="9" t="s">
        <v>27</v>
      </c>
      <c r="H495" s="11" t="n">
        <v>22</v>
      </c>
      <c r="I495" s="11" t="s">
        <v>218</v>
      </c>
      <c r="J495" s="14" t="n">
        <v>15</v>
      </c>
      <c r="K495" s="14"/>
      <c r="L495" s="16"/>
      <c r="M495" s="27" t="n">
        <f aca="false">J495+(K495/20)+(L495/240)</f>
        <v>15</v>
      </c>
      <c r="N495" s="17" t="s">
        <v>64</v>
      </c>
      <c r="O495" s="11"/>
      <c r="P495" s="28" t="n">
        <f aca="false">12250/100</f>
        <v>122.5</v>
      </c>
      <c r="Q495" s="28" t="n">
        <v>1837</v>
      </c>
      <c r="R495" s="28"/>
      <c r="S495" s="28" t="n">
        <f aca="false">R495*$M495</f>
        <v>0</v>
      </c>
      <c r="T495" s="28"/>
      <c r="U495" s="28" t="n">
        <f aca="false">T495*$M495</f>
        <v>0</v>
      </c>
      <c r="V495" s="28" t="n">
        <f aca="false">118493/100</f>
        <v>1184.93</v>
      </c>
      <c r="W495" s="28" t="n">
        <v>17774</v>
      </c>
      <c r="X495" s="28" t="n">
        <f aca="false">16835/100</f>
        <v>168.35</v>
      </c>
      <c r="Y495" s="28" t="n">
        <v>2525</v>
      </c>
      <c r="Z495" s="28"/>
      <c r="AA495" s="28" t="n">
        <f aca="false">Z495*$M495</f>
        <v>0</v>
      </c>
      <c r="AB495" s="28" t="n">
        <f aca="false">268622/100</f>
        <v>2686.22</v>
      </c>
      <c r="AC495" s="28" t="n">
        <v>40293</v>
      </c>
      <c r="AD495" s="28"/>
      <c r="AE495" s="28" t="n">
        <f aca="false">AD495*$M495</f>
        <v>0</v>
      </c>
      <c r="AF495" s="28"/>
      <c r="AG495" s="28" t="n">
        <f aca="false">AF495*$M495</f>
        <v>0</v>
      </c>
      <c r="AH495" s="28" t="n">
        <f aca="false">70164/100</f>
        <v>701.64</v>
      </c>
      <c r="AI495" s="28" t="n">
        <v>10524</v>
      </c>
      <c r="AJ495" s="28"/>
      <c r="AK495" s="28" t="n">
        <f aca="false">AJ495*$M495</f>
        <v>0</v>
      </c>
      <c r="AL495" s="28"/>
      <c r="AM495" s="28" t="n">
        <f aca="false">AL495*$M495</f>
        <v>0</v>
      </c>
      <c r="AN495" s="28"/>
      <c r="AO495" s="28" t="n">
        <f aca="false">AN495*$M495</f>
        <v>0</v>
      </c>
      <c r="AP495" s="28"/>
      <c r="AQ495" s="28" t="n">
        <f aca="false">AP495*$M495</f>
        <v>0</v>
      </c>
      <c r="AR495" s="28"/>
      <c r="AS495" s="28" t="n">
        <f aca="false">AR495*$M495</f>
        <v>0</v>
      </c>
      <c r="AT495" s="28"/>
      <c r="AU495" s="28" t="n">
        <f aca="false">AT495*$M495</f>
        <v>0</v>
      </c>
      <c r="AV495" s="28"/>
      <c r="AW495" s="28" t="n">
        <f aca="false">AV495*$M495</f>
        <v>0</v>
      </c>
      <c r="AX495" s="28"/>
      <c r="AY495" s="28" t="n">
        <f aca="false">AX495*$M495</f>
        <v>0</v>
      </c>
      <c r="AZ495" s="30" t="n">
        <f aca="false">486364/100</f>
        <v>4863.64</v>
      </c>
      <c r="BA495" s="11" t="n">
        <v>72953</v>
      </c>
      <c r="BB495" s="31" t="n">
        <f aca="false">SUM(Q495,S495,U495,W495,Y495,AA495,AC495,AE495,AG495,AI495,AK495,AM495,AO495,AQ495,AS495,AU495,AW495,AY495)</f>
        <v>72953</v>
      </c>
      <c r="BC495" s="28" t="n">
        <f aca="false">BA495-BB495</f>
        <v>0</v>
      </c>
      <c r="BD495" s="32" t="n">
        <f aca="false">SUM(P495,R495,T495,V495,X495,Z495,AB495,AD495,AF495,AH495,AJ495,AL495,AN495,AP495,AR495,AT495,AV495,AX495)</f>
        <v>4863.64</v>
      </c>
      <c r="BE495" s="33" t="n">
        <f aca="false">AZ495-BD495</f>
        <v>0</v>
      </c>
      <c r="BF495" s="34" t="n">
        <f aca="false">BD495*M495</f>
        <v>72954.6</v>
      </c>
      <c r="BG495" s="35" t="n">
        <f aca="false">BA495-BF495</f>
        <v>-1.60000000000582</v>
      </c>
      <c r="BH495" s="19" t="str">
        <f aca="false">IF(BG495=0,"",IF(BG495&lt;&gt;BA495,"erreur de calcul",IF(BD495&lt;&gt;0,"pas de prix",IF(M495&lt;&gt; 0,"pas de quantité","pas de prix, ni de quantité"))))</f>
        <v>erreur de calcul</v>
      </c>
      <c r="BI495" s="19"/>
    </row>
    <row r="496" customFormat="false" ht="16" hidden="false" customHeight="false" outlineLevel="0" collapsed="false">
      <c r="A496" s="0" t="n">
        <v>18</v>
      </c>
      <c r="B496" s="8" t="s">
        <v>24</v>
      </c>
      <c r="C496" s="9" t="s">
        <v>25</v>
      </c>
      <c r="D496" s="9" t="s">
        <v>26</v>
      </c>
      <c r="E496" s="10" t="n">
        <v>1789</v>
      </c>
      <c r="F496" s="9" t="s">
        <v>27</v>
      </c>
      <c r="G496" s="9" t="s">
        <v>27</v>
      </c>
      <c r="H496" s="11" t="n">
        <v>22</v>
      </c>
      <c r="I496" s="11" t="s">
        <v>219</v>
      </c>
      <c r="J496" s="14" t="n">
        <v>12</v>
      </c>
      <c r="K496" s="14"/>
      <c r="L496" s="16"/>
      <c r="M496" s="27" t="n">
        <f aca="false">J496+(K496/20)+(L496/240)</f>
        <v>12</v>
      </c>
      <c r="N496" s="17" t="s">
        <v>64</v>
      </c>
      <c r="O496" s="11"/>
      <c r="P496" s="28"/>
      <c r="Q496" s="28" t="n">
        <f aca="false">P496*$M496</f>
        <v>0</v>
      </c>
      <c r="R496" s="28"/>
      <c r="S496" s="28" t="n">
        <f aca="false">R496*$M496</f>
        <v>0</v>
      </c>
      <c r="T496" s="28"/>
      <c r="U496" s="28" t="n">
        <f aca="false">T496*$M496</f>
        <v>0</v>
      </c>
      <c r="V496" s="28" t="n">
        <f aca="false">26072/100</f>
        <v>260.72</v>
      </c>
      <c r="W496" s="28" t="n">
        <v>3129</v>
      </c>
      <c r="X496" s="28" t="n">
        <f aca="false">16340/100</f>
        <v>163.4</v>
      </c>
      <c r="Y496" s="28" t="n">
        <v>1961</v>
      </c>
      <c r="Z496" s="28"/>
      <c r="AA496" s="28" t="n">
        <f aca="false">Z496*$M496</f>
        <v>0</v>
      </c>
      <c r="AB496" s="28" t="n">
        <f aca="false">76351/100</f>
        <v>763.51</v>
      </c>
      <c r="AC496" s="28" t="n">
        <v>9162</v>
      </c>
      <c r="AD496" s="28"/>
      <c r="AE496" s="28" t="n">
        <f aca="false">AD496*$M496</f>
        <v>0</v>
      </c>
      <c r="AF496" s="28"/>
      <c r="AG496" s="28" t="n">
        <f aca="false">AF496*$M496</f>
        <v>0</v>
      </c>
      <c r="AH496" s="28"/>
      <c r="AI496" s="28" t="n">
        <f aca="false">AH496*$M496</f>
        <v>0</v>
      </c>
      <c r="AJ496" s="28"/>
      <c r="AK496" s="28" t="n">
        <f aca="false">AJ496*$M496</f>
        <v>0</v>
      </c>
      <c r="AL496" s="28"/>
      <c r="AM496" s="28" t="n">
        <f aca="false">AL496*$M496</f>
        <v>0</v>
      </c>
      <c r="AN496" s="28"/>
      <c r="AO496" s="28" t="n">
        <f aca="false">AN496*$M496</f>
        <v>0</v>
      </c>
      <c r="AP496" s="28"/>
      <c r="AQ496" s="28" t="n">
        <f aca="false">AP496*$M496</f>
        <v>0</v>
      </c>
      <c r="AR496" s="28"/>
      <c r="AS496" s="28" t="n">
        <f aca="false">AR496*$M496</f>
        <v>0</v>
      </c>
      <c r="AT496" s="28"/>
      <c r="AU496" s="28" t="n">
        <f aca="false">AT496*$M496</f>
        <v>0</v>
      </c>
      <c r="AV496" s="28"/>
      <c r="AW496" s="28" t="n">
        <f aca="false">AV496*$M496</f>
        <v>0</v>
      </c>
      <c r="AX496" s="28"/>
      <c r="AY496" s="28" t="n">
        <f aca="false">AX496*$M496</f>
        <v>0</v>
      </c>
      <c r="AZ496" s="30" t="n">
        <f aca="false">118763/100</f>
        <v>1187.63</v>
      </c>
      <c r="BA496" s="11" t="n">
        <v>14252</v>
      </c>
      <c r="BB496" s="31" t="n">
        <f aca="false">SUM(Q496,S496,U496,W496,Y496,AA496,AC496,AE496,AG496,AI496,AK496,AM496,AO496,AQ496,AS496,AU496,AW496,AY496)</f>
        <v>14252</v>
      </c>
      <c r="BC496" s="28" t="n">
        <f aca="false">BA496-BB496</f>
        <v>0</v>
      </c>
      <c r="BD496" s="32" t="n">
        <f aca="false">SUM(P496,R496,T496,V496,X496,Z496,AB496,AD496,AF496,AH496,AJ496,AL496,AN496,AP496,AR496,AT496,AV496,AX496)</f>
        <v>1187.63</v>
      </c>
      <c r="BE496" s="33" t="n">
        <f aca="false">AZ496-BD496</f>
        <v>0</v>
      </c>
      <c r="BF496" s="34" t="n">
        <f aca="false">BD496*M496</f>
        <v>14251.56</v>
      </c>
      <c r="BG496" s="35" t="n">
        <f aca="false">BA496-BF496</f>
        <v>0.43999999999869</v>
      </c>
      <c r="BH496" s="19" t="str">
        <f aca="false">IF(BG496=0,"",IF(BG496&lt;&gt;BA496,"erreur de calcul",IF(BD496&lt;&gt;0,"pas de prix",IF(M496&lt;&gt; 0,"pas de quantité","pas de prix, ni de quantité"))))</f>
        <v>erreur de calcul</v>
      </c>
      <c r="BI496" s="19"/>
    </row>
    <row r="497" customFormat="false" ht="16" hidden="false" customHeight="false" outlineLevel="0" collapsed="false">
      <c r="A497" s="0" t="n">
        <v>19</v>
      </c>
      <c r="B497" s="8" t="s">
        <v>24</v>
      </c>
      <c r="C497" s="9" t="s">
        <v>25</v>
      </c>
      <c r="D497" s="9" t="s">
        <v>26</v>
      </c>
      <c r="E497" s="10" t="n">
        <v>1789</v>
      </c>
      <c r="F497" s="9" t="s">
        <v>27</v>
      </c>
      <c r="G497" s="9" t="s">
        <v>27</v>
      </c>
      <c r="H497" s="11" t="n">
        <v>22</v>
      </c>
      <c r="I497" s="11" t="s">
        <v>220</v>
      </c>
      <c r="J497" s="14" t="n">
        <v>8</v>
      </c>
      <c r="K497" s="14"/>
      <c r="L497" s="16"/>
      <c r="M497" s="27" t="n">
        <f aca="false">J497+(K497/20)+(L497/240)</f>
        <v>8</v>
      </c>
      <c r="N497" s="17" t="s">
        <v>66</v>
      </c>
      <c r="O497" s="11"/>
      <c r="P497" s="28" t="n">
        <v>3798</v>
      </c>
      <c r="Q497" s="28" t="n">
        <v>30384</v>
      </c>
      <c r="R497" s="28"/>
      <c r="S497" s="28" t="n">
        <f aca="false">R497*$M497</f>
        <v>0</v>
      </c>
      <c r="T497" s="28"/>
      <c r="U497" s="28" t="n">
        <f aca="false">T497*$M497</f>
        <v>0</v>
      </c>
      <c r="V497" s="28"/>
      <c r="W497" s="28" t="n">
        <f aca="false">V497*$M497</f>
        <v>0</v>
      </c>
      <c r="X497" s="28"/>
      <c r="Y497" s="28" t="n">
        <f aca="false">X497*$M497</f>
        <v>0</v>
      </c>
      <c r="Z497" s="28"/>
      <c r="AA497" s="28" t="n">
        <f aca="false">Z497*$M497</f>
        <v>0</v>
      </c>
      <c r="AB497" s="28"/>
      <c r="AC497" s="28" t="n">
        <f aca="false">AB497*$M497</f>
        <v>0</v>
      </c>
      <c r="AD497" s="28"/>
      <c r="AE497" s="28" t="n">
        <f aca="false">AD497*$M497</f>
        <v>0</v>
      </c>
      <c r="AF497" s="28"/>
      <c r="AG497" s="28" t="n">
        <f aca="false">AF497*$M497</f>
        <v>0</v>
      </c>
      <c r="AH497" s="28" t="n">
        <v>322</v>
      </c>
      <c r="AI497" s="28" t="n">
        <v>2576</v>
      </c>
      <c r="AJ497" s="28"/>
      <c r="AK497" s="28" t="n">
        <f aca="false">AJ497*$M497</f>
        <v>0</v>
      </c>
      <c r="AL497" s="28"/>
      <c r="AM497" s="28" t="n">
        <f aca="false">AL497*$M497</f>
        <v>0</v>
      </c>
      <c r="AN497" s="28"/>
      <c r="AO497" s="28" t="n">
        <f aca="false">AN497*$M497</f>
        <v>0</v>
      </c>
      <c r="AP497" s="28"/>
      <c r="AQ497" s="28" t="n">
        <f aca="false">AP497*$M497</f>
        <v>0</v>
      </c>
      <c r="AR497" s="28"/>
      <c r="AS497" s="28" t="n">
        <f aca="false">AR497*$M497</f>
        <v>0</v>
      </c>
      <c r="AT497" s="28"/>
      <c r="AU497" s="28" t="n">
        <f aca="false">AT497*$M497</f>
        <v>0</v>
      </c>
      <c r="AV497" s="28"/>
      <c r="AW497" s="28" t="n">
        <f aca="false">AV497*$M497</f>
        <v>0</v>
      </c>
      <c r="AX497" s="28"/>
      <c r="AY497" s="28" t="n">
        <f aca="false">AX497*$M497</f>
        <v>0</v>
      </c>
      <c r="AZ497" s="30" t="n">
        <v>4120</v>
      </c>
      <c r="BA497" s="11" t="n">
        <v>32960</v>
      </c>
      <c r="BB497" s="31" t="n">
        <f aca="false">SUM(Q497,S497,U497,W497,Y497,AA497,AC497,AE497,AG497,AI497,AK497,AM497,AO497,AQ497,AS497,AU497,AW497,AY497)</f>
        <v>32960</v>
      </c>
      <c r="BC497" s="28" t="n">
        <f aca="false">BA497-BB497</f>
        <v>0</v>
      </c>
      <c r="BD497" s="32" t="n">
        <f aca="false">SUM(P497,R497,T497,V497,X497,Z497,AB497,AD497,AF497,AH497,AJ497,AL497,AN497,AP497,AR497,AT497,AV497,AX497)</f>
        <v>4120</v>
      </c>
      <c r="BE497" s="33" t="n">
        <f aca="false">AZ497-BD497</f>
        <v>0</v>
      </c>
      <c r="BF497" s="34" t="n">
        <f aca="false">BD497*M497</f>
        <v>32960</v>
      </c>
      <c r="BG497" s="35" t="n">
        <f aca="false">BA497-BF497</f>
        <v>0</v>
      </c>
      <c r="BH497" s="19" t="str">
        <f aca="false">IF(BG497=0,"",IF(BG497&lt;&gt;BA497,"erreur de calcul",IF(BD497&lt;&gt;0,"pas de prix",IF(M497&lt;&gt; 0,"pas de quantité","pas de prix, ni de quantité"))))</f>
        <v/>
      </c>
      <c r="BI497" s="19"/>
    </row>
    <row r="498" customFormat="false" ht="16" hidden="false" customHeight="false" outlineLevel="0" collapsed="false">
      <c r="A498" s="0" t="n">
        <v>20</v>
      </c>
      <c r="B498" s="8" t="s">
        <v>24</v>
      </c>
      <c r="C498" s="9" t="s">
        <v>25</v>
      </c>
      <c r="D498" s="9" t="s">
        <v>26</v>
      </c>
      <c r="E498" s="10" t="n">
        <v>1789</v>
      </c>
      <c r="F498" s="9" t="s">
        <v>27</v>
      </c>
      <c r="G498" s="9" t="s">
        <v>27</v>
      </c>
      <c r="H498" s="11" t="n">
        <v>22</v>
      </c>
      <c r="I498" s="11" t="s">
        <v>221</v>
      </c>
      <c r="J498" s="14"/>
      <c r="K498" s="14" t="n">
        <v>20</v>
      </c>
      <c r="L498" s="16"/>
      <c r="M498" s="27" t="n">
        <f aca="false">J498+(K498/20)+(L498/240)</f>
        <v>1</v>
      </c>
      <c r="N498" s="17" t="s">
        <v>66</v>
      </c>
      <c r="O498" s="11"/>
      <c r="P498" s="28" t="n">
        <v>1353</v>
      </c>
      <c r="Q498" s="28" t="n">
        <v>1353</v>
      </c>
      <c r="R498" s="28"/>
      <c r="S498" s="28" t="n">
        <f aca="false">R498*$M498</f>
        <v>0</v>
      </c>
      <c r="T498" s="28"/>
      <c r="U498" s="28" t="n">
        <f aca="false">T498*$M498</f>
        <v>0</v>
      </c>
      <c r="V498" s="28"/>
      <c r="W498" s="28" t="n">
        <f aca="false">V498*$M498</f>
        <v>0</v>
      </c>
      <c r="X498" s="28"/>
      <c r="Y498" s="28" t="n">
        <f aca="false">X498*$M498</f>
        <v>0</v>
      </c>
      <c r="Z498" s="28"/>
      <c r="AA498" s="28" t="n">
        <f aca="false">Z498*$M498</f>
        <v>0</v>
      </c>
      <c r="AB498" s="28"/>
      <c r="AC498" s="28" t="n">
        <f aca="false">AB498*$M498</f>
        <v>0</v>
      </c>
      <c r="AD498" s="28"/>
      <c r="AE498" s="28" t="n">
        <f aca="false">AD498*$M498</f>
        <v>0</v>
      </c>
      <c r="AF498" s="28"/>
      <c r="AG498" s="28" t="n">
        <f aca="false">AF498*$M498</f>
        <v>0</v>
      </c>
      <c r="AH498" s="28"/>
      <c r="AI498" s="28" t="n">
        <f aca="false">AH498*$M498</f>
        <v>0</v>
      </c>
      <c r="AJ498" s="28"/>
      <c r="AK498" s="28" t="n">
        <f aca="false">AJ498*$M498</f>
        <v>0</v>
      </c>
      <c r="AL498" s="28"/>
      <c r="AM498" s="28" t="n">
        <f aca="false">AL498*$M498</f>
        <v>0</v>
      </c>
      <c r="AN498" s="28"/>
      <c r="AO498" s="28" t="n">
        <f aca="false">AN498*$M498</f>
        <v>0</v>
      </c>
      <c r="AP498" s="28"/>
      <c r="AQ498" s="28" t="n">
        <f aca="false">AP498*$M498</f>
        <v>0</v>
      </c>
      <c r="AR498" s="28"/>
      <c r="AS498" s="28" t="n">
        <f aca="false">AR498*$M498</f>
        <v>0</v>
      </c>
      <c r="AT498" s="28"/>
      <c r="AU498" s="28" t="n">
        <f aca="false">AT498*$M498</f>
        <v>0</v>
      </c>
      <c r="AV498" s="28"/>
      <c r="AW498" s="28" t="n">
        <f aca="false">AV498*$M498</f>
        <v>0</v>
      </c>
      <c r="AX498" s="28"/>
      <c r="AY498" s="28" t="n">
        <f aca="false">AX498*$M498</f>
        <v>0</v>
      </c>
      <c r="AZ498" s="30" t="n">
        <v>1353</v>
      </c>
      <c r="BA498" s="11" t="n">
        <v>1353</v>
      </c>
      <c r="BB498" s="31" t="n">
        <f aca="false">SUM(Q498,S498,U498,W498,Y498,AA498,AC498,AE498,AG498,AI498,AK498,AM498,AO498,AQ498,AS498,AU498,AW498,AY498)</f>
        <v>1353</v>
      </c>
      <c r="BC498" s="28" t="n">
        <f aca="false">BA498-BB498</f>
        <v>0</v>
      </c>
      <c r="BD498" s="32" t="n">
        <f aca="false">SUM(P498,R498,T498,V498,X498,Z498,AB498,AD498,AF498,AH498,AJ498,AL498,AN498,AP498,AR498,AT498,AV498,AX498)</f>
        <v>1353</v>
      </c>
      <c r="BE498" s="33" t="n">
        <f aca="false">AZ498-BD498</f>
        <v>0</v>
      </c>
      <c r="BF498" s="34" t="n">
        <f aca="false">BD498*M498</f>
        <v>1353</v>
      </c>
      <c r="BG498" s="35" t="n">
        <f aca="false">BA498-BF498</f>
        <v>0</v>
      </c>
      <c r="BH498" s="19" t="str">
        <f aca="false">IF(BG498=0,"",IF(BG498&lt;&gt;BA498,"erreur de calcul",IF(BD498&lt;&gt;0,"pas de prix",IF(M498&lt;&gt; 0,"pas de quantité","pas de prix, ni de quantité"))))</f>
        <v/>
      </c>
      <c r="BI498" s="19"/>
    </row>
    <row r="499" customFormat="false" ht="16" hidden="false" customHeight="false" outlineLevel="0" collapsed="false">
      <c r="A499" s="0" t="n">
        <v>21</v>
      </c>
      <c r="B499" s="8" t="s">
        <v>24</v>
      </c>
      <c r="C499" s="9" t="s">
        <v>25</v>
      </c>
      <c r="D499" s="9" t="s">
        <v>26</v>
      </c>
      <c r="E499" s="10" t="n">
        <v>1789</v>
      </c>
      <c r="F499" s="9" t="s">
        <v>27</v>
      </c>
      <c r="G499" s="9" t="s">
        <v>27</v>
      </c>
      <c r="H499" s="11" t="n">
        <v>22</v>
      </c>
      <c r="I499" s="11" t="s">
        <v>222</v>
      </c>
      <c r="J499" s="14" t="n">
        <v>85</v>
      </c>
      <c r="K499" s="14"/>
      <c r="L499" s="16"/>
      <c r="M499" s="27" t="n">
        <f aca="false">J499+(K499/20)+(L499/240)</f>
        <v>85</v>
      </c>
      <c r="N499" s="17" t="s">
        <v>64</v>
      </c>
      <c r="O499" s="11"/>
      <c r="P499" s="28"/>
      <c r="Q499" s="28" t="n">
        <f aca="false">P499*$M499</f>
        <v>0</v>
      </c>
      <c r="R499" s="28"/>
      <c r="S499" s="28" t="n">
        <f aca="false">R499*$M499</f>
        <v>0</v>
      </c>
      <c r="T499" s="28" t="n">
        <f aca="false">10813/100</f>
        <v>108.13</v>
      </c>
      <c r="U499" s="28" t="n">
        <v>9191</v>
      </c>
      <c r="V499" s="28" t="n">
        <f aca="false">43400/100</f>
        <v>434</v>
      </c>
      <c r="W499" s="28" t="n">
        <v>36890</v>
      </c>
      <c r="X499" s="28" t="n">
        <f aca="false">702/100</f>
        <v>7.02</v>
      </c>
      <c r="Y499" s="28" t="n">
        <v>597</v>
      </c>
      <c r="Z499" s="28"/>
      <c r="AA499" s="28" t="n">
        <f aca="false">Z499*$M499</f>
        <v>0</v>
      </c>
      <c r="AB499" s="28" t="n">
        <f aca="false">171/100</f>
        <v>1.71</v>
      </c>
      <c r="AC499" s="28" t="n">
        <v>145</v>
      </c>
      <c r="AD499" s="28"/>
      <c r="AE499" s="28" t="n">
        <f aca="false">AD499*$M499</f>
        <v>0</v>
      </c>
      <c r="AF499" s="28"/>
      <c r="AG499" s="28" t="n">
        <f aca="false">AF499*$M499</f>
        <v>0</v>
      </c>
      <c r="AH499" s="28" t="n">
        <f aca="false">17388/100</f>
        <v>173.88</v>
      </c>
      <c r="AI499" s="28" t="n">
        <v>14780</v>
      </c>
      <c r="AJ499" s="28"/>
      <c r="AK499" s="28" t="n">
        <f aca="false">AJ499*$M499</f>
        <v>0</v>
      </c>
      <c r="AL499" s="28"/>
      <c r="AM499" s="28" t="n">
        <f aca="false">AL499*$M499</f>
        <v>0</v>
      </c>
      <c r="AN499" s="28"/>
      <c r="AO499" s="28" t="n">
        <f aca="false">AN499*$M499</f>
        <v>0</v>
      </c>
      <c r="AP499" s="28"/>
      <c r="AQ499" s="28" t="n">
        <f aca="false">AP499*$M499</f>
        <v>0</v>
      </c>
      <c r="AR499" s="28"/>
      <c r="AS499" s="28" t="n">
        <f aca="false">AR499*$M499</f>
        <v>0</v>
      </c>
      <c r="AT499" s="28"/>
      <c r="AU499" s="28" t="n">
        <f aca="false">AT499*$M499</f>
        <v>0</v>
      </c>
      <c r="AV499" s="28"/>
      <c r="AW499" s="28" t="n">
        <f aca="false">AV499*$M499</f>
        <v>0</v>
      </c>
      <c r="AX499" s="28"/>
      <c r="AY499" s="28" t="n">
        <f aca="false">AX499*$M499</f>
        <v>0</v>
      </c>
      <c r="AZ499" s="30" t="n">
        <f aca="false">72474/100</f>
        <v>724.74</v>
      </c>
      <c r="BA499" s="11" t="n">
        <v>61603</v>
      </c>
      <c r="BB499" s="31" t="n">
        <f aca="false">SUM(Q499,S499,U499,W499,Y499,AA499,AC499,AE499,AG499,AI499,AK499,AM499,AO499,AQ499,AS499,AU499,AW499,AY499)</f>
        <v>61603</v>
      </c>
      <c r="BC499" s="28" t="n">
        <f aca="false">BA499-BB499</f>
        <v>0</v>
      </c>
      <c r="BD499" s="32" t="n">
        <f aca="false">SUM(P499,R499,T499,V499,X499,Z499,AB499,AD499,AF499,AH499,AJ499,AL499,AN499,AP499,AR499,AT499,AV499,AX499)</f>
        <v>724.74</v>
      </c>
      <c r="BE499" s="33" t="n">
        <f aca="false">AZ499-BD499</f>
        <v>0</v>
      </c>
      <c r="BF499" s="34" t="n">
        <f aca="false">BD499*M499</f>
        <v>61602.9</v>
      </c>
      <c r="BG499" s="35" t="n">
        <f aca="false">BA499-BF499</f>
        <v>0.0999999999985448</v>
      </c>
      <c r="BH499" s="19" t="str">
        <f aca="false">IF(BG499=0,"",IF(BG499&lt;&gt;BA499,"erreur de calcul",IF(BD499&lt;&gt;0,"pas de prix",IF(M499&lt;&gt; 0,"pas de quantité","pas de prix, ni de quantité"))))</f>
        <v>erreur de calcul</v>
      </c>
      <c r="BI499" s="19"/>
    </row>
    <row r="500" customFormat="false" ht="16" hidden="false" customHeight="false" outlineLevel="0" collapsed="false">
      <c r="A500" s="0" t="n">
        <v>22</v>
      </c>
      <c r="B500" s="8" t="s">
        <v>24</v>
      </c>
      <c r="C500" s="9" t="s">
        <v>25</v>
      </c>
      <c r="D500" s="9" t="s">
        <v>26</v>
      </c>
      <c r="E500" s="10" t="n">
        <v>1789</v>
      </c>
      <c r="F500" s="9" t="s">
        <v>27</v>
      </c>
      <c r="G500" s="9" t="s">
        <v>27</v>
      </c>
      <c r="H500" s="11" t="n">
        <v>22</v>
      </c>
      <c r="I500" s="11" t="s">
        <v>223</v>
      </c>
      <c r="J500" s="14" t="n">
        <v>150</v>
      </c>
      <c r="K500" s="14"/>
      <c r="L500" s="16"/>
      <c r="M500" s="27" t="n">
        <f aca="false">J500+(K500/20)+(L500/240)</f>
        <v>150</v>
      </c>
      <c r="N500" s="17" t="s">
        <v>64</v>
      </c>
      <c r="O500" s="11"/>
      <c r="P500" s="28"/>
      <c r="Q500" s="28" t="n">
        <f aca="false">P500*$M500</f>
        <v>0</v>
      </c>
      <c r="R500" s="28"/>
      <c r="S500" s="28" t="n">
        <f aca="false">R500*$M500</f>
        <v>0</v>
      </c>
      <c r="T500" s="28"/>
      <c r="U500" s="28" t="n">
        <f aca="false">T500*$M500</f>
        <v>0</v>
      </c>
      <c r="V500" s="28" t="n">
        <f aca="false">1415/100</f>
        <v>14.15</v>
      </c>
      <c r="W500" s="28" t="n">
        <v>2122</v>
      </c>
      <c r="X500" s="28"/>
      <c r="Y500" s="28" t="n">
        <f aca="false">X500*$M500</f>
        <v>0</v>
      </c>
      <c r="Z500" s="28"/>
      <c r="AA500" s="28" t="n">
        <f aca="false">Z500*$M500</f>
        <v>0</v>
      </c>
      <c r="AB500" s="28" t="n">
        <f aca="false">1806/100</f>
        <v>18.06</v>
      </c>
      <c r="AC500" s="28" t="n">
        <v>2709</v>
      </c>
      <c r="AD500" s="28"/>
      <c r="AE500" s="28" t="n">
        <f aca="false">AD500*$M500</f>
        <v>0</v>
      </c>
      <c r="AF500" s="28"/>
      <c r="AG500" s="28" t="n">
        <f aca="false">AF500*$M500</f>
        <v>0</v>
      </c>
      <c r="AH500" s="28"/>
      <c r="AI500" s="28" t="n">
        <f aca="false">AH500*$M500</f>
        <v>0</v>
      </c>
      <c r="AJ500" s="28"/>
      <c r="AK500" s="28" t="n">
        <f aca="false">AJ500*$M500</f>
        <v>0</v>
      </c>
      <c r="AL500" s="28"/>
      <c r="AM500" s="28" t="n">
        <f aca="false">AL500*$M500</f>
        <v>0</v>
      </c>
      <c r="AN500" s="28"/>
      <c r="AO500" s="28" t="n">
        <f aca="false">AN500*$M500</f>
        <v>0</v>
      </c>
      <c r="AP500" s="28"/>
      <c r="AQ500" s="28" t="n">
        <f aca="false">AP500*$M500</f>
        <v>0</v>
      </c>
      <c r="AR500" s="28"/>
      <c r="AS500" s="28" t="n">
        <f aca="false">AR500*$M500</f>
        <v>0</v>
      </c>
      <c r="AT500" s="28"/>
      <c r="AU500" s="28" t="n">
        <f aca="false">AT500*$M500</f>
        <v>0</v>
      </c>
      <c r="AV500" s="28"/>
      <c r="AW500" s="28" t="n">
        <f aca="false">AV500*$M500</f>
        <v>0</v>
      </c>
      <c r="AX500" s="28"/>
      <c r="AY500" s="28" t="n">
        <f aca="false">AX500*$M500</f>
        <v>0</v>
      </c>
      <c r="AZ500" s="30" t="n">
        <f aca="false">3221/100</f>
        <v>32.21</v>
      </c>
      <c r="BA500" s="11" t="n">
        <v>4831</v>
      </c>
      <c r="BB500" s="31" t="n">
        <f aca="false">SUM(Q500,S500,U500,W500,Y500,AA500,AC500,AE500,AG500,AI500,AK500,AM500,AO500,AQ500,AS500,AU500,AW500,AY500)</f>
        <v>4831</v>
      </c>
      <c r="BC500" s="28" t="n">
        <f aca="false">BA500-BB500</f>
        <v>0</v>
      </c>
      <c r="BD500" s="32" t="n">
        <f aca="false">SUM(P500,R500,T500,V500,X500,Z500,AB500,AD500,AF500,AH500,AJ500,AL500,AN500,AP500,AR500,AT500,AV500,AX500)</f>
        <v>32.21</v>
      </c>
      <c r="BE500" s="33" t="n">
        <f aca="false">AZ500-BD500</f>
        <v>0</v>
      </c>
      <c r="BF500" s="34" t="n">
        <f aca="false">BD500*M500</f>
        <v>4831.5</v>
      </c>
      <c r="BG500" s="35" t="n">
        <f aca="false">BA500-BF500</f>
        <v>-0.5</v>
      </c>
      <c r="BH500" s="19" t="str">
        <f aca="false">IF(BG500=0,"",IF(BG500&lt;&gt;BA500,"erreur de calcul",IF(BD500&lt;&gt;0,"pas de prix",IF(M500&lt;&gt; 0,"pas de quantité","pas de prix, ni de quantité"))))</f>
        <v>erreur de calcul</v>
      </c>
      <c r="BI500" s="19"/>
    </row>
    <row r="501" customFormat="false" ht="16" hidden="false" customHeight="false" outlineLevel="0" collapsed="false">
      <c r="A501" s="0" t="n">
        <v>23</v>
      </c>
      <c r="B501" s="8" t="s">
        <v>24</v>
      </c>
      <c r="C501" s="9" t="s">
        <v>25</v>
      </c>
      <c r="D501" s="9" t="s">
        <v>26</v>
      </c>
      <c r="E501" s="10" t="n">
        <v>1789</v>
      </c>
      <c r="F501" s="9" t="s">
        <v>27</v>
      </c>
      <c r="G501" s="9" t="s">
        <v>27</v>
      </c>
      <c r="H501" s="11" t="n">
        <v>22</v>
      </c>
      <c r="I501" s="11" t="s">
        <v>224</v>
      </c>
      <c r="J501" s="14"/>
      <c r="K501" s="14"/>
      <c r="L501" s="16"/>
      <c r="M501" s="27" t="n">
        <f aca="false">J501+(K501/20)+(L501/240)</f>
        <v>0</v>
      </c>
      <c r="N501" s="17" t="s">
        <v>225</v>
      </c>
      <c r="O501" s="11"/>
      <c r="P501" s="28" t="n">
        <f aca="false">2+121/288</f>
        <v>2.42013888888889</v>
      </c>
      <c r="Q501" s="28" t="n">
        <v>275</v>
      </c>
      <c r="R501" s="28"/>
      <c r="S501" s="28" t="n">
        <f aca="false">R501*$M501</f>
        <v>0</v>
      </c>
      <c r="T501" s="28"/>
      <c r="U501" s="28" t="n">
        <f aca="false">T501*$M501</f>
        <v>0</v>
      </c>
      <c r="V501" s="28"/>
      <c r="W501" s="28" t="n">
        <f aca="false">V501*$M501</f>
        <v>0</v>
      </c>
      <c r="X501" s="28"/>
      <c r="Y501" s="28" t="n">
        <f aca="false">X501*$M501</f>
        <v>0</v>
      </c>
      <c r="Z501" s="28"/>
      <c r="AA501" s="28" t="n">
        <f aca="false">Z501*$M501</f>
        <v>0</v>
      </c>
      <c r="AB501" s="28"/>
      <c r="AC501" s="28" t="n">
        <f aca="false">AB501*$M501</f>
        <v>0</v>
      </c>
      <c r="AD501" s="28"/>
      <c r="AE501" s="28" t="n">
        <f aca="false">AD501*$M501</f>
        <v>0</v>
      </c>
      <c r="AF501" s="28"/>
      <c r="AG501" s="28" t="n">
        <f aca="false">AF501*$M501</f>
        <v>0</v>
      </c>
      <c r="AH501" s="28"/>
      <c r="AI501" s="28" t="n">
        <f aca="false">AH501*$M501</f>
        <v>0</v>
      </c>
      <c r="AJ501" s="28"/>
      <c r="AK501" s="28" t="n">
        <f aca="false">AJ501*$M501</f>
        <v>0</v>
      </c>
      <c r="AL501" s="28"/>
      <c r="AM501" s="28" t="n">
        <f aca="false">AL501*$M501</f>
        <v>0</v>
      </c>
      <c r="AN501" s="28"/>
      <c r="AO501" s="28" t="n">
        <f aca="false">AN501*$M501</f>
        <v>0</v>
      </c>
      <c r="AP501" s="28"/>
      <c r="AQ501" s="28" t="n">
        <f aca="false">AP501*$M501</f>
        <v>0</v>
      </c>
      <c r="AR501" s="28"/>
      <c r="AS501" s="28" t="n">
        <f aca="false">AR501*$M501</f>
        <v>0</v>
      </c>
      <c r="AT501" s="28"/>
      <c r="AU501" s="28" t="n">
        <f aca="false">AT501*$M501</f>
        <v>0</v>
      </c>
      <c r="AV501" s="28"/>
      <c r="AW501" s="28" t="n">
        <f aca="false">AV501*$M501</f>
        <v>0</v>
      </c>
      <c r="AX501" s="28"/>
      <c r="AY501" s="28" t="n">
        <f aca="false">AX501*$M501</f>
        <v>0</v>
      </c>
      <c r="AZ501" s="30" t="n">
        <f aca="false">2+121/288</f>
        <v>2.42013888888889</v>
      </c>
      <c r="BA501" s="11" t="n">
        <v>275</v>
      </c>
      <c r="BB501" s="31" t="n">
        <f aca="false">SUM(Q501,S501,U501,W501,Y501,AA501,AC501,AE501,AG501,AI501,AK501,AM501,AO501,AQ501,AS501,AU501,AW501,AY501)</f>
        <v>275</v>
      </c>
      <c r="BC501" s="28" t="n">
        <f aca="false">BA501-BB501</f>
        <v>0</v>
      </c>
      <c r="BD501" s="32" t="n">
        <f aca="false">SUM(P501,R501,T501,V501,X501,Z501,AB501,AD501,AF501,AH501,AJ501,AL501,AN501,AP501,AR501,AT501,AV501,AX501)</f>
        <v>2.42013888888889</v>
      </c>
      <c r="BE501" s="33" t="n">
        <f aca="false">AZ501-BD501</f>
        <v>0</v>
      </c>
      <c r="BF501" s="34" t="n">
        <f aca="false">BD501*M501</f>
        <v>0</v>
      </c>
      <c r="BG501" s="35" t="n">
        <f aca="false">BA501-BF501</f>
        <v>275</v>
      </c>
      <c r="BH501" s="19" t="str">
        <f aca="false">IF(BG501=0,"",IF(BG501&lt;&gt;BA501,"erreur de calcul",IF(BD501&lt;&gt;0,"pas de prix",IF(M501&lt;&gt; 0,"pas de quantité","pas de prix, ni de quantité"))))</f>
        <v>pas de prix</v>
      </c>
      <c r="BI501" s="19" t="s">
        <v>226</v>
      </c>
    </row>
    <row r="502" customFormat="false" ht="16" hidden="false" customHeight="false" outlineLevel="0" collapsed="false">
      <c r="A502" s="0" t="n">
        <v>24</v>
      </c>
      <c r="B502" s="8" t="s">
        <v>24</v>
      </c>
      <c r="C502" s="9" t="s">
        <v>25</v>
      </c>
      <c r="D502" s="9" t="s">
        <v>26</v>
      </c>
      <c r="E502" s="10" t="n">
        <v>1789</v>
      </c>
      <c r="F502" s="9" t="s">
        <v>27</v>
      </c>
      <c r="G502" s="9" t="s">
        <v>27</v>
      </c>
      <c r="H502" s="11" t="n">
        <v>22</v>
      </c>
      <c r="I502" s="11" t="s">
        <v>227</v>
      </c>
      <c r="J502" s="14" t="n">
        <v>8</v>
      </c>
      <c r="K502" s="14"/>
      <c r="L502" s="16"/>
      <c r="M502" s="27" t="n">
        <f aca="false">J502+(K502/20)+(L502/240)</f>
        <v>8</v>
      </c>
      <c r="N502" s="17" t="s">
        <v>64</v>
      </c>
      <c r="O502" s="11" t="s">
        <v>77</v>
      </c>
      <c r="P502" s="28" t="n">
        <f aca="false">267216/100</f>
        <v>2672.16</v>
      </c>
      <c r="Q502" s="28" t="n">
        <v>21377</v>
      </c>
      <c r="R502" s="28"/>
      <c r="S502" s="28" t="n">
        <f aca="false">R502*$M502</f>
        <v>0</v>
      </c>
      <c r="T502" s="28"/>
      <c r="U502" s="28" t="n">
        <f aca="false">T502*$M502</f>
        <v>0</v>
      </c>
      <c r="V502" s="28"/>
      <c r="W502" s="28" t="n">
        <f aca="false">V502*$M502</f>
        <v>0</v>
      </c>
      <c r="X502" s="28"/>
      <c r="Y502" s="28" t="n">
        <f aca="false">X502*$M502</f>
        <v>0</v>
      </c>
      <c r="Z502" s="28"/>
      <c r="AA502" s="28" t="n">
        <f aca="false">Z502*$M502</f>
        <v>0</v>
      </c>
      <c r="AB502" s="28" t="n">
        <f aca="false">3334/100</f>
        <v>33.34</v>
      </c>
      <c r="AC502" s="28" t="n">
        <v>267</v>
      </c>
      <c r="AD502" s="28"/>
      <c r="AE502" s="28" t="n">
        <f aca="false">AD502*$M502</f>
        <v>0</v>
      </c>
      <c r="AF502" s="28"/>
      <c r="AG502" s="28" t="n">
        <f aca="false">AF502*$M502</f>
        <v>0</v>
      </c>
      <c r="AH502" s="28"/>
      <c r="AI502" s="28" t="n">
        <f aca="false">AH502*$M502</f>
        <v>0</v>
      </c>
      <c r="AJ502" s="28"/>
      <c r="AK502" s="28" t="n">
        <f aca="false">AJ502*$M502</f>
        <v>0</v>
      </c>
      <c r="AL502" s="28"/>
      <c r="AM502" s="28" t="n">
        <f aca="false">AL502*$M502</f>
        <v>0</v>
      </c>
      <c r="AN502" s="28"/>
      <c r="AO502" s="28" t="n">
        <f aca="false">AN502*$M502</f>
        <v>0</v>
      </c>
      <c r="AP502" s="28"/>
      <c r="AQ502" s="28" t="n">
        <f aca="false">AP502*$M502</f>
        <v>0</v>
      </c>
      <c r="AR502" s="28"/>
      <c r="AS502" s="28" t="n">
        <f aca="false">AR502*$M502</f>
        <v>0</v>
      </c>
      <c r="AT502" s="28"/>
      <c r="AU502" s="28" t="n">
        <f aca="false">AT502*$M502</f>
        <v>0</v>
      </c>
      <c r="AV502" s="28"/>
      <c r="AW502" s="28" t="n">
        <f aca="false">AV502*$M502</f>
        <v>0</v>
      </c>
      <c r="AX502" s="28"/>
      <c r="AY502" s="28" t="n">
        <f aca="false">AX502*$M502</f>
        <v>0</v>
      </c>
      <c r="AZ502" s="30" t="n">
        <f aca="false">270550/100</f>
        <v>2705.5</v>
      </c>
      <c r="BA502" s="11" t="n">
        <v>21644</v>
      </c>
      <c r="BB502" s="31" t="n">
        <f aca="false">SUM(Q502,S502,U502,W502,Y502,AA502,AC502,AE502,AG502,AI502,AK502,AM502,AO502,AQ502,AS502,AU502,AW502,AY502)</f>
        <v>21644</v>
      </c>
      <c r="BC502" s="28" t="n">
        <f aca="false">BA502-BB502</f>
        <v>0</v>
      </c>
      <c r="BD502" s="32" t="n">
        <f aca="false">SUM(P502,R502,T502,V502,X502,Z502,AB502,AD502,AF502,AH502,AJ502,AL502,AN502,AP502,AR502,AT502,AV502,AX502)</f>
        <v>2705.5</v>
      </c>
      <c r="BE502" s="33" t="n">
        <f aca="false">AZ502-BD502</f>
        <v>0</v>
      </c>
      <c r="BF502" s="34" t="n">
        <f aca="false">BD502*M502</f>
        <v>21644</v>
      </c>
      <c r="BG502" s="35" t="n">
        <f aca="false">BA502-BF502</f>
        <v>0</v>
      </c>
      <c r="BH502" s="19" t="str">
        <f aca="false">IF(BG502=0,"",IF(BG502&lt;&gt;BA502,"erreur de calcul",IF(BD502&lt;&gt;0,"pas de prix",IF(M502&lt;&gt; 0,"pas de quantité","pas de prix, ni de quantité"))))</f>
        <v/>
      </c>
      <c r="BI502" s="19"/>
    </row>
    <row r="503" customFormat="false" ht="16" hidden="false" customHeight="false" outlineLevel="0" collapsed="false">
      <c r="A503" s="0" t="n">
        <v>25</v>
      </c>
      <c r="B503" s="8" t="s">
        <v>24</v>
      </c>
      <c r="C503" s="9" t="s">
        <v>25</v>
      </c>
      <c r="D503" s="9" t="s">
        <v>26</v>
      </c>
      <c r="E503" s="10" t="n">
        <v>1789</v>
      </c>
      <c r="F503" s="9" t="s">
        <v>27</v>
      </c>
      <c r="G503" s="9" t="s">
        <v>27</v>
      </c>
      <c r="H503" s="11" t="n">
        <v>22</v>
      </c>
      <c r="I503" s="11" t="s">
        <v>228</v>
      </c>
      <c r="J503" s="14" t="n">
        <v>11</v>
      </c>
      <c r="K503" s="14"/>
      <c r="L503" s="16"/>
      <c r="M503" s="27" t="n">
        <f aca="false">J503+(K503/20)+(L503/240)</f>
        <v>11</v>
      </c>
      <c r="N503" s="17" t="s">
        <v>66</v>
      </c>
      <c r="O503" s="11"/>
      <c r="P503" s="28"/>
      <c r="Q503" s="28" t="n">
        <f aca="false">P503*$M503</f>
        <v>0</v>
      </c>
      <c r="R503" s="28" t="n">
        <v>2017</v>
      </c>
      <c r="S503" s="28" t="n">
        <v>22187</v>
      </c>
      <c r="T503" s="28"/>
      <c r="U503" s="28" t="n">
        <f aca="false">T503*$M503</f>
        <v>0</v>
      </c>
      <c r="V503" s="28"/>
      <c r="W503" s="28" t="n">
        <f aca="false">V503*$M503</f>
        <v>0</v>
      </c>
      <c r="X503" s="28" t="n">
        <v>3804</v>
      </c>
      <c r="Y503" s="28" t="n">
        <v>41844</v>
      </c>
      <c r="Z503" s="28"/>
      <c r="AA503" s="28" t="n">
        <f aca="false">Z503*$M503</f>
        <v>0</v>
      </c>
      <c r="AB503" s="28"/>
      <c r="AC503" s="28" t="n">
        <f aca="false">AB503*$M503</f>
        <v>0</v>
      </c>
      <c r="AD503" s="28"/>
      <c r="AE503" s="28" t="n">
        <f aca="false">AD503*$M503</f>
        <v>0</v>
      </c>
      <c r="AF503" s="28"/>
      <c r="AG503" s="28" t="n">
        <f aca="false">AF503*$M503</f>
        <v>0</v>
      </c>
      <c r="AH503" s="28" t="n">
        <v>117</v>
      </c>
      <c r="AI503" s="28" t="n">
        <v>1287</v>
      </c>
      <c r="AJ503" s="28" t="n">
        <v>8694</v>
      </c>
      <c r="AK503" s="28" t="n">
        <v>95634</v>
      </c>
      <c r="AL503" s="28"/>
      <c r="AM503" s="28" t="n">
        <f aca="false">AL503*$M503</f>
        <v>0</v>
      </c>
      <c r="AN503" s="28" t="n">
        <v>5697</v>
      </c>
      <c r="AO503" s="28" t="n">
        <v>62667</v>
      </c>
      <c r="AP503" s="28"/>
      <c r="AQ503" s="28" t="n">
        <f aca="false">AP503*$M503</f>
        <v>0</v>
      </c>
      <c r="AR503" s="28"/>
      <c r="AS503" s="28" t="n">
        <f aca="false">AR503*$M503</f>
        <v>0</v>
      </c>
      <c r="AT503" s="28"/>
      <c r="AU503" s="28" t="n">
        <f aca="false">AT503*$M503</f>
        <v>0</v>
      </c>
      <c r="AV503" s="28"/>
      <c r="AW503" s="28" t="n">
        <f aca="false">AV503*$M503</f>
        <v>0</v>
      </c>
      <c r="AX503" s="28"/>
      <c r="AY503" s="28" t="n">
        <f aca="false">AX503*$M503</f>
        <v>0</v>
      </c>
      <c r="AZ503" s="30" t="n">
        <v>20329</v>
      </c>
      <c r="BA503" s="11" t="n">
        <v>223619</v>
      </c>
      <c r="BB503" s="31" t="n">
        <f aca="false">SUM(Q503,S503,U503,W503,Y503,AA503,AC503,AE503,AG503,AI503,AK503,AM503,AO503,AQ503,AS503,AU503,AW503,AY503)</f>
        <v>223619</v>
      </c>
      <c r="BC503" s="28" t="n">
        <f aca="false">BA503-BB503</f>
        <v>0</v>
      </c>
      <c r="BD503" s="32" t="n">
        <f aca="false">SUM(P503,R503,T503,V503,X503,Z503,AB503,AD503,AF503,AH503,AJ503,AL503,AN503,AP503,AR503,AT503,AV503,AX503)</f>
        <v>20329</v>
      </c>
      <c r="BE503" s="33" t="n">
        <f aca="false">AZ503-BD503</f>
        <v>0</v>
      </c>
      <c r="BF503" s="34" t="n">
        <f aca="false">BD503*M503</f>
        <v>223619</v>
      </c>
      <c r="BG503" s="35" t="n">
        <f aca="false">BA503-BF503</f>
        <v>0</v>
      </c>
      <c r="BH503" s="19" t="str">
        <f aca="false">IF(BG503=0,"",IF(BG503&lt;&gt;BA503,"erreur de calcul",IF(BD503&lt;&gt;0,"pas de prix",IF(M503&lt;&gt; 0,"pas de quantité","pas de prix, ni de quantité"))))</f>
        <v/>
      </c>
      <c r="BI503" s="19"/>
    </row>
    <row r="504" customFormat="false" ht="16" hidden="false" customHeight="false" outlineLevel="0" collapsed="false">
      <c r="A504" s="0" t="n">
        <v>26</v>
      </c>
      <c r="B504" s="8" t="s">
        <v>24</v>
      </c>
      <c r="C504" s="9" t="s">
        <v>25</v>
      </c>
      <c r="D504" s="9" t="s">
        <v>26</v>
      </c>
      <c r="E504" s="10" t="n">
        <v>1789</v>
      </c>
      <c r="F504" s="9" t="s">
        <v>27</v>
      </c>
      <c r="G504" s="9" t="s">
        <v>27</v>
      </c>
      <c r="H504" s="11" t="n">
        <v>22</v>
      </c>
      <c r="I504" s="11" t="s">
        <v>229</v>
      </c>
      <c r="J504" s="14" t="n">
        <v>5</v>
      </c>
      <c r="K504" s="14"/>
      <c r="L504" s="16"/>
      <c r="M504" s="27" t="n">
        <f aca="false">J504+(K504/20)+(L504/240)</f>
        <v>5</v>
      </c>
      <c r="N504" s="17" t="s">
        <v>66</v>
      </c>
      <c r="O504" s="11"/>
      <c r="P504" s="28"/>
      <c r="Q504" s="28" t="n">
        <f aca="false">P504*$M504</f>
        <v>0</v>
      </c>
      <c r="R504" s="28" t="n">
        <v>4117</v>
      </c>
      <c r="S504" s="28" t="n">
        <v>20585</v>
      </c>
      <c r="T504" s="28"/>
      <c r="U504" s="28" t="n">
        <f aca="false">T504*$M504</f>
        <v>0</v>
      </c>
      <c r="V504" s="28"/>
      <c r="W504" s="28" t="n">
        <f aca="false">V504*$M504</f>
        <v>0</v>
      </c>
      <c r="X504" s="28"/>
      <c r="Y504" s="28" t="n">
        <f aca="false">X504*$M504</f>
        <v>0</v>
      </c>
      <c r="Z504" s="28"/>
      <c r="AA504" s="28" t="n">
        <f aca="false">Z504*$M504</f>
        <v>0</v>
      </c>
      <c r="AB504" s="28"/>
      <c r="AC504" s="28" t="n">
        <f aca="false">AB504*$M504</f>
        <v>0</v>
      </c>
      <c r="AD504" s="28"/>
      <c r="AE504" s="28" t="n">
        <f aca="false">AD504*$M504</f>
        <v>0</v>
      </c>
      <c r="AF504" s="28"/>
      <c r="AG504" s="28" t="n">
        <f aca="false">AF504*$M504</f>
        <v>0</v>
      </c>
      <c r="AH504" s="28"/>
      <c r="AI504" s="28" t="n">
        <f aca="false">AH504*$M504</f>
        <v>0</v>
      </c>
      <c r="AJ504" s="28"/>
      <c r="AK504" s="28" t="n">
        <f aca="false">AJ504*$M504</f>
        <v>0</v>
      </c>
      <c r="AL504" s="28"/>
      <c r="AM504" s="28" t="n">
        <f aca="false">AL504*$M504</f>
        <v>0</v>
      </c>
      <c r="AN504" s="28"/>
      <c r="AO504" s="28" t="n">
        <f aca="false">AN504*$M504</f>
        <v>0</v>
      </c>
      <c r="AP504" s="28"/>
      <c r="AQ504" s="28" t="n">
        <f aca="false">AP504*$M504</f>
        <v>0</v>
      </c>
      <c r="AR504" s="28"/>
      <c r="AS504" s="28" t="n">
        <f aca="false">AR504*$M504</f>
        <v>0</v>
      </c>
      <c r="AT504" s="28"/>
      <c r="AU504" s="28" t="n">
        <f aca="false">AT504*$M504</f>
        <v>0</v>
      </c>
      <c r="AV504" s="28"/>
      <c r="AW504" s="28" t="n">
        <f aca="false">AV504*$M504</f>
        <v>0</v>
      </c>
      <c r="AX504" s="28"/>
      <c r="AY504" s="28" t="n">
        <f aca="false">AX504*$M504</f>
        <v>0</v>
      </c>
      <c r="AZ504" s="30" t="n">
        <v>4117</v>
      </c>
      <c r="BA504" s="11" t="n">
        <v>20585</v>
      </c>
      <c r="BB504" s="31" t="n">
        <f aca="false">SUM(Q504,S504,U504,W504,Y504,AA504,AC504,AE504,AG504,AI504,AK504,AM504,AO504,AQ504,AS504,AU504,AW504,AY504)</f>
        <v>20585</v>
      </c>
      <c r="BC504" s="28" t="n">
        <f aca="false">BA504-BB504</f>
        <v>0</v>
      </c>
      <c r="BD504" s="32" t="n">
        <f aca="false">SUM(P504,R504,T504,V504,X504,Z504,AB504,AD504,AF504,AH504,AJ504,AL504,AN504,AP504,AR504,AT504,AV504,AX504)</f>
        <v>4117</v>
      </c>
      <c r="BE504" s="33" t="n">
        <f aca="false">AZ504-BD504</f>
        <v>0</v>
      </c>
      <c r="BF504" s="34" t="n">
        <f aca="false">BD504*M504</f>
        <v>20585</v>
      </c>
      <c r="BG504" s="35" t="n">
        <f aca="false">BA504-BF504</f>
        <v>0</v>
      </c>
      <c r="BH504" s="19" t="str">
        <f aca="false">IF(BG504=0,"",IF(BG504&lt;&gt;BA504,"erreur de calcul",IF(BD504&lt;&gt;0,"pas de prix",IF(M504&lt;&gt; 0,"pas de quantité","pas de prix, ni de quantité"))))</f>
        <v/>
      </c>
      <c r="BI504" s="19"/>
    </row>
    <row r="505" customFormat="false" ht="16" hidden="false" customHeight="false" outlineLevel="0" collapsed="false">
      <c r="A505" s="0" t="n">
        <v>27</v>
      </c>
      <c r="B505" s="8" t="s">
        <v>24</v>
      </c>
      <c r="C505" s="9" t="s">
        <v>25</v>
      </c>
      <c r="D505" s="9" t="s">
        <v>26</v>
      </c>
      <c r="E505" s="10" t="n">
        <v>1789</v>
      </c>
      <c r="F505" s="9" t="s">
        <v>27</v>
      </c>
      <c r="G505" s="9" t="s">
        <v>27</v>
      </c>
      <c r="H505" s="11" t="n">
        <v>22</v>
      </c>
      <c r="I505" s="11" t="s">
        <v>230</v>
      </c>
      <c r="J505" s="14" t="n">
        <v>11</v>
      </c>
      <c r="K505" s="14"/>
      <c r="L505" s="16"/>
      <c r="M505" s="27" t="n">
        <f aca="false">J505+(K505/20)+(L505/240)</f>
        <v>11</v>
      </c>
      <c r="N505" s="17" t="s">
        <v>66</v>
      </c>
      <c r="O505" s="11"/>
      <c r="P505" s="28"/>
      <c r="Q505" s="28" t="n">
        <f aca="false">P505*$M505</f>
        <v>0</v>
      </c>
      <c r="R505" s="28"/>
      <c r="S505" s="28" t="n">
        <f aca="false">R505*$M505</f>
        <v>0</v>
      </c>
      <c r="T505" s="28"/>
      <c r="U505" s="28" t="n">
        <f aca="false">T505*$M505</f>
        <v>0</v>
      </c>
      <c r="V505" s="28"/>
      <c r="W505" s="28" t="n">
        <f aca="false">V505*$M505</f>
        <v>0</v>
      </c>
      <c r="X505" s="28"/>
      <c r="Y505" s="28" t="n">
        <f aca="false">X505*$M505</f>
        <v>0</v>
      </c>
      <c r="Z505" s="28"/>
      <c r="AA505" s="28" t="n">
        <f aca="false">Z505*$M505</f>
        <v>0</v>
      </c>
      <c r="AB505" s="28"/>
      <c r="AC505" s="28" t="n">
        <f aca="false">AB505*$M505</f>
        <v>0</v>
      </c>
      <c r="AD505" s="28"/>
      <c r="AE505" s="28" t="n">
        <f aca="false">AD505*$M505</f>
        <v>0</v>
      </c>
      <c r="AF505" s="28"/>
      <c r="AG505" s="28" t="n">
        <f aca="false">AF505*$M505</f>
        <v>0</v>
      </c>
      <c r="AH505" s="28"/>
      <c r="AI505" s="28" t="n">
        <f aca="false">AH505*$M505</f>
        <v>0</v>
      </c>
      <c r="AJ505" s="28" t="n">
        <v>34854</v>
      </c>
      <c r="AK505" s="28" t="n">
        <v>383394</v>
      </c>
      <c r="AL505" s="28"/>
      <c r="AM505" s="28" t="n">
        <f aca="false">AL505*$M505</f>
        <v>0</v>
      </c>
      <c r="AN505" s="28"/>
      <c r="AO505" s="28" t="n">
        <f aca="false">AN505*$M505</f>
        <v>0</v>
      </c>
      <c r="AP505" s="28"/>
      <c r="AQ505" s="28" t="n">
        <f aca="false">AP505*$M505</f>
        <v>0</v>
      </c>
      <c r="AR505" s="28"/>
      <c r="AS505" s="28" t="n">
        <f aca="false">AR505*$M505</f>
        <v>0</v>
      </c>
      <c r="AT505" s="28"/>
      <c r="AU505" s="28" t="n">
        <f aca="false">AT505*$M505</f>
        <v>0</v>
      </c>
      <c r="AV505" s="28"/>
      <c r="AW505" s="28" t="n">
        <f aca="false">AV505*$M505</f>
        <v>0</v>
      </c>
      <c r="AX505" s="28"/>
      <c r="AY505" s="28" t="n">
        <f aca="false">AX505*$M505</f>
        <v>0</v>
      </c>
      <c r="AZ505" s="30" t="n">
        <v>34854</v>
      </c>
      <c r="BA505" s="11" t="n">
        <v>383394</v>
      </c>
      <c r="BB505" s="31" t="n">
        <f aca="false">SUM(Q505,S505,U505,W505,Y505,AA505,AC505,AE505,AG505,AI505,AK505,AM505,AO505,AQ505,AS505,AU505,AW505,AY505)</f>
        <v>383394</v>
      </c>
      <c r="BC505" s="28" t="n">
        <f aca="false">BA505-BB505</f>
        <v>0</v>
      </c>
      <c r="BD505" s="32" t="n">
        <f aca="false">SUM(P505,R505,T505,V505,X505,Z505,AB505,AD505,AF505,AH505,AJ505,AL505,AN505,AP505,AR505,AT505,AV505,AX505)</f>
        <v>34854</v>
      </c>
      <c r="BE505" s="33" t="n">
        <f aca="false">AZ505-BD505</f>
        <v>0</v>
      </c>
      <c r="BF505" s="34" t="n">
        <f aca="false">BD505*M505</f>
        <v>383394</v>
      </c>
      <c r="BG505" s="35" t="n">
        <f aca="false">BA505-BF505</f>
        <v>0</v>
      </c>
      <c r="BH505" s="19" t="str">
        <f aca="false">IF(BG505=0,"",IF(BG505&lt;&gt;BA505,"erreur de calcul",IF(BD505&lt;&gt;0,"pas de prix",IF(M505&lt;&gt; 0,"pas de quantité","pas de prix, ni de quantité"))))</f>
        <v/>
      </c>
      <c r="BI505" s="19"/>
    </row>
    <row r="506" customFormat="false" ht="16" hidden="false" customHeight="false" outlineLevel="0" collapsed="false">
      <c r="A506" s="0" t="n">
        <v>28</v>
      </c>
      <c r="B506" s="8" t="s">
        <v>24</v>
      </c>
      <c r="C506" s="9" t="s">
        <v>25</v>
      </c>
      <c r="D506" s="9" t="s">
        <v>26</v>
      </c>
      <c r="E506" s="10" t="n">
        <v>1789</v>
      </c>
      <c r="F506" s="9" t="s">
        <v>27</v>
      </c>
      <c r="G506" s="9" t="s">
        <v>27</v>
      </c>
      <c r="H506" s="11" t="n">
        <v>22</v>
      </c>
      <c r="I506" s="11" t="s">
        <v>231</v>
      </c>
      <c r="J506" s="14" t="n">
        <v>18</v>
      </c>
      <c r="K506" s="14"/>
      <c r="L506" s="16"/>
      <c r="M506" s="27" t="n">
        <f aca="false">J506+(K506/20)+(L506/240)</f>
        <v>18</v>
      </c>
      <c r="N506" s="17" t="s">
        <v>66</v>
      </c>
      <c r="O506" s="11"/>
      <c r="P506" s="28"/>
      <c r="Q506" s="28" t="n">
        <f aca="false">P506*$M506</f>
        <v>0</v>
      </c>
      <c r="R506" s="28"/>
      <c r="S506" s="28" t="n">
        <f aca="false">R506*$M506</f>
        <v>0</v>
      </c>
      <c r="T506" s="28"/>
      <c r="U506" s="28" t="n">
        <f aca="false">T506*$M506</f>
        <v>0</v>
      </c>
      <c r="V506" s="28"/>
      <c r="W506" s="28" t="n">
        <f aca="false">V506*$M506</f>
        <v>0</v>
      </c>
      <c r="X506" s="28"/>
      <c r="Y506" s="28" t="n">
        <f aca="false">X506*$M506</f>
        <v>0</v>
      </c>
      <c r="Z506" s="28"/>
      <c r="AA506" s="28" t="n">
        <f aca="false">Z506*$M506</f>
        <v>0</v>
      </c>
      <c r="AB506" s="28"/>
      <c r="AC506" s="28" t="n">
        <f aca="false">AB506*$M506</f>
        <v>0</v>
      </c>
      <c r="AD506" s="28"/>
      <c r="AE506" s="28" t="n">
        <f aca="false">AD506*$M506</f>
        <v>0</v>
      </c>
      <c r="AF506" s="28"/>
      <c r="AG506" s="28" t="n">
        <f aca="false">AF506*$M506</f>
        <v>0</v>
      </c>
      <c r="AH506" s="28"/>
      <c r="AI506" s="28" t="n">
        <f aca="false">AH506*$M506</f>
        <v>0</v>
      </c>
      <c r="AJ506" s="28" t="n">
        <v>623</v>
      </c>
      <c r="AK506" s="28" t="n">
        <v>11214</v>
      </c>
      <c r="AL506" s="28"/>
      <c r="AM506" s="28" t="n">
        <f aca="false">AL506*$M506</f>
        <v>0</v>
      </c>
      <c r="AN506" s="28"/>
      <c r="AO506" s="28" t="n">
        <f aca="false">AN506*$M506</f>
        <v>0</v>
      </c>
      <c r="AP506" s="28"/>
      <c r="AQ506" s="28" t="n">
        <f aca="false">AP506*$M506</f>
        <v>0</v>
      </c>
      <c r="AR506" s="28"/>
      <c r="AS506" s="28" t="n">
        <f aca="false">AR506*$M506</f>
        <v>0</v>
      </c>
      <c r="AT506" s="28"/>
      <c r="AU506" s="28" t="n">
        <f aca="false">AT506*$M506</f>
        <v>0</v>
      </c>
      <c r="AV506" s="28"/>
      <c r="AW506" s="28" t="n">
        <f aca="false">AV506*$M506</f>
        <v>0</v>
      </c>
      <c r="AX506" s="28"/>
      <c r="AY506" s="28" t="n">
        <f aca="false">AX506*$M506</f>
        <v>0</v>
      </c>
      <c r="AZ506" s="30" t="n">
        <v>623</v>
      </c>
      <c r="BA506" s="11" t="n">
        <v>11214</v>
      </c>
      <c r="BB506" s="31" t="n">
        <f aca="false">SUM(Q506,S506,U506,W506,Y506,AA506,AC506,AE506,AG506,AI506,AK506,AM506,AO506,AQ506,AS506,AU506,AW506,AY506)</f>
        <v>11214</v>
      </c>
      <c r="BC506" s="28" t="n">
        <f aca="false">BA506-BB506</f>
        <v>0</v>
      </c>
      <c r="BD506" s="32" t="n">
        <f aca="false">SUM(P506,R506,T506,V506,X506,Z506,AB506,AD506,AF506,AH506,AJ506,AL506,AN506,AP506,AR506,AT506,AV506,AX506)</f>
        <v>623</v>
      </c>
      <c r="BE506" s="33" t="n">
        <f aca="false">AZ506-BD506</f>
        <v>0</v>
      </c>
      <c r="BF506" s="34" t="n">
        <f aca="false">BD506*M506</f>
        <v>11214</v>
      </c>
      <c r="BG506" s="35" t="n">
        <f aca="false">BA506-BF506</f>
        <v>0</v>
      </c>
      <c r="BH506" s="19" t="str">
        <f aca="false">IF(BG506=0,"",IF(BG506&lt;&gt;BA506,"erreur de calcul",IF(BD506&lt;&gt;0,"pas de prix",IF(M506&lt;&gt; 0,"pas de quantité","pas de prix, ni de quantité"))))</f>
        <v/>
      </c>
      <c r="BI506" s="19"/>
    </row>
    <row r="507" customFormat="false" ht="16" hidden="false" customHeight="false" outlineLevel="0" collapsed="false">
      <c r="A507" s="0" t="n">
        <v>29</v>
      </c>
      <c r="B507" s="8" t="s">
        <v>24</v>
      </c>
      <c r="C507" s="9" t="s">
        <v>25</v>
      </c>
      <c r="D507" s="9" t="s">
        <v>26</v>
      </c>
      <c r="E507" s="10" t="n">
        <v>1789</v>
      </c>
      <c r="F507" s="9" t="s">
        <v>27</v>
      </c>
      <c r="G507" s="9" t="s">
        <v>27</v>
      </c>
      <c r="H507" s="11" t="n">
        <v>22</v>
      </c>
      <c r="I507" s="11" t="s">
        <v>232</v>
      </c>
      <c r="J507" s="14" t="n">
        <v>66</v>
      </c>
      <c r="K507" s="14"/>
      <c r="L507" s="16"/>
      <c r="M507" s="27" t="n">
        <f aca="false">J507+(K507/20)+(L507/240)</f>
        <v>66</v>
      </c>
      <c r="N507" s="17" t="s">
        <v>64</v>
      </c>
      <c r="O507" s="11"/>
      <c r="P507" s="28"/>
      <c r="Q507" s="28" t="n">
        <f aca="false">P507*$M507</f>
        <v>0</v>
      </c>
      <c r="R507" s="28" t="n">
        <f aca="false">4580/100</f>
        <v>45.8</v>
      </c>
      <c r="S507" s="28" t="n">
        <v>3023</v>
      </c>
      <c r="T507" s="28"/>
      <c r="U507" s="28" t="n">
        <f aca="false">T507*$M507</f>
        <v>0</v>
      </c>
      <c r="V507" s="28"/>
      <c r="W507" s="28" t="n">
        <f aca="false">V507*$M507</f>
        <v>0</v>
      </c>
      <c r="X507" s="28"/>
      <c r="Y507" s="28" t="n">
        <f aca="false">X507*$M507</f>
        <v>0</v>
      </c>
      <c r="Z507" s="28"/>
      <c r="AA507" s="28" t="n">
        <f aca="false">Z507*$M507</f>
        <v>0</v>
      </c>
      <c r="AB507" s="28"/>
      <c r="AC507" s="28" t="n">
        <f aca="false">AB507*$M507</f>
        <v>0</v>
      </c>
      <c r="AD507" s="28"/>
      <c r="AE507" s="28" t="n">
        <f aca="false">AD507*$M507</f>
        <v>0</v>
      </c>
      <c r="AF507" s="28"/>
      <c r="AG507" s="28" t="n">
        <f aca="false">AF507*$M507</f>
        <v>0</v>
      </c>
      <c r="AH507" s="28"/>
      <c r="AI507" s="28" t="n">
        <f aca="false">AH507*$M507</f>
        <v>0</v>
      </c>
      <c r="AJ507" s="28"/>
      <c r="AK507" s="28" t="n">
        <f aca="false">AJ507*$M507</f>
        <v>0</v>
      </c>
      <c r="AL507" s="28"/>
      <c r="AM507" s="28" t="n">
        <f aca="false">AL507*$M507</f>
        <v>0</v>
      </c>
      <c r="AN507" s="28"/>
      <c r="AO507" s="28" t="n">
        <f aca="false">AN507*$M507</f>
        <v>0</v>
      </c>
      <c r="AP507" s="28"/>
      <c r="AQ507" s="28" t="n">
        <f aca="false">AP507*$M507</f>
        <v>0</v>
      </c>
      <c r="AR507" s="28"/>
      <c r="AS507" s="28" t="n">
        <f aca="false">AR507*$M507</f>
        <v>0</v>
      </c>
      <c r="AT507" s="28"/>
      <c r="AU507" s="28" t="n">
        <f aca="false">AT507*$M507</f>
        <v>0</v>
      </c>
      <c r="AV507" s="28"/>
      <c r="AW507" s="28" t="n">
        <f aca="false">AV507*$M507</f>
        <v>0</v>
      </c>
      <c r="AX507" s="28"/>
      <c r="AY507" s="28" t="n">
        <f aca="false">AX507*$M507</f>
        <v>0</v>
      </c>
      <c r="AZ507" s="30" t="n">
        <f aca="false">4580/100</f>
        <v>45.8</v>
      </c>
      <c r="BA507" s="11" t="n">
        <v>3023</v>
      </c>
      <c r="BB507" s="31" t="n">
        <f aca="false">SUM(Q507,S507,U507,W507,Y507,AA507,AC507,AE507,AG507,AI507,AK507,AM507,AO507,AQ507,AS507,AU507,AW507,AY507)</f>
        <v>3023</v>
      </c>
      <c r="BC507" s="28" t="n">
        <f aca="false">BA507-BB507</f>
        <v>0</v>
      </c>
      <c r="BD507" s="32" t="n">
        <f aca="false">SUM(P507,R507,T507,V507,X507,Z507,AB507,AD507,AF507,AH507,AJ507,AL507,AN507,AP507,AR507,AT507,AV507,AX507)</f>
        <v>45.8</v>
      </c>
      <c r="BE507" s="33" t="n">
        <f aca="false">AZ507-BD507</f>
        <v>0</v>
      </c>
      <c r="BF507" s="34" t="n">
        <f aca="false">BD507*M507</f>
        <v>3022.8</v>
      </c>
      <c r="BG507" s="35" t="n">
        <f aca="false">BA507-BF507</f>
        <v>0.200000000000273</v>
      </c>
      <c r="BH507" s="19" t="str">
        <f aca="false">IF(BG507=0,"",IF(BG507&lt;&gt;BA507,"erreur de calcul",IF(BD507&lt;&gt;0,"pas de prix",IF(M507&lt;&gt; 0,"pas de quantité","pas de prix, ni de quantité"))))</f>
        <v>erreur de calcul</v>
      </c>
      <c r="BI507" s="19"/>
    </row>
    <row r="508" customFormat="false" ht="16" hidden="false" customHeight="false" outlineLevel="0" collapsed="false">
      <c r="A508" s="0" t="n">
        <v>30</v>
      </c>
      <c r="B508" s="8" t="s">
        <v>24</v>
      </c>
      <c r="C508" s="9" t="s">
        <v>25</v>
      </c>
      <c r="D508" s="9" t="s">
        <v>26</v>
      </c>
      <c r="E508" s="10" t="n">
        <v>1789</v>
      </c>
      <c r="F508" s="9" t="s">
        <v>27</v>
      </c>
      <c r="G508" s="9" t="s">
        <v>27</v>
      </c>
      <c r="H508" s="11" t="n">
        <v>22</v>
      </c>
      <c r="I508" s="11" t="s">
        <v>233</v>
      </c>
      <c r="J508" s="14" t="n">
        <v>155</v>
      </c>
      <c r="K508" s="14"/>
      <c r="L508" s="16"/>
      <c r="M508" s="27" t="n">
        <f aca="false">J508+(K508/20)+(L508/240)</f>
        <v>155</v>
      </c>
      <c r="N508" s="17" t="s">
        <v>64</v>
      </c>
      <c r="O508" s="11"/>
      <c r="P508" s="28" t="n">
        <f aca="false">27574/100</f>
        <v>275.74</v>
      </c>
      <c r="Q508" s="28" t="n">
        <v>42740</v>
      </c>
      <c r="R508" s="28" t="n">
        <f aca="false">7820/100</f>
        <v>78.2</v>
      </c>
      <c r="S508" s="28" t="n">
        <v>12121</v>
      </c>
      <c r="T508" s="28"/>
      <c r="U508" s="28" t="n">
        <f aca="false">T508*$M508</f>
        <v>0</v>
      </c>
      <c r="V508" s="28" t="n">
        <f aca="false">37316/100</f>
        <v>373.16</v>
      </c>
      <c r="W508" s="28" t="n">
        <v>57840</v>
      </c>
      <c r="X508" s="28" t="n">
        <f aca="false">1394/100</f>
        <v>13.94</v>
      </c>
      <c r="Y508" s="28" t="n">
        <v>2161</v>
      </c>
      <c r="Z508" s="28"/>
      <c r="AA508" s="28" t="n">
        <f aca="false">Z508*$M508</f>
        <v>0</v>
      </c>
      <c r="AB508" s="28"/>
      <c r="AC508" s="28" t="n">
        <f aca="false">AB508*$M508</f>
        <v>0</v>
      </c>
      <c r="AD508" s="28"/>
      <c r="AE508" s="28" t="n">
        <f aca="false">AD508*$M508</f>
        <v>0</v>
      </c>
      <c r="AF508" s="28"/>
      <c r="AG508" s="28" t="n">
        <f aca="false">AF508*$M508</f>
        <v>0</v>
      </c>
      <c r="AH508" s="28"/>
      <c r="AI508" s="28" t="n">
        <f aca="false">AH508*$M508</f>
        <v>0</v>
      </c>
      <c r="AJ508" s="28" t="n">
        <f aca="false">158255/100</f>
        <v>1582.55</v>
      </c>
      <c r="AK508" s="28" t="n">
        <v>245295</v>
      </c>
      <c r="AL508" s="28"/>
      <c r="AM508" s="28" t="n">
        <f aca="false">AL508*$M508</f>
        <v>0</v>
      </c>
      <c r="AN508" s="28" t="n">
        <f aca="false">417945/100</f>
        <v>4179.45</v>
      </c>
      <c r="AO508" s="28" t="n">
        <v>647815</v>
      </c>
      <c r="AP508" s="28"/>
      <c r="AQ508" s="28" t="n">
        <f aca="false">AP508*$M508</f>
        <v>0</v>
      </c>
      <c r="AR508" s="28"/>
      <c r="AS508" s="28" t="n">
        <f aca="false">AR508*$M508</f>
        <v>0</v>
      </c>
      <c r="AT508" s="28"/>
      <c r="AU508" s="28" t="n">
        <f aca="false">AT508*$M508</f>
        <v>0</v>
      </c>
      <c r="AV508" s="28"/>
      <c r="AW508" s="28" t="n">
        <f aca="false">AV508*$M508</f>
        <v>0</v>
      </c>
      <c r="AX508" s="28"/>
      <c r="AY508" s="28" t="n">
        <f aca="false">AX508*$M508</f>
        <v>0</v>
      </c>
      <c r="AZ508" s="30" t="n">
        <f aca="false">650304/100</f>
        <v>6503.04</v>
      </c>
      <c r="BA508" s="11" t="n">
        <v>1007972</v>
      </c>
      <c r="BB508" s="31" t="n">
        <f aca="false">SUM(Q508,S508,U508,W508,Y508,AA508,AC508,AE508,AG508,AI508,AK508,AM508,AO508,AQ508,AS508,AU508,AW508,AY508)</f>
        <v>1007972</v>
      </c>
      <c r="BC508" s="28" t="n">
        <f aca="false">BA508-BB508</f>
        <v>0</v>
      </c>
      <c r="BD508" s="32" t="n">
        <f aca="false">SUM(P508,R508,T508,V508,X508,Z508,AB508,AD508,AF508,AH508,AJ508,AL508,AN508,AP508,AR508,AT508,AV508,AX508)</f>
        <v>6503.04</v>
      </c>
      <c r="BE508" s="33" t="n">
        <f aca="false">AZ508-BD508</f>
        <v>0</v>
      </c>
      <c r="BF508" s="34" t="n">
        <f aca="false">BD508*M508</f>
        <v>1007971.2</v>
      </c>
      <c r="BG508" s="35" t="n">
        <f aca="false">BA508-BF508</f>
        <v>0.800000000046566</v>
      </c>
      <c r="BH508" s="19" t="str">
        <f aca="false">IF(BG508=0,"",IF(BG508&lt;&gt;BA508,"erreur de calcul",IF(BD508&lt;&gt;0,"pas de prix",IF(M508&lt;&gt; 0,"pas de quantité","pas de prix, ni de quantité"))))</f>
        <v>erreur de calcul</v>
      </c>
      <c r="BI508" s="19"/>
    </row>
    <row r="509" customFormat="false" ht="16" hidden="false" customHeight="false" outlineLevel="0" collapsed="false">
      <c r="A509" s="0" t="n">
        <v>31</v>
      </c>
      <c r="B509" s="8" t="s">
        <v>24</v>
      </c>
      <c r="C509" s="9" t="s">
        <v>25</v>
      </c>
      <c r="D509" s="9" t="s">
        <v>26</v>
      </c>
      <c r="E509" s="10" t="n">
        <v>1789</v>
      </c>
      <c r="F509" s="9" t="s">
        <v>27</v>
      </c>
      <c r="G509" s="9" t="s">
        <v>27</v>
      </c>
      <c r="H509" s="11" t="n">
        <v>22</v>
      </c>
      <c r="I509" s="11" t="s">
        <v>234</v>
      </c>
      <c r="J509" s="14" t="n">
        <v>110</v>
      </c>
      <c r="K509" s="14"/>
      <c r="L509" s="16"/>
      <c r="M509" s="27" t="n">
        <f aca="false">J509+(K509/20)+(L509/240)</f>
        <v>110</v>
      </c>
      <c r="N509" s="17" t="s">
        <v>64</v>
      </c>
      <c r="O509" s="11"/>
      <c r="P509" s="28" t="n">
        <f aca="false">73942/100</f>
        <v>739.42</v>
      </c>
      <c r="Q509" s="28" t="n">
        <v>81336</v>
      </c>
      <c r="R509" s="28"/>
      <c r="S509" s="28" t="n">
        <f aca="false">R509*$M509</f>
        <v>0</v>
      </c>
      <c r="T509" s="28"/>
      <c r="U509" s="28" t="n">
        <f aca="false">T509*$M509</f>
        <v>0</v>
      </c>
      <c r="V509" s="28"/>
      <c r="W509" s="28" t="n">
        <f aca="false">V509*$M509</f>
        <v>0</v>
      </c>
      <c r="X509" s="28"/>
      <c r="Y509" s="28" t="n">
        <f aca="false">X509*$M509</f>
        <v>0</v>
      </c>
      <c r="Z509" s="28"/>
      <c r="AA509" s="28" t="n">
        <f aca="false">Z509*$M509</f>
        <v>0</v>
      </c>
      <c r="AB509" s="28"/>
      <c r="AC509" s="28" t="n">
        <f aca="false">AB509*$M509</f>
        <v>0</v>
      </c>
      <c r="AD509" s="28"/>
      <c r="AE509" s="28" t="n">
        <f aca="false">AD509*$M509</f>
        <v>0</v>
      </c>
      <c r="AF509" s="28"/>
      <c r="AG509" s="28" t="n">
        <f aca="false">AF509*$M509</f>
        <v>0</v>
      </c>
      <c r="AH509" s="28"/>
      <c r="AI509" s="28" t="n">
        <f aca="false">AH509*$M509</f>
        <v>0</v>
      </c>
      <c r="AJ509" s="28"/>
      <c r="AK509" s="28" t="n">
        <f aca="false">AJ509*$M509</f>
        <v>0</v>
      </c>
      <c r="AL509" s="28"/>
      <c r="AM509" s="28" t="n">
        <f aca="false">AL509*$M509</f>
        <v>0</v>
      </c>
      <c r="AN509" s="28"/>
      <c r="AO509" s="28" t="n">
        <f aca="false">AN509*$M509</f>
        <v>0</v>
      </c>
      <c r="AP509" s="28"/>
      <c r="AQ509" s="28" t="n">
        <f aca="false">AP509*$M509</f>
        <v>0</v>
      </c>
      <c r="AR509" s="28"/>
      <c r="AS509" s="28" t="n">
        <f aca="false">AR509*$M509</f>
        <v>0</v>
      </c>
      <c r="AT509" s="28"/>
      <c r="AU509" s="28" t="n">
        <f aca="false">AT509*$M509</f>
        <v>0</v>
      </c>
      <c r="AV509" s="28"/>
      <c r="AW509" s="28" t="n">
        <f aca="false">AV509*$M509</f>
        <v>0</v>
      </c>
      <c r="AX509" s="28"/>
      <c r="AY509" s="28" t="n">
        <f aca="false">AX509*$M509</f>
        <v>0</v>
      </c>
      <c r="AZ509" s="30" t="n">
        <f aca="false">73942/100</f>
        <v>739.42</v>
      </c>
      <c r="BA509" s="11" t="n">
        <v>81336</v>
      </c>
      <c r="BB509" s="31" t="n">
        <f aca="false">SUM(Q509,S509,U509,W509,Y509,AA509,AC509,AE509,AG509,AI509,AK509,AM509,AO509,AQ509,AS509,AU509,AW509,AY509)</f>
        <v>81336</v>
      </c>
      <c r="BC509" s="28" t="n">
        <f aca="false">BA509-BB509</f>
        <v>0</v>
      </c>
      <c r="BD509" s="32" t="n">
        <f aca="false">SUM(P509,R509,T509,V509,X509,Z509,AB509,AD509,AF509,AH509,AJ509,AL509,AN509,AP509,AR509,AT509,AV509,AX509)</f>
        <v>739.42</v>
      </c>
      <c r="BE509" s="33" t="n">
        <f aca="false">AZ509-BD509</f>
        <v>0</v>
      </c>
      <c r="BF509" s="34" t="n">
        <f aca="false">BD509*M509</f>
        <v>81336.2</v>
      </c>
      <c r="BG509" s="35" t="n">
        <f aca="false">BA509-BF509</f>
        <v>-0.19999999999709</v>
      </c>
      <c r="BH509" s="19" t="str">
        <f aca="false">IF(BG509=0,"",IF(BG509&lt;&gt;BA509,"erreur de calcul",IF(BD509&lt;&gt;0,"pas de prix",IF(M509&lt;&gt; 0,"pas de quantité","pas de prix, ni de quantité"))))</f>
        <v>erreur de calcul</v>
      </c>
      <c r="BI509" s="19"/>
    </row>
    <row r="510" customFormat="false" ht="16" hidden="false" customHeight="false" outlineLevel="0" collapsed="false">
      <c r="A510" s="0" t="n">
        <v>32</v>
      </c>
      <c r="B510" s="8" t="s">
        <v>24</v>
      </c>
      <c r="C510" s="9" t="s">
        <v>25</v>
      </c>
      <c r="D510" s="9" t="s">
        <v>26</v>
      </c>
      <c r="E510" s="10" t="n">
        <v>1789</v>
      </c>
      <c r="F510" s="9" t="s">
        <v>27</v>
      </c>
      <c r="G510" s="9" t="s">
        <v>27</v>
      </c>
      <c r="H510" s="11" t="n">
        <v>22</v>
      </c>
      <c r="I510" s="11" t="s">
        <v>235</v>
      </c>
      <c r="J510" s="14" t="n">
        <v>60</v>
      </c>
      <c r="K510" s="14"/>
      <c r="L510" s="16"/>
      <c r="M510" s="27" t="n">
        <f aca="false">J510+(K510/20)+(L510/240)</f>
        <v>60</v>
      </c>
      <c r="N510" s="17" t="s">
        <v>64</v>
      </c>
      <c r="O510" s="11"/>
      <c r="P510" s="28"/>
      <c r="Q510" s="28" t="n">
        <f aca="false">P510*$M510</f>
        <v>0</v>
      </c>
      <c r="R510" s="28"/>
      <c r="S510" s="28" t="n">
        <f aca="false">R510*$M510</f>
        <v>0</v>
      </c>
      <c r="T510" s="28"/>
      <c r="U510" s="28" t="n">
        <f aca="false">T510*$M510</f>
        <v>0</v>
      </c>
      <c r="V510" s="28" t="n">
        <f aca="false">232/100</f>
        <v>2.32</v>
      </c>
      <c r="W510" s="28" t="n">
        <v>139</v>
      </c>
      <c r="X510" s="28" t="n">
        <f aca="false">5603/100</f>
        <v>56.03</v>
      </c>
      <c r="Y510" s="28" t="n">
        <v>3362</v>
      </c>
      <c r="Z510" s="28"/>
      <c r="AA510" s="28" t="n">
        <f aca="false">Z510*$M510</f>
        <v>0</v>
      </c>
      <c r="AB510" s="28" t="n">
        <f aca="false">1410/100</f>
        <v>14.1</v>
      </c>
      <c r="AC510" s="28" t="n">
        <v>846</v>
      </c>
      <c r="AD510" s="28"/>
      <c r="AE510" s="28" t="n">
        <f aca="false">AD510*$M510</f>
        <v>0</v>
      </c>
      <c r="AF510" s="28" t="n">
        <f aca="false">162899/100</f>
        <v>1628.99</v>
      </c>
      <c r="AG510" s="28" t="n">
        <v>97739</v>
      </c>
      <c r="AH510" s="28" t="n">
        <f aca="false">6506/100</f>
        <v>65.06</v>
      </c>
      <c r="AI510" s="28" t="n">
        <v>3904</v>
      </c>
      <c r="AJ510" s="28"/>
      <c r="AK510" s="28" t="n">
        <f aca="false">AJ510*$M510</f>
        <v>0</v>
      </c>
      <c r="AL510" s="28"/>
      <c r="AM510" s="28" t="n">
        <f aca="false">AL510*$M510</f>
        <v>0</v>
      </c>
      <c r="AN510" s="28"/>
      <c r="AO510" s="28" t="n">
        <f aca="false">AN510*$M510</f>
        <v>0</v>
      </c>
      <c r="AP510" s="28"/>
      <c r="AQ510" s="28" t="n">
        <f aca="false">AP510*$M510</f>
        <v>0</v>
      </c>
      <c r="AR510" s="28"/>
      <c r="AS510" s="28" t="n">
        <f aca="false">AR510*$M510</f>
        <v>0</v>
      </c>
      <c r="AT510" s="28"/>
      <c r="AU510" s="28" t="n">
        <f aca="false">AT510*$M510</f>
        <v>0</v>
      </c>
      <c r="AV510" s="28"/>
      <c r="AW510" s="28" t="n">
        <f aca="false">AV510*$M510</f>
        <v>0</v>
      </c>
      <c r="AX510" s="28"/>
      <c r="AY510" s="28" t="n">
        <f aca="false">AX510*$M510</f>
        <v>0</v>
      </c>
      <c r="AZ510" s="30" t="n">
        <f aca="false">176650/100</f>
        <v>1766.5</v>
      </c>
      <c r="BA510" s="11" t="n">
        <v>105990</v>
      </c>
      <c r="BB510" s="31" t="n">
        <f aca="false">SUM(Q510,S510,U510,W510,Y510,AA510,AC510,AE510,AG510,AI510,AK510,AM510,AO510,AQ510,AS510,AU510,AW510,AY510)</f>
        <v>105990</v>
      </c>
      <c r="BC510" s="28" t="n">
        <f aca="false">BA510-BB510</f>
        <v>0</v>
      </c>
      <c r="BD510" s="32" t="n">
        <f aca="false">SUM(P510,R510,T510,V510,X510,Z510,AB510,AD510,AF510,AH510,AJ510,AL510,AN510,AP510,AR510,AT510,AV510,AX510)</f>
        <v>1766.5</v>
      </c>
      <c r="BE510" s="33" t="n">
        <f aca="false">AZ510-BD510</f>
        <v>0</v>
      </c>
      <c r="BF510" s="34" t="n">
        <f aca="false">BD510*M510</f>
        <v>105990</v>
      </c>
      <c r="BG510" s="35" t="n">
        <f aca="false">BA510-BF510</f>
        <v>0</v>
      </c>
      <c r="BH510" s="19" t="str">
        <f aca="false">IF(BG510=0,"",IF(BG510&lt;&gt;BA510,"erreur de calcul",IF(BD510&lt;&gt;0,"pas de prix",IF(M510&lt;&gt; 0,"pas de quantité","pas de prix, ni de quantité"))))</f>
        <v/>
      </c>
      <c r="BI510" s="19"/>
    </row>
    <row r="511" customFormat="false" ht="16" hidden="false" customHeight="false" outlineLevel="0" collapsed="false">
      <c r="A511" s="0" t="n">
        <v>33</v>
      </c>
      <c r="B511" s="8" t="s">
        <v>24</v>
      </c>
      <c r="C511" s="9" t="s">
        <v>25</v>
      </c>
      <c r="D511" s="9" t="s">
        <v>26</v>
      </c>
      <c r="E511" s="10" t="n">
        <v>1789</v>
      </c>
      <c r="F511" s="9" t="s">
        <v>27</v>
      </c>
      <c r="G511" s="9" t="s">
        <v>27</v>
      </c>
      <c r="H511" s="11" t="n">
        <v>22</v>
      </c>
      <c r="I511" s="11" t="s">
        <v>236</v>
      </c>
      <c r="J511" s="14" t="n">
        <v>710</v>
      </c>
      <c r="K511" s="14"/>
      <c r="L511" s="16"/>
      <c r="M511" s="27" t="n">
        <f aca="false">J511+(K511/20)+(L511/240)</f>
        <v>710</v>
      </c>
      <c r="N511" s="17" t="s">
        <v>64</v>
      </c>
      <c r="O511" s="11"/>
      <c r="P511" s="28"/>
      <c r="Q511" s="28" t="n">
        <f aca="false">P511*$M511</f>
        <v>0</v>
      </c>
      <c r="R511" s="28"/>
      <c r="S511" s="28" t="n">
        <f aca="false">R511*$M511</f>
        <v>0</v>
      </c>
      <c r="T511" s="28" t="n">
        <f aca="false">108/100</f>
        <v>1.08</v>
      </c>
      <c r="U511" s="28" t="n">
        <v>767</v>
      </c>
      <c r="V511" s="28" t="n">
        <f aca="false">1190/100</f>
        <v>11.9</v>
      </c>
      <c r="W511" s="28" t="n">
        <v>8449</v>
      </c>
      <c r="X511" s="28" t="n">
        <f aca="false">487/100</f>
        <v>4.87</v>
      </c>
      <c r="Y511" s="28" t="n">
        <v>3458</v>
      </c>
      <c r="Z511" s="28"/>
      <c r="AA511" s="28" t="n">
        <f aca="false">Z511*$M511</f>
        <v>0</v>
      </c>
      <c r="AB511" s="28" t="n">
        <f aca="false">9170/100</f>
        <v>91.7</v>
      </c>
      <c r="AC511" s="28" t="n">
        <v>65107</v>
      </c>
      <c r="AD511" s="28" t="n">
        <f aca="false">531/100</f>
        <v>5.31</v>
      </c>
      <c r="AE511" s="28" t="n">
        <v>3770</v>
      </c>
      <c r="AF511" s="28"/>
      <c r="AG511" s="28" t="n">
        <f aca="false">AF511*$M511</f>
        <v>0</v>
      </c>
      <c r="AH511" s="28"/>
      <c r="AI511" s="28" t="n">
        <f aca="false">AH511*$M511</f>
        <v>0</v>
      </c>
      <c r="AJ511" s="28"/>
      <c r="AK511" s="28" t="n">
        <f aca="false">AJ511*$M511</f>
        <v>0</v>
      </c>
      <c r="AL511" s="28"/>
      <c r="AM511" s="28" t="n">
        <f aca="false">AL511*$M511</f>
        <v>0</v>
      </c>
      <c r="AN511" s="28"/>
      <c r="AO511" s="28" t="n">
        <f aca="false">AN511*$M511</f>
        <v>0</v>
      </c>
      <c r="AP511" s="28"/>
      <c r="AQ511" s="28" t="n">
        <f aca="false">AP511*$M511</f>
        <v>0</v>
      </c>
      <c r="AR511" s="28"/>
      <c r="AS511" s="28" t="n">
        <f aca="false">AR511*$M511</f>
        <v>0</v>
      </c>
      <c r="AT511" s="28"/>
      <c r="AU511" s="28" t="n">
        <f aca="false">AT511*$M511</f>
        <v>0</v>
      </c>
      <c r="AV511" s="28"/>
      <c r="AW511" s="28" t="n">
        <f aca="false">AV511*$M511</f>
        <v>0</v>
      </c>
      <c r="AX511" s="28"/>
      <c r="AY511" s="28" t="n">
        <f aca="false">AX511*$M511</f>
        <v>0</v>
      </c>
      <c r="AZ511" s="30" t="n">
        <f aca="false">11486/100</f>
        <v>114.86</v>
      </c>
      <c r="BA511" s="11" t="n">
        <v>81551</v>
      </c>
      <c r="BB511" s="31" t="n">
        <f aca="false">SUM(Q511,S511,U511,W511,Y511,AA511,AC511,AE511,AG511,AI511,AK511,AM511,AO511,AQ511,AS511,AU511,AW511,AY511)</f>
        <v>81551</v>
      </c>
      <c r="BC511" s="28" t="n">
        <f aca="false">BA511-BB511</f>
        <v>0</v>
      </c>
      <c r="BD511" s="32" t="n">
        <f aca="false">SUM(P511,R511,T511,V511,X511,Z511,AB511,AD511,AF511,AH511,AJ511,AL511,AN511,AP511,AR511,AT511,AV511,AX511)</f>
        <v>114.86</v>
      </c>
      <c r="BE511" s="33" t="n">
        <f aca="false">AZ511-BD511</f>
        <v>0</v>
      </c>
      <c r="BF511" s="34" t="n">
        <f aca="false">BD511*M511</f>
        <v>81550.6</v>
      </c>
      <c r="BG511" s="35" t="n">
        <f aca="false">BA511-BF511</f>
        <v>0.399999999994179</v>
      </c>
      <c r="BH511" s="19" t="str">
        <f aca="false">IF(BG511=0,"",IF(BG511&lt;&gt;BA511,"erreur de calcul",IF(BD511&lt;&gt;0,"pas de prix",IF(M511&lt;&gt; 0,"pas de quantité","pas de prix, ni de quantité"))))</f>
        <v>erreur de calcul</v>
      </c>
      <c r="BI511" s="19"/>
    </row>
    <row r="512" customFormat="false" ht="16" hidden="false" customHeight="false" outlineLevel="0" collapsed="false">
      <c r="A512" s="0" t="n">
        <v>34</v>
      </c>
      <c r="B512" s="8" t="s">
        <v>24</v>
      </c>
      <c r="C512" s="9" t="s">
        <v>25</v>
      </c>
      <c r="D512" s="9" t="s">
        <v>26</v>
      </c>
      <c r="E512" s="10" t="n">
        <v>1789</v>
      </c>
      <c r="F512" s="9" t="s">
        <v>27</v>
      </c>
      <c r="G512" s="9" t="s">
        <v>27</v>
      </c>
      <c r="H512" s="11" t="n">
        <v>22</v>
      </c>
      <c r="I512" s="11" t="s">
        <v>237</v>
      </c>
      <c r="J512" s="14" t="n">
        <v>91</v>
      </c>
      <c r="K512" s="14"/>
      <c r="L512" s="16"/>
      <c r="M512" s="27" t="n">
        <f aca="false">J512+(K512/20)+(L512/240)</f>
        <v>91</v>
      </c>
      <c r="N512" s="17" t="s">
        <v>64</v>
      </c>
      <c r="O512" s="11"/>
      <c r="P512" s="28"/>
      <c r="Q512" s="28" t="n">
        <f aca="false">P512*$M512</f>
        <v>0</v>
      </c>
      <c r="R512" s="28"/>
      <c r="S512" s="28" t="n">
        <f aca="false">R512*$M512</f>
        <v>0</v>
      </c>
      <c r="T512" s="28"/>
      <c r="U512" s="28" t="n">
        <f aca="false">T512*$M512</f>
        <v>0</v>
      </c>
      <c r="V512" s="28" t="n">
        <f aca="false">3384/100</f>
        <v>33.84</v>
      </c>
      <c r="W512" s="28" t="n">
        <v>3079</v>
      </c>
      <c r="X512" s="28" t="n">
        <f aca="false">18105/100</f>
        <v>181.05</v>
      </c>
      <c r="Y512" s="28" t="n">
        <v>16475</v>
      </c>
      <c r="Z512" s="28"/>
      <c r="AA512" s="28" t="n">
        <f aca="false">Z512*$M512</f>
        <v>0</v>
      </c>
      <c r="AB512" s="28"/>
      <c r="AC512" s="28" t="n">
        <f aca="false">AB512*$M512</f>
        <v>0</v>
      </c>
      <c r="AD512" s="28"/>
      <c r="AE512" s="28" t="n">
        <f aca="false">AD512*$M512</f>
        <v>0</v>
      </c>
      <c r="AF512" s="28"/>
      <c r="AG512" s="28" t="n">
        <f aca="false">AF512*$M512</f>
        <v>0</v>
      </c>
      <c r="AH512" s="28"/>
      <c r="AI512" s="28" t="n">
        <f aca="false">AH512*$M512</f>
        <v>0</v>
      </c>
      <c r="AJ512" s="28"/>
      <c r="AK512" s="28" t="n">
        <f aca="false">AJ512*$M512</f>
        <v>0</v>
      </c>
      <c r="AL512" s="28"/>
      <c r="AM512" s="28" t="n">
        <f aca="false">AL512*$M512</f>
        <v>0</v>
      </c>
      <c r="AN512" s="28"/>
      <c r="AO512" s="28" t="n">
        <f aca="false">AN512*$M512</f>
        <v>0</v>
      </c>
      <c r="AP512" s="28"/>
      <c r="AQ512" s="28" t="n">
        <f aca="false">AP512*$M512</f>
        <v>0</v>
      </c>
      <c r="AR512" s="28"/>
      <c r="AS512" s="28" t="n">
        <f aca="false">AR512*$M512</f>
        <v>0</v>
      </c>
      <c r="AT512" s="28"/>
      <c r="AU512" s="28" t="n">
        <f aca="false">AT512*$M512</f>
        <v>0</v>
      </c>
      <c r="AV512" s="28"/>
      <c r="AW512" s="28" t="n">
        <f aca="false">AV512*$M512</f>
        <v>0</v>
      </c>
      <c r="AX512" s="28"/>
      <c r="AY512" s="28" t="n">
        <f aca="false">AX512*$M512</f>
        <v>0</v>
      </c>
      <c r="AZ512" s="30" t="n">
        <f aca="false">21489/100</f>
        <v>214.89</v>
      </c>
      <c r="BA512" s="11" t="n">
        <v>19554</v>
      </c>
      <c r="BB512" s="31" t="n">
        <f aca="false">SUM(Q512,S512,U512,W512,Y512,AA512,AC512,AE512,AG512,AI512,AK512,AM512,AO512,AQ512,AS512,AU512,AW512,AY512)</f>
        <v>19554</v>
      </c>
      <c r="BC512" s="28" t="n">
        <f aca="false">BA512-BB512</f>
        <v>0</v>
      </c>
      <c r="BD512" s="32" t="n">
        <f aca="false">SUM(P512,R512,T512,V512,X512,Z512,AB512,AD512,AF512,AH512,AJ512,AL512,AN512,AP512,AR512,AT512,AV512,AX512)</f>
        <v>214.89</v>
      </c>
      <c r="BE512" s="33" t="n">
        <f aca="false">AZ512-BD512</f>
        <v>0</v>
      </c>
      <c r="BF512" s="34" t="n">
        <f aca="false">BD512*M512</f>
        <v>19554.99</v>
      </c>
      <c r="BG512" s="35" t="n">
        <f aca="false">BA512-BF512</f>
        <v>-0.990000000001601</v>
      </c>
      <c r="BH512" s="19" t="str">
        <f aca="false">IF(BG512=0,"",IF(BG512&lt;&gt;BA512,"erreur de calcul",IF(BD512&lt;&gt;0,"pas de prix",IF(M512&lt;&gt; 0,"pas de quantité","pas de prix, ni de quantité"))))</f>
        <v>erreur de calcul</v>
      </c>
      <c r="BI512" s="19"/>
    </row>
    <row r="513" customFormat="false" ht="16" hidden="false" customHeight="false" outlineLevel="0" collapsed="false">
      <c r="A513" s="0" t="n">
        <v>35</v>
      </c>
      <c r="B513" s="8" t="s">
        <v>24</v>
      </c>
      <c r="C513" s="9" t="s">
        <v>25</v>
      </c>
      <c r="D513" s="9" t="s">
        <v>26</v>
      </c>
      <c r="E513" s="10" t="n">
        <v>1789</v>
      </c>
      <c r="F513" s="9" t="s">
        <v>27</v>
      </c>
      <c r="G513" s="9" t="s">
        <v>27</v>
      </c>
      <c r="H513" s="11" t="n">
        <v>22</v>
      </c>
      <c r="I513" s="11" t="s">
        <v>238</v>
      </c>
      <c r="J513" s="14" t="n">
        <v>40</v>
      </c>
      <c r="K513" s="14"/>
      <c r="L513" s="16"/>
      <c r="M513" s="27" t="n">
        <f aca="false">J513+(K513/20)+(L513/240)</f>
        <v>40</v>
      </c>
      <c r="N513" s="17" t="s">
        <v>66</v>
      </c>
      <c r="O513" s="11"/>
      <c r="P513" s="28" t="n">
        <v>150</v>
      </c>
      <c r="Q513" s="28" t="n">
        <v>6000</v>
      </c>
      <c r="R513" s="28"/>
      <c r="S513" s="28" t="n">
        <f aca="false">R513*$M513</f>
        <v>0</v>
      </c>
      <c r="T513" s="28" t="n">
        <v>467</v>
      </c>
      <c r="U513" s="28" t="n">
        <v>18680</v>
      </c>
      <c r="V513" s="28" t="n">
        <v>1124</v>
      </c>
      <c r="W513" s="28" t="n">
        <v>44960</v>
      </c>
      <c r="X513" s="28" t="n">
        <v>591</v>
      </c>
      <c r="Y513" s="28" t="n">
        <v>23640</v>
      </c>
      <c r="Z513" s="28"/>
      <c r="AA513" s="28" t="n">
        <f aca="false">Z513*$M513</f>
        <v>0</v>
      </c>
      <c r="AB513" s="28" t="n">
        <v>554</v>
      </c>
      <c r="AC513" s="28" t="n">
        <v>22160</v>
      </c>
      <c r="AD513" s="28"/>
      <c r="AE513" s="28" t="n">
        <f aca="false">AD513*$M513</f>
        <v>0</v>
      </c>
      <c r="AF513" s="28"/>
      <c r="AG513" s="28" t="n">
        <f aca="false">AF513*$M513</f>
        <v>0</v>
      </c>
      <c r="AH513" s="28" t="n">
        <v>1109</v>
      </c>
      <c r="AI513" s="28" t="n">
        <v>44360</v>
      </c>
      <c r="AJ513" s="28"/>
      <c r="AK513" s="28" t="n">
        <f aca="false">AJ513*$M513</f>
        <v>0</v>
      </c>
      <c r="AL513" s="28"/>
      <c r="AM513" s="28" t="n">
        <f aca="false">AL513*$M513</f>
        <v>0</v>
      </c>
      <c r="AN513" s="28"/>
      <c r="AO513" s="28" t="n">
        <f aca="false">AN513*$M513</f>
        <v>0</v>
      </c>
      <c r="AP513" s="28"/>
      <c r="AQ513" s="28" t="n">
        <f aca="false">AP513*$M513</f>
        <v>0</v>
      </c>
      <c r="AR513" s="28"/>
      <c r="AS513" s="28" t="n">
        <f aca="false">AR513*$M513</f>
        <v>0</v>
      </c>
      <c r="AT513" s="28"/>
      <c r="AU513" s="28" t="n">
        <f aca="false">AT513*$M513</f>
        <v>0</v>
      </c>
      <c r="AV513" s="28"/>
      <c r="AW513" s="28" t="n">
        <f aca="false">AV513*$M513</f>
        <v>0</v>
      </c>
      <c r="AX513" s="28"/>
      <c r="AY513" s="28" t="n">
        <f aca="false">AX513*$M513</f>
        <v>0</v>
      </c>
      <c r="AZ513" s="30" t="n">
        <v>3995</v>
      </c>
      <c r="BA513" s="11" t="n">
        <v>159800</v>
      </c>
      <c r="BB513" s="31" t="n">
        <f aca="false">SUM(Q513,S513,U513,W513,Y513,AA513,AC513,AE513,AG513,AI513,AK513,AM513,AO513,AQ513,AS513,AU513,AW513,AY513)</f>
        <v>159800</v>
      </c>
      <c r="BC513" s="28" t="n">
        <f aca="false">BA513-BB513</f>
        <v>0</v>
      </c>
      <c r="BD513" s="32" t="n">
        <f aca="false">SUM(P513,R513,T513,V513,X513,Z513,AB513,AD513,AF513,AH513,AJ513,AL513,AN513,AP513,AR513,AT513,AV513,AX513)</f>
        <v>3995</v>
      </c>
      <c r="BE513" s="33" t="n">
        <f aca="false">AZ513-BD513</f>
        <v>0</v>
      </c>
      <c r="BF513" s="34" t="n">
        <f aca="false">BD513*M513</f>
        <v>159800</v>
      </c>
      <c r="BG513" s="35" t="n">
        <f aca="false">BA513-BF513</f>
        <v>0</v>
      </c>
      <c r="BH513" s="19" t="str">
        <f aca="false">IF(BG513=0,"",IF(BG513&lt;&gt;BA513,"erreur de calcul",IF(BD513&lt;&gt;0,"pas de prix",IF(M513&lt;&gt; 0,"pas de quantité","pas de prix, ni de quantité"))))</f>
        <v/>
      </c>
      <c r="BI513" s="19"/>
    </row>
    <row r="514" customFormat="false" ht="16" hidden="false" customHeight="false" outlineLevel="0" collapsed="false">
      <c r="A514" s="0" t="n">
        <v>36</v>
      </c>
      <c r="B514" s="8" t="s">
        <v>24</v>
      </c>
      <c r="C514" s="9" t="s">
        <v>25</v>
      </c>
      <c r="D514" s="9" t="s">
        <v>26</v>
      </c>
      <c r="E514" s="10" t="n">
        <v>1789</v>
      </c>
      <c r="F514" s="9" t="s">
        <v>27</v>
      </c>
      <c r="G514" s="9" t="s">
        <v>27</v>
      </c>
      <c r="H514" s="11" t="n">
        <v>22</v>
      </c>
      <c r="I514" s="11" t="s">
        <v>239</v>
      </c>
      <c r="J514" s="14" t="n">
        <v>48</v>
      </c>
      <c r="K514" s="14"/>
      <c r="L514" s="16"/>
      <c r="M514" s="27" t="n">
        <f aca="false">J514+(K514/20)+(L514/240)</f>
        <v>48</v>
      </c>
      <c r="N514" s="17" t="s">
        <v>66</v>
      </c>
      <c r="O514" s="11"/>
      <c r="P514" s="28"/>
      <c r="Q514" s="28" t="n">
        <f aca="false">P514*$M514</f>
        <v>0</v>
      </c>
      <c r="R514" s="28"/>
      <c r="S514" s="28" t="n">
        <f aca="false">R514*$M514</f>
        <v>0</v>
      </c>
      <c r="T514" s="28" t="n">
        <v>690</v>
      </c>
      <c r="U514" s="28" t="n">
        <v>33120</v>
      </c>
      <c r="V514" s="28" t="n">
        <v>3577</v>
      </c>
      <c r="W514" s="28" t="n">
        <v>171696</v>
      </c>
      <c r="X514" s="28"/>
      <c r="Y514" s="28" t="n">
        <f aca="false">X514*$M514</f>
        <v>0</v>
      </c>
      <c r="Z514" s="28"/>
      <c r="AA514" s="28" t="n">
        <f aca="false">Z514*$M514</f>
        <v>0</v>
      </c>
      <c r="AB514" s="28"/>
      <c r="AC514" s="28" t="n">
        <f aca="false">AB514*$M514</f>
        <v>0</v>
      </c>
      <c r="AD514" s="28"/>
      <c r="AE514" s="28" t="n">
        <f aca="false">AD514*$M514</f>
        <v>0</v>
      </c>
      <c r="AF514" s="28"/>
      <c r="AG514" s="28" t="n">
        <f aca="false">AF514*$M514</f>
        <v>0</v>
      </c>
      <c r="AH514" s="28"/>
      <c r="AI514" s="28" t="n">
        <f aca="false">AH514*$M514</f>
        <v>0</v>
      </c>
      <c r="AJ514" s="28"/>
      <c r="AK514" s="28" t="n">
        <f aca="false">AJ514*$M514</f>
        <v>0</v>
      </c>
      <c r="AL514" s="28"/>
      <c r="AM514" s="28" t="n">
        <f aca="false">AL514*$M514</f>
        <v>0</v>
      </c>
      <c r="AN514" s="28"/>
      <c r="AO514" s="28" t="n">
        <f aca="false">AN514*$M514</f>
        <v>0</v>
      </c>
      <c r="AP514" s="28"/>
      <c r="AQ514" s="28" t="n">
        <f aca="false">AP514*$M514</f>
        <v>0</v>
      </c>
      <c r="AR514" s="28"/>
      <c r="AS514" s="28" t="n">
        <f aca="false">AR514*$M514</f>
        <v>0</v>
      </c>
      <c r="AT514" s="28"/>
      <c r="AU514" s="28" t="n">
        <f aca="false">AT514*$M514</f>
        <v>0</v>
      </c>
      <c r="AV514" s="28"/>
      <c r="AW514" s="28" t="n">
        <f aca="false">AV514*$M514</f>
        <v>0</v>
      </c>
      <c r="AX514" s="28"/>
      <c r="AY514" s="28" t="n">
        <f aca="false">AX514*$M514</f>
        <v>0</v>
      </c>
      <c r="AZ514" s="30" t="n">
        <v>4267</v>
      </c>
      <c r="BA514" s="11" t="n">
        <v>204816</v>
      </c>
      <c r="BB514" s="31" t="n">
        <f aca="false">SUM(Q514,S514,U514,W514,Y514,AA514,AC514,AE514,AG514,AI514,AK514,AM514,AO514,AQ514,AS514,AU514,AW514,AY514)</f>
        <v>204816</v>
      </c>
      <c r="BC514" s="28" t="n">
        <f aca="false">BA514-BB514</f>
        <v>0</v>
      </c>
      <c r="BD514" s="32" t="n">
        <f aca="false">SUM(P514,R514,T514,V514,X514,Z514,AB514,AD514,AF514,AH514,AJ514,AL514,AN514,AP514,AR514,AT514,AV514,AX514)</f>
        <v>4267</v>
      </c>
      <c r="BE514" s="33" t="n">
        <f aca="false">AZ514-BD514</f>
        <v>0</v>
      </c>
      <c r="BF514" s="34" t="n">
        <f aca="false">BD514*M514</f>
        <v>204816</v>
      </c>
      <c r="BG514" s="35" t="n">
        <f aca="false">BA514-BF514</f>
        <v>0</v>
      </c>
      <c r="BH514" s="19" t="str">
        <f aca="false">IF(BG514=0,"",IF(BG514&lt;&gt;BA514,"erreur de calcul",IF(BD514&lt;&gt;0,"pas de prix",IF(M514&lt;&gt; 0,"pas de quantité","pas de prix, ni de quantité"))))</f>
        <v/>
      </c>
      <c r="BI514" s="19"/>
    </row>
    <row r="515" customFormat="false" ht="16" hidden="false" customHeight="false" outlineLevel="0" collapsed="false">
      <c r="A515" s="0" t="n">
        <v>37</v>
      </c>
      <c r="B515" s="8" t="s">
        <v>24</v>
      </c>
      <c r="C515" s="9" t="s">
        <v>25</v>
      </c>
      <c r="D515" s="9" t="s">
        <v>26</v>
      </c>
      <c r="E515" s="10" t="n">
        <v>1789</v>
      </c>
      <c r="F515" s="9" t="s">
        <v>27</v>
      </c>
      <c r="G515" s="9" t="s">
        <v>27</v>
      </c>
      <c r="H515" s="11" t="n">
        <v>22</v>
      </c>
      <c r="I515" s="11" t="s">
        <v>240</v>
      </c>
      <c r="J515" s="14" t="n">
        <v>30</v>
      </c>
      <c r="K515" s="14"/>
      <c r="L515" s="16"/>
      <c r="M515" s="27" t="n">
        <f aca="false">J515+(K515/20)+(L515/240)</f>
        <v>30</v>
      </c>
      <c r="N515" s="17" t="s">
        <v>66</v>
      </c>
      <c r="O515" s="11"/>
      <c r="P515" s="28"/>
      <c r="Q515" s="28" t="n">
        <f aca="false">P515*$M515</f>
        <v>0</v>
      </c>
      <c r="R515" s="28"/>
      <c r="S515" s="28" t="n">
        <f aca="false">R515*$M515</f>
        <v>0</v>
      </c>
      <c r="T515" s="28"/>
      <c r="U515" s="28" t="n">
        <f aca="false">T515*$M515</f>
        <v>0</v>
      </c>
      <c r="V515" s="28"/>
      <c r="W515" s="28" t="n">
        <f aca="false">V515*$M515</f>
        <v>0</v>
      </c>
      <c r="X515" s="28"/>
      <c r="Y515" s="28" t="n">
        <f aca="false">X515*$M515</f>
        <v>0</v>
      </c>
      <c r="Z515" s="28"/>
      <c r="AA515" s="28" t="n">
        <f aca="false">Z515*$M515</f>
        <v>0</v>
      </c>
      <c r="AB515" s="28"/>
      <c r="AC515" s="28" t="n">
        <f aca="false">AB515*$M515</f>
        <v>0</v>
      </c>
      <c r="AD515" s="28"/>
      <c r="AE515" s="28" t="n">
        <f aca="false">AD515*$M515</f>
        <v>0</v>
      </c>
      <c r="AF515" s="28"/>
      <c r="AG515" s="28" t="n">
        <f aca="false">AF515*$M515</f>
        <v>0</v>
      </c>
      <c r="AH515" s="28" t="n">
        <v>4770</v>
      </c>
      <c r="AI515" s="28" t="n">
        <v>143100</v>
      </c>
      <c r="AJ515" s="28"/>
      <c r="AK515" s="28" t="n">
        <f aca="false">AJ515*$M515</f>
        <v>0</v>
      </c>
      <c r="AL515" s="28"/>
      <c r="AM515" s="28" t="n">
        <f aca="false">AL515*$M515</f>
        <v>0</v>
      </c>
      <c r="AN515" s="28"/>
      <c r="AO515" s="28" t="n">
        <f aca="false">AN515*$M515</f>
        <v>0</v>
      </c>
      <c r="AP515" s="28"/>
      <c r="AQ515" s="28" t="n">
        <f aca="false">AP515*$M515</f>
        <v>0</v>
      </c>
      <c r="AR515" s="28"/>
      <c r="AS515" s="28" t="n">
        <f aca="false">AR515*$M515</f>
        <v>0</v>
      </c>
      <c r="AT515" s="28"/>
      <c r="AU515" s="28" t="n">
        <f aca="false">AT515*$M515</f>
        <v>0</v>
      </c>
      <c r="AV515" s="28"/>
      <c r="AW515" s="28" t="n">
        <f aca="false">AV515*$M515</f>
        <v>0</v>
      </c>
      <c r="AX515" s="28"/>
      <c r="AY515" s="28" t="n">
        <f aca="false">AX515*$M515</f>
        <v>0</v>
      </c>
      <c r="AZ515" s="30" t="n">
        <v>4770</v>
      </c>
      <c r="BA515" s="11" t="n">
        <v>143100</v>
      </c>
      <c r="BB515" s="31" t="n">
        <f aca="false">SUM(Q515,S515,U515,W515,Y515,AA515,AC515,AE515,AG515,AI515,AK515,AM515,AO515,AQ515,AS515,AU515,AW515,AY515)</f>
        <v>143100</v>
      </c>
      <c r="BC515" s="28" t="n">
        <f aca="false">BA515-BB515</f>
        <v>0</v>
      </c>
      <c r="BD515" s="32" t="n">
        <f aca="false">SUM(P515,R515,T515,V515,X515,Z515,AB515,AD515,AF515,AH515,AJ515,AL515,AN515,AP515,AR515,AT515,AV515,AX515)</f>
        <v>4770</v>
      </c>
      <c r="BE515" s="33" t="n">
        <f aca="false">AZ515-BD515</f>
        <v>0</v>
      </c>
      <c r="BF515" s="34" t="n">
        <f aca="false">BD515*M515</f>
        <v>143100</v>
      </c>
      <c r="BG515" s="35" t="n">
        <f aca="false">BA515-BF515</f>
        <v>0</v>
      </c>
      <c r="BH515" s="19" t="str">
        <f aca="false">IF(BG515=0,"",IF(BG515&lt;&gt;BA515,"erreur de calcul",IF(BD515&lt;&gt;0,"pas de prix",IF(M515&lt;&gt; 0,"pas de quantité","pas de prix, ni de quantité"))))</f>
        <v/>
      </c>
      <c r="BI515" s="19"/>
    </row>
    <row r="516" customFormat="false" ht="16" hidden="false" customHeight="false" outlineLevel="0" collapsed="false">
      <c r="A516" s="0" t="n">
        <v>38</v>
      </c>
      <c r="B516" s="8" t="s">
        <v>24</v>
      </c>
      <c r="C516" s="9" t="s">
        <v>25</v>
      </c>
      <c r="D516" s="9" t="s">
        <v>26</v>
      </c>
      <c r="E516" s="10" t="n">
        <v>1789</v>
      </c>
      <c r="F516" s="9" t="s">
        <v>27</v>
      </c>
      <c r="G516" s="9" t="s">
        <v>27</v>
      </c>
      <c r="H516" s="11" t="n">
        <v>22</v>
      </c>
      <c r="I516" s="11" t="s">
        <v>241</v>
      </c>
      <c r="J516" s="14" t="n">
        <v>24</v>
      </c>
      <c r="K516" s="14"/>
      <c r="L516" s="16"/>
      <c r="M516" s="27" t="n">
        <f aca="false">J516+(K516/20)+(L516/240)</f>
        <v>24</v>
      </c>
      <c r="N516" s="17" t="s">
        <v>64</v>
      </c>
      <c r="O516" s="11"/>
      <c r="P516" s="28" t="n">
        <f aca="false">188958/100</f>
        <v>1889.58</v>
      </c>
      <c r="Q516" s="28" t="n">
        <v>45350</v>
      </c>
      <c r="R516" s="28"/>
      <c r="S516" s="28" t="n">
        <f aca="false">R516*$M516</f>
        <v>0</v>
      </c>
      <c r="T516" s="28"/>
      <c r="U516" s="28" t="n">
        <f aca="false">T516*$M516</f>
        <v>0</v>
      </c>
      <c r="V516" s="28" t="n">
        <f aca="false">10567/100</f>
        <v>105.67</v>
      </c>
      <c r="W516" s="28" t="n">
        <v>2536</v>
      </c>
      <c r="X516" s="28" t="n">
        <f aca="false">9467/100</f>
        <v>94.67</v>
      </c>
      <c r="Y516" s="28" t="n">
        <v>2272</v>
      </c>
      <c r="Z516" s="28"/>
      <c r="AA516" s="28" t="n">
        <f aca="false">Z516*$M516</f>
        <v>0</v>
      </c>
      <c r="AB516" s="28"/>
      <c r="AC516" s="28" t="n">
        <f aca="false">AB516*$M516</f>
        <v>0</v>
      </c>
      <c r="AD516" s="28"/>
      <c r="AE516" s="28" t="n">
        <f aca="false">AD516*$M516</f>
        <v>0</v>
      </c>
      <c r="AF516" s="28"/>
      <c r="AG516" s="28" t="n">
        <f aca="false">AF516*$M516</f>
        <v>0</v>
      </c>
      <c r="AH516" s="28"/>
      <c r="AI516" s="28" t="n">
        <f aca="false">AH516*$M516</f>
        <v>0</v>
      </c>
      <c r="AJ516" s="28"/>
      <c r="AK516" s="28" t="n">
        <f aca="false">AJ516*$M516</f>
        <v>0</v>
      </c>
      <c r="AL516" s="28"/>
      <c r="AM516" s="28" t="n">
        <f aca="false">AL516*$M516</f>
        <v>0</v>
      </c>
      <c r="AN516" s="28"/>
      <c r="AO516" s="28" t="n">
        <f aca="false">AN516*$M516</f>
        <v>0</v>
      </c>
      <c r="AP516" s="28"/>
      <c r="AQ516" s="28" t="n">
        <f aca="false">AP516*$M516</f>
        <v>0</v>
      </c>
      <c r="AR516" s="28"/>
      <c r="AS516" s="28" t="n">
        <f aca="false">AR516*$M516</f>
        <v>0</v>
      </c>
      <c r="AT516" s="28"/>
      <c r="AU516" s="28" t="n">
        <f aca="false">AT516*$M516</f>
        <v>0</v>
      </c>
      <c r="AV516" s="28"/>
      <c r="AW516" s="28" t="n">
        <f aca="false">AV516*$M516</f>
        <v>0</v>
      </c>
      <c r="AX516" s="28" t="n">
        <f aca="false">328659/100</f>
        <v>3286.59</v>
      </c>
      <c r="AY516" s="28" t="n">
        <v>78878</v>
      </c>
      <c r="AZ516" s="30" t="n">
        <f aca="false">537651/100</f>
        <v>5376.51</v>
      </c>
      <c r="BA516" s="11" t="n">
        <v>129036</v>
      </c>
      <c r="BB516" s="31" t="n">
        <f aca="false">SUM(Q516,S516,U516,W516,Y516,AA516,AC516,AE516,AG516,AI516,AK516,AM516,AO516,AQ516,AS516,AU516,AW516,AY516)</f>
        <v>129036</v>
      </c>
      <c r="BC516" s="28" t="n">
        <f aca="false">BA516-BB516</f>
        <v>0</v>
      </c>
      <c r="BD516" s="32" t="n">
        <f aca="false">SUM(P516,R516,T516,V516,X516,Z516,AB516,AD516,AF516,AH516,AJ516,AL516,AN516,AP516,AR516,AT516,AV516,AX516)</f>
        <v>5376.51</v>
      </c>
      <c r="BE516" s="33" t="n">
        <f aca="false">AZ516-BD516</f>
        <v>0</v>
      </c>
      <c r="BF516" s="34" t="n">
        <f aca="false">BD516*M516</f>
        <v>129036.24</v>
      </c>
      <c r="BG516" s="35" t="n">
        <f aca="false">BA516-BF516</f>
        <v>-0.240000000005239</v>
      </c>
      <c r="BH516" s="19" t="str">
        <f aca="false">IF(BG516=0,"",IF(BG516&lt;&gt;BA516,"erreur de calcul",IF(BD516&lt;&gt;0,"pas de prix",IF(M516&lt;&gt; 0,"pas de quantité","pas de prix, ni de quantité"))))</f>
        <v>erreur de calcul</v>
      </c>
      <c r="BI516" s="19"/>
    </row>
    <row r="517" customFormat="false" ht="16" hidden="false" customHeight="false" outlineLevel="0" collapsed="false">
      <c r="A517" s="0" t="n">
        <v>39</v>
      </c>
      <c r="B517" s="8" t="s">
        <v>24</v>
      </c>
      <c r="C517" s="9" t="s">
        <v>25</v>
      </c>
      <c r="D517" s="9" t="s">
        <v>26</v>
      </c>
      <c r="E517" s="10" t="n">
        <v>1789</v>
      </c>
      <c r="F517" s="9" t="s">
        <v>27</v>
      </c>
      <c r="G517" s="9" t="s">
        <v>27</v>
      </c>
      <c r="H517" s="11" t="n">
        <v>22</v>
      </c>
      <c r="I517" s="11" t="s">
        <v>242</v>
      </c>
      <c r="J517" s="14" t="n">
        <v>41</v>
      </c>
      <c r="K517" s="14"/>
      <c r="L517" s="16"/>
      <c r="M517" s="27" t="n">
        <f aca="false">J517+(K517/20)+(L517/240)</f>
        <v>41</v>
      </c>
      <c r="N517" s="17" t="s">
        <v>64</v>
      </c>
      <c r="O517" s="11"/>
      <c r="P517" s="28"/>
      <c r="Q517" s="28" t="n">
        <f aca="false">P517*$M517</f>
        <v>0</v>
      </c>
      <c r="R517" s="28"/>
      <c r="S517" s="28" t="n">
        <f aca="false">R517*$M517</f>
        <v>0</v>
      </c>
      <c r="T517" s="28" t="n">
        <f aca="false">441/100</f>
        <v>4.41</v>
      </c>
      <c r="U517" s="28" t="n">
        <v>181</v>
      </c>
      <c r="V517" s="28"/>
      <c r="W517" s="28" t="n">
        <f aca="false">V517*$M517</f>
        <v>0</v>
      </c>
      <c r="X517" s="28"/>
      <c r="Y517" s="28" t="n">
        <f aca="false">X517*$M517</f>
        <v>0</v>
      </c>
      <c r="Z517" s="28"/>
      <c r="AA517" s="28" t="n">
        <f aca="false">Z517*$M517</f>
        <v>0</v>
      </c>
      <c r="AB517" s="28"/>
      <c r="AC517" s="28" t="n">
        <f aca="false">AB517*$M517</f>
        <v>0</v>
      </c>
      <c r="AD517" s="28"/>
      <c r="AE517" s="28" t="n">
        <f aca="false">AD517*$M517</f>
        <v>0</v>
      </c>
      <c r="AF517" s="28"/>
      <c r="AG517" s="28" t="n">
        <f aca="false">AF517*$M517</f>
        <v>0</v>
      </c>
      <c r="AH517" s="28"/>
      <c r="AI517" s="28" t="n">
        <f aca="false">AH517*$M517</f>
        <v>0</v>
      </c>
      <c r="AJ517" s="28"/>
      <c r="AK517" s="28" t="n">
        <f aca="false">AJ517*$M517</f>
        <v>0</v>
      </c>
      <c r="AL517" s="28"/>
      <c r="AM517" s="28" t="n">
        <f aca="false">AL517*$M517</f>
        <v>0</v>
      </c>
      <c r="AN517" s="28"/>
      <c r="AO517" s="28" t="n">
        <f aca="false">AN517*$M517</f>
        <v>0</v>
      </c>
      <c r="AP517" s="28"/>
      <c r="AQ517" s="28" t="n">
        <f aca="false">AP517*$M517</f>
        <v>0</v>
      </c>
      <c r="AR517" s="28"/>
      <c r="AS517" s="28" t="n">
        <f aca="false">AR517*$M517</f>
        <v>0</v>
      </c>
      <c r="AT517" s="28"/>
      <c r="AU517" s="28" t="n">
        <f aca="false">AT517*$M517</f>
        <v>0</v>
      </c>
      <c r="AV517" s="28"/>
      <c r="AW517" s="28" t="n">
        <f aca="false">AV517*$M517</f>
        <v>0</v>
      </c>
      <c r="AX517" s="28"/>
      <c r="AY517" s="28" t="n">
        <f aca="false">AX517*$M517</f>
        <v>0</v>
      </c>
      <c r="AZ517" s="30" t="n">
        <f aca="false">441/100</f>
        <v>4.41</v>
      </c>
      <c r="BA517" s="11" t="n">
        <v>181</v>
      </c>
      <c r="BB517" s="31" t="n">
        <f aca="false">SUM(Q517,S517,U517,W517,Y517,AA517,AC517,AE517,AG517,AI517,AK517,AM517,AO517,AQ517,AS517,AU517,AW517,AY517)</f>
        <v>181</v>
      </c>
      <c r="BC517" s="28" t="n">
        <f aca="false">BA517-BB517</f>
        <v>0</v>
      </c>
      <c r="BD517" s="32" t="n">
        <f aca="false">SUM(P517,R517,T517,V517,X517,Z517,AB517,AD517,AF517,AH517,AJ517,AL517,AN517,AP517,AR517,AT517,AV517,AX517)</f>
        <v>4.41</v>
      </c>
      <c r="BE517" s="33" t="n">
        <f aca="false">AZ517-BD517</f>
        <v>0</v>
      </c>
      <c r="BF517" s="34" t="n">
        <f aca="false">BD517*M517</f>
        <v>180.81</v>
      </c>
      <c r="BG517" s="35" t="n">
        <f aca="false">BA517-BF517</f>
        <v>0.189999999999998</v>
      </c>
      <c r="BH517" s="19" t="str">
        <f aca="false">IF(BG517=0,"",IF(BG517&lt;&gt;BA517,"erreur de calcul",IF(BD517&lt;&gt;0,"pas de prix",IF(M517&lt;&gt; 0,"pas de quantité","pas de prix, ni de quantité"))))</f>
        <v>erreur de calcul</v>
      </c>
      <c r="BI517" s="19"/>
    </row>
    <row r="518" customFormat="false" ht="16" hidden="false" customHeight="false" outlineLevel="0" collapsed="false">
      <c r="A518" s="0" t="n">
        <v>1</v>
      </c>
      <c r="B518" s="8" t="s">
        <v>24</v>
      </c>
      <c r="C518" s="9" t="s">
        <v>25</v>
      </c>
      <c r="D518" s="9" t="s">
        <v>26</v>
      </c>
      <c r="E518" s="10" t="n">
        <v>1789</v>
      </c>
      <c r="F518" s="9" t="s">
        <v>27</v>
      </c>
      <c r="G518" s="9" t="s">
        <v>27</v>
      </c>
      <c r="H518" s="11" t="n">
        <v>23</v>
      </c>
      <c r="I518" s="11" t="s">
        <v>243</v>
      </c>
      <c r="J518" s="14"/>
      <c r="K518" s="14"/>
      <c r="L518" s="16"/>
      <c r="M518" s="27" t="n">
        <f aca="false">J518+(K518/20)+(L518/240)</f>
        <v>0</v>
      </c>
      <c r="N518" s="17"/>
      <c r="O518" s="11"/>
      <c r="P518" s="28"/>
      <c r="Q518" s="28" t="n">
        <f aca="false">P518*$M518</f>
        <v>0</v>
      </c>
      <c r="R518" s="28"/>
      <c r="S518" s="28" t="n">
        <f aca="false">R518*$M518</f>
        <v>0</v>
      </c>
      <c r="T518" s="28"/>
      <c r="U518" s="28" t="n">
        <f aca="false">T518*$M518</f>
        <v>0</v>
      </c>
      <c r="V518" s="28"/>
      <c r="W518" s="28" t="n">
        <v>100</v>
      </c>
      <c r="X518" s="28"/>
      <c r="Y518" s="28" t="n">
        <v>563</v>
      </c>
      <c r="Z518" s="28"/>
      <c r="AA518" s="28" t="n">
        <f aca="false">Z518*$M518</f>
        <v>0</v>
      </c>
      <c r="AB518" s="28"/>
      <c r="AC518" s="28" t="n">
        <f aca="false">AB518*$M518</f>
        <v>0</v>
      </c>
      <c r="AD518" s="28"/>
      <c r="AE518" s="28" t="n">
        <f aca="false">AD518*$M518</f>
        <v>0</v>
      </c>
      <c r="AF518" s="28"/>
      <c r="AG518" s="28" t="n">
        <f aca="false">AF518*$M518</f>
        <v>0</v>
      </c>
      <c r="AH518" s="28"/>
      <c r="AI518" s="28" t="n">
        <f aca="false">AH518*$M518</f>
        <v>0</v>
      </c>
      <c r="AJ518" s="28"/>
      <c r="AK518" s="28" t="n">
        <v>1015</v>
      </c>
      <c r="AL518" s="28"/>
      <c r="AM518" s="28" t="n">
        <f aca="false">AL518*$M518</f>
        <v>0</v>
      </c>
      <c r="AN518" s="28"/>
      <c r="AO518" s="28" t="n">
        <f aca="false">AN518*$M518</f>
        <v>0</v>
      </c>
      <c r="AP518" s="28"/>
      <c r="AQ518" s="28" t="n">
        <f aca="false">AP518*$M518</f>
        <v>0</v>
      </c>
      <c r="AR518" s="28"/>
      <c r="AS518" s="28" t="n">
        <f aca="false">AR518*$M518</f>
        <v>0</v>
      </c>
      <c r="AT518" s="28"/>
      <c r="AU518" s="28" t="n">
        <f aca="false">AT518*$M518</f>
        <v>0</v>
      </c>
      <c r="AV518" s="28"/>
      <c r="AW518" s="28" t="n">
        <f aca="false">AV518*$M518</f>
        <v>0</v>
      </c>
      <c r="AX518" s="28"/>
      <c r="AY518" s="28" t="n">
        <f aca="false">AX518*$M518</f>
        <v>0</v>
      </c>
      <c r="AZ518" s="30"/>
      <c r="BA518" s="11" t="n">
        <v>1678</v>
      </c>
      <c r="BB518" s="31" t="n">
        <f aca="false">SUM(Q518,S518,U518,W518,Y518,AA518,AC518,AE518,AG518,AI518,AK518,AM518,AO518,AQ518,AS518,AU518,AW518,AY518)</f>
        <v>1678</v>
      </c>
      <c r="BC518" s="28" t="n">
        <f aca="false">BA518-BB518</f>
        <v>0</v>
      </c>
      <c r="BD518" s="32" t="n">
        <f aca="false">SUM(P518,R518,T518,V518,X518,Z518,AB518,AD518,AF518,AH518,AJ518,AL518,AN518,AP518,AR518,AT518,AV518,AX518)</f>
        <v>0</v>
      </c>
      <c r="BE518" s="33" t="n">
        <f aca="false">AZ518-BD518</f>
        <v>0</v>
      </c>
      <c r="BF518" s="34" t="n">
        <f aca="false">BD518*M518</f>
        <v>0</v>
      </c>
      <c r="BG518" s="35" t="n">
        <f aca="false">BA518-BF518</f>
        <v>1678</v>
      </c>
      <c r="BH518" s="19" t="str">
        <f aca="false">IF(BG518=0,"",IF(BG518&lt;&gt;BA518,"erreur de calcul",IF(BD518&lt;&gt;0,"pas de prix",IF(M518&lt;&gt; 0,"pas de quantité","pas de prix, ni de quantité"))))</f>
        <v>pas de prix, ni de quantité</v>
      </c>
      <c r="BI518" s="19"/>
    </row>
    <row r="519" customFormat="false" ht="16" hidden="false" customHeight="false" outlineLevel="0" collapsed="false">
      <c r="A519" s="0" t="n">
        <v>2</v>
      </c>
      <c r="B519" s="8" t="s">
        <v>24</v>
      </c>
      <c r="C519" s="9" t="s">
        <v>25</v>
      </c>
      <c r="D519" s="9" t="s">
        <v>26</v>
      </c>
      <c r="E519" s="10" t="n">
        <v>1789</v>
      </c>
      <c r="F519" s="9" t="s">
        <v>27</v>
      </c>
      <c r="G519" s="9" t="s">
        <v>27</v>
      </c>
      <c r="H519" s="11" t="n">
        <v>23</v>
      </c>
      <c r="I519" s="11" t="s">
        <v>244</v>
      </c>
      <c r="J519" s="14" t="n">
        <v>22</v>
      </c>
      <c r="K519" s="14"/>
      <c r="L519" s="16"/>
      <c r="M519" s="27" t="n">
        <f aca="false">J519+(K519/20)+(L519/240)</f>
        <v>22</v>
      </c>
      <c r="N519" s="17" t="s">
        <v>64</v>
      </c>
      <c r="O519" s="11"/>
      <c r="P519" s="28"/>
      <c r="Q519" s="28" t="n">
        <f aca="false">P519*$M519</f>
        <v>0</v>
      </c>
      <c r="R519" s="28"/>
      <c r="S519" s="28" t="n">
        <f aca="false">R519*$M519</f>
        <v>0</v>
      </c>
      <c r="T519" s="28"/>
      <c r="U519" s="28" t="n">
        <f aca="false">T519*$M519</f>
        <v>0</v>
      </c>
      <c r="V519" s="28" t="n">
        <f aca="false">15346/100</f>
        <v>153.46</v>
      </c>
      <c r="W519" s="28" t="n">
        <v>3376</v>
      </c>
      <c r="X519" s="28"/>
      <c r="Y519" s="28" t="n">
        <f aca="false">X519*$M519</f>
        <v>0</v>
      </c>
      <c r="Z519" s="28"/>
      <c r="AA519" s="28" t="n">
        <f aca="false">Z519*$M519</f>
        <v>0</v>
      </c>
      <c r="AB519" s="28"/>
      <c r="AC519" s="28" t="n">
        <f aca="false">AB519*$M519</f>
        <v>0</v>
      </c>
      <c r="AD519" s="28"/>
      <c r="AE519" s="28" t="n">
        <f aca="false">AD519*$M519</f>
        <v>0</v>
      </c>
      <c r="AF519" s="28"/>
      <c r="AG519" s="28" t="n">
        <f aca="false">AF519*$M519</f>
        <v>0</v>
      </c>
      <c r="AH519" s="28"/>
      <c r="AI519" s="28" t="n">
        <f aca="false">AH519*$M519</f>
        <v>0</v>
      </c>
      <c r="AJ519" s="28" t="n">
        <f aca="false">9084/100</f>
        <v>90.84</v>
      </c>
      <c r="AK519" s="28" t="n">
        <v>1998</v>
      </c>
      <c r="AL519" s="28" t="n">
        <f aca="false">8917/100</f>
        <v>89.17</v>
      </c>
      <c r="AM519" s="28" t="n">
        <v>1962</v>
      </c>
      <c r="AN519" s="28"/>
      <c r="AO519" s="28" t="n">
        <f aca="false">AN519*$M519</f>
        <v>0</v>
      </c>
      <c r="AP519" s="28"/>
      <c r="AQ519" s="28" t="n">
        <f aca="false">AP519*$M519</f>
        <v>0</v>
      </c>
      <c r="AR519" s="28"/>
      <c r="AS519" s="28" t="n">
        <f aca="false">AR519*$M519</f>
        <v>0</v>
      </c>
      <c r="AT519" s="28"/>
      <c r="AU519" s="28" t="n">
        <f aca="false">AT519*$M519</f>
        <v>0</v>
      </c>
      <c r="AV519" s="28"/>
      <c r="AW519" s="28" t="n">
        <f aca="false">AV519*$M519</f>
        <v>0</v>
      </c>
      <c r="AX519" s="28"/>
      <c r="AY519" s="28" t="n">
        <f aca="false">AX519*$M519</f>
        <v>0</v>
      </c>
      <c r="AZ519" s="30" t="n">
        <f aca="false">3347/100</f>
        <v>33.47</v>
      </c>
      <c r="BA519" s="11" t="n">
        <v>7336</v>
      </c>
      <c r="BB519" s="31" t="n">
        <f aca="false">SUM(Q519,S519,U519,W519,Y519,AA519,AC519,AE519,AG519,AI519,AK519,AM519,AO519,AQ519,AS519,AU519,AW519,AY519)</f>
        <v>7336</v>
      </c>
      <c r="BC519" s="28" t="n">
        <f aca="false">BA519-BB519</f>
        <v>0</v>
      </c>
      <c r="BD519" s="32" t="n">
        <f aca="false">SUM(P519,R519,T519,V519,X519,Z519,AB519,AD519,AF519,AH519,AJ519,AL519,AN519,AP519,AR519,AT519,AV519,AX519)</f>
        <v>333.47</v>
      </c>
      <c r="BE519" s="33" t="n">
        <f aca="false">AZ519-BD519</f>
        <v>-300</v>
      </c>
      <c r="BF519" s="34" t="n">
        <f aca="false">BD519*M519</f>
        <v>7336.34</v>
      </c>
      <c r="BG519" s="35" t="n">
        <f aca="false">BA519-BF519</f>
        <v>-0.340000000000146</v>
      </c>
      <c r="BH519" s="19" t="str">
        <f aca="false">IF(BG519=0,"",IF(BG519&lt;&gt;BA519,"erreur de calcul",IF(BD519&lt;&gt;0,"pas de prix",IF(M519&lt;&gt; 0,"pas de quantité","pas de prix, ni de quantité"))))</f>
        <v>erreur de calcul</v>
      </c>
      <c r="BI519" s="19"/>
    </row>
    <row r="520" customFormat="false" ht="16" hidden="false" customHeight="false" outlineLevel="0" collapsed="false">
      <c r="A520" s="0" t="n">
        <v>3</v>
      </c>
      <c r="B520" s="8" t="s">
        <v>24</v>
      </c>
      <c r="C520" s="9" t="s">
        <v>25</v>
      </c>
      <c r="D520" s="9" t="s">
        <v>26</v>
      </c>
      <c r="E520" s="10" t="n">
        <v>1789</v>
      </c>
      <c r="F520" s="9" t="s">
        <v>27</v>
      </c>
      <c r="G520" s="9" t="s">
        <v>27</v>
      </c>
      <c r="H520" s="11" t="n">
        <v>23</v>
      </c>
      <c r="I520" s="11" t="s">
        <v>245</v>
      </c>
      <c r="J520" s="14" t="n">
        <v>28</v>
      </c>
      <c r="K520" s="14"/>
      <c r="L520" s="16"/>
      <c r="M520" s="27" t="n">
        <f aca="false">J520+(K520/20)+(L520/240)</f>
        <v>28</v>
      </c>
      <c r="N520" s="17" t="s">
        <v>64</v>
      </c>
      <c r="O520" s="11"/>
      <c r="P520" s="28"/>
      <c r="Q520" s="28" t="n">
        <f aca="false">P520*$M520</f>
        <v>0</v>
      </c>
      <c r="R520" s="28"/>
      <c r="S520" s="28" t="n">
        <f aca="false">R520*$M520</f>
        <v>0</v>
      </c>
      <c r="T520" s="28"/>
      <c r="U520" s="28" t="n">
        <f aca="false">T520*$M520</f>
        <v>0</v>
      </c>
      <c r="V520" s="28" t="n">
        <f aca="false">61654/100</f>
        <v>616.54</v>
      </c>
      <c r="W520" s="28" t="n">
        <v>17263</v>
      </c>
      <c r="X520" s="28"/>
      <c r="Y520" s="28" t="n">
        <f aca="false">X520*$M520</f>
        <v>0</v>
      </c>
      <c r="Z520" s="28"/>
      <c r="AA520" s="28" t="n">
        <f aca="false">Z520*$M520</f>
        <v>0</v>
      </c>
      <c r="AB520" s="28"/>
      <c r="AC520" s="28" t="n">
        <f aca="false">AB520*$M520</f>
        <v>0</v>
      </c>
      <c r="AD520" s="28"/>
      <c r="AE520" s="28" t="n">
        <f aca="false">AD520*$M520</f>
        <v>0</v>
      </c>
      <c r="AF520" s="28"/>
      <c r="AG520" s="28" t="n">
        <f aca="false">AF520*$M520</f>
        <v>0</v>
      </c>
      <c r="AH520" s="28"/>
      <c r="AI520" s="28" t="n">
        <f aca="false">AH520*$M520</f>
        <v>0</v>
      </c>
      <c r="AJ520" s="28"/>
      <c r="AK520" s="28" t="n">
        <f aca="false">AJ520*$M520</f>
        <v>0</v>
      </c>
      <c r="AL520" s="28" t="n">
        <f aca="false">6250/100</f>
        <v>62.5</v>
      </c>
      <c r="AM520" s="28" t="n">
        <v>1750</v>
      </c>
      <c r="AN520" s="28"/>
      <c r="AO520" s="28" t="n">
        <f aca="false">AN520*$M520</f>
        <v>0</v>
      </c>
      <c r="AP520" s="28"/>
      <c r="AQ520" s="28" t="n">
        <f aca="false">AP520*$M520</f>
        <v>0</v>
      </c>
      <c r="AR520" s="28"/>
      <c r="AS520" s="28" t="n">
        <f aca="false">AR520*$M520</f>
        <v>0</v>
      </c>
      <c r="AT520" s="28"/>
      <c r="AU520" s="28" t="n">
        <f aca="false">AT520*$M520</f>
        <v>0</v>
      </c>
      <c r="AV520" s="28"/>
      <c r="AW520" s="28" t="n">
        <f aca="false">AV520*$M520</f>
        <v>0</v>
      </c>
      <c r="AX520" s="28"/>
      <c r="AY520" s="28" t="n">
        <f aca="false">AX520*$M520</f>
        <v>0</v>
      </c>
      <c r="AZ520" s="30" t="n">
        <f aca="false">67904/100</f>
        <v>679.04</v>
      </c>
      <c r="BA520" s="11" t="n">
        <v>19013</v>
      </c>
      <c r="BB520" s="31" t="n">
        <f aca="false">SUM(Q520,S520,U520,W520,Y520,AA520,AC520,AE520,AG520,AI520,AK520,AM520,AO520,AQ520,AS520,AU520,AW520,AY520)</f>
        <v>19013</v>
      </c>
      <c r="BC520" s="28" t="n">
        <f aca="false">BA520-BB520</f>
        <v>0</v>
      </c>
      <c r="BD520" s="32" t="n">
        <f aca="false">SUM(P520,R520,T520,V520,X520,Z520,AB520,AD520,AF520,AH520,AJ520,AL520,AN520,AP520,AR520,AT520,AV520,AX520)</f>
        <v>679.04</v>
      </c>
      <c r="BE520" s="33" t="n">
        <f aca="false">AZ520-BD520</f>
        <v>0</v>
      </c>
      <c r="BF520" s="34" t="n">
        <f aca="false">BD520*M520</f>
        <v>19013.12</v>
      </c>
      <c r="BG520" s="35" t="n">
        <f aca="false">BA520-BF520</f>
        <v>-0.119999999998981</v>
      </c>
      <c r="BH520" s="19" t="str">
        <f aca="false">IF(BG520=0,"",IF(BG520&lt;&gt;BA520,"erreur de calcul",IF(BD520&lt;&gt;0,"pas de prix",IF(M520&lt;&gt; 0,"pas de quantité","pas de prix, ni de quantité"))))</f>
        <v>erreur de calcul</v>
      </c>
      <c r="BI520" s="19"/>
    </row>
    <row r="521" customFormat="false" ht="16" hidden="false" customHeight="false" outlineLevel="0" collapsed="false">
      <c r="A521" s="0" t="n">
        <v>4</v>
      </c>
      <c r="B521" s="8" t="s">
        <v>24</v>
      </c>
      <c r="C521" s="9" t="s">
        <v>25</v>
      </c>
      <c r="D521" s="9" t="s">
        <v>26</v>
      </c>
      <c r="E521" s="10" t="n">
        <v>1789</v>
      </c>
      <c r="F521" s="9" t="s">
        <v>27</v>
      </c>
      <c r="G521" s="9" t="s">
        <v>27</v>
      </c>
      <c r="H521" s="11" t="n">
        <v>23</v>
      </c>
      <c r="I521" s="11" t="s">
        <v>246</v>
      </c>
      <c r="J521" s="14" t="n">
        <v>17</v>
      </c>
      <c r="K521" s="14"/>
      <c r="L521" s="16"/>
      <c r="M521" s="27" t="n">
        <f aca="false">J521+(K521/20)+(L521/240)</f>
        <v>17</v>
      </c>
      <c r="N521" s="17" t="s">
        <v>64</v>
      </c>
      <c r="O521" s="11"/>
      <c r="P521" s="28"/>
      <c r="Q521" s="28" t="n">
        <f aca="false">P521*$M521</f>
        <v>0</v>
      </c>
      <c r="R521" s="28"/>
      <c r="S521" s="28" t="n">
        <f aca="false">R521*$M521</f>
        <v>0</v>
      </c>
      <c r="T521" s="28" t="n">
        <f aca="false">25000/100</f>
        <v>250</v>
      </c>
      <c r="U521" s="28" t="n">
        <v>4250</v>
      </c>
      <c r="V521" s="28" t="n">
        <f aca="false">78153/100</f>
        <v>781.53</v>
      </c>
      <c r="W521" s="28" t="n">
        <v>13286</v>
      </c>
      <c r="X521" s="28"/>
      <c r="Y521" s="28" t="n">
        <f aca="false">X521*$M521</f>
        <v>0</v>
      </c>
      <c r="Z521" s="28"/>
      <c r="AA521" s="28" t="n">
        <f aca="false">Z521*$M521</f>
        <v>0</v>
      </c>
      <c r="AB521" s="28"/>
      <c r="AC521" s="28" t="n">
        <f aca="false">AB521*$M521</f>
        <v>0</v>
      </c>
      <c r="AD521" s="28"/>
      <c r="AE521" s="28" t="n">
        <f aca="false">AD521*$M521</f>
        <v>0</v>
      </c>
      <c r="AF521" s="28"/>
      <c r="AG521" s="28" t="n">
        <f aca="false">AF521*$M521</f>
        <v>0</v>
      </c>
      <c r="AH521" s="28"/>
      <c r="AI521" s="28" t="n">
        <f aca="false">AH521*$M521</f>
        <v>0</v>
      </c>
      <c r="AJ521" s="28" t="n">
        <f aca="false">113774/100</f>
        <v>1137.74</v>
      </c>
      <c r="AK521" s="28" t="n">
        <v>19341</v>
      </c>
      <c r="AL521" s="28" t="n">
        <f aca="false">749547/100</f>
        <v>7495.47</v>
      </c>
      <c r="AM521" s="28" t="n">
        <v>127423</v>
      </c>
      <c r="AN521" s="28"/>
      <c r="AO521" s="28" t="n">
        <f aca="false">AN521*$M521</f>
        <v>0</v>
      </c>
      <c r="AP521" s="28" t="n">
        <f aca="false">578251/100</f>
        <v>5782.51</v>
      </c>
      <c r="AQ521" s="28" t="n">
        <v>98303</v>
      </c>
      <c r="AR521" s="28" t="n">
        <f aca="false">9141217/100</f>
        <v>91412.17</v>
      </c>
      <c r="AS521" s="28" t="n">
        <v>1554007</v>
      </c>
      <c r="AT521" s="28"/>
      <c r="AU521" s="28" t="n">
        <f aca="false">AT521*$M521</f>
        <v>0</v>
      </c>
      <c r="AV521" s="28" t="n">
        <f aca="false">314570/100</f>
        <v>3145.7</v>
      </c>
      <c r="AW521" s="28" t="n">
        <v>53477</v>
      </c>
      <c r="AX521" s="28"/>
      <c r="AY521" s="28" t="n">
        <f aca="false">AX521*$M521</f>
        <v>0</v>
      </c>
      <c r="AZ521" s="30" t="n">
        <f aca="false">11004767/100</f>
        <v>110047.67</v>
      </c>
      <c r="BA521" s="11" t="n">
        <v>1870087</v>
      </c>
      <c r="BB521" s="31" t="n">
        <f aca="false">SUM(Q521,S521,U521,W521,Y521,AA521,AC521,AE521,AG521,AI521,AK521,AM521,AO521,AQ521,AS521,AU521,AW521,AY521)</f>
        <v>1870087</v>
      </c>
      <c r="BC521" s="28" t="n">
        <f aca="false">BA521-BB521</f>
        <v>0</v>
      </c>
      <c r="BD521" s="32" t="n">
        <f aca="false">SUM(P521,R521,T521,V521,X521,Z521,AB521,AD521,AF521,AH521,AJ521,AL521,AN521,AP521,AR521,AT521,AV521,AX521)</f>
        <v>110005.12</v>
      </c>
      <c r="BE521" s="33" t="n">
        <f aca="false">AZ521-BD521</f>
        <v>42.5500000000029</v>
      </c>
      <c r="BF521" s="34" t="n">
        <f aca="false">BD521*M521</f>
        <v>1870087.04</v>
      </c>
      <c r="BG521" s="35" t="n">
        <f aca="false">BA521-BF521</f>
        <v>-0.0400000000372529</v>
      </c>
      <c r="BH521" s="19" t="str">
        <f aca="false">IF(BG521=0,"",IF(BG521&lt;&gt;BA521,"erreur de calcul",IF(BD521&lt;&gt;0,"pas de prix",IF(M521&lt;&gt; 0,"pas de quantité","pas de prix, ni de quantité"))))</f>
        <v>erreur de calcul</v>
      </c>
      <c r="BI521" s="19"/>
    </row>
    <row r="522" customFormat="false" ht="16" hidden="false" customHeight="false" outlineLevel="0" collapsed="false">
      <c r="A522" s="0" t="n">
        <v>5</v>
      </c>
      <c r="B522" s="8" t="s">
        <v>24</v>
      </c>
      <c r="C522" s="9" t="s">
        <v>25</v>
      </c>
      <c r="D522" s="9" t="s">
        <v>26</v>
      </c>
      <c r="E522" s="10" t="n">
        <v>1789</v>
      </c>
      <c r="F522" s="9" t="s">
        <v>27</v>
      </c>
      <c r="G522" s="9" t="s">
        <v>27</v>
      </c>
      <c r="H522" s="11" t="n">
        <v>23</v>
      </c>
      <c r="I522" s="11" t="s">
        <v>247</v>
      </c>
      <c r="J522" s="14" t="n">
        <v>60</v>
      </c>
      <c r="K522" s="14"/>
      <c r="L522" s="16"/>
      <c r="M522" s="27" t="n">
        <f aca="false">J522+(K522/20)+(L522/240)</f>
        <v>60</v>
      </c>
      <c r="N522" s="17" t="s">
        <v>64</v>
      </c>
      <c r="O522" s="11"/>
      <c r="P522" s="28" t="n">
        <f aca="false">17500/100</f>
        <v>175</v>
      </c>
      <c r="Q522" s="28" t="n">
        <v>10500</v>
      </c>
      <c r="R522" s="28"/>
      <c r="S522" s="28" t="n">
        <f aca="false">R522*$M522</f>
        <v>0</v>
      </c>
      <c r="T522" s="28"/>
      <c r="U522" s="28" t="n">
        <f aca="false">T522*$M522</f>
        <v>0</v>
      </c>
      <c r="V522" s="28"/>
      <c r="W522" s="28" t="n">
        <f aca="false">V522*$M522</f>
        <v>0</v>
      </c>
      <c r="X522" s="28"/>
      <c r="Y522" s="28" t="n">
        <f aca="false">X522*$M522</f>
        <v>0</v>
      </c>
      <c r="Z522" s="28"/>
      <c r="AA522" s="28" t="n">
        <f aca="false">Z522*$M522</f>
        <v>0</v>
      </c>
      <c r="AB522" s="28"/>
      <c r="AC522" s="28" t="n">
        <f aca="false">AB522*$M522</f>
        <v>0</v>
      </c>
      <c r="AD522" s="28"/>
      <c r="AE522" s="28" t="n">
        <f aca="false">AD522*$M522</f>
        <v>0</v>
      </c>
      <c r="AF522" s="28"/>
      <c r="AG522" s="28" t="n">
        <f aca="false">AF522*$M522</f>
        <v>0</v>
      </c>
      <c r="AH522" s="28"/>
      <c r="AI522" s="28" t="n">
        <f aca="false">AH522*$M522</f>
        <v>0</v>
      </c>
      <c r="AJ522" s="28"/>
      <c r="AK522" s="28" t="n">
        <f aca="false">AJ522*$M522</f>
        <v>0</v>
      </c>
      <c r="AL522" s="28" t="n">
        <f aca="false">107571/100</f>
        <v>1075.71</v>
      </c>
      <c r="AM522" s="28" t="n">
        <v>64543</v>
      </c>
      <c r="AN522" s="28"/>
      <c r="AO522" s="28" t="n">
        <f aca="false">AN522*$M522</f>
        <v>0</v>
      </c>
      <c r="AP522" s="28"/>
      <c r="AQ522" s="28" t="n">
        <f aca="false">AP522*$M522</f>
        <v>0</v>
      </c>
      <c r="AR522" s="28"/>
      <c r="AS522" s="28" t="n">
        <f aca="false">AR522*$M522</f>
        <v>0</v>
      </c>
      <c r="AT522" s="28"/>
      <c r="AU522" s="28" t="n">
        <f aca="false">AT522*$M522</f>
        <v>0</v>
      </c>
      <c r="AV522" s="28"/>
      <c r="AW522" s="28" t="n">
        <f aca="false">AV522*$M522</f>
        <v>0</v>
      </c>
      <c r="AX522" s="28"/>
      <c r="AY522" s="28" t="n">
        <f aca="false">AX522*$M522</f>
        <v>0</v>
      </c>
      <c r="AZ522" s="30" t="n">
        <f aca="false">125071/100</f>
        <v>1250.71</v>
      </c>
      <c r="BA522" s="11" t="n">
        <v>75043</v>
      </c>
      <c r="BB522" s="31" t="n">
        <f aca="false">SUM(Q522,S522,U522,W522,Y522,AA522,AC522,AE522,AG522,AI522,AK522,AM522,AO522,AQ522,AS522,AU522,AW522,AY522)</f>
        <v>75043</v>
      </c>
      <c r="BC522" s="28" t="n">
        <f aca="false">BA522-BB522</f>
        <v>0</v>
      </c>
      <c r="BD522" s="32" t="n">
        <f aca="false">SUM(P522,R522,T522,V522,X522,Z522,AB522,AD522,AF522,AH522,AJ522,AL522,AN522,AP522,AR522,AT522,AV522,AX522)</f>
        <v>1250.71</v>
      </c>
      <c r="BE522" s="33" t="n">
        <f aca="false">AZ522-BD522</f>
        <v>0</v>
      </c>
      <c r="BF522" s="34" t="n">
        <f aca="false">BD522*M522</f>
        <v>75042.6</v>
      </c>
      <c r="BG522" s="35" t="n">
        <f aca="false">BA522-BF522</f>
        <v>0.399999999994179</v>
      </c>
      <c r="BH522" s="19" t="str">
        <f aca="false">IF(BG522=0,"",IF(BG522&lt;&gt;BA522,"erreur de calcul",IF(BD522&lt;&gt;0,"pas de prix",IF(M522&lt;&gt; 0,"pas de quantité","pas de prix, ni de quantité"))))</f>
        <v>erreur de calcul</v>
      </c>
      <c r="BI522" s="19"/>
    </row>
    <row r="523" customFormat="false" ht="16" hidden="false" customHeight="false" outlineLevel="0" collapsed="false">
      <c r="A523" s="0" t="n">
        <v>6</v>
      </c>
      <c r="B523" s="8" t="s">
        <v>24</v>
      </c>
      <c r="C523" s="9" t="s">
        <v>25</v>
      </c>
      <c r="D523" s="9" t="s">
        <v>26</v>
      </c>
      <c r="E523" s="10" t="n">
        <v>1789</v>
      </c>
      <c r="F523" s="9" t="s">
        <v>27</v>
      </c>
      <c r="G523" s="9" t="s">
        <v>27</v>
      </c>
      <c r="H523" s="11" t="n">
        <v>23</v>
      </c>
      <c r="I523" s="11" t="s">
        <v>248</v>
      </c>
      <c r="J523" s="14" t="n">
        <v>30</v>
      </c>
      <c r="K523" s="14"/>
      <c r="L523" s="16"/>
      <c r="M523" s="27" t="n">
        <f aca="false">J523+(K523/20)+(L523/240)</f>
        <v>30</v>
      </c>
      <c r="N523" s="17" t="s">
        <v>64</v>
      </c>
      <c r="O523" s="11"/>
      <c r="P523" s="28"/>
      <c r="Q523" s="28" t="n">
        <f aca="false">P523*$M523</f>
        <v>0</v>
      </c>
      <c r="R523" s="28"/>
      <c r="S523" s="28" t="n">
        <f aca="false">R523*$M523</f>
        <v>0</v>
      </c>
      <c r="T523" s="28"/>
      <c r="U523" s="28" t="n">
        <f aca="false">T523*$M523</f>
        <v>0</v>
      </c>
      <c r="V523" s="28" t="n">
        <f aca="false">8491/100</f>
        <v>84.91</v>
      </c>
      <c r="W523" s="28" t="n">
        <v>2547</v>
      </c>
      <c r="X523" s="28"/>
      <c r="Y523" s="28" t="n">
        <f aca="false">X523*$M523</f>
        <v>0</v>
      </c>
      <c r="Z523" s="28"/>
      <c r="AA523" s="28" t="n">
        <f aca="false">Z523*$M523</f>
        <v>0</v>
      </c>
      <c r="AB523" s="28"/>
      <c r="AC523" s="28" t="n">
        <f aca="false">AB523*$M523</f>
        <v>0</v>
      </c>
      <c r="AD523" s="28"/>
      <c r="AE523" s="28" t="n">
        <f aca="false">AD523*$M523</f>
        <v>0</v>
      </c>
      <c r="AF523" s="28"/>
      <c r="AG523" s="28" t="n">
        <f aca="false">AF523*$M523</f>
        <v>0</v>
      </c>
      <c r="AH523" s="28"/>
      <c r="AI523" s="28" t="n">
        <f aca="false">AH523*$M523</f>
        <v>0</v>
      </c>
      <c r="AJ523" s="28"/>
      <c r="AK523" s="28" t="n">
        <f aca="false">AJ523*$M523</f>
        <v>0</v>
      </c>
      <c r="AL523" s="28"/>
      <c r="AM523" s="28" t="n">
        <f aca="false">AL523*$M523</f>
        <v>0</v>
      </c>
      <c r="AN523" s="28"/>
      <c r="AO523" s="28" t="n">
        <f aca="false">AN523*$M523</f>
        <v>0</v>
      </c>
      <c r="AP523" s="28"/>
      <c r="AQ523" s="28" t="n">
        <f aca="false">AP523*$M523</f>
        <v>0</v>
      </c>
      <c r="AR523" s="28"/>
      <c r="AS523" s="28" t="n">
        <f aca="false">AR523*$M523</f>
        <v>0</v>
      </c>
      <c r="AT523" s="28"/>
      <c r="AU523" s="28" t="n">
        <f aca="false">AT523*$M523</f>
        <v>0</v>
      </c>
      <c r="AV523" s="28"/>
      <c r="AW523" s="28" t="n">
        <f aca="false">AV523*$M523</f>
        <v>0</v>
      </c>
      <c r="AX523" s="28"/>
      <c r="AY523" s="28" t="n">
        <f aca="false">AX523*$M523</f>
        <v>0</v>
      </c>
      <c r="AZ523" s="30" t="n">
        <f aca="false">8491/100</f>
        <v>84.91</v>
      </c>
      <c r="BA523" s="11" t="n">
        <v>2547</v>
      </c>
      <c r="BB523" s="31" t="n">
        <f aca="false">SUM(Q523,S523,U523,W523,Y523,AA523,AC523,AE523,AG523,AI523,AK523,AM523,AO523,AQ523,AS523,AU523,AW523,AY523)</f>
        <v>2547</v>
      </c>
      <c r="BC523" s="28" t="n">
        <f aca="false">BA523-BB523</f>
        <v>0</v>
      </c>
      <c r="BD523" s="32" t="n">
        <f aca="false">SUM(P523,R523,T523,V523,X523,Z523,AB523,AD523,AF523,AH523,AJ523,AL523,AN523,AP523,AR523,AT523,AV523,AX523)</f>
        <v>84.91</v>
      </c>
      <c r="BE523" s="33" t="n">
        <f aca="false">AZ523-BD523</f>
        <v>0</v>
      </c>
      <c r="BF523" s="34" t="n">
        <f aca="false">BD523*M523</f>
        <v>2547.3</v>
      </c>
      <c r="BG523" s="35" t="n">
        <f aca="false">BA523-BF523</f>
        <v>-0.299999999999727</v>
      </c>
      <c r="BH523" s="19" t="str">
        <f aca="false">IF(BG523=0,"",IF(BG523&lt;&gt;BA523,"erreur de calcul",IF(BD523&lt;&gt;0,"pas de prix",IF(M523&lt;&gt; 0,"pas de quantité","pas de prix, ni de quantité"))))</f>
        <v>erreur de calcul</v>
      </c>
      <c r="BI523" s="19"/>
    </row>
    <row r="524" customFormat="false" ht="16" hidden="false" customHeight="false" outlineLevel="0" collapsed="false">
      <c r="A524" s="0" t="n">
        <v>7</v>
      </c>
      <c r="B524" s="8" t="s">
        <v>24</v>
      </c>
      <c r="C524" s="9" t="s">
        <v>25</v>
      </c>
      <c r="D524" s="9" t="s">
        <v>26</v>
      </c>
      <c r="E524" s="10" t="n">
        <v>1789</v>
      </c>
      <c r="F524" s="9" t="s">
        <v>27</v>
      </c>
      <c r="G524" s="9" t="s">
        <v>27</v>
      </c>
      <c r="H524" s="11" t="n">
        <v>23</v>
      </c>
      <c r="I524" s="11" t="s">
        <v>249</v>
      </c>
      <c r="J524" s="14" t="n">
        <v>27</v>
      </c>
      <c r="K524" s="14"/>
      <c r="L524" s="16"/>
      <c r="M524" s="27" t="n">
        <f aca="false">J524+(K524/20)+(L524/240)</f>
        <v>27</v>
      </c>
      <c r="N524" s="17" t="s">
        <v>64</v>
      </c>
      <c r="O524" s="11"/>
      <c r="P524" s="28"/>
      <c r="Q524" s="28" t="n">
        <f aca="false">P524*$M524</f>
        <v>0</v>
      </c>
      <c r="R524" s="28"/>
      <c r="S524" s="28" t="n">
        <f aca="false">R524*$M524</f>
        <v>0</v>
      </c>
      <c r="T524" s="28"/>
      <c r="U524" s="28" t="n">
        <f aca="false">T524*$M524</f>
        <v>0</v>
      </c>
      <c r="V524" s="28"/>
      <c r="W524" s="28" t="n">
        <f aca="false">V524*$M524</f>
        <v>0</v>
      </c>
      <c r="X524" s="28"/>
      <c r="Y524" s="28" t="n">
        <f aca="false">X524*$M524</f>
        <v>0</v>
      </c>
      <c r="Z524" s="28"/>
      <c r="AA524" s="28" t="n">
        <f aca="false">Z524*$M524</f>
        <v>0</v>
      </c>
      <c r="AB524" s="28"/>
      <c r="AC524" s="28" t="n">
        <f aca="false">AB524*$M524</f>
        <v>0</v>
      </c>
      <c r="AD524" s="28"/>
      <c r="AE524" s="28" t="n">
        <f aca="false">AD524*$M524</f>
        <v>0</v>
      </c>
      <c r="AF524" s="28"/>
      <c r="AG524" s="28" t="n">
        <f aca="false">AF524*$M524</f>
        <v>0</v>
      </c>
      <c r="AH524" s="28"/>
      <c r="AI524" s="28" t="n">
        <f aca="false">AH524*$M524</f>
        <v>0</v>
      </c>
      <c r="AJ524" s="28" t="n">
        <f aca="false">168254/100</f>
        <v>1682.54</v>
      </c>
      <c r="AK524" s="28" t="n">
        <v>45428</v>
      </c>
      <c r="AL524" s="28"/>
      <c r="AM524" s="28" t="n">
        <f aca="false">AL524*$M524</f>
        <v>0</v>
      </c>
      <c r="AN524" s="28"/>
      <c r="AO524" s="28" t="n">
        <f aca="false">AN524*$M524</f>
        <v>0</v>
      </c>
      <c r="AP524" s="28"/>
      <c r="AQ524" s="28" t="n">
        <f aca="false">AP524*$M524</f>
        <v>0</v>
      </c>
      <c r="AR524" s="28"/>
      <c r="AS524" s="28" t="n">
        <f aca="false">AR524*$M524</f>
        <v>0</v>
      </c>
      <c r="AT524" s="28"/>
      <c r="AU524" s="28" t="n">
        <f aca="false">AT524*$M524</f>
        <v>0</v>
      </c>
      <c r="AV524" s="28"/>
      <c r="AW524" s="28" t="n">
        <f aca="false">AV524*$M524</f>
        <v>0</v>
      </c>
      <c r="AX524" s="28"/>
      <c r="AY524" s="28" t="n">
        <f aca="false">AX524*$M524</f>
        <v>0</v>
      </c>
      <c r="AZ524" s="30" t="n">
        <f aca="false">168254/100</f>
        <v>1682.54</v>
      </c>
      <c r="BA524" s="11" t="n">
        <v>45428</v>
      </c>
      <c r="BB524" s="31" t="n">
        <f aca="false">SUM(Q524,S524,U524,W524,Y524,AA524,AC524,AE524,AG524,AI524,AK524,AM524,AO524,AQ524,AS524,AU524,AW524,AY524)</f>
        <v>45428</v>
      </c>
      <c r="BC524" s="28" t="n">
        <f aca="false">BA524-BB524</f>
        <v>0</v>
      </c>
      <c r="BD524" s="32" t="n">
        <f aca="false">SUM(P524,R524,T524,V524,X524,Z524,AB524,AD524,AF524,AH524,AJ524,AL524,AN524,AP524,AR524,AT524,AV524,AX524)</f>
        <v>1682.54</v>
      </c>
      <c r="BE524" s="33" t="n">
        <f aca="false">AZ524-BD524</f>
        <v>0</v>
      </c>
      <c r="BF524" s="34" t="n">
        <f aca="false">BD524*M524</f>
        <v>45428.58</v>
      </c>
      <c r="BG524" s="35" t="n">
        <f aca="false">BA524-BF524</f>
        <v>-0.580000000001746</v>
      </c>
      <c r="BH524" s="19" t="str">
        <f aca="false">IF(BG524=0,"",IF(BG524&lt;&gt;BA524,"erreur de calcul",IF(BD524&lt;&gt;0,"pas de prix",IF(M524&lt;&gt; 0,"pas de quantité","pas de prix, ni de quantité"))))</f>
        <v>erreur de calcul</v>
      </c>
      <c r="BI524" s="19"/>
    </row>
    <row r="525" customFormat="false" ht="16" hidden="false" customHeight="false" outlineLevel="0" collapsed="false">
      <c r="A525" s="0" t="n">
        <v>8</v>
      </c>
      <c r="B525" s="8" t="s">
        <v>24</v>
      </c>
      <c r="C525" s="9" t="s">
        <v>25</v>
      </c>
      <c r="D525" s="9" t="s">
        <v>26</v>
      </c>
      <c r="E525" s="10" t="n">
        <v>1789</v>
      </c>
      <c r="F525" s="9" t="s">
        <v>27</v>
      </c>
      <c r="G525" s="9" t="s">
        <v>27</v>
      </c>
      <c r="H525" s="11" t="n">
        <v>23</v>
      </c>
      <c r="I525" s="11" t="s">
        <v>250</v>
      </c>
      <c r="J525" s="14" t="n">
        <v>27</v>
      </c>
      <c r="K525" s="14"/>
      <c r="L525" s="16"/>
      <c r="M525" s="27" t="n">
        <f aca="false">J525+(K525/20)+(L525/240)</f>
        <v>27</v>
      </c>
      <c r="N525" s="17" t="s">
        <v>64</v>
      </c>
      <c r="O525" s="11"/>
      <c r="P525" s="28"/>
      <c r="Q525" s="28" t="n">
        <f aca="false">P525*$M525</f>
        <v>0</v>
      </c>
      <c r="R525" s="28"/>
      <c r="S525" s="28" t="n">
        <f aca="false">R525*$M525</f>
        <v>0</v>
      </c>
      <c r="T525" s="28"/>
      <c r="U525" s="28" t="n">
        <f aca="false">T525*$M525</f>
        <v>0</v>
      </c>
      <c r="V525" s="28"/>
      <c r="W525" s="28" t="n">
        <f aca="false">V525*$M525</f>
        <v>0</v>
      </c>
      <c r="X525" s="28"/>
      <c r="Y525" s="28" t="n">
        <f aca="false">X525*$M525</f>
        <v>0</v>
      </c>
      <c r="Z525" s="28"/>
      <c r="AA525" s="28" t="n">
        <f aca="false">Z525*$M525</f>
        <v>0</v>
      </c>
      <c r="AB525" s="28"/>
      <c r="AC525" s="28" t="n">
        <f aca="false">AB525*$M525</f>
        <v>0</v>
      </c>
      <c r="AD525" s="28"/>
      <c r="AE525" s="28" t="n">
        <f aca="false">AD525*$M525</f>
        <v>0</v>
      </c>
      <c r="AF525" s="28"/>
      <c r="AG525" s="28" t="n">
        <f aca="false">AF525*$M525</f>
        <v>0</v>
      </c>
      <c r="AH525" s="28"/>
      <c r="AI525" s="28" t="n">
        <f aca="false">AH525*$M525</f>
        <v>0</v>
      </c>
      <c r="AJ525" s="28"/>
      <c r="AK525" s="28" t="n">
        <f aca="false">AJ525*$M525</f>
        <v>0</v>
      </c>
      <c r="AL525" s="28" t="n">
        <f aca="false">4108/100</f>
        <v>41.08</v>
      </c>
      <c r="AM525" s="28" t="n">
        <v>1109</v>
      </c>
      <c r="AN525" s="28"/>
      <c r="AO525" s="28" t="n">
        <f aca="false">AN525*$M525</f>
        <v>0</v>
      </c>
      <c r="AP525" s="28"/>
      <c r="AQ525" s="28" t="n">
        <f aca="false">AP525*$M525</f>
        <v>0</v>
      </c>
      <c r="AR525" s="28" t="n">
        <f aca="false">37084/100</f>
        <v>370.84</v>
      </c>
      <c r="AS525" s="36" t="n">
        <v>9963</v>
      </c>
      <c r="AT525" s="28"/>
      <c r="AU525" s="28" t="n">
        <f aca="false">AT525*$M525</f>
        <v>0</v>
      </c>
      <c r="AV525" s="28"/>
      <c r="AW525" s="28" t="n">
        <f aca="false">AV525*$M525</f>
        <v>0</v>
      </c>
      <c r="AX525" s="28"/>
      <c r="AY525" s="28" t="n">
        <f aca="false">AX525*$M525</f>
        <v>0</v>
      </c>
      <c r="AZ525" s="30" t="n">
        <f aca="false">41192/100</f>
        <v>411.92</v>
      </c>
      <c r="BA525" s="11" t="n">
        <v>11072</v>
      </c>
      <c r="BB525" s="31" t="n">
        <f aca="false">SUM(Q525,S525,U525,W525,Y525,AA525,AC525,AE525,AG525,AI525,AK525,AM525,AO525,AQ525,AS525,AU525,AW525,AY525)</f>
        <v>11072</v>
      </c>
      <c r="BC525" s="28" t="n">
        <f aca="false">BA525-BB525</f>
        <v>0</v>
      </c>
      <c r="BD525" s="32" t="n">
        <f aca="false">SUM(P525,R525,T525,V525,X525,Z525,AB525,AD525,AF525,AH525,AJ525,AL525,AN525,AP525,AR525,AT525,AV525,AX525)</f>
        <v>411.92</v>
      </c>
      <c r="BE525" s="33" t="n">
        <f aca="false">AZ525-BD525</f>
        <v>0</v>
      </c>
      <c r="BF525" s="34" t="n">
        <f aca="false">BD525*M525</f>
        <v>11121.84</v>
      </c>
      <c r="BG525" s="35" t="n">
        <f aca="false">BA525-BF525</f>
        <v>-49.8399999999983</v>
      </c>
      <c r="BH525" s="19" t="str">
        <f aca="false">IF(BG525=0,"",IF(BG525&lt;&gt;BA525,"erreur de calcul",IF(BD525&lt;&gt;0,"pas de prix",IF(M525&lt;&gt; 0,"pas de quantité","pas de prix, ni de quantité"))))</f>
        <v>erreur de calcul</v>
      </c>
      <c r="BI525" s="19"/>
    </row>
    <row r="526" customFormat="false" ht="16" hidden="false" customHeight="false" outlineLevel="0" collapsed="false">
      <c r="A526" s="0" t="n">
        <v>9</v>
      </c>
      <c r="B526" s="8" t="s">
        <v>24</v>
      </c>
      <c r="C526" s="9" t="s">
        <v>25</v>
      </c>
      <c r="D526" s="9" t="s">
        <v>26</v>
      </c>
      <c r="E526" s="10" t="n">
        <v>1789</v>
      </c>
      <c r="F526" s="9" t="s">
        <v>27</v>
      </c>
      <c r="G526" s="9" t="s">
        <v>27</v>
      </c>
      <c r="H526" s="11" t="n">
        <v>23</v>
      </c>
      <c r="I526" s="11" t="s">
        <v>251</v>
      </c>
      <c r="J526" s="14" t="n">
        <v>6</v>
      </c>
      <c r="K526" s="14"/>
      <c r="L526" s="16"/>
      <c r="M526" s="27" t="n">
        <f aca="false">J526+(K526/20)+(L526/240)</f>
        <v>6</v>
      </c>
      <c r="N526" s="17" t="s">
        <v>64</v>
      </c>
      <c r="O526" s="11"/>
      <c r="P526" s="28"/>
      <c r="Q526" s="28" t="n">
        <f aca="false">P526*$M526</f>
        <v>0</v>
      </c>
      <c r="R526" s="28"/>
      <c r="S526" s="28" t="n">
        <f aca="false">R526*$M526</f>
        <v>0</v>
      </c>
      <c r="T526" s="28"/>
      <c r="U526" s="28" t="n">
        <f aca="false">T526*$M526</f>
        <v>0</v>
      </c>
      <c r="V526" s="28"/>
      <c r="W526" s="28" t="n">
        <f aca="false">V526*$M526</f>
        <v>0</v>
      </c>
      <c r="X526" s="28"/>
      <c r="Y526" s="28" t="n">
        <f aca="false">X526*$M526</f>
        <v>0</v>
      </c>
      <c r="Z526" s="28"/>
      <c r="AA526" s="28" t="n">
        <f aca="false">Z526*$M526</f>
        <v>0</v>
      </c>
      <c r="AB526" s="28"/>
      <c r="AC526" s="28" t="n">
        <f aca="false">AB526*$M526</f>
        <v>0</v>
      </c>
      <c r="AD526" s="28"/>
      <c r="AE526" s="28" t="n">
        <f aca="false">AD526*$M526</f>
        <v>0</v>
      </c>
      <c r="AF526" s="28"/>
      <c r="AG526" s="28" t="n">
        <f aca="false">AF526*$M526</f>
        <v>0</v>
      </c>
      <c r="AH526" s="28"/>
      <c r="AI526" s="28" t="n">
        <f aca="false">AH526*$M526</f>
        <v>0</v>
      </c>
      <c r="AJ526" s="28"/>
      <c r="AK526" s="28" t="n">
        <f aca="false">AJ526*$M526</f>
        <v>0</v>
      </c>
      <c r="AL526" s="28"/>
      <c r="AM526" s="28" t="n">
        <f aca="false">AL526*$M526</f>
        <v>0</v>
      </c>
      <c r="AN526" s="28"/>
      <c r="AO526" s="28" t="n">
        <f aca="false">AN526*$M526</f>
        <v>0</v>
      </c>
      <c r="AP526" s="28"/>
      <c r="AQ526" s="28" t="n">
        <f aca="false">AP526*$M526</f>
        <v>0</v>
      </c>
      <c r="AR526" s="28"/>
      <c r="AS526" s="28" t="n">
        <f aca="false">AR526*$M526</f>
        <v>0</v>
      </c>
      <c r="AT526" s="28"/>
      <c r="AU526" s="28" t="n">
        <f aca="false">AT526*$M526</f>
        <v>0</v>
      </c>
      <c r="AV526" s="28"/>
      <c r="AW526" s="28" t="n">
        <f aca="false">AV526*$M526</f>
        <v>0</v>
      </c>
      <c r="AX526" s="28"/>
      <c r="AY526" s="28" t="n">
        <f aca="false">AX526*$M526</f>
        <v>0</v>
      </c>
      <c r="AZ526" s="30"/>
      <c r="BA526" s="11"/>
      <c r="BB526" s="31" t="n">
        <f aca="false">SUM(Q526,S526,U526,W526,Y526,AA526,AC526,AE526,AG526,AI526,AK526,AM526,AO526,AQ526,AS526,AU526,AW526,AY526)</f>
        <v>0</v>
      </c>
      <c r="BC526" s="28" t="n">
        <f aca="false">BA526-BB526</f>
        <v>0</v>
      </c>
      <c r="BD526" s="32" t="n">
        <f aca="false">SUM(P526,R526,T526,V526,X526,Z526,AB526,AD526,AF526,AH526,AJ526,AL526,AN526,AP526,AR526,AT526,AV526,AX526)</f>
        <v>0</v>
      </c>
      <c r="BE526" s="33" t="n">
        <f aca="false">AZ526-BD526</f>
        <v>0</v>
      </c>
      <c r="BF526" s="34" t="n">
        <f aca="false">BD526*M526</f>
        <v>0</v>
      </c>
      <c r="BG526" s="35" t="n">
        <f aca="false">BA526-BF526</f>
        <v>0</v>
      </c>
      <c r="BH526" s="19" t="str">
        <f aca="false">IF(BG526=0,"",IF(BG526&lt;&gt;BA526,"erreur de calcul",IF(BD526&lt;&gt;0,"pas de prix",IF(M526&lt;&gt; 0,"pas de quantité","pas de prix, ni de quantité"))))</f>
        <v/>
      </c>
      <c r="BI526" s="19"/>
    </row>
    <row r="527" customFormat="false" ht="16" hidden="false" customHeight="false" outlineLevel="0" collapsed="false">
      <c r="A527" s="0" t="n">
        <v>10</v>
      </c>
      <c r="B527" s="8" t="s">
        <v>24</v>
      </c>
      <c r="C527" s="9" t="s">
        <v>25</v>
      </c>
      <c r="D527" s="9" t="s">
        <v>26</v>
      </c>
      <c r="E527" s="10" t="n">
        <v>1789</v>
      </c>
      <c r="F527" s="9" t="s">
        <v>27</v>
      </c>
      <c r="G527" s="9" t="s">
        <v>27</v>
      </c>
      <c r="H527" s="11" t="n">
        <v>23</v>
      </c>
      <c r="I527" s="11" t="s">
        <v>252</v>
      </c>
      <c r="J527" s="14" t="n">
        <v>240</v>
      </c>
      <c r="K527" s="14"/>
      <c r="L527" s="16"/>
      <c r="M527" s="27" t="n">
        <f aca="false">J527+(K527/20)+(L527/240)</f>
        <v>240</v>
      </c>
      <c r="N527" s="17" t="s">
        <v>64</v>
      </c>
      <c r="O527" s="11"/>
      <c r="P527" s="28"/>
      <c r="Q527" s="28" t="n">
        <f aca="false">P527*$M527</f>
        <v>0</v>
      </c>
      <c r="R527" s="28"/>
      <c r="S527" s="28" t="n">
        <f aca="false">R527*$M527</f>
        <v>0</v>
      </c>
      <c r="T527" s="28" t="n">
        <f aca="false">4204/100</f>
        <v>42.04</v>
      </c>
      <c r="U527" s="28" t="n">
        <v>10090</v>
      </c>
      <c r="V527" s="28" t="n">
        <f aca="false">2799/100</f>
        <v>27.99</v>
      </c>
      <c r="W527" s="28" t="n">
        <v>6718</v>
      </c>
      <c r="X527" s="28" t="n">
        <f aca="false">2536/100</f>
        <v>25.36</v>
      </c>
      <c r="Y527" s="28" t="n">
        <v>6086</v>
      </c>
      <c r="Z527" s="28" t="n">
        <f aca="false">3393/100</f>
        <v>33.93</v>
      </c>
      <c r="AA527" s="28" t="n">
        <v>8143</v>
      </c>
      <c r="AB527" s="28" t="n">
        <f aca="false">242/100</f>
        <v>2.42</v>
      </c>
      <c r="AC527" s="28" t="n">
        <v>581</v>
      </c>
      <c r="AD527" s="28"/>
      <c r="AE527" s="28" t="n">
        <f aca="false">AD527*$M527</f>
        <v>0</v>
      </c>
      <c r="AF527" s="28"/>
      <c r="AG527" s="28" t="n">
        <f aca="false">AF527*$M527</f>
        <v>0</v>
      </c>
      <c r="AH527" s="28"/>
      <c r="AI527" s="28" t="n">
        <f aca="false">AH527*$M527</f>
        <v>0</v>
      </c>
      <c r="AJ527" s="28"/>
      <c r="AK527" s="28" t="n">
        <f aca="false">AJ527*$M527</f>
        <v>0</v>
      </c>
      <c r="AL527" s="28"/>
      <c r="AM527" s="28" t="n">
        <f aca="false">AL527*$M527</f>
        <v>0</v>
      </c>
      <c r="AN527" s="28"/>
      <c r="AO527" s="28" t="n">
        <f aca="false">AN527*$M527</f>
        <v>0</v>
      </c>
      <c r="AP527" s="28"/>
      <c r="AQ527" s="28" t="n">
        <f aca="false">AP527*$M527</f>
        <v>0</v>
      </c>
      <c r="AR527" s="28"/>
      <c r="AS527" s="28" t="n">
        <f aca="false">AR527*$M527</f>
        <v>0</v>
      </c>
      <c r="AT527" s="28"/>
      <c r="AU527" s="28" t="n">
        <f aca="false">AT527*$M527</f>
        <v>0</v>
      </c>
      <c r="AV527" s="28"/>
      <c r="AW527" s="28" t="n">
        <f aca="false">AV527*$M527</f>
        <v>0</v>
      </c>
      <c r="AX527" s="28"/>
      <c r="AY527" s="28" t="n">
        <f aca="false">AX527*$M527</f>
        <v>0</v>
      </c>
      <c r="AZ527" s="30" t="n">
        <f aca="false">13174/100</f>
        <v>131.74</v>
      </c>
      <c r="BA527" s="11" t="n">
        <v>31618</v>
      </c>
      <c r="BB527" s="31" t="n">
        <f aca="false">SUM(Q527,S527,U527,W527,Y527,AA527,AC527,AE527,AG527,AI527,AK527,AM527,AO527,AQ527,AS527,AU527,AW527,AY527)</f>
        <v>31618</v>
      </c>
      <c r="BC527" s="28" t="n">
        <f aca="false">BA527-BB527</f>
        <v>0</v>
      </c>
      <c r="BD527" s="32" t="n">
        <f aca="false">SUM(P527,R527,T527,V527,X527,Z527,AB527,AD527,AF527,AH527,AJ527,AL527,AN527,AP527,AR527,AT527,AV527,AX527)</f>
        <v>131.74</v>
      </c>
      <c r="BE527" s="33" t="n">
        <f aca="false">AZ527-BD527</f>
        <v>0</v>
      </c>
      <c r="BF527" s="34" t="n">
        <f aca="false">BD527*M527</f>
        <v>31617.6</v>
      </c>
      <c r="BG527" s="35" t="n">
        <f aca="false">BA527-BF527</f>
        <v>0.400000000005093</v>
      </c>
      <c r="BH527" s="19" t="str">
        <f aca="false">IF(BG527=0,"",IF(BG527&lt;&gt;BA527,"erreur de calcul",IF(BD527&lt;&gt;0,"pas de prix",IF(M527&lt;&gt; 0,"pas de quantité","pas de prix, ni de quantité"))))</f>
        <v>erreur de calcul</v>
      </c>
      <c r="BI527" s="19"/>
    </row>
    <row r="528" customFormat="false" ht="16" hidden="false" customHeight="false" outlineLevel="0" collapsed="false">
      <c r="A528" s="0" t="n">
        <v>11</v>
      </c>
      <c r="B528" s="8" t="s">
        <v>24</v>
      </c>
      <c r="C528" s="9" t="s">
        <v>25</v>
      </c>
      <c r="D528" s="9" t="s">
        <v>26</v>
      </c>
      <c r="E528" s="10" t="n">
        <v>1789</v>
      </c>
      <c r="F528" s="9" t="s">
        <v>27</v>
      </c>
      <c r="G528" s="9" t="s">
        <v>27</v>
      </c>
      <c r="H528" s="11" t="n">
        <v>23</v>
      </c>
      <c r="I528" s="11" t="s">
        <v>253</v>
      </c>
      <c r="J528" s="14" t="n">
        <v>190</v>
      </c>
      <c r="K528" s="14"/>
      <c r="L528" s="16"/>
      <c r="M528" s="27" t="n">
        <f aca="false">J528+(K528/20)+(L528/240)</f>
        <v>190</v>
      </c>
      <c r="N528" s="17" t="s">
        <v>64</v>
      </c>
      <c r="O528" s="11"/>
      <c r="P528" s="28"/>
      <c r="Q528" s="28" t="n">
        <f aca="false">P528*$M528</f>
        <v>0</v>
      </c>
      <c r="R528" s="28"/>
      <c r="S528" s="28" t="n">
        <f aca="false">R528*$M528</f>
        <v>0</v>
      </c>
      <c r="T528" s="28"/>
      <c r="U528" s="28" t="n">
        <f aca="false">T528*$M528</f>
        <v>0</v>
      </c>
      <c r="V528" s="28" t="n">
        <f aca="false">14963/100</f>
        <v>149.63</v>
      </c>
      <c r="W528" s="36" t="n">
        <v>28420</v>
      </c>
      <c r="X528" s="28"/>
      <c r="Y528" s="28" t="n">
        <f aca="false">X528*$M528</f>
        <v>0</v>
      </c>
      <c r="Z528" s="28"/>
      <c r="AA528" s="28" t="n">
        <f aca="false">Z528*$M528</f>
        <v>0</v>
      </c>
      <c r="AB528" s="28"/>
      <c r="AC528" s="28" t="n">
        <f aca="false">AB528*$M528</f>
        <v>0</v>
      </c>
      <c r="AD528" s="28"/>
      <c r="AE528" s="28" t="n">
        <f aca="false">AD528*$M528</f>
        <v>0</v>
      </c>
      <c r="AF528" s="28"/>
      <c r="AG528" s="28" t="n">
        <f aca="false">AF528*$M528</f>
        <v>0</v>
      </c>
      <c r="AH528" s="28"/>
      <c r="AI528" s="28" t="n">
        <f aca="false">AH528*$M528</f>
        <v>0</v>
      </c>
      <c r="AJ528" s="28"/>
      <c r="AK528" s="28" t="n">
        <f aca="false">AJ528*$M528</f>
        <v>0</v>
      </c>
      <c r="AL528" s="28"/>
      <c r="AM528" s="28" t="n">
        <f aca="false">AL528*$M528</f>
        <v>0</v>
      </c>
      <c r="AN528" s="28"/>
      <c r="AO528" s="28" t="n">
        <f aca="false">AN528*$M528</f>
        <v>0</v>
      </c>
      <c r="AP528" s="28"/>
      <c r="AQ528" s="28" t="n">
        <f aca="false">AP528*$M528</f>
        <v>0</v>
      </c>
      <c r="AR528" s="28"/>
      <c r="AS528" s="28" t="n">
        <f aca="false">AR528*$M528</f>
        <v>0</v>
      </c>
      <c r="AT528" s="28"/>
      <c r="AU528" s="28" t="n">
        <f aca="false">AT528*$M528</f>
        <v>0</v>
      </c>
      <c r="AV528" s="28"/>
      <c r="AW528" s="28" t="n">
        <f aca="false">AV528*$M528</f>
        <v>0</v>
      </c>
      <c r="AX528" s="28"/>
      <c r="AY528" s="28" t="n">
        <f aca="false">AX528*$M528</f>
        <v>0</v>
      </c>
      <c r="AZ528" s="30" t="n">
        <f aca="false">14963/100</f>
        <v>149.63</v>
      </c>
      <c r="BA528" s="11" t="n">
        <v>28420</v>
      </c>
      <c r="BB528" s="31" t="n">
        <f aca="false">SUM(Q528,S528,U528,W528,Y528,AA528,AC528,AE528,AG528,AI528,AK528,AM528,AO528,AQ528,AS528,AU528,AW528,AY528)</f>
        <v>28420</v>
      </c>
      <c r="BC528" s="28" t="n">
        <f aca="false">BA528-BB528</f>
        <v>0</v>
      </c>
      <c r="BD528" s="32" t="n">
        <f aca="false">SUM(P528,R528,T528,V528,X528,Z528,AB528,AD528,AF528,AH528,AJ528,AL528,AN528,AP528,AR528,AT528,AV528,AX528)</f>
        <v>149.63</v>
      </c>
      <c r="BE528" s="33" t="n">
        <f aca="false">AZ528-BD528</f>
        <v>0</v>
      </c>
      <c r="BF528" s="34" t="n">
        <f aca="false">BD528*M528</f>
        <v>28429.7</v>
      </c>
      <c r="BG528" s="35" t="n">
        <f aca="false">BA528-BF528</f>
        <v>-9.70000000000073</v>
      </c>
      <c r="BH528" s="19" t="str">
        <f aca="false">IF(BG528=0,"",IF(BG528&lt;&gt;BA528,"erreur de calcul",IF(BD528&lt;&gt;0,"pas de prix",IF(M528&lt;&gt; 0,"pas de quantité","pas de prix, ni de quantité"))))</f>
        <v>erreur de calcul</v>
      </c>
      <c r="BI528" s="19"/>
    </row>
    <row r="529" customFormat="false" ht="16" hidden="false" customHeight="false" outlineLevel="0" collapsed="false">
      <c r="A529" s="0" t="n">
        <v>12</v>
      </c>
      <c r="B529" s="8" t="s">
        <v>24</v>
      </c>
      <c r="C529" s="9" t="s">
        <v>25</v>
      </c>
      <c r="D529" s="9" t="s">
        <v>26</v>
      </c>
      <c r="E529" s="10" t="n">
        <v>1789</v>
      </c>
      <c r="F529" s="9" t="s">
        <v>27</v>
      </c>
      <c r="G529" s="9" t="s">
        <v>27</v>
      </c>
      <c r="H529" s="11" t="n">
        <v>23</v>
      </c>
      <c r="I529" s="11" t="s">
        <v>254</v>
      </c>
      <c r="J529" s="14" t="n">
        <v>14</v>
      </c>
      <c r="K529" s="14"/>
      <c r="L529" s="16"/>
      <c r="M529" s="27" t="n">
        <f aca="false">J529+(K529/20)+(L529/240)</f>
        <v>14</v>
      </c>
      <c r="N529" s="17" t="s">
        <v>64</v>
      </c>
      <c r="O529" s="11"/>
      <c r="P529" s="28"/>
      <c r="Q529" s="28" t="n">
        <f aca="false">P529*$M529</f>
        <v>0</v>
      </c>
      <c r="R529" s="28"/>
      <c r="S529" s="28" t="n">
        <f aca="false">R529*$M529</f>
        <v>0</v>
      </c>
      <c r="T529" s="28"/>
      <c r="U529" s="28" t="n">
        <f aca="false">T529*$M529</f>
        <v>0</v>
      </c>
      <c r="V529" s="28"/>
      <c r="W529" s="28" t="n">
        <f aca="false">V529*$M529</f>
        <v>0</v>
      </c>
      <c r="X529" s="28" t="n">
        <f aca="false">445483/100</f>
        <v>4454.83</v>
      </c>
      <c r="Y529" s="28" t="n">
        <v>62368</v>
      </c>
      <c r="Z529" s="28"/>
      <c r="AA529" s="28" t="n">
        <f aca="false">Z529*$M529</f>
        <v>0</v>
      </c>
      <c r="AB529" s="28"/>
      <c r="AC529" s="28" t="n">
        <f aca="false">AB529*$M529</f>
        <v>0</v>
      </c>
      <c r="AD529" s="28"/>
      <c r="AE529" s="28" t="n">
        <f aca="false">AD529*$M529</f>
        <v>0</v>
      </c>
      <c r="AF529" s="28"/>
      <c r="AG529" s="28" t="n">
        <f aca="false">AF529*$M529</f>
        <v>0</v>
      </c>
      <c r="AH529" s="28"/>
      <c r="AI529" s="28" t="n">
        <f aca="false">AH529*$M529</f>
        <v>0</v>
      </c>
      <c r="AJ529" s="28"/>
      <c r="AK529" s="28" t="n">
        <f aca="false">AJ529*$M529</f>
        <v>0</v>
      </c>
      <c r="AL529" s="28"/>
      <c r="AM529" s="28" t="n">
        <f aca="false">AL529*$M529</f>
        <v>0</v>
      </c>
      <c r="AN529" s="28"/>
      <c r="AO529" s="28" t="n">
        <f aca="false">AN529*$M529</f>
        <v>0</v>
      </c>
      <c r="AP529" s="28"/>
      <c r="AQ529" s="28" t="n">
        <f aca="false">AP529*$M529</f>
        <v>0</v>
      </c>
      <c r="AR529" s="28"/>
      <c r="AS529" s="28" t="n">
        <f aca="false">AR529*$M529</f>
        <v>0</v>
      </c>
      <c r="AT529" s="28"/>
      <c r="AU529" s="28" t="n">
        <f aca="false">AT529*$M529</f>
        <v>0</v>
      </c>
      <c r="AV529" s="28"/>
      <c r="AW529" s="28" t="n">
        <f aca="false">AV529*$M529</f>
        <v>0</v>
      </c>
      <c r="AX529" s="28"/>
      <c r="AY529" s="28" t="n">
        <f aca="false">AX529*$M529</f>
        <v>0</v>
      </c>
      <c r="AZ529" s="30" t="n">
        <f aca="false">445483/100</f>
        <v>4454.83</v>
      </c>
      <c r="BA529" s="11" t="n">
        <v>62368</v>
      </c>
      <c r="BB529" s="31" t="n">
        <f aca="false">SUM(Q529,S529,U529,W529,Y529,AA529,AC529,AE529,AG529,AI529,AK529,AM529,AO529,AQ529,AS529,AU529,AW529,AY529)</f>
        <v>62368</v>
      </c>
      <c r="BC529" s="28" t="n">
        <f aca="false">BA529-BB529</f>
        <v>0</v>
      </c>
      <c r="BD529" s="32" t="n">
        <f aca="false">SUM(P529,R529,T529,V529,X529,Z529,AB529,AD529,AF529,AH529,AJ529,AL529,AN529,AP529,AR529,AT529,AV529,AX529)</f>
        <v>4454.83</v>
      </c>
      <c r="BE529" s="33" t="n">
        <f aca="false">AZ529-BD529</f>
        <v>0</v>
      </c>
      <c r="BF529" s="34" t="n">
        <f aca="false">BD529*M529</f>
        <v>62367.62</v>
      </c>
      <c r="BG529" s="35" t="n">
        <f aca="false">BA529-BF529</f>
        <v>0.380000000004657</v>
      </c>
      <c r="BH529" s="19" t="str">
        <f aca="false">IF(BG529=0,"",IF(BG529&lt;&gt;BA529,"erreur de calcul",IF(BD529&lt;&gt;0,"pas de prix",IF(M529&lt;&gt; 0,"pas de quantité","pas de prix, ni de quantité"))))</f>
        <v>erreur de calcul</v>
      </c>
      <c r="BI529" s="19"/>
    </row>
    <row r="530" customFormat="false" ht="16" hidden="false" customHeight="false" outlineLevel="0" collapsed="false">
      <c r="A530" s="0" t="n">
        <v>13</v>
      </c>
      <c r="B530" s="8" t="s">
        <v>24</v>
      </c>
      <c r="C530" s="9" t="s">
        <v>25</v>
      </c>
      <c r="D530" s="9" t="s">
        <v>26</v>
      </c>
      <c r="E530" s="10" t="n">
        <v>1789</v>
      </c>
      <c r="F530" s="9" t="s">
        <v>27</v>
      </c>
      <c r="G530" s="9" t="s">
        <v>27</v>
      </c>
      <c r="H530" s="11" t="n">
        <v>23</v>
      </c>
      <c r="I530" s="11" t="s">
        <v>255</v>
      </c>
      <c r="J530" s="14" t="n">
        <v>6</v>
      </c>
      <c r="K530" s="14"/>
      <c r="L530" s="16"/>
      <c r="M530" s="27" t="n">
        <f aca="false">J530+(K530/20)+(L530/240)</f>
        <v>6</v>
      </c>
      <c r="N530" s="17" t="s">
        <v>64</v>
      </c>
      <c r="O530" s="11"/>
      <c r="P530" s="28"/>
      <c r="Q530" s="28" t="n">
        <f aca="false">P530*$M530</f>
        <v>0</v>
      </c>
      <c r="R530" s="28"/>
      <c r="S530" s="28" t="n">
        <f aca="false">R530*$M530</f>
        <v>0</v>
      </c>
      <c r="T530" s="28"/>
      <c r="U530" s="28" t="n">
        <f aca="false">T530*$M530</f>
        <v>0</v>
      </c>
      <c r="V530" s="28" t="n">
        <f aca="false">8263/100</f>
        <v>82.63</v>
      </c>
      <c r="W530" s="28" t="n">
        <v>496</v>
      </c>
      <c r="X530" s="28"/>
      <c r="Y530" s="28" t="n">
        <f aca="false">X530*$M530</f>
        <v>0</v>
      </c>
      <c r="Z530" s="28" t="n">
        <f aca="false">62695/100</f>
        <v>626.95</v>
      </c>
      <c r="AA530" s="28" t="n">
        <v>3762</v>
      </c>
      <c r="AB530" s="28"/>
      <c r="AC530" s="28" t="n">
        <f aca="false">AB530*$M530</f>
        <v>0</v>
      </c>
      <c r="AD530" s="28"/>
      <c r="AE530" s="28" t="n">
        <f aca="false">AD530*$M530</f>
        <v>0</v>
      </c>
      <c r="AF530" s="28"/>
      <c r="AG530" s="28" t="n">
        <f aca="false">AF530*$M530</f>
        <v>0</v>
      </c>
      <c r="AH530" s="28"/>
      <c r="AI530" s="28" t="n">
        <f aca="false">AH530*$M530</f>
        <v>0</v>
      </c>
      <c r="AJ530" s="28"/>
      <c r="AK530" s="28" t="n">
        <f aca="false">AJ530*$M530</f>
        <v>0</v>
      </c>
      <c r="AL530" s="28"/>
      <c r="AM530" s="28" t="n">
        <f aca="false">AL530*$M530</f>
        <v>0</v>
      </c>
      <c r="AN530" s="28"/>
      <c r="AO530" s="28" t="n">
        <f aca="false">AN530*$M530</f>
        <v>0</v>
      </c>
      <c r="AP530" s="28"/>
      <c r="AQ530" s="28" t="n">
        <f aca="false">AP530*$M530</f>
        <v>0</v>
      </c>
      <c r="AR530" s="28"/>
      <c r="AS530" s="28" t="n">
        <f aca="false">AR530*$M530</f>
        <v>0</v>
      </c>
      <c r="AT530" s="28"/>
      <c r="AU530" s="28" t="n">
        <f aca="false">AT530*$M530</f>
        <v>0</v>
      </c>
      <c r="AV530" s="28"/>
      <c r="AW530" s="28" t="n">
        <f aca="false">AV530*$M530</f>
        <v>0</v>
      </c>
      <c r="AX530" s="28"/>
      <c r="AY530" s="28" t="n">
        <f aca="false">AX530*$M530</f>
        <v>0</v>
      </c>
      <c r="AZ530" s="30" t="n">
        <f aca="false">70958/100</f>
        <v>709.58</v>
      </c>
      <c r="BA530" s="11" t="n">
        <v>4258</v>
      </c>
      <c r="BB530" s="31" t="n">
        <f aca="false">SUM(Q530,S530,U530,W530,Y530,AA530,AC530,AE530,AG530,AI530,AK530,AM530,AO530,AQ530,AS530,AU530,AW530,AY530)</f>
        <v>4258</v>
      </c>
      <c r="BC530" s="28" t="n">
        <f aca="false">BA530-BB530</f>
        <v>0</v>
      </c>
      <c r="BD530" s="32" t="n">
        <f aca="false">SUM(P530,R530,T530,V530,X530,Z530,AB530,AD530,AF530,AH530,AJ530,AL530,AN530,AP530,AR530,AT530,AV530,AX530)</f>
        <v>709.58</v>
      </c>
      <c r="BE530" s="33" t="n">
        <f aca="false">AZ530-BD530</f>
        <v>0</v>
      </c>
      <c r="BF530" s="34" t="n">
        <f aca="false">BD530*M530</f>
        <v>4257.48</v>
      </c>
      <c r="BG530" s="35" t="n">
        <f aca="false">BA530-BF530</f>
        <v>0.519999999999527</v>
      </c>
      <c r="BH530" s="19" t="str">
        <f aca="false">IF(BG530=0,"",IF(BG530&lt;&gt;BA530,"erreur de calcul",IF(BD530&lt;&gt;0,"pas de prix",IF(M530&lt;&gt; 0,"pas de quantité","pas de prix, ni de quantité"))))</f>
        <v>erreur de calcul</v>
      </c>
      <c r="BI530" s="19"/>
    </row>
    <row r="531" customFormat="false" ht="16" hidden="false" customHeight="false" outlineLevel="0" collapsed="false">
      <c r="A531" s="0" t="n">
        <v>14</v>
      </c>
      <c r="B531" s="8" t="s">
        <v>24</v>
      </c>
      <c r="C531" s="9" t="s">
        <v>25</v>
      </c>
      <c r="D531" s="9" t="s">
        <v>26</v>
      </c>
      <c r="E531" s="10" t="n">
        <v>1789</v>
      </c>
      <c r="F531" s="9" t="s">
        <v>27</v>
      </c>
      <c r="G531" s="9" t="s">
        <v>27</v>
      </c>
      <c r="H531" s="11" t="n">
        <v>23</v>
      </c>
      <c r="I531" s="11" t="s">
        <v>256</v>
      </c>
      <c r="J531" s="14" t="n">
        <v>30</v>
      </c>
      <c r="K531" s="14"/>
      <c r="L531" s="16"/>
      <c r="M531" s="27" t="n">
        <f aca="false">J531+(K531/20)+(L531/240)</f>
        <v>30</v>
      </c>
      <c r="N531" s="17" t="s">
        <v>64</v>
      </c>
      <c r="O531" s="11"/>
      <c r="P531" s="28" t="n">
        <f aca="false">1584/100</f>
        <v>15.84</v>
      </c>
      <c r="Q531" s="28" t="n">
        <v>475</v>
      </c>
      <c r="R531" s="28"/>
      <c r="S531" s="28" t="n">
        <f aca="false">R531*$M531</f>
        <v>0</v>
      </c>
      <c r="T531" s="28" t="n">
        <f aca="false">78834/100</f>
        <v>788.34</v>
      </c>
      <c r="U531" s="28" t="n">
        <v>23650</v>
      </c>
      <c r="V531" s="28"/>
      <c r="W531" s="28" t="n">
        <f aca="false">V531*$M531</f>
        <v>0</v>
      </c>
      <c r="X531" s="28"/>
      <c r="Y531" s="28" t="n">
        <f aca="false">X531*$M531</f>
        <v>0</v>
      </c>
      <c r="Z531" s="28"/>
      <c r="AA531" s="28" t="n">
        <f aca="false">Z531*$M531</f>
        <v>0</v>
      </c>
      <c r="AB531" s="28"/>
      <c r="AC531" s="28" t="n">
        <f aca="false">AB531*$M531</f>
        <v>0</v>
      </c>
      <c r="AD531" s="28"/>
      <c r="AE531" s="28" t="n">
        <f aca="false">AD531*$M531</f>
        <v>0</v>
      </c>
      <c r="AF531" s="28"/>
      <c r="AG531" s="28" t="n">
        <f aca="false">AF531*$M531</f>
        <v>0</v>
      </c>
      <c r="AH531" s="28"/>
      <c r="AI531" s="28" t="n">
        <f aca="false">AH531*$M531</f>
        <v>0</v>
      </c>
      <c r="AJ531" s="28"/>
      <c r="AK531" s="28" t="n">
        <f aca="false">AJ531*$M531</f>
        <v>0</v>
      </c>
      <c r="AL531" s="28"/>
      <c r="AM531" s="28" t="n">
        <f aca="false">AL531*$M531</f>
        <v>0</v>
      </c>
      <c r="AN531" s="28"/>
      <c r="AO531" s="28" t="n">
        <f aca="false">AN531*$M531</f>
        <v>0</v>
      </c>
      <c r="AP531" s="28"/>
      <c r="AQ531" s="28" t="n">
        <f aca="false">AP531*$M531</f>
        <v>0</v>
      </c>
      <c r="AR531" s="28"/>
      <c r="AS531" s="28" t="n">
        <f aca="false">AR531*$M531</f>
        <v>0</v>
      </c>
      <c r="AT531" s="28"/>
      <c r="AU531" s="28" t="n">
        <f aca="false">AT531*$M531</f>
        <v>0</v>
      </c>
      <c r="AV531" s="28"/>
      <c r="AW531" s="28" t="n">
        <f aca="false">AV531*$M531</f>
        <v>0</v>
      </c>
      <c r="AX531" s="28"/>
      <c r="AY531" s="28" t="n">
        <f aca="false">AX531*$M531</f>
        <v>0</v>
      </c>
      <c r="AZ531" s="30" t="n">
        <f aca="false">80418/100</f>
        <v>804.18</v>
      </c>
      <c r="BA531" s="11" t="n">
        <v>24125</v>
      </c>
      <c r="BB531" s="31" t="n">
        <f aca="false">SUM(Q531,S531,U531,W531,Y531,AA531,AC531,AE531,AG531,AI531,AK531,AM531,AO531,AQ531,AS531,AU531,AW531,AY531)</f>
        <v>24125</v>
      </c>
      <c r="BC531" s="28" t="n">
        <f aca="false">BA531-BB531</f>
        <v>0</v>
      </c>
      <c r="BD531" s="32" t="n">
        <f aca="false">SUM(P531,R531,T531,V531,X531,Z531,AB531,AD531,AF531,AH531,AJ531,AL531,AN531,AP531,AR531,AT531,AV531,AX531)</f>
        <v>804.18</v>
      </c>
      <c r="BE531" s="33" t="n">
        <f aca="false">AZ531-BD531</f>
        <v>0</v>
      </c>
      <c r="BF531" s="34" t="n">
        <f aca="false">BD531*M531</f>
        <v>24125.4</v>
      </c>
      <c r="BG531" s="35" t="n">
        <f aca="false">BA531-BF531</f>
        <v>-0.400000000001455</v>
      </c>
      <c r="BH531" s="19" t="str">
        <f aca="false">IF(BG531=0,"",IF(BG531&lt;&gt;BA531,"erreur de calcul",IF(BD531&lt;&gt;0,"pas de prix",IF(M531&lt;&gt; 0,"pas de quantité","pas de prix, ni de quantité"))))</f>
        <v>erreur de calcul</v>
      </c>
      <c r="BI531" s="19"/>
    </row>
    <row r="532" customFormat="false" ht="16" hidden="false" customHeight="false" outlineLevel="0" collapsed="false">
      <c r="A532" s="0" t="n">
        <v>15</v>
      </c>
      <c r="B532" s="8" t="s">
        <v>24</v>
      </c>
      <c r="C532" s="9" t="s">
        <v>25</v>
      </c>
      <c r="D532" s="9" t="s">
        <v>26</v>
      </c>
      <c r="E532" s="10" t="n">
        <v>1789</v>
      </c>
      <c r="F532" s="9" t="s">
        <v>27</v>
      </c>
      <c r="G532" s="9" t="s">
        <v>27</v>
      </c>
      <c r="H532" s="11" t="n">
        <v>23</v>
      </c>
      <c r="I532" s="11" t="s">
        <v>257</v>
      </c>
      <c r="J532" s="14" t="n">
        <v>40</v>
      </c>
      <c r="K532" s="14"/>
      <c r="L532" s="16"/>
      <c r="M532" s="27" t="n">
        <f aca="false">J532+(K532/20)+(L532/240)</f>
        <v>40</v>
      </c>
      <c r="N532" s="17" t="s">
        <v>64</v>
      </c>
      <c r="O532" s="11"/>
      <c r="P532" s="28"/>
      <c r="Q532" s="28" t="n">
        <f aca="false">P532*$M532</f>
        <v>0</v>
      </c>
      <c r="R532" s="28"/>
      <c r="S532" s="28" t="n">
        <f aca="false">R532*$M532</f>
        <v>0</v>
      </c>
      <c r="T532" s="28"/>
      <c r="U532" s="28" t="n">
        <f aca="false">T532*$M532</f>
        <v>0</v>
      </c>
      <c r="V532" s="28"/>
      <c r="W532" s="28" t="n">
        <f aca="false">V532*$M532</f>
        <v>0</v>
      </c>
      <c r="X532" s="28"/>
      <c r="Y532" s="28" t="n">
        <f aca="false">X532*$M532</f>
        <v>0</v>
      </c>
      <c r="Z532" s="28"/>
      <c r="AA532" s="28" t="n">
        <f aca="false">Z532*$M532</f>
        <v>0</v>
      </c>
      <c r="AB532" s="28"/>
      <c r="AC532" s="28" t="n">
        <f aca="false">AB532*$M532</f>
        <v>0</v>
      </c>
      <c r="AD532" s="28"/>
      <c r="AE532" s="28" t="n">
        <f aca="false">AD532*$M532</f>
        <v>0</v>
      </c>
      <c r="AF532" s="28"/>
      <c r="AG532" s="28" t="n">
        <f aca="false">AF532*$M532</f>
        <v>0</v>
      </c>
      <c r="AH532" s="28"/>
      <c r="AI532" s="28" t="n">
        <f aca="false">AH532*$M532</f>
        <v>0</v>
      </c>
      <c r="AJ532" s="28" t="n">
        <f aca="false">784564/100</f>
        <v>7845.64</v>
      </c>
      <c r="AK532" s="28" t="n">
        <v>313826</v>
      </c>
      <c r="AL532" s="28" t="n">
        <f aca="false">33500/100</f>
        <v>335</v>
      </c>
      <c r="AM532" s="28" t="n">
        <v>13400</v>
      </c>
      <c r="AN532" s="28"/>
      <c r="AO532" s="28" t="n">
        <f aca="false">AN532*$M532</f>
        <v>0</v>
      </c>
      <c r="AP532" s="28"/>
      <c r="AQ532" s="28" t="n">
        <f aca="false">AP532*$M532</f>
        <v>0</v>
      </c>
      <c r="AR532" s="28"/>
      <c r="AS532" s="28" t="n">
        <f aca="false">AR532*$M532</f>
        <v>0</v>
      </c>
      <c r="AT532" s="28"/>
      <c r="AU532" s="28" t="n">
        <f aca="false">AT532*$M532</f>
        <v>0</v>
      </c>
      <c r="AV532" s="28"/>
      <c r="AW532" s="28" t="n">
        <f aca="false">AV532*$M532</f>
        <v>0</v>
      </c>
      <c r="AX532" s="28"/>
      <c r="AY532" s="28" t="n">
        <f aca="false">AX532*$M532</f>
        <v>0</v>
      </c>
      <c r="AZ532" s="30" t="n">
        <f aca="false">818064/100</f>
        <v>8180.64</v>
      </c>
      <c r="BA532" s="11" t="n">
        <v>327226</v>
      </c>
      <c r="BB532" s="31" t="n">
        <f aca="false">SUM(Q532,S532,U532,W532,Y532,AA532,AC532,AE532,AG532,AI532,AK532,AM532,AO532,AQ532,AS532,AU532,AW532,AY532)</f>
        <v>327226</v>
      </c>
      <c r="BC532" s="28" t="n">
        <f aca="false">BA532-BB532</f>
        <v>0</v>
      </c>
      <c r="BD532" s="32" t="n">
        <f aca="false">SUM(P532,R532,T532,V532,X532,Z532,AB532,AD532,AF532,AH532,AJ532,AL532,AN532,AP532,AR532,AT532,AV532,AX532)</f>
        <v>8180.64</v>
      </c>
      <c r="BE532" s="33" t="n">
        <f aca="false">AZ532-BD532</f>
        <v>0</v>
      </c>
      <c r="BF532" s="34" t="n">
        <f aca="false">BD532*M532</f>
        <v>327225.6</v>
      </c>
      <c r="BG532" s="35" t="n">
        <f aca="false">BA532-BF532</f>
        <v>0.399999999965075</v>
      </c>
      <c r="BH532" s="19" t="str">
        <f aca="false">IF(BG532=0,"",IF(BG532&lt;&gt;BA532,"erreur de calcul",IF(BD532&lt;&gt;0,"pas de prix",IF(M532&lt;&gt; 0,"pas de quantité","pas de prix, ni de quantité"))))</f>
        <v>erreur de calcul</v>
      </c>
      <c r="BI532" s="19"/>
    </row>
    <row r="533" customFormat="false" ht="16" hidden="false" customHeight="false" outlineLevel="0" collapsed="false">
      <c r="A533" s="0" t="n">
        <v>16</v>
      </c>
      <c r="B533" s="8" t="s">
        <v>24</v>
      </c>
      <c r="C533" s="9" t="s">
        <v>25</v>
      </c>
      <c r="D533" s="9" t="s">
        <v>26</v>
      </c>
      <c r="E533" s="10" t="n">
        <v>1789</v>
      </c>
      <c r="F533" s="9" t="s">
        <v>27</v>
      </c>
      <c r="G533" s="9" t="s">
        <v>27</v>
      </c>
      <c r="H533" s="11" t="n">
        <v>23</v>
      </c>
      <c r="I533" s="11" t="s">
        <v>258</v>
      </c>
      <c r="J533" s="14" t="n">
        <v>75</v>
      </c>
      <c r="K533" s="14"/>
      <c r="L533" s="16"/>
      <c r="M533" s="27" t="n">
        <f aca="false">J533+(K533/20)+(L533/240)</f>
        <v>75</v>
      </c>
      <c r="N533" s="17" t="s">
        <v>64</v>
      </c>
      <c r="O533" s="11"/>
      <c r="P533" s="28"/>
      <c r="Q533" s="28" t="n">
        <f aca="false">P533*$M533</f>
        <v>0</v>
      </c>
      <c r="R533" s="28"/>
      <c r="S533" s="28" t="n">
        <f aca="false">R533*$M533</f>
        <v>0</v>
      </c>
      <c r="T533" s="28" t="n">
        <f aca="false">1000/100</f>
        <v>10</v>
      </c>
      <c r="U533" s="28" t="n">
        <v>750</v>
      </c>
      <c r="V533" s="28" t="n">
        <f aca="false">17232/100</f>
        <v>172.32</v>
      </c>
      <c r="W533" s="28" t="n">
        <v>12924</v>
      </c>
      <c r="X533" s="28" t="n">
        <f aca="false">942/100</f>
        <v>9.42</v>
      </c>
      <c r="Y533" s="28" t="n">
        <v>706</v>
      </c>
      <c r="Z533" s="28"/>
      <c r="AA533" s="28" t="n">
        <f aca="false">Z533*$M533</f>
        <v>0</v>
      </c>
      <c r="AB533" s="28" t="n">
        <f aca="false">415/100</f>
        <v>4.15</v>
      </c>
      <c r="AC533" s="28" t="n">
        <v>311</v>
      </c>
      <c r="AD533" s="28"/>
      <c r="AE533" s="28" t="n">
        <f aca="false">AD533*$M533</f>
        <v>0</v>
      </c>
      <c r="AF533" s="28"/>
      <c r="AG533" s="28" t="n">
        <f aca="false">AF533*$M533</f>
        <v>0</v>
      </c>
      <c r="AH533" s="28"/>
      <c r="AI533" s="28" t="n">
        <f aca="false">AH533*$M533</f>
        <v>0</v>
      </c>
      <c r="AJ533" s="28"/>
      <c r="AK533" s="28" t="n">
        <f aca="false">AJ533*$M533</f>
        <v>0</v>
      </c>
      <c r="AL533" s="28"/>
      <c r="AM533" s="28" t="n">
        <f aca="false">AL533*$M533</f>
        <v>0</v>
      </c>
      <c r="AN533" s="28"/>
      <c r="AO533" s="28" t="n">
        <f aca="false">AN533*$M533</f>
        <v>0</v>
      </c>
      <c r="AP533" s="28"/>
      <c r="AQ533" s="28" t="n">
        <f aca="false">AP533*$M533</f>
        <v>0</v>
      </c>
      <c r="AR533" s="28"/>
      <c r="AS533" s="28" t="n">
        <f aca="false">AR533*$M533</f>
        <v>0</v>
      </c>
      <c r="AT533" s="28"/>
      <c r="AU533" s="28" t="n">
        <f aca="false">AT533*$M533</f>
        <v>0</v>
      </c>
      <c r="AV533" s="28"/>
      <c r="AW533" s="28" t="n">
        <f aca="false">AV533*$M533</f>
        <v>0</v>
      </c>
      <c r="AX533" s="28"/>
      <c r="AY533" s="28" t="n">
        <f aca="false">AX533*$M533</f>
        <v>0</v>
      </c>
      <c r="AZ533" s="30" t="n">
        <f aca="false">19589/100</f>
        <v>195.89</v>
      </c>
      <c r="BA533" s="11" t="n">
        <v>14691</v>
      </c>
      <c r="BB533" s="31" t="n">
        <f aca="false">SUM(Q533,S533,U533,W533,Y533,AA533,AC533,AE533,AG533,AI533,AK533,AM533,AO533,AQ533,AS533,AU533,AW533,AY533)</f>
        <v>14691</v>
      </c>
      <c r="BC533" s="28" t="n">
        <f aca="false">BA533-BB533</f>
        <v>0</v>
      </c>
      <c r="BD533" s="32" t="n">
        <f aca="false">SUM(P533,R533,T533,V533,X533,Z533,AB533,AD533,AF533,AH533,AJ533,AL533,AN533,AP533,AR533,AT533,AV533,AX533)</f>
        <v>195.89</v>
      </c>
      <c r="BE533" s="33" t="n">
        <f aca="false">AZ533-BD533</f>
        <v>0</v>
      </c>
      <c r="BF533" s="34" t="n">
        <f aca="false">BD533*M533</f>
        <v>14691.75</v>
      </c>
      <c r="BG533" s="35" t="n">
        <f aca="false">BA533-BF533</f>
        <v>-0.749999999998181</v>
      </c>
      <c r="BH533" s="19" t="str">
        <f aca="false">IF(BG533=0,"",IF(BG533&lt;&gt;BA533,"erreur de calcul",IF(BD533&lt;&gt;0,"pas de prix",IF(M533&lt;&gt; 0,"pas de quantité","pas de prix, ni de quantité"))))</f>
        <v>erreur de calcul</v>
      </c>
      <c r="BI533" s="19"/>
    </row>
    <row r="534" customFormat="false" ht="16" hidden="false" customHeight="false" outlineLevel="0" collapsed="false">
      <c r="A534" s="0" t="n">
        <v>17</v>
      </c>
      <c r="B534" s="8" t="s">
        <v>24</v>
      </c>
      <c r="C534" s="9" t="s">
        <v>25</v>
      </c>
      <c r="D534" s="9" t="s">
        <v>26</v>
      </c>
      <c r="E534" s="10" t="n">
        <v>1789</v>
      </c>
      <c r="F534" s="9" t="s">
        <v>27</v>
      </c>
      <c r="G534" s="9" t="s">
        <v>27</v>
      </c>
      <c r="H534" s="11" t="n">
        <v>23</v>
      </c>
      <c r="I534" s="11" t="s">
        <v>259</v>
      </c>
      <c r="J534" s="14"/>
      <c r="K534" s="14"/>
      <c r="L534" s="16"/>
      <c r="M534" s="27" t="n">
        <f aca="false">J534+(K534/20)+(L534/240)</f>
        <v>0</v>
      </c>
      <c r="N534" s="17"/>
      <c r="O534" s="11"/>
      <c r="P534" s="28"/>
      <c r="Q534" s="28" t="n">
        <v>957</v>
      </c>
      <c r="R534" s="28"/>
      <c r="S534" s="28" t="n">
        <f aca="false">R534*$M534</f>
        <v>0</v>
      </c>
      <c r="T534" s="28"/>
      <c r="U534" s="28" t="n">
        <v>354</v>
      </c>
      <c r="V534" s="28"/>
      <c r="W534" s="28" t="n">
        <v>398</v>
      </c>
      <c r="X534" s="28"/>
      <c r="Y534" s="28" t="n">
        <v>685</v>
      </c>
      <c r="Z534" s="28"/>
      <c r="AA534" s="28" t="n">
        <v>120</v>
      </c>
      <c r="AB534" s="28"/>
      <c r="AC534" s="28" t="n">
        <v>2994</v>
      </c>
      <c r="AD534" s="28"/>
      <c r="AE534" s="28" t="n">
        <f aca="false">AD534*$M534</f>
        <v>0</v>
      </c>
      <c r="AF534" s="28"/>
      <c r="AG534" s="28" t="n">
        <f aca="false">AF534*$M534</f>
        <v>0</v>
      </c>
      <c r="AH534" s="28"/>
      <c r="AI534" s="28" t="n">
        <v>144</v>
      </c>
      <c r="AJ534" s="28"/>
      <c r="AK534" s="28" t="n">
        <f aca="false">AJ534*$M534</f>
        <v>0</v>
      </c>
      <c r="AL534" s="28"/>
      <c r="AM534" s="28" t="n">
        <f aca="false">AL534*$M534</f>
        <v>0</v>
      </c>
      <c r="AN534" s="28"/>
      <c r="AO534" s="28" t="n">
        <f aca="false">AN534*$M534</f>
        <v>0</v>
      </c>
      <c r="AP534" s="28"/>
      <c r="AQ534" s="28" t="n">
        <f aca="false">AP534*$M534</f>
        <v>0</v>
      </c>
      <c r="AR534" s="28"/>
      <c r="AS534" s="28" t="n">
        <f aca="false">AR534*$M534</f>
        <v>0</v>
      </c>
      <c r="AT534" s="28"/>
      <c r="AU534" s="28" t="n">
        <f aca="false">AT534*$M534</f>
        <v>0</v>
      </c>
      <c r="AV534" s="28"/>
      <c r="AW534" s="28" t="n">
        <f aca="false">AV534*$M534</f>
        <v>0</v>
      </c>
      <c r="AX534" s="28"/>
      <c r="AY534" s="28" t="n">
        <f aca="false">AX534*$M534</f>
        <v>0</v>
      </c>
      <c r="AZ534" s="30"/>
      <c r="BA534" s="11" t="n">
        <v>5652</v>
      </c>
      <c r="BB534" s="31" t="n">
        <f aca="false">SUM(Q534,S534,U534,W534,Y534,AA534,AC534,AE534,AG534,AI534,AK534,AM534,AO534,AQ534,AS534,AU534,AW534,AY534)</f>
        <v>5652</v>
      </c>
      <c r="BC534" s="28" t="n">
        <f aca="false">BA534-BB534</f>
        <v>0</v>
      </c>
      <c r="BD534" s="32" t="n">
        <f aca="false">SUM(P534,R534,T534,V534,X534,Z534,AB534,AD534,AF534,AH534,AJ534,AL534,AN534,AP534,AR534,AT534,AV534,AX534)</f>
        <v>0</v>
      </c>
      <c r="BE534" s="33" t="n">
        <f aca="false">AZ534-BD534</f>
        <v>0</v>
      </c>
      <c r="BF534" s="34" t="n">
        <f aca="false">BD534*M534</f>
        <v>0</v>
      </c>
      <c r="BG534" s="35" t="n">
        <f aca="false">BA534-BF534</f>
        <v>5652</v>
      </c>
      <c r="BH534" s="19" t="str">
        <f aca="false">IF(BG534=0,"",IF(BG534&lt;&gt;BA534,"erreur de calcul",IF(BD534&lt;&gt;0,"pas de prix",IF(M534&lt;&gt; 0,"pas de quantité","pas de prix, ni de quantité"))))</f>
        <v>pas de prix, ni de quantité</v>
      </c>
      <c r="BI534" s="19"/>
    </row>
    <row r="535" customFormat="false" ht="16" hidden="false" customHeight="false" outlineLevel="0" collapsed="false">
      <c r="A535" s="0" t="n">
        <v>18</v>
      </c>
      <c r="B535" s="8" t="s">
        <v>24</v>
      </c>
      <c r="C535" s="9" t="s">
        <v>25</v>
      </c>
      <c r="D535" s="9" t="s">
        <v>26</v>
      </c>
      <c r="E535" s="10" t="n">
        <v>1789</v>
      </c>
      <c r="F535" s="9" t="s">
        <v>27</v>
      </c>
      <c r="G535" s="9" t="s">
        <v>27</v>
      </c>
      <c r="H535" s="11" t="n">
        <v>23</v>
      </c>
      <c r="I535" s="11" t="s">
        <v>260</v>
      </c>
      <c r="J535" s="14" t="n">
        <v>88</v>
      </c>
      <c r="K535" s="14"/>
      <c r="L535" s="16"/>
      <c r="M535" s="27" t="n">
        <f aca="false">J535+(K535/20)+(L535/240)</f>
        <v>88</v>
      </c>
      <c r="N535" s="17" t="s">
        <v>64</v>
      </c>
      <c r="O535" s="11"/>
      <c r="P535" s="28"/>
      <c r="Q535" s="28" t="n">
        <f aca="false">P535*$M535</f>
        <v>0</v>
      </c>
      <c r="R535" s="28"/>
      <c r="S535" s="28" t="n">
        <f aca="false">R535*$M535</f>
        <v>0</v>
      </c>
      <c r="T535" s="28"/>
      <c r="U535" s="28" t="n">
        <f aca="false">T535*$M535</f>
        <v>0</v>
      </c>
      <c r="V535" s="28" t="n">
        <f aca="false">21004/100</f>
        <v>210.04</v>
      </c>
      <c r="W535" s="28" t="n">
        <v>18483</v>
      </c>
      <c r="X535" s="28"/>
      <c r="Y535" s="28" t="n">
        <f aca="false">X535*$M535</f>
        <v>0</v>
      </c>
      <c r="Z535" s="28"/>
      <c r="AA535" s="28" t="n">
        <f aca="false">Z535*$M535</f>
        <v>0</v>
      </c>
      <c r="AB535" s="28"/>
      <c r="AC535" s="28" t="n">
        <f aca="false">AB535*$M535</f>
        <v>0</v>
      </c>
      <c r="AD535" s="28"/>
      <c r="AE535" s="28" t="n">
        <f aca="false">AD535*$M535</f>
        <v>0</v>
      </c>
      <c r="AF535" s="28"/>
      <c r="AG535" s="28" t="n">
        <f aca="false">AF535*$M535</f>
        <v>0</v>
      </c>
      <c r="AH535" s="28"/>
      <c r="AI535" s="28" t="n">
        <f aca="false">AH535*$M535</f>
        <v>0</v>
      </c>
      <c r="AJ535" s="28"/>
      <c r="AK535" s="28" t="n">
        <f aca="false">AJ535*$M535</f>
        <v>0</v>
      </c>
      <c r="AL535" s="28"/>
      <c r="AM535" s="28" t="n">
        <f aca="false">AL535*$M535</f>
        <v>0</v>
      </c>
      <c r="AN535" s="28"/>
      <c r="AO535" s="28" t="n">
        <f aca="false">AN535*$M535</f>
        <v>0</v>
      </c>
      <c r="AP535" s="28"/>
      <c r="AQ535" s="28" t="n">
        <f aca="false">AP535*$M535</f>
        <v>0</v>
      </c>
      <c r="AR535" s="28"/>
      <c r="AS535" s="28" t="n">
        <f aca="false">AR535*$M535</f>
        <v>0</v>
      </c>
      <c r="AT535" s="28"/>
      <c r="AU535" s="28" t="n">
        <f aca="false">AT535*$M535</f>
        <v>0</v>
      </c>
      <c r="AV535" s="28"/>
      <c r="AW535" s="28" t="n">
        <f aca="false">AV535*$M535</f>
        <v>0</v>
      </c>
      <c r="AX535" s="28"/>
      <c r="AY535" s="28" t="n">
        <f aca="false">AX535*$M535</f>
        <v>0</v>
      </c>
      <c r="AZ535" s="30" t="n">
        <f aca="false">21004/100</f>
        <v>210.04</v>
      </c>
      <c r="BA535" s="11" t="n">
        <v>18483</v>
      </c>
      <c r="BB535" s="31" t="n">
        <f aca="false">SUM(Q535,S535,U535,W535,Y535,AA535,AC535,AE535,AG535,AI535,AK535,AM535,AO535,AQ535,AS535,AU535,AW535,AY535)</f>
        <v>18483</v>
      </c>
      <c r="BC535" s="28" t="n">
        <f aca="false">BA535-BB535</f>
        <v>0</v>
      </c>
      <c r="BD535" s="32" t="n">
        <f aca="false">SUM(P535,R535,T535,V535,X535,Z535,AB535,AD535,AF535,AH535,AJ535,AL535,AN535,AP535,AR535,AT535,AV535,AX535)</f>
        <v>210.04</v>
      </c>
      <c r="BE535" s="33" t="n">
        <f aca="false">AZ535-BD535</f>
        <v>0</v>
      </c>
      <c r="BF535" s="34" t="n">
        <f aca="false">BD535*M535</f>
        <v>18483.52</v>
      </c>
      <c r="BG535" s="35" t="n">
        <f aca="false">BA535-BF535</f>
        <v>-0.520000000000437</v>
      </c>
      <c r="BH535" s="19" t="str">
        <f aca="false">IF(BG535=0,"",IF(BG535&lt;&gt;BA535,"erreur de calcul",IF(BD535&lt;&gt;0,"pas de prix",IF(M535&lt;&gt; 0,"pas de quantité","pas de prix, ni de quantité"))))</f>
        <v>erreur de calcul</v>
      </c>
      <c r="BI535" s="19"/>
    </row>
    <row r="536" customFormat="false" ht="16" hidden="false" customHeight="false" outlineLevel="0" collapsed="false">
      <c r="A536" s="0" t="n">
        <v>19</v>
      </c>
      <c r="B536" s="8" t="s">
        <v>24</v>
      </c>
      <c r="C536" s="9" t="s">
        <v>25</v>
      </c>
      <c r="D536" s="9" t="s">
        <v>26</v>
      </c>
      <c r="E536" s="10" t="n">
        <v>1789</v>
      </c>
      <c r="F536" s="9" t="s">
        <v>27</v>
      </c>
      <c r="G536" s="9" t="s">
        <v>27</v>
      </c>
      <c r="H536" s="11" t="n">
        <v>23</v>
      </c>
      <c r="I536" s="11" t="s">
        <v>261</v>
      </c>
      <c r="J536" s="14" t="n">
        <v>35</v>
      </c>
      <c r="K536" s="14"/>
      <c r="L536" s="16"/>
      <c r="M536" s="27" t="n">
        <f aca="false">J536+(K536/20)+(L536/240)</f>
        <v>35</v>
      </c>
      <c r="N536" s="17" t="s">
        <v>64</v>
      </c>
      <c r="O536" s="11"/>
      <c r="P536" s="28" t="n">
        <f aca="false">2877/100</f>
        <v>28.77</v>
      </c>
      <c r="Q536" s="28" t="n">
        <v>1007</v>
      </c>
      <c r="R536" s="28"/>
      <c r="S536" s="28" t="n">
        <f aca="false">R536*$M536</f>
        <v>0</v>
      </c>
      <c r="T536" s="28"/>
      <c r="U536" s="28" t="n">
        <f aca="false">T536*$M536</f>
        <v>0</v>
      </c>
      <c r="V536" s="28"/>
      <c r="W536" s="28" t="n">
        <f aca="false">V536*$M536</f>
        <v>0</v>
      </c>
      <c r="X536" s="28"/>
      <c r="Y536" s="28" t="n">
        <f aca="false">X536*$M536</f>
        <v>0</v>
      </c>
      <c r="Z536" s="28"/>
      <c r="AA536" s="28" t="n">
        <f aca="false">Z536*$M536</f>
        <v>0</v>
      </c>
      <c r="AB536" s="28"/>
      <c r="AC536" s="28" t="n">
        <f aca="false">AB536*$M536</f>
        <v>0</v>
      </c>
      <c r="AD536" s="28"/>
      <c r="AE536" s="28" t="n">
        <f aca="false">AD536*$M536</f>
        <v>0</v>
      </c>
      <c r="AF536" s="28"/>
      <c r="AG536" s="28" t="n">
        <f aca="false">AF536*$M536</f>
        <v>0</v>
      </c>
      <c r="AH536" s="28"/>
      <c r="AI536" s="28" t="n">
        <f aca="false">AH536*$M536</f>
        <v>0</v>
      </c>
      <c r="AJ536" s="28"/>
      <c r="AK536" s="28" t="n">
        <f aca="false">AJ536*$M536</f>
        <v>0</v>
      </c>
      <c r="AL536" s="28"/>
      <c r="AM536" s="28" t="n">
        <f aca="false">AL536*$M536</f>
        <v>0</v>
      </c>
      <c r="AN536" s="28"/>
      <c r="AO536" s="28" t="n">
        <f aca="false">AN536*$M536</f>
        <v>0</v>
      </c>
      <c r="AP536" s="28"/>
      <c r="AQ536" s="28" t="n">
        <f aca="false">AP536*$M536</f>
        <v>0</v>
      </c>
      <c r="AR536" s="28"/>
      <c r="AS536" s="28" t="n">
        <f aca="false">AR536*$M536</f>
        <v>0</v>
      </c>
      <c r="AT536" s="28"/>
      <c r="AU536" s="28" t="n">
        <f aca="false">AT536*$M536</f>
        <v>0</v>
      </c>
      <c r="AV536" s="28"/>
      <c r="AW536" s="28" t="n">
        <f aca="false">AV536*$M536</f>
        <v>0</v>
      </c>
      <c r="AX536" s="28"/>
      <c r="AY536" s="28" t="n">
        <f aca="false">AX536*$M536</f>
        <v>0</v>
      </c>
      <c r="AZ536" s="30" t="n">
        <f aca="false">2877/100</f>
        <v>28.77</v>
      </c>
      <c r="BA536" s="11" t="n">
        <v>1007</v>
      </c>
      <c r="BB536" s="31" t="n">
        <f aca="false">SUM(Q536,S536,U536,W536,Y536,AA536,AC536,AE536,AG536,AI536,AK536,AM536,AO536,AQ536,AS536,AU536,AW536,AY536)</f>
        <v>1007</v>
      </c>
      <c r="BC536" s="28" t="n">
        <f aca="false">BA536-BB536</f>
        <v>0</v>
      </c>
      <c r="BD536" s="32" t="n">
        <f aca="false">SUM(P536,R536,T536,V536,X536,Z536,AB536,AD536,AF536,AH536,AJ536,AL536,AN536,AP536,AR536,AT536,AV536,AX536)</f>
        <v>28.77</v>
      </c>
      <c r="BE536" s="33" t="n">
        <f aca="false">AZ536-BD536</f>
        <v>0</v>
      </c>
      <c r="BF536" s="34" t="n">
        <f aca="false">BD536*M536</f>
        <v>1006.95</v>
      </c>
      <c r="BG536" s="35" t="n">
        <f aca="false">BA536-BF536</f>
        <v>0.0500000000000682</v>
      </c>
      <c r="BH536" s="19" t="str">
        <f aca="false">IF(BG536=0,"",IF(BG536&lt;&gt;BA536,"erreur de calcul",IF(BD536&lt;&gt;0,"pas de prix",IF(M536&lt;&gt; 0,"pas de quantité","pas de prix, ni de quantité"))))</f>
        <v>erreur de calcul</v>
      </c>
      <c r="BI536" s="19"/>
    </row>
    <row r="537" customFormat="false" ht="16" hidden="false" customHeight="false" outlineLevel="0" collapsed="false">
      <c r="A537" s="0" t="n">
        <v>20</v>
      </c>
      <c r="B537" s="8" t="s">
        <v>24</v>
      </c>
      <c r="C537" s="9" t="s">
        <v>25</v>
      </c>
      <c r="D537" s="9" t="s">
        <v>26</v>
      </c>
      <c r="E537" s="10" t="n">
        <v>1789</v>
      </c>
      <c r="F537" s="9" t="s">
        <v>27</v>
      </c>
      <c r="G537" s="9" t="s">
        <v>27</v>
      </c>
      <c r="H537" s="11" t="n">
        <v>23</v>
      </c>
      <c r="I537" s="11" t="s">
        <v>262</v>
      </c>
      <c r="J537" s="14" t="n">
        <v>40</v>
      </c>
      <c r="K537" s="14"/>
      <c r="L537" s="16"/>
      <c r="M537" s="27" t="n">
        <f aca="false">J537+(K537/20)+(L537/240)</f>
        <v>40</v>
      </c>
      <c r="N537" s="17" t="s">
        <v>64</v>
      </c>
      <c r="O537" s="11"/>
      <c r="P537" s="28"/>
      <c r="Q537" s="28" t="n">
        <f aca="false">P537*$M537</f>
        <v>0</v>
      </c>
      <c r="R537" s="28"/>
      <c r="S537" s="28" t="n">
        <f aca="false">R537*$M537</f>
        <v>0</v>
      </c>
      <c r="T537" s="28"/>
      <c r="U537" s="28" t="n">
        <f aca="false">T537*$M537</f>
        <v>0</v>
      </c>
      <c r="V537" s="28"/>
      <c r="W537" s="28" t="n">
        <f aca="false">V537*$M537</f>
        <v>0</v>
      </c>
      <c r="X537" s="28"/>
      <c r="Y537" s="28" t="n">
        <f aca="false">X537*$M537</f>
        <v>0</v>
      </c>
      <c r="Z537" s="28"/>
      <c r="AA537" s="28" t="n">
        <f aca="false">Z537*$M537</f>
        <v>0</v>
      </c>
      <c r="AB537" s="28"/>
      <c r="AC537" s="28" t="n">
        <f aca="false">AB537*$M537</f>
        <v>0</v>
      </c>
      <c r="AD537" s="28"/>
      <c r="AE537" s="28" t="n">
        <f aca="false">AD537*$M537</f>
        <v>0</v>
      </c>
      <c r="AF537" s="28" t="n">
        <f aca="false">108620/100</f>
        <v>1086.2</v>
      </c>
      <c r="AG537" s="28" t="n">
        <v>43448</v>
      </c>
      <c r="AH537" s="28"/>
      <c r="AI537" s="28" t="n">
        <f aca="false">AH537*$M537</f>
        <v>0</v>
      </c>
      <c r="AJ537" s="28"/>
      <c r="AK537" s="28" t="n">
        <f aca="false">AJ537*$M537</f>
        <v>0</v>
      </c>
      <c r="AL537" s="28"/>
      <c r="AM537" s="28" t="n">
        <f aca="false">AL537*$M537</f>
        <v>0</v>
      </c>
      <c r="AN537" s="28"/>
      <c r="AO537" s="28" t="n">
        <f aca="false">AN537*$M537</f>
        <v>0</v>
      </c>
      <c r="AP537" s="28"/>
      <c r="AQ537" s="28" t="n">
        <f aca="false">AP537*$M537</f>
        <v>0</v>
      </c>
      <c r="AR537" s="28"/>
      <c r="AS537" s="28" t="n">
        <f aca="false">AR537*$M537</f>
        <v>0</v>
      </c>
      <c r="AT537" s="28"/>
      <c r="AU537" s="28" t="n">
        <f aca="false">AT537*$M537</f>
        <v>0</v>
      </c>
      <c r="AV537" s="28"/>
      <c r="AW537" s="28" t="n">
        <f aca="false">AV537*$M537</f>
        <v>0</v>
      </c>
      <c r="AX537" s="28"/>
      <c r="AY537" s="28" t="n">
        <f aca="false">AX537*$M537</f>
        <v>0</v>
      </c>
      <c r="AZ537" s="30" t="n">
        <f aca="false">108620/100</f>
        <v>1086.2</v>
      </c>
      <c r="BA537" s="11" t="n">
        <v>43448</v>
      </c>
      <c r="BB537" s="31" t="n">
        <f aca="false">SUM(Q537,S537,U537,W537,Y537,AA537,AC537,AE537,AG537,AI537,AK537,AM537,AO537,AQ537,AS537,AU537,AW537,AY537)</f>
        <v>43448</v>
      </c>
      <c r="BC537" s="28" t="n">
        <f aca="false">BA537-BB537</f>
        <v>0</v>
      </c>
      <c r="BD537" s="32" t="n">
        <f aca="false">SUM(P537,R537,T537,V537,X537,Z537,AB537,AD537,AF537,AH537,AJ537,AL537,AN537,AP537,AR537,AT537,AV537,AX537)</f>
        <v>1086.2</v>
      </c>
      <c r="BE537" s="33" t="n">
        <f aca="false">AZ537-BD537</f>
        <v>0</v>
      </c>
      <c r="BF537" s="34" t="n">
        <f aca="false">BD537*M537</f>
        <v>43448</v>
      </c>
      <c r="BG537" s="35" t="n">
        <f aca="false">BA537-BF537</f>
        <v>0</v>
      </c>
      <c r="BH537" s="19" t="str">
        <f aca="false">IF(BG537=0,"",IF(BG537&lt;&gt;BA537,"erreur de calcul",IF(BD537&lt;&gt;0,"pas de prix",IF(M537&lt;&gt; 0,"pas de quantité","pas de prix, ni de quantité"))))</f>
        <v/>
      </c>
      <c r="BI537" s="19"/>
    </row>
    <row r="538" customFormat="false" ht="16" hidden="false" customHeight="false" outlineLevel="0" collapsed="false">
      <c r="A538" s="0" t="n">
        <v>21</v>
      </c>
      <c r="B538" s="8" t="s">
        <v>24</v>
      </c>
      <c r="C538" s="9" t="s">
        <v>25</v>
      </c>
      <c r="D538" s="9" t="s">
        <v>26</v>
      </c>
      <c r="E538" s="10" t="n">
        <v>1789</v>
      </c>
      <c r="F538" s="9" t="s">
        <v>27</v>
      </c>
      <c r="G538" s="9" t="s">
        <v>27</v>
      </c>
      <c r="H538" s="11" t="n">
        <v>23</v>
      </c>
      <c r="I538" s="11" t="s">
        <v>263</v>
      </c>
      <c r="J538" s="14" t="n">
        <v>12</v>
      </c>
      <c r="K538" s="14"/>
      <c r="L538" s="16"/>
      <c r="M538" s="27" t="n">
        <f aca="false">J538+(K538/20)+(L538/240)</f>
        <v>12</v>
      </c>
      <c r="N538" s="17" t="s">
        <v>64</v>
      </c>
      <c r="O538" s="11"/>
      <c r="P538" s="28"/>
      <c r="Q538" s="28" t="n">
        <f aca="false">P538*$M538</f>
        <v>0</v>
      </c>
      <c r="R538" s="28"/>
      <c r="S538" s="28" t="n">
        <f aca="false">R538*$M538</f>
        <v>0</v>
      </c>
      <c r="T538" s="28"/>
      <c r="U538" s="28" t="n">
        <f aca="false">T538*$M538</f>
        <v>0</v>
      </c>
      <c r="V538" s="28"/>
      <c r="W538" s="28" t="n">
        <f aca="false">V538*$M538</f>
        <v>0</v>
      </c>
      <c r="X538" s="28"/>
      <c r="Y538" s="28" t="n">
        <f aca="false">X538*$M538</f>
        <v>0</v>
      </c>
      <c r="Z538" s="28"/>
      <c r="AA538" s="28" t="n">
        <f aca="false">Z538*$M538</f>
        <v>0</v>
      </c>
      <c r="AB538" s="28" t="n">
        <f aca="false">485726/100</f>
        <v>4857.26</v>
      </c>
      <c r="AC538" s="28" t="n">
        <v>58287</v>
      </c>
      <c r="AD538" s="28"/>
      <c r="AE538" s="28" t="n">
        <f aca="false">AD538*$M538</f>
        <v>0</v>
      </c>
      <c r="AF538" s="28"/>
      <c r="AG538" s="28" t="n">
        <f aca="false">AF538*$M538</f>
        <v>0</v>
      </c>
      <c r="AH538" s="28" t="n">
        <f aca="false">259291/100</f>
        <v>2592.91</v>
      </c>
      <c r="AI538" s="28" t="n">
        <v>31115</v>
      </c>
      <c r="AJ538" s="28"/>
      <c r="AK538" s="28" t="n">
        <f aca="false">AJ538*$M538</f>
        <v>0</v>
      </c>
      <c r="AL538" s="28"/>
      <c r="AM538" s="28" t="n">
        <f aca="false">AL538*$M538</f>
        <v>0</v>
      </c>
      <c r="AN538" s="28"/>
      <c r="AO538" s="28" t="n">
        <f aca="false">AN538*$M538</f>
        <v>0</v>
      </c>
      <c r="AP538" s="28"/>
      <c r="AQ538" s="28" t="n">
        <f aca="false">AP538*$M538</f>
        <v>0</v>
      </c>
      <c r="AR538" s="28"/>
      <c r="AS538" s="28" t="n">
        <f aca="false">AR538*$M538</f>
        <v>0</v>
      </c>
      <c r="AT538" s="28"/>
      <c r="AU538" s="28" t="n">
        <f aca="false">AT538*$M538</f>
        <v>0</v>
      </c>
      <c r="AV538" s="28"/>
      <c r="AW538" s="28" t="n">
        <f aca="false">AV538*$M538</f>
        <v>0</v>
      </c>
      <c r="AX538" s="28"/>
      <c r="AY538" s="28" t="n">
        <f aca="false">AX538*$M538</f>
        <v>0</v>
      </c>
      <c r="AZ538" s="30" t="n">
        <f aca="false">745017/100</f>
        <v>7450.17</v>
      </c>
      <c r="BA538" s="11" t="n">
        <v>89402</v>
      </c>
      <c r="BB538" s="31" t="n">
        <f aca="false">SUM(Q538,S538,U538,W538,Y538,AA538,AC538,AE538,AG538,AI538,AK538,AM538,AO538,AQ538,AS538,AU538,AW538,AY538)</f>
        <v>89402</v>
      </c>
      <c r="BC538" s="28" t="n">
        <f aca="false">BA538-BB538</f>
        <v>0</v>
      </c>
      <c r="BD538" s="32" t="n">
        <f aca="false">SUM(P538,R538,T538,V538,X538,Z538,AB538,AD538,AF538,AH538,AJ538,AL538,AN538,AP538,AR538,AT538,AV538,AX538)</f>
        <v>7450.17</v>
      </c>
      <c r="BE538" s="33" t="n">
        <f aca="false">AZ538-BD538</f>
        <v>0</v>
      </c>
      <c r="BF538" s="34" t="n">
        <f aca="false">BD538*M538</f>
        <v>89402.04</v>
      </c>
      <c r="BG538" s="35" t="n">
        <f aca="false">BA538-BF538</f>
        <v>-0.0400000000081491</v>
      </c>
      <c r="BH538" s="19" t="str">
        <f aca="false">IF(BG538=0,"",IF(BG538&lt;&gt;BA538,"erreur de calcul",IF(BD538&lt;&gt;0,"pas de prix",IF(M538&lt;&gt; 0,"pas de quantité","pas de prix, ni de quantité"))))</f>
        <v>erreur de calcul</v>
      </c>
      <c r="BI538" s="19"/>
    </row>
    <row r="539" customFormat="false" ht="16" hidden="false" customHeight="false" outlineLevel="0" collapsed="false">
      <c r="A539" s="0" t="n">
        <v>22</v>
      </c>
      <c r="B539" s="8" t="s">
        <v>24</v>
      </c>
      <c r="C539" s="9" t="s">
        <v>25</v>
      </c>
      <c r="D539" s="9" t="s">
        <v>26</v>
      </c>
      <c r="E539" s="10" t="n">
        <v>1789</v>
      </c>
      <c r="F539" s="9" t="s">
        <v>27</v>
      </c>
      <c r="G539" s="9" t="s">
        <v>27</v>
      </c>
      <c r="H539" s="11" t="n">
        <v>23</v>
      </c>
      <c r="I539" s="11" t="s">
        <v>264</v>
      </c>
      <c r="J539" s="14" t="n">
        <v>15</v>
      </c>
      <c r="K539" s="14"/>
      <c r="L539" s="16"/>
      <c r="M539" s="27" t="n">
        <f aca="false">J539+(K539/20)+(L539/240)</f>
        <v>15</v>
      </c>
      <c r="N539" s="17" t="s">
        <v>64</v>
      </c>
      <c r="O539" s="11"/>
      <c r="P539" s="28"/>
      <c r="Q539" s="28" t="n">
        <f aca="false">P539*$M539</f>
        <v>0</v>
      </c>
      <c r="R539" s="28"/>
      <c r="S539" s="28" t="n">
        <f aca="false">R539*$M539</f>
        <v>0</v>
      </c>
      <c r="T539" s="28"/>
      <c r="U539" s="28" t="n">
        <f aca="false">T539*$M539</f>
        <v>0</v>
      </c>
      <c r="V539" s="28"/>
      <c r="W539" s="28" t="n">
        <f aca="false">V539*$M539</f>
        <v>0</v>
      </c>
      <c r="X539" s="28" t="n">
        <f aca="false">65502/100</f>
        <v>655.02</v>
      </c>
      <c r="Y539" s="28" t="n">
        <v>9825</v>
      </c>
      <c r="Z539" s="28"/>
      <c r="AA539" s="28" t="n">
        <f aca="false">Z539*$M539</f>
        <v>0</v>
      </c>
      <c r="AB539" s="28" t="n">
        <f aca="false">207046/100</f>
        <v>2070.46</v>
      </c>
      <c r="AC539" s="28" t="n">
        <v>31057</v>
      </c>
      <c r="AD539" s="28"/>
      <c r="AE539" s="28" t="n">
        <f aca="false">AD539*$M539</f>
        <v>0</v>
      </c>
      <c r="AF539" s="28"/>
      <c r="AG539" s="28" t="n">
        <f aca="false">AF539*$M539</f>
        <v>0</v>
      </c>
      <c r="AH539" s="28" t="n">
        <f aca="false">11048/100</f>
        <v>110.48</v>
      </c>
      <c r="AI539" s="28" t="n">
        <v>1657</v>
      </c>
      <c r="AJ539" s="28"/>
      <c r="AK539" s="28" t="n">
        <f aca="false">AJ539*$M539</f>
        <v>0</v>
      </c>
      <c r="AL539" s="28"/>
      <c r="AM539" s="28" t="n">
        <f aca="false">AL539*$M539</f>
        <v>0</v>
      </c>
      <c r="AN539" s="28"/>
      <c r="AO539" s="28" t="n">
        <f aca="false">AN539*$M539</f>
        <v>0</v>
      </c>
      <c r="AP539" s="28"/>
      <c r="AQ539" s="28" t="n">
        <f aca="false">AP539*$M539</f>
        <v>0</v>
      </c>
      <c r="AR539" s="28"/>
      <c r="AS539" s="28" t="n">
        <f aca="false">AR539*$M539</f>
        <v>0</v>
      </c>
      <c r="AT539" s="28"/>
      <c r="AU539" s="28" t="n">
        <f aca="false">AT539*$M539</f>
        <v>0</v>
      </c>
      <c r="AV539" s="28"/>
      <c r="AW539" s="28" t="n">
        <f aca="false">AV539*$M539</f>
        <v>0</v>
      </c>
      <c r="AX539" s="28"/>
      <c r="AY539" s="28" t="n">
        <f aca="false">AX539*$M539</f>
        <v>0</v>
      </c>
      <c r="AZ539" s="30" t="n">
        <f aca="false">283596/100</f>
        <v>2835.96</v>
      </c>
      <c r="BA539" s="11" t="n">
        <v>42539</v>
      </c>
      <c r="BB539" s="31" t="n">
        <f aca="false">SUM(Q539,S539,U539,W539,Y539,AA539,AC539,AE539,AG539,AI539,AK539,AM539,AO539,AQ539,AS539,AU539,AW539,AY539)</f>
        <v>42539</v>
      </c>
      <c r="BC539" s="28" t="n">
        <f aca="false">BA539-BB539</f>
        <v>0</v>
      </c>
      <c r="BD539" s="32" t="n">
        <f aca="false">SUM(P539,R539,T539,V539,X539,Z539,AB539,AD539,AF539,AH539,AJ539,AL539,AN539,AP539,AR539,AT539,AV539,AX539)</f>
        <v>2835.96</v>
      </c>
      <c r="BE539" s="33" t="n">
        <f aca="false">AZ539-BD539</f>
        <v>0</v>
      </c>
      <c r="BF539" s="34" t="n">
        <f aca="false">BD539*M539</f>
        <v>42539.4</v>
      </c>
      <c r="BG539" s="35" t="n">
        <f aca="false">BA539-BF539</f>
        <v>-0.400000000001455</v>
      </c>
      <c r="BH539" s="19" t="str">
        <f aca="false">IF(BG539=0,"",IF(BG539&lt;&gt;BA539,"erreur de calcul",IF(BD539&lt;&gt;0,"pas de prix",IF(M539&lt;&gt; 0,"pas de quantité","pas de prix, ni de quantité"))))</f>
        <v>erreur de calcul</v>
      </c>
      <c r="BI539" s="19"/>
    </row>
    <row r="540" customFormat="false" ht="16" hidden="false" customHeight="false" outlineLevel="0" collapsed="false">
      <c r="A540" s="0" t="n">
        <v>23</v>
      </c>
      <c r="B540" s="8" t="s">
        <v>24</v>
      </c>
      <c r="C540" s="9" t="s">
        <v>25</v>
      </c>
      <c r="D540" s="9" t="s">
        <v>26</v>
      </c>
      <c r="E540" s="10" t="n">
        <v>1789</v>
      </c>
      <c r="F540" s="9" t="s">
        <v>27</v>
      </c>
      <c r="G540" s="9" t="s">
        <v>27</v>
      </c>
      <c r="H540" s="11" t="n">
        <v>23</v>
      </c>
      <c r="I540" s="11" t="s">
        <v>265</v>
      </c>
      <c r="J540" s="14"/>
      <c r="K540" s="14" t="n">
        <v>40</v>
      </c>
      <c r="L540" s="16"/>
      <c r="M540" s="27" t="n">
        <f aca="false">J540+(K540/20)+(L540/240)</f>
        <v>2</v>
      </c>
      <c r="N540" s="17" t="s">
        <v>66</v>
      </c>
      <c r="O540" s="11"/>
      <c r="P540" s="28"/>
      <c r="Q540" s="28" t="n">
        <f aca="false">P540*$M540</f>
        <v>0</v>
      </c>
      <c r="R540" s="28"/>
      <c r="S540" s="28" t="n">
        <f aca="false">R540*$M540</f>
        <v>0</v>
      </c>
      <c r="T540" s="28"/>
      <c r="U540" s="28" t="n">
        <f aca="false">T540*$M540</f>
        <v>0</v>
      </c>
      <c r="V540" s="28" t="n">
        <v>6275</v>
      </c>
      <c r="W540" s="28" t="n">
        <v>12550</v>
      </c>
      <c r="X540" s="28" t="n">
        <v>8662</v>
      </c>
      <c r="Y540" s="28" t="n">
        <v>17324</v>
      </c>
      <c r="Z540" s="28"/>
      <c r="AA540" s="28" t="n">
        <f aca="false">Z540*$M540</f>
        <v>0</v>
      </c>
      <c r="AB540" s="28" t="n">
        <v>2196</v>
      </c>
      <c r="AC540" s="28" t="n">
        <v>4392</v>
      </c>
      <c r="AD540" s="28"/>
      <c r="AE540" s="28" t="n">
        <f aca="false">AD540*$M540</f>
        <v>0</v>
      </c>
      <c r="AF540" s="28"/>
      <c r="AG540" s="28" t="n">
        <f aca="false">AF540*$M540</f>
        <v>0</v>
      </c>
      <c r="AH540" s="28"/>
      <c r="AI540" s="28" t="n">
        <f aca="false">AH540*$M540</f>
        <v>0</v>
      </c>
      <c r="AJ540" s="28"/>
      <c r="AK540" s="28" t="n">
        <f aca="false">AJ540*$M540</f>
        <v>0</v>
      </c>
      <c r="AL540" s="28"/>
      <c r="AM540" s="28" t="n">
        <f aca="false">AL540*$M540</f>
        <v>0</v>
      </c>
      <c r="AN540" s="28"/>
      <c r="AO540" s="28" t="n">
        <f aca="false">AN540*$M540</f>
        <v>0</v>
      </c>
      <c r="AP540" s="28"/>
      <c r="AQ540" s="28" t="n">
        <f aca="false">AP540*$M540</f>
        <v>0</v>
      </c>
      <c r="AR540" s="28"/>
      <c r="AS540" s="28" t="n">
        <f aca="false">AR540*$M540</f>
        <v>0</v>
      </c>
      <c r="AT540" s="28"/>
      <c r="AU540" s="28" t="n">
        <f aca="false">AT540*$M540</f>
        <v>0</v>
      </c>
      <c r="AV540" s="28"/>
      <c r="AW540" s="28" t="n">
        <f aca="false">AV540*$M540</f>
        <v>0</v>
      </c>
      <c r="AX540" s="28"/>
      <c r="AY540" s="28" t="n">
        <f aca="false">AX540*$M540</f>
        <v>0</v>
      </c>
      <c r="AZ540" s="30" t="n">
        <v>17133</v>
      </c>
      <c r="BA540" s="11" t="n">
        <v>34266</v>
      </c>
      <c r="BB540" s="31" t="n">
        <f aca="false">SUM(Q540,S540,U540,W540,Y540,AA540,AC540,AE540,AG540,AI540,AK540,AM540,AO540,AQ540,AS540,AU540,AW540,AY540)</f>
        <v>34266</v>
      </c>
      <c r="BC540" s="28" t="n">
        <f aca="false">BA540-BB540</f>
        <v>0</v>
      </c>
      <c r="BD540" s="32" t="n">
        <f aca="false">SUM(P540,R540,T540,V540,X540,Z540,AB540,AD540,AF540,AH540,AJ540,AL540,AN540,AP540,AR540,AT540,AV540,AX540)</f>
        <v>17133</v>
      </c>
      <c r="BE540" s="33" t="n">
        <f aca="false">AZ540-BD540</f>
        <v>0</v>
      </c>
      <c r="BF540" s="34" t="n">
        <f aca="false">BD540*M540</f>
        <v>34266</v>
      </c>
      <c r="BG540" s="35" t="n">
        <f aca="false">BA540-BF540</f>
        <v>0</v>
      </c>
      <c r="BH540" s="19" t="str">
        <f aca="false">IF(BG540=0,"",IF(BG540&lt;&gt;BA540,"erreur de calcul",IF(BD540&lt;&gt;0,"pas de prix",IF(M540&lt;&gt; 0,"pas de quantité","pas de prix, ni de quantité"))))</f>
        <v/>
      </c>
      <c r="BI540" s="19"/>
    </row>
    <row r="541" customFormat="false" ht="16" hidden="false" customHeight="false" outlineLevel="0" collapsed="false">
      <c r="A541" s="0" t="n">
        <v>24</v>
      </c>
      <c r="B541" s="8" t="s">
        <v>24</v>
      </c>
      <c r="C541" s="9" t="s">
        <v>25</v>
      </c>
      <c r="D541" s="9" t="s">
        <v>26</v>
      </c>
      <c r="E541" s="10" t="n">
        <v>1789</v>
      </c>
      <c r="F541" s="9" t="s">
        <v>27</v>
      </c>
      <c r="G541" s="9" t="s">
        <v>27</v>
      </c>
      <c r="H541" s="11" t="n">
        <v>23</v>
      </c>
      <c r="I541" s="11" t="s">
        <v>266</v>
      </c>
      <c r="J541" s="14" t="n">
        <v>17</v>
      </c>
      <c r="K541" s="14" t="n">
        <v>10</v>
      </c>
      <c r="L541" s="16"/>
      <c r="M541" s="27" t="n">
        <f aca="false">J541+(K541/20)+(L541/240)</f>
        <v>17.5</v>
      </c>
      <c r="N541" s="17" t="s">
        <v>64</v>
      </c>
      <c r="O541" s="11"/>
      <c r="P541" s="28" t="n">
        <f aca="false">147621/100</f>
        <v>1476.21</v>
      </c>
      <c r="Q541" s="28" t="n">
        <v>25834</v>
      </c>
      <c r="R541" s="28"/>
      <c r="S541" s="28" t="n">
        <f aca="false">R541*$M541</f>
        <v>0</v>
      </c>
      <c r="T541" s="28"/>
      <c r="U541" s="28" t="n">
        <f aca="false">T541*$M541</f>
        <v>0</v>
      </c>
      <c r="V541" s="28"/>
      <c r="W541" s="28" t="n">
        <f aca="false">V541*$M541</f>
        <v>0</v>
      </c>
      <c r="X541" s="28" t="n">
        <f aca="false">7220/100</f>
        <v>72.2</v>
      </c>
      <c r="Y541" s="28" t="n">
        <v>1263</v>
      </c>
      <c r="Z541" s="28"/>
      <c r="AA541" s="28" t="n">
        <f aca="false">Z541*$M541</f>
        <v>0</v>
      </c>
      <c r="AB541" s="28" t="n">
        <f aca="false">524444/100</f>
        <v>5244.44</v>
      </c>
      <c r="AC541" s="36" t="n">
        <v>91767</v>
      </c>
      <c r="AD541" s="28"/>
      <c r="AE541" s="28" t="n">
        <f aca="false">AD541*$M541</f>
        <v>0</v>
      </c>
      <c r="AF541" s="28"/>
      <c r="AG541" s="28" t="n">
        <f aca="false">AF541*$M541</f>
        <v>0</v>
      </c>
      <c r="AH541" s="28" t="n">
        <f aca="false">124394/100</f>
        <v>1243.94</v>
      </c>
      <c r="AI541" s="28" t="n">
        <v>21769</v>
      </c>
      <c r="AJ541" s="28"/>
      <c r="AK541" s="28" t="n">
        <f aca="false">AJ541*$M541</f>
        <v>0</v>
      </c>
      <c r="AL541" s="28"/>
      <c r="AM541" s="28" t="n">
        <f aca="false">AL541*$M541</f>
        <v>0</v>
      </c>
      <c r="AN541" s="28"/>
      <c r="AO541" s="28" t="n">
        <f aca="false">AN541*$M541</f>
        <v>0</v>
      </c>
      <c r="AP541" s="28"/>
      <c r="AQ541" s="28" t="n">
        <f aca="false">AP541*$M541</f>
        <v>0</v>
      </c>
      <c r="AR541" s="28"/>
      <c r="AS541" s="28" t="n">
        <f aca="false">AR541*$M541</f>
        <v>0</v>
      </c>
      <c r="AT541" s="28"/>
      <c r="AU541" s="28" t="n">
        <f aca="false">AT541*$M541</f>
        <v>0</v>
      </c>
      <c r="AV541" s="28"/>
      <c r="AW541" s="28" t="n">
        <f aca="false">AV541*$M541</f>
        <v>0</v>
      </c>
      <c r="AX541" s="28"/>
      <c r="AY541" s="28" t="n">
        <f aca="false">AX541*$M541</f>
        <v>0</v>
      </c>
      <c r="AZ541" s="30" t="n">
        <f aca="false">803679/100</f>
        <v>8036.79</v>
      </c>
      <c r="BA541" s="11" t="n">
        <v>140633</v>
      </c>
      <c r="BB541" s="31" t="n">
        <f aca="false">SUM(Q541,S541,U541,W541,Y541,AA541,AC541,AE541,AG541,AI541,AK541,AM541,AO541,AQ541,AS541,AU541,AW541,AY541)</f>
        <v>140633</v>
      </c>
      <c r="BC541" s="28" t="n">
        <f aca="false">BA541-BB541</f>
        <v>0</v>
      </c>
      <c r="BD541" s="32" t="n">
        <f aca="false">SUM(P541,R541,T541,V541,X541,Z541,AB541,AD541,AF541,AH541,AJ541,AL541,AN541,AP541,AR541,AT541,AV541,AX541)</f>
        <v>8036.79</v>
      </c>
      <c r="BE541" s="33" t="n">
        <f aca="false">AZ541-BD541</f>
        <v>0</v>
      </c>
      <c r="BF541" s="34" t="n">
        <f aca="false">BD541*M541</f>
        <v>140643.825</v>
      </c>
      <c r="BG541" s="35" t="n">
        <f aca="false">BA541-BF541</f>
        <v>-10.8249999999825</v>
      </c>
      <c r="BH541" s="19" t="str">
        <f aca="false">IF(BG541=0,"",IF(BG541&lt;&gt;BA541,"erreur de calcul",IF(BD541&lt;&gt;0,"pas de prix",IF(M541&lt;&gt; 0,"pas de quantité","pas de prix, ni de quantité"))))</f>
        <v>erreur de calcul</v>
      </c>
      <c r="BI541" s="19"/>
    </row>
    <row r="542" customFormat="false" ht="16" hidden="false" customHeight="false" outlineLevel="0" collapsed="false">
      <c r="A542" s="0" t="n">
        <v>25</v>
      </c>
      <c r="B542" s="8" t="s">
        <v>24</v>
      </c>
      <c r="C542" s="9" t="s">
        <v>25</v>
      </c>
      <c r="D542" s="9" t="s">
        <v>26</v>
      </c>
      <c r="E542" s="10" t="n">
        <v>1789</v>
      </c>
      <c r="F542" s="9" t="s">
        <v>27</v>
      </c>
      <c r="G542" s="9" t="s">
        <v>27</v>
      </c>
      <c r="H542" s="11" t="n">
        <v>23</v>
      </c>
      <c r="I542" s="11" t="s">
        <v>267</v>
      </c>
      <c r="J542" s="14" t="n">
        <v>25</v>
      </c>
      <c r="K542" s="14"/>
      <c r="L542" s="16"/>
      <c r="M542" s="27" t="n">
        <f aca="false">J542+(K542/20)+(L542/240)</f>
        <v>25</v>
      </c>
      <c r="N542" s="17" t="s">
        <v>64</v>
      </c>
      <c r="O542" s="11"/>
      <c r="P542" s="28"/>
      <c r="Q542" s="28" t="n">
        <f aca="false">P542*$M542</f>
        <v>0</v>
      </c>
      <c r="R542" s="28"/>
      <c r="S542" s="28" t="n">
        <f aca="false">R542*$M542</f>
        <v>0</v>
      </c>
      <c r="T542" s="28"/>
      <c r="U542" s="28" t="n">
        <f aca="false">T542*$M542</f>
        <v>0</v>
      </c>
      <c r="V542" s="28"/>
      <c r="W542" s="28" t="n">
        <f aca="false">V542*$M542</f>
        <v>0</v>
      </c>
      <c r="X542" s="28"/>
      <c r="Y542" s="28" t="n">
        <f aca="false">X542*$M542</f>
        <v>0</v>
      </c>
      <c r="Z542" s="28"/>
      <c r="AA542" s="28" t="n">
        <f aca="false">Z542*$M542</f>
        <v>0</v>
      </c>
      <c r="AB542" s="28" t="n">
        <f aca="false">136004/100</f>
        <v>1360.04</v>
      </c>
      <c r="AC542" s="28" t="n">
        <v>34001</v>
      </c>
      <c r="AD542" s="28"/>
      <c r="AE542" s="28" t="n">
        <f aca="false">AD542*$M542</f>
        <v>0</v>
      </c>
      <c r="AF542" s="28"/>
      <c r="AG542" s="28" t="n">
        <f aca="false">AF542*$M542</f>
        <v>0</v>
      </c>
      <c r="AH542" s="28" t="n">
        <f aca="false">173052/100</f>
        <v>1730.52</v>
      </c>
      <c r="AI542" s="28" t="n">
        <v>43263</v>
      </c>
      <c r="AJ542" s="28"/>
      <c r="AK542" s="28" t="n">
        <f aca="false">AJ542*$M542</f>
        <v>0</v>
      </c>
      <c r="AL542" s="28"/>
      <c r="AM542" s="28" t="n">
        <f aca="false">AL542*$M542</f>
        <v>0</v>
      </c>
      <c r="AN542" s="28"/>
      <c r="AO542" s="28" t="n">
        <f aca="false">AN542*$M542</f>
        <v>0</v>
      </c>
      <c r="AP542" s="28"/>
      <c r="AQ542" s="28" t="n">
        <f aca="false">AP542*$M542</f>
        <v>0</v>
      </c>
      <c r="AR542" s="28"/>
      <c r="AS542" s="28" t="n">
        <f aca="false">AR542*$M542</f>
        <v>0</v>
      </c>
      <c r="AT542" s="28"/>
      <c r="AU542" s="28" t="n">
        <f aca="false">AT542*$M542</f>
        <v>0</v>
      </c>
      <c r="AV542" s="28"/>
      <c r="AW542" s="28" t="n">
        <f aca="false">AV542*$M542</f>
        <v>0</v>
      </c>
      <c r="AX542" s="28"/>
      <c r="AY542" s="28" t="n">
        <f aca="false">AX542*$M542</f>
        <v>0</v>
      </c>
      <c r="AZ542" s="30" t="n">
        <f aca="false">309056/100</f>
        <v>3090.56</v>
      </c>
      <c r="BA542" s="11" t="n">
        <v>77264</v>
      </c>
      <c r="BB542" s="31" t="n">
        <f aca="false">SUM(Q542,S542,U542,W542,Y542,AA542,AC542,AE542,AG542,AI542,AK542,AM542,AO542,AQ542,AS542,AU542,AW542,AY542)</f>
        <v>77264</v>
      </c>
      <c r="BC542" s="28" t="n">
        <f aca="false">BA542-BB542</f>
        <v>0</v>
      </c>
      <c r="BD542" s="32" t="n">
        <f aca="false">SUM(P542,R542,T542,V542,X542,Z542,AB542,AD542,AF542,AH542,AJ542,AL542,AN542,AP542,AR542,AT542,AV542,AX542)</f>
        <v>3090.56</v>
      </c>
      <c r="BE542" s="33" t="n">
        <f aca="false">AZ542-BD542</f>
        <v>0</v>
      </c>
      <c r="BF542" s="34" t="n">
        <f aca="false">BD542*M542</f>
        <v>77264</v>
      </c>
      <c r="BG542" s="35" t="n">
        <f aca="false">BA542-BF542</f>
        <v>0</v>
      </c>
      <c r="BH542" s="19" t="str">
        <f aca="false">IF(BG542=0,"",IF(BG542&lt;&gt;BA542,"erreur de calcul",IF(BD542&lt;&gt;0,"pas de prix",IF(M542&lt;&gt; 0,"pas de quantité","pas de prix, ni de quantité"))))</f>
        <v/>
      </c>
      <c r="BI542" s="19"/>
    </row>
    <row r="543" customFormat="false" ht="16" hidden="false" customHeight="false" outlineLevel="0" collapsed="false">
      <c r="A543" s="0" t="n">
        <v>26</v>
      </c>
      <c r="B543" s="8" t="s">
        <v>24</v>
      </c>
      <c r="C543" s="9" t="s">
        <v>25</v>
      </c>
      <c r="D543" s="9" t="s">
        <v>26</v>
      </c>
      <c r="E543" s="10" t="n">
        <v>1789</v>
      </c>
      <c r="F543" s="9" t="s">
        <v>27</v>
      </c>
      <c r="G543" s="9" t="s">
        <v>27</v>
      </c>
      <c r="H543" s="11" t="n">
        <v>23</v>
      </c>
      <c r="I543" s="11" t="s">
        <v>268</v>
      </c>
      <c r="J543" s="14" t="n">
        <v>8</v>
      </c>
      <c r="K543" s="14"/>
      <c r="L543" s="16"/>
      <c r="M543" s="27" t="n">
        <f aca="false">J543+(K543/20)+(L543/240)</f>
        <v>8</v>
      </c>
      <c r="N543" s="17" t="s">
        <v>64</v>
      </c>
      <c r="O543" s="11"/>
      <c r="P543" s="28"/>
      <c r="Q543" s="28" t="n">
        <f aca="false">P543*$M543</f>
        <v>0</v>
      </c>
      <c r="R543" s="28"/>
      <c r="S543" s="28" t="n">
        <f aca="false">R543*$M543</f>
        <v>0</v>
      </c>
      <c r="T543" s="28" t="n">
        <f aca="false">260752/100</f>
        <v>2607.52</v>
      </c>
      <c r="U543" s="28" t="n">
        <v>20860</v>
      </c>
      <c r="V543" s="28" t="n">
        <f aca="false">170453/100</f>
        <v>1704.53</v>
      </c>
      <c r="W543" s="28" t="n">
        <v>13636</v>
      </c>
      <c r="X543" s="28"/>
      <c r="Y543" s="28" t="n">
        <f aca="false">X543*$M543</f>
        <v>0</v>
      </c>
      <c r="Z543" s="28"/>
      <c r="AA543" s="28" t="n">
        <f aca="false">Z543*$M543</f>
        <v>0</v>
      </c>
      <c r="AB543" s="28"/>
      <c r="AC543" s="28" t="n">
        <f aca="false">AB543*$M543</f>
        <v>0</v>
      </c>
      <c r="AD543" s="28"/>
      <c r="AE543" s="28" t="n">
        <f aca="false">AD543*$M543</f>
        <v>0</v>
      </c>
      <c r="AF543" s="28"/>
      <c r="AG543" s="28" t="n">
        <f aca="false">AF543*$M543</f>
        <v>0</v>
      </c>
      <c r="AH543" s="28"/>
      <c r="AI543" s="28" t="n">
        <f aca="false">AH543*$M543</f>
        <v>0</v>
      </c>
      <c r="AJ543" s="28"/>
      <c r="AK543" s="28" t="n">
        <f aca="false">AJ543*$M543</f>
        <v>0</v>
      </c>
      <c r="AL543" s="28"/>
      <c r="AM543" s="28" t="n">
        <f aca="false">AL543*$M543</f>
        <v>0</v>
      </c>
      <c r="AN543" s="28"/>
      <c r="AO543" s="28" t="n">
        <f aca="false">AN543*$M543</f>
        <v>0</v>
      </c>
      <c r="AP543" s="28"/>
      <c r="AQ543" s="28" t="n">
        <f aca="false">AP543*$M543</f>
        <v>0</v>
      </c>
      <c r="AR543" s="28"/>
      <c r="AS543" s="28" t="n">
        <f aca="false">AR543*$M543</f>
        <v>0</v>
      </c>
      <c r="AT543" s="28"/>
      <c r="AU543" s="28" t="n">
        <f aca="false">AT543*$M543</f>
        <v>0</v>
      </c>
      <c r="AV543" s="28"/>
      <c r="AW543" s="28" t="n">
        <f aca="false">AV543*$M543</f>
        <v>0</v>
      </c>
      <c r="AX543" s="28"/>
      <c r="AY543" s="28" t="n">
        <f aca="false">AX543*$M543</f>
        <v>0</v>
      </c>
      <c r="AZ543" s="30" t="n">
        <f aca="false">431205/100</f>
        <v>4312.05</v>
      </c>
      <c r="BA543" s="11" t="n">
        <v>34496</v>
      </c>
      <c r="BB543" s="31" t="n">
        <f aca="false">SUM(Q543,S543,U543,W543,Y543,AA543,AC543,AE543,AG543,AI543,AK543,AM543,AO543,AQ543,AS543,AU543,AW543,AY543)</f>
        <v>34496</v>
      </c>
      <c r="BC543" s="28" t="n">
        <f aca="false">BA543-BB543</f>
        <v>0</v>
      </c>
      <c r="BD543" s="32" t="n">
        <f aca="false">SUM(P543,R543,T543,V543,X543,Z543,AB543,AD543,AF543,AH543,AJ543,AL543,AN543,AP543,AR543,AT543,AV543,AX543)</f>
        <v>4312.05</v>
      </c>
      <c r="BE543" s="33" t="n">
        <f aca="false">AZ543-BD543</f>
        <v>0</v>
      </c>
      <c r="BF543" s="34" t="n">
        <f aca="false">BD543*M543</f>
        <v>34496.4</v>
      </c>
      <c r="BG543" s="35" t="n">
        <f aca="false">BA543-BF543</f>
        <v>-0.400000000001455</v>
      </c>
      <c r="BH543" s="19" t="str">
        <f aca="false">IF(BG543=0,"",IF(BG543&lt;&gt;BA543,"erreur de calcul",IF(BD543&lt;&gt;0,"pas de prix",IF(M543&lt;&gt; 0,"pas de quantité","pas de prix, ni de quantité"))))</f>
        <v>erreur de calcul</v>
      </c>
      <c r="BI543" s="19"/>
    </row>
    <row r="544" customFormat="false" ht="16" hidden="false" customHeight="false" outlineLevel="0" collapsed="false">
      <c r="A544" s="0" t="n">
        <v>27</v>
      </c>
      <c r="B544" s="8" t="s">
        <v>24</v>
      </c>
      <c r="C544" s="9" t="s">
        <v>25</v>
      </c>
      <c r="D544" s="9" t="s">
        <v>26</v>
      </c>
      <c r="E544" s="10" t="n">
        <v>1789</v>
      </c>
      <c r="F544" s="9" t="s">
        <v>27</v>
      </c>
      <c r="G544" s="9" t="s">
        <v>27</v>
      </c>
      <c r="H544" s="11" t="n">
        <v>23</v>
      </c>
      <c r="I544" s="11" t="s">
        <v>269</v>
      </c>
      <c r="J544" s="14"/>
      <c r="K544" s="14" t="n">
        <v>50</v>
      </c>
      <c r="L544" s="16"/>
      <c r="M544" s="27" t="n">
        <f aca="false">J544+(K544/20)+(L544/240)</f>
        <v>2.5</v>
      </c>
      <c r="N544" s="17" t="s">
        <v>85</v>
      </c>
      <c r="O544" s="11"/>
      <c r="P544" s="28"/>
      <c r="Q544" s="28" t="n">
        <f aca="false">P544*$M544</f>
        <v>0</v>
      </c>
      <c r="R544" s="28"/>
      <c r="S544" s="28" t="n">
        <f aca="false">R544*$M544</f>
        <v>0</v>
      </c>
      <c r="T544" s="28" t="n">
        <f aca="false">221150/100</f>
        <v>2211.5</v>
      </c>
      <c r="U544" s="28" t="n">
        <v>5529</v>
      </c>
      <c r="V544" s="28" t="n">
        <f aca="false">3922156/100</f>
        <v>39221.56</v>
      </c>
      <c r="W544" s="28" t="n">
        <v>98054</v>
      </c>
      <c r="X544" s="28"/>
      <c r="Y544" s="28" t="n">
        <f aca="false">X544*$M544</f>
        <v>0</v>
      </c>
      <c r="Z544" s="28"/>
      <c r="AA544" s="28" t="n">
        <f aca="false">Z544*$M544</f>
        <v>0</v>
      </c>
      <c r="AB544" s="28" t="n">
        <f aca="false">297900/100</f>
        <v>2979</v>
      </c>
      <c r="AC544" s="28" t="n">
        <v>7447</v>
      </c>
      <c r="AD544" s="28"/>
      <c r="AE544" s="28" t="n">
        <f aca="false">AD544*$M544</f>
        <v>0</v>
      </c>
      <c r="AF544" s="28"/>
      <c r="AG544" s="28" t="n">
        <f aca="false">AF544*$M544</f>
        <v>0</v>
      </c>
      <c r="AH544" s="28"/>
      <c r="AI544" s="28" t="n">
        <f aca="false">AH544*$M544</f>
        <v>0</v>
      </c>
      <c r="AJ544" s="28"/>
      <c r="AK544" s="28" t="n">
        <f aca="false">AJ544*$M544</f>
        <v>0</v>
      </c>
      <c r="AL544" s="28"/>
      <c r="AM544" s="28" t="n">
        <f aca="false">AL544*$M544</f>
        <v>0</v>
      </c>
      <c r="AN544" s="28"/>
      <c r="AO544" s="28" t="n">
        <f aca="false">AN544*$M544</f>
        <v>0</v>
      </c>
      <c r="AP544" s="28"/>
      <c r="AQ544" s="28" t="n">
        <f aca="false">AP544*$M544</f>
        <v>0</v>
      </c>
      <c r="AR544" s="28"/>
      <c r="AS544" s="28" t="n">
        <f aca="false">AR544*$M544</f>
        <v>0</v>
      </c>
      <c r="AT544" s="28"/>
      <c r="AU544" s="28" t="n">
        <f aca="false">AT544*$M544</f>
        <v>0</v>
      </c>
      <c r="AV544" s="28"/>
      <c r="AW544" s="28" t="n">
        <f aca="false">AV544*$M544</f>
        <v>0</v>
      </c>
      <c r="AX544" s="28"/>
      <c r="AY544" s="28" t="n">
        <f aca="false">AX544*$M544</f>
        <v>0</v>
      </c>
      <c r="AZ544" s="30" t="n">
        <f aca="false">4441206/100</f>
        <v>44412.06</v>
      </c>
      <c r="BA544" s="11" t="n">
        <v>111030</v>
      </c>
      <c r="BB544" s="31" t="n">
        <f aca="false">SUM(Q544,S544,U544,W544,Y544,AA544,AC544,AE544,AG544,AI544,AK544,AM544,AO544,AQ544,AS544,AU544,AW544,AY544)</f>
        <v>111030</v>
      </c>
      <c r="BC544" s="28" t="n">
        <f aca="false">BA544-BB544</f>
        <v>0</v>
      </c>
      <c r="BD544" s="32" t="n">
        <f aca="false">SUM(P544,R544,T544,V544,X544,Z544,AB544,AD544,AF544,AH544,AJ544,AL544,AN544,AP544,AR544,AT544,AV544,AX544)</f>
        <v>44412.06</v>
      </c>
      <c r="BE544" s="33" t="n">
        <f aca="false">AZ544-BD544</f>
        <v>0</v>
      </c>
      <c r="BF544" s="34" t="n">
        <f aca="false">BD544*M544</f>
        <v>111030.15</v>
      </c>
      <c r="BG544" s="35" t="n">
        <f aca="false">BA544-BF544</f>
        <v>-0.149999999994179</v>
      </c>
      <c r="BH544" s="19" t="str">
        <f aca="false">IF(BG544=0,"",IF(BG544&lt;&gt;BA544,"erreur de calcul",IF(BD544&lt;&gt;0,"pas de prix",IF(M544&lt;&gt; 0,"pas de quantité","pas de prix, ni de quantité"))))</f>
        <v>erreur de calcul</v>
      </c>
      <c r="BI544" s="19"/>
    </row>
    <row r="545" customFormat="false" ht="16" hidden="false" customHeight="false" outlineLevel="0" collapsed="false">
      <c r="A545" s="0" t="n">
        <v>28</v>
      </c>
      <c r="B545" s="8" t="s">
        <v>24</v>
      </c>
      <c r="C545" s="9" t="s">
        <v>25</v>
      </c>
      <c r="D545" s="9" t="s">
        <v>26</v>
      </c>
      <c r="E545" s="10" t="n">
        <v>1789</v>
      </c>
      <c r="F545" s="9" t="s">
        <v>27</v>
      </c>
      <c r="G545" s="9" t="s">
        <v>27</v>
      </c>
      <c r="H545" s="11" t="n">
        <v>23</v>
      </c>
      <c r="I545" s="11" t="s">
        <v>270</v>
      </c>
      <c r="J545" s="14" t="n">
        <v>5</v>
      </c>
      <c r="K545" s="14"/>
      <c r="L545" s="16"/>
      <c r="M545" s="27" t="n">
        <f aca="false">J545+(K545/20)+(L545/240)</f>
        <v>5</v>
      </c>
      <c r="N545" s="17" t="s">
        <v>85</v>
      </c>
      <c r="O545" s="11"/>
      <c r="P545" s="28" t="n">
        <f aca="false">328200/100</f>
        <v>3282</v>
      </c>
      <c r="Q545" s="28" t="n">
        <v>16410</v>
      </c>
      <c r="R545" s="28"/>
      <c r="S545" s="28" t="n">
        <f aca="false">R545*$M545</f>
        <v>0</v>
      </c>
      <c r="T545" s="28" t="n">
        <f aca="false">667000/100</f>
        <v>6670</v>
      </c>
      <c r="U545" s="36" t="n">
        <v>33360</v>
      </c>
      <c r="V545" s="28" t="n">
        <f aca="false">506800/100</f>
        <v>5068</v>
      </c>
      <c r="W545" s="28" t="n">
        <v>25340</v>
      </c>
      <c r="X545" s="28"/>
      <c r="Y545" s="28" t="n">
        <f aca="false">X545*$M545</f>
        <v>0</v>
      </c>
      <c r="Z545" s="28"/>
      <c r="AA545" s="28" t="n">
        <f aca="false">Z545*$M545</f>
        <v>0</v>
      </c>
      <c r="AB545" s="28"/>
      <c r="AC545" s="28" t="n">
        <f aca="false">AB545*$M545</f>
        <v>0</v>
      </c>
      <c r="AD545" s="28"/>
      <c r="AE545" s="28" t="n">
        <f aca="false">AD545*$M545</f>
        <v>0</v>
      </c>
      <c r="AF545" s="28"/>
      <c r="AG545" s="28" t="n">
        <f aca="false">AF545*$M545</f>
        <v>0</v>
      </c>
      <c r="AH545" s="28" t="n">
        <f aca="false">320500/100</f>
        <v>3205</v>
      </c>
      <c r="AI545" s="28" t="n">
        <v>16025</v>
      </c>
      <c r="AJ545" s="28"/>
      <c r="AK545" s="28" t="n">
        <f aca="false">AJ545*$M545</f>
        <v>0</v>
      </c>
      <c r="AL545" s="28"/>
      <c r="AM545" s="28" t="n">
        <f aca="false">AL545*$M545</f>
        <v>0</v>
      </c>
      <c r="AN545" s="28"/>
      <c r="AO545" s="28" t="n">
        <f aca="false">AN545*$M545</f>
        <v>0</v>
      </c>
      <c r="AP545" s="28"/>
      <c r="AQ545" s="28" t="n">
        <f aca="false">AP545*$M545</f>
        <v>0</v>
      </c>
      <c r="AR545" s="28"/>
      <c r="AS545" s="28" t="n">
        <f aca="false">AR545*$M545</f>
        <v>0</v>
      </c>
      <c r="AT545" s="28"/>
      <c r="AU545" s="28" t="n">
        <f aca="false">AT545*$M545</f>
        <v>0</v>
      </c>
      <c r="AV545" s="28"/>
      <c r="AW545" s="28" t="n">
        <f aca="false">AV545*$M545</f>
        <v>0</v>
      </c>
      <c r="AX545" s="28"/>
      <c r="AY545" s="28" t="n">
        <f aca="false">AX545*$M545</f>
        <v>0</v>
      </c>
      <c r="AZ545" s="30" t="n">
        <f aca="false">1822500/100</f>
        <v>18225</v>
      </c>
      <c r="BA545" s="11" t="n">
        <v>91135</v>
      </c>
      <c r="BB545" s="31" t="n">
        <f aca="false">SUM(Q545,S545,U545,W545,Y545,AA545,AC545,AE545,AG545,AI545,AK545,AM545,AO545,AQ545,AS545,AU545,AW545,AY545)</f>
        <v>91135</v>
      </c>
      <c r="BC545" s="28" t="n">
        <f aca="false">BA545-BB545</f>
        <v>0</v>
      </c>
      <c r="BD545" s="32" t="n">
        <f aca="false">SUM(P545,R545,T545,V545,X545,Z545,AB545,AD545,AF545,AH545,AJ545,AL545,AN545,AP545,AR545,AT545,AV545,AX545)</f>
        <v>18225</v>
      </c>
      <c r="BE545" s="33" t="n">
        <f aca="false">AZ545-BD545</f>
        <v>0</v>
      </c>
      <c r="BF545" s="34" t="n">
        <f aca="false">BD545*M545</f>
        <v>91125</v>
      </c>
      <c r="BG545" s="35" t="n">
        <f aca="false">BA545-BF545</f>
        <v>10</v>
      </c>
      <c r="BH545" s="19" t="str">
        <f aca="false">IF(BG545=0,"",IF(BG545&lt;&gt;BA545,"erreur de calcul",IF(BD545&lt;&gt;0,"pas de prix",IF(M545&lt;&gt; 0,"pas de quantité","pas de prix, ni de quantité"))))</f>
        <v>erreur de calcul</v>
      </c>
      <c r="BI545" s="19"/>
    </row>
    <row r="546" customFormat="false" ht="16" hidden="false" customHeight="false" outlineLevel="0" collapsed="false">
      <c r="A546" s="0" t="n">
        <v>29</v>
      </c>
      <c r="B546" s="8" t="s">
        <v>24</v>
      </c>
      <c r="C546" s="9" t="s">
        <v>25</v>
      </c>
      <c r="D546" s="9" t="s">
        <v>26</v>
      </c>
      <c r="E546" s="10" t="n">
        <v>1789</v>
      </c>
      <c r="F546" s="9" t="s">
        <v>27</v>
      </c>
      <c r="G546" s="9" t="s">
        <v>27</v>
      </c>
      <c r="H546" s="11" t="n">
        <v>23</v>
      </c>
      <c r="I546" s="11" t="s">
        <v>271</v>
      </c>
      <c r="J546" s="14" t="n">
        <v>7</v>
      </c>
      <c r="K546" s="14" t="n">
        <v>10</v>
      </c>
      <c r="L546" s="16"/>
      <c r="M546" s="27" t="n">
        <f aca="false">J546+(K546/20)+(L546/240)</f>
        <v>7.5</v>
      </c>
      <c r="N546" s="17" t="s">
        <v>64</v>
      </c>
      <c r="O546" s="11"/>
      <c r="P546" s="28"/>
      <c r="Q546" s="28" t="n">
        <f aca="false">P546*$M546</f>
        <v>0</v>
      </c>
      <c r="R546" s="28"/>
      <c r="S546" s="28" t="n">
        <f aca="false">R546*$M546</f>
        <v>0</v>
      </c>
      <c r="T546" s="28"/>
      <c r="U546" s="28" t="n">
        <f aca="false">T546*$M546</f>
        <v>0</v>
      </c>
      <c r="V546" s="28" t="n">
        <f aca="false">191888/100</f>
        <v>1918.88</v>
      </c>
      <c r="W546" s="28" t="n">
        <v>14392</v>
      </c>
      <c r="X546" s="28"/>
      <c r="Y546" s="28" t="n">
        <f aca="false">X546*$M546</f>
        <v>0</v>
      </c>
      <c r="Z546" s="28"/>
      <c r="AA546" s="28" t="n">
        <f aca="false">Z546*$M546</f>
        <v>0</v>
      </c>
      <c r="AB546" s="28"/>
      <c r="AC546" s="28" t="n">
        <f aca="false">AB546*$M546</f>
        <v>0</v>
      </c>
      <c r="AD546" s="28"/>
      <c r="AE546" s="28" t="n">
        <f aca="false">AD546*$M546</f>
        <v>0</v>
      </c>
      <c r="AF546" s="28"/>
      <c r="AG546" s="28" t="n">
        <f aca="false">AF546*$M546</f>
        <v>0</v>
      </c>
      <c r="AH546" s="28"/>
      <c r="AI546" s="28" t="n">
        <f aca="false">AH546*$M546</f>
        <v>0</v>
      </c>
      <c r="AJ546" s="28"/>
      <c r="AK546" s="28" t="n">
        <f aca="false">AJ546*$M546</f>
        <v>0</v>
      </c>
      <c r="AL546" s="28"/>
      <c r="AM546" s="28" t="n">
        <f aca="false">AL546*$M546</f>
        <v>0</v>
      </c>
      <c r="AN546" s="28"/>
      <c r="AO546" s="28" t="n">
        <f aca="false">AN546*$M546</f>
        <v>0</v>
      </c>
      <c r="AP546" s="28"/>
      <c r="AQ546" s="28" t="n">
        <f aca="false">AP546*$M546</f>
        <v>0</v>
      </c>
      <c r="AR546" s="28"/>
      <c r="AS546" s="28" t="n">
        <f aca="false">AR546*$M546</f>
        <v>0</v>
      </c>
      <c r="AT546" s="28"/>
      <c r="AU546" s="28" t="n">
        <f aca="false">AT546*$M546</f>
        <v>0</v>
      </c>
      <c r="AV546" s="28"/>
      <c r="AW546" s="28" t="n">
        <f aca="false">AV546*$M546</f>
        <v>0</v>
      </c>
      <c r="AX546" s="28"/>
      <c r="AY546" s="28" t="n">
        <f aca="false">AX546*$M546</f>
        <v>0</v>
      </c>
      <c r="AZ546" s="30" t="n">
        <f aca="false">191888/100</f>
        <v>1918.88</v>
      </c>
      <c r="BA546" s="11" t="n">
        <v>14392</v>
      </c>
      <c r="BB546" s="31" t="n">
        <f aca="false">SUM(Q546,S546,U546,W546,Y546,AA546,AC546,AE546,AG546,AI546,AK546,AM546,AO546,AQ546,AS546,AU546,AW546,AY546)</f>
        <v>14392</v>
      </c>
      <c r="BC546" s="28" t="n">
        <f aca="false">BA546-BB546</f>
        <v>0</v>
      </c>
      <c r="BD546" s="32" t="n">
        <f aca="false">SUM(P546,R546,T546,V546,X546,Z546,AB546,AD546,AF546,AH546,AJ546,AL546,AN546,AP546,AR546,AT546,AV546,AX546)</f>
        <v>1918.88</v>
      </c>
      <c r="BE546" s="33" t="n">
        <f aca="false">AZ546-BD546</f>
        <v>0</v>
      </c>
      <c r="BF546" s="34" t="n">
        <f aca="false">BD546*M546</f>
        <v>14391.6</v>
      </c>
      <c r="BG546" s="35" t="n">
        <f aca="false">BA546-BF546</f>
        <v>0.399999999999636</v>
      </c>
      <c r="BH546" s="19" t="str">
        <f aca="false">IF(BG546=0,"",IF(BG546&lt;&gt;BA546,"erreur de calcul",IF(BD546&lt;&gt;0,"pas de prix",IF(M546&lt;&gt; 0,"pas de quantité","pas de prix, ni de quantité"))))</f>
        <v>erreur de calcul</v>
      </c>
      <c r="BI546" s="19"/>
    </row>
    <row r="547" customFormat="false" ht="16" hidden="false" customHeight="false" outlineLevel="0" collapsed="false">
      <c r="A547" s="0" t="n">
        <v>30</v>
      </c>
      <c r="B547" s="8" t="s">
        <v>24</v>
      </c>
      <c r="C547" s="9" t="s">
        <v>25</v>
      </c>
      <c r="D547" s="9" t="s">
        <v>26</v>
      </c>
      <c r="E547" s="10" t="n">
        <v>1789</v>
      </c>
      <c r="F547" s="9" t="s">
        <v>27</v>
      </c>
      <c r="G547" s="9" t="s">
        <v>27</v>
      </c>
      <c r="H547" s="11" t="n">
        <v>23</v>
      </c>
      <c r="I547" s="11" t="s">
        <v>272</v>
      </c>
      <c r="J547" s="14" t="n">
        <v>6</v>
      </c>
      <c r="K547" s="14"/>
      <c r="L547" s="16"/>
      <c r="M547" s="27" t="n">
        <f aca="false">J547+(K547/20)+(L547/240)</f>
        <v>6</v>
      </c>
      <c r="N547" s="17" t="s">
        <v>64</v>
      </c>
      <c r="O547" s="11"/>
      <c r="P547" s="28"/>
      <c r="Q547" s="28" t="n">
        <f aca="false">P547*$M547</f>
        <v>0</v>
      </c>
      <c r="R547" s="28"/>
      <c r="S547" s="28" t="n">
        <f aca="false">R547*$M547</f>
        <v>0</v>
      </c>
      <c r="T547" s="28" t="n">
        <f aca="false">26711/100</f>
        <v>267.11</v>
      </c>
      <c r="U547" s="28" t="n">
        <v>1603</v>
      </c>
      <c r="V547" s="28" t="n">
        <f aca="false">790699/100</f>
        <v>7906.99</v>
      </c>
      <c r="W547" s="28" t="n">
        <v>47442</v>
      </c>
      <c r="X547" s="28" t="n">
        <f aca="false">50169/100</f>
        <v>501.69</v>
      </c>
      <c r="Y547" s="28" t="n">
        <v>3010</v>
      </c>
      <c r="Z547" s="28"/>
      <c r="AA547" s="28" t="n">
        <f aca="false">Z547*$M547</f>
        <v>0</v>
      </c>
      <c r="AB547" s="28"/>
      <c r="AC547" s="28" t="n">
        <f aca="false">AB547*$M547</f>
        <v>0</v>
      </c>
      <c r="AD547" s="28"/>
      <c r="AE547" s="28" t="n">
        <f aca="false">AD547*$M547</f>
        <v>0</v>
      </c>
      <c r="AF547" s="28"/>
      <c r="AG547" s="28" t="n">
        <f aca="false">AF547*$M547</f>
        <v>0</v>
      </c>
      <c r="AH547" s="28"/>
      <c r="AI547" s="28" t="n">
        <f aca="false">AH547*$M547</f>
        <v>0</v>
      </c>
      <c r="AJ547" s="28"/>
      <c r="AK547" s="28" t="n">
        <f aca="false">AJ547*$M547</f>
        <v>0</v>
      </c>
      <c r="AL547" s="28"/>
      <c r="AM547" s="28" t="n">
        <f aca="false">AL547*$M547</f>
        <v>0</v>
      </c>
      <c r="AN547" s="28"/>
      <c r="AO547" s="28" t="n">
        <f aca="false">AN547*$M547</f>
        <v>0</v>
      </c>
      <c r="AP547" s="28"/>
      <c r="AQ547" s="28" t="n">
        <f aca="false">AP547*$M547</f>
        <v>0</v>
      </c>
      <c r="AR547" s="28"/>
      <c r="AS547" s="28" t="n">
        <f aca="false">AR547*$M547</f>
        <v>0</v>
      </c>
      <c r="AT547" s="28"/>
      <c r="AU547" s="28" t="n">
        <f aca="false">AT547*$M547</f>
        <v>0</v>
      </c>
      <c r="AV547" s="28"/>
      <c r="AW547" s="28" t="n">
        <f aca="false">AV547*$M547</f>
        <v>0</v>
      </c>
      <c r="AX547" s="28"/>
      <c r="AY547" s="28" t="n">
        <f aca="false">AX547*$M547</f>
        <v>0</v>
      </c>
      <c r="AZ547" s="30" t="n">
        <f aca="false">867559/100</f>
        <v>8675.59</v>
      </c>
      <c r="BA547" s="11" t="n">
        <v>52055</v>
      </c>
      <c r="BB547" s="31" t="n">
        <f aca="false">SUM(Q547,S547,U547,W547,Y547,AA547,AC547,AE547,AG547,AI547,AK547,AM547,AO547,AQ547,AS547,AU547,AW547,AY547)</f>
        <v>52055</v>
      </c>
      <c r="BC547" s="28" t="n">
        <f aca="false">BA547-BB547</f>
        <v>0</v>
      </c>
      <c r="BD547" s="32" t="n">
        <f aca="false">SUM(P547,R547,T547,V547,X547,Z547,AB547,AD547,AF547,AH547,AJ547,AL547,AN547,AP547,AR547,AT547,AV547,AX547)</f>
        <v>8675.79</v>
      </c>
      <c r="BE547" s="33" t="n">
        <f aca="false">AZ547-BD547</f>
        <v>-0.200000000000728</v>
      </c>
      <c r="BF547" s="34" t="n">
        <f aca="false">BD547*M547</f>
        <v>52054.74</v>
      </c>
      <c r="BG547" s="35" t="n">
        <f aca="false">BA547-BF547</f>
        <v>0.260000000009313</v>
      </c>
      <c r="BH547" s="19" t="str">
        <f aca="false">IF(BG547=0,"",IF(BG547&lt;&gt;BA547,"erreur de calcul",IF(BD547&lt;&gt;0,"pas de prix",IF(M547&lt;&gt; 0,"pas de quantité","pas de prix, ni de quantité"))))</f>
        <v>erreur de calcul</v>
      </c>
      <c r="BI547" s="19"/>
    </row>
    <row r="548" customFormat="false" ht="16" hidden="false" customHeight="false" outlineLevel="0" collapsed="false">
      <c r="A548" s="0" t="n">
        <v>31</v>
      </c>
      <c r="B548" s="8" t="s">
        <v>24</v>
      </c>
      <c r="C548" s="9" t="s">
        <v>25</v>
      </c>
      <c r="D548" s="9" t="s">
        <v>26</v>
      </c>
      <c r="E548" s="10" t="n">
        <v>1789</v>
      </c>
      <c r="F548" s="9" t="s">
        <v>27</v>
      </c>
      <c r="G548" s="9" t="s">
        <v>27</v>
      </c>
      <c r="H548" s="11" t="n">
        <v>23</v>
      </c>
      <c r="I548" s="11" t="s">
        <v>273</v>
      </c>
      <c r="J548" s="14" t="n">
        <v>8</v>
      </c>
      <c r="K548" s="14"/>
      <c r="L548" s="16"/>
      <c r="M548" s="27" t="n">
        <f aca="false">J548+(K548/20)+(L548/240)</f>
        <v>8</v>
      </c>
      <c r="N548" s="17" t="s">
        <v>81</v>
      </c>
      <c r="O548" s="11"/>
      <c r="P548" s="28" t="n">
        <v>27</v>
      </c>
      <c r="Q548" s="28" t="n">
        <v>216</v>
      </c>
      <c r="R548" s="28"/>
      <c r="S548" s="28" t="n">
        <f aca="false">R548*$M548</f>
        <v>0</v>
      </c>
      <c r="T548" s="28"/>
      <c r="U548" s="28" t="n">
        <f aca="false">T548*$M548</f>
        <v>0</v>
      </c>
      <c r="V548" s="28" t="n">
        <v>40</v>
      </c>
      <c r="W548" s="28" t="n">
        <v>320</v>
      </c>
      <c r="X548" s="28"/>
      <c r="Y548" s="28" t="n">
        <f aca="false">X548*$M548</f>
        <v>0</v>
      </c>
      <c r="Z548" s="28"/>
      <c r="AA548" s="28" t="n">
        <f aca="false">Z548*$M548</f>
        <v>0</v>
      </c>
      <c r="AB548" s="28" t="n">
        <v>164</v>
      </c>
      <c r="AC548" s="28" t="n">
        <v>1312</v>
      </c>
      <c r="AD548" s="28"/>
      <c r="AE548" s="28" t="n">
        <f aca="false">AD548*$M548</f>
        <v>0</v>
      </c>
      <c r="AF548" s="28" t="n">
        <v>263</v>
      </c>
      <c r="AG548" s="28" t="n">
        <v>2104</v>
      </c>
      <c r="AH548" s="28"/>
      <c r="AI548" s="28" t="n">
        <f aca="false">AH548*$M548</f>
        <v>0</v>
      </c>
      <c r="AJ548" s="28"/>
      <c r="AK548" s="28" t="n">
        <f aca="false">AJ548*$M548</f>
        <v>0</v>
      </c>
      <c r="AL548" s="28"/>
      <c r="AM548" s="28" t="n">
        <f aca="false">AL548*$M548</f>
        <v>0</v>
      </c>
      <c r="AN548" s="28"/>
      <c r="AO548" s="28" t="n">
        <f aca="false">AN548*$M548</f>
        <v>0</v>
      </c>
      <c r="AP548" s="28" t="n">
        <v>278</v>
      </c>
      <c r="AQ548" s="28" t="n">
        <v>2224</v>
      </c>
      <c r="AR548" s="28"/>
      <c r="AS548" s="28" t="n">
        <f aca="false">AR548*$M548</f>
        <v>0</v>
      </c>
      <c r="AT548" s="28"/>
      <c r="AU548" s="28" t="n">
        <f aca="false">AT548*$M548</f>
        <v>0</v>
      </c>
      <c r="AV548" s="28"/>
      <c r="AW548" s="28" t="n">
        <f aca="false">AV548*$M548</f>
        <v>0</v>
      </c>
      <c r="AX548" s="28"/>
      <c r="AY548" s="28" t="n">
        <f aca="false">AX548*$M548</f>
        <v>0</v>
      </c>
      <c r="AZ548" s="30" t="n">
        <v>772</v>
      </c>
      <c r="BA548" s="11" t="n">
        <v>6176</v>
      </c>
      <c r="BB548" s="31" t="n">
        <f aca="false">SUM(Q548,S548,U548,W548,Y548,AA548,AC548,AE548,AG548,AI548,AK548,AM548,AO548,AQ548,AS548,AU548,AW548,AY548)</f>
        <v>6176</v>
      </c>
      <c r="BC548" s="28" t="n">
        <f aca="false">BA548-BB548</f>
        <v>0</v>
      </c>
      <c r="BD548" s="32" t="n">
        <f aca="false">SUM(P548,R548,T548,V548,X548,Z548,AB548,AD548,AF548,AH548,AJ548,AL548,AN548,AP548,AR548,AT548,AV548,AX548)</f>
        <v>772</v>
      </c>
      <c r="BE548" s="33" t="n">
        <f aca="false">AZ548-BD548</f>
        <v>0</v>
      </c>
      <c r="BF548" s="34" t="n">
        <f aca="false">BD548*M548</f>
        <v>6176</v>
      </c>
      <c r="BG548" s="35" t="n">
        <f aca="false">BA548-BF548</f>
        <v>0</v>
      </c>
      <c r="BH548" s="19" t="str">
        <f aca="false">IF(BG548=0,"",IF(BG548&lt;&gt;BA548,"erreur de calcul",IF(BD548&lt;&gt;0,"pas de prix",IF(M548&lt;&gt; 0,"pas de quantité","pas de prix, ni de quantité"))))</f>
        <v/>
      </c>
      <c r="BI548" s="19"/>
    </row>
    <row r="549" customFormat="false" ht="16" hidden="false" customHeight="false" outlineLevel="0" collapsed="false">
      <c r="A549" s="0" t="n">
        <v>32</v>
      </c>
      <c r="B549" s="8" t="s">
        <v>24</v>
      </c>
      <c r="C549" s="9" t="s">
        <v>25</v>
      </c>
      <c r="D549" s="9" t="s">
        <v>26</v>
      </c>
      <c r="E549" s="10" t="n">
        <v>1789</v>
      </c>
      <c r="F549" s="9" t="s">
        <v>27</v>
      </c>
      <c r="G549" s="9" t="s">
        <v>27</v>
      </c>
      <c r="H549" s="11" t="n">
        <v>23</v>
      </c>
      <c r="I549" s="11" t="s">
        <v>274</v>
      </c>
      <c r="J549" s="14" t="n">
        <v>17</v>
      </c>
      <c r="K549" s="14"/>
      <c r="L549" s="16"/>
      <c r="M549" s="27" t="n">
        <f aca="false">J549+(K549/20)+(L549/240)</f>
        <v>17</v>
      </c>
      <c r="N549" s="17" t="s">
        <v>275</v>
      </c>
      <c r="O549" s="11"/>
      <c r="P549" s="28" t="n">
        <v>200</v>
      </c>
      <c r="Q549" s="28" t="n">
        <v>3400</v>
      </c>
      <c r="R549" s="28"/>
      <c r="S549" s="28" t="n">
        <f aca="false">R549*$M549</f>
        <v>0</v>
      </c>
      <c r="T549" s="28"/>
      <c r="U549" s="28" t="n">
        <f aca="false">T549*$M549</f>
        <v>0</v>
      </c>
      <c r="V549" s="28"/>
      <c r="W549" s="28" t="n">
        <f aca="false">V549*$M549</f>
        <v>0</v>
      </c>
      <c r="X549" s="28" t="n">
        <v>145</v>
      </c>
      <c r="Y549" s="28" t="n">
        <v>2465</v>
      </c>
      <c r="Z549" s="28"/>
      <c r="AA549" s="28" t="n">
        <f aca="false">Z549*$M549</f>
        <v>0</v>
      </c>
      <c r="AB549" s="28"/>
      <c r="AC549" s="28" t="n">
        <f aca="false">AB549*$M549</f>
        <v>0</v>
      </c>
      <c r="AD549" s="28"/>
      <c r="AE549" s="28" t="n">
        <f aca="false">AD549*$M549</f>
        <v>0</v>
      </c>
      <c r="AF549" s="28"/>
      <c r="AG549" s="28" t="n">
        <f aca="false">AF549*$M549</f>
        <v>0</v>
      </c>
      <c r="AH549" s="28"/>
      <c r="AI549" s="28" t="n">
        <f aca="false">AH549*$M549</f>
        <v>0</v>
      </c>
      <c r="AJ549" s="28"/>
      <c r="AK549" s="28" t="n">
        <f aca="false">AJ549*$M549</f>
        <v>0</v>
      </c>
      <c r="AL549" s="28" t="n">
        <v>12</v>
      </c>
      <c r="AM549" s="28" t="n">
        <v>204</v>
      </c>
      <c r="AN549" s="28"/>
      <c r="AO549" s="28" t="n">
        <f aca="false">AN549*$M549</f>
        <v>0</v>
      </c>
      <c r="AP549" s="28"/>
      <c r="AQ549" s="28" t="n">
        <f aca="false">AP549*$M549</f>
        <v>0</v>
      </c>
      <c r="AR549" s="28"/>
      <c r="AS549" s="28" t="n">
        <f aca="false">AR549*$M549</f>
        <v>0</v>
      </c>
      <c r="AT549" s="28"/>
      <c r="AU549" s="28" t="n">
        <f aca="false">AT549*$M549</f>
        <v>0</v>
      </c>
      <c r="AV549" s="28"/>
      <c r="AW549" s="28" t="n">
        <f aca="false">AV549*$M549</f>
        <v>0</v>
      </c>
      <c r="AX549" s="28"/>
      <c r="AY549" s="28" t="n">
        <f aca="false">AX549*$M549</f>
        <v>0</v>
      </c>
      <c r="AZ549" s="30" t="n">
        <v>357</v>
      </c>
      <c r="BA549" s="11" t="n">
        <v>6069</v>
      </c>
      <c r="BB549" s="31" t="n">
        <f aca="false">SUM(Q549,S549,U549,W549,Y549,AA549,AC549,AE549,AG549,AI549,AK549,AM549,AO549,AQ549,AS549,AU549,AW549,AY549)</f>
        <v>6069</v>
      </c>
      <c r="BC549" s="28" t="n">
        <f aca="false">BA549-BB549</f>
        <v>0</v>
      </c>
      <c r="BD549" s="32" t="n">
        <f aca="false">SUM(P549,R549,T549,V549,X549,Z549,AB549,AD549,AF549,AH549,AJ549,AL549,AN549,AP549,AR549,AT549,AV549,AX549)</f>
        <v>357</v>
      </c>
      <c r="BE549" s="33" t="n">
        <f aca="false">AZ549-BD549</f>
        <v>0</v>
      </c>
      <c r="BF549" s="34" t="n">
        <f aca="false">BD549*M549</f>
        <v>6069</v>
      </c>
      <c r="BG549" s="35" t="n">
        <f aca="false">BA549-BF549</f>
        <v>0</v>
      </c>
      <c r="BH549" s="19" t="str">
        <f aca="false">IF(BG549=0,"",IF(BG549&lt;&gt;BA549,"erreur de calcul",IF(BD549&lt;&gt;0,"pas de prix",IF(M549&lt;&gt; 0,"pas de quantité","pas de prix, ni de quantité"))))</f>
        <v/>
      </c>
      <c r="BI549" s="19" t="s">
        <v>275</v>
      </c>
    </row>
    <row r="550" customFormat="false" ht="16" hidden="false" customHeight="false" outlineLevel="0" collapsed="false">
      <c r="A550" s="0" t="n">
        <v>33</v>
      </c>
      <c r="B550" s="8" t="s">
        <v>24</v>
      </c>
      <c r="C550" s="9" t="s">
        <v>25</v>
      </c>
      <c r="D550" s="9" t="s">
        <v>26</v>
      </c>
      <c r="E550" s="10" t="n">
        <v>1789</v>
      </c>
      <c r="F550" s="9" t="s">
        <v>27</v>
      </c>
      <c r="G550" s="9" t="s">
        <v>27</v>
      </c>
      <c r="H550" s="11" t="n">
        <v>23</v>
      </c>
      <c r="I550" s="11" t="s">
        <v>276</v>
      </c>
      <c r="J550" s="14" t="n">
        <v>36</v>
      </c>
      <c r="K550" s="14"/>
      <c r="L550" s="16"/>
      <c r="M550" s="27" t="n">
        <f aca="false">J550+(K550/20)+(L550/240)</f>
        <v>36</v>
      </c>
      <c r="N550" s="17" t="s">
        <v>275</v>
      </c>
      <c r="O550" s="11" t="s">
        <v>277</v>
      </c>
      <c r="P550" s="28"/>
      <c r="Q550" s="28" t="n">
        <f aca="false">P550*$M550</f>
        <v>0</v>
      </c>
      <c r="R550" s="28"/>
      <c r="S550" s="28" t="n">
        <f aca="false">R550*$M550</f>
        <v>0</v>
      </c>
      <c r="T550" s="28"/>
      <c r="U550" s="28" t="n">
        <f aca="false">T550*$M550</f>
        <v>0</v>
      </c>
      <c r="V550" s="28"/>
      <c r="W550" s="28" t="n">
        <f aca="false">V550*$M550</f>
        <v>0</v>
      </c>
      <c r="X550" s="28"/>
      <c r="Y550" s="28" t="n">
        <f aca="false">X550*$M550</f>
        <v>0</v>
      </c>
      <c r="Z550" s="28"/>
      <c r="AA550" s="28" t="n">
        <f aca="false">Z550*$M550</f>
        <v>0</v>
      </c>
      <c r="AB550" s="28"/>
      <c r="AC550" s="28" t="n">
        <f aca="false">AB550*$M550</f>
        <v>0</v>
      </c>
      <c r="AD550" s="28"/>
      <c r="AE550" s="28" t="n">
        <f aca="false">AD550*$M550</f>
        <v>0</v>
      </c>
      <c r="AF550" s="28"/>
      <c r="AG550" s="28" t="n">
        <f aca="false">AF550*$M550</f>
        <v>0</v>
      </c>
      <c r="AH550" s="28"/>
      <c r="AI550" s="28" t="n">
        <f aca="false">AH550*$M550</f>
        <v>0</v>
      </c>
      <c r="AJ550" s="28"/>
      <c r="AK550" s="28" t="n">
        <f aca="false">AJ550*$M550</f>
        <v>0</v>
      </c>
      <c r="AL550" s="28"/>
      <c r="AM550" s="28" t="n">
        <f aca="false">AL550*$M550</f>
        <v>0</v>
      </c>
      <c r="AN550" s="28"/>
      <c r="AO550" s="28" t="n">
        <f aca="false">AN550*$M550</f>
        <v>0</v>
      </c>
      <c r="AP550" s="28"/>
      <c r="AQ550" s="28" t="n">
        <f aca="false">AP550*$M550</f>
        <v>0</v>
      </c>
      <c r="AR550" s="28"/>
      <c r="AS550" s="28" t="n">
        <f aca="false">AR550*$M550</f>
        <v>0</v>
      </c>
      <c r="AT550" s="28"/>
      <c r="AU550" s="28" t="n">
        <f aca="false">AT550*$M550</f>
        <v>0</v>
      </c>
      <c r="AV550" s="28"/>
      <c r="AW550" s="28" t="n">
        <f aca="false">AV550*$M550</f>
        <v>0</v>
      </c>
      <c r="AX550" s="28"/>
      <c r="AY550" s="28" t="n">
        <f aca="false">AX550*$M550</f>
        <v>0</v>
      </c>
      <c r="AZ550" s="30"/>
      <c r="BA550" s="11"/>
      <c r="BB550" s="31" t="n">
        <f aca="false">SUM(Q550,S550,U550,W550,Y550,AA550,AC550,AE550,AG550,AI550,AK550,AM550,AO550,AQ550,AS550,AU550,AW550,AY550)</f>
        <v>0</v>
      </c>
      <c r="BC550" s="28" t="n">
        <f aca="false">BA550-BB550</f>
        <v>0</v>
      </c>
      <c r="BD550" s="32" t="n">
        <f aca="false">SUM(P550,R550,T550,V550,X550,Z550,AB550,AD550,AF550,AH550,AJ550,AL550,AN550,AP550,AR550,AT550,AV550,AX550)</f>
        <v>0</v>
      </c>
      <c r="BE550" s="33" t="n">
        <f aca="false">AZ550-BD550</f>
        <v>0</v>
      </c>
      <c r="BF550" s="34" t="n">
        <f aca="false">BD550*M550</f>
        <v>0</v>
      </c>
      <c r="BG550" s="35" t="n">
        <f aca="false">BA550-BF550</f>
        <v>0</v>
      </c>
      <c r="BH550" s="19" t="str">
        <f aca="false">IF(BG550=0,"",IF(BG550&lt;&gt;BA550,"erreur de calcul",IF(BD550&lt;&gt;0,"pas de prix",IF(M550&lt;&gt; 0,"pas de quantité","pas de prix, ni de quantité"))))</f>
        <v/>
      </c>
      <c r="BI550" s="19" t="s">
        <v>275</v>
      </c>
    </row>
    <row r="551" customFormat="false" ht="16" hidden="false" customHeight="false" outlineLevel="0" collapsed="false">
      <c r="A551" s="0" t="n">
        <v>34</v>
      </c>
      <c r="B551" s="8" t="s">
        <v>24</v>
      </c>
      <c r="C551" s="9" t="s">
        <v>25</v>
      </c>
      <c r="D551" s="9" t="s">
        <v>26</v>
      </c>
      <c r="E551" s="10" t="n">
        <v>1789</v>
      </c>
      <c r="F551" s="9" t="s">
        <v>27</v>
      </c>
      <c r="G551" s="9" t="s">
        <v>27</v>
      </c>
      <c r="H551" s="11" t="n">
        <v>23</v>
      </c>
      <c r="I551" s="11" t="s">
        <v>276</v>
      </c>
      <c r="J551" s="14" t="n">
        <v>36</v>
      </c>
      <c r="K551" s="14"/>
      <c r="L551" s="16"/>
      <c r="M551" s="27" t="n">
        <f aca="false">J551+(K551/20)+(L551/240)</f>
        <v>36</v>
      </c>
      <c r="N551" s="17" t="s">
        <v>275</v>
      </c>
      <c r="O551" s="11" t="s">
        <v>77</v>
      </c>
      <c r="P551" s="28" t="n">
        <v>7250</v>
      </c>
      <c r="Q551" s="28" t="n">
        <v>261000</v>
      </c>
      <c r="R551" s="28"/>
      <c r="S551" s="28" t="n">
        <f aca="false">R551*$M551</f>
        <v>0</v>
      </c>
      <c r="T551" s="28" t="n">
        <v>38389</v>
      </c>
      <c r="U551" s="28" t="n">
        <v>1382004</v>
      </c>
      <c r="V551" s="28" t="n">
        <v>19350</v>
      </c>
      <c r="W551" s="28" t="n">
        <v>696600</v>
      </c>
      <c r="X551" s="28" t="n">
        <v>25392</v>
      </c>
      <c r="Y551" s="28" t="n">
        <v>914112</v>
      </c>
      <c r="Z551" s="28" t="n">
        <v>31863</v>
      </c>
      <c r="AA551" s="28" t="n">
        <v>1147068</v>
      </c>
      <c r="AB551" s="28" t="n">
        <v>149064</v>
      </c>
      <c r="AC551" s="28" t="n">
        <v>5366304</v>
      </c>
      <c r="AD551" s="28" t="n">
        <v>1270</v>
      </c>
      <c r="AE551" s="28" t="n">
        <v>45720</v>
      </c>
      <c r="AF551" s="28" t="n">
        <v>54784</v>
      </c>
      <c r="AG551" s="28" t="n">
        <v>1972224</v>
      </c>
      <c r="AH551" s="28" t="n">
        <v>1200</v>
      </c>
      <c r="AI551" s="28" t="n">
        <v>43200</v>
      </c>
      <c r="AJ551" s="28" t="n">
        <v>10055</v>
      </c>
      <c r="AK551" s="28" t="n">
        <v>361980</v>
      </c>
      <c r="AL551" s="28"/>
      <c r="AM551" s="28" t="n">
        <f aca="false">AL551*$M551</f>
        <v>0</v>
      </c>
      <c r="AN551" s="28"/>
      <c r="AO551" s="28" t="n">
        <f aca="false">AN551*$M551</f>
        <v>0</v>
      </c>
      <c r="AP551" s="28" t="n">
        <v>220</v>
      </c>
      <c r="AQ551" s="28" t="n">
        <f aca="false">AP551*$M551</f>
        <v>7920</v>
      </c>
      <c r="AR551" s="28"/>
      <c r="AS551" s="28" t="n">
        <f aca="false">AR551*$M551</f>
        <v>0</v>
      </c>
      <c r="AT551" s="28"/>
      <c r="AU551" s="28" t="n">
        <f aca="false">AT551*$M551</f>
        <v>0</v>
      </c>
      <c r="AV551" s="28" t="n">
        <v>100</v>
      </c>
      <c r="AW551" s="28" t="n">
        <v>3600</v>
      </c>
      <c r="AX551" s="28" t="n">
        <v>9241</v>
      </c>
      <c r="AY551" s="28" t="n">
        <v>332676</v>
      </c>
      <c r="AZ551" s="30" t="n">
        <v>348178</v>
      </c>
      <c r="BA551" s="11" t="n">
        <v>12534408</v>
      </c>
      <c r="BB551" s="31" t="n">
        <f aca="false">SUM(Q551,S551,U551,W551,Y551,AA551,AC551,AE551,AG551,AI551,AK551,AM551,AO551,AQ551,AS551,AU551,AW551,AY551)</f>
        <v>12534408</v>
      </c>
      <c r="BC551" s="28" t="n">
        <f aca="false">BA551-BB551</f>
        <v>0</v>
      </c>
      <c r="BD551" s="32" t="n">
        <f aca="false">SUM(P551,R551,T551,V551,X551,Z551,AB551,AD551,AF551,AH551,AJ551,AL551,AN551,AP551,AR551,AT551,AV551,AX551)</f>
        <v>348178</v>
      </c>
      <c r="BE551" s="33" t="n">
        <f aca="false">AZ551-BD551</f>
        <v>0</v>
      </c>
      <c r="BF551" s="34" t="n">
        <f aca="false">BD551*M551</f>
        <v>12534408</v>
      </c>
      <c r="BG551" s="35" t="n">
        <f aca="false">BA551-BF551</f>
        <v>0</v>
      </c>
      <c r="BH551" s="19" t="str">
        <f aca="false">IF(BG551=0,"",IF(BG551&lt;&gt;BA551,"erreur de calcul",IF(BD551&lt;&gt;0,"pas de prix",IF(M551&lt;&gt; 0,"pas de quantité","pas de prix, ni de quantité"))))</f>
        <v/>
      </c>
      <c r="BI551" s="19"/>
    </row>
    <row r="552" customFormat="false" ht="16" hidden="false" customHeight="false" outlineLevel="0" collapsed="false">
      <c r="A552" s="0" t="n">
        <v>35</v>
      </c>
      <c r="B552" s="8" t="s">
        <v>24</v>
      </c>
      <c r="C552" s="9" t="s">
        <v>25</v>
      </c>
      <c r="D552" s="9" t="s">
        <v>26</v>
      </c>
      <c r="E552" s="10" t="n">
        <v>1789</v>
      </c>
      <c r="F552" s="9" t="s">
        <v>27</v>
      </c>
      <c r="G552" s="9" t="s">
        <v>27</v>
      </c>
      <c r="H552" s="11" t="n">
        <v>23</v>
      </c>
      <c r="I552" s="11" t="s">
        <v>278</v>
      </c>
      <c r="J552" s="14" t="n">
        <v>12</v>
      </c>
      <c r="K552" s="14"/>
      <c r="L552" s="16"/>
      <c r="M552" s="27" t="n">
        <f aca="false">J552+(K552/20)+(L552/240)</f>
        <v>12</v>
      </c>
      <c r="N552" s="17" t="s">
        <v>64</v>
      </c>
      <c r="O552" s="11" t="s">
        <v>77</v>
      </c>
      <c r="P552" s="28" t="n">
        <f aca="false">351312/100</f>
        <v>3513.12</v>
      </c>
      <c r="Q552" s="28" t="n">
        <v>42157</v>
      </c>
      <c r="R552" s="28"/>
      <c r="S552" s="28" t="n">
        <f aca="false">R552*$M552</f>
        <v>0</v>
      </c>
      <c r="T552" s="28" t="n">
        <f aca="false">52251/100</f>
        <v>522.51</v>
      </c>
      <c r="U552" s="28" t="n">
        <v>6270</v>
      </c>
      <c r="V552" s="28" t="n">
        <f aca="false">2393/100</f>
        <v>23.93</v>
      </c>
      <c r="W552" s="28" t="n">
        <v>287</v>
      </c>
      <c r="X552" s="28" t="n">
        <f aca="false">44842/100</f>
        <v>448.42</v>
      </c>
      <c r="Y552" s="28" t="n">
        <v>5381</v>
      </c>
      <c r="Z552" s="28"/>
      <c r="AA552" s="28" t="n">
        <f aca="false">Z552*$M552</f>
        <v>0</v>
      </c>
      <c r="AB552" s="28"/>
      <c r="AC552" s="28" t="n">
        <f aca="false">AB552*$M552</f>
        <v>0</v>
      </c>
      <c r="AD552" s="28"/>
      <c r="AE552" s="28" t="n">
        <f aca="false">AD552*$M552</f>
        <v>0</v>
      </c>
      <c r="AF552" s="28" t="n">
        <f aca="false">164167/100</f>
        <v>1641.67</v>
      </c>
      <c r="AG552" s="28" t="n">
        <v>19700</v>
      </c>
      <c r="AH552" s="28"/>
      <c r="AI552" s="28" t="n">
        <f aca="false">AH552*$M552</f>
        <v>0</v>
      </c>
      <c r="AJ552" s="28"/>
      <c r="AK552" s="28" t="n">
        <f aca="false">AJ552*$M552</f>
        <v>0</v>
      </c>
      <c r="AL552" s="28"/>
      <c r="AM552" s="28" t="n">
        <f aca="false">AL552*$M552</f>
        <v>0</v>
      </c>
      <c r="AN552" s="28"/>
      <c r="AO552" s="28" t="n">
        <f aca="false">AN552*$M552</f>
        <v>0</v>
      </c>
      <c r="AP552" s="28"/>
      <c r="AQ552" s="28" t="n">
        <f aca="false">AP552*$M552</f>
        <v>0</v>
      </c>
      <c r="AR552" s="28"/>
      <c r="AS552" s="28" t="n">
        <f aca="false">AR552*$M552</f>
        <v>0</v>
      </c>
      <c r="AT552" s="28"/>
      <c r="AU552" s="28" t="n">
        <f aca="false">AT552*$M552</f>
        <v>0</v>
      </c>
      <c r="AV552" s="28"/>
      <c r="AW552" s="28" t="n">
        <f aca="false">AV552*$M552</f>
        <v>0</v>
      </c>
      <c r="AX552" s="28" t="n">
        <f aca="false">25000/100</f>
        <v>250</v>
      </c>
      <c r="AY552" s="28" t="n">
        <v>3000</v>
      </c>
      <c r="AZ552" s="30"/>
      <c r="BA552" s="11" t="n">
        <v>76795</v>
      </c>
      <c r="BB552" s="31" t="n">
        <f aca="false">SUM(Q552,S552,U552,W552,Y552,AA552,AC552,AE552,AG552,AI552,AK552,AM552,AO552,AQ552,AS552,AU552,AW552,AY552)</f>
        <v>76795</v>
      </c>
      <c r="BC552" s="28" t="n">
        <f aca="false">BA552-BB552</f>
        <v>0</v>
      </c>
      <c r="BD552" s="32" t="n">
        <f aca="false">SUM(P552,R552,T552,V552,X552,Z552,AB552,AD552,AF552,AH552,AJ552,AL552,AN552,AP552,AR552,AT552,AV552,AX552)</f>
        <v>6399.65</v>
      </c>
      <c r="BE552" s="33" t="n">
        <f aca="false">AZ552-BD552</f>
        <v>-6399.65</v>
      </c>
      <c r="BF552" s="34" t="n">
        <f aca="false">BD552*M552</f>
        <v>76795.8</v>
      </c>
      <c r="BG552" s="35" t="n">
        <f aca="false">BA552-BF552</f>
        <v>-0.799999999988359</v>
      </c>
      <c r="BH552" s="19" t="str">
        <f aca="false">IF(BG552=0,"",IF(BG552&lt;&gt;BA552,"erreur de calcul",IF(BD552&lt;&gt;0,"pas de prix",IF(M552&lt;&gt; 0,"pas de quantité","pas de prix, ni de quantité"))))</f>
        <v>erreur de calcul</v>
      </c>
      <c r="BI552" s="19"/>
    </row>
    <row r="553" customFormat="false" ht="16" hidden="false" customHeight="false" outlineLevel="0" collapsed="false">
      <c r="A553" s="0" t="n">
        <v>36</v>
      </c>
      <c r="B553" s="8" t="s">
        <v>24</v>
      </c>
      <c r="C553" s="9" t="s">
        <v>25</v>
      </c>
      <c r="D553" s="9" t="s">
        <v>26</v>
      </c>
      <c r="E553" s="10" t="n">
        <v>1789</v>
      </c>
      <c r="F553" s="9" t="s">
        <v>27</v>
      </c>
      <c r="G553" s="9" t="s">
        <v>27</v>
      </c>
      <c r="H553" s="11" t="n">
        <v>23</v>
      </c>
      <c r="I553" s="11" t="s">
        <v>279</v>
      </c>
      <c r="J553" s="14" t="n">
        <v>18</v>
      </c>
      <c r="K553" s="14"/>
      <c r="L553" s="16"/>
      <c r="M553" s="27" t="n">
        <f aca="false">J553+(K553/20)+(L553/240)</f>
        <v>18</v>
      </c>
      <c r="N553" s="17" t="s">
        <v>275</v>
      </c>
      <c r="O553" s="11"/>
      <c r="P553" s="28"/>
      <c r="Q553" s="28" t="n">
        <f aca="false">P553*$M553</f>
        <v>0</v>
      </c>
      <c r="R553" s="28"/>
      <c r="S553" s="28" t="n">
        <f aca="false">R553*$M553</f>
        <v>0</v>
      </c>
      <c r="T553" s="28" t="n">
        <v>100</v>
      </c>
      <c r="U553" s="28" t="n">
        <v>1800</v>
      </c>
      <c r="V553" s="28"/>
      <c r="W553" s="28" t="n">
        <f aca="false">V553*$M553</f>
        <v>0</v>
      </c>
      <c r="X553" s="28"/>
      <c r="Y553" s="28" t="n">
        <f aca="false">X553*$M553</f>
        <v>0</v>
      </c>
      <c r="Z553" s="28"/>
      <c r="AA553" s="28" t="n">
        <f aca="false">Z553*$M553</f>
        <v>0</v>
      </c>
      <c r="AB553" s="28" t="n">
        <v>1936</v>
      </c>
      <c r="AC553" s="28" t="n">
        <v>34848</v>
      </c>
      <c r="AD553" s="28"/>
      <c r="AE553" s="28" t="n">
        <f aca="false">AD553*$M553</f>
        <v>0</v>
      </c>
      <c r="AF553" s="28" t="n">
        <v>600</v>
      </c>
      <c r="AG553" s="28" t="n">
        <v>10800</v>
      </c>
      <c r="AH553" s="28"/>
      <c r="AI553" s="28" t="n">
        <f aca="false">AH553*$M553</f>
        <v>0</v>
      </c>
      <c r="AJ553" s="28"/>
      <c r="AK553" s="28" t="n">
        <f aca="false">AJ553*$M553</f>
        <v>0</v>
      </c>
      <c r="AL553" s="28" t="n">
        <v>12</v>
      </c>
      <c r="AM553" s="28" t="n">
        <v>216</v>
      </c>
      <c r="AN553" s="28"/>
      <c r="AO553" s="28" t="n">
        <f aca="false">AN553*$M553</f>
        <v>0</v>
      </c>
      <c r="AP553" s="28" t="n">
        <v>12</v>
      </c>
      <c r="AQ553" s="28" t="n">
        <v>216</v>
      </c>
      <c r="AR553" s="28"/>
      <c r="AS553" s="28" t="n">
        <f aca="false">AR553*$M553</f>
        <v>0</v>
      </c>
      <c r="AT553" s="28"/>
      <c r="AU553" s="28" t="n">
        <f aca="false">AT553*$M553</f>
        <v>0</v>
      </c>
      <c r="AV553" s="28"/>
      <c r="AW553" s="28" t="n">
        <f aca="false">AV553*$M553</f>
        <v>0</v>
      </c>
      <c r="AX553" s="28"/>
      <c r="AY553" s="28" t="n">
        <f aca="false">AX553*$M553</f>
        <v>0</v>
      </c>
      <c r="AZ553" s="30" t="n">
        <v>2660</v>
      </c>
      <c r="BA553" s="11" t="n">
        <v>47880</v>
      </c>
      <c r="BB553" s="31" t="n">
        <f aca="false">SUM(Q553,S553,U553,W553,Y553,AA553,AC553,AE553,AG553,AI553,AK553,AM553,AO553,AQ553,AS553,AU553,AW553,AY553)</f>
        <v>47880</v>
      </c>
      <c r="BC553" s="28" t="n">
        <f aca="false">BA553-BB553</f>
        <v>0</v>
      </c>
      <c r="BD553" s="32" t="n">
        <f aca="false">SUM(P553,R553,T553,V553,X553,Z553,AB553,AD553,AF553,AH553,AJ553,AL553,AN553,AP553,AR553,AT553,AV553,AX553)</f>
        <v>2660</v>
      </c>
      <c r="BE553" s="33" t="n">
        <f aca="false">AZ553-BD553</f>
        <v>0</v>
      </c>
      <c r="BF553" s="34" t="n">
        <f aca="false">BD553*M553</f>
        <v>47880</v>
      </c>
      <c r="BG553" s="35" t="n">
        <f aca="false">BA553-BF553</f>
        <v>0</v>
      </c>
      <c r="BH553" s="19" t="str">
        <f aca="false">IF(BG553=0,"",IF(BG553&lt;&gt;BA553,"erreur de calcul",IF(BD553&lt;&gt;0,"pas de prix",IF(M553&lt;&gt; 0,"pas de quantité","pas de prix, ni de quantité"))))</f>
        <v/>
      </c>
      <c r="BI553" s="19"/>
    </row>
    <row r="554" customFormat="false" ht="16" hidden="false" customHeight="false" outlineLevel="0" collapsed="false">
      <c r="A554" s="0" t="n">
        <v>37</v>
      </c>
      <c r="B554" s="8" t="s">
        <v>24</v>
      </c>
      <c r="C554" s="9" t="s">
        <v>25</v>
      </c>
      <c r="D554" s="9" t="s">
        <v>26</v>
      </c>
      <c r="E554" s="10" t="n">
        <v>1789</v>
      </c>
      <c r="F554" s="9" t="s">
        <v>27</v>
      </c>
      <c r="G554" s="9" t="s">
        <v>27</v>
      </c>
      <c r="H554" s="11" t="n">
        <v>23</v>
      </c>
      <c r="I554" s="11" t="s">
        <v>280</v>
      </c>
      <c r="J554" s="14" t="n">
        <v>25</v>
      </c>
      <c r="K554" s="14"/>
      <c r="L554" s="16"/>
      <c r="M554" s="27" t="n">
        <f aca="false">J554+(K554/20)+(L554/240)</f>
        <v>25</v>
      </c>
      <c r="N554" s="17" t="s">
        <v>64</v>
      </c>
      <c r="O554" s="11"/>
      <c r="P554" s="28"/>
      <c r="Q554" s="28" t="n">
        <f aca="false">P554*$M554</f>
        <v>0</v>
      </c>
      <c r="R554" s="28"/>
      <c r="S554" s="28" t="n">
        <f aca="false">R554*$M554</f>
        <v>0</v>
      </c>
      <c r="T554" s="28" t="n">
        <f aca="false">1664501/100</f>
        <v>16645.01</v>
      </c>
      <c r="U554" s="28" t="n">
        <v>416125</v>
      </c>
      <c r="V554" s="28" t="n">
        <f aca="false">2171980/100</f>
        <v>21719.8</v>
      </c>
      <c r="W554" s="28" t="n">
        <v>542995</v>
      </c>
      <c r="X554" s="28" t="n">
        <f aca="false">11567/100</f>
        <v>115.67</v>
      </c>
      <c r="Y554" s="28" t="n">
        <v>2892</v>
      </c>
      <c r="Z554" s="28" t="n">
        <f aca="false">985/100</f>
        <v>9.85</v>
      </c>
      <c r="AA554" s="28" t="n">
        <v>246</v>
      </c>
      <c r="AB554" s="28" t="n">
        <f aca="false">399494/100</f>
        <v>3994.94</v>
      </c>
      <c r="AC554" s="28" t="n">
        <v>99873</v>
      </c>
      <c r="AD554" s="28"/>
      <c r="AE554" s="28" t="n">
        <f aca="false">AD554*$M554</f>
        <v>0</v>
      </c>
      <c r="AF554" s="28"/>
      <c r="AG554" s="28" t="n">
        <f aca="false">AF554*$M554</f>
        <v>0</v>
      </c>
      <c r="AH554" s="28"/>
      <c r="AI554" s="28" t="n">
        <f aca="false">AH554*$M554</f>
        <v>0</v>
      </c>
      <c r="AJ554" s="28"/>
      <c r="AK554" s="28" t="n">
        <f aca="false">AJ554*$M554</f>
        <v>0</v>
      </c>
      <c r="AL554" s="28"/>
      <c r="AM554" s="28" t="n">
        <f aca="false">AL554*$M554</f>
        <v>0</v>
      </c>
      <c r="AN554" s="28"/>
      <c r="AO554" s="28" t="n">
        <f aca="false">AN554*$M554</f>
        <v>0</v>
      </c>
      <c r="AP554" s="28"/>
      <c r="AQ554" s="28" t="n">
        <f aca="false">AP554*$M554</f>
        <v>0</v>
      </c>
      <c r="AR554" s="28"/>
      <c r="AS554" s="28" t="n">
        <f aca="false">AR554*$M554</f>
        <v>0</v>
      </c>
      <c r="AT554" s="28"/>
      <c r="AU554" s="28" t="n">
        <f aca="false">AT554*$M554</f>
        <v>0</v>
      </c>
      <c r="AV554" s="28"/>
      <c r="AW554" s="28" t="n">
        <f aca="false">AV554*$M554</f>
        <v>0</v>
      </c>
      <c r="AX554" s="28" t="n">
        <f aca="false">57000/100</f>
        <v>570</v>
      </c>
      <c r="AY554" s="28" t="n">
        <v>14250</v>
      </c>
      <c r="AZ554" s="30" t="n">
        <f aca="false">4305527/100</f>
        <v>43055.27</v>
      </c>
      <c r="BA554" s="11" t="n">
        <v>1076381</v>
      </c>
      <c r="BB554" s="31" t="n">
        <f aca="false">SUM(Q554,S554,U554,W554,Y554,AA554,AC554,AE554,AG554,AI554,AK554,AM554,AO554,AQ554,AS554,AU554,AW554,AY554)</f>
        <v>1076381</v>
      </c>
      <c r="BC554" s="28" t="n">
        <f aca="false">BA554-BB554</f>
        <v>0</v>
      </c>
      <c r="BD554" s="32" t="n">
        <f aca="false">SUM(P554,R554,T554,V554,X554,Z554,AB554,AD554,AF554,AH554,AJ554,AL554,AN554,AP554,AR554,AT554,AV554,AX554)</f>
        <v>43055.27</v>
      </c>
      <c r="BE554" s="33" t="n">
        <f aca="false">AZ554-BD554</f>
        <v>0</v>
      </c>
      <c r="BF554" s="34" t="n">
        <f aca="false">BD554*M554</f>
        <v>1076381.75</v>
      </c>
      <c r="BG554" s="35" t="n">
        <f aca="false">BA554-BF554</f>
        <v>-0.75</v>
      </c>
      <c r="BH554" s="19" t="str">
        <f aca="false">IF(BG554=0,"",IF(BG554&lt;&gt;BA554,"erreur de calcul",IF(BD554&lt;&gt;0,"pas de prix",IF(M554&lt;&gt; 0,"pas de quantité","pas de prix, ni de quantité"))))</f>
        <v>erreur de calcul</v>
      </c>
      <c r="BI554" s="19"/>
    </row>
    <row r="555" customFormat="false" ht="16" hidden="false" customHeight="false" outlineLevel="0" collapsed="false">
      <c r="A555" s="0" t="n">
        <v>38</v>
      </c>
      <c r="B555" s="8" t="s">
        <v>24</v>
      </c>
      <c r="C555" s="9" t="s">
        <v>25</v>
      </c>
      <c r="D555" s="9" t="s">
        <v>26</v>
      </c>
      <c r="E555" s="10" t="n">
        <v>1789</v>
      </c>
      <c r="F555" s="9" t="s">
        <v>27</v>
      </c>
      <c r="G555" s="9" t="s">
        <v>27</v>
      </c>
      <c r="H555" s="11" t="n">
        <v>23</v>
      </c>
      <c r="I555" s="11" t="s">
        <v>281</v>
      </c>
      <c r="J555" s="14" t="n">
        <v>18</v>
      </c>
      <c r="K555" s="14"/>
      <c r="L555" s="16"/>
      <c r="M555" s="27" t="n">
        <f aca="false">J555+(K555/20)+(L555/240)</f>
        <v>18</v>
      </c>
      <c r="N555" s="17" t="s">
        <v>275</v>
      </c>
      <c r="O555" s="11"/>
      <c r="P555" s="28"/>
      <c r="Q555" s="28" t="n">
        <f aca="false">P555*$M555</f>
        <v>0</v>
      </c>
      <c r="R555" s="28"/>
      <c r="S555" s="28" t="n">
        <f aca="false">R555*$M555</f>
        <v>0</v>
      </c>
      <c r="T555" s="28" t="n">
        <v>537</v>
      </c>
      <c r="U555" s="28" t="n">
        <v>9666</v>
      </c>
      <c r="V555" s="28"/>
      <c r="W555" s="28" t="n">
        <f aca="false">V555*$M555</f>
        <v>0</v>
      </c>
      <c r="X555" s="28"/>
      <c r="Y555" s="28" t="n">
        <f aca="false">X555*$M555</f>
        <v>0</v>
      </c>
      <c r="Z555" s="28"/>
      <c r="AA555" s="28" t="n">
        <f aca="false">Z555*$M555</f>
        <v>0</v>
      </c>
      <c r="AB555" s="28"/>
      <c r="AC555" s="28" t="n">
        <f aca="false">AB555*$M555</f>
        <v>0</v>
      </c>
      <c r="AD555" s="28"/>
      <c r="AE555" s="28" t="n">
        <f aca="false">AD555*$M555</f>
        <v>0</v>
      </c>
      <c r="AF555" s="28"/>
      <c r="AG555" s="28" t="n">
        <f aca="false">AF555*$M555</f>
        <v>0</v>
      </c>
      <c r="AH555" s="28"/>
      <c r="AI555" s="28" t="n">
        <f aca="false">AH555*$M555</f>
        <v>0</v>
      </c>
      <c r="AJ555" s="28"/>
      <c r="AK555" s="28" t="n">
        <f aca="false">AJ555*$M555</f>
        <v>0</v>
      </c>
      <c r="AL555" s="28"/>
      <c r="AM555" s="28" t="n">
        <f aca="false">AL555*$M555</f>
        <v>0</v>
      </c>
      <c r="AN555" s="28"/>
      <c r="AO555" s="28" t="n">
        <f aca="false">AN555*$M555</f>
        <v>0</v>
      </c>
      <c r="AP555" s="28"/>
      <c r="AQ555" s="28" t="n">
        <f aca="false">AP555*$M555</f>
        <v>0</v>
      </c>
      <c r="AR555" s="28"/>
      <c r="AS555" s="28" t="n">
        <f aca="false">AR555*$M555</f>
        <v>0</v>
      </c>
      <c r="AT555" s="28"/>
      <c r="AU555" s="28" t="n">
        <f aca="false">AT555*$M555</f>
        <v>0</v>
      </c>
      <c r="AV555" s="28" t="n">
        <v>1700</v>
      </c>
      <c r="AW555" s="36" t="n">
        <v>33600</v>
      </c>
      <c r="AX555" s="28"/>
      <c r="AY555" s="28" t="n">
        <f aca="false">AX555*$M555</f>
        <v>0</v>
      </c>
      <c r="AZ555" s="30" t="n">
        <v>2237</v>
      </c>
      <c r="BA555" s="11" t="n">
        <v>43266</v>
      </c>
      <c r="BB555" s="31" t="n">
        <f aca="false">SUM(Q555,S555,U555,W555,Y555,AA555,AC555,AE555,AG555,AI555,AK555,AM555,AO555,AQ555,AS555,AU555,AW555,AY555)</f>
        <v>43266</v>
      </c>
      <c r="BC555" s="28" t="n">
        <f aca="false">BA555-BB555</f>
        <v>0</v>
      </c>
      <c r="BD555" s="32" t="n">
        <f aca="false">SUM(P555,R555,T555,V555,X555,Z555,AB555,AD555,AF555,AH555,AJ555,AL555,AN555,AP555,AR555,AT555,AV555,AX555)</f>
        <v>2237</v>
      </c>
      <c r="BE555" s="33" t="n">
        <f aca="false">AZ555-BD555</f>
        <v>0</v>
      </c>
      <c r="BF555" s="34" t="n">
        <f aca="false">BD555*M555</f>
        <v>40266</v>
      </c>
      <c r="BG555" s="35" t="n">
        <f aca="false">BA555-BF555</f>
        <v>3000</v>
      </c>
      <c r="BH555" s="19" t="str">
        <f aca="false">IF(BG555=0,"",IF(BG555&lt;&gt;BA555,"erreur de calcul",IF(BD555&lt;&gt;0,"pas de prix",IF(M555&lt;&gt; 0,"pas de quantité","pas de prix, ni de quantité"))))</f>
        <v>erreur de calcul</v>
      </c>
      <c r="BI555" s="19"/>
    </row>
    <row r="556" customFormat="false" ht="16" hidden="false" customHeight="false" outlineLevel="0" collapsed="false">
      <c r="A556" s="0" t="n">
        <v>39</v>
      </c>
      <c r="B556" s="8" t="s">
        <v>24</v>
      </c>
      <c r="C556" s="9" t="s">
        <v>25</v>
      </c>
      <c r="D556" s="9" t="s">
        <v>26</v>
      </c>
      <c r="E556" s="10" t="n">
        <v>1789</v>
      </c>
      <c r="F556" s="9" t="s">
        <v>27</v>
      </c>
      <c r="G556" s="9" t="s">
        <v>27</v>
      </c>
      <c r="H556" s="11" t="n">
        <v>23</v>
      </c>
      <c r="I556" s="11" t="s">
        <v>282</v>
      </c>
      <c r="J556" s="14"/>
      <c r="K556" s="14"/>
      <c r="L556" s="16"/>
      <c r="M556" s="27" t="n">
        <f aca="false">J556+(K556/20)+(L556/240)</f>
        <v>0</v>
      </c>
      <c r="N556" s="17"/>
      <c r="O556" s="11"/>
      <c r="P556" s="28"/>
      <c r="Q556" s="28" t="n">
        <f aca="false">P556*$M556</f>
        <v>0</v>
      </c>
      <c r="R556" s="28"/>
      <c r="S556" s="28" t="n">
        <f aca="false">R556*$M556</f>
        <v>0</v>
      </c>
      <c r="T556" s="28"/>
      <c r="U556" s="28" t="n">
        <v>1962</v>
      </c>
      <c r="V556" s="28"/>
      <c r="W556" s="28" t="n">
        <v>148</v>
      </c>
      <c r="X556" s="28"/>
      <c r="Y556" s="28" t="n">
        <v>221</v>
      </c>
      <c r="Z556" s="28"/>
      <c r="AA556" s="28" t="n">
        <f aca="false">Z556*$M556</f>
        <v>0</v>
      </c>
      <c r="AB556" s="28"/>
      <c r="AC556" s="28" t="n">
        <v>725</v>
      </c>
      <c r="AD556" s="28"/>
      <c r="AE556" s="28" t="n">
        <f aca="false">AD556*$M556</f>
        <v>0</v>
      </c>
      <c r="AF556" s="28"/>
      <c r="AG556" s="28" t="n">
        <v>414</v>
      </c>
      <c r="AH556" s="28"/>
      <c r="AI556" s="28" t="n">
        <f aca="false">AH556*$M556</f>
        <v>0</v>
      </c>
      <c r="AJ556" s="28"/>
      <c r="AK556" s="28" t="n">
        <f aca="false">AJ556*$M556</f>
        <v>0</v>
      </c>
      <c r="AL556" s="28"/>
      <c r="AM556" s="28" t="n">
        <f aca="false">AL556*$M556</f>
        <v>0</v>
      </c>
      <c r="AN556" s="28"/>
      <c r="AO556" s="28" t="n">
        <f aca="false">AN556*$M556</f>
        <v>0</v>
      </c>
      <c r="AP556" s="28"/>
      <c r="AQ556" s="28" t="n">
        <f aca="false">AP556*$M556</f>
        <v>0</v>
      </c>
      <c r="AR556" s="28"/>
      <c r="AS556" s="28" t="n">
        <f aca="false">AR556*$M556</f>
        <v>0</v>
      </c>
      <c r="AT556" s="28"/>
      <c r="AU556" s="28" t="n">
        <v>276</v>
      </c>
      <c r="AV556" s="28"/>
      <c r="AW556" s="28" t="n">
        <f aca="false">AV556*$M556</f>
        <v>0</v>
      </c>
      <c r="AX556" s="28"/>
      <c r="AY556" s="28" t="n">
        <f aca="false">AX556*$M556</f>
        <v>0</v>
      </c>
      <c r="AZ556" s="30"/>
      <c r="BA556" s="11" t="n">
        <v>3746</v>
      </c>
      <c r="BB556" s="31" t="n">
        <f aca="false">SUM(Q556,S556,U556,W556,Y556,AA556,AC556,AE556,AG556,AI556,AK556,AM556,AO556,AQ556,AS556,AU556,AW556,AY556)</f>
        <v>3746</v>
      </c>
      <c r="BC556" s="28" t="n">
        <f aca="false">BA556-BB556</f>
        <v>0</v>
      </c>
      <c r="BD556" s="32" t="n">
        <f aca="false">SUM(P556,R556,T556,V556,X556,Z556,AB556,AD556,AF556,AH556,AJ556,AL556,AN556,AP556,AR556,AT556,AV556,AX556)</f>
        <v>0</v>
      </c>
      <c r="BE556" s="33" t="n">
        <f aca="false">AZ556-BD556</f>
        <v>0</v>
      </c>
      <c r="BF556" s="34" t="n">
        <f aca="false">BD556*M556</f>
        <v>0</v>
      </c>
      <c r="BG556" s="35" t="n">
        <f aca="false">BA556-BF556</f>
        <v>3746</v>
      </c>
      <c r="BH556" s="19" t="str">
        <f aca="false">IF(BG556=0,"",IF(BG556&lt;&gt;BA556,"erreur de calcul",IF(BD556&lt;&gt;0,"pas de prix",IF(M556&lt;&gt; 0,"pas de quantité","pas de prix, ni de quantité"))))</f>
        <v>pas de prix, ni de quantité</v>
      </c>
      <c r="BI556" s="19"/>
    </row>
    <row r="557" customFormat="false" ht="16" hidden="false" customHeight="false" outlineLevel="0" collapsed="false">
      <c r="A557" s="0" t="n">
        <v>40</v>
      </c>
      <c r="B557" s="8" t="s">
        <v>24</v>
      </c>
      <c r="C557" s="9" t="s">
        <v>25</v>
      </c>
      <c r="D557" s="9" t="s">
        <v>26</v>
      </c>
      <c r="E557" s="10" t="n">
        <v>1789</v>
      </c>
      <c r="F557" s="9" t="s">
        <v>27</v>
      </c>
      <c r="G557" s="9" t="s">
        <v>27</v>
      </c>
      <c r="H557" s="11" t="n">
        <v>23</v>
      </c>
      <c r="I557" s="11" t="s">
        <v>283</v>
      </c>
      <c r="J557" s="14" t="n">
        <v>25</v>
      </c>
      <c r="K557" s="14"/>
      <c r="L557" s="16"/>
      <c r="M557" s="27" t="n">
        <f aca="false">J557+(K557/20)+(L557/240)</f>
        <v>25</v>
      </c>
      <c r="N557" s="17" t="s">
        <v>64</v>
      </c>
      <c r="O557" s="11"/>
      <c r="P557" s="28" t="n">
        <f aca="false">12568/100</f>
        <v>125.68</v>
      </c>
      <c r="Q557" s="28" t="n">
        <v>3142</v>
      </c>
      <c r="R557" s="28"/>
      <c r="S557" s="28" t="n">
        <f aca="false">R557*$M557</f>
        <v>0</v>
      </c>
      <c r="T557" s="28"/>
      <c r="U557" s="28" t="n">
        <f aca="false">T557*$M557</f>
        <v>0</v>
      </c>
      <c r="V557" s="28"/>
      <c r="W557" s="28" t="n">
        <f aca="false">V557*$M557</f>
        <v>0</v>
      </c>
      <c r="X557" s="28"/>
      <c r="Y557" s="28" t="n">
        <f aca="false">X557*$M557</f>
        <v>0</v>
      </c>
      <c r="Z557" s="28"/>
      <c r="AA557" s="28" t="n">
        <f aca="false">Z557*$M557</f>
        <v>0</v>
      </c>
      <c r="AB557" s="28"/>
      <c r="AC557" s="28" t="n">
        <f aca="false">AB557*$M557</f>
        <v>0</v>
      </c>
      <c r="AD557" s="28"/>
      <c r="AE557" s="28" t="n">
        <f aca="false">AD557*$M557</f>
        <v>0</v>
      </c>
      <c r="AF557" s="28"/>
      <c r="AG557" s="28" t="n">
        <f aca="false">AF557*$M557</f>
        <v>0</v>
      </c>
      <c r="AH557" s="28" t="n">
        <f aca="false">5355/100</f>
        <v>53.55</v>
      </c>
      <c r="AI557" s="28" t="n">
        <v>1339</v>
      </c>
      <c r="AJ557" s="28"/>
      <c r="AK557" s="28" t="n">
        <f aca="false">AJ557*$M557</f>
        <v>0</v>
      </c>
      <c r="AL557" s="28"/>
      <c r="AM557" s="28" t="n">
        <f aca="false">AL557*$M557</f>
        <v>0</v>
      </c>
      <c r="AN557" s="28"/>
      <c r="AO557" s="28" t="n">
        <f aca="false">AN557*$M557</f>
        <v>0</v>
      </c>
      <c r="AP557" s="28"/>
      <c r="AQ557" s="28" t="n">
        <f aca="false">AP557*$M557</f>
        <v>0</v>
      </c>
      <c r="AR557" s="28"/>
      <c r="AS557" s="28" t="n">
        <f aca="false">AR557*$M557</f>
        <v>0</v>
      </c>
      <c r="AT557" s="28"/>
      <c r="AU557" s="28" t="n">
        <f aca="false">AT557*$M557</f>
        <v>0</v>
      </c>
      <c r="AV557" s="28"/>
      <c r="AW557" s="28" t="n">
        <f aca="false">AV557*$M557</f>
        <v>0</v>
      </c>
      <c r="AX557" s="28"/>
      <c r="AY557" s="28" t="n">
        <f aca="false">AX557*$M557</f>
        <v>0</v>
      </c>
      <c r="AZ557" s="30" t="n">
        <f aca="false">17923/100</f>
        <v>179.23</v>
      </c>
      <c r="BA557" s="11" t="n">
        <v>4481</v>
      </c>
      <c r="BB557" s="31" t="n">
        <f aca="false">SUM(Q557,S557,U557,W557,Y557,AA557,AC557,AE557,AG557,AI557,AK557,AM557,AO557,AQ557,AS557,AU557,AW557,AY557)</f>
        <v>4481</v>
      </c>
      <c r="BC557" s="28" t="n">
        <f aca="false">BA557-BB557</f>
        <v>0</v>
      </c>
      <c r="BD557" s="32" t="n">
        <f aca="false">SUM(P557,R557,T557,V557,X557,Z557,AB557,AD557,AF557,AH557,AJ557,AL557,AN557,AP557,AR557,AT557,AV557,AX557)</f>
        <v>179.23</v>
      </c>
      <c r="BE557" s="33" t="n">
        <f aca="false">AZ557-BD557</f>
        <v>0</v>
      </c>
      <c r="BF557" s="34" t="n">
        <f aca="false">BD557*M557</f>
        <v>4480.75</v>
      </c>
      <c r="BG557" s="35" t="n">
        <f aca="false">BA557-BF557</f>
        <v>0.25</v>
      </c>
      <c r="BH557" s="19" t="str">
        <f aca="false">IF(BG557=0,"",IF(BG557&lt;&gt;BA557,"erreur de calcul",IF(BD557&lt;&gt;0,"pas de prix",IF(M557&lt;&gt; 0,"pas de quantité","pas de prix, ni de quantité"))))</f>
        <v>erreur de calcul</v>
      </c>
      <c r="BI557" s="19"/>
    </row>
    <row r="558" customFormat="false" ht="16" hidden="false" customHeight="false" outlineLevel="0" collapsed="false">
      <c r="A558" s="0" t="n">
        <v>41</v>
      </c>
      <c r="B558" s="8" t="s">
        <v>24</v>
      </c>
      <c r="C558" s="9" t="s">
        <v>25</v>
      </c>
      <c r="D558" s="9" t="s">
        <v>26</v>
      </c>
      <c r="E558" s="10" t="n">
        <v>1789</v>
      </c>
      <c r="F558" s="9" t="s">
        <v>27</v>
      </c>
      <c r="G558" s="9" t="s">
        <v>27</v>
      </c>
      <c r="H558" s="11" t="n">
        <v>23</v>
      </c>
      <c r="I558" s="11" t="s">
        <v>284</v>
      </c>
      <c r="J558" s="14" t="n">
        <v>17</v>
      </c>
      <c r="K558" s="14"/>
      <c r="L558" s="16"/>
      <c r="M558" s="27" t="n">
        <f aca="false">J558+(K558/20)+(L558/240)</f>
        <v>17</v>
      </c>
      <c r="N558" s="17" t="s">
        <v>64</v>
      </c>
      <c r="O558" s="11"/>
      <c r="P558" s="28" t="n">
        <f aca="false">56873/100</f>
        <v>568.73</v>
      </c>
      <c r="Q558" s="36" t="n">
        <v>3981</v>
      </c>
      <c r="R558" s="28"/>
      <c r="S558" s="28" t="n">
        <f aca="false">R558*$M558</f>
        <v>0</v>
      </c>
      <c r="T558" s="28"/>
      <c r="U558" s="28" t="n">
        <f aca="false">T558*$M558</f>
        <v>0</v>
      </c>
      <c r="V558" s="28"/>
      <c r="W558" s="28" t="n">
        <f aca="false">V558*$M558</f>
        <v>0</v>
      </c>
      <c r="X558" s="28"/>
      <c r="Y558" s="28" t="n">
        <f aca="false">X558*$M558</f>
        <v>0</v>
      </c>
      <c r="Z558" s="28"/>
      <c r="AA558" s="28" t="n">
        <f aca="false">Z558*$M558</f>
        <v>0</v>
      </c>
      <c r="AB558" s="28"/>
      <c r="AC558" s="28" t="n">
        <f aca="false">AB558*$M558</f>
        <v>0</v>
      </c>
      <c r="AD558" s="28"/>
      <c r="AE558" s="28" t="n">
        <f aca="false">AD558*$M558</f>
        <v>0</v>
      </c>
      <c r="AF558" s="28"/>
      <c r="AG558" s="28" t="n">
        <f aca="false">AF558*$M558</f>
        <v>0</v>
      </c>
      <c r="AH558" s="28"/>
      <c r="AI558" s="28" t="n">
        <f aca="false">AH558*$M558</f>
        <v>0</v>
      </c>
      <c r="AJ558" s="28" t="n">
        <f aca="false">19651/100</f>
        <v>196.51</v>
      </c>
      <c r="AK558" s="28" t="n">
        <v>3341</v>
      </c>
      <c r="AL558" s="28"/>
      <c r="AM558" s="28" t="n">
        <f aca="false">AL558*$M558</f>
        <v>0</v>
      </c>
      <c r="AN558" s="28"/>
      <c r="AO558" s="28" t="n">
        <f aca="false">AN558*$M558</f>
        <v>0</v>
      </c>
      <c r="AP558" s="28"/>
      <c r="AQ558" s="28" t="n">
        <f aca="false">AP558*$M558</f>
        <v>0</v>
      </c>
      <c r="AR558" s="28"/>
      <c r="AS558" s="28" t="n">
        <f aca="false">AR558*$M558</f>
        <v>0</v>
      </c>
      <c r="AT558" s="28"/>
      <c r="AU558" s="28" t="n">
        <f aca="false">AT558*$M558</f>
        <v>0</v>
      </c>
      <c r="AV558" s="28"/>
      <c r="AW558" s="28" t="n">
        <f aca="false">AV558*$M558</f>
        <v>0</v>
      </c>
      <c r="AX558" s="28"/>
      <c r="AY558" s="28" t="n">
        <f aca="false">AX558*$M558</f>
        <v>0</v>
      </c>
      <c r="AZ558" s="30" t="n">
        <f aca="false">76524/100</f>
        <v>765.24</v>
      </c>
      <c r="BA558" s="11" t="n">
        <v>7322</v>
      </c>
      <c r="BB558" s="31" t="n">
        <f aca="false">SUM(Q558,S558,U558,W558,Y558,AA558,AC558,AE558,AG558,AI558,AK558,AM558,AO558,AQ558,AS558,AU558,AW558,AY558)</f>
        <v>7322</v>
      </c>
      <c r="BC558" s="28" t="n">
        <f aca="false">BA558-BB558</f>
        <v>0</v>
      </c>
      <c r="BD558" s="32" t="n">
        <f aca="false">SUM(P558,R558,T558,V558,X558,Z558,AB558,AD558,AF558,AH558,AJ558,AL558,AN558,AP558,AR558,AT558,AV558,AX558)</f>
        <v>765.24</v>
      </c>
      <c r="BE558" s="33" t="n">
        <f aca="false">AZ558-BD558</f>
        <v>0</v>
      </c>
      <c r="BF558" s="34" t="n">
        <f aca="false">BD558*M558</f>
        <v>13009.08</v>
      </c>
      <c r="BG558" s="35" t="n">
        <f aca="false">BA558-BF558</f>
        <v>-5687.08</v>
      </c>
      <c r="BH558" s="19" t="str">
        <f aca="false">IF(BG558=0,"",IF(BG558&lt;&gt;BA558,"erreur de calcul",IF(BD558&lt;&gt;0,"pas de prix",IF(M558&lt;&gt; 0,"pas de quantité","pas de prix, ni de quantité"))))</f>
        <v>erreur de calcul</v>
      </c>
      <c r="BI558" s="19"/>
    </row>
    <row r="559" customFormat="false" ht="16" hidden="false" customHeight="false" outlineLevel="0" collapsed="false">
      <c r="A559" s="0" t="n">
        <v>42</v>
      </c>
      <c r="B559" s="8" t="s">
        <v>24</v>
      </c>
      <c r="C559" s="9" t="s">
        <v>25</v>
      </c>
      <c r="D559" s="9" t="s">
        <v>26</v>
      </c>
      <c r="E559" s="10" t="n">
        <v>1789</v>
      </c>
      <c r="F559" s="9" t="s">
        <v>27</v>
      </c>
      <c r="G559" s="9" t="s">
        <v>27</v>
      </c>
      <c r="H559" s="11" t="n">
        <v>23</v>
      </c>
      <c r="I559" s="11" t="s">
        <v>285</v>
      </c>
      <c r="J559" s="14" t="n">
        <v>15</v>
      </c>
      <c r="K559" s="14"/>
      <c r="L559" s="16"/>
      <c r="M559" s="27" t="n">
        <f aca="false">J559+(K559/20)+(L559/240)</f>
        <v>15</v>
      </c>
      <c r="N559" s="17" t="s">
        <v>64</v>
      </c>
      <c r="O559" s="11"/>
      <c r="P559" s="28" t="n">
        <f aca="false">10520/100</f>
        <v>105.2</v>
      </c>
      <c r="Q559" s="28" t="n">
        <v>1578</v>
      </c>
      <c r="R559" s="28"/>
      <c r="S559" s="28" t="n">
        <f aca="false">R559*$M559</f>
        <v>0</v>
      </c>
      <c r="T559" s="28"/>
      <c r="U559" s="28" t="n">
        <f aca="false">T559*$M559</f>
        <v>0</v>
      </c>
      <c r="V559" s="28"/>
      <c r="W559" s="28" t="n">
        <f aca="false">V559*$M559</f>
        <v>0</v>
      </c>
      <c r="X559" s="28" t="n">
        <f aca="false">39052/100</f>
        <v>390.52</v>
      </c>
      <c r="Y559" s="28" t="n">
        <v>5858</v>
      </c>
      <c r="Z559" s="28"/>
      <c r="AA559" s="28" t="n">
        <f aca="false">Z559*$M559</f>
        <v>0</v>
      </c>
      <c r="AB559" s="28" t="n">
        <f aca="false">101189/100</f>
        <v>1011.89</v>
      </c>
      <c r="AC559" s="28" t="n">
        <v>15178</v>
      </c>
      <c r="AD559" s="28"/>
      <c r="AE559" s="28" t="n">
        <f aca="false">AD559*$M559</f>
        <v>0</v>
      </c>
      <c r="AF559" s="28" t="n">
        <f aca="false">48408/100</f>
        <v>484.08</v>
      </c>
      <c r="AG559" s="28" t="n">
        <v>7261</v>
      </c>
      <c r="AH559" s="28" t="n">
        <f aca="false">17847/100</f>
        <v>178.47</v>
      </c>
      <c r="AI559" s="28" t="n">
        <v>2677</v>
      </c>
      <c r="AJ559" s="28"/>
      <c r="AK559" s="28" t="n">
        <f aca="false">AJ559*$M559</f>
        <v>0</v>
      </c>
      <c r="AL559" s="28"/>
      <c r="AM559" s="28" t="n">
        <f aca="false">AL559*$M559</f>
        <v>0</v>
      </c>
      <c r="AN559" s="28"/>
      <c r="AO559" s="28" t="n">
        <f aca="false">AN559*$M559</f>
        <v>0</v>
      </c>
      <c r="AP559" s="28"/>
      <c r="AQ559" s="28" t="n">
        <f aca="false">AP559*$M559</f>
        <v>0</v>
      </c>
      <c r="AR559" s="28"/>
      <c r="AS559" s="28" t="n">
        <f aca="false">AR559*$M559</f>
        <v>0</v>
      </c>
      <c r="AT559" s="28"/>
      <c r="AU559" s="28" t="n">
        <f aca="false">AT559*$M559</f>
        <v>0</v>
      </c>
      <c r="AV559" s="28"/>
      <c r="AW559" s="28" t="n">
        <f aca="false">AV559*$M559</f>
        <v>0</v>
      </c>
      <c r="AX559" s="28"/>
      <c r="AY559" s="28" t="n">
        <f aca="false">AX559*$M559</f>
        <v>0</v>
      </c>
      <c r="AZ559" s="30" t="n">
        <f aca="false">217016/100</f>
        <v>2170.16</v>
      </c>
      <c r="BA559" s="11" t="n">
        <v>32552</v>
      </c>
      <c r="BB559" s="31" t="n">
        <f aca="false">SUM(Q559,S559,U559,W559,Y559,AA559,AC559,AE559,AG559,AI559,AK559,AM559,AO559,AQ559,AS559,AU559,AW559,AY559)</f>
        <v>32552</v>
      </c>
      <c r="BC559" s="28" t="n">
        <f aca="false">BA559-BB559</f>
        <v>0</v>
      </c>
      <c r="BD559" s="32" t="n">
        <f aca="false">SUM(P559,R559,T559,V559,X559,Z559,AB559,AD559,AF559,AH559,AJ559,AL559,AN559,AP559,AR559,AT559,AV559,AX559)</f>
        <v>2170.16</v>
      </c>
      <c r="BE559" s="33" t="n">
        <f aca="false">AZ559-BD559</f>
        <v>0</v>
      </c>
      <c r="BF559" s="34" t="n">
        <f aca="false">BD559*M559</f>
        <v>32552.4</v>
      </c>
      <c r="BG559" s="35" t="n">
        <f aca="false">BA559-BF559</f>
        <v>-0.399999999997817</v>
      </c>
      <c r="BH559" s="19" t="str">
        <f aca="false">IF(BG559=0,"",IF(BG559&lt;&gt;BA559,"erreur de calcul",IF(BD559&lt;&gt;0,"pas de prix",IF(M559&lt;&gt; 0,"pas de quantité","pas de prix, ni de quantité"))))</f>
        <v>erreur de calcul</v>
      </c>
      <c r="BI559" s="19"/>
    </row>
    <row r="560" customFormat="false" ht="16" hidden="false" customHeight="false" outlineLevel="0" collapsed="false">
      <c r="A560" s="0" t="n">
        <v>43</v>
      </c>
      <c r="B560" s="8" t="s">
        <v>24</v>
      </c>
      <c r="C560" s="9" t="s">
        <v>25</v>
      </c>
      <c r="D560" s="9" t="s">
        <v>26</v>
      </c>
      <c r="E560" s="10" t="n">
        <v>1789</v>
      </c>
      <c r="F560" s="9" t="s">
        <v>27</v>
      </c>
      <c r="G560" s="9" t="s">
        <v>27</v>
      </c>
      <c r="H560" s="11" t="n">
        <v>23</v>
      </c>
      <c r="I560" s="11" t="s">
        <v>286</v>
      </c>
      <c r="J560" s="14" t="n">
        <v>20</v>
      </c>
      <c r="K560" s="14"/>
      <c r="L560" s="16"/>
      <c r="M560" s="27" t="n">
        <f aca="false">J560+(K560/20)+(L560/240)</f>
        <v>20</v>
      </c>
      <c r="N560" s="17" t="s">
        <v>64</v>
      </c>
      <c r="O560" s="11"/>
      <c r="P560" s="28"/>
      <c r="Q560" s="28" t="n">
        <f aca="false">P560*$M560</f>
        <v>0</v>
      </c>
      <c r="R560" s="28"/>
      <c r="S560" s="28" t="n">
        <f aca="false">R560*$M560</f>
        <v>0</v>
      </c>
      <c r="T560" s="28"/>
      <c r="U560" s="28" t="n">
        <f aca="false">T560*$M560</f>
        <v>0</v>
      </c>
      <c r="V560" s="28"/>
      <c r="W560" s="28" t="n">
        <f aca="false">V560*$M560</f>
        <v>0</v>
      </c>
      <c r="X560" s="28"/>
      <c r="Y560" s="28" t="n">
        <f aca="false">X560*$M560</f>
        <v>0</v>
      </c>
      <c r="Z560" s="28"/>
      <c r="AA560" s="28" t="n">
        <f aca="false">Z560*$M560</f>
        <v>0</v>
      </c>
      <c r="AB560" s="28" t="n">
        <f aca="false">8852/100</f>
        <v>88.52</v>
      </c>
      <c r="AC560" s="28" t="n">
        <v>1770</v>
      </c>
      <c r="AD560" s="28"/>
      <c r="AE560" s="28" t="n">
        <f aca="false">AD560*$M560</f>
        <v>0</v>
      </c>
      <c r="AF560" s="28"/>
      <c r="AG560" s="28" t="n">
        <f aca="false">AF560*$M560</f>
        <v>0</v>
      </c>
      <c r="AH560" s="28"/>
      <c r="AI560" s="28" t="n">
        <f aca="false">AH560*$M560</f>
        <v>0</v>
      </c>
      <c r="AJ560" s="28"/>
      <c r="AK560" s="28" t="n">
        <f aca="false">AJ560*$M560</f>
        <v>0</v>
      </c>
      <c r="AL560" s="28"/>
      <c r="AM560" s="28" t="n">
        <f aca="false">AL560*$M560</f>
        <v>0</v>
      </c>
      <c r="AN560" s="28"/>
      <c r="AO560" s="28" t="n">
        <f aca="false">AN560*$M560</f>
        <v>0</v>
      </c>
      <c r="AP560" s="28"/>
      <c r="AQ560" s="28" t="n">
        <f aca="false">AP560*$M560</f>
        <v>0</v>
      </c>
      <c r="AR560" s="28"/>
      <c r="AS560" s="28" t="n">
        <f aca="false">AR560*$M560</f>
        <v>0</v>
      </c>
      <c r="AT560" s="28"/>
      <c r="AU560" s="28" t="n">
        <f aca="false">AT560*$M560</f>
        <v>0</v>
      </c>
      <c r="AV560" s="28"/>
      <c r="AW560" s="28" t="n">
        <f aca="false">AV560*$M560</f>
        <v>0</v>
      </c>
      <c r="AX560" s="28"/>
      <c r="AY560" s="28" t="n">
        <f aca="false">AX560*$M560</f>
        <v>0</v>
      </c>
      <c r="AZ560" s="30" t="n">
        <f aca="false">8852/100</f>
        <v>88.52</v>
      </c>
      <c r="BA560" s="11" t="n">
        <v>1770</v>
      </c>
      <c r="BB560" s="31" t="n">
        <f aca="false">SUM(Q560,S560,U560,W560,Y560,AA560,AC560,AE560,AG560,AI560,AK560,AM560,AO560,AQ560,AS560,AU560,AW560,AY560)</f>
        <v>1770</v>
      </c>
      <c r="BC560" s="28" t="n">
        <f aca="false">BA560-BB560</f>
        <v>0</v>
      </c>
      <c r="BD560" s="32" t="n">
        <f aca="false">SUM(P560,R560,T560,V560,X560,Z560,AB560,AD560,AF560,AH560,AJ560,AL560,AN560,AP560,AR560,AT560,AV560,AX560)</f>
        <v>88.52</v>
      </c>
      <c r="BE560" s="33" t="n">
        <f aca="false">AZ560-BD560</f>
        <v>0</v>
      </c>
      <c r="BF560" s="34" t="n">
        <f aca="false">BD560*M560</f>
        <v>1770.4</v>
      </c>
      <c r="BG560" s="35" t="n">
        <f aca="false">BA560-BF560</f>
        <v>-0.399999999999864</v>
      </c>
      <c r="BH560" s="19" t="str">
        <f aca="false">IF(BG560=0,"",IF(BG560&lt;&gt;BA560,"erreur de calcul",IF(BD560&lt;&gt;0,"pas de prix",IF(M560&lt;&gt; 0,"pas de quantité","pas de prix, ni de quantité"))))</f>
        <v>erreur de calcul</v>
      </c>
      <c r="BI560" s="19"/>
    </row>
    <row r="561" customFormat="false" ht="16" hidden="false" customHeight="false" outlineLevel="0" collapsed="false">
      <c r="A561" s="0" t="n">
        <v>44</v>
      </c>
      <c r="B561" s="8" t="s">
        <v>24</v>
      </c>
      <c r="C561" s="9" t="s">
        <v>25</v>
      </c>
      <c r="D561" s="9" t="s">
        <v>26</v>
      </c>
      <c r="E561" s="10" t="n">
        <v>1789</v>
      </c>
      <c r="F561" s="9" t="s">
        <v>27</v>
      </c>
      <c r="G561" s="9" t="s">
        <v>27</v>
      </c>
      <c r="H561" s="11" t="n">
        <v>23</v>
      </c>
      <c r="I561" s="11" t="s">
        <v>287</v>
      </c>
      <c r="J561" s="14" t="n">
        <v>25</v>
      </c>
      <c r="K561" s="14"/>
      <c r="L561" s="16"/>
      <c r="M561" s="27" t="n">
        <f aca="false">J561+(K561/20)+(L561/240)</f>
        <v>25</v>
      </c>
      <c r="N561" s="17" t="s">
        <v>64</v>
      </c>
      <c r="O561" s="11" t="s">
        <v>77</v>
      </c>
      <c r="P561" s="28" t="n">
        <f aca="false">13782/100</f>
        <v>137.82</v>
      </c>
      <c r="Q561" s="28" t="n">
        <v>3445</v>
      </c>
      <c r="R561" s="28"/>
      <c r="S561" s="28" t="n">
        <f aca="false">R561*$M561</f>
        <v>0</v>
      </c>
      <c r="T561" s="28"/>
      <c r="U561" s="28" t="n">
        <f aca="false">T561*$M561</f>
        <v>0</v>
      </c>
      <c r="V561" s="28" t="n">
        <f aca="false">4293/100</f>
        <v>42.93</v>
      </c>
      <c r="W561" s="28" t="n">
        <v>1073</v>
      </c>
      <c r="X561" s="28"/>
      <c r="Y561" s="28" t="n">
        <f aca="false">X561*$M561</f>
        <v>0</v>
      </c>
      <c r="Z561" s="28"/>
      <c r="AA561" s="28" t="n">
        <f aca="false">Z561*$M561</f>
        <v>0</v>
      </c>
      <c r="AB561" s="28"/>
      <c r="AC561" s="28" t="n">
        <f aca="false">AB561*$M561</f>
        <v>0</v>
      </c>
      <c r="AD561" s="28"/>
      <c r="AE561" s="28" t="n">
        <f aca="false">AD561*$M561</f>
        <v>0</v>
      </c>
      <c r="AF561" s="28"/>
      <c r="AG561" s="28" t="n">
        <f aca="false">AF561*$M561</f>
        <v>0</v>
      </c>
      <c r="AH561" s="28"/>
      <c r="AI561" s="28" t="n">
        <f aca="false">AH561*$M561</f>
        <v>0</v>
      </c>
      <c r="AJ561" s="28"/>
      <c r="AK561" s="28" t="n">
        <f aca="false">AJ561*$M561</f>
        <v>0</v>
      </c>
      <c r="AL561" s="28"/>
      <c r="AM561" s="28" t="n">
        <f aca="false">AL561*$M561</f>
        <v>0</v>
      </c>
      <c r="AN561" s="28"/>
      <c r="AO561" s="28" t="n">
        <f aca="false">AN561*$M561</f>
        <v>0</v>
      </c>
      <c r="AP561" s="28"/>
      <c r="AQ561" s="28" t="n">
        <f aca="false">AP561*$M561</f>
        <v>0</v>
      </c>
      <c r="AR561" s="28"/>
      <c r="AS561" s="28" t="n">
        <f aca="false">AR561*$M561</f>
        <v>0</v>
      </c>
      <c r="AT561" s="28"/>
      <c r="AU561" s="28" t="n">
        <f aca="false">AT561*$M561</f>
        <v>0</v>
      </c>
      <c r="AV561" s="28"/>
      <c r="AW561" s="28" t="n">
        <f aca="false">AV561*$M561</f>
        <v>0</v>
      </c>
      <c r="AX561" s="28"/>
      <c r="AY561" s="28" t="n">
        <f aca="false">AX561*$M561</f>
        <v>0</v>
      </c>
      <c r="AZ561" s="30" t="n">
        <f aca="false">18075/100</f>
        <v>180.75</v>
      </c>
      <c r="BA561" s="11" t="n">
        <v>4518</v>
      </c>
      <c r="BB561" s="31" t="n">
        <f aca="false">SUM(Q561,S561,U561,W561,Y561,AA561,AC561,AE561,AG561,AI561,AK561,AM561,AO561,AQ561,AS561,AU561,AW561,AY561)</f>
        <v>4518</v>
      </c>
      <c r="BC561" s="28" t="n">
        <f aca="false">BA561-BB561</f>
        <v>0</v>
      </c>
      <c r="BD561" s="32" t="n">
        <f aca="false">SUM(P561,R561,T561,V561,X561,Z561,AB561,AD561,AF561,AH561,AJ561,AL561,AN561,AP561,AR561,AT561,AV561,AX561)</f>
        <v>180.75</v>
      </c>
      <c r="BE561" s="33" t="n">
        <f aca="false">AZ561-BD561</f>
        <v>0</v>
      </c>
      <c r="BF561" s="34" t="n">
        <f aca="false">BD561*M561</f>
        <v>4518.75</v>
      </c>
      <c r="BG561" s="35" t="n">
        <f aca="false">BA561-BF561</f>
        <v>-0.75</v>
      </c>
      <c r="BH561" s="19" t="str">
        <f aca="false">IF(BG561=0,"",IF(BG561&lt;&gt;BA561,"erreur de calcul",IF(BD561&lt;&gt;0,"pas de prix",IF(M561&lt;&gt; 0,"pas de quantité","pas de prix, ni de quantité"))))</f>
        <v>erreur de calcul</v>
      </c>
      <c r="BI561" s="19"/>
    </row>
    <row r="562" customFormat="false" ht="16" hidden="false" customHeight="false" outlineLevel="0" collapsed="false">
      <c r="A562" s="0" t="n">
        <v>1</v>
      </c>
      <c r="B562" s="8" t="s">
        <v>24</v>
      </c>
      <c r="C562" s="9" t="s">
        <v>25</v>
      </c>
      <c r="D562" s="9" t="s">
        <v>26</v>
      </c>
      <c r="E562" s="10" t="n">
        <v>1789</v>
      </c>
      <c r="F562" s="9" t="s">
        <v>27</v>
      </c>
      <c r="G562" s="9" t="s">
        <v>27</v>
      </c>
      <c r="H562" s="11" t="n">
        <v>24</v>
      </c>
      <c r="I562" s="11" t="s">
        <v>288</v>
      </c>
      <c r="J562" s="14" t="n">
        <v>250</v>
      </c>
      <c r="K562" s="14"/>
      <c r="L562" s="16"/>
      <c r="M562" s="27" t="n">
        <f aca="false">J562+(K562/20)+(L562/240)</f>
        <v>250</v>
      </c>
      <c r="N562" s="17" t="s">
        <v>64</v>
      </c>
      <c r="O562" s="11"/>
      <c r="P562" s="28"/>
      <c r="Q562" s="28" t="n">
        <f aca="false">P562*$M562</f>
        <v>0</v>
      </c>
      <c r="R562" s="28"/>
      <c r="S562" s="28" t="n">
        <f aca="false">R562*$M562</f>
        <v>0</v>
      </c>
      <c r="T562" s="28"/>
      <c r="U562" s="28" t="n">
        <f aca="false">T562*$M562</f>
        <v>0</v>
      </c>
      <c r="V562" s="28"/>
      <c r="W562" s="28" t="n">
        <f aca="false">V562*$M562</f>
        <v>0</v>
      </c>
      <c r="X562" s="28"/>
      <c r="Y562" s="28" t="n">
        <f aca="false">X562*$M562</f>
        <v>0</v>
      </c>
      <c r="Z562" s="28"/>
      <c r="AA562" s="28" t="n">
        <f aca="false">Z562*$M562</f>
        <v>0</v>
      </c>
      <c r="AB562" s="28"/>
      <c r="AC562" s="28" t="n">
        <f aca="false">AB562*$M562</f>
        <v>0</v>
      </c>
      <c r="AD562" s="28"/>
      <c r="AE562" s="28" t="n">
        <f aca="false">AD562*$M562</f>
        <v>0</v>
      </c>
      <c r="AF562" s="28"/>
      <c r="AG562" s="28" t="n">
        <f aca="false">AF562*$M562</f>
        <v>0</v>
      </c>
      <c r="AH562" s="28" t="n">
        <f aca="false">5374/100</f>
        <v>53.74</v>
      </c>
      <c r="AI562" s="28" t="n">
        <v>13435</v>
      </c>
      <c r="AJ562" s="28"/>
      <c r="AK562" s="28" t="n">
        <f aca="false">AJ562*$M562</f>
        <v>0</v>
      </c>
      <c r="AL562" s="28"/>
      <c r="AM562" s="28" t="n">
        <f aca="false">AL562*$M562</f>
        <v>0</v>
      </c>
      <c r="AN562" s="28"/>
      <c r="AO562" s="28" t="n">
        <f aca="false">AN562*$M562</f>
        <v>0</v>
      </c>
      <c r="AP562" s="28"/>
      <c r="AQ562" s="28" t="n">
        <f aca="false">AP562*$M562</f>
        <v>0</v>
      </c>
      <c r="AR562" s="28"/>
      <c r="AS562" s="28" t="n">
        <f aca="false">AR562*$M562</f>
        <v>0</v>
      </c>
      <c r="AT562" s="28"/>
      <c r="AU562" s="28" t="n">
        <f aca="false">AT562*$M562</f>
        <v>0</v>
      </c>
      <c r="AV562" s="28"/>
      <c r="AW562" s="28" t="n">
        <f aca="false">AV562*$M562</f>
        <v>0</v>
      </c>
      <c r="AX562" s="28"/>
      <c r="AY562" s="28" t="n">
        <f aca="false">AX562*$M562</f>
        <v>0</v>
      </c>
      <c r="AZ562" s="30" t="n">
        <f aca="false">5374/100</f>
        <v>53.74</v>
      </c>
      <c r="BA562" s="11" t="n">
        <v>13435</v>
      </c>
      <c r="BB562" s="31" t="n">
        <f aca="false">SUM(Q562,S562,U562,W562,Y562,AA562,AC562,AE562,AG562,AI562,AK562,AM562,AO562,AQ562,AS562,AU562,AW562,AY562)</f>
        <v>13435</v>
      </c>
      <c r="BC562" s="28" t="n">
        <f aca="false">BA562-BB562</f>
        <v>0</v>
      </c>
      <c r="BD562" s="32" t="n">
        <f aca="false">SUM(P562,R562,T562,V562,X562,Z562,AB562,AD562,AF562,AH562,AJ562,AL562,AN562,AP562,AR562,AT562,AV562,AX562)</f>
        <v>53.74</v>
      </c>
      <c r="BE562" s="33" t="n">
        <f aca="false">AZ562-BD562</f>
        <v>0</v>
      </c>
      <c r="BF562" s="34" t="n">
        <f aca="false">BD562*M562</f>
        <v>13435</v>
      </c>
      <c r="BG562" s="35" t="n">
        <f aca="false">BA562-BF562</f>
        <v>0</v>
      </c>
      <c r="BH562" s="19" t="str">
        <f aca="false">IF(BG562=0,"",IF(BG562&lt;&gt;BA562,"erreur de calcul",IF(BD562&lt;&gt;0,"pas de prix",IF(M562&lt;&gt; 0,"pas de quantité","pas de prix, ni de quantité"))))</f>
        <v/>
      </c>
      <c r="BI562" s="19"/>
    </row>
    <row r="563" customFormat="false" ht="16" hidden="false" customHeight="false" outlineLevel="0" collapsed="false">
      <c r="A563" s="0" t="n">
        <v>2</v>
      </c>
      <c r="B563" s="8" t="s">
        <v>24</v>
      </c>
      <c r="C563" s="9" t="s">
        <v>25</v>
      </c>
      <c r="D563" s="9" t="s">
        <v>26</v>
      </c>
      <c r="E563" s="10" t="n">
        <v>1789</v>
      </c>
      <c r="F563" s="9" t="s">
        <v>27</v>
      </c>
      <c r="G563" s="9" t="s">
        <v>27</v>
      </c>
      <c r="H563" s="11" t="n">
        <v>24</v>
      </c>
      <c r="I563" s="11" t="s">
        <v>289</v>
      </c>
      <c r="J563" s="14" t="n">
        <v>3</v>
      </c>
      <c r="K563" s="14"/>
      <c r="L563" s="16"/>
      <c r="M563" s="27" t="n">
        <f aca="false">J563+(K563/20)+(L563/240)</f>
        <v>3</v>
      </c>
      <c r="N563" s="17" t="s">
        <v>66</v>
      </c>
      <c r="O563" s="11"/>
      <c r="P563" s="28"/>
      <c r="Q563" s="28" t="n">
        <f aca="false">P563*$M563</f>
        <v>0</v>
      </c>
      <c r="R563" s="28"/>
      <c r="S563" s="28" t="n">
        <f aca="false">R563*$M563</f>
        <v>0</v>
      </c>
      <c r="T563" s="28"/>
      <c r="U563" s="28" t="n">
        <f aca="false">T563*$M563</f>
        <v>0</v>
      </c>
      <c r="V563" s="28"/>
      <c r="W563" s="28" t="n">
        <f aca="false">V563*$M563</f>
        <v>0</v>
      </c>
      <c r="X563" s="28"/>
      <c r="Y563" s="28" t="n">
        <f aca="false">X563*$M563</f>
        <v>0</v>
      </c>
      <c r="Z563" s="28"/>
      <c r="AA563" s="28" t="n">
        <f aca="false">Z563*$M563</f>
        <v>0</v>
      </c>
      <c r="AB563" s="28"/>
      <c r="AC563" s="28" t="n">
        <f aca="false">AB563*$M563</f>
        <v>0</v>
      </c>
      <c r="AD563" s="28"/>
      <c r="AE563" s="28" t="n">
        <f aca="false">AD563*$M563</f>
        <v>0</v>
      </c>
      <c r="AF563" s="28"/>
      <c r="AG563" s="28" t="n">
        <f aca="false">AF563*$M563</f>
        <v>0</v>
      </c>
      <c r="AH563" s="28" t="n">
        <v>261</v>
      </c>
      <c r="AI563" s="28" t="n">
        <v>783</v>
      </c>
      <c r="AJ563" s="28"/>
      <c r="AK563" s="28" t="n">
        <f aca="false">AJ563*$M563</f>
        <v>0</v>
      </c>
      <c r="AL563" s="28"/>
      <c r="AM563" s="28" t="n">
        <f aca="false">AL563*$M563</f>
        <v>0</v>
      </c>
      <c r="AN563" s="28"/>
      <c r="AO563" s="28" t="n">
        <f aca="false">AN563*$M563</f>
        <v>0</v>
      </c>
      <c r="AP563" s="28"/>
      <c r="AQ563" s="28" t="n">
        <f aca="false">AP563*$M563</f>
        <v>0</v>
      </c>
      <c r="AR563" s="28"/>
      <c r="AS563" s="28" t="n">
        <f aca="false">AR563*$M563</f>
        <v>0</v>
      </c>
      <c r="AT563" s="28"/>
      <c r="AU563" s="28" t="n">
        <f aca="false">AT563*$M563</f>
        <v>0</v>
      </c>
      <c r="AV563" s="28"/>
      <c r="AW563" s="28" t="n">
        <f aca="false">AV563*$M563</f>
        <v>0</v>
      </c>
      <c r="AX563" s="28"/>
      <c r="AY563" s="28" t="n">
        <f aca="false">AX563*$M563</f>
        <v>0</v>
      </c>
      <c r="AZ563" s="30" t="n">
        <v>261</v>
      </c>
      <c r="BA563" s="11" t="n">
        <v>783</v>
      </c>
      <c r="BB563" s="31" t="n">
        <f aca="false">SUM(Q563,S563,U563,W563,Y563,AA563,AC563,AE563,AG563,AI563,AK563,AM563,AO563,AQ563,AS563,AU563,AW563,AY563)</f>
        <v>783</v>
      </c>
      <c r="BC563" s="28" t="n">
        <f aca="false">BA563-BB563</f>
        <v>0</v>
      </c>
      <c r="BD563" s="32" t="n">
        <f aca="false">SUM(P563,R563,T563,V563,X563,Z563,AB563,AD563,AF563,AH563,AJ563,AL563,AN563,AP563,AR563,AT563,AV563,AX563)</f>
        <v>261</v>
      </c>
      <c r="BE563" s="33" t="n">
        <f aca="false">AZ563-BD563</f>
        <v>0</v>
      </c>
      <c r="BF563" s="34" t="n">
        <f aca="false">BD563*M563</f>
        <v>783</v>
      </c>
      <c r="BG563" s="35" t="n">
        <f aca="false">BA563-BF563</f>
        <v>0</v>
      </c>
      <c r="BH563" s="19" t="str">
        <f aca="false">IF(BG563=0,"",IF(BG563&lt;&gt;BA563,"erreur de calcul",IF(BD563&lt;&gt;0,"pas de prix",IF(M563&lt;&gt; 0,"pas de quantité","pas de prix, ni de quantité"))))</f>
        <v/>
      </c>
      <c r="BI563" s="19"/>
    </row>
    <row r="564" customFormat="false" ht="16" hidden="false" customHeight="false" outlineLevel="0" collapsed="false">
      <c r="A564" s="0" t="n">
        <v>3</v>
      </c>
      <c r="B564" s="8" t="s">
        <v>24</v>
      </c>
      <c r="C564" s="9" t="s">
        <v>25</v>
      </c>
      <c r="D564" s="9" t="s">
        <v>26</v>
      </c>
      <c r="E564" s="10" t="n">
        <v>1789</v>
      </c>
      <c r="F564" s="9" t="s">
        <v>27</v>
      </c>
      <c r="G564" s="9" t="s">
        <v>27</v>
      </c>
      <c r="H564" s="11" t="n">
        <v>24</v>
      </c>
      <c r="I564" s="11" t="s">
        <v>290</v>
      </c>
      <c r="J564" s="14" t="n">
        <v>5</v>
      </c>
      <c r="K564" s="14"/>
      <c r="L564" s="16"/>
      <c r="M564" s="27" t="n">
        <f aca="false">J564+(K564/20)+(L564/240)</f>
        <v>5</v>
      </c>
      <c r="N564" s="17" t="s">
        <v>66</v>
      </c>
      <c r="O564" s="11"/>
      <c r="P564" s="28"/>
      <c r="Q564" s="28" t="n">
        <f aca="false">P564*$M564</f>
        <v>0</v>
      </c>
      <c r="R564" s="28"/>
      <c r="S564" s="28" t="n">
        <f aca="false">R564*$M564</f>
        <v>0</v>
      </c>
      <c r="T564" s="28"/>
      <c r="U564" s="28" t="n">
        <v>4765</v>
      </c>
      <c r="V564" s="28"/>
      <c r="W564" s="28" t="n">
        <f aca="false">V564*$M564</f>
        <v>0</v>
      </c>
      <c r="X564" s="28"/>
      <c r="Y564" s="28" t="n">
        <f aca="false">X564*$M564</f>
        <v>0</v>
      </c>
      <c r="Z564" s="28"/>
      <c r="AA564" s="28" t="n">
        <f aca="false">Z564*$M564</f>
        <v>0</v>
      </c>
      <c r="AB564" s="28"/>
      <c r="AC564" s="28" t="n">
        <f aca="false">AB564*$M564</f>
        <v>0</v>
      </c>
      <c r="AD564" s="28"/>
      <c r="AE564" s="28" t="n">
        <f aca="false">AD564*$M564</f>
        <v>0</v>
      </c>
      <c r="AF564" s="28"/>
      <c r="AG564" s="28" t="n">
        <f aca="false">AF564*$M564</f>
        <v>0</v>
      </c>
      <c r="AH564" s="28"/>
      <c r="AI564" s="28" t="n">
        <f aca="false">AH564*$M564</f>
        <v>0</v>
      </c>
      <c r="AJ564" s="28"/>
      <c r="AK564" s="28" t="n">
        <f aca="false">AJ564*$M564</f>
        <v>0</v>
      </c>
      <c r="AL564" s="28"/>
      <c r="AM564" s="28" t="n">
        <f aca="false">AL564*$M564</f>
        <v>0</v>
      </c>
      <c r="AN564" s="28"/>
      <c r="AO564" s="28" t="n">
        <f aca="false">AN564*$M564</f>
        <v>0</v>
      </c>
      <c r="AP564" s="28"/>
      <c r="AQ564" s="28" t="n">
        <f aca="false">AP564*$M564</f>
        <v>0</v>
      </c>
      <c r="AR564" s="28"/>
      <c r="AS564" s="28" t="n">
        <f aca="false">AR564*$M564</f>
        <v>0</v>
      </c>
      <c r="AT564" s="28"/>
      <c r="AU564" s="28" t="n">
        <f aca="false">AT564*$M564</f>
        <v>0</v>
      </c>
      <c r="AV564" s="28"/>
      <c r="AW564" s="28" t="n">
        <f aca="false">AV564*$M564</f>
        <v>0</v>
      </c>
      <c r="AX564" s="28"/>
      <c r="AY564" s="28" t="n">
        <f aca="false">AX564*$M564</f>
        <v>0</v>
      </c>
      <c r="AZ564" s="30"/>
      <c r="BA564" s="11" t="n">
        <v>4765</v>
      </c>
      <c r="BB564" s="31" t="n">
        <f aca="false">SUM(Q564,S564,U564,W564,Y564,AA564,AC564,AE564,AG564,AI564,AK564,AM564,AO564,AQ564,AS564,AU564,AW564,AY564)</f>
        <v>4765</v>
      </c>
      <c r="BC564" s="28" t="n">
        <f aca="false">BA564-BB564</f>
        <v>0</v>
      </c>
      <c r="BD564" s="32" t="n">
        <f aca="false">SUM(P564,R564,T564,V564,X564,Z564,AB564,AD564,AF564,AH564,AJ564,AL564,AN564,AP564,AR564,AT564,AV564,AX564)</f>
        <v>0</v>
      </c>
      <c r="BE564" s="33" t="n">
        <f aca="false">AZ564-BD564</f>
        <v>0</v>
      </c>
      <c r="BF564" s="34" t="n">
        <f aca="false">BD564*M564</f>
        <v>0</v>
      </c>
      <c r="BG564" s="35" t="n">
        <f aca="false">BA564-BF564</f>
        <v>4765</v>
      </c>
      <c r="BH564" s="19" t="str">
        <f aca="false">IF(BG564=0,"",IF(BG564&lt;&gt;BA564,"erreur de calcul",IF(BD564&lt;&gt;0,"pas de prix",IF(M564&lt;&gt; 0,"pas de quantité","pas de prix, ni de quantité"))))</f>
        <v>pas de quantité</v>
      </c>
      <c r="BI564" s="19"/>
    </row>
    <row r="565" customFormat="false" ht="16" hidden="false" customHeight="false" outlineLevel="0" collapsed="false">
      <c r="A565" s="0" t="n">
        <v>4</v>
      </c>
      <c r="B565" s="8" t="s">
        <v>24</v>
      </c>
      <c r="C565" s="9" t="s">
        <v>25</v>
      </c>
      <c r="D565" s="9" t="s">
        <v>26</v>
      </c>
      <c r="E565" s="10" t="n">
        <v>1789</v>
      </c>
      <c r="F565" s="9" t="s">
        <v>27</v>
      </c>
      <c r="G565" s="9" t="s">
        <v>27</v>
      </c>
      <c r="H565" s="11" t="n">
        <v>24</v>
      </c>
      <c r="I565" s="11" t="s">
        <v>291</v>
      </c>
      <c r="J565" s="14" t="n">
        <v>36</v>
      </c>
      <c r="K565" s="14"/>
      <c r="L565" s="16"/>
      <c r="M565" s="27" t="n">
        <f aca="false">J565+(K565/20)+(L565/240)</f>
        <v>36</v>
      </c>
      <c r="N565" s="17" t="s">
        <v>66</v>
      </c>
      <c r="O565" s="11"/>
      <c r="P565" s="28"/>
      <c r="Q565" s="28" t="n">
        <f aca="false">P565*$M565</f>
        <v>0</v>
      </c>
      <c r="R565" s="28"/>
      <c r="S565" s="28" t="n">
        <f aca="false">R565*$M565</f>
        <v>0</v>
      </c>
      <c r="T565" s="28"/>
      <c r="U565" s="28" t="n">
        <f aca="false">T565*$M565</f>
        <v>0</v>
      </c>
      <c r="V565" s="28"/>
      <c r="W565" s="28" t="n">
        <f aca="false">V565*$M565</f>
        <v>0</v>
      </c>
      <c r="X565" s="28"/>
      <c r="Y565" s="28" t="n">
        <f aca="false">X565*$M565</f>
        <v>0</v>
      </c>
      <c r="Z565" s="28"/>
      <c r="AA565" s="28" t="n">
        <f aca="false">Z565*$M565</f>
        <v>0</v>
      </c>
      <c r="AB565" s="28"/>
      <c r="AC565" s="28" t="n">
        <f aca="false">AB565*$M565</f>
        <v>0</v>
      </c>
      <c r="AD565" s="28"/>
      <c r="AE565" s="28" t="n">
        <f aca="false">AD565*$M565</f>
        <v>0</v>
      </c>
      <c r="AF565" s="28"/>
      <c r="AG565" s="28" t="n">
        <f aca="false">AF565*$M565</f>
        <v>0</v>
      </c>
      <c r="AH565" s="28"/>
      <c r="AI565" s="28" t="n">
        <f aca="false">AH565*$M565</f>
        <v>0</v>
      </c>
      <c r="AJ565" s="28" t="n">
        <v>387</v>
      </c>
      <c r="AK565" s="28" t="n">
        <v>13932</v>
      </c>
      <c r="AL565" s="28"/>
      <c r="AM565" s="28" t="n">
        <f aca="false">AL565*$M565</f>
        <v>0</v>
      </c>
      <c r="AN565" s="28"/>
      <c r="AO565" s="28" t="n">
        <f aca="false">AN565*$M565</f>
        <v>0</v>
      </c>
      <c r="AP565" s="28"/>
      <c r="AQ565" s="28" t="n">
        <f aca="false">AP565*$M565</f>
        <v>0</v>
      </c>
      <c r="AR565" s="28"/>
      <c r="AS565" s="28" t="n">
        <f aca="false">AR565*$M565</f>
        <v>0</v>
      </c>
      <c r="AT565" s="28"/>
      <c r="AU565" s="28" t="n">
        <f aca="false">AT565*$M565</f>
        <v>0</v>
      </c>
      <c r="AV565" s="28"/>
      <c r="AW565" s="28" t="n">
        <f aca="false">AV565*$M565</f>
        <v>0</v>
      </c>
      <c r="AX565" s="28"/>
      <c r="AY565" s="28" t="n">
        <f aca="false">AX565*$M565</f>
        <v>0</v>
      </c>
      <c r="AZ565" s="30" t="n">
        <v>387</v>
      </c>
      <c r="BA565" s="11" t="n">
        <v>13932</v>
      </c>
      <c r="BB565" s="31" t="n">
        <f aca="false">SUM(Q565,S565,U565,W565,Y565,AA565,AC565,AE565,AG565,AI565,AK565,AM565,AO565,AQ565,AS565,AU565,AW565,AY565)</f>
        <v>13932</v>
      </c>
      <c r="BC565" s="28" t="n">
        <f aca="false">BA565-BB565</f>
        <v>0</v>
      </c>
      <c r="BD565" s="32" t="n">
        <f aca="false">SUM(P565,R565,T565,V565,X565,Z565,AB565,AD565,AF565,AH565,AJ565,AL565,AN565,AP565,AR565,AT565,AV565,AX565)</f>
        <v>387</v>
      </c>
      <c r="BE565" s="33" t="n">
        <f aca="false">AZ565-BD565</f>
        <v>0</v>
      </c>
      <c r="BF565" s="34" t="n">
        <f aca="false">BD565*M565</f>
        <v>13932</v>
      </c>
      <c r="BG565" s="35" t="n">
        <f aca="false">BA565-BF565</f>
        <v>0</v>
      </c>
      <c r="BH565" s="19" t="str">
        <f aca="false">IF(BG565=0,"",IF(BG565&lt;&gt;BA565,"erreur de calcul",IF(BD565&lt;&gt;0,"pas de prix",IF(M565&lt;&gt; 0,"pas de quantité","pas de prix, ni de quantité"))))</f>
        <v/>
      </c>
      <c r="BI565" s="19"/>
    </row>
    <row r="566" customFormat="false" ht="16" hidden="false" customHeight="false" outlineLevel="0" collapsed="false">
      <c r="A566" s="0" t="n">
        <v>5</v>
      </c>
      <c r="B566" s="8" t="s">
        <v>24</v>
      </c>
      <c r="C566" s="9" t="s">
        <v>25</v>
      </c>
      <c r="D566" s="9" t="s">
        <v>26</v>
      </c>
      <c r="E566" s="10" t="n">
        <v>1789</v>
      </c>
      <c r="F566" s="9" t="s">
        <v>27</v>
      </c>
      <c r="G566" s="9" t="s">
        <v>27</v>
      </c>
      <c r="H566" s="11" t="n">
        <v>24</v>
      </c>
      <c r="I566" s="11" t="s">
        <v>292</v>
      </c>
      <c r="J566" s="14" t="n">
        <v>40</v>
      </c>
      <c r="K566" s="14"/>
      <c r="L566" s="16"/>
      <c r="M566" s="27" t="n">
        <f aca="false">J566+(K566/20)+(L566/240)</f>
        <v>40</v>
      </c>
      <c r="N566" s="17" t="s">
        <v>64</v>
      </c>
      <c r="O566" s="11" t="s">
        <v>277</v>
      </c>
      <c r="P566" s="28"/>
      <c r="Q566" s="28" t="n">
        <f aca="false">P566*$M566</f>
        <v>0</v>
      </c>
      <c r="R566" s="28"/>
      <c r="S566" s="28" t="n">
        <f aca="false">R566*$M566</f>
        <v>0</v>
      </c>
      <c r="T566" s="28" t="n">
        <f aca="false">5917/100</f>
        <v>59.17</v>
      </c>
      <c r="U566" s="28" t="n">
        <v>2367</v>
      </c>
      <c r="V566" s="28" t="n">
        <f aca="false">12510/100</f>
        <v>125.1</v>
      </c>
      <c r="W566" s="28" t="n">
        <f aca="false">V566*$M566</f>
        <v>5004</v>
      </c>
      <c r="X566" s="28"/>
      <c r="Y566" s="28" t="n">
        <f aca="false">X566*$M566</f>
        <v>0</v>
      </c>
      <c r="Z566" s="28"/>
      <c r="AA566" s="28" t="n">
        <f aca="false">Z566*$M566</f>
        <v>0</v>
      </c>
      <c r="AB566" s="28" t="n">
        <f aca="false">50338/100</f>
        <v>503.38</v>
      </c>
      <c r="AC566" s="28" t="n">
        <v>20135</v>
      </c>
      <c r="AD566" s="28"/>
      <c r="AE566" s="28" t="n">
        <f aca="false">AD566*$M566</f>
        <v>0</v>
      </c>
      <c r="AF566" s="28"/>
      <c r="AG566" s="28" t="n">
        <f aca="false">AF566*$M566</f>
        <v>0</v>
      </c>
      <c r="AH566" s="28" t="n">
        <f aca="false">440/100</f>
        <v>4.4</v>
      </c>
      <c r="AI566" s="28" t="n">
        <v>176</v>
      </c>
      <c r="AJ566" s="28" t="n">
        <f aca="false">18094/100</f>
        <v>180.94</v>
      </c>
      <c r="AK566" s="28" t="n">
        <v>7238</v>
      </c>
      <c r="AL566" s="28"/>
      <c r="AM566" s="28" t="n">
        <f aca="false">AL566*$M566</f>
        <v>0</v>
      </c>
      <c r="AN566" s="28"/>
      <c r="AO566" s="28" t="n">
        <f aca="false">AN566*$M566</f>
        <v>0</v>
      </c>
      <c r="AP566" s="28"/>
      <c r="AQ566" s="28" t="n">
        <f aca="false">AP566*$M566</f>
        <v>0</v>
      </c>
      <c r="AR566" s="28"/>
      <c r="AS566" s="28" t="n">
        <f aca="false">AR566*$M566</f>
        <v>0</v>
      </c>
      <c r="AT566" s="28"/>
      <c r="AU566" s="28" t="n">
        <f aca="false">AT566*$M566</f>
        <v>0</v>
      </c>
      <c r="AV566" s="28"/>
      <c r="AW566" s="28" t="n">
        <f aca="false">AV566*$M566</f>
        <v>0</v>
      </c>
      <c r="AX566" s="28"/>
      <c r="AY566" s="28" t="n">
        <f aca="false">AX566*$M566</f>
        <v>0</v>
      </c>
      <c r="AZ566" s="30" t="n">
        <f aca="false">87279/100</f>
        <v>872.79</v>
      </c>
      <c r="BA566" s="11" t="n">
        <v>34920</v>
      </c>
      <c r="BB566" s="31" t="n">
        <f aca="false">SUM(Q566,S566,U566,W566,Y566,AA566,AC566,AE566,AG566,AI566,AK566,AM566,AO566,AQ566,AS566,AU566,AW566,AY566)</f>
        <v>34920</v>
      </c>
      <c r="BC566" s="28" t="n">
        <f aca="false">BA566-BB566</f>
        <v>0</v>
      </c>
      <c r="BD566" s="32" t="n">
        <f aca="false">SUM(P566,R566,T566,V566,X566,Z566,AB566,AD566,AF566,AH566,AJ566,AL566,AN566,AP566,AR566,AT566,AV566,AX566)</f>
        <v>872.99</v>
      </c>
      <c r="BE566" s="33" t="n">
        <f aca="false">AZ566-BD566</f>
        <v>-0.200000000000045</v>
      </c>
      <c r="BF566" s="34" t="n">
        <f aca="false">BD566*M566</f>
        <v>34919.6</v>
      </c>
      <c r="BG566" s="35" t="n">
        <f aca="false">BA566-BF566</f>
        <v>0.400000000001455</v>
      </c>
      <c r="BH566" s="19" t="str">
        <f aca="false">IF(BG566=0,"",IF(BG566&lt;&gt;BA566,"erreur de calcul",IF(BD566&lt;&gt;0,"pas de prix",IF(M566&lt;&gt; 0,"pas de quantité","pas de prix, ni de quantité"))))</f>
        <v>erreur de calcul</v>
      </c>
      <c r="BI566" s="19"/>
    </row>
    <row r="567" customFormat="false" ht="16" hidden="false" customHeight="false" outlineLevel="0" collapsed="false">
      <c r="A567" s="0" t="n">
        <v>6</v>
      </c>
      <c r="B567" s="8" t="s">
        <v>24</v>
      </c>
      <c r="C567" s="9" t="s">
        <v>25</v>
      </c>
      <c r="D567" s="9" t="s">
        <v>26</v>
      </c>
      <c r="E567" s="10" t="n">
        <v>1789</v>
      </c>
      <c r="F567" s="9" t="s">
        <v>27</v>
      </c>
      <c r="G567" s="9" t="s">
        <v>27</v>
      </c>
      <c r="H567" s="11" t="n">
        <v>24</v>
      </c>
      <c r="I567" s="11" t="s">
        <v>293</v>
      </c>
      <c r="J567" s="14" t="n">
        <v>72</v>
      </c>
      <c r="K567" s="14"/>
      <c r="L567" s="16"/>
      <c r="M567" s="27" t="n">
        <f aca="false">J567+(K567/20)+(L567/240)</f>
        <v>72</v>
      </c>
      <c r="N567" s="17" t="s">
        <v>294</v>
      </c>
      <c r="O567" s="11"/>
      <c r="P567" s="28" t="n">
        <v>16096</v>
      </c>
      <c r="Q567" s="28" t="n">
        <v>1158912</v>
      </c>
      <c r="R567" s="28"/>
      <c r="S567" s="28" t="n">
        <f aca="false">R567*$M567</f>
        <v>0</v>
      </c>
      <c r="T567" s="28" t="n">
        <v>6580</v>
      </c>
      <c r="U567" s="28" t="n">
        <v>473760</v>
      </c>
      <c r="V567" s="28" t="n">
        <v>21336</v>
      </c>
      <c r="W567" s="28" t="n">
        <v>1536192</v>
      </c>
      <c r="X567" s="28" t="n">
        <v>905</v>
      </c>
      <c r="Y567" s="28" t="n">
        <v>65160</v>
      </c>
      <c r="Z567" s="28" t="n">
        <v>250</v>
      </c>
      <c r="AA567" s="28" t="n">
        <v>18000</v>
      </c>
      <c r="AB567" s="28" t="n">
        <v>155034</v>
      </c>
      <c r="AC567" s="28" t="n">
        <v>11162448</v>
      </c>
      <c r="AD567" s="28"/>
      <c r="AE567" s="28" t="n">
        <f aca="false">AD567*$M567</f>
        <v>0</v>
      </c>
      <c r="AF567" s="28" t="n">
        <v>18739</v>
      </c>
      <c r="AG567" s="28" t="n">
        <v>1349208</v>
      </c>
      <c r="AH567" s="28" t="n">
        <v>44032</v>
      </c>
      <c r="AI567" s="28" t="n">
        <v>3170304</v>
      </c>
      <c r="AJ567" s="28"/>
      <c r="AK567" s="28" t="n">
        <f aca="false">AJ567*$M567</f>
        <v>0</v>
      </c>
      <c r="AL567" s="28"/>
      <c r="AM567" s="28" t="n">
        <f aca="false">AL567*$M567</f>
        <v>0</v>
      </c>
      <c r="AN567" s="28"/>
      <c r="AO567" s="28" t="n">
        <f aca="false">AN567*$M567</f>
        <v>0</v>
      </c>
      <c r="AP567" s="28"/>
      <c r="AQ567" s="28" t="n">
        <f aca="false">AP567*$M567</f>
        <v>0</v>
      </c>
      <c r="AR567" s="28"/>
      <c r="AS567" s="28" t="n">
        <f aca="false">AR567*$M567</f>
        <v>0</v>
      </c>
      <c r="AT567" s="28"/>
      <c r="AU567" s="28" t="n">
        <f aca="false">AT567*$M567</f>
        <v>0</v>
      </c>
      <c r="AV567" s="28"/>
      <c r="AW567" s="28" t="n">
        <f aca="false">AV567*$M567</f>
        <v>0</v>
      </c>
      <c r="AX567" s="28"/>
      <c r="AY567" s="28" t="n">
        <f aca="false">AX567*$M567</f>
        <v>0</v>
      </c>
      <c r="AZ567" s="30" t="n">
        <v>262972</v>
      </c>
      <c r="BA567" s="11" t="n">
        <v>18933984</v>
      </c>
      <c r="BB567" s="31" t="n">
        <f aca="false">SUM(Q567,S567,U567,W567,Y567,AA567,AC567,AE567,AG567,AI567,AK567,AM567,AO567,AQ567,AS567,AU567,AW567,AY567)</f>
        <v>18933984</v>
      </c>
      <c r="BC567" s="28" t="n">
        <f aca="false">BA567-BB567</f>
        <v>0</v>
      </c>
      <c r="BD567" s="32" t="n">
        <f aca="false">SUM(P567,R567,T567,V567,X567,Z567,AB567,AD567,AF567,AH567,AJ567,AL567,AN567,AP567,AR567,AT567,AV567,AX567)</f>
        <v>262972</v>
      </c>
      <c r="BE567" s="33" t="n">
        <f aca="false">AZ567-BD567</f>
        <v>0</v>
      </c>
      <c r="BF567" s="34" t="n">
        <f aca="false">BD567*M567</f>
        <v>18933984</v>
      </c>
      <c r="BG567" s="35" t="n">
        <f aca="false">BA567-BF567</f>
        <v>0</v>
      </c>
      <c r="BH567" s="19" t="str">
        <f aca="false">IF(BG567=0,"",IF(BG567&lt;&gt;BA567,"erreur de calcul",IF(BD567&lt;&gt;0,"pas de prix",IF(M567&lt;&gt; 0,"pas de quantité","pas de prix, ni de quantité"))))</f>
        <v/>
      </c>
      <c r="BI567" s="19" t="s">
        <v>295</v>
      </c>
    </row>
    <row r="568" customFormat="false" ht="16" hidden="false" customHeight="false" outlineLevel="0" collapsed="false">
      <c r="A568" s="0" t="n">
        <v>7</v>
      </c>
      <c r="B568" s="8" t="s">
        <v>24</v>
      </c>
      <c r="C568" s="9" t="s">
        <v>25</v>
      </c>
      <c r="D568" s="9" t="s">
        <v>26</v>
      </c>
      <c r="E568" s="10" t="n">
        <v>1789</v>
      </c>
      <c r="F568" s="9" t="s">
        <v>27</v>
      </c>
      <c r="G568" s="9" t="s">
        <v>27</v>
      </c>
      <c r="H568" s="11" t="n">
        <v>24</v>
      </c>
      <c r="I568" s="11" t="s">
        <v>296</v>
      </c>
      <c r="J568" s="14" t="n">
        <v>35</v>
      </c>
      <c r="K568" s="14"/>
      <c r="L568" s="16"/>
      <c r="M568" s="27" t="n">
        <f aca="false">J568+(K568/20)+(L568/240)</f>
        <v>35</v>
      </c>
      <c r="N568" s="17" t="s">
        <v>64</v>
      </c>
      <c r="O568" s="11" t="s">
        <v>98</v>
      </c>
      <c r="P568" s="28"/>
      <c r="Q568" s="28" t="n">
        <f aca="false">P568*$M568</f>
        <v>0</v>
      </c>
      <c r="R568" s="28"/>
      <c r="S568" s="28" t="n">
        <f aca="false">R568*$M568</f>
        <v>0</v>
      </c>
      <c r="T568" s="28"/>
      <c r="U568" s="28" t="n">
        <f aca="false">T568*$M568</f>
        <v>0</v>
      </c>
      <c r="V568" s="28"/>
      <c r="W568" s="28" t="n">
        <f aca="false">V568*$M568</f>
        <v>0</v>
      </c>
      <c r="X568" s="28"/>
      <c r="Y568" s="28" t="n">
        <f aca="false">X568*$M568</f>
        <v>0</v>
      </c>
      <c r="Z568" s="28"/>
      <c r="AA568" s="28" t="n">
        <f aca="false">Z568*$M568</f>
        <v>0</v>
      </c>
      <c r="AB568" s="28"/>
      <c r="AC568" s="28" t="n">
        <f aca="false">AB568*$M568</f>
        <v>0</v>
      </c>
      <c r="AD568" s="28"/>
      <c r="AE568" s="28" t="n">
        <f aca="false">AD568*$M568</f>
        <v>0</v>
      </c>
      <c r="AF568" s="28"/>
      <c r="AG568" s="28" t="n">
        <f aca="false">AF568*$M568</f>
        <v>0</v>
      </c>
      <c r="AH568" s="28"/>
      <c r="AI568" s="28" t="n">
        <f aca="false">AH568*$M568</f>
        <v>0</v>
      </c>
      <c r="AJ568" s="28"/>
      <c r="AK568" s="28" t="n">
        <f aca="false">AJ568*$M568</f>
        <v>0</v>
      </c>
      <c r="AL568" s="28"/>
      <c r="AM568" s="28" t="n">
        <f aca="false">AL568*$M568</f>
        <v>0</v>
      </c>
      <c r="AN568" s="28"/>
      <c r="AO568" s="28" t="n">
        <f aca="false">AN568*$M568</f>
        <v>0</v>
      </c>
      <c r="AP568" s="28"/>
      <c r="AQ568" s="28" t="n">
        <f aca="false">AP568*$M568</f>
        <v>0</v>
      </c>
      <c r="AR568" s="28"/>
      <c r="AS568" s="28" t="n">
        <f aca="false">AR568*$M568</f>
        <v>0</v>
      </c>
      <c r="AT568" s="28"/>
      <c r="AU568" s="28" t="n">
        <f aca="false">AT568*$M568</f>
        <v>0</v>
      </c>
      <c r="AV568" s="28"/>
      <c r="AW568" s="28" t="n">
        <f aca="false">AV568*$M568</f>
        <v>0</v>
      </c>
      <c r="AX568" s="28"/>
      <c r="AY568" s="28" t="n">
        <f aca="false">AX568*$M568</f>
        <v>0</v>
      </c>
      <c r="AZ568" s="30"/>
      <c r="BA568" s="11"/>
      <c r="BB568" s="31" t="n">
        <f aca="false">SUM(Q568,S568,U568,W568,Y568,AA568,AC568,AE568,AG568,AI568,AK568,AM568,AO568,AQ568,AS568,AU568,AW568,AY568)</f>
        <v>0</v>
      </c>
      <c r="BC568" s="28" t="n">
        <f aca="false">BA568-BB568</f>
        <v>0</v>
      </c>
      <c r="BD568" s="32" t="n">
        <f aca="false">SUM(P568,R568,T568,V568,X568,Z568,AB568,AD568,AF568,AH568,AJ568,AL568,AN568,AP568,AR568,AT568,AV568,AX568)</f>
        <v>0</v>
      </c>
      <c r="BE568" s="33" t="n">
        <f aca="false">AZ568-BD568</f>
        <v>0</v>
      </c>
      <c r="BF568" s="34" t="n">
        <f aca="false">BD568*M568</f>
        <v>0</v>
      </c>
      <c r="BG568" s="35" t="n">
        <f aca="false">BA568-BF568</f>
        <v>0</v>
      </c>
      <c r="BH568" s="19" t="str">
        <f aca="false">IF(BG568=0,"",IF(BG568&lt;&gt;BA568,"erreur de calcul",IF(BD568&lt;&gt;0,"pas de prix",IF(M568&lt;&gt; 0,"pas de quantité","pas de prix, ni de quantité"))))</f>
        <v/>
      </c>
      <c r="BI568" s="19"/>
    </row>
    <row r="569" customFormat="false" ht="16" hidden="false" customHeight="false" outlineLevel="0" collapsed="false">
      <c r="A569" s="0" t="n">
        <v>8</v>
      </c>
      <c r="B569" s="8" t="s">
        <v>24</v>
      </c>
      <c r="C569" s="9" t="s">
        <v>25</v>
      </c>
      <c r="D569" s="9" t="s">
        <v>26</v>
      </c>
      <c r="E569" s="10" t="n">
        <v>1789</v>
      </c>
      <c r="F569" s="9" t="s">
        <v>27</v>
      </c>
      <c r="G569" s="9" t="s">
        <v>27</v>
      </c>
      <c r="H569" s="11" t="n">
        <v>24</v>
      </c>
      <c r="I569" s="11" t="s">
        <v>297</v>
      </c>
      <c r="J569" s="14" t="n">
        <v>45</v>
      </c>
      <c r="K569" s="14"/>
      <c r="L569" s="16"/>
      <c r="M569" s="27" t="n">
        <f aca="false">J569+(K569/20)+(L569/240)</f>
        <v>45</v>
      </c>
      <c r="N569" s="17" t="s">
        <v>64</v>
      </c>
      <c r="O569" s="11"/>
      <c r="P569" s="28"/>
      <c r="Q569" s="28" t="n">
        <f aca="false">P569*$M569</f>
        <v>0</v>
      </c>
      <c r="R569" s="28"/>
      <c r="S569" s="28" t="n">
        <f aca="false">R569*$M569</f>
        <v>0</v>
      </c>
      <c r="T569" s="28"/>
      <c r="U569" s="28" t="n">
        <f aca="false">T569*$M569</f>
        <v>0</v>
      </c>
      <c r="V569" s="28"/>
      <c r="W569" s="28" t="n">
        <f aca="false">V569*$M569</f>
        <v>0</v>
      </c>
      <c r="X569" s="28"/>
      <c r="Y569" s="28" t="n">
        <f aca="false">X569*$M569</f>
        <v>0</v>
      </c>
      <c r="Z569" s="28"/>
      <c r="AA569" s="28" t="n">
        <f aca="false">Z569*$M569</f>
        <v>0</v>
      </c>
      <c r="AB569" s="28"/>
      <c r="AC569" s="28" t="n">
        <f aca="false">AB569*$M569</f>
        <v>0</v>
      </c>
      <c r="AD569" s="28"/>
      <c r="AE569" s="28" t="n">
        <f aca="false">AD569*$M569</f>
        <v>0</v>
      </c>
      <c r="AF569" s="28"/>
      <c r="AG569" s="28" t="n">
        <f aca="false">AF569*$M569</f>
        <v>0</v>
      </c>
      <c r="AH569" s="28"/>
      <c r="AI569" s="28" t="n">
        <f aca="false">AH569*$M569</f>
        <v>0</v>
      </c>
      <c r="AJ569" s="28"/>
      <c r="AK569" s="28" t="n">
        <f aca="false">AJ569*$M569</f>
        <v>0</v>
      </c>
      <c r="AL569" s="28"/>
      <c r="AM569" s="28" t="n">
        <f aca="false">AL569*$M569</f>
        <v>0</v>
      </c>
      <c r="AN569" s="28"/>
      <c r="AO569" s="28" t="n">
        <f aca="false">AN569*$M569</f>
        <v>0</v>
      </c>
      <c r="AP569" s="28"/>
      <c r="AQ569" s="28" t="n">
        <f aca="false">AP569*$M569</f>
        <v>0</v>
      </c>
      <c r="AR569" s="28"/>
      <c r="AS569" s="28" t="n">
        <f aca="false">AR569*$M569</f>
        <v>0</v>
      </c>
      <c r="AT569" s="28"/>
      <c r="AU569" s="28" t="n">
        <f aca="false">AT569*$M569</f>
        <v>0</v>
      </c>
      <c r="AV569" s="28"/>
      <c r="AW569" s="28" t="n">
        <f aca="false">AV569*$M569</f>
        <v>0</v>
      </c>
      <c r="AX569" s="28" t="n">
        <f aca="false">44459/100</f>
        <v>444.59</v>
      </c>
      <c r="AY569" s="28" t="n">
        <v>20006</v>
      </c>
      <c r="AZ569" s="30" t="n">
        <f aca="false">44459/100</f>
        <v>444.59</v>
      </c>
      <c r="BA569" s="11" t="n">
        <v>20006</v>
      </c>
      <c r="BB569" s="31" t="n">
        <f aca="false">SUM(Q569,S569,U569,W569,Y569,AA569,AC569,AE569,AG569,AI569,AK569,AM569,AO569,AQ569,AS569,AU569,AW569,AY569)</f>
        <v>20006</v>
      </c>
      <c r="BC569" s="28" t="n">
        <f aca="false">BA569-BB569</f>
        <v>0</v>
      </c>
      <c r="BD569" s="32" t="n">
        <f aca="false">SUM(P569,R569,T569,V569,X569,Z569,AB569,AD569,AF569,AH569,AJ569,AL569,AN569,AP569,AR569,AT569,AV569,AX569)</f>
        <v>444.59</v>
      </c>
      <c r="BE569" s="33" t="n">
        <f aca="false">AZ569-BD569</f>
        <v>0</v>
      </c>
      <c r="BF569" s="34" t="n">
        <f aca="false">BD569*M569</f>
        <v>20006.55</v>
      </c>
      <c r="BG569" s="35" t="n">
        <f aca="false">BA569-BF569</f>
        <v>-0.549999999999272</v>
      </c>
      <c r="BH569" s="19" t="str">
        <f aca="false">IF(BG569=0,"",IF(BG569&lt;&gt;BA569,"erreur de calcul",IF(BD569&lt;&gt;0,"pas de prix",IF(M569&lt;&gt; 0,"pas de quantité","pas de prix, ni de quantité"))))</f>
        <v>erreur de calcul</v>
      </c>
      <c r="BI569" s="19"/>
    </row>
    <row r="570" customFormat="false" ht="16" hidden="false" customHeight="false" outlineLevel="0" collapsed="false">
      <c r="A570" s="0" t="n">
        <v>9</v>
      </c>
      <c r="B570" s="8" t="s">
        <v>24</v>
      </c>
      <c r="C570" s="9" t="s">
        <v>25</v>
      </c>
      <c r="D570" s="9" t="s">
        <v>26</v>
      </c>
      <c r="E570" s="10" t="n">
        <v>1789</v>
      </c>
      <c r="F570" s="9" t="s">
        <v>27</v>
      </c>
      <c r="G570" s="9" t="s">
        <v>27</v>
      </c>
      <c r="H570" s="11" t="n">
        <v>24</v>
      </c>
      <c r="I570" s="11" t="s">
        <v>298</v>
      </c>
      <c r="J570" s="14" t="n">
        <v>550</v>
      </c>
      <c r="K570" s="14"/>
      <c r="L570" s="16"/>
      <c r="M570" s="27" t="n">
        <f aca="false">J570+(K570/20)+(L570/240)</f>
        <v>550</v>
      </c>
      <c r="N570" s="17" t="s">
        <v>64</v>
      </c>
      <c r="O570" s="11"/>
      <c r="P570" s="28"/>
      <c r="Q570" s="28" t="n">
        <f aca="false">P570*$M570</f>
        <v>0</v>
      </c>
      <c r="R570" s="28"/>
      <c r="S570" s="28" t="n">
        <f aca="false">R570*$M570</f>
        <v>0</v>
      </c>
      <c r="T570" s="28"/>
      <c r="U570" s="28" t="n">
        <f aca="false">T570*$M570</f>
        <v>0</v>
      </c>
      <c r="V570" s="28"/>
      <c r="W570" s="28" t="n">
        <f aca="false">V570*$M570</f>
        <v>0</v>
      </c>
      <c r="X570" s="28"/>
      <c r="Y570" s="28" t="n">
        <f aca="false">X570*$M570</f>
        <v>0</v>
      </c>
      <c r="Z570" s="28"/>
      <c r="AA570" s="28" t="n">
        <f aca="false">Z570*$M570</f>
        <v>0</v>
      </c>
      <c r="AB570" s="28"/>
      <c r="AC570" s="28" t="n">
        <f aca="false">AB570*$M570</f>
        <v>0</v>
      </c>
      <c r="AD570" s="28"/>
      <c r="AE570" s="28" t="n">
        <f aca="false">AD570*$M570</f>
        <v>0</v>
      </c>
      <c r="AF570" s="28" t="n">
        <f aca="false">200/100</f>
        <v>2</v>
      </c>
      <c r="AG570" s="28" t="n">
        <v>1100</v>
      </c>
      <c r="AH570" s="28"/>
      <c r="AI570" s="28" t="n">
        <f aca="false">AH570*$M570</f>
        <v>0</v>
      </c>
      <c r="AJ570" s="28"/>
      <c r="AK570" s="28" t="n">
        <f aca="false">AJ570*$M570</f>
        <v>0</v>
      </c>
      <c r="AL570" s="28"/>
      <c r="AM570" s="28" t="n">
        <f aca="false">AL570*$M570</f>
        <v>0</v>
      </c>
      <c r="AN570" s="28"/>
      <c r="AO570" s="28" t="n">
        <f aca="false">AN570*$M570</f>
        <v>0</v>
      </c>
      <c r="AP570" s="28"/>
      <c r="AQ570" s="28" t="n">
        <f aca="false">AP570*$M570</f>
        <v>0</v>
      </c>
      <c r="AR570" s="28"/>
      <c r="AS570" s="28" t="n">
        <f aca="false">AR570*$M570</f>
        <v>0</v>
      </c>
      <c r="AT570" s="28"/>
      <c r="AU570" s="28" t="n">
        <f aca="false">AT570*$M570</f>
        <v>0</v>
      </c>
      <c r="AV570" s="28"/>
      <c r="AW570" s="28" t="n">
        <f aca="false">AV570*$M570</f>
        <v>0</v>
      </c>
      <c r="AX570" s="28"/>
      <c r="AY570" s="28" t="n">
        <f aca="false">AX570*$M570</f>
        <v>0</v>
      </c>
      <c r="AZ570" s="30" t="n">
        <f aca="false">200/100</f>
        <v>2</v>
      </c>
      <c r="BA570" s="11" t="n">
        <v>1100</v>
      </c>
      <c r="BB570" s="31" t="n">
        <f aca="false">SUM(Q570,S570,U570,W570,Y570,AA570,AC570,AE570,AG570,AI570,AK570,AM570,AO570,AQ570,AS570,AU570,AW570,AY570)</f>
        <v>1100</v>
      </c>
      <c r="BC570" s="28" t="n">
        <f aca="false">BA570-BB570</f>
        <v>0</v>
      </c>
      <c r="BD570" s="32" t="n">
        <f aca="false">SUM(P570,R570,T570,V570,X570,Z570,AB570,AD570,AF570,AH570,AJ570,AL570,AN570,AP570,AR570,AT570,AV570,AX570)</f>
        <v>2</v>
      </c>
      <c r="BE570" s="33" t="n">
        <f aca="false">AZ570-BD570</f>
        <v>0</v>
      </c>
      <c r="BF570" s="34" t="n">
        <f aca="false">BD570*M570</f>
        <v>1100</v>
      </c>
      <c r="BG570" s="35" t="n">
        <f aca="false">BA570-BF570</f>
        <v>0</v>
      </c>
      <c r="BH570" s="19" t="str">
        <f aca="false">IF(BG570=0,"",IF(BG570&lt;&gt;BA570,"erreur de calcul",IF(BD570&lt;&gt;0,"pas de prix",IF(M570&lt;&gt; 0,"pas de quantité","pas de prix, ni de quantité"))))</f>
        <v/>
      </c>
      <c r="BI570" s="19"/>
    </row>
    <row r="571" customFormat="false" ht="16" hidden="false" customHeight="false" outlineLevel="0" collapsed="false">
      <c r="A571" s="0" t="n">
        <v>10</v>
      </c>
      <c r="B571" s="8" t="s">
        <v>24</v>
      </c>
      <c r="C571" s="9" t="s">
        <v>25</v>
      </c>
      <c r="D571" s="9" t="s">
        <v>26</v>
      </c>
      <c r="E571" s="10" t="n">
        <v>1789</v>
      </c>
      <c r="F571" s="9" t="s">
        <v>27</v>
      </c>
      <c r="G571" s="9" t="s">
        <v>27</v>
      </c>
      <c r="H571" s="11" t="n">
        <v>24</v>
      </c>
      <c r="I571" s="11" t="s">
        <v>299</v>
      </c>
      <c r="J571" s="14" t="n">
        <v>16</v>
      </c>
      <c r="K571" s="14"/>
      <c r="L571" s="16"/>
      <c r="M571" s="27" t="n">
        <f aca="false">J571+(K571/20)+(L571/240)</f>
        <v>16</v>
      </c>
      <c r="N571" s="17" t="s">
        <v>64</v>
      </c>
      <c r="O571" s="11"/>
      <c r="P571" s="28" t="n">
        <f aca="false">20*288*0.02+252*0.02</f>
        <v>120.24</v>
      </c>
      <c r="Q571" s="28" t="n">
        <v>1924</v>
      </c>
      <c r="R571" s="28"/>
      <c r="S571" s="28" t="n">
        <f aca="false">R571*$M571</f>
        <v>0</v>
      </c>
      <c r="T571" s="28"/>
      <c r="U571" s="28" t="n">
        <f aca="false">T571*$M571</f>
        <v>0</v>
      </c>
      <c r="V571" s="28" t="n">
        <f aca="false">16*288*0.02+15*0.02</f>
        <v>92.46</v>
      </c>
      <c r="W571" s="28" t="n">
        <v>1479</v>
      </c>
      <c r="X571" s="28" t="n">
        <f aca="false">25*288*0.02+152*0.02</f>
        <v>147.04</v>
      </c>
      <c r="Y571" s="28" t="n">
        <v>2353</v>
      </c>
      <c r="Z571" s="28"/>
      <c r="AA571" s="28" t="n">
        <f aca="false">Z571*$M571</f>
        <v>0</v>
      </c>
      <c r="AB571" s="28" t="n">
        <f aca="false">127*288*0.02+236*0.02</f>
        <v>736.24</v>
      </c>
      <c r="AC571" s="28" t="n">
        <v>11780</v>
      </c>
      <c r="AD571" s="28"/>
      <c r="AE571" s="28" t="n">
        <f aca="false">AD571*$M571</f>
        <v>0</v>
      </c>
      <c r="AF571" s="28"/>
      <c r="AG571" s="28" t="n">
        <f aca="false">AF571*$M571</f>
        <v>0</v>
      </c>
      <c r="AH571" s="28"/>
      <c r="AI571" s="28" t="n">
        <f aca="false">AH571*$M571</f>
        <v>0</v>
      </c>
      <c r="AJ571" s="28"/>
      <c r="AK571" s="28" t="n">
        <f aca="false">AJ571*$M571</f>
        <v>0</v>
      </c>
      <c r="AL571" s="28"/>
      <c r="AM571" s="28" t="n">
        <f aca="false">AL571*$M571</f>
        <v>0</v>
      </c>
      <c r="AN571" s="28"/>
      <c r="AO571" s="28" t="n">
        <f aca="false">AN571*$M571</f>
        <v>0</v>
      </c>
      <c r="AP571" s="28"/>
      <c r="AQ571" s="28" t="n">
        <f aca="false">AP571*$M571</f>
        <v>0</v>
      </c>
      <c r="AR571" s="28"/>
      <c r="AS571" s="28" t="n">
        <f aca="false">AR571*$M571</f>
        <v>0</v>
      </c>
      <c r="AT571" s="28"/>
      <c r="AU571" s="28" t="n">
        <f aca="false">AT571*$M571</f>
        <v>0</v>
      </c>
      <c r="AV571" s="28"/>
      <c r="AW571" s="28" t="n">
        <f aca="false">AV571*$M571</f>
        <v>0</v>
      </c>
      <c r="AX571" s="28"/>
      <c r="AY571" s="28" t="n">
        <f aca="false">AX571*$M571</f>
        <v>0</v>
      </c>
      <c r="AZ571" s="30" t="n">
        <f aca="false">190*288*0.02+82*0.02</f>
        <v>1096.04</v>
      </c>
      <c r="BA571" s="11" t="n">
        <v>17536</v>
      </c>
      <c r="BB571" s="31" t="n">
        <f aca="false">SUM(Q571,S571,U571,W571,Y571,AA571,AC571,AE571,AG571,AI571,AK571,AM571,AO571,AQ571,AS571,AU571,AW571,AY571)</f>
        <v>17536</v>
      </c>
      <c r="BC571" s="28" t="n">
        <f aca="false">BA571-BB571</f>
        <v>0</v>
      </c>
      <c r="BD571" s="32" t="n">
        <f aca="false">SUM(P571,R571,T571,V571,X571,Z571,AB571,AD571,AF571,AH571,AJ571,AL571,AN571,AP571,AR571,AT571,AV571,AX571)</f>
        <v>1095.98</v>
      </c>
      <c r="BE571" s="33" t="n">
        <f aca="false">AZ571-BD571</f>
        <v>0.0600000000001728</v>
      </c>
      <c r="BF571" s="34" t="n">
        <f aca="false">BD571*M571</f>
        <v>17535.68</v>
      </c>
      <c r="BG571" s="35" t="n">
        <f aca="false">BA571-BF571</f>
        <v>0.319999999999709</v>
      </c>
      <c r="BH571" s="19" t="str">
        <f aca="false">IF(BG571=0,"",IF(BG571&lt;&gt;BA571,"erreur de calcul",IF(BD571&lt;&gt;0,"pas de prix",IF(M571&lt;&gt; 0,"pas de quantité","pas de prix, ni de quantité"))))</f>
        <v>erreur de calcul</v>
      </c>
      <c r="BI571" s="19"/>
    </row>
    <row r="572" customFormat="false" ht="16" hidden="false" customHeight="false" outlineLevel="0" collapsed="false">
      <c r="A572" s="0" t="n">
        <v>11</v>
      </c>
      <c r="B572" s="8" t="s">
        <v>24</v>
      </c>
      <c r="C572" s="9" t="s">
        <v>25</v>
      </c>
      <c r="D572" s="9" t="s">
        <v>26</v>
      </c>
      <c r="E572" s="10" t="n">
        <v>1789</v>
      </c>
      <c r="F572" s="9" t="s">
        <v>27</v>
      </c>
      <c r="G572" s="9" t="s">
        <v>27</v>
      </c>
      <c r="H572" s="11" t="n">
        <v>24</v>
      </c>
      <c r="I572" s="11" t="s">
        <v>300</v>
      </c>
      <c r="J572" s="14" t="n">
        <v>360</v>
      </c>
      <c r="K572" s="14"/>
      <c r="L572" s="16"/>
      <c r="M572" s="27" t="n">
        <f aca="false">J572+(K572/20)+(L572/240)</f>
        <v>360</v>
      </c>
      <c r="N572" s="17" t="s">
        <v>64</v>
      </c>
      <c r="O572" s="11"/>
      <c r="P572" s="28"/>
      <c r="Q572" s="28" t="n">
        <f aca="false">P572*$M572</f>
        <v>0</v>
      </c>
      <c r="R572" s="28"/>
      <c r="S572" s="28" t="n">
        <f aca="false">R572*$M572</f>
        <v>0</v>
      </c>
      <c r="T572" s="28"/>
      <c r="U572" s="28" t="n">
        <f aca="false">T572*$M572</f>
        <v>0</v>
      </c>
      <c r="V572" s="28"/>
      <c r="W572" s="28" t="n">
        <f aca="false">V572*$M572</f>
        <v>0</v>
      </c>
      <c r="X572" s="28"/>
      <c r="Y572" s="28" t="n">
        <f aca="false">X572*$M572</f>
        <v>0</v>
      </c>
      <c r="Z572" s="28"/>
      <c r="AA572" s="28" t="n">
        <f aca="false">Z572*$M572</f>
        <v>0</v>
      </c>
      <c r="AB572" s="28"/>
      <c r="AC572" s="28" t="n">
        <f aca="false">AB572*$M572</f>
        <v>0</v>
      </c>
      <c r="AD572" s="28"/>
      <c r="AE572" s="28" t="n">
        <f aca="false">AD572*$M572</f>
        <v>0</v>
      </c>
      <c r="AF572" s="28"/>
      <c r="AG572" s="28" t="n">
        <f aca="false">AF572*$M572</f>
        <v>0</v>
      </c>
      <c r="AH572" s="28" t="n">
        <f aca="false">371073/100</f>
        <v>3710.73</v>
      </c>
      <c r="AI572" s="28" t="n">
        <v>1335863</v>
      </c>
      <c r="AJ572" s="28"/>
      <c r="AK572" s="28" t="n">
        <f aca="false">AJ572*$M572</f>
        <v>0</v>
      </c>
      <c r="AL572" s="28"/>
      <c r="AM572" s="28" t="n">
        <f aca="false">AL572*$M572</f>
        <v>0</v>
      </c>
      <c r="AN572" s="28"/>
      <c r="AO572" s="28" t="n">
        <f aca="false">AN572*$M572</f>
        <v>0</v>
      </c>
      <c r="AP572" s="28"/>
      <c r="AQ572" s="28" t="n">
        <f aca="false">AP572*$M572</f>
        <v>0</v>
      </c>
      <c r="AR572" s="28"/>
      <c r="AS572" s="28" t="n">
        <f aca="false">AR572*$M572</f>
        <v>0</v>
      </c>
      <c r="AT572" s="28"/>
      <c r="AU572" s="28" t="n">
        <f aca="false">AT572*$M572</f>
        <v>0</v>
      </c>
      <c r="AV572" s="28"/>
      <c r="AW572" s="28" t="n">
        <f aca="false">AV572*$M572</f>
        <v>0</v>
      </c>
      <c r="AX572" s="28"/>
      <c r="AY572" s="28" t="n">
        <f aca="false">AX572*$M572</f>
        <v>0</v>
      </c>
      <c r="AZ572" s="30" t="n">
        <f aca="false">371073/100</f>
        <v>3710.73</v>
      </c>
      <c r="BA572" s="11" t="n">
        <v>1335863</v>
      </c>
      <c r="BB572" s="31" t="n">
        <f aca="false">SUM(Q572,S572,U572,W572,Y572,AA572,AC572,AE572,AG572,AI572,AK572,AM572,AO572,AQ572,AS572,AU572,AW572,AY572)</f>
        <v>1335863</v>
      </c>
      <c r="BC572" s="28" t="n">
        <f aca="false">BA572-BB572</f>
        <v>0</v>
      </c>
      <c r="BD572" s="32" t="n">
        <f aca="false">SUM(P572,R572,T572,V572,X572,Z572,AB572,AD572,AF572,AH572,AJ572,AL572,AN572,AP572,AR572,AT572,AV572,AX572)</f>
        <v>3710.73</v>
      </c>
      <c r="BE572" s="33" t="n">
        <f aca="false">AZ572-BD572</f>
        <v>0</v>
      </c>
      <c r="BF572" s="34" t="n">
        <f aca="false">BD572*M572</f>
        <v>1335862.8</v>
      </c>
      <c r="BG572" s="35" t="n">
        <f aca="false">BA572-BF572</f>
        <v>0.199999999953434</v>
      </c>
      <c r="BH572" s="19" t="str">
        <f aca="false">IF(BG572=0,"",IF(BG572&lt;&gt;BA572,"erreur de calcul",IF(BD572&lt;&gt;0,"pas de prix",IF(M572&lt;&gt; 0,"pas de quantité","pas de prix, ni de quantité"))))</f>
        <v>erreur de calcul</v>
      </c>
      <c r="BI572" s="19"/>
    </row>
    <row r="573" customFormat="false" ht="16" hidden="false" customHeight="false" outlineLevel="0" collapsed="false">
      <c r="A573" s="0" t="n">
        <v>12</v>
      </c>
      <c r="B573" s="8" t="s">
        <v>24</v>
      </c>
      <c r="C573" s="9" t="s">
        <v>25</v>
      </c>
      <c r="D573" s="9" t="s">
        <v>26</v>
      </c>
      <c r="E573" s="10" t="n">
        <v>1789</v>
      </c>
      <c r="F573" s="9" t="s">
        <v>27</v>
      </c>
      <c r="G573" s="9" t="s">
        <v>27</v>
      </c>
      <c r="H573" s="11" t="n">
        <v>24</v>
      </c>
      <c r="I573" s="11" t="s">
        <v>301</v>
      </c>
      <c r="J573" s="14" t="n">
        <v>3</v>
      </c>
      <c r="K573" s="14"/>
      <c r="L573" s="16"/>
      <c r="M573" s="27" t="n">
        <f aca="false">J573+(K573/20)+(L573/240)</f>
        <v>3</v>
      </c>
      <c r="N573" s="17" t="s">
        <v>66</v>
      </c>
      <c r="O573" s="11"/>
      <c r="P573" s="28"/>
      <c r="Q573" s="28" t="n">
        <f aca="false">P573*$M573</f>
        <v>0</v>
      </c>
      <c r="R573" s="28"/>
      <c r="S573" s="28" t="n">
        <f aca="false">R573*$M573</f>
        <v>0</v>
      </c>
      <c r="T573" s="28"/>
      <c r="U573" s="28" t="n">
        <f aca="false">T573*$M573</f>
        <v>0</v>
      </c>
      <c r="V573" s="28"/>
      <c r="W573" s="28" t="n">
        <f aca="false">V573*$M573</f>
        <v>0</v>
      </c>
      <c r="X573" s="28"/>
      <c r="Y573" s="28" t="n">
        <f aca="false">X573*$M573</f>
        <v>0</v>
      </c>
      <c r="Z573" s="28"/>
      <c r="AA573" s="28" t="n">
        <f aca="false">Z573*$M573</f>
        <v>0</v>
      </c>
      <c r="AB573" s="28"/>
      <c r="AC573" s="28" t="n">
        <f aca="false">AB573*$M573</f>
        <v>0</v>
      </c>
      <c r="AD573" s="28"/>
      <c r="AE573" s="28" t="n">
        <f aca="false">AD573*$M573</f>
        <v>0</v>
      </c>
      <c r="AF573" s="28"/>
      <c r="AG573" s="28" t="n">
        <f aca="false">AF573*$M573</f>
        <v>0</v>
      </c>
      <c r="AH573" s="28" t="n">
        <v>19281</v>
      </c>
      <c r="AI573" s="28" t="n">
        <v>57843</v>
      </c>
      <c r="AJ573" s="28"/>
      <c r="AK573" s="28" t="n">
        <f aca="false">AJ573*$M573</f>
        <v>0</v>
      </c>
      <c r="AL573" s="28"/>
      <c r="AM573" s="28" t="n">
        <f aca="false">AL573*$M573</f>
        <v>0</v>
      </c>
      <c r="AN573" s="28"/>
      <c r="AO573" s="28" t="n">
        <f aca="false">AN573*$M573</f>
        <v>0</v>
      </c>
      <c r="AP573" s="28"/>
      <c r="AQ573" s="28" t="n">
        <f aca="false">AP573*$M573</f>
        <v>0</v>
      </c>
      <c r="AR573" s="28"/>
      <c r="AS573" s="28" t="n">
        <f aca="false">AR573*$M573</f>
        <v>0</v>
      </c>
      <c r="AT573" s="28"/>
      <c r="AU573" s="28" t="n">
        <f aca="false">AT573*$M573</f>
        <v>0</v>
      </c>
      <c r="AV573" s="28"/>
      <c r="AW573" s="28" t="n">
        <f aca="false">AV573*$M573</f>
        <v>0</v>
      </c>
      <c r="AX573" s="28"/>
      <c r="AY573" s="28" t="n">
        <f aca="false">AX573*$M573</f>
        <v>0</v>
      </c>
      <c r="AZ573" s="30" t="n">
        <v>19281</v>
      </c>
      <c r="BA573" s="11" t="n">
        <v>57843</v>
      </c>
      <c r="BB573" s="31" t="n">
        <f aca="false">SUM(Q573,S573,U573,W573,Y573,AA573,AC573,AE573,AG573,AI573,AK573,AM573,AO573,AQ573,AS573,AU573,AW573,AY573)</f>
        <v>57843</v>
      </c>
      <c r="BC573" s="28" t="n">
        <f aca="false">BA573-BB573</f>
        <v>0</v>
      </c>
      <c r="BD573" s="32" t="n">
        <f aca="false">SUM(P573,R573,T573,V573,X573,Z573,AB573,AD573,AF573,AH573,AJ573,AL573,AN573,AP573,AR573,AT573,AV573,AX573)</f>
        <v>19281</v>
      </c>
      <c r="BE573" s="33" t="n">
        <f aca="false">AZ573-BD573</f>
        <v>0</v>
      </c>
      <c r="BF573" s="34" t="n">
        <f aca="false">BD573*M573</f>
        <v>57843</v>
      </c>
      <c r="BG573" s="35" t="n">
        <f aca="false">BA573-BF573</f>
        <v>0</v>
      </c>
      <c r="BH573" s="19" t="str">
        <f aca="false">IF(BG573=0,"",IF(BG573&lt;&gt;BA573,"erreur de calcul",IF(BD573&lt;&gt;0,"pas de prix",IF(M573&lt;&gt; 0,"pas de quantité","pas de prix, ni de quantité"))))</f>
        <v/>
      </c>
      <c r="BI573" s="19"/>
    </row>
    <row r="574" customFormat="false" ht="16" hidden="false" customHeight="false" outlineLevel="0" collapsed="false">
      <c r="A574" s="0" t="n">
        <v>13</v>
      </c>
      <c r="B574" s="8" t="s">
        <v>24</v>
      </c>
      <c r="C574" s="9" t="s">
        <v>25</v>
      </c>
      <c r="D574" s="9" t="s">
        <v>26</v>
      </c>
      <c r="E574" s="10" t="n">
        <v>1789</v>
      </c>
      <c r="F574" s="9" t="s">
        <v>27</v>
      </c>
      <c r="G574" s="9" t="s">
        <v>27</v>
      </c>
      <c r="H574" s="11" t="n">
        <v>24</v>
      </c>
      <c r="I574" s="11" t="s">
        <v>302</v>
      </c>
      <c r="J574" s="14" t="n">
        <v>112</v>
      </c>
      <c r="K574" s="14"/>
      <c r="L574" s="16"/>
      <c r="M574" s="27" t="n">
        <f aca="false">J574+(K574/20)+(L574/240)</f>
        <v>112</v>
      </c>
      <c r="N574" s="17" t="s">
        <v>64</v>
      </c>
      <c r="O574" s="11"/>
      <c r="P574" s="28" t="n">
        <f aca="false">99503/100</f>
        <v>995.03</v>
      </c>
      <c r="Q574" s="28" t="n">
        <v>111443</v>
      </c>
      <c r="R574" s="28"/>
      <c r="S574" s="28" t="n">
        <f aca="false">R574*$M574</f>
        <v>0</v>
      </c>
      <c r="T574" s="28" t="n">
        <f aca="false">8445/100</f>
        <v>84.45</v>
      </c>
      <c r="U574" s="28" t="n">
        <v>9458</v>
      </c>
      <c r="V574" s="28" t="n">
        <f aca="false">2517/100</f>
        <v>25.17</v>
      </c>
      <c r="W574" s="28" t="n">
        <v>2819</v>
      </c>
      <c r="X574" s="28" t="n">
        <f aca="false">4729/100</f>
        <v>47.29</v>
      </c>
      <c r="Y574" s="28" t="n">
        <v>5296</v>
      </c>
      <c r="Z574" s="28" t="n">
        <f aca="false">198115/100</f>
        <v>1981.15</v>
      </c>
      <c r="AA574" s="28" t="n">
        <v>221889</v>
      </c>
      <c r="AB574" s="28"/>
      <c r="AC574" s="28" t="n">
        <f aca="false">AB574*$M574</f>
        <v>0</v>
      </c>
      <c r="AD574" s="28"/>
      <c r="AE574" s="28" t="n">
        <f aca="false">AD574*$M574</f>
        <v>0</v>
      </c>
      <c r="AF574" s="28" t="n">
        <f aca="false">67420/100</f>
        <v>674.2</v>
      </c>
      <c r="AG574" s="28" t="n">
        <v>75510</v>
      </c>
      <c r="AH574" s="28" t="n">
        <f aca="false">415806/100</f>
        <v>4158.06</v>
      </c>
      <c r="AI574" s="28" t="n">
        <v>465703</v>
      </c>
      <c r="AJ574" s="28"/>
      <c r="AK574" s="28" t="n">
        <f aca="false">AJ574*$M574</f>
        <v>0</v>
      </c>
      <c r="AL574" s="28" t="n">
        <f aca="false">324/100</f>
        <v>3.24</v>
      </c>
      <c r="AM574" s="28" t="n">
        <v>363</v>
      </c>
      <c r="AN574" s="28"/>
      <c r="AO574" s="28" t="n">
        <f aca="false">AN574*$M574</f>
        <v>0</v>
      </c>
      <c r="AP574" s="28"/>
      <c r="AQ574" s="28" t="n">
        <f aca="false">AP574*$M574</f>
        <v>0</v>
      </c>
      <c r="AR574" s="28"/>
      <c r="AS574" s="28" t="n">
        <f aca="false">AR574*$M574</f>
        <v>0</v>
      </c>
      <c r="AT574" s="28"/>
      <c r="AU574" s="28" t="n">
        <f aca="false">AT574*$M574</f>
        <v>0</v>
      </c>
      <c r="AV574" s="28"/>
      <c r="AW574" s="28" t="n">
        <f aca="false">AV574*$M574</f>
        <v>0</v>
      </c>
      <c r="AX574" s="28"/>
      <c r="AY574" s="28" t="n">
        <f aca="false">AX574*$M574</f>
        <v>0</v>
      </c>
      <c r="AZ574" s="30" t="n">
        <f aca="false">796859/100</f>
        <v>7968.59</v>
      </c>
      <c r="BA574" s="11" t="n">
        <v>892481</v>
      </c>
      <c r="BB574" s="31" t="n">
        <f aca="false">SUM(Q574,S574,U574,W574,Y574,AA574,AC574,AE574,AG574,AI574,AK574,AM574,AO574,AQ574,AS574,AU574,AW574,AY574)</f>
        <v>892481</v>
      </c>
      <c r="BC574" s="28" t="n">
        <f aca="false">BA574-BB574</f>
        <v>0</v>
      </c>
      <c r="BD574" s="32" t="n">
        <f aca="false">SUM(P574,R574,T574,V574,X574,Z574,AB574,AD574,AF574,AH574,AJ574,AL574,AN574,AP574,AR574,AT574,AV574,AX574)</f>
        <v>7968.59</v>
      </c>
      <c r="BE574" s="33" t="n">
        <f aca="false">AZ574-BD574</f>
        <v>0</v>
      </c>
      <c r="BF574" s="34" t="n">
        <f aca="false">BD574*M574</f>
        <v>892482.08</v>
      </c>
      <c r="BG574" s="35" t="n">
        <f aca="false">BA574-BF574</f>
        <v>-1.08000000007451</v>
      </c>
      <c r="BH574" s="19" t="str">
        <f aca="false">IF(BG574=0,"",IF(BG574&lt;&gt;BA574,"erreur de calcul",IF(BD574&lt;&gt;0,"pas de prix",IF(M574&lt;&gt; 0,"pas de quantité","pas de prix, ni de quantité"))))</f>
        <v>erreur de calcul</v>
      </c>
      <c r="BI574" s="19"/>
    </row>
    <row r="575" customFormat="false" ht="16" hidden="false" customHeight="false" outlineLevel="0" collapsed="false">
      <c r="A575" s="0" t="n">
        <v>14</v>
      </c>
      <c r="B575" s="8" t="s">
        <v>24</v>
      </c>
      <c r="C575" s="9" t="s">
        <v>25</v>
      </c>
      <c r="D575" s="9" t="s">
        <v>26</v>
      </c>
      <c r="E575" s="10" t="n">
        <v>1789</v>
      </c>
      <c r="F575" s="9" t="s">
        <v>27</v>
      </c>
      <c r="G575" s="9" t="s">
        <v>27</v>
      </c>
      <c r="H575" s="11" t="n">
        <v>24</v>
      </c>
      <c r="I575" s="11" t="s">
        <v>303</v>
      </c>
      <c r="J575" s="14" t="n">
        <v>50</v>
      </c>
      <c r="K575" s="14"/>
      <c r="L575" s="16"/>
      <c r="M575" s="27" t="n">
        <f aca="false">J575+(K575/20)+(L575/240)</f>
        <v>50</v>
      </c>
      <c r="N575" s="17" t="s">
        <v>64</v>
      </c>
      <c r="O575" s="11"/>
      <c r="P575" s="28"/>
      <c r="Q575" s="28" t="n">
        <f aca="false">P575*$M575</f>
        <v>0</v>
      </c>
      <c r="R575" s="28"/>
      <c r="S575" s="28" t="n">
        <f aca="false">R575*$M575</f>
        <v>0</v>
      </c>
      <c r="T575" s="28"/>
      <c r="U575" s="28" t="n">
        <f aca="false">T575*$M575</f>
        <v>0</v>
      </c>
      <c r="V575" s="28"/>
      <c r="W575" s="28" t="n">
        <f aca="false">V575*$M575</f>
        <v>0</v>
      </c>
      <c r="X575" s="28"/>
      <c r="Y575" s="28" t="n">
        <f aca="false">X575*$M575</f>
        <v>0</v>
      </c>
      <c r="Z575" s="28"/>
      <c r="AA575" s="28" t="n">
        <f aca="false">Z575*$M575</f>
        <v>0</v>
      </c>
      <c r="AB575" s="28"/>
      <c r="AC575" s="28" t="n">
        <f aca="false">AB575*$M575</f>
        <v>0</v>
      </c>
      <c r="AD575" s="28"/>
      <c r="AE575" s="28" t="n">
        <f aca="false">AD575*$M575</f>
        <v>0</v>
      </c>
      <c r="AF575" s="28" t="n">
        <f aca="false">208461/100</f>
        <v>2084.61</v>
      </c>
      <c r="AG575" s="28" t="n">
        <v>104230</v>
      </c>
      <c r="AH575" s="28" t="n">
        <f aca="false">757624/100</f>
        <v>7576.24</v>
      </c>
      <c r="AI575" s="28" t="n">
        <v>378812</v>
      </c>
      <c r="AJ575" s="28"/>
      <c r="AK575" s="28" t="n">
        <f aca="false">AJ575*$M575</f>
        <v>0</v>
      </c>
      <c r="AL575" s="28"/>
      <c r="AM575" s="28" t="n">
        <f aca="false">AL575*$M575</f>
        <v>0</v>
      </c>
      <c r="AN575" s="28"/>
      <c r="AO575" s="28" t="n">
        <f aca="false">AN575*$M575</f>
        <v>0</v>
      </c>
      <c r="AP575" s="28"/>
      <c r="AQ575" s="28" t="n">
        <f aca="false">AP575*$M575</f>
        <v>0</v>
      </c>
      <c r="AR575" s="28"/>
      <c r="AS575" s="28" t="n">
        <f aca="false">AR575*$M575</f>
        <v>0</v>
      </c>
      <c r="AT575" s="28"/>
      <c r="AU575" s="28" t="n">
        <f aca="false">AT575*$M575</f>
        <v>0</v>
      </c>
      <c r="AV575" s="28"/>
      <c r="AW575" s="28" t="n">
        <f aca="false">AV575*$M575</f>
        <v>0</v>
      </c>
      <c r="AX575" s="28"/>
      <c r="AY575" s="28" t="n">
        <f aca="false">AX575*$M575</f>
        <v>0</v>
      </c>
      <c r="AZ575" s="30" t="n">
        <f aca="false">966085/100</f>
        <v>9660.85</v>
      </c>
      <c r="BA575" s="11" t="n">
        <v>483042</v>
      </c>
      <c r="BB575" s="31" t="n">
        <f aca="false">SUM(Q575,S575,U575,W575,Y575,AA575,AC575,AE575,AG575,AI575,AK575,AM575,AO575,AQ575,AS575,AU575,AW575,AY575)</f>
        <v>483042</v>
      </c>
      <c r="BC575" s="28" t="n">
        <f aca="false">BA575-BB575</f>
        <v>0</v>
      </c>
      <c r="BD575" s="32" t="n">
        <f aca="false">SUM(P575,R575,T575,V575,X575,Z575,AB575,AD575,AF575,AH575,AJ575,AL575,AN575,AP575,AR575,AT575,AV575,AX575)</f>
        <v>9660.85</v>
      </c>
      <c r="BE575" s="33" t="n">
        <f aca="false">AZ575-BD575</f>
        <v>0</v>
      </c>
      <c r="BF575" s="34" t="n">
        <f aca="false">BD575*M575</f>
        <v>483042.5</v>
      </c>
      <c r="BG575" s="35" t="n">
        <f aca="false">BA575-BF575</f>
        <v>-0.5</v>
      </c>
      <c r="BH575" s="19" t="str">
        <f aca="false">IF(BG575=0,"",IF(BG575&lt;&gt;BA575,"erreur de calcul",IF(BD575&lt;&gt;0,"pas de prix",IF(M575&lt;&gt; 0,"pas de quantité","pas de prix, ni de quantité"))))</f>
        <v>erreur de calcul</v>
      </c>
      <c r="BI575" s="19"/>
    </row>
    <row r="576" customFormat="false" ht="16" hidden="false" customHeight="false" outlineLevel="0" collapsed="false">
      <c r="A576" s="0" t="n">
        <v>15</v>
      </c>
      <c r="B576" s="8" t="s">
        <v>24</v>
      </c>
      <c r="C576" s="9" t="s">
        <v>25</v>
      </c>
      <c r="D576" s="9" t="s">
        <v>26</v>
      </c>
      <c r="E576" s="10" t="n">
        <v>1789</v>
      </c>
      <c r="F576" s="9" t="s">
        <v>27</v>
      </c>
      <c r="G576" s="9" t="s">
        <v>27</v>
      </c>
      <c r="H576" s="11" t="n">
        <v>24</v>
      </c>
      <c r="I576" s="11" t="s">
        <v>304</v>
      </c>
      <c r="J576" s="14" t="n">
        <v>340</v>
      </c>
      <c r="K576" s="14"/>
      <c r="L576" s="16"/>
      <c r="M576" s="27" t="n">
        <f aca="false">J576+(K576/20)+(L576/240)</f>
        <v>340</v>
      </c>
      <c r="N576" s="17" t="s">
        <v>64</v>
      </c>
      <c r="O576" s="11"/>
      <c r="P576" s="28"/>
      <c r="Q576" s="28" t="n">
        <f aca="false">P576*$M576</f>
        <v>0</v>
      </c>
      <c r="R576" s="28"/>
      <c r="S576" s="28" t="n">
        <f aca="false">R576*$M576</f>
        <v>0</v>
      </c>
      <c r="T576" s="28"/>
      <c r="U576" s="28" t="n">
        <f aca="false">T576*$M576</f>
        <v>0</v>
      </c>
      <c r="V576" s="28"/>
      <c r="W576" s="28" t="n">
        <f aca="false">V576*$M576</f>
        <v>0</v>
      </c>
      <c r="X576" s="28"/>
      <c r="Y576" s="28" t="n">
        <f aca="false">X576*$M576</f>
        <v>0</v>
      </c>
      <c r="Z576" s="28"/>
      <c r="AA576" s="28" t="n">
        <f aca="false">Z576*$M576</f>
        <v>0</v>
      </c>
      <c r="AB576" s="28" t="n">
        <f aca="false">339883/100</f>
        <v>3398.83</v>
      </c>
      <c r="AC576" s="28" t="n">
        <v>1155602</v>
      </c>
      <c r="AD576" s="28"/>
      <c r="AE576" s="28" t="n">
        <f aca="false">AD576*$M576</f>
        <v>0</v>
      </c>
      <c r="AF576" s="28"/>
      <c r="AG576" s="28" t="n">
        <f aca="false">AF576*$M576</f>
        <v>0</v>
      </c>
      <c r="AH576" s="28"/>
      <c r="AI576" s="28" t="n">
        <f aca="false">AH576*$M576</f>
        <v>0</v>
      </c>
      <c r="AJ576" s="28"/>
      <c r="AK576" s="28" t="n">
        <f aca="false">AJ576*$M576</f>
        <v>0</v>
      </c>
      <c r="AL576" s="28"/>
      <c r="AM576" s="28" t="n">
        <f aca="false">AL576*$M576</f>
        <v>0</v>
      </c>
      <c r="AN576" s="28"/>
      <c r="AO576" s="28" t="n">
        <f aca="false">AN576*$M576</f>
        <v>0</v>
      </c>
      <c r="AP576" s="28"/>
      <c r="AQ576" s="28" t="n">
        <f aca="false">AP576*$M576</f>
        <v>0</v>
      </c>
      <c r="AR576" s="28"/>
      <c r="AS576" s="28" t="n">
        <f aca="false">AR576*$M576</f>
        <v>0</v>
      </c>
      <c r="AT576" s="28"/>
      <c r="AU576" s="28" t="n">
        <f aca="false">AT576*$M576</f>
        <v>0</v>
      </c>
      <c r="AV576" s="28"/>
      <c r="AW576" s="28" t="n">
        <f aca="false">AV576*$M576</f>
        <v>0</v>
      </c>
      <c r="AX576" s="28"/>
      <c r="AY576" s="28" t="n">
        <f aca="false">AX576*$M576</f>
        <v>0</v>
      </c>
      <c r="AZ576" s="30" t="n">
        <f aca="false">339883/100</f>
        <v>3398.83</v>
      </c>
      <c r="BA576" s="11" t="n">
        <v>1155602</v>
      </c>
      <c r="BB576" s="31" t="n">
        <f aca="false">SUM(Q576,S576,U576,W576,Y576,AA576,AC576,AE576,AG576,AI576,AK576,AM576,AO576,AQ576,AS576,AU576,AW576,AY576)</f>
        <v>1155602</v>
      </c>
      <c r="BC576" s="28" t="n">
        <f aca="false">BA576-BB576</f>
        <v>0</v>
      </c>
      <c r="BD576" s="32" t="n">
        <f aca="false">SUM(P576,R576,T576,V576,X576,Z576,AB576,AD576,AF576,AH576,AJ576,AL576,AN576,AP576,AR576,AT576,AV576,AX576)</f>
        <v>3398.83</v>
      </c>
      <c r="BE576" s="33" t="n">
        <f aca="false">AZ576-BD576</f>
        <v>0</v>
      </c>
      <c r="BF576" s="34" t="n">
        <f aca="false">BD576*M576</f>
        <v>1155602.2</v>
      </c>
      <c r="BG576" s="35" t="n">
        <f aca="false">BA576-BF576</f>
        <v>-0.199999999953434</v>
      </c>
      <c r="BH576" s="19" t="str">
        <f aca="false">IF(BG576=0,"",IF(BG576&lt;&gt;BA576,"erreur de calcul",IF(BD576&lt;&gt;0,"pas de prix",IF(M576&lt;&gt; 0,"pas de quantité","pas de prix, ni de quantité"))))</f>
        <v>erreur de calcul</v>
      </c>
      <c r="BI576" s="19"/>
    </row>
    <row r="577" customFormat="false" ht="16" hidden="false" customHeight="false" outlineLevel="0" collapsed="false">
      <c r="A577" s="0" t="n">
        <v>16</v>
      </c>
      <c r="B577" s="8" t="s">
        <v>24</v>
      </c>
      <c r="C577" s="9" t="s">
        <v>25</v>
      </c>
      <c r="D577" s="9" t="s">
        <v>26</v>
      </c>
      <c r="E577" s="10" t="n">
        <v>1789</v>
      </c>
      <c r="F577" s="9" t="s">
        <v>27</v>
      </c>
      <c r="G577" s="9" t="s">
        <v>27</v>
      </c>
      <c r="H577" s="11" t="n">
        <v>24</v>
      </c>
      <c r="I577" s="11" t="s">
        <v>305</v>
      </c>
      <c r="J577" s="14" t="n">
        <v>235</v>
      </c>
      <c r="K577" s="14"/>
      <c r="L577" s="16"/>
      <c r="M577" s="27" t="n">
        <f aca="false">J577+(K577/20)+(L577/240)</f>
        <v>235</v>
      </c>
      <c r="N577" s="17" t="s">
        <v>64</v>
      </c>
      <c r="O577" s="11"/>
      <c r="P577" s="28" t="n">
        <f aca="false">34642/100</f>
        <v>346.42</v>
      </c>
      <c r="Q577" s="28" t="n">
        <v>81409</v>
      </c>
      <c r="R577" s="28"/>
      <c r="S577" s="28" t="n">
        <f aca="false">R577*$M577</f>
        <v>0</v>
      </c>
      <c r="T577" s="28"/>
      <c r="U577" s="28" t="n">
        <f aca="false">T577*$M577</f>
        <v>0</v>
      </c>
      <c r="V577" s="28"/>
      <c r="W577" s="28" t="n">
        <f aca="false">V577*$M577</f>
        <v>0</v>
      </c>
      <c r="X577" s="28"/>
      <c r="Y577" s="28" t="n">
        <f aca="false">X577*$M577</f>
        <v>0</v>
      </c>
      <c r="Z577" s="28"/>
      <c r="AA577" s="28" t="n">
        <f aca="false">Z577*$M577</f>
        <v>0</v>
      </c>
      <c r="AB577" s="28"/>
      <c r="AC577" s="28" t="n">
        <f aca="false">AB577*$M577</f>
        <v>0</v>
      </c>
      <c r="AD577" s="28"/>
      <c r="AE577" s="28" t="n">
        <f aca="false">AD577*$M577</f>
        <v>0</v>
      </c>
      <c r="AF577" s="28"/>
      <c r="AG577" s="28" t="n">
        <f aca="false">AF577*$M577</f>
        <v>0</v>
      </c>
      <c r="AH577" s="28"/>
      <c r="AI577" s="28" t="n">
        <f aca="false">AH577*$M577</f>
        <v>0</v>
      </c>
      <c r="AJ577" s="28"/>
      <c r="AK577" s="28" t="n">
        <f aca="false">AJ577*$M577</f>
        <v>0</v>
      </c>
      <c r="AL577" s="28"/>
      <c r="AM577" s="28" t="n">
        <f aca="false">AL577*$M577</f>
        <v>0</v>
      </c>
      <c r="AN577" s="28"/>
      <c r="AO577" s="28" t="n">
        <f aca="false">AN577*$M577</f>
        <v>0</v>
      </c>
      <c r="AP577" s="28"/>
      <c r="AQ577" s="28" t="n">
        <f aca="false">AP577*$M577</f>
        <v>0</v>
      </c>
      <c r="AR577" s="28"/>
      <c r="AS577" s="28" t="n">
        <f aca="false">AR577*$M577</f>
        <v>0</v>
      </c>
      <c r="AT577" s="28"/>
      <c r="AU577" s="28" t="n">
        <f aca="false">AT577*$M577</f>
        <v>0</v>
      </c>
      <c r="AV577" s="28"/>
      <c r="AW577" s="28" t="n">
        <f aca="false">AV577*$M577</f>
        <v>0</v>
      </c>
      <c r="AX577" s="28"/>
      <c r="AY577" s="28" t="n">
        <f aca="false">AX577*$M577</f>
        <v>0</v>
      </c>
      <c r="AZ577" s="30" t="n">
        <f aca="false">34642/100</f>
        <v>346.42</v>
      </c>
      <c r="BA577" s="11" t="n">
        <v>81409</v>
      </c>
      <c r="BB577" s="31" t="n">
        <f aca="false">SUM(Q577,S577,U577,W577,Y577,AA577,AC577,AE577,AG577,AI577,AK577,AM577,AO577,AQ577,AS577,AU577,AW577,AY577)</f>
        <v>81409</v>
      </c>
      <c r="BC577" s="28" t="n">
        <f aca="false">BA577-BB577</f>
        <v>0</v>
      </c>
      <c r="BD577" s="32" t="n">
        <f aca="false">SUM(P577,R577,T577,V577,X577,Z577,AB577,AD577,AF577,AH577,AJ577,AL577,AN577,AP577,AR577,AT577,AV577,AX577)</f>
        <v>346.42</v>
      </c>
      <c r="BE577" s="33" t="n">
        <f aca="false">AZ577-BD577</f>
        <v>0</v>
      </c>
      <c r="BF577" s="34" t="n">
        <f aca="false">BD577*M577</f>
        <v>81408.7</v>
      </c>
      <c r="BG577" s="35" t="n">
        <f aca="false">BA577-BF577</f>
        <v>0.30000000000291</v>
      </c>
      <c r="BH577" s="19" t="str">
        <f aca="false">IF(BG577=0,"",IF(BG577&lt;&gt;BA577,"erreur de calcul",IF(BD577&lt;&gt;0,"pas de prix",IF(M577&lt;&gt; 0,"pas de quantité","pas de prix, ni de quantité"))))</f>
        <v>erreur de calcul</v>
      </c>
      <c r="BI577" s="19"/>
    </row>
    <row r="578" customFormat="false" ht="16" hidden="false" customHeight="false" outlineLevel="0" collapsed="false">
      <c r="A578" s="0" t="n">
        <v>17</v>
      </c>
      <c r="B578" s="8" t="s">
        <v>24</v>
      </c>
      <c r="C578" s="9" t="s">
        <v>25</v>
      </c>
      <c r="D578" s="9" t="s">
        <v>26</v>
      </c>
      <c r="E578" s="10" t="n">
        <v>1789</v>
      </c>
      <c r="F578" s="9" t="s">
        <v>27</v>
      </c>
      <c r="G578" s="9" t="s">
        <v>27</v>
      </c>
      <c r="H578" s="11" t="n">
        <v>24</v>
      </c>
      <c r="I578" s="11" t="s">
        <v>306</v>
      </c>
      <c r="J578" s="14" t="n">
        <v>71</v>
      </c>
      <c r="K578" s="14"/>
      <c r="L578" s="16"/>
      <c r="M578" s="27" t="n">
        <f aca="false">J578+(K578/20)+(L578/240)</f>
        <v>71</v>
      </c>
      <c r="N578" s="17" t="s">
        <v>64</v>
      </c>
      <c r="O578" s="11"/>
      <c r="P578" s="28"/>
      <c r="Q578" s="28" t="n">
        <f aca="false">P578*$M578</f>
        <v>0</v>
      </c>
      <c r="R578" s="28"/>
      <c r="S578" s="28" t="n">
        <f aca="false">R578*$M578</f>
        <v>0</v>
      </c>
      <c r="T578" s="28" t="n">
        <f aca="false">12674/100</f>
        <v>126.74</v>
      </c>
      <c r="U578" s="28" t="n">
        <v>8998</v>
      </c>
      <c r="V578" s="28"/>
      <c r="W578" s="28" t="n">
        <f aca="false">V578*$M578</f>
        <v>0</v>
      </c>
      <c r="X578" s="28"/>
      <c r="Y578" s="28" t="n">
        <f aca="false">X578*$M578</f>
        <v>0</v>
      </c>
      <c r="Z578" s="28"/>
      <c r="AA578" s="28" t="n">
        <f aca="false">Z578*$M578</f>
        <v>0</v>
      </c>
      <c r="AB578" s="28"/>
      <c r="AC578" s="28" t="n">
        <f aca="false">AB578*$M578</f>
        <v>0</v>
      </c>
      <c r="AD578" s="28" t="n">
        <f aca="false">4283/100</f>
        <v>42.83</v>
      </c>
      <c r="AE578" s="28" t="n">
        <v>3041</v>
      </c>
      <c r="AF578" s="28" t="n">
        <f aca="false">2978140/100</f>
        <v>29781.4</v>
      </c>
      <c r="AG578" s="28" t="n">
        <v>2114479</v>
      </c>
      <c r="AH578" s="28" t="n">
        <f aca="false">4119032/100</f>
        <v>41190.32</v>
      </c>
      <c r="AI578" s="28" t="n">
        <v>2924512</v>
      </c>
      <c r="AJ578" s="28"/>
      <c r="AK578" s="28" t="n">
        <f aca="false">AJ578*$M578</f>
        <v>0</v>
      </c>
      <c r="AL578" s="28"/>
      <c r="AM578" s="28" t="n">
        <f aca="false">AL578*$M578</f>
        <v>0</v>
      </c>
      <c r="AN578" s="28"/>
      <c r="AO578" s="28" t="n">
        <f aca="false">AN578*$M578</f>
        <v>0</v>
      </c>
      <c r="AP578" s="28"/>
      <c r="AQ578" s="28" t="n">
        <f aca="false">AP578*$M578</f>
        <v>0</v>
      </c>
      <c r="AR578" s="28"/>
      <c r="AS578" s="28" t="n">
        <f aca="false">AR578*$M578</f>
        <v>0</v>
      </c>
      <c r="AT578" s="28"/>
      <c r="AU578" s="28" t="n">
        <f aca="false">AT578*$M578</f>
        <v>0</v>
      </c>
      <c r="AV578" s="28"/>
      <c r="AW578" s="28" t="n">
        <f aca="false">AV578*$M578</f>
        <v>0</v>
      </c>
      <c r="AX578" s="28"/>
      <c r="AY578" s="28" t="n">
        <f aca="false">AX578*$M578</f>
        <v>0</v>
      </c>
      <c r="AZ578" s="30" t="n">
        <f aca="false">7114129/100</f>
        <v>71141.29</v>
      </c>
      <c r="BA578" s="11" t="n">
        <v>5051030</v>
      </c>
      <c r="BB578" s="31" t="n">
        <f aca="false">SUM(Q578,S578,U578,W578,Y578,AA578,AC578,AE578,AG578,AI578,AK578,AM578,AO578,AQ578,AS578,AU578,AW578,AY578)</f>
        <v>5051030</v>
      </c>
      <c r="BC578" s="28" t="n">
        <f aca="false">BA578-BB578</f>
        <v>0</v>
      </c>
      <c r="BD578" s="32" t="n">
        <f aca="false">SUM(P578,R578,T578,V578,X578,Z578,AB578,AD578,AF578,AH578,AJ578,AL578,AN578,AP578,AR578,AT578,AV578,AX578)</f>
        <v>71141.29</v>
      </c>
      <c r="BE578" s="33" t="n">
        <f aca="false">AZ578-BD578</f>
        <v>0</v>
      </c>
      <c r="BF578" s="34" t="n">
        <f aca="false">BD578*M578</f>
        <v>5051031.59</v>
      </c>
      <c r="BG578" s="35" t="n">
        <f aca="false">BA578-BF578</f>
        <v>-1.59000000078231</v>
      </c>
      <c r="BH578" s="19" t="str">
        <f aca="false">IF(BG578=0,"",IF(BG578&lt;&gt;BA578,"erreur de calcul",IF(BD578&lt;&gt;0,"pas de prix",IF(M578&lt;&gt; 0,"pas de quantité","pas de prix, ni de quantité"))))</f>
        <v>erreur de calcul</v>
      </c>
      <c r="BI578" s="19"/>
    </row>
    <row r="579" customFormat="false" ht="16" hidden="false" customHeight="false" outlineLevel="0" collapsed="false">
      <c r="A579" s="0" t="n">
        <v>18</v>
      </c>
      <c r="B579" s="8" t="s">
        <v>24</v>
      </c>
      <c r="C579" s="9" t="s">
        <v>25</v>
      </c>
      <c r="D579" s="9" t="s">
        <v>26</v>
      </c>
      <c r="E579" s="10" t="n">
        <v>1789</v>
      </c>
      <c r="F579" s="9" t="s">
        <v>27</v>
      </c>
      <c r="G579" s="9" t="s">
        <v>27</v>
      </c>
      <c r="H579" s="11" t="n">
        <v>24</v>
      </c>
      <c r="I579" s="11" t="s">
        <v>307</v>
      </c>
      <c r="J579" s="14" t="n">
        <v>45</v>
      </c>
      <c r="K579" s="14"/>
      <c r="L579" s="16"/>
      <c r="M579" s="27" t="n">
        <f aca="false">J579+(K579/20)+(L579/240)</f>
        <v>45</v>
      </c>
      <c r="N579" s="17" t="s">
        <v>64</v>
      </c>
      <c r="O579" s="11"/>
      <c r="P579" s="28"/>
      <c r="Q579" s="28" t="n">
        <f aca="false">P579*$M579</f>
        <v>0</v>
      </c>
      <c r="R579" s="28"/>
      <c r="S579" s="28" t="n">
        <f aca="false">R579*$M579</f>
        <v>0</v>
      </c>
      <c r="T579" s="28"/>
      <c r="U579" s="28" t="n">
        <f aca="false">T579*$M579</f>
        <v>0</v>
      </c>
      <c r="V579" s="28"/>
      <c r="W579" s="28" t="n">
        <f aca="false">V579*$M579</f>
        <v>0</v>
      </c>
      <c r="X579" s="28"/>
      <c r="Y579" s="28" t="n">
        <f aca="false">X579*$M579</f>
        <v>0</v>
      </c>
      <c r="Z579" s="28"/>
      <c r="AA579" s="28" t="n">
        <f aca="false">Z579*$M579</f>
        <v>0</v>
      </c>
      <c r="AB579" s="28"/>
      <c r="AC579" s="28" t="n">
        <f aca="false">AB579*$M579</f>
        <v>0</v>
      </c>
      <c r="AD579" s="28"/>
      <c r="AE579" s="28" t="n">
        <f aca="false">AD579*$M579</f>
        <v>0</v>
      </c>
      <c r="AF579" s="28"/>
      <c r="AG579" s="28" t="n">
        <f aca="false">AF579*$M579</f>
        <v>0</v>
      </c>
      <c r="AH579" s="28"/>
      <c r="AI579" s="28" t="n">
        <f aca="false">AH579*$M579</f>
        <v>0</v>
      </c>
      <c r="AJ579" s="28"/>
      <c r="AK579" s="28" t="n">
        <f aca="false">AJ579*$M579</f>
        <v>0</v>
      </c>
      <c r="AL579" s="28" t="n">
        <f aca="false">971/100</f>
        <v>9.71</v>
      </c>
      <c r="AM579" s="28" t="n">
        <v>437</v>
      </c>
      <c r="AN579" s="28"/>
      <c r="AO579" s="28" t="n">
        <f aca="false">AN579*$M579</f>
        <v>0</v>
      </c>
      <c r="AP579" s="28"/>
      <c r="AQ579" s="28" t="n">
        <f aca="false">AP579*$M579</f>
        <v>0</v>
      </c>
      <c r="AR579" s="28"/>
      <c r="AS579" s="28" t="n">
        <f aca="false">AR579*$M579</f>
        <v>0</v>
      </c>
      <c r="AT579" s="28"/>
      <c r="AU579" s="28" t="n">
        <f aca="false">AT579*$M579</f>
        <v>0</v>
      </c>
      <c r="AV579" s="28"/>
      <c r="AW579" s="28" t="n">
        <f aca="false">AV579*$M579</f>
        <v>0</v>
      </c>
      <c r="AX579" s="28"/>
      <c r="AY579" s="28" t="n">
        <f aca="false">AX579*$M579</f>
        <v>0</v>
      </c>
      <c r="AZ579" s="30" t="n">
        <f aca="false">971/100</f>
        <v>9.71</v>
      </c>
      <c r="BA579" s="11" t="n">
        <v>437</v>
      </c>
      <c r="BB579" s="31" t="n">
        <f aca="false">SUM(Q579,S579,U579,W579,Y579,AA579,AC579,AE579,AG579,AI579,AK579,AM579,AO579,AQ579,AS579,AU579,AW579,AY579)</f>
        <v>437</v>
      </c>
      <c r="BC579" s="28" t="n">
        <f aca="false">BA579-BB579</f>
        <v>0</v>
      </c>
      <c r="BD579" s="32" t="n">
        <f aca="false">SUM(P579,R579,T579,V579,X579,Z579,AB579,AD579,AF579,AH579,AJ579,AL579,AN579,AP579,AR579,AT579,AV579,AX579)</f>
        <v>9.71</v>
      </c>
      <c r="BE579" s="33" t="n">
        <f aca="false">AZ579-BD579</f>
        <v>0</v>
      </c>
      <c r="BF579" s="34" t="n">
        <f aca="false">BD579*M579</f>
        <v>436.95</v>
      </c>
      <c r="BG579" s="35" t="n">
        <f aca="false">BA579-BF579</f>
        <v>0.0499999999999545</v>
      </c>
      <c r="BH579" s="19" t="str">
        <f aca="false">IF(BG579=0,"",IF(BG579&lt;&gt;BA579,"erreur de calcul",IF(BD579&lt;&gt;0,"pas de prix",IF(M579&lt;&gt; 0,"pas de quantité","pas de prix, ni de quantité"))))</f>
        <v>erreur de calcul</v>
      </c>
      <c r="BI579" s="19"/>
    </row>
    <row r="580" customFormat="false" ht="16" hidden="false" customHeight="false" outlineLevel="0" collapsed="false">
      <c r="A580" s="0" t="n">
        <v>19</v>
      </c>
      <c r="B580" s="8" t="s">
        <v>24</v>
      </c>
      <c r="C580" s="9" t="s">
        <v>25</v>
      </c>
      <c r="D580" s="9" t="s">
        <v>26</v>
      </c>
      <c r="E580" s="10" t="n">
        <v>1789</v>
      </c>
      <c r="F580" s="9" t="s">
        <v>27</v>
      </c>
      <c r="G580" s="9" t="s">
        <v>27</v>
      </c>
      <c r="H580" s="11" t="n">
        <v>24</v>
      </c>
      <c r="I580" s="11" t="s">
        <v>308</v>
      </c>
      <c r="J580" s="14" t="n">
        <v>240</v>
      </c>
      <c r="K580" s="14"/>
      <c r="L580" s="16"/>
      <c r="M580" s="27" t="n">
        <f aca="false">J580+(K580/20)+(L580/240)</f>
        <v>240</v>
      </c>
      <c r="N580" s="17" t="s">
        <v>64</v>
      </c>
      <c r="O580" s="11"/>
      <c r="P580" s="28"/>
      <c r="Q580" s="28" t="n">
        <f aca="false">P580*$M580</f>
        <v>0</v>
      </c>
      <c r="R580" s="28"/>
      <c r="S580" s="28" t="n">
        <f aca="false">R580*$M580</f>
        <v>0</v>
      </c>
      <c r="T580" s="28"/>
      <c r="U580" s="28" t="n">
        <f aca="false">T580*$M580</f>
        <v>0</v>
      </c>
      <c r="V580" s="28"/>
      <c r="W580" s="28" t="n">
        <f aca="false">V580*$M580</f>
        <v>0</v>
      </c>
      <c r="X580" s="28"/>
      <c r="Y580" s="28" t="n">
        <f aca="false">X580*$M580</f>
        <v>0</v>
      </c>
      <c r="Z580" s="28"/>
      <c r="AA580" s="28" t="n">
        <f aca="false">Z580*$M580</f>
        <v>0</v>
      </c>
      <c r="AB580" s="28"/>
      <c r="AC580" s="28" t="n">
        <f aca="false">AB580*$M580</f>
        <v>0</v>
      </c>
      <c r="AD580" s="28"/>
      <c r="AE580" s="28" t="n">
        <f aca="false">AD580*$M580</f>
        <v>0</v>
      </c>
      <c r="AF580" s="28"/>
      <c r="AG580" s="28" t="n">
        <f aca="false">AF580*$M580</f>
        <v>0</v>
      </c>
      <c r="AH580" s="28"/>
      <c r="AI580" s="28" t="n">
        <f aca="false">AH580*$M580</f>
        <v>0</v>
      </c>
      <c r="AJ580" s="28" t="n">
        <f aca="false">2173/100</f>
        <v>21.73</v>
      </c>
      <c r="AK580" s="28" t="n">
        <v>5215</v>
      </c>
      <c r="AL580" s="28"/>
      <c r="AM580" s="28" t="n">
        <f aca="false">AL580*$M580</f>
        <v>0</v>
      </c>
      <c r="AN580" s="28"/>
      <c r="AO580" s="28" t="n">
        <f aca="false">AN580*$M580</f>
        <v>0</v>
      </c>
      <c r="AP580" s="28"/>
      <c r="AQ580" s="28" t="n">
        <f aca="false">AP580*$M580</f>
        <v>0</v>
      </c>
      <c r="AR580" s="28"/>
      <c r="AS580" s="28" t="n">
        <f aca="false">AR580*$M580</f>
        <v>0</v>
      </c>
      <c r="AT580" s="28"/>
      <c r="AU580" s="28" t="n">
        <f aca="false">AT580*$M580</f>
        <v>0</v>
      </c>
      <c r="AV580" s="28"/>
      <c r="AW580" s="28" t="n">
        <f aca="false">AV580*$M580</f>
        <v>0</v>
      </c>
      <c r="AX580" s="28"/>
      <c r="AY580" s="28" t="n">
        <f aca="false">AX580*$M580</f>
        <v>0</v>
      </c>
      <c r="AZ580" s="30" t="n">
        <f aca="false">2173/100</f>
        <v>21.73</v>
      </c>
      <c r="BA580" s="11" t="n">
        <v>5215</v>
      </c>
      <c r="BB580" s="31" t="n">
        <f aca="false">SUM(Q580,S580,U580,W580,Y580,AA580,AC580,AE580,AG580,AI580,AK580,AM580,AO580,AQ580,AS580,AU580,AW580,AY580)</f>
        <v>5215</v>
      </c>
      <c r="BC580" s="28" t="n">
        <f aca="false">BA580-BB580</f>
        <v>0</v>
      </c>
      <c r="BD580" s="32" t="n">
        <f aca="false">SUM(P580,R580,T580,V580,X580,Z580,AB580,AD580,AF580,AH580,AJ580,AL580,AN580,AP580,AR580,AT580,AV580,AX580)</f>
        <v>21.73</v>
      </c>
      <c r="BE580" s="33" t="n">
        <f aca="false">AZ580-BD580</f>
        <v>0</v>
      </c>
      <c r="BF580" s="34" t="n">
        <f aca="false">BD580*M580</f>
        <v>5215.2</v>
      </c>
      <c r="BG580" s="35" t="n">
        <f aca="false">BA580-BF580</f>
        <v>-0.199999999999818</v>
      </c>
      <c r="BH580" s="19" t="str">
        <f aca="false">IF(BG580=0,"",IF(BG580&lt;&gt;BA580,"erreur de calcul",IF(BD580&lt;&gt;0,"pas de prix",IF(M580&lt;&gt; 0,"pas de quantité","pas de prix, ni de quantité"))))</f>
        <v>erreur de calcul</v>
      </c>
      <c r="BI580" s="19"/>
    </row>
    <row r="581" customFormat="false" ht="16" hidden="false" customHeight="false" outlineLevel="0" collapsed="false">
      <c r="A581" s="0" t="n">
        <v>20</v>
      </c>
      <c r="B581" s="8" t="s">
        <v>24</v>
      </c>
      <c r="C581" s="9" t="s">
        <v>25</v>
      </c>
      <c r="D581" s="9" t="s">
        <v>26</v>
      </c>
      <c r="E581" s="10" t="n">
        <v>1789</v>
      </c>
      <c r="F581" s="9" t="s">
        <v>27</v>
      </c>
      <c r="G581" s="9" t="s">
        <v>27</v>
      </c>
      <c r="H581" s="11" t="n">
        <v>24</v>
      </c>
      <c r="I581" s="11" t="s">
        <v>309</v>
      </c>
      <c r="J581" s="14"/>
      <c r="K581" s="14"/>
      <c r="L581" s="16"/>
      <c r="M581" s="27" t="n">
        <f aca="false">J581+(K581/20)+(L581/240)</f>
        <v>0</v>
      </c>
      <c r="N581" s="17"/>
      <c r="O581" s="11"/>
      <c r="P581" s="28"/>
      <c r="Q581" s="28" t="n">
        <f aca="false">P581*$M581</f>
        <v>0</v>
      </c>
      <c r="R581" s="28"/>
      <c r="S581" s="28" t="n">
        <f aca="false">R581*$M581</f>
        <v>0</v>
      </c>
      <c r="T581" s="28"/>
      <c r="U581" s="28" t="n">
        <v>195</v>
      </c>
      <c r="V581" s="28"/>
      <c r="W581" s="28" t="n">
        <v>640</v>
      </c>
      <c r="X581" s="28"/>
      <c r="Y581" s="28" t="n">
        <f aca="false">X581*$M581</f>
        <v>0</v>
      </c>
      <c r="Z581" s="28"/>
      <c r="AA581" s="28" t="n">
        <f aca="false">Z581*$M581</f>
        <v>0</v>
      </c>
      <c r="AB581" s="28"/>
      <c r="AC581" s="28" t="n">
        <f aca="false">AB581*$M581</f>
        <v>0</v>
      </c>
      <c r="AD581" s="28"/>
      <c r="AE581" s="28" t="n">
        <f aca="false">AD581*$M581</f>
        <v>0</v>
      </c>
      <c r="AF581" s="28"/>
      <c r="AG581" s="28" t="n">
        <f aca="false">AF581*$M581</f>
        <v>0</v>
      </c>
      <c r="AH581" s="28"/>
      <c r="AI581" s="28" t="n">
        <v>121</v>
      </c>
      <c r="AJ581" s="28"/>
      <c r="AK581" s="28" t="n">
        <v>412</v>
      </c>
      <c r="AL581" s="28"/>
      <c r="AM581" s="28" t="n">
        <f aca="false">AL581*$M581</f>
        <v>0</v>
      </c>
      <c r="AN581" s="28"/>
      <c r="AO581" s="28" t="n">
        <f aca="false">AN581*$M581</f>
        <v>0</v>
      </c>
      <c r="AP581" s="28"/>
      <c r="AQ581" s="28" t="n">
        <f aca="false">AP581*$M581</f>
        <v>0</v>
      </c>
      <c r="AR581" s="28"/>
      <c r="AS581" s="28" t="n">
        <f aca="false">AR581*$M581</f>
        <v>0</v>
      </c>
      <c r="AT581" s="28"/>
      <c r="AU581" s="28" t="n">
        <f aca="false">AT581*$M581</f>
        <v>0</v>
      </c>
      <c r="AV581" s="28"/>
      <c r="AW581" s="28" t="n">
        <f aca="false">AV581*$M581</f>
        <v>0</v>
      </c>
      <c r="AX581" s="28"/>
      <c r="AY581" s="28" t="n">
        <f aca="false">AX581*$M581</f>
        <v>0</v>
      </c>
      <c r="AZ581" s="30"/>
      <c r="BA581" s="11" t="n">
        <v>1368</v>
      </c>
      <c r="BB581" s="31" t="n">
        <f aca="false">SUM(Q581,S581,U581,W581,Y581,AA581,AC581,AE581,AG581,AI581,AK581,AM581,AO581,AQ581,AS581,AU581,AW581,AY581)</f>
        <v>1368</v>
      </c>
      <c r="BC581" s="28" t="n">
        <f aca="false">BA581-BB581</f>
        <v>0</v>
      </c>
      <c r="BD581" s="32" t="n">
        <f aca="false">SUM(P581,R581,T581,V581,X581,Z581,AB581,AD581,AF581,AH581,AJ581,AL581,AN581,AP581,AR581,AT581,AV581,AX581)</f>
        <v>0</v>
      </c>
      <c r="BE581" s="33" t="n">
        <f aca="false">AZ581-BD581</f>
        <v>0</v>
      </c>
      <c r="BF581" s="34" t="n">
        <f aca="false">BD581*M581</f>
        <v>0</v>
      </c>
      <c r="BG581" s="35" t="n">
        <f aca="false">BA581-BF581</f>
        <v>1368</v>
      </c>
      <c r="BH581" s="19" t="str">
        <f aca="false">IF(BG581=0,"",IF(BG581&lt;&gt;BA581,"erreur de calcul",IF(BD581&lt;&gt;0,"pas de prix",IF(M581&lt;&gt; 0,"pas de quantité","pas de prix, ni de quantité"))))</f>
        <v>pas de prix, ni de quantité</v>
      </c>
      <c r="BI581" s="19"/>
    </row>
    <row r="582" customFormat="false" ht="16" hidden="false" customHeight="false" outlineLevel="0" collapsed="false">
      <c r="A582" s="0" t="n">
        <v>21</v>
      </c>
      <c r="B582" s="8" t="s">
        <v>24</v>
      </c>
      <c r="C582" s="9" t="s">
        <v>25</v>
      </c>
      <c r="D582" s="9" t="s">
        <v>26</v>
      </c>
      <c r="E582" s="10" t="n">
        <v>1789</v>
      </c>
      <c r="F582" s="9" t="s">
        <v>27</v>
      </c>
      <c r="G582" s="9" t="s">
        <v>27</v>
      </c>
      <c r="H582" s="11" t="n">
        <v>24</v>
      </c>
      <c r="I582" s="11" t="s">
        <v>310</v>
      </c>
      <c r="J582" s="14"/>
      <c r="K582" s="14" t="n">
        <v>3</v>
      </c>
      <c r="L582" s="16"/>
      <c r="M582" s="27" t="n">
        <f aca="false">J582+(K582/20)+(L582/240)</f>
        <v>0.15</v>
      </c>
      <c r="N582" s="17" t="s">
        <v>311</v>
      </c>
      <c r="O582" s="11"/>
      <c r="P582" s="28"/>
      <c r="Q582" s="28" t="n">
        <f aca="false">P582*$M582</f>
        <v>0</v>
      </c>
      <c r="R582" s="28"/>
      <c r="S582" s="28" t="n">
        <f aca="false">R582*$M582</f>
        <v>0</v>
      </c>
      <c r="T582" s="28"/>
      <c r="U582" s="28" t="n">
        <f aca="false">T582*$M582</f>
        <v>0</v>
      </c>
      <c r="V582" s="28" t="n">
        <v>32065</v>
      </c>
      <c r="W582" s="28" t="n">
        <v>4810</v>
      </c>
      <c r="X582" s="28" t="n">
        <v>20652</v>
      </c>
      <c r="Y582" s="28" t="n">
        <v>3098</v>
      </c>
      <c r="Z582" s="28"/>
      <c r="AA582" s="28" t="n">
        <f aca="false">Z582*$M582</f>
        <v>0</v>
      </c>
      <c r="AB582" s="28"/>
      <c r="AC582" s="28" t="n">
        <f aca="false">AB582*$M582</f>
        <v>0</v>
      </c>
      <c r="AD582" s="28"/>
      <c r="AE582" s="28" t="n">
        <f aca="false">AD582*$M582</f>
        <v>0</v>
      </c>
      <c r="AF582" s="28"/>
      <c r="AG582" s="28" t="n">
        <f aca="false">AF582*$M582</f>
        <v>0</v>
      </c>
      <c r="AH582" s="28"/>
      <c r="AI582" s="28" t="n">
        <f aca="false">AH582*$M582</f>
        <v>0</v>
      </c>
      <c r="AJ582" s="28"/>
      <c r="AK582" s="28" t="n">
        <f aca="false">AJ582*$M582</f>
        <v>0</v>
      </c>
      <c r="AL582" s="28"/>
      <c r="AM582" s="28" t="n">
        <f aca="false">AL582*$M582</f>
        <v>0</v>
      </c>
      <c r="AN582" s="28"/>
      <c r="AO582" s="28" t="n">
        <f aca="false">AN582*$M582</f>
        <v>0</v>
      </c>
      <c r="AP582" s="28"/>
      <c r="AQ582" s="28" t="n">
        <f aca="false">AP582*$M582</f>
        <v>0</v>
      </c>
      <c r="AR582" s="28"/>
      <c r="AS582" s="28" t="n">
        <f aca="false">AR582*$M582</f>
        <v>0</v>
      </c>
      <c r="AT582" s="28"/>
      <c r="AU582" s="28" t="n">
        <f aca="false">AT582*$M582</f>
        <v>0</v>
      </c>
      <c r="AV582" s="28"/>
      <c r="AW582" s="28" t="n">
        <f aca="false">AV582*$M582</f>
        <v>0</v>
      </c>
      <c r="AX582" s="28"/>
      <c r="AY582" s="28" t="n">
        <f aca="false">AX582*$M582</f>
        <v>0</v>
      </c>
      <c r="AZ582" s="30" t="n">
        <v>52717</v>
      </c>
      <c r="BA582" s="11" t="n">
        <v>7908</v>
      </c>
      <c r="BB582" s="31" t="n">
        <f aca="false">SUM(Q582,S582,U582,W582,Y582,AA582,AC582,AE582,AG582,AI582,AK582,AM582,AO582,AQ582,AS582,AU582,AW582,AY582)</f>
        <v>7908</v>
      </c>
      <c r="BC582" s="28" t="n">
        <f aca="false">BA582-BB582</f>
        <v>0</v>
      </c>
      <c r="BD582" s="32" t="n">
        <f aca="false">SUM(P582,R582,T582,V582,X582,Z582,AB582,AD582,AF582,AH582,AJ582,AL582,AN582,AP582,AR582,AT582,AV582,AX582)</f>
        <v>52717</v>
      </c>
      <c r="BE582" s="33" t="n">
        <f aca="false">AZ582-BD582</f>
        <v>0</v>
      </c>
      <c r="BF582" s="34" t="n">
        <f aca="false">BD582*M582</f>
        <v>7907.55</v>
      </c>
      <c r="BG582" s="35" t="n">
        <f aca="false">BA582-BF582</f>
        <v>0.450000000000728</v>
      </c>
      <c r="BH582" s="19" t="str">
        <f aca="false">IF(BG582=0,"",IF(BG582&lt;&gt;BA582,"erreur de calcul",IF(BD582&lt;&gt;0,"pas de prix",IF(M582&lt;&gt; 0,"pas de quantité","pas de prix, ni de quantité"))))</f>
        <v>erreur de calcul</v>
      </c>
      <c r="BI582" s="19"/>
    </row>
    <row r="583" customFormat="false" ht="16" hidden="false" customHeight="false" outlineLevel="0" collapsed="false">
      <c r="A583" s="0" t="n">
        <v>22</v>
      </c>
      <c r="B583" s="8" t="s">
        <v>24</v>
      </c>
      <c r="C583" s="9" t="s">
        <v>25</v>
      </c>
      <c r="D583" s="9" t="s">
        <v>26</v>
      </c>
      <c r="E583" s="10" t="n">
        <v>1789</v>
      </c>
      <c r="F583" s="9" t="s">
        <v>27</v>
      </c>
      <c r="G583" s="9" t="s">
        <v>27</v>
      </c>
      <c r="H583" s="11" t="n">
        <v>24</v>
      </c>
      <c r="I583" s="11" t="s">
        <v>312</v>
      </c>
      <c r="J583" s="14" t="n">
        <v>15</v>
      </c>
      <c r="K583" s="14"/>
      <c r="L583" s="16"/>
      <c r="M583" s="27" t="n">
        <f aca="false">J583+(K583/20)+(L583/240)</f>
        <v>15</v>
      </c>
      <c r="N583" s="17" t="s">
        <v>275</v>
      </c>
      <c r="O583" s="11"/>
      <c r="P583" s="28"/>
      <c r="Q583" s="28" t="n">
        <f aca="false">P583*$M583</f>
        <v>0</v>
      </c>
      <c r="R583" s="28"/>
      <c r="S583" s="28" t="n">
        <f aca="false">R583*$M583</f>
        <v>0</v>
      </c>
      <c r="T583" s="28" t="n">
        <v>1479</v>
      </c>
      <c r="U583" s="28" t="n">
        <v>22185</v>
      </c>
      <c r="V583" s="28" t="n">
        <v>1500</v>
      </c>
      <c r="W583" s="28" t="n">
        <v>22500</v>
      </c>
      <c r="X583" s="28" t="n">
        <v>300</v>
      </c>
      <c r="Y583" s="28" t="n">
        <v>4500</v>
      </c>
      <c r="Z583" s="28" t="n">
        <v>168</v>
      </c>
      <c r="AA583" s="28" t="n">
        <v>2520</v>
      </c>
      <c r="AB583" s="28" t="n">
        <v>14570</v>
      </c>
      <c r="AC583" s="28" t="n">
        <v>218550</v>
      </c>
      <c r="AD583" s="28"/>
      <c r="AE583" s="28" t="n">
        <f aca="false">AD583*$M583</f>
        <v>0</v>
      </c>
      <c r="AF583" s="28" t="n">
        <v>5748</v>
      </c>
      <c r="AG583" s="28" t="n">
        <v>86220</v>
      </c>
      <c r="AH583" s="28"/>
      <c r="AI583" s="28" t="n">
        <f aca="false">AH583*$M583</f>
        <v>0</v>
      </c>
      <c r="AJ583" s="28" t="n">
        <v>710</v>
      </c>
      <c r="AK583" s="28" t="n">
        <v>10650</v>
      </c>
      <c r="AL583" s="28" t="n">
        <v>600</v>
      </c>
      <c r="AM583" s="28" t="n">
        <v>9000</v>
      </c>
      <c r="AN583" s="28"/>
      <c r="AO583" s="28" t="n">
        <f aca="false">AN583*$M583</f>
        <v>0</v>
      </c>
      <c r="AP583" s="28" t="n">
        <v>1200</v>
      </c>
      <c r="AQ583" s="28" t="n">
        <v>18000</v>
      </c>
      <c r="AR583" s="28"/>
      <c r="AS583" s="28" t="n">
        <f aca="false">AR583*$M583</f>
        <v>0</v>
      </c>
      <c r="AT583" s="28"/>
      <c r="AU583" s="28" t="n">
        <f aca="false">AT583*$M583</f>
        <v>0</v>
      </c>
      <c r="AV583" s="28"/>
      <c r="AW583" s="28" t="n">
        <f aca="false">AV583*$M583</f>
        <v>0</v>
      </c>
      <c r="AX583" s="28"/>
      <c r="AY583" s="28" t="n">
        <f aca="false">AX583*$M583</f>
        <v>0</v>
      </c>
      <c r="AZ583" s="30" t="n">
        <v>26275</v>
      </c>
      <c r="BA583" s="11" t="n">
        <v>394125</v>
      </c>
      <c r="BB583" s="31" t="n">
        <f aca="false">SUM(Q583,S583,U583,W583,Y583,AA583,AC583,AE583,AG583,AI583,AK583,AM583,AO583,AQ583,AS583,AU583,AW583,AY583)</f>
        <v>394125</v>
      </c>
      <c r="BC583" s="28" t="n">
        <f aca="false">BA583-BB583</f>
        <v>0</v>
      </c>
      <c r="BD583" s="32" t="n">
        <f aca="false">SUM(P583,R583,T583,V583,X583,Z583,AB583,AD583,AF583,AH583,AJ583,AL583,AN583,AP583,AR583,AT583,AV583,AX583)</f>
        <v>26275</v>
      </c>
      <c r="BE583" s="33" t="n">
        <f aca="false">AZ583-BD583</f>
        <v>0</v>
      </c>
      <c r="BF583" s="34" t="n">
        <f aca="false">BD583*M583</f>
        <v>394125</v>
      </c>
      <c r="BG583" s="35" t="n">
        <f aca="false">BA583-BF583</f>
        <v>0</v>
      </c>
      <c r="BH583" s="19" t="str">
        <f aca="false">IF(BG583=0,"",IF(BG583&lt;&gt;BA583,"erreur de calcul",IF(BD583&lt;&gt;0,"pas de prix",IF(M583&lt;&gt; 0,"pas de quantité","pas de prix, ni de quantité"))))</f>
        <v/>
      </c>
      <c r="BI583" s="19"/>
    </row>
    <row r="584" customFormat="false" ht="16" hidden="false" customHeight="false" outlineLevel="0" collapsed="false">
      <c r="A584" s="0" t="n">
        <v>23</v>
      </c>
      <c r="B584" s="8" t="s">
        <v>24</v>
      </c>
      <c r="C584" s="9" t="s">
        <v>25</v>
      </c>
      <c r="D584" s="9" t="s">
        <v>26</v>
      </c>
      <c r="E584" s="10" t="n">
        <v>1789</v>
      </c>
      <c r="F584" s="9" t="s">
        <v>27</v>
      </c>
      <c r="G584" s="9" t="s">
        <v>27</v>
      </c>
      <c r="H584" s="11" t="n">
        <v>24</v>
      </c>
      <c r="I584" s="11" t="s">
        <v>313</v>
      </c>
      <c r="J584" s="14" t="n">
        <v>9</v>
      </c>
      <c r="K584" s="14"/>
      <c r="L584" s="16"/>
      <c r="M584" s="27" t="n">
        <f aca="false">J584+(K584/20)+(L584/240)</f>
        <v>9</v>
      </c>
      <c r="N584" s="17" t="s">
        <v>64</v>
      </c>
      <c r="O584" s="11"/>
      <c r="P584" s="28"/>
      <c r="Q584" s="28" t="n">
        <f aca="false">P584*$M584</f>
        <v>0</v>
      </c>
      <c r="R584" s="28"/>
      <c r="S584" s="28" t="n">
        <f aca="false">R584*$M584</f>
        <v>0</v>
      </c>
      <c r="T584" s="28"/>
      <c r="U584" s="28" t="n">
        <f aca="false">T584*$M584</f>
        <v>0</v>
      </c>
      <c r="V584" s="28" t="n">
        <f aca="false">145504/100</f>
        <v>1455.04</v>
      </c>
      <c r="W584" s="28" t="n">
        <v>13095</v>
      </c>
      <c r="X584" s="28" t="n">
        <f aca="false">58504/100</f>
        <v>585.04</v>
      </c>
      <c r="Y584" s="28" t="n">
        <v>5265</v>
      </c>
      <c r="Z584" s="28" t="n">
        <f aca="false">17027/100</f>
        <v>170.27</v>
      </c>
      <c r="AA584" s="28" t="n">
        <v>1532</v>
      </c>
      <c r="AB584" s="28" t="n">
        <f aca="false">84396/100</f>
        <v>843.96</v>
      </c>
      <c r="AC584" s="28" t="n">
        <v>7596</v>
      </c>
      <c r="AD584" s="28"/>
      <c r="AE584" s="28" t="n">
        <f aca="false">AD584*$M584</f>
        <v>0</v>
      </c>
      <c r="AF584" s="28" t="n">
        <f aca="false">14807/100</f>
        <v>148.07</v>
      </c>
      <c r="AG584" s="28" t="n">
        <v>1333</v>
      </c>
      <c r="AH584" s="28"/>
      <c r="AI584" s="28" t="n">
        <f aca="false">AH584*$M584</f>
        <v>0</v>
      </c>
      <c r="AJ584" s="28"/>
      <c r="AK584" s="28" t="n">
        <f aca="false">AJ584*$M584</f>
        <v>0</v>
      </c>
      <c r="AL584" s="28"/>
      <c r="AM584" s="28" t="n">
        <f aca="false">AL584*$M584</f>
        <v>0</v>
      </c>
      <c r="AN584" s="28"/>
      <c r="AO584" s="28" t="n">
        <f aca="false">AN584*$M584</f>
        <v>0</v>
      </c>
      <c r="AP584" s="28"/>
      <c r="AQ584" s="28" t="n">
        <f aca="false">AP584*$M584</f>
        <v>0</v>
      </c>
      <c r="AR584" s="28"/>
      <c r="AS584" s="28" t="n">
        <f aca="false">AR584*$M584</f>
        <v>0</v>
      </c>
      <c r="AT584" s="28"/>
      <c r="AU584" s="28" t="n">
        <f aca="false">AT584*$M584</f>
        <v>0</v>
      </c>
      <c r="AV584" s="28"/>
      <c r="AW584" s="28" t="n">
        <f aca="false">AV584*$M584</f>
        <v>0</v>
      </c>
      <c r="AX584" s="28"/>
      <c r="AY584" s="28" t="n">
        <f aca="false">AX584*$M584</f>
        <v>0</v>
      </c>
      <c r="AZ584" s="30" t="n">
        <f aca="false">320238/100</f>
        <v>3202.38</v>
      </c>
      <c r="BA584" s="11" t="n">
        <v>28821</v>
      </c>
      <c r="BB584" s="31" t="n">
        <f aca="false">SUM(Q584,S584,U584,W584,Y584,AA584,AC584,AE584,AG584,AI584,AK584,AM584,AO584,AQ584,AS584,AU584,AW584,AY584)</f>
        <v>28821</v>
      </c>
      <c r="BC584" s="28" t="n">
        <f aca="false">BA584-BB584</f>
        <v>0</v>
      </c>
      <c r="BD584" s="32" t="n">
        <f aca="false">SUM(P584,R584,T584,V584,X584,Z584,AB584,AD584,AF584,AH584,AJ584,AL584,AN584,AP584,AR584,AT584,AV584,AX584)</f>
        <v>3202.38</v>
      </c>
      <c r="BE584" s="33" t="n">
        <f aca="false">AZ584-BD584</f>
        <v>0</v>
      </c>
      <c r="BF584" s="34" t="n">
        <f aca="false">BD584*M584</f>
        <v>28821.42</v>
      </c>
      <c r="BG584" s="35" t="n">
        <f aca="false">BA584-BF584</f>
        <v>-0.420000000001892</v>
      </c>
      <c r="BH584" s="19" t="str">
        <f aca="false">IF(BG584=0,"",IF(BG584&lt;&gt;BA584,"erreur de calcul",IF(BD584&lt;&gt;0,"pas de prix",IF(M584&lt;&gt; 0,"pas de quantité","pas de prix, ni de quantité"))))</f>
        <v>erreur de calcul</v>
      </c>
      <c r="BI584" s="19"/>
    </row>
    <row r="585" customFormat="false" ht="16" hidden="false" customHeight="false" outlineLevel="0" collapsed="false">
      <c r="A585" s="0" t="n">
        <v>24</v>
      </c>
      <c r="B585" s="8" t="s">
        <v>24</v>
      </c>
      <c r="C585" s="9" t="s">
        <v>25</v>
      </c>
      <c r="D585" s="9" t="s">
        <v>26</v>
      </c>
      <c r="E585" s="10" t="n">
        <v>1789</v>
      </c>
      <c r="F585" s="9" t="s">
        <v>27</v>
      </c>
      <c r="G585" s="9" t="s">
        <v>27</v>
      </c>
      <c r="H585" s="11" t="n">
        <v>24</v>
      </c>
      <c r="I585" s="11" t="s">
        <v>314</v>
      </c>
      <c r="J585" s="14"/>
      <c r="K585" s="14" t="n">
        <v>4</v>
      </c>
      <c r="L585" s="16"/>
      <c r="M585" s="27" t="n">
        <f aca="false">J585+(K585/20)+(L585/240)</f>
        <v>0.2</v>
      </c>
      <c r="N585" s="17" t="s">
        <v>311</v>
      </c>
      <c r="O585" s="11"/>
      <c r="P585" s="28"/>
      <c r="Q585" s="28" t="n">
        <f aca="false">P585*$M585</f>
        <v>0</v>
      </c>
      <c r="R585" s="28"/>
      <c r="S585" s="28" t="n">
        <f aca="false">R585*$M585</f>
        <v>0</v>
      </c>
      <c r="T585" s="28"/>
      <c r="U585" s="28" t="n">
        <f aca="false">T585*$M585</f>
        <v>0</v>
      </c>
      <c r="V585" s="28" t="n">
        <v>5800</v>
      </c>
      <c r="W585" s="28" t="n">
        <v>1160</v>
      </c>
      <c r="X585" s="28"/>
      <c r="Y585" s="28" t="n">
        <f aca="false">X585*$M585</f>
        <v>0</v>
      </c>
      <c r="Z585" s="28"/>
      <c r="AA585" s="28" t="n">
        <f aca="false">Z585*$M585</f>
        <v>0</v>
      </c>
      <c r="AB585" s="28"/>
      <c r="AC585" s="28" t="n">
        <f aca="false">AB585*$M585</f>
        <v>0</v>
      </c>
      <c r="AD585" s="28"/>
      <c r="AE585" s="28" t="n">
        <f aca="false">AD585*$M585</f>
        <v>0</v>
      </c>
      <c r="AF585" s="28"/>
      <c r="AG585" s="28" t="n">
        <f aca="false">AF585*$M585</f>
        <v>0</v>
      </c>
      <c r="AH585" s="28"/>
      <c r="AI585" s="28" t="n">
        <f aca="false">AH585*$M585</f>
        <v>0</v>
      </c>
      <c r="AJ585" s="28"/>
      <c r="AK585" s="28" t="n">
        <f aca="false">AJ585*$M585</f>
        <v>0</v>
      </c>
      <c r="AL585" s="28"/>
      <c r="AM585" s="28" t="n">
        <f aca="false">AL585*$M585</f>
        <v>0</v>
      </c>
      <c r="AN585" s="28"/>
      <c r="AO585" s="28" t="n">
        <f aca="false">AN585*$M585</f>
        <v>0</v>
      </c>
      <c r="AP585" s="28"/>
      <c r="AQ585" s="28" t="n">
        <f aca="false">AP585*$M585</f>
        <v>0</v>
      </c>
      <c r="AR585" s="28"/>
      <c r="AS585" s="28" t="n">
        <f aca="false">AR585*$M585</f>
        <v>0</v>
      </c>
      <c r="AT585" s="28"/>
      <c r="AU585" s="28" t="n">
        <f aca="false">AT585*$M585</f>
        <v>0</v>
      </c>
      <c r="AV585" s="28"/>
      <c r="AW585" s="28" t="n">
        <f aca="false">AV585*$M585</f>
        <v>0</v>
      </c>
      <c r="AX585" s="28"/>
      <c r="AY585" s="28" t="n">
        <f aca="false">AX585*$M585</f>
        <v>0</v>
      </c>
      <c r="AZ585" s="30" t="n">
        <v>5800</v>
      </c>
      <c r="BA585" s="11" t="n">
        <v>1160</v>
      </c>
      <c r="BB585" s="31" t="n">
        <f aca="false">SUM(Q585,S585,U585,W585,Y585,AA585,AC585,AE585,AG585,AI585,AK585,AM585,AO585,AQ585,AS585,AU585,AW585,AY585)</f>
        <v>1160</v>
      </c>
      <c r="BC585" s="28" t="n">
        <f aca="false">BA585-BB585</f>
        <v>0</v>
      </c>
      <c r="BD585" s="32" t="n">
        <f aca="false">SUM(P585,R585,T585,V585,X585,Z585,AB585,AD585,AF585,AH585,AJ585,AL585,AN585,AP585,AR585,AT585,AV585,AX585)</f>
        <v>5800</v>
      </c>
      <c r="BE585" s="33" t="n">
        <f aca="false">AZ585-BD585</f>
        <v>0</v>
      </c>
      <c r="BF585" s="34" t="n">
        <f aca="false">BD585*M585</f>
        <v>1160</v>
      </c>
      <c r="BG585" s="35" t="n">
        <f aca="false">BA585-BF585</f>
        <v>0</v>
      </c>
      <c r="BH585" s="19" t="str">
        <f aca="false">IF(BG585=0,"",IF(BG585&lt;&gt;BA585,"erreur de calcul",IF(BD585&lt;&gt;0,"pas de prix",IF(M585&lt;&gt; 0,"pas de quantité","pas de prix, ni de quantité"))))</f>
        <v/>
      </c>
      <c r="BI585" s="19"/>
    </row>
    <row r="586" customFormat="false" ht="16" hidden="false" customHeight="false" outlineLevel="0" collapsed="false">
      <c r="A586" s="0" t="n">
        <v>25</v>
      </c>
      <c r="B586" s="8" t="s">
        <v>24</v>
      </c>
      <c r="C586" s="9" t="s">
        <v>25</v>
      </c>
      <c r="D586" s="9" t="s">
        <v>26</v>
      </c>
      <c r="E586" s="10" t="n">
        <v>1789</v>
      </c>
      <c r="F586" s="9" t="s">
        <v>27</v>
      </c>
      <c r="G586" s="9" t="s">
        <v>27</v>
      </c>
      <c r="H586" s="11" t="n">
        <v>24</v>
      </c>
      <c r="I586" s="11" t="s">
        <v>315</v>
      </c>
      <c r="J586" s="14" t="n">
        <v>10</v>
      </c>
      <c r="K586" s="14"/>
      <c r="L586" s="16"/>
      <c r="M586" s="27" t="n">
        <f aca="false">J586+(K586/20)+(L586/240)</f>
        <v>10</v>
      </c>
      <c r="N586" s="17" t="s">
        <v>64</v>
      </c>
      <c r="O586" s="11"/>
      <c r="P586" s="28"/>
      <c r="Q586" s="28" t="n">
        <f aca="false">P586*$M586</f>
        <v>0</v>
      </c>
      <c r="R586" s="28"/>
      <c r="S586" s="28" t="n">
        <f aca="false">R586*$M586</f>
        <v>0</v>
      </c>
      <c r="T586" s="28"/>
      <c r="U586" s="28" t="n">
        <f aca="false">T586*$M586</f>
        <v>0</v>
      </c>
      <c r="V586" s="28"/>
      <c r="W586" s="28" t="n">
        <f aca="false">V586*$M586</f>
        <v>0</v>
      </c>
      <c r="X586" s="28"/>
      <c r="Y586" s="28" t="n">
        <f aca="false">X586*$M586</f>
        <v>0</v>
      </c>
      <c r="Z586" s="28"/>
      <c r="AA586" s="28" t="n">
        <f aca="false">Z586*$M586</f>
        <v>0</v>
      </c>
      <c r="AB586" s="28"/>
      <c r="AC586" s="28" t="n">
        <f aca="false">AB586*$M586</f>
        <v>0</v>
      </c>
      <c r="AD586" s="28"/>
      <c r="AE586" s="28" t="n">
        <f aca="false">AD586*$M586</f>
        <v>0</v>
      </c>
      <c r="AF586" s="28"/>
      <c r="AG586" s="28" t="n">
        <f aca="false">AF586*$M586</f>
        <v>0</v>
      </c>
      <c r="AH586" s="28"/>
      <c r="AI586" s="28" t="n">
        <f aca="false">AH586*$M586</f>
        <v>0</v>
      </c>
      <c r="AJ586" s="28" t="n">
        <f aca="false">13584/100</f>
        <v>135.84</v>
      </c>
      <c r="AK586" s="28" t="n">
        <v>1358</v>
      </c>
      <c r="AL586" s="28"/>
      <c r="AM586" s="28" t="n">
        <f aca="false">AL586*$M586</f>
        <v>0</v>
      </c>
      <c r="AN586" s="28"/>
      <c r="AO586" s="28" t="n">
        <f aca="false">AN586*$M586</f>
        <v>0</v>
      </c>
      <c r="AP586" s="28"/>
      <c r="AQ586" s="28" t="n">
        <f aca="false">AP586*$M586</f>
        <v>0</v>
      </c>
      <c r="AR586" s="28"/>
      <c r="AS586" s="28" t="n">
        <f aca="false">AR586*$M586</f>
        <v>0</v>
      </c>
      <c r="AT586" s="28"/>
      <c r="AU586" s="28" t="n">
        <f aca="false">AT586*$M586</f>
        <v>0</v>
      </c>
      <c r="AV586" s="28"/>
      <c r="AW586" s="28" t="n">
        <f aca="false">AV586*$M586</f>
        <v>0</v>
      </c>
      <c r="AX586" s="28"/>
      <c r="AY586" s="28" t="n">
        <f aca="false">AX586*$M586</f>
        <v>0</v>
      </c>
      <c r="AZ586" s="30" t="n">
        <f aca="false">13584/100</f>
        <v>135.84</v>
      </c>
      <c r="BA586" s="11" t="n">
        <v>1358</v>
      </c>
      <c r="BB586" s="31" t="n">
        <f aca="false">SUM(Q586,S586,U586,W586,Y586,AA586,AC586,AE586,AG586,AI586,AK586,AM586,AO586,AQ586,AS586,AU586,AW586,AY586)</f>
        <v>1358</v>
      </c>
      <c r="BC586" s="28" t="n">
        <f aca="false">BA586-BB586</f>
        <v>0</v>
      </c>
      <c r="BD586" s="32" t="n">
        <f aca="false">SUM(P586,R586,T586,V586,X586,Z586,AB586,AD586,AF586,AH586,AJ586,AL586,AN586,AP586,AR586,AT586,AV586,AX586)</f>
        <v>135.84</v>
      </c>
      <c r="BE586" s="33" t="n">
        <f aca="false">AZ586-BD586</f>
        <v>0</v>
      </c>
      <c r="BF586" s="34" t="n">
        <f aca="false">BD586*M586</f>
        <v>1358.4</v>
      </c>
      <c r="BG586" s="35" t="n">
        <f aca="false">BA586-BF586</f>
        <v>-0.400000000000091</v>
      </c>
      <c r="BH586" s="19" t="str">
        <f aca="false">IF(BG586=0,"",IF(BG586&lt;&gt;BA586,"erreur de calcul",IF(BD586&lt;&gt;0,"pas de prix",IF(M586&lt;&gt; 0,"pas de quantité","pas de prix, ni de quantité"))))</f>
        <v>erreur de calcul</v>
      </c>
      <c r="BI586" s="19"/>
    </row>
    <row r="587" customFormat="false" ht="16" hidden="false" customHeight="false" outlineLevel="0" collapsed="false">
      <c r="A587" s="0" t="n">
        <v>26</v>
      </c>
      <c r="B587" s="8" t="s">
        <v>24</v>
      </c>
      <c r="C587" s="9" t="s">
        <v>25</v>
      </c>
      <c r="D587" s="9" t="s">
        <v>26</v>
      </c>
      <c r="E587" s="10" t="n">
        <v>1789</v>
      </c>
      <c r="F587" s="9" t="s">
        <v>27</v>
      </c>
      <c r="G587" s="9" t="s">
        <v>27</v>
      </c>
      <c r="H587" s="11" t="n">
        <v>24</v>
      </c>
      <c r="I587" s="11" t="s">
        <v>316</v>
      </c>
      <c r="J587" s="14" t="n">
        <v>12</v>
      </c>
      <c r="K587" s="14"/>
      <c r="L587" s="16"/>
      <c r="M587" s="27" t="n">
        <f aca="false">J587+(K587/20)+(L587/240)</f>
        <v>12</v>
      </c>
      <c r="N587" s="17" t="s">
        <v>64</v>
      </c>
      <c r="O587" s="11"/>
      <c r="P587" s="28" t="n">
        <f aca="false">8690/100</f>
        <v>86.9</v>
      </c>
      <c r="Q587" s="28" t="n">
        <v>1043</v>
      </c>
      <c r="R587" s="28"/>
      <c r="S587" s="28" t="n">
        <f aca="false">R587*$M587</f>
        <v>0</v>
      </c>
      <c r="T587" s="28"/>
      <c r="U587" s="28" t="n">
        <f aca="false">T587*$M587</f>
        <v>0</v>
      </c>
      <c r="V587" s="28"/>
      <c r="W587" s="28" t="n">
        <f aca="false">V587*$M587</f>
        <v>0</v>
      </c>
      <c r="X587" s="28" t="n">
        <f aca="false">10000/100</f>
        <v>100</v>
      </c>
      <c r="Y587" s="28" t="n">
        <v>1200</v>
      </c>
      <c r="Z587" s="28"/>
      <c r="AA587" s="28" t="n">
        <f aca="false">Z587*$M587</f>
        <v>0</v>
      </c>
      <c r="AB587" s="28"/>
      <c r="AC587" s="28" t="n">
        <f aca="false">AB587*$M587</f>
        <v>0</v>
      </c>
      <c r="AD587" s="28"/>
      <c r="AE587" s="28" t="n">
        <f aca="false">AD587*$M587</f>
        <v>0</v>
      </c>
      <c r="AF587" s="28"/>
      <c r="AG587" s="28" t="n">
        <f aca="false">AF587*$M587</f>
        <v>0</v>
      </c>
      <c r="AH587" s="28"/>
      <c r="AI587" s="28" t="n">
        <f aca="false">AH587*$M587</f>
        <v>0</v>
      </c>
      <c r="AJ587" s="28"/>
      <c r="AK587" s="28" t="n">
        <f aca="false">AJ587*$M587</f>
        <v>0</v>
      </c>
      <c r="AL587" s="28"/>
      <c r="AM587" s="28" t="n">
        <f aca="false">AL587*$M587</f>
        <v>0</v>
      </c>
      <c r="AN587" s="28"/>
      <c r="AO587" s="28" t="n">
        <f aca="false">AN587*$M587</f>
        <v>0</v>
      </c>
      <c r="AP587" s="28"/>
      <c r="AQ587" s="28" t="n">
        <f aca="false">AP587*$M587</f>
        <v>0</v>
      </c>
      <c r="AR587" s="28"/>
      <c r="AS587" s="28" t="n">
        <f aca="false">AR587*$M587</f>
        <v>0</v>
      </c>
      <c r="AT587" s="28"/>
      <c r="AU587" s="28" t="n">
        <f aca="false">AT587*$M587</f>
        <v>0</v>
      </c>
      <c r="AV587" s="28"/>
      <c r="AW587" s="28" t="n">
        <f aca="false">AV587*$M587</f>
        <v>0</v>
      </c>
      <c r="AX587" s="28"/>
      <c r="AY587" s="28" t="n">
        <f aca="false">AX587*$M587</f>
        <v>0</v>
      </c>
      <c r="AZ587" s="30" t="n">
        <f aca="false">18690/100</f>
        <v>186.9</v>
      </c>
      <c r="BA587" s="11" t="n">
        <v>2243</v>
      </c>
      <c r="BB587" s="31" t="n">
        <f aca="false">SUM(Q587,S587,U587,W587,Y587,AA587,AC587,AE587,AG587,AI587,AK587,AM587,AO587,AQ587,AS587,AU587,AW587,AY587)</f>
        <v>2243</v>
      </c>
      <c r="BC587" s="28" t="n">
        <f aca="false">BA587-BB587</f>
        <v>0</v>
      </c>
      <c r="BD587" s="32" t="n">
        <f aca="false">SUM(P587,R587,T587,V587,X587,Z587,AB587,AD587,AF587,AH587,AJ587,AL587,AN587,AP587,AR587,AT587,AV587,AX587)</f>
        <v>186.9</v>
      </c>
      <c r="BE587" s="33" t="n">
        <f aca="false">AZ587-BD587</f>
        <v>0</v>
      </c>
      <c r="BF587" s="34" t="n">
        <f aca="false">BD587*M587</f>
        <v>2242.8</v>
      </c>
      <c r="BG587" s="35" t="n">
        <f aca="false">BA587-BF587</f>
        <v>0.199999999999818</v>
      </c>
      <c r="BH587" s="19" t="str">
        <f aca="false">IF(BG587=0,"",IF(BG587&lt;&gt;BA587,"erreur de calcul",IF(BD587&lt;&gt;0,"pas de prix",IF(M587&lt;&gt; 0,"pas de quantité","pas de prix, ni de quantité"))))</f>
        <v>erreur de calcul</v>
      </c>
      <c r="BI587" s="19"/>
    </row>
    <row r="588" customFormat="false" ht="16" hidden="false" customHeight="false" outlineLevel="0" collapsed="false">
      <c r="A588" s="0" t="n">
        <v>27</v>
      </c>
      <c r="B588" s="8" t="s">
        <v>24</v>
      </c>
      <c r="C588" s="9" t="s">
        <v>25</v>
      </c>
      <c r="D588" s="9" t="s">
        <v>26</v>
      </c>
      <c r="E588" s="10" t="n">
        <v>1789</v>
      </c>
      <c r="F588" s="9" t="s">
        <v>27</v>
      </c>
      <c r="G588" s="9" t="s">
        <v>27</v>
      </c>
      <c r="H588" s="11" t="n">
        <v>24</v>
      </c>
      <c r="I588" s="11" t="s">
        <v>317</v>
      </c>
      <c r="J588" s="14" t="n">
        <v>2</v>
      </c>
      <c r="K588" s="14"/>
      <c r="L588" s="16"/>
      <c r="M588" s="27" t="n">
        <f aca="false">J588+(K588/20)+(L588/240)</f>
        <v>2</v>
      </c>
      <c r="N588" s="17" t="s">
        <v>64</v>
      </c>
      <c r="O588" s="11"/>
      <c r="P588" s="28"/>
      <c r="Q588" s="28" t="n">
        <f aca="false">P588*$M588</f>
        <v>0</v>
      </c>
      <c r="R588" s="28"/>
      <c r="S588" s="28" t="n">
        <f aca="false">R588*$M588</f>
        <v>0</v>
      </c>
      <c r="T588" s="28"/>
      <c r="U588" s="28" t="n">
        <f aca="false">T588*$M588</f>
        <v>0</v>
      </c>
      <c r="V588" s="28"/>
      <c r="W588" s="28" t="n">
        <f aca="false">V588*$M588</f>
        <v>0</v>
      </c>
      <c r="X588" s="28"/>
      <c r="Y588" s="28" t="n">
        <f aca="false">X588*$M588</f>
        <v>0</v>
      </c>
      <c r="Z588" s="28"/>
      <c r="AA588" s="28" t="n">
        <f aca="false">Z588*$M588</f>
        <v>0</v>
      </c>
      <c r="AB588" s="28" t="n">
        <f aca="false">15417/100</f>
        <v>154.17</v>
      </c>
      <c r="AC588" s="28" t="n">
        <v>308</v>
      </c>
      <c r="AD588" s="28"/>
      <c r="AE588" s="28" t="n">
        <f aca="false">AD588*$M588</f>
        <v>0</v>
      </c>
      <c r="AF588" s="28"/>
      <c r="AG588" s="28" t="n">
        <f aca="false">AF588*$M588</f>
        <v>0</v>
      </c>
      <c r="AH588" s="28"/>
      <c r="AI588" s="28" t="n">
        <f aca="false">AH588*$M588</f>
        <v>0</v>
      </c>
      <c r="AJ588" s="28"/>
      <c r="AK588" s="28" t="n">
        <f aca="false">AJ588*$M588</f>
        <v>0</v>
      </c>
      <c r="AL588" s="28"/>
      <c r="AM588" s="28" t="n">
        <f aca="false">AL588*$M588</f>
        <v>0</v>
      </c>
      <c r="AN588" s="28"/>
      <c r="AO588" s="28" t="n">
        <f aca="false">AN588*$M588</f>
        <v>0</v>
      </c>
      <c r="AP588" s="28"/>
      <c r="AQ588" s="28" t="n">
        <f aca="false">AP588*$M588</f>
        <v>0</v>
      </c>
      <c r="AR588" s="28"/>
      <c r="AS588" s="28" t="n">
        <f aca="false">AR588*$M588</f>
        <v>0</v>
      </c>
      <c r="AT588" s="28"/>
      <c r="AU588" s="28" t="n">
        <f aca="false">AT588*$M588</f>
        <v>0</v>
      </c>
      <c r="AV588" s="28"/>
      <c r="AW588" s="28" t="n">
        <f aca="false">AV588*$M588</f>
        <v>0</v>
      </c>
      <c r="AX588" s="28"/>
      <c r="AY588" s="28" t="n">
        <f aca="false">AX588*$M588</f>
        <v>0</v>
      </c>
      <c r="AZ588" s="30" t="n">
        <f aca="false">15417/100</f>
        <v>154.17</v>
      </c>
      <c r="BA588" s="11" t="n">
        <v>308</v>
      </c>
      <c r="BB588" s="31" t="n">
        <f aca="false">SUM(Q588,S588,U588,W588,Y588,AA588,AC588,AE588,AG588,AI588,AK588,AM588,AO588,AQ588,AS588,AU588,AW588,AY588)</f>
        <v>308</v>
      </c>
      <c r="BC588" s="28" t="n">
        <f aca="false">BA588-BB588</f>
        <v>0</v>
      </c>
      <c r="BD588" s="32" t="n">
        <f aca="false">SUM(P588,R588,T588,V588,X588,Z588,AB588,AD588,AF588,AH588,AJ588,AL588,AN588,AP588,AR588,AT588,AV588,AX588)</f>
        <v>154.17</v>
      </c>
      <c r="BE588" s="33" t="n">
        <f aca="false">AZ588-BD588</f>
        <v>0</v>
      </c>
      <c r="BF588" s="34" t="n">
        <f aca="false">BD588*M588</f>
        <v>308.34</v>
      </c>
      <c r="BG588" s="35" t="n">
        <f aca="false">BA588-BF588</f>
        <v>-0.339999999999975</v>
      </c>
      <c r="BH588" s="19" t="str">
        <f aca="false">IF(BG588=0,"",IF(BG588&lt;&gt;BA588,"erreur de calcul",IF(BD588&lt;&gt;0,"pas de prix",IF(M588&lt;&gt; 0,"pas de quantité","pas de prix, ni de quantité"))))</f>
        <v>erreur de calcul</v>
      </c>
      <c r="BI588" s="19"/>
    </row>
    <row r="589" customFormat="false" ht="16" hidden="false" customHeight="false" outlineLevel="0" collapsed="false">
      <c r="A589" s="0" t="n">
        <v>28</v>
      </c>
      <c r="B589" s="8" t="s">
        <v>24</v>
      </c>
      <c r="C589" s="9" t="s">
        <v>25</v>
      </c>
      <c r="D589" s="9" t="s">
        <v>26</v>
      </c>
      <c r="E589" s="10" t="n">
        <v>1789</v>
      </c>
      <c r="F589" s="9" t="s">
        <v>27</v>
      </c>
      <c r="G589" s="9" t="s">
        <v>27</v>
      </c>
      <c r="H589" s="11" t="n">
        <v>24</v>
      </c>
      <c r="I589" s="11" t="s">
        <v>318</v>
      </c>
      <c r="J589" s="14" t="n">
        <v>30</v>
      </c>
      <c r="K589" s="14"/>
      <c r="L589" s="16"/>
      <c r="M589" s="27" t="n">
        <f aca="false">J589+(K589/20)+(L589/240)</f>
        <v>30</v>
      </c>
      <c r="N589" s="17" t="s">
        <v>64</v>
      </c>
      <c r="O589" s="11"/>
      <c r="P589" s="28" t="n">
        <f aca="false">55459/100</f>
        <v>554.59</v>
      </c>
      <c r="Q589" s="28" t="n">
        <v>16638</v>
      </c>
      <c r="R589" s="28"/>
      <c r="S589" s="28" t="n">
        <f aca="false">R589*$M589</f>
        <v>0</v>
      </c>
      <c r="T589" s="28"/>
      <c r="U589" s="28" t="n">
        <f aca="false">T589*$M589</f>
        <v>0</v>
      </c>
      <c r="V589" s="28"/>
      <c r="W589" s="28" t="n">
        <f aca="false">V589*$M589</f>
        <v>0</v>
      </c>
      <c r="X589" s="28"/>
      <c r="Y589" s="28" t="n">
        <f aca="false">X589*$M589</f>
        <v>0</v>
      </c>
      <c r="Z589" s="28"/>
      <c r="AA589" s="28" t="n">
        <f aca="false">Z589*$M589</f>
        <v>0</v>
      </c>
      <c r="AB589" s="28"/>
      <c r="AC589" s="28" t="n">
        <f aca="false">AB589*$M589</f>
        <v>0</v>
      </c>
      <c r="AD589" s="28"/>
      <c r="AE589" s="28" t="n">
        <f aca="false">AD589*$M589</f>
        <v>0</v>
      </c>
      <c r="AF589" s="28"/>
      <c r="AG589" s="28" t="n">
        <f aca="false">AF589*$M589</f>
        <v>0</v>
      </c>
      <c r="AH589" s="28"/>
      <c r="AI589" s="28" t="n">
        <f aca="false">AH589*$M589</f>
        <v>0</v>
      </c>
      <c r="AJ589" s="28"/>
      <c r="AK589" s="28" t="n">
        <f aca="false">AJ589*$M589</f>
        <v>0</v>
      </c>
      <c r="AL589" s="28"/>
      <c r="AM589" s="28" t="n">
        <f aca="false">AL589*$M589</f>
        <v>0</v>
      </c>
      <c r="AN589" s="28"/>
      <c r="AO589" s="28" t="n">
        <f aca="false">AN589*$M589</f>
        <v>0</v>
      </c>
      <c r="AP589" s="28"/>
      <c r="AQ589" s="28" t="n">
        <f aca="false">AP589*$M589</f>
        <v>0</v>
      </c>
      <c r="AR589" s="28"/>
      <c r="AS589" s="28" t="n">
        <f aca="false">AR589*$M589</f>
        <v>0</v>
      </c>
      <c r="AT589" s="28"/>
      <c r="AU589" s="28" t="n">
        <f aca="false">AT589*$M589</f>
        <v>0</v>
      </c>
      <c r="AV589" s="28"/>
      <c r="AW589" s="28" t="n">
        <f aca="false">AV589*$M589</f>
        <v>0</v>
      </c>
      <c r="AX589" s="28"/>
      <c r="AY589" s="28" t="n">
        <f aca="false">AX589*$M589</f>
        <v>0</v>
      </c>
      <c r="AZ589" s="30" t="n">
        <f aca="false">55459/100</f>
        <v>554.59</v>
      </c>
      <c r="BA589" s="11" t="n">
        <v>16638</v>
      </c>
      <c r="BB589" s="31" t="n">
        <f aca="false">SUM(Q589,S589,U589,W589,Y589,AA589,AC589,AE589,AG589,AI589,AK589,AM589,AO589,AQ589,AS589,AU589,AW589,AY589)</f>
        <v>16638</v>
      </c>
      <c r="BC589" s="28" t="n">
        <f aca="false">BA589-BB589</f>
        <v>0</v>
      </c>
      <c r="BD589" s="32" t="n">
        <f aca="false">SUM(P589,R589,T589,V589,X589,Z589,AB589,AD589,AF589,AH589,AJ589,AL589,AN589,AP589,AR589,AT589,AV589,AX589)</f>
        <v>554.59</v>
      </c>
      <c r="BE589" s="33" t="n">
        <f aca="false">AZ589-BD589</f>
        <v>0</v>
      </c>
      <c r="BF589" s="34" t="n">
        <f aca="false">BD589*M589</f>
        <v>16637.7</v>
      </c>
      <c r="BG589" s="35" t="n">
        <f aca="false">BA589-BF589</f>
        <v>0.299999999999272</v>
      </c>
      <c r="BH589" s="19" t="str">
        <f aca="false">IF(BG589=0,"",IF(BG589&lt;&gt;BA589,"erreur de calcul",IF(BD589&lt;&gt;0,"pas de prix",IF(M589&lt;&gt; 0,"pas de quantité","pas de prix, ni de quantité"))))</f>
        <v>erreur de calcul</v>
      </c>
      <c r="BI589" s="19"/>
    </row>
    <row r="590" customFormat="false" ht="16" hidden="false" customHeight="false" outlineLevel="0" collapsed="false">
      <c r="A590" s="0" t="n">
        <v>29</v>
      </c>
      <c r="B590" s="8" t="s">
        <v>24</v>
      </c>
      <c r="C590" s="9" t="s">
        <v>25</v>
      </c>
      <c r="D590" s="9" t="s">
        <v>26</v>
      </c>
      <c r="E590" s="10" t="n">
        <v>1789</v>
      </c>
      <c r="F590" s="9" t="s">
        <v>27</v>
      </c>
      <c r="G590" s="9" t="s">
        <v>27</v>
      </c>
      <c r="H590" s="11" t="n">
        <v>24</v>
      </c>
      <c r="I590" s="11" t="s">
        <v>319</v>
      </c>
      <c r="J590" s="14" t="n">
        <v>10</v>
      </c>
      <c r="K590" s="14"/>
      <c r="L590" s="16"/>
      <c r="M590" s="27" t="n">
        <f aca="false">J590+(K590/20)+(L590/240)</f>
        <v>10</v>
      </c>
      <c r="N590" s="17" t="s">
        <v>64</v>
      </c>
      <c r="O590" s="11"/>
      <c r="P590" s="28" t="n">
        <f aca="false">48819/100</f>
        <v>488.19</v>
      </c>
      <c r="Q590" s="28" t="n">
        <v>4882</v>
      </c>
      <c r="R590" s="28"/>
      <c r="S590" s="28" t="n">
        <f aca="false">R590*$M590</f>
        <v>0</v>
      </c>
      <c r="T590" s="28" t="n">
        <f aca="false">2500/100</f>
        <v>25</v>
      </c>
      <c r="U590" s="28" t="n">
        <v>250</v>
      </c>
      <c r="V590" s="28"/>
      <c r="W590" s="28" t="n">
        <f aca="false">V590*$M590</f>
        <v>0</v>
      </c>
      <c r="X590" s="28" t="n">
        <f aca="false">6667/100</f>
        <v>66.67</v>
      </c>
      <c r="Y590" s="28" t="n">
        <v>667</v>
      </c>
      <c r="Z590" s="28"/>
      <c r="AA590" s="28" t="n">
        <f aca="false">Z590*$M590</f>
        <v>0</v>
      </c>
      <c r="AB590" s="28"/>
      <c r="AC590" s="28" t="n">
        <f aca="false">AB590*$M590</f>
        <v>0</v>
      </c>
      <c r="AD590" s="28"/>
      <c r="AE590" s="28" t="n">
        <f aca="false">AD590*$M590</f>
        <v>0</v>
      </c>
      <c r="AF590" s="28"/>
      <c r="AG590" s="28" t="n">
        <f aca="false">AF590*$M590</f>
        <v>0</v>
      </c>
      <c r="AH590" s="28"/>
      <c r="AI590" s="28" t="n">
        <f aca="false">AH590*$M590</f>
        <v>0</v>
      </c>
      <c r="AJ590" s="28"/>
      <c r="AK590" s="28" t="n">
        <f aca="false">AJ590*$M590</f>
        <v>0</v>
      </c>
      <c r="AL590" s="28"/>
      <c r="AM590" s="28" t="n">
        <f aca="false">AL590*$M590</f>
        <v>0</v>
      </c>
      <c r="AN590" s="28"/>
      <c r="AO590" s="28" t="n">
        <f aca="false">AN590*$M590</f>
        <v>0</v>
      </c>
      <c r="AP590" s="28"/>
      <c r="AQ590" s="28" t="n">
        <f aca="false">AP590*$M590</f>
        <v>0</v>
      </c>
      <c r="AR590" s="28"/>
      <c r="AS590" s="28" t="n">
        <f aca="false">AR590*$M590</f>
        <v>0</v>
      </c>
      <c r="AT590" s="28"/>
      <c r="AU590" s="28" t="n">
        <f aca="false">AT590*$M590</f>
        <v>0</v>
      </c>
      <c r="AV590" s="28"/>
      <c r="AW590" s="28" t="n">
        <f aca="false">AV590*$M590</f>
        <v>0</v>
      </c>
      <c r="AX590" s="28"/>
      <c r="AY590" s="28" t="n">
        <f aca="false">AX590*$M590</f>
        <v>0</v>
      </c>
      <c r="AZ590" s="30" t="n">
        <f aca="false">57986/100</f>
        <v>579.86</v>
      </c>
      <c r="BA590" s="11" t="n">
        <v>5799</v>
      </c>
      <c r="BB590" s="31" t="n">
        <f aca="false">SUM(Q590,S590,U590,W590,Y590,AA590,AC590,AE590,AG590,AI590,AK590,AM590,AO590,AQ590,AS590,AU590,AW590,AY590)</f>
        <v>5799</v>
      </c>
      <c r="BC590" s="28" t="n">
        <f aca="false">BA590-BB590</f>
        <v>0</v>
      </c>
      <c r="BD590" s="32" t="n">
        <f aca="false">SUM(P590,R590,T590,V590,X590,Z590,AB590,AD590,AF590,AH590,AJ590,AL590,AN590,AP590,AR590,AT590,AV590,AX590)</f>
        <v>579.86</v>
      </c>
      <c r="BE590" s="33" t="n">
        <f aca="false">AZ590-BD590</f>
        <v>0</v>
      </c>
      <c r="BF590" s="34" t="n">
        <f aca="false">BD590*M590</f>
        <v>5798.6</v>
      </c>
      <c r="BG590" s="35" t="n">
        <f aca="false">BA590-BF590</f>
        <v>0.399999999999636</v>
      </c>
      <c r="BH590" s="19" t="str">
        <f aca="false">IF(BG590=0,"",IF(BG590&lt;&gt;BA590,"erreur de calcul",IF(BD590&lt;&gt;0,"pas de prix",IF(M590&lt;&gt; 0,"pas de quantité","pas de prix, ni de quantité"))))</f>
        <v>erreur de calcul</v>
      </c>
      <c r="BI590" s="19"/>
    </row>
    <row r="591" customFormat="false" ht="16" hidden="false" customHeight="false" outlineLevel="0" collapsed="false">
      <c r="A591" s="0" t="n">
        <v>30</v>
      </c>
      <c r="B591" s="8" t="s">
        <v>24</v>
      </c>
      <c r="C591" s="9" t="s">
        <v>25</v>
      </c>
      <c r="D591" s="9" t="s">
        <v>26</v>
      </c>
      <c r="E591" s="10" t="n">
        <v>1789</v>
      </c>
      <c r="F591" s="9" t="s">
        <v>27</v>
      </c>
      <c r="G591" s="9" t="s">
        <v>27</v>
      </c>
      <c r="H591" s="11" t="n">
        <v>24</v>
      </c>
      <c r="I591" s="11" t="s">
        <v>320</v>
      </c>
      <c r="J591" s="14" t="n">
        <v>90</v>
      </c>
      <c r="K591" s="14"/>
      <c r="L591" s="16"/>
      <c r="M591" s="27" t="n">
        <f aca="false">J591+(K591/20)+(L591/240)</f>
        <v>90</v>
      </c>
      <c r="N591" s="17" t="s">
        <v>64</v>
      </c>
      <c r="O591" s="11"/>
      <c r="P591" s="28"/>
      <c r="Q591" s="28" t="n">
        <f aca="false">P591*$M591</f>
        <v>0</v>
      </c>
      <c r="R591" s="28"/>
      <c r="S591" s="28" t="n">
        <f aca="false">R591*$M591</f>
        <v>0</v>
      </c>
      <c r="T591" s="28"/>
      <c r="U591" s="28" t="n">
        <f aca="false">T591*$M591</f>
        <v>0</v>
      </c>
      <c r="V591" s="28"/>
      <c r="W591" s="28" t="n">
        <f aca="false">V591*$M591</f>
        <v>0</v>
      </c>
      <c r="X591" s="28"/>
      <c r="Y591" s="28" t="n">
        <f aca="false">X591*$M591</f>
        <v>0</v>
      </c>
      <c r="Z591" s="28"/>
      <c r="AA591" s="28" t="n">
        <f aca="false">Z591*$M591</f>
        <v>0</v>
      </c>
      <c r="AB591" s="28"/>
      <c r="AC591" s="28" t="n">
        <f aca="false">AB591*$M591</f>
        <v>0</v>
      </c>
      <c r="AD591" s="28"/>
      <c r="AE591" s="28" t="n">
        <f aca="false">AD591*$M591</f>
        <v>0</v>
      </c>
      <c r="AF591" s="28"/>
      <c r="AG591" s="28" t="n">
        <f aca="false">AF591*$M591</f>
        <v>0</v>
      </c>
      <c r="AH591" s="28"/>
      <c r="AI591" s="28" t="n">
        <f aca="false">AH591*$M591</f>
        <v>0</v>
      </c>
      <c r="AJ591" s="28"/>
      <c r="AK591" s="28" t="n">
        <f aca="false">AJ591*$M591</f>
        <v>0</v>
      </c>
      <c r="AL591" s="28" t="n">
        <f aca="false">2950/100</f>
        <v>29.5</v>
      </c>
      <c r="AM591" s="28" t="n">
        <v>2655</v>
      </c>
      <c r="AN591" s="28"/>
      <c r="AO591" s="28" t="n">
        <f aca="false">AN591*$M591</f>
        <v>0</v>
      </c>
      <c r="AP591" s="28"/>
      <c r="AQ591" s="28" t="n">
        <f aca="false">AP591*$M591</f>
        <v>0</v>
      </c>
      <c r="AR591" s="28"/>
      <c r="AS591" s="28" t="n">
        <f aca="false">AR591*$M591</f>
        <v>0</v>
      </c>
      <c r="AT591" s="28"/>
      <c r="AU591" s="28" t="n">
        <f aca="false">AT591*$M591</f>
        <v>0</v>
      </c>
      <c r="AV591" s="28"/>
      <c r="AW591" s="28" t="n">
        <f aca="false">AV591*$M591</f>
        <v>0</v>
      </c>
      <c r="AX591" s="28"/>
      <c r="AY591" s="28" t="n">
        <f aca="false">AX591*$M591</f>
        <v>0</v>
      </c>
      <c r="AZ591" s="30" t="n">
        <f aca="false">2950/100</f>
        <v>29.5</v>
      </c>
      <c r="BA591" s="11" t="n">
        <v>2655</v>
      </c>
      <c r="BB591" s="31" t="n">
        <f aca="false">SUM(Q591,S591,U591,W591,Y591,AA591,AC591,AE591,AG591,AI591,AK591,AM591,AO591,AQ591,AS591,AU591,AW591,AY591)</f>
        <v>2655</v>
      </c>
      <c r="BC591" s="28" t="n">
        <f aca="false">BA591-BB591</f>
        <v>0</v>
      </c>
      <c r="BD591" s="32" t="n">
        <f aca="false">SUM(P591,R591,T591,V591,X591,Z591,AB591,AD591,AF591,AH591,AJ591,AL591,AN591,AP591,AR591,AT591,AV591,AX591)</f>
        <v>29.5</v>
      </c>
      <c r="BE591" s="33" t="n">
        <f aca="false">AZ591-BD591</f>
        <v>0</v>
      </c>
      <c r="BF591" s="34" t="n">
        <f aca="false">BD591*M591</f>
        <v>2655</v>
      </c>
      <c r="BG591" s="35" t="n">
        <f aca="false">BA591-BF591</f>
        <v>0</v>
      </c>
      <c r="BH591" s="19" t="str">
        <f aca="false">IF(BG591=0,"",IF(BG591&lt;&gt;BA591,"erreur de calcul",IF(BD591&lt;&gt;0,"pas de prix",IF(M591&lt;&gt; 0,"pas de quantité","pas de prix, ni de quantité"))))</f>
        <v/>
      </c>
      <c r="BI591" s="19"/>
    </row>
    <row r="592" customFormat="false" ht="16" hidden="false" customHeight="false" outlineLevel="0" collapsed="false">
      <c r="A592" s="0" t="n">
        <v>31</v>
      </c>
      <c r="B592" s="8" t="s">
        <v>24</v>
      </c>
      <c r="C592" s="9" t="s">
        <v>25</v>
      </c>
      <c r="D592" s="9" t="s">
        <v>26</v>
      </c>
      <c r="E592" s="10" t="n">
        <v>1789</v>
      </c>
      <c r="F592" s="9" t="s">
        <v>27</v>
      </c>
      <c r="G592" s="9" t="s">
        <v>27</v>
      </c>
      <c r="H592" s="11" t="n">
        <v>24</v>
      </c>
      <c r="I592" s="11" t="s">
        <v>321</v>
      </c>
      <c r="J592" s="14" t="n">
        <v>50</v>
      </c>
      <c r="K592" s="14"/>
      <c r="L592" s="16"/>
      <c r="M592" s="27" t="n">
        <f aca="false">J592+(K592/20)+(L592/240)</f>
        <v>50</v>
      </c>
      <c r="N592" s="17" t="s">
        <v>64</v>
      </c>
      <c r="O592" s="11" t="s">
        <v>277</v>
      </c>
      <c r="P592" s="28"/>
      <c r="Q592" s="28" t="n">
        <f aca="false">P592*$M592</f>
        <v>0</v>
      </c>
      <c r="R592" s="28"/>
      <c r="S592" s="28" t="n">
        <f aca="false">R592*$M592</f>
        <v>0</v>
      </c>
      <c r="T592" s="28" t="n">
        <f aca="false">2*288*0.02+153*0.02</f>
        <v>14.58</v>
      </c>
      <c r="U592" s="28" t="n">
        <v>729</v>
      </c>
      <c r="V592" s="28" t="n">
        <f aca="false">2*288*0.02+118*0.02</f>
        <v>13.88</v>
      </c>
      <c r="W592" s="28" t="n">
        <v>694</v>
      </c>
      <c r="X592" s="28" t="n">
        <f aca="false">25*288*0.02+103*0.02</f>
        <v>146.06</v>
      </c>
      <c r="Y592" s="28" t="n">
        <v>7303</v>
      </c>
      <c r="Z592" s="28"/>
      <c r="AA592" s="28" t="n">
        <f aca="false">Z592*$M592</f>
        <v>0</v>
      </c>
      <c r="AB592" s="28" t="n">
        <f aca="false">1*288*0.02+74*0.02</f>
        <v>7.24</v>
      </c>
      <c r="AC592" s="28" t="n">
        <v>362</v>
      </c>
      <c r="AD592" s="28" t="n">
        <f aca="false">276*0.02</f>
        <v>5.52</v>
      </c>
      <c r="AE592" s="28" t="n">
        <v>276</v>
      </c>
      <c r="AF592" s="28"/>
      <c r="AG592" s="28" t="n">
        <f aca="false">AF592*$M592</f>
        <v>0</v>
      </c>
      <c r="AH592" s="28" t="n">
        <f aca="false">1*288*0.02+75*0.02</f>
        <v>7.26</v>
      </c>
      <c r="AI592" s="28" t="n">
        <v>363</v>
      </c>
      <c r="AJ592" s="28" t="n">
        <f aca="false">2*288*0.02+176*0.02</f>
        <v>15.04</v>
      </c>
      <c r="AK592" s="28" t="n">
        <v>752</v>
      </c>
      <c r="AL592" s="28"/>
      <c r="AM592" s="28" t="n">
        <f aca="false">AL592*$M592</f>
        <v>0</v>
      </c>
      <c r="AN592" s="28"/>
      <c r="AO592" s="28" t="n">
        <f aca="false">AN592*$M592</f>
        <v>0</v>
      </c>
      <c r="AP592" s="28"/>
      <c r="AQ592" s="28" t="n">
        <f aca="false">AP592*$M592</f>
        <v>0</v>
      </c>
      <c r="AR592" s="28"/>
      <c r="AS592" s="28" t="n">
        <f aca="false">AR592*$M592</f>
        <v>0</v>
      </c>
      <c r="AT592" s="28"/>
      <c r="AU592" s="28" t="n">
        <f aca="false">AT592*$M592</f>
        <v>0</v>
      </c>
      <c r="AV592" s="28"/>
      <c r="AW592" s="28" t="n">
        <f aca="false">AV592*$M592</f>
        <v>0</v>
      </c>
      <c r="AX592" s="28"/>
      <c r="AY592" s="28" t="n">
        <f aca="false">AX592*$M592</f>
        <v>0</v>
      </c>
      <c r="AZ592" s="30" t="n">
        <f aca="false">36*288*0.02+111*0.02</f>
        <v>209.58</v>
      </c>
      <c r="BA592" s="11" t="n">
        <v>10479</v>
      </c>
      <c r="BB592" s="31" t="n">
        <f aca="false">SUM(Q592,S592,U592,W592,Y592,AA592,AC592,AE592,AG592,AI592,AK592,AM592,AO592,AQ592,AS592,AU592,AW592,AY592)</f>
        <v>10479</v>
      </c>
      <c r="BC592" s="28" t="n">
        <f aca="false">BA592-BB592</f>
        <v>0</v>
      </c>
      <c r="BD592" s="32" t="n">
        <f aca="false">SUM(P592,R592,T592,V592,X592,Z592,AB592,AD592,AF592,AH592,AJ592,AL592,AN592,AP592,AR592,AT592,AV592,AX592)</f>
        <v>209.58</v>
      </c>
      <c r="BE592" s="33" t="n">
        <f aca="false">AZ592-BD592</f>
        <v>0</v>
      </c>
      <c r="BF592" s="34" t="n">
        <f aca="false">BD592*M592</f>
        <v>10479</v>
      </c>
      <c r="BG592" s="35" t="n">
        <f aca="false">BA592-BF592</f>
        <v>0</v>
      </c>
      <c r="BH592" s="19" t="str">
        <f aca="false">IF(BG592=0,"",IF(BG592&lt;&gt;BA592,"erreur de calcul",IF(BD592&lt;&gt;0,"pas de prix",IF(M592&lt;&gt; 0,"pas de quantité","pas de prix, ni de quantité"))))</f>
        <v/>
      </c>
      <c r="BI592" s="19"/>
    </row>
    <row r="593" customFormat="false" ht="16" hidden="false" customHeight="false" outlineLevel="0" collapsed="false">
      <c r="A593" s="0" t="n">
        <v>32</v>
      </c>
      <c r="B593" s="8" t="s">
        <v>24</v>
      </c>
      <c r="C593" s="9" t="s">
        <v>25</v>
      </c>
      <c r="D593" s="9" t="s">
        <v>26</v>
      </c>
      <c r="E593" s="10" t="n">
        <v>1789</v>
      </c>
      <c r="F593" s="9" t="s">
        <v>27</v>
      </c>
      <c r="G593" s="9" t="s">
        <v>27</v>
      </c>
      <c r="H593" s="11" t="n">
        <v>24</v>
      </c>
      <c r="I593" s="11" t="s">
        <v>322</v>
      </c>
      <c r="J593" s="14" t="n">
        <v>70</v>
      </c>
      <c r="K593" s="14"/>
      <c r="L593" s="16"/>
      <c r="M593" s="27" t="n">
        <f aca="false">J593+(K593/20)+(L593/240)</f>
        <v>70</v>
      </c>
      <c r="N593" s="17" t="s">
        <v>64</v>
      </c>
      <c r="O593" s="11"/>
      <c r="P593" s="28"/>
      <c r="Q593" s="28" t="n">
        <f aca="false">P593*$M593</f>
        <v>0</v>
      </c>
      <c r="R593" s="28"/>
      <c r="S593" s="28" t="n">
        <f aca="false">R593*$M593</f>
        <v>0</v>
      </c>
      <c r="T593" s="28"/>
      <c r="U593" s="28" t="n">
        <f aca="false">T593*$M593</f>
        <v>0</v>
      </c>
      <c r="V593" s="28"/>
      <c r="W593" s="28" t="n">
        <f aca="false">V593*$M593</f>
        <v>0</v>
      </c>
      <c r="X593" s="28" t="n">
        <f aca="false">2*288*0.02+217*0.02</f>
        <v>15.86</v>
      </c>
      <c r="Y593" s="28" t="n">
        <v>1111</v>
      </c>
      <c r="Z593" s="28"/>
      <c r="AA593" s="28" t="n">
        <f aca="false">Z593*$M593</f>
        <v>0</v>
      </c>
      <c r="AB593" s="28"/>
      <c r="AC593" s="28" t="n">
        <f aca="false">AB593*$M593</f>
        <v>0</v>
      </c>
      <c r="AD593" s="28"/>
      <c r="AE593" s="28" t="n">
        <f aca="false">AD593*$M593</f>
        <v>0</v>
      </c>
      <c r="AF593" s="28"/>
      <c r="AG593" s="28" t="n">
        <f aca="false">AF593*$M593</f>
        <v>0</v>
      </c>
      <c r="AH593" s="28"/>
      <c r="AI593" s="28" t="n">
        <f aca="false">AH593*$M593</f>
        <v>0</v>
      </c>
      <c r="AJ593" s="28"/>
      <c r="AK593" s="28" t="n">
        <f aca="false">AJ593*$M593</f>
        <v>0</v>
      </c>
      <c r="AL593" s="28"/>
      <c r="AM593" s="28" t="n">
        <f aca="false">AL593*$M593</f>
        <v>0</v>
      </c>
      <c r="AN593" s="28"/>
      <c r="AO593" s="28" t="n">
        <f aca="false">AN593*$M593</f>
        <v>0</v>
      </c>
      <c r="AP593" s="28"/>
      <c r="AQ593" s="28" t="n">
        <f aca="false">AP593*$M593</f>
        <v>0</v>
      </c>
      <c r="AR593" s="28"/>
      <c r="AS593" s="28" t="n">
        <f aca="false">AR593*$M593</f>
        <v>0</v>
      </c>
      <c r="AT593" s="28"/>
      <c r="AU593" s="28" t="n">
        <f aca="false">AT593*$M593</f>
        <v>0</v>
      </c>
      <c r="AV593" s="28"/>
      <c r="AW593" s="28" t="n">
        <f aca="false">AV593*$M593</f>
        <v>0</v>
      </c>
      <c r="AX593" s="28"/>
      <c r="AY593" s="28" t="n">
        <f aca="false">AX593*$M593</f>
        <v>0</v>
      </c>
      <c r="AZ593" s="30" t="n">
        <f aca="false">2*288*0.02+217*0.02</f>
        <v>15.86</v>
      </c>
      <c r="BA593" s="11" t="n">
        <v>1111</v>
      </c>
      <c r="BB593" s="31" t="n">
        <f aca="false">SUM(Q593,S593,U593,W593,Y593,AA593,AC593,AE593,AG593,AI593,AK593,AM593,AO593,AQ593,AS593,AU593,AW593,AY593)</f>
        <v>1111</v>
      </c>
      <c r="BC593" s="28" t="n">
        <f aca="false">BA593-BB593</f>
        <v>0</v>
      </c>
      <c r="BD593" s="32" t="n">
        <f aca="false">SUM(P593,R593,T593,V593,X593,Z593,AB593,AD593,AF593,AH593,AJ593,AL593,AN593,AP593,AR593,AT593,AV593,AX593)</f>
        <v>15.86</v>
      </c>
      <c r="BE593" s="33" t="n">
        <f aca="false">AZ593-BD593</f>
        <v>0</v>
      </c>
      <c r="BF593" s="34" t="n">
        <f aca="false">BD593*M593</f>
        <v>1110.2</v>
      </c>
      <c r="BG593" s="35" t="n">
        <f aca="false">BA593-BF593</f>
        <v>0.799999999999955</v>
      </c>
      <c r="BH593" s="19" t="str">
        <f aca="false">IF(BG593=0,"",IF(BG593&lt;&gt;BA593,"erreur de calcul",IF(BD593&lt;&gt;0,"pas de prix",IF(M593&lt;&gt; 0,"pas de quantité","pas de prix, ni de quantité"))))</f>
        <v>erreur de calcul</v>
      </c>
      <c r="BI593" s="19"/>
    </row>
    <row r="594" customFormat="false" ht="16" hidden="false" customHeight="false" outlineLevel="0" collapsed="false">
      <c r="A594" s="0" t="n">
        <v>33</v>
      </c>
      <c r="B594" s="8" t="s">
        <v>24</v>
      </c>
      <c r="C594" s="9" t="s">
        <v>25</v>
      </c>
      <c r="D594" s="9" t="s">
        <v>26</v>
      </c>
      <c r="E594" s="10" t="n">
        <v>1789</v>
      </c>
      <c r="F594" s="9" t="s">
        <v>27</v>
      </c>
      <c r="G594" s="9" t="s">
        <v>27</v>
      </c>
      <c r="H594" s="11" t="n">
        <v>24</v>
      </c>
      <c r="I594" s="11" t="s">
        <v>323</v>
      </c>
      <c r="J594" s="14"/>
      <c r="K594" s="14" t="n">
        <v>40</v>
      </c>
      <c r="L594" s="16"/>
      <c r="M594" s="27" t="n">
        <f aca="false">J594+(K594/20)+(L594/240)</f>
        <v>2</v>
      </c>
      <c r="N594" s="17" t="s">
        <v>66</v>
      </c>
      <c r="O594" s="11"/>
      <c r="P594" s="28" t="n">
        <v>780</v>
      </c>
      <c r="Q594" s="28" t="n">
        <v>1560</v>
      </c>
      <c r="R594" s="28"/>
      <c r="S594" s="28" t="n">
        <f aca="false">R594*$M594</f>
        <v>0</v>
      </c>
      <c r="T594" s="28" t="n">
        <v>1552</v>
      </c>
      <c r="U594" s="28" t="n">
        <v>3104</v>
      </c>
      <c r="V594" s="28" t="n">
        <v>1051</v>
      </c>
      <c r="W594" s="28" t="n">
        <v>2102</v>
      </c>
      <c r="X594" s="28" t="n">
        <v>1486</v>
      </c>
      <c r="Y594" s="28" t="n">
        <v>2972</v>
      </c>
      <c r="Z594" s="28" t="n">
        <v>847</v>
      </c>
      <c r="AA594" s="28" t="n">
        <v>1694</v>
      </c>
      <c r="AB594" s="28" t="n">
        <v>114</v>
      </c>
      <c r="AC594" s="28" t="n">
        <v>228</v>
      </c>
      <c r="AD594" s="28" t="n">
        <v>407</v>
      </c>
      <c r="AE594" s="28" t="n">
        <v>814</v>
      </c>
      <c r="AF594" s="28"/>
      <c r="AG594" s="28" t="n">
        <f aca="false">AF594*$M594</f>
        <v>0</v>
      </c>
      <c r="AH594" s="28"/>
      <c r="AI594" s="28" t="n">
        <f aca="false">AH594*$M594</f>
        <v>0</v>
      </c>
      <c r="AJ594" s="28" t="n">
        <v>1297</v>
      </c>
      <c r="AK594" s="28" t="n">
        <v>2594</v>
      </c>
      <c r="AL594" s="28"/>
      <c r="AM594" s="28" t="n">
        <f aca="false">AL594*$M594</f>
        <v>0</v>
      </c>
      <c r="AN594" s="28"/>
      <c r="AO594" s="28" t="n">
        <f aca="false">AN594*$M594</f>
        <v>0</v>
      </c>
      <c r="AP594" s="28"/>
      <c r="AQ594" s="28" t="n">
        <f aca="false">AP594*$M594</f>
        <v>0</v>
      </c>
      <c r="AR594" s="28"/>
      <c r="AS594" s="28" t="n">
        <f aca="false">AR594*$M594</f>
        <v>0</v>
      </c>
      <c r="AT594" s="28"/>
      <c r="AU594" s="28" t="n">
        <f aca="false">AT594*$M594</f>
        <v>0</v>
      </c>
      <c r="AV594" s="28"/>
      <c r="AW594" s="28" t="n">
        <f aca="false">AV594*$M594</f>
        <v>0</v>
      </c>
      <c r="AX594" s="28"/>
      <c r="AY594" s="28" t="n">
        <f aca="false">AX594*$M594</f>
        <v>0</v>
      </c>
      <c r="AZ594" s="30" t="n">
        <v>7534</v>
      </c>
      <c r="BA594" s="11" t="n">
        <v>15068</v>
      </c>
      <c r="BB594" s="31" t="n">
        <f aca="false">SUM(Q594,S594,U594,W594,Y594,AA594,AC594,AE594,AG594,AI594,AK594,AM594,AO594,AQ594,AS594,AU594,AW594,AY594)</f>
        <v>15068</v>
      </c>
      <c r="BC594" s="28" t="n">
        <f aca="false">BA594-BB594</f>
        <v>0</v>
      </c>
      <c r="BD594" s="32" t="n">
        <f aca="false">SUM(P594,R594,T594,V594,X594,Z594,AB594,AD594,AF594,AH594,AJ594,AL594,AN594,AP594,AR594,AT594,AV594,AX594)</f>
        <v>7534</v>
      </c>
      <c r="BE594" s="33" t="n">
        <f aca="false">AZ594-BD594</f>
        <v>0</v>
      </c>
      <c r="BF594" s="34" t="n">
        <f aca="false">BD594*M594</f>
        <v>15068</v>
      </c>
      <c r="BG594" s="35" t="n">
        <f aca="false">BA594-BF594</f>
        <v>0</v>
      </c>
      <c r="BH594" s="19" t="str">
        <f aca="false">IF(BG594=0,"",IF(BG594&lt;&gt;BA594,"erreur de calcul",IF(BD594&lt;&gt;0,"pas de prix",IF(M594&lt;&gt; 0,"pas de quantité","pas de prix, ni de quantité"))))</f>
        <v/>
      </c>
      <c r="BI594" s="19"/>
    </row>
    <row r="595" customFormat="false" ht="16" hidden="false" customHeight="false" outlineLevel="0" collapsed="false">
      <c r="A595" s="0" t="n">
        <v>34</v>
      </c>
      <c r="B595" s="8" t="s">
        <v>24</v>
      </c>
      <c r="C595" s="9" t="s">
        <v>25</v>
      </c>
      <c r="D595" s="9" t="s">
        <v>26</v>
      </c>
      <c r="E595" s="10" t="n">
        <v>1789</v>
      </c>
      <c r="F595" s="9" t="s">
        <v>27</v>
      </c>
      <c r="G595" s="9" t="s">
        <v>27</v>
      </c>
      <c r="H595" s="11" t="n">
        <v>24</v>
      </c>
      <c r="I595" s="11" t="s">
        <v>324</v>
      </c>
      <c r="J595" s="14" t="n">
        <v>15</v>
      </c>
      <c r="K595" s="14"/>
      <c r="L595" s="16"/>
      <c r="M595" s="27" t="n">
        <f aca="false">J595+(K595/20)+(L595/240)</f>
        <v>15</v>
      </c>
      <c r="N595" s="17" t="s">
        <v>64</v>
      </c>
      <c r="O595" s="11"/>
      <c r="P595" s="28" t="n">
        <f aca="false">6834/100</f>
        <v>68.34</v>
      </c>
      <c r="Q595" s="28" t="n">
        <v>1025</v>
      </c>
      <c r="R595" s="28"/>
      <c r="S595" s="28" t="n">
        <f aca="false">R595*$M595</f>
        <v>0</v>
      </c>
      <c r="T595" s="28" t="n">
        <f aca="false">834/100</f>
        <v>8.34</v>
      </c>
      <c r="U595" s="28" t="n">
        <v>125</v>
      </c>
      <c r="V595" s="28" t="n">
        <f aca="false">197372/100</f>
        <v>1973.72</v>
      </c>
      <c r="W595" s="28" t="n">
        <v>29606</v>
      </c>
      <c r="X595" s="28" t="n">
        <f aca="false">2334702/100</f>
        <v>23347.02</v>
      </c>
      <c r="Y595" s="28" t="n">
        <v>350205</v>
      </c>
      <c r="Z595" s="28"/>
      <c r="AA595" s="28" t="n">
        <f aca="false">Z595*$M595</f>
        <v>0</v>
      </c>
      <c r="AB595" s="28" t="n">
        <f aca="false">1417/100</f>
        <v>14.17</v>
      </c>
      <c r="AC595" s="28" t="n">
        <v>212</v>
      </c>
      <c r="AD595" s="28"/>
      <c r="AE595" s="28" t="n">
        <f aca="false">AD595*$M595</f>
        <v>0</v>
      </c>
      <c r="AF595" s="28"/>
      <c r="AG595" s="28" t="n">
        <f aca="false">AF595*$M595</f>
        <v>0</v>
      </c>
      <c r="AH595" s="28"/>
      <c r="AI595" s="28" t="n">
        <f aca="false">AH595*$M595</f>
        <v>0</v>
      </c>
      <c r="AJ595" s="28"/>
      <c r="AK595" s="28" t="n">
        <f aca="false">AJ595*$M595</f>
        <v>0</v>
      </c>
      <c r="AL595" s="28"/>
      <c r="AM595" s="28" t="n">
        <f aca="false">AL595*$M595</f>
        <v>0</v>
      </c>
      <c r="AN595" s="28"/>
      <c r="AO595" s="28" t="n">
        <f aca="false">AN595*$M595</f>
        <v>0</v>
      </c>
      <c r="AP595" s="28"/>
      <c r="AQ595" s="28" t="n">
        <f aca="false">AP595*$M595</f>
        <v>0</v>
      </c>
      <c r="AR595" s="28"/>
      <c r="AS595" s="28" t="n">
        <f aca="false">AR595*$M595</f>
        <v>0</v>
      </c>
      <c r="AT595" s="28"/>
      <c r="AU595" s="28" t="n">
        <f aca="false">AT595*$M595</f>
        <v>0</v>
      </c>
      <c r="AV595" s="28"/>
      <c r="AW595" s="28" t="n">
        <f aca="false">AV595*$M595</f>
        <v>0</v>
      </c>
      <c r="AX595" s="28"/>
      <c r="AY595" s="28" t="n">
        <f aca="false">AX595*$M595</f>
        <v>0</v>
      </c>
      <c r="AZ595" s="30" t="n">
        <f aca="false">2541159/100</f>
        <v>25411.59</v>
      </c>
      <c r="BA595" s="11" t="n">
        <v>381173</v>
      </c>
      <c r="BB595" s="31" t="n">
        <f aca="false">SUM(Q595,S595,U595,W595,Y595,AA595,AC595,AE595,AG595,AI595,AK595,AM595,AO595,AQ595,AS595,AU595,AW595,AY595)</f>
        <v>381173</v>
      </c>
      <c r="BC595" s="28" t="n">
        <f aca="false">BA595-BB595</f>
        <v>0</v>
      </c>
      <c r="BD595" s="32" t="n">
        <f aca="false">SUM(P595,R595,T595,V595,X595,Z595,AB595,AD595,AF595,AH595,AJ595,AL595,AN595,AP595,AR595,AT595,AV595,AX595)</f>
        <v>25411.59</v>
      </c>
      <c r="BE595" s="33" t="n">
        <f aca="false">AZ595-BD595</f>
        <v>0</v>
      </c>
      <c r="BF595" s="34" t="n">
        <f aca="false">BD595*M595</f>
        <v>381173.85</v>
      </c>
      <c r="BG595" s="35" t="n">
        <f aca="false">BA595-BF595</f>
        <v>-0.849999999976717</v>
      </c>
      <c r="BH595" s="19" t="str">
        <f aca="false">IF(BG595=0,"",IF(BG595&lt;&gt;BA595,"erreur de calcul",IF(BD595&lt;&gt;0,"pas de prix",IF(M595&lt;&gt; 0,"pas de quantité","pas de prix, ni de quantité"))))</f>
        <v>erreur de calcul</v>
      </c>
      <c r="BI595" s="19"/>
    </row>
    <row r="596" customFormat="false" ht="16" hidden="false" customHeight="false" outlineLevel="0" collapsed="false">
      <c r="A596" s="0" t="n">
        <v>35</v>
      </c>
      <c r="B596" s="8" t="s">
        <v>24</v>
      </c>
      <c r="C596" s="9" t="s">
        <v>25</v>
      </c>
      <c r="D596" s="9" t="s">
        <v>26</v>
      </c>
      <c r="E596" s="10" t="n">
        <v>1789</v>
      </c>
      <c r="F596" s="9" t="s">
        <v>27</v>
      </c>
      <c r="G596" s="9" t="s">
        <v>27</v>
      </c>
      <c r="H596" s="11" t="n">
        <v>24</v>
      </c>
      <c r="I596" s="11" t="s">
        <v>325</v>
      </c>
      <c r="J596" s="14" t="n">
        <v>25</v>
      </c>
      <c r="K596" s="14"/>
      <c r="L596" s="16"/>
      <c r="M596" s="27" t="n">
        <f aca="false">J596+(K596/20)+(L596/240)</f>
        <v>25</v>
      </c>
      <c r="N596" s="17" t="s">
        <v>64</v>
      </c>
      <c r="O596" s="11"/>
      <c r="P596" s="28"/>
      <c r="Q596" s="28" t="n">
        <f aca="false">P596*$M596</f>
        <v>0</v>
      </c>
      <c r="R596" s="28"/>
      <c r="S596" s="28" t="n">
        <f aca="false">R596*$M596</f>
        <v>0</v>
      </c>
      <c r="T596" s="28"/>
      <c r="U596" s="28" t="n">
        <f aca="false">T596*$M596</f>
        <v>0</v>
      </c>
      <c r="V596" s="28"/>
      <c r="W596" s="28" t="n">
        <f aca="false">V596*$M596</f>
        <v>0</v>
      </c>
      <c r="X596" s="28" t="n">
        <f aca="false">4971/100</f>
        <v>49.71</v>
      </c>
      <c r="Y596" s="28" t="n">
        <v>1243</v>
      </c>
      <c r="Z596" s="28" t="n">
        <f aca="false">14812/100</f>
        <v>148.12</v>
      </c>
      <c r="AA596" s="28" t="n">
        <v>3703</v>
      </c>
      <c r="AB596" s="28"/>
      <c r="AC596" s="28" t="n">
        <f aca="false">AB596*$M596</f>
        <v>0</v>
      </c>
      <c r="AD596" s="28"/>
      <c r="AE596" s="28" t="n">
        <f aca="false">AD596*$M596</f>
        <v>0</v>
      </c>
      <c r="AF596" s="28"/>
      <c r="AG596" s="28" t="n">
        <f aca="false">AF596*$M596</f>
        <v>0</v>
      </c>
      <c r="AH596" s="28"/>
      <c r="AI596" s="28" t="n">
        <f aca="false">AH596*$M596</f>
        <v>0</v>
      </c>
      <c r="AJ596" s="28"/>
      <c r="AK596" s="28" t="n">
        <f aca="false">AJ596*$M596</f>
        <v>0</v>
      </c>
      <c r="AL596" s="28"/>
      <c r="AM596" s="28" t="n">
        <f aca="false">AL596*$M596</f>
        <v>0</v>
      </c>
      <c r="AN596" s="28"/>
      <c r="AO596" s="28" t="n">
        <f aca="false">AN596*$M596</f>
        <v>0</v>
      </c>
      <c r="AP596" s="28"/>
      <c r="AQ596" s="28" t="n">
        <f aca="false">AP596*$M596</f>
        <v>0</v>
      </c>
      <c r="AR596" s="28"/>
      <c r="AS596" s="28" t="n">
        <f aca="false">AR596*$M596</f>
        <v>0</v>
      </c>
      <c r="AT596" s="28"/>
      <c r="AU596" s="28" t="n">
        <f aca="false">AT596*$M596</f>
        <v>0</v>
      </c>
      <c r="AV596" s="28"/>
      <c r="AW596" s="28" t="n">
        <f aca="false">AV596*$M596</f>
        <v>0</v>
      </c>
      <c r="AX596" s="28"/>
      <c r="AY596" s="28" t="n">
        <f aca="false">AX596*$M596</f>
        <v>0</v>
      </c>
      <c r="AZ596" s="30" t="n">
        <f aca="false">19783/100</f>
        <v>197.83</v>
      </c>
      <c r="BA596" s="11" t="n">
        <v>4946</v>
      </c>
      <c r="BB596" s="31" t="n">
        <f aca="false">SUM(Q596,S596,U596,W596,Y596,AA596,AC596,AE596,AG596,AI596,AK596,AM596,AO596,AQ596,AS596,AU596,AW596,AY596)</f>
        <v>4946</v>
      </c>
      <c r="BC596" s="28" t="n">
        <f aca="false">BA596-BB596</f>
        <v>0</v>
      </c>
      <c r="BD596" s="32" t="n">
        <f aca="false">SUM(P596,R596,T596,V596,X596,Z596,AB596,AD596,AF596,AH596,AJ596,AL596,AN596,AP596,AR596,AT596,AV596,AX596)</f>
        <v>197.83</v>
      </c>
      <c r="BE596" s="33" t="n">
        <f aca="false">AZ596-BD596</f>
        <v>0</v>
      </c>
      <c r="BF596" s="34" t="n">
        <f aca="false">BD596*M596</f>
        <v>4945.75</v>
      </c>
      <c r="BG596" s="35" t="n">
        <f aca="false">BA596-BF596</f>
        <v>0.25</v>
      </c>
      <c r="BH596" s="19" t="str">
        <f aca="false">IF(BG596=0,"",IF(BG596&lt;&gt;BA596,"erreur de calcul",IF(BD596&lt;&gt;0,"pas de prix",IF(M596&lt;&gt; 0,"pas de quantité","pas de prix, ni de quantité"))))</f>
        <v>erreur de calcul</v>
      </c>
      <c r="BI596" s="19"/>
    </row>
    <row r="597" customFormat="false" ht="16" hidden="false" customHeight="false" outlineLevel="0" collapsed="false">
      <c r="A597" s="0" t="n">
        <v>36</v>
      </c>
      <c r="B597" s="8" t="s">
        <v>24</v>
      </c>
      <c r="C597" s="9" t="s">
        <v>25</v>
      </c>
      <c r="D597" s="9" t="s">
        <v>26</v>
      </c>
      <c r="E597" s="10" t="n">
        <v>1789</v>
      </c>
      <c r="F597" s="9" t="s">
        <v>27</v>
      </c>
      <c r="G597" s="9" t="s">
        <v>27</v>
      </c>
      <c r="H597" s="11" t="n">
        <v>24</v>
      </c>
      <c r="I597" s="11" t="s">
        <v>326</v>
      </c>
      <c r="J597" s="14"/>
      <c r="K597" s="14"/>
      <c r="L597" s="16"/>
      <c r="M597" s="27" t="n">
        <f aca="false">J597+(K597/20)+(L597/240)</f>
        <v>0</v>
      </c>
      <c r="N597" s="17"/>
      <c r="O597" s="11" t="s">
        <v>77</v>
      </c>
      <c r="P597" s="28"/>
      <c r="Q597" s="28" t="n">
        <v>84</v>
      </c>
      <c r="R597" s="28"/>
      <c r="S597" s="28" t="n">
        <v>80</v>
      </c>
      <c r="T597" s="28"/>
      <c r="U597" s="28" t="n">
        <v>115</v>
      </c>
      <c r="V597" s="28"/>
      <c r="W597" s="28" t="n">
        <f aca="false">V597*$M597</f>
        <v>0</v>
      </c>
      <c r="X597" s="28"/>
      <c r="Y597" s="28" t="n">
        <v>82</v>
      </c>
      <c r="Z597" s="28"/>
      <c r="AA597" s="28" t="n">
        <v>32</v>
      </c>
      <c r="AB597" s="28"/>
      <c r="AC597" s="28" t="n">
        <v>82</v>
      </c>
      <c r="AD597" s="28"/>
      <c r="AE597" s="28" t="n">
        <f aca="false">AD597*$M597</f>
        <v>0</v>
      </c>
      <c r="AF597" s="28"/>
      <c r="AG597" s="28" t="n">
        <v>129</v>
      </c>
      <c r="AH597" s="28"/>
      <c r="AI597" s="28" t="n">
        <f aca="false">AH597*$M597</f>
        <v>0</v>
      </c>
      <c r="AJ597" s="28"/>
      <c r="AK597" s="28" t="n">
        <v>79</v>
      </c>
      <c r="AL597" s="28"/>
      <c r="AM597" s="28" t="n">
        <v>106</v>
      </c>
      <c r="AN597" s="28"/>
      <c r="AO597" s="28" t="n">
        <f aca="false">AN597*$M597</f>
        <v>0</v>
      </c>
      <c r="AP597" s="28"/>
      <c r="AQ597" s="28" t="n">
        <f aca="false">AP597*$M597</f>
        <v>0</v>
      </c>
      <c r="AR597" s="28"/>
      <c r="AS597" s="28" t="n">
        <f aca="false">AR597*$M597</f>
        <v>0</v>
      </c>
      <c r="AT597" s="28"/>
      <c r="AU597" s="28" t="n">
        <f aca="false">AT597*$M597</f>
        <v>0</v>
      </c>
      <c r="AV597" s="28"/>
      <c r="AW597" s="28" t="n">
        <f aca="false">AV597*$M597</f>
        <v>0</v>
      </c>
      <c r="AX597" s="28"/>
      <c r="AY597" s="28" t="n">
        <f aca="false">AX597*$M597</f>
        <v>0</v>
      </c>
      <c r="AZ597" s="30"/>
      <c r="BA597" s="11" t="n">
        <v>789</v>
      </c>
      <c r="BB597" s="31" t="n">
        <f aca="false">SUM(Q597,S597,U597,W597,Y597,AA597,AC597,AE597,AG597,AI597,AK597,AM597,AO597,AQ597,AS597,AU597,AW597,AY597)</f>
        <v>789</v>
      </c>
      <c r="BC597" s="28" t="n">
        <f aca="false">BA597-BB597</f>
        <v>0</v>
      </c>
      <c r="BD597" s="32" t="n">
        <f aca="false">SUM(P597,R597,T597,V597,X597,Z597,AB597,AD597,AF597,AH597,AJ597,AL597,AN597,AP597,AR597,AT597,AV597,AX597)</f>
        <v>0</v>
      </c>
      <c r="BE597" s="33" t="n">
        <f aca="false">AZ597-BD597</f>
        <v>0</v>
      </c>
      <c r="BF597" s="34" t="n">
        <f aca="false">BD597*M597</f>
        <v>0</v>
      </c>
      <c r="BG597" s="35" t="n">
        <f aca="false">BA597-BF597</f>
        <v>789</v>
      </c>
      <c r="BH597" s="19" t="str">
        <f aca="false">IF(BG597=0,"",IF(BG597&lt;&gt;BA597,"erreur de calcul",IF(BD597&lt;&gt;0,"pas de prix",IF(M597&lt;&gt; 0,"pas de quantité","pas de prix, ni de quantité"))))</f>
        <v>pas de prix, ni de quantité</v>
      </c>
      <c r="BI597" s="19"/>
    </row>
    <row r="598" customFormat="false" ht="16" hidden="false" customHeight="false" outlineLevel="0" collapsed="false">
      <c r="A598" s="0" t="n">
        <v>37</v>
      </c>
      <c r="B598" s="8" t="s">
        <v>24</v>
      </c>
      <c r="C598" s="9" t="s">
        <v>25</v>
      </c>
      <c r="D598" s="9" t="s">
        <v>26</v>
      </c>
      <c r="E598" s="10" t="n">
        <v>1789</v>
      </c>
      <c r="F598" s="9" t="s">
        <v>27</v>
      </c>
      <c r="G598" s="9" t="s">
        <v>27</v>
      </c>
      <c r="H598" s="11" t="n">
        <v>24</v>
      </c>
      <c r="I598" s="11" t="s">
        <v>327</v>
      </c>
      <c r="J598" s="14"/>
      <c r="K598" s="14" t="n">
        <v>20</v>
      </c>
      <c r="L598" s="16"/>
      <c r="M598" s="27" t="n">
        <f aca="false">J598+(K598/20)+(L598/240)</f>
        <v>1</v>
      </c>
      <c r="N598" s="17" t="s">
        <v>66</v>
      </c>
      <c r="O598" s="11"/>
      <c r="P598" s="28"/>
      <c r="Q598" s="28" t="n">
        <f aca="false">P598*$M598</f>
        <v>0</v>
      </c>
      <c r="R598" s="28"/>
      <c r="S598" s="28" t="n">
        <f aca="false">R598*$M598</f>
        <v>0</v>
      </c>
      <c r="T598" s="28"/>
      <c r="U598" s="28" t="n">
        <f aca="false">T598*$M598</f>
        <v>0</v>
      </c>
      <c r="V598" s="28" t="n">
        <v>1705</v>
      </c>
      <c r="W598" s="28" t="n">
        <v>1705</v>
      </c>
      <c r="X598" s="28"/>
      <c r="Y598" s="28" t="n">
        <f aca="false">X598*$M598</f>
        <v>0</v>
      </c>
      <c r="Z598" s="28"/>
      <c r="AA598" s="28" t="n">
        <f aca="false">Z598*$M598</f>
        <v>0</v>
      </c>
      <c r="AB598" s="28" t="n">
        <v>226</v>
      </c>
      <c r="AC598" s="28" t="n">
        <v>226</v>
      </c>
      <c r="AD598" s="28"/>
      <c r="AE598" s="28" t="n">
        <f aca="false">AD598*$M598</f>
        <v>0</v>
      </c>
      <c r="AF598" s="28"/>
      <c r="AG598" s="28" t="n">
        <f aca="false">AF598*$M598</f>
        <v>0</v>
      </c>
      <c r="AH598" s="28"/>
      <c r="AI598" s="28" t="n">
        <f aca="false">AH598*$M598</f>
        <v>0</v>
      </c>
      <c r="AJ598" s="28"/>
      <c r="AK598" s="28" t="n">
        <f aca="false">AJ598*$M598</f>
        <v>0</v>
      </c>
      <c r="AL598" s="28"/>
      <c r="AM598" s="28" t="n">
        <f aca="false">AL598*$M598</f>
        <v>0</v>
      </c>
      <c r="AN598" s="28"/>
      <c r="AO598" s="28" t="n">
        <f aca="false">AN598*$M598</f>
        <v>0</v>
      </c>
      <c r="AP598" s="28"/>
      <c r="AQ598" s="28" t="n">
        <f aca="false">AP598*$M598</f>
        <v>0</v>
      </c>
      <c r="AR598" s="28"/>
      <c r="AS598" s="28" t="n">
        <f aca="false">AR598*$M598</f>
        <v>0</v>
      </c>
      <c r="AT598" s="28"/>
      <c r="AU598" s="28" t="n">
        <f aca="false">AT598*$M598</f>
        <v>0</v>
      </c>
      <c r="AV598" s="28"/>
      <c r="AW598" s="28" t="n">
        <f aca="false">AV598*$M598</f>
        <v>0</v>
      </c>
      <c r="AX598" s="28"/>
      <c r="AY598" s="28" t="n">
        <f aca="false">AX598*$M598</f>
        <v>0</v>
      </c>
      <c r="AZ598" s="30" t="n">
        <v>1931</v>
      </c>
      <c r="BA598" s="11" t="n">
        <v>1931</v>
      </c>
      <c r="BB598" s="31" t="n">
        <f aca="false">SUM(Q598,S598,U598,W598,Y598,AA598,AC598,AE598,AG598,AI598,AK598,AM598,AO598,AQ598,AS598,AU598,AW598,AY598)</f>
        <v>1931</v>
      </c>
      <c r="BC598" s="28" t="n">
        <f aca="false">BA598-BB598</f>
        <v>0</v>
      </c>
      <c r="BD598" s="32" t="n">
        <f aca="false">SUM(P598,R598,T598,V598,X598,Z598,AB598,AD598,AF598,AH598,AJ598,AL598,AN598,AP598,AR598,AT598,AV598,AX598)</f>
        <v>1931</v>
      </c>
      <c r="BE598" s="33" t="n">
        <f aca="false">AZ598-BD598</f>
        <v>0</v>
      </c>
      <c r="BF598" s="34" t="n">
        <f aca="false">BD598*M598</f>
        <v>1931</v>
      </c>
      <c r="BG598" s="35" t="n">
        <f aca="false">BA598-BF598</f>
        <v>0</v>
      </c>
      <c r="BH598" s="19" t="str">
        <f aca="false">IF(BG598=0,"",IF(BG598&lt;&gt;BA598,"erreur de calcul",IF(BD598&lt;&gt;0,"pas de prix",IF(M598&lt;&gt; 0,"pas de quantité","pas de prix, ni de quantité"))))</f>
        <v/>
      </c>
      <c r="BI598" s="19"/>
    </row>
    <row r="599" customFormat="false" ht="16" hidden="false" customHeight="false" outlineLevel="0" collapsed="false">
      <c r="A599" s="0" t="n">
        <v>38</v>
      </c>
      <c r="B599" s="8" t="s">
        <v>24</v>
      </c>
      <c r="C599" s="9" t="s">
        <v>25</v>
      </c>
      <c r="D599" s="9" t="s">
        <v>26</v>
      </c>
      <c r="E599" s="10" t="n">
        <v>1789</v>
      </c>
      <c r="F599" s="9" t="s">
        <v>27</v>
      </c>
      <c r="G599" s="9" t="s">
        <v>27</v>
      </c>
      <c r="H599" s="11" t="n">
        <v>24</v>
      </c>
      <c r="I599" s="11" t="s">
        <v>328</v>
      </c>
      <c r="J599" s="14" t="n">
        <v>208</v>
      </c>
      <c r="K599" s="14"/>
      <c r="L599" s="16"/>
      <c r="M599" s="27" t="n">
        <f aca="false">J599+(K599/20)+(L599/240)</f>
        <v>208</v>
      </c>
      <c r="N599" s="17" t="s">
        <v>64</v>
      </c>
      <c r="O599" s="11" t="s">
        <v>277</v>
      </c>
      <c r="P599" s="28"/>
      <c r="Q599" s="28" t="n">
        <f aca="false">P599*$M599</f>
        <v>0</v>
      </c>
      <c r="R599" s="28"/>
      <c r="S599" s="28" t="n">
        <f aca="false">R599*$M599</f>
        <v>0</v>
      </c>
      <c r="T599" s="28" t="n">
        <f aca="false">536/100</f>
        <v>5.36</v>
      </c>
      <c r="U599" s="28" t="n">
        <v>1115</v>
      </c>
      <c r="V599" s="28" t="n">
        <f aca="false">1983/100</f>
        <v>19.83</v>
      </c>
      <c r="W599" s="28" t="n">
        <v>4125</v>
      </c>
      <c r="X599" s="28" t="n">
        <f aca="false">37641/100</f>
        <v>376.41</v>
      </c>
      <c r="Y599" s="28" t="n">
        <v>78293</v>
      </c>
      <c r="Z599" s="28" t="n">
        <f aca="false">1281/100</f>
        <v>12.81</v>
      </c>
      <c r="AA599" s="28" t="n">
        <v>2664</v>
      </c>
      <c r="AB599" s="28"/>
      <c r="AC599" s="28" t="n">
        <f aca="false">AB599*$M599</f>
        <v>0</v>
      </c>
      <c r="AD599" s="28"/>
      <c r="AE599" s="28" t="n">
        <f aca="false">AD599*$M599</f>
        <v>0</v>
      </c>
      <c r="AF599" s="28"/>
      <c r="AG599" s="28" t="n">
        <f aca="false">AF599*$M599</f>
        <v>0</v>
      </c>
      <c r="AH599" s="28"/>
      <c r="AI599" s="28" t="n">
        <f aca="false">AH599*$M599</f>
        <v>0</v>
      </c>
      <c r="AJ599" s="28" t="n">
        <f aca="false">20789/100</f>
        <v>207.89</v>
      </c>
      <c r="AK599" s="28" t="n">
        <v>43241</v>
      </c>
      <c r="AL599" s="28" t="n">
        <f aca="false">2470/100</f>
        <v>24.7</v>
      </c>
      <c r="AM599" s="28" t="n">
        <v>5138</v>
      </c>
      <c r="AN599" s="28"/>
      <c r="AO599" s="28" t="n">
        <f aca="false">AN599*$M599</f>
        <v>0</v>
      </c>
      <c r="AP599" s="28"/>
      <c r="AQ599" s="28" t="n">
        <f aca="false">AP599*$M599</f>
        <v>0</v>
      </c>
      <c r="AR599" s="28"/>
      <c r="AS599" s="28" t="n">
        <f aca="false">AR599*$M599</f>
        <v>0</v>
      </c>
      <c r="AT599" s="28"/>
      <c r="AU599" s="28" t="n">
        <f aca="false">AT599*$M599</f>
        <v>0</v>
      </c>
      <c r="AV599" s="28"/>
      <c r="AW599" s="28" t="n">
        <f aca="false">AV599*$M599</f>
        <v>0</v>
      </c>
      <c r="AX599" s="28"/>
      <c r="AY599" s="28" t="n">
        <f aca="false">AX599*$M599</f>
        <v>0</v>
      </c>
      <c r="AZ599" s="30" t="n">
        <f aca="false">64700/100</f>
        <v>647</v>
      </c>
      <c r="BA599" s="11" t="n">
        <v>134576</v>
      </c>
      <c r="BB599" s="31" t="n">
        <f aca="false">SUM(Q599,S599,U599,W599,Y599,AA599,AC599,AE599,AG599,AI599,AK599,AM599,AO599,AQ599,AS599,AU599,AW599,AY599)</f>
        <v>134576</v>
      </c>
      <c r="BC599" s="28" t="n">
        <f aca="false">BA599-BB599</f>
        <v>0</v>
      </c>
      <c r="BD599" s="32" t="n">
        <f aca="false">SUM(P599,R599,T599,V599,X599,Z599,AB599,AD599,AF599,AH599,AJ599,AL599,AN599,AP599,AR599,AT599,AV599,AX599)</f>
        <v>647</v>
      </c>
      <c r="BE599" s="33" t="n">
        <f aca="false">AZ599-BD599</f>
        <v>0</v>
      </c>
      <c r="BF599" s="34" t="n">
        <f aca="false">BD599*M599</f>
        <v>134576</v>
      </c>
      <c r="BG599" s="35" t="n">
        <f aca="false">BA599-BF599</f>
        <v>0</v>
      </c>
      <c r="BH599" s="19" t="str">
        <f aca="false">IF(BG599=0,"",IF(BG599&lt;&gt;BA599,"erreur de calcul",IF(BD599&lt;&gt;0,"pas de prix",IF(M599&lt;&gt; 0,"pas de quantité","pas de prix, ni de quantité"))))</f>
        <v/>
      </c>
      <c r="BI599" s="19"/>
    </row>
    <row r="600" customFormat="false" ht="16" hidden="false" customHeight="false" outlineLevel="0" collapsed="false">
      <c r="A600" s="0" t="n">
        <v>1</v>
      </c>
      <c r="B600" s="8" t="s">
        <v>24</v>
      </c>
      <c r="C600" s="9" t="s">
        <v>25</v>
      </c>
      <c r="D600" s="9" t="s">
        <v>26</v>
      </c>
      <c r="E600" s="10" t="n">
        <v>1789</v>
      </c>
      <c r="F600" s="9" t="s">
        <v>27</v>
      </c>
      <c r="G600" s="9" t="s">
        <v>27</v>
      </c>
      <c r="H600" s="11" t="n">
        <v>25</v>
      </c>
      <c r="I600" s="11" t="s">
        <v>329</v>
      </c>
      <c r="J600" s="14" t="n">
        <v>30</v>
      </c>
      <c r="K600" s="14"/>
      <c r="L600" s="16"/>
      <c r="M600" s="27" t="n">
        <f aca="false">J600+(K600/20)+(L600/240)</f>
        <v>30</v>
      </c>
      <c r="N600" s="17" t="s">
        <v>64</v>
      </c>
      <c r="O600" s="11"/>
      <c r="P600" s="28" t="n">
        <f aca="false">888/100</f>
        <v>8.88</v>
      </c>
      <c r="Q600" s="28" t="n">
        <v>266</v>
      </c>
      <c r="R600" s="28"/>
      <c r="S600" s="28" t="n">
        <f aca="false">R600*$M600</f>
        <v>0</v>
      </c>
      <c r="T600" s="28" t="n">
        <f aca="false">1151/100</f>
        <v>11.51</v>
      </c>
      <c r="U600" s="28" t="n">
        <v>345</v>
      </c>
      <c r="V600" s="28"/>
      <c r="W600" s="28" t="n">
        <f aca="false">V600*$M600</f>
        <v>0</v>
      </c>
      <c r="X600" s="28"/>
      <c r="Y600" s="28" t="n">
        <f aca="false">X600*$M600</f>
        <v>0</v>
      </c>
      <c r="Z600" s="28"/>
      <c r="AA600" s="28" t="n">
        <f aca="false">Z600*$M600</f>
        <v>0</v>
      </c>
      <c r="AB600" s="28"/>
      <c r="AC600" s="28" t="n">
        <f aca="false">AB600*$M600</f>
        <v>0</v>
      </c>
      <c r="AD600" s="28"/>
      <c r="AE600" s="28" t="n">
        <f aca="false">AD600*$M600</f>
        <v>0</v>
      </c>
      <c r="AF600" s="28"/>
      <c r="AG600" s="28" t="n">
        <f aca="false">AF600*$M600</f>
        <v>0</v>
      </c>
      <c r="AH600" s="28"/>
      <c r="AI600" s="28" t="n">
        <f aca="false">AH600*$M600</f>
        <v>0</v>
      </c>
      <c r="AJ600" s="28"/>
      <c r="AK600" s="28" t="n">
        <f aca="false">AJ600*$M600</f>
        <v>0</v>
      </c>
      <c r="AL600" s="28"/>
      <c r="AM600" s="28" t="n">
        <f aca="false">AL600*$M600</f>
        <v>0</v>
      </c>
      <c r="AN600" s="28"/>
      <c r="AO600" s="28" t="n">
        <f aca="false">AN600*$M600</f>
        <v>0</v>
      </c>
      <c r="AP600" s="28"/>
      <c r="AQ600" s="28" t="n">
        <f aca="false">AP600*$M600</f>
        <v>0</v>
      </c>
      <c r="AR600" s="28"/>
      <c r="AS600" s="28" t="n">
        <f aca="false">AR600*$M600</f>
        <v>0</v>
      </c>
      <c r="AT600" s="28"/>
      <c r="AU600" s="28" t="n">
        <f aca="false">AT600*$M600</f>
        <v>0</v>
      </c>
      <c r="AV600" s="28"/>
      <c r="AW600" s="28" t="n">
        <f aca="false">AV600*$M600</f>
        <v>0</v>
      </c>
      <c r="AX600" s="28"/>
      <c r="AY600" s="28" t="n">
        <f aca="false">AX600*$M600</f>
        <v>0</v>
      </c>
      <c r="AZ600" s="30" t="n">
        <f aca="false">2039/100</f>
        <v>20.39</v>
      </c>
      <c r="BA600" s="11" t="n">
        <v>611</v>
      </c>
      <c r="BB600" s="31" t="n">
        <f aca="false">SUM(Q600,S600,U600,W600,Y600,AA600,AC600,AE600,AG600,AI600,AK600,AM600,AO600,AQ600,AS600,AU600,AW600,AY600)</f>
        <v>611</v>
      </c>
      <c r="BC600" s="28" t="n">
        <f aca="false">BA600-BB600</f>
        <v>0</v>
      </c>
      <c r="BD600" s="32" t="n">
        <f aca="false">SUM(P600,R600,T600,V600,X600,Z600,AB600,AD600,AF600,AH600,AJ600,AL600,AN600,AP600,AR600,AT600,AV600,AX600)</f>
        <v>20.39</v>
      </c>
      <c r="BE600" s="33" t="n">
        <f aca="false">AZ600-BD600</f>
        <v>0</v>
      </c>
      <c r="BF600" s="34" t="n">
        <f aca="false">BD600*M600</f>
        <v>611.7</v>
      </c>
      <c r="BG600" s="35" t="n">
        <f aca="false">BA600-BF600</f>
        <v>-0.700000000000046</v>
      </c>
      <c r="BH600" s="19" t="str">
        <f aca="false">IF(BG600=0,"",IF(BG600&lt;&gt;BA600,"erreur de calcul",IF(BD600&lt;&gt;0,"pas de prix",IF(M600&lt;&gt; 0,"pas de quantité","pas de prix, ni de quantité"))))</f>
        <v>erreur de calcul</v>
      </c>
      <c r="BI600" s="19"/>
    </row>
    <row r="601" customFormat="false" ht="16" hidden="false" customHeight="false" outlineLevel="0" collapsed="false">
      <c r="A601" s="0" t="n">
        <v>2</v>
      </c>
      <c r="B601" s="8" t="s">
        <v>24</v>
      </c>
      <c r="C601" s="9" t="s">
        <v>25</v>
      </c>
      <c r="D601" s="9" t="s">
        <v>26</v>
      </c>
      <c r="E601" s="10" t="n">
        <v>1789</v>
      </c>
      <c r="F601" s="9" t="s">
        <v>27</v>
      </c>
      <c r="G601" s="9" t="s">
        <v>27</v>
      </c>
      <c r="H601" s="11" t="n">
        <v>25</v>
      </c>
      <c r="I601" s="11" t="s">
        <v>330</v>
      </c>
      <c r="J601" s="14"/>
      <c r="K601" s="14" t="n">
        <v>20</v>
      </c>
      <c r="L601" s="16"/>
      <c r="M601" s="27" t="n">
        <f aca="false">J601+(K601/20)+(L601/240)</f>
        <v>1</v>
      </c>
      <c r="N601" s="17" t="s">
        <v>66</v>
      </c>
      <c r="O601" s="11"/>
      <c r="P601" s="28"/>
      <c r="Q601" s="28" t="n">
        <f aca="false">P601*$M601</f>
        <v>0</v>
      </c>
      <c r="R601" s="28"/>
      <c r="S601" s="28" t="n">
        <f aca="false">R601*$M601</f>
        <v>0</v>
      </c>
      <c r="T601" s="28"/>
      <c r="U601" s="28" t="n">
        <f aca="false">T601*$M601</f>
        <v>0</v>
      </c>
      <c r="V601" s="28"/>
      <c r="W601" s="28" t="n">
        <f aca="false">V601*$M601</f>
        <v>0</v>
      </c>
      <c r="X601" s="28"/>
      <c r="Y601" s="28" t="n">
        <f aca="false">X601*$M601</f>
        <v>0</v>
      </c>
      <c r="Z601" s="28"/>
      <c r="AA601" s="28" t="n">
        <f aca="false">Z601*$M601</f>
        <v>0</v>
      </c>
      <c r="AB601" s="28"/>
      <c r="AC601" s="28" t="n">
        <f aca="false">AB601*$M601</f>
        <v>0</v>
      </c>
      <c r="AD601" s="28"/>
      <c r="AE601" s="28" t="n">
        <f aca="false">AD601*$M601</f>
        <v>0</v>
      </c>
      <c r="AF601" s="28"/>
      <c r="AG601" s="28" t="n">
        <f aca="false">AF601*$M601</f>
        <v>0</v>
      </c>
      <c r="AH601" s="28"/>
      <c r="AI601" s="28" t="n">
        <f aca="false">AH601*$M601</f>
        <v>0</v>
      </c>
      <c r="AJ601" s="28" t="n">
        <v>4241</v>
      </c>
      <c r="AK601" s="28" t="n">
        <v>4241</v>
      </c>
      <c r="AL601" s="28"/>
      <c r="AM601" s="28" t="n">
        <f aca="false">AL601*$M601</f>
        <v>0</v>
      </c>
      <c r="AN601" s="28"/>
      <c r="AO601" s="28" t="n">
        <f aca="false">AN601*$M601</f>
        <v>0</v>
      </c>
      <c r="AP601" s="28"/>
      <c r="AQ601" s="28" t="n">
        <f aca="false">AP601*$M601</f>
        <v>0</v>
      </c>
      <c r="AR601" s="28"/>
      <c r="AS601" s="28" t="n">
        <f aca="false">AR601*$M601</f>
        <v>0</v>
      </c>
      <c r="AT601" s="28"/>
      <c r="AU601" s="28" t="n">
        <f aca="false">AT601*$M601</f>
        <v>0</v>
      </c>
      <c r="AV601" s="28"/>
      <c r="AW601" s="28" t="n">
        <f aca="false">AV601*$M601</f>
        <v>0</v>
      </c>
      <c r="AX601" s="28"/>
      <c r="AY601" s="28" t="n">
        <f aca="false">AX601*$M601</f>
        <v>0</v>
      </c>
      <c r="AZ601" s="30" t="n">
        <v>4241</v>
      </c>
      <c r="BA601" s="11" t="n">
        <v>4241</v>
      </c>
      <c r="BB601" s="31" t="n">
        <f aca="false">SUM(Q601,S601,U601,W601,Y601,AA601,AC601,AE601,AG601,AI601,AK601,AM601,AO601,AQ601,AS601,AU601,AW601,AY601)</f>
        <v>4241</v>
      </c>
      <c r="BC601" s="28" t="n">
        <f aca="false">BA601-BB601</f>
        <v>0</v>
      </c>
      <c r="BD601" s="32" t="n">
        <f aca="false">SUM(P601,R601,T601,V601,X601,Z601,AB601,AD601,AF601,AH601,AJ601,AL601,AN601,AP601,AR601,AT601,AV601,AX601)</f>
        <v>4241</v>
      </c>
      <c r="BE601" s="33" t="n">
        <f aca="false">AZ601-BD601</f>
        <v>0</v>
      </c>
      <c r="BF601" s="34" t="n">
        <f aca="false">BD601*M601</f>
        <v>4241</v>
      </c>
      <c r="BG601" s="35" t="n">
        <f aca="false">BA601-BF601</f>
        <v>0</v>
      </c>
      <c r="BH601" s="19" t="str">
        <f aca="false">IF(BG601=0,"",IF(BG601&lt;&gt;BA601,"erreur de calcul",IF(BD601&lt;&gt;0,"pas de prix",IF(M601&lt;&gt; 0,"pas de quantité","pas de prix, ni de quantité"))))</f>
        <v/>
      </c>
      <c r="BI601" s="19"/>
    </row>
    <row r="602" customFormat="false" ht="16" hidden="false" customHeight="false" outlineLevel="0" collapsed="false">
      <c r="A602" s="0" t="n">
        <v>3</v>
      </c>
      <c r="B602" s="8" t="s">
        <v>24</v>
      </c>
      <c r="C602" s="9" t="s">
        <v>25</v>
      </c>
      <c r="D602" s="9" t="s">
        <v>26</v>
      </c>
      <c r="E602" s="10" t="n">
        <v>1789</v>
      </c>
      <c r="F602" s="9" t="s">
        <v>27</v>
      </c>
      <c r="G602" s="9" t="s">
        <v>27</v>
      </c>
      <c r="H602" s="11" t="n">
        <v>25</v>
      </c>
      <c r="I602" s="11" t="s">
        <v>331</v>
      </c>
      <c r="J602" s="14" t="n">
        <v>18</v>
      </c>
      <c r="K602" s="14"/>
      <c r="L602" s="16"/>
      <c r="M602" s="27" t="n">
        <f aca="false">J602+(K602/20)+(L602/240)</f>
        <v>18</v>
      </c>
      <c r="N602" s="17" t="s">
        <v>66</v>
      </c>
      <c r="O602" s="11" t="s">
        <v>98</v>
      </c>
      <c r="P602" s="28"/>
      <c r="Q602" s="28" t="n">
        <f aca="false">P602*$M602</f>
        <v>0</v>
      </c>
      <c r="R602" s="28"/>
      <c r="S602" s="28" t="n">
        <f aca="false">R602*$M602</f>
        <v>0</v>
      </c>
      <c r="T602" s="28"/>
      <c r="U602" s="28" t="n">
        <f aca="false">T602*$M602</f>
        <v>0</v>
      </c>
      <c r="V602" s="28"/>
      <c r="W602" s="28" t="n">
        <f aca="false">V602*$M602</f>
        <v>0</v>
      </c>
      <c r="X602" s="28"/>
      <c r="Y602" s="28" t="n">
        <f aca="false">X602*$M602</f>
        <v>0</v>
      </c>
      <c r="Z602" s="28"/>
      <c r="AA602" s="28" t="n">
        <f aca="false">Z602*$M602</f>
        <v>0</v>
      </c>
      <c r="AB602" s="28"/>
      <c r="AC602" s="28" t="n">
        <f aca="false">AB602*$M602</f>
        <v>0</v>
      </c>
      <c r="AD602" s="28"/>
      <c r="AE602" s="28" t="n">
        <f aca="false">AD602*$M602</f>
        <v>0</v>
      </c>
      <c r="AF602" s="28"/>
      <c r="AG602" s="28" t="n">
        <f aca="false">AF602*$M602</f>
        <v>0</v>
      </c>
      <c r="AH602" s="28"/>
      <c r="AI602" s="28" t="n">
        <f aca="false">AH602*$M602</f>
        <v>0</v>
      </c>
      <c r="AJ602" s="28"/>
      <c r="AK602" s="28" t="n">
        <f aca="false">AJ602*$M602</f>
        <v>0</v>
      </c>
      <c r="AL602" s="28"/>
      <c r="AM602" s="28" t="n">
        <f aca="false">AL602*$M602</f>
        <v>0</v>
      </c>
      <c r="AN602" s="28"/>
      <c r="AO602" s="28" t="n">
        <f aca="false">AN602*$M602</f>
        <v>0</v>
      </c>
      <c r="AP602" s="28"/>
      <c r="AQ602" s="28" t="n">
        <f aca="false">AP602*$M602</f>
        <v>0</v>
      </c>
      <c r="AR602" s="28"/>
      <c r="AS602" s="28" t="n">
        <f aca="false">AR602*$M602</f>
        <v>0</v>
      </c>
      <c r="AT602" s="28"/>
      <c r="AU602" s="28" t="n">
        <f aca="false">AT602*$M602</f>
        <v>0</v>
      </c>
      <c r="AV602" s="28"/>
      <c r="AW602" s="28" t="n">
        <f aca="false">AV602*$M602</f>
        <v>0</v>
      </c>
      <c r="AX602" s="28"/>
      <c r="AY602" s="28" t="n">
        <f aca="false">AX602*$M602</f>
        <v>0</v>
      </c>
      <c r="AZ602" s="30"/>
      <c r="BA602" s="11"/>
      <c r="BB602" s="31" t="n">
        <f aca="false">SUM(Q602,S602,U602,W602,Y602,AA602,AC602,AE602,AG602,AI602,AK602,AM602,AO602,AQ602,AS602,AU602,AW602,AY602)</f>
        <v>0</v>
      </c>
      <c r="BC602" s="28" t="n">
        <f aca="false">BA602-BB602</f>
        <v>0</v>
      </c>
      <c r="BD602" s="32" t="n">
        <f aca="false">SUM(P602,R602,T602,V602,X602,Z602,AB602,AD602,AF602,AH602,AJ602,AL602,AN602,AP602,AR602,AT602,AV602,AX602)</f>
        <v>0</v>
      </c>
      <c r="BE602" s="33" t="n">
        <f aca="false">AZ602-BD602</f>
        <v>0</v>
      </c>
      <c r="BF602" s="34" t="n">
        <f aca="false">BD602*M602</f>
        <v>0</v>
      </c>
      <c r="BG602" s="35" t="n">
        <f aca="false">BA602-BF602</f>
        <v>0</v>
      </c>
      <c r="BH602" s="19" t="str">
        <f aca="false">IF(BG602=0,"",IF(BG602&lt;&gt;BA602,"erreur de calcul",IF(BD602&lt;&gt;0,"pas de prix",IF(M602&lt;&gt; 0,"pas de quantité","pas de prix, ni de quantité"))))</f>
        <v/>
      </c>
      <c r="BI602" s="19"/>
    </row>
    <row r="603" customFormat="false" ht="16" hidden="false" customHeight="false" outlineLevel="0" collapsed="false">
      <c r="A603" s="0" t="n">
        <v>4</v>
      </c>
      <c r="B603" s="8" t="s">
        <v>24</v>
      </c>
      <c r="C603" s="9" t="s">
        <v>25</v>
      </c>
      <c r="D603" s="9" t="s">
        <v>26</v>
      </c>
      <c r="E603" s="10" t="n">
        <v>1789</v>
      </c>
      <c r="F603" s="9" t="s">
        <v>27</v>
      </c>
      <c r="G603" s="9" t="s">
        <v>27</v>
      </c>
      <c r="H603" s="11" t="n">
        <v>25</v>
      </c>
      <c r="I603" s="11" t="s">
        <v>332</v>
      </c>
      <c r="J603" s="14" t="n">
        <v>18</v>
      </c>
      <c r="K603" s="14"/>
      <c r="L603" s="16"/>
      <c r="M603" s="27" t="n">
        <f aca="false">J603+(K603/20)+(L603/240)</f>
        <v>18</v>
      </c>
      <c r="N603" s="17" t="s">
        <v>66</v>
      </c>
      <c r="O603" s="11" t="s">
        <v>98</v>
      </c>
      <c r="P603" s="28"/>
      <c r="Q603" s="28" t="n">
        <f aca="false">P603*$M603</f>
        <v>0</v>
      </c>
      <c r="R603" s="28"/>
      <c r="S603" s="28" t="n">
        <f aca="false">R603*$M603</f>
        <v>0</v>
      </c>
      <c r="T603" s="28"/>
      <c r="U603" s="28" t="n">
        <f aca="false">T603*$M603</f>
        <v>0</v>
      </c>
      <c r="V603" s="28"/>
      <c r="W603" s="28" t="n">
        <f aca="false">V603*$M603</f>
        <v>0</v>
      </c>
      <c r="X603" s="28"/>
      <c r="Y603" s="28" t="n">
        <f aca="false">X603*$M603</f>
        <v>0</v>
      </c>
      <c r="Z603" s="28"/>
      <c r="AA603" s="28" t="n">
        <f aca="false">Z603*$M603</f>
        <v>0</v>
      </c>
      <c r="AB603" s="28"/>
      <c r="AC603" s="28" t="n">
        <f aca="false">AB603*$M603</f>
        <v>0</v>
      </c>
      <c r="AD603" s="28"/>
      <c r="AE603" s="28" t="n">
        <f aca="false">AD603*$M603</f>
        <v>0</v>
      </c>
      <c r="AF603" s="28"/>
      <c r="AG603" s="28" t="n">
        <f aca="false">AF603*$M603</f>
        <v>0</v>
      </c>
      <c r="AH603" s="28"/>
      <c r="AI603" s="28" t="n">
        <f aca="false">AH603*$M603</f>
        <v>0</v>
      </c>
      <c r="AJ603" s="28"/>
      <c r="AK603" s="28" t="n">
        <f aca="false">AJ603*$M603</f>
        <v>0</v>
      </c>
      <c r="AL603" s="28"/>
      <c r="AM603" s="28" t="n">
        <f aca="false">AL603*$M603</f>
        <v>0</v>
      </c>
      <c r="AN603" s="28"/>
      <c r="AO603" s="28" t="n">
        <f aca="false">AN603*$M603</f>
        <v>0</v>
      </c>
      <c r="AP603" s="28"/>
      <c r="AQ603" s="28" t="n">
        <f aca="false">AP603*$M603</f>
        <v>0</v>
      </c>
      <c r="AR603" s="28"/>
      <c r="AS603" s="28" t="n">
        <f aca="false">AR603*$M603</f>
        <v>0</v>
      </c>
      <c r="AT603" s="28"/>
      <c r="AU603" s="28" t="n">
        <f aca="false">AT603*$M603</f>
        <v>0</v>
      </c>
      <c r="AV603" s="28"/>
      <c r="AW603" s="28" t="n">
        <f aca="false">AV603*$M603</f>
        <v>0</v>
      </c>
      <c r="AX603" s="28"/>
      <c r="AY603" s="28" t="n">
        <f aca="false">AX603*$M603</f>
        <v>0</v>
      </c>
      <c r="AZ603" s="30"/>
      <c r="BA603" s="11"/>
      <c r="BB603" s="31" t="n">
        <f aca="false">SUM(Q603,S603,U603,W603,Y603,AA603,AC603,AE603,AG603,AI603,AK603,AM603,AO603,AQ603,AS603,AU603,AW603,AY603)</f>
        <v>0</v>
      </c>
      <c r="BC603" s="28" t="n">
        <f aca="false">BA603-BB603</f>
        <v>0</v>
      </c>
      <c r="BD603" s="32" t="n">
        <f aca="false">SUM(P603,R603,T603,V603,X603,Z603,AB603,AD603,AF603,AH603,AJ603,AL603,AN603,AP603,AR603,AT603,AV603,AX603)</f>
        <v>0</v>
      </c>
      <c r="BE603" s="33" t="n">
        <f aca="false">AZ603-BD603</f>
        <v>0</v>
      </c>
      <c r="BF603" s="34" t="n">
        <f aca="false">BD603*M603</f>
        <v>0</v>
      </c>
      <c r="BG603" s="35" t="n">
        <f aca="false">BA603-BF603</f>
        <v>0</v>
      </c>
      <c r="BH603" s="19" t="str">
        <f aca="false">IF(BG603=0,"",IF(BG603&lt;&gt;BA603,"erreur de calcul",IF(BD603&lt;&gt;0,"pas de prix",IF(M603&lt;&gt; 0,"pas de quantité","pas de prix, ni de quantité"))))</f>
        <v/>
      </c>
      <c r="BI603" s="19"/>
    </row>
    <row r="604" customFormat="false" ht="16" hidden="false" customHeight="false" outlineLevel="0" collapsed="false">
      <c r="A604" s="0" t="n">
        <v>5</v>
      </c>
      <c r="B604" s="8" t="s">
        <v>24</v>
      </c>
      <c r="C604" s="9" t="s">
        <v>25</v>
      </c>
      <c r="D604" s="9" t="s">
        <v>26</v>
      </c>
      <c r="E604" s="10" t="n">
        <v>1789</v>
      </c>
      <c r="F604" s="9" t="s">
        <v>27</v>
      </c>
      <c r="G604" s="9" t="s">
        <v>27</v>
      </c>
      <c r="H604" s="11" t="n">
        <v>25</v>
      </c>
      <c r="I604" s="11" t="s">
        <v>333</v>
      </c>
      <c r="J604" s="14" t="n">
        <v>44</v>
      </c>
      <c r="K604" s="14"/>
      <c r="L604" s="16"/>
      <c r="M604" s="27" t="n">
        <f aca="false">J604+(K604/20)+(L604/240)</f>
        <v>44</v>
      </c>
      <c r="N604" s="17" t="s">
        <v>66</v>
      </c>
      <c r="O604" s="11"/>
      <c r="P604" s="28" t="n">
        <v>1391</v>
      </c>
      <c r="Q604" s="28" t="n">
        <v>61204</v>
      </c>
      <c r="R604" s="28"/>
      <c r="S604" s="28" t="n">
        <f aca="false">R604*$M604</f>
        <v>0</v>
      </c>
      <c r="T604" s="28"/>
      <c r="U604" s="28" t="n">
        <f aca="false">T604*$M604</f>
        <v>0</v>
      </c>
      <c r="V604" s="28"/>
      <c r="W604" s="28" t="n">
        <f aca="false">V604*$M604</f>
        <v>0</v>
      </c>
      <c r="X604" s="28"/>
      <c r="Y604" s="28" t="n">
        <f aca="false">X604*$M604</f>
        <v>0</v>
      </c>
      <c r="Z604" s="28"/>
      <c r="AA604" s="28" t="n">
        <f aca="false">Z604*$M604</f>
        <v>0</v>
      </c>
      <c r="AB604" s="28"/>
      <c r="AC604" s="28" t="n">
        <f aca="false">AB604*$M604</f>
        <v>0</v>
      </c>
      <c r="AD604" s="28"/>
      <c r="AE604" s="28" t="n">
        <f aca="false">AD604*$M604</f>
        <v>0</v>
      </c>
      <c r="AF604" s="28"/>
      <c r="AG604" s="28" t="n">
        <f aca="false">AF604*$M604</f>
        <v>0</v>
      </c>
      <c r="AH604" s="28"/>
      <c r="AI604" s="28" t="n">
        <f aca="false">AH604*$M604</f>
        <v>0</v>
      </c>
      <c r="AJ604" s="28"/>
      <c r="AK604" s="28" t="n">
        <f aca="false">AJ604*$M604</f>
        <v>0</v>
      </c>
      <c r="AL604" s="28"/>
      <c r="AM604" s="28" t="n">
        <f aca="false">AL604*$M604</f>
        <v>0</v>
      </c>
      <c r="AN604" s="28"/>
      <c r="AO604" s="28" t="n">
        <f aca="false">AN604*$M604</f>
        <v>0</v>
      </c>
      <c r="AP604" s="28"/>
      <c r="AQ604" s="28" t="n">
        <f aca="false">AP604*$M604</f>
        <v>0</v>
      </c>
      <c r="AR604" s="28"/>
      <c r="AS604" s="28" t="n">
        <f aca="false">AR604*$M604</f>
        <v>0</v>
      </c>
      <c r="AT604" s="28"/>
      <c r="AU604" s="28" t="n">
        <f aca="false">AT604*$M604</f>
        <v>0</v>
      </c>
      <c r="AV604" s="28"/>
      <c r="AW604" s="28" t="n">
        <f aca="false">AV604*$M604</f>
        <v>0</v>
      </c>
      <c r="AX604" s="28"/>
      <c r="AY604" s="28" t="n">
        <f aca="false">AX604*$M604</f>
        <v>0</v>
      </c>
      <c r="AZ604" s="30" t="n">
        <v>1391</v>
      </c>
      <c r="BA604" s="11" t="n">
        <v>61204</v>
      </c>
      <c r="BB604" s="31" t="n">
        <f aca="false">SUM(Q604,S604,U604,W604,Y604,AA604,AC604,AE604,AG604,AI604,AK604,AM604,AO604,AQ604,AS604,AU604,AW604,AY604)</f>
        <v>61204</v>
      </c>
      <c r="BC604" s="28" t="n">
        <f aca="false">BA604-BB604</f>
        <v>0</v>
      </c>
      <c r="BD604" s="32" t="n">
        <f aca="false">SUM(P604,R604,T604,V604,X604,Z604,AB604,AD604,AF604,AH604,AJ604,AL604,AN604,AP604,AR604,AT604,AV604,AX604)</f>
        <v>1391</v>
      </c>
      <c r="BE604" s="33" t="n">
        <f aca="false">AZ604-BD604</f>
        <v>0</v>
      </c>
      <c r="BF604" s="34" t="n">
        <f aca="false">BD604*M604</f>
        <v>61204</v>
      </c>
      <c r="BG604" s="35" t="n">
        <f aca="false">BA604-BF604</f>
        <v>0</v>
      </c>
      <c r="BH604" s="19" t="str">
        <f aca="false">IF(BG604=0,"",IF(BG604&lt;&gt;BA604,"erreur de calcul",IF(BD604&lt;&gt;0,"pas de prix",IF(M604&lt;&gt; 0,"pas de quantité","pas de prix, ni de quantité"))))</f>
        <v/>
      </c>
      <c r="BI604" s="19"/>
    </row>
    <row r="605" customFormat="false" ht="16" hidden="false" customHeight="false" outlineLevel="0" collapsed="false">
      <c r="A605" s="0" t="n">
        <v>6</v>
      </c>
      <c r="B605" s="8" t="s">
        <v>24</v>
      </c>
      <c r="C605" s="9" t="s">
        <v>25</v>
      </c>
      <c r="D605" s="9" t="s">
        <v>26</v>
      </c>
      <c r="E605" s="10" t="n">
        <v>1789</v>
      </c>
      <c r="F605" s="9" t="s">
        <v>27</v>
      </c>
      <c r="G605" s="9" t="s">
        <v>27</v>
      </c>
      <c r="H605" s="11" t="n">
        <v>25</v>
      </c>
      <c r="I605" s="11" t="s">
        <v>334</v>
      </c>
      <c r="J605" s="14" t="n">
        <v>12</v>
      </c>
      <c r="K605" s="14"/>
      <c r="L605" s="16"/>
      <c r="M605" s="27" t="n">
        <f aca="false">J605+(K605/20)+(L605/240)</f>
        <v>12</v>
      </c>
      <c r="N605" s="17" t="s">
        <v>64</v>
      </c>
      <c r="O605" s="11"/>
      <c r="P605" s="28"/>
      <c r="Q605" s="28" t="n">
        <f aca="false">P605*$M605</f>
        <v>0</v>
      </c>
      <c r="R605" s="28"/>
      <c r="S605" s="28" t="n">
        <f aca="false">R605*$M605</f>
        <v>0</v>
      </c>
      <c r="T605" s="28"/>
      <c r="U605" s="28" t="n">
        <f aca="false">T605*$M605</f>
        <v>0</v>
      </c>
      <c r="V605" s="28"/>
      <c r="W605" s="28" t="n">
        <f aca="false">V605*$M605</f>
        <v>0</v>
      </c>
      <c r="X605" s="28" t="n">
        <f aca="false">1111/100</f>
        <v>11.11</v>
      </c>
      <c r="Y605" s="28" t="n">
        <v>133</v>
      </c>
      <c r="Z605" s="28"/>
      <c r="AA605" s="28" t="n">
        <f aca="false">Z605*$M605</f>
        <v>0</v>
      </c>
      <c r="AB605" s="28"/>
      <c r="AC605" s="28" t="n">
        <f aca="false">AB605*$M605</f>
        <v>0</v>
      </c>
      <c r="AD605" s="28"/>
      <c r="AE605" s="28" t="n">
        <f aca="false">AD605*$M605</f>
        <v>0</v>
      </c>
      <c r="AF605" s="28"/>
      <c r="AG605" s="28" t="n">
        <f aca="false">AF605*$M605</f>
        <v>0</v>
      </c>
      <c r="AH605" s="28"/>
      <c r="AI605" s="28" t="n">
        <f aca="false">AH605*$M605</f>
        <v>0</v>
      </c>
      <c r="AJ605" s="28"/>
      <c r="AK605" s="28" t="n">
        <f aca="false">AJ605*$M605</f>
        <v>0</v>
      </c>
      <c r="AL605" s="28"/>
      <c r="AM605" s="28" t="n">
        <f aca="false">AL605*$M605</f>
        <v>0</v>
      </c>
      <c r="AN605" s="28"/>
      <c r="AO605" s="28" t="n">
        <f aca="false">AN605*$M605</f>
        <v>0</v>
      </c>
      <c r="AP605" s="28"/>
      <c r="AQ605" s="28" t="n">
        <f aca="false">AP605*$M605</f>
        <v>0</v>
      </c>
      <c r="AR605" s="28"/>
      <c r="AS605" s="28" t="n">
        <f aca="false">AR605*$M605</f>
        <v>0</v>
      </c>
      <c r="AT605" s="28"/>
      <c r="AU605" s="28" t="n">
        <f aca="false">AT605*$M605</f>
        <v>0</v>
      </c>
      <c r="AV605" s="28"/>
      <c r="AW605" s="28" t="n">
        <f aca="false">AV605*$M605</f>
        <v>0</v>
      </c>
      <c r="AX605" s="28"/>
      <c r="AY605" s="28" t="n">
        <f aca="false">AX605*$M605</f>
        <v>0</v>
      </c>
      <c r="AZ605" s="30" t="n">
        <f aca="false">1111/100</f>
        <v>11.11</v>
      </c>
      <c r="BA605" s="11" t="n">
        <v>133</v>
      </c>
      <c r="BB605" s="31" t="n">
        <f aca="false">SUM(Q605,S605,U605,W605,Y605,AA605,AC605,AE605,AG605,AI605,AK605,AM605,AO605,AQ605,AS605,AU605,AW605,AY605)</f>
        <v>133</v>
      </c>
      <c r="BC605" s="28" t="n">
        <f aca="false">BA605-BB605</f>
        <v>0</v>
      </c>
      <c r="BD605" s="32" t="n">
        <f aca="false">SUM(P605,R605,T605,V605,X605,Z605,AB605,AD605,AF605,AH605,AJ605,AL605,AN605,AP605,AR605,AT605,AV605,AX605)</f>
        <v>11.11</v>
      </c>
      <c r="BE605" s="33" t="n">
        <f aca="false">AZ605-BD605</f>
        <v>0</v>
      </c>
      <c r="BF605" s="34" t="n">
        <f aca="false">BD605*M605</f>
        <v>133.32</v>
      </c>
      <c r="BG605" s="35" t="n">
        <f aca="false">BA605-BF605</f>
        <v>-0.319999999999993</v>
      </c>
      <c r="BH605" s="19" t="str">
        <f aca="false">IF(BG605=0,"",IF(BG605&lt;&gt;BA605,"erreur de calcul",IF(BD605&lt;&gt;0,"pas de prix",IF(M605&lt;&gt; 0,"pas de quantité","pas de prix, ni de quantité"))))</f>
        <v>erreur de calcul</v>
      </c>
      <c r="BI605" s="19"/>
    </row>
    <row r="606" customFormat="false" ht="16" hidden="false" customHeight="false" outlineLevel="0" collapsed="false">
      <c r="A606" s="0" t="n">
        <v>7</v>
      </c>
      <c r="B606" s="8" t="s">
        <v>24</v>
      </c>
      <c r="C606" s="9" t="s">
        <v>25</v>
      </c>
      <c r="D606" s="9" t="s">
        <v>26</v>
      </c>
      <c r="E606" s="10" t="n">
        <v>1789</v>
      </c>
      <c r="F606" s="9" t="s">
        <v>27</v>
      </c>
      <c r="G606" s="9" t="s">
        <v>27</v>
      </c>
      <c r="H606" s="11" t="n">
        <v>25</v>
      </c>
      <c r="I606" s="11" t="s">
        <v>335</v>
      </c>
      <c r="J606" s="14" t="n">
        <v>4</v>
      </c>
      <c r="K606" s="14" t="n">
        <v>10</v>
      </c>
      <c r="L606" s="16"/>
      <c r="M606" s="27" t="n">
        <f aca="false">J606+(K606/20)+(L606/240)</f>
        <v>4.5</v>
      </c>
      <c r="N606" s="17" t="s">
        <v>64</v>
      </c>
      <c r="O606" s="11" t="s">
        <v>77</v>
      </c>
      <c r="P606" s="28" t="n">
        <f aca="false">8366/100</f>
        <v>83.66</v>
      </c>
      <c r="Q606" s="28" t="n">
        <v>376</v>
      </c>
      <c r="R606" s="28"/>
      <c r="S606" s="28" t="n">
        <f aca="false">R606*$M606</f>
        <v>0</v>
      </c>
      <c r="T606" s="28"/>
      <c r="U606" s="28" t="n">
        <f aca="false">T606*$M606</f>
        <v>0</v>
      </c>
      <c r="V606" s="28"/>
      <c r="W606" s="28" t="n">
        <f aca="false">V606*$M606</f>
        <v>0</v>
      </c>
      <c r="X606" s="28"/>
      <c r="Y606" s="28" t="n">
        <f aca="false">X606*$M606</f>
        <v>0</v>
      </c>
      <c r="Z606" s="28"/>
      <c r="AA606" s="28" t="n">
        <f aca="false">Z606*$M606</f>
        <v>0</v>
      </c>
      <c r="AB606" s="28"/>
      <c r="AC606" s="28" t="n">
        <f aca="false">AB606*$M606</f>
        <v>0</v>
      </c>
      <c r="AD606" s="28"/>
      <c r="AE606" s="28" t="n">
        <f aca="false">AD606*$M606</f>
        <v>0</v>
      </c>
      <c r="AF606" s="28"/>
      <c r="AG606" s="28" t="n">
        <f aca="false">AF606*$M606</f>
        <v>0</v>
      </c>
      <c r="AH606" s="28"/>
      <c r="AI606" s="28" t="n">
        <f aca="false">AH606*$M606</f>
        <v>0</v>
      </c>
      <c r="AJ606" s="28"/>
      <c r="AK606" s="28" t="n">
        <f aca="false">AJ606*$M606</f>
        <v>0</v>
      </c>
      <c r="AL606" s="28"/>
      <c r="AM606" s="28" t="n">
        <f aca="false">AL606*$M606</f>
        <v>0</v>
      </c>
      <c r="AN606" s="28"/>
      <c r="AO606" s="28" t="n">
        <f aca="false">AN606*$M606</f>
        <v>0</v>
      </c>
      <c r="AP606" s="28"/>
      <c r="AQ606" s="28" t="n">
        <f aca="false">AP606*$M606</f>
        <v>0</v>
      </c>
      <c r="AR606" s="28"/>
      <c r="AS606" s="28" t="n">
        <f aca="false">AR606*$M606</f>
        <v>0</v>
      </c>
      <c r="AT606" s="28"/>
      <c r="AU606" s="28" t="n">
        <f aca="false">AT606*$M606</f>
        <v>0</v>
      </c>
      <c r="AV606" s="28"/>
      <c r="AW606" s="28" t="n">
        <f aca="false">AV606*$M606</f>
        <v>0</v>
      </c>
      <c r="AX606" s="28"/>
      <c r="AY606" s="28" t="n">
        <f aca="false">AX606*$M606</f>
        <v>0</v>
      </c>
      <c r="AZ606" s="30" t="n">
        <f aca="false">8366/100</f>
        <v>83.66</v>
      </c>
      <c r="BA606" s="11" t="n">
        <v>376</v>
      </c>
      <c r="BB606" s="31" t="n">
        <f aca="false">SUM(Q606,S606,U606,W606,Y606,AA606,AC606,AE606,AG606,AI606,AK606,AM606,AO606,AQ606,AS606,AU606,AW606,AY606)</f>
        <v>376</v>
      </c>
      <c r="BC606" s="28" t="n">
        <f aca="false">BA606-BB606</f>
        <v>0</v>
      </c>
      <c r="BD606" s="32" t="n">
        <f aca="false">SUM(P606,R606,T606,V606,X606,Z606,AB606,AD606,AF606,AH606,AJ606,AL606,AN606,AP606,AR606,AT606,AV606,AX606)</f>
        <v>83.66</v>
      </c>
      <c r="BE606" s="33" t="n">
        <f aca="false">AZ606-BD606</f>
        <v>0</v>
      </c>
      <c r="BF606" s="34" t="n">
        <f aca="false">BD606*M606</f>
        <v>376.47</v>
      </c>
      <c r="BG606" s="35" t="n">
        <f aca="false">BA606-BF606</f>
        <v>-0.46999999999997</v>
      </c>
      <c r="BH606" s="19" t="str">
        <f aca="false">IF(BG606=0,"",IF(BG606&lt;&gt;BA606,"erreur de calcul",IF(BD606&lt;&gt;0,"pas de prix",IF(M606&lt;&gt; 0,"pas de quantité","pas de prix, ni de quantité"))))</f>
        <v>erreur de calcul</v>
      </c>
      <c r="BI606" s="19"/>
    </row>
    <row r="607" customFormat="false" ht="16" hidden="false" customHeight="false" outlineLevel="0" collapsed="false">
      <c r="A607" s="0" t="n">
        <v>8</v>
      </c>
      <c r="B607" s="8" t="s">
        <v>24</v>
      </c>
      <c r="C607" s="9" t="s">
        <v>25</v>
      </c>
      <c r="D607" s="9" t="s">
        <v>26</v>
      </c>
      <c r="E607" s="10" t="n">
        <v>1789</v>
      </c>
      <c r="F607" s="9" t="s">
        <v>27</v>
      </c>
      <c r="G607" s="9" t="s">
        <v>27</v>
      </c>
      <c r="H607" s="11" t="n">
        <v>25</v>
      </c>
      <c r="I607" s="11" t="s">
        <v>336</v>
      </c>
      <c r="J607" s="14" t="n">
        <v>64</v>
      </c>
      <c r="K607" s="14"/>
      <c r="L607" s="16"/>
      <c r="M607" s="27" t="n">
        <f aca="false">J607+(K607/20)+(L607/240)</f>
        <v>64</v>
      </c>
      <c r="N607" s="17" t="s">
        <v>337</v>
      </c>
      <c r="O607" s="11"/>
      <c r="P607" s="28"/>
      <c r="Q607" s="28" t="n">
        <f aca="false">P607*$M607</f>
        <v>0</v>
      </c>
      <c r="R607" s="28"/>
      <c r="S607" s="28" t="n">
        <f aca="false">R607*$M607</f>
        <v>0</v>
      </c>
      <c r="T607" s="28" t="n">
        <v>42</v>
      </c>
      <c r="U607" s="28" t="n">
        <v>2688</v>
      </c>
      <c r="V607" s="28"/>
      <c r="W607" s="28" t="n">
        <f aca="false">V607*$M607</f>
        <v>0</v>
      </c>
      <c r="X607" s="28"/>
      <c r="Y607" s="28" t="n">
        <f aca="false">X607*$M607</f>
        <v>0</v>
      </c>
      <c r="Z607" s="28"/>
      <c r="AA607" s="28" t="n">
        <f aca="false">Z607*$M607</f>
        <v>0</v>
      </c>
      <c r="AB607" s="28" t="n">
        <v>66</v>
      </c>
      <c r="AC607" s="28" t="n">
        <v>4224</v>
      </c>
      <c r="AD607" s="28"/>
      <c r="AE607" s="28" t="n">
        <f aca="false">AD607*$M607</f>
        <v>0</v>
      </c>
      <c r="AF607" s="28"/>
      <c r="AG607" s="28" t="n">
        <f aca="false">AF607*$M607</f>
        <v>0</v>
      </c>
      <c r="AH607" s="28"/>
      <c r="AI607" s="28" t="n">
        <f aca="false">AH607*$M607</f>
        <v>0</v>
      </c>
      <c r="AJ607" s="28"/>
      <c r="AK607" s="28" t="n">
        <f aca="false">AJ607*$M607</f>
        <v>0</v>
      </c>
      <c r="AL607" s="28"/>
      <c r="AM607" s="28" t="n">
        <f aca="false">AL607*$M607</f>
        <v>0</v>
      </c>
      <c r="AN607" s="28"/>
      <c r="AO607" s="28" t="n">
        <f aca="false">AN607*$M607</f>
        <v>0</v>
      </c>
      <c r="AP607" s="28"/>
      <c r="AQ607" s="28" t="n">
        <f aca="false">AP607*$M607</f>
        <v>0</v>
      </c>
      <c r="AR607" s="28"/>
      <c r="AS607" s="28" t="n">
        <f aca="false">AR607*$M607</f>
        <v>0</v>
      </c>
      <c r="AT607" s="28"/>
      <c r="AU607" s="28" t="n">
        <f aca="false">AT607*$M607</f>
        <v>0</v>
      </c>
      <c r="AV607" s="28"/>
      <c r="AW607" s="28" t="n">
        <f aca="false">AV607*$M607</f>
        <v>0</v>
      </c>
      <c r="AX607" s="28"/>
      <c r="AY607" s="28" t="n">
        <f aca="false">AX607*$M607</f>
        <v>0</v>
      </c>
      <c r="AZ607" s="30" t="n">
        <v>108</v>
      </c>
      <c r="BA607" s="11" t="n">
        <v>6912</v>
      </c>
      <c r="BB607" s="31" t="n">
        <f aca="false">SUM(Q607,S607,U607,W607,Y607,AA607,AC607,AE607,AG607,AI607,AK607,AM607,AO607,AQ607,AS607,AU607,AW607,AY607)</f>
        <v>6912</v>
      </c>
      <c r="BC607" s="28" t="n">
        <f aca="false">BA607-BB607</f>
        <v>0</v>
      </c>
      <c r="BD607" s="32" t="n">
        <f aca="false">SUM(P607,R607,T607,V607,X607,Z607,AB607,AD607,AF607,AH607,AJ607,AL607,AN607,AP607,AR607,AT607,AV607,AX607)</f>
        <v>108</v>
      </c>
      <c r="BE607" s="33" t="n">
        <f aca="false">AZ607-BD607</f>
        <v>0</v>
      </c>
      <c r="BF607" s="34" t="n">
        <f aca="false">BD607*M607</f>
        <v>6912</v>
      </c>
      <c r="BG607" s="35" t="n">
        <f aca="false">BA607-BF607</f>
        <v>0</v>
      </c>
      <c r="BH607" s="19" t="str">
        <f aca="false">IF(BG607=0,"",IF(BG607&lt;&gt;BA607,"erreur de calcul",IF(BD607&lt;&gt;0,"pas de prix",IF(M607&lt;&gt; 0,"pas de quantité","pas de prix, ni de quantité"))))</f>
        <v/>
      </c>
      <c r="BI607" s="19"/>
    </row>
    <row r="608" customFormat="false" ht="16" hidden="false" customHeight="false" outlineLevel="0" collapsed="false">
      <c r="A608" s="0" t="n">
        <v>9</v>
      </c>
      <c r="B608" s="8" t="s">
        <v>24</v>
      </c>
      <c r="C608" s="9" t="s">
        <v>25</v>
      </c>
      <c r="D608" s="9" t="s">
        <v>26</v>
      </c>
      <c r="E608" s="10" t="n">
        <v>1789</v>
      </c>
      <c r="F608" s="9" t="s">
        <v>27</v>
      </c>
      <c r="G608" s="9" t="s">
        <v>27</v>
      </c>
      <c r="H608" s="11" t="n">
        <v>25</v>
      </c>
      <c r="I608" s="11" t="s">
        <v>338</v>
      </c>
      <c r="J608" s="14"/>
      <c r="K608" s="14"/>
      <c r="L608" s="16"/>
      <c r="M608" s="27" t="n">
        <f aca="false">J608+(K608/20)+(L608/240)</f>
        <v>0</v>
      </c>
      <c r="N608" s="17"/>
      <c r="O608" s="11"/>
      <c r="P608" s="28"/>
      <c r="Q608" s="28" t="n">
        <f aca="false">P608*$M608</f>
        <v>0</v>
      </c>
      <c r="R608" s="28"/>
      <c r="S608" s="28" t="n">
        <f aca="false">R608*$M608</f>
        <v>0</v>
      </c>
      <c r="T608" s="28"/>
      <c r="U608" s="28" t="n">
        <v>135</v>
      </c>
      <c r="V608" s="28"/>
      <c r="W608" s="28" t="n">
        <v>642</v>
      </c>
      <c r="X608" s="28"/>
      <c r="Y608" s="28" t="n">
        <f aca="false">X608*$M608</f>
        <v>0</v>
      </c>
      <c r="Z608" s="28"/>
      <c r="AA608" s="28" t="n">
        <f aca="false">Z608*$M608</f>
        <v>0</v>
      </c>
      <c r="AB608" s="28"/>
      <c r="AC608" s="28" t="n">
        <f aca="false">AB608*$M608</f>
        <v>0</v>
      </c>
      <c r="AD608" s="28"/>
      <c r="AE608" s="28" t="n">
        <f aca="false">AD608*$M608</f>
        <v>0</v>
      </c>
      <c r="AF608" s="28"/>
      <c r="AG608" s="28" t="n">
        <f aca="false">AF608*$M608</f>
        <v>0</v>
      </c>
      <c r="AH608" s="28"/>
      <c r="AI608" s="28" t="n">
        <f aca="false">AH608*$M608</f>
        <v>0</v>
      </c>
      <c r="AJ608" s="28"/>
      <c r="AK608" s="28" t="n">
        <v>375</v>
      </c>
      <c r="AL608" s="28"/>
      <c r="AM608" s="28" t="n">
        <f aca="false">AL608*$M608</f>
        <v>0</v>
      </c>
      <c r="AN608" s="28"/>
      <c r="AO608" s="28" t="n">
        <f aca="false">AN608*$M608</f>
        <v>0</v>
      </c>
      <c r="AP608" s="28"/>
      <c r="AQ608" s="28" t="n">
        <f aca="false">AP608*$M608</f>
        <v>0</v>
      </c>
      <c r="AR608" s="28"/>
      <c r="AS608" s="28" t="n">
        <f aca="false">AR608*$M608</f>
        <v>0</v>
      </c>
      <c r="AT608" s="28"/>
      <c r="AU608" s="28" t="n">
        <f aca="false">AT608*$M608</f>
        <v>0</v>
      </c>
      <c r="AV608" s="28"/>
      <c r="AW608" s="28" t="n">
        <v>765</v>
      </c>
      <c r="AX608" s="28"/>
      <c r="AY608" s="28" t="n">
        <f aca="false">AX608*$M608</f>
        <v>0</v>
      </c>
      <c r="AZ608" s="30"/>
      <c r="BA608" s="11" t="n">
        <v>1917</v>
      </c>
      <c r="BB608" s="31" t="n">
        <f aca="false">SUM(Q608,S608,U608,W608,Y608,AA608,AC608,AE608,AG608,AI608,AK608,AM608,AO608,AQ608,AS608,AU608,AW608,AY608)</f>
        <v>1917</v>
      </c>
      <c r="BC608" s="28" t="n">
        <f aca="false">BA608-BB608</f>
        <v>0</v>
      </c>
      <c r="BD608" s="32" t="n">
        <f aca="false">SUM(P608,R608,T608,V608,X608,Z608,AB608,AD608,AF608,AH608,AJ608,AL608,AN608,AP608,AR608,AT608,AV608,AX608)</f>
        <v>0</v>
      </c>
      <c r="BE608" s="33" t="n">
        <f aca="false">AZ608-BD608</f>
        <v>0</v>
      </c>
      <c r="BF608" s="34" t="n">
        <f aca="false">BD608*M608</f>
        <v>0</v>
      </c>
      <c r="BG608" s="35" t="n">
        <f aca="false">BA608-BF608</f>
        <v>1917</v>
      </c>
      <c r="BH608" s="19" t="str">
        <f aca="false">IF(BG608=0,"",IF(BG608&lt;&gt;BA608,"erreur de calcul",IF(BD608&lt;&gt;0,"pas de prix",IF(M608&lt;&gt; 0,"pas de quantité","pas de prix, ni de quantité"))))</f>
        <v>pas de prix, ni de quantité</v>
      </c>
      <c r="BI608" s="19"/>
    </row>
    <row r="609" customFormat="false" ht="16" hidden="false" customHeight="false" outlineLevel="0" collapsed="false">
      <c r="A609" s="0" t="n">
        <v>10</v>
      </c>
      <c r="B609" s="8" t="s">
        <v>24</v>
      </c>
      <c r="C609" s="9" t="s">
        <v>25</v>
      </c>
      <c r="D609" s="9" t="s">
        <v>26</v>
      </c>
      <c r="E609" s="10" t="n">
        <v>1789</v>
      </c>
      <c r="F609" s="9" t="s">
        <v>27</v>
      </c>
      <c r="G609" s="9" t="s">
        <v>27</v>
      </c>
      <c r="H609" s="11" t="n">
        <v>25</v>
      </c>
      <c r="I609" s="11" t="s">
        <v>339</v>
      </c>
      <c r="J609" s="14" t="n">
        <v>7</v>
      </c>
      <c r="K609" s="14"/>
      <c r="L609" s="16"/>
      <c r="M609" s="27" t="n">
        <f aca="false">J609+(K609/20)+(L609/240)</f>
        <v>7</v>
      </c>
      <c r="N609" s="17" t="s">
        <v>69</v>
      </c>
      <c r="O609" s="11"/>
      <c r="P609" s="28"/>
      <c r="Q609" s="28" t="n">
        <f aca="false">P609*$M609</f>
        <v>0</v>
      </c>
      <c r="R609" s="28"/>
      <c r="S609" s="28" t="n">
        <f aca="false">R609*$M609</f>
        <v>0</v>
      </c>
      <c r="T609" s="28"/>
      <c r="U609" s="28" t="n">
        <f aca="false">T609*$M609</f>
        <v>0</v>
      </c>
      <c r="V609" s="28" t="n">
        <v>554</v>
      </c>
      <c r="W609" s="28" t="n">
        <v>3878</v>
      </c>
      <c r="X609" s="28"/>
      <c r="Y609" s="28" t="n">
        <f aca="false">X609*$M609</f>
        <v>0</v>
      </c>
      <c r="Z609" s="28"/>
      <c r="AA609" s="28" t="n">
        <f aca="false">Z609*$M609</f>
        <v>0</v>
      </c>
      <c r="AB609" s="28"/>
      <c r="AC609" s="28" t="n">
        <f aca="false">AB609*$M609</f>
        <v>0</v>
      </c>
      <c r="AD609" s="28"/>
      <c r="AE609" s="28" t="n">
        <f aca="false">AD609*$M609</f>
        <v>0</v>
      </c>
      <c r="AF609" s="28"/>
      <c r="AG609" s="28" t="n">
        <f aca="false">AF609*$M609</f>
        <v>0</v>
      </c>
      <c r="AH609" s="28"/>
      <c r="AI609" s="28" t="n">
        <f aca="false">AH609*$M609</f>
        <v>0</v>
      </c>
      <c r="AJ609" s="28"/>
      <c r="AK609" s="28" t="n">
        <f aca="false">AJ609*$M609</f>
        <v>0</v>
      </c>
      <c r="AL609" s="28"/>
      <c r="AM609" s="28" t="n">
        <f aca="false">AL609*$M609</f>
        <v>0</v>
      </c>
      <c r="AN609" s="28"/>
      <c r="AO609" s="28" t="n">
        <f aca="false">AN609*$M609</f>
        <v>0</v>
      </c>
      <c r="AP609" s="28"/>
      <c r="AQ609" s="28" t="n">
        <f aca="false">AP609*$M609</f>
        <v>0</v>
      </c>
      <c r="AR609" s="28"/>
      <c r="AS609" s="28" t="n">
        <f aca="false">AR609*$M609</f>
        <v>0</v>
      </c>
      <c r="AT609" s="28"/>
      <c r="AU609" s="28" t="n">
        <f aca="false">AT609*$M609</f>
        <v>0</v>
      </c>
      <c r="AV609" s="28"/>
      <c r="AW609" s="28" t="n">
        <f aca="false">AV609*$M609</f>
        <v>0</v>
      </c>
      <c r="AX609" s="28"/>
      <c r="AY609" s="28" t="n">
        <f aca="false">AX609*$M609</f>
        <v>0</v>
      </c>
      <c r="AZ609" s="30" t="n">
        <v>554</v>
      </c>
      <c r="BA609" s="11" t="n">
        <v>3878</v>
      </c>
      <c r="BB609" s="31" t="n">
        <f aca="false">SUM(Q609,S609,U609,W609,Y609,AA609,AC609,AE609,AG609,AI609,AK609,AM609,AO609,AQ609,AS609,AU609,AW609,AY609)</f>
        <v>3878</v>
      </c>
      <c r="BC609" s="28" t="n">
        <f aca="false">BA609-BB609</f>
        <v>0</v>
      </c>
      <c r="BD609" s="32" t="n">
        <f aca="false">SUM(P609,R609,T609,V609,X609,Z609,AB609,AD609,AF609,AH609,AJ609,AL609,AN609,AP609,AR609,AT609,AV609,AX609)</f>
        <v>554</v>
      </c>
      <c r="BE609" s="33" t="n">
        <f aca="false">AZ609-BD609</f>
        <v>0</v>
      </c>
      <c r="BF609" s="34" t="n">
        <f aca="false">BD609*M609</f>
        <v>3878</v>
      </c>
      <c r="BG609" s="35" t="n">
        <f aca="false">BA609-BF609</f>
        <v>0</v>
      </c>
      <c r="BH609" s="19" t="str">
        <f aca="false">IF(BG609=0,"",IF(BG609&lt;&gt;BA609,"erreur de calcul",IF(BD609&lt;&gt;0,"pas de prix",IF(M609&lt;&gt; 0,"pas de quantité","pas de prix, ni de quantité"))))</f>
        <v/>
      </c>
      <c r="BI609" s="19"/>
    </row>
    <row r="610" customFormat="false" ht="16" hidden="false" customHeight="false" outlineLevel="0" collapsed="false">
      <c r="A610" s="0" t="n">
        <v>11</v>
      </c>
      <c r="B610" s="8" t="s">
        <v>24</v>
      </c>
      <c r="C610" s="9" t="s">
        <v>25</v>
      </c>
      <c r="D610" s="9" t="s">
        <v>26</v>
      </c>
      <c r="E610" s="10" t="n">
        <v>1789</v>
      </c>
      <c r="F610" s="9" t="s">
        <v>27</v>
      </c>
      <c r="G610" s="9" t="s">
        <v>27</v>
      </c>
      <c r="H610" s="11" t="n">
        <v>25</v>
      </c>
      <c r="I610" s="11" t="s">
        <v>340</v>
      </c>
      <c r="J610" s="14" t="n">
        <v>15</v>
      </c>
      <c r="K610" s="14"/>
      <c r="L610" s="16"/>
      <c r="M610" s="27" t="n">
        <f aca="false">J610+(K610/20)+(L610/240)</f>
        <v>15</v>
      </c>
      <c r="N610" s="17" t="s">
        <v>64</v>
      </c>
      <c r="O610" s="11"/>
      <c r="P610" s="28" t="n">
        <f aca="false">470959/100</f>
        <v>4709.59</v>
      </c>
      <c r="Q610" s="28" t="n">
        <v>70644</v>
      </c>
      <c r="R610" s="28"/>
      <c r="S610" s="28" t="n">
        <f aca="false">R610*$M610</f>
        <v>0</v>
      </c>
      <c r="T610" s="28"/>
      <c r="U610" s="28" t="n">
        <f aca="false">T610*$M610</f>
        <v>0</v>
      </c>
      <c r="V610" s="28"/>
      <c r="W610" s="28" t="n">
        <f aca="false">V610*$M610</f>
        <v>0</v>
      </c>
      <c r="X610" s="28"/>
      <c r="Y610" s="28" t="n">
        <f aca="false">X610*$M610</f>
        <v>0</v>
      </c>
      <c r="Z610" s="28"/>
      <c r="AA610" s="28" t="n">
        <f aca="false">Z610*$M610</f>
        <v>0</v>
      </c>
      <c r="AB610" s="28" t="n">
        <f aca="false">50000/100</f>
        <v>500</v>
      </c>
      <c r="AC610" s="28" t="n">
        <v>7500</v>
      </c>
      <c r="AD610" s="28"/>
      <c r="AE610" s="28" t="n">
        <f aca="false">AD610*$M610</f>
        <v>0</v>
      </c>
      <c r="AF610" s="28" t="n">
        <f aca="false">15584/100</f>
        <v>155.84</v>
      </c>
      <c r="AG610" s="28" t="n">
        <v>2338</v>
      </c>
      <c r="AH610" s="28"/>
      <c r="AI610" s="28" t="n">
        <f aca="false">AH610*$M610</f>
        <v>0</v>
      </c>
      <c r="AJ610" s="28"/>
      <c r="AK610" s="28" t="n">
        <f aca="false">AJ610*$M610</f>
        <v>0</v>
      </c>
      <c r="AL610" s="28"/>
      <c r="AM610" s="28" t="n">
        <f aca="false">AL610*$M610</f>
        <v>0</v>
      </c>
      <c r="AN610" s="28"/>
      <c r="AO610" s="28" t="n">
        <f aca="false">AN610*$M610</f>
        <v>0</v>
      </c>
      <c r="AP610" s="28"/>
      <c r="AQ610" s="28" t="n">
        <f aca="false">AP610*$M610</f>
        <v>0</v>
      </c>
      <c r="AR610" s="28"/>
      <c r="AS610" s="28" t="n">
        <f aca="false">AR610*$M610</f>
        <v>0</v>
      </c>
      <c r="AT610" s="28"/>
      <c r="AU610" s="28" t="n">
        <f aca="false">AT610*$M610</f>
        <v>0</v>
      </c>
      <c r="AV610" s="28"/>
      <c r="AW610" s="28" t="n">
        <f aca="false">AV610*$M610</f>
        <v>0</v>
      </c>
      <c r="AX610" s="28"/>
      <c r="AY610" s="28" t="n">
        <f aca="false">AX610*$M610</f>
        <v>0</v>
      </c>
      <c r="AZ610" s="30" t="n">
        <f aca="false">535959/100</f>
        <v>5359.59</v>
      </c>
      <c r="BA610" s="11" t="n">
        <v>80482</v>
      </c>
      <c r="BB610" s="31" t="n">
        <f aca="false">SUM(Q610,S610,U610,W610,Y610,AA610,AC610,AE610,AG610,AI610,AK610,AM610,AO610,AQ610,AS610,AU610,AW610,AY610)</f>
        <v>80482</v>
      </c>
      <c r="BC610" s="28" t="n">
        <f aca="false">BA610-BB610</f>
        <v>0</v>
      </c>
      <c r="BD610" s="32" t="n">
        <f aca="false">SUM(P610,R610,T610,V610,X610,Z610,AB610,AD610,AF610,AH610,AJ610,AL610,AN610,AP610,AR610,AT610,AV610,AX610)</f>
        <v>5365.43</v>
      </c>
      <c r="BE610" s="33" t="n">
        <f aca="false">AZ610-BD610</f>
        <v>-5.84000000000015</v>
      </c>
      <c r="BF610" s="34" t="n">
        <f aca="false">BD610*M610</f>
        <v>80481.45</v>
      </c>
      <c r="BG610" s="35" t="n">
        <f aca="false">BA610-BF610</f>
        <v>0.549999999988359</v>
      </c>
      <c r="BH610" s="19" t="str">
        <f aca="false">IF(BG610=0,"",IF(BG610&lt;&gt;BA610,"erreur de calcul",IF(BD610&lt;&gt;0,"pas de prix",IF(M610&lt;&gt; 0,"pas de quantité","pas de prix, ni de quantité"))))</f>
        <v>erreur de calcul</v>
      </c>
      <c r="BI610" s="19"/>
    </row>
    <row r="611" customFormat="false" ht="16" hidden="false" customHeight="false" outlineLevel="0" collapsed="false">
      <c r="A611" s="0" t="n">
        <v>12</v>
      </c>
      <c r="B611" s="8" t="s">
        <v>24</v>
      </c>
      <c r="C611" s="9" t="s">
        <v>25</v>
      </c>
      <c r="D611" s="9" t="s">
        <v>26</v>
      </c>
      <c r="E611" s="10" t="n">
        <v>1789</v>
      </c>
      <c r="F611" s="9" t="s">
        <v>27</v>
      </c>
      <c r="G611" s="9" t="s">
        <v>27</v>
      </c>
      <c r="H611" s="11" t="n">
        <v>25</v>
      </c>
      <c r="I611" s="11" t="s">
        <v>341</v>
      </c>
      <c r="J611" s="14" t="n">
        <v>75</v>
      </c>
      <c r="K611" s="14"/>
      <c r="L611" s="16"/>
      <c r="M611" s="27" t="n">
        <f aca="false">J611+(K611/20)+(L611/240)</f>
        <v>75</v>
      </c>
      <c r="N611" s="17" t="s">
        <v>85</v>
      </c>
      <c r="O611" s="11"/>
      <c r="P611" s="28"/>
      <c r="Q611" s="28" t="n">
        <f aca="false">P611*$M611</f>
        <v>0</v>
      </c>
      <c r="R611" s="28"/>
      <c r="S611" s="28" t="n">
        <f aca="false">R611*$M611</f>
        <v>0</v>
      </c>
      <c r="T611" s="28"/>
      <c r="U611" s="28" t="n">
        <f aca="false">T611*$M611</f>
        <v>0</v>
      </c>
      <c r="V611" s="28"/>
      <c r="W611" s="28" t="n">
        <f aca="false">V611*$M611</f>
        <v>0</v>
      </c>
      <c r="X611" s="28"/>
      <c r="Y611" s="28" t="n">
        <f aca="false">X611*$M611</f>
        <v>0</v>
      </c>
      <c r="Z611" s="28"/>
      <c r="AA611" s="28" t="n">
        <f aca="false">Z611*$M611</f>
        <v>0</v>
      </c>
      <c r="AB611" s="28"/>
      <c r="AC611" s="28" t="n">
        <f aca="false">AB611*$M611</f>
        <v>0</v>
      </c>
      <c r="AD611" s="28"/>
      <c r="AE611" s="28" t="n">
        <f aca="false">AD611*$M611</f>
        <v>0</v>
      </c>
      <c r="AF611" s="28"/>
      <c r="AG611" s="28" t="n">
        <f aca="false">AF611*$M611</f>
        <v>0</v>
      </c>
      <c r="AH611" s="28"/>
      <c r="AI611" s="28" t="n">
        <f aca="false">AH611*$M611</f>
        <v>0</v>
      </c>
      <c r="AJ611" s="28"/>
      <c r="AK611" s="28" t="n">
        <f aca="false">AJ611*$M611</f>
        <v>0</v>
      </c>
      <c r="AL611" s="28" t="n">
        <f aca="false">2584/100</f>
        <v>25.84</v>
      </c>
      <c r="AM611" s="28" t="n">
        <v>1938</v>
      </c>
      <c r="AN611" s="28"/>
      <c r="AO611" s="28" t="n">
        <f aca="false">AN611*$M611</f>
        <v>0</v>
      </c>
      <c r="AP611" s="28"/>
      <c r="AQ611" s="28" t="n">
        <f aca="false">AP611*$M611</f>
        <v>0</v>
      </c>
      <c r="AR611" s="28"/>
      <c r="AS611" s="28" t="n">
        <f aca="false">AR611*$M611</f>
        <v>0</v>
      </c>
      <c r="AT611" s="28"/>
      <c r="AU611" s="28" t="n">
        <f aca="false">AT611*$M611</f>
        <v>0</v>
      </c>
      <c r="AV611" s="28"/>
      <c r="AW611" s="28" t="n">
        <f aca="false">AV611*$M611</f>
        <v>0</v>
      </c>
      <c r="AX611" s="28"/>
      <c r="AY611" s="28" t="n">
        <f aca="false">AX611*$M611</f>
        <v>0</v>
      </c>
      <c r="AZ611" s="30" t="n">
        <f aca="false">2584/100</f>
        <v>25.84</v>
      </c>
      <c r="BA611" s="11" t="n">
        <v>1938</v>
      </c>
      <c r="BB611" s="31" t="n">
        <f aca="false">SUM(Q611,S611,U611,W611,Y611,AA611,AC611,AE611,AG611,AI611,AK611,AM611,AO611,AQ611,AS611,AU611,AW611,AY611)</f>
        <v>1938</v>
      </c>
      <c r="BC611" s="28" t="n">
        <f aca="false">BA611-BB611</f>
        <v>0</v>
      </c>
      <c r="BD611" s="32" t="n">
        <f aca="false">SUM(P611,R611,T611,V611,X611,Z611,AB611,AD611,AF611,AH611,AJ611,AL611,AN611,AP611,AR611,AT611,AV611,AX611)</f>
        <v>25.84</v>
      </c>
      <c r="BE611" s="33" t="n">
        <f aca="false">AZ611-BD611</f>
        <v>0</v>
      </c>
      <c r="BF611" s="34" t="n">
        <f aca="false">BD611*M611</f>
        <v>1938</v>
      </c>
      <c r="BG611" s="35" t="n">
        <f aca="false">BA611-BF611</f>
        <v>0</v>
      </c>
      <c r="BH611" s="19" t="str">
        <f aca="false">IF(BG611=0,"",IF(BG611&lt;&gt;BA611,"erreur de calcul",IF(BD611&lt;&gt;0,"pas de prix",IF(M611&lt;&gt; 0,"pas de quantité","pas de prix, ni de quantité"))))</f>
        <v/>
      </c>
      <c r="BI611" s="19"/>
    </row>
    <row r="612" customFormat="false" ht="16" hidden="false" customHeight="false" outlineLevel="0" collapsed="false">
      <c r="A612" s="0" t="n">
        <v>13</v>
      </c>
      <c r="B612" s="8" t="s">
        <v>24</v>
      </c>
      <c r="C612" s="9" t="s">
        <v>25</v>
      </c>
      <c r="D612" s="9" t="s">
        <v>26</v>
      </c>
      <c r="E612" s="10" t="n">
        <v>1789</v>
      </c>
      <c r="F612" s="9" t="s">
        <v>27</v>
      </c>
      <c r="G612" s="9" t="s">
        <v>27</v>
      </c>
      <c r="H612" s="11" t="n">
        <v>25</v>
      </c>
      <c r="I612" s="11" t="s">
        <v>342</v>
      </c>
      <c r="J612" s="14" t="n">
        <v>10</v>
      </c>
      <c r="K612" s="14"/>
      <c r="L612" s="16"/>
      <c r="M612" s="27" t="n">
        <f aca="false">J612+(K612/20)+(L612/240)</f>
        <v>10</v>
      </c>
      <c r="N612" s="17" t="s">
        <v>66</v>
      </c>
      <c r="O612" s="11"/>
      <c r="P612" s="28"/>
      <c r="Q612" s="28" t="n">
        <f aca="false">P612*$M612</f>
        <v>0</v>
      </c>
      <c r="R612" s="28" t="n">
        <v>827</v>
      </c>
      <c r="S612" s="28" t="n">
        <v>8270</v>
      </c>
      <c r="T612" s="28"/>
      <c r="U612" s="28" t="n">
        <f aca="false">T612*$M612</f>
        <v>0</v>
      </c>
      <c r="V612" s="28"/>
      <c r="W612" s="28" t="n">
        <f aca="false">V612*$M612</f>
        <v>0</v>
      </c>
      <c r="X612" s="28"/>
      <c r="Y612" s="28" t="n">
        <f aca="false">X612*$M612</f>
        <v>0</v>
      </c>
      <c r="Z612" s="28"/>
      <c r="AA612" s="28" t="n">
        <f aca="false">Z612*$M612</f>
        <v>0</v>
      </c>
      <c r="AB612" s="28"/>
      <c r="AC612" s="28" t="n">
        <f aca="false">AB612*$M612</f>
        <v>0</v>
      </c>
      <c r="AD612" s="28"/>
      <c r="AE612" s="28" t="n">
        <f aca="false">AD612*$M612</f>
        <v>0</v>
      </c>
      <c r="AF612" s="28"/>
      <c r="AG612" s="28" t="n">
        <f aca="false">AF612*$M612</f>
        <v>0</v>
      </c>
      <c r="AH612" s="28"/>
      <c r="AI612" s="28" t="n">
        <f aca="false">AH612*$M612</f>
        <v>0</v>
      </c>
      <c r="AJ612" s="28"/>
      <c r="AK612" s="28" t="n">
        <f aca="false">AJ612*$M612</f>
        <v>0</v>
      </c>
      <c r="AL612" s="28"/>
      <c r="AM612" s="28" t="n">
        <f aca="false">AL612*$M612</f>
        <v>0</v>
      </c>
      <c r="AN612" s="28"/>
      <c r="AO612" s="28" t="n">
        <f aca="false">AN612*$M612</f>
        <v>0</v>
      </c>
      <c r="AP612" s="28"/>
      <c r="AQ612" s="28" t="n">
        <f aca="false">AP612*$M612</f>
        <v>0</v>
      </c>
      <c r="AR612" s="28"/>
      <c r="AS612" s="28" t="n">
        <f aca="false">AR612*$M612</f>
        <v>0</v>
      </c>
      <c r="AT612" s="28"/>
      <c r="AU612" s="28" t="n">
        <f aca="false">AT612*$M612</f>
        <v>0</v>
      </c>
      <c r="AV612" s="28"/>
      <c r="AW612" s="28" t="n">
        <f aca="false">AV612*$M612</f>
        <v>0</v>
      </c>
      <c r="AX612" s="28"/>
      <c r="AY612" s="28" t="n">
        <f aca="false">AX612*$M612</f>
        <v>0</v>
      </c>
      <c r="AZ612" s="30" t="n">
        <v>827</v>
      </c>
      <c r="BA612" s="11" t="n">
        <v>8270</v>
      </c>
      <c r="BB612" s="31" t="n">
        <f aca="false">SUM(Q612,S612,U612,W612,Y612,AA612,AC612,AE612,AG612,AI612,AK612,AM612,AO612,AQ612,AS612,AU612,AW612,AY612)</f>
        <v>8270</v>
      </c>
      <c r="BC612" s="28" t="n">
        <f aca="false">BA612-BB612</f>
        <v>0</v>
      </c>
      <c r="BD612" s="32" t="n">
        <f aca="false">SUM(P612,R612,T612,V612,X612,Z612,AB612,AD612,AF612,AH612,AJ612,AL612,AN612,AP612,AR612,AT612,AV612,AX612)</f>
        <v>827</v>
      </c>
      <c r="BE612" s="33" t="n">
        <f aca="false">AZ612-BD612</f>
        <v>0</v>
      </c>
      <c r="BF612" s="34" t="n">
        <f aca="false">BD612*M612</f>
        <v>8270</v>
      </c>
      <c r="BG612" s="35" t="n">
        <f aca="false">BA612-BF612</f>
        <v>0</v>
      </c>
      <c r="BH612" s="19" t="str">
        <f aca="false">IF(BG612=0,"",IF(BG612&lt;&gt;BA612,"erreur de calcul",IF(BD612&lt;&gt;0,"pas de prix",IF(M612&lt;&gt; 0,"pas de quantité","pas de prix, ni de quantité"))))</f>
        <v/>
      </c>
      <c r="BI612" s="19"/>
    </row>
    <row r="613" customFormat="false" ht="16" hidden="false" customHeight="false" outlineLevel="0" collapsed="false">
      <c r="A613" s="0" t="n">
        <v>14</v>
      </c>
      <c r="B613" s="8" t="s">
        <v>24</v>
      </c>
      <c r="C613" s="9" t="s">
        <v>25</v>
      </c>
      <c r="D613" s="9" t="s">
        <v>26</v>
      </c>
      <c r="E613" s="10" t="n">
        <v>1789</v>
      </c>
      <c r="F613" s="9" t="s">
        <v>27</v>
      </c>
      <c r="G613" s="9" t="s">
        <v>27</v>
      </c>
      <c r="H613" s="11" t="n">
        <v>25</v>
      </c>
      <c r="I613" s="11" t="s">
        <v>343</v>
      </c>
      <c r="J613" s="14" t="n">
        <v>4</v>
      </c>
      <c r="K613" s="14"/>
      <c r="L613" s="16"/>
      <c r="M613" s="27" t="n">
        <f aca="false">J613+(K613/20)+(L613/240)</f>
        <v>4</v>
      </c>
      <c r="N613" s="17" t="s">
        <v>69</v>
      </c>
      <c r="O613" s="11"/>
      <c r="P613" s="28"/>
      <c r="Q613" s="28" t="n">
        <f aca="false">P613*$M613</f>
        <v>0</v>
      </c>
      <c r="R613" s="28"/>
      <c r="S613" s="28" t="n">
        <f aca="false">R613*$M613</f>
        <v>0</v>
      </c>
      <c r="T613" s="28"/>
      <c r="U613" s="28" t="n">
        <f aca="false">T613*$M613</f>
        <v>0</v>
      </c>
      <c r="V613" s="28" t="n">
        <v>2198</v>
      </c>
      <c r="W613" s="28" t="n">
        <v>8792</v>
      </c>
      <c r="X613" s="28"/>
      <c r="Y613" s="28" t="n">
        <f aca="false">X613*$M613</f>
        <v>0</v>
      </c>
      <c r="Z613" s="28"/>
      <c r="AA613" s="28" t="n">
        <f aca="false">Z613*$M613</f>
        <v>0</v>
      </c>
      <c r="AB613" s="28"/>
      <c r="AC613" s="28" t="n">
        <f aca="false">AB613*$M613</f>
        <v>0</v>
      </c>
      <c r="AD613" s="28"/>
      <c r="AE613" s="28" t="n">
        <f aca="false">AD613*$M613</f>
        <v>0</v>
      </c>
      <c r="AF613" s="28"/>
      <c r="AG613" s="28" t="n">
        <f aca="false">AF613*$M613</f>
        <v>0</v>
      </c>
      <c r="AH613" s="28"/>
      <c r="AI613" s="28" t="n">
        <f aca="false">AH613*$M613</f>
        <v>0</v>
      </c>
      <c r="AJ613" s="28"/>
      <c r="AK613" s="28" t="n">
        <f aca="false">AJ613*$M613</f>
        <v>0</v>
      </c>
      <c r="AL613" s="28"/>
      <c r="AM613" s="28" t="n">
        <f aca="false">AL613*$M613</f>
        <v>0</v>
      </c>
      <c r="AN613" s="28"/>
      <c r="AO613" s="28" t="n">
        <f aca="false">AN613*$M613</f>
        <v>0</v>
      </c>
      <c r="AP613" s="28"/>
      <c r="AQ613" s="28" t="n">
        <f aca="false">AP613*$M613</f>
        <v>0</v>
      </c>
      <c r="AR613" s="28"/>
      <c r="AS613" s="28" t="n">
        <f aca="false">AR613*$M613</f>
        <v>0</v>
      </c>
      <c r="AT613" s="28"/>
      <c r="AU613" s="28" t="n">
        <f aca="false">AT613*$M613</f>
        <v>0</v>
      </c>
      <c r="AV613" s="28"/>
      <c r="AW613" s="28" t="n">
        <f aca="false">AV613*$M613</f>
        <v>0</v>
      </c>
      <c r="AX613" s="28"/>
      <c r="AY613" s="28" t="n">
        <f aca="false">AX613*$M613</f>
        <v>0</v>
      </c>
      <c r="AZ613" s="30" t="n">
        <v>2198</v>
      </c>
      <c r="BA613" s="11" t="n">
        <v>8792</v>
      </c>
      <c r="BB613" s="31" t="n">
        <f aca="false">SUM(Q613,S613,U613,W613,Y613,AA613,AC613,AE613,AG613,AI613,AK613,AM613,AO613,AQ613,AS613,AU613,AW613,AY613)</f>
        <v>8792</v>
      </c>
      <c r="BC613" s="28" t="n">
        <f aca="false">BA613-BB613</f>
        <v>0</v>
      </c>
      <c r="BD613" s="32" t="n">
        <f aca="false">SUM(P613,R613,T613,V613,X613,Z613,AB613,AD613,AF613,AH613,AJ613,AL613,AN613,AP613,AR613,AT613,AV613,AX613)</f>
        <v>2198</v>
      </c>
      <c r="BE613" s="33" t="n">
        <f aca="false">AZ613-BD613</f>
        <v>0</v>
      </c>
      <c r="BF613" s="34" t="n">
        <f aca="false">BD613*M613</f>
        <v>8792</v>
      </c>
      <c r="BG613" s="35" t="n">
        <f aca="false">BA613-BF613</f>
        <v>0</v>
      </c>
      <c r="BH613" s="19" t="str">
        <f aca="false">IF(BG613=0,"",IF(BG613&lt;&gt;BA613,"erreur de calcul",IF(BD613&lt;&gt;0,"pas de prix",IF(M613&lt;&gt; 0,"pas de quantité","pas de prix, ni de quantité"))))</f>
        <v/>
      </c>
      <c r="BI613" s="19"/>
    </row>
    <row r="614" customFormat="false" ht="16" hidden="false" customHeight="false" outlineLevel="0" collapsed="false">
      <c r="A614" s="0" t="n">
        <v>15</v>
      </c>
      <c r="B614" s="8" t="s">
        <v>24</v>
      </c>
      <c r="C614" s="9" t="s">
        <v>25</v>
      </c>
      <c r="D614" s="9" t="s">
        <v>26</v>
      </c>
      <c r="E614" s="10" t="n">
        <v>1789</v>
      </c>
      <c r="F614" s="9" t="s">
        <v>27</v>
      </c>
      <c r="G614" s="9" t="s">
        <v>27</v>
      </c>
      <c r="H614" s="11" t="n">
        <v>25</v>
      </c>
      <c r="I614" s="11" t="s">
        <v>344</v>
      </c>
      <c r="J614" s="14" t="n">
        <v>2000</v>
      </c>
      <c r="K614" s="14"/>
      <c r="L614" s="16"/>
      <c r="M614" s="27" t="n">
        <f aca="false">J614+(K614/20)+(L614/240)</f>
        <v>2000</v>
      </c>
      <c r="N614" s="17" t="s">
        <v>64</v>
      </c>
      <c r="O614" s="11" t="s">
        <v>277</v>
      </c>
      <c r="P614" s="28"/>
      <c r="Q614" s="28" t="n">
        <f aca="false">P614*$M614</f>
        <v>0</v>
      </c>
      <c r="R614" s="28"/>
      <c r="S614" s="28" t="n">
        <f aca="false">R614*$M614</f>
        <v>0</v>
      </c>
      <c r="T614" s="28"/>
      <c r="U614" s="28" t="n">
        <f aca="false">T614*$M614</f>
        <v>0</v>
      </c>
      <c r="V614" s="28"/>
      <c r="W614" s="28" t="n">
        <f aca="false">V614*$M614</f>
        <v>0</v>
      </c>
      <c r="X614" s="28"/>
      <c r="Y614" s="28" t="n">
        <f aca="false">X614*$M614</f>
        <v>0</v>
      </c>
      <c r="Z614" s="28"/>
      <c r="AA614" s="28" t="n">
        <f aca="false">Z614*$M614</f>
        <v>0</v>
      </c>
      <c r="AB614" s="28"/>
      <c r="AC614" s="28" t="n">
        <f aca="false">AB614*$M614</f>
        <v>0</v>
      </c>
      <c r="AD614" s="28"/>
      <c r="AE614" s="28" t="n">
        <f aca="false">AD614*$M614</f>
        <v>0</v>
      </c>
      <c r="AF614" s="28"/>
      <c r="AG614" s="28" t="n">
        <f aca="false">AF614*$M614</f>
        <v>0</v>
      </c>
      <c r="AH614" s="28"/>
      <c r="AI614" s="28" t="n">
        <f aca="false">AH614*$M614</f>
        <v>0</v>
      </c>
      <c r="AJ614" s="28"/>
      <c r="AK614" s="28" t="n">
        <f aca="false">AJ614*$M614</f>
        <v>0</v>
      </c>
      <c r="AL614" s="28"/>
      <c r="AM614" s="28" t="n">
        <f aca="false">AL614*$M614</f>
        <v>0</v>
      </c>
      <c r="AN614" s="28"/>
      <c r="AO614" s="28" t="n">
        <f aca="false">AN614*$M614</f>
        <v>0</v>
      </c>
      <c r="AP614" s="28"/>
      <c r="AQ614" s="28" t="n">
        <f aca="false">AP614*$M614</f>
        <v>0</v>
      </c>
      <c r="AR614" s="28"/>
      <c r="AS614" s="28" t="n">
        <f aca="false">AR614*$M614</f>
        <v>0</v>
      </c>
      <c r="AT614" s="28"/>
      <c r="AU614" s="28" t="n">
        <f aca="false">AT614*$M614</f>
        <v>0</v>
      </c>
      <c r="AV614" s="28"/>
      <c r="AW614" s="28" t="n">
        <f aca="false">AV614*$M614</f>
        <v>0</v>
      </c>
      <c r="AX614" s="28"/>
      <c r="AY614" s="28" t="n">
        <f aca="false">AX614*$M614</f>
        <v>0</v>
      </c>
      <c r="AZ614" s="30"/>
      <c r="BA614" s="11"/>
      <c r="BB614" s="31" t="n">
        <f aca="false">SUM(Q614,S614,U614,W614,Y614,AA614,AC614,AE614,AG614,AI614,AK614,AM614,AO614,AQ614,AS614,AU614,AW614,AY614)</f>
        <v>0</v>
      </c>
      <c r="BC614" s="28" t="n">
        <f aca="false">BA614-BB614</f>
        <v>0</v>
      </c>
      <c r="BD614" s="32" t="n">
        <f aca="false">SUM(P614,R614,T614,V614,X614,Z614,AB614,AD614,AF614,AH614,AJ614,AL614,AN614,AP614,AR614,AT614,AV614,AX614)</f>
        <v>0</v>
      </c>
      <c r="BE614" s="33" t="n">
        <f aca="false">AZ614-BD614</f>
        <v>0</v>
      </c>
      <c r="BF614" s="34" t="n">
        <f aca="false">BD614*M614</f>
        <v>0</v>
      </c>
      <c r="BG614" s="35" t="n">
        <f aca="false">BA614-BF614</f>
        <v>0</v>
      </c>
      <c r="BH614" s="19" t="str">
        <f aca="false">IF(BG614=0,"",IF(BG614&lt;&gt;BA614,"erreur de calcul",IF(BD614&lt;&gt;0,"pas de prix",IF(M614&lt;&gt; 0,"pas de quantité","pas de prix, ni de quantité"))))</f>
        <v/>
      </c>
      <c r="BI614" s="19"/>
    </row>
    <row r="615" customFormat="false" ht="16" hidden="false" customHeight="false" outlineLevel="0" collapsed="false">
      <c r="A615" s="0" t="n">
        <v>16</v>
      </c>
      <c r="B615" s="8" t="s">
        <v>24</v>
      </c>
      <c r="C615" s="9" t="s">
        <v>25</v>
      </c>
      <c r="D615" s="9" t="s">
        <v>26</v>
      </c>
      <c r="E615" s="10" t="n">
        <v>1789</v>
      </c>
      <c r="F615" s="9" t="s">
        <v>27</v>
      </c>
      <c r="G615" s="9" t="s">
        <v>27</v>
      </c>
      <c r="H615" s="11" t="n">
        <v>25</v>
      </c>
      <c r="I615" s="11" t="s">
        <v>344</v>
      </c>
      <c r="J615" s="14" t="n">
        <v>2000</v>
      </c>
      <c r="K615" s="14"/>
      <c r="L615" s="16"/>
      <c r="M615" s="27" t="n">
        <f aca="false">J615+(K615/20)+(L615/240)</f>
        <v>2000</v>
      </c>
      <c r="N615" s="17" t="s">
        <v>64</v>
      </c>
      <c r="O615" s="11" t="s">
        <v>98</v>
      </c>
      <c r="P615" s="28"/>
      <c r="Q615" s="28" t="n">
        <f aca="false">P615*$M615</f>
        <v>0</v>
      </c>
      <c r="R615" s="28"/>
      <c r="S615" s="28" t="n">
        <f aca="false">R615*$M615</f>
        <v>0</v>
      </c>
      <c r="T615" s="28"/>
      <c r="U615" s="28" t="n">
        <f aca="false">T615*$M615</f>
        <v>0</v>
      </c>
      <c r="V615" s="28"/>
      <c r="W615" s="28" t="n">
        <f aca="false">V615*$M615</f>
        <v>0</v>
      </c>
      <c r="X615" s="28" t="n">
        <f aca="false">607/100</f>
        <v>6.07</v>
      </c>
      <c r="Y615" s="28" t="n">
        <f aca="false">X615*$M615</f>
        <v>12140</v>
      </c>
      <c r="Z615" s="28"/>
      <c r="AA615" s="28" t="n">
        <f aca="false">Z615*$M615</f>
        <v>0</v>
      </c>
      <c r="AB615" s="28"/>
      <c r="AC615" s="28" t="n">
        <f aca="false">AB615*$M615</f>
        <v>0</v>
      </c>
      <c r="AD615" s="28"/>
      <c r="AE615" s="28" t="n">
        <f aca="false">AD615*$M615</f>
        <v>0</v>
      </c>
      <c r="AF615" s="28"/>
      <c r="AG615" s="28" t="n">
        <f aca="false">AF615*$M615</f>
        <v>0</v>
      </c>
      <c r="AH615" s="28"/>
      <c r="AI615" s="28" t="n">
        <f aca="false">AH615*$M615</f>
        <v>0</v>
      </c>
      <c r="AJ615" s="28"/>
      <c r="AK615" s="28" t="n">
        <f aca="false">AJ615*$M615</f>
        <v>0</v>
      </c>
      <c r="AL615" s="28" t="n">
        <f aca="false">145/100</f>
        <v>1.45</v>
      </c>
      <c r="AM615" s="28" t="n">
        <f aca="false">AL615*$M615</f>
        <v>2900</v>
      </c>
      <c r="AN615" s="28" t="n">
        <f aca="false">3865/100</f>
        <v>38.65</v>
      </c>
      <c r="AO615" s="28" t="n">
        <v>77300</v>
      </c>
      <c r="AP615" s="28"/>
      <c r="AQ615" s="28" t="n">
        <f aca="false">AP615*$M615</f>
        <v>0</v>
      </c>
      <c r="AR615" s="28"/>
      <c r="AS615" s="28" t="n">
        <f aca="false">AR615*$M615</f>
        <v>0</v>
      </c>
      <c r="AT615" s="28"/>
      <c r="AU615" s="28" t="n">
        <f aca="false">AT615*$M615</f>
        <v>0</v>
      </c>
      <c r="AV615" s="28"/>
      <c r="AW615" s="28" t="n">
        <f aca="false">AV615*$M615</f>
        <v>0</v>
      </c>
      <c r="AX615" s="28"/>
      <c r="AY615" s="28" t="n">
        <f aca="false">AX615*$M615</f>
        <v>0</v>
      </c>
      <c r="AZ615" s="30" t="n">
        <f aca="false">4617/100</f>
        <v>46.17</v>
      </c>
      <c r="BA615" s="11" t="n">
        <v>92340</v>
      </c>
      <c r="BB615" s="31" t="n">
        <f aca="false">SUM(Q615,S615,U615,W615,Y615,AA615,AC615,AE615,AG615,AI615,AK615,AM615,AO615,AQ615,AS615,AU615,AW615,AY615)</f>
        <v>92340</v>
      </c>
      <c r="BC615" s="28" t="n">
        <f aca="false">BA615-BB615</f>
        <v>0</v>
      </c>
      <c r="BD615" s="32" t="n">
        <f aca="false">SUM(P615,R615,T615,V615,X615,Z615,AB615,AD615,AF615,AH615,AJ615,AL615,AN615,AP615,AR615,AT615,AV615,AX615)</f>
        <v>46.17</v>
      </c>
      <c r="BE615" s="33" t="n">
        <f aca="false">AZ615-BD615</f>
        <v>0</v>
      </c>
      <c r="BF615" s="34" t="n">
        <f aca="false">BD615*M615</f>
        <v>92340</v>
      </c>
      <c r="BG615" s="35" t="n">
        <f aca="false">BA615-BF615</f>
        <v>0</v>
      </c>
      <c r="BH615" s="19" t="str">
        <f aca="false">IF(BG615=0,"",IF(BG615&lt;&gt;BA615,"erreur de calcul",IF(BD615&lt;&gt;0,"pas de prix",IF(M615&lt;&gt; 0,"pas de quantité","pas de prix, ni de quantité"))))</f>
        <v/>
      </c>
      <c r="BI615" s="19"/>
    </row>
    <row r="616" customFormat="false" ht="16" hidden="false" customHeight="false" outlineLevel="0" collapsed="false">
      <c r="A616" s="0" t="n">
        <v>17</v>
      </c>
      <c r="B616" s="8" t="s">
        <v>24</v>
      </c>
      <c r="C616" s="9" t="s">
        <v>25</v>
      </c>
      <c r="D616" s="9" t="s">
        <v>26</v>
      </c>
      <c r="E616" s="10" t="n">
        <v>1789</v>
      </c>
      <c r="F616" s="9" t="s">
        <v>27</v>
      </c>
      <c r="G616" s="9" t="s">
        <v>27</v>
      </c>
      <c r="H616" s="11" t="n">
        <v>25</v>
      </c>
      <c r="I616" s="11" t="s">
        <v>345</v>
      </c>
      <c r="J616" s="14"/>
      <c r="K616" s="14" t="n">
        <v>12</v>
      </c>
      <c r="L616" s="16"/>
      <c r="M616" s="27" t="n">
        <f aca="false">J616+(K616/20)+(L616/240)</f>
        <v>0.6</v>
      </c>
      <c r="N616" s="17" t="s">
        <v>66</v>
      </c>
      <c r="O616" s="11"/>
      <c r="P616" s="28"/>
      <c r="Q616" s="28" t="n">
        <f aca="false">P616*$M616</f>
        <v>0</v>
      </c>
      <c r="R616" s="28"/>
      <c r="S616" s="28" t="n">
        <f aca="false">R616*$M616</f>
        <v>0</v>
      </c>
      <c r="T616" s="28"/>
      <c r="U616" s="28" t="n">
        <f aca="false">T616*$M616</f>
        <v>0</v>
      </c>
      <c r="V616" s="28"/>
      <c r="W616" s="28" t="n">
        <f aca="false">V616*$M616</f>
        <v>0</v>
      </c>
      <c r="X616" s="28"/>
      <c r="Y616" s="28" t="n">
        <f aca="false">X616*$M616</f>
        <v>0</v>
      </c>
      <c r="Z616" s="28"/>
      <c r="AA616" s="28" t="n">
        <f aca="false">Z616*$M616</f>
        <v>0</v>
      </c>
      <c r="AB616" s="28"/>
      <c r="AC616" s="28" t="n">
        <f aca="false">AB616*$M616</f>
        <v>0</v>
      </c>
      <c r="AD616" s="28"/>
      <c r="AE616" s="28" t="n">
        <f aca="false">AD616*$M616</f>
        <v>0</v>
      </c>
      <c r="AF616" s="28"/>
      <c r="AG616" s="28" t="n">
        <f aca="false">AF616*$M616</f>
        <v>0</v>
      </c>
      <c r="AH616" s="28"/>
      <c r="AI616" s="28" t="n">
        <f aca="false">AH616*$M616</f>
        <v>0</v>
      </c>
      <c r="AJ616" s="28" t="n">
        <v>41194</v>
      </c>
      <c r="AK616" s="28" t="n">
        <v>24716</v>
      </c>
      <c r="AL616" s="28"/>
      <c r="AM616" s="28" t="n">
        <f aca="false">AL616*$M616</f>
        <v>0</v>
      </c>
      <c r="AN616" s="28"/>
      <c r="AO616" s="28" t="n">
        <f aca="false">AN616*$M616</f>
        <v>0</v>
      </c>
      <c r="AP616" s="28"/>
      <c r="AQ616" s="28" t="n">
        <f aca="false">AP616*$M616</f>
        <v>0</v>
      </c>
      <c r="AR616" s="28"/>
      <c r="AS616" s="28" t="n">
        <f aca="false">AR616*$M616</f>
        <v>0</v>
      </c>
      <c r="AT616" s="28"/>
      <c r="AU616" s="28" t="n">
        <f aca="false">AT616*$M616</f>
        <v>0</v>
      </c>
      <c r="AV616" s="28"/>
      <c r="AW616" s="28" t="n">
        <f aca="false">AV616*$M616</f>
        <v>0</v>
      </c>
      <c r="AX616" s="28"/>
      <c r="AY616" s="28" t="n">
        <f aca="false">AX616*$M616</f>
        <v>0</v>
      </c>
      <c r="AZ616" s="30" t="n">
        <v>41194</v>
      </c>
      <c r="BA616" s="11" t="n">
        <v>24716</v>
      </c>
      <c r="BB616" s="31" t="n">
        <f aca="false">SUM(Q616,S616,U616,W616,Y616,AA616,AC616,AE616,AG616,AI616,AK616,AM616,AO616,AQ616,AS616,AU616,AW616,AY616)</f>
        <v>24716</v>
      </c>
      <c r="BC616" s="28" t="n">
        <f aca="false">BA616-BB616</f>
        <v>0</v>
      </c>
      <c r="BD616" s="32" t="n">
        <f aca="false">SUM(P616,R616,T616,V616,X616,Z616,AB616,AD616,AF616,AH616,AJ616,AL616,AN616,AP616,AR616,AT616,AV616,AX616)</f>
        <v>41194</v>
      </c>
      <c r="BE616" s="33" t="n">
        <f aca="false">AZ616-BD616</f>
        <v>0</v>
      </c>
      <c r="BF616" s="34" t="n">
        <f aca="false">BD616*M616</f>
        <v>24716.4</v>
      </c>
      <c r="BG616" s="35" t="n">
        <f aca="false">BA616-BF616</f>
        <v>-0.399999999997817</v>
      </c>
      <c r="BH616" s="19" t="str">
        <f aca="false">IF(BG616=0,"",IF(BG616&lt;&gt;BA616,"erreur de calcul",IF(BD616&lt;&gt;0,"pas de prix",IF(M616&lt;&gt; 0,"pas de quantité","pas de prix, ni de quantité"))))</f>
        <v>erreur de calcul</v>
      </c>
      <c r="BI616" s="19"/>
    </row>
    <row r="617" customFormat="false" ht="16" hidden="false" customHeight="false" outlineLevel="0" collapsed="false">
      <c r="A617" s="0" t="n">
        <v>18</v>
      </c>
      <c r="B617" s="8" t="s">
        <v>24</v>
      </c>
      <c r="C617" s="9" t="s">
        <v>25</v>
      </c>
      <c r="D617" s="9" t="s">
        <v>26</v>
      </c>
      <c r="E617" s="10" t="n">
        <v>1789</v>
      </c>
      <c r="F617" s="9" t="s">
        <v>27</v>
      </c>
      <c r="G617" s="9" t="s">
        <v>27</v>
      </c>
      <c r="H617" s="11" t="n">
        <v>25</v>
      </c>
      <c r="I617" s="11" t="s">
        <v>346</v>
      </c>
      <c r="J617" s="14"/>
      <c r="K617" s="14" t="n">
        <v>50</v>
      </c>
      <c r="L617" s="16"/>
      <c r="M617" s="27" t="n">
        <f aca="false">J617+(K617/20)+(L617/240)</f>
        <v>2.5</v>
      </c>
      <c r="N617" s="17" t="s">
        <v>85</v>
      </c>
      <c r="O617" s="11"/>
      <c r="P617" s="28" t="n">
        <f aca="false">371167/100</f>
        <v>3711.67</v>
      </c>
      <c r="Q617" s="28" t="n">
        <v>9279</v>
      </c>
      <c r="R617" s="28"/>
      <c r="S617" s="28" t="n">
        <f aca="false">R617*$M617</f>
        <v>0</v>
      </c>
      <c r="T617" s="28"/>
      <c r="U617" s="28" t="n">
        <f aca="false">T617*$M617</f>
        <v>0</v>
      </c>
      <c r="V617" s="28"/>
      <c r="W617" s="28" t="n">
        <f aca="false">V617*$M617</f>
        <v>0</v>
      </c>
      <c r="X617" s="28"/>
      <c r="Y617" s="28" t="n">
        <f aca="false">X617*$M617</f>
        <v>0</v>
      </c>
      <c r="Z617" s="28"/>
      <c r="AA617" s="28" t="n">
        <f aca="false">Z617*$M617</f>
        <v>0</v>
      </c>
      <c r="AB617" s="28"/>
      <c r="AC617" s="28" t="n">
        <f aca="false">AB617*$M617</f>
        <v>0</v>
      </c>
      <c r="AD617" s="28"/>
      <c r="AE617" s="28" t="n">
        <f aca="false">AD617*$M617</f>
        <v>0</v>
      </c>
      <c r="AF617" s="28"/>
      <c r="AG617" s="28" t="n">
        <f aca="false">AF617*$M617</f>
        <v>0</v>
      </c>
      <c r="AH617" s="28"/>
      <c r="AI617" s="28" t="n">
        <f aca="false">AH617*$M617</f>
        <v>0</v>
      </c>
      <c r="AJ617" s="28"/>
      <c r="AK617" s="28" t="n">
        <f aca="false">AJ617*$M617</f>
        <v>0</v>
      </c>
      <c r="AL617" s="28"/>
      <c r="AM617" s="28" t="n">
        <f aca="false">AL617*$M617</f>
        <v>0</v>
      </c>
      <c r="AN617" s="28"/>
      <c r="AO617" s="28" t="n">
        <f aca="false">AN617*$M617</f>
        <v>0</v>
      </c>
      <c r="AP617" s="28"/>
      <c r="AQ617" s="28" t="n">
        <f aca="false">AP617*$M617</f>
        <v>0</v>
      </c>
      <c r="AR617" s="28"/>
      <c r="AS617" s="28" t="n">
        <f aca="false">AR617*$M617</f>
        <v>0</v>
      </c>
      <c r="AT617" s="28"/>
      <c r="AU617" s="28" t="n">
        <f aca="false">AT617*$M617</f>
        <v>0</v>
      </c>
      <c r="AV617" s="28"/>
      <c r="AW617" s="28" t="n">
        <f aca="false">AV617*$M617</f>
        <v>0</v>
      </c>
      <c r="AX617" s="28"/>
      <c r="AY617" s="28" t="n">
        <f aca="false">AX617*$M617</f>
        <v>0</v>
      </c>
      <c r="AZ617" s="30" t="n">
        <f aca="false">371167/100</f>
        <v>3711.67</v>
      </c>
      <c r="BA617" s="11" t="n">
        <v>9279</v>
      </c>
      <c r="BB617" s="31" t="n">
        <f aca="false">SUM(Q617,S617,U617,W617,Y617,AA617,AC617,AE617,AG617,AI617,AK617,AM617,AO617,AQ617,AS617,AU617,AW617,AY617)</f>
        <v>9279</v>
      </c>
      <c r="BC617" s="28" t="n">
        <f aca="false">BA617-BB617</f>
        <v>0</v>
      </c>
      <c r="BD617" s="32" t="n">
        <f aca="false">SUM(P617,R617,T617,V617,X617,Z617,AB617,AD617,AF617,AH617,AJ617,AL617,AN617,AP617,AR617,AT617,AV617,AX617)</f>
        <v>3711.67</v>
      </c>
      <c r="BE617" s="33" t="n">
        <f aca="false">AZ617-BD617</f>
        <v>0</v>
      </c>
      <c r="BF617" s="34" t="n">
        <f aca="false">BD617*M617</f>
        <v>9279.175</v>
      </c>
      <c r="BG617" s="35" t="n">
        <f aca="false">BA617-BF617</f>
        <v>-0.174999999999272</v>
      </c>
      <c r="BH617" s="19" t="str">
        <f aca="false">IF(BG617=0,"",IF(BG617&lt;&gt;BA617,"erreur de calcul",IF(BD617&lt;&gt;0,"pas de prix",IF(M617&lt;&gt; 0,"pas de quantité","pas de prix, ni de quantité"))))</f>
        <v>erreur de calcul</v>
      </c>
      <c r="BI617" s="19"/>
    </row>
    <row r="618" customFormat="false" ht="16" hidden="false" customHeight="false" outlineLevel="0" collapsed="false">
      <c r="A618" s="0" t="n">
        <v>19</v>
      </c>
      <c r="B618" s="8" t="s">
        <v>24</v>
      </c>
      <c r="C618" s="9" t="s">
        <v>25</v>
      </c>
      <c r="D618" s="9" t="s">
        <v>26</v>
      </c>
      <c r="E618" s="10" t="n">
        <v>1789</v>
      </c>
      <c r="F618" s="9" t="s">
        <v>27</v>
      </c>
      <c r="G618" s="9" t="s">
        <v>27</v>
      </c>
      <c r="H618" s="11" t="n">
        <v>25</v>
      </c>
      <c r="I618" s="11" t="s">
        <v>347</v>
      </c>
      <c r="J618" s="14" t="n">
        <v>60</v>
      </c>
      <c r="K618" s="14"/>
      <c r="L618" s="16"/>
      <c r="M618" s="27" t="n">
        <f aca="false">J618+(K618/20)+(L618/240)</f>
        <v>60</v>
      </c>
      <c r="N618" s="17" t="s">
        <v>64</v>
      </c>
      <c r="O618" s="11"/>
      <c r="P618" s="28"/>
      <c r="Q618" s="28" t="n">
        <f aca="false">P618*$M618</f>
        <v>0</v>
      </c>
      <c r="R618" s="28"/>
      <c r="S618" s="28" t="n">
        <f aca="false">R618*$M618</f>
        <v>0</v>
      </c>
      <c r="T618" s="28"/>
      <c r="U618" s="28" t="n">
        <f aca="false">T618*$M618</f>
        <v>0</v>
      </c>
      <c r="V618" s="28" t="n">
        <f aca="false">4151/100</f>
        <v>41.51</v>
      </c>
      <c r="W618" s="28" t="n">
        <v>2491</v>
      </c>
      <c r="X618" s="28" t="n">
        <f aca="false">13344/100</f>
        <v>133.44</v>
      </c>
      <c r="Y618" s="28" t="n">
        <v>8006</v>
      </c>
      <c r="Z618" s="28" t="n">
        <f aca="false">3323/100</f>
        <v>33.23</v>
      </c>
      <c r="AA618" s="28" t="n">
        <v>1994</v>
      </c>
      <c r="AB618" s="28"/>
      <c r="AC618" s="28" t="n">
        <f aca="false">AB618*$M618</f>
        <v>0</v>
      </c>
      <c r="AD618" s="28" t="n">
        <f aca="false">15268/100</f>
        <v>152.68</v>
      </c>
      <c r="AE618" s="28" t="n">
        <v>9161</v>
      </c>
      <c r="AF618" s="28"/>
      <c r="AG618" s="28" t="n">
        <f aca="false">AF618*$M618</f>
        <v>0</v>
      </c>
      <c r="AH618" s="28"/>
      <c r="AI618" s="28" t="n">
        <f aca="false">AH618*$M618</f>
        <v>0</v>
      </c>
      <c r="AJ618" s="28"/>
      <c r="AK618" s="28" t="n">
        <f aca="false">AJ618*$M618</f>
        <v>0</v>
      </c>
      <c r="AL618" s="28"/>
      <c r="AM618" s="28" t="n">
        <f aca="false">AL618*$M618</f>
        <v>0</v>
      </c>
      <c r="AN618" s="28"/>
      <c r="AO618" s="28" t="n">
        <f aca="false">AN618*$M618</f>
        <v>0</v>
      </c>
      <c r="AP618" s="28"/>
      <c r="AQ618" s="28" t="n">
        <f aca="false">AP618*$M618</f>
        <v>0</v>
      </c>
      <c r="AR618" s="28"/>
      <c r="AS618" s="28" t="n">
        <f aca="false">AR618*$M618</f>
        <v>0</v>
      </c>
      <c r="AT618" s="28"/>
      <c r="AU618" s="28" t="n">
        <f aca="false">AT618*$M618</f>
        <v>0</v>
      </c>
      <c r="AV618" s="28"/>
      <c r="AW618" s="28" t="n">
        <f aca="false">AV618*$M618</f>
        <v>0</v>
      </c>
      <c r="AX618" s="28"/>
      <c r="AY618" s="28" t="n">
        <f aca="false">AX618*$M618</f>
        <v>0</v>
      </c>
      <c r="AZ618" s="30" t="n">
        <f aca="false">32763/100</f>
        <v>327.63</v>
      </c>
      <c r="BA618" s="11" t="n">
        <v>21652</v>
      </c>
      <c r="BB618" s="31" t="n">
        <f aca="false">SUM(Q618,S618,U618,W618,Y618,AA618,AC618,AE618,AG618,AI618,AK618,AM618,AO618,AQ618,AS618,AU618,AW618,AY618)</f>
        <v>21652</v>
      </c>
      <c r="BC618" s="28" t="n">
        <f aca="false">BA618-BB618</f>
        <v>0</v>
      </c>
      <c r="BD618" s="32" t="n">
        <f aca="false">SUM(P618,R618,T618,V618,X618,Z618,AB618,AD618,AF618,AH618,AJ618,AL618,AN618,AP618,AR618,AT618,AV618,AX618)</f>
        <v>360.86</v>
      </c>
      <c r="BE618" s="33" t="n">
        <f aca="false">AZ618-BD618</f>
        <v>-33.23</v>
      </c>
      <c r="BF618" s="34" t="n">
        <f aca="false">BD618*M618</f>
        <v>21651.6</v>
      </c>
      <c r="BG618" s="35" t="n">
        <f aca="false">BA618-BF618</f>
        <v>0.399999999997817</v>
      </c>
      <c r="BH618" s="19" t="str">
        <f aca="false">IF(BG618=0,"",IF(BG618&lt;&gt;BA618,"erreur de calcul",IF(BD618&lt;&gt;0,"pas de prix",IF(M618&lt;&gt; 0,"pas de quantité","pas de prix, ni de quantité"))))</f>
        <v>erreur de calcul</v>
      </c>
      <c r="BI618" s="19"/>
    </row>
    <row r="619" customFormat="false" ht="16" hidden="false" customHeight="false" outlineLevel="0" collapsed="false">
      <c r="A619" s="0" t="n">
        <v>20</v>
      </c>
      <c r="B619" s="8" t="s">
        <v>24</v>
      </c>
      <c r="C619" s="9" t="s">
        <v>25</v>
      </c>
      <c r="D619" s="9" t="s">
        <v>26</v>
      </c>
      <c r="E619" s="10" t="n">
        <v>1789</v>
      </c>
      <c r="F619" s="9" t="s">
        <v>27</v>
      </c>
      <c r="G619" s="9" t="s">
        <v>27</v>
      </c>
      <c r="H619" s="11" t="n">
        <v>25</v>
      </c>
      <c r="I619" s="11" t="s">
        <v>348</v>
      </c>
      <c r="J619" s="14" t="n">
        <v>9</v>
      </c>
      <c r="K619" s="14"/>
      <c r="L619" s="16"/>
      <c r="M619" s="27" t="n">
        <f aca="false">J619+(K619/20)+(L619/240)</f>
        <v>9</v>
      </c>
      <c r="N619" s="17" t="s">
        <v>349</v>
      </c>
      <c r="O619" s="11"/>
      <c r="P619" s="28"/>
      <c r="Q619" s="28" t="n">
        <f aca="false">P619*$M619</f>
        <v>0</v>
      </c>
      <c r="R619" s="28"/>
      <c r="S619" s="28" t="n">
        <f aca="false">R619*$M619</f>
        <v>0</v>
      </c>
      <c r="T619" s="28"/>
      <c r="U619" s="28" t="n">
        <f aca="false">T619*$M619</f>
        <v>0</v>
      </c>
      <c r="V619" s="28" t="n">
        <v>545</v>
      </c>
      <c r="W619" s="28" t="n">
        <v>4905</v>
      </c>
      <c r="X619" s="28"/>
      <c r="Y619" s="28" t="n">
        <f aca="false">X619*$M619</f>
        <v>0</v>
      </c>
      <c r="Z619" s="28"/>
      <c r="AA619" s="28" t="n">
        <f aca="false">Z619*$M619</f>
        <v>0</v>
      </c>
      <c r="AB619" s="28"/>
      <c r="AC619" s="28" t="n">
        <f aca="false">AB619*$M619</f>
        <v>0</v>
      </c>
      <c r="AD619" s="28"/>
      <c r="AE619" s="28" t="n">
        <f aca="false">AD619*$M619</f>
        <v>0</v>
      </c>
      <c r="AF619" s="28"/>
      <c r="AG619" s="28" t="n">
        <f aca="false">AF619*$M619</f>
        <v>0</v>
      </c>
      <c r="AH619" s="28"/>
      <c r="AI619" s="28" t="n">
        <f aca="false">AH619*$M619</f>
        <v>0</v>
      </c>
      <c r="AJ619" s="28" t="n">
        <v>592</v>
      </c>
      <c r="AK619" s="28" t="n">
        <v>5328</v>
      </c>
      <c r="AL619" s="28"/>
      <c r="AM619" s="28" t="n">
        <f aca="false">AL619*$M619</f>
        <v>0</v>
      </c>
      <c r="AN619" s="28"/>
      <c r="AO619" s="28" t="n">
        <f aca="false">AN619*$M619</f>
        <v>0</v>
      </c>
      <c r="AP619" s="28"/>
      <c r="AQ619" s="28" t="n">
        <f aca="false">AP619*$M619</f>
        <v>0</v>
      </c>
      <c r="AR619" s="28"/>
      <c r="AS619" s="28" t="n">
        <f aca="false">AR619*$M619</f>
        <v>0</v>
      </c>
      <c r="AT619" s="28"/>
      <c r="AU619" s="28" t="n">
        <f aca="false">AT619*$M619</f>
        <v>0</v>
      </c>
      <c r="AV619" s="28"/>
      <c r="AW619" s="28" t="n">
        <f aca="false">AV619*$M619</f>
        <v>0</v>
      </c>
      <c r="AX619" s="28"/>
      <c r="AY619" s="28" t="n">
        <f aca="false">AX619*$M619</f>
        <v>0</v>
      </c>
      <c r="AZ619" s="30" t="n">
        <v>1137</v>
      </c>
      <c r="BA619" s="11" t="n">
        <v>10233</v>
      </c>
      <c r="BB619" s="31" t="n">
        <f aca="false">SUM(Q619,S619,U619,W619,Y619,AA619,AC619,AE619,AG619,AI619,AK619,AM619,AO619,AQ619,AS619,AU619,AW619,AY619)</f>
        <v>10233</v>
      </c>
      <c r="BC619" s="28" t="n">
        <f aca="false">BA619-BB619</f>
        <v>0</v>
      </c>
      <c r="BD619" s="32" t="n">
        <f aca="false">SUM(P619,R619,T619,V619,X619,Z619,AB619,AD619,AF619,AH619,AJ619,AL619,AN619,AP619,AR619,AT619,AV619,AX619)</f>
        <v>1137</v>
      </c>
      <c r="BE619" s="33" t="n">
        <f aca="false">AZ619-BD619</f>
        <v>0</v>
      </c>
      <c r="BF619" s="34" t="n">
        <f aca="false">BD619*M619</f>
        <v>10233</v>
      </c>
      <c r="BG619" s="35" t="n">
        <f aca="false">BA619-BF619</f>
        <v>0</v>
      </c>
      <c r="BH619" s="19" t="str">
        <f aca="false">IF(BG619=0,"",IF(BG619&lt;&gt;BA619,"erreur de calcul",IF(BD619&lt;&gt;0,"pas de prix",IF(M619&lt;&gt; 0,"pas de quantité","pas de prix, ni de quantité"))))</f>
        <v/>
      </c>
      <c r="BI619" s="19"/>
    </row>
    <row r="620" customFormat="false" ht="16" hidden="false" customHeight="false" outlineLevel="0" collapsed="false">
      <c r="A620" s="0" t="n">
        <v>21</v>
      </c>
      <c r="B620" s="8" t="s">
        <v>24</v>
      </c>
      <c r="C620" s="9" t="s">
        <v>25</v>
      </c>
      <c r="D620" s="9" t="s">
        <v>26</v>
      </c>
      <c r="E620" s="10" t="n">
        <v>1789</v>
      </c>
      <c r="F620" s="9" t="s">
        <v>27</v>
      </c>
      <c r="G620" s="9" t="s">
        <v>27</v>
      </c>
      <c r="H620" s="11" t="n">
        <v>25</v>
      </c>
      <c r="I620" s="11" t="s">
        <v>350</v>
      </c>
      <c r="J620" s="14"/>
      <c r="K620" s="14" t="n">
        <v>40</v>
      </c>
      <c r="L620" s="16"/>
      <c r="M620" s="27" t="n">
        <f aca="false">J620+(K620/20)+(L620/240)</f>
        <v>2</v>
      </c>
      <c r="N620" s="17" t="s">
        <v>349</v>
      </c>
      <c r="O620" s="11"/>
      <c r="P620" s="28"/>
      <c r="Q620" s="28" t="n">
        <f aca="false">P620*$M620</f>
        <v>0</v>
      </c>
      <c r="R620" s="28"/>
      <c r="S620" s="28" t="n">
        <f aca="false">R620*$M620</f>
        <v>0</v>
      </c>
      <c r="T620" s="28"/>
      <c r="U620" s="28" t="n">
        <f aca="false">T620*$M620</f>
        <v>0</v>
      </c>
      <c r="V620" s="28" t="n">
        <v>2688</v>
      </c>
      <c r="W620" s="28" t="n">
        <v>5376</v>
      </c>
      <c r="X620" s="28" t="n">
        <v>775</v>
      </c>
      <c r="Y620" s="28" t="n">
        <v>1550</v>
      </c>
      <c r="Z620" s="28"/>
      <c r="AA620" s="28" t="n">
        <f aca="false">Z620*$M620</f>
        <v>0</v>
      </c>
      <c r="AB620" s="28"/>
      <c r="AC620" s="28" t="n">
        <f aca="false">AB620*$M620</f>
        <v>0</v>
      </c>
      <c r="AD620" s="28"/>
      <c r="AE620" s="28" t="n">
        <f aca="false">AD620*$M620</f>
        <v>0</v>
      </c>
      <c r="AF620" s="28"/>
      <c r="AG620" s="28" t="n">
        <f aca="false">AF620*$M620</f>
        <v>0</v>
      </c>
      <c r="AH620" s="28"/>
      <c r="AI620" s="28" t="n">
        <f aca="false">AH620*$M620</f>
        <v>0</v>
      </c>
      <c r="AJ620" s="28"/>
      <c r="AK620" s="28" t="n">
        <f aca="false">AJ620*$M620</f>
        <v>0</v>
      </c>
      <c r="AL620" s="28"/>
      <c r="AM620" s="28" t="n">
        <f aca="false">AL620*$M620</f>
        <v>0</v>
      </c>
      <c r="AN620" s="28"/>
      <c r="AO620" s="28" t="n">
        <f aca="false">AN620*$M620</f>
        <v>0</v>
      </c>
      <c r="AP620" s="28"/>
      <c r="AQ620" s="28" t="n">
        <f aca="false">AP620*$M620</f>
        <v>0</v>
      </c>
      <c r="AR620" s="28"/>
      <c r="AS620" s="28" t="n">
        <f aca="false">AR620*$M620</f>
        <v>0</v>
      </c>
      <c r="AT620" s="28"/>
      <c r="AU620" s="28" t="n">
        <f aca="false">AT620*$M620</f>
        <v>0</v>
      </c>
      <c r="AV620" s="28"/>
      <c r="AW620" s="28" t="n">
        <f aca="false">AV620*$M620</f>
        <v>0</v>
      </c>
      <c r="AX620" s="28"/>
      <c r="AY620" s="28" t="n">
        <f aca="false">AX620*$M620</f>
        <v>0</v>
      </c>
      <c r="AZ620" s="30" t="n">
        <v>3463</v>
      </c>
      <c r="BA620" s="11" t="n">
        <v>6926</v>
      </c>
      <c r="BB620" s="31" t="n">
        <f aca="false">SUM(Q620,S620,U620,W620,Y620,AA620,AC620,AE620,AG620,AI620,AK620,AM620,AO620,AQ620,AS620,AU620,AW620,AY620)</f>
        <v>6926</v>
      </c>
      <c r="BC620" s="28" t="n">
        <f aca="false">BA620-BB620</f>
        <v>0</v>
      </c>
      <c r="BD620" s="32" t="n">
        <f aca="false">SUM(P620,R620,T620,V620,X620,Z620,AB620,AD620,AF620,AH620,AJ620,AL620,AN620,AP620,AR620,AT620,AV620,AX620)</f>
        <v>3463</v>
      </c>
      <c r="BE620" s="33" t="n">
        <f aca="false">AZ620-BD620</f>
        <v>0</v>
      </c>
      <c r="BF620" s="34" t="n">
        <f aca="false">BD620*M620</f>
        <v>6926</v>
      </c>
      <c r="BG620" s="35" t="n">
        <f aca="false">BA620-BF620</f>
        <v>0</v>
      </c>
      <c r="BH620" s="19" t="str">
        <f aca="false">IF(BG620=0,"",IF(BG620&lt;&gt;BA620,"erreur de calcul",IF(BD620&lt;&gt;0,"pas de prix",IF(M620&lt;&gt; 0,"pas de quantité","pas de prix, ni de quantité"))))</f>
        <v/>
      </c>
      <c r="BI620" s="19"/>
    </row>
    <row r="621" customFormat="false" ht="16" hidden="false" customHeight="false" outlineLevel="0" collapsed="false">
      <c r="A621" s="0" t="n">
        <v>22</v>
      </c>
      <c r="B621" s="8" t="s">
        <v>24</v>
      </c>
      <c r="C621" s="9" t="s">
        <v>25</v>
      </c>
      <c r="D621" s="9" t="s">
        <v>26</v>
      </c>
      <c r="E621" s="10" t="n">
        <v>1789</v>
      </c>
      <c r="F621" s="9" t="s">
        <v>27</v>
      </c>
      <c r="G621" s="9" t="s">
        <v>27</v>
      </c>
      <c r="H621" s="11" t="n">
        <v>25</v>
      </c>
      <c r="I621" s="11" t="s">
        <v>351</v>
      </c>
      <c r="J621" s="14" t="n">
        <v>60</v>
      </c>
      <c r="K621" s="14"/>
      <c r="L621" s="16"/>
      <c r="M621" s="27" t="n">
        <f aca="false">J621+(K621/20)+(L621/240)</f>
        <v>60</v>
      </c>
      <c r="N621" s="17" t="s">
        <v>69</v>
      </c>
      <c r="O621" s="11"/>
      <c r="P621" s="28"/>
      <c r="Q621" s="28" t="n">
        <f aca="false">P621*$M621</f>
        <v>0</v>
      </c>
      <c r="R621" s="28"/>
      <c r="S621" s="28" t="n">
        <f aca="false">R621*$M621</f>
        <v>0</v>
      </c>
      <c r="T621" s="28" t="n">
        <v>20</v>
      </c>
      <c r="U621" s="28" t="n">
        <v>1200</v>
      </c>
      <c r="V621" s="28" t="n">
        <v>82</v>
      </c>
      <c r="W621" s="28" t="n">
        <v>4920</v>
      </c>
      <c r="X621" s="28"/>
      <c r="Y621" s="28" t="n">
        <f aca="false">X621*$M621</f>
        <v>0</v>
      </c>
      <c r="Z621" s="28"/>
      <c r="AA621" s="28" t="n">
        <f aca="false">Z621*$M621</f>
        <v>0</v>
      </c>
      <c r="AB621" s="28"/>
      <c r="AC621" s="28" t="n">
        <f aca="false">AB621*$M621</f>
        <v>0</v>
      </c>
      <c r="AD621" s="28"/>
      <c r="AE621" s="28" t="n">
        <f aca="false">AD621*$M621</f>
        <v>0</v>
      </c>
      <c r="AF621" s="28"/>
      <c r="AG621" s="28" t="n">
        <f aca="false">AF621*$M621</f>
        <v>0</v>
      </c>
      <c r="AH621" s="28"/>
      <c r="AI621" s="28" t="n">
        <f aca="false">AH621*$M621</f>
        <v>0</v>
      </c>
      <c r="AJ621" s="28"/>
      <c r="AK621" s="28" t="n">
        <f aca="false">AJ621*$M621</f>
        <v>0</v>
      </c>
      <c r="AL621" s="28"/>
      <c r="AM621" s="28" t="n">
        <f aca="false">AL621*$M621</f>
        <v>0</v>
      </c>
      <c r="AN621" s="28"/>
      <c r="AO621" s="28" t="n">
        <f aca="false">AN621*$M621</f>
        <v>0</v>
      </c>
      <c r="AP621" s="28"/>
      <c r="AQ621" s="28" t="n">
        <f aca="false">AP621*$M621</f>
        <v>0</v>
      </c>
      <c r="AR621" s="28"/>
      <c r="AS621" s="28" t="n">
        <f aca="false">AR621*$M621</f>
        <v>0</v>
      </c>
      <c r="AT621" s="28"/>
      <c r="AU621" s="28" t="n">
        <f aca="false">AT621*$M621</f>
        <v>0</v>
      </c>
      <c r="AV621" s="28"/>
      <c r="AW621" s="28" t="n">
        <f aca="false">AV621*$M621</f>
        <v>0</v>
      </c>
      <c r="AX621" s="28"/>
      <c r="AY621" s="28" t="n">
        <f aca="false">AX621*$M621</f>
        <v>0</v>
      </c>
      <c r="AZ621" s="30" t="n">
        <v>102</v>
      </c>
      <c r="BA621" s="11" t="n">
        <v>6120</v>
      </c>
      <c r="BB621" s="31" t="n">
        <f aca="false">SUM(Q621,S621,U621,W621,Y621,AA621,AC621,AE621,AG621,AI621,AK621,AM621,AO621,AQ621,AS621,AU621,AW621,AY621)</f>
        <v>6120</v>
      </c>
      <c r="BC621" s="28" t="n">
        <f aca="false">BA621-BB621</f>
        <v>0</v>
      </c>
      <c r="BD621" s="32" t="n">
        <f aca="false">SUM(P621,R621,T621,V621,X621,Z621,AB621,AD621,AF621,AH621,AJ621,AL621,AN621,AP621,AR621,AT621,AV621,AX621)</f>
        <v>102</v>
      </c>
      <c r="BE621" s="33" t="n">
        <f aca="false">AZ621-BD621</f>
        <v>0</v>
      </c>
      <c r="BF621" s="34" t="n">
        <f aca="false">BD621*M621</f>
        <v>6120</v>
      </c>
      <c r="BG621" s="35" t="n">
        <f aca="false">BA621-BF621</f>
        <v>0</v>
      </c>
      <c r="BH621" s="19" t="str">
        <f aca="false">IF(BG621=0,"",IF(BG621&lt;&gt;BA621,"erreur de calcul",IF(BD621&lt;&gt;0,"pas de prix",IF(M621&lt;&gt; 0,"pas de quantité","pas de prix, ni de quantité"))))</f>
        <v/>
      </c>
      <c r="BI621" s="19"/>
    </row>
    <row r="622" customFormat="false" ht="16" hidden="false" customHeight="false" outlineLevel="0" collapsed="false">
      <c r="A622" s="0" t="n">
        <v>23</v>
      </c>
      <c r="B622" s="8" t="s">
        <v>24</v>
      </c>
      <c r="C622" s="9" t="s">
        <v>25</v>
      </c>
      <c r="D622" s="9" t="s">
        <v>26</v>
      </c>
      <c r="E622" s="10" t="n">
        <v>1789</v>
      </c>
      <c r="F622" s="9" t="s">
        <v>27</v>
      </c>
      <c r="G622" s="9" t="s">
        <v>27</v>
      </c>
      <c r="H622" s="11" t="n">
        <v>25</v>
      </c>
      <c r="I622" s="11" t="s">
        <v>352</v>
      </c>
      <c r="J622" s="14" t="n">
        <v>150</v>
      </c>
      <c r="K622" s="14"/>
      <c r="L622" s="16"/>
      <c r="M622" s="27" t="n">
        <f aca="false">J622+(K622/20)+(L622/240)</f>
        <v>150</v>
      </c>
      <c r="N622" s="17" t="s">
        <v>64</v>
      </c>
      <c r="O622" s="11"/>
      <c r="P622" s="28" t="n">
        <f aca="false">274/100</f>
        <v>2.74</v>
      </c>
      <c r="Q622" s="28" t="n">
        <v>411</v>
      </c>
      <c r="R622" s="28"/>
      <c r="S622" s="28" t="n">
        <f aca="false">R622*$M622</f>
        <v>0</v>
      </c>
      <c r="T622" s="28" t="n">
        <f aca="false">3042/100</f>
        <v>30.42</v>
      </c>
      <c r="U622" s="28" t="n">
        <v>4563</v>
      </c>
      <c r="V622" s="28"/>
      <c r="W622" s="28" t="n">
        <f aca="false">V622*$M622</f>
        <v>0</v>
      </c>
      <c r="X622" s="28"/>
      <c r="Y622" s="28" t="n">
        <f aca="false">X622*$M622</f>
        <v>0</v>
      </c>
      <c r="Z622" s="28"/>
      <c r="AA622" s="28" t="n">
        <f aca="false">Z622*$M622</f>
        <v>0</v>
      </c>
      <c r="AB622" s="28" t="n">
        <f aca="false">92/100</f>
        <v>0.92</v>
      </c>
      <c r="AC622" s="28" t="n">
        <v>138</v>
      </c>
      <c r="AD622" s="28"/>
      <c r="AE622" s="28" t="n">
        <f aca="false">AD622*$M622</f>
        <v>0</v>
      </c>
      <c r="AF622" s="28"/>
      <c r="AG622" s="28" t="n">
        <f aca="false">AF622*$M622</f>
        <v>0</v>
      </c>
      <c r="AH622" s="28"/>
      <c r="AI622" s="28" t="n">
        <f aca="false">AH622*$M622</f>
        <v>0</v>
      </c>
      <c r="AJ622" s="28"/>
      <c r="AK622" s="28" t="n">
        <f aca="false">AJ622*$M622</f>
        <v>0</v>
      </c>
      <c r="AL622" s="28"/>
      <c r="AM622" s="28" t="n">
        <f aca="false">AL622*$M622</f>
        <v>0</v>
      </c>
      <c r="AN622" s="28"/>
      <c r="AO622" s="28" t="n">
        <f aca="false">AN622*$M622</f>
        <v>0</v>
      </c>
      <c r="AP622" s="28"/>
      <c r="AQ622" s="28" t="n">
        <f aca="false">AP622*$M622</f>
        <v>0</v>
      </c>
      <c r="AR622" s="28"/>
      <c r="AS622" s="28" t="n">
        <f aca="false">AR622*$M622</f>
        <v>0</v>
      </c>
      <c r="AT622" s="28"/>
      <c r="AU622" s="28" t="n">
        <f aca="false">AT622*$M622</f>
        <v>0</v>
      </c>
      <c r="AV622" s="28"/>
      <c r="AW622" s="28" t="n">
        <f aca="false">AV622*$M622</f>
        <v>0</v>
      </c>
      <c r="AX622" s="28"/>
      <c r="AY622" s="28" t="n">
        <f aca="false">AX622*$M622</f>
        <v>0</v>
      </c>
      <c r="AZ622" s="30" t="n">
        <f aca="false">3408/100</f>
        <v>34.08</v>
      </c>
      <c r="BA622" s="11" t="n">
        <v>5112</v>
      </c>
      <c r="BB622" s="31" t="n">
        <f aca="false">SUM(Q622,S622,U622,W622,Y622,AA622,AC622,AE622,AG622,AI622,AK622,AM622,AO622,AQ622,AS622,AU622,AW622,AY622)</f>
        <v>5112</v>
      </c>
      <c r="BC622" s="28" t="n">
        <f aca="false">BA622-BB622</f>
        <v>0</v>
      </c>
      <c r="BD622" s="32" t="n">
        <f aca="false">SUM(P622,R622,T622,V622,X622,Z622,AB622,AD622,AF622,AH622,AJ622,AL622,AN622,AP622,AR622,AT622,AV622,AX622)</f>
        <v>34.08</v>
      </c>
      <c r="BE622" s="33" t="n">
        <f aca="false">AZ622-BD622</f>
        <v>0</v>
      </c>
      <c r="BF622" s="34" t="n">
        <f aca="false">BD622*M622</f>
        <v>5112</v>
      </c>
      <c r="BG622" s="35" t="n">
        <f aca="false">BA622-BF622</f>
        <v>0</v>
      </c>
      <c r="BH622" s="19" t="str">
        <f aca="false">IF(BG622=0,"",IF(BG622&lt;&gt;BA622,"erreur de calcul",IF(BD622&lt;&gt;0,"pas de prix",IF(M622&lt;&gt; 0,"pas de quantité","pas de prix, ni de quantité"))))</f>
        <v/>
      </c>
      <c r="BI622" s="19"/>
    </row>
    <row r="623" customFormat="false" ht="16" hidden="false" customHeight="false" outlineLevel="0" collapsed="false">
      <c r="A623" s="0" t="n">
        <v>24</v>
      </c>
      <c r="B623" s="8" t="s">
        <v>24</v>
      </c>
      <c r="C623" s="9" t="s">
        <v>25</v>
      </c>
      <c r="D623" s="9" t="s">
        <v>26</v>
      </c>
      <c r="E623" s="10" t="n">
        <v>1789</v>
      </c>
      <c r="F623" s="9" t="s">
        <v>27</v>
      </c>
      <c r="G623" s="9" t="s">
        <v>27</v>
      </c>
      <c r="H623" s="11" t="n">
        <v>25</v>
      </c>
      <c r="I623" s="11" t="s">
        <v>353</v>
      </c>
      <c r="J623" s="14" t="n">
        <v>40</v>
      </c>
      <c r="K623" s="14"/>
      <c r="L623" s="16"/>
      <c r="M623" s="27" t="n">
        <f aca="false">J623+(K623/20)+(L623/240)</f>
        <v>40</v>
      </c>
      <c r="N623" s="17" t="s">
        <v>64</v>
      </c>
      <c r="O623" s="11"/>
      <c r="P623" s="28"/>
      <c r="Q623" s="28" t="n">
        <f aca="false">P623*$M623</f>
        <v>0</v>
      </c>
      <c r="R623" s="28"/>
      <c r="S623" s="28" t="n">
        <f aca="false">R623*$M623</f>
        <v>0</v>
      </c>
      <c r="T623" s="28"/>
      <c r="U623" s="28" t="n">
        <f aca="false">T623*$M623</f>
        <v>0</v>
      </c>
      <c r="V623" s="28" t="n">
        <f aca="false">4960/100</f>
        <v>49.6</v>
      </c>
      <c r="W623" s="28" t="n">
        <v>1984</v>
      </c>
      <c r="X623" s="28" t="n">
        <f aca="false">394/100</f>
        <v>3.94</v>
      </c>
      <c r="Y623" s="28" t="n">
        <v>158</v>
      </c>
      <c r="Z623" s="28"/>
      <c r="AA623" s="28" t="n">
        <f aca="false">Z623*$M623</f>
        <v>0</v>
      </c>
      <c r="AB623" s="28"/>
      <c r="AC623" s="28" t="n">
        <f aca="false">AB623*$M623</f>
        <v>0</v>
      </c>
      <c r="AD623" s="28"/>
      <c r="AE623" s="28" t="n">
        <f aca="false">AD623*$M623</f>
        <v>0</v>
      </c>
      <c r="AF623" s="28"/>
      <c r="AG623" s="28" t="n">
        <f aca="false">AF623*$M623</f>
        <v>0</v>
      </c>
      <c r="AH623" s="28"/>
      <c r="AI623" s="28" t="n">
        <f aca="false">AH623*$M623</f>
        <v>0</v>
      </c>
      <c r="AJ623" s="28"/>
      <c r="AK623" s="28" t="n">
        <f aca="false">AJ623*$M623</f>
        <v>0</v>
      </c>
      <c r="AL623" s="28"/>
      <c r="AM623" s="28" t="n">
        <f aca="false">AL623*$M623</f>
        <v>0</v>
      </c>
      <c r="AN623" s="28"/>
      <c r="AO623" s="28" t="n">
        <f aca="false">AN623*$M623</f>
        <v>0</v>
      </c>
      <c r="AP623" s="28"/>
      <c r="AQ623" s="28" t="n">
        <f aca="false">AP623*$M623</f>
        <v>0</v>
      </c>
      <c r="AR623" s="28"/>
      <c r="AS623" s="28" t="n">
        <f aca="false">AR623*$M623</f>
        <v>0</v>
      </c>
      <c r="AT623" s="28"/>
      <c r="AU623" s="28" t="n">
        <f aca="false">AT623*$M623</f>
        <v>0</v>
      </c>
      <c r="AV623" s="28"/>
      <c r="AW623" s="28" t="n">
        <f aca="false">AV623*$M623</f>
        <v>0</v>
      </c>
      <c r="AX623" s="28"/>
      <c r="AY623" s="28" t="n">
        <f aca="false">AX623*$M623</f>
        <v>0</v>
      </c>
      <c r="AZ623" s="30" t="n">
        <f aca="false">5354/100</f>
        <v>53.54</v>
      </c>
      <c r="BA623" s="11" t="n">
        <v>2142</v>
      </c>
      <c r="BB623" s="31" t="n">
        <f aca="false">SUM(Q623,S623,U623,W623,Y623,AA623,AC623,AE623,AG623,AI623,AK623,AM623,AO623,AQ623,AS623,AU623,AW623,AY623)</f>
        <v>2142</v>
      </c>
      <c r="BC623" s="28" t="n">
        <f aca="false">BA623-BB623</f>
        <v>0</v>
      </c>
      <c r="BD623" s="32" t="n">
        <f aca="false">SUM(P623,R623,T623,V623,X623,Z623,AB623,AD623,AF623,AH623,AJ623,AL623,AN623,AP623,AR623,AT623,AV623,AX623)</f>
        <v>53.54</v>
      </c>
      <c r="BE623" s="33" t="n">
        <f aca="false">AZ623-BD623</f>
        <v>0</v>
      </c>
      <c r="BF623" s="34" t="n">
        <f aca="false">BD623*M623</f>
        <v>2141.6</v>
      </c>
      <c r="BG623" s="35" t="n">
        <f aca="false">BA623-BF623</f>
        <v>0.400000000000091</v>
      </c>
      <c r="BH623" s="19" t="str">
        <f aca="false">IF(BG623=0,"",IF(BG623&lt;&gt;BA623,"erreur de calcul",IF(BD623&lt;&gt;0,"pas de prix",IF(M623&lt;&gt; 0,"pas de quantité","pas de prix, ni de quantité"))))</f>
        <v>erreur de calcul</v>
      </c>
      <c r="BI623" s="19"/>
    </row>
    <row r="624" customFormat="false" ht="16" hidden="false" customHeight="false" outlineLevel="0" collapsed="false">
      <c r="A624" s="0" t="n">
        <v>25</v>
      </c>
      <c r="B624" s="8" t="s">
        <v>24</v>
      </c>
      <c r="C624" s="9" t="s">
        <v>25</v>
      </c>
      <c r="D624" s="9" t="s">
        <v>26</v>
      </c>
      <c r="E624" s="10" t="n">
        <v>1789</v>
      </c>
      <c r="F624" s="9" t="s">
        <v>27</v>
      </c>
      <c r="G624" s="9" t="s">
        <v>27</v>
      </c>
      <c r="H624" s="11" t="n">
        <v>25</v>
      </c>
      <c r="I624" s="11" t="s">
        <v>354</v>
      </c>
      <c r="J624" s="14" t="n">
        <v>200</v>
      </c>
      <c r="K624" s="14"/>
      <c r="L624" s="16"/>
      <c r="M624" s="27" t="n">
        <f aca="false">J624+(K624/20)+(L624/240)</f>
        <v>200</v>
      </c>
      <c r="N624" s="17" t="s">
        <v>64</v>
      </c>
      <c r="O624" s="11"/>
      <c r="P624" s="28"/>
      <c r="Q624" s="28" t="n">
        <f aca="false">P624*$M624</f>
        <v>0</v>
      </c>
      <c r="R624" s="28"/>
      <c r="S624" s="28" t="n">
        <f aca="false">R624*$M624</f>
        <v>0</v>
      </c>
      <c r="T624" s="28" t="n">
        <f aca="false">4367/100</f>
        <v>43.67</v>
      </c>
      <c r="U624" s="28" t="n">
        <v>8734</v>
      </c>
      <c r="V624" s="28" t="n">
        <f aca="false">346/100</f>
        <v>3.46</v>
      </c>
      <c r="W624" s="28" t="n">
        <v>692</v>
      </c>
      <c r="X624" s="28"/>
      <c r="Y624" s="28" t="n">
        <f aca="false">X624*$M624</f>
        <v>0</v>
      </c>
      <c r="Z624" s="28"/>
      <c r="AA624" s="28" t="n">
        <f aca="false">Z624*$M624</f>
        <v>0</v>
      </c>
      <c r="AB624" s="28"/>
      <c r="AC624" s="28" t="n">
        <f aca="false">AB624*$M624</f>
        <v>0</v>
      </c>
      <c r="AD624" s="28"/>
      <c r="AE624" s="28" t="n">
        <f aca="false">AD624*$M624</f>
        <v>0</v>
      </c>
      <c r="AF624" s="28"/>
      <c r="AG624" s="28" t="n">
        <f aca="false">AF624*$M624</f>
        <v>0</v>
      </c>
      <c r="AH624" s="28"/>
      <c r="AI624" s="28" t="n">
        <f aca="false">AH624*$M624</f>
        <v>0</v>
      </c>
      <c r="AJ624" s="28"/>
      <c r="AK624" s="28" t="n">
        <f aca="false">AJ624*$M624</f>
        <v>0</v>
      </c>
      <c r="AL624" s="28"/>
      <c r="AM624" s="28" t="n">
        <f aca="false">AL624*$M624</f>
        <v>0</v>
      </c>
      <c r="AN624" s="28"/>
      <c r="AO624" s="28" t="n">
        <f aca="false">AN624*$M624</f>
        <v>0</v>
      </c>
      <c r="AP624" s="28"/>
      <c r="AQ624" s="28" t="n">
        <f aca="false">AP624*$M624</f>
        <v>0</v>
      </c>
      <c r="AR624" s="28"/>
      <c r="AS624" s="28" t="n">
        <f aca="false">AR624*$M624</f>
        <v>0</v>
      </c>
      <c r="AT624" s="28"/>
      <c r="AU624" s="28" t="n">
        <f aca="false">AT624*$M624</f>
        <v>0</v>
      </c>
      <c r="AV624" s="28"/>
      <c r="AW624" s="28" t="n">
        <f aca="false">AV624*$M624</f>
        <v>0</v>
      </c>
      <c r="AX624" s="28"/>
      <c r="AY624" s="28" t="n">
        <f aca="false">AX624*$M624</f>
        <v>0</v>
      </c>
      <c r="AZ624" s="30" t="n">
        <f aca="false">4713/100</f>
        <v>47.13</v>
      </c>
      <c r="BA624" s="11" t="n">
        <v>9426</v>
      </c>
      <c r="BB624" s="31" t="n">
        <f aca="false">SUM(Q624,S624,U624,W624,Y624,AA624,AC624,AE624,AG624,AI624,AK624,AM624,AO624,AQ624,AS624,AU624,AW624,AY624)</f>
        <v>9426</v>
      </c>
      <c r="BC624" s="28" t="n">
        <f aca="false">BA624-BB624</f>
        <v>0</v>
      </c>
      <c r="BD624" s="32" t="n">
        <f aca="false">SUM(P624,R624,T624,V624,X624,Z624,AB624,AD624,AF624,AH624,AJ624,AL624,AN624,AP624,AR624,AT624,AV624,AX624)</f>
        <v>47.13</v>
      </c>
      <c r="BE624" s="33" t="n">
        <f aca="false">AZ624-BD624</f>
        <v>0</v>
      </c>
      <c r="BF624" s="34" t="n">
        <f aca="false">BD624*M624</f>
        <v>9426</v>
      </c>
      <c r="BG624" s="35" t="n">
        <f aca="false">BA624-BF624</f>
        <v>0</v>
      </c>
      <c r="BH624" s="19" t="str">
        <f aca="false">IF(BG624=0,"",IF(BG624&lt;&gt;BA624,"erreur de calcul",IF(BD624&lt;&gt;0,"pas de prix",IF(M624&lt;&gt; 0,"pas de quantité","pas de prix, ni de quantité"))))</f>
        <v/>
      </c>
      <c r="BI624" s="19"/>
    </row>
    <row r="625" customFormat="false" ht="16" hidden="false" customHeight="false" outlineLevel="0" collapsed="false">
      <c r="A625" s="0" t="n">
        <v>26</v>
      </c>
      <c r="B625" s="8" t="s">
        <v>24</v>
      </c>
      <c r="C625" s="9" t="s">
        <v>25</v>
      </c>
      <c r="D625" s="9" t="s">
        <v>26</v>
      </c>
      <c r="E625" s="10" t="n">
        <v>1789</v>
      </c>
      <c r="F625" s="9" t="s">
        <v>27</v>
      </c>
      <c r="G625" s="9" t="s">
        <v>27</v>
      </c>
      <c r="H625" s="11" t="n">
        <v>25</v>
      </c>
      <c r="I625" s="11" t="s">
        <v>355</v>
      </c>
      <c r="J625" s="14" t="n">
        <v>200</v>
      </c>
      <c r="K625" s="14"/>
      <c r="L625" s="16"/>
      <c r="M625" s="27" t="n">
        <f aca="false">J625+(K625/20)+(L625/240)</f>
        <v>200</v>
      </c>
      <c r="N625" s="17" t="s">
        <v>64</v>
      </c>
      <c r="O625" s="11"/>
      <c r="P625" s="28"/>
      <c r="Q625" s="28" t="n">
        <f aca="false">P625*$M625</f>
        <v>0</v>
      </c>
      <c r="R625" s="28"/>
      <c r="S625" s="28" t="n">
        <f aca="false">R625*$M625</f>
        <v>0</v>
      </c>
      <c r="T625" s="28" t="n">
        <f aca="false">2471/100</f>
        <v>24.71</v>
      </c>
      <c r="U625" s="28" t="n">
        <v>4942</v>
      </c>
      <c r="V625" s="28"/>
      <c r="W625" s="28" t="n">
        <f aca="false">V625*$M625</f>
        <v>0</v>
      </c>
      <c r="X625" s="28"/>
      <c r="Y625" s="28" t="n">
        <f aca="false">X625*$M625</f>
        <v>0</v>
      </c>
      <c r="Z625" s="28"/>
      <c r="AA625" s="28" t="n">
        <f aca="false">Z625*$M625</f>
        <v>0</v>
      </c>
      <c r="AB625" s="28"/>
      <c r="AC625" s="28" t="n">
        <f aca="false">AB625*$M625</f>
        <v>0</v>
      </c>
      <c r="AD625" s="28"/>
      <c r="AE625" s="28" t="n">
        <f aca="false">AD625*$M625</f>
        <v>0</v>
      </c>
      <c r="AF625" s="28"/>
      <c r="AG625" s="28" t="n">
        <f aca="false">AF625*$M625</f>
        <v>0</v>
      </c>
      <c r="AH625" s="28"/>
      <c r="AI625" s="28" t="n">
        <f aca="false">AH625*$M625</f>
        <v>0</v>
      </c>
      <c r="AJ625" s="28"/>
      <c r="AK625" s="28" t="n">
        <f aca="false">AJ625*$M625</f>
        <v>0</v>
      </c>
      <c r="AL625" s="28"/>
      <c r="AM625" s="28" t="n">
        <f aca="false">AL625*$M625</f>
        <v>0</v>
      </c>
      <c r="AN625" s="28"/>
      <c r="AO625" s="28" t="n">
        <f aca="false">AN625*$M625</f>
        <v>0</v>
      </c>
      <c r="AP625" s="28"/>
      <c r="AQ625" s="28" t="n">
        <f aca="false">AP625*$M625</f>
        <v>0</v>
      </c>
      <c r="AR625" s="28"/>
      <c r="AS625" s="28" t="n">
        <f aca="false">AR625*$M625</f>
        <v>0</v>
      </c>
      <c r="AT625" s="28"/>
      <c r="AU625" s="28" t="n">
        <f aca="false">AT625*$M625</f>
        <v>0</v>
      </c>
      <c r="AV625" s="28"/>
      <c r="AW625" s="28" t="n">
        <f aca="false">AV625*$M625</f>
        <v>0</v>
      </c>
      <c r="AX625" s="28"/>
      <c r="AY625" s="28" t="n">
        <f aca="false">AX625*$M625</f>
        <v>0</v>
      </c>
      <c r="AZ625" s="30" t="n">
        <f aca="false">2471/100</f>
        <v>24.71</v>
      </c>
      <c r="BA625" s="11" t="n">
        <v>4942</v>
      </c>
      <c r="BB625" s="31" t="n">
        <f aca="false">SUM(Q625,S625,U625,W625,Y625,AA625,AC625,AE625,AG625,AI625,AK625,AM625,AO625,AQ625,AS625,AU625,AW625,AY625)</f>
        <v>4942</v>
      </c>
      <c r="BC625" s="28" t="n">
        <f aca="false">BA625-BB625</f>
        <v>0</v>
      </c>
      <c r="BD625" s="32" t="n">
        <f aca="false">SUM(P625,R625,T625,V625,X625,Z625,AB625,AD625,AF625,AH625,AJ625,AL625,AN625,AP625,AR625,AT625,AV625,AX625)</f>
        <v>24.71</v>
      </c>
      <c r="BE625" s="33" t="n">
        <f aca="false">AZ625-BD625</f>
        <v>0</v>
      </c>
      <c r="BF625" s="34" t="n">
        <f aca="false">BD625*M625</f>
        <v>4942</v>
      </c>
      <c r="BG625" s="35" t="n">
        <f aca="false">BA625-BF625</f>
        <v>0</v>
      </c>
      <c r="BH625" s="19" t="str">
        <f aca="false">IF(BG625=0,"",IF(BG625&lt;&gt;BA625,"erreur de calcul",IF(BD625&lt;&gt;0,"pas de prix",IF(M625&lt;&gt; 0,"pas de quantité","pas de prix, ni de quantité"))))</f>
        <v/>
      </c>
      <c r="BI625" s="19"/>
    </row>
    <row r="626" customFormat="false" ht="16" hidden="false" customHeight="false" outlineLevel="0" collapsed="false">
      <c r="A626" s="0" t="n">
        <v>27</v>
      </c>
      <c r="B626" s="8" t="s">
        <v>24</v>
      </c>
      <c r="C626" s="9" t="s">
        <v>25</v>
      </c>
      <c r="D626" s="9" t="s">
        <v>26</v>
      </c>
      <c r="E626" s="10" t="n">
        <v>1789</v>
      </c>
      <c r="F626" s="9" t="s">
        <v>27</v>
      </c>
      <c r="G626" s="9" t="s">
        <v>27</v>
      </c>
      <c r="H626" s="11" t="n">
        <v>25</v>
      </c>
      <c r="I626" s="11" t="s">
        <v>356</v>
      </c>
      <c r="J626" s="14" t="n">
        <v>120</v>
      </c>
      <c r="K626" s="14"/>
      <c r="L626" s="16"/>
      <c r="M626" s="27" t="n">
        <f aca="false">J626+(K626/20)+(L626/240)</f>
        <v>120</v>
      </c>
      <c r="N626" s="17" t="s">
        <v>64</v>
      </c>
      <c r="O626" s="11"/>
      <c r="P626" s="28"/>
      <c r="Q626" s="28" t="n">
        <f aca="false">P626*$M626</f>
        <v>0</v>
      </c>
      <c r="R626" s="28"/>
      <c r="S626" s="28" t="n">
        <f aca="false">R626*$M626</f>
        <v>0</v>
      </c>
      <c r="T626" s="28"/>
      <c r="U626" s="28" t="n">
        <f aca="false">T626*$M626</f>
        <v>0</v>
      </c>
      <c r="V626" s="28"/>
      <c r="W626" s="28" t="n">
        <f aca="false">V626*$M626</f>
        <v>0</v>
      </c>
      <c r="X626" s="28"/>
      <c r="Y626" s="28" t="n">
        <f aca="false">X626*$M626</f>
        <v>0</v>
      </c>
      <c r="Z626" s="28"/>
      <c r="AA626" s="28" t="n">
        <f aca="false">Z626*$M626</f>
        <v>0</v>
      </c>
      <c r="AB626" s="28"/>
      <c r="AC626" s="28" t="n">
        <f aca="false">AB626*$M626</f>
        <v>0</v>
      </c>
      <c r="AD626" s="28"/>
      <c r="AE626" s="28" t="n">
        <f aca="false">AD626*$M626</f>
        <v>0</v>
      </c>
      <c r="AF626" s="28"/>
      <c r="AG626" s="28" t="n">
        <f aca="false">AF626*$M626</f>
        <v>0</v>
      </c>
      <c r="AH626" s="28"/>
      <c r="AI626" s="28" t="n">
        <f aca="false">AH626*$M626</f>
        <v>0</v>
      </c>
      <c r="AJ626" s="28"/>
      <c r="AK626" s="28" t="n">
        <f aca="false">AJ626*$M626</f>
        <v>0</v>
      </c>
      <c r="AL626" s="28"/>
      <c r="AM626" s="28" t="n">
        <f aca="false">AL626*$M626</f>
        <v>0</v>
      </c>
      <c r="AN626" s="28" t="n">
        <f aca="false">407/100</f>
        <v>4.07</v>
      </c>
      <c r="AO626" s="28" t="n">
        <v>488</v>
      </c>
      <c r="AP626" s="28"/>
      <c r="AQ626" s="28" t="n">
        <f aca="false">AP626*$M626</f>
        <v>0</v>
      </c>
      <c r="AR626" s="28"/>
      <c r="AS626" s="28" t="n">
        <f aca="false">AR626*$M626</f>
        <v>0</v>
      </c>
      <c r="AT626" s="28"/>
      <c r="AU626" s="28" t="n">
        <f aca="false">AT626*$M626</f>
        <v>0</v>
      </c>
      <c r="AV626" s="28"/>
      <c r="AW626" s="28" t="n">
        <f aca="false">AV626*$M626</f>
        <v>0</v>
      </c>
      <c r="AX626" s="28"/>
      <c r="AY626" s="28" t="n">
        <f aca="false">AX626*$M626</f>
        <v>0</v>
      </c>
      <c r="AZ626" s="30" t="n">
        <f aca="false">407/100</f>
        <v>4.07</v>
      </c>
      <c r="BA626" s="11" t="n">
        <v>488</v>
      </c>
      <c r="BB626" s="31" t="n">
        <f aca="false">SUM(Q626,S626,U626,W626,Y626,AA626,AC626,AE626,AG626,AI626,AK626,AM626,AO626,AQ626,AS626,AU626,AW626,AY626)</f>
        <v>488</v>
      </c>
      <c r="BC626" s="28" t="n">
        <f aca="false">BA626-BB626</f>
        <v>0</v>
      </c>
      <c r="BD626" s="32" t="n">
        <f aca="false">SUM(P626,R626,T626,V626,X626,Z626,AB626,AD626,AF626,AH626,AJ626,AL626,AN626,AP626,AR626,AT626,AV626,AX626)</f>
        <v>4.07</v>
      </c>
      <c r="BE626" s="33" t="n">
        <f aca="false">AZ626-BD626</f>
        <v>0</v>
      </c>
      <c r="BF626" s="34" t="n">
        <f aca="false">BD626*M626</f>
        <v>488.4</v>
      </c>
      <c r="BG626" s="35" t="n">
        <f aca="false">BA626-BF626</f>
        <v>-0.400000000000034</v>
      </c>
      <c r="BH626" s="19" t="str">
        <f aca="false">IF(BG626=0,"",IF(BG626&lt;&gt;BA626,"erreur de calcul",IF(BD626&lt;&gt;0,"pas de prix",IF(M626&lt;&gt; 0,"pas de quantité","pas de prix, ni de quantité"))))</f>
        <v>erreur de calcul</v>
      </c>
      <c r="BI626" s="19"/>
    </row>
    <row r="627" customFormat="false" ht="16" hidden="false" customHeight="false" outlineLevel="0" collapsed="false">
      <c r="A627" s="0" t="n">
        <v>28</v>
      </c>
      <c r="B627" s="8" t="s">
        <v>24</v>
      </c>
      <c r="C627" s="9" t="s">
        <v>25</v>
      </c>
      <c r="D627" s="9" t="s">
        <v>26</v>
      </c>
      <c r="E627" s="10" t="n">
        <v>1789</v>
      </c>
      <c r="F627" s="9" t="s">
        <v>27</v>
      </c>
      <c r="G627" s="9" t="s">
        <v>27</v>
      </c>
      <c r="H627" s="11" t="n">
        <v>25</v>
      </c>
      <c r="I627" s="11" t="s">
        <v>357</v>
      </c>
      <c r="J627" s="14" t="n">
        <v>30</v>
      </c>
      <c r="K627" s="14"/>
      <c r="L627" s="16"/>
      <c r="M627" s="27" t="n">
        <f aca="false">J627+(K627/20)+(L627/240)</f>
        <v>30</v>
      </c>
      <c r="N627" s="17" t="s">
        <v>64</v>
      </c>
      <c r="O627" s="11"/>
      <c r="P627" s="28"/>
      <c r="Q627" s="28" t="n">
        <f aca="false">P627*$M627</f>
        <v>0</v>
      </c>
      <c r="R627" s="28"/>
      <c r="S627" s="28" t="n">
        <f aca="false">R627*$M627</f>
        <v>0</v>
      </c>
      <c r="T627" s="28" t="n">
        <f aca="false">8903/100</f>
        <v>89.03</v>
      </c>
      <c r="U627" s="28" t="n">
        <v>2671</v>
      </c>
      <c r="V627" s="28" t="n">
        <f aca="false">2591/100</f>
        <v>25.91</v>
      </c>
      <c r="W627" s="28" t="n">
        <v>777</v>
      </c>
      <c r="X627" s="28"/>
      <c r="Y627" s="28" t="n">
        <f aca="false">X627*$M627</f>
        <v>0</v>
      </c>
      <c r="Z627" s="28" t="n">
        <f aca="false">17041/100</f>
        <v>170.41</v>
      </c>
      <c r="AA627" s="28" t="n">
        <v>5112</v>
      </c>
      <c r="AB627" s="28" t="n">
        <f aca="false">42963/100</f>
        <v>429.63</v>
      </c>
      <c r="AC627" s="28" t="n">
        <v>12889</v>
      </c>
      <c r="AD627" s="28"/>
      <c r="AE627" s="28" t="n">
        <f aca="false">AD627*$M627</f>
        <v>0</v>
      </c>
      <c r="AF627" s="28" t="n">
        <f aca="false">138369/100</f>
        <v>1383.69</v>
      </c>
      <c r="AG627" s="28" t="n">
        <v>41511</v>
      </c>
      <c r="AH627" s="28"/>
      <c r="AI627" s="28" t="n">
        <f aca="false">AH627*$M627</f>
        <v>0</v>
      </c>
      <c r="AJ627" s="28"/>
      <c r="AK627" s="28" t="n">
        <f aca="false">AJ627*$M627</f>
        <v>0</v>
      </c>
      <c r="AL627" s="28"/>
      <c r="AM627" s="28" t="n">
        <f aca="false">AL627*$M627</f>
        <v>0</v>
      </c>
      <c r="AN627" s="28"/>
      <c r="AO627" s="28" t="n">
        <f aca="false">AN627*$M627</f>
        <v>0</v>
      </c>
      <c r="AP627" s="28"/>
      <c r="AQ627" s="28" t="n">
        <f aca="false">AP627*$M627</f>
        <v>0</v>
      </c>
      <c r="AR627" s="28"/>
      <c r="AS627" s="28" t="n">
        <f aca="false">AR627*$M627</f>
        <v>0</v>
      </c>
      <c r="AT627" s="28"/>
      <c r="AU627" s="28" t="n">
        <f aca="false">AT627*$M627</f>
        <v>0</v>
      </c>
      <c r="AV627" s="28"/>
      <c r="AW627" s="28" t="n">
        <f aca="false">AV627*$M627</f>
        <v>0</v>
      </c>
      <c r="AX627" s="28"/>
      <c r="AY627" s="28" t="n">
        <f aca="false">AX627*$M627</f>
        <v>0</v>
      </c>
      <c r="AZ627" s="30" t="n">
        <f aca="false">209867/100</f>
        <v>2098.67</v>
      </c>
      <c r="BA627" s="11" t="n">
        <v>62960</v>
      </c>
      <c r="BB627" s="31" t="n">
        <f aca="false">SUM(Q627,S627,U627,W627,Y627,AA627,AC627,AE627,AG627,AI627,AK627,AM627,AO627,AQ627,AS627,AU627,AW627,AY627)</f>
        <v>62960</v>
      </c>
      <c r="BC627" s="28" t="n">
        <f aca="false">BA627-BB627</f>
        <v>0</v>
      </c>
      <c r="BD627" s="32" t="n">
        <f aca="false">SUM(P627,R627,T627,V627,X627,Z627,AB627,AD627,AF627,AH627,AJ627,AL627,AN627,AP627,AR627,AT627,AV627,AX627)</f>
        <v>2098.67</v>
      </c>
      <c r="BE627" s="33" t="n">
        <f aca="false">AZ627-BD627</f>
        <v>0</v>
      </c>
      <c r="BF627" s="34" t="n">
        <f aca="false">BD627*M627</f>
        <v>62960.1</v>
      </c>
      <c r="BG627" s="35" t="n">
        <f aca="false">BA627-BF627</f>
        <v>-0.100000000005821</v>
      </c>
      <c r="BH627" s="19" t="str">
        <f aca="false">IF(BG627=0,"",IF(BG627&lt;&gt;BA627,"erreur de calcul",IF(BD627&lt;&gt;0,"pas de prix",IF(M627&lt;&gt; 0,"pas de quantité","pas de prix, ni de quantité"))))</f>
        <v>erreur de calcul</v>
      </c>
      <c r="BI627" s="19"/>
    </row>
    <row r="628" customFormat="false" ht="16" hidden="false" customHeight="false" outlineLevel="0" collapsed="false">
      <c r="A628" s="0" t="n">
        <v>29</v>
      </c>
      <c r="B628" s="8" t="s">
        <v>24</v>
      </c>
      <c r="C628" s="9" t="s">
        <v>25</v>
      </c>
      <c r="D628" s="9" t="s">
        <v>26</v>
      </c>
      <c r="E628" s="10" t="n">
        <v>1789</v>
      </c>
      <c r="F628" s="9" t="s">
        <v>27</v>
      </c>
      <c r="G628" s="9" t="s">
        <v>27</v>
      </c>
      <c r="H628" s="11" t="n">
        <v>25</v>
      </c>
      <c r="I628" s="11" t="s">
        <v>358</v>
      </c>
      <c r="J628" s="14" t="n">
        <v>35</v>
      </c>
      <c r="K628" s="14"/>
      <c r="L628" s="16"/>
      <c r="M628" s="27" t="n">
        <f aca="false">J628+(K628/20)+(L628/240)</f>
        <v>35</v>
      </c>
      <c r="N628" s="17" t="s">
        <v>64</v>
      </c>
      <c r="O628" s="11"/>
      <c r="P628" s="28"/>
      <c r="Q628" s="28" t="n">
        <f aca="false">P628*$M628</f>
        <v>0</v>
      </c>
      <c r="R628" s="28"/>
      <c r="S628" s="28" t="n">
        <f aca="false">R628*$M628</f>
        <v>0</v>
      </c>
      <c r="T628" s="28" t="n">
        <f aca="false">62095/100</f>
        <v>620.95</v>
      </c>
      <c r="U628" s="28" t="n">
        <v>21733</v>
      </c>
      <c r="V628" s="28" t="n">
        <f aca="false">257918/100</f>
        <v>2579.18</v>
      </c>
      <c r="W628" s="28" t="n">
        <v>90271</v>
      </c>
      <c r="X628" s="28" t="n">
        <f aca="false">10723/100</f>
        <v>107.23</v>
      </c>
      <c r="Y628" s="28" t="n">
        <v>3753</v>
      </c>
      <c r="Z628" s="28" t="n">
        <f aca="false">21191/100</f>
        <v>211.91</v>
      </c>
      <c r="AA628" s="28" t="n">
        <v>7417</v>
      </c>
      <c r="AB628" s="28" t="n">
        <f aca="false">308781/100</f>
        <v>3087.81</v>
      </c>
      <c r="AC628" s="28" t="n">
        <v>108073</v>
      </c>
      <c r="AD628" s="28"/>
      <c r="AE628" s="28" t="n">
        <f aca="false">AD628*$M628</f>
        <v>0</v>
      </c>
      <c r="AF628" s="28" t="n">
        <f aca="false">5225/100</f>
        <v>52.25</v>
      </c>
      <c r="AG628" s="28" t="n">
        <v>1829</v>
      </c>
      <c r="AH628" s="28"/>
      <c r="AI628" s="28" t="n">
        <f aca="false">AH628*$M628</f>
        <v>0</v>
      </c>
      <c r="AJ628" s="28"/>
      <c r="AK628" s="28" t="n">
        <f aca="false">AJ628*$M628</f>
        <v>0</v>
      </c>
      <c r="AL628" s="28"/>
      <c r="AM628" s="28" t="n">
        <f aca="false">AL628*$M628</f>
        <v>0</v>
      </c>
      <c r="AN628" s="28"/>
      <c r="AO628" s="28" t="n">
        <f aca="false">AN628*$M628</f>
        <v>0</v>
      </c>
      <c r="AP628" s="28"/>
      <c r="AQ628" s="28" t="n">
        <f aca="false">AP628*$M628</f>
        <v>0</v>
      </c>
      <c r="AR628" s="28"/>
      <c r="AS628" s="28" t="n">
        <f aca="false">AR628*$M628</f>
        <v>0</v>
      </c>
      <c r="AT628" s="28"/>
      <c r="AU628" s="28" t="n">
        <f aca="false">AT628*$M628</f>
        <v>0</v>
      </c>
      <c r="AV628" s="28"/>
      <c r="AW628" s="28" t="n">
        <f aca="false">AV628*$M628</f>
        <v>0</v>
      </c>
      <c r="AX628" s="28"/>
      <c r="AY628" s="28" t="n">
        <f aca="false">AX628*$M628</f>
        <v>0</v>
      </c>
      <c r="AZ628" s="30" t="n">
        <f aca="false">665933/100</f>
        <v>6659.33</v>
      </c>
      <c r="BA628" s="11" t="n">
        <v>233076</v>
      </c>
      <c r="BB628" s="31" t="n">
        <f aca="false">SUM(Q628,S628,U628,W628,Y628,AA628,AC628,AE628,AG628,AI628,AK628,AM628,AO628,AQ628,AS628,AU628,AW628,AY628)</f>
        <v>233076</v>
      </c>
      <c r="BC628" s="28" t="n">
        <f aca="false">BA628-BB628</f>
        <v>0</v>
      </c>
      <c r="BD628" s="32" t="n">
        <f aca="false">SUM(P628,R628,T628,V628,X628,Z628,AB628,AD628,AF628,AH628,AJ628,AL628,AN628,AP628,AR628,AT628,AV628,AX628)</f>
        <v>6659.33</v>
      </c>
      <c r="BE628" s="33" t="n">
        <f aca="false">AZ628-BD628</f>
        <v>0</v>
      </c>
      <c r="BF628" s="34" t="n">
        <f aca="false">BD628*M628</f>
        <v>233076.55</v>
      </c>
      <c r="BG628" s="35" t="n">
        <f aca="false">BA628-BF628</f>
        <v>-0.549999999988359</v>
      </c>
      <c r="BH628" s="19" t="str">
        <f aca="false">IF(BG628=0,"",IF(BG628&lt;&gt;BA628,"erreur de calcul",IF(BD628&lt;&gt;0,"pas de prix",IF(M628&lt;&gt; 0,"pas de quantité","pas de prix, ni de quantité"))))</f>
        <v>erreur de calcul</v>
      </c>
      <c r="BI628" s="19"/>
    </row>
    <row r="629" customFormat="false" ht="16" hidden="false" customHeight="false" outlineLevel="0" collapsed="false">
      <c r="A629" s="0" t="n">
        <v>30</v>
      </c>
      <c r="B629" s="8" t="s">
        <v>24</v>
      </c>
      <c r="C629" s="9" t="s">
        <v>25</v>
      </c>
      <c r="D629" s="9" t="s">
        <v>26</v>
      </c>
      <c r="E629" s="10" t="n">
        <v>1789</v>
      </c>
      <c r="F629" s="9" t="s">
        <v>27</v>
      </c>
      <c r="G629" s="9" t="s">
        <v>27</v>
      </c>
      <c r="H629" s="11" t="n">
        <v>25</v>
      </c>
      <c r="I629" s="11" t="s">
        <v>359</v>
      </c>
      <c r="J629" s="14"/>
      <c r="K629" s="14"/>
      <c r="L629" s="16"/>
      <c r="M629" s="27" t="n">
        <f aca="false">J629+(K629/20)+(L629/240)</f>
        <v>0</v>
      </c>
      <c r="N629" s="17"/>
      <c r="O629" s="11" t="s">
        <v>109</v>
      </c>
      <c r="P629" s="28"/>
      <c r="Q629" s="28" t="n">
        <f aca="false">P629*$M629</f>
        <v>0</v>
      </c>
      <c r="R629" s="28"/>
      <c r="S629" s="28" t="n">
        <f aca="false">R629*$M629</f>
        <v>0</v>
      </c>
      <c r="T629" s="28"/>
      <c r="U629" s="28" t="n">
        <f aca="false">T629*$M629</f>
        <v>0</v>
      </c>
      <c r="V629" s="28"/>
      <c r="W629" s="28" t="n">
        <f aca="false">V629*$M629</f>
        <v>0</v>
      </c>
      <c r="X629" s="28"/>
      <c r="Y629" s="28" t="n">
        <f aca="false">X629*$M629</f>
        <v>0</v>
      </c>
      <c r="Z629" s="28"/>
      <c r="AA629" s="28" t="n">
        <f aca="false">Z629*$M629</f>
        <v>0</v>
      </c>
      <c r="AB629" s="28"/>
      <c r="AC629" s="28" t="n">
        <f aca="false">AB629*$M629</f>
        <v>0</v>
      </c>
      <c r="AD629" s="28"/>
      <c r="AE629" s="28" t="n">
        <f aca="false">AD629*$M629</f>
        <v>0</v>
      </c>
      <c r="AF629" s="28"/>
      <c r="AG629" s="28" t="n">
        <f aca="false">AF629*$M629</f>
        <v>0</v>
      </c>
      <c r="AH629" s="28"/>
      <c r="AI629" s="28" t="n">
        <f aca="false">AH629*$M629</f>
        <v>0</v>
      </c>
      <c r="AJ629" s="28"/>
      <c r="AK629" s="28" t="n">
        <f aca="false">AJ629*$M629</f>
        <v>0</v>
      </c>
      <c r="AL629" s="28"/>
      <c r="AM629" s="28" t="n">
        <f aca="false">AL629*$M629</f>
        <v>0</v>
      </c>
      <c r="AN629" s="28"/>
      <c r="AO629" s="28" t="n">
        <f aca="false">AN629*$M629</f>
        <v>0</v>
      </c>
      <c r="AP629" s="28"/>
      <c r="AQ629" s="28" t="n">
        <f aca="false">AP629*$M629</f>
        <v>0</v>
      </c>
      <c r="AR629" s="28"/>
      <c r="AS629" s="28" t="n">
        <f aca="false">AR629*$M629</f>
        <v>0</v>
      </c>
      <c r="AT629" s="28"/>
      <c r="AU629" s="28" t="n">
        <f aca="false">AT629*$M629</f>
        <v>0</v>
      </c>
      <c r="AV629" s="28"/>
      <c r="AW629" s="28" t="n">
        <f aca="false">AV629*$M629</f>
        <v>0</v>
      </c>
      <c r="AX629" s="28"/>
      <c r="AY629" s="28" t="n">
        <f aca="false">AX629*$M629</f>
        <v>0</v>
      </c>
      <c r="AZ629" s="30"/>
      <c r="BA629" s="11"/>
      <c r="BB629" s="31" t="n">
        <f aca="false">SUM(Q629,S629,U629,W629,Y629,AA629,AC629,AE629,AG629,AI629,AK629,AM629,AO629,AQ629,AS629,AU629,AW629,AY629)</f>
        <v>0</v>
      </c>
      <c r="BC629" s="28" t="n">
        <f aca="false">BA629-BB629</f>
        <v>0</v>
      </c>
      <c r="BD629" s="32" t="n">
        <f aca="false">SUM(P629,R629,T629,V629,X629,Z629,AB629,AD629,AF629,AH629,AJ629,AL629,AN629,AP629,AR629,AT629,AV629,AX629)</f>
        <v>0</v>
      </c>
      <c r="BE629" s="33" t="n">
        <f aca="false">AZ629-BD629</f>
        <v>0</v>
      </c>
      <c r="BF629" s="34" t="n">
        <f aca="false">BD629*M629</f>
        <v>0</v>
      </c>
      <c r="BG629" s="35" t="n">
        <f aca="false">BA629-BF629</f>
        <v>0</v>
      </c>
      <c r="BH629" s="19" t="str">
        <f aca="false">IF(BG629=0,"",IF(BG629&lt;&gt;BA629,"erreur de calcul",IF(BD629&lt;&gt;0,"pas de prix",IF(M629&lt;&gt; 0,"pas de quantité","pas de prix, ni de quantité"))))</f>
        <v/>
      </c>
      <c r="BI629" s="19"/>
    </row>
    <row r="630" customFormat="false" ht="16" hidden="false" customHeight="false" outlineLevel="0" collapsed="false">
      <c r="A630" s="0" t="n">
        <v>31</v>
      </c>
      <c r="B630" s="8" t="s">
        <v>24</v>
      </c>
      <c r="C630" s="9" t="s">
        <v>25</v>
      </c>
      <c r="D630" s="9" t="s">
        <v>26</v>
      </c>
      <c r="E630" s="10" t="n">
        <v>1789</v>
      </c>
      <c r="F630" s="9" t="s">
        <v>27</v>
      </c>
      <c r="G630" s="9" t="s">
        <v>27</v>
      </c>
      <c r="H630" s="11" t="n">
        <v>25</v>
      </c>
      <c r="I630" s="11" t="s">
        <v>359</v>
      </c>
      <c r="J630" s="14"/>
      <c r="K630" s="14"/>
      <c r="L630" s="16"/>
      <c r="M630" s="27" t="n">
        <f aca="false">J630+(K630/20)+(L630/240)</f>
        <v>0</v>
      </c>
      <c r="N630" s="17"/>
      <c r="O630" s="11" t="s">
        <v>277</v>
      </c>
      <c r="P630" s="28"/>
      <c r="Q630" s="28" t="n">
        <f aca="false">P630*$M630</f>
        <v>0</v>
      </c>
      <c r="R630" s="28"/>
      <c r="S630" s="28" t="n">
        <f aca="false">R630*$M630</f>
        <v>0</v>
      </c>
      <c r="T630" s="28"/>
      <c r="U630" s="28" t="n">
        <f aca="false">T630*$M630</f>
        <v>0</v>
      </c>
      <c r="V630" s="28"/>
      <c r="W630" s="28" t="n">
        <f aca="false">V630*$M630</f>
        <v>0</v>
      </c>
      <c r="X630" s="28"/>
      <c r="Y630" s="28" t="n">
        <v>1361</v>
      </c>
      <c r="Z630" s="28"/>
      <c r="AA630" s="28" t="n">
        <f aca="false">Z630*$M630</f>
        <v>0</v>
      </c>
      <c r="AB630" s="28"/>
      <c r="AC630" s="28" t="n">
        <v>1182</v>
      </c>
      <c r="AD630" s="28"/>
      <c r="AE630" s="28" t="n">
        <v>649</v>
      </c>
      <c r="AF630" s="28"/>
      <c r="AG630" s="28" t="n">
        <f aca="false">AF630*$M630</f>
        <v>0</v>
      </c>
      <c r="AH630" s="28"/>
      <c r="AI630" s="28" t="n">
        <v>862</v>
      </c>
      <c r="AJ630" s="28"/>
      <c r="AK630" s="28" t="n">
        <f aca="false">AJ630*$M630</f>
        <v>0</v>
      </c>
      <c r="AL630" s="28"/>
      <c r="AM630" s="28" t="n">
        <f aca="false">AL630*$M630</f>
        <v>0</v>
      </c>
      <c r="AN630" s="28"/>
      <c r="AO630" s="28" t="n">
        <f aca="false">AN630*$M630</f>
        <v>0</v>
      </c>
      <c r="AP630" s="28"/>
      <c r="AQ630" s="28" t="n">
        <f aca="false">AP630*$M630</f>
        <v>0</v>
      </c>
      <c r="AR630" s="28"/>
      <c r="AS630" s="28" t="n">
        <f aca="false">AR630*$M630</f>
        <v>0</v>
      </c>
      <c r="AT630" s="28"/>
      <c r="AU630" s="28" t="n">
        <f aca="false">AT630*$M630</f>
        <v>0</v>
      </c>
      <c r="AV630" s="28"/>
      <c r="AW630" s="28" t="n">
        <f aca="false">AV630*$M630</f>
        <v>0</v>
      </c>
      <c r="AX630" s="28"/>
      <c r="AY630" s="28" t="n">
        <f aca="false">AX630*$M630</f>
        <v>0</v>
      </c>
      <c r="AZ630" s="30"/>
      <c r="BA630" s="11" t="n">
        <v>4054</v>
      </c>
      <c r="BB630" s="31" t="n">
        <f aca="false">SUM(Q630,S630,U630,W630,Y630,AA630,AC630,AE630,AG630,AI630,AK630,AM630,AO630,AQ630,AS630,AU630,AW630,AY630)</f>
        <v>4054</v>
      </c>
      <c r="BC630" s="28" t="n">
        <f aca="false">BA630-BB630</f>
        <v>0</v>
      </c>
      <c r="BD630" s="32" t="n">
        <f aca="false">SUM(P630,R630,T630,V630,X630,Z630,AB630,AD630,AF630,AH630,AJ630,AL630,AN630,AP630,AR630,AT630,AV630,AX630)</f>
        <v>0</v>
      </c>
      <c r="BE630" s="33" t="n">
        <f aca="false">AZ630-BD630</f>
        <v>0</v>
      </c>
      <c r="BF630" s="34" t="n">
        <f aca="false">BD630*M630</f>
        <v>0</v>
      </c>
      <c r="BG630" s="35" t="n">
        <f aca="false">BA630-BF630</f>
        <v>4054</v>
      </c>
      <c r="BH630" s="19" t="str">
        <f aca="false">IF(BG630=0,"",IF(BG630&lt;&gt;BA630,"erreur de calcul",IF(BD630&lt;&gt;0,"pas de prix",IF(M630&lt;&gt; 0,"pas de quantité","pas de prix, ni de quantité"))))</f>
        <v>pas de prix, ni de quantité</v>
      </c>
      <c r="BI630" s="19"/>
    </row>
    <row r="631" customFormat="false" ht="16" hidden="false" customHeight="false" outlineLevel="0" collapsed="false">
      <c r="A631" s="0" t="n">
        <v>32</v>
      </c>
      <c r="B631" s="8" t="s">
        <v>24</v>
      </c>
      <c r="C631" s="9" t="s">
        <v>25</v>
      </c>
      <c r="D631" s="9" t="s">
        <v>26</v>
      </c>
      <c r="E631" s="10" t="n">
        <v>1789</v>
      </c>
      <c r="F631" s="9" t="s">
        <v>27</v>
      </c>
      <c r="G631" s="9" t="s">
        <v>27</v>
      </c>
      <c r="H631" s="11" t="n">
        <v>25</v>
      </c>
      <c r="I631" s="11" t="s">
        <v>360</v>
      </c>
      <c r="J631" s="14" t="n">
        <v>66</v>
      </c>
      <c r="K631" s="14"/>
      <c r="L631" s="16"/>
      <c r="M631" s="27" t="n">
        <f aca="false">J631+(K631/20)+(L631/240)</f>
        <v>66</v>
      </c>
      <c r="N631" s="17" t="s">
        <v>64</v>
      </c>
      <c r="O631" s="11"/>
      <c r="P631" s="28"/>
      <c r="Q631" s="28" t="n">
        <f aca="false">P631*$M631</f>
        <v>0</v>
      </c>
      <c r="R631" s="28"/>
      <c r="S631" s="28" t="n">
        <f aca="false">R631*$M631</f>
        <v>0</v>
      </c>
      <c r="T631" s="28"/>
      <c r="U631" s="28" t="n">
        <f aca="false">T631*$M631</f>
        <v>0</v>
      </c>
      <c r="V631" s="28"/>
      <c r="W631" s="28" t="n">
        <f aca="false">V631*$M631</f>
        <v>0</v>
      </c>
      <c r="X631" s="28"/>
      <c r="Y631" s="28" t="n">
        <f aca="false">X631*$M631</f>
        <v>0</v>
      </c>
      <c r="Z631" s="28"/>
      <c r="AA631" s="28" t="n">
        <f aca="false">Z631*$M631</f>
        <v>0</v>
      </c>
      <c r="AB631" s="28"/>
      <c r="AC631" s="28" t="n">
        <f aca="false">AB631*$M631</f>
        <v>0</v>
      </c>
      <c r="AD631" s="28"/>
      <c r="AE631" s="28" t="n">
        <f aca="false">AD631*$M631</f>
        <v>0</v>
      </c>
      <c r="AF631" s="28"/>
      <c r="AG631" s="28" t="n">
        <f aca="false">AF631*$M631</f>
        <v>0</v>
      </c>
      <c r="AH631" s="28" t="n">
        <f aca="false">75475/100</f>
        <v>754.75</v>
      </c>
      <c r="AI631" s="28" t="n">
        <v>49813</v>
      </c>
      <c r="AJ631" s="28"/>
      <c r="AK631" s="28" t="n">
        <f aca="false">AJ631*$M631</f>
        <v>0</v>
      </c>
      <c r="AL631" s="28"/>
      <c r="AM631" s="28" t="n">
        <f aca="false">AL631*$M631</f>
        <v>0</v>
      </c>
      <c r="AN631" s="28"/>
      <c r="AO631" s="28" t="n">
        <f aca="false">AN631*$M631</f>
        <v>0</v>
      </c>
      <c r="AP631" s="28"/>
      <c r="AQ631" s="28" t="n">
        <f aca="false">AP631*$M631</f>
        <v>0</v>
      </c>
      <c r="AR631" s="28"/>
      <c r="AS631" s="28" t="n">
        <f aca="false">AR631*$M631</f>
        <v>0</v>
      </c>
      <c r="AT631" s="28"/>
      <c r="AU631" s="28" t="n">
        <f aca="false">AT631*$M631</f>
        <v>0</v>
      </c>
      <c r="AV631" s="28"/>
      <c r="AW631" s="28" t="n">
        <f aca="false">AV631*$M631</f>
        <v>0</v>
      </c>
      <c r="AX631" s="28"/>
      <c r="AY631" s="28" t="n">
        <f aca="false">AX631*$M631</f>
        <v>0</v>
      </c>
      <c r="AZ631" s="30" t="n">
        <f aca="false">75475/100</f>
        <v>754.75</v>
      </c>
      <c r="BA631" s="11" t="n">
        <v>49813</v>
      </c>
      <c r="BB631" s="31" t="n">
        <f aca="false">SUM(Q631,S631,U631,W631,Y631,AA631,AC631,AE631,AG631,AI631,AK631,AM631,AO631,AQ631,AS631,AU631,AW631,AY631)</f>
        <v>49813</v>
      </c>
      <c r="BC631" s="28" t="n">
        <f aca="false">BA631-BB631</f>
        <v>0</v>
      </c>
      <c r="BD631" s="32" t="n">
        <f aca="false">SUM(P631,R631,T631,V631,X631,Z631,AB631,AD631,AF631,AH631,AJ631,AL631,AN631,AP631,AR631,AT631,AV631,AX631)</f>
        <v>754.75</v>
      </c>
      <c r="BE631" s="33" t="n">
        <f aca="false">AZ631-BD631</f>
        <v>0</v>
      </c>
      <c r="BF631" s="34" t="n">
        <f aca="false">BD631*M631</f>
        <v>49813.5</v>
      </c>
      <c r="BG631" s="35" t="n">
        <f aca="false">BA631-BF631</f>
        <v>-0.5</v>
      </c>
      <c r="BH631" s="19" t="str">
        <f aca="false">IF(BG631=0,"",IF(BG631&lt;&gt;BA631,"erreur de calcul",IF(BD631&lt;&gt;0,"pas de prix",IF(M631&lt;&gt; 0,"pas de quantité","pas de prix, ni de quantité"))))</f>
        <v>erreur de calcul</v>
      </c>
      <c r="BI631" s="19"/>
    </row>
    <row r="632" customFormat="false" ht="16" hidden="false" customHeight="false" outlineLevel="0" collapsed="false">
      <c r="A632" s="0" t="n">
        <v>33</v>
      </c>
      <c r="B632" s="8" t="s">
        <v>24</v>
      </c>
      <c r="C632" s="9" t="s">
        <v>25</v>
      </c>
      <c r="D632" s="9" t="s">
        <v>26</v>
      </c>
      <c r="E632" s="10" t="n">
        <v>1789</v>
      </c>
      <c r="F632" s="9" t="s">
        <v>27</v>
      </c>
      <c r="G632" s="9" t="s">
        <v>27</v>
      </c>
      <c r="H632" s="11" t="n">
        <v>25</v>
      </c>
      <c r="I632" s="11" t="s">
        <v>361</v>
      </c>
      <c r="J632" s="14" t="n">
        <v>175</v>
      </c>
      <c r="K632" s="14"/>
      <c r="L632" s="16"/>
      <c r="M632" s="27" t="n">
        <f aca="false">J632+(K632/20)+(L632/240)</f>
        <v>175</v>
      </c>
      <c r="N632" s="17" t="s">
        <v>64</v>
      </c>
      <c r="O632" s="11" t="s">
        <v>77</v>
      </c>
      <c r="P632" s="28" t="n">
        <f aca="false">1514/100</f>
        <v>15.14</v>
      </c>
      <c r="Q632" s="28" t="n">
        <v>2649</v>
      </c>
      <c r="R632" s="28"/>
      <c r="S632" s="28" t="n">
        <f aca="false">R632*$M632</f>
        <v>0</v>
      </c>
      <c r="T632" s="28" t="n">
        <f aca="false">170926/100</f>
        <v>1709.26</v>
      </c>
      <c r="U632" s="28" t="n">
        <v>299120</v>
      </c>
      <c r="V632" s="28" t="n">
        <f aca="false">16985/100</f>
        <v>169.85</v>
      </c>
      <c r="W632" s="28" t="n">
        <v>29724</v>
      </c>
      <c r="X632" s="28" t="n">
        <f aca="false">4530/100</f>
        <v>45.3</v>
      </c>
      <c r="Y632" s="28" t="n">
        <v>7927</v>
      </c>
      <c r="Z632" s="28"/>
      <c r="AA632" s="28" t="n">
        <f aca="false">Z632*$M632</f>
        <v>0</v>
      </c>
      <c r="AB632" s="28" t="n">
        <f aca="false">33770/100</f>
        <v>337.7</v>
      </c>
      <c r="AC632" s="28" t="n">
        <v>59097</v>
      </c>
      <c r="AD632" s="28"/>
      <c r="AE632" s="28" t="n">
        <f aca="false">AD632*$M632</f>
        <v>0</v>
      </c>
      <c r="AF632" s="28" t="n">
        <f aca="false">4712/100</f>
        <v>47.12</v>
      </c>
      <c r="AG632" s="28" t="n">
        <v>8246</v>
      </c>
      <c r="AH632" s="28" t="n">
        <f aca="false">55822/100</f>
        <v>558.22</v>
      </c>
      <c r="AI632" s="28" t="n">
        <v>97688</v>
      </c>
      <c r="AJ632" s="28"/>
      <c r="AK632" s="28" t="n">
        <f aca="false">AJ632*$M632</f>
        <v>0</v>
      </c>
      <c r="AL632" s="28"/>
      <c r="AM632" s="28" t="n">
        <f aca="false">AL632*$M632</f>
        <v>0</v>
      </c>
      <c r="AN632" s="28"/>
      <c r="AO632" s="28" t="n">
        <f aca="false">AN632*$M632</f>
        <v>0</v>
      </c>
      <c r="AP632" s="28"/>
      <c r="AQ632" s="28" t="n">
        <f aca="false">AP632*$M632</f>
        <v>0</v>
      </c>
      <c r="AR632" s="28"/>
      <c r="AS632" s="28" t="n">
        <f aca="false">AR632*$M632</f>
        <v>0</v>
      </c>
      <c r="AT632" s="28"/>
      <c r="AU632" s="28" t="n">
        <f aca="false">AT632*$M632</f>
        <v>0</v>
      </c>
      <c r="AV632" s="28"/>
      <c r="AW632" s="28" t="n">
        <f aca="false">AV632*$M632</f>
        <v>0</v>
      </c>
      <c r="AX632" s="28"/>
      <c r="AY632" s="28" t="n">
        <f aca="false">AX632*$M632</f>
        <v>0</v>
      </c>
      <c r="AZ632" s="30" t="n">
        <f aca="false">288259/100</f>
        <v>2882.59</v>
      </c>
      <c r="BA632" s="11" t="n">
        <v>504451</v>
      </c>
      <c r="BB632" s="31" t="n">
        <f aca="false">SUM(Q632,S632,U632,W632,Y632,AA632,AC632,AE632,AG632,AI632,AK632,AM632,AO632,AQ632,AS632,AU632,AW632,AY632)</f>
        <v>504451</v>
      </c>
      <c r="BC632" s="28" t="n">
        <f aca="false">BA632-BB632</f>
        <v>0</v>
      </c>
      <c r="BD632" s="32" t="n">
        <f aca="false">SUM(P632,R632,T632,V632,X632,Z632,AB632,AD632,AF632,AH632,AJ632,AL632,AN632,AP632,AR632,AT632,AV632,AX632)</f>
        <v>2882.59</v>
      </c>
      <c r="BE632" s="33" t="n">
        <f aca="false">AZ632-BD632</f>
        <v>0</v>
      </c>
      <c r="BF632" s="34" t="n">
        <f aca="false">BD632*M632</f>
        <v>504453.25</v>
      </c>
      <c r="BG632" s="35" t="n">
        <f aca="false">BA632-BF632</f>
        <v>-2.25</v>
      </c>
      <c r="BH632" s="19" t="str">
        <f aca="false">IF(BG632=0,"",IF(BG632&lt;&gt;BA632,"erreur de calcul",IF(BD632&lt;&gt;0,"pas de prix",IF(M632&lt;&gt; 0,"pas de quantité","pas de prix, ni de quantité"))))</f>
        <v>erreur de calcul</v>
      </c>
      <c r="BI632" s="19"/>
    </row>
    <row r="633" customFormat="false" ht="16" hidden="false" customHeight="false" outlineLevel="0" collapsed="false">
      <c r="A633" s="0" t="n">
        <v>34</v>
      </c>
      <c r="B633" s="8" t="s">
        <v>24</v>
      </c>
      <c r="C633" s="9" t="s">
        <v>25</v>
      </c>
      <c r="D633" s="9" t="s">
        <v>26</v>
      </c>
      <c r="E633" s="10" t="n">
        <v>1789</v>
      </c>
      <c r="F633" s="9" t="s">
        <v>27</v>
      </c>
      <c r="G633" s="9" t="s">
        <v>27</v>
      </c>
      <c r="H633" s="11" t="n">
        <v>25</v>
      </c>
      <c r="I633" s="11" t="s">
        <v>362</v>
      </c>
      <c r="J633" s="14" t="n">
        <v>150</v>
      </c>
      <c r="K633" s="14"/>
      <c r="L633" s="16"/>
      <c r="M633" s="27" t="n">
        <f aca="false">J633+(K633/20)+(L633/240)</f>
        <v>150</v>
      </c>
      <c r="N633" s="17" t="s">
        <v>64</v>
      </c>
      <c r="O633" s="11"/>
      <c r="P633" s="28"/>
      <c r="Q633" s="28" t="n">
        <f aca="false">P633*$M633</f>
        <v>0</v>
      </c>
      <c r="R633" s="28"/>
      <c r="S633" s="28" t="n">
        <f aca="false">R633*$M633</f>
        <v>0</v>
      </c>
      <c r="T633" s="28" t="n">
        <f aca="false">1842/100</f>
        <v>18.42</v>
      </c>
      <c r="U633" s="28" t="n">
        <v>2763</v>
      </c>
      <c r="V633" s="28" t="n">
        <f aca="false">684/100</f>
        <v>6.84</v>
      </c>
      <c r="W633" s="28" t="n">
        <v>1026</v>
      </c>
      <c r="X633" s="28"/>
      <c r="Y633" s="28" t="n">
        <f aca="false">X633*$M633</f>
        <v>0</v>
      </c>
      <c r="Z633" s="28"/>
      <c r="AA633" s="28" t="n">
        <f aca="false">Z633*$M633</f>
        <v>0</v>
      </c>
      <c r="AB633" s="28"/>
      <c r="AC633" s="28" t="n">
        <f aca="false">AB633*$M633</f>
        <v>0</v>
      </c>
      <c r="AD633" s="28"/>
      <c r="AE633" s="28" t="n">
        <f aca="false">AD633*$M633</f>
        <v>0</v>
      </c>
      <c r="AF633" s="28"/>
      <c r="AG633" s="28" t="n">
        <f aca="false">AF633*$M633</f>
        <v>0</v>
      </c>
      <c r="AH633" s="28"/>
      <c r="AI633" s="28" t="n">
        <f aca="false">AH633*$M633</f>
        <v>0</v>
      </c>
      <c r="AJ633" s="28"/>
      <c r="AK633" s="28" t="n">
        <f aca="false">AJ633*$M633</f>
        <v>0</v>
      </c>
      <c r="AL633" s="28"/>
      <c r="AM633" s="28" t="n">
        <f aca="false">AL633*$M633</f>
        <v>0</v>
      </c>
      <c r="AN633" s="28"/>
      <c r="AO633" s="28" t="n">
        <f aca="false">AN633*$M633</f>
        <v>0</v>
      </c>
      <c r="AP633" s="28"/>
      <c r="AQ633" s="28" t="n">
        <f aca="false">AP633*$M633</f>
        <v>0</v>
      </c>
      <c r="AR633" s="28"/>
      <c r="AS633" s="28" t="n">
        <f aca="false">AR633*$M633</f>
        <v>0</v>
      </c>
      <c r="AT633" s="28"/>
      <c r="AU633" s="28" t="n">
        <f aca="false">AT633*$M633</f>
        <v>0</v>
      </c>
      <c r="AV633" s="28"/>
      <c r="AW633" s="28" t="n">
        <f aca="false">AV633*$M633</f>
        <v>0</v>
      </c>
      <c r="AX633" s="28"/>
      <c r="AY633" s="28" t="n">
        <f aca="false">AX633*$M633</f>
        <v>0</v>
      </c>
      <c r="AZ633" s="30" t="n">
        <f aca="false">2526/100</f>
        <v>25.26</v>
      </c>
      <c r="BA633" s="11" t="n">
        <v>3789</v>
      </c>
      <c r="BB633" s="31" t="n">
        <f aca="false">SUM(Q633,S633,U633,W633,Y633,AA633,AC633,AE633,AG633,AI633,AK633,AM633,AO633,AQ633,AS633,AU633,AW633,AY633)</f>
        <v>3789</v>
      </c>
      <c r="BC633" s="28" t="n">
        <f aca="false">BA633-BB633</f>
        <v>0</v>
      </c>
      <c r="BD633" s="32" t="n">
        <f aca="false">SUM(P633,R633,T633,V633,X633,Z633,AB633,AD633,AF633,AH633,AJ633,AL633,AN633,AP633,AR633,AT633,AV633,AX633)</f>
        <v>25.26</v>
      </c>
      <c r="BE633" s="33" t="n">
        <f aca="false">AZ633-BD633</f>
        <v>0</v>
      </c>
      <c r="BF633" s="34" t="n">
        <f aca="false">BD633*M633</f>
        <v>3789</v>
      </c>
      <c r="BG633" s="35" t="n">
        <f aca="false">BA633-BF633</f>
        <v>0</v>
      </c>
      <c r="BH633" s="19" t="str">
        <f aca="false">IF(BG633=0,"",IF(BG633&lt;&gt;BA633,"erreur de calcul",IF(BD633&lt;&gt;0,"pas de prix",IF(M633&lt;&gt; 0,"pas de quantité","pas de prix, ni de quantité"))))</f>
        <v/>
      </c>
      <c r="BI633" s="19"/>
    </row>
    <row r="634" customFormat="false" ht="16" hidden="false" customHeight="false" outlineLevel="0" collapsed="false">
      <c r="A634" s="0" t="n">
        <v>35</v>
      </c>
      <c r="B634" s="8" t="s">
        <v>24</v>
      </c>
      <c r="C634" s="9" t="s">
        <v>25</v>
      </c>
      <c r="D634" s="9" t="s">
        <v>26</v>
      </c>
      <c r="E634" s="10" t="n">
        <v>1789</v>
      </c>
      <c r="F634" s="9" t="s">
        <v>27</v>
      </c>
      <c r="G634" s="9" t="s">
        <v>27</v>
      </c>
      <c r="H634" s="11" t="n">
        <v>25</v>
      </c>
      <c r="I634" s="11" t="s">
        <v>363</v>
      </c>
      <c r="J634" s="14" t="n">
        <v>150</v>
      </c>
      <c r="K634" s="14"/>
      <c r="L634" s="16"/>
      <c r="M634" s="27" t="n">
        <f aca="false">J634+(K634/20)+(L634/240)</f>
        <v>150</v>
      </c>
      <c r="N634" s="17" t="s">
        <v>64</v>
      </c>
      <c r="O634" s="11" t="s">
        <v>77</v>
      </c>
      <c r="P634" s="28"/>
      <c r="Q634" s="28" t="n">
        <f aca="false">P634*$M634</f>
        <v>0</v>
      </c>
      <c r="R634" s="28"/>
      <c r="S634" s="28" t="n">
        <f aca="false">R634*$M634</f>
        <v>0</v>
      </c>
      <c r="T634" s="28"/>
      <c r="U634" s="28" t="n">
        <f aca="false">T634*$M634</f>
        <v>0</v>
      </c>
      <c r="V634" s="28" t="n">
        <f aca="false">1501/100</f>
        <v>15.01</v>
      </c>
      <c r="W634" s="28" t="n">
        <v>2251</v>
      </c>
      <c r="X634" s="28"/>
      <c r="Y634" s="28" t="n">
        <f aca="false">X634*$M634</f>
        <v>0</v>
      </c>
      <c r="Z634" s="28" t="n">
        <f aca="false">6420/100</f>
        <v>64.2</v>
      </c>
      <c r="AA634" s="28" t="n">
        <v>9630</v>
      </c>
      <c r="AB634" s="28"/>
      <c r="AC634" s="28" t="n">
        <f aca="false">AB634*$M634</f>
        <v>0</v>
      </c>
      <c r="AD634" s="28"/>
      <c r="AE634" s="28" t="n">
        <f aca="false">AD634*$M634</f>
        <v>0</v>
      </c>
      <c r="AF634" s="28"/>
      <c r="AG634" s="28" t="n">
        <f aca="false">AF634*$M634</f>
        <v>0</v>
      </c>
      <c r="AH634" s="28" t="n">
        <f aca="false">138039/100</f>
        <v>1380.39</v>
      </c>
      <c r="AI634" s="28" t="n">
        <v>207058</v>
      </c>
      <c r="AJ634" s="28"/>
      <c r="AK634" s="28" t="n">
        <f aca="false">AJ634*$M634</f>
        <v>0</v>
      </c>
      <c r="AL634" s="28" t="n">
        <f aca="false">917/100</f>
        <v>9.17</v>
      </c>
      <c r="AM634" s="28" t="n">
        <v>1375</v>
      </c>
      <c r="AN634" s="28"/>
      <c r="AO634" s="28" t="n">
        <f aca="false">AN634*$M634</f>
        <v>0</v>
      </c>
      <c r="AP634" s="28"/>
      <c r="AQ634" s="28" t="n">
        <f aca="false">AP634*$M634</f>
        <v>0</v>
      </c>
      <c r="AR634" s="28"/>
      <c r="AS634" s="28" t="n">
        <f aca="false">AR634*$M634</f>
        <v>0</v>
      </c>
      <c r="AT634" s="28"/>
      <c r="AU634" s="28" t="n">
        <f aca="false">AT634*$M634</f>
        <v>0</v>
      </c>
      <c r="AV634" s="28"/>
      <c r="AW634" s="28" t="n">
        <f aca="false">AV634*$M634</f>
        <v>0</v>
      </c>
      <c r="AX634" s="28"/>
      <c r="AY634" s="28" t="n">
        <f aca="false">AX634*$M634</f>
        <v>0</v>
      </c>
      <c r="AZ634" s="30" t="n">
        <f aca="false">146877/100</f>
        <v>1468.77</v>
      </c>
      <c r="BA634" s="11" t="n">
        <v>220314</v>
      </c>
      <c r="BB634" s="31" t="n">
        <f aca="false">SUM(Q634,S634,U634,W634,Y634,AA634,AC634,AE634,AG634,AI634,AK634,AM634,AO634,AQ634,AS634,AU634,AW634,AY634)</f>
        <v>220314</v>
      </c>
      <c r="BC634" s="28" t="n">
        <f aca="false">BA634-BB634</f>
        <v>0</v>
      </c>
      <c r="BD634" s="32" t="n">
        <f aca="false">SUM(P634,R634,T634,V634,X634,Z634,AB634,AD634,AF634,AH634,AJ634,AL634,AN634,AP634,AR634,AT634,AV634,AX634)</f>
        <v>1468.77</v>
      </c>
      <c r="BE634" s="33" t="n">
        <f aca="false">AZ634-BD634</f>
        <v>0</v>
      </c>
      <c r="BF634" s="34" t="n">
        <f aca="false">BD634*M634</f>
        <v>220315.5</v>
      </c>
      <c r="BG634" s="35" t="n">
        <f aca="false">BA634-BF634</f>
        <v>-1.5000000000291</v>
      </c>
      <c r="BH634" s="19" t="str">
        <f aca="false">IF(BG634=0,"",IF(BG634&lt;&gt;BA634,"erreur de calcul",IF(BD634&lt;&gt;0,"pas de prix",IF(M634&lt;&gt; 0,"pas de quantité","pas de prix, ni de quantité"))))</f>
        <v>erreur de calcul</v>
      </c>
      <c r="BI634" s="19"/>
    </row>
    <row r="635" customFormat="false" ht="16" hidden="false" customHeight="false" outlineLevel="0" collapsed="false">
      <c r="A635" s="0" t="n">
        <v>36</v>
      </c>
      <c r="B635" s="8" t="s">
        <v>24</v>
      </c>
      <c r="C635" s="9" t="s">
        <v>25</v>
      </c>
      <c r="D635" s="9" t="s">
        <v>26</v>
      </c>
      <c r="E635" s="10" t="n">
        <v>1789</v>
      </c>
      <c r="F635" s="9" t="s">
        <v>27</v>
      </c>
      <c r="G635" s="9" t="s">
        <v>27</v>
      </c>
      <c r="H635" s="11" t="n">
        <v>25</v>
      </c>
      <c r="I635" s="11" t="s">
        <v>364</v>
      </c>
      <c r="J635" s="14" t="n">
        <v>122</v>
      </c>
      <c r="K635" s="14"/>
      <c r="L635" s="16"/>
      <c r="M635" s="27" t="n">
        <f aca="false">J635+(K635/20)+(L635/240)</f>
        <v>122</v>
      </c>
      <c r="N635" s="17" t="s">
        <v>64</v>
      </c>
      <c r="O635" s="11" t="s">
        <v>77</v>
      </c>
      <c r="P635" s="28" t="n">
        <f aca="false">2402/100</f>
        <v>24.02</v>
      </c>
      <c r="Q635" s="28" t="n">
        <v>2930</v>
      </c>
      <c r="R635" s="28"/>
      <c r="S635" s="28" t="n">
        <f aca="false">R635*$M635</f>
        <v>0</v>
      </c>
      <c r="T635" s="28" t="n">
        <f aca="false">3566/100</f>
        <v>35.66</v>
      </c>
      <c r="U635" s="36" t="n">
        <v>4550</v>
      </c>
      <c r="V635" s="28" t="n">
        <f aca="false">917/100</f>
        <v>9.17</v>
      </c>
      <c r="W635" s="28" t="n">
        <v>1119</v>
      </c>
      <c r="X635" s="28"/>
      <c r="Y635" s="28" t="n">
        <f aca="false">X635*$M635</f>
        <v>0</v>
      </c>
      <c r="Z635" s="28"/>
      <c r="AA635" s="28" t="n">
        <f aca="false">Z635*$M635</f>
        <v>0</v>
      </c>
      <c r="AB635" s="28" t="n">
        <f aca="false">28087/100</f>
        <v>280.87</v>
      </c>
      <c r="AC635" s="28" t="n">
        <v>34266</v>
      </c>
      <c r="AD635" s="28" t="n">
        <f aca="false">1505/100</f>
        <v>15.05</v>
      </c>
      <c r="AE635" s="28" t="n">
        <v>1836</v>
      </c>
      <c r="AF635" s="28"/>
      <c r="AG635" s="28" t="n">
        <f aca="false">AF635*$M635</f>
        <v>0</v>
      </c>
      <c r="AH635" s="28" t="n">
        <f aca="false">15314/100</f>
        <v>153.14</v>
      </c>
      <c r="AI635" s="28" t="n">
        <v>18683</v>
      </c>
      <c r="AJ635" s="28"/>
      <c r="AK635" s="28" t="n">
        <f aca="false">AJ635*$M635</f>
        <v>0</v>
      </c>
      <c r="AL635" s="28"/>
      <c r="AM635" s="28" t="n">
        <f aca="false">AL635*$M635</f>
        <v>0</v>
      </c>
      <c r="AN635" s="28"/>
      <c r="AO635" s="28" t="n">
        <f aca="false">AN635*$M635</f>
        <v>0</v>
      </c>
      <c r="AP635" s="28"/>
      <c r="AQ635" s="28" t="n">
        <f aca="false">AP635*$M635</f>
        <v>0</v>
      </c>
      <c r="AR635" s="28"/>
      <c r="AS635" s="28" t="n">
        <f aca="false">AR635*$M635</f>
        <v>0</v>
      </c>
      <c r="AT635" s="28"/>
      <c r="AU635" s="28" t="n">
        <f aca="false">AT635*$M635</f>
        <v>0</v>
      </c>
      <c r="AV635" s="28"/>
      <c r="AW635" s="28" t="n">
        <f aca="false">AV635*$M635</f>
        <v>0</v>
      </c>
      <c r="AX635" s="28"/>
      <c r="AY635" s="28" t="n">
        <f aca="false">AX635*$M635</f>
        <v>0</v>
      </c>
      <c r="AZ635" s="30" t="n">
        <f aca="false">51791/100</f>
        <v>517.91</v>
      </c>
      <c r="BA635" s="11" t="n">
        <v>63384</v>
      </c>
      <c r="BB635" s="31" t="n">
        <f aca="false">SUM(Q635,S635,U635,W635,Y635,AA635,AC635,AE635,AG635,AI635,AK635,AM635,AO635,AQ635,AS635,AU635,AW635,AY635)</f>
        <v>63384</v>
      </c>
      <c r="BC635" s="28" t="n">
        <f aca="false">BA635-BB635</f>
        <v>0</v>
      </c>
      <c r="BD635" s="32" t="n">
        <f aca="false">SUM(P635,R635,T635,V635,X635,Z635,AB635,AD635,AF635,AH635,AJ635,AL635,AN635,AP635,AR635,AT635,AV635,AX635)</f>
        <v>517.91</v>
      </c>
      <c r="BE635" s="33" t="n">
        <f aca="false">AZ635-BD635</f>
        <v>0</v>
      </c>
      <c r="BF635" s="34" t="n">
        <f aca="false">BD635*M635</f>
        <v>63185.02</v>
      </c>
      <c r="BG635" s="35" t="n">
        <f aca="false">BA635-BF635</f>
        <v>198.979999999989</v>
      </c>
      <c r="BH635" s="19" t="str">
        <f aca="false">IF(BG635=0,"",IF(BG635&lt;&gt;BA635,"erreur de calcul",IF(BD635&lt;&gt;0,"pas de prix",IF(M635&lt;&gt; 0,"pas de quantité","pas de prix, ni de quantité"))))</f>
        <v>erreur de calcul</v>
      </c>
      <c r="BI635" s="19"/>
    </row>
    <row r="636" customFormat="false" ht="16" hidden="false" customHeight="false" outlineLevel="0" collapsed="false">
      <c r="A636" s="0" t="n">
        <v>37</v>
      </c>
      <c r="B636" s="8" t="s">
        <v>24</v>
      </c>
      <c r="C636" s="9" t="s">
        <v>25</v>
      </c>
      <c r="D636" s="9" t="s">
        <v>26</v>
      </c>
      <c r="E636" s="10" t="n">
        <v>1789</v>
      </c>
      <c r="F636" s="9" t="s">
        <v>27</v>
      </c>
      <c r="G636" s="9" t="s">
        <v>27</v>
      </c>
      <c r="H636" s="11" t="n">
        <v>25</v>
      </c>
      <c r="I636" s="11" t="s">
        <v>365</v>
      </c>
      <c r="J636" s="14" t="n">
        <v>107</v>
      </c>
      <c r="K636" s="14"/>
      <c r="L636" s="16"/>
      <c r="M636" s="27" t="n">
        <f aca="false">J636+(K636/20)+(L636/240)</f>
        <v>107</v>
      </c>
      <c r="N636" s="17" t="s">
        <v>64</v>
      </c>
      <c r="O636" s="11" t="s">
        <v>77</v>
      </c>
      <c r="P636" s="28"/>
      <c r="Q636" s="28" t="n">
        <f aca="false">P636*$M636</f>
        <v>0</v>
      </c>
      <c r="R636" s="28"/>
      <c r="S636" s="28" t="n">
        <f aca="false">R636*$M636</f>
        <v>0</v>
      </c>
      <c r="T636" s="28" t="n">
        <f aca="false">1834/100</f>
        <v>18.34</v>
      </c>
      <c r="U636" s="28" t="n">
        <v>1962</v>
      </c>
      <c r="V636" s="28"/>
      <c r="W636" s="28" t="n">
        <f aca="false">V636*$M636</f>
        <v>0</v>
      </c>
      <c r="X636" s="28"/>
      <c r="Y636" s="28" t="n">
        <f aca="false">X636*$M636</f>
        <v>0</v>
      </c>
      <c r="Z636" s="28"/>
      <c r="AA636" s="28" t="n">
        <f aca="false">Z636*$M636</f>
        <v>0</v>
      </c>
      <c r="AB636" s="28"/>
      <c r="AC636" s="28" t="n">
        <f aca="false">AB636*$M636</f>
        <v>0</v>
      </c>
      <c r="AD636" s="28"/>
      <c r="AE636" s="28" t="n">
        <f aca="false">AD636*$M636</f>
        <v>0</v>
      </c>
      <c r="AF636" s="28" t="n">
        <f aca="false">5202/100</f>
        <v>52.02</v>
      </c>
      <c r="AG636" s="28" t="n">
        <v>5566</v>
      </c>
      <c r="AH636" s="28"/>
      <c r="AI636" s="28" t="n">
        <f aca="false">AH636*$M636</f>
        <v>0</v>
      </c>
      <c r="AJ636" s="28" t="n">
        <f aca="false">3209/100</f>
        <v>32.09</v>
      </c>
      <c r="AK636" s="28" t="n">
        <v>3434</v>
      </c>
      <c r="AL636" s="28" t="n">
        <f aca="false">80682/100</f>
        <v>806.82</v>
      </c>
      <c r="AM636" s="28" t="n">
        <v>86329</v>
      </c>
      <c r="AN636" s="28"/>
      <c r="AO636" s="28" t="n">
        <f aca="false">AN636*$M636</f>
        <v>0</v>
      </c>
      <c r="AP636" s="28"/>
      <c r="AQ636" s="28" t="n">
        <f aca="false">AP636*$M636</f>
        <v>0</v>
      </c>
      <c r="AR636" s="28"/>
      <c r="AS636" s="28" t="n">
        <f aca="false">AR636*$M636</f>
        <v>0</v>
      </c>
      <c r="AT636" s="28"/>
      <c r="AU636" s="28" t="n">
        <f aca="false">AT636*$M636</f>
        <v>0</v>
      </c>
      <c r="AV636" s="28"/>
      <c r="AW636" s="28" t="n">
        <f aca="false">AV636*$M636</f>
        <v>0</v>
      </c>
      <c r="AX636" s="28"/>
      <c r="AY636" s="28" t="n">
        <f aca="false">AX636*$M636</f>
        <v>0</v>
      </c>
      <c r="AZ636" s="30" t="n">
        <f aca="false">90927/100</f>
        <v>909.27</v>
      </c>
      <c r="BA636" s="11" t="n">
        <v>97291</v>
      </c>
      <c r="BB636" s="31" t="n">
        <f aca="false">SUM(Q636,S636,U636,W636,Y636,AA636,AC636,AE636,AG636,AI636,AK636,AM636,AO636,AQ636,AS636,AU636,AW636,AY636)</f>
        <v>97291</v>
      </c>
      <c r="BC636" s="28" t="n">
        <f aca="false">BA636-BB636</f>
        <v>0</v>
      </c>
      <c r="BD636" s="32" t="n">
        <f aca="false">SUM(P636,R636,T636,V636,X636,Z636,AB636,AD636,AF636,AH636,AJ636,AL636,AN636,AP636,AR636,AT636,AV636,AX636)</f>
        <v>909.27</v>
      </c>
      <c r="BE636" s="33" t="n">
        <f aca="false">AZ636-BD636</f>
        <v>0</v>
      </c>
      <c r="BF636" s="34" t="n">
        <f aca="false">BD636*M636</f>
        <v>97291.89</v>
      </c>
      <c r="BG636" s="35" t="n">
        <f aca="false">BA636-BF636</f>
        <v>-0.89000000001397</v>
      </c>
      <c r="BH636" s="19" t="str">
        <f aca="false">IF(BG636=0,"",IF(BG636&lt;&gt;BA636,"erreur de calcul",IF(BD636&lt;&gt;0,"pas de prix",IF(M636&lt;&gt; 0,"pas de quantité","pas de prix, ni de quantité"))))</f>
        <v>erreur de calcul</v>
      </c>
      <c r="BI636" s="19"/>
    </row>
    <row r="637" customFormat="false" ht="16" hidden="false" customHeight="false" outlineLevel="0" collapsed="false">
      <c r="A637" s="0" t="n">
        <v>38</v>
      </c>
      <c r="B637" s="8" t="s">
        <v>24</v>
      </c>
      <c r="C637" s="9" t="s">
        <v>25</v>
      </c>
      <c r="D637" s="9" t="s">
        <v>26</v>
      </c>
      <c r="E637" s="10" t="n">
        <v>1789</v>
      </c>
      <c r="F637" s="9" t="s">
        <v>27</v>
      </c>
      <c r="G637" s="9" t="s">
        <v>27</v>
      </c>
      <c r="H637" s="11" t="n">
        <v>25</v>
      </c>
      <c r="I637" s="11" t="s">
        <v>366</v>
      </c>
      <c r="J637" s="14"/>
      <c r="K637" s="14"/>
      <c r="L637" s="16"/>
      <c r="M637" s="27" t="n">
        <f aca="false">J637+(K637/20)+(L637/240)</f>
        <v>0</v>
      </c>
      <c r="N637" s="17" t="s">
        <v>66</v>
      </c>
      <c r="O637" s="11"/>
      <c r="P637" s="28"/>
      <c r="Q637" s="28" t="n">
        <f aca="false">P637*$M637</f>
        <v>0</v>
      </c>
      <c r="R637" s="28"/>
      <c r="S637" s="28" t="n">
        <f aca="false">R637*$M637</f>
        <v>0</v>
      </c>
      <c r="T637" s="28"/>
      <c r="U637" s="28" t="n">
        <f aca="false">T637*$M637</f>
        <v>0</v>
      </c>
      <c r="V637" s="28" t="n">
        <v>797</v>
      </c>
      <c r="W637" s="28" t="n">
        <v>720</v>
      </c>
      <c r="X637" s="28"/>
      <c r="Y637" s="28" t="n">
        <f aca="false">X637*$M637</f>
        <v>0</v>
      </c>
      <c r="Z637" s="28"/>
      <c r="AA637" s="28" t="n">
        <f aca="false">Z637*$M637</f>
        <v>0</v>
      </c>
      <c r="AB637" s="28"/>
      <c r="AC637" s="28" t="n">
        <f aca="false">AB637*$M637</f>
        <v>0</v>
      </c>
      <c r="AD637" s="28"/>
      <c r="AE637" s="28" t="n">
        <f aca="false">AD637*$M637</f>
        <v>0</v>
      </c>
      <c r="AF637" s="28"/>
      <c r="AG637" s="28" t="n">
        <f aca="false">AF637*$M637</f>
        <v>0</v>
      </c>
      <c r="AH637" s="28"/>
      <c r="AI637" s="28" t="n">
        <f aca="false">AH637*$M637</f>
        <v>0</v>
      </c>
      <c r="AJ637" s="28"/>
      <c r="AK637" s="28" t="n">
        <f aca="false">AJ637*$M637</f>
        <v>0</v>
      </c>
      <c r="AL637" s="28"/>
      <c r="AM637" s="28" t="n">
        <f aca="false">AL637*$M637</f>
        <v>0</v>
      </c>
      <c r="AN637" s="28"/>
      <c r="AO637" s="28" t="n">
        <f aca="false">AN637*$M637</f>
        <v>0</v>
      </c>
      <c r="AP637" s="28"/>
      <c r="AQ637" s="28" t="n">
        <f aca="false">AP637*$M637</f>
        <v>0</v>
      </c>
      <c r="AR637" s="28"/>
      <c r="AS637" s="28" t="n">
        <f aca="false">AR637*$M637</f>
        <v>0</v>
      </c>
      <c r="AT637" s="28"/>
      <c r="AU637" s="28" t="n">
        <f aca="false">AT637*$M637</f>
        <v>0</v>
      </c>
      <c r="AV637" s="28"/>
      <c r="AW637" s="28" t="n">
        <f aca="false">AV637*$M637</f>
        <v>0</v>
      </c>
      <c r="AX637" s="28"/>
      <c r="AY637" s="28" t="n">
        <f aca="false">AX637*$M637</f>
        <v>0</v>
      </c>
      <c r="AZ637" s="30" t="n">
        <v>797</v>
      </c>
      <c r="BA637" s="11" t="n">
        <v>720</v>
      </c>
      <c r="BB637" s="31" t="n">
        <f aca="false">SUM(Q637,S637,U637,W637,Y637,AA637,AC637,AE637,AG637,AI637,AK637,AM637,AO637,AQ637,AS637,AU637,AW637,AY637)</f>
        <v>720</v>
      </c>
      <c r="BC637" s="28" t="n">
        <f aca="false">BA637-BB637</f>
        <v>0</v>
      </c>
      <c r="BD637" s="32" t="n">
        <f aca="false">SUM(P637,R637,T637,V637,X637,Z637,AB637,AD637,AF637,AH637,AJ637,AL637,AN637,AP637,AR637,AT637,AV637,AX637)</f>
        <v>797</v>
      </c>
      <c r="BE637" s="33" t="n">
        <f aca="false">AZ637-BD637</f>
        <v>0</v>
      </c>
      <c r="BF637" s="34" t="n">
        <f aca="false">BD637*M637</f>
        <v>0</v>
      </c>
      <c r="BG637" s="35" t="n">
        <f aca="false">BA637-BF637</f>
        <v>720</v>
      </c>
      <c r="BH637" s="19" t="str">
        <f aca="false">IF(BG637=0,"",IF(BG637&lt;&gt;BA637,"erreur de calcul",IF(BD637&lt;&gt;0,"pas de prix",IF(M637&lt;&gt; 0,"pas de quantité","pas de prix, ni de quantité"))))</f>
        <v>pas de prix</v>
      </c>
      <c r="BI637" s="19" t="s">
        <v>367</v>
      </c>
    </row>
    <row r="638" customFormat="false" ht="16" hidden="false" customHeight="false" outlineLevel="0" collapsed="false">
      <c r="A638" s="0" t="n">
        <v>39</v>
      </c>
      <c r="B638" s="8" t="s">
        <v>24</v>
      </c>
      <c r="C638" s="9" t="s">
        <v>25</v>
      </c>
      <c r="D638" s="9" t="s">
        <v>26</v>
      </c>
      <c r="E638" s="10" t="n">
        <v>1789</v>
      </c>
      <c r="F638" s="9" t="s">
        <v>27</v>
      </c>
      <c r="G638" s="9" t="s">
        <v>27</v>
      </c>
      <c r="H638" s="11" t="n">
        <v>25</v>
      </c>
      <c r="I638" s="11" t="s">
        <v>368</v>
      </c>
      <c r="J638" s="14" t="n">
        <v>4</v>
      </c>
      <c r="K638" s="14"/>
      <c r="L638" s="16"/>
      <c r="M638" s="27" t="n">
        <f aca="false">J638+(K638/20)+(L638/240)</f>
        <v>4</v>
      </c>
      <c r="N638" s="17" t="s">
        <v>64</v>
      </c>
      <c r="O638" s="11"/>
      <c r="P638" s="28"/>
      <c r="Q638" s="28" t="n">
        <f aca="false">P638*$M638</f>
        <v>0</v>
      </c>
      <c r="R638" s="28"/>
      <c r="S638" s="28" t="n">
        <f aca="false">R638*$M638</f>
        <v>0</v>
      </c>
      <c r="T638" s="28"/>
      <c r="U638" s="28" t="n">
        <f aca="false">T638*$M638</f>
        <v>0</v>
      </c>
      <c r="V638" s="28" t="n">
        <f aca="false">23693/100</f>
        <v>236.93</v>
      </c>
      <c r="W638" s="28" t="n">
        <v>948</v>
      </c>
      <c r="X638" s="28"/>
      <c r="Y638" s="28" t="n">
        <f aca="false">X638*$M638</f>
        <v>0</v>
      </c>
      <c r="Z638" s="28"/>
      <c r="AA638" s="28" t="n">
        <f aca="false">Z638*$M638</f>
        <v>0</v>
      </c>
      <c r="AB638" s="28"/>
      <c r="AC638" s="28" t="n">
        <f aca="false">AB638*$M638</f>
        <v>0</v>
      </c>
      <c r="AD638" s="28"/>
      <c r="AE638" s="28" t="n">
        <f aca="false">AD638*$M638</f>
        <v>0</v>
      </c>
      <c r="AF638" s="28"/>
      <c r="AG638" s="28" t="n">
        <f aca="false">AF638*$M638</f>
        <v>0</v>
      </c>
      <c r="AH638" s="28"/>
      <c r="AI638" s="28" t="n">
        <f aca="false">AH638*$M638</f>
        <v>0</v>
      </c>
      <c r="AJ638" s="28"/>
      <c r="AK638" s="28" t="n">
        <f aca="false">AJ638*$M638</f>
        <v>0</v>
      </c>
      <c r="AL638" s="28"/>
      <c r="AM638" s="28" t="n">
        <f aca="false">AL638*$M638</f>
        <v>0</v>
      </c>
      <c r="AN638" s="28"/>
      <c r="AO638" s="28" t="n">
        <f aca="false">AN638*$M638</f>
        <v>0</v>
      </c>
      <c r="AP638" s="28"/>
      <c r="AQ638" s="28" t="n">
        <f aca="false">AP638*$M638</f>
        <v>0</v>
      </c>
      <c r="AR638" s="28"/>
      <c r="AS638" s="28" t="n">
        <f aca="false">AR638*$M638</f>
        <v>0</v>
      </c>
      <c r="AT638" s="28"/>
      <c r="AU638" s="28" t="n">
        <f aca="false">AT638*$M638</f>
        <v>0</v>
      </c>
      <c r="AV638" s="28"/>
      <c r="AW638" s="28" t="n">
        <f aca="false">AV638*$M638</f>
        <v>0</v>
      </c>
      <c r="AX638" s="28"/>
      <c r="AY638" s="28" t="n">
        <f aca="false">AX638*$M638</f>
        <v>0</v>
      </c>
      <c r="AZ638" s="30" t="n">
        <f aca="false">23693/100</f>
        <v>236.93</v>
      </c>
      <c r="BA638" s="11" t="n">
        <v>948</v>
      </c>
      <c r="BB638" s="31" t="n">
        <f aca="false">SUM(Q638,S638,U638,W638,Y638,AA638,AC638,AE638,AG638,AI638,AK638,AM638,AO638,AQ638,AS638,AU638,AW638,AY638)</f>
        <v>948</v>
      </c>
      <c r="BC638" s="28" t="n">
        <f aca="false">BA638-BB638</f>
        <v>0</v>
      </c>
      <c r="BD638" s="32" t="n">
        <f aca="false">SUM(P638,R638,T638,V638,X638,Z638,AB638,AD638,AF638,AH638,AJ638,AL638,AN638,AP638,AR638,AT638,AV638,AX638)</f>
        <v>236.93</v>
      </c>
      <c r="BE638" s="33" t="n">
        <f aca="false">AZ638-BD638</f>
        <v>0</v>
      </c>
      <c r="BF638" s="34" t="n">
        <f aca="false">BD638*M638</f>
        <v>947.72</v>
      </c>
      <c r="BG638" s="35" t="n">
        <f aca="false">BA638-BF638</f>
        <v>0.279999999999973</v>
      </c>
      <c r="BH638" s="19" t="str">
        <f aca="false">IF(BG638=0,"",IF(BG638&lt;&gt;BA638,"erreur de calcul",IF(BD638&lt;&gt;0,"pas de prix",IF(M638&lt;&gt; 0,"pas de quantité","pas de prix, ni de quantité"))))</f>
        <v>erreur de calcul</v>
      </c>
      <c r="BI638" s="19"/>
    </row>
    <row r="639" customFormat="false" ht="16" hidden="false" customHeight="false" outlineLevel="0" collapsed="false">
      <c r="A639" s="0" t="n">
        <v>40</v>
      </c>
      <c r="B639" s="8" t="s">
        <v>24</v>
      </c>
      <c r="C639" s="9" t="s">
        <v>25</v>
      </c>
      <c r="D639" s="9" t="s">
        <v>26</v>
      </c>
      <c r="E639" s="10" t="n">
        <v>1789</v>
      </c>
      <c r="F639" s="9" t="s">
        <v>27</v>
      </c>
      <c r="G639" s="9" t="s">
        <v>27</v>
      </c>
      <c r="H639" s="11" t="n">
        <v>25</v>
      </c>
      <c r="I639" s="11" t="s">
        <v>369</v>
      </c>
      <c r="J639" s="14" t="n">
        <v>92</v>
      </c>
      <c r="K639" s="14"/>
      <c r="L639" s="16"/>
      <c r="M639" s="27" t="n">
        <f aca="false">J639+(K639/20)+(L639/240)</f>
        <v>92</v>
      </c>
      <c r="N639" s="17" t="s">
        <v>64</v>
      </c>
      <c r="O639" s="11"/>
      <c r="P639" s="28"/>
      <c r="Q639" s="28" t="n">
        <f aca="false">P639*$M639</f>
        <v>0</v>
      </c>
      <c r="R639" s="28"/>
      <c r="S639" s="28" t="n">
        <f aca="false">R639*$M639</f>
        <v>0</v>
      </c>
      <c r="T639" s="28"/>
      <c r="U639" s="28" t="n">
        <f aca="false">T639*$M639</f>
        <v>0</v>
      </c>
      <c r="V639" s="28" t="n">
        <f aca="false">82878/100</f>
        <v>828.78</v>
      </c>
      <c r="W639" s="28" t="n">
        <v>76248</v>
      </c>
      <c r="X639" s="28" t="n">
        <f aca="false">44264/100</f>
        <v>442.64</v>
      </c>
      <c r="Y639" s="36" t="n">
        <v>41023</v>
      </c>
      <c r="Z639" s="28"/>
      <c r="AA639" s="28" t="n">
        <f aca="false">Z639*$M639</f>
        <v>0</v>
      </c>
      <c r="AB639" s="28"/>
      <c r="AC639" s="28" t="n">
        <f aca="false">AB639*$M639</f>
        <v>0</v>
      </c>
      <c r="AD639" s="28"/>
      <c r="AE639" s="28" t="n">
        <f aca="false">AD639*$M639</f>
        <v>0</v>
      </c>
      <c r="AF639" s="28"/>
      <c r="AG639" s="28" t="n">
        <f aca="false">AF639*$M639</f>
        <v>0</v>
      </c>
      <c r="AH639" s="28"/>
      <c r="AI639" s="28" t="n">
        <f aca="false">AH639*$M639</f>
        <v>0</v>
      </c>
      <c r="AJ639" s="28"/>
      <c r="AK639" s="28" t="n">
        <f aca="false">AJ639*$M639</f>
        <v>0</v>
      </c>
      <c r="AL639" s="28"/>
      <c r="AM639" s="28" t="n">
        <f aca="false">AL639*$M639</f>
        <v>0</v>
      </c>
      <c r="AN639" s="28"/>
      <c r="AO639" s="28" t="n">
        <f aca="false">AN639*$M639</f>
        <v>0</v>
      </c>
      <c r="AP639" s="28"/>
      <c r="AQ639" s="28" t="n">
        <f aca="false">AP639*$M639</f>
        <v>0</v>
      </c>
      <c r="AR639" s="28"/>
      <c r="AS639" s="28" t="n">
        <f aca="false">AR639*$M639</f>
        <v>0</v>
      </c>
      <c r="AT639" s="28"/>
      <c r="AU639" s="28" t="n">
        <f aca="false">AT639*$M639</f>
        <v>0</v>
      </c>
      <c r="AV639" s="28"/>
      <c r="AW639" s="28" t="n">
        <f aca="false">AV639*$M639</f>
        <v>0</v>
      </c>
      <c r="AX639" s="28"/>
      <c r="AY639" s="28" t="n">
        <f aca="false">AX639*$M639</f>
        <v>0</v>
      </c>
      <c r="AZ639" s="30" t="n">
        <f aca="false">127142/100</f>
        <v>1271.42</v>
      </c>
      <c r="BA639" s="11" t="n">
        <v>117271</v>
      </c>
      <c r="BB639" s="31" t="n">
        <f aca="false">SUM(Q639,S639,U639,W639,Y639,AA639,AC639,AE639,AG639,AI639,AK639,AM639,AO639,AQ639,AS639,AU639,AW639,AY639)</f>
        <v>117271</v>
      </c>
      <c r="BC639" s="28" t="n">
        <f aca="false">BA639-BB639</f>
        <v>0</v>
      </c>
      <c r="BD639" s="32" t="n">
        <f aca="false">SUM(P639,R639,T639,V639,X639,Z639,AB639,AD639,AF639,AH639,AJ639,AL639,AN639,AP639,AR639,AT639,AV639,AX639)</f>
        <v>1271.42</v>
      </c>
      <c r="BE639" s="33" t="n">
        <f aca="false">AZ639-BD639</f>
        <v>0</v>
      </c>
      <c r="BF639" s="34" t="n">
        <f aca="false">BD639*M639</f>
        <v>116970.64</v>
      </c>
      <c r="BG639" s="35" t="n">
        <f aca="false">BA639-BF639</f>
        <v>300.359999999986</v>
      </c>
      <c r="BH639" s="19" t="str">
        <f aca="false">IF(BG639=0,"",IF(BG639&lt;&gt;BA639,"erreur de calcul",IF(BD639&lt;&gt;0,"pas de prix",IF(M639&lt;&gt; 0,"pas de quantité","pas de prix, ni de quantité"))))</f>
        <v>erreur de calcul</v>
      </c>
      <c r="BI639" s="19"/>
    </row>
    <row r="640" customFormat="false" ht="16" hidden="false" customHeight="false" outlineLevel="0" collapsed="false">
      <c r="A640" s="0" t="n">
        <v>41</v>
      </c>
      <c r="B640" s="8" t="s">
        <v>24</v>
      </c>
      <c r="C640" s="9" t="s">
        <v>25</v>
      </c>
      <c r="D640" s="9" t="s">
        <v>26</v>
      </c>
      <c r="E640" s="10" t="n">
        <v>1789</v>
      </c>
      <c r="F640" s="9" t="s">
        <v>27</v>
      </c>
      <c r="G640" s="9" t="s">
        <v>27</v>
      </c>
      <c r="H640" s="11" t="n">
        <v>25</v>
      </c>
      <c r="I640" s="11" t="s">
        <v>370</v>
      </c>
      <c r="J640" s="14" t="n">
        <v>12</v>
      </c>
      <c r="K640" s="14"/>
      <c r="L640" s="16"/>
      <c r="M640" s="27" t="n">
        <f aca="false">J640+(K640/20)+(L640/240)</f>
        <v>12</v>
      </c>
      <c r="N640" s="17" t="s">
        <v>64</v>
      </c>
      <c r="O640" s="11"/>
      <c r="P640" s="28"/>
      <c r="Q640" s="28" t="n">
        <f aca="false">P640*$M640</f>
        <v>0</v>
      </c>
      <c r="R640" s="28"/>
      <c r="S640" s="28" t="n">
        <f aca="false">R640*$M640</f>
        <v>0</v>
      </c>
      <c r="T640" s="28"/>
      <c r="U640" s="28" t="n">
        <f aca="false">T640*$M640</f>
        <v>0</v>
      </c>
      <c r="V640" s="28"/>
      <c r="W640" s="28" t="n">
        <f aca="false">V640*$M640</f>
        <v>0</v>
      </c>
      <c r="X640" s="28"/>
      <c r="Y640" s="28" t="n">
        <f aca="false">X640*$M640</f>
        <v>0</v>
      </c>
      <c r="Z640" s="28"/>
      <c r="AA640" s="28" t="n">
        <f aca="false">Z640*$M640</f>
        <v>0</v>
      </c>
      <c r="AB640" s="28"/>
      <c r="AC640" s="28" t="n">
        <f aca="false">AB640*$M640</f>
        <v>0</v>
      </c>
      <c r="AD640" s="28"/>
      <c r="AE640" s="28" t="n">
        <f aca="false">AD640*$M640</f>
        <v>0</v>
      </c>
      <c r="AF640" s="28"/>
      <c r="AG640" s="28" t="n">
        <f aca="false">AF640*$M640</f>
        <v>0</v>
      </c>
      <c r="AH640" s="28" t="n">
        <f aca="false">12168/100</f>
        <v>121.68</v>
      </c>
      <c r="AI640" s="28" t="n">
        <v>1460</v>
      </c>
      <c r="AJ640" s="28"/>
      <c r="AK640" s="28" t="n">
        <f aca="false">AJ640*$M640</f>
        <v>0</v>
      </c>
      <c r="AL640" s="28"/>
      <c r="AM640" s="28" t="n">
        <f aca="false">AL640*$M640</f>
        <v>0</v>
      </c>
      <c r="AN640" s="28"/>
      <c r="AO640" s="28" t="n">
        <f aca="false">AN640*$M640</f>
        <v>0</v>
      </c>
      <c r="AP640" s="28"/>
      <c r="AQ640" s="28" t="n">
        <f aca="false">AP640*$M640</f>
        <v>0</v>
      </c>
      <c r="AR640" s="28"/>
      <c r="AS640" s="28" t="n">
        <f aca="false">AR640*$M640</f>
        <v>0</v>
      </c>
      <c r="AT640" s="28"/>
      <c r="AU640" s="28" t="n">
        <f aca="false">AT640*$M640</f>
        <v>0</v>
      </c>
      <c r="AV640" s="28"/>
      <c r="AW640" s="28" t="n">
        <f aca="false">AV640*$M640</f>
        <v>0</v>
      </c>
      <c r="AX640" s="28"/>
      <c r="AY640" s="28" t="n">
        <f aca="false">AX640*$M640</f>
        <v>0</v>
      </c>
      <c r="AZ640" s="30" t="n">
        <f aca="false">12168/100</f>
        <v>121.68</v>
      </c>
      <c r="BA640" s="11" t="n">
        <v>1460</v>
      </c>
      <c r="BB640" s="31" t="n">
        <f aca="false">SUM(Q640,S640,U640,W640,Y640,AA640,AC640,AE640,AG640,AI640,AK640,AM640,AO640,AQ640,AS640,AU640,AW640,AY640)</f>
        <v>1460</v>
      </c>
      <c r="BC640" s="28" t="n">
        <f aca="false">BA640-BB640</f>
        <v>0</v>
      </c>
      <c r="BD640" s="32" t="n">
        <f aca="false">SUM(P640,R640,T640,V640,X640,Z640,AB640,AD640,AF640,AH640,AJ640,AL640,AN640,AP640,AR640,AT640,AV640,AX640)</f>
        <v>121.68</v>
      </c>
      <c r="BE640" s="33" t="n">
        <f aca="false">AZ640-BD640</f>
        <v>0</v>
      </c>
      <c r="BF640" s="34" t="n">
        <f aca="false">BD640*M640</f>
        <v>1460.16</v>
      </c>
      <c r="BG640" s="35" t="n">
        <f aca="false">BA640-BF640</f>
        <v>-0.160000000000082</v>
      </c>
      <c r="BH640" s="19" t="str">
        <f aca="false">IF(BG640=0,"",IF(BG640&lt;&gt;BA640,"erreur de calcul",IF(BD640&lt;&gt;0,"pas de prix",IF(M640&lt;&gt; 0,"pas de quantité","pas de prix, ni de quantité"))))</f>
        <v>erreur de calcul</v>
      </c>
      <c r="BI640" s="19"/>
    </row>
    <row r="641" customFormat="false" ht="16" hidden="false" customHeight="false" outlineLevel="0" collapsed="false">
      <c r="A641" s="0" t="n">
        <v>42</v>
      </c>
      <c r="B641" s="8" t="s">
        <v>24</v>
      </c>
      <c r="C641" s="9" t="s">
        <v>25</v>
      </c>
      <c r="D641" s="9" t="s">
        <v>26</v>
      </c>
      <c r="E641" s="10" t="n">
        <v>1789</v>
      </c>
      <c r="F641" s="9" t="s">
        <v>27</v>
      </c>
      <c r="G641" s="9" t="s">
        <v>27</v>
      </c>
      <c r="H641" s="11" t="n">
        <v>25</v>
      </c>
      <c r="I641" s="11" t="s">
        <v>371</v>
      </c>
      <c r="J641" s="14" t="n">
        <v>7</v>
      </c>
      <c r="K641" s="14"/>
      <c r="L641" s="16"/>
      <c r="M641" s="27" t="n">
        <f aca="false">J641+(K641/20)+(L641/240)</f>
        <v>7</v>
      </c>
      <c r="N641" s="17" t="s">
        <v>64</v>
      </c>
      <c r="O641" s="11"/>
      <c r="P641" s="28"/>
      <c r="Q641" s="28" t="n">
        <f aca="false">P641*$M641</f>
        <v>0</v>
      </c>
      <c r="R641" s="28"/>
      <c r="S641" s="28" t="n">
        <f aca="false">R641*$M641</f>
        <v>0</v>
      </c>
      <c r="T641" s="28"/>
      <c r="U641" s="28" t="n">
        <f aca="false">T641*$M641</f>
        <v>0</v>
      </c>
      <c r="V641" s="28"/>
      <c r="W641" s="28" t="n">
        <f aca="false">V641*$M641</f>
        <v>0</v>
      </c>
      <c r="X641" s="28"/>
      <c r="Y641" s="28" t="n">
        <f aca="false">X641*$M641</f>
        <v>0</v>
      </c>
      <c r="Z641" s="28"/>
      <c r="AA641" s="28" t="n">
        <f aca="false">Z641*$M641</f>
        <v>0</v>
      </c>
      <c r="AB641" s="28" t="n">
        <f aca="false">58003/100</f>
        <v>580.03</v>
      </c>
      <c r="AC641" s="28" t="n">
        <v>4060</v>
      </c>
      <c r="AD641" s="28"/>
      <c r="AE641" s="28" t="n">
        <f aca="false">AD641*$M641</f>
        <v>0</v>
      </c>
      <c r="AF641" s="28"/>
      <c r="AG641" s="28" t="n">
        <f aca="false">AF641*$M641</f>
        <v>0</v>
      </c>
      <c r="AH641" s="28"/>
      <c r="AI641" s="28" t="n">
        <f aca="false">AH641*$M641</f>
        <v>0</v>
      </c>
      <c r="AJ641" s="28"/>
      <c r="AK641" s="28" t="n">
        <f aca="false">AJ641*$M641</f>
        <v>0</v>
      </c>
      <c r="AL641" s="28"/>
      <c r="AM641" s="28" t="n">
        <f aca="false">AL641*$M641</f>
        <v>0</v>
      </c>
      <c r="AN641" s="28"/>
      <c r="AO641" s="28" t="n">
        <f aca="false">AN641*$M641</f>
        <v>0</v>
      </c>
      <c r="AP641" s="28"/>
      <c r="AQ641" s="28" t="n">
        <f aca="false">AP641*$M641</f>
        <v>0</v>
      </c>
      <c r="AR641" s="28"/>
      <c r="AS641" s="28" t="n">
        <f aca="false">AR641*$M641</f>
        <v>0</v>
      </c>
      <c r="AT641" s="28"/>
      <c r="AU641" s="28" t="n">
        <f aca="false">AT641*$M641</f>
        <v>0</v>
      </c>
      <c r="AV641" s="28"/>
      <c r="AW641" s="28" t="n">
        <f aca="false">AV641*$M641</f>
        <v>0</v>
      </c>
      <c r="AX641" s="28"/>
      <c r="AY641" s="28" t="n">
        <f aca="false">AX641*$M641</f>
        <v>0</v>
      </c>
      <c r="AZ641" s="30" t="n">
        <f aca="false">58003/100</f>
        <v>580.03</v>
      </c>
      <c r="BA641" s="11" t="n">
        <v>4060</v>
      </c>
      <c r="BB641" s="31" t="n">
        <f aca="false">SUM(Q641,S641,U641,W641,Y641,AA641,AC641,AE641,AG641,AI641,AK641,AM641,AO641,AQ641,AS641,AU641,AW641,AY641)</f>
        <v>4060</v>
      </c>
      <c r="BC641" s="28" t="n">
        <f aca="false">BA641-BB641</f>
        <v>0</v>
      </c>
      <c r="BD641" s="32" t="n">
        <f aca="false">SUM(P641,R641,T641,V641,X641,Z641,AB641,AD641,AF641,AH641,AJ641,AL641,AN641,AP641,AR641,AT641,AV641,AX641)</f>
        <v>580.03</v>
      </c>
      <c r="BE641" s="33" t="n">
        <f aca="false">AZ641-BD641</f>
        <v>0</v>
      </c>
      <c r="BF641" s="34" t="n">
        <f aca="false">BD641*M641</f>
        <v>4060.21</v>
      </c>
      <c r="BG641" s="35" t="n">
        <f aca="false">BA641-BF641</f>
        <v>-0.210000000000036</v>
      </c>
      <c r="BH641" s="19" t="str">
        <f aca="false">IF(BG641=0,"",IF(BG641&lt;&gt;BA641,"erreur de calcul",IF(BD641&lt;&gt;0,"pas de prix",IF(M641&lt;&gt; 0,"pas de quantité","pas de prix, ni de quantité"))))</f>
        <v>erreur de calcul</v>
      </c>
      <c r="BI641" s="19"/>
    </row>
    <row r="642" customFormat="false" ht="16" hidden="false" customHeight="false" outlineLevel="0" collapsed="false">
      <c r="A642" s="0" t="n">
        <v>1</v>
      </c>
      <c r="B642" s="8" t="s">
        <v>24</v>
      </c>
      <c r="C642" s="9" t="s">
        <v>25</v>
      </c>
      <c r="D642" s="9" t="s">
        <v>26</v>
      </c>
      <c r="E642" s="10" t="n">
        <v>1789</v>
      </c>
      <c r="F642" s="9" t="s">
        <v>27</v>
      </c>
      <c r="G642" s="9" t="s">
        <v>27</v>
      </c>
      <c r="H642" s="11" t="n">
        <v>26</v>
      </c>
      <c r="I642" s="11" t="s">
        <v>372</v>
      </c>
      <c r="J642" s="14" t="n">
        <v>30</v>
      </c>
      <c r="K642" s="14"/>
      <c r="L642" s="16"/>
      <c r="M642" s="27" t="n">
        <f aca="false">J642+(K642/20)+(L642/240)</f>
        <v>30</v>
      </c>
      <c r="N642" s="17" t="s">
        <v>64</v>
      </c>
      <c r="O642" s="11"/>
      <c r="P642" s="28"/>
      <c r="Q642" s="28" t="n">
        <f aca="false">P642*$M642</f>
        <v>0</v>
      </c>
      <c r="R642" s="28"/>
      <c r="S642" s="28" t="n">
        <f aca="false">R642*$M642</f>
        <v>0</v>
      </c>
      <c r="T642" s="28"/>
      <c r="U642" s="28" t="n">
        <f aca="false">T642*$M642</f>
        <v>0</v>
      </c>
      <c r="V642" s="28" t="n">
        <f aca="false">1500/100</f>
        <v>15</v>
      </c>
      <c r="W642" s="28" t="n">
        <v>450</v>
      </c>
      <c r="X642" s="28"/>
      <c r="Y642" s="28" t="n">
        <f aca="false">X642*$M642</f>
        <v>0</v>
      </c>
      <c r="Z642" s="28"/>
      <c r="AA642" s="28" t="n">
        <f aca="false">Z642*$M642</f>
        <v>0</v>
      </c>
      <c r="AB642" s="28"/>
      <c r="AC642" s="28" t="n">
        <f aca="false">AB642*$M642</f>
        <v>0</v>
      </c>
      <c r="AD642" s="28"/>
      <c r="AE642" s="28" t="n">
        <f aca="false">AD642*$M642</f>
        <v>0</v>
      </c>
      <c r="AF642" s="28"/>
      <c r="AG642" s="28" t="n">
        <f aca="false">AF642*$M642</f>
        <v>0</v>
      </c>
      <c r="AH642" s="28"/>
      <c r="AI642" s="28" t="n">
        <f aca="false">AH642*$M642</f>
        <v>0</v>
      </c>
      <c r="AJ642" s="28"/>
      <c r="AK642" s="28" t="n">
        <f aca="false">AJ642*$M642</f>
        <v>0</v>
      </c>
      <c r="AL642" s="28"/>
      <c r="AM642" s="28" t="n">
        <f aca="false">AL642*$M642</f>
        <v>0</v>
      </c>
      <c r="AN642" s="28"/>
      <c r="AO642" s="28" t="n">
        <f aca="false">AN642*$M642</f>
        <v>0</v>
      </c>
      <c r="AP642" s="28"/>
      <c r="AQ642" s="28" t="n">
        <f aca="false">AP642*$M642</f>
        <v>0</v>
      </c>
      <c r="AR642" s="28"/>
      <c r="AS642" s="28" t="n">
        <f aca="false">AR642*$M642</f>
        <v>0</v>
      </c>
      <c r="AT642" s="28"/>
      <c r="AU642" s="28" t="n">
        <f aca="false">AT642*$M642</f>
        <v>0</v>
      </c>
      <c r="AV642" s="28"/>
      <c r="AW642" s="28" t="n">
        <f aca="false">AV642*$M642</f>
        <v>0</v>
      </c>
      <c r="AX642" s="28"/>
      <c r="AY642" s="28" t="n">
        <f aca="false">AX642*$M642</f>
        <v>0</v>
      </c>
      <c r="AZ642" s="30" t="n">
        <f aca="false">1500/100</f>
        <v>15</v>
      </c>
      <c r="BA642" s="11" t="n">
        <v>450</v>
      </c>
      <c r="BB642" s="31" t="n">
        <f aca="false">SUM(Q642,S642,U642,W642,Y642,AA642,AC642,AE642,AG642,AI642,AK642,AM642,AO642,AQ642,AS642,AU642,AW642,AY642)</f>
        <v>450</v>
      </c>
      <c r="BC642" s="28" t="n">
        <f aca="false">BA642-BB642</f>
        <v>0</v>
      </c>
      <c r="BD642" s="32" t="n">
        <f aca="false">SUM(P642,R642,T642,V642,X642,Z642,AB642,AD642,AF642,AH642,AJ642,AL642,AN642,AP642,AR642,AT642,AV642,AX642)</f>
        <v>15</v>
      </c>
      <c r="BE642" s="33" t="n">
        <f aca="false">AZ642-BD642</f>
        <v>0</v>
      </c>
      <c r="BF642" s="34" t="n">
        <f aca="false">BD642*M642</f>
        <v>450</v>
      </c>
      <c r="BG642" s="35" t="n">
        <f aca="false">BA642-BF642</f>
        <v>0</v>
      </c>
      <c r="BH642" s="19" t="str">
        <f aca="false">IF(BG642=0,"",IF(BG642&lt;&gt;BA642,"erreur de calcul",IF(BD642&lt;&gt;0,"pas de prix",IF(M642&lt;&gt; 0,"pas de quantité","pas de prix, ni de quantité"))))</f>
        <v/>
      </c>
      <c r="BI642" s="19"/>
    </row>
    <row r="643" customFormat="false" ht="16" hidden="false" customHeight="false" outlineLevel="0" collapsed="false">
      <c r="A643" s="0" t="n">
        <v>2</v>
      </c>
      <c r="B643" s="8" t="s">
        <v>24</v>
      </c>
      <c r="C643" s="9" t="s">
        <v>25</v>
      </c>
      <c r="D643" s="9" t="s">
        <v>26</v>
      </c>
      <c r="E643" s="10" t="n">
        <v>1789</v>
      </c>
      <c r="F643" s="9" t="s">
        <v>27</v>
      </c>
      <c r="G643" s="9" t="s">
        <v>27</v>
      </c>
      <c r="H643" s="11" t="n">
        <v>26</v>
      </c>
      <c r="I643" s="11" t="s">
        <v>373</v>
      </c>
      <c r="J643" s="14" t="n">
        <v>25</v>
      </c>
      <c r="K643" s="14"/>
      <c r="L643" s="16"/>
      <c r="M643" s="27" t="n">
        <f aca="false">J643+(K643/20)+(L643/240)</f>
        <v>25</v>
      </c>
      <c r="N643" s="17" t="s">
        <v>64</v>
      </c>
      <c r="O643" s="11"/>
      <c r="P643" s="28"/>
      <c r="Q643" s="28" t="n">
        <f aca="false">P643*$M643</f>
        <v>0</v>
      </c>
      <c r="R643" s="28"/>
      <c r="S643" s="28" t="n">
        <f aca="false">R643*$M643</f>
        <v>0</v>
      </c>
      <c r="T643" s="28" t="n">
        <f aca="false">34168/100</f>
        <v>341.68</v>
      </c>
      <c r="U643" s="28" t="n">
        <v>8542</v>
      </c>
      <c r="V643" s="28" t="n">
        <f aca="false">128249/100</f>
        <v>1282.49</v>
      </c>
      <c r="W643" s="28" t="n">
        <v>32062</v>
      </c>
      <c r="X643" s="28" t="n">
        <f aca="false">21365/100</f>
        <v>213.65</v>
      </c>
      <c r="Y643" s="28" t="n">
        <v>5341</v>
      </c>
      <c r="Z643" s="28"/>
      <c r="AA643" s="28" t="n">
        <f aca="false">Z643*$M643</f>
        <v>0</v>
      </c>
      <c r="AB643" s="28"/>
      <c r="AC643" s="28" t="n">
        <f aca="false">AB643*$M643</f>
        <v>0</v>
      </c>
      <c r="AD643" s="28"/>
      <c r="AE643" s="28" t="n">
        <f aca="false">AD643*$M643</f>
        <v>0</v>
      </c>
      <c r="AF643" s="28"/>
      <c r="AG643" s="28" t="n">
        <f aca="false">AF643*$M643</f>
        <v>0</v>
      </c>
      <c r="AH643" s="28"/>
      <c r="AI643" s="28" t="n">
        <f aca="false">AH643*$M643</f>
        <v>0</v>
      </c>
      <c r="AJ643" s="28" t="n">
        <f aca="false">155251/100</f>
        <v>1552.51</v>
      </c>
      <c r="AK643" s="28" t="n">
        <v>38813</v>
      </c>
      <c r="AL643" s="28" t="n">
        <f aca="false">185000/100</f>
        <v>1850</v>
      </c>
      <c r="AM643" s="28" t="n">
        <v>46250</v>
      </c>
      <c r="AN643" s="28"/>
      <c r="AO643" s="28" t="n">
        <f aca="false">AN643*$M643</f>
        <v>0</v>
      </c>
      <c r="AP643" s="28"/>
      <c r="AQ643" s="28" t="n">
        <f aca="false">AP643*$M643</f>
        <v>0</v>
      </c>
      <c r="AR643" s="28"/>
      <c r="AS643" s="28" t="n">
        <f aca="false">AR643*$M643</f>
        <v>0</v>
      </c>
      <c r="AT643" s="28"/>
      <c r="AU643" s="28" t="n">
        <f aca="false">AT643*$M643</f>
        <v>0</v>
      </c>
      <c r="AV643" s="28"/>
      <c r="AW643" s="28" t="n">
        <f aca="false">AV643*$M643</f>
        <v>0</v>
      </c>
      <c r="AX643" s="28"/>
      <c r="AY643" s="28" t="n">
        <f aca="false">AX643*$M643</f>
        <v>0</v>
      </c>
      <c r="AZ643" s="30" t="n">
        <f aca="false">524033/100</f>
        <v>5240.33</v>
      </c>
      <c r="BA643" s="11" t="n">
        <v>131008</v>
      </c>
      <c r="BB643" s="31" t="n">
        <f aca="false">SUM(Q643,S643,U643,W643,Y643,AA643,AC643,AE643,AG643,AI643,AK643,AM643,AO643,AQ643,AS643,AU643,AW643,AY643)</f>
        <v>131008</v>
      </c>
      <c r="BC643" s="28" t="n">
        <f aca="false">BA643-BB643</f>
        <v>0</v>
      </c>
      <c r="BD643" s="32" t="n">
        <f aca="false">SUM(P643,R643,T643,V643,X643,Z643,AB643,AD643,AF643,AH643,AJ643,AL643,AN643,AP643,AR643,AT643,AV643,AX643)</f>
        <v>5240.33</v>
      </c>
      <c r="BE643" s="33" t="n">
        <f aca="false">AZ643-BD643</f>
        <v>0</v>
      </c>
      <c r="BF643" s="34" t="n">
        <f aca="false">BD643*M643</f>
        <v>131008.25</v>
      </c>
      <c r="BG643" s="35" t="n">
        <f aca="false">BA643-BF643</f>
        <v>-0.25</v>
      </c>
      <c r="BH643" s="19" t="str">
        <f aca="false">IF(BG643=0,"",IF(BG643&lt;&gt;BA643,"erreur de calcul",IF(BD643&lt;&gt;0,"pas de prix",IF(M643&lt;&gt; 0,"pas de quantité","pas de prix, ni de quantité"))))</f>
        <v>erreur de calcul</v>
      </c>
      <c r="BI643" s="19"/>
    </row>
    <row r="644" customFormat="false" ht="16" hidden="false" customHeight="false" outlineLevel="0" collapsed="false">
      <c r="A644" s="0" t="n">
        <v>3</v>
      </c>
      <c r="B644" s="8" t="s">
        <v>24</v>
      </c>
      <c r="C644" s="9" t="s">
        <v>25</v>
      </c>
      <c r="D644" s="9" t="s">
        <v>26</v>
      </c>
      <c r="E644" s="10" t="n">
        <v>1789</v>
      </c>
      <c r="F644" s="9" t="s">
        <v>27</v>
      </c>
      <c r="G644" s="9" t="s">
        <v>27</v>
      </c>
      <c r="H644" s="11" t="n">
        <v>26</v>
      </c>
      <c r="I644" s="11" t="s">
        <v>374</v>
      </c>
      <c r="J644" s="14" t="n">
        <v>70</v>
      </c>
      <c r="K644" s="14"/>
      <c r="L644" s="16"/>
      <c r="M644" s="27" t="n">
        <f aca="false">J644+(K644/20)+(L644/240)</f>
        <v>70</v>
      </c>
      <c r="N644" s="17" t="s">
        <v>64</v>
      </c>
      <c r="O644" s="11"/>
      <c r="P644" s="28"/>
      <c r="Q644" s="28" t="n">
        <f aca="false">P644*$M644</f>
        <v>0</v>
      </c>
      <c r="R644" s="28"/>
      <c r="S644" s="28" t="n">
        <f aca="false">R644*$M644</f>
        <v>0</v>
      </c>
      <c r="T644" s="28"/>
      <c r="U644" s="28" t="n">
        <f aca="false">T644*$M644</f>
        <v>0</v>
      </c>
      <c r="V644" s="28" t="n">
        <f aca="false">4560/100</f>
        <v>45.6</v>
      </c>
      <c r="W644" s="28" t="n">
        <v>3192</v>
      </c>
      <c r="X644" s="28" t="n">
        <f aca="false">1115/100</f>
        <v>11.15</v>
      </c>
      <c r="Y644" s="28" t="n">
        <v>780</v>
      </c>
      <c r="Z644" s="28"/>
      <c r="AA644" s="28" t="n">
        <f aca="false">Z644*$M644</f>
        <v>0</v>
      </c>
      <c r="AB644" s="28" t="n">
        <f aca="false">9431/100</f>
        <v>94.31</v>
      </c>
      <c r="AC644" s="28" t="n">
        <v>6602</v>
      </c>
      <c r="AD644" s="28"/>
      <c r="AE644" s="28" t="n">
        <f aca="false">AD644*$M644</f>
        <v>0</v>
      </c>
      <c r="AF644" s="28"/>
      <c r="AG644" s="28" t="n">
        <f aca="false">AF644*$M644</f>
        <v>0</v>
      </c>
      <c r="AH644" s="28"/>
      <c r="AI644" s="28" t="n">
        <f aca="false">AH644*$M644</f>
        <v>0</v>
      </c>
      <c r="AJ644" s="28"/>
      <c r="AK644" s="28" t="n">
        <f aca="false">AJ644*$M644</f>
        <v>0</v>
      </c>
      <c r="AL644" s="28"/>
      <c r="AM644" s="28" t="n">
        <f aca="false">AL644*$M644</f>
        <v>0</v>
      </c>
      <c r="AN644" s="28"/>
      <c r="AO644" s="28" t="n">
        <f aca="false">AN644*$M644</f>
        <v>0</v>
      </c>
      <c r="AP644" s="28"/>
      <c r="AQ644" s="28" t="n">
        <f aca="false">AP644*$M644</f>
        <v>0</v>
      </c>
      <c r="AR644" s="28"/>
      <c r="AS644" s="28" t="n">
        <f aca="false">AR644*$M644</f>
        <v>0</v>
      </c>
      <c r="AT644" s="28"/>
      <c r="AU644" s="28" t="n">
        <f aca="false">AT644*$M644</f>
        <v>0</v>
      </c>
      <c r="AV644" s="28"/>
      <c r="AW644" s="28" t="n">
        <f aca="false">AV644*$M644</f>
        <v>0</v>
      </c>
      <c r="AX644" s="28"/>
      <c r="AY644" s="28" t="n">
        <f aca="false">AX644*$M644</f>
        <v>0</v>
      </c>
      <c r="AZ644" s="30" t="n">
        <f aca="false">15106/100</f>
        <v>151.06</v>
      </c>
      <c r="BA644" s="11" t="n">
        <v>10574</v>
      </c>
      <c r="BB644" s="31" t="n">
        <f aca="false">SUM(Q644,S644,U644,W644,Y644,AA644,AC644,AE644,AG644,AI644,AK644,AM644,AO644,AQ644,AS644,AU644,AW644,AY644)</f>
        <v>10574</v>
      </c>
      <c r="BC644" s="28" t="n">
        <f aca="false">BA644-BB644</f>
        <v>0</v>
      </c>
      <c r="BD644" s="32" t="n">
        <f aca="false">SUM(P644,R644,T644,V644,X644,Z644,AB644,AD644,AF644,AH644,AJ644,AL644,AN644,AP644,AR644,AT644,AV644,AX644)</f>
        <v>151.06</v>
      </c>
      <c r="BE644" s="33" t="n">
        <f aca="false">AZ644-BD644</f>
        <v>0</v>
      </c>
      <c r="BF644" s="34" t="n">
        <f aca="false">BD644*M644</f>
        <v>10574.2</v>
      </c>
      <c r="BG644" s="35" t="n">
        <f aca="false">BA644-BF644</f>
        <v>-0.200000000000728</v>
      </c>
      <c r="BH644" s="19" t="str">
        <f aca="false">IF(BG644=0,"",IF(BG644&lt;&gt;BA644,"erreur de calcul",IF(BD644&lt;&gt;0,"pas de prix",IF(M644&lt;&gt; 0,"pas de quantité","pas de prix, ni de quantité"))))</f>
        <v>erreur de calcul</v>
      </c>
      <c r="BI644" s="19"/>
    </row>
    <row r="645" customFormat="false" ht="16" hidden="false" customHeight="false" outlineLevel="0" collapsed="false">
      <c r="A645" s="0" t="n">
        <v>4</v>
      </c>
      <c r="B645" s="8" t="s">
        <v>24</v>
      </c>
      <c r="C645" s="9" t="s">
        <v>25</v>
      </c>
      <c r="D645" s="9" t="s">
        <v>26</v>
      </c>
      <c r="E645" s="10" t="n">
        <v>1789</v>
      </c>
      <c r="F645" s="9" t="s">
        <v>27</v>
      </c>
      <c r="G645" s="9" t="s">
        <v>27</v>
      </c>
      <c r="H645" s="11" t="n">
        <v>26</v>
      </c>
      <c r="I645" s="11" t="s">
        <v>375</v>
      </c>
      <c r="J645" s="14" t="n">
        <v>245</v>
      </c>
      <c r="K645" s="14"/>
      <c r="L645" s="16"/>
      <c r="M645" s="27" t="n">
        <f aca="false">J645+(K645/20)+(L645/240)</f>
        <v>245</v>
      </c>
      <c r="N645" s="17" t="s">
        <v>64</v>
      </c>
      <c r="O645" s="11"/>
      <c r="P645" s="28"/>
      <c r="Q645" s="28" t="n">
        <f aca="false">P645*$M645</f>
        <v>0</v>
      </c>
      <c r="R645" s="28"/>
      <c r="S645" s="28" t="n">
        <f aca="false">R645*$M645</f>
        <v>0</v>
      </c>
      <c r="T645" s="28"/>
      <c r="U645" s="28" t="n">
        <f aca="false">T645*$M645</f>
        <v>0</v>
      </c>
      <c r="V645" s="28"/>
      <c r="W645" s="28" t="n">
        <f aca="false">V645*$M645</f>
        <v>0</v>
      </c>
      <c r="X645" s="28"/>
      <c r="Y645" s="28" t="n">
        <f aca="false">X645*$M645</f>
        <v>0</v>
      </c>
      <c r="Z645" s="28"/>
      <c r="AA645" s="28" t="n">
        <f aca="false">Z645*$M645</f>
        <v>0</v>
      </c>
      <c r="AB645" s="28"/>
      <c r="AC645" s="28" t="n">
        <f aca="false">AB645*$M645</f>
        <v>0</v>
      </c>
      <c r="AD645" s="28"/>
      <c r="AE645" s="28" t="n">
        <f aca="false">AD645*$M645</f>
        <v>0</v>
      </c>
      <c r="AF645" s="28"/>
      <c r="AG645" s="28" t="n">
        <f aca="false">AF645*$M645</f>
        <v>0</v>
      </c>
      <c r="AH645" s="28" t="n">
        <f aca="false">751/100</f>
        <v>7.51</v>
      </c>
      <c r="AI645" s="28" t="n">
        <v>1840</v>
      </c>
      <c r="AJ645" s="28"/>
      <c r="AK645" s="28" t="n">
        <f aca="false">AJ645*$M645</f>
        <v>0</v>
      </c>
      <c r="AL645" s="28"/>
      <c r="AM645" s="28" t="n">
        <f aca="false">AL645*$M645</f>
        <v>0</v>
      </c>
      <c r="AN645" s="28"/>
      <c r="AO645" s="28" t="n">
        <f aca="false">AN645*$M645</f>
        <v>0</v>
      </c>
      <c r="AP645" s="28"/>
      <c r="AQ645" s="28" t="n">
        <f aca="false">AP645*$M645</f>
        <v>0</v>
      </c>
      <c r="AR645" s="28"/>
      <c r="AS645" s="28" t="n">
        <f aca="false">AR645*$M645</f>
        <v>0</v>
      </c>
      <c r="AT645" s="28"/>
      <c r="AU645" s="28" t="n">
        <f aca="false">AT645*$M645</f>
        <v>0</v>
      </c>
      <c r="AV645" s="28"/>
      <c r="AW645" s="28" t="n">
        <f aca="false">AV645*$M645</f>
        <v>0</v>
      </c>
      <c r="AX645" s="28"/>
      <c r="AY645" s="28" t="n">
        <f aca="false">AX645*$M645</f>
        <v>0</v>
      </c>
      <c r="AZ645" s="30" t="n">
        <f aca="false">751/100</f>
        <v>7.51</v>
      </c>
      <c r="BA645" s="11" t="n">
        <v>1840</v>
      </c>
      <c r="BB645" s="31" t="n">
        <f aca="false">SUM(Q645,S645,U645,W645,Y645,AA645,AC645,AE645,AG645,AI645,AK645,AM645,AO645,AQ645,AS645,AU645,AW645,AY645)</f>
        <v>1840</v>
      </c>
      <c r="BC645" s="28" t="n">
        <f aca="false">BA645-BB645</f>
        <v>0</v>
      </c>
      <c r="BD645" s="32" t="n">
        <f aca="false">SUM(P645,R645,T645,V645,X645,Z645,AB645,AD645,AF645,AH645,AJ645,AL645,AN645,AP645,AR645,AT645,AV645,AX645)</f>
        <v>7.51</v>
      </c>
      <c r="BE645" s="33" t="n">
        <f aca="false">AZ645-BD645</f>
        <v>0</v>
      </c>
      <c r="BF645" s="34" t="n">
        <f aca="false">BD645*M645</f>
        <v>1839.95</v>
      </c>
      <c r="BG645" s="35" t="n">
        <f aca="false">BA645-BF645</f>
        <v>0.0499999999999545</v>
      </c>
      <c r="BH645" s="19" t="str">
        <f aca="false">IF(BG645=0,"",IF(BG645&lt;&gt;BA645,"erreur de calcul",IF(BD645&lt;&gt;0,"pas de prix",IF(M645&lt;&gt; 0,"pas de quantité","pas de prix, ni de quantité"))))</f>
        <v>erreur de calcul</v>
      </c>
      <c r="BI645" s="19"/>
    </row>
    <row r="646" customFormat="false" ht="16" hidden="false" customHeight="false" outlineLevel="0" collapsed="false">
      <c r="A646" s="0" t="n">
        <v>5</v>
      </c>
      <c r="B646" s="8" t="s">
        <v>24</v>
      </c>
      <c r="C646" s="9" t="s">
        <v>25</v>
      </c>
      <c r="D646" s="9" t="s">
        <v>26</v>
      </c>
      <c r="E646" s="10" t="n">
        <v>1789</v>
      </c>
      <c r="F646" s="9" t="s">
        <v>27</v>
      </c>
      <c r="G646" s="9" t="s">
        <v>27</v>
      </c>
      <c r="H646" s="11" t="n">
        <v>26</v>
      </c>
      <c r="I646" s="11" t="s">
        <v>376</v>
      </c>
      <c r="J646" s="14" t="n">
        <v>550</v>
      </c>
      <c r="K646" s="14"/>
      <c r="L646" s="16"/>
      <c r="M646" s="27" t="n">
        <f aca="false">J646+(K646/20)+(L646/240)</f>
        <v>550</v>
      </c>
      <c r="N646" s="17" t="s">
        <v>64</v>
      </c>
      <c r="O646" s="11"/>
      <c r="P646" s="28"/>
      <c r="Q646" s="28" t="n">
        <f aca="false">P646*$M646</f>
        <v>0</v>
      </c>
      <c r="R646" s="28"/>
      <c r="S646" s="28" t="n">
        <f aca="false">R646*$M646</f>
        <v>0</v>
      </c>
      <c r="T646" s="28"/>
      <c r="U646" s="28" t="n">
        <f aca="false">T646*$M646</f>
        <v>0</v>
      </c>
      <c r="V646" s="28"/>
      <c r="W646" s="28" t="n">
        <f aca="false">V646*$M646</f>
        <v>0</v>
      </c>
      <c r="X646" s="28"/>
      <c r="Y646" s="28" t="n">
        <f aca="false">X646*$M646</f>
        <v>0</v>
      </c>
      <c r="Z646" s="28"/>
      <c r="AA646" s="28" t="n">
        <f aca="false">Z646*$M646</f>
        <v>0</v>
      </c>
      <c r="AB646" s="28"/>
      <c r="AC646" s="28" t="n">
        <f aca="false">AB646*$M646</f>
        <v>0</v>
      </c>
      <c r="AD646" s="28"/>
      <c r="AE646" s="28" t="n">
        <f aca="false">AD646*$M646</f>
        <v>0</v>
      </c>
      <c r="AF646" s="28"/>
      <c r="AG646" s="28" t="n">
        <f aca="false">AF646*$M646</f>
        <v>0</v>
      </c>
      <c r="AH646" s="28" t="n">
        <f aca="false">215551/100</f>
        <v>2155.51</v>
      </c>
      <c r="AI646" s="28" t="n">
        <v>1185530</v>
      </c>
      <c r="AJ646" s="28"/>
      <c r="AK646" s="28" t="n">
        <f aca="false">AJ646*$M646</f>
        <v>0</v>
      </c>
      <c r="AL646" s="28"/>
      <c r="AM646" s="28" t="n">
        <f aca="false">AL646*$M646</f>
        <v>0</v>
      </c>
      <c r="AN646" s="28"/>
      <c r="AO646" s="28" t="n">
        <f aca="false">AN646*$M646</f>
        <v>0</v>
      </c>
      <c r="AP646" s="28"/>
      <c r="AQ646" s="28" t="n">
        <f aca="false">AP646*$M646</f>
        <v>0</v>
      </c>
      <c r="AR646" s="28"/>
      <c r="AS646" s="28" t="n">
        <f aca="false">AR646*$M646</f>
        <v>0</v>
      </c>
      <c r="AT646" s="28"/>
      <c r="AU646" s="28" t="n">
        <f aca="false">AT646*$M646</f>
        <v>0</v>
      </c>
      <c r="AV646" s="28"/>
      <c r="AW646" s="28" t="n">
        <f aca="false">AV646*$M646</f>
        <v>0</v>
      </c>
      <c r="AX646" s="28"/>
      <c r="AY646" s="28" t="n">
        <f aca="false">AX646*$M646</f>
        <v>0</v>
      </c>
      <c r="AZ646" s="30" t="n">
        <f aca="false">215551/100</f>
        <v>2155.51</v>
      </c>
      <c r="BA646" s="11" t="n">
        <v>1185530</v>
      </c>
      <c r="BB646" s="31" t="n">
        <f aca="false">SUM(Q646,S646,U646,W646,Y646,AA646,AC646,AE646,AG646,AI646,AK646,AM646,AO646,AQ646,AS646,AU646,AW646,AY646)</f>
        <v>1185530</v>
      </c>
      <c r="BC646" s="28" t="n">
        <f aca="false">BA646-BB646</f>
        <v>0</v>
      </c>
      <c r="BD646" s="32" t="n">
        <f aca="false">SUM(P646,R646,T646,V646,X646,Z646,AB646,AD646,AF646,AH646,AJ646,AL646,AN646,AP646,AR646,AT646,AV646,AX646)</f>
        <v>2155.51</v>
      </c>
      <c r="BE646" s="33" t="n">
        <f aca="false">AZ646-BD646</f>
        <v>0</v>
      </c>
      <c r="BF646" s="34" t="n">
        <f aca="false">BD646*M646</f>
        <v>1185530.5</v>
      </c>
      <c r="BG646" s="35" t="n">
        <f aca="false">BA646-BF646</f>
        <v>-0.500000000232831</v>
      </c>
      <c r="BH646" s="19" t="str">
        <f aca="false">IF(BG646=0,"",IF(BG646&lt;&gt;BA646,"erreur de calcul",IF(BD646&lt;&gt;0,"pas de prix",IF(M646&lt;&gt; 0,"pas de quantité","pas de prix, ni de quantité"))))</f>
        <v>erreur de calcul</v>
      </c>
      <c r="BI646" s="19"/>
    </row>
    <row r="647" customFormat="false" ht="16" hidden="false" customHeight="false" outlineLevel="0" collapsed="false">
      <c r="A647" s="0" t="n">
        <v>6</v>
      </c>
      <c r="B647" s="8" t="s">
        <v>24</v>
      </c>
      <c r="C647" s="9" t="s">
        <v>25</v>
      </c>
      <c r="D647" s="9" t="s">
        <v>26</v>
      </c>
      <c r="E647" s="10" t="n">
        <v>1789</v>
      </c>
      <c r="F647" s="9" t="s">
        <v>27</v>
      </c>
      <c r="G647" s="9" t="s">
        <v>27</v>
      </c>
      <c r="H647" s="11" t="n">
        <v>26</v>
      </c>
      <c r="I647" s="11" t="s">
        <v>377</v>
      </c>
      <c r="J647" s="14"/>
      <c r="K647" s="14"/>
      <c r="L647" s="16"/>
      <c r="M647" s="27" t="n">
        <f aca="false">J647+(K647/20)+(L647/240)</f>
        <v>0</v>
      </c>
      <c r="N647" s="17"/>
      <c r="O647" s="11"/>
      <c r="P647" s="28"/>
      <c r="Q647" s="28" t="n">
        <f aca="false">P647*$M647</f>
        <v>0</v>
      </c>
      <c r="R647" s="28"/>
      <c r="S647" s="28" t="n">
        <f aca="false">R647*$M647</f>
        <v>0</v>
      </c>
      <c r="T647" s="28"/>
      <c r="U647" s="28" t="n">
        <v>517</v>
      </c>
      <c r="V647" s="28"/>
      <c r="W647" s="28" t="n">
        <v>1243</v>
      </c>
      <c r="X647" s="28"/>
      <c r="Y647" s="28" t="n">
        <f aca="false">X647*$M647</f>
        <v>0</v>
      </c>
      <c r="Z647" s="28"/>
      <c r="AA647" s="28" t="n">
        <f aca="false">Z647*$M647</f>
        <v>0</v>
      </c>
      <c r="AB647" s="28"/>
      <c r="AC647" s="28" t="n">
        <v>694</v>
      </c>
      <c r="AD647" s="28"/>
      <c r="AE647" s="28" t="n">
        <f aca="false">AD647*$M647</f>
        <v>0</v>
      </c>
      <c r="AF647" s="28"/>
      <c r="AG647" s="28" t="n">
        <f aca="false">AF647*$M647</f>
        <v>0</v>
      </c>
      <c r="AH647" s="28"/>
      <c r="AI647" s="28" t="n">
        <f aca="false">AH647*$M647</f>
        <v>0</v>
      </c>
      <c r="AJ647" s="28"/>
      <c r="AK647" s="28" t="n">
        <v>664</v>
      </c>
      <c r="AL647" s="28"/>
      <c r="AM647" s="28" t="n">
        <v>161</v>
      </c>
      <c r="AN647" s="28"/>
      <c r="AO647" s="28" t="n">
        <f aca="false">AN647*$M647</f>
        <v>0</v>
      </c>
      <c r="AP647" s="28"/>
      <c r="AQ647" s="28" t="n">
        <f aca="false">AP647*$M647</f>
        <v>0</v>
      </c>
      <c r="AR647" s="28"/>
      <c r="AS647" s="28" t="n">
        <f aca="false">AR647*$M647</f>
        <v>0</v>
      </c>
      <c r="AT647" s="28"/>
      <c r="AU647" s="28" t="n">
        <f aca="false">AT647*$M647</f>
        <v>0</v>
      </c>
      <c r="AV647" s="28"/>
      <c r="AW647" s="28" t="n">
        <f aca="false">AV647*$M647</f>
        <v>0</v>
      </c>
      <c r="AX647" s="28"/>
      <c r="AY647" s="28" t="n">
        <f aca="false">AX647*$M647</f>
        <v>0</v>
      </c>
      <c r="AZ647" s="30"/>
      <c r="BA647" s="11" t="n">
        <v>3279</v>
      </c>
      <c r="BB647" s="31" t="n">
        <f aca="false">SUM(Q647,S647,U647,W647,Y647,AA647,AC647,AE647,AG647,AI647,AK647,AM647,AO647,AQ647,AS647,AU647,AW647,AY647)</f>
        <v>3279</v>
      </c>
      <c r="BC647" s="28" t="n">
        <f aca="false">BA647-BB647</f>
        <v>0</v>
      </c>
      <c r="BD647" s="32" t="n">
        <f aca="false">SUM(P647,R647,T647,V647,X647,Z647,AB647,AD647,AF647,AH647,AJ647,AL647,AN647,AP647,AR647,AT647,AV647,AX647)</f>
        <v>0</v>
      </c>
      <c r="BE647" s="33" t="n">
        <f aca="false">AZ647-BD647</f>
        <v>0</v>
      </c>
      <c r="BF647" s="34" t="n">
        <f aca="false">BD647*M647</f>
        <v>0</v>
      </c>
      <c r="BG647" s="35" t="n">
        <f aca="false">BA647-BF647</f>
        <v>3279</v>
      </c>
      <c r="BH647" s="19" t="str">
        <f aca="false">IF(BG647=0,"",IF(BG647&lt;&gt;BA647,"erreur de calcul",IF(BD647&lt;&gt;0,"pas de prix",IF(M647&lt;&gt; 0,"pas de quantité","pas de prix, ni de quantité"))))</f>
        <v>pas de prix, ni de quantité</v>
      </c>
      <c r="BI647" s="19"/>
    </row>
    <row r="648" customFormat="false" ht="16" hidden="false" customHeight="false" outlineLevel="0" collapsed="false">
      <c r="A648" s="0" t="n">
        <v>7</v>
      </c>
      <c r="B648" s="8" t="s">
        <v>24</v>
      </c>
      <c r="C648" s="9" t="s">
        <v>25</v>
      </c>
      <c r="D648" s="9" t="s">
        <v>26</v>
      </c>
      <c r="E648" s="10" t="n">
        <v>1789</v>
      </c>
      <c r="F648" s="9" t="s">
        <v>27</v>
      </c>
      <c r="G648" s="9" t="s">
        <v>27</v>
      </c>
      <c r="H648" s="11" t="n">
        <v>26</v>
      </c>
      <c r="I648" s="11" t="s">
        <v>378</v>
      </c>
      <c r="J648" s="14" t="n">
        <v>27</v>
      </c>
      <c r="K648" s="14"/>
      <c r="L648" s="16"/>
      <c r="M648" s="27" t="n">
        <f aca="false">J648+(K648/20)+(L648/240)</f>
        <v>27</v>
      </c>
      <c r="N648" s="17" t="s">
        <v>379</v>
      </c>
      <c r="O648" s="11" t="s">
        <v>98</v>
      </c>
      <c r="P648" s="28"/>
      <c r="Q648" s="28" t="n">
        <f aca="false">P648*$M648</f>
        <v>0</v>
      </c>
      <c r="R648" s="28"/>
      <c r="S648" s="28" t="n">
        <f aca="false">R648*$M648</f>
        <v>0</v>
      </c>
      <c r="T648" s="28"/>
      <c r="U648" s="28" t="n">
        <f aca="false">T648*$M648</f>
        <v>0</v>
      </c>
      <c r="V648" s="28"/>
      <c r="W648" s="28" t="n">
        <f aca="false">V648*$M648</f>
        <v>0</v>
      </c>
      <c r="X648" s="28"/>
      <c r="Y648" s="28" t="n">
        <f aca="false">X648*$M648</f>
        <v>0</v>
      </c>
      <c r="Z648" s="28"/>
      <c r="AA648" s="28" t="n">
        <f aca="false">Z648*$M648</f>
        <v>0</v>
      </c>
      <c r="AB648" s="28"/>
      <c r="AC648" s="28" t="n">
        <f aca="false">AB648*$M648</f>
        <v>0</v>
      </c>
      <c r="AD648" s="28"/>
      <c r="AE648" s="28" t="n">
        <f aca="false">AD648*$M648</f>
        <v>0</v>
      </c>
      <c r="AF648" s="28"/>
      <c r="AG648" s="28" t="n">
        <f aca="false">AF648*$M648</f>
        <v>0</v>
      </c>
      <c r="AH648" s="28"/>
      <c r="AI648" s="28" t="n">
        <f aca="false">AH648*$M648</f>
        <v>0</v>
      </c>
      <c r="AJ648" s="28"/>
      <c r="AK648" s="28" t="n">
        <f aca="false">AJ648*$M648</f>
        <v>0</v>
      </c>
      <c r="AL648" s="28"/>
      <c r="AM648" s="28" t="n">
        <f aca="false">AL648*$M648</f>
        <v>0</v>
      </c>
      <c r="AN648" s="28"/>
      <c r="AO648" s="28" t="n">
        <f aca="false">AN648*$M648</f>
        <v>0</v>
      </c>
      <c r="AP648" s="28"/>
      <c r="AQ648" s="28" t="n">
        <f aca="false">AP648*$M648</f>
        <v>0</v>
      </c>
      <c r="AR648" s="28"/>
      <c r="AS648" s="28" t="n">
        <f aca="false">AR648*$M648</f>
        <v>0</v>
      </c>
      <c r="AT648" s="28"/>
      <c r="AU648" s="28" t="n">
        <f aca="false">AT648*$M648</f>
        <v>0</v>
      </c>
      <c r="AV648" s="28"/>
      <c r="AW648" s="28" t="n">
        <f aca="false">AV648*$M648</f>
        <v>0</v>
      </c>
      <c r="AX648" s="28"/>
      <c r="AY648" s="28" t="n">
        <f aca="false">AX648*$M648</f>
        <v>0</v>
      </c>
      <c r="AZ648" s="30"/>
      <c r="BA648" s="11"/>
      <c r="BB648" s="31" t="n">
        <f aca="false">SUM(Q648,S648,U648,W648,Y648,AA648,AC648,AE648,AG648,AI648,AK648,AM648,AO648,AQ648,AS648,AU648,AW648,AY648)</f>
        <v>0</v>
      </c>
      <c r="BC648" s="28" t="n">
        <f aca="false">BA648-BB648</f>
        <v>0</v>
      </c>
      <c r="BD648" s="32" t="n">
        <f aca="false">SUM(P648,R648,T648,V648,X648,Z648,AB648,AD648,AF648,AH648,AJ648,AL648,AN648,AP648,AR648,AT648,AV648,AX648)</f>
        <v>0</v>
      </c>
      <c r="BE648" s="33" t="n">
        <f aca="false">AZ648-BD648</f>
        <v>0</v>
      </c>
      <c r="BF648" s="34" t="n">
        <f aca="false">BD648*M648</f>
        <v>0</v>
      </c>
      <c r="BG648" s="35" t="n">
        <f aca="false">BA648-BF648</f>
        <v>0</v>
      </c>
      <c r="BH648" s="19" t="str">
        <f aca="false">IF(BG648=0,"",IF(BG648&lt;&gt;BA648,"erreur de calcul",IF(BD648&lt;&gt;0,"pas de prix",IF(M648&lt;&gt; 0,"pas de quantité","pas de prix, ni de quantité"))))</f>
        <v/>
      </c>
      <c r="BI648" s="19"/>
    </row>
    <row r="649" customFormat="false" ht="16" hidden="false" customHeight="false" outlineLevel="0" collapsed="false">
      <c r="A649" s="0" t="n">
        <v>8</v>
      </c>
      <c r="B649" s="8" t="s">
        <v>24</v>
      </c>
      <c r="C649" s="9" t="s">
        <v>25</v>
      </c>
      <c r="D649" s="9" t="s">
        <v>26</v>
      </c>
      <c r="E649" s="10" t="n">
        <v>1789</v>
      </c>
      <c r="F649" s="9" t="s">
        <v>27</v>
      </c>
      <c r="G649" s="9" t="s">
        <v>27</v>
      </c>
      <c r="H649" s="11" t="n">
        <v>26</v>
      </c>
      <c r="I649" s="11" t="s">
        <v>380</v>
      </c>
      <c r="J649" s="14" t="n">
        <v>30</v>
      </c>
      <c r="K649" s="14"/>
      <c r="L649" s="16"/>
      <c r="M649" s="27" t="n">
        <f aca="false">J649+(K649/20)+(L649/240)</f>
        <v>30</v>
      </c>
      <c r="N649" s="17" t="s">
        <v>64</v>
      </c>
      <c r="O649" s="11"/>
      <c r="P649" s="28"/>
      <c r="Q649" s="28" t="n">
        <f aca="false">P649*$M649</f>
        <v>0</v>
      </c>
      <c r="R649" s="28"/>
      <c r="S649" s="28" t="n">
        <f aca="false">R649*$M649</f>
        <v>0</v>
      </c>
      <c r="T649" s="28"/>
      <c r="U649" s="28" t="n">
        <f aca="false">T649*$M649</f>
        <v>0</v>
      </c>
      <c r="V649" s="28"/>
      <c r="W649" s="28" t="n">
        <f aca="false">V649*$M649</f>
        <v>0</v>
      </c>
      <c r="X649" s="28"/>
      <c r="Y649" s="28" t="n">
        <f aca="false">X649*$M649</f>
        <v>0</v>
      </c>
      <c r="Z649" s="28"/>
      <c r="AA649" s="28" t="n">
        <f aca="false">Z649*$M649</f>
        <v>0</v>
      </c>
      <c r="AB649" s="28"/>
      <c r="AC649" s="28" t="n">
        <f aca="false">AB649*$M649</f>
        <v>0</v>
      </c>
      <c r="AD649" s="28"/>
      <c r="AE649" s="28" t="n">
        <f aca="false">AD649*$M649</f>
        <v>0</v>
      </c>
      <c r="AF649" s="28"/>
      <c r="AG649" s="28" t="n">
        <f aca="false">AF649*$M649</f>
        <v>0</v>
      </c>
      <c r="AH649" s="28"/>
      <c r="AI649" s="28" t="n">
        <f aca="false">AH649*$M649</f>
        <v>0</v>
      </c>
      <c r="AJ649" s="28"/>
      <c r="AK649" s="28" t="n">
        <f aca="false">AJ649*$M649</f>
        <v>0</v>
      </c>
      <c r="AL649" s="28"/>
      <c r="AM649" s="28" t="n">
        <f aca="false">AL649*$M649</f>
        <v>0</v>
      </c>
      <c r="AN649" s="28"/>
      <c r="AO649" s="28" t="n">
        <f aca="false">AN649*$M649</f>
        <v>0</v>
      </c>
      <c r="AP649" s="28"/>
      <c r="AQ649" s="28" t="n">
        <f aca="false">AP649*$M649</f>
        <v>0</v>
      </c>
      <c r="AR649" s="28"/>
      <c r="AS649" s="28" t="n">
        <f aca="false">AR649*$M649</f>
        <v>0</v>
      </c>
      <c r="AT649" s="28"/>
      <c r="AU649" s="28" t="n">
        <f aca="false">AT649*$M649</f>
        <v>0</v>
      </c>
      <c r="AV649" s="28" t="n">
        <f aca="false">5417/100</f>
        <v>54.17</v>
      </c>
      <c r="AW649" s="28" t="n">
        <v>1625</v>
      </c>
      <c r="AX649" s="28"/>
      <c r="AY649" s="28" t="n">
        <f aca="false">AX649*$M649</f>
        <v>0</v>
      </c>
      <c r="AZ649" s="30"/>
      <c r="BA649" s="11" t="n">
        <v>1625</v>
      </c>
      <c r="BB649" s="31" t="n">
        <f aca="false">SUM(Q649,S649,U649,W649,Y649,AA649,AC649,AE649,AG649,AI649,AK649,AM649,AO649,AQ649,AS649,AU649,AW649,AY649)</f>
        <v>1625</v>
      </c>
      <c r="BC649" s="28" t="n">
        <f aca="false">BA649-BB649</f>
        <v>0</v>
      </c>
      <c r="BD649" s="32" t="n">
        <f aca="false">SUM(P649,R649,T649,V649,X649,Z649,AB649,AD649,AF649,AH649,AJ649,AL649,AN649,AP649,AR649,AT649,AV649,AX649)</f>
        <v>54.17</v>
      </c>
      <c r="BE649" s="33" t="n">
        <f aca="false">AZ649-BD649</f>
        <v>-54.17</v>
      </c>
      <c r="BF649" s="34" t="n">
        <f aca="false">BD649*M649</f>
        <v>1625.1</v>
      </c>
      <c r="BG649" s="35" t="n">
        <f aca="false">BA649-BF649</f>
        <v>-0.100000000000136</v>
      </c>
      <c r="BH649" s="19" t="str">
        <f aca="false">IF(BG649=0,"",IF(BG649&lt;&gt;BA649,"erreur de calcul",IF(BD649&lt;&gt;0,"pas de prix",IF(M649&lt;&gt; 0,"pas de quantité","pas de prix, ni de quantité"))))</f>
        <v>erreur de calcul</v>
      </c>
      <c r="BI649" s="19"/>
    </row>
    <row r="650" customFormat="false" ht="16" hidden="false" customHeight="false" outlineLevel="0" collapsed="false">
      <c r="A650" s="0" t="n">
        <v>9</v>
      </c>
      <c r="B650" s="8" t="s">
        <v>24</v>
      </c>
      <c r="C650" s="9" t="s">
        <v>25</v>
      </c>
      <c r="D650" s="9" t="s">
        <v>26</v>
      </c>
      <c r="E650" s="10" t="n">
        <v>1789</v>
      </c>
      <c r="F650" s="9" t="s">
        <v>27</v>
      </c>
      <c r="G650" s="9" t="s">
        <v>27</v>
      </c>
      <c r="H650" s="11" t="n">
        <v>26</v>
      </c>
      <c r="I650" s="11" t="s">
        <v>381</v>
      </c>
      <c r="J650" s="14" t="n">
        <v>6</v>
      </c>
      <c r="K650" s="14"/>
      <c r="L650" s="16"/>
      <c r="M650" s="27" t="n">
        <f aca="false">J650+(K650/20)+(L650/240)</f>
        <v>6</v>
      </c>
      <c r="N650" s="17" t="s">
        <v>379</v>
      </c>
      <c r="O650" s="11" t="s">
        <v>98</v>
      </c>
      <c r="P650" s="28"/>
      <c r="Q650" s="28" t="n">
        <f aca="false">P650*$M650</f>
        <v>0</v>
      </c>
      <c r="R650" s="28"/>
      <c r="S650" s="28" t="n">
        <f aca="false">R650*$M650</f>
        <v>0</v>
      </c>
      <c r="T650" s="28"/>
      <c r="U650" s="28" t="n">
        <f aca="false">T650*$M650</f>
        <v>0</v>
      </c>
      <c r="V650" s="28"/>
      <c r="W650" s="28" t="n">
        <f aca="false">V650*$M650</f>
        <v>0</v>
      </c>
      <c r="X650" s="28"/>
      <c r="Y650" s="28" t="n">
        <f aca="false">X650*$M650</f>
        <v>0</v>
      </c>
      <c r="Z650" s="28"/>
      <c r="AA650" s="28" t="n">
        <f aca="false">Z650*$M650</f>
        <v>0</v>
      </c>
      <c r="AB650" s="28"/>
      <c r="AC650" s="28" t="n">
        <f aca="false">AB650*$M650</f>
        <v>0</v>
      </c>
      <c r="AD650" s="28"/>
      <c r="AE650" s="28" t="n">
        <f aca="false">AD650*$M650</f>
        <v>0</v>
      </c>
      <c r="AF650" s="28"/>
      <c r="AG650" s="28" t="n">
        <f aca="false">AF650*$M650</f>
        <v>0</v>
      </c>
      <c r="AH650" s="28"/>
      <c r="AI650" s="28" t="n">
        <f aca="false">AH650*$M650</f>
        <v>0</v>
      </c>
      <c r="AJ650" s="28"/>
      <c r="AK650" s="28" t="n">
        <f aca="false">AJ650*$M650</f>
        <v>0</v>
      </c>
      <c r="AL650" s="28"/>
      <c r="AM650" s="28" t="n">
        <f aca="false">AL650*$M650</f>
        <v>0</v>
      </c>
      <c r="AN650" s="28"/>
      <c r="AO650" s="28" t="n">
        <f aca="false">AN650*$M650</f>
        <v>0</v>
      </c>
      <c r="AP650" s="28"/>
      <c r="AQ650" s="28" t="n">
        <f aca="false">AP650*$M650</f>
        <v>0</v>
      </c>
      <c r="AR650" s="28"/>
      <c r="AS650" s="28" t="n">
        <f aca="false">AR650*$M650</f>
        <v>0</v>
      </c>
      <c r="AT650" s="28"/>
      <c r="AU650" s="28" t="n">
        <f aca="false">AT650*$M650</f>
        <v>0</v>
      </c>
      <c r="AV650" s="28"/>
      <c r="AW650" s="28" t="n">
        <f aca="false">AV650*$M650</f>
        <v>0</v>
      </c>
      <c r="AX650" s="28"/>
      <c r="AY650" s="28" t="n">
        <f aca="false">AX650*$M650</f>
        <v>0</v>
      </c>
      <c r="AZ650" s="30"/>
      <c r="BA650" s="11"/>
      <c r="BB650" s="31" t="n">
        <f aca="false">SUM(Q650,S650,U650,W650,Y650,AA650,AC650,AE650,AG650,AI650,AK650,AM650,AO650,AQ650,AS650,AU650,AW650,AY650)</f>
        <v>0</v>
      </c>
      <c r="BC650" s="28" t="n">
        <f aca="false">BA650-BB650</f>
        <v>0</v>
      </c>
      <c r="BD650" s="32" t="n">
        <f aca="false">SUM(P650,R650,T650,V650,X650,Z650,AB650,AD650,AF650,AH650,AJ650,AL650,AN650,AP650,AR650,AT650,AV650,AX650)</f>
        <v>0</v>
      </c>
      <c r="BE650" s="33" t="n">
        <f aca="false">AZ650-BD650</f>
        <v>0</v>
      </c>
      <c r="BF650" s="34" t="n">
        <f aca="false">BD650*M650</f>
        <v>0</v>
      </c>
      <c r="BG650" s="35" t="n">
        <f aca="false">BA650-BF650</f>
        <v>0</v>
      </c>
      <c r="BH650" s="19" t="str">
        <f aca="false">IF(BG650=0,"",IF(BG650&lt;&gt;BA650,"erreur de calcul",IF(BD650&lt;&gt;0,"pas de prix",IF(M650&lt;&gt; 0,"pas de quantité","pas de prix, ni de quantité"))))</f>
        <v/>
      </c>
      <c r="BI650" s="19"/>
    </row>
    <row r="651" customFormat="false" ht="16" hidden="false" customHeight="false" outlineLevel="0" collapsed="false">
      <c r="A651" s="0" t="n">
        <v>10</v>
      </c>
      <c r="B651" s="8" t="s">
        <v>24</v>
      </c>
      <c r="C651" s="9" t="s">
        <v>25</v>
      </c>
      <c r="D651" s="9" t="s">
        <v>26</v>
      </c>
      <c r="E651" s="10" t="n">
        <v>1789</v>
      </c>
      <c r="F651" s="9" t="s">
        <v>27</v>
      </c>
      <c r="G651" s="9" t="s">
        <v>27</v>
      </c>
      <c r="H651" s="11" t="n">
        <v>26</v>
      </c>
      <c r="I651" s="11" t="s">
        <v>381</v>
      </c>
      <c r="J651" s="14" t="n">
        <v>40</v>
      </c>
      <c r="K651" s="14"/>
      <c r="L651" s="16"/>
      <c r="M651" s="27" t="n">
        <f aca="false">J651+(K651/20)+(L651/240)</f>
        <v>40</v>
      </c>
      <c r="N651" s="17" t="s">
        <v>382</v>
      </c>
      <c r="O651" s="11" t="s">
        <v>98</v>
      </c>
      <c r="P651" s="28"/>
      <c r="Q651" s="28" t="n">
        <f aca="false">P651*$M651</f>
        <v>0</v>
      </c>
      <c r="R651" s="28"/>
      <c r="S651" s="28" t="n">
        <f aca="false">R651*$M651</f>
        <v>0</v>
      </c>
      <c r="T651" s="28"/>
      <c r="U651" s="28" t="n">
        <f aca="false">T651*$M651</f>
        <v>0</v>
      </c>
      <c r="V651" s="28"/>
      <c r="W651" s="28" t="n">
        <f aca="false">V651*$M651</f>
        <v>0</v>
      </c>
      <c r="X651" s="28"/>
      <c r="Y651" s="28" t="n">
        <f aca="false">X651*$M651</f>
        <v>0</v>
      </c>
      <c r="Z651" s="28"/>
      <c r="AA651" s="28" t="n">
        <f aca="false">Z651*$M651</f>
        <v>0</v>
      </c>
      <c r="AB651" s="28"/>
      <c r="AC651" s="28" t="n">
        <f aca="false">AB651*$M651</f>
        <v>0</v>
      </c>
      <c r="AD651" s="28"/>
      <c r="AE651" s="28" t="n">
        <f aca="false">AD651*$M651</f>
        <v>0</v>
      </c>
      <c r="AF651" s="28"/>
      <c r="AG651" s="28" t="n">
        <f aca="false">AF651*$M651</f>
        <v>0</v>
      </c>
      <c r="AH651" s="28"/>
      <c r="AI651" s="28" t="n">
        <f aca="false">AH651*$M651</f>
        <v>0</v>
      </c>
      <c r="AJ651" s="28"/>
      <c r="AK651" s="28" t="n">
        <f aca="false">AJ651*$M651</f>
        <v>0</v>
      </c>
      <c r="AL651" s="28"/>
      <c r="AM651" s="28" t="n">
        <f aca="false">AL651*$M651</f>
        <v>0</v>
      </c>
      <c r="AN651" s="28"/>
      <c r="AO651" s="28" t="n">
        <f aca="false">AN651*$M651</f>
        <v>0</v>
      </c>
      <c r="AP651" s="28"/>
      <c r="AQ651" s="28" t="n">
        <f aca="false">AP651*$M651</f>
        <v>0</v>
      </c>
      <c r="AR651" s="28"/>
      <c r="AS651" s="28" t="n">
        <f aca="false">AR651*$M651</f>
        <v>0</v>
      </c>
      <c r="AT651" s="28"/>
      <c r="AU651" s="28" t="n">
        <f aca="false">AT651*$M651</f>
        <v>0</v>
      </c>
      <c r="AV651" s="28"/>
      <c r="AW651" s="28" t="n">
        <f aca="false">AV651*$M651</f>
        <v>0</v>
      </c>
      <c r="AX651" s="28"/>
      <c r="AY651" s="28" t="n">
        <f aca="false">AX651*$M651</f>
        <v>0</v>
      </c>
      <c r="AZ651" s="30"/>
      <c r="BA651" s="11"/>
      <c r="BB651" s="31" t="n">
        <f aca="false">SUM(Q651,S651,U651,W651,Y651,AA651,AC651,AE651,AG651,AI651,AK651,AM651,AO651,AQ651,AS651,AU651,AW651,AY651)</f>
        <v>0</v>
      </c>
      <c r="BC651" s="28" t="n">
        <f aca="false">BA651-BB651</f>
        <v>0</v>
      </c>
      <c r="BD651" s="32" t="n">
        <f aca="false">SUM(P651,R651,T651,V651,X651,Z651,AB651,AD651,AF651,AH651,AJ651,AL651,AN651,AP651,AR651,AT651,AV651,AX651)</f>
        <v>0</v>
      </c>
      <c r="BE651" s="33" t="n">
        <f aca="false">AZ651-BD651</f>
        <v>0</v>
      </c>
      <c r="BF651" s="34" t="n">
        <f aca="false">BD651*M651</f>
        <v>0</v>
      </c>
      <c r="BG651" s="35" t="n">
        <f aca="false">BA651-BF651</f>
        <v>0</v>
      </c>
      <c r="BH651" s="19" t="str">
        <f aca="false">IF(BG651=0,"",IF(BG651&lt;&gt;BA651,"erreur de calcul",IF(BD651&lt;&gt;0,"pas de prix",IF(M651&lt;&gt; 0,"pas de quantité","pas de prix, ni de quantité"))))</f>
        <v/>
      </c>
      <c r="BI651" s="19"/>
    </row>
    <row r="652" customFormat="false" ht="16" hidden="false" customHeight="false" outlineLevel="0" collapsed="false">
      <c r="A652" s="0" t="n">
        <v>11</v>
      </c>
      <c r="B652" s="8" t="s">
        <v>24</v>
      </c>
      <c r="C652" s="9" t="s">
        <v>25</v>
      </c>
      <c r="D652" s="9" t="s">
        <v>26</v>
      </c>
      <c r="E652" s="10" t="n">
        <v>1789</v>
      </c>
      <c r="F652" s="9" t="s">
        <v>27</v>
      </c>
      <c r="G652" s="9" t="s">
        <v>27</v>
      </c>
      <c r="H652" s="11" t="n">
        <v>26</v>
      </c>
      <c r="I652" s="11" t="s">
        <v>383</v>
      </c>
      <c r="J652" s="14" t="n">
        <v>50</v>
      </c>
      <c r="K652" s="14"/>
      <c r="L652" s="16"/>
      <c r="M652" s="27" t="n">
        <f aca="false">J652+(K652/20)+(L652/240)</f>
        <v>50</v>
      </c>
      <c r="N652" s="17" t="s">
        <v>64</v>
      </c>
      <c r="O652" s="11"/>
      <c r="P652" s="28" t="n">
        <f aca="false">54967/100</f>
        <v>549.67</v>
      </c>
      <c r="Q652" s="28" t="n">
        <v>27483</v>
      </c>
      <c r="R652" s="28"/>
      <c r="S652" s="28" t="n">
        <f aca="false">R652*$M652</f>
        <v>0</v>
      </c>
      <c r="T652" s="28" t="n">
        <f aca="false">74693/100</f>
        <v>746.93</v>
      </c>
      <c r="U652" s="28" t="n">
        <v>37346</v>
      </c>
      <c r="V652" s="28" t="n">
        <f aca="false">161729/100</f>
        <v>1617.29</v>
      </c>
      <c r="W652" s="28" t="n">
        <v>80864</v>
      </c>
      <c r="X652" s="28" t="n">
        <f aca="false">106689/100</f>
        <v>1066.89</v>
      </c>
      <c r="Y652" s="28" t="n">
        <v>53344</v>
      </c>
      <c r="Z652" s="28"/>
      <c r="AA652" s="28" t="n">
        <f aca="false">Z652*$M652</f>
        <v>0</v>
      </c>
      <c r="AB652" s="28"/>
      <c r="AC652" s="28" t="n">
        <f aca="false">AB652*$M652</f>
        <v>0</v>
      </c>
      <c r="AD652" s="28"/>
      <c r="AE652" s="28" t="n">
        <f aca="false">AD652*$M652</f>
        <v>0</v>
      </c>
      <c r="AF652" s="28"/>
      <c r="AG652" s="28" t="n">
        <f aca="false">AF652*$M652</f>
        <v>0</v>
      </c>
      <c r="AH652" s="28"/>
      <c r="AI652" s="28" t="n">
        <f aca="false">AH652*$M652</f>
        <v>0</v>
      </c>
      <c r="AJ652" s="28"/>
      <c r="AK652" s="28" t="n">
        <f aca="false">AJ652*$M652</f>
        <v>0</v>
      </c>
      <c r="AL652" s="28"/>
      <c r="AM652" s="28" t="n">
        <f aca="false">AL652*$M652</f>
        <v>0</v>
      </c>
      <c r="AN652" s="28"/>
      <c r="AO652" s="28" t="n">
        <f aca="false">AN652*$M652</f>
        <v>0</v>
      </c>
      <c r="AP652" s="28"/>
      <c r="AQ652" s="28" t="n">
        <f aca="false">AP652*$M652</f>
        <v>0</v>
      </c>
      <c r="AR652" s="28"/>
      <c r="AS652" s="28" t="n">
        <f aca="false">AR652*$M652</f>
        <v>0</v>
      </c>
      <c r="AT652" s="28"/>
      <c r="AU652" s="28" t="n">
        <f aca="false">AT652*$M652</f>
        <v>0</v>
      </c>
      <c r="AV652" s="28"/>
      <c r="AW652" s="28" t="n">
        <f aca="false">AV652*$M652</f>
        <v>0</v>
      </c>
      <c r="AX652" s="28"/>
      <c r="AY652" s="28" t="n">
        <f aca="false">AX652*$M652</f>
        <v>0</v>
      </c>
      <c r="AZ652" s="30" t="n">
        <f aca="false">398078/100</f>
        <v>3980.78</v>
      </c>
      <c r="BA652" s="11" t="n">
        <v>199037</v>
      </c>
      <c r="BB652" s="31" t="n">
        <f aca="false">SUM(Q652,S652,U652,W652,Y652,AA652,AC652,AE652,AG652,AI652,AK652,AM652,AO652,AQ652,AS652,AU652,AW652,AY652)</f>
        <v>199037</v>
      </c>
      <c r="BC652" s="28" t="n">
        <f aca="false">BA652-BB652</f>
        <v>0</v>
      </c>
      <c r="BD652" s="32" t="n">
        <f aca="false">SUM(P652,R652,T652,V652,X652,Z652,AB652,AD652,AF652,AH652,AJ652,AL652,AN652,AP652,AR652,AT652,AV652,AX652)</f>
        <v>3980.78</v>
      </c>
      <c r="BE652" s="33" t="n">
        <f aca="false">AZ652-BD652</f>
        <v>0</v>
      </c>
      <c r="BF652" s="34" t="n">
        <f aca="false">BD652*M652</f>
        <v>199039</v>
      </c>
      <c r="BG652" s="35" t="n">
        <f aca="false">BA652-BF652</f>
        <v>-2</v>
      </c>
      <c r="BH652" s="19" t="str">
        <f aca="false">IF(BG652=0,"",IF(BG652&lt;&gt;BA652,"erreur de calcul",IF(BD652&lt;&gt;0,"pas de prix",IF(M652&lt;&gt; 0,"pas de quantité","pas de prix, ni de quantité"))))</f>
        <v>erreur de calcul</v>
      </c>
      <c r="BI652" s="19"/>
    </row>
    <row r="653" customFormat="false" ht="16" hidden="false" customHeight="false" outlineLevel="0" collapsed="false">
      <c r="A653" s="0" t="n">
        <v>12</v>
      </c>
      <c r="B653" s="8" t="s">
        <v>24</v>
      </c>
      <c r="C653" s="9" t="s">
        <v>25</v>
      </c>
      <c r="D653" s="9" t="s">
        <v>26</v>
      </c>
      <c r="E653" s="10" t="n">
        <v>1789</v>
      </c>
      <c r="F653" s="9" t="s">
        <v>27</v>
      </c>
      <c r="G653" s="9" t="s">
        <v>27</v>
      </c>
      <c r="H653" s="11" t="n">
        <v>26</v>
      </c>
      <c r="I653" s="11" t="s">
        <v>384</v>
      </c>
      <c r="J653" s="14" t="n">
        <v>27</v>
      </c>
      <c r="K653" s="14"/>
      <c r="L653" s="16"/>
      <c r="M653" s="27" t="n">
        <f aca="false">J653+(K653/20)+(L653/240)</f>
        <v>27</v>
      </c>
      <c r="N653" s="17" t="s">
        <v>64</v>
      </c>
      <c r="O653" s="11"/>
      <c r="P653" s="28"/>
      <c r="Q653" s="28" t="n">
        <f aca="false">P653*$M653</f>
        <v>0</v>
      </c>
      <c r="R653" s="28"/>
      <c r="S653" s="28" t="n">
        <f aca="false">R653*$M653</f>
        <v>0</v>
      </c>
      <c r="T653" s="28"/>
      <c r="U653" s="28" t="n">
        <f aca="false">T653*$M653</f>
        <v>0</v>
      </c>
      <c r="V653" s="28"/>
      <c r="W653" s="28" t="n">
        <f aca="false">V653*$M653</f>
        <v>0</v>
      </c>
      <c r="X653" s="28" t="n">
        <f aca="false">13334/100</f>
        <v>133.34</v>
      </c>
      <c r="Y653" s="28" t="n">
        <v>3600</v>
      </c>
      <c r="Z653" s="28"/>
      <c r="AA653" s="28" t="n">
        <f aca="false">Z653*$M653</f>
        <v>0</v>
      </c>
      <c r="AB653" s="28"/>
      <c r="AC653" s="28" t="n">
        <f aca="false">AB653*$M653</f>
        <v>0</v>
      </c>
      <c r="AD653" s="28"/>
      <c r="AE653" s="28" t="n">
        <f aca="false">AD653*$M653</f>
        <v>0</v>
      </c>
      <c r="AF653" s="28"/>
      <c r="AG653" s="28" t="n">
        <f aca="false">AF653*$M653</f>
        <v>0</v>
      </c>
      <c r="AH653" s="28"/>
      <c r="AI653" s="28" t="n">
        <f aca="false">AH653*$M653</f>
        <v>0</v>
      </c>
      <c r="AJ653" s="28"/>
      <c r="AK653" s="28" t="n">
        <f aca="false">AJ653*$M653</f>
        <v>0</v>
      </c>
      <c r="AL653" s="28"/>
      <c r="AM653" s="28" t="n">
        <f aca="false">AL653*$M653</f>
        <v>0</v>
      </c>
      <c r="AN653" s="28"/>
      <c r="AO653" s="28" t="n">
        <f aca="false">AN653*$M653</f>
        <v>0</v>
      </c>
      <c r="AP653" s="28"/>
      <c r="AQ653" s="28" t="n">
        <f aca="false">AP653*$M653</f>
        <v>0</v>
      </c>
      <c r="AR653" s="28"/>
      <c r="AS653" s="28" t="n">
        <f aca="false">AR653*$M653</f>
        <v>0</v>
      </c>
      <c r="AT653" s="28"/>
      <c r="AU653" s="28" t="n">
        <f aca="false">AT653*$M653</f>
        <v>0</v>
      </c>
      <c r="AV653" s="28"/>
      <c r="AW653" s="28" t="n">
        <f aca="false">AV653*$M653</f>
        <v>0</v>
      </c>
      <c r="AX653" s="28"/>
      <c r="AY653" s="28" t="n">
        <f aca="false">AX653*$M653</f>
        <v>0</v>
      </c>
      <c r="AZ653" s="30" t="n">
        <f aca="false">13334/100</f>
        <v>133.34</v>
      </c>
      <c r="BA653" s="11" t="n">
        <v>3600</v>
      </c>
      <c r="BB653" s="31" t="n">
        <f aca="false">SUM(Q653,S653,U653,W653,Y653,AA653,AC653,AE653,AG653,AI653,AK653,AM653,AO653,AQ653,AS653,AU653,AW653,AY653)</f>
        <v>3600</v>
      </c>
      <c r="BC653" s="28" t="n">
        <f aca="false">BA653-BB653</f>
        <v>0</v>
      </c>
      <c r="BD653" s="32" t="n">
        <f aca="false">SUM(P653,R653,T653,V653,X653,Z653,AB653,AD653,AF653,AH653,AJ653,AL653,AN653,AP653,AR653,AT653,AV653,AX653)</f>
        <v>133.34</v>
      </c>
      <c r="BE653" s="33" t="n">
        <f aca="false">AZ653-BD653</f>
        <v>0</v>
      </c>
      <c r="BF653" s="34" t="n">
        <f aca="false">BD653*M653</f>
        <v>3600.18</v>
      </c>
      <c r="BG653" s="35" t="n">
        <f aca="false">BA653-BF653</f>
        <v>-0.180000000000291</v>
      </c>
      <c r="BH653" s="19" t="str">
        <f aca="false">IF(BG653=0,"",IF(BG653&lt;&gt;BA653,"erreur de calcul",IF(BD653&lt;&gt;0,"pas de prix",IF(M653&lt;&gt; 0,"pas de quantité","pas de prix, ni de quantité"))))</f>
        <v>erreur de calcul</v>
      </c>
      <c r="BI653" s="19"/>
    </row>
    <row r="654" customFormat="false" ht="16" hidden="false" customHeight="false" outlineLevel="0" collapsed="false">
      <c r="A654" s="0" t="n">
        <v>13</v>
      </c>
      <c r="B654" s="8" t="s">
        <v>24</v>
      </c>
      <c r="C654" s="9" t="s">
        <v>25</v>
      </c>
      <c r="D654" s="9" t="s">
        <v>26</v>
      </c>
      <c r="E654" s="10" t="n">
        <v>1789</v>
      </c>
      <c r="F654" s="9" t="s">
        <v>27</v>
      </c>
      <c r="G654" s="9" t="s">
        <v>27</v>
      </c>
      <c r="H654" s="11" t="n">
        <v>26</v>
      </c>
      <c r="I654" s="11" t="s">
        <v>385</v>
      </c>
      <c r="J654" s="14" t="n">
        <v>40</v>
      </c>
      <c r="K654" s="14"/>
      <c r="L654" s="16"/>
      <c r="M654" s="27" t="n">
        <f aca="false">J654+(K654/20)+(L654/240)</f>
        <v>40</v>
      </c>
      <c r="N654" s="17" t="s">
        <v>64</v>
      </c>
      <c r="O654" s="11"/>
      <c r="P654" s="28"/>
      <c r="Q654" s="28" t="n">
        <f aca="false">P654*$M654</f>
        <v>0</v>
      </c>
      <c r="R654" s="28"/>
      <c r="S654" s="28" t="n">
        <f aca="false">R654*$M654</f>
        <v>0</v>
      </c>
      <c r="T654" s="28" t="n">
        <f aca="false">13801/100</f>
        <v>138.01</v>
      </c>
      <c r="U654" s="28" t="n">
        <v>5520</v>
      </c>
      <c r="V654" s="28"/>
      <c r="W654" s="28" t="n">
        <f aca="false">V654*$M654</f>
        <v>0</v>
      </c>
      <c r="X654" s="28"/>
      <c r="Y654" s="28" t="n">
        <f aca="false">X654*$M654</f>
        <v>0</v>
      </c>
      <c r="Z654" s="28"/>
      <c r="AA654" s="28" t="n">
        <f aca="false">Z654*$M654</f>
        <v>0</v>
      </c>
      <c r="AB654" s="28"/>
      <c r="AC654" s="28" t="n">
        <f aca="false">AB654*$M654</f>
        <v>0</v>
      </c>
      <c r="AD654" s="28"/>
      <c r="AE654" s="28" t="n">
        <f aca="false">AD654*$M654</f>
        <v>0</v>
      </c>
      <c r="AF654" s="28"/>
      <c r="AG654" s="28" t="n">
        <f aca="false">AF654*$M654</f>
        <v>0</v>
      </c>
      <c r="AH654" s="28"/>
      <c r="AI654" s="28" t="n">
        <f aca="false">AH654*$M654</f>
        <v>0</v>
      </c>
      <c r="AJ654" s="28"/>
      <c r="AK654" s="28" t="n">
        <f aca="false">AJ654*$M654</f>
        <v>0</v>
      </c>
      <c r="AL654" s="28"/>
      <c r="AM654" s="28" t="n">
        <f aca="false">AL654*$M654</f>
        <v>0</v>
      </c>
      <c r="AN654" s="28"/>
      <c r="AO654" s="28" t="n">
        <f aca="false">AN654*$M654</f>
        <v>0</v>
      </c>
      <c r="AP654" s="28"/>
      <c r="AQ654" s="28" t="n">
        <f aca="false">AP654*$M654</f>
        <v>0</v>
      </c>
      <c r="AR654" s="28"/>
      <c r="AS654" s="28" t="n">
        <f aca="false">AR654*$M654</f>
        <v>0</v>
      </c>
      <c r="AT654" s="28"/>
      <c r="AU654" s="28" t="n">
        <f aca="false">AT654*$M654</f>
        <v>0</v>
      </c>
      <c r="AV654" s="28"/>
      <c r="AW654" s="28" t="n">
        <f aca="false">AV654*$M654</f>
        <v>0</v>
      </c>
      <c r="AX654" s="28"/>
      <c r="AY654" s="28" t="n">
        <f aca="false">AX654*$M654</f>
        <v>0</v>
      </c>
      <c r="AZ654" s="30" t="n">
        <f aca="false">13801/100</f>
        <v>138.01</v>
      </c>
      <c r="BA654" s="11" t="n">
        <v>5520</v>
      </c>
      <c r="BB654" s="31" t="n">
        <f aca="false">SUM(Q654,S654,U654,W654,Y654,AA654,AC654,AE654,AG654,AI654,AK654,AM654,AO654,AQ654,AS654,AU654,AW654,AY654)</f>
        <v>5520</v>
      </c>
      <c r="BC654" s="28" t="n">
        <f aca="false">BA654-BB654</f>
        <v>0</v>
      </c>
      <c r="BD654" s="32" t="n">
        <f aca="false">SUM(P654,R654,T654,V654,X654,Z654,AB654,AD654,AF654,AH654,AJ654,AL654,AN654,AP654,AR654,AT654,AV654,AX654)</f>
        <v>138.01</v>
      </c>
      <c r="BE654" s="33" t="n">
        <f aca="false">AZ654-BD654</f>
        <v>0</v>
      </c>
      <c r="BF654" s="34" t="n">
        <f aca="false">BD654*M654</f>
        <v>5520.4</v>
      </c>
      <c r="BG654" s="35" t="n">
        <f aca="false">BA654-BF654</f>
        <v>-0.399999999999636</v>
      </c>
      <c r="BH654" s="19" t="str">
        <f aca="false">IF(BG654=0,"",IF(BG654&lt;&gt;BA654,"erreur de calcul",IF(BD654&lt;&gt;0,"pas de prix",IF(M654&lt;&gt; 0,"pas de quantité","pas de prix, ni de quantité"))))</f>
        <v>erreur de calcul</v>
      </c>
      <c r="BI654" s="19"/>
    </row>
    <row r="655" customFormat="false" ht="16" hidden="false" customHeight="false" outlineLevel="0" collapsed="false">
      <c r="A655" s="0" t="n">
        <v>14</v>
      </c>
      <c r="B655" s="8" t="s">
        <v>24</v>
      </c>
      <c r="C655" s="9" t="s">
        <v>25</v>
      </c>
      <c r="D655" s="9" t="s">
        <v>26</v>
      </c>
      <c r="E655" s="10" t="n">
        <v>1789</v>
      </c>
      <c r="F655" s="9" t="s">
        <v>27</v>
      </c>
      <c r="G655" s="9" t="s">
        <v>27</v>
      </c>
      <c r="H655" s="11" t="n">
        <v>26</v>
      </c>
      <c r="I655" s="11" t="s">
        <v>386</v>
      </c>
      <c r="J655" s="14" t="n">
        <v>10</v>
      </c>
      <c r="K655" s="14"/>
      <c r="L655" s="16"/>
      <c r="M655" s="27" t="n">
        <f aca="false">J655+(K655/20)+(L655/240)</f>
        <v>10</v>
      </c>
      <c r="N655" s="17" t="s">
        <v>387</v>
      </c>
      <c r="O655" s="11" t="s">
        <v>77</v>
      </c>
      <c r="P655" s="28" t="n">
        <v>30740</v>
      </c>
      <c r="Q655" s="28" t="n">
        <v>307400</v>
      </c>
      <c r="R655" s="28"/>
      <c r="S655" s="28" t="n">
        <f aca="false">R655*$M655</f>
        <v>0</v>
      </c>
      <c r="T655" s="28" t="n">
        <v>1357</v>
      </c>
      <c r="U655" s="28" t="n">
        <v>13570</v>
      </c>
      <c r="V655" s="28" t="n">
        <v>115</v>
      </c>
      <c r="W655" s="28" t="n">
        <v>1150</v>
      </c>
      <c r="X655" s="28"/>
      <c r="Y655" s="28" t="n">
        <f aca="false">X655*$M655</f>
        <v>0</v>
      </c>
      <c r="Z655" s="28"/>
      <c r="AA655" s="28" t="n">
        <f aca="false">Z655*$M655</f>
        <v>0</v>
      </c>
      <c r="AB655" s="28"/>
      <c r="AC655" s="28" t="n">
        <f aca="false">AB655*$M655</f>
        <v>0</v>
      </c>
      <c r="AD655" s="28"/>
      <c r="AE655" s="28" t="n">
        <f aca="false">AD655*$M655</f>
        <v>0</v>
      </c>
      <c r="AF655" s="28"/>
      <c r="AG655" s="28" t="n">
        <f aca="false">AF655*$M655</f>
        <v>0</v>
      </c>
      <c r="AH655" s="28"/>
      <c r="AI655" s="28" t="n">
        <f aca="false">AH655*$M655</f>
        <v>0</v>
      </c>
      <c r="AJ655" s="28"/>
      <c r="AK655" s="28" t="n">
        <f aca="false">AJ655*$M655</f>
        <v>0</v>
      </c>
      <c r="AL655" s="28"/>
      <c r="AM655" s="28" t="n">
        <f aca="false">AL655*$M655</f>
        <v>0</v>
      </c>
      <c r="AN655" s="28"/>
      <c r="AO655" s="28" t="n">
        <f aca="false">AN655*$M655</f>
        <v>0</v>
      </c>
      <c r="AP655" s="28"/>
      <c r="AQ655" s="28" t="n">
        <f aca="false">AP655*$M655</f>
        <v>0</v>
      </c>
      <c r="AR655" s="28"/>
      <c r="AS655" s="28" t="n">
        <f aca="false">AR655*$M655</f>
        <v>0</v>
      </c>
      <c r="AT655" s="28"/>
      <c r="AU655" s="28" t="n">
        <f aca="false">AT655*$M655</f>
        <v>0</v>
      </c>
      <c r="AV655" s="28"/>
      <c r="AW655" s="28" t="n">
        <f aca="false">AV655*$M655</f>
        <v>0</v>
      </c>
      <c r="AX655" s="28"/>
      <c r="AY655" s="28" t="n">
        <f aca="false">AX655*$M655</f>
        <v>0</v>
      </c>
      <c r="AZ655" s="30" t="n">
        <f aca="false">32212/100</f>
        <v>322.12</v>
      </c>
      <c r="BA655" s="11" t="n">
        <v>322120</v>
      </c>
      <c r="BB655" s="31" t="n">
        <f aca="false">SUM(Q655,S655,U655,W655,Y655,AA655,AC655,AE655,AG655,AI655,AK655,AM655,AO655,AQ655,AS655,AU655,AW655,AY655)</f>
        <v>322120</v>
      </c>
      <c r="BC655" s="28" t="n">
        <f aca="false">BA655-BB655</f>
        <v>0</v>
      </c>
      <c r="BD655" s="32" t="n">
        <f aca="false">SUM(P655,R655,T655,V655,X655,Z655,AB655,AD655,AF655,AH655,AJ655,AL655,AN655,AP655,AR655,AT655,AV655,AX655)</f>
        <v>32212</v>
      </c>
      <c r="BE655" s="33" t="n">
        <f aca="false">AZ655-BD655</f>
        <v>-31889.88</v>
      </c>
      <c r="BF655" s="34" t="n">
        <f aca="false">BD655*M655</f>
        <v>322120</v>
      </c>
      <c r="BG655" s="35" t="n">
        <f aca="false">BA655-BF655</f>
        <v>0</v>
      </c>
      <c r="BH655" s="19" t="str">
        <f aca="false">IF(BG655=0,"",IF(BG655&lt;&gt;BA655,"erreur de calcul",IF(BD655&lt;&gt;0,"pas de prix",IF(M655&lt;&gt; 0,"pas de quantité","pas de prix, ni de quantité"))))</f>
        <v/>
      </c>
      <c r="BI655" s="19"/>
    </row>
    <row r="656" customFormat="false" ht="16" hidden="false" customHeight="false" outlineLevel="0" collapsed="false">
      <c r="A656" s="0" t="n">
        <v>15</v>
      </c>
      <c r="B656" s="8" t="s">
        <v>24</v>
      </c>
      <c r="C656" s="9" t="s">
        <v>25</v>
      </c>
      <c r="D656" s="9" t="s">
        <v>26</v>
      </c>
      <c r="E656" s="10" t="n">
        <v>1789</v>
      </c>
      <c r="F656" s="9" t="s">
        <v>27</v>
      </c>
      <c r="G656" s="9" t="s">
        <v>27</v>
      </c>
      <c r="H656" s="11" t="n">
        <v>26</v>
      </c>
      <c r="I656" s="11" t="s">
        <v>385</v>
      </c>
      <c r="J656" s="14" t="n">
        <v>60</v>
      </c>
      <c r="K656" s="14"/>
      <c r="L656" s="16"/>
      <c r="M656" s="27" t="n">
        <f aca="false">J656+(K656/20)+(L656/240)</f>
        <v>60</v>
      </c>
      <c r="N656" s="17" t="s">
        <v>64</v>
      </c>
      <c r="O656" s="11"/>
      <c r="P656" s="28"/>
      <c r="Q656" s="28" t="n">
        <f aca="false">P656*$M656</f>
        <v>0</v>
      </c>
      <c r="R656" s="28"/>
      <c r="S656" s="28" t="n">
        <f aca="false">R656*$M656</f>
        <v>0</v>
      </c>
      <c r="T656" s="28" t="n">
        <f aca="false">204759/100</f>
        <v>2047.59</v>
      </c>
      <c r="U656" s="28" t="n">
        <v>122855</v>
      </c>
      <c r="V656" s="28"/>
      <c r="W656" s="28" t="n">
        <f aca="false">V656*$M656</f>
        <v>0</v>
      </c>
      <c r="X656" s="28"/>
      <c r="Y656" s="28" t="n">
        <f aca="false">X656*$M656</f>
        <v>0</v>
      </c>
      <c r="Z656" s="28"/>
      <c r="AA656" s="28" t="n">
        <f aca="false">Z656*$M656</f>
        <v>0</v>
      </c>
      <c r="AB656" s="28"/>
      <c r="AC656" s="28" t="n">
        <f aca="false">AB656*$M656</f>
        <v>0</v>
      </c>
      <c r="AD656" s="28"/>
      <c r="AE656" s="28" t="n">
        <f aca="false">AD656*$M656</f>
        <v>0</v>
      </c>
      <c r="AF656" s="28"/>
      <c r="AG656" s="28" t="n">
        <f aca="false">AF656*$M656</f>
        <v>0</v>
      </c>
      <c r="AH656" s="28"/>
      <c r="AI656" s="28" t="n">
        <f aca="false">AH656*$M656</f>
        <v>0</v>
      </c>
      <c r="AJ656" s="28"/>
      <c r="AK656" s="28" t="n">
        <f aca="false">AJ656*$M656</f>
        <v>0</v>
      </c>
      <c r="AL656" s="28"/>
      <c r="AM656" s="28" t="n">
        <f aca="false">AL656*$M656</f>
        <v>0</v>
      </c>
      <c r="AN656" s="28"/>
      <c r="AO656" s="28" t="n">
        <f aca="false">AN656*$M656</f>
        <v>0</v>
      </c>
      <c r="AP656" s="28"/>
      <c r="AQ656" s="28" t="n">
        <f aca="false">AP656*$M656</f>
        <v>0</v>
      </c>
      <c r="AR656" s="28"/>
      <c r="AS656" s="28" t="n">
        <f aca="false">AR656*$M656</f>
        <v>0</v>
      </c>
      <c r="AT656" s="28"/>
      <c r="AU656" s="28" t="n">
        <f aca="false">AT656*$M656</f>
        <v>0</v>
      </c>
      <c r="AV656" s="28"/>
      <c r="AW656" s="28" t="n">
        <f aca="false">AV656*$M656</f>
        <v>0</v>
      </c>
      <c r="AX656" s="28"/>
      <c r="AY656" s="28" t="n">
        <f aca="false">AX656*$M656</f>
        <v>0</v>
      </c>
      <c r="AZ656" s="30" t="n">
        <f aca="false">204759/100</f>
        <v>2047.59</v>
      </c>
      <c r="BA656" s="11" t="n">
        <v>122855</v>
      </c>
      <c r="BB656" s="31" t="n">
        <f aca="false">SUM(Q656,S656,U656,W656,Y656,AA656,AC656,AE656,AG656,AI656,AK656,AM656,AO656,AQ656,AS656,AU656,AW656,AY656)</f>
        <v>122855</v>
      </c>
      <c r="BC656" s="28" t="n">
        <f aca="false">BA656-BB656</f>
        <v>0</v>
      </c>
      <c r="BD656" s="32" t="n">
        <f aca="false">SUM(P656,R656,T656,V656,X656,Z656,AB656,AD656,AF656,AH656,AJ656,AL656,AN656,AP656,AR656,AT656,AV656,AX656)</f>
        <v>2047.59</v>
      </c>
      <c r="BE656" s="33" t="n">
        <f aca="false">AZ656-BD656</f>
        <v>0</v>
      </c>
      <c r="BF656" s="34" t="n">
        <f aca="false">BD656*M656</f>
        <v>122855.4</v>
      </c>
      <c r="BG656" s="35" t="n">
        <f aca="false">BA656-BF656</f>
        <v>-0.399999999994179</v>
      </c>
      <c r="BH656" s="19" t="str">
        <f aca="false">IF(BG656=0,"",IF(BG656&lt;&gt;BA656,"erreur de calcul",IF(BD656&lt;&gt;0,"pas de prix",IF(M656&lt;&gt; 0,"pas de quantité","pas de prix, ni de quantité"))))</f>
        <v>erreur de calcul</v>
      </c>
      <c r="BI656" s="19"/>
    </row>
    <row r="657" customFormat="false" ht="16" hidden="false" customHeight="false" outlineLevel="0" collapsed="false">
      <c r="A657" s="0" t="n">
        <v>16</v>
      </c>
      <c r="B657" s="8" t="s">
        <v>24</v>
      </c>
      <c r="C657" s="9" t="s">
        <v>25</v>
      </c>
      <c r="D657" s="9" t="s">
        <v>26</v>
      </c>
      <c r="E657" s="10" t="n">
        <v>1789</v>
      </c>
      <c r="F657" s="9" t="s">
        <v>27</v>
      </c>
      <c r="G657" s="9" t="s">
        <v>27</v>
      </c>
      <c r="H657" s="11" t="n">
        <v>26</v>
      </c>
      <c r="I657" s="11" t="s">
        <v>388</v>
      </c>
      <c r="J657" s="14" t="n">
        <v>4</v>
      </c>
      <c r="K657" s="14" t="n">
        <v>10</v>
      </c>
      <c r="L657" s="16"/>
      <c r="M657" s="27" t="n">
        <f aca="false">J657+(K657/20)+(L657/240)</f>
        <v>4.5</v>
      </c>
      <c r="N657" s="17" t="s">
        <v>66</v>
      </c>
      <c r="O657" s="11"/>
      <c r="P657" s="28" t="n">
        <v>20973</v>
      </c>
      <c r="Q657" s="28" t="n">
        <v>94378</v>
      </c>
      <c r="R657" s="28"/>
      <c r="S657" s="28" t="n">
        <f aca="false">R657*$M657</f>
        <v>0</v>
      </c>
      <c r="T657" s="28"/>
      <c r="U657" s="28" t="n">
        <f aca="false">T657*$M657</f>
        <v>0</v>
      </c>
      <c r="V657" s="28"/>
      <c r="W657" s="28" t="n">
        <f aca="false">V657*$M657</f>
        <v>0</v>
      </c>
      <c r="X657" s="28"/>
      <c r="Y657" s="28" t="n">
        <f aca="false">X657*$M657</f>
        <v>0</v>
      </c>
      <c r="Z657" s="28"/>
      <c r="AA657" s="28" t="n">
        <f aca="false">Z657*$M657</f>
        <v>0</v>
      </c>
      <c r="AB657" s="28"/>
      <c r="AC657" s="28" t="n">
        <f aca="false">AB657*$M657</f>
        <v>0</v>
      </c>
      <c r="AD657" s="28"/>
      <c r="AE657" s="28" t="n">
        <f aca="false">AD657*$M657</f>
        <v>0</v>
      </c>
      <c r="AF657" s="28"/>
      <c r="AG657" s="28" t="n">
        <f aca="false">AF657*$M657</f>
        <v>0</v>
      </c>
      <c r="AH657" s="28"/>
      <c r="AI657" s="28" t="n">
        <f aca="false">AH657*$M657</f>
        <v>0</v>
      </c>
      <c r="AJ657" s="28"/>
      <c r="AK657" s="28" t="n">
        <f aca="false">AJ657*$M657</f>
        <v>0</v>
      </c>
      <c r="AL657" s="28"/>
      <c r="AM657" s="28" t="n">
        <f aca="false">AL657*$M657</f>
        <v>0</v>
      </c>
      <c r="AN657" s="28"/>
      <c r="AO657" s="28" t="n">
        <f aca="false">AN657*$M657</f>
        <v>0</v>
      </c>
      <c r="AP657" s="28"/>
      <c r="AQ657" s="28" t="n">
        <f aca="false">AP657*$M657</f>
        <v>0</v>
      </c>
      <c r="AR657" s="28"/>
      <c r="AS657" s="28" t="n">
        <f aca="false">AR657*$M657</f>
        <v>0</v>
      </c>
      <c r="AT657" s="28"/>
      <c r="AU657" s="28" t="n">
        <f aca="false">AT657*$M657</f>
        <v>0</v>
      </c>
      <c r="AV657" s="28"/>
      <c r="AW657" s="28" t="n">
        <f aca="false">AV657*$M657</f>
        <v>0</v>
      </c>
      <c r="AX657" s="28"/>
      <c r="AY657" s="28" t="n">
        <f aca="false">AX657*$M657</f>
        <v>0</v>
      </c>
      <c r="AZ657" s="30" t="n">
        <v>20973</v>
      </c>
      <c r="BA657" s="11" t="n">
        <v>94378</v>
      </c>
      <c r="BB657" s="31" t="n">
        <f aca="false">SUM(Q657,S657,U657,W657,Y657,AA657,AC657,AE657,AG657,AI657,AK657,AM657,AO657,AQ657,AS657,AU657,AW657,AY657)</f>
        <v>94378</v>
      </c>
      <c r="BC657" s="28" t="n">
        <f aca="false">BA657-BB657</f>
        <v>0</v>
      </c>
      <c r="BD657" s="32" t="n">
        <f aca="false">SUM(P657,R657,T657,V657,X657,Z657,AB657,AD657,AF657,AH657,AJ657,AL657,AN657,AP657,AR657,AT657,AV657,AX657)</f>
        <v>20973</v>
      </c>
      <c r="BE657" s="33" t="n">
        <f aca="false">AZ657-BD657</f>
        <v>0</v>
      </c>
      <c r="BF657" s="34" t="n">
        <f aca="false">BD657*M657</f>
        <v>94378.5</v>
      </c>
      <c r="BG657" s="35" t="n">
        <f aca="false">BA657-BF657</f>
        <v>-0.5</v>
      </c>
      <c r="BH657" s="19" t="str">
        <f aca="false">IF(BG657=0,"",IF(BG657&lt;&gt;BA657,"erreur de calcul",IF(BD657&lt;&gt;0,"pas de prix",IF(M657&lt;&gt; 0,"pas de quantité","pas de prix, ni de quantité"))))</f>
        <v>erreur de calcul</v>
      </c>
      <c r="BI657" s="19"/>
    </row>
    <row r="658" customFormat="false" ht="16" hidden="false" customHeight="false" outlineLevel="0" collapsed="false">
      <c r="A658" s="0" t="n">
        <v>17</v>
      </c>
      <c r="B658" s="8" t="s">
        <v>24</v>
      </c>
      <c r="C658" s="9" t="s">
        <v>25</v>
      </c>
      <c r="D658" s="9" t="s">
        <v>26</v>
      </c>
      <c r="E658" s="10" t="n">
        <v>1789</v>
      </c>
      <c r="F658" s="9" t="s">
        <v>27</v>
      </c>
      <c r="G658" s="9" t="s">
        <v>27</v>
      </c>
      <c r="H658" s="11" t="n">
        <v>26</v>
      </c>
      <c r="I658" s="11" t="s">
        <v>389</v>
      </c>
      <c r="J658" s="14"/>
      <c r="K658" s="14"/>
      <c r="L658" s="16"/>
      <c r="M658" s="27" t="n">
        <f aca="false">J658+(K658/20)+(L658/240)</f>
        <v>0</v>
      </c>
      <c r="N658" s="17"/>
      <c r="O658" s="11" t="s">
        <v>277</v>
      </c>
      <c r="P658" s="28"/>
      <c r="Q658" s="28" t="n">
        <f aca="false">P658*$M658</f>
        <v>0</v>
      </c>
      <c r="R658" s="28"/>
      <c r="S658" s="28" t="n">
        <f aca="false">R658*$M658</f>
        <v>0</v>
      </c>
      <c r="T658" s="28"/>
      <c r="U658" s="28" t="n">
        <v>189</v>
      </c>
      <c r="V658" s="28"/>
      <c r="W658" s="28" t="n">
        <v>540</v>
      </c>
      <c r="X658" s="28"/>
      <c r="Y658" s="28" t="n">
        <f aca="false">X658*$M658</f>
        <v>0</v>
      </c>
      <c r="Z658" s="28"/>
      <c r="AA658" s="28" t="n">
        <f aca="false">Z658*$M658</f>
        <v>0</v>
      </c>
      <c r="AB658" s="28"/>
      <c r="AC658" s="28" t="n">
        <f aca="false">AB658*$M658</f>
        <v>0</v>
      </c>
      <c r="AD658" s="28"/>
      <c r="AE658" s="28" t="n">
        <f aca="false">AD658*$M658</f>
        <v>0</v>
      </c>
      <c r="AF658" s="28"/>
      <c r="AG658" s="28" t="n">
        <f aca="false">AF658*$M658</f>
        <v>0</v>
      </c>
      <c r="AH658" s="28"/>
      <c r="AI658" s="28" t="n">
        <f aca="false">AH658*$M658</f>
        <v>0</v>
      </c>
      <c r="AJ658" s="28"/>
      <c r="AK658" s="28" t="n">
        <v>317</v>
      </c>
      <c r="AL658" s="28"/>
      <c r="AM658" s="28" t="n">
        <f aca="false">AL658*$M658</f>
        <v>0</v>
      </c>
      <c r="AN658" s="28"/>
      <c r="AO658" s="28" t="n">
        <f aca="false">AN658*$M658</f>
        <v>0</v>
      </c>
      <c r="AP658" s="28"/>
      <c r="AQ658" s="28" t="n">
        <f aca="false">AP658*$M658</f>
        <v>0</v>
      </c>
      <c r="AR658" s="28"/>
      <c r="AS658" s="28" t="n">
        <f aca="false">AR658*$M658</f>
        <v>0</v>
      </c>
      <c r="AT658" s="28"/>
      <c r="AU658" s="28" t="n">
        <f aca="false">AT658*$M658</f>
        <v>0</v>
      </c>
      <c r="AV658" s="28"/>
      <c r="AW658" s="28" t="n">
        <f aca="false">AV658*$M658</f>
        <v>0</v>
      </c>
      <c r="AX658" s="28"/>
      <c r="AY658" s="28" t="n">
        <f aca="false">AX658*$M658</f>
        <v>0</v>
      </c>
      <c r="AZ658" s="30"/>
      <c r="BA658" s="11" t="n">
        <v>1046</v>
      </c>
      <c r="BB658" s="31" t="n">
        <f aca="false">SUM(Q658,S658,U658,W658,Y658,AA658,AC658,AE658,AG658,AI658,AK658,AM658,AO658,AQ658,AS658,AU658,AW658,AY658)</f>
        <v>1046</v>
      </c>
      <c r="BC658" s="28" t="n">
        <f aca="false">BA658-BB658</f>
        <v>0</v>
      </c>
      <c r="BD658" s="32" t="n">
        <f aca="false">SUM(P658,R658,T658,V658,X658,Z658,AB658,AD658,AF658,AH658,AJ658,AL658,AN658,AP658,AR658,AT658,AV658,AX658)</f>
        <v>0</v>
      </c>
      <c r="BE658" s="33" t="n">
        <f aca="false">AZ658-BD658</f>
        <v>0</v>
      </c>
      <c r="BF658" s="34" t="n">
        <f aca="false">BD658*M658</f>
        <v>0</v>
      </c>
      <c r="BG658" s="35" t="n">
        <f aca="false">BA658-BF658</f>
        <v>1046</v>
      </c>
      <c r="BH658" s="19" t="str">
        <f aca="false">IF(BG658=0,"",IF(BG658&lt;&gt;BA658,"erreur de calcul",IF(BD658&lt;&gt;0,"pas de prix",IF(M658&lt;&gt; 0,"pas de quantité","pas de prix, ni de quantité"))))</f>
        <v>pas de prix, ni de quantité</v>
      </c>
      <c r="BI658" s="19"/>
    </row>
    <row r="659" customFormat="false" ht="16" hidden="false" customHeight="false" outlineLevel="0" collapsed="false">
      <c r="A659" s="0" t="n">
        <v>18</v>
      </c>
      <c r="B659" s="8" t="s">
        <v>24</v>
      </c>
      <c r="C659" s="9" t="s">
        <v>25</v>
      </c>
      <c r="D659" s="9" t="s">
        <v>26</v>
      </c>
      <c r="E659" s="10" t="n">
        <v>1789</v>
      </c>
      <c r="F659" s="9" t="s">
        <v>27</v>
      </c>
      <c r="G659" s="9" t="s">
        <v>27</v>
      </c>
      <c r="H659" s="11" t="n">
        <v>26</v>
      </c>
      <c r="I659" s="11" t="s">
        <v>389</v>
      </c>
      <c r="J659" s="14" t="n">
        <v>90</v>
      </c>
      <c r="K659" s="14"/>
      <c r="L659" s="16"/>
      <c r="M659" s="27" t="n">
        <f aca="false">J659+(K659/20)+(L659/240)</f>
        <v>90</v>
      </c>
      <c r="N659" s="17" t="s">
        <v>64</v>
      </c>
      <c r="O659" s="11"/>
      <c r="P659" s="28"/>
      <c r="Q659" s="28" t="n">
        <f aca="false">P659*$M659</f>
        <v>0</v>
      </c>
      <c r="R659" s="28"/>
      <c r="S659" s="28" t="n">
        <f aca="false">R659*$M659</f>
        <v>0</v>
      </c>
      <c r="T659" s="28"/>
      <c r="U659" s="28" t="n">
        <f aca="false">T659*$M659</f>
        <v>0</v>
      </c>
      <c r="V659" s="28" t="n">
        <f aca="false">6341/100</f>
        <v>63.41</v>
      </c>
      <c r="W659" s="28" t="n">
        <v>5707</v>
      </c>
      <c r="X659" s="28" t="n">
        <f aca="false">10903/100</f>
        <v>109.03</v>
      </c>
      <c r="Y659" s="28" t="n">
        <v>9813</v>
      </c>
      <c r="Z659" s="28"/>
      <c r="AA659" s="28" t="n">
        <f aca="false">Z659*$M659</f>
        <v>0</v>
      </c>
      <c r="AB659" s="28"/>
      <c r="AC659" s="28" t="n">
        <f aca="false">AB659*$M659</f>
        <v>0</v>
      </c>
      <c r="AD659" s="28"/>
      <c r="AE659" s="28" t="n">
        <f aca="false">AD659*$M659</f>
        <v>0</v>
      </c>
      <c r="AF659" s="28"/>
      <c r="AG659" s="28" t="n">
        <f aca="false">AF659*$M659</f>
        <v>0</v>
      </c>
      <c r="AH659" s="28"/>
      <c r="AI659" s="28" t="n">
        <f aca="false">AH659*$M659</f>
        <v>0</v>
      </c>
      <c r="AJ659" s="28" t="n">
        <f aca="false">127232/100</f>
        <v>1272.32</v>
      </c>
      <c r="AK659" s="28" t="n">
        <v>114509</v>
      </c>
      <c r="AL659" s="28" t="n">
        <f aca="false">1835/100</f>
        <v>18.35</v>
      </c>
      <c r="AM659" s="28" t="n">
        <v>1651</v>
      </c>
      <c r="AN659" s="28"/>
      <c r="AO659" s="28" t="n">
        <f aca="false">AN659*$M659</f>
        <v>0</v>
      </c>
      <c r="AP659" s="28"/>
      <c r="AQ659" s="28" t="n">
        <f aca="false">AP659*$M659</f>
        <v>0</v>
      </c>
      <c r="AR659" s="28"/>
      <c r="AS659" s="28" t="n">
        <f aca="false">AR659*$M659</f>
        <v>0</v>
      </c>
      <c r="AT659" s="28"/>
      <c r="AU659" s="28" t="n">
        <f aca="false">AT659*$M659</f>
        <v>0</v>
      </c>
      <c r="AV659" s="28"/>
      <c r="AW659" s="28" t="n">
        <f aca="false">AV659*$M659</f>
        <v>0</v>
      </c>
      <c r="AX659" s="28"/>
      <c r="AY659" s="28" t="n">
        <f aca="false">AX659*$M659</f>
        <v>0</v>
      </c>
      <c r="AZ659" s="30" t="n">
        <f aca="false">146311/100</f>
        <v>1463.11</v>
      </c>
      <c r="BA659" s="11" t="n">
        <v>131680</v>
      </c>
      <c r="BB659" s="31" t="n">
        <f aca="false">SUM(Q659,S659,U659,W659,Y659,AA659,AC659,AE659,AG659,AI659,AK659,AM659,AO659,AQ659,AS659,AU659,AW659,AY659)</f>
        <v>131680</v>
      </c>
      <c r="BC659" s="28" t="n">
        <f aca="false">BA659-BB659</f>
        <v>0</v>
      </c>
      <c r="BD659" s="32" t="n">
        <f aca="false">SUM(P659,R659,T659,V659,X659,Z659,AB659,AD659,AF659,AH659,AJ659,AL659,AN659,AP659,AR659,AT659,AV659,AX659)</f>
        <v>1463.11</v>
      </c>
      <c r="BE659" s="33" t="n">
        <f aca="false">AZ659-BD659</f>
        <v>0</v>
      </c>
      <c r="BF659" s="34" t="n">
        <f aca="false">BD659*M659</f>
        <v>131679.9</v>
      </c>
      <c r="BG659" s="35" t="n">
        <f aca="false">BA659-BF659</f>
        <v>0.100000000005821</v>
      </c>
      <c r="BH659" s="19" t="str">
        <f aca="false">IF(BG659=0,"",IF(BG659&lt;&gt;BA659,"erreur de calcul",IF(BD659&lt;&gt;0,"pas de prix",IF(M659&lt;&gt; 0,"pas de quantité","pas de prix, ni de quantité"))))</f>
        <v>erreur de calcul</v>
      </c>
      <c r="BI659" s="19"/>
    </row>
    <row r="660" customFormat="false" ht="16" hidden="false" customHeight="false" outlineLevel="0" collapsed="false">
      <c r="A660" s="0" t="n">
        <v>19</v>
      </c>
      <c r="B660" s="8" t="s">
        <v>24</v>
      </c>
      <c r="C660" s="9" t="s">
        <v>25</v>
      </c>
      <c r="D660" s="9" t="s">
        <v>26</v>
      </c>
      <c r="E660" s="10" t="n">
        <v>1789</v>
      </c>
      <c r="F660" s="9" t="s">
        <v>27</v>
      </c>
      <c r="G660" s="9" t="s">
        <v>27</v>
      </c>
      <c r="H660" s="11" t="n">
        <v>26</v>
      </c>
      <c r="I660" s="11" t="s">
        <v>390</v>
      </c>
      <c r="J660" s="14" t="n">
        <v>25</v>
      </c>
      <c r="K660" s="14"/>
      <c r="L660" s="16"/>
      <c r="M660" s="27" t="n">
        <f aca="false">J660+(K660/20)+(L660/240)</f>
        <v>25</v>
      </c>
      <c r="N660" s="17" t="s">
        <v>64</v>
      </c>
      <c r="O660" s="11" t="s">
        <v>277</v>
      </c>
      <c r="P660" s="28"/>
      <c r="Q660" s="28" t="n">
        <f aca="false">P660*$M660</f>
        <v>0</v>
      </c>
      <c r="R660" s="28"/>
      <c r="S660" s="28" t="n">
        <f aca="false">R660*$M660</f>
        <v>0</v>
      </c>
      <c r="T660" s="28"/>
      <c r="U660" s="28" t="n">
        <f aca="false">T660*$M660</f>
        <v>0</v>
      </c>
      <c r="V660" s="28"/>
      <c r="W660" s="28" t="n">
        <f aca="false">V660*$M660</f>
        <v>0</v>
      </c>
      <c r="X660" s="28"/>
      <c r="Y660" s="28" t="n">
        <f aca="false">X660*$M660</f>
        <v>0</v>
      </c>
      <c r="Z660" s="28"/>
      <c r="AA660" s="28" t="n">
        <f aca="false">Z660*$M660</f>
        <v>0</v>
      </c>
      <c r="AB660" s="28"/>
      <c r="AC660" s="28" t="n">
        <f aca="false">AB660*$M660</f>
        <v>0</v>
      </c>
      <c r="AD660" s="28"/>
      <c r="AE660" s="28" t="n">
        <f aca="false">AD660*$M660</f>
        <v>0</v>
      </c>
      <c r="AF660" s="28"/>
      <c r="AG660" s="28" t="n">
        <f aca="false">AF660*$M660</f>
        <v>0</v>
      </c>
      <c r="AH660" s="28"/>
      <c r="AI660" s="28" t="n">
        <f aca="false">AH660*$M660</f>
        <v>0</v>
      </c>
      <c r="AJ660" s="28"/>
      <c r="AK660" s="28" t="n">
        <f aca="false">AJ660*$M660</f>
        <v>0</v>
      </c>
      <c r="AL660" s="28"/>
      <c r="AM660" s="28" t="n">
        <f aca="false">AL660*$M660</f>
        <v>0</v>
      </c>
      <c r="AN660" s="28"/>
      <c r="AO660" s="28" t="n">
        <f aca="false">AN660*$M660</f>
        <v>0</v>
      </c>
      <c r="AP660" s="28"/>
      <c r="AQ660" s="28" t="n">
        <f aca="false">AP660*$M660</f>
        <v>0</v>
      </c>
      <c r="AR660" s="28"/>
      <c r="AS660" s="28" t="n">
        <f aca="false">AR660*$M660</f>
        <v>0</v>
      </c>
      <c r="AT660" s="28"/>
      <c r="AU660" s="28" t="n">
        <f aca="false">AT660*$M660</f>
        <v>0</v>
      </c>
      <c r="AV660" s="28"/>
      <c r="AW660" s="28" t="n">
        <f aca="false">AV660*$M660</f>
        <v>0</v>
      </c>
      <c r="AX660" s="28"/>
      <c r="AY660" s="28" t="n">
        <f aca="false">AX660*$M660</f>
        <v>0</v>
      </c>
      <c r="AZ660" s="30"/>
      <c r="BA660" s="11"/>
      <c r="BB660" s="31" t="n">
        <f aca="false">SUM(Q660,S660,U660,W660,Y660,AA660,AC660,AE660,AG660,AI660,AK660,AM660,AO660,AQ660,AS660,AU660,AW660,AY660)</f>
        <v>0</v>
      </c>
      <c r="BC660" s="28" t="n">
        <f aca="false">BA660-BB660</f>
        <v>0</v>
      </c>
      <c r="BD660" s="32" t="n">
        <f aca="false">SUM(P660,R660,T660,V660,X660,Z660,AB660,AD660,AF660,AH660,AJ660,AL660,AN660,AP660,AR660,AT660,AV660,AX660)</f>
        <v>0</v>
      </c>
      <c r="BE660" s="33" t="n">
        <f aca="false">AZ660-BD660</f>
        <v>0</v>
      </c>
      <c r="BF660" s="34" t="n">
        <f aca="false">BD660*M660</f>
        <v>0</v>
      </c>
      <c r="BG660" s="35" t="n">
        <f aca="false">BA660-BF660</f>
        <v>0</v>
      </c>
      <c r="BH660" s="19" t="str">
        <f aca="false">IF(BG660=0,"",IF(BG660&lt;&gt;BA660,"erreur de calcul",IF(BD660&lt;&gt;0,"pas de prix",IF(M660&lt;&gt; 0,"pas de quantité","pas de prix, ni de quantité"))))</f>
        <v/>
      </c>
      <c r="BI660" s="19"/>
    </row>
    <row r="661" customFormat="false" ht="16" hidden="false" customHeight="false" outlineLevel="0" collapsed="false">
      <c r="A661" s="0" t="n">
        <v>20</v>
      </c>
      <c r="B661" s="8" t="s">
        <v>24</v>
      </c>
      <c r="C661" s="9" t="s">
        <v>25</v>
      </c>
      <c r="D661" s="9" t="s">
        <v>26</v>
      </c>
      <c r="E661" s="10" t="n">
        <v>1789</v>
      </c>
      <c r="F661" s="9" t="s">
        <v>27</v>
      </c>
      <c r="G661" s="9" t="s">
        <v>27</v>
      </c>
      <c r="H661" s="11" t="n">
        <v>26</v>
      </c>
      <c r="I661" s="11" t="s">
        <v>391</v>
      </c>
      <c r="J661" s="14" t="n">
        <v>35</v>
      </c>
      <c r="K661" s="14"/>
      <c r="L661" s="16"/>
      <c r="M661" s="27" t="n">
        <f aca="false">J661+(K661/20)+(L661/240)</f>
        <v>35</v>
      </c>
      <c r="N661" s="17" t="s">
        <v>64</v>
      </c>
      <c r="O661" s="11"/>
      <c r="P661" s="28"/>
      <c r="Q661" s="28" t="n">
        <f aca="false">P661*$M661</f>
        <v>0</v>
      </c>
      <c r="R661" s="28"/>
      <c r="S661" s="28" t="n">
        <f aca="false">R661*$M661</f>
        <v>0</v>
      </c>
      <c r="T661" s="28"/>
      <c r="U661" s="28" t="n">
        <f aca="false">T661*$M661</f>
        <v>0</v>
      </c>
      <c r="V661" s="28"/>
      <c r="W661" s="28" t="n">
        <f aca="false">V661*$M661</f>
        <v>0</v>
      </c>
      <c r="X661" s="28"/>
      <c r="Y661" s="28" t="n">
        <f aca="false">X661*$M661</f>
        <v>0</v>
      </c>
      <c r="Z661" s="28"/>
      <c r="AA661" s="28" t="n">
        <f aca="false">Z661*$M661</f>
        <v>0</v>
      </c>
      <c r="AB661" s="28"/>
      <c r="AC661" s="28" t="n">
        <f aca="false">AB661*$M661</f>
        <v>0</v>
      </c>
      <c r="AD661" s="28"/>
      <c r="AE661" s="28" t="n">
        <f aca="false">AD661*$M661</f>
        <v>0</v>
      </c>
      <c r="AF661" s="28"/>
      <c r="AG661" s="28" t="n">
        <f aca="false">AF661*$M661</f>
        <v>0</v>
      </c>
      <c r="AH661" s="28"/>
      <c r="AI661" s="28" t="n">
        <f aca="false">AH661*$M661</f>
        <v>0</v>
      </c>
      <c r="AJ661" s="28" t="n">
        <f aca="false">3950/100</f>
        <v>39.5</v>
      </c>
      <c r="AK661" s="28" t="n">
        <v>1382</v>
      </c>
      <c r="AL661" s="28"/>
      <c r="AM661" s="28" t="n">
        <f aca="false">AL661*$M661</f>
        <v>0</v>
      </c>
      <c r="AN661" s="28"/>
      <c r="AO661" s="28" t="n">
        <f aca="false">AN661*$M661</f>
        <v>0</v>
      </c>
      <c r="AP661" s="28"/>
      <c r="AQ661" s="28" t="n">
        <f aca="false">AP661*$M661</f>
        <v>0</v>
      </c>
      <c r="AR661" s="28"/>
      <c r="AS661" s="28" t="n">
        <f aca="false">AR661*$M661</f>
        <v>0</v>
      </c>
      <c r="AT661" s="28"/>
      <c r="AU661" s="28" t="n">
        <f aca="false">AT661*$M661</f>
        <v>0</v>
      </c>
      <c r="AV661" s="28"/>
      <c r="AW661" s="28" t="n">
        <f aca="false">AV661*$M661</f>
        <v>0</v>
      </c>
      <c r="AX661" s="28"/>
      <c r="AY661" s="28" t="n">
        <f aca="false">AX661*$M661</f>
        <v>0</v>
      </c>
      <c r="AZ661" s="30" t="n">
        <f aca="false">3950/100</f>
        <v>39.5</v>
      </c>
      <c r="BA661" s="11" t="n">
        <v>1382</v>
      </c>
      <c r="BB661" s="31" t="n">
        <f aca="false">SUM(Q661,S661,U661,W661,Y661,AA661,AC661,AE661,AG661,AI661,AK661,AM661,AO661,AQ661,AS661,AU661,AW661,AY661)</f>
        <v>1382</v>
      </c>
      <c r="BC661" s="28" t="n">
        <f aca="false">BA661-BB661</f>
        <v>0</v>
      </c>
      <c r="BD661" s="32" t="n">
        <f aca="false">SUM(P661,R661,T661,V661,X661,Z661,AB661,AD661,AF661,AH661,AJ661,AL661,AN661,AP661,AR661,AT661,AV661,AX661)</f>
        <v>39.5</v>
      </c>
      <c r="BE661" s="33" t="n">
        <f aca="false">AZ661-BD661</f>
        <v>0</v>
      </c>
      <c r="BF661" s="34" t="n">
        <f aca="false">BD661*M661</f>
        <v>1382.5</v>
      </c>
      <c r="BG661" s="35" t="n">
        <f aca="false">BA661-BF661</f>
        <v>-0.5</v>
      </c>
      <c r="BH661" s="19" t="str">
        <f aca="false">IF(BG661=0,"",IF(BG661&lt;&gt;BA661,"erreur de calcul",IF(BD661&lt;&gt;0,"pas de prix",IF(M661&lt;&gt; 0,"pas de quantité","pas de prix, ni de quantité"))))</f>
        <v>erreur de calcul</v>
      </c>
      <c r="BI661" s="19"/>
    </row>
    <row r="662" customFormat="false" ht="16" hidden="false" customHeight="false" outlineLevel="0" collapsed="false">
      <c r="A662" s="0" t="n">
        <v>21</v>
      </c>
      <c r="B662" s="8" t="s">
        <v>24</v>
      </c>
      <c r="C662" s="9" t="s">
        <v>25</v>
      </c>
      <c r="D662" s="9" t="s">
        <v>26</v>
      </c>
      <c r="E662" s="10" t="n">
        <v>1789</v>
      </c>
      <c r="F662" s="9" t="s">
        <v>27</v>
      </c>
      <c r="G662" s="9" t="s">
        <v>27</v>
      </c>
      <c r="H662" s="11" t="n">
        <v>26</v>
      </c>
      <c r="I662" s="11" t="s">
        <v>392</v>
      </c>
      <c r="J662" s="14" t="n">
        <v>60</v>
      </c>
      <c r="K662" s="14"/>
      <c r="L662" s="16"/>
      <c r="M662" s="27" t="n">
        <f aca="false">J662+(K662/20)+(L662/240)</f>
        <v>60</v>
      </c>
      <c r="N662" s="17" t="s">
        <v>64</v>
      </c>
      <c r="O662" s="11"/>
      <c r="P662" s="28"/>
      <c r="Q662" s="28" t="n">
        <f aca="false">P662*$M662</f>
        <v>0</v>
      </c>
      <c r="R662" s="28"/>
      <c r="S662" s="28" t="n">
        <f aca="false">R662*$M662</f>
        <v>0</v>
      </c>
      <c r="T662" s="28"/>
      <c r="U662" s="28" t="n">
        <f aca="false">T662*$M662</f>
        <v>0</v>
      </c>
      <c r="V662" s="28"/>
      <c r="W662" s="28" t="n">
        <f aca="false">V662*$M662</f>
        <v>0</v>
      </c>
      <c r="X662" s="28" t="n">
        <f aca="false">12306/100</f>
        <v>123.06</v>
      </c>
      <c r="Y662" s="28" t="n">
        <v>7384</v>
      </c>
      <c r="Z662" s="28"/>
      <c r="AA662" s="28" t="n">
        <f aca="false">Z662*$M662</f>
        <v>0</v>
      </c>
      <c r="AB662" s="28"/>
      <c r="AC662" s="28" t="n">
        <f aca="false">AB662*$M662</f>
        <v>0</v>
      </c>
      <c r="AD662" s="28"/>
      <c r="AE662" s="28" t="n">
        <f aca="false">AD662*$M662</f>
        <v>0</v>
      </c>
      <c r="AF662" s="28"/>
      <c r="AG662" s="28" t="n">
        <f aca="false">AF662*$M662</f>
        <v>0</v>
      </c>
      <c r="AH662" s="28"/>
      <c r="AI662" s="28" t="n">
        <f aca="false">AH662*$M662</f>
        <v>0</v>
      </c>
      <c r="AJ662" s="28" t="n">
        <f aca="false">2557/100</f>
        <v>25.57</v>
      </c>
      <c r="AK662" s="28" t="n">
        <v>1534</v>
      </c>
      <c r="AL662" s="28"/>
      <c r="AM662" s="28" t="n">
        <f aca="false">AL662*$M662</f>
        <v>0</v>
      </c>
      <c r="AN662" s="28"/>
      <c r="AO662" s="28" t="n">
        <f aca="false">AN662*$M662</f>
        <v>0</v>
      </c>
      <c r="AP662" s="28"/>
      <c r="AQ662" s="28" t="n">
        <f aca="false">AP662*$M662</f>
        <v>0</v>
      </c>
      <c r="AR662" s="28" t="n">
        <f aca="false">7204/100</f>
        <v>72.04</v>
      </c>
      <c r="AS662" s="28" t="n">
        <v>4322</v>
      </c>
      <c r="AT662" s="28"/>
      <c r="AU662" s="28" t="n">
        <f aca="false">AT662*$M662</f>
        <v>0</v>
      </c>
      <c r="AV662" s="28"/>
      <c r="AW662" s="28" t="n">
        <f aca="false">AV662*$M662</f>
        <v>0</v>
      </c>
      <c r="AX662" s="28"/>
      <c r="AY662" s="28" t="n">
        <f aca="false">AX662*$M662</f>
        <v>0</v>
      </c>
      <c r="AZ662" s="30" t="n">
        <f aca="false">22067/100</f>
        <v>220.67</v>
      </c>
      <c r="BA662" s="11" t="n">
        <v>13240</v>
      </c>
      <c r="BB662" s="31" t="n">
        <f aca="false">SUM(Q662,S662,U662,W662,Y662,AA662,AC662,AE662,AG662,AI662,AK662,AM662,AO662,AQ662,AS662,AU662,AW662,AY662)</f>
        <v>13240</v>
      </c>
      <c r="BC662" s="28" t="n">
        <f aca="false">BA662-BB662</f>
        <v>0</v>
      </c>
      <c r="BD662" s="32" t="n">
        <f aca="false">SUM(P662,R662,T662,V662,X662,Z662,AB662,AD662,AF662,AH662,AJ662,AL662,AN662,AP662,AR662,AT662,AV662,AX662)</f>
        <v>220.67</v>
      </c>
      <c r="BE662" s="33" t="n">
        <f aca="false">AZ662-BD662</f>
        <v>0</v>
      </c>
      <c r="BF662" s="34" t="n">
        <f aca="false">BD662*M662</f>
        <v>13240.2</v>
      </c>
      <c r="BG662" s="35" t="n">
        <f aca="false">BA662-BF662</f>
        <v>-0.200000000000728</v>
      </c>
      <c r="BH662" s="19" t="str">
        <f aca="false">IF(BG662=0,"",IF(BG662&lt;&gt;BA662,"erreur de calcul",IF(BD662&lt;&gt;0,"pas de prix",IF(M662&lt;&gt; 0,"pas de quantité","pas de prix, ni de quantité"))))</f>
        <v>erreur de calcul</v>
      </c>
      <c r="BI662" s="19"/>
    </row>
    <row r="663" customFormat="false" ht="16" hidden="false" customHeight="false" outlineLevel="0" collapsed="false">
      <c r="A663" s="0" t="n">
        <v>22</v>
      </c>
      <c r="B663" s="8" t="s">
        <v>24</v>
      </c>
      <c r="C663" s="9" t="s">
        <v>25</v>
      </c>
      <c r="D663" s="9" t="s">
        <v>26</v>
      </c>
      <c r="E663" s="10" t="n">
        <v>1789</v>
      </c>
      <c r="F663" s="9" t="s">
        <v>27</v>
      </c>
      <c r="G663" s="9" t="s">
        <v>27</v>
      </c>
      <c r="H663" s="11" t="n">
        <v>26</v>
      </c>
      <c r="I663" s="11" t="s">
        <v>393</v>
      </c>
      <c r="J663" s="14" t="n">
        <v>120</v>
      </c>
      <c r="K663" s="14"/>
      <c r="L663" s="16"/>
      <c r="M663" s="27" t="n">
        <f aca="false">J663+(K663/20)+(L663/240)</f>
        <v>120</v>
      </c>
      <c r="N663" s="17" t="s">
        <v>64</v>
      </c>
      <c r="O663" s="11"/>
      <c r="P663" s="28"/>
      <c r="Q663" s="28" t="n">
        <f aca="false">P663*$M663</f>
        <v>0</v>
      </c>
      <c r="R663" s="28"/>
      <c r="S663" s="28" t="n">
        <f aca="false">R663*$M663</f>
        <v>0</v>
      </c>
      <c r="T663" s="28"/>
      <c r="U663" s="28" t="n">
        <f aca="false">T663*$M663</f>
        <v>0</v>
      </c>
      <c r="V663" s="28"/>
      <c r="W663" s="28" t="n">
        <f aca="false">V663*$M663</f>
        <v>0</v>
      </c>
      <c r="X663" s="28"/>
      <c r="Y663" s="28" t="n">
        <f aca="false">X663*$M663</f>
        <v>0</v>
      </c>
      <c r="Z663" s="28"/>
      <c r="AA663" s="28" t="n">
        <f aca="false">Z663*$M663</f>
        <v>0</v>
      </c>
      <c r="AB663" s="28"/>
      <c r="AC663" s="28" t="n">
        <f aca="false">AB663*$M663</f>
        <v>0</v>
      </c>
      <c r="AD663" s="28"/>
      <c r="AE663" s="28" t="n">
        <f aca="false">AD663*$M663</f>
        <v>0</v>
      </c>
      <c r="AF663" s="28"/>
      <c r="AG663" s="28" t="n">
        <f aca="false">AF663*$M663</f>
        <v>0</v>
      </c>
      <c r="AH663" s="28" t="n">
        <f aca="false">1810/100</f>
        <v>18.1</v>
      </c>
      <c r="AI663" s="28" t="n">
        <v>2172</v>
      </c>
      <c r="AJ663" s="28"/>
      <c r="AK663" s="28" t="n">
        <f aca="false">AJ663*$M663</f>
        <v>0</v>
      </c>
      <c r="AL663" s="28"/>
      <c r="AM663" s="28" t="n">
        <f aca="false">AL663*$M663</f>
        <v>0</v>
      </c>
      <c r="AN663" s="28"/>
      <c r="AO663" s="28" t="n">
        <f aca="false">AN663*$M663</f>
        <v>0</v>
      </c>
      <c r="AP663" s="28"/>
      <c r="AQ663" s="28" t="n">
        <f aca="false">AP663*$M663</f>
        <v>0</v>
      </c>
      <c r="AR663" s="28"/>
      <c r="AS663" s="28" t="n">
        <f aca="false">AR663*$M663</f>
        <v>0</v>
      </c>
      <c r="AT663" s="28"/>
      <c r="AU663" s="28" t="n">
        <f aca="false">AT663*$M663</f>
        <v>0</v>
      </c>
      <c r="AV663" s="28"/>
      <c r="AW663" s="28" t="n">
        <f aca="false">AV663*$M663</f>
        <v>0</v>
      </c>
      <c r="AX663" s="28"/>
      <c r="AY663" s="28" t="n">
        <f aca="false">AX663*$M663</f>
        <v>0</v>
      </c>
      <c r="AZ663" s="30" t="n">
        <f aca="false">1810/100</f>
        <v>18.1</v>
      </c>
      <c r="BA663" s="11" t="n">
        <v>2172</v>
      </c>
      <c r="BB663" s="31" t="n">
        <f aca="false">SUM(Q663,S663,U663,W663,Y663,AA663,AC663,AE663,AG663,AI663,AK663,AM663,AO663,AQ663,AS663,AU663,AW663,AY663)</f>
        <v>2172</v>
      </c>
      <c r="BC663" s="28" t="n">
        <f aca="false">BA663-BB663</f>
        <v>0</v>
      </c>
      <c r="BD663" s="32" t="n">
        <f aca="false">SUM(P663,R663,T663,V663,X663,Z663,AB663,AD663,AF663,AH663,AJ663,AL663,AN663,AP663,AR663,AT663,AV663,AX663)</f>
        <v>18.1</v>
      </c>
      <c r="BE663" s="33" t="n">
        <f aca="false">AZ663-BD663</f>
        <v>0</v>
      </c>
      <c r="BF663" s="34" t="n">
        <f aca="false">BD663*M663</f>
        <v>2172</v>
      </c>
      <c r="BG663" s="35" t="n">
        <f aca="false">BA663-BF663</f>
        <v>0</v>
      </c>
      <c r="BH663" s="19" t="str">
        <f aca="false">IF(BG663=0,"",IF(BG663&lt;&gt;BA663,"erreur de calcul",IF(BD663&lt;&gt;0,"pas de prix",IF(M663&lt;&gt; 0,"pas de quantité","pas de prix, ni de quantité"))))</f>
        <v/>
      </c>
      <c r="BI663" s="19"/>
    </row>
    <row r="664" customFormat="false" ht="16" hidden="false" customHeight="false" outlineLevel="0" collapsed="false">
      <c r="A664" s="0" t="n">
        <v>23</v>
      </c>
      <c r="B664" s="8" t="s">
        <v>24</v>
      </c>
      <c r="C664" s="9" t="s">
        <v>25</v>
      </c>
      <c r="D664" s="9" t="s">
        <v>26</v>
      </c>
      <c r="E664" s="10" t="n">
        <v>1789</v>
      </c>
      <c r="F664" s="9" t="s">
        <v>27</v>
      </c>
      <c r="G664" s="9" t="s">
        <v>27</v>
      </c>
      <c r="H664" s="11" t="n">
        <v>26</v>
      </c>
      <c r="I664" s="41" t="s">
        <v>394</v>
      </c>
      <c r="J664" s="14" t="n">
        <v>7</v>
      </c>
      <c r="K664" s="14"/>
      <c r="L664" s="16"/>
      <c r="M664" s="27" t="n">
        <f aca="false">J664+(K664/20)+(L664/240)</f>
        <v>7</v>
      </c>
      <c r="N664" s="17" t="s">
        <v>64</v>
      </c>
      <c r="O664" s="11"/>
      <c r="P664" s="28" t="n">
        <f aca="false">11428/100</f>
        <v>114.28</v>
      </c>
      <c r="Q664" s="28" t="n">
        <v>800</v>
      </c>
      <c r="R664" s="28"/>
      <c r="S664" s="28" t="n">
        <f aca="false">R664*$M664</f>
        <v>0</v>
      </c>
      <c r="T664" s="28" t="n">
        <f aca="false">2084/100</f>
        <v>20.84</v>
      </c>
      <c r="U664" s="36" t="n">
        <v>246</v>
      </c>
      <c r="V664" s="28"/>
      <c r="W664" s="28" t="n">
        <f aca="false">V664*$M664</f>
        <v>0</v>
      </c>
      <c r="X664" s="28"/>
      <c r="Y664" s="28" t="n">
        <f aca="false">X664*$M664</f>
        <v>0</v>
      </c>
      <c r="Z664" s="28"/>
      <c r="AA664" s="28" t="n">
        <f aca="false">Z664*$M664</f>
        <v>0</v>
      </c>
      <c r="AB664" s="28"/>
      <c r="AC664" s="28" t="n">
        <f aca="false">AB664*$M664</f>
        <v>0</v>
      </c>
      <c r="AD664" s="28"/>
      <c r="AE664" s="28" t="n">
        <f aca="false">AD664*$M664</f>
        <v>0</v>
      </c>
      <c r="AF664" s="28" t="n">
        <f aca="false">6709/100</f>
        <v>67.09</v>
      </c>
      <c r="AG664" s="28" t="n">
        <v>470</v>
      </c>
      <c r="AH664" s="28"/>
      <c r="AI664" s="28" t="n">
        <f aca="false">AH664*$M664</f>
        <v>0</v>
      </c>
      <c r="AJ664" s="28"/>
      <c r="AK664" s="28" t="n">
        <f aca="false">AJ664*$M664</f>
        <v>0</v>
      </c>
      <c r="AL664" s="28"/>
      <c r="AM664" s="28" t="n">
        <f aca="false">AL664*$M664</f>
        <v>0</v>
      </c>
      <c r="AN664" s="28"/>
      <c r="AO664" s="28" t="n">
        <f aca="false">AN664*$M664</f>
        <v>0</v>
      </c>
      <c r="AP664" s="28"/>
      <c r="AQ664" s="28" t="n">
        <f aca="false">AP664*$M664</f>
        <v>0</v>
      </c>
      <c r="AR664" s="28"/>
      <c r="AS664" s="28" t="n">
        <f aca="false">AR664*$M664</f>
        <v>0</v>
      </c>
      <c r="AT664" s="28"/>
      <c r="AU664" s="28" t="n">
        <f aca="false">AT664*$M664</f>
        <v>0</v>
      </c>
      <c r="AV664" s="28"/>
      <c r="AW664" s="28" t="n">
        <f aca="false">AV664*$M664</f>
        <v>0</v>
      </c>
      <c r="AX664" s="28"/>
      <c r="AY664" s="28" t="n">
        <f aca="false">AX664*$M664</f>
        <v>0</v>
      </c>
      <c r="AZ664" s="30" t="n">
        <f aca="false">20221/100</f>
        <v>202.21</v>
      </c>
      <c r="BA664" s="11" t="n">
        <v>1516</v>
      </c>
      <c r="BB664" s="31" t="n">
        <f aca="false">SUM(Q664,S664,U664,W664,Y664,AA664,AC664,AE664,AG664,AI664,AK664,AM664,AO664,AQ664,AS664,AU664,AW664,AY664)</f>
        <v>1516</v>
      </c>
      <c r="BC664" s="28" t="n">
        <f aca="false">BA664-BB664</f>
        <v>0</v>
      </c>
      <c r="BD664" s="32" t="n">
        <f aca="false">SUM(P664,R664,T664,V664,X664,Z664,AB664,AD664,AF664,AH664,AJ664,AL664,AN664,AP664,AR664,AT664,AV664,AX664)</f>
        <v>202.21</v>
      </c>
      <c r="BE664" s="33" t="n">
        <f aca="false">AZ664-BD664</f>
        <v>0</v>
      </c>
      <c r="BF664" s="34" t="n">
        <f aca="false">BD664*M664</f>
        <v>1415.47</v>
      </c>
      <c r="BG664" s="35" t="n">
        <f aca="false">BA664-BF664</f>
        <v>100.53</v>
      </c>
      <c r="BH664" s="19" t="str">
        <f aca="false">IF(BG664=0,"",IF(BG664&lt;&gt;BA664,"erreur de calcul",IF(BD664&lt;&gt;0,"pas de prix",IF(M664&lt;&gt; 0,"pas de quantité","pas de prix, ni de quantité"))))</f>
        <v>erreur de calcul</v>
      </c>
      <c r="BI664" s="19"/>
    </row>
    <row r="665" customFormat="false" ht="16" hidden="false" customHeight="false" outlineLevel="0" collapsed="false">
      <c r="A665" s="0" t="n">
        <v>24</v>
      </c>
      <c r="B665" s="8" t="s">
        <v>24</v>
      </c>
      <c r="C665" s="9" t="s">
        <v>25</v>
      </c>
      <c r="D665" s="9" t="s">
        <v>26</v>
      </c>
      <c r="E665" s="10" t="n">
        <v>1789</v>
      </c>
      <c r="F665" s="9" t="s">
        <v>27</v>
      </c>
      <c r="G665" s="9" t="s">
        <v>27</v>
      </c>
      <c r="H665" s="11" t="n">
        <v>26</v>
      </c>
      <c r="I665" s="11" t="s">
        <v>395</v>
      </c>
      <c r="J665" s="14" t="n">
        <v>40</v>
      </c>
      <c r="K665" s="14"/>
      <c r="L665" s="16"/>
      <c r="M665" s="27" t="n">
        <f aca="false">J665+(K665/20)+(L665/240)</f>
        <v>40</v>
      </c>
      <c r="N665" s="17" t="s">
        <v>66</v>
      </c>
      <c r="O665" s="11"/>
      <c r="P665" s="28"/>
      <c r="Q665" s="28" t="n">
        <f aca="false">P665*$M665</f>
        <v>0</v>
      </c>
      <c r="R665" s="28"/>
      <c r="S665" s="28" t="n">
        <f aca="false">R665*$M665</f>
        <v>0</v>
      </c>
      <c r="T665" s="28" t="n">
        <v>2339</v>
      </c>
      <c r="U665" s="28" t="n">
        <v>93560</v>
      </c>
      <c r="V665" s="28" t="n">
        <v>38</v>
      </c>
      <c r="W665" s="28" t="n">
        <v>1520</v>
      </c>
      <c r="X665" s="28"/>
      <c r="Y665" s="28" t="n">
        <f aca="false">X665*$M665</f>
        <v>0</v>
      </c>
      <c r="Z665" s="28"/>
      <c r="AA665" s="28" t="n">
        <f aca="false">Z665*$M665</f>
        <v>0</v>
      </c>
      <c r="AB665" s="28"/>
      <c r="AC665" s="28" t="n">
        <f aca="false">AB665*$M665</f>
        <v>0</v>
      </c>
      <c r="AD665" s="28"/>
      <c r="AE665" s="28" t="n">
        <f aca="false">AD665*$M665</f>
        <v>0</v>
      </c>
      <c r="AF665" s="28"/>
      <c r="AG665" s="28" t="n">
        <f aca="false">AF665*$M665</f>
        <v>0</v>
      </c>
      <c r="AH665" s="28"/>
      <c r="AI665" s="28" t="n">
        <f aca="false">AH665*$M665</f>
        <v>0</v>
      </c>
      <c r="AJ665" s="28"/>
      <c r="AK665" s="28" t="n">
        <f aca="false">AJ665*$M665</f>
        <v>0</v>
      </c>
      <c r="AL665" s="28"/>
      <c r="AM665" s="28" t="n">
        <f aca="false">AL665*$M665</f>
        <v>0</v>
      </c>
      <c r="AN665" s="28"/>
      <c r="AO665" s="28" t="n">
        <f aca="false">AN665*$M665</f>
        <v>0</v>
      </c>
      <c r="AP665" s="28"/>
      <c r="AQ665" s="28" t="n">
        <f aca="false">AP665*$M665</f>
        <v>0</v>
      </c>
      <c r="AR665" s="28"/>
      <c r="AS665" s="28" t="n">
        <f aca="false">AR665*$M665</f>
        <v>0</v>
      </c>
      <c r="AT665" s="28"/>
      <c r="AU665" s="28" t="n">
        <f aca="false">AT665*$M665</f>
        <v>0</v>
      </c>
      <c r="AV665" s="28"/>
      <c r="AW665" s="28" t="n">
        <f aca="false">AV665*$M665</f>
        <v>0</v>
      </c>
      <c r="AX665" s="28"/>
      <c r="AY665" s="28" t="n">
        <f aca="false">AX665*$M665</f>
        <v>0</v>
      </c>
      <c r="AZ665" s="30" t="n">
        <v>2377</v>
      </c>
      <c r="BA665" s="11" t="n">
        <v>95080</v>
      </c>
      <c r="BB665" s="31" t="n">
        <f aca="false">SUM(Q665,S665,U665,W665,Y665,AA665,AC665,AE665,AG665,AI665,AK665,AM665,AO665,AQ665,AS665,AU665,AW665,AY665)</f>
        <v>95080</v>
      </c>
      <c r="BC665" s="28" t="n">
        <f aca="false">BA665-BB665</f>
        <v>0</v>
      </c>
      <c r="BD665" s="32" t="n">
        <f aca="false">SUM(P665,R665,T665,V665,X665,Z665,AB665,AD665,AF665,AH665,AJ665,AL665,AN665,AP665,AR665,AT665,AV665,AX665)</f>
        <v>2377</v>
      </c>
      <c r="BE665" s="33" t="n">
        <f aca="false">AZ665-BD665</f>
        <v>0</v>
      </c>
      <c r="BF665" s="34" t="n">
        <f aca="false">BD665*M665</f>
        <v>95080</v>
      </c>
      <c r="BG665" s="35" t="n">
        <f aca="false">BA665-BF665</f>
        <v>0</v>
      </c>
      <c r="BH665" s="19" t="str">
        <f aca="false">IF(BG665=0,"",IF(BG665&lt;&gt;BA665,"erreur de calcul",IF(BD665&lt;&gt;0,"pas de prix",IF(M665&lt;&gt; 0,"pas de quantité","pas de prix, ni de quantité"))))</f>
        <v/>
      </c>
      <c r="BI665" s="19"/>
    </row>
    <row r="666" customFormat="false" ht="16" hidden="false" customHeight="false" outlineLevel="0" collapsed="false">
      <c r="A666" s="0" t="n">
        <v>25</v>
      </c>
      <c r="B666" s="8" t="s">
        <v>24</v>
      </c>
      <c r="C666" s="9" t="s">
        <v>25</v>
      </c>
      <c r="D666" s="9" t="s">
        <v>26</v>
      </c>
      <c r="E666" s="10" t="n">
        <v>1789</v>
      </c>
      <c r="F666" s="9" t="s">
        <v>27</v>
      </c>
      <c r="G666" s="9" t="s">
        <v>27</v>
      </c>
      <c r="H666" s="11" t="n">
        <v>26</v>
      </c>
      <c r="I666" s="11" t="s">
        <v>396</v>
      </c>
      <c r="J666" s="14" t="n">
        <v>2</v>
      </c>
      <c r="K666" s="14" t="n">
        <v>10</v>
      </c>
      <c r="L666" s="16"/>
      <c r="M666" s="27" t="n">
        <f aca="false">J666+(K666/20)+(L666/240)</f>
        <v>2.5</v>
      </c>
      <c r="N666" s="17" t="s">
        <v>66</v>
      </c>
      <c r="O666" s="11"/>
      <c r="P666" s="28"/>
      <c r="Q666" s="28" t="n">
        <f aca="false">P666*$M666</f>
        <v>0</v>
      </c>
      <c r="R666" s="28"/>
      <c r="S666" s="28" t="n">
        <f aca="false">R666*$M666</f>
        <v>0</v>
      </c>
      <c r="T666" s="28"/>
      <c r="U666" s="28" t="n">
        <f aca="false">T666*$M666</f>
        <v>0</v>
      </c>
      <c r="V666" s="28"/>
      <c r="W666" s="28" t="n">
        <f aca="false">V666*$M666</f>
        <v>0</v>
      </c>
      <c r="X666" s="28"/>
      <c r="Y666" s="28" t="n">
        <f aca="false">X666*$M666</f>
        <v>0</v>
      </c>
      <c r="Z666" s="28"/>
      <c r="AA666" s="28" t="n">
        <f aca="false">Z666*$M666</f>
        <v>0</v>
      </c>
      <c r="AB666" s="28"/>
      <c r="AC666" s="28" t="n">
        <f aca="false">AB666*$M666</f>
        <v>0</v>
      </c>
      <c r="AD666" s="28"/>
      <c r="AE666" s="28" t="n">
        <f aca="false">AD666*$M666</f>
        <v>0</v>
      </c>
      <c r="AF666" s="28"/>
      <c r="AG666" s="28" t="n">
        <f aca="false">AF666*$M666</f>
        <v>0</v>
      </c>
      <c r="AH666" s="28"/>
      <c r="AI666" s="28" t="n">
        <f aca="false">AH666*$M666</f>
        <v>0</v>
      </c>
      <c r="AJ666" s="28" t="n">
        <v>7127</v>
      </c>
      <c r="AK666" s="28" t="n">
        <v>17817</v>
      </c>
      <c r="AL666" s="28"/>
      <c r="AM666" s="28" t="n">
        <f aca="false">AL666*$M666</f>
        <v>0</v>
      </c>
      <c r="AN666" s="28"/>
      <c r="AO666" s="28" t="n">
        <f aca="false">AN666*$M666</f>
        <v>0</v>
      </c>
      <c r="AP666" s="28"/>
      <c r="AQ666" s="28" t="n">
        <f aca="false">AP666*$M666</f>
        <v>0</v>
      </c>
      <c r="AR666" s="28"/>
      <c r="AS666" s="28" t="n">
        <f aca="false">AR666*$M666</f>
        <v>0</v>
      </c>
      <c r="AT666" s="28"/>
      <c r="AU666" s="28" t="n">
        <f aca="false">AT666*$M666</f>
        <v>0</v>
      </c>
      <c r="AV666" s="28"/>
      <c r="AW666" s="28" t="n">
        <f aca="false">AV666*$M666</f>
        <v>0</v>
      </c>
      <c r="AX666" s="28"/>
      <c r="AY666" s="28" t="n">
        <f aca="false">AX666*$M666</f>
        <v>0</v>
      </c>
      <c r="AZ666" s="30" t="n">
        <v>7127</v>
      </c>
      <c r="BA666" s="11" t="n">
        <v>17817</v>
      </c>
      <c r="BB666" s="31" t="n">
        <f aca="false">SUM(Q666,S666,U666,W666,Y666,AA666,AC666,AE666,AG666,AI666,AK666,AM666,AO666,AQ666,AS666,AU666,AW666,AY666)</f>
        <v>17817</v>
      </c>
      <c r="BC666" s="28" t="n">
        <f aca="false">BA666-BB666</f>
        <v>0</v>
      </c>
      <c r="BD666" s="32" t="n">
        <f aca="false">SUM(P666,R666,T666,V666,X666,Z666,AB666,AD666,AF666,AH666,AJ666,AL666,AN666,AP666,AR666,AT666,AV666,AX666)</f>
        <v>7127</v>
      </c>
      <c r="BE666" s="33" t="n">
        <f aca="false">AZ666-BD666</f>
        <v>0</v>
      </c>
      <c r="BF666" s="34" t="n">
        <f aca="false">BD666*M666</f>
        <v>17817.5</v>
      </c>
      <c r="BG666" s="35" t="n">
        <f aca="false">BA666-BF666</f>
        <v>-0.5</v>
      </c>
      <c r="BH666" s="19" t="str">
        <f aca="false">IF(BG666=0,"",IF(BG666&lt;&gt;BA666,"erreur de calcul",IF(BD666&lt;&gt;0,"pas de prix",IF(M666&lt;&gt; 0,"pas de quantité","pas de prix, ni de quantité"))))</f>
        <v>erreur de calcul</v>
      </c>
      <c r="BI666" s="19"/>
    </row>
    <row r="667" customFormat="false" ht="16" hidden="false" customHeight="false" outlineLevel="0" collapsed="false">
      <c r="A667" s="0" t="n">
        <v>26</v>
      </c>
      <c r="B667" s="8" t="s">
        <v>24</v>
      </c>
      <c r="C667" s="9" t="s">
        <v>25</v>
      </c>
      <c r="D667" s="9" t="s">
        <v>26</v>
      </c>
      <c r="E667" s="10" t="n">
        <v>1789</v>
      </c>
      <c r="F667" s="9" t="s">
        <v>27</v>
      </c>
      <c r="G667" s="9" t="s">
        <v>27</v>
      </c>
      <c r="H667" s="11" t="n">
        <v>26</v>
      </c>
      <c r="I667" s="11" t="s">
        <v>397</v>
      </c>
      <c r="J667" s="14" t="n">
        <v>6</v>
      </c>
      <c r="K667" s="14" t="n">
        <v>10</v>
      </c>
      <c r="L667" s="16"/>
      <c r="M667" s="27" t="n">
        <f aca="false">J667+(K667/20)+(L667/240)</f>
        <v>6.5</v>
      </c>
      <c r="N667" s="17" t="s">
        <v>64</v>
      </c>
      <c r="O667" s="11"/>
      <c r="P667" s="28"/>
      <c r="Q667" s="28" t="n">
        <f aca="false">P667*$M667</f>
        <v>0</v>
      </c>
      <c r="R667" s="28"/>
      <c r="S667" s="28" t="n">
        <f aca="false">R667*$M667</f>
        <v>0</v>
      </c>
      <c r="T667" s="28"/>
      <c r="U667" s="28" t="n">
        <f aca="false">T667*$M667</f>
        <v>0</v>
      </c>
      <c r="V667" s="28"/>
      <c r="W667" s="28" t="n">
        <f aca="false">V667*$M667</f>
        <v>0</v>
      </c>
      <c r="X667" s="28" t="n">
        <f aca="false">22000/100</f>
        <v>220</v>
      </c>
      <c r="Y667" s="28" t="n">
        <v>1430</v>
      </c>
      <c r="Z667" s="28"/>
      <c r="AA667" s="28" t="n">
        <f aca="false">Z667*$M667</f>
        <v>0</v>
      </c>
      <c r="AB667" s="28" t="n">
        <f aca="false">3575715/100</f>
        <v>35757.15</v>
      </c>
      <c r="AC667" s="36" t="n">
        <v>214543</v>
      </c>
      <c r="AD667" s="28"/>
      <c r="AE667" s="28" t="n">
        <f aca="false">AD667*$M667</f>
        <v>0</v>
      </c>
      <c r="AF667" s="28"/>
      <c r="AG667" s="28" t="n">
        <f aca="false">AF667*$M667</f>
        <v>0</v>
      </c>
      <c r="AH667" s="28"/>
      <c r="AI667" s="28" t="n">
        <f aca="false">AH667*$M667</f>
        <v>0</v>
      </c>
      <c r="AJ667" s="28"/>
      <c r="AK667" s="28" t="n">
        <f aca="false">AJ667*$M667</f>
        <v>0</v>
      </c>
      <c r="AL667" s="28"/>
      <c r="AM667" s="28" t="n">
        <f aca="false">AL667*$M667</f>
        <v>0</v>
      </c>
      <c r="AN667" s="28"/>
      <c r="AO667" s="28" t="n">
        <f aca="false">AN667*$M667</f>
        <v>0</v>
      </c>
      <c r="AP667" s="28"/>
      <c r="AQ667" s="28" t="n">
        <f aca="false">AP667*$M667</f>
        <v>0</v>
      </c>
      <c r="AR667" s="28"/>
      <c r="AS667" s="28" t="n">
        <f aca="false">AR667*$M667</f>
        <v>0</v>
      </c>
      <c r="AT667" s="28"/>
      <c r="AU667" s="28" t="n">
        <f aca="false">AT667*$M667</f>
        <v>0</v>
      </c>
      <c r="AV667" s="28"/>
      <c r="AW667" s="28" t="n">
        <f aca="false">AV667*$M667</f>
        <v>0</v>
      </c>
      <c r="AX667" s="28"/>
      <c r="AY667" s="28" t="n">
        <f aca="false">AX667*$M667</f>
        <v>0</v>
      </c>
      <c r="AZ667" s="30" t="n">
        <f aca="false">3597715/100</f>
        <v>35977.15</v>
      </c>
      <c r="BA667" s="11" t="n">
        <v>215973</v>
      </c>
      <c r="BB667" s="31" t="n">
        <f aca="false">SUM(Q667,S667,U667,W667,Y667,AA667,AC667,AE667,AG667,AI667,AK667,AM667,AO667,AQ667,AS667,AU667,AW667,AY667)</f>
        <v>215973</v>
      </c>
      <c r="BC667" s="28" t="n">
        <f aca="false">BA667-BB667</f>
        <v>0</v>
      </c>
      <c r="BD667" s="32" t="n">
        <f aca="false">SUM(P667,R667,T667,V667,X667,Z667,AB667,AD667,AF667,AH667,AJ667,AL667,AN667,AP667,AR667,AT667,AV667,AX667)</f>
        <v>35977.15</v>
      </c>
      <c r="BE667" s="33" t="n">
        <f aca="false">AZ667-BD667</f>
        <v>0</v>
      </c>
      <c r="BF667" s="34" t="n">
        <f aca="false">BD667*M667</f>
        <v>233851.475</v>
      </c>
      <c r="BG667" s="35" t="n">
        <f aca="false">BA667-BF667</f>
        <v>-17878.475</v>
      </c>
      <c r="BH667" s="19" t="str">
        <f aca="false">IF(BG667=0,"",IF(BG667&lt;&gt;BA667,"erreur de calcul",IF(BD667&lt;&gt;0,"pas de prix",IF(M667&lt;&gt; 0,"pas de quantité","pas de prix, ni de quantité"))))</f>
        <v>erreur de calcul</v>
      </c>
      <c r="BI667" s="19"/>
    </row>
    <row r="668" customFormat="false" ht="16" hidden="false" customHeight="false" outlineLevel="0" collapsed="false">
      <c r="A668" s="0" t="n">
        <v>27</v>
      </c>
      <c r="B668" s="8" t="s">
        <v>24</v>
      </c>
      <c r="C668" s="9" t="s">
        <v>25</v>
      </c>
      <c r="D668" s="9" t="s">
        <v>26</v>
      </c>
      <c r="E668" s="10" t="n">
        <v>1789</v>
      </c>
      <c r="F668" s="9" t="s">
        <v>27</v>
      </c>
      <c r="G668" s="9" t="s">
        <v>27</v>
      </c>
      <c r="H668" s="11" t="n">
        <v>26</v>
      </c>
      <c r="I668" s="11" t="s">
        <v>398</v>
      </c>
      <c r="J668" s="14" t="n">
        <v>11</v>
      </c>
      <c r="K668" s="14"/>
      <c r="L668" s="16"/>
      <c r="M668" s="27" t="n">
        <f aca="false">J668+(K668/20)+(L668/240)</f>
        <v>11</v>
      </c>
      <c r="N668" s="17" t="s">
        <v>64</v>
      </c>
      <c r="O668" s="11"/>
      <c r="P668" s="28" t="n">
        <f aca="false">166667/100</f>
        <v>1666.67</v>
      </c>
      <c r="Q668" s="28" t="n">
        <v>18333</v>
      </c>
      <c r="R668" s="28"/>
      <c r="S668" s="28" t="n">
        <f aca="false">R668*$M668</f>
        <v>0</v>
      </c>
      <c r="T668" s="28"/>
      <c r="U668" s="28" t="n">
        <f aca="false">T668*$M668</f>
        <v>0</v>
      </c>
      <c r="V668" s="28"/>
      <c r="W668" s="28" t="n">
        <f aca="false">V668*$M668</f>
        <v>0</v>
      </c>
      <c r="X668" s="28"/>
      <c r="Y668" s="28" t="n">
        <f aca="false">X668*$M668</f>
        <v>0</v>
      </c>
      <c r="Z668" s="28"/>
      <c r="AA668" s="28" t="n">
        <f aca="false">Z668*$M668</f>
        <v>0</v>
      </c>
      <c r="AB668" s="28" t="n">
        <f aca="false">3312/100</f>
        <v>33.12</v>
      </c>
      <c r="AC668" s="28" t="n">
        <v>364</v>
      </c>
      <c r="AD668" s="28"/>
      <c r="AE668" s="28" t="n">
        <f aca="false">AD668*$M668</f>
        <v>0</v>
      </c>
      <c r="AF668" s="28"/>
      <c r="AG668" s="28" t="n">
        <f aca="false">AF668*$M668</f>
        <v>0</v>
      </c>
      <c r="AH668" s="28"/>
      <c r="AI668" s="28" t="n">
        <f aca="false">AH668*$M668</f>
        <v>0</v>
      </c>
      <c r="AJ668" s="28"/>
      <c r="AK668" s="28" t="n">
        <f aca="false">AJ668*$M668</f>
        <v>0</v>
      </c>
      <c r="AL668" s="28"/>
      <c r="AM668" s="28" t="n">
        <f aca="false">AL668*$M668</f>
        <v>0</v>
      </c>
      <c r="AN668" s="28"/>
      <c r="AO668" s="28" t="n">
        <f aca="false">AN668*$M668</f>
        <v>0</v>
      </c>
      <c r="AP668" s="28"/>
      <c r="AQ668" s="28" t="n">
        <f aca="false">AP668*$M668</f>
        <v>0</v>
      </c>
      <c r="AR668" s="28"/>
      <c r="AS668" s="28" t="n">
        <f aca="false">AR668*$M668</f>
        <v>0</v>
      </c>
      <c r="AT668" s="28"/>
      <c r="AU668" s="28" t="n">
        <f aca="false">AT668*$M668</f>
        <v>0</v>
      </c>
      <c r="AV668" s="28"/>
      <c r="AW668" s="28" t="n">
        <f aca="false">AV668*$M668</f>
        <v>0</v>
      </c>
      <c r="AX668" s="28"/>
      <c r="AY668" s="28" t="n">
        <f aca="false">AX668*$M668</f>
        <v>0</v>
      </c>
      <c r="AZ668" s="30" t="n">
        <f aca="false">169979/100</f>
        <v>1699.79</v>
      </c>
      <c r="BA668" s="11" t="n">
        <v>18697</v>
      </c>
      <c r="BB668" s="31" t="n">
        <f aca="false">SUM(Q668,S668,U668,W668,Y668,AA668,AC668,AE668,AG668,AI668,AK668,AM668,AO668,AQ668,AS668,AU668,AW668,AY668)</f>
        <v>18697</v>
      </c>
      <c r="BC668" s="28" t="n">
        <f aca="false">BA668-BB668</f>
        <v>0</v>
      </c>
      <c r="BD668" s="32" t="n">
        <f aca="false">SUM(P668,R668,T668,V668,X668,Z668,AB668,AD668,AF668,AH668,AJ668,AL668,AN668,AP668,AR668,AT668,AV668,AX668)</f>
        <v>1699.79</v>
      </c>
      <c r="BE668" s="33" t="n">
        <f aca="false">AZ668-BD668</f>
        <v>0</v>
      </c>
      <c r="BF668" s="34" t="n">
        <f aca="false">BD668*M668</f>
        <v>18697.69</v>
      </c>
      <c r="BG668" s="35" t="n">
        <f aca="false">BA668-BF668</f>
        <v>-0.68999999999869</v>
      </c>
      <c r="BH668" s="19" t="str">
        <f aca="false">IF(BG668=0,"",IF(BG668&lt;&gt;BA668,"erreur de calcul",IF(BD668&lt;&gt;0,"pas de prix",IF(M668&lt;&gt; 0,"pas de quantité","pas de prix, ni de quantité"))))</f>
        <v>erreur de calcul</v>
      </c>
      <c r="BI668" s="19"/>
    </row>
    <row r="669" customFormat="false" ht="16" hidden="false" customHeight="false" outlineLevel="0" collapsed="false">
      <c r="A669" s="0" t="n">
        <v>28</v>
      </c>
      <c r="B669" s="8" t="s">
        <v>24</v>
      </c>
      <c r="C669" s="9" t="s">
        <v>25</v>
      </c>
      <c r="D669" s="9" t="s">
        <v>26</v>
      </c>
      <c r="E669" s="10" t="n">
        <v>1789</v>
      </c>
      <c r="F669" s="9" t="s">
        <v>27</v>
      </c>
      <c r="G669" s="9" t="s">
        <v>27</v>
      </c>
      <c r="H669" s="11" t="n">
        <v>26</v>
      </c>
      <c r="I669" s="11" t="s">
        <v>399</v>
      </c>
      <c r="J669" s="14" t="n">
        <v>18</v>
      </c>
      <c r="K669" s="14"/>
      <c r="L669" s="16"/>
      <c r="M669" s="27" t="n">
        <f aca="false">J669+(K669/20)+(L669/240)</f>
        <v>18</v>
      </c>
      <c r="N669" s="17" t="s">
        <v>66</v>
      </c>
      <c r="O669" s="11"/>
      <c r="P669" s="28"/>
      <c r="Q669" s="28" t="n">
        <f aca="false">P669*$M669</f>
        <v>0</v>
      </c>
      <c r="R669" s="28"/>
      <c r="S669" s="28" t="n">
        <f aca="false">R669*$M669</f>
        <v>0</v>
      </c>
      <c r="T669" s="28"/>
      <c r="U669" s="28" t="n">
        <f aca="false">T669*$M669</f>
        <v>0</v>
      </c>
      <c r="V669" s="28"/>
      <c r="W669" s="28" t="n">
        <f aca="false">V669*$M669</f>
        <v>0</v>
      </c>
      <c r="X669" s="28"/>
      <c r="Y669" s="28" t="n">
        <f aca="false">X669*$M669</f>
        <v>0</v>
      </c>
      <c r="Z669" s="28"/>
      <c r="AA669" s="28" t="n">
        <f aca="false">Z669*$M669</f>
        <v>0</v>
      </c>
      <c r="AB669" s="28"/>
      <c r="AC669" s="28" t="n">
        <f aca="false">AB669*$M669</f>
        <v>0</v>
      </c>
      <c r="AD669" s="28"/>
      <c r="AE669" s="28" t="n">
        <f aca="false">AD669*$M669</f>
        <v>0</v>
      </c>
      <c r="AF669" s="28"/>
      <c r="AG669" s="28" t="n">
        <f aca="false">AF669*$M669</f>
        <v>0</v>
      </c>
      <c r="AH669" s="28" t="n">
        <v>72036</v>
      </c>
      <c r="AI669" s="28" t="n">
        <v>1296648</v>
      </c>
      <c r="AJ669" s="28"/>
      <c r="AK669" s="28" t="n">
        <f aca="false">AJ669*$M669</f>
        <v>0</v>
      </c>
      <c r="AL669" s="28"/>
      <c r="AM669" s="28" t="n">
        <f aca="false">AL669*$M669</f>
        <v>0</v>
      </c>
      <c r="AN669" s="28"/>
      <c r="AO669" s="28" t="n">
        <f aca="false">AN669*$M669</f>
        <v>0</v>
      </c>
      <c r="AP669" s="28"/>
      <c r="AQ669" s="28" t="n">
        <f aca="false">AP669*$M669</f>
        <v>0</v>
      </c>
      <c r="AR669" s="28"/>
      <c r="AS669" s="28" t="n">
        <f aca="false">AR669*$M669</f>
        <v>0</v>
      </c>
      <c r="AT669" s="28"/>
      <c r="AU669" s="28" t="n">
        <f aca="false">AT669*$M669</f>
        <v>0</v>
      </c>
      <c r="AV669" s="28"/>
      <c r="AW669" s="28" t="n">
        <f aca="false">AV669*$M669</f>
        <v>0</v>
      </c>
      <c r="AX669" s="28"/>
      <c r="AY669" s="28" t="n">
        <f aca="false">AX669*$M669</f>
        <v>0</v>
      </c>
      <c r="AZ669" s="30" t="n">
        <v>72036</v>
      </c>
      <c r="BA669" s="11" t="n">
        <v>1296648</v>
      </c>
      <c r="BB669" s="31" t="n">
        <f aca="false">SUM(Q669,S669,U669,W669,Y669,AA669,AC669,AE669,AG669,AI669,AK669,AM669,AO669,AQ669,AS669,AU669,AW669,AY669)</f>
        <v>1296648</v>
      </c>
      <c r="BC669" s="28" t="n">
        <f aca="false">BA669-BB669</f>
        <v>0</v>
      </c>
      <c r="BD669" s="32" t="n">
        <f aca="false">SUM(P669,R669,T669,V669,X669,Z669,AB669,AD669,AF669,AH669,AJ669,AL669,AN669,AP669,AR669,AT669,AV669,AX669)</f>
        <v>72036</v>
      </c>
      <c r="BE669" s="33" t="n">
        <f aca="false">AZ669-BD669</f>
        <v>0</v>
      </c>
      <c r="BF669" s="34" t="n">
        <f aca="false">BD669*M669</f>
        <v>1296648</v>
      </c>
      <c r="BG669" s="35" t="n">
        <f aca="false">BA669-BF669</f>
        <v>0</v>
      </c>
      <c r="BH669" s="19" t="str">
        <f aca="false">IF(BG669=0,"",IF(BG669&lt;&gt;BA669,"erreur de calcul",IF(BD669&lt;&gt;0,"pas de prix",IF(M669&lt;&gt; 0,"pas de quantité","pas de prix, ni de quantité"))))</f>
        <v/>
      </c>
      <c r="BI669" s="19"/>
    </row>
    <row r="670" customFormat="false" ht="16" hidden="false" customHeight="false" outlineLevel="0" collapsed="false">
      <c r="A670" s="0" t="n">
        <v>29</v>
      </c>
      <c r="B670" s="8" t="s">
        <v>24</v>
      </c>
      <c r="C670" s="9" t="s">
        <v>25</v>
      </c>
      <c r="D670" s="9" t="s">
        <v>26</v>
      </c>
      <c r="E670" s="10" t="n">
        <v>1789</v>
      </c>
      <c r="F670" s="9" t="s">
        <v>27</v>
      </c>
      <c r="G670" s="9" t="s">
        <v>27</v>
      </c>
      <c r="H670" s="11" t="n">
        <v>26</v>
      </c>
      <c r="I670" s="11" t="s">
        <v>400</v>
      </c>
      <c r="J670" s="14" t="n">
        <v>19</v>
      </c>
      <c r="K670" s="14"/>
      <c r="L670" s="16"/>
      <c r="M670" s="27" t="n">
        <f aca="false">J670+(K670/20)+(L670/240)</f>
        <v>19</v>
      </c>
      <c r="N670" s="17" t="s">
        <v>66</v>
      </c>
      <c r="O670" s="11"/>
      <c r="P670" s="28"/>
      <c r="Q670" s="28" t="n">
        <f aca="false">P670*$M670</f>
        <v>0</v>
      </c>
      <c r="R670" s="28"/>
      <c r="S670" s="28" t="n">
        <f aca="false">R670*$M670</f>
        <v>0</v>
      </c>
      <c r="T670" s="28"/>
      <c r="U670" s="28" t="n">
        <f aca="false">T670*$M670</f>
        <v>0</v>
      </c>
      <c r="V670" s="28"/>
      <c r="W670" s="28" t="n">
        <f aca="false">V670*$M670</f>
        <v>0</v>
      </c>
      <c r="X670" s="28"/>
      <c r="Y670" s="28" t="n">
        <f aca="false">X670*$M670</f>
        <v>0</v>
      </c>
      <c r="Z670" s="28"/>
      <c r="AA670" s="28" t="n">
        <f aca="false">Z670*$M670</f>
        <v>0</v>
      </c>
      <c r="AB670" s="28" t="n">
        <v>1176</v>
      </c>
      <c r="AC670" s="28" t="n">
        <v>22344</v>
      </c>
      <c r="AD670" s="28"/>
      <c r="AE670" s="28" t="n">
        <f aca="false">AD670*$M670</f>
        <v>0</v>
      </c>
      <c r="AF670" s="28"/>
      <c r="AG670" s="28" t="n">
        <f aca="false">AF670*$M670</f>
        <v>0</v>
      </c>
      <c r="AH670" s="28"/>
      <c r="AI670" s="28" t="n">
        <f aca="false">AH670*$M670</f>
        <v>0</v>
      </c>
      <c r="AJ670" s="28"/>
      <c r="AK670" s="28" t="n">
        <f aca="false">AJ670*$M670</f>
        <v>0</v>
      </c>
      <c r="AL670" s="28"/>
      <c r="AM670" s="28" t="n">
        <f aca="false">AL670*$M670</f>
        <v>0</v>
      </c>
      <c r="AN670" s="28"/>
      <c r="AO670" s="28" t="n">
        <f aca="false">AN670*$M670</f>
        <v>0</v>
      </c>
      <c r="AP670" s="28"/>
      <c r="AQ670" s="28" t="n">
        <f aca="false">AP670*$M670</f>
        <v>0</v>
      </c>
      <c r="AR670" s="28"/>
      <c r="AS670" s="28" t="n">
        <f aca="false">AR670*$M670</f>
        <v>0</v>
      </c>
      <c r="AT670" s="28"/>
      <c r="AU670" s="28" t="n">
        <f aca="false">AT670*$M670</f>
        <v>0</v>
      </c>
      <c r="AV670" s="28"/>
      <c r="AW670" s="28" t="n">
        <f aca="false">AV670*$M670</f>
        <v>0</v>
      </c>
      <c r="AX670" s="28"/>
      <c r="AY670" s="28" t="n">
        <f aca="false">AX670*$M670</f>
        <v>0</v>
      </c>
      <c r="AZ670" s="30" t="n">
        <v>1176</v>
      </c>
      <c r="BA670" s="11" t="n">
        <v>22344</v>
      </c>
      <c r="BB670" s="31" t="n">
        <f aca="false">SUM(Q670,S670,U670,W670,Y670,AA670,AC670,AE670,AG670,AI670,AK670,AM670,AO670,AQ670,AS670,AU670,AW670,AY670)</f>
        <v>22344</v>
      </c>
      <c r="BC670" s="28" t="n">
        <f aca="false">BA670-BB670</f>
        <v>0</v>
      </c>
      <c r="BD670" s="32" t="n">
        <f aca="false">SUM(P670,R670,T670,V670,X670,Z670,AB670,AD670,AF670,AH670,AJ670,AL670,AN670,AP670,AR670,AT670,AV670,AX670)</f>
        <v>1176</v>
      </c>
      <c r="BE670" s="33" t="n">
        <f aca="false">AZ670-BD670</f>
        <v>0</v>
      </c>
      <c r="BF670" s="34" t="n">
        <f aca="false">BD670*M670</f>
        <v>22344</v>
      </c>
      <c r="BG670" s="35" t="n">
        <f aca="false">BA670-BF670</f>
        <v>0</v>
      </c>
      <c r="BH670" s="19" t="str">
        <f aca="false">IF(BG670=0,"",IF(BG670&lt;&gt;BA670,"erreur de calcul",IF(BD670&lt;&gt;0,"pas de prix",IF(M670&lt;&gt; 0,"pas de quantité","pas de prix, ni de quantité"))))</f>
        <v/>
      </c>
      <c r="BI670" s="19"/>
    </row>
    <row r="671" customFormat="false" ht="16" hidden="false" customHeight="false" outlineLevel="0" collapsed="false">
      <c r="A671" s="0" t="n">
        <v>30</v>
      </c>
      <c r="B671" s="8" t="s">
        <v>24</v>
      </c>
      <c r="C671" s="9" t="s">
        <v>25</v>
      </c>
      <c r="D671" s="9" t="s">
        <v>26</v>
      </c>
      <c r="E671" s="10" t="n">
        <v>1789</v>
      </c>
      <c r="F671" s="9" t="s">
        <v>27</v>
      </c>
      <c r="G671" s="9" t="s">
        <v>27</v>
      </c>
      <c r="H671" s="11" t="n">
        <v>26</v>
      </c>
      <c r="I671" s="11" t="s">
        <v>401</v>
      </c>
      <c r="J671" s="14" t="n">
        <v>20</v>
      </c>
      <c r="K671" s="14"/>
      <c r="L671" s="16"/>
      <c r="M671" s="27" t="n">
        <f aca="false">J671+(K671/20)+(L671/240)</f>
        <v>20</v>
      </c>
      <c r="N671" s="17" t="s">
        <v>66</v>
      </c>
      <c r="O671" s="11"/>
      <c r="P671" s="28"/>
      <c r="Q671" s="28" t="n">
        <f aca="false">P671*$M671</f>
        <v>0</v>
      </c>
      <c r="R671" s="28"/>
      <c r="S671" s="28" t="n">
        <f aca="false">R671*$M671</f>
        <v>0</v>
      </c>
      <c r="T671" s="28" t="n">
        <v>7478</v>
      </c>
      <c r="U671" s="28" t="n">
        <v>149560</v>
      </c>
      <c r="V671" s="28" t="n">
        <v>3386</v>
      </c>
      <c r="W671" s="36" t="n">
        <v>66720</v>
      </c>
      <c r="X671" s="28" t="n">
        <v>2233</v>
      </c>
      <c r="Y671" s="28" t="n">
        <v>44660</v>
      </c>
      <c r="Z671" s="28" t="n">
        <v>867</v>
      </c>
      <c r="AA671" s="28" t="n">
        <v>17340</v>
      </c>
      <c r="AB671" s="28" t="n">
        <v>32380</v>
      </c>
      <c r="AC671" s="28" t="n">
        <v>647600</v>
      </c>
      <c r="AD671" s="28"/>
      <c r="AE671" s="28" t="n">
        <f aca="false">AD671*$M671</f>
        <v>0</v>
      </c>
      <c r="AF671" s="28"/>
      <c r="AG671" s="28" t="n">
        <f aca="false">AF671*$M671</f>
        <v>0</v>
      </c>
      <c r="AH671" s="28" t="n">
        <v>12038</v>
      </c>
      <c r="AI671" s="28" t="n">
        <v>240760</v>
      </c>
      <c r="AJ671" s="28"/>
      <c r="AK671" s="28" t="n">
        <f aca="false">AJ671*$M671</f>
        <v>0</v>
      </c>
      <c r="AL671" s="28"/>
      <c r="AM671" s="28" t="n">
        <f aca="false">AL671*$M671</f>
        <v>0</v>
      </c>
      <c r="AN671" s="28"/>
      <c r="AO671" s="28" t="n">
        <f aca="false">AN671*$M671</f>
        <v>0</v>
      </c>
      <c r="AP671" s="28"/>
      <c r="AQ671" s="28" t="n">
        <f aca="false">AP671*$M671</f>
        <v>0</v>
      </c>
      <c r="AR671" s="28"/>
      <c r="AS671" s="28" t="n">
        <f aca="false">AR671*$M671</f>
        <v>0</v>
      </c>
      <c r="AT671" s="28"/>
      <c r="AU671" s="28" t="n">
        <f aca="false">AT671*$M671</f>
        <v>0</v>
      </c>
      <c r="AV671" s="28"/>
      <c r="AW671" s="28" t="n">
        <f aca="false">AV671*$M671</f>
        <v>0</v>
      </c>
      <c r="AX671" s="28"/>
      <c r="AY671" s="28" t="n">
        <f aca="false">AX671*$M671</f>
        <v>0</v>
      </c>
      <c r="AZ671" s="30" t="n">
        <v>58382</v>
      </c>
      <c r="BA671" s="11" t="n">
        <v>1166640</v>
      </c>
      <c r="BB671" s="31" t="n">
        <f aca="false">SUM(Q671,S671,U671,W671,Y671,AA671,AC671,AE671,AG671,AI671,AK671,AM671,AO671,AQ671,AS671,AU671,AW671,AY671)</f>
        <v>1166640</v>
      </c>
      <c r="BC671" s="28" t="n">
        <f aca="false">BA671-BB671</f>
        <v>0</v>
      </c>
      <c r="BD671" s="32" t="n">
        <f aca="false">SUM(P671,R671,T671,V671,X671,Z671,AB671,AD671,AF671,AH671,AJ671,AL671,AN671,AP671,AR671,AT671,AV671,AX671)</f>
        <v>58382</v>
      </c>
      <c r="BE671" s="33" t="n">
        <f aca="false">AZ671-BD671</f>
        <v>0</v>
      </c>
      <c r="BF671" s="34" t="n">
        <f aca="false">BD671*M671</f>
        <v>1167640</v>
      </c>
      <c r="BG671" s="35" t="n">
        <f aca="false">BA671-BF671</f>
        <v>-1000</v>
      </c>
      <c r="BH671" s="19" t="str">
        <f aca="false">IF(BG671=0,"",IF(BG671&lt;&gt;BA671,"erreur de calcul",IF(BD671&lt;&gt;0,"pas de prix",IF(M671&lt;&gt; 0,"pas de quantité","pas de prix, ni de quantité"))))</f>
        <v>erreur de calcul</v>
      </c>
      <c r="BI671" s="19"/>
    </row>
    <row r="672" customFormat="false" ht="16" hidden="false" customHeight="false" outlineLevel="0" collapsed="false">
      <c r="A672" s="0" t="n">
        <v>31</v>
      </c>
      <c r="B672" s="8" t="s">
        <v>24</v>
      </c>
      <c r="C672" s="9" t="s">
        <v>25</v>
      </c>
      <c r="D672" s="9" t="s">
        <v>26</v>
      </c>
      <c r="E672" s="10" t="n">
        <v>1789</v>
      </c>
      <c r="F672" s="9" t="s">
        <v>27</v>
      </c>
      <c r="G672" s="9" t="s">
        <v>27</v>
      </c>
      <c r="H672" s="11" t="n">
        <v>26</v>
      </c>
      <c r="I672" s="11" t="s">
        <v>402</v>
      </c>
      <c r="J672" s="14" t="n">
        <v>17</v>
      </c>
      <c r="K672" s="14"/>
      <c r="L672" s="16"/>
      <c r="M672" s="27" t="n">
        <f aca="false">J672+(K672/20)+(L672/240)</f>
        <v>17</v>
      </c>
      <c r="N672" s="17" t="s">
        <v>66</v>
      </c>
      <c r="O672" s="11"/>
      <c r="P672" s="28"/>
      <c r="Q672" s="28" t="n">
        <f aca="false">P672*$M672</f>
        <v>0</v>
      </c>
      <c r="R672" s="28"/>
      <c r="S672" s="28" t="n">
        <f aca="false">R672*$M672</f>
        <v>0</v>
      </c>
      <c r="T672" s="28" t="n">
        <v>126481</v>
      </c>
      <c r="U672" s="28" t="n">
        <v>2150177</v>
      </c>
      <c r="V672" s="28"/>
      <c r="W672" s="28" t="n">
        <f aca="false">V672*$M672</f>
        <v>0</v>
      </c>
      <c r="X672" s="28"/>
      <c r="Y672" s="28" t="n">
        <f aca="false">X672*$M672</f>
        <v>0</v>
      </c>
      <c r="Z672" s="28"/>
      <c r="AA672" s="28" t="n">
        <f aca="false">Z672*$M672</f>
        <v>0</v>
      </c>
      <c r="AB672" s="28"/>
      <c r="AC672" s="28" t="n">
        <f aca="false">AB672*$M672</f>
        <v>0</v>
      </c>
      <c r="AD672" s="28"/>
      <c r="AE672" s="28" t="n">
        <f aca="false">AD672*$M672</f>
        <v>0</v>
      </c>
      <c r="AF672" s="28"/>
      <c r="AG672" s="28" t="n">
        <f aca="false">AF672*$M672</f>
        <v>0</v>
      </c>
      <c r="AH672" s="28"/>
      <c r="AI672" s="28" t="n">
        <f aca="false">AH672*$M672</f>
        <v>0</v>
      </c>
      <c r="AJ672" s="28"/>
      <c r="AK672" s="28" t="n">
        <f aca="false">AJ672*$M672</f>
        <v>0</v>
      </c>
      <c r="AL672" s="28"/>
      <c r="AM672" s="28" t="n">
        <f aca="false">AL672*$M672</f>
        <v>0</v>
      </c>
      <c r="AN672" s="28"/>
      <c r="AO672" s="28" t="n">
        <f aca="false">AN672*$M672</f>
        <v>0</v>
      </c>
      <c r="AP672" s="28"/>
      <c r="AQ672" s="28" t="n">
        <f aca="false">AP672*$M672</f>
        <v>0</v>
      </c>
      <c r="AR672" s="28"/>
      <c r="AS672" s="28" t="n">
        <f aca="false">AR672*$M672</f>
        <v>0</v>
      </c>
      <c r="AT672" s="28"/>
      <c r="AU672" s="28" t="n">
        <f aca="false">AT672*$M672</f>
        <v>0</v>
      </c>
      <c r="AV672" s="28"/>
      <c r="AW672" s="28" t="n">
        <f aca="false">AV672*$M672</f>
        <v>0</v>
      </c>
      <c r="AX672" s="28"/>
      <c r="AY672" s="28" t="n">
        <f aca="false">AX672*$M672</f>
        <v>0</v>
      </c>
      <c r="AZ672" s="30" t="n">
        <v>126481</v>
      </c>
      <c r="BA672" s="11" t="n">
        <v>2150177</v>
      </c>
      <c r="BB672" s="31" t="n">
        <f aca="false">SUM(Q672,S672,U672,W672,Y672,AA672,AC672,AE672,AG672,AI672,AK672,AM672,AO672,AQ672,AS672,AU672,AW672,AY672)</f>
        <v>2150177</v>
      </c>
      <c r="BC672" s="28" t="n">
        <f aca="false">BA672-BB672</f>
        <v>0</v>
      </c>
      <c r="BD672" s="32" t="n">
        <f aca="false">SUM(P672,R672,T672,V672,X672,Z672,AB672,AD672,AF672,AH672,AJ672,AL672,AN672,AP672,AR672,AT672,AV672,AX672)</f>
        <v>126481</v>
      </c>
      <c r="BE672" s="33" t="n">
        <f aca="false">AZ672-BD672</f>
        <v>0</v>
      </c>
      <c r="BF672" s="34" t="n">
        <f aca="false">BD672*M672</f>
        <v>2150177</v>
      </c>
      <c r="BG672" s="35" t="n">
        <f aca="false">BA672-BF672</f>
        <v>0</v>
      </c>
      <c r="BH672" s="19" t="str">
        <f aca="false">IF(BG672=0,"",IF(BG672&lt;&gt;BA672,"erreur de calcul",IF(BD672&lt;&gt;0,"pas de prix",IF(M672&lt;&gt; 0,"pas de quantité","pas de prix, ni de quantité"))))</f>
        <v/>
      </c>
      <c r="BI672" s="19"/>
    </row>
    <row r="673" customFormat="false" ht="16" hidden="false" customHeight="false" outlineLevel="0" collapsed="false">
      <c r="A673" s="0" t="n">
        <v>32</v>
      </c>
      <c r="B673" s="8" t="s">
        <v>24</v>
      </c>
      <c r="C673" s="9" t="s">
        <v>25</v>
      </c>
      <c r="D673" s="9" t="s">
        <v>26</v>
      </c>
      <c r="E673" s="10" t="n">
        <v>1789</v>
      </c>
      <c r="F673" s="9" t="s">
        <v>27</v>
      </c>
      <c r="G673" s="9" t="s">
        <v>27</v>
      </c>
      <c r="H673" s="11" t="n">
        <v>26</v>
      </c>
      <c r="I673" s="11" t="s">
        <v>403</v>
      </c>
      <c r="J673" s="14" t="n">
        <v>28</v>
      </c>
      <c r="K673" s="14"/>
      <c r="L673" s="16"/>
      <c r="M673" s="27" t="n">
        <f aca="false">J673+(K673/20)+(L673/240)</f>
        <v>28</v>
      </c>
      <c r="N673" s="17" t="s">
        <v>66</v>
      </c>
      <c r="O673" s="11"/>
      <c r="P673" s="28"/>
      <c r="Q673" s="28" t="n">
        <f aca="false">P673*$M673</f>
        <v>0</v>
      </c>
      <c r="R673" s="28"/>
      <c r="S673" s="28" t="n">
        <f aca="false">R673*$M673</f>
        <v>0</v>
      </c>
      <c r="T673" s="28"/>
      <c r="U673" s="28" t="n">
        <f aca="false">T673*$M673</f>
        <v>0</v>
      </c>
      <c r="V673" s="28" t="n">
        <v>1923</v>
      </c>
      <c r="W673" s="28" t="n">
        <v>53844</v>
      </c>
      <c r="X673" s="28" t="n">
        <v>7280</v>
      </c>
      <c r="Y673" s="36" t="n">
        <v>203860</v>
      </c>
      <c r="Z673" s="28"/>
      <c r="AA673" s="28" t="n">
        <f aca="false">Z673*$M673</f>
        <v>0</v>
      </c>
      <c r="AB673" s="28" t="n">
        <v>128803</v>
      </c>
      <c r="AC673" s="28" t="n">
        <v>3606484</v>
      </c>
      <c r="AD673" s="28"/>
      <c r="AE673" s="28" t="n">
        <f aca="false">AD673*$M673</f>
        <v>0</v>
      </c>
      <c r="AF673" s="28"/>
      <c r="AG673" s="28" t="n">
        <f aca="false">AF673*$M673</f>
        <v>0</v>
      </c>
      <c r="AH673" s="28"/>
      <c r="AI673" s="28" t="n">
        <f aca="false">AH673*$M673</f>
        <v>0</v>
      </c>
      <c r="AJ673" s="28"/>
      <c r="AK673" s="28" t="n">
        <f aca="false">AJ673*$M673</f>
        <v>0</v>
      </c>
      <c r="AL673" s="28"/>
      <c r="AM673" s="28" t="n">
        <f aca="false">AL673*$M673</f>
        <v>0</v>
      </c>
      <c r="AN673" s="28"/>
      <c r="AO673" s="28" t="n">
        <f aca="false">AN673*$M673</f>
        <v>0</v>
      </c>
      <c r="AP673" s="28"/>
      <c r="AQ673" s="28" t="n">
        <f aca="false">AP673*$M673</f>
        <v>0</v>
      </c>
      <c r="AR673" s="28"/>
      <c r="AS673" s="28" t="n">
        <f aca="false">AR673*$M673</f>
        <v>0</v>
      </c>
      <c r="AT673" s="28"/>
      <c r="AU673" s="28" t="n">
        <f aca="false">AT673*$M673</f>
        <v>0</v>
      </c>
      <c r="AV673" s="28"/>
      <c r="AW673" s="28" t="n">
        <f aca="false">AV673*$M673</f>
        <v>0</v>
      </c>
      <c r="AX673" s="28"/>
      <c r="AY673" s="28" t="n">
        <f aca="false">AX673*$M673</f>
        <v>0</v>
      </c>
      <c r="AZ673" s="30" t="n">
        <v>138006</v>
      </c>
      <c r="BA673" s="11" t="n">
        <v>3864188</v>
      </c>
      <c r="BB673" s="31" t="n">
        <f aca="false">SUM(Q673,S673,U673,W673,Y673,AA673,AC673,AE673,AG673,AI673,AK673,AM673,AO673,AQ673,AS673,AU673,AW673,AY673)</f>
        <v>3864188</v>
      </c>
      <c r="BC673" s="28" t="n">
        <f aca="false">BA673-BB673</f>
        <v>0</v>
      </c>
      <c r="BD673" s="32" t="n">
        <f aca="false">SUM(P673,R673,T673,V673,X673,Z673,AB673,AD673,AF673,AH673,AJ673,AL673,AN673,AP673,AR673,AT673,AV673,AX673)</f>
        <v>138006</v>
      </c>
      <c r="BE673" s="33" t="n">
        <f aca="false">AZ673-BD673</f>
        <v>0</v>
      </c>
      <c r="BF673" s="34" t="n">
        <f aca="false">BD673*M673</f>
        <v>3864168</v>
      </c>
      <c r="BG673" s="35" t="n">
        <f aca="false">BA673-BF673</f>
        <v>20</v>
      </c>
      <c r="BH673" s="19" t="str">
        <f aca="false">IF(BG673=0,"",IF(BG673&lt;&gt;BA673,"erreur de calcul",IF(BD673&lt;&gt;0,"pas de prix",IF(M673&lt;&gt; 0,"pas de quantité","pas de prix, ni de quantité"))))</f>
        <v>erreur de calcul</v>
      </c>
      <c r="BI673" s="19"/>
    </row>
    <row r="674" customFormat="false" ht="16" hidden="false" customHeight="false" outlineLevel="0" collapsed="false">
      <c r="A674" s="0" t="n">
        <v>33</v>
      </c>
      <c r="B674" s="8" t="s">
        <v>24</v>
      </c>
      <c r="C674" s="9" t="s">
        <v>25</v>
      </c>
      <c r="D674" s="9" t="s">
        <v>26</v>
      </c>
      <c r="E674" s="10" t="n">
        <v>1789</v>
      </c>
      <c r="F674" s="9" t="s">
        <v>27</v>
      </c>
      <c r="G674" s="9" t="s">
        <v>27</v>
      </c>
      <c r="H674" s="11" t="n">
        <v>26</v>
      </c>
      <c r="I674" s="11" t="s">
        <v>404</v>
      </c>
      <c r="J674" s="14"/>
      <c r="K674" s="14" t="n">
        <v>30</v>
      </c>
      <c r="L674" s="16"/>
      <c r="M674" s="27" t="n">
        <f aca="false">J674+(K674/20)+(L674/240)</f>
        <v>1.5</v>
      </c>
      <c r="N674" s="17" t="s">
        <v>66</v>
      </c>
      <c r="O674" s="11"/>
      <c r="P674" s="28"/>
      <c r="Q674" s="28" t="n">
        <f aca="false">P674*$M674</f>
        <v>0</v>
      </c>
      <c r="R674" s="28"/>
      <c r="S674" s="28" t="n">
        <f aca="false">R674*$M674</f>
        <v>0</v>
      </c>
      <c r="T674" s="28" t="n">
        <v>11245</v>
      </c>
      <c r="U674" s="28" t="n">
        <v>16867</v>
      </c>
      <c r="V674" s="28"/>
      <c r="W674" s="28" t="n">
        <f aca="false">V674*$M674</f>
        <v>0</v>
      </c>
      <c r="X674" s="28"/>
      <c r="Y674" s="28" t="n">
        <f aca="false">X674*$M674</f>
        <v>0</v>
      </c>
      <c r="Z674" s="28"/>
      <c r="AA674" s="28" t="n">
        <f aca="false">Z674*$M674</f>
        <v>0</v>
      </c>
      <c r="AB674" s="28"/>
      <c r="AC674" s="28" t="n">
        <f aca="false">AB674*$M674</f>
        <v>0</v>
      </c>
      <c r="AD674" s="28"/>
      <c r="AE674" s="28" t="n">
        <f aca="false">AD674*$M674</f>
        <v>0</v>
      </c>
      <c r="AF674" s="28"/>
      <c r="AG674" s="28" t="n">
        <f aca="false">AF674*$M674</f>
        <v>0</v>
      </c>
      <c r="AH674" s="28"/>
      <c r="AI674" s="28" t="n">
        <f aca="false">AH674*$M674</f>
        <v>0</v>
      </c>
      <c r="AJ674" s="28"/>
      <c r="AK674" s="28" t="n">
        <f aca="false">AJ674*$M674</f>
        <v>0</v>
      </c>
      <c r="AL674" s="28"/>
      <c r="AM674" s="28" t="n">
        <f aca="false">AL674*$M674</f>
        <v>0</v>
      </c>
      <c r="AN674" s="28"/>
      <c r="AO674" s="28" t="n">
        <f aca="false">AN674*$M674</f>
        <v>0</v>
      </c>
      <c r="AP674" s="28"/>
      <c r="AQ674" s="28" t="n">
        <f aca="false">AP674*$M674</f>
        <v>0</v>
      </c>
      <c r="AR674" s="28"/>
      <c r="AS674" s="28" t="n">
        <f aca="false">AR674*$M674</f>
        <v>0</v>
      </c>
      <c r="AT674" s="28"/>
      <c r="AU674" s="28" t="n">
        <f aca="false">AT674*$M674</f>
        <v>0</v>
      </c>
      <c r="AV674" s="28"/>
      <c r="AW674" s="28" t="n">
        <f aca="false">AV674*$M674</f>
        <v>0</v>
      </c>
      <c r="AX674" s="28"/>
      <c r="AY674" s="28" t="n">
        <f aca="false">AX674*$M674</f>
        <v>0</v>
      </c>
      <c r="AZ674" s="30" t="n">
        <v>11245</v>
      </c>
      <c r="BA674" s="11" t="n">
        <v>16867</v>
      </c>
      <c r="BB674" s="31" t="n">
        <f aca="false">SUM(Q674,S674,U674,W674,Y674,AA674,AC674,AE674,AG674,AI674,AK674,AM674,AO674,AQ674,AS674,AU674,AW674,AY674)</f>
        <v>16867</v>
      </c>
      <c r="BC674" s="28" t="n">
        <f aca="false">BA674-BB674</f>
        <v>0</v>
      </c>
      <c r="BD674" s="32" t="n">
        <f aca="false">SUM(P674,R674,T674,V674,X674,Z674,AB674,AD674,AF674,AH674,AJ674,AL674,AN674,AP674,AR674,AT674,AV674,AX674)</f>
        <v>11245</v>
      </c>
      <c r="BE674" s="33" t="n">
        <f aca="false">AZ674-BD674</f>
        <v>0</v>
      </c>
      <c r="BF674" s="34" t="n">
        <f aca="false">BD674*M674</f>
        <v>16867.5</v>
      </c>
      <c r="BG674" s="35" t="n">
        <f aca="false">BA674-BF674</f>
        <v>-0.5</v>
      </c>
      <c r="BH674" s="19" t="str">
        <f aca="false">IF(BG674=0,"",IF(BG674&lt;&gt;BA674,"erreur de calcul",IF(BD674&lt;&gt;0,"pas de prix",IF(M674&lt;&gt; 0,"pas de quantité","pas de prix, ni de quantité"))))</f>
        <v>erreur de calcul</v>
      </c>
      <c r="BI674" s="19"/>
    </row>
    <row r="675" customFormat="false" ht="16" hidden="false" customHeight="false" outlineLevel="0" collapsed="false">
      <c r="A675" s="0" t="n">
        <v>34</v>
      </c>
      <c r="B675" s="8" t="s">
        <v>24</v>
      </c>
      <c r="C675" s="9" t="s">
        <v>25</v>
      </c>
      <c r="D675" s="9" t="s">
        <v>26</v>
      </c>
      <c r="E675" s="10" t="n">
        <v>1789</v>
      </c>
      <c r="F675" s="9" t="s">
        <v>27</v>
      </c>
      <c r="G675" s="9" t="s">
        <v>27</v>
      </c>
      <c r="H675" s="11" t="n">
        <v>26</v>
      </c>
      <c r="I675" s="11" t="s">
        <v>405</v>
      </c>
      <c r="J675" s="14"/>
      <c r="K675" s="14" t="n">
        <v>40</v>
      </c>
      <c r="L675" s="16"/>
      <c r="M675" s="27" t="n">
        <f aca="false">J675+(K675/20)+(L675/240)</f>
        <v>2</v>
      </c>
      <c r="N675" s="17" t="s">
        <v>66</v>
      </c>
      <c r="O675" s="11"/>
      <c r="P675" s="28"/>
      <c r="Q675" s="28" t="n">
        <f aca="false">P675*$M675</f>
        <v>0</v>
      </c>
      <c r="R675" s="28"/>
      <c r="S675" s="28" t="n">
        <f aca="false">R675*$M675</f>
        <v>0</v>
      </c>
      <c r="T675" s="28"/>
      <c r="U675" s="28" t="n">
        <f aca="false">T675*$M675</f>
        <v>0</v>
      </c>
      <c r="V675" s="28"/>
      <c r="W675" s="28" t="n">
        <f aca="false">V675*$M675</f>
        <v>0</v>
      </c>
      <c r="X675" s="28"/>
      <c r="Y675" s="28" t="n">
        <f aca="false">X675*$M675</f>
        <v>0</v>
      </c>
      <c r="Z675" s="28"/>
      <c r="AA675" s="28" t="n">
        <f aca="false">Z675*$M675</f>
        <v>0</v>
      </c>
      <c r="AB675" s="28"/>
      <c r="AC675" s="28" t="n">
        <f aca="false">AB675*$M675</f>
        <v>0</v>
      </c>
      <c r="AD675" s="28"/>
      <c r="AE675" s="28" t="n">
        <f aca="false">AD675*$M675</f>
        <v>0</v>
      </c>
      <c r="AF675" s="28"/>
      <c r="AG675" s="28" t="n">
        <f aca="false">AF675*$M675</f>
        <v>0</v>
      </c>
      <c r="AH675" s="28" t="n">
        <v>9380</v>
      </c>
      <c r="AI675" s="28" t="n">
        <v>18760</v>
      </c>
      <c r="AJ675" s="28"/>
      <c r="AK675" s="28" t="n">
        <f aca="false">AJ675*$M675</f>
        <v>0</v>
      </c>
      <c r="AL675" s="28"/>
      <c r="AM675" s="28" t="n">
        <f aca="false">AL675*$M675</f>
        <v>0</v>
      </c>
      <c r="AN675" s="28"/>
      <c r="AO675" s="28" t="n">
        <f aca="false">AN675*$M675</f>
        <v>0</v>
      </c>
      <c r="AP675" s="28"/>
      <c r="AQ675" s="28" t="n">
        <f aca="false">AP675*$M675</f>
        <v>0</v>
      </c>
      <c r="AR675" s="28"/>
      <c r="AS675" s="28" t="n">
        <f aca="false">AR675*$M675</f>
        <v>0</v>
      </c>
      <c r="AT675" s="28"/>
      <c r="AU675" s="28" t="n">
        <f aca="false">AT675*$M675</f>
        <v>0</v>
      </c>
      <c r="AV675" s="28"/>
      <c r="AW675" s="28" t="n">
        <f aca="false">AV675*$M675</f>
        <v>0</v>
      </c>
      <c r="AX675" s="28"/>
      <c r="AY675" s="28" t="n">
        <f aca="false">AX675*$M675</f>
        <v>0</v>
      </c>
      <c r="AZ675" s="30" t="n">
        <v>9380</v>
      </c>
      <c r="BA675" s="11" t="n">
        <v>18760</v>
      </c>
      <c r="BB675" s="31" t="n">
        <f aca="false">SUM(Q675,S675,U675,W675,Y675,AA675,AC675,AE675,AG675,AI675,AK675,AM675,AO675,AQ675,AS675,AU675,AW675,AY675)</f>
        <v>18760</v>
      </c>
      <c r="BC675" s="28" t="n">
        <f aca="false">BA675-BB675</f>
        <v>0</v>
      </c>
      <c r="BD675" s="32" t="n">
        <f aca="false">SUM(P675,R675,T675,V675,X675,Z675,AB675,AD675,AF675,AH675,AJ675,AL675,AN675,AP675,AR675,AT675,AV675,AX675)</f>
        <v>9380</v>
      </c>
      <c r="BE675" s="33" t="n">
        <f aca="false">AZ675-BD675</f>
        <v>0</v>
      </c>
      <c r="BF675" s="34" t="n">
        <f aca="false">BD675*M675</f>
        <v>18760</v>
      </c>
      <c r="BG675" s="35" t="n">
        <f aca="false">BA675-BF675</f>
        <v>0</v>
      </c>
      <c r="BH675" s="19" t="str">
        <f aca="false">IF(BG675=0,"",IF(BG675&lt;&gt;BA675,"erreur de calcul",IF(BD675&lt;&gt;0,"pas de prix",IF(M675&lt;&gt; 0,"pas de quantité","pas de prix, ni de quantité"))))</f>
        <v/>
      </c>
      <c r="BI675" s="19"/>
    </row>
    <row r="676" customFormat="false" ht="16" hidden="false" customHeight="false" outlineLevel="0" collapsed="false">
      <c r="A676" s="0" t="n">
        <v>35</v>
      </c>
      <c r="B676" s="8" t="s">
        <v>24</v>
      </c>
      <c r="C676" s="9" t="s">
        <v>25</v>
      </c>
      <c r="D676" s="9" t="s">
        <v>26</v>
      </c>
      <c r="E676" s="10" t="n">
        <v>1789</v>
      </c>
      <c r="F676" s="9" t="s">
        <v>27</v>
      </c>
      <c r="G676" s="9" t="s">
        <v>27</v>
      </c>
      <c r="H676" s="11" t="n">
        <v>26</v>
      </c>
      <c r="I676" s="11" t="s">
        <v>406</v>
      </c>
      <c r="J676" s="14" t="n">
        <v>55</v>
      </c>
      <c r="K676" s="14"/>
      <c r="L676" s="16"/>
      <c r="M676" s="27" t="n">
        <f aca="false">J676+(K676/20)+(L676/240)</f>
        <v>55</v>
      </c>
      <c r="N676" s="17" t="s">
        <v>64</v>
      </c>
      <c r="O676" s="11"/>
      <c r="P676" s="28" t="n">
        <f aca="false">634/100</f>
        <v>6.34</v>
      </c>
      <c r="Q676" s="28" t="n">
        <v>349</v>
      </c>
      <c r="R676" s="28"/>
      <c r="S676" s="28" t="n">
        <f aca="false">R676*$M676</f>
        <v>0</v>
      </c>
      <c r="T676" s="28" t="n">
        <f aca="false">2450/100</f>
        <v>24.5</v>
      </c>
      <c r="U676" s="28" t="n">
        <v>1347</v>
      </c>
      <c r="V676" s="28" t="n">
        <f aca="false">9685/100</f>
        <v>96.85</v>
      </c>
      <c r="W676" s="28" t="n">
        <v>5327</v>
      </c>
      <c r="X676" s="28"/>
      <c r="Y676" s="28" t="n">
        <f aca="false">X676*$M676</f>
        <v>0</v>
      </c>
      <c r="Z676" s="28"/>
      <c r="AA676" s="28" t="n">
        <f aca="false">Z676*$M676</f>
        <v>0</v>
      </c>
      <c r="AB676" s="28"/>
      <c r="AC676" s="28" t="n">
        <f aca="false">AB676*$M676</f>
        <v>0</v>
      </c>
      <c r="AD676" s="28"/>
      <c r="AE676" s="28" t="n">
        <f aca="false">AD676*$M676</f>
        <v>0</v>
      </c>
      <c r="AF676" s="28"/>
      <c r="AG676" s="28" t="n">
        <f aca="false">AF676*$M676</f>
        <v>0</v>
      </c>
      <c r="AH676" s="28"/>
      <c r="AI676" s="28" t="n">
        <f aca="false">AH676*$M676</f>
        <v>0</v>
      </c>
      <c r="AJ676" s="28"/>
      <c r="AK676" s="28" t="n">
        <f aca="false">AJ676*$M676</f>
        <v>0</v>
      </c>
      <c r="AL676" s="28"/>
      <c r="AM676" s="28" t="n">
        <f aca="false">AL676*$M676</f>
        <v>0</v>
      </c>
      <c r="AN676" s="28"/>
      <c r="AO676" s="28" t="n">
        <f aca="false">AN676*$M676</f>
        <v>0</v>
      </c>
      <c r="AP676" s="28"/>
      <c r="AQ676" s="28" t="n">
        <f aca="false">AP676*$M676</f>
        <v>0</v>
      </c>
      <c r="AR676" s="28"/>
      <c r="AS676" s="28" t="n">
        <f aca="false">AR676*$M676</f>
        <v>0</v>
      </c>
      <c r="AT676" s="28"/>
      <c r="AU676" s="28" t="n">
        <f aca="false">AT676*$M676</f>
        <v>0</v>
      </c>
      <c r="AV676" s="28"/>
      <c r="AW676" s="28" t="n">
        <f aca="false">AV676*$M676</f>
        <v>0</v>
      </c>
      <c r="AX676" s="28"/>
      <c r="AY676" s="28" t="n">
        <f aca="false">AX676*$M676</f>
        <v>0</v>
      </c>
      <c r="AZ676" s="30" t="n">
        <f aca="false">12769/100</f>
        <v>127.69</v>
      </c>
      <c r="BA676" s="11" t="n">
        <v>7023</v>
      </c>
      <c r="BB676" s="31" t="n">
        <f aca="false">SUM(Q676,S676,U676,W676,Y676,AA676,AC676,AE676,AG676,AI676,AK676,AM676,AO676,AQ676,AS676,AU676,AW676,AY676)</f>
        <v>7023</v>
      </c>
      <c r="BC676" s="28" t="n">
        <f aca="false">BA676-BB676</f>
        <v>0</v>
      </c>
      <c r="BD676" s="32" t="n">
        <f aca="false">SUM(P676,R676,T676,V676,X676,Z676,AB676,AD676,AF676,AH676,AJ676,AL676,AN676,AP676,AR676,AT676,AV676,AX676)</f>
        <v>127.69</v>
      </c>
      <c r="BE676" s="33" t="n">
        <f aca="false">AZ676-BD676</f>
        <v>0</v>
      </c>
      <c r="BF676" s="34" t="n">
        <f aca="false">BD676*M676</f>
        <v>7022.95</v>
      </c>
      <c r="BG676" s="35" t="n">
        <f aca="false">BA676-BF676</f>
        <v>0.0500000000001819</v>
      </c>
      <c r="BH676" s="19" t="str">
        <f aca="false">IF(BG676=0,"",IF(BG676&lt;&gt;BA676,"erreur de calcul",IF(BD676&lt;&gt;0,"pas de prix",IF(M676&lt;&gt; 0,"pas de quantité","pas de prix, ni de quantité"))))</f>
        <v>erreur de calcul</v>
      </c>
      <c r="BI676" s="19"/>
    </row>
    <row r="677" customFormat="false" ht="16" hidden="false" customHeight="false" outlineLevel="0" collapsed="false">
      <c r="A677" s="0" t="n">
        <v>36</v>
      </c>
      <c r="B677" s="8" t="s">
        <v>24</v>
      </c>
      <c r="C677" s="9" t="s">
        <v>25</v>
      </c>
      <c r="D677" s="9" t="s">
        <v>26</v>
      </c>
      <c r="E677" s="10" t="n">
        <v>1789</v>
      </c>
      <c r="F677" s="9" t="s">
        <v>27</v>
      </c>
      <c r="G677" s="9" t="s">
        <v>27</v>
      </c>
      <c r="H677" s="11" t="n">
        <v>26</v>
      </c>
      <c r="I677" s="11" t="s">
        <v>407</v>
      </c>
      <c r="J677" s="14" t="n">
        <v>44</v>
      </c>
      <c r="K677" s="14"/>
      <c r="L677" s="16"/>
      <c r="M677" s="27" t="n">
        <f aca="false">J677+(K677/20)+(L677/240)</f>
        <v>44</v>
      </c>
      <c r="N677" s="17" t="s">
        <v>64</v>
      </c>
      <c r="O677" s="11" t="s">
        <v>77</v>
      </c>
      <c r="P677" s="28" t="n">
        <f aca="false">68669/100</f>
        <v>686.69</v>
      </c>
      <c r="Q677" s="28" t="n">
        <v>30214</v>
      </c>
      <c r="R677" s="28"/>
      <c r="S677" s="28" t="n">
        <f aca="false">R677*$M677</f>
        <v>0</v>
      </c>
      <c r="T677" s="28" t="n">
        <f aca="false">7101/100</f>
        <v>71.01</v>
      </c>
      <c r="U677" s="28" t="n">
        <v>3124</v>
      </c>
      <c r="V677" s="28" t="n">
        <f aca="false">27549/100</f>
        <v>275.49</v>
      </c>
      <c r="W677" s="28" t="n">
        <v>12121</v>
      </c>
      <c r="X677" s="28" t="n">
        <f aca="false">947914/100</f>
        <v>9479.14</v>
      </c>
      <c r="Y677" s="28" t="n">
        <v>417082</v>
      </c>
      <c r="Z677" s="28" t="n">
        <f aca="false">183606/100</f>
        <v>1836.06</v>
      </c>
      <c r="AA677" s="28" t="n">
        <v>80787</v>
      </c>
      <c r="AB677" s="28" t="n">
        <f aca="false">36047/100</f>
        <v>360.47</v>
      </c>
      <c r="AC677" s="28" t="n">
        <v>15861</v>
      </c>
      <c r="AD677" s="28" t="n">
        <f aca="false">12322/100</f>
        <v>123.22</v>
      </c>
      <c r="AE677" s="28" t="n">
        <v>5422</v>
      </c>
      <c r="AF677" s="28"/>
      <c r="AG677" s="28" t="n">
        <f aca="false">AF677*$M677</f>
        <v>0</v>
      </c>
      <c r="AH677" s="28" t="n">
        <f aca="false">3318/100</f>
        <v>33.18</v>
      </c>
      <c r="AI677" s="28" t="n">
        <v>1460</v>
      </c>
      <c r="AJ677" s="28"/>
      <c r="AK677" s="28" t="n">
        <f aca="false">AJ677*$M677</f>
        <v>0</v>
      </c>
      <c r="AL677" s="28" t="n">
        <f aca="false">28260/100</f>
        <v>282.6</v>
      </c>
      <c r="AM677" s="28" t="n">
        <v>12434</v>
      </c>
      <c r="AN677" s="28"/>
      <c r="AO677" s="28" t="n">
        <f aca="false">AN677*$M677</f>
        <v>0</v>
      </c>
      <c r="AP677" s="28"/>
      <c r="AQ677" s="28" t="n">
        <f aca="false">AP677*$M677</f>
        <v>0</v>
      </c>
      <c r="AR677" s="28"/>
      <c r="AS677" s="28" t="n">
        <f aca="false">AR677*$M677</f>
        <v>0</v>
      </c>
      <c r="AT677" s="28"/>
      <c r="AU677" s="28" t="n">
        <f aca="false">AT677*$M677</f>
        <v>0</v>
      </c>
      <c r="AV677" s="28"/>
      <c r="AW677" s="28" t="n">
        <f aca="false">AV677*$M677</f>
        <v>0</v>
      </c>
      <c r="AX677" s="28"/>
      <c r="AY677" s="28" t="n">
        <f aca="false">AX677*$M677</f>
        <v>0</v>
      </c>
      <c r="AZ677" s="30" t="n">
        <f aca="false">1314786/100</f>
        <v>13147.86</v>
      </c>
      <c r="BA677" s="11" t="n">
        <v>578505</v>
      </c>
      <c r="BB677" s="31" t="n">
        <f aca="false">SUM(Q677,S677,U677,W677,Y677,AA677,AC677,AE677,AG677,AI677,AK677,AM677,AO677,AQ677,AS677,AU677,AW677,AY677)</f>
        <v>578505</v>
      </c>
      <c r="BC677" s="28" t="n">
        <f aca="false">BA677-BB677</f>
        <v>0</v>
      </c>
      <c r="BD677" s="32" t="n">
        <f aca="false">SUM(P677,R677,T677,V677,X677,Z677,AB677,AD677,AF677,AH677,AJ677,AL677,AN677,AP677,AR677,AT677,AV677,AX677)</f>
        <v>13147.86</v>
      </c>
      <c r="BE677" s="33" t="n">
        <f aca="false">AZ677-BD677</f>
        <v>0</v>
      </c>
      <c r="BF677" s="34" t="n">
        <f aca="false">BD677*M677</f>
        <v>578505.84</v>
      </c>
      <c r="BG677" s="35" t="n">
        <f aca="false">BA677-BF677</f>
        <v>-0.839999999967404</v>
      </c>
      <c r="BH677" s="19" t="str">
        <f aca="false">IF(BG677=0,"",IF(BG677&lt;&gt;BA677,"erreur de calcul",IF(BD677&lt;&gt;0,"pas de prix",IF(M677&lt;&gt; 0,"pas de quantité","pas de prix, ni de quantité"))))</f>
        <v>erreur de calcul</v>
      </c>
      <c r="BI677" s="19"/>
    </row>
    <row r="678" customFormat="false" ht="16" hidden="false" customHeight="false" outlineLevel="0" collapsed="false">
      <c r="A678" s="0" t="n">
        <v>37</v>
      </c>
      <c r="B678" s="8" t="s">
        <v>24</v>
      </c>
      <c r="C678" s="9" t="s">
        <v>25</v>
      </c>
      <c r="D678" s="9" t="s">
        <v>26</v>
      </c>
      <c r="E678" s="10" t="n">
        <v>1789</v>
      </c>
      <c r="F678" s="9" t="s">
        <v>27</v>
      </c>
      <c r="G678" s="9" t="s">
        <v>27</v>
      </c>
      <c r="H678" s="11" t="n">
        <v>26</v>
      </c>
      <c r="I678" s="11" t="s">
        <v>408</v>
      </c>
      <c r="J678" s="14" t="n">
        <v>40</v>
      </c>
      <c r="K678" s="14"/>
      <c r="L678" s="16"/>
      <c r="M678" s="27" t="n">
        <f aca="false">J678+(K678/20)+(L678/240)</f>
        <v>40</v>
      </c>
      <c r="N678" s="17" t="s">
        <v>64</v>
      </c>
      <c r="O678" s="11"/>
      <c r="P678" s="28"/>
      <c r="Q678" s="28" t="n">
        <f aca="false">P678*$M678</f>
        <v>0</v>
      </c>
      <c r="R678" s="28"/>
      <c r="S678" s="28" t="n">
        <f aca="false">R678*$M678</f>
        <v>0</v>
      </c>
      <c r="T678" s="28"/>
      <c r="U678" s="28" t="n">
        <f aca="false">T678*$M678</f>
        <v>0</v>
      </c>
      <c r="V678" s="28" t="n">
        <f aca="false">4827/100</f>
        <v>48.27</v>
      </c>
      <c r="W678" s="28" t="n">
        <v>1931</v>
      </c>
      <c r="X678" s="28"/>
      <c r="Y678" s="28" t="n">
        <f aca="false">X678*$M678</f>
        <v>0</v>
      </c>
      <c r="Z678" s="28"/>
      <c r="AA678" s="28" t="n">
        <f aca="false">Z678*$M678</f>
        <v>0</v>
      </c>
      <c r="AB678" s="28"/>
      <c r="AC678" s="28" t="n">
        <f aca="false">AB678*$M678</f>
        <v>0</v>
      </c>
      <c r="AD678" s="28"/>
      <c r="AE678" s="28" t="n">
        <f aca="false">AD678*$M678</f>
        <v>0</v>
      </c>
      <c r="AF678" s="28"/>
      <c r="AG678" s="28" t="n">
        <f aca="false">AF678*$M678</f>
        <v>0</v>
      </c>
      <c r="AH678" s="28"/>
      <c r="AI678" s="28" t="n">
        <f aca="false">AH678*$M678</f>
        <v>0</v>
      </c>
      <c r="AJ678" s="28"/>
      <c r="AK678" s="28" t="n">
        <f aca="false">AJ678*$M678</f>
        <v>0</v>
      </c>
      <c r="AL678" s="28"/>
      <c r="AM678" s="28" t="n">
        <f aca="false">AL678*$M678</f>
        <v>0</v>
      </c>
      <c r="AN678" s="28"/>
      <c r="AO678" s="28" t="n">
        <f aca="false">AN678*$M678</f>
        <v>0</v>
      </c>
      <c r="AP678" s="28"/>
      <c r="AQ678" s="28" t="n">
        <f aca="false">AP678*$M678</f>
        <v>0</v>
      </c>
      <c r="AR678" s="28"/>
      <c r="AS678" s="28" t="n">
        <f aca="false">AR678*$M678</f>
        <v>0</v>
      </c>
      <c r="AT678" s="28"/>
      <c r="AU678" s="28" t="n">
        <f aca="false">AT678*$M678</f>
        <v>0</v>
      </c>
      <c r="AV678" s="28"/>
      <c r="AW678" s="28" t="n">
        <f aca="false">AV678*$M678</f>
        <v>0</v>
      </c>
      <c r="AX678" s="28" t="n">
        <f aca="false">835109/100</f>
        <v>8351.09</v>
      </c>
      <c r="AY678" s="28" t="n">
        <v>334044</v>
      </c>
      <c r="AZ678" s="30" t="n">
        <f aca="false">839936/100</f>
        <v>8399.36</v>
      </c>
      <c r="BA678" s="11" t="n">
        <v>335975</v>
      </c>
      <c r="BB678" s="31" t="n">
        <f aca="false">SUM(Q678,S678,U678,W678,Y678,AA678,AC678,AE678,AG678,AI678,AK678,AM678,AO678,AQ678,AS678,AU678,AW678,AY678)</f>
        <v>335975</v>
      </c>
      <c r="BC678" s="28" t="n">
        <f aca="false">BA678-BB678</f>
        <v>0</v>
      </c>
      <c r="BD678" s="32" t="n">
        <f aca="false">SUM(P678,R678,T678,V678,X678,Z678,AB678,AD678,AF678,AH678,AJ678,AL678,AN678,AP678,AR678,AT678,AV678,AX678)</f>
        <v>8399.36</v>
      </c>
      <c r="BE678" s="33" t="n">
        <f aca="false">AZ678-BD678</f>
        <v>0</v>
      </c>
      <c r="BF678" s="34" t="n">
        <f aca="false">BD678*M678</f>
        <v>335974.4</v>
      </c>
      <c r="BG678" s="35" t="n">
        <f aca="false">BA678-BF678</f>
        <v>0.599999999976717</v>
      </c>
      <c r="BH678" s="19" t="str">
        <f aca="false">IF(BG678=0,"",IF(BG678&lt;&gt;BA678,"erreur de calcul",IF(BD678&lt;&gt;0,"pas de prix",IF(M678&lt;&gt; 0,"pas de quantité","pas de prix, ni de quantité"))))</f>
        <v>erreur de calcul</v>
      </c>
      <c r="BI678" s="19"/>
    </row>
    <row r="679" customFormat="false" ht="16" hidden="false" customHeight="false" outlineLevel="0" collapsed="false">
      <c r="A679" s="0" t="n">
        <v>38</v>
      </c>
      <c r="B679" s="8" t="s">
        <v>24</v>
      </c>
      <c r="C679" s="9" t="s">
        <v>25</v>
      </c>
      <c r="D679" s="9" t="s">
        <v>26</v>
      </c>
      <c r="E679" s="10" t="n">
        <v>1789</v>
      </c>
      <c r="F679" s="9" t="s">
        <v>27</v>
      </c>
      <c r="G679" s="9" t="s">
        <v>27</v>
      </c>
      <c r="H679" s="11" t="n">
        <v>26</v>
      </c>
      <c r="I679" s="11" t="s">
        <v>409</v>
      </c>
      <c r="J679" s="14"/>
      <c r="K679" s="14" t="n">
        <v>13</v>
      </c>
      <c r="L679" s="16"/>
      <c r="M679" s="27" t="n">
        <f aca="false">J679+(K679/20)+(L679/240)</f>
        <v>0.65</v>
      </c>
      <c r="N679" s="17" t="s">
        <v>64</v>
      </c>
      <c r="O679" s="11"/>
      <c r="P679" s="28"/>
      <c r="Q679" s="28" t="n">
        <f aca="false">P679*$M679</f>
        <v>0</v>
      </c>
      <c r="R679" s="28"/>
      <c r="S679" s="28" t="n">
        <f aca="false">R679*$M679</f>
        <v>0</v>
      </c>
      <c r="T679" s="28"/>
      <c r="U679" s="28" t="n">
        <f aca="false">T679*$M679</f>
        <v>0</v>
      </c>
      <c r="V679" s="28"/>
      <c r="W679" s="28" t="n">
        <f aca="false">V679*$M679</f>
        <v>0</v>
      </c>
      <c r="X679" s="28"/>
      <c r="Y679" s="28" t="n">
        <f aca="false">X679*$M679</f>
        <v>0</v>
      </c>
      <c r="Z679" s="28" t="n">
        <f aca="false">2471002/100</f>
        <v>24710.02</v>
      </c>
      <c r="AA679" s="28" t="n">
        <v>16061</v>
      </c>
      <c r="AB679" s="28"/>
      <c r="AC679" s="28" t="n">
        <f aca="false">AB679*$M679</f>
        <v>0</v>
      </c>
      <c r="AD679" s="28"/>
      <c r="AE679" s="28" t="n">
        <f aca="false">AD679*$M679</f>
        <v>0</v>
      </c>
      <c r="AF679" s="28"/>
      <c r="AG679" s="28" t="n">
        <f aca="false">AF679*$M679</f>
        <v>0</v>
      </c>
      <c r="AH679" s="28"/>
      <c r="AI679" s="28" t="n">
        <f aca="false">AH679*$M679</f>
        <v>0</v>
      </c>
      <c r="AJ679" s="28"/>
      <c r="AK679" s="28" t="n">
        <f aca="false">AJ679*$M679</f>
        <v>0</v>
      </c>
      <c r="AL679" s="28"/>
      <c r="AM679" s="28" t="n">
        <f aca="false">AL679*$M679</f>
        <v>0</v>
      </c>
      <c r="AN679" s="28"/>
      <c r="AO679" s="28" t="n">
        <f aca="false">AN679*$M679</f>
        <v>0</v>
      </c>
      <c r="AP679" s="28"/>
      <c r="AQ679" s="28" t="n">
        <f aca="false">AP679*$M679</f>
        <v>0</v>
      </c>
      <c r="AR679" s="28"/>
      <c r="AS679" s="28" t="n">
        <f aca="false">AR679*$M679</f>
        <v>0</v>
      </c>
      <c r="AT679" s="28"/>
      <c r="AU679" s="28" t="n">
        <f aca="false">AT679*$M679</f>
        <v>0</v>
      </c>
      <c r="AV679" s="28"/>
      <c r="AW679" s="28" t="n">
        <f aca="false">AV679*$M679</f>
        <v>0</v>
      </c>
      <c r="AX679" s="28"/>
      <c r="AY679" s="28" t="n">
        <f aca="false">AX679*$M679</f>
        <v>0</v>
      </c>
      <c r="AZ679" s="30" t="n">
        <f aca="false">2471002</f>
        <v>2471002</v>
      </c>
      <c r="BA679" s="11" t="n">
        <v>16061</v>
      </c>
      <c r="BB679" s="31" t="n">
        <f aca="false">SUM(Q679,S679,U679,W679,Y679,AA679,AC679,AE679,AG679,AI679,AK679,AM679,AO679,AQ679,AS679,AU679,AW679,AY679)</f>
        <v>16061</v>
      </c>
      <c r="BC679" s="28" t="n">
        <f aca="false">BA679-BB679</f>
        <v>0</v>
      </c>
      <c r="BD679" s="32" t="n">
        <f aca="false">SUM(P679,R679,T679,V679,X679,Z679,AB679,AD679,AF679,AH679,AJ679,AL679,AN679,AP679,AR679,AT679,AV679,AX679)</f>
        <v>24710.02</v>
      </c>
      <c r="BE679" s="33" t="n">
        <f aca="false">AZ679-BD679</f>
        <v>2446291.98</v>
      </c>
      <c r="BF679" s="34" t="n">
        <f aca="false">BD679*M679</f>
        <v>16061.513</v>
      </c>
      <c r="BG679" s="35" t="n">
        <f aca="false">BA679-BF679</f>
        <v>-0.513000000000829</v>
      </c>
      <c r="BH679" s="19" t="str">
        <f aca="false">IF(BG679=0,"",IF(BG679&lt;&gt;BA679,"erreur de calcul",IF(BD679&lt;&gt;0,"pas de prix",IF(M679&lt;&gt; 0,"pas de quantité","pas de prix, ni de quantité"))))</f>
        <v>erreur de calcul</v>
      </c>
      <c r="BI679" s="19"/>
    </row>
    <row r="680" customFormat="false" ht="16" hidden="false" customHeight="false" outlineLevel="0" collapsed="false">
      <c r="A680" s="0" t="n">
        <v>39</v>
      </c>
      <c r="B680" s="8" t="s">
        <v>24</v>
      </c>
      <c r="C680" s="9" t="s">
        <v>25</v>
      </c>
      <c r="D680" s="9" t="s">
        <v>26</v>
      </c>
      <c r="E680" s="10" t="n">
        <v>1789</v>
      </c>
      <c r="F680" s="9" t="s">
        <v>27</v>
      </c>
      <c r="G680" s="9" t="s">
        <v>27</v>
      </c>
      <c r="H680" s="11" t="n">
        <v>26</v>
      </c>
      <c r="I680" s="11" t="s">
        <v>410</v>
      </c>
      <c r="J680" s="14" t="n">
        <v>10</v>
      </c>
      <c r="K680" s="14"/>
      <c r="L680" s="16"/>
      <c r="M680" s="27" t="n">
        <f aca="false">J680+(K680/20)+(L680/240)</f>
        <v>10</v>
      </c>
      <c r="N680" s="17" t="s">
        <v>64</v>
      </c>
      <c r="O680" s="11"/>
      <c r="P680" s="28"/>
      <c r="Q680" s="28" t="n">
        <f aca="false">P680*$M680</f>
        <v>0</v>
      </c>
      <c r="R680" s="28"/>
      <c r="S680" s="28" t="n">
        <f aca="false">R680*$M680</f>
        <v>0</v>
      </c>
      <c r="T680" s="28"/>
      <c r="U680" s="28" t="n">
        <f aca="false">T680*$M680</f>
        <v>0</v>
      </c>
      <c r="V680" s="28"/>
      <c r="W680" s="28" t="n">
        <f aca="false">V680*$M680</f>
        <v>0</v>
      </c>
      <c r="X680" s="28" t="n">
        <f aca="false">2481/100</f>
        <v>24.81</v>
      </c>
      <c r="Y680" s="28" t="n">
        <v>248</v>
      </c>
      <c r="Z680" s="28"/>
      <c r="AA680" s="28" t="n">
        <f aca="false">Z680*$M680</f>
        <v>0</v>
      </c>
      <c r="AB680" s="28"/>
      <c r="AC680" s="28" t="n">
        <f aca="false">AB680*$M680</f>
        <v>0</v>
      </c>
      <c r="AD680" s="28"/>
      <c r="AE680" s="28" t="n">
        <f aca="false">AD680*$M680</f>
        <v>0</v>
      </c>
      <c r="AF680" s="28"/>
      <c r="AG680" s="28" t="n">
        <f aca="false">AF680*$M680</f>
        <v>0</v>
      </c>
      <c r="AH680" s="28"/>
      <c r="AI680" s="28" t="n">
        <f aca="false">AH680*$M680</f>
        <v>0</v>
      </c>
      <c r="AJ680" s="28"/>
      <c r="AK680" s="28" t="n">
        <f aca="false">AJ680*$M680</f>
        <v>0</v>
      </c>
      <c r="AL680" s="28"/>
      <c r="AM680" s="28" t="n">
        <f aca="false">AL680*$M680</f>
        <v>0</v>
      </c>
      <c r="AN680" s="28"/>
      <c r="AO680" s="28" t="n">
        <f aca="false">AN680*$M680</f>
        <v>0</v>
      </c>
      <c r="AP680" s="28"/>
      <c r="AQ680" s="28" t="n">
        <f aca="false">AP680*$M680</f>
        <v>0</v>
      </c>
      <c r="AR680" s="28"/>
      <c r="AS680" s="28" t="n">
        <f aca="false">AR680*$M680</f>
        <v>0</v>
      </c>
      <c r="AT680" s="28"/>
      <c r="AU680" s="28" t="n">
        <f aca="false">AT680*$M680</f>
        <v>0</v>
      </c>
      <c r="AV680" s="28"/>
      <c r="AW680" s="28" t="n">
        <f aca="false">AV680*$M680</f>
        <v>0</v>
      </c>
      <c r="AX680" s="28"/>
      <c r="AY680" s="28" t="n">
        <f aca="false">AX680*$M680</f>
        <v>0</v>
      </c>
      <c r="AZ680" s="30" t="n">
        <f aca="false">2481/100</f>
        <v>24.81</v>
      </c>
      <c r="BA680" s="11" t="n">
        <v>248</v>
      </c>
      <c r="BB680" s="31" t="n">
        <f aca="false">SUM(Q680,S680,U680,W680,Y680,AA680,AC680,AE680,AG680,AI680,AK680,AM680,AO680,AQ680,AS680,AU680,AW680,AY680)</f>
        <v>248</v>
      </c>
      <c r="BC680" s="28" t="n">
        <f aca="false">BA680-BB680</f>
        <v>0</v>
      </c>
      <c r="BD680" s="32" t="n">
        <f aca="false">SUM(P680,R680,T680,V680,X680,Z680,AB680,AD680,AF680,AH680,AJ680,AL680,AN680,AP680,AR680,AT680,AV680,AX680)</f>
        <v>24.81</v>
      </c>
      <c r="BE680" s="33" t="n">
        <f aca="false">AZ680-BD680</f>
        <v>0</v>
      </c>
      <c r="BF680" s="34" t="n">
        <f aca="false">BD680*M680</f>
        <v>248.1</v>
      </c>
      <c r="BG680" s="35" t="n">
        <f aca="false">BA680-BF680</f>
        <v>-0.0999999999999943</v>
      </c>
      <c r="BH680" s="19" t="str">
        <f aca="false">IF(BG680=0,"",IF(BG680&lt;&gt;BA680,"erreur de calcul",IF(BD680&lt;&gt;0,"pas de prix",IF(M680&lt;&gt; 0,"pas de quantité","pas de prix, ni de quantité"))))</f>
        <v>erreur de calcul</v>
      </c>
      <c r="BI680" s="19"/>
    </row>
    <row r="681" customFormat="false" ht="16" hidden="false" customHeight="false" outlineLevel="0" collapsed="false">
      <c r="A681" s="0" t="n">
        <v>40</v>
      </c>
      <c r="B681" s="8" t="s">
        <v>24</v>
      </c>
      <c r="C681" s="9" t="s">
        <v>25</v>
      </c>
      <c r="D681" s="9" t="s">
        <v>26</v>
      </c>
      <c r="E681" s="10" t="n">
        <v>1789</v>
      </c>
      <c r="F681" s="9" t="s">
        <v>27</v>
      </c>
      <c r="G681" s="9" t="s">
        <v>27</v>
      </c>
      <c r="H681" s="11" t="n">
        <v>26</v>
      </c>
      <c r="I681" s="11" t="s">
        <v>411</v>
      </c>
      <c r="J681" s="14" t="n">
        <v>5</v>
      </c>
      <c r="K681" s="14"/>
      <c r="L681" s="16"/>
      <c r="M681" s="27" t="n">
        <f aca="false">J681+(K681/20)+(L681/240)</f>
        <v>5</v>
      </c>
      <c r="N681" s="17" t="s">
        <v>66</v>
      </c>
      <c r="O681" s="11" t="s">
        <v>98</v>
      </c>
      <c r="P681" s="28"/>
      <c r="Q681" s="28" t="n">
        <f aca="false">P681*$M681</f>
        <v>0</v>
      </c>
      <c r="R681" s="28"/>
      <c r="S681" s="28" t="n">
        <f aca="false">R681*$M681</f>
        <v>0</v>
      </c>
      <c r="T681" s="28"/>
      <c r="U681" s="28" t="n">
        <f aca="false">T681*$M681</f>
        <v>0</v>
      </c>
      <c r="V681" s="28"/>
      <c r="W681" s="28" t="n">
        <f aca="false">V681*$M681</f>
        <v>0</v>
      </c>
      <c r="X681" s="28"/>
      <c r="Y681" s="28" t="n">
        <f aca="false">X681*$M681</f>
        <v>0</v>
      </c>
      <c r="Z681" s="28"/>
      <c r="AA681" s="28" t="n">
        <f aca="false">Z681*$M681</f>
        <v>0</v>
      </c>
      <c r="AB681" s="28"/>
      <c r="AC681" s="28" t="n">
        <f aca="false">AB681*$M681</f>
        <v>0</v>
      </c>
      <c r="AD681" s="28"/>
      <c r="AE681" s="28" t="n">
        <f aca="false">AD681*$M681</f>
        <v>0</v>
      </c>
      <c r="AF681" s="28" t="n">
        <v>22</v>
      </c>
      <c r="AG681" s="28" t="n">
        <v>110</v>
      </c>
      <c r="AH681" s="28" t="n">
        <v>2657</v>
      </c>
      <c r="AI681" s="28" t="n">
        <v>13285</v>
      </c>
      <c r="AJ681" s="28"/>
      <c r="AK681" s="28" t="n">
        <f aca="false">AJ681*$M681</f>
        <v>0</v>
      </c>
      <c r="AL681" s="28"/>
      <c r="AM681" s="28" t="n">
        <f aca="false">AL681*$M681</f>
        <v>0</v>
      </c>
      <c r="AN681" s="28"/>
      <c r="AO681" s="28" t="n">
        <f aca="false">AN681*$M681</f>
        <v>0</v>
      </c>
      <c r="AP681" s="28"/>
      <c r="AQ681" s="28" t="n">
        <f aca="false">AP681*$M681</f>
        <v>0</v>
      </c>
      <c r="AR681" s="28"/>
      <c r="AS681" s="28" t="n">
        <f aca="false">AR681*$M681</f>
        <v>0</v>
      </c>
      <c r="AT681" s="28"/>
      <c r="AU681" s="28" t="n">
        <f aca="false">AT681*$M681</f>
        <v>0</v>
      </c>
      <c r="AV681" s="28"/>
      <c r="AW681" s="28" t="n">
        <f aca="false">AV681*$M681</f>
        <v>0</v>
      </c>
      <c r="AX681" s="28"/>
      <c r="AY681" s="28" t="n">
        <f aca="false">AX681*$M681</f>
        <v>0</v>
      </c>
      <c r="AZ681" s="30" t="n">
        <v>2679</v>
      </c>
      <c r="BA681" s="11" t="n">
        <v>13395</v>
      </c>
      <c r="BB681" s="31" t="n">
        <f aca="false">SUM(Q681,S681,U681,W681,Y681,AA681,AC681,AE681,AG681,AI681,AK681,AM681,AO681,AQ681,AS681,AU681,AW681,AY681)</f>
        <v>13395</v>
      </c>
      <c r="BC681" s="28" t="n">
        <f aca="false">BA681-BB681</f>
        <v>0</v>
      </c>
      <c r="BD681" s="32" t="n">
        <f aca="false">SUM(P681,R681,T681,V681,X681,Z681,AB681,AD681,AF681,AH681,AJ681,AL681,AN681,AP681,AR681,AT681,AV681,AX681)</f>
        <v>2679</v>
      </c>
      <c r="BE681" s="33" t="n">
        <f aca="false">AZ681-BD681</f>
        <v>0</v>
      </c>
      <c r="BF681" s="34" t="n">
        <f aca="false">BD681*M681</f>
        <v>13395</v>
      </c>
      <c r="BG681" s="35" t="n">
        <f aca="false">BA681-BF681</f>
        <v>0</v>
      </c>
      <c r="BH681" s="19" t="str">
        <f aca="false">IF(BG681=0,"",IF(BG681&lt;&gt;BA681,"erreur de calcul",IF(BD681&lt;&gt;0,"pas de prix",IF(M681&lt;&gt; 0,"pas de quantité","pas de prix, ni de quantité"))))</f>
        <v/>
      </c>
      <c r="BI681" s="19"/>
    </row>
    <row r="682" customFormat="false" ht="16" hidden="false" customHeight="false" outlineLevel="0" collapsed="false">
      <c r="A682" s="0" t="n">
        <v>1</v>
      </c>
      <c r="B682" s="8" t="s">
        <v>24</v>
      </c>
      <c r="C682" s="9" t="s">
        <v>25</v>
      </c>
      <c r="D682" s="9" t="s">
        <v>26</v>
      </c>
      <c r="E682" s="10" t="n">
        <v>1789</v>
      </c>
      <c r="F682" s="9" t="s">
        <v>27</v>
      </c>
      <c r="G682" s="9" t="s">
        <v>27</v>
      </c>
      <c r="H682" s="11" t="n">
        <v>27</v>
      </c>
      <c r="I682" s="11" t="s">
        <v>412</v>
      </c>
      <c r="J682" s="14" t="n">
        <v>7</v>
      </c>
      <c r="K682" s="14" t="n">
        <v>10</v>
      </c>
      <c r="L682" s="16"/>
      <c r="M682" s="27" t="n">
        <f aca="false">J682+(K682/20)+(L682/240)</f>
        <v>7.5</v>
      </c>
      <c r="N682" s="17" t="s">
        <v>64</v>
      </c>
      <c r="O682" s="11"/>
      <c r="P682" s="28" t="n">
        <f aca="false">16667/100</f>
        <v>166.67</v>
      </c>
      <c r="Q682" s="28" t="n">
        <v>1250</v>
      </c>
      <c r="R682" s="28"/>
      <c r="S682" s="28" t="n">
        <f aca="false">R682*$M682</f>
        <v>0</v>
      </c>
      <c r="T682" s="28"/>
      <c r="U682" s="28" t="n">
        <f aca="false">T682*$M682</f>
        <v>0</v>
      </c>
      <c r="V682" s="28" t="n">
        <f aca="false">407887/100</f>
        <v>4078.87</v>
      </c>
      <c r="W682" s="28" t="n">
        <v>30591</v>
      </c>
      <c r="X682" s="28" t="n">
        <f aca="false">4444/100</f>
        <v>44.44</v>
      </c>
      <c r="Y682" s="28" t="n">
        <v>333</v>
      </c>
      <c r="Z682" s="28" t="n">
        <f aca="false">16084/100</f>
        <v>160.84</v>
      </c>
      <c r="AA682" s="28" t="n">
        <v>1206</v>
      </c>
      <c r="AB682" s="28" t="n">
        <f aca="false">20834/100</f>
        <v>208.34</v>
      </c>
      <c r="AC682" s="28" t="n">
        <v>1562</v>
      </c>
      <c r="AD682" s="28"/>
      <c r="AE682" s="28" t="n">
        <f aca="false">AD682*$M682</f>
        <v>0</v>
      </c>
      <c r="AF682" s="28"/>
      <c r="AG682" s="28" t="n">
        <f aca="false">AF682*$M682</f>
        <v>0</v>
      </c>
      <c r="AH682" s="28"/>
      <c r="AI682" s="28" t="n">
        <f aca="false">AH682*$M682</f>
        <v>0</v>
      </c>
      <c r="AJ682" s="28"/>
      <c r="AK682" s="28" t="n">
        <f aca="false">AJ682*$M682</f>
        <v>0</v>
      </c>
      <c r="AL682" s="28"/>
      <c r="AM682" s="28" t="n">
        <f aca="false">AL682*$M682</f>
        <v>0</v>
      </c>
      <c r="AN682" s="28"/>
      <c r="AO682" s="28" t="n">
        <f aca="false">AN682*$M682</f>
        <v>0</v>
      </c>
      <c r="AP682" s="28"/>
      <c r="AQ682" s="28" t="n">
        <f aca="false">AP682*$M682</f>
        <v>0</v>
      </c>
      <c r="AR682" s="28"/>
      <c r="AS682" s="28" t="n">
        <f aca="false">AR682*$M682</f>
        <v>0</v>
      </c>
      <c r="AT682" s="28"/>
      <c r="AU682" s="28" t="n">
        <f aca="false">AT682*$M682</f>
        <v>0</v>
      </c>
      <c r="AV682" s="28"/>
      <c r="AW682" s="28" t="n">
        <f aca="false">AV682*$M682</f>
        <v>0</v>
      </c>
      <c r="AX682" s="28"/>
      <c r="AY682" s="28" t="n">
        <f aca="false">AX682*$M682</f>
        <v>0</v>
      </c>
      <c r="AZ682" s="30" t="n">
        <f aca="false">465916/100</f>
        <v>4659.16</v>
      </c>
      <c r="BA682" s="11" t="n">
        <v>34942</v>
      </c>
      <c r="BB682" s="31" t="n">
        <f aca="false">SUM(Q682,S682,U682,W682,Y682,AA682,AC682,AE682,AG682,AI682,AK682,AM682,AO682,AQ682,AS682,AU682,AW682,AY682)</f>
        <v>34942</v>
      </c>
      <c r="BC682" s="28" t="n">
        <f aca="false">BA682-BB682</f>
        <v>0</v>
      </c>
      <c r="BD682" s="32" t="n">
        <f aca="false">SUM(P682,R682,T682,V682,X682,Z682,AB682,AD682,AF682,AH682,AJ682,AL682,AN682,AP682,AR682,AT682,AV682,AX682)</f>
        <v>4659.16</v>
      </c>
      <c r="BE682" s="33" t="n">
        <f aca="false">AZ682-BD682</f>
        <v>0</v>
      </c>
      <c r="BF682" s="34" t="n">
        <f aca="false">BD682*M682</f>
        <v>34943.7</v>
      </c>
      <c r="BG682" s="35" t="n">
        <f aca="false">BA682-BF682</f>
        <v>-1.69999999999709</v>
      </c>
      <c r="BH682" s="19" t="str">
        <f aca="false">IF(BG682=0,"",IF(BG682&lt;&gt;BA682,"erreur de calcul",IF(BD682&lt;&gt;0,"pas de prix",IF(M682&lt;&gt; 0,"pas de quantité","pas de prix, ni de quantité"))))</f>
        <v>erreur de calcul</v>
      </c>
      <c r="BI682" s="19"/>
    </row>
    <row r="683" customFormat="false" ht="16" hidden="false" customHeight="false" outlineLevel="0" collapsed="false">
      <c r="A683" s="0" t="n">
        <v>2</v>
      </c>
      <c r="B683" s="8" t="s">
        <v>24</v>
      </c>
      <c r="C683" s="9" t="s">
        <v>25</v>
      </c>
      <c r="D683" s="9" t="s">
        <v>26</v>
      </c>
      <c r="E683" s="10" t="n">
        <v>1789</v>
      </c>
      <c r="F683" s="9" t="s">
        <v>27</v>
      </c>
      <c r="G683" s="9" t="s">
        <v>27</v>
      </c>
      <c r="H683" s="11" t="n">
        <v>27</v>
      </c>
      <c r="I683" s="11" t="s">
        <v>413</v>
      </c>
      <c r="J683" s="14" t="n">
        <v>3</v>
      </c>
      <c r="K683" s="14"/>
      <c r="L683" s="16"/>
      <c r="M683" s="27" t="n">
        <f aca="false">J683+(K683/20)+(L683/240)</f>
        <v>3</v>
      </c>
      <c r="N683" s="17" t="s">
        <v>66</v>
      </c>
      <c r="O683" s="11"/>
      <c r="P683" s="28"/>
      <c r="Q683" s="28" t="n">
        <f aca="false">P683*$M683</f>
        <v>0</v>
      </c>
      <c r="R683" s="28"/>
      <c r="S683" s="28" t="n">
        <f aca="false">R683*$M683</f>
        <v>0</v>
      </c>
      <c r="T683" s="28"/>
      <c r="U683" s="28" t="n">
        <f aca="false">T683*$M683</f>
        <v>0</v>
      </c>
      <c r="V683" s="28"/>
      <c r="W683" s="28" t="n">
        <f aca="false">V683*$M683</f>
        <v>0</v>
      </c>
      <c r="X683" s="28"/>
      <c r="Y683" s="28" t="n">
        <f aca="false">X683*$M683</f>
        <v>0</v>
      </c>
      <c r="Z683" s="28"/>
      <c r="AA683" s="28" t="n">
        <f aca="false">Z683*$M683</f>
        <v>0</v>
      </c>
      <c r="AB683" s="28"/>
      <c r="AC683" s="28" t="n">
        <f aca="false">AB683*$M683</f>
        <v>0</v>
      </c>
      <c r="AD683" s="28"/>
      <c r="AE683" s="28" t="n">
        <f aca="false">AD683*$M683</f>
        <v>0</v>
      </c>
      <c r="AF683" s="28"/>
      <c r="AG683" s="28" t="n">
        <f aca="false">AF683*$M683</f>
        <v>0</v>
      </c>
      <c r="AH683" s="28" t="n">
        <v>58272</v>
      </c>
      <c r="AI683" s="28" t="n">
        <v>174816</v>
      </c>
      <c r="AJ683" s="28"/>
      <c r="AK683" s="28" t="n">
        <f aca="false">AJ683*$M683</f>
        <v>0</v>
      </c>
      <c r="AL683" s="28"/>
      <c r="AM683" s="28" t="n">
        <f aca="false">AL683*$M683</f>
        <v>0</v>
      </c>
      <c r="AN683" s="28"/>
      <c r="AO683" s="28" t="n">
        <f aca="false">AN683*$M683</f>
        <v>0</v>
      </c>
      <c r="AP683" s="28"/>
      <c r="AQ683" s="28" t="n">
        <f aca="false">AP683*$M683</f>
        <v>0</v>
      </c>
      <c r="AR683" s="28"/>
      <c r="AS683" s="28" t="n">
        <f aca="false">AR683*$M683</f>
        <v>0</v>
      </c>
      <c r="AT683" s="28"/>
      <c r="AU683" s="28" t="n">
        <f aca="false">AT683*$M683</f>
        <v>0</v>
      </c>
      <c r="AV683" s="28"/>
      <c r="AW683" s="28" t="n">
        <f aca="false">AV683*$M683</f>
        <v>0</v>
      </c>
      <c r="AX683" s="28"/>
      <c r="AY683" s="28" t="n">
        <f aca="false">AX683*$M683</f>
        <v>0</v>
      </c>
      <c r="AZ683" s="30" t="n">
        <f aca="false">58272</f>
        <v>58272</v>
      </c>
      <c r="BA683" s="11" t="n">
        <v>174816</v>
      </c>
      <c r="BB683" s="31" t="n">
        <f aca="false">SUM(Q683,S683,U683,W683,Y683,AA683,AC683,AE683,AG683,AI683,AK683,AM683,AO683,AQ683,AS683,AU683,AW683,AY683)</f>
        <v>174816</v>
      </c>
      <c r="BC683" s="28" t="n">
        <f aca="false">BA683-BB683</f>
        <v>0</v>
      </c>
      <c r="BD683" s="32" t="n">
        <f aca="false">SUM(P683,R683,T683,V683,X683,Z683,AB683,AD683,AF683,AH683,AJ683,AL683,AN683,AP683,AR683,AT683,AV683,AX683)</f>
        <v>58272</v>
      </c>
      <c r="BE683" s="33" t="n">
        <f aca="false">AZ683-BD683</f>
        <v>0</v>
      </c>
      <c r="BF683" s="34" t="n">
        <f aca="false">BD683*M683</f>
        <v>174816</v>
      </c>
      <c r="BG683" s="35" t="n">
        <f aca="false">BA683-BF683</f>
        <v>0</v>
      </c>
      <c r="BH683" s="19" t="str">
        <f aca="false">IF(BG683=0,"",IF(BG683&lt;&gt;BA683,"erreur de calcul",IF(BD683&lt;&gt;0,"pas de prix",IF(M683&lt;&gt; 0,"pas de quantité","pas de prix, ni de quantité"))))</f>
        <v/>
      </c>
      <c r="BI683" s="19"/>
    </row>
    <row r="684" customFormat="false" ht="16" hidden="false" customHeight="false" outlineLevel="0" collapsed="false">
      <c r="A684" s="0" t="n">
        <v>3</v>
      </c>
      <c r="B684" s="8" t="s">
        <v>24</v>
      </c>
      <c r="C684" s="9" t="s">
        <v>25</v>
      </c>
      <c r="D684" s="9" t="s">
        <v>26</v>
      </c>
      <c r="E684" s="10" t="n">
        <v>1789</v>
      </c>
      <c r="F684" s="9" t="s">
        <v>27</v>
      </c>
      <c r="G684" s="9" t="s">
        <v>27</v>
      </c>
      <c r="H684" s="11" t="n">
        <v>27</v>
      </c>
      <c r="I684" s="11" t="s">
        <v>414</v>
      </c>
      <c r="J684" s="14" t="n">
        <v>3</v>
      </c>
      <c r="K684" s="14"/>
      <c r="L684" s="16"/>
      <c r="M684" s="27" t="n">
        <f aca="false">J684+(K684/20)+(L684/240)</f>
        <v>3</v>
      </c>
      <c r="N684" s="17" t="s">
        <v>66</v>
      </c>
      <c r="O684" s="11" t="s">
        <v>98</v>
      </c>
      <c r="P684" s="28"/>
      <c r="Q684" s="28" t="n">
        <f aca="false">P684*$M684</f>
        <v>0</v>
      </c>
      <c r="R684" s="28"/>
      <c r="S684" s="28" t="n">
        <f aca="false">R684*$M684</f>
        <v>0</v>
      </c>
      <c r="T684" s="28"/>
      <c r="U684" s="28" t="n">
        <f aca="false">T684*$M684</f>
        <v>0</v>
      </c>
      <c r="V684" s="28"/>
      <c r="W684" s="28" t="n">
        <f aca="false">V684*$M684</f>
        <v>0</v>
      </c>
      <c r="X684" s="28"/>
      <c r="Y684" s="28" t="n">
        <f aca="false">X684*$M684</f>
        <v>0</v>
      </c>
      <c r="Z684" s="28"/>
      <c r="AA684" s="28" t="n">
        <f aca="false">Z684*$M684</f>
        <v>0</v>
      </c>
      <c r="AB684" s="28"/>
      <c r="AC684" s="28" t="n">
        <f aca="false">AB684*$M684</f>
        <v>0</v>
      </c>
      <c r="AD684" s="28"/>
      <c r="AE684" s="28" t="n">
        <f aca="false">AD684*$M684</f>
        <v>0</v>
      </c>
      <c r="AF684" s="28"/>
      <c r="AG684" s="28" t="n">
        <f aca="false">AF684*$M684</f>
        <v>0</v>
      </c>
      <c r="AH684" s="28" t="n">
        <v>110560</v>
      </c>
      <c r="AI684" s="28" t="n">
        <v>331680</v>
      </c>
      <c r="AJ684" s="28"/>
      <c r="AK684" s="28" t="n">
        <f aca="false">AJ684*$M684</f>
        <v>0</v>
      </c>
      <c r="AL684" s="28"/>
      <c r="AM684" s="28" t="n">
        <f aca="false">AL684*$M684</f>
        <v>0</v>
      </c>
      <c r="AN684" s="28"/>
      <c r="AO684" s="28" t="n">
        <f aca="false">AN684*$M684</f>
        <v>0</v>
      </c>
      <c r="AP684" s="28"/>
      <c r="AQ684" s="28" t="n">
        <f aca="false">AP684*$M684</f>
        <v>0</v>
      </c>
      <c r="AR684" s="28"/>
      <c r="AS684" s="28" t="n">
        <f aca="false">AR684*$M684</f>
        <v>0</v>
      </c>
      <c r="AT684" s="28"/>
      <c r="AU684" s="28" t="n">
        <f aca="false">AT684*$M684</f>
        <v>0</v>
      </c>
      <c r="AV684" s="28"/>
      <c r="AW684" s="28" t="n">
        <f aca="false">AV684*$M684</f>
        <v>0</v>
      </c>
      <c r="AX684" s="28"/>
      <c r="AY684" s="28" t="n">
        <f aca="false">AX684*$M684</f>
        <v>0</v>
      </c>
      <c r="AZ684" s="30" t="n">
        <v>110560</v>
      </c>
      <c r="BA684" s="11" t="n">
        <v>331680</v>
      </c>
      <c r="BB684" s="31" t="n">
        <f aca="false">SUM(Q684,S684,U684,W684,Y684,AA684,AC684,AE684,AG684,AI684,AK684,AM684,AO684,AQ684,AS684,AU684,AW684,AY684)</f>
        <v>331680</v>
      </c>
      <c r="BC684" s="28" t="n">
        <f aca="false">BA684-BB684</f>
        <v>0</v>
      </c>
      <c r="BD684" s="32" t="n">
        <f aca="false">SUM(P684,R684,T684,V684,X684,Z684,AB684,AD684,AF684,AH684,AJ684,AL684,AN684,AP684,AR684,AT684,AV684,AX684)</f>
        <v>110560</v>
      </c>
      <c r="BE684" s="33" t="n">
        <f aca="false">AZ684-BD684</f>
        <v>0</v>
      </c>
      <c r="BF684" s="34" t="n">
        <f aca="false">BD684*M684</f>
        <v>331680</v>
      </c>
      <c r="BG684" s="35" t="n">
        <f aca="false">BA684-BF684</f>
        <v>0</v>
      </c>
      <c r="BH684" s="19" t="str">
        <f aca="false">IF(BG684=0,"",IF(BG684&lt;&gt;BA684,"erreur de calcul",IF(BD684&lt;&gt;0,"pas de prix",IF(M684&lt;&gt; 0,"pas de quantité","pas de prix, ni de quantité"))))</f>
        <v/>
      </c>
      <c r="BI684" s="19"/>
    </row>
    <row r="685" customFormat="false" ht="16" hidden="false" customHeight="false" outlineLevel="0" collapsed="false">
      <c r="A685" s="0" t="n">
        <v>4</v>
      </c>
      <c r="B685" s="8" t="s">
        <v>24</v>
      </c>
      <c r="C685" s="9" t="s">
        <v>25</v>
      </c>
      <c r="D685" s="9" t="s">
        <v>26</v>
      </c>
      <c r="E685" s="10" t="n">
        <v>1789</v>
      </c>
      <c r="F685" s="9" t="s">
        <v>27</v>
      </c>
      <c r="G685" s="9" t="s">
        <v>27</v>
      </c>
      <c r="H685" s="11" t="n">
        <v>27</v>
      </c>
      <c r="I685" s="11" t="s">
        <v>415</v>
      </c>
      <c r="J685" s="14" t="n">
        <v>3</v>
      </c>
      <c r="K685" s="14" t="n">
        <v>10</v>
      </c>
      <c r="L685" s="16"/>
      <c r="M685" s="27" t="n">
        <f aca="false">J685+(K685/20)+(L685/240)</f>
        <v>3.5</v>
      </c>
      <c r="N685" s="17" t="s">
        <v>66</v>
      </c>
      <c r="O685" s="11" t="s">
        <v>98</v>
      </c>
      <c r="P685" s="28"/>
      <c r="Q685" s="28" t="n">
        <f aca="false">P685*$M685</f>
        <v>0</v>
      </c>
      <c r="R685" s="28"/>
      <c r="S685" s="28" t="n">
        <f aca="false">R685*$M685</f>
        <v>0</v>
      </c>
      <c r="T685" s="28"/>
      <c r="U685" s="28" t="n">
        <f aca="false">T685*$M685</f>
        <v>0</v>
      </c>
      <c r="V685" s="28"/>
      <c r="W685" s="28" t="n">
        <f aca="false">V685*$M685</f>
        <v>0</v>
      </c>
      <c r="X685" s="28" t="n">
        <v>218</v>
      </c>
      <c r="Y685" s="28" t="n">
        <v>763</v>
      </c>
      <c r="Z685" s="28"/>
      <c r="AA685" s="28" t="n">
        <f aca="false">Z685*$M685</f>
        <v>0</v>
      </c>
      <c r="AB685" s="28"/>
      <c r="AC685" s="28" t="n">
        <f aca="false">AB685*$M685</f>
        <v>0</v>
      </c>
      <c r="AD685" s="28"/>
      <c r="AE685" s="28" t="n">
        <f aca="false">AD685*$M685</f>
        <v>0</v>
      </c>
      <c r="AF685" s="28"/>
      <c r="AG685" s="28" t="n">
        <f aca="false">AF685*$M685</f>
        <v>0</v>
      </c>
      <c r="AH685" s="28" t="n">
        <v>25905</v>
      </c>
      <c r="AI685" s="28" t="n">
        <v>90667</v>
      </c>
      <c r="AJ685" s="28"/>
      <c r="AK685" s="28" t="n">
        <f aca="false">AJ685*$M685</f>
        <v>0</v>
      </c>
      <c r="AL685" s="28"/>
      <c r="AM685" s="28" t="n">
        <f aca="false">AL685*$M685</f>
        <v>0</v>
      </c>
      <c r="AN685" s="28"/>
      <c r="AO685" s="28" t="n">
        <f aca="false">AN685*$M685</f>
        <v>0</v>
      </c>
      <c r="AP685" s="28"/>
      <c r="AQ685" s="28" t="n">
        <f aca="false">AP685*$M685</f>
        <v>0</v>
      </c>
      <c r="AR685" s="28"/>
      <c r="AS685" s="28" t="n">
        <f aca="false">AR685*$M685</f>
        <v>0</v>
      </c>
      <c r="AT685" s="28"/>
      <c r="AU685" s="28" t="n">
        <f aca="false">AT685*$M685</f>
        <v>0</v>
      </c>
      <c r="AV685" s="28"/>
      <c r="AW685" s="28" t="n">
        <f aca="false">AV685*$M685</f>
        <v>0</v>
      </c>
      <c r="AX685" s="28"/>
      <c r="AY685" s="28" t="n">
        <f aca="false">AX685*$M685</f>
        <v>0</v>
      </c>
      <c r="AZ685" s="30" t="n">
        <v>26123</v>
      </c>
      <c r="BA685" s="11" t="n">
        <v>91430</v>
      </c>
      <c r="BB685" s="31" t="n">
        <f aca="false">SUM(Q685,S685,U685,W685,Y685,AA685,AC685,AE685,AG685,AI685,AK685,AM685,AO685,AQ685,AS685,AU685,AW685,AY685)</f>
        <v>91430</v>
      </c>
      <c r="BC685" s="28" t="n">
        <f aca="false">BA685-BB685</f>
        <v>0</v>
      </c>
      <c r="BD685" s="32" t="n">
        <f aca="false">SUM(P685,R685,T685,V685,X685,Z685,AB685,AD685,AF685,AH685,AJ685,AL685,AN685,AP685,AR685,AT685,AV685,AX685)</f>
        <v>26123</v>
      </c>
      <c r="BE685" s="33" t="n">
        <f aca="false">AZ685-BD685</f>
        <v>0</v>
      </c>
      <c r="BF685" s="34" t="n">
        <f aca="false">BD685*M685</f>
        <v>91430.5</v>
      </c>
      <c r="BG685" s="35" t="n">
        <f aca="false">BA685-BF685</f>
        <v>-0.5</v>
      </c>
      <c r="BH685" s="19" t="str">
        <f aca="false">IF(BG685=0,"",IF(BG685&lt;&gt;BA685,"erreur de calcul",IF(BD685&lt;&gt;0,"pas de prix",IF(M685&lt;&gt; 0,"pas de quantité","pas de prix, ni de quantité"))))</f>
        <v>erreur de calcul</v>
      </c>
      <c r="BI685" s="19"/>
    </row>
    <row r="686" customFormat="false" ht="16" hidden="false" customHeight="false" outlineLevel="0" collapsed="false">
      <c r="A686" s="0" t="n">
        <v>5</v>
      </c>
      <c r="B686" s="8" t="s">
        <v>24</v>
      </c>
      <c r="C686" s="9" t="s">
        <v>25</v>
      </c>
      <c r="D686" s="9" t="s">
        <v>26</v>
      </c>
      <c r="E686" s="10" t="n">
        <v>1789</v>
      </c>
      <c r="F686" s="9" t="s">
        <v>27</v>
      </c>
      <c r="G686" s="9" t="s">
        <v>27</v>
      </c>
      <c r="H686" s="11" t="n">
        <v>27</v>
      </c>
      <c r="I686" s="11" t="s">
        <v>416</v>
      </c>
      <c r="J686" s="14"/>
      <c r="K686" s="14" t="n">
        <v>30</v>
      </c>
      <c r="L686" s="16"/>
      <c r="M686" s="27" t="n">
        <f aca="false">J686+(K686/20)+(L686/240)</f>
        <v>1.5</v>
      </c>
      <c r="N686" s="17" t="s">
        <v>66</v>
      </c>
      <c r="O686" s="11"/>
      <c r="P686" s="28"/>
      <c r="Q686" s="28" t="n">
        <f aca="false">P686*$M686</f>
        <v>0</v>
      </c>
      <c r="R686" s="28"/>
      <c r="S686" s="28" t="n">
        <f aca="false">R686*$M686</f>
        <v>0</v>
      </c>
      <c r="T686" s="28"/>
      <c r="U686" s="28" t="n">
        <f aca="false">T686*$M686</f>
        <v>0</v>
      </c>
      <c r="V686" s="28"/>
      <c r="W686" s="28" t="n">
        <f aca="false">V686*$M686</f>
        <v>0</v>
      </c>
      <c r="X686" s="28"/>
      <c r="Y686" s="28" t="n">
        <f aca="false">X686*$M686</f>
        <v>0</v>
      </c>
      <c r="Z686" s="28"/>
      <c r="AA686" s="28" t="n">
        <f aca="false">Z686*$M686</f>
        <v>0</v>
      </c>
      <c r="AB686" s="28"/>
      <c r="AC686" s="28" t="n">
        <f aca="false">AB686*$M686</f>
        <v>0</v>
      </c>
      <c r="AD686" s="28"/>
      <c r="AE686" s="28" t="n">
        <f aca="false">AD686*$M686</f>
        <v>0</v>
      </c>
      <c r="AF686" s="28"/>
      <c r="AG686" s="28" t="n">
        <f aca="false">AF686*$M686</f>
        <v>0</v>
      </c>
      <c r="AH686" s="28" t="n">
        <v>75870</v>
      </c>
      <c r="AI686" s="28" t="n">
        <v>113805</v>
      </c>
      <c r="AJ686" s="28"/>
      <c r="AK686" s="28" t="n">
        <f aca="false">AJ686*$M686</f>
        <v>0</v>
      </c>
      <c r="AL686" s="28"/>
      <c r="AM686" s="28" t="n">
        <f aca="false">AL686*$M686</f>
        <v>0</v>
      </c>
      <c r="AN686" s="28"/>
      <c r="AO686" s="28" t="n">
        <f aca="false">AN686*$M686</f>
        <v>0</v>
      </c>
      <c r="AP686" s="28"/>
      <c r="AQ686" s="28" t="n">
        <f aca="false">AP686*$M686</f>
        <v>0</v>
      </c>
      <c r="AR686" s="28"/>
      <c r="AS686" s="28" t="n">
        <f aca="false">AR686*$M686</f>
        <v>0</v>
      </c>
      <c r="AT686" s="28"/>
      <c r="AU686" s="28" t="n">
        <f aca="false">AT686*$M686</f>
        <v>0</v>
      </c>
      <c r="AV686" s="28"/>
      <c r="AW686" s="28" t="n">
        <f aca="false">AV686*$M686</f>
        <v>0</v>
      </c>
      <c r="AX686" s="28"/>
      <c r="AY686" s="28" t="n">
        <f aca="false">AX686*$M686</f>
        <v>0</v>
      </c>
      <c r="AZ686" s="30" t="n">
        <v>75870</v>
      </c>
      <c r="BA686" s="11" t="n">
        <v>113805</v>
      </c>
      <c r="BB686" s="31" t="n">
        <f aca="false">SUM(Q686,S686,U686,W686,Y686,AA686,AC686,AE686,AG686,AI686,AK686,AM686,AO686,AQ686,AS686,AU686,AW686,AY686)</f>
        <v>113805</v>
      </c>
      <c r="BC686" s="28" t="n">
        <f aca="false">BA686-BB686</f>
        <v>0</v>
      </c>
      <c r="BD686" s="32" t="n">
        <f aca="false">SUM(P686,R686,T686,V686,X686,Z686,AB686,AD686,AF686,AH686,AJ686,AL686,AN686,AP686,AR686,AT686,AV686,AX686)</f>
        <v>75870</v>
      </c>
      <c r="BE686" s="33" t="n">
        <f aca="false">AZ686-BD686</f>
        <v>0</v>
      </c>
      <c r="BF686" s="34" t="n">
        <f aca="false">BD686*M686</f>
        <v>113805</v>
      </c>
      <c r="BG686" s="35" t="n">
        <f aca="false">BA686-BF686</f>
        <v>0</v>
      </c>
      <c r="BH686" s="19" t="str">
        <f aca="false">IF(BG686=0,"",IF(BG686&lt;&gt;BA686,"erreur de calcul",IF(BD686&lt;&gt;0,"pas de prix",IF(M686&lt;&gt; 0,"pas de quantité","pas de prix, ni de quantité"))))</f>
        <v/>
      </c>
      <c r="BI686" s="19"/>
    </row>
    <row r="687" customFormat="false" ht="16" hidden="false" customHeight="false" outlineLevel="0" collapsed="false">
      <c r="A687" s="0" t="n">
        <v>6</v>
      </c>
      <c r="B687" s="8" t="s">
        <v>24</v>
      </c>
      <c r="C687" s="9" t="s">
        <v>25</v>
      </c>
      <c r="D687" s="9" t="s">
        <v>26</v>
      </c>
      <c r="E687" s="10" t="n">
        <v>1789</v>
      </c>
      <c r="F687" s="9" t="s">
        <v>27</v>
      </c>
      <c r="G687" s="9" t="s">
        <v>27</v>
      </c>
      <c r="H687" s="11" t="n">
        <v>27</v>
      </c>
      <c r="I687" s="11" t="s">
        <v>417</v>
      </c>
      <c r="J687" s="14" t="n">
        <v>3</v>
      </c>
      <c r="K687" s="14"/>
      <c r="L687" s="16"/>
      <c r="M687" s="27" t="n">
        <f aca="false">J687+(K687/20)+(L687/240)</f>
        <v>3</v>
      </c>
      <c r="N687" s="17" t="s">
        <v>66</v>
      </c>
      <c r="O687" s="11"/>
      <c r="P687" s="28"/>
      <c r="Q687" s="28" t="n">
        <f aca="false">P687*$M687</f>
        <v>0</v>
      </c>
      <c r="R687" s="28"/>
      <c r="S687" s="28" t="n">
        <f aca="false">R687*$M687</f>
        <v>0</v>
      </c>
      <c r="T687" s="28"/>
      <c r="U687" s="28" t="n">
        <f aca="false">T687*$M687</f>
        <v>0</v>
      </c>
      <c r="V687" s="28"/>
      <c r="W687" s="28" t="n">
        <f aca="false">V687*$M687</f>
        <v>0</v>
      </c>
      <c r="X687" s="28"/>
      <c r="Y687" s="28" t="n">
        <f aca="false">X687*$M687</f>
        <v>0</v>
      </c>
      <c r="Z687" s="28"/>
      <c r="AA687" s="28" t="n">
        <f aca="false">Z687*$M687</f>
        <v>0</v>
      </c>
      <c r="AB687" s="28"/>
      <c r="AC687" s="28" t="n">
        <f aca="false">AB687*$M687</f>
        <v>0</v>
      </c>
      <c r="AD687" s="28"/>
      <c r="AE687" s="28" t="n">
        <f aca="false">AD687*$M687</f>
        <v>0</v>
      </c>
      <c r="AF687" s="28"/>
      <c r="AG687" s="28" t="n">
        <f aca="false">AF687*$M687</f>
        <v>0</v>
      </c>
      <c r="AH687" s="28" t="n">
        <v>121588</v>
      </c>
      <c r="AI687" s="28" t="n">
        <v>364764</v>
      </c>
      <c r="AJ687" s="28"/>
      <c r="AK687" s="28" t="n">
        <f aca="false">AJ687*$M687</f>
        <v>0</v>
      </c>
      <c r="AL687" s="28"/>
      <c r="AM687" s="28" t="n">
        <f aca="false">AL687*$M687</f>
        <v>0</v>
      </c>
      <c r="AN687" s="28"/>
      <c r="AO687" s="28" t="n">
        <f aca="false">AN687*$M687</f>
        <v>0</v>
      </c>
      <c r="AP687" s="28"/>
      <c r="AQ687" s="28" t="n">
        <f aca="false">AP687*$M687</f>
        <v>0</v>
      </c>
      <c r="AR687" s="28"/>
      <c r="AS687" s="28" t="n">
        <f aca="false">AR687*$M687</f>
        <v>0</v>
      </c>
      <c r="AT687" s="28"/>
      <c r="AU687" s="28" t="n">
        <f aca="false">AT687*$M687</f>
        <v>0</v>
      </c>
      <c r="AV687" s="28"/>
      <c r="AW687" s="28" t="n">
        <f aca="false">AV687*$M687</f>
        <v>0</v>
      </c>
      <c r="AX687" s="28"/>
      <c r="AY687" s="28" t="n">
        <f aca="false">AX687*$M687</f>
        <v>0</v>
      </c>
      <c r="AZ687" s="30" t="n">
        <v>121588</v>
      </c>
      <c r="BA687" s="11" t="n">
        <v>364764</v>
      </c>
      <c r="BB687" s="31" t="n">
        <f aca="false">SUM(Q687,S687,U687,W687,Y687,AA687,AC687,AE687,AG687,AI687,AK687,AM687,AO687,AQ687,AS687,AU687,AW687,AY687)</f>
        <v>364764</v>
      </c>
      <c r="BC687" s="28" t="n">
        <f aca="false">BA687-BB687</f>
        <v>0</v>
      </c>
      <c r="BD687" s="32" t="n">
        <f aca="false">SUM(P687,R687,T687,V687,X687,Z687,AB687,AD687,AF687,AH687,AJ687,AL687,AN687,AP687,AR687,AT687,AV687,AX687)</f>
        <v>121588</v>
      </c>
      <c r="BE687" s="33" t="n">
        <f aca="false">AZ687-BD687</f>
        <v>0</v>
      </c>
      <c r="BF687" s="34" t="n">
        <f aca="false">BD687*M687</f>
        <v>364764</v>
      </c>
      <c r="BG687" s="35" t="n">
        <f aca="false">BA687-BF687</f>
        <v>0</v>
      </c>
      <c r="BH687" s="19" t="str">
        <f aca="false">IF(BG687=0,"",IF(BG687&lt;&gt;BA687,"erreur de calcul",IF(BD687&lt;&gt;0,"pas de prix",IF(M687&lt;&gt; 0,"pas de quantité","pas de prix, ni de quantité"))))</f>
        <v/>
      </c>
      <c r="BI687" s="19"/>
    </row>
    <row r="688" customFormat="false" ht="16" hidden="false" customHeight="false" outlineLevel="0" collapsed="false">
      <c r="A688" s="0" t="n">
        <v>7</v>
      </c>
      <c r="B688" s="8" t="s">
        <v>24</v>
      </c>
      <c r="C688" s="9" t="s">
        <v>25</v>
      </c>
      <c r="D688" s="9" t="s">
        <v>26</v>
      </c>
      <c r="E688" s="10" t="n">
        <v>1789</v>
      </c>
      <c r="F688" s="9" t="s">
        <v>27</v>
      </c>
      <c r="G688" s="9" t="s">
        <v>27</v>
      </c>
      <c r="H688" s="11" t="n">
        <v>27</v>
      </c>
      <c r="I688" s="11" t="s">
        <v>418</v>
      </c>
      <c r="J688" s="14"/>
      <c r="K688" s="14" t="n">
        <v>24</v>
      </c>
      <c r="L688" s="16"/>
      <c r="M688" s="27" t="n">
        <f aca="false">J688+(K688/20)+(L688/240)</f>
        <v>1.2</v>
      </c>
      <c r="N688" s="17" t="s">
        <v>66</v>
      </c>
      <c r="O688" s="11"/>
      <c r="P688" s="28"/>
      <c r="Q688" s="28" t="n">
        <f aca="false">P688*$M688</f>
        <v>0</v>
      </c>
      <c r="R688" s="28"/>
      <c r="S688" s="28" t="n">
        <f aca="false">R688*$M688</f>
        <v>0</v>
      </c>
      <c r="T688" s="28"/>
      <c r="U688" s="28" t="n">
        <f aca="false">T688*$M688</f>
        <v>0</v>
      </c>
      <c r="V688" s="28"/>
      <c r="W688" s="28" t="n">
        <f aca="false">V688*$M688</f>
        <v>0</v>
      </c>
      <c r="X688" s="28"/>
      <c r="Y688" s="28" t="n">
        <f aca="false">X688*$M688</f>
        <v>0</v>
      </c>
      <c r="Z688" s="28"/>
      <c r="AA688" s="28" t="n">
        <f aca="false">Z688*$M688</f>
        <v>0</v>
      </c>
      <c r="AB688" s="28"/>
      <c r="AC688" s="28" t="n">
        <f aca="false">AB688*$M688</f>
        <v>0</v>
      </c>
      <c r="AD688" s="28"/>
      <c r="AE688" s="28" t="n">
        <f aca="false">AD688*$M688</f>
        <v>0</v>
      </c>
      <c r="AF688" s="28"/>
      <c r="AG688" s="28" t="n">
        <f aca="false">AF688*$M688</f>
        <v>0</v>
      </c>
      <c r="AH688" s="28" t="n">
        <v>50204</v>
      </c>
      <c r="AI688" s="28" t="n">
        <v>60245</v>
      </c>
      <c r="AJ688" s="28"/>
      <c r="AK688" s="28" t="n">
        <f aca="false">AJ688*$M688</f>
        <v>0</v>
      </c>
      <c r="AL688" s="28"/>
      <c r="AM688" s="28" t="n">
        <f aca="false">AL688*$M688</f>
        <v>0</v>
      </c>
      <c r="AN688" s="28"/>
      <c r="AO688" s="28" t="n">
        <f aca="false">AN688*$M688</f>
        <v>0</v>
      </c>
      <c r="AP688" s="28"/>
      <c r="AQ688" s="28" t="n">
        <f aca="false">AP688*$M688</f>
        <v>0</v>
      </c>
      <c r="AR688" s="28"/>
      <c r="AS688" s="28" t="n">
        <f aca="false">AR688*$M688</f>
        <v>0</v>
      </c>
      <c r="AT688" s="28"/>
      <c r="AU688" s="28" t="n">
        <f aca="false">AT688*$M688</f>
        <v>0</v>
      </c>
      <c r="AV688" s="28"/>
      <c r="AW688" s="28" t="n">
        <f aca="false">AV688*$M688</f>
        <v>0</v>
      </c>
      <c r="AX688" s="28"/>
      <c r="AY688" s="28" t="n">
        <f aca="false">AX688*$M688</f>
        <v>0</v>
      </c>
      <c r="AZ688" s="30" t="n">
        <v>50204</v>
      </c>
      <c r="BA688" s="11" t="n">
        <v>60245</v>
      </c>
      <c r="BB688" s="31" t="n">
        <f aca="false">SUM(Q688,S688,U688,W688,Y688,AA688,AC688,AE688,AG688,AI688,AK688,AM688,AO688,AQ688,AS688,AU688,AW688,AY688)</f>
        <v>60245</v>
      </c>
      <c r="BC688" s="28" t="n">
        <f aca="false">BA688-BB688</f>
        <v>0</v>
      </c>
      <c r="BD688" s="32" t="n">
        <f aca="false">SUM(P688,R688,T688,V688,X688,Z688,AB688,AD688,AF688,AH688,AJ688,AL688,AN688,AP688,AR688,AT688,AV688,AX688)</f>
        <v>50204</v>
      </c>
      <c r="BE688" s="33" t="n">
        <f aca="false">AZ688-BD688</f>
        <v>0</v>
      </c>
      <c r="BF688" s="34" t="n">
        <f aca="false">BD688*M688</f>
        <v>60244.8</v>
      </c>
      <c r="BG688" s="35" t="n">
        <f aca="false">BA688-BF688</f>
        <v>0.200000000004366</v>
      </c>
      <c r="BH688" s="19" t="str">
        <f aca="false">IF(BG688=0,"",IF(BG688&lt;&gt;BA688,"erreur de calcul",IF(BD688&lt;&gt;0,"pas de prix",IF(M688&lt;&gt; 0,"pas de quantité","pas de prix, ni de quantité"))))</f>
        <v>erreur de calcul</v>
      </c>
      <c r="BI688" s="19"/>
    </row>
    <row r="689" customFormat="false" ht="16" hidden="false" customHeight="false" outlineLevel="0" collapsed="false">
      <c r="A689" s="0" t="n">
        <v>8</v>
      </c>
      <c r="B689" s="8" t="s">
        <v>24</v>
      </c>
      <c r="C689" s="9" t="s">
        <v>25</v>
      </c>
      <c r="D689" s="9" t="s">
        <v>26</v>
      </c>
      <c r="E689" s="10" t="n">
        <v>1789</v>
      </c>
      <c r="F689" s="9" t="s">
        <v>27</v>
      </c>
      <c r="G689" s="9" t="s">
        <v>27</v>
      </c>
      <c r="H689" s="11" t="n">
        <v>27</v>
      </c>
      <c r="I689" s="11" t="s">
        <v>419</v>
      </c>
      <c r="J689" s="14" t="n">
        <v>40</v>
      </c>
      <c r="K689" s="14"/>
      <c r="L689" s="16"/>
      <c r="M689" s="27" t="n">
        <f aca="false">J689+(K689/20)+(L689/240)</f>
        <v>40</v>
      </c>
      <c r="N689" s="17" t="s">
        <v>66</v>
      </c>
      <c r="O689" s="11" t="s">
        <v>98</v>
      </c>
      <c r="P689" s="28"/>
      <c r="Q689" s="28" t="n">
        <f aca="false">P689*$M689</f>
        <v>0</v>
      </c>
      <c r="R689" s="28"/>
      <c r="S689" s="28" t="n">
        <f aca="false">R689*$M689</f>
        <v>0</v>
      </c>
      <c r="T689" s="28"/>
      <c r="U689" s="28" t="n">
        <f aca="false">T689*$M689</f>
        <v>0</v>
      </c>
      <c r="V689" s="28"/>
      <c r="W689" s="28" t="n">
        <f aca="false">V689*$M689</f>
        <v>0</v>
      </c>
      <c r="X689" s="28"/>
      <c r="Y689" s="28" t="n">
        <f aca="false">X689*$M689</f>
        <v>0</v>
      </c>
      <c r="Z689" s="28"/>
      <c r="AA689" s="28" t="n">
        <f aca="false">Z689*$M689</f>
        <v>0</v>
      </c>
      <c r="AB689" s="28"/>
      <c r="AC689" s="28" t="n">
        <f aca="false">AB689*$M689</f>
        <v>0</v>
      </c>
      <c r="AD689" s="28"/>
      <c r="AE689" s="28" t="n">
        <f aca="false">AD689*$M689</f>
        <v>0</v>
      </c>
      <c r="AF689" s="28"/>
      <c r="AG689" s="28" t="n">
        <f aca="false">AF689*$M689</f>
        <v>0</v>
      </c>
      <c r="AH689" s="28"/>
      <c r="AI689" s="28" t="n">
        <f aca="false">AH689*$M689</f>
        <v>0</v>
      </c>
      <c r="AJ689" s="28"/>
      <c r="AK689" s="28" t="n">
        <f aca="false">AJ689*$M689</f>
        <v>0</v>
      </c>
      <c r="AL689" s="28"/>
      <c r="AM689" s="28" t="n">
        <f aca="false">AL689*$M689</f>
        <v>0</v>
      </c>
      <c r="AN689" s="28"/>
      <c r="AO689" s="28" t="n">
        <f aca="false">AN689*$M689</f>
        <v>0</v>
      </c>
      <c r="AP689" s="28"/>
      <c r="AQ689" s="28" t="n">
        <f aca="false">AP689*$M689</f>
        <v>0</v>
      </c>
      <c r="AR689" s="28"/>
      <c r="AS689" s="28" t="n">
        <f aca="false">AR689*$M689</f>
        <v>0</v>
      </c>
      <c r="AT689" s="28"/>
      <c r="AU689" s="28" t="n">
        <f aca="false">AT689*$M689</f>
        <v>0</v>
      </c>
      <c r="AV689" s="28"/>
      <c r="AW689" s="28" t="n">
        <f aca="false">AV689*$M689</f>
        <v>0</v>
      </c>
      <c r="AX689" s="28"/>
      <c r="AY689" s="28" t="n">
        <f aca="false">AX689*$M689</f>
        <v>0</v>
      </c>
      <c r="AZ689" s="30"/>
      <c r="BA689" s="11"/>
      <c r="BB689" s="31" t="n">
        <f aca="false">SUM(Q689,S689,U689,W689,Y689,AA689,AC689,AE689,AG689,AI689,AK689,AM689,AO689,AQ689,AS689,AU689,AW689,AY689)</f>
        <v>0</v>
      </c>
      <c r="BC689" s="28" t="n">
        <f aca="false">BA689-BB689</f>
        <v>0</v>
      </c>
      <c r="BD689" s="32" t="n">
        <f aca="false">SUM(P689,R689,T689,V689,X689,Z689,AB689,AD689,AF689,AH689,AJ689,AL689,AN689,AP689,AR689,AT689,AV689,AX689)</f>
        <v>0</v>
      </c>
      <c r="BE689" s="33" t="n">
        <f aca="false">AZ689-BD689</f>
        <v>0</v>
      </c>
      <c r="BF689" s="34" t="n">
        <f aca="false">BD689*M689</f>
        <v>0</v>
      </c>
      <c r="BG689" s="35" t="n">
        <f aca="false">BA689-BF689</f>
        <v>0</v>
      </c>
      <c r="BH689" s="19" t="str">
        <f aca="false">IF(BG689=0,"",IF(BG689&lt;&gt;BA689,"erreur de calcul",IF(BD689&lt;&gt;0,"pas de prix",IF(M689&lt;&gt; 0,"pas de quantité","pas de prix, ni de quantité"))))</f>
        <v/>
      </c>
      <c r="BI689" s="19"/>
    </row>
    <row r="690" customFormat="false" ht="16" hidden="false" customHeight="false" outlineLevel="0" collapsed="false">
      <c r="A690" s="0" t="n">
        <v>9</v>
      </c>
      <c r="B690" s="8" t="s">
        <v>24</v>
      </c>
      <c r="C690" s="9" t="s">
        <v>25</v>
      </c>
      <c r="D690" s="9" t="s">
        <v>26</v>
      </c>
      <c r="E690" s="10" t="n">
        <v>1789</v>
      </c>
      <c r="F690" s="9" t="s">
        <v>27</v>
      </c>
      <c r="G690" s="9" t="s">
        <v>27</v>
      </c>
      <c r="H690" s="11" t="n">
        <v>27</v>
      </c>
      <c r="I690" s="11" t="s">
        <v>420</v>
      </c>
      <c r="J690" s="14" t="n">
        <v>9</v>
      </c>
      <c r="K690" s="14"/>
      <c r="L690" s="16"/>
      <c r="M690" s="27" t="n">
        <f aca="false">J690+(K690/20)+(L690/240)</f>
        <v>9</v>
      </c>
      <c r="N690" s="17" t="s">
        <v>81</v>
      </c>
      <c r="O690" s="11" t="s">
        <v>98</v>
      </c>
      <c r="P690" s="28"/>
      <c r="Q690" s="28" t="n">
        <f aca="false">P690*$M690</f>
        <v>0</v>
      </c>
      <c r="R690" s="28"/>
      <c r="S690" s="28" t="n">
        <f aca="false">R690*$M690</f>
        <v>0</v>
      </c>
      <c r="T690" s="28"/>
      <c r="U690" s="28" t="n">
        <f aca="false">T690*$M690</f>
        <v>0</v>
      </c>
      <c r="V690" s="28"/>
      <c r="W690" s="28" t="n">
        <f aca="false">V690*$M690</f>
        <v>0</v>
      </c>
      <c r="X690" s="28"/>
      <c r="Y690" s="28" t="n">
        <f aca="false">X690*$M690</f>
        <v>0</v>
      </c>
      <c r="Z690" s="28"/>
      <c r="AA690" s="28" t="n">
        <f aca="false">Z690*$M690</f>
        <v>0</v>
      </c>
      <c r="AB690" s="28"/>
      <c r="AC690" s="28" t="n">
        <f aca="false">AB690*$M690</f>
        <v>0</v>
      </c>
      <c r="AD690" s="28"/>
      <c r="AE690" s="28" t="n">
        <f aca="false">AD690*$M690</f>
        <v>0</v>
      </c>
      <c r="AF690" s="28"/>
      <c r="AG690" s="28" t="n">
        <f aca="false">AF690*$M690</f>
        <v>0</v>
      </c>
      <c r="AH690" s="28"/>
      <c r="AI690" s="28" t="n">
        <f aca="false">AH690*$M690</f>
        <v>0</v>
      </c>
      <c r="AJ690" s="28"/>
      <c r="AK690" s="28" t="n">
        <f aca="false">AJ690*$M690</f>
        <v>0</v>
      </c>
      <c r="AL690" s="28"/>
      <c r="AM690" s="28" t="n">
        <f aca="false">AL690*$M690</f>
        <v>0</v>
      </c>
      <c r="AN690" s="28"/>
      <c r="AO690" s="28" t="n">
        <f aca="false">AN690*$M690</f>
        <v>0</v>
      </c>
      <c r="AP690" s="28"/>
      <c r="AQ690" s="28" t="n">
        <f aca="false">AP690*$M690</f>
        <v>0</v>
      </c>
      <c r="AR690" s="28"/>
      <c r="AS690" s="28" t="n">
        <f aca="false">AR690*$M690</f>
        <v>0</v>
      </c>
      <c r="AT690" s="28"/>
      <c r="AU690" s="28" t="n">
        <f aca="false">AT690*$M690</f>
        <v>0</v>
      </c>
      <c r="AV690" s="28"/>
      <c r="AW690" s="28" t="n">
        <f aca="false">AV690*$M690</f>
        <v>0</v>
      </c>
      <c r="AX690" s="28"/>
      <c r="AY690" s="28" t="n">
        <f aca="false">AX690*$M690</f>
        <v>0</v>
      </c>
      <c r="AZ690" s="30"/>
      <c r="BA690" s="11"/>
      <c r="BB690" s="31" t="n">
        <f aca="false">SUM(Q690,S690,U690,W690,Y690,AA690,AC690,AE690,AG690,AI690,AK690,AM690,AO690,AQ690,AS690,AU690,AW690,AY690)</f>
        <v>0</v>
      </c>
      <c r="BC690" s="28" t="n">
        <f aca="false">BA690-BB690</f>
        <v>0</v>
      </c>
      <c r="BD690" s="32" t="n">
        <f aca="false">SUM(P690,R690,T690,V690,X690,Z690,AB690,AD690,AF690,AH690,AJ690,AL690,AN690,AP690,AR690,AT690,AV690,AX690)</f>
        <v>0</v>
      </c>
      <c r="BE690" s="33" t="n">
        <f aca="false">AZ690-BD690</f>
        <v>0</v>
      </c>
      <c r="BF690" s="34" t="n">
        <f aca="false">BD690*M690</f>
        <v>0</v>
      </c>
      <c r="BG690" s="35" t="n">
        <f aca="false">BA690-BF690</f>
        <v>0</v>
      </c>
      <c r="BH690" s="19" t="str">
        <f aca="false">IF(BG690=0,"",IF(BG690&lt;&gt;BA690,"erreur de calcul",IF(BD690&lt;&gt;0,"pas de prix",IF(M690&lt;&gt; 0,"pas de quantité","pas de prix, ni de quantité"))))</f>
        <v/>
      </c>
      <c r="BI690" s="19"/>
    </row>
    <row r="691" customFormat="false" ht="16" hidden="false" customHeight="false" outlineLevel="0" collapsed="false">
      <c r="A691" s="0" t="n">
        <v>10</v>
      </c>
      <c r="B691" s="8" t="s">
        <v>24</v>
      </c>
      <c r="C691" s="9" t="s">
        <v>25</v>
      </c>
      <c r="D691" s="9" t="s">
        <v>26</v>
      </c>
      <c r="E691" s="10" t="n">
        <v>1789</v>
      </c>
      <c r="F691" s="9" t="s">
        <v>27</v>
      </c>
      <c r="G691" s="9" t="s">
        <v>27</v>
      </c>
      <c r="H691" s="11" t="n">
        <v>27</v>
      </c>
      <c r="I691" s="11" t="s">
        <v>421</v>
      </c>
      <c r="J691" s="14" t="n">
        <v>220</v>
      </c>
      <c r="K691" s="14"/>
      <c r="L691" s="16"/>
      <c r="M691" s="27" t="n">
        <f aca="false">J691+(K691/20)+(L691/240)</f>
        <v>220</v>
      </c>
      <c r="N691" s="17" t="s">
        <v>64</v>
      </c>
      <c r="O691" s="11" t="s">
        <v>277</v>
      </c>
      <c r="P691" s="28" t="n">
        <f aca="false">245/100</f>
        <v>2.45</v>
      </c>
      <c r="Q691" s="28" t="n">
        <v>539</v>
      </c>
      <c r="R691" s="28"/>
      <c r="S691" s="28" t="n">
        <f aca="false">R691*$M691</f>
        <v>0</v>
      </c>
      <c r="T691" s="28" t="n">
        <f aca="false">40119/100</f>
        <v>401.19</v>
      </c>
      <c r="U691" s="28" t="n">
        <v>88262</v>
      </c>
      <c r="V691" s="28" t="n">
        <f aca="false">14285/100</f>
        <v>142.85</v>
      </c>
      <c r="W691" s="28" t="n">
        <v>31427</v>
      </c>
      <c r="X691" s="28" t="n">
        <f aca="false">62608/100</f>
        <v>626.08</v>
      </c>
      <c r="Y691" s="28" t="n">
        <v>137738</v>
      </c>
      <c r="Z691" s="28" t="n">
        <f aca="false">523/100</f>
        <v>5.23</v>
      </c>
      <c r="AA691" s="28" t="n">
        <v>1151</v>
      </c>
      <c r="AB691" s="28" t="n">
        <f aca="false">56/100</f>
        <v>0.56</v>
      </c>
      <c r="AC691" s="28" t="n">
        <v>123</v>
      </c>
      <c r="AD691" s="28"/>
      <c r="AE691" s="28" t="n">
        <f aca="false">AD691*$M691</f>
        <v>0</v>
      </c>
      <c r="AF691" s="28"/>
      <c r="AG691" s="28" t="n">
        <f aca="false">AF691*$M691</f>
        <v>0</v>
      </c>
      <c r="AH691" s="28"/>
      <c r="AI691" s="28" t="n">
        <f aca="false">AH691*$M691</f>
        <v>0</v>
      </c>
      <c r="AJ691" s="28" t="n">
        <f aca="false">3845/100</f>
        <v>38.45</v>
      </c>
      <c r="AK691" s="28" t="n">
        <v>8459</v>
      </c>
      <c r="AL691" s="28" t="n">
        <f aca="false">26510/100</f>
        <v>265.1</v>
      </c>
      <c r="AM691" s="28" t="n">
        <v>58322</v>
      </c>
      <c r="AN691" s="28" t="n">
        <f aca="false">330/100</f>
        <v>3.3</v>
      </c>
      <c r="AO691" s="28" t="n">
        <v>726</v>
      </c>
      <c r="AP691" s="28"/>
      <c r="AQ691" s="28" t="n">
        <f aca="false">AP691*$M691</f>
        <v>0</v>
      </c>
      <c r="AR691" s="28"/>
      <c r="AS691" s="28" t="n">
        <f aca="false">AR691*$M691</f>
        <v>0</v>
      </c>
      <c r="AT691" s="28"/>
      <c r="AU691" s="28" t="n">
        <f aca="false">AT691*$M691</f>
        <v>0</v>
      </c>
      <c r="AV691" s="28" t="n">
        <f aca="false">1487/100</f>
        <v>14.87</v>
      </c>
      <c r="AW691" s="28" t="n">
        <v>3271</v>
      </c>
      <c r="AX691" s="28"/>
      <c r="AY691" s="28" t="n">
        <f aca="false">AX691*$M691</f>
        <v>0</v>
      </c>
      <c r="AZ691" s="30" t="n">
        <f aca="false">150008/100</f>
        <v>1500.08</v>
      </c>
      <c r="BA691" s="11" t="n">
        <v>330018</v>
      </c>
      <c r="BB691" s="31" t="n">
        <f aca="false">SUM(Q691,S691,U691,W691,Y691,AA691,AC691,AE691,AG691,AI691,AK691,AM691,AO691,AQ691,AS691,AU691,AW691,AY691)</f>
        <v>330018</v>
      </c>
      <c r="BC691" s="28" t="n">
        <f aca="false">BA691-BB691</f>
        <v>0</v>
      </c>
      <c r="BD691" s="32" t="n">
        <f aca="false">SUM(P691,R691,T691,V691,X691,Z691,AB691,AD691,AF691,AH691,AJ691,AL691,AN691,AP691,AR691,AT691,AV691,AX691)</f>
        <v>1500.08</v>
      </c>
      <c r="BE691" s="33" t="n">
        <f aca="false">AZ691-BD691</f>
        <v>0</v>
      </c>
      <c r="BF691" s="34" t="n">
        <f aca="false">BD691*M691</f>
        <v>330017.6</v>
      </c>
      <c r="BG691" s="35" t="n">
        <f aca="false">BA691-BF691</f>
        <v>0.399999999965075</v>
      </c>
      <c r="BH691" s="19" t="str">
        <f aca="false">IF(BG691=0,"",IF(BG691&lt;&gt;BA691,"erreur de calcul",IF(BD691&lt;&gt;0,"pas de prix",IF(M691&lt;&gt; 0,"pas de quantité","pas de prix, ni de quantité"))))</f>
        <v>erreur de calcul</v>
      </c>
      <c r="BI691" s="19"/>
    </row>
    <row r="692" customFormat="false" ht="16" hidden="false" customHeight="false" outlineLevel="0" collapsed="false">
      <c r="A692" s="0" t="n">
        <v>11</v>
      </c>
      <c r="B692" s="8" t="s">
        <v>24</v>
      </c>
      <c r="C692" s="9" t="s">
        <v>25</v>
      </c>
      <c r="D692" s="9" t="s">
        <v>26</v>
      </c>
      <c r="E692" s="10" t="n">
        <v>1789</v>
      </c>
      <c r="F692" s="9" t="s">
        <v>27</v>
      </c>
      <c r="G692" s="9" t="s">
        <v>27</v>
      </c>
      <c r="H692" s="11" t="n">
        <v>27</v>
      </c>
      <c r="I692" s="11" t="s">
        <v>422</v>
      </c>
      <c r="J692" s="14" t="n">
        <v>35</v>
      </c>
      <c r="K692" s="14"/>
      <c r="L692" s="16"/>
      <c r="M692" s="27" t="n">
        <f aca="false">J692+(K692/20)+(L692/240)</f>
        <v>35</v>
      </c>
      <c r="N692" s="17" t="s">
        <v>64</v>
      </c>
      <c r="O692" s="11"/>
      <c r="P692" s="28"/>
      <c r="Q692" s="28" t="n">
        <f aca="false">P692*$M692</f>
        <v>0</v>
      </c>
      <c r="R692" s="28"/>
      <c r="S692" s="28" t="n">
        <f aca="false">R692*$M692</f>
        <v>0</v>
      </c>
      <c r="T692" s="28"/>
      <c r="U692" s="28" t="n">
        <f aca="false">T692*$M692</f>
        <v>0</v>
      </c>
      <c r="V692" s="28"/>
      <c r="W692" s="28" t="n">
        <f aca="false">V692*$M692</f>
        <v>0</v>
      </c>
      <c r="X692" s="28" t="n">
        <f aca="false">9982/100</f>
        <v>99.82</v>
      </c>
      <c r="Y692" s="28" t="n">
        <v>3494</v>
      </c>
      <c r="Z692" s="28"/>
      <c r="AA692" s="28" t="n">
        <f aca="false">Z692*$M692</f>
        <v>0</v>
      </c>
      <c r="AB692" s="28"/>
      <c r="AC692" s="28" t="n">
        <f aca="false">AB692*$M692</f>
        <v>0</v>
      </c>
      <c r="AD692" s="28"/>
      <c r="AE692" s="28" t="n">
        <f aca="false">AD692*$M692</f>
        <v>0</v>
      </c>
      <c r="AF692" s="28"/>
      <c r="AG692" s="28" t="n">
        <f aca="false">AF692*$M692</f>
        <v>0</v>
      </c>
      <c r="AH692" s="28"/>
      <c r="AI692" s="28" t="n">
        <f aca="false">AH692*$M692</f>
        <v>0</v>
      </c>
      <c r="AJ692" s="28" t="n">
        <f aca="false">28200/100</f>
        <v>282</v>
      </c>
      <c r="AK692" s="28" t="n">
        <v>9870</v>
      </c>
      <c r="AL692" s="28" t="n">
        <f aca="false">163472/100</f>
        <v>1634.72</v>
      </c>
      <c r="AM692" s="28" t="n">
        <v>57215</v>
      </c>
      <c r="AN692" s="28"/>
      <c r="AO692" s="28" t="n">
        <f aca="false">AN692*$M692</f>
        <v>0</v>
      </c>
      <c r="AP692" s="28"/>
      <c r="AQ692" s="28" t="n">
        <f aca="false">AP692*$M692</f>
        <v>0</v>
      </c>
      <c r="AR692" s="28"/>
      <c r="AS692" s="28" t="n">
        <f aca="false">AR692*$M692</f>
        <v>0</v>
      </c>
      <c r="AT692" s="28"/>
      <c r="AU692" s="28" t="n">
        <f aca="false">AT692*$M692</f>
        <v>0</v>
      </c>
      <c r="AV692" s="28" t="n">
        <f aca="false">49250/100</f>
        <v>492.5</v>
      </c>
      <c r="AW692" s="28" t="n">
        <v>17237</v>
      </c>
      <c r="AX692" s="28"/>
      <c r="AY692" s="28" t="n">
        <f aca="false">AX692*$M692</f>
        <v>0</v>
      </c>
      <c r="AZ692" s="30" t="n">
        <f aca="false">250904/100</f>
        <v>2509.04</v>
      </c>
      <c r="BA692" s="11" t="n">
        <v>87816</v>
      </c>
      <c r="BB692" s="31" t="n">
        <f aca="false">SUM(Q692,S692,U692,W692,Y692,AA692,AC692,AE692,AG692,AI692,AK692,AM692,AO692,AQ692,AS692,AU692,AW692,AY692)</f>
        <v>87816</v>
      </c>
      <c r="BC692" s="28" t="n">
        <f aca="false">BA692-BB692</f>
        <v>0</v>
      </c>
      <c r="BD692" s="32" t="n">
        <f aca="false">SUM(P692,R692,T692,V692,X692,Z692,AB692,AD692,AF692,AH692,AJ692,AL692,AN692,AP692,AR692,AT692,AV692,AX692)</f>
        <v>2509.04</v>
      </c>
      <c r="BE692" s="33" t="n">
        <f aca="false">AZ692-BD692</f>
        <v>0</v>
      </c>
      <c r="BF692" s="34" t="n">
        <f aca="false">BD692*M692</f>
        <v>87816.4</v>
      </c>
      <c r="BG692" s="35" t="n">
        <f aca="false">BA692-BF692</f>
        <v>-0.399999999994179</v>
      </c>
      <c r="BH692" s="19" t="str">
        <f aca="false">IF(BG692=0,"",IF(BG692&lt;&gt;BA692,"erreur de calcul",IF(BD692&lt;&gt;0,"pas de prix",IF(M692&lt;&gt; 0,"pas de quantité","pas de prix, ni de quantité"))))</f>
        <v>erreur de calcul</v>
      </c>
      <c r="BI692" s="19"/>
    </row>
    <row r="693" customFormat="false" ht="16" hidden="false" customHeight="false" outlineLevel="0" collapsed="false">
      <c r="A693" s="0" t="n">
        <v>12</v>
      </c>
      <c r="B693" s="8" t="s">
        <v>24</v>
      </c>
      <c r="C693" s="9" t="s">
        <v>25</v>
      </c>
      <c r="D693" s="9" t="s">
        <v>26</v>
      </c>
      <c r="E693" s="10" t="n">
        <v>1789</v>
      </c>
      <c r="F693" s="9" t="s">
        <v>27</v>
      </c>
      <c r="G693" s="9" t="s">
        <v>27</v>
      </c>
      <c r="H693" s="11" t="n">
        <v>27</v>
      </c>
      <c r="I693" s="11" t="s">
        <v>423</v>
      </c>
      <c r="J693" s="14" t="n">
        <v>75</v>
      </c>
      <c r="K693" s="14"/>
      <c r="L693" s="16"/>
      <c r="M693" s="27" t="n">
        <f aca="false">J693+(K693/20)+(L693/240)</f>
        <v>75</v>
      </c>
      <c r="N693" s="17" t="s">
        <v>64</v>
      </c>
      <c r="O693" s="11"/>
      <c r="P693" s="28"/>
      <c r="Q693" s="28" t="n">
        <f aca="false">P693*$M693</f>
        <v>0</v>
      </c>
      <c r="R693" s="28"/>
      <c r="S693" s="28" t="n">
        <f aca="false">R693*$M693</f>
        <v>0</v>
      </c>
      <c r="T693" s="28"/>
      <c r="U693" s="28" t="n">
        <f aca="false">T693*$M693</f>
        <v>0</v>
      </c>
      <c r="V693" s="28" t="n">
        <f aca="false">1030/100</f>
        <v>10.3</v>
      </c>
      <c r="W693" s="28" t="n">
        <v>772</v>
      </c>
      <c r="X693" s="28"/>
      <c r="Y693" s="28" t="n">
        <f aca="false">X693*$M693</f>
        <v>0</v>
      </c>
      <c r="Z693" s="28"/>
      <c r="AA693" s="28" t="n">
        <f aca="false">Z693*$M693</f>
        <v>0</v>
      </c>
      <c r="AB693" s="28"/>
      <c r="AC693" s="28" t="n">
        <f aca="false">AB693*$M693</f>
        <v>0</v>
      </c>
      <c r="AD693" s="28"/>
      <c r="AE693" s="28" t="n">
        <f aca="false">AD693*$M693</f>
        <v>0</v>
      </c>
      <c r="AF693" s="28"/>
      <c r="AG693" s="28" t="n">
        <f aca="false">AF693*$M693</f>
        <v>0</v>
      </c>
      <c r="AH693" s="28"/>
      <c r="AI693" s="28" t="n">
        <f aca="false">AH693*$M693</f>
        <v>0</v>
      </c>
      <c r="AJ693" s="28"/>
      <c r="AK693" s="28" t="n">
        <f aca="false">AJ693*$M693</f>
        <v>0</v>
      </c>
      <c r="AL693" s="28"/>
      <c r="AM693" s="28" t="n">
        <f aca="false">AL693*$M693</f>
        <v>0</v>
      </c>
      <c r="AN693" s="28"/>
      <c r="AO693" s="28" t="n">
        <f aca="false">AN693*$M693</f>
        <v>0</v>
      </c>
      <c r="AP693" s="28"/>
      <c r="AQ693" s="28" t="n">
        <f aca="false">AP693*$M693</f>
        <v>0</v>
      </c>
      <c r="AR693" s="28"/>
      <c r="AS693" s="28" t="n">
        <f aca="false">AR693*$M693</f>
        <v>0</v>
      </c>
      <c r="AT693" s="28"/>
      <c r="AU693" s="28" t="n">
        <f aca="false">AT693*$M693</f>
        <v>0</v>
      </c>
      <c r="AV693" s="28"/>
      <c r="AW693" s="28" t="n">
        <f aca="false">AV693*$M693</f>
        <v>0</v>
      </c>
      <c r="AX693" s="28"/>
      <c r="AY693" s="28" t="n">
        <f aca="false">AX693*$M693</f>
        <v>0</v>
      </c>
      <c r="AZ693" s="30" t="n">
        <f aca="false">1030/100</f>
        <v>10.3</v>
      </c>
      <c r="BA693" s="11" t="n">
        <v>772</v>
      </c>
      <c r="BB693" s="31" t="n">
        <f aca="false">SUM(Q693,S693,U693,W693,Y693,AA693,AC693,AE693,AG693,AI693,AK693,AM693,AO693,AQ693,AS693,AU693,AW693,AY693)</f>
        <v>772</v>
      </c>
      <c r="BC693" s="28" t="n">
        <f aca="false">BA693-BB693</f>
        <v>0</v>
      </c>
      <c r="BD693" s="32" t="n">
        <f aca="false">SUM(P693,R693,T693,V693,X693,Z693,AB693,AD693,AF693,AH693,AJ693,AL693,AN693,AP693,AR693,AT693,AV693,AX693)</f>
        <v>10.3</v>
      </c>
      <c r="BE693" s="33" t="n">
        <f aca="false">AZ693-BD693</f>
        <v>0</v>
      </c>
      <c r="BF693" s="34" t="n">
        <f aca="false">BD693*M693</f>
        <v>772.5</v>
      </c>
      <c r="BG693" s="35" t="n">
        <f aca="false">BA693-BF693</f>
        <v>-0.5</v>
      </c>
      <c r="BH693" s="19" t="str">
        <f aca="false">IF(BG693=0,"",IF(BG693&lt;&gt;BA693,"erreur de calcul",IF(BD693&lt;&gt;0,"pas de prix",IF(M693&lt;&gt; 0,"pas de quantité","pas de prix, ni de quantité"))))</f>
        <v>erreur de calcul</v>
      </c>
      <c r="BI693" s="19"/>
    </row>
    <row r="694" customFormat="false" ht="16" hidden="false" customHeight="false" outlineLevel="0" collapsed="false">
      <c r="A694" s="0" t="n">
        <v>13</v>
      </c>
      <c r="B694" s="8" t="s">
        <v>24</v>
      </c>
      <c r="C694" s="9" t="s">
        <v>25</v>
      </c>
      <c r="D694" s="9" t="s">
        <v>26</v>
      </c>
      <c r="E694" s="10" t="n">
        <v>1789</v>
      </c>
      <c r="F694" s="9" t="s">
        <v>27</v>
      </c>
      <c r="G694" s="9" t="s">
        <v>27</v>
      </c>
      <c r="H694" s="11" t="n">
        <v>27</v>
      </c>
      <c r="I694" s="11" t="s">
        <v>424</v>
      </c>
      <c r="J694" s="14" t="n">
        <v>6</v>
      </c>
      <c r="K694" s="14"/>
      <c r="L694" s="16"/>
      <c r="M694" s="27" t="n">
        <f aca="false">J694+(K694/20)+(L694/240)</f>
        <v>6</v>
      </c>
      <c r="N694" s="17" t="s">
        <v>64</v>
      </c>
      <c r="O694" s="11" t="s">
        <v>277</v>
      </c>
      <c r="P694" s="28"/>
      <c r="Q694" s="28" t="n">
        <f aca="false">P694*$M694</f>
        <v>0</v>
      </c>
      <c r="R694" s="28"/>
      <c r="S694" s="28" t="n">
        <f aca="false">R694*$M694</f>
        <v>0</v>
      </c>
      <c r="T694" s="28"/>
      <c r="U694" s="28" t="n">
        <f aca="false">T694*$M694</f>
        <v>0</v>
      </c>
      <c r="V694" s="28"/>
      <c r="W694" s="28" t="n">
        <f aca="false">V694*$M694</f>
        <v>0</v>
      </c>
      <c r="X694" s="28"/>
      <c r="Y694" s="28" t="n">
        <f aca="false">X694*$M694</f>
        <v>0</v>
      </c>
      <c r="Z694" s="28"/>
      <c r="AA694" s="28" t="n">
        <f aca="false">Z694*$M694</f>
        <v>0</v>
      </c>
      <c r="AB694" s="28"/>
      <c r="AC694" s="28" t="n">
        <f aca="false">AB694*$M694</f>
        <v>0</v>
      </c>
      <c r="AD694" s="28"/>
      <c r="AE694" s="28" t="n">
        <f aca="false">AD694*$M694</f>
        <v>0</v>
      </c>
      <c r="AF694" s="28"/>
      <c r="AG694" s="28" t="n">
        <f aca="false">AF694*$M694</f>
        <v>0</v>
      </c>
      <c r="AH694" s="28" t="n">
        <f aca="false">9050/100</f>
        <v>90.5</v>
      </c>
      <c r="AI694" s="28" t="n">
        <v>543</v>
      </c>
      <c r="AJ694" s="28"/>
      <c r="AK694" s="28" t="n">
        <f aca="false">AJ694*$M694</f>
        <v>0</v>
      </c>
      <c r="AL694" s="28" t="n">
        <f aca="false">48717/100</f>
        <v>487.17</v>
      </c>
      <c r="AM694" s="28" t="n">
        <v>2923</v>
      </c>
      <c r="AN694" s="28"/>
      <c r="AO694" s="28" t="n">
        <f aca="false">AN694*$M694</f>
        <v>0</v>
      </c>
      <c r="AP694" s="28"/>
      <c r="AQ694" s="28" t="n">
        <f aca="false">AP694*$M694</f>
        <v>0</v>
      </c>
      <c r="AR694" s="28"/>
      <c r="AS694" s="28" t="n">
        <f aca="false">AR694*$M694</f>
        <v>0</v>
      </c>
      <c r="AT694" s="28"/>
      <c r="AU694" s="28" t="n">
        <f aca="false">AT694*$M694</f>
        <v>0</v>
      </c>
      <c r="AV694" s="28"/>
      <c r="AW694" s="28" t="n">
        <f aca="false">AV694*$M694</f>
        <v>0</v>
      </c>
      <c r="AX694" s="28"/>
      <c r="AY694" s="28" t="n">
        <f aca="false">AX694*$M694</f>
        <v>0</v>
      </c>
      <c r="AZ694" s="30" t="n">
        <f aca="false">57767/100</f>
        <v>577.67</v>
      </c>
      <c r="BA694" s="11" t="n">
        <v>3466</v>
      </c>
      <c r="BB694" s="31" t="n">
        <f aca="false">SUM(Q694,S694,U694,W694,Y694,AA694,AC694,AE694,AG694,AI694,AK694,AM694,AO694,AQ694,AS694,AU694,AW694,AY694)</f>
        <v>3466</v>
      </c>
      <c r="BC694" s="28" t="n">
        <f aca="false">BA694-BB694</f>
        <v>0</v>
      </c>
      <c r="BD694" s="32" t="n">
        <f aca="false">SUM(P694,R694,T694,V694,X694,Z694,AB694,AD694,AF694,AH694,AJ694,AL694,AN694,AP694,AR694,AT694,AV694,AX694)</f>
        <v>577.67</v>
      </c>
      <c r="BE694" s="33" t="n">
        <f aca="false">AZ694-BD694</f>
        <v>0</v>
      </c>
      <c r="BF694" s="34" t="n">
        <f aca="false">BD694*M694</f>
        <v>3466.02</v>
      </c>
      <c r="BG694" s="35" t="n">
        <f aca="false">BA694-BF694</f>
        <v>-0.0200000000004366</v>
      </c>
      <c r="BH694" s="19" t="str">
        <f aca="false">IF(BG694=0,"",IF(BG694&lt;&gt;BA694,"erreur de calcul",IF(BD694&lt;&gt;0,"pas de prix",IF(M694&lt;&gt; 0,"pas de quantité","pas de prix, ni de quantité"))))</f>
        <v>erreur de calcul</v>
      </c>
      <c r="BI694" s="19"/>
    </row>
    <row r="695" customFormat="false" ht="16" hidden="false" customHeight="false" outlineLevel="0" collapsed="false">
      <c r="A695" s="0" t="n">
        <v>14</v>
      </c>
      <c r="B695" s="8" t="s">
        <v>24</v>
      </c>
      <c r="C695" s="9" t="s">
        <v>25</v>
      </c>
      <c r="D695" s="9" t="s">
        <v>26</v>
      </c>
      <c r="E695" s="10" t="n">
        <v>1789</v>
      </c>
      <c r="F695" s="9" t="s">
        <v>27</v>
      </c>
      <c r="G695" s="9" t="s">
        <v>27</v>
      </c>
      <c r="H695" s="11" t="n">
        <v>27</v>
      </c>
      <c r="I695" s="11" t="s">
        <v>425</v>
      </c>
      <c r="J695" s="14" t="n">
        <v>25</v>
      </c>
      <c r="K695" s="14"/>
      <c r="L695" s="16"/>
      <c r="M695" s="27" t="n">
        <f aca="false">J695+(K695/20)+(L695/240)</f>
        <v>25</v>
      </c>
      <c r="N695" s="17" t="s">
        <v>64</v>
      </c>
      <c r="O695" s="11"/>
      <c r="P695" s="28"/>
      <c r="Q695" s="28" t="n">
        <f aca="false">P695*$M695</f>
        <v>0</v>
      </c>
      <c r="R695" s="28"/>
      <c r="S695" s="28" t="n">
        <f aca="false">R695*$M695</f>
        <v>0</v>
      </c>
      <c r="T695" s="28" t="n">
        <f aca="false">10*288*0.02+114*0.02</f>
        <v>59.88</v>
      </c>
      <c r="U695" s="28" t="n">
        <v>1497</v>
      </c>
      <c r="V695" s="28"/>
      <c r="W695" s="28" t="n">
        <f aca="false">V695*$M695</f>
        <v>0</v>
      </c>
      <c r="X695" s="28"/>
      <c r="Y695" s="28" t="n">
        <f aca="false">X695*$M695</f>
        <v>0</v>
      </c>
      <c r="Z695" s="28"/>
      <c r="AA695" s="28" t="n">
        <f aca="false">Z695*$M695</f>
        <v>0</v>
      </c>
      <c r="AB695" s="28"/>
      <c r="AC695" s="28" t="n">
        <f aca="false">AB695*$M695</f>
        <v>0</v>
      </c>
      <c r="AD695" s="28"/>
      <c r="AE695" s="28" t="n">
        <f aca="false">AD695*$M695</f>
        <v>0</v>
      </c>
      <c r="AF695" s="28"/>
      <c r="AG695" s="28" t="n">
        <f aca="false">AF695*$M695</f>
        <v>0</v>
      </c>
      <c r="AH695" s="28"/>
      <c r="AI695" s="28" t="n">
        <f aca="false">AH695*$M695</f>
        <v>0</v>
      </c>
      <c r="AJ695" s="28"/>
      <c r="AK695" s="28" t="n">
        <f aca="false">AJ695*$M695</f>
        <v>0</v>
      </c>
      <c r="AL695" s="28"/>
      <c r="AM695" s="28" t="n">
        <f aca="false">AL695*$M695</f>
        <v>0</v>
      </c>
      <c r="AN695" s="28"/>
      <c r="AO695" s="28" t="n">
        <f aca="false">AN695*$M695</f>
        <v>0</v>
      </c>
      <c r="AP695" s="28"/>
      <c r="AQ695" s="28" t="n">
        <f aca="false">AP695*$M695</f>
        <v>0</v>
      </c>
      <c r="AR695" s="28"/>
      <c r="AS695" s="28" t="n">
        <f aca="false">AR695*$M695</f>
        <v>0</v>
      </c>
      <c r="AT695" s="28"/>
      <c r="AU695" s="28" t="n">
        <f aca="false">AT695*$M695</f>
        <v>0</v>
      </c>
      <c r="AV695" s="28"/>
      <c r="AW695" s="28" t="n">
        <f aca="false">AV695*$M695</f>
        <v>0</v>
      </c>
      <c r="AX695" s="28"/>
      <c r="AY695" s="28" t="n">
        <f aca="false">AX695*$M695</f>
        <v>0</v>
      </c>
      <c r="AZ695" s="30" t="n">
        <f aca="false">10*288*0.02+114*0.02</f>
        <v>59.88</v>
      </c>
      <c r="BA695" s="11" t="n">
        <v>1497</v>
      </c>
      <c r="BB695" s="31" t="n">
        <f aca="false">SUM(Q695,S695,U695,W695,Y695,AA695,AC695,AE695,AG695,AI695,AK695,AM695,AO695,AQ695,AS695,AU695,AW695,AY695)</f>
        <v>1497</v>
      </c>
      <c r="BC695" s="28" t="n">
        <f aca="false">BA695-BB695</f>
        <v>0</v>
      </c>
      <c r="BD695" s="32" t="n">
        <f aca="false">SUM(P695,R695,T695,V695,X695,Z695,AB695,AD695,AF695,AH695,AJ695,AL695,AN695,AP695,AR695,AT695,AV695,AX695)</f>
        <v>59.88</v>
      </c>
      <c r="BE695" s="33" t="n">
        <f aca="false">AZ695-BD695</f>
        <v>0</v>
      </c>
      <c r="BF695" s="34" t="n">
        <f aca="false">BD695*M695</f>
        <v>1497</v>
      </c>
      <c r="BG695" s="35" t="n">
        <f aca="false">BA695-BF695</f>
        <v>0</v>
      </c>
      <c r="BH695" s="19" t="str">
        <f aca="false">IF(BG695=0,"",IF(BG695&lt;&gt;BA695,"erreur de calcul",IF(BD695&lt;&gt;0,"pas de prix",IF(M695&lt;&gt; 0,"pas de quantité","pas de prix, ni de quantité"))))</f>
        <v/>
      </c>
      <c r="BI695" s="19"/>
    </row>
    <row r="696" customFormat="false" ht="16" hidden="false" customHeight="false" outlineLevel="0" collapsed="false">
      <c r="A696" s="0" t="n">
        <v>15</v>
      </c>
      <c r="B696" s="8" t="s">
        <v>24</v>
      </c>
      <c r="C696" s="9" t="s">
        <v>25</v>
      </c>
      <c r="D696" s="9" t="s">
        <v>26</v>
      </c>
      <c r="E696" s="10" t="n">
        <v>1789</v>
      </c>
      <c r="F696" s="9" t="s">
        <v>27</v>
      </c>
      <c r="G696" s="9" t="s">
        <v>27</v>
      </c>
      <c r="H696" s="11" t="n">
        <v>27</v>
      </c>
      <c r="I696" s="11" t="s">
        <v>426</v>
      </c>
      <c r="J696" s="14" t="n">
        <v>40</v>
      </c>
      <c r="K696" s="14"/>
      <c r="L696" s="16"/>
      <c r="M696" s="27" t="n">
        <f aca="false">J696+(K696/20)+(L696/240)</f>
        <v>40</v>
      </c>
      <c r="N696" s="17" t="s">
        <v>64</v>
      </c>
      <c r="O696" s="11"/>
      <c r="P696" s="28"/>
      <c r="Q696" s="28" t="n">
        <f aca="false">P696*$M696</f>
        <v>0</v>
      </c>
      <c r="R696" s="28"/>
      <c r="S696" s="28" t="n">
        <f aca="false">R696*$M696</f>
        <v>0</v>
      </c>
      <c r="T696" s="28"/>
      <c r="U696" s="28" t="n">
        <f aca="false">T696*$M696</f>
        <v>0</v>
      </c>
      <c r="V696" s="28"/>
      <c r="W696" s="28" t="n">
        <f aca="false">V696*$M696</f>
        <v>0</v>
      </c>
      <c r="X696" s="28"/>
      <c r="Y696" s="28" t="n">
        <f aca="false">X696*$M696</f>
        <v>0</v>
      </c>
      <c r="Z696" s="28"/>
      <c r="AA696" s="28" t="n">
        <f aca="false">Z696*$M696</f>
        <v>0</v>
      </c>
      <c r="AB696" s="28"/>
      <c r="AC696" s="28" t="n">
        <f aca="false">AB696*$M696</f>
        <v>0</v>
      </c>
      <c r="AD696" s="28"/>
      <c r="AE696" s="28" t="n">
        <f aca="false">AD696*$M696</f>
        <v>0</v>
      </c>
      <c r="AF696" s="28"/>
      <c r="AG696" s="28" t="n">
        <f aca="false">AF696*$M696</f>
        <v>0</v>
      </c>
      <c r="AH696" s="28" t="n">
        <f aca="false">1*288*0.02+59*0.02</f>
        <v>6.94</v>
      </c>
      <c r="AI696" s="28" t="n">
        <v>278</v>
      </c>
      <c r="AJ696" s="28"/>
      <c r="AK696" s="28" t="n">
        <f aca="false">AJ696*$M696</f>
        <v>0</v>
      </c>
      <c r="AL696" s="28"/>
      <c r="AM696" s="28" t="n">
        <f aca="false">AL696*$M696</f>
        <v>0</v>
      </c>
      <c r="AN696" s="28"/>
      <c r="AO696" s="28" t="n">
        <f aca="false">AN696*$M696</f>
        <v>0</v>
      </c>
      <c r="AP696" s="28"/>
      <c r="AQ696" s="28" t="n">
        <f aca="false">AP696*$M696</f>
        <v>0</v>
      </c>
      <c r="AR696" s="28"/>
      <c r="AS696" s="28" t="n">
        <f aca="false">AR696*$M696</f>
        <v>0</v>
      </c>
      <c r="AT696" s="28"/>
      <c r="AU696" s="28" t="n">
        <f aca="false">AT696*$M696</f>
        <v>0</v>
      </c>
      <c r="AV696" s="28"/>
      <c r="AW696" s="28" t="n">
        <f aca="false">AV696*$M696</f>
        <v>0</v>
      </c>
      <c r="AX696" s="28"/>
      <c r="AY696" s="28" t="n">
        <f aca="false">AX696*$M696</f>
        <v>0</v>
      </c>
      <c r="AZ696" s="30" t="n">
        <f aca="false">1*288*0.02+59*0.02</f>
        <v>6.94</v>
      </c>
      <c r="BA696" s="11" t="n">
        <v>278</v>
      </c>
      <c r="BB696" s="31" t="n">
        <f aca="false">SUM(Q696,S696,U696,W696,Y696,AA696,AC696,AE696,AG696,AI696,AK696,AM696,AO696,AQ696,AS696,AU696,AW696,AY696)</f>
        <v>278</v>
      </c>
      <c r="BC696" s="28" t="n">
        <f aca="false">BA696-BB696</f>
        <v>0</v>
      </c>
      <c r="BD696" s="32" t="n">
        <f aca="false">SUM(P696,R696,T696,V696,X696,Z696,AB696,AD696,AF696,AH696,AJ696,AL696,AN696,AP696,AR696,AT696,AV696,AX696)</f>
        <v>6.94</v>
      </c>
      <c r="BE696" s="33" t="n">
        <f aca="false">AZ696-BD696</f>
        <v>0</v>
      </c>
      <c r="BF696" s="34" t="n">
        <f aca="false">BD696*M696</f>
        <v>277.6</v>
      </c>
      <c r="BG696" s="35" t="n">
        <f aca="false">BA696-BF696</f>
        <v>0.400000000000034</v>
      </c>
      <c r="BH696" s="19" t="str">
        <f aca="false">IF(BG696=0,"",IF(BG696&lt;&gt;BA696,"erreur de calcul",IF(BD696&lt;&gt;0,"pas de prix",IF(M696&lt;&gt; 0,"pas de quantité","pas de prix, ni de quantité"))))</f>
        <v>erreur de calcul</v>
      </c>
      <c r="BI696" s="19"/>
    </row>
    <row r="697" customFormat="false" ht="16" hidden="false" customHeight="false" outlineLevel="0" collapsed="false">
      <c r="A697" s="0" t="n">
        <v>16</v>
      </c>
      <c r="B697" s="8" t="s">
        <v>24</v>
      </c>
      <c r="C697" s="9" t="s">
        <v>25</v>
      </c>
      <c r="D697" s="9" t="s">
        <v>26</v>
      </c>
      <c r="E697" s="10" t="n">
        <v>1789</v>
      </c>
      <c r="F697" s="9" t="s">
        <v>27</v>
      </c>
      <c r="G697" s="9" t="s">
        <v>27</v>
      </c>
      <c r="H697" s="11" t="n">
        <v>27</v>
      </c>
      <c r="I697" s="11" t="s">
        <v>427</v>
      </c>
      <c r="J697" s="14" t="n">
        <v>32</v>
      </c>
      <c r="K697" s="14"/>
      <c r="L697" s="16"/>
      <c r="M697" s="27" t="n">
        <f aca="false">J697+(K697/20)+(L697/240)</f>
        <v>32</v>
      </c>
      <c r="N697" s="17" t="s">
        <v>64</v>
      </c>
      <c r="O697" s="11"/>
      <c r="P697" s="28" t="n">
        <f aca="false">33*288*0.02+179*0.02</f>
        <v>193.66</v>
      </c>
      <c r="Q697" s="28" t="n">
        <v>6197</v>
      </c>
      <c r="R697" s="28"/>
      <c r="S697" s="28" t="n">
        <f aca="false">R697*$M697</f>
        <v>0</v>
      </c>
      <c r="T697" s="28"/>
      <c r="U697" s="28" t="n">
        <f aca="false">T697*$M697</f>
        <v>0</v>
      </c>
      <c r="V697" s="28"/>
      <c r="W697" s="28" t="n">
        <f aca="false">V697*$M697</f>
        <v>0</v>
      </c>
      <c r="X697" s="28"/>
      <c r="Y697" s="28" t="n">
        <f aca="false">X697*$M697</f>
        <v>0</v>
      </c>
      <c r="Z697" s="28"/>
      <c r="AA697" s="28" t="n">
        <f aca="false">Z697*$M697</f>
        <v>0</v>
      </c>
      <c r="AB697" s="28"/>
      <c r="AC697" s="28" t="n">
        <f aca="false">AB697*$M697</f>
        <v>0</v>
      </c>
      <c r="AD697" s="28"/>
      <c r="AE697" s="28" t="n">
        <f aca="false">AD697*$M697</f>
        <v>0</v>
      </c>
      <c r="AF697" s="28"/>
      <c r="AG697" s="28" t="n">
        <f aca="false">AF697*$M697</f>
        <v>0</v>
      </c>
      <c r="AH697" s="28"/>
      <c r="AI697" s="28" t="n">
        <f aca="false">AH697*$M697</f>
        <v>0</v>
      </c>
      <c r="AJ697" s="28"/>
      <c r="AK697" s="28" t="n">
        <f aca="false">AJ697*$M697</f>
        <v>0</v>
      </c>
      <c r="AL697" s="28"/>
      <c r="AM697" s="28" t="n">
        <f aca="false">AL697*$M697</f>
        <v>0</v>
      </c>
      <c r="AN697" s="28"/>
      <c r="AO697" s="28" t="n">
        <f aca="false">AN697*$M697</f>
        <v>0</v>
      </c>
      <c r="AP697" s="28"/>
      <c r="AQ697" s="28" t="n">
        <f aca="false">AP697*$M697</f>
        <v>0</v>
      </c>
      <c r="AR697" s="28"/>
      <c r="AS697" s="28" t="n">
        <f aca="false">AR697*$M697</f>
        <v>0</v>
      </c>
      <c r="AT697" s="28"/>
      <c r="AU697" s="28" t="n">
        <f aca="false">AT697*$M697</f>
        <v>0</v>
      </c>
      <c r="AV697" s="28"/>
      <c r="AW697" s="28" t="n">
        <f aca="false">AV697*$M697</f>
        <v>0</v>
      </c>
      <c r="AX697" s="28"/>
      <c r="AY697" s="28" t="n">
        <f aca="false">AX697*$M697</f>
        <v>0</v>
      </c>
      <c r="AZ697" s="30" t="n">
        <f aca="false">33*288*0.02+179*0.02</f>
        <v>193.66</v>
      </c>
      <c r="BA697" s="11" t="n">
        <v>6197</v>
      </c>
      <c r="BB697" s="31" t="n">
        <f aca="false">SUM(Q697,S697,U697,W697,Y697,AA697,AC697,AE697,AG697,AI697,AK697,AM697,AO697,AQ697,AS697,AU697,AW697,AY697)</f>
        <v>6197</v>
      </c>
      <c r="BC697" s="28" t="n">
        <f aca="false">BA697-BB697</f>
        <v>0</v>
      </c>
      <c r="BD697" s="32" t="n">
        <f aca="false">SUM(P697,R697,T697,V697,X697,Z697,AB697,AD697,AF697,AH697,AJ697,AL697,AN697,AP697,AR697,AT697,AV697,AX697)</f>
        <v>193.66</v>
      </c>
      <c r="BE697" s="33" t="n">
        <f aca="false">AZ697-BD697</f>
        <v>0</v>
      </c>
      <c r="BF697" s="34" t="n">
        <f aca="false">BD697*M697</f>
        <v>6197.12</v>
      </c>
      <c r="BG697" s="35" t="n">
        <f aca="false">BA697-BF697</f>
        <v>-0.1200000000008</v>
      </c>
      <c r="BH697" s="19" t="str">
        <f aca="false">IF(BG697=0,"",IF(BG697&lt;&gt;BA697,"erreur de calcul",IF(BD697&lt;&gt;0,"pas de prix",IF(M697&lt;&gt; 0,"pas de quantité","pas de prix, ni de quantité"))))</f>
        <v>erreur de calcul</v>
      </c>
      <c r="BI697" s="19"/>
    </row>
    <row r="698" customFormat="false" ht="16" hidden="false" customHeight="false" outlineLevel="0" collapsed="false">
      <c r="A698" s="0" t="n">
        <v>17</v>
      </c>
      <c r="B698" s="8" t="s">
        <v>24</v>
      </c>
      <c r="C698" s="9" t="s">
        <v>25</v>
      </c>
      <c r="D698" s="9" t="s">
        <v>26</v>
      </c>
      <c r="E698" s="10" t="n">
        <v>1789</v>
      </c>
      <c r="F698" s="9" t="s">
        <v>27</v>
      </c>
      <c r="G698" s="9" t="s">
        <v>27</v>
      </c>
      <c r="H698" s="11" t="n">
        <v>27</v>
      </c>
      <c r="I698" s="11" t="s">
        <v>428</v>
      </c>
      <c r="J698" s="14"/>
      <c r="K698" s="14" t="n">
        <v>12</v>
      </c>
      <c r="L698" s="16"/>
      <c r="M698" s="27" t="n">
        <f aca="false">J698+(K698/20)+(L698/240)</f>
        <v>0.6</v>
      </c>
      <c r="N698" s="17" t="s">
        <v>429</v>
      </c>
      <c r="O698" s="11"/>
      <c r="P698" s="28" t="n">
        <f aca="false">620*288+173</f>
        <v>178733</v>
      </c>
      <c r="Q698" s="28" t="n">
        <v>107240</v>
      </c>
      <c r="R698" s="28"/>
      <c r="S698" s="28" t="n">
        <f aca="false">R698*$M698</f>
        <v>0</v>
      </c>
      <c r="T698" s="28"/>
      <c r="U698" s="28" t="n">
        <f aca="false">T698*$M698</f>
        <v>0</v>
      </c>
      <c r="V698" s="28" t="n">
        <f aca="false">4*288+179</f>
        <v>1331</v>
      </c>
      <c r="W698" s="28" t="n">
        <v>799</v>
      </c>
      <c r="X698" s="28"/>
      <c r="Y698" s="28" t="n">
        <f aca="false">X698*$M698</f>
        <v>0</v>
      </c>
      <c r="Z698" s="28"/>
      <c r="AA698" s="28" t="n">
        <f aca="false">Z698*$M698</f>
        <v>0</v>
      </c>
      <c r="AB698" s="28"/>
      <c r="AC698" s="28" t="n">
        <f aca="false">AB698*$M698</f>
        <v>0</v>
      </c>
      <c r="AD698" s="28"/>
      <c r="AE698" s="28" t="n">
        <f aca="false">AD698*$M698</f>
        <v>0</v>
      </c>
      <c r="AF698" s="28"/>
      <c r="AG698" s="28" t="n">
        <f aca="false">AF698*$M698</f>
        <v>0</v>
      </c>
      <c r="AH698" s="28" t="n">
        <f aca="false">12*288+227</f>
        <v>3683</v>
      </c>
      <c r="AI698" s="28" t="n">
        <v>2210</v>
      </c>
      <c r="AJ698" s="28"/>
      <c r="AK698" s="28" t="n">
        <f aca="false">AJ698*$M698</f>
        <v>0</v>
      </c>
      <c r="AL698" s="28"/>
      <c r="AM698" s="28" t="n">
        <f aca="false">AL698*$M698</f>
        <v>0</v>
      </c>
      <c r="AN698" s="28"/>
      <c r="AO698" s="28" t="n">
        <f aca="false">AN698*$M698</f>
        <v>0</v>
      </c>
      <c r="AP698" s="28"/>
      <c r="AQ698" s="28" t="n">
        <f aca="false">AP698*$M698</f>
        <v>0</v>
      </c>
      <c r="AR698" s="28"/>
      <c r="AS698" s="28" t="n">
        <f aca="false">AR698*$M698</f>
        <v>0</v>
      </c>
      <c r="AT698" s="28"/>
      <c r="AU698" s="28" t="n">
        <f aca="false">AT698*$M698</f>
        <v>0</v>
      </c>
      <c r="AV698" s="28"/>
      <c r="AW698" s="28" t="n">
        <f aca="false">AV698*$M698</f>
        <v>0</v>
      </c>
      <c r="AX698" s="28"/>
      <c r="AY698" s="28" t="n">
        <f aca="false">AX698*$M698</f>
        <v>0</v>
      </c>
      <c r="AZ698" s="30" t="n">
        <f aca="false">638*288+3</f>
        <v>183747</v>
      </c>
      <c r="BA698" s="11" t="n">
        <v>110249</v>
      </c>
      <c r="BB698" s="31" t="n">
        <f aca="false">SUM(Q698,S698,U698,W698,Y698,AA698,AC698,AE698,AG698,AI698,AK698,AM698,AO698,AQ698,AS698,AU698,AW698,AY698)</f>
        <v>110249</v>
      </c>
      <c r="BC698" s="28" t="n">
        <f aca="false">BA698-BB698</f>
        <v>0</v>
      </c>
      <c r="BD698" s="32" t="n">
        <f aca="false">SUM(P698,R698,T698,V698,X698,Z698,AB698,AD698,AF698,AH698,AJ698,AL698,AN698,AP698,AR698,AT698,AV698,AX698)</f>
        <v>183747</v>
      </c>
      <c r="BE698" s="33" t="n">
        <f aca="false">AZ698-BD698</f>
        <v>0</v>
      </c>
      <c r="BF698" s="34" t="n">
        <f aca="false">BD698*M698</f>
        <v>110248.2</v>
      </c>
      <c r="BG698" s="35" t="n">
        <f aca="false">BA698-BF698</f>
        <v>0.80000000000291</v>
      </c>
      <c r="BH698" s="19" t="str">
        <f aca="false">IF(BG698=0,"",IF(BG698&lt;&gt;BA698,"erreur de calcul",IF(BD698&lt;&gt;0,"pas de prix",IF(M698&lt;&gt; 0,"pas de quantité","pas de prix, ni de quantité"))))</f>
        <v>erreur de calcul</v>
      </c>
      <c r="BI698" s="19"/>
    </row>
    <row r="699" customFormat="false" ht="16" hidden="false" customHeight="false" outlineLevel="0" collapsed="false">
      <c r="A699" s="0" t="n">
        <v>18</v>
      </c>
      <c r="B699" s="8" t="s">
        <v>24</v>
      </c>
      <c r="C699" s="9" t="s">
        <v>25</v>
      </c>
      <c r="D699" s="9" t="s">
        <v>26</v>
      </c>
      <c r="E699" s="10" t="n">
        <v>1789</v>
      </c>
      <c r="F699" s="9" t="s">
        <v>27</v>
      </c>
      <c r="G699" s="9" t="s">
        <v>27</v>
      </c>
      <c r="H699" s="11" t="n">
        <v>27</v>
      </c>
      <c r="I699" s="11" t="s">
        <v>430</v>
      </c>
      <c r="J699" s="14" t="n">
        <v>30</v>
      </c>
      <c r="K699" s="14"/>
      <c r="L699" s="16"/>
      <c r="M699" s="27" t="n">
        <f aca="false">J699+(K699/20)+(L699/240)</f>
        <v>30</v>
      </c>
      <c r="N699" s="17" t="s">
        <v>64</v>
      </c>
      <c r="O699" s="11" t="s">
        <v>77</v>
      </c>
      <c r="P699" s="28"/>
      <c r="Q699" s="28" t="n">
        <f aca="false">P699*$M699</f>
        <v>0</v>
      </c>
      <c r="R699" s="28"/>
      <c r="S699" s="28" t="n">
        <f aca="false">R699*$M699</f>
        <v>0</v>
      </c>
      <c r="T699" s="28" t="n">
        <f aca="false">3*288*0.02+162*0.02</f>
        <v>20.52</v>
      </c>
      <c r="U699" s="28" t="n">
        <v>616</v>
      </c>
      <c r="V699" s="28"/>
      <c r="W699" s="28" t="n">
        <f aca="false">V699*$M699</f>
        <v>0</v>
      </c>
      <c r="X699" s="28" t="n">
        <f aca="false">4*288*0.02+17*0.02</f>
        <v>23.38</v>
      </c>
      <c r="Y699" s="28" t="n">
        <v>702</v>
      </c>
      <c r="Z699" s="28" t="n">
        <f aca="false">3*288*0.02+169*0.02</f>
        <v>20.66</v>
      </c>
      <c r="AA699" s="28" t="n">
        <v>620</v>
      </c>
      <c r="AB699" s="28" t="n">
        <f aca="false">10*288*0.02+224*0.02</f>
        <v>62.08</v>
      </c>
      <c r="AC699" s="28" t="n">
        <v>1863</v>
      </c>
      <c r="AD699" s="28"/>
      <c r="AE699" s="28" t="n">
        <f aca="false">AD699*$M699</f>
        <v>0</v>
      </c>
      <c r="AF699" s="28"/>
      <c r="AG699" s="28" t="n">
        <f aca="false">AF699*$M699</f>
        <v>0</v>
      </c>
      <c r="AH699" s="28" t="n">
        <f aca="false">200*0.02</f>
        <v>4</v>
      </c>
      <c r="AI699" s="28" t="n">
        <v>120</v>
      </c>
      <c r="AJ699" s="28"/>
      <c r="AK699" s="28" t="n">
        <f aca="false">AJ699*$M699</f>
        <v>0</v>
      </c>
      <c r="AL699" s="28"/>
      <c r="AM699" s="28" t="n">
        <f aca="false">AL699*$M699</f>
        <v>0</v>
      </c>
      <c r="AN699" s="28"/>
      <c r="AO699" s="28" t="n">
        <f aca="false">AN699*$M699</f>
        <v>0</v>
      </c>
      <c r="AP699" s="28"/>
      <c r="AQ699" s="28" t="n">
        <f aca="false">AP699*$M699</f>
        <v>0</v>
      </c>
      <c r="AR699" s="28"/>
      <c r="AS699" s="28" t="n">
        <f aca="false">AR699*$M699</f>
        <v>0</v>
      </c>
      <c r="AT699" s="28"/>
      <c r="AU699" s="28" t="n">
        <f aca="false">AT699*$M699</f>
        <v>0</v>
      </c>
      <c r="AV699" s="28"/>
      <c r="AW699" s="28" t="n">
        <f aca="false">AV699*$M699</f>
        <v>0</v>
      </c>
      <c r="AX699" s="28"/>
      <c r="AY699" s="28" t="n">
        <f aca="false">AX699*$M699</f>
        <v>0</v>
      </c>
      <c r="AZ699" s="30" t="n">
        <f aca="false">22*288*0.02+196*0.02</f>
        <v>130.64</v>
      </c>
      <c r="BA699" s="11" t="n">
        <v>3921</v>
      </c>
      <c r="BB699" s="31" t="n">
        <f aca="false">SUM(Q699,S699,U699,W699,Y699,AA699,AC699,AE699,AG699,AI699,AK699,AM699,AO699,AQ699,AS699,AU699,AW699,AY699)</f>
        <v>3921</v>
      </c>
      <c r="BC699" s="28" t="n">
        <f aca="false">BA699-BB699</f>
        <v>0</v>
      </c>
      <c r="BD699" s="32" t="n">
        <f aca="false">SUM(P699,R699,T699,V699,X699,Z699,AB699,AD699,AF699,AH699,AJ699,AL699,AN699,AP699,AR699,AT699,AV699,AX699)</f>
        <v>130.64</v>
      </c>
      <c r="BE699" s="33" t="n">
        <f aca="false">AZ699-BD699</f>
        <v>0</v>
      </c>
      <c r="BF699" s="34" t="n">
        <f aca="false">BD699*M699</f>
        <v>3919.2</v>
      </c>
      <c r="BG699" s="35" t="n">
        <f aca="false">BA699-BF699</f>
        <v>1.80000000000018</v>
      </c>
      <c r="BH699" s="19" t="str">
        <f aca="false">IF(BG699=0,"",IF(BG699&lt;&gt;BA699,"erreur de calcul",IF(BD699&lt;&gt;0,"pas de prix",IF(M699&lt;&gt; 0,"pas de quantité","pas de prix, ni de quantité"))))</f>
        <v>erreur de calcul</v>
      </c>
      <c r="BI699" s="19"/>
    </row>
    <row r="700" customFormat="false" ht="16" hidden="false" customHeight="false" outlineLevel="0" collapsed="false">
      <c r="A700" s="0" t="n">
        <v>19</v>
      </c>
      <c r="B700" s="8" t="s">
        <v>24</v>
      </c>
      <c r="C700" s="9" t="s">
        <v>25</v>
      </c>
      <c r="D700" s="9" t="s">
        <v>26</v>
      </c>
      <c r="E700" s="10" t="n">
        <v>1789</v>
      </c>
      <c r="F700" s="9" t="s">
        <v>27</v>
      </c>
      <c r="G700" s="9" t="s">
        <v>27</v>
      </c>
      <c r="H700" s="11" t="n">
        <v>27</v>
      </c>
      <c r="I700" s="11" t="s">
        <v>431</v>
      </c>
      <c r="J700" s="14" t="n">
        <v>10</v>
      </c>
      <c r="K700" s="14"/>
      <c r="L700" s="16"/>
      <c r="M700" s="27" t="n">
        <f aca="false">J700+(K700/20)+(L700/240)</f>
        <v>10</v>
      </c>
      <c r="N700" s="17" t="s">
        <v>432</v>
      </c>
      <c r="O700" s="11" t="s">
        <v>109</v>
      </c>
      <c r="P700" s="28" t="n">
        <f aca="false">105*(288/62.5)+135/62.5</f>
        <v>486</v>
      </c>
      <c r="Q700" s="28" t="n">
        <v>4860</v>
      </c>
      <c r="R700" s="28"/>
      <c r="S700" s="28" t="n">
        <f aca="false">R700*$M700</f>
        <v>0</v>
      </c>
      <c r="T700" s="28" t="n">
        <f aca="false">8*(288/62.5)+196/62.5</f>
        <v>40</v>
      </c>
      <c r="U700" s="28" t="n">
        <v>400</v>
      </c>
      <c r="V700" s="28"/>
      <c r="W700" s="28" t="n">
        <f aca="false">V700*$M700</f>
        <v>0</v>
      </c>
      <c r="X700" s="28"/>
      <c r="Y700" s="28" t="n">
        <f aca="false">X700*$M700</f>
        <v>0</v>
      </c>
      <c r="Z700" s="28"/>
      <c r="AA700" s="28" t="n">
        <f aca="false">Z700*$M700</f>
        <v>0</v>
      </c>
      <c r="AB700" s="28"/>
      <c r="AC700" s="28" t="n">
        <f aca="false">AB700*$M700</f>
        <v>0</v>
      </c>
      <c r="AD700" s="28"/>
      <c r="AE700" s="28" t="n">
        <f aca="false">AD700*$M700</f>
        <v>0</v>
      </c>
      <c r="AF700" s="28"/>
      <c r="AG700" s="28" t="n">
        <f aca="false">AF700*$M700</f>
        <v>0</v>
      </c>
      <c r="AH700" s="28"/>
      <c r="AI700" s="28" t="n">
        <f aca="false">AH700*$M700</f>
        <v>0</v>
      </c>
      <c r="AJ700" s="28"/>
      <c r="AK700" s="28" t="n">
        <f aca="false">AJ700*$M700</f>
        <v>0</v>
      </c>
      <c r="AL700" s="28"/>
      <c r="AM700" s="28" t="n">
        <f aca="false">AL700*$M700</f>
        <v>0</v>
      </c>
      <c r="AN700" s="28"/>
      <c r="AO700" s="28" t="n">
        <f aca="false">AN700*$M700</f>
        <v>0</v>
      </c>
      <c r="AP700" s="28"/>
      <c r="AQ700" s="28" t="n">
        <f aca="false">AP700*$M700</f>
        <v>0</v>
      </c>
      <c r="AR700" s="28"/>
      <c r="AS700" s="28" t="n">
        <f aca="false">AR700*$M700</f>
        <v>0</v>
      </c>
      <c r="AT700" s="28"/>
      <c r="AU700" s="28" t="n">
        <f aca="false">AT700*$M700</f>
        <v>0</v>
      </c>
      <c r="AV700" s="28"/>
      <c r="AW700" s="28" t="n">
        <f aca="false">AV700*$M700</f>
        <v>0</v>
      </c>
      <c r="AX700" s="28"/>
      <c r="AY700" s="28" t="n">
        <f aca="false">AX700*$M700</f>
        <v>0</v>
      </c>
      <c r="AZ700" s="30" t="n">
        <f aca="false">114*(288/62.5)+43/62.5</f>
        <v>526</v>
      </c>
      <c r="BA700" s="11" t="n">
        <v>5260</v>
      </c>
      <c r="BB700" s="31" t="n">
        <f aca="false">SUM(Q700,S700,U700,W700,Y700,AA700,AC700,AE700,AG700,AI700,AK700,AM700,AO700,AQ700,AS700,AU700,AW700,AY700)</f>
        <v>5260</v>
      </c>
      <c r="BC700" s="28" t="n">
        <f aca="false">BA700-BB700</f>
        <v>0</v>
      </c>
      <c r="BD700" s="32" t="n">
        <f aca="false">SUM(P700,R700,T700,V700,X700,Z700,AB700,AD700,AF700,AH700,AJ700,AL700,AN700,AP700,AR700,AT700,AV700,AX700)</f>
        <v>526</v>
      </c>
      <c r="BE700" s="33" t="n">
        <f aca="false">AZ700-BD700</f>
        <v>0</v>
      </c>
      <c r="BF700" s="34" t="n">
        <f aca="false">BD700*M700</f>
        <v>5260</v>
      </c>
      <c r="BG700" s="35" t="n">
        <f aca="false">BA700-BF700</f>
        <v>0</v>
      </c>
      <c r="BH700" s="19" t="str">
        <f aca="false">IF(BG700=0,"",IF(BG700&lt;&gt;BA700,"erreur de calcul",IF(BD700&lt;&gt;0,"pas de prix",IF(M700&lt;&gt; 0,"pas de quantité","pas de prix, ni de quantité"))))</f>
        <v/>
      </c>
      <c r="BI700" s="19"/>
    </row>
    <row r="701" customFormat="false" ht="16" hidden="false" customHeight="false" outlineLevel="0" collapsed="false">
      <c r="A701" s="0" t="n">
        <v>20</v>
      </c>
      <c r="B701" s="8" t="s">
        <v>24</v>
      </c>
      <c r="C701" s="9" t="s">
        <v>25</v>
      </c>
      <c r="D701" s="9" t="s">
        <v>26</v>
      </c>
      <c r="E701" s="10" t="n">
        <v>1789</v>
      </c>
      <c r="F701" s="9" t="s">
        <v>27</v>
      </c>
      <c r="G701" s="9" t="s">
        <v>27</v>
      </c>
      <c r="H701" s="11" t="n">
        <v>27</v>
      </c>
      <c r="I701" s="11" t="s">
        <v>433</v>
      </c>
      <c r="J701" s="14"/>
      <c r="K701" s="14" t="n">
        <v>14</v>
      </c>
      <c r="L701" s="16"/>
      <c r="M701" s="27" t="n">
        <f aca="false">J701+(K701/20)+(L701/240)</f>
        <v>0.7</v>
      </c>
      <c r="N701" s="17" t="s">
        <v>429</v>
      </c>
      <c r="O701" s="11"/>
      <c r="P701" s="28" t="n">
        <f aca="false">103*288+190</f>
        <v>29854</v>
      </c>
      <c r="Q701" s="28" t="n">
        <v>20898</v>
      </c>
      <c r="R701" s="28"/>
      <c r="S701" s="28" t="n">
        <f aca="false">R701*$M701</f>
        <v>0</v>
      </c>
      <c r="T701" s="28"/>
      <c r="U701" s="28" t="n">
        <f aca="false">T701*$M701</f>
        <v>0</v>
      </c>
      <c r="V701" s="28"/>
      <c r="W701" s="28" t="n">
        <f aca="false">V701*$M701</f>
        <v>0</v>
      </c>
      <c r="X701" s="28"/>
      <c r="Y701" s="28" t="n">
        <f aca="false">X701*$M701</f>
        <v>0</v>
      </c>
      <c r="Z701" s="28"/>
      <c r="AA701" s="28" t="n">
        <f aca="false">Z701*$M701</f>
        <v>0</v>
      </c>
      <c r="AB701" s="28"/>
      <c r="AC701" s="28" t="n">
        <f aca="false">AB701*$M701</f>
        <v>0</v>
      </c>
      <c r="AD701" s="28"/>
      <c r="AE701" s="28" t="n">
        <f aca="false">AD701*$M701</f>
        <v>0</v>
      </c>
      <c r="AF701" s="28"/>
      <c r="AG701" s="28" t="n">
        <f aca="false">AF701*$M701</f>
        <v>0</v>
      </c>
      <c r="AH701" s="28"/>
      <c r="AI701" s="28" t="n">
        <f aca="false">AH701*$M701</f>
        <v>0</v>
      </c>
      <c r="AJ701" s="28"/>
      <c r="AK701" s="28" t="n">
        <f aca="false">AJ701*$M701</f>
        <v>0</v>
      </c>
      <c r="AL701" s="28"/>
      <c r="AM701" s="28" t="n">
        <f aca="false">AL701*$M701</f>
        <v>0</v>
      </c>
      <c r="AN701" s="28"/>
      <c r="AO701" s="28" t="n">
        <f aca="false">AN701*$M701</f>
        <v>0</v>
      </c>
      <c r="AP701" s="28"/>
      <c r="AQ701" s="28" t="n">
        <f aca="false">AP701*$M701</f>
        <v>0</v>
      </c>
      <c r="AR701" s="28"/>
      <c r="AS701" s="28" t="n">
        <f aca="false">AR701*$M701</f>
        <v>0</v>
      </c>
      <c r="AT701" s="28"/>
      <c r="AU701" s="28" t="n">
        <f aca="false">AT701*$M701</f>
        <v>0</v>
      </c>
      <c r="AV701" s="28"/>
      <c r="AW701" s="28" t="n">
        <f aca="false">AV701*$M701</f>
        <v>0</v>
      </c>
      <c r="AX701" s="28"/>
      <c r="AY701" s="28" t="n">
        <f aca="false">AX701*$M701</f>
        <v>0</v>
      </c>
      <c r="AZ701" s="30" t="n">
        <f aca="false">103*288+190</f>
        <v>29854</v>
      </c>
      <c r="BA701" s="11" t="n">
        <v>20898</v>
      </c>
      <c r="BB701" s="31" t="n">
        <f aca="false">SUM(Q701,S701,U701,W701,Y701,AA701,AC701,AE701,AG701,AI701,AK701,AM701,AO701,AQ701,AS701,AU701,AW701,AY701)</f>
        <v>20898</v>
      </c>
      <c r="BC701" s="28" t="n">
        <f aca="false">BA701-BB701</f>
        <v>0</v>
      </c>
      <c r="BD701" s="32" t="n">
        <f aca="false">SUM(P701,R701,T701,V701,X701,Z701,AB701,AD701,AF701,AH701,AJ701,AL701,AN701,AP701,AR701,AT701,AV701,AX701)</f>
        <v>29854</v>
      </c>
      <c r="BE701" s="33" t="n">
        <f aca="false">AZ701-BD701</f>
        <v>0</v>
      </c>
      <c r="BF701" s="34" t="n">
        <f aca="false">BD701*M701</f>
        <v>20897.8</v>
      </c>
      <c r="BG701" s="35" t="n">
        <f aca="false">BA701-BF701</f>
        <v>0.200000000000728</v>
      </c>
      <c r="BH701" s="19" t="str">
        <f aca="false">IF(BG701=0,"",IF(BG701&lt;&gt;BA701,"erreur de calcul",IF(BD701&lt;&gt;0,"pas de prix",IF(M701&lt;&gt; 0,"pas de quantité","pas de prix, ni de quantité"))))</f>
        <v>erreur de calcul</v>
      </c>
      <c r="BI701" s="19"/>
    </row>
    <row r="702" customFormat="false" ht="16" hidden="false" customHeight="false" outlineLevel="0" collapsed="false">
      <c r="A702" s="0" t="n">
        <v>21</v>
      </c>
      <c r="B702" s="8" t="s">
        <v>24</v>
      </c>
      <c r="C702" s="9" t="s">
        <v>25</v>
      </c>
      <c r="D702" s="9" t="s">
        <v>26</v>
      </c>
      <c r="E702" s="10" t="n">
        <v>1789</v>
      </c>
      <c r="F702" s="9" t="s">
        <v>27</v>
      </c>
      <c r="G702" s="9" t="s">
        <v>27</v>
      </c>
      <c r="H702" s="11" t="n">
        <v>27</v>
      </c>
      <c r="I702" s="11" t="s">
        <v>434</v>
      </c>
      <c r="J702" s="14"/>
      <c r="K702" s="14" t="n">
        <v>5</v>
      </c>
      <c r="L702" s="16"/>
      <c r="M702" s="27" t="n">
        <f aca="false">J702+(K702/20)+(L702/240)</f>
        <v>0.25</v>
      </c>
      <c r="N702" s="17" t="s">
        <v>79</v>
      </c>
      <c r="O702" s="11"/>
      <c r="P702" s="28" t="n">
        <v>300402</v>
      </c>
      <c r="Q702" s="28" t="n">
        <v>75100</v>
      </c>
      <c r="R702" s="28"/>
      <c r="S702" s="28" t="n">
        <f aca="false">R702*$M702</f>
        <v>0</v>
      </c>
      <c r="T702" s="28"/>
      <c r="U702" s="28" t="n">
        <f aca="false">T702*$M702</f>
        <v>0</v>
      </c>
      <c r="V702" s="28" t="n">
        <v>448</v>
      </c>
      <c r="W702" s="28" t="n">
        <v>112</v>
      </c>
      <c r="X702" s="28"/>
      <c r="Y702" s="28" t="n">
        <f aca="false">X702*$M702</f>
        <v>0</v>
      </c>
      <c r="Z702" s="28"/>
      <c r="AA702" s="28" t="n">
        <f aca="false">Z702*$M702</f>
        <v>0</v>
      </c>
      <c r="AB702" s="28"/>
      <c r="AC702" s="28" t="n">
        <f aca="false">AB702*$M702</f>
        <v>0</v>
      </c>
      <c r="AD702" s="28"/>
      <c r="AE702" s="28" t="n">
        <f aca="false">AD702*$M702</f>
        <v>0</v>
      </c>
      <c r="AF702" s="28"/>
      <c r="AG702" s="28" t="n">
        <f aca="false">AF702*$M702</f>
        <v>0</v>
      </c>
      <c r="AH702" s="28"/>
      <c r="AI702" s="28" t="n">
        <f aca="false">AH702*$M702</f>
        <v>0</v>
      </c>
      <c r="AJ702" s="28"/>
      <c r="AK702" s="28" t="n">
        <f aca="false">AJ702*$M702</f>
        <v>0</v>
      </c>
      <c r="AL702" s="28"/>
      <c r="AM702" s="28" t="n">
        <f aca="false">AL702*$M702</f>
        <v>0</v>
      </c>
      <c r="AN702" s="28"/>
      <c r="AO702" s="28" t="n">
        <f aca="false">AN702*$M702</f>
        <v>0</v>
      </c>
      <c r="AP702" s="28"/>
      <c r="AQ702" s="28" t="n">
        <f aca="false">AP702*$M702</f>
        <v>0</v>
      </c>
      <c r="AR702" s="28"/>
      <c r="AS702" s="28" t="n">
        <f aca="false">AR702*$M702</f>
        <v>0</v>
      </c>
      <c r="AT702" s="28"/>
      <c r="AU702" s="28" t="n">
        <f aca="false">AT702*$M702</f>
        <v>0</v>
      </c>
      <c r="AV702" s="28"/>
      <c r="AW702" s="28" t="n">
        <f aca="false">AV702*$M702</f>
        <v>0</v>
      </c>
      <c r="AX702" s="28"/>
      <c r="AY702" s="28" t="n">
        <f aca="false">AX702*$M702</f>
        <v>0</v>
      </c>
      <c r="AZ702" s="30" t="n">
        <v>300850</v>
      </c>
      <c r="BA702" s="11" t="n">
        <v>75212</v>
      </c>
      <c r="BB702" s="31" t="n">
        <f aca="false">SUM(Q702,S702,U702,W702,Y702,AA702,AC702,AE702,AG702,AI702,AK702,AM702,AO702,AQ702,AS702,AU702,AW702,AY702)</f>
        <v>75212</v>
      </c>
      <c r="BC702" s="28" t="n">
        <f aca="false">BA702-BB702</f>
        <v>0</v>
      </c>
      <c r="BD702" s="32" t="n">
        <f aca="false">SUM(P702,R702,T702,V702,X702,Z702,AB702,AD702,AF702,AH702,AJ702,AL702,AN702,AP702,AR702,AT702,AV702,AX702)</f>
        <v>300850</v>
      </c>
      <c r="BE702" s="33" t="n">
        <f aca="false">AZ702-BD702</f>
        <v>0</v>
      </c>
      <c r="BF702" s="34" t="n">
        <f aca="false">BD702*M702</f>
        <v>75212.5</v>
      </c>
      <c r="BG702" s="35" t="n">
        <f aca="false">BA702-BF702</f>
        <v>-0.5</v>
      </c>
      <c r="BH702" s="19" t="str">
        <f aca="false">IF(BG702=0,"",IF(BG702&lt;&gt;BA702,"erreur de calcul",IF(BD702&lt;&gt;0,"pas de prix",IF(M702&lt;&gt; 0,"pas de quantité","pas de prix, ni de quantité"))))</f>
        <v>erreur de calcul</v>
      </c>
      <c r="BI702" s="19"/>
    </row>
    <row r="703" customFormat="false" ht="84" hidden="false" customHeight="true" outlineLevel="0" collapsed="false">
      <c r="A703" s="0" t="s">
        <v>31</v>
      </c>
      <c r="B703" s="2" t="s">
        <v>0</v>
      </c>
      <c r="C703" s="2" t="s">
        <v>1</v>
      </c>
      <c r="D703" s="2" t="s">
        <v>2</v>
      </c>
      <c r="E703" s="2" t="s">
        <v>3</v>
      </c>
      <c r="F703" s="2" t="s">
        <v>4</v>
      </c>
      <c r="G703" s="2" t="s">
        <v>5</v>
      </c>
      <c r="H703" s="2" t="s">
        <v>6</v>
      </c>
      <c r="I703" s="3" t="s">
        <v>7</v>
      </c>
      <c r="J703" s="5" t="s">
        <v>12</v>
      </c>
      <c r="K703" s="5" t="s">
        <v>13</v>
      </c>
      <c r="L703" s="5" t="s">
        <v>14</v>
      </c>
      <c r="M703" s="7" t="s">
        <v>15</v>
      </c>
      <c r="N703" s="6" t="s">
        <v>32</v>
      </c>
      <c r="O703" s="6" t="s">
        <v>33</v>
      </c>
      <c r="P703" s="6"/>
      <c r="Q703" s="6"/>
      <c r="R703" s="6" t="s">
        <v>34</v>
      </c>
      <c r="S703" s="6"/>
      <c r="T703" s="6" t="s">
        <v>35</v>
      </c>
      <c r="U703" s="6"/>
      <c r="V703" s="6" t="s">
        <v>36</v>
      </c>
      <c r="W703" s="6"/>
      <c r="X703" s="6" t="s">
        <v>37</v>
      </c>
      <c r="Y703" s="6"/>
      <c r="Z703" s="6" t="s">
        <v>38</v>
      </c>
      <c r="AA703" s="6"/>
      <c r="AB703" s="6" t="s">
        <v>39</v>
      </c>
      <c r="AC703" s="6"/>
      <c r="AD703" s="6" t="s">
        <v>40</v>
      </c>
      <c r="AE703" s="6"/>
      <c r="AF703" s="6" t="s">
        <v>41</v>
      </c>
      <c r="AG703" s="6"/>
      <c r="AH703" s="6" t="s">
        <v>42</v>
      </c>
      <c r="AI703" s="6"/>
      <c r="AJ703" s="6" t="s">
        <v>43</v>
      </c>
      <c r="AK703" s="6"/>
      <c r="AL703" s="6" t="s">
        <v>44</v>
      </c>
      <c r="AM703" s="6"/>
      <c r="AN703" s="6" t="s">
        <v>45</v>
      </c>
      <c r="AO703" s="6"/>
      <c r="AP703" s="6" t="s">
        <v>46</v>
      </c>
      <c r="AQ703" s="6"/>
      <c r="AR703" s="6" t="s">
        <v>47</v>
      </c>
      <c r="AS703" s="6"/>
      <c r="AT703" s="6" t="s">
        <v>48</v>
      </c>
      <c r="AU703" s="6"/>
      <c r="AV703" s="6" t="s">
        <v>49</v>
      </c>
      <c r="AW703" s="6"/>
      <c r="AX703" s="6" t="s">
        <v>50</v>
      </c>
      <c r="AY703" s="6"/>
      <c r="AZ703" s="6" t="s">
        <v>51</v>
      </c>
      <c r="BA703" s="6"/>
      <c r="BB703" s="6" t="s">
        <v>52</v>
      </c>
      <c r="BC703" s="6"/>
      <c r="BD703" s="6"/>
      <c r="BE703" s="6"/>
      <c r="BF703" s="6" t="s">
        <v>53</v>
      </c>
      <c r="BG703" s="6" t="s">
        <v>54</v>
      </c>
      <c r="BH703" s="6" t="s">
        <v>55</v>
      </c>
      <c r="BI703" s="6" t="s">
        <v>56</v>
      </c>
      <c r="BJ703" s="6" t="s">
        <v>57</v>
      </c>
      <c r="BK703" s="6" t="s">
        <v>23</v>
      </c>
    </row>
    <row r="704" customFormat="false" ht="16" hidden="false" customHeight="false" outlineLevel="0" collapsed="false">
      <c r="B704" s="20"/>
      <c r="C704" s="20"/>
      <c r="D704" s="20"/>
      <c r="E704" s="21"/>
      <c r="F704" s="20"/>
      <c r="G704" s="20"/>
      <c r="H704" s="20"/>
      <c r="I704" s="22"/>
      <c r="J704" s="23"/>
      <c r="K704" s="23"/>
      <c r="L704" s="24"/>
      <c r="M704" s="25"/>
      <c r="N704" s="25"/>
      <c r="O704" s="26" t="s">
        <v>58</v>
      </c>
      <c r="P704" s="25" t="s">
        <v>59</v>
      </c>
      <c r="Q704" s="25" t="s">
        <v>60</v>
      </c>
      <c r="R704" s="25" t="s">
        <v>59</v>
      </c>
      <c r="S704" s="25" t="s">
        <v>60</v>
      </c>
      <c r="T704" s="25" t="s">
        <v>59</v>
      </c>
      <c r="U704" s="25" t="s">
        <v>60</v>
      </c>
      <c r="V704" s="25" t="s">
        <v>59</v>
      </c>
      <c r="W704" s="25" t="s">
        <v>60</v>
      </c>
      <c r="X704" s="25" t="s">
        <v>59</v>
      </c>
      <c r="Y704" s="25" t="s">
        <v>60</v>
      </c>
      <c r="Z704" s="25" t="s">
        <v>59</v>
      </c>
      <c r="AA704" s="25" t="s">
        <v>60</v>
      </c>
      <c r="AB704" s="25" t="s">
        <v>59</v>
      </c>
      <c r="AC704" s="25" t="s">
        <v>60</v>
      </c>
      <c r="AD704" s="25" t="s">
        <v>59</v>
      </c>
      <c r="AE704" s="25" t="s">
        <v>60</v>
      </c>
      <c r="AF704" s="25" t="s">
        <v>59</v>
      </c>
      <c r="AG704" s="25" t="s">
        <v>60</v>
      </c>
      <c r="AH704" s="25" t="s">
        <v>59</v>
      </c>
      <c r="AI704" s="25" t="s">
        <v>60</v>
      </c>
      <c r="AJ704" s="25" t="s">
        <v>59</v>
      </c>
      <c r="AK704" s="25" t="s">
        <v>60</v>
      </c>
      <c r="AL704" s="25" t="s">
        <v>59</v>
      </c>
      <c r="AM704" s="25" t="s">
        <v>60</v>
      </c>
      <c r="AN704" s="25" t="s">
        <v>59</v>
      </c>
      <c r="AO704" s="25" t="s">
        <v>60</v>
      </c>
      <c r="AP704" s="25" t="s">
        <v>59</v>
      </c>
      <c r="AQ704" s="25" t="s">
        <v>60</v>
      </c>
      <c r="AR704" s="25" t="s">
        <v>59</v>
      </c>
      <c r="AS704" s="25" t="s">
        <v>60</v>
      </c>
      <c r="AT704" s="25" t="s">
        <v>59</v>
      </c>
      <c r="AU704" s="25" t="s">
        <v>60</v>
      </c>
      <c r="AV704" s="25" t="s">
        <v>59</v>
      </c>
      <c r="AW704" s="25" t="s">
        <v>60</v>
      </c>
      <c r="AX704" s="25" t="s">
        <v>59</v>
      </c>
      <c r="AY704" s="25" t="s">
        <v>60</v>
      </c>
      <c r="AZ704" s="25" t="s">
        <v>59</v>
      </c>
      <c r="BA704" s="25" t="s">
        <v>60</v>
      </c>
      <c r="BB704" s="25" t="s">
        <v>59</v>
      </c>
      <c r="BC704" s="25" t="s">
        <v>60</v>
      </c>
      <c r="BD704" s="25" t="s">
        <v>61</v>
      </c>
      <c r="BE704" s="25" t="s">
        <v>62</v>
      </c>
      <c r="BF704" s="20"/>
      <c r="BG704" s="20"/>
      <c r="BH704" s="20"/>
      <c r="BI704" s="20"/>
      <c r="BJ704" s="20"/>
      <c r="BK704" s="20"/>
    </row>
    <row r="705" customFormat="false" ht="15" hidden="false" customHeight="false" outlineLevel="0" collapsed="false">
      <c r="A705" s="0" t="n">
        <v>1</v>
      </c>
      <c r="B705" s="8" t="s">
        <v>24</v>
      </c>
      <c r="C705" s="9" t="s">
        <v>25</v>
      </c>
      <c r="D705" s="9" t="s">
        <v>26</v>
      </c>
      <c r="E705" s="10" t="n">
        <v>1789</v>
      </c>
      <c r="F705" s="9" t="s">
        <v>27</v>
      </c>
      <c r="G705" s="9" t="s">
        <v>27</v>
      </c>
      <c r="H705" s="11" t="n">
        <v>18</v>
      </c>
      <c r="I705" s="11" t="s">
        <v>63</v>
      </c>
      <c r="J705" s="14" t="n">
        <v>27</v>
      </c>
      <c r="K705" s="14"/>
      <c r="L705" s="16"/>
      <c r="M705" s="27" t="n">
        <f aca="false">J705+(K705/20)+(L705/240)</f>
        <v>27</v>
      </c>
      <c r="N705" s="17" t="s">
        <v>64</v>
      </c>
      <c r="O705" s="11"/>
      <c r="P705" s="28"/>
      <c r="Q705" s="28" t="n">
        <f aca="false">P705*$M705</f>
        <v>0</v>
      </c>
      <c r="R705" s="28"/>
      <c r="S705" s="28" t="n">
        <f aca="false">R705*$M705</f>
        <v>0</v>
      </c>
      <c r="T705" s="28"/>
      <c r="U705" s="28" t="n">
        <f aca="false">T705*$M705</f>
        <v>0</v>
      </c>
      <c r="V705" s="28" t="n">
        <f aca="false">700/100</f>
        <v>7</v>
      </c>
      <c r="W705" s="28" t="n">
        <v>189</v>
      </c>
      <c r="X705" s="29"/>
      <c r="Y705" s="28" t="n">
        <v>9506</v>
      </c>
      <c r="Z705" s="28"/>
      <c r="AA705" s="28" t="n">
        <f aca="false">Z705*$M705</f>
        <v>0</v>
      </c>
      <c r="AB705" s="28"/>
      <c r="AC705" s="28" t="n">
        <f aca="false">AB705*$M705</f>
        <v>0</v>
      </c>
      <c r="AD705" s="28"/>
      <c r="AE705" s="28" t="n">
        <f aca="false">AD705*$M705</f>
        <v>0</v>
      </c>
      <c r="AF705" s="28"/>
      <c r="AG705" s="28" t="n">
        <f aca="false">AF705*$M705</f>
        <v>0</v>
      </c>
      <c r="AH705" s="28"/>
      <c r="AI705" s="28" t="n">
        <f aca="false">AH705*$M705</f>
        <v>0</v>
      </c>
      <c r="AJ705" s="28" t="n">
        <f aca="false">72509/100</f>
        <v>725.09</v>
      </c>
      <c r="AK705" s="28" t="n">
        <v>19577</v>
      </c>
      <c r="AL705" s="28"/>
      <c r="AM705" s="28" t="n">
        <f aca="false">AL705*$M705</f>
        <v>0</v>
      </c>
      <c r="AN705" s="28"/>
      <c r="AO705" s="28" t="n">
        <f aca="false">AN705*$M705</f>
        <v>0</v>
      </c>
      <c r="AP705" s="28"/>
      <c r="AQ705" s="28" t="n">
        <f aca="false">AP705*$M705</f>
        <v>0</v>
      </c>
      <c r="AR705" s="28" t="n">
        <f aca="false">36750/100</f>
        <v>367.5</v>
      </c>
      <c r="AS705" s="28" t="n">
        <v>9922</v>
      </c>
      <c r="AT705" s="28"/>
      <c r="AU705" s="28" t="n">
        <f aca="false">AT705*$M705</f>
        <v>0</v>
      </c>
      <c r="AV705" s="28"/>
      <c r="AW705" s="28" t="n">
        <f aca="false">AV705*$M705</f>
        <v>0</v>
      </c>
      <c r="AX705" s="28"/>
      <c r="AY705" s="28" t="n">
        <f aca="false">AX705*$M705</f>
        <v>0</v>
      </c>
      <c r="AZ705" s="30" t="n">
        <f aca="false">145166/100</f>
        <v>1451.66</v>
      </c>
      <c r="BA705" s="11" t="n">
        <v>39194</v>
      </c>
      <c r="BB705" s="31" t="n">
        <f aca="false">SUM(Q705,S705,U705,W705,Y705,AA705,AC705,AE705,AG705,AI705,AK705,AM705,AO705,AQ705,AS705,AU705,AW705,AY705)</f>
        <v>39194</v>
      </c>
      <c r="BC705" s="28" t="n">
        <f aca="false">BA705-BB705</f>
        <v>0</v>
      </c>
      <c r="BD705" s="32" t="n">
        <f aca="false">SUM(P705,R705,T705,V705,X705,Z705,AB705,AD705,AF705,AH705,AJ705,AL705,AN705,AP705,AR705,AT705,AV705,AX705)</f>
        <v>1099.59</v>
      </c>
      <c r="BE705" s="33" t="n">
        <f aca="false">AZ705-BD705</f>
        <v>352.07</v>
      </c>
      <c r="BF705" s="34" t="n">
        <f aca="false">BD705*M705</f>
        <v>29688.93</v>
      </c>
      <c r="BG705" s="35" t="n">
        <f aca="false">BA705-BF705</f>
        <v>9505.07</v>
      </c>
      <c r="BH705" s="19" t="str">
        <f aca="false">IF(BG705=0,"",IF(BG705&lt;&gt;BA705,"erreur de calcul",IF(BD705&lt;&gt;0,"pas de prix",IF(M705&lt;&gt; 0,"pas de quantité","pas de prix, ni de quantité"))))</f>
        <v>erreur de calcul</v>
      </c>
      <c r="BI705" s="19"/>
    </row>
    <row r="706" customFormat="false" ht="15" hidden="false" customHeight="false" outlineLevel="0" collapsed="false">
      <c r="A706" s="0" t="n">
        <v>2</v>
      </c>
      <c r="B706" s="8" t="s">
        <v>24</v>
      </c>
      <c r="C706" s="9" t="s">
        <v>25</v>
      </c>
      <c r="D706" s="9" t="s">
        <v>26</v>
      </c>
      <c r="E706" s="10" t="n">
        <v>1789</v>
      </c>
      <c r="F706" s="9" t="s">
        <v>27</v>
      </c>
      <c r="G706" s="9" t="s">
        <v>27</v>
      </c>
      <c r="H706" s="11" t="n">
        <v>18</v>
      </c>
      <c r="I706" s="11" t="s">
        <v>65</v>
      </c>
      <c r="J706" s="14"/>
      <c r="K706" s="14" t="n">
        <v>20</v>
      </c>
      <c r="L706" s="16"/>
      <c r="M706" s="27" t="n">
        <f aca="false">J706+(K706/20)+(L706/240)</f>
        <v>1</v>
      </c>
      <c r="N706" s="17" t="s">
        <v>66</v>
      </c>
      <c r="O706" s="11"/>
      <c r="P706" s="28"/>
      <c r="Q706" s="28" t="n">
        <f aca="false">P706*$M706</f>
        <v>0</v>
      </c>
      <c r="R706" s="28"/>
      <c r="S706" s="28" t="n">
        <f aca="false">R706*$M706</f>
        <v>0</v>
      </c>
      <c r="T706" s="28"/>
      <c r="U706" s="28" t="n">
        <f aca="false">T706*$M706</f>
        <v>0</v>
      </c>
      <c r="V706" s="28" t="n">
        <v>2365</v>
      </c>
      <c r="W706" s="28" t="n">
        <v>2365</v>
      </c>
      <c r="X706" s="29" t="n">
        <v>234</v>
      </c>
      <c r="Y706" s="28" t="n">
        <v>234</v>
      </c>
      <c r="Z706" s="28"/>
      <c r="AA706" s="28" t="n">
        <f aca="false">Z706*$M706</f>
        <v>0</v>
      </c>
      <c r="AB706" s="28" t="n">
        <v>17776</v>
      </c>
      <c r="AC706" s="28" t="n">
        <v>17776</v>
      </c>
      <c r="AD706" s="28"/>
      <c r="AE706" s="28" t="n">
        <f aca="false">AD706*$M706</f>
        <v>0</v>
      </c>
      <c r="AF706" s="28"/>
      <c r="AG706" s="28" t="n">
        <f aca="false">AF706*$M706</f>
        <v>0</v>
      </c>
      <c r="AH706" s="28"/>
      <c r="AI706" s="28" t="n">
        <f aca="false">AH706*$M706</f>
        <v>0</v>
      </c>
      <c r="AJ706" s="28"/>
      <c r="AK706" s="28" t="n">
        <f aca="false">AJ706*$M706</f>
        <v>0</v>
      </c>
      <c r="AL706" s="28"/>
      <c r="AM706" s="28" t="n">
        <f aca="false">AL706*$M706</f>
        <v>0</v>
      </c>
      <c r="AN706" s="28"/>
      <c r="AO706" s="28" t="n">
        <f aca="false">AN706*$M706</f>
        <v>0</v>
      </c>
      <c r="AP706" s="28"/>
      <c r="AQ706" s="28" t="n">
        <f aca="false">AP706*$M706</f>
        <v>0</v>
      </c>
      <c r="AR706" s="28"/>
      <c r="AS706" s="28" t="n">
        <f aca="false">AR706*$M706</f>
        <v>0</v>
      </c>
      <c r="AT706" s="28"/>
      <c r="AU706" s="28" t="n">
        <f aca="false">AT706*$M706</f>
        <v>0</v>
      </c>
      <c r="AV706" s="28"/>
      <c r="AW706" s="28" t="n">
        <f aca="false">AV706*$M706</f>
        <v>0</v>
      </c>
      <c r="AX706" s="28"/>
      <c r="AY706" s="28" t="n">
        <f aca="false">AX706*$M706</f>
        <v>0</v>
      </c>
      <c r="AZ706" s="30" t="n">
        <v>20375</v>
      </c>
      <c r="BA706" s="11" t="n">
        <v>20375</v>
      </c>
      <c r="BB706" s="31" t="n">
        <f aca="false">SUM(Q706,S706,U706,W706,Y706,AA706,AC706,AE706,AG706,AI706,AK706,AM706,AO706,AQ706,AS706,AU706,AW706,AY706)</f>
        <v>20375</v>
      </c>
      <c r="BC706" s="28" t="n">
        <f aca="false">BA706-BB706</f>
        <v>0</v>
      </c>
      <c r="BD706" s="32" t="n">
        <f aca="false">SUM(P706,R706,T706,V706,X706,Z706,AB706,AD706,AF706,AH706,AJ706,AL706,AN706,AP706,AR706,AT706,AV706,AX706)</f>
        <v>20375</v>
      </c>
      <c r="BE706" s="33" t="n">
        <f aca="false">AZ706-BD706</f>
        <v>0</v>
      </c>
      <c r="BF706" s="34" t="n">
        <f aca="false">BD706*M706</f>
        <v>20375</v>
      </c>
      <c r="BG706" s="35" t="n">
        <f aca="false">BA706-BF706</f>
        <v>0</v>
      </c>
      <c r="BH706" s="19" t="str">
        <f aca="false">IF(BG706=0,"",IF(BG706&lt;&gt;BA706,"erreur de calcul",IF(BD706&lt;&gt;0,"pas de prix",IF(M706&lt;&gt; 0,"pas de quantité","pas de prix, ni de quantité"))))</f>
        <v/>
      </c>
      <c r="BI706" s="19"/>
    </row>
    <row r="707" customFormat="false" ht="15" hidden="false" customHeight="false" outlineLevel="0" collapsed="false">
      <c r="A707" s="0" t="n">
        <v>3</v>
      </c>
      <c r="B707" s="8" t="s">
        <v>24</v>
      </c>
      <c r="C707" s="9" t="s">
        <v>25</v>
      </c>
      <c r="D707" s="9" t="s">
        <v>26</v>
      </c>
      <c r="E707" s="10" t="n">
        <v>1789</v>
      </c>
      <c r="F707" s="9" t="s">
        <v>27</v>
      </c>
      <c r="G707" s="9" t="s">
        <v>27</v>
      </c>
      <c r="H707" s="11" t="n">
        <v>18</v>
      </c>
      <c r="I707" s="11" t="s">
        <v>67</v>
      </c>
      <c r="J707" s="14" t="n">
        <v>56</v>
      </c>
      <c r="K707" s="14"/>
      <c r="L707" s="16"/>
      <c r="M707" s="27" t="n">
        <f aca="false">J707+(K707/20)+(L707/240)</f>
        <v>56</v>
      </c>
      <c r="N707" s="17" t="s">
        <v>64</v>
      </c>
      <c r="O707" s="11"/>
      <c r="P707" s="28" t="n">
        <f aca="false">27159/100</f>
        <v>271.59</v>
      </c>
      <c r="Q707" s="28" t="n">
        <v>15209</v>
      </c>
      <c r="R707" s="28"/>
      <c r="S707" s="28" t="n">
        <f aca="false">R707*$M707</f>
        <v>0</v>
      </c>
      <c r="T707" s="28" t="n">
        <f aca="false">1044/100</f>
        <v>10.44</v>
      </c>
      <c r="U707" s="28" t="n">
        <v>585</v>
      </c>
      <c r="V707" s="28" t="n">
        <f aca="false">1838/100</f>
        <v>18.38</v>
      </c>
      <c r="W707" s="36" t="n">
        <v>4557</v>
      </c>
      <c r="X707" s="29"/>
      <c r="Y707" s="28" t="n">
        <v>2566</v>
      </c>
      <c r="Z707" s="28"/>
      <c r="AA707" s="28" t="n">
        <f aca="false">Z707*$M707</f>
        <v>0</v>
      </c>
      <c r="AB707" s="28" t="n">
        <f aca="false">17833/100</f>
        <v>178.33</v>
      </c>
      <c r="AC707" s="28" t="n">
        <v>9986</v>
      </c>
      <c r="AD707" s="28"/>
      <c r="AE707" s="28" t="n">
        <f aca="false">AD707*$M707</f>
        <v>0</v>
      </c>
      <c r="AF707" s="28" t="n">
        <f aca="false">30595/100</f>
        <v>305.95</v>
      </c>
      <c r="AG707" s="28" t="n">
        <v>17133</v>
      </c>
      <c r="AH707" s="28"/>
      <c r="AI707" s="28" t="n">
        <f aca="false">AH707*$M707</f>
        <v>0</v>
      </c>
      <c r="AJ707" s="28"/>
      <c r="AK707" s="28" t="n">
        <f aca="false">AJ707*$M707</f>
        <v>0</v>
      </c>
      <c r="AL707" s="28"/>
      <c r="AM707" s="28" t="n">
        <f aca="false">AL707*$M707</f>
        <v>0</v>
      </c>
      <c r="AN707" s="28"/>
      <c r="AO707" s="28" t="n">
        <f aca="false">AN707*$M707</f>
        <v>0</v>
      </c>
      <c r="AP707" s="28"/>
      <c r="AQ707" s="28" t="n">
        <f aca="false">AP707*$M707</f>
        <v>0</v>
      </c>
      <c r="AR707" s="28"/>
      <c r="AS707" s="28" t="n">
        <f aca="false">AR707*$M707</f>
        <v>0</v>
      </c>
      <c r="AT707" s="28"/>
      <c r="AU707" s="28" t="n">
        <f aca="false">AT707*$M707</f>
        <v>0</v>
      </c>
      <c r="AV707" s="28"/>
      <c r="AW707" s="28" t="n">
        <f aca="false">AV707*$M707</f>
        <v>0</v>
      </c>
      <c r="AX707" s="28"/>
      <c r="AY707" s="28" t="n">
        <f aca="false">AX707*$M707</f>
        <v>0</v>
      </c>
      <c r="AZ707" s="30" t="n">
        <f aca="false">83051/100</f>
        <v>830.51</v>
      </c>
      <c r="BA707" s="11" t="n">
        <v>50036</v>
      </c>
      <c r="BB707" s="31" t="n">
        <f aca="false">SUM(Q707,S707,U707,W707,Y707,AA707,AC707,AE707,AG707,AI707,AK707,AM707,AO707,AQ707,AS707,AU707,AW707,AY707)</f>
        <v>50036</v>
      </c>
      <c r="BC707" s="28" t="n">
        <f aca="false">BA707-BB707</f>
        <v>0</v>
      </c>
      <c r="BD707" s="32" t="n">
        <f aca="false">SUM(P707,R707,T707,V707,X707,Z707,AB707,AD707,AF707,AH707,AJ707,AL707,AN707,AP707,AR707,AT707,AV707,AX707)</f>
        <v>784.69</v>
      </c>
      <c r="BE707" s="33" t="n">
        <f aca="false">AZ707-BD707</f>
        <v>45.8199999999999</v>
      </c>
      <c r="BF707" s="34" t="n">
        <f aca="false">BD707*M707</f>
        <v>43942.64</v>
      </c>
      <c r="BG707" s="35" t="n">
        <f aca="false">BA707-BF707</f>
        <v>6093.36</v>
      </c>
      <c r="BH707" s="19" t="str">
        <f aca="false">IF(BG707=0,"",IF(BG707&lt;&gt;BA707,"erreur de calcul",IF(BD707&lt;&gt;0,"pas de prix",IF(M707&lt;&gt; 0,"pas de quantité","pas de prix, ni de quantité"))))</f>
        <v>erreur de calcul</v>
      </c>
      <c r="BI707" s="19"/>
    </row>
    <row r="708" customFormat="false" ht="15" hidden="false" customHeight="false" outlineLevel="0" collapsed="false">
      <c r="A708" s="0" t="n">
        <v>4</v>
      </c>
      <c r="B708" s="8" t="s">
        <v>24</v>
      </c>
      <c r="C708" s="9" t="s">
        <v>25</v>
      </c>
      <c r="D708" s="9" t="s">
        <v>26</v>
      </c>
      <c r="E708" s="10" t="n">
        <v>1789</v>
      </c>
      <c r="F708" s="9" t="s">
        <v>27</v>
      </c>
      <c r="G708" s="9" t="s">
        <v>27</v>
      </c>
      <c r="H708" s="11" t="n">
        <v>18</v>
      </c>
      <c r="I708" s="11" t="s">
        <v>68</v>
      </c>
      <c r="J708" s="14"/>
      <c r="K708" s="14" t="n">
        <v>30</v>
      </c>
      <c r="L708" s="16"/>
      <c r="M708" s="27" t="n">
        <f aca="false">J708+(K708/20)+(L708/240)</f>
        <v>1.5</v>
      </c>
      <c r="N708" s="17" t="s">
        <v>69</v>
      </c>
      <c r="O708" s="11"/>
      <c r="P708" s="28" t="n">
        <v>5460</v>
      </c>
      <c r="Q708" s="28" t="n">
        <v>8190</v>
      </c>
      <c r="R708" s="28"/>
      <c r="S708" s="28" t="n">
        <f aca="false">R708*$M708</f>
        <v>0</v>
      </c>
      <c r="T708" s="28"/>
      <c r="U708" s="28" t="n">
        <f aca="false">T708*$M708</f>
        <v>0</v>
      </c>
      <c r="V708" s="28" t="n">
        <v>1061</v>
      </c>
      <c r="W708" s="28" t="n">
        <v>1591</v>
      </c>
      <c r="X708" s="29"/>
      <c r="Y708" s="28" t="n">
        <v>5766</v>
      </c>
      <c r="Z708" s="28"/>
      <c r="AA708" s="28" t="n">
        <f aca="false">Z708*$M708</f>
        <v>0</v>
      </c>
      <c r="AB708" s="28"/>
      <c r="AC708" s="28" t="n">
        <f aca="false">AB708*$M708</f>
        <v>0</v>
      </c>
      <c r="AD708" s="28"/>
      <c r="AE708" s="28" t="n">
        <f aca="false">AD708*$M708</f>
        <v>0</v>
      </c>
      <c r="AF708" s="28"/>
      <c r="AG708" s="28" t="n">
        <f aca="false">AF708*$M708</f>
        <v>0</v>
      </c>
      <c r="AH708" s="28"/>
      <c r="AI708" s="28" t="n">
        <f aca="false">AH708*$M708</f>
        <v>0</v>
      </c>
      <c r="AJ708" s="28"/>
      <c r="AK708" s="28" t="n">
        <f aca="false">AJ708*$M708</f>
        <v>0</v>
      </c>
      <c r="AL708" s="28"/>
      <c r="AM708" s="28" t="n">
        <f aca="false">AL708*$M708</f>
        <v>0</v>
      </c>
      <c r="AN708" s="28"/>
      <c r="AO708" s="28" t="n">
        <f aca="false">AN708*$M708</f>
        <v>0</v>
      </c>
      <c r="AP708" s="28"/>
      <c r="AQ708" s="28" t="n">
        <f aca="false">AP708*$M708</f>
        <v>0</v>
      </c>
      <c r="AR708" s="28"/>
      <c r="AS708" s="28" t="n">
        <f aca="false">AR708*$M708</f>
        <v>0</v>
      </c>
      <c r="AT708" s="28"/>
      <c r="AU708" s="28" t="n">
        <f aca="false">AT708*$M708</f>
        <v>0</v>
      </c>
      <c r="AV708" s="28"/>
      <c r="AW708" s="28" t="n">
        <f aca="false">AV708*$M708</f>
        <v>0</v>
      </c>
      <c r="AX708" s="28"/>
      <c r="AY708" s="28" t="n">
        <f aca="false">AX708*$M708</f>
        <v>0</v>
      </c>
      <c r="AZ708" s="30" t="n">
        <v>10365</v>
      </c>
      <c r="BA708" s="11" t="n">
        <v>15547</v>
      </c>
      <c r="BB708" s="31" t="n">
        <f aca="false">SUM(Q708,S708,U708,W708,Y708,AA708,AC708,AE708,AG708,AI708,AK708,AM708,AO708,AQ708,AS708,AU708,AW708,AY708)</f>
        <v>15547</v>
      </c>
      <c r="BC708" s="28" t="n">
        <f aca="false">BA708-BB708</f>
        <v>0</v>
      </c>
      <c r="BD708" s="32" t="n">
        <f aca="false">SUM(P708,R708,T708,V708,X708,Z708,AB708,AD708,AF708,AH708,AJ708,AL708,AN708,AP708,AR708,AT708,AV708,AX708)</f>
        <v>6521</v>
      </c>
      <c r="BE708" s="33" t="n">
        <f aca="false">AZ708-BD708</f>
        <v>3844</v>
      </c>
      <c r="BF708" s="34" t="n">
        <f aca="false">BD708*M708</f>
        <v>9781.5</v>
      </c>
      <c r="BG708" s="35" t="n">
        <f aca="false">BA708-BF708</f>
        <v>5765.5</v>
      </c>
      <c r="BH708" s="19" t="str">
        <f aca="false">IF(BG708=0,"",IF(BG708&lt;&gt;BA708,"erreur de calcul",IF(BD708&lt;&gt;0,"pas de prix",IF(M708&lt;&gt; 0,"pas de quantité","pas de prix, ni de quantité"))))</f>
        <v>erreur de calcul</v>
      </c>
      <c r="BI708" s="19"/>
    </row>
    <row r="709" customFormat="false" ht="15" hidden="false" customHeight="false" outlineLevel="0" collapsed="false">
      <c r="A709" s="0" t="n">
        <v>5</v>
      </c>
      <c r="B709" s="8" t="s">
        <v>24</v>
      </c>
      <c r="C709" s="9" t="s">
        <v>25</v>
      </c>
      <c r="D709" s="9" t="s">
        <v>26</v>
      </c>
      <c r="E709" s="10" t="n">
        <v>1789</v>
      </c>
      <c r="F709" s="9" t="s">
        <v>27</v>
      </c>
      <c r="G709" s="9" t="s">
        <v>27</v>
      </c>
      <c r="H709" s="11" t="n">
        <v>18</v>
      </c>
      <c r="I709" s="11" t="s">
        <v>70</v>
      </c>
      <c r="J709" s="14" t="n">
        <v>190</v>
      </c>
      <c r="K709" s="14"/>
      <c r="L709" s="16"/>
      <c r="M709" s="27" t="n">
        <f aca="false">J709+(K709/20)+(L709/240)</f>
        <v>190</v>
      </c>
      <c r="N709" s="17" t="s">
        <v>64</v>
      </c>
      <c r="O709" s="11"/>
      <c r="P709" s="28"/>
      <c r="Q709" s="28" t="n">
        <f aca="false">P709*$M709</f>
        <v>0</v>
      </c>
      <c r="R709" s="28" t="n">
        <f aca="false">22283/100</f>
        <v>222.83</v>
      </c>
      <c r="S709" s="28" t="n">
        <v>42338</v>
      </c>
      <c r="T709" s="28" t="n">
        <f aca="false">1289/100</f>
        <v>12.89</v>
      </c>
      <c r="U709" s="28" t="n">
        <v>2449</v>
      </c>
      <c r="V709" s="28"/>
      <c r="W709" s="28" t="n">
        <f aca="false">V709*$M709</f>
        <v>0</v>
      </c>
      <c r="X709" s="29"/>
      <c r="Y709" s="28" t="n">
        <f aca="false">X709*$M709</f>
        <v>0</v>
      </c>
      <c r="Z709" s="28"/>
      <c r="AA709" s="28" t="n">
        <f aca="false">Z709*$M709</f>
        <v>0</v>
      </c>
      <c r="AB709" s="28"/>
      <c r="AC709" s="28" t="n">
        <f aca="false">AB709*$M709</f>
        <v>0</v>
      </c>
      <c r="AD709" s="28"/>
      <c r="AE709" s="28" t="n">
        <f aca="false">AD709*$M709</f>
        <v>0</v>
      </c>
      <c r="AF709" s="28"/>
      <c r="AG709" s="28" t="n">
        <f aca="false">AF709*$M709</f>
        <v>0</v>
      </c>
      <c r="AH709" s="28"/>
      <c r="AI709" s="28" t="n">
        <f aca="false">AH709*$M709</f>
        <v>0</v>
      </c>
      <c r="AJ709" s="28"/>
      <c r="AK709" s="28" t="n">
        <f aca="false">AJ709*$M709</f>
        <v>0</v>
      </c>
      <c r="AL709" s="28"/>
      <c r="AM709" s="28" t="n">
        <f aca="false">AL709*$M709</f>
        <v>0</v>
      </c>
      <c r="AN709" s="28"/>
      <c r="AO709" s="28" t="n">
        <f aca="false">AN709*$M709</f>
        <v>0</v>
      </c>
      <c r="AP709" s="28"/>
      <c r="AQ709" s="28" t="n">
        <f aca="false">AP709*$M709</f>
        <v>0</v>
      </c>
      <c r="AR709" s="28"/>
      <c r="AS709" s="28" t="n">
        <f aca="false">AR709*$M709</f>
        <v>0</v>
      </c>
      <c r="AT709" s="28"/>
      <c r="AU709" s="28" t="n">
        <f aca="false">AT709*$M709</f>
        <v>0</v>
      </c>
      <c r="AV709" s="28"/>
      <c r="AW709" s="28" t="n">
        <f aca="false">AV709*$M709</f>
        <v>0</v>
      </c>
      <c r="AX709" s="28"/>
      <c r="AY709" s="28" t="n">
        <f aca="false">AX709*$M709</f>
        <v>0</v>
      </c>
      <c r="AZ709" s="30" t="n">
        <f aca="false">23572/100</f>
        <v>235.72</v>
      </c>
      <c r="BA709" s="11" t="n">
        <v>44787</v>
      </c>
      <c r="BB709" s="31" t="n">
        <f aca="false">SUM(Q709,S709,U709,W709,Y709,AA709,AC709,AE709,AG709,AI709,AK709,AM709,AO709,AQ709,AS709,AU709,AW709,AY709)</f>
        <v>44787</v>
      </c>
      <c r="BC709" s="28" t="n">
        <f aca="false">BA709-BB709</f>
        <v>0</v>
      </c>
      <c r="BD709" s="32" t="n">
        <f aca="false">SUM(P709,R709,T709,V709,X709,Z709,AB709,AD709,AF709,AH709,AJ709,AL709,AN709,AP709,AR709,AT709,AV709,AX709)</f>
        <v>235.72</v>
      </c>
      <c r="BE709" s="33" t="n">
        <f aca="false">AZ709-BD709</f>
        <v>0</v>
      </c>
      <c r="BF709" s="34" t="n">
        <f aca="false">BD709*M709</f>
        <v>44786.8</v>
      </c>
      <c r="BG709" s="35" t="n">
        <f aca="false">BA709-BF709</f>
        <v>0.19999999999709</v>
      </c>
      <c r="BH709" s="19" t="str">
        <f aca="false">IF(BG709=0,"",IF(BG709&lt;&gt;BA709,"erreur de calcul",IF(BD709&lt;&gt;0,"pas de prix",IF(M709&lt;&gt; 0,"pas de quantité","pas de prix, ni de quantité"))))</f>
        <v>erreur de calcul</v>
      </c>
      <c r="BI709" s="19"/>
    </row>
    <row r="710" customFormat="false" ht="15" hidden="false" customHeight="false" outlineLevel="0" collapsed="false">
      <c r="A710" s="0" t="n">
        <v>6</v>
      </c>
      <c r="B710" s="8" t="s">
        <v>24</v>
      </c>
      <c r="C710" s="9" t="s">
        <v>25</v>
      </c>
      <c r="D710" s="9" t="s">
        <v>26</v>
      </c>
      <c r="E710" s="10" t="n">
        <v>1789</v>
      </c>
      <c r="F710" s="9" t="s">
        <v>27</v>
      </c>
      <c r="G710" s="9" t="s">
        <v>27</v>
      </c>
      <c r="H710" s="11" t="n">
        <v>18</v>
      </c>
      <c r="I710" s="11" t="s">
        <v>71</v>
      </c>
      <c r="J710" s="14" t="n">
        <v>60</v>
      </c>
      <c r="K710" s="14"/>
      <c r="L710" s="16"/>
      <c r="M710" s="27" t="n">
        <f aca="false">J710+(K710/20)+(L710/240)</f>
        <v>60</v>
      </c>
      <c r="N710" s="17" t="s">
        <v>64</v>
      </c>
      <c r="O710" s="11"/>
      <c r="P710" s="28" t="n">
        <f aca="false">674/100</f>
        <v>6.74</v>
      </c>
      <c r="Q710" s="28" t="n">
        <v>404</v>
      </c>
      <c r="R710" s="28"/>
      <c r="S710" s="28" t="n">
        <f aca="false">R710*$M710</f>
        <v>0</v>
      </c>
      <c r="T710" s="28"/>
      <c r="U710" s="28" t="n">
        <f aca="false">T710*$M710</f>
        <v>0</v>
      </c>
      <c r="V710" s="28"/>
      <c r="W710" s="28" t="n">
        <f aca="false">V710*$M710</f>
        <v>0</v>
      </c>
      <c r="X710" s="29"/>
      <c r="Y710" s="28" t="n">
        <f aca="false">X710*$M710</f>
        <v>0</v>
      </c>
      <c r="Z710" s="28"/>
      <c r="AA710" s="28" t="n">
        <f aca="false">Z710*$M710</f>
        <v>0</v>
      </c>
      <c r="AB710" s="28"/>
      <c r="AC710" s="28" t="n">
        <f aca="false">AB710*$M710</f>
        <v>0</v>
      </c>
      <c r="AD710" s="28"/>
      <c r="AE710" s="28" t="n">
        <f aca="false">AD710*$M710</f>
        <v>0</v>
      </c>
      <c r="AF710" s="28"/>
      <c r="AG710" s="28" t="n">
        <f aca="false">AF710*$M710</f>
        <v>0</v>
      </c>
      <c r="AH710" s="28"/>
      <c r="AI710" s="28" t="n">
        <f aca="false">AH710*$M710</f>
        <v>0</v>
      </c>
      <c r="AJ710" s="28" t="n">
        <f aca="false">1133/100</f>
        <v>11.33</v>
      </c>
      <c r="AK710" s="28" t="n">
        <v>680</v>
      </c>
      <c r="AL710" s="28" t="n">
        <f aca="false">3140/100</f>
        <v>31.4</v>
      </c>
      <c r="AM710" s="28" t="n">
        <v>1884</v>
      </c>
      <c r="AN710" s="28"/>
      <c r="AO710" s="28" t="n">
        <f aca="false">AN710*$M710</f>
        <v>0</v>
      </c>
      <c r="AP710" s="28"/>
      <c r="AQ710" s="28" t="n">
        <f aca="false">AP710*$M710</f>
        <v>0</v>
      </c>
      <c r="AR710" s="28"/>
      <c r="AS710" s="28" t="n">
        <f aca="false">AR710*$M710</f>
        <v>0</v>
      </c>
      <c r="AT710" s="28"/>
      <c r="AU710" s="28" t="n">
        <f aca="false">AT710*$M710</f>
        <v>0</v>
      </c>
      <c r="AV710" s="28"/>
      <c r="AW710" s="28" t="n">
        <f aca="false">AV710*$M710</f>
        <v>0</v>
      </c>
      <c r="AX710" s="28"/>
      <c r="AY710" s="28" t="n">
        <f aca="false">AX710*$M710</f>
        <v>0</v>
      </c>
      <c r="AZ710" s="30" t="n">
        <f aca="false">4947/100</f>
        <v>49.47</v>
      </c>
      <c r="BA710" s="11" t="n">
        <v>2968</v>
      </c>
      <c r="BB710" s="31" t="n">
        <f aca="false">SUM(Q710,S710,U710,W710,Y710,AA710,AC710,AE710,AG710,AI710,AK710,AM710,AO710,AQ710,AS710,AU710,AW710,AY710)</f>
        <v>2968</v>
      </c>
      <c r="BC710" s="28" t="n">
        <f aca="false">BA710-BB710</f>
        <v>0</v>
      </c>
      <c r="BD710" s="32" t="n">
        <f aca="false">SUM(P710,R710,T710,V710,X710,Z710,AB710,AD710,AF710,AH710,AJ710,AL710,AN710,AP710,AR710,AT710,AV710,AX710)</f>
        <v>49.47</v>
      </c>
      <c r="BE710" s="33" t="n">
        <f aca="false">AZ710-BD710</f>
        <v>0</v>
      </c>
      <c r="BF710" s="34" t="n">
        <f aca="false">BD710*M710</f>
        <v>2968.2</v>
      </c>
      <c r="BG710" s="35" t="n">
        <f aca="false">BA710-BF710</f>
        <v>-0.199999999999818</v>
      </c>
      <c r="BH710" s="19" t="str">
        <f aca="false">IF(BG710=0,"",IF(BG710&lt;&gt;BA710,"erreur de calcul",IF(BD710&lt;&gt;0,"pas de prix",IF(M710&lt;&gt; 0,"pas de quantité","pas de prix, ni de quantité"))))</f>
        <v>erreur de calcul</v>
      </c>
      <c r="BI710" s="19"/>
    </row>
    <row r="711" customFormat="false" ht="15" hidden="false" customHeight="false" outlineLevel="0" collapsed="false">
      <c r="A711" s="0" t="n">
        <v>7</v>
      </c>
      <c r="B711" s="8" t="s">
        <v>24</v>
      </c>
      <c r="C711" s="9" t="s">
        <v>25</v>
      </c>
      <c r="D711" s="9" t="s">
        <v>26</v>
      </c>
      <c r="E711" s="10" t="n">
        <v>1789</v>
      </c>
      <c r="F711" s="9" t="s">
        <v>27</v>
      </c>
      <c r="G711" s="9" t="s">
        <v>27</v>
      </c>
      <c r="H711" s="11" t="n">
        <v>18</v>
      </c>
      <c r="I711" s="11" t="s">
        <v>72</v>
      </c>
      <c r="J711" s="14" t="n">
        <v>15</v>
      </c>
      <c r="K711" s="14"/>
      <c r="L711" s="16"/>
      <c r="M711" s="27" t="n">
        <f aca="false">J711+(K711/20)+(L711/240)</f>
        <v>15</v>
      </c>
      <c r="N711" s="17" t="s">
        <v>64</v>
      </c>
      <c r="O711" s="11"/>
      <c r="P711" s="28"/>
      <c r="Q711" s="28" t="n">
        <f aca="false">P711*$M711</f>
        <v>0</v>
      </c>
      <c r="R711" s="28"/>
      <c r="S711" s="28" t="n">
        <f aca="false">R711*$M711</f>
        <v>0</v>
      </c>
      <c r="T711" s="28"/>
      <c r="U711" s="28" t="n">
        <f aca="false">T711*$M711</f>
        <v>0</v>
      </c>
      <c r="V711" s="28"/>
      <c r="W711" s="28" t="n">
        <f aca="false">V711*$M711</f>
        <v>0</v>
      </c>
      <c r="X711" s="29"/>
      <c r="Y711" s="28" t="n">
        <f aca="false">X711*$M711</f>
        <v>0</v>
      </c>
      <c r="Z711" s="28"/>
      <c r="AA711" s="28" t="n">
        <f aca="false">Z711*$M711</f>
        <v>0</v>
      </c>
      <c r="AB711" s="28"/>
      <c r="AC711" s="28" t="n">
        <f aca="false">AB711*$M711</f>
        <v>0</v>
      </c>
      <c r="AD711" s="28"/>
      <c r="AE711" s="28" t="n">
        <f aca="false">AD711*$M711</f>
        <v>0</v>
      </c>
      <c r="AF711" s="28"/>
      <c r="AG711" s="28" t="n">
        <f aca="false">AF711*$M711</f>
        <v>0</v>
      </c>
      <c r="AH711" s="28"/>
      <c r="AI711" s="28" t="n">
        <f aca="false">AH711*$M711</f>
        <v>0</v>
      </c>
      <c r="AJ711" s="28" t="n">
        <f aca="false">119*288*0.02+88*0.02</f>
        <v>687.2</v>
      </c>
      <c r="AK711" s="28" t="n">
        <v>10308</v>
      </c>
      <c r="AL711" s="28"/>
      <c r="AM711" s="28" t="n">
        <f aca="false">AL711*$M711</f>
        <v>0</v>
      </c>
      <c r="AN711" s="28"/>
      <c r="AO711" s="28" t="n">
        <f aca="false">AN711*$M711</f>
        <v>0</v>
      </c>
      <c r="AP711" s="28"/>
      <c r="AQ711" s="28" t="n">
        <f aca="false">AP711*$M711</f>
        <v>0</v>
      </c>
      <c r="AR711" s="28"/>
      <c r="AS711" s="28" t="n">
        <f aca="false">AR711*$M711</f>
        <v>0</v>
      </c>
      <c r="AT711" s="28"/>
      <c r="AU711" s="28" t="n">
        <f aca="false">AT711*$M711</f>
        <v>0</v>
      </c>
      <c r="AV711" s="28"/>
      <c r="AW711" s="28" t="n">
        <f aca="false">AV711*$M711</f>
        <v>0</v>
      </c>
      <c r="AX711" s="28"/>
      <c r="AY711" s="28" t="n">
        <f aca="false">AX711*$M711</f>
        <v>0</v>
      </c>
      <c r="AZ711" s="30" t="n">
        <f aca="false">119*288*0.02+88*0.02</f>
        <v>687.2</v>
      </c>
      <c r="BA711" s="11" t="n">
        <v>10308</v>
      </c>
      <c r="BB711" s="31" t="n">
        <f aca="false">SUM(Q711,S711,U711,W711,Y711,AA711,AC711,AE711,AG711,AI711,AK711,AM711,AO711,AQ711,AS711,AU711,AW711,AY711)</f>
        <v>10308</v>
      </c>
      <c r="BC711" s="28" t="n">
        <f aca="false">BA711-BB711</f>
        <v>0</v>
      </c>
      <c r="BD711" s="32" t="n">
        <f aca="false">SUM(P711,R711,T711,V711,X711,Z711,AB711,AD711,AF711,AH711,AJ711,AL711,AN711,AP711,AR711,AT711,AV711,AX711)</f>
        <v>687.2</v>
      </c>
      <c r="BE711" s="33" t="n">
        <f aca="false">AZ711-BD711</f>
        <v>0</v>
      </c>
      <c r="BF711" s="34" t="n">
        <f aca="false">BD711*M711</f>
        <v>10308</v>
      </c>
      <c r="BG711" s="35" t="n">
        <f aca="false">BA711-BF711</f>
        <v>0</v>
      </c>
      <c r="BH711" s="19" t="str">
        <f aca="false">IF(BG711=0,"",IF(BG711&lt;&gt;BA711,"erreur de calcul",IF(BD711&lt;&gt;0,"pas de prix",IF(M711&lt;&gt; 0,"pas de quantité","pas de prix, ni de quantité"))))</f>
        <v/>
      </c>
      <c r="BI711" s="19"/>
    </row>
    <row r="712" customFormat="false" ht="15" hidden="false" customHeight="false" outlineLevel="0" collapsed="false">
      <c r="A712" s="0" t="n">
        <v>8</v>
      </c>
      <c r="B712" s="8" t="s">
        <v>24</v>
      </c>
      <c r="C712" s="9" t="s">
        <v>25</v>
      </c>
      <c r="D712" s="9" t="s">
        <v>26</v>
      </c>
      <c r="E712" s="10" t="n">
        <v>1789</v>
      </c>
      <c r="F712" s="9" t="s">
        <v>27</v>
      </c>
      <c r="G712" s="9" t="s">
        <v>27</v>
      </c>
      <c r="H712" s="11" t="n">
        <v>18</v>
      </c>
      <c r="I712" s="11" t="s">
        <v>73</v>
      </c>
      <c r="J712" s="14"/>
      <c r="K712" s="14"/>
      <c r="L712" s="16"/>
      <c r="M712" s="27" t="n">
        <f aca="false">J712+(K712/20)+(L712/240)</f>
        <v>0</v>
      </c>
      <c r="N712" s="17"/>
      <c r="O712" s="11"/>
      <c r="P712" s="28"/>
      <c r="Q712" s="28" t="n">
        <f aca="false">P712*$M712</f>
        <v>0</v>
      </c>
      <c r="R712" s="28"/>
      <c r="S712" s="28" t="n">
        <f aca="false">R712*$M712</f>
        <v>0</v>
      </c>
      <c r="T712" s="28"/>
      <c r="U712" s="28" t="n">
        <v>3356</v>
      </c>
      <c r="V712" s="28"/>
      <c r="W712" s="28" t="n">
        <v>1444</v>
      </c>
      <c r="X712" s="29"/>
      <c r="Y712" s="28" t="n">
        <f aca="false">X712*$M712</f>
        <v>0</v>
      </c>
      <c r="Z712" s="28"/>
      <c r="AA712" s="28" t="n">
        <f aca="false">Z712*$M712</f>
        <v>0</v>
      </c>
      <c r="AB712" s="28"/>
      <c r="AC712" s="28" t="n">
        <f aca="false">AB712*$M712</f>
        <v>0</v>
      </c>
      <c r="AD712" s="28"/>
      <c r="AE712" s="28" t="n">
        <f aca="false">AD712*$M712</f>
        <v>0</v>
      </c>
      <c r="AF712" s="28"/>
      <c r="AG712" s="28" t="n">
        <f aca="false">AF712*$M712</f>
        <v>0</v>
      </c>
      <c r="AH712" s="28"/>
      <c r="AI712" s="28" t="n">
        <f aca="false">AH712*$M712</f>
        <v>0</v>
      </c>
      <c r="AJ712" s="28"/>
      <c r="AK712" s="28" t="n">
        <f aca="false">AJ712*$M712</f>
        <v>0</v>
      </c>
      <c r="AL712" s="28"/>
      <c r="AM712" s="28" t="n">
        <f aca="false">AL712*$M712</f>
        <v>0</v>
      </c>
      <c r="AN712" s="28"/>
      <c r="AO712" s="28" t="n">
        <f aca="false">AN712*$M712</f>
        <v>0</v>
      </c>
      <c r="AP712" s="28"/>
      <c r="AQ712" s="28" t="n">
        <f aca="false">AP712*$M712</f>
        <v>0</v>
      </c>
      <c r="AR712" s="28"/>
      <c r="AS712" s="28" t="n">
        <f aca="false">AR712*$M712</f>
        <v>0</v>
      </c>
      <c r="AT712" s="28"/>
      <c r="AU712" s="28" t="n">
        <f aca="false">AT712*$M712</f>
        <v>0</v>
      </c>
      <c r="AV712" s="28"/>
      <c r="AW712" s="28" t="n">
        <f aca="false">AV712*$M712</f>
        <v>0</v>
      </c>
      <c r="AX712" s="28"/>
      <c r="AY712" s="28" t="n">
        <f aca="false">AX712*$M712</f>
        <v>0</v>
      </c>
      <c r="AZ712" s="30"/>
      <c r="BA712" s="11" t="n">
        <v>4800</v>
      </c>
      <c r="BB712" s="31" t="n">
        <f aca="false">SUM(Q712,S712,U712,W712,Y712,AA712,AC712,AE712,AG712,AI712,AK712,AM712,AO712,AQ712,AS712,AU712,AW712,AY712)</f>
        <v>4800</v>
      </c>
      <c r="BC712" s="28" t="n">
        <f aca="false">BA712-BB712</f>
        <v>0</v>
      </c>
      <c r="BD712" s="32" t="n">
        <f aca="false">SUM(P712,R712,T712,V712,X712,Z712,AB712,AD712,AF712,AH712,AJ712,AL712,AN712,AP712,AR712,AT712,AV712,AX712)</f>
        <v>0</v>
      </c>
      <c r="BE712" s="33" t="n">
        <f aca="false">AZ712-BD712</f>
        <v>0</v>
      </c>
      <c r="BF712" s="34" t="n">
        <f aca="false">BD712*M712</f>
        <v>0</v>
      </c>
      <c r="BG712" s="35" t="n">
        <f aca="false">BA712-BF712</f>
        <v>4800</v>
      </c>
      <c r="BH712" s="19" t="str">
        <f aca="false">IF(BG712=0,"",IF(BG712&lt;&gt;BA712,"erreur de calcul",IF(BD712&lt;&gt;0,"pas de prix",IF(M712&lt;&gt; 0,"pas de quantité","pas de prix, ni de quantité"))))</f>
        <v>pas de prix, ni de quantité</v>
      </c>
      <c r="BI712" s="19"/>
    </row>
    <row r="713" customFormat="false" ht="15" hidden="false" customHeight="false" outlineLevel="0" collapsed="false">
      <c r="A713" s="0" t="n">
        <v>9</v>
      </c>
      <c r="B713" s="8" t="s">
        <v>24</v>
      </c>
      <c r="C713" s="9" t="s">
        <v>25</v>
      </c>
      <c r="D713" s="9" t="s">
        <v>26</v>
      </c>
      <c r="E713" s="10" t="n">
        <v>1789</v>
      </c>
      <c r="F713" s="9" t="s">
        <v>27</v>
      </c>
      <c r="G713" s="9" t="s">
        <v>27</v>
      </c>
      <c r="H713" s="11" t="n">
        <v>18</v>
      </c>
      <c r="I713" s="11" t="s">
        <v>74</v>
      </c>
      <c r="J713" s="14"/>
      <c r="K713" s="14"/>
      <c r="L713" s="16"/>
      <c r="M713" s="27" t="n">
        <f aca="false">J713+(K713/20)+(L713/240)</f>
        <v>0</v>
      </c>
      <c r="N713" s="17" t="s">
        <v>66</v>
      </c>
      <c r="O713" s="11"/>
      <c r="P713" s="28"/>
      <c r="Q713" s="28" t="n">
        <f aca="false">P713*$M713</f>
        <v>0</v>
      </c>
      <c r="R713" s="28"/>
      <c r="S713" s="28" t="n">
        <f aca="false">R713*$M713</f>
        <v>0</v>
      </c>
      <c r="T713" s="28"/>
      <c r="U713" s="28" t="n">
        <f aca="false">T713*$M713</f>
        <v>0</v>
      </c>
      <c r="V713" s="28"/>
      <c r="W713" s="28" t="n">
        <f aca="false">V713*$M713</f>
        <v>0</v>
      </c>
      <c r="X713" s="29"/>
      <c r="Y713" s="28"/>
      <c r="Z713" s="28"/>
      <c r="AA713" s="28" t="n">
        <f aca="false">Z713*$M713</f>
        <v>0</v>
      </c>
      <c r="AB713" s="28"/>
      <c r="AC713" s="28" t="n">
        <f aca="false">AB713*$M713</f>
        <v>0</v>
      </c>
      <c r="AD713" s="28"/>
      <c r="AE713" s="28" t="n">
        <f aca="false">AD713*$M713</f>
        <v>0</v>
      </c>
      <c r="AF713" s="28"/>
      <c r="AG713" s="28" t="n">
        <f aca="false">AF713*$M713</f>
        <v>0</v>
      </c>
      <c r="AH713" s="28" t="n">
        <v>45346</v>
      </c>
      <c r="AI713" s="28" t="n">
        <v>3174</v>
      </c>
      <c r="AJ713" s="28"/>
      <c r="AK713" s="28" t="n">
        <f aca="false">AJ713*$M713</f>
        <v>0</v>
      </c>
      <c r="AL713" s="28"/>
      <c r="AM713" s="28" t="n">
        <f aca="false">AL713*$M713</f>
        <v>0</v>
      </c>
      <c r="AN713" s="28"/>
      <c r="AO713" s="28" t="n">
        <f aca="false">AN713*$M713</f>
        <v>0</v>
      </c>
      <c r="AP713" s="28"/>
      <c r="AQ713" s="28" t="n">
        <f aca="false">AP713*$M713</f>
        <v>0</v>
      </c>
      <c r="AR713" s="28"/>
      <c r="AS713" s="28" t="n">
        <f aca="false">AR713*$M713</f>
        <v>0</v>
      </c>
      <c r="AT713" s="28"/>
      <c r="AU713" s="28" t="n">
        <f aca="false">AT713*$M713</f>
        <v>0</v>
      </c>
      <c r="AV713" s="28"/>
      <c r="AW713" s="28" t="n">
        <f aca="false">AV713*$M713</f>
        <v>0</v>
      </c>
      <c r="AX713" s="28"/>
      <c r="AY713" s="28" t="n">
        <f aca="false">AX713*$M713</f>
        <v>0</v>
      </c>
      <c r="AZ713" s="30" t="n">
        <v>45346</v>
      </c>
      <c r="BA713" s="11" t="n">
        <v>3174</v>
      </c>
      <c r="BB713" s="31" t="n">
        <f aca="false">SUM(Q713,S713,U713,W713,Y713,AA713,AC713,AE713,AG713,AI713,AK713,AM713,AO713,AQ713,AS713,AU713,AW713,AY713)</f>
        <v>3174</v>
      </c>
      <c r="BC713" s="28" t="n">
        <f aca="false">BA713-BB713</f>
        <v>0</v>
      </c>
      <c r="BD713" s="32" t="n">
        <f aca="false">SUM(P713,R713,T713,V713,X713,Z713,AB713,AD713,AF713,AH713,AJ713,AL713,AN713,AP713,AR713,AT713,AV713,AX713)</f>
        <v>45346</v>
      </c>
      <c r="BE713" s="33" t="n">
        <f aca="false">AZ713-BD713</f>
        <v>0</v>
      </c>
      <c r="BF713" s="34" t="n">
        <f aca="false">BD713*M713</f>
        <v>0</v>
      </c>
      <c r="BG713" s="35" t="n">
        <f aca="false">BA713-BF713</f>
        <v>3174</v>
      </c>
      <c r="BH713" s="19" t="str">
        <f aca="false">IF(BG713=0,"",IF(BG713&lt;&gt;BA713,"erreur de calcul",IF(BD713&lt;&gt;0,"pas de prix",IF(M713&lt;&gt; 0,"pas de quantité","pas de prix, ni de quantité"))))</f>
        <v>pas de prix</v>
      </c>
      <c r="BI713" s="19" t="s">
        <v>75</v>
      </c>
    </row>
    <row r="714" customFormat="false" ht="15" hidden="false" customHeight="false" outlineLevel="0" collapsed="false">
      <c r="A714" s="0" t="n">
        <v>10</v>
      </c>
      <c r="B714" s="8" t="s">
        <v>24</v>
      </c>
      <c r="C714" s="9" t="s">
        <v>25</v>
      </c>
      <c r="D714" s="9" t="s">
        <v>26</v>
      </c>
      <c r="E714" s="10" t="n">
        <v>1789</v>
      </c>
      <c r="F714" s="9" t="s">
        <v>27</v>
      </c>
      <c r="G714" s="9" t="s">
        <v>27</v>
      </c>
      <c r="H714" s="11" t="n">
        <v>18</v>
      </c>
      <c r="I714" s="11" t="s">
        <v>76</v>
      </c>
      <c r="J714" s="14"/>
      <c r="K714" s="14" t="n">
        <v>20</v>
      </c>
      <c r="L714" s="16"/>
      <c r="M714" s="27" t="n">
        <f aca="false">J714+(K714/20)+(L714/240)</f>
        <v>1</v>
      </c>
      <c r="N714" s="17" t="s">
        <v>64</v>
      </c>
      <c r="O714" s="11" t="s">
        <v>77</v>
      </c>
      <c r="P714" s="28" t="n">
        <f aca="false">66667/100</f>
        <v>666.67</v>
      </c>
      <c r="Q714" s="28" t="n">
        <v>667</v>
      </c>
      <c r="R714" s="28"/>
      <c r="S714" s="28" t="n">
        <f aca="false">R714*$M714</f>
        <v>0</v>
      </c>
      <c r="T714" s="28"/>
      <c r="U714" s="28" t="n">
        <f aca="false">T714*$M714</f>
        <v>0</v>
      </c>
      <c r="V714" s="28" t="n">
        <f aca="false">281532/100</f>
        <v>2815.32</v>
      </c>
      <c r="W714" s="28" t="n">
        <v>2815</v>
      </c>
      <c r="X714" s="29" t="n">
        <f aca="false">366667/100</f>
        <v>3666.67</v>
      </c>
      <c r="Y714" s="28" t="n">
        <v>3666</v>
      </c>
      <c r="Z714" s="28" t="n">
        <f aca="false">33334/100</f>
        <v>333.34</v>
      </c>
      <c r="AA714" s="28" t="n">
        <v>333</v>
      </c>
      <c r="AB714" s="28"/>
      <c r="AC714" s="28" t="n">
        <f aca="false">AB714*$M714</f>
        <v>0</v>
      </c>
      <c r="AD714" s="28"/>
      <c r="AE714" s="28" t="n">
        <f aca="false">AD714*$M714</f>
        <v>0</v>
      </c>
      <c r="AF714" s="28"/>
      <c r="AG714" s="28" t="n">
        <f aca="false">AF714*$M714</f>
        <v>0</v>
      </c>
      <c r="AH714" s="28"/>
      <c r="AI714" s="28" t="n">
        <f aca="false">AH714*$M714</f>
        <v>0</v>
      </c>
      <c r="AJ714" s="28"/>
      <c r="AK714" s="28" t="n">
        <f aca="false">AJ714*$M714</f>
        <v>0</v>
      </c>
      <c r="AL714" s="28"/>
      <c r="AM714" s="28" t="n">
        <f aca="false">AL714*$M714</f>
        <v>0</v>
      </c>
      <c r="AN714" s="28"/>
      <c r="AO714" s="28" t="n">
        <f aca="false">AN714*$M714</f>
        <v>0</v>
      </c>
      <c r="AP714" s="28"/>
      <c r="AQ714" s="28" t="n">
        <f aca="false">AP714*$M714</f>
        <v>0</v>
      </c>
      <c r="AR714" s="28"/>
      <c r="AS714" s="28" t="n">
        <f aca="false">AR714*$M714</f>
        <v>0</v>
      </c>
      <c r="AT714" s="28"/>
      <c r="AU714" s="28" t="n">
        <f aca="false">AT714*$M714</f>
        <v>0</v>
      </c>
      <c r="AV714" s="28"/>
      <c r="AW714" s="28" t="n">
        <f aca="false">AV714*$M714</f>
        <v>0</v>
      </c>
      <c r="AX714" s="28"/>
      <c r="AY714" s="28" t="n">
        <f aca="false">AX714*$M714</f>
        <v>0</v>
      </c>
      <c r="AZ714" s="30" t="n">
        <f aca="false">748200/100</f>
        <v>7482</v>
      </c>
      <c r="BA714" s="11" t="n">
        <v>7481</v>
      </c>
      <c r="BB714" s="31" t="n">
        <f aca="false">SUM(Q714,S714,U714,W714,Y714,AA714,AC714,AE714,AG714,AI714,AK714,AM714,AO714,AQ714,AS714,AU714,AW714,AY714)</f>
        <v>7481</v>
      </c>
      <c r="BC714" s="28" t="n">
        <f aca="false">BA714-BB714</f>
        <v>0</v>
      </c>
      <c r="BD714" s="32" t="n">
        <f aca="false">SUM(P714,R714,T714,V714,X714,Z714,AB714,AD714,AF714,AH714,AJ714,AL714,AN714,AP714,AR714,AT714,AV714,AX714)</f>
        <v>7482</v>
      </c>
      <c r="BE714" s="33" t="n">
        <f aca="false">AZ714-BD714</f>
        <v>0</v>
      </c>
      <c r="BF714" s="34" t="n">
        <f aca="false">BD714*M714</f>
        <v>7482</v>
      </c>
      <c r="BG714" s="35" t="n">
        <f aca="false">BA714-BF714</f>
        <v>-1</v>
      </c>
      <c r="BH714" s="19" t="str">
        <f aca="false">IF(BG714=0,"",IF(BG714&lt;&gt;BA714,"erreur de calcul",IF(BD714&lt;&gt;0,"pas de prix",IF(M714&lt;&gt; 0,"pas de quantité","pas de prix, ni de quantité"))))</f>
        <v>erreur de calcul</v>
      </c>
      <c r="BI714" s="19"/>
    </row>
    <row r="715" customFormat="false" ht="15" hidden="false" customHeight="false" outlineLevel="0" collapsed="false">
      <c r="A715" s="0" t="n">
        <v>11</v>
      </c>
      <c r="B715" s="8" t="s">
        <v>24</v>
      </c>
      <c r="C715" s="9" t="s">
        <v>25</v>
      </c>
      <c r="D715" s="9" t="s">
        <v>26</v>
      </c>
      <c r="E715" s="10" t="n">
        <v>1789</v>
      </c>
      <c r="F715" s="9" t="s">
        <v>27</v>
      </c>
      <c r="G715" s="9" t="s">
        <v>27</v>
      </c>
      <c r="H715" s="11" t="n">
        <v>18</v>
      </c>
      <c r="I715" s="11" t="s">
        <v>78</v>
      </c>
      <c r="J715" s="14"/>
      <c r="K715" s="14" t="n">
        <v>50</v>
      </c>
      <c r="L715" s="16"/>
      <c r="M715" s="27" t="n">
        <f aca="false">J715+(K715/20)+(L715/240)</f>
        <v>2.5</v>
      </c>
      <c r="N715" s="17" t="s">
        <v>79</v>
      </c>
      <c r="O715" s="11"/>
      <c r="P715" s="28"/>
      <c r="Q715" s="28" t="n">
        <f aca="false">P715*$M715</f>
        <v>0</v>
      </c>
      <c r="R715" s="28"/>
      <c r="S715" s="28" t="n">
        <f aca="false">R715*$M715</f>
        <v>0</v>
      </c>
      <c r="T715" s="28"/>
      <c r="U715" s="28" t="n">
        <f aca="false">T715*$M715</f>
        <v>0</v>
      </c>
      <c r="V715" s="28" t="n">
        <v>61807</v>
      </c>
      <c r="W715" s="28" t="n">
        <v>154517</v>
      </c>
      <c r="X715" s="29"/>
      <c r="Y715" s="28" t="n">
        <f aca="false">X715*$M715</f>
        <v>0</v>
      </c>
      <c r="Z715" s="28"/>
      <c r="AA715" s="28" t="n">
        <f aca="false">Z715*$M715</f>
        <v>0</v>
      </c>
      <c r="AB715" s="28" t="n">
        <v>43640</v>
      </c>
      <c r="AC715" s="28" t="n">
        <v>109100</v>
      </c>
      <c r="AD715" s="28"/>
      <c r="AE715" s="28" t="n">
        <f aca="false">AD715*$M715</f>
        <v>0</v>
      </c>
      <c r="AF715" s="28"/>
      <c r="AG715" s="28" t="n">
        <f aca="false">AF715*$M715</f>
        <v>0</v>
      </c>
      <c r="AH715" s="28"/>
      <c r="AI715" s="28" t="n">
        <f aca="false">AH715*$M715</f>
        <v>0</v>
      </c>
      <c r="AJ715" s="28"/>
      <c r="AK715" s="28" t="n">
        <f aca="false">AJ715*$M715</f>
        <v>0</v>
      </c>
      <c r="AL715" s="28"/>
      <c r="AM715" s="28" t="n">
        <f aca="false">AL715*$M715</f>
        <v>0</v>
      </c>
      <c r="AN715" s="28"/>
      <c r="AO715" s="28" t="n">
        <f aca="false">AN715*$M715</f>
        <v>0</v>
      </c>
      <c r="AP715" s="28"/>
      <c r="AQ715" s="28" t="n">
        <f aca="false">AP715*$M715</f>
        <v>0</v>
      </c>
      <c r="AR715" s="28"/>
      <c r="AS715" s="28" t="n">
        <f aca="false">AR715*$M715</f>
        <v>0</v>
      </c>
      <c r="AT715" s="28"/>
      <c r="AU715" s="28" t="n">
        <f aca="false">AT715*$M715</f>
        <v>0</v>
      </c>
      <c r="AV715" s="28"/>
      <c r="AW715" s="28" t="n">
        <f aca="false">AV715*$M715</f>
        <v>0</v>
      </c>
      <c r="AX715" s="28"/>
      <c r="AY715" s="28" t="n">
        <f aca="false">AX715*$M715</f>
        <v>0</v>
      </c>
      <c r="AZ715" s="30" t="n">
        <v>105447</v>
      </c>
      <c r="BA715" s="11" t="n">
        <v>263617</v>
      </c>
      <c r="BB715" s="31" t="n">
        <f aca="false">SUM(Q715,S715,U715,W715,Y715,AA715,AC715,AE715,AG715,AI715,AK715,AM715,AO715,AQ715,AS715,AU715,AW715,AY715)</f>
        <v>263617</v>
      </c>
      <c r="BC715" s="28" t="n">
        <f aca="false">BA715-BB715</f>
        <v>0</v>
      </c>
      <c r="BD715" s="32" t="n">
        <f aca="false">SUM(P715,R715,T715,V715,X715,Z715,AB715,AD715,AF715,AH715,AJ715,AL715,AN715,AP715,AR715,AT715,AV715,AX715)</f>
        <v>105447</v>
      </c>
      <c r="BE715" s="33" t="n">
        <f aca="false">AZ715-BD715</f>
        <v>0</v>
      </c>
      <c r="BF715" s="34" t="n">
        <f aca="false">BD715*M715</f>
        <v>263617.5</v>
      </c>
      <c r="BG715" s="35" t="n">
        <f aca="false">BA715-BF715</f>
        <v>-0.5</v>
      </c>
      <c r="BH715" s="19" t="str">
        <f aca="false">IF(BG715=0,"",IF(BG715&lt;&gt;BA715,"erreur de calcul",IF(BD715&lt;&gt;0,"pas de prix",IF(M715&lt;&gt; 0,"pas de quantité","pas de prix, ni de quantité"))))</f>
        <v>erreur de calcul</v>
      </c>
      <c r="BI715" s="19"/>
    </row>
    <row r="716" customFormat="false" ht="15" hidden="false" customHeight="false" outlineLevel="0" collapsed="false">
      <c r="A716" s="0" t="n">
        <v>12</v>
      </c>
      <c r="B716" s="8" t="s">
        <v>24</v>
      </c>
      <c r="C716" s="9" t="s">
        <v>25</v>
      </c>
      <c r="D716" s="9" t="s">
        <v>26</v>
      </c>
      <c r="E716" s="10" t="n">
        <v>1789</v>
      </c>
      <c r="F716" s="9" t="s">
        <v>27</v>
      </c>
      <c r="G716" s="9" t="s">
        <v>27</v>
      </c>
      <c r="H716" s="11" t="n">
        <v>18</v>
      </c>
      <c r="I716" s="11" t="s">
        <v>80</v>
      </c>
      <c r="J716" s="14"/>
      <c r="K716" s="14" t="n">
        <v>4</v>
      </c>
      <c r="L716" s="16"/>
      <c r="M716" s="27" t="n">
        <f aca="false">J716+(K716/20)+(L716/240)</f>
        <v>0.2</v>
      </c>
      <c r="N716" s="17" t="s">
        <v>81</v>
      </c>
      <c r="O716" s="11"/>
      <c r="P716" s="28"/>
      <c r="Q716" s="28" t="n">
        <f aca="false">P716*$M716</f>
        <v>0</v>
      </c>
      <c r="R716" s="28"/>
      <c r="S716" s="28" t="n">
        <f aca="false">R716*$M716</f>
        <v>0</v>
      </c>
      <c r="T716" s="28"/>
      <c r="U716" s="28" t="n">
        <f aca="false">T716*$M716</f>
        <v>0</v>
      </c>
      <c r="V716" s="28" t="n">
        <v>5800</v>
      </c>
      <c r="W716" s="28" t="n">
        <v>1160</v>
      </c>
      <c r="X716" s="29"/>
      <c r="Y716" s="28" t="n">
        <v>1069</v>
      </c>
      <c r="Z716" s="28"/>
      <c r="AA716" s="28" t="n">
        <f aca="false">Z716*$M716</f>
        <v>0</v>
      </c>
      <c r="AB716" s="28"/>
      <c r="AC716" s="28" t="n">
        <f aca="false">AB716*$M716</f>
        <v>0</v>
      </c>
      <c r="AD716" s="28"/>
      <c r="AE716" s="28" t="n">
        <f aca="false">AD716*$M716</f>
        <v>0</v>
      </c>
      <c r="AF716" s="28"/>
      <c r="AG716" s="28" t="n">
        <f aca="false">AF716*$M716</f>
        <v>0</v>
      </c>
      <c r="AH716" s="28"/>
      <c r="AI716" s="28" t="n">
        <f aca="false">AH716*$M716</f>
        <v>0</v>
      </c>
      <c r="AJ716" s="28"/>
      <c r="AK716" s="28" t="n">
        <f aca="false">AJ716*$M716</f>
        <v>0</v>
      </c>
      <c r="AL716" s="28"/>
      <c r="AM716" s="28" t="n">
        <f aca="false">AL716*$M716</f>
        <v>0</v>
      </c>
      <c r="AN716" s="28"/>
      <c r="AO716" s="28" t="n">
        <f aca="false">AN716*$M716</f>
        <v>0</v>
      </c>
      <c r="AP716" s="28"/>
      <c r="AQ716" s="28" t="n">
        <f aca="false">AP716*$M716</f>
        <v>0</v>
      </c>
      <c r="AR716" s="28"/>
      <c r="AS716" s="28" t="n">
        <f aca="false">AR716*$M716</f>
        <v>0</v>
      </c>
      <c r="AT716" s="28"/>
      <c r="AU716" s="28" t="n">
        <f aca="false">AT716*$M716</f>
        <v>0</v>
      </c>
      <c r="AV716" s="28"/>
      <c r="AW716" s="28" t="n">
        <f aca="false">AV716*$M716</f>
        <v>0</v>
      </c>
      <c r="AX716" s="28"/>
      <c r="AY716" s="28" t="n">
        <f aca="false">AX716*$M716</f>
        <v>0</v>
      </c>
      <c r="AZ716" s="30" t="n">
        <v>11144</v>
      </c>
      <c r="BA716" s="11" t="n">
        <v>2229</v>
      </c>
      <c r="BB716" s="31" t="n">
        <f aca="false">SUM(Q716,S716,U716,W716,Y716,AA716,AC716,AE716,AG716,AI716,AK716,AM716,AO716,AQ716,AS716,AU716,AW716,AY716)</f>
        <v>2229</v>
      </c>
      <c r="BC716" s="28" t="n">
        <f aca="false">BA716-BB716</f>
        <v>0</v>
      </c>
      <c r="BD716" s="32" t="n">
        <f aca="false">SUM(P716,R716,T716,V716,X716,Z716,AB716,AD716,AF716,AH716,AJ716,AL716,AN716,AP716,AR716,AT716,AV716,AX716)</f>
        <v>5800</v>
      </c>
      <c r="BE716" s="33" t="n">
        <f aca="false">AZ716-BD716</f>
        <v>5344</v>
      </c>
      <c r="BF716" s="34" t="n">
        <f aca="false">BD716*M716</f>
        <v>1160</v>
      </c>
      <c r="BG716" s="35" t="n">
        <f aca="false">BA716-BF716</f>
        <v>1069</v>
      </c>
      <c r="BH716" s="19" t="str">
        <f aca="false">IF(BG716=0,"",IF(BG716&lt;&gt;BA716,"erreur de calcul",IF(BD716&lt;&gt;0,"pas de prix",IF(M716&lt;&gt; 0,"pas de quantité","pas de prix, ni de quantité"))))</f>
        <v>erreur de calcul</v>
      </c>
      <c r="BI716" s="19"/>
    </row>
    <row r="717" customFormat="false" ht="15" hidden="false" customHeight="false" outlineLevel="0" collapsed="false">
      <c r="A717" s="0" t="n">
        <v>13</v>
      </c>
      <c r="B717" s="8" t="s">
        <v>24</v>
      </c>
      <c r="C717" s="9" t="s">
        <v>25</v>
      </c>
      <c r="D717" s="9" t="s">
        <v>26</v>
      </c>
      <c r="E717" s="10" t="n">
        <v>1789</v>
      </c>
      <c r="F717" s="9" t="s">
        <v>27</v>
      </c>
      <c r="G717" s="9" t="s">
        <v>27</v>
      </c>
      <c r="H717" s="11" t="n">
        <v>18</v>
      </c>
      <c r="I717" s="11" t="s">
        <v>82</v>
      </c>
      <c r="J717" s="14" t="n">
        <v>17</v>
      </c>
      <c r="K717" s="14"/>
      <c r="L717" s="16"/>
      <c r="M717" s="27" t="n">
        <f aca="false">J717+(K717/20)+(L717/240)</f>
        <v>17</v>
      </c>
      <c r="N717" s="17" t="s">
        <v>69</v>
      </c>
      <c r="O717" s="11"/>
      <c r="P717" s="28"/>
      <c r="Q717" s="28" t="n">
        <f aca="false">P717*$M717</f>
        <v>0</v>
      </c>
      <c r="R717" s="28"/>
      <c r="S717" s="28" t="n">
        <f aca="false">R717*$M717</f>
        <v>0</v>
      </c>
      <c r="T717" s="28"/>
      <c r="U717" s="28" t="n">
        <f aca="false">T717*$M717</f>
        <v>0</v>
      </c>
      <c r="V717" s="28" t="n">
        <v>600</v>
      </c>
      <c r="W717" s="28" t="n">
        <v>10200</v>
      </c>
      <c r="X717" s="29"/>
      <c r="Y717" s="28" t="n">
        <f aca="false">X717*$M717</f>
        <v>0</v>
      </c>
      <c r="Z717" s="28"/>
      <c r="AA717" s="28" t="n">
        <f aca="false">Z717*$M717</f>
        <v>0</v>
      </c>
      <c r="AB717" s="28"/>
      <c r="AC717" s="28" t="n">
        <f aca="false">AB717*$M717</f>
        <v>0</v>
      </c>
      <c r="AD717" s="28"/>
      <c r="AE717" s="28" t="n">
        <f aca="false">AD717*$M717</f>
        <v>0</v>
      </c>
      <c r="AF717" s="28"/>
      <c r="AG717" s="28" t="n">
        <f aca="false">AF717*$M717</f>
        <v>0</v>
      </c>
      <c r="AH717" s="28"/>
      <c r="AI717" s="28" t="n">
        <f aca="false">AH717*$M717</f>
        <v>0</v>
      </c>
      <c r="AJ717" s="28"/>
      <c r="AK717" s="28" t="n">
        <f aca="false">AJ717*$M717</f>
        <v>0</v>
      </c>
      <c r="AL717" s="28"/>
      <c r="AM717" s="28" t="n">
        <f aca="false">AL717*$M717</f>
        <v>0</v>
      </c>
      <c r="AN717" s="28"/>
      <c r="AO717" s="28" t="n">
        <f aca="false">AN717*$M717</f>
        <v>0</v>
      </c>
      <c r="AP717" s="28"/>
      <c r="AQ717" s="28" t="n">
        <f aca="false">AP717*$M717</f>
        <v>0</v>
      </c>
      <c r="AR717" s="28"/>
      <c r="AS717" s="28" t="n">
        <f aca="false">AR717*$M717</f>
        <v>0</v>
      </c>
      <c r="AT717" s="28"/>
      <c r="AU717" s="28" t="n">
        <f aca="false">AT717*$M717</f>
        <v>0</v>
      </c>
      <c r="AV717" s="28"/>
      <c r="AW717" s="28" t="n">
        <f aca="false">AV717*$M717</f>
        <v>0</v>
      </c>
      <c r="AX717" s="28"/>
      <c r="AY717" s="28" t="n">
        <f aca="false">AX717*$M717</f>
        <v>0</v>
      </c>
      <c r="AZ717" s="30" t="n">
        <v>600</v>
      </c>
      <c r="BA717" s="11" t="n">
        <v>10200</v>
      </c>
      <c r="BB717" s="31" t="n">
        <f aca="false">SUM(Q717,S717,U717,W717,Y717,AA717,AC717,AE717,AG717,AI717,AK717,AM717,AO717,AQ717,AS717,AU717,AW717,AY717)</f>
        <v>10200</v>
      </c>
      <c r="BC717" s="28" t="n">
        <f aca="false">BA717-BB717</f>
        <v>0</v>
      </c>
      <c r="BD717" s="32" t="n">
        <f aca="false">SUM(P717,R717,T717,V717,X717,Z717,AB717,AD717,AF717,AH717,AJ717,AL717,AN717,AP717,AR717,AT717,AV717,AX717)</f>
        <v>600</v>
      </c>
      <c r="BE717" s="33" t="n">
        <f aca="false">AZ717-BD717</f>
        <v>0</v>
      </c>
      <c r="BF717" s="34" t="n">
        <f aca="false">BD717*M717</f>
        <v>10200</v>
      </c>
      <c r="BG717" s="35" t="n">
        <f aca="false">BA717-BF717</f>
        <v>0</v>
      </c>
      <c r="BH717" s="19" t="str">
        <f aca="false">IF(BG717=0,"",IF(BG717&lt;&gt;BA717,"erreur de calcul",IF(BD717&lt;&gt;0,"pas de prix",IF(M717&lt;&gt; 0,"pas de quantité","pas de prix, ni de quantité"))))</f>
        <v/>
      </c>
      <c r="BI717" s="19"/>
    </row>
    <row r="718" customFormat="false" ht="15" hidden="false" customHeight="false" outlineLevel="0" collapsed="false">
      <c r="A718" s="0" t="n">
        <v>14</v>
      </c>
      <c r="B718" s="8" t="s">
        <v>24</v>
      </c>
      <c r="C718" s="9" t="s">
        <v>25</v>
      </c>
      <c r="D718" s="9" t="s">
        <v>26</v>
      </c>
      <c r="E718" s="10" t="n">
        <v>1789</v>
      </c>
      <c r="F718" s="9" t="s">
        <v>27</v>
      </c>
      <c r="G718" s="9" t="s">
        <v>27</v>
      </c>
      <c r="H718" s="11" t="n">
        <v>18</v>
      </c>
      <c r="I718" s="11" t="s">
        <v>83</v>
      </c>
      <c r="J718" s="14" t="n">
        <v>20</v>
      </c>
      <c r="K718" s="14"/>
      <c r="L718" s="16"/>
      <c r="M718" s="27" t="n">
        <f aca="false">J718+(K718/20)+(L718/240)</f>
        <v>20</v>
      </c>
      <c r="N718" s="17" t="s">
        <v>81</v>
      </c>
      <c r="O718" s="11"/>
      <c r="P718" s="28"/>
      <c r="Q718" s="28" t="n">
        <f aca="false">P718*$M718</f>
        <v>0</v>
      </c>
      <c r="R718" s="28"/>
      <c r="S718" s="28" t="n">
        <f aca="false">R718*$M718</f>
        <v>0</v>
      </c>
      <c r="T718" s="28"/>
      <c r="U718" s="28" t="n">
        <f aca="false">T718*$M718</f>
        <v>0</v>
      </c>
      <c r="V718" s="28"/>
      <c r="W718" s="28" t="n">
        <f aca="false">V718*$M718</f>
        <v>0</v>
      </c>
      <c r="X718" s="29"/>
      <c r="Y718" s="28" t="n">
        <f aca="false">X718*$M718</f>
        <v>0</v>
      </c>
      <c r="Z718" s="28" t="n">
        <v>460</v>
      </c>
      <c r="AA718" s="28" t="n">
        <v>9200</v>
      </c>
      <c r="AB718" s="28"/>
      <c r="AC718" s="28" t="n">
        <f aca="false">AB718*$M718</f>
        <v>0</v>
      </c>
      <c r="AD718" s="28"/>
      <c r="AE718" s="28" t="n">
        <f aca="false">AD718*$M718</f>
        <v>0</v>
      </c>
      <c r="AF718" s="28"/>
      <c r="AG718" s="28" t="n">
        <f aca="false">AF718*$M718</f>
        <v>0</v>
      </c>
      <c r="AH718" s="28"/>
      <c r="AI718" s="28" t="n">
        <f aca="false">AH718*$M718</f>
        <v>0</v>
      </c>
      <c r="AJ718" s="28"/>
      <c r="AK718" s="28" t="n">
        <f aca="false">AJ718*$M718</f>
        <v>0</v>
      </c>
      <c r="AL718" s="28"/>
      <c r="AM718" s="28" t="n">
        <f aca="false">AL718*$M718</f>
        <v>0</v>
      </c>
      <c r="AN718" s="28"/>
      <c r="AO718" s="28" t="n">
        <f aca="false">AN718*$M718</f>
        <v>0</v>
      </c>
      <c r="AP718" s="28"/>
      <c r="AQ718" s="28" t="n">
        <f aca="false">AP718*$M718</f>
        <v>0</v>
      </c>
      <c r="AR718" s="28"/>
      <c r="AS718" s="28" t="n">
        <f aca="false">AR718*$M718</f>
        <v>0</v>
      </c>
      <c r="AT718" s="28"/>
      <c r="AU718" s="28" t="n">
        <f aca="false">AT718*$M718</f>
        <v>0</v>
      </c>
      <c r="AV718" s="28"/>
      <c r="AW718" s="28" t="n">
        <f aca="false">AV718*$M718</f>
        <v>0</v>
      </c>
      <c r="AX718" s="28"/>
      <c r="AY718" s="28" t="n">
        <f aca="false">AX718*$M718</f>
        <v>0</v>
      </c>
      <c r="AZ718" s="30" t="n">
        <v>460</v>
      </c>
      <c r="BA718" s="11" t="n">
        <v>9200</v>
      </c>
      <c r="BB718" s="31" t="n">
        <f aca="false">SUM(Q718,S718,U718,W718,Y718,AA718,AC718,AE718,AG718,AI718,AK718,AM718,AO718,AQ718,AS718,AU718,AW718,AY718)</f>
        <v>9200</v>
      </c>
      <c r="BC718" s="28" t="n">
        <f aca="false">BA718-BB718</f>
        <v>0</v>
      </c>
      <c r="BD718" s="32" t="n">
        <f aca="false">SUM(P718,R718,T718,V718,X718,Z718,AB718,AD718,AF718,AH718,AJ718,AL718,AN718,AP718,AR718,AT718,AV718,AX718)</f>
        <v>460</v>
      </c>
      <c r="BE718" s="33" t="n">
        <f aca="false">AZ718-BD718</f>
        <v>0</v>
      </c>
      <c r="BF718" s="34" t="n">
        <f aca="false">BD718*M718</f>
        <v>9200</v>
      </c>
      <c r="BG718" s="35" t="n">
        <f aca="false">BA718-BF718</f>
        <v>0</v>
      </c>
      <c r="BH718" s="19" t="str">
        <f aca="false">IF(BG718=0,"",IF(BG718&lt;&gt;BA718,"erreur de calcul",IF(BD718&lt;&gt;0,"pas de prix",IF(M718&lt;&gt; 0,"pas de quantité","pas de prix, ni de quantité"))))</f>
        <v/>
      </c>
      <c r="BI718" s="19"/>
    </row>
    <row r="719" customFormat="false" ht="15" hidden="false" customHeight="false" outlineLevel="0" collapsed="false">
      <c r="A719" s="0" t="n">
        <v>15</v>
      </c>
      <c r="B719" s="8" t="s">
        <v>24</v>
      </c>
      <c r="C719" s="9" t="s">
        <v>25</v>
      </c>
      <c r="D719" s="9" t="s">
        <v>26</v>
      </c>
      <c r="E719" s="10" t="n">
        <v>1789</v>
      </c>
      <c r="F719" s="9" t="s">
        <v>27</v>
      </c>
      <c r="G719" s="9" t="s">
        <v>27</v>
      </c>
      <c r="H719" s="11" t="n">
        <v>18</v>
      </c>
      <c r="I719" s="11" t="s">
        <v>84</v>
      </c>
      <c r="J719" s="14" t="n">
        <v>16</v>
      </c>
      <c r="K719" s="14"/>
      <c r="L719" s="16"/>
      <c r="M719" s="27" t="n">
        <f aca="false">J719+(K719/20)+(L719/240)</f>
        <v>16</v>
      </c>
      <c r="N719" s="17" t="s">
        <v>85</v>
      </c>
      <c r="O719" s="11"/>
      <c r="P719" s="28"/>
      <c r="Q719" s="28" t="n">
        <f aca="false">P719*$M719</f>
        <v>0</v>
      </c>
      <c r="R719" s="28"/>
      <c r="S719" s="28" t="n">
        <f aca="false">R719*$M719</f>
        <v>0</v>
      </c>
      <c r="T719" s="28" t="n">
        <f aca="false">1600/100</f>
        <v>16</v>
      </c>
      <c r="U719" s="28" t="n">
        <v>256</v>
      </c>
      <c r="V719" s="28" t="n">
        <f aca="false">227136/100</f>
        <v>2271.36</v>
      </c>
      <c r="W719" s="28" t="n">
        <v>36342</v>
      </c>
      <c r="X719" s="29"/>
      <c r="Y719" s="28" t="n">
        <v>304</v>
      </c>
      <c r="Z719" s="28" t="n">
        <f aca="false">6850/100</f>
        <v>68.5</v>
      </c>
      <c r="AA719" s="28" t="n">
        <v>1096</v>
      </c>
      <c r="AB719" s="28" t="n">
        <f aca="false">204300/100</f>
        <v>2043</v>
      </c>
      <c r="AC719" s="28" t="n">
        <v>32688</v>
      </c>
      <c r="AD719" s="28" t="n">
        <f aca="false">9750/100</f>
        <v>97.5</v>
      </c>
      <c r="AE719" s="28" t="n">
        <v>1560</v>
      </c>
      <c r="AF719" s="28"/>
      <c r="AG719" s="28" t="n">
        <f aca="false">AF719*$M719</f>
        <v>0</v>
      </c>
      <c r="AH719" s="28"/>
      <c r="AI719" s="28" t="n">
        <f aca="false">AH719*$M719</f>
        <v>0</v>
      </c>
      <c r="AJ719" s="28" t="n">
        <f aca="false">1414/100</f>
        <v>14.14</v>
      </c>
      <c r="AK719" s="28" t="n">
        <v>226</v>
      </c>
      <c r="AL719" s="28" t="n">
        <f aca="false">29500/100</f>
        <v>295</v>
      </c>
      <c r="AM719" s="28" t="n">
        <v>4720</v>
      </c>
      <c r="AN719" s="28"/>
      <c r="AO719" s="28" t="n">
        <f aca="false">AN719*$M719</f>
        <v>0</v>
      </c>
      <c r="AP719" s="28" t="n">
        <f aca="false">1520/100</f>
        <v>15.2</v>
      </c>
      <c r="AQ719" s="28" t="n">
        <v>243</v>
      </c>
      <c r="AR719" s="28"/>
      <c r="AS719" s="28" t="n">
        <f aca="false">AR719*$M719</f>
        <v>0</v>
      </c>
      <c r="AT719" s="28" t="n">
        <f aca="false">2100/100</f>
        <v>21</v>
      </c>
      <c r="AU719" s="28" t="n">
        <v>336</v>
      </c>
      <c r="AV719" s="28" t="n">
        <f aca="false">1320/100</f>
        <v>13.2</v>
      </c>
      <c r="AW719" s="28" t="n">
        <v>211</v>
      </c>
      <c r="AX719" s="28" t="n">
        <f aca="false">177746/100</f>
        <v>1777.46</v>
      </c>
      <c r="AY719" s="28" t="n">
        <v>28439</v>
      </c>
      <c r="AZ719" s="30" t="n">
        <f aca="false">665136/100</f>
        <v>6651.36</v>
      </c>
      <c r="BA719" s="11" t="n">
        <v>106421</v>
      </c>
      <c r="BB719" s="31" t="n">
        <f aca="false">SUM(Q719,S719,U719,W719,Y719,AA719,AC719,AE719,AG719,AI719,AK719,AM719,AO719,AQ719,AS719,AU719,AW719,AY719)</f>
        <v>106421</v>
      </c>
      <c r="BC719" s="28" t="n">
        <f aca="false">BA719-BB719</f>
        <v>0</v>
      </c>
      <c r="BD719" s="32" t="n">
        <f aca="false">SUM(P719,R719,T719,V719,X719,Z719,AB719,AD719,AF719,AH719,AJ719,AL719,AN719,AP719,AR719,AT719,AV719,AX719)</f>
        <v>6632.36</v>
      </c>
      <c r="BE719" s="33" t="n">
        <f aca="false">AZ719-BD719</f>
        <v>18.9999999999991</v>
      </c>
      <c r="BF719" s="34" t="n">
        <f aca="false">BD719*M719</f>
        <v>106117.76</v>
      </c>
      <c r="BG719" s="35" t="n">
        <f aca="false">BA719-BF719</f>
        <v>303.239999999991</v>
      </c>
      <c r="BH719" s="19" t="str">
        <f aca="false">IF(BG719=0,"",IF(BG719&lt;&gt;BA719,"erreur de calcul",IF(BD719&lt;&gt;0,"pas de prix",IF(M719&lt;&gt; 0,"pas de quantité","pas de prix, ni de quantité"))))</f>
        <v>erreur de calcul</v>
      </c>
      <c r="BI719" s="19"/>
    </row>
    <row r="720" customFormat="false" ht="15" hidden="false" customHeight="false" outlineLevel="0" collapsed="false">
      <c r="A720" s="0" t="n">
        <v>16</v>
      </c>
      <c r="B720" s="8" t="s">
        <v>24</v>
      </c>
      <c r="C720" s="9" t="s">
        <v>25</v>
      </c>
      <c r="D720" s="9" t="s">
        <v>26</v>
      </c>
      <c r="E720" s="10" t="n">
        <v>1789</v>
      </c>
      <c r="F720" s="9" t="s">
        <v>27</v>
      </c>
      <c r="G720" s="9" t="s">
        <v>27</v>
      </c>
      <c r="H720" s="11" t="n">
        <v>18</v>
      </c>
      <c r="I720" s="11" t="s">
        <v>86</v>
      </c>
      <c r="J720" s="14" t="n">
        <v>55</v>
      </c>
      <c r="K720" s="14"/>
      <c r="L720" s="16"/>
      <c r="M720" s="27" t="n">
        <f aca="false">J720+(K720/20)+(L720/240)</f>
        <v>55</v>
      </c>
      <c r="N720" s="17" t="s">
        <v>81</v>
      </c>
      <c r="O720" s="11"/>
      <c r="P720" s="28"/>
      <c r="Q720" s="28" t="n">
        <f aca="false">P720*$M720</f>
        <v>0</v>
      </c>
      <c r="R720" s="28"/>
      <c r="S720" s="28" t="n">
        <f aca="false">R720*$M720</f>
        <v>0</v>
      </c>
      <c r="T720" s="28"/>
      <c r="U720" s="28" t="n">
        <f aca="false">T720*$M720</f>
        <v>0</v>
      </c>
      <c r="V720" s="28"/>
      <c r="W720" s="28" t="n">
        <f aca="false">V720*$M720</f>
        <v>0</v>
      </c>
      <c r="X720" s="29"/>
      <c r="Y720" s="28" t="n">
        <f aca="false">X720*$M720</f>
        <v>0</v>
      </c>
      <c r="Z720" s="28"/>
      <c r="AA720" s="28" t="n">
        <f aca="false">Z720*$M720</f>
        <v>0</v>
      </c>
      <c r="AB720" s="28"/>
      <c r="AC720" s="28" t="n">
        <f aca="false">AB720*$M720</f>
        <v>0</v>
      </c>
      <c r="AD720" s="28"/>
      <c r="AE720" s="28" t="n">
        <f aca="false">AD720*$M720</f>
        <v>0</v>
      </c>
      <c r="AF720" s="28"/>
      <c r="AG720" s="28" t="n">
        <f aca="false">AF720*$M720</f>
        <v>0</v>
      </c>
      <c r="AH720" s="28"/>
      <c r="AI720" s="28" t="n">
        <f aca="false">AH720*$M720</f>
        <v>0</v>
      </c>
      <c r="AJ720" s="28"/>
      <c r="AK720" s="28" t="n">
        <f aca="false">AJ720*$M720</f>
        <v>0</v>
      </c>
      <c r="AL720" s="28"/>
      <c r="AM720" s="28" t="n">
        <f aca="false">AL720*$M720</f>
        <v>0</v>
      </c>
      <c r="AN720" s="28"/>
      <c r="AO720" s="28" t="n">
        <f aca="false">AN720*$M720</f>
        <v>0</v>
      </c>
      <c r="AP720" s="28"/>
      <c r="AQ720" s="28" t="n">
        <f aca="false">AP720*$M720</f>
        <v>0</v>
      </c>
      <c r="AR720" s="28"/>
      <c r="AS720" s="28" t="n">
        <f aca="false">AR720*$M720</f>
        <v>0</v>
      </c>
      <c r="AT720" s="28" t="n">
        <v>319</v>
      </c>
      <c r="AU720" s="28" t="n">
        <v>17545</v>
      </c>
      <c r="AV720" s="28"/>
      <c r="AW720" s="28" t="n">
        <f aca="false">AV720*$M720</f>
        <v>0</v>
      </c>
      <c r="AX720" s="28"/>
      <c r="AY720" s="28" t="n">
        <f aca="false">AX720*$M720</f>
        <v>0</v>
      </c>
      <c r="AZ720" s="30" t="n">
        <v>319</v>
      </c>
      <c r="BA720" s="11" t="n">
        <v>17545</v>
      </c>
      <c r="BB720" s="31" t="n">
        <f aca="false">SUM(Q720,S720,U720,W720,Y720,AA720,AC720,AE720,AG720,AI720,AK720,AM720,AO720,AQ720,AS720,AU720,AW720,AY720)</f>
        <v>17545</v>
      </c>
      <c r="BC720" s="28" t="n">
        <f aca="false">BA720-BB720</f>
        <v>0</v>
      </c>
      <c r="BD720" s="32" t="n">
        <f aca="false">SUM(P720,R720,T720,V720,X720,Z720,AB720,AD720,AF720,AH720,AJ720,AL720,AN720,AP720,AR720,AT720,AV720,AX720)</f>
        <v>319</v>
      </c>
      <c r="BE720" s="33" t="n">
        <f aca="false">AZ720-BD720</f>
        <v>0</v>
      </c>
      <c r="BF720" s="34" t="n">
        <f aca="false">BD720*M720</f>
        <v>17545</v>
      </c>
      <c r="BG720" s="35" t="n">
        <f aca="false">BA720-BF720</f>
        <v>0</v>
      </c>
      <c r="BH720" s="19" t="str">
        <f aca="false">IF(BG720=0,"",IF(BG720&lt;&gt;BA720,"erreur de calcul",IF(BD720&lt;&gt;0,"pas de prix",IF(M720&lt;&gt; 0,"pas de quantité","pas de prix, ni de quantité"))))</f>
        <v/>
      </c>
      <c r="BI720" s="19"/>
    </row>
    <row r="721" customFormat="false" ht="15" hidden="false" customHeight="false" outlineLevel="0" collapsed="false">
      <c r="A721" s="0" t="n">
        <v>17</v>
      </c>
      <c r="B721" s="8" t="s">
        <v>24</v>
      </c>
      <c r="C721" s="9" t="s">
        <v>25</v>
      </c>
      <c r="D721" s="9" t="s">
        <v>26</v>
      </c>
      <c r="E721" s="10" t="n">
        <v>1789</v>
      </c>
      <c r="F721" s="9" t="s">
        <v>27</v>
      </c>
      <c r="G721" s="9" t="s">
        <v>27</v>
      </c>
      <c r="H721" s="11" t="n">
        <v>18</v>
      </c>
      <c r="I721" s="11" t="s">
        <v>87</v>
      </c>
      <c r="J721" s="14" t="n">
        <v>6</v>
      </c>
      <c r="K721" s="14"/>
      <c r="L721" s="16"/>
      <c r="M721" s="27" t="n">
        <f aca="false">J721+(K721/20)+(L721/240)</f>
        <v>6</v>
      </c>
      <c r="N721" s="17" t="s">
        <v>69</v>
      </c>
      <c r="O721" s="11" t="s">
        <v>77</v>
      </c>
      <c r="P721" s="28"/>
      <c r="Q721" s="28" t="n">
        <f aca="false">P721*$M721</f>
        <v>0</v>
      </c>
      <c r="R721" s="28" t="n">
        <v>63</v>
      </c>
      <c r="S721" s="28" t="n">
        <v>378</v>
      </c>
      <c r="T721" s="28" t="n">
        <v>2406</v>
      </c>
      <c r="U721" s="28" t="n">
        <v>14436</v>
      </c>
      <c r="V721" s="28" t="n">
        <v>222</v>
      </c>
      <c r="W721" s="28" t="n">
        <v>1332</v>
      </c>
      <c r="X721" s="29"/>
      <c r="Y721" s="28" t="n">
        <f aca="false">X721*$M721</f>
        <v>0</v>
      </c>
      <c r="Z721" s="28"/>
      <c r="AA721" s="28" t="n">
        <f aca="false">Z721*$M721</f>
        <v>0</v>
      </c>
      <c r="AB721" s="28"/>
      <c r="AC721" s="28" t="n">
        <f aca="false">AB721*$M721</f>
        <v>0</v>
      </c>
      <c r="AD721" s="28" t="n">
        <v>330</v>
      </c>
      <c r="AE721" s="28" t="n">
        <v>1980</v>
      </c>
      <c r="AF721" s="28"/>
      <c r="AG721" s="28" t="n">
        <f aca="false">AF721*$M721</f>
        <v>0</v>
      </c>
      <c r="AH721" s="28"/>
      <c r="AI721" s="28" t="n">
        <f aca="false">AH721*$M721</f>
        <v>0</v>
      </c>
      <c r="AJ721" s="28"/>
      <c r="AK721" s="28" t="n">
        <f aca="false">AJ721*$M721</f>
        <v>0</v>
      </c>
      <c r="AL721" s="28"/>
      <c r="AM721" s="28" t="n">
        <f aca="false">AL721*$M721</f>
        <v>0</v>
      </c>
      <c r="AN721" s="28"/>
      <c r="AO721" s="28" t="n">
        <f aca="false">AN721*$M721</f>
        <v>0</v>
      </c>
      <c r="AP721" s="28"/>
      <c r="AQ721" s="28" t="n">
        <f aca="false">AP721*$M721</f>
        <v>0</v>
      </c>
      <c r="AR721" s="28"/>
      <c r="AS721" s="28" t="n">
        <f aca="false">AR721*$M721</f>
        <v>0</v>
      </c>
      <c r="AT721" s="28"/>
      <c r="AU721" s="28" t="n">
        <f aca="false">AT721*$M721</f>
        <v>0</v>
      </c>
      <c r="AV721" s="28"/>
      <c r="AW721" s="28" t="n">
        <f aca="false">AV721*$M721</f>
        <v>0</v>
      </c>
      <c r="AX721" s="28"/>
      <c r="AY721" s="28" t="n">
        <f aca="false">AX721*$M721</f>
        <v>0</v>
      </c>
      <c r="AZ721" s="30" t="n">
        <v>3021</v>
      </c>
      <c r="BA721" s="11" t="n">
        <v>18126</v>
      </c>
      <c r="BB721" s="31" t="n">
        <f aca="false">SUM(Q721,S721,U721,W721,Y721,AA721,AC721,AE721,AG721,AI721,AK721,AM721,AO721,AQ721,AS721,AU721,AW721,AY721)</f>
        <v>18126</v>
      </c>
      <c r="BC721" s="28" t="n">
        <f aca="false">BA721-BB721</f>
        <v>0</v>
      </c>
      <c r="BD721" s="32" t="n">
        <f aca="false">SUM(P721,R721,T721,V721,X721,Z721,AB721,AD721,AF721,AH721,AJ721,AL721,AN721,AP721,AR721,AT721,AV721,AX721)</f>
        <v>3021</v>
      </c>
      <c r="BE721" s="33" t="n">
        <f aca="false">AZ721-BD721</f>
        <v>0</v>
      </c>
      <c r="BF721" s="34" t="n">
        <f aca="false">BD721*M721</f>
        <v>18126</v>
      </c>
      <c r="BG721" s="35" t="n">
        <f aca="false">BA721-BF721</f>
        <v>0</v>
      </c>
      <c r="BH721" s="19" t="str">
        <f aca="false">IF(BG721=0,"",IF(BG721&lt;&gt;BA721,"erreur de calcul",IF(BD721&lt;&gt;0,"pas de prix",IF(M721&lt;&gt; 0,"pas de quantité","pas de prix, ni de quantité"))))</f>
        <v/>
      </c>
      <c r="BI721" s="19"/>
    </row>
    <row r="722" customFormat="false" ht="15" hidden="false" customHeight="false" outlineLevel="0" collapsed="false">
      <c r="A722" s="0" t="n">
        <v>18</v>
      </c>
      <c r="B722" s="8" t="s">
        <v>24</v>
      </c>
      <c r="C722" s="9" t="s">
        <v>25</v>
      </c>
      <c r="D722" s="9" t="s">
        <v>26</v>
      </c>
      <c r="E722" s="10" t="n">
        <v>1789</v>
      </c>
      <c r="F722" s="9" t="s">
        <v>27</v>
      </c>
      <c r="G722" s="9" t="s">
        <v>27</v>
      </c>
      <c r="H722" s="11" t="n">
        <v>18</v>
      </c>
      <c r="I722" s="11" t="s">
        <v>88</v>
      </c>
      <c r="J722" s="14" t="n">
        <v>26</v>
      </c>
      <c r="K722" s="14"/>
      <c r="L722" s="16"/>
      <c r="M722" s="27" t="n">
        <f aca="false">J722+(K722/20)+(L722/240)</f>
        <v>26</v>
      </c>
      <c r="N722" s="17" t="s">
        <v>69</v>
      </c>
      <c r="O722" s="11"/>
      <c r="P722" s="28"/>
      <c r="Q722" s="28" t="n">
        <f aca="false">P722*$M722</f>
        <v>0</v>
      </c>
      <c r="R722" s="28"/>
      <c r="S722" s="28" t="n">
        <f aca="false">R722*$M722</f>
        <v>0</v>
      </c>
      <c r="T722" s="28"/>
      <c r="U722" s="28" t="n">
        <f aca="false">T722*$M722</f>
        <v>0</v>
      </c>
      <c r="V722" s="28"/>
      <c r="W722" s="28" t="n">
        <f aca="false">V722*$M722</f>
        <v>0</v>
      </c>
      <c r="X722" s="29"/>
      <c r="Y722" s="28" t="n">
        <f aca="false">X722*$M722</f>
        <v>0</v>
      </c>
      <c r="Z722" s="28"/>
      <c r="AA722" s="28" t="n">
        <f aca="false">Z722*$M722</f>
        <v>0</v>
      </c>
      <c r="AB722" s="28"/>
      <c r="AC722" s="28" t="n">
        <f aca="false">AB722*$M722</f>
        <v>0</v>
      </c>
      <c r="AD722" s="28"/>
      <c r="AE722" s="28" t="n">
        <f aca="false">AD722*$M722</f>
        <v>0</v>
      </c>
      <c r="AF722" s="28"/>
      <c r="AG722" s="28" t="n">
        <f aca="false">AF722*$M722</f>
        <v>0</v>
      </c>
      <c r="AH722" s="28"/>
      <c r="AI722" s="28" t="n">
        <f aca="false">AH722*$M722</f>
        <v>0</v>
      </c>
      <c r="AJ722" s="28"/>
      <c r="AK722" s="28" t="n">
        <f aca="false">AJ722*$M722</f>
        <v>0</v>
      </c>
      <c r="AL722" s="28" t="n">
        <v>150</v>
      </c>
      <c r="AM722" s="28" t="n">
        <v>3900</v>
      </c>
      <c r="AN722" s="28"/>
      <c r="AO722" s="28" t="n">
        <f aca="false">AN722*$M722</f>
        <v>0</v>
      </c>
      <c r="AP722" s="28" t="n">
        <v>4140</v>
      </c>
      <c r="AQ722" s="28" t="n">
        <v>107640</v>
      </c>
      <c r="AR722" s="28" t="n">
        <v>6957</v>
      </c>
      <c r="AS722" s="28" t="n">
        <v>180882</v>
      </c>
      <c r="AT722" s="28" t="n">
        <v>171</v>
      </c>
      <c r="AU722" s="28" t="n">
        <v>4446</v>
      </c>
      <c r="AV722" s="28" t="n">
        <v>838</v>
      </c>
      <c r="AW722" s="28" t="n">
        <v>21788</v>
      </c>
      <c r="AX722" s="28" t="n">
        <v>35</v>
      </c>
      <c r="AY722" s="28" t="n">
        <v>910</v>
      </c>
      <c r="AZ722" s="30" t="n">
        <v>12291</v>
      </c>
      <c r="BA722" s="11" t="n">
        <v>319566</v>
      </c>
      <c r="BB722" s="31" t="n">
        <f aca="false">SUM(Q722,S722,U722,W722,Y722,AA722,AC722,AE722,AG722,AI722,AK722,AM722,AO722,AQ722,AS722,AU722,AW722,AY722)</f>
        <v>319566</v>
      </c>
      <c r="BC722" s="28" t="n">
        <f aca="false">BA722-BB722</f>
        <v>0</v>
      </c>
      <c r="BD722" s="32" t="n">
        <f aca="false">SUM(P722,R722,T722,V722,X722,Z722,AB722,AD722,AF722,AH722,AJ722,AL722,AN722,AP722,AR722,AT722,AV722,AX722)</f>
        <v>12291</v>
      </c>
      <c r="BE722" s="33" t="n">
        <f aca="false">AZ722-BD722</f>
        <v>0</v>
      </c>
      <c r="BF722" s="34" t="n">
        <f aca="false">BD722*M722</f>
        <v>319566</v>
      </c>
      <c r="BG722" s="35" t="n">
        <f aca="false">BA722-BF722</f>
        <v>0</v>
      </c>
      <c r="BH722" s="19" t="str">
        <f aca="false">IF(BG722=0,"",IF(BG722&lt;&gt;BA722,"erreur de calcul",IF(BD722&lt;&gt;0,"pas de prix",IF(M722&lt;&gt; 0,"pas de quantité","pas de prix, ni de quantité"))))</f>
        <v/>
      </c>
      <c r="BI722" s="19"/>
    </row>
    <row r="723" customFormat="false" ht="15" hidden="false" customHeight="false" outlineLevel="0" collapsed="false">
      <c r="A723" s="0" t="n">
        <v>19</v>
      </c>
      <c r="B723" s="8" t="s">
        <v>24</v>
      </c>
      <c r="C723" s="9" t="s">
        <v>25</v>
      </c>
      <c r="D723" s="9" t="s">
        <v>26</v>
      </c>
      <c r="E723" s="10" t="n">
        <v>1789</v>
      </c>
      <c r="F723" s="9" t="s">
        <v>27</v>
      </c>
      <c r="G723" s="9" t="s">
        <v>27</v>
      </c>
      <c r="H723" s="11" t="n">
        <v>18</v>
      </c>
      <c r="I723" s="11" t="s">
        <v>89</v>
      </c>
      <c r="J723" s="14" t="n">
        <v>7</v>
      </c>
      <c r="K723" s="14"/>
      <c r="L723" s="16"/>
      <c r="M723" s="27" t="n">
        <f aca="false">J723+(K723/20)+(L723/240)</f>
        <v>7</v>
      </c>
      <c r="N723" s="17" t="s">
        <v>81</v>
      </c>
      <c r="O723" s="11" t="s">
        <v>77</v>
      </c>
      <c r="P723" s="28"/>
      <c r="Q723" s="28" t="n">
        <f aca="false">P723*$M723</f>
        <v>0</v>
      </c>
      <c r="R723" s="28"/>
      <c r="S723" s="28" t="n">
        <f aca="false">R723*$M723</f>
        <v>0</v>
      </c>
      <c r="T723" s="28"/>
      <c r="U723" s="28" t="n">
        <f aca="false">T723*$M723</f>
        <v>0</v>
      </c>
      <c r="V723" s="28"/>
      <c r="W723" s="28" t="n">
        <f aca="false">V723*$M723</f>
        <v>0</v>
      </c>
      <c r="X723" s="29"/>
      <c r="Y723" s="28" t="n">
        <f aca="false">X723*$M723</f>
        <v>0</v>
      </c>
      <c r="Z723" s="28"/>
      <c r="AA723" s="28" t="n">
        <f aca="false">Z723*$M723</f>
        <v>0</v>
      </c>
      <c r="AB723" s="28"/>
      <c r="AC723" s="28" t="n">
        <f aca="false">AB723*$M723</f>
        <v>0</v>
      </c>
      <c r="AD723" s="28"/>
      <c r="AE723" s="28" t="n">
        <f aca="false">AD723*$M723</f>
        <v>0</v>
      </c>
      <c r="AF723" s="28"/>
      <c r="AG723" s="28" t="n">
        <f aca="false">AF723*$M723</f>
        <v>0</v>
      </c>
      <c r="AH723" s="28"/>
      <c r="AI723" s="28" t="n">
        <f aca="false">AH723*$M723</f>
        <v>0</v>
      </c>
      <c r="AJ723" s="28"/>
      <c r="AK723" s="28" t="n">
        <f aca="false">AJ723*$M723</f>
        <v>0</v>
      </c>
      <c r="AL723" s="28"/>
      <c r="AM723" s="28" t="n">
        <f aca="false">AL723*$M723</f>
        <v>0</v>
      </c>
      <c r="AN723" s="28"/>
      <c r="AO723" s="28" t="n">
        <f aca="false">AN723*$M723</f>
        <v>0</v>
      </c>
      <c r="AP723" s="38" t="n">
        <v>1763</v>
      </c>
      <c r="AQ723" s="28" t="n">
        <v>42312</v>
      </c>
      <c r="AR723" s="28"/>
      <c r="AS723" s="28" t="n">
        <f aca="false">AR723*$M723</f>
        <v>0</v>
      </c>
      <c r="AT723" s="28"/>
      <c r="AU723" s="28" t="n">
        <f aca="false">AT723*$M723</f>
        <v>0</v>
      </c>
      <c r="AV723" s="38" t="n">
        <v>377</v>
      </c>
      <c r="AW723" s="28" t="n">
        <v>9425</v>
      </c>
      <c r="AX723" s="28"/>
      <c r="AY723" s="28" t="n">
        <f aca="false">AX723*$M723</f>
        <v>0</v>
      </c>
      <c r="AZ723" s="30" t="n">
        <v>2140</v>
      </c>
      <c r="BA723" s="11" t="n">
        <v>51737</v>
      </c>
      <c r="BB723" s="31" t="n">
        <f aca="false">SUM(Q723,S723,U723,W723,Y723,AA723,AC723,AE723,AG723,AI723,AK723,AM723,AO723,AQ723,AS723,AU723,AW723,AY723)</f>
        <v>51737</v>
      </c>
      <c r="BC723" s="28" t="n">
        <f aca="false">BA723-BB723</f>
        <v>0</v>
      </c>
      <c r="BD723" s="32" t="n">
        <f aca="false">SUM(P723,R723,T723,V723,X723,Z723,AB723,AD723,AF723,AH723,AJ723,AL723,AN723,AP723,AR723,AT723,AV723,AX723)</f>
        <v>2140</v>
      </c>
      <c r="BE723" s="33" t="n">
        <f aca="false">AZ723-BD723</f>
        <v>0</v>
      </c>
      <c r="BF723" s="34" t="n">
        <f aca="false">BD723*M723</f>
        <v>14980</v>
      </c>
      <c r="BG723" s="35" t="n">
        <f aca="false">BA723-BF723</f>
        <v>36757</v>
      </c>
      <c r="BH723" s="19" t="str">
        <f aca="false">IF(BG723=0,"",IF(BG723&lt;&gt;BA723,"erreur de calcul",IF(BD723&lt;&gt;0,"pas de prix",IF(M723&lt;&gt; 0,"pas de quantité","pas de prix, ni de quantité"))))</f>
        <v>erreur de calcul</v>
      </c>
      <c r="BI723" s="19" t="s">
        <v>90</v>
      </c>
    </row>
    <row r="724" customFormat="false" ht="15" hidden="false" customHeight="false" outlineLevel="0" collapsed="false">
      <c r="A724" s="0" t="n">
        <v>20</v>
      </c>
      <c r="B724" s="8" t="s">
        <v>24</v>
      </c>
      <c r="C724" s="9" t="s">
        <v>25</v>
      </c>
      <c r="D724" s="9" t="s">
        <v>26</v>
      </c>
      <c r="E724" s="10" t="n">
        <v>1789</v>
      </c>
      <c r="F724" s="9" t="s">
        <v>27</v>
      </c>
      <c r="G724" s="9" t="s">
        <v>27</v>
      </c>
      <c r="H724" s="11" t="n">
        <v>18</v>
      </c>
      <c r="I724" s="11" t="s">
        <v>91</v>
      </c>
      <c r="J724" s="14" t="n">
        <v>30</v>
      </c>
      <c r="K724" s="14"/>
      <c r="L724" s="16"/>
      <c r="M724" s="27" t="n">
        <f aca="false">J724+(K724/20)+(L724/240)</f>
        <v>30</v>
      </c>
      <c r="N724" s="17" t="s">
        <v>64</v>
      </c>
      <c r="O724" s="11"/>
      <c r="P724" s="28"/>
      <c r="Q724" s="28" t="n">
        <f aca="false">P724*$M724</f>
        <v>0</v>
      </c>
      <c r="R724" s="28"/>
      <c r="S724" s="28" t="n">
        <f aca="false">R724*$M724</f>
        <v>0</v>
      </c>
      <c r="T724" s="28"/>
      <c r="U724" s="28" t="n">
        <f aca="false">T724*$M724</f>
        <v>0</v>
      </c>
      <c r="V724" s="28" t="n">
        <f aca="false">12300/100</f>
        <v>123</v>
      </c>
      <c r="W724" s="28" t="n">
        <v>3690</v>
      </c>
      <c r="X724" s="29"/>
      <c r="Y724" s="28" t="n">
        <f aca="false">X724*$M724</f>
        <v>0</v>
      </c>
      <c r="Z724" s="28"/>
      <c r="AA724" s="28" t="n">
        <f aca="false">Z724*$M724</f>
        <v>0</v>
      </c>
      <c r="AB724" s="28" t="n">
        <f aca="false">16277/100</f>
        <v>162.77</v>
      </c>
      <c r="AC724" s="28" t="n">
        <v>4883</v>
      </c>
      <c r="AD724" s="28"/>
      <c r="AE724" s="28" t="n">
        <f aca="false">AD724*$M724</f>
        <v>0</v>
      </c>
      <c r="AF724" s="28"/>
      <c r="AG724" s="28" t="n">
        <f aca="false">AF724*$M724</f>
        <v>0</v>
      </c>
      <c r="AH724" s="28"/>
      <c r="AI724" s="28" t="n">
        <f aca="false">AH724*$M724</f>
        <v>0</v>
      </c>
      <c r="AJ724" s="28"/>
      <c r="AK724" s="28" t="n">
        <f aca="false">AJ724*$M724</f>
        <v>0</v>
      </c>
      <c r="AL724" s="28"/>
      <c r="AM724" s="28" t="n">
        <f aca="false">AL724*$M724</f>
        <v>0</v>
      </c>
      <c r="AN724" s="28"/>
      <c r="AO724" s="28" t="n">
        <f aca="false">AN724*$M724</f>
        <v>0</v>
      </c>
      <c r="AP724" s="28"/>
      <c r="AQ724" s="28" t="n">
        <f aca="false">AP724*$M724</f>
        <v>0</v>
      </c>
      <c r="AR724" s="28"/>
      <c r="AS724" s="28" t="n">
        <f aca="false">AR724*$M724</f>
        <v>0</v>
      </c>
      <c r="AT724" s="28"/>
      <c r="AU724" s="28" t="n">
        <f aca="false">AT724*$M724</f>
        <v>0</v>
      </c>
      <c r="AV724" s="28"/>
      <c r="AW724" s="28" t="n">
        <f aca="false">AV724*$M724</f>
        <v>0</v>
      </c>
      <c r="AX724" s="28"/>
      <c r="AY724" s="28" t="n">
        <f aca="false">AX724*$M724</f>
        <v>0</v>
      </c>
      <c r="AZ724" s="30" t="n">
        <f aca="false">28577/100</f>
        <v>285.77</v>
      </c>
      <c r="BA724" s="11" t="n">
        <v>8573</v>
      </c>
      <c r="BB724" s="31" t="n">
        <f aca="false">SUM(Q724,S724,U724,W724,Y724,AA724,AC724,AE724,AG724,AI724,AK724,AM724,AO724,AQ724,AS724,AU724,AW724,AY724)</f>
        <v>8573</v>
      </c>
      <c r="BC724" s="28" t="n">
        <f aca="false">BA724-BB724</f>
        <v>0</v>
      </c>
      <c r="BD724" s="32" t="n">
        <f aca="false">SUM(P724,R724,T724,V724,X724,Z724,AB724,AD724,AF724,AH724,AJ724,AL724,AN724,AP724,AR724,AT724,AV724,AX724)</f>
        <v>285.77</v>
      </c>
      <c r="BE724" s="33" t="n">
        <f aca="false">AZ724-BD724</f>
        <v>0</v>
      </c>
      <c r="BF724" s="34" t="n">
        <f aca="false">BD724*M724</f>
        <v>8573.1</v>
      </c>
      <c r="BG724" s="35" t="n">
        <f aca="false">BA724-BF724</f>
        <v>-0.0999999999985448</v>
      </c>
      <c r="BH724" s="19" t="str">
        <f aca="false">IF(BG724=0,"",IF(BG724&lt;&gt;BA724,"erreur de calcul",IF(BD724&lt;&gt;0,"pas de prix",IF(M724&lt;&gt; 0,"pas de quantité","pas de prix, ni de quantité"))))</f>
        <v>erreur de calcul</v>
      </c>
      <c r="BI724" s="19"/>
    </row>
    <row r="725" customFormat="false" ht="15" hidden="false" customHeight="false" outlineLevel="0" collapsed="false">
      <c r="A725" s="0" t="n">
        <v>21</v>
      </c>
      <c r="B725" s="8" t="s">
        <v>24</v>
      </c>
      <c r="C725" s="9" t="s">
        <v>25</v>
      </c>
      <c r="D725" s="9" t="s">
        <v>26</v>
      </c>
      <c r="E725" s="10" t="n">
        <v>1789</v>
      </c>
      <c r="F725" s="9" t="s">
        <v>27</v>
      </c>
      <c r="G725" s="9" t="s">
        <v>27</v>
      </c>
      <c r="H725" s="11" t="n">
        <v>18</v>
      </c>
      <c r="I725" s="11" t="s">
        <v>92</v>
      </c>
      <c r="J725" s="14"/>
      <c r="K725" s="14" t="n">
        <v>25</v>
      </c>
      <c r="L725" s="16"/>
      <c r="M725" s="27" t="n">
        <f aca="false">J725+(K725/20)+(L725/240)</f>
        <v>1.25</v>
      </c>
      <c r="N725" s="17" t="s">
        <v>81</v>
      </c>
      <c r="O725" s="11"/>
      <c r="P725" s="28"/>
      <c r="Q725" s="28" t="n">
        <f aca="false">P725*$M725</f>
        <v>0</v>
      </c>
      <c r="R725" s="28"/>
      <c r="S725" s="28" t="n">
        <f aca="false">R725*$M725</f>
        <v>0</v>
      </c>
      <c r="T725" s="28"/>
      <c r="U725" s="28" t="n">
        <f aca="false">T725*$M725</f>
        <v>0</v>
      </c>
      <c r="V725" s="28" t="n">
        <v>17192</v>
      </c>
      <c r="W725" s="28" t="n">
        <v>21490</v>
      </c>
      <c r="X725" s="29"/>
      <c r="Y725" s="28" t="n">
        <f aca="false">X725*$M725</f>
        <v>0</v>
      </c>
      <c r="Z725" s="28"/>
      <c r="AA725" s="28" t="n">
        <f aca="false">Z725*$M725</f>
        <v>0</v>
      </c>
      <c r="AB725" s="28"/>
      <c r="AC725" s="28" t="n">
        <f aca="false">AB725*$M725</f>
        <v>0</v>
      </c>
      <c r="AD725" s="28"/>
      <c r="AE725" s="28" t="n">
        <f aca="false">AD725*$M725</f>
        <v>0</v>
      </c>
      <c r="AF725" s="28"/>
      <c r="AG725" s="28" t="n">
        <f aca="false">AF725*$M725</f>
        <v>0</v>
      </c>
      <c r="AH725" s="28"/>
      <c r="AI725" s="28" t="n">
        <f aca="false">AH725*$M725</f>
        <v>0</v>
      </c>
      <c r="AJ725" s="28"/>
      <c r="AK725" s="28" t="n">
        <f aca="false">AJ725*$M725</f>
        <v>0</v>
      </c>
      <c r="AL725" s="28"/>
      <c r="AM725" s="28" t="n">
        <f aca="false">AL725*$M725</f>
        <v>0</v>
      </c>
      <c r="AN725" s="28"/>
      <c r="AO725" s="28" t="n">
        <f aca="false">AN725*$M725</f>
        <v>0</v>
      </c>
      <c r="AP725" s="28"/>
      <c r="AQ725" s="28" t="n">
        <f aca="false">AP725*$M725</f>
        <v>0</v>
      </c>
      <c r="AR725" s="28"/>
      <c r="AS725" s="28" t="n">
        <f aca="false">AR725*$M725</f>
        <v>0</v>
      </c>
      <c r="AT725" s="28"/>
      <c r="AU725" s="28" t="n">
        <f aca="false">AT725*$M725</f>
        <v>0</v>
      </c>
      <c r="AV725" s="28"/>
      <c r="AW725" s="28" t="n">
        <f aca="false">AV725*$M725</f>
        <v>0</v>
      </c>
      <c r="AX725" s="28"/>
      <c r="AY725" s="28" t="n">
        <f aca="false">AX725*$M725</f>
        <v>0</v>
      </c>
      <c r="AZ725" s="30" t="n">
        <v>17192</v>
      </c>
      <c r="BA725" s="11" t="n">
        <v>21490</v>
      </c>
      <c r="BB725" s="31" t="n">
        <f aca="false">SUM(Q725,S725,U725,W725,Y725,AA725,AC725,AE725,AG725,AI725,AK725,AM725,AO725,AQ725,AS725,AU725,AW725,AY725)</f>
        <v>21490</v>
      </c>
      <c r="BC725" s="28" t="n">
        <f aca="false">BA725-BB725</f>
        <v>0</v>
      </c>
      <c r="BD725" s="32" t="n">
        <f aca="false">SUM(P725,R725,T725,V725,X725,Z725,AB725,AD725,AF725,AH725,AJ725,AL725,AN725,AP725,AR725,AT725,AV725,AX725)</f>
        <v>17192</v>
      </c>
      <c r="BE725" s="33" t="n">
        <f aca="false">AZ725-BD725</f>
        <v>0</v>
      </c>
      <c r="BF725" s="34" t="n">
        <f aca="false">BD725*M725</f>
        <v>21490</v>
      </c>
      <c r="BG725" s="35" t="n">
        <f aca="false">BA725-BF725</f>
        <v>0</v>
      </c>
      <c r="BH725" s="19" t="str">
        <f aca="false">IF(BG725=0,"",IF(BG725&lt;&gt;BA725,"erreur de calcul",IF(BD725&lt;&gt;0,"pas de prix",IF(M725&lt;&gt; 0,"pas de quantité","pas de prix, ni de quantité"))))</f>
        <v/>
      </c>
      <c r="BI725" s="19"/>
    </row>
    <row r="726" customFormat="false" ht="15" hidden="false" customHeight="false" outlineLevel="0" collapsed="false">
      <c r="A726" s="0" t="n">
        <v>22</v>
      </c>
      <c r="B726" s="8" t="s">
        <v>24</v>
      </c>
      <c r="C726" s="9" t="s">
        <v>25</v>
      </c>
      <c r="D726" s="9" t="s">
        <v>26</v>
      </c>
      <c r="E726" s="10" t="n">
        <v>1789</v>
      </c>
      <c r="F726" s="9" t="s">
        <v>27</v>
      </c>
      <c r="G726" s="9" t="s">
        <v>27</v>
      </c>
      <c r="H726" s="11" t="n">
        <v>18</v>
      </c>
      <c r="I726" s="11" t="s">
        <v>93</v>
      </c>
      <c r="J726" s="14" t="n">
        <v>4</v>
      </c>
      <c r="K726" s="14"/>
      <c r="L726" s="16"/>
      <c r="M726" s="27" t="n">
        <f aca="false">J726+(K726/20)+(L726/240)</f>
        <v>4</v>
      </c>
      <c r="N726" s="17" t="s">
        <v>94</v>
      </c>
      <c r="O726" s="11"/>
      <c r="P726" s="28"/>
      <c r="Q726" s="28" t="n">
        <f aca="false">P726*$M726</f>
        <v>0</v>
      </c>
      <c r="R726" s="28"/>
      <c r="S726" s="28" t="n">
        <f aca="false">R726*$M726</f>
        <v>0</v>
      </c>
      <c r="T726" s="28"/>
      <c r="U726" s="28" t="n">
        <f aca="false">T726*$M726</f>
        <v>0</v>
      </c>
      <c r="V726" s="28"/>
      <c r="W726" s="28" t="n">
        <f aca="false">V726*$M726</f>
        <v>0</v>
      </c>
      <c r="X726" s="29"/>
      <c r="Y726" s="28" t="n">
        <f aca="false">X726*$M726</f>
        <v>0</v>
      </c>
      <c r="Z726" s="28"/>
      <c r="AA726" s="28" t="n">
        <f aca="false">Z726*$M726</f>
        <v>0</v>
      </c>
      <c r="AB726" s="28"/>
      <c r="AC726" s="28" t="n">
        <f aca="false">AB726*$M726</f>
        <v>0</v>
      </c>
      <c r="AD726" s="28" t="n">
        <v>900</v>
      </c>
      <c r="AE726" s="28" t="n">
        <v>3600</v>
      </c>
      <c r="AF726" s="28"/>
      <c r="AG726" s="28" t="n">
        <f aca="false">AF726*$M726</f>
        <v>0</v>
      </c>
      <c r="AH726" s="28"/>
      <c r="AI726" s="28" t="n">
        <f aca="false">AH726*$M726</f>
        <v>0</v>
      </c>
      <c r="AJ726" s="28"/>
      <c r="AK726" s="28" t="n">
        <f aca="false">AJ726*$M726</f>
        <v>0</v>
      </c>
      <c r="AL726" s="28"/>
      <c r="AM726" s="28" t="n">
        <f aca="false">AL726*$M726</f>
        <v>0</v>
      </c>
      <c r="AN726" s="28"/>
      <c r="AO726" s="28" t="n">
        <f aca="false">AN726*$M726</f>
        <v>0</v>
      </c>
      <c r="AP726" s="28" t="n">
        <v>36</v>
      </c>
      <c r="AQ726" s="28" t="n">
        <v>144</v>
      </c>
      <c r="AR726" s="28"/>
      <c r="AS726" s="28" t="n">
        <f aca="false">AR726*$M726</f>
        <v>0</v>
      </c>
      <c r="AT726" s="28"/>
      <c r="AU726" s="28" t="n">
        <f aca="false">AT726*$M726</f>
        <v>0</v>
      </c>
      <c r="AV726" s="28"/>
      <c r="AW726" s="28" t="n">
        <f aca="false">AV726*$M726</f>
        <v>0</v>
      </c>
      <c r="AX726" s="28"/>
      <c r="AY726" s="28" t="n">
        <f aca="false">AX726*$M726</f>
        <v>0</v>
      </c>
      <c r="AZ726" s="30" t="n">
        <v>936</v>
      </c>
      <c r="BA726" s="11" t="n">
        <v>3744</v>
      </c>
      <c r="BB726" s="31" t="n">
        <f aca="false">SUM(Q726,S726,U726,W726,Y726,AA726,AC726,AE726,AG726,AI726,AK726,AM726,AO726,AQ726,AS726,AU726,AW726,AY726)</f>
        <v>3744</v>
      </c>
      <c r="BC726" s="28" t="n">
        <f aca="false">BA726-BB726</f>
        <v>0</v>
      </c>
      <c r="BD726" s="32" t="n">
        <f aca="false">SUM(P726,R726,T726,V726,X726,Z726,AB726,AD726,AF726,AH726,AJ726,AL726,AN726,AP726,AR726,AT726,AV726,AX726)</f>
        <v>936</v>
      </c>
      <c r="BE726" s="33" t="n">
        <f aca="false">AZ726-BD726</f>
        <v>0</v>
      </c>
      <c r="BF726" s="34" t="n">
        <f aca="false">BD726*M726</f>
        <v>3744</v>
      </c>
      <c r="BG726" s="35" t="n">
        <f aca="false">BA726-BF726</f>
        <v>0</v>
      </c>
      <c r="BH726" s="19" t="str">
        <f aca="false">IF(BG726=0,"",IF(BG726&lt;&gt;BA726,"erreur de calcul",IF(BD726&lt;&gt;0,"pas de prix",IF(M726&lt;&gt; 0,"pas de quantité","pas de prix, ni de quantité"))))</f>
        <v/>
      </c>
      <c r="BI726" s="19"/>
    </row>
    <row r="727" customFormat="false" ht="15" hidden="false" customHeight="false" outlineLevel="0" collapsed="false">
      <c r="A727" s="0" t="n">
        <v>23</v>
      </c>
      <c r="B727" s="8" t="s">
        <v>24</v>
      </c>
      <c r="C727" s="9" t="s">
        <v>25</v>
      </c>
      <c r="D727" s="9" t="s">
        <v>26</v>
      </c>
      <c r="E727" s="10" t="n">
        <v>1789</v>
      </c>
      <c r="F727" s="9" t="s">
        <v>27</v>
      </c>
      <c r="G727" s="9" t="s">
        <v>27</v>
      </c>
      <c r="H727" s="11" t="n">
        <v>18</v>
      </c>
      <c r="I727" s="11" t="s">
        <v>95</v>
      </c>
      <c r="J727" s="14" t="n">
        <v>40</v>
      </c>
      <c r="K727" s="14"/>
      <c r="L727" s="16"/>
      <c r="M727" s="27" t="n">
        <f aca="false">J727+(K727/20)+(L727/240)</f>
        <v>40</v>
      </c>
      <c r="N727" s="17" t="s">
        <v>64</v>
      </c>
      <c r="O727" s="11"/>
      <c r="P727" s="28" t="n">
        <f aca="false">16000/100</f>
        <v>160</v>
      </c>
      <c r="Q727" s="28" t="n">
        <v>6400</v>
      </c>
      <c r="R727" s="28"/>
      <c r="S727" s="28" t="n">
        <f aca="false">R727*$M727</f>
        <v>0</v>
      </c>
      <c r="T727" s="28"/>
      <c r="U727" s="28" t="n">
        <f aca="false">T727*$M727</f>
        <v>0</v>
      </c>
      <c r="V727" s="28"/>
      <c r="W727" s="28" t="n">
        <f aca="false">V727*$M727</f>
        <v>0</v>
      </c>
      <c r="X727" s="29"/>
      <c r="Y727" s="28" t="n">
        <f aca="false">X727*$M727</f>
        <v>0</v>
      </c>
      <c r="Z727" s="28"/>
      <c r="AA727" s="28" t="n">
        <f aca="false">Z727*$M727</f>
        <v>0</v>
      </c>
      <c r="AB727" s="28"/>
      <c r="AC727" s="28" t="n">
        <f aca="false">AB727*$M727</f>
        <v>0</v>
      </c>
      <c r="AD727" s="28"/>
      <c r="AE727" s="28" t="n">
        <f aca="false">AD727*$M727</f>
        <v>0</v>
      </c>
      <c r="AF727" s="28"/>
      <c r="AG727" s="28" t="n">
        <f aca="false">AF727*$M727</f>
        <v>0</v>
      </c>
      <c r="AH727" s="28"/>
      <c r="AI727" s="28" t="n">
        <f aca="false">AH727*$M727</f>
        <v>0</v>
      </c>
      <c r="AJ727" s="28"/>
      <c r="AK727" s="28" t="n">
        <f aca="false">AJ727*$M727</f>
        <v>0</v>
      </c>
      <c r="AL727" s="28"/>
      <c r="AM727" s="28" t="n">
        <f aca="false">AL727*$M727</f>
        <v>0</v>
      </c>
      <c r="AN727" s="28"/>
      <c r="AO727" s="28" t="n">
        <f aca="false">AN727*$M727</f>
        <v>0</v>
      </c>
      <c r="AP727" s="28"/>
      <c r="AQ727" s="28" t="n">
        <f aca="false">AP727*$M727</f>
        <v>0</v>
      </c>
      <c r="AR727" s="28"/>
      <c r="AS727" s="28" t="n">
        <f aca="false">AR727*$M727</f>
        <v>0</v>
      </c>
      <c r="AT727" s="28"/>
      <c r="AU727" s="28" t="n">
        <f aca="false">AT727*$M727</f>
        <v>0</v>
      </c>
      <c r="AV727" s="28"/>
      <c r="AW727" s="28" t="n">
        <f aca="false">AV727*$M727</f>
        <v>0</v>
      </c>
      <c r="AX727" s="28"/>
      <c r="AY727" s="28" t="n">
        <f aca="false">AX727*$M727</f>
        <v>0</v>
      </c>
      <c r="AZ727" s="30" t="n">
        <f aca="false">16000/100</f>
        <v>160</v>
      </c>
      <c r="BA727" s="11" t="n">
        <v>6400</v>
      </c>
      <c r="BB727" s="31" t="n">
        <f aca="false">SUM(Q727,S727,U727,W727,Y727,AA727,AC727,AE727,AG727,AI727,AK727,AM727,AO727,AQ727,AS727,AU727,AW727,AY727)</f>
        <v>6400</v>
      </c>
      <c r="BC727" s="28" t="n">
        <f aca="false">BA727-BB727</f>
        <v>0</v>
      </c>
      <c r="BD727" s="32" t="n">
        <f aca="false">SUM(P727,R727,T727,V727,X727,Z727,AB727,AD727,AF727,AH727,AJ727,AL727,AN727,AP727,AR727,AT727,AV727,AX727)</f>
        <v>160</v>
      </c>
      <c r="BE727" s="33" t="n">
        <f aca="false">AZ727-BD727</f>
        <v>0</v>
      </c>
      <c r="BF727" s="34" t="n">
        <f aca="false">BD727*M727</f>
        <v>6400</v>
      </c>
      <c r="BG727" s="35" t="n">
        <f aca="false">BA727-BF727</f>
        <v>0</v>
      </c>
      <c r="BH727" s="19" t="str">
        <f aca="false">IF(BG727=0,"",IF(BG727&lt;&gt;BA727,"erreur de calcul",IF(BD727&lt;&gt;0,"pas de prix",IF(M727&lt;&gt; 0,"pas de quantité","pas de prix, ni de quantité"))))</f>
        <v/>
      </c>
      <c r="BI727" s="19"/>
    </row>
    <row r="728" customFormat="false" ht="15" hidden="false" customHeight="false" outlineLevel="0" collapsed="false">
      <c r="A728" s="0" t="n">
        <v>24</v>
      </c>
      <c r="B728" s="8" t="s">
        <v>24</v>
      </c>
      <c r="C728" s="9" t="s">
        <v>25</v>
      </c>
      <c r="D728" s="9" t="s">
        <v>26</v>
      </c>
      <c r="E728" s="10" t="n">
        <v>1789</v>
      </c>
      <c r="F728" s="9" t="s">
        <v>27</v>
      </c>
      <c r="G728" s="9" t="s">
        <v>27</v>
      </c>
      <c r="H728" s="11" t="n">
        <v>18</v>
      </c>
      <c r="I728" s="11" t="s">
        <v>96</v>
      </c>
      <c r="J728" s="14" t="n">
        <v>25</v>
      </c>
      <c r="K728" s="14"/>
      <c r="L728" s="16"/>
      <c r="M728" s="27" t="n">
        <f aca="false">J728+(K728/20)+(L728/240)</f>
        <v>25</v>
      </c>
      <c r="N728" s="17" t="s">
        <v>64</v>
      </c>
      <c r="O728" s="11"/>
      <c r="P728" s="28" t="n">
        <f aca="false">968306/100</f>
        <v>9683.06</v>
      </c>
      <c r="Q728" s="28" t="n">
        <v>242076</v>
      </c>
      <c r="R728" s="28"/>
      <c r="S728" s="28" t="n">
        <f aca="false">R728*$M728</f>
        <v>0</v>
      </c>
      <c r="T728" s="28"/>
      <c r="U728" s="28" t="n">
        <f aca="false">T728*$M728</f>
        <v>0</v>
      </c>
      <c r="V728" s="28" t="n">
        <f aca="false">39234/100</f>
        <v>392.34</v>
      </c>
      <c r="W728" s="28" t="n">
        <v>9808</v>
      </c>
      <c r="X728" s="29"/>
      <c r="Y728" s="28" t="n">
        <v>3410</v>
      </c>
      <c r="Z728" s="28"/>
      <c r="AA728" s="28" t="n">
        <f aca="false">Z728*$M728</f>
        <v>0</v>
      </c>
      <c r="AB728" s="28"/>
      <c r="AC728" s="28" t="n">
        <f aca="false">AB728*$M728</f>
        <v>0</v>
      </c>
      <c r="AD728" s="28"/>
      <c r="AE728" s="28" t="n">
        <f aca="false">AD728*$M728</f>
        <v>0</v>
      </c>
      <c r="AF728" s="28"/>
      <c r="AG728" s="28" t="n">
        <f aca="false">AF728*$M728</f>
        <v>0</v>
      </c>
      <c r="AH728" s="28"/>
      <c r="AI728" s="28" t="n">
        <f aca="false">AH728*$M728</f>
        <v>0</v>
      </c>
      <c r="AJ728" s="28" t="n">
        <f aca="false">2665/100</f>
        <v>26.65</v>
      </c>
      <c r="AK728" s="28" t="n">
        <v>666</v>
      </c>
      <c r="AL728" s="28"/>
      <c r="AM728" s="28" t="n">
        <f aca="false">AL728*$M728</f>
        <v>0</v>
      </c>
      <c r="AN728" s="28"/>
      <c r="AO728" s="28" t="n">
        <f aca="false">AN728*$M728</f>
        <v>0</v>
      </c>
      <c r="AP728" s="28"/>
      <c r="AQ728" s="28" t="n">
        <f aca="false">AP728*$M728</f>
        <v>0</v>
      </c>
      <c r="AR728" s="28"/>
      <c r="AS728" s="28" t="n">
        <f aca="false">AR728*$M728</f>
        <v>0</v>
      </c>
      <c r="AT728" s="28"/>
      <c r="AU728" s="28" t="n">
        <f aca="false">AT728*$M728</f>
        <v>0</v>
      </c>
      <c r="AV728" s="28"/>
      <c r="AW728" s="28" t="n">
        <f aca="false">AV728*$M728</f>
        <v>0</v>
      </c>
      <c r="AX728" s="28" t="n">
        <f aca="false">118115/100</f>
        <v>1181.15</v>
      </c>
      <c r="AY728" s="28" t="n">
        <v>29529</v>
      </c>
      <c r="AZ728" s="30" t="n">
        <f aca="false">1141960/100</f>
        <v>11419.6</v>
      </c>
      <c r="BA728" s="11" t="n">
        <v>285489</v>
      </c>
      <c r="BB728" s="31" t="n">
        <f aca="false">SUM(Q728,S728,U728,W728,Y728,AA728,AC728,AE728,AG728,AI728,AK728,AM728,AO728,AQ728,AS728,AU728,AW728,AY728)</f>
        <v>285489</v>
      </c>
      <c r="BC728" s="28" t="n">
        <f aca="false">BA728-BB728</f>
        <v>0</v>
      </c>
      <c r="BD728" s="32" t="n">
        <f aca="false">SUM(P728,R728,T728,V728,X728,Z728,AB728,AD728,AF728,AH728,AJ728,AL728,AN728,AP728,AR728,AT728,AV728,AX728)</f>
        <v>11283.2</v>
      </c>
      <c r="BE728" s="33" t="n">
        <f aca="false">AZ728-BD728</f>
        <v>136.400000000001</v>
      </c>
      <c r="BF728" s="34" t="n">
        <f aca="false">BD728*M728</f>
        <v>282080</v>
      </c>
      <c r="BG728" s="35" t="n">
        <f aca="false">BA728-BF728</f>
        <v>3409</v>
      </c>
      <c r="BH728" s="19" t="str">
        <f aca="false">IF(BG728=0,"",IF(BG728&lt;&gt;BA728,"erreur de calcul",IF(BD728&lt;&gt;0,"pas de prix",IF(M728&lt;&gt; 0,"pas de quantité","pas de prix, ni de quantité"))))</f>
        <v>erreur de calcul</v>
      </c>
      <c r="BI728" s="19"/>
    </row>
    <row r="729" customFormat="false" ht="15" hidden="false" customHeight="false" outlineLevel="0" collapsed="false">
      <c r="A729" s="0" t="n">
        <v>25</v>
      </c>
      <c r="B729" s="8" t="s">
        <v>24</v>
      </c>
      <c r="C729" s="9" t="s">
        <v>25</v>
      </c>
      <c r="D729" s="9" t="s">
        <v>26</v>
      </c>
      <c r="E729" s="10" t="n">
        <v>1789</v>
      </c>
      <c r="F729" s="9" t="s">
        <v>27</v>
      </c>
      <c r="G729" s="9" t="s">
        <v>27</v>
      </c>
      <c r="H729" s="11" t="n">
        <v>18</v>
      </c>
      <c r="I729" s="11" t="s">
        <v>97</v>
      </c>
      <c r="J729" s="14" t="n">
        <v>30</v>
      </c>
      <c r="K729" s="14"/>
      <c r="L729" s="16"/>
      <c r="M729" s="27" t="n">
        <f aca="false">J729+(K729/20)+(L729/240)</f>
        <v>30</v>
      </c>
      <c r="N729" s="17" t="s">
        <v>64</v>
      </c>
      <c r="O729" s="11" t="s">
        <v>98</v>
      </c>
      <c r="P729" s="28"/>
      <c r="Q729" s="28" t="n">
        <f aca="false">P729*$M729</f>
        <v>0</v>
      </c>
      <c r="R729" s="28"/>
      <c r="S729" s="28" t="n">
        <f aca="false">R729*$M729</f>
        <v>0</v>
      </c>
      <c r="T729" s="28"/>
      <c r="U729" s="28" t="n">
        <f aca="false">T729*$M729</f>
        <v>0</v>
      </c>
      <c r="V729" s="28"/>
      <c r="W729" s="28" t="n">
        <f aca="false">V729*$M729</f>
        <v>0</v>
      </c>
      <c r="X729" s="29"/>
      <c r="Y729" s="28" t="n">
        <f aca="false">X729*$M729</f>
        <v>0</v>
      </c>
      <c r="Z729" s="28"/>
      <c r="AA729" s="28" t="n">
        <f aca="false">Z729*$M729</f>
        <v>0</v>
      </c>
      <c r="AB729" s="28"/>
      <c r="AC729" s="28" t="n">
        <f aca="false">AB729*$M729</f>
        <v>0</v>
      </c>
      <c r="AD729" s="28"/>
      <c r="AE729" s="28" t="n">
        <f aca="false">AD729*$M729</f>
        <v>0</v>
      </c>
      <c r="AF729" s="28"/>
      <c r="AG729" s="28" t="n">
        <f aca="false">AF729*$M729</f>
        <v>0</v>
      </c>
      <c r="AH729" s="28"/>
      <c r="AI729" s="28" t="n">
        <f aca="false">AH729*$M729</f>
        <v>0</v>
      </c>
      <c r="AJ729" s="28"/>
      <c r="AK729" s="28" t="n">
        <f aca="false">AJ729*$M729</f>
        <v>0</v>
      </c>
      <c r="AL729" s="28"/>
      <c r="AM729" s="28" t="n">
        <f aca="false">AL729*$M729</f>
        <v>0</v>
      </c>
      <c r="AN729" s="28"/>
      <c r="AO729" s="28" t="n">
        <f aca="false">AN729*$M729</f>
        <v>0</v>
      </c>
      <c r="AP729" s="28"/>
      <c r="AQ729" s="28" t="n">
        <f aca="false">AP729*$M729</f>
        <v>0</v>
      </c>
      <c r="AR729" s="28"/>
      <c r="AS729" s="28" t="n">
        <f aca="false">AR729*$M729</f>
        <v>0</v>
      </c>
      <c r="AT729" s="28"/>
      <c r="AU729" s="28" t="n">
        <f aca="false">AT729*$M729</f>
        <v>0</v>
      </c>
      <c r="AV729" s="28"/>
      <c r="AW729" s="28" t="n">
        <f aca="false">AV729*$M729</f>
        <v>0</v>
      </c>
      <c r="AX729" s="28"/>
      <c r="AY729" s="28" t="n">
        <f aca="false">AX729*$M729</f>
        <v>0</v>
      </c>
      <c r="AZ729" s="30"/>
      <c r="BA729" s="11"/>
      <c r="BB729" s="31" t="n">
        <f aca="false">SUM(Q729,S729,U729,W729,Y729,AA729,AC729,AE729,AG729,AI729,AK729,AM729,AO729,AQ729,AS729,AU729,AW729,AY729)</f>
        <v>0</v>
      </c>
      <c r="BC729" s="28" t="n">
        <f aca="false">BA729-BB729</f>
        <v>0</v>
      </c>
      <c r="BD729" s="32" t="n">
        <f aca="false">SUM(P729,R729,T729,V729,X729,Z729,AB729,AD729,AF729,AH729,AJ729,AL729,AN729,AP729,AR729,AT729,AV729,AX729)</f>
        <v>0</v>
      </c>
      <c r="BE729" s="33" t="n">
        <f aca="false">AZ729-BD729</f>
        <v>0</v>
      </c>
      <c r="BF729" s="34" t="n">
        <f aca="false">BD729*M729</f>
        <v>0</v>
      </c>
      <c r="BG729" s="35" t="n">
        <f aca="false">BA729-BF729</f>
        <v>0</v>
      </c>
      <c r="BH729" s="19" t="str">
        <f aca="false">IF(BG729=0,"",IF(BG729&lt;&gt;BA729,"erreur de calcul",IF(BD729&lt;&gt;0,"pas de prix",IF(M729&lt;&gt; 0,"pas de quantité","pas de prix, ni de quantité"))))</f>
        <v/>
      </c>
      <c r="BI729" s="19"/>
    </row>
    <row r="730" customFormat="false" ht="15" hidden="false" customHeight="false" outlineLevel="0" collapsed="false">
      <c r="A730" s="0" t="n">
        <v>26</v>
      </c>
      <c r="B730" s="8" t="s">
        <v>24</v>
      </c>
      <c r="C730" s="9" t="s">
        <v>25</v>
      </c>
      <c r="D730" s="9" t="s">
        <v>26</v>
      </c>
      <c r="E730" s="10" t="n">
        <v>1789</v>
      </c>
      <c r="F730" s="9" t="s">
        <v>27</v>
      </c>
      <c r="G730" s="9" t="s">
        <v>27</v>
      </c>
      <c r="H730" s="11" t="n">
        <v>18</v>
      </c>
      <c r="I730" s="11" t="s">
        <v>99</v>
      </c>
      <c r="J730" s="14" t="n">
        <v>12</v>
      </c>
      <c r="K730" s="14"/>
      <c r="L730" s="16"/>
      <c r="M730" s="27" t="n">
        <f aca="false">J730+(K730/20)+(L730/240)</f>
        <v>12</v>
      </c>
      <c r="N730" s="17" t="s">
        <v>64</v>
      </c>
      <c r="O730" s="11"/>
      <c r="P730" s="28" t="n">
        <f aca="false">7077/100</f>
        <v>70.77</v>
      </c>
      <c r="Q730" s="28" t="n">
        <v>849</v>
      </c>
      <c r="R730" s="28"/>
      <c r="S730" s="28" t="n">
        <f aca="false">R730*$M730</f>
        <v>0</v>
      </c>
      <c r="T730" s="28"/>
      <c r="U730" s="28" t="n">
        <f aca="false">T730*$M730</f>
        <v>0</v>
      </c>
      <c r="V730" s="28"/>
      <c r="W730" s="28" t="n">
        <f aca="false">V730*$M730</f>
        <v>0</v>
      </c>
      <c r="X730" s="29"/>
      <c r="Y730" s="28" t="n">
        <v>866</v>
      </c>
      <c r="Z730" s="28"/>
      <c r="AA730" s="28" t="n">
        <f aca="false">Z730*$M730</f>
        <v>0</v>
      </c>
      <c r="AB730" s="28"/>
      <c r="AC730" s="28" t="n">
        <f aca="false">AB730*$M730</f>
        <v>0</v>
      </c>
      <c r="AD730" s="28"/>
      <c r="AE730" s="28" t="n">
        <f aca="false">AD730*$M730</f>
        <v>0</v>
      </c>
      <c r="AF730" s="28"/>
      <c r="AG730" s="28" t="n">
        <f aca="false">AF730*$M730</f>
        <v>0</v>
      </c>
      <c r="AH730" s="28"/>
      <c r="AI730" s="28" t="n">
        <f aca="false">AH730*$M730</f>
        <v>0</v>
      </c>
      <c r="AJ730" s="28"/>
      <c r="AK730" s="28" t="n">
        <f aca="false">AJ730*$M730</f>
        <v>0</v>
      </c>
      <c r="AL730" s="28"/>
      <c r="AM730" s="28" t="n">
        <f aca="false">AL730*$M730</f>
        <v>0</v>
      </c>
      <c r="AN730" s="28"/>
      <c r="AO730" s="28" t="n">
        <f aca="false">AN730*$M730</f>
        <v>0</v>
      </c>
      <c r="AP730" s="28"/>
      <c r="AQ730" s="28" t="n">
        <f aca="false">AP730*$M730</f>
        <v>0</v>
      </c>
      <c r="AR730" s="28"/>
      <c r="AS730" s="28" t="n">
        <f aca="false">AR730*$M730</f>
        <v>0</v>
      </c>
      <c r="AT730" s="28"/>
      <c r="AU730" s="28" t="n">
        <f aca="false">AT730*$M730</f>
        <v>0</v>
      </c>
      <c r="AV730" s="28"/>
      <c r="AW730" s="28" t="n">
        <f aca="false">AV730*$M730</f>
        <v>0</v>
      </c>
      <c r="AX730" s="28"/>
      <c r="AY730" s="28" t="n">
        <f aca="false">AX730*$M730</f>
        <v>0</v>
      </c>
      <c r="AZ730" s="30" t="n">
        <f aca="false">14294/100</f>
        <v>142.94</v>
      </c>
      <c r="BA730" s="11" t="n">
        <v>1715</v>
      </c>
      <c r="BB730" s="31" t="n">
        <f aca="false">SUM(Q730,S730,U730,W730,Y730,AA730,AC730,AE730,AG730,AI730,AK730,AM730,AO730,AQ730,AS730,AU730,AW730,AY730)</f>
        <v>1715</v>
      </c>
      <c r="BC730" s="28" t="n">
        <f aca="false">BA730-BB730</f>
        <v>0</v>
      </c>
      <c r="BD730" s="32" t="n">
        <f aca="false">SUM(P730,R730,T730,V730,X730,Z730,AB730,AD730,AF730,AH730,AJ730,AL730,AN730,AP730,AR730,AT730,AV730,AX730)</f>
        <v>70.77</v>
      </c>
      <c r="BE730" s="33" t="n">
        <f aca="false">AZ730-BD730</f>
        <v>72.17</v>
      </c>
      <c r="BF730" s="34" t="n">
        <f aca="false">BD730*M730</f>
        <v>849.24</v>
      </c>
      <c r="BG730" s="35" t="n">
        <f aca="false">BA730-BF730</f>
        <v>865.76</v>
      </c>
      <c r="BH730" s="19" t="str">
        <f aca="false">IF(BG730=0,"",IF(BG730&lt;&gt;BA730,"erreur de calcul",IF(BD730&lt;&gt;0,"pas de prix",IF(M730&lt;&gt; 0,"pas de quantité","pas de prix, ni de quantité"))))</f>
        <v>erreur de calcul</v>
      </c>
      <c r="BI730" s="19"/>
    </row>
    <row r="731" customFormat="false" ht="15" hidden="false" customHeight="false" outlineLevel="0" collapsed="false">
      <c r="A731" s="0" t="n">
        <v>27</v>
      </c>
      <c r="B731" s="8" t="s">
        <v>24</v>
      </c>
      <c r="C731" s="9" t="s">
        <v>25</v>
      </c>
      <c r="D731" s="9" t="s">
        <v>26</v>
      </c>
      <c r="E731" s="10" t="n">
        <v>1789</v>
      </c>
      <c r="F731" s="9" t="s">
        <v>27</v>
      </c>
      <c r="G731" s="9" t="s">
        <v>27</v>
      </c>
      <c r="H731" s="11" t="n">
        <v>18</v>
      </c>
      <c r="I731" s="11" t="s">
        <v>100</v>
      </c>
      <c r="J731" s="14" t="n">
        <v>13</v>
      </c>
      <c r="K731" s="14"/>
      <c r="L731" s="16"/>
      <c r="M731" s="27" t="n">
        <f aca="false">J731+(K731/20)+(L731/240)</f>
        <v>13</v>
      </c>
      <c r="N731" s="17" t="s">
        <v>64</v>
      </c>
      <c r="O731" s="11"/>
      <c r="P731" s="28"/>
      <c r="Q731" s="28" t="n">
        <f aca="false">P731*$M731</f>
        <v>0</v>
      </c>
      <c r="R731" s="28"/>
      <c r="S731" s="28" t="n">
        <f aca="false">R731*$M731</f>
        <v>0</v>
      </c>
      <c r="T731" s="28"/>
      <c r="U731" s="28" t="n">
        <f aca="false">T731*$M731</f>
        <v>0</v>
      </c>
      <c r="V731" s="28"/>
      <c r="W731" s="28" t="n">
        <f aca="false">V731*$M731</f>
        <v>0</v>
      </c>
      <c r="X731" s="29"/>
      <c r="Y731" s="28" t="n">
        <f aca="false">X731*$M731</f>
        <v>0</v>
      </c>
      <c r="Z731" s="28"/>
      <c r="AA731" s="28" t="n">
        <f aca="false">Z731*$M731</f>
        <v>0</v>
      </c>
      <c r="AB731" s="28"/>
      <c r="AC731" s="28" t="n">
        <f aca="false">AB731*$M731</f>
        <v>0</v>
      </c>
      <c r="AD731" s="28"/>
      <c r="AE731" s="28" t="n">
        <f aca="false">AD731*$M731</f>
        <v>0</v>
      </c>
      <c r="AF731" s="28"/>
      <c r="AG731" s="28" t="n">
        <f aca="false">AF731*$M731</f>
        <v>0</v>
      </c>
      <c r="AH731" s="28" t="n">
        <f aca="false">7819/100</f>
        <v>78.19</v>
      </c>
      <c r="AI731" s="28" t="n">
        <v>1016</v>
      </c>
      <c r="AJ731" s="28" t="n">
        <f aca="false">10382/100</f>
        <v>103.82</v>
      </c>
      <c r="AK731" s="28" t="n">
        <v>1350</v>
      </c>
      <c r="AL731" s="28"/>
      <c r="AM731" s="28" t="n">
        <f aca="false">AL731*$M731</f>
        <v>0</v>
      </c>
      <c r="AN731" s="28"/>
      <c r="AO731" s="28" t="n">
        <f aca="false">AN731*$M731</f>
        <v>0</v>
      </c>
      <c r="AP731" s="28"/>
      <c r="AQ731" s="28" t="n">
        <f aca="false">AP731*$M731</f>
        <v>0</v>
      </c>
      <c r="AR731" s="28"/>
      <c r="AS731" s="28" t="n">
        <f aca="false">AR731*$M731</f>
        <v>0</v>
      </c>
      <c r="AT731" s="28"/>
      <c r="AU731" s="28" t="n">
        <f aca="false">AT731*$M731</f>
        <v>0</v>
      </c>
      <c r="AV731" s="28"/>
      <c r="AW731" s="28" t="n">
        <f aca="false">AV731*$M731</f>
        <v>0</v>
      </c>
      <c r="AX731" s="28"/>
      <c r="AY731" s="28" t="n">
        <f aca="false">AX731*$M731</f>
        <v>0</v>
      </c>
      <c r="AZ731" s="30" t="n">
        <f aca="false">18201/100</f>
        <v>182.01</v>
      </c>
      <c r="BA731" s="11" t="n">
        <v>2366</v>
      </c>
      <c r="BB731" s="31" t="n">
        <f aca="false">SUM(Q731,S731,U731,W731,Y731,AA731,AC731,AE731,AG731,AI731,AK731,AM731,AO731,AQ731,AS731,AU731,AW731,AY731)</f>
        <v>2366</v>
      </c>
      <c r="BC731" s="28" t="n">
        <f aca="false">BA731-BB731</f>
        <v>0</v>
      </c>
      <c r="BD731" s="32" t="n">
        <f aca="false">SUM(P731,R731,T731,V731,X731,Z731,AB731,AD731,AF731,AH731,AJ731,AL731,AN731,AP731,AR731,AT731,AV731,AX731)</f>
        <v>182.01</v>
      </c>
      <c r="BE731" s="33" t="n">
        <f aca="false">AZ731-BD731</f>
        <v>0</v>
      </c>
      <c r="BF731" s="34" t="n">
        <f aca="false">BD731*M731</f>
        <v>2366.13</v>
      </c>
      <c r="BG731" s="35" t="n">
        <f aca="false">BA731-BF731</f>
        <v>-0.130000000000109</v>
      </c>
      <c r="BH731" s="19" t="str">
        <f aca="false">IF(BG731=0,"",IF(BG731&lt;&gt;BA731,"erreur de calcul",IF(BD731&lt;&gt;0,"pas de prix",IF(M731&lt;&gt; 0,"pas de quantité","pas de prix, ni de quantité"))))</f>
        <v>erreur de calcul</v>
      </c>
      <c r="BI731" s="19"/>
    </row>
    <row r="732" customFormat="false" ht="15" hidden="false" customHeight="false" outlineLevel="0" collapsed="false">
      <c r="A732" s="0" t="n">
        <v>28</v>
      </c>
      <c r="B732" s="8" t="s">
        <v>24</v>
      </c>
      <c r="C732" s="9" t="s">
        <v>25</v>
      </c>
      <c r="D732" s="9" t="s">
        <v>26</v>
      </c>
      <c r="E732" s="10" t="n">
        <v>1789</v>
      </c>
      <c r="F732" s="9" t="s">
        <v>27</v>
      </c>
      <c r="G732" s="9" t="s">
        <v>27</v>
      </c>
      <c r="H732" s="11" t="n">
        <v>18</v>
      </c>
      <c r="I732" s="11" t="s">
        <v>101</v>
      </c>
      <c r="J732" s="14" t="n">
        <v>35</v>
      </c>
      <c r="K732" s="14"/>
      <c r="L732" s="16"/>
      <c r="M732" s="27" t="n">
        <f aca="false">J732+(K732/20)+(L732/240)</f>
        <v>35</v>
      </c>
      <c r="N732" s="17" t="s">
        <v>64</v>
      </c>
      <c r="O732" s="11"/>
      <c r="P732" s="28"/>
      <c r="Q732" s="28" t="n">
        <f aca="false">P732*$M732</f>
        <v>0</v>
      </c>
      <c r="R732" s="28"/>
      <c r="S732" s="28" t="n">
        <f aca="false">R732*$M732</f>
        <v>0</v>
      </c>
      <c r="T732" s="28"/>
      <c r="U732" s="28" t="n">
        <f aca="false">T732*$M732</f>
        <v>0</v>
      </c>
      <c r="V732" s="28"/>
      <c r="W732" s="28" t="n">
        <f aca="false">V732*$M732</f>
        <v>0</v>
      </c>
      <c r="X732" s="29"/>
      <c r="Y732" s="28" t="n">
        <f aca="false">X732*$M732</f>
        <v>0</v>
      </c>
      <c r="Z732" s="28"/>
      <c r="AA732" s="28" t="n">
        <f aca="false">Z732*$M732</f>
        <v>0</v>
      </c>
      <c r="AB732" s="28"/>
      <c r="AC732" s="28" t="n">
        <f aca="false">AB732*$M732</f>
        <v>0</v>
      </c>
      <c r="AD732" s="28"/>
      <c r="AE732" s="28" t="n">
        <f aca="false">AD732*$M732</f>
        <v>0</v>
      </c>
      <c r="AF732" s="28"/>
      <c r="AG732" s="28" t="n">
        <f aca="false">AF732*$M732</f>
        <v>0</v>
      </c>
      <c r="AH732" s="28"/>
      <c r="AI732" s="28" t="n">
        <f aca="false">AH732*$M732</f>
        <v>0</v>
      </c>
      <c r="AJ732" s="28" t="n">
        <f aca="false">65277/100</f>
        <v>652.77</v>
      </c>
      <c r="AK732" s="28" t="n">
        <v>22847</v>
      </c>
      <c r="AL732" s="28"/>
      <c r="AM732" s="28" t="n">
        <f aca="false">AL732*$M732</f>
        <v>0</v>
      </c>
      <c r="AN732" s="28"/>
      <c r="AO732" s="28" t="n">
        <f aca="false">AN732*$M732</f>
        <v>0</v>
      </c>
      <c r="AP732" s="28"/>
      <c r="AQ732" s="28" t="n">
        <f aca="false">AP732*$M732</f>
        <v>0</v>
      </c>
      <c r="AR732" s="28"/>
      <c r="AS732" s="28" t="n">
        <f aca="false">AR732*$M732</f>
        <v>0</v>
      </c>
      <c r="AT732" s="28"/>
      <c r="AU732" s="28" t="n">
        <f aca="false">AT732*$M732</f>
        <v>0</v>
      </c>
      <c r="AV732" s="28"/>
      <c r="AW732" s="28" t="n">
        <f aca="false">AV732*$M732</f>
        <v>0</v>
      </c>
      <c r="AX732" s="28"/>
      <c r="AY732" s="28" t="n">
        <f aca="false">AX732*$M732</f>
        <v>0</v>
      </c>
      <c r="AZ732" s="30" t="n">
        <f aca="false">65277/100</f>
        <v>652.77</v>
      </c>
      <c r="BA732" s="11" t="n">
        <v>22847</v>
      </c>
      <c r="BB732" s="31" t="n">
        <f aca="false">SUM(Q732,S732,U732,W732,Y732,AA732,AC732,AE732,AG732,AI732,AK732,AM732,AO732,AQ732,AS732,AU732,AW732,AY732)</f>
        <v>22847</v>
      </c>
      <c r="BC732" s="28" t="n">
        <f aca="false">BA732-BB732</f>
        <v>0</v>
      </c>
      <c r="BD732" s="32" t="n">
        <f aca="false">SUM(P732,R732,T732,V732,X732,Z732,AB732,AD732,AF732,AH732,AJ732,AL732,AN732,AP732,AR732,AT732,AV732,AX732)</f>
        <v>652.77</v>
      </c>
      <c r="BE732" s="33" t="n">
        <f aca="false">AZ732-BD732</f>
        <v>0</v>
      </c>
      <c r="BF732" s="34" t="n">
        <f aca="false">BD732*M732</f>
        <v>22846.95</v>
      </c>
      <c r="BG732" s="35" t="n">
        <f aca="false">BA732-BF732</f>
        <v>0.0499999999992724</v>
      </c>
      <c r="BH732" s="19" t="str">
        <f aca="false">IF(BG732=0,"",IF(BG732&lt;&gt;BA732,"erreur de calcul",IF(BD732&lt;&gt;0,"pas de prix",IF(M732&lt;&gt; 0,"pas de quantité","pas de prix, ni de quantité"))))</f>
        <v>erreur de calcul</v>
      </c>
      <c r="BI732" s="19"/>
    </row>
    <row r="733" customFormat="false" ht="16.65" hidden="false" customHeight="false" outlineLevel="0" collapsed="false">
      <c r="A733" s="0" t="n">
        <v>29</v>
      </c>
      <c r="B733" s="8" t="s">
        <v>24</v>
      </c>
      <c r="C733" s="9" t="s">
        <v>25</v>
      </c>
      <c r="D733" s="9" t="s">
        <v>26</v>
      </c>
      <c r="E733" s="10" t="n">
        <v>1789</v>
      </c>
      <c r="F733" s="9" t="s">
        <v>27</v>
      </c>
      <c r="G733" s="9" t="s">
        <v>27</v>
      </c>
      <c r="H733" s="11" t="n">
        <v>18</v>
      </c>
      <c r="I733" s="11" t="s">
        <v>102</v>
      </c>
      <c r="J733" s="14" t="n">
        <v>47</v>
      </c>
      <c r="K733" s="14"/>
      <c r="L733" s="16"/>
      <c r="M733" s="27" t="n">
        <f aca="false">J733+(K733/20)+(L733/240)</f>
        <v>47</v>
      </c>
      <c r="N733" s="17" t="s">
        <v>64</v>
      </c>
      <c r="O733" s="11"/>
      <c r="P733" s="28" t="n">
        <f aca="false">8467/100</f>
        <v>84.67</v>
      </c>
      <c r="Q733" s="28" t="n">
        <v>3979</v>
      </c>
      <c r="R733" s="28"/>
      <c r="S733" s="28" t="n">
        <f aca="false">R733*$M733</f>
        <v>0</v>
      </c>
      <c r="T733" s="28"/>
      <c r="U733" s="28" t="n">
        <f aca="false">T733*$M733</f>
        <v>0</v>
      </c>
      <c r="V733" s="28"/>
      <c r="W733" s="28" t="n">
        <f aca="false">V733*$M733</f>
        <v>0</v>
      </c>
      <c r="X733" s="29"/>
      <c r="Y733" s="28" t="n">
        <f aca="false">X733*$M733</f>
        <v>0</v>
      </c>
      <c r="Z733" s="28"/>
      <c r="AA733" s="28" t="n">
        <f aca="false">Z733*$M733</f>
        <v>0</v>
      </c>
      <c r="AB733" s="28"/>
      <c r="AC733" s="28" t="n">
        <f aca="false">AB733*$M733</f>
        <v>0</v>
      </c>
      <c r="AD733" s="28"/>
      <c r="AE733" s="28" t="n">
        <f aca="false">AD733*$M733</f>
        <v>0</v>
      </c>
      <c r="AF733" s="28"/>
      <c r="AG733" s="28" t="n">
        <f aca="false">AF733*$M733</f>
        <v>0</v>
      </c>
      <c r="AH733" s="28"/>
      <c r="AI733" s="28" t="n">
        <f aca="false">AH733*$M733</f>
        <v>0</v>
      </c>
      <c r="AJ733" s="28"/>
      <c r="AK733" s="28" t="n">
        <f aca="false">AJ733*$M733</f>
        <v>0</v>
      </c>
      <c r="AL733" s="28"/>
      <c r="AM733" s="28" t="n">
        <f aca="false">AL733*$M733</f>
        <v>0</v>
      </c>
      <c r="AN733" s="28"/>
      <c r="AO733" s="28" t="n">
        <f aca="false">AN733*$M733</f>
        <v>0</v>
      </c>
      <c r="AP733" s="28"/>
      <c r="AQ733" s="28" t="n">
        <f aca="false">AP733*$M733</f>
        <v>0</v>
      </c>
      <c r="AR733" s="28"/>
      <c r="AS733" s="28" t="n">
        <f aca="false">AR733*$M733</f>
        <v>0</v>
      </c>
      <c r="AT733" s="28"/>
      <c r="AU733" s="28" t="n">
        <f aca="false">AT733*$M733</f>
        <v>0</v>
      </c>
      <c r="AV733" s="28"/>
      <c r="AW733" s="28" t="n">
        <f aca="false">AV733*$M733</f>
        <v>0</v>
      </c>
      <c r="AX733" s="28"/>
      <c r="AY733" s="28" t="n">
        <f aca="false">AX733*$M733</f>
        <v>0</v>
      </c>
      <c r="AZ733" s="30" t="n">
        <f aca="false">8467/100</f>
        <v>84.67</v>
      </c>
      <c r="BA733" s="11" t="n">
        <v>3979</v>
      </c>
      <c r="BB733" s="31" t="n">
        <f aca="false">SUM(Q733,S733,U733,W733,Y733,AA733,AC733,AE733,AG733,AI733,AK733,AM733,AO733,AQ733,AS733,AU733,AW733,AY733)</f>
        <v>3979</v>
      </c>
      <c r="BC733" s="28" t="n">
        <f aca="false">BA733-BB733</f>
        <v>0</v>
      </c>
      <c r="BD733" s="32" t="n">
        <f aca="false">SUM(P733,R733,T733,V733,X733,Z733,AB733,AD733,AF733,AH733,AJ733,AL733,AN733,AP733,AR733,AT733,AV733,AX733)</f>
        <v>84.67</v>
      </c>
      <c r="BE733" s="33" t="n">
        <f aca="false">AZ733-BD733</f>
        <v>0</v>
      </c>
      <c r="BF733" s="34" t="n">
        <f aca="false">BD733*M733</f>
        <v>3979.49</v>
      </c>
      <c r="BG733" s="35" t="n">
        <f aca="false">BA733-BF733</f>
        <v>-0.490000000000237</v>
      </c>
      <c r="BH733" s="19" t="str">
        <f aca="false">IF(BG733=0,"",IF(BG733&lt;&gt;BA733,"erreur de calcul",IF(BD733&lt;&gt;0,"pas de prix",IF(M733&lt;&gt; 0,"pas de quantité","pas de prix, ni de quantité"))))</f>
        <v>erreur de calcul</v>
      </c>
      <c r="BI733" s="19"/>
    </row>
    <row r="734" customFormat="false" ht="15" hidden="false" customHeight="false" outlineLevel="0" collapsed="false">
      <c r="A734" s="0" t="n">
        <v>30</v>
      </c>
      <c r="B734" s="8" t="s">
        <v>24</v>
      </c>
      <c r="C734" s="9" t="s">
        <v>25</v>
      </c>
      <c r="D734" s="9" t="s">
        <v>26</v>
      </c>
      <c r="E734" s="10" t="n">
        <v>1789</v>
      </c>
      <c r="F734" s="9" t="s">
        <v>27</v>
      </c>
      <c r="G734" s="9" t="s">
        <v>27</v>
      </c>
      <c r="H734" s="11" t="n">
        <v>18</v>
      </c>
      <c r="I734" s="11" t="s">
        <v>103</v>
      </c>
      <c r="J734" s="14" t="n">
        <v>475</v>
      </c>
      <c r="K734" s="14"/>
      <c r="L734" s="16"/>
      <c r="M734" s="27" t="n">
        <f aca="false">J734+(K734/20)+(L734/240)</f>
        <v>475</v>
      </c>
      <c r="N734" s="17" t="s">
        <v>64</v>
      </c>
      <c r="O734" s="11"/>
      <c r="P734" s="28"/>
      <c r="Q734" s="28" t="n">
        <f aca="false">P734*$M734</f>
        <v>0</v>
      </c>
      <c r="R734" s="28"/>
      <c r="S734" s="28" t="n">
        <f aca="false">R734*$M734</f>
        <v>0</v>
      </c>
      <c r="T734" s="28" t="n">
        <f aca="false">1746/100</f>
        <v>17.46</v>
      </c>
      <c r="U734" s="28" t="n">
        <v>8293</v>
      </c>
      <c r="V734" s="28"/>
      <c r="W734" s="28" t="n">
        <f aca="false">V734*$M734</f>
        <v>0</v>
      </c>
      <c r="X734" s="29"/>
      <c r="Y734" s="28" t="n">
        <f aca="false">X734*$M734</f>
        <v>0</v>
      </c>
      <c r="Z734" s="28"/>
      <c r="AA734" s="28" t="n">
        <f aca="false">Z734*$M734</f>
        <v>0</v>
      </c>
      <c r="AB734" s="28"/>
      <c r="AC734" s="28" t="n">
        <f aca="false">AB734*$M734</f>
        <v>0</v>
      </c>
      <c r="AD734" s="28"/>
      <c r="AE734" s="28" t="n">
        <f aca="false">AD734*$M734</f>
        <v>0</v>
      </c>
      <c r="AF734" s="28"/>
      <c r="AG734" s="28" t="n">
        <f aca="false">AF734*$M734</f>
        <v>0</v>
      </c>
      <c r="AH734" s="28" t="n">
        <f aca="false">1667/100</f>
        <v>16.67</v>
      </c>
      <c r="AI734" s="28" t="n">
        <v>7918</v>
      </c>
      <c r="AJ734" s="28"/>
      <c r="AK734" s="28" t="n">
        <f aca="false">AJ734*$M734</f>
        <v>0</v>
      </c>
      <c r="AL734" s="28"/>
      <c r="AM734" s="28" t="n">
        <f aca="false">AL734*$M734</f>
        <v>0</v>
      </c>
      <c r="AN734" s="28"/>
      <c r="AO734" s="28" t="n">
        <f aca="false">AN734*$M734</f>
        <v>0</v>
      </c>
      <c r="AP734" s="28"/>
      <c r="AQ734" s="28" t="n">
        <f aca="false">AP734*$M734</f>
        <v>0</v>
      </c>
      <c r="AR734" s="28"/>
      <c r="AS734" s="28" t="n">
        <f aca="false">AR734*$M734</f>
        <v>0</v>
      </c>
      <c r="AT734" s="28"/>
      <c r="AU734" s="28" t="n">
        <f aca="false">AT734*$M734</f>
        <v>0</v>
      </c>
      <c r="AV734" s="28"/>
      <c r="AW734" s="28" t="n">
        <f aca="false">AV734*$M734</f>
        <v>0</v>
      </c>
      <c r="AX734" s="28"/>
      <c r="AY734" s="28" t="n">
        <f aca="false">AX734*$M734</f>
        <v>0</v>
      </c>
      <c r="AZ734" s="30" t="n">
        <f aca="false">3413/100</f>
        <v>34.13</v>
      </c>
      <c r="BA734" s="11" t="n">
        <v>16211</v>
      </c>
      <c r="BB734" s="31" t="n">
        <f aca="false">SUM(Q734,S734,U734,W734,Y734,AA734,AC734,AE734,AG734,AI734,AK734,AM734,AO734,AQ734,AS734,AU734,AW734,AY734)</f>
        <v>16211</v>
      </c>
      <c r="BC734" s="28" t="n">
        <f aca="false">BA734-BB734</f>
        <v>0</v>
      </c>
      <c r="BD734" s="32" t="n">
        <f aca="false">SUM(P734,R734,T734,V734,X734,Z734,AB734,AD734,AF734,AH734,AJ734,AL734,AN734,AP734,AR734,AT734,AV734,AX734)</f>
        <v>34.13</v>
      </c>
      <c r="BE734" s="33" t="n">
        <f aca="false">AZ734-BD734</f>
        <v>0</v>
      </c>
      <c r="BF734" s="34" t="n">
        <f aca="false">BD734*M734</f>
        <v>16211.75</v>
      </c>
      <c r="BG734" s="35" t="n">
        <f aca="false">BA734-BF734</f>
        <v>-0.750000000001819</v>
      </c>
      <c r="BH734" s="19" t="str">
        <f aca="false">IF(BG734=0,"",IF(BG734&lt;&gt;BA734,"erreur de calcul",IF(BD734&lt;&gt;0,"pas de prix",IF(M734&lt;&gt; 0,"pas de quantité","pas de prix, ni de quantité"))))</f>
        <v>erreur de calcul</v>
      </c>
      <c r="BI734" s="19"/>
    </row>
    <row r="735" customFormat="false" ht="15" hidden="false" customHeight="false" outlineLevel="0" collapsed="false">
      <c r="A735" s="0" t="n">
        <v>31</v>
      </c>
      <c r="B735" s="8" t="s">
        <v>24</v>
      </c>
      <c r="C735" s="9" t="s">
        <v>25</v>
      </c>
      <c r="D735" s="9" t="s">
        <v>26</v>
      </c>
      <c r="E735" s="10" t="n">
        <v>1789</v>
      </c>
      <c r="F735" s="9" t="s">
        <v>27</v>
      </c>
      <c r="G735" s="9" t="s">
        <v>27</v>
      </c>
      <c r="H735" s="11" t="n">
        <v>18</v>
      </c>
      <c r="I735" s="11" t="s">
        <v>104</v>
      </c>
      <c r="J735" s="14" t="n">
        <v>310</v>
      </c>
      <c r="K735" s="14"/>
      <c r="L735" s="16"/>
      <c r="M735" s="27" t="n">
        <f aca="false">J735+(K735/20)+(L735/240)</f>
        <v>310</v>
      </c>
      <c r="N735" s="17" t="s">
        <v>64</v>
      </c>
      <c r="O735" s="11"/>
      <c r="P735" s="28"/>
      <c r="Q735" s="28" t="n">
        <f aca="false">P735*$M735</f>
        <v>0</v>
      </c>
      <c r="R735" s="28"/>
      <c r="S735" s="28" t="n">
        <f aca="false">R735*$M735</f>
        <v>0</v>
      </c>
      <c r="T735" s="28" t="n">
        <f aca="false">1087/100</f>
        <v>10.87</v>
      </c>
      <c r="U735" s="28" t="n">
        <v>3370</v>
      </c>
      <c r="V735" s="28" t="n">
        <f aca="false">285/100</f>
        <v>2.85</v>
      </c>
      <c r="W735" s="28" t="n">
        <v>883</v>
      </c>
      <c r="X735" s="29"/>
      <c r="Y735" s="28" t="n">
        <f aca="false">X735*$M735</f>
        <v>0</v>
      </c>
      <c r="Z735" s="28"/>
      <c r="AA735" s="28" t="n">
        <f aca="false">Z735*$M735</f>
        <v>0</v>
      </c>
      <c r="AB735" s="28"/>
      <c r="AC735" s="28" t="n">
        <f aca="false">AB735*$M735</f>
        <v>0</v>
      </c>
      <c r="AD735" s="28"/>
      <c r="AE735" s="28" t="n">
        <f aca="false">AD735*$M735</f>
        <v>0</v>
      </c>
      <c r="AF735" s="28"/>
      <c r="AG735" s="28" t="n">
        <f aca="false">AF735*$M735</f>
        <v>0</v>
      </c>
      <c r="AH735" s="28"/>
      <c r="AI735" s="28" t="n">
        <f aca="false">AH735*$M735</f>
        <v>0</v>
      </c>
      <c r="AJ735" s="28"/>
      <c r="AK735" s="28" t="n">
        <f aca="false">AJ735*$M735</f>
        <v>0</v>
      </c>
      <c r="AL735" s="28"/>
      <c r="AM735" s="28" t="n">
        <f aca="false">AL735*$M735</f>
        <v>0</v>
      </c>
      <c r="AN735" s="28"/>
      <c r="AO735" s="28" t="n">
        <f aca="false">AN735*$M735</f>
        <v>0</v>
      </c>
      <c r="AP735" s="28"/>
      <c r="AQ735" s="28" t="n">
        <f aca="false">AP735*$M735</f>
        <v>0</v>
      </c>
      <c r="AR735" s="28"/>
      <c r="AS735" s="28" t="n">
        <f aca="false">AR735*$M735</f>
        <v>0</v>
      </c>
      <c r="AT735" s="28"/>
      <c r="AU735" s="28" t="n">
        <f aca="false">AT735*$M735</f>
        <v>0</v>
      </c>
      <c r="AV735" s="28"/>
      <c r="AW735" s="28" t="n">
        <f aca="false">AV735*$M735</f>
        <v>0</v>
      </c>
      <c r="AX735" s="28"/>
      <c r="AY735" s="28" t="n">
        <f aca="false">AX735*$M735</f>
        <v>0</v>
      </c>
      <c r="AZ735" s="30" t="n">
        <f aca="false">1372/100</f>
        <v>13.72</v>
      </c>
      <c r="BA735" s="11" t="n">
        <v>4253</v>
      </c>
      <c r="BB735" s="31" t="n">
        <f aca="false">SUM(Q735,S735,U735,W735,Y735,AA735,AC735,AE735,AG735,AI735,AK735,AM735,AO735,AQ735,AS735,AU735,AW735,AY735)</f>
        <v>4253</v>
      </c>
      <c r="BC735" s="28" t="n">
        <f aca="false">BA735-BB735</f>
        <v>0</v>
      </c>
      <c r="BD735" s="32" t="n">
        <f aca="false">SUM(P735,R735,T735,V735,X735,Z735,AB735,AD735,AF735,AH735,AJ735,AL735,AN735,AP735,AR735,AT735,AV735,AX735)</f>
        <v>13.72</v>
      </c>
      <c r="BE735" s="33" t="n">
        <f aca="false">AZ735-BD735</f>
        <v>0</v>
      </c>
      <c r="BF735" s="34" t="n">
        <f aca="false">BD735*M735</f>
        <v>4253.2</v>
      </c>
      <c r="BG735" s="35" t="n">
        <f aca="false">BA735-BF735</f>
        <v>-0.199999999999818</v>
      </c>
      <c r="BH735" s="19" t="str">
        <f aca="false">IF(BG735=0,"",IF(BG735&lt;&gt;BA735,"erreur de calcul",IF(BD735&lt;&gt;0,"pas de prix",IF(M735&lt;&gt; 0,"pas de quantité","pas de prix, ni de quantité"))))</f>
        <v>erreur de calcul</v>
      </c>
      <c r="BI735" s="19"/>
    </row>
    <row r="736" customFormat="false" ht="15" hidden="false" customHeight="false" outlineLevel="0" collapsed="false">
      <c r="A736" s="0" t="n">
        <v>32</v>
      </c>
      <c r="B736" s="8" t="s">
        <v>24</v>
      </c>
      <c r="C736" s="9" t="s">
        <v>25</v>
      </c>
      <c r="D736" s="9" t="s">
        <v>26</v>
      </c>
      <c r="E736" s="10" t="n">
        <v>1789</v>
      </c>
      <c r="F736" s="9" t="s">
        <v>27</v>
      </c>
      <c r="G736" s="9" t="s">
        <v>27</v>
      </c>
      <c r="H736" s="11" t="n">
        <v>18</v>
      </c>
      <c r="I736" s="11" t="s">
        <v>105</v>
      </c>
      <c r="J736" s="14" t="n">
        <v>570</v>
      </c>
      <c r="K736" s="14"/>
      <c r="L736" s="16"/>
      <c r="M736" s="27" t="n">
        <f aca="false">J736+(K736/20)+(L736/240)</f>
        <v>570</v>
      </c>
      <c r="N736" s="17" t="s">
        <v>64</v>
      </c>
      <c r="O736" s="11"/>
      <c r="P736" s="28"/>
      <c r="Q736" s="28" t="n">
        <f aca="false">P736*$M736</f>
        <v>0</v>
      </c>
      <c r="R736" s="28"/>
      <c r="S736" s="28" t="n">
        <f aca="false">R736*$M736</f>
        <v>0</v>
      </c>
      <c r="T736" s="28" t="n">
        <f aca="false">7423/100</f>
        <v>74.23</v>
      </c>
      <c r="U736" s="28" t="n">
        <v>42311</v>
      </c>
      <c r="V736" s="28" t="n">
        <f aca="false">798/100</f>
        <v>7.98</v>
      </c>
      <c r="W736" s="28" t="n">
        <v>4549</v>
      </c>
      <c r="X736" s="29" t="n">
        <f aca="false">2068/100</f>
        <v>20.68</v>
      </c>
      <c r="Y736" s="28" t="n">
        <v>8368</v>
      </c>
      <c r="Z736" s="28"/>
      <c r="AA736" s="28" t="n">
        <f aca="false">Z736*$M736</f>
        <v>0</v>
      </c>
      <c r="AB736" s="28" t="n">
        <f aca="false">226/100</f>
        <v>2.26</v>
      </c>
      <c r="AC736" s="28" t="n">
        <v>1288</v>
      </c>
      <c r="AD736" s="28"/>
      <c r="AE736" s="28" t="n">
        <f aca="false">AD736*$M736</f>
        <v>0</v>
      </c>
      <c r="AF736" s="28"/>
      <c r="AG736" s="28" t="n">
        <f aca="false">AF736*$M736</f>
        <v>0</v>
      </c>
      <c r="AH736" s="28"/>
      <c r="AI736" s="28" t="n">
        <f aca="false">AH736*$M736</f>
        <v>0</v>
      </c>
      <c r="AJ736" s="28"/>
      <c r="AK736" s="28" t="n">
        <f aca="false">AJ736*$M736</f>
        <v>0</v>
      </c>
      <c r="AL736" s="28"/>
      <c r="AM736" s="28" t="n">
        <f aca="false">AL736*$M736</f>
        <v>0</v>
      </c>
      <c r="AN736" s="28"/>
      <c r="AO736" s="28" t="n">
        <f aca="false">AN736*$M736</f>
        <v>0</v>
      </c>
      <c r="AP736" s="28"/>
      <c r="AQ736" s="28" t="n">
        <f aca="false">AP736*$M736</f>
        <v>0</v>
      </c>
      <c r="AR736" s="28"/>
      <c r="AS736" s="28" t="n">
        <f aca="false">AR736*$M736</f>
        <v>0</v>
      </c>
      <c r="AT736" s="28"/>
      <c r="AU736" s="28" t="n">
        <f aca="false">AT736*$M736</f>
        <v>0</v>
      </c>
      <c r="AV736" s="28"/>
      <c r="AW736" s="28" t="n">
        <f aca="false">AV736*$M736</f>
        <v>0</v>
      </c>
      <c r="AX736" s="28"/>
      <c r="AY736" s="28" t="n">
        <f aca="false">AX736*$M736</f>
        <v>0</v>
      </c>
      <c r="AZ736" s="30" t="n">
        <f aca="false">10515/100</f>
        <v>105.15</v>
      </c>
      <c r="BA736" s="11" t="n">
        <v>56516</v>
      </c>
      <c r="BB736" s="31" t="n">
        <f aca="false">SUM(Q736,S736,U736,W736,Y736,AA736,AC736,AE736,AG736,AI736,AK736,AM736,AO736,AQ736,AS736,AU736,AW736,AY736)</f>
        <v>56516</v>
      </c>
      <c r="BC736" s="28" t="n">
        <f aca="false">BA736-BB736</f>
        <v>0</v>
      </c>
      <c r="BD736" s="32" t="n">
        <f aca="false">SUM(P736,R736,T736,V736,X736,Z736,AB736,AD736,AF736,AH736,AJ736,AL736,AN736,AP736,AR736,AT736,AV736,AX736)</f>
        <v>105.15</v>
      </c>
      <c r="BE736" s="33" t="n">
        <f aca="false">AZ736-BD736</f>
        <v>0</v>
      </c>
      <c r="BF736" s="34" t="n">
        <f aca="false">BD736*M736</f>
        <v>59935.5</v>
      </c>
      <c r="BG736" s="35" t="n">
        <f aca="false">BA736-BF736</f>
        <v>-3419.5</v>
      </c>
      <c r="BH736" s="19" t="str">
        <f aca="false">IF(BG736=0,"",IF(BG736&lt;&gt;BA736,"erreur de calcul",IF(BD736&lt;&gt;0,"pas de prix",IF(M736&lt;&gt; 0,"pas de quantité","pas de prix, ni de quantité"))))</f>
        <v>erreur de calcul</v>
      </c>
      <c r="BI736" s="19"/>
    </row>
    <row r="737" customFormat="false" ht="15" hidden="false" customHeight="false" outlineLevel="0" collapsed="false">
      <c r="A737" s="0" t="n">
        <v>33</v>
      </c>
      <c r="B737" s="8" t="s">
        <v>24</v>
      </c>
      <c r="C737" s="9" t="s">
        <v>25</v>
      </c>
      <c r="D737" s="9" t="s">
        <v>26</v>
      </c>
      <c r="E737" s="10" t="n">
        <v>1789</v>
      </c>
      <c r="F737" s="9" t="s">
        <v>27</v>
      </c>
      <c r="G737" s="9" t="s">
        <v>27</v>
      </c>
      <c r="H737" s="11" t="n">
        <v>18</v>
      </c>
      <c r="I737" s="11" t="s">
        <v>106</v>
      </c>
      <c r="J737" s="14"/>
      <c r="K737" s="14" t="n">
        <v>40</v>
      </c>
      <c r="L737" s="16"/>
      <c r="M737" s="27" t="n">
        <f aca="false">J737+(K737/20)+(L737/240)</f>
        <v>2</v>
      </c>
      <c r="N737" s="17" t="s">
        <v>66</v>
      </c>
      <c r="O737" s="11"/>
      <c r="P737" s="28"/>
      <c r="Q737" s="28" t="n">
        <f aca="false">P737*$M737</f>
        <v>0</v>
      </c>
      <c r="R737" s="28"/>
      <c r="S737" s="28" t="n">
        <f aca="false">R737*$M737</f>
        <v>0</v>
      </c>
      <c r="T737" s="28"/>
      <c r="U737" s="28" t="n">
        <f aca="false">T737*$M737</f>
        <v>0</v>
      </c>
      <c r="V737" s="28" t="n">
        <v>892</v>
      </c>
      <c r="W737" s="28" t="n">
        <v>1784</v>
      </c>
      <c r="X737" s="29"/>
      <c r="Y737" s="28" t="n">
        <f aca="false">X737*$M737</f>
        <v>0</v>
      </c>
      <c r="Z737" s="28"/>
      <c r="AA737" s="28" t="n">
        <f aca="false">Z737*$M737</f>
        <v>0</v>
      </c>
      <c r="AB737" s="28"/>
      <c r="AC737" s="28" t="n">
        <f aca="false">AB737*$M737</f>
        <v>0</v>
      </c>
      <c r="AD737" s="28"/>
      <c r="AE737" s="28" t="n">
        <f aca="false">AD737*$M737</f>
        <v>0</v>
      </c>
      <c r="AF737" s="28"/>
      <c r="AG737" s="28" t="n">
        <f aca="false">AF737*$M737</f>
        <v>0</v>
      </c>
      <c r="AH737" s="28" t="n">
        <v>1961</v>
      </c>
      <c r="AI737" s="28" t="n">
        <v>3922</v>
      </c>
      <c r="AJ737" s="28"/>
      <c r="AK737" s="28" t="n">
        <f aca="false">AJ737*$M737</f>
        <v>0</v>
      </c>
      <c r="AL737" s="28"/>
      <c r="AM737" s="28" t="n">
        <f aca="false">AL737*$M737</f>
        <v>0</v>
      </c>
      <c r="AN737" s="28"/>
      <c r="AO737" s="28" t="n">
        <f aca="false">AN737*$M737</f>
        <v>0</v>
      </c>
      <c r="AP737" s="28"/>
      <c r="AQ737" s="28" t="n">
        <f aca="false">AP737*$M737</f>
        <v>0</v>
      </c>
      <c r="AR737" s="28"/>
      <c r="AS737" s="28" t="n">
        <f aca="false">AR737*$M737</f>
        <v>0</v>
      </c>
      <c r="AT737" s="28"/>
      <c r="AU737" s="28" t="n">
        <f aca="false">AT737*$M737</f>
        <v>0</v>
      </c>
      <c r="AV737" s="28"/>
      <c r="AW737" s="28" t="n">
        <f aca="false">AV737*$M737</f>
        <v>0</v>
      </c>
      <c r="AX737" s="28"/>
      <c r="AY737" s="28" t="n">
        <f aca="false">AX737*$M737</f>
        <v>0</v>
      </c>
      <c r="AZ737" s="30" t="n">
        <v>2853</v>
      </c>
      <c r="BA737" s="11" t="n">
        <v>5706</v>
      </c>
      <c r="BB737" s="31" t="n">
        <f aca="false">SUM(Q737,S737,U737,W737,Y737,AA737,AC737,AE737,AG737,AI737,AK737,AM737,AO737,AQ737,AS737,AU737,AW737,AY737)</f>
        <v>5706</v>
      </c>
      <c r="BC737" s="28" t="n">
        <f aca="false">BA737-BB737</f>
        <v>0</v>
      </c>
      <c r="BD737" s="32" t="n">
        <f aca="false">SUM(P737,R737,T737,V737,X737,Z737,AB737,AD737,AF737,AH737,AJ737,AL737,AN737,AP737,AR737,AT737,AV737,AX737)</f>
        <v>2853</v>
      </c>
      <c r="BE737" s="33" t="n">
        <f aca="false">AZ737-BD737</f>
        <v>0</v>
      </c>
      <c r="BF737" s="34" t="n">
        <f aca="false">BD737*M737</f>
        <v>5706</v>
      </c>
      <c r="BG737" s="35" t="n">
        <f aca="false">BA737-BF737</f>
        <v>0</v>
      </c>
      <c r="BH737" s="19" t="str">
        <f aca="false">IF(BG737=0,"",IF(BG737&lt;&gt;BA737,"erreur de calcul",IF(BD737&lt;&gt;0,"pas de prix",IF(M737&lt;&gt; 0,"pas de quantité","pas de prix, ni de quantité"))))</f>
        <v/>
      </c>
      <c r="BI737" s="19"/>
    </row>
    <row r="738" customFormat="false" ht="15" hidden="false" customHeight="false" outlineLevel="0" collapsed="false">
      <c r="A738" s="0" t="n">
        <v>34</v>
      </c>
      <c r="B738" s="8" t="s">
        <v>24</v>
      </c>
      <c r="C738" s="9" t="s">
        <v>25</v>
      </c>
      <c r="D738" s="9" t="s">
        <v>26</v>
      </c>
      <c r="E738" s="10" t="n">
        <v>1789</v>
      </c>
      <c r="F738" s="9" t="s">
        <v>27</v>
      </c>
      <c r="G738" s="9" t="s">
        <v>27</v>
      </c>
      <c r="H738" s="11" t="n">
        <v>18</v>
      </c>
      <c r="I738" s="11" t="s">
        <v>107</v>
      </c>
      <c r="J738" s="14" t="n">
        <v>180</v>
      </c>
      <c r="K738" s="14"/>
      <c r="L738" s="16"/>
      <c r="M738" s="27" t="n">
        <f aca="false">J738+(K738/20)+(L738/240)</f>
        <v>180</v>
      </c>
      <c r="N738" s="17" t="s">
        <v>64</v>
      </c>
      <c r="O738" s="11"/>
      <c r="P738" s="28"/>
      <c r="Q738" s="28" t="n">
        <f aca="false">P738*$M738</f>
        <v>0</v>
      </c>
      <c r="R738" s="28"/>
      <c r="S738" s="28" t="n">
        <f aca="false">R738*$M738</f>
        <v>0</v>
      </c>
      <c r="T738" s="28"/>
      <c r="U738" s="28" t="n">
        <f aca="false">T738*$M738</f>
        <v>0</v>
      </c>
      <c r="V738" s="28"/>
      <c r="W738" s="28" t="n">
        <f aca="false">V738*$M738</f>
        <v>0</v>
      </c>
      <c r="X738" s="29"/>
      <c r="Y738" s="28" t="n">
        <f aca="false">X738*$M738</f>
        <v>0</v>
      </c>
      <c r="Z738" s="28"/>
      <c r="AA738" s="28" t="n">
        <f aca="false">Z738*$M738</f>
        <v>0</v>
      </c>
      <c r="AB738" s="28"/>
      <c r="AC738" s="28" t="n">
        <f aca="false">AB738*$M738</f>
        <v>0</v>
      </c>
      <c r="AD738" s="28"/>
      <c r="AE738" s="28" t="n">
        <f aca="false">AD738*$M738</f>
        <v>0</v>
      </c>
      <c r="AF738" s="28"/>
      <c r="AG738" s="28" t="n">
        <f aca="false">AF738*$M738</f>
        <v>0</v>
      </c>
      <c r="AH738" s="28" t="n">
        <f aca="false">28680/100</f>
        <v>286.8</v>
      </c>
      <c r="AI738" s="28" t="n">
        <v>51624</v>
      </c>
      <c r="AJ738" s="28"/>
      <c r="AK738" s="28" t="n">
        <f aca="false">AJ738*$M738</f>
        <v>0</v>
      </c>
      <c r="AL738" s="28"/>
      <c r="AM738" s="28" t="n">
        <f aca="false">AL738*$M738</f>
        <v>0</v>
      </c>
      <c r="AN738" s="28"/>
      <c r="AO738" s="28" t="n">
        <f aca="false">AN738*$M738</f>
        <v>0</v>
      </c>
      <c r="AP738" s="28"/>
      <c r="AQ738" s="28" t="n">
        <f aca="false">AP738*$M738</f>
        <v>0</v>
      </c>
      <c r="AR738" s="28"/>
      <c r="AS738" s="28" t="n">
        <f aca="false">AR738*$M738</f>
        <v>0</v>
      </c>
      <c r="AT738" s="28"/>
      <c r="AU738" s="28" t="n">
        <f aca="false">AT738*$M738</f>
        <v>0</v>
      </c>
      <c r="AV738" s="28"/>
      <c r="AW738" s="28" t="n">
        <f aca="false">AV738*$M738</f>
        <v>0</v>
      </c>
      <c r="AX738" s="28"/>
      <c r="AY738" s="28" t="n">
        <f aca="false">AX738*$M738</f>
        <v>0</v>
      </c>
      <c r="AZ738" s="30" t="n">
        <f aca="false">28680/100</f>
        <v>286.8</v>
      </c>
      <c r="BA738" s="11" t="n">
        <v>51624</v>
      </c>
      <c r="BB738" s="31" t="n">
        <f aca="false">SUM(Q738,S738,U738,W738,Y738,AA738,AC738,AE738,AG738,AI738,AK738,AM738,AO738,AQ738,AS738,AU738,AW738,AY738)</f>
        <v>51624</v>
      </c>
      <c r="BC738" s="28" t="n">
        <f aca="false">BA738-BB738</f>
        <v>0</v>
      </c>
      <c r="BD738" s="32" t="n">
        <f aca="false">SUM(P738,R738,T738,V738,X738,Z738,AB738,AD738,AF738,AH738,AJ738,AL738,AN738,AP738,AR738,AT738,AV738,AX738)</f>
        <v>286.8</v>
      </c>
      <c r="BE738" s="33" t="n">
        <f aca="false">AZ738-BD738</f>
        <v>0</v>
      </c>
      <c r="BF738" s="34" t="n">
        <f aca="false">BD738*M738</f>
        <v>51624</v>
      </c>
      <c r="BG738" s="35" t="n">
        <f aca="false">BA738-BF738</f>
        <v>0</v>
      </c>
      <c r="BH738" s="19" t="str">
        <f aca="false">IF(BG738=0,"",IF(BG738&lt;&gt;BA738,"erreur de calcul",IF(BD738&lt;&gt;0,"pas de prix",IF(M738&lt;&gt; 0,"pas de quantité","pas de prix, ni de quantité"))))</f>
        <v/>
      </c>
      <c r="BI738" s="19"/>
    </row>
    <row r="739" customFormat="false" ht="15" hidden="false" customHeight="false" outlineLevel="0" collapsed="false">
      <c r="A739" s="0" t="n">
        <v>35</v>
      </c>
      <c r="B739" s="8" t="s">
        <v>24</v>
      </c>
      <c r="C739" s="9" t="s">
        <v>25</v>
      </c>
      <c r="D739" s="9" t="s">
        <v>26</v>
      </c>
      <c r="E739" s="10" t="n">
        <v>1789</v>
      </c>
      <c r="F739" s="9" t="s">
        <v>27</v>
      </c>
      <c r="G739" s="9" t="s">
        <v>27</v>
      </c>
      <c r="H739" s="11" t="n">
        <v>18</v>
      </c>
      <c r="I739" s="11" t="s">
        <v>108</v>
      </c>
      <c r="J739" s="14" t="n">
        <v>11</v>
      </c>
      <c r="K739" s="14"/>
      <c r="L739" s="16"/>
      <c r="M739" s="27" t="n">
        <f aca="false">J739+(K739/20)+(L739/240)</f>
        <v>11</v>
      </c>
      <c r="N739" s="17" t="s">
        <v>64</v>
      </c>
      <c r="O739" s="11" t="s">
        <v>109</v>
      </c>
      <c r="P739" s="28"/>
      <c r="Q739" s="28" t="n">
        <f aca="false">P739*$M739</f>
        <v>0</v>
      </c>
      <c r="R739" s="28"/>
      <c r="S739" s="28" t="n">
        <f aca="false">R739*$M739</f>
        <v>0</v>
      </c>
      <c r="T739" s="28"/>
      <c r="U739" s="28" t="n">
        <f aca="false">T739*$M739</f>
        <v>0</v>
      </c>
      <c r="V739" s="28"/>
      <c r="W739" s="28" t="n">
        <f aca="false">V739*$M739</f>
        <v>0</v>
      </c>
      <c r="X739" s="29"/>
      <c r="Y739" s="28" t="n">
        <f aca="false">X739*$M739</f>
        <v>0</v>
      </c>
      <c r="Z739" s="28"/>
      <c r="AA739" s="28" t="n">
        <f aca="false">Z739*$M739</f>
        <v>0</v>
      </c>
      <c r="AB739" s="28"/>
      <c r="AC739" s="28" t="n">
        <f aca="false">AB739*$M739</f>
        <v>0</v>
      </c>
      <c r="AD739" s="28"/>
      <c r="AE739" s="28" t="n">
        <f aca="false">AD739*$M739</f>
        <v>0</v>
      </c>
      <c r="AF739" s="28"/>
      <c r="AG739" s="28" t="n">
        <f aca="false">AF739*$M739</f>
        <v>0</v>
      </c>
      <c r="AH739" s="28"/>
      <c r="AI739" s="28" t="n">
        <f aca="false">AH739*$M739</f>
        <v>0</v>
      </c>
      <c r="AJ739" s="28" t="n">
        <f aca="false">1784/100</f>
        <v>17.84</v>
      </c>
      <c r="AK739" s="28" t="n">
        <v>196</v>
      </c>
      <c r="AL739" s="28" t="n">
        <f aca="false">7942/100</f>
        <v>79.42</v>
      </c>
      <c r="AM739" s="28" t="n">
        <v>874</v>
      </c>
      <c r="AN739" s="28"/>
      <c r="AO739" s="28" t="n">
        <f aca="false">AN739*$M739</f>
        <v>0</v>
      </c>
      <c r="AP739" s="28" t="n">
        <f aca="false">13980/100</f>
        <v>139.8</v>
      </c>
      <c r="AQ739" s="28" t="n">
        <v>1538</v>
      </c>
      <c r="AR739" s="28" t="n">
        <f aca="false">96390/100</f>
        <v>963.9</v>
      </c>
      <c r="AS739" s="28" t="n">
        <v>10603</v>
      </c>
      <c r="AT739" s="28"/>
      <c r="AU739" s="28" t="n">
        <f aca="false">AT739*$M739</f>
        <v>0</v>
      </c>
      <c r="AV739" s="28"/>
      <c r="AW739" s="28" t="n">
        <f aca="false">AV739*$M739</f>
        <v>0</v>
      </c>
      <c r="AX739" s="28"/>
      <c r="AY739" s="28" t="n">
        <f aca="false">AX739*$M739</f>
        <v>0</v>
      </c>
      <c r="AZ739" s="30" t="n">
        <f aca="false">120096/100</f>
        <v>1200.96</v>
      </c>
      <c r="BA739" s="11" t="n">
        <v>13211</v>
      </c>
      <c r="BB739" s="31" t="n">
        <f aca="false">SUM(Q739,S739,U739,W739,Y739,AA739,AC739,AE739,AG739,AI739,AK739,AM739,AO739,AQ739,AS739,AU739,AW739,AY739)</f>
        <v>13211</v>
      </c>
      <c r="BC739" s="28" t="n">
        <f aca="false">BA739-BB739</f>
        <v>0</v>
      </c>
      <c r="BD739" s="32" t="n">
        <f aca="false">SUM(P739,R739,T739,V739,X739,Z739,AB739,AD739,AF739,AH739,AJ739,AL739,AN739,AP739,AR739,AT739,AV739,AX739)</f>
        <v>1200.96</v>
      </c>
      <c r="BE739" s="33" t="n">
        <f aca="false">AZ739-BD739</f>
        <v>0</v>
      </c>
      <c r="BF739" s="34" t="n">
        <f aca="false">BD739*M739</f>
        <v>13210.56</v>
      </c>
      <c r="BG739" s="35" t="n">
        <f aca="false">BA739-BF739</f>
        <v>0.43999999999869</v>
      </c>
      <c r="BH739" s="19" t="str">
        <f aca="false">IF(BG739=0,"",IF(BG739&lt;&gt;BA739,"erreur de calcul",IF(BD739&lt;&gt;0,"pas de prix",IF(M739&lt;&gt; 0,"pas de quantité","pas de prix, ni de quantité"))))</f>
        <v>erreur de calcul</v>
      </c>
      <c r="BI739" s="19"/>
    </row>
    <row r="740" customFormat="false" ht="15" hidden="false" customHeight="false" outlineLevel="0" collapsed="false">
      <c r="A740" s="0" t="n">
        <v>36</v>
      </c>
      <c r="B740" s="8" t="s">
        <v>24</v>
      </c>
      <c r="C740" s="9" t="s">
        <v>25</v>
      </c>
      <c r="D740" s="9" t="s">
        <v>26</v>
      </c>
      <c r="E740" s="10" t="n">
        <v>1789</v>
      </c>
      <c r="F740" s="9" t="s">
        <v>27</v>
      </c>
      <c r="G740" s="9" t="s">
        <v>27</v>
      </c>
      <c r="H740" s="11" t="n">
        <v>18</v>
      </c>
      <c r="I740" s="11" t="s">
        <v>110</v>
      </c>
      <c r="J740" s="14" t="n">
        <v>12</v>
      </c>
      <c r="K740" s="14"/>
      <c r="L740" s="16"/>
      <c r="M740" s="27" t="n">
        <f aca="false">J740+(K740/20)+(L740/240)</f>
        <v>12</v>
      </c>
      <c r="N740" s="17" t="s">
        <v>64</v>
      </c>
      <c r="O740" s="11" t="s">
        <v>109</v>
      </c>
      <c r="P740" s="28" t="n">
        <f aca="false">30663/100</f>
        <v>306.63</v>
      </c>
      <c r="Q740" s="28" t="n">
        <v>3679</v>
      </c>
      <c r="R740" s="28"/>
      <c r="S740" s="28" t="n">
        <f aca="false">R740*$M740</f>
        <v>0</v>
      </c>
      <c r="T740" s="28"/>
      <c r="U740" s="28" t="n">
        <f aca="false">T740*$M740</f>
        <v>0</v>
      </c>
      <c r="V740" s="28"/>
      <c r="W740" s="28" t="n">
        <f aca="false">V740*$M740</f>
        <v>0</v>
      </c>
      <c r="X740" s="29"/>
      <c r="Y740" s="28" t="n">
        <f aca="false">X740*$M740</f>
        <v>0</v>
      </c>
      <c r="Z740" s="28"/>
      <c r="AA740" s="28" t="n">
        <f aca="false">Z740*$M740</f>
        <v>0</v>
      </c>
      <c r="AB740" s="28"/>
      <c r="AC740" s="28" t="n">
        <f aca="false">AB740*$M740</f>
        <v>0</v>
      </c>
      <c r="AD740" s="28"/>
      <c r="AE740" s="28" t="n">
        <f aca="false">AD740*$M740</f>
        <v>0</v>
      </c>
      <c r="AF740" s="28"/>
      <c r="AG740" s="28" t="n">
        <f aca="false">AF740*$M740</f>
        <v>0</v>
      </c>
      <c r="AH740" s="28"/>
      <c r="AI740" s="28" t="n">
        <f aca="false">AH740*$M740</f>
        <v>0</v>
      </c>
      <c r="AJ740" s="28"/>
      <c r="AK740" s="28" t="n">
        <f aca="false">AJ740*$M740</f>
        <v>0</v>
      </c>
      <c r="AL740" s="28" t="n">
        <f aca="false">114207/100</f>
        <v>1142.07</v>
      </c>
      <c r="AM740" s="28" t="n">
        <v>13705</v>
      </c>
      <c r="AN740" s="28" t="n">
        <f aca="false">2100/100</f>
        <v>21</v>
      </c>
      <c r="AO740" s="28" t="n">
        <v>252</v>
      </c>
      <c r="AP740" s="28" t="n">
        <f aca="false">16107/100</f>
        <v>161.07</v>
      </c>
      <c r="AQ740" s="28" t="n">
        <v>1933</v>
      </c>
      <c r="AR740" s="28" t="n">
        <f aca="false">553069/100</f>
        <v>5530.69</v>
      </c>
      <c r="AS740" s="28" t="n">
        <v>66368</v>
      </c>
      <c r="AT740" s="28" t="n">
        <f aca="false">6160/100</f>
        <v>61.6</v>
      </c>
      <c r="AU740" s="28" t="n">
        <v>739</v>
      </c>
      <c r="AV740" s="28" t="n">
        <f aca="false">2640/100</f>
        <v>26.4</v>
      </c>
      <c r="AW740" s="28" t="n">
        <v>317</v>
      </c>
      <c r="AX740" s="28" t="n">
        <f aca="false">8767/100</f>
        <v>87.67</v>
      </c>
      <c r="AY740" s="36" t="n">
        <v>1085</v>
      </c>
      <c r="AZ740" s="30" t="n">
        <f aca="false">733753/100</f>
        <v>7337.53</v>
      </c>
      <c r="BA740" s="11" t="n">
        <v>88078</v>
      </c>
      <c r="BB740" s="31" t="n">
        <f aca="false">SUM(Q740,S740,U740,W740,Y740,AA740,AC740,AE740,AG740,AI740,AK740,AM740,AO740,AQ740,AS740,AU740,AW740,AY740)</f>
        <v>88078</v>
      </c>
      <c r="BC740" s="28" t="n">
        <f aca="false">BA740-BB740</f>
        <v>0</v>
      </c>
      <c r="BD740" s="32" t="n">
        <f aca="false">SUM(P740,R740,T740,V740,X740,Z740,AB740,AD740,AF740,AH740,AJ740,AL740,AN740,AP740,AR740,AT740,AV740,AX740)</f>
        <v>7337.13</v>
      </c>
      <c r="BE740" s="33" t="n">
        <f aca="false">AZ740-BD740</f>
        <v>0.400000000000546</v>
      </c>
      <c r="BF740" s="34" t="n">
        <f aca="false">BD740*M740</f>
        <v>88045.56</v>
      </c>
      <c r="BG740" s="35" t="n">
        <f aca="false">BA740-BF740</f>
        <v>32.4400000000023</v>
      </c>
      <c r="BH740" s="19" t="str">
        <f aca="false">IF(BG740=0,"",IF(BG740&lt;&gt;BA740,"erreur de calcul",IF(BD740&lt;&gt;0,"pas de prix",IF(M740&lt;&gt; 0,"pas de quantité","pas de prix, ni de quantité"))))</f>
        <v>erreur de calcul</v>
      </c>
      <c r="BI740" s="19"/>
    </row>
    <row r="741" customFormat="false" ht="15" hidden="false" customHeight="false" outlineLevel="0" collapsed="false">
      <c r="A741" s="0" t="n">
        <v>37</v>
      </c>
      <c r="B741" s="8" t="s">
        <v>24</v>
      </c>
      <c r="C741" s="9" t="s">
        <v>25</v>
      </c>
      <c r="D741" s="9" t="s">
        <v>26</v>
      </c>
      <c r="E741" s="10" t="n">
        <v>1789</v>
      </c>
      <c r="F741" s="9" t="s">
        <v>27</v>
      </c>
      <c r="G741" s="9" t="s">
        <v>27</v>
      </c>
      <c r="H741" s="11" t="n">
        <v>18</v>
      </c>
      <c r="I741" s="11" t="s">
        <v>111</v>
      </c>
      <c r="J741" s="14" t="n">
        <v>10</v>
      </c>
      <c r="K741" s="14"/>
      <c r="L741" s="16"/>
      <c r="M741" s="27" t="n">
        <f aca="false">J741+(K741/20)+(L741/240)</f>
        <v>10</v>
      </c>
      <c r="N741" s="17" t="s">
        <v>64</v>
      </c>
      <c r="O741" s="11"/>
      <c r="P741" s="28"/>
      <c r="Q741" s="28" t="n">
        <f aca="false">P741*$M741</f>
        <v>0</v>
      </c>
      <c r="R741" s="28"/>
      <c r="S741" s="28" t="n">
        <f aca="false">R741*$M741</f>
        <v>0</v>
      </c>
      <c r="T741" s="28"/>
      <c r="U741" s="28" t="n">
        <f aca="false">T741*$M741</f>
        <v>0</v>
      </c>
      <c r="V741" s="28"/>
      <c r="W741" s="28" t="n">
        <f aca="false">V741*$M741</f>
        <v>0</v>
      </c>
      <c r="X741" s="29"/>
      <c r="Y741" s="28" t="n">
        <f aca="false">X741*$M741</f>
        <v>0</v>
      </c>
      <c r="Z741" s="28"/>
      <c r="AA741" s="28" t="n">
        <f aca="false">Z741*$M741</f>
        <v>0</v>
      </c>
      <c r="AB741" s="28"/>
      <c r="AC741" s="28" t="n">
        <f aca="false">AB741*$M741</f>
        <v>0</v>
      </c>
      <c r="AD741" s="28"/>
      <c r="AE741" s="28" t="n">
        <f aca="false">AD741*$M741</f>
        <v>0</v>
      </c>
      <c r="AF741" s="28"/>
      <c r="AG741" s="28" t="n">
        <f aca="false">AF741*$M741</f>
        <v>0</v>
      </c>
      <c r="AH741" s="28"/>
      <c r="AI741" s="28" t="n">
        <f aca="false">AH741*$M741</f>
        <v>0</v>
      </c>
      <c r="AJ741" s="28"/>
      <c r="AK741" s="28" t="n">
        <f aca="false">AJ741*$M741</f>
        <v>0</v>
      </c>
      <c r="AL741" s="28"/>
      <c r="AM741" s="28" t="n">
        <f aca="false">AL741*$M741</f>
        <v>0</v>
      </c>
      <c r="AN741" s="28"/>
      <c r="AO741" s="28" t="n">
        <f aca="false">AN741*$M741</f>
        <v>0</v>
      </c>
      <c r="AP741" s="28"/>
      <c r="AQ741" s="28" t="n">
        <f aca="false">AP741*$M741</f>
        <v>0</v>
      </c>
      <c r="AR741" s="28"/>
      <c r="AS741" s="28" t="n">
        <f aca="false">AR741*$M741</f>
        <v>0</v>
      </c>
      <c r="AT741" s="28"/>
      <c r="AU741" s="28" t="n">
        <f aca="false">AT741*$M741</f>
        <v>0</v>
      </c>
      <c r="AV741" s="28"/>
      <c r="AW741" s="28" t="n">
        <f aca="false">AV741*$M741</f>
        <v>0</v>
      </c>
      <c r="AX741" s="28" t="n">
        <f aca="false">16133/100</f>
        <v>161.33</v>
      </c>
      <c r="AY741" s="28" t="n">
        <v>1613</v>
      </c>
      <c r="AZ741" s="30"/>
      <c r="BA741" s="11" t="n">
        <v>1613</v>
      </c>
      <c r="BB741" s="31" t="n">
        <f aca="false">SUM(Q741,S741,U741,W741,Y741,AA741,AC741,AE741,AG741,AI741,AK741,AM741,AO741,AQ741,AS741,AU741,AW741,AY741)</f>
        <v>1613</v>
      </c>
      <c r="BC741" s="28" t="n">
        <f aca="false">BA741-BB741</f>
        <v>0</v>
      </c>
      <c r="BD741" s="32" t="n">
        <f aca="false">SUM(P741,R741,T741,V741,X741,Z741,AB741,AD741,AF741,AH741,AJ741,AL741,AN741,AP741,AR741,AT741,AV741,AX741)</f>
        <v>161.33</v>
      </c>
      <c r="BE741" s="33" t="n">
        <f aca="false">AZ741-BD741</f>
        <v>-161.33</v>
      </c>
      <c r="BF741" s="34" t="n">
        <f aca="false">BD741*M741</f>
        <v>1613.3</v>
      </c>
      <c r="BG741" s="35" t="n">
        <f aca="false">BA741-BF741</f>
        <v>-0.300000000000182</v>
      </c>
      <c r="BH741" s="19" t="str">
        <f aca="false">IF(BG741=0,"",IF(BG741&lt;&gt;BA741,"erreur de calcul",IF(BD741&lt;&gt;0,"pas de prix",IF(M741&lt;&gt; 0,"pas de quantité","pas de prix, ni de quantité"))))</f>
        <v>erreur de calcul</v>
      </c>
      <c r="BI741" s="19"/>
    </row>
    <row r="742" customFormat="false" ht="15" hidden="false" customHeight="false" outlineLevel="0" collapsed="false">
      <c r="A742" s="0" t="n">
        <v>38</v>
      </c>
      <c r="B742" s="8" t="s">
        <v>24</v>
      </c>
      <c r="C742" s="9" t="s">
        <v>25</v>
      </c>
      <c r="D742" s="9" t="s">
        <v>26</v>
      </c>
      <c r="E742" s="10" t="n">
        <v>1789</v>
      </c>
      <c r="F742" s="9" t="s">
        <v>27</v>
      </c>
      <c r="G742" s="9" t="s">
        <v>27</v>
      </c>
      <c r="H742" s="11" t="n">
        <v>18</v>
      </c>
      <c r="I742" s="11" t="s">
        <v>112</v>
      </c>
      <c r="J742" s="14" t="n">
        <v>100</v>
      </c>
      <c r="K742" s="14"/>
      <c r="L742" s="16"/>
      <c r="M742" s="27" t="n">
        <f aca="false">J742+(K742/20)+(L742/240)</f>
        <v>100</v>
      </c>
      <c r="N742" s="17" t="s">
        <v>64</v>
      </c>
      <c r="O742" s="11"/>
      <c r="P742" s="28" t="n">
        <f aca="false">69730/100</f>
        <v>697.3</v>
      </c>
      <c r="Q742" s="28" t="n">
        <v>69730</v>
      </c>
      <c r="R742" s="28"/>
      <c r="S742" s="28" t="n">
        <f aca="false">R742*$M742</f>
        <v>0</v>
      </c>
      <c r="T742" s="28"/>
      <c r="U742" s="28" t="n">
        <f aca="false">T742*$M742</f>
        <v>0</v>
      </c>
      <c r="V742" s="28"/>
      <c r="W742" s="28" t="n">
        <f aca="false">V742*$M742</f>
        <v>0</v>
      </c>
      <c r="X742" s="29"/>
      <c r="Y742" s="28" t="n">
        <f aca="false">X742*$M742</f>
        <v>0</v>
      </c>
      <c r="Z742" s="28"/>
      <c r="AA742" s="28" t="n">
        <f aca="false">Z742*$M742</f>
        <v>0</v>
      </c>
      <c r="AB742" s="28"/>
      <c r="AC742" s="28" t="n">
        <f aca="false">AB742*$M742</f>
        <v>0</v>
      </c>
      <c r="AD742" s="28"/>
      <c r="AE742" s="28" t="n">
        <f aca="false">AD742*$M742</f>
        <v>0</v>
      </c>
      <c r="AF742" s="28"/>
      <c r="AG742" s="28" t="n">
        <f aca="false">AF742*$M742</f>
        <v>0</v>
      </c>
      <c r="AH742" s="28"/>
      <c r="AI742" s="28" t="n">
        <f aca="false">AH742*$M742</f>
        <v>0</v>
      </c>
      <c r="AJ742" s="28"/>
      <c r="AK742" s="28" t="n">
        <f aca="false">AJ742*$M742</f>
        <v>0</v>
      </c>
      <c r="AL742" s="28"/>
      <c r="AM742" s="28" t="n">
        <f aca="false">AL742*$M742</f>
        <v>0</v>
      </c>
      <c r="AN742" s="28"/>
      <c r="AO742" s="28" t="n">
        <f aca="false">AN742*$M742</f>
        <v>0</v>
      </c>
      <c r="AP742" s="28"/>
      <c r="AQ742" s="28" t="n">
        <f aca="false">AP742*$M742</f>
        <v>0</v>
      </c>
      <c r="AR742" s="28"/>
      <c r="AS742" s="28" t="n">
        <f aca="false">AR742*$M742</f>
        <v>0</v>
      </c>
      <c r="AT742" s="28"/>
      <c r="AU742" s="28" t="n">
        <f aca="false">AT742*$M742</f>
        <v>0</v>
      </c>
      <c r="AV742" s="28"/>
      <c r="AW742" s="28" t="n">
        <f aca="false">AV742*$M742</f>
        <v>0</v>
      </c>
      <c r="AX742" s="28"/>
      <c r="AY742" s="28" t="n">
        <f aca="false">AX742*$M742</f>
        <v>0</v>
      </c>
      <c r="AZ742" s="30" t="n">
        <f aca="false">69730/100</f>
        <v>697.3</v>
      </c>
      <c r="BA742" s="11" t="n">
        <v>69730</v>
      </c>
      <c r="BB742" s="31" t="n">
        <f aca="false">SUM(Q742,S742,U742,W742,Y742,AA742,AC742,AE742,AG742,AI742,AK742,AM742,AO742,AQ742,AS742,AU742,AW742,AY742)</f>
        <v>69730</v>
      </c>
      <c r="BC742" s="28" t="n">
        <f aca="false">BA742-BB742</f>
        <v>0</v>
      </c>
      <c r="BD742" s="32" t="n">
        <f aca="false">SUM(P742,R742,T742,V742,X742,Z742,AB742,AD742,AF742,AH742,AJ742,AL742,AN742,AP742,AR742,AT742,AV742,AX742)</f>
        <v>697.3</v>
      </c>
      <c r="BE742" s="33" t="n">
        <f aca="false">AZ742-BD742</f>
        <v>0</v>
      </c>
      <c r="BF742" s="34" t="n">
        <f aca="false">BD742*M742</f>
        <v>69730</v>
      </c>
      <c r="BG742" s="35" t="n">
        <f aca="false">BA742-BF742</f>
        <v>0</v>
      </c>
      <c r="BH742" s="19" t="str">
        <f aca="false">IF(BG742=0,"",IF(BG742&lt;&gt;BA742,"erreur de calcul",IF(BD742&lt;&gt;0,"pas de prix",IF(M742&lt;&gt; 0,"pas de quantité","pas de prix, ni de quantité"))))</f>
        <v/>
      </c>
      <c r="BI742" s="19" t="s">
        <v>113</v>
      </c>
    </row>
    <row r="743" customFormat="false" ht="15" hidden="false" customHeight="false" outlineLevel="0" collapsed="false">
      <c r="A743" s="0" t="n">
        <v>39</v>
      </c>
      <c r="B743" s="8" t="s">
        <v>24</v>
      </c>
      <c r="C743" s="9" t="s">
        <v>25</v>
      </c>
      <c r="D743" s="9" t="s">
        <v>26</v>
      </c>
      <c r="E743" s="10" t="n">
        <v>1789</v>
      </c>
      <c r="F743" s="9" t="s">
        <v>27</v>
      </c>
      <c r="G743" s="9" t="s">
        <v>27</v>
      </c>
      <c r="H743" s="11" t="n">
        <v>18</v>
      </c>
      <c r="I743" s="11" t="s">
        <v>112</v>
      </c>
      <c r="J743" s="14" t="n">
        <v>50</v>
      </c>
      <c r="K743" s="14"/>
      <c r="L743" s="16"/>
      <c r="M743" s="27" t="n">
        <f aca="false">J743+(K743/20)+(L743/240)</f>
        <v>50</v>
      </c>
      <c r="N743" s="17" t="s">
        <v>64</v>
      </c>
      <c r="O743" s="11"/>
      <c r="P743" s="28"/>
      <c r="Q743" s="28" t="n">
        <f aca="false">P743*$M743</f>
        <v>0</v>
      </c>
      <c r="R743" s="28"/>
      <c r="S743" s="28" t="n">
        <f aca="false">R743*$M743</f>
        <v>0</v>
      </c>
      <c r="T743" s="28"/>
      <c r="U743" s="28" t="n">
        <f aca="false">T743*$M743</f>
        <v>0</v>
      </c>
      <c r="V743" s="28" t="n">
        <f aca="false">38043/100</f>
        <v>380.43</v>
      </c>
      <c r="W743" s="28" t="n">
        <v>19021</v>
      </c>
      <c r="X743" s="29" t="n">
        <f aca="false">10658/100</f>
        <v>106.58</v>
      </c>
      <c r="Y743" s="28" t="n">
        <v>5329</v>
      </c>
      <c r="Z743" s="28"/>
      <c r="AA743" s="28" t="n">
        <f aca="false">Z743*$M743</f>
        <v>0</v>
      </c>
      <c r="AB743" s="28"/>
      <c r="AC743" s="28" t="n">
        <f aca="false">AB743*$M743</f>
        <v>0</v>
      </c>
      <c r="AD743" s="28"/>
      <c r="AE743" s="28" t="n">
        <f aca="false">AD743*$M743</f>
        <v>0</v>
      </c>
      <c r="AF743" s="28"/>
      <c r="AG743" s="28" t="n">
        <f aca="false">AF743*$M743</f>
        <v>0</v>
      </c>
      <c r="AH743" s="28"/>
      <c r="AI743" s="28" t="n">
        <f aca="false">AH743*$M743</f>
        <v>0</v>
      </c>
      <c r="AJ743" s="28" t="n">
        <f aca="false">39321/100</f>
        <v>393.21</v>
      </c>
      <c r="AK743" s="28" t="n">
        <v>19660</v>
      </c>
      <c r="AL743" s="28"/>
      <c r="AM743" s="28" t="n">
        <f aca="false">AL743*$M743</f>
        <v>0</v>
      </c>
      <c r="AN743" s="28"/>
      <c r="AO743" s="28" t="n">
        <f aca="false">AN743*$M743</f>
        <v>0</v>
      </c>
      <c r="AP743" s="28"/>
      <c r="AQ743" s="28" t="n">
        <f aca="false">AP743*$M743</f>
        <v>0</v>
      </c>
      <c r="AR743" s="28"/>
      <c r="AS743" s="28" t="n">
        <f aca="false">AR743*$M743</f>
        <v>0</v>
      </c>
      <c r="AT743" s="28"/>
      <c r="AU743" s="28" t="n">
        <f aca="false">AT743*$M743</f>
        <v>0</v>
      </c>
      <c r="AV743" s="28"/>
      <c r="AW743" s="28" t="n">
        <f aca="false">AV743*$M743</f>
        <v>0</v>
      </c>
      <c r="AX743" s="28"/>
      <c r="AY743" s="28" t="n">
        <f aca="false">AX743*$M743</f>
        <v>0</v>
      </c>
      <c r="AZ743" s="30" t="n">
        <f aca="false">88022/100</f>
        <v>880.22</v>
      </c>
      <c r="BA743" s="11" t="n">
        <v>44010</v>
      </c>
      <c r="BB743" s="31" t="n">
        <f aca="false">SUM(Q743,S743,U743,W743,Y743,AA743,AC743,AE743,AG743,AI743,AK743,AM743,AO743,AQ743,AS743,AU743,AW743,AY743)</f>
        <v>44010</v>
      </c>
      <c r="BC743" s="28" t="n">
        <f aca="false">BA743-BB743</f>
        <v>0</v>
      </c>
      <c r="BD743" s="32" t="n">
        <f aca="false">SUM(P743,R743,T743,V743,X743,Z743,AB743,AD743,AF743,AH743,AJ743,AL743,AN743,AP743,AR743,AT743,AV743,AX743)</f>
        <v>880.22</v>
      </c>
      <c r="BE743" s="33" t="n">
        <f aca="false">AZ743-BD743</f>
        <v>0</v>
      </c>
      <c r="BF743" s="34" t="n">
        <f aca="false">BD743*M743</f>
        <v>44011</v>
      </c>
      <c r="BG743" s="35" t="n">
        <f aca="false">BA743-BF743</f>
        <v>-1</v>
      </c>
      <c r="BH743" s="19" t="str">
        <f aca="false">IF(BG743=0,"",IF(BG743&lt;&gt;BA743,"erreur de calcul",IF(BD743&lt;&gt;0,"pas de prix",IF(M743&lt;&gt; 0,"pas de quantité","pas de prix, ni de quantité"))))</f>
        <v>erreur de calcul</v>
      </c>
      <c r="BI743" s="19" t="s">
        <v>114</v>
      </c>
    </row>
    <row r="744" customFormat="false" ht="15" hidden="false" customHeight="false" outlineLevel="0" collapsed="false">
      <c r="A744" s="0" t="n">
        <v>40</v>
      </c>
      <c r="B744" s="8" t="s">
        <v>24</v>
      </c>
      <c r="C744" s="9" t="s">
        <v>25</v>
      </c>
      <c r="D744" s="9" t="s">
        <v>26</v>
      </c>
      <c r="E744" s="10" t="n">
        <v>1789</v>
      </c>
      <c r="F744" s="9" t="s">
        <v>27</v>
      </c>
      <c r="G744" s="9" t="s">
        <v>27</v>
      </c>
      <c r="H744" s="11" t="n">
        <v>18</v>
      </c>
      <c r="I744" s="11" t="s">
        <v>115</v>
      </c>
      <c r="J744" s="14"/>
      <c r="K744" s="14" t="n">
        <v>28</v>
      </c>
      <c r="L744" s="16"/>
      <c r="M744" s="27" t="n">
        <f aca="false">J744+(K744/20)+(L744/240)</f>
        <v>1.4</v>
      </c>
      <c r="N744" s="17" t="s">
        <v>66</v>
      </c>
      <c r="O744" s="11" t="s">
        <v>98</v>
      </c>
      <c r="P744" s="28"/>
      <c r="Q744" s="28" t="n">
        <f aca="false">P744*$M744</f>
        <v>0</v>
      </c>
      <c r="R744" s="28"/>
      <c r="S744" s="28" t="n">
        <f aca="false">R744*$M744</f>
        <v>0</v>
      </c>
      <c r="T744" s="28" t="n">
        <v>426</v>
      </c>
      <c r="U744" s="28" t="n">
        <v>596</v>
      </c>
      <c r="V744" s="28"/>
      <c r="W744" s="28" t="n">
        <f aca="false">V744*$M744</f>
        <v>0</v>
      </c>
      <c r="X744" s="29"/>
      <c r="Y744" s="28" t="n">
        <f aca="false">X744*$M744</f>
        <v>0</v>
      </c>
      <c r="Z744" s="28"/>
      <c r="AA744" s="28" t="n">
        <f aca="false">Z744*$M744</f>
        <v>0</v>
      </c>
      <c r="AB744" s="28"/>
      <c r="AC744" s="28" t="n">
        <f aca="false">AB744*$M744</f>
        <v>0</v>
      </c>
      <c r="AD744" s="28"/>
      <c r="AE744" s="28" t="n">
        <f aca="false">AD744*$M744</f>
        <v>0</v>
      </c>
      <c r="AF744" s="28"/>
      <c r="AG744" s="28" t="n">
        <f aca="false">AF744*$M744</f>
        <v>0</v>
      </c>
      <c r="AH744" s="28"/>
      <c r="AI744" s="28" t="n">
        <f aca="false">AH744*$M744</f>
        <v>0</v>
      </c>
      <c r="AJ744" s="28" t="n">
        <v>142</v>
      </c>
      <c r="AK744" s="28" t="n">
        <v>199</v>
      </c>
      <c r="AL744" s="28"/>
      <c r="AM744" s="28" t="n">
        <f aca="false">AL744*$M744</f>
        <v>0</v>
      </c>
      <c r="AN744" s="28"/>
      <c r="AO744" s="28" t="n">
        <f aca="false">AN744*$M744</f>
        <v>0</v>
      </c>
      <c r="AP744" s="28"/>
      <c r="AQ744" s="28" t="n">
        <f aca="false">AP744*$M744</f>
        <v>0</v>
      </c>
      <c r="AR744" s="28"/>
      <c r="AS744" s="28" t="n">
        <f aca="false">AR744*$M744</f>
        <v>0</v>
      </c>
      <c r="AT744" s="28"/>
      <c r="AU744" s="28" t="n">
        <f aca="false">AT744*$M744</f>
        <v>0</v>
      </c>
      <c r="AV744" s="28"/>
      <c r="AW744" s="28" t="n">
        <f aca="false">AV744*$M744</f>
        <v>0</v>
      </c>
      <c r="AX744" s="28"/>
      <c r="AY744" s="28" t="n">
        <f aca="false">AX744*$M744</f>
        <v>0</v>
      </c>
      <c r="AZ744" s="30" t="n">
        <v>568</v>
      </c>
      <c r="BA744" s="11" t="n">
        <v>795</v>
      </c>
      <c r="BB744" s="31" t="n">
        <f aca="false">SUM(Q744,S744,U744,W744,Y744,AA744,AC744,AE744,AG744,AI744,AK744,AM744,AO744,AQ744,AS744,AU744,AW744,AY744)</f>
        <v>795</v>
      </c>
      <c r="BC744" s="28" t="n">
        <f aca="false">BA744-BB744</f>
        <v>0</v>
      </c>
      <c r="BD744" s="32" t="n">
        <f aca="false">SUM(P744,R744,T744,V744,X744,Z744,AB744,AD744,AF744,AH744,AJ744,AL744,AN744,AP744,AR744,AT744,AV744,AX744)</f>
        <v>568</v>
      </c>
      <c r="BE744" s="33" t="n">
        <f aca="false">AZ744-BD744</f>
        <v>0</v>
      </c>
      <c r="BF744" s="34" t="n">
        <f aca="false">BD744*M744</f>
        <v>795.2</v>
      </c>
      <c r="BG744" s="35" t="n">
        <f aca="false">BA744-BF744</f>
        <v>-0.199999999999932</v>
      </c>
      <c r="BH744" s="19" t="str">
        <f aca="false">IF(BG744=0,"",IF(BG744&lt;&gt;BA744,"erreur de calcul",IF(BD744&lt;&gt;0,"pas de prix",IF(M744&lt;&gt; 0,"pas de quantité","pas de prix, ni de quantité"))))</f>
        <v>erreur de calcul</v>
      </c>
      <c r="BI744" s="19"/>
    </row>
    <row r="745" customFormat="false" ht="15" hidden="false" customHeight="false" outlineLevel="0" collapsed="false">
      <c r="A745" s="0" t="n">
        <v>41</v>
      </c>
      <c r="B745" s="8" t="s">
        <v>24</v>
      </c>
      <c r="C745" s="9" t="s">
        <v>25</v>
      </c>
      <c r="D745" s="9" t="s">
        <v>26</v>
      </c>
      <c r="E745" s="10" t="n">
        <v>1789</v>
      </c>
      <c r="F745" s="9" t="s">
        <v>27</v>
      </c>
      <c r="G745" s="9" t="s">
        <v>27</v>
      </c>
      <c r="H745" s="11" t="n">
        <v>18</v>
      </c>
      <c r="I745" s="11" t="s">
        <v>116</v>
      </c>
      <c r="J745" s="14"/>
      <c r="K745" s="14" t="n">
        <v>40</v>
      </c>
      <c r="L745" s="16"/>
      <c r="M745" s="27" t="n">
        <f aca="false">J745+(K745/20)+(L745/240)</f>
        <v>2</v>
      </c>
      <c r="N745" s="17" t="s">
        <v>66</v>
      </c>
      <c r="O745" s="11"/>
      <c r="P745" s="28"/>
      <c r="Q745" s="28" t="n">
        <f aca="false">P745*$M745</f>
        <v>0</v>
      </c>
      <c r="R745" s="28"/>
      <c r="S745" s="28" t="n">
        <f aca="false">R745*$M745</f>
        <v>0</v>
      </c>
      <c r="T745" s="28"/>
      <c r="U745" s="28" t="n">
        <f aca="false">T745*$M745</f>
        <v>0</v>
      </c>
      <c r="V745" s="28"/>
      <c r="W745" s="28" t="n">
        <f aca="false">V745*$M745</f>
        <v>0</v>
      </c>
      <c r="X745" s="29"/>
      <c r="Y745" s="28" t="n">
        <f aca="false">X745*$M745</f>
        <v>0</v>
      </c>
      <c r="Z745" s="28"/>
      <c r="AA745" s="28" t="n">
        <f aca="false">Z745*$M745</f>
        <v>0</v>
      </c>
      <c r="AB745" s="28"/>
      <c r="AC745" s="28" t="n">
        <f aca="false">AB745*$M745</f>
        <v>0</v>
      </c>
      <c r="AD745" s="28"/>
      <c r="AE745" s="28" t="n">
        <f aca="false">AD745*$M745</f>
        <v>0</v>
      </c>
      <c r="AF745" s="28"/>
      <c r="AG745" s="28" t="n">
        <f aca="false">AF745*$M745</f>
        <v>0</v>
      </c>
      <c r="AH745" s="28" t="n">
        <v>232710</v>
      </c>
      <c r="AI745" s="28" t="n">
        <v>465420</v>
      </c>
      <c r="AJ745" s="28"/>
      <c r="AK745" s="28" t="n">
        <f aca="false">AJ745*$M745</f>
        <v>0</v>
      </c>
      <c r="AL745" s="28"/>
      <c r="AM745" s="28" t="n">
        <f aca="false">AL745*$M745</f>
        <v>0</v>
      </c>
      <c r="AN745" s="28"/>
      <c r="AO745" s="28" t="n">
        <f aca="false">AN745*$M745</f>
        <v>0</v>
      </c>
      <c r="AP745" s="28"/>
      <c r="AQ745" s="28" t="n">
        <f aca="false">AP745*$M745</f>
        <v>0</v>
      </c>
      <c r="AR745" s="28"/>
      <c r="AS745" s="28" t="n">
        <f aca="false">AR745*$M745</f>
        <v>0</v>
      </c>
      <c r="AT745" s="28"/>
      <c r="AU745" s="28" t="n">
        <f aca="false">AT745*$M745</f>
        <v>0</v>
      </c>
      <c r="AV745" s="28"/>
      <c r="AW745" s="28" t="n">
        <f aca="false">AV745*$M745</f>
        <v>0</v>
      </c>
      <c r="AX745" s="28"/>
      <c r="AY745" s="28" t="n">
        <f aca="false">AX745*$M745</f>
        <v>0</v>
      </c>
      <c r="AZ745" s="30" t="n">
        <v>232710</v>
      </c>
      <c r="BA745" s="11" t="n">
        <v>465420</v>
      </c>
      <c r="BB745" s="31" t="n">
        <f aca="false">SUM(Q745,S745,U745,W745,Y745,AA745,AC745,AE745,AG745,AI745,AK745,AM745,AO745,AQ745,AS745,AU745,AW745,AY745)</f>
        <v>465420</v>
      </c>
      <c r="BC745" s="28" t="n">
        <f aca="false">BA745-BB745</f>
        <v>0</v>
      </c>
      <c r="BD745" s="32" t="n">
        <f aca="false">SUM(P745,R745,T745,V745,X745,Z745,AB745,AD745,AF745,AH745,AJ745,AL745,AN745,AP745,AR745,AT745,AV745,AX745)</f>
        <v>232710</v>
      </c>
      <c r="BE745" s="33" t="n">
        <f aca="false">AZ745-BD745</f>
        <v>0</v>
      </c>
      <c r="BF745" s="34" t="n">
        <f aca="false">BD745*M745</f>
        <v>465420</v>
      </c>
      <c r="BG745" s="35" t="n">
        <f aca="false">BA745-BF745</f>
        <v>0</v>
      </c>
      <c r="BH745" s="19" t="str">
        <f aca="false">IF(BG745=0,"",IF(BG745&lt;&gt;BA745,"erreur de calcul",IF(BD745&lt;&gt;0,"pas de prix",IF(M745&lt;&gt; 0,"pas de quantité","pas de prix, ni de quantité"))))</f>
        <v/>
      </c>
      <c r="BI745" s="19"/>
    </row>
    <row r="746" customFormat="false" ht="15" hidden="false" customHeight="false" outlineLevel="0" collapsed="false">
      <c r="A746" s="0" t="n">
        <v>1</v>
      </c>
      <c r="B746" s="8" t="s">
        <v>24</v>
      </c>
      <c r="C746" s="9" t="s">
        <v>25</v>
      </c>
      <c r="D746" s="9" t="s">
        <v>26</v>
      </c>
      <c r="E746" s="10" t="n">
        <v>1789</v>
      </c>
      <c r="F746" s="9" t="s">
        <v>27</v>
      </c>
      <c r="G746" s="9" t="s">
        <v>27</v>
      </c>
      <c r="H746" s="11" t="n">
        <v>20</v>
      </c>
      <c r="I746" s="11" t="s">
        <v>117</v>
      </c>
      <c r="J746" s="14" t="n">
        <v>10</v>
      </c>
      <c r="K746" s="14"/>
      <c r="L746" s="16"/>
      <c r="M746" s="27" t="n">
        <f aca="false">J746+(K746/20)+(L746/240)</f>
        <v>10</v>
      </c>
      <c r="N746" s="17" t="s">
        <v>64</v>
      </c>
      <c r="O746" s="11"/>
      <c r="P746" s="28" t="n">
        <f aca="false">2120/100</f>
        <v>21.2</v>
      </c>
      <c r="Q746" s="28" t="n">
        <v>212</v>
      </c>
      <c r="R746" s="28"/>
      <c r="S746" s="28" t="n">
        <f aca="false">R746*$M746</f>
        <v>0</v>
      </c>
      <c r="T746" s="28" t="n">
        <f aca="false">4184/100</f>
        <v>41.84</v>
      </c>
      <c r="U746" s="28" t="n">
        <v>418</v>
      </c>
      <c r="V746" s="28"/>
      <c r="W746" s="28" t="n">
        <f aca="false">V746*$M746</f>
        <v>0</v>
      </c>
      <c r="X746" s="28"/>
      <c r="Y746" s="28" t="n">
        <f aca="false">X746*$M746</f>
        <v>0</v>
      </c>
      <c r="Z746" s="28" t="n">
        <f aca="false">4467/100</f>
        <v>44.67</v>
      </c>
      <c r="AA746" s="28" t="n">
        <v>447</v>
      </c>
      <c r="AB746" s="28"/>
      <c r="AC746" s="28" t="n">
        <f aca="false">AB746*$M746</f>
        <v>0</v>
      </c>
      <c r="AD746" s="28"/>
      <c r="AE746" s="28" t="n">
        <f aca="false">AD746*$M746</f>
        <v>0</v>
      </c>
      <c r="AF746" s="28"/>
      <c r="AG746" s="28" t="n">
        <f aca="false">AF746*$M746</f>
        <v>0</v>
      </c>
      <c r="AH746" s="28" t="n">
        <f aca="false">37604/100</f>
        <v>376.04</v>
      </c>
      <c r="AI746" s="28" t="n">
        <v>3760</v>
      </c>
      <c r="AJ746" s="28"/>
      <c r="AK746" s="28" t="n">
        <f aca="false">AJ746*$M746</f>
        <v>0</v>
      </c>
      <c r="AL746" s="28"/>
      <c r="AM746" s="28" t="n">
        <f aca="false">AL746*$M746</f>
        <v>0</v>
      </c>
      <c r="AN746" s="28"/>
      <c r="AO746" s="28" t="n">
        <f aca="false">AN746*$M746</f>
        <v>0</v>
      </c>
      <c r="AP746" s="28"/>
      <c r="AQ746" s="28" t="n">
        <f aca="false">AP746*$M746</f>
        <v>0</v>
      </c>
      <c r="AR746" s="28"/>
      <c r="AS746" s="28" t="n">
        <f aca="false">AR746*$M746</f>
        <v>0</v>
      </c>
      <c r="AT746" s="28"/>
      <c r="AU746" s="28" t="n">
        <f aca="false">AT746*$M746</f>
        <v>0</v>
      </c>
      <c r="AV746" s="28"/>
      <c r="AW746" s="28" t="n">
        <f aca="false">AV746*$M746</f>
        <v>0</v>
      </c>
      <c r="AX746" s="28"/>
      <c r="AY746" s="28" t="n">
        <f aca="false">AX746*$M746</f>
        <v>0</v>
      </c>
      <c r="AZ746" s="30" t="n">
        <f aca="false">46255/100</f>
        <v>462.55</v>
      </c>
      <c r="BA746" s="11" t="n">
        <v>4837</v>
      </c>
      <c r="BB746" s="31" t="n">
        <f aca="false">SUM(Q746,S746,U746,W746,Y746,AA746,AC746,AE746,AG746,AI746,AK746,AM746,AO746,AQ746,AS746,AU746,AW746,AY746)</f>
        <v>4837</v>
      </c>
      <c r="BC746" s="28" t="n">
        <f aca="false">BA746-BB746</f>
        <v>0</v>
      </c>
      <c r="BD746" s="32" t="n">
        <f aca="false">SUM(P746,R746,T746,V746,X746,Z746,AB746,AD746,AF746,AH746,AJ746,AL746,AN746,AP746,AR746,AT746,AV746,AX746)</f>
        <v>483.75</v>
      </c>
      <c r="BE746" s="33" t="n">
        <f aca="false">AZ746-BD746</f>
        <v>-21.2</v>
      </c>
      <c r="BF746" s="34" t="n">
        <f aca="false">BD746*M746</f>
        <v>4837.5</v>
      </c>
      <c r="BG746" s="35" t="n">
        <f aca="false">BA746-BF746</f>
        <v>-0.50000000000091</v>
      </c>
      <c r="BH746" s="19" t="str">
        <f aca="false">IF(BG746=0,"",IF(BG746&lt;&gt;BA746,"erreur de calcul",IF(BD746&lt;&gt;0,"pas de prix",IF(M746&lt;&gt; 0,"pas de quantité","pas de prix, ni de quantité"))))</f>
        <v>erreur de calcul</v>
      </c>
      <c r="BI746" s="19"/>
    </row>
    <row r="747" customFormat="false" ht="15" hidden="false" customHeight="false" outlineLevel="0" collapsed="false">
      <c r="A747" s="0" t="n">
        <v>2</v>
      </c>
      <c r="B747" s="8" t="s">
        <v>24</v>
      </c>
      <c r="C747" s="9" t="s">
        <v>25</v>
      </c>
      <c r="D747" s="9" t="s">
        <v>26</v>
      </c>
      <c r="E747" s="10" t="n">
        <v>1789</v>
      </c>
      <c r="F747" s="9" t="s">
        <v>27</v>
      </c>
      <c r="G747" s="9" t="s">
        <v>27</v>
      </c>
      <c r="H747" s="11" t="n">
        <v>20</v>
      </c>
      <c r="I747" s="11" t="s">
        <v>118</v>
      </c>
      <c r="J747" s="14" t="n">
        <v>10</v>
      </c>
      <c r="K747" s="14"/>
      <c r="L747" s="16"/>
      <c r="M747" s="27" t="n">
        <f aca="false">J747+(K747/20)+(L747/240)</f>
        <v>10</v>
      </c>
      <c r="N747" s="17" t="s">
        <v>64</v>
      </c>
      <c r="O747" s="11"/>
      <c r="P747" s="28" t="n">
        <f aca="false">6450193/100</f>
        <v>64501.93</v>
      </c>
      <c r="Q747" s="28" t="n">
        <v>645019</v>
      </c>
      <c r="R747" s="28"/>
      <c r="S747" s="28" t="n">
        <f aca="false">R747*$M747</f>
        <v>0</v>
      </c>
      <c r="T747" s="28"/>
      <c r="U747" s="28" t="n">
        <f aca="false">T747*$M747</f>
        <v>0</v>
      </c>
      <c r="V747" s="28"/>
      <c r="W747" s="28" t="n">
        <f aca="false">V747*$M747</f>
        <v>0</v>
      </c>
      <c r="X747" s="28"/>
      <c r="Y747" s="28" t="n">
        <f aca="false">X747*$M747</f>
        <v>0</v>
      </c>
      <c r="Z747" s="28"/>
      <c r="AA747" s="28" t="n">
        <f aca="false">Z747*$M747</f>
        <v>0</v>
      </c>
      <c r="AB747" s="28" t="n">
        <f aca="false">601547/100</f>
        <v>6015.47</v>
      </c>
      <c r="AC747" s="28" t="n">
        <v>60155</v>
      </c>
      <c r="AD747" s="28"/>
      <c r="AE747" s="28" t="n">
        <f aca="false">AD747*$M747</f>
        <v>0</v>
      </c>
      <c r="AF747" s="28" t="n">
        <f aca="false">727551/100</f>
        <v>7275.51</v>
      </c>
      <c r="AG747" s="28" t="n">
        <v>72755</v>
      </c>
      <c r="AH747" s="28" t="n">
        <f aca="false">52982/100</f>
        <v>529.82</v>
      </c>
      <c r="AI747" s="28" t="n">
        <v>5299</v>
      </c>
      <c r="AJ747" s="28"/>
      <c r="AK747" s="28" t="n">
        <f aca="false">AJ747*$M747</f>
        <v>0</v>
      </c>
      <c r="AL747" s="28"/>
      <c r="AM747" s="28" t="n">
        <f aca="false">AL747*$M747</f>
        <v>0</v>
      </c>
      <c r="AN747" s="28"/>
      <c r="AO747" s="28" t="n">
        <f aca="false">AN747*$M747</f>
        <v>0</v>
      </c>
      <c r="AP747" s="28"/>
      <c r="AQ747" s="28" t="n">
        <f aca="false">AP747*$M747</f>
        <v>0</v>
      </c>
      <c r="AR747" s="28"/>
      <c r="AS747" s="28" t="n">
        <f aca="false">AR747*$M747</f>
        <v>0</v>
      </c>
      <c r="AT747" s="28"/>
      <c r="AU747" s="28" t="n">
        <f aca="false">AT747*$M747</f>
        <v>0</v>
      </c>
      <c r="AV747" s="28"/>
      <c r="AW747" s="28" t="n">
        <f aca="false">AV747*$M747</f>
        <v>0</v>
      </c>
      <c r="AX747" s="28"/>
      <c r="AY747" s="28" t="n">
        <f aca="false">AX747*$M747</f>
        <v>0</v>
      </c>
      <c r="AZ747" s="30" t="n">
        <f aca="false">7832273/100</f>
        <v>78322.73</v>
      </c>
      <c r="BA747" s="11" t="n">
        <v>783228</v>
      </c>
      <c r="BB747" s="31" t="n">
        <f aca="false">SUM(Q747,S747,U747,W747,Y747,AA747,AC747,AE747,AG747,AI747,AK747,AM747,AO747,AQ747,AS747,AU747,AW747,AY747)</f>
        <v>783228</v>
      </c>
      <c r="BC747" s="28" t="n">
        <f aca="false">BA747-BB747</f>
        <v>0</v>
      </c>
      <c r="BD747" s="32" t="n">
        <f aca="false">SUM(P747,R747,T747,V747,X747,Z747,AB747,AD747,AF747,AH747,AJ747,AL747,AN747,AP747,AR747,AT747,AV747,AX747)</f>
        <v>78322.73</v>
      </c>
      <c r="BE747" s="33" t="n">
        <f aca="false">AZ747-BD747</f>
        <v>0</v>
      </c>
      <c r="BF747" s="34" t="n">
        <f aca="false">BD747*M747</f>
        <v>783227.3</v>
      </c>
      <c r="BG747" s="35" t="n">
        <f aca="false">BA747-BF747</f>
        <v>0.700000000069849</v>
      </c>
      <c r="BH747" s="19" t="str">
        <f aca="false">IF(BG747=0,"",IF(BG747&lt;&gt;BA747,"erreur de calcul",IF(BD747&lt;&gt;0,"pas de prix",IF(M747&lt;&gt; 0,"pas de quantité","pas de prix, ni de quantité"))))</f>
        <v>erreur de calcul</v>
      </c>
      <c r="BI747" s="19"/>
    </row>
    <row r="748" customFormat="false" ht="15" hidden="false" customHeight="false" outlineLevel="0" collapsed="false">
      <c r="A748" s="0" t="n">
        <v>3</v>
      </c>
      <c r="B748" s="8" t="s">
        <v>24</v>
      </c>
      <c r="C748" s="9" t="s">
        <v>25</v>
      </c>
      <c r="D748" s="9" t="s">
        <v>26</v>
      </c>
      <c r="E748" s="10" t="n">
        <v>1789</v>
      </c>
      <c r="F748" s="9" t="s">
        <v>27</v>
      </c>
      <c r="G748" s="9" t="s">
        <v>27</v>
      </c>
      <c r="H748" s="11" t="n">
        <v>20</v>
      </c>
      <c r="I748" s="11" t="s">
        <v>119</v>
      </c>
      <c r="J748" s="14" t="n">
        <v>10</v>
      </c>
      <c r="K748" s="14"/>
      <c r="L748" s="16"/>
      <c r="M748" s="27" t="n">
        <f aca="false">J748+(K748/20)+(L748/240)</f>
        <v>10</v>
      </c>
      <c r="N748" s="17" t="s">
        <v>64</v>
      </c>
      <c r="O748" s="11"/>
      <c r="P748" s="28" t="n">
        <f aca="false">2617064/100</f>
        <v>26170.64</v>
      </c>
      <c r="Q748" s="28" t="n">
        <v>261706</v>
      </c>
      <c r="R748" s="28"/>
      <c r="S748" s="28" t="n">
        <f aca="false">R748*$M748</f>
        <v>0</v>
      </c>
      <c r="T748" s="28" t="n">
        <f aca="false">251959/100</f>
        <v>2519.59</v>
      </c>
      <c r="U748" s="28" t="n">
        <v>25196</v>
      </c>
      <c r="V748" s="28"/>
      <c r="W748" s="28" t="n">
        <f aca="false">V748*$M748</f>
        <v>0</v>
      </c>
      <c r="X748" s="28"/>
      <c r="Y748" s="28" t="n">
        <f aca="false">X748*$M748</f>
        <v>0</v>
      </c>
      <c r="Z748" s="28"/>
      <c r="AA748" s="28" t="n">
        <f aca="false">Z748*$M748</f>
        <v>0</v>
      </c>
      <c r="AB748" s="28"/>
      <c r="AC748" s="28" t="n">
        <f aca="false">AB748*$M748</f>
        <v>0</v>
      </c>
      <c r="AD748" s="28"/>
      <c r="AE748" s="28" t="n">
        <f aca="false">AD748*$M748</f>
        <v>0</v>
      </c>
      <c r="AF748" s="28"/>
      <c r="AG748" s="28" t="n">
        <f aca="false">AF748*$M748</f>
        <v>0</v>
      </c>
      <c r="AH748" s="28"/>
      <c r="AI748" s="28" t="n">
        <f aca="false">AH748*$M748</f>
        <v>0</v>
      </c>
      <c r="AJ748" s="28"/>
      <c r="AK748" s="28" t="n">
        <f aca="false">AJ748*$M748</f>
        <v>0</v>
      </c>
      <c r="AL748" s="28"/>
      <c r="AM748" s="28" t="n">
        <f aca="false">AL748*$M748</f>
        <v>0</v>
      </c>
      <c r="AN748" s="28"/>
      <c r="AO748" s="28" t="n">
        <f aca="false">AN748*$M748</f>
        <v>0</v>
      </c>
      <c r="AP748" s="28"/>
      <c r="AQ748" s="28" t="n">
        <f aca="false">AP748*$M748</f>
        <v>0</v>
      </c>
      <c r="AR748" s="28"/>
      <c r="AS748" s="28" t="n">
        <f aca="false">AR748*$M748</f>
        <v>0</v>
      </c>
      <c r="AT748" s="28"/>
      <c r="AU748" s="28" t="n">
        <f aca="false">AT748*$M748</f>
        <v>0</v>
      </c>
      <c r="AV748" s="28"/>
      <c r="AW748" s="28" t="n">
        <f aca="false">AV748*$M748</f>
        <v>0</v>
      </c>
      <c r="AX748" s="28"/>
      <c r="AY748" s="28" t="n">
        <f aca="false">AX748*$M748</f>
        <v>0</v>
      </c>
      <c r="AZ748" s="30" t="n">
        <f aca="false">2869023/100</f>
        <v>28690.23</v>
      </c>
      <c r="BA748" s="11" t="n">
        <v>286902</v>
      </c>
      <c r="BB748" s="31" t="n">
        <f aca="false">SUM(Q748,S748,U748,W748,Y748,AA748,AC748,AE748,AG748,AI748,AK748,AM748,AO748,AQ748,AS748,AU748,AW748,AY748)</f>
        <v>286902</v>
      </c>
      <c r="BC748" s="28" t="n">
        <f aca="false">BA748-BB748</f>
        <v>0</v>
      </c>
      <c r="BD748" s="32" t="n">
        <f aca="false">SUM(P748,R748,T748,V748,X748,Z748,AB748,AD748,AF748,AH748,AJ748,AL748,AN748,AP748,AR748,AT748,AV748,AX748)</f>
        <v>28690.23</v>
      </c>
      <c r="BE748" s="33" t="n">
        <f aca="false">AZ748-BD748</f>
        <v>0</v>
      </c>
      <c r="BF748" s="34" t="n">
        <f aca="false">BD748*M748</f>
        <v>286902.3</v>
      </c>
      <c r="BG748" s="35" t="n">
        <f aca="false">BA748-BF748</f>
        <v>-0.299999999988358</v>
      </c>
      <c r="BH748" s="19" t="str">
        <f aca="false">IF(BG748=0,"",IF(BG748&lt;&gt;BA748,"erreur de calcul",IF(BD748&lt;&gt;0,"pas de prix",IF(M748&lt;&gt; 0,"pas de quantité","pas de prix, ni de quantité"))))</f>
        <v>erreur de calcul</v>
      </c>
      <c r="BI748" s="19"/>
    </row>
    <row r="749" customFormat="false" ht="16.65" hidden="false" customHeight="false" outlineLevel="0" collapsed="false">
      <c r="A749" s="0" t="n">
        <v>4</v>
      </c>
      <c r="B749" s="8" t="s">
        <v>24</v>
      </c>
      <c r="C749" s="9" t="s">
        <v>25</v>
      </c>
      <c r="D749" s="9" t="s">
        <v>26</v>
      </c>
      <c r="E749" s="10" t="n">
        <v>1789</v>
      </c>
      <c r="F749" s="9" t="s">
        <v>27</v>
      </c>
      <c r="G749" s="9" t="s">
        <v>27</v>
      </c>
      <c r="H749" s="11" t="n">
        <v>20</v>
      </c>
      <c r="I749" s="11" t="s">
        <v>120</v>
      </c>
      <c r="J749" s="14" t="n">
        <v>12</v>
      </c>
      <c r="K749" s="14"/>
      <c r="L749" s="16"/>
      <c r="M749" s="27" t="n">
        <f aca="false">J749+(K749/20)+(L749/240)</f>
        <v>12</v>
      </c>
      <c r="N749" s="17" t="s">
        <v>64</v>
      </c>
      <c r="O749" s="11" t="s">
        <v>77</v>
      </c>
      <c r="P749" s="28"/>
      <c r="Q749" s="28" t="n">
        <f aca="false">P749*$M749</f>
        <v>0</v>
      </c>
      <c r="R749" s="28"/>
      <c r="S749" s="28" t="n">
        <f aca="false">R749*$M749</f>
        <v>0</v>
      </c>
      <c r="T749" s="28"/>
      <c r="U749" s="28" t="n">
        <f aca="false">T749*$M749</f>
        <v>0</v>
      </c>
      <c r="V749" s="28" t="n">
        <f aca="false">15268/100</f>
        <v>152.68</v>
      </c>
      <c r="W749" s="28" t="n">
        <v>1832</v>
      </c>
      <c r="X749" s="28"/>
      <c r="Y749" s="28" t="n">
        <f aca="false">X749*$M749</f>
        <v>0</v>
      </c>
      <c r="Z749" s="28"/>
      <c r="AA749" s="28" t="n">
        <f aca="false">Z749*$M749</f>
        <v>0</v>
      </c>
      <c r="AB749" s="28"/>
      <c r="AC749" s="28" t="n">
        <f aca="false">AB749*$M749</f>
        <v>0</v>
      </c>
      <c r="AD749" s="28"/>
      <c r="AE749" s="28" t="n">
        <f aca="false">AD749*$M749</f>
        <v>0</v>
      </c>
      <c r="AF749" s="28"/>
      <c r="AG749" s="28" t="n">
        <f aca="false">AF749*$M749</f>
        <v>0</v>
      </c>
      <c r="AH749" s="28" t="n">
        <f aca="false">26667/100</f>
        <v>266.67</v>
      </c>
      <c r="AI749" s="28" t="n">
        <v>3200</v>
      </c>
      <c r="AJ749" s="28"/>
      <c r="AK749" s="28" t="n">
        <f aca="false">AJ749*$M749</f>
        <v>0</v>
      </c>
      <c r="AL749" s="28"/>
      <c r="AM749" s="28" t="n">
        <f aca="false">AL749*$M749</f>
        <v>0</v>
      </c>
      <c r="AN749" s="28"/>
      <c r="AO749" s="28" t="n">
        <f aca="false">AN749*$M749</f>
        <v>0</v>
      </c>
      <c r="AP749" s="28"/>
      <c r="AQ749" s="28" t="n">
        <f aca="false">AP749*$M749</f>
        <v>0</v>
      </c>
      <c r="AR749" s="28"/>
      <c r="AS749" s="28" t="n">
        <f aca="false">AR749*$M749</f>
        <v>0</v>
      </c>
      <c r="AT749" s="28"/>
      <c r="AU749" s="28" t="n">
        <f aca="false">AT749*$M749</f>
        <v>0</v>
      </c>
      <c r="AV749" s="28"/>
      <c r="AW749" s="28" t="n">
        <f aca="false">AV749*$M749</f>
        <v>0</v>
      </c>
      <c r="AX749" s="28"/>
      <c r="AY749" s="28" t="n">
        <f aca="false">AX749*$M749</f>
        <v>0</v>
      </c>
      <c r="AZ749" s="30" t="n">
        <f aca="false">41935/100</f>
        <v>419.35</v>
      </c>
      <c r="BA749" s="11" t="n">
        <v>5032</v>
      </c>
      <c r="BB749" s="31" t="n">
        <f aca="false">SUM(Q749,S749,U749,W749,Y749,AA749,AC749,AE749,AG749,AI749,AK749,AM749,AO749,AQ749,AS749,AU749,AW749,AY749)</f>
        <v>5032</v>
      </c>
      <c r="BC749" s="28" t="n">
        <f aca="false">BA749-BB749</f>
        <v>0</v>
      </c>
      <c r="BD749" s="32" t="n">
        <f aca="false">SUM(P749,R749,T749,V749,X749,Z749,AB749,AD749,AF749,AH749,AJ749,AL749,AN749,AP749,AR749,AT749,AV749,AX749)</f>
        <v>419.35</v>
      </c>
      <c r="BE749" s="33" t="n">
        <f aca="false">AZ749-BD749</f>
        <v>0</v>
      </c>
      <c r="BF749" s="34" t="n">
        <f aca="false">BD749*M749</f>
        <v>5032.2</v>
      </c>
      <c r="BG749" s="35" t="n">
        <f aca="false">BA749-BF749</f>
        <v>-0.200000000000728</v>
      </c>
      <c r="BH749" s="19" t="str">
        <f aca="false">IF(BG749=0,"",IF(BG749&lt;&gt;BA749,"erreur de calcul",IF(BD749&lt;&gt;0,"pas de prix",IF(M749&lt;&gt; 0,"pas de quantité","pas de prix, ni de quantité"))))</f>
        <v>erreur de calcul</v>
      </c>
      <c r="BI749" s="19"/>
    </row>
    <row r="750" customFormat="false" ht="15" hidden="false" customHeight="false" outlineLevel="0" collapsed="false">
      <c r="A750" s="0" t="n">
        <v>5</v>
      </c>
      <c r="B750" s="8" t="s">
        <v>24</v>
      </c>
      <c r="C750" s="9" t="s">
        <v>25</v>
      </c>
      <c r="D750" s="9" t="s">
        <v>26</v>
      </c>
      <c r="E750" s="10" t="n">
        <v>1789</v>
      </c>
      <c r="F750" s="9" t="s">
        <v>27</v>
      </c>
      <c r="G750" s="9" t="s">
        <v>27</v>
      </c>
      <c r="H750" s="11" t="n">
        <v>20</v>
      </c>
      <c r="I750" s="11" t="s">
        <v>121</v>
      </c>
      <c r="J750" s="14" t="n">
        <v>28</v>
      </c>
      <c r="K750" s="14"/>
      <c r="L750" s="16"/>
      <c r="M750" s="27" t="n">
        <f aca="false">J750+(K750/20)+(L750/240)</f>
        <v>28</v>
      </c>
      <c r="N750" s="17" t="s">
        <v>64</v>
      </c>
      <c r="O750" s="11"/>
      <c r="P750" s="28"/>
      <c r="Q750" s="28" t="n">
        <f aca="false">P750*$M750</f>
        <v>0</v>
      </c>
      <c r="R750" s="28"/>
      <c r="S750" s="28" t="n">
        <f aca="false">R750*$M750</f>
        <v>0</v>
      </c>
      <c r="T750" s="28"/>
      <c r="U750" s="28" t="n">
        <f aca="false">T750*$M750</f>
        <v>0</v>
      </c>
      <c r="V750" s="28"/>
      <c r="W750" s="28" t="n">
        <f aca="false">V750*$M750</f>
        <v>0</v>
      </c>
      <c r="X750" s="28" t="n">
        <f aca="false">187504/100</f>
        <v>1875.04</v>
      </c>
      <c r="Y750" s="28" t="n">
        <v>52501</v>
      </c>
      <c r="Z750" s="28" t="n">
        <f aca="false">1041667/100</f>
        <v>10416.67</v>
      </c>
      <c r="AA750" s="28" t="n">
        <v>291667</v>
      </c>
      <c r="AB750" s="28"/>
      <c r="AC750" s="28" t="n">
        <f aca="false">AB750*$M750</f>
        <v>0</v>
      </c>
      <c r="AD750" s="28"/>
      <c r="AE750" s="28" t="n">
        <f aca="false">AD750*$M750</f>
        <v>0</v>
      </c>
      <c r="AF750" s="28"/>
      <c r="AG750" s="28" t="n">
        <f aca="false">AF750*$M750</f>
        <v>0</v>
      </c>
      <c r="AH750" s="28"/>
      <c r="AI750" s="28" t="n">
        <f aca="false">AH750*$M750</f>
        <v>0</v>
      </c>
      <c r="AJ750" s="28"/>
      <c r="AK750" s="28" t="n">
        <f aca="false">AJ750*$M750</f>
        <v>0</v>
      </c>
      <c r="AL750" s="28"/>
      <c r="AM750" s="28" t="n">
        <f aca="false">AL750*$M750</f>
        <v>0</v>
      </c>
      <c r="AN750" s="28"/>
      <c r="AO750" s="28" t="n">
        <f aca="false">AN750*$M750</f>
        <v>0</v>
      </c>
      <c r="AP750" s="28"/>
      <c r="AQ750" s="28" t="n">
        <f aca="false">AP750*$M750</f>
        <v>0</v>
      </c>
      <c r="AR750" s="28"/>
      <c r="AS750" s="28" t="n">
        <f aca="false">AR750*$M750</f>
        <v>0</v>
      </c>
      <c r="AT750" s="28"/>
      <c r="AU750" s="28" t="n">
        <f aca="false">AT750*$M750</f>
        <v>0</v>
      </c>
      <c r="AV750" s="28"/>
      <c r="AW750" s="28" t="n">
        <f aca="false">AV750*$M750</f>
        <v>0</v>
      </c>
      <c r="AX750" s="28"/>
      <c r="AY750" s="28" t="n">
        <f aca="false">AX750*$M750</f>
        <v>0</v>
      </c>
      <c r="AZ750" s="30" t="n">
        <f aca="false">1229171/100</f>
        <v>12291.71</v>
      </c>
      <c r="BA750" s="11" t="n">
        <v>344168</v>
      </c>
      <c r="BB750" s="31" t="n">
        <f aca="false">SUM(Q750,S750,U750,W750,Y750,AA750,AC750,AE750,AG750,AI750,AK750,AM750,AO750,AQ750,AS750,AU750,AW750,AY750)</f>
        <v>344168</v>
      </c>
      <c r="BC750" s="28" t="n">
        <f aca="false">BA750-BB750</f>
        <v>0</v>
      </c>
      <c r="BD750" s="32" t="n">
        <f aca="false">SUM(P750,R750,T750,V750,X750,Z750,AB750,AD750,AF750,AH750,AJ750,AL750,AN750,AP750,AR750,AT750,AV750,AX750)</f>
        <v>12291.71</v>
      </c>
      <c r="BE750" s="33" t="n">
        <f aca="false">AZ750-BD750</f>
        <v>0</v>
      </c>
      <c r="BF750" s="34" t="n">
        <f aca="false">BD750*M750</f>
        <v>344167.88</v>
      </c>
      <c r="BG750" s="35" t="n">
        <f aca="false">BA750-BF750</f>
        <v>0.119999999995343</v>
      </c>
      <c r="BH750" s="19" t="str">
        <f aca="false">IF(BG750=0,"",IF(BG750&lt;&gt;BA750,"erreur de calcul",IF(BD750&lt;&gt;0,"pas de prix",IF(M750&lt;&gt; 0,"pas de quantité","pas de prix, ni de quantité"))))</f>
        <v>erreur de calcul</v>
      </c>
      <c r="BI750" s="19"/>
    </row>
    <row r="751" customFormat="false" ht="15" hidden="false" customHeight="false" outlineLevel="0" collapsed="false">
      <c r="A751" s="0" t="n">
        <v>6</v>
      </c>
      <c r="B751" s="8" t="s">
        <v>24</v>
      </c>
      <c r="C751" s="9" t="s">
        <v>25</v>
      </c>
      <c r="D751" s="9" t="s">
        <v>26</v>
      </c>
      <c r="E751" s="10" t="n">
        <v>1789</v>
      </c>
      <c r="F751" s="9" t="s">
        <v>27</v>
      </c>
      <c r="G751" s="9" t="s">
        <v>27</v>
      </c>
      <c r="H751" s="11" t="n">
        <v>20</v>
      </c>
      <c r="I751" s="11" t="s">
        <v>122</v>
      </c>
      <c r="J751" s="14" t="n">
        <v>16</v>
      </c>
      <c r="K751" s="14"/>
      <c r="L751" s="16"/>
      <c r="M751" s="27" t="n">
        <f aca="false">J751+(K751/20)+(L751/240)</f>
        <v>16</v>
      </c>
      <c r="N751" s="17" t="s">
        <v>64</v>
      </c>
      <c r="O751" s="11"/>
      <c r="P751" s="28" t="n">
        <f aca="false">1774951/100</f>
        <v>17749.51</v>
      </c>
      <c r="Q751" s="28" t="n">
        <v>283992</v>
      </c>
      <c r="R751" s="28"/>
      <c r="S751" s="28" t="n">
        <f aca="false">R751*$M751</f>
        <v>0</v>
      </c>
      <c r="T751" s="28"/>
      <c r="U751" s="28" t="n">
        <f aca="false">T751*$M751</f>
        <v>0</v>
      </c>
      <c r="V751" s="28" t="n">
        <f aca="false">20834/100</f>
        <v>208.34</v>
      </c>
      <c r="W751" s="28" t="n">
        <v>3333</v>
      </c>
      <c r="X751" s="28" t="n">
        <f aca="false">85901/100</f>
        <v>859.01</v>
      </c>
      <c r="Y751" s="28" t="n">
        <v>13744</v>
      </c>
      <c r="Z751" s="28"/>
      <c r="AA751" s="28" t="n">
        <f aca="false">Z751*$M751</f>
        <v>0</v>
      </c>
      <c r="AB751" s="28" t="n">
        <f aca="false">6847841/100</f>
        <v>68478.41</v>
      </c>
      <c r="AC751" s="28" t="n">
        <v>1095654</v>
      </c>
      <c r="AD751" s="28"/>
      <c r="AE751" s="28" t="n">
        <f aca="false">AD751*$M751</f>
        <v>0</v>
      </c>
      <c r="AF751" s="28"/>
      <c r="AG751" s="28" t="n">
        <f aca="false">AF751*$M751</f>
        <v>0</v>
      </c>
      <c r="AH751" s="28" t="n">
        <f aca="false">50417/100</f>
        <v>504.17</v>
      </c>
      <c r="AI751" s="28" t="n">
        <v>8067</v>
      </c>
      <c r="AJ751" s="28"/>
      <c r="AK751" s="28" t="n">
        <f aca="false">AJ751*$M751</f>
        <v>0</v>
      </c>
      <c r="AL751" s="28"/>
      <c r="AM751" s="28" t="n">
        <f aca="false">AL751*$M751</f>
        <v>0</v>
      </c>
      <c r="AN751" s="28"/>
      <c r="AO751" s="28" t="n">
        <f aca="false">AN751*$M751</f>
        <v>0</v>
      </c>
      <c r="AP751" s="28"/>
      <c r="AQ751" s="28" t="n">
        <f aca="false">AP751*$M751</f>
        <v>0</v>
      </c>
      <c r="AR751" s="28"/>
      <c r="AS751" s="28" t="n">
        <f aca="false">AR751*$M751</f>
        <v>0</v>
      </c>
      <c r="AT751" s="28"/>
      <c r="AU751" s="28" t="n">
        <f aca="false">AT751*$M751</f>
        <v>0</v>
      </c>
      <c r="AV751" s="28"/>
      <c r="AW751" s="28" t="n">
        <f aca="false">AV751*$M751</f>
        <v>0</v>
      </c>
      <c r="AX751" s="28"/>
      <c r="AY751" s="28" t="n">
        <f aca="false">AX751*$M751</f>
        <v>0</v>
      </c>
      <c r="AZ751" s="30" t="n">
        <f aca="false">8779944/100</f>
        <v>87799.44</v>
      </c>
      <c r="BA751" s="11" t="n">
        <v>1404790</v>
      </c>
      <c r="BB751" s="31" t="n">
        <f aca="false">SUM(Q751,S751,U751,W751,Y751,AA751,AC751,AE751,AG751,AI751,AK751,AM751,AO751,AQ751,AS751,AU751,AW751,AY751)</f>
        <v>1404790</v>
      </c>
      <c r="BC751" s="28" t="n">
        <f aca="false">BA751-BB751</f>
        <v>0</v>
      </c>
      <c r="BD751" s="32" t="n">
        <f aca="false">SUM(P751,R751,T751,V751,X751,Z751,AB751,AD751,AF751,AH751,AJ751,AL751,AN751,AP751,AR751,AT751,AV751,AX751)</f>
        <v>87799.44</v>
      </c>
      <c r="BE751" s="33" t="n">
        <f aca="false">AZ751-BD751</f>
        <v>0</v>
      </c>
      <c r="BF751" s="34" t="n">
        <f aca="false">BD751*M751</f>
        <v>1404791.04</v>
      </c>
      <c r="BG751" s="35" t="n">
        <f aca="false">BA751-BF751</f>
        <v>-1.03999999980442</v>
      </c>
      <c r="BH751" s="19" t="str">
        <f aca="false">IF(BG751=0,"",IF(BG751&lt;&gt;BA751,"erreur de calcul",IF(BD751&lt;&gt;0,"pas de prix",IF(M751&lt;&gt; 0,"pas de quantité","pas de prix, ni de quantité"))))</f>
        <v>erreur de calcul</v>
      </c>
      <c r="BI751" s="19"/>
    </row>
    <row r="752" customFormat="false" ht="15" hidden="false" customHeight="false" outlineLevel="0" collapsed="false">
      <c r="A752" s="0" t="n">
        <v>7</v>
      </c>
      <c r="B752" s="8" t="s">
        <v>24</v>
      </c>
      <c r="C752" s="9" t="s">
        <v>25</v>
      </c>
      <c r="D752" s="9" t="s">
        <v>26</v>
      </c>
      <c r="E752" s="10" t="n">
        <v>1789</v>
      </c>
      <c r="F752" s="9" t="s">
        <v>27</v>
      </c>
      <c r="G752" s="9" t="s">
        <v>27</v>
      </c>
      <c r="H752" s="11" t="n">
        <v>20</v>
      </c>
      <c r="I752" s="11" t="s">
        <v>123</v>
      </c>
      <c r="J752" s="14" t="n">
        <v>12</v>
      </c>
      <c r="K752" s="14"/>
      <c r="L752" s="16"/>
      <c r="M752" s="27" t="n">
        <f aca="false">J752+(K752/20)+(L752/240)</f>
        <v>12</v>
      </c>
      <c r="N752" s="17" t="s">
        <v>64</v>
      </c>
      <c r="O752" s="11"/>
      <c r="P752" s="28"/>
      <c r="Q752" s="28" t="n">
        <f aca="false">P752*$M752</f>
        <v>0</v>
      </c>
      <c r="R752" s="28"/>
      <c r="S752" s="28" t="n">
        <f aca="false">R752*$M752</f>
        <v>0</v>
      </c>
      <c r="T752" s="28"/>
      <c r="U752" s="28" t="n">
        <f aca="false">T752*$M752</f>
        <v>0</v>
      </c>
      <c r="V752" s="28"/>
      <c r="W752" s="28" t="n">
        <f aca="false">V752*$M752</f>
        <v>0</v>
      </c>
      <c r="X752" s="28"/>
      <c r="Y752" s="28" t="n">
        <f aca="false">X752*$M752</f>
        <v>0</v>
      </c>
      <c r="Z752" s="28"/>
      <c r="AA752" s="28" t="n">
        <f aca="false">Z752*$M752</f>
        <v>0</v>
      </c>
      <c r="AB752" s="28"/>
      <c r="AC752" s="28" t="n">
        <f aca="false">AB752*$M752</f>
        <v>0</v>
      </c>
      <c r="AD752" s="28"/>
      <c r="AE752" s="28" t="n">
        <f aca="false">AD752*$M752</f>
        <v>0</v>
      </c>
      <c r="AF752" s="28"/>
      <c r="AG752" s="28" t="n">
        <f aca="false">AF752*$M752</f>
        <v>0</v>
      </c>
      <c r="AH752" s="28" t="n">
        <f aca="false">5697511/100</f>
        <v>56975.11</v>
      </c>
      <c r="AI752" s="28" t="n">
        <v>683701</v>
      </c>
      <c r="AJ752" s="28"/>
      <c r="AK752" s="28" t="n">
        <f aca="false">AJ752*$M752</f>
        <v>0</v>
      </c>
      <c r="AL752" s="28"/>
      <c r="AM752" s="28" t="n">
        <f aca="false">AL752*$M752</f>
        <v>0</v>
      </c>
      <c r="AN752" s="28"/>
      <c r="AO752" s="28" t="n">
        <f aca="false">AN752*$M752</f>
        <v>0</v>
      </c>
      <c r="AP752" s="28"/>
      <c r="AQ752" s="28" t="n">
        <f aca="false">AP752*$M752</f>
        <v>0</v>
      </c>
      <c r="AR752" s="28"/>
      <c r="AS752" s="28" t="n">
        <f aca="false">AR752*$M752</f>
        <v>0</v>
      </c>
      <c r="AT752" s="28"/>
      <c r="AU752" s="28" t="n">
        <f aca="false">AT752*$M752</f>
        <v>0</v>
      </c>
      <c r="AV752" s="28"/>
      <c r="AW752" s="28" t="n">
        <f aca="false">AV752*$M752</f>
        <v>0</v>
      </c>
      <c r="AX752" s="28"/>
      <c r="AY752" s="28" t="n">
        <f aca="false">AX752*$M752</f>
        <v>0</v>
      </c>
      <c r="AZ752" s="30" t="n">
        <f aca="false">5697511/100</f>
        <v>56975.11</v>
      </c>
      <c r="BA752" s="11" t="n">
        <v>683701</v>
      </c>
      <c r="BB752" s="31" t="n">
        <f aca="false">SUM(Q752,S752,U752,W752,Y752,AA752,AC752,AE752,AG752,AI752,AK752,AM752,AO752,AQ752,AS752,AU752,AW752,AY752)</f>
        <v>683701</v>
      </c>
      <c r="BC752" s="28" t="n">
        <f aca="false">BA752-BB752</f>
        <v>0</v>
      </c>
      <c r="BD752" s="32" t="n">
        <f aca="false">SUM(P752,R752,T752,V752,X752,Z752,AB752,AD752,AF752,AH752,AJ752,AL752,AN752,AP752,AR752,AT752,AV752,AX752)</f>
        <v>56975.11</v>
      </c>
      <c r="BE752" s="33" t="n">
        <f aca="false">AZ752-BD752</f>
        <v>0</v>
      </c>
      <c r="BF752" s="34" t="n">
        <f aca="false">BD752*M752</f>
        <v>683701.32</v>
      </c>
      <c r="BG752" s="35" t="n">
        <f aca="false">BA752-BF752</f>
        <v>-0.320000000065193</v>
      </c>
      <c r="BH752" s="19" t="str">
        <f aca="false">IF(BG752=0,"",IF(BG752&lt;&gt;BA752,"erreur de calcul",IF(BD752&lt;&gt;0,"pas de prix",IF(M752&lt;&gt; 0,"pas de quantité","pas de prix, ni de quantité"))))</f>
        <v>erreur de calcul</v>
      </c>
      <c r="BI752" s="19"/>
    </row>
    <row r="753" customFormat="false" ht="15" hidden="false" customHeight="false" outlineLevel="0" collapsed="false">
      <c r="A753" s="0" t="n">
        <v>8</v>
      </c>
      <c r="B753" s="8" t="s">
        <v>24</v>
      </c>
      <c r="C753" s="9" t="s">
        <v>25</v>
      </c>
      <c r="D753" s="9" t="s">
        <v>26</v>
      </c>
      <c r="E753" s="10" t="n">
        <v>1789</v>
      </c>
      <c r="F753" s="9" t="s">
        <v>27</v>
      </c>
      <c r="G753" s="9" t="s">
        <v>27</v>
      </c>
      <c r="H753" s="11" t="n">
        <v>20</v>
      </c>
      <c r="I753" s="11" t="s">
        <v>124</v>
      </c>
      <c r="J753" s="14" t="n">
        <v>34</v>
      </c>
      <c r="K753" s="14"/>
      <c r="L753" s="16"/>
      <c r="M753" s="27" t="n">
        <f aca="false">J753+(K753/20)+(L753/240)</f>
        <v>34</v>
      </c>
      <c r="N753" s="17" t="s">
        <v>64</v>
      </c>
      <c r="O753" s="11"/>
      <c r="P753" s="28"/>
      <c r="Q753" s="28" t="n">
        <f aca="false">P753*$M753</f>
        <v>0</v>
      </c>
      <c r="R753" s="28"/>
      <c r="S753" s="28" t="n">
        <f aca="false">R753*$M753</f>
        <v>0</v>
      </c>
      <c r="T753" s="28" t="n">
        <f aca="false">528/100</f>
        <v>5.28</v>
      </c>
      <c r="U753" s="28" t="n">
        <v>179</v>
      </c>
      <c r="V753" s="28"/>
      <c r="W753" s="28" t="n">
        <f aca="false">V753*$M753</f>
        <v>0</v>
      </c>
      <c r="X753" s="28" t="n">
        <f aca="false">1014/100</f>
        <v>10.14</v>
      </c>
      <c r="Y753" s="36" t="n">
        <v>243</v>
      </c>
      <c r="Z753" s="28"/>
      <c r="AA753" s="28" t="n">
        <f aca="false">Z753*$M753</f>
        <v>0</v>
      </c>
      <c r="AB753" s="28"/>
      <c r="AC753" s="28" t="n">
        <f aca="false">AB753*$M753</f>
        <v>0</v>
      </c>
      <c r="AD753" s="28"/>
      <c r="AE753" s="28" t="n">
        <f aca="false">AD753*$M753</f>
        <v>0</v>
      </c>
      <c r="AF753" s="28"/>
      <c r="AG753" s="28" t="n">
        <f aca="false">AF753*$M753</f>
        <v>0</v>
      </c>
      <c r="AH753" s="28"/>
      <c r="AI753" s="28" t="n">
        <f aca="false">AH753*$M753</f>
        <v>0</v>
      </c>
      <c r="AJ753" s="28" t="n">
        <f aca="false">1917/100</f>
        <v>19.17</v>
      </c>
      <c r="AK753" s="28" t="n">
        <v>652</v>
      </c>
      <c r="AL753" s="28"/>
      <c r="AM753" s="28" t="n">
        <f aca="false">AL753*$M753</f>
        <v>0</v>
      </c>
      <c r="AN753" s="28"/>
      <c r="AO753" s="28" t="n">
        <f aca="false">AN753*$M753</f>
        <v>0</v>
      </c>
      <c r="AP753" s="28"/>
      <c r="AQ753" s="28" t="n">
        <f aca="false">AP753*$M753</f>
        <v>0</v>
      </c>
      <c r="AR753" s="28"/>
      <c r="AS753" s="28" t="n">
        <f aca="false">AR753*$M753</f>
        <v>0</v>
      </c>
      <c r="AT753" s="28"/>
      <c r="AU753" s="28" t="n">
        <f aca="false">AT753*$M753</f>
        <v>0</v>
      </c>
      <c r="AV753" s="28"/>
      <c r="AW753" s="28" t="n">
        <f aca="false">AV753*$M753</f>
        <v>0</v>
      </c>
      <c r="AX753" s="28"/>
      <c r="AY753" s="28" t="n">
        <f aca="false">AX753*$M753</f>
        <v>0</v>
      </c>
      <c r="AZ753" s="30" t="n">
        <f aca="false">3459/100</f>
        <v>34.59</v>
      </c>
      <c r="BA753" s="11" t="n">
        <v>1074</v>
      </c>
      <c r="BB753" s="31" t="n">
        <f aca="false">SUM(Q753,S753,U753,W753,Y753,AA753,AC753,AE753,AG753,AI753,AK753,AM753,AO753,AQ753,AS753,AU753,AW753,AY753)</f>
        <v>1074</v>
      </c>
      <c r="BC753" s="28" t="n">
        <f aca="false">BA753-BB753</f>
        <v>0</v>
      </c>
      <c r="BD753" s="32" t="n">
        <f aca="false">SUM(P753,R753,T753,V753,X753,Z753,AB753,AD753,AF753,AH753,AJ753,AL753,AN753,AP753,AR753,AT753,AV753,AX753)</f>
        <v>34.59</v>
      </c>
      <c r="BE753" s="33" t="n">
        <f aca="false">AZ753-BD753</f>
        <v>0</v>
      </c>
      <c r="BF753" s="34" t="n">
        <f aca="false">BD753*M753</f>
        <v>1176.06</v>
      </c>
      <c r="BG753" s="35" t="n">
        <f aca="false">BA753-BF753</f>
        <v>-102.06</v>
      </c>
      <c r="BH753" s="19" t="str">
        <f aca="false">IF(BG753=0,"",IF(BG753&lt;&gt;BA753,"erreur de calcul",IF(BD753&lt;&gt;0,"pas de prix",IF(M753&lt;&gt; 0,"pas de quantité","pas de prix, ni de quantité"))))</f>
        <v>erreur de calcul</v>
      </c>
      <c r="BI753" s="19"/>
    </row>
    <row r="754" customFormat="false" ht="15" hidden="false" customHeight="false" outlineLevel="0" collapsed="false">
      <c r="A754" s="0" t="n">
        <v>9</v>
      </c>
      <c r="B754" s="8" t="s">
        <v>24</v>
      </c>
      <c r="C754" s="9" t="s">
        <v>25</v>
      </c>
      <c r="D754" s="9" t="s">
        <v>26</v>
      </c>
      <c r="E754" s="10" t="n">
        <v>1789</v>
      </c>
      <c r="F754" s="9" t="s">
        <v>27</v>
      </c>
      <c r="G754" s="9" t="s">
        <v>27</v>
      </c>
      <c r="H754" s="11" t="n">
        <v>20</v>
      </c>
      <c r="I754" s="11" t="s">
        <v>125</v>
      </c>
      <c r="J754" s="14" t="n">
        <v>30</v>
      </c>
      <c r="K754" s="14"/>
      <c r="L754" s="16"/>
      <c r="M754" s="27" t="n">
        <f aca="false">J754+(K754/20)+(L754/240)</f>
        <v>30</v>
      </c>
      <c r="N754" s="17" t="s">
        <v>64</v>
      </c>
      <c r="O754" s="11"/>
      <c r="P754" s="28" t="n">
        <f aca="false">31476/100</f>
        <v>314.76</v>
      </c>
      <c r="Q754" s="28" t="n">
        <v>9443</v>
      </c>
      <c r="R754" s="28"/>
      <c r="S754" s="28" t="n">
        <f aca="false">R754*$M754</f>
        <v>0</v>
      </c>
      <c r="T754" s="28"/>
      <c r="U754" s="28" t="n">
        <f aca="false">T754*$M754</f>
        <v>0</v>
      </c>
      <c r="V754" s="28"/>
      <c r="W754" s="28" t="n">
        <f aca="false">V754*$M754</f>
        <v>0</v>
      </c>
      <c r="X754" s="28" t="n">
        <f aca="false">2320/100</f>
        <v>23.2</v>
      </c>
      <c r="Y754" s="28" t="n">
        <v>696</v>
      </c>
      <c r="Z754" s="28"/>
      <c r="AA754" s="28" t="n">
        <f aca="false">Z754*$M754</f>
        <v>0</v>
      </c>
      <c r="AB754" s="28"/>
      <c r="AC754" s="28" t="n">
        <f aca="false">AB754*$M754</f>
        <v>0</v>
      </c>
      <c r="AD754" s="28"/>
      <c r="AE754" s="28" t="n">
        <f aca="false">AD754*$M754</f>
        <v>0</v>
      </c>
      <c r="AF754" s="28"/>
      <c r="AG754" s="28" t="n">
        <f aca="false">AF754*$M754</f>
        <v>0</v>
      </c>
      <c r="AH754" s="28"/>
      <c r="AI754" s="28" t="n">
        <f aca="false">AH754*$M754</f>
        <v>0</v>
      </c>
      <c r="AJ754" s="28"/>
      <c r="AK754" s="28" t="n">
        <f aca="false">AJ754*$M754</f>
        <v>0</v>
      </c>
      <c r="AL754" s="28"/>
      <c r="AM754" s="28" t="n">
        <f aca="false">AL754*$M754</f>
        <v>0</v>
      </c>
      <c r="AN754" s="28"/>
      <c r="AO754" s="28" t="n">
        <f aca="false">AN754*$M754</f>
        <v>0</v>
      </c>
      <c r="AP754" s="28" t="n">
        <f aca="false">5100/100</f>
        <v>51</v>
      </c>
      <c r="AQ754" s="28" t="n">
        <v>1530</v>
      </c>
      <c r="AR754" s="28"/>
      <c r="AS754" s="28" t="n">
        <f aca="false">AR754*$M754</f>
        <v>0</v>
      </c>
      <c r="AT754" s="28"/>
      <c r="AU754" s="28" t="n">
        <f aca="false">AT754*$M754</f>
        <v>0</v>
      </c>
      <c r="AV754" s="28"/>
      <c r="AW754" s="28" t="n">
        <f aca="false">AV754*$M754</f>
        <v>0</v>
      </c>
      <c r="AX754" s="28" t="n">
        <f aca="false">26345/100</f>
        <v>263.45</v>
      </c>
      <c r="AY754" s="28" t="n">
        <v>7903</v>
      </c>
      <c r="AZ754" s="30" t="n">
        <f aca="false">65241/100</f>
        <v>652.41</v>
      </c>
      <c r="BA754" s="11" t="n">
        <v>19572</v>
      </c>
      <c r="BB754" s="31" t="n">
        <f aca="false">SUM(Q754,S754,U754,W754,Y754,AA754,AC754,AE754,AG754,AI754,AK754,AM754,AO754,AQ754,AS754,AU754,AW754,AY754)</f>
        <v>19572</v>
      </c>
      <c r="BC754" s="28" t="n">
        <f aca="false">BA754-BB754</f>
        <v>0</v>
      </c>
      <c r="BD754" s="32" t="n">
        <f aca="false">SUM(P754,R754,T754,V754,X754,Z754,AB754,AD754,AF754,AH754,AJ754,AL754,AN754,AP754,AR754,AT754,AV754,AX754)</f>
        <v>652.41</v>
      </c>
      <c r="BE754" s="33" t="n">
        <f aca="false">AZ754-BD754</f>
        <v>0</v>
      </c>
      <c r="BF754" s="34" t="n">
        <f aca="false">BD754*M754</f>
        <v>19572.3</v>
      </c>
      <c r="BG754" s="35" t="n">
        <f aca="false">BA754-BF754</f>
        <v>-0.299999999999272</v>
      </c>
      <c r="BH754" s="19" t="str">
        <f aca="false">IF(BG754=0,"",IF(BG754&lt;&gt;BA754,"erreur de calcul",IF(BD754&lt;&gt;0,"pas de prix",IF(M754&lt;&gt; 0,"pas de quantité","pas de prix, ni de quantité"))))</f>
        <v>erreur de calcul</v>
      </c>
      <c r="BI754" s="19"/>
    </row>
    <row r="755" customFormat="false" ht="15" hidden="false" customHeight="false" outlineLevel="0" collapsed="false">
      <c r="A755" s="0" t="n">
        <v>10</v>
      </c>
      <c r="B755" s="8" t="s">
        <v>24</v>
      </c>
      <c r="C755" s="9" t="s">
        <v>25</v>
      </c>
      <c r="D755" s="9" t="s">
        <v>26</v>
      </c>
      <c r="E755" s="10" t="n">
        <v>1789</v>
      </c>
      <c r="F755" s="9" t="s">
        <v>27</v>
      </c>
      <c r="G755" s="9" t="s">
        <v>27</v>
      </c>
      <c r="H755" s="11" t="n">
        <v>20</v>
      </c>
      <c r="I755" s="11" t="s">
        <v>126</v>
      </c>
      <c r="J755" s="14" t="n">
        <v>75</v>
      </c>
      <c r="K755" s="14"/>
      <c r="L755" s="16"/>
      <c r="M755" s="27" t="n">
        <f aca="false">J755+(K755/20)+(L755/240)</f>
        <v>75</v>
      </c>
      <c r="N755" s="17" t="s">
        <v>64</v>
      </c>
      <c r="O755" s="11"/>
      <c r="P755" s="28"/>
      <c r="Q755" s="28" t="n">
        <f aca="false">P755*$M755</f>
        <v>0</v>
      </c>
      <c r="R755" s="28"/>
      <c r="S755" s="28" t="n">
        <f aca="false">R755*$M755</f>
        <v>0</v>
      </c>
      <c r="T755" s="28"/>
      <c r="U755" s="28" t="n">
        <f aca="false">T755*$M755</f>
        <v>0</v>
      </c>
      <c r="V755" s="28" t="n">
        <f aca="false">223/100</f>
        <v>2.23</v>
      </c>
      <c r="W755" s="28" t="n">
        <v>167</v>
      </c>
      <c r="X755" s="28" t="n">
        <f aca="false">2897/100</f>
        <v>28.97</v>
      </c>
      <c r="Y755" s="28" t="n">
        <v>2173</v>
      </c>
      <c r="Z755" s="28"/>
      <c r="AA755" s="28" t="n">
        <f aca="false">Z755*$M755</f>
        <v>0</v>
      </c>
      <c r="AB755" s="28"/>
      <c r="AC755" s="28" t="n">
        <f aca="false">AB755*$M755</f>
        <v>0</v>
      </c>
      <c r="AD755" s="28"/>
      <c r="AE755" s="28" t="n">
        <f aca="false">AD755*$M755</f>
        <v>0</v>
      </c>
      <c r="AF755" s="28"/>
      <c r="AG755" s="28" t="n">
        <f aca="false">AF755*$M755</f>
        <v>0</v>
      </c>
      <c r="AH755" s="28"/>
      <c r="AI755" s="28" t="n">
        <f aca="false">AH755*$M755</f>
        <v>0</v>
      </c>
      <c r="AJ755" s="28"/>
      <c r="AK755" s="28" t="n">
        <f aca="false">AJ755*$M755</f>
        <v>0</v>
      </c>
      <c r="AL755" s="28"/>
      <c r="AM755" s="28" t="n">
        <f aca="false">AL755*$M755</f>
        <v>0</v>
      </c>
      <c r="AN755" s="28"/>
      <c r="AO755" s="28" t="n">
        <f aca="false">AN755*$M755</f>
        <v>0</v>
      </c>
      <c r="AP755" s="28"/>
      <c r="AQ755" s="28" t="n">
        <f aca="false">AP755*$M755</f>
        <v>0</v>
      </c>
      <c r="AR755" s="28"/>
      <c r="AS755" s="28" t="n">
        <f aca="false">AR755*$M755</f>
        <v>0</v>
      </c>
      <c r="AT755" s="28"/>
      <c r="AU755" s="28" t="n">
        <f aca="false">AT755*$M755</f>
        <v>0</v>
      </c>
      <c r="AV755" s="28"/>
      <c r="AW755" s="28" t="n">
        <f aca="false">AV755*$M755</f>
        <v>0</v>
      </c>
      <c r="AX755" s="28"/>
      <c r="AY755" s="28" t="n">
        <f aca="false">AX755*$M755</f>
        <v>0</v>
      </c>
      <c r="AZ755" s="30" t="n">
        <f aca="false">3120/100</f>
        <v>31.2</v>
      </c>
      <c r="BA755" s="11" t="n">
        <v>2340</v>
      </c>
      <c r="BB755" s="31" t="n">
        <f aca="false">SUM(Q755,S755,U755,W755,Y755,AA755,AC755,AE755,AG755,AI755,AK755,AM755,AO755,AQ755,AS755,AU755,AW755,AY755)</f>
        <v>2340</v>
      </c>
      <c r="BC755" s="28" t="n">
        <f aca="false">BA755-BB755</f>
        <v>0</v>
      </c>
      <c r="BD755" s="32" t="n">
        <f aca="false">SUM(P755,R755,T755,V755,X755,Z755,AB755,AD755,AF755,AH755,AJ755,AL755,AN755,AP755,AR755,AT755,AV755,AX755)</f>
        <v>31.2</v>
      </c>
      <c r="BE755" s="33" t="n">
        <f aca="false">AZ755-BD755</f>
        <v>0</v>
      </c>
      <c r="BF755" s="34" t="n">
        <f aca="false">BD755*M755</f>
        <v>2340</v>
      </c>
      <c r="BG755" s="35" t="n">
        <f aca="false">BA755-BF755</f>
        <v>0</v>
      </c>
      <c r="BH755" s="19" t="str">
        <f aca="false">IF(BG755=0,"",IF(BG755&lt;&gt;BA755,"erreur de calcul",IF(BD755&lt;&gt;0,"pas de prix",IF(M755&lt;&gt; 0,"pas de quantité","pas de prix, ni de quantité"))))</f>
        <v/>
      </c>
      <c r="BI755" s="19"/>
    </row>
    <row r="756" customFormat="false" ht="15" hidden="false" customHeight="false" outlineLevel="0" collapsed="false">
      <c r="A756" s="0" t="n">
        <v>11</v>
      </c>
      <c r="B756" s="8" t="s">
        <v>24</v>
      </c>
      <c r="C756" s="9" t="s">
        <v>25</v>
      </c>
      <c r="D756" s="9" t="s">
        <v>26</v>
      </c>
      <c r="E756" s="10" t="n">
        <v>1789</v>
      </c>
      <c r="F756" s="9" t="s">
        <v>27</v>
      </c>
      <c r="G756" s="9" t="s">
        <v>27</v>
      </c>
      <c r="H756" s="11" t="n">
        <v>20</v>
      </c>
      <c r="I756" s="11" t="s">
        <v>127</v>
      </c>
      <c r="J756" s="14" t="n">
        <v>75</v>
      </c>
      <c r="K756" s="14"/>
      <c r="L756" s="16"/>
      <c r="M756" s="27" t="n">
        <f aca="false">J756+(K756/20)+(L756/240)</f>
        <v>75</v>
      </c>
      <c r="N756" s="17" t="s">
        <v>64</v>
      </c>
      <c r="O756" s="11"/>
      <c r="P756" s="28"/>
      <c r="Q756" s="28" t="n">
        <f aca="false">P756*$M756</f>
        <v>0</v>
      </c>
      <c r="R756" s="28"/>
      <c r="S756" s="28" t="n">
        <f aca="false">R756*$M756</f>
        <v>0</v>
      </c>
      <c r="T756" s="28" t="n">
        <f aca="false">5807/100</f>
        <v>58.07</v>
      </c>
      <c r="U756" s="28" t="n">
        <v>4355</v>
      </c>
      <c r="V756" s="28"/>
      <c r="W756" s="28" t="n">
        <f aca="false">V756*$M756</f>
        <v>0</v>
      </c>
      <c r="X756" s="28"/>
      <c r="Y756" s="28" t="n">
        <f aca="false">X756*$M756</f>
        <v>0</v>
      </c>
      <c r="Z756" s="28"/>
      <c r="AA756" s="28" t="n">
        <f aca="false">Z756*$M756</f>
        <v>0</v>
      </c>
      <c r="AB756" s="28"/>
      <c r="AC756" s="28" t="n">
        <f aca="false">AB756*$M756</f>
        <v>0</v>
      </c>
      <c r="AD756" s="28"/>
      <c r="AE756" s="28" t="n">
        <f aca="false">AD756*$M756</f>
        <v>0</v>
      </c>
      <c r="AF756" s="28"/>
      <c r="AG756" s="28" t="n">
        <f aca="false">AF756*$M756</f>
        <v>0</v>
      </c>
      <c r="AH756" s="28"/>
      <c r="AI756" s="28" t="n">
        <f aca="false">AH756*$M756</f>
        <v>0</v>
      </c>
      <c r="AJ756" s="28"/>
      <c r="AK756" s="28" t="n">
        <f aca="false">AJ756*$M756</f>
        <v>0</v>
      </c>
      <c r="AL756" s="28"/>
      <c r="AM756" s="28" t="n">
        <f aca="false">AL756*$M756</f>
        <v>0</v>
      </c>
      <c r="AN756" s="28"/>
      <c r="AO756" s="28" t="n">
        <f aca="false">AN756*$M756</f>
        <v>0</v>
      </c>
      <c r="AP756" s="28"/>
      <c r="AQ756" s="28" t="n">
        <f aca="false">AP756*$M756</f>
        <v>0</v>
      </c>
      <c r="AR756" s="28"/>
      <c r="AS756" s="28" t="n">
        <f aca="false">AR756*$M756</f>
        <v>0</v>
      </c>
      <c r="AT756" s="28"/>
      <c r="AU756" s="28" t="n">
        <f aca="false">AT756*$M756</f>
        <v>0</v>
      </c>
      <c r="AV756" s="28"/>
      <c r="AW756" s="28" t="n">
        <f aca="false">AV756*$M756</f>
        <v>0</v>
      </c>
      <c r="AX756" s="28"/>
      <c r="AY756" s="28" t="n">
        <f aca="false">AX756*$M756</f>
        <v>0</v>
      </c>
      <c r="AZ756" s="30" t="n">
        <f aca="false">5807/100</f>
        <v>58.07</v>
      </c>
      <c r="BA756" s="11" t="n">
        <v>4355</v>
      </c>
      <c r="BB756" s="31" t="n">
        <f aca="false">SUM(Q756,S756,U756,W756,Y756,AA756,AC756,AE756,AG756,AI756,AK756,AM756,AO756,AQ756,AS756,AU756,AW756,AY756)</f>
        <v>4355</v>
      </c>
      <c r="BC756" s="28" t="n">
        <f aca="false">BA756-BB756</f>
        <v>0</v>
      </c>
      <c r="BD756" s="32" t="n">
        <f aca="false">SUM(P756,R756,T756,V756,X756,Z756,AB756,AD756,AF756,AH756,AJ756,AL756,AN756,AP756,AR756,AT756,AV756,AX756)</f>
        <v>58.07</v>
      </c>
      <c r="BE756" s="33" t="n">
        <f aca="false">AZ756-BD756</f>
        <v>0</v>
      </c>
      <c r="BF756" s="34" t="n">
        <f aca="false">BD756*M756</f>
        <v>4355.25</v>
      </c>
      <c r="BG756" s="35" t="n">
        <f aca="false">BA756-BF756</f>
        <v>-0.25</v>
      </c>
      <c r="BH756" s="19" t="str">
        <f aca="false">IF(BG756=0,"",IF(BG756&lt;&gt;BA756,"erreur de calcul",IF(BD756&lt;&gt;0,"pas de prix",IF(M756&lt;&gt; 0,"pas de quantité","pas de prix, ni de quantité"))))</f>
        <v>erreur de calcul</v>
      </c>
      <c r="BI756" s="19"/>
    </row>
    <row r="757" customFormat="false" ht="15" hidden="false" customHeight="false" outlineLevel="0" collapsed="false">
      <c r="A757" s="0" t="n">
        <v>12</v>
      </c>
      <c r="B757" s="8" t="s">
        <v>24</v>
      </c>
      <c r="C757" s="9" t="s">
        <v>25</v>
      </c>
      <c r="D757" s="9" t="s">
        <v>26</v>
      </c>
      <c r="E757" s="10" t="n">
        <v>1789</v>
      </c>
      <c r="F757" s="9" t="s">
        <v>27</v>
      </c>
      <c r="G757" s="9" t="s">
        <v>27</v>
      </c>
      <c r="H757" s="11" t="n">
        <v>20</v>
      </c>
      <c r="I757" s="11" t="s">
        <v>128</v>
      </c>
      <c r="J757" s="14" t="n">
        <v>42</v>
      </c>
      <c r="K757" s="14"/>
      <c r="L757" s="16"/>
      <c r="M757" s="27" t="n">
        <f aca="false">J757+(K757/20)+(L757/240)</f>
        <v>42</v>
      </c>
      <c r="N757" s="17" t="s">
        <v>64</v>
      </c>
      <c r="O757" s="11"/>
      <c r="P757" s="28"/>
      <c r="Q757" s="28" t="n">
        <f aca="false">P757*$M757</f>
        <v>0</v>
      </c>
      <c r="R757" s="28"/>
      <c r="S757" s="28" t="n">
        <f aca="false">R757*$M757</f>
        <v>0</v>
      </c>
      <c r="T757" s="28" t="n">
        <f aca="false">347073/100</f>
        <v>3470.73</v>
      </c>
      <c r="U757" s="28" t="n">
        <v>145771</v>
      </c>
      <c r="V757" s="28" t="n">
        <f aca="false">188616/100</f>
        <v>1886.16</v>
      </c>
      <c r="W757" s="28" t="n">
        <v>79219</v>
      </c>
      <c r="X757" s="28" t="n">
        <f aca="false">518894/100</f>
        <v>5188.94</v>
      </c>
      <c r="Y757" s="28" t="n">
        <v>217935</v>
      </c>
      <c r="Z757" s="28" t="n">
        <f aca="false">965148/100</f>
        <v>9651.48</v>
      </c>
      <c r="AA757" s="28" t="n">
        <v>405362</v>
      </c>
      <c r="AB757" s="28" t="n">
        <f aca="false">759238/100</f>
        <v>7592.38</v>
      </c>
      <c r="AC757" s="28" t="n">
        <v>318880</v>
      </c>
      <c r="AD757" s="28" t="n">
        <f aca="false">254167/100</f>
        <v>2541.67</v>
      </c>
      <c r="AE757" s="28" t="n">
        <v>106750</v>
      </c>
      <c r="AF757" s="28"/>
      <c r="AG757" s="28" t="n">
        <f aca="false">AF757*$M757</f>
        <v>0</v>
      </c>
      <c r="AH757" s="28"/>
      <c r="AI757" s="28" t="n">
        <f aca="false">AH757*$M757</f>
        <v>0</v>
      </c>
      <c r="AJ757" s="28"/>
      <c r="AK757" s="28" t="n">
        <f aca="false">AJ757*$M757</f>
        <v>0</v>
      </c>
      <c r="AL757" s="28" t="n">
        <f aca="false">73551/100</f>
        <v>735.51</v>
      </c>
      <c r="AM757" s="28" t="n">
        <v>30891</v>
      </c>
      <c r="AN757" s="28"/>
      <c r="AO757" s="28" t="n">
        <f aca="false">AN757*$M757</f>
        <v>0</v>
      </c>
      <c r="AP757" s="28" t="n">
        <f aca="false">45836/100</f>
        <v>458.36</v>
      </c>
      <c r="AQ757" s="28" t="n">
        <v>19251</v>
      </c>
      <c r="AR757" s="28"/>
      <c r="AS757" s="28" t="n">
        <f aca="false">AR757*$M757</f>
        <v>0</v>
      </c>
      <c r="AT757" s="28"/>
      <c r="AU757" s="28" t="n">
        <f aca="false">AT757*$M757</f>
        <v>0</v>
      </c>
      <c r="AV757" s="28" t="n">
        <f aca="false">566574/100</f>
        <v>5665.74</v>
      </c>
      <c r="AW757" s="28" t="n">
        <v>237961</v>
      </c>
      <c r="AX757" s="28"/>
      <c r="AY757" s="28" t="n">
        <f aca="false">AX757*$M757</f>
        <v>0</v>
      </c>
      <c r="AZ757" s="30" t="n">
        <f aca="false">3719097/100</f>
        <v>37190.97</v>
      </c>
      <c r="BA757" s="11" t="n">
        <v>1562020</v>
      </c>
      <c r="BB757" s="31" t="n">
        <f aca="false">SUM(Q757,S757,U757,W757,Y757,AA757,AC757,AE757,AG757,AI757,AK757,AM757,AO757,AQ757,AS757,AU757,AW757,AY757)</f>
        <v>1562020</v>
      </c>
      <c r="BC757" s="28" t="n">
        <f aca="false">BA757-BB757</f>
        <v>0</v>
      </c>
      <c r="BD757" s="32" t="n">
        <f aca="false">SUM(P757,R757,T757,V757,X757,Z757,AB757,AD757,AF757,AH757,AJ757,AL757,AN757,AP757,AR757,AT757,AV757,AX757)</f>
        <v>37190.97</v>
      </c>
      <c r="BE757" s="33" t="n">
        <f aca="false">AZ757-BD757</f>
        <v>0</v>
      </c>
      <c r="BF757" s="34" t="n">
        <f aca="false">BD757*M757</f>
        <v>1562020.74</v>
      </c>
      <c r="BG757" s="35" t="n">
        <f aca="false">BA757-BF757</f>
        <v>-0.739999999990687</v>
      </c>
      <c r="BH757" s="19" t="str">
        <f aca="false">IF(BG757=0,"",IF(BG757&lt;&gt;BA757,"erreur de calcul",IF(BD757&lt;&gt;0,"pas de prix",IF(M757&lt;&gt; 0,"pas de quantité","pas de prix, ni de quantité"))))</f>
        <v>erreur de calcul</v>
      </c>
      <c r="BI757" s="19"/>
    </row>
    <row r="758" customFormat="false" ht="15" hidden="false" customHeight="false" outlineLevel="0" collapsed="false">
      <c r="A758" s="0" t="n">
        <v>13</v>
      </c>
      <c r="B758" s="8" t="s">
        <v>24</v>
      </c>
      <c r="C758" s="9" t="s">
        <v>25</v>
      </c>
      <c r="D758" s="9" t="s">
        <v>26</v>
      </c>
      <c r="E758" s="10" t="n">
        <v>1789</v>
      </c>
      <c r="F758" s="9" t="s">
        <v>27</v>
      </c>
      <c r="G758" s="9" t="s">
        <v>27</v>
      </c>
      <c r="H758" s="11" t="n">
        <v>20</v>
      </c>
      <c r="I758" s="11" t="s">
        <v>129</v>
      </c>
      <c r="J758" s="14" t="n">
        <v>75</v>
      </c>
      <c r="K758" s="14"/>
      <c r="L758" s="16"/>
      <c r="M758" s="27" t="n">
        <f aca="false">J758+(K758/20)+(L758/240)</f>
        <v>75</v>
      </c>
      <c r="N758" s="17" t="s">
        <v>64</v>
      </c>
      <c r="O758" s="11"/>
      <c r="P758" s="28"/>
      <c r="Q758" s="28" t="n">
        <f aca="false">P758*$M758</f>
        <v>0</v>
      </c>
      <c r="R758" s="28"/>
      <c r="S758" s="28" t="n">
        <f aca="false">R758*$M758</f>
        <v>0</v>
      </c>
      <c r="T758" s="28"/>
      <c r="U758" s="28" t="n">
        <f aca="false">T758*$M758</f>
        <v>0</v>
      </c>
      <c r="V758" s="28" t="n">
        <f aca="false">3418/100</f>
        <v>34.18</v>
      </c>
      <c r="W758" s="28" t="n">
        <v>2563</v>
      </c>
      <c r="X758" s="28" t="n">
        <f aca="false">3755/100</f>
        <v>37.55</v>
      </c>
      <c r="Y758" s="28" t="n">
        <v>2817</v>
      </c>
      <c r="Z758" s="28"/>
      <c r="AA758" s="28" t="n">
        <f aca="false">Z758*$M758</f>
        <v>0</v>
      </c>
      <c r="AB758" s="28" t="n">
        <f aca="false">75529/100</f>
        <v>755.29</v>
      </c>
      <c r="AC758" s="28" t="n">
        <v>56647</v>
      </c>
      <c r="AD758" s="28"/>
      <c r="AE758" s="28" t="n">
        <f aca="false">AD758*$M758</f>
        <v>0</v>
      </c>
      <c r="AF758" s="28"/>
      <c r="AG758" s="28" t="n">
        <f aca="false">AF758*$M758</f>
        <v>0</v>
      </c>
      <c r="AH758" s="28"/>
      <c r="AI758" s="28" t="n">
        <f aca="false">AH758*$M758</f>
        <v>0</v>
      </c>
      <c r="AJ758" s="28"/>
      <c r="AK758" s="28" t="n">
        <f aca="false">AJ758*$M758</f>
        <v>0</v>
      </c>
      <c r="AL758" s="28"/>
      <c r="AM758" s="28" t="n">
        <f aca="false">AL758*$M758</f>
        <v>0</v>
      </c>
      <c r="AN758" s="28"/>
      <c r="AO758" s="28" t="n">
        <f aca="false">AN758*$M758</f>
        <v>0</v>
      </c>
      <c r="AP758" s="28"/>
      <c r="AQ758" s="28" t="n">
        <f aca="false">AP758*$M758</f>
        <v>0</v>
      </c>
      <c r="AR758" s="28"/>
      <c r="AS758" s="28" t="n">
        <f aca="false">AR758*$M758</f>
        <v>0</v>
      </c>
      <c r="AT758" s="28"/>
      <c r="AU758" s="28" t="n">
        <f aca="false">AT758*$M758</f>
        <v>0</v>
      </c>
      <c r="AV758" s="28"/>
      <c r="AW758" s="28" t="n">
        <f aca="false">AV758*$M758</f>
        <v>0</v>
      </c>
      <c r="AX758" s="28"/>
      <c r="AY758" s="28" t="n">
        <f aca="false">AX758*$M758</f>
        <v>0</v>
      </c>
      <c r="AZ758" s="30" t="n">
        <f aca="false">82702/100</f>
        <v>827.02</v>
      </c>
      <c r="BA758" s="11" t="n">
        <v>62027</v>
      </c>
      <c r="BB758" s="31" t="n">
        <f aca="false">SUM(Q758,S758,U758,W758,Y758,AA758,AC758,AE758,AG758,AI758,AK758,AM758,AO758,AQ758,AS758,AU758,AW758,AY758)</f>
        <v>62027</v>
      </c>
      <c r="BC758" s="28" t="n">
        <f aca="false">BA758-BB758</f>
        <v>0</v>
      </c>
      <c r="BD758" s="32" t="n">
        <f aca="false">SUM(P758,R758,T758,V758,X758,Z758,AB758,AD758,AF758,AH758,AJ758,AL758,AN758,AP758,AR758,AT758,AV758,AX758)</f>
        <v>827.02</v>
      </c>
      <c r="BE758" s="33" t="n">
        <f aca="false">AZ758-BD758</f>
        <v>0</v>
      </c>
      <c r="BF758" s="34" t="n">
        <f aca="false">BD758*M758</f>
        <v>62026.5</v>
      </c>
      <c r="BG758" s="35" t="n">
        <f aca="false">BA758-BF758</f>
        <v>0.500000000007276</v>
      </c>
      <c r="BH758" s="19" t="str">
        <f aca="false">IF(BG758=0,"",IF(BG758&lt;&gt;BA758,"erreur de calcul",IF(BD758&lt;&gt;0,"pas de prix",IF(M758&lt;&gt; 0,"pas de quantité","pas de prix, ni de quantité"))))</f>
        <v>erreur de calcul</v>
      </c>
      <c r="BI758" s="19"/>
    </row>
    <row r="759" customFormat="false" ht="15" hidden="false" customHeight="false" outlineLevel="0" collapsed="false">
      <c r="A759" s="0" t="n">
        <v>14</v>
      </c>
      <c r="B759" s="8" t="s">
        <v>24</v>
      </c>
      <c r="C759" s="9" t="s">
        <v>25</v>
      </c>
      <c r="D759" s="9" t="s">
        <v>26</v>
      </c>
      <c r="E759" s="10" t="n">
        <v>1789</v>
      </c>
      <c r="F759" s="9" t="s">
        <v>27</v>
      </c>
      <c r="G759" s="9" t="s">
        <v>27</v>
      </c>
      <c r="H759" s="11" t="n">
        <v>20</v>
      </c>
      <c r="I759" s="11" t="s">
        <v>130</v>
      </c>
      <c r="J759" s="14" t="n">
        <v>170</v>
      </c>
      <c r="K759" s="14"/>
      <c r="L759" s="16"/>
      <c r="M759" s="27" t="n">
        <f aca="false">J759+(K759/20)+(L759/240)</f>
        <v>170</v>
      </c>
      <c r="N759" s="17" t="s">
        <v>64</v>
      </c>
      <c r="O759" s="11"/>
      <c r="P759" s="28"/>
      <c r="Q759" s="28" t="n">
        <f aca="false">P759*$M759</f>
        <v>0</v>
      </c>
      <c r="R759" s="28"/>
      <c r="S759" s="28" t="n">
        <f aca="false">R759*$M759</f>
        <v>0</v>
      </c>
      <c r="T759" s="28" t="n">
        <f aca="false">488/100</f>
        <v>4.88</v>
      </c>
      <c r="U759" s="28" t="n">
        <v>830</v>
      </c>
      <c r="V759" s="28"/>
      <c r="W759" s="28" t="n">
        <f aca="false">V759*$M759</f>
        <v>0</v>
      </c>
      <c r="X759" s="28" t="n">
        <f aca="false">8480/100</f>
        <v>84.8</v>
      </c>
      <c r="Y759" s="28" t="n">
        <v>14416</v>
      </c>
      <c r="Z759" s="28"/>
      <c r="AA759" s="28" t="n">
        <f aca="false">Z759*$M759</f>
        <v>0</v>
      </c>
      <c r="AB759" s="28" t="n">
        <f aca="false">291/100</f>
        <v>2.91</v>
      </c>
      <c r="AC759" s="28" t="n">
        <v>495</v>
      </c>
      <c r="AD759" s="28"/>
      <c r="AE759" s="28" t="n">
        <f aca="false">AD759*$M759</f>
        <v>0</v>
      </c>
      <c r="AF759" s="28"/>
      <c r="AG759" s="28" t="n">
        <f aca="false">AF759*$M759</f>
        <v>0</v>
      </c>
      <c r="AH759" s="28"/>
      <c r="AI759" s="28" t="n">
        <f aca="false">AH759*$M759</f>
        <v>0</v>
      </c>
      <c r="AJ759" s="28"/>
      <c r="AK759" s="28" t="n">
        <f aca="false">AJ759*$M759</f>
        <v>0</v>
      </c>
      <c r="AL759" s="28"/>
      <c r="AM759" s="28" t="n">
        <f aca="false">AL759*$M759</f>
        <v>0</v>
      </c>
      <c r="AN759" s="28"/>
      <c r="AO759" s="28" t="n">
        <f aca="false">AN759*$M759</f>
        <v>0</v>
      </c>
      <c r="AP759" s="28"/>
      <c r="AQ759" s="28" t="n">
        <f aca="false">AP759*$M759</f>
        <v>0</v>
      </c>
      <c r="AR759" s="28"/>
      <c r="AS759" s="28" t="n">
        <f aca="false">AR759*$M759</f>
        <v>0</v>
      </c>
      <c r="AT759" s="28"/>
      <c r="AU759" s="28" t="n">
        <f aca="false">AT759*$M759</f>
        <v>0</v>
      </c>
      <c r="AV759" s="28"/>
      <c r="AW759" s="28" t="n">
        <f aca="false">AV759*$M759</f>
        <v>0</v>
      </c>
      <c r="AX759" s="28"/>
      <c r="AY759" s="28" t="n">
        <f aca="false">AX759*$M759</f>
        <v>0</v>
      </c>
      <c r="AZ759" s="30" t="n">
        <f aca="false">9259/100</f>
        <v>92.59</v>
      </c>
      <c r="BA759" s="11" t="n">
        <v>15741</v>
      </c>
      <c r="BB759" s="31" t="n">
        <f aca="false">SUM(Q759,S759,U759,W759,Y759,AA759,AC759,AE759,AG759,AI759,AK759,AM759,AO759,AQ759,AS759,AU759,AW759,AY759)</f>
        <v>15741</v>
      </c>
      <c r="BC759" s="28" t="n">
        <f aca="false">BA759-BB759</f>
        <v>0</v>
      </c>
      <c r="BD759" s="32" t="n">
        <f aca="false">SUM(P759,R759,T759,V759,X759,Z759,AB759,AD759,AF759,AH759,AJ759,AL759,AN759,AP759,AR759,AT759,AV759,AX759)</f>
        <v>92.59</v>
      </c>
      <c r="BE759" s="33" t="n">
        <f aca="false">AZ759-BD759</f>
        <v>0</v>
      </c>
      <c r="BF759" s="34" t="n">
        <f aca="false">BD759*M759</f>
        <v>15740.3</v>
      </c>
      <c r="BG759" s="35" t="n">
        <f aca="false">BA759-BF759</f>
        <v>0.700000000002547</v>
      </c>
      <c r="BH759" s="19" t="str">
        <f aca="false">IF(BG759=0,"",IF(BG759&lt;&gt;BA759,"erreur de calcul",IF(BD759&lt;&gt;0,"pas de prix",IF(M759&lt;&gt; 0,"pas de quantité","pas de prix, ni de quantité"))))</f>
        <v>erreur de calcul</v>
      </c>
      <c r="BI759" s="19"/>
    </row>
    <row r="760" customFormat="false" ht="15" hidden="false" customHeight="false" outlineLevel="0" collapsed="false">
      <c r="A760" s="0" t="n">
        <v>15</v>
      </c>
      <c r="B760" s="8" t="s">
        <v>24</v>
      </c>
      <c r="C760" s="9" t="s">
        <v>25</v>
      </c>
      <c r="D760" s="9" t="s">
        <v>26</v>
      </c>
      <c r="E760" s="10" t="n">
        <v>1789</v>
      </c>
      <c r="F760" s="9" t="s">
        <v>27</v>
      </c>
      <c r="G760" s="9" t="s">
        <v>27</v>
      </c>
      <c r="H760" s="11" t="n">
        <v>20</v>
      </c>
      <c r="I760" s="11" t="s">
        <v>131</v>
      </c>
      <c r="J760" s="14"/>
      <c r="K760" s="14" t="n">
        <v>55</v>
      </c>
      <c r="L760" s="16"/>
      <c r="M760" s="27" t="n">
        <f aca="false">J760+(K760/20)+(L760/240)</f>
        <v>2.75</v>
      </c>
      <c r="N760" s="17" t="s">
        <v>64</v>
      </c>
      <c r="O760" s="11"/>
      <c r="P760" s="28"/>
      <c r="Q760" s="28" t="n">
        <f aca="false">P760*$M760</f>
        <v>0</v>
      </c>
      <c r="R760" s="28"/>
      <c r="S760" s="28" t="n">
        <f aca="false">R760*$M760</f>
        <v>0</v>
      </c>
      <c r="T760" s="28"/>
      <c r="U760" s="28" t="n">
        <f aca="false">T760*$M760</f>
        <v>0</v>
      </c>
      <c r="V760" s="28"/>
      <c r="W760" s="28" t="n">
        <f aca="false">V760*$M760</f>
        <v>0</v>
      </c>
      <c r="X760" s="28" t="n">
        <f aca="false">3875617/100</f>
        <v>38756.17</v>
      </c>
      <c r="Y760" s="28" t="n">
        <v>106579</v>
      </c>
      <c r="Z760" s="28" t="n">
        <f aca="false">62500/100</f>
        <v>625</v>
      </c>
      <c r="AA760" s="28" t="n">
        <v>1719</v>
      </c>
      <c r="AB760" s="28" t="n">
        <f aca="false">360000/100</f>
        <v>3600</v>
      </c>
      <c r="AC760" s="28" t="n">
        <v>9900</v>
      </c>
      <c r="AD760" s="28"/>
      <c r="AE760" s="28" t="n">
        <f aca="false">AD760*$M760</f>
        <v>0</v>
      </c>
      <c r="AF760" s="28"/>
      <c r="AG760" s="28" t="n">
        <f aca="false">AF760*$M760</f>
        <v>0</v>
      </c>
      <c r="AH760" s="28"/>
      <c r="AI760" s="28" t="n">
        <f aca="false">AH760*$M760</f>
        <v>0</v>
      </c>
      <c r="AJ760" s="28"/>
      <c r="AK760" s="28" t="n">
        <f aca="false">AJ760*$M760</f>
        <v>0</v>
      </c>
      <c r="AL760" s="28"/>
      <c r="AM760" s="28" t="n">
        <f aca="false">AL760*$M760</f>
        <v>0</v>
      </c>
      <c r="AN760" s="28"/>
      <c r="AO760" s="28" t="n">
        <f aca="false">AN760*$M760</f>
        <v>0</v>
      </c>
      <c r="AP760" s="28"/>
      <c r="AQ760" s="28" t="n">
        <f aca="false">AP760*$M760</f>
        <v>0</v>
      </c>
      <c r="AR760" s="28"/>
      <c r="AS760" s="28" t="n">
        <f aca="false">AR760*$M760</f>
        <v>0</v>
      </c>
      <c r="AT760" s="28"/>
      <c r="AU760" s="28" t="n">
        <f aca="false">AT760*$M760</f>
        <v>0</v>
      </c>
      <c r="AV760" s="28"/>
      <c r="AW760" s="28" t="n">
        <f aca="false">AV760*$M760</f>
        <v>0</v>
      </c>
      <c r="AX760" s="28"/>
      <c r="AY760" s="28" t="n">
        <f aca="false">AX760*$M760</f>
        <v>0</v>
      </c>
      <c r="AZ760" s="30" t="n">
        <f aca="false">4298117/100</f>
        <v>42981.17</v>
      </c>
      <c r="BA760" s="11" t="n">
        <v>118198</v>
      </c>
      <c r="BB760" s="31" t="n">
        <f aca="false">SUM(Q760,S760,U760,W760,Y760,AA760,AC760,AE760,AG760,AI760,AK760,AM760,AO760,AQ760,AS760,AU760,AW760,AY760)</f>
        <v>118198</v>
      </c>
      <c r="BC760" s="28" t="n">
        <f aca="false">BA760-BB760</f>
        <v>0</v>
      </c>
      <c r="BD760" s="32" t="n">
        <f aca="false">SUM(P760,R760,T760,V760,X760,Z760,AB760,AD760,AF760,AH760,AJ760,AL760,AN760,AP760,AR760,AT760,AV760,AX760)</f>
        <v>42981.17</v>
      </c>
      <c r="BE760" s="33" t="n">
        <f aca="false">AZ760-BD760</f>
        <v>0</v>
      </c>
      <c r="BF760" s="34" t="n">
        <f aca="false">BD760*M760</f>
        <v>118198.2175</v>
      </c>
      <c r="BG760" s="35" t="n">
        <f aca="false">BA760-BF760</f>
        <v>-0.217499999998836</v>
      </c>
      <c r="BH760" s="19" t="str">
        <f aca="false">IF(BG760=0,"",IF(BG760&lt;&gt;BA760,"erreur de calcul",IF(BD760&lt;&gt;0,"pas de prix",IF(M760&lt;&gt; 0,"pas de quantité","pas de prix, ni de quantité"))))</f>
        <v>erreur de calcul</v>
      </c>
      <c r="BI760" s="19"/>
    </row>
    <row r="761" customFormat="false" ht="15" hidden="false" customHeight="false" outlineLevel="0" collapsed="false">
      <c r="A761" s="0" t="n">
        <v>16</v>
      </c>
      <c r="B761" s="8" t="s">
        <v>24</v>
      </c>
      <c r="C761" s="9" t="s">
        <v>25</v>
      </c>
      <c r="D761" s="9" t="s">
        <v>26</v>
      </c>
      <c r="E761" s="10" t="n">
        <v>1789</v>
      </c>
      <c r="F761" s="9" t="s">
        <v>27</v>
      </c>
      <c r="G761" s="9" t="s">
        <v>27</v>
      </c>
      <c r="H761" s="11" t="n">
        <v>20</v>
      </c>
      <c r="I761" s="11" t="s">
        <v>132</v>
      </c>
      <c r="J761" s="14"/>
      <c r="K761" s="14" t="n">
        <v>50</v>
      </c>
      <c r="L761" s="16"/>
      <c r="M761" s="27" t="n">
        <f aca="false">J761+(K761/20)+(L761/240)</f>
        <v>2.5</v>
      </c>
      <c r="N761" s="17" t="s">
        <v>64</v>
      </c>
      <c r="O761" s="11"/>
      <c r="P761" s="28"/>
      <c r="Q761" s="28" t="n">
        <f aca="false">P761*$M761</f>
        <v>0</v>
      </c>
      <c r="R761" s="28"/>
      <c r="S761" s="28" t="n">
        <f aca="false">R761*$M761</f>
        <v>0</v>
      </c>
      <c r="T761" s="28"/>
      <c r="U761" s="28" t="n">
        <f aca="false">T761*$M761</f>
        <v>0</v>
      </c>
      <c r="V761" s="28" t="n">
        <f aca="false">25000/100</f>
        <v>250</v>
      </c>
      <c r="W761" s="28" t="n">
        <v>625</v>
      </c>
      <c r="X761" s="28" t="n">
        <f aca="false">9335/100</f>
        <v>93.35</v>
      </c>
      <c r="Y761" s="28" t="n">
        <v>233</v>
      </c>
      <c r="Z761" s="28"/>
      <c r="AA761" s="28" t="n">
        <f aca="false">Z761*$M761</f>
        <v>0</v>
      </c>
      <c r="AB761" s="28"/>
      <c r="AC761" s="28" t="n">
        <f aca="false">AB761*$M761</f>
        <v>0</v>
      </c>
      <c r="AD761" s="28"/>
      <c r="AE761" s="28" t="n">
        <f aca="false">AD761*$M761</f>
        <v>0</v>
      </c>
      <c r="AF761" s="28"/>
      <c r="AG761" s="28" t="n">
        <f aca="false">AF761*$M761</f>
        <v>0</v>
      </c>
      <c r="AH761" s="28"/>
      <c r="AI761" s="28" t="n">
        <f aca="false">AH761*$M761</f>
        <v>0</v>
      </c>
      <c r="AJ761" s="28"/>
      <c r="AK761" s="28" t="n">
        <f aca="false">AJ761*$M761</f>
        <v>0</v>
      </c>
      <c r="AL761" s="28"/>
      <c r="AM761" s="28" t="n">
        <f aca="false">AL761*$M761</f>
        <v>0</v>
      </c>
      <c r="AN761" s="28"/>
      <c r="AO761" s="28" t="n">
        <f aca="false">AN761*$M761</f>
        <v>0</v>
      </c>
      <c r="AP761" s="28"/>
      <c r="AQ761" s="28" t="n">
        <f aca="false">AP761*$M761</f>
        <v>0</v>
      </c>
      <c r="AR761" s="28"/>
      <c r="AS761" s="28" t="n">
        <f aca="false">AR761*$M761</f>
        <v>0</v>
      </c>
      <c r="AT761" s="28"/>
      <c r="AU761" s="28" t="n">
        <f aca="false">AT761*$M761</f>
        <v>0</v>
      </c>
      <c r="AV761" s="28"/>
      <c r="AW761" s="28" t="n">
        <f aca="false">AV761*$M761</f>
        <v>0</v>
      </c>
      <c r="AX761" s="28"/>
      <c r="AY761" s="28" t="n">
        <f aca="false">AX761*$M761</f>
        <v>0</v>
      </c>
      <c r="AZ761" s="30" t="n">
        <f aca="false">34335/100</f>
        <v>343.35</v>
      </c>
      <c r="BA761" s="11" t="n">
        <v>858</v>
      </c>
      <c r="BB761" s="31" t="n">
        <f aca="false">SUM(Q761,S761,U761,W761,Y761,AA761,AC761,AE761,AG761,AI761,AK761,AM761,AO761,AQ761,AS761,AU761,AW761,AY761)</f>
        <v>858</v>
      </c>
      <c r="BC761" s="28" t="n">
        <f aca="false">BA761-BB761</f>
        <v>0</v>
      </c>
      <c r="BD761" s="32" t="n">
        <f aca="false">SUM(P761,R761,T761,V761,X761,Z761,AB761,AD761,AF761,AH761,AJ761,AL761,AN761,AP761,AR761,AT761,AV761,AX761)</f>
        <v>343.35</v>
      </c>
      <c r="BE761" s="33" t="n">
        <f aca="false">AZ761-BD761</f>
        <v>0</v>
      </c>
      <c r="BF761" s="34" t="n">
        <f aca="false">BD761*M761</f>
        <v>858.375</v>
      </c>
      <c r="BG761" s="35" t="n">
        <f aca="false">BA761-BF761</f>
        <v>-0.375</v>
      </c>
      <c r="BH761" s="19" t="str">
        <f aca="false">IF(BG761=0,"",IF(BG761&lt;&gt;BA761,"erreur de calcul",IF(BD761&lt;&gt;0,"pas de prix",IF(M761&lt;&gt; 0,"pas de quantité","pas de prix, ni de quantité"))))</f>
        <v>erreur de calcul</v>
      </c>
      <c r="BI761" s="19"/>
    </row>
    <row r="762" customFormat="false" ht="15" hidden="false" customHeight="false" outlineLevel="0" collapsed="false">
      <c r="A762" s="0" t="n">
        <v>17</v>
      </c>
      <c r="B762" s="8" t="s">
        <v>24</v>
      </c>
      <c r="C762" s="9" t="s">
        <v>25</v>
      </c>
      <c r="D762" s="9" t="s">
        <v>26</v>
      </c>
      <c r="E762" s="10" t="n">
        <v>1789</v>
      </c>
      <c r="F762" s="9" t="s">
        <v>27</v>
      </c>
      <c r="G762" s="9" t="s">
        <v>27</v>
      </c>
      <c r="H762" s="11" t="n">
        <v>20</v>
      </c>
      <c r="I762" s="11" t="s">
        <v>133</v>
      </c>
      <c r="J762" s="14" t="n">
        <v>175</v>
      </c>
      <c r="K762" s="14"/>
      <c r="L762" s="16"/>
      <c r="M762" s="27" t="n">
        <f aca="false">J762+(K762/20)+(L762/240)</f>
        <v>175</v>
      </c>
      <c r="N762" s="17" t="s">
        <v>64</v>
      </c>
      <c r="O762" s="11"/>
      <c r="P762" s="28" t="n">
        <f aca="false">84/100</f>
        <v>0.84</v>
      </c>
      <c r="Q762" s="28" t="n">
        <v>147</v>
      </c>
      <c r="R762" s="28"/>
      <c r="S762" s="28" t="n">
        <f aca="false">R762*$M762</f>
        <v>0</v>
      </c>
      <c r="T762" s="28"/>
      <c r="U762" s="28" t="n">
        <f aca="false">T762*$M762</f>
        <v>0</v>
      </c>
      <c r="V762" s="28" t="n">
        <f aca="false">124/100</f>
        <v>1.24</v>
      </c>
      <c r="W762" s="28" t="n">
        <v>217</v>
      </c>
      <c r="X762" s="28" t="n">
        <f aca="false">6034/100</f>
        <v>60.34</v>
      </c>
      <c r="Y762" s="28" t="n">
        <v>10559</v>
      </c>
      <c r="Z762" s="28" t="n">
        <f aca="false">147/100</f>
        <v>1.47</v>
      </c>
      <c r="AA762" s="28" t="n">
        <v>257</v>
      </c>
      <c r="AB762" s="28" t="n">
        <f aca="false">195/100</f>
        <v>1.95</v>
      </c>
      <c r="AC762" s="28" t="n">
        <v>341</v>
      </c>
      <c r="AD762" s="28"/>
      <c r="AE762" s="28" t="n">
        <f aca="false">AD762*$M762</f>
        <v>0</v>
      </c>
      <c r="AF762" s="28"/>
      <c r="AG762" s="28" t="n">
        <f aca="false">AF762*$M762</f>
        <v>0</v>
      </c>
      <c r="AH762" s="28"/>
      <c r="AI762" s="28" t="n">
        <f aca="false">AH762*$M762</f>
        <v>0</v>
      </c>
      <c r="AJ762" s="28"/>
      <c r="AK762" s="28" t="n">
        <f aca="false">AJ762*$M762</f>
        <v>0</v>
      </c>
      <c r="AL762" s="28"/>
      <c r="AM762" s="28" t="n">
        <f aca="false">AL762*$M762</f>
        <v>0</v>
      </c>
      <c r="AN762" s="28"/>
      <c r="AO762" s="28" t="n">
        <f aca="false">AN762*$M762</f>
        <v>0</v>
      </c>
      <c r="AP762" s="28"/>
      <c r="AQ762" s="28" t="n">
        <f aca="false">AP762*$M762</f>
        <v>0</v>
      </c>
      <c r="AR762" s="28"/>
      <c r="AS762" s="28" t="n">
        <f aca="false">AR762*$M762</f>
        <v>0</v>
      </c>
      <c r="AT762" s="28"/>
      <c r="AU762" s="28" t="n">
        <f aca="false">AT762*$M762</f>
        <v>0</v>
      </c>
      <c r="AV762" s="28"/>
      <c r="AW762" s="28" t="n">
        <f aca="false">AV762*$M762</f>
        <v>0</v>
      </c>
      <c r="AX762" s="28"/>
      <c r="AY762" s="28" t="n">
        <f aca="false">AX762*$M762</f>
        <v>0</v>
      </c>
      <c r="AZ762" s="30" t="n">
        <f aca="false">6584/100</f>
        <v>65.84</v>
      </c>
      <c r="BA762" s="11" t="n">
        <v>11521</v>
      </c>
      <c r="BB762" s="31" t="n">
        <f aca="false">SUM(Q762,S762,U762,W762,Y762,AA762,AC762,AE762,AG762,AI762,AK762,AM762,AO762,AQ762,AS762,AU762,AW762,AY762)</f>
        <v>11521</v>
      </c>
      <c r="BC762" s="28" t="n">
        <f aca="false">BA762-BB762</f>
        <v>0</v>
      </c>
      <c r="BD762" s="32" t="n">
        <f aca="false">SUM(P762,R762,T762,V762,X762,Z762,AB762,AD762,AF762,AH762,AJ762,AL762,AN762,AP762,AR762,AT762,AV762,AX762)</f>
        <v>65.84</v>
      </c>
      <c r="BE762" s="33" t="n">
        <f aca="false">AZ762-BD762</f>
        <v>0</v>
      </c>
      <c r="BF762" s="34" t="n">
        <f aca="false">BD762*M762</f>
        <v>11522</v>
      </c>
      <c r="BG762" s="35" t="n">
        <f aca="false">BA762-BF762</f>
        <v>-1</v>
      </c>
      <c r="BH762" s="19" t="str">
        <f aca="false">IF(BG762=0,"",IF(BG762&lt;&gt;BA762,"erreur de calcul",IF(BD762&lt;&gt;0,"pas de prix",IF(M762&lt;&gt; 0,"pas de quantité","pas de prix, ni de quantité"))))</f>
        <v>erreur de calcul</v>
      </c>
      <c r="BI762" s="19"/>
    </row>
    <row r="763" customFormat="false" ht="15" hidden="false" customHeight="false" outlineLevel="0" collapsed="false">
      <c r="A763" s="0" t="n">
        <v>18</v>
      </c>
      <c r="B763" s="8" t="s">
        <v>24</v>
      </c>
      <c r="C763" s="9" t="s">
        <v>25</v>
      </c>
      <c r="D763" s="9" t="s">
        <v>26</v>
      </c>
      <c r="E763" s="10" t="n">
        <v>1789</v>
      </c>
      <c r="F763" s="9" t="s">
        <v>27</v>
      </c>
      <c r="G763" s="9" t="s">
        <v>27</v>
      </c>
      <c r="H763" s="11" t="n">
        <v>20</v>
      </c>
      <c r="I763" s="11" t="s">
        <v>134</v>
      </c>
      <c r="J763" s="14" t="n">
        <v>210</v>
      </c>
      <c r="K763" s="14"/>
      <c r="L763" s="16"/>
      <c r="M763" s="27" t="n">
        <f aca="false">J763+(K763/20)+(L763/240)</f>
        <v>210</v>
      </c>
      <c r="N763" s="17" t="s">
        <v>64</v>
      </c>
      <c r="O763" s="11"/>
      <c r="P763" s="28"/>
      <c r="Q763" s="28" t="n">
        <f aca="false">P763*$M763</f>
        <v>0</v>
      </c>
      <c r="R763" s="28"/>
      <c r="S763" s="28" t="n">
        <f aca="false">R763*$M763</f>
        <v>0</v>
      </c>
      <c r="T763" s="28"/>
      <c r="U763" s="28" t="n">
        <f aca="false">T763*$M763</f>
        <v>0</v>
      </c>
      <c r="V763" s="28" t="n">
        <f aca="false">869/100</f>
        <v>8.69</v>
      </c>
      <c r="W763" s="28" t="n">
        <v>1825</v>
      </c>
      <c r="X763" s="28"/>
      <c r="Y763" s="28" t="n">
        <f aca="false">X763*$M763</f>
        <v>0</v>
      </c>
      <c r="Z763" s="28"/>
      <c r="AA763" s="28" t="n">
        <f aca="false">Z763*$M763</f>
        <v>0</v>
      </c>
      <c r="AB763" s="28"/>
      <c r="AC763" s="28" t="n">
        <f aca="false">AB763*$M763</f>
        <v>0</v>
      </c>
      <c r="AD763" s="28"/>
      <c r="AE763" s="28" t="n">
        <f aca="false">AD763*$M763</f>
        <v>0</v>
      </c>
      <c r="AF763" s="28"/>
      <c r="AG763" s="28" t="n">
        <f aca="false">AF763*$M763</f>
        <v>0</v>
      </c>
      <c r="AH763" s="28"/>
      <c r="AI763" s="28" t="n">
        <f aca="false">AH763*$M763</f>
        <v>0</v>
      </c>
      <c r="AJ763" s="28"/>
      <c r="AK763" s="28" t="n">
        <f aca="false">AJ763*$M763</f>
        <v>0</v>
      </c>
      <c r="AL763" s="28"/>
      <c r="AM763" s="28" t="n">
        <f aca="false">AL763*$M763</f>
        <v>0</v>
      </c>
      <c r="AN763" s="28"/>
      <c r="AO763" s="28" t="n">
        <f aca="false">AN763*$M763</f>
        <v>0</v>
      </c>
      <c r="AP763" s="28"/>
      <c r="AQ763" s="28" t="n">
        <f aca="false">AP763*$M763</f>
        <v>0</v>
      </c>
      <c r="AR763" s="28"/>
      <c r="AS763" s="28" t="n">
        <f aca="false">AR763*$M763</f>
        <v>0</v>
      </c>
      <c r="AT763" s="28"/>
      <c r="AU763" s="28" t="n">
        <f aca="false">AT763*$M763</f>
        <v>0</v>
      </c>
      <c r="AV763" s="28"/>
      <c r="AW763" s="28" t="n">
        <f aca="false">AV763*$M763</f>
        <v>0</v>
      </c>
      <c r="AX763" s="28"/>
      <c r="AY763" s="28" t="n">
        <f aca="false">AX763*$M763</f>
        <v>0</v>
      </c>
      <c r="AZ763" s="30" t="n">
        <f aca="false">869/100</f>
        <v>8.69</v>
      </c>
      <c r="BA763" s="11" t="n">
        <v>1825</v>
      </c>
      <c r="BB763" s="31" t="n">
        <f aca="false">SUM(Q763,S763,U763,W763,Y763,AA763,AC763,AE763,AG763,AI763,AK763,AM763,AO763,AQ763,AS763,AU763,AW763,AY763)</f>
        <v>1825</v>
      </c>
      <c r="BC763" s="28" t="n">
        <f aca="false">BA763-BB763</f>
        <v>0</v>
      </c>
      <c r="BD763" s="32" t="n">
        <f aca="false">SUM(P763,R763,T763,V763,X763,Z763,AB763,AD763,AF763,AH763,AJ763,AL763,AN763,AP763,AR763,AT763,AV763,AX763)</f>
        <v>8.69</v>
      </c>
      <c r="BE763" s="33" t="n">
        <f aca="false">AZ763-BD763</f>
        <v>0</v>
      </c>
      <c r="BF763" s="34" t="n">
        <f aca="false">BD763*M763</f>
        <v>1824.9</v>
      </c>
      <c r="BG763" s="35" t="n">
        <f aca="false">BA763-BF763</f>
        <v>0.100000000000136</v>
      </c>
      <c r="BH763" s="19" t="str">
        <f aca="false">IF(BG763=0,"",IF(BG763&lt;&gt;BA763,"erreur de calcul",IF(BD763&lt;&gt;0,"pas de prix",IF(M763&lt;&gt; 0,"pas de quantité","pas de prix, ni de quantité"))))</f>
        <v>erreur de calcul</v>
      </c>
      <c r="BI763" s="19"/>
    </row>
    <row r="764" customFormat="false" ht="15" hidden="false" customHeight="false" outlineLevel="0" collapsed="false">
      <c r="A764" s="0" t="n">
        <v>19</v>
      </c>
      <c r="B764" s="8" t="s">
        <v>24</v>
      </c>
      <c r="C764" s="9" t="s">
        <v>25</v>
      </c>
      <c r="D764" s="9" t="s">
        <v>26</v>
      </c>
      <c r="E764" s="10" t="n">
        <v>1789</v>
      </c>
      <c r="F764" s="9" t="s">
        <v>27</v>
      </c>
      <c r="G764" s="9" t="s">
        <v>27</v>
      </c>
      <c r="H764" s="11" t="n">
        <v>20</v>
      </c>
      <c r="I764" s="11" t="s">
        <v>135</v>
      </c>
      <c r="J764" s="14" t="n">
        <v>170</v>
      </c>
      <c r="K764" s="14"/>
      <c r="L764" s="16"/>
      <c r="M764" s="27" t="n">
        <f aca="false">J764+(K764/20)+(L764/240)</f>
        <v>170</v>
      </c>
      <c r="N764" s="17" t="s">
        <v>64</v>
      </c>
      <c r="O764" s="11" t="s">
        <v>77</v>
      </c>
      <c r="P764" s="28"/>
      <c r="Q764" s="28" t="n">
        <f aca="false">P764*$M764</f>
        <v>0</v>
      </c>
      <c r="R764" s="28"/>
      <c r="S764" s="28" t="n">
        <f aca="false">R764*$M764</f>
        <v>0</v>
      </c>
      <c r="T764" s="28"/>
      <c r="U764" s="28" t="n">
        <f aca="false">T764*$M764</f>
        <v>0</v>
      </c>
      <c r="V764" s="28"/>
      <c r="W764" s="28" t="n">
        <f aca="false">V764*$M764</f>
        <v>0</v>
      </c>
      <c r="X764" s="28"/>
      <c r="Y764" s="28" t="n">
        <f aca="false">X764*$M764</f>
        <v>0</v>
      </c>
      <c r="Z764" s="28"/>
      <c r="AA764" s="28" t="n">
        <f aca="false">Z764*$M764</f>
        <v>0</v>
      </c>
      <c r="AB764" s="28"/>
      <c r="AC764" s="28" t="n">
        <f aca="false">AB764*$M764</f>
        <v>0</v>
      </c>
      <c r="AD764" s="28"/>
      <c r="AE764" s="28" t="n">
        <f aca="false">AD764*$M764</f>
        <v>0</v>
      </c>
      <c r="AF764" s="28" t="n">
        <f aca="false">229459/100</f>
        <v>2294.59</v>
      </c>
      <c r="AG764" s="28" t="n">
        <v>390080</v>
      </c>
      <c r="AH764" s="28" t="n">
        <f aca="false">202301/100</f>
        <v>2023.01</v>
      </c>
      <c r="AI764" s="28" t="n">
        <v>343912</v>
      </c>
      <c r="AJ764" s="28"/>
      <c r="AK764" s="28" t="n">
        <f aca="false">AJ764*$M764</f>
        <v>0</v>
      </c>
      <c r="AL764" s="28"/>
      <c r="AM764" s="28" t="n">
        <f aca="false">AL764*$M764</f>
        <v>0</v>
      </c>
      <c r="AN764" s="28"/>
      <c r="AO764" s="28" t="n">
        <f aca="false">AN764*$M764</f>
        <v>0</v>
      </c>
      <c r="AP764" s="28"/>
      <c r="AQ764" s="28" t="n">
        <f aca="false">AP764*$M764</f>
        <v>0</v>
      </c>
      <c r="AR764" s="28"/>
      <c r="AS764" s="28" t="n">
        <f aca="false">AR764*$M764</f>
        <v>0</v>
      </c>
      <c r="AT764" s="28"/>
      <c r="AU764" s="28" t="n">
        <f aca="false">AT764*$M764</f>
        <v>0</v>
      </c>
      <c r="AV764" s="28"/>
      <c r="AW764" s="28" t="n">
        <f aca="false">AV764*$M764</f>
        <v>0</v>
      </c>
      <c r="AX764" s="28" t="n">
        <f aca="false">2736/100</f>
        <v>27.36</v>
      </c>
      <c r="AY764" s="28" t="n">
        <v>4651</v>
      </c>
      <c r="AZ764" s="30" t="n">
        <f aca="false">434496/100</f>
        <v>4344.96</v>
      </c>
      <c r="BA764" s="11" t="n">
        <v>738643</v>
      </c>
      <c r="BB764" s="31" t="n">
        <f aca="false">SUM(Q764,S764,U764,W764,Y764,AA764,AC764,AE764,AG764,AI764,AK764,AM764,AO764,AQ764,AS764,AU764,AW764,AY764)</f>
        <v>738643</v>
      </c>
      <c r="BC764" s="28" t="n">
        <f aca="false">BA764-BB764</f>
        <v>0</v>
      </c>
      <c r="BD764" s="32" t="n">
        <f aca="false">SUM(P764,R764,T764,V764,X764,Z764,AB764,AD764,AF764,AH764,AJ764,AL764,AN764,AP764,AR764,AT764,AV764,AX764)</f>
        <v>4344.96</v>
      </c>
      <c r="BE764" s="33" t="n">
        <f aca="false">AZ764-BD764</f>
        <v>0</v>
      </c>
      <c r="BF764" s="34" t="n">
        <f aca="false">BD764*M764</f>
        <v>738643.2</v>
      </c>
      <c r="BG764" s="35" t="n">
        <f aca="false">BA764-BF764</f>
        <v>-0.199999999953434</v>
      </c>
      <c r="BH764" s="19" t="str">
        <f aca="false">IF(BG764=0,"",IF(BG764&lt;&gt;BA764,"erreur de calcul",IF(BD764&lt;&gt;0,"pas de prix",IF(M764&lt;&gt; 0,"pas de quantité","pas de prix, ni de quantité"))))</f>
        <v>erreur de calcul</v>
      </c>
      <c r="BI764" s="19"/>
    </row>
    <row r="765" customFormat="false" ht="15" hidden="false" customHeight="false" outlineLevel="0" collapsed="false">
      <c r="A765" s="0" t="n">
        <v>20</v>
      </c>
      <c r="B765" s="8" t="s">
        <v>24</v>
      </c>
      <c r="C765" s="9" t="s">
        <v>25</v>
      </c>
      <c r="D765" s="9" t="s">
        <v>26</v>
      </c>
      <c r="E765" s="10" t="n">
        <v>1789</v>
      </c>
      <c r="F765" s="9" t="s">
        <v>27</v>
      </c>
      <c r="G765" s="9" t="s">
        <v>27</v>
      </c>
      <c r="H765" s="11" t="n">
        <v>20</v>
      </c>
      <c r="I765" s="11" t="s">
        <v>136</v>
      </c>
      <c r="J765" s="14" t="n">
        <v>41</v>
      </c>
      <c r="K765" s="14"/>
      <c r="L765" s="16"/>
      <c r="M765" s="27" t="n">
        <f aca="false">J765+(K765/20)+(L765/240)</f>
        <v>41</v>
      </c>
      <c r="N765" s="17" t="s">
        <v>64</v>
      </c>
      <c r="O765" s="11"/>
      <c r="P765" s="28" t="n">
        <f aca="false">1210/100</f>
        <v>12.1</v>
      </c>
      <c r="Q765" s="28" t="n">
        <v>496</v>
      </c>
      <c r="R765" s="28"/>
      <c r="S765" s="28" t="n">
        <f aca="false">R765*$M765</f>
        <v>0</v>
      </c>
      <c r="T765" s="28"/>
      <c r="U765" s="28" t="n">
        <f aca="false">T765*$M765</f>
        <v>0</v>
      </c>
      <c r="V765" s="28"/>
      <c r="W765" s="28" t="n">
        <f aca="false">V765*$M765</f>
        <v>0</v>
      </c>
      <c r="X765" s="28"/>
      <c r="Y765" s="28" t="n">
        <f aca="false">X765*$M765</f>
        <v>0</v>
      </c>
      <c r="Z765" s="28"/>
      <c r="AA765" s="28" t="n">
        <f aca="false">Z765*$M765</f>
        <v>0</v>
      </c>
      <c r="AB765" s="28"/>
      <c r="AC765" s="28" t="n">
        <f aca="false">AB765*$M765</f>
        <v>0</v>
      </c>
      <c r="AD765" s="28"/>
      <c r="AE765" s="28" t="n">
        <f aca="false">AD765*$M765</f>
        <v>0</v>
      </c>
      <c r="AF765" s="28"/>
      <c r="AG765" s="28" t="n">
        <f aca="false">AF765*$M765</f>
        <v>0</v>
      </c>
      <c r="AH765" s="28"/>
      <c r="AI765" s="28" t="n">
        <f aca="false">AH765*$M765</f>
        <v>0</v>
      </c>
      <c r="AJ765" s="28" t="n">
        <f aca="false">85034/100</f>
        <v>850.34</v>
      </c>
      <c r="AK765" s="28" t="n">
        <v>34864</v>
      </c>
      <c r="AL765" s="28" t="n">
        <f aca="false">1024/100</f>
        <v>10.24</v>
      </c>
      <c r="AM765" s="28" t="n">
        <v>420</v>
      </c>
      <c r="AN765" s="28"/>
      <c r="AO765" s="28" t="n">
        <f aca="false">AN765*$M765</f>
        <v>0</v>
      </c>
      <c r="AP765" s="28"/>
      <c r="AQ765" s="28" t="n">
        <f aca="false">AP765*$M765</f>
        <v>0</v>
      </c>
      <c r="AR765" s="28"/>
      <c r="AS765" s="28" t="n">
        <f aca="false">AR765*$M765</f>
        <v>0</v>
      </c>
      <c r="AT765" s="28"/>
      <c r="AU765" s="28" t="n">
        <f aca="false">AT765*$M765</f>
        <v>0</v>
      </c>
      <c r="AV765" s="28"/>
      <c r="AW765" s="28" t="n">
        <f aca="false">AV765*$M765</f>
        <v>0</v>
      </c>
      <c r="AX765" s="28"/>
      <c r="AY765" s="28" t="n">
        <f aca="false">AX765*$M765</f>
        <v>0</v>
      </c>
      <c r="AZ765" s="30" t="n">
        <f aca="false">87268/100</f>
        <v>872.68</v>
      </c>
      <c r="BA765" s="11" t="n">
        <v>35780</v>
      </c>
      <c r="BB765" s="31" t="n">
        <f aca="false">SUM(Q765,S765,U765,W765,Y765,AA765,AC765,AE765,AG765,AI765,AK765,AM765,AO765,AQ765,AS765,AU765,AW765,AY765)</f>
        <v>35780</v>
      </c>
      <c r="BC765" s="28" t="n">
        <f aca="false">BA765-BB765</f>
        <v>0</v>
      </c>
      <c r="BD765" s="32" t="n">
        <f aca="false">SUM(P765,R765,T765,V765,X765,Z765,AB765,AD765,AF765,AH765,AJ765,AL765,AN765,AP765,AR765,AT765,AV765,AX765)</f>
        <v>872.68</v>
      </c>
      <c r="BE765" s="33" t="n">
        <f aca="false">AZ765-BD765</f>
        <v>0</v>
      </c>
      <c r="BF765" s="34" t="n">
        <f aca="false">BD765*M765</f>
        <v>35779.88</v>
      </c>
      <c r="BG765" s="35" t="n">
        <f aca="false">BA765-BF765</f>
        <v>0.119999999995343</v>
      </c>
      <c r="BH765" s="19" t="str">
        <f aca="false">IF(BG765=0,"",IF(BG765&lt;&gt;BA765,"erreur de calcul",IF(BD765&lt;&gt;0,"pas de prix",IF(M765&lt;&gt; 0,"pas de quantité","pas de prix, ni de quantité"))))</f>
        <v>erreur de calcul</v>
      </c>
      <c r="BI765" s="19"/>
    </row>
    <row r="766" customFormat="false" ht="15" hidden="false" customHeight="false" outlineLevel="0" collapsed="false">
      <c r="A766" s="0" t="n">
        <v>21</v>
      </c>
      <c r="B766" s="8" t="s">
        <v>24</v>
      </c>
      <c r="C766" s="9" t="s">
        <v>25</v>
      </c>
      <c r="D766" s="9" t="s">
        <v>26</v>
      </c>
      <c r="E766" s="10" t="n">
        <v>1789</v>
      </c>
      <c r="F766" s="9" t="s">
        <v>27</v>
      </c>
      <c r="G766" s="9" t="s">
        <v>27</v>
      </c>
      <c r="H766" s="11" t="n">
        <v>20</v>
      </c>
      <c r="I766" s="11" t="s">
        <v>137</v>
      </c>
      <c r="J766" s="14"/>
      <c r="K766" s="14"/>
      <c r="L766" s="16"/>
      <c r="M766" s="27" t="n">
        <f aca="false">J766+(K766/20)+(L766/240)</f>
        <v>0</v>
      </c>
      <c r="N766" s="39" t="s">
        <v>138</v>
      </c>
      <c r="O766" s="11"/>
      <c r="P766" s="28" t="n">
        <v>337</v>
      </c>
      <c r="Q766" s="28" t="n">
        <v>6250</v>
      </c>
      <c r="R766" s="28"/>
      <c r="S766" s="28" t="n">
        <f aca="false">R766*$M766</f>
        <v>0</v>
      </c>
      <c r="T766" s="28"/>
      <c r="U766" s="28" t="n">
        <f aca="false">T766*$M766</f>
        <v>0</v>
      </c>
      <c r="V766" s="28" t="n">
        <v>760</v>
      </c>
      <c r="W766" s="28" t="n">
        <v>18259</v>
      </c>
      <c r="X766" s="28"/>
      <c r="Y766" s="28" t="n">
        <f aca="false">X766*$M766</f>
        <v>0</v>
      </c>
      <c r="Z766" s="28"/>
      <c r="AA766" s="28" t="n">
        <f aca="false">Z766*$M766</f>
        <v>0</v>
      </c>
      <c r="AB766" s="28"/>
      <c r="AC766" s="28" t="n">
        <f aca="false">AB766*$M766</f>
        <v>0</v>
      </c>
      <c r="AD766" s="28"/>
      <c r="AE766" s="28" t="n">
        <f aca="false">AD766*$M766</f>
        <v>0</v>
      </c>
      <c r="AF766" s="28"/>
      <c r="AG766" s="28" t="n">
        <f aca="false">AF766*$M766</f>
        <v>0</v>
      </c>
      <c r="AH766" s="28"/>
      <c r="AI766" s="28" t="n">
        <f aca="false">AH766*$M766</f>
        <v>0</v>
      </c>
      <c r="AJ766" s="28"/>
      <c r="AK766" s="28" t="n">
        <f aca="false">AJ766*$M766</f>
        <v>0</v>
      </c>
      <c r="AL766" s="28"/>
      <c r="AM766" s="28" t="n">
        <f aca="false">AL766*$M766</f>
        <v>0</v>
      </c>
      <c r="AN766" s="28"/>
      <c r="AO766" s="28" t="n">
        <f aca="false">AN766*$M766</f>
        <v>0</v>
      </c>
      <c r="AP766" s="28"/>
      <c r="AQ766" s="28" t="n">
        <f aca="false">AP766*$M766</f>
        <v>0</v>
      </c>
      <c r="AR766" s="28"/>
      <c r="AS766" s="28" t="n">
        <f aca="false">AR766*$M766</f>
        <v>0</v>
      </c>
      <c r="AT766" s="28"/>
      <c r="AU766" s="28" t="n">
        <f aca="false">AT766*$M766</f>
        <v>0</v>
      </c>
      <c r="AV766" s="28"/>
      <c r="AW766" s="28" t="n">
        <f aca="false">AV766*$M766</f>
        <v>0</v>
      </c>
      <c r="AX766" s="28"/>
      <c r="AY766" s="28" t="n">
        <f aca="false">AX766*$M766</f>
        <v>0</v>
      </c>
      <c r="AZ766" s="30" t="n">
        <f aca="false">1097</f>
        <v>1097</v>
      </c>
      <c r="BA766" s="11" t="n">
        <v>24509</v>
      </c>
      <c r="BB766" s="31" t="n">
        <f aca="false">SUM(Q766,S766,U766,W766,Y766,AA766,AC766,AE766,AG766,AI766,AK766,AM766,AO766,AQ766,AS766,AU766,AW766,AY766)</f>
        <v>24509</v>
      </c>
      <c r="BC766" s="28" t="n">
        <f aca="false">BA766-BB766</f>
        <v>0</v>
      </c>
      <c r="BD766" s="32" t="n">
        <f aca="false">SUM(P766,R766,T766,V766,X766,Z766,AB766,AD766,AF766,AH766,AJ766,AL766,AN766,AP766,AR766,AT766,AV766,AX766)</f>
        <v>1097</v>
      </c>
      <c r="BE766" s="33" t="n">
        <f aca="false">AZ766-BD766</f>
        <v>0</v>
      </c>
      <c r="BF766" s="34" t="n">
        <f aca="false">BD766*M766</f>
        <v>0</v>
      </c>
      <c r="BG766" s="35" t="n">
        <f aca="false">BA766-BF766</f>
        <v>24509</v>
      </c>
      <c r="BH766" s="19" t="str">
        <f aca="false">IF(BG766=0,"",IF(BG766&lt;&gt;BA766,"erreur de calcul",IF(BD766&lt;&gt;0,"pas de prix",IF(M766&lt;&gt; 0,"pas de quantité","pas de prix, ni de quantité"))))</f>
        <v>pas de prix</v>
      </c>
      <c r="BI766" s="19" t="s">
        <v>139</v>
      </c>
    </row>
    <row r="767" customFormat="false" ht="15" hidden="false" customHeight="false" outlineLevel="0" collapsed="false">
      <c r="A767" s="0" t="n">
        <v>22</v>
      </c>
      <c r="B767" s="8" t="s">
        <v>24</v>
      </c>
      <c r="C767" s="9" t="s">
        <v>25</v>
      </c>
      <c r="D767" s="9" t="s">
        <v>26</v>
      </c>
      <c r="E767" s="10" t="n">
        <v>1789</v>
      </c>
      <c r="F767" s="9" t="s">
        <v>27</v>
      </c>
      <c r="G767" s="9" t="s">
        <v>27</v>
      </c>
      <c r="H767" s="11" t="n">
        <v>20</v>
      </c>
      <c r="I767" s="11" t="s">
        <v>140</v>
      </c>
      <c r="J767" s="14" t="n">
        <v>28</v>
      </c>
      <c r="K767" s="14"/>
      <c r="L767" s="16"/>
      <c r="M767" s="27" t="n">
        <f aca="false">J767+(K767/20)+(L767/240)</f>
        <v>28</v>
      </c>
      <c r="N767" s="17" t="s">
        <v>64</v>
      </c>
      <c r="O767" s="11"/>
      <c r="P767" s="28"/>
      <c r="Q767" s="28" t="n">
        <f aca="false">P767*$M767</f>
        <v>0</v>
      </c>
      <c r="R767" s="28"/>
      <c r="S767" s="28" t="n">
        <f aca="false">R767*$M767</f>
        <v>0</v>
      </c>
      <c r="T767" s="28"/>
      <c r="U767" s="28" t="n">
        <f aca="false">T767*$M767</f>
        <v>0</v>
      </c>
      <c r="V767" s="28"/>
      <c r="W767" s="28" t="n">
        <f aca="false">V767*$M767</f>
        <v>0</v>
      </c>
      <c r="X767" s="28" t="n">
        <f aca="false">2572/100</f>
        <v>25.72</v>
      </c>
      <c r="Y767" s="28" t="n">
        <v>720</v>
      </c>
      <c r="Z767" s="28"/>
      <c r="AA767" s="28" t="n">
        <f aca="false">Z767*$M767</f>
        <v>0</v>
      </c>
      <c r="AB767" s="28"/>
      <c r="AC767" s="28" t="n">
        <f aca="false">AB767*$M767</f>
        <v>0</v>
      </c>
      <c r="AD767" s="28"/>
      <c r="AE767" s="28" t="n">
        <f aca="false">AD767*$M767</f>
        <v>0</v>
      </c>
      <c r="AF767" s="28" t="n">
        <f aca="false">3367/100</f>
        <v>33.67</v>
      </c>
      <c r="AG767" s="36" t="n">
        <v>915</v>
      </c>
      <c r="AH767" s="28"/>
      <c r="AI767" s="28" t="n">
        <f aca="false">AH767*$M767</f>
        <v>0</v>
      </c>
      <c r="AJ767" s="28"/>
      <c r="AK767" s="28" t="n">
        <f aca="false">AJ767*$M767</f>
        <v>0</v>
      </c>
      <c r="AL767" s="28"/>
      <c r="AM767" s="28" t="n">
        <f aca="false">AL767*$M767</f>
        <v>0</v>
      </c>
      <c r="AN767" s="28"/>
      <c r="AO767" s="28" t="n">
        <f aca="false">AN767*$M767</f>
        <v>0</v>
      </c>
      <c r="AP767" s="28"/>
      <c r="AQ767" s="28" t="n">
        <f aca="false">AP767*$M767</f>
        <v>0</v>
      </c>
      <c r="AR767" s="28"/>
      <c r="AS767" s="28" t="n">
        <f aca="false">AR767*$M767</f>
        <v>0</v>
      </c>
      <c r="AT767" s="28"/>
      <c r="AU767" s="28" t="n">
        <f aca="false">AT767*$M767</f>
        <v>0</v>
      </c>
      <c r="AV767" s="28"/>
      <c r="AW767" s="28" t="n">
        <f aca="false">AV767*$M767</f>
        <v>0</v>
      </c>
      <c r="AX767" s="28"/>
      <c r="AY767" s="28" t="n">
        <f aca="false">AX767*$M767</f>
        <v>0</v>
      </c>
      <c r="AZ767" s="30" t="n">
        <f aca="false">5939/100</f>
        <v>59.39</v>
      </c>
      <c r="BA767" s="11" t="n">
        <v>1635</v>
      </c>
      <c r="BB767" s="31" t="n">
        <f aca="false">SUM(Q767,S767,U767,W767,Y767,AA767,AC767,AE767,AG767,AI767,AK767,AM767,AO767,AQ767,AS767,AU767,AW767,AY767)</f>
        <v>1635</v>
      </c>
      <c r="BC767" s="28" t="n">
        <f aca="false">BA767-BB767</f>
        <v>0</v>
      </c>
      <c r="BD767" s="32" t="n">
        <f aca="false">SUM(P767,R767,T767,V767,X767,Z767,AB767,AD767,AF767,AH767,AJ767,AL767,AN767,AP767,AR767,AT767,AV767,AX767)</f>
        <v>59.39</v>
      </c>
      <c r="BE767" s="33" t="n">
        <f aca="false">AZ767-BD767</f>
        <v>0</v>
      </c>
      <c r="BF767" s="34" t="n">
        <f aca="false">BD767*M767</f>
        <v>1662.92</v>
      </c>
      <c r="BG767" s="35" t="n">
        <f aca="false">BA767-BF767</f>
        <v>-27.9200000000001</v>
      </c>
      <c r="BH767" s="19" t="str">
        <f aca="false">IF(BG767=0,"",IF(BG767&lt;&gt;BA767,"erreur de calcul",IF(BD767&lt;&gt;0,"pas de prix",IF(M767&lt;&gt; 0,"pas de quantité","pas de prix, ni de quantité"))))</f>
        <v>erreur de calcul</v>
      </c>
      <c r="BI767" s="19"/>
    </row>
    <row r="768" customFormat="false" ht="15" hidden="false" customHeight="false" outlineLevel="0" collapsed="false">
      <c r="A768" s="0" t="n">
        <v>23</v>
      </c>
      <c r="B768" s="8" t="s">
        <v>24</v>
      </c>
      <c r="C768" s="9" t="s">
        <v>25</v>
      </c>
      <c r="D768" s="9" t="s">
        <v>26</v>
      </c>
      <c r="E768" s="10" t="n">
        <v>1789</v>
      </c>
      <c r="F768" s="9" t="s">
        <v>27</v>
      </c>
      <c r="G768" s="9" t="s">
        <v>27</v>
      </c>
      <c r="H768" s="11" t="n">
        <v>20</v>
      </c>
      <c r="I768" s="11" t="s">
        <v>141</v>
      </c>
      <c r="J768" s="14" t="n">
        <v>50</v>
      </c>
      <c r="K768" s="14"/>
      <c r="L768" s="16"/>
      <c r="M768" s="27" t="n">
        <f aca="false">J768+(K768/20)+(L768/240)</f>
        <v>50</v>
      </c>
      <c r="N768" s="17" t="s">
        <v>64</v>
      </c>
      <c r="O768" s="11"/>
      <c r="P768" s="28" t="n">
        <f aca="false">79168/100</f>
        <v>791.68</v>
      </c>
      <c r="Q768" s="28" t="n">
        <v>39584</v>
      </c>
      <c r="R768" s="28"/>
      <c r="S768" s="28" t="n">
        <f aca="false">R768*$M768</f>
        <v>0</v>
      </c>
      <c r="T768" s="28" t="n">
        <f aca="false">18545/100</f>
        <v>185.45</v>
      </c>
      <c r="U768" s="28" t="n">
        <v>9272</v>
      </c>
      <c r="V768" s="28" t="n">
        <f aca="false">10784/100</f>
        <v>107.84</v>
      </c>
      <c r="W768" s="28" t="n">
        <v>5392</v>
      </c>
      <c r="X768" s="28" t="n">
        <f aca="false">22033/100</f>
        <v>220.33</v>
      </c>
      <c r="Y768" s="28" t="n">
        <v>11016</v>
      </c>
      <c r="Z768" s="28" t="n">
        <f aca="false">4478/100</f>
        <v>44.78</v>
      </c>
      <c r="AA768" s="28" t="n">
        <v>2239</v>
      </c>
      <c r="AB768" s="28" t="n">
        <f aca="false">8901/100</f>
        <v>89.01</v>
      </c>
      <c r="AC768" s="28" t="n">
        <v>4450</v>
      </c>
      <c r="AD768" s="28"/>
      <c r="AE768" s="28" t="n">
        <f aca="false">AD768*$M768</f>
        <v>0</v>
      </c>
      <c r="AF768" s="28"/>
      <c r="AG768" s="28" t="n">
        <f aca="false">AF768*$M768</f>
        <v>0</v>
      </c>
      <c r="AH768" s="28"/>
      <c r="AI768" s="28" t="n">
        <f aca="false">AH768*$M768</f>
        <v>0</v>
      </c>
      <c r="AJ768" s="28" t="n">
        <f aca="false">2917/100</f>
        <v>29.17</v>
      </c>
      <c r="AK768" s="28" t="n">
        <v>1458</v>
      </c>
      <c r="AL768" s="28"/>
      <c r="AM768" s="28" t="n">
        <f aca="false">AL768*$M768</f>
        <v>0</v>
      </c>
      <c r="AN768" s="28"/>
      <c r="AO768" s="28" t="n">
        <f aca="false">AN768*$M768</f>
        <v>0</v>
      </c>
      <c r="AP768" s="28"/>
      <c r="AQ768" s="28" t="n">
        <f aca="false">AP768*$M768</f>
        <v>0</v>
      </c>
      <c r="AR768" s="28"/>
      <c r="AS768" s="28" t="n">
        <f aca="false">AR768*$M768</f>
        <v>0</v>
      </c>
      <c r="AT768" s="28"/>
      <c r="AU768" s="28" t="n">
        <f aca="false">AT768*$M768</f>
        <v>0</v>
      </c>
      <c r="AV768" s="28" t="n">
        <f aca="false">6667/100</f>
        <v>66.67</v>
      </c>
      <c r="AW768" s="28" t="n">
        <v>3333</v>
      </c>
      <c r="AX768" s="28"/>
      <c r="AY768" s="28" t="n">
        <f aca="false">AX768*$M768</f>
        <v>0</v>
      </c>
      <c r="AZ768" s="30" t="n">
        <f aca="false">153493/100</f>
        <v>1534.93</v>
      </c>
      <c r="BA768" s="11" t="n">
        <v>76744</v>
      </c>
      <c r="BB768" s="31" t="n">
        <f aca="false">SUM(Q768,S768,U768,W768,Y768,AA768,AC768,AE768,AG768,AI768,AK768,AM768,AO768,AQ768,AS768,AU768,AW768,AY768)</f>
        <v>76744</v>
      </c>
      <c r="BC768" s="28" t="n">
        <f aca="false">BA768-BB768</f>
        <v>0</v>
      </c>
      <c r="BD768" s="32" t="n">
        <f aca="false">SUM(P768,R768,T768,V768,X768,Z768,AB768,AD768,AF768,AH768,AJ768,AL768,AN768,AP768,AR768,AT768,AV768,AX768)</f>
        <v>1534.93</v>
      </c>
      <c r="BE768" s="33" t="n">
        <f aca="false">AZ768-BD768</f>
        <v>0</v>
      </c>
      <c r="BF768" s="34" t="n">
        <f aca="false">BD768*M768</f>
        <v>76746.5</v>
      </c>
      <c r="BG768" s="35" t="n">
        <f aca="false">BA768-BF768</f>
        <v>-2.49999999998545</v>
      </c>
      <c r="BH768" s="19" t="str">
        <f aca="false">IF(BG768=0,"",IF(BG768&lt;&gt;BA768,"erreur de calcul",IF(BD768&lt;&gt;0,"pas de prix",IF(M768&lt;&gt; 0,"pas de quantité","pas de prix, ni de quantité"))))</f>
        <v>erreur de calcul</v>
      </c>
      <c r="BI768" s="19"/>
    </row>
    <row r="769" customFormat="false" ht="15" hidden="false" customHeight="false" outlineLevel="0" collapsed="false">
      <c r="A769" s="0" t="n">
        <v>24</v>
      </c>
      <c r="B769" s="8" t="s">
        <v>24</v>
      </c>
      <c r="C769" s="9" t="s">
        <v>25</v>
      </c>
      <c r="D769" s="9" t="s">
        <v>26</v>
      </c>
      <c r="E769" s="10" t="n">
        <v>1789</v>
      </c>
      <c r="F769" s="9" t="s">
        <v>27</v>
      </c>
      <c r="G769" s="9" t="s">
        <v>27</v>
      </c>
      <c r="H769" s="11" t="n">
        <v>20</v>
      </c>
      <c r="I769" s="11" t="s">
        <v>142</v>
      </c>
      <c r="J769" s="14" t="n">
        <v>12</v>
      </c>
      <c r="K769" s="14"/>
      <c r="L769" s="16"/>
      <c r="M769" s="27" t="n">
        <f aca="false">J769+(K769/20)+(L769/240)</f>
        <v>12</v>
      </c>
      <c r="N769" s="17" t="s">
        <v>66</v>
      </c>
      <c r="O769" s="11"/>
      <c r="P769" s="28"/>
      <c r="Q769" s="28" t="n">
        <f aca="false">P769*$M769</f>
        <v>0</v>
      </c>
      <c r="R769" s="28"/>
      <c r="S769" s="28" t="n">
        <f aca="false">R769*$M769</f>
        <v>0</v>
      </c>
      <c r="T769" s="28"/>
      <c r="U769" s="28" t="n">
        <f aca="false">T769*$M769</f>
        <v>0</v>
      </c>
      <c r="V769" s="28"/>
      <c r="W769" s="28" t="n">
        <f aca="false">V769*$M769</f>
        <v>0</v>
      </c>
      <c r="X769" s="28"/>
      <c r="Y769" s="28" t="n">
        <f aca="false">X769*$M769</f>
        <v>0</v>
      </c>
      <c r="Z769" s="28" t="n">
        <v>21</v>
      </c>
      <c r="AA769" s="28" t="n">
        <v>252</v>
      </c>
      <c r="AB769" s="28" t="n">
        <v>672</v>
      </c>
      <c r="AC769" s="28" t="n">
        <v>8064</v>
      </c>
      <c r="AD769" s="28"/>
      <c r="AE769" s="28" t="n">
        <f aca="false">AD769*$M769</f>
        <v>0</v>
      </c>
      <c r="AF769" s="28"/>
      <c r="AG769" s="28" t="n">
        <f aca="false">AF769*$M769</f>
        <v>0</v>
      </c>
      <c r="AH769" s="28"/>
      <c r="AI769" s="28" t="n">
        <f aca="false">AH769*$M769</f>
        <v>0</v>
      </c>
      <c r="AJ769" s="28"/>
      <c r="AK769" s="28" t="n">
        <f aca="false">AJ769*$M769</f>
        <v>0</v>
      </c>
      <c r="AL769" s="28"/>
      <c r="AM769" s="28" t="n">
        <f aca="false">AL769*$M769</f>
        <v>0</v>
      </c>
      <c r="AN769" s="28"/>
      <c r="AO769" s="28" t="n">
        <f aca="false">AN769*$M769</f>
        <v>0</v>
      </c>
      <c r="AP769" s="28"/>
      <c r="AQ769" s="28" t="n">
        <f aca="false">AP769*$M769</f>
        <v>0</v>
      </c>
      <c r="AR769" s="28"/>
      <c r="AS769" s="28" t="n">
        <f aca="false">AR769*$M769</f>
        <v>0</v>
      </c>
      <c r="AT769" s="28"/>
      <c r="AU769" s="28" t="n">
        <f aca="false">AT769*$M769</f>
        <v>0</v>
      </c>
      <c r="AV769" s="28"/>
      <c r="AW769" s="28" t="n">
        <f aca="false">AV769*$M769</f>
        <v>0</v>
      </c>
      <c r="AX769" s="28"/>
      <c r="AY769" s="28" t="n">
        <f aca="false">AX769*$M769</f>
        <v>0</v>
      </c>
      <c r="AZ769" s="30" t="n">
        <v>693</v>
      </c>
      <c r="BA769" s="11" t="n">
        <v>8316</v>
      </c>
      <c r="BB769" s="31" t="n">
        <f aca="false">SUM(Q769,S769,U769,W769,Y769,AA769,AC769,AE769,AG769,AI769,AK769,AM769,AO769,AQ769,AS769,AU769,AW769,AY769)</f>
        <v>8316</v>
      </c>
      <c r="BC769" s="28" t="n">
        <f aca="false">BA769-BB769</f>
        <v>0</v>
      </c>
      <c r="BD769" s="32" t="n">
        <f aca="false">SUM(P769,R769,T769,V769,X769,Z769,AB769,AD769,AF769,AH769,AJ769,AL769,AN769,AP769,AR769,AT769,AV769,AX769)</f>
        <v>693</v>
      </c>
      <c r="BE769" s="33" t="n">
        <f aca="false">AZ769-BD769</f>
        <v>0</v>
      </c>
      <c r="BF769" s="34" t="n">
        <f aca="false">BD769*M769</f>
        <v>8316</v>
      </c>
      <c r="BG769" s="35" t="n">
        <f aca="false">BA769-BF769</f>
        <v>0</v>
      </c>
      <c r="BH769" s="19" t="str">
        <f aca="false">IF(BG769=0,"",IF(BG769&lt;&gt;BA769,"erreur de calcul",IF(BD769&lt;&gt;0,"pas de prix",IF(M769&lt;&gt; 0,"pas de quantité","pas de prix, ni de quantité"))))</f>
        <v/>
      </c>
      <c r="BI769" s="19"/>
    </row>
    <row r="770" customFormat="false" ht="15" hidden="false" customHeight="false" outlineLevel="0" collapsed="false">
      <c r="A770" s="0" t="n">
        <v>25</v>
      </c>
      <c r="B770" s="8" t="s">
        <v>24</v>
      </c>
      <c r="C770" s="9" t="s">
        <v>25</v>
      </c>
      <c r="D770" s="9" t="s">
        <v>26</v>
      </c>
      <c r="E770" s="10" t="n">
        <v>1789</v>
      </c>
      <c r="F770" s="9" t="s">
        <v>27</v>
      </c>
      <c r="G770" s="9" t="s">
        <v>27</v>
      </c>
      <c r="H770" s="11" t="n">
        <v>20</v>
      </c>
      <c r="I770" s="11" t="s">
        <v>143</v>
      </c>
      <c r="J770" s="14" t="n">
        <v>8</v>
      </c>
      <c r="K770" s="14"/>
      <c r="L770" s="16"/>
      <c r="M770" s="27" t="n">
        <f aca="false">J770+(K770/20)+(L770/240)</f>
        <v>8</v>
      </c>
      <c r="N770" s="17" t="s">
        <v>85</v>
      </c>
      <c r="O770" s="11"/>
      <c r="P770" s="28" t="n">
        <f aca="false">74969/100</f>
        <v>749.69</v>
      </c>
      <c r="Q770" s="28" t="n">
        <v>5997</v>
      </c>
      <c r="R770" s="28"/>
      <c r="S770" s="28" t="n">
        <f aca="false">R770*$M770</f>
        <v>0</v>
      </c>
      <c r="T770" s="28" t="n">
        <f aca="false">58256/100</f>
        <v>582.56</v>
      </c>
      <c r="U770" s="28" t="n">
        <v>4660</v>
      </c>
      <c r="V770" s="28" t="n">
        <f aca="false">14450/100</f>
        <v>144.5</v>
      </c>
      <c r="W770" s="28" t="n">
        <v>1156</v>
      </c>
      <c r="X770" s="28" t="n">
        <f aca="false">4397/100</f>
        <v>43.97</v>
      </c>
      <c r="Y770" s="28" t="n">
        <v>352</v>
      </c>
      <c r="Z770" s="28"/>
      <c r="AA770" s="28" t="n">
        <f aca="false">Z770*$M770</f>
        <v>0</v>
      </c>
      <c r="AB770" s="28" t="n">
        <f aca="false">6400/100</f>
        <v>64</v>
      </c>
      <c r="AC770" s="28" t="n">
        <v>512</v>
      </c>
      <c r="AD770" s="28" t="n">
        <f aca="false">19450/100</f>
        <v>194.5</v>
      </c>
      <c r="AE770" s="28" t="n">
        <v>1556</v>
      </c>
      <c r="AF770" s="28" t="n">
        <f aca="false">2496/100</f>
        <v>24.96</v>
      </c>
      <c r="AG770" s="28" t="n">
        <v>200</v>
      </c>
      <c r="AH770" s="28"/>
      <c r="AI770" s="28" t="n">
        <f aca="false">AH770*$M770</f>
        <v>0</v>
      </c>
      <c r="AJ770" s="28"/>
      <c r="AK770" s="28" t="n">
        <f aca="false">AJ770*$M770</f>
        <v>0</v>
      </c>
      <c r="AL770" s="28"/>
      <c r="AM770" s="28" t="n">
        <f aca="false">AL770*$M770</f>
        <v>0</v>
      </c>
      <c r="AN770" s="28"/>
      <c r="AO770" s="28" t="n">
        <f aca="false">AN770*$M770</f>
        <v>0</v>
      </c>
      <c r="AP770" s="28"/>
      <c r="AQ770" s="28" t="n">
        <f aca="false">AP770*$M770</f>
        <v>0</v>
      </c>
      <c r="AR770" s="28"/>
      <c r="AS770" s="28" t="n">
        <f aca="false">AR770*$M770</f>
        <v>0</v>
      </c>
      <c r="AT770" s="28"/>
      <c r="AU770" s="28" t="n">
        <f aca="false">AT770*$M770</f>
        <v>0</v>
      </c>
      <c r="AV770" s="28"/>
      <c r="AW770" s="28" t="n">
        <f aca="false">AV770*$M770</f>
        <v>0</v>
      </c>
      <c r="AX770" s="28"/>
      <c r="AY770" s="28" t="n">
        <f aca="false">AX770*$M770</f>
        <v>0</v>
      </c>
      <c r="AZ770" s="30" t="n">
        <f aca="false">180418/100</f>
        <v>1804.18</v>
      </c>
      <c r="BA770" s="11" t="n">
        <v>14433</v>
      </c>
      <c r="BB770" s="31" t="n">
        <f aca="false">SUM(Q770,S770,U770,W770,Y770,AA770,AC770,AE770,AG770,AI770,AK770,AM770,AO770,AQ770,AS770,AU770,AW770,AY770)</f>
        <v>14433</v>
      </c>
      <c r="BC770" s="28" t="n">
        <f aca="false">BA770-BB770</f>
        <v>0</v>
      </c>
      <c r="BD770" s="32" t="n">
        <f aca="false">SUM(P770,R770,T770,V770,X770,Z770,AB770,AD770,AF770,AH770,AJ770,AL770,AN770,AP770,AR770,AT770,AV770,AX770)</f>
        <v>1804.18</v>
      </c>
      <c r="BE770" s="33" t="n">
        <f aca="false">AZ770-BD770</f>
        <v>0</v>
      </c>
      <c r="BF770" s="34" t="n">
        <f aca="false">BD770*M770</f>
        <v>14433.44</v>
      </c>
      <c r="BG770" s="35" t="n">
        <f aca="false">BA770-BF770</f>
        <v>-0.440000000000509</v>
      </c>
      <c r="BH770" s="19" t="str">
        <f aca="false">IF(BG770=0,"",IF(BG770&lt;&gt;BA770,"erreur de calcul",IF(BD770&lt;&gt;0,"pas de prix",IF(M770&lt;&gt; 0,"pas de quantité","pas de prix, ni de quantité"))))</f>
        <v>erreur de calcul</v>
      </c>
      <c r="BI770" s="19"/>
    </row>
    <row r="771" customFormat="false" ht="15" hidden="false" customHeight="false" outlineLevel="0" collapsed="false">
      <c r="A771" s="0" t="n">
        <v>26</v>
      </c>
      <c r="B771" s="8" t="s">
        <v>24</v>
      </c>
      <c r="C771" s="9" t="s">
        <v>25</v>
      </c>
      <c r="D771" s="9" t="s">
        <v>26</v>
      </c>
      <c r="E771" s="10" t="n">
        <v>1789</v>
      </c>
      <c r="F771" s="9" t="s">
        <v>27</v>
      </c>
      <c r="G771" s="9" t="s">
        <v>27</v>
      </c>
      <c r="H771" s="11" t="n">
        <v>20</v>
      </c>
      <c r="I771" s="11" t="s">
        <v>144</v>
      </c>
      <c r="J771" s="14" t="n">
        <v>3</v>
      </c>
      <c r="K771" s="14"/>
      <c r="L771" s="16"/>
      <c r="M771" s="27" t="n">
        <f aca="false">J771+(K771/20)+(L771/240)</f>
        <v>3</v>
      </c>
      <c r="N771" s="17" t="s">
        <v>66</v>
      </c>
      <c r="O771" s="11"/>
      <c r="P771" s="28"/>
      <c r="Q771" s="28" t="n">
        <f aca="false">P771*$M771</f>
        <v>0</v>
      </c>
      <c r="R771" s="28"/>
      <c r="S771" s="28" t="n">
        <f aca="false">R771*$M771</f>
        <v>0</v>
      </c>
      <c r="T771" s="28" t="n">
        <v>24347</v>
      </c>
      <c r="U771" s="28" t="n">
        <v>73041</v>
      </c>
      <c r="V771" s="28" t="n">
        <v>2300</v>
      </c>
      <c r="W771" s="28" t="n">
        <v>6900</v>
      </c>
      <c r="X771" s="28" t="n">
        <v>152</v>
      </c>
      <c r="Y771" s="28" t="n">
        <v>456</v>
      </c>
      <c r="Z771" s="28"/>
      <c r="AA771" s="28" t="n">
        <f aca="false">Z771*$M771</f>
        <v>0</v>
      </c>
      <c r="AB771" s="28" t="n">
        <v>53940</v>
      </c>
      <c r="AC771" s="28" t="n">
        <v>161820</v>
      </c>
      <c r="AD771" s="28"/>
      <c r="AE771" s="28" t="n">
        <f aca="false">AD771*$M771</f>
        <v>0</v>
      </c>
      <c r="AF771" s="28"/>
      <c r="AG771" s="28" t="n">
        <f aca="false">AF771*$M771</f>
        <v>0</v>
      </c>
      <c r="AH771" s="28" t="n">
        <v>1668909</v>
      </c>
      <c r="AI771" s="28" t="n">
        <v>5006727</v>
      </c>
      <c r="AJ771" s="28"/>
      <c r="AK771" s="28" t="n">
        <f aca="false">AJ771*$M771</f>
        <v>0</v>
      </c>
      <c r="AL771" s="28"/>
      <c r="AM771" s="28" t="n">
        <f aca="false">AL771*$M771</f>
        <v>0</v>
      </c>
      <c r="AN771" s="28" t="n">
        <v>165</v>
      </c>
      <c r="AO771" s="28" t="n">
        <v>495</v>
      </c>
      <c r="AP771" s="28"/>
      <c r="AQ771" s="28" t="n">
        <f aca="false">AP771*$M771</f>
        <v>0</v>
      </c>
      <c r="AR771" s="28"/>
      <c r="AS771" s="28" t="n">
        <f aca="false">AR771*$M771</f>
        <v>0</v>
      </c>
      <c r="AT771" s="28"/>
      <c r="AU771" s="28" t="n">
        <f aca="false">AT771*$M771</f>
        <v>0</v>
      </c>
      <c r="AV771" s="28"/>
      <c r="AW771" s="28" t="n">
        <f aca="false">AV771*$M771</f>
        <v>0</v>
      </c>
      <c r="AX771" s="28"/>
      <c r="AY771" s="28" t="n">
        <f aca="false">AX771*$M771</f>
        <v>0</v>
      </c>
      <c r="AZ771" s="30" t="n">
        <v>1736540</v>
      </c>
      <c r="BA771" s="11" t="n">
        <v>5249439</v>
      </c>
      <c r="BB771" s="31" t="n">
        <f aca="false">SUM(Q771,S771,U771,W771,Y771,AA771,AC771,AE771,AG771,AI771,AK771,AM771,AO771,AQ771,AS771,AU771,AW771,AY771)</f>
        <v>5249439</v>
      </c>
      <c r="BC771" s="28" t="n">
        <f aca="false">BA771-BB771</f>
        <v>0</v>
      </c>
      <c r="BD771" s="32" t="n">
        <f aca="false">SUM(P771,R771,T771,V771,X771,Z771,AB771,AD771,AF771,AH771,AJ771,AL771,AN771,AP771,AR771,AT771,AV771,AX771)</f>
        <v>1749813</v>
      </c>
      <c r="BE771" s="33" t="n">
        <f aca="false">AZ771-BD771</f>
        <v>-13273</v>
      </c>
      <c r="BF771" s="34" t="n">
        <f aca="false">BD771*M771</f>
        <v>5249439</v>
      </c>
      <c r="BG771" s="35" t="n">
        <f aca="false">BA771-BF771</f>
        <v>0</v>
      </c>
      <c r="BH771" s="19" t="str">
        <f aca="false">IF(BG771=0,"",IF(BG771&lt;&gt;BA771,"erreur de calcul",IF(BD771&lt;&gt;0,"pas de prix",IF(M771&lt;&gt; 0,"pas de quantité","pas de prix, ni de quantité"))))</f>
        <v/>
      </c>
      <c r="BI771" s="19"/>
    </row>
    <row r="772" customFormat="false" ht="15" hidden="false" customHeight="false" outlineLevel="0" collapsed="false">
      <c r="A772" s="0" t="n">
        <v>27</v>
      </c>
      <c r="B772" s="8" t="s">
        <v>24</v>
      </c>
      <c r="C772" s="9" t="s">
        <v>25</v>
      </c>
      <c r="D772" s="9" t="s">
        <v>26</v>
      </c>
      <c r="E772" s="10" t="n">
        <v>1789</v>
      </c>
      <c r="F772" s="9" t="s">
        <v>27</v>
      </c>
      <c r="G772" s="9" t="s">
        <v>27</v>
      </c>
      <c r="H772" s="11" t="n">
        <v>20</v>
      </c>
      <c r="I772" s="11" t="s">
        <v>145</v>
      </c>
      <c r="J772" s="14" t="n">
        <v>4</v>
      </c>
      <c r="K772" s="14" t="n">
        <v>18</v>
      </c>
      <c r="L772" s="16"/>
      <c r="M772" s="27" t="n">
        <f aca="false">J772+(K772/20)+(L772/240)</f>
        <v>4.9</v>
      </c>
      <c r="N772" s="17" t="s">
        <v>66</v>
      </c>
      <c r="O772" s="11"/>
      <c r="P772" s="28"/>
      <c r="Q772" s="28" t="n">
        <f aca="false">P772*$M772</f>
        <v>0</v>
      </c>
      <c r="R772" s="28"/>
      <c r="S772" s="28" t="n">
        <f aca="false">R772*$M772</f>
        <v>0</v>
      </c>
      <c r="T772" s="28"/>
      <c r="U772" s="28" t="n">
        <f aca="false">T772*$M772</f>
        <v>0</v>
      </c>
      <c r="V772" s="28"/>
      <c r="W772" s="28" t="n">
        <f aca="false">V772*$M772</f>
        <v>0</v>
      </c>
      <c r="X772" s="28"/>
      <c r="Y772" s="28" t="n">
        <f aca="false">X772*$M772</f>
        <v>0</v>
      </c>
      <c r="Z772" s="28"/>
      <c r="AA772" s="28" t="n">
        <f aca="false">Z772*$M772</f>
        <v>0</v>
      </c>
      <c r="AB772" s="28"/>
      <c r="AC772" s="28" t="n">
        <f aca="false">AB772*$M772</f>
        <v>0</v>
      </c>
      <c r="AD772" s="28"/>
      <c r="AE772" s="28" t="n">
        <f aca="false">AD772*$M772</f>
        <v>0</v>
      </c>
      <c r="AF772" s="28"/>
      <c r="AG772" s="28" t="n">
        <f aca="false">AF772*$M772</f>
        <v>0</v>
      </c>
      <c r="AH772" s="28" t="n">
        <v>14916</v>
      </c>
      <c r="AI772" s="28" t="n">
        <v>73088</v>
      </c>
      <c r="AJ772" s="28"/>
      <c r="AK772" s="28" t="n">
        <f aca="false">AJ772*$M772</f>
        <v>0</v>
      </c>
      <c r="AL772" s="28"/>
      <c r="AM772" s="28" t="n">
        <f aca="false">AL772*$M772</f>
        <v>0</v>
      </c>
      <c r="AN772" s="28"/>
      <c r="AO772" s="28" t="n">
        <f aca="false">AN772*$M772</f>
        <v>0</v>
      </c>
      <c r="AP772" s="28"/>
      <c r="AQ772" s="28" t="n">
        <f aca="false">AP772*$M772</f>
        <v>0</v>
      </c>
      <c r="AR772" s="28"/>
      <c r="AS772" s="28" t="n">
        <f aca="false">AR772*$M772</f>
        <v>0</v>
      </c>
      <c r="AT772" s="28"/>
      <c r="AU772" s="28" t="n">
        <f aca="false">AT772*$M772</f>
        <v>0</v>
      </c>
      <c r="AV772" s="28"/>
      <c r="AW772" s="28" t="n">
        <f aca="false">AV772*$M772</f>
        <v>0</v>
      </c>
      <c r="AX772" s="28"/>
      <c r="AY772" s="28" t="n">
        <f aca="false">AX772*$M772</f>
        <v>0</v>
      </c>
      <c r="AZ772" s="30" t="n">
        <v>14916</v>
      </c>
      <c r="BA772" s="11" t="n">
        <v>73088</v>
      </c>
      <c r="BB772" s="31" t="n">
        <f aca="false">SUM(Q772,S772,U772,W772,Y772,AA772,AC772,AE772,AG772,AI772,AK772,AM772,AO772,AQ772,AS772,AU772,AW772,AY772)</f>
        <v>73088</v>
      </c>
      <c r="BC772" s="28" t="n">
        <f aca="false">BA772-BB772</f>
        <v>0</v>
      </c>
      <c r="BD772" s="32" t="n">
        <f aca="false">SUM(P772,R772,T772,V772,X772,Z772,AB772,AD772,AF772,AH772,AJ772,AL772,AN772,AP772,AR772,AT772,AV772,AX772)</f>
        <v>14916</v>
      </c>
      <c r="BE772" s="33" t="n">
        <f aca="false">AZ772-BD772</f>
        <v>0</v>
      </c>
      <c r="BF772" s="34" t="n">
        <f aca="false">BD772*M772</f>
        <v>73088.4</v>
      </c>
      <c r="BG772" s="35" t="n">
        <f aca="false">BA772-BF772</f>
        <v>-0.400000000008731</v>
      </c>
      <c r="BH772" s="19" t="str">
        <f aca="false">IF(BG772=0,"",IF(BG772&lt;&gt;BA772,"erreur de calcul",IF(BD772&lt;&gt;0,"pas de prix",IF(M772&lt;&gt; 0,"pas de quantité","pas de prix, ni de quantité"))))</f>
        <v>erreur de calcul</v>
      </c>
      <c r="BI772" s="19"/>
    </row>
    <row r="773" customFormat="false" ht="15" hidden="false" customHeight="false" outlineLevel="0" collapsed="false">
      <c r="A773" s="0" t="n">
        <v>28</v>
      </c>
      <c r="B773" s="8" t="s">
        <v>24</v>
      </c>
      <c r="C773" s="9" t="s">
        <v>25</v>
      </c>
      <c r="D773" s="9" t="s">
        <v>26</v>
      </c>
      <c r="E773" s="10" t="n">
        <v>1789</v>
      </c>
      <c r="F773" s="9" t="s">
        <v>27</v>
      </c>
      <c r="G773" s="9" t="s">
        <v>27</v>
      </c>
      <c r="H773" s="11" t="n">
        <v>20</v>
      </c>
      <c r="I773" s="11" t="s">
        <v>146</v>
      </c>
      <c r="J773" s="14" t="n">
        <v>126</v>
      </c>
      <c r="K773" s="14"/>
      <c r="L773" s="16"/>
      <c r="M773" s="27"/>
      <c r="N773" s="17" t="s">
        <v>66</v>
      </c>
      <c r="O773" s="11" t="s">
        <v>98</v>
      </c>
      <c r="P773" s="28"/>
      <c r="Q773" s="28" t="n">
        <f aca="false">P773*$M773</f>
        <v>0</v>
      </c>
      <c r="R773" s="28" t="n">
        <v>82676</v>
      </c>
      <c r="S773" s="28" t="n">
        <v>28572</v>
      </c>
      <c r="T773" s="28"/>
      <c r="U773" s="28" t="n">
        <f aca="false">T773*$M773</f>
        <v>0</v>
      </c>
      <c r="V773" s="28"/>
      <c r="W773" s="28" t="n">
        <f aca="false">V773*$M773</f>
        <v>0</v>
      </c>
      <c r="X773" s="28"/>
      <c r="Y773" s="28" t="n">
        <f aca="false">X773*$M773</f>
        <v>0</v>
      </c>
      <c r="Z773" s="28"/>
      <c r="AA773" s="28" t="n">
        <f aca="false">Z773*$M773</f>
        <v>0</v>
      </c>
      <c r="AB773" s="28"/>
      <c r="AC773" s="28" t="n">
        <f aca="false">AB773*$M773</f>
        <v>0</v>
      </c>
      <c r="AD773" s="28"/>
      <c r="AE773" s="28" t="n">
        <f aca="false">AD773*$M773</f>
        <v>0</v>
      </c>
      <c r="AF773" s="28"/>
      <c r="AG773" s="28" t="n">
        <f aca="false">AF773*$M773</f>
        <v>0</v>
      </c>
      <c r="AH773" s="28" t="n">
        <v>6408925</v>
      </c>
      <c r="AI773" s="28" t="n">
        <v>8075245</v>
      </c>
      <c r="AJ773" s="28"/>
      <c r="AK773" s="28" t="n">
        <f aca="false">AJ773*$M773</f>
        <v>0</v>
      </c>
      <c r="AL773" s="28"/>
      <c r="AM773" s="28" t="n">
        <f aca="false">AL773*$M773</f>
        <v>0</v>
      </c>
      <c r="AN773" s="28"/>
      <c r="AO773" s="28" t="n">
        <f aca="false">AN773*$M773</f>
        <v>0</v>
      </c>
      <c r="AP773" s="28"/>
      <c r="AQ773" s="28" t="n">
        <f aca="false">AP773*$M773</f>
        <v>0</v>
      </c>
      <c r="AR773" s="28"/>
      <c r="AS773" s="28" t="n">
        <f aca="false">AR773*$M773</f>
        <v>0</v>
      </c>
      <c r="AT773" s="28"/>
      <c r="AU773" s="28" t="n">
        <f aca="false">AT773*$M773</f>
        <v>0</v>
      </c>
      <c r="AV773" s="28"/>
      <c r="AW773" s="28" t="n">
        <f aca="false">AV773*$M773</f>
        <v>0</v>
      </c>
      <c r="AX773" s="28"/>
      <c r="AY773" s="28" t="n">
        <f aca="false">AX773*$M773</f>
        <v>0</v>
      </c>
      <c r="AZ773" s="11" t="n">
        <v>6431601</v>
      </c>
      <c r="BA773" s="11" t="n">
        <v>8103817</v>
      </c>
      <c r="BB773" s="31" t="n">
        <f aca="false">SUM(Q773,S773,U773,W773,Y773,AA773,AC773,AE773,AG773,AI773,AK773,AM773,AO773,AQ773,AS773,AU773,AW773,AY773)</f>
        <v>8103817</v>
      </c>
      <c r="BC773" s="28" t="n">
        <f aca="false">BA773-BB773</f>
        <v>0</v>
      </c>
      <c r="BD773" s="32" t="n">
        <f aca="false">SUM(P773,R773,T773,V773,X773,Z773,AB773,AD773,AF773,AH773,AJ773,AL773,AN773,AP773,AR773,AT773,AV773,AX773)</f>
        <v>6491601</v>
      </c>
      <c r="BE773" s="33" t="n">
        <f aca="false">AZ773-BD773</f>
        <v>-60000</v>
      </c>
      <c r="BF773" s="34" t="n">
        <f aca="false">BD773*M773</f>
        <v>0</v>
      </c>
      <c r="BG773" s="35" t="n">
        <f aca="false">BA773-BF773</f>
        <v>8103817</v>
      </c>
      <c r="BH773" s="19" t="str">
        <f aca="false">IF(BG773=0,"",IF(BG773&lt;&gt;BA773,"erreur de calcul",IF(BD773&lt;&gt;0,"pas de prix",IF(M773&lt;&gt; 0,"pas de quantité","pas de prix, ni de quantité"))))</f>
        <v>pas de prix</v>
      </c>
      <c r="BI773" s="19" t="s">
        <v>147</v>
      </c>
    </row>
    <row r="774" customFormat="false" ht="15" hidden="false" customHeight="false" outlineLevel="0" collapsed="false">
      <c r="A774" s="0" t="n">
        <v>29</v>
      </c>
      <c r="B774" s="8" t="s">
        <v>24</v>
      </c>
      <c r="C774" s="9" t="s">
        <v>25</v>
      </c>
      <c r="D774" s="9" t="s">
        <v>26</v>
      </c>
      <c r="E774" s="10" t="n">
        <v>1789</v>
      </c>
      <c r="F774" s="9" t="s">
        <v>27</v>
      </c>
      <c r="G774" s="9" t="s">
        <v>27</v>
      </c>
      <c r="H774" s="11" t="n">
        <v>20</v>
      </c>
      <c r="I774" s="11" t="s">
        <v>148</v>
      </c>
      <c r="J774" s="14"/>
      <c r="K774" s="14" t="n">
        <v>20</v>
      </c>
      <c r="L774" s="16"/>
      <c r="M774" s="27" t="n">
        <f aca="false">J774+(K774/20)+(L774/240)</f>
        <v>1</v>
      </c>
      <c r="N774" s="17" t="s">
        <v>66</v>
      </c>
      <c r="O774" s="11"/>
      <c r="P774" s="28"/>
      <c r="Q774" s="28" t="n">
        <f aca="false">P774*$M774</f>
        <v>0</v>
      </c>
      <c r="R774" s="28"/>
      <c r="S774" s="28" t="n">
        <f aca="false">R774*$M774</f>
        <v>0</v>
      </c>
      <c r="T774" s="28" t="n">
        <v>392</v>
      </c>
      <c r="U774" s="28" t="n">
        <v>392</v>
      </c>
      <c r="V774" s="28"/>
      <c r="W774" s="28" t="n">
        <f aca="false">V774*$M774</f>
        <v>0</v>
      </c>
      <c r="X774" s="28"/>
      <c r="Y774" s="28" t="n">
        <f aca="false">X774*$M774</f>
        <v>0</v>
      </c>
      <c r="Z774" s="28"/>
      <c r="AA774" s="28" t="n">
        <f aca="false">Z774*$M774</f>
        <v>0</v>
      </c>
      <c r="AB774" s="28" t="n">
        <v>7596</v>
      </c>
      <c r="AC774" s="28" t="n">
        <v>7596</v>
      </c>
      <c r="AD774" s="28"/>
      <c r="AE774" s="28" t="n">
        <f aca="false">AD774*$M774</f>
        <v>0</v>
      </c>
      <c r="AF774" s="28"/>
      <c r="AG774" s="28" t="n">
        <f aca="false">AF774*$M774</f>
        <v>0</v>
      </c>
      <c r="AH774" s="28"/>
      <c r="AI774" s="28" t="n">
        <f aca="false">AH774*$M774</f>
        <v>0</v>
      </c>
      <c r="AJ774" s="28"/>
      <c r="AK774" s="28" t="n">
        <f aca="false">AJ774*$M774</f>
        <v>0</v>
      </c>
      <c r="AL774" s="28"/>
      <c r="AM774" s="28" t="n">
        <f aca="false">AL774*$M774</f>
        <v>0</v>
      </c>
      <c r="AN774" s="28"/>
      <c r="AO774" s="28" t="n">
        <f aca="false">AN774*$M774</f>
        <v>0</v>
      </c>
      <c r="AP774" s="28"/>
      <c r="AQ774" s="28" t="n">
        <f aca="false">AP774*$M774</f>
        <v>0</v>
      </c>
      <c r="AR774" s="28"/>
      <c r="AS774" s="28" t="n">
        <f aca="false">AR774*$M774</f>
        <v>0</v>
      </c>
      <c r="AT774" s="28"/>
      <c r="AU774" s="28" t="n">
        <f aca="false">AT774*$M774</f>
        <v>0</v>
      </c>
      <c r="AV774" s="28"/>
      <c r="AW774" s="28" t="n">
        <f aca="false">AV774*$M774</f>
        <v>0</v>
      </c>
      <c r="AX774" s="28"/>
      <c r="AY774" s="28" t="n">
        <f aca="false">AX774*$M774</f>
        <v>0</v>
      </c>
      <c r="AZ774" s="30" t="n">
        <v>7988</v>
      </c>
      <c r="BA774" s="11" t="n">
        <v>7988</v>
      </c>
      <c r="BB774" s="31" t="n">
        <f aca="false">SUM(Q774,S774,U774,W774,Y774,AA774,AC774,AE774,AG774,AI774,AK774,AM774,AO774,AQ774,AS774,AU774,AW774,AY774)</f>
        <v>7988</v>
      </c>
      <c r="BC774" s="28" t="n">
        <f aca="false">BA774-BB774</f>
        <v>0</v>
      </c>
      <c r="BD774" s="32" t="n">
        <f aca="false">SUM(P774,R774,T774,V774,X774,Z774,AB774,AD774,AF774,AH774,AJ774,AL774,AN774,AP774,AR774,AT774,AV774,AX774)</f>
        <v>7988</v>
      </c>
      <c r="BE774" s="33" t="n">
        <f aca="false">AZ774-BD774</f>
        <v>0</v>
      </c>
      <c r="BF774" s="34" t="n">
        <f aca="false">BD774*M774</f>
        <v>7988</v>
      </c>
      <c r="BG774" s="35" t="n">
        <f aca="false">BA774-BF774</f>
        <v>0</v>
      </c>
      <c r="BH774" s="19" t="str">
        <f aca="false">IF(BG774=0,"",IF(BG774&lt;&gt;BA774,"erreur de calcul",IF(BD774&lt;&gt;0,"pas de prix",IF(M774&lt;&gt; 0,"pas de quantité","pas de prix, ni de quantité"))))</f>
        <v/>
      </c>
      <c r="BI774" s="19"/>
    </row>
    <row r="775" customFormat="false" ht="15" hidden="false" customHeight="false" outlineLevel="0" collapsed="false">
      <c r="A775" s="0" t="n">
        <v>30</v>
      </c>
      <c r="B775" s="8" t="s">
        <v>24</v>
      </c>
      <c r="C775" s="9" t="s">
        <v>25</v>
      </c>
      <c r="D775" s="9" t="s">
        <v>26</v>
      </c>
      <c r="E775" s="10" t="n">
        <v>1789</v>
      </c>
      <c r="F775" s="9" t="s">
        <v>27</v>
      </c>
      <c r="G775" s="9" t="s">
        <v>27</v>
      </c>
      <c r="H775" s="11" t="n">
        <v>20</v>
      </c>
      <c r="I775" s="11" t="s">
        <v>149</v>
      </c>
      <c r="J775" s="14" t="n">
        <v>70</v>
      </c>
      <c r="K775" s="14"/>
      <c r="L775" s="16"/>
      <c r="M775" s="27" t="n">
        <f aca="false">J775+(K775/20)+(L775/240)</f>
        <v>70</v>
      </c>
      <c r="N775" s="17" t="s">
        <v>64</v>
      </c>
      <c r="O775" s="11"/>
      <c r="P775" s="28"/>
      <c r="Q775" s="28" t="n">
        <f aca="false">P775*$M775</f>
        <v>0</v>
      </c>
      <c r="R775" s="28"/>
      <c r="S775" s="28" t="n">
        <f aca="false">R775*$M775</f>
        <v>0</v>
      </c>
      <c r="T775" s="28"/>
      <c r="U775" s="28" t="n">
        <f aca="false">T775*$M775</f>
        <v>0</v>
      </c>
      <c r="V775" s="28"/>
      <c r="W775" s="28" t="n">
        <f aca="false">V775*$M775</f>
        <v>0</v>
      </c>
      <c r="X775" s="28" t="n">
        <f aca="false">1904/100</f>
        <v>19.04</v>
      </c>
      <c r="Y775" s="28" t="n">
        <v>1333</v>
      </c>
      <c r="Z775" s="28"/>
      <c r="AA775" s="28" t="n">
        <f aca="false">Z775*$M775</f>
        <v>0</v>
      </c>
      <c r="AB775" s="28" t="n">
        <f aca="false">51370/100</f>
        <v>513.7</v>
      </c>
      <c r="AC775" s="28" t="n">
        <v>35959</v>
      </c>
      <c r="AD775" s="28"/>
      <c r="AE775" s="28" t="n">
        <f aca="false">AD775*$M775</f>
        <v>0</v>
      </c>
      <c r="AF775" s="28" t="n">
        <f aca="false">8872/100</f>
        <v>88.72</v>
      </c>
      <c r="AG775" s="28" t="n">
        <v>6210</v>
      </c>
      <c r="AH775" s="28" t="n">
        <f aca="false">14751/100</f>
        <v>147.51</v>
      </c>
      <c r="AI775" s="28" t="n">
        <v>10326</v>
      </c>
      <c r="AJ775" s="28"/>
      <c r="AK775" s="28" t="n">
        <f aca="false">AJ775*$M775</f>
        <v>0</v>
      </c>
      <c r="AL775" s="28"/>
      <c r="AM775" s="28" t="n">
        <f aca="false">AL775*$M775</f>
        <v>0</v>
      </c>
      <c r="AN775" s="28"/>
      <c r="AO775" s="28" t="n">
        <f aca="false">AN775*$M775</f>
        <v>0</v>
      </c>
      <c r="AP775" s="28"/>
      <c r="AQ775" s="28" t="n">
        <f aca="false">AP775*$M775</f>
        <v>0</v>
      </c>
      <c r="AR775" s="28"/>
      <c r="AS775" s="28" t="n">
        <f aca="false">AR775*$M775</f>
        <v>0</v>
      </c>
      <c r="AT775" s="28"/>
      <c r="AU775" s="28" t="n">
        <f aca="false">AT775*$M775</f>
        <v>0</v>
      </c>
      <c r="AV775" s="28"/>
      <c r="AW775" s="28" t="n">
        <f aca="false">AV775*$M775</f>
        <v>0</v>
      </c>
      <c r="AX775" s="28"/>
      <c r="AY775" s="28" t="n">
        <f aca="false">AX775*$M775</f>
        <v>0</v>
      </c>
      <c r="AZ775" s="30" t="n">
        <f aca="false">76897/100</f>
        <v>768.97</v>
      </c>
      <c r="BA775" s="11" t="n">
        <v>53828</v>
      </c>
      <c r="BB775" s="31" t="n">
        <f aca="false">SUM(Q775,S775,U775,W775,Y775,AA775,AC775,AE775,AG775,AI775,AK775,AM775,AO775,AQ775,AS775,AU775,AW775,AY775)</f>
        <v>53828</v>
      </c>
      <c r="BC775" s="28" t="n">
        <f aca="false">BA775-BB775</f>
        <v>0</v>
      </c>
      <c r="BD775" s="32" t="n">
        <f aca="false">SUM(P775,R775,T775,V775,X775,Z775,AB775,AD775,AF775,AH775,AJ775,AL775,AN775,AP775,AR775,AT775,AV775,AX775)</f>
        <v>768.97</v>
      </c>
      <c r="BE775" s="33" t="n">
        <f aca="false">AZ775-BD775</f>
        <v>0</v>
      </c>
      <c r="BF775" s="34" t="n">
        <f aca="false">BD775*M775</f>
        <v>53827.9</v>
      </c>
      <c r="BG775" s="35" t="n">
        <f aca="false">BA775-BF775</f>
        <v>0.0999999999985448</v>
      </c>
      <c r="BH775" s="19" t="str">
        <f aca="false">IF(BG775=0,"",IF(BG775&lt;&gt;BA775,"erreur de calcul",IF(BD775&lt;&gt;0,"pas de prix",IF(M775&lt;&gt; 0,"pas de quantité","pas de prix, ni de quantité"))))</f>
        <v>erreur de calcul</v>
      </c>
      <c r="BI775" s="19"/>
    </row>
    <row r="776" customFormat="false" ht="15" hidden="false" customHeight="false" outlineLevel="0" collapsed="false">
      <c r="A776" s="0" t="n">
        <v>31</v>
      </c>
      <c r="B776" s="8" t="s">
        <v>24</v>
      </c>
      <c r="C776" s="9" t="s">
        <v>25</v>
      </c>
      <c r="D776" s="9" t="s">
        <v>26</v>
      </c>
      <c r="E776" s="10" t="n">
        <v>1789</v>
      </c>
      <c r="F776" s="9" t="s">
        <v>27</v>
      </c>
      <c r="G776" s="9" t="s">
        <v>27</v>
      </c>
      <c r="H776" s="11" t="n">
        <v>20</v>
      </c>
      <c r="I776" s="11" t="s">
        <v>150</v>
      </c>
      <c r="J776" s="14" t="n">
        <v>70</v>
      </c>
      <c r="K776" s="14"/>
      <c r="L776" s="16"/>
      <c r="M776" s="27" t="n">
        <f aca="false">J776+(K776/20)+(L776/240)</f>
        <v>70</v>
      </c>
      <c r="N776" s="17" t="s">
        <v>64</v>
      </c>
      <c r="O776" s="11" t="s">
        <v>77</v>
      </c>
      <c r="P776" s="28"/>
      <c r="Q776" s="28" t="n">
        <f aca="false">P776*$M776</f>
        <v>0</v>
      </c>
      <c r="R776" s="28"/>
      <c r="S776" s="28" t="n">
        <f aca="false">R776*$M776</f>
        <v>0</v>
      </c>
      <c r="T776" s="28"/>
      <c r="U776" s="28" t="n">
        <f aca="false">T776*$M776</f>
        <v>0</v>
      </c>
      <c r="V776" s="28"/>
      <c r="W776" s="28" t="n">
        <f aca="false">V776*$M776</f>
        <v>0</v>
      </c>
      <c r="X776" s="28"/>
      <c r="Y776" s="28" t="n">
        <f aca="false">X776*$M776</f>
        <v>0</v>
      </c>
      <c r="Z776" s="28"/>
      <c r="AA776" s="28" t="n">
        <f aca="false">Z776*$M776</f>
        <v>0</v>
      </c>
      <c r="AB776" s="28"/>
      <c r="AC776" s="28" t="n">
        <f aca="false">AB776*$M776</f>
        <v>0</v>
      </c>
      <c r="AD776" s="28"/>
      <c r="AE776" s="28" t="n">
        <f aca="false">AD776*$M776</f>
        <v>0</v>
      </c>
      <c r="AF776" s="28"/>
      <c r="AG776" s="28" t="n">
        <f aca="false">AF776*$M776</f>
        <v>0</v>
      </c>
      <c r="AH776" s="28"/>
      <c r="AI776" s="28" t="n">
        <f aca="false">AH776*$M776</f>
        <v>0</v>
      </c>
      <c r="AJ776" s="28"/>
      <c r="AK776" s="28" t="n">
        <f aca="false">AJ776*$M776</f>
        <v>0</v>
      </c>
      <c r="AL776" s="28"/>
      <c r="AM776" s="28" t="n">
        <f aca="false">AL776*$M776</f>
        <v>0</v>
      </c>
      <c r="AN776" s="28"/>
      <c r="AO776" s="28" t="n">
        <f aca="false">AN776*$M776</f>
        <v>0</v>
      </c>
      <c r="AP776" s="28"/>
      <c r="AQ776" s="28" t="n">
        <f aca="false">AP776*$M776</f>
        <v>0</v>
      </c>
      <c r="AR776" s="28"/>
      <c r="AS776" s="28" t="n">
        <f aca="false">AR776*$M776</f>
        <v>0</v>
      </c>
      <c r="AT776" s="28"/>
      <c r="AU776" s="28" t="n">
        <f aca="false">AT776*$M776</f>
        <v>0</v>
      </c>
      <c r="AV776" s="28"/>
      <c r="AW776" s="28" t="n">
        <f aca="false">AV776*$M776</f>
        <v>0</v>
      </c>
      <c r="AX776" s="28"/>
      <c r="AY776" s="28" t="n">
        <f aca="false">AX776*$M776</f>
        <v>0</v>
      </c>
      <c r="AZ776" s="30"/>
      <c r="BA776" s="11"/>
      <c r="BB776" s="31" t="n">
        <f aca="false">SUM(Q776,S776,U776,W776,Y776,AA776,AC776,AE776,AG776,AI776,AK776,AM776,AO776,AQ776,AS776,AU776,AW776,AY776)</f>
        <v>0</v>
      </c>
      <c r="BC776" s="28" t="n">
        <f aca="false">BA776-BB776</f>
        <v>0</v>
      </c>
      <c r="BD776" s="32" t="n">
        <f aca="false">SUM(P776,R776,T776,V776,X776,Z776,AB776,AD776,AF776,AH776,AJ776,AL776,AN776,AP776,AR776,AT776,AV776,AX776)</f>
        <v>0</v>
      </c>
      <c r="BE776" s="33" t="n">
        <f aca="false">AZ776-BD776</f>
        <v>0</v>
      </c>
      <c r="BF776" s="34" t="n">
        <f aca="false">BD776*M776</f>
        <v>0</v>
      </c>
      <c r="BG776" s="35" t="n">
        <f aca="false">BA776-BF776</f>
        <v>0</v>
      </c>
      <c r="BH776" s="19" t="str">
        <f aca="false">IF(BG776=0,"",IF(BG776&lt;&gt;BA776,"erreur de calcul",IF(BD776&lt;&gt;0,"pas de prix",IF(M776&lt;&gt; 0,"pas de quantité","pas de prix, ni de quantité"))))</f>
        <v/>
      </c>
      <c r="BI776" s="19"/>
    </row>
    <row r="777" customFormat="false" ht="15" hidden="false" customHeight="false" outlineLevel="0" collapsed="false">
      <c r="A777" s="0" t="n">
        <v>32</v>
      </c>
      <c r="B777" s="8" t="s">
        <v>24</v>
      </c>
      <c r="C777" s="9" t="s">
        <v>25</v>
      </c>
      <c r="D777" s="9" t="s">
        <v>26</v>
      </c>
      <c r="E777" s="10" t="n">
        <v>1789</v>
      </c>
      <c r="F777" s="9" t="s">
        <v>27</v>
      </c>
      <c r="G777" s="9" t="s">
        <v>27</v>
      </c>
      <c r="H777" s="11" t="n">
        <v>20</v>
      </c>
      <c r="I777" s="11" t="s">
        <v>150</v>
      </c>
      <c r="J777" s="14" t="n">
        <v>70</v>
      </c>
      <c r="K777" s="14"/>
      <c r="L777" s="16"/>
      <c r="M777" s="27" t="n">
        <f aca="false">J777+(K777/20)+(L777/240)</f>
        <v>70</v>
      </c>
      <c r="N777" s="17" t="s">
        <v>64</v>
      </c>
      <c r="O777" s="11" t="s">
        <v>98</v>
      </c>
      <c r="P777" s="28" t="n">
        <f aca="false">382028/100</f>
        <v>3820.28</v>
      </c>
      <c r="Q777" s="28" t="n">
        <v>267420</v>
      </c>
      <c r="R777" s="28" t="n">
        <f aca="false">131361/100</f>
        <v>1313.61</v>
      </c>
      <c r="S777" s="28" t="n">
        <v>91953</v>
      </c>
      <c r="T777" s="28" t="n">
        <f aca="false">8856/100</f>
        <v>88.56</v>
      </c>
      <c r="U777" s="28" t="n">
        <v>6199</v>
      </c>
      <c r="V777" s="28" t="n">
        <f aca="false">171125/100</f>
        <v>1711.25</v>
      </c>
      <c r="W777" s="28" t="n">
        <v>119787</v>
      </c>
      <c r="X777" s="28" t="n">
        <f aca="false">24259/100</f>
        <v>242.59</v>
      </c>
      <c r="Y777" s="28" t="n">
        <v>16981</v>
      </c>
      <c r="Z777" s="28"/>
      <c r="AA777" s="28" t="n">
        <f aca="false">Z777*$M777</f>
        <v>0</v>
      </c>
      <c r="AB777" s="28" t="n">
        <f aca="false">33694/100</f>
        <v>336.94</v>
      </c>
      <c r="AC777" s="28" t="n">
        <v>23586</v>
      </c>
      <c r="AD777" s="28" t="n">
        <f aca="false">89734/100</f>
        <v>897.34</v>
      </c>
      <c r="AE777" s="28" t="n">
        <v>62814</v>
      </c>
      <c r="AF777" s="28" t="n">
        <f aca="false">1955727/100</f>
        <v>19557.27</v>
      </c>
      <c r="AG777" s="28" t="n">
        <v>1369009</v>
      </c>
      <c r="AH777" s="28" t="n">
        <f aca="false">11740/100</f>
        <v>117.4</v>
      </c>
      <c r="AI777" s="28" t="n">
        <v>8218</v>
      </c>
      <c r="AJ777" s="28"/>
      <c r="AK777" s="28" t="n">
        <f aca="false">AJ777*$M777</f>
        <v>0</v>
      </c>
      <c r="AL777" s="28"/>
      <c r="AM777" s="28" t="n">
        <f aca="false">AL777*$M777</f>
        <v>0</v>
      </c>
      <c r="AN777" s="28"/>
      <c r="AO777" s="28" t="n">
        <f aca="false">AN777*$M777</f>
        <v>0</v>
      </c>
      <c r="AP777" s="28"/>
      <c r="AQ777" s="28" t="n">
        <f aca="false">AP777*$M777</f>
        <v>0</v>
      </c>
      <c r="AR777" s="28"/>
      <c r="AS777" s="28" t="n">
        <f aca="false">AR777*$M777</f>
        <v>0</v>
      </c>
      <c r="AT777" s="28"/>
      <c r="AU777" s="28" t="n">
        <f aca="false">AT777*$M777</f>
        <v>0</v>
      </c>
      <c r="AV777" s="28" t="n">
        <f aca="false">15000/100</f>
        <v>150</v>
      </c>
      <c r="AW777" s="28" t="n">
        <v>10500</v>
      </c>
      <c r="AX777" s="28"/>
      <c r="AY777" s="28" t="n">
        <f aca="false">AX777*$M777</f>
        <v>0</v>
      </c>
      <c r="AZ777" s="30" t="n">
        <f aca="false">2823524/100</f>
        <v>28235.24</v>
      </c>
      <c r="BA777" s="11" t="n">
        <v>1976467</v>
      </c>
      <c r="BB777" s="31" t="n">
        <f aca="false">SUM(Q777,S777,U777,W777,Y777,AA777,AC777,AE777,AG777,AI777,AK777,AM777,AO777,AQ777,AS777,AU777,AW777,AY777)</f>
        <v>1976467</v>
      </c>
      <c r="BC777" s="28" t="n">
        <f aca="false">BA777-BB777</f>
        <v>0</v>
      </c>
      <c r="BD777" s="32" t="n">
        <f aca="false">SUM(P777,R777,T777,V777,X777,Z777,AB777,AD777,AF777,AH777,AJ777,AL777,AN777,AP777,AR777,AT777,AV777,AX777)</f>
        <v>28235.24</v>
      </c>
      <c r="BE777" s="33" t="n">
        <f aca="false">AZ777-BD777</f>
        <v>0</v>
      </c>
      <c r="BF777" s="34" t="n">
        <f aca="false">BD777*M777</f>
        <v>1976466.8</v>
      </c>
      <c r="BG777" s="35" t="n">
        <f aca="false">BA777-BF777</f>
        <v>0.199999999953434</v>
      </c>
      <c r="BH777" s="19" t="str">
        <f aca="false">IF(BG777=0,"",IF(BG777&lt;&gt;BA777,"erreur de calcul",IF(BD777&lt;&gt;0,"pas de prix",IF(M777&lt;&gt; 0,"pas de quantité","pas de prix, ni de quantité"))))</f>
        <v>erreur de calcul</v>
      </c>
      <c r="BI777" s="19"/>
    </row>
    <row r="778" customFormat="false" ht="15" hidden="false" customHeight="false" outlineLevel="0" collapsed="false">
      <c r="A778" s="0" t="n">
        <v>33</v>
      </c>
      <c r="B778" s="8" t="s">
        <v>24</v>
      </c>
      <c r="C778" s="9" t="s">
        <v>25</v>
      </c>
      <c r="D778" s="9" t="s">
        <v>26</v>
      </c>
      <c r="E778" s="10" t="n">
        <v>1789</v>
      </c>
      <c r="F778" s="9" t="s">
        <v>27</v>
      </c>
      <c r="G778" s="9" t="s">
        <v>27</v>
      </c>
      <c r="H778" s="11" t="n">
        <v>20</v>
      </c>
      <c r="I778" s="11" t="s">
        <v>151</v>
      </c>
      <c r="J778" s="14" t="n">
        <v>150</v>
      </c>
      <c r="K778" s="14"/>
      <c r="L778" s="16"/>
      <c r="M778" s="27" t="n">
        <f aca="false">J778+(K778/20)+(L778/240)</f>
        <v>150</v>
      </c>
      <c r="N778" s="17" t="s">
        <v>64</v>
      </c>
      <c r="O778" s="11"/>
      <c r="P778" s="28"/>
      <c r="Q778" s="28" t="n">
        <f aca="false">P778*$M778</f>
        <v>0</v>
      </c>
      <c r="R778" s="28"/>
      <c r="S778" s="28" t="n">
        <f aca="false">R778*$M778</f>
        <v>0</v>
      </c>
      <c r="T778" s="28"/>
      <c r="U778" s="28" t="n">
        <f aca="false">T778*$M778</f>
        <v>0</v>
      </c>
      <c r="V778" s="28"/>
      <c r="W778" s="28" t="n">
        <f aca="false">V778*$M778</f>
        <v>0</v>
      </c>
      <c r="X778" s="28"/>
      <c r="Y778" s="28" t="n">
        <f aca="false">X778*$M778</f>
        <v>0</v>
      </c>
      <c r="Z778" s="28"/>
      <c r="AA778" s="28" t="n">
        <f aca="false">Z778*$M778</f>
        <v>0</v>
      </c>
      <c r="AB778" s="28"/>
      <c r="AC778" s="28" t="n">
        <f aca="false">AB778*$M778</f>
        <v>0</v>
      </c>
      <c r="AD778" s="28"/>
      <c r="AE778" s="28" t="n">
        <f aca="false">AD778*$M778</f>
        <v>0</v>
      </c>
      <c r="AF778" s="28"/>
      <c r="AG778" s="28" t="n">
        <f aca="false">AF778*$M778</f>
        <v>0</v>
      </c>
      <c r="AH778" s="28"/>
      <c r="AI778" s="28" t="n">
        <f aca="false">AH778*$M778</f>
        <v>0</v>
      </c>
      <c r="AJ778" s="28"/>
      <c r="AK778" s="28" t="n">
        <f aca="false">AJ778*$M778</f>
        <v>0</v>
      </c>
      <c r="AL778" s="28" t="n">
        <f aca="false">118785/100</f>
        <v>1187.85</v>
      </c>
      <c r="AM778" s="28" t="n">
        <v>178177</v>
      </c>
      <c r="AN778" s="28"/>
      <c r="AO778" s="28" t="n">
        <f aca="false">AN778*$M778</f>
        <v>0</v>
      </c>
      <c r="AP778" s="28"/>
      <c r="AQ778" s="28" t="n">
        <f aca="false">AP778*$M778</f>
        <v>0</v>
      </c>
      <c r="AR778" s="28"/>
      <c r="AS778" s="28" t="n">
        <f aca="false">AR778*$M778</f>
        <v>0</v>
      </c>
      <c r="AT778" s="28"/>
      <c r="AU778" s="28" t="n">
        <f aca="false">AT778*$M778</f>
        <v>0</v>
      </c>
      <c r="AV778" s="28"/>
      <c r="AW778" s="28" t="n">
        <f aca="false">AV778*$M778</f>
        <v>0</v>
      </c>
      <c r="AX778" s="28"/>
      <c r="AY778" s="28" t="n">
        <f aca="false">AX778*$M778</f>
        <v>0</v>
      </c>
      <c r="AZ778" s="30" t="n">
        <f aca="false">118785/100</f>
        <v>1187.85</v>
      </c>
      <c r="BA778" s="11" t="n">
        <v>178177</v>
      </c>
      <c r="BB778" s="31" t="n">
        <f aca="false">SUM(Q778,S778,U778,W778,Y778,AA778,AC778,AE778,AG778,AI778,AK778,AM778,AO778,AQ778,AS778,AU778,AW778,AY778)</f>
        <v>178177</v>
      </c>
      <c r="BC778" s="28" t="n">
        <f aca="false">BA778-BB778</f>
        <v>0</v>
      </c>
      <c r="BD778" s="32" t="n">
        <f aca="false">SUM(P778,R778,T778,V778,X778,Z778,AB778,AD778,AF778,AH778,AJ778,AL778,AN778,AP778,AR778,AT778,AV778,AX778)</f>
        <v>1187.85</v>
      </c>
      <c r="BE778" s="33" t="n">
        <f aca="false">AZ778-BD778</f>
        <v>0</v>
      </c>
      <c r="BF778" s="34" t="n">
        <f aca="false">BD778*M778</f>
        <v>178177.5</v>
      </c>
      <c r="BG778" s="35" t="n">
        <f aca="false">BA778-BF778</f>
        <v>-0.5</v>
      </c>
      <c r="BH778" s="19" t="str">
        <f aca="false">IF(BG778=0,"",IF(BG778&lt;&gt;BA778,"erreur de calcul",IF(BD778&lt;&gt;0,"pas de prix",IF(M778&lt;&gt; 0,"pas de quantité","pas de prix, ni de quantité"))))</f>
        <v>erreur de calcul</v>
      </c>
      <c r="BI778" s="19"/>
    </row>
    <row r="779" customFormat="false" ht="15" hidden="false" customHeight="false" outlineLevel="0" collapsed="false">
      <c r="A779" s="0" t="n">
        <v>34</v>
      </c>
      <c r="B779" s="8" t="s">
        <v>24</v>
      </c>
      <c r="C779" s="9" t="s">
        <v>25</v>
      </c>
      <c r="D779" s="9" t="s">
        <v>26</v>
      </c>
      <c r="E779" s="10" t="n">
        <v>1789</v>
      </c>
      <c r="F779" s="9" t="s">
        <v>27</v>
      </c>
      <c r="G779" s="9" t="s">
        <v>27</v>
      </c>
      <c r="H779" s="11" t="n">
        <v>20</v>
      </c>
      <c r="I779" s="11" t="s">
        <v>152</v>
      </c>
      <c r="J779" s="14" t="n">
        <v>80</v>
      </c>
      <c r="K779" s="14"/>
      <c r="L779" s="16"/>
      <c r="M779" s="27" t="n">
        <f aca="false">J779+(K779/20)+(L779/240)</f>
        <v>80</v>
      </c>
      <c r="N779" s="17" t="s">
        <v>64</v>
      </c>
      <c r="O779" s="11"/>
      <c r="P779" s="28"/>
      <c r="Q779" s="28" t="n">
        <f aca="false">P779*$M779</f>
        <v>0</v>
      </c>
      <c r="R779" s="28"/>
      <c r="S779" s="28" t="n">
        <f aca="false">R779*$M779</f>
        <v>0</v>
      </c>
      <c r="T779" s="28"/>
      <c r="U779" s="28" t="n">
        <f aca="false">T779*$M779</f>
        <v>0</v>
      </c>
      <c r="V779" s="28"/>
      <c r="W779" s="28" t="n">
        <f aca="false">V779*$M779</f>
        <v>0</v>
      </c>
      <c r="X779" s="28"/>
      <c r="Y779" s="28" t="n">
        <f aca="false">X779*$M779</f>
        <v>0</v>
      </c>
      <c r="Z779" s="28"/>
      <c r="AA779" s="28" t="n">
        <f aca="false">Z779*$M779</f>
        <v>0</v>
      </c>
      <c r="AB779" s="28" t="n">
        <f aca="false">3142/100</f>
        <v>31.42</v>
      </c>
      <c r="AC779" s="28" t="n">
        <v>2514</v>
      </c>
      <c r="AD779" s="28"/>
      <c r="AE779" s="28" t="n">
        <f aca="false">AD779*$M779</f>
        <v>0</v>
      </c>
      <c r="AF779" s="28" t="n">
        <f aca="false">4868/100</f>
        <v>48.68</v>
      </c>
      <c r="AG779" s="36" t="n">
        <v>3874</v>
      </c>
      <c r="AH779" s="28" t="n">
        <f aca="false">1541601/100</f>
        <v>15416.01</v>
      </c>
      <c r="AI779" s="28" t="n">
        <v>1233281</v>
      </c>
      <c r="AJ779" s="28"/>
      <c r="AK779" s="28" t="n">
        <f aca="false">AJ779*$M779</f>
        <v>0</v>
      </c>
      <c r="AL779" s="28"/>
      <c r="AM779" s="28" t="n">
        <f aca="false">AL779*$M779</f>
        <v>0</v>
      </c>
      <c r="AN779" s="28"/>
      <c r="AO779" s="28" t="n">
        <f aca="false">AN779*$M779</f>
        <v>0</v>
      </c>
      <c r="AP779" s="28"/>
      <c r="AQ779" s="28" t="n">
        <f aca="false">AP779*$M779</f>
        <v>0</v>
      </c>
      <c r="AR779" s="28"/>
      <c r="AS779" s="28" t="n">
        <f aca="false">AR779*$M779</f>
        <v>0</v>
      </c>
      <c r="AT779" s="28"/>
      <c r="AU779" s="28" t="n">
        <f aca="false">AT779*$M779</f>
        <v>0</v>
      </c>
      <c r="AV779" s="28"/>
      <c r="AW779" s="28" t="n">
        <f aca="false">AV779*$M779</f>
        <v>0</v>
      </c>
      <c r="AX779" s="28"/>
      <c r="AY779" s="28" t="n">
        <f aca="false">AX779*$M779</f>
        <v>0</v>
      </c>
      <c r="AZ779" s="30" t="n">
        <f aca="false">1549611/100</f>
        <v>15496.11</v>
      </c>
      <c r="BA779" s="11" t="n">
        <v>1239669</v>
      </c>
      <c r="BB779" s="31" t="n">
        <f aca="false">SUM(Q779,S779,U779,W779,Y779,AA779,AC779,AE779,AG779,AI779,AK779,AM779,AO779,AQ779,AS779,AU779,AW779,AY779)</f>
        <v>1239669</v>
      </c>
      <c r="BC779" s="28" t="n">
        <f aca="false">BA779-BB779</f>
        <v>0</v>
      </c>
      <c r="BD779" s="32" t="n">
        <f aca="false">SUM(P779,R779,T779,V779,X779,Z779,AB779,AD779,AF779,AH779,AJ779,AL779,AN779,AP779,AR779,AT779,AV779,AX779)</f>
        <v>15496.11</v>
      </c>
      <c r="BE779" s="33" t="n">
        <f aca="false">AZ779-BD779</f>
        <v>0</v>
      </c>
      <c r="BF779" s="34" t="n">
        <f aca="false">BD779*M779</f>
        <v>1239688.8</v>
      </c>
      <c r="BG779" s="35" t="n">
        <f aca="false">BA779-BF779</f>
        <v>-19.8000000000466</v>
      </c>
      <c r="BH779" s="19" t="str">
        <f aca="false">IF(BG779=0,"",IF(BG779&lt;&gt;BA779,"erreur de calcul",IF(BD779&lt;&gt;0,"pas de prix",IF(M779&lt;&gt; 0,"pas de quantité","pas de prix, ni de quantité"))))</f>
        <v>erreur de calcul</v>
      </c>
      <c r="BI779" s="19"/>
    </row>
    <row r="780" customFormat="false" ht="15" hidden="false" customHeight="false" outlineLevel="0" collapsed="false">
      <c r="A780" s="0" t="n">
        <v>35</v>
      </c>
      <c r="B780" s="8" t="s">
        <v>24</v>
      </c>
      <c r="C780" s="9" t="s">
        <v>25</v>
      </c>
      <c r="D780" s="9" t="s">
        <v>26</v>
      </c>
      <c r="E780" s="10" t="n">
        <v>1789</v>
      </c>
      <c r="F780" s="9" t="s">
        <v>27</v>
      </c>
      <c r="G780" s="9" t="s">
        <v>27</v>
      </c>
      <c r="H780" s="11" t="n">
        <v>20</v>
      </c>
      <c r="I780" s="11" t="s">
        <v>153</v>
      </c>
      <c r="J780" s="14" t="n">
        <v>148</v>
      </c>
      <c r="K780" s="14"/>
      <c r="L780" s="16"/>
      <c r="M780" s="27" t="n">
        <f aca="false">J780+(K780/20)+(L780/240)</f>
        <v>148</v>
      </c>
      <c r="N780" s="17" t="s">
        <v>64</v>
      </c>
      <c r="O780" s="11"/>
      <c r="P780" s="28"/>
      <c r="Q780" s="28" t="n">
        <f aca="false">P780*$M780</f>
        <v>0</v>
      </c>
      <c r="R780" s="28"/>
      <c r="S780" s="28" t="n">
        <f aca="false">R780*$M780</f>
        <v>0</v>
      </c>
      <c r="T780" s="28"/>
      <c r="U780" s="28" t="n">
        <f aca="false">T780*$M780</f>
        <v>0</v>
      </c>
      <c r="V780" s="28"/>
      <c r="W780" s="28" t="n">
        <f aca="false">V780*$M780</f>
        <v>0</v>
      </c>
      <c r="X780" s="28"/>
      <c r="Y780" s="28" t="n">
        <f aca="false">X780*$M780</f>
        <v>0</v>
      </c>
      <c r="Z780" s="28"/>
      <c r="AA780" s="28" t="n">
        <f aca="false">Z780*$M780</f>
        <v>0</v>
      </c>
      <c r="AB780" s="28"/>
      <c r="AC780" s="28" t="n">
        <f aca="false">AB780*$M780</f>
        <v>0</v>
      </c>
      <c r="AD780" s="28"/>
      <c r="AE780" s="28" t="n">
        <f aca="false">AD780*$M780</f>
        <v>0</v>
      </c>
      <c r="AF780" s="28"/>
      <c r="AG780" s="28" t="n">
        <f aca="false">AF780*$M780</f>
        <v>0</v>
      </c>
      <c r="AH780" s="28"/>
      <c r="AI780" s="28" t="n">
        <f aca="false">AH780*$M780</f>
        <v>0</v>
      </c>
      <c r="AJ780" s="28" t="n">
        <f aca="false">1472/100</f>
        <v>14.72</v>
      </c>
      <c r="AK780" s="28" t="n">
        <v>2178</v>
      </c>
      <c r="AL780" s="28"/>
      <c r="AM780" s="28" t="n">
        <f aca="false">AL780*$M780</f>
        <v>0</v>
      </c>
      <c r="AN780" s="28"/>
      <c r="AO780" s="28" t="n">
        <f aca="false">AN780*$M780</f>
        <v>0</v>
      </c>
      <c r="AP780" s="28"/>
      <c r="AQ780" s="28" t="n">
        <f aca="false">AP780*$M780</f>
        <v>0</v>
      </c>
      <c r="AR780" s="28"/>
      <c r="AS780" s="28" t="n">
        <f aca="false">AR780*$M780</f>
        <v>0</v>
      </c>
      <c r="AT780" s="28"/>
      <c r="AU780" s="28" t="n">
        <f aca="false">AT780*$M780</f>
        <v>0</v>
      </c>
      <c r="AV780" s="28"/>
      <c r="AW780" s="28" t="n">
        <f aca="false">AV780*$M780</f>
        <v>0</v>
      </c>
      <c r="AX780" s="28"/>
      <c r="AY780" s="28" t="n">
        <f aca="false">AX780*$M780</f>
        <v>0</v>
      </c>
      <c r="AZ780" s="30" t="n">
        <f aca="false">1472/100</f>
        <v>14.72</v>
      </c>
      <c r="BA780" s="11" t="n">
        <v>2178</v>
      </c>
      <c r="BB780" s="31" t="n">
        <f aca="false">SUM(Q780,S780,U780,W780,Y780,AA780,AC780,AE780,AG780,AI780,AK780,AM780,AO780,AQ780,AS780,AU780,AW780,AY780)</f>
        <v>2178</v>
      </c>
      <c r="BC780" s="28" t="n">
        <f aca="false">BA780-BB780</f>
        <v>0</v>
      </c>
      <c r="BD780" s="32" t="n">
        <f aca="false">SUM(P780,R780,T780,V780,X780,Z780,AB780,AD780,AF780,AH780,AJ780,AL780,AN780,AP780,AR780,AT780,AV780,AX780)</f>
        <v>14.72</v>
      </c>
      <c r="BE780" s="33" t="n">
        <f aca="false">AZ780-BD780</f>
        <v>0</v>
      </c>
      <c r="BF780" s="34" t="n">
        <f aca="false">BD780*M780</f>
        <v>2178.56</v>
      </c>
      <c r="BG780" s="35" t="n">
        <f aca="false">BA780-BF780</f>
        <v>-0.559999999999945</v>
      </c>
      <c r="BH780" s="19" t="str">
        <f aca="false">IF(BG780=0,"",IF(BG780&lt;&gt;BA780,"erreur de calcul",IF(BD780&lt;&gt;0,"pas de prix",IF(M780&lt;&gt; 0,"pas de quantité","pas de prix, ni de quantité"))))</f>
        <v>erreur de calcul</v>
      </c>
      <c r="BI780" s="19"/>
    </row>
    <row r="781" customFormat="false" ht="15" hidden="false" customHeight="false" outlineLevel="0" collapsed="false">
      <c r="A781" s="0" t="n">
        <v>36</v>
      </c>
      <c r="B781" s="8" t="s">
        <v>24</v>
      </c>
      <c r="C781" s="9" t="s">
        <v>25</v>
      </c>
      <c r="D781" s="9" t="s">
        <v>26</v>
      </c>
      <c r="E781" s="10" t="n">
        <v>1789</v>
      </c>
      <c r="F781" s="9" t="s">
        <v>27</v>
      </c>
      <c r="G781" s="9" t="s">
        <v>27</v>
      </c>
      <c r="H781" s="11" t="n">
        <v>20</v>
      </c>
      <c r="I781" s="11" t="s">
        <v>154</v>
      </c>
      <c r="J781" s="14" t="n">
        <v>75</v>
      </c>
      <c r="K781" s="14"/>
      <c r="L781" s="16"/>
      <c r="M781" s="27" t="n">
        <f aca="false">J781+(K781/20)+(L781/240)</f>
        <v>75</v>
      </c>
      <c r="N781" s="17" t="s">
        <v>64</v>
      </c>
      <c r="O781" s="11"/>
      <c r="P781" s="28"/>
      <c r="Q781" s="28" t="n">
        <f aca="false">P781*$M781</f>
        <v>0</v>
      </c>
      <c r="R781" s="28"/>
      <c r="S781" s="28" t="n">
        <f aca="false">R781*$M781</f>
        <v>0</v>
      </c>
      <c r="T781" s="28" t="n">
        <f aca="false">627/100</f>
        <v>6.27</v>
      </c>
      <c r="U781" s="28" t="n">
        <v>470</v>
      </c>
      <c r="V781" s="28"/>
      <c r="W781" s="28" t="n">
        <f aca="false">V781*$M781</f>
        <v>0</v>
      </c>
      <c r="X781" s="28"/>
      <c r="Y781" s="28" t="n">
        <f aca="false">X781*$M781</f>
        <v>0</v>
      </c>
      <c r="Z781" s="28"/>
      <c r="AA781" s="28" t="n">
        <f aca="false">Z781*$M781</f>
        <v>0</v>
      </c>
      <c r="AB781" s="28"/>
      <c r="AC781" s="28" t="n">
        <f aca="false">AB781*$M781</f>
        <v>0</v>
      </c>
      <c r="AD781" s="28"/>
      <c r="AE781" s="28" t="n">
        <f aca="false">AD781*$M781</f>
        <v>0</v>
      </c>
      <c r="AF781" s="28"/>
      <c r="AG781" s="28" t="n">
        <f aca="false">AF781*$M781</f>
        <v>0</v>
      </c>
      <c r="AH781" s="28"/>
      <c r="AI781" s="28" t="n">
        <f aca="false">AH781*$M781</f>
        <v>0</v>
      </c>
      <c r="AJ781" s="28"/>
      <c r="AK781" s="28" t="n">
        <f aca="false">AJ781*$M781</f>
        <v>0</v>
      </c>
      <c r="AL781" s="28"/>
      <c r="AM781" s="28" t="n">
        <f aca="false">AL781*$M781</f>
        <v>0</v>
      </c>
      <c r="AN781" s="28"/>
      <c r="AO781" s="28" t="n">
        <f aca="false">AN781*$M781</f>
        <v>0</v>
      </c>
      <c r="AP781" s="28"/>
      <c r="AQ781" s="28" t="n">
        <f aca="false">AP781*$M781</f>
        <v>0</v>
      </c>
      <c r="AR781" s="28"/>
      <c r="AS781" s="28" t="n">
        <f aca="false">AR781*$M781</f>
        <v>0</v>
      </c>
      <c r="AT781" s="28"/>
      <c r="AU781" s="28" t="n">
        <f aca="false">AT781*$M781</f>
        <v>0</v>
      </c>
      <c r="AV781" s="28"/>
      <c r="AW781" s="28" t="n">
        <f aca="false">AV781*$M781</f>
        <v>0</v>
      </c>
      <c r="AX781" s="28"/>
      <c r="AY781" s="28" t="n">
        <f aca="false">AX781*$M781</f>
        <v>0</v>
      </c>
      <c r="AZ781" s="30" t="n">
        <f aca="false">627/100</f>
        <v>6.27</v>
      </c>
      <c r="BA781" s="11" t="n">
        <v>470</v>
      </c>
      <c r="BB781" s="31" t="n">
        <f aca="false">SUM(Q781,S781,U781,W781,Y781,AA781,AC781,AE781,AG781,AI781,AK781,AM781,AO781,AQ781,AS781,AU781,AW781,AY781)</f>
        <v>470</v>
      </c>
      <c r="BC781" s="28" t="n">
        <f aca="false">BA781-BB781</f>
        <v>0</v>
      </c>
      <c r="BD781" s="32" t="n">
        <f aca="false">SUM(P781,R781,T781,V781,X781,Z781,AB781,AD781,AF781,AH781,AJ781,AL781,AN781,AP781,AR781,AT781,AV781,AX781)</f>
        <v>6.27</v>
      </c>
      <c r="BE781" s="33" t="n">
        <f aca="false">AZ781-BD781</f>
        <v>0</v>
      </c>
      <c r="BF781" s="34" t="n">
        <f aca="false">BD781*M781</f>
        <v>470.25</v>
      </c>
      <c r="BG781" s="35" t="n">
        <f aca="false">BA781-BF781</f>
        <v>-0.249999999999943</v>
      </c>
      <c r="BH781" s="19" t="str">
        <f aca="false">IF(BG781=0,"",IF(BG781&lt;&gt;BA781,"erreur de calcul",IF(BD781&lt;&gt;0,"pas de prix",IF(M781&lt;&gt; 0,"pas de quantité","pas de prix, ni de quantité"))))</f>
        <v>erreur de calcul</v>
      </c>
      <c r="BI781" s="19"/>
    </row>
    <row r="782" customFormat="false" ht="15" hidden="false" customHeight="false" outlineLevel="0" collapsed="false">
      <c r="A782" s="0" t="n">
        <v>1</v>
      </c>
      <c r="B782" s="8" t="s">
        <v>24</v>
      </c>
      <c r="C782" s="9" t="s">
        <v>25</v>
      </c>
      <c r="D782" s="9" t="s">
        <v>26</v>
      </c>
      <c r="E782" s="10" t="n">
        <v>1789</v>
      </c>
      <c r="F782" s="9" t="s">
        <v>27</v>
      </c>
      <c r="G782" s="9" t="s">
        <v>27</v>
      </c>
      <c r="H782" s="11" t="n">
        <v>21</v>
      </c>
      <c r="I782" s="11" t="s">
        <v>155</v>
      </c>
      <c r="J782" s="14" t="n">
        <v>60</v>
      </c>
      <c r="K782" s="14"/>
      <c r="L782" s="16"/>
      <c r="M782" s="27" t="n">
        <f aca="false">J782+(K782/20)+(L782/240)</f>
        <v>60</v>
      </c>
      <c r="N782" s="17" t="s">
        <v>66</v>
      </c>
      <c r="O782" s="11"/>
      <c r="P782" s="28"/>
      <c r="Q782" s="28" t="n">
        <f aca="false">P782*$M782</f>
        <v>0</v>
      </c>
      <c r="R782" s="28"/>
      <c r="S782" s="28" t="n">
        <f aca="false">R782*$M782</f>
        <v>0</v>
      </c>
      <c r="T782" s="28"/>
      <c r="U782" s="28" t="n">
        <f aca="false">T782*$M782</f>
        <v>0</v>
      </c>
      <c r="V782" s="28" t="n">
        <v>10</v>
      </c>
      <c r="W782" s="28" t="n">
        <v>600</v>
      </c>
      <c r="X782" s="28"/>
      <c r="Y782" s="28" t="n">
        <f aca="false">X782*$M782</f>
        <v>0</v>
      </c>
      <c r="Z782" s="28"/>
      <c r="AA782" s="28" t="n">
        <f aca="false">Z782*$M782</f>
        <v>0</v>
      </c>
      <c r="AB782" s="28"/>
      <c r="AC782" s="28" t="n">
        <f aca="false">AB782*$M782</f>
        <v>0</v>
      </c>
      <c r="AD782" s="28"/>
      <c r="AE782" s="28" t="n">
        <f aca="false">AD782*$M782</f>
        <v>0</v>
      </c>
      <c r="AF782" s="28"/>
      <c r="AG782" s="28" t="n">
        <f aca="false">AF782*$M782</f>
        <v>0</v>
      </c>
      <c r="AH782" s="28"/>
      <c r="AI782" s="28" t="n">
        <f aca="false">AH782*$M782</f>
        <v>0</v>
      </c>
      <c r="AJ782" s="28"/>
      <c r="AK782" s="28" t="n">
        <f aca="false">AJ782*$M782</f>
        <v>0</v>
      </c>
      <c r="AL782" s="28"/>
      <c r="AM782" s="28" t="n">
        <f aca="false">AL782*$M782</f>
        <v>0</v>
      </c>
      <c r="AN782" s="28"/>
      <c r="AO782" s="28" t="n">
        <f aca="false">AN782*$M782</f>
        <v>0</v>
      </c>
      <c r="AP782" s="28"/>
      <c r="AQ782" s="28" t="n">
        <f aca="false">AP782*$M782</f>
        <v>0</v>
      </c>
      <c r="AR782" s="28"/>
      <c r="AS782" s="28" t="n">
        <f aca="false">AR782*$M782</f>
        <v>0</v>
      </c>
      <c r="AT782" s="28"/>
      <c r="AU782" s="28" t="n">
        <f aca="false">AT782*$M782</f>
        <v>0</v>
      </c>
      <c r="AV782" s="28"/>
      <c r="AW782" s="28" t="n">
        <f aca="false">AV782*$M782</f>
        <v>0</v>
      </c>
      <c r="AX782" s="28"/>
      <c r="AY782" s="28" t="n">
        <f aca="false">AX782*$M782</f>
        <v>0</v>
      </c>
      <c r="AZ782" s="30" t="n">
        <v>10</v>
      </c>
      <c r="BA782" s="11" t="n">
        <v>600</v>
      </c>
      <c r="BB782" s="31" t="n">
        <f aca="false">SUM(Q782,S782,U782,W782,Y782,AA782,AC782,AE782,AG782,AI782,AK782,AM782,AO782,AQ782,AS782,AU782,AW782,AY782)</f>
        <v>600</v>
      </c>
      <c r="BC782" s="28" t="n">
        <f aca="false">BA782-BB782</f>
        <v>0</v>
      </c>
      <c r="BD782" s="32" t="n">
        <f aca="false">SUM(P782,R782,T782,V782,X782,Z782,AB782,AD782,AF782,AH782,AJ782,AL782,AN782,AP782,AR782,AT782,AV782,AX782)</f>
        <v>10</v>
      </c>
      <c r="BE782" s="33" t="n">
        <f aca="false">AZ782-BD782</f>
        <v>0</v>
      </c>
      <c r="BF782" s="34" t="n">
        <f aca="false">BD782*M782</f>
        <v>600</v>
      </c>
      <c r="BG782" s="35" t="n">
        <f aca="false">BA782-BF782</f>
        <v>0</v>
      </c>
      <c r="BH782" s="19" t="str">
        <f aca="false">IF(BG782=0,"",IF(BG782&lt;&gt;BA782,"erreur de calcul",IF(BD782&lt;&gt;0,"pas de prix",IF(M782&lt;&gt; 0,"pas de quantité","pas de prix, ni de quantité"))))</f>
        <v/>
      </c>
      <c r="BI782" s="19"/>
    </row>
    <row r="783" customFormat="false" ht="15" hidden="false" customHeight="false" outlineLevel="0" collapsed="false">
      <c r="A783" s="0" t="n">
        <v>2</v>
      </c>
      <c r="B783" s="8" t="s">
        <v>24</v>
      </c>
      <c r="C783" s="9" t="s">
        <v>25</v>
      </c>
      <c r="D783" s="9" t="s">
        <v>26</v>
      </c>
      <c r="E783" s="10" t="n">
        <v>1789</v>
      </c>
      <c r="F783" s="9" t="s">
        <v>27</v>
      </c>
      <c r="G783" s="9" t="s">
        <v>27</v>
      </c>
      <c r="H783" s="11" t="n">
        <v>21</v>
      </c>
      <c r="I783" s="11" t="s">
        <v>156</v>
      </c>
      <c r="J783" s="14"/>
      <c r="K783" s="14"/>
      <c r="L783" s="16"/>
      <c r="M783" s="27" t="n">
        <f aca="false">J783+(K783/20)+(L783/240)</f>
        <v>0</v>
      </c>
      <c r="N783" s="17"/>
      <c r="O783" s="11"/>
      <c r="P783" s="28"/>
      <c r="Q783" s="28" t="n">
        <v>304</v>
      </c>
      <c r="R783" s="28"/>
      <c r="S783" s="28" t="n">
        <f aca="false">R783*$M783</f>
        <v>0</v>
      </c>
      <c r="T783" s="28"/>
      <c r="U783" s="28" t="n">
        <f aca="false">T783*$M783</f>
        <v>0</v>
      </c>
      <c r="V783" s="28"/>
      <c r="W783" s="28" t="n">
        <f aca="false">V783*$M783</f>
        <v>0</v>
      </c>
      <c r="X783" s="28"/>
      <c r="Y783" s="28" t="n">
        <v>270</v>
      </c>
      <c r="Z783" s="28"/>
      <c r="AA783" s="28" t="n">
        <f aca="false">Z783*$M783</f>
        <v>0</v>
      </c>
      <c r="AB783" s="28"/>
      <c r="AC783" s="28" t="n">
        <f aca="false">AB783*$M783</f>
        <v>0</v>
      </c>
      <c r="AD783" s="28"/>
      <c r="AE783" s="28" t="n">
        <v>175</v>
      </c>
      <c r="AF783" s="28"/>
      <c r="AG783" s="28" t="n">
        <f aca="false">AF783*$M783</f>
        <v>0</v>
      </c>
      <c r="AH783" s="28"/>
      <c r="AI783" s="28" t="n">
        <f aca="false">AH783*$M783</f>
        <v>0</v>
      </c>
      <c r="AJ783" s="28"/>
      <c r="AK783" s="28" t="n">
        <v>240</v>
      </c>
      <c r="AL783" s="28"/>
      <c r="AM783" s="28" t="n">
        <v>808</v>
      </c>
      <c r="AN783" s="28"/>
      <c r="AO783" s="28" t="n">
        <f aca="false">AN783*$M783</f>
        <v>0</v>
      </c>
      <c r="AP783" s="28"/>
      <c r="AQ783" s="28" t="n">
        <f aca="false">AP783*$M783</f>
        <v>0</v>
      </c>
      <c r="AR783" s="28"/>
      <c r="AS783" s="28" t="n">
        <f aca="false">AR783*$M783</f>
        <v>0</v>
      </c>
      <c r="AT783" s="28"/>
      <c r="AU783" s="28" t="n">
        <f aca="false">AT783*$M783</f>
        <v>0</v>
      </c>
      <c r="AV783" s="28"/>
      <c r="AW783" s="28" t="n">
        <f aca="false">AV783*$M783</f>
        <v>0</v>
      </c>
      <c r="AX783" s="28"/>
      <c r="AY783" s="28" t="n">
        <f aca="false">AX783*$M783</f>
        <v>0</v>
      </c>
      <c r="AZ783" s="30"/>
      <c r="BA783" s="11" t="n">
        <v>1797</v>
      </c>
      <c r="BB783" s="31" t="n">
        <f aca="false">SUM(Q783,S783,U783,W783,Y783,AA783,AC783,AE783,AG783,AI783,AK783,AM783,AO783,AQ783,AS783,AU783,AW783,AY783)</f>
        <v>1797</v>
      </c>
      <c r="BC783" s="28" t="n">
        <f aca="false">BA783-BB783</f>
        <v>0</v>
      </c>
      <c r="BD783" s="32" t="n">
        <f aca="false">SUM(P783,R783,T783,V783,X783,Z783,AB783,AD783,AF783,AH783,AJ783,AL783,AN783,AP783,AR783,AT783,AV783,AX783)</f>
        <v>0</v>
      </c>
      <c r="BE783" s="33" t="n">
        <f aca="false">AZ783-BD783</f>
        <v>0</v>
      </c>
      <c r="BF783" s="34" t="n">
        <f aca="false">BD783*M783</f>
        <v>0</v>
      </c>
      <c r="BG783" s="35" t="n">
        <f aca="false">BA783-BF783</f>
        <v>1797</v>
      </c>
      <c r="BH783" s="19" t="str">
        <f aca="false">IF(BG783=0,"",IF(BG783&lt;&gt;BA783,"erreur de calcul",IF(BD783&lt;&gt;0,"pas de prix",IF(M783&lt;&gt; 0,"pas de quantité","pas de prix, ni de quantité"))))</f>
        <v>pas de prix, ni de quantité</v>
      </c>
      <c r="BI783" s="19"/>
    </row>
    <row r="784" customFormat="false" ht="15" hidden="false" customHeight="false" outlineLevel="0" collapsed="false">
      <c r="A784" s="0" t="n">
        <v>3</v>
      </c>
      <c r="B784" s="8" t="s">
        <v>24</v>
      </c>
      <c r="C784" s="9" t="s">
        <v>25</v>
      </c>
      <c r="D784" s="9" t="s">
        <v>26</v>
      </c>
      <c r="E784" s="10" t="n">
        <v>1789</v>
      </c>
      <c r="F784" s="9" t="s">
        <v>27</v>
      </c>
      <c r="G784" s="9" t="s">
        <v>27</v>
      </c>
      <c r="H784" s="11" t="n">
        <v>21</v>
      </c>
      <c r="I784" s="11" t="s">
        <v>156</v>
      </c>
      <c r="J784" s="14" t="n">
        <v>175</v>
      </c>
      <c r="K784" s="14"/>
      <c r="L784" s="16"/>
      <c r="M784" s="27" t="n">
        <f aca="false">J784+(K784/20)+(L784/240)</f>
        <v>175</v>
      </c>
      <c r="N784" s="17" t="s">
        <v>64</v>
      </c>
      <c r="O784" s="11" t="s">
        <v>98</v>
      </c>
      <c r="P784" s="28" t="n">
        <f aca="false">3429/100</f>
        <v>34.29</v>
      </c>
      <c r="Q784" s="28" t="n">
        <v>6001</v>
      </c>
      <c r="R784" s="28"/>
      <c r="S784" s="28" t="n">
        <f aca="false">R784*$M784</f>
        <v>0</v>
      </c>
      <c r="T784" s="28" t="n">
        <f aca="false">5135/100</f>
        <v>51.35</v>
      </c>
      <c r="U784" s="28" t="n">
        <v>8986</v>
      </c>
      <c r="V784" s="28" t="n">
        <f aca="false">33716/100</f>
        <v>337.16</v>
      </c>
      <c r="W784" s="28" t="n">
        <v>59003</v>
      </c>
      <c r="X784" s="28" t="n">
        <f aca="false">14982/100</f>
        <v>149.82</v>
      </c>
      <c r="Y784" s="28" t="n">
        <v>26218</v>
      </c>
      <c r="Z784" s="28"/>
      <c r="AA784" s="28" t="n">
        <f aca="false">Z784*$M784</f>
        <v>0</v>
      </c>
      <c r="AB784" s="28"/>
      <c r="AC784" s="28" t="n">
        <f aca="false">AB784*$M784</f>
        <v>0</v>
      </c>
      <c r="AD784" s="28"/>
      <c r="AE784" s="28" t="n">
        <f aca="false">AD784*$M784</f>
        <v>0</v>
      </c>
      <c r="AF784" s="28" t="n">
        <f aca="false">439/100</f>
        <v>4.39</v>
      </c>
      <c r="AG784" s="28" t="n">
        <v>768</v>
      </c>
      <c r="AH784" s="28" t="n">
        <f aca="false">163722/100</f>
        <v>1637.22</v>
      </c>
      <c r="AI784" s="28" t="n">
        <v>286513</v>
      </c>
      <c r="AJ784" s="28" t="n">
        <f aca="false">17649/100</f>
        <v>176.49</v>
      </c>
      <c r="AK784" s="28" t="n">
        <v>30886</v>
      </c>
      <c r="AL784" s="28" t="n">
        <f aca="false">6852/100</f>
        <v>68.52</v>
      </c>
      <c r="AM784" s="28" t="n">
        <v>11991</v>
      </c>
      <c r="AN784" s="28"/>
      <c r="AO784" s="28" t="n">
        <f aca="false">AN784*$M784</f>
        <v>0</v>
      </c>
      <c r="AP784" s="28"/>
      <c r="AQ784" s="28" t="n">
        <f aca="false">AP784*$M784</f>
        <v>0</v>
      </c>
      <c r="AR784" s="28"/>
      <c r="AS784" s="28" t="n">
        <f aca="false">AR784*$M784</f>
        <v>0</v>
      </c>
      <c r="AT784" s="28"/>
      <c r="AU784" s="28" t="n">
        <f aca="false">AT784*$M784</f>
        <v>0</v>
      </c>
      <c r="AV784" s="28"/>
      <c r="AW784" s="28" t="n">
        <f aca="false">AV784*$M784</f>
        <v>0</v>
      </c>
      <c r="AX784" s="28"/>
      <c r="AY784" s="28" t="n">
        <f aca="false">AX784*$M784</f>
        <v>0</v>
      </c>
      <c r="AZ784" s="30" t="n">
        <f aca="false">245924/100</f>
        <v>2459.24</v>
      </c>
      <c r="BA784" s="11" t="n">
        <v>430366</v>
      </c>
      <c r="BB784" s="31" t="n">
        <f aca="false">SUM(Q784,S784,U784,W784,Y784,AA784,AC784,AE784,AG784,AI784,AK784,AM784,AO784,AQ784,AS784,AU784,AW784,AY784)</f>
        <v>430366</v>
      </c>
      <c r="BC784" s="28" t="n">
        <f aca="false">BA784-BB784</f>
        <v>0</v>
      </c>
      <c r="BD784" s="32" t="n">
        <f aca="false">SUM(P784,R784,T784,V784,X784,Z784,AB784,AD784,AF784,AH784,AJ784,AL784,AN784,AP784,AR784,AT784,AV784,AX784)</f>
        <v>2459.24</v>
      </c>
      <c r="BE784" s="33" t="n">
        <f aca="false">AZ784-BD784</f>
        <v>0</v>
      </c>
      <c r="BF784" s="34" t="n">
        <f aca="false">BD784*M784</f>
        <v>430367</v>
      </c>
      <c r="BG784" s="35" t="n">
        <f aca="false">BA784-BF784</f>
        <v>-0.999999999941792</v>
      </c>
      <c r="BH784" s="19" t="str">
        <f aca="false">IF(BG784=0,"",IF(BG784&lt;&gt;BA784,"erreur de calcul",IF(BD784&lt;&gt;0,"pas de prix",IF(M784&lt;&gt; 0,"pas de quantité","pas de prix, ni de quantité"))))</f>
        <v>erreur de calcul</v>
      </c>
      <c r="BI784" s="19"/>
    </row>
    <row r="785" customFormat="false" ht="15" hidden="false" customHeight="false" outlineLevel="0" collapsed="false">
      <c r="A785" s="0" t="n">
        <v>4</v>
      </c>
      <c r="B785" s="8" t="s">
        <v>24</v>
      </c>
      <c r="C785" s="9" t="s">
        <v>25</v>
      </c>
      <c r="D785" s="9" t="s">
        <v>26</v>
      </c>
      <c r="E785" s="10" t="n">
        <v>1789</v>
      </c>
      <c r="F785" s="9" t="s">
        <v>27</v>
      </c>
      <c r="G785" s="9" t="s">
        <v>27</v>
      </c>
      <c r="H785" s="11" t="n">
        <v>21</v>
      </c>
      <c r="I785" s="11" t="s">
        <v>157</v>
      </c>
      <c r="J785" s="14" t="n">
        <v>240</v>
      </c>
      <c r="K785" s="14"/>
      <c r="L785" s="16"/>
      <c r="M785" s="27" t="n">
        <f aca="false">J785+(K785/20)+(L785/240)</f>
        <v>240</v>
      </c>
      <c r="N785" s="17" t="s">
        <v>64</v>
      </c>
      <c r="O785" s="11"/>
      <c r="P785" s="28"/>
      <c r="Q785" s="28" t="n">
        <f aca="false">P785*$M785</f>
        <v>0</v>
      </c>
      <c r="R785" s="28"/>
      <c r="S785" s="28" t="n">
        <f aca="false">R785*$M785</f>
        <v>0</v>
      </c>
      <c r="T785" s="28"/>
      <c r="U785" s="28" t="n">
        <f aca="false">T785*$M785</f>
        <v>0</v>
      </c>
      <c r="V785" s="28"/>
      <c r="W785" s="28" t="n">
        <f aca="false">V785*$M785</f>
        <v>0</v>
      </c>
      <c r="X785" s="28"/>
      <c r="Y785" s="28" t="n">
        <f aca="false">X785*$M785</f>
        <v>0</v>
      </c>
      <c r="Z785" s="28"/>
      <c r="AA785" s="28" t="n">
        <f aca="false">Z785*$M785</f>
        <v>0</v>
      </c>
      <c r="AB785" s="28"/>
      <c r="AC785" s="28" t="n">
        <f aca="false">AB785*$M785</f>
        <v>0</v>
      </c>
      <c r="AD785" s="28"/>
      <c r="AE785" s="28" t="n">
        <f aca="false">AD785*$M785</f>
        <v>0</v>
      </c>
      <c r="AF785" s="28"/>
      <c r="AG785" s="28" t="n">
        <f aca="false">AF785*$M785</f>
        <v>0</v>
      </c>
      <c r="AH785" s="28"/>
      <c r="AI785" s="28" t="n">
        <f aca="false">AH785*$M785</f>
        <v>0</v>
      </c>
      <c r="AJ785" s="28" t="n">
        <f aca="false">290/100</f>
        <v>2.9</v>
      </c>
      <c r="AK785" s="36" t="n">
        <v>2208</v>
      </c>
      <c r="AL785" s="28"/>
      <c r="AM785" s="28" t="n">
        <f aca="false">AL785*$M785</f>
        <v>0</v>
      </c>
      <c r="AN785" s="28"/>
      <c r="AO785" s="28" t="n">
        <f aca="false">AN785*$M785</f>
        <v>0</v>
      </c>
      <c r="AP785" s="28"/>
      <c r="AQ785" s="28" t="n">
        <f aca="false">AP785*$M785</f>
        <v>0</v>
      </c>
      <c r="AR785" s="28"/>
      <c r="AS785" s="28" t="n">
        <f aca="false">AR785*$M785</f>
        <v>0</v>
      </c>
      <c r="AT785" s="28"/>
      <c r="AU785" s="28" t="n">
        <f aca="false">AT785*$M785</f>
        <v>0</v>
      </c>
      <c r="AV785" s="28"/>
      <c r="AW785" s="28" t="n">
        <f aca="false">AV785*$M785</f>
        <v>0</v>
      </c>
      <c r="AX785" s="28"/>
      <c r="AY785" s="28" t="n">
        <f aca="false">AX785*$M785</f>
        <v>0</v>
      </c>
      <c r="AZ785" s="30" t="n">
        <f aca="false">290/100</f>
        <v>2.9</v>
      </c>
      <c r="BA785" s="11" t="n">
        <v>2208</v>
      </c>
      <c r="BB785" s="31" t="n">
        <f aca="false">SUM(Q785,S785,U785,W785,Y785,AA785,AC785,AE785,AG785,AI785,AK785,AM785,AO785,AQ785,AS785,AU785,AW785,AY785)</f>
        <v>2208</v>
      </c>
      <c r="BC785" s="28" t="n">
        <f aca="false">BA785-BB785</f>
        <v>0</v>
      </c>
      <c r="BD785" s="32" t="n">
        <f aca="false">SUM(P785,R785,T785,V785,X785,Z785,AB785,AD785,AF785,AH785,AJ785,AL785,AN785,AP785,AR785,AT785,AV785,AX785)</f>
        <v>2.9</v>
      </c>
      <c r="BE785" s="33" t="n">
        <f aca="false">AZ785-BD785</f>
        <v>0</v>
      </c>
      <c r="BF785" s="34" t="n">
        <f aca="false">BD785*M785</f>
        <v>696</v>
      </c>
      <c r="BG785" s="35" t="n">
        <f aca="false">BA785-BF785</f>
        <v>1512</v>
      </c>
      <c r="BH785" s="19" t="str">
        <f aca="false">IF(BG785=0,"",IF(BG785&lt;&gt;BA785,"erreur de calcul",IF(BD785&lt;&gt;0,"pas de prix",IF(M785&lt;&gt; 0,"pas de quantité","pas de prix, ni de quantité"))))</f>
        <v>erreur de calcul</v>
      </c>
      <c r="BI785" s="19"/>
    </row>
    <row r="786" customFormat="false" ht="15" hidden="false" customHeight="false" outlineLevel="0" collapsed="false">
      <c r="A786" s="0" t="n">
        <v>5</v>
      </c>
      <c r="B786" s="8" t="s">
        <v>24</v>
      </c>
      <c r="C786" s="9" t="s">
        <v>25</v>
      </c>
      <c r="D786" s="9" t="s">
        <v>26</v>
      </c>
      <c r="E786" s="10" t="n">
        <v>1789</v>
      </c>
      <c r="F786" s="9" t="s">
        <v>27</v>
      </c>
      <c r="G786" s="9" t="s">
        <v>27</v>
      </c>
      <c r="H786" s="11" t="n">
        <v>21</v>
      </c>
      <c r="I786" s="11" t="s">
        <v>158</v>
      </c>
      <c r="J786" s="14" t="n">
        <v>115</v>
      </c>
      <c r="K786" s="14"/>
      <c r="L786" s="16"/>
      <c r="M786" s="27" t="n">
        <f aca="false">J786+(K786/20)+(L786/240)</f>
        <v>115</v>
      </c>
      <c r="N786" s="17" t="s">
        <v>64</v>
      </c>
      <c r="O786" s="11"/>
      <c r="P786" s="28"/>
      <c r="Q786" s="28" t="n">
        <f aca="false">P786*$M786</f>
        <v>0</v>
      </c>
      <c r="R786" s="28"/>
      <c r="S786" s="28" t="n">
        <f aca="false">R786*$M786</f>
        <v>0</v>
      </c>
      <c r="T786" s="28"/>
      <c r="U786" s="28" t="n">
        <f aca="false">T786*$M786</f>
        <v>0</v>
      </c>
      <c r="V786" s="28"/>
      <c r="W786" s="28" t="n">
        <f aca="false">V786*$M786</f>
        <v>0</v>
      </c>
      <c r="X786" s="28"/>
      <c r="Y786" s="28" t="n">
        <f aca="false">X786*$M786</f>
        <v>0</v>
      </c>
      <c r="Z786" s="28"/>
      <c r="AA786" s="28" t="n">
        <f aca="false">Z786*$M786</f>
        <v>0</v>
      </c>
      <c r="AB786" s="28"/>
      <c r="AC786" s="28" t="n">
        <f aca="false">AB786*$M786</f>
        <v>0</v>
      </c>
      <c r="AD786" s="28"/>
      <c r="AE786" s="28" t="n">
        <f aca="false">AD786*$M786</f>
        <v>0</v>
      </c>
      <c r="AF786" s="28"/>
      <c r="AG786" s="28" t="n">
        <f aca="false">AF786*$M786</f>
        <v>0</v>
      </c>
      <c r="AH786" s="28" t="n">
        <f aca="false">491552/100</f>
        <v>4915.52</v>
      </c>
      <c r="AI786" s="28" t="n">
        <v>565285</v>
      </c>
      <c r="AJ786" s="28"/>
      <c r="AK786" s="28" t="n">
        <f aca="false">AJ786*$M786</f>
        <v>0</v>
      </c>
      <c r="AL786" s="28"/>
      <c r="AM786" s="28" t="n">
        <f aca="false">AL786*$M786</f>
        <v>0</v>
      </c>
      <c r="AN786" s="28"/>
      <c r="AO786" s="28" t="n">
        <f aca="false">AN786*$M786</f>
        <v>0</v>
      </c>
      <c r="AP786" s="28"/>
      <c r="AQ786" s="28" t="n">
        <f aca="false">AP786*$M786</f>
        <v>0</v>
      </c>
      <c r="AR786" s="28"/>
      <c r="AS786" s="28" t="n">
        <f aca="false">AR786*$M786</f>
        <v>0</v>
      </c>
      <c r="AT786" s="28"/>
      <c r="AU786" s="28" t="n">
        <f aca="false">AT786*$M786</f>
        <v>0</v>
      </c>
      <c r="AV786" s="28"/>
      <c r="AW786" s="28" t="n">
        <f aca="false">AV786*$M786</f>
        <v>0</v>
      </c>
      <c r="AX786" s="28"/>
      <c r="AY786" s="28" t="n">
        <f aca="false">AX786*$M786</f>
        <v>0</v>
      </c>
      <c r="AZ786" s="30" t="n">
        <f aca="false">491552/100</f>
        <v>4915.52</v>
      </c>
      <c r="BA786" s="11" t="n">
        <v>565285</v>
      </c>
      <c r="BB786" s="31" t="n">
        <f aca="false">SUM(Q786,S786,U786,W786,Y786,AA786,AC786,AE786,AG786,AI786,AK786,AM786,AO786,AQ786,AS786,AU786,AW786,AY786)</f>
        <v>565285</v>
      </c>
      <c r="BC786" s="28" t="n">
        <f aca="false">BA786-BB786</f>
        <v>0</v>
      </c>
      <c r="BD786" s="32" t="n">
        <f aca="false">SUM(P786,R786,T786,V786,X786,Z786,AB786,AD786,AF786,AH786,AJ786,AL786,AN786,AP786,AR786,AT786,AV786,AX786)</f>
        <v>4915.52</v>
      </c>
      <c r="BE786" s="33" t="n">
        <f aca="false">AZ786-BD786</f>
        <v>0</v>
      </c>
      <c r="BF786" s="34" t="n">
        <f aca="false">BD786*M786</f>
        <v>565284.8</v>
      </c>
      <c r="BG786" s="35" t="n">
        <f aca="false">BA786-BF786</f>
        <v>0.199999999953434</v>
      </c>
      <c r="BH786" s="19" t="str">
        <f aca="false">IF(BG786=0,"",IF(BG786&lt;&gt;BA786,"erreur de calcul",IF(BD786&lt;&gt;0,"pas de prix",IF(M786&lt;&gt; 0,"pas de quantité","pas de prix, ni de quantité"))))</f>
        <v>erreur de calcul</v>
      </c>
      <c r="BI786" s="19"/>
    </row>
    <row r="787" customFormat="false" ht="15" hidden="false" customHeight="false" outlineLevel="0" collapsed="false">
      <c r="A787" s="0" t="n">
        <v>6</v>
      </c>
      <c r="B787" s="8" t="s">
        <v>24</v>
      </c>
      <c r="C787" s="9" t="s">
        <v>25</v>
      </c>
      <c r="D787" s="9" t="s">
        <v>26</v>
      </c>
      <c r="E787" s="10" t="n">
        <v>1789</v>
      </c>
      <c r="F787" s="9" t="s">
        <v>27</v>
      </c>
      <c r="G787" s="9" t="s">
        <v>27</v>
      </c>
      <c r="H787" s="11" t="n">
        <v>21</v>
      </c>
      <c r="I787" s="11" t="s">
        <v>159</v>
      </c>
      <c r="J787" s="14" t="n">
        <v>240</v>
      </c>
      <c r="K787" s="14"/>
      <c r="L787" s="16"/>
      <c r="M787" s="27" t="n">
        <f aca="false">J787+(K787/20)+(L787/240)</f>
        <v>240</v>
      </c>
      <c r="N787" s="17" t="s">
        <v>64</v>
      </c>
      <c r="O787" s="11"/>
      <c r="P787" s="28"/>
      <c r="Q787" s="28" t="n">
        <f aca="false">P787*$M787</f>
        <v>0</v>
      </c>
      <c r="R787" s="28"/>
      <c r="S787" s="28" t="n">
        <f aca="false">R787*$M787</f>
        <v>0</v>
      </c>
      <c r="T787" s="28"/>
      <c r="U787" s="28" t="n">
        <f aca="false">T787*$M787</f>
        <v>0</v>
      </c>
      <c r="V787" s="28"/>
      <c r="W787" s="28" t="n">
        <f aca="false">V787*$M787</f>
        <v>0</v>
      </c>
      <c r="X787" s="28"/>
      <c r="Y787" s="28" t="n">
        <f aca="false">X787*$M787</f>
        <v>0</v>
      </c>
      <c r="Z787" s="28"/>
      <c r="AA787" s="28" t="n">
        <f aca="false">Z787*$M787</f>
        <v>0</v>
      </c>
      <c r="AB787" s="28"/>
      <c r="AC787" s="28" t="n">
        <f aca="false">AB787*$M787</f>
        <v>0</v>
      </c>
      <c r="AD787" s="28"/>
      <c r="AE787" s="28" t="n">
        <f aca="false">AD787*$M787</f>
        <v>0</v>
      </c>
      <c r="AF787" s="28"/>
      <c r="AG787" s="28" t="n">
        <f aca="false">AF787*$M787</f>
        <v>0</v>
      </c>
      <c r="AH787" s="28" t="n">
        <f aca="false">46293/100</f>
        <v>462.93</v>
      </c>
      <c r="AI787" s="28" t="n">
        <v>111103</v>
      </c>
      <c r="AJ787" s="28"/>
      <c r="AK787" s="28" t="n">
        <f aca="false">AJ787*$M787</f>
        <v>0</v>
      </c>
      <c r="AL787" s="28"/>
      <c r="AM787" s="28" t="n">
        <f aca="false">AL787*$M787</f>
        <v>0</v>
      </c>
      <c r="AN787" s="28"/>
      <c r="AO787" s="28" t="n">
        <f aca="false">AN787*$M787</f>
        <v>0</v>
      </c>
      <c r="AP787" s="28"/>
      <c r="AQ787" s="28" t="n">
        <f aca="false">AP787*$M787</f>
        <v>0</v>
      </c>
      <c r="AR787" s="28"/>
      <c r="AS787" s="28" t="n">
        <f aca="false">AR787*$M787</f>
        <v>0</v>
      </c>
      <c r="AT787" s="28"/>
      <c r="AU787" s="28" t="n">
        <f aca="false">AT787*$M787</f>
        <v>0</v>
      </c>
      <c r="AV787" s="28"/>
      <c r="AW787" s="28" t="n">
        <f aca="false">AV787*$M787</f>
        <v>0</v>
      </c>
      <c r="AX787" s="28"/>
      <c r="AY787" s="28" t="n">
        <f aca="false">AX787*$M787</f>
        <v>0</v>
      </c>
      <c r="AZ787" s="30" t="n">
        <f aca="false">46293/100</f>
        <v>462.93</v>
      </c>
      <c r="BA787" s="11" t="n">
        <v>111103</v>
      </c>
      <c r="BB787" s="31" t="n">
        <f aca="false">SUM(Q787,S787,U787,W787,Y787,AA787,AC787,AE787,AG787,AI787,AK787,AM787,AO787,AQ787,AS787,AU787,AW787,AY787)</f>
        <v>111103</v>
      </c>
      <c r="BC787" s="28" t="n">
        <f aca="false">BA787-BB787</f>
        <v>0</v>
      </c>
      <c r="BD787" s="32" t="n">
        <f aca="false">SUM(P787,R787,T787,V787,X787,Z787,AB787,AD787,AF787,AH787,AJ787,AL787,AN787,AP787,AR787,AT787,AV787,AX787)</f>
        <v>462.93</v>
      </c>
      <c r="BE787" s="33" t="n">
        <f aca="false">AZ787-BD787</f>
        <v>0</v>
      </c>
      <c r="BF787" s="34" t="n">
        <f aca="false">BD787*M787</f>
        <v>111103.2</v>
      </c>
      <c r="BG787" s="35" t="n">
        <f aca="false">BA787-BF787</f>
        <v>-0.19999999999709</v>
      </c>
      <c r="BH787" s="19" t="str">
        <f aca="false">IF(BG787=0,"",IF(BG787&lt;&gt;BA787,"erreur de calcul",IF(BD787&lt;&gt;0,"pas de prix",IF(M787&lt;&gt; 0,"pas de quantité","pas de prix, ni de quantité"))))</f>
        <v>erreur de calcul</v>
      </c>
      <c r="BI787" s="19"/>
    </row>
    <row r="788" customFormat="false" ht="15" hidden="false" customHeight="false" outlineLevel="0" collapsed="false">
      <c r="A788" s="0" t="n">
        <v>7</v>
      </c>
      <c r="B788" s="8" t="s">
        <v>24</v>
      </c>
      <c r="C788" s="9" t="s">
        <v>25</v>
      </c>
      <c r="D788" s="9" t="s">
        <v>26</v>
      </c>
      <c r="E788" s="10" t="n">
        <v>1789</v>
      </c>
      <c r="F788" s="9" t="s">
        <v>27</v>
      </c>
      <c r="G788" s="9" t="s">
        <v>27</v>
      </c>
      <c r="H788" s="11" t="n">
        <v>21</v>
      </c>
      <c r="I788" s="11" t="s">
        <v>160</v>
      </c>
      <c r="J788" s="14" t="n">
        <v>70</v>
      </c>
      <c r="K788" s="14"/>
      <c r="L788" s="16"/>
      <c r="M788" s="27" t="n">
        <f aca="false">J788+(K788/20)+(L788/240)</f>
        <v>70</v>
      </c>
      <c r="N788" s="17" t="s">
        <v>64</v>
      </c>
      <c r="O788" s="11"/>
      <c r="P788" s="28"/>
      <c r="Q788" s="28" t="n">
        <f aca="false">P788*$M788</f>
        <v>0</v>
      </c>
      <c r="R788" s="28"/>
      <c r="S788" s="28" t="n">
        <f aca="false">R788*$M788</f>
        <v>0</v>
      </c>
      <c r="T788" s="28"/>
      <c r="U788" s="28" t="n">
        <f aca="false">T788*$M788</f>
        <v>0</v>
      </c>
      <c r="V788" s="28"/>
      <c r="W788" s="28" t="n">
        <f aca="false">V788*$M788</f>
        <v>0</v>
      </c>
      <c r="X788" s="28"/>
      <c r="Y788" s="28" t="n">
        <f aca="false">X788*$M788</f>
        <v>0</v>
      </c>
      <c r="Z788" s="28"/>
      <c r="AA788" s="28" t="n">
        <f aca="false">Z788*$M788</f>
        <v>0</v>
      </c>
      <c r="AB788" s="28"/>
      <c r="AC788" s="28" t="n">
        <f aca="false">AB788*$M788</f>
        <v>0</v>
      </c>
      <c r="AD788" s="28"/>
      <c r="AE788" s="28" t="n">
        <f aca="false">AD788*$M788</f>
        <v>0</v>
      </c>
      <c r="AF788" s="28" t="n">
        <f aca="false">125849/100</f>
        <v>1258.49</v>
      </c>
      <c r="AG788" s="28" t="n">
        <v>88094</v>
      </c>
      <c r="AH788" s="28"/>
      <c r="AI788" s="28" t="n">
        <f aca="false">AH788*$M788</f>
        <v>0</v>
      </c>
      <c r="AJ788" s="28"/>
      <c r="AK788" s="28" t="n">
        <f aca="false">AJ788*$M788</f>
        <v>0</v>
      </c>
      <c r="AL788" s="28"/>
      <c r="AM788" s="28" t="n">
        <f aca="false">AL788*$M788</f>
        <v>0</v>
      </c>
      <c r="AN788" s="28"/>
      <c r="AO788" s="28" t="n">
        <f aca="false">AN788*$M788</f>
        <v>0</v>
      </c>
      <c r="AP788" s="28"/>
      <c r="AQ788" s="28" t="n">
        <f aca="false">AP788*$M788</f>
        <v>0</v>
      </c>
      <c r="AR788" s="28"/>
      <c r="AS788" s="28" t="n">
        <f aca="false">AR788*$M788</f>
        <v>0</v>
      </c>
      <c r="AT788" s="28"/>
      <c r="AU788" s="28" t="n">
        <f aca="false">AT788*$M788</f>
        <v>0</v>
      </c>
      <c r="AV788" s="28"/>
      <c r="AW788" s="28" t="n">
        <f aca="false">AV788*$M788</f>
        <v>0</v>
      </c>
      <c r="AX788" s="28"/>
      <c r="AY788" s="28" t="n">
        <f aca="false">AX788*$M788</f>
        <v>0</v>
      </c>
      <c r="AZ788" s="30" t="n">
        <f aca="false">125849/100</f>
        <v>1258.49</v>
      </c>
      <c r="BA788" s="11" t="n">
        <v>88094</v>
      </c>
      <c r="BB788" s="31" t="n">
        <f aca="false">SUM(Q788,S788,U788,W788,Y788,AA788,AC788,AE788,AG788,AI788,AK788,AM788,AO788,AQ788,AS788,AU788,AW788,AY788)</f>
        <v>88094</v>
      </c>
      <c r="BC788" s="28" t="n">
        <f aca="false">BA788-BB788</f>
        <v>0</v>
      </c>
      <c r="BD788" s="32" t="n">
        <f aca="false">SUM(P788,R788,T788,V788,X788,Z788,AB788,AD788,AF788,AH788,AJ788,AL788,AN788,AP788,AR788,AT788,AV788,AX788)</f>
        <v>1258.49</v>
      </c>
      <c r="BE788" s="33" t="n">
        <f aca="false">AZ788-BD788</f>
        <v>0</v>
      </c>
      <c r="BF788" s="34" t="n">
        <f aca="false">BD788*M788</f>
        <v>88094.3</v>
      </c>
      <c r="BG788" s="35" t="n">
        <f aca="false">BA788-BF788</f>
        <v>-0.30000000000291</v>
      </c>
      <c r="BH788" s="19" t="str">
        <f aca="false">IF(BG788=0,"",IF(BG788&lt;&gt;BA788,"erreur de calcul",IF(BD788&lt;&gt;0,"pas de prix",IF(M788&lt;&gt; 0,"pas de quantité","pas de prix, ni de quantité"))))</f>
        <v>erreur de calcul</v>
      </c>
      <c r="BI788" s="19"/>
    </row>
    <row r="789" customFormat="false" ht="15" hidden="false" customHeight="false" outlineLevel="0" collapsed="false">
      <c r="A789" s="0" t="n">
        <v>8</v>
      </c>
      <c r="B789" s="8" t="s">
        <v>24</v>
      </c>
      <c r="C789" s="9" t="s">
        <v>25</v>
      </c>
      <c r="D789" s="9" t="s">
        <v>26</v>
      </c>
      <c r="E789" s="10" t="n">
        <v>1789</v>
      </c>
      <c r="F789" s="9" t="s">
        <v>27</v>
      </c>
      <c r="G789" s="9" t="s">
        <v>27</v>
      </c>
      <c r="H789" s="11" t="n">
        <v>21</v>
      </c>
      <c r="I789" s="11" t="s">
        <v>161</v>
      </c>
      <c r="J789" s="14" t="n">
        <v>50</v>
      </c>
      <c r="K789" s="14"/>
      <c r="L789" s="16"/>
      <c r="M789" s="27" t="n">
        <f aca="false">J789+(K789/20)+(L789/240)</f>
        <v>50</v>
      </c>
      <c r="N789" s="17" t="s">
        <v>64</v>
      </c>
      <c r="O789" s="11"/>
      <c r="P789" s="28"/>
      <c r="Q789" s="28" t="n">
        <f aca="false">P789*$M789</f>
        <v>0</v>
      </c>
      <c r="R789" s="28"/>
      <c r="S789" s="28" t="n">
        <f aca="false">R789*$M789</f>
        <v>0</v>
      </c>
      <c r="T789" s="28"/>
      <c r="U789" s="28" t="n">
        <f aca="false">T789*$M789</f>
        <v>0</v>
      </c>
      <c r="V789" s="28" t="n">
        <f aca="false">18055/100</f>
        <v>180.55</v>
      </c>
      <c r="W789" s="28" t="n">
        <v>9027</v>
      </c>
      <c r="X789" s="28" t="n">
        <f aca="false">17880/100</f>
        <v>178.8</v>
      </c>
      <c r="Y789" s="28" t="n">
        <v>8940</v>
      </c>
      <c r="Z789" s="28"/>
      <c r="AA789" s="28" t="n">
        <f aca="false">Z789*$M789</f>
        <v>0</v>
      </c>
      <c r="AB789" s="28" t="n">
        <f aca="false">104483/100</f>
        <v>1044.83</v>
      </c>
      <c r="AC789" s="28" t="n">
        <v>52241</v>
      </c>
      <c r="AD789" s="28"/>
      <c r="AE789" s="28" t="n">
        <f aca="false">AD789*$M789</f>
        <v>0</v>
      </c>
      <c r="AF789" s="28"/>
      <c r="AG789" s="28" t="n">
        <f aca="false">AF789*$M789</f>
        <v>0</v>
      </c>
      <c r="AH789" s="28"/>
      <c r="AI789" s="28" t="n">
        <f aca="false">AH789*$M789</f>
        <v>0</v>
      </c>
      <c r="AJ789" s="28"/>
      <c r="AK789" s="28" t="n">
        <f aca="false">AJ789*$M789</f>
        <v>0</v>
      </c>
      <c r="AL789" s="28"/>
      <c r="AM789" s="28" t="n">
        <f aca="false">AL789*$M789</f>
        <v>0</v>
      </c>
      <c r="AN789" s="28"/>
      <c r="AO789" s="28" t="n">
        <f aca="false">AN789*$M789</f>
        <v>0</v>
      </c>
      <c r="AP789" s="28"/>
      <c r="AQ789" s="28" t="n">
        <f aca="false">AP789*$M789</f>
        <v>0</v>
      </c>
      <c r="AR789" s="28"/>
      <c r="AS789" s="28" t="n">
        <f aca="false">AR789*$M789</f>
        <v>0</v>
      </c>
      <c r="AT789" s="28"/>
      <c r="AU789" s="28" t="n">
        <f aca="false">AT789*$M789</f>
        <v>0</v>
      </c>
      <c r="AV789" s="28"/>
      <c r="AW789" s="28" t="n">
        <f aca="false">AV789*$M789</f>
        <v>0</v>
      </c>
      <c r="AX789" s="28"/>
      <c r="AY789" s="28" t="n">
        <f aca="false">AX789*$M789</f>
        <v>0</v>
      </c>
      <c r="AZ789" s="30" t="n">
        <f aca="false">140418/100</f>
        <v>1404.18</v>
      </c>
      <c r="BA789" s="11" t="n">
        <v>70208</v>
      </c>
      <c r="BB789" s="31" t="n">
        <f aca="false">SUM(Q789,S789,U789,W789,Y789,AA789,AC789,AE789,AG789,AI789,AK789,AM789,AO789,AQ789,AS789,AU789,AW789,AY789)</f>
        <v>70208</v>
      </c>
      <c r="BC789" s="28" t="n">
        <f aca="false">BA789-BB789</f>
        <v>0</v>
      </c>
      <c r="BD789" s="32" t="n">
        <f aca="false">SUM(P789,R789,T789,V789,X789,Z789,AB789,AD789,AF789,AH789,AJ789,AL789,AN789,AP789,AR789,AT789,AV789,AX789)</f>
        <v>1404.18</v>
      </c>
      <c r="BE789" s="33" t="n">
        <f aca="false">AZ789-BD789</f>
        <v>0</v>
      </c>
      <c r="BF789" s="34" t="n">
        <f aca="false">BD789*M789</f>
        <v>70209</v>
      </c>
      <c r="BG789" s="35" t="n">
        <f aca="false">BA789-BF789</f>
        <v>-0.999999999985448</v>
      </c>
      <c r="BH789" s="19" t="str">
        <f aca="false">IF(BG789=0,"",IF(BG789&lt;&gt;BA789,"erreur de calcul",IF(BD789&lt;&gt;0,"pas de prix",IF(M789&lt;&gt; 0,"pas de quantité","pas de prix, ni de quantité"))))</f>
        <v>erreur de calcul</v>
      </c>
      <c r="BI789" s="19"/>
    </row>
    <row r="790" customFormat="false" ht="15" hidden="false" customHeight="false" outlineLevel="0" collapsed="false">
      <c r="A790" s="0" t="n">
        <v>9</v>
      </c>
      <c r="B790" s="8" t="s">
        <v>24</v>
      </c>
      <c r="C790" s="9" t="s">
        <v>25</v>
      </c>
      <c r="D790" s="9" t="s">
        <v>26</v>
      </c>
      <c r="E790" s="10" t="n">
        <v>1789</v>
      </c>
      <c r="F790" s="9" t="s">
        <v>27</v>
      </c>
      <c r="G790" s="9" t="s">
        <v>27</v>
      </c>
      <c r="H790" s="11" t="n">
        <v>21</v>
      </c>
      <c r="I790" s="11" t="s">
        <v>162</v>
      </c>
      <c r="J790" s="14" t="n">
        <v>250</v>
      </c>
      <c r="K790" s="14"/>
      <c r="L790" s="16"/>
      <c r="M790" s="27" t="n">
        <f aca="false">J790+(K790/20)+(L790/240)</f>
        <v>250</v>
      </c>
      <c r="N790" s="17" t="s">
        <v>64</v>
      </c>
      <c r="O790" s="11"/>
      <c r="P790" s="28"/>
      <c r="Q790" s="28" t="n">
        <f aca="false">P790*$M790</f>
        <v>0</v>
      </c>
      <c r="R790" s="28"/>
      <c r="S790" s="28" t="n">
        <f aca="false">R790*$M790</f>
        <v>0</v>
      </c>
      <c r="T790" s="28"/>
      <c r="U790" s="28" t="n">
        <f aca="false">T790*$M790</f>
        <v>0</v>
      </c>
      <c r="V790" s="28"/>
      <c r="W790" s="28" t="n">
        <f aca="false">V790*$M790</f>
        <v>0</v>
      </c>
      <c r="X790" s="28"/>
      <c r="Y790" s="28" t="n">
        <f aca="false">X790*$M790</f>
        <v>0</v>
      </c>
      <c r="Z790" s="28"/>
      <c r="AA790" s="28" t="n">
        <f aca="false">Z790*$M790</f>
        <v>0</v>
      </c>
      <c r="AB790" s="28"/>
      <c r="AC790" s="28" t="n">
        <f aca="false">AB790*$M790</f>
        <v>0</v>
      </c>
      <c r="AD790" s="28"/>
      <c r="AE790" s="28" t="n">
        <f aca="false">AD790*$M790</f>
        <v>0</v>
      </c>
      <c r="AF790" s="28"/>
      <c r="AG790" s="28" t="n">
        <f aca="false">AF790*$M790</f>
        <v>0</v>
      </c>
      <c r="AH790" s="28" t="n">
        <f aca="false">2306/100</f>
        <v>23.06</v>
      </c>
      <c r="AI790" s="36" t="n">
        <v>5073</v>
      </c>
      <c r="AJ790" s="28"/>
      <c r="AK790" s="28" t="n">
        <f aca="false">AJ790*$M790</f>
        <v>0</v>
      </c>
      <c r="AL790" s="28"/>
      <c r="AM790" s="28" t="n">
        <f aca="false">AL790*$M790</f>
        <v>0</v>
      </c>
      <c r="AN790" s="28"/>
      <c r="AO790" s="28" t="n">
        <f aca="false">AN790*$M790</f>
        <v>0</v>
      </c>
      <c r="AP790" s="28"/>
      <c r="AQ790" s="28" t="n">
        <f aca="false">AP790*$M790</f>
        <v>0</v>
      </c>
      <c r="AR790" s="28"/>
      <c r="AS790" s="28" t="n">
        <f aca="false">AR790*$M790</f>
        <v>0</v>
      </c>
      <c r="AT790" s="28"/>
      <c r="AU790" s="28" t="n">
        <f aca="false">AT790*$M790</f>
        <v>0</v>
      </c>
      <c r="AV790" s="28"/>
      <c r="AW790" s="28" t="n">
        <f aca="false">AV790*$M790</f>
        <v>0</v>
      </c>
      <c r="AX790" s="28"/>
      <c r="AY790" s="28" t="n">
        <f aca="false">AX790*$M790</f>
        <v>0</v>
      </c>
      <c r="AZ790" s="30" t="n">
        <f aca="false">2306/100</f>
        <v>23.06</v>
      </c>
      <c r="BA790" s="11" t="n">
        <v>5073</v>
      </c>
      <c r="BB790" s="31" t="n">
        <f aca="false">SUM(Q790,S790,U790,W790,Y790,AA790,AC790,AE790,AG790,AI790,AK790,AM790,AO790,AQ790,AS790,AU790,AW790,AY790)</f>
        <v>5073</v>
      </c>
      <c r="BC790" s="28" t="n">
        <f aca="false">BA790-BB790</f>
        <v>0</v>
      </c>
      <c r="BD790" s="32" t="n">
        <f aca="false">SUM(P790,R790,T790,V790,X790,Z790,AB790,AD790,AF790,AH790,AJ790,AL790,AN790,AP790,AR790,AT790,AV790,AX790)</f>
        <v>23.06</v>
      </c>
      <c r="BE790" s="33" t="n">
        <f aca="false">AZ790-BD790</f>
        <v>0</v>
      </c>
      <c r="BF790" s="34" t="n">
        <f aca="false">BD790*M790</f>
        <v>5765</v>
      </c>
      <c r="BG790" s="35" t="n">
        <f aca="false">BA790-BF790</f>
        <v>-692</v>
      </c>
      <c r="BH790" s="19" t="str">
        <f aca="false">IF(BG790=0,"",IF(BG790&lt;&gt;BA790,"erreur de calcul",IF(BD790&lt;&gt;0,"pas de prix",IF(M790&lt;&gt; 0,"pas de quantité","pas de prix, ni de quantité"))))</f>
        <v>erreur de calcul</v>
      </c>
      <c r="BI790" s="19"/>
    </row>
    <row r="791" customFormat="false" ht="15" hidden="false" customHeight="false" outlineLevel="0" collapsed="false">
      <c r="A791" s="0" t="n">
        <v>10</v>
      </c>
      <c r="B791" s="8" t="s">
        <v>24</v>
      </c>
      <c r="C791" s="9" t="s">
        <v>25</v>
      </c>
      <c r="D791" s="9" t="s">
        <v>26</v>
      </c>
      <c r="E791" s="10" t="n">
        <v>1789</v>
      </c>
      <c r="F791" s="9" t="s">
        <v>27</v>
      </c>
      <c r="G791" s="9" t="s">
        <v>27</v>
      </c>
      <c r="H791" s="11" t="n">
        <v>21</v>
      </c>
      <c r="I791" s="11" t="s">
        <v>163</v>
      </c>
      <c r="J791" s="14"/>
      <c r="K791" s="14"/>
      <c r="L791" s="16"/>
      <c r="M791" s="27" t="n">
        <f aca="false">J791+(K791/20)+(L791/240)</f>
        <v>0</v>
      </c>
      <c r="N791" s="17"/>
      <c r="O791" s="11"/>
      <c r="P791" s="28"/>
      <c r="Q791" s="28" t="n">
        <v>1571</v>
      </c>
      <c r="R791" s="28"/>
      <c r="S791" s="28" t="n">
        <f aca="false">R791*$M791</f>
        <v>0</v>
      </c>
      <c r="T791" s="28"/>
      <c r="U791" s="28" t="n">
        <v>182</v>
      </c>
      <c r="V791" s="28"/>
      <c r="W791" s="28" t="n">
        <v>1801</v>
      </c>
      <c r="X791" s="28"/>
      <c r="Y791" s="28" t="n">
        <v>214</v>
      </c>
      <c r="Z791" s="28"/>
      <c r="AA791" s="28" t="n">
        <f aca="false">Z791*$M791</f>
        <v>0</v>
      </c>
      <c r="AB791" s="28"/>
      <c r="AC791" s="28" t="n">
        <v>401</v>
      </c>
      <c r="AD791" s="28"/>
      <c r="AE791" s="28" t="n">
        <f aca="false">AD791*$M791</f>
        <v>0</v>
      </c>
      <c r="AF791" s="28"/>
      <c r="AG791" s="28" t="n">
        <f aca="false">AF791*$M791</f>
        <v>0</v>
      </c>
      <c r="AH791" s="28"/>
      <c r="AI791" s="28" t="n">
        <f aca="false">AH791*$M791</f>
        <v>0</v>
      </c>
      <c r="AJ791" s="28"/>
      <c r="AK791" s="28" t="n">
        <v>760</v>
      </c>
      <c r="AL791" s="28"/>
      <c r="AM791" s="28" t="n">
        <f aca="false">AL791*$M791</f>
        <v>0</v>
      </c>
      <c r="AN791" s="28"/>
      <c r="AO791" s="28" t="n">
        <f aca="false">AN791*$M791</f>
        <v>0</v>
      </c>
      <c r="AP791" s="28"/>
      <c r="AQ791" s="28" t="n">
        <f aca="false">AP791*$M791</f>
        <v>0</v>
      </c>
      <c r="AR791" s="28"/>
      <c r="AS791" s="28" t="n">
        <f aca="false">AR791*$M791</f>
        <v>0</v>
      </c>
      <c r="AT791" s="28"/>
      <c r="AU791" s="28" t="n">
        <f aca="false">AT791*$M791</f>
        <v>0</v>
      </c>
      <c r="AV791" s="28"/>
      <c r="AW791" s="28" t="n">
        <f aca="false">AV791*$M791</f>
        <v>0</v>
      </c>
      <c r="AX791" s="28"/>
      <c r="AY791" s="28" t="n">
        <f aca="false">AX791*$M791</f>
        <v>0</v>
      </c>
      <c r="AZ791" s="30"/>
      <c r="BA791" s="11" t="n">
        <v>4929</v>
      </c>
      <c r="BB791" s="31" t="n">
        <f aca="false">SUM(Q791,S791,U791,W791,Y791,AA791,AC791,AE791,AG791,AI791,AK791,AM791,AO791,AQ791,AS791,AU791,AW791,AY791)</f>
        <v>4929</v>
      </c>
      <c r="BC791" s="28" t="n">
        <f aca="false">BA791-BB791</f>
        <v>0</v>
      </c>
      <c r="BD791" s="32" t="n">
        <f aca="false">SUM(P791,R791,T791,V791,X791,Z791,AB791,AD791,AF791,AH791,AJ791,AL791,AN791,AP791,AR791,AT791,AV791,AX791)</f>
        <v>0</v>
      </c>
      <c r="BE791" s="33" t="n">
        <f aca="false">AZ791-BD791</f>
        <v>0</v>
      </c>
      <c r="BF791" s="34" t="n">
        <f aca="false">BD791*M791</f>
        <v>0</v>
      </c>
      <c r="BG791" s="35" t="n">
        <f aca="false">BA791-BF791</f>
        <v>4929</v>
      </c>
      <c r="BH791" s="19" t="str">
        <f aca="false">IF(BG791=0,"",IF(BG791&lt;&gt;BA791,"erreur de calcul",IF(BD791&lt;&gt;0,"pas de prix",IF(M791&lt;&gt; 0,"pas de quantité","pas de prix, ni de quantité"))))</f>
        <v>pas de prix, ni de quantité</v>
      </c>
      <c r="BI791" s="19"/>
    </row>
    <row r="792" customFormat="false" ht="15" hidden="false" customHeight="false" outlineLevel="0" collapsed="false">
      <c r="A792" s="0" t="n">
        <v>11</v>
      </c>
      <c r="B792" s="8" t="s">
        <v>24</v>
      </c>
      <c r="C792" s="9" t="s">
        <v>25</v>
      </c>
      <c r="D792" s="9" t="s">
        <v>26</v>
      </c>
      <c r="E792" s="10" t="n">
        <v>1789</v>
      </c>
      <c r="F792" s="9" t="s">
        <v>27</v>
      </c>
      <c r="G792" s="9" t="s">
        <v>27</v>
      </c>
      <c r="H792" s="11" t="n">
        <v>21</v>
      </c>
      <c r="I792" s="11" t="s">
        <v>164</v>
      </c>
      <c r="J792" s="14" t="n">
        <v>580</v>
      </c>
      <c r="K792" s="14"/>
      <c r="L792" s="16"/>
      <c r="M792" s="27" t="n">
        <f aca="false">J792+(K792/20)+(L792/240)</f>
        <v>580</v>
      </c>
      <c r="N792" s="17" t="s">
        <v>64</v>
      </c>
      <c r="O792" s="11"/>
      <c r="P792" s="28" t="n">
        <f aca="false">294/100</f>
        <v>2.94</v>
      </c>
      <c r="Q792" s="28" t="n">
        <v>1705</v>
      </c>
      <c r="R792" s="28"/>
      <c r="S792" s="28" t="n">
        <f aca="false">R792*$M792</f>
        <v>0</v>
      </c>
      <c r="T792" s="28"/>
      <c r="U792" s="28" t="n">
        <f aca="false">T792*$M792</f>
        <v>0</v>
      </c>
      <c r="V792" s="28"/>
      <c r="W792" s="28" t="n">
        <f aca="false">V792*$M792</f>
        <v>0</v>
      </c>
      <c r="X792" s="28"/>
      <c r="Y792" s="28" t="n">
        <f aca="false">X792*$M792</f>
        <v>0</v>
      </c>
      <c r="Z792" s="28"/>
      <c r="AA792" s="28" t="n">
        <f aca="false">Z792*$M792</f>
        <v>0</v>
      </c>
      <c r="AB792" s="28"/>
      <c r="AC792" s="28" t="n">
        <f aca="false">AB792*$M792</f>
        <v>0</v>
      </c>
      <c r="AD792" s="28"/>
      <c r="AE792" s="28" t="n">
        <f aca="false">AD792*$M792</f>
        <v>0</v>
      </c>
      <c r="AF792" s="28"/>
      <c r="AG792" s="28" t="n">
        <f aca="false">AF792*$M792</f>
        <v>0</v>
      </c>
      <c r="AH792" s="28"/>
      <c r="AI792" s="28" t="n">
        <f aca="false">AH792*$M792</f>
        <v>0</v>
      </c>
      <c r="AJ792" s="28"/>
      <c r="AK792" s="28" t="n">
        <f aca="false">AJ792*$M792</f>
        <v>0</v>
      </c>
      <c r="AL792" s="28"/>
      <c r="AM792" s="28" t="n">
        <f aca="false">AL792*$M792</f>
        <v>0</v>
      </c>
      <c r="AN792" s="28"/>
      <c r="AO792" s="28" t="n">
        <f aca="false">AN792*$M792</f>
        <v>0</v>
      </c>
      <c r="AP792" s="28"/>
      <c r="AQ792" s="28" t="n">
        <f aca="false">AP792*$M792</f>
        <v>0</v>
      </c>
      <c r="AR792" s="28"/>
      <c r="AS792" s="28" t="n">
        <f aca="false">AR792*$M792</f>
        <v>0</v>
      </c>
      <c r="AT792" s="28"/>
      <c r="AU792" s="28" t="n">
        <f aca="false">AT792*$M792</f>
        <v>0</v>
      </c>
      <c r="AV792" s="28"/>
      <c r="AW792" s="28" t="n">
        <f aca="false">AV792*$M792</f>
        <v>0</v>
      </c>
      <c r="AX792" s="28"/>
      <c r="AY792" s="28" t="n">
        <f aca="false">AX792*$M792</f>
        <v>0</v>
      </c>
      <c r="AZ792" s="30" t="n">
        <f aca="false">294/100</f>
        <v>2.94</v>
      </c>
      <c r="BA792" s="11" t="n">
        <v>1705</v>
      </c>
      <c r="BB792" s="31" t="n">
        <f aca="false">SUM(Q792,S792,U792,W792,Y792,AA792,AC792,AE792,AG792,AI792,AK792,AM792,AO792,AQ792,AS792,AU792,AW792,AY792)</f>
        <v>1705</v>
      </c>
      <c r="BC792" s="28" t="n">
        <f aca="false">BA792-BB792</f>
        <v>0</v>
      </c>
      <c r="BD792" s="32" t="n">
        <f aca="false">SUM(P792,R792,T792,V792,X792,Z792,AB792,AD792,AF792,AH792,AJ792,AL792,AN792,AP792,AR792,AT792,AV792,AX792)</f>
        <v>2.94</v>
      </c>
      <c r="BE792" s="33" t="n">
        <f aca="false">AZ792-BD792</f>
        <v>0</v>
      </c>
      <c r="BF792" s="34" t="n">
        <f aca="false">BD792*M792</f>
        <v>1705.2</v>
      </c>
      <c r="BG792" s="35" t="n">
        <f aca="false">BA792-BF792</f>
        <v>-0.200000000000045</v>
      </c>
      <c r="BH792" s="19" t="str">
        <f aca="false">IF(BG792=0,"",IF(BG792&lt;&gt;BA792,"erreur de calcul",IF(BD792&lt;&gt;0,"pas de prix",IF(M792&lt;&gt; 0,"pas de quantité","pas de prix, ni de quantité"))))</f>
        <v>erreur de calcul</v>
      </c>
      <c r="BI792" s="19"/>
    </row>
    <row r="793" customFormat="false" ht="15" hidden="false" customHeight="false" outlineLevel="0" collapsed="false">
      <c r="A793" s="0" t="n">
        <v>12</v>
      </c>
      <c r="B793" s="8" t="s">
        <v>24</v>
      </c>
      <c r="C793" s="9" t="s">
        <v>25</v>
      </c>
      <c r="D793" s="9" t="s">
        <v>26</v>
      </c>
      <c r="E793" s="10" t="n">
        <v>1789</v>
      </c>
      <c r="F793" s="9" t="s">
        <v>27</v>
      </c>
      <c r="G793" s="9" t="s">
        <v>27</v>
      </c>
      <c r="H793" s="11" t="n">
        <v>21</v>
      </c>
      <c r="I793" s="11" t="s">
        <v>165</v>
      </c>
      <c r="J793" s="14" t="n">
        <v>180</v>
      </c>
      <c r="K793" s="14"/>
      <c r="L793" s="16"/>
      <c r="M793" s="27" t="n">
        <f aca="false">J793+(K793/20)+(L793/240)</f>
        <v>180</v>
      </c>
      <c r="N793" s="17" t="s">
        <v>64</v>
      </c>
      <c r="O793" s="11"/>
      <c r="P793" s="28"/>
      <c r="Q793" s="28" t="n">
        <f aca="false">P793*$M793</f>
        <v>0</v>
      </c>
      <c r="R793" s="28"/>
      <c r="S793" s="28" t="n">
        <f aca="false">R793*$M793</f>
        <v>0</v>
      </c>
      <c r="T793" s="28"/>
      <c r="U793" s="28" t="n">
        <f aca="false">T793*$M793</f>
        <v>0</v>
      </c>
      <c r="V793" s="28"/>
      <c r="W793" s="28" t="n">
        <f aca="false">V793*$M793</f>
        <v>0</v>
      </c>
      <c r="X793" s="28"/>
      <c r="Y793" s="28" t="n">
        <f aca="false">X793*$M793</f>
        <v>0</v>
      </c>
      <c r="Z793" s="28"/>
      <c r="AA793" s="28" t="n">
        <f aca="false">Z793*$M793</f>
        <v>0</v>
      </c>
      <c r="AB793" s="28"/>
      <c r="AC793" s="28" t="n">
        <f aca="false">AB793*$M793</f>
        <v>0</v>
      </c>
      <c r="AD793" s="28"/>
      <c r="AE793" s="28" t="n">
        <f aca="false">AD793*$M793</f>
        <v>0</v>
      </c>
      <c r="AF793" s="28"/>
      <c r="AG793" s="28" t="n">
        <f aca="false">AF793*$M793</f>
        <v>0</v>
      </c>
      <c r="AH793" s="28"/>
      <c r="AI793" s="28" t="n">
        <f aca="false">AH793*$M793</f>
        <v>0</v>
      </c>
      <c r="AJ793" s="28"/>
      <c r="AK793" s="28" t="n">
        <f aca="false">AJ793*$M793</f>
        <v>0</v>
      </c>
      <c r="AL793" s="28"/>
      <c r="AM793" s="28" t="n">
        <f aca="false">AL793*$M793</f>
        <v>0</v>
      </c>
      <c r="AN793" s="28" t="n">
        <f aca="false">13754/100</f>
        <v>137.54</v>
      </c>
      <c r="AO793" s="28" t="n">
        <v>24757</v>
      </c>
      <c r="AP793" s="28"/>
      <c r="AQ793" s="28" t="n">
        <f aca="false">AP793*$M793</f>
        <v>0</v>
      </c>
      <c r="AR793" s="28"/>
      <c r="AS793" s="28" t="n">
        <f aca="false">AR793*$M793</f>
        <v>0</v>
      </c>
      <c r="AT793" s="28"/>
      <c r="AU793" s="28" t="n">
        <f aca="false">AT793*$M793</f>
        <v>0</v>
      </c>
      <c r="AV793" s="28"/>
      <c r="AW793" s="28" t="n">
        <f aca="false">AV793*$M793</f>
        <v>0</v>
      </c>
      <c r="AX793" s="28"/>
      <c r="AY793" s="28" t="n">
        <f aca="false">AX793*$M793</f>
        <v>0</v>
      </c>
      <c r="AZ793" s="30" t="n">
        <f aca="false">17360/100</f>
        <v>173.6</v>
      </c>
      <c r="BA793" s="11" t="n">
        <v>24757</v>
      </c>
      <c r="BB793" s="31" t="n">
        <f aca="false">SUM(Q793,S793,U793,W793,Y793,AA793,AC793,AE793,AG793,AI793,AK793,AM793,AO793,AQ793,AS793,AU793,AW793,AY793)</f>
        <v>24757</v>
      </c>
      <c r="BC793" s="28" t="n">
        <f aca="false">BA793-BB793</f>
        <v>0</v>
      </c>
      <c r="BD793" s="32" t="n">
        <f aca="false">SUM(P793,R793,T793,V793,X793,Z793,AB793,AD793,AF793,AH793,AJ793,AL793,AN793,AP793,AR793,AT793,AV793,AX793)</f>
        <v>137.54</v>
      </c>
      <c r="BE793" s="33" t="n">
        <f aca="false">AZ793-BD793</f>
        <v>36.06</v>
      </c>
      <c r="BF793" s="34" t="n">
        <f aca="false">BD793*M793</f>
        <v>24757.2</v>
      </c>
      <c r="BG793" s="35" t="n">
        <f aca="false">BA793-BF793</f>
        <v>-0.19999999999709</v>
      </c>
      <c r="BH793" s="19" t="str">
        <f aca="false">IF(BG793=0,"",IF(BG793&lt;&gt;BA793,"erreur de calcul",IF(BD793&lt;&gt;0,"pas de prix",IF(M793&lt;&gt; 0,"pas de quantité","pas de prix, ni de quantité"))))</f>
        <v>erreur de calcul</v>
      </c>
      <c r="BI793" s="19"/>
    </row>
    <row r="794" customFormat="false" ht="15" hidden="false" customHeight="false" outlineLevel="0" collapsed="false">
      <c r="A794" s="0" t="n">
        <v>13</v>
      </c>
      <c r="B794" s="8" t="s">
        <v>24</v>
      </c>
      <c r="C794" s="9" t="s">
        <v>25</v>
      </c>
      <c r="D794" s="9" t="s">
        <v>26</v>
      </c>
      <c r="E794" s="10" t="n">
        <v>1789</v>
      </c>
      <c r="F794" s="9" t="s">
        <v>27</v>
      </c>
      <c r="G794" s="9" t="s">
        <v>27</v>
      </c>
      <c r="H794" s="11" t="n">
        <v>21</v>
      </c>
      <c r="I794" s="11" t="s">
        <v>166</v>
      </c>
      <c r="J794" s="14" t="n">
        <v>90</v>
      </c>
      <c r="K794" s="14"/>
      <c r="L794" s="16"/>
      <c r="M794" s="27" t="n">
        <f aca="false">J794+(K794/20)+(L794/240)</f>
        <v>90</v>
      </c>
      <c r="N794" s="17" t="s">
        <v>64</v>
      </c>
      <c r="O794" s="11"/>
      <c r="P794" s="28" t="n">
        <f aca="false">3606/100</f>
        <v>36.06</v>
      </c>
      <c r="Q794" s="28" t="n">
        <v>3245</v>
      </c>
      <c r="R794" s="28"/>
      <c r="S794" s="28" t="n">
        <f aca="false">R794*$M794</f>
        <v>0</v>
      </c>
      <c r="T794" s="28"/>
      <c r="U794" s="28" t="n">
        <f aca="false">T794*$M794</f>
        <v>0</v>
      </c>
      <c r="V794" s="28"/>
      <c r="W794" s="28" t="n">
        <f aca="false">V794*$M794</f>
        <v>0</v>
      </c>
      <c r="X794" s="28"/>
      <c r="Y794" s="28" t="n">
        <f aca="false">X794*$M794</f>
        <v>0</v>
      </c>
      <c r="Z794" s="28"/>
      <c r="AA794" s="28" t="n">
        <f aca="false">Z794*$M794</f>
        <v>0</v>
      </c>
      <c r="AB794" s="28"/>
      <c r="AC794" s="28" t="n">
        <f aca="false">AB794*$M794</f>
        <v>0</v>
      </c>
      <c r="AD794" s="28"/>
      <c r="AE794" s="28" t="n">
        <f aca="false">AD794*$M794</f>
        <v>0</v>
      </c>
      <c r="AF794" s="28"/>
      <c r="AG794" s="28" t="n">
        <f aca="false">AF794*$M794</f>
        <v>0</v>
      </c>
      <c r="AH794" s="28"/>
      <c r="AI794" s="28" t="n">
        <f aca="false">AH794*$M794</f>
        <v>0</v>
      </c>
      <c r="AJ794" s="28"/>
      <c r="AK794" s="28" t="n">
        <f aca="false">AJ794*$M794</f>
        <v>0</v>
      </c>
      <c r="AL794" s="28"/>
      <c r="AM794" s="28" t="n">
        <f aca="false">AL794*$M794</f>
        <v>0</v>
      </c>
      <c r="AN794" s="28"/>
      <c r="AO794" s="28" t="n">
        <f aca="false">AN794*$M794</f>
        <v>0</v>
      </c>
      <c r="AP794" s="28"/>
      <c r="AQ794" s="28" t="n">
        <f aca="false">AP794*$M794</f>
        <v>0</v>
      </c>
      <c r="AR794" s="28"/>
      <c r="AS794" s="28" t="n">
        <f aca="false">AR794*$M794</f>
        <v>0</v>
      </c>
      <c r="AT794" s="28"/>
      <c r="AU794" s="28" t="n">
        <f aca="false">AT794*$M794</f>
        <v>0</v>
      </c>
      <c r="AV794" s="28"/>
      <c r="AW794" s="28" t="n">
        <f aca="false">AV794*$M794</f>
        <v>0</v>
      </c>
      <c r="AX794" s="28"/>
      <c r="AY794" s="28" t="n">
        <f aca="false">AX794*$M794</f>
        <v>0</v>
      </c>
      <c r="AZ794" s="30" t="n">
        <f aca="false">3606/100</f>
        <v>36.06</v>
      </c>
      <c r="BA794" s="11" t="n">
        <v>3245</v>
      </c>
      <c r="BB794" s="31" t="n">
        <f aca="false">SUM(Q794,S794,U794,W794,Y794,AA794,AC794,AE794,AG794,AI794,AK794,AM794,AO794,AQ794,AS794,AU794,AW794,AY794)</f>
        <v>3245</v>
      </c>
      <c r="BC794" s="28" t="n">
        <f aca="false">BA794-BB794</f>
        <v>0</v>
      </c>
      <c r="BD794" s="32" t="n">
        <f aca="false">SUM(P794,R794,T794,V794,X794,Z794,AB794,AD794,AF794,AH794,AJ794,AL794,AN794,AP794,AR794,AT794,AV794,AX794)</f>
        <v>36.06</v>
      </c>
      <c r="BE794" s="33" t="n">
        <f aca="false">AZ794-BD794</f>
        <v>0</v>
      </c>
      <c r="BF794" s="34" t="n">
        <f aca="false">BD794*M794</f>
        <v>3245.4</v>
      </c>
      <c r="BG794" s="35" t="n">
        <f aca="false">BA794-BF794</f>
        <v>-0.400000000000091</v>
      </c>
      <c r="BH794" s="19" t="str">
        <f aca="false">IF(BG794=0,"",IF(BG794&lt;&gt;BA794,"erreur de calcul",IF(BD794&lt;&gt;0,"pas de prix",IF(M794&lt;&gt; 0,"pas de quantité","pas de prix, ni de quantité"))))</f>
        <v>erreur de calcul</v>
      </c>
      <c r="BI794" s="19"/>
    </row>
    <row r="795" customFormat="false" ht="15" hidden="false" customHeight="false" outlineLevel="0" collapsed="false">
      <c r="A795" s="0" t="n">
        <v>14</v>
      </c>
      <c r="B795" s="8" t="s">
        <v>24</v>
      </c>
      <c r="C795" s="9" t="s">
        <v>25</v>
      </c>
      <c r="D795" s="9" t="s">
        <v>26</v>
      </c>
      <c r="E795" s="10" t="n">
        <v>1789</v>
      </c>
      <c r="F795" s="9" t="s">
        <v>27</v>
      </c>
      <c r="G795" s="9" t="s">
        <v>27</v>
      </c>
      <c r="H795" s="11" t="n">
        <v>21</v>
      </c>
      <c r="I795" s="11" t="s">
        <v>167</v>
      </c>
      <c r="J795" s="14" t="n">
        <v>60</v>
      </c>
      <c r="K795" s="14"/>
      <c r="L795" s="16"/>
      <c r="M795" s="27" t="n">
        <f aca="false">J795+(K795/20)+(L795/240)</f>
        <v>60</v>
      </c>
      <c r="N795" s="17" t="s">
        <v>64</v>
      </c>
      <c r="O795" s="11"/>
      <c r="P795" s="28" t="n">
        <f aca="false">19377/100</f>
        <v>193.77</v>
      </c>
      <c r="Q795" s="28" t="n">
        <v>11626</v>
      </c>
      <c r="R795" s="28"/>
      <c r="S795" s="28" t="n">
        <f aca="false">R795*$M795</f>
        <v>0</v>
      </c>
      <c r="T795" s="28"/>
      <c r="U795" s="28" t="n">
        <f aca="false">T795*$M795</f>
        <v>0</v>
      </c>
      <c r="V795" s="28"/>
      <c r="W795" s="28" t="n">
        <f aca="false">V795*$M795</f>
        <v>0</v>
      </c>
      <c r="X795" s="28"/>
      <c r="Y795" s="28" t="n">
        <f aca="false">X795*$M795</f>
        <v>0</v>
      </c>
      <c r="Z795" s="28"/>
      <c r="AA795" s="28" t="n">
        <f aca="false">Z795*$M795</f>
        <v>0</v>
      </c>
      <c r="AB795" s="28"/>
      <c r="AC795" s="28" t="n">
        <f aca="false">AB795*$M795</f>
        <v>0</v>
      </c>
      <c r="AD795" s="28"/>
      <c r="AE795" s="28" t="n">
        <f aca="false">AD795*$M795</f>
        <v>0</v>
      </c>
      <c r="AF795" s="28"/>
      <c r="AG795" s="28" t="n">
        <f aca="false">AF795*$M795</f>
        <v>0</v>
      </c>
      <c r="AH795" s="28"/>
      <c r="AI795" s="28" t="n">
        <f aca="false">AH795*$M795</f>
        <v>0</v>
      </c>
      <c r="AJ795" s="28"/>
      <c r="AK795" s="28" t="n">
        <f aca="false">AJ795*$M795</f>
        <v>0</v>
      </c>
      <c r="AL795" s="28"/>
      <c r="AM795" s="28" t="n">
        <f aca="false">AL795*$M795</f>
        <v>0</v>
      </c>
      <c r="AN795" s="28"/>
      <c r="AO795" s="28" t="n">
        <f aca="false">AN795*$M795</f>
        <v>0</v>
      </c>
      <c r="AP795" s="28"/>
      <c r="AQ795" s="28" t="n">
        <f aca="false">AP795*$M795</f>
        <v>0</v>
      </c>
      <c r="AR795" s="28"/>
      <c r="AS795" s="28" t="n">
        <f aca="false">AR795*$M795</f>
        <v>0</v>
      </c>
      <c r="AT795" s="28"/>
      <c r="AU795" s="28" t="n">
        <f aca="false">AT795*$M795</f>
        <v>0</v>
      </c>
      <c r="AV795" s="28"/>
      <c r="AW795" s="28" t="n">
        <f aca="false">AV795*$M795</f>
        <v>0</v>
      </c>
      <c r="AX795" s="28"/>
      <c r="AY795" s="28" t="n">
        <f aca="false">AX795*$M795</f>
        <v>0</v>
      </c>
      <c r="AZ795" s="30" t="n">
        <f aca="false">19377/100</f>
        <v>193.77</v>
      </c>
      <c r="BA795" s="11" t="n">
        <v>11626</v>
      </c>
      <c r="BB795" s="31" t="n">
        <f aca="false">SUM(Q795,S795,U795,W795,Y795,AA795,AC795,AE795,AG795,AI795,AK795,AM795,AO795,AQ795,AS795,AU795,AW795,AY795)</f>
        <v>11626</v>
      </c>
      <c r="BC795" s="28" t="n">
        <f aca="false">BA795-BB795</f>
        <v>0</v>
      </c>
      <c r="BD795" s="32" t="n">
        <f aca="false">SUM(P795,R795,T795,V795,X795,Z795,AB795,AD795,AF795,AH795,AJ795,AL795,AN795,AP795,AR795,AT795,AV795,AX795)</f>
        <v>193.77</v>
      </c>
      <c r="BE795" s="33" t="n">
        <f aca="false">AZ795-BD795</f>
        <v>0</v>
      </c>
      <c r="BF795" s="34" t="n">
        <f aca="false">BD795*M795</f>
        <v>11626.2</v>
      </c>
      <c r="BG795" s="35" t="n">
        <f aca="false">BA795-BF795</f>
        <v>-0.200000000000728</v>
      </c>
      <c r="BH795" s="19" t="str">
        <f aca="false">IF(BG795=0,"",IF(BG795&lt;&gt;BA795,"erreur de calcul",IF(BD795&lt;&gt;0,"pas de prix",IF(M795&lt;&gt; 0,"pas de quantité","pas de prix, ni de quantité"))))</f>
        <v>erreur de calcul</v>
      </c>
      <c r="BI795" s="19"/>
    </row>
    <row r="796" customFormat="false" ht="15" hidden="false" customHeight="false" outlineLevel="0" collapsed="false">
      <c r="A796" s="0" t="n">
        <v>15</v>
      </c>
      <c r="B796" s="8" t="s">
        <v>24</v>
      </c>
      <c r="C796" s="9" t="s">
        <v>25</v>
      </c>
      <c r="D796" s="9" t="s">
        <v>26</v>
      </c>
      <c r="E796" s="10" t="n">
        <v>1789</v>
      </c>
      <c r="F796" s="9" t="s">
        <v>27</v>
      </c>
      <c r="G796" s="9" t="s">
        <v>27</v>
      </c>
      <c r="H796" s="11" t="n">
        <v>21</v>
      </c>
      <c r="I796" s="11" t="s">
        <v>168</v>
      </c>
      <c r="J796" s="14" t="n">
        <v>345</v>
      </c>
      <c r="K796" s="14"/>
      <c r="L796" s="16"/>
      <c r="M796" s="27" t="n">
        <f aca="false">J796+(K796/20)+(L796/240)</f>
        <v>345</v>
      </c>
      <c r="N796" s="17" t="s">
        <v>64</v>
      </c>
      <c r="O796" s="11"/>
      <c r="P796" s="28" t="n">
        <f aca="false">617/100</f>
        <v>6.17</v>
      </c>
      <c r="Q796" s="28" t="n">
        <v>2129</v>
      </c>
      <c r="R796" s="28"/>
      <c r="S796" s="28" t="n">
        <f aca="false">R796*$M796</f>
        <v>0</v>
      </c>
      <c r="T796" s="28"/>
      <c r="U796" s="28" t="n">
        <f aca="false">T796*$M796</f>
        <v>0</v>
      </c>
      <c r="V796" s="28"/>
      <c r="W796" s="28" t="n">
        <f aca="false">V796*$M796</f>
        <v>0</v>
      </c>
      <c r="X796" s="28"/>
      <c r="Y796" s="28" t="n">
        <f aca="false">X796*$M796</f>
        <v>0</v>
      </c>
      <c r="Z796" s="28"/>
      <c r="AA796" s="28" t="n">
        <f aca="false">Z796*$M796</f>
        <v>0</v>
      </c>
      <c r="AB796" s="28" t="n">
        <f aca="false">1270/100</f>
        <v>12.7</v>
      </c>
      <c r="AC796" s="28" t="n">
        <v>4381</v>
      </c>
      <c r="AD796" s="28"/>
      <c r="AE796" s="28" t="n">
        <f aca="false">AD796*$M796</f>
        <v>0</v>
      </c>
      <c r="AF796" s="28"/>
      <c r="AG796" s="28" t="n">
        <f aca="false">AF796*$M796</f>
        <v>0</v>
      </c>
      <c r="AH796" s="28"/>
      <c r="AI796" s="28" t="n">
        <f aca="false">AH796*$M796</f>
        <v>0</v>
      </c>
      <c r="AJ796" s="28"/>
      <c r="AK796" s="28" t="n">
        <f aca="false">AJ796*$M796</f>
        <v>0</v>
      </c>
      <c r="AL796" s="28"/>
      <c r="AM796" s="28" t="n">
        <f aca="false">AL796*$M796</f>
        <v>0</v>
      </c>
      <c r="AN796" s="28"/>
      <c r="AO796" s="28" t="n">
        <f aca="false">AN796*$M796</f>
        <v>0</v>
      </c>
      <c r="AP796" s="28"/>
      <c r="AQ796" s="28" t="n">
        <f aca="false">AP796*$M796</f>
        <v>0</v>
      </c>
      <c r="AR796" s="28"/>
      <c r="AS796" s="28" t="n">
        <f aca="false">AR796*$M796</f>
        <v>0</v>
      </c>
      <c r="AT796" s="28"/>
      <c r="AU796" s="28" t="n">
        <f aca="false">AT796*$M796</f>
        <v>0</v>
      </c>
      <c r="AV796" s="28"/>
      <c r="AW796" s="28" t="n">
        <f aca="false">AV796*$M796</f>
        <v>0</v>
      </c>
      <c r="AX796" s="28"/>
      <c r="AY796" s="28" t="n">
        <f aca="false">AX796*$M796</f>
        <v>0</v>
      </c>
      <c r="AZ796" s="30" t="n">
        <f aca="false">1887/100</f>
        <v>18.87</v>
      </c>
      <c r="BA796" s="11" t="n">
        <v>6510</v>
      </c>
      <c r="BB796" s="31" t="n">
        <f aca="false">SUM(Q796,S796,U796,W796,Y796,AA796,AC796,AE796,AG796,AI796,AK796,AM796,AO796,AQ796,AS796,AU796,AW796,AY796)</f>
        <v>6510</v>
      </c>
      <c r="BC796" s="28" t="n">
        <f aca="false">BA796-BB796</f>
        <v>0</v>
      </c>
      <c r="BD796" s="32" t="n">
        <f aca="false">SUM(P796,R796,T796,V796,X796,Z796,AB796,AD796,AF796,AH796,AJ796,AL796,AN796,AP796,AR796,AT796,AV796,AX796)</f>
        <v>18.87</v>
      </c>
      <c r="BE796" s="33" t="n">
        <f aca="false">AZ796-BD796</f>
        <v>0</v>
      </c>
      <c r="BF796" s="34" t="n">
        <f aca="false">BD796*M796</f>
        <v>6510.15</v>
      </c>
      <c r="BG796" s="35" t="n">
        <f aca="false">BA796-BF796</f>
        <v>-0.149999999998727</v>
      </c>
      <c r="BH796" s="19" t="str">
        <f aca="false">IF(BG796=0,"",IF(BG796&lt;&gt;BA796,"erreur de calcul",IF(BD796&lt;&gt;0,"pas de prix",IF(M796&lt;&gt; 0,"pas de quantité","pas de prix, ni de quantité"))))</f>
        <v>erreur de calcul</v>
      </c>
      <c r="BI796" s="19"/>
    </row>
    <row r="797" customFormat="false" ht="15" hidden="false" customHeight="false" outlineLevel="0" collapsed="false">
      <c r="A797" s="0" t="n">
        <v>16</v>
      </c>
      <c r="B797" s="8" t="s">
        <v>24</v>
      </c>
      <c r="C797" s="9" t="s">
        <v>25</v>
      </c>
      <c r="D797" s="9" t="s">
        <v>26</v>
      </c>
      <c r="E797" s="10" t="n">
        <v>1789</v>
      </c>
      <c r="F797" s="9" t="s">
        <v>27</v>
      </c>
      <c r="G797" s="9" t="s">
        <v>27</v>
      </c>
      <c r="H797" s="11" t="n">
        <v>21</v>
      </c>
      <c r="I797" s="11" t="s">
        <v>169</v>
      </c>
      <c r="J797" s="14" t="n">
        <v>6</v>
      </c>
      <c r="K797" s="14"/>
      <c r="L797" s="16"/>
      <c r="M797" s="27" t="n">
        <f aca="false">J797+(K797/20)+(L797/240)</f>
        <v>6</v>
      </c>
      <c r="N797" s="17" t="s">
        <v>64</v>
      </c>
      <c r="O797" s="11"/>
      <c r="P797" s="28"/>
      <c r="Q797" s="28" t="n">
        <f aca="false">P797*$M797</f>
        <v>0</v>
      </c>
      <c r="R797" s="28"/>
      <c r="S797" s="28" t="n">
        <f aca="false">R797*$M797</f>
        <v>0</v>
      </c>
      <c r="T797" s="28"/>
      <c r="U797" s="28" t="n">
        <f aca="false">T797*$M797</f>
        <v>0</v>
      </c>
      <c r="V797" s="28" t="n">
        <f aca="false">39752/100</f>
        <v>397.52</v>
      </c>
      <c r="W797" s="28" t="n">
        <v>2385</v>
      </c>
      <c r="X797" s="28"/>
      <c r="Y797" s="28" t="n">
        <f aca="false">X797*$M797</f>
        <v>0</v>
      </c>
      <c r="Z797" s="28"/>
      <c r="AA797" s="28" t="n">
        <f aca="false">Z797*$M797</f>
        <v>0</v>
      </c>
      <c r="AB797" s="28"/>
      <c r="AC797" s="28" t="n">
        <f aca="false">AB797*$M797</f>
        <v>0</v>
      </c>
      <c r="AD797" s="28"/>
      <c r="AE797" s="28" t="n">
        <f aca="false">AD797*$M797</f>
        <v>0</v>
      </c>
      <c r="AF797" s="28"/>
      <c r="AG797" s="28" t="n">
        <f aca="false">AF797*$M797</f>
        <v>0</v>
      </c>
      <c r="AH797" s="28"/>
      <c r="AI797" s="28" t="n">
        <f aca="false">AH797*$M797</f>
        <v>0</v>
      </c>
      <c r="AJ797" s="28"/>
      <c r="AK797" s="28" t="n">
        <f aca="false">AJ797*$M797</f>
        <v>0</v>
      </c>
      <c r="AL797" s="28"/>
      <c r="AM797" s="28" t="n">
        <f aca="false">AL797*$M797</f>
        <v>0</v>
      </c>
      <c r="AN797" s="28"/>
      <c r="AO797" s="28" t="n">
        <f aca="false">AN797*$M797</f>
        <v>0</v>
      </c>
      <c r="AP797" s="28"/>
      <c r="AQ797" s="28" t="n">
        <f aca="false">AP797*$M797</f>
        <v>0</v>
      </c>
      <c r="AR797" s="28"/>
      <c r="AS797" s="28" t="n">
        <f aca="false">AR797*$M797</f>
        <v>0</v>
      </c>
      <c r="AT797" s="28"/>
      <c r="AU797" s="28" t="n">
        <f aca="false">AT797*$M797</f>
        <v>0</v>
      </c>
      <c r="AV797" s="28"/>
      <c r="AW797" s="28" t="n">
        <f aca="false">AV797*$M797</f>
        <v>0</v>
      </c>
      <c r="AX797" s="28"/>
      <c r="AY797" s="28" t="n">
        <f aca="false">AX797*$M797</f>
        <v>0</v>
      </c>
      <c r="AZ797" s="30" t="n">
        <f aca="false">39752/100</f>
        <v>397.52</v>
      </c>
      <c r="BA797" s="11" t="n">
        <v>2385</v>
      </c>
      <c r="BB797" s="31" t="n">
        <f aca="false">SUM(Q797,S797,U797,W797,Y797,AA797,AC797,AE797,AG797,AI797,AK797,AM797,AO797,AQ797,AS797,AU797,AW797,AY797)</f>
        <v>2385</v>
      </c>
      <c r="BC797" s="28" t="n">
        <f aca="false">BA797-BB797</f>
        <v>0</v>
      </c>
      <c r="BD797" s="32" t="n">
        <f aca="false">SUM(P797,R797,T797,V797,X797,Z797,AB797,AD797,AF797,AH797,AJ797,AL797,AN797,AP797,AR797,AT797,AV797,AX797)</f>
        <v>397.52</v>
      </c>
      <c r="BE797" s="33" t="n">
        <f aca="false">AZ797-BD797</f>
        <v>0</v>
      </c>
      <c r="BF797" s="34" t="n">
        <f aca="false">BD797*M797</f>
        <v>2385.12</v>
      </c>
      <c r="BG797" s="35" t="n">
        <f aca="false">BA797-BF797</f>
        <v>-0.119999999999891</v>
      </c>
      <c r="BH797" s="19" t="str">
        <f aca="false">IF(BG797=0,"",IF(BG797&lt;&gt;BA797,"erreur de calcul",IF(BD797&lt;&gt;0,"pas de prix",IF(M797&lt;&gt; 0,"pas de quantité","pas de prix, ni de quantité"))))</f>
        <v>erreur de calcul</v>
      </c>
      <c r="BI797" s="19"/>
    </row>
    <row r="798" customFormat="false" ht="15" hidden="false" customHeight="false" outlineLevel="0" collapsed="false">
      <c r="A798" s="0" t="n">
        <v>17</v>
      </c>
      <c r="B798" s="8" t="s">
        <v>24</v>
      </c>
      <c r="C798" s="9" t="s">
        <v>25</v>
      </c>
      <c r="D798" s="9" t="s">
        <v>26</v>
      </c>
      <c r="E798" s="10" t="n">
        <v>1789</v>
      </c>
      <c r="F798" s="9" t="s">
        <v>27</v>
      </c>
      <c r="G798" s="9" t="s">
        <v>27</v>
      </c>
      <c r="H798" s="11" t="n">
        <v>21</v>
      </c>
      <c r="I798" s="11" t="s">
        <v>170</v>
      </c>
      <c r="J798" s="14" t="n">
        <v>90</v>
      </c>
      <c r="K798" s="14"/>
      <c r="L798" s="16"/>
      <c r="M798" s="27" t="n">
        <f aca="false">J798+(K798/20)+(L798/240)</f>
        <v>90</v>
      </c>
      <c r="N798" s="17" t="s">
        <v>64</v>
      </c>
      <c r="O798" s="11"/>
      <c r="P798" s="28"/>
      <c r="Q798" s="28" t="n">
        <f aca="false">P798*$M798</f>
        <v>0</v>
      </c>
      <c r="R798" s="28"/>
      <c r="S798" s="28" t="n">
        <f aca="false">R798*$M798</f>
        <v>0</v>
      </c>
      <c r="T798" s="28"/>
      <c r="U798" s="28" t="n">
        <f aca="false">T798*$M798</f>
        <v>0</v>
      </c>
      <c r="V798" s="28"/>
      <c r="W798" s="28" t="n">
        <f aca="false">V798*$M798</f>
        <v>0</v>
      </c>
      <c r="X798" s="28" t="n">
        <f aca="false">3136/100</f>
        <v>31.36</v>
      </c>
      <c r="Y798" s="28" t="n">
        <v>2822</v>
      </c>
      <c r="Z798" s="28"/>
      <c r="AA798" s="28" t="n">
        <f aca="false">Z798*$M798</f>
        <v>0</v>
      </c>
      <c r="AB798" s="28"/>
      <c r="AC798" s="28" t="n">
        <f aca="false">AB798*$M798</f>
        <v>0</v>
      </c>
      <c r="AD798" s="28"/>
      <c r="AE798" s="28" t="n">
        <f aca="false">AD798*$M798</f>
        <v>0</v>
      </c>
      <c r="AF798" s="28"/>
      <c r="AG798" s="28" t="n">
        <f aca="false">AF798*$M798</f>
        <v>0</v>
      </c>
      <c r="AH798" s="28"/>
      <c r="AI798" s="28" t="n">
        <f aca="false">AH798*$M798</f>
        <v>0</v>
      </c>
      <c r="AJ798" s="28"/>
      <c r="AK798" s="28" t="n">
        <f aca="false">AJ798*$M798</f>
        <v>0</v>
      </c>
      <c r="AL798" s="28"/>
      <c r="AM798" s="28" t="n">
        <f aca="false">AL798*$M798</f>
        <v>0</v>
      </c>
      <c r="AN798" s="28"/>
      <c r="AO798" s="28" t="n">
        <f aca="false">AN798*$M798</f>
        <v>0</v>
      </c>
      <c r="AP798" s="28"/>
      <c r="AQ798" s="28" t="n">
        <f aca="false">AP798*$M798</f>
        <v>0</v>
      </c>
      <c r="AR798" s="28"/>
      <c r="AS798" s="28" t="n">
        <f aca="false">AR798*$M798</f>
        <v>0</v>
      </c>
      <c r="AT798" s="28"/>
      <c r="AU798" s="28" t="n">
        <f aca="false">AT798*$M798</f>
        <v>0</v>
      </c>
      <c r="AV798" s="28"/>
      <c r="AW798" s="28" t="n">
        <f aca="false">AV798*$M798</f>
        <v>0</v>
      </c>
      <c r="AX798" s="28"/>
      <c r="AY798" s="28" t="n">
        <f aca="false">AX798*$M798</f>
        <v>0</v>
      </c>
      <c r="AZ798" s="30" t="n">
        <f aca="false">3136/100</f>
        <v>31.36</v>
      </c>
      <c r="BA798" s="11" t="n">
        <v>2822</v>
      </c>
      <c r="BB798" s="31" t="n">
        <f aca="false">SUM(Q798,S798,U798,W798,Y798,AA798,AC798,AE798,AG798,AI798,AK798,AM798,AO798,AQ798,AS798,AU798,AW798,AY798)</f>
        <v>2822</v>
      </c>
      <c r="BC798" s="28" t="n">
        <f aca="false">BA798-BB798</f>
        <v>0</v>
      </c>
      <c r="BD798" s="32" t="n">
        <f aca="false">SUM(P798,R798,T798,V798,X798,Z798,AB798,AD798,AF798,AH798,AJ798,AL798,AN798,AP798,AR798,AT798,AV798,AX798)</f>
        <v>31.36</v>
      </c>
      <c r="BE798" s="33" t="n">
        <f aca="false">AZ798-BD798</f>
        <v>0</v>
      </c>
      <c r="BF798" s="34" t="n">
        <f aca="false">BD798*M798</f>
        <v>2822.4</v>
      </c>
      <c r="BG798" s="35" t="n">
        <f aca="false">BA798-BF798</f>
        <v>-0.400000000000091</v>
      </c>
      <c r="BH798" s="19" t="str">
        <f aca="false">IF(BG798=0,"",IF(BG798&lt;&gt;BA798,"erreur de calcul",IF(BD798&lt;&gt;0,"pas de prix",IF(M798&lt;&gt; 0,"pas de quantité","pas de prix, ni de quantité"))))</f>
        <v>erreur de calcul</v>
      </c>
      <c r="BI798" s="19"/>
    </row>
    <row r="799" customFormat="false" ht="15" hidden="false" customHeight="false" outlineLevel="0" collapsed="false">
      <c r="A799" s="0" t="n">
        <v>18</v>
      </c>
      <c r="B799" s="8" t="s">
        <v>24</v>
      </c>
      <c r="C799" s="9" t="s">
        <v>25</v>
      </c>
      <c r="D799" s="9" t="s">
        <v>26</v>
      </c>
      <c r="E799" s="10" t="n">
        <v>1789</v>
      </c>
      <c r="F799" s="9" t="s">
        <v>27</v>
      </c>
      <c r="G799" s="9" t="s">
        <v>27</v>
      </c>
      <c r="H799" s="11" t="n">
        <v>21</v>
      </c>
      <c r="I799" s="11" t="s">
        <v>171</v>
      </c>
      <c r="J799" s="14" t="n">
        <v>90</v>
      </c>
      <c r="K799" s="14"/>
      <c r="L799" s="16"/>
      <c r="M799" s="27" t="n">
        <f aca="false">J799+(K799/20)+(L799/240)</f>
        <v>90</v>
      </c>
      <c r="N799" s="17" t="s">
        <v>64</v>
      </c>
      <c r="O799" s="11"/>
      <c r="P799" s="28"/>
      <c r="Q799" s="28" t="n">
        <f aca="false">P799*$M799</f>
        <v>0</v>
      </c>
      <c r="R799" s="28"/>
      <c r="S799" s="28" t="n">
        <f aca="false">R799*$M799</f>
        <v>0</v>
      </c>
      <c r="T799" s="28"/>
      <c r="U799" s="28" t="n">
        <f aca="false">T799*$M799</f>
        <v>0</v>
      </c>
      <c r="V799" s="28"/>
      <c r="W799" s="28" t="n">
        <f aca="false">V799*$M799</f>
        <v>0</v>
      </c>
      <c r="X799" s="28"/>
      <c r="Y799" s="28" t="n">
        <f aca="false">X799*$M799</f>
        <v>0</v>
      </c>
      <c r="Z799" s="28"/>
      <c r="AA799" s="28" t="n">
        <f aca="false">Z799*$M799</f>
        <v>0</v>
      </c>
      <c r="AB799" s="28"/>
      <c r="AC799" s="28" t="n">
        <f aca="false">AB799*$M799</f>
        <v>0</v>
      </c>
      <c r="AD799" s="28"/>
      <c r="AE799" s="28" t="n">
        <f aca="false">AD799*$M799</f>
        <v>0</v>
      </c>
      <c r="AF799" s="28"/>
      <c r="AG799" s="28" t="n">
        <f aca="false">AF799*$M799</f>
        <v>0</v>
      </c>
      <c r="AH799" s="28" t="n">
        <f aca="false">5337/100</f>
        <v>53.37</v>
      </c>
      <c r="AI799" s="28" t="n">
        <v>4803</v>
      </c>
      <c r="AJ799" s="28"/>
      <c r="AK799" s="28" t="n">
        <f aca="false">AJ799*$M799</f>
        <v>0</v>
      </c>
      <c r="AL799" s="28"/>
      <c r="AM799" s="28" t="n">
        <f aca="false">AL799*$M799</f>
        <v>0</v>
      </c>
      <c r="AN799" s="28"/>
      <c r="AO799" s="28" t="n">
        <f aca="false">AN799*$M799</f>
        <v>0</v>
      </c>
      <c r="AP799" s="28"/>
      <c r="AQ799" s="28" t="n">
        <f aca="false">AP799*$M799</f>
        <v>0</v>
      </c>
      <c r="AR799" s="28"/>
      <c r="AS799" s="28" t="n">
        <f aca="false">AR799*$M799</f>
        <v>0</v>
      </c>
      <c r="AT799" s="28"/>
      <c r="AU799" s="28" t="n">
        <f aca="false">AT799*$M799</f>
        <v>0</v>
      </c>
      <c r="AV799" s="28"/>
      <c r="AW799" s="28" t="n">
        <f aca="false">AV799*$M799</f>
        <v>0</v>
      </c>
      <c r="AX799" s="28"/>
      <c r="AY799" s="28" t="n">
        <f aca="false">AX799*$M799</f>
        <v>0</v>
      </c>
      <c r="AZ799" s="30" t="n">
        <f aca="false">5337/100</f>
        <v>53.37</v>
      </c>
      <c r="BA799" s="11" t="n">
        <v>4803</v>
      </c>
      <c r="BB799" s="31" t="n">
        <f aca="false">SUM(Q799,S799,U799,W799,Y799,AA799,AC799,AE799,AG799,AI799,AK799,AM799,AO799,AQ799,AS799,AU799,AW799,AY799)</f>
        <v>4803</v>
      </c>
      <c r="BC799" s="28" t="n">
        <f aca="false">BA799-BB799</f>
        <v>0</v>
      </c>
      <c r="BD799" s="32" t="n">
        <f aca="false">SUM(P799,R799,T799,V799,X799,Z799,AB799,AD799,AF799,AH799,AJ799,AL799,AN799,AP799,AR799,AT799,AV799,AX799)</f>
        <v>53.37</v>
      </c>
      <c r="BE799" s="33" t="n">
        <f aca="false">AZ799-BD799</f>
        <v>0</v>
      </c>
      <c r="BF799" s="34" t="n">
        <f aca="false">BD799*M799</f>
        <v>4803.3</v>
      </c>
      <c r="BG799" s="35" t="n">
        <f aca="false">BA799-BF799</f>
        <v>-0.300000000000182</v>
      </c>
      <c r="BH799" s="19" t="str">
        <f aca="false">IF(BG799=0,"",IF(BG799&lt;&gt;BA799,"erreur de calcul",IF(BD799&lt;&gt;0,"pas de prix",IF(M799&lt;&gt; 0,"pas de quantité","pas de prix, ni de quantité"))))</f>
        <v>erreur de calcul</v>
      </c>
      <c r="BI799" s="19"/>
    </row>
    <row r="800" customFormat="false" ht="15" hidden="false" customHeight="false" outlineLevel="0" collapsed="false">
      <c r="A800" s="0" t="n">
        <v>19</v>
      </c>
      <c r="B800" s="8" t="s">
        <v>24</v>
      </c>
      <c r="C800" s="9" t="s">
        <v>25</v>
      </c>
      <c r="D800" s="9" t="s">
        <v>26</v>
      </c>
      <c r="E800" s="10" t="n">
        <v>1789</v>
      </c>
      <c r="F800" s="9" t="s">
        <v>27</v>
      </c>
      <c r="G800" s="9" t="s">
        <v>27</v>
      </c>
      <c r="H800" s="11" t="n">
        <v>21</v>
      </c>
      <c r="I800" s="11" t="s">
        <v>172</v>
      </c>
      <c r="J800" s="14" t="n">
        <v>15</v>
      </c>
      <c r="K800" s="14"/>
      <c r="L800" s="16"/>
      <c r="M800" s="27" t="n">
        <f aca="false">J800+(K800/20)+(L800/240)</f>
        <v>15</v>
      </c>
      <c r="N800" s="17" t="s">
        <v>64</v>
      </c>
      <c r="O800" s="11" t="s">
        <v>77</v>
      </c>
      <c r="P800" s="28"/>
      <c r="Q800" s="28" t="n">
        <f aca="false">P800*$M800</f>
        <v>0</v>
      </c>
      <c r="R800" s="28"/>
      <c r="S800" s="28" t="n">
        <f aca="false">R800*$M800</f>
        <v>0</v>
      </c>
      <c r="T800" s="28"/>
      <c r="U800" s="28" t="n">
        <f aca="false">T800*$M800</f>
        <v>0</v>
      </c>
      <c r="V800" s="28"/>
      <c r="W800" s="28" t="n">
        <f aca="false">V800*$M800</f>
        <v>0</v>
      </c>
      <c r="X800" s="28"/>
      <c r="Y800" s="28" t="n">
        <f aca="false">X800*$M800</f>
        <v>0</v>
      </c>
      <c r="Z800" s="28"/>
      <c r="AA800" s="28" t="n">
        <f aca="false">Z800*$M800</f>
        <v>0</v>
      </c>
      <c r="AB800" s="28"/>
      <c r="AC800" s="28" t="n">
        <f aca="false">AB800*$M800</f>
        <v>0</v>
      </c>
      <c r="AD800" s="28"/>
      <c r="AE800" s="28" t="n">
        <f aca="false">AD800*$M800</f>
        <v>0</v>
      </c>
      <c r="AF800" s="28"/>
      <c r="AG800" s="28" t="n">
        <f aca="false">AF800*$M800</f>
        <v>0</v>
      </c>
      <c r="AH800" s="28"/>
      <c r="AI800" s="28" t="n">
        <f aca="false">AH800*$M800</f>
        <v>0</v>
      </c>
      <c r="AJ800" s="28"/>
      <c r="AK800" s="28" t="n">
        <f aca="false">AJ800*$M800</f>
        <v>0</v>
      </c>
      <c r="AL800" s="28"/>
      <c r="AM800" s="28" t="n">
        <f aca="false">AL800*$M800</f>
        <v>0</v>
      </c>
      <c r="AN800" s="28"/>
      <c r="AO800" s="28" t="n">
        <f aca="false">AN800*$M800</f>
        <v>0</v>
      </c>
      <c r="AP800" s="28"/>
      <c r="AQ800" s="28" t="n">
        <f aca="false">AP800*$M800</f>
        <v>0</v>
      </c>
      <c r="AR800" s="28"/>
      <c r="AS800" s="28" t="n">
        <f aca="false">AR800*$M800</f>
        <v>0</v>
      </c>
      <c r="AT800" s="28"/>
      <c r="AU800" s="28" t="n">
        <f aca="false">AT800*$M800</f>
        <v>0</v>
      </c>
      <c r="AV800" s="28"/>
      <c r="AW800" s="28" t="n">
        <f aca="false">AV800*$M800</f>
        <v>0</v>
      </c>
      <c r="AX800" s="28"/>
      <c r="AY800" s="28" t="n">
        <f aca="false">AX800*$M800</f>
        <v>0</v>
      </c>
      <c r="AZ800" s="30"/>
      <c r="BA800" s="11"/>
      <c r="BB800" s="31" t="n">
        <f aca="false">SUM(Q800,S800,U800,W800,Y800,AA800,AC800,AE800,AG800,AI800,AK800,AM800,AO800,AQ800,AS800,AU800,AW800,AY800)</f>
        <v>0</v>
      </c>
      <c r="BC800" s="28" t="n">
        <f aca="false">BA800-BB800</f>
        <v>0</v>
      </c>
      <c r="BD800" s="32" t="n">
        <f aca="false">SUM(P800,R800,T800,V800,X800,Z800,AB800,AD800,AF800,AH800,AJ800,AL800,AN800,AP800,AR800,AT800,AV800,AX800)</f>
        <v>0</v>
      </c>
      <c r="BE800" s="33" t="n">
        <f aca="false">AZ800-BD800</f>
        <v>0</v>
      </c>
      <c r="BF800" s="34" t="n">
        <f aca="false">BD800*M800</f>
        <v>0</v>
      </c>
      <c r="BG800" s="35" t="n">
        <f aca="false">BA800-BF800</f>
        <v>0</v>
      </c>
      <c r="BH800" s="19" t="str">
        <f aca="false">IF(BG800=0,"",IF(BG800&lt;&gt;BA800,"erreur de calcul",IF(BD800&lt;&gt;0,"pas de prix",IF(M800&lt;&gt; 0,"pas de quantité","pas de prix, ni de quantité"))))</f>
        <v/>
      </c>
      <c r="BI800" s="19"/>
    </row>
    <row r="801" customFormat="false" ht="15" hidden="false" customHeight="false" outlineLevel="0" collapsed="false">
      <c r="A801" s="0" t="n">
        <v>20</v>
      </c>
      <c r="B801" s="8" t="s">
        <v>24</v>
      </c>
      <c r="C801" s="9" t="s">
        <v>25</v>
      </c>
      <c r="D801" s="9" t="s">
        <v>26</v>
      </c>
      <c r="E801" s="10" t="n">
        <v>1789</v>
      </c>
      <c r="F801" s="9" t="s">
        <v>27</v>
      </c>
      <c r="G801" s="9" t="s">
        <v>27</v>
      </c>
      <c r="H801" s="11" t="n">
        <v>21</v>
      </c>
      <c r="I801" s="11" t="s">
        <v>173</v>
      </c>
      <c r="J801" s="14" t="n">
        <v>36</v>
      </c>
      <c r="K801" s="14"/>
      <c r="L801" s="16"/>
      <c r="M801" s="27" t="n">
        <f aca="false">J801+(K801/20)+(L801/240)</f>
        <v>36</v>
      </c>
      <c r="N801" s="17" t="s">
        <v>64</v>
      </c>
      <c r="O801" s="11"/>
      <c r="P801" s="28"/>
      <c r="Q801" s="28" t="n">
        <f aca="false">P801*$M801</f>
        <v>0</v>
      </c>
      <c r="R801" s="28"/>
      <c r="S801" s="28" t="n">
        <f aca="false">R801*$M801</f>
        <v>0</v>
      </c>
      <c r="T801" s="28"/>
      <c r="U801" s="28" t="n">
        <f aca="false">T801*$M801</f>
        <v>0</v>
      </c>
      <c r="V801" s="28"/>
      <c r="W801" s="28" t="n">
        <f aca="false">V801*$M801</f>
        <v>0</v>
      </c>
      <c r="X801" s="28"/>
      <c r="Y801" s="28" t="n">
        <f aca="false">X801*$M801</f>
        <v>0</v>
      </c>
      <c r="Z801" s="28"/>
      <c r="AA801" s="28" t="n">
        <f aca="false">Z801*$M801</f>
        <v>0</v>
      </c>
      <c r="AB801" s="28" t="n">
        <f aca="false">80722/100</f>
        <v>807.22</v>
      </c>
      <c r="AC801" s="28" t="n">
        <v>29060</v>
      </c>
      <c r="AD801" s="28"/>
      <c r="AE801" s="28" t="n">
        <f aca="false">AD801*$M801</f>
        <v>0</v>
      </c>
      <c r="AF801" s="28"/>
      <c r="AG801" s="28" t="n">
        <f aca="false">AF801*$M801</f>
        <v>0</v>
      </c>
      <c r="AH801" s="28"/>
      <c r="AI801" s="28" t="n">
        <f aca="false">AH801*$M801</f>
        <v>0</v>
      </c>
      <c r="AJ801" s="28"/>
      <c r="AK801" s="28" t="n">
        <f aca="false">AJ801*$M801</f>
        <v>0</v>
      </c>
      <c r="AL801" s="28"/>
      <c r="AM801" s="28" t="n">
        <f aca="false">AL801*$M801</f>
        <v>0</v>
      </c>
      <c r="AN801" s="28"/>
      <c r="AO801" s="28" t="n">
        <f aca="false">AN801*$M801</f>
        <v>0</v>
      </c>
      <c r="AP801" s="28"/>
      <c r="AQ801" s="28" t="n">
        <f aca="false">AP801*$M801</f>
        <v>0</v>
      </c>
      <c r="AR801" s="28"/>
      <c r="AS801" s="28" t="n">
        <f aca="false">AR801*$M801</f>
        <v>0</v>
      </c>
      <c r="AT801" s="28"/>
      <c r="AU801" s="28" t="n">
        <f aca="false">AT801*$M801</f>
        <v>0</v>
      </c>
      <c r="AV801" s="28"/>
      <c r="AW801" s="28" t="n">
        <f aca="false">AV801*$M801</f>
        <v>0</v>
      </c>
      <c r="AX801" s="28"/>
      <c r="AY801" s="28" t="n">
        <f aca="false">AX801*$M801</f>
        <v>0</v>
      </c>
      <c r="AZ801" s="30" t="n">
        <f aca="false">80722/100</f>
        <v>807.22</v>
      </c>
      <c r="BA801" s="11" t="n">
        <v>29060</v>
      </c>
      <c r="BB801" s="31" t="n">
        <f aca="false">SUM(Q801,S801,U801,W801,Y801,AA801,AC801,AE801,AG801,AI801,AK801,AM801,AO801,AQ801,AS801,AU801,AW801,AY801)</f>
        <v>29060</v>
      </c>
      <c r="BC801" s="28" t="n">
        <f aca="false">BA801-BB801</f>
        <v>0</v>
      </c>
      <c r="BD801" s="32" t="n">
        <f aca="false">SUM(P801,R801,T801,V801,X801,Z801,AB801,AD801,AF801,AH801,AJ801,AL801,AN801,AP801,AR801,AT801,AV801,AX801)</f>
        <v>807.22</v>
      </c>
      <c r="BE801" s="33" t="n">
        <f aca="false">AZ801-BD801</f>
        <v>0</v>
      </c>
      <c r="BF801" s="34" t="n">
        <f aca="false">BD801*M801</f>
        <v>29059.92</v>
      </c>
      <c r="BG801" s="35" t="n">
        <f aca="false">BA801-BF801</f>
        <v>0.0799999999981083</v>
      </c>
      <c r="BH801" s="19" t="str">
        <f aca="false">IF(BG801=0,"",IF(BG801&lt;&gt;BA801,"erreur de calcul",IF(BD801&lt;&gt;0,"pas de prix",IF(M801&lt;&gt; 0,"pas de quantité","pas de prix, ni de quantité"))))</f>
        <v>erreur de calcul</v>
      </c>
      <c r="BI801" s="19"/>
    </row>
    <row r="802" customFormat="false" ht="15" hidden="false" customHeight="false" outlineLevel="0" collapsed="false">
      <c r="A802" s="0" t="n">
        <v>21</v>
      </c>
      <c r="B802" s="8" t="s">
        <v>24</v>
      </c>
      <c r="C802" s="9" t="s">
        <v>25</v>
      </c>
      <c r="D802" s="9" t="s">
        <v>26</v>
      </c>
      <c r="E802" s="10" t="n">
        <v>1789</v>
      </c>
      <c r="F802" s="9" t="s">
        <v>27</v>
      </c>
      <c r="G802" s="9" t="s">
        <v>27</v>
      </c>
      <c r="H802" s="11" t="n">
        <v>21</v>
      </c>
      <c r="I802" s="11" t="s">
        <v>174</v>
      </c>
      <c r="J802" s="14" t="n">
        <v>31</v>
      </c>
      <c r="K802" s="14"/>
      <c r="L802" s="16"/>
      <c r="M802" s="27" t="n">
        <f aca="false">J802+(K802/20)+(L802/240)</f>
        <v>31</v>
      </c>
      <c r="N802" s="17" t="s">
        <v>64</v>
      </c>
      <c r="O802" s="11"/>
      <c r="P802" s="28"/>
      <c r="Q802" s="28" t="n">
        <f aca="false">P802*$M802</f>
        <v>0</v>
      </c>
      <c r="R802" s="28"/>
      <c r="S802" s="28" t="n">
        <f aca="false">R802*$M802</f>
        <v>0</v>
      </c>
      <c r="T802" s="28"/>
      <c r="U802" s="28" t="n">
        <f aca="false">T802*$M802</f>
        <v>0</v>
      </c>
      <c r="V802" s="28"/>
      <c r="W802" s="28" t="n">
        <f aca="false">V802*$M802</f>
        <v>0</v>
      </c>
      <c r="X802" s="28"/>
      <c r="Y802" s="28" t="n">
        <f aca="false">X802*$M802</f>
        <v>0</v>
      </c>
      <c r="Z802" s="28"/>
      <c r="AA802" s="28" t="n">
        <f aca="false">Z802*$M802</f>
        <v>0</v>
      </c>
      <c r="AB802" s="28"/>
      <c r="AC802" s="28" t="n">
        <f aca="false">AB802*$M802</f>
        <v>0</v>
      </c>
      <c r="AD802" s="28"/>
      <c r="AE802" s="28" t="n">
        <f aca="false">AD802*$M802</f>
        <v>0</v>
      </c>
      <c r="AF802" s="28" t="n">
        <f aca="false">4599/100</f>
        <v>45.99</v>
      </c>
      <c r="AG802" s="28" t="n">
        <v>1426</v>
      </c>
      <c r="AH802" s="28" t="n">
        <f aca="false">12691/100</f>
        <v>126.91</v>
      </c>
      <c r="AI802" s="28" t="n">
        <v>3934</v>
      </c>
      <c r="AJ802" s="28"/>
      <c r="AK802" s="28" t="n">
        <f aca="false">AJ802*$M802</f>
        <v>0</v>
      </c>
      <c r="AL802" s="28"/>
      <c r="AM802" s="28" t="n">
        <f aca="false">AL802*$M802</f>
        <v>0</v>
      </c>
      <c r="AN802" s="28"/>
      <c r="AO802" s="28" t="n">
        <f aca="false">AN802*$M802</f>
        <v>0</v>
      </c>
      <c r="AP802" s="28"/>
      <c r="AQ802" s="28" t="n">
        <f aca="false">AP802*$M802</f>
        <v>0</v>
      </c>
      <c r="AR802" s="28"/>
      <c r="AS802" s="28" t="n">
        <f aca="false">AR802*$M802</f>
        <v>0</v>
      </c>
      <c r="AT802" s="28"/>
      <c r="AU802" s="28" t="n">
        <f aca="false">AT802*$M802</f>
        <v>0</v>
      </c>
      <c r="AV802" s="28"/>
      <c r="AW802" s="28" t="n">
        <f aca="false">AV802*$M802</f>
        <v>0</v>
      </c>
      <c r="AX802" s="28"/>
      <c r="AY802" s="28" t="n">
        <f aca="false">AX802*$M802</f>
        <v>0</v>
      </c>
      <c r="AZ802" s="30" t="n">
        <f aca="false">17290/100</f>
        <v>172.9</v>
      </c>
      <c r="BA802" s="11" t="n">
        <v>5360</v>
      </c>
      <c r="BB802" s="31" t="n">
        <f aca="false">SUM(Q802,S802,U802,W802,Y802,AA802,AC802,AE802,AG802,AI802,AK802,AM802,AO802,AQ802,AS802,AU802,AW802,AY802)</f>
        <v>5360</v>
      </c>
      <c r="BC802" s="28" t="n">
        <f aca="false">BA802-BB802</f>
        <v>0</v>
      </c>
      <c r="BD802" s="32" t="n">
        <f aca="false">SUM(P802,R802,T802,V802,X802,Z802,AB802,AD802,AF802,AH802,AJ802,AL802,AN802,AP802,AR802,AT802,AV802,AX802)</f>
        <v>172.9</v>
      </c>
      <c r="BE802" s="33" t="n">
        <f aca="false">AZ802-BD802</f>
        <v>0</v>
      </c>
      <c r="BF802" s="34" t="n">
        <f aca="false">BD802*M802</f>
        <v>5359.9</v>
      </c>
      <c r="BG802" s="35" t="n">
        <f aca="false">BA802-BF802</f>
        <v>0.0999999999994543</v>
      </c>
      <c r="BH802" s="19" t="str">
        <f aca="false">IF(BG802=0,"",IF(BG802&lt;&gt;BA802,"erreur de calcul",IF(BD802&lt;&gt;0,"pas de prix",IF(M802&lt;&gt; 0,"pas de quantité","pas de prix, ni de quantité"))))</f>
        <v>erreur de calcul</v>
      </c>
      <c r="BI802" s="19"/>
    </row>
    <row r="803" customFormat="false" ht="15" hidden="false" customHeight="false" outlineLevel="0" collapsed="false">
      <c r="A803" s="0" t="n">
        <v>22</v>
      </c>
      <c r="B803" s="8" t="s">
        <v>24</v>
      </c>
      <c r="C803" s="9" t="s">
        <v>25</v>
      </c>
      <c r="D803" s="9" t="s">
        <v>26</v>
      </c>
      <c r="E803" s="10" t="n">
        <v>1789</v>
      </c>
      <c r="F803" s="9" t="s">
        <v>27</v>
      </c>
      <c r="G803" s="9" t="s">
        <v>27</v>
      </c>
      <c r="H803" s="11" t="n">
        <v>21</v>
      </c>
      <c r="I803" s="11" t="s">
        <v>175</v>
      </c>
      <c r="J803" s="14" t="n">
        <v>120</v>
      </c>
      <c r="K803" s="14"/>
      <c r="L803" s="16"/>
      <c r="M803" s="27" t="n">
        <f aca="false">J803+(K803/20)+(L803/240)</f>
        <v>120</v>
      </c>
      <c r="N803" s="17" t="s">
        <v>64</v>
      </c>
      <c r="O803" s="11"/>
      <c r="P803" s="28"/>
      <c r="Q803" s="28" t="n">
        <f aca="false">P803*$M803</f>
        <v>0</v>
      </c>
      <c r="R803" s="28"/>
      <c r="S803" s="28" t="n">
        <f aca="false">R803*$M803</f>
        <v>0</v>
      </c>
      <c r="T803" s="28"/>
      <c r="U803" s="28" t="n">
        <f aca="false">T803*$M803</f>
        <v>0</v>
      </c>
      <c r="V803" s="28" t="n">
        <f aca="false">2364/100</f>
        <v>23.64</v>
      </c>
      <c r="W803" s="28" t="n">
        <v>2837</v>
      </c>
      <c r="X803" s="28"/>
      <c r="Y803" s="28" t="n">
        <f aca="false">X803*$M803</f>
        <v>0</v>
      </c>
      <c r="Z803" s="28"/>
      <c r="AA803" s="28" t="n">
        <f aca="false">Z803*$M803</f>
        <v>0</v>
      </c>
      <c r="AB803" s="28"/>
      <c r="AC803" s="28" t="n">
        <f aca="false">AB803*$M803</f>
        <v>0</v>
      </c>
      <c r="AD803" s="28"/>
      <c r="AE803" s="28" t="n">
        <f aca="false">AD803*$M803</f>
        <v>0</v>
      </c>
      <c r="AF803" s="28"/>
      <c r="AG803" s="28" t="n">
        <f aca="false">AF803*$M803</f>
        <v>0</v>
      </c>
      <c r="AH803" s="28"/>
      <c r="AI803" s="28" t="n">
        <f aca="false">AH803*$M803</f>
        <v>0</v>
      </c>
      <c r="AJ803" s="28"/>
      <c r="AK803" s="28" t="n">
        <f aca="false">AJ803*$M803</f>
        <v>0</v>
      </c>
      <c r="AL803" s="28"/>
      <c r="AM803" s="28" t="n">
        <f aca="false">AL803*$M803</f>
        <v>0</v>
      </c>
      <c r="AN803" s="28"/>
      <c r="AO803" s="28" t="n">
        <f aca="false">AN803*$M803</f>
        <v>0</v>
      </c>
      <c r="AP803" s="28"/>
      <c r="AQ803" s="28" t="n">
        <f aca="false">AP803*$M803</f>
        <v>0</v>
      </c>
      <c r="AR803" s="28"/>
      <c r="AS803" s="28" t="n">
        <f aca="false">AR803*$M803</f>
        <v>0</v>
      </c>
      <c r="AT803" s="28"/>
      <c r="AU803" s="28" t="n">
        <f aca="false">AT803*$M803</f>
        <v>0</v>
      </c>
      <c r="AV803" s="28"/>
      <c r="AW803" s="28" t="n">
        <f aca="false">AV803*$M803</f>
        <v>0</v>
      </c>
      <c r="AX803" s="28"/>
      <c r="AY803" s="28" t="n">
        <f aca="false">AX803*$M803</f>
        <v>0</v>
      </c>
      <c r="AZ803" s="30" t="n">
        <f aca="false">2364/100</f>
        <v>23.64</v>
      </c>
      <c r="BA803" s="11" t="n">
        <v>2837</v>
      </c>
      <c r="BB803" s="31" t="n">
        <f aca="false">SUM(Q803,S803,U803,W803,Y803,AA803,AC803,AE803,AG803,AI803,AK803,AM803,AO803,AQ803,AS803,AU803,AW803,AY803)</f>
        <v>2837</v>
      </c>
      <c r="BC803" s="28" t="n">
        <f aca="false">BA803-BB803</f>
        <v>0</v>
      </c>
      <c r="BD803" s="32" t="n">
        <f aca="false">SUM(P803,R803,T803,V803,X803,Z803,AB803,AD803,AF803,AH803,AJ803,AL803,AN803,AP803,AR803,AT803,AV803,AX803)</f>
        <v>23.64</v>
      </c>
      <c r="BE803" s="33" t="n">
        <f aca="false">AZ803-BD803</f>
        <v>0</v>
      </c>
      <c r="BF803" s="34" t="n">
        <f aca="false">BD803*M803</f>
        <v>2836.8</v>
      </c>
      <c r="BG803" s="35" t="n">
        <f aca="false">BA803-BF803</f>
        <v>0.199999999999818</v>
      </c>
      <c r="BH803" s="19" t="str">
        <f aca="false">IF(BG803=0,"",IF(BG803&lt;&gt;BA803,"erreur de calcul",IF(BD803&lt;&gt;0,"pas de prix",IF(M803&lt;&gt; 0,"pas de quantité","pas de prix, ni de quantité"))))</f>
        <v>erreur de calcul</v>
      </c>
      <c r="BI803" s="19"/>
    </row>
    <row r="804" customFormat="false" ht="15" hidden="false" customHeight="false" outlineLevel="0" collapsed="false">
      <c r="A804" s="0" t="n">
        <v>23</v>
      </c>
      <c r="B804" s="8" t="s">
        <v>24</v>
      </c>
      <c r="C804" s="9" t="s">
        <v>25</v>
      </c>
      <c r="D804" s="9" t="s">
        <v>26</v>
      </c>
      <c r="E804" s="10" t="n">
        <v>1789</v>
      </c>
      <c r="F804" s="9" t="s">
        <v>27</v>
      </c>
      <c r="G804" s="9" t="s">
        <v>27</v>
      </c>
      <c r="H804" s="11" t="n">
        <v>21</v>
      </c>
      <c r="I804" s="11" t="s">
        <v>176</v>
      </c>
      <c r="J804" s="14" t="n">
        <v>170</v>
      </c>
      <c r="K804" s="14"/>
      <c r="L804" s="16"/>
      <c r="M804" s="27" t="n">
        <f aca="false">J804+(K804/20)+(L804/240)</f>
        <v>170</v>
      </c>
      <c r="N804" s="17" t="s">
        <v>64</v>
      </c>
      <c r="O804" s="11"/>
      <c r="P804" s="28" t="n">
        <f aca="false">9760/100</f>
        <v>97.6</v>
      </c>
      <c r="Q804" s="28" t="n">
        <v>16592</v>
      </c>
      <c r="R804" s="28"/>
      <c r="S804" s="28" t="n">
        <f aca="false">R804*$M804</f>
        <v>0</v>
      </c>
      <c r="T804" s="28"/>
      <c r="U804" s="28" t="n">
        <f aca="false">T804*$M804</f>
        <v>0</v>
      </c>
      <c r="V804" s="28"/>
      <c r="W804" s="28" t="n">
        <f aca="false">V804*$M804</f>
        <v>0</v>
      </c>
      <c r="X804" s="28" t="n">
        <f aca="false">1589/100</f>
        <v>15.89</v>
      </c>
      <c r="Y804" s="28" t="n">
        <v>2701</v>
      </c>
      <c r="Z804" s="28"/>
      <c r="AA804" s="28" t="n">
        <f aca="false">Z804*$M804</f>
        <v>0</v>
      </c>
      <c r="AB804" s="28"/>
      <c r="AC804" s="28" t="n">
        <f aca="false">AB804*$M804</f>
        <v>0</v>
      </c>
      <c r="AD804" s="28"/>
      <c r="AE804" s="28" t="n">
        <f aca="false">AD804*$M804</f>
        <v>0</v>
      </c>
      <c r="AF804" s="28"/>
      <c r="AG804" s="28" t="n">
        <f aca="false">AF804*$M804</f>
        <v>0</v>
      </c>
      <c r="AH804" s="28"/>
      <c r="AI804" s="28" t="n">
        <f aca="false">AH804*$M804</f>
        <v>0</v>
      </c>
      <c r="AJ804" s="28"/>
      <c r="AK804" s="28" t="n">
        <f aca="false">AJ804*$M804</f>
        <v>0</v>
      </c>
      <c r="AL804" s="28"/>
      <c r="AM804" s="28" t="n">
        <f aca="false">AL804*$M804</f>
        <v>0</v>
      </c>
      <c r="AN804" s="28"/>
      <c r="AO804" s="28" t="n">
        <f aca="false">AN804*$M804</f>
        <v>0</v>
      </c>
      <c r="AP804" s="28"/>
      <c r="AQ804" s="28" t="n">
        <f aca="false">AP804*$M804</f>
        <v>0</v>
      </c>
      <c r="AR804" s="28"/>
      <c r="AS804" s="28" t="n">
        <f aca="false">AR804*$M804</f>
        <v>0</v>
      </c>
      <c r="AT804" s="28"/>
      <c r="AU804" s="28" t="n">
        <f aca="false">AT804*$M804</f>
        <v>0</v>
      </c>
      <c r="AV804" s="28"/>
      <c r="AW804" s="28" t="n">
        <f aca="false">AV804*$M804</f>
        <v>0</v>
      </c>
      <c r="AX804" s="28"/>
      <c r="AY804" s="28" t="n">
        <f aca="false">AX804*$M804</f>
        <v>0</v>
      </c>
      <c r="AZ804" s="30" t="n">
        <f aca="false">11349/100</f>
        <v>113.49</v>
      </c>
      <c r="BA804" s="11" t="n">
        <v>19293</v>
      </c>
      <c r="BB804" s="31" t="n">
        <f aca="false">SUM(Q804,S804,U804,W804,Y804,AA804,AC804,AE804,AG804,AI804,AK804,AM804,AO804,AQ804,AS804,AU804,AW804,AY804)</f>
        <v>19293</v>
      </c>
      <c r="BC804" s="28" t="n">
        <f aca="false">BA804-BB804</f>
        <v>0</v>
      </c>
      <c r="BD804" s="32" t="n">
        <f aca="false">SUM(P804,R804,T804,V804,X804,Z804,AB804,AD804,AF804,AH804,AJ804,AL804,AN804,AP804,AR804,AT804,AV804,AX804)</f>
        <v>113.49</v>
      </c>
      <c r="BE804" s="33" t="n">
        <f aca="false">AZ804-BD804</f>
        <v>0</v>
      </c>
      <c r="BF804" s="34" t="n">
        <f aca="false">BD804*M804</f>
        <v>19293.3</v>
      </c>
      <c r="BG804" s="35" t="n">
        <f aca="false">BA804-BF804</f>
        <v>-0.299999999999272</v>
      </c>
      <c r="BH804" s="19" t="str">
        <f aca="false">IF(BG804=0,"",IF(BG804&lt;&gt;BA804,"erreur de calcul",IF(BD804&lt;&gt;0,"pas de prix",IF(M804&lt;&gt; 0,"pas de quantité","pas de prix, ni de quantité"))))</f>
        <v>erreur de calcul</v>
      </c>
      <c r="BI804" s="19"/>
    </row>
    <row r="805" customFormat="false" ht="15" hidden="false" customHeight="false" outlineLevel="0" collapsed="false">
      <c r="A805" s="0" t="n">
        <v>24</v>
      </c>
      <c r="B805" s="8" t="s">
        <v>24</v>
      </c>
      <c r="C805" s="9" t="s">
        <v>25</v>
      </c>
      <c r="D805" s="9" t="s">
        <v>26</v>
      </c>
      <c r="E805" s="10" t="n">
        <v>1789</v>
      </c>
      <c r="F805" s="9" t="s">
        <v>27</v>
      </c>
      <c r="G805" s="9" t="s">
        <v>27</v>
      </c>
      <c r="H805" s="11" t="n">
        <v>21</v>
      </c>
      <c r="I805" s="11" t="s">
        <v>177</v>
      </c>
      <c r="J805" s="14" t="n">
        <v>9</v>
      </c>
      <c r="K805" s="14"/>
      <c r="L805" s="16"/>
      <c r="M805" s="27" t="n">
        <f aca="false">J805+(K805/20)+(L805/240)</f>
        <v>9</v>
      </c>
      <c r="N805" s="17" t="s">
        <v>66</v>
      </c>
      <c r="O805" s="11"/>
      <c r="P805" s="28"/>
      <c r="Q805" s="28" t="n">
        <f aca="false">P805*$M805</f>
        <v>0</v>
      </c>
      <c r="R805" s="28" t="n">
        <v>349</v>
      </c>
      <c r="S805" s="28" t="n">
        <v>3141</v>
      </c>
      <c r="T805" s="28"/>
      <c r="U805" s="28" t="n">
        <f aca="false">T805*$M805</f>
        <v>0</v>
      </c>
      <c r="V805" s="28" t="n">
        <v>315</v>
      </c>
      <c r="W805" s="28" t="n">
        <v>2835</v>
      </c>
      <c r="X805" s="28" t="n">
        <v>733</v>
      </c>
      <c r="Y805" s="28" t="n">
        <v>6597</v>
      </c>
      <c r="Z805" s="28"/>
      <c r="AA805" s="28" t="n">
        <f aca="false">Z805*$M805</f>
        <v>0</v>
      </c>
      <c r="AB805" s="28" t="n">
        <v>162</v>
      </c>
      <c r="AC805" s="28" t="n">
        <v>1458</v>
      </c>
      <c r="AD805" s="28"/>
      <c r="AE805" s="28" t="n">
        <f aca="false">AD805*$M805</f>
        <v>0</v>
      </c>
      <c r="AF805" s="28"/>
      <c r="AG805" s="28" t="n">
        <f aca="false">AF805*$M805</f>
        <v>0</v>
      </c>
      <c r="AH805" s="28"/>
      <c r="AI805" s="28" t="n">
        <f aca="false">AH805*$M805</f>
        <v>0</v>
      </c>
      <c r="AJ805" s="28"/>
      <c r="AK805" s="28" t="n">
        <f aca="false">AJ805*$M805</f>
        <v>0</v>
      </c>
      <c r="AL805" s="28"/>
      <c r="AM805" s="28" t="n">
        <f aca="false">AL805*$M805</f>
        <v>0</v>
      </c>
      <c r="AN805" s="28"/>
      <c r="AO805" s="28" t="n">
        <f aca="false">AN805*$M805</f>
        <v>0</v>
      </c>
      <c r="AP805" s="28"/>
      <c r="AQ805" s="28" t="n">
        <f aca="false">AP805*$M805</f>
        <v>0</v>
      </c>
      <c r="AR805" s="28"/>
      <c r="AS805" s="28" t="n">
        <f aca="false">AR805*$M805</f>
        <v>0</v>
      </c>
      <c r="AT805" s="28"/>
      <c r="AU805" s="28" t="n">
        <f aca="false">AT805*$M805</f>
        <v>0</v>
      </c>
      <c r="AV805" s="28"/>
      <c r="AW805" s="28" t="n">
        <f aca="false">AV805*$M805</f>
        <v>0</v>
      </c>
      <c r="AX805" s="28"/>
      <c r="AY805" s="28" t="n">
        <f aca="false">AX805*$M805</f>
        <v>0</v>
      </c>
      <c r="AZ805" s="30" t="n">
        <f aca="false">1559</f>
        <v>1559</v>
      </c>
      <c r="BA805" s="11" t="n">
        <v>14031</v>
      </c>
      <c r="BB805" s="31" t="n">
        <f aca="false">SUM(Q805,S805,U805,W805,Y805,AA805,AC805,AE805,AG805,AI805,AK805,AM805,AO805,AQ805,AS805,AU805,AW805,AY805)</f>
        <v>14031</v>
      </c>
      <c r="BC805" s="28" t="n">
        <f aca="false">BA805-BB805</f>
        <v>0</v>
      </c>
      <c r="BD805" s="32" t="n">
        <f aca="false">SUM(P805,R805,T805,V805,X805,Z805,AB805,AD805,AF805,AH805,AJ805,AL805,AN805,AP805,AR805,AT805,AV805,AX805)</f>
        <v>1559</v>
      </c>
      <c r="BE805" s="33" t="n">
        <f aca="false">AZ805-BD805</f>
        <v>0</v>
      </c>
      <c r="BF805" s="34" t="n">
        <f aca="false">BD805*M805</f>
        <v>14031</v>
      </c>
      <c r="BG805" s="35" t="n">
        <f aca="false">BA805-BF805</f>
        <v>0</v>
      </c>
      <c r="BH805" s="19" t="str">
        <f aca="false">IF(BG805=0,"",IF(BG805&lt;&gt;BA805,"erreur de calcul",IF(BD805&lt;&gt;0,"pas de prix",IF(M805&lt;&gt; 0,"pas de quantité","pas de prix, ni de quantité"))))</f>
        <v/>
      </c>
      <c r="BI805" s="19"/>
    </row>
    <row r="806" customFormat="false" ht="15" hidden="false" customHeight="false" outlineLevel="0" collapsed="false">
      <c r="A806" s="0" t="n">
        <v>25</v>
      </c>
      <c r="B806" s="8" t="s">
        <v>24</v>
      </c>
      <c r="C806" s="9" t="s">
        <v>25</v>
      </c>
      <c r="D806" s="9" t="s">
        <v>26</v>
      </c>
      <c r="E806" s="10" t="n">
        <v>1789</v>
      </c>
      <c r="F806" s="9" t="s">
        <v>27</v>
      </c>
      <c r="G806" s="9" t="s">
        <v>27</v>
      </c>
      <c r="H806" s="11" t="n">
        <v>21</v>
      </c>
      <c r="I806" s="11" t="s">
        <v>178</v>
      </c>
      <c r="J806" s="14" t="n">
        <v>125</v>
      </c>
      <c r="K806" s="14"/>
      <c r="L806" s="16"/>
      <c r="M806" s="27" t="n">
        <f aca="false">J806+(K806/20)+(L806/240)</f>
        <v>125</v>
      </c>
      <c r="N806" s="17" t="s">
        <v>64</v>
      </c>
      <c r="O806" s="11"/>
      <c r="P806" s="28"/>
      <c r="Q806" s="28" t="n">
        <f aca="false">P806*$M806</f>
        <v>0</v>
      </c>
      <c r="R806" s="28"/>
      <c r="S806" s="28" t="n">
        <f aca="false">R806*$M806</f>
        <v>0</v>
      </c>
      <c r="T806" s="28"/>
      <c r="U806" s="28" t="n">
        <f aca="false">T806*$M806</f>
        <v>0</v>
      </c>
      <c r="V806" s="28" t="n">
        <f aca="false">10764/100</f>
        <v>107.64</v>
      </c>
      <c r="W806" s="28" t="n">
        <v>13455</v>
      </c>
      <c r="X806" s="28" t="n">
        <f aca="false">13215/100</f>
        <v>132.15</v>
      </c>
      <c r="Y806" s="28" t="n">
        <v>16519</v>
      </c>
      <c r="Z806" s="28"/>
      <c r="AA806" s="28" t="n">
        <f aca="false">Z806*$M806</f>
        <v>0</v>
      </c>
      <c r="AB806" s="28" t="n">
        <f aca="false">188461/100</f>
        <v>1884.61</v>
      </c>
      <c r="AC806" s="28" t="n">
        <v>235576</v>
      </c>
      <c r="AD806" s="28"/>
      <c r="AE806" s="28" t="n">
        <f aca="false">AD806*$M806</f>
        <v>0</v>
      </c>
      <c r="AF806" s="28"/>
      <c r="AG806" s="28" t="n">
        <f aca="false">AF806*$M806</f>
        <v>0</v>
      </c>
      <c r="AH806" s="28"/>
      <c r="AI806" s="28" t="n">
        <f aca="false">AH806*$M806</f>
        <v>0</v>
      </c>
      <c r="AJ806" s="28"/>
      <c r="AK806" s="28" t="n">
        <f aca="false">AJ806*$M806</f>
        <v>0</v>
      </c>
      <c r="AL806" s="28"/>
      <c r="AM806" s="28" t="n">
        <f aca="false">AL806*$M806</f>
        <v>0</v>
      </c>
      <c r="AN806" s="28"/>
      <c r="AO806" s="28" t="n">
        <f aca="false">AN806*$M806</f>
        <v>0</v>
      </c>
      <c r="AP806" s="28"/>
      <c r="AQ806" s="28" t="n">
        <f aca="false">AP806*$M806</f>
        <v>0</v>
      </c>
      <c r="AR806" s="28"/>
      <c r="AS806" s="28" t="n">
        <f aca="false">AR806*$M806</f>
        <v>0</v>
      </c>
      <c r="AT806" s="28"/>
      <c r="AU806" s="28" t="n">
        <f aca="false">AT806*$M806</f>
        <v>0</v>
      </c>
      <c r="AV806" s="28"/>
      <c r="AW806" s="28" t="n">
        <f aca="false">AV806*$M806</f>
        <v>0</v>
      </c>
      <c r="AX806" s="28"/>
      <c r="AY806" s="28" t="n">
        <f aca="false">AX806*$M806</f>
        <v>0</v>
      </c>
      <c r="AZ806" s="30" t="n">
        <f aca="false">212440/100</f>
        <v>2124.4</v>
      </c>
      <c r="BA806" s="11" t="n">
        <v>265550</v>
      </c>
      <c r="BB806" s="31" t="n">
        <f aca="false">SUM(Q806,S806,U806,W806,Y806,AA806,AC806,AE806,AG806,AI806,AK806,AM806,AO806,AQ806,AS806,AU806,AW806,AY806)</f>
        <v>265550</v>
      </c>
      <c r="BC806" s="28" t="n">
        <f aca="false">BA806-BB806</f>
        <v>0</v>
      </c>
      <c r="BD806" s="32" t="n">
        <f aca="false">SUM(P806,R806,T806,V806,X806,Z806,AB806,AD806,AF806,AH806,AJ806,AL806,AN806,AP806,AR806,AT806,AV806,AX806)</f>
        <v>2124.4</v>
      </c>
      <c r="BE806" s="33" t="n">
        <f aca="false">AZ806-BD806</f>
        <v>0</v>
      </c>
      <c r="BF806" s="34" t="n">
        <f aca="false">BD806*M806</f>
        <v>265550</v>
      </c>
      <c r="BG806" s="35" t="n">
        <f aca="false">BA806-BF806</f>
        <v>0</v>
      </c>
      <c r="BH806" s="19" t="str">
        <f aca="false">IF(BG806=0,"",IF(BG806&lt;&gt;BA806,"erreur de calcul",IF(BD806&lt;&gt;0,"pas de prix",IF(M806&lt;&gt; 0,"pas de quantité","pas de prix, ni de quantité"))))</f>
        <v/>
      </c>
      <c r="BI806" s="19"/>
    </row>
    <row r="807" customFormat="false" ht="15" hidden="false" customHeight="false" outlineLevel="0" collapsed="false">
      <c r="A807" s="0" t="n">
        <v>26</v>
      </c>
      <c r="B807" s="8" t="s">
        <v>24</v>
      </c>
      <c r="C807" s="9" t="s">
        <v>25</v>
      </c>
      <c r="D807" s="9" t="s">
        <v>26</v>
      </c>
      <c r="E807" s="10" t="n">
        <v>1789</v>
      </c>
      <c r="F807" s="9" t="s">
        <v>27</v>
      </c>
      <c r="G807" s="9" t="s">
        <v>27</v>
      </c>
      <c r="H807" s="11" t="n">
        <v>21</v>
      </c>
      <c r="I807" s="11" t="s">
        <v>179</v>
      </c>
      <c r="J807" s="14" t="n">
        <v>7</v>
      </c>
      <c r="K807" s="14"/>
      <c r="L807" s="16"/>
      <c r="M807" s="27" t="n">
        <f aca="false">J807+(K807/20)+(L807/240)</f>
        <v>7</v>
      </c>
      <c r="N807" s="17" t="s">
        <v>66</v>
      </c>
      <c r="O807" s="11"/>
      <c r="P807" s="28" t="n">
        <v>8441</v>
      </c>
      <c r="Q807" s="28" t="n">
        <v>59087</v>
      </c>
      <c r="R807" s="28"/>
      <c r="S807" s="28" t="n">
        <f aca="false">R807*$M807</f>
        <v>0</v>
      </c>
      <c r="T807" s="28"/>
      <c r="U807" s="28" t="n">
        <f aca="false">T807*$M807</f>
        <v>0</v>
      </c>
      <c r="V807" s="28"/>
      <c r="W807" s="28" t="n">
        <f aca="false">V807*$M807</f>
        <v>0</v>
      </c>
      <c r="X807" s="28"/>
      <c r="Y807" s="28" t="n">
        <f aca="false">X807*$M807</f>
        <v>0</v>
      </c>
      <c r="Z807" s="28" t="n">
        <v>357</v>
      </c>
      <c r="AA807" s="28" t="n">
        <v>2499</v>
      </c>
      <c r="AB807" s="28"/>
      <c r="AC807" s="28" t="n">
        <f aca="false">AB807*$M807</f>
        <v>0</v>
      </c>
      <c r="AD807" s="28"/>
      <c r="AE807" s="28" t="n">
        <f aca="false">AD807*$M807</f>
        <v>0</v>
      </c>
      <c r="AF807" s="28"/>
      <c r="AG807" s="28" t="n">
        <f aca="false">AF807*$M807</f>
        <v>0</v>
      </c>
      <c r="AH807" s="28"/>
      <c r="AI807" s="28" t="n">
        <f aca="false">AH807*$M807</f>
        <v>0</v>
      </c>
      <c r="AJ807" s="28"/>
      <c r="AK807" s="28" t="n">
        <f aca="false">AJ807*$M807</f>
        <v>0</v>
      </c>
      <c r="AL807" s="28"/>
      <c r="AM807" s="28" t="n">
        <f aca="false">AL807*$M807</f>
        <v>0</v>
      </c>
      <c r="AN807" s="28"/>
      <c r="AO807" s="28" t="n">
        <f aca="false">AN807*$M807</f>
        <v>0</v>
      </c>
      <c r="AP807" s="28"/>
      <c r="AQ807" s="28" t="n">
        <f aca="false">AP807*$M807</f>
        <v>0</v>
      </c>
      <c r="AR807" s="28"/>
      <c r="AS807" s="28" t="n">
        <f aca="false">AR807*$M807</f>
        <v>0</v>
      </c>
      <c r="AT807" s="28"/>
      <c r="AU807" s="28" t="n">
        <f aca="false">AT807*$M807</f>
        <v>0</v>
      </c>
      <c r="AV807" s="28"/>
      <c r="AW807" s="28" t="n">
        <f aca="false">AV807*$M807</f>
        <v>0</v>
      </c>
      <c r="AX807" s="28"/>
      <c r="AY807" s="28" t="n">
        <f aca="false">AX807*$M807</f>
        <v>0</v>
      </c>
      <c r="AZ807" s="30" t="n">
        <v>8798</v>
      </c>
      <c r="BA807" s="11" t="n">
        <v>61586</v>
      </c>
      <c r="BB807" s="31" t="n">
        <f aca="false">SUM(Q807,S807,U807,W807,Y807,AA807,AC807,AE807,AG807,AI807,AK807,AM807,AO807,AQ807,AS807,AU807,AW807,AY807)</f>
        <v>61586</v>
      </c>
      <c r="BC807" s="28" t="n">
        <f aca="false">BA807-BB807</f>
        <v>0</v>
      </c>
      <c r="BD807" s="32" t="n">
        <f aca="false">SUM(P807,R807,T807,V807,X807,Z807,AB807,AD807,AF807,AH807,AJ807,AL807,AN807,AP807,AR807,AT807,AV807,AX807)</f>
        <v>8798</v>
      </c>
      <c r="BE807" s="33" t="n">
        <f aca="false">AZ807-BD807</f>
        <v>0</v>
      </c>
      <c r="BF807" s="34" t="n">
        <f aca="false">BD807*M807</f>
        <v>61586</v>
      </c>
      <c r="BG807" s="35" t="n">
        <f aca="false">BA807-BF807</f>
        <v>0</v>
      </c>
      <c r="BH807" s="19" t="str">
        <f aca="false">IF(BG807=0,"",IF(BG807&lt;&gt;BA807,"erreur de calcul",IF(BD807&lt;&gt;0,"pas de prix",IF(M807&lt;&gt; 0,"pas de quantité","pas de prix, ni de quantité"))))</f>
        <v/>
      </c>
      <c r="BI807" s="19"/>
    </row>
    <row r="808" customFormat="false" ht="15" hidden="false" customHeight="false" outlineLevel="0" collapsed="false">
      <c r="A808" s="0" t="n">
        <v>27</v>
      </c>
      <c r="B808" s="8" t="s">
        <v>24</v>
      </c>
      <c r="C808" s="9" t="s">
        <v>25</v>
      </c>
      <c r="D808" s="9" t="s">
        <v>26</v>
      </c>
      <c r="E808" s="10" t="n">
        <v>1789</v>
      </c>
      <c r="F808" s="9" t="s">
        <v>27</v>
      </c>
      <c r="G808" s="9" t="s">
        <v>27</v>
      </c>
      <c r="H808" s="11" t="n">
        <v>21</v>
      </c>
      <c r="I808" s="11" t="s">
        <v>180</v>
      </c>
      <c r="J808" s="14" t="n">
        <v>9</v>
      </c>
      <c r="K808" s="14"/>
      <c r="L808" s="16"/>
      <c r="M808" s="27" t="n">
        <f aca="false">J808+(K808/20)+(L808/240)</f>
        <v>9</v>
      </c>
      <c r="N808" s="17" t="s">
        <v>64</v>
      </c>
      <c r="O808" s="11"/>
      <c r="P808" s="28" t="n">
        <f aca="false">22662/100</f>
        <v>226.62</v>
      </c>
      <c r="Q808" s="28" t="n">
        <v>2039</v>
      </c>
      <c r="R808" s="28"/>
      <c r="S808" s="28" t="n">
        <f aca="false">R808*$M808</f>
        <v>0</v>
      </c>
      <c r="T808" s="28"/>
      <c r="U808" s="28" t="n">
        <f aca="false">T808*$M808</f>
        <v>0</v>
      </c>
      <c r="V808" s="28"/>
      <c r="W808" s="28" t="n">
        <f aca="false">V808*$M808</f>
        <v>0</v>
      </c>
      <c r="X808" s="28"/>
      <c r="Y808" s="28" t="n">
        <f aca="false">X808*$M808</f>
        <v>0</v>
      </c>
      <c r="Z808" s="28"/>
      <c r="AA808" s="28" t="n">
        <f aca="false">Z808*$M808</f>
        <v>0</v>
      </c>
      <c r="AB808" s="28"/>
      <c r="AC808" s="28" t="n">
        <f aca="false">AB808*$M808</f>
        <v>0</v>
      </c>
      <c r="AD808" s="28"/>
      <c r="AE808" s="28" t="n">
        <f aca="false">AD808*$M808</f>
        <v>0</v>
      </c>
      <c r="AF808" s="28"/>
      <c r="AG808" s="28" t="n">
        <f aca="false">AF808*$M808</f>
        <v>0</v>
      </c>
      <c r="AH808" s="28"/>
      <c r="AI808" s="28" t="n">
        <f aca="false">AH808*$M808</f>
        <v>0</v>
      </c>
      <c r="AJ808" s="28"/>
      <c r="AK808" s="28" t="n">
        <f aca="false">AJ808*$M808</f>
        <v>0</v>
      </c>
      <c r="AL808" s="28"/>
      <c r="AM808" s="28" t="n">
        <f aca="false">AL808*$M808</f>
        <v>0</v>
      </c>
      <c r="AN808" s="28"/>
      <c r="AO808" s="28" t="n">
        <f aca="false">AN808*$M808</f>
        <v>0</v>
      </c>
      <c r="AP808" s="28"/>
      <c r="AQ808" s="28" t="n">
        <f aca="false">AP808*$M808</f>
        <v>0</v>
      </c>
      <c r="AR808" s="28"/>
      <c r="AS808" s="28" t="n">
        <f aca="false">AR808*$M808</f>
        <v>0</v>
      </c>
      <c r="AT808" s="28"/>
      <c r="AU808" s="28" t="n">
        <f aca="false">AT808*$M808</f>
        <v>0</v>
      </c>
      <c r="AV808" s="28"/>
      <c r="AW808" s="28" t="n">
        <f aca="false">AV808*$M808</f>
        <v>0</v>
      </c>
      <c r="AX808" s="28"/>
      <c r="AY808" s="28" t="n">
        <f aca="false">AX808*$M808</f>
        <v>0</v>
      </c>
      <c r="AZ808" s="30" t="n">
        <f aca="false">22662/100</f>
        <v>226.62</v>
      </c>
      <c r="BA808" s="11" t="n">
        <v>2039</v>
      </c>
      <c r="BB808" s="31" t="n">
        <f aca="false">SUM(Q808,S808,U808,W808,Y808,AA808,AC808,AE808,AG808,AI808,AK808,AM808,AO808,AQ808,AS808,AU808,AW808,AY808)</f>
        <v>2039</v>
      </c>
      <c r="BC808" s="28" t="n">
        <f aca="false">BA808-BB808</f>
        <v>0</v>
      </c>
      <c r="BD808" s="32" t="n">
        <f aca="false">SUM(P808,R808,T808,V808,X808,Z808,AB808,AD808,AF808,AH808,AJ808,AL808,AN808,AP808,AR808,AT808,AV808,AX808)</f>
        <v>226.62</v>
      </c>
      <c r="BE808" s="33" t="n">
        <f aca="false">AZ808-BD808</f>
        <v>0</v>
      </c>
      <c r="BF808" s="34" t="n">
        <f aca="false">BD808*M808</f>
        <v>2039.58</v>
      </c>
      <c r="BG808" s="35" t="n">
        <f aca="false">BA808-BF808</f>
        <v>-0.579999999999927</v>
      </c>
      <c r="BH808" s="19" t="str">
        <f aca="false">IF(BG808=0,"",IF(BG808&lt;&gt;BA808,"erreur de calcul",IF(BD808&lt;&gt;0,"pas de prix",IF(M808&lt;&gt; 0,"pas de quantité","pas de prix, ni de quantité"))))</f>
        <v>erreur de calcul</v>
      </c>
      <c r="BI808" s="19"/>
    </row>
    <row r="809" customFormat="false" ht="15" hidden="false" customHeight="false" outlineLevel="0" collapsed="false">
      <c r="A809" s="0" t="n">
        <v>28</v>
      </c>
      <c r="B809" s="8" t="s">
        <v>24</v>
      </c>
      <c r="C809" s="9" t="s">
        <v>25</v>
      </c>
      <c r="D809" s="9" t="s">
        <v>26</v>
      </c>
      <c r="E809" s="10" t="n">
        <v>1789</v>
      </c>
      <c r="F809" s="9" t="s">
        <v>27</v>
      </c>
      <c r="G809" s="9" t="s">
        <v>27</v>
      </c>
      <c r="H809" s="11" t="n">
        <v>21</v>
      </c>
      <c r="I809" s="11" t="s">
        <v>181</v>
      </c>
      <c r="J809" s="14" t="n">
        <v>8</v>
      </c>
      <c r="K809" s="14" t="n">
        <v>10</v>
      </c>
      <c r="L809" s="16"/>
      <c r="M809" s="27" t="n">
        <f aca="false">J809+(K809/20)+(L809/240)</f>
        <v>8.5</v>
      </c>
      <c r="N809" s="17" t="s">
        <v>66</v>
      </c>
      <c r="O809" s="11"/>
      <c r="P809" s="28" t="n">
        <v>1770</v>
      </c>
      <c r="Q809" s="28" t="n">
        <v>15045</v>
      </c>
      <c r="R809" s="28"/>
      <c r="S809" s="28" t="n">
        <f aca="false">R809*$M809</f>
        <v>0</v>
      </c>
      <c r="T809" s="28"/>
      <c r="U809" s="28" t="n">
        <f aca="false">T809*$M809</f>
        <v>0</v>
      </c>
      <c r="V809" s="28"/>
      <c r="W809" s="28" t="n">
        <f aca="false">V809*$M809</f>
        <v>0</v>
      </c>
      <c r="X809" s="28"/>
      <c r="Y809" s="28" t="n">
        <f aca="false">X809*$M809</f>
        <v>0</v>
      </c>
      <c r="Z809" s="28"/>
      <c r="AA809" s="28" t="n">
        <f aca="false">Z809*$M809</f>
        <v>0</v>
      </c>
      <c r="AB809" s="28"/>
      <c r="AC809" s="28" t="n">
        <f aca="false">AB809*$M809</f>
        <v>0</v>
      </c>
      <c r="AD809" s="28"/>
      <c r="AE809" s="28" t="n">
        <f aca="false">AD809*$M809</f>
        <v>0</v>
      </c>
      <c r="AF809" s="28"/>
      <c r="AG809" s="28" t="n">
        <f aca="false">AF809*$M809</f>
        <v>0</v>
      </c>
      <c r="AH809" s="28" t="n">
        <v>323</v>
      </c>
      <c r="AI809" s="28" t="n">
        <v>2745</v>
      </c>
      <c r="AJ809" s="28"/>
      <c r="AK809" s="28" t="n">
        <f aca="false">AJ809*$M809</f>
        <v>0</v>
      </c>
      <c r="AL809" s="28"/>
      <c r="AM809" s="28" t="n">
        <f aca="false">AL809*$M809</f>
        <v>0</v>
      </c>
      <c r="AN809" s="28"/>
      <c r="AO809" s="28" t="n">
        <f aca="false">AN809*$M809</f>
        <v>0</v>
      </c>
      <c r="AP809" s="28"/>
      <c r="AQ809" s="28" t="n">
        <f aca="false">AP809*$M809</f>
        <v>0</v>
      </c>
      <c r="AR809" s="28"/>
      <c r="AS809" s="28" t="n">
        <f aca="false">AR809*$M809</f>
        <v>0</v>
      </c>
      <c r="AT809" s="28"/>
      <c r="AU809" s="28" t="n">
        <f aca="false">AT809*$M809</f>
        <v>0</v>
      </c>
      <c r="AV809" s="28"/>
      <c r="AW809" s="28" t="n">
        <f aca="false">AV809*$M809</f>
        <v>0</v>
      </c>
      <c r="AX809" s="28"/>
      <c r="AY809" s="28" t="n">
        <f aca="false">AX809*$M809</f>
        <v>0</v>
      </c>
      <c r="AZ809" s="30" t="n">
        <v>2093</v>
      </c>
      <c r="BA809" s="11" t="n">
        <v>17790</v>
      </c>
      <c r="BB809" s="31" t="n">
        <f aca="false">SUM(Q809,S809,U809,W809,Y809,AA809,AC809,AE809,AG809,AI809,AK809,AM809,AO809,AQ809,AS809,AU809,AW809,AY809)</f>
        <v>17790</v>
      </c>
      <c r="BC809" s="28" t="n">
        <f aca="false">BA809-BB809</f>
        <v>0</v>
      </c>
      <c r="BD809" s="32" t="n">
        <f aca="false">SUM(P809,R809,T809,V809,X809,Z809,AB809,AD809,AF809,AH809,AJ809,AL809,AN809,AP809,AR809,AT809,AV809,AX809)</f>
        <v>2093</v>
      </c>
      <c r="BE809" s="33" t="n">
        <f aca="false">AZ809-BD809</f>
        <v>0</v>
      </c>
      <c r="BF809" s="34" t="n">
        <f aca="false">BD809*M809</f>
        <v>17790.5</v>
      </c>
      <c r="BG809" s="35" t="n">
        <f aca="false">BA809-BF809</f>
        <v>-0.5</v>
      </c>
      <c r="BH809" s="19" t="str">
        <f aca="false">IF(BG809=0,"",IF(BG809&lt;&gt;BA809,"erreur de calcul",IF(BD809&lt;&gt;0,"pas de prix",IF(M809&lt;&gt; 0,"pas de quantité","pas de prix, ni de quantité"))))</f>
        <v>erreur de calcul</v>
      </c>
      <c r="BI809" s="19"/>
    </row>
    <row r="810" customFormat="false" ht="15" hidden="false" customHeight="false" outlineLevel="0" collapsed="false">
      <c r="A810" s="0" t="n">
        <v>29</v>
      </c>
      <c r="B810" s="8" t="s">
        <v>24</v>
      </c>
      <c r="C810" s="9" t="s">
        <v>25</v>
      </c>
      <c r="D810" s="9" t="s">
        <v>26</v>
      </c>
      <c r="E810" s="10" t="n">
        <v>1789</v>
      </c>
      <c r="F810" s="9" t="s">
        <v>27</v>
      </c>
      <c r="G810" s="9" t="s">
        <v>27</v>
      </c>
      <c r="H810" s="11" t="n">
        <v>21</v>
      </c>
      <c r="I810" s="11" t="s">
        <v>182</v>
      </c>
      <c r="J810" s="14" t="n">
        <v>24</v>
      </c>
      <c r="K810" s="14"/>
      <c r="L810" s="16"/>
      <c r="M810" s="27" t="n">
        <f aca="false">J810+(K810/20)+(L810/240)</f>
        <v>24</v>
      </c>
      <c r="N810" s="17" t="s">
        <v>66</v>
      </c>
      <c r="O810" s="11"/>
      <c r="P810" s="28" t="n">
        <v>478</v>
      </c>
      <c r="Q810" s="28" t="n">
        <v>11472</v>
      </c>
      <c r="R810" s="28"/>
      <c r="S810" s="28" t="n">
        <f aca="false">R810*$M810</f>
        <v>0</v>
      </c>
      <c r="T810" s="28" t="n">
        <v>38</v>
      </c>
      <c r="U810" s="28" t="n">
        <v>912</v>
      </c>
      <c r="V810" s="28"/>
      <c r="W810" s="28" t="n">
        <f aca="false">V810*$M810</f>
        <v>0</v>
      </c>
      <c r="X810" s="28"/>
      <c r="Y810" s="28" t="n">
        <f aca="false">X810*$M810</f>
        <v>0</v>
      </c>
      <c r="Z810" s="28"/>
      <c r="AA810" s="28" t="n">
        <f aca="false">Z810*$M810</f>
        <v>0</v>
      </c>
      <c r="AB810" s="28"/>
      <c r="AC810" s="28" t="n">
        <f aca="false">AB810*$M810</f>
        <v>0</v>
      </c>
      <c r="AD810" s="28"/>
      <c r="AE810" s="28" t="n">
        <f aca="false">AD810*$M810</f>
        <v>0</v>
      </c>
      <c r="AF810" s="28"/>
      <c r="AG810" s="28" t="n">
        <f aca="false">AF810*$M810</f>
        <v>0</v>
      </c>
      <c r="AH810" s="28"/>
      <c r="AI810" s="28" t="n">
        <f aca="false">AH810*$M810</f>
        <v>0</v>
      </c>
      <c r="AJ810" s="28"/>
      <c r="AK810" s="28" t="n">
        <f aca="false">AJ810*$M810</f>
        <v>0</v>
      </c>
      <c r="AL810" s="28"/>
      <c r="AM810" s="28" t="n">
        <f aca="false">AL810*$M810</f>
        <v>0</v>
      </c>
      <c r="AN810" s="28"/>
      <c r="AO810" s="28" t="n">
        <f aca="false">AN810*$M810</f>
        <v>0</v>
      </c>
      <c r="AP810" s="28"/>
      <c r="AQ810" s="28" t="n">
        <f aca="false">AP810*$M810</f>
        <v>0</v>
      </c>
      <c r="AR810" s="28"/>
      <c r="AS810" s="28" t="n">
        <f aca="false">AR810*$M810</f>
        <v>0</v>
      </c>
      <c r="AT810" s="28"/>
      <c r="AU810" s="28" t="n">
        <f aca="false">AT810*$M810</f>
        <v>0</v>
      </c>
      <c r="AV810" s="28"/>
      <c r="AW810" s="28" t="n">
        <f aca="false">AV810*$M810</f>
        <v>0</v>
      </c>
      <c r="AX810" s="28"/>
      <c r="AY810" s="28" t="n">
        <f aca="false">AX810*$M810</f>
        <v>0</v>
      </c>
      <c r="AZ810" s="30" t="n">
        <v>516</v>
      </c>
      <c r="BA810" s="11" t="n">
        <v>12384</v>
      </c>
      <c r="BB810" s="31" t="n">
        <f aca="false">SUM(Q810,S810,U810,W810,Y810,AA810,AC810,AE810,AG810,AI810,AK810,AM810,AO810,AQ810,AS810,AU810,AW810,AY810)</f>
        <v>12384</v>
      </c>
      <c r="BC810" s="28" t="n">
        <f aca="false">BA810-BB810</f>
        <v>0</v>
      </c>
      <c r="BD810" s="32" t="n">
        <f aca="false">SUM(P810,R810,T810,V810,X810,Z810,AB810,AD810,AF810,AH810,AJ810,AL810,AN810,AP810,AR810,AT810,AV810,AX810)</f>
        <v>516</v>
      </c>
      <c r="BE810" s="33" t="n">
        <f aca="false">AZ810-BD810</f>
        <v>0</v>
      </c>
      <c r="BF810" s="34" t="n">
        <f aca="false">BD810*M810</f>
        <v>12384</v>
      </c>
      <c r="BG810" s="35" t="n">
        <f aca="false">BA810-BF810</f>
        <v>0</v>
      </c>
      <c r="BH810" s="19" t="str">
        <f aca="false">IF(BG810=0,"",IF(BG810&lt;&gt;BA810,"erreur de calcul",IF(BD810&lt;&gt;0,"pas de prix",IF(M810&lt;&gt; 0,"pas de quantité","pas de prix, ni de quantité"))))</f>
        <v/>
      </c>
      <c r="BI810" s="19"/>
    </row>
    <row r="811" customFormat="false" ht="15" hidden="false" customHeight="false" outlineLevel="0" collapsed="false">
      <c r="A811" s="0" t="n">
        <v>30</v>
      </c>
      <c r="B811" s="8" t="s">
        <v>24</v>
      </c>
      <c r="C811" s="9" t="s">
        <v>25</v>
      </c>
      <c r="D811" s="9" t="s">
        <v>26</v>
      </c>
      <c r="E811" s="10" t="n">
        <v>1789</v>
      </c>
      <c r="F811" s="9" t="s">
        <v>27</v>
      </c>
      <c r="G811" s="9" t="s">
        <v>27</v>
      </c>
      <c r="H811" s="11" t="n">
        <v>21</v>
      </c>
      <c r="I811" s="11" t="s">
        <v>183</v>
      </c>
      <c r="J811" s="14" t="n">
        <v>240</v>
      </c>
      <c r="K811" s="14"/>
      <c r="L811" s="16"/>
      <c r="M811" s="27" t="n">
        <f aca="false">J811+(K811/20)+(L811/240)</f>
        <v>240</v>
      </c>
      <c r="N811" s="17" t="s">
        <v>64</v>
      </c>
      <c r="O811" s="11"/>
      <c r="P811" s="28" t="n">
        <f aca="false">52196/100</f>
        <v>521.96</v>
      </c>
      <c r="Q811" s="28" t="n">
        <v>125270</v>
      </c>
      <c r="R811" s="28" t="n">
        <f aca="false">29767/100</f>
        <v>297.67</v>
      </c>
      <c r="S811" s="28" t="n">
        <v>71441</v>
      </c>
      <c r="T811" s="28"/>
      <c r="U811" s="28" t="n">
        <f aca="false">T811*$M811</f>
        <v>0</v>
      </c>
      <c r="V811" s="28"/>
      <c r="W811" s="28" t="n">
        <f aca="false">V811*$M811</f>
        <v>0</v>
      </c>
      <c r="X811" s="28"/>
      <c r="Y811" s="28" t="n">
        <f aca="false">X811*$M811</f>
        <v>0</v>
      </c>
      <c r="Z811" s="28"/>
      <c r="AA811" s="28" t="n">
        <f aca="false">Z811*$M811</f>
        <v>0</v>
      </c>
      <c r="AB811" s="28"/>
      <c r="AC811" s="28" t="n">
        <f aca="false">AB811*$M811</f>
        <v>0</v>
      </c>
      <c r="AD811" s="28"/>
      <c r="AE811" s="28" t="n">
        <f aca="false">AD811*$M811</f>
        <v>0</v>
      </c>
      <c r="AF811" s="28"/>
      <c r="AG811" s="28" t="n">
        <f aca="false">AF811*$M811</f>
        <v>0</v>
      </c>
      <c r="AH811" s="28"/>
      <c r="AI811" s="28" t="n">
        <f aca="false">AH811*$M811</f>
        <v>0</v>
      </c>
      <c r="AJ811" s="28"/>
      <c r="AK811" s="28" t="n">
        <f aca="false">AJ811*$M811</f>
        <v>0</v>
      </c>
      <c r="AL811" s="28"/>
      <c r="AM811" s="28" t="n">
        <f aca="false">AL811*$M811</f>
        <v>0</v>
      </c>
      <c r="AN811" s="28"/>
      <c r="AO811" s="28" t="n">
        <f aca="false">AN811*$M811</f>
        <v>0</v>
      </c>
      <c r="AP811" s="28"/>
      <c r="AQ811" s="28" t="n">
        <f aca="false">AP811*$M811</f>
        <v>0</v>
      </c>
      <c r="AR811" s="28"/>
      <c r="AS811" s="28" t="n">
        <f aca="false">AR811*$M811</f>
        <v>0</v>
      </c>
      <c r="AT811" s="28"/>
      <c r="AU811" s="28" t="n">
        <f aca="false">AT811*$M811</f>
        <v>0</v>
      </c>
      <c r="AV811" s="28"/>
      <c r="AW811" s="28" t="n">
        <f aca="false">AV811*$M811</f>
        <v>0</v>
      </c>
      <c r="AX811" s="28"/>
      <c r="AY811" s="28" t="n">
        <f aca="false">AX811*$M811</f>
        <v>0</v>
      </c>
      <c r="AZ811" s="30" t="n">
        <f aca="false">81963/100</f>
        <v>819.63</v>
      </c>
      <c r="BA811" s="11" t="n">
        <v>196711</v>
      </c>
      <c r="BB811" s="31" t="n">
        <f aca="false">SUM(Q811,S811,U811,W811,Y811,AA811,AC811,AE811,AG811,AI811,AK811,AM811,AO811,AQ811,AS811,AU811,AW811,AY811)</f>
        <v>196711</v>
      </c>
      <c r="BC811" s="28" t="n">
        <f aca="false">BA811-BB811</f>
        <v>0</v>
      </c>
      <c r="BD811" s="32" t="n">
        <f aca="false">SUM(P811,R811,T811,V811,X811,Z811,AB811,AD811,AF811,AH811,AJ811,AL811,AN811,AP811,AR811,AT811,AV811,AX811)</f>
        <v>819.63</v>
      </c>
      <c r="BE811" s="33" t="n">
        <f aca="false">AZ811-BD811</f>
        <v>0</v>
      </c>
      <c r="BF811" s="34" t="n">
        <f aca="false">BD811*M811</f>
        <v>196711.2</v>
      </c>
      <c r="BG811" s="35" t="n">
        <f aca="false">BA811-BF811</f>
        <v>-0.200000000011642</v>
      </c>
      <c r="BH811" s="19" t="str">
        <f aca="false">IF(BG811=0,"",IF(BG811&lt;&gt;BA811,"erreur de calcul",IF(BD811&lt;&gt;0,"pas de prix",IF(M811&lt;&gt; 0,"pas de quantité","pas de prix, ni de quantité"))))</f>
        <v>erreur de calcul</v>
      </c>
      <c r="BI811" s="19"/>
    </row>
    <row r="812" customFormat="false" ht="15" hidden="false" customHeight="false" outlineLevel="0" collapsed="false">
      <c r="A812" s="0" t="n">
        <v>31</v>
      </c>
      <c r="B812" s="8" t="s">
        <v>24</v>
      </c>
      <c r="C812" s="9" t="s">
        <v>25</v>
      </c>
      <c r="D812" s="9" t="s">
        <v>26</v>
      </c>
      <c r="E812" s="10" t="n">
        <v>1789</v>
      </c>
      <c r="F812" s="9" t="s">
        <v>27</v>
      </c>
      <c r="G812" s="9" t="s">
        <v>27</v>
      </c>
      <c r="H812" s="11" t="n">
        <v>21</v>
      </c>
      <c r="I812" s="11" t="s">
        <v>184</v>
      </c>
      <c r="J812" s="14" t="n">
        <v>13</v>
      </c>
      <c r="K812" s="14"/>
      <c r="L812" s="16"/>
      <c r="M812" s="27" t="n">
        <f aca="false">J812+(K812/20)+(L812/240)</f>
        <v>13</v>
      </c>
      <c r="N812" s="17" t="s">
        <v>66</v>
      </c>
      <c r="O812" s="11"/>
      <c r="P812" s="28"/>
      <c r="Q812" s="28" t="n">
        <f aca="false">P812*$M812</f>
        <v>0</v>
      </c>
      <c r="R812" s="28"/>
      <c r="S812" s="28" t="n">
        <f aca="false">R812*$M812</f>
        <v>0</v>
      </c>
      <c r="T812" s="28"/>
      <c r="U812" s="28" t="n">
        <f aca="false">T812*$M812</f>
        <v>0</v>
      </c>
      <c r="V812" s="28"/>
      <c r="W812" s="28" t="n">
        <f aca="false">V812*$M812</f>
        <v>0</v>
      </c>
      <c r="X812" s="28"/>
      <c r="Y812" s="28" t="n">
        <f aca="false">X812*$M812</f>
        <v>0</v>
      </c>
      <c r="Z812" s="28"/>
      <c r="AA812" s="28" t="n">
        <f aca="false">Z812*$M812</f>
        <v>0</v>
      </c>
      <c r="AB812" s="28"/>
      <c r="AC812" s="28" t="n">
        <f aca="false">AB812*$M812</f>
        <v>0</v>
      </c>
      <c r="AD812" s="28"/>
      <c r="AE812" s="28" t="n">
        <f aca="false">AD812*$M812</f>
        <v>0</v>
      </c>
      <c r="AF812" s="28"/>
      <c r="AG812" s="28" t="n">
        <f aca="false">AF812*$M812</f>
        <v>0</v>
      </c>
      <c r="AH812" s="28" t="n">
        <v>354</v>
      </c>
      <c r="AI812" s="28" t="n">
        <v>4602</v>
      </c>
      <c r="AJ812" s="28"/>
      <c r="AK812" s="28" t="n">
        <f aca="false">AJ812*$M812</f>
        <v>0</v>
      </c>
      <c r="AL812" s="28"/>
      <c r="AM812" s="28" t="n">
        <f aca="false">AL812*$M812</f>
        <v>0</v>
      </c>
      <c r="AN812" s="28"/>
      <c r="AO812" s="28" t="n">
        <f aca="false">AN812*$M812</f>
        <v>0</v>
      </c>
      <c r="AP812" s="28"/>
      <c r="AQ812" s="28" t="n">
        <f aca="false">AP812*$M812</f>
        <v>0</v>
      </c>
      <c r="AR812" s="28"/>
      <c r="AS812" s="28" t="n">
        <f aca="false">AR812*$M812</f>
        <v>0</v>
      </c>
      <c r="AT812" s="28"/>
      <c r="AU812" s="28" t="n">
        <f aca="false">AT812*$M812</f>
        <v>0</v>
      </c>
      <c r="AV812" s="28"/>
      <c r="AW812" s="28" t="n">
        <f aca="false">AV812*$M812</f>
        <v>0</v>
      </c>
      <c r="AX812" s="28"/>
      <c r="AY812" s="28" t="n">
        <f aca="false">AX812*$M812</f>
        <v>0</v>
      </c>
      <c r="AZ812" s="30" t="n">
        <v>354</v>
      </c>
      <c r="BA812" s="11" t="n">
        <v>4602</v>
      </c>
      <c r="BB812" s="31" t="n">
        <f aca="false">SUM(Q812,S812,U812,W812,Y812,AA812,AC812,AE812,AG812,AI812,AK812,AM812,AO812,AQ812,AS812,AU812,AW812,AY812)</f>
        <v>4602</v>
      </c>
      <c r="BC812" s="28" t="n">
        <f aca="false">BA812-BB812</f>
        <v>0</v>
      </c>
      <c r="BD812" s="32" t="n">
        <f aca="false">SUM(P812,R812,T812,V812,X812,Z812,AB812,AD812,AF812,AH812,AJ812,AL812,AN812,AP812,AR812,AT812,AV812,AX812)</f>
        <v>354</v>
      </c>
      <c r="BE812" s="33" t="n">
        <f aca="false">AZ812-BD812</f>
        <v>0</v>
      </c>
      <c r="BF812" s="34" t="n">
        <f aca="false">BD812*M812</f>
        <v>4602</v>
      </c>
      <c r="BG812" s="35" t="n">
        <f aca="false">BA812-BF812</f>
        <v>0</v>
      </c>
      <c r="BH812" s="19" t="str">
        <f aca="false">IF(BG812=0,"",IF(BG812&lt;&gt;BA812,"erreur de calcul",IF(BD812&lt;&gt;0,"pas de prix",IF(M812&lt;&gt; 0,"pas de quantité","pas de prix, ni de quantité"))))</f>
        <v/>
      </c>
      <c r="BI812" s="19"/>
    </row>
    <row r="813" customFormat="false" ht="15" hidden="false" customHeight="false" outlineLevel="0" collapsed="false">
      <c r="A813" s="0" t="n">
        <v>32</v>
      </c>
      <c r="B813" s="8" t="s">
        <v>24</v>
      </c>
      <c r="C813" s="9" t="s">
        <v>25</v>
      </c>
      <c r="D813" s="9" t="s">
        <v>26</v>
      </c>
      <c r="E813" s="10" t="n">
        <v>1789</v>
      </c>
      <c r="F813" s="9" t="s">
        <v>27</v>
      </c>
      <c r="G813" s="9" t="s">
        <v>27</v>
      </c>
      <c r="H813" s="11" t="n">
        <v>21</v>
      </c>
      <c r="I813" s="11" t="s">
        <v>185</v>
      </c>
      <c r="J813" s="14" t="n">
        <v>245</v>
      </c>
      <c r="K813" s="14"/>
      <c r="L813" s="16"/>
      <c r="M813" s="27" t="n">
        <f aca="false">J813+(K813/20)+(L813/240)</f>
        <v>245</v>
      </c>
      <c r="N813" s="17" t="s">
        <v>64</v>
      </c>
      <c r="O813" s="11"/>
      <c r="P813" s="28"/>
      <c r="Q813" s="28" t="n">
        <f aca="false">P813*$M813</f>
        <v>0</v>
      </c>
      <c r="R813" s="28"/>
      <c r="S813" s="28" t="n">
        <f aca="false">R813*$M813</f>
        <v>0</v>
      </c>
      <c r="T813" s="28"/>
      <c r="U813" s="28" t="n">
        <f aca="false">T813*$M813</f>
        <v>0</v>
      </c>
      <c r="V813" s="28" t="n">
        <f aca="false">720/100</f>
        <v>7.2</v>
      </c>
      <c r="W813" s="28" t="n">
        <v>1764</v>
      </c>
      <c r="X813" s="28" t="n">
        <f aca="false">40366/100</f>
        <v>403.66</v>
      </c>
      <c r="Y813" s="28" t="n">
        <v>98897</v>
      </c>
      <c r="Z813" s="28"/>
      <c r="AA813" s="28" t="n">
        <f aca="false">Z813*$M813</f>
        <v>0</v>
      </c>
      <c r="AB813" s="28"/>
      <c r="AC813" s="28" t="n">
        <f aca="false">AB813*$M813</f>
        <v>0</v>
      </c>
      <c r="AD813" s="28"/>
      <c r="AE813" s="28" t="n">
        <f aca="false">AD813*$M813</f>
        <v>0</v>
      </c>
      <c r="AF813" s="28"/>
      <c r="AG813" s="28" t="n">
        <f aca="false">AF813*$M813</f>
        <v>0</v>
      </c>
      <c r="AH813" s="28" t="n">
        <f aca="false">83243/100</f>
        <v>832.43</v>
      </c>
      <c r="AI813" s="28" t="n">
        <v>203945</v>
      </c>
      <c r="AJ813" s="28"/>
      <c r="AK813" s="28" t="n">
        <f aca="false">AJ813*$M813</f>
        <v>0</v>
      </c>
      <c r="AL813" s="28"/>
      <c r="AM813" s="28" t="n">
        <f aca="false">AL813*$M813</f>
        <v>0</v>
      </c>
      <c r="AN813" s="28"/>
      <c r="AO813" s="28" t="n">
        <f aca="false">AN813*$M813</f>
        <v>0</v>
      </c>
      <c r="AP813" s="28"/>
      <c r="AQ813" s="28" t="n">
        <f aca="false">AP813*$M813</f>
        <v>0</v>
      </c>
      <c r="AR813" s="28"/>
      <c r="AS813" s="28" t="n">
        <f aca="false">AR813*$M813</f>
        <v>0</v>
      </c>
      <c r="AT813" s="28"/>
      <c r="AU813" s="28" t="n">
        <f aca="false">AT813*$M813</f>
        <v>0</v>
      </c>
      <c r="AV813" s="28"/>
      <c r="AW813" s="28" t="n">
        <f aca="false">AV813*$M813</f>
        <v>0</v>
      </c>
      <c r="AX813" s="28"/>
      <c r="AY813" s="28" t="n">
        <f aca="false">AX813*$M813</f>
        <v>0</v>
      </c>
      <c r="AZ813" s="30" t="n">
        <f aca="false">124329/100</f>
        <v>1243.29</v>
      </c>
      <c r="BA813" s="11" t="n">
        <v>304606</v>
      </c>
      <c r="BB813" s="31" t="n">
        <f aca="false">SUM(Q813,S813,U813,W813,Y813,AA813,AC813,AE813,AG813,AI813,AK813,AM813,AO813,AQ813,AS813,AU813,AW813,AY813)</f>
        <v>304606</v>
      </c>
      <c r="BC813" s="28" t="n">
        <f aca="false">BA813-BB813</f>
        <v>0</v>
      </c>
      <c r="BD813" s="32" t="n">
        <f aca="false">SUM(P813,R813,T813,V813,X813,Z813,AB813,AD813,AF813,AH813,AJ813,AL813,AN813,AP813,AR813,AT813,AV813,AX813)</f>
        <v>1243.29</v>
      </c>
      <c r="BE813" s="33" t="n">
        <f aca="false">AZ813-BD813</f>
        <v>0</v>
      </c>
      <c r="BF813" s="34" t="n">
        <f aca="false">BD813*M813</f>
        <v>304606.05</v>
      </c>
      <c r="BG813" s="35" t="n">
        <f aca="false">BA813-BF813</f>
        <v>-0.0499999999883585</v>
      </c>
      <c r="BH813" s="19" t="str">
        <f aca="false">IF(BG813=0,"",IF(BG813&lt;&gt;BA813,"erreur de calcul",IF(BD813&lt;&gt;0,"pas de prix",IF(M813&lt;&gt; 0,"pas de quantité","pas de prix, ni de quantité"))))</f>
        <v>erreur de calcul</v>
      </c>
      <c r="BI813" s="19"/>
    </row>
    <row r="814" customFormat="false" ht="15" hidden="false" customHeight="false" outlineLevel="0" collapsed="false">
      <c r="A814" s="0" t="n">
        <v>33</v>
      </c>
      <c r="B814" s="8" t="s">
        <v>24</v>
      </c>
      <c r="C814" s="9" t="s">
        <v>25</v>
      </c>
      <c r="D814" s="9" t="s">
        <v>26</v>
      </c>
      <c r="E814" s="10" t="n">
        <v>1789</v>
      </c>
      <c r="F814" s="9" t="s">
        <v>27</v>
      </c>
      <c r="G814" s="9" t="s">
        <v>27</v>
      </c>
      <c r="H814" s="11" t="n">
        <v>21</v>
      </c>
      <c r="I814" s="11" t="s">
        <v>186</v>
      </c>
      <c r="J814" s="14" t="n">
        <v>240</v>
      </c>
      <c r="K814" s="14"/>
      <c r="L814" s="16"/>
      <c r="M814" s="27" t="n">
        <f aca="false">J814+(K814/20)+(L814/240)</f>
        <v>240</v>
      </c>
      <c r="N814" s="17" t="s">
        <v>64</v>
      </c>
      <c r="O814" s="11"/>
      <c r="P814" s="28"/>
      <c r="Q814" s="28" t="n">
        <f aca="false">P814*$M814</f>
        <v>0</v>
      </c>
      <c r="R814" s="28"/>
      <c r="S814" s="28" t="n">
        <f aca="false">R814*$M814</f>
        <v>0</v>
      </c>
      <c r="T814" s="28"/>
      <c r="U814" s="28" t="n">
        <f aca="false">T814*$M814</f>
        <v>0</v>
      </c>
      <c r="V814" s="28"/>
      <c r="W814" s="28" t="n">
        <f aca="false">V814*$M814</f>
        <v>0</v>
      </c>
      <c r="X814" s="28"/>
      <c r="Y814" s="28" t="n">
        <f aca="false">X814*$M814</f>
        <v>0</v>
      </c>
      <c r="Z814" s="28"/>
      <c r="AA814" s="28" t="n">
        <f aca="false">Z814*$M814</f>
        <v>0</v>
      </c>
      <c r="AB814" s="28"/>
      <c r="AC814" s="28" t="n">
        <f aca="false">AB814*$M814</f>
        <v>0</v>
      </c>
      <c r="AD814" s="28"/>
      <c r="AE814" s="28" t="n">
        <f aca="false">AD814*$M814</f>
        <v>0</v>
      </c>
      <c r="AF814" s="28"/>
      <c r="AG814" s="28" t="n">
        <f aca="false">AF814*$M814</f>
        <v>0</v>
      </c>
      <c r="AH814" s="28" t="n">
        <f aca="false">803/100</f>
        <v>8.03</v>
      </c>
      <c r="AI814" s="28" t="n">
        <v>1927</v>
      </c>
      <c r="AJ814" s="28"/>
      <c r="AK814" s="28" t="n">
        <f aca="false">AJ814*$M814</f>
        <v>0</v>
      </c>
      <c r="AL814" s="28"/>
      <c r="AM814" s="28" t="n">
        <f aca="false">AL814*$M814</f>
        <v>0</v>
      </c>
      <c r="AN814" s="28"/>
      <c r="AO814" s="28" t="n">
        <f aca="false">AN814*$M814</f>
        <v>0</v>
      </c>
      <c r="AP814" s="28"/>
      <c r="AQ814" s="28" t="n">
        <f aca="false">AP814*$M814</f>
        <v>0</v>
      </c>
      <c r="AR814" s="28"/>
      <c r="AS814" s="28" t="n">
        <f aca="false">AR814*$M814</f>
        <v>0</v>
      </c>
      <c r="AT814" s="28"/>
      <c r="AU814" s="28" t="n">
        <f aca="false">AT814*$M814</f>
        <v>0</v>
      </c>
      <c r="AV814" s="28"/>
      <c r="AW814" s="28" t="n">
        <f aca="false">AV814*$M814</f>
        <v>0</v>
      </c>
      <c r="AX814" s="28"/>
      <c r="AY814" s="28" t="n">
        <f aca="false">AX814*$M814</f>
        <v>0</v>
      </c>
      <c r="AZ814" s="30" t="n">
        <f aca="false">803/100</f>
        <v>8.03</v>
      </c>
      <c r="BA814" s="11" t="n">
        <v>1927</v>
      </c>
      <c r="BB814" s="31" t="n">
        <f aca="false">SUM(Q814,S814,U814,W814,Y814,AA814,AC814,AE814,AG814,AI814,AK814,AM814,AO814,AQ814,AS814,AU814,AW814,AY814)</f>
        <v>1927</v>
      </c>
      <c r="BC814" s="28" t="n">
        <f aca="false">BA814-BB814</f>
        <v>0</v>
      </c>
      <c r="BD814" s="32" t="n">
        <f aca="false">SUM(P814,R814,T814,V814,X814,Z814,AB814,AD814,AF814,AH814,AJ814,AL814,AN814,AP814,AR814,AT814,AV814,AX814)</f>
        <v>8.03</v>
      </c>
      <c r="BE814" s="33" t="n">
        <f aca="false">AZ814-BD814</f>
        <v>0</v>
      </c>
      <c r="BF814" s="34" t="n">
        <f aca="false">BD814*M814</f>
        <v>1927.2</v>
      </c>
      <c r="BG814" s="35" t="n">
        <f aca="false">BA814-BF814</f>
        <v>-0.199999999999818</v>
      </c>
      <c r="BH814" s="19" t="str">
        <f aca="false">IF(BG814=0,"",IF(BG814&lt;&gt;BA814,"erreur de calcul",IF(BD814&lt;&gt;0,"pas de prix",IF(M814&lt;&gt; 0,"pas de quantité","pas de prix, ni de quantité"))))</f>
        <v>erreur de calcul</v>
      </c>
      <c r="BI814" s="19"/>
    </row>
    <row r="815" customFormat="false" ht="15" hidden="false" customHeight="false" outlineLevel="0" collapsed="false">
      <c r="A815" s="0" t="n">
        <v>34</v>
      </c>
      <c r="B815" s="8" t="s">
        <v>24</v>
      </c>
      <c r="C815" s="9" t="s">
        <v>25</v>
      </c>
      <c r="D815" s="9" t="s">
        <v>26</v>
      </c>
      <c r="E815" s="10" t="n">
        <v>1789</v>
      </c>
      <c r="F815" s="9" t="s">
        <v>27</v>
      </c>
      <c r="G815" s="9" t="s">
        <v>27</v>
      </c>
      <c r="H815" s="11" t="n">
        <v>21</v>
      </c>
      <c r="I815" s="11" t="s">
        <v>187</v>
      </c>
      <c r="J815" s="14" t="n">
        <v>45</v>
      </c>
      <c r="K815" s="14"/>
      <c r="L815" s="16"/>
      <c r="M815" s="27" t="n">
        <f aca="false">J815+(K815/20)+(L815/240)</f>
        <v>45</v>
      </c>
      <c r="N815" s="17" t="s">
        <v>64</v>
      </c>
      <c r="O815" s="11"/>
      <c r="P815" s="28" t="n">
        <f aca="false">8827/100</f>
        <v>88.27</v>
      </c>
      <c r="Q815" s="28" t="n">
        <v>3972</v>
      </c>
      <c r="R815" s="28"/>
      <c r="S815" s="28" t="n">
        <f aca="false">R815*$M815</f>
        <v>0</v>
      </c>
      <c r="T815" s="28"/>
      <c r="U815" s="28" t="n">
        <f aca="false">T815*$M815</f>
        <v>0</v>
      </c>
      <c r="V815" s="28" t="n">
        <f aca="false">8951/100</f>
        <v>89.51</v>
      </c>
      <c r="W815" s="28" t="n">
        <v>4028</v>
      </c>
      <c r="X815" s="28" t="n">
        <f aca="false">49106/100</f>
        <v>491.06</v>
      </c>
      <c r="Y815" s="28" t="n">
        <v>22098</v>
      </c>
      <c r="Z815" s="28"/>
      <c r="AA815" s="28" t="n">
        <f aca="false">Z815*$M815</f>
        <v>0</v>
      </c>
      <c r="AB815" s="28" t="n">
        <f aca="false">313412/100</f>
        <v>3134.12</v>
      </c>
      <c r="AC815" s="28" t="n">
        <v>141035</v>
      </c>
      <c r="AD815" s="28"/>
      <c r="AE815" s="28" t="n">
        <f aca="false">AD815*$M815</f>
        <v>0</v>
      </c>
      <c r="AF815" s="28"/>
      <c r="AG815" s="28" t="n">
        <f aca="false">AF815*$M815</f>
        <v>0</v>
      </c>
      <c r="AH815" s="28"/>
      <c r="AI815" s="28" t="n">
        <f aca="false">AH815*$M815</f>
        <v>0</v>
      </c>
      <c r="AJ815" s="28"/>
      <c r="AK815" s="28" t="n">
        <f aca="false">AJ815*$M815</f>
        <v>0</v>
      </c>
      <c r="AL815" s="28"/>
      <c r="AM815" s="28" t="n">
        <f aca="false">AL815*$M815</f>
        <v>0</v>
      </c>
      <c r="AN815" s="28"/>
      <c r="AO815" s="28" t="n">
        <f aca="false">AN815*$M815</f>
        <v>0</v>
      </c>
      <c r="AP815" s="28"/>
      <c r="AQ815" s="28" t="n">
        <f aca="false">AP815*$M815</f>
        <v>0</v>
      </c>
      <c r="AR815" s="28"/>
      <c r="AS815" s="28" t="n">
        <f aca="false">AR815*$M815</f>
        <v>0</v>
      </c>
      <c r="AT815" s="28"/>
      <c r="AU815" s="28" t="n">
        <f aca="false">AT815*$M815</f>
        <v>0</v>
      </c>
      <c r="AV815" s="28"/>
      <c r="AW815" s="28" t="n">
        <f aca="false">AV815*$M815</f>
        <v>0</v>
      </c>
      <c r="AX815" s="28"/>
      <c r="AY815" s="28" t="n">
        <f aca="false">AX815*$M815</f>
        <v>0</v>
      </c>
      <c r="AZ815" s="30" t="n">
        <f aca="false">380296/100</f>
        <v>3802.96</v>
      </c>
      <c r="BA815" s="11" t="n">
        <v>171133</v>
      </c>
      <c r="BB815" s="31" t="n">
        <f aca="false">SUM(Q815,S815,U815,W815,Y815,AA815,AC815,AE815,AG815,AI815,AK815,AM815,AO815,AQ815,AS815,AU815,AW815,AY815)</f>
        <v>171133</v>
      </c>
      <c r="BC815" s="28" t="n">
        <f aca="false">BA815-BB815</f>
        <v>0</v>
      </c>
      <c r="BD815" s="32" t="n">
        <f aca="false">SUM(P815,R815,T815,V815,X815,Z815,AB815,AD815,AF815,AH815,AJ815,AL815,AN815,AP815,AR815,AT815,AV815,AX815)</f>
        <v>3802.96</v>
      </c>
      <c r="BE815" s="33" t="n">
        <f aca="false">AZ815-BD815</f>
        <v>0</v>
      </c>
      <c r="BF815" s="34" t="n">
        <f aca="false">BD815*M815</f>
        <v>171133.2</v>
      </c>
      <c r="BG815" s="35" t="n">
        <f aca="false">BA815-BF815</f>
        <v>-0.200000000011642</v>
      </c>
      <c r="BH815" s="19" t="str">
        <f aca="false">IF(BG815=0,"",IF(BG815&lt;&gt;BA815,"erreur de calcul",IF(BD815&lt;&gt;0,"pas de prix",IF(M815&lt;&gt; 0,"pas de quantité","pas de prix, ni de quantité"))))</f>
        <v>erreur de calcul</v>
      </c>
      <c r="BI815" s="19"/>
    </row>
    <row r="816" customFormat="false" ht="15" hidden="false" customHeight="false" outlineLevel="0" collapsed="false">
      <c r="A816" s="0" t="n">
        <v>35</v>
      </c>
      <c r="B816" s="8" t="s">
        <v>24</v>
      </c>
      <c r="C816" s="9" t="s">
        <v>25</v>
      </c>
      <c r="D816" s="9" t="s">
        <v>26</v>
      </c>
      <c r="E816" s="10" t="n">
        <v>1789</v>
      </c>
      <c r="F816" s="9" t="s">
        <v>27</v>
      </c>
      <c r="G816" s="9" t="s">
        <v>27</v>
      </c>
      <c r="H816" s="11" t="n">
        <v>21</v>
      </c>
      <c r="I816" s="11" t="s">
        <v>188</v>
      </c>
      <c r="J816" s="14" t="n">
        <v>60</v>
      </c>
      <c r="K816" s="14"/>
      <c r="L816" s="16"/>
      <c r="M816" s="27" t="n">
        <f aca="false">J816+(K816/20)+(L816/240)</f>
        <v>60</v>
      </c>
      <c r="N816" s="17" t="s">
        <v>64</v>
      </c>
      <c r="O816" s="11"/>
      <c r="P816" s="28"/>
      <c r="Q816" s="28" t="n">
        <f aca="false">P816*$M816</f>
        <v>0</v>
      </c>
      <c r="R816" s="28"/>
      <c r="S816" s="28" t="n">
        <f aca="false">R816*$M816</f>
        <v>0</v>
      </c>
      <c r="T816" s="28"/>
      <c r="U816" s="28" t="n">
        <f aca="false">T816*$M816</f>
        <v>0</v>
      </c>
      <c r="V816" s="28"/>
      <c r="W816" s="28" t="n">
        <f aca="false">V816*$M816</f>
        <v>0</v>
      </c>
      <c r="X816" s="28"/>
      <c r="Y816" s="28" t="n">
        <f aca="false">X816*$M816</f>
        <v>0</v>
      </c>
      <c r="Z816" s="28"/>
      <c r="AA816" s="28" t="n">
        <f aca="false">Z816*$M816</f>
        <v>0</v>
      </c>
      <c r="AB816" s="28"/>
      <c r="AC816" s="28" t="n">
        <f aca="false">AB816*$M816</f>
        <v>0</v>
      </c>
      <c r="AD816" s="28"/>
      <c r="AE816" s="28" t="n">
        <f aca="false">AD816*$M816</f>
        <v>0</v>
      </c>
      <c r="AF816" s="28"/>
      <c r="AG816" s="28" t="n">
        <f aca="false">AF816*$M816</f>
        <v>0</v>
      </c>
      <c r="AH816" s="28" t="n">
        <f aca="false">6391/100</f>
        <v>63.91</v>
      </c>
      <c r="AI816" s="28" t="n">
        <v>3835</v>
      </c>
      <c r="AJ816" s="28"/>
      <c r="AK816" s="28" t="n">
        <f aca="false">AJ816*$M816</f>
        <v>0</v>
      </c>
      <c r="AL816" s="28"/>
      <c r="AM816" s="28" t="n">
        <f aca="false">AL816*$M816</f>
        <v>0</v>
      </c>
      <c r="AN816" s="28"/>
      <c r="AO816" s="28" t="n">
        <f aca="false">AN816*$M816</f>
        <v>0</v>
      </c>
      <c r="AP816" s="28"/>
      <c r="AQ816" s="28" t="n">
        <f aca="false">AP816*$M816</f>
        <v>0</v>
      </c>
      <c r="AR816" s="28"/>
      <c r="AS816" s="28" t="n">
        <f aca="false">AR816*$M816</f>
        <v>0</v>
      </c>
      <c r="AT816" s="28"/>
      <c r="AU816" s="28" t="n">
        <f aca="false">AT816*$M816</f>
        <v>0</v>
      </c>
      <c r="AV816" s="28"/>
      <c r="AW816" s="28" t="n">
        <f aca="false">AV816*$M816</f>
        <v>0</v>
      </c>
      <c r="AX816" s="28"/>
      <c r="AY816" s="28" t="n">
        <f aca="false">AX816*$M816</f>
        <v>0</v>
      </c>
      <c r="AZ816" s="30" t="n">
        <f aca="false">6391/100</f>
        <v>63.91</v>
      </c>
      <c r="BA816" s="11" t="n">
        <v>3835</v>
      </c>
      <c r="BB816" s="31" t="n">
        <f aca="false">SUM(Q816,S816,U816,W816,Y816,AA816,AC816,AE816,AG816,AI816,AK816,AM816,AO816,AQ816,AS816,AU816,AW816,AY816)</f>
        <v>3835</v>
      </c>
      <c r="BC816" s="28" t="n">
        <f aca="false">BA816-BB816</f>
        <v>0</v>
      </c>
      <c r="BD816" s="32" t="n">
        <f aca="false">SUM(P816,R816,T816,V816,X816,Z816,AB816,AD816,AF816,AH816,AJ816,AL816,AN816,AP816,AR816,AT816,AV816,AX816)</f>
        <v>63.91</v>
      </c>
      <c r="BE816" s="33" t="n">
        <f aca="false">AZ816-BD816</f>
        <v>0</v>
      </c>
      <c r="BF816" s="34" t="n">
        <f aca="false">BD816*M816</f>
        <v>3834.6</v>
      </c>
      <c r="BG816" s="35" t="n">
        <f aca="false">BA816-BF816</f>
        <v>0.400000000000091</v>
      </c>
      <c r="BH816" s="19" t="str">
        <f aca="false">IF(BG816=0,"",IF(BG816&lt;&gt;BA816,"erreur de calcul",IF(BD816&lt;&gt;0,"pas de prix",IF(M816&lt;&gt; 0,"pas de quantité","pas de prix, ni de quantité"))))</f>
        <v>erreur de calcul</v>
      </c>
      <c r="BI816" s="19"/>
    </row>
    <row r="817" customFormat="false" ht="15" hidden="false" customHeight="false" outlineLevel="0" collapsed="false">
      <c r="A817" s="0" t="n">
        <v>36</v>
      </c>
      <c r="B817" s="8" t="s">
        <v>24</v>
      </c>
      <c r="C817" s="9" t="s">
        <v>25</v>
      </c>
      <c r="D817" s="9" t="s">
        <v>26</v>
      </c>
      <c r="E817" s="10" t="n">
        <v>1789</v>
      </c>
      <c r="F817" s="9" t="s">
        <v>27</v>
      </c>
      <c r="G817" s="9" t="s">
        <v>27</v>
      </c>
      <c r="H817" s="11" t="n">
        <v>21</v>
      </c>
      <c r="I817" s="11" t="s">
        <v>189</v>
      </c>
      <c r="J817" s="14" t="n">
        <v>30</v>
      </c>
      <c r="K817" s="14"/>
      <c r="L817" s="16"/>
      <c r="M817" s="27" t="n">
        <f aca="false">J817+(K817/20)+(L817/240)</f>
        <v>30</v>
      </c>
      <c r="N817" s="17" t="s">
        <v>66</v>
      </c>
      <c r="O817" s="11"/>
      <c r="P817" s="28"/>
      <c r="Q817" s="28" t="n">
        <f aca="false">P817*$M817</f>
        <v>0</v>
      </c>
      <c r="R817" s="28"/>
      <c r="S817" s="28" t="n">
        <f aca="false">R817*$M817</f>
        <v>0</v>
      </c>
      <c r="T817" s="28"/>
      <c r="U817" s="28" t="n">
        <f aca="false">T817*$M817</f>
        <v>0</v>
      </c>
      <c r="V817" s="28" t="n">
        <v>146</v>
      </c>
      <c r="W817" s="28" t="n">
        <v>4380</v>
      </c>
      <c r="X817" s="28"/>
      <c r="Y817" s="28" t="n">
        <f aca="false">X817*$M817</f>
        <v>0</v>
      </c>
      <c r="Z817" s="28"/>
      <c r="AA817" s="28" t="n">
        <f aca="false">Z817*$M817</f>
        <v>0</v>
      </c>
      <c r="AB817" s="28"/>
      <c r="AC817" s="28" t="n">
        <f aca="false">AB817*$M817</f>
        <v>0</v>
      </c>
      <c r="AD817" s="28"/>
      <c r="AE817" s="28" t="n">
        <f aca="false">AD817*$M817</f>
        <v>0</v>
      </c>
      <c r="AF817" s="28"/>
      <c r="AG817" s="28" t="n">
        <f aca="false">AF817*$M817</f>
        <v>0</v>
      </c>
      <c r="AH817" s="28"/>
      <c r="AI817" s="28" t="n">
        <f aca="false">AH817*$M817</f>
        <v>0</v>
      </c>
      <c r="AJ817" s="28"/>
      <c r="AK817" s="28" t="n">
        <f aca="false">AJ817*$M817</f>
        <v>0</v>
      </c>
      <c r="AL817" s="28"/>
      <c r="AM817" s="28" t="n">
        <f aca="false">AL817*$M817</f>
        <v>0</v>
      </c>
      <c r="AN817" s="28"/>
      <c r="AO817" s="28" t="n">
        <f aca="false">AN817*$M817</f>
        <v>0</v>
      </c>
      <c r="AP817" s="28"/>
      <c r="AQ817" s="28" t="n">
        <f aca="false">AP817*$M817</f>
        <v>0</v>
      </c>
      <c r="AR817" s="28"/>
      <c r="AS817" s="28" t="n">
        <f aca="false">AR817*$M817</f>
        <v>0</v>
      </c>
      <c r="AT817" s="28"/>
      <c r="AU817" s="28" t="n">
        <f aca="false">AT817*$M817</f>
        <v>0</v>
      </c>
      <c r="AV817" s="28"/>
      <c r="AW817" s="28" t="n">
        <f aca="false">AV817*$M817</f>
        <v>0</v>
      </c>
      <c r="AX817" s="28"/>
      <c r="AY817" s="28" t="n">
        <f aca="false">AX817*$M817</f>
        <v>0</v>
      </c>
      <c r="AZ817" s="30" t="n">
        <v>146</v>
      </c>
      <c r="BA817" s="11" t="n">
        <v>4380</v>
      </c>
      <c r="BB817" s="31" t="n">
        <f aca="false">SUM(Q817,S817,U817,W817,Y817,AA817,AC817,AE817,AG817,AI817,AK817,AM817,AO817,AQ817,AS817,AU817,AW817,AY817)</f>
        <v>4380</v>
      </c>
      <c r="BC817" s="28" t="n">
        <f aca="false">BA817-BB817</f>
        <v>0</v>
      </c>
      <c r="BD817" s="32" t="n">
        <f aca="false">SUM(P817,R817,T817,V817,X817,Z817,AB817,AD817,AF817,AH817,AJ817,AL817,AN817,AP817,AR817,AT817,AV817,AX817)</f>
        <v>146</v>
      </c>
      <c r="BE817" s="33" t="n">
        <f aca="false">AZ817-BD817</f>
        <v>0</v>
      </c>
      <c r="BF817" s="34" t="n">
        <f aca="false">BD817*M817</f>
        <v>4380</v>
      </c>
      <c r="BG817" s="35" t="n">
        <f aca="false">BA817-BF817</f>
        <v>0</v>
      </c>
      <c r="BH817" s="19" t="str">
        <f aca="false">IF(BG817=0,"",IF(BG817&lt;&gt;BA817,"erreur de calcul",IF(BD817&lt;&gt;0,"pas de prix",IF(M817&lt;&gt; 0,"pas de quantité","pas de prix, ni de quantité"))))</f>
        <v/>
      </c>
      <c r="BI817" s="19"/>
    </row>
    <row r="818" customFormat="false" ht="15" hidden="false" customHeight="false" outlineLevel="0" collapsed="false">
      <c r="A818" s="0" t="n">
        <v>37</v>
      </c>
      <c r="B818" s="8" t="s">
        <v>24</v>
      </c>
      <c r="C818" s="9" t="s">
        <v>25</v>
      </c>
      <c r="D818" s="9" t="s">
        <v>26</v>
      </c>
      <c r="E818" s="10" t="n">
        <v>1789</v>
      </c>
      <c r="F818" s="9" t="s">
        <v>27</v>
      </c>
      <c r="G818" s="9" t="s">
        <v>27</v>
      </c>
      <c r="H818" s="11" t="n">
        <v>21</v>
      </c>
      <c r="I818" s="11" t="s">
        <v>190</v>
      </c>
      <c r="J818" s="14" t="n">
        <v>3</v>
      </c>
      <c r="K818" s="14"/>
      <c r="L818" s="16"/>
      <c r="M818" s="27" t="n">
        <f aca="false">J818+(K818/20)+(L818/240)</f>
        <v>3</v>
      </c>
      <c r="N818" s="17" t="s">
        <v>66</v>
      </c>
      <c r="O818" s="11"/>
      <c r="P818" s="28"/>
      <c r="Q818" s="28" t="n">
        <f aca="false">P818*$M818</f>
        <v>0</v>
      </c>
      <c r="R818" s="28"/>
      <c r="S818" s="28" t="n">
        <f aca="false">R818*$M818</f>
        <v>0</v>
      </c>
      <c r="T818" s="28"/>
      <c r="U818" s="28" t="n">
        <f aca="false">T818*$M818</f>
        <v>0</v>
      </c>
      <c r="V818" s="28" t="n">
        <v>284</v>
      </c>
      <c r="W818" s="28" t="n">
        <v>852</v>
      </c>
      <c r="X818" s="28" t="n">
        <v>8028</v>
      </c>
      <c r="Y818" s="28" t="n">
        <v>24084</v>
      </c>
      <c r="Z818" s="28"/>
      <c r="AA818" s="28" t="n">
        <f aca="false">Z818*$M818</f>
        <v>0</v>
      </c>
      <c r="AB818" s="28"/>
      <c r="AC818" s="28" t="n">
        <f aca="false">AB818*$M818</f>
        <v>0</v>
      </c>
      <c r="AD818" s="28"/>
      <c r="AE818" s="28" t="n">
        <f aca="false">AD818*$M818</f>
        <v>0</v>
      </c>
      <c r="AF818" s="28"/>
      <c r="AG818" s="28" t="n">
        <f aca="false">AF818*$M818</f>
        <v>0</v>
      </c>
      <c r="AH818" s="28"/>
      <c r="AI818" s="28" t="n">
        <f aca="false">AH818*$M818</f>
        <v>0</v>
      </c>
      <c r="AJ818" s="28"/>
      <c r="AK818" s="28" t="n">
        <f aca="false">AJ818*$M818</f>
        <v>0</v>
      </c>
      <c r="AL818" s="28" t="n">
        <v>2127</v>
      </c>
      <c r="AM818" s="28" t="n">
        <v>6381</v>
      </c>
      <c r="AN818" s="28"/>
      <c r="AO818" s="28" t="n">
        <f aca="false">AN818*$M818</f>
        <v>0</v>
      </c>
      <c r="AP818" s="28"/>
      <c r="AQ818" s="28" t="n">
        <f aca="false">AP818*$M818</f>
        <v>0</v>
      </c>
      <c r="AR818" s="28"/>
      <c r="AS818" s="28" t="n">
        <f aca="false">AR818*$M818</f>
        <v>0</v>
      </c>
      <c r="AT818" s="28"/>
      <c r="AU818" s="28" t="n">
        <f aca="false">AT818*$M818</f>
        <v>0</v>
      </c>
      <c r="AV818" s="28"/>
      <c r="AW818" s="28" t="n">
        <f aca="false">AV818*$M818</f>
        <v>0</v>
      </c>
      <c r="AX818" s="28"/>
      <c r="AY818" s="28" t="n">
        <f aca="false">AX818*$M818</f>
        <v>0</v>
      </c>
      <c r="AZ818" s="30" t="n">
        <v>10439</v>
      </c>
      <c r="BA818" s="11" t="n">
        <v>31317</v>
      </c>
      <c r="BB818" s="31" t="n">
        <f aca="false">SUM(Q818,S818,U818,W818,Y818,AA818,AC818,AE818,AG818,AI818,AK818,AM818,AO818,AQ818,AS818,AU818,AW818,AY818)</f>
        <v>31317</v>
      </c>
      <c r="BC818" s="28" t="n">
        <f aca="false">BA818-BB818</f>
        <v>0</v>
      </c>
      <c r="BD818" s="32" t="n">
        <f aca="false">SUM(P818,R818,T818,V818,X818,Z818,AB818,AD818,AF818,AH818,AJ818,AL818,AN818,AP818,AR818,AT818,AV818,AX818)</f>
        <v>10439</v>
      </c>
      <c r="BE818" s="33" t="n">
        <f aca="false">AZ818-BD818</f>
        <v>0</v>
      </c>
      <c r="BF818" s="34" t="n">
        <f aca="false">BD818*M818</f>
        <v>31317</v>
      </c>
      <c r="BG818" s="35" t="n">
        <f aca="false">BA818-BF818</f>
        <v>0</v>
      </c>
      <c r="BH818" s="19" t="str">
        <f aca="false">IF(BG818=0,"",IF(BG818&lt;&gt;BA818,"erreur de calcul",IF(BD818&lt;&gt;0,"pas de prix",IF(M818&lt;&gt; 0,"pas de quantité","pas de prix, ni de quantité"))))</f>
        <v/>
      </c>
      <c r="BI818" s="19"/>
    </row>
    <row r="819" customFormat="false" ht="15" hidden="false" customHeight="false" outlineLevel="0" collapsed="false">
      <c r="A819" s="0" t="n">
        <v>38</v>
      </c>
      <c r="B819" s="8" t="s">
        <v>24</v>
      </c>
      <c r="C819" s="9" t="s">
        <v>25</v>
      </c>
      <c r="D819" s="9" t="s">
        <v>26</v>
      </c>
      <c r="E819" s="10" t="n">
        <v>1789</v>
      </c>
      <c r="F819" s="9" t="s">
        <v>27</v>
      </c>
      <c r="G819" s="9" t="s">
        <v>27</v>
      </c>
      <c r="H819" s="11" t="n">
        <v>21</v>
      </c>
      <c r="I819" s="11" t="s">
        <v>191</v>
      </c>
      <c r="J819" s="14" t="n">
        <v>25</v>
      </c>
      <c r="K819" s="14"/>
      <c r="L819" s="16"/>
      <c r="M819" s="27" t="n">
        <f aca="false">J819+(K819/20)+(L819/240)</f>
        <v>25</v>
      </c>
      <c r="N819" s="17" t="s">
        <v>64</v>
      </c>
      <c r="O819" s="11"/>
      <c r="P819" s="28"/>
      <c r="Q819" s="28" t="n">
        <f aca="false">P819*$M819</f>
        <v>0</v>
      </c>
      <c r="R819" s="28"/>
      <c r="S819" s="28" t="n">
        <f aca="false">R819*$M819</f>
        <v>0</v>
      </c>
      <c r="T819" s="28"/>
      <c r="U819" s="28" t="n">
        <f aca="false">T819*$M819</f>
        <v>0</v>
      </c>
      <c r="V819" s="28"/>
      <c r="W819" s="28" t="n">
        <f aca="false">V819*$M819</f>
        <v>0</v>
      </c>
      <c r="X819" s="28" t="n">
        <f aca="false">5034/100</f>
        <v>50.34</v>
      </c>
      <c r="Y819" s="28" t="n">
        <v>1258</v>
      </c>
      <c r="Z819" s="28"/>
      <c r="AA819" s="28" t="n">
        <f aca="false">Z819*$M819</f>
        <v>0</v>
      </c>
      <c r="AB819" s="28"/>
      <c r="AC819" s="28" t="n">
        <f aca="false">AB819*$M819</f>
        <v>0</v>
      </c>
      <c r="AD819" s="28"/>
      <c r="AE819" s="28" t="n">
        <f aca="false">AD819*$M819</f>
        <v>0</v>
      </c>
      <c r="AF819" s="28"/>
      <c r="AG819" s="28" t="n">
        <f aca="false">AF819*$M819</f>
        <v>0</v>
      </c>
      <c r="AH819" s="28"/>
      <c r="AI819" s="28" t="n">
        <f aca="false">AH819*$M819</f>
        <v>0</v>
      </c>
      <c r="AJ819" s="28" t="n">
        <f aca="false">1375/100</f>
        <v>13.75</v>
      </c>
      <c r="AK819" s="28" t="n">
        <v>344</v>
      </c>
      <c r="AL819" s="28" t="n">
        <f aca="false">6710/100</f>
        <v>67.1</v>
      </c>
      <c r="AM819" s="28" t="n">
        <v>1677</v>
      </c>
      <c r="AN819" s="28"/>
      <c r="AO819" s="28" t="n">
        <f aca="false">AN819*$M819</f>
        <v>0</v>
      </c>
      <c r="AP819" s="28"/>
      <c r="AQ819" s="28" t="n">
        <f aca="false">AP819*$M819</f>
        <v>0</v>
      </c>
      <c r="AR819" s="28"/>
      <c r="AS819" s="28" t="n">
        <f aca="false">AR819*$M819</f>
        <v>0</v>
      </c>
      <c r="AT819" s="28"/>
      <c r="AU819" s="28" t="n">
        <f aca="false">AT819*$M819</f>
        <v>0</v>
      </c>
      <c r="AV819" s="28"/>
      <c r="AW819" s="28" t="n">
        <f aca="false">AV819*$M819</f>
        <v>0</v>
      </c>
      <c r="AX819" s="28"/>
      <c r="AY819" s="28" t="n">
        <f aca="false">AX819*$M819</f>
        <v>0</v>
      </c>
      <c r="AZ819" s="30" t="n">
        <f aca="false">13119/100</f>
        <v>131.19</v>
      </c>
      <c r="BA819" s="11" t="n">
        <v>3279</v>
      </c>
      <c r="BB819" s="31" t="n">
        <f aca="false">SUM(Q819,S819,U819,W819,Y819,AA819,AC819,AE819,AG819,AI819,AK819,AM819,AO819,AQ819,AS819,AU819,AW819,AY819)</f>
        <v>3279</v>
      </c>
      <c r="BC819" s="28" t="n">
        <f aca="false">BA819-BB819</f>
        <v>0</v>
      </c>
      <c r="BD819" s="32" t="n">
        <f aca="false">SUM(P819,R819,T819,V819,X819,Z819,AB819,AD819,AF819,AH819,AJ819,AL819,AN819,AP819,AR819,AT819,AV819,AX819)</f>
        <v>131.19</v>
      </c>
      <c r="BE819" s="33" t="n">
        <f aca="false">AZ819-BD819</f>
        <v>0</v>
      </c>
      <c r="BF819" s="34" t="n">
        <f aca="false">BD819*M819</f>
        <v>3279.75</v>
      </c>
      <c r="BG819" s="35" t="n">
        <f aca="false">BA819-BF819</f>
        <v>-0.75</v>
      </c>
      <c r="BH819" s="19" t="str">
        <f aca="false">IF(BG819=0,"",IF(BG819&lt;&gt;BA819,"erreur de calcul",IF(BD819&lt;&gt;0,"pas de prix",IF(M819&lt;&gt; 0,"pas de quantité","pas de prix, ni de quantité"))))</f>
        <v>erreur de calcul</v>
      </c>
      <c r="BI819" s="19"/>
    </row>
    <row r="820" customFormat="false" ht="15" hidden="false" customHeight="false" outlineLevel="0" collapsed="false">
      <c r="A820" s="0" t="n">
        <v>39</v>
      </c>
      <c r="B820" s="8" t="s">
        <v>24</v>
      </c>
      <c r="C820" s="9" t="s">
        <v>25</v>
      </c>
      <c r="D820" s="9" t="s">
        <v>26</v>
      </c>
      <c r="E820" s="10" t="n">
        <v>1789</v>
      </c>
      <c r="F820" s="9" t="s">
        <v>27</v>
      </c>
      <c r="G820" s="9" t="s">
        <v>27</v>
      </c>
      <c r="H820" s="11" t="n">
        <v>21</v>
      </c>
      <c r="I820" s="11" t="s">
        <v>192</v>
      </c>
      <c r="J820" s="14" t="n">
        <v>25</v>
      </c>
      <c r="K820" s="14"/>
      <c r="L820" s="16"/>
      <c r="M820" s="27" t="n">
        <f aca="false">J820+(K820/20)+(L820/240)</f>
        <v>25</v>
      </c>
      <c r="N820" s="17" t="s">
        <v>64</v>
      </c>
      <c r="O820" s="11"/>
      <c r="P820" s="28"/>
      <c r="Q820" s="28" t="n">
        <f aca="false">P820*$M820</f>
        <v>0</v>
      </c>
      <c r="R820" s="28"/>
      <c r="S820" s="28" t="n">
        <f aca="false">R820*$M820</f>
        <v>0</v>
      </c>
      <c r="T820" s="28"/>
      <c r="U820" s="28" t="n">
        <f aca="false">T820*$M820</f>
        <v>0</v>
      </c>
      <c r="V820" s="28"/>
      <c r="W820" s="28" t="n">
        <f aca="false">V820*$M820</f>
        <v>0</v>
      </c>
      <c r="X820" s="28" t="n">
        <f aca="false">5561/100</f>
        <v>55.61</v>
      </c>
      <c r="Y820" s="28" t="n">
        <v>1390</v>
      </c>
      <c r="Z820" s="28"/>
      <c r="AA820" s="28" t="n">
        <f aca="false">Z820*$M820</f>
        <v>0</v>
      </c>
      <c r="AB820" s="28"/>
      <c r="AC820" s="28" t="n">
        <f aca="false">AB820*$M820</f>
        <v>0</v>
      </c>
      <c r="AD820" s="28"/>
      <c r="AE820" s="28" t="n">
        <f aca="false">AD820*$M820</f>
        <v>0</v>
      </c>
      <c r="AF820" s="28"/>
      <c r="AG820" s="28" t="n">
        <f aca="false">AF820*$M820</f>
        <v>0</v>
      </c>
      <c r="AH820" s="28"/>
      <c r="AI820" s="28" t="n">
        <f aca="false">AH820*$M820</f>
        <v>0</v>
      </c>
      <c r="AJ820" s="28"/>
      <c r="AK820" s="28" t="n">
        <f aca="false">AJ820*$M820</f>
        <v>0</v>
      </c>
      <c r="AL820" s="28"/>
      <c r="AM820" s="28" t="n">
        <f aca="false">AL820*$M820</f>
        <v>0</v>
      </c>
      <c r="AN820" s="28"/>
      <c r="AO820" s="28" t="n">
        <f aca="false">AN820*$M820</f>
        <v>0</v>
      </c>
      <c r="AP820" s="28"/>
      <c r="AQ820" s="28" t="n">
        <f aca="false">AP820*$M820</f>
        <v>0</v>
      </c>
      <c r="AR820" s="28"/>
      <c r="AS820" s="28" t="n">
        <f aca="false">AR820*$M820</f>
        <v>0</v>
      </c>
      <c r="AT820" s="28"/>
      <c r="AU820" s="28" t="n">
        <f aca="false">AT820*$M820</f>
        <v>0</v>
      </c>
      <c r="AV820" s="28"/>
      <c r="AW820" s="28" t="n">
        <f aca="false">AV820*$M820</f>
        <v>0</v>
      </c>
      <c r="AX820" s="28"/>
      <c r="AY820" s="28" t="n">
        <f aca="false">AX820*$M820</f>
        <v>0</v>
      </c>
      <c r="AZ820" s="30" t="n">
        <f aca="false">5561/100</f>
        <v>55.61</v>
      </c>
      <c r="BA820" s="11" t="n">
        <v>1390</v>
      </c>
      <c r="BB820" s="31" t="n">
        <f aca="false">SUM(Q820,S820,U820,W820,Y820,AA820,AC820,AE820,AG820,AI820,AK820,AM820,AO820,AQ820,AS820,AU820,AW820,AY820)</f>
        <v>1390</v>
      </c>
      <c r="BC820" s="28" t="n">
        <f aca="false">BA820-BB820</f>
        <v>0</v>
      </c>
      <c r="BD820" s="32" t="n">
        <f aca="false">SUM(P820,R820,T820,V820,X820,Z820,AB820,AD820,AF820,AH820,AJ820,AL820,AN820,AP820,AR820,AT820,AV820,AX820)</f>
        <v>55.61</v>
      </c>
      <c r="BE820" s="33" t="n">
        <f aca="false">AZ820-BD820</f>
        <v>0</v>
      </c>
      <c r="BF820" s="34" t="n">
        <f aca="false">BD820*M820</f>
        <v>1390.25</v>
      </c>
      <c r="BG820" s="35" t="n">
        <f aca="false">BA820-BF820</f>
        <v>-0.25</v>
      </c>
      <c r="BH820" s="19" t="str">
        <f aca="false">IF(BG820=0,"",IF(BG820&lt;&gt;BA820,"erreur de calcul",IF(BD820&lt;&gt;0,"pas de prix",IF(M820&lt;&gt; 0,"pas de quantité","pas de prix, ni de quantité"))))</f>
        <v>erreur de calcul</v>
      </c>
      <c r="BI820" s="19"/>
    </row>
    <row r="821" customFormat="false" ht="15" hidden="false" customHeight="false" outlineLevel="0" collapsed="false">
      <c r="A821" s="0" t="n">
        <v>40</v>
      </c>
      <c r="B821" s="8" t="s">
        <v>24</v>
      </c>
      <c r="C821" s="9" t="s">
        <v>25</v>
      </c>
      <c r="D821" s="9" t="s">
        <v>26</v>
      </c>
      <c r="E821" s="10" t="n">
        <v>1789</v>
      </c>
      <c r="F821" s="9" t="s">
        <v>27</v>
      </c>
      <c r="G821" s="9" t="s">
        <v>27</v>
      </c>
      <c r="H821" s="11" t="n">
        <v>21</v>
      </c>
      <c r="I821" s="11" t="s">
        <v>193</v>
      </c>
      <c r="J821" s="14" t="n">
        <v>168</v>
      </c>
      <c r="K821" s="14"/>
      <c r="L821" s="16"/>
      <c r="M821" s="27" t="n">
        <f aca="false">J821+(K821/20)+(L821/240)</f>
        <v>168</v>
      </c>
      <c r="N821" s="17" t="s">
        <v>64</v>
      </c>
      <c r="O821" s="11"/>
      <c r="P821" s="28"/>
      <c r="Q821" s="28" t="n">
        <f aca="false">P821*$M821</f>
        <v>0</v>
      </c>
      <c r="R821" s="28"/>
      <c r="S821" s="28" t="n">
        <f aca="false">R821*$M821</f>
        <v>0</v>
      </c>
      <c r="T821" s="28"/>
      <c r="U821" s="28" t="n">
        <f aca="false">T821*$M821</f>
        <v>0</v>
      </c>
      <c r="V821" s="28"/>
      <c r="W821" s="28" t="n">
        <f aca="false">V821*$M821</f>
        <v>0</v>
      </c>
      <c r="X821" s="28"/>
      <c r="Y821" s="28" t="n">
        <f aca="false">X821*$M821</f>
        <v>0</v>
      </c>
      <c r="Z821" s="28"/>
      <c r="AA821" s="28" t="n">
        <f aca="false">Z821*$M821</f>
        <v>0</v>
      </c>
      <c r="AB821" s="28"/>
      <c r="AC821" s="28" t="n">
        <f aca="false">AB821*$M821</f>
        <v>0</v>
      </c>
      <c r="AD821" s="28"/>
      <c r="AE821" s="28" t="n">
        <f aca="false">AD821*$M821</f>
        <v>0</v>
      </c>
      <c r="AF821" s="28"/>
      <c r="AG821" s="28" t="n">
        <f aca="false">AF821*$M821</f>
        <v>0</v>
      </c>
      <c r="AH821" s="28" t="n">
        <f aca="false">14590/100</f>
        <v>145.9</v>
      </c>
      <c r="AI821" s="28" t="n">
        <v>24511</v>
      </c>
      <c r="AJ821" s="28"/>
      <c r="AK821" s="28" t="n">
        <f aca="false">AJ821*$M821</f>
        <v>0</v>
      </c>
      <c r="AL821" s="28"/>
      <c r="AM821" s="28" t="n">
        <f aca="false">AL821*$M821</f>
        <v>0</v>
      </c>
      <c r="AN821" s="28"/>
      <c r="AO821" s="28" t="n">
        <f aca="false">AN821*$M821</f>
        <v>0</v>
      </c>
      <c r="AP821" s="28"/>
      <c r="AQ821" s="28" t="n">
        <f aca="false">AP821*$M821</f>
        <v>0</v>
      </c>
      <c r="AR821" s="28"/>
      <c r="AS821" s="28" t="n">
        <f aca="false">AR821*$M821</f>
        <v>0</v>
      </c>
      <c r="AT821" s="28"/>
      <c r="AU821" s="28" t="n">
        <f aca="false">AT821*$M821</f>
        <v>0</v>
      </c>
      <c r="AV821" s="28"/>
      <c r="AW821" s="28" t="n">
        <f aca="false">AV821*$M821</f>
        <v>0</v>
      </c>
      <c r="AX821" s="28"/>
      <c r="AY821" s="28" t="n">
        <f aca="false">AX821*$M821</f>
        <v>0</v>
      </c>
      <c r="AZ821" s="30" t="n">
        <f aca="false">14590/100</f>
        <v>145.9</v>
      </c>
      <c r="BA821" s="11" t="n">
        <v>24511</v>
      </c>
      <c r="BB821" s="31" t="n">
        <f aca="false">SUM(Q821,S821,U821,W821,Y821,AA821,AC821,AE821,AG821,AI821,AK821,AM821,AO821,AQ821,AS821,AU821,AW821,AY821)</f>
        <v>24511</v>
      </c>
      <c r="BC821" s="28" t="n">
        <f aca="false">BA821-BB821</f>
        <v>0</v>
      </c>
      <c r="BD821" s="32" t="n">
        <f aca="false">SUM(P821,R821,T821,V821,X821,Z821,AB821,AD821,AF821,AH821,AJ821,AL821,AN821,AP821,AR821,AT821,AV821,AX821)</f>
        <v>145.9</v>
      </c>
      <c r="BE821" s="33" t="n">
        <f aca="false">AZ821-BD821</f>
        <v>0</v>
      </c>
      <c r="BF821" s="34" t="n">
        <f aca="false">BD821*M821</f>
        <v>24511.2</v>
      </c>
      <c r="BG821" s="35" t="n">
        <f aca="false">BA821-BF821</f>
        <v>-0.200000000000728</v>
      </c>
      <c r="BH821" s="19" t="str">
        <f aca="false">IF(BG821=0,"",IF(BG821&lt;&gt;BA821,"erreur de calcul",IF(BD821&lt;&gt;0,"pas de prix",IF(M821&lt;&gt; 0,"pas de quantité","pas de prix, ni de quantité"))))</f>
        <v>erreur de calcul</v>
      </c>
      <c r="BI821" s="19"/>
    </row>
    <row r="822" customFormat="false" ht="15" hidden="false" customHeight="false" outlineLevel="0" collapsed="false">
      <c r="A822" s="0" t="n">
        <v>41</v>
      </c>
      <c r="B822" s="8" t="s">
        <v>24</v>
      </c>
      <c r="C822" s="9" t="s">
        <v>25</v>
      </c>
      <c r="D822" s="9" t="s">
        <v>26</v>
      </c>
      <c r="E822" s="10" t="n">
        <v>1789</v>
      </c>
      <c r="F822" s="9" t="s">
        <v>27</v>
      </c>
      <c r="G822" s="9" t="s">
        <v>27</v>
      </c>
      <c r="H822" s="11" t="n">
        <v>21</v>
      </c>
      <c r="I822" s="11" t="s">
        <v>194</v>
      </c>
      <c r="J822" s="14" t="n">
        <v>120</v>
      </c>
      <c r="K822" s="14"/>
      <c r="L822" s="16"/>
      <c r="M822" s="27" t="n">
        <f aca="false">J822+(K822/20)+(L822/240)</f>
        <v>120</v>
      </c>
      <c r="N822" s="17" t="s">
        <v>64</v>
      </c>
      <c r="O822" s="11"/>
      <c r="P822" s="28"/>
      <c r="Q822" s="28" t="n">
        <f aca="false">P822*$M822</f>
        <v>0</v>
      </c>
      <c r="R822" s="28"/>
      <c r="S822" s="28" t="n">
        <f aca="false">R822*$M822</f>
        <v>0</v>
      </c>
      <c r="T822" s="28"/>
      <c r="U822" s="28" t="n">
        <f aca="false">T822*$M822</f>
        <v>0</v>
      </c>
      <c r="V822" s="28"/>
      <c r="W822" s="28" t="n">
        <f aca="false">V822*$M822</f>
        <v>0</v>
      </c>
      <c r="X822" s="28"/>
      <c r="Y822" s="28" t="n">
        <f aca="false">X822*$M822</f>
        <v>0</v>
      </c>
      <c r="Z822" s="28"/>
      <c r="AA822" s="28" t="n">
        <f aca="false">Z822*$M822</f>
        <v>0</v>
      </c>
      <c r="AB822" s="28" t="n">
        <f aca="false">6930/100</f>
        <v>69.3</v>
      </c>
      <c r="AC822" s="28" t="n">
        <v>8316</v>
      </c>
      <c r="AD822" s="28"/>
      <c r="AE822" s="28" t="n">
        <f aca="false">AD822*$M822</f>
        <v>0</v>
      </c>
      <c r="AF822" s="28"/>
      <c r="AG822" s="28" t="n">
        <f aca="false">AF822*$M822</f>
        <v>0</v>
      </c>
      <c r="AH822" s="28"/>
      <c r="AI822" s="28" t="n">
        <f aca="false">AH822*$M822</f>
        <v>0</v>
      </c>
      <c r="AJ822" s="28"/>
      <c r="AK822" s="28" t="n">
        <f aca="false">AJ822*$M822</f>
        <v>0</v>
      </c>
      <c r="AL822" s="28"/>
      <c r="AM822" s="28" t="n">
        <f aca="false">AL822*$M822</f>
        <v>0</v>
      </c>
      <c r="AN822" s="28"/>
      <c r="AO822" s="28" t="n">
        <f aca="false">AN822*$M822</f>
        <v>0</v>
      </c>
      <c r="AP822" s="28"/>
      <c r="AQ822" s="28" t="n">
        <f aca="false">AP822*$M822</f>
        <v>0</v>
      </c>
      <c r="AR822" s="28"/>
      <c r="AS822" s="28" t="n">
        <f aca="false">AR822*$M822</f>
        <v>0</v>
      </c>
      <c r="AT822" s="28"/>
      <c r="AU822" s="28" t="n">
        <f aca="false">AT822*$M822</f>
        <v>0</v>
      </c>
      <c r="AV822" s="28"/>
      <c r="AW822" s="28" t="n">
        <f aca="false">AV822*$M822</f>
        <v>0</v>
      </c>
      <c r="AX822" s="28"/>
      <c r="AY822" s="28" t="n">
        <f aca="false">AX822*$M822</f>
        <v>0</v>
      </c>
      <c r="AZ822" s="30" t="n">
        <f aca="false">6930/100</f>
        <v>69.3</v>
      </c>
      <c r="BA822" s="11" t="n">
        <v>8316</v>
      </c>
      <c r="BB822" s="31" t="n">
        <f aca="false">SUM(Q822,S822,U822,W822,Y822,AA822,AC822,AE822,AG822,AI822,AK822,AM822,AO822,AQ822,AS822,AU822,AW822,AY822)</f>
        <v>8316</v>
      </c>
      <c r="BC822" s="28" t="n">
        <f aca="false">BA822-BB822</f>
        <v>0</v>
      </c>
      <c r="BD822" s="32" t="n">
        <f aca="false">SUM(P822,R822,T822,V822,X822,Z822,AB822,AD822,AF822,AH822,AJ822,AL822,AN822,AP822,AR822,AT822,AV822,AX822)</f>
        <v>69.3</v>
      </c>
      <c r="BE822" s="33" t="n">
        <f aca="false">AZ822-BD822</f>
        <v>0</v>
      </c>
      <c r="BF822" s="34" t="n">
        <f aca="false">BD822*M822</f>
        <v>8316</v>
      </c>
      <c r="BG822" s="35" t="n">
        <f aca="false">BA822-BF822</f>
        <v>0</v>
      </c>
      <c r="BH822" s="19" t="str">
        <f aca="false">IF(BG822=0,"",IF(BG822&lt;&gt;BA822,"erreur de calcul",IF(BD822&lt;&gt;0,"pas de prix",IF(M822&lt;&gt; 0,"pas de quantité","pas de prix, ni de quantité"))))</f>
        <v/>
      </c>
      <c r="BI822" s="19"/>
    </row>
    <row r="823" customFormat="false" ht="16.65" hidden="false" customHeight="false" outlineLevel="0" collapsed="false">
      <c r="A823" s="0" t="n">
        <v>42</v>
      </c>
      <c r="B823" s="8" t="s">
        <v>24</v>
      </c>
      <c r="C823" s="9" t="s">
        <v>25</v>
      </c>
      <c r="D823" s="9" t="s">
        <v>26</v>
      </c>
      <c r="E823" s="10" t="n">
        <v>1789</v>
      </c>
      <c r="F823" s="9" t="s">
        <v>27</v>
      </c>
      <c r="G823" s="9" t="s">
        <v>27</v>
      </c>
      <c r="H823" s="11" t="n">
        <v>21</v>
      </c>
      <c r="I823" s="11" t="s">
        <v>195</v>
      </c>
      <c r="J823" s="14" t="n">
        <v>70</v>
      </c>
      <c r="K823" s="14"/>
      <c r="L823" s="16"/>
      <c r="M823" s="27" t="n">
        <f aca="false">J823+(K823/20)+(L823/240)</f>
        <v>70</v>
      </c>
      <c r="N823" s="17" t="s">
        <v>64</v>
      </c>
      <c r="O823" s="11"/>
      <c r="P823" s="28"/>
      <c r="Q823" s="28" t="n">
        <f aca="false">P823*$M823</f>
        <v>0</v>
      </c>
      <c r="R823" s="28"/>
      <c r="S823" s="28" t="n">
        <f aca="false">R823*$M823</f>
        <v>0</v>
      </c>
      <c r="T823" s="28"/>
      <c r="U823" s="28" t="n">
        <f aca="false">T823*$M823</f>
        <v>0</v>
      </c>
      <c r="V823" s="28"/>
      <c r="W823" s="28" t="n">
        <f aca="false">V823*$M823</f>
        <v>0</v>
      </c>
      <c r="X823" s="28"/>
      <c r="Y823" s="28" t="n">
        <f aca="false">X823*$M823</f>
        <v>0</v>
      </c>
      <c r="Z823" s="28"/>
      <c r="AA823" s="28" t="n">
        <f aca="false">Z823*$M823</f>
        <v>0</v>
      </c>
      <c r="AB823" s="28"/>
      <c r="AC823" s="28" t="n">
        <f aca="false">AB823*$M823</f>
        <v>0</v>
      </c>
      <c r="AD823" s="28"/>
      <c r="AE823" s="28" t="n">
        <f aca="false">AD823*$M823</f>
        <v>0</v>
      </c>
      <c r="AF823" s="28"/>
      <c r="AG823" s="28" t="n">
        <f aca="false">AF823*$M823</f>
        <v>0</v>
      </c>
      <c r="AH823" s="28"/>
      <c r="AI823" s="28" t="n">
        <f aca="false">AH823*$M823</f>
        <v>0</v>
      </c>
      <c r="AJ823" s="28"/>
      <c r="AK823" s="28" t="n">
        <f aca="false">AJ823*$M823</f>
        <v>0</v>
      </c>
      <c r="AL823" s="28"/>
      <c r="AM823" s="28" t="n">
        <f aca="false">AL823*$M823</f>
        <v>0</v>
      </c>
      <c r="AN823" s="28" t="n">
        <f aca="false">13200/100</f>
        <v>132</v>
      </c>
      <c r="AO823" s="28" t="n">
        <v>9240</v>
      </c>
      <c r="AP823" s="28"/>
      <c r="AQ823" s="28" t="n">
        <f aca="false">AP823*$M823</f>
        <v>0</v>
      </c>
      <c r="AR823" s="28"/>
      <c r="AS823" s="28" t="n">
        <f aca="false">AR823*$M823</f>
        <v>0</v>
      </c>
      <c r="AT823" s="28"/>
      <c r="AU823" s="28" t="n">
        <f aca="false">AT823*$M823</f>
        <v>0</v>
      </c>
      <c r="AV823" s="28"/>
      <c r="AW823" s="28" t="n">
        <f aca="false">AV823*$M823</f>
        <v>0</v>
      </c>
      <c r="AX823" s="28"/>
      <c r="AY823" s="28" t="n">
        <f aca="false">AX823*$M823</f>
        <v>0</v>
      </c>
      <c r="AZ823" s="30" t="n">
        <f aca="false">13200/100</f>
        <v>132</v>
      </c>
      <c r="BA823" s="11" t="n">
        <v>9240</v>
      </c>
      <c r="BB823" s="31" t="n">
        <f aca="false">SUM(Q823,S823,U823,W823,Y823,AA823,AC823,AE823,AG823,AI823,AK823,AM823,AO823,AQ823,AS823,AU823,AW823,AY823)</f>
        <v>9240</v>
      </c>
      <c r="BC823" s="28" t="n">
        <f aca="false">BA823-BB823</f>
        <v>0</v>
      </c>
      <c r="BD823" s="32" t="n">
        <f aca="false">SUM(P823,R823,T823,V823,X823,Z823,AB823,AD823,AF823,AH823,AJ823,AL823,AN823,AP823,AR823,AT823,AV823,AX823)</f>
        <v>132</v>
      </c>
      <c r="BE823" s="33" t="n">
        <f aca="false">AZ823-BD823</f>
        <v>0</v>
      </c>
      <c r="BF823" s="34" t="n">
        <f aca="false">BD823*M823</f>
        <v>9240</v>
      </c>
      <c r="BG823" s="35" t="n">
        <f aca="false">BA823-BF823</f>
        <v>0</v>
      </c>
      <c r="BH823" s="19" t="str">
        <f aca="false">IF(BG823=0,"",IF(BG823&lt;&gt;BA823,"erreur de calcul",IF(BD823&lt;&gt;0,"pas de prix",IF(M823&lt;&gt; 0,"pas de quantité","pas de prix, ni de quantité"))))</f>
        <v/>
      </c>
      <c r="BI823" s="19"/>
    </row>
    <row r="824" customFormat="false" ht="15" hidden="false" customHeight="false" outlineLevel="0" collapsed="false">
      <c r="A824" s="0" t="n">
        <v>43</v>
      </c>
      <c r="B824" s="8" t="s">
        <v>24</v>
      </c>
      <c r="C824" s="9" t="s">
        <v>25</v>
      </c>
      <c r="D824" s="9" t="s">
        <v>26</v>
      </c>
      <c r="E824" s="10" t="n">
        <v>1789</v>
      </c>
      <c r="F824" s="9" t="s">
        <v>27</v>
      </c>
      <c r="G824" s="9" t="s">
        <v>27</v>
      </c>
      <c r="H824" s="11" t="n">
        <v>21</v>
      </c>
      <c r="I824" s="11" t="s">
        <v>196</v>
      </c>
      <c r="J824" s="14" t="n">
        <v>65</v>
      </c>
      <c r="K824" s="14"/>
      <c r="L824" s="16"/>
      <c r="M824" s="27" t="n">
        <f aca="false">J824+(K824/20)+(L824/240)</f>
        <v>65</v>
      </c>
      <c r="N824" s="17" t="s">
        <v>64</v>
      </c>
      <c r="O824" s="11"/>
      <c r="P824" s="28"/>
      <c r="Q824" s="28" t="n">
        <f aca="false">P824*$M824</f>
        <v>0</v>
      </c>
      <c r="R824" s="28"/>
      <c r="S824" s="28" t="n">
        <f aca="false">R824*$M824</f>
        <v>0</v>
      </c>
      <c r="T824" s="28"/>
      <c r="U824" s="28" t="n">
        <f aca="false">T824*$M824</f>
        <v>0</v>
      </c>
      <c r="V824" s="28"/>
      <c r="W824" s="28" t="n">
        <f aca="false">V824*$M824</f>
        <v>0</v>
      </c>
      <c r="X824" s="28" t="n">
        <f aca="false">44247/100</f>
        <v>442.47</v>
      </c>
      <c r="Y824" s="28" t="n">
        <v>28760</v>
      </c>
      <c r="Z824" s="28" t="n">
        <f aca="false">1906/100</f>
        <v>19.06</v>
      </c>
      <c r="AA824" s="28" t="n">
        <v>1239</v>
      </c>
      <c r="AB824" s="28"/>
      <c r="AC824" s="28" t="n">
        <f aca="false">AB824*$M824</f>
        <v>0</v>
      </c>
      <c r="AD824" s="28"/>
      <c r="AE824" s="28" t="n">
        <f aca="false">AD824*$M824</f>
        <v>0</v>
      </c>
      <c r="AF824" s="28"/>
      <c r="AG824" s="28" t="n">
        <f aca="false">AF824*$M824</f>
        <v>0</v>
      </c>
      <c r="AH824" s="28"/>
      <c r="AI824" s="28" t="n">
        <f aca="false">AH824*$M824</f>
        <v>0</v>
      </c>
      <c r="AJ824" s="28" t="n">
        <f aca="false">625/100</f>
        <v>6.25</v>
      </c>
      <c r="AK824" s="28" t="n">
        <v>406</v>
      </c>
      <c r="AL824" s="28"/>
      <c r="AM824" s="28" t="n">
        <f aca="false">AL824*$M824</f>
        <v>0</v>
      </c>
      <c r="AN824" s="28"/>
      <c r="AO824" s="28" t="n">
        <f aca="false">AN824*$M824</f>
        <v>0</v>
      </c>
      <c r="AP824" s="28"/>
      <c r="AQ824" s="28" t="n">
        <f aca="false">AP824*$M824</f>
        <v>0</v>
      </c>
      <c r="AR824" s="28"/>
      <c r="AS824" s="28" t="n">
        <f aca="false">AR824*$M824</f>
        <v>0</v>
      </c>
      <c r="AT824" s="28"/>
      <c r="AU824" s="28" t="n">
        <f aca="false">AT824*$M824</f>
        <v>0</v>
      </c>
      <c r="AV824" s="28"/>
      <c r="AW824" s="28" t="n">
        <f aca="false">AV824*$M824</f>
        <v>0</v>
      </c>
      <c r="AX824" s="28"/>
      <c r="AY824" s="28" t="n">
        <f aca="false">AX824*$M824</f>
        <v>0</v>
      </c>
      <c r="AZ824" s="30" t="n">
        <f aca="false">46778/100</f>
        <v>467.78</v>
      </c>
      <c r="BA824" s="11" t="n">
        <v>30405</v>
      </c>
      <c r="BB824" s="31" t="n">
        <f aca="false">SUM(Q824,S824,U824,W824,Y824,AA824,AC824,AE824,AG824,AI824,AK824,AM824,AO824,AQ824,AS824,AU824,AW824,AY824)</f>
        <v>30405</v>
      </c>
      <c r="BC824" s="28" t="n">
        <f aca="false">BA824-BB824</f>
        <v>0</v>
      </c>
      <c r="BD824" s="32" t="n">
        <f aca="false">SUM(P824,R824,T824,V824,X824,Z824,AB824,AD824,AF824,AH824,AJ824,AL824,AN824,AP824,AR824,AT824,AV824,AX824)</f>
        <v>467.78</v>
      </c>
      <c r="BE824" s="33" t="n">
        <f aca="false">AZ824-BD824</f>
        <v>0</v>
      </c>
      <c r="BF824" s="34" t="n">
        <f aca="false">BD824*M824</f>
        <v>30405.7</v>
      </c>
      <c r="BG824" s="35" t="n">
        <f aca="false">BA824-BF824</f>
        <v>-0.700000000000728</v>
      </c>
      <c r="BH824" s="19" t="str">
        <f aca="false">IF(BG824=0,"",IF(BG824&lt;&gt;BA824,"erreur de calcul",IF(BD824&lt;&gt;0,"pas de prix",IF(M824&lt;&gt; 0,"pas de quantité","pas de prix, ni de quantité"))))</f>
        <v>erreur de calcul</v>
      </c>
      <c r="BI824" s="19"/>
    </row>
    <row r="825" customFormat="false" ht="15" hidden="false" customHeight="false" outlineLevel="0" collapsed="false">
      <c r="A825" s="0" t="n">
        <v>44</v>
      </c>
      <c r="B825" s="8" t="s">
        <v>24</v>
      </c>
      <c r="C825" s="9" t="s">
        <v>25</v>
      </c>
      <c r="D825" s="9" t="s">
        <v>26</v>
      </c>
      <c r="E825" s="10" t="n">
        <v>1789</v>
      </c>
      <c r="F825" s="9" t="s">
        <v>27</v>
      </c>
      <c r="G825" s="9" t="s">
        <v>27</v>
      </c>
      <c r="H825" s="11" t="n">
        <v>21</v>
      </c>
      <c r="I825" s="11" t="s">
        <v>197</v>
      </c>
      <c r="J825" s="14" t="n">
        <v>70</v>
      </c>
      <c r="K825" s="14"/>
      <c r="L825" s="16"/>
      <c r="M825" s="27" t="n">
        <f aca="false">J825+(K825/20)+(L825/240)</f>
        <v>70</v>
      </c>
      <c r="N825" s="17" t="s">
        <v>64</v>
      </c>
      <c r="O825" s="11"/>
      <c r="P825" s="28"/>
      <c r="Q825" s="28" t="n">
        <f aca="false">P825*$M825</f>
        <v>0</v>
      </c>
      <c r="R825" s="28"/>
      <c r="S825" s="28" t="n">
        <f aca="false">R825*$M825</f>
        <v>0</v>
      </c>
      <c r="T825" s="28"/>
      <c r="U825" s="28" t="n">
        <f aca="false">T825*$M825</f>
        <v>0</v>
      </c>
      <c r="V825" s="28"/>
      <c r="W825" s="28" t="n">
        <f aca="false">V825*$M825</f>
        <v>0</v>
      </c>
      <c r="X825" s="28"/>
      <c r="Y825" s="28" t="n">
        <f aca="false">X825*$M825</f>
        <v>0</v>
      </c>
      <c r="Z825" s="28"/>
      <c r="AA825" s="28" t="n">
        <f aca="false">Z825*$M825</f>
        <v>0</v>
      </c>
      <c r="AB825" s="28"/>
      <c r="AC825" s="28" t="n">
        <f aca="false">AB825*$M825</f>
        <v>0</v>
      </c>
      <c r="AD825" s="28"/>
      <c r="AE825" s="28" t="n">
        <f aca="false">AD825*$M825</f>
        <v>0</v>
      </c>
      <c r="AF825" s="28"/>
      <c r="AG825" s="28" t="n">
        <f aca="false">AF825*$M825</f>
        <v>0</v>
      </c>
      <c r="AH825" s="28" t="n">
        <f aca="false">156436/100</f>
        <v>1564.36</v>
      </c>
      <c r="AI825" s="28" t="n">
        <v>109505</v>
      </c>
      <c r="AJ825" s="28"/>
      <c r="AK825" s="28" t="n">
        <f aca="false">AJ825*$M825</f>
        <v>0</v>
      </c>
      <c r="AL825" s="28"/>
      <c r="AM825" s="28" t="n">
        <f aca="false">AL825*$M825</f>
        <v>0</v>
      </c>
      <c r="AN825" s="28"/>
      <c r="AO825" s="28" t="n">
        <f aca="false">AN825*$M825</f>
        <v>0</v>
      </c>
      <c r="AP825" s="28"/>
      <c r="AQ825" s="28" t="n">
        <f aca="false">AP825*$M825</f>
        <v>0</v>
      </c>
      <c r="AR825" s="28"/>
      <c r="AS825" s="28" t="n">
        <f aca="false">AR825*$M825</f>
        <v>0</v>
      </c>
      <c r="AT825" s="28"/>
      <c r="AU825" s="28" t="n">
        <f aca="false">AT825*$M825</f>
        <v>0</v>
      </c>
      <c r="AV825" s="28"/>
      <c r="AW825" s="28" t="n">
        <f aca="false">AV825*$M825</f>
        <v>0</v>
      </c>
      <c r="AX825" s="28"/>
      <c r="AY825" s="28" t="n">
        <f aca="false">AX825*$M825</f>
        <v>0</v>
      </c>
      <c r="AZ825" s="30" t="n">
        <f aca="false">156436/100</f>
        <v>1564.36</v>
      </c>
      <c r="BA825" s="11" t="n">
        <v>109505</v>
      </c>
      <c r="BB825" s="31" t="n">
        <f aca="false">SUM(Q825,S825,U825,W825,Y825,AA825,AC825,AE825,AG825,AI825,AK825,AM825,AO825,AQ825,AS825,AU825,AW825,AY825)</f>
        <v>109505</v>
      </c>
      <c r="BC825" s="28" t="n">
        <f aca="false">BA825-BB825</f>
        <v>0</v>
      </c>
      <c r="BD825" s="32" t="n">
        <f aca="false">SUM(P825,R825,T825,V825,X825,Z825,AB825,AD825,AF825,AH825,AJ825,AL825,AN825,AP825,AR825,AT825,AV825,AX825)</f>
        <v>1564.36</v>
      </c>
      <c r="BE825" s="33" t="n">
        <f aca="false">AZ825-BD825</f>
        <v>0</v>
      </c>
      <c r="BF825" s="34" t="n">
        <f aca="false">BD825*M825</f>
        <v>109505.2</v>
      </c>
      <c r="BG825" s="35" t="n">
        <f aca="false">BA825-BF825</f>
        <v>-0.19999999999709</v>
      </c>
      <c r="BH825" s="19" t="str">
        <f aca="false">IF(BG825=0,"",IF(BG825&lt;&gt;BA825,"erreur de calcul",IF(BD825&lt;&gt;0,"pas de prix",IF(M825&lt;&gt; 0,"pas de quantité","pas de prix, ni de quantité"))))</f>
        <v>erreur de calcul</v>
      </c>
      <c r="BI825" s="19"/>
    </row>
    <row r="826" customFormat="false" ht="15" hidden="false" customHeight="false" outlineLevel="0" collapsed="false">
      <c r="A826" s="0" t="n">
        <v>45</v>
      </c>
      <c r="B826" s="8" t="s">
        <v>24</v>
      </c>
      <c r="C826" s="9" t="s">
        <v>25</v>
      </c>
      <c r="D826" s="9" t="s">
        <v>26</v>
      </c>
      <c r="E826" s="10" t="n">
        <v>1789</v>
      </c>
      <c r="F826" s="9" t="s">
        <v>27</v>
      </c>
      <c r="G826" s="9" t="s">
        <v>27</v>
      </c>
      <c r="H826" s="11" t="n">
        <v>21</v>
      </c>
      <c r="I826" s="11" t="s">
        <v>198</v>
      </c>
      <c r="J826" s="14"/>
      <c r="K826" s="14"/>
      <c r="L826" s="16"/>
      <c r="M826" s="27" t="n">
        <f aca="false">J826+(K826/20)+(L826/240)</f>
        <v>0</v>
      </c>
      <c r="N826" s="17"/>
      <c r="O826" s="11" t="s">
        <v>98</v>
      </c>
      <c r="P826" s="28"/>
      <c r="Q826" s="28" t="n">
        <v>387</v>
      </c>
      <c r="R826" s="28"/>
      <c r="S826" s="28" t="n">
        <f aca="false">R826*$M826</f>
        <v>0</v>
      </c>
      <c r="T826" s="28"/>
      <c r="U826" s="28" t="n">
        <v>2349</v>
      </c>
      <c r="V826" s="28"/>
      <c r="W826" s="28" t="n">
        <v>978</v>
      </c>
      <c r="X826" s="28"/>
      <c r="Y826" s="28" t="n">
        <f aca="false">X826*$M826</f>
        <v>0</v>
      </c>
      <c r="Z826" s="28"/>
      <c r="AA826" s="28" t="n">
        <f aca="false">Z826*$M826</f>
        <v>0</v>
      </c>
      <c r="AB826" s="28"/>
      <c r="AC826" s="28" t="n">
        <v>328</v>
      </c>
      <c r="AD826" s="28"/>
      <c r="AE826" s="28" t="n">
        <f aca="false">AD826*$M826</f>
        <v>0</v>
      </c>
      <c r="AF826" s="28"/>
      <c r="AG826" s="28" t="n">
        <f aca="false">AF826*$M826</f>
        <v>0</v>
      </c>
      <c r="AH826" s="28"/>
      <c r="AI826" s="28" t="n">
        <v>878</v>
      </c>
      <c r="AJ826" s="28"/>
      <c r="AK826" s="28" t="n">
        <v>1546</v>
      </c>
      <c r="AL826" s="28"/>
      <c r="AM826" s="28" t="n">
        <f aca="false">AL826*$M826</f>
        <v>0</v>
      </c>
      <c r="AN826" s="28"/>
      <c r="AO826" s="28" t="n">
        <f aca="false">AN826*$M826</f>
        <v>0</v>
      </c>
      <c r="AP826" s="28"/>
      <c r="AQ826" s="28" t="n">
        <f aca="false">AP826*$M826</f>
        <v>0</v>
      </c>
      <c r="AR826" s="28"/>
      <c r="AS826" s="28" t="n">
        <f aca="false">AR826*$M826</f>
        <v>0</v>
      </c>
      <c r="AT826" s="28"/>
      <c r="AU826" s="28" t="n">
        <f aca="false">AT826*$M826</f>
        <v>0</v>
      </c>
      <c r="AV826" s="28"/>
      <c r="AW826" s="28" t="n">
        <f aca="false">AV826*$M826</f>
        <v>0</v>
      </c>
      <c r="AX826" s="28"/>
      <c r="AY826" s="28" t="n">
        <f aca="false">AX826*$M826</f>
        <v>0</v>
      </c>
      <c r="AZ826" s="30"/>
      <c r="BA826" s="11" t="n">
        <v>6466</v>
      </c>
      <c r="BB826" s="31" t="n">
        <f aca="false">SUM(Q826,S826,U826,W826,Y826,AA826,AC826,AE826,AG826,AI826,AK826,AM826,AO826,AQ826,AS826,AU826,AW826,AY826)</f>
        <v>6466</v>
      </c>
      <c r="BC826" s="28" t="n">
        <f aca="false">BA826-BB826</f>
        <v>0</v>
      </c>
      <c r="BD826" s="32" t="n">
        <f aca="false">SUM(P826,R826,T826,V826,X826,Z826,AB826,AD826,AF826,AH826,AJ826,AL826,AN826,AP826,AR826,AT826,AV826,AX826)</f>
        <v>0</v>
      </c>
      <c r="BE826" s="33" t="n">
        <f aca="false">AZ826-BD826</f>
        <v>0</v>
      </c>
      <c r="BF826" s="34" t="n">
        <f aca="false">BD826*M826</f>
        <v>0</v>
      </c>
      <c r="BG826" s="35" t="n">
        <f aca="false">BA826-BF826</f>
        <v>6466</v>
      </c>
      <c r="BH826" s="19" t="str">
        <f aca="false">IF(BG826=0,"",IF(BG826&lt;&gt;BA826,"erreur de calcul",IF(BD826&lt;&gt;0,"pas de prix",IF(M826&lt;&gt; 0,"pas de quantité","pas de prix, ni de quantité"))))</f>
        <v>pas de prix, ni de quantité</v>
      </c>
      <c r="BI826" s="19"/>
    </row>
    <row r="827" customFormat="false" ht="15" hidden="false" customHeight="false" outlineLevel="0" collapsed="false">
      <c r="A827" s="0" t="n">
        <v>46</v>
      </c>
      <c r="B827" s="8" t="s">
        <v>24</v>
      </c>
      <c r="C827" s="9" t="s">
        <v>25</v>
      </c>
      <c r="D827" s="9" t="s">
        <v>26</v>
      </c>
      <c r="E827" s="10" t="n">
        <v>1789</v>
      </c>
      <c r="F827" s="9" t="s">
        <v>27</v>
      </c>
      <c r="G827" s="9" t="s">
        <v>27</v>
      </c>
      <c r="H827" s="11" t="n">
        <v>21</v>
      </c>
      <c r="I827" s="11" t="s">
        <v>199</v>
      </c>
      <c r="J827" s="14" t="n">
        <v>27</v>
      </c>
      <c r="K827" s="14"/>
      <c r="L827" s="16"/>
      <c r="M827" s="27" t="n">
        <f aca="false">J827+(K827/20)+(L827/240)</f>
        <v>27</v>
      </c>
      <c r="N827" s="17" t="s">
        <v>64</v>
      </c>
      <c r="O827" s="11"/>
      <c r="P827" s="28" t="n">
        <f aca="false">108627/100</f>
        <v>1086.27</v>
      </c>
      <c r="Q827" s="28" t="n">
        <v>29329</v>
      </c>
      <c r="R827" s="28"/>
      <c r="S827" s="28" t="n">
        <f aca="false">R827*$M827</f>
        <v>0</v>
      </c>
      <c r="T827" s="28"/>
      <c r="U827" s="28" t="n">
        <f aca="false">T827*$M827</f>
        <v>0</v>
      </c>
      <c r="V827" s="28"/>
      <c r="W827" s="28" t="n">
        <f aca="false">V827*$M827</f>
        <v>0</v>
      </c>
      <c r="X827" s="28"/>
      <c r="Y827" s="28" t="n">
        <f aca="false">X827*$M827</f>
        <v>0</v>
      </c>
      <c r="Z827" s="28" t="n">
        <f aca="false">535243/100</f>
        <v>5352.43</v>
      </c>
      <c r="AA827" s="28" t="n">
        <v>144516</v>
      </c>
      <c r="AB827" s="28"/>
      <c r="AC827" s="28" t="n">
        <f aca="false">AB827*$M827</f>
        <v>0</v>
      </c>
      <c r="AD827" s="28" t="n">
        <f aca="false">75759/100</f>
        <v>757.59</v>
      </c>
      <c r="AE827" s="28" t="n">
        <v>20455</v>
      </c>
      <c r="AF827" s="28"/>
      <c r="AG827" s="28" t="n">
        <f aca="false">AF827*$M827</f>
        <v>0</v>
      </c>
      <c r="AH827" s="28" t="n">
        <f aca="false">77800/100</f>
        <v>778</v>
      </c>
      <c r="AI827" s="36" t="n">
        <v>21016</v>
      </c>
      <c r="AJ827" s="28" t="n">
        <f aca="false">28078/100</f>
        <v>280.78</v>
      </c>
      <c r="AK827" s="28" t="n">
        <v>7581</v>
      </c>
      <c r="AL827" s="28" t="n">
        <f aca="false">15417/100</f>
        <v>154.17</v>
      </c>
      <c r="AM827" s="28" t="n">
        <v>4162</v>
      </c>
      <c r="AN827" s="28"/>
      <c r="AO827" s="28" t="n">
        <f aca="false">AN827*$M827</f>
        <v>0</v>
      </c>
      <c r="AP827" s="28"/>
      <c r="AQ827" s="28" t="n">
        <f aca="false">AP827*$M827</f>
        <v>0</v>
      </c>
      <c r="AR827" s="28"/>
      <c r="AS827" s="28" t="n">
        <f aca="false">AR827*$M827</f>
        <v>0</v>
      </c>
      <c r="AT827" s="28"/>
      <c r="AU827" s="28" t="n">
        <f aca="false">AT827*$M827</f>
        <v>0</v>
      </c>
      <c r="AV827" s="28"/>
      <c r="AW827" s="28" t="n">
        <f aca="false">AV827*$M827</f>
        <v>0</v>
      </c>
      <c r="AX827" s="28"/>
      <c r="AY827" s="28" t="n">
        <f aca="false">AX827*$M827</f>
        <v>0</v>
      </c>
      <c r="AZ827" s="30" t="n">
        <f aca="false">840924/100</f>
        <v>8409.24</v>
      </c>
      <c r="BA827" s="11" t="n">
        <v>227059</v>
      </c>
      <c r="BB827" s="31" t="n">
        <f aca="false">SUM(Q827,S827,U827,W827,Y827,AA827,AC827,AE827,AG827,AI827,AK827,AM827,AO827,AQ827,AS827,AU827,AW827,AY827)</f>
        <v>227059</v>
      </c>
      <c r="BC827" s="28" t="n">
        <f aca="false">BA827-BB827</f>
        <v>0</v>
      </c>
      <c r="BD827" s="32" t="n">
        <f aca="false">SUM(P827,R827,T827,V827,X827,Z827,AB827,AD827,AF827,AH827,AJ827,AL827,AN827,AP827,AR827,AT827,AV827,AX827)</f>
        <v>8409.24</v>
      </c>
      <c r="BE827" s="33" t="n">
        <f aca="false">AZ827-BD827</f>
        <v>0</v>
      </c>
      <c r="BF827" s="34" t="n">
        <f aca="false">BD827*M827</f>
        <v>227049.48</v>
      </c>
      <c r="BG827" s="35" t="n">
        <f aca="false">BA827-BF827</f>
        <v>9.52000000001863</v>
      </c>
      <c r="BH827" s="19" t="str">
        <f aca="false">IF(BG827=0,"",IF(BG827&lt;&gt;BA827,"erreur de calcul",IF(BD827&lt;&gt;0,"pas de prix",IF(M827&lt;&gt; 0,"pas de quantité","pas de prix, ni de quantité"))))</f>
        <v>erreur de calcul</v>
      </c>
      <c r="BI827" s="19"/>
    </row>
    <row r="828" customFormat="false" ht="15" hidden="false" customHeight="false" outlineLevel="0" collapsed="false">
      <c r="A828" s="0" t="n">
        <v>47</v>
      </c>
      <c r="B828" s="8" t="s">
        <v>24</v>
      </c>
      <c r="C828" s="9" t="s">
        <v>25</v>
      </c>
      <c r="D828" s="9" t="s">
        <v>26</v>
      </c>
      <c r="E828" s="10" t="n">
        <v>1789</v>
      </c>
      <c r="F828" s="9" t="s">
        <v>27</v>
      </c>
      <c r="G828" s="9" t="s">
        <v>27</v>
      </c>
      <c r="H828" s="11" t="n">
        <v>21</v>
      </c>
      <c r="I828" s="11" t="s">
        <v>200</v>
      </c>
      <c r="J828" s="14" t="n">
        <v>25</v>
      </c>
      <c r="K828" s="14"/>
      <c r="L828" s="16"/>
      <c r="M828" s="27" t="n">
        <f aca="false">J828+(K828/20)+(L828/240)</f>
        <v>25</v>
      </c>
      <c r="N828" s="17" t="s">
        <v>64</v>
      </c>
      <c r="O828" s="11"/>
      <c r="P828" s="28"/>
      <c r="Q828" s="28" t="n">
        <f aca="false">P828*$M828</f>
        <v>0</v>
      </c>
      <c r="R828" s="28"/>
      <c r="S828" s="28" t="n">
        <f aca="false">R828*$M828</f>
        <v>0</v>
      </c>
      <c r="T828" s="28" t="n">
        <f aca="false">56427/100</f>
        <v>564.27</v>
      </c>
      <c r="U828" s="28" t="n">
        <v>14107</v>
      </c>
      <c r="V828" s="28"/>
      <c r="W828" s="28" t="n">
        <f aca="false">V828*$M828</f>
        <v>0</v>
      </c>
      <c r="X828" s="28" t="n">
        <f aca="false">98758/100</f>
        <v>987.58</v>
      </c>
      <c r="Y828" s="28" t="n">
        <v>24689</v>
      </c>
      <c r="Z828" s="28"/>
      <c r="AA828" s="28" t="n">
        <f aca="false">Z828*$M828</f>
        <v>0</v>
      </c>
      <c r="AB828" s="28"/>
      <c r="AC828" s="28" t="n">
        <f aca="false">AB828*$M828</f>
        <v>0</v>
      </c>
      <c r="AD828" s="28"/>
      <c r="AE828" s="28" t="n">
        <f aca="false">AD828*$M828</f>
        <v>0</v>
      </c>
      <c r="AF828" s="28"/>
      <c r="AG828" s="28" t="n">
        <f aca="false">AF828*$M828</f>
        <v>0</v>
      </c>
      <c r="AH828" s="28"/>
      <c r="AI828" s="28" t="n">
        <f aca="false">AH828*$M828</f>
        <v>0</v>
      </c>
      <c r="AJ828" s="28"/>
      <c r="AK828" s="28" t="n">
        <f aca="false">AJ828*$M828</f>
        <v>0</v>
      </c>
      <c r="AL828" s="28"/>
      <c r="AM828" s="28" t="n">
        <f aca="false">AL828*$M828</f>
        <v>0</v>
      </c>
      <c r="AN828" s="28"/>
      <c r="AO828" s="28" t="n">
        <f aca="false">AN828*$M828</f>
        <v>0</v>
      </c>
      <c r="AP828" s="28"/>
      <c r="AQ828" s="28" t="n">
        <f aca="false">AP828*$M828</f>
        <v>0</v>
      </c>
      <c r="AR828" s="28"/>
      <c r="AS828" s="28" t="n">
        <f aca="false">AR828*$M828</f>
        <v>0</v>
      </c>
      <c r="AT828" s="28"/>
      <c r="AU828" s="28" t="n">
        <f aca="false">AT828*$M828</f>
        <v>0</v>
      </c>
      <c r="AV828" s="28"/>
      <c r="AW828" s="28" t="n">
        <f aca="false">AV828*$M828</f>
        <v>0</v>
      </c>
      <c r="AX828" s="28"/>
      <c r="AY828" s="28" t="n">
        <f aca="false">AX828*$M828</f>
        <v>0</v>
      </c>
      <c r="AZ828" s="30" t="n">
        <f aca="false">155115/100</f>
        <v>1551.15</v>
      </c>
      <c r="BA828" s="11" t="n">
        <v>38796</v>
      </c>
      <c r="BB828" s="31" t="n">
        <f aca="false">SUM(Q828,S828,U828,W828,Y828,AA828,AC828,AE828,AG828,AI828,AK828,AM828,AO828,AQ828,AS828,AU828,AW828,AY828)</f>
        <v>38796</v>
      </c>
      <c r="BC828" s="28" t="n">
        <f aca="false">BA828-BB828</f>
        <v>0</v>
      </c>
      <c r="BD828" s="32" t="n">
        <f aca="false">SUM(P828,R828,T828,V828,X828,Z828,AB828,AD828,AF828,AH828,AJ828,AL828,AN828,AP828,AR828,AT828,AV828,AX828)</f>
        <v>1551.85</v>
      </c>
      <c r="BE828" s="33" t="n">
        <f aca="false">AZ828-BD828</f>
        <v>-0.699999999999818</v>
      </c>
      <c r="BF828" s="34" t="n">
        <f aca="false">BD828*M828</f>
        <v>38796.25</v>
      </c>
      <c r="BG828" s="35" t="n">
        <f aca="false">BA828-BF828</f>
        <v>-0.25</v>
      </c>
      <c r="BH828" s="19" t="str">
        <f aca="false">IF(BG828=0,"",IF(BG828&lt;&gt;BA828,"erreur de calcul",IF(BD828&lt;&gt;0,"pas de prix",IF(M828&lt;&gt; 0,"pas de quantité","pas de prix, ni de quantité"))))</f>
        <v>erreur de calcul</v>
      </c>
      <c r="BI828" s="19"/>
    </row>
    <row r="829" customFormat="false" ht="15" hidden="false" customHeight="false" outlineLevel="0" collapsed="false">
      <c r="A829" s="0" t="n">
        <v>48</v>
      </c>
      <c r="B829" s="8" t="s">
        <v>24</v>
      </c>
      <c r="C829" s="9" t="s">
        <v>25</v>
      </c>
      <c r="D829" s="9" t="s">
        <v>26</v>
      </c>
      <c r="E829" s="10" t="n">
        <v>1789</v>
      </c>
      <c r="F829" s="9" t="s">
        <v>27</v>
      </c>
      <c r="G829" s="9" t="s">
        <v>27</v>
      </c>
      <c r="H829" s="11" t="n">
        <v>21</v>
      </c>
      <c r="I829" s="11" t="s">
        <v>201</v>
      </c>
      <c r="J829" s="14"/>
      <c r="K829" s="14" t="n">
        <v>15</v>
      </c>
      <c r="L829" s="16"/>
      <c r="M829" s="27" t="n">
        <f aca="false">J829+(K829/20)+(L829/240)</f>
        <v>0.75</v>
      </c>
      <c r="N829" s="17" t="s">
        <v>66</v>
      </c>
      <c r="O829" s="11"/>
      <c r="P829" s="28"/>
      <c r="Q829" s="28" t="n">
        <f aca="false">P829*$M829</f>
        <v>0</v>
      </c>
      <c r="R829" s="28"/>
      <c r="S829" s="28" t="n">
        <f aca="false">R829*$M829</f>
        <v>0</v>
      </c>
      <c r="T829" s="28"/>
      <c r="U829" s="28" t="n">
        <f aca="false">T829*$M829</f>
        <v>0</v>
      </c>
      <c r="V829" s="28"/>
      <c r="W829" s="28" t="n">
        <f aca="false">V829*$M829</f>
        <v>0</v>
      </c>
      <c r="X829" s="28"/>
      <c r="Y829" s="28" t="n">
        <f aca="false">X829*$M829</f>
        <v>0</v>
      </c>
      <c r="Z829" s="28"/>
      <c r="AA829" s="28" t="n">
        <f aca="false">Z829*$M829</f>
        <v>0</v>
      </c>
      <c r="AB829" s="28"/>
      <c r="AC829" s="28" t="n">
        <f aca="false">AB829*$M829</f>
        <v>0</v>
      </c>
      <c r="AD829" s="28"/>
      <c r="AE829" s="28" t="n">
        <f aca="false">AD829*$M829</f>
        <v>0</v>
      </c>
      <c r="AF829" s="28"/>
      <c r="AG829" s="28" t="n">
        <f aca="false">AF829*$M829</f>
        <v>0</v>
      </c>
      <c r="AH829" s="28"/>
      <c r="AI829" s="28" t="n">
        <f aca="false">AH829*$M829</f>
        <v>0</v>
      </c>
      <c r="AJ829" s="28" t="n">
        <v>6171</v>
      </c>
      <c r="AK829" s="28" t="n">
        <v>4628</v>
      </c>
      <c r="AL829" s="28"/>
      <c r="AM829" s="28" t="n">
        <f aca="false">AL829*$M829</f>
        <v>0</v>
      </c>
      <c r="AN829" s="28"/>
      <c r="AO829" s="28" t="n">
        <f aca="false">AN829*$M829</f>
        <v>0</v>
      </c>
      <c r="AP829" s="28"/>
      <c r="AQ829" s="28" t="n">
        <f aca="false">AP829*$M829</f>
        <v>0</v>
      </c>
      <c r="AR829" s="28"/>
      <c r="AS829" s="28" t="n">
        <f aca="false">AR829*$M829</f>
        <v>0</v>
      </c>
      <c r="AT829" s="28"/>
      <c r="AU829" s="28" t="n">
        <f aca="false">AT829*$M829</f>
        <v>0</v>
      </c>
      <c r="AV829" s="28"/>
      <c r="AW829" s="28" t="n">
        <f aca="false">AV829*$M829</f>
        <v>0</v>
      </c>
      <c r="AX829" s="28"/>
      <c r="AY829" s="28" t="n">
        <f aca="false">AX829*$M829</f>
        <v>0</v>
      </c>
      <c r="AZ829" s="30" t="n">
        <v>6171</v>
      </c>
      <c r="BA829" s="11" t="n">
        <v>4628</v>
      </c>
      <c r="BB829" s="31" t="n">
        <f aca="false">SUM(Q829,S829,U829,W829,Y829,AA829,AC829,AE829,AG829,AI829,AK829,AM829,AO829,AQ829,AS829,AU829,AW829,AY829)</f>
        <v>4628</v>
      </c>
      <c r="BC829" s="28" t="n">
        <f aca="false">BA829-BB829</f>
        <v>0</v>
      </c>
      <c r="BD829" s="32" t="n">
        <f aca="false">SUM(P829,R829,T829,V829,X829,Z829,AB829,AD829,AF829,AH829,AJ829,AL829,AN829,AP829,AR829,AT829,AV829,AX829)</f>
        <v>6171</v>
      </c>
      <c r="BE829" s="33" t="n">
        <f aca="false">AZ829-BD829</f>
        <v>0</v>
      </c>
      <c r="BF829" s="34" t="n">
        <f aca="false">BD829*M829</f>
        <v>4628.25</v>
      </c>
      <c r="BG829" s="35" t="n">
        <f aca="false">BA829-BF829</f>
        <v>-0.25</v>
      </c>
      <c r="BH829" s="19" t="str">
        <f aca="false">IF(BG829=0,"",IF(BG829&lt;&gt;BA829,"erreur de calcul",IF(BD829&lt;&gt;0,"pas de prix",IF(M829&lt;&gt; 0,"pas de quantité","pas de prix, ni de quantité"))))</f>
        <v>erreur de calcul</v>
      </c>
      <c r="BI829" s="19"/>
    </row>
    <row r="830" customFormat="false" ht="15" hidden="false" customHeight="false" outlineLevel="0" collapsed="false">
      <c r="A830" s="0" t="n">
        <v>1</v>
      </c>
      <c r="B830" s="8" t="s">
        <v>24</v>
      </c>
      <c r="C830" s="9" t="s">
        <v>25</v>
      </c>
      <c r="D830" s="9" t="s">
        <v>26</v>
      </c>
      <c r="E830" s="10" t="n">
        <v>1789</v>
      </c>
      <c r="F830" s="9" t="s">
        <v>27</v>
      </c>
      <c r="G830" s="9" t="s">
        <v>27</v>
      </c>
      <c r="H830" s="11" t="n">
        <v>22</v>
      </c>
      <c r="I830" s="11" t="s">
        <v>202</v>
      </c>
      <c r="J830" s="14" t="n">
        <v>10</v>
      </c>
      <c r="K830" s="14"/>
      <c r="L830" s="16"/>
      <c r="M830" s="27" t="n">
        <f aca="false">J830+(K830/20)+(L830/240)</f>
        <v>10</v>
      </c>
      <c r="N830" s="17" t="s">
        <v>64</v>
      </c>
      <c r="O830" s="11"/>
      <c r="P830" s="28" t="n">
        <f aca="false">36147/100</f>
        <v>361.47</v>
      </c>
      <c r="Q830" s="28" t="n">
        <v>3615</v>
      </c>
      <c r="R830" s="28"/>
      <c r="S830" s="28" t="n">
        <f aca="false">R830*$M830</f>
        <v>0</v>
      </c>
      <c r="T830" s="28"/>
      <c r="U830" s="28" t="n">
        <f aca="false">T830*$M830</f>
        <v>0</v>
      </c>
      <c r="V830" s="28"/>
      <c r="W830" s="28" t="n">
        <f aca="false">V830*$M830</f>
        <v>0</v>
      </c>
      <c r="X830" s="28"/>
      <c r="Y830" s="28" t="n">
        <f aca="false">X830*$M830</f>
        <v>0</v>
      </c>
      <c r="Z830" s="28"/>
      <c r="AA830" s="28" t="n">
        <f aca="false">Z830*$M830</f>
        <v>0</v>
      </c>
      <c r="AB830" s="28" t="n">
        <f aca="false">14437/100</f>
        <v>144.37</v>
      </c>
      <c r="AC830" s="28" t="n">
        <v>1444</v>
      </c>
      <c r="AD830" s="28"/>
      <c r="AE830" s="28" t="n">
        <f aca="false">AD830*$M830</f>
        <v>0</v>
      </c>
      <c r="AF830" s="28"/>
      <c r="AG830" s="28" t="n">
        <f aca="false">AF830*$M830</f>
        <v>0</v>
      </c>
      <c r="AH830" s="28"/>
      <c r="AI830" s="28" t="n">
        <f aca="false">AH830*$M830</f>
        <v>0</v>
      </c>
      <c r="AJ830" s="28" t="n">
        <f aca="false">36351/100</f>
        <v>363.51</v>
      </c>
      <c r="AK830" s="28" t="n">
        <v>3635</v>
      </c>
      <c r="AL830" s="28"/>
      <c r="AM830" s="28" t="n">
        <f aca="false">AL830*$M830</f>
        <v>0</v>
      </c>
      <c r="AN830" s="28"/>
      <c r="AO830" s="28" t="n">
        <f aca="false">AN830*$M830</f>
        <v>0</v>
      </c>
      <c r="AP830" s="28"/>
      <c r="AQ830" s="28" t="n">
        <f aca="false">AP830*$M830</f>
        <v>0</v>
      </c>
      <c r="AR830" s="28" t="n">
        <f aca="false">25120/100</f>
        <v>251.2</v>
      </c>
      <c r="AS830" s="28" t="n">
        <v>2512</v>
      </c>
      <c r="AT830" s="28"/>
      <c r="AU830" s="28" t="n">
        <f aca="false">AT830*$M830</f>
        <v>0</v>
      </c>
      <c r="AV830" s="28"/>
      <c r="AW830" s="28" t="n">
        <f aca="false">AV830*$M830</f>
        <v>0</v>
      </c>
      <c r="AX830" s="28"/>
      <c r="AY830" s="28" t="n">
        <f aca="false">AX830*$M830</f>
        <v>0</v>
      </c>
      <c r="AZ830" s="30" t="n">
        <f aca="false">112055/100</f>
        <v>1120.55</v>
      </c>
      <c r="BA830" s="11" t="n">
        <v>11206</v>
      </c>
      <c r="BB830" s="31" t="n">
        <f aca="false">SUM(Q830,S830,U830,W830,Y830,AA830,AC830,AE830,AG830,AI830,AK830,AM830,AO830,AQ830,AS830,AU830,AW830,AY830)</f>
        <v>11206</v>
      </c>
      <c r="BC830" s="28" t="n">
        <f aca="false">BA830-BB830</f>
        <v>0</v>
      </c>
      <c r="BD830" s="32" t="n">
        <f aca="false">SUM(P830,R830,T830,V830,X830,Z830,AB830,AD830,AF830,AH830,AJ830,AL830,AN830,AP830,AR830,AT830,AV830,AX830)</f>
        <v>1120.55</v>
      </c>
      <c r="BE830" s="33" t="n">
        <f aca="false">AZ830-BD830</f>
        <v>0</v>
      </c>
      <c r="BF830" s="34" t="n">
        <f aca="false">BD830*M830</f>
        <v>11205.5</v>
      </c>
      <c r="BG830" s="35" t="n">
        <f aca="false">BA830-BF830</f>
        <v>0.499999999998181</v>
      </c>
      <c r="BH830" s="19" t="str">
        <f aca="false">IF(BG830=0,"",IF(BG830&lt;&gt;BA830,"erreur de calcul",IF(BD830&lt;&gt;0,"pas de prix",IF(M830&lt;&gt; 0,"pas de quantité","pas de prix, ni de quantité"))))</f>
        <v>erreur de calcul</v>
      </c>
      <c r="BI830" s="19"/>
    </row>
    <row r="831" customFormat="false" ht="15" hidden="false" customHeight="false" outlineLevel="0" collapsed="false">
      <c r="A831" s="0" t="n">
        <v>2</v>
      </c>
      <c r="B831" s="8" t="s">
        <v>24</v>
      </c>
      <c r="C831" s="9" t="s">
        <v>25</v>
      </c>
      <c r="D831" s="9" t="s">
        <v>26</v>
      </c>
      <c r="E831" s="10" t="n">
        <v>1789</v>
      </c>
      <c r="F831" s="9" t="s">
        <v>27</v>
      </c>
      <c r="G831" s="9" t="s">
        <v>27</v>
      </c>
      <c r="H831" s="11" t="n">
        <v>22</v>
      </c>
      <c r="I831" s="11" t="s">
        <v>203</v>
      </c>
      <c r="J831" s="14" t="n">
        <v>20</v>
      </c>
      <c r="K831" s="14"/>
      <c r="L831" s="16"/>
      <c r="M831" s="27" t="n">
        <f aca="false">J831+(K831/20)+(L831/240)</f>
        <v>20</v>
      </c>
      <c r="N831" s="17" t="s">
        <v>64</v>
      </c>
      <c r="O831" s="11"/>
      <c r="P831" s="28"/>
      <c r="Q831" s="28" t="n">
        <f aca="false">P831*$M831</f>
        <v>0</v>
      </c>
      <c r="R831" s="28"/>
      <c r="S831" s="28" t="n">
        <f aca="false">R831*$M831</f>
        <v>0</v>
      </c>
      <c r="T831" s="28"/>
      <c r="U831" s="28" t="n">
        <f aca="false">T831*$M831</f>
        <v>0</v>
      </c>
      <c r="V831" s="28"/>
      <c r="W831" s="28" t="n">
        <f aca="false">V831*$M831</f>
        <v>0</v>
      </c>
      <c r="X831" s="28"/>
      <c r="Y831" s="28" t="n">
        <f aca="false">X831*$M831</f>
        <v>0</v>
      </c>
      <c r="Z831" s="28"/>
      <c r="AA831" s="28" t="n">
        <f aca="false">Z831*$M831</f>
        <v>0</v>
      </c>
      <c r="AB831" s="28"/>
      <c r="AC831" s="28" t="n">
        <f aca="false">AB831*$M831</f>
        <v>0</v>
      </c>
      <c r="AD831" s="28"/>
      <c r="AE831" s="28" t="n">
        <f aca="false">AD831*$M831</f>
        <v>0</v>
      </c>
      <c r="AF831" s="28"/>
      <c r="AG831" s="28" t="n">
        <f aca="false">AF831*$M831</f>
        <v>0</v>
      </c>
      <c r="AH831" s="28"/>
      <c r="AI831" s="28" t="n">
        <f aca="false">AH831*$M831</f>
        <v>0</v>
      </c>
      <c r="AJ831" s="28" t="n">
        <f aca="false">109254/100</f>
        <v>1092.54</v>
      </c>
      <c r="AK831" s="28" t="n">
        <v>21851</v>
      </c>
      <c r="AL831" s="28"/>
      <c r="AM831" s="28" t="n">
        <f aca="false">AL831*$M831</f>
        <v>0</v>
      </c>
      <c r="AN831" s="28"/>
      <c r="AO831" s="28" t="n">
        <f aca="false">AN831*$M831</f>
        <v>0</v>
      </c>
      <c r="AP831" s="28"/>
      <c r="AQ831" s="28" t="n">
        <f aca="false">AP831*$M831</f>
        <v>0</v>
      </c>
      <c r="AR831" s="28"/>
      <c r="AS831" s="28" t="n">
        <f aca="false">AR831*$M831</f>
        <v>0</v>
      </c>
      <c r="AT831" s="28"/>
      <c r="AU831" s="28" t="n">
        <f aca="false">AT831*$M831</f>
        <v>0</v>
      </c>
      <c r="AV831" s="28"/>
      <c r="AW831" s="28" t="n">
        <f aca="false">AV831*$M831</f>
        <v>0</v>
      </c>
      <c r="AX831" s="28"/>
      <c r="AY831" s="28" t="n">
        <f aca="false">AX831*$M831</f>
        <v>0</v>
      </c>
      <c r="AZ831" s="30" t="n">
        <f aca="false">109254/100</f>
        <v>1092.54</v>
      </c>
      <c r="BA831" s="11" t="n">
        <v>21851</v>
      </c>
      <c r="BB831" s="31" t="n">
        <f aca="false">SUM(Q831,S831,U831,W831,Y831,AA831,AC831,AE831,AG831,AI831,AK831,AM831,AO831,AQ831,AS831,AU831,AW831,AY831)</f>
        <v>21851</v>
      </c>
      <c r="BC831" s="28" t="n">
        <f aca="false">BA831-BB831</f>
        <v>0</v>
      </c>
      <c r="BD831" s="32" t="n">
        <f aca="false">SUM(P831,R831,T831,V831,X831,Z831,AB831,AD831,AF831,AH831,AJ831,AL831,AN831,AP831,AR831,AT831,AV831,AX831)</f>
        <v>1092.54</v>
      </c>
      <c r="BE831" s="33" t="n">
        <f aca="false">AZ831-BD831</f>
        <v>0</v>
      </c>
      <c r="BF831" s="34" t="n">
        <f aca="false">BD831*M831</f>
        <v>21850.8</v>
      </c>
      <c r="BG831" s="35" t="n">
        <f aca="false">BA831-BF831</f>
        <v>0.200000000000728</v>
      </c>
      <c r="BH831" s="19" t="str">
        <f aca="false">IF(BG831=0,"",IF(BG831&lt;&gt;BA831,"erreur de calcul",IF(BD831&lt;&gt;0,"pas de prix",IF(M831&lt;&gt; 0,"pas de quantité","pas de prix, ni de quantité"))))</f>
        <v>erreur de calcul</v>
      </c>
      <c r="BI831" s="19"/>
    </row>
    <row r="832" customFormat="false" ht="15" hidden="false" customHeight="false" outlineLevel="0" collapsed="false">
      <c r="A832" s="0" t="n">
        <v>3</v>
      </c>
      <c r="B832" s="8" t="s">
        <v>24</v>
      </c>
      <c r="C832" s="9" t="s">
        <v>25</v>
      </c>
      <c r="D832" s="9" t="s">
        <v>26</v>
      </c>
      <c r="E832" s="10" t="n">
        <v>1789</v>
      </c>
      <c r="F832" s="9" t="s">
        <v>27</v>
      </c>
      <c r="G832" s="9" t="s">
        <v>27</v>
      </c>
      <c r="H832" s="11" t="n">
        <v>22</v>
      </c>
      <c r="I832" s="11" t="s">
        <v>204</v>
      </c>
      <c r="J832" s="14" t="n">
        <v>20</v>
      </c>
      <c r="K832" s="14"/>
      <c r="L832" s="16"/>
      <c r="M832" s="27" t="n">
        <f aca="false">J832+(K832/20)+(L832/240)</f>
        <v>20</v>
      </c>
      <c r="N832" s="17" t="s">
        <v>66</v>
      </c>
      <c r="O832" s="11"/>
      <c r="P832" s="28" t="n">
        <v>106125</v>
      </c>
      <c r="Q832" s="36" t="n">
        <v>2162500</v>
      </c>
      <c r="R832" s="28"/>
      <c r="S832" s="28" t="n">
        <f aca="false">R832*$M832</f>
        <v>0</v>
      </c>
      <c r="T832" s="28"/>
      <c r="U832" s="28" t="n">
        <f aca="false">T832*$M832</f>
        <v>0</v>
      </c>
      <c r="V832" s="28"/>
      <c r="W832" s="28" t="n">
        <f aca="false">V832*$M832</f>
        <v>0</v>
      </c>
      <c r="X832" s="28"/>
      <c r="Y832" s="28" t="n">
        <f aca="false">X832*$M832</f>
        <v>0</v>
      </c>
      <c r="Z832" s="28"/>
      <c r="AA832" s="28" t="n">
        <f aca="false">Z832*$M832</f>
        <v>0</v>
      </c>
      <c r="AB832" s="28"/>
      <c r="AC832" s="28" t="n">
        <f aca="false">AB832*$M832</f>
        <v>0</v>
      </c>
      <c r="AD832" s="28"/>
      <c r="AE832" s="28" t="n">
        <f aca="false">AD832*$M832</f>
        <v>0</v>
      </c>
      <c r="AF832" s="28"/>
      <c r="AG832" s="28" t="n">
        <f aca="false">AF832*$M832</f>
        <v>0</v>
      </c>
      <c r="AH832" s="28"/>
      <c r="AI832" s="28" t="n">
        <f aca="false">AH832*$M832</f>
        <v>0</v>
      </c>
      <c r="AJ832" s="28"/>
      <c r="AK832" s="28" t="n">
        <f aca="false">AJ832*$M832</f>
        <v>0</v>
      </c>
      <c r="AL832" s="28"/>
      <c r="AM832" s="28" t="n">
        <f aca="false">AL832*$M832</f>
        <v>0</v>
      </c>
      <c r="AN832" s="28"/>
      <c r="AO832" s="28" t="n">
        <f aca="false">AN832*$M832</f>
        <v>0</v>
      </c>
      <c r="AP832" s="28"/>
      <c r="AQ832" s="28" t="n">
        <f aca="false">AP832*$M832</f>
        <v>0</v>
      </c>
      <c r="AR832" s="28"/>
      <c r="AS832" s="28" t="n">
        <f aca="false">AR832*$M832</f>
        <v>0</v>
      </c>
      <c r="AT832" s="28"/>
      <c r="AU832" s="28" t="n">
        <f aca="false">AT832*$M832</f>
        <v>0</v>
      </c>
      <c r="AV832" s="28"/>
      <c r="AW832" s="28" t="n">
        <f aca="false">AV832*$M832</f>
        <v>0</v>
      </c>
      <c r="AX832" s="28"/>
      <c r="AY832" s="28" t="n">
        <f aca="false">AX832*$M832</f>
        <v>0</v>
      </c>
      <c r="AZ832" s="30" t="n">
        <v>108125</v>
      </c>
      <c r="BA832" s="11" t="n">
        <v>2162500</v>
      </c>
      <c r="BB832" s="31" t="n">
        <f aca="false">SUM(Q832,S832,U832,W832,Y832,AA832,AC832,AE832,AG832,AI832,AK832,AM832,AO832,AQ832,AS832,AU832,AW832,AY832)</f>
        <v>2162500</v>
      </c>
      <c r="BC832" s="28" t="n">
        <f aca="false">BA832-BB832</f>
        <v>0</v>
      </c>
      <c r="BD832" s="32" t="n">
        <f aca="false">SUM(P832,R832,T832,V832,X832,Z832,AB832,AD832,AF832,AH832,AJ832,AL832,AN832,AP832,AR832,AT832,AV832,AX832)</f>
        <v>106125</v>
      </c>
      <c r="BE832" s="33" t="n">
        <f aca="false">AZ832-BD832</f>
        <v>2000</v>
      </c>
      <c r="BF832" s="34" t="n">
        <f aca="false">BD832*M832</f>
        <v>2122500</v>
      </c>
      <c r="BG832" s="35" t="n">
        <f aca="false">BA832-BF832</f>
        <v>40000</v>
      </c>
      <c r="BH832" s="19" t="str">
        <f aca="false">IF(BG832=0,"",IF(BG832&lt;&gt;BA832,"erreur de calcul",IF(BD832&lt;&gt;0,"pas de prix",IF(M832&lt;&gt; 0,"pas de quantité","pas de prix, ni de quantité"))))</f>
        <v>erreur de calcul</v>
      </c>
      <c r="BI832" s="19"/>
    </row>
    <row r="833" customFormat="false" ht="15" hidden="false" customHeight="false" outlineLevel="0" collapsed="false">
      <c r="A833" s="0" t="n">
        <v>4</v>
      </c>
      <c r="B833" s="8" t="s">
        <v>24</v>
      </c>
      <c r="C833" s="9" t="s">
        <v>25</v>
      </c>
      <c r="D833" s="9" t="s">
        <v>26</v>
      </c>
      <c r="E833" s="10" t="n">
        <v>1789</v>
      </c>
      <c r="F833" s="9" t="s">
        <v>27</v>
      </c>
      <c r="G833" s="9" t="s">
        <v>27</v>
      </c>
      <c r="H833" s="11" t="n">
        <v>22</v>
      </c>
      <c r="I833" s="11" t="s">
        <v>205</v>
      </c>
      <c r="J833" s="14" t="n">
        <v>15</v>
      </c>
      <c r="K833" s="14"/>
      <c r="L833" s="16"/>
      <c r="M833" s="27" t="n">
        <f aca="false">J833+(K833/20)+(L833/240)</f>
        <v>15</v>
      </c>
      <c r="N833" s="17" t="s">
        <v>64</v>
      </c>
      <c r="O833" s="11"/>
      <c r="P833" s="28"/>
      <c r="Q833" s="28" t="n">
        <f aca="false">P833*$M833</f>
        <v>0</v>
      </c>
      <c r="R833" s="28"/>
      <c r="S833" s="28" t="n">
        <f aca="false">R833*$M833</f>
        <v>0</v>
      </c>
      <c r="T833" s="28"/>
      <c r="U833" s="28" t="n">
        <f aca="false">T833*$M833</f>
        <v>0</v>
      </c>
      <c r="V833" s="28"/>
      <c r="W833" s="28" t="n">
        <f aca="false">V833*$M833</f>
        <v>0</v>
      </c>
      <c r="X833" s="28" t="n">
        <f aca="false">27897/100</f>
        <v>278.97</v>
      </c>
      <c r="Y833" s="28" t="n">
        <v>4184</v>
      </c>
      <c r="Z833" s="28"/>
      <c r="AA833" s="28" t="n">
        <f aca="false">Z833*$M833</f>
        <v>0</v>
      </c>
      <c r="AB833" s="28"/>
      <c r="AC833" s="28" t="n">
        <f aca="false">AB833*$M833</f>
        <v>0</v>
      </c>
      <c r="AD833" s="28"/>
      <c r="AE833" s="28" t="n">
        <f aca="false">AD833*$M833</f>
        <v>0</v>
      </c>
      <c r="AF833" s="28"/>
      <c r="AG833" s="28" t="n">
        <f aca="false">AF833*$M833</f>
        <v>0</v>
      </c>
      <c r="AH833" s="28"/>
      <c r="AI833" s="28" t="n">
        <f aca="false">AH833*$M833</f>
        <v>0</v>
      </c>
      <c r="AJ833" s="28" t="n">
        <f aca="false">63734/100</f>
        <v>637.34</v>
      </c>
      <c r="AK833" s="28" t="n">
        <v>9560</v>
      </c>
      <c r="AL833" s="28"/>
      <c r="AM833" s="28" t="n">
        <f aca="false">AL833*$M833</f>
        <v>0</v>
      </c>
      <c r="AN833" s="28"/>
      <c r="AO833" s="28" t="n">
        <f aca="false">AN833*$M833</f>
        <v>0</v>
      </c>
      <c r="AP833" s="28"/>
      <c r="AQ833" s="28" t="n">
        <f aca="false">AP833*$M833</f>
        <v>0</v>
      </c>
      <c r="AR833" s="28"/>
      <c r="AS833" s="28" t="n">
        <f aca="false">AR833*$M833</f>
        <v>0</v>
      </c>
      <c r="AT833" s="28"/>
      <c r="AU833" s="28" t="n">
        <f aca="false">AT833*$M833</f>
        <v>0</v>
      </c>
      <c r="AV833" s="28"/>
      <c r="AW833" s="28" t="n">
        <f aca="false">AV833*$M833</f>
        <v>0</v>
      </c>
      <c r="AX833" s="28"/>
      <c r="AY833" s="28" t="n">
        <f aca="false">AX833*$M833</f>
        <v>0</v>
      </c>
      <c r="AZ833" s="30" t="n">
        <f aca="false">91631/100</f>
        <v>916.31</v>
      </c>
      <c r="BA833" s="11" t="n">
        <v>13744</v>
      </c>
      <c r="BB833" s="31" t="n">
        <f aca="false">SUM(Q833,S833,U833,W833,Y833,AA833,AC833,AE833,AG833,AI833,AK833,AM833,AO833,AQ833,AS833,AU833,AW833,AY833)</f>
        <v>13744</v>
      </c>
      <c r="BC833" s="28" t="n">
        <f aca="false">BA833-BB833</f>
        <v>0</v>
      </c>
      <c r="BD833" s="32" t="n">
        <f aca="false">SUM(P833,R833,T833,V833,X833,Z833,AB833,AD833,AF833,AH833,AJ833,AL833,AN833,AP833,AR833,AT833,AV833,AX833)</f>
        <v>916.31</v>
      </c>
      <c r="BE833" s="33" t="n">
        <f aca="false">AZ833-BD833</f>
        <v>0</v>
      </c>
      <c r="BF833" s="34" t="n">
        <f aca="false">BD833*M833</f>
        <v>13744.65</v>
      </c>
      <c r="BG833" s="35" t="n">
        <f aca="false">BA833-BF833</f>
        <v>-0.650000000001455</v>
      </c>
      <c r="BH833" s="19" t="str">
        <f aca="false">IF(BG833=0,"",IF(BG833&lt;&gt;BA833,"erreur de calcul",IF(BD833&lt;&gt;0,"pas de prix",IF(M833&lt;&gt; 0,"pas de quantité","pas de prix, ni de quantité"))))</f>
        <v>erreur de calcul</v>
      </c>
      <c r="BI833" s="19"/>
    </row>
    <row r="834" customFormat="false" ht="15" hidden="false" customHeight="false" outlineLevel="0" collapsed="false">
      <c r="A834" s="0" t="n">
        <v>5</v>
      </c>
      <c r="B834" s="8" t="s">
        <v>24</v>
      </c>
      <c r="C834" s="9" t="s">
        <v>25</v>
      </c>
      <c r="D834" s="9" t="s">
        <v>26</v>
      </c>
      <c r="E834" s="10" t="n">
        <v>1789</v>
      </c>
      <c r="F834" s="9" t="s">
        <v>27</v>
      </c>
      <c r="G834" s="9" t="s">
        <v>27</v>
      </c>
      <c r="H834" s="11" t="n">
        <v>22</v>
      </c>
      <c r="I834" s="11" t="s">
        <v>206</v>
      </c>
      <c r="J834" s="14" t="n">
        <v>30</v>
      </c>
      <c r="K834" s="14"/>
      <c r="L834" s="16"/>
      <c r="M834" s="27" t="n">
        <f aca="false">J834+(K834/20)+(L834/240)</f>
        <v>30</v>
      </c>
      <c r="N834" s="17" t="s">
        <v>64</v>
      </c>
      <c r="O834" s="11"/>
      <c r="P834" s="28" t="n">
        <f aca="false">8334/100</f>
        <v>83.34</v>
      </c>
      <c r="Q834" s="28" t="n">
        <v>2500</v>
      </c>
      <c r="R834" s="28"/>
      <c r="S834" s="28" t="n">
        <f aca="false">R834*$M834</f>
        <v>0</v>
      </c>
      <c r="T834" s="28"/>
      <c r="U834" s="28" t="n">
        <f aca="false">T834*$M834</f>
        <v>0</v>
      </c>
      <c r="V834" s="28"/>
      <c r="W834" s="28" t="n">
        <f aca="false">V834*$M834</f>
        <v>0</v>
      </c>
      <c r="X834" s="28"/>
      <c r="Y834" s="28" t="n">
        <f aca="false">X834*$M834</f>
        <v>0</v>
      </c>
      <c r="Z834" s="28"/>
      <c r="AA834" s="28" t="n">
        <f aca="false">Z834*$M834</f>
        <v>0</v>
      </c>
      <c r="AB834" s="28"/>
      <c r="AC834" s="28" t="n">
        <f aca="false">AB834*$M834</f>
        <v>0</v>
      </c>
      <c r="AD834" s="28"/>
      <c r="AE834" s="28" t="n">
        <f aca="false">AD834*$M834</f>
        <v>0</v>
      </c>
      <c r="AF834" s="28"/>
      <c r="AG834" s="28" t="n">
        <f aca="false">AF834*$M834</f>
        <v>0</v>
      </c>
      <c r="AH834" s="28"/>
      <c r="AI834" s="28" t="n">
        <f aca="false">AH834*$M834</f>
        <v>0</v>
      </c>
      <c r="AJ834" s="28"/>
      <c r="AK834" s="28" t="n">
        <f aca="false">AJ834*$M834</f>
        <v>0</v>
      </c>
      <c r="AL834" s="28"/>
      <c r="AM834" s="28" t="n">
        <f aca="false">AL834*$M834</f>
        <v>0</v>
      </c>
      <c r="AN834" s="28"/>
      <c r="AO834" s="28" t="n">
        <f aca="false">AN834*$M834</f>
        <v>0</v>
      </c>
      <c r="AP834" s="28"/>
      <c r="AQ834" s="28" t="n">
        <f aca="false">AP834*$M834</f>
        <v>0</v>
      </c>
      <c r="AR834" s="28"/>
      <c r="AS834" s="28" t="n">
        <f aca="false">AR834*$M834</f>
        <v>0</v>
      </c>
      <c r="AT834" s="28"/>
      <c r="AU834" s="28" t="n">
        <f aca="false">AT834*$M834</f>
        <v>0</v>
      </c>
      <c r="AV834" s="28"/>
      <c r="AW834" s="28" t="n">
        <f aca="false">AV834*$M834</f>
        <v>0</v>
      </c>
      <c r="AX834" s="28"/>
      <c r="AY834" s="28" t="n">
        <f aca="false">AX834*$M834</f>
        <v>0</v>
      </c>
      <c r="AZ834" s="30" t="n">
        <f aca="false">8334/100</f>
        <v>83.34</v>
      </c>
      <c r="BA834" s="11" t="n">
        <v>2500</v>
      </c>
      <c r="BB834" s="31" t="n">
        <f aca="false">SUM(Q834,S834,U834,W834,Y834,AA834,AC834,AE834,AG834,AI834,AK834,AM834,AO834,AQ834,AS834,AU834,AW834,AY834)</f>
        <v>2500</v>
      </c>
      <c r="BC834" s="28" t="n">
        <f aca="false">BA834-BB834</f>
        <v>0</v>
      </c>
      <c r="BD834" s="32" t="n">
        <f aca="false">SUM(P834,R834,T834,V834,X834,Z834,AB834,AD834,AF834,AH834,AJ834,AL834,AN834,AP834,AR834,AT834,AV834,AX834)</f>
        <v>83.34</v>
      </c>
      <c r="BE834" s="33" t="n">
        <f aca="false">AZ834-BD834</f>
        <v>0</v>
      </c>
      <c r="BF834" s="34" t="n">
        <f aca="false">BD834*M834</f>
        <v>2500.2</v>
      </c>
      <c r="BG834" s="35" t="n">
        <f aca="false">BA834-BF834</f>
        <v>-0.200000000000273</v>
      </c>
      <c r="BH834" s="19" t="str">
        <f aca="false">IF(BG834=0,"",IF(BG834&lt;&gt;BA834,"erreur de calcul",IF(BD834&lt;&gt;0,"pas de prix",IF(M834&lt;&gt; 0,"pas de quantité","pas de prix, ni de quantité"))))</f>
        <v>erreur de calcul</v>
      </c>
      <c r="BI834" s="19"/>
    </row>
    <row r="835" customFormat="false" ht="15" hidden="false" customHeight="false" outlineLevel="0" collapsed="false">
      <c r="A835" s="0" t="n">
        <v>6</v>
      </c>
      <c r="B835" s="8" t="s">
        <v>24</v>
      </c>
      <c r="C835" s="9" t="s">
        <v>25</v>
      </c>
      <c r="D835" s="9" t="s">
        <v>26</v>
      </c>
      <c r="E835" s="10" t="n">
        <v>1789</v>
      </c>
      <c r="F835" s="9" t="s">
        <v>27</v>
      </c>
      <c r="G835" s="9" t="s">
        <v>27</v>
      </c>
      <c r="H835" s="11" t="n">
        <v>22</v>
      </c>
      <c r="I835" s="11" t="s">
        <v>207</v>
      </c>
      <c r="J835" s="14"/>
      <c r="K835" s="14" t="n">
        <v>20</v>
      </c>
      <c r="L835" s="16"/>
      <c r="M835" s="27" t="n">
        <f aca="false">J835+(K835/20)+(L835/240)</f>
        <v>1</v>
      </c>
      <c r="N835" s="17" t="s">
        <v>66</v>
      </c>
      <c r="O835" s="11"/>
      <c r="P835" s="28"/>
      <c r="Q835" s="28" t="n">
        <f aca="false">P835*$M835</f>
        <v>0</v>
      </c>
      <c r="R835" s="28"/>
      <c r="S835" s="28" t="n">
        <f aca="false">R835*$M835</f>
        <v>0</v>
      </c>
      <c r="T835" s="28"/>
      <c r="U835" s="28" t="n">
        <f aca="false">T835*$M835</f>
        <v>0</v>
      </c>
      <c r="V835" s="28" t="n">
        <v>33010</v>
      </c>
      <c r="W835" s="28" t="n">
        <v>33010</v>
      </c>
      <c r="X835" s="28" t="n">
        <v>292003</v>
      </c>
      <c r="Y835" s="28" t="n">
        <v>292003</v>
      </c>
      <c r="Z835" s="28" t="n">
        <v>15558</v>
      </c>
      <c r="AA835" s="28" t="n">
        <v>15558</v>
      </c>
      <c r="AB835" s="28" t="n">
        <v>80515</v>
      </c>
      <c r="AC835" s="28" t="n">
        <v>80515</v>
      </c>
      <c r="AD835" s="28"/>
      <c r="AE835" s="28" t="n">
        <f aca="false">AD835*$M835</f>
        <v>0</v>
      </c>
      <c r="AF835" s="28"/>
      <c r="AG835" s="28" t="n">
        <f aca="false">AF835*$M835</f>
        <v>0</v>
      </c>
      <c r="AH835" s="28" t="n">
        <v>515373</v>
      </c>
      <c r="AI835" s="28" t="n">
        <v>515373</v>
      </c>
      <c r="AJ835" s="28"/>
      <c r="AK835" s="28" t="n">
        <f aca="false">AJ835*$M835</f>
        <v>0</v>
      </c>
      <c r="AL835" s="28" t="n">
        <v>3480</v>
      </c>
      <c r="AM835" s="28" t="n">
        <v>3480</v>
      </c>
      <c r="AN835" s="28"/>
      <c r="AO835" s="28" t="n">
        <f aca="false">AN835*$M835</f>
        <v>0</v>
      </c>
      <c r="AP835" s="28"/>
      <c r="AQ835" s="28" t="n">
        <f aca="false">AP835*$M835</f>
        <v>0</v>
      </c>
      <c r="AR835" s="28"/>
      <c r="AS835" s="28" t="n">
        <f aca="false">AR835*$M835</f>
        <v>0</v>
      </c>
      <c r="AT835" s="28"/>
      <c r="AU835" s="28" t="n">
        <f aca="false">AT835*$M835</f>
        <v>0</v>
      </c>
      <c r="AV835" s="28"/>
      <c r="AW835" s="28" t="n">
        <f aca="false">AV835*$M835</f>
        <v>0</v>
      </c>
      <c r="AX835" s="28"/>
      <c r="AY835" s="28" t="n">
        <f aca="false">AX835*$M835</f>
        <v>0</v>
      </c>
      <c r="AZ835" s="30" t="n">
        <v>939939</v>
      </c>
      <c r="BA835" s="11" t="n">
        <v>939939</v>
      </c>
      <c r="BB835" s="31" t="n">
        <f aca="false">SUM(Q835,S835,U835,W835,Y835,AA835,AC835,AE835,AG835,AI835,AK835,AM835,AO835,AQ835,AS835,AU835,AW835,AY835)</f>
        <v>939939</v>
      </c>
      <c r="BC835" s="28" t="n">
        <f aca="false">BA835-BB835</f>
        <v>0</v>
      </c>
      <c r="BD835" s="32" t="n">
        <f aca="false">SUM(P835,R835,T835,V835,X835,Z835,AB835,AD835,AF835,AH835,AJ835,AL835,AN835,AP835,AR835,AT835,AV835,AX835)</f>
        <v>939939</v>
      </c>
      <c r="BE835" s="33" t="n">
        <f aca="false">AZ835-BD835</f>
        <v>0</v>
      </c>
      <c r="BF835" s="34" t="n">
        <f aca="false">BD835*M835</f>
        <v>939939</v>
      </c>
      <c r="BG835" s="35" t="n">
        <f aca="false">BA835-BF835</f>
        <v>0</v>
      </c>
      <c r="BH835" s="19" t="str">
        <f aca="false">IF(BG835=0,"",IF(BG835&lt;&gt;BA835,"erreur de calcul",IF(BD835&lt;&gt;0,"pas de prix",IF(M835&lt;&gt; 0,"pas de quantité","pas de prix, ni de quantité"))))</f>
        <v/>
      </c>
      <c r="BI835" s="19"/>
    </row>
    <row r="836" customFormat="false" ht="15" hidden="false" customHeight="false" outlineLevel="0" collapsed="false">
      <c r="A836" s="0" t="n">
        <v>7</v>
      </c>
      <c r="B836" s="8" t="s">
        <v>24</v>
      </c>
      <c r="C836" s="9" t="s">
        <v>25</v>
      </c>
      <c r="D836" s="9" t="s">
        <v>26</v>
      </c>
      <c r="E836" s="10" t="n">
        <v>1789</v>
      </c>
      <c r="F836" s="9" t="s">
        <v>27</v>
      </c>
      <c r="G836" s="9" t="s">
        <v>27</v>
      </c>
      <c r="H836" s="11" t="n">
        <v>22</v>
      </c>
      <c r="I836" s="11" t="s">
        <v>208</v>
      </c>
      <c r="J836" s="14" t="n">
        <v>60</v>
      </c>
      <c r="K836" s="14"/>
      <c r="L836" s="16"/>
      <c r="M836" s="27" t="n">
        <f aca="false">J836+(K836/20)+(L836/240)</f>
        <v>60</v>
      </c>
      <c r="N836" s="17" t="s">
        <v>64</v>
      </c>
      <c r="O836" s="11"/>
      <c r="P836" s="28"/>
      <c r="Q836" s="28" t="n">
        <f aca="false">P836*$M836</f>
        <v>0</v>
      </c>
      <c r="R836" s="28"/>
      <c r="S836" s="28" t="n">
        <f aca="false">R836*$M836</f>
        <v>0</v>
      </c>
      <c r="T836" s="28"/>
      <c r="U836" s="28" t="n">
        <f aca="false">T836*$M836</f>
        <v>0</v>
      </c>
      <c r="V836" s="28"/>
      <c r="W836" s="28" t="n">
        <f aca="false">V836*$M836</f>
        <v>0</v>
      </c>
      <c r="X836" s="28"/>
      <c r="Y836" s="28" t="n">
        <f aca="false">X836*$M836</f>
        <v>0</v>
      </c>
      <c r="Z836" s="28"/>
      <c r="AA836" s="28" t="n">
        <f aca="false">Z836*$M836</f>
        <v>0</v>
      </c>
      <c r="AB836" s="28"/>
      <c r="AC836" s="28" t="n">
        <f aca="false">AB836*$M836</f>
        <v>0</v>
      </c>
      <c r="AD836" s="28"/>
      <c r="AE836" s="28" t="n">
        <f aca="false">AD836*$M836</f>
        <v>0</v>
      </c>
      <c r="AF836" s="28"/>
      <c r="AG836" s="28" t="n">
        <f aca="false">AF836*$M836</f>
        <v>0</v>
      </c>
      <c r="AH836" s="28"/>
      <c r="AI836" s="28" t="n">
        <f aca="false">AH836*$M836</f>
        <v>0</v>
      </c>
      <c r="AJ836" s="28" t="n">
        <f aca="false">28692/100</f>
        <v>286.92</v>
      </c>
      <c r="AK836" s="28" t="n">
        <v>17215</v>
      </c>
      <c r="AL836" s="28"/>
      <c r="AM836" s="28" t="n">
        <f aca="false">AL836*$M836</f>
        <v>0</v>
      </c>
      <c r="AN836" s="28"/>
      <c r="AO836" s="28" t="n">
        <f aca="false">AN836*$M836</f>
        <v>0</v>
      </c>
      <c r="AP836" s="28"/>
      <c r="AQ836" s="28" t="n">
        <f aca="false">AP836*$M836</f>
        <v>0</v>
      </c>
      <c r="AR836" s="28"/>
      <c r="AS836" s="28" t="n">
        <f aca="false">AR836*$M836</f>
        <v>0</v>
      </c>
      <c r="AT836" s="28"/>
      <c r="AU836" s="28" t="n">
        <f aca="false">AT836*$M836</f>
        <v>0</v>
      </c>
      <c r="AV836" s="28"/>
      <c r="AW836" s="28" t="n">
        <f aca="false">AV836*$M836</f>
        <v>0</v>
      </c>
      <c r="AX836" s="28"/>
      <c r="AY836" s="28" t="n">
        <f aca="false">AX836*$M836</f>
        <v>0</v>
      </c>
      <c r="AZ836" s="30" t="n">
        <f aca="false">28692/100</f>
        <v>286.92</v>
      </c>
      <c r="BA836" s="11" t="n">
        <v>17215</v>
      </c>
      <c r="BB836" s="31" t="n">
        <f aca="false">SUM(Q836,S836,U836,W836,Y836,AA836,AC836,AE836,AG836,AI836,AK836,AM836,AO836,AQ836,AS836,AU836,AW836,AY836)</f>
        <v>17215</v>
      </c>
      <c r="BC836" s="28" t="n">
        <f aca="false">BA836-BB836</f>
        <v>0</v>
      </c>
      <c r="BD836" s="32" t="n">
        <f aca="false">SUM(P836,R836,T836,V836,X836,Z836,AB836,AD836,AF836,AH836,AJ836,AL836,AN836,AP836,AR836,AT836,AV836,AX836)</f>
        <v>286.92</v>
      </c>
      <c r="BE836" s="33" t="n">
        <f aca="false">AZ836-BD836</f>
        <v>0</v>
      </c>
      <c r="BF836" s="34" t="n">
        <f aca="false">BD836*M836</f>
        <v>17215.2</v>
      </c>
      <c r="BG836" s="35" t="n">
        <f aca="false">BA836-BF836</f>
        <v>-0.200000000000728</v>
      </c>
      <c r="BH836" s="19" t="str">
        <f aca="false">IF(BG836=0,"",IF(BG836&lt;&gt;BA836,"erreur de calcul",IF(BD836&lt;&gt;0,"pas de prix",IF(M836&lt;&gt; 0,"pas de quantité","pas de prix, ni de quantité"))))</f>
        <v>erreur de calcul</v>
      </c>
      <c r="BI836" s="19"/>
    </row>
    <row r="837" customFormat="false" ht="15" hidden="false" customHeight="false" outlineLevel="0" collapsed="false">
      <c r="A837" s="0" t="n">
        <v>8</v>
      </c>
      <c r="B837" s="8" t="s">
        <v>24</v>
      </c>
      <c r="C837" s="9" t="s">
        <v>25</v>
      </c>
      <c r="D837" s="9" t="s">
        <v>26</v>
      </c>
      <c r="E837" s="10" t="n">
        <v>1789</v>
      </c>
      <c r="F837" s="9" t="s">
        <v>27</v>
      </c>
      <c r="G837" s="9" t="s">
        <v>27</v>
      </c>
      <c r="H837" s="11" t="n">
        <v>22</v>
      </c>
      <c r="I837" s="11" t="s">
        <v>209</v>
      </c>
      <c r="J837" s="14" t="n">
        <v>26</v>
      </c>
      <c r="K837" s="14"/>
      <c r="L837" s="16"/>
      <c r="M837" s="27" t="n">
        <f aca="false">J837+(K837/20)+(L837/240)</f>
        <v>26</v>
      </c>
      <c r="N837" s="17" t="s">
        <v>64</v>
      </c>
      <c r="O837" s="11"/>
      <c r="P837" s="28" t="n">
        <f aca="false">9675/100</f>
        <v>96.75</v>
      </c>
      <c r="Q837" s="28" t="n">
        <v>2515</v>
      </c>
      <c r="R837" s="28"/>
      <c r="S837" s="28" t="n">
        <f aca="false">R837*$M837</f>
        <v>0</v>
      </c>
      <c r="T837" s="28"/>
      <c r="U837" s="28" t="n">
        <f aca="false">T837*$M837</f>
        <v>0</v>
      </c>
      <c r="V837" s="28"/>
      <c r="W837" s="28" t="n">
        <f aca="false">V837*$M837</f>
        <v>0</v>
      </c>
      <c r="X837" s="28"/>
      <c r="Y837" s="28" t="n">
        <f aca="false">X837*$M837</f>
        <v>0</v>
      </c>
      <c r="Z837" s="28"/>
      <c r="AA837" s="28" t="n">
        <f aca="false">Z837*$M837</f>
        <v>0</v>
      </c>
      <c r="AB837" s="28"/>
      <c r="AC837" s="28" t="n">
        <f aca="false">AB837*$M837</f>
        <v>0</v>
      </c>
      <c r="AD837" s="28"/>
      <c r="AE837" s="28" t="n">
        <f aca="false">AD837*$M837</f>
        <v>0</v>
      </c>
      <c r="AF837" s="28"/>
      <c r="AG837" s="28" t="n">
        <f aca="false">AF837*$M837</f>
        <v>0</v>
      </c>
      <c r="AH837" s="28"/>
      <c r="AI837" s="28" t="n">
        <f aca="false">AH837*$M837</f>
        <v>0</v>
      </c>
      <c r="AJ837" s="28"/>
      <c r="AK837" s="28" t="n">
        <f aca="false">AJ837*$M837</f>
        <v>0</v>
      </c>
      <c r="AL837" s="28"/>
      <c r="AM837" s="28" t="n">
        <f aca="false">AL837*$M837</f>
        <v>0</v>
      </c>
      <c r="AN837" s="28"/>
      <c r="AO837" s="28" t="n">
        <f aca="false">AN837*$M837</f>
        <v>0</v>
      </c>
      <c r="AP837" s="28"/>
      <c r="AQ837" s="28" t="n">
        <f aca="false">AP837*$M837</f>
        <v>0</v>
      </c>
      <c r="AR837" s="28"/>
      <c r="AS837" s="28" t="n">
        <f aca="false">AR837*$M837</f>
        <v>0</v>
      </c>
      <c r="AT837" s="28"/>
      <c r="AU837" s="28" t="n">
        <f aca="false">AT837*$M837</f>
        <v>0</v>
      </c>
      <c r="AV837" s="28"/>
      <c r="AW837" s="28" t="n">
        <f aca="false">AV837*$M837</f>
        <v>0</v>
      </c>
      <c r="AX837" s="28"/>
      <c r="AY837" s="28" t="n">
        <f aca="false">AX837*$M837</f>
        <v>0</v>
      </c>
      <c r="AZ837" s="30" t="n">
        <f aca="false">9675/100</f>
        <v>96.75</v>
      </c>
      <c r="BA837" s="11" t="n">
        <v>2515</v>
      </c>
      <c r="BB837" s="31" t="n">
        <f aca="false">SUM(Q837,S837,U837,W837,Y837,AA837,AC837,AE837,AG837,AI837,AK837,AM837,AO837,AQ837,AS837,AU837,AW837,AY837)</f>
        <v>2515</v>
      </c>
      <c r="BC837" s="28" t="n">
        <f aca="false">BA837-BB837</f>
        <v>0</v>
      </c>
      <c r="BD837" s="32" t="n">
        <f aca="false">SUM(P837,R837,T837,V837,X837,Z837,AB837,AD837,AF837,AH837,AJ837,AL837,AN837,AP837,AR837,AT837,AV837,AX837)</f>
        <v>96.75</v>
      </c>
      <c r="BE837" s="33" t="n">
        <f aca="false">AZ837-BD837</f>
        <v>0</v>
      </c>
      <c r="BF837" s="34" t="n">
        <f aca="false">BD837*M837</f>
        <v>2515.5</v>
      </c>
      <c r="BG837" s="35" t="n">
        <f aca="false">BA837-BF837</f>
        <v>-0.5</v>
      </c>
      <c r="BH837" s="19" t="str">
        <f aca="false">IF(BG837=0,"",IF(BG837&lt;&gt;BA837,"erreur de calcul",IF(BD837&lt;&gt;0,"pas de prix",IF(M837&lt;&gt; 0,"pas de quantité","pas de prix, ni de quantité"))))</f>
        <v>erreur de calcul</v>
      </c>
      <c r="BI837" s="19"/>
    </row>
    <row r="838" customFormat="false" ht="15" hidden="false" customHeight="false" outlineLevel="0" collapsed="false">
      <c r="A838" s="0" t="n">
        <v>9</v>
      </c>
      <c r="B838" s="8" t="s">
        <v>24</v>
      </c>
      <c r="C838" s="9" t="s">
        <v>25</v>
      </c>
      <c r="D838" s="9" t="s">
        <v>26</v>
      </c>
      <c r="E838" s="10" t="n">
        <v>1789</v>
      </c>
      <c r="F838" s="9" t="s">
        <v>27</v>
      </c>
      <c r="G838" s="9" t="s">
        <v>27</v>
      </c>
      <c r="H838" s="11" t="n">
        <v>22</v>
      </c>
      <c r="I838" s="11" t="s">
        <v>210</v>
      </c>
      <c r="J838" s="14" t="n">
        <v>8</v>
      </c>
      <c r="K838" s="14" t="n">
        <v>15</v>
      </c>
      <c r="L838" s="16"/>
      <c r="M838" s="27" t="n">
        <f aca="false">J838+(K838/20)+(L838/240)</f>
        <v>8.75</v>
      </c>
      <c r="N838" s="17" t="s">
        <v>66</v>
      </c>
      <c r="O838" s="11"/>
      <c r="P838" s="28"/>
      <c r="Q838" s="28" t="n">
        <f aca="false">P838*$M838</f>
        <v>0</v>
      </c>
      <c r="R838" s="28"/>
      <c r="S838" s="28" t="n">
        <f aca="false">R838*$M838</f>
        <v>0</v>
      </c>
      <c r="T838" s="28" t="n">
        <v>2562</v>
      </c>
      <c r="U838" s="36" t="n">
        <v>21777</v>
      </c>
      <c r="V838" s="28" t="n">
        <v>127</v>
      </c>
      <c r="W838" s="28" t="n">
        <v>1111</v>
      </c>
      <c r="X838" s="28" t="n">
        <v>1945</v>
      </c>
      <c r="Y838" s="28" t="n">
        <v>17018</v>
      </c>
      <c r="Z838" s="28"/>
      <c r="AA838" s="28" t="n">
        <f aca="false">Z838*$M838</f>
        <v>0</v>
      </c>
      <c r="AB838" s="28"/>
      <c r="AC838" s="28" t="n">
        <f aca="false">AB838*$M838</f>
        <v>0</v>
      </c>
      <c r="AD838" s="28"/>
      <c r="AE838" s="28" t="n">
        <f aca="false">AD838*$M838</f>
        <v>0</v>
      </c>
      <c r="AF838" s="28"/>
      <c r="AG838" s="28" t="n">
        <f aca="false">AF838*$M838</f>
        <v>0</v>
      </c>
      <c r="AH838" s="28"/>
      <c r="AI838" s="28" t="n">
        <f aca="false">AH838*$M838</f>
        <v>0</v>
      </c>
      <c r="AJ838" s="28" t="n">
        <v>3538</v>
      </c>
      <c r="AK838" s="36" t="n">
        <v>30073</v>
      </c>
      <c r="AL838" s="28"/>
      <c r="AM838" s="28" t="n">
        <f aca="false">AL838*$M838</f>
        <v>0</v>
      </c>
      <c r="AN838" s="28"/>
      <c r="AO838" s="28" t="n">
        <f aca="false">AN838*$M838</f>
        <v>0</v>
      </c>
      <c r="AP838" s="28"/>
      <c r="AQ838" s="28" t="n">
        <f aca="false">AP838*$M838</f>
        <v>0</v>
      </c>
      <c r="AR838" s="28"/>
      <c r="AS838" s="28" t="n">
        <f aca="false">AR838*$M838</f>
        <v>0</v>
      </c>
      <c r="AT838" s="28"/>
      <c r="AU838" s="28" t="n">
        <f aca="false">AT838*$M838</f>
        <v>0</v>
      </c>
      <c r="AV838" s="28"/>
      <c r="AW838" s="28" t="n">
        <f aca="false">AV838*$M838</f>
        <v>0</v>
      </c>
      <c r="AX838" s="28" t="n">
        <v>11559</v>
      </c>
      <c r="AY838" s="28" t="n">
        <v>101141</v>
      </c>
      <c r="AZ838" s="30" t="n">
        <v>19731</v>
      </c>
      <c r="BA838" s="11" t="n">
        <v>171120</v>
      </c>
      <c r="BB838" s="31" t="n">
        <f aca="false">SUM(Q838,S838,U838,W838,Y838,AA838,AC838,AE838,AG838,AI838,AK838,AM838,AO838,AQ838,AS838,AU838,AW838,AY838)</f>
        <v>171120</v>
      </c>
      <c r="BC838" s="28" t="n">
        <f aca="false">BA838-BB838</f>
        <v>0</v>
      </c>
      <c r="BD838" s="32" t="n">
        <f aca="false">SUM(P838,R838,T838,V838,X838,Z838,AB838,AD838,AF838,AH838,AJ838,AL838,AN838,AP838,AR838,AT838,AV838,AX838)</f>
        <v>19731</v>
      </c>
      <c r="BE838" s="33" t="n">
        <f aca="false">AZ838-BD838</f>
        <v>0</v>
      </c>
      <c r="BF838" s="34" t="n">
        <f aca="false">BD838*M838</f>
        <v>172646.25</v>
      </c>
      <c r="BG838" s="35" t="n">
        <f aca="false">BA838-BF838</f>
        <v>-1526.25</v>
      </c>
      <c r="BH838" s="19" t="str">
        <f aca="false">IF(BG838=0,"",IF(BG838&lt;&gt;BA838,"erreur de calcul",IF(BD838&lt;&gt;0,"pas de prix",IF(M838&lt;&gt; 0,"pas de quantité","pas de prix, ni de quantité"))))</f>
        <v>erreur de calcul</v>
      </c>
      <c r="BI838" s="19"/>
    </row>
    <row r="839" customFormat="false" ht="15" hidden="false" customHeight="false" outlineLevel="0" collapsed="false">
      <c r="A839" s="0" t="n">
        <v>10</v>
      </c>
      <c r="B839" s="8" t="s">
        <v>24</v>
      </c>
      <c r="C839" s="9" t="s">
        <v>25</v>
      </c>
      <c r="D839" s="9" t="s">
        <v>26</v>
      </c>
      <c r="E839" s="10" t="n">
        <v>1789</v>
      </c>
      <c r="F839" s="9" t="s">
        <v>27</v>
      </c>
      <c r="G839" s="9" t="s">
        <v>27</v>
      </c>
      <c r="H839" s="11" t="n">
        <v>22</v>
      </c>
      <c r="I839" s="11" t="s">
        <v>211</v>
      </c>
      <c r="J839" s="14" t="n">
        <v>11</v>
      </c>
      <c r="K839" s="14"/>
      <c r="L839" s="16"/>
      <c r="M839" s="27" t="n">
        <f aca="false">J839+(K839/20)+(L839/240)</f>
        <v>11</v>
      </c>
      <c r="N839" s="17" t="s">
        <v>66</v>
      </c>
      <c r="O839" s="11"/>
      <c r="P839" s="28" t="n">
        <v>95190</v>
      </c>
      <c r="Q839" s="28" t="n">
        <v>1047090</v>
      </c>
      <c r="R839" s="28"/>
      <c r="S839" s="28" t="n">
        <f aca="false">R839*$M839</f>
        <v>0</v>
      </c>
      <c r="T839" s="28"/>
      <c r="U839" s="28" t="n">
        <f aca="false">T839*$M839</f>
        <v>0</v>
      </c>
      <c r="V839" s="28"/>
      <c r="W839" s="28" t="n">
        <f aca="false">V839*$M839</f>
        <v>0</v>
      </c>
      <c r="X839" s="28"/>
      <c r="Y839" s="28" t="n">
        <f aca="false">X839*$M839</f>
        <v>0</v>
      </c>
      <c r="Z839" s="28"/>
      <c r="AA839" s="28" t="n">
        <f aca="false">Z839*$M839</f>
        <v>0</v>
      </c>
      <c r="AB839" s="28"/>
      <c r="AC839" s="28" t="n">
        <f aca="false">AB839*$M839</f>
        <v>0</v>
      </c>
      <c r="AD839" s="28"/>
      <c r="AE839" s="28" t="n">
        <f aca="false">AD839*$M839</f>
        <v>0</v>
      </c>
      <c r="AF839" s="28"/>
      <c r="AG839" s="28" t="n">
        <f aca="false">AF839*$M839</f>
        <v>0</v>
      </c>
      <c r="AH839" s="28"/>
      <c r="AI839" s="28" t="n">
        <f aca="false">AH839*$M839</f>
        <v>0</v>
      </c>
      <c r="AJ839" s="28"/>
      <c r="AK839" s="28" t="n">
        <f aca="false">AJ839*$M839</f>
        <v>0</v>
      </c>
      <c r="AL839" s="28"/>
      <c r="AM839" s="28" t="n">
        <f aca="false">AL839*$M839</f>
        <v>0</v>
      </c>
      <c r="AN839" s="28"/>
      <c r="AO839" s="28" t="n">
        <f aca="false">AN839*$M839</f>
        <v>0</v>
      </c>
      <c r="AP839" s="28"/>
      <c r="AQ839" s="28" t="n">
        <f aca="false">AP839*$M839</f>
        <v>0</v>
      </c>
      <c r="AR839" s="28"/>
      <c r="AS839" s="28" t="n">
        <f aca="false">AR839*$M839</f>
        <v>0</v>
      </c>
      <c r="AT839" s="28"/>
      <c r="AU839" s="28" t="n">
        <f aca="false">AT839*$M839</f>
        <v>0</v>
      </c>
      <c r="AV839" s="28"/>
      <c r="AW839" s="28" t="n">
        <f aca="false">AV839*$M839</f>
        <v>0</v>
      </c>
      <c r="AX839" s="28"/>
      <c r="AY839" s="28" t="n">
        <f aca="false">AX839*$M839</f>
        <v>0</v>
      </c>
      <c r="AZ839" s="30" t="n">
        <v>95190</v>
      </c>
      <c r="BA839" s="11" t="n">
        <v>1047090</v>
      </c>
      <c r="BB839" s="31" t="n">
        <f aca="false">SUM(Q839,S839,U839,W839,Y839,AA839,AC839,AE839,AG839,AI839,AK839,AM839,AO839,AQ839,AS839,AU839,AW839,AY839)</f>
        <v>1047090</v>
      </c>
      <c r="BC839" s="28" t="n">
        <f aca="false">BA839-BB839</f>
        <v>0</v>
      </c>
      <c r="BD839" s="32" t="n">
        <f aca="false">SUM(P839,R839,T839,V839,X839,Z839,AB839,AD839,AF839,AH839,AJ839,AL839,AN839,AP839,AR839,AT839,AV839,AX839)</f>
        <v>95190</v>
      </c>
      <c r="BE839" s="33" t="n">
        <f aca="false">AZ839-BD839</f>
        <v>0</v>
      </c>
      <c r="BF839" s="34" t="n">
        <f aca="false">BD839*M839</f>
        <v>1047090</v>
      </c>
      <c r="BG839" s="35" t="n">
        <f aca="false">BA839-BF839</f>
        <v>0</v>
      </c>
      <c r="BH839" s="19" t="str">
        <f aca="false">IF(BG839=0,"",IF(BG839&lt;&gt;BA839,"erreur de calcul",IF(BD839&lt;&gt;0,"pas de prix",IF(M839&lt;&gt; 0,"pas de quantité","pas de prix, ni de quantité"))))</f>
        <v/>
      </c>
      <c r="BI839" s="19"/>
    </row>
    <row r="840" customFormat="false" ht="17.15" hidden="false" customHeight="false" outlineLevel="0" collapsed="false">
      <c r="A840" s="0" t="n">
        <v>11</v>
      </c>
      <c r="B840" s="8" t="s">
        <v>24</v>
      </c>
      <c r="C840" s="9" t="s">
        <v>25</v>
      </c>
      <c r="D840" s="9" t="s">
        <v>26</v>
      </c>
      <c r="E840" s="10" t="n">
        <v>1789</v>
      </c>
      <c r="F840" s="9" t="s">
        <v>27</v>
      </c>
      <c r="G840" s="9" t="s">
        <v>27</v>
      </c>
      <c r="H840" s="11" t="n">
        <v>22</v>
      </c>
      <c r="I840" s="40" t="s">
        <v>212</v>
      </c>
      <c r="J840" s="14" t="n">
        <v>75</v>
      </c>
      <c r="K840" s="14"/>
      <c r="L840" s="16"/>
      <c r="M840" s="27" t="n">
        <f aca="false">J840+(K840/20)+(L840/240)</f>
        <v>75</v>
      </c>
      <c r="N840" s="17" t="s">
        <v>64</v>
      </c>
      <c r="O840" s="11"/>
      <c r="P840" s="28"/>
      <c r="Q840" s="28" t="n">
        <f aca="false">P840*$M840</f>
        <v>0</v>
      </c>
      <c r="R840" s="28"/>
      <c r="S840" s="28" t="n">
        <f aca="false">R840*$M840</f>
        <v>0</v>
      </c>
      <c r="T840" s="28"/>
      <c r="U840" s="28" t="n">
        <f aca="false">T840*$M840</f>
        <v>0</v>
      </c>
      <c r="V840" s="28"/>
      <c r="W840" s="28" t="n">
        <f aca="false">V840*$M840</f>
        <v>0</v>
      </c>
      <c r="X840" s="28"/>
      <c r="Y840" s="28" t="n">
        <f aca="false">X840*$M840</f>
        <v>0</v>
      </c>
      <c r="Z840" s="28"/>
      <c r="AA840" s="28" t="n">
        <f aca="false">Z840*$M840</f>
        <v>0</v>
      </c>
      <c r="AB840" s="28"/>
      <c r="AC840" s="28" t="n">
        <f aca="false">AB840*$M840</f>
        <v>0</v>
      </c>
      <c r="AD840" s="28"/>
      <c r="AE840" s="28" t="n">
        <f aca="false">AD840*$M840</f>
        <v>0</v>
      </c>
      <c r="AF840" s="28"/>
      <c r="AG840" s="28" t="n">
        <f aca="false">AF840*$M840</f>
        <v>0</v>
      </c>
      <c r="AH840" s="28"/>
      <c r="AI840" s="28" t="n">
        <f aca="false">AH840*$M840</f>
        <v>0</v>
      </c>
      <c r="AJ840" s="28" t="n">
        <f aca="false">2372/100</f>
        <v>23.72</v>
      </c>
      <c r="AK840" s="28" t="n">
        <v>1779</v>
      </c>
      <c r="AL840" s="28"/>
      <c r="AM840" s="28" t="n">
        <f aca="false">AL840*$M840</f>
        <v>0</v>
      </c>
      <c r="AN840" s="28"/>
      <c r="AO840" s="28" t="n">
        <f aca="false">AN840*$M840</f>
        <v>0</v>
      </c>
      <c r="AP840" s="28"/>
      <c r="AQ840" s="28" t="n">
        <f aca="false">AP840*$M840</f>
        <v>0</v>
      </c>
      <c r="AR840" s="28"/>
      <c r="AS840" s="28" t="n">
        <f aca="false">AR840*$M840</f>
        <v>0</v>
      </c>
      <c r="AT840" s="28"/>
      <c r="AU840" s="28" t="n">
        <f aca="false">AT840*$M840</f>
        <v>0</v>
      </c>
      <c r="AV840" s="28"/>
      <c r="AW840" s="28" t="n">
        <f aca="false">AV840*$M840</f>
        <v>0</v>
      </c>
      <c r="AX840" s="28"/>
      <c r="AY840" s="28" t="n">
        <f aca="false">AX840*$M840</f>
        <v>0</v>
      </c>
      <c r="AZ840" s="30" t="n">
        <f aca="false">2372/100</f>
        <v>23.72</v>
      </c>
      <c r="BA840" s="11" t="n">
        <v>1779</v>
      </c>
      <c r="BB840" s="31" t="n">
        <f aca="false">SUM(Q840,S840,U840,W840,Y840,AA840,AC840,AE840,AG840,AI840,AK840,AM840,AO840,AQ840,AS840,AU840,AW840,AY840)</f>
        <v>1779</v>
      </c>
      <c r="BC840" s="28" t="n">
        <f aca="false">BA840-BB840</f>
        <v>0</v>
      </c>
      <c r="BD840" s="32" t="n">
        <f aca="false">SUM(P840,R840,T840,V840,X840,Z840,AB840,AD840,AF840,AH840,AJ840,AL840,AN840,AP840,AR840,AT840,AV840,AX840)</f>
        <v>23.72</v>
      </c>
      <c r="BE840" s="33" t="n">
        <f aca="false">AZ840-BD840</f>
        <v>0</v>
      </c>
      <c r="BF840" s="34" t="n">
        <f aca="false">BD840*M840</f>
        <v>1779</v>
      </c>
      <c r="BG840" s="35" t="n">
        <f aca="false">BA840-BF840</f>
        <v>0</v>
      </c>
      <c r="BH840" s="19" t="str">
        <f aca="false">IF(BG840=0,"",IF(BG840&lt;&gt;BA840,"erreur de calcul",IF(BD840&lt;&gt;0,"pas de prix",IF(M840&lt;&gt; 0,"pas de quantité","pas de prix, ni de quantité"))))</f>
        <v/>
      </c>
      <c r="BI840" s="19"/>
    </row>
    <row r="841" customFormat="false" ht="15" hidden="false" customHeight="false" outlineLevel="0" collapsed="false">
      <c r="A841" s="0" t="n">
        <v>12</v>
      </c>
      <c r="B841" s="8" t="s">
        <v>24</v>
      </c>
      <c r="C841" s="9" t="s">
        <v>25</v>
      </c>
      <c r="D841" s="9" t="s">
        <v>26</v>
      </c>
      <c r="E841" s="10" t="n">
        <v>1789</v>
      </c>
      <c r="F841" s="9" t="s">
        <v>27</v>
      </c>
      <c r="G841" s="9" t="s">
        <v>27</v>
      </c>
      <c r="H841" s="11" t="n">
        <v>22</v>
      </c>
      <c r="I841" s="11" t="s">
        <v>213</v>
      </c>
      <c r="J841" s="14" t="n">
        <v>31</v>
      </c>
      <c r="K841" s="14"/>
      <c r="L841" s="16"/>
      <c r="M841" s="27" t="n">
        <f aca="false">J841+(K841/20)+(L841/240)</f>
        <v>31</v>
      </c>
      <c r="N841" s="17" t="s">
        <v>64</v>
      </c>
      <c r="O841" s="11"/>
      <c r="P841" s="28"/>
      <c r="Q841" s="28" t="n">
        <f aca="false">P841*$M841</f>
        <v>0</v>
      </c>
      <c r="R841" s="28"/>
      <c r="S841" s="28" t="n">
        <f aca="false">R841*$M841</f>
        <v>0</v>
      </c>
      <c r="T841" s="28"/>
      <c r="U841" s="28" t="n">
        <f aca="false">T841*$M841</f>
        <v>0</v>
      </c>
      <c r="V841" s="28"/>
      <c r="W841" s="28" t="n">
        <f aca="false">V841*$M841</f>
        <v>0</v>
      </c>
      <c r="X841" s="28" t="n">
        <f aca="false">18202/100</f>
        <v>182.02</v>
      </c>
      <c r="Y841" s="28" t="n">
        <v>5643</v>
      </c>
      <c r="Z841" s="28"/>
      <c r="AA841" s="28" t="n">
        <f aca="false">Z841*$M841</f>
        <v>0</v>
      </c>
      <c r="AB841" s="28"/>
      <c r="AC841" s="28" t="n">
        <f aca="false">AB841*$M841</f>
        <v>0</v>
      </c>
      <c r="AD841" s="28"/>
      <c r="AE841" s="28" t="n">
        <f aca="false">AD841*$M841</f>
        <v>0</v>
      </c>
      <c r="AF841" s="28"/>
      <c r="AG841" s="28" t="n">
        <f aca="false">AF841*$M841</f>
        <v>0</v>
      </c>
      <c r="AH841" s="28"/>
      <c r="AI841" s="28" t="n">
        <f aca="false">AH841*$M841</f>
        <v>0</v>
      </c>
      <c r="AJ841" s="28"/>
      <c r="AK841" s="28" t="n">
        <f aca="false">AJ841*$M841</f>
        <v>0</v>
      </c>
      <c r="AL841" s="28"/>
      <c r="AM841" s="28" t="n">
        <f aca="false">AL841*$M841</f>
        <v>0</v>
      </c>
      <c r="AN841" s="28"/>
      <c r="AO841" s="28" t="n">
        <f aca="false">AN841*$M841</f>
        <v>0</v>
      </c>
      <c r="AP841" s="28"/>
      <c r="AQ841" s="28" t="n">
        <f aca="false">AP841*$M841</f>
        <v>0</v>
      </c>
      <c r="AR841" s="28"/>
      <c r="AS841" s="28" t="n">
        <f aca="false">AR841*$M841</f>
        <v>0</v>
      </c>
      <c r="AT841" s="28"/>
      <c r="AU841" s="28" t="n">
        <f aca="false">AT841*$M841</f>
        <v>0</v>
      </c>
      <c r="AV841" s="28"/>
      <c r="AW841" s="28" t="n">
        <f aca="false">AV841*$M841</f>
        <v>0</v>
      </c>
      <c r="AX841" s="28"/>
      <c r="AY841" s="28" t="n">
        <f aca="false">AX841*$M841</f>
        <v>0</v>
      </c>
      <c r="AZ841" s="30" t="n">
        <f aca="false">18202/100</f>
        <v>182.02</v>
      </c>
      <c r="BA841" s="11" t="n">
        <v>5643</v>
      </c>
      <c r="BB841" s="31" t="n">
        <f aca="false">SUM(Q841,S841,U841,W841,Y841,AA841,AC841,AE841,AG841,AI841,AK841,AM841,AO841,AQ841,AS841,AU841,AW841,AY841)</f>
        <v>5643</v>
      </c>
      <c r="BC841" s="28" t="n">
        <f aca="false">BA841-BB841</f>
        <v>0</v>
      </c>
      <c r="BD841" s="32" t="n">
        <f aca="false">SUM(P841,R841,T841,V841,X841,Z841,AB841,AD841,AF841,AH841,AJ841,AL841,AN841,AP841,AR841,AT841,AV841,AX841)</f>
        <v>182.02</v>
      </c>
      <c r="BE841" s="33" t="n">
        <f aca="false">AZ841-BD841</f>
        <v>0</v>
      </c>
      <c r="BF841" s="34" t="n">
        <f aca="false">BD841*M841</f>
        <v>5642.62</v>
      </c>
      <c r="BG841" s="35" t="n">
        <f aca="false">BA841-BF841</f>
        <v>0.380000000000109</v>
      </c>
      <c r="BH841" s="19" t="str">
        <f aca="false">IF(BG841=0,"",IF(BG841&lt;&gt;BA841,"erreur de calcul",IF(BD841&lt;&gt;0,"pas de prix",IF(M841&lt;&gt; 0,"pas de quantité","pas de prix, ni de quantité"))))</f>
        <v>erreur de calcul</v>
      </c>
      <c r="BI841" s="19"/>
    </row>
    <row r="842" customFormat="false" ht="15" hidden="false" customHeight="false" outlineLevel="0" collapsed="false">
      <c r="A842" s="0" t="n">
        <v>13</v>
      </c>
      <c r="B842" s="8" t="s">
        <v>24</v>
      </c>
      <c r="C842" s="9" t="s">
        <v>25</v>
      </c>
      <c r="D842" s="9" t="s">
        <v>26</v>
      </c>
      <c r="E842" s="10" t="n">
        <v>1789</v>
      </c>
      <c r="F842" s="9" t="s">
        <v>27</v>
      </c>
      <c r="G842" s="9" t="s">
        <v>27</v>
      </c>
      <c r="H842" s="11" t="n">
        <v>22</v>
      </c>
      <c r="I842" s="11" t="s">
        <v>214</v>
      </c>
      <c r="J842" s="14"/>
      <c r="K842" s="14" t="n">
        <v>20</v>
      </c>
      <c r="L842" s="16"/>
      <c r="M842" s="27" t="n">
        <f aca="false">J842+(K842/20)+(L842/240)</f>
        <v>1</v>
      </c>
      <c r="N842" s="17" t="s">
        <v>66</v>
      </c>
      <c r="O842" s="11"/>
      <c r="P842" s="28"/>
      <c r="Q842" s="28" t="n">
        <f aca="false">P842*$M842</f>
        <v>0</v>
      </c>
      <c r="R842" s="28"/>
      <c r="S842" s="28" t="n">
        <f aca="false">R842*$M842</f>
        <v>0</v>
      </c>
      <c r="T842" s="28"/>
      <c r="U842" s="28" t="n">
        <f aca="false">T842*$M842</f>
        <v>0</v>
      </c>
      <c r="V842" s="28"/>
      <c r="W842" s="28" t="n">
        <f aca="false">V842*$M842</f>
        <v>0</v>
      </c>
      <c r="X842" s="28"/>
      <c r="Y842" s="28" t="n">
        <f aca="false">X842*$M842</f>
        <v>0</v>
      </c>
      <c r="Z842" s="28"/>
      <c r="AA842" s="28" t="n">
        <f aca="false">Z842*$M842</f>
        <v>0</v>
      </c>
      <c r="AB842" s="28"/>
      <c r="AC842" s="28" t="n">
        <f aca="false">AB842*$M842</f>
        <v>0</v>
      </c>
      <c r="AD842" s="28" t="n">
        <v>2831</v>
      </c>
      <c r="AE842" s="28" t="n">
        <v>2831</v>
      </c>
      <c r="AF842" s="28"/>
      <c r="AG842" s="28" t="n">
        <f aca="false">AF842*$M842</f>
        <v>0</v>
      </c>
      <c r="AH842" s="28"/>
      <c r="AI842" s="28" t="n">
        <f aca="false">AH842*$M842</f>
        <v>0</v>
      </c>
      <c r="AJ842" s="28"/>
      <c r="AK842" s="28" t="n">
        <f aca="false">AJ842*$M842</f>
        <v>0</v>
      </c>
      <c r="AL842" s="28"/>
      <c r="AM842" s="28" t="n">
        <f aca="false">AL842*$M842</f>
        <v>0</v>
      </c>
      <c r="AN842" s="28"/>
      <c r="AO842" s="28" t="n">
        <f aca="false">AN842*$M842</f>
        <v>0</v>
      </c>
      <c r="AP842" s="28"/>
      <c r="AQ842" s="28" t="n">
        <f aca="false">AP842*$M842</f>
        <v>0</v>
      </c>
      <c r="AR842" s="28"/>
      <c r="AS842" s="28" t="n">
        <f aca="false">AR842*$M842</f>
        <v>0</v>
      </c>
      <c r="AT842" s="28"/>
      <c r="AU842" s="28" t="n">
        <f aca="false">AT842*$M842</f>
        <v>0</v>
      </c>
      <c r="AV842" s="28"/>
      <c r="AW842" s="28" t="n">
        <f aca="false">AV842*$M842</f>
        <v>0</v>
      </c>
      <c r="AX842" s="28"/>
      <c r="AY842" s="28" t="n">
        <f aca="false">AX842*$M842</f>
        <v>0</v>
      </c>
      <c r="AZ842" s="30" t="n">
        <v>2831</v>
      </c>
      <c r="BA842" s="11" t="n">
        <v>2831</v>
      </c>
      <c r="BB842" s="31" t="n">
        <f aca="false">SUM(Q842,S842,U842,W842,Y842,AA842,AC842,AE842,AG842,AI842,AK842,AM842,AO842,AQ842,AS842,AU842,AW842,AY842)</f>
        <v>2831</v>
      </c>
      <c r="BC842" s="28" t="n">
        <f aca="false">BA842-BB842</f>
        <v>0</v>
      </c>
      <c r="BD842" s="32" t="n">
        <f aca="false">SUM(P842,R842,T842,V842,X842,Z842,AB842,AD842,AF842,AH842,AJ842,AL842,AN842,AP842,AR842,AT842,AV842,AX842)</f>
        <v>2831</v>
      </c>
      <c r="BE842" s="33" t="n">
        <f aca="false">AZ842-BD842</f>
        <v>0</v>
      </c>
      <c r="BF842" s="34" t="n">
        <f aca="false">BD842*M842</f>
        <v>2831</v>
      </c>
      <c r="BG842" s="35" t="n">
        <f aca="false">BA842-BF842</f>
        <v>0</v>
      </c>
      <c r="BH842" s="19" t="str">
        <f aca="false">IF(BG842=0,"",IF(BG842&lt;&gt;BA842,"erreur de calcul",IF(BD842&lt;&gt;0,"pas de prix",IF(M842&lt;&gt; 0,"pas de quantité","pas de prix, ni de quantité"))))</f>
        <v/>
      </c>
      <c r="BI842" s="19"/>
    </row>
    <row r="843" customFormat="false" ht="15" hidden="false" customHeight="false" outlineLevel="0" collapsed="false">
      <c r="A843" s="0" t="n">
        <v>14</v>
      </c>
      <c r="B843" s="8" t="s">
        <v>24</v>
      </c>
      <c r="C843" s="9" t="s">
        <v>25</v>
      </c>
      <c r="D843" s="9" t="s">
        <v>26</v>
      </c>
      <c r="E843" s="10" t="n">
        <v>1789</v>
      </c>
      <c r="F843" s="9" t="s">
        <v>27</v>
      </c>
      <c r="G843" s="9" t="s">
        <v>27</v>
      </c>
      <c r="H843" s="11" t="n">
        <v>22</v>
      </c>
      <c r="I843" s="11" t="s">
        <v>215</v>
      </c>
      <c r="J843" s="14" t="n">
        <v>36</v>
      </c>
      <c r="K843" s="14"/>
      <c r="L843" s="16"/>
      <c r="M843" s="27" t="n">
        <f aca="false">J843+(K843/20)+(L843/240)</f>
        <v>36</v>
      </c>
      <c r="N843" s="17" t="s">
        <v>64</v>
      </c>
      <c r="O843" s="11"/>
      <c r="P843" s="28"/>
      <c r="Q843" s="28" t="n">
        <f aca="false">P843*$M843</f>
        <v>0</v>
      </c>
      <c r="R843" s="28"/>
      <c r="S843" s="28" t="n">
        <f aca="false">R843*$M843</f>
        <v>0</v>
      </c>
      <c r="T843" s="28"/>
      <c r="U843" s="28" t="n">
        <f aca="false">T843*$M843</f>
        <v>0</v>
      </c>
      <c r="V843" s="28"/>
      <c r="W843" s="28" t="n">
        <f aca="false">V843*$M843</f>
        <v>0</v>
      </c>
      <c r="X843" s="28"/>
      <c r="Y843" s="28" t="n">
        <f aca="false">X843*$M843</f>
        <v>0</v>
      </c>
      <c r="Z843" s="28"/>
      <c r="AA843" s="28" t="n">
        <f aca="false">Z843*$M843</f>
        <v>0</v>
      </c>
      <c r="AB843" s="28"/>
      <c r="AC843" s="28" t="n">
        <f aca="false">AB843*$M843</f>
        <v>0</v>
      </c>
      <c r="AD843" s="28"/>
      <c r="AE843" s="28" t="n">
        <f aca="false">AD843*$M843</f>
        <v>0</v>
      </c>
      <c r="AF843" s="28" t="n">
        <f aca="false">92472/100</f>
        <v>924.72</v>
      </c>
      <c r="AG843" s="28" t="n">
        <v>33290</v>
      </c>
      <c r="AH843" s="28" t="n">
        <f aca="false">490633/100</f>
        <v>4906.33</v>
      </c>
      <c r="AI843" s="28" t="n">
        <v>176628</v>
      </c>
      <c r="AJ843" s="28"/>
      <c r="AK843" s="28" t="n">
        <f aca="false">AJ843*$M843</f>
        <v>0</v>
      </c>
      <c r="AL843" s="28"/>
      <c r="AM843" s="28" t="n">
        <f aca="false">AL843*$M843</f>
        <v>0</v>
      </c>
      <c r="AN843" s="28"/>
      <c r="AO843" s="28" t="n">
        <f aca="false">AN843*$M843</f>
        <v>0</v>
      </c>
      <c r="AP843" s="28"/>
      <c r="AQ843" s="28" t="n">
        <f aca="false">AP843*$M843</f>
        <v>0</v>
      </c>
      <c r="AR843" s="28"/>
      <c r="AS843" s="28" t="n">
        <f aca="false">AR843*$M843</f>
        <v>0</v>
      </c>
      <c r="AT843" s="28"/>
      <c r="AU843" s="28" t="n">
        <f aca="false">AT843*$M843</f>
        <v>0</v>
      </c>
      <c r="AV843" s="28"/>
      <c r="AW843" s="28" t="n">
        <f aca="false">AV843*$M843</f>
        <v>0</v>
      </c>
      <c r="AX843" s="28"/>
      <c r="AY843" s="28" t="n">
        <f aca="false">AX843*$M843</f>
        <v>0</v>
      </c>
      <c r="AZ843" s="30" t="n">
        <f aca="false">583105/100</f>
        <v>5831.05</v>
      </c>
      <c r="BA843" s="11" t="n">
        <v>209918</v>
      </c>
      <c r="BB843" s="31" t="n">
        <f aca="false">SUM(Q843,S843,U843,W843,Y843,AA843,AC843,AE843,AG843,AI843,AK843,AM843,AO843,AQ843,AS843,AU843,AW843,AY843)</f>
        <v>209918</v>
      </c>
      <c r="BC843" s="28" t="n">
        <f aca="false">BA843-BB843</f>
        <v>0</v>
      </c>
      <c r="BD843" s="32" t="n">
        <f aca="false">SUM(P843,R843,T843,V843,X843,Z843,AB843,AD843,AF843,AH843,AJ843,AL843,AN843,AP843,AR843,AT843,AV843,AX843)</f>
        <v>5831.05</v>
      </c>
      <c r="BE843" s="33" t="n">
        <f aca="false">AZ843-BD843</f>
        <v>0</v>
      </c>
      <c r="BF843" s="34" t="n">
        <f aca="false">BD843*M843</f>
        <v>209917.8</v>
      </c>
      <c r="BG843" s="35" t="n">
        <f aca="false">BA843-BF843</f>
        <v>0.199999999982538</v>
      </c>
      <c r="BH843" s="19" t="str">
        <f aca="false">IF(BG843=0,"",IF(BG843&lt;&gt;BA843,"erreur de calcul",IF(BD843&lt;&gt;0,"pas de prix",IF(M843&lt;&gt; 0,"pas de quantité","pas de prix, ni de quantité"))))</f>
        <v>erreur de calcul</v>
      </c>
      <c r="BI843" s="19"/>
    </row>
    <row r="844" customFormat="false" ht="15" hidden="false" customHeight="false" outlineLevel="0" collapsed="false">
      <c r="A844" s="0" t="n">
        <v>15</v>
      </c>
      <c r="B844" s="8" t="s">
        <v>24</v>
      </c>
      <c r="C844" s="9" t="s">
        <v>25</v>
      </c>
      <c r="D844" s="9" t="s">
        <v>26</v>
      </c>
      <c r="E844" s="10" t="n">
        <v>1789</v>
      </c>
      <c r="F844" s="9" t="s">
        <v>27</v>
      </c>
      <c r="G844" s="9" t="s">
        <v>27</v>
      </c>
      <c r="H844" s="11" t="n">
        <v>22</v>
      </c>
      <c r="I844" s="11" t="s">
        <v>216</v>
      </c>
      <c r="J844" s="14"/>
      <c r="K844" s="14" t="n">
        <v>22</v>
      </c>
      <c r="L844" s="16"/>
      <c r="M844" s="27" t="n">
        <f aca="false">J844+(K844/20)+(L844/240)</f>
        <v>1.1</v>
      </c>
      <c r="N844" s="17" t="s">
        <v>66</v>
      </c>
      <c r="O844" s="11"/>
      <c r="P844" s="28"/>
      <c r="Q844" s="28" t="n">
        <f aca="false">P844*$M844</f>
        <v>0</v>
      </c>
      <c r="R844" s="28"/>
      <c r="S844" s="28" t="n">
        <f aca="false">R844*$M844</f>
        <v>0</v>
      </c>
      <c r="T844" s="28" t="n">
        <v>2875</v>
      </c>
      <c r="U844" s="28" t="n">
        <v>3162</v>
      </c>
      <c r="V844" s="28"/>
      <c r="W844" s="28" t="n">
        <f aca="false">V844*$M844</f>
        <v>0</v>
      </c>
      <c r="X844" s="28"/>
      <c r="Y844" s="28" t="n">
        <f aca="false">X844*$M844</f>
        <v>0</v>
      </c>
      <c r="Z844" s="28"/>
      <c r="AA844" s="28" t="n">
        <f aca="false">Z844*$M844</f>
        <v>0</v>
      </c>
      <c r="AB844" s="28"/>
      <c r="AC844" s="28" t="n">
        <f aca="false">AB844*$M844</f>
        <v>0</v>
      </c>
      <c r="AD844" s="28"/>
      <c r="AE844" s="28" t="n">
        <f aca="false">AD844*$M844</f>
        <v>0</v>
      </c>
      <c r="AF844" s="28"/>
      <c r="AG844" s="28" t="n">
        <f aca="false">AF844*$M844</f>
        <v>0</v>
      </c>
      <c r="AH844" s="28"/>
      <c r="AI844" s="28" t="n">
        <f aca="false">AH844*$M844</f>
        <v>0</v>
      </c>
      <c r="AJ844" s="28"/>
      <c r="AK844" s="28" t="n">
        <f aca="false">AJ844*$M844</f>
        <v>0</v>
      </c>
      <c r="AL844" s="28"/>
      <c r="AM844" s="28" t="n">
        <f aca="false">AL844*$M844</f>
        <v>0</v>
      </c>
      <c r="AN844" s="28"/>
      <c r="AO844" s="28" t="n">
        <f aca="false">AN844*$M844</f>
        <v>0</v>
      </c>
      <c r="AP844" s="28"/>
      <c r="AQ844" s="28" t="n">
        <f aca="false">AP844*$M844</f>
        <v>0</v>
      </c>
      <c r="AR844" s="28"/>
      <c r="AS844" s="28" t="n">
        <f aca="false">AR844*$M844</f>
        <v>0</v>
      </c>
      <c r="AT844" s="28"/>
      <c r="AU844" s="28" t="n">
        <f aca="false">AT844*$M844</f>
        <v>0</v>
      </c>
      <c r="AV844" s="28"/>
      <c r="AW844" s="28" t="n">
        <f aca="false">AV844*$M844</f>
        <v>0</v>
      </c>
      <c r="AX844" s="28"/>
      <c r="AY844" s="28" t="n">
        <f aca="false">AX844*$M844</f>
        <v>0</v>
      </c>
      <c r="AZ844" s="30" t="n">
        <v>2875</v>
      </c>
      <c r="BA844" s="11" t="n">
        <v>3162</v>
      </c>
      <c r="BB844" s="31" t="n">
        <f aca="false">SUM(Q844,S844,U844,W844,Y844,AA844,AC844,AE844,AG844,AI844,AK844,AM844,AO844,AQ844,AS844,AU844,AW844,AY844)</f>
        <v>3162</v>
      </c>
      <c r="BC844" s="28" t="n">
        <f aca="false">BA844-BB844</f>
        <v>0</v>
      </c>
      <c r="BD844" s="32" t="n">
        <f aca="false">SUM(P844,R844,T844,V844,X844,Z844,AB844,AD844,AF844,AH844,AJ844,AL844,AN844,AP844,AR844,AT844,AV844,AX844)</f>
        <v>2875</v>
      </c>
      <c r="BE844" s="33" t="n">
        <f aca="false">AZ844-BD844</f>
        <v>0</v>
      </c>
      <c r="BF844" s="34" t="n">
        <f aca="false">BD844*M844</f>
        <v>3162.5</v>
      </c>
      <c r="BG844" s="35" t="n">
        <f aca="false">BA844-BF844</f>
        <v>-0.500000000000455</v>
      </c>
      <c r="BH844" s="19" t="str">
        <f aca="false">IF(BG844=0,"",IF(BG844&lt;&gt;BA844,"erreur de calcul",IF(BD844&lt;&gt;0,"pas de prix",IF(M844&lt;&gt; 0,"pas de quantité","pas de prix, ni de quantité"))))</f>
        <v>erreur de calcul</v>
      </c>
      <c r="BI844" s="19"/>
    </row>
    <row r="845" customFormat="false" ht="15" hidden="false" customHeight="false" outlineLevel="0" collapsed="false">
      <c r="A845" s="0" t="n">
        <v>16</v>
      </c>
      <c r="B845" s="8" t="s">
        <v>24</v>
      </c>
      <c r="C845" s="9" t="s">
        <v>25</v>
      </c>
      <c r="D845" s="9" t="s">
        <v>26</v>
      </c>
      <c r="E845" s="10" t="n">
        <v>1789</v>
      </c>
      <c r="F845" s="9" t="s">
        <v>27</v>
      </c>
      <c r="G845" s="9" t="s">
        <v>27</v>
      </c>
      <c r="H845" s="11" t="n">
        <v>22</v>
      </c>
      <c r="I845" s="11" t="s">
        <v>217</v>
      </c>
      <c r="J845" s="14" t="n">
        <v>90</v>
      </c>
      <c r="K845" s="14"/>
      <c r="L845" s="16"/>
      <c r="M845" s="27" t="n">
        <f aca="false">J845+(K845/20)+(L845/240)</f>
        <v>90</v>
      </c>
      <c r="N845" s="17" t="s">
        <v>64</v>
      </c>
      <c r="O845" s="11"/>
      <c r="P845" s="28"/>
      <c r="Q845" s="28" t="n">
        <f aca="false">P845*$M845</f>
        <v>0</v>
      </c>
      <c r="R845" s="28"/>
      <c r="S845" s="28" t="n">
        <f aca="false">R845*$M845</f>
        <v>0</v>
      </c>
      <c r="T845" s="28"/>
      <c r="U845" s="28" t="n">
        <f aca="false">T845*$M845</f>
        <v>0</v>
      </c>
      <c r="V845" s="28"/>
      <c r="W845" s="28" t="n">
        <f aca="false">V845*$M845</f>
        <v>0</v>
      </c>
      <c r="X845" s="28" t="n">
        <f aca="false">2440/100</f>
        <v>24.4</v>
      </c>
      <c r="Y845" s="28" t="n">
        <v>2196</v>
      </c>
      <c r="Z845" s="28"/>
      <c r="AA845" s="28" t="n">
        <f aca="false">Z845*$M845</f>
        <v>0</v>
      </c>
      <c r="AB845" s="28"/>
      <c r="AC845" s="28" t="n">
        <f aca="false">AB845*$M845</f>
        <v>0</v>
      </c>
      <c r="AD845" s="28"/>
      <c r="AE845" s="28" t="n">
        <f aca="false">AD845*$M845</f>
        <v>0</v>
      </c>
      <c r="AF845" s="28"/>
      <c r="AG845" s="28" t="n">
        <f aca="false">AF845*$M845</f>
        <v>0</v>
      </c>
      <c r="AH845" s="28" t="n">
        <f aca="false">524577/100</f>
        <v>5245.77</v>
      </c>
      <c r="AI845" s="28" t="n">
        <v>472116</v>
      </c>
      <c r="AJ845" s="28"/>
      <c r="AK845" s="28" t="n">
        <f aca="false">AJ845*$M845</f>
        <v>0</v>
      </c>
      <c r="AL845" s="28"/>
      <c r="AM845" s="28" t="n">
        <f aca="false">AL845*$M845</f>
        <v>0</v>
      </c>
      <c r="AN845" s="28"/>
      <c r="AO845" s="28" t="n">
        <f aca="false">AN845*$M845</f>
        <v>0</v>
      </c>
      <c r="AP845" s="28"/>
      <c r="AQ845" s="28" t="n">
        <f aca="false">AP845*$M845</f>
        <v>0</v>
      </c>
      <c r="AR845" s="28"/>
      <c r="AS845" s="28" t="n">
        <f aca="false">AR845*$M845</f>
        <v>0</v>
      </c>
      <c r="AT845" s="28"/>
      <c r="AU845" s="28" t="n">
        <f aca="false">AT845*$M845</f>
        <v>0</v>
      </c>
      <c r="AV845" s="28"/>
      <c r="AW845" s="28" t="n">
        <f aca="false">AV845*$M845</f>
        <v>0</v>
      </c>
      <c r="AX845" s="28"/>
      <c r="AY845" s="28" t="n">
        <f aca="false">AX845*$M845</f>
        <v>0</v>
      </c>
      <c r="AZ845" s="30" t="n">
        <f aca="false">526980/100</f>
        <v>5269.8</v>
      </c>
      <c r="BA845" s="11" t="n">
        <v>474312</v>
      </c>
      <c r="BB845" s="31" t="n">
        <f aca="false">SUM(Q845,S845,U845,W845,Y845,AA845,AC845,AE845,AG845,AI845,AK845,AM845,AO845,AQ845,AS845,AU845,AW845,AY845)</f>
        <v>474312</v>
      </c>
      <c r="BC845" s="28" t="n">
        <f aca="false">BA845-BB845</f>
        <v>0</v>
      </c>
      <c r="BD845" s="32" t="n">
        <f aca="false">SUM(P845,R845,T845,V845,X845,Z845,AB845,AD845,AF845,AH845,AJ845,AL845,AN845,AP845,AR845,AT845,AV845,AX845)</f>
        <v>5270.17</v>
      </c>
      <c r="BE845" s="33" t="n">
        <f aca="false">AZ845-BD845</f>
        <v>-0.369999999999891</v>
      </c>
      <c r="BF845" s="34" t="n">
        <f aca="false">BD845*M845</f>
        <v>474315.3</v>
      </c>
      <c r="BG845" s="35" t="n">
        <f aca="false">BA845-BF845</f>
        <v>-3.29999999998836</v>
      </c>
      <c r="BH845" s="19" t="str">
        <f aca="false">IF(BG845=0,"",IF(BG845&lt;&gt;BA845,"erreur de calcul",IF(BD845&lt;&gt;0,"pas de prix",IF(M845&lt;&gt; 0,"pas de quantité","pas de prix, ni de quantité"))))</f>
        <v>erreur de calcul</v>
      </c>
      <c r="BI845" s="19"/>
    </row>
    <row r="846" customFormat="false" ht="15" hidden="false" customHeight="false" outlineLevel="0" collapsed="false">
      <c r="A846" s="0" t="n">
        <v>17</v>
      </c>
      <c r="B846" s="8" t="s">
        <v>24</v>
      </c>
      <c r="C846" s="9" t="s">
        <v>25</v>
      </c>
      <c r="D846" s="9" t="s">
        <v>26</v>
      </c>
      <c r="E846" s="10" t="n">
        <v>1789</v>
      </c>
      <c r="F846" s="9" t="s">
        <v>27</v>
      </c>
      <c r="G846" s="9" t="s">
        <v>27</v>
      </c>
      <c r="H846" s="11" t="n">
        <v>22</v>
      </c>
      <c r="I846" s="11" t="s">
        <v>218</v>
      </c>
      <c r="J846" s="14" t="n">
        <v>15</v>
      </c>
      <c r="K846" s="14"/>
      <c r="L846" s="16"/>
      <c r="M846" s="27" t="n">
        <f aca="false">J846+(K846/20)+(L846/240)</f>
        <v>15</v>
      </c>
      <c r="N846" s="17" t="s">
        <v>64</v>
      </c>
      <c r="O846" s="11"/>
      <c r="P846" s="28" t="n">
        <f aca="false">12250/100</f>
        <v>122.5</v>
      </c>
      <c r="Q846" s="28" t="n">
        <v>1837</v>
      </c>
      <c r="R846" s="28"/>
      <c r="S846" s="28" t="n">
        <f aca="false">R846*$M846</f>
        <v>0</v>
      </c>
      <c r="T846" s="28"/>
      <c r="U846" s="28" t="n">
        <f aca="false">T846*$M846</f>
        <v>0</v>
      </c>
      <c r="V846" s="28" t="n">
        <f aca="false">118493/100</f>
        <v>1184.93</v>
      </c>
      <c r="W846" s="28" t="n">
        <v>17774</v>
      </c>
      <c r="X846" s="28" t="n">
        <f aca="false">16835/100</f>
        <v>168.35</v>
      </c>
      <c r="Y846" s="28" t="n">
        <v>2525</v>
      </c>
      <c r="Z846" s="28"/>
      <c r="AA846" s="28" t="n">
        <f aca="false">Z846*$M846</f>
        <v>0</v>
      </c>
      <c r="AB846" s="28" t="n">
        <f aca="false">268622/100</f>
        <v>2686.22</v>
      </c>
      <c r="AC846" s="28" t="n">
        <v>40293</v>
      </c>
      <c r="AD846" s="28"/>
      <c r="AE846" s="28" t="n">
        <f aca="false">AD846*$M846</f>
        <v>0</v>
      </c>
      <c r="AF846" s="28"/>
      <c r="AG846" s="28" t="n">
        <f aca="false">AF846*$M846</f>
        <v>0</v>
      </c>
      <c r="AH846" s="28" t="n">
        <f aca="false">70164/100</f>
        <v>701.64</v>
      </c>
      <c r="AI846" s="28" t="n">
        <v>10524</v>
      </c>
      <c r="AJ846" s="28"/>
      <c r="AK846" s="28" t="n">
        <f aca="false">AJ846*$M846</f>
        <v>0</v>
      </c>
      <c r="AL846" s="28"/>
      <c r="AM846" s="28" t="n">
        <f aca="false">AL846*$M846</f>
        <v>0</v>
      </c>
      <c r="AN846" s="28"/>
      <c r="AO846" s="28" t="n">
        <f aca="false">AN846*$M846</f>
        <v>0</v>
      </c>
      <c r="AP846" s="28"/>
      <c r="AQ846" s="28" t="n">
        <f aca="false">AP846*$M846</f>
        <v>0</v>
      </c>
      <c r="AR846" s="28"/>
      <c r="AS846" s="28" t="n">
        <f aca="false">AR846*$M846</f>
        <v>0</v>
      </c>
      <c r="AT846" s="28"/>
      <c r="AU846" s="28" t="n">
        <f aca="false">AT846*$M846</f>
        <v>0</v>
      </c>
      <c r="AV846" s="28"/>
      <c r="AW846" s="28" t="n">
        <f aca="false">AV846*$M846</f>
        <v>0</v>
      </c>
      <c r="AX846" s="28"/>
      <c r="AY846" s="28" t="n">
        <f aca="false">AX846*$M846</f>
        <v>0</v>
      </c>
      <c r="AZ846" s="30" t="n">
        <f aca="false">486364/100</f>
        <v>4863.64</v>
      </c>
      <c r="BA846" s="11" t="n">
        <v>72953</v>
      </c>
      <c r="BB846" s="31" t="n">
        <f aca="false">SUM(Q846,S846,U846,W846,Y846,AA846,AC846,AE846,AG846,AI846,AK846,AM846,AO846,AQ846,AS846,AU846,AW846,AY846)</f>
        <v>72953</v>
      </c>
      <c r="BC846" s="28" t="n">
        <f aca="false">BA846-BB846</f>
        <v>0</v>
      </c>
      <c r="BD846" s="32" t="n">
        <f aca="false">SUM(P846,R846,T846,V846,X846,Z846,AB846,AD846,AF846,AH846,AJ846,AL846,AN846,AP846,AR846,AT846,AV846,AX846)</f>
        <v>4863.64</v>
      </c>
      <c r="BE846" s="33" t="n">
        <f aca="false">AZ846-BD846</f>
        <v>0</v>
      </c>
      <c r="BF846" s="34" t="n">
        <f aca="false">BD846*M846</f>
        <v>72954.6</v>
      </c>
      <c r="BG846" s="35" t="n">
        <f aca="false">BA846-BF846</f>
        <v>-1.59999999999127</v>
      </c>
      <c r="BH846" s="19" t="str">
        <f aca="false">IF(BG846=0,"",IF(BG846&lt;&gt;BA846,"erreur de calcul",IF(BD846&lt;&gt;0,"pas de prix",IF(M846&lt;&gt; 0,"pas de quantité","pas de prix, ni de quantité"))))</f>
        <v>erreur de calcul</v>
      </c>
      <c r="BI846" s="19"/>
    </row>
    <row r="847" customFormat="false" ht="15" hidden="false" customHeight="false" outlineLevel="0" collapsed="false">
      <c r="A847" s="0" t="n">
        <v>18</v>
      </c>
      <c r="B847" s="8" t="s">
        <v>24</v>
      </c>
      <c r="C847" s="9" t="s">
        <v>25</v>
      </c>
      <c r="D847" s="9" t="s">
        <v>26</v>
      </c>
      <c r="E847" s="10" t="n">
        <v>1789</v>
      </c>
      <c r="F847" s="9" t="s">
        <v>27</v>
      </c>
      <c r="G847" s="9" t="s">
        <v>27</v>
      </c>
      <c r="H847" s="11" t="n">
        <v>22</v>
      </c>
      <c r="I847" s="11" t="s">
        <v>219</v>
      </c>
      <c r="J847" s="14" t="n">
        <v>12</v>
      </c>
      <c r="K847" s="14"/>
      <c r="L847" s="16"/>
      <c r="M847" s="27" t="n">
        <f aca="false">J847+(K847/20)+(L847/240)</f>
        <v>12</v>
      </c>
      <c r="N847" s="17" t="s">
        <v>64</v>
      </c>
      <c r="O847" s="11"/>
      <c r="P847" s="28"/>
      <c r="Q847" s="28" t="n">
        <f aca="false">P847*$M847</f>
        <v>0</v>
      </c>
      <c r="R847" s="28"/>
      <c r="S847" s="28" t="n">
        <f aca="false">R847*$M847</f>
        <v>0</v>
      </c>
      <c r="T847" s="28"/>
      <c r="U847" s="28" t="n">
        <f aca="false">T847*$M847</f>
        <v>0</v>
      </c>
      <c r="V847" s="28" t="n">
        <f aca="false">26072/100</f>
        <v>260.72</v>
      </c>
      <c r="W847" s="28" t="n">
        <v>3129</v>
      </c>
      <c r="X847" s="28" t="n">
        <f aca="false">16340/100</f>
        <v>163.4</v>
      </c>
      <c r="Y847" s="28" t="n">
        <v>1961</v>
      </c>
      <c r="Z847" s="28"/>
      <c r="AA847" s="28" t="n">
        <f aca="false">Z847*$M847</f>
        <v>0</v>
      </c>
      <c r="AB847" s="28" t="n">
        <f aca="false">76351/100</f>
        <v>763.51</v>
      </c>
      <c r="AC847" s="28" t="n">
        <v>9162</v>
      </c>
      <c r="AD847" s="28"/>
      <c r="AE847" s="28" t="n">
        <f aca="false">AD847*$M847</f>
        <v>0</v>
      </c>
      <c r="AF847" s="28"/>
      <c r="AG847" s="28" t="n">
        <f aca="false">AF847*$M847</f>
        <v>0</v>
      </c>
      <c r="AH847" s="28"/>
      <c r="AI847" s="28" t="n">
        <f aca="false">AH847*$M847</f>
        <v>0</v>
      </c>
      <c r="AJ847" s="28"/>
      <c r="AK847" s="28" t="n">
        <f aca="false">AJ847*$M847</f>
        <v>0</v>
      </c>
      <c r="AL847" s="28"/>
      <c r="AM847" s="28" t="n">
        <f aca="false">AL847*$M847</f>
        <v>0</v>
      </c>
      <c r="AN847" s="28"/>
      <c r="AO847" s="28" t="n">
        <f aca="false">AN847*$M847</f>
        <v>0</v>
      </c>
      <c r="AP847" s="28"/>
      <c r="AQ847" s="28" t="n">
        <f aca="false">AP847*$M847</f>
        <v>0</v>
      </c>
      <c r="AR847" s="28"/>
      <c r="AS847" s="28" t="n">
        <f aca="false">AR847*$M847</f>
        <v>0</v>
      </c>
      <c r="AT847" s="28"/>
      <c r="AU847" s="28" t="n">
        <f aca="false">AT847*$M847</f>
        <v>0</v>
      </c>
      <c r="AV847" s="28"/>
      <c r="AW847" s="28" t="n">
        <f aca="false">AV847*$M847</f>
        <v>0</v>
      </c>
      <c r="AX847" s="28"/>
      <c r="AY847" s="28" t="n">
        <f aca="false">AX847*$M847</f>
        <v>0</v>
      </c>
      <c r="AZ847" s="30" t="n">
        <f aca="false">118763/100</f>
        <v>1187.63</v>
      </c>
      <c r="BA847" s="11" t="n">
        <v>14252</v>
      </c>
      <c r="BB847" s="31" t="n">
        <f aca="false">SUM(Q847,S847,U847,W847,Y847,AA847,AC847,AE847,AG847,AI847,AK847,AM847,AO847,AQ847,AS847,AU847,AW847,AY847)</f>
        <v>14252</v>
      </c>
      <c r="BC847" s="28" t="n">
        <f aca="false">BA847-BB847</f>
        <v>0</v>
      </c>
      <c r="BD847" s="32" t="n">
        <f aca="false">SUM(P847,R847,T847,V847,X847,Z847,AB847,AD847,AF847,AH847,AJ847,AL847,AN847,AP847,AR847,AT847,AV847,AX847)</f>
        <v>1187.63</v>
      </c>
      <c r="BE847" s="33" t="n">
        <f aca="false">AZ847-BD847</f>
        <v>0</v>
      </c>
      <c r="BF847" s="34" t="n">
        <f aca="false">BD847*M847</f>
        <v>14251.56</v>
      </c>
      <c r="BG847" s="35" t="n">
        <f aca="false">BA847-BF847</f>
        <v>0.43999999999869</v>
      </c>
      <c r="BH847" s="19" t="str">
        <f aca="false">IF(BG847=0,"",IF(BG847&lt;&gt;BA847,"erreur de calcul",IF(BD847&lt;&gt;0,"pas de prix",IF(M847&lt;&gt; 0,"pas de quantité","pas de prix, ni de quantité"))))</f>
        <v>erreur de calcul</v>
      </c>
      <c r="BI847" s="19"/>
    </row>
    <row r="848" customFormat="false" ht="15" hidden="false" customHeight="false" outlineLevel="0" collapsed="false">
      <c r="A848" s="0" t="n">
        <v>19</v>
      </c>
      <c r="B848" s="8" t="s">
        <v>24</v>
      </c>
      <c r="C848" s="9" t="s">
        <v>25</v>
      </c>
      <c r="D848" s="9" t="s">
        <v>26</v>
      </c>
      <c r="E848" s="10" t="n">
        <v>1789</v>
      </c>
      <c r="F848" s="9" t="s">
        <v>27</v>
      </c>
      <c r="G848" s="9" t="s">
        <v>27</v>
      </c>
      <c r="H848" s="11" t="n">
        <v>22</v>
      </c>
      <c r="I848" s="11" t="s">
        <v>220</v>
      </c>
      <c r="J848" s="14" t="n">
        <v>8</v>
      </c>
      <c r="K848" s="14"/>
      <c r="L848" s="16"/>
      <c r="M848" s="27" t="n">
        <f aca="false">J848+(K848/20)+(L848/240)</f>
        <v>8</v>
      </c>
      <c r="N848" s="17" t="s">
        <v>66</v>
      </c>
      <c r="O848" s="11"/>
      <c r="P848" s="28" t="n">
        <v>3798</v>
      </c>
      <c r="Q848" s="28" t="n">
        <v>30384</v>
      </c>
      <c r="R848" s="28"/>
      <c r="S848" s="28" t="n">
        <f aca="false">R848*$M848</f>
        <v>0</v>
      </c>
      <c r="T848" s="28"/>
      <c r="U848" s="28" t="n">
        <f aca="false">T848*$M848</f>
        <v>0</v>
      </c>
      <c r="V848" s="28"/>
      <c r="W848" s="28" t="n">
        <f aca="false">V848*$M848</f>
        <v>0</v>
      </c>
      <c r="X848" s="28"/>
      <c r="Y848" s="28" t="n">
        <f aca="false">X848*$M848</f>
        <v>0</v>
      </c>
      <c r="Z848" s="28"/>
      <c r="AA848" s="28" t="n">
        <f aca="false">Z848*$M848</f>
        <v>0</v>
      </c>
      <c r="AB848" s="28"/>
      <c r="AC848" s="28" t="n">
        <f aca="false">AB848*$M848</f>
        <v>0</v>
      </c>
      <c r="AD848" s="28"/>
      <c r="AE848" s="28" t="n">
        <f aca="false">AD848*$M848</f>
        <v>0</v>
      </c>
      <c r="AF848" s="28"/>
      <c r="AG848" s="28" t="n">
        <f aca="false">AF848*$M848</f>
        <v>0</v>
      </c>
      <c r="AH848" s="28" t="n">
        <v>322</v>
      </c>
      <c r="AI848" s="28" t="n">
        <v>2576</v>
      </c>
      <c r="AJ848" s="28"/>
      <c r="AK848" s="28" t="n">
        <f aca="false">AJ848*$M848</f>
        <v>0</v>
      </c>
      <c r="AL848" s="28"/>
      <c r="AM848" s="28" t="n">
        <f aca="false">AL848*$M848</f>
        <v>0</v>
      </c>
      <c r="AN848" s="28"/>
      <c r="AO848" s="28" t="n">
        <f aca="false">AN848*$M848</f>
        <v>0</v>
      </c>
      <c r="AP848" s="28"/>
      <c r="AQ848" s="28" t="n">
        <f aca="false">AP848*$M848</f>
        <v>0</v>
      </c>
      <c r="AR848" s="28"/>
      <c r="AS848" s="28" t="n">
        <f aca="false">AR848*$M848</f>
        <v>0</v>
      </c>
      <c r="AT848" s="28"/>
      <c r="AU848" s="28" t="n">
        <f aca="false">AT848*$M848</f>
        <v>0</v>
      </c>
      <c r="AV848" s="28"/>
      <c r="AW848" s="28" t="n">
        <f aca="false">AV848*$M848</f>
        <v>0</v>
      </c>
      <c r="AX848" s="28"/>
      <c r="AY848" s="28" t="n">
        <f aca="false">AX848*$M848</f>
        <v>0</v>
      </c>
      <c r="AZ848" s="30" t="n">
        <v>4120</v>
      </c>
      <c r="BA848" s="11" t="n">
        <v>32960</v>
      </c>
      <c r="BB848" s="31" t="n">
        <f aca="false">SUM(Q848,S848,U848,W848,Y848,AA848,AC848,AE848,AG848,AI848,AK848,AM848,AO848,AQ848,AS848,AU848,AW848,AY848)</f>
        <v>32960</v>
      </c>
      <c r="BC848" s="28" t="n">
        <f aca="false">BA848-BB848</f>
        <v>0</v>
      </c>
      <c r="BD848" s="32" t="n">
        <f aca="false">SUM(P848,R848,T848,V848,X848,Z848,AB848,AD848,AF848,AH848,AJ848,AL848,AN848,AP848,AR848,AT848,AV848,AX848)</f>
        <v>4120</v>
      </c>
      <c r="BE848" s="33" t="n">
        <f aca="false">AZ848-BD848</f>
        <v>0</v>
      </c>
      <c r="BF848" s="34" t="n">
        <f aca="false">BD848*M848</f>
        <v>32960</v>
      </c>
      <c r="BG848" s="35" t="n">
        <f aca="false">BA848-BF848</f>
        <v>0</v>
      </c>
      <c r="BH848" s="19" t="str">
        <f aca="false">IF(BG848=0,"",IF(BG848&lt;&gt;BA848,"erreur de calcul",IF(BD848&lt;&gt;0,"pas de prix",IF(M848&lt;&gt; 0,"pas de quantité","pas de prix, ni de quantité"))))</f>
        <v/>
      </c>
      <c r="BI848" s="19"/>
    </row>
    <row r="849" customFormat="false" ht="15" hidden="false" customHeight="false" outlineLevel="0" collapsed="false">
      <c r="A849" s="0" t="n">
        <v>20</v>
      </c>
      <c r="B849" s="8" t="s">
        <v>24</v>
      </c>
      <c r="C849" s="9" t="s">
        <v>25</v>
      </c>
      <c r="D849" s="9" t="s">
        <v>26</v>
      </c>
      <c r="E849" s="10" t="n">
        <v>1789</v>
      </c>
      <c r="F849" s="9" t="s">
        <v>27</v>
      </c>
      <c r="G849" s="9" t="s">
        <v>27</v>
      </c>
      <c r="H849" s="11" t="n">
        <v>22</v>
      </c>
      <c r="I849" s="11" t="s">
        <v>221</v>
      </c>
      <c r="J849" s="14"/>
      <c r="K849" s="14" t="n">
        <v>20</v>
      </c>
      <c r="L849" s="16"/>
      <c r="M849" s="27" t="n">
        <f aca="false">J849+(K849/20)+(L849/240)</f>
        <v>1</v>
      </c>
      <c r="N849" s="17" t="s">
        <v>66</v>
      </c>
      <c r="O849" s="11"/>
      <c r="P849" s="28" t="n">
        <v>1353</v>
      </c>
      <c r="Q849" s="28" t="n">
        <v>1353</v>
      </c>
      <c r="R849" s="28"/>
      <c r="S849" s="28" t="n">
        <f aca="false">R849*$M849</f>
        <v>0</v>
      </c>
      <c r="T849" s="28"/>
      <c r="U849" s="28" t="n">
        <f aca="false">T849*$M849</f>
        <v>0</v>
      </c>
      <c r="V849" s="28"/>
      <c r="W849" s="28" t="n">
        <f aca="false">V849*$M849</f>
        <v>0</v>
      </c>
      <c r="X849" s="28"/>
      <c r="Y849" s="28" t="n">
        <f aca="false">X849*$M849</f>
        <v>0</v>
      </c>
      <c r="Z849" s="28"/>
      <c r="AA849" s="28" t="n">
        <f aca="false">Z849*$M849</f>
        <v>0</v>
      </c>
      <c r="AB849" s="28"/>
      <c r="AC849" s="28" t="n">
        <f aca="false">AB849*$M849</f>
        <v>0</v>
      </c>
      <c r="AD849" s="28"/>
      <c r="AE849" s="28" t="n">
        <f aca="false">AD849*$M849</f>
        <v>0</v>
      </c>
      <c r="AF849" s="28"/>
      <c r="AG849" s="28" t="n">
        <f aca="false">AF849*$M849</f>
        <v>0</v>
      </c>
      <c r="AH849" s="28"/>
      <c r="AI849" s="28" t="n">
        <f aca="false">AH849*$M849</f>
        <v>0</v>
      </c>
      <c r="AJ849" s="28"/>
      <c r="AK849" s="28" t="n">
        <f aca="false">AJ849*$M849</f>
        <v>0</v>
      </c>
      <c r="AL849" s="28"/>
      <c r="AM849" s="28" t="n">
        <f aca="false">AL849*$M849</f>
        <v>0</v>
      </c>
      <c r="AN849" s="28"/>
      <c r="AO849" s="28" t="n">
        <f aca="false">AN849*$M849</f>
        <v>0</v>
      </c>
      <c r="AP849" s="28"/>
      <c r="AQ849" s="28" t="n">
        <f aca="false">AP849*$M849</f>
        <v>0</v>
      </c>
      <c r="AR849" s="28"/>
      <c r="AS849" s="28" t="n">
        <f aca="false">AR849*$M849</f>
        <v>0</v>
      </c>
      <c r="AT849" s="28"/>
      <c r="AU849" s="28" t="n">
        <f aca="false">AT849*$M849</f>
        <v>0</v>
      </c>
      <c r="AV849" s="28"/>
      <c r="AW849" s="28" t="n">
        <f aca="false">AV849*$M849</f>
        <v>0</v>
      </c>
      <c r="AX849" s="28"/>
      <c r="AY849" s="28" t="n">
        <f aca="false">AX849*$M849</f>
        <v>0</v>
      </c>
      <c r="AZ849" s="30" t="n">
        <v>1353</v>
      </c>
      <c r="BA849" s="11" t="n">
        <v>1353</v>
      </c>
      <c r="BB849" s="31" t="n">
        <f aca="false">SUM(Q849,S849,U849,W849,Y849,AA849,AC849,AE849,AG849,AI849,AK849,AM849,AO849,AQ849,AS849,AU849,AW849,AY849)</f>
        <v>1353</v>
      </c>
      <c r="BC849" s="28" t="n">
        <f aca="false">BA849-BB849</f>
        <v>0</v>
      </c>
      <c r="BD849" s="32" t="n">
        <f aca="false">SUM(P849,R849,T849,V849,X849,Z849,AB849,AD849,AF849,AH849,AJ849,AL849,AN849,AP849,AR849,AT849,AV849,AX849)</f>
        <v>1353</v>
      </c>
      <c r="BE849" s="33" t="n">
        <f aca="false">AZ849-BD849</f>
        <v>0</v>
      </c>
      <c r="BF849" s="34" t="n">
        <f aca="false">BD849*M849</f>
        <v>1353</v>
      </c>
      <c r="BG849" s="35" t="n">
        <f aca="false">BA849-BF849</f>
        <v>0</v>
      </c>
      <c r="BH849" s="19" t="str">
        <f aca="false">IF(BG849=0,"",IF(BG849&lt;&gt;BA849,"erreur de calcul",IF(BD849&lt;&gt;0,"pas de prix",IF(M849&lt;&gt; 0,"pas de quantité","pas de prix, ni de quantité"))))</f>
        <v/>
      </c>
      <c r="BI849" s="19"/>
    </row>
    <row r="850" customFormat="false" ht="15" hidden="false" customHeight="false" outlineLevel="0" collapsed="false">
      <c r="A850" s="0" t="n">
        <v>21</v>
      </c>
      <c r="B850" s="8" t="s">
        <v>24</v>
      </c>
      <c r="C850" s="9" t="s">
        <v>25</v>
      </c>
      <c r="D850" s="9" t="s">
        <v>26</v>
      </c>
      <c r="E850" s="10" t="n">
        <v>1789</v>
      </c>
      <c r="F850" s="9" t="s">
        <v>27</v>
      </c>
      <c r="G850" s="9" t="s">
        <v>27</v>
      </c>
      <c r="H850" s="11" t="n">
        <v>22</v>
      </c>
      <c r="I850" s="11" t="s">
        <v>222</v>
      </c>
      <c r="J850" s="14" t="n">
        <v>85</v>
      </c>
      <c r="K850" s="14"/>
      <c r="L850" s="16"/>
      <c r="M850" s="27" t="n">
        <f aca="false">J850+(K850/20)+(L850/240)</f>
        <v>85</v>
      </c>
      <c r="N850" s="17" t="s">
        <v>64</v>
      </c>
      <c r="O850" s="11"/>
      <c r="P850" s="28"/>
      <c r="Q850" s="28" t="n">
        <f aca="false">P850*$M850</f>
        <v>0</v>
      </c>
      <c r="R850" s="28"/>
      <c r="S850" s="28" t="n">
        <f aca="false">R850*$M850</f>
        <v>0</v>
      </c>
      <c r="T850" s="28" t="n">
        <f aca="false">10813/100</f>
        <v>108.13</v>
      </c>
      <c r="U850" s="28" t="n">
        <v>9191</v>
      </c>
      <c r="V850" s="28" t="n">
        <f aca="false">43400/100</f>
        <v>434</v>
      </c>
      <c r="W850" s="28" t="n">
        <v>36890</v>
      </c>
      <c r="X850" s="28" t="n">
        <f aca="false">702/100</f>
        <v>7.02</v>
      </c>
      <c r="Y850" s="28" t="n">
        <v>597</v>
      </c>
      <c r="Z850" s="28"/>
      <c r="AA850" s="28" t="n">
        <f aca="false">Z850*$M850</f>
        <v>0</v>
      </c>
      <c r="AB850" s="28" t="n">
        <f aca="false">171/100</f>
        <v>1.71</v>
      </c>
      <c r="AC850" s="28" t="n">
        <v>145</v>
      </c>
      <c r="AD850" s="28"/>
      <c r="AE850" s="28" t="n">
        <f aca="false">AD850*$M850</f>
        <v>0</v>
      </c>
      <c r="AF850" s="28"/>
      <c r="AG850" s="28" t="n">
        <f aca="false">AF850*$M850</f>
        <v>0</v>
      </c>
      <c r="AH850" s="28" t="n">
        <f aca="false">17388/100</f>
        <v>173.88</v>
      </c>
      <c r="AI850" s="28" t="n">
        <v>14780</v>
      </c>
      <c r="AJ850" s="28"/>
      <c r="AK850" s="28" t="n">
        <f aca="false">AJ850*$M850</f>
        <v>0</v>
      </c>
      <c r="AL850" s="28"/>
      <c r="AM850" s="28" t="n">
        <f aca="false">AL850*$M850</f>
        <v>0</v>
      </c>
      <c r="AN850" s="28"/>
      <c r="AO850" s="28" t="n">
        <f aca="false">AN850*$M850</f>
        <v>0</v>
      </c>
      <c r="AP850" s="28"/>
      <c r="AQ850" s="28" t="n">
        <f aca="false">AP850*$M850</f>
        <v>0</v>
      </c>
      <c r="AR850" s="28"/>
      <c r="AS850" s="28" t="n">
        <f aca="false">AR850*$M850</f>
        <v>0</v>
      </c>
      <c r="AT850" s="28"/>
      <c r="AU850" s="28" t="n">
        <f aca="false">AT850*$M850</f>
        <v>0</v>
      </c>
      <c r="AV850" s="28"/>
      <c r="AW850" s="28" t="n">
        <f aca="false">AV850*$M850</f>
        <v>0</v>
      </c>
      <c r="AX850" s="28"/>
      <c r="AY850" s="28" t="n">
        <f aca="false">AX850*$M850</f>
        <v>0</v>
      </c>
      <c r="AZ850" s="30" t="n">
        <f aca="false">72474/100</f>
        <v>724.74</v>
      </c>
      <c r="BA850" s="11" t="n">
        <v>61603</v>
      </c>
      <c r="BB850" s="31" t="n">
        <f aca="false">SUM(Q850,S850,U850,W850,Y850,AA850,AC850,AE850,AG850,AI850,AK850,AM850,AO850,AQ850,AS850,AU850,AW850,AY850)</f>
        <v>61603</v>
      </c>
      <c r="BC850" s="28" t="n">
        <f aca="false">BA850-BB850</f>
        <v>0</v>
      </c>
      <c r="BD850" s="32" t="n">
        <f aca="false">SUM(P850,R850,T850,V850,X850,Z850,AB850,AD850,AF850,AH850,AJ850,AL850,AN850,AP850,AR850,AT850,AV850,AX850)</f>
        <v>724.74</v>
      </c>
      <c r="BE850" s="33" t="n">
        <f aca="false">AZ850-BD850</f>
        <v>0</v>
      </c>
      <c r="BF850" s="34" t="n">
        <f aca="false">BD850*M850</f>
        <v>61602.9</v>
      </c>
      <c r="BG850" s="35" t="n">
        <f aca="false">BA850-BF850</f>
        <v>0.0999999999985448</v>
      </c>
      <c r="BH850" s="19" t="str">
        <f aca="false">IF(BG850=0,"",IF(BG850&lt;&gt;BA850,"erreur de calcul",IF(BD850&lt;&gt;0,"pas de prix",IF(M850&lt;&gt; 0,"pas de quantité","pas de prix, ni de quantité"))))</f>
        <v>erreur de calcul</v>
      </c>
      <c r="BI850" s="19"/>
    </row>
    <row r="851" customFormat="false" ht="15" hidden="false" customHeight="false" outlineLevel="0" collapsed="false">
      <c r="A851" s="0" t="n">
        <v>22</v>
      </c>
      <c r="B851" s="8" t="s">
        <v>24</v>
      </c>
      <c r="C851" s="9" t="s">
        <v>25</v>
      </c>
      <c r="D851" s="9" t="s">
        <v>26</v>
      </c>
      <c r="E851" s="10" t="n">
        <v>1789</v>
      </c>
      <c r="F851" s="9" t="s">
        <v>27</v>
      </c>
      <c r="G851" s="9" t="s">
        <v>27</v>
      </c>
      <c r="H851" s="11" t="n">
        <v>22</v>
      </c>
      <c r="I851" s="11" t="s">
        <v>223</v>
      </c>
      <c r="J851" s="14" t="n">
        <v>150</v>
      </c>
      <c r="K851" s="14"/>
      <c r="L851" s="16"/>
      <c r="M851" s="27" t="n">
        <f aca="false">J851+(K851/20)+(L851/240)</f>
        <v>150</v>
      </c>
      <c r="N851" s="17" t="s">
        <v>64</v>
      </c>
      <c r="O851" s="11"/>
      <c r="P851" s="28"/>
      <c r="Q851" s="28" t="n">
        <f aca="false">P851*$M851</f>
        <v>0</v>
      </c>
      <c r="R851" s="28"/>
      <c r="S851" s="28" t="n">
        <f aca="false">R851*$M851</f>
        <v>0</v>
      </c>
      <c r="T851" s="28"/>
      <c r="U851" s="28" t="n">
        <f aca="false">T851*$M851</f>
        <v>0</v>
      </c>
      <c r="V851" s="28" t="n">
        <f aca="false">1415/100</f>
        <v>14.15</v>
      </c>
      <c r="W851" s="28" t="n">
        <v>2122</v>
      </c>
      <c r="X851" s="28"/>
      <c r="Y851" s="28" t="n">
        <f aca="false">X851*$M851</f>
        <v>0</v>
      </c>
      <c r="Z851" s="28"/>
      <c r="AA851" s="28" t="n">
        <f aca="false">Z851*$M851</f>
        <v>0</v>
      </c>
      <c r="AB851" s="28" t="n">
        <f aca="false">1806/100</f>
        <v>18.06</v>
      </c>
      <c r="AC851" s="28" t="n">
        <v>2709</v>
      </c>
      <c r="AD851" s="28"/>
      <c r="AE851" s="28" t="n">
        <f aca="false">AD851*$M851</f>
        <v>0</v>
      </c>
      <c r="AF851" s="28"/>
      <c r="AG851" s="28" t="n">
        <f aca="false">AF851*$M851</f>
        <v>0</v>
      </c>
      <c r="AH851" s="28"/>
      <c r="AI851" s="28" t="n">
        <f aca="false">AH851*$M851</f>
        <v>0</v>
      </c>
      <c r="AJ851" s="28"/>
      <c r="AK851" s="28" t="n">
        <f aca="false">AJ851*$M851</f>
        <v>0</v>
      </c>
      <c r="AL851" s="28"/>
      <c r="AM851" s="28" t="n">
        <f aca="false">AL851*$M851</f>
        <v>0</v>
      </c>
      <c r="AN851" s="28"/>
      <c r="AO851" s="28" t="n">
        <f aca="false">AN851*$M851</f>
        <v>0</v>
      </c>
      <c r="AP851" s="28"/>
      <c r="AQ851" s="28" t="n">
        <f aca="false">AP851*$M851</f>
        <v>0</v>
      </c>
      <c r="AR851" s="28"/>
      <c r="AS851" s="28" t="n">
        <f aca="false">AR851*$M851</f>
        <v>0</v>
      </c>
      <c r="AT851" s="28"/>
      <c r="AU851" s="28" t="n">
        <f aca="false">AT851*$M851</f>
        <v>0</v>
      </c>
      <c r="AV851" s="28"/>
      <c r="AW851" s="28" t="n">
        <f aca="false">AV851*$M851</f>
        <v>0</v>
      </c>
      <c r="AX851" s="28"/>
      <c r="AY851" s="28" t="n">
        <f aca="false">AX851*$M851</f>
        <v>0</v>
      </c>
      <c r="AZ851" s="30" t="n">
        <f aca="false">3221/100</f>
        <v>32.21</v>
      </c>
      <c r="BA851" s="11" t="n">
        <v>4831</v>
      </c>
      <c r="BB851" s="31" t="n">
        <f aca="false">SUM(Q851,S851,U851,W851,Y851,AA851,AC851,AE851,AG851,AI851,AK851,AM851,AO851,AQ851,AS851,AU851,AW851,AY851)</f>
        <v>4831</v>
      </c>
      <c r="BC851" s="28" t="n">
        <f aca="false">BA851-BB851</f>
        <v>0</v>
      </c>
      <c r="BD851" s="32" t="n">
        <f aca="false">SUM(P851,R851,T851,V851,X851,Z851,AB851,AD851,AF851,AH851,AJ851,AL851,AN851,AP851,AR851,AT851,AV851,AX851)</f>
        <v>32.21</v>
      </c>
      <c r="BE851" s="33" t="n">
        <f aca="false">AZ851-BD851</f>
        <v>0</v>
      </c>
      <c r="BF851" s="34" t="n">
        <f aca="false">BD851*M851</f>
        <v>4831.5</v>
      </c>
      <c r="BG851" s="35" t="n">
        <f aca="false">BA851-BF851</f>
        <v>-0.5</v>
      </c>
      <c r="BH851" s="19" t="str">
        <f aca="false">IF(BG851=0,"",IF(BG851&lt;&gt;BA851,"erreur de calcul",IF(BD851&lt;&gt;0,"pas de prix",IF(M851&lt;&gt; 0,"pas de quantité","pas de prix, ni de quantité"))))</f>
        <v>erreur de calcul</v>
      </c>
      <c r="BI851" s="19"/>
    </row>
    <row r="852" customFormat="false" ht="15" hidden="false" customHeight="false" outlineLevel="0" collapsed="false">
      <c r="A852" s="0" t="n">
        <v>23</v>
      </c>
      <c r="B852" s="8" t="s">
        <v>24</v>
      </c>
      <c r="C852" s="9" t="s">
        <v>25</v>
      </c>
      <c r="D852" s="9" t="s">
        <v>26</v>
      </c>
      <c r="E852" s="10" t="n">
        <v>1789</v>
      </c>
      <c r="F852" s="9" t="s">
        <v>27</v>
      </c>
      <c r="G852" s="9" t="s">
        <v>27</v>
      </c>
      <c r="H852" s="11" t="n">
        <v>22</v>
      </c>
      <c r="I852" s="11" t="s">
        <v>224</v>
      </c>
      <c r="J852" s="14"/>
      <c r="K852" s="14"/>
      <c r="L852" s="16"/>
      <c r="M852" s="27" t="n">
        <f aca="false">J852+(K852/20)+(L852/240)</f>
        <v>0</v>
      </c>
      <c r="N852" s="17" t="s">
        <v>225</v>
      </c>
      <c r="O852" s="11"/>
      <c r="P852" s="28" t="n">
        <f aca="false">2+121/288</f>
        <v>2.42013888888889</v>
      </c>
      <c r="Q852" s="28" t="n">
        <v>275</v>
      </c>
      <c r="R852" s="28"/>
      <c r="S852" s="28" t="n">
        <f aca="false">R852*$M852</f>
        <v>0</v>
      </c>
      <c r="T852" s="28"/>
      <c r="U852" s="28" t="n">
        <f aca="false">T852*$M852</f>
        <v>0</v>
      </c>
      <c r="V852" s="28"/>
      <c r="W852" s="28" t="n">
        <f aca="false">V852*$M852</f>
        <v>0</v>
      </c>
      <c r="X852" s="28"/>
      <c r="Y852" s="28" t="n">
        <f aca="false">X852*$M852</f>
        <v>0</v>
      </c>
      <c r="Z852" s="28"/>
      <c r="AA852" s="28" t="n">
        <f aca="false">Z852*$M852</f>
        <v>0</v>
      </c>
      <c r="AB852" s="28"/>
      <c r="AC852" s="28" t="n">
        <f aca="false">AB852*$M852</f>
        <v>0</v>
      </c>
      <c r="AD852" s="28"/>
      <c r="AE852" s="28" t="n">
        <f aca="false">AD852*$M852</f>
        <v>0</v>
      </c>
      <c r="AF852" s="28"/>
      <c r="AG852" s="28" t="n">
        <f aca="false">AF852*$M852</f>
        <v>0</v>
      </c>
      <c r="AH852" s="28"/>
      <c r="AI852" s="28" t="n">
        <f aca="false">AH852*$M852</f>
        <v>0</v>
      </c>
      <c r="AJ852" s="28"/>
      <c r="AK852" s="28" t="n">
        <f aca="false">AJ852*$M852</f>
        <v>0</v>
      </c>
      <c r="AL852" s="28"/>
      <c r="AM852" s="28" t="n">
        <f aca="false">AL852*$M852</f>
        <v>0</v>
      </c>
      <c r="AN852" s="28"/>
      <c r="AO852" s="28" t="n">
        <f aca="false">AN852*$M852</f>
        <v>0</v>
      </c>
      <c r="AP852" s="28"/>
      <c r="AQ852" s="28" t="n">
        <f aca="false">AP852*$M852</f>
        <v>0</v>
      </c>
      <c r="AR852" s="28"/>
      <c r="AS852" s="28" t="n">
        <f aca="false">AR852*$M852</f>
        <v>0</v>
      </c>
      <c r="AT852" s="28"/>
      <c r="AU852" s="28" t="n">
        <f aca="false">AT852*$M852</f>
        <v>0</v>
      </c>
      <c r="AV852" s="28"/>
      <c r="AW852" s="28" t="n">
        <f aca="false">AV852*$M852</f>
        <v>0</v>
      </c>
      <c r="AX852" s="28"/>
      <c r="AY852" s="28" t="n">
        <f aca="false">AX852*$M852</f>
        <v>0</v>
      </c>
      <c r="AZ852" s="30" t="n">
        <f aca="false">2+121/288</f>
        <v>2.42013888888889</v>
      </c>
      <c r="BA852" s="11" t="n">
        <v>275</v>
      </c>
      <c r="BB852" s="31" t="n">
        <f aca="false">SUM(Q852,S852,U852,W852,Y852,AA852,AC852,AE852,AG852,AI852,AK852,AM852,AO852,AQ852,AS852,AU852,AW852,AY852)</f>
        <v>275</v>
      </c>
      <c r="BC852" s="28" t="n">
        <f aca="false">BA852-BB852</f>
        <v>0</v>
      </c>
      <c r="BD852" s="32" t="n">
        <f aca="false">SUM(P852,R852,T852,V852,X852,Z852,AB852,AD852,AF852,AH852,AJ852,AL852,AN852,AP852,AR852,AT852,AV852,AX852)</f>
        <v>2.42013888888889</v>
      </c>
      <c r="BE852" s="33" t="n">
        <f aca="false">AZ852-BD852</f>
        <v>0</v>
      </c>
      <c r="BF852" s="34" t="n">
        <f aca="false">BD852*M852</f>
        <v>0</v>
      </c>
      <c r="BG852" s="35" t="n">
        <f aca="false">BA852-BF852</f>
        <v>275</v>
      </c>
      <c r="BH852" s="19" t="str">
        <f aca="false">IF(BG852=0,"",IF(BG852&lt;&gt;BA852,"erreur de calcul",IF(BD852&lt;&gt;0,"pas de prix",IF(M852&lt;&gt; 0,"pas de quantité","pas de prix, ni de quantité"))))</f>
        <v>pas de prix</v>
      </c>
      <c r="BI852" s="19" t="s">
        <v>226</v>
      </c>
    </row>
    <row r="853" customFormat="false" ht="15" hidden="false" customHeight="false" outlineLevel="0" collapsed="false">
      <c r="A853" s="0" t="n">
        <v>24</v>
      </c>
      <c r="B853" s="8" t="s">
        <v>24</v>
      </c>
      <c r="C853" s="9" t="s">
        <v>25</v>
      </c>
      <c r="D853" s="9" t="s">
        <v>26</v>
      </c>
      <c r="E853" s="10" t="n">
        <v>1789</v>
      </c>
      <c r="F853" s="9" t="s">
        <v>27</v>
      </c>
      <c r="G853" s="9" t="s">
        <v>27</v>
      </c>
      <c r="H853" s="11" t="n">
        <v>22</v>
      </c>
      <c r="I853" s="11" t="s">
        <v>227</v>
      </c>
      <c r="J853" s="14" t="n">
        <v>8</v>
      </c>
      <c r="K853" s="14"/>
      <c r="L853" s="16"/>
      <c r="M853" s="27" t="n">
        <f aca="false">J853+(K853/20)+(L853/240)</f>
        <v>8</v>
      </c>
      <c r="N853" s="17" t="s">
        <v>64</v>
      </c>
      <c r="O853" s="11" t="s">
        <v>77</v>
      </c>
      <c r="P853" s="28" t="n">
        <f aca="false">267216/100</f>
        <v>2672.16</v>
      </c>
      <c r="Q853" s="28" t="n">
        <v>21377</v>
      </c>
      <c r="R853" s="28"/>
      <c r="S853" s="28" t="n">
        <f aca="false">R853*$M853</f>
        <v>0</v>
      </c>
      <c r="T853" s="28"/>
      <c r="U853" s="28" t="n">
        <f aca="false">T853*$M853</f>
        <v>0</v>
      </c>
      <c r="V853" s="28"/>
      <c r="W853" s="28" t="n">
        <f aca="false">V853*$M853</f>
        <v>0</v>
      </c>
      <c r="X853" s="28"/>
      <c r="Y853" s="28" t="n">
        <f aca="false">X853*$M853</f>
        <v>0</v>
      </c>
      <c r="Z853" s="28"/>
      <c r="AA853" s="28" t="n">
        <f aca="false">Z853*$M853</f>
        <v>0</v>
      </c>
      <c r="AB853" s="28" t="n">
        <f aca="false">3334/100</f>
        <v>33.34</v>
      </c>
      <c r="AC853" s="28" t="n">
        <v>267</v>
      </c>
      <c r="AD853" s="28"/>
      <c r="AE853" s="28" t="n">
        <f aca="false">AD853*$M853</f>
        <v>0</v>
      </c>
      <c r="AF853" s="28"/>
      <c r="AG853" s="28" t="n">
        <f aca="false">AF853*$M853</f>
        <v>0</v>
      </c>
      <c r="AH853" s="28"/>
      <c r="AI853" s="28" t="n">
        <f aca="false">AH853*$M853</f>
        <v>0</v>
      </c>
      <c r="AJ853" s="28"/>
      <c r="AK853" s="28" t="n">
        <f aca="false">AJ853*$M853</f>
        <v>0</v>
      </c>
      <c r="AL853" s="28"/>
      <c r="AM853" s="28" t="n">
        <f aca="false">AL853*$M853</f>
        <v>0</v>
      </c>
      <c r="AN853" s="28"/>
      <c r="AO853" s="28" t="n">
        <f aca="false">AN853*$M853</f>
        <v>0</v>
      </c>
      <c r="AP853" s="28"/>
      <c r="AQ853" s="28" t="n">
        <f aca="false">AP853*$M853</f>
        <v>0</v>
      </c>
      <c r="AR853" s="28"/>
      <c r="AS853" s="28" t="n">
        <f aca="false">AR853*$M853</f>
        <v>0</v>
      </c>
      <c r="AT853" s="28"/>
      <c r="AU853" s="28" t="n">
        <f aca="false">AT853*$M853</f>
        <v>0</v>
      </c>
      <c r="AV853" s="28"/>
      <c r="AW853" s="28" t="n">
        <f aca="false">AV853*$M853</f>
        <v>0</v>
      </c>
      <c r="AX853" s="28"/>
      <c r="AY853" s="28" t="n">
        <f aca="false">AX853*$M853</f>
        <v>0</v>
      </c>
      <c r="AZ853" s="30" t="n">
        <f aca="false">270550/100</f>
        <v>2705.5</v>
      </c>
      <c r="BA853" s="11" t="n">
        <v>21644</v>
      </c>
      <c r="BB853" s="31" t="n">
        <f aca="false">SUM(Q853,S853,U853,W853,Y853,AA853,AC853,AE853,AG853,AI853,AK853,AM853,AO853,AQ853,AS853,AU853,AW853,AY853)</f>
        <v>21644</v>
      </c>
      <c r="BC853" s="28" t="n">
        <f aca="false">BA853-BB853</f>
        <v>0</v>
      </c>
      <c r="BD853" s="32" t="n">
        <f aca="false">SUM(P853,R853,T853,V853,X853,Z853,AB853,AD853,AF853,AH853,AJ853,AL853,AN853,AP853,AR853,AT853,AV853,AX853)</f>
        <v>2705.5</v>
      </c>
      <c r="BE853" s="33" t="n">
        <f aca="false">AZ853-BD853</f>
        <v>0</v>
      </c>
      <c r="BF853" s="34" t="n">
        <f aca="false">BD853*M853</f>
        <v>21644</v>
      </c>
      <c r="BG853" s="35" t="n">
        <f aca="false">BA853-BF853</f>
        <v>0</v>
      </c>
      <c r="BH853" s="19" t="str">
        <f aca="false">IF(BG853=0,"",IF(BG853&lt;&gt;BA853,"erreur de calcul",IF(BD853&lt;&gt;0,"pas de prix",IF(M853&lt;&gt; 0,"pas de quantité","pas de prix, ni de quantité"))))</f>
        <v/>
      </c>
      <c r="BI853" s="19"/>
    </row>
    <row r="854" customFormat="false" ht="15" hidden="false" customHeight="false" outlineLevel="0" collapsed="false">
      <c r="A854" s="0" t="n">
        <v>25</v>
      </c>
      <c r="B854" s="8" t="s">
        <v>24</v>
      </c>
      <c r="C854" s="9" t="s">
        <v>25</v>
      </c>
      <c r="D854" s="9" t="s">
        <v>26</v>
      </c>
      <c r="E854" s="10" t="n">
        <v>1789</v>
      </c>
      <c r="F854" s="9" t="s">
        <v>27</v>
      </c>
      <c r="G854" s="9" t="s">
        <v>27</v>
      </c>
      <c r="H854" s="11" t="n">
        <v>22</v>
      </c>
      <c r="I854" s="11" t="s">
        <v>228</v>
      </c>
      <c r="J854" s="14" t="n">
        <v>11</v>
      </c>
      <c r="K854" s="14"/>
      <c r="L854" s="16"/>
      <c r="M854" s="27" t="n">
        <f aca="false">J854+(K854/20)+(L854/240)</f>
        <v>11</v>
      </c>
      <c r="N854" s="17" t="s">
        <v>66</v>
      </c>
      <c r="O854" s="11"/>
      <c r="P854" s="28"/>
      <c r="Q854" s="28" t="n">
        <f aca="false">P854*$M854</f>
        <v>0</v>
      </c>
      <c r="R854" s="28" t="n">
        <v>2017</v>
      </c>
      <c r="S854" s="28" t="n">
        <v>22187</v>
      </c>
      <c r="T854" s="28"/>
      <c r="U854" s="28" t="n">
        <f aca="false">T854*$M854</f>
        <v>0</v>
      </c>
      <c r="V854" s="28"/>
      <c r="W854" s="28" t="n">
        <f aca="false">V854*$M854</f>
        <v>0</v>
      </c>
      <c r="X854" s="28" t="n">
        <v>3804</v>
      </c>
      <c r="Y854" s="28" t="n">
        <v>41844</v>
      </c>
      <c r="Z854" s="28"/>
      <c r="AA854" s="28" t="n">
        <f aca="false">Z854*$M854</f>
        <v>0</v>
      </c>
      <c r="AB854" s="28"/>
      <c r="AC854" s="28" t="n">
        <f aca="false">AB854*$M854</f>
        <v>0</v>
      </c>
      <c r="AD854" s="28"/>
      <c r="AE854" s="28" t="n">
        <f aca="false">AD854*$M854</f>
        <v>0</v>
      </c>
      <c r="AF854" s="28"/>
      <c r="AG854" s="28" t="n">
        <f aca="false">AF854*$M854</f>
        <v>0</v>
      </c>
      <c r="AH854" s="28" t="n">
        <v>117</v>
      </c>
      <c r="AI854" s="28" t="n">
        <v>1287</v>
      </c>
      <c r="AJ854" s="28" t="n">
        <v>8694</v>
      </c>
      <c r="AK854" s="28" t="n">
        <v>95634</v>
      </c>
      <c r="AL854" s="28"/>
      <c r="AM854" s="28" t="n">
        <f aca="false">AL854*$M854</f>
        <v>0</v>
      </c>
      <c r="AN854" s="28" t="n">
        <v>5697</v>
      </c>
      <c r="AO854" s="28" t="n">
        <v>62667</v>
      </c>
      <c r="AP854" s="28"/>
      <c r="AQ854" s="28" t="n">
        <f aca="false">AP854*$M854</f>
        <v>0</v>
      </c>
      <c r="AR854" s="28"/>
      <c r="AS854" s="28" t="n">
        <f aca="false">AR854*$M854</f>
        <v>0</v>
      </c>
      <c r="AT854" s="28"/>
      <c r="AU854" s="28" t="n">
        <f aca="false">AT854*$M854</f>
        <v>0</v>
      </c>
      <c r="AV854" s="28"/>
      <c r="AW854" s="28" t="n">
        <f aca="false">AV854*$M854</f>
        <v>0</v>
      </c>
      <c r="AX854" s="28"/>
      <c r="AY854" s="28" t="n">
        <f aca="false">AX854*$M854</f>
        <v>0</v>
      </c>
      <c r="AZ854" s="30" t="n">
        <v>20329</v>
      </c>
      <c r="BA854" s="11" t="n">
        <v>223619</v>
      </c>
      <c r="BB854" s="31" t="n">
        <f aca="false">SUM(Q854,S854,U854,W854,Y854,AA854,AC854,AE854,AG854,AI854,AK854,AM854,AO854,AQ854,AS854,AU854,AW854,AY854)</f>
        <v>223619</v>
      </c>
      <c r="BC854" s="28" t="n">
        <f aca="false">BA854-BB854</f>
        <v>0</v>
      </c>
      <c r="BD854" s="32" t="n">
        <f aca="false">SUM(P854,R854,T854,V854,X854,Z854,AB854,AD854,AF854,AH854,AJ854,AL854,AN854,AP854,AR854,AT854,AV854,AX854)</f>
        <v>20329</v>
      </c>
      <c r="BE854" s="33" t="n">
        <f aca="false">AZ854-BD854</f>
        <v>0</v>
      </c>
      <c r="BF854" s="34" t="n">
        <f aca="false">BD854*M854</f>
        <v>223619</v>
      </c>
      <c r="BG854" s="35" t="n">
        <f aca="false">BA854-BF854</f>
        <v>0</v>
      </c>
      <c r="BH854" s="19" t="str">
        <f aca="false">IF(BG854=0,"",IF(BG854&lt;&gt;BA854,"erreur de calcul",IF(BD854&lt;&gt;0,"pas de prix",IF(M854&lt;&gt; 0,"pas de quantité","pas de prix, ni de quantité"))))</f>
        <v/>
      </c>
      <c r="BI854" s="19"/>
    </row>
    <row r="855" customFormat="false" ht="15" hidden="false" customHeight="false" outlineLevel="0" collapsed="false">
      <c r="A855" s="0" t="n">
        <v>26</v>
      </c>
      <c r="B855" s="8" t="s">
        <v>24</v>
      </c>
      <c r="C855" s="9" t="s">
        <v>25</v>
      </c>
      <c r="D855" s="9" t="s">
        <v>26</v>
      </c>
      <c r="E855" s="10" t="n">
        <v>1789</v>
      </c>
      <c r="F855" s="9" t="s">
        <v>27</v>
      </c>
      <c r="G855" s="9" t="s">
        <v>27</v>
      </c>
      <c r="H855" s="11" t="n">
        <v>22</v>
      </c>
      <c r="I855" s="11" t="s">
        <v>229</v>
      </c>
      <c r="J855" s="14" t="n">
        <v>5</v>
      </c>
      <c r="K855" s="14"/>
      <c r="L855" s="16"/>
      <c r="M855" s="27" t="n">
        <f aca="false">J855+(K855/20)+(L855/240)</f>
        <v>5</v>
      </c>
      <c r="N855" s="17" t="s">
        <v>66</v>
      </c>
      <c r="O855" s="11"/>
      <c r="P855" s="28"/>
      <c r="Q855" s="28" t="n">
        <f aca="false">P855*$M855</f>
        <v>0</v>
      </c>
      <c r="R855" s="28" t="n">
        <v>4117</v>
      </c>
      <c r="S855" s="28" t="n">
        <v>20585</v>
      </c>
      <c r="T855" s="28"/>
      <c r="U855" s="28" t="n">
        <f aca="false">T855*$M855</f>
        <v>0</v>
      </c>
      <c r="V855" s="28"/>
      <c r="W855" s="28" t="n">
        <f aca="false">V855*$M855</f>
        <v>0</v>
      </c>
      <c r="X855" s="28"/>
      <c r="Y855" s="28" t="n">
        <f aca="false">X855*$M855</f>
        <v>0</v>
      </c>
      <c r="Z855" s="28"/>
      <c r="AA855" s="28" t="n">
        <f aca="false">Z855*$M855</f>
        <v>0</v>
      </c>
      <c r="AB855" s="28"/>
      <c r="AC855" s="28" t="n">
        <f aca="false">AB855*$M855</f>
        <v>0</v>
      </c>
      <c r="AD855" s="28"/>
      <c r="AE855" s="28" t="n">
        <f aca="false">AD855*$M855</f>
        <v>0</v>
      </c>
      <c r="AF855" s="28"/>
      <c r="AG855" s="28" t="n">
        <f aca="false">AF855*$M855</f>
        <v>0</v>
      </c>
      <c r="AH855" s="28"/>
      <c r="AI855" s="28" t="n">
        <f aca="false">AH855*$M855</f>
        <v>0</v>
      </c>
      <c r="AJ855" s="28"/>
      <c r="AK855" s="28" t="n">
        <f aca="false">AJ855*$M855</f>
        <v>0</v>
      </c>
      <c r="AL855" s="28"/>
      <c r="AM855" s="28" t="n">
        <f aca="false">AL855*$M855</f>
        <v>0</v>
      </c>
      <c r="AN855" s="28"/>
      <c r="AO855" s="28" t="n">
        <f aca="false">AN855*$M855</f>
        <v>0</v>
      </c>
      <c r="AP855" s="28"/>
      <c r="AQ855" s="28" t="n">
        <f aca="false">AP855*$M855</f>
        <v>0</v>
      </c>
      <c r="AR855" s="28"/>
      <c r="AS855" s="28" t="n">
        <f aca="false">AR855*$M855</f>
        <v>0</v>
      </c>
      <c r="AT855" s="28"/>
      <c r="AU855" s="28" t="n">
        <f aca="false">AT855*$M855</f>
        <v>0</v>
      </c>
      <c r="AV855" s="28"/>
      <c r="AW855" s="28" t="n">
        <f aca="false">AV855*$M855</f>
        <v>0</v>
      </c>
      <c r="AX855" s="28"/>
      <c r="AY855" s="28" t="n">
        <f aca="false">AX855*$M855</f>
        <v>0</v>
      </c>
      <c r="AZ855" s="30" t="n">
        <v>4117</v>
      </c>
      <c r="BA855" s="11" t="n">
        <v>20585</v>
      </c>
      <c r="BB855" s="31" t="n">
        <f aca="false">SUM(Q855,S855,U855,W855,Y855,AA855,AC855,AE855,AG855,AI855,AK855,AM855,AO855,AQ855,AS855,AU855,AW855,AY855)</f>
        <v>20585</v>
      </c>
      <c r="BC855" s="28" t="n">
        <f aca="false">BA855-BB855</f>
        <v>0</v>
      </c>
      <c r="BD855" s="32" t="n">
        <f aca="false">SUM(P855,R855,T855,V855,X855,Z855,AB855,AD855,AF855,AH855,AJ855,AL855,AN855,AP855,AR855,AT855,AV855,AX855)</f>
        <v>4117</v>
      </c>
      <c r="BE855" s="33" t="n">
        <f aca="false">AZ855-BD855</f>
        <v>0</v>
      </c>
      <c r="BF855" s="34" t="n">
        <f aca="false">BD855*M855</f>
        <v>20585</v>
      </c>
      <c r="BG855" s="35" t="n">
        <f aca="false">BA855-BF855</f>
        <v>0</v>
      </c>
      <c r="BH855" s="19" t="str">
        <f aca="false">IF(BG855=0,"",IF(BG855&lt;&gt;BA855,"erreur de calcul",IF(BD855&lt;&gt;0,"pas de prix",IF(M855&lt;&gt; 0,"pas de quantité","pas de prix, ni de quantité"))))</f>
        <v/>
      </c>
      <c r="BI855" s="19"/>
    </row>
    <row r="856" customFormat="false" ht="15" hidden="false" customHeight="false" outlineLevel="0" collapsed="false">
      <c r="A856" s="0" t="n">
        <v>27</v>
      </c>
      <c r="B856" s="8" t="s">
        <v>24</v>
      </c>
      <c r="C856" s="9" t="s">
        <v>25</v>
      </c>
      <c r="D856" s="9" t="s">
        <v>26</v>
      </c>
      <c r="E856" s="10" t="n">
        <v>1789</v>
      </c>
      <c r="F856" s="9" t="s">
        <v>27</v>
      </c>
      <c r="G856" s="9" t="s">
        <v>27</v>
      </c>
      <c r="H856" s="11" t="n">
        <v>22</v>
      </c>
      <c r="I856" s="11" t="s">
        <v>230</v>
      </c>
      <c r="J856" s="14" t="n">
        <v>11</v>
      </c>
      <c r="K856" s="14"/>
      <c r="L856" s="16"/>
      <c r="M856" s="27" t="n">
        <f aca="false">J856+(K856/20)+(L856/240)</f>
        <v>11</v>
      </c>
      <c r="N856" s="17" t="s">
        <v>66</v>
      </c>
      <c r="O856" s="11"/>
      <c r="P856" s="28"/>
      <c r="Q856" s="28" t="n">
        <f aca="false">P856*$M856</f>
        <v>0</v>
      </c>
      <c r="R856" s="28"/>
      <c r="S856" s="28" t="n">
        <f aca="false">R856*$M856</f>
        <v>0</v>
      </c>
      <c r="T856" s="28"/>
      <c r="U856" s="28" t="n">
        <f aca="false">T856*$M856</f>
        <v>0</v>
      </c>
      <c r="V856" s="28"/>
      <c r="W856" s="28" t="n">
        <f aca="false">V856*$M856</f>
        <v>0</v>
      </c>
      <c r="X856" s="28"/>
      <c r="Y856" s="28" t="n">
        <f aca="false">X856*$M856</f>
        <v>0</v>
      </c>
      <c r="Z856" s="28"/>
      <c r="AA856" s="28" t="n">
        <f aca="false">Z856*$M856</f>
        <v>0</v>
      </c>
      <c r="AB856" s="28"/>
      <c r="AC856" s="28" t="n">
        <f aca="false">AB856*$M856</f>
        <v>0</v>
      </c>
      <c r="AD856" s="28"/>
      <c r="AE856" s="28" t="n">
        <f aca="false">AD856*$M856</f>
        <v>0</v>
      </c>
      <c r="AF856" s="28"/>
      <c r="AG856" s="28" t="n">
        <f aca="false">AF856*$M856</f>
        <v>0</v>
      </c>
      <c r="AH856" s="28"/>
      <c r="AI856" s="28" t="n">
        <f aca="false">AH856*$M856</f>
        <v>0</v>
      </c>
      <c r="AJ856" s="28" t="n">
        <v>34854</v>
      </c>
      <c r="AK856" s="28" t="n">
        <v>383394</v>
      </c>
      <c r="AL856" s="28"/>
      <c r="AM856" s="28" t="n">
        <f aca="false">AL856*$M856</f>
        <v>0</v>
      </c>
      <c r="AN856" s="28"/>
      <c r="AO856" s="28" t="n">
        <f aca="false">AN856*$M856</f>
        <v>0</v>
      </c>
      <c r="AP856" s="28"/>
      <c r="AQ856" s="28" t="n">
        <f aca="false">AP856*$M856</f>
        <v>0</v>
      </c>
      <c r="AR856" s="28"/>
      <c r="AS856" s="28" t="n">
        <f aca="false">AR856*$M856</f>
        <v>0</v>
      </c>
      <c r="AT856" s="28"/>
      <c r="AU856" s="28" t="n">
        <f aca="false">AT856*$M856</f>
        <v>0</v>
      </c>
      <c r="AV856" s="28"/>
      <c r="AW856" s="28" t="n">
        <f aca="false">AV856*$M856</f>
        <v>0</v>
      </c>
      <c r="AX856" s="28"/>
      <c r="AY856" s="28" t="n">
        <f aca="false">AX856*$M856</f>
        <v>0</v>
      </c>
      <c r="AZ856" s="30" t="n">
        <v>34854</v>
      </c>
      <c r="BA856" s="11" t="n">
        <v>383394</v>
      </c>
      <c r="BB856" s="31" t="n">
        <f aca="false">SUM(Q856,S856,U856,W856,Y856,AA856,AC856,AE856,AG856,AI856,AK856,AM856,AO856,AQ856,AS856,AU856,AW856,AY856)</f>
        <v>383394</v>
      </c>
      <c r="BC856" s="28" t="n">
        <f aca="false">BA856-BB856</f>
        <v>0</v>
      </c>
      <c r="BD856" s="32" t="n">
        <f aca="false">SUM(P856,R856,T856,V856,X856,Z856,AB856,AD856,AF856,AH856,AJ856,AL856,AN856,AP856,AR856,AT856,AV856,AX856)</f>
        <v>34854</v>
      </c>
      <c r="BE856" s="33" t="n">
        <f aca="false">AZ856-BD856</f>
        <v>0</v>
      </c>
      <c r="BF856" s="34" t="n">
        <f aca="false">BD856*M856</f>
        <v>383394</v>
      </c>
      <c r="BG856" s="35" t="n">
        <f aca="false">BA856-BF856</f>
        <v>0</v>
      </c>
      <c r="BH856" s="19" t="str">
        <f aca="false">IF(BG856=0,"",IF(BG856&lt;&gt;BA856,"erreur de calcul",IF(BD856&lt;&gt;0,"pas de prix",IF(M856&lt;&gt; 0,"pas de quantité","pas de prix, ni de quantité"))))</f>
        <v/>
      </c>
      <c r="BI856" s="19"/>
    </row>
    <row r="857" customFormat="false" ht="15" hidden="false" customHeight="false" outlineLevel="0" collapsed="false">
      <c r="A857" s="0" t="n">
        <v>28</v>
      </c>
      <c r="B857" s="8" t="s">
        <v>24</v>
      </c>
      <c r="C857" s="9" t="s">
        <v>25</v>
      </c>
      <c r="D857" s="9" t="s">
        <v>26</v>
      </c>
      <c r="E857" s="10" t="n">
        <v>1789</v>
      </c>
      <c r="F857" s="9" t="s">
        <v>27</v>
      </c>
      <c r="G857" s="9" t="s">
        <v>27</v>
      </c>
      <c r="H857" s="11" t="n">
        <v>22</v>
      </c>
      <c r="I857" s="11" t="s">
        <v>231</v>
      </c>
      <c r="J857" s="14" t="n">
        <v>18</v>
      </c>
      <c r="K857" s="14"/>
      <c r="L857" s="16"/>
      <c r="M857" s="27" t="n">
        <f aca="false">J857+(K857/20)+(L857/240)</f>
        <v>18</v>
      </c>
      <c r="N857" s="17" t="s">
        <v>66</v>
      </c>
      <c r="O857" s="11"/>
      <c r="P857" s="28"/>
      <c r="Q857" s="28" t="n">
        <f aca="false">P857*$M857</f>
        <v>0</v>
      </c>
      <c r="R857" s="28"/>
      <c r="S857" s="28" t="n">
        <f aca="false">R857*$M857</f>
        <v>0</v>
      </c>
      <c r="T857" s="28"/>
      <c r="U857" s="28" t="n">
        <f aca="false">T857*$M857</f>
        <v>0</v>
      </c>
      <c r="V857" s="28"/>
      <c r="W857" s="28" t="n">
        <f aca="false">V857*$M857</f>
        <v>0</v>
      </c>
      <c r="X857" s="28"/>
      <c r="Y857" s="28" t="n">
        <f aca="false">X857*$M857</f>
        <v>0</v>
      </c>
      <c r="Z857" s="28"/>
      <c r="AA857" s="28" t="n">
        <f aca="false">Z857*$M857</f>
        <v>0</v>
      </c>
      <c r="AB857" s="28"/>
      <c r="AC857" s="28" t="n">
        <f aca="false">AB857*$M857</f>
        <v>0</v>
      </c>
      <c r="AD857" s="28"/>
      <c r="AE857" s="28" t="n">
        <f aca="false">AD857*$M857</f>
        <v>0</v>
      </c>
      <c r="AF857" s="28"/>
      <c r="AG857" s="28" t="n">
        <f aca="false">AF857*$M857</f>
        <v>0</v>
      </c>
      <c r="AH857" s="28"/>
      <c r="AI857" s="28" t="n">
        <f aca="false">AH857*$M857</f>
        <v>0</v>
      </c>
      <c r="AJ857" s="28" t="n">
        <v>623</v>
      </c>
      <c r="AK857" s="28" t="n">
        <v>11214</v>
      </c>
      <c r="AL857" s="28"/>
      <c r="AM857" s="28" t="n">
        <f aca="false">AL857*$M857</f>
        <v>0</v>
      </c>
      <c r="AN857" s="28"/>
      <c r="AO857" s="28" t="n">
        <f aca="false">AN857*$M857</f>
        <v>0</v>
      </c>
      <c r="AP857" s="28"/>
      <c r="AQ857" s="28" t="n">
        <f aca="false">AP857*$M857</f>
        <v>0</v>
      </c>
      <c r="AR857" s="28"/>
      <c r="AS857" s="28" t="n">
        <f aca="false">AR857*$M857</f>
        <v>0</v>
      </c>
      <c r="AT857" s="28"/>
      <c r="AU857" s="28" t="n">
        <f aca="false">AT857*$M857</f>
        <v>0</v>
      </c>
      <c r="AV857" s="28"/>
      <c r="AW857" s="28" t="n">
        <f aca="false">AV857*$M857</f>
        <v>0</v>
      </c>
      <c r="AX857" s="28"/>
      <c r="AY857" s="28" t="n">
        <f aca="false">AX857*$M857</f>
        <v>0</v>
      </c>
      <c r="AZ857" s="30" t="n">
        <v>623</v>
      </c>
      <c r="BA857" s="11" t="n">
        <v>11214</v>
      </c>
      <c r="BB857" s="31" t="n">
        <f aca="false">SUM(Q857,S857,U857,W857,Y857,AA857,AC857,AE857,AG857,AI857,AK857,AM857,AO857,AQ857,AS857,AU857,AW857,AY857)</f>
        <v>11214</v>
      </c>
      <c r="BC857" s="28" t="n">
        <f aca="false">BA857-BB857</f>
        <v>0</v>
      </c>
      <c r="BD857" s="32" t="n">
        <f aca="false">SUM(P857,R857,T857,V857,X857,Z857,AB857,AD857,AF857,AH857,AJ857,AL857,AN857,AP857,AR857,AT857,AV857,AX857)</f>
        <v>623</v>
      </c>
      <c r="BE857" s="33" t="n">
        <f aca="false">AZ857-BD857</f>
        <v>0</v>
      </c>
      <c r="BF857" s="34" t="n">
        <f aca="false">BD857*M857</f>
        <v>11214</v>
      </c>
      <c r="BG857" s="35" t="n">
        <f aca="false">BA857-BF857</f>
        <v>0</v>
      </c>
      <c r="BH857" s="19" t="str">
        <f aca="false">IF(BG857=0,"",IF(BG857&lt;&gt;BA857,"erreur de calcul",IF(BD857&lt;&gt;0,"pas de prix",IF(M857&lt;&gt; 0,"pas de quantité","pas de prix, ni de quantité"))))</f>
        <v/>
      </c>
      <c r="BI857" s="19"/>
    </row>
    <row r="858" customFormat="false" ht="15" hidden="false" customHeight="false" outlineLevel="0" collapsed="false">
      <c r="A858" s="0" t="n">
        <v>29</v>
      </c>
      <c r="B858" s="8" t="s">
        <v>24</v>
      </c>
      <c r="C858" s="9" t="s">
        <v>25</v>
      </c>
      <c r="D858" s="9" t="s">
        <v>26</v>
      </c>
      <c r="E858" s="10" t="n">
        <v>1789</v>
      </c>
      <c r="F858" s="9" t="s">
        <v>27</v>
      </c>
      <c r="G858" s="9" t="s">
        <v>27</v>
      </c>
      <c r="H858" s="11" t="n">
        <v>22</v>
      </c>
      <c r="I858" s="11" t="s">
        <v>232</v>
      </c>
      <c r="J858" s="14" t="n">
        <v>66</v>
      </c>
      <c r="K858" s="14"/>
      <c r="L858" s="16"/>
      <c r="M858" s="27" t="n">
        <f aca="false">J858+(K858/20)+(L858/240)</f>
        <v>66</v>
      </c>
      <c r="N858" s="17" t="s">
        <v>64</v>
      </c>
      <c r="O858" s="11"/>
      <c r="P858" s="28"/>
      <c r="Q858" s="28" t="n">
        <f aca="false">P858*$M858</f>
        <v>0</v>
      </c>
      <c r="R858" s="28" t="n">
        <f aca="false">4580/100</f>
        <v>45.8</v>
      </c>
      <c r="S858" s="28" t="n">
        <v>3023</v>
      </c>
      <c r="T858" s="28"/>
      <c r="U858" s="28" t="n">
        <f aca="false">T858*$M858</f>
        <v>0</v>
      </c>
      <c r="V858" s="28"/>
      <c r="W858" s="28" t="n">
        <f aca="false">V858*$M858</f>
        <v>0</v>
      </c>
      <c r="X858" s="28"/>
      <c r="Y858" s="28" t="n">
        <f aca="false">X858*$M858</f>
        <v>0</v>
      </c>
      <c r="Z858" s="28"/>
      <c r="AA858" s="28" t="n">
        <f aca="false">Z858*$M858</f>
        <v>0</v>
      </c>
      <c r="AB858" s="28"/>
      <c r="AC858" s="28" t="n">
        <f aca="false">AB858*$M858</f>
        <v>0</v>
      </c>
      <c r="AD858" s="28"/>
      <c r="AE858" s="28" t="n">
        <f aca="false">AD858*$M858</f>
        <v>0</v>
      </c>
      <c r="AF858" s="28"/>
      <c r="AG858" s="28" t="n">
        <f aca="false">AF858*$M858</f>
        <v>0</v>
      </c>
      <c r="AH858" s="28"/>
      <c r="AI858" s="28" t="n">
        <f aca="false">AH858*$M858</f>
        <v>0</v>
      </c>
      <c r="AJ858" s="28"/>
      <c r="AK858" s="28" t="n">
        <f aca="false">AJ858*$M858</f>
        <v>0</v>
      </c>
      <c r="AL858" s="28"/>
      <c r="AM858" s="28" t="n">
        <f aca="false">AL858*$M858</f>
        <v>0</v>
      </c>
      <c r="AN858" s="28"/>
      <c r="AO858" s="28" t="n">
        <f aca="false">AN858*$M858</f>
        <v>0</v>
      </c>
      <c r="AP858" s="28"/>
      <c r="AQ858" s="28" t="n">
        <f aca="false">AP858*$M858</f>
        <v>0</v>
      </c>
      <c r="AR858" s="28"/>
      <c r="AS858" s="28" t="n">
        <f aca="false">AR858*$M858</f>
        <v>0</v>
      </c>
      <c r="AT858" s="28"/>
      <c r="AU858" s="28" t="n">
        <f aca="false">AT858*$M858</f>
        <v>0</v>
      </c>
      <c r="AV858" s="28"/>
      <c r="AW858" s="28" t="n">
        <f aca="false">AV858*$M858</f>
        <v>0</v>
      </c>
      <c r="AX858" s="28"/>
      <c r="AY858" s="28" t="n">
        <f aca="false">AX858*$M858</f>
        <v>0</v>
      </c>
      <c r="AZ858" s="30" t="n">
        <f aca="false">4580/100</f>
        <v>45.8</v>
      </c>
      <c r="BA858" s="11" t="n">
        <v>3023</v>
      </c>
      <c r="BB858" s="31" t="n">
        <f aca="false">SUM(Q858,S858,U858,W858,Y858,AA858,AC858,AE858,AG858,AI858,AK858,AM858,AO858,AQ858,AS858,AU858,AW858,AY858)</f>
        <v>3023</v>
      </c>
      <c r="BC858" s="28" t="n">
        <f aca="false">BA858-BB858</f>
        <v>0</v>
      </c>
      <c r="BD858" s="32" t="n">
        <f aca="false">SUM(P858,R858,T858,V858,X858,Z858,AB858,AD858,AF858,AH858,AJ858,AL858,AN858,AP858,AR858,AT858,AV858,AX858)</f>
        <v>45.8</v>
      </c>
      <c r="BE858" s="33" t="n">
        <f aca="false">AZ858-BD858</f>
        <v>0</v>
      </c>
      <c r="BF858" s="34" t="n">
        <f aca="false">BD858*M858</f>
        <v>3022.8</v>
      </c>
      <c r="BG858" s="35" t="n">
        <f aca="false">BA858-BF858</f>
        <v>0.200000000000273</v>
      </c>
      <c r="BH858" s="19" t="str">
        <f aca="false">IF(BG858=0,"",IF(BG858&lt;&gt;BA858,"erreur de calcul",IF(BD858&lt;&gt;0,"pas de prix",IF(M858&lt;&gt; 0,"pas de quantité","pas de prix, ni de quantité"))))</f>
        <v>erreur de calcul</v>
      </c>
      <c r="BI858" s="19"/>
    </row>
    <row r="859" customFormat="false" ht="15" hidden="false" customHeight="false" outlineLevel="0" collapsed="false">
      <c r="A859" s="0" t="n">
        <v>30</v>
      </c>
      <c r="B859" s="8" t="s">
        <v>24</v>
      </c>
      <c r="C859" s="9" t="s">
        <v>25</v>
      </c>
      <c r="D859" s="9" t="s">
        <v>26</v>
      </c>
      <c r="E859" s="10" t="n">
        <v>1789</v>
      </c>
      <c r="F859" s="9" t="s">
        <v>27</v>
      </c>
      <c r="G859" s="9" t="s">
        <v>27</v>
      </c>
      <c r="H859" s="11" t="n">
        <v>22</v>
      </c>
      <c r="I859" s="11" t="s">
        <v>233</v>
      </c>
      <c r="J859" s="14" t="n">
        <v>155</v>
      </c>
      <c r="K859" s="14"/>
      <c r="L859" s="16"/>
      <c r="M859" s="27" t="n">
        <f aca="false">J859+(K859/20)+(L859/240)</f>
        <v>155</v>
      </c>
      <c r="N859" s="17" t="s">
        <v>64</v>
      </c>
      <c r="O859" s="11"/>
      <c r="P859" s="28" t="n">
        <f aca="false">27574/100</f>
        <v>275.74</v>
      </c>
      <c r="Q859" s="28" t="n">
        <v>42740</v>
      </c>
      <c r="R859" s="28" t="n">
        <f aca="false">7820/100</f>
        <v>78.2</v>
      </c>
      <c r="S859" s="28" t="n">
        <v>12121</v>
      </c>
      <c r="T859" s="28"/>
      <c r="U859" s="28" t="n">
        <f aca="false">T859*$M859</f>
        <v>0</v>
      </c>
      <c r="V859" s="28" t="n">
        <f aca="false">37316/100</f>
        <v>373.16</v>
      </c>
      <c r="W859" s="28" t="n">
        <v>57840</v>
      </c>
      <c r="X859" s="28" t="n">
        <f aca="false">1394/100</f>
        <v>13.94</v>
      </c>
      <c r="Y859" s="28" t="n">
        <v>2161</v>
      </c>
      <c r="Z859" s="28"/>
      <c r="AA859" s="28" t="n">
        <f aca="false">Z859*$M859</f>
        <v>0</v>
      </c>
      <c r="AB859" s="28"/>
      <c r="AC859" s="28" t="n">
        <f aca="false">AB859*$M859</f>
        <v>0</v>
      </c>
      <c r="AD859" s="28"/>
      <c r="AE859" s="28" t="n">
        <f aca="false">AD859*$M859</f>
        <v>0</v>
      </c>
      <c r="AF859" s="28"/>
      <c r="AG859" s="28" t="n">
        <f aca="false">AF859*$M859</f>
        <v>0</v>
      </c>
      <c r="AH859" s="28"/>
      <c r="AI859" s="28" t="n">
        <f aca="false">AH859*$M859</f>
        <v>0</v>
      </c>
      <c r="AJ859" s="28" t="n">
        <f aca="false">158255/100</f>
        <v>1582.55</v>
      </c>
      <c r="AK859" s="28" t="n">
        <v>245295</v>
      </c>
      <c r="AL859" s="28"/>
      <c r="AM859" s="28" t="n">
        <f aca="false">AL859*$M859</f>
        <v>0</v>
      </c>
      <c r="AN859" s="28" t="n">
        <f aca="false">417945/100</f>
        <v>4179.45</v>
      </c>
      <c r="AO859" s="28" t="n">
        <v>647815</v>
      </c>
      <c r="AP859" s="28"/>
      <c r="AQ859" s="28" t="n">
        <f aca="false">AP859*$M859</f>
        <v>0</v>
      </c>
      <c r="AR859" s="28"/>
      <c r="AS859" s="28" t="n">
        <f aca="false">AR859*$M859</f>
        <v>0</v>
      </c>
      <c r="AT859" s="28"/>
      <c r="AU859" s="28" t="n">
        <f aca="false">AT859*$M859</f>
        <v>0</v>
      </c>
      <c r="AV859" s="28"/>
      <c r="AW859" s="28" t="n">
        <f aca="false">AV859*$M859</f>
        <v>0</v>
      </c>
      <c r="AX859" s="28"/>
      <c r="AY859" s="28" t="n">
        <f aca="false">AX859*$M859</f>
        <v>0</v>
      </c>
      <c r="AZ859" s="30" t="n">
        <f aca="false">650304/100</f>
        <v>6503.04</v>
      </c>
      <c r="BA859" s="11" t="n">
        <v>1007972</v>
      </c>
      <c r="BB859" s="31" t="n">
        <f aca="false">SUM(Q859,S859,U859,W859,Y859,AA859,AC859,AE859,AG859,AI859,AK859,AM859,AO859,AQ859,AS859,AU859,AW859,AY859)</f>
        <v>1007972</v>
      </c>
      <c r="BC859" s="28" t="n">
        <f aca="false">BA859-BB859</f>
        <v>0</v>
      </c>
      <c r="BD859" s="32" t="n">
        <f aca="false">SUM(P859,R859,T859,V859,X859,Z859,AB859,AD859,AF859,AH859,AJ859,AL859,AN859,AP859,AR859,AT859,AV859,AX859)</f>
        <v>6503.04</v>
      </c>
      <c r="BE859" s="33" t="n">
        <f aca="false">AZ859-BD859</f>
        <v>0</v>
      </c>
      <c r="BF859" s="34" t="n">
        <f aca="false">BD859*M859</f>
        <v>1007971.2</v>
      </c>
      <c r="BG859" s="35" t="n">
        <f aca="false">BA859-BF859</f>
        <v>0.800000000162981</v>
      </c>
      <c r="BH859" s="19" t="str">
        <f aca="false">IF(BG859=0,"",IF(BG859&lt;&gt;BA859,"erreur de calcul",IF(BD859&lt;&gt;0,"pas de prix",IF(M859&lt;&gt; 0,"pas de quantité","pas de prix, ni de quantité"))))</f>
        <v>erreur de calcul</v>
      </c>
      <c r="BI859" s="19"/>
    </row>
    <row r="860" customFormat="false" ht="15" hidden="false" customHeight="false" outlineLevel="0" collapsed="false">
      <c r="A860" s="0" t="n">
        <v>31</v>
      </c>
      <c r="B860" s="8" t="s">
        <v>24</v>
      </c>
      <c r="C860" s="9" t="s">
        <v>25</v>
      </c>
      <c r="D860" s="9" t="s">
        <v>26</v>
      </c>
      <c r="E860" s="10" t="n">
        <v>1789</v>
      </c>
      <c r="F860" s="9" t="s">
        <v>27</v>
      </c>
      <c r="G860" s="9" t="s">
        <v>27</v>
      </c>
      <c r="H860" s="11" t="n">
        <v>22</v>
      </c>
      <c r="I860" s="11" t="s">
        <v>234</v>
      </c>
      <c r="J860" s="14" t="n">
        <v>110</v>
      </c>
      <c r="K860" s="14"/>
      <c r="L860" s="16"/>
      <c r="M860" s="27" t="n">
        <f aca="false">J860+(K860/20)+(L860/240)</f>
        <v>110</v>
      </c>
      <c r="N860" s="17" t="s">
        <v>64</v>
      </c>
      <c r="O860" s="11"/>
      <c r="P860" s="28" t="n">
        <f aca="false">73942/100</f>
        <v>739.42</v>
      </c>
      <c r="Q860" s="28" t="n">
        <v>81336</v>
      </c>
      <c r="R860" s="28"/>
      <c r="S860" s="28" t="n">
        <f aca="false">R860*$M860</f>
        <v>0</v>
      </c>
      <c r="T860" s="28"/>
      <c r="U860" s="28" t="n">
        <f aca="false">T860*$M860</f>
        <v>0</v>
      </c>
      <c r="V860" s="28"/>
      <c r="W860" s="28" t="n">
        <f aca="false">V860*$M860</f>
        <v>0</v>
      </c>
      <c r="X860" s="28"/>
      <c r="Y860" s="28" t="n">
        <f aca="false">X860*$M860</f>
        <v>0</v>
      </c>
      <c r="Z860" s="28"/>
      <c r="AA860" s="28" t="n">
        <f aca="false">Z860*$M860</f>
        <v>0</v>
      </c>
      <c r="AB860" s="28"/>
      <c r="AC860" s="28" t="n">
        <f aca="false">AB860*$M860</f>
        <v>0</v>
      </c>
      <c r="AD860" s="28"/>
      <c r="AE860" s="28" t="n">
        <f aca="false">AD860*$M860</f>
        <v>0</v>
      </c>
      <c r="AF860" s="28"/>
      <c r="AG860" s="28" t="n">
        <f aca="false">AF860*$M860</f>
        <v>0</v>
      </c>
      <c r="AH860" s="28"/>
      <c r="AI860" s="28" t="n">
        <f aca="false">AH860*$M860</f>
        <v>0</v>
      </c>
      <c r="AJ860" s="28"/>
      <c r="AK860" s="28" t="n">
        <f aca="false">AJ860*$M860</f>
        <v>0</v>
      </c>
      <c r="AL860" s="28"/>
      <c r="AM860" s="28" t="n">
        <f aca="false">AL860*$M860</f>
        <v>0</v>
      </c>
      <c r="AN860" s="28"/>
      <c r="AO860" s="28" t="n">
        <f aca="false">AN860*$M860</f>
        <v>0</v>
      </c>
      <c r="AP860" s="28"/>
      <c r="AQ860" s="28" t="n">
        <f aca="false">AP860*$M860</f>
        <v>0</v>
      </c>
      <c r="AR860" s="28"/>
      <c r="AS860" s="28" t="n">
        <f aca="false">AR860*$M860</f>
        <v>0</v>
      </c>
      <c r="AT860" s="28"/>
      <c r="AU860" s="28" t="n">
        <f aca="false">AT860*$M860</f>
        <v>0</v>
      </c>
      <c r="AV860" s="28"/>
      <c r="AW860" s="28" t="n">
        <f aca="false">AV860*$M860</f>
        <v>0</v>
      </c>
      <c r="AX860" s="28"/>
      <c r="AY860" s="28" t="n">
        <f aca="false">AX860*$M860</f>
        <v>0</v>
      </c>
      <c r="AZ860" s="30" t="n">
        <f aca="false">73942/100</f>
        <v>739.42</v>
      </c>
      <c r="BA860" s="11" t="n">
        <v>81336</v>
      </c>
      <c r="BB860" s="31" t="n">
        <f aca="false">SUM(Q860,S860,U860,W860,Y860,AA860,AC860,AE860,AG860,AI860,AK860,AM860,AO860,AQ860,AS860,AU860,AW860,AY860)</f>
        <v>81336</v>
      </c>
      <c r="BC860" s="28" t="n">
        <f aca="false">BA860-BB860</f>
        <v>0</v>
      </c>
      <c r="BD860" s="32" t="n">
        <f aca="false">SUM(P860,R860,T860,V860,X860,Z860,AB860,AD860,AF860,AH860,AJ860,AL860,AN860,AP860,AR860,AT860,AV860,AX860)</f>
        <v>739.42</v>
      </c>
      <c r="BE860" s="33" t="n">
        <f aca="false">AZ860-BD860</f>
        <v>0</v>
      </c>
      <c r="BF860" s="34" t="n">
        <f aca="false">BD860*M860</f>
        <v>81336.2</v>
      </c>
      <c r="BG860" s="35" t="n">
        <f aca="false">BA860-BF860</f>
        <v>-0.19999999999709</v>
      </c>
      <c r="BH860" s="19" t="str">
        <f aca="false">IF(BG860=0,"",IF(BG860&lt;&gt;BA860,"erreur de calcul",IF(BD860&lt;&gt;0,"pas de prix",IF(M860&lt;&gt; 0,"pas de quantité","pas de prix, ni de quantité"))))</f>
        <v>erreur de calcul</v>
      </c>
      <c r="BI860" s="19"/>
    </row>
    <row r="861" customFormat="false" ht="15" hidden="false" customHeight="false" outlineLevel="0" collapsed="false">
      <c r="A861" s="0" t="n">
        <v>32</v>
      </c>
      <c r="B861" s="8" t="s">
        <v>24</v>
      </c>
      <c r="C861" s="9" t="s">
        <v>25</v>
      </c>
      <c r="D861" s="9" t="s">
        <v>26</v>
      </c>
      <c r="E861" s="10" t="n">
        <v>1789</v>
      </c>
      <c r="F861" s="9" t="s">
        <v>27</v>
      </c>
      <c r="G861" s="9" t="s">
        <v>27</v>
      </c>
      <c r="H861" s="11" t="n">
        <v>22</v>
      </c>
      <c r="I861" s="11" t="s">
        <v>235</v>
      </c>
      <c r="J861" s="14" t="n">
        <v>60</v>
      </c>
      <c r="K861" s="14"/>
      <c r="L861" s="16"/>
      <c r="M861" s="27" t="n">
        <f aca="false">J861+(K861/20)+(L861/240)</f>
        <v>60</v>
      </c>
      <c r="N861" s="17" t="s">
        <v>64</v>
      </c>
      <c r="O861" s="11"/>
      <c r="P861" s="28"/>
      <c r="Q861" s="28" t="n">
        <f aca="false">P861*$M861</f>
        <v>0</v>
      </c>
      <c r="R861" s="28"/>
      <c r="S861" s="28" t="n">
        <f aca="false">R861*$M861</f>
        <v>0</v>
      </c>
      <c r="T861" s="28"/>
      <c r="U861" s="28" t="n">
        <f aca="false">T861*$M861</f>
        <v>0</v>
      </c>
      <c r="V861" s="28" t="n">
        <f aca="false">232/100</f>
        <v>2.32</v>
      </c>
      <c r="W861" s="28" t="n">
        <v>139</v>
      </c>
      <c r="X861" s="28" t="n">
        <f aca="false">5603/100</f>
        <v>56.03</v>
      </c>
      <c r="Y861" s="28" t="n">
        <v>3362</v>
      </c>
      <c r="Z861" s="28"/>
      <c r="AA861" s="28" t="n">
        <f aca="false">Z861*$M861</f>
        <v>0</v>
      </c>
      <c r="AB861" s="28" t="n">
        <f aca="false">1410/100</f>
        <v>14.1</v>
      </c>
      <c r="AC861" s="28" t="n">
        <v>846</v>
      </c>
      <c r="AD861" s="28"/>
      <c r="AE861" s="28" t="n">
        <f aca="false">AD861*$M861</f>
        <v>0</v>
      </c>
      <c r="AF861" s="28" t="n">
        <f aca="false">162899/100</f>
        <v>1628.99</v>
      </c>
      <c r="AG861" s="28" t="n">
        <v>97739</v>
      </c>
      <c r="AH861" s="28" t="n">
        <f aca="false">6506/100</f>
        <v>65.06</v>
      </c>
      <c r="AI861" s="28" t="n">
        <v>3904</v>
      </c>
      <c r="AJ861" s="28"/>
      <c r="AK861" s="28" t="n">
        <f aca="false">AJ861*$M861</f>
        <v>0</v>
      </c>
      <c r="AL861" s="28"/>
      <c r="AM861" s="28" t="n">
        <f aca="false">AL861*$M861</f>
        <v>0</v>
      </c>
      <c r="AN861" s="28"/>
      <c r="AO861" s="28" t="n">
        <f aca="false">AN861*$M861</f>
        <v>0</v>
      </c>
      <c r="AP861" s="28"/>
      <c r="AQ861" s="28" t="n">
        <f aca="false">AP861*$M861</f>
        <v>0</v>
      </c>
      <c r="AR861" s="28"/>
      <c r="AS861" s="28" t="n">
        <f aca="false">AR861*$M861</f>
        <v>0</v>
      </c>
      <c r="AT861" s="28"/>
      <c r="AU861" s="28" t="n">
        <f aca="false">AT861*$M861</f>
        <v>0</v>
      </c>
      <c r="AV861" s="28"/>
      <c r="AW861" s="28" t="n">
        <f aca="false">AV861*$M861</f>
        <v>0</v>
      </c>
      <c r="AX861" s="28"/>
      <c r="AY861" s="28" t="n">
        <f aca="false">AX861*$M861</f>
        <v>0</v>
      </c>
      <c r="AZ861" s="30" t="n">
        <f aca="false">176650/100</f>
        <v>1766.5</v>
      </c>
      <c r="BA861" s="11" t="n">
        <v>105990</v>
      </c>
      <c r="BB861" s="31" t="n">
        <f aca="false">SUM(Q861,S861,U861,W861,Y861,AA861,AC861,AE861,AG861,AI861,AK861,AM861,AO861,AQ861,AS861,AU861,AW861,AY861)</f>
        <v>105990</v>
      </c>
      <c r="BC861" s="28" t="n">
        <f aca="false">BA861-BB861</f>
        <v>0</v>
      </c>
      <c r="BD861" s="32" t="n">
        <f aca="false">SUM(P861,R861,T861,V861,X861,Z861,AB861,AD861,AF861,AH861,AJ861,AL861,AN861,AP861,AR861,AT861,AV861,AX861)</f>
        <v>1766.5</v>
      </c>
      <c r="BE861" s="33" t="n">
        <f aca="false">AZ861-BD861</f>
        <v>0</v>
      </c>
      <c r="BF861" s="34" t="n">
        <f aca="false">BD861*M861</f>
        <v>105990</v>
      </c>
      <c r="BG861" s="35" t="n">
        <f aca="false">BA861-BF861</f>
        <v>0</v>
      </c>
      <c r="BH861" s="19" t="str">
        <f aca="false">IF(BG861=0,"",IF(BG861&lt;&gt;BA861,"erreur de calcul",IF(BD861&lt;&gt;0,"pas de prix",IF(M861&lt;&gt; 0,"pas de quantité","pas de prix, ni de quantité"))))</f>
        <v/>
      </c>
      <c r="BI861" s="19"/>
    </row>
    <row r="862" customFormat="false" ht="15" hidden="false" customHeight="false" outlineLevel="0" collapsed="false">
      <c r="A862" s="0" t="n">
        <v>33</v>
      </c>
      <c r="B862" s="8" t="s">
        <v>24</v>
      </c>
      <c r="C862" s="9" t="s">
        <v>25</v>
      </c>
      <c r="D862" s="9" t="s">
        <v>26</v>
      </c>
      <c r="E862" s="10" t="n">
        <v>1789</v>
      </c>
      <c r="F862" s="9" t="s">
        <v>27</v>
      </c>
      <c r="G862" s="9" t="s">
        <v>27</v>
      </c>
      <c r="H862" s="11" t="n">
        <v>22</v>
      </c>
      <c r="I862" s="11" t="s">
        <v>236</v>
      </c>
      <c r="J862" s="14" t="n">
        <v>710</v>
      </c>
      <c r="K862" s="14"/>
      <c r="L862" s="16"/>
      <c r="M862" s="27" t="n">
        <f aca="false">J862+(K862/20)+(L862/240)</f>
        <v>710</v>
      </c>
      <c r="N862" s="17" t="s">
        <v>64</v>
      </c>
      <c r="O862" s="11"/>
      <c r="P862" s="28"/>
      <c r="Q862" s="28" t="n">
        <f aca="false">P862*$M862</f>
        <v>0</v>
      </c>
      <c r="R862" s="28"/>
      <c r="S862" s="28" t="n">
        <f aca="false">R862*$M862</f>
        <v>0</v>
      </c>
      <c r="T862" s="28" t="n">
        <f aca="false">108/100</f>
        <v>1.08</v>
      </c>
      <c r="U862" s="28" t="n">
        <v>767</v>
      </c>
      <c r="V862" s="28" t="n">
        <f aca="false">1190/100</f>
        <v>11.9</v>
      </c>
      <c r="W862" s="28" t="n">
        <v>8449</v>
      </c>
      <c r="X862" s="28" t="n">
        <f aca="false">487/100</f>
        <v>4.87</v>
      </c>
      <c r="Y862" s="28" t="n">
        <v>3458</v>
      </c>
      <c r="Z862" s="28"/>
      <c r="AA862" s="28" t="n">
        <f aca="false">Z862*$M862</f>
        <v>0</v>
      </c>
      <c r="AB862" s="28" t="n">
        <f aca="false">9170/100</f>
        <v>91.7</v>
      </c>
      <c r="AC862" s="28" t="n">
        <v>65107</v>
      </c>
      <c r="AD862" s="28" t="n">
        <f aca="false">531/100</f>
        <v>5.31</v>
      </c>
      <c r="AE862" s="28" t="n">
        <v>3770</v>
      </c>
      <c r="AF862" s="28"/>
      <c r="AG862" s="28" t="n">
        <f aca="false">AF862*$M862</f>
        <v>0</v>
      </c>
      <c r="AH862" s="28"/>
      <c r="AI862" s="28" t="n">
        <f aca="false">AH862*$M862</f>
        <v>0</v>
      </c>
      <c r="AJ862" s="28"/>
      <c r="AK862" s="28" t="n">
        <f aca="false">AJ862*$M862</f>
        <v>0</v>
      </c>
      <c r="AL862" s="28"/>
      <c r="AM862" s="28" t="n">
        <f aca="false">AL862*$M862</f>
        <v>0</v>
      </c>
      <c r="AN862" s="28"/>
      <c r="AO862" s="28" t="n">
        <f aca="false">AN862*$M862</f>
        <v>0</v>
      </c>
      <c r="AP862" s="28"/>
      <c r="AQ862" s="28" t="n">
        <f aca="false">AP862*$M862</f>
        <v>0</v>
      </c>
      <c r="AR862" s="28"/>
      <c r="AS862" s="28" t="n">
        <f aca="false">AR862*$M862</f>
        <v>0</v>
      </c>
      <c r="AT862" s="28"/>
      <c r="AU862" s="28" t="n">
        <f aca="false">AT862*$M862</f>
        <v>0</v>
      </c>
      <c r="AV862" s="28"/>
      <c r="AW862" s="28" t="n">
        <f aca="false">AV862*$M862</f>
        <v>0</v>
      </c>
      <c r="AX862" s="28"/>
      <c r="AY862" s="28" t="n">
        <f aca="false">AX862*$M862</f>
        <v>0</v>
      </c>
      <c r="AZ862" s="30" t="n">
        <f aca="false">11486/100</f>
        <v>114.86</v>
      </c>
      <c r="BA862" s="11" t="n">
        <v>81551</v>
      </c>
      <c r="BB862" s="31" t="n">
        <f aca="false">SUM(Q862,S862,U862,W862,Y862,AA862,AC862,AE862,AG862,AI862,AK862,AM862,AO862,AQ862,AS862,AU862,AW862,AY862)</f>
        <v>81551</v>
      </c>
      <c r="BC862" s="28" t="n">
        <f aca="false">BA862-BB862</f>
        <v>0</v>
      </c>
      <c r="BD862" s="32" t="n">
        <f aca="false">SUM(P862,R862,T862,V862,X862,Z862,AB862,AD862,AF862,AH862,AJ862,AL862,AN862,AP862,AR862,AT862,AV862,AX862)</f>
        <v>114.86</v>
      </c>
      <c r="BE862" s="33" t="n">
        <f aca="false">AZ862-BD862</f>
        <v>0</v>
      </c>
      <c r="BF862" s="34" t="n">
        <f aca="false">BD862*M862</f>
        <v>81550.6</v>
      </c>
      <c r="BG862" s="35" t="n">
        <f aca="false">BA862-BF862</f>
        <v>0.399999999994179</v>
      </c>
      <c r="BH862" s="19" t="str">
        <f aca="false">IF(BG862=0,"",IF(BG862&lt;&gt;BA862,"erreur de calcul",IF(BD862&lt;&gt;0,"pas de prix",IF(M862&lt;&gt; 0,"pas de quantité","pas de prix, ni de quantité"))))</f>
        <v>erreur de calcul</v>
      </c>
      <c r="BI862" s="19"/>
    </row>
    <row r="863" customFormat="false" ht="15" hidden="false" customHeight="false" outlineLevel="0" collapsed="false">
      <c r="A863" s="0" t="n">
        <v>34</v>
      </c>
      <c r="B863" s="8" t="s">
        <v>24</v>
      </c>
      <c r="C863" s="9" t="s">
        <v>25</v>
      </c>
      <c r="D863" s="9" t="s">
        <v>26</v>
      </c>
      <c r="E863" s="10" t="n">
        <v>1789</v>
      </c>
      <c r="F863" s="9" t="s">
        <v>27</v>
      </c>
      <c r="G863" s="9" t="s">
        <v>27</v>
      </c>
      <c r="H863" s="11" t="n">
        <v>22</v>
      </c>
      <c r="I863" s="11" t="s">
        <v>237</v>
      </c>
      <c r="J863" s="14" t="n">
        <v>91</v>
      </c>
      <c r="K863" s="14"/>
      <c r="L863" s="16"/>
      <c r="M863" s="27" t="n">
        <f aca="false">J863+(K863/20)+(L863/240)</f>
        <v>91</v>
      </c>
      <c r="N863" s="17" t="s">
        <v>64</v>
      </c>
      <c r="O863" s="11"/>
      <c r="P863" s="28"/>
      <c r="Q863" s="28" t="n">
        <f aca="false">P863*$M863</f>
        <v>0</v>
      </c>
      <c r="R863" s="28"/>
      <c r="S863" s="28" t="n">
        <f aca="false">R863*$M863</f>
        <v>0</v>
      </c>
      <c r="T863" s="28"/>
      <c r="U863" s="28" t="n">
        <f aca="false">T863*$M863</f>
        <v>0</v>
      </c>
      <c r="V863" s="28" t="n">
        <f aca="false">3384/100</f>
        <v>33.84</v>
      </c>
      <c r="W863" s="28" t="n">
        <v>3079</v>
      </c>
      <c r="X863" s="28" t="n">
        <f aca="false">18105/100</f>
        <v>181.05</v>
      </c>
      <c r="Y863" s="28" t="n">
        <v>16475</v>
      </c>
      <c r="Z863" s="28"/>
      <c r="AA863" s="28" t="n">
        <f aca="false">Z863*$M863</f>
        <v>0</v>
      </c>
      <c r="AB863" s="28"/>
      <c r="AC863" s="28" t="n">
        <f aca="false">AB863*$M863</f>
        <v>0</v>
      </c>
      <c r="AD863" s="28"/>
      <c r="AE863" s="28" t="n">
        <f aca="false">AD863*$M863</f>
        <v>0</v>
      </c>
      <c r="AF863" s="28"/>
      <c r="AG863" s="28" t="n">
        <f aca="false">AF863*$M863</f>
        <v>0</v>
      </c>
      <c r="AH863" s="28"/>
      <c r="AI863" s="28" t="n">
        <f aca="false">AH863*$M863</f>
        <v>0</v>
      </c>
      <c r="AJ863" s="28"/>
      <c r="AK863" s="28" t="n">
        <f aca="false">AJ863*$M863</f>
        <v>0</v>
      </c>
      <c r="AL863" s="28"/>
      <c r="AM863" s="28" t="n">
        <f aca="false">AL863*$M863</f>
        <v>0</v>
      </c>
      <c r="AN863" s="28"/>
      <c r="AO863" s="28" t="n">
        <f aca="false">AN863*$M863</f>
        <v>0</v>
      </c>
      <c r="AP863" s="28"/>
      <c r="AQ863" s="28" t="n">
        <f aca="false">AP863*$M863</f>
        <v>0</v>
      </c>
      <c r="AR863" s="28"/>
      <c r="AS863" s="28" t="n">
        <f aca="false">AR863*$M863</f>
        <v>0</v>
      </c>
      <c r="AT863" s="28"/>
      <c r="AU863" s="28" t="n">
        <f aca="false">AT863*$M863</f>
        <v>0</v>
      </c>
      <c r="AV863" s="28"/>
      <c r="AW863" s="28" t="n">
        <f aca="false">AV863*$M863</f>
        <v>0</v>
      </c>
      <c r="AX863" s="28"/>
      <c r="AY863" s="28" t="n">
        <f aca="false">AX863*$M863</f>
        <v>0</v>
      </c>
      <c r="AZ863" s="30" t="n">
        <f aca="false">21489/100</f>
        <v>214.89</v>
      </c>
      <c r="BA863" s="11" t="n">
        <v>19554</v>
      </c>
      <c r="BB863" s="31" t="n">
        <f aca="false">SUM(Q863,S863,U863,W863,Y863,AA863,AC863,AE863,AG863,AI863,AK863,AM863,AO863,AQ863,AS863,AU863,AW863,AY863)</f>
        <v>19554</v>
      </c>
      <c r="BC863" s="28" t="n">
        <f aca="false">BA863-BB863</f>
        <v>0</v>
      </c>
      <c r="BD863" s="32" t="n">
        <f aca="false">SUM(P863,R863,T863,V863,X863,Z863,AB863,AD863,AF863,AH863,AJ863,AL863,AN863,AP863,AR863,AT863,AV863,AX863)</f>
        <v>214.89</v>
      </c>
      <c r="BE863" s="33" t="n">
        <f aca="false">AZ863-BD863</f>
        <v>0</v>
      </c>
      <c r="BF863" s="34" t="n">
        <f aca="false">BD863*M863</f>
        <v>19554.99</v>
      </c>
      <c r="BG863" s="35" t="n">
        <f aca="false">BA863-BF863</f>
        <v>-0.990000000001601</v>
      </c>
      <c r="BH863" s="19" t="str">
        <f aca="false">IF(BG863=0,"",IF(BG863&lt;&gt;BA863,"erreur de calcul",IF(BD863&lt;&gt;0,"pas de prix",IF(M863&lt;&gt; 0,"pas de quantité","pas de prix, ni de quantité"))))</f>
        <v>erreur de calcul</v>
      </c>
      <c r="BI863" s="19"/>
    </row>
    <row r="864" customFormat="false" ht="15" hidden="false" customHeight="false" outlineLevel="0" collapsed="false">
      <c r="A864" s="0" t="n">
        <v>35</v>
      </c>
      <c r="B864" s="8" t="s">
        <v>24</v>
      </c>
      <c r="C864" s="9" t="s">
        <v>25</v>
      </c>
      <c r="D864" s="9" t="s">
        <v>26</v>
      </c>
      <c r="E864" s="10" t="n">
        <v>1789</v>
      </c>
      <c r="F864" s="9" t="s">
        <v>27</v>
      </c>
      <c r="G864" s="9" t="s">
        <v>27</v>
      </c>
      <c r="H864" s="11" t="n">
        <v>22</v>
      </c>
      <c r="I864" s="11" t="s">
        <v>238</v>
      </c>
      <c r="J864" s="14" t="n">
        <v>40</v>
      </c>
      <c r="K864" s="14"/>
      <c r="L864" s="16"/>
      <c r="M864" s="27" t="n">
        <f aca="false">J864+(K864/20)+(L864/240)</f>
        <v>40</v>
      </c>
      <c r="N864" s="17" t="s">
        <v>66</v>
      </c>
      <c r="O864" s="11"/>
      <c r="P864" s="28" t="n">
        <v>150</v>
      </c>
      <c r="Q864" s="28" t="n">
        <v>6000</v>
      </c>
      <c r="R864" s="28"/>
      <c r="S864" s="28" t="n">
        <f aca="false">R864*$M864</f>
        <v>0</v>
      </c>
      <c r="T864" s="28" t="n">
        <v>467</v>
      </c>
      <c r="U864" s="28" t="n">
        <v>18680</v>
      </c>
      <c r="V864" s="28" t="n">
        <v>1124</v>
      </c>
      <c r="W864" s="28" t="n">
        <v>44960</v>
      </c>
      <c r="X864" s="28" t="n">
        <v>591</v>
      </c>
      <c r="Y864" s="28" t="n">
        <v>23640</v>
      </c>
      <c r="Z864" s="28"/>
      <c r="AA864" s="28" t="n">
        <f aca="false">Z864*$M864</f>
        <v>0</v>
      </c>
      <c r="AB864" s="28" t="n">
        <v>554</v>
      </c>
      <c r="AC864" s="28" t="n">
        <v>22160</v>
      </c>
      <c r="AD864" s="28"/>
      <c r="AE864" s="28" t="n">
        <f aca="false">AD864*$M864</f>
        <v>0</v>
      </c>
      <c r="AF864" s="28"/>
      <c r="AG864" s="28" t="n">
        <f aca="false">AF864*$M864</f>
        <v>0</v>
      </c>
      <c r="AH864" s="28" t="n">
        <v>1109</v>
      </c>
      <c r="AI864" s="28" t="n">
        <v>44360</v>
      </c>
      <c r="AJ864" s="28"/>
      <c r="AK864" s="28" t="n">
        <f aca="false">AJ864*$M864</f>
        <v>0</v>
      </c>
      <c r="AL864" s="28"/>
      <c r="AM864" s="28" t="n">
        <f aca="false">AL864*$M864</f>
        <v>0</v>
      </c>
      <c r="AN864" s="28"/>
      <c r="AO864" s="28" t="n">
        <f aca="false">AN864*$M864</f>
        <v>0</v>
      </c>
      <c r="AP864" s="28"/>
      <c r="AQ864" s="28" t="n">
        <f aca="false">AP864*$M864</f>
        <v>0</v>
      </c>
      <c r="AR864" s="28"/>
      <c r="AS864" s="28" t="n">
        <f aca="false">AR864*$M864</f>
        <v>0</v>
      </c>
      <c r="AT864" s="28"/>
      <c r="AU864" s="28" t="n">
        <f aca="false">AT864*$M864</f>
        <v>0</v>
      </c>
      <c r="AV864" s="28"/>
      <c r="AW864" s="28" t="n">
        <f aca="false">AV864*$M864</f>
        <v>0</v>
      </c>
      <c r="AX864" s="28"/>
      <c r="AY864" s="28" t="n">
        <f aca="false">AX864*$M864</f>
        <v>0</v>
      </c>
      <c r="AZ864" s="30" t="n">
        <v>3995</v>
      </c>
      <c r="BA864" s="11" t="n">
        <v>159800</v>
      </c>
      <c r="BB864" s="31" t="n">
        <f aca="false">SUM(Q864,S864,U864,W864,Y864,AA864,AC864,AE864,AG864,AI864,AK864,AM864,AO864,AQ864,AS864,AU864,AW864,AY864)</f>
        <v>159800</v>
      </c>
      <c r="BC864" s="28" t="n">
        <f aca="false">BA864-BB864</f>
        <v>0</v>
      </c>
      <c r="BD864" s="32" t="n">
        <f aca="false">SUM(P864,R864,T864,V864,X864,Z864,AB864,AD864,AF864,AH864,AJ864,AL864,AN864,AP864,AR864,AT864,AV864,AX864)</f>
        <v>3995</v>
      </c>
      <c r="BE864" s="33" t="n">
        <f aca="false">AZ864-BD864</f>
        <v>0</v>
      </c>
      <c r="BF864" s="34" t="n">
        <f aca="false">BD864*M864</f>
        <v>159800</v>
      </c>
      <c r="BG864" s="35" t="n">
        <f aca="false">BA864-BF864</f>
        <v>0</v>
      </c>
      <c r="BH864" s="19" t="str">
        <f aca="false">IF(BG864=0,"",IF(BG864&lt;&gt;BA864,"erreur de calcul",IF(BD864&lt;&gt;0,"pas de prix",IF(M864&lt;&gt; 0,"pas de quantité","pas de prix, ni de quantité"))))</f>
        <v/>
      </c>
      <c r="BI864" s="19"/>
    </row>
    <row r="865" customFormat="false" ht="15" hidden="false" customHeight="false" outlineLevel="0" collapsed="false">
      <c r="A865" s="0" t="n">
        <v>36</v>
      </c>
      <c r="B865" s="8" t="s">
        <v>24</v>
      </c>
      <c r="C865" s="9" t="s">
        <v>25</v>
      </c>
      <c r="D865" s="9" t="s">
        <v>26</v>
      </c>
      <c r="E865" s="10" t="n">
        <v>1789</v>
      </c>
      <c r="F865" s="9" t="s">
        <v>27</v>
      </c>
      <c r="G865" s="9" t="s">
        <v>27</v>
      </c>
      <c r="H865" s="11" t="n">
        <v>22</v>
      </c>
      <c r="I865" s="11" t="s">
        <v>239</v>
      </c>
      <c r="J865" s="14" t="n">
        <v>48</v>
      </c>
      <c r="K865" s="14"/>
      <c r="L865" s="16"/>
      <c r="M865" s="27" t="n">
        <f aca="false">J865+(K865/20)+(L865/240)</f>
        <v>48</v>
      </c>
      <c r="N865" s="17" t="s">
        <v>66</v>
      </c>
      <c r="O865" s="11"/>
      <c r="P865" s="28"/>
      <c r="Q865" s="28" t="n">
        <f aca="false">P865*$M865</f>
        <v>0</v>
      </c>
      <c r="R865" s="28"/>
      <c r="S865" s="28" t="n">
        <f aca="false">R865*$M865</f>
        <v>0</v>
      </c>
      <c r="T865" s="28" t="n">
        <v>690</v>
      </c>
      <c r="U865" s="28" t="n">
        <v>33120</v>
      </c>
      <c r="V865" s="28" t="n">
        <v>3577</v>
      </c>
      <c r="W865" s="28" t="n">
        <v>171696</v>
      </c>
      <c r="X865" s="28"/>
      <c r="Y865" s="28" t="n">
        <f aca="false">X865*$M865</f>
        <v>0</v>
      </c>
      <c r="Z865" s="28"/>
      <c r="AA865" s="28" t="n">
        <f aca="false">Z865*$M865</f>
        <v>0</v>
      </c>
      <c r="AB865" s="28"/>
      <c r="AC865" s="28" t="n">
        <f aca="false">AB865*$M865</f>
        <v>0</v>
      </c>
      <c r="AD865" s="28"/>
      <c r="AE865" s="28" t="n">
        <f aca="false">AD865*$M865</f>
        <v>0</v>
      </c>
      <c r="AF865" s="28"/>
      <c r="AG865" s="28" t="n">
        <f aca="false">AF865*$M865</f>
        <v>0</v>
      </c>
      <c r="AH865" s="28"/>
      <c r="AI865" s="28" t="n">
        <f aca="false">AH865*$M865</f>
        <v>0</v>
      </c>
      <c r="AJ865" s="28"/>
      <c r="AK865" s="28" t="n">
        <f aca="false">AJ865*$M865</f>
        <v>0</v>
      </c>
      <c r="AL865" s="28"/>
      <c r="AM865" s="28" t="n">
        <f aca="false">AL865*$M865</f>
        <v>0</v>
      </c>
      <c r="AN865" s="28"/>
      <c r="AO865" s="28" t="n">
        <f aca="false">AN865*$M865</f>
        <v>0</v>
      </c>
      <c r="AP865" s="28"/>
      <c r="AQ865" s="28" t="n">
        <f aca="false">AP865*$M865</f>
        <v>0</v>
      </c>
      <c r="AR865" s="28"/>
      <c r="AS865" s="28" t="n">
        <f aca="false">AR865*$M865</f>
        <v>0</v>
      </c>
      <c r="AT865" s="28"/>
      <c r="AU865" s="28" t="n">
        <f aca="false">AT865*$M865</f>
        <v>0</v>
      </c>
      <c r="AV865" s="28"/>
      <c r="AW865" s="28" t="n">
        <f aca="false">AV865*$M865</f>
        <v>0</v>
      </c>
      <c r="AX865" s="28"/>
      <c r="AY865" s="28" t="n">
        <f aca="false">AX865*$M865</f>
        <v>0</v>
      </c>
      <c r="AZ865" s="30" t="n">
        <v>4267</v>
      </c>
      <c r="BA865" s="11" t="n">
        <v>204816</v>
      </c>
      <c r="BB865" s="31" t="n">
        <f aca="false">SUM(Q865,S865,U865,W865,Y865,AA865,AC865,AE865,AG865,AI865,AK865,AM865,AO865,AQ865,AS865,AU865,AW865,AY865)</f>
        <v>204816</v>
      </c>
      <c r="BC865" s="28" t="n">
        <f aca="false">BA865-BB865</f>
        <v>0</v>
      </c>
      <c r="BD865" s="32" t="n">
        <f aca="false">SUM(P865,R865,T865,V865,X865,Z865,AB865,AD865,AF865,AH865,AJ865,AL865,AN865,AP865,AR865,AT865,AV865,AX865)</f>
        <v>4267</v>
      </c>
      <c r="BE865" s="33" t="n">
        <f aca="false">AZ865-BD865</f>
        <v>0</v>
      </c>
      <c r="BF865" s="34" t="n">
        <f aca="false">BD865*M865</f>
        <v>204816</v>
      </c>
      <c r="BG865" s="35" t="n">
        <f aca="false">BA865-BF865</f>
        <v>0</v>
      </c>
      <c r="BH865" s="19" t="str">
        <f aca="false">IF(BG865=0,"",IF(BG865&lt;&gt;BA865,"erreur de calcul",IF(BD865&lt;&gt;0,"pas de prix",IF(M865&lt;&gt; 0,"pas de quantité","pas de prix, ni de quantité"))))</f>
        <v/>
      </c>
      <c r="BI865" s="19"/>
    </row>
    <row r="866" customFormat="false" ht="15" hidden="false" customHeight="false" outlineLevel="0" collapsed="false">
      <c r="A866" s="0" t="n">
        <v>37</v>
      </c>
      <c r="B866" s="8" t="s">
        <v>24</v>
      </c>
      <c r="C866" s="9" t="s">
        <v>25</v>
      </c>
      <c r="D866" s="9" t="s">
        <v>26</v>
      </c>
      <c r="E866" s="10" t="n">
        <v>1789</v>
      </c>
      <c r="F866" s="9" t="s">
        <v>27</v>
      </c>
      <c r="G866" s="9" t="s">
        <v>27</v>
      </c>
      <c r="H866" s="11" t="n">
        <v>22</v>
      </c>
      <c r="I866" s="11" t="s">
        <v>240</v>
      </c>
      <c r="J866" s="14" t="n">
        <v>30</v>
      </c>
      <c r="K866" s="14"/>
      <c r="L866" s="16"/>
      <c r="M866" s="27" t="n">
        <f aca="false">J866+(K866/20)+(L866/240)</f>
        <v>30</v>
      </c>
      <c r="N866" s="17" t="s">
        <v>66</v>
      </c>
      <c r="O866" s="11"/>
      <c r="P866" s="28"/>
      <c r="Q866" s="28" t="n">
        <f aca="false">P866*$M866</f>
        <v>0</v>
      </c>
      <c r="R866" s="28"/>
      <c r="S866" s="28" t="n">
        <f aca="false">R866*$M866</f>
        <v>0</v>
      </c>
      <c r="T866" s="28"/>
      <c r="U866" s="28" t="n">
        <f aca="false">T866*$M866</f>
        <v>0</v>
      </c>
      <c r="V866" s="28"/>
      <c r="W866" s="28" t="n">
        <f aca="false">V866*$M866</f>
        <v>0</v>
      </c>
      <c r="X866" s="28"/>
      <c r="Y866" s="28" t="n">
        <f aca="false">X866*$M866</f>
        <v>0</v>
      </c>
      <c r="Z866" s="28"/>
      <c r="AA866" s="28" t="n">
        <f aca="false">Z866*$M866</f>
        <v>0</v>
      </c>
      <c r="AB866" s="28"/>
      <c r="AC866" s="28" t="n">
        <f aca="false">AB866*$M866</f>
        <v>0</v>
      </c>
      <c r="AD866" s="28"/>
      <c r="AE866" s="28" t="n">
        <f aca="false">AD866*$M866</f>
        <v>0</v>
      </c>
      <c r="AF866" s="28"/>
      <c r="AG866" s="28" t="n">
        <f aca="false">AF866*$M866</f>
        <v>0</v>
      </c>
      <c r="AH866" s="28" t="n">
        <v>4770</v>
      </c>
      <c r="AI866" s="28" t="n">
        <v>143100</v>
      </c>
      <c r="AJ866" s="28"/>
      <c r="AK866" s="28" t="n">
        <f aca="false">AJ866*$M866</f>
        <v>0</v>
      </c>
      <c r="AL866" s="28"/>
      <c r="AM866" s="28" t="n">
        <f aca="false">AL866*$M866</f>
        <v>0</v>
      </c>
      <c r="AN866" s="28"/>
      <c r="AO866" s="28" t="n">
        <f aca="false">AN866*$M866</f>
        <v>0</v>
      </c>
      <c r="AP866" s="28"/>
      <c r="AQ866" s="28" t="n">
        <f aca="false">AP866*$M866</f>
        <v>0</v>
      </c>
      <c r="AR866" s="28"/>
      <c r="AS866" s="28" t="n">
        <f aca="false">AR866*$M866</f>
        <v>0</v>
      </c>
      <c r="AT866" s="28"/>
      <c r="AU866" s="28" t="n">
        <f aca="false">AT866*$M866</f>
        <v>0</v>
      </c>
      <c r="AV866" s="28"/>
      <c r="AW866" s="28" t="n">
        <f aca="false">AV866*$M866</f>
        <v>0</v>
      </c>
      <c r="AX866" s="28"/>
      <c r="AY866" s="28" t="n">
        <f aca="false">AX866*$M866</f>
        <v>0</v>
      </c>
      <c r="AZ866" s="30" t="n">
        <v>4770</v>
      </c>
      <c r="BA866" s="11" t="n">
        <v>143100</v>
      </c>
      <c r="BB866" s="31" t="n">
        <f aca="false">SUM(Q866,S866,U866,W866,Y866,AA866,AC866,AE866,AG866,AI866,AK866,AM866,AO866,AQ866,AS866,AU866,AW866,AY866)</f>
        <v>143100</v>
      </c>
      <c r="BC866" s="28" t="n">
        <f aca="false">BA866-BB866</f>
        <v>0</v>
      </c>
      <c r="BD866" s="32" t="n">
        <f aca="false">SUM(P866,R866,T866,V866,X866,Z866,AB866,AD866,AF866,AH866,AJ866,AL866,AN866,AP866,AR866,AT866,AV866,AX866)</f>
        <v>4770</v>
      </c>
      <c r="BE866" s="33" t="n">
        <f aca="false">AZ866-BD866</f>
        <v>0</v>
      </c>
      <c r="BF866" s="34" t="n">
        <f aca="false">BD866*M866</f>
        <v>143100</v>
      </c>
      <c r="BG866" s="35" t="n">
        <f aca="false">BA866-BF866</f>
        <v>0</v>
      </c>
      <c r="BH866" s="19" t="str">
        <f aca="false">IF(BG866=0,"",IF(BG866&lt;&gt;BA866,"erreur de calcul",IF(BD866&lt;&gt;0,"pas de prix",IF(M866&lt;&gt; 0,"pas de quantité","pas de prix, ni de quantité"))))</f>
        <v/>
      </c>
      <c r="BI866" s="19"/>
    </row>
    <row r="867" customFormat="false" ht="15" hidden="false" customHeight="false" outlineLevel="0" collapsed="false">
      <c r="A867" s="0" t="n">
        <v>38</v>
      </c>
      <c r="B867" s="8" t="s">
        <v>24</v>
      </c>
      <c r="C867" s="9" t="s">
        <v>25</v>
      </c>
      <c r="D867" s="9" t="s">
        <v>26</v>
      </c>
      <c r="E867" s="10" t="n">
        <v>1789</v>
      </c>
      <c r="F867" s="9" t="s">
        <v>27</v>
      </c>
      <c r="G867" s="9" t="s">
        <v>27</v>
      </c>
      <c r="H867" s="11" t="n">
        <v>22</v>
      </c>
      <c r="I867" s="11" t="s">
        <v>241</v>
      </c>
      <c r="J867" s="14" t="n">
        <v>24</v>
      </c>
      <c r="K867" s="14"/>
      <c r="L867" s="16"/>
      <c r="M867" s="27" t="n">
        <f aca="false">J867+(K867/20)+(L867/240)</f>
        <v>24</v>
      </c>
      <c r="N867" s="17" t="s">
        <v>64</v>
      </c>
      <c r="O867" s="11"/>
      <c r="P867" s="28" t="n">
        <f aca="false">188958/100</f>
        <v>1889.58</v>
      </c>
      <c r="Q867" s="28" t="n">
        <v>45350</v>
      </c>
      <c r="R867" s="28"/>
      <c r="S867" s="28" t="n">
        <f aca="false">R867*$M867</f>
        <v>0</v>
      </c>
      <c r="T867" s="28"/>
      <c r="U867" s="28" t="n">
        <f aca="false">T867*$M867</f>
        <v>0</v>
      </c>
      <c r="V867" s="28" t="n">
        <f aca="false">10567/100</f>
        <v>105.67</v>
      </c>
      <c r="W867" s="28" t="n">
        <v>2536</v>
      </c>
      <c r="X867" s="28" t="n">
        <f aca="false">9467/100</f>
        <v>94.67</v>
      </c>
      <c r="Y867" s="28" t="n">
        <v>2272</v>
      </c>
      <c r="Z867" s="28"/>
      <c r="AA867" s="28" t="n">
        <f aca="false">Z867*$M867</f>
        <v>0</v>
      </c>
      <c r="AB867" s="28"/>
      <c r="AC867" s="28" t="n">
        <f aca="false">AB867*$M867</f>
        <v>0</v>
      </c>
      <c r="AD867" s="28"/>
      <c r="AE867" s="28" t="n">
        <f aca="false">AD867*$M867</f>
        <v>0</v>
      </c>
      <c r="AF867" s="28"/>
      <c r="AG867" s="28" t="n">
        <f aca="false">AF867*$M867</f>
        <v>0</v>
      </c>
      <c r="AH867" s="28"/>
      <c r="AI867" s="28" t="n">
        <f aca="false">AH867*$M867</f>
        <v>0</v>
      </c>
      <c r="AJ867" s="28"/>
      <c r="AK867" s="28" t="n">
        <f aca="false">AJ867*$M867</f>
        <v>0</v>
      </c>
      <c r="AL867" s="28"/>
      <c r="AM867" s="28" t="n">
        <f aca="false">AL867*$M867</f>
        <v>0</v>
      </c>
      <c r="AN867" s="28"/>
      <c r="AO867" s="28" t="n">
        <f aca="false">AN867*$M867</f>
        <v>0</v>
      </c>
      <c r="AP867" s="28"/>
      <c r="AQ867" s="28" t="n">
        <f aca="false">AP867*$M867</f>
        <v>0</v>
      </c>
      <c r="AR867" s="28"/>
      <c r="AS867" s="28" t="n">
        <f aca="false">AR867*$M867</f>
        <v>0</v>
      </c>
      <c r="AT867" s="28"/>
      <c r="AU867" s="28" t="n">
        <f aca="false">AT867*$M867</f>
        <v>0</v>
      </c>
      <c r="AV867" s="28"/>
      <c r="AW867" s="28" t="n">
        <f aca="false">AV867*$M867</f>
        <v>0</v>
      </c>
      <c r="AX867" s="28" t="n">
        <f aca="false">328659/100</f>
        <v>3286.59</v>
      </c>
      <c r="AY867" s="28" t="n">
        <v>78878</v>
      </c>
      <c r="AZ867" s="30" t="n">
        <f aca="false">537651/100</f>
        <v>5376.51</v>
      </c>
      <c r="BA867" s="11" t="n">
        <v>129036</v>
      </c>
      <c r="BB867" s="31" t="n">
        <f aca="false">SUM(Q867,S867,U867,W867,Y867,AA867,AC867,AE867,AG867,AI867,AK867,AM867,AO867,AQ867,AS867,AU867,AW867,AY867)</f>
        <v>129036</v>
      </c>
      <c r="BC867" s="28" t="n">
        <f aca="false">BA867-BB867</f>
        <v>0</v>
      </c>
      <c r="BD867" s="32" t="n">
        <f aca="false">SUM(P867,R867,T867,V867,X867,Z867,AB867,AD867,AF867,AH867,AJ867,AL867,AN867,AP867,AR867,AT867,AV867,AX867)</f>
        <v>5376.51</v>
      </c>
      <c r="BE867" s="33" t="n">
        <f aca="false">AZ867-BD867</f>
        <v>0</v>
      </c>
      <c r="BF867" s="34" t="n">
        <f aca="false">BD867*M867</f>
        <v>129036.24</v>
      </c>
      <c r="BG867" s="35" t="n">
        <f aca="false">BA867-BF867</f>
        <v>-0.240000000005239</v>
      </c>
      <c r="BH867" s="19" t="str">
        <f aca="false">IF(BG867=0,"",IF(BG867&lt;&gt;BA867,"erreur de calcul",IF(BD867&lt;&gt;0,"pas de prix",IF(M867&lt;&gt; 0,"pas de quantité","pas de prix, ni de quantité"))))</f>
        <v>erreur de calcul</v>
      </c>
      <c r="BI867" s="19"/>
    </row>
    <row r="868" customFormat="false" ht="15" hidden="false" customHeight="false" outlineLevel="0" collapsed="false">
      <c r="A868" s="0" t="n">
        <v>39</v>
      </c>
      <c r="B868" s="8" t="s">
        <v>24</v>
      </c>
      <c r="C868" s="9" t="s">
        <v>25</v>
      </c>
      <c r="D868" s="9" t="s">
        <v>26</v>
      </c>
      <c r="E868" s="10" t="n">
        <v>1789</v>
      </c>
      <c r="F868" s="9" t="s">
        <v>27</v>
      </c>
      <c r="G868" s="9" t="s">
        <v>27</v>
      </c>
      <c r="H868" s="11" t="n">
        <v>22</v>
      </c>
      <c r="I868" s="11" t="s">
        <v>242</v>
      </c>
      <c r="J868" s="14" t="n">
        <v>41</v>
      </c>
      <c r="K868" s="14"/>
      <c r="L868" s="16"/>
      <c r="M868" s="27" t="n">
        <f aca="false">J868+(K868/20)+(L868/240)</f>
        <v>41</v>
      </c>
      <c r="N868" s="17" t="s">
        <v>64</v>
      </c>
      <c r="O868" s="11"/>
      <c r="P868" s="28"/>
      <c r="Q868" s="28" t="n">
        <f aca="false">P868*$M868</f>
        <v>0</v>
      </c>
      <c r="R868" s="28"/>
      <c r="S868" s="28" t="n">
        <f aca="false">R868*$M868</f>
        <v>0</v>
      </c>
      <c r="T868" s="28" t="n">
        <f aca="false">441/100</f>
        <v>4.41</v>
      </c>
      <c r="U868" s="28" t="n">
        <v>181</v>
      </c>
      <c r="V868" s="28"/>
      <c r="W868" s="28" t="n">
        <f aca="false">V868*$M868</f>
        <v>0</v>
      </c>
      <c r="X868" s="28"/>
      <c r="Y868" s="28" t="n">
        <f aca="false">X868*$M868</f>
        <v>0</v>
      </c>
      <c r="Z868" s="28"/>
      <c r="AA868" s="28" t="n">
        <f aca="false">Z868*$M868</f>
        <v>0</v>
      </c>
      <c r="AB868" s="28"/>
      <c r="AC868" s="28" t="n">
        <f aca="false">AB868*$M868</f>
        <v>0</v>
      </c>
      <c r="AD868" s="28"/>
      <c r="AE868" s="28" t="n">
        <f aca="false">AD868*$M868</f>
        <v>0</v>
      </c>
      <c r="AF868" s="28"/>
      <c r="AG868" s="28" t="n">
        <f aca="false">AF868*$M868</f>
        <v>0</v>
      </c>
      <c r="AH868" s="28"/>
      <c r="AI868" s="28" t="n">
        <f aca="false">AH868*$M868</f>
        <v>0</v>
      </c>
      <c r="AJ868" s="28"/>
      <c r="AK868" s="28" t="n">
        <f aca="false">AJ868*$M868</f>
        <v>0</v>
      </c>
      <c r="AL868" s="28"/>
      <c r="AM868" s="28" t="n">
        <f aca="false">AL868*$M868</f>
        <v>0</v>
      </c>
      <c r="AN868" s="28"/>
      <c r="AO868" s="28" t="n">
        <f aca="false">AN868*$M868</f>
        <v>0</v>
      </c>
      <c r="AP868" s="28"/>
      <c r="AQ868" s="28" t="n">
        <f aca="false">AP868*$M868</f>
        <v>0</v>
      </c>
      <c r="AR868" s="28"/>
      <c r="AS868" s="28" t="n">
        <f aca="false">AR868*$M868</f>
        <v>0</v>
      </c>
      <c r="AT868" s="28"/>
      <c r="AU868" s="28" t="n">
        <f aca="false">AT868*$M868</f>
        <v>0</v>
      </c>
      <c r="AV868" s="28"/>
      <c r="AW868" s="28" t="n">
        <f aca="false">AV868*$M868</f>
        <v>0</v>
      </c>
      <c r="AX868" s="28"/>
      <c r="AY868" s="28" t="n">
        <f aca="false">AX868*$M868</f>
        <v>0</v>
      </c>
      <c r="AZ868" s="30" t="n">
        <f aca="false">441/100</f>
        <v>4.41</v>
      </c>
      <c r="BA868" s="11" t="n">
        <v>181</v>
      </c>
      <c r="BB868" s="31" t="n">
        <f aca="false">SUM(Q868,S868,U868,W868,Y868,AA868,AC868,AE868,AG868,AI868,AK868,AM868,AO868,AQ868,AS868,AU868,AW868,AY868)</f>
        <v>181</v>
      </c>
      <c r="BC868" s="28" t="n">
        <f aca="false">BA868-BB868</f>
        <v>0</v>
      </c>
      <c r="BD868" s="32" t="n">
        <f aca="false">SUM(P868,R868,T868,V868,X868,Z868,AB868,AD868,AF868,AH868,AJ868,AL868,AN868,AP868,AR868,AT868,AV868,AX868)</f>
        <v>4.41</v>
      </c>
      <c r="BE868" s="33" t="n">
        <f aca="false">AZ868-BD868</f>
        <v>0</v>
      </c>
      <c r="BF868" s="34" t="n">
        <f aca="false">BD868*M868</f>
        <v>180.81</v>
      </c>
      <c r="BG868" s="35" t="n">
        <f aca="false">BA868-BF868</f>
        <v>0.189999999999998</v>
      </c>
      <c r="BH868" s="19" t="str">
        <f aca="false">IF(BG868=0,"",IF(BG868&lt;&gt;BA868,"erreur de calcul",IF(BD868&lt;&gt;0,"pas de prix",IF(M868&lt;&gt; 0,"pas de quantité","pas de prix, ni de quantité"))))</f>
        <v>erreur de calcul</v>
      </c>
      <c r="BI868" s="19"/>
    </row>
    <row r="869" customFormat="false" ht="15" hidden="false" customHeight="false" outlineLevel="0" collapsed="false">
      <c r="A869" s="0" t="n">
        <v>1</v>
      </c>
      <c r="B869" s="8" t="s">
        <v>24</v>
      </c>
      <c r="C869" s="9" t="s">
        <v>25</v>
      </c>
      <c r="D869" s="9" t="s">
        <v>26</v>
      </c>
      <c r="E869" s="10" t="n">
        <v>1789</v>
      </c>
      <c r="F869" s="9" t="s">
        <v>27</v>
      </c>
      <c r="G869" s="9" t="s">
        <v>27</v>
      </c>
      <c r="H869" s="11" t="n">
        <v>23</v>
      </c>
      <c r="I869" s="11" t="s">
        <v>243</v>
      </c>
      <c r="J869" s="14"/>
      <c r="K869" s="14"/>
      <c r="L869" s="16"/>
      <c r="M869" s="27" t="n">
        <f aca="false">J869+(K869/20)+(L869/240)</f>
        <v>0</v>
      </c>
      <c r="N869" s="17"/>
      <c r="O869" s="11"/>
      <c r="P869" s="28"/>
      <c r="Q869" s="28" t="n">
        <f aca="false">P869*$M869</f>
        <v>0</v>
      </c>
      <c r="R869" s="28"/>
      <c r="S869" s="28" t="n">
        <f aca="false">R869*$M869</f>
        <v>0</v>
      </c>
      <c r="T869" s="28"/>
      <c r="U869" s="28" t="n">
        <f aca="false">T869*$M869</f>
        <v>0</v>
      </c>
      <c r="V869" s="28"/>
      <c r="W869" s="28" t="n">
        <v>100</v>
      </c>
      <c r="X869" s="28"/>
      <c r="Y869" s="28" t="n">
        <v>563</v>
      </c>
      <c r="Z869" s="28"/>
      <c r="AA869" s="28" t="n">
        <f aca="false">Z869*$M869</f>
        <v>0</v>
      </c>
      <c r="AB869" s="28"/>
      <c r="AC869" s="28" t="n">
        <f aca="false">AB869*$M869</f>
        <v>0</v>
      </c>
      <c r="AD869" s="28"/>
      <c r="AE869" s="28" t="n">
        <f aca="false">AD869*$M869</f>
        <v>0</v>
      </c>
      <c r="AF869" s="28"/>
      <c r="AG869" s="28" t="n">
        <f aca="false">AF869*$M869</f>
        <v>0</v>
      </c>
      <c r="AH869" s="28"/>
      <c r="AI869" s="28" t="n">
        <f aca="false">AH869*$M869</f>
        <v>0</v>
      </c>
      <c r="AJ869" s="28"/>
      <c r="AK869" s="28" t="n">
        <v>1015</v>
      </c>
      <c r="AL869" s="28"/>
      <c r="AM869" s="28" t="n">
        <f aca="false">AL869*$M869</f>
        <v>0</v>
      </c>
      <c r="AN869" s="28"/>
      <c r="AO869" s="28" t="n">
        <f aca="false">AN869*$M869</f>
        <v>0</v>
      </c>
      <c r="AP869" s="28"/>
      <c r="AQ869" s="28" t="n">
        <f aca="false">AP869*$M869</f>
        <v>0</v>
      </c>
      <c r="AR869" s="28"/>
      <c r="AS869" s="28" t="n">
        <f aca="false">AR869*$M869</f>
        <v>0</v>
      </c>
      <c r="AT869" s="28"/>
      <c r="AU869" s="28" t="n">
        <f aca="false">AT869*$M869</f>
        <v>0</v>
      </c>
      <c r="AV869" s="28"/>
      <c r="AW869" s="28" t="n">
        <f aca="false">AV869*$M869</f>
        <v>0</v>
      </c>
      <c r="AX869" s="28"/>
      <c r="AY869" s="28" t="n">
        <f aca="false">AX869*$M869</f>
        <v>0</v>
      </c>
      <c r="AZ869" s="30"/>
      <c r="BA869" s="11" t="n">
        <v>1678</v>
      </c>
      <c r="BB869" s="31" t="n">
        <f aca="false">SUM(Q869,S869,U869,W869,Y869,AA869,AC869,AE869,AG869,AI869,AK869,AM869,AO869,AQ869,AS869,AU869,AW869,AY869)</f>
        <v>1678</v>
      </c>
      <c r="BC869" s="28" t="n">
        <f aca="false">BA869-BB869</f>
        <v>0</v>
      </c>
      <c r="BD869" s="32" t="n">
        <f aca="false">SUM(P869,R869,T869,V869,X869,Z869,AB869,AD869,AF869,AH869,AJ869,AL869,AN869,AP869,AR869,AT869,AV869,AX869)</f>
        <v>0</v>
      </c>
      <c r="BE869" s="33" t="n">
        <f aca="false">AZ869-BD869</f>
        <v>0</v>
      </c>
      <c r="BF869" s="34" t="n">
        <f aca="false">BD869*M869</f>
        <v>0</v>
      </c>
      <c r="BG869" s="35" t="n">
        <f aca="false">BA869-BF869</f>
        <v>1678</v>
      </c>
      <c r="BH869" s="19" t="str">
        <f aca="false">IF(BG869=0,"",IF(BG869&lt;&gt;BA869,"erreur de calcul",IF(BD869&lt;&gt;0,"pas de prix",IF(M869&lt;&gt; 0,"pas de quantité","pas de prix, ni de quantité"))))</f>
        <v>pas de prix, ni de quantité</v>
      </c>
      <c r="BI869" s="19"/>
    </row>
    <row r="870" customFormat="false" ht="15" hidden="false" customHeight="false" outlineLevel="0" collapsed="false">
      <c r="A870" s="0" t="n">
        <v>2</v>
      </c>
      <c r="B870" s="8" t="s">
        <v>24</v>
      </c>
      <c r="C870" s="9" t="s">
        <v>25</v>
      </c>
      <c r="D870" s="9" t="s">
        <v>26</v>
      </c>
      <c r="E870" s="10" t="n">
        <v>1789</v>
      </c>
      <c r="F870" s="9" t="s">
        <v>27</v>
      </c>
      <c r="G870" s="9" t="s">
        <v>27</v>
      </c>
      <c r="H870" s="11" t="n">
        <v>23</v>
      </c>
      <c r="I870" s="11" t="s">
        <v>244</v>
      </c>
      <c r="J870" s="14" t="n">
        <v>22</v>
      </c>
      <c r="K870" s="14"/>
      <c r="L870" s="16"/>
      <c r="M870" s="27" t="n">
        <f aca="false">J870+(K870/20)+(L870/240)</f>
        <v>22</v>
      </c>
      <c r="N870" s="17" t="s">
        <v>64</v>
      </c>
      <c r="O870" s="11"/>
      <c r="P870" s="28"/>
      <c r="Q870" s="28" t="n">
        <f aca="false">P870*$M870</f>
        <v>0</v>
      </c>
      <c r="R870" s="28"/>
      <c r="S870" s="28" t="n">
        <f aca="false">R870*$M870</f>
        <v>0</v>
      </c>
      <c r="T870" s="28"/>
      <c r="U870" s="28" t="n">
        <f aca="false">T870*$M870</f>
        <v>0</v>
      </c>
      <c r="V870" s="28" t="n">
        <f aca="false">15346/100</f>
        <v>153.46</v>
      </c>
      <c r="W870" s="28" t="n">
        <v>3376</v>
      </c>
      <c r="X870" s="28"/>
      <c r="Y870" s="28" t="n">
        <f aca="false">X870*$M870</f>
        <v>0</v>
      </c>
      <c r="Z870" s="28"/>
      <c r="AA870" s="28" t="n">
        <f aca="false">Z870*$M870</f>
        <v>0</v>
      </c>
      <c r="AB870" s="28"/>
      <c r="AC870" s="28" t="n">
        <f aca="false">AB870*$M870</f>
        <v>0</v>
      </c>
      <c r="AD870" s="28"/>
      <c r="AE870" s="28" t="n">
        <f aca="false">AD870*$M870</f>
        <v>0</v>
      </c>
      <c r="AF870" s="28"/>
      <c r="AG870" s="28" t="n">
        <f aca="false">AF870*$M870</f>
        <v>0</v>
      </c>
      <c r="AH870" s="28"/>
      <c r="AI870" s="28" t="n">
        <f aca="false">AH870*$M870</f>
        <v>0</v>
      </c>
      <c r="AJ870" s="28" t="n">
        <f aca="false">9084/100</f>
        <v>90.84</v>
      </c>
      <c r="AK870" s="28" t="n">
        <v>1998</v>
      </c>
      <c r="AL870" s="28" t="n">
        <f aca="false">8917/100</f>
        <v>89.17</v>
      </c>
      <c r="AM870" s="28" t="n">
        <v>1962</v>
      </c>
      <c r="AN870" s="28"/>
      <c r="AO870" s="28" t="n">
        <f aca="false">AN870*$M870</f>
        <v>0</v>
      </c>
      <c r="AP870" s="28"/>
      <c r="AQ870" s="28" t="n">
        <f aca="false">AP870*$M870</f>
        <v>0</v>
      </c>
      <c r="AR870" s="28"/>
      <c r="AS870" s="28" t="n">
        <f aca="false">AR870*$M870</f>
        <v>0</v>
      </c>
      <c r="AT870" s="28"/>
      <c r="AU870" s="28" t="n">
        <f aca="false">AT870*$M870</f>
        <v>0</v>
      </c>
      <c r="AV870" s="28"/>
      <c r="AW870" s="28" t="n">
        <f aca="false">AV870*$M870</f>
        <v>0</v>
      </c>
      <c r="AX870" s="28"/>
      <c r="AY870" s="28" t="n">
        <f aca="false">AX870*$M870</f>
        <v>0</v>
      </c>
      <c r="AZ870" s="30" t="n">
        <f aca="false">3347/100</f>
        <v>33.47</v>
      </c>
      <c r="BA870" s="11" t="n">
        <v>7336</v>
      </c>
      <c r="BB870" s="31" t="n">
        <f aca="false">SUM(Q870,S870,U870,W870,Y870,AA870,AC870,AE870,AG870,AI870,AK870,AM870,AO870,AQ870,AS870,AU870,AW870,AY870)</f>
        <v>7336</v>
      </c>
      <c r="BC870" s="28" t="n">
        <f aca="false">BA870-BB870</f>
        <v>0</v>
      </c>
      <c r="BD870" s="32" t="n">
        <f aca="false">SUM(P870,R870,T870,V870,X870,Z870,AB870,AD870,AF870,AH870,AJ870,AL870,AN870,AP870,AR870,AT870,AV870,AX870)</f>
        <v>333.47</v>
      </c>
      <c r="BE870" s="33" t="n">
        <f aca="false">AZ870-BD870</f>
        <v>-300</v>
      </c>
      <c r="BF870" s="34" t="n">
        <f aca="false">BD870*M870</f>
        <v>7336.34</v>
      </c>
      <c r="BG870" s="35" t="n">
        <f aca="false">BA870-BF870</f>
        <v>-0.340000000000146</v>
      </c>
      <c r="BH870" s="19" t="str">
        <f aca="false">IF(BG870=0,"",IF(BG870&lt;&gt;BA870,"erreur de calcul",IF(BD870&lt;&gt;0,"pas de prix",IF(M870&lt;&gt; 0,"pas de quantité","pas de prix, ni de quantité"))))</f>
        <v>erreur de calcul</v>
      </c>
      <c r="BI870" s="19"/>
    </row>
    <row r="871" customFormat="false" ht="15" hidden="false" customHeight="false" outlineLevel="0" collapsed="false">
      <c r="A871" s="0" t="n">
        <v>3</v>
      </c>
      <c r="B871" s="8" t="s">
        <v>24</v>
      </c>
      <c r="C871" s="9" t="s">
        <v>25</v>
      </c>
      <c r="D871" s="9" t="s">
        <v>26</v>
      </c>
      <c r="E871" s="10" t="n">
        <v>1789</v>
      </c>
      <c r="F871" s="9" t="s">
        <v>27</v>
      </c>
      <c r="G871" s="9" t="s">
        <v>27</v>
      </c>
      <c r="H871" s="11" t="n">
        <v>23</v>
      </c>
      <c r="I871" s="11" t="s">
        <v>245</v>
      </c>
      <c r="J871" s="14" t="n">
        <v>28</v>
      </c>
      <c r="K871" s="14"/>
      <c r="L871" s="16"/>
      <c r="M871" s="27" t="n">
        <f aca="false">J871+(K871/20)+(L871/240)</f>
        <v>28</v>
      </c>
      <c r="N871" s="17" t="s">
        <v>64</v>
      </c>
      <c r="O871" s="11"/>
      <c r="P871" s="28"/>
      <c r="Q871" s="28" t="n">
        <f aca="false">P871*$M871</f>
        <v>0</v>
      </c>
      <c r="R871" s="28"/>
      <c r="S871" s="28" t="n">
        <f aca="false">R871*$M871</f>
        <v>0</v>
      </c>
      <c r="T871" s="28"/>
      <c r="U871" s="28" t="n">
        <f aca="false">T871*$M871</f>
        <v>0</v>
      </c>
      <c r="V871" s="28" t="n">
        <f aca="false">61654/100</f>
        <v>616.54</v>
      </c>
      <c r="W871" s="28" t="n">
        <v>17263</v>
      </c>
      <c r="X871" s="28"/>
      <c r="Y871" s="28" t="n">
        <f aca="false">X871*$M871</f>
        <v>0</v>
      </c>
      <c r="Z871" s="28"/>
      <c r="AA871" s="28" t="n">
        <f aca="false">Z871*$M871</f>
        <v>0</v>
      </c>
      <c r="AB871" s="28"/>
      <c r="AC871" s="28" t="n">
        <f aca="false">AB871*$M871</f>
        <v>0</v>
      </c>
      <c r="AD871" s="28"/>
      <c r="AE871" s="28" t="n">
        <f aca="false">AD871*$M871</f>
        <v>0</v>
      </c>
      <c r="AF871" s="28"/>
      <c r="AG871" s="28" t="n">
        <f aca="false">AF871*$M871</f>
        <v>0</v>
      </c>
      <c r="AH871" s="28"/>
      <c r="AI871" s="28" t="n">
        <f aca="false">AH871*$M871</f>
        <v>0</v>
      </c>
      <c r="AJ871" s="28"/>
      <c r="AK871" s="28" t="n">
        <f aca="false">AJ871*$M871</f>
        <v>0</v>
      </c>
      <c r="AL871" s="28" t="n">
        <f aca="false">6250/100</f>
        <v>62.5</v>
      </c>
      <c r="AM871" s="28" t="n">
        <v>1750</v>
      </c>
      <c r="AN871" s="28"/>
      <c r="AO871" s="28" t="n">
        <f aca="false">AN871*$M871</f>
        <v>0</v>
      </c>
      <c r="AP871" s="28"/>
      <c r="AQ871" s="28" t="n">
        <f aca="false">AP871*$M871</f>
        <v>0</v>
      </c>
      <c r="AR871" s="28"/>
      <c r="AS871" s="28" t="n">
        <f aca="false">AR871*$M871</f>
        <v>0</v>
      </c>
      <c r="AT871" s="28"/>
      <c r="AU871" s="28" t="n">
        <f aca="false">AT871*$M871</f>
        <v>0</v>
      </c>
      <c r="AV871" s="28"/>
      <c r="AW871" s="28" t="n">
        <f aca="false">AV871*$M871</f>
        <v>0</v>
      </c>
      <c r="AX871" s="28"/>
      <c r="AY871" s="28" t="n">
        <f aca="false">AX871*$M871</f>
        <v>0</v>
      </c>
      <c r="AZ871" s="30" t="n">
        <f aca="false">67904/100</f>
        <v>679.04</v>
      </c>
      <c r="BA871" s="11" t="n">
        <v>19013</v>
      </c>
      <c r="BB871" s="31" t="n">
        <f aca="false">SUM(Q871,S871,U871,W871,Y871,AA871,AC871,AE871,AG871,AI871,AK871,AM871,AO871,AQ871,AS871,AU871,AW871,AY871)</f>
        <v>19013</v>
      </c>
      <c r="BC871" s="28" t="n">
        <f aca="false">BA871-BB871</f>
        <v>0</v>
      </c>
      <c r="BD871" s="32" t="n">
        <f aca="false">SUM(P871,R871,T871,V871,X871,Z871,AB871,AD871,AF871,AH871,AJ871,AL871,AN871,AP871,AR871,AT871,AV871,AX871)</f>
        <v>679.04</v>
      </c>
      <c r="BE871" s="33" t="n">
        <f aca="false">AZ871-BD871</f>
        <v>0</v>
      </c>
      <c r="BF871" s="34" t="n">
        <f aca="false">BD871*M871</f>
        <v>19013.12</v>
      </c>
      <c r="BG871" s="35" t="n">
        <f aca="false">BA871-BF871</f>
        <v>-0.119999999998981</v>
      </c>
      <c r="BH871" s="19" t="str">
        <f aca="false">IF(BG871=0,"",IF(BG871&lt;&gt;BA871,"erreur de calcul",IF(BD871&lt;&gt;0,"pas de prix",IF(M871&lt;&gt; 0,"pas de quantité","pas de prix, ni de quantité"))))</f>
        <v>erreur de calcul</v>
      </c>
      <c r="BI871" s="19"/>
    </row>
    <row r="872" customFormat="false" ht="15" hidden="false" customHeight="false" outlineLevel="0" collapsed="false">
      <c r="A872" s="0" t="n">
        <v>4</v>
      </c>
      <c r="B872" s="8" t="s">
        <v>24</v>
      </c>
      <c r="C872" s="9" t="s">
        <v>25</v>
      </c>
      <c r="D872" s="9" t="s">
        <v>26</v>
      </c>
      <c r="E872" s="10" t="n">
        <v>1789</v>
      </c>
      <c r="F872" s="9" t="s">
        <v>27</v>
      </c>
      <c r="G872" s="9" t="s">
        <v>27</v>
      </c>
      <c r="H872" s="11" t="n">
        <v>23</v>
      </c>
      <c r="I872" s="11" t="s">
        <v>246</v>
      </c>
      <c r="J872" s="14" t="n">
        <v>17</v>
      </c>
      <c r="K872" s="14"/>
      <c r="L872" s="16"/>
      <c r="M872" s="27" t="n">
        <f aca="false">J872+(K872/20)+(L872/240)</f>
        <v>17</v>
      </c>
      <c r="N872" s="17" t="s">
        <v>64</v>
      </c>
      <c r="O872" s="11"/>
      <c r="P872" s="28"/>
      <c r="Q872" s="28" t="n">
        <f aca="false">P872*$M872</f>
        <v>0</v>
      </c>
      <c r="R872" s="28"/>
      <c r="S872" s="28" t="n">
        <f aca="false">R872*$M872</f>
        <v>0</v>
      </c>
      <c r="T872" s="28" t="n">
        <f aca="false">25000/100</f>
        <v>250</v>
      </c>
      <c r="U872" s="28" t="n">
        <v>4250</v>
      </c>
      <c r="V872" s="28" t="n">
        <f aca="false">78153/100</f>
        <v>781.53</v>
      </c>
      <c r="W872" s="28" t="n">
        <v>13286</v>
      </c>
      <c r="X872" s="28"/>
      <c r="Y872" s="28" t="n">
        <f aca="false">X872*$M872</f>
        <v>0</v>
      </c>
      <c r="Z872" s="28"/>
      <c r="AA872" s="28" t="n">
        <f aca="false">Z872*$M872</f>
        <v>0</v>
      </c>
      <c r="AB872" s="28"/>
      <c r="AC872" s="28" t="n">
        <f aca="false">AB872*$M872</f>
        <v>0</v>
      </c>
      <c r="AD872" s="28"/>
      <c r="AE872" s="28" t="n">
        <f aca="false">AD872*$M872</f>
        <v>0</v>
      </c>
      <c r="AF872" s="28"/>
      <c r="AG872" s="28" t="n">
        <f aca="false">AF872*$M872</f>
        <v>0</v>
      </c>
      <c r="AH872" s="28"/>
      <c r="AI872" s="28" t="n">
        <f aca="false">AH872*$M872</f>
        <v>0</v>
      </c>
      <c r="AJ872" s="28" t="n">
        <f aca="false">113774/100</f>
        <v>1137.74</v>
      </c>
      <c r="AK872" s="28" t="n">
        <v>19341</v>
      </c>
      <c r="AL872" s="28" t="n">
        <f aca="false">749547/100</f>
        <v>7495.47</v>
      </c>
      <c r="AM872" s="28" t="n">
        <v>127423</v>
      </c>
      <c r="AN872" s="28"/>
      <c r="AO872" s="28" t="n">
        <f aca="false">AN872*$M872</f>
        <v>0</v>
      </c>
      <c r="AP872" s="28" t="n">
        <f aca="false">578251/100</f>
        <v>5782.51</v>
      </c>
      <c r="AQ872" s="28" t="n">
        <v>98303</v>
      </c>
      <c r="AR872" s="28" t="n">
        <f aca="false">9141217/100</f>
        <v>91412.17</v>
      </c>
      <c r="AS872" s="28" t="n">
        <v>1554007</v>
      </c>
      <c r="AT872" s="28"/>
      <c r="AU872" s="28" t="n">
        <f aca="false">AT872*$M872</f>
        <v>0</v>
      </c>
      <c r="AV872" s="28" t="n">
        <f aca="false">314570/100</f>
        <v>3145.7</v>
      </c>
      <c r="AW872" s="28" t="n">
        <v>53477</v>
      </c>
      <c r="AX872" s="28"/>
      <c r="AY872" s="28" t="n">
        <f aca="false">AX872*$M872</f>
        <v>0</v>
      </c>
      <c r="AZ872" s="30" t="n">
        <f aca="false">11004767/100</f>
        <v>110047.67</v>
      </c>
      <c r="BA872" s="11" t="n">
        <v>1870087</v>
      </c>
      <c r="BB872" s="31" t="n">
        <f aca="false">SUM(Q872,S872,U872,W872,Y872,AA872,AC872,AE872,AG872,AI872,AK872,AM872,AO872,AQ872,AS872,AU872,AW872,AY872)</f>
        <v>1870087</v>
      </c>
      <c r="BC872" s="28" t="n">
        <f aca="false">BA872-BB872</f>
        <v>0</v>
      </c>
      <c r="BD872" s="32" t="n">
        <f aca="false">SUM(P872,R872,T872,V872,X872,Z872,AB872,AD872,AF872,AH872,AJ872,AL872,AN872,AP872,AR872,AT872,AV872,AX872)</f>
        <v>110005.12</v>
      </c>
      <c r="BE872" s="33" t="n">
        <f aca="false">AZ872-BD872</f>
        <v>42.5500000000029</v>
      </c>
      <c r="BF872" s="34" t="n">
        <f aca="false">BD872*M872</f>
        <v>1870087.04</v>
      </c>
      <c r="BG872" s="35" t="n">
        <f aca="false">BA872-BF872</f>
        <v>-0.0400000000372529</v>
      </c>
      <c r="BH872" s="19" t="str">
        <f aca="false">IF(BG872=0,"",IF(BG872&lt;&gt;BA872,"erreur de calcul",IF(BD872&lt;&gt;0,"pas de prix",IF(M872&lt;&gt; 0,"pas de quantité","pas de prix, ni de quantité"))))</f>
        <v>erreur de calcul</v>
      </c>
      <c r="BI872" s="19"/>
    </row>
    <row r="873" customFormat="false" ht="15" hidden="false" customHeight="false" outlineLevel="0" collapsed="false">
      <c r="A873" s="0" t="n">
        <v>5</v>
      </c>
      <c r="B873" s="8" t="s">
        <v>24</v>
      </c>
      <c r="C873" s="9" t="s">
        <v>25</v>
      </c>
      <c r="D873" s="9" t="s">
        <v>26</v>
      </c>
      <c r="E873" s="10" t="n">
        <v>1789</v>
      </c>
      <c r="F873" s="9" t="s">
        <v>27</v>
      </c>
      <c r="G873" s="9" t="s">
        <v>27</v>
      </c>
      <c r="H873" s="11" t="n">
        <v>23</v>
      </c>
      <c r="I873" s="11" t="s">
        <v>247</v>
      </c>
      <c r="J873" s="14" t="n">
        <v>60</v>
      </c>
      <c r="K873" s="14"/>
      <c r="L873" s="16"/>
      <c r="M873" s="27" t="n">
        <f aca="false">J873+(K873/20)+(L873/240)</f>
        <v>60</v>
      </c>
      <c r="N873" s="17" t="s">
        <v>64</v>
      </c>
      <c r="O873" s="11"/>
      <c r="P873" s="28" t="n">
        <f aca="false">17500/100</f>
        <v>175</v>
      </c>
      <c r="Q873" s="28" t="n">
        <v>10500</v>
      </c>
      <c r="R873" s="28"/>
      <c r="S873" s="28" t="n">
        <f aca="false">R873*$M873</f>
        <v>0</v>
      </c>
      <c r="T873" s="28"/>
      <c r="U873" s="28" t="n">
        <f aca="false">T873*$M873</f>
        <v>0</v>
      </c>
      <c r="V873" s="28"/>
      <c r="W873" s="28" t="n">
        <f aca="false">V873*$M873</f>
        <v>0</v>
      </c>
      <c r="X873" s="28"/>
      <c r="Y873" s="28" t="n">
        <f aca="false">X873*$M873</f>
        <v>0</v>
      </c>
      <c r="Z873" s="28"/>
      <c r="AA873" s="28" t="n">
        <f aca="false">Z873*$M873</f>
        <v>0</v>
      </c>
      <c r="AB873" s="28"/>
      <c r="AC873" s="28" t="n">
        <f aca="false">AB873*$M873</f>
        <v>0</v>
      </c>
      <c r="AD873" s="28"/>
      <c r="AE873" s="28" t="n">
        <f aca="false">AD873*$M873</f>
        <v>0</v>
      </c>
      <c r="AF873" s="28"/>
      <c r="AG873" s="28" t="n">
        <f aca="false">AF873*$M873</f>
        <v>0</v>
      </c>
      <c r="AH873" s="28"/>
      <c r="AI873" s="28" t="n">
        <f aca="false">AH873*$M873</f>
        <v>0</v>
      </c>
      <c r="AJ873" s="28"/>
      <c r="AK873" s="28" t="n">
        <f aca="false">AJ873*$M873</f>
        <v>0</v>
      </c>
      <c r="AL873" s="28" t="n">
        <f aca="false">107571/100</f>
        <v>1075.71</v>
      </c>
      <c r="AM873" s="28" t="n">
        <v>64543</v>
      </c>
      <c r="AN873" s="28"/>
      <c r="AO873" s="28" t="n">
        <f aca="false">AN873*$M873</f>
        <v>0</v>
      </c>
      <c r="AP873" s="28"/>
      <c r="AQ873" s="28" t="n">
        <f aca="false">AP873*$M873</f>
        <v>0</v>
      </c>
      <c r="AR873" s="28"/>
      <c r="AS873" s="28" t="n">
        <f aca="false">AR873*$M873</f>
        <v>0</v>
      </c>
      <c r="AT873" s="28"/>
      <c r="AU873" s="28" t="n">
        <f aca="false">AT873*$M873</f>
        <v>0</v>
      </c>
      <c r="AV873" s="28"/>
      <c r="AW873" s="28" t="n">
        <f aca="false">AV873*$M873</f>
        <v>0</v>
      </c>
      <c r="AX873" s="28"/>
      <c r="AY873" s="28" t="n">
        <f aca="false">AX873*$M873</f>
        <v>0</v>
      </c>
      <c r="AZ873" s="30" t="n">
        <f aca="false">125071/100</f>
        <v>1250.71</v>
      </c>
      <c r="BA873" s="11" t="n">
        <v>75043</v>
      </c>
      <c r="BB873" s="31" t="n">
        <f aca="false">SUM(Q873,S873,U873,W873,Y873,AA873,AC873,AE873,AG873,AI873,AK873,AM873,AO873,AQ873,AS873,AU873,AW873,AY873)</f>
        <v>75043</v>
      </c>
      <c r="BC873" s="28" t="n">
        <f aca="false">BA873-BB873</f>
        <v>0</v>
      </c>
      <c r="BD873" s="32" t="n">
        <f aca="false">SUM(P873,R873,T873,V873,X873,Z873,AB873,AD873,AF873,AH873,AJ873,AL873,AN873,AP873,AR873,AT873,AV873,AX873)</f>
        <v>1250.71</v>
      </c>
      <c r="BE873" s="33" t="n">
        <f aca="false">AZ873-BD873</f>
        <v>0</v>
      </c>
      <c r="BF873" s="34" t="n">
        <f aca="false">BD873*M873</f>
        <v>75042.6</v>
      </c>
      <c r="BG873" s="35" t="n">
        <f aca="false">BA873-BF873</f>
        <v>0.399999999994179</v>
      </c>
      <c r="BH873" s="19" t="str">
        <f aca="false">IF(BG873=0,"",IF(BG873&lt;&gt;BA873,"erreur de calcul",IF(BD873&lt;&gt;0,"pas de prix",IF(M873&lt;&gt; 0,"pas de quantité","pas de prix, ni de quantité"))))</f>
        <v>erreur de calcul</v>
      </c>
      <c r="BI873" s="19"/>
    </row>
    <row r="874" customFormat="false" ht="15" hidden="false" customHeight="false" outlineLevel="0" collapsed="false">
      <c r="A874" s="0" t="n">
        <v>6</v>
      </c>
      <c r="B874" s="8" t="s">
        <v>24</v>
      </c>
      <c r="C874" s="9" t="s">
        <v>25</v>
      </c>
      <c r="D874" s="9" t="s">
        <v>26</v>
      </c>
      <c r="E874" s="10" t="n">
        <v>1789</v>
      </c>
      <c r="F874" s="9" t="s">
        <v>27</v>
      </c>
      <c r="G874" s="9" t="s">
        <v>27</v>
      </c>
      <c r="H874" s="11" t="n">
        <v>23</v>
      </c>
      <c r="I874" s="11" t="s">
        <v>248</v>
      </c>
      <c r="J874" s="14" t="n">
        <v>30</v>
      </c>
      <c r="K874" s="14"/>
      <c r="L874" s="16"/>
      <c r="M874" s="27" t="n">
        <f aca="false">J874+(K874/20)+(L874/240)</f>
        <v>30</v>
      </c>
      <c r="N874" s="17" t="s">
        <v>64</v>
      </c>
      <c r="O874" s="11"/>
      <c r="P874" s="28"/>
      <c r="Q874" s="28" t="n">
        <f aca="false">P874*$M874</f>
        <v>0</v>
      </c>
      <c r="R874" s="28"/>
      <c r="S874" s="28" t="n">
        <f aca="false">R874*$M874</f>
        <v>0</v>
      </c>
      <c r="T874" s="28"/>
      <c r="U874" s="28" t="n">
        <f aca="false">T874*$M874</f>
        <v>0</v>
      </c>
      <c r="V874" s="28" t="n">
        <f aca="false">8491/100</f>
        <v>84.91</v>
      </c>
      <c r="W874" s="28" t="n">
        <v>2547</v>
      </c>
      <c r="X874" s="28"/>
      <c r="Y874" s="28" t="n">
        <f aca="false">X874*$M874</f>
        <v>0</v>
      </c>
      <c r="Z874" s="28"/>
      <c r="AA874" s="28" t="n">
        <f aca="false">Z874*$M874</f>
        <v>0</v>
      </c>
      <c r="AB874" s="28"/>
      <c r="AC874" s="28" t="n">
        <f aca="false">AB874*$M874</f>
        <v>0</v>
      </c>
      <c r="AD874" s="28"/>
      <c r="AE874" s="28" t="n">
        <f aca="false">AD874*$M874</f>
        <v>0</v>
      </c>
      <c r="AF874" s="28"/>
      <c r="AG874" s="28" t="n">
        <f aca="false">AF874*$M874</f>
        <v>0</v>
      </c>
      <c r="AH874" s="28"/>
      <c r="AI874" s="28" t="n">
        <f aca="false">AH874*$M874</f>
        <v>0</v>
      </c>
      <c r="AJ874" s="28"/>
      <c r="AK874" s="28" t="n">
        <f aca="false">AJ874*$M874</f>
        <v>0</v>
      </c>
      <c r="AL874" s="28"/>
      <c r="AM874" s="28" t="n">
        <f aca="false">AL874*$M874</f>
        <v>0</v>
      </c>
      <c r="AN874" s="28"/>
      <c r="AO874" s="28" t="n">
        <f aca="false">AN874*$M874</f>
        <v>0</v>
      </c>
      <c r="AP874" s="28"/>
      <c r="AQ874" s="28" t="n">
        <f aca="false">AP874*$M874</f>
        <v>0</v>
      </c>
      <c r="AR874" s="28"/>
      <c r="AS874" s="28" t="n">
        <f aca="false">AR874*$M874</f>
        <v>0</v>
      </c>
      <c r="AT874" s="28"/>
      <c r="AU874" s="28" t="n">
        <f aca="false">AT874*$M874</f>
        <v>0</v>
      </c>
      <c r="AV874" s="28"/>
      <c r="AW874" s="28" t="n">
        <f aca="false">AV874*$M874</f>
        <v>0</v>
      </c>
      <c r="AX874" s="28"/>
      <c r="AY874" s="28" t="n">
        <f aca="false">AX874*$M874</f>
        <v>0</v>
      </c>
      <c r="AZ874" s="30" t="n">
        <f aca="false">8491/100</f>
        <v>84.91</v>
      </c>
      <c r="BA874" s="11" t="n">
        <v>2547</v>
      </c>
      <c r="BB874" s="31" t="n">
        <f aca="false">SUM(Q874,S874,U874,W874,Y874,AA874,AC874,AE874,AG874,AI874,AK874,AM874,AO874,AQ874,AS874,AU874,AW874,AY874)</f>
        <v>2547</v>
      </c>
      <c r="BC874" s="28" t="n">
        <f aca="false">BA874-BB874</f>
        <v>0</v>
      </c>
      <c r="BD874" s="32" t="n">
        <f aca="false">SUM(P874,R874,T874,V874,X874,Z874,AB874,AD874,AF874,AH874,AJ874,AL874,AN874,AP874,AR874,AT874,AV874,AX874)</f>
        <v>84.91</v>
      </c>
      <c r="BE874" s="33" t="n">
        <f aca="false">AZ874-BD874</f>
        <v>0</v>
      </c>
      <c r="BF874" s="34" t="n">
        <f aca="false">BD874*M874</f>
        <v>2547.3</v>
      </c>
      <c r="BG874" s="35" t="n">
        <f aca="false">BA874-BF874</f>
        <v>-0.299999999999727</v>
      </c>
      <c r="BH874" s="19" t="str">
        <f aca="false">IF(BG874=0,"",IF(BG874&lt;&gt;BA874,"erreur de calcul",IF(BD874&lt;&gt;0,"pas de prix",IF(M874&lt;&gt; 0,"pas de quantité","pas de prix, ni de quantité"))))</f>
        <v>erreur de calcul</v>
      </c>
      <c r="BI874" s="19"/>
    </row>
    <row r="875" customFormat="false" ht="15" hidden="false" customHeight="false" outlineLevel="0" collapsed="false">
      <c r="A875" s="0" t="n">
        <v>7</v>
      </c>
      <c r="B875" s="8" t="s">
        <v>24</v>
      </c>
      <c r="C875" s="9" t="s">
        <v>25</v>
      </c>
      <c r="D875" s="9" t="s">
        <v>26</v>
      </c>
      <c r="E875" s="10" t="n">
        <v>1789</v>
      </c>
      <c r="F875" s="9" t="s">
        <v>27</v>
      </c>
      <c r="G875" s="9" t="s">
        <v>27</v>
      </c>
      <c r="H875" s="11" t="n">
        <v>23</v>
      </c>
      <c r="I875" s="11" t="s">
        <v>249</v>
      </c>
      <c r="J875" s="14" t="n">
        <v>27</v>
      </c>
      <c r="K875" s="14"/>
      <c r="L875" s="16"/>
      <c r="M875" s="27" t="n">
        <f aca="false">J875+(K875/20)+(L875/240)</f>
        <v>27</v>
      </c>
      <c r="N875" s="17" t="s">
        <v>64</v>
      </c>
      <c r="O875" s="11"/>
      <c r="P875" s="28"/>
      <c r="Q875" s="28" t="n">
        <f aca="false">P875*$M875</f>
        <v>0</v>
      </c>
      <c r="R875" s="28"/>
      <c r="S875" s="28" t="n">
        <f aca="false">R875*$M875</f>
        <v>0</v>
      </c>
      <c r="T875" s="28"/>
      <c r="U875" s="28" t="n">
        <f aca="false">T875*$M875</f>
        <v>0</v>
      </c>
      <c r="V875" s="28"/>
      <c r="W875" s="28" t="n">
        <f aca="false">V875*$M875</f>
        <v>0</v>
      </c>
      <c r="X875" s="28"/>
      <c r="Y875" s="28" t="n">
        <f aca="false">X875*$M875</f>
        <v>0</v>
      </c>
      <c r="Z875" s="28"/>
      <c r="AA875" s="28" t="n">
        <f aca="false">Z875*$M875</f>
        <v>0</v>
      </c>
      <c r="AB875" s="28"/>
      <c r="AC875" s="28" t="n">
        <f aca="false">AB875*$M875</f>
        <v>0</v>
      </c>
      <c r="AD875" s="28"/>
      <c r="AE875" s="28" t="n">
        <f aca="false">AD875*$M875</f>
        <v>0</v>
      </c>
      <c r="AF875" s="28"/>
      <c r="AG875" s="28" t="n">
        <f aca="false">AF875*$M875</f>
        <v>0</v>
      </c>
      <c r="AH875" s="28"/>
      <c r="AI875" s="28" t="n">
        <f aca="false">AH875*$M875</f>
        <v>0</v>
      </c>
      <c r="AJ875" s="28" t="n">
        <f aca="false">168254/100</f>
        <v>1682.54</v>
      </c>
      <c r="AK875" s="28" t="n">
        <v>45428</v>
      </c>
      <c r="AL875" s="28"/>
      <c r="AM875" s="28" t="n">
        <f aca="false">AL875*$M875</f>
        <v>0</v>
      </c>
      <c r="AN875" s="28"/>
      <c r="AO875" s="28" t="n">
        <f aca="false">AN875*$M875</f>
        <v>0</v>
      </c>
      <c r="AP875" s="28"/>
      <c r="AQ875" s="28" t="n">
        <f aca="false">AP875*$M875</f>
        <v>0</v>
      </c>
      <c r="AR875" s="28"/>
      <c r="AS875" s="28" t="n">
        <f aca="false">AR875*$M875</f>
        <v>0</v>
      </c>
      <c r="AT875" s="28"/>
      <c r="AU875" s="28" t="n">
        <f aca="false">AT875*$M875</f>
        <v>0</v>
      </c>
      <c r="AV875" s="28"/>
      <c r="AW875" s="28" t="n">
        <f aca="false">AV875*$M875</f>
        <v>0</v>
      </c>
      <c r="AX875" s="28"/>
      <c r="AY875" s="28" t="n">
        <f aca="false">AX875*$M875</f>
        <v>0</v>
      </c>
      <c r="AZ875" s="30" t="n">
        <f aca="false">168254/100</f>
        <v>1682.54</v>
      </c>
      <c r="BA875" s="11" t="n">
        <v>45428</v>
      </c>
      <c r="BB875" s="31" t="n">
        <f aca="false">SUM(Q875,S875,U875,W875,Y875,AA875,AC875,AE875,AG875,AI875,AK875,AM875,AO875,AQ875,AS875,AU875,AW875,AY875)</f>
        <v>45428</v>
      </c>
      <c r="BC875" s="28" t="n">
        <f aca="false">BA875-BB875</f>
        <v>0</v>
      </c>
      <c r="BD875" s="32" t="n">
        <f aca="false">SUM(P875,R875,T875,V875,X875,Z875,AB875,AD875,AF875,AH875,AJ875,AL875,AN875,AP875,AR875,AT875,AV875,AX875)</f>
        <v>1682.54</v>
      </c>
      <c r="BE875" s="33" t="n">
        <f aca="false">AZ875-BD875</f>
        <v>0</v>
      </c>
      <c r="BF875" s="34" t="n">
        <f aca="false">BD875*M875</f>
        <v>45428.58</v>
      </c>
      <c r="BG875" s="35" t="n">
        <f aca="false">BA875-BF875</f>
        <v>-0.580000000001746</v>
      </c>
      <c r="BH875" s="19" t="str">
        <f aca="false">IF(BG875=0,"",IF(BG875&lt;&gt;BA875,"erreur de calcul",IF(BD875&lt;&gt;0,"pas de prix",IF(M875&lt;&gt; 0,"pas de quantité","pas de prix, ni de quantité"))))</f>
        <v>erreur de calcul</v>
      </c>
      <c r="BI875" s="19"/>
    </row>
    <row r="876" customFormat="false" ht="15" hidden="false" customHeight="false" outlineLevel="0" collapsed="false">
      <c r="A876" s="0" t="n">
        <v>8</v>
      </c>
      <c r="B876" s="8" t="s">
        <v>24</v>
      </c>
      <c r="C876" s="9" t="s">
        <v>25</v>
      </c>
      <c r="D876" s="9" t="s">
        <v>26</v>
      </c>
      <c r="E876" s="10" t="n">
        <v>1789</v>
      </c>
      <c r="F876" s="9" t="s">
        <v>27</v>
      </c>
      <c r="G876" s="9" t="s">
        <v>27</v>
      </c>
      <c r="H876" s="11" t="n">
        <v>23</v>
      </c>
      <c r="I876" s="11" t="s">
        <v>250</v>
      </c>
      <c r="J876" s="14" t="n">
        <v>27</v>
      </c>
      <c r="K876" s="14"/>
      <c r="L876" s="16"/>
      <c r="M876" s="27" t="n">
        <f aca="false">J876+(K876/20)+(L876/240)</f>
        <v>27</v>
      </c>
      <c r="N876" s="17" t="s">
        <v>64</v>
      </c>
      <c r="O876" s="11"/>
      <c r="P876" s="28"/>
      <c r="Q876" s="28" t="n">
        <f aca="false">P876*$M876</f>
        <v>0</v>
      </c>
      <c r="R876" s="28"/>
      <c r="S876" s="28" t="n">
        <f aca="false">R876*$M876</f>
        <v>0</v>
      </c>
      <c r="T876" s="28"/>
      <c r="U876" s="28" t="n">
        <f aca="false">T876*$M876</f>
        <v>0</v>
      </c>
      <c r="V876" s="28"/>
      <c r="W876" s="28" t="n">
        <f aca="false">V876*$M876</f>
        <v>0</v>
      </c>
      <c r="X876" s="28"/>
      <c r="Y876" s="28" t="n">
        <f aca="false">X876*$M876</f>
        <v>0</v>
      </c>
      <c r="Z876" s="28"/>
      <c r="AA876" s="28" t="n">
        <f aca="false">Z876*$M876</f>
        <v>0</v>
      </c>
      <c r="AB876" s="28"/>
      <c r="AC876" s="28" t="n">
        <f aca="false">AB876*$M876</f>
        <v>0</v>
      </c>
      <c r="AD876" s="28"/>
      <c r="AE876" s="28" t="n">
        <f aca="false">AD876*$M876</f>
        <v>0</v>
      </c>
      <c r="AF876" s="28"/>
      <c r="AG876" s="28" t="n">
        <f aca="false">AF876*$M876</f>
        <v>0</v>
      </c>
      <c r="AH876" s="28"/>
      <c r="AI876" s="28" t="n">
        <f aca="false">AH876*$M876</f>
        <v>0</v>
      </c>
      <c r="AJ876" s="28"/>
      <c r="AK876" s="28" t="n">
        <f aca="false">AJ876*$M876</f>
        <v>0</v>
      </c>
      <c r="AL876" s="28" t="n">
        <f aca="false">4108/100</f>
        <v>41.08</v>
      </c>
      <c r="AM876" s="28" t="n">
        <v>1109</v>
      </c>
      <c r="AN876" s="28"/>
      <c r="AO876" s="28" t="n">
        <f aca="false">AN876*$M876</f>
        <v>0</v>
      </c>
      <c r="AP876" s="28"/>
      <c r="AQ876" s="28" t="n">
        <f aca="false">AP876*$M876</f>
        <v>0</v>
      </c>
      <c r="AR876" s="28" t="n">
        <f aca="false">37084/100</f>
        <v>370.84</v>
      </c>
      <c r="AS876" s="36" t="n">
        <v>9963</v>
      </c>
      <c r="AT876" s="28"/>
      <c r="AU876" s="28" t="n">
        <f aca="false">AT876*$M876</f>
        <v>0</v>
      </c>
      <c r="AV876" s="28"/>
      <c r="AW876" s="28" t="n">
        <f aca="false">AV876*$M876</f>
        <v>0</v>
      </c>
      <c r="AX876" s="28"/>
      <c r="AY876" s="28" t="n">
        <f aca="false">AX876*$M876</f>
        <v>0</v>
      </c>
      <c r="AZ876" s="30" t="n">
        <f aca="false">41192/100</f>
        <v>411.92</v>
      </c>
      <c r="BA876" s="11" t="n">
        <v>11072</v>
      </c>
      <c r="BB876" s="31" t="n">
        <f aca="false">SUM(Q876,S876,U876,W876,Y876,AA876,AC876,AE876,AG876,AI876,AK876,AM876,AO876,AQ876,AS876,AU876,AW876,AY876)</f>
        <v>11072</v>
      </c>
      <c r="BC876" s="28" t="n">
        <f aca="false">BA876-BB876</f>
        <v>0</v>
      </c>
      <c r="BD876" s="32" t="n">
        <f aca="false">SUM(P876,R876,T876,V876,X876,Z876,AB876,AD876,AF876,AH876,AJ876,AL876,AN876,AP876,AR876,AT876,AV876,AX876)</f>
        <v>411.92</v>
      </c>
      <c r="BE876" s="33" t="n">
        <f aca="false">AZ876-BD876</f>
        <v>0</v>
      </c>
      <c r="BF876" s="34" t="n">
        <f aca="false">BD876*M876</f>
        <v>11121.84</v>
      </c>
      <c r="BG876" s="35" t="n">
        <f aca="false">BA876-BF876</f>
        <v>-49.8399999999983</v>
      </c>
      <c r="BH876" s="19" t="str">
        <f aca="false">IF(BG876=0,"",IF(BG876&lt;&gt;BA876,"erreur de calcul",IF(BD876&lt;&gt;0,"pas de prix",IF(M876&lt;&gt; 0,"pas de quantité","pas de prix, ni de quantité"))))</f>
        <v>erreur de calcul</v>
      </c>
      <c r="BI876" s="19"/>
    </row>
    <row r="877" customFormat="false" ht="15" hidden="false" customHeight="false" outlineLevel="0" collapsed="false">
      <c r="A877" s="0" t="n">
        <v>9</v>
      </c>
      <c r="B877" s="8" t="s">
        <v>24</v>
      </c>
      <c r="C877" s="9" t="s">
        <v>25</v>
      </c>
      <c r="D877" s="9" t="s">
        <v>26</v>
      </c>
      <c r="E877" s="10" t="n">
        <v>1789</v>
      </c>
      <c r="F877" s="9" t="s">
        <v>27</v>
      </c>
      <c r="G877" s="9" t="s">
        <v>27</v>
      </c>
      <c r="H877" s="11" t="n">
        <v>23</v>
      </c>
      <c r="I877" s="11" t="s">
        <v>251</v>
      </c>
      <c r="J877" s="14" t="n">
        <v>6</v>
      </c>
      <c r="K877" s="14"/>
      <c r="L877" s="16"/>
      <c r="M877" s="27" t="n">
        <f aca="false">J877+(K877/20)+(L877/240)</f>
        <v>6</v>
      </c>
      <c r="N877" s="17" t="s">
        <v>64</v>
      </c>
      <c r="O877" s="11"/>
      <c r="P877" s="28"/>
      <c r="Q877" s="28" t="n">
        <f aca="false">P877*$M877</f>
        <v>0</v>
      </c>
      <c r="R877" s="28"/>
      <c r="S877" s="28" t="n">
        <f aca="false">R877*$M877</f>
        <v>0</v>
      </c>
      <c r="T877" s="28"/>
      <c r="U877" s="28" t="n">
        <f aca="false">T877*$M877</f>
        <v>0</v>
      </c>
      <c r="V877" s="28"/>
      <c r="W877" s="28" t="n">
        <f aca="false">V877*$M877</f>
        <v>0</v>
      </c>
      <c r="X877" s="28"/>
      <c r="Y877" s="28" t="n">
        <f aca="false">X877*$M877</f>
        <v>0</v>
      </c>
      <c r="Z877" s="28"/>
      <c r="AA877" s="28" t="n">
        <f aca="false">Z877*$M877</f>
        <v>0</v>
      </c>
      <c r="AB877" s="28"/>
      <c r="AC877" s="28" t="n">
        <f aca="false">AB877*$M877</f>
        <v>0</v>
      </c>
      <c r="AD877" s="28"/>
      <c r="AE877" s="28" t="n">
        <f aca="false">AD877*$M877</f>
        <v>0</v>
      </c>
      <c r="AF877" s="28"/>
      <c r="AG877" s="28" t="n">
        <f aca="false">AF877*$M877</f>
        <v>0</v>
      </c>
      <c r="AH877" s="28"/>
      <c r="AI877" s="28" t="n">
        <f aca="false">AH877*$M877</f>
        <v>0</v>
      </c>
      <c r="AJ877" s="28"/>
      <c r="AK877" s="28" t="n">
        <f aca="false">AJ877*$M877</f>
        <v>0</v>
      </c>
      <c r="AL877" s="28"/>
      <c r="AM877" s="28" t="n">
        <f aca="false">AL877*$M877</f>
        <v>0</v>
      </c>
      <c r="AN877" s="28"/>
      <c r="AO877" s="28" t="n">
        <f aca="false">AN877*$M877</f>
        <v>0</v>
      </c>
      <c r="AP877" s="28"/>
      <c r="AQ877" s="28" t="n">
        <f aca="false">AP877*$M877</f>
        <v>0</v>
      </c>
      <c r="AR877" s="28"/>
      <c r="AS877" s="28" t="n">
        <f aca="false">AR877*$M877</f>
        <v>0</v>
      </c>
      <c r="AT877" s="28"/>
      <c r="AU877" s="28" t="n">
        <f aca="false">AT877*$M877</f>
        <v>0</v>
      </c>
      <c r="AV877" s="28"/>
      <c r="AW877" s="28" t="n">
        <f aca="false">AV877*$M877</f>
        <v>0</v>
      </c>
      <c r="AX877" s="28"/>
      <c r="AY877" s="28" t="n">
        <f aca="false">AX877*$M877</f>
        <v>0</v>
      </c>
      <c r="AZ877" s="30"/>
      <c r="BA877" s="11"/>
      <c r="BB877" s="31" t="n">
        <f aca="false">SUM(Q877,S877,U877,W877,Y877,AA877,AC877,AE877,AG877,AI877,AK877,AM877,AO877,AQ877,AS877,AU877,AW877,AY877)</f>
        <v>0</v>
      </c>
      <c r="BC877" s="28" t="n">
        <f aca="false">BA877-BB877</f>
        <v>0</v>
      </c>
      <c r="BD877" s="32" t="n">
        <f aca="false">SUM(P877,R877,T877,V877,X877,Z877,AB877,AD877,AF877,AH877,AJ877,AL877,AN877,AP877,AR877,AT877,AV877,AX877)</f>
        <v>0</v>
      </c>
      <c r="BE877" s="33" t="n">
        <f aca="false">AZ877-BD877</f>
        <v>0</v>
      </c>
      <c r="BF877" s="34" t="n">
        <f aca="false">BD877*M877</f>
        <v>0</v>
      </c>
      <c r="BG877" s="35" t="n">
        <f aca="false">BA877-BF877</f>
        <v>0</v>
      </c>
      <c r="BH877" s="19" t="str">
        <f aca="false">IF(BG877=0,"",IF(BG877&lt;&gt;BA877,"erreur de calcul",IF(BD877&lt;&gt;0,"pas de prix",IF(M877&lt;&gt; 0,"pas de quantité","pas de prix, ni de quantité"))))</f>
        <v/>
      </c>
      <c r="BI877" s="19"/>
    </row>
    <row r="878" customFormat="false" ht="15" hidden="false" customHeight="false" outlineLevel="0" collapsed="false">
      <c r="A878" s="0" t="n">
        <v>10</v>
      </c>
      <c r="B878" s="8" t="s">
        <v>24</v>
      </c>
      <c r="C878" s="9" t="s">
        <v>25</v>
      </c>
      <c r="D878" s="9" t="s">
        <v>26</v>
      </c>
      <c r="E878" s="10" t="n">
        <v>1789</v>
      </c>
      <c r="F878" s="9" t="s">
        <v>27</v>
      </c>
      <c r="G878" s="9" t="s">
        <v>27</v>
      </c>
      <c r="H878" s="11" t="n">
        <v>23</v>
      </c>
      <c r="I878" s="11" t="s">
        <v>252</v>
      </c>
      <c r="J878" s="14" t="n">
        <v>240</v>
      </c>
      <c r="K878" s="14"/>
      <c r="L878" s="16"/>
      <c r="M878" s="27" t="n">
        <f aca="false">J878+(K878/20)+(L878/240)</f>
        <v>240</v>
      </c>
      <c r="N878" s="17" t="s">
        <v>64</v>
      </c>
      <c r="O878" s="11"/>
      <c r="P878" s="28"/>
      <c r="Q878" s="28" t="n">
        <f aca="false">P878*$M878</f>
        <v>0</v>
      </c>
      <c r="R878" s="28"/>
      <c r="S878" s="28" t="n">
        <f aca="false">R878*$M878</f>
        <v>0</v>
      </c>
      <c r="T878" s="28" t="n">
        <f aca="false">4204/100</f>
        <v>42.04</v>
      </c>
      <c r="U878" s="28" t="n">
        <v>10090</v>
      </c>
      <c r="V878" s="28" t="n">
        <f aca="false">2799/100</f>
        <v>27.99</v>
      </c>
      <c r="W878" s="28" t="n">
        <v>6718</v>
      </c>
      <c r="X878" s="28" t="n">
        <f aca="false">2536/100</f>
        <v>25.36</v>
      </c>
      <c r="Y878" s="28" t="n">
        <v>6086</v>
      </c>
      <c r="Z878" s="28" t="n">
        <f aca="false">3393/100</f>
        <v>33.93</v>
      </c>
      <c r="AA878" s="28" t="n">
        <v>8143</v>
      </c>
      <c r="AB878" s="28" t="n">
        <f aca="false">242/100</f>
        <v>2.42</v>
      </c>
      <c r="AC878" s="28" t="n">
        <v>581</v>
      </c>
      <c r="AD878" s="28"/>
      <c r="AE878" s="28" t="n">
        <f aca="false">AD878*$M878</f>
        <v>0</v>
      </c>
      <c r="AF878" s="28"/>
      <c r="AG878" s="28" t="n">
        <f aca="false">AF878*$M878</f>
        <v>0</v>
      </c>
      <c r="AH878" s="28"/>
      <c r="AI878" s="28" t="n">
        <f aca="false">AH878*$M878</f>
        <v>0</v>
      </c>
      <c r="AJ878" s="28"/>
      <c r="AK878" s="28" t="n">
        <f aca="false">AJ878*$M878</f>
        <v>0</v>
      </c>
      <c r="AL878" s="28"/>
      <c r="AM878" s="28" t="n">
        <f aca="false">AL878*$M878</f>
        <v>0</v>
      </c>
      <c r="AN878" s="28"/>
      <c r="AO878" s="28" t="n">
        <f aca="false">AN878*$M878</f>
        <v>0</v>
      </c>
      <c r="AP878" s="28"/>
      <c r="AQ878" s="28" t="n">
        <f aca="false">AP878*$M878</f>
        <v>0</v>
      </c>
      <c r="AR878" s="28"/>
      <c r="AS878" s="28" t="n">
        <f aca="false">AR878*$M878</f>
        <v>0</v>
      </c>
      <c r="AT878" s="28"/>
      <c r="AU878" s="28" t="n">
        <f aca="false">AT878*$M878</f>
        <v>0</v>
      </c>
      <c r="AV878" s="28"/>
      <c r="AW878" s="28" t="n">
        <f aca="false">AV878*$M878</f>
        <v>0</v>
      </c>
      <c r="AX878" s="28"/>
      <c r="AY878" s="28" t="n">
        <f aca="false">AX878*$M878</f>
        <v>0</v>
      </c>
      <c r="AZ878" s="30" t="n">
        <f aca="false">13174/100</f>
        <v>131.74</v>
      </c>
      <c r="BA878" s="11" t="n">
        <v>31618</v>
      </c>
      <c r="BB878" s="31" t="n">
        <f aca="false">SUM(Q878,S878,U878,W878,Y878,AA878,AC878,AE878,AG878,AI878,AK878,AM878,AO878,AQ878,AS878,AU878,AW878,AY878)</f>
        <v>31618</v>
      </c>
      <c r="BC878" s="28" t="n">
        <f aca="false">BA878-BB878</f>
        <v>0</v>
      </c>
      <c r="BD878" s="32" t="n">
        <f aca="false">SUM(P878,R878,T878,V878,X878,Z878,AB878,AD878,AF878,AH878,AJ878,AL878,AN878,AP878,AR878,AT878,AV878,AX878)</f>
        <v>131.74</v>
      </c>
      <c r="BE878" s="33" t="n">
        <f aca="false">AZ878-BD878</f>
        <v>0</v>
      </c>
      <c r="BF878" s="34" t="n">
        <f aca="false">BD878*M878</f>
        <v>31617.6</v>
      </c>
      <c r="BG878" s="35" t="n">
        <f aca="false">BA878-BF878</f>
        <v>0.399999999997817</v>
      </c>
      <c r="BH878" s="19" t="str">
        <f aca="false">IF(BG878=0,"",IF(BG878&lt;&gt;BA878,"erreur de calcul",IF(BD878&lt;&gt;0,"pas de prix",IF(M878&lt;&gt; 0,"pas de quantité","pas de prix, ni de quantité"))))</f>
        <v>erreur de calcul</v>
      </c>
      <c r="BI878" s="19"/>
    </row>
    <row r="879" customFormat="false" ht="15" hidden="false" customHeight="false" outlineLevel="0" collapsed="false">
      <c r="A879" s="0" t="n">
        <v>11</v>
      </c>
      <c r="B879" s="8" t="s">
        <v>24</v>
      </c>
      <c r="C879" s="9" t="s">
        <v>25</v>
      </c>
      <c r="D879" s="9" t="s">
        <v>26</v>
      </c>
      <c r="E879" s="10" t="n">
        <v>1789</v>
      </c>
      <c r="F879" s="9" t="s">
        <v>27</v>
      </c>
      <c r="G879" s="9" t="s">
        <v>27</v>
      </c>
      <c r="H879" s="11" t="n">
        <v>23</v>
      </c>
      <c r="I879" s="11" t="s">
        <v>253</v>
      </c>
      <c r="J879" s="14" t="n">
        <v>190</v>
      </c>
      <c r="K879" s="14"/>
      <c r="L879" s="16"/>
      <c r="M879" s="27" t="n">
        <f aca="false">J879+(K879/20)+(L879/240)</f>
        <v>190</v>
      </c>
      <c r="N879" s="17" t="s">
        <v>64</v>
      </c>
      <c r="O879" s="11"/>
      <c r="P879" s="28"/>
      <c r="Q879" s="28" t="n">
        <f aca="false">P879*$M879</f>
        <v>0</v>
      </c>
      <c r="R879" s="28"/>
      <c r="S879" s="28" t="n">
        <f aca="false">R879*$M879</f>
        <v>0</v>
      </c>
      <c r="T879" s="28"/>
      <c r="U879" s="28" t="n">
        <f aca="false">T879*$M879</f>
        <v>0</v>
      </c>
      <c r="V879" s="28" t="n">
        <f aca="false">14963/100</f>
        <v>149.63</v>
      </c>
      <c r="W879" s="36" t="n">
        <v>28420</v>
      </c>
      <c r="X879" s="28"/>
      <c r="Y879" s="28" t="n">
        <f aca="false">X879*$M879</f>
        <v>0</v>
      </c>
      <c r="Z879" s="28"/>
      <c r="AA879" s="28" t="n">
        <f aca="false">Z879*$M879</f>
        <v>0</v>
      </c>
      <c r="AB879" s="28"/>
      <c r="AC879" s="28" t="n">
        <f aca="false">AB879*$M879</f>
        <v>0</v>
      </c>
      <c r="AD879" s="28"/>
      <c r="AE879" s="28" t="n">
        <f aca="false">AD879*$M879</f>
        <v>0</v>
      </c>
      <c r="AF879" s="28"/>
      <c r="AG879" s="28" t="n">
        <f aca="false">AF879*$M879</f>
        <v>0</v>
      </c>
      <c r="AH879" s="28"/>
      <c r="AI879" s="28" t="n">
        <f aca="false">AH879*$M879</f>
        <v>0</v>
      </c>
      <c r="AJ879" s="28"/>
      <c r="AK879" s="28" t="n">
        <f aca="false">AJ879*$M879</f>
        <v>0</v>
      </c>
      <c r="AL879" s="28"/>
      <c r="AM879" s="28" t="n">
        <f aca="false">AL879*$M879</f>
        <v>0</v>
      </c>
      <c r="AN879" s="28"/>
      <c r="AO879" s="28" t="n">
        <f aca="false">AN879*$M879</f>
        <v>0</v>
      </c>
      <c r="AP879" s="28"/>
      <c r="AQ879" s="28" t="n">
        <f aca="false">AP879*$M879</f>
        <v>0</v>
      </c>
      <c r="AR879" s="28"/>
      <c r="AS879" s="28" t="n">
        <f aca="false">AR879*$M879</f>
        <v>0</v>
      </c>
      <c r="AT879" s="28"/>
      <c r="AU879" s="28" t="n">
        <f aca="false">AT879*$M879</f>
        <v>0</v>
      </c>
      <c r="AV879" s="28"/>
      <c r="AW879" s="28" t="n">
        <f aca="false">AV879*$M879</f>
        <v>0</v>
      </c>
      <c r="AX879" s="28"/>
      <c r="AY879" s="28" t="n">
        <f aca="false">AX879*$M879</f>
        <v>0</v>
      </c>
      <c r="AZ879" s="30" t="n">
        <f aca="false">14963/100</f>
        <v>149.63</v>
      </c>
      <c r="BA879" s="11" t="n">
        <v>28420</v>
      </c>
      <c r="BB879" s="31" t="n">
        <f aca="false">SUM(Q879,S879,U879,W879,Y879,AA879,AC879,AE879,AG879,AI879,AK879,AM879,AO879,AQ879,AS879,AU879,AW879,AY879)</f>
        <v>28420</v>
      </c>
      <c r="BC879" s="28" t="n">
        <f aca="false">BA879-BB879</f>
        <v>0</v>
      </c>
      <c r="BD879" s="32" t="n">
        <f aca="false">SUM(P879,R879,T879,V879,X879,Z879,AB879,AD879,AF879,AH879,AJ879,AL879,AN879,AP879,AR879,AT879,AV879,AX879)</f>
        <v>149.63</v>
      </c>
      <c r="BE879" s="33" t="n">
        <f aca="false">AZ879-BD879</f>
        <v>0</v>
      </c>
      <c r="BF879" s="34" t="n">
        <f aca="false">BD879*M879</f>
        <v>28429.7</v>
      </c>
      <c r="BG879" s="35" t="n">
        <f aca="false">BA879-BF879</f>
        <v>-9.70000000000073</v>
      </c>
      <c r="BH879" s="19" t="str">
        <f aca="false">IF(BG879=0,"",IF(BG879&lt;&gt;BA879,"erreur de calcul",IF(BD879&lt;&gt;0,"pas de prix",IF(M879&lt;&gt; 0,"pas de quantité","pas de prix, ni de quantité"))))</f>
        <v>erreur de calcul</v>
      </c>
      <c r="BI879" s="19"/>
    </row>
    <row r="880" customFormat="false" ht="15" hidden="false" customHeight="false" outlineLevel="0" collapsed="false">
      <c r="A880" s="0" t="n">
        <v>12</v>
      </c>
      <c r="B880" s="8" t="s">
        <v>24</v>
      </c>
      <c r="C880" s="9" t="s">
        <v>25</v>
      </c>
      <c r="D880" s="9" t="s">
        <v>26</v>
      </c>
      <c r="E880" s="10" t="n">
        <v>1789</v>
      </c>
      <c r="F880" s="9" t="s">
        <v>27</v>
      </c>
      <c r="G880" s="9" t="s">
        <v>27</v>
      </c>
      <c r="H880" s="11" t="n">
        <v>23</v>
      </c>
      <c r="I880" s="11" t="s">
        <v>254</v>
      </c>
      <c r="J880" s="14" t="n">
        <v>14</v>
      </c>
      <c r="K880" s="14"/>
      <c r="L880" s="16"/>
      <c r="M880" s="27" t="n">
        <f aca="false">J880+(K880/20)+(L880/240)</f>
        <v>14</v>
      </c>
      <c r="N880" s="17" t="s">
        <v>64</v>
      </c>
      <c r="O880" s="11"/>
      <c r="P880" s="28"/>
      <c r="Q880" s="28" t="n">
        <f aca="false">P880*$M880</f>
        <v>0</v>
      </c>
      <c r="R880" s="28"/>
      <c r="S880" s="28" t="n">
        <f aca="false">R880*$M880</f>
        <v>0</v>
      </c>
      <c r="T880" s="28"/>
      <c r="U880" s="28" t="n">
        <f aca="false">T880*$M880</f>
        <v>0</v>
      </c>
      <c r="V880" s="28"/>
      <c r="W880" s="28" t="n">
        <f aca="false">V880*$M880</f>
        <v>0</v>
      </c>
      <c r="X880" s="28" t="n">
        <f aca="false">445483/100</f>
        <v>4454.83</v>
      </c>
      <c r="Y880" s="28" t="n">
        <v>62368</v>
      </c>
      <c r="Z880" s="28"/>
      <c r="AA880" s="28" t="n">
        <f aca="false">Z880*$M880</f>
        <v>0</v>
      </c>
      <c r="AB880" s="28"/>
      <c r="AC880" s="28" t="n">
        <f aca="false">AB880*$M880</f>
        <v>0</v>
      </c>
      <c r="AD880" s="28"/>
      <c r="AE880" s="28" t="n">
        <f aca="false">AD880*$M880</f>
        <v>0</v>
      </c>
      <c r="AF880" s="28"/>
      <c r="AG880" s="28" t="n">
        <f aca="false">AF880*$M880</f>
        <v>0</v>
      </c>
      <c r="AH880" s="28"/>
      <c r="AI880" s="28" t="n">
        <f aca="false">AH880*$M880</f>
        <v>0</v>
      </c>
      <c r="AJ880" s="28"/>
      <c r="AK880" s="28" t="n">
        <f aca="false">AJ880*$M880</f>
        <v>0</v>
      </c>
      <c r="AL880" s="28"/>
      <c r="AM880" s="28" t="n">
        <f aca="false">AL880*$M880</f>
        <v>0</v>
      </c>
      <c r="AN880" s="28"/>
      <c r="AO880" s="28" t="n">
        <f aca="false">AN880*$M880</f>
        <v>0</v>
      </c>
      <c r="AP880" s="28"/>
      <c r="AQ880" s="28" t="n">
        <f aca="false">AP880*$M880</f>
        <v>0</v>
      </c>
      <c r="AR880" s="28"/>
      <c r="AS880" s="28" t="n">
        <f aca="false">AR880*$M880</f>
        <v>0</v>
      </c>
      <c r="AT880" s="28"/>
      <c r="AU880" s="28" t="n">
        <f aca="false">AT880*$M880</f>
        <v>0</v>
      </c>
      <c r="AV880" s="28"/>
      <c r="AW880" s="28" t="n">
        <f aca="false">AV880*$M880</f>
        <v>0</v>
      </c>
      <c r="AX880" s="28"/>
      <c r="AY880" s="28" t="n">
        <f aca="false">AX880*$M880</f>
        <v>0</v>
      </c>
      <c r="AZ880" s="30" t="n">
        <f aca="false">445483/100</f>
        <v>4454.83</v>
      </c>
      <c r="BA880" s="11" t="n">
        <v>62368</v>
      </c>
      <c r="BB880" s="31" t="n">
        <f aca="false">SUM(Q880,S880,U880,W880,Y880,AA880,AC880,AE880,AG880,AI880,AK880,AM880,AO880,AQ880,AS880,AU880,AW880,AY880)</f>
        <v>62368</v>
      </c>
      <c r="BC880" s="28" t="n">
        <f aca="false">BA880-BB880</f>
        <v>0</v>
      </c>
      <c r="BD880" s="32" t="n">
        <f aca="false">SUM(P880,R880,T880,V880,X880,Z880,AB880,AD880,AF880,AH880,AJ880,AL880,AN880,AP880,AR880,AT880,AV880,AX880)</f>
        <v>4454.83</v>
      </c>
      <c r="BE880" s="33" t="n">
        <f aca="false">AZ880-BD880</f>
        <v>0</v>
      </c>
      <c r="BF880" s="34" t="n">
        <f aca="false">BD880*M880</f>
        <v>62367.62</v>
      </c>
      <c r="BG880" s="35" t="n">
        <f aca="false">BA880-BF880</f>
        <v>0.380000000004657</v>
      </c>
      <c r="BH880" s="19" t="str">
        <f aca="false">IF(BG880=0,"",IF(BG880&lt;&gt;BA880,"erreur de calcul",IF(BD880&lt;&gt;0,"pas de prix",IF(M880&lt;&gt; 0,"pas de quantité","pas de prix, ni de quantité"))))</f>
        <v>erreur de calcul</v>
      </c>
      <c r="BI880" s="19"/>
    </row>
    <row r="881" customFormat="false" ht="15" hidden="false" customHeight="false" outlineLevel="0" collapsed="false">
      <c r="A881" s="0" t="n">
        <v>13</v>
      </c>
      <c r="B881" s="8" t="s">
        <v>24</v>
      </c>
      <c r="C881" s="9" t="s">
        <v>25</v>
      </c>
      <c r="D881" s="9" t="s">
        <v>26</v>
      </c>
      <c r="E881" s="10" t="n">
        <v>1789</v>
      </c>
      <c r="F881" s="9" t="s">
        <v>27</v>
      </c>
      <c r="G881" s="9" t="s">
        <v>27</v>
      </c>
      <c r="H881" s="11" t="n">
        <v>23</v>
      </c>
      <c r="I881" s="11" t="s">
        <v>255</v>
      </c>
      <c r="J881" s="14" t="n">
        <v>6</v>
      </c>
      <c r="K881" s="14"/>
      <c r="L881" s="16"/>
      <c r="M881" s="27" t="n">
        <f aca="false">J881+(K881/20)+(L881/240)</f>
        <v>6</v>
      </c>
      <c r="N881" s="17" t="s">
        <v>64</v>
      </c>
      <c r="O881" s="11"/>
      <c r="P881" s="28"/>
      <c r="Q881" s="28" t="n">
        <f aca="false">P881*$M881</f>
        <v>0</v>
      </c>
      <c r="R881" s="28"/>
      <c r="S881" s="28" t="n">
        <f aca="false">R881*$M881</f>
        <v>0</v>
      </c>
      <c r="T881" s="28"/>
      <c r="U881" s="28" t="n">
        <f aca="false">T881*$M881</f>
        <v>0</v>
      </c>
      <c r="V881" s="28" t="n">
        <f aca="false">8263/100</f>
        <v>82.63</v>
      </c>
      <c r="W881" s="28" t="n">
        <v>496</v>
      </c>
      <c r="X881" s="28"/>
      <c r="Y881" s="28" t="n">
        <f aca="false">X881*$M881</f>
        <v>0</v>
      </c>
      <c r="Z881" s="28" t="n">
        <f aca="false">62695/100</f>
        <v>626.95</v>
      </c>
      <c r="AA881" s="28" t="n">
        <v>3762</v>
      </c>
      <c r="AB881" s="28"/>
      <c r="AC881" s="28" t="n">
        <f aca="false">AB881*$M881</f>
        <v>0</v>
      </c>
      <c r="AD881" s="28"/>
      <c r="AE881" s="28" t="n">
        <f aca="false">AD881*$M881</f>
        <v>0</v>
      </c>
      <c r="AF881" s="28"/>
      <c r="AG881" s="28" t="n">
        <f aca="false">AF881*$M881</f>
        <v>0</v>
      </c>
      <c r="AH881" s="28"/>
      <c r="AI881" s="28" t="n">
        <f aca="false">AH881*$M881</f>
        <v>0</v>
      </c>
      <c r="AJ881" s="28"/>
      <c r="AK881" s="28" t="n">
        <f aca="false">AJ881*$M881</f>
        <v>0</v>
      </c>
      <c r="AL881" s="28"/>
      <c r="AM881" s="28" t="n">
        <f aca="false">AL881*$M881</f>
        <v>0</v>
      </c>
      <c r="AN881" s="28"/>
      <c r="AO881" s="28" t="n">
        <f aca="false">AN881*$M881</f>
        <v>0</v>
      </c>
      <c r="AP881" s="28"/>
      <c r="AQ881" s="28" t="n">
        <f aca="false">AP881*$M881</f>
        <v>0</v>
      </c>
      <c r="AR881" s="28"/>
      <c r="AS881" s="28" t="n">
        <f aca="false">AR881*$M881</f>
        <v>0</v>
      </c>
      <c r="AT881" s="28"/>
      <c r="AU881" s="28" t="n">
        <f aca="false">AT881*$M881</f>
        <v>0</v>
      </c>
      <c r="AV881" s="28"/>
      <c r="AW881" s="28" t="n">
        <f aca="false">AV881*$M881</f>
        <v>0</v>
      </c>
      <c r="AX881" s="28"/>
      <c r="AY881" s="28" t="n">
        <f aca="false">AX881*$M881</f>
        <v>0</v>
      </c>
      <c r="AZ881" s="30" t="n">
        <f aca="false">70958/100</f>
        <v>709.58</v>
      </c>
      <c r="BA881" s="11" t="n">
        <v>4258</v>
      </c>
      <c r="BB881" s="31" t="n">
        <f aca="false">SUM(Q881,S881,U881,W881,Y881,AA881,AC881,AE881,AG881,AI881,AK881,AM881,AO881,AQ881,AS881,AU881,AW881,AY881)</f>
        <v>4258</v>
      </c>
      <c r="BC881" s="28" t="n">
        <f aca="false">BA881-BB881</f>
        <v>0</v>
      </c>
      <c r="BD881" s="32" t="n">
        <f aca="false">SUM(P881,R881,T881,V881,X881,Z881,AB881,AD881,AF881,AH881,AJ881,AL881,AN881,AP881,AR881,AT881,AV881,AX881)</f>
        <v>709.58</v>
      </c>
      <c r="BE881" s="33" t="n">
        <f aca="false">AZ881-BD881</f>
        <v>0</v>
      </c>
      <c r="BF881" s="34" t="n">
        <f aca="false">BD881*M881</f>
        <v>4257.48</v>
      </c>
      <c r="BG881" s="35" t="n">
        <f aca="false">BA881-BF881</f>
        <v>0.519999999999527</v>
      </c>
      <c r="BH881" s="19" t="str">
        <f aca="false">IF(BG881=0,"",IF(BG881&lt;&gt;BA881,"erreur de calcul",IF(BD881&lt;&gt;0,"pas de prix",IF(M881&lt;&gt; 0,"pas de quantité","pas de prix, ni de quantité"))))</f>
        <v>erreur de calcul</v>
      </c>
      <c r="BI881" s="19"/>
    </row>
    <row r="882" customFormat="false" ht="15" hidden="false" customHeight="false" outlineLevel="0" collapsed="false">
      <c r="A882" s="0" t="n">
        <v>14</v>
      </c>
      <c r="B882" s="8" t="s">
        <v>24</v>
      </c>
      <c r="C882" s="9" t="s">
        <v>25</v>
      </c>
      <c r="D882" s="9" t="s">
        <v>26</v>
      </c>
      <c r="E882" s="10" t="n">
        <v>1789</v>
      </c>
      <c r="F882" s="9" t="s">
        <v>27</v>
      </c>
      <c r="G882" s="9" t="s">
        <v>27</v>
      </c>
      <c r="H882" s="11" t="n">
        <v>23</v>
      </c>
      <c r="I882" s="11" t="s">
        <v>256</v>
      </c>
      <c r="J882" s="14" t="n">
        <v>30</v>
      </c>
      <c r="K882" s="14"/>
      <c r="L882" s="16"/>
      <c r="M882" s="27" t="n">
        <f aca="false">J882+(K882/20)+(L882/240)</f>
        <v>30</v>
      </c>
      <c r="N882" s="17" t="s">
        <v>64</v>
      </c>
      <c r="O882" s="11"/>
      <c r="P882" s="28" t="n">
        <f aca="false">1584/100</f>
        <v>15.84</v>
      </c>
      <c r="Q882" s="28" t="n">
        <v>475</v>
      </c>
      <c r="R882" s="28"/>
      <c r="S882" s="28" t="n">
        <f aca="false">R882*$M882</f>
        <v>0</v>
      </c>
      <c r="T882" s="28" t="n">
        <f aca="false">78834/100</f>
        <v>788.34</v>
      </c>
      <c r="U882" s="28" t="n">
        <v>23650</v>
      </c>
      <c r="V882" s="28"/>
      <c r="W882" s="28" t="n">
        <f aca="false">V882*$M882</f>
        <v>0</v>
      </c>
      <c r="X882" s="28"/>
      <c r="Y882" s="28" t="n">
        <f aca="false">X882*$M882</f>
        <v>0</v>
      </c>
      <c r="Z882" s="28"/>
      <c r="AA882" s="28" t="n">
        <f aca="false">Z882*$M882</f>
        <v>0</v>
      </c>
      <c r="AB882" s="28"/>
      <c r="AC882" s="28" t="n">
        <f aca="false">AB882*$M882</f>
        <v>0</v>
      </c>
      <c r="AD882" s="28"/>
      <c r="AE882" s="28" t="n">
        <f aca="false">AD882*$M882</f>
        <v>0</v>
      </c>
      <c r="AF882" s="28"/>
      <c r="AG882" s="28" t="n">
        <f aca="false">AF882*$M882</f>
        <v>0</v>
      </c>
      <c r="AH882" s="28"/>
      <c r="AI882" s="28" t="n">
        <f aca="false">AH882*$M882</f>
        <v>0</v>
      </c>
      <c r="AJ882" s="28"/>
      <c r="AK882" s="28" t="n">
        <f aca="false">AJ882*$M882</f>
        <v>0</v>
      </c>
      <c r="AL882" s="28"/>
      <c r="AM882" s="28" t="n">
        <f aca="false">AL882*$M882</f>
        <v>0</v>
      </c>
      <c r="AN882" s="28"/>
      <c r="AO882" s="28" t="n">
        <f aca="false">AN882*$M882</f>
        <v>0</v>
      </c>
      <c r="AP882" s="28"/>
      <c r="AQ882" s="28" t="n">
        <f aca="false">AP882*$M882</f>
        <v>0</v>
      </c>
      <c r="AR882" s="28"/>
      <c r="AS882" s="28" t="n">
        <f aca="false">AR882*$M882</f>
        <v>0</v>
      </c>
      <c r="AT882" s="28"/>
      <c r="AU882" s="28" t="n">
        <f aca="false">AT882*$M882</f>
        <v>0</v>
      </c>
      <c r="AV882" s="28"/>
      <c r="AW882" s="28" t="n">
        <f aca="false">AV882*$M882</f>
        <v>0</v>
      </c>
      <c r="AX882" s="28"/>
      <c r="AY882" s="28" t="n">
        <f aca="false">AX882*$M882</f>
        <v>0</v>
      </c>
      <c r="AZ882" s="30" t="n">
        <f aca="false">80418/100</f>
        <v>804.18</v>
      </c>
      <c r="BA882" s="11" t="n">
        <v>24125</v>
      </c>
      <c r="BB882" s="31" t="n">
        <f aca="false">SUM(Q882,S882,U882,W882,Y882,AA882,AC882,AE882,AG882,AI882,AK882,AM882,AO882,AQ882,AS882,AU882,AW882,AY882)</f>
        <v>24125</v>
      </c>
      <c r="BC882" s="28" t="n">
        <f aca="false">BA882-BB882</f>
        <v>0</v>
      </c>
      <c r="BD882" s="32" t="n">
        <f aca="false">SUM(P882,R882,T882,V882,X882,Z882,AB882,AD882,AF882,AH882,AJ882,AL882,AN882,AP882,AR882,AT882,AV882,AX882)</f>
        <v>804.18</v>
      </c>
      <c r="BE882" s="33" t="n">
        <f aca="false">AZ882-BD882</f>
        <v>0</v>
      </c>
      <c r="BF882" s="34" t="n">
        <f aca="false">BD882*M882</f>
        <v>24125.4</v>
      </c>
      <c r="BG882" s="35" t="n">
        <f aca="false">BA882-BF882</f>
        <v>-0.400000000001455</v>
      </c>
      <c r="BH882" s="19" t="str">
        <f aca="false">IF(BG882=0,"",IF(BG882&lt;&gt;BA882,"erreur de calcul",IF(BD882&lt;&gt;0,"pas de prix",IF(M882&lt;&gt; 0,"pas de quantité","pas de prix, ni de quantité"))))</f>
        <v>erreur de calcul</v>
      </c>
      <c r="BI882" s="19"/>
    </row>
    <row r="883" customFormat="false" ht="15" hidden="false" customHeight="false" outlineLevel="0" collapsed="false">
      <c r="A883" s="0" t="n">
        <v>15</v>
      </c>
      <c r="B883" s="8" t="s">
        <v>24</v>
      </c>
      <c r="C883" s="9" t="s">
        <v>25</v>
      </c>
      <c r="D883" s="9" t="s">
        <v>26</v>
      </c>
      <c r="E883" s="10" t="n">
        <v>1789</v>
      </c>
      <c r="F883" s="9" t="s">
        <v>27</v>
      </c>
      <c r="G883" s="9" t="s">
        <v>27</v>
      </c>
      <c r="H883" s="11" t="n">
        <v>23</v>
      </c>
      <c r="I883" s="11" t="s">
        <v>257</v>
      </c>
      <c r="J883" s="14" t="n">
        <v>40</v>
      </c>
      <c r="K883" s="14"/>
      <c r="L883" s="16"/>
      <c r="M883" s="27" t="n">
        <f aca="false">J883+(K883/20)+(L883/240)</f>
        <v>40</v>
      </c>
      <c r="N883" s="17" t="s">
        <v>64</v>
      </c>
      <c r="O883" s="11"/>
      <c r="P883" s="28"/>
      <c r="Q883" s="28" t="n">
        <f aca="false">P883*$M883</f>
        <v>0</v>
      </c>
      <c r="R883" s="28"/>
      <c r="S883" s="28" t="n">
        <f aca="false">R883*$M883</f>
        <v>0</v>
      </c>
      <c r="T883" s="28"/>
      <c r="U883" s="28" t="n">
        <f aca="false">T883*$M883</f>
        <v>0</v>
      </c>
      <c r="V883" s="28"/>
      <c r="W883" s="28" t="n">
        <f aca="false">V883*$M883</f>
        <v>0</v>
      </c>
      <c r="X883" s="28"/>
      <c r="Y883" s="28" t="n">
        <f aca="false">X883*$M883</f>
        <v>0</v>
      </c>
      <c r="Z883" s="28"/>
      <c r="AA883" s="28" t="n">
        <f aca="false">Z883*$M883</f>
        <v>0</v>
      </c>
      <c r="AB883" s="28"/>
      <c r="AC883" s="28" t="n">
        <f aca="false">AB883*$M883</f>
        <v>0</v>
      </c>
      <c r="AD883" s="28"/>
      <c r="AE883" s="28" t="n">
        <f aca="false">AD883*$M883</f>
        <v>0</v>
      </c>
      <c r="AF883" s="28"/>
      <c r="AG883" s="28" t="n">
        <f aca="false">AF883*$M883</f>
        <v>0</v>
      </c>
      <c r="AH883" s="28"/>
      <c r="AI883" s="28" t="n">
        <f aca="false">AH883*$M883</f>
        <v>0</v>
      </c>
      <c r="AJ883" s="28" t="n">
        <f aca="false">784564/100</f>
        <v>7845.64</v>
      </c>
      <c r="AK883" s="28" t="n">
        <v>313826</v>
      </c>
      <c r="AL883" s="28" t="n">
        <f aca="false">33500/100</f>
        <v>335</v>
      </c>
      <c r="AM883" s="28" t="n">
        <v>13400</v>
      </c>
      <c r="AN883" s="28"/>
      <c r="AO883" s="28" t="n">
        <f aca="false">AN883*$M883</f>
        <v>0</v>
      </c>
      <c r="AP883" s="28"/>
      <c r="AQ883" s="28" t="n">
        <f aca="false">AP883*$M883</f>
        <v>0</v>
      </c>
      <c r="AR883" s="28"/>
      <c r="AS883" s="28" t="n">
        <f aca="false">AR883*$M883</f>
        <v>0</v>
      </c>
      <c r="AT883" s="28"/>
      <c r="AU883" s="28" t="n">
        <f aca="false">AT883*$M883</f>
        <v>0</v>
      </c>
      <c r="AV883" s="28"/>
      <c r="AW883" s="28" t="n">
        <f aca="false">AV883*$M883</f>
        <v>0</v>
      </c>
      <c r="AX883" s="28"/>
      <c r="AY883" s="28" t="n">
        <f aca="false">AX883*$M883</f>
        <v>0</v>
      </c>
      <c r="AZ883" s="30" t="n">
        <f aca="false">818064/100</f>
        <v>8180.64</v>
      </c>
      <c r="BA883" s="11" t="n">
        <v>327226</v>
      </c>
      <c r="BB883" s="31" t="n">
        <f aca="false">SUM(Q883,S883,U883,W883,Y883,AA883,AC883,AE883,AG883,AI883,AK883,AM883,AO883,AQ883,AS883,AU883,AW883,AY883)</f>
        <v>327226</v>
      </c>
      <c r="BC883" s="28" t="n">
        <f aca="false">BA883-BB883</f>
        <v>0</v>
      </c>
      <c r="BD883" s="32" t="n">
        <f aca="false">SUM(P883,R883,T883,V883,X883,Z883,AB883,AD883,AF883,AH883,AJ883,AL883,AN883,AP883,AR883,AT883,AV883,AX883)</f>
        <v>8180.64</v>
      </c>
      <c r="BE883" s="33" t="n">
        <f aca="false">AZ883-BD883</f>
        <v>0</v>
      </c>
      <c r="BF883" s="34" t="n">
        <f aca="false">BD883*M883</f>
        <v>327225.6</v>
      </c>
      <c r="BG883" s="35" t="n">
        <f aca="false">BA883-BF883</f>
        <v>0.399999999965075</v>
      </c>
      <c r="BH883" s="19" t="str">
        <f aca="false">IF(BG883=0,"",IF(BG883&lt;&gt;BA883,"erreur de calcul",IF(BD883&lt;&gt;0,"pas de prix",IF(M883&lt;&gt; 0,"pas de quantité","pas de prix, ni de quantité"))))</f>
        <v>erreur de calcul</v>
      </c>
      <c r="BI883" s="19"/>
    </row>
    <row r="884" customFormat="false" ht="15" hidden="false" customHeight="false" outlineLevel="0" collapsed="false">
      <c r="A884" s="0" t="n">
        <v>16</v>
      </c>
      <c r="B884" s="8" t="s">
        <v>24</v>
      </c>
      <c r="C884" s="9" t="s">
        <v>25</v>
      </c>
      <c r="D884" s="9" t="s">
        <v>26</v>
      </c>
      <c r="E884" s="10" t="n">
        <v>1789</v>
      </c>
      <c r="F884" s="9" t="s">
        <v>27</v>
      </c>
      <c r="G884" s="9" t="s">
        <v>27</v>
      </c>
      <c r="H884" s="11" t="n">
        <v>23</v>
      </c>
      <c r="I884" s="11" t="s">
        <v>258</v>
      </c>
      <c r="J884" s="14" t="n">
        <v>75</v>
      </c>
      <c r="K884" s="14"/>
      <c r="L884" s="16"/>
      <c r="M884" s="27" t="n">
        <f aca="false">J884+(K884/20)+(L884/240)</f>
        <v>75</v>
      </c>
      <c r="N884" s="17" t="s">
        <v>64</v>
      </c>
      <c r="O884" s="11"/>
      <c r="P884" s="28"/>
      <c r="Q884" s="28" t="n">
        <f aca="false">P884*$M884</f>
        <v>0</v>
      </c>
      <c r="R884" s="28"/>
      <c r="S884" s="28" t="n">
        <f aca="false">R884*$M884</f>
        <v>0</v>
      </c>
      <c r="T884" s="28" t="n">
        <f aca="false">1000/100</f>
        <v>10</v>
      </c>
      <c r="U884" s="28" t="n">
        <v>750</v>
      </c>
      <c r="V884" s="28" t="n">
        <f aca="false">17232/100</f>
        <v>172.32</v>
      </c>
      <c r="W884" s="28" t="n">
        <v>12924</v>
      </c>
      <c r="X884" s="28" t="n">
        <f aca="false">942/100</f>
        <v>9.42</v>
      </c>
      <c r="Y884" s="28" t="n">
        <v>706</v>
      </c>
      <c r="Z884" s="28"/>
      <c r="AA884" s="28" t="n">
        <f aca="false">Z884*$M884</f>
        <v>0</v>
      </c>
      <c r="AB884" s="28" t="n">
        <f aca="false">415/100</f>
        <v>4.15</v>
      </c>
      <c r="AC884" s="28" t="n">
        <v>311</v>
      </c>
      <c r="AD884" s="28"/>
      <c r="AE884" s="28" t="n">
        <f aca="false">AD884*$M884</f>
        <v>0</v>
      </c>
      <c r="AF884" s="28"/>
      <c r="AG884" s="28" t="n">
        <f aca="false">AF884*$M884</f>
        <v>0</v>
      </c>
      <c r="AH884" s="28"/>
      <c r="AI884" s="28" t="n">
        <f aca="false">AH884*$M884</f>
        <v>0</v>
      </c>
      <c r="AJ884" s="28"/>
      <c r="AK884" s="28" t="n">
        <f aca="false">AJ884*$M884</f>
        <v>0</v>
      </c>
      <c r="AL884" s="28"/>
      <c r="AM884" s="28" t="n">
        <f aca="false">AL884*$M884</f>
        <v>0</v>
      </c>
      <c r="AN884" s="28"/>
      <c r="AO884" s="28" t="n">
        <f aca="false">AN884*$M884</f>
        <v>0</v>
      </c>
      <c r="AP884" s="28"/>
      <c r="AQ884" s="28" t="n">
        <f aca="false">AP884*$M884</f>
        <v>0</v>
      </c>
      <c r="AR884" s="28"/>
      <c r="AS884" s="28" t="n">
        <f aca="false">AR884*$M884</f>
        <v>0</v>
      </c>
      <c r="AT884" s="28"/>
      <c r="AU884" s="28" t="n">
        <f aca="false">AT884*$M884</f>
        <v>0</v>
      </c>
      <c r="AV884" s="28"/>
      <c r="AW884" s="28" t="n">
        <f aca="false">AV884*$M884</f>
        <v>0</v>
      </c>
      <c r="AX884" s="28"/>
      <c r="AY884" s="28" t="n">
        <f aca="false">AX884*$M884</f>
        <v>0</v>
      </c>
      <c r="AZ884" s="30" t="n">
        <f aca="false">19589/100</f>
        <v>195.89</v>
      </c>
      <c r="BA884" s="11" t="n">
        <v>14691</v>
      </c>
      <c r="BB884" s="31" t="n">
        <f aca="false">SUM(Q884,S884,U884,W884,Y884,AA884,AC884,AE884,AG884,AI884,AK884,AM884,AO884,AQ884,AS884,AU884,AW884,AY884)</f>
        <v>14691</v>
      </c>
      <c r="BC884" s="28" t="n">
        <f aca="false">BA884-BB884</f>
        <v>0</v>
      </c>
      <c r="BD884" s="32" t="n">
        <f aca="false">SUM(P884,R884,T884,V884,X884,Z884,AB884,AD884,AF884,AH884,AJ884,AL884,AN884,AP884,AR884,AT884,AV884,AX884)</f>
        <v>195.89</v>
      </c>
      <c r="BE884" s="33" t="n">
        <f aca="false">AZ884-BD884</f>
        <v>0</v>
      </c>
      <c r="BF884" s="34" t="n">
        <f aca="false">BD884*M884</f>
        <v>14691.75</v>
      </c>
      <c r="BG884" s="35" t="n">
        <f aca="false">BA884-BF884</f>
        <v>-0.749999999998181</v>
      </c>
      <c r="BH884" s="19" t="str">
        <f aca="false">IF(BG884=0,"",IF(BG884&lt;&gt;BA884,"erreur de calcul",IF(BD884&lt;&gt;0,"pas de prix",IF(M884&lt;&gt; 0,"pas de quantité","pas de prix, ni de quantité"))))</f>
        <v>erreur de calcul</v>
      </c>
      <c r="BI884" s="19"/>
    </row>
    <row r="885" customFormat="false" ht="15" hidden="false" customHeight="false" outlineLevel="0" collapsed="false">
      <c r="A885" s="0" t="n">
        <v>17</v>
      </c>
      <c r="B885" s="8" t="s">
        <v>24</v>
      </c>
      <c r="C885" s="9" t="s">
        <v>25</v>
      </c>
      <c r="D885" s="9" t="s">
        <v>26</v>
      </c>
      <c r="E885" s="10" t="n">
        <v>1789</v>
      </c>
      <c r="F885" s="9" t="s">
        <v>27</v>
      </c>
      <c r="G885" s="9" t="s">
        <v>27</v>
      </c>
      <c r="H885" s="11" t="n">
        <v>23</v>
      </c>
      <c r="I885" s="11" t="s">
        <v>259</v>
      </c>
      <c r="J885" s="14"/>
      <c r="K885" s="14"/>
      <c r="L885" s="16"/>
      <c r="M885" s="27" t="n">
        <f aca="false">J885+(K885/20)+(L885/240)</f>
        <v>0</v>
      </c>
      <c r="N885" s="17"/>
      <c r="O885" s="11"/>
      <c r="P885" s="28"/>
      <c r="Q885" s="28" t="n">
        <v>957</v>
      </c>
      <c r="R885" s="28"/>
      <c r="S885" s="28" t="n">
        <f aca="false">R885*$M885</f>
        <v>0</v>
      </c>
      <c r="T885" s="28"/>
      <c r="U885" s="28" t="n">
        <v>354</v>
      </c>
      <c r="V885" s="28"/>
      <c r="W885" s="28" t="n">
        <v>398</v>
      </c>
      <c r="X885" s="28"/>
      <c r="Y885" s="28" t="n">
        <v>685</v>
      </c>
      <c r="Z885" s="28"/>
      <c r="AA885" s="28" t="n">
        <v>120</v>
      </c>
      <c r="AB885" s="28"/>
      <c r="AC885" s="28" t="n">
        <v>2994</v>
      </c>
      <c r="AD885" s="28"/>
      <c r="AE885" s="28" t="n">
        <f aca="false">AD885*$M885</f>
        <v>0</v>
      </c>
      <c r="AF885" s="28"/>
      <c r="AG885" s="28" t="n">
        <f aca="false">AF885*$M885</f>
        <v>0</v>
      </c>
      <c r="AH885" s="28"/>
      <c r="AI885" s="28" t="n">
        <v>144</v>
      </c>
      <c r="AJ885" s="28"/>
      <c r="AK885" s="28" t="n">
        <f aca="false">AJ885*$M885</f>
        <v>0</v>
      </c>
      <c r="AL885" s="28"/>
      <c r="AM885" s="28" t="n">
        <f aca="false">AL885*$M885</f>
        <v>0</v>
      </c>
      <c r="AN885" s="28"/>
      <c r="AO885" s="28" t="n">
        <f aca="false">AN885*$M885</f>
        <v>0</v>
      </c>
      <c r="AP885" s="28"/>
      <c r="AQ885" s="28" t="n">
        <f aca="false">AP885*$M885</f>
        <v>0</v>
      </c>
      <c r="AR885" s="28"/>
      <c r="AS885" s="28" t="n">
        <f aca="false">AR885*$M885</f>
        <v>0</v>
      </c>
      <c r="AT885" s="28"/>
      <c r="AU885" s="28" t="n">
        <f aca="false">AT885*$M885</f>
        <v>0</v>
      </c>
      <c r="AV885" s="28"/>
      <c r="AW885" s="28" t="n">
        <f aca="false">AV885*$M885</f>
        <v>0</v>
      </c>
      <c r="AX885" s="28"/>
      <c r="AY885" s="28" t="n">
        <f aca="false">AX885*$M885</f>
        <v>0</v>
      </c>
      <c r="AZ885" s="30"/>
      <c r="BA885" s="11" t="n">
        <v>5652</v>
      </c>
      <c r="BB885" s="31" t="n">
        <f aca="false">SUM(Q885,S885,U885,W885,Y885,AA885,AC885,AE885,AG885,AI885,AK885,AM885,AO885,AQ885,AS885,AU885,AW885,AY885)</f>
        <v>5652</v>
      </c>
      <c r="BC885" s="28" t="n">
        <f aca="false">BA885-BB885</f>
        <v>0</v>
      </c>
      <c r="BD885" s="32" t="n">
        <f aca="false">SUM(P885,R885,T885,V885,X885,Z885,AB885,AD885,AF885,AH885,AJ885,AL885,AN885,AP885,AR885,AT885,AV885,AX885)</f>
        <v>0</v>
      </c>
      <c r="BE885" s="33" t="n">
        <f aca="false">AZ885-BD885</f>
        <v>0</v>
      </c>
      <c r="BF885" s="34" t="n">
        <f aca="false">BD885*M885</f>
        <v>0</v>
      </c>
      <c r="BG885" s="35" t="n">
        <f aca="false">BA885-BF885</f>
        <v>5652</v>
      </c>
      <c r="BH885" s="19" t="str">
        <f aca="false">IF(BG885=0,"",IF(BG885&lt;&gt;BA885,"erreur de calcul",IF(BD885&lt;&gt;0,"pas de prix",IF(M885&lt;&gt; 0,"pas de quantité","pas de prix, ni de quantité"))))</f>
        <v>pas de prix, ni de quantité</v>
      </c>
      <c r="BI885" s="19"/>
    </row>
    <row r="886" customFormat="false" ht="15" hidden="false" customHeight="false" outlineLevel="0" collapsed="false">
      <c r="A886" s="0" t="n">
        <v>18</v>
      </c>
      <c r="B886" s="8" t="s">
        <v>24</v>
      </c>
      <c r="C886" s="9" t="s">
        <v>25</v>
      </c>
      <c r="D886" s="9" t="s">
        <v>26</v>
      </c>
      <c r="E886" s="10" t="n">
        <v>1789</v>
      </c>
      <c r="F886" s="9" t="s">
        <v>27</v>
      </c>
      <c r="G886" s="9" t="s">
        <v>27</v>
      </c>
      <c r="H886" s="11" t="n">
        <v>23</v>
      </c>
      <c r="I886" s="11" t="s">
        <v>260</v>
      </c>
      <c r="J886" s="14" t="n">
        <v>88</v>
      </c>
      <c r="K886" s="14"/>
      <c r="L886" s="16"/>
      <c r="M886" s="27" t="n">
        <f aca="false">J886+(K886/20)+(L886/240)</f>
        <v>88</v>
      </c>
      <c r="N886" s="17" t="s">
        <v>64</v>
      </c>
      <c r="O886" s="11"/>
      <c r="P886" s="28"/>
      <c r="Q886" s="28" t="n">
        <f aca="false">P886*$M886</f>
        <v>0</v>
      </c>
      <c r="R886" s="28"/>
      <c r="S886" s="28" t="n">
        <f aca="false">R886*$M886</f>
        <v>0</v>
      </c>
      <c r="T886" s="28"/>
      <c r="U886" s="28" t="n">
        <f aca="false">T886*$M886</f>
        <v>0</v>
      </c>
      <c r="V886" s="28" t="n">
        <f aca="false">21004/100</f>
        <v>210.04</v>
      </c>
      <c r="W886" s="28" t="n">
        <v>18483</v>
      </c>
      <c r="X886" s="28"/>
      <c r="Y886" s="28" t="n">
        <f aca="false">X886*$M886</f>
        <v>0</v>
      </c>
      <c r="Z886" s="28"/>
      <c r="AA886" s="28" t="n">
        <f aca="false">Z886*$M886</f>
        <v>0</v>
      </c>
      <c r="AB886" s="28"/>
      <c r="AC886" s="28" t="n">
        <f aca="false">AB886*$M886</f>
        <v>0</v>
      </c>
      <c r="AD886" s="28"/>
      <c r="AE886" s="28" t="n">
        <f aca="false">AD886*$M886</f>
        <v>0</v>
      </c>
      <c r="AF886" s="28"/>
      <c r="AG886" s="28" t="n">
        <f aca="false">AF886*$M886</f>
        <v>0</v>
      </c>
      <c r="AH886" s="28"/>
      <c r="AI886" s="28" t="n">
        <f aca="false">AH886*$M886</f>
        <v>0</v>
      </c>
      <c r="AJ886" s="28"/>
      <c r="AK886" s="28" t="n">
        <f aca="false">AJ886*$M886</f>
        <v>0</v>
      </c>
      <c r="AL886" s="28"/>
      <c r="AM886" s="28" t="n">
        <f aca="false">AL886*$M886</f>
        <v>0</v>
      </c>
      <c r="AN886" s="28"/>
      <c r="AO886" s="28" t="n">
        <f aca="false">AN886*$M886</f>
        <v>0</v>
      </c>
      <c r="AP886" s="28"/>
      <c r="AQ886" s="28" t="n">
        <f aca="false">AP886*$M886</f>
        <v>0</v>
      </c>
      <c r="AR886" s="28"/>
      <c r="AS886" s="28" t="n">
        <f aca="false">AR886*$M886</f>
        <v>0</v>
      </c>
      <c r="AT886" s="28"/>
      <c r="AU886" s="28" t="n">
        <f aca="false">AT886*$M886</f>
        <v>0</v>
      </c>
      <c r="AV886" s="28"/>
      <c r="AW886" s="28" t="n">
        <f aca="false">AV886*$M886</f>
        <v>0</v>
      </c>
      <c r="AX886" s="28"/>
      <c r="AY886" s="28" t="n">
        <f aca="false">AX886*$M886</f>
        <v>0</v>
      </c>
      <c r="AZ886" s="30" t="n">
        <f aca="false">21004/100</f>
        <v>210.04</v>
      </c>
      <c r="BA886" s="11" t="n">
        <v>18483</v>
      </c>
      <c r="BB886" s="31" t="n">
        <f aca="false">SUM(Q886,S886,U886,W886,Y886,AA886,AC886,AE886,AG886,AI886,AK886,AM886,AO886,AQ886,AS886,AU886,AW886,AY886)</f>
        <v>18483</v>
      </c>
      <c r="BC886" s="28" t="n">
        <f aca="false">BA886-BB886</f>
        <v>0</v>
      </c>
      <c r="BD886" s="32" t="n">
        <f aca="false">SUM(P886,R886,T886,V886,X886,Z886,AB886,AD886,AF886,AH886,AJ886,AL886,AN886,AP886,AR886,AT886,AV886,AX886)</f>
        <v>210.04</v>
      </c>
      <c r="BE886" s="33" t="n">
        <f aca="false">AZ886-BD886</f>
        <v>0</v>
      </c>
      <c r="BF886" s="34" t="n">
        <f aca="false">BD886*M886</f>
        <v>18483.52</v>
      </c>
      <c r="BG886" s="35" t="n">
        <f aca="false">BA886-BF886</f>
        <v>-0.520000000000437</v>
      </c>
      <c r="BH886" s="19" t="str">
        <f aca="false">IF(BG886=0,"",IF(BG886&lt;&gt;BA886,"erreur de calcul",IF(BD886&lt;&gt;0,"pas de prix",IF(M886&lt;&gt; 0,"pas de quantité","pas de prix, ni de quantité"))))</f>
        <v>erreur de calcul</v>
      </c>
      <c r="BI886" s="19"/>
    </row>
    <row r="887" customFormat="false" ht="15" hidden="false" customHeight="false" outlineLevel="0" collapsed="false">
      <c r="A887" s="0" t="n">
        <v>19</v>
      </c>
      <c r="B887" s="8" t="s">
        <v>24</v>
      </c>
      <c r="C887" s="9" t="s">
        <v>25</v>
      </c>
      <c r="D887" s="9" t="s">
        <v>26</v>
      </c>
      <c r="E887" s="10" t="n">
        <v>1789</v>
      </c>
      <c r="F887" s="9" t="s">
        <v>27</v>
      </c>
      <c r="G887" s="9" t="s">
        <v>27</v>
      </c>
      <c r="H887" s="11" t="n">
        <v>23</v>
      </c>
      <c r="I887" s="11" t="s">
        <v>261</v>
      </c>
      <c r="J887" s="14" t="n">
        <v>35</v>
      </c>
      <c r="K887" s="14"/>
      <c r="L887" s="16"/>
      <c r="M887" s="27" t="n">
        <f aca="false">J887+(K887/20)+(L887/240)</f>
        <v>35</v>
      </c>
      <c r="N887" s="17" t="s">
        <v>64</v>
      </c>
      <c r="O887" s="11"/>
      <c r="P887" s="28" t="n">
        <f aca="false">2877/100</f>
        <v>28.77</v>
      </c>
      <c r="Q887" s="28" t="n">
        <v>1007</v>
      </c>
      <c r="R887" s="28"/>
      <c r="S887" s="28" t="n">
        <f aca="false">R887*$M887</f>
        <v>0</v>
      </c>
      <c r="T887" s="28"/>
      <c r="U887" s="28" t="n">
        <f aca="false">T887*$M887</f>
        <v>0</v>
      </c>
      <c r="V887" s="28"/>
      <c r="W887" s="28" t="n">
        <f aca="false">V887*$M887</f>
        <v>0</v>
      </c>
      <c r="X887" s="28"/>
      <c r="Y887" s="28" t="n">
        <f aca="false">X887*$M887</f>
        <v>0</v>
      </c>
      <c r="Z887" s="28"/>
      <c r="AA887" s="28" t="n">
        <f aca="false">Z887*$M887</f>
        <v>0</v>
      </c>
      <c r="AB887" s="28"/>
      <c r="AC887" s="28" t="n">
        <f aca="false">AB887*$M887</f>
        <v>0</v>
      </c>
      <c r="AD887" s="28"/>
      <c r="AE887" s="28" t="n">
        <f aca="false">AD887*$M887</f>
        <v>0</v>
      </c>
      <c r="AF887" s="28"/>
      <c r="AG887" s="28" t="n">
        <f aca="false">AF887*$M887</f>
        <v>0</v>
      </c>
      <c r="AH887" s="28"/>
      <c r="AI887" s="28" t="n">
        <f aca="false">AH887*$M887</f>
        <v>0</v>
      </c>
      <c r="AJ887" s="28"/>
      <c r="AK887" s="28" t="n">
        <f aca="false">AJ887*$M887</f>
        <v>0</v>
      </c>
      <c r="AL887" s="28"/>
      <c r="AM887" s="28" t="n">
        <f aca="false">AL887*$M887</f>
        <v>0</v>
      </c>
      <c r="AN887" s="28"/>
      <c r="AO887" s="28" t="n">
        <f aca="false">AN887*$M887</f>
        <v>0</v>
      </c>
      <c r="AP887" s="28"/>
      <c r="AQ887" s="28" t="n">
        <f aca="false">AP887*$M887</f>
        <v>0</v>
      </c>
      <c r="AR887" s="28"/>
      <c r="AS887" s="28" t="n">
        <f aca="false">AR887*$M887</f>
        <v>0</v>
      </c>
      <c r="AT887" s="28"/>
      <c r="AU887" s="28" t="n">
        <f aca="false">AT887*$M887</f>
        <v>0</v>
      </c>
      <c r="AV887" s="28"/>
      <c r="AW887" s="28" t="n">
        <f aca="false">AV887*$M887</f>
        <v>0</v>
      </c>
      <c r="AX887" s="28"/>
      <c r="AY887" s="28" t="n">
        <f aca="false">AX887*$M887</f>
        <v>0</v>
      </c>
      <c r="AZ887" s="30" t="n">
        <f aca="false">2877/100</f>
        <v>28.77</v>
      </c>
      <c r="BA887" s="11" t="n">
        <v>1007</v>
      </c>
      <c r="BB887" s="31" t="n">
        <f aca="false">SUM(Q887,S887,U887,W887,Y887,AA887,AC887,AE887,AG887,AI887,AK887,AM887,AO887,AQ887,AS887,AU887,AW887,AY887)</f>
        <v>1007</v>
      </c>
      <c r="BC887" s="28" t="n">
        <f aca="false">BA887-BB887</f>
        <v>0</v>
      </c>
      <c r="BD887" s="32" t="n">
        <f aca="false">SUM(P887,R887,T887,V887,X887,Z887,AB887,AD887,AF887,AH887,AJ887,AL887,AN887,AP887,AR887,AT887,AV887,AX887)</f>
        <v>28.77</v>
      </c>
      <c r="BE887" s="33" t="n">
        <f aca="false">AZ887-BD887</f>
        <v>0</v>
      </c>
      <c r="BF887" s="34" t="n">
        <f aca="false">BD887*M887</f>
        <v>1006.95</v>
      </c>
      <c r="BG887" s="35" t="n">
        <f aca="false">BA887-BF887</f>
        <v>0.0500000000000682</v>
      </c>
      <c r="BH887" s="19" t="str">
        <f aca="false">IF(BG887=0,"",IF(BG887&lt;&gt;BA887,"erreur de calcul",IF(BD887&lt;&gt;0,"pas de prix",IF(M887&lt;&gt; 0,"pas de quantité","pas de prix, ni de quantité"))))</f>
        <v>erreur de calcul</v>
      </c>
      <c r="BI887" s="19"/>
    </row>
    <row r="888" customFormat="false" ht="15" hidden="false" customHeight="false" outlineLevel="0" collapsed="false">
      <c r="A888" s="0" t="n">
        <v>20</v>
      </c>
      <c r="B888" s="8" t="s">
        <v>24</v>
      </c>
      <c r="C888" s="9" t="s">
        <v>25</v>
      </c>
      <c r="D888" s="9" t="s">
        <v>26</v>
      </c>
      <c r="E888" s="10" t="n">
        <v>1789</v>
      </c>
      <c r="F888" s="9" t="s">
        <v>27</v>
      </c>
      <c r="G888" s="9" t="s">
        <v>27</v>
      </c>
      <c r="H888" s="11" t="n">
        <v>23</v>
      </c>
      <c r="I888" s="11" t="s">
        <v>262</v>
      </c>
      <c r="J888" s="14" t="n">
        <v>40</v>
      </c>
      <c r="K888" s="14"/>
      <c r="L888" s="16"/>
      <c r="M888" s="27" t="n">
        <f aca="false">J888+(K888/20)+(L888/240)</f>
        <v>40</v>
      </c>
      <c r="N888" s="17" t="s">
        <v>64</v>
      </c>
      <c r="O888" s="11"/>
      <c r="P888" s="28"/>
      <c r="Q888" s="28" t="n">
        <f aca="false">P888*$M888</f>
        <v>0</v>
      </c>
      <c r="R888" s="28"/>
      <c r="S888" s="28" t="n">
        <f aca="false">R888*$M888</f>
        <v>0</v>
      </c>
      <c r="T888" s="28"/>
      <c r="U888" s="28" t="n">
        <f aca="false">T888*$M888</f>
        <v>0</v>
      </c>
      <c r="V888" s="28"/>
      <c r="W888" s="28" t="n">
        <f aca="false">V888*$M888</f>
        <v>0</v>
      </c>
      <c r="X888" s="28"/>
      <c r="Y888" s="28" t="n">
        <f aca="false">X888*$M888</f>
        <v>0</v>
      </c>
      <c r="Z888" s="28"/>
      <c r="AA888" s="28" t="n">
        <f aca="false">Z888*$M888</f>
        <v>0</v>
      </c>
      <c r="AB888" s="28"/>
      <c r="AC888" s="28" t="n">
        <f aca="false">AB888*$M888</f>
        <v>0</v>
      </c>
      <c r="AD888" s="28"/>
      <c r="AE888" s="28" t="n">
        <f aca="false">AD888*$M888</f>
        <v>0</v>
      </c>
      <c r="AF888" s="28" t="n">
        <f aca="false">108620/100</f>
        <v>1086.2</v>
      </c>
      <c r="AG888" s="28" t="n">
        <v>43448</v>
      </c>
      <c r="AH888" s="28"/>
      <c r="AI888" s="28" t="n">
        <f aca="false">AH888*$M888</f>
        <v>0</v>
      </c>
      <c r="AJ888" s="28"/>
      <c r="AK888" s="28" t="n">
        <f aca="false">AJ888*$M888</f>
        <v>0</v>
      </c>
      <c r="AL888" s="28"/>
      <c r="AM888" s="28" t="n">
        <f aca="false">AL888*$M888</f>
        <v>0</v>
      </c>
      <c r="AN888" s="28"/>
      <c r="AO888" s="28" t="n">
        <f aca="false">AN888*$M888</f>
        <v>0</v>
      </c>
      <c r="AP888" s="28"/>
      <c r="AQ888" s="28" t="n">
        <f aca="false">AP888*$M888</f>
        <v>0</v>
      </c>
      <c r="AR888" s="28"/>
      <c r="AS888" s="28" t="n">
        <f aca="false">AR888*$M888</f>
        <v>0</v>
      </c>
      <c r="AT888" s="28"/>
      <c r="AU888" s="28" t="n">
        <f aca="false">AT888*$M888</f>
        <v>0</v>
      </c>
      <c r="AV888" s="28"/>
      <c r="AW888" s="28" t="n">
        <f aca="false">AV888*$M888</f>
        <v>0</v>
      </c>
      <c r="AX888" s="28"/>
      <c r="AY888" s="28" t="n">
        <f aca="false">AX888*$M888</f>
        <v>0</v>
      </c>
      <c r="AZ888" s="30" t="n">
        <f aca="false">108620/100</f>
        <v>1086.2</v>
      </c>
      <c r="BA888" s="11" t="n">
        <v>43448</v>
      </c>
      <c r="BB888" s="31" t="n">
        <f aca="false">SUM(Q888,S888,U888,W888,Y888,AA888,AC888,AE888,AG888,AI888,AK888,AM888,AO888,AQ888,AS888,AU888,AW888,AY888)</f>
        <v>43448</v>
      </c>
      <c r="BC888" s="28" t="n">
        <f aca="false">BA888-BB888</f>
        <v>0</v>
      </c>
      <c r="BD888" s="32" t="n">
        <f aca="false">SUM(P888,R888,T888,V888,X888,Z888,AB888,AD888,AF888,AH888,AJ888,AL888,AN888,AP888,AR888,AT888,AV888,AX888)</f>
        <v>1086.2</v>
      </c>
      <c r="BE888" s="33" t="n">
        <f aca="false">AZ888-BD888</f>
        <v>0</v>
      </c>
      <c r="BF888" s="34" t="n">
        <f aca="false">BD888*M888</f>
        <v>43448</v>
      </c>
      <c r="BG888" s="35" t="n">
        <f aca="false">BA888-BF888</f>
        <v>0</v>
      </c>
      <c r="BH888" s="19" t="str">
        <f aca="false">IF(BG888=0,"",IF(BG888&lt;&gt;BA888,"erreur de calcul",IF(BD888&lt;&gt;0,"pas de prix",IF(M888&lt;&gt; 0,"pas de quantité","pas de prix, ni de quantité"))))</f>
        <v/>
      </c>
      <c r="BI888" s="19"/>
    </row>
    <row r="889" customFormat="false" ht="15" hidden="false" customHeight="false" outlineLevel="0" collapsed="false">
      <c r="A889" s="0" t="n">
        <v>21</v>
      </c>
      <c r="B889" s="8" t="s">
        <v>24</v>
      </c>
      <c r="C889" s="9" t="s">
        <v>25</v>
      </c>
      <c r="D889" s="9" t="s">
        <v>26</v>
      </c>
      <c r="E889" s="10" t="n">
        <v>1789</v>
      </c>
      <c r="F889" s="9" t="s">
        <v>27</v>
      </c>
      <c r="G889" s="9" t="s">
        <v>27</v>
      </c>
      <c r="H889" s="11" t="n">
        <v>23</v>
      </c>
      <c r="I889" s="11" t="s">
        <v>263</v>
      </c>
      <c r="J889" s="14" t="n">
        <v>12</v>
      </c>
      <c r="K889" s="14"/>
      <c r="L889" s="16"/>
      <c r="M889" s="27" t="n">
        <f aca="false">J889+(K889/20)+(L889/240)</f>
        <v>12</v>
      </c>
      <c r="N889" s="17" t="s">
        <v>64</v>
      </c>
      <c r="O889" s="11"/>
      <c r="P889" s="28"/>
      <c r="Q889" s="28" t="n">
        <f aca="false">P889*$M889</f>
        <v>0</v>
      </c>
      <c r="R889" s="28"/>
      <c r="S889" s="28" t="n">
        <f aca="false">R889*$M889</f>
        <v>0</v>
      </c>
      <c r="T889" s="28"/>
      <c r="U889" s="28" t="n">
        <f aca="false">T889*$M889</f>
        <v>0</v>
      </c>
      <c r="V889" s="28"/>
      <c r="W889" s="28" t="n">
        <f aca="false">V889*$M889</f>
        <v>0</v>
      </c>
      <c r="X889" s="28"/>
      <c r="Y889" s="28" t="n">
        <f aca="false">X889*$M889</f>
        <v>0</v>
      </c>
      <c r="Z889" s="28"/>
      <c r="AA889" s="28" t="n">
        <f aca="false">Z889*$M889</f>
        <v>0</v>
      </c>
      <c r="AB889" s="28" t="n">
        <f aca="false">485726/100</f>
        <v>4857.26</v>
      </c>
      <c r="AC889" s="28" t="n">
        <v>58287</v>
      </c>
      <c r="AD889" s="28"/>
      <c r="AE889" s="28" t="n">
        <f aca="false">AD889*$M889</f>
        <v>0</v>
      </c>
      <c r="AF889" s="28"/>
      <c r="AG889" s="28" t="n">
        <f aca="false">AF889*$M889</f>
        <v>0</v>
      </c>
      <c r="AH889" s="28" t="n">
        <f aca="false">259291/100</f>
        <v>2592.91</v>
      </c>
      <c r="AI889" s="28" t="n">
        <v>31115</v>
      </c>
      <c r="AJ889" s="28"/>
      <c r="AK889" s="28" t="n">
        <f aca="false">AJ889*$M889</f>
        <v>0</v>
      </c>
      <c r="AL889" s="28"/>
      <c r="AM889" s="28" t="n">
        <f aca="false">AL889*$M889</f>
        <v>0</v>
      </c>
      <c r="AN889" s="28"/>
      <c r="AO889" s="28" t="n">
        <f aca="false">AN889*$M889</f>
        <v>0</v>
      </c>
      <c r="AP889" s="28"/>
      <c r="AQ889" s="28" t="n">
        <f aca="false">AP889*$M889</f>
        <v>0</v>
      </c>
      <c r="AR889" s="28"/>
      <c r="AS889" s="28" t="n">
        <f aca="false">AR889*$M889</f>
        <v>0</v>
      </c>
      <c r="AT889" s="28"/>
      <c r="AU889" s="28" t="n">
        <f aca="false">AT889*$M889</f>
        <v>0</v>
      </c>
      <c r="AV889" s="28"/>
      <c r="AW889" s="28" t="n">
        <f aca="false">AV889*$M889</f>
        <v>0</v>
      </c>
      <c r="AX889" s="28"/>
      <c r="AY889" s="28" t="n">
        <f aca="false">AX889*$M889</f>
        <v>0</v>
      </c>
      <c r="AZ889" s="30" t="n">
        <f aca="false">745017/100</f>
        <v>7450.17</v>
      </c>
      <c r="BA889" s="11" t="n">
        <v>89402</v>
      </c>
      <c r="BB889" s="31" t="n">
        <f aca="false">SUM(Q889,S889,U889,W889,Y889,AA889,AC889,AE889,AG889,AI889,AK889,AM889,AO889,AQ889,AS889,AU889,AW889,AY889)</f>
        <v>89402</v>
      </c>
      <c r="BC889" s="28" t="n">
        <f aca="false">BA889-BB889</f>
        <v>0</v>
      </c>
      <c r="BD889" s="32" t="n">
        <f aca="false">SUM(P889,R889,T889,V889,X889,Z889,AB889,AD889,AF889,AH889,AJ889,AL889,AN889,AP889,AR889,AT889,AV889,AX889)</f>
        <v>7450.17</v>
      </c>
      <c r="BE889" s="33" t="n">
        <f aca="false">AZ889-BD889</f>
        <v>0</v>
      </c>
      <c r="BF889" s="34" t="n">
        <f aca="false">BD889*M889</f>
        <v>89402.04</v>
      </c>
      <c r="BG889" s="35" t="n">
        <f aca="false">BA889-BF889</f>
        <v>-0.0400000000081491</v>
      </c>
      <c r="BH889" s="19" t="str">
        <f aca="false">IF(BG889=0,"",IF(BG889&lt;&gt;BA889,"erreur de calcul",IF(BD889&lt;&gt;0,"pas de prix",IF(M889&lt;&gt; 0,"pas de quantité","pas de prix, ni de quantité"))))</f>
        <v>erreur de calcul</v>
      </c>
      <c r="BI889" s="19"/>
    </row>
    <row r="890" customFormat="false" ht="15" hidden="false" customHeight="false" outlineLevel="0" collapsed="false">
      <c r="A890" s="0" t="n">
        <v>22</v>
      </c>
      <c r="B890" s="8" t="s">
        <v>24</v>
      </c>
      <c r="C890" s="9" t="s">
        <v>25</v>
      </c>
      <c r="D890" s="9" t="s">
        <v>26</v>
      </c>
      <c r="E890" s="10" t="n">
        <v>1789</v>
      </c>
      <c r="F890" s="9" t="s">
        <v>27</v>
      </c>
      <c r="G890" s="9" t="s">
        <v>27</v>
      </c>
      <c r="H890" s="11" t="n">
        <v>23</v>
      </c>
      <c r="I890" s="11" t="s">
        <v>264</v>
      </c>
      <c r="J890" s="14" t="n">
        <v>15</v>
      </c>
      <c r="K890" s="14"/>
      <c r="L890" s="16"/>
      <c r="M890" s="27" t="n">
        <f aca="false">J890+(K890/20)+(L890/240)</f>
        <v>15</v>
      </c>
      <c r="N890" s="17" t="s">
        <v>64</v>
      </c>
      <c r="O890" s="11"/>
      <c r="P890" s="28"/>
      <c r="Q890" s="28" t="n">
        <f aca="false">P890*$M890</f>
        <v>0</v>
      </c>
      <c r="R890" s="28"/>
      <c r="S890" s="28" t="n">
        <f aca="false">R890*$M890</f>
        <v>0</v>
      </c>
      <c r="T890" s="28"/>
      <c r="U890" s="28" t="n">
        <f aca="false">T890*$M890</f>
        <v>0</v>
      </c>
      <c r="V890" s="28"/>
      <c r="W890" s="28" t="n">
        <f aca="false">V890*$M890</f>
        <v>0</v>
      </c>
      <c r="X890" s="28" t="n">
        <f aca="false">65502/100</f>
        <v>655.02</v>
      </c>
      <c r="Y890" s="28" t="n">
        <v>9825</v>
      </c>
      <c r="Z890" s="28"/>
      <c r="AA890" s="28" t="n">
        <f aca="false">Z890*$M890</f>
        <v>0</v>
      </c>
      <c r="AB890" s="28" t="n">
        <f aca="false">207046/100</f>
        <v>2070.46</v>
      </c>
      <c r="AC890" s="28" t="n">
        <v>31057</v>
      </c>
      <c r="AD890" s="28"/>
      <c r="AE890" s="28" t="n">
        <f aca="false">AD890*$M890</f>
        <v>0</v>
      </c>
      <c r="AF890" s="28"/>
      <c r="AG890" s="28" t="n">
        <f aca="false">AF890*$M890</f>
        <v>0</v>
      </c>
      <c r="AH890" s="28" t="n">
        <f aca="false">11048/100</f>
        <v>110.48</v>
      </c>
      <c r="AI890" s="28" t="n">
        <v>1657</v>
      </c>
      <c r="AJ890" s="28"/>
      <c r="AK890" s="28" t="n">
        <f aca="false">AJ890*$M890</f>
        <v>0</v>
      </c>
      <c r="AL890" s="28"/>
      <c r="AM890" s="28" t="n">
        <f aca="false">AL890*$M890</f>
        <v>0</v>
      </c>
      <c r="AN890" s="28"/>
      <c r="AO890" s="28" t="n">
        <f aca="false">AN890*$M890</f>
        <v>0</v>
      </c>
      <c r="AP890" s="28"/>
      <c r="AQ890" s="28" t="n">
        <f aca="false">AP890*$M890</f>
        <v>0</v>
      </c>
      <c r="AR890" s="28"/>
      <c r="AS890" s="28" t="n">
        <f aca="false">AR890*$M890</f>
        <v>0</v>
      </c>
      <c r="AT890" s="28"/>
      <c r="AU890" s="28" t="n">
        <f aca="false">AT890*$M890</f>
        <v>0</v>
      </c>
      <c r="AV890" s="28"/>
      <c r="AW890" s="28" t="n">
        <f aca="false">AV890*$M890</f>
        <v>0</v>
      </c>
      <c r="AX890" s="28"/>
      <c r="AY890" s="28" t="n">
        <f aca="false">AX890*$M890</f>
        <v>0</v>
      </c>
      <c r="AZ890" s="30" t="n">
        <f aca="false">283596/100</f>
        <v>2835.96</v>
      </c>
      <c r="BA890" s="11" t="n">
        <v>42539</v>
      </c>
      <c r="BB890" s="31" t="n">
        <f aca="false">SUM(Q890,S890,U890,W890,Y890,AA890,AC890,AE890,AG890,AI890,AK890,AM890,AO890,AQ890,AS890,AU890,AW890,AY890)</f>
        <v>42539</v>
      </c>
      <c r="BC890" s="28" t="n">
        <f aca="false">BA890-BB890</f>
        <v>0</v>
      </c>
      <c r="BD890" s="32" t="n">
        <f aca="false">SUM(P890,R890,T890,V890,X890,Z890,AB890,AD890,AF890,AH890,AJ890,AL890,AN890,AP890,AR890,AT890,AV890,AX890)</f>
        <v>2835.96</v>
      </c>
      <c r="BE890" s="33" t="n">
        <f aca="false">AZ890-BD890</f>
        <v>0</v>
      </c>
      <c r="BF890" s="34" t="n">
        <f aca="false">BD890*M890</f>
        <v>42539.4</v>
      </c>
      <c r="BG890" s="35" t="n">
        <f aca="false">BA890-BF890</f>
        <v>-0.400000000001455</v>
      </c>
      <c r="BH890" s="19" t="str">
        <f aca="false">IF(BG890=0,"",IF(BG890&lt;&gt;BA890,"erreur de calcul",IF(BD890&lt;&gt;0,"pas de prix",IF(M890&lt;&gt; 0,"pas de quantité","pas de prix, ni de quantité"))))</f>
        <v>erreur de calcul</v>
      </c>
      <c r="BI890" s="19"/>
    </row>
    <row r="891" customFormat="false" ht="15" hidden="false" customHeight="false" outlineLevel="0" collapsed="false">
      <c r="A891" s="0" t="n">
        <v>23</v>
      </c>
      <c r="B891" s="8" t="s">
        <v>24</v>
      </c>
      <c r="C891" s="9" t="s">
        <v>25</v>
      </c>
      <c r="D891" s="9" t="s">
        <v>26</v>
      </c>
      <c r="E891" s="10" t="n">
        <v>1789</v>
      </c>
      <c r="F891" s="9" t="s">
        <v>27</v>
      </c>
      <c r="G891" s="9" t="s">
        <v>27</v>
      </c>
      <c r="H891" s="11" t="n">
        <v>23</v>
      </c>
      <c r="I891" s="11" t="s">
        <v>265</v>
      </c>
      <c r="J891" s="14"/>
      <c r="K891" s="14" t="n">
        <v>40</v>
      </c>
      <c r="L891" s="16"/>
      <c r="M891" s="27" t="n">
        <f aca="false">J891+(K891/20)+(L891/240)</f>
        <v>2</v>
      </c>
      <c r="N891" s="17" t="s">
        <v>66</v>
      </c>
      <c r="O891" s="11"/>
      <c r="P891" s="28"/>
      <c r="Q891" s="28" t="n">
        <f aca="false">P891*$M891</f>
        <v>0</v>
      </c>
      <c r="R891" s="28"/>
      <c r="S891" s="28" t="n">
        <f aca="false">R891*$M891</f>
        <v>0</v>
      </c>
      <c r="T891" s="28"/>
      <c r="U891" s="28" t="n">
        <f aca="false">T891*$M891</f>
        <v>0</v>
      </c>
      <c r="V891" s="28" t="n">
        <v>6275</v>
      </c>
      <c r="W891" s="28" t="n">
        <v>12550</v>
      </c>
      <c r="X891" s="28" t="n">
        <v>8662</v>
      </c>
      <c r="Y891" s="28" t="n">
        <v>17324</v>
      </c>
      <c r="Z891" s="28"/>
      <c r="AA891" s="28" t="n">
        <f aca="false">Z891*$M891</f>
        <v>0</v>
      </c>
      <c r="AB891" s="28" t="n">
        <v>2196</v>
      </c>
      <c r="AC891" s="28" t="n">
        <v>4392</v>
      </c>
      <c r="AD891" s="28"/>
      <c r="AE891" s="28" t="n">
        <f aca="false">AD891*$M891</f>
        <v>0</v>
      </c>
      <c r="AF891" s="28"/>
      <c r="AG891" s="28" t="n">
        <f aca="false">AF891*$M891</f>
        <v>0</v>
      </c>
      <c r="AH891" s="28"/>
      <c r="AI891" s="28" t="n">
        <f aca="false">AH891*$M891</f>
        <v>0</v>
      </c>
      <c r="AJ891" s="28"/>
      <c r="AK891" s="28" t="n">
        <f aca="false">AJ891*$M891</f>
        <v>0</v>
      </c>
      <c r="AL891" s="28"/>
      <c r="AM891" s="28" t="n">
        <f aca="false">AL891*$M891</f>
        <v>0</v>
      </c>
      <c r="AN891" s="28"/>
      <c r="AO891" s="28" t="n">
        <f aca="false">AN891*$M891</f>
        <v>0</v>
      </c>
      <c r="AP891" s="28"/>
      <c r="AQ891" s="28" t="n">
        <f aca="false">AP891*$M891</f>
        <v>0</v>
      </c>
      <c r="AR891" s="28"/>
      <c r="AS891" s="28" t="n">
        <f aca="false">AR891*$M891</f>
        <v>0</v>
      </c>
      <c r="AT891" s="28"/>
      <c r="AU891" s="28" t="n">
        <f aca="false">AT891*$M891</f>
        <v>0</v>
      </c>
      <c r="AV891" s="28"/>
      <c r="AW891" s="28" t="n">
        <f aca="false">AV891*$M891</f>
        <v>0</v>
      </c>
      <c r="AX891" s="28"/>
      <c r="AY891" s="28" t="n">
        <f aca="false">AX891*$M891</f>
        <v>0</v>
      </c>
      <c r="AZ891" s="30" t="n">
        <v>17133</v>
      </c>
      <c r="BA891" s="11" t="n">
        <v>34266</v>
      </c>
      <c r="BB891" s="31" t="n">
        <f aca="false">SUM(Q891,S891,U891,W891,Y891,AA891,AC891,AE891,AG891,AI891,AK891,AM891,AO891,AQ891,AS891,AU891,AW891,AY891)</f>
        <v>34266</v>
      </c>
      <c r="BC891" s="28" t="n">
        <f aca="false">BA891-BB891</f>
        <v>0</v>
      </c>
      <c r="BD891" s="32" t="n">
        <f aca="false">SUM(P891,R891,T891,V891,X891,Z891,AB891,AD891,AF891,AH891,AJ891,AL891,AN891,AP891,AR891,AT891,AV891,AX891)</f>
        <v>17133</v>
      </c>
      <c r="BE891" s="33" t="n">
        <f aca="false">AZ891-BD891</f>
        <v>0</v>
      </c>
      <c r="BF891" s="34" t="n">
        <f aca="false">BD891*M891</f>
        <v>34266</v>
      </c>
      <c r="BG891" s="35" t="n">
        <f aca="false">BA891-BF891</f>
        <v>0</v>
      </c>
      <c r="BH891" s="19" t="str">
        <f aca="false">IF(BG891=0,"",IF(BG891&lt;&gt;BA891,"erreur de calcul",IF(BD891&lt;&gt;0,"pas de prix",IF(M891&lt;&gt; 0,"pas de quantité","pas de prix, ni de quantité"))))</f>
        <v/>
      </c>
      <c r="BI891" s="19"/>
    </row>
    <row r="892" customFormat="false" ht="15" hidden="false" customHeight="false" outlineLevel="0" collapsed="false">
      <c r="A892" s="0" t="n">
        <v>24</v>
      </c>
      <c r="B892" s="8" t="s">
        <v>24</v>
      </c>
      <c r="C892" s="9" t="s">
        <v>25</v>
      </c>
      <c r="D892" s="9" t="s">
        <v>26</v>
      </c>
      <c r="E892" s="10" t="n">
        <v>1789</v>
      </c>
      <c r="F892" s="9" t="s">
        <v>27</v>
      </c>
      <c r="G892" s="9" t="s">
        <v>27</v>
      </c>
      <c r="H892" s="11" t="n">
        <v>23</v>
      </c>
      <c r="I892" s="11" t="s">
        <v>266</v>
      </c>
      <c r="J892" s="14" t="n">
        <v>17</v>
      </c>
      <c r="K892" s="14" t="n">
        <v>10</v>
      </c>
      <c r="L892" s="16"/>
      <c r="M892" s="27" t="n">
        <f aca="false">J892+(K892/20)+(L892/240)</f>
        <v>17.5</v>
      </c>
      <c r="N892" s="17" t="s">
        <v>64</v>
      </c>
      <c r="O892" s="11"/>
      <c r="P892" s="28" t="n">
        <f aca="false">147621/100</f>
        <v>1476.21</v>
      </c>
      <c r="Q892" s="28" t="n">
        <v>25834</v>
      </c>
      <c r="R892" s="28"/>
      <c r="S892" s="28" t="n">
        <f aca="false">R892*$M892</f>
        <v>0</v>
      </c>
      <c r="T892" s="28"/>
      <c r="U892" s="28" t="n">
        <f aca="false">T892*$M892</f>
        <v>0</v>
      </c>
      <c r="V892" s="28"/>
      <c r="W892" s="28" t="n">
        <f aca="false">V892*$M892</f>
        <v>0</v>
      </c>
      <c r="X892" s="28" t="n">
        <f aca="false">7220/100</f>
        <v>72.2</v>
      </c>
      <c r="Y892" s="28" t="n">
        <v>1263</v>
      </c>
      <c r="Z892" s="28"/>
      <c r="AA892" s="28" t="n">
        <f aca="false">Z892*$M892</f>
        <v>0</v>
      </c>
      <c r="AB892" s="28" t="n">
        <f aca="false">524444/100</f>
        <v>5244.44</v>
      </c>
      <c r="AC892" s="36" t="n">
        <v>91767</v>
      </c>
      <c r="AD892" s="28"/>
      <c r="AE892" s="28" t="n">
        <f aca="false">AD892*$M892</f>
        <v>0</v>
      </c>
      <c r="AF892" s="28"/>
      <c r="AG892" s="28" t="n">
        <f aca="false">AF892*$M892</f>
        <v>0</v>
      </c>
      <c r="AH892" s="28" t="n">
        <f aca="false">124394/100</f>
        <v>1243.94</v>
      </c>
      <c r="AI892" s="28" t="n">
        <v>21769</v>
      </c>
      <c r="AJ892" s="28"/>
      <c r="AK892" s="28" t="n">
        <f aca="false">AJ892*$M892</f>
        <v>0</v>
      </c>
      <c r="AL892" s="28"/>
      <c r="AM892" s="28" t="n">
        <f aca="false">AL892*$M892</f>
        <v>0</v>
      </c>
      <c r="AN892" s="28"/>
      <c r="AO892" s="28" t="n">
        <f aca="false">AN892*$M892</f>
        <v>0</v>
      </c>
      <c r="AP892" s="28"/>
      <c r="AQ892" s="28" t="n">
        <f aca="false">AP892*$M892</f>
        <v>0</v>
      </c>
      <c r="AR892" s="28"/>
      <c r="AS892" s="28" t="n">
        <f aca="false">AR892*$M892</f>
        <v>0</v>
      </c>
      <c r="AT892" s="28"/>
      <c r="AU892" s="28" t="n">
        <f aca="false">AT892*$M892</f>
        <v>0</v>
      </c>
      <c r="AV892" s="28"/>
      <c r="AW892" s="28" t="n">
        <f aca="false">AV892*$M892</f>
        <v>0</v>
      </c>
      <c r="AX892" s="28"/>
      <c r="AY892" s="28" t="n">
        <f aca="false">AX892*$M892</f>
        <v>0</v>
      </c>
      <c r="AZ892" s="30" t="n">
        <f aca="false">803679/100</f>
        <v>8036.79</v>
      </c>
      <c r="BA892" s="11" t="n">
        <v>140633</v>
      </c>
      <c r="BB892" s="31" t="n">
        <f aca="false">SUM(Q892,S892,U892,W892,Y892,AA892,AC892,AE892,AG892,AI892,AK892,AM892,AO892,AQ892,AS892,AU892,AW892,AY892)</f>
        <v>140633</v>
      </c>
      <c r="BC892" s="28" t="n">
        <f aca="false">BA892-BB892</f>
        <v>0</v>
      </c>
      <c r="BD892" s="32" t="n">
        <f aca="false">SUM(P892,R892,T892,V892,X892,Z892,AB892,AD892,AF892,AH892,AJ892,AL892,AN892,AP892,AR892,AT892,AV892,AX892)</f>
        <v>8036.79</v>
      </c>
      <c r="BE892" s="33" t="n">
        <f aca="false">AZ892-BD892</f>
        <v>0</v>
      </c>
      <c r="BF892" s="34" t="n">
        <f aca="false">BD892*M892</f>
        <v>140643.825</v>
      </c>
      <c r="BG892" s="35" t="n">
        <f aca="false">BA892-BF892</f>
        <v>-10.8249999999825</v>
      </c>
      <c r="BH892" s="19" t="str">
        <f aca="false">IF(BG892=0,"",IF(BG892&lt;&gt;BA892,"erreur de calcul",IF(BD892&lt;&gt;0,"pas de prix",IF(M892&lt;&gt; 0,"pas de quantité","pas de prix, ni de quantité"))))</f>
        <v>erreur de calcul</v>
      </c>
      <c r="BI892" s="19"/>
    </row>
    <row r="893" customFormat="false" ht="15" hidden="false" customHeight="false" outlineLevel="0" collapsed="false">
      <c r="A893" s="0" t="n">
        <v>25</v>
      </c>
      <c r="B893" s="8" t="s">
        <v>24</v>
      </c>
      <c r="C893" s="9" t="s">
        <v>25</v>
      </c>
      <c r="D893" s="9" t="s">
        <v>26</v>
      </c>
      <c r="E893" s="10" t="n">
        <v>1789</v>
      </c>
      <c r="F893" s="9" t="s">
        <v>27</v>
      </c>
      <c r="G893" s="9" t="s">
        <v>27</v>
      </c>
      <c r="H893" s="11" t="n">
        <v>23</v>
      </c>
      <c r="I893" s="11" t="s">
        <v>267</v>
      </c>
      <c r="J893" s="14" t="n">
        <v>25</v>
      </c>
      <c r="K893" s="14"/>
      <c r="L893" s="16"/>
      <c r="M893" s="27" t="n">
        <f aca="false">J893+(K893/20)+(L893/240)</f>
        <v>25</v>
      </c>
      <c r="N893" s="17" t="s">
        <v>64</v>
      </c>
      <c r="O893" s="11"/>
      <c r="P893" s="28"/>
      <c r="Q893" s="28" t="n">
        <f aca="false">P893*$M893</f>
        <v>0</v>
      </c>
      <c r="R893" s="28"/>
      <c r="S893" s="28" t="n">
        <f aca="false">R893*$M893</f>
        <v>0</v>
      </c>
      <c r="T893" s="28"/>
      <c r="U893" s="28" t="n">
        <f aca="false">T893*$M893</f>
        <v>0</v>
      </c>
      <c r="V893" s="28"/>
      <c r="W893" s="28" t="n">
        <f aca="false">V893*$M893</f>
        <v>0</v>
      </c>
      <c r="X893" s="28"/>
      <c r="Y893" s="28" t="n">
        <f aca="false">X893*$M893</f>
        <v>0</v>
      </c>
      <c r="Z893" s="28"/>
      <c r="AA893" s="28" t="n">
        <f aca="false">Z893*$M893</f>
        <v>0</v>
      </c>
      <c r="AB893" s="28" t="n">
        <f aca="false">136004/100</f>
        <v>1360.04</v>
      </c>
      <c r="AC893" s="28" t="n">
        <v>34001</v>
      </c>
      <c r="AD893" s="28"/>
      <c r="AE893" s="28" t="n">
        <f aca="false">AD893*$M893</f>
        <v>0</v>
      </c>
      <c r="AF893" s="28"/>
      <c r="AG893" s="28" t="n">
        <f aca="false">AF893*$M893</f>
        <v>0</v>
      </c>
      <c r="AH893" s="28" t="n">
        <f aca="false">173052/100</f>
        <v>1730.52</v>
      </c>
      <c r="AI893" s="28" t="n">
        <v>43263</v>
      </c>
      <c r="AJ893" s="28"/>
      <c r="AK893" s="28" t="n">
        <f aca="false">AJ893*$M893</f>
        <v>0</v>
      </c>
      <c r="AL893" s="28"/>
      <c r="AM893" s="28" t="n">
        <f aca="false">AL893*$M893</f>
        <v>0</v>
      </c>
      <c r="AN893" s="28"/>
      <c r="AO893" s="28" t="n">
        <f aca="false">AN893*$M893</f>
        <v>0</v>
      </c>
      <c r="AP893" s="28"/>
      <c r="AQ893" s="28" t="n">
        <f aca="false">AP893*$M893</f>
        <v>0</v>
      </c>
      <c r="AR893" s="28"/>
      <c r="AS893" s="28" t="n">
        <f aca="false">AR893*$M893</f>
        <v>0</v>
      </c>
      <c r="AT893" s="28"/>
      <c r="AU893" s="28" t="n">
        <f aca="false">AT893*$M893</f>
        <v>0</v>
      </c>
      <c r="AV893" s="28"/>
      <c r="AW893" s="28" t="n">
        <f aca="false">AV893*$M893</f>
        <v>0</v>
      </c>
      <c r="AX893" s="28"/>
      <c r="AY893" s="28" t="n">
        <f aca="false">AX893*$M893</f>
        <v>0</v>
      </c>
      <c r="AZ893" s="30" t="n">
        <f aca="false">309056/100</f>
        <v>3090.56</v>
      </c>
      <c r="BA893" s="11" t="n">
        <v>77264</v>
      </c>
      <c r="BB893" s="31" t="n">
        <f aca="false">SUM(Q893,S893,U893,W893,Y893,AA893,AC893,AE893,AG893,AI893,AK893,AM893,AO893,AQ893,AS893,AU893,AW893,AY893)</f>
        <v>77264</v>
      </c>
      <c r="BC893" s="28" t="n">
        <f aca="false">BA893-BB893</f>
        <v>0</v>
      </c>
      <c r="BD893" s="32" t="n">
        <f aca="false">SUM(P893,R893,T893,V893,X893,Z893,AB893,AD893,AF893,AH893,AJ893,AL893,AN893,AP893,AR893,AT893,AV893,AX893)</f>
        <v>3090.56</v>
      </c>
      <c r="BE893" s="33" t="n">
        <f aca="false">AZ893-BD893</f>
        <v>0</v>
      </c>
      <c r="BF893" s="34" t="n">
        <f aca="false">BD893*M893</f>
        <v>77264</v>
      </c>
      <c r="BG893" s="35" t="n">
        <f aca="false">BA893-BF893</f>
        <v>0</v>
      </c>
      <c r="BH893" s="19" t="str">
        <f aca="false">IF(BG893=0,"",IF(BG893&lt;&gt;BA893,"erreur de calcul",IF(BD893&lt;&gt;0,"pas de prix",IF(M893&lt;&gt; 0,"pas de quantité","pas de prix, ni de quantité"))))</f>
        <v/>
      </c>
      <c r="BI893" s="19"/>
    </row>
    <row r="894" customFormat="false" ht="15" hidden="false" customHeight="false" outlineLevel="0" collapsed="false">
      <c r="A894" s="0" t="n">
        <v>26</v>
      </c>
      <c r="B894" s="8" t="s">
        <v>24</v>
      </c>
      <c r="C894" s="9" t="s">
        <v>25</v>
      </c>
      <c r="D894" s="9" t="s">
        <v>26</v>
      </c>
      <c r="E894" s="10" t="n">
        <v>1789</v>
      </c>
      <c r="F894" s="9" t="s">
        <v>27</v>
      </c>
      <c r="G894" s="9" t="s">
        <v>27</v>
      </c>
      <c r="H894" s="11" t="n">
        <v>23</v>
      </c>
      <c r="I894" s="11" t="s">
        <v>268</v>
      </c>
      <c r="J894" s="14" t="n">
        <v>8</v>
      </c>
      <c r="K894" s="14"/>
      <c r="L894" s="16"/>
      <c r="M894" s="27" t="n">
        <f aca="false">J894+(K894/20)+(L894/240)</f>
        <v>8</v>
      </c>
      <c r="N894" s="17" t="s">
        <v>64</v>
      </c>
      <c r="O894" s="11"/>
      <c r="P894" s="28"/>
      <c r="Q894" s="28" t="n">
        <f aca="false">P894*$M894</f>
        <v>0</v>
      </c>
      <c r="R894" s="28"/>
      <c r="S894" s="28" t="n">
        <f aca="false">R894*$M894</f>
        <v>0</v>
      </c>
      <c r="T894" s="28" t="n">
        <f aca="false">260752/100</f>
        <v>2607.52</v>
      </c>
      <c r="U894" s="28" t="n">
        <v>20860</v>
      </c>
      <c r="V894" s="28" t="n">
        <f aca="false">170453/100</f>
        <v>1704.53</v>
      </c>
      <c r="W894" s="28" t="n">
        <v>13636</v>
      </c>
      <c r="X894" s="28"/>
      <c r="Y894" s="28" t="n">
        <f aca="false">X894*$M894</f>
        <v>0</v>
      </c>
      <c r="Z894" s="28"/>
      <c r="AA894" s="28" t="n">
        <f aca="false">Z894*$M894</f>
        <v>0</v>
      </c>
      <c r="AB894" s="28"/>
      <c r="AC894" s="28" t="n">
        <f aca="false">AB894*$M894</f>
        <v>0</v>
      </c>
      <c r="AD894" s="28"/>
      <c r="AE894" s="28" t="n">
        <f aca="false">AD894*$M894</f>
        <v>0</v>
      </c>
      <c r="AF894" s="28"/>
      <c r="AG894" s="28" t="n">
        <f aca="false">AF894*$M894</f>
        <v>0</v>
      </c>
      <c r="AH894" s="28"/>
      <c r="AI894" s="28" t="n">
        <f aca="false">AH894*$M894</f>
        <v>0</v>
      </c>
      <c r="AJ894" s="28"/>
      <c r="AK894" s="28" t="n">
        <f aca="false">AJ894*$M894</f>
        <v>0</v>
      </c>
      <c r="AL894" s="28"/>
      <c r="AM894" s="28" t="n">
        <f aca="false">AL894*$M894</f>
        <v>0</v>
      </c>
      <c r="AN894" s="28"/>
      <c r="AO894" s="28" t="n">
        <f aca="false">AN894*$M894</f>
        <v>0</v>
      </c>
      <c r="AP894" s="28"/>
      <c r="AQ894" s="28" t="n">
        <f aca="false">AP894*$M894</f>
        <v>0</v>
      </c>
      <c r="AR894" s="28"/>
      <c r="AS894" s="28" t="n">
        <f aca="false">AR894*$M894</f>
        <v>0</v>
      </c>
      <c r="AT894" s="28"/>
      <c r="AU894" s="28" t="n">
        <f aca="false">AT894*$M894</f>
        <v>0</v>
      </c>
      <c r="AV894" s="28"/>
      <c r="AW894" s="28" t="n">
        <f aca="false">AV894*$M894</f>
        <v>0</v>
      </c>
      <c r="AX894" s="28"/>
      <c r="AY894" s="28" t="n">
        <f aca="false">AX894*$M894</f>
        <v>0</v>
      </c>
      <c r="AZ894" s="30" t="n">
        <f aca="false">431205/100</f>
        <v>4312.05</v>
      </c>
      <c r="BA894" s="11" t="n">
        <v>34496</v>
      </c>
      <c r="BB894" s="31" t="n">
        <f aca="false">SUM(Q894,S894,U894,W894,Y894,AA894,AC894,AE894,AG894,AI894,AK894,AM894,AO894,AQ894,AS894,AU894,AW894,AY894)</f>
        <v>34496</v>
      </c>
      <c r="BC894" s="28" t="n">
        <f aca="false">BA894-BB894</f>
        <v>0</v>
      </c>
      <c r="BD894" s="32" t="n">
        <f aca="false">SUM(P894,R894,T894,V894,X894,Z894,AB894,AD894,AF894,AH894,AJ894,AL894,AN894,AP894,AR894,AT894,AV894,AX894)</f>
        <v>4312.05</v>
      </c>
      <c r="BE894" s="33" t="n">
        <f aca="false">AZ894-BD894</f>
        <v>0</v>
      </c>
      <c r="BF894" s="34" t="n">
        <f aca="false">BD894*M894</f>
        <v>34496.4</v>
      </c>
      <c r="BG894" s="35" t="n">
        <f aca="false">BA894-BF894</f>
        <v>-0.400000000001455</v>
      </c>
      <c r="BH894" s="19" t="str">
        <f aca="false">IF(BG894=0,"",IF(BG894&lt;&gt;BA894,"erreur de calcul",IF(BD894&lt;&gt;0,"pas de prix",IF(M894&lt;&gt; 0,"pas de quantité","pas de prix, ni de quantité"))))</f>
        <v>erreur de calcul</v>
      </c>
      <c r="BI894" s="19"/>
    </row>
    <row r="895" customFormat="false" ht="15" hidden="false" customHeight="false" outlineLevel="0" collapsed="false">
      <c r="A895" s="0" t="n">
        <v>27</v>
      </c>
      <c r="B895" s="8" t="s">
        <v>24</v>
      </c>
      <c r="C895" s="9" t="s">
        <v>25</v>
      </c>
      <c r="D895" s="9" t="s">
        <v>26</v>
      </c>
      <c r="E895" s="10" t="n">
        <v>1789</v>
      </c>
      <c r="F895" s="9" t="s">
        <v>27</v>
      </c>
      <c r="G895" s="9" t="s">
        <v>27</v>
      </c>
      <c r="H895" s="11" t="n">
        <v>23</v>
      </c>
      <c r="I895" s="11" t="s">
        <v>269</v>
      </c>
      <c r="J895" s="14"/>
      <c r="K895" s="14" t="n">
        <v>50</v>
      </c>
      <c r="L895" s="16"/>
      <c r="M895" s="27" t="n">
        <f aca="false">J895+(K895/20)+(L895/240)</f>
        <v>2.5</v>
      </c>
      <c r="N895" s="17" t="s">
        <v>85</v>
      </c>
      <c r="O895" s="11"/>
      <c r="P895" s="28"/>
      <c r="Q895" s="28" t="n">
        <f aca="false">P895*$M895</f>
        <v>0</v>
      </c>
      <c r="R895" s="28"/>
      <c r="S895" s="28" t="n">
        <f aca="false">R895*$M895</f>
        <v>0</v>
      </c>
      <c r="T895" s="28" t="n">
        <f aca="false">221150/100</f>
        <v>2211.5</v>
      </c>
      <c r="U895" s="28" t="n">
        <v>5529</v>
      </c>
      <c r="V895" s="28" t="n">
        <f aca="false">3922156/100</f>
        <v>39221.56</v>
      </c>
      <c r="W895" s="28" t="n">
        <v>98054</v>
      </c>
      <c r="X895" s="28"/>
      <c r="Y895" s="28" t="n">
        <f aca="false">X895*$M895</f>
        <v>0</v>
      </c>
      <c r="Z895" s="28"/>
      <c r="AA895" s="28" t="n">
        <f aca="false">Z895*$M895</f>
        <v>0</v>
      </c>
      <c r="AB895" s="28" t="n">
        <f aca="false">297900/100</f>
        <v>2979</v>
      </c>
      <c r="AC895" s="28" t="n">
        <v>7447</v>
      </c>
      <c r="AD895" s="28"/>
      <c r="AE895" s="28" t="n">
        <f aca="false">AD895*$M895</f>
        <v>0</v>
      </c>
      <c r="AF895" s="28"/>
      <c r="AG895" s="28" t="n">
        <f aca="false">AF895*$M895</f>
        <v>0</v>
      </c>
      <c r="AH895" s="28"/>
      <c r="AI895" s="28" t="n">
        <f aca="false">AH895*$M895</f>
        <v>0</v>
      </c>
      <c r="AJ895" s="28"/>
      <c r="AK895" s="28" t="n">
        <f aca="false">AJ895*$M895</f>
        <v>0</v>
      </c>
      <c r="AL895" s="28"/>
      <c r="AM895" s="28" t="n">
        <f aca="false">AL895*$M895</f>
        <v>0</v>
      </c>
      <c r="AN895" s="28"/>
      <c r="AO895" s="28" t="n">
        <f aca="false">AN895*$M895</f>
        <v>0</v>
      </c>
      <c r="AP895" s="28"/>
      <c r="AQ895" s="28" t="n">
        <f aca="false">AP895*$M895</f>
        <v>0</v>
      </c>
      <c r="AR895" s="28"/>
      <c r="AS895" s="28" t="n">
        <f aca="false">AR895*$M895</f>
        <v>0</v>
      </c>
      <c r="AT895" s="28"/>
      <c r="AU895" s="28" t="n">
        <f aca="false">AT895*$M895</f>
        <v>0</v>
      </c>
      <c r="AV895" s="28"/>
      <c r="AW895" s="28" t="n">
        <f aca="false">AV895*$M895</f>
        <v>0</v>
      </c>
      <c r="AX895" s="28"/>
      <c r="AY895" s="28" t="n">
        <f aca="false">AX895*$M895</f>
        <v>0</v>
      </c>
      <c r="AZ895" s="30" t="n">
        <f aca="false">4441206/100</f>
        <v>44412.06</v>
      </c>
      <c r="BA895" s="11" t="n">
        <v>111030</v>
      </c>
      <c r="BB895" s="31" t="n">
        <f aca="false">SUM(Q895,S895,U895,W895,Y895,AA895,AC895,AE895,AG895,AI895,AK895,AM895,AO895,AQ895,AS895,AU895,AW895,AY895)</f>
        <v>111030</v>
      </c>
      <c r="BC895" s="28" t="n">
        <f aca="false">BA895-BB895</f>
        <v>0</v>
      </c>
      <c r="BD895" s="32" t="n">
        <f aca="false">SUM(P895,R895,T895,V895,X895,Z895,AB895,AD895,AF895,AH895,AJ895,AL895,AN895,AP895,AR895,AT895,AV895,AX895)</f>
        <v>44412.06</v>
      </c>
      <c r="BE895" s="33" t="n">
        <f aca="false">AZ895-BD895</f>
        <v>0</v>
      </c>
      <c r="BF895" s="34" t="n">
        <f aca="false">BD895*M895</f>
        <v>111030.15</v>
      </c>
      <c r="BG895" s="35" t="n">
        <f aca="false">BA895-BF895</f>
        <v>-0.149999999994179</v>
      </c>
      <c r="BH895" s="19" t="str">
        <f aca="false">IF(BG895=0,"",IF(BG895&lt;&gt;BA895,"erreur de calcul",IF(BD895&lt;&gt;0,"pas de prix",IF(M895&lt;&gt; 0,"pas de quantité","pas de prix, ni de quantité"))))</f>
        <v>erreur de calcul</v>
      </c>
      <c r="BI895" s="19"/>
    </row>
    <row r="896" customFormat="false" ht="15" hidden="false" customHeight="false" outlineLevel="0" collapsed="false">
      <c r="A896" s="0" t="n">
        <v>28</v>
      </c>
      <c r="B896" s="8" t="s">
        <v>24</v>
      </c>
      <c r="C896" s="9" t="s">
        <v>25</v>
      </c>
      <c r="D896" s="9" t="s">
        <v>26</v>
      </c>
      <c r="E896" s="10" t="n">
        <v>1789</v>
      </c>
      <c r="F896" s="9" t="s">
        <v>27</v>
      </c>
      <c r="G896" s="9" t="s">
        <v>27</v>
      </c>
      <c r="H896" s="11" t="n">
        <v>23</v>
      </c>
      <c r="I896" s="11" t="s">
        <v>270</v>
      </c>
      <c r="J896" s="14" t="n">
        <v>5</v>
      </c>
      <c r="K896" s="14"/>
      <c r="L896" s="16"/>
      <c r="M896" s="27" t="n">
        <f aca="false">J896+(K896/20)+(L896/240)</f>
        <v>5</v>
      </c>
      <c r="N896" s="17" t="s">
        <v>85</v>
      </c>
      <c r="O896" s="11"/>
      <c r="P896" s="28" t="n">
        <f aca="false">328200/100</f>
        <v>3282</v>
      </c>
      <c r="Q896" s="28" t="n">
        <v>16410</v>
      </c>
      <c r="R896" s="28"/>
      <c r="S896" s="28" t="n">
        <f aca="false">R896*$M896</f>
        <v>0</v>
      </c>
      <c r="T896" s="28" t="n">
        <f aca="false">667000/100</f>
        <v>6670</v>
      </c>
      <c r="U896" s="36" t="n">
        <v>33360</v>
      </c>
      <c r="V896" s="28" t="n">
        <f aca="false">506800/100</f>
        <v>5068</v>
      </c>
      <c r="W896" s="28" t="n">
        <v>25340</v>
      </c>
      <c r="X896" s="28"/>
      <c r="Y896" s="28" t="n">
        <f aca="false">X896*$M896</f>
        <v>0</v>
      </c>
      <c r="Z896" s="28"/>
      <c r="AA896" s="28" t="n">
        <f aca="false">Z896*$M896</f>
        <v>0</v>
      </c>
      <c r="AB896" s="28"/>
      <c r="AC896" s="28" t="n">
        <f aca="false">AB896*$M896</f>
        <v>0</v>
      </c>
      <c r="AD896" s="28"/>
      <c r="AE896" s="28" t="n">
        <f aca="false">AD896*$M896</f>
        <v>0</v>
      </c>
      <c r="AF896" s="28"/>
      <c r="AG896" s="28" t="n">
        <f aca="false">AF896*$M896</f>
        <v>0</v>
      </c>
      <c r="AH896" s="28" t="n">
        <f aca="false">320500/100</f>
        <v>3205</v>
      </c>
      <c r="AI896" s="28" t="n">
        <v>16025</v>
      </c>
      <c r="AJ896" s="28"/>
      <c r="AK896" s="28" t="n">
        <f aca="false">AJ896*$M896</f>
        <v>0</v>
      </c>
      <c r="AL896" s="28"/>
      <c r="AM896" s="28" t="n">
        <f aca="false">AL896*$M896</f>
        <v>0</v>
      </c>
      <c r="AN896" s="28"/>
      <c r="AO896" s="28" t="n">
        <f aca="false">AN896*$M896</f>
        <v>0</v>
      </c>
      <c r="AP896" s="28"/>
      <c r="AQ896" s="28" t="n">
        <f aca="false">AP896*$M896</f>
        <v>0</v>
      </c>
      <c r="AR896" s="28"/>
      <c r="AS896" s="28" t="n">
        <f aca="false">AR896*$M896</f>
        <v>0</v>
      </c>
      <c r="AT896" s="28"/>
      <c r="AU896" s="28" t="n">
        <f aca="false">AT896*$M896</f>
        <v>0</v>
      </c>
      <c r="AV896" s="28"/>
      <c r="AW896" s="28" t="n">
        <f aca="false">AV896*$M896</f>
        <v>0</v>
      </c>
      <c r="AX896" s="28"/>
      <c r="AY896" s="28" t="n">
        <f aca="false">AX896*$M896</f>
        <v>0</v>
      </c>
      <c r="AZ896" s="30" t="n">
        <f aca="false">1822500/100</f>
        <v>18225</v>
      </c>
      <c r="BA896" s="11" t="n">
        <v>91135</v>
      </c>
      <c r="BB896" s="31" t="n">
        <f aca="false">SUM(Q896,S896,U896,W896,Y896,AA896,AC896,AE896,AG896,AI896,AK896,AM896,AO896,AQ896,AS896,AU896,AW896,AY896)</f>
        <v>91135</v>
      </c>
      <c r="BC896" s="28" t="n">
        <f aca="false">BA896-BB896</f>
        <v>0</v>
      </c>
      <c r="BD896" s="32" t="n">
        <f aca="false">SUM(P896,R896,T896,V896,X896,Z896,AB896,AD896,AF896,AH896,AJ896,AL896,AN896,AP896,AR896,AT896,AV896,AX896)</f>
        <v>18225</v>
      </c>
      <c r="BE896" s="33" t="n">
        <f aca="false">AZ896-BD896</f>
        <v>0</v>
      </c>
      <c r="BF896" s="34" t="n">
        <f aca="false">BD896*M896</f>
        <v>91125</v>
      </c>
      <c r="BG896" s="35" t="n">
        <f aca="false">BA896-BF896</f>
        <v>10</v>
      </c>
      <c r="BH896" s="19" t="str">
        <f aca="false">IF(BG896=0,"",IF(BG896&lt;&gt;BA896,"erreur de calcul",IF(BD896&lt;&gt;0,"pas de prix",IF(M896&lt;&gt; 0,"pas de quantité","pas de prix, ni de quantité"))))</f>
        <v>erreur de calcul</v>
      </c>
      <c r="BI896" s="19"/>
    </row>
    <row r="897" customFormat="false" ht="15" hidden="false" customHeight="false" outlineLevel="0" collapsed="false">
      <c r="A897" s="0" t="n">
        <v>29</v>
      </c>
      <c r="B897" s="8" t="s">
        <v>24</v>
      </c>
      <c r="C897" s="9" t="s">
        <v>25</v>
      </c>
      <c r="D897" s="9" t="s">
        <v>26</v>
      </c>
      <c r="E897" s="10" t="n">
        <v>1789</v>
      </c>
      <c r="F897" s="9" t="s">
        <v>27</v>
      </c>
      <c r="G897" s="9" t="s">
        <v>27</v>
      </c>
      <c r="H897" s="11" t="n">
        <v>23</v>
      </c>
      <c r="I897" s="11" t="s">
        <v>271</v>
      </c>
      <c r="J897" s="14" t="n">
        <v>7</v>
      </c>
      <c r="K897" s="14" t="n">
        <v>10</v>
      </c>
      <c r="L897" s="16"/>
      <c r="M897" s="27" t="n">
        <f aca="false">J897+(K897/20)+(L897/240)</f>
        <v>7.5</v>
      </c>
      <c r="N897" s="17" t="s">
        <v>64</v>
      </c>
      <c r="O897" s="11"/>
      <c r="P897" s="28"/>
      <c r="Q897" s="28" t="n">
        <f aca="false">P897*$M897</f>
        <v>0</v>
      </c>
      <c r="R897" s="28"/>
      <c r="S897" s="28" t="n">
        <f aca="false">R897*$M897</f>
        <v>0</v>
      </c>
      <c r="T897" s="28"/>
      <c r="U897" s="28" t="n">
        <f aca="false">T897*$M897</f>
        <v>0</v>
      </c>
      <c r="V897" s="28" t="n">
        <f aca="false">191888/100</f>
        <v>1918.88</v>
      </c>
      <c r="W897" s="28" t="n">
        <v>14392</v>
      </c>
      <c r="X897" s="28"/>
      <c r="Y897" s="28" t="n">
        <f aca="false">X897*$M897</f>
        <v>0</v>
      </c>
      <c r="Z897" s="28"/>
      <c r="AA897" s="28" t="n">
        <f aca="false">Z897*$M897</f>
        <v>0</v>
      </c>
      <c r="AB897" s="28"/>
      <c r="AC897" s="28" t="n">
        <f aca="false">AB897*$M897</f>
        <v>0</v>
      </c>
      <c r="AD897" s="28"/>
      <c r="AE897" s="28" t="n">
        <f aca="false">AD897*$M897</f>
        <v>0</v>
      </c>
      <c r="AF897" s="28"/>
      <c r="AG897" s="28" t="n">
        <f aca="false">AF897*$M897</f>
        <v>0</v>
      </c>
      <c r="AH897" s="28"/>
      <c r="AI897" s="28" t="n">
        <f aca="false">AH897*$M897</f>
        <v>0</v>
      </c>
      <c r="AJ897" s="28"/>
      <c r="AK897" s="28" t="n">
        <f aca="false">AJ897*$M897</f>
        <v>0</v>
      </c>
      <c r="AL897" s="28"/>
      <c r="AM897" s="28" t="n">
        <f aca="false">AL897*$M897</f>
        <v>0</v>
      </c>
      <c r="AN897" s="28"/>
      <c r="AO897" s="28" t="n">
        <f aca="false">AN897*$M897</f>
        <v>0</v>
      </c>
      <c r="AP897" s="28"/>
      <c r="AQ897" s="28" t="n">
        <f aca="false">AP897*$M897</f>
        <v>0</v>
      </c>
      <c r="AR897" s="28"/>
      <c r="AS897" s="28" t="n">
        <f aca="false">AR897*$M897</f>
        <v>0</v>
      </c>
      <c r="AT897" s="28"/>
      <c r="AU897" s="28" t="n">
        <f aca="false">AT897*$M897</f>
        <v>0</v>
      </c>
      <c r="AV897" s="28"/>
      <c r="AW897" s="28" t="n">
        <f aca="false">AV897*$M897</f>
        <v>0</v>
      </c>
      <c r="AX897" s="28"/>
      <c r="AY897" s="28" t="n">
        <f aca="false">AX897*$M897</f>
        <v>0</v>
      </c>
      <c r="AZ897" s="30" t="n">
        <f aca="false">191888/100</f>
        <v>1918.88</v>
      </c>
      <c r="BA897" s="11" t="n">
        <v>14392</v>
      </c>
      <c r="BB897" s="31" t="n">
        <f aca="false">SUM(Q897,S897,U897,W897,Y897,AA897,AC897,AE897,AG897,AI897,AK897,AM897,AO897,AQ897,AS897,AU897,AW897,AY897)</f>
        <v>14392</v>
      </c>
      <c r="BC897" s="28" t="n">
        <f aca="false">BA897-BB897</f>
        <v>0</v>
      </c>
      <c r="BD897" s="32" t="n">
        <f aca="false">SUM(P897,R897,T897,V897,X897,Z897,AB897,AD897,AF897,AH897,AJ897,AL897,AN897,AP897,AR897,AT897,AV897,AX897)</f>
        <v>1918.88</v>
      </c>
      <c r="BE897" s="33" t="n">
        <f aca="false">AZ897-BD897</f>
        <v>0</v>
      </c>
      <c r="BF897" s="34" t="n">
        <f aca="false">BD897*M897</f>
        <v>14391.6</v>
      </c>
      <c r="BG897" s="35" t="n">
        <f aca="false">BA897-BF897</f>
        <v>0.399999999999636</v>
      </c>
      <c r="BH897" s="19" t="str">
        <f aca="false">IF(BG897=0,"",IF(BG897&lt;&gt;BA897,"erreur de calcul",IF(BD897&lt;&gt;0,"pas de prix",IF(M897&lt;&gt; 0,"pas de quantité","pas de prix, ni de quantité"))))</f>
        <v>erreur de calcul</v>
      </c>
      <c r="BI897" s="19"/>
    </row>
    <row r="898" customFormat="false" ht="15" hidden="false" customHeight="false" outlineLevel="0" collapsed="false">
      <c r="A898" s="0" t="n">
        <v>30</v>
      </c>
      <c r="B898" s="8" t="s">
        <v>24</v>
      </c>
      <c r="C898" s="9" t="s">
        <v>25</v>
      </c>
      <c r="D898" s="9" t="s">
        <v>26</v>
      </c>
      <c r="E898" s="10" t="n">
        <v>1789</v>
      </c>
      <c r="F898" s="9" t="s">
        <v>27</v>
      </c>
      <c r="G898" s="9" t="s">
        <v>27</v>
      </c>
      <c r="H898" s="11" t="n">
        <v>23</v>
      </c>
      <c r="I898" s="11" t="s">
        <v>272</v>
      </c>
      <c r="J898" s="14" t="n">
        <v>6</v>
      </c>
      <c r="K898" s="14"/>
      <c r="L898" s="16"/>
      <c r="M898" s="27" t="n">
        <f aca="false">J898+(K898/20)+(L898/240)</f>
        <v>6</v>
      </c>
      <c r="N898" s="17" t="s">
        <v>64</v>
      </c>
      <c r="O898" s="11"/>
      <c r="P898" s="28"/>
      <c r="Q898" s="28" t="n">
        <f aca="false">P898*$M898</f>
        <v>0</v>
      </c>
      <c r="R898" s="28"/>
      <c r="S898" s="28" t="n">
        <f aca="false">R898*$M898</f>
        <v>0</v>
      </c>
      <c r="T898" s="28" t="n">
        <f aca="false">26711/100</f>
        <v>267.11</v>
      </c>
      <c r="U898" s="28" t="n">
        <v>1603</v>
      </c>
      <c r="V898" s="28" t="n">
        <f aca="false">790699/100</f>
        <v>7906.99</v>
      </c>
      <c r="W898" s="28" t="n">
        <v>47442</v>
      </c>
      <c r="X898" s="28" t="n">
        <f aca="false">50169/100</f>
        <v>501.69</v>
      </c>
      <c r="Y898" s="28" t="n">
        <v>3010</v>
      </c>
      <c r="Z898" s="28"/>
      <c r="AA898" s="28" t="n">
        <f aca="false">Z898*$M898</f>
        <v>0</v>
      </c>
      <c r="AB898" s="28"/>
      <c r="AC898" s="28" t="n">
        <f aca="false">AB898*$M898</f>
        <v>0</v>
      </c>
      <c r="AD898" s="28"/>
      <c r="AE898" s="28" t="n">
        <f aca="false">AD898*$M898</f>
        <v>0</v>
      </c>
      <c r="AF898" s="28"/>
      <c r="AG898" s="28" t="n">
        <f aca="false">AF898*$M898</f>
        <v>0</v>
      </c>
      <c r="AH898" s="28"/>
      <c r="AI898" s="28" t="n">
        <f aca="false">AH898*$M898</f>
        <v>0</v>
      </c>
      <c r="AJ898" s="28"/>
      <c r="AK898" s="28" t="n">
        <f aca="false">AJ898*$M898</f>
        <v>0</v>
      </c>
      <c r="AL898" s="28"/>
      <c r="AM898" s="28" t="n">
        <f aca="false">AL898*$M898</f>
        <v>0</v>
      </c>
      <c r="AN898" s="28"/>
      <c r="AO898" s="28" t="n">
        <f aca="false">AN898*$M898</f>
        <v>0</v>
      </c>
      <c r="AP898" s="28"/>
      <c r="AQ898" s="28" t="n">
        <f aca="false">AP898*$M898</f>
        <v>0</v>
      </c>
      <c r="AR898" s="28"/>
      <c r="AS898" s="28" t="n">
        <f aca="false">AR898*$M898</f>
        <v>0</v>
      </c>
      <c r="AT898" s="28"/>
      <c r="AU898" s="28" t="n">
        <f aca="false">AT898*$M898</f>
        <v>0</v>
      </c>
      <c r="AV898" s="28"/>
      <c r="AW898" s="28" t="n">
        <f aca="false">AV898*$M898</f>
        <v>0</v>
      </c>
      <c r="AX898" s="28"/>
      <c r="AY898" s="28" t="n">
        <f aca="false">AX898*$M898</f>
        <v>0</v>
      </c>
      <c r="AZ898" s="30" t="n">
        <f aca="false">867559/100</f>
        <v>8675.59</v>
      </c>
      <c r="BA898" s="11" t="n">
        <v>52055</v>
      </c>
      <c r="BB898" s="31" t="n">
        <f aca="false">SUM(Q898,S898,U898,W898,Y898,AA898,AC898,AE898,AG898,AI898,AK898,AM898,AO898,AQ898,AS898,AU898,AW898,AY898)</f>
        <v>52055</v>
      </c>
      <c r="BC898" s="28" t="n">
        <f aca="false">BA898-BB898</f>
        <v>0</v>
      </c>
      <c r="BD898" s="32" t="n">
        <f aca="false">SUM(P898,R898,T898,V898,X898,Z898,AB898,AD898,AF898,AH898,AJ898,AL898,AN898,AP898,AR898,AT898,AV898,AX898)</f>
        <v>8675.79</v>
      </c>
      <c r="BE898" s="33" t="n">
        <f aca="false">AZ898-BD898</f>
        <v>-0.200000000000728</v>
      </c>
      <c r="BF898" s="34" t="n">
        <f aca="false">BD898*M898</f>
        <v>52054.74</v>
      </c>
      <c r="BG898" s="35" t="n">
        <f aca="false">BA898-BF898</f>
        <v>0.259999999994761</v>
      </c>
      <c r="BH898" s="19" t="str">
        <f aca="false">IF(BG898=0,"",IF(BG898&lt;&gt;BA898,"erreur de calcul",IF(BD898&lt;&gt;0,"pas de prix",IF(M898&lt;&gt; 0,"pas de quantité","pas de prix, ni de quantité"))))</f>
        <v>erreur de calcul</v>
      </c>
      <c r="BI898" s="19"/>
    </row>
    <row r="899" customFormat="false" ht="15" hidden="false" customHeight="false" outlineLevel="0" collapsed="false">
      <c r="A899" s="0" t="n">
        <v>31</v>
      </c>
      <c r="B899" s="8" t="s">
        <v>24</v>
      </c>
      <c r="C899" s="9" t="s">
        <v>25</v>
      </c>
      <c r="D899" s="9" t="s">
        <v>26</v>
      </c>
      <c r="E899" s="10" t="n">
        <v>1789</v>
      </c>
      <c r="F899" s="9" t="s">
        <v>27</v>
      </c>
      <c r="G899" s="9" t="s">
        <v>27</v>
      </c>
      <c r="H899" s="11" t="n">
        <v>23</v>
      </c>
      <c r="I899" s="11" t="s">
        <v>273</v>
      </c>
      <c r="J899" s="14" t="n">
        <v>8</v>
      </c>
      <c r="K899" s="14"/>
      <c r="L899" s="16"/>
      <c r="M899" s="27" t="n">
        <f aca="false">J899+(K899/20)+(L899/240)</f>
        <v>8</v>
      </c>
      <c r="N899" s="17" t="s">
        <v>81</v>
      </c>
      <c r="O899" s="11"/>
      <c r="P899" s="28" t="n">
        <v>27</v>
      </c>
      <c r="Q899" s="28" t="n">
        <v>216</v>
      </c>
      <c r="R899" s="28"/>
      <c r="S899" s="28" t="n">
        <f aca="false">R899*$M899</f>
        <v>0</v>
      </c>
      <c r="T899" s="28"/>
      <c r="U899" s="28" t="n">
        <f aca="false">T899*$M899</f>
        <v>0</v>
      </c>
      <c r="V899" s="28" t="n">
        <v>40</v>
      </c>
      <c r="W899" s="28" t="n">
        <v>320</v>
      </c>
      <c r="X899" s="28"/>
      <c r="Y899" s="28" t="n">
        <f aca="false">X899*$M899</f>
        <v>0</v>
      </c>
      <c r="Z899" s="28"/>
      <c r="AA899" s="28" t="n">
        <f aca="false">Z899*$M899</f>
        <v>0</v>
      </c>
      <c r="AB899" s="28" t="n">
        <v>164</v>
      </c>
      <c r="AC899" s="28" t="n">
        <v>1312</v>
      </c>
      <c r="AD899" s="28"/>
      <c r="AE899" s="28" t="n">
        <f aca="false">AD899*$M899</f>
        <v>0</v>
      </c>
      <c r="AF899" s="28" t="n">
        <v>263</v>
      </c>
      <c r="AG899" s="28" t="n">
        <v>2104</v>
      </c>
      <c r="AH899" s="28"/>
      <c r="AI899" s="28" t="n">
        <f aca="false">AH899*$M899</f>
        <v>0</v>
      </c>
      <c r="AJ899" s="28"/>
      <c r="AK899" s="28" t="n">
        <f aca="false">AJ899*$M899</f>
        <v>0</v>
      </c>
      <c r="AL899" s="28"/>
      <c r="AM899" s="28" t="n">
        <f aca="false">AL899*$M899</f>
        <v>0</v>
      </c>
      <c r="AN899" s="28"/>
      <c r="AO899" s="28" t="n">
        <f aca="false">AN899*$M899</f>
        <v>0</v>
      </c>
      <c r="AP899" s="28" t="n">
        <v>278</v>
      </c>
      <c r="AQ899" s="28" t="n">
        <v>2224</v>
      </c>
      <c r="AR899" s="28"/>
      <c r="AS899" s="28" t="n">
        <f aca="false">AR899*$M899</f>
        <v>0</v>
      </c>
      <c r="AT899" s="28"/>
      <c r="AU899" s="28" t="n">
        <f aca="false">AT899*$M899</f>
        <v>0</v>
      </c>
      <c r="AV899" s="28"/>
      <c r="AW899" s="28" t="n">
        <f aca="false">AV899*$M899</f>
        <v>0</v>
      </c>
      <c r="AX899" s="28"/>
      <c r="AY899" s="28" t="n">
        <f aca="false">AX899*$M899</f>
        <v>0</v>
      </c>
      <c r="AZ899" s="30" t="n">
        <v>772</v>
      </c>
      <c r="BA899" s="11" t="n">
        <v>6176</v>
      </c>
      <c r="BB899" s="31" t="n">
        <f aca="false">SUM(Q899,S899,U899,W899,Y899,AA899,AC899,AE899,AG899,AI899,AK899,AM899,AO899,AQ899,AS899,AU899,AW899,AY899)</f>
        <v>6176</v>
      </c>
      <c r="BC899" s="28" t="n">
        <f aca="false">BA899-BB899</f>
        <v>0</v>
      </c>
      <c r="BD899" s="32" t="n">
        <f aca="false">SUM(P899,R899,T899,V899,X899,Z899,AB899,AD899,AF899,AH899,AJ899,AL899,AN899,AP899,AR899,AT899,AV899,AX899)</f>
        <v>772</v>
      </c>
      <c r="BE899" s="33" t="n">
        <f aca="false">AZ899-BD899</f>
        <v>0</v>
      </c>
      <c r="BF899" s="34" t="n">
        <f aca="false">BD899*M899</f>
        <v>6176</v>
      </c>
      <c r="BG899" s="35" t="n">
        <f aca="false">BA899-BF899</f>
        <v>0</v>
      </c>
      <c r="BH899" s="19" t="str">
        <f aca="false">IF(BG899=0,"",IF(BG899&lt;&gt;BA899,"erreur de calcul",IF(BD899&lt;&gt;0,"pas de prix",IF(M899&lt;&gt; 0,"pas de quantité","pas de prix, ni de quantité"))))</f>
        <v/>
      </c>
      <c r="BI899" s="19"/>
    </row>
    <row r="900" customFormat="false" ht="15" hidden="false" customHeight="false" outlineLevel="0" collapsed="false">
      <c r="A900" s="0" t="n">
        <v>32</v>
      </c>
      <c r="B900" s="8" t="s">
        <v>24</v>
      </c>
      <c r="C900" s="9" t="s">
        <v>25</v>
      </c>
      <c r="D900" s="9" t="s">
        <v>26</v>
      </c>
      <c r="E900" s="10" t="n">
        <v>1789</v>
      </c>
      <c r="F900" s="9" t="s">
        <v>27</v>
      </c>
      <c r="G900" s="9" t="s">
        <v>27</v>
      </c>
      <c r="H900" s="11" t="n">
        <v>23</v>
      </c>
      <c r="I900" s="11" t="s">
        <v>274</v>
      </c>
      <c r="J900" s="14" t="n">
        <v>17</v>
      </c>
      <c r="K900" s="14"/>
      <c r="L900" s="16"/>
      <c r="M900" s="27" t="n">
        <f aca="false">J900+(K900/20)+(L900/240)</f>
        <v>17</v>
      </c>
      <c r="N900" s="17" t="s">
        <v>275</v>
      </c>
      <c r="O900" s="11"/>
      <c r="P900" s="28" t="n">
        <v>200</v>
      </c>
      <c r="Q900" s="28" t="n">
        <v>3400</v>
      </c>
      <c r="R900" s="28"/>
      <c r="S900" s="28" t="n">
        <f aca="false">R900*$M900</f>
        <v>0</v>
      </c>
      <c r="T900" s="28"/>
      <c r="U900" s="28" t="n">
        <f aca="false">T900*$M900</f>
        <v>0</v>
      </c>
      <c r="V900" s="28"/>
      <c r="W900" s="28" t="n">
        <f aca="false">V900*$M900</f>
        <v>0</v>
      </c>
      <c r="X900" s="28" t="n">
        <v>145</v>
      </c>
      <c r="Y900" s="28" t="n">
        <v>2465</v>
      </c>
      <c r="Z900" s="28"/>
      <c r="AA900" s="28" t="n">
        <f aca="false">Z900*$M900</f>
        <v>0</v>
      </c>
      <c r="AB900" s="28"/>
      <c r="AC900" s="28" t="n">
        <f aca="false">AB900*$M900</f>
        <v>0</v>
      </c>
      <c r="AD900" s="28"/>
      <c r="AE900" s="28" t="n">
        <f aca="false">AD900*$M900</f>
        <v>0</v>
      </c>
      <c r="AF900" s="28"/>
      <c r="AG900" s="28" t="n">
        <f aca="false">AF900*$M900</f>
        <v>0</v>
      </c>
      <c r="AH900" s="28"/>
      <c r="AI900" s="28" t="n">
        <f aca="false">AH900*$M900</f>
        <v>0</v>
      </c>
      <c r="AJ900" s="28"/>
      <c r="AK900" s="28" t="n">
        <f aca="false">AJ900*$M900</f>
        <v>0</v>
      </c>
      <c r="AL900" s="28" t="n">
        <v>12</v>
      </c>
      <c r="AM900" s="28" t="n">
        <v>204</v>
      </c>
      <c r="AN900" s="28"/>
      <c r="AO900" s="28" t="n">
        <f aca="false">AN900*$M900</f>
        <v>0</v>
      </c>
      <c r="AP900" s="28"/>
      <c r="AQ900" s="28" t="n">
        <f aca="false">AP900*$M900</f>
        <v>0</v>
      </c>
      <c r="AR900" s="28"/>
      <c r="AS900" s="28" t="n">
        <f aca="false">AR900*$M900</f>
        <v>0</v>
      </c>
      <c r="AT900" s="28"/>
      <c r="AU900" s="28" t="n">
        <f aca="false">AT900*$M900</f>
        <v>0</v>
      </c>
      <c r="AV900" s="28"/>
      <c r="AW900" s="28" t="n">
        <f aca="false">AV900*$M900</f>
        <v>0</v>
      </c>
      <c r="AX900" s="28"/>
      <c r="AY900" s="28" t="n">
        <f aca="false">AX900*$M900</f>
        <v>0</v>
      </c>
      <c r="AZ900" s="30" t="n">
        <v>357</v>
      </c>
      <c r="BA900" s="11" t="n">
        <v>6069</v>
      </c>
      <c r="BB900" s="31" t="n">
        <f aca="false">SUM(Q900,S900,U900,W900,Y900,AA900,AC900,AE900,AG900,AI900,AK900,AM900,AO900,AQ900,AS900,AU900,AW900,AY900)</f>
        <v>6069</v>
      </c>
      <c r="BC900" s="28" t="n">
        <f aca="false">BA900-BB900</f>
        <v>0</v>
      </c>
      <c r="BD900" s="32" t="n">
        <f aca="false">SUM(P900,R900,T900,V900,X900,Z900,AB900,AD900,AF900,AH900,AJ900,AL900,AN900,AP900,AR900,AT900,AV900,AX900)</f>
        <v>357</v>
      </c>
      <c r="BE900" s="33" t="n">
        <f aca="false">AZ900-BD900</f>
        <v>0</v>
      </c>
      <c r="BF900" s="34" t="n">
        <f aca="false">BD900*M900</f>
        <v>6069</v>
      </c>
      <c r="BG900" s="35" t="n">
        <f aca="false">BA900-BF900</f>
        <v>0</v>
      </c>
      <c r="BH900" s="19" t="str">
        <f aca="false">IF(BG900=0,"",IF(BG900&lt;&gt;BA900,"erreur de calcul",IF(BD900&lt;&gt;0,"pas de prix",IF(M900&lt;&gt; 0,"pas de quantité","pas de prix, ni de quantité"))))</f>
        <v/>
      </c>
      <c r="BI900" s="19" t="s">
        <v>275</v>
      </c>
    </row>
    <row r="901" customFormat="false" ht="15" hidden="false" customHeight="false" outlineLevel="0" collapsed="false">
      <c r="A901" s="0" t="n">
        <v>33</v>
      </c>
      <c r="B901" s="8" t="s">
        <v>24</v>
      </c>
      <c r="C901" s="9" t="s">
        <v>25</v>
      </c>
      <c r="D901" s="9" t="s">
        <v>26</v>
      </c>
      <c r="E901" s="10" t="n">
        <v>1789</v>
      </c>
      <c r="F901" s="9" t="s">
        <v>27</v>
      </c>
      <c r="G901" s="9" t="s">
        <v>27</v>
      </c>
      <c r="H901" s="11" t="n">
        <v>23</v>
      </c>
      <c r="I901" s="11" t="s">
        <v>276</v>
      </c>
      <c r="J901" s="14" t="n">
        <v>36</v>
      </c>
      <c r="K901" s="14"/>
      <c r="L901" s="16"/>
      <c r="M901" s="27" t="n">
        <f aca="false">J901+(K901/20)+(L901/240)</f>
        <v>36</v>
      </c>
      <c r="N901" s="17" t="s">
        <v>275</v>
      </c>
      <c r="O901" s="11" t="s">
        <v>277</v>
      </c>
      <c r="P901" s="28"/>
      <c r="Q901" s="28" t="n">
        <f aca="false">P901*$M901</f>
        <v>0</v>
      </c>
      <c r="R901" s="28"/>
      <c r="S901" s="28" t="n">
        <f aca="false">R901*$M901</f>
        <v>0</v>
      </c>
      <c r="T901" s="28"/>
      <c r="U901" s="28" t="n">
        <f aca="false">T901*$M901</f>
        <v>0</v>
      </c>
      <c r="V901" s="28"/>
      <c r="W901" s="28" t="n">
        <f aca="false">V901*$M901</f>
        <v>0</v>
      </c>
      <c r="X901" s="28"/>
      <c r="Y901" s="28" t="n">
        <f aca="false">X901*$M901</f>
        <v>0</v>
      </c>
      <c r="Z901" s="28"/>
      <c r="AA901" s="28" t="n">
        <f aca="false">Z901*$M901</f>
        <v>0</v>
      </c>
      <c r="AB901" s="28"/>
      <c r="AC901" s="28" t="n">
        <f aca="false">AB901*$M901</f>
        <v>0</v>
      </c>
      <c r="AD901" s="28"/>
      <c r="AE901" s="28" t="n">
        <f aca="false">AD901*$M901</f>
        <v>0</v>
      </c>
      <c r="AF901" s="28"/>
      <c r="AG901" s="28" t="n">
        <f aca="false">AF901*$M901</f>
        <v>0</v>
      </c>
      <c r="AH901" s="28"/>
      <c r="AI901" s="28" t="n">
        <f aca="false">AH901*$M901</f>
        <v>0</v>
      </c>
      <c r="AJ901" s="28"/>
      <c r="AK901" s="28" t="n">
        <f aca="false">AJ901*$M901</f>
        <v>0</v>
      </c>
      <c r="AL901" s="28"/>
      <c r="AM901" s="28" t="n">
        <f aca="false">AL901*$M901</f>
        <v>0</v>
      </c>
      <c r="AN901" s="28"/>
      <c r="AO901" s="28" t="n">
        <f aca="false">AN901*$M901</f>
        <v>0</v>
      </c>
      <c r="AP901" s="28"/>
      <c r="AQ901" s="28" t="n">
        <f aca="false">AP901*$M901</f>
        <v>0</v>
      </c>
      <c r="AR901" s="28"/>
      <c r="AS901" s="28" t="n">
        <f aca="false">AR901*$M901</f>
        <v>0</v>
      </c>
      <c r="AT901" s="28"/>
      <c r="AU901" s="28" t="n">
        <f aca="false">AT901*$M901</f>
        <v>0</v>
      </c>
      <c r="AV901" s="28"/>
      <c r="AW901" s="28" t="n">
        <f aca="false">AV901*$M901</f>
        <v>0</v>
      </c>
      <c r="AX901" s="28"/>
      <c r="AY901" s="28" t="n">
        <f aca="false">AX901*$M901</f>
        <v>0</v>
      </c>
      <c r="AZ901" s="30"/>
      <c r="BA901" s="11"/>
      <c r="BB901" s="31" t="n">
        <f aca="false">SUM(Q901,S901,U901,W901,Y901,AA901,AC901,AE901,AG901,AI901,AK901,AM901,AO901,AQ901,AS901,AU901,AW901,AY901)</f>
        <v>0</v>
      </c>
      <c r="BC901" s="28" t="n">
        <f aca="false">BA901-BB901</f>
        <v>0</v>
      </c>
      <c r="BD901" s="32" t="n">
        <f aca="false">SUM(P901,R901,T901,V901,X901,Z901,AB901,AD901,AF901,AH901,AJ901,AL901,AN901,AP901,AR901,AT901,AV901,AX901)</f>
        <v>0</v>
      </c>
      <c r="BE901" s="33" t="n">
        <f aca="false">AZ901-BD901</f>
        <v>0</v>
      </c>
      <c r="BF901" s="34" t="n">
        <f aca="false">BD901*M901</f>
        <v>0</v>
      </c>
      <c r="BG901" s="35" t="n">
        <f aca="false">BA901-BF901</f>
        <v>0</v>
      </c>
      <c r="BH901" s="19" t="str">
        <f aca="false">IF(BG901=0,"",IF(BG901&lt;&gt;BA901,"erreur de calcul",IF(BD901&lt;&gt;0,"pas de prix",IF(M901&lt;&gt; 0,"pas de quantité","pas de prix, ni de quantité"))))</f>
        <v/>
      </c>
      <c r="BI901" s="19" t="s">
        <v>275</v>
      </c>
    </row>
    <row r="902" customFormat="false" ht="15" hidden="false" customHeight="false" outlineLevel="0" collapsed="false">
      <c r="A902" s="0" t="n">
        <v>34</v>
      </c>
      <c r="B902" s="8" t="s">
        <v>24</v>
      </c>
      <c r="C902" s="9" t="s">
        <v>25</v>
      </c>
      <c r="D902" s="9" t="s">
        <v>26</v>
      </c>
      <c r="E902" s="10" t="n">
        <v>1789</v>
      </c>
      <c r="F902" s="9" t="s">
        <v>27</v>
      </c>
      <c r="G902" s="9" t="s">
        <v>27</v>
      </c>
      <c r="H902" s="11" t="n">
        <v>23</v>
      </c>
      <c r="I902" s="11" t="s">
        <v>276</v>
      </c>
      <c r="J902" s="14" t="n">
        <v>36</v>
      </c>
      <c r="K902" s="14"/>
      <c r="L902" s="16"/>
      <c r="M902" s="27" t="n">
        <f aca="false">J902+(K902/20)+(L902/240)</f>
        <v>36</v>
      </c>
      <c r="N902" s="17" t="s">
        <v>275</v>
      </c>
      <c r="O902" s="11" t="s">
        <v>77</v>
      </c>
      <c r="P902" s="28" t="n">
        <v>7250</v>
      </c>
      <c r="Q902" s="28" t="n">
        <v>261000</v>
      </c>
      <c r="R902" s="28"/>
      <c r="S902" s="28" t="n">
        <f aca="false">R902*$M902</f>
        <v>0</v>
      </c>
      <c r="T902" s="28" t="n">
        <v>38389</v>
      </c>
      <c r="U902" s="28" t="n">
        <v>1382004</v>
      </c>
      <c r="V902" s="28" t="n">
        <v>19350</v>
      </c>
      <c r="W902" s="28" t="n">
        <v>696600</v>
      </c>
      <c r="X902" s="28" t="n">
        <v>25392</v>
      </c>
      <c r="Y902" s="28" t="n">
        <v>914112</v>
      </c>
      <c r="Z902" s="28" t="n">
        <v>31863</v>
      </c>
      <c r="AA902" s="28" t="n">
        <v>1147068</v>
      </c>
      <c r="AB902" s="28" t="n">
        <v>149064</v>
      </c>
      <c r="AC902" s="28" t="n">
        <v>5366304</v>
      </c>
      <c r="AD902" s="28" t="n">
        <v>1270</v>
      </c>
      <c r="AE902" s="28" t="n">
        <v>45720</v>
      </c>
      <c r="AF902" s="28" t="n">
        <v>54784</v>
      </c>
      <c r="AG902" s="28" t="n">
        <v>1972224</v>
      </c>
      <c r="AH902" s="28" t="n">
        <v>1200</v>
      </c>
      <c r="AI902" s="28" t="n">
        <v>43200</v>
      </c>
      <c r="AJ902" s="28" t="n">
        <v>10055</v>
      </c>
      <c r="AK902" s="28" t="n">
        <v>361980</v>
      </c>
      <c r="AL902" s="28"/>
      <c r="AM902" s="28" t="n">
        <f aca="false">AL902*$M902</f>
        <v>0</v>
      </c>
      <c r="AN902" s="28"/>
      <c r="AO902" s="28" t="n">
        <f aca="false">AN902*$M902</f>
        <v>0</v>
      </c>
      <c r="AP902" s="28" t="n">
        <v>220</v>
      </c>
      <c r="AQ902" s="28" t="n">
        <f aca="false">AP902*$M902</f>
        <v>7920</v>
      </c>
      <c r="AR902" s="28"/>
      <c r="AS902" s="28" t="n">
        <f aca="false">AR902*$M902</f>
        <v>0</v>
      </c>
      <c r="AT902" s="28"/>
      <c r="AU902" s="28" t="n">
        <f aca="false">AT902*$M902</f>
        <v>0</v>
      </c>
      <c r="AV902" s="28" t="n">
        <v>100</v>
      </c>
      <c r="AW902" s="28" t="n">
        <v>3600</v>
      </c>
      <c r="AX902" s="28" t="n">
        <v>9241</v>
      </c>
      <c r="AY902" s="28" t="n">
        <v>332676</v>
      </c>
      <c r="AZ902" s="30" t="n">
        <v>348178</v>
      </c>
      <c r="BA902" s="11" t="n">
        <v>12534408</v>
      </c>
      <c r="BB902" s="31" t="n">
        <f aca="false">SUM(Q902,S902,U902,W902,Y902,AA902,AC902,AE902,AG902,AI902,AK902,AM902,AO902,AQ902,AS902,AU902,AW902,AY902)</f>
        <v>12534408</v>
      </c>
      <c r="BC902" s="28" t="n">
        <f aca="false">BA902-BB902</f>
        <v>0</v>
      </c>
      <c r="BD902" s="32" t="n">
        <f aca="false">SUM(P902,R902,T902,V902,X902,Z902,AB902,AD902,AF902,AH902,AJ902,AL902,AN902,AP902,AR902,AT902,AV902,AX902)</f>
        <v>348178</v>
      </c>
      <c r="BE902" s="33" t="n">
        <f aca="false">AZ902-BD902</f>
        <v>0</v>
      </c>
      <c r="BF902" s="34" t="n">
        <f aca="false">BD902*M902</f>
        <v>12534408</v>
      </c>
      <c r="BG902" s="35" t="n">
        <f aca="false">BA902-BF902</f>
        <v>0</v>
      </c>
      <c r="BH902" s="19" t="str">
        <f aca="false">IF(BG902=0,"",IF(BG902&lt;&gt;BA902,"erreur de calcul",IF(BD902&lt;&gt;0,"pas de prix",IF(M902&lt;&gt; 0,"pas de quantité","pas de prix, ni de quantité"))))</f>
        <v/>
      </c>
      <c r="BI902" s="19"/>
    </row>
    <row r="903" customFormat="false" ht="15" hidden="false" customHeight="false" outlineLevel="0" collapsed="false">
      <c r="A903" s="0" t="n">
        <v>35</v>
      </c>
      <c r="B903" s="8" t="s">
        <v>24</v>
      </c>
      <c r="C903" s="9" t="s">
        <v>25</v>
      </c>
      <c r="D903" s="9" t="s">
        <v>26</v>
      </c>
      <c r="E903" s="10" t="n">
        <v>1789</v>
      </c>
      <c r="F903" s="9" t="s">
        <v>27</v>
      </c>
      <c r="G903" s="9" t="s">
        <v>27</v>
      </c>
      <c r="H903" s="11" t="n">
        <v>23</v>
      </c>
      <c r="I903" s="11" t="s">
        <v>278</v>
      </c>
      <c r="J903" s="14" t="n">
        <v>12</v>
      </c>
      <c r="K903" s="14"/>
      <c r="L903" s="16"/>
      <c r="M903" s="27" t="n">
        <f aca="false">J903+(K903/20)+(L903/240)</f>
        <v>12</v>
      </c>
      <c r="N903" s="17" t="s">
        <v>64</v>
      </c>
      <c r="O903" s="11" t="s">
        <v>77</v>
      </c>
      <c r="P903" s="28" t="n">
        <f aca="false">351312/100</f>
        <v>3513.12</v>
      </c>
      <c r="Q903" s="28" t="n">
        <v>42157</v>
      </c>
      <c r="R903" s="28"/>
      <c r="S903" s="28" t="n">
        <f aca="false">R903*$M903</f>
        <v>0</v>
      </c>
      <c r="T903" s="28" t="n">
        <f aca="false">52251/100</f>
        <v>522.51</v>
      </c>
      <c r="U903" s="28" t="n">
        <v>6270</v>
      </c>
      <c r="V903" s="28" t="n">
        <f aca="false">2393/100</f>
        <v>23.93</v>
      </c>
      <c r="W903" s="28" t="n">
        <v>287</v>
      </c>
      <c r="X903" s="28" t="n">
        <f aca="false">44842/100</f>
        <v>448.42</v>
      </c>
      <c r="Y903" s="28" t="n">
        <v>5381</v>
      </c>
      <c r="Z903" s="28"/>
      <c r="AA903" s="28" t="n">
        <f aca="false">Z903*$M903</f>
        <v>0</v>
      </c>
      <c r="AB903" s="28"/>
      <c r="AC903" s="28" t="n">
        <f aca="false">AB903*$M903</f>
        <v>0</v>
      </c>
      <c r="AD903" s="28"/>
      <c r="AE903" s="28" t="n">
        <f aca="false">AD903*$M903</f>
        <v>0</v>
      </c>
      <c r="AF903" s="28" t="n">
        <f aca="false">164167/100</f>
        <v>1641.67</v>
      </c>
      <c r="AG903" s="28" t="n">
        <v>19700</v>
      </c>
      <c r="AH903" s="28"/>
      <c r="AI903" s="28" t="n">
        <f aca="false">AH903*$M903</f>
        <v>0</v>
      </c>
      <c r="AJ903" s="28"/>
      <c r="AK903" s="28" t="n">
        <f aca="false">AJ903*$M903</f>
        <v>0</v>
      </c>
      <c r="AL903" s="28"/>
      <c r="AM903" s="28" t="n">
        <f aca="false">AL903*$M903</f>
        <v>0</v>
      </c>
      <c r="AN903" s="28"/>
      <c r="AO903" s="28" t="n">
        <f aca="false">AN903*$M903</f>
        <v>0</v>
      </c>
      <c r="AP903" s="28"/>
      <c r="AQ903" s="28" t="n">
        <f aca="false">AP903*$M903</f>
        <v>0</v>
      </c>
      <c r="AR903" s="28"/>
      <c r="AS903" s="28" t="n">
        <f aca="false">AR903*$M903</f>
        <v>0</v>
      </c>
      <c r="AT903" s="28"/>
      <c r="AU903" s="28" t="n">
        <f aca="false">AT903*$M903</f>
        <v>0</v>
      </c>
      <c r="AV903" s="28"/>
      <c r="AW903" s="28" t="n">
        <f aca="false">AV903*$M903</f>
        <v>0</v>
      </c>
      <c r="AX903" s="28" t="n">
        <f aca="false">25000/100</f>
        <v>250</v>
      </c>
      <c r="AY903" s="28" t="n">
        <v>3000</v>
      </c>
      <c r="AZ903" s="30"/>
      <c r="BA903" s="11" t="n">
        <v>76795</v>
      </c>
      <c r="BB903" s="31" t="n">
        <f aca="false">SUM(Q903,S903,U903,W903,Y903,AA903,AC903,AE903,AG903,AI903,AK903,AM903,AO903,AQ903,AS903,AU903,AW903,AY903)</f>
        <v>76795</v>
      </c>
      <c r="BC903" s="28" t="n">
        <f aca="false">BA903-BB903</f>
        <v>0</v>
      </c>
      <c r="BD903" s="32" t="n">
        <f aca="false">SUM(P903,R903,T903,V903,X903,Z903,AB903,AD903,AF903,AH903,AJ903,AL903,AN903,AP903,AR903,AT903,AV903,AX903)</f>
        <v>6399.65</v>
      </c>
      <c r="BE903" s="33" t="n">
        <f aca="false">AZ903-BD903</f>
        <v>-6399.65</v>
      </c>
      <c r="BF903" s="34" t="n">
        <f aca="false">BD903*M903</f>
        <v>76795.8</v>
      </c>
      <c r="BG903" s="35" t="n">
        <f aca="false">BA903-BF903</f>
        <v>-0.799999999988359</v>
      </c>
      <c r="BH903" s="19" t="str">
        <f aca="false">IF(BG903=0,"",IF(BG903&lt;&gt;BA903,"erreur de calcul",IF(BD903&lt;&gt;0,"pas de prix",IF(M903&lt;&gt; 0,"pas de quantité","pas de prix, ni de quantité"))))</f>
        <v>erreur de calcul</v>
      </c>
      <c r="BI903" s="19"/>
    </row>
    <row r="904" customFormat="false" ht="15" hidden="false" customHeight="false" outlineLevel="0" collapsed="false">
      <c r="A904" s="0" t="n">
        <v>36</v>
      </c>
      <c r="B904" s="8" t="s">
        <v>24</v>
      </c>
      <c r="C904" s="9" t="s">
        <v>25</v>
      </c>
      <c r="D904" s="9" t="s">
        <v>26</v>
      </c>
      <c r="E904" s="10" t="n">
        <v>1789</v>
      </c>
      <c r="F904" s="9" t="s">
        <v>27</v>
      </c>
      <c r="G904" s="9" t="s">
        <v>27</v>
      </c>
      <c r="H904" s="11" t="n">
        <v>23</v>
      </c>
      <c r="I904" s="11" t="s">
        <v>279</v>
      </c>
      <c r="J904" s="14" t="n">
        <v>18</v>
      </c>
      <c r="K904" s="14"/>
      <c r="L904" s="16"/>
      <c r="M904" s="27" t="n">
        <f aca="false">J904+(K904/20)+(L904/240)</f>
        <v>18</v>
      </c>
      <c r="N904" s="17" t="s">
        <v>275</v>
      </c>
      <c r="O904" s="11"/>
      <c r="P904" s="28"/>
      <c r="Q904" s="28" t="n">
        <f aca="false">P904*$M904</f>
        <v>0</v>
      </c>
      <c r="R904" s="28"/>
      <c r="S904" s="28" t="n">
        <f aca="false">R904*$M904</f>
        <v>0</v>
      </c>
      <c r="T904" s="28" t="n">
        <v>100</v>
      </c>
      <c r="U904" s="28" t="n">
        <v>1800</v>
      </c>
      <c r="V904" s="28"/>
      <c r="W904" s="28" t="n">
        <f aca="false">V904*$M904</f>
        <v>0</v>
      </c>
      <c r="X904" s="28"/>
      <c r="Y904" s="28" t="n">
        <f aca="false">X904*$M904</f>
        <v>0</v>
      </c>
      <c r="Z904" s="28"/>
      <c r="AA904" s="28" t="n">
        <f aca="false">Z904*$M904</f>
        <v>0</v>
      </c>
      <c r="AB904" s="28" t="n">
        <v>1936</v>
      </c>
      <c r="AC904" s="28" t="n">
        <v>34848</v>
      </c>
      <c r="AD904" s="28"/>
      <c r="AE904" s="28" t="n">
        <f aca="false">AD904*$M904</f>
        <v>0</v>
      </c>
      <c r="AF904" s="28" t="n">
        <v>600</v>
      </c>
      <c r="AG904" s="28" t="n">
        <v>10800</v>
      </c>
      <c r="AH904" s="28"/>
      <c r="AI904" s="28" t="n">
        <f aca="false">AH904*$M904</f>
        <v>0</v>
      </c>
      <c r="AJ904" s="28"/>
      <c r="AK904" s="28" t="n">
        <f aca="false">AJ904*$M904</f>
        <v>0</v>
      </c>
      <c r="AL904" s="28" t="n">
        <v>12</v>
      </c>
      <c r="AM904" s="28" t="n">
        <v>216</v>
      </c>
      <c r="AN904" s="28"/>
      <c r="AO904" s="28" t="n">
        <f aca="false">AN904*$M904</f>
        <v>0</v>
      </c>
      <c r="AP904" s="28" t="n">
        <v>12</v>
      </c>
      <c r="AQ904" s="28" t="n">
        <v>216</v>
      </c>
      <c r="AR904" s="28"/>
      <c r="AS904" s="28" t="n">
        <f aca="false">AR904*$M904</f>
        <v>0</v>
      </c>
      <c r="AT904" s="28"/>
      <c r="AU904" s="28" t="n">
        <f aca="false">AT904*$M904</f>
        <v>0</v>
      </c>
      <c r="AV904" s="28"/>
      <c r="AW904" s="28" t="n">
        <f aca="false">AV904*$M904</f>
        <v>0</v>
      </c>
      <c r="AX904" s="28"/>
      <c r="AY904" s="28" t="n">
        <f aca="false">AX904*$M904</f>
        <v>0</v>
      </c>
      <c r="AZ904" s="30" t="n">
        <v>2660</v>
      </c>
      <c r="BA904" s="11" t="n">
        <v>47880</v>
      </c>
      <c r="BB904" s="31" t="n">
        <f aca="false">SUM(Q904,S904,U904,W904,Y904,AA904,AC904,AE904,AG904,AI904,AK904,AM904,AO904,AQ904,AS904,AU904,AW904,AY904)</f>
        <v>47880</v>
      </c>
      <c r="BC904" s="28" t="n">
        <f aca="false">BA904-BB904</f>
        <v>0</v>
      </c>
      <c r="BD904" s="32" t="n">
        <f aca="false">SUM(P904,R904,T904,V904,X904,Z904,AB904,AD904,AF904,AH904,AJ904,AL904,AN904,AP904,AR904,AT904,AV904,AX904)</f>
        <v>2660</v>
      </c>
      <c r="BE904" s="33" t="n">
        <f aca="false">AZ904-BD904</f>
        <v>0</v>
      </c>
      <c r="BF904" s="34" t="n">
        <f aca="false">BD904*M904</f>
        <v>47880</v>
      </c>
      <c r="BG904" s="35" t="n">
        <f aca="false">BA904-BF904</f>
        <v>0</v>
      </c>
      <c r="BH904" s="19" t="str">
        <f aca="false">IF(BG904=0,"",IF(BG904&lt;&gt;BA904,"erreur de calcul",IF(BD904&lt;&gt;0,"pas de prix",IF(M904&lt;&gt; 0,"pas de quantité","pas de prix, ni de quantité"))))</f>
        <v/>
      </c>
      <c r="BI904" s="19"/>
    </row>
    <row r="905" customFormat="false" ht="15" hidden="false" customHeight="false" outlineLevel="0" collapsed="false">
      <c r="A905" s="0" t="n">
        <v>37</v>
      </c>
      <c r="B905" s="8" t="s">
        <v>24</v>
      </c>
      <c r="C905" s="9" t="s">
        <v>25</v>
      </c>
      <c r="D905" s="9" t="s">
        <v>26</v>
      </c>
      <c r="E905" s="10" t="n">
        <v>1789</v>
      </c>
      <c r="F905" s="9" t="s">
        <v>27</v>
      </c>
      <c r="G905" s="9" t="s">
        <v>27</v>
      </c>
      <c r="H905" s="11" t="n">
        <v>23</v>
      </c>
      <c r="I905" s="11" t="s">
        <v>280</v>
      </c>
      <c r="J905" s="14" t="n">
        <v>25</v>
      </c>
      <c r="K905" s="14"/>
      <c r="L905" s="16"/>
      <c r="M905" s="27" t="n">
        <f aca="false">J905+(K905/20)+(L905/240)</f>
        <v>25</v>
      </c>
      <c r="N905" s="17" t="s">
        <v>64</v>
      </c>
      <c r="O905" s="11"/>
      <c r="P905" s="28"/>
      <c r="Q905" s="28" t="n">
        <f aca="false">P905*$M905</f>
        <v>0</v>
      </c>
      <c r="R905" s="28"/>
      <c r="S905" s="28" t="n">
        <f aca="false">R905*$M905</f>
        <v>0</v>
      </c>
      <c r="T905" s="28" t="n">
        <f aca="false">1664501/100</f>
        <v>16645.01</v>
      </c>
      <c r="U905" s="28" t="n">
        <v>416125</v>
      </c>
      <c r="V905" s="28" t="n">
        <f aca="false">2171980/100</f>
        <v>21719.8</v>
      </c>
      <c r="W905" s="28" t="n">
        <v>542995</v>
      </c>
      <c r="X905" s="28" t="n">
        <f aca="false">11567/100</f>
        <v>115.67</v>
      </c>
      <c r="Y905" s="28" t="n">
        <v>2892</v>
      </c>
      <c r="Z905" s="28" t="n">
        <f aca="false">985/100</f>
        <v>9.85</v>
      </c>
      <c r="AA905" s="28" t="n">
        <v>246</v>
      </c>
      <c r="AB905" s="28" t="n">
        <f aca="false">399494/100</f>
        <v>3994.94</v>
      </c>
      <c r="AC905" s="28" t="n">
        <v>99873</v>
      </c>
      <c r="AD905" s="28"/>
      <c r="AE905" s="28" t="n">
        <f aca="false">AD905*$M905</f>
        <v>0</v>
      </c>
      <c r="AF905" s="28"/>
      <c r="AG905" s="28" t="n">
        <f aca="false">AF905*$M905</f>
        <v>0</v>
      </c>
      <c r="AH905" s="28"/>
      <c r="AI905" s="28" t="n">
        <f aca="false">AH905*$M905</f>
        <v>0</v>
      </c>
      <c r="AJ905" s="28"/>
      <c r="AK905" s="28" t="n">
        <f aca="false">AJ905*$M905</f>
        <v>0</v>
      </c>
      <c r="AL905" s="28"/>
      <c r="AM905" s="28" t="n">
        <f aca="false">AL905*$M905</f>
        <v>0</v>
      </c>
      <c r="AN905" s="28"/>
      <c r="AO905" s="28" t="n">
        <f aca="false">AN905*$M905</f>
        <v>0</v>
      </c>
      <c r="AP905" s="28"/>
      <c r="AQ905" s="28" t="n">
        <f aca="false">AP905*$M905</f>
        <v>0</v>
      </c>
      <c r="AR905" s="28"/>
      <c r="AS905" s="28" t="n">
        <f aca="false">AR905*$M905</f>
        <v>0</v>
      </c>
      <c r="AT905" s="28"/>
      <c r="AU905" s="28" t="n">
        <f aca="false">AT905*$M905</f>
        <v>0</v>
      </c>
      <c r="AV905" s="28"/>
      <c r="AW905" s="28" t="n">
        <f aca="false">AV905*$M905</f>
        <v>0</v>
      </c>
      <c r="AX905" s="28" t="n">
        <f aca="false">57000/100</f>
        <v>570</v>
      </c>
      <c r="AY905" s="28" t="n">
        <v>14250</v>
      </c>
      <c r="AZ905" s="30" t="n">
        <f aca="false">4305527/100</f>
        <v>43055.27</v>
      </c>
      <c r="BA905" s="11" t="n">
        <v>1076381</v>
      </c>
      <c r="BB905" s="31" t="n">
        <f aca="false">SUM(Q905,S905,U905,W905,Y905,AA905,AC905,AE905,AG905,AI905,AK905,AM905,AO905,AQ905,AS905,AU905,AW905,AY905)</f>
        <v>1076381</v>
      </c>
      <c r="BC905" s="28" t="n">
        <f aca="false">BA905-BB905</f>
        <v>0</v>
      </c>
      <c r="BD905" s="32" t="n">
        <f aca="false">SUM(P905,R905,T905,V905,X905,Z905,AB905,AD905,AF905,AH905,AJ905,AL905,AN905,AP905,AR905,AT905,AV905,AX905)</f>
        <v>43055.27</v>
      </c>
      <c r="BE905" s="33" t="n">
        <f aca="false">AZ905-BD905</f>
        <v>0</v>
      </c>
      <c r="BF905" s="34" t="n">
        <f aca="false">BD905*M905</f>
        <v>1076381.75</v>
      </c>
      <c r="BG905" s="35" t="n">
        <f aca="false">BA905-BF905</f>
        <v>-0.75</v>
      </c>
      <c r="BH905" s="19" t="str">
        <f aca="false">IF(BG905=0,"",IF(BG905&lt;&gt;BA905,"erreur de calcul",IF(BD905&lt;&gt;0,"pas de prix",IF(M905&lt;&gt; 0,"pas de quantité","pas de prix, ni de quantité"))))</f>
        <v>erreur de calcul</v>
      </c>
      <c r="BI905" s="19"/>
    </row>
    <row r="906" customFormat="false" ht="15" hidden="false" customHeight="false" outlineLevel="0" collapsed="false">
      <c r="A906" s="0" t="n">
        <v>38</v>
      </c>
      <c r="B906" s="8" t="s">
        <v>24</v>
      </c>
      <c r="C906" s="9" t="s">
        <v>25</v>
      </c>
      <c r="D906" s="9" t="s">
        <v>26</v>
      </c>
      <c r="E906" s="10" t="n">
        <v>1789</v>
      </c>
      <c r="F906" s="9" t="s">
        <v>27</v>
      </c>
      <c r="G906" s="9" t="s">
        <v>27</v>
      </c>
      <c r="H906" s="11" t="n">
        <v>23</v>
      </c>
      <c r="I906" s="11" t="s">
        <v>281</v>
      </c>
      <c r="J906" s="14" t="n">
        <v>18</v>
      </c>
      <c r="K906" s="14"/>
      <c r="L906" s="16"/>
      <c r="M906" s="27" t="n">
        <f aca="false">J906+(K906/20)+(L906/240)</f>
        <v>18</v>
      </c>
      <c r="N906" s="17" t="s">
        <v>275</v>
      </c>
      <c r="O906" s="11"/>
      <c r="P906" s="28"/>
      <c r="Q906" s="28" t="n">
        <f aca="false">P906*$M906</f>
        <v>0</v>
      </c>
      <c r="R906" s="28"/>
      <c r="S906" s="28" t="n">
        <f aca="false">R906*$M906</f>
        <v>0</v>
      </c>
      <c r="T906" s="28" t="n">
        <v>537</v>
      </c>
      <c r="U906" s="28" t="n">
        <v>9666</v>
      </c>
      <c r="V906" s="28"/>
      <c r="W906" s="28" t="n">
        <f aca="false">V906*$M906</f>
        <v>0</v>
      </c>
      <c r="X906" s="28"/>
      <c r="Y906" s="28" t="n">
        <f aca="false">X906*$M906</f>
        <v>0</v>
      </c>
      <c r="Z906" s="28"/>
      <c r="AA906" s="28" t="n">
        <f aca="false">Z906*$M906</f>
        <v>0</v>
      </c>
      <c r="AB906" s="28"/>
      <c r="AC906" s="28" t="n">
        <f aca="false">AB906*$M906</f>
        <v>0</v>
      </c>
      <c r="AD906" s="28"/>
      <c r="AE906" s="28" t="n">
        <f aca="false">AD906*$M906</f>
        <v>0</v>
      </c>
      <c r="AF906" s="28"/>
      <c r="AG906" s="28" t="n">
        <f aca="false">AF906*$M906</f>
        <v>0</v>
      </c>
      <c r="AH906" s="28"/>
      <c r="AI906" s="28" t="n">
        <f aca="false">AH906*$M906</f>
        <v>0</v>
      </c>
      <c r="AJ906" s="28"/>
      <c r="AK906" s="28" t="n">
        <f aca="false">AJ906*$M906</f>
        <v>0</v>
      </c>
      <c r="AL906" s="28"/>
      <c r="AM906" s="28" t="n">
        <f aca="false">AL906*$M906</f>
        <v>0</v>
      </c>
      <c r="AN906" s="28"/>
      <c r="AO906" s="28" t="n">
        <f aca="false">AN906*$M906</f>
        <v>0</v>
      </c>
      <c r="AP906" s="28"/>
      <c r="AQ906" s="28" t="n">
        <f aca="false">AP906*$M906</f>
        <v>0</v>
      </c>
      <c r="AR906" s="28"/>
      <c r="AS906" s="28" t="n">
        <f aca="false">AR906*$M906</f>
        <v>0</v>
      </c>
      <c r="AT906" s="28"/>
      <c r="AU906" s="28" t="n">
        <f aca="false">AT906*$M906</f>
        <v>0</v>
      </c>
      <c r="AV906" s="28" t="n">
        <v>1700</v>
      </c>
      <c r="AW906" s="36" t="n">
        <v>33600</v>
      </c>
      <c r="AX906" s="28"/>
      <c r="AY906" s="28" t="n">
        <f aca="false">AX906*$M906</f>
        <v>0</v>
      </c>
      <c r="AZ906" s="30" t="n">
        <v>2237</v>
      </c>
      <c r="BA906" s="11" t="n">
        <v>43266</v>
      </c>
      <c r="BB906" s="31" t="n">
        <f aca="false">SUM(Q906,S906,U906,W906,Y906,AA906,AC906,AE906,AG906,AI906,AK906,AM906,AO906,AQ906,AS906,AU906,AW906,AY906)</f>
        <v>43266</v>
      </c>
      <c r="BC906" s="28" t="n">
        <f aca="false">BA906-BB906</f>
        <v>0</v>
      </c>
      <c r="BD906" s="32" t="n">
        <f aca="false">SUM(P906,R906,T906,V906,X906,Z906,AB906,AD906,AF906,AH906,AJ906,AL906,AN906,AP906,AR906,AT906,AV906,AX906)</f>
        <v>2237</v>
      </c>
      <c r="BE906" s="33" t="n">
        <f aca="false">AZ906-BD906</f>
        <v>0</v>
      </c>
      <c r="BF906" s="34" t="n">
        <f aca="false">BD906*M906</f>
        <v>40266</v>
      </c>
      <c r="BG906" s="35" t="n">
        <f aca="false">BA906-BF906</f>
        <v>3000</v>
      </c>
      <c r="BH906" s="19" t="str">
        <f aca="false">IF(BG906=0,"",IF(BG906&lt;&gt;BA906,"erreur de calcul",IF(BD906&lt;&gt;0,"pas de prix",IF(M906&lt;&gt; 0,"pas de quantité","pas de prix, ni de quantité"))))</f>
        <v>erreur de calcul</v>
      </c>
      <c r="BI906" s="19"/>
    </row>
    <row r="907" customFormat="false" ht="15" hidden="false" customHeight="false" outlineLevel="0" collapsed="false">
      <c r="A907" s="0" t="n">
        <v>39</v>
      </c>
      <c r="B907" s="8" t="s">
        <v>24</v>
      </c>
      <c r="C907" s="9" t="s">
        <v>25</v>
      </c>
      <c r="D907" s="9" t="s">
        <v>26</v>
      </c>
      <c r="E907" s="10" t="n">
        <v>1789</v>
      </c>
      <c r="F907" s="9" t="s">
        <v>27</v>
      </c>
      <c r="G907" s="9" t="s">
        <v>27</v>
      </c>
      <c r="H907" s="11" t="n">
        <v>23</v>
      </c>
      <c r="I907" s="11" t="s">
        <v>282</v>
      </c>
      <c r="J907" s="14"/>
      <c r="K907" s="14"/>
      <c r="L907" s="16"/>
      <c r="M907" s="27" t="n">
        <f aca="false">J907+(K907/20)+(L907/240)</f>
        <v>0</v>
      </c>
      <c r="N907" s="17"/>
      <c r="O907" s="11"/>
      <c r="P907" s="28"/>
      <c r="Q907" s="28" t="n">
        <f aca="false">P907*$M907</f>
        <v>0</v>
      </c>
      <c r="R907" s="28"/>
      <c r="S907" s="28" t="n">
        <f aca="false">R907*$M907</f>
        <v>0</v>
      </c>
      <c r="T907" s="28"/>
      <c r="U907" s="28" t="n">
        <v>1962</v>
      </c>
      <c r="V907" s="28"/>
      <c r="W907" s="28" t="n">
        <v>148</v>
      </c>
      <c r="X907" s="28"/>
      <c r="Y907" s="28" t="n">
        <v>221</v>
      </c>
      <c r="Z907" s="28"/>
      <c r="AA907" s="28" t="n">
        <f aca="false">Z907*$M907</f>
        <v>0</v>
      </c>
      <c r="AB907" s="28"/>
      <c r="AC907" s="28" t="n">
        <v>725</v>
      </c>
      <c r="AD907" s="28"/>
      <c r="AE907" s="28" t="n">
        <f aca="false">AD907*$M907</f>
        <v>0</v>
      </c>
      <c r="AF907" s="28"/>
      <c r="AG907" s="28" t="n">
        <v>414</v>
      </c>
      <c r="AH907" s="28"/>
      <c r="AI907" s="28" t="n">
        <f aca="false">AH907*$M907</f>
        <v>0</v>
      </c>
      <c r="AJ907" s="28"/>
      <c r="AK907" s="28" t="n">
        <f aca="false">AJ907*$M907</f>
        <v>0</v>
      </c>
      <c r="AL907" s="28"/>
      <c r="AM907" s="28" t="n">
        <f aca="false">AL907*$M907</f>
        <v>0</v>
      </c>
      <c r="AN907" s="28"/>
      <c r="AO907" s="28" t="n">
        <f aca="false">AN907*$M907</f>
        <v>0</v>
      </c>
      <c r="AP907" s="28"/>
      <c r="AQ907" s="28" t="n">
        <f aca="false">AP907*$M907</f>
        <v>0</v>
      </c>
      <c r="AR907" s="28"/>
      <c r="AS907" s="28" t="n">
        <f aca="false">AR907*$M907</f>
        <v>0</v>
      </c>
      <c r="AT907" s="28"/>
      <c r="AU907" s="28" t="n">
        <v>276</v>
      </c>
      <c r="AV907" s="28"/>
      <c r="AW907" s="28" t="n">
        <f aca="false">AV907*$M907</f>
        <v>0</v>
      </c>
      <c r="AX907" s="28"/>
      <c r="AY907" s="28" t="n">
        <f aca="false">AX907*$M907</f>
        <v>0</v>
      </c>
      <c r="AZ907" s="30"/>
      <c r="BA907" s="11" t="n">
        <v>3746</v>
      </c>
      <c r="BB907" s="31" t="n">
        <f aca="false">SUM(Q907,S907,U907,W907,Y907,AA907,AC907,AE907,AG907,AI907,AK907,AM907,AO907,AQ907,AS907,AU907,AW907,AY907)</f>
        <v>3746</v>
      </c>
      <c r="BC907" s="28" t="n">
        <f aca="false">BA907-BB907</f>
        <v>0</v>
      </c>
      <c r="BD907" s="32" t="n">
        <f aca="false">SUM(P907,R907,T907,V907,X907,Z907,AB907,AD907,AF907,AH907,AJ907,AL907,AN907,AP907,AR907,AT907,AV907,AX907)</f>
        <v>0</v>
      </c>
      <c r="BE907" s="33" t="n">
        <f aca="false">AZ907-BD907</f>
        <v>0</v>
      </c>
      <c r="BF907" s="34" t="n">
        <f aca="false">BD907*M907</f>
        <v>0</v>
      </c>
      <c r="BG907" s="35" t="n">
        <f aca="false">BA907-BF907</f>
        <v>3746</v>
      </c>
      <c r="BH907" s="19" t="str">
        <f aca="false">IF(BG907=0,"",IF(BG907&lt;&gt;BA907,"erreur de calcul",IF(BD907&lt;&gt;0,"pas de prix",IF(M907&lt;&gt; 0,"pas de quantité","pas de prix, ni de quantité"))))</f>
        <v>pas de prix, ni de quantité</v>
      </c>
      <c r="BI907" s="19"/>
    </row>
    <row r="908" customFormat="false" ht="15" hidden="false" customHeight="false" outlineLevel="0" collapsed="false">
      <c r="A908" s="0" t="n">
        <v>40</v>
      </c>
      <c r="B908" s="8" t="s">
        <v>24</v>
      </c>
      <c r="C908" s="9" t="s">
        <v>25</v>
      </c>
      <c r="D908" s="9" t="s">
        <v>26</v>
      </c>
      <c r="E908" s="10" t="n">
        <v>1789</v>
      </c>
      <c r="F908" s="9" t="s">
        <v>27</v>
      </c>
      <c r="G908" s="9" t="s">
        <v>27</v>
      </c>
      <c r="H908" s="11" t="n">
        <v>23</v>
      </c>
      <c r="I908" s="11" t="s">
        <v>283</v>
      </c>
      <c r="J908" s="14" t="n">
        <v>25</v>
      </c>
      <c r="K908" s="14"/>
      <c r="L908" s="16"/>
      <c r="M908" s="27" t="n">
        <f aca="false">J908+(K908/20)+(L908/240)</f>
        <v>25</v>
      </c>
      <c r="N908" s="17" t="s">
        <v>64</v>
      </c>
      <c r="O908" s="11"/>
      <c r="P908" s="28" t="n">
        <f aca="false">12568/100</f>
        <v>125.68</v>
      </c>
      <c r="Q908" s="28" t="n">
        <v>3142</v>
      </c>
      <c r="R908" s="28"/>
      <c r="S908" s="28" t="n">
        <f aca="false">R908*$M908</f>
        <v>0</v>
      </c>
      <c r="T908" s="28"/>
      <c r="U908" s="28" t="n">
        <f aca="false">T908*$M908</f>
        <v>0</v>
      </c>
      <c r="V908" s="28"/>
      <c r="W908" s="28" t="n">
        <f aca="false">V908*$M908</f>
        <v>0</v>
      </c>
      <c r="X908" s="28"/>
      <c r="Y908" s="28" t="n">
        <f aca="false">X908*$M908</f>
        <v>0</v>
      </c>
      <c r="Z908" s="28"/>
      <c r="AA908" s="28" t="n">
        <f aca="false">Z908*$M908</f>
        <v>0</v>
      </c>
      <c r="AB908" s="28"/>
      <c r="AC908" s="28" t="n">
        <f aca="false">AB908*$M908</f>
        <v>0</v>
      </c>
      <c r="AD908" s="28"/>
      <c r="AE908" s="28" t="n">
        <f aca="false">AD908*$M908</f>
        <v>0</v>
      </c>
      <c r="AF908" s="28"/>
      <c r="AG908" s="28" t="n">
        <f aca="false">AF908*$M908</f>
        <v>0</v>
      </c>
      <c r="AH908" s="28" t="n">
        <f aca="false">5355/100</f>
        <v>53.55</v>
      </c>
      <c r="AI908" s="28" t="n">
        <v>1339</v>
      </c>
      <c r="AJ908" s="28"/>
      <c r="AK908" s="28" t="n">
        <f aca="false">AJ908*$M908</f>
        <v>0</v>
      </c>
      <c r="AL908" s="28"/>
      <c r="AM908" s="28" t="n">
        <f aca="false">AL908*$M908</f>
        <v>0</v>
      </c>
      <c r="AN908" s="28"/>
      <c r="AO908" s="28" t="n">
        <f aca="false">AN908*$M908</f>
        <v>0</v>
      </c>
      <c r="AP908" s="28"/>
      <c r="AQ908" s="28" t="n">
        <f aca="false">AP908*$M908</f>
        <v>0</v>
      </c>
      <c r="AR908" s="28"/>
      <c r="AS908" s="28" t="n">
        <f aca="false">AR908*$M908</f>
        <v>0</v>
      </c>
      <c r="AT908" s="28"/>
      <c r="AU908" s="28" t="n">
        <f aca="false">AT908*$M908</f>
        <v>0</v>
      </c>
      <c r="AV908" s="28"/>
      <c r="AW908" s="28" t="n">
        <f aca="false">AV908*$M908</f>
        <v>0</v>
      </c>
      <c r="AX908" s="28"/>
      <c r="AY908" s="28" t="n">
        <f aca="false">AX908*$M908</f>
        <v>0</v>
      </c>
      <c r="AZ908" s="30" t="n">
        <f aca="false">17923/100</f>
        <v>179.23</v>
      </c>
      <c r="BA908" s="11" t="n">
        <v>4481</v>
      </c>
      <c r="BB908" s="31" t="n">
        <f aca="false">SUM(Q908,S908,U908,W908,Y908,AA908,AC908,AE908,AG908,AI908,AK908,AM908,AO908,AQ908,AS908,AU908,AW908,AY908)</f>
        <v>4481</v>
      </c>
      <c r="BC908" s="28" t="n">
        <f aca="false">BA908-BB908</f>
        <v>0</v>
      </c>
      <c r="BD908" s="32" t="n">
        <f aca="false">SUM(P908,R908,T908,V908,X908,Z908,AB908,AD908,AF908,AH908,AJ908,AL908,AN908,AP908,AR908,AT908,AV908,AX908)</f>
        <v>179.23</v>
      </c>
      <c r="BE908" s="33" t="n">
        <f aca="false">AZ908-BD908</f>
        <v>0</v>
      </c>
      <c r="BF908" s="34" t="n">
        <f aca="false">BD908*M908</f>
        <v>4480.75</v>
      </c>
      <c r="BG908" s="35" t="n">
        <f aca="false">BA908-BF908</f>
        <v>0.25</v>
      </c>
      <c r="BH908" s="19" t="str">
        <f aca="false">IF(BG908=0,"",IF(BG908&lt;&gt;BA908,"erreur de calcul",IF(BD908&lt;&gt;0,"pas de prix",IF(M908&lt;&gt; 0,"pas de quantité","pas de prix, ni de quantité"))))</f>
        <v>erreur de calcul</v>
      </c>
      <c r="BI908" s="19"/>
    </row>
    <row r="909" customFormat="false" ht="15" hidden="false" customHeight="false" outlineLevel="0" collapsed="false">
      <c r="A909" s="0" t="n">
        <v>41</v>
      </c>
      <c r="B909" s="8" t="s">
        <v>24</v>
      </c>
      <c r="C909" s="9" t="s">
        <v>25</v>
      </c>
      <c r="D909" s="9" t="s">
        <v>26</v>
      </c>
      <c r="E909" s="10" t="n">
        <v>1789</v>
      </c>
      <c r="F909" s="9" t="s">
        <v>27</v>
      </c>
      <c r="G909" s="9" t="s">
        <v>27</v>
      </c>
      <c r="H909" s="11" t="n">
        <v>23</v>
      </c>
      <c r="I909" s="11" t="s">
        <v>284</v>
      </c>
      <c r="J909" s="14" t="n">
        <v>17</v>
      </c>
      <c r="K909" s="14"/>
      <c r="L909" s="16"/>
      <c r="M909" s="27" t="n">
        <f aca="false">J909+(K909/20)+(L909/240)</f>
        <v>17</v>
      </c>
      <c r="N909" s="17" t="s">
        <v>64</v>
      </c>
      <c r="O909" s="11"/>
      <c r="P909" s="28" t="n">
        <f aca="false">56873/100</f>
        <v>568.73</v>
      </c>
      <c r="Q909" s="36" t="n">
        <v>3981</v>
      </c>
      <c r="R909" s="28"/>
      <c r="S909" s="28" t="n">
        <f aca="false">R909*$M909</f>
        <v>0</v>
      </c>
      <c r="T909" s="28"/>
      <c r="U909" s="28" t="n">
        <f aca="false">T909*$M909</f>
        <v>0</v>
      </c>
      <c r="V909" s="28"/>
      <c r="W909" s="28" t="n">
        <f aca="false">V909*$M909</f>
        <v>0</v>
      </c>
      <c r="X909" s="28"/>
      <c r="Y909" s="28" t="n">
        <f aca="false">X909*$M909</f>
        <v>0</v>
      </c>
      <c r="Z909" s="28"/>
      <c r="AA909" s="28" t="n">
        <f aca="false">Z909*$M909</f>
        <v>0</v>
      </c>
      <c r="AB909" s="28"/>
      <c r="AC909" s="28" t="n">
        <f aca="false">AB909*$M909</f>
        <v>0</v>
      </c>
      <c r="AD909" s="28"/>
      <c r="AE909" s="28" t="n">
        <f aca="false">AD909*$M909</f>
        <v>0</v>
      </c>
      <c r="AF909" s="28"/>
      <c r="AG909" s="28" t="n">
        <f aca="false">AF909*$M909</f>
        <v>0</v>
      </c>
      <c r="AH909" s="28"/>
      <c r="AI909" s="28" t="n">
        <f aca="false">AH909*$M909</f>
        <v>0</v>
      </c>
      <c r="AJ909" s="28" t="n">
        <f aca="false">19651/100</f>
        <v>196.51</v>
      </c>
      <c r="AK909" s="28" t="n">
        <v>3341</v>
      </c>
      <c r="AL909" s="28"/>
      <c r="AM909" s="28" t="n">
        <f aca="false">AL909*$M909</f>
        <v>0</v>
      </c>
      <c r="AN909" s="28"/>
      <c r="AO909" s="28" t="n">
        <f aca="false">AN909*$M909</f>
        <v>0</v>
      </c>
      <c r="AP909" s="28"/>
      <c r="AQ909" s="28" t="n">
        <f aca="false">AP909*$M909</f>
        <v>0</v>
      </c>
      <c r="AR909" s="28"/>
      <c r="AS909" s="28" t="n">
        <f aca="false">AR909*$M909</f>
        <v>0</v>
      </c>
      <c r="AT909" s="28"/>
      <c r="AU909" s="28" t="n">
        <f aca="false">AT909*$M909</f>
        <v>0</v>
      </c>
      <c r="AV909" s="28"/>
      <c r="AW909" s="28" t="n">
        <f aca="false">AV909*$M909</f>
        <v>0</v>
      </c>
      <c r="AX909" s="28"/>
      <c r="AY909" s="28" t="n">
        <f aca="false">AX909*$M909</f>
        <v>0</v>
      </c>
      <c r="AZ909" s="30" t="n">
        <f aca="false">76524/100</f>
        <v>765.24</v>
      </c>
      <c r="BA909" s="11" t="n">
        <v>7322</v>
      </c>
      <c r="BB909" s="31" t="n">
        <f aca="false">SUM(Q909,S909,U909,W909,Y909,AA909,AC909,AE909,AG909,AI909,AK909,AM909,AO909,AQ909,AS909,AU909,AW909,AY909)</f>
        <v>7322</v>
      </c>
      <c r="BC909" s="28" t="n">
        <f aca="false">BA909-BB909</f>
        <v>0</v>
      </c>
      <c r="BD909" s="32" t="n">
        <f aca="false">SUM(P909,R909,T909,V909,X909,Z909,AB909,AD909,AF909,AH909,AJ909,AL909,AN909,AP909,AR909,AT909,AV909,AX909)</f>
        <v>765.24</v>
      </c>
      <c r="BE909" s="33" t="n">
        <f aca="false">AZ909-BD909</f>
        <v>0</v>
      </c>
      <c r="BF909" s="34" t="n">
        <f aca="false">BD909*M909</f>
        <v>13009.08</v>
      </c>
      <c r="BG909" s="35" t="n">
        <f aca="false">BA909-BF909</f>
        <v>-5687.08</v>
      </c>
      <c r="BH909" s="19" t="str">
        <f aca="false">IF(BG909=0,"",IF(BG909&lt;&gt;BA909,"erreur de calcul",IF(BD909&lt;&gt;0,"pas de prix",IF(M909&lt;&gt; 0,"pas de quantité","pas de prix, ni de quantité"))))</f>
        <v>erreur de calcul</v>
      </c>
      <c r="BI909" s="19"/>
    </row>
    <row r="910" customFormat="false" ht="15" hidden="false" customHeight="false" outlineLevel="0" collapsed="false">
      <c r="A910" s="0" t="n">
        <v>42</v>
      </c>
      <c r="B910" s="8" t="s">
        <v>24</v>
      </c>
      <c r="C910" s="9" t="s">
        <v>25</v>
      </c>
      <c r="D910" s="9" t="s">
        <v>26</v>
      </c>
      <c r="E910" s="10" t="n">
        <v>1789</v>
      </c>
      <c r="F910" s="9" t="s">
        <v>27</v>
      </c>
      <c r="G910" s="9" t="s">
        <v>27</v>
      </c>
      <c r="H910" s="11" t="n">
        <v>23</v>
      </c>
      <c r="I910" s="11" t="s">
        <v>285</v>
      </c>
      <c r="J910" s="14" t="n">
        <v>15</v>
      </c>
      <c r="K910" s="14"/>
      <c r="L910" s="16"/>
      <c r="M910" s="27" t="n">
        <f aca="false">J910+(K910/20)+(L910/240)</f>
        <v>15</v>
      </c>
      <c r="N910" s="17" t="s">
        <v>64</v>
      </c>
      <c r="O910" s="11"/>
      <c r="P910" s="28" t="n">
        <f aca="false">10520/100</f>
        <v>105.2</v>
      </c>
      <c r="Q910" s="28" t="n">
        <v>1578</v>
      </c>
      <c r="R910" s="28"/>
      <c r="S910" s="28" t="n">
        <f aca="false">R910*$M910</f>
        <v>0</v>
      </c>
      <c r="T910" s="28"/>
      <c r="U910" s="28" t="n">
        <f aca="false">T910*$M910</f>
        <v>0</v>
      </c>
      <c r="V910" s="28"/>
      <c r="W910" s="28" t="n">
        <f aca="false">V910*$M910</f>
        <v>0</v>
      </c>
      <c r="X910" s="28" t="n">
        <f aca="false">39052/100</f>
        <v>390.52</v>
      </c>
      <c r="Y910" s="28" t="n">
        <v>5858</v>
      </c>
      <c r="Z910" s="28"/>
      <c r="AA910" s="28" t="n">
        <f aca="false">Z910*$M910</f>
        <v>0</v>
      </c>
      <c r="AB910" s="28" t="n">
        <f aca="false">101189/100</f>
        <v>1011.89</v>
      </c>
      <c r="AC910" s="28" t="n">
        <v>15178</v>
      </c>
      <c r="AD910" s="28"/>
      <c r="AE910" s="28" t="n">
        <f aca="false">AD910*$M910</f>
        <v>0</v>
      </c>
      <c r="AF910" s="28" t="n">
        <f aca="false">48408/100</f>
        <v>484.08</v>
      </c>
      <c r="AG910" s="28" t="n">
        <v>7261</v>
      </c>
      <c r="AH910" s="28" t="n">
        <f aca="false">17847/100</f>
        <v>178.47</v>
      </c>
      <c r="AI910" s="28" t="n">
        <v>2677</v>
      </c>
      <c r="AJ910" s="28"/>
      <c r="AK910" s="28" t="n">
        <f aca="false">AJ910*$M910</f>
        <v>0</v>
      </c>
      <c r="AL910" s="28"/>
      <c r="AM910" s="28" t="n">
        <f aca="false">AL910*$M910</f>
        <v>0</v>
      </c>
      <c r="AN910" s="28"/>
      <c r="AO910" s="28" t="n">
        <f aca="false">AN910*$M910</f>
        <v>0</v>
      </c>
      <c r="AP910" s="28"/>
      <c r="AQ910" s="28" t="n">
        <f aca="false">AP910*$M910</f>
        <v>0</v>
      </c>
      <c r="AR910" s="28"/>
      <c r="AS910" s="28" t="n">
        <f aca="false">AR910*$M910</f>
        <v>0</v>
      </c>
      <c r="AT910" s="28"/>
      <c r="AU910" s="28" t="n">
        <f aca="false">AT910*$M910</f>
        <v>0</v>
      </c>
      <c r="AV910" s="28"/>
      <c r="AW910" s="28" t="n">
        <f aca="false">AV910*$M910</f>
        <v>0</v>
      </c>
      <c r="AX910" s="28"/>
      <c r="AY910" s="28" t="n">
        <f aca="false">AX910*$M910</f>
        <v>0</v>
      </c>
      <c r="AZ910" s="30" t="n">
        <f aca="false">217016/100</f>
        <v>2170.16</v>
      </c>
      <c r="BA910" s="11" t="n">
        <v>32552</v>
      </c>
      <c r="BB910" s="31" t="n">
        <f aca="false">SUM(Q910,S910,U910,W910,Y910,AA910,AC910,AE910,AG910,AI910,AK910,AM910,AO910,AQ910,AS910,AU910,AW910,AY910)</f>
        <v>32552</v>
      </c>
      <c r="BC910" s="28" t="n">
        <f aca="false">BA910-BB910</f>
        <v>0</v>
      </c>
      <c r="BD910" s="32" t="n">
        <f aca="false">SUM(P910,R910,T910,V910,X910,Z910,AB910,AD910,AF910,AH910,AJ910,AL910,AN910,AP910,AR910,AT910,AV910,AX910)</f>
        <v>2170.16</v>
      </c>
      <c r="BE910" s="33" t="n">
        <f aca="false">AZ910-BD910</f>
        <v>0</v>
      </c>
      <c r="BF910" s="34" t="n">
        <f aca="false">BD910*M910</f>
        <v>32552.4</v>
      </c>
      <c r="BG910" s="35" t="n">
        <f aca="false">BA910-BF910</f>
        <v>-0.399999999997817</v>
      </c>
      <c r="BH910" s="19" t="str">
        <f aca="false">IF(BG910=0,"",IF(BG910&lt;&gt;BA910,"erreur de calcul",IF(BD910&lt;&gt;0,"pas de prix",IF(M910&lt;&gt; 0,"pas de quantité","pas de prix, ni de quantité"))))</f>
        <v>erreur de calcul</v>
      </c>
      <c r="BI910" s="19"/>
    </row>
    <row r="911" customFormat="false" ht="15" hidden="false" customHeight="false" outlineLevel="0" collapsed="false">
      <c r="A911" s="0" t="n">
        <v>43</v>
      </c>
      <c r="B911" s="8" t="s">
        <v>24</v>
      </c>
      <c r="C911" s="9" t="s">
        <v>25</v>
      </c>
      <c r="D911" s="9" t="s">
        <v>26</v>
      </c>
      <c r="E911" s="10" t="n">
        <v>1789</v>
      </c>
      <c r="F911" s="9" t="s">
        <v>27</v>
      </c>
      <c r="G911" s="9" t="s">
        <v>27</v>
      </c>
      <c r="H911" s="11" t="n">
        <v>23</v>
      </c>
      <c r="I911" s="11" t="s">
        <v>286</v>
      </c>
      <c r="J911" s="14" t="n">
        <v>20</v>
      </c>
      <c r="K911" s="14"/>
      <c r="L911" s="16"/>
      <c r="M911" s="27" t="n">
        <f aca="false">J911+(K911/20)+(L911/240)</f>
        <v>20</v>
      </c>
      <c r="N911" s="17" t="s">
        <v>64</v>
      </c>
      <c r="O911" s="11"/>
      <c r="P911" s="28"/>
      <c r="Q911" s="28" t="n">
        <f aca="false">P911*$M911</f>
        <v>0</v>
      </c>
      <c r="R911" s="28"/>
      <c r="S911" s="28" t="n">
        <f aca="false">R911*$M911</f>
        <v>0</v>
      </c>
      <c r="T911" s="28"/>
      <c r="U911" s="28" t="n">
        <f aca="false">T911*$M911</f>
        <v>0</v>
      </c>
      <c r="V911" s="28"/>
      <c r="W911" s="28" t="n">
        <f aca="false">V911*$M911</f>
        <v>0</v>
      </c>
      <c r="X911" s="28"/>
      <c r="Y911" s="28" t="n">
        <f aca="false">X911*$M911</f>
        <v>0</v>
      </c>
      <c r="Z911" s="28"/>
      <c r="AA911" s="28" t="n">
        <f aca="false">Z911*$M911</f>
        <v>0</v>
      </c>
      <c r="AB911" s="28" t="n">
        <f aca="false">8852/100</f>
        <v>88.52</v>
      </c>
      <c r="AC911" s="28" t="n">
        <v>1770</v>
      </c>
      <c r="AD911" s="28"/>
      <c r="AE911" s="28" t="n">
        <f aca="false">AD911*$M911</f>
        <v>0</v>
      </c>
      <c r="AF911" s="28"/>
      <c r="AG911" s="28" t="n">
        <f aca="false">AF911*$M911</f>
        <v>0</v>
      </c>
      <c r="AH911" s="28"/>
      <c r="AI911" s="28" t="n">
        <f aca="false">AH911*$M911</f>
        <v>0</v>
      </c>
      <c r="AJ911" s="28"/>
      <c r="AK911" s="28" t="n">
        <f aca="false">AJ911*$M911</f>
        <v>0</v>
      </c>
      <c r="AL911" s="28"/>
      <c r="AM911" s="28" t="n">
        <f aca="false">AL911*$M911</f>
        <v>0</v>
      </c>
      <c r="AN911" s="28"/>
      <c r="AO911" s="28" t="n">
        <f aca="false">AN911*$M911</f>
        <v>0</v>
      </c>
      <c r="AP911" s="28"/>
      <c r="AQ911" s="28" t="n">
        <f aca="false">AP911*$M911</f>
        <v>0</v>
      </c>
      <c r="AR911" s="28"/>
      <c r="AS911" s="28" t="n">
        <f aca="false">AR911*$M911</f>
        <v>0</v>
      </c>
      <c r="AT911" s="28"/>
      <c r="AU911" s="28" t="n">
        <f aca="false">AT911*$M911</f>
        <v>0</v>
      </c>
      <c r="AV911" s="28"/>
      <c r="AW911" s="28" t="n">
        <f aca="false">AV911*$M911</f>
        <v>0</v>
      </c>
      <c r="AX911" s="28"/>
      <c r="AY911" s="28" t="n">
        <f aca="false">AX911*$M911</f>
        <v>0</v>
      </c>
      <c r="AZ911" s="30" t="n">
        <f aca="false">8852/100</f>
        <v>88.52</v>
      </c>
      <c r="BA911" s="11" t="n">
        <v>1770</v>
      </c>
      <c r="BB911" s="31" t="n">
        <f aca="false">SUM(Q911,S911,U911,W911,Y911,AA911,AC911,AE911,AG911,AI911,AK911,AM911,AO911,AQ911,AS911,AU911,AW911,AY911)</f>
        <v>1770</v>
      </c>
      <c r="BC911" s="28" t="n">
        <f aca="false">BA911-BB911</f>
        <v>0</v>
      </c>
      <c r="BD911" s="32" t="n">
        <f aca="false">SUM(P911,R911,T911,V911,X911,Z911,AB911,AD911,AF911,AH911,AJ911,AL911,AN911,AP911,AR911,AT911,AV911,AX911)</f>
        <v>88.52</v>
      </c>
      <c r="BE911" s="33" t="n">
        <f aca="false">AZ911-BD911</f>
        <v>0</v>
      </c>
      <c r="BF911" s="34" t="n">
        <f aca="false">BD911*M911</f>
        <v>1770.4</v>
      </c>
      <c r="BG911" s="35" t="n">
        <f aca="false">BA911-BF911</f>
        <v>-0.399999999999864</v>
      </c>
      <c r="BH911" s="19" t="str">
        <f aca="false">IF(BG911=0,"",IF(BG911&lt;&gt;BA911,"erreur de calcul",IF(BD911&lt;&gt;0,"pas de prix",IF(M911&lt;&gt; 0,"pas de quantité","pas de prix, ni de quantité"))))</f>
        <v>erreur de calcul</v>
      </c>
      <c r="BI911" s="19"/>
    </row>
    <row r="912" customFormat="false" ht="15" hidden="false" customHeight="false" outlineLevel="0" collapsed="false">
      <c r="A912" s="0" t="n">
        <v>44</v>
      </c>
      <c r="B912" s="8" t="s">
        <v>24</v>
      </c>
      <c r="C912" s="9" t="s">
        <v>25</v>
      </c>
      <c r="D912" s="9" t="s">
        <v>26</v>
      </c>
      <c r="E912" s="10" t="n">
        <v>1789</v>
      </c>
      <c r="F912" s="9" t="s">
        <v>27</v>
      </c>
      <c r="G912" s="9" t="s">
        <v>27</v>
      </c>
      <c r="H912" s="11" t="n">
        <v>23</v>
      </c>
      <c r="I912" s="11" t="s">
        <v>287</v>
      </c>
      <c r="J912" s="14" t="n">
        <v>25</v>
      </c>
      <c r="K912" s="14"/>
      <c r="L912" s="16"/>
      <c r="M912" s="27" t="n">
        <f aca="false">J912+(K912/20)+(L912/240)</f>
        <v>25</v>
      </c>
      <c r="N912" s="17" t="s">
        <v>64</v>
      </c>
      <c r="O912" s="11" t="s">
        <v>77</v>
      </c>
      <c r="P912" s="28" t="n">
        <f aca="false">13782/100</f>
        <v>137.82</v>
      </c>
      <c r="Q912" s="28" t="n">
        <v>3445</v>
      </c>
      <c r="R912" s="28"/>
      <c r="S912" s="28" t="n">
        <f aca="false">R912*$M912</f>
        <v>0</v>
      </c>
      <c r="T912" s="28"/>
      <c r="U912" s="28" t="n">
        <f aca="false">T912*$M912</f>
        <v>0</v>
      </c>
      <c r="V912" s="28" t="n">
        <f aca="false">4293/100</f>
        <v>42.93</v>
      </c>
      <c r="W912" s="28" t="n">
        <v>1073</v>
      </c>
      <c r="X912" s="28"/>
      <c r="Y912" s="28" t="n">
        <f aca="false">X912*$M912</f>
        <v>0</v>
      </c>
      <c r="Z912" s="28"/>
      <c r="AA912" s="28" t="n">
        <f aca="false">Z912*$M912</f>
        <v>0</v>
      </c>
      <c r="AB912" s="28"/>
      <c r="AC912" s="28" t="n">
        <f aca="false">AB912*$M912</f>
        <v>0</v>
      </c>
      <c r="AD912" s="28"/>
      <c r="AE912" s="28" t="n">
        <f aca="false">AD912*$M912</f>
        <v>0</v>
      </c>
      <c r="AF912" s="28"/>
      <c r="AG912" s="28" t="n">
        <f aca="false">AF912*$M912</f>
        <v>0</v>
      </c>
      <c r="AH912" s="28"/>
      <c r="AI912" s="28" t="n">
        <f aca="false">AH912*$M912</f>
        <v>0</v>
      </c>
      <c r="AJ912" s="28"/>
      <c r="AK912" s="28" t="n">
        <f aca="false">AJ912*$M912</f>
        <v>0</v>
      </c>
      <c r="AL912" s="28"/>
      <c r="AM912" s="28" t="n">
        <f aca="false">AL912*$M912</f>
        <v>0</v>
      </c>
      <c r="AN912" s="28"/>
      <c r="AO912" s="28" t="n">
        <f aca="false">AN912*$M912</f>
        <v>0</v>
      </c>
      <c r="AP912" s="28"/>
      <c r="AQ912" s="28" t="n">
        <f aca="false">AP912*$M912</f>
        <v>0</v>
      </c>
      <c r="AR912" s="28"/>
      <c r="AS912" s="28" t="n">
        <f aca="false">AR912*$M912</f>
        <v>0</v>
      </c>
      <c r="AT912" s="28"/>
      <c r="AU912" s="28" t="n">
        <f aca="false">AT912*$M912</f>
        <v>0</v>
      </c>
      <c r="AV912" s="28"/>
      <c r="AW912" s="28" t="n">
        <f aca="false">AV912*$M912</f>
        <v>0</v>
      </c>
      <c r="AX912" s="28"/>
      <c r="AY912" s="28" t="n">
        <f aca="false">AX912*$M912</f>
        <v>0</v>
      </c>
      <c r="AZ912" s="30" t="n">
        <f aca="false">18075/100</f>
        <v>180.75</v>
      </c>
      <c r="BA912" s="11" t="n">
        <v>4518</v>
      </c>
      <c r="BB912" s="31" t="n">
        <f aca="false">SUM(Q912,S912,U912,W912,Y912,AA912,AC912,AE912,AG912,AI912,AK912,AM912,AO912,AQ912,AS912,AU912,AW912,AY912)</f>
        <v>4518</v>
      </c>
      <c r="BC912" s="28" t="n">
        <f aca="false">BA912-BB912</f>
        <v>0</v>
      </c>
      <c r="BD912" s="32" t="n">
        <f aca="false">SUM(P912,R912,T912,V912,X912,Z912,AB912,AD912,AF912,AH912,AJ912,AL912,AN912,AP912,AR912,AT912,AV912,AX912)</f>
        <v>180.75</v>
      </c>
      <c r="BE912" s="33" t="n">
        <f aca="false">AZ912-BD912</f>
        <v>0</v>
      </c>
      <c r="BF912" s="34" t="n">
        <f aca="false">BD912*M912</f>
        <v>4518.75</v>
      </c>
      <c r="BG912" s="35" t="n">
        <f aca="false">BA912-BF912</f>
        <v>-0.75</v>
      </c>
      <c r="BH912" s="19" t="str">
        <f aca="false">IF(BG912=0,"",IF(BG912&lt;&gt;BA912,"erreur de calcul",IF(BD912&lt;&gt;0,"pas de prix",IF(M912&lt;&gt; 0,"pas de quantité","pas de prix, ni de quantité"))))</f>
        <v>erreur de calcul</v>
      </c>
      <c r="BI912" s="19"/>
    </row>
    <row r="913" customFormat="false" ht="15" hidden="false" customHeight="false" outlineLevel="0" collapsed="false">
      <c r="A913" s="0" t="n">
        <v>1</v>
      </c>
      <c r="B913" s="8" t="s">
        <v>24</v>
      </c>
      <c r="C913" s="9" t="s">
        <v>25</v>
      </c>
      <c r="D913" s="9" t="s">
        <v>26</v>
      </c>
      <c r="E913" s="10" t="n">
        <v>1789</v>
      </c>
      <c r="F913" s="9" t="s">
        <v>27</v>
      </c>
      <c r="G913" s="9" t="s">
        <v>27</v>
      </c>
      <c r="H913" s="11" t="n">
        <v>24</v>
      </c>
      <c r="I913" s="11" t="s">
        <v>288</v>
      </c>
      <c r="J913" s="14" t="n">
        <v>250</v>
      </c>
      <c r="K913" s="14"/>
      <c r="L913" s="16"/>
      <c r="M913" s="27" t="n">
        <f aca="false">J913+(K913/20)+(L913/240)</f>
        <v>250</v>
      </c>
      <c r="N913" s="17" t="s">
        <v>64</v>
      </c>
      <c r="O913" s="11"/>
      <c r="P913" s="28"/>
      <c r="Q913" s="28" t="n">
        <f aca="false">P913*$M913</f>
        <v>0</v>
      </c>
      <c r="R913" s="28"/>
      <c r="S913" s="28" t="n">
        <f aca="false">R913*$M913</f>
        <v>0</v>
      </c>
      <c r="T913" s="28"/>
      <c r="U913" s="28" t="n">
        <f aca="false">T913*$M913</f>
        <v>0</v>
      </c>
      <c r="V913" s="28"/>
      <c r="W913" s="28" t="n">
        <f aca="false">V913*$M913</f>
        <v>0</v>
      </c>
      <c r="X913" s="28"/>
      <c r="Y913" s="28" t="n">
        <f aca="false">X913*$M913</f>
        <v>0</v>
      </c>
      <c r="Z913" s="28"/>
      <c r="AA913" s="28" t="n">
        <f aca="false">Z913*$M913</f>
        <v>0</v>
      </c>
      <c r="AB913" s="28"/>
      <c r="AC913" s="28" t="n">
        <f aca="false">AB913*$M913</f>
        <v>0</v>
      </c>
      <c r="AD913" s="28"/>
      <c r="AE913" s="28" t="n">
        <f aca="false">AD913*$M913</f>
        <v>0</v>
      </c>
      <c r="AF913" s="28"/>
      <c r="AG913" s="28" t="n">
        <f aca="false">AF913*$M913</f>
        <v>0</v>
      </c>
      <c r="AH913" s="28" t="n">
        <f aca="false">5374/100</f>
        <v>53.74</v>
      </c>
      <c r="AI913" s="28" t="n">
        <v>13435</v>
      </c>
      <c r="AJ913" s="28"/>
      <c r="AK913" s="28" t="n">
        <f aca="false">AJ913*$M913</f>
        <v>0</v>
      </c>
      <c r="AL913" s="28"/>
      <c r="AM913" s="28" t="n">
        <f aca="false">AL913*$M913</f>
        <v>0</v>
      </c>
      <c r="AN913" s="28"/>
      <c r="AO913" s="28" t="n">
        <f aca="false">AN913*$M913</f>
        <v>0</v>
      </c>
      <c r="AP913" s="28"/>
      <c r="AQ913" s="28" t="n">
        <f aca="false">AP913*$M913</f>
        <v>0</v>
      </c>
      <c r="AR913" s="28"/>
      <c r="AS913" s="28" t="n">
        <f aca="false">AR913*$M913</f>
        <v>0</v>
      </c>
      <c r="AT913" s="28"/>
      <c r="AU913" s="28" t="n">
        <f aca="false">AT913*$M913</f>
        <v>0</v>
      </c>
      <c r="AV913" s="28"/>
      <c r="AW913" s="28" t="n">
        <f aca="false">AV913*$M913</f>
        <v>0</v>
      </c>
      <c r="AX913" s="28"/>
      <c r="AY913" s="28" t="n">
        <f aca="false">AX913*$M913</f>
        <v>0</v>
      </c>
      <c r="AZ913" s="30" t="n">
        <f aca="false">5374/100</f>
        <v>53.74</v>
      </c>
      <c r="BA913" s="11" t="n">
        <v>13435</v>
      </c>
      <c r="BB913" s="31" t="n">
        <f aca="false">SUM(Q913,S913,U913,W913,Y913,AA913,AC913,AE913,AG913,AI913,AK913,AM913,AO913,AQ913,AS913,AU913,AW913,AY913)</f>
        <v>13435</v>
      </c>
      <c r="BC913" s="28" t="n">
        <f aca="false">BA913-BB913</f>
        <v>0</v>
      </c>
      <c r="BD913" s="32" t="n">
        <f aca="false">SUM(P913,R913,T913,V913,X913,Z913,AB913,AD913,AF913,AH913,AJ913,AL913,AN913,AP913,AR913,AT913,AV913,AX913)</f>
        <v>53.74</v>
      </c>
      <c r="BE913" s="33" t="n">
        <f aca="false">AZ913-BD913</f>
        <v>0</v>
      </c>
      <c r="BF913" s="34" t="n">
        <f aca="false">BD913*M913</f>
        <v>13435</v>
      </c>
      <c r="BG913" s="35" t="n">
        <f aca="false">BA913-BF913</f>
        <v>0</v>
      </c>
      <c r="BH913" s="19" t="str">
        <f aca="false">IF(BG913=0,"",IF(BG913&lt;&gt;BA913,"erreur de calcul",IF(BD913&lt;&gt;0,"pas de prix",IF(M913&lt;&gt; 0,"pas de quantité","pas de prix, ni de quantité"))))</f>
        <v/>
      </c>
      <c r="BI913" s="19"/>
    </row>
    <row r="914" customFormat="false" ht="15" hidden="false" customHeight="false" outlineLevel="0" collapsed="false">
      <c r="A914" s="0" t="n">
        <v>2</v>
      </c>
      <c r="B914" s="8" t="s">
        <v>24</v>
      </c>
      <c r="C914" s="9" t="s">
        <v>25</v>
      </c>
      <c r="D914" s="9" t="s">
        <v>26</v>
      </c>
      <c r="E914" s="10" t="n">
        <v>1789</v>
      </c>
      <c r="F914" s="9" t="s">
        <v>27</v>
      </c>
      <c r="G914" s="9" t="s">
        <v>27</v>
      </c>
      <c r="H914" s="11" t="n">
        <v>24</v>
      </c>
      <c r="I914" s="11" t="s">
        <v>289</v>
      </c>
      <c r="J914" s="14" t="n">
        <v>3</v>
      </c>
      <c r="K914" s="14"/>
      <c r="L914" s="16"/>
      <c r="M914" s="27" t="n">
        <f aca="false">J914+(K914/20)+(L914/240)</f>
        <v>3</v>
      </c>
      <c r="N914" s="17" t="s">
        <v>66</v>
      </c>
      <c r="O914" s="11"/>
      <c r="P914" s="28"/>
      <c r="Q914" s="28" t="n">
        <f aca="false">P914*$M914</f>
        <v>0</v>
      </c>
      <c r="R914" s="28"/>
      <c r="S914" s="28" t="n">
        <f aca="false">R914*$M914</f>
        <v>0</v>
      </c>
      <c r="T914" s="28"/>
      <c r="U914" s="28" t="n">
        <f aca="false">T914*$M914</f>
        <v>0</v>
      </c>
      <c r="V914" s="28"/>
      <c r="W914" s="28" t="n">
        <f aca="false">V914*$M914</f>
        <v>0</v>
      </c>
      <c r="X914" s="28"/>
      <c r="Y914" s="28" t="n">
        <f aca="false">X914*$M914</f>
        <v>0</v>
      </c>
      <c r="Z914" s="28"/>
      <c r="AA914" s="28" t="n">
        <f aca="false">Z914*$M914</f>
        <v>0</v>
      </c>
      <c r="AB914" s="28"/>
      <c r="AC914" s="28" t="n">
        <f aca="false">AB914*$M914</f>
        <v>0</v>
      </c>
      <c r="AD914" s="28"/>
      <c r="AE914" s="28" t="n">
        <f aca="false">AD914*$M914</f>
        <v>0</v>
      </c>
      <c r="AF914" s="28"/>
      <c r="AG914" s="28" t="n">
        <f aca="false">AF914*$M914</f>
        <v>0</v>
      </c>
      <c r="AH914" s="28" t="n">
        <v>261</v>
      </c>
      <c r="AI914" s="28" t="n">
        <v>783</v>
      </c>
      <c r="AJ914" s="28"/>
      <c r="AK914" s="28" t="n">
        <f aca="false">AJ914*$M914</f>
        <v>0</v>
      </c>
      <c r="AL914" s="28"/>
      <c r="AM914" s="28" t="n">
        <f aca="false">AL914*$M914</f>
        <v>0</v>
      </c>
      <c r="AN914" s="28"/>
      <c r="AO914" s="28" t="n">
        <f aca="false">AN914*$M914</f>
        <v>0</v>
      </c>
      <c r="AP914" s="28"/>
      <c r="AQ914" s="28" t="n">
        <f aca="false">AP914*$M914</f>
        <v>0</v>
      </c>
      <c r="AR914" s="28"/>
      <c r="AS914" s="28" t="n">
        <f aca="false">AR914*$M914</f>
        <v>0</v>
      </c>
      <c r="AT914" s="28"/>
      <c r="AU914" s="28" t="n">
        <f aca="false">AT914*$M914</f>
        <v>0</v>
      </c>
      <c r="AV914" s="28"/>
      <c r="AW914" s="28" t="n">
        <f aca="false">AV914*$M914</f>
        <v>0</v>
      </c>
      <c r="AX914" s="28"/>
      <c r="AY914" s="28" t="n">
        <f aca="false">AX914*$M914</f>
        <v>0</v>
      </c>
      <c r="AZ914" s="30" t="n">
        <v>261</v>
      </c>
      <c r="BA914" s="11" t="n">
        <v>783</v>
      </c>
      <c r="BB914" s="31" t="n">
        <f aca="false">SUM(Q914,S914,U914,W914,Y914,AA914,AC914,AE914,AG914,AI914,AK914,AM914,AO914,AQ914,AS914,AU914,AW914,AY914)</f>
        <v>783</v>
      </c>
      <c r="BC914" s="28" t="n">
        <f aca="false">BA914-BB914</f>
        <v>0</v>
      </c>
      <c r="BD914" s="32" t="n">
        <f aca="false">SUM(P914,R914,T914,V914,X914,Z914,AB914,AD914,AF914,AH914,AJ914,AL914,AN914,AP914,AR914,AT914,AV914,AX914)</f>
        <v>261</v>
      </c>
      <c r="BE914" s="33" t="n">
        <f aca="false">AZ914-BD914</f>
        <v>0</v>
      </c>
      <c r="BF914" s="34" t="n">
        <f aca="false">BD914*M914</f>
        <v>783</v>
      </c>
      <c r="BG914" s="35" t="n">
        <f aca="false">BA914-BF914</f>
        <v>0</v>
      </c>
      <c r="BH914" s="19" t="str">
        <f aca="false">IF(BG914=0,"",IF(BG914&lt;&gt;BA914,"erreur de calcul",IF(BD914&lt;&gt;0,"pas de prix",IF(M914&lt;&gt; 0,"pas de quantité","pas de prix, ni de quantité"))))</f>
        <v/>
      </c>
      <c r="BI914" s="19"/>
    </row>
    <row r="915" customFormat="false" ht="15" hidden="false" customHeight="false" outlineLevel="0" collapsed="false">
      <c r="A915" s="0" t="n">
        <v>3</v>
      </c>
      <c r="B915" s="8" t="s">
        <v>24</v>
      </c>
      <c r="C915" s="9" t="s">
        <v>25</v>
      </c>
      <c r="D915" s="9" t="s">
        <v>26</v>
      </c>
      <c r="E915" s="10" t="n">
        <v>1789</v>
      </c>
      <c r="F915" s="9" t="s">
        <v>27</v>
      </c>
      <c r="G915" s="9" t="s">
        <v>27</v>
      </c>
      <c r="H915" s="11" t="n">
        <v>24</v>
      </c>
      <c r="I915" s="11" t="s">
        <v>290</v>
      </c>
      <c r="J915" s="14" t="n">
        <v>5</v>
      </c>
      <c r="K915" s="14"/>
      <c r="L915" s="16"/>
      <c r="M915" s="27" t="n">
        <f aca="false">J915+(K915/20)+(L915/240)</f>
        <v>5</v>
      </c>
      <c r="N915" s="17" t="s">
        <v>66</v>
      </c>
      <c r="O915" s="11"/>
      <c r="P915" s="28"/>
      <c r="Q915" s="28" t="n">
        <f aca="false">P915*$M915</f>
        <v>0</v>
      </c>
      <c r="R915" s="28"/>
      <c r="S915" s="28" t="n">
        <f aca="false">R915*$M915</f>
        <v>0</v>
      </c>
      <c r="T915" s="28"/>
      <c r="U915" s="28" t="n">
        <v>4765</v>
      </c>
      <c r="V915" s="28"/>
      <c r="W915" s="28" t="n">
        <f aca="false">V915*$M915</f>
        <v>0</v>
      </c>
      <c r="X915" s="28"/>
      <c r="Y915" s="28" t="n">
        <f aca="false">X915*$M915</f>
        <v>0</v>
      </c>
      <c r="Z915" s="28"/>
      <c r="AA915" s="28" t="n">
        <f aca="false">Z915*$M915</f>
        <v>0</v>
      </c>
      <c r="AB915" s="28"/>
      <c r="AC915" s="28" t="n">
        <f aca="false">AB915*$M915</f>
        <v>0</v>
      </c>
      <c r="AD915" s="28"/>
      <c r="AE915" s="28" t="n">
        <f aca="false">AD915*$M915</f>
        <v>0</v>
      </c>
      <c r="AF915" s="28"/>
      <c r="AG915" s="28" t="n">
        <f aca="false">AF915*$M915</f>
        <v>0</v>
      </c>
      <c r="AH915" s="28"/>
      <c r="AI915" s="28" t="n">
        <f aca="false">AH915*$M915</f>
        <v>0</v>
      </c>
      <c r="AJ915" s="28"/>
      <c r="AK915" s="28" t="n">
        <f aca="false">AJ915*$M915</f>
        <v>0</v>
      </c>
      <c r="AL915" s="28"/>
      <c r="AM915" s="28" t="n">
        <f aca="false">AL915*$M915</f>
        <v>0</v>
      </c>
      <c r="AN915" s="28"/>
      <c r="AO915" s="28" t="n">
        <f aca="false">AN915*$M915</f>
        <v>0</v>
      </c>
      <c r="AP915" s="28"/>
      <c r="AQ915" s="28" t="n">
        <f aca="false">AP915*$M915</f>
        <v>0</v>
      </c>
      <c r="AR915" s="28"/>
      <c r="AS915" s="28" t="n">
        <f aca="false">AR915*$M915</f>
        <v>0</v>
      </c>
      <c r="AT915" s="28"/>
      <c r="AU915" s="28" t="n">
        <f aca="false">AT915*$M915</f>
        <v>0</v>
      </c>
      <c r="AV915" s="28"/>
      <c r="AW915" s="28" t="n">
        <f aca="false">AV915*$M915</f>
        <v>0</v>
      </c>
      <c r="AX915" s="28"/>
      <c r="AY915" s="28" t="n">
        <f aca="false">AX915*$M915</f>
        <v>0</v>
      </c>
      <c r="AZ915" s="30"/>
      <c r="BA915" s="11" t="n">
        <v>4765</v>
      </c>
      <c r="BB915" s="31" t="n">
        <f aca="false">SUM(Q915,S915,U915,W915,Y915,AA915,AC915,AE915,AG915,AI915,AK915,AM915,AO915,AQ915,AS915,AU915,AW915,AY915)</f>
        <v>4765</v>
      </c>
      <c r="BC915" s="28" t="n">
        <f aca="false">BA915-BB915</f>
        <v>0</v>
      </c>
      <c r="BD915" s="32" t="n">
        <f aca="false">SUM(P915,R915,T915,V915,X915,Z915,AB915,AD915,AF915,AH915,AJ915,AL915,AN915,AP915,AR915,AT915,AV915,AX915)</f>
        <v>0</v>
      </c>
      <c r="BE915" s="33" t="n">
        <f aca="false">AZ915-BD915</f>
        <v>0</v>
      </c>
      <c r="BF915" s="34" t="n">
        <f aca="false">BD915*M915</f>
        <v>0</v>
      </c>
      <c r="BG915" s="35" t="n">
        <f aca="false">BA915-BF915</f>
        <v>4765</v>
      </c>
      <c r="BH915" s="19" t="str">
        <f aca="false">IF(BG915=0,"",IF(BG915&lt;&gt;BA915,"erreur de calcul",IF(BD915&lt;&gt;0,"pas de prix",IF(M915&lt;&gt; 0,"pas de quantité","pas de prix, ni de quantité"))))</f>
        <v>pas de quantité</v>
      </c>
      <c r="BI915" s="19"/>
    </row>
    <row r="916" customFormat="false" ht="15" hidden="false" customHeight="false" outlineLevel="0" collapsed="false">
      <c r="A916" s="0" t="n">
        <v>4</v>
      </c>
      <c r="B916" s="8" t="s">
        <v>24</v>
      </c>
      <c r="C916" s="9" t="s">
        <v>25</v>
      </c>
      <c r="D916" s="9" t="s">
        <v>26</v>
      </c>
      <c r="E916" s="10" t="n">
        <v>1789</v>
      </c>
      <c r="F916" s="9" t="s">
        <v>27</v>
      </c>
      <c r="G916" s="9" t="s">
        <v>27</v>
      </c>
      <c r="H916" s="11" t="n">
        <v>24</v>
      </c>
      <c r="I916" s="11" t="s">
        <v>291</v>
      </c>
      <c r="J916" s="14" t="n">
        <v>36</v>
      </c>
      <c r="K916" s="14"/>
      <c r="L916" s="16"/>
      <c r="M916" s="27" t="n">
        <f aca="false">J916+(K916/20)+(L916/240)</f>
        <v>36</v>
      </c>
      <c r="N916" s="17" t="s">
        <v>66</v>
      </c>
      <c r="O916" s="11"/>
      <c r="P916" s="28"/>
      <c r="Q916" s="28" t="n">
        <f aca="false">P916*$M916</f>
        <v>0</v>
      </c>
      <c r="R916" s="28"/>
      <c r="S916" s="28" t="n">
        <f aca="false">R916*$M916</f>
        <v>0</v>
      </c>
      <c r="T916" s="28"/>
      <c r="U916" s="28" t="n">
        <f aca="false">T916*$M916</f>
        <v>0</v>
      </c>
      <c r="V916" s="28"/>
      <c r="W916" s="28" t="n">
        <f aca="false">V916*$M916</f>
        <v>0</v>
      </c>
      <c r="X916" s="28"/>
      <c r="Y916" s="28" t="n">
        <f aca="false">X916*$M916</f>
        <v>0</v>
      </c>
      <c r="Z916" s="28"/>
      <c r="AA916" s="28" t="n">
        <f aca="false">Z916*$M916</f>
        <v>0</v>
      </c>
      <c r="AB916" s="28"/>
      <c r="AC916" s="28" t="n">
        <f aca="false">AB916*$M916</f>
        <v>0</v>
      </c>
      <c r="AD916" s="28"/>
      <c r="AE916" s="28" t="n">
        <f aca="false">AD916*$M916</f>
        <v>0</v>
      </c>
      <c r="AF916" s="28"/>
      <c r="AG916" s="28" t="n">
        <f aca="false">AF916*$M916</f>
        <v>0</v>
      </c>
      <c r="AH916" s="28"/>
      <c r="AI916" s="28" t="n">
        <f aca="false">AH916*$M916</f>
        <v>0</v>
      </c>
      <c r="AJ916" s="28" t="n">
        <v>387</v>
      </c>
      <c r="AK916" s="28" t="n">
        <v>13932</v>
      </c>
      <c r="AL916" s="28"/>
      <c r="AM916" s="28" t="n">
        <f aca="false">AL916*$M916</f>
        <v>0</v>
      </c>
      <c r="AN916" s="28"/>
      <c r="AO916" s="28" t="n">
        <f aca="false">AN916*$M916</f>
        <v>0</v>
      </c>
      <c r="AP916" s="28"/>
      <c r="AQ916" s="28" t="n">
        <f aca="false">AP916*$M916</f>
        <v>0</v>
      </c>
      <c r="AR916" s="28"/>
      <c r="AS916" s="28" t="n">
        <f aca="false">AR916*$M916</f>
        <v>0</v>
      </c>
      <c r="AT916" s="28"/>
      <c r="AU916" s="28" t="n">
        <f aca="false">AT916*$M916</f>
        <v>0</v>
      </c>
      <c r="AV916" s="28"/>
      <c r="AW916" s="28" t="n">
        <f aca="false">AV916*$M916</f>
        <v>0</v>
      </c>
      <c r="AX916" s="28"/>
      <c r="AY916" s="28" t="n">
        <f aca="false">AX916*$M916</f>
        <v>0</v>
      </c>
      <c r="AZ916" s="30" t="n">
        <v>387</v>
      </c>
      <c r="BA916" s="11" t="n">
        <v>13932</v>
      </c>
      <c r="BB916" s="31" t="n">
        <f aca="false">SUM(Q916,S916,U916,W916,Y916,AA916,AC916,AE916,AG916,AI916,AK916,AM916,AO916,AQ916,AS916,AU916,AW916,AY916)</f>
        <v>13932</v>
      </c>
      <c r="BC916" s="28" t="n">
        <f aca="false">BA916-BB916</f>
        <v>0</v>
      </c>
      <c r="BD916" s="32" t="n">
        <f aca="false">SUM(P916,R916,T916,V916,X916,Z916,AB916,AD916,AF916,AH916,AJ916,AL916,AN916,AP916,AR916,AT916,AV916,AX916)</f>
        <v>387</v>
      </c>
      <c r="BE916" s="33" t="n">
        <f aca="false">AZ916-BD916</f>
        <v>0</v>
      </c>
      <c r="BF916" s="34" t="n">
        <f aca="false">BD916*M916</f>
        <v>13932</v>
      </c>
      <c r="BG916" s="35" t="n">
        <f aca="false">BA916-BF916</f>
        <v>0</v>
      </c>
      <c r="BH916" s="19" t="str">
        <f aca="false">IF(BG916=0,"",IF(BG916&lt;&gt;BA916,"erreur de calcul",IF(BD916&lt;&gt;0,"pas de prix",IF(M916&lt;&gt; 0,"pas de quantité","pas de prix, ni de quantité"))))</f>
        <v/>
      </c>
      <c r="BI916" s="19"/>
    </row>
    <row r="917" customFormat="false" ht="15" hidden="false" customHeight="false" outlineLevel="0" collapsed="false">
      <c r="A917" s="0" t="n">
        <v>5</v>
      </c>
      <c r="B917" s="8" t="s">
        <v>24</v>
      </c>
      <c r="C917" s="9" t="s">
        <v>25</v>
      </c>
      <c r="D917" s="9" t="s">
        <v>26</v>
      </c>
      <c r="E917" s="10" t="n">
        <v>1789</v>
      </c>
      <c r="F917" s="9" t="s">
        <v>27</v>
      </c>
      <c r="G917" s="9" t="s">
        <v>27</v>
      </c>
      <c r="H917" s="11" t="n">
        <v>24</v>
      </c>
      <c r="I917" s="11" t="s">
        <v>292</v>
      </c>
      <c r="J917" s="14" t="n">
        <v>40</v>
      </c>
      <c r="K917" s="14"/>
      <c r="L917" s="16"/>
      <c r="M917" s="27" t="n">
        <f aca="false">J917+(K917/20)+(L917/240)</f>
        <v>40</v>
      </c>
      <c r="N917" s="17" t="s">
        <v>64</v>
      </c>
      <c r="O917" s="11" t="s">
        <v>277</v>
      </c>
      <c r="P917" s="28"/>
      <c r="Q917" s="28" t="n">
        <f aca="false">P917*$M917</f>
        <v>0</v>
      </c>
      <c r="R917" s="28"/>
      <c r="S917" s="28" t="n">
        <f aca="false">R917*$M917</f>
        <v>0</v>
      </c>
      <c r="T917" s="28" t="n">
        <f aca="false">5917/100</f>
        <v>59.17</v>
      </c>
      <c r="U917" s="28" t="n">
        <v>2367</v>
      </c>
      <c r="V917" s="28" t="n">
        <f aca="false">12510/100</f>
        <v>125.1</v>
      </c>
      <c r="W917" s="28" t="n">
        <f aca="false">V917*$M917</f>
        <v>5004</v>
      </c>
      <c r="X917" s="28"/>
      <c r="Y917" s="28" t="n">
        <f aca="false">X917*$M917</f>
        <v>0</v>
      </c>
      <c r="Z917" s="28"/>
      <c r="AA917" s="28" t="n">
        <f aca="false">Z917*$M917</f>
        <v>0</v>
      </c>
      <c r="AB917" s="28" t="n">
        <f aca="false">50338/100</f>
        <v>503.38</v>
      </c>
      <c r="AC917" s="28" t="n">
        <v>20135</v>
      </c>
      <c r="AD917" s="28"/>
      <c r="AE917" s="28" t="n">
        <f aca="false">AD917*$M917</f>
        <v>0</v>
      </c>
      <c r="AF917" s="28"/>
      <c r="AG917" s="28" t="n">
        <f aca="false">AF917*$M917</f>
        <v>0</v>
      </c>
      <c r="AH917" s="28" t="n">
        <f aca="false">440/100</f>
        <v>4.4</v>
      </c>
      <c r="AI917" s="28" t="n">
        <v>176</v>
      </c>
      <c r="AJ917" s="28" t="n">
        <f aca="false">18094/100</f>
        <v>180.94</v>
      </c>
      <c r="AK917" s="28" t="n">
        <v>7238</v>
      </c>
      <c r="AL917" s="28"/>
      <c r="AM917" s="28" t="n">
        <f aca="false">AL917*$M917</f>
        <v>0</v>
      </c>
      <c r="AN917" s="28"/>
      <c r="AO917" s="28" t="n">
        <f aca="false">AN917*$M917</f>
        <v>0</v>
      </c>
      <c r="AP917" s="28"/>
      <c r="AQ917" s="28" t="n">
        <f aca="false">AP917*$M917</f>
        <v>0</v>
      </c>
      <c r="AR917" s="28"/>
      <c r="AS917" s="28" t="n">
        <f aca="false">AR917*$M917</f>
        <v>0</v>
      </c>
      <c r="AT917" s="28"/>
      <c r="AU917" s="28" t="n">
        <f aca="false">AT917*$M917</f>
        <v>0</v>
      </c>
      <c r="AV917" s="28"/>
      <c r="AW917" s="28" t="n">
        <f aca="false">AV917*$M917</f>
        <v>0</v>
      </c>
      <c r="AX917" s="28"/>
      <c r="AY917" s="28" t="n">
        <f aca="false">AX917*$M917</f>
        <v>0</v>
      </c>
      <c r="AZ917" s="30" t="n">
        <f aca="false">87279/100</f>
        <v>872.79</v>
      </c>
      <c r="BA917" s="11" t="n">
        <v>34920</v>
      </c>
      <c r="BB917" s="31" t="n">
        <f aca="false">SUM(Q917,S917,U917,W917,Y917,AA917,AC917,AE917,AG917,AI917,AK917,AM917,AO917,AQ917,AS917,AU917,AW917,AY917)</f>
        <v>34920</v>
      </c>
      <c r="BC917" s="28" t="n">
        <f aca="false">BA917-BB917</f>
        <v>0</v>
      </c>
      <c r="BD917" s="32" t="n">
        <f aca="false">SUM(P917,R917,T917,V917,X917,Z917,AB917,AD917,AF917,AH917,AJ917,AL917,AN917,AP917,AR917,AT917,AV917,AX917)</f>
        <v>872.99</v>
      </c>
      <c r="BE917" s="33" t="n">
        <f aca="false">AZ917-BD917</f>
        <v>-0.200000000000045</v>
      </c>
      <c r="BF917" s="34" t="n">
        <f aca="false">BD917*M917</f>
        <v>34919.6</v>
      </c>
      <c r="BG917" s="35" t="n">
        <f aca="false">BA917-BF917</f>
        <v>0.400000000001455</v>
      </c>
      <c r="BH917" s="19" t="str">
        <f aca="false">IF(BG917=0,"",IF(BG917&lt;&gt;BA917,"erreur de calcul",IF(BD917&lt;&gt;0,"pas de prix",IF(M917&lt;&gt; 0,"pas de quantité","pas de prix, ni de quantité"))))</f>
        <v>erreur de calcul</v>
      </c>
      <c r="BI917" s="19"/>
    </row>
    <row r="918" customFormat="false" ht="15" hidden="false" customHeight="false" outlineLevel="0" collapsed="false">
      <c r="A918" s="0" t="n">
        <v>6</v>
      </c>
      <c r="B918" s="8" t="s">
        <v>24</v>
      </c>
      <c r="C918" s="9" t="s">
        <v>25</v>
      </c>
      <c r="D918" s="9" t="s">
        <v>26</v>
      </c>
      <c r="E918" s="10" t="n">
        <v>1789</v>
      </c>
      <c r="F918" s="9" t="s">
        <v>27</v>
      </c>
      <c r="G918" s="9" t="s">
        <v>27</v>
      </c>
      <c r="H918" s="11" t="n">
        <v>24</v>
      </c>
      <c r="I918" s="11" t="s">
        <v>293</v>
      </c>
      <c r="J918" s="14" t="n">
        <v>72</v>
      </c>
      <c r="K918" s="14"/>
      <c r="L918" s="16"/>
      <c r="M918" s="27" t="n">
        <f aca="false">J918+(K918/20)+(L918/240)</f>
        <v>72</v>
      </c>
      <c r="N918" s="17" t="s">
        <v>294</v>
      </c>
      <c r="O918" s="11"/>
      <c r="P918" s="28" t="n">
        <v>16096</v>
      </c>
      <c r="Q918" s="28" t="n">
        <v>1158912</v>
      </c>
      <c r="R918" s="28"/>
      <c r="S918" s="28" t="n">
        <f aca="false">R918*$M918</f>
        <v>0</v>
      </c>
      <c r="T918" s="28" t="n">
        <v>6580</v>
      </c>
      <c r="U918" s="28" t="n">
        <v>473760</v>
      </c>
      <c r="V918" s="28" t="n">
        <v>21336</v>
      </c>
      <c r="W918" s="28" t="n">
        <v>1536192</v>
      </c>
      <c r="X918" s="28" t="n">
        <v>905</v>
      </c>
      <c r="Y918" s="28" t="n">
        <v>65160</v>
      </c>
      <c r="Z918" s="28" t="n">
        <v>250</v>
      </c>
      <c r="AA918" s="28" t="n">
        <v>18000</v>
      </c>
      <c r="AB918" s="28" t="n">
        <v>155034</v>
      </c>
      <c r="AC918" s="28" t="n">
        <v>11162448</v>
      </c>
      <c r="AD918" s="28"/>
      <c r="AE918" s="28" t="n">
        <f aca="false">AD918*$M918</f>
        <v>0</v>
      </c>
      <c r="AF918" s="28" t="n">
        <v>18739</v>
      </c>
      <c r="AG918" s="28" t="n">
        <v>1349208</v>
      </c>
      <c r="AH918" s="28" t="n">
        <v>44032</v>
      </c>
      <c r="AI918" s="28" t="n">
        <v>3170304</v>
      </c>
      <c r="AJ918" s="28"/>
      <c r="AK918" s="28" t="n">
        <f aca="false">AJ918*$M918</f>
        <v>0</v>
      </c>
      <c r="AL918" s="28"/>
      <c r="AM918" s="28" t="n">
        <f aca="false">AL918*$M918</f>
        <v>0</v>
      </c>
      <c r="AN918" s="28"/>
      <c r="AO918" s="28" t="n">
        <f aca="false">AN918*$M918</f>
        <v>0</v>
      </c>
      <c r="AP918" s="28"/>
      <c r="AQ918" s="28" t="n">
        <f aca="false">AP918*$M918</f>
        <v>0</v>
      </c>
      <c r="AR918" s="28"/>
      <c r="AS918" s="28" t="n">
        <f aca="false">AR918*$M918</f>
        <v>0</v>
      </c>
      <c r="AT918" s="28"/>
      <c r="AU918" s="28" t="n">
        <f aca="false">AT918*$M918</f>
        <v>0</v>
      </c>
      <c r="AV918" s="28"/>
      <c r="AW918" s="28" t="n">
        <f aca="false">AV918*$M918</f>
        <v>0</v>
      </c>
      <c r="AX918" s="28"/>
      <c r="AY918" s="28" t="n">
        <f aca="false">AX918*$M918</f>
        <v>0</v>
      </c>
      <c r="AZ918" s="30" t="n">
        <v>262972</v>
      </c>
      <c r="BA918" s="11" t="n">
        <v>18933984</v>
      </c>
      <c r="BB918" s="31" t="n">
        <f aca="false">SUM(Q918,S918,U918,W918,Y918,AA918,AC918,AE918,AG918,AI918,AK918,AM918,AO918,AQ918,AS918,AU918,AW918,AY918)</f>
        <v>18933984</v>
      </c>
      <c r="BC918" s="28" t="n">
        <f aca="false">BA918-BB918</f>
        <v>0</v>
      </c>
      <c r="BD918" s="32" t="n">
        <f aca="false">SUM(P918,R918,T918,V918,X918,Z918,AB918,AD918,AF918,AH918,AJ918,AL918,AN918,AP918,AR918,AT918,AV918,AX918)</f>
        <v>262972</v>
      </c>
      <c r="BE918" s="33" t="n">
        <f aca="false">AZ918-BD918</f>
        <v>0</v>
      </c>
      <c r="BF918" s="34" t="n">
        <f aca="false">BD918*M918</f>
        <v>18933984</v>
      </c>
      <c r="BG918" s="35" t="n">
        <f aca="false">BA918-BF918</f>
        <v>0</v>
      </c>
      <c r="BH918" s="19" t="str">
        <f aca="false">IF(BG918=0,"",IF(BG918&lt;&gt;BA918,"erreur de calcul",IF(BD918&lt;&gt;0,"pas de prix",IF(M918&lt;&gt; 0,"pas de quantité","pas de prix, ni de quantité"))))</f>
        <v/>
      </c>
      <c r="BI918" s="19" t="s">
        <v>295</v>
      </c>
    </row>
    <row r="919" customFormat="false" ht="15" hidden="false" customHeight="false" outlineLevel="0" collapsed="false">
      <c r="A919" s="0" t="n">
        <v>7</v>
      </c>
      <c r="B919" s="8" t="s">
        <v>24</v>
      </c>
      <c r="C919" s="9" t="s">
        <v>25</v>
      </c>
      <c r="D919" s="9" t="s">
        <v>26</v>
      </c>
      <c r="E919" s="10" t="n">
        <v>1789</v>
      </c>
      <c r="F919" s="9" t="s">
        <v>27</v>
      </c>
      <c r="G919" s="9" t="s">
        <v>27</v>
      </c>
      <c r="H919" s="11" t="n">
        <v>24</v>
      </c>
      <c r="I919" s="11" t="s">
        <v>296</v>
      </c>
      <c r="J919" s="14" t="n">
        <v>35</v>
      </c>
      <c r="K919" s="14"/>
      <c r="L919" s="16"/>
      <c r="M919" s="27" t="n">
        <f aca="false">J919+(K919/20)+(L919/240)</f>
        <v>35</v>
      </c>
      <c r="N919" s="17" t="s">
        <v>64</v>
      </c>
      <c r="O919" s="11" t="s">
        <v>98</v>
      </c>
      <c r="P919" s="28"/>
      <c r="Q919" s="28" t="n">
        <f aca="false">P919*$M919</f>
        <v>0</v>
      </c>
      <c r="R919" s="28"/>
      <c r="S919" s="28" t="n">
        <f aca="false">R919*$M919</f>
        <v>0</v>
      </c>
      <c r="T919" s="28"/>
      <c r="U919" s="28" t="n">
        <f aca="false">T919*$M919</f>
        <v>0</v>
      </c>
      <c r="V919" s="28"/>
      <c r="W919" s="28" t="n">
        <f aca="false">V919*$M919</f>
        <v>0</v>
      </c>
      <c r="X919" s="28"/>
      <c r="Y919" s="28" t="n">
        <f aca="false">X919*$M919</f>
        <v>0</v>
      </c>
      <c r="Z919" s="28"/>
      <c r="AA919" s="28" t="n">
        <f aca="false">Z919*$M919</f>
        <v>0</v>
      </c>
      <c r="AB919" s="28"/>
      <c r="AC919" s="28" t="n">
        <f aca="false">AB919*$M919</f>
        <v>0</v>
      </c>
      <c r="AD919" s="28"/>
      <c r="AE919" s="28" t="n">
        <f aca="false">AD919*$M919</f>
        <v>0</v>
      </c>
      <c r="AF919" s="28"/>
      <c r="AG919" s="28" t="n">
        <f aca="false">AF919*$M919</f>
        <v>0</v>
      </c>
      <c r="AH919" s="28"/>
      <c r="AI919" s="28" t="n">
        <f aca="false">AH919*$M919</f>
        <v>0</v>
      </c>
      <c r="AJ919" s="28"/>
      <c r="AK919" s="28" t="n">
        <f aca="false">AJ919*$M919</f>
        <v>0</v>
      </c>
      <c r="AL919" s="28"/>
      <c r="AM919" s="28" t="n">
        <f aca="false">AL919*$M919</f>
        <v>0</v>
      </c>
      <c r="AN919" s="28"/>
      <c r="AO919" s="28" t="n">
        <f aca="false">AN919*$M919</f>
        <v>0</v>
      </c>
      <c r="AP919" s="28"/>
      <c r="AQ919" s="28" t="n">
        <f aca="false">AP919*$M919</f>
        <v>0</v>
      </c>
      <c r="AR919" s="28"/>
      <c r="AS919" s="28" t="n">
        <f aca="false">AR919*$M919</f>
        <v>0</v>
      </c>
      <c r="AT919" s="28"/>
      <c r="AU919" s="28" t="n">
        <f aca="false">AT919*$M919</f>
        <v>0</v>
      </c>
      <c r="AV919" s="28"/>
      <c r="AW919" s="28" t="n">
        <f aca="false">AV919*$M919</f>
        <v>0</v>
      </c>
      <c r="AX919" s="28"/>
      <c r="AY919" s="28" t="n">
        <f aca="false">AX919*$M919</f>
        <v>0</v>
      </c>
      <c r="AZ919" s="30"/>
      <c r="BA919" s="11"/>
      <c r="BB919" s="31" t="n">
        <f aca="false">SUM(Q919,S919,U919,W919,Y919,AA919,AC919,AE919,AG919,AI919,AK919,AM919,AO919,AQ919,AS919,AU919,AW919,AY919)</f>
        <v>0</v>
      </c>
      <c r="BC919" s="28" t="n">
        <f aca="false">BA919-BB919</f>
        <v>0</v>
      </c>
      <c r="BD919" s="32" t="n">
        <f aca="false">SUM(P919,R919,T919,V919,X919,Z919,AB919,AD919,AF919,AH919,AJ919,AL919,AN919,AP919,AR919,AT919,AV919,AX919)</f>
        <v>0</v>
      </c>
      <c r="BE919" s="33" t="n">
        <f aca="false">AZ919-BD919</f>
        <v>0</v>
      </c>
      <c r="BF919" s="34" t="n">
        <f aca="false">BD919*M919</f>
        <v>0</v>
      </c>
      <c r="BG919" s="35" t="n">
        <f aca="false">BA919-BF919</f>
        <v>0</v>
      </c>
      <c r="BH919" s="19" t="str">
        <f aca="false">IF(BG919=0,"",IF(BG919&lt;&gt;BA919,"erreur de calcul",IF(BD919&lt;&gt;0,"pas de prix",IF(M919&lt;&gt; 0,"pas de quantité","pas de prix, ni de quantité"))))</f>
        <v/>
      </c>
      <c r="BI919" s="19"/>
    </row>
    <row r="920" customFormat="false" ht="15" hidden="false" customHeight="false" outlineLevel="0" collapsed="false">
      <c r="A920" s="0" t="n">
        <v>8</v>
      </c>
      <c r="B920" s="8" t="s">
        <v>24</v>
      </c>
      <c r="C920" s="9" t="s">
        <v>25</v>
      </c>
      <c r="D920" s="9" t="s">
        <v>26</v>
      </c>
      <c r="E920" s="10" t="n">
        <v>1789</v>
      </c>
      <c r="F920" s="9" t="s">
        <v>27</v>
      </c>
      <c r="G920" s="9" t="s">
        <v>27</v>
      </c>
      <c r="H920" s="11" t="n">
        <v>24</v>
      </c>
      <c r="I920" s="11" t="s">
        <v>297</v>
      </c>
      <c r="J920" s="14" t="n">
        <v>45</v>
      </c>
      <c r="K920" s="14"/>
      <c r="L920" s="16"/>
      <c r="M920" s="27" t="n">
        <f aca="false">J920+(K920/20)+(L920/240)</f>
        <v>45</v>
      </c>
      <c r="N920" s="17" t="s">
        <v>64</v>
      </c>
      <c r="O920" s="11"/>
      <c r="P920" s="28"/>
      <c r="Q920" s="28" t="n">
        <f aca="false">P920*$M920</f>
        <v>0</v>
      </c>
      <c r="R920" s="28"/>
      <c r="S920" s="28" t="n">
        <f aca="false">R920*$M920</f>
        <v>0</v>
      </c>
      <c r="T920" s="28"/>
      <c r="U920" s="28" t="n">
        <f aca="false">T920*$M920</f>
        <v>0</v>
      </c>
      <c r="V920" s="28"/>
      <c r="W920" s="28" t="n">
        <f aca="false">V920*$M920</f>
        <v>0</v>
      </c>
      <c r="X920" s="28"/>
      <c r="Y920" s="28" t="n">
        <f aca="false">X920*$M920</f>
        <v>0</v>
      </c>
      <c r="Z920" s="28"/>
      <c r="AA920" s="28" t="n">
        <f aca="false">Z920*$M920</f>
        <v>0</v>
      </c>
      <c r="AB920" s="28"/>
      <c r="AC920" s="28" t="n">
        <f aca="false">AB920*$M920</f>
        <v>0</v>
      </c>
      <c r="AD920" s="28"/>
      <c r="AE920" s="28" t="n">
        <f aca="false">AD920*$M920</f>
        <v>0</v>
      </c>
      <c r="AF920" s="28"/>
      <c r="AG920" s="28" t="n">
        <f aca="false">AF920*$M920</f>
        <v>0</v>
      </c>
      <c r="AH920" s="28"/>
      <c r="AI920" s="28" t="n">
        <f aca="false">AH920*$M920</f>
        <v>0</v>
      </c>
      <c r="AJ920" s="28"/>
      <c r="AK920" s="28" t="n">
        <f aca="false">AJ920*$M920</f>
        <v>0</v>
      </c>
      <c r="AL920" s="28"/>
      <c r="AM920" s="28" t="n">
        <f aca="false">AL920*$M920</f>
        <v>0</v>
      </c>
      <c r="AN920" s="28"/>
      <c r="AO920" s="28" t="n">
        <f aca="false">AN920*$M920</f>
        <v>0</v>
      </c>
      <c r="AP920" s="28"/>
      <c r="AQ920" s="28" t="n">
        <f aca="false">AP920*$M920</f>
        <v>0</v>
      </c>
      <c r="AR920" s="28"/>
      <c r="AS920" s="28" t="n">
        <f aca="false">AR920*$M920</f>
        <v>0</v>
      </c>
      <c r="AT920" s="28"/>
      <c r="AU920" s="28" t="n">
        <f aca="false">AT920*$M920</f>
        <v>0</v>
      </c>
      <c r="AV920" s="28"/>
      <c r="AW920" s="28" t="n">
        <f aca="false">AV920*$M920</f>
        <v>0</v>
      </c>
      <c r="AX920" s="28" t="n">
        <f aca="false">44459/100</f>
        <v>444.59</v>
      </c>
      <c r="AY920" s="28" t="n">
        <v>20006</v>
      </c>
      <c r="AZ920" s="30" t="n">
        <f aca="false">44459/100</f>
        <v>444.59</v>
      </c>
      <c r="BA920" s="11" t="n">
        <v>20006</v>
      </c>
      <c r="BB920" s="31" t="n">
        <f aca="false">SUM(Q920,S920,U920,W920,Y920,AA920,AC920,AE920,AG920,AI920,AK920,AM920,AO920,AQ920,AS920,AU920,AW920,AY920)</f>
        <v>20006</v>
      </c>
      <c r="BC920" s="28" t="n">
        <f aca="false">BA920-BB920</f>
        <v>0</v>
      </c>
      <c r="BD920" s="32" t="n">
        <f aca="false">SUM(P920,R920,T920,V920,X920,Z920,AB920,AD920,AF920,AH920,AJ920,AL920,AN920,AP920,AR920,AT920,AV920,AX920)</f>
        <v>444.59</v>
      </c>
      <c r="BE920" s="33" t="n">
        <f aca="false">AZ920-BD920</f>
        <v>0</v>
      </c>
      <c r="BF920" s="34" t="n">
        <f aca="false">BD920*M920</f>
        <v>20006.55</v>
      </c>
      <c r="BG920" s="35" t="n">
        <f aca="false">BA920-BF920</f>
        <v>-0.549999999999272</v>
      </c>
      <c r="BH920" s="19" t="str">
        <f aca="false">IF(BG920=0,"",IF(BG920&lt;&gt;BA920,"erreur de calcul",IF(BD920&lt;&gt;0,"pas de prix",IF(M920&lt;&gt; 0,"pas de quantité","pas de prix, ni de quantité"))))</f>
        <v>erreur de calcul</v>
      </c>
      <c r="BI920" s="19"/>
    </row>
    <row r="921" customFormat="false" ht="15" hidden="false" customHeight="false" outlineLevel="0" collapsed="false">
      <c r="A921" s="0" t="n">
        <v>9</v>
      </c>
      <c r="B921" s="8" t="s">
        <v>24</v>
      </c>
      <c r="C921" s="9" t="s">
        <v>25</v>
      </c>
      <c r="D921" s="9" t="s">
        <v>26</v>
      </c>
      <c r="E921" s="10" t="n">
        <v>1789</v>
      </c>
      <c r="F921" s="9" t="s">
        <v>27</v>
      </c>
      <c r="G921" s="9" t="s">
        <v>27</v>
      </c>
      <c r="H921" s="11" t="n">
        <v>24</v>
      </c>
      <c r="I921" s="11" t="s">
        <v>298</v>
      </c>
      <c r="J921" s="14" t="n">
        <v>550</v>
      </c>
      <c r="K921" s="14"/>
      <c r="L921" s="16"/>
      <c r="M921" s="27" t="n">
        <f aca="false">J921+(K921/20)+(L921/240)</f>
        <v>550</v>
      </c>
      <c r="N921" s="17" t="s">
        <v>64</v>
      </c>
      <c r="O921" s="11"/>
      <c r="P921" s="28"/>
      <c r="Q921" s="28" t="n">
        <f aca="false">P921*$M921</f>
        <v>0</v>
      </c>
      <c r="R921" s="28"/>
      <c r="S921" s="28" t="n">
        <f aca="false">R921*$M921</f>
        <v>0</v>
      </c>
      <c r="T921" s="28"/>
      <c r="U921" s="28" t="n">
        <f aca="false">T921*$M921</f>
        <v>0</v>
      </c>
      <c r="V921" s="28"/>
      <c r="W921" s="28" t="n">
        <f aca="false">V921*$M921</f>
        <v>0</v>
      </c>
      <c r="X921" s="28"/>
      <c r="Y921" s="28" t="n">
        <f aca="false">X921*$M921</f>
        <v>0</v>
      </c>
      <c r="Z921" s="28"/>
      <c r="AA921" s="28" t="n">
        <f aca="false">Z921*$M921</f>
        <v>0</v>
      </c>
      <c r="AB921" s="28"/>
      <c r="AC921" s="28" t="n">
        <f aca="false">AB921*$M921</f>
        <v>0</v>
      </c>
      <c r="AD921" s="28"/>
      <c r="AE921" s="28" t="n">
        <f aca="false">AD921*$M921</f>
        <v>0</v>
      </c>
      <c r="AF921" s="28" t="n">
        <f aca="false">200/100</f>
        <v>2</v>
      </c>
      <c r="AG921" s="28" t="n">
        <v>1100</v>
      </c>
      <c r="AH921" s="28"/>
      <c r="AI921" s="28" t="n">
        <f aca="false">AH921*$M921</f>
        <v>0</v>
      </c>
      <c r="AJ921" s="28"/>
      <c r="AK921" s="28" t="n">
        <f aca="false">AJ921*$M921</f>
        <v>0</v>
      </c>
      <c r="AL921" s="28"/>
      <c r="AM921" s="28" t="n">
        <f aca="false">AL921*$M921</f>
        <v>0</v>
      </c>
      <c r="AN921" s="28"/>
      <c r="AO921" s="28" t="n">
        <f aca="false">AN921*$M921</f>
        <v>0</v>
      </c>
      <c r="AP921" s="28"/>
      <c r="AQ921" s="28" t="n">
        <f aca="false">AP921*$M921</f>
        <v>0</v>
      </c>
      <c r="AR921" s="28"/>
      <c r="AS921" s="28" t="n">
        <f aca="false">AR921*$M921</f>
        <v>0</v>
      </c>
      <c r="AT921" s="28"/>
      <c r="AU921" s="28" t="n">
        <f aca="false">AT921*$M921</f>
        <v>0</v>
      </c>
      <c r="AV921" s="28"/>
      <c r="AW921" s="28" t="n">
        <f aca="false">AV921*$M921</f>
        <v>0</v>
      </c>
      <c r="AX921" s="28"/>
      <c r="AY921" s="28" t="n">
        <f aca="false">AX921*$M921</f>
        <v>0</v>
      </c>
      <c r="AZ921" s="30" t="n">
        <f aca="false">200/100</f>
        <v>2</v>
      </c>
      <c r="BA921" s="11" t="n">
        <v>1100</v>
      </c>
      <c r="BB921" s="31" t="n">
        <f aca="false">SUM(Q921,S921,U921,W921,Y921,AA921,AC921,AE921,AG921,AI921,AK921,AM921,AO921,AQ921,AS921,AU921,AW921,AY921)</f>
        <v>1100</v>
      </c>
      <c r="BC921" s="28" t="n">
        <f aca="false">BA921-BB921</f>
        <v>0</v>
      </c>
      <c r="BD921" s="32" t="n">
        <f aca="false">SUM(P921,R921,T921,V921,X921,Z921,AB921,AD921,AF921,AH921,AJ921,AL921,AN921,AP921,AR921,AT921,AV921,AX921)</f>
        <v>2</v>
      </c>
      <c r="BE921" s="33" t="n">
        <f aca="false">AZ921-BD921</f>
        <v>0</v>
      </c>
      <c r="BF921" s="34" t="n">
        <f aca="false">BD921*M921</f>
        <v>1100</v>
      </c>
      <c r="BG921" s="35" t="n">
        <f aca="false">BA921-BF921</f>
        <v>0</v>
      </c>
      <c r="BH921" s="19" t="str">
        <f aca="false">IF(BG921=0,"",IF(BG921&lt;&gt;BA921,"erreur de calcul",IF(BD921&lt;&gt;0,"pas de prix",IF(M921&lt;&gt; 0,"pas de quantité","pas de prix, ni de quantité"))))</f>
        <v/>
      </c>
      <c r="BI921" s="19"/>
    </row>
    <row r="922" customFormat="false" ht="15" hidden="false" customHeight="false" outlineLevel="0" collapsed="false">
      <c r="A922" s="0" t="n">
        <v>10</v>
      </c>
      <c r="B922" s="8" t="s">
        <v>24</v>
      </c>
      <c r="C922" s="9" t="s">
        <v>25</v>
      </c>
      <c r="D922" s="9" t="s">
        <v>26</v>
      </c>
      <c r="E922" s="10" t="n">
        <v>1789</v>
      </c>
      <c r="F922" s="9" t="s">
        <v>27</v>
      </c>
      <c r="G922" s="9" t="s">
        <v>27</v>
      </c>
      <c r="H922" s="11" t="n">
        <v>24</v>
      </c>
      <c r="I922" s="11" t="s">
        <v>299</v>
      </c>
      <c r="J922" s="14" t="n">
        <v>16</v>
      </c>
      <c r="K922" s="14"/>
      <c r="L922" s="16"/>
      <c r="M922" s="27" t="n">
        <f aca="false">J922+(K922/20)+(L922/240)</f>
        <v>16</v>
      </c>
      <c r="N922" s="17" t="s">
        <v>64</v>
      </c>
      <c r="O922" s="11"/>
      <c r="P922" s="28" t="n">
        <f aca="false">20*288*0.02+252*0.02</f>
        <v>120.24</v>
      </c>
      <c r="Q922" s="28" t="n">
        <v>1924</v>
      </c>
      <c r="R922" s="28"/>
      <c r="S922" s="28" t="n">
        <f aca="false">R922*$M922</f>
        <v>0</v>
      </c>
      <c r="T922" s="28"/>
      <c r="U922" s="28" t="n">
        <f aca="false">T922*$M922</f>
        <v>0</v>
      </c>
      <c r="V922" s="28" t="n">
        <f aca="false">16*288*0.02+15*0.02</f>
        <v>92.46</v>
      </c>
      <c r="W922" s="28" t="n">
        <v>1479</v>
      </c>
      <c r="X922" s="28" t="n">
        <f aca="false">25*288*0.02+152*0.02</f>
        <v>147.04</v>
      </c>
      <c r="Y922" s="28" t="n">
        <v>2353</v>
      </c>
      <c r="Z922" s="28"/>
      <c r="AA922" s="28" t="n">
        <f aca="false">Z922*$M922</f>
        <v>0</v>
      </c>
      <c r="AB922" s="28" t="n">
        <f aca="false">127*288*0.02+236*0.02</f>
        <v>736.24</v>
      </c>
      <c r="AC922" s="28" t="n">
        <v>11780</v>
      </c>
      <c r="AD922" s="28"/>
      <c r="AE922" s="28" t="n">
        <f aca="false">AD922*$M922</f>
        <v>0</v>
      </c>
      <c r="AF922" s="28"/>
      <c r="AG922" s="28" t="n">
        <f aca="false">AF922*$M922</f>
        <v>0</v>
      </c>
      <c r="AH922" s="28"/>
      <c r="AI922" s="28" t="n">
        <f aca="false">AH922*$M922</f>
        <v>0</v>
      </c>
      <c r="AJ922" s="28"/>
      <c r="AK922" s="28" t="n">
        <f aca="false">AJ922*$M922</f>
        <v>0</v>
      </c>
      <c r="AL922" s="28"/>
      <c r="AM922" s="28" t="n">
        <f aca="false">AL922*$M922</f>
        <v>0</v>
      </c>
      <c r="AN922" s="28"/>
      <c r="AO922" s="28" t="n">
        <f aca="false">AN922*$M922</f>
        <v>0</v>
      </c>
      <c r="AP922" s="28"/>
      <c r="AQ922" s="28" t="n">
        <f aca="false">AP922*$M922</f>
        <v>0</v>
      </c>
      <c r="AR922" s="28"/>
      <c r="AS922" s="28" t="n">
        <f aca="false">AR922*$M922</f>
        <v>0</v>
      </c>
      <c r="AT922" s="28"/>
      <c r="AU922" s="28" t="n">
        <f aca="false">AT922*$M922</f>
        <v>0</v>
      </c>
      <c r="AV922" s="28"/>
      <c r="AW922" s="28" t="n">
        <f aca="false">AV922*$M922</f>
        <v>0</v>
      </c>
      <c r="AX922" s="28"/>
      <c r="AY922" s="28" t="n">
        <f aca="false">AX922*$M922</f>
        <v>0</v>
      </c>
      <c r="AZ922" s="30" t="n">
        <f aca="false">190*288*0.02+82*0.02</f>
        <v>1096.04</v>
      </c>
      <c r="BA922" s="11" t="n">
        <v>17536</v>
      </c>
      <c r="BB922" s="31" t="n">
        <f aca="false">SUM(Q922,S922,U922,W922,Y922,AA922,AC922,AE922,AG922,AI922,AK922,AM922,AO922,AQ922,AS922,AU922,AW922,AY922)</f>
        <v>17536</v>
      </c>
      <c r="BC922" s="28" t="n">
        <f aca="false">BA922-BB922</f>
        <v>0</v>
      </c>
      <c r="BD922" s="32" t="n">
        <f aca="false">SUM(P922,R922,T922,V922,X922,Z922,AB922,AD922,AF922,AH922,AJ922,AL922,AN922,AP922,AR922,AT922,AV922,AX922)</f>
        <v>1095.98</v>
      </c>
      <c r="BE922" s="33" t="n">
        <f aca="false">AZ922-BD922</f>
        <v>0.0600000000001728</v>
      </c>
      <c r="BF922" s="34" t="n">
        <f aca="false">BD922*M922</f>
        <v>17535.68</v>
      </c>
      <c r="BG922" s="35" t="n">
        <f aca="false">BA922-BF922</f>
        <v>0.319999999999709</v>
      </c>
      <c r="BH922" s="19" t="str">
        <f aca="false">IF(BG922=0,"",IF(BG922&lt;&gt;BA922,"erreur de calcul",IF(BD922&lt;&gt;0,"pas de prix",IF(M922&lt;&gt; 0,"pas de quantité","pas de prix, ni de quantité"))))</f>
        <v>erreur de calcul</v>
      </c>
      <c r="BI922" s="19"/>
    </row>
    <row r="923" customFormat="false" ht="15" hidden="false" customHeight="false" outlineLevel="0" collapsed="false">
      <c r="A923" s="0" t="n">
        <v>11</v>
      </c>
      <c r="B923" s="8" t="s">
        <v>24</v>
      </c>
      <c r="C923" s="9" t="s">
        <v>25</v>
      </c>
      <c r="D923" s="9" t="s">
        <v>26</v>
      </c>
      <c r="E923" s="10" t="n">
        <v>1789</v>
      </c>
      <c r="F923" s="9" t="s">
        <v>27</v>
      </c>
      <c r="G923" s="9" t="s">
        <v>27</v>
      </c>
      <c r="H923" s="11" t="n">
        <v>24</v>
      </c>
      <c r="I923" s="11" t="s">
        <v>300</v>
      </c>
      <c r="J923" s="14" t="n">
        <v>360</v>
      </c>
      <c r="K923" s="14"/>
      <c r="L923" s="16"/>
      <c r="M923" s="27" t="n">
        <f aca="false">J923+(K923/20)+(L923/240)</f>
        <v>360</v>
      </c>
      <c r="N923" s="17" t="s">
        <v>64</v>
      </c>
      <c r="O923" s="11"/>
      <c r="P923" s="28"/>
      <c r="Q923" s="28" t="n">
        <f aca="false">P923*$M923</f>
        <v>0</v>
      </c>
      <c r="R923" s="28"/>
      <c r="S923" s="28" t="n">
        <f aca="false">R923*$M923</f>
        <v>0</v>
      </c>
      <c r="T923" s="28"/>
      <c r="U923" s="28" t="n">
        <f aca="false">T923*$M923</f>
        <v>0</v>
      </c>
      <c r="V923" s="28"/>
      <c r="W923" s="28" t="n">
        <f aca="false">V923*$M923</f>
        <v>0</v>
      </c>
      <c r="X923" s="28"/>
      <c r="Y923" s="28" t="n">
        <f aca="false">X923*$M923</f>
        <v>0</v>
      </c>
      <c r="Z923" s="28"/>
      <c r="AA923" s="28" t="n">
        <f aca="false">Z923*$M923</f>
        <v>0</v>
      </c>
      <c r="AB923" s="28"/>
      <c r="AC923" s="28" t="n">
        <f aca="false">AB923*$M923</f>
        <v>0</v>
      </c>
      <c r="AD923" s="28"/>
      <c r="AE923" s="28" t="n">
        <f aca="false">AD923*$M923</f>
        <v>0</v>
      </c>
      <c r="AF923" s="28"/>
      <c r="AG923" s="28" t="n">
        <f aca="false">AF923*$M923</f>
        <v>0</v>
      </c>
      <c r="AH923" s="28" t="n">
        <f aca="false">371073/100</f>
        <v>3710.73</v>
      </c>
      <c r="AI923" s="28" t="n">
        <v>1335863</v>
      </c>
      <c r="AJ923" s="28"/>
      <c r="AK923" s="28" t="n">
        <f aca="false">AJ923*$M923</f>
        <v>0</v>
      </c>
      <c r="AL923" s="28"/>
      <c r="AM923" s="28" t="n">
        <f aca="false">AL923*$M923</f>
        <v>0</v>
      </c>
      <c r="AN923" s="28"/>
      <c r="AO923" s="28" t="n">
        <f aca="false">AN923*$M923</f>
        <v>0</v>
      </c>
      <c r="AP923" s="28"/>
      <c r="AQ923" s="28" t="n">
        <f aca="false">AP923*$M923</f>
        <v>0</v>
      </c>
      <c r="AR923" s="28"/>
      <c r="AS923" s="28" t="n">
        <f aca="false">AR923*$M923</f>
        <v>0</v>
      </c>
      <c r="AT923" s="28"/>
      <c r="AU923" s="28" t="n">
        <f aca="false">AT923*$M923</f>
        <v>0</v>
      </c>
      <c r="AV923" s="28"/>
      <c r="AW923" s="28" t="n">
        <f aca="false">AV923*$M923</f>
        <v>0</v>
      </c>
      <c r="AX923" s="28"/>
      <c r="AY923" s="28" t="n">
        <f aca="false">AX923*$M923</f>
        <v>0</v>
      </c>
      <c r="AZ923" s="30" t="n">
        <f aca="false">371073/100</f>
        <v>3710.73</v>
      </c>
      <c r="BA923" s="11" t="n">
        <v>1335863</v>
      </c>
      <c r="BB923" s="31" t="n">
        <f aca="false">SUM(Q923,S923,U923,W923,Y923,AA923,AC923,AE923,AG923,AI923,AK923,AM923,AO923,AQ923,AS923,AU923,AW923,AY923)</f>
        <v>1335863</v>
      </c>
      <c r="BC923" s="28" t="n">
        <f aca="false">BA923-BB923</f>
        <v>0</v>
      </c>
      <c r="BD923" s="32" t="n">
        <f aca="false">SUM(P923,R923,T923,V923,X923,Z923,AB923,AD923,AF923,AH923,AJ923,AL923,AN923,AP923,AR923,AT923,AV923,AX923)</f>
        <v>3710.73</v>
      </c>
      <c r="BE923" s="33" t="n">
        <f aca="false">AZ923-BD923</f>
        <v>0</v>
      </c>
      <c r="BF923" s="34" t="n">
        <f aca="false">BD923*M923</f>
        <v>1335862.8</v>
      </c>
      <c r="BG923" s="35" t="n">
        <f aca="false">BA923-BF923</f>
        <v>0.199999999953434</v>
      </c>
      <c r="BH923" s="19" t="str">
        <f aca="false">IF(BG923=0,"",IF(BG923&lt;&gt;BA923,"erreur de calcul",IF(BD923&lt;&gt;0,"pas de prix",IF(M923&lt;&gt; 0,"pas de quantité","pas de prix, ni de quantité"))))</f>
        <v>erreur de calcul</v>
      </c>
      <c r="BI923" s="19"/>
    </row>
    <row r="924" customFormat="false" ht="15" hidden="false" customHeight="false" outlineLevel="0" collapsed="false">
      <c r="A924" s="0" t="n">
        <v>12</v>
      </c>
      <c r="B924" s="8" t="s">
        <v>24</v>
      </c>
      <c r="C924" s="9" t="s">
        <v>25</v>
      </c>
      <c r="D924" s="9" t="s">
        <v>26</v>
      </c>
      <c r="E924" s="10" t="n">
        <v>1789</v>
      </c>
      <c r="F924" s="9" t="s">
        <v>27</v>
      </c>
      <c r="G924" s="9" t="s">
        <v>27</v>
      </c>
      <c r="H924" s="11" t="n">
        <v>24</v>
      </c>
      <c r="I924" s="11" t="s">
        <v>301</v>
      </c>
      <c r="J924" s="14" t="n">
        <v>3</v>
      </c>
      <c r="K924" s="14"/>
      <c r="L924" s="16"/>
      <c r="M924" s="27" t="n">
        <f aca="false">J924+(K924/20)+(L924/240)</f>
        <v>3</v>
      </c>
      <c r="N924" s="17" t="s">
        <v>66</v>
      </c>
      <c r="O924" s="11"/>
      <c r="P924" s="28"/>
      <c r="Q924" s="28" t="n">
        <f aca="false">P924*$M924</f>
        <v>0</v>
      </c>
      <c r="R924" s="28"/>
      <c r="S924" s="28" t="n">
        <f aca="false">R924*$M924</f>
        <v>0</v>
      </c>
      <c r="T924" s="28"/>
      <c r="U924" s="28" t="n">
        <f aca="false">T924*$M924</f>
        <v>0</v>
      </c>
      <c r="V924" s="28"/>
      <c r="W924" s="28" t="n">
        <f aca="false">V924*$M924</f>
        <v>0</v>
      </c>
      <c r="X924" s="28"/>
      <c r="Y924" s="28" t="n">
        <f aca="false">X924*$M924</f>
        <v>0</v>
      </c>
      <c r="Z924" s="28"/>
      <c r="AA924" s="28" t="n">
        <f aca="false">Z924*$M924</f>
        <v>0</v>
      </c>
      <c r="AB924" s="28"/>
      <c r="AC924" s="28" t="n">
        <f aca="false">AB924*$M924</f>
        <v>0</v>
      </c>
      <c r="AD924" s="28"/>
      <c r="AE924" s="28" t="n">
        <f aca="false">AD924*$M924</f>
        <v>0</v>
      </c>
      <c r="AF924" s="28"/>
      <c r="AG924" s="28" t="n">
        <f aca="false">AF924*$M924</f>
        <v>0</v>
      </c>
      <c r="AH924" s="28" t="n">
        <v>19281</v>
      </c>
      <c r="AI924" s="28" t="n">
        <v>57843</v>
      </c>
      <c r="AJ924" s="28"/>
      <c r="AK924" s="28" t="n">
        <f aca="false">AJ924*$M924</f>
        <v>0</v>
      </c>
      <c r="AL924" s="28"/>
      <c r="AM924" s="28" t="n">
        <f aca="false">AL924*$M924</f>
        <v>0</v>
      </c>
      <c r="AN924" s="28"/>
      <c r="AO924" s="28" t="n">
        <f aca="false">AN924*$M924</f>
        <v>0</v>
      </c>
      <c r="AP924" s="28"/>
      <c r="AQ924" s="28" t="n">
        <f aca="false">AP924*$M924</f>
        <v>0</v>
      </c>
      <c r="AR924" s="28"/>
      <c r="AS924" s="28" t="n">
        <f aca="false">AR924*$M924</f>
        <v>0</v>
      </c>
      <c r="AT924" s="28"/>
      <c r="AU924" s="28" t="n">
        <f aca="false">AT924*$M924</f>
        <v>0</v>
      </c>
      <c r="AV924" s="28"/>
      <c r="AW924" s="28" t="n">
        <f aca="false">AV924*$M924</f>
        <v>0</v>
      </c>
      <c r="AX924" s="28"/>
      <c r="AY924" s="28" t="n">
        <f aca="false">AX924*$M924</f>
        <v>0</v>
      </c>
      <c r="AZ924" s="30" t="n">
        <v>19281</v>
      </c>
      <c r="BA924" s="11" t="n">
        <v>57843</v>
      </c>
      <c r="BB924" s="31" t="n">
        <f aca="false">SUM(Q924,S924,U924,W924,Y924,AA924,AC924,AE924,AG924,AI924,AK924,AM924,AO924,AQ924,AS924,AU924,AW924,AY924)</f>
        <v>57843</v>
      </c>
      <c r="BC924" s="28" t="n">
        <f aca="false">BA924-BB924</f>
        <v>0</v>
      </c>
      <c r="BD924" s="32" t="n">
        <f aca="false">SUM(P924,R924,T924,V924,X924,Z924,AB924,AD924,AF924,AH924,AJ924,AL924,AN924,AP924,AR924,AT924,AV924,AX924)</f>
        <v>19281</v>
      </c>
      <c r="BE924" s="33" t="n">
        <f aca="false">AZ924-BD924</f>
        <v>0</v>
      </c>
      <c r="BF924" s="34" t="n">
        <f aca="false">BD924*M924</f>
        <v>57843</v>
      </c>
      <c r="BG924" s="35" t="n">
        <f aca="false">BA924-BF924</f>
        <v>0</v>
      </c>
      <c r="BH924" s="19" t="str">
        <f aca="false">IF(BG924=0,"",IF(BG924&lt;&gt;BA924,"erreur de calcul",IF(BD924&lt;&gt;0,"pas de prix",IF(M924&lt;&gt; 0,"pas de quantité","pas de prix, ni de quantité"))))</f>
        <v/>
      </c>
      <c r="BI924" s="19"/>
    </row>
    <row r="925" customFormat="false" ht="15" hidden="false" customHeight="false" outlineLevel="0" collapsed="false">
      <c r="A925" s="0" t="n">
        <v>13</v>
      </c>
      <c r="B925" s="8" t="s">
        <v>24</v>
      </c>
      <c r="C925" s="9" t="s">
        <v>25</v>
      </c>
      <c r="D925" s="9" t="s">
        <v>26</v>
      </c>
      <c r="E925" s="10" t="n">
        <v>1789</v>
      </c>
      <c r="F925" s="9" t="s">
        <v>27</v>
      </c>
      <c r="G925" s="9" t="s">
        <v>27</v>
      </c>
      <c r="H925" s="11" t="n">
        <v>24</v>
      </c>
      <c r="I925" s="11" t="s">
        <v>302</v>
      </c>
      <c r="J925" s="14" t="n">
        <v>112</v>
      </c>
      <c r="K925" s="14"/>
      <c r="L925" s="16"/>
      <c r="M925" s="27" t="n">
        <f aca="false">J925+(K925/20)+(L925/240)</f>
        <v>112</v>
      </c>
      <c r="N925" s="17" t="s">
        <v>64</v>
      </c>
      <c r="O925" s="11"/>
      <c r="P925" s="28" t="n">
        <f aca="false">99503/100</f>
        <v>995.03</v>
      </c>
      <c r="Q925" s="28" t="n">
        <v>111443</v>
      </c>
      <c r="R925" s="28"/>
      <c r="S925" s="28" t="n">
        <f aca="false">R925*$M925</f>
        <v>0</v>
      </c>
      <c r="T925" s="28" t="n">
        <f aca="false">8445/100</f>
        <v>84.45</v>
      </c>
      <c r="U925" s="28" t="n">
        <v>9458</v>
      </c>
      <c r="V925" s="28" t="n">
        <f aca="false">2517/100</f>
        <v>25.17</v>
      </c>
      <c r="W925" s="28" t="n">
        <v>2819</v>
      </c>
      <c r="X925" s="28" t="n">
        <f aca="false">4729/100</f>
        <v>47.29</v>
      </c>
      <c r="Y925" s="28" t="n">
        <v>5296</v>
      </c>
      <c r="Z925" s="28" t="n">
        <f aca="false">198115/100</f>
        <v>1981.15</v>
      </c>
      <c r="AA925" s="28" t="n">
        <v>221889</v>
      </c>
      <c r="AB925" s="28"/>
      <c r="AC925" s="28" t="n">
        <f aca="false">AB925*$M925</f>
        <v>0</v>
      </c>
      <c r="AD925" s="28"/>
      <c r="AE925" s="28" t="n">
        <f aca="false">AD925*$M925</f>
        <v>0</v>
      </c>
      <c r="AF925" s="28" t="n">
        <f aca="false">67420/100</f>
        <v>674.2</v>
      </c>
      <c r="AG925" s="28" t="n">
        <v>75510</v>
      </c>
      <c r="AH925" s="28" t="n">
        <f aca="false">415806/100</f>
        <v>4158.06</v>
      </c>
      <c r="AI925" s="28" t="n">
        <v>465703</v>
      </c>
      <c r="AJ925" s="28"/>
      <c r="AK925" s="28" t="n">
        <f aca="false">AJ925*$M925</f>
        <v>0</v>
      </c>
      <c r="AL925" s="28" t="n">
        <f aca="false">324/100</f>
        <v>3.24</v>
      </c>
      <c r="AM925" s="28" t="n">
        <v>363</v>
      </c>
      <c r="AN925" s="28"/>
      <c r="AO925" s="28" t="n">
        <f aca="false">AN925*$M925</f>
        <v>0</v>
      </c>
      <c r="AP925" s="28"/>
      <c r="AQ925" s="28" t="n">
        <f aca="false">AP925*$M925</f>
        <v>0</v>
      </c>
      <c r="AR925" s="28"/>
      <c r="AS925" s="28" t="n">
        <f aca="false">AR925*$M925</f>
        <v>0</v>
      </c>
      <c r="AT925" s="28"/>
      <c r="AU925" s="28" t="n">
        <f aca="false">AT925*$M925</f>
        <v>0</v>
      </c>
      <c r="AV925" s="28"/>
      <c r="AW925" s="28" t="n">
        <f aca="false">AV925*$M925</f>
        <v>0</v>
      </c>
      <c r="AX925" s="28"/>
      <c r="AY925" s="28" t="n">
        <f aca="false">AX925*$M925</f>
        <v>0</v>
      </c>
      <c r="AZ925" s="30" t="n">
        <f aca="false">796859/100</f>
        <v>7968.59</v>
      </c>
      <c r="BA925" s="11" t="n">
        <v>892481</v>
      </c>
      <c r="BB925" s="31" t="n">
        <f aca="false">SUM(Q925,S925,U925,W925,Y925,AA925,AC925,AE925,AG925,AI925,AK925,AM925,AO925,AQ925,AS925,AU925,AW925,AY925)</f>
        <v>892481</v>
      </c>
      <c r="BC925" s="28" t="n">
        <f aca="false">BA925-BB925</f>
        <v>0</v>
      </c>
      <c r="BD925" s="32" t="n">
        <f aca="false">SUM(P925,R925,T925,V925,X925,Z925,AB925,AD925,AF925,AH925,AJ925,AL925,AN925,AP925,AR925,AT925,AV925,AX925)</f>
        <v>7968.59</v>
      </c>
      <c r="BE925" s="33" t="n">
        <f aca="false">AZ925-BD925</f>
        <v>0</v>
      </c>
      <c r="BF925" s="34" t="n">
        <f aca="false">BD925*M925</f>
        <v>892482.08</v>
      </c>
      <c r="BG925" s="35" t="n">
        <f aca="false">BA925-BF925</f>
        <v>-1.07999999995809</v>
      </c>
      <c r="BH925" s="19" t="str">
        <f aca="false">IF(BG925=0,"",IF(BG925&lt;&gt;BA925,"erreur de calcul",IF(BD925&lt;&gt;0,"pas de prix",IF(M925&lt;&gt; 0,"pas de quantité","pas de prix, ni de quantité"))))</f>
        <v>erreur de calcul</v>
      </c>
      <c r="BI925" s="19"/>
    </row>
    <row r="926" customFormat="false" ht="15" hidden="false" customHeight="false" outlineLevel="0" collapsed="false">
      <c r="A926" s="0" t="n">
        <v>14</v>
      </c>
      <c r="B926" s="8" t="s">
        <v>24</v>
      </c>
      <c r="C926" s="9" t="s">
        <v>25</v>
      </c>
      <c r="D926" s="9" t="s">
        <v>26</v>
      </c>
      <c r="E926" s="10" t="n">
        <v>1789</v>
      </c>
      <c r="F926" s="9" t="s">
        <v>27</v>
      </c>
      <c r="G926" s="9" t="s">
        <v>27</v>
      </c>
      <c r="H926" s="11" t="n">
        <v>24</v>
      </c>
      <c r="I926" s="11" t="s">
        <v>303</v>
      </c>
      <c r="J926" s="14" t="n">
        <v>50</v>
      </c>
      <c r="K926" s="14"/>
      <c r="L926" s="16"/>
      <c r="M926" s="27" t="n">
        <f aca="false">J926+(K926/20)+(L926/240)</f>
        <v>50</v>
      </c>
      <c r="N926" s="17" t="s">
        <v>64</v>
      </c>
      <c r="O926" s="11"/>
      <c r="P926" s="28"/>
      <c r="Q926" s="28" t="n">
        <f aca="false">P926*$M926</f>
        <v>0</v>
      </c>
      <c r="R926" s="28"/>
      <c r="S926" s="28" t="n">
        <f aca="false">R926*$M926</f>
        <v>0</v>
      </c>
      <c r="T926" s="28"/>
      <c r="U926" s="28" t="n">
        <f aca="false">T926*$M926</f>
        <v>0</v>
      </c>
      <c r="V926" s="28"/>
      <c r="W926" s="28" t="n">
        <f aca="false">V926*$M926</f>
        <v>0</v>
      </c>
      <c r="X926" s="28"/>
      <c r="Y926" s="28" t="n">
        <f aca="false">X926*$M926</f>
        <v>0</v>
      </c>
      <c r="Z926" s="28"/>
      <c r="AA926" s="28" t="n">
        <f aca="false">Z926*$M926</f>
        <v>0</v>
      </c>
      <c r="AB926" s="28"/>
      <c r="AC926" s="28" t="n">
        <f aca="false">AB926*$M926</f>
        <v>0</v>
      </c>
      <c r="AD926" s="28"/>
      <c r="AE926" s="28" t="n">
        <f aca="false">AD926*$M926</f>
        <v>0</v>
      </c>
      <c r="AF926" s="28" t="n">
        <f aca="false">208461/100</f>
        <v>2084.61</v>
      </c>
      <c r="AG926" s="28" t="n">
        <v>104230</v>
      </c>
      <c r="AH926" s="28" t="n">
        <f aca="false">757624/100</f>
        <v>7576.24</v>
      </c>
      <c r="AI926" s="28" t="n">
        <v>378812</v>
      </c>
      <c r="AJ926" s="28"/>
      <c r="AK926" s="28" t="n">
        <f aca="false">AJ926*$M926</f>
        <v>0</v>
      </c>
      <c r="AL926" s="28"/>
      <c r="AM926" s="28" t="n">
        <f aca="false">AL926*$M926</f>
        <v>0</v>
      </c>
      <c r="AN926" s="28"/>
      <c r="AO926" s="28" t="n">
        <f aca="false">AN926*$M926</f>
        <v>0</v>
      </c>
      <c r="AP926" s="28"/>
      <c r="AQ926" s="28" t="n">
        <f aca="false">AP926*$M926</f>
        <v>0</v>
      </c>
      <c r="AR926" s="28"/>
      <c r="AS926" s="28" t="n">
        <f aca="false">AR926*$M926</f>
        <v>0</v>
      </c>
      <c r="AT926" s="28"/>
      <c r="AU926" s="28" t="n">
        <f aca="false">AT926*$M926</f>
        <v>0</v>
      </c>
      <c r="AV926" s="28"/>
      <c r="AW926" s="28" t="n">
        <f aca="false">AV926*$M926</f>
        <v>0</v>
      </c>
      <c r="AX926" s="28"/>
      <c r="AY926" s="28" t="n">
        <f aca="false">AX926*$M926</f>
        <v>0</v>
      </c>
      <c r="AZ926" s="30" t="n">
        <f aca="false">966085/100</f>
        <v>9660.85</v>
      </c>
      <c r="BA926" s="11" t="n">
        <v>483042</v>
      </c>
      <c r="BB926" s="31" t="n">
        <f aca="false">SUM(Q926,S926,U926,W926,Y926,AA926,AC926,AE926,AG926,AI926,AK926,AM926,AO926,AQ926,AS926,AU926,AW926,AY926)</f>
        <v>483042</v>
      </c>
      <c r="BC926" s="28" t="n">
        <f aca="false">BA926-BB926</f>
        <v>0</v>
      </c>
      <c r="BD926" s="32" t="n">
        <f aca="false">SUM(P926,R926,T926,V926,X926,Z926,AB926,AD926,AF926,AH926,AJ926,AL926,AN926,AP926,AR926,AT926,AV926,AX926)</f>
        <v>9660.85</v>
      </c>
      <c r="BE926" s="33" t="n">
        <f aca="false">AZ926-BD926</f>
        <v>0</v>
      </c>
      <c r="BF926" s="34" t="n">
        <f aca="false">BD926*M926</f>
        <v>483042.5</v>
      </c>
      <c r="BG926" s="35" t="n">
        <f aca="false">BA926-BF926</f>
        <v>-0.5</v>
      </c>
      <c r="BH926" s="19" t="str">
        <f aca="false">IF(BG926=0,"",IF(BG926&lt;&gt;BA926,"erreur de calcul",IF(BD926&lt;&gt;0,"pas de prix",IF(M926&lt;&gt; 0,"pas de quantité","pas de prix, ni de quantité"))))</f>
        <v>erreur de calcul</v>
      </c>
      <c r="BI926" s="19"/>
    </row>
    <row r="927" customFormat="false" ht="15" hidden="false" customHeight="false" outlineLevel="0" collapsed="false">
      <c r="A927" s="0" t="n">
        <v>15</v>
      </c>
      <c r="B927" s="8" t="s">
        <v>24</v>
      </c>
      <c r="C927" s="9" t="s">
        <v>25</v>
      </c>
      <c r="D927" s="9" t="s">
        <v>26</v>
      </c>
      <c r="E927" s="10" t="n">
        <v>1789</v>
      </c>
      <c r="F927" s="9" t="s">
        <v>27</v>
      </c>
      <c r="G927" s="9" t="s">
        <v>27</v>
      </c>
      <c r="H927" s="11" t="n">
        <v>24</v>
      </c>
      <c r="I927" s="11" t="s">
        <v>304</v>
      </c>
      <c r="J927" s="14" t="n">
        <v>340</v>
      </c>
      <c r="K927" s="14"/>
      <c r="L927" s="16"/>
      <c r="M927" s="27" t="n">
        <f aca="false">J927+(K927/20)+(L927/240)</f>
        <v>340</v>
      </c>
      <c r="N927" s="17" t="s">
        <v>64</v>
      </c>
      <c r="O927" s="11"/>
      <c r="P927" s="28"/>
      <c r="Q927" s="28" t="n">
        <f aca="false">P927*$M927</f>
        <v>0</v>
      </c>
      <c r="R927" s="28"/>
      <c r="S927" s="28" t="n">
        <f aca="false">R927*$M927</f>
        <v>0</v>
      </c>
      <c r="T927" s="28"/>
      <c r="U927" s="28" t="n">
        <f aca="false">T927*$M927</f>
        <v>0</v>
      </c>
      <c r="V927" s="28"/>
      <c r="W927" s="28" t="n">
        <f aca="false">V927*$M927</f>
        <v>0</v>
      </c>
      <c r="X927" s="28"/>
      <c r="Y927" s="28" t="n">
        <f aca="false">X927*$M927</f>
        <v>0</v>
      </c>
      <c r="Z927" s="28"/>
      <c r="AA927" s="28" t="n">
        <f aca="false">Z927*$M927</f>
        <v>0</v>
      </c>
      <c r="AB927" s="28" t="n">
        <f aca="false">339883/100</f>
        <v>3398.83</v>
      </c>
      <c r="AC927" s="28" t="n">
        <v>1155602</v>
      </c>
      <c r="AD927" s="28"/>
      <c r="AE927" s="28" t="n">
        <f aca="false">AD927*$M927</f>
        <v>0</v>
      </c>
      <c r="AF927" s="28"/>
      <c r="AG927" s="28" t="n">
        <f aca="false">AF927*$M927</f>
        <v>0</v>
      </c>
      <c r="AH927" s="28"/>
      <c r="AI927" s="28" t="n">
        <f aca="false">AH927*$M927</f>
        <v>0</v>
      </c>
      <c r="AJ927" s="28"/>
      <c r="AK927" s="28" t="n">
        <f aca="false">AJ927*$M927</f>
        <v>0</v>
      </c>
      <c r="AL927" s="28"/>
      <c r="AM927" s="28" t="n">
        <f aca="false">AL927*$M927</f>
        <v>0</v>
      </c>
      <c r="AN927" s="28"/>
      <c r="AO927" s="28" t="n">
        <f aca="false">AN927*$M927</f>
        <v>0</v>
      </c>
      <c r="AP927" s="28"/>
      <c r="AQ927" s="28" t="n">
        <f aca="false">AP927*$M927</f>
        <v>0</v>
      </c>
      <c r="AR927" s="28"/>
      <c r="AS927" s="28" t="n">
        <f aca="false">AR927*$M927</f>
        <v>0</v>
      </c>
      <c r="AT927" s="28"/>
      <c r="AU927" s="28" t="n">
        <f aca="false">AT927*$M927</f>
        <v>0</v>
      </c>
      <c r="AV927" s="28"/>
      <c r="AW927" s="28" t="n">
        <f aca="false">AV927*$M927</f>
        <v>0</v>
      </c>
      <c r="AX927" s="28"/>
      <c r="AY927" s="28" t="n">
        <f aca="false">AX927*$M927</f>
        <v>0</v>
      </c>
      <c r="AZ927" s="30" t="n">
        <f aca="false">339883/100</f>
        <v>3398.83</v>
      </c>
      <c r="BA927" s="11" t="n">
        <v>1155602</v>
      </c>
      <c r="BB927" s="31" t="n">
        <f aca="false">SUM(Q927,S927,U927,W927,Y927,AA927,AC927,AE927,AG927,AI927,AK927,AM927,AO927,AQ927,AS927,AU927,AW927,AY927)</f>
        <v>1155602</v>
      </c>
      <c r="BC927" s="28" t="n">
        <f aca="false">BA927-BB927</f>
        <v>0</v>
      </c>
      <c r="BD927" s="32" t="n">
        <f aca="false">SUM(P927,R927,T927,V927,X927,Z927,AB927,AD927,AF927,AH927,AJ927,AL927,AN927,AP927,AR927,AT927,AV927,AX927)</f>
        <v>3398.83</v>
      </c>
      <c r="BE927" s="33" t="n">
        <f aca="false">AZ927-BD927</f>
        <v>0</v>
      </c>
      <c r="BF927" s="34" t="n">
        <f aca="false">BD927*M927</f>
        <v>1155602.2</v>
      </c>
      <c r="BG927" s="35" t="n">
        <f aca="false">BA927-BF927</f>
        <v>-0.199999999953434</v>
      </c>
      <c r="BH927" s="19" t="str">
        <f aca="false">IF(BG927=0,"",IF(BG927&lt;&gt;BA927,"erreur de calcul",IF(BD927&lt;&gt;0,"pas de prix",IF(M927&lt;&gt; 0,"pas de quantité","pas de prix, ni de quantité"))))</f>
        <v>erreur de calcul</v>
      </c>
      <c r="BI927" s="19"/>
    </row>
    <row r="928" customFormat="false" ht="15" hidden="false" customHeight="false" outlineLevel="0" collapsed="false">
      <c r="A928" s="0" t="n">
        <v>16</v>
      </c>
      <c r="B928" s="8" t="s">
        <v>24</v>
      </c>
      <c r="C928" s="9" t="s">
        <v>25</v>
      </c>
      <c r="D928" s="9" t="s">
        <v>26</v>
      </c>
      <c r="E928" s="10" t="n">
        <v>1789</v>
      </c>
      <c r="F928" s="9" t="s">
        <v>27</v>
      </c>
      <c r="G928" s="9" t="s">
        <v>27</v>
      </c>
      <c r="H928" s="11" t="n">
        <v>24</v>
      </c>
      <c r="I928" s="11" t="s">
        <v>305</v>
      </c>
      <c r="J928" s="14" t="n">
        <v>235</v>
      </c>
      <c r="K928" s="14"/>
      <c r="L928" s="16"/>
      <c r="M928" s="27" t="n">
        <f aca="false">J928+(K928/20)+(L928/240)</f>
        <v>235</v>
      </c>
      <c r="N928" s="17" t="s">
        <v>64</v>
      </c>
      <c r="O928" s="11"/>
      <c r="P928" s="28" t="n">
        <f aca="false">34642/100</f>
        <v>346.42</v>
      </c>
      <c r="Q928" s="28" t="n">
        <v>81409</v>
      </c>
      <c r="R928" s="28"/>
      <c r="S928" s="28" t="n">
        <f aca="false">R928*$M928</f>
        <v>0</v>
      </c>
      <c r="T928" s="28"/>
      <c r="U928" s="28" t="n">
        <f aca="false">T928*$M928</f>
        <v>0</v>
      </c>
      <c r="V928" s="28"/>
      <c r="W928" s="28" t="n">
        <f aca="false">V928*$M928</f>
        <v>0</v>
      </c>
      <c r="X928" s="28"/>
      <c r="Y928" s="28" t="n">
        <f aca="false">X928*$M928</f>
        <v>0</v>
      </c>
      <c r="Z928" s="28"/>
      <c r="AA928" s="28" t="n">
        <f aca="false">Z928*$M928</f>
        <v>0</v>
      </c>
      <c r="AB928" s="28"/>
      <c r="AC928" s="28" t="n">
        <f aca="false">AB928*$M928</f>
        <v>0</v>
      </c>
      <c r="AD928" s="28"/>
      <c r="AE928" s="28" t="n">
        <f aca="false">AD928*$M928</f>
        <v>0</v>
      </c>
      <c r="AF928" s="28"/>
      <c r="AG928" s="28" t="n">
        <f aca="false">AF928*$M928</f>
        <v>0</v>
      </c>
      <c r="AH928" s="28"/>
      <c r="AI928" s="28" t="n">
        <f aca="false">AH928*$M928</f>
        <v>0</v>
      </c>
      <c r="AJ928" s="28"/>
      <c r="AK928" s="28" t="n">
        <f aca="false">AJ928*$M928</f>
        <v>0</v>
      </c>
      <c r="AL928" s="28"/>
      <c r="AM928" s="28" t="n">
        <f aca="false">AL928*$M928</f>
        <v>0</v>
      </c>
      <c r="AN928" s="28"/>
      <c r="AO928" s="28" t="n">
        <f aca="false">AN928*$M928</f>
        <v>0</v>
      </c>
      <c r="AP928" s="28"/>
      <c r="AQ928" s="28" t="n">
        <f aca="false">AP928*$M928</f>
        <v>0</v>
      </c>
      <c r="AR928" s="28"/>
      <c r="AS928" s="28" t="n">
        <f aca="false">AR928*$M928</f>
        <v>0</v>
      </c>
      <c r="AT928" s="28"/>
      <c r="AU928" s="28" t="n">
        <f aca="false">AT928*$M928</f>
        <v>0</v>
      </c>
      <c r="AV928" s="28"/>
      <c r="AW928" s="28" t="n">
        <f aca="false">AV928*$M928</f>
        <v>0</v>
      </c>
      <c r="AX928" s="28"/>
      <c r="AY928" s="28" t="n">
        <f aca="false">AX928*$M928</f>
        <v>0</v>
      </c>
      <c r="AZ928" s="30" t="n">
        <f aca="false">34642/100</f>
        <v>346.42</v>
      </c>
      <c r="BA928" s="11" t="n">
        <v>81409</v>
      </c>
      <c r="BB928" s="31" t="n">
        <f aca="false">SUM(Q928,S928,U928,W928,Y928,AA928,AC928,AE928,AG928,AI928,AK928,AM928,AO928,AQ928,AS928,AU928,AW928,AY928)</f>
        <v>81409</v>
      </c>
      <c r="BC928" s="28" t="n">
        <f aca="false">BA928-BB928</f>
        <v>0</v>
      </c>
      <c r="BD928" s="32" t="n">
        <f aca="false">SUM(P928,R928,T928,V928,X928,Z928,AB928,AD928,AF928,AH928,AJ928,AL928,AN928,AP928,AR928,AT928,AV928,AX928)</f>
        <v>346.42</v>
      </c>
      <c r="BE928" s="33" t="n">
        <f aca="false">AZ928-BD928</f>
        <v>0</v>
      </c>
      <c r="BF928" s="34" t="n">
        <f aca="false">BD928*M928</f>
        <v>81408.7</v>
      </c>
      <c r="BG928" s="35" t="n">
        <f aca="false">BA928-BF928</f>
        <v>0.30000000000291</v>
      </c>
      <c r="BH928" s="19" t="str">
        <f aca="false">IF(BG928=0,"",IF(BG928&lt;&gt;BA928,"erreur de calcul",IF(BD928&lt;&gt;0,"pas de prix",IF(M928&lt;&gt; 0,"pas de quantité","pas de prix, ni de quantité"))))</f>
        <v>erreur de calcul</v>
      </c>
      <c r="BI928" s="19"/>
    </row>
    <row r="929" customFormat="false" ht="15" hidden="false" customHeight="false" outlineLevel="0" collapsed="false">
      <c r="A929" s="0" t="n">
        <v>17</v>
      </c>
      <c r="B929" s="8" t="s">
        <v>24</v>
      </c>
      <c r="C929" s="9" t="s">
        <v>25</v>
      </c>
      <c r="D929" s="9" t="s">
        <v>26</v>
      </c>
      <c r="E929" s="10" t="n">
        <v>1789</v>
      </c>
      <c r="F929" s="9" t="s">
        <v>27</v>
      </c>
      <c r="G929" s="9" t="s">
        <v>27</v>
      </c>
      <c r="H929" s="11" t="n">
        <v>24</v>
      </c>
      <c r="I929" s="11" t="s">
        <v>306</v>
      </c>
      <c r="J929" s="14" t="n">
        <v>71</v>
      </c>
      <c r="K929" s="14"/>
      <c r="L929" s="16"/>
      <c r="M929" s="27" t="n">
        <f aca="false">J929+(K929/20)+(L929/240)</f>
        <v>71</v>
      </c>
      <c r="N929" s="17" t="s">
        <v>64</v>
      </c>
      <c r="O929" s="11"/>
      <c r="P929" s="28"/>
      <c r="Q929" s="28" t="n">
        <f aca="false">P929*$M929</f>
        <v>0</v>
      </c>
      <c r="R929" s="28"/>
      <c r="S929" s="28" t="n">
        <f aca="false">R929*$M929</f>
        <v>0</v>
      </c>
      <c r="T929" s="28" t="n">
        <f aca="false">12674/100</f>
        <v>126.74</v>
      </c>
      <c r="U929" s="28" t="n">
        <v>8998</v>
      </c>
      <c r="V929" s="28"/>
      <c r="W929" s="28" t="n">
        <f aca="false">V929*$M929</f>
        <v>0</v>
      </c>
      <c r="X929" s="28"/>
      <c r="Y929" s="28" t="n">
        <f aca="false">X929*$M929</f>
        <v>0</v>
      </c>
      <c r="Z929" s="28"/>
      <c r="AA929" s="28" t="n">
        <f aca="false">Z929*$M929</f>
        <v>0</v>
      </c>
      <c r="AB929" s="28"/>
      <c r="AC929" s="28" t="n">
        <f aca="false">AB929*$M929</f>
        <v>0</v>
      </c>
      <c r="AD929" s="28" t="n">
        <f aca="false">4283/100</f>
        <v>42.83</v>
      </c>
      <c r="AE929" s="28" t="n">
        <v>3041</v>
      </c>
      <c r="AF929" s="28" t="n">
        <f aca="false">2978140/100</f>
        <v>29781.4</v>
      </c>
      <c r="AG929" s="28" t="n">
        <v>2114479</v>
      </c>
      <c r="AH929" s="28" t="n">
        <f aca="false">4119032/100</f>
        <v>41190.32</v>
      </c>
      <c r="AI929" s="28" t="n">
        <v>2924512</v>
      </c>
      <c r="AJ929" s="28"/>
      <c r="AK929" s="28" t="n">
        <f aca="false">AJ929*$M929</f>
        <v>0</v>
      </c>
      <c r="AL929" s="28"/>
      <c r="AM929" s="28" t="n">
        <f aca="false">AL929*$M929</f>
        <v>0</v>
      </c>
      <c r="AN929" s="28"/>
      <c r="AO929" s="28" t="n">
        <f aca="false">AN929*$M929</f>
        <v>0</v>
      </c>
      <c r="AP929" s="28"/>
      <c r="AQ929" s="28" t="n">
        <f aca="false">AP929*$M929</f>
        <v>0</v>
      </c>
      <c r="AR929" s="28"/>
      <c r="AS929" s="28" t="n">
        <f aca="false">AR929*$M929</f>
        <v>0</v>
      </c>
      <c r="AT929" s="28"/>
      <c r="AU929" s="28" t="n">
        <f aca="false">AT929*$M929</f>
        <v>0</v>
      </c>
      <c r="AV929" s="28"/>
      <c r="AW929" s="28" t="n">
        <f aca="false">AV929*$M929</f>
        <v>0</v>
      </c>
      <c r="AX929" s="28"/>
      <c r="AY929" s="28" t="n">
        <f aca="false">AX929*$M929</f>
        <v>0</v>
      </c>
      <c r="AZ929" s="30" t="n">
        <f aca="false">7114129/100</f>
        <v>71141.29</v>
      </c>
      <c r="BA929" s="11" t="n">
        <v>5051030</v>
      </c>
      <c r="BB929" s="31" t="n">
        <f aca="false">SUM(Q929,S929,U929,W929,Y929,AA929,AC929,AE929,AG929,AI929,AK929,AM929,AO929,AQ929,AS929,AU929,AW929,AY929)</f>
        <v>5051030</v>
      </c>
      <c r="BC929" s="28" t="n">
        <f aca="false">BA929-BB929</f>
        <v>0</v>
      </c>
      <c r="BD929" s="32" t="n">
        <f aca="false">SUM(P929,R929,T929,V929,X929,Z929,AB929,AD929,AF929,AH929,AJ929,AL929,AN929,AP929,AR929,AT929,AV929,AX929)</f>
        <v>71141.29</v>
      </c>
      <c r="BE929" s="33" t="n">
        <f aca="false">AZ929-BD929</f>
        <v>0</v>
      </c>
      <c r="BF929" s="34" t="n">
        <f aca="false">BD929*M929</f>
        <v>5051031.59</v>
      </c>
      <c r="BG929" s="35" t="n">
        <f aca="false">BA929-BF929</f>
        <v>-1.59000000078231</v>
      </c>
      <c r="BH929" s="19" t="str">
        <f aca="false">IF(BG929=0,"",IF(BG929&lt;&gt;BA929,"erreur de calcul",IF(BD929&lt;&gt;0,"pas de prix",IF(M929&lt;&gt; 0,"pas de quantité","pas de prix, ni de quantité"))))</f>
        <v>erreur de calcul</v>
      </c>
      <c r="BI929" s="19"/>
    </row>
    <row r="930" customFormat="false" ht="15" hidden="false" customHeight="false" outlineLevel="0" collapsed="false">
      <c r="A930" s="0" t="n">
        <v>18</v>
      </c>
      <c r="B930" s="8" t="s">
        <v>24</v>
      </c>
      <c r="C930" s="9" t="s">
        <v>25</v>
      </c>
      <c r="D930" s="9" t="s">
        <v>26</v>
      </c>
      <c r="E930" s="10" t="n">
        <v>1789</v>
      </c>
      <c r="F930" s="9" t="s">
        <v>27</v>
      </c>
      <c r="G930" s="9" t="s">
        <v>27</v>
      </c>
      <c r="H930" s="11" t="n">
        <v>24</v>
      </c>
      <c r="I930" s="11" t="s">
        <v>307</v>
      </c>
      <c r="J930" s="14" t="n">
        <v>45</v>
      </c>
      <c r="K930" s="14"/>
      <c r="L930" s="16"/>
      <c r="M930" s="27" t="n">
        <f aca="false">J930+(K930/20)+(L930/240)</f>
        <v>45</v>
      </c>
      <c r="N930" s="17" t="s">
        <v>64</v>
      </c>
      <c r="O930" s="11"/>
      <c r="P930" s="28"/>
      <c r="Q930" s="28" t="n">
        <f aca="false">P930*$M930</f>
        <v>0</v>
      </c>
      <c r="R930" s="28"/>
      <c r="S930" s="28" t="n">
        <f aca="false">R930*$M930</f>
        <v>0</v>
      </c>
      <c r="T930" s="28"/>
      <c r="U930" s="28" t="n">
        <f aca="false">T930*$M930</f>
        <v>0</v>
      </c>
      <c r="V930" s="28"/>
      <c r="W930" s="28" t="n">
        <f aca="false">V930*$M930</f>
        <v>0</v>
      </c>
      <c r="X930" s="28"/>
      <c r="Y930" s="28" t="n">
        <f aca="false">X930*$M930</f>
        <v>0</v>
      </c>
      <c r="Z930" s="28"/>
      <c r="AA930" s="28" t="n">
        <f aca="false">Z930*$M930</f>
        <v>0</v>
      </c>
      <c r="AB930" s="28"/>
      <c r="AC930" s="28" t="n">
        <f aca="false">AB930*$M930</f>
        <v>0</v>
      </c>
      <c r="AD930" s="28"/>
      <c r="AE930" s="28" t="n">
        <f aca="false">AD930*$M930</f>
        <v>0</v>
      </c>
      <c r="AF930" s="28"/>
      <c r="AG930" s="28" t="n">
        <f aca="false">AF930*$M930</f>
        <v>0</v>
      </c>
      <c r="AH930" s="28"/>
      <c r="AI930" s="28" t="n">
        <f aca="false">AH930*$M930</f>
        <v>0</v>
      </c>
      <c r="AJ930" s="28"/>
      <c r="AK930" s="28" t="n">
        <f aca="false">AJ930*$M930</f>
        <v>0</v>
      </c>
      <c r="AL930" s="28" t="n">
        <f aca="false">971/100</f>
        <v>9.71</v>
      </c>
      <c r="AM930" s="28" t="n">
        <v>437</v>
      </c>
      <c r="AN930" s="28"/>
      <c r="AO930" s="28" t="n">
        <f aca="false">AN930*$M930</f>
        <v>0</v>
      </c>
      <c r="AP930" s="28"/>
      <c r="AQ930" s="28" t="n">
        <f aca="false">AP930*$M930</f>
        <v>0</v>
      </c>
      <c r="AR930" s="28"/>
      <c r="AS930" s="28" t="n">
        <f aca="false">AR930*$M930</f>
        <v>0</v>
      </c>
      <c r="AT930" s="28"/>
      <c r="AU930" s="28" t="n">
        <f aca="false">AT930*$M930</f>
        <v>0</v>
      </c>
      <c r="AV930" s="28"/>
      <c r="AW930" s="28" t="n">
        <f aca="false">AV930*$M930</f>
        <v>0</v>
      </c>
      <c r="AX930" s="28"/>
      <c r="AY930" s="28" t="n">
        <f aca="false">AX930*$M930</f>
        <v>0</v>
      </c>
      <c r="AZ930" s="30" t="n">
        <f aca="false">971/100</f>
        <v>9.71</v>
      </c>
      <c r="BA930" s="11" t="n">
        <v>437</v>
      </c>
      <c r="BB930" s="31" t="n">
        <f aca="false">SUM(Q930,S930,U930,W930,Y930,AA930,AC930,AE930,AG930,AI930,AK930,AM930,AO930,AQ930,AS930,AU930,AW930,AY930)</f>
        <v>437</v>
      </c>
      <c r="BC930" s="28" t="n">
        <f aca="false">BA930-BB930</f>
        <v>0</v>
      </c>
      <c r="BD930" s="32" t="n">
        <f aca="false">SUM(P930,R930,T930,V930,X930,Z930,AB930,AD930,AF930,AH930,AJ930,AL930,AN930,AP930,AR930,AT930,AV930,AX930)</f>
        <v>9.71</v>
      </c>
      <c r="BE930" s="33" t="n">
        <f aca="false">AZ930-BD930</f>
        <v>0</v>
      </c>
      <c r="BF930" s="34" t="n">
        <f aca="false">BD930*M930</f>
        <v>436.95</v>
      </c>
      <c r="BG930" s="35" t="n">
        <f aca="false">BA930-BF930</f>
        <v>0.0499999999999545</v>
      </c>
      <c r="BH930" s="19" t="str">
        <f aca="false">IF(BG930=0,"",IF(BG930&lt;&gt;BA930,"erreur de calcul",IF(BD930&lt;&gt;0,"pas de prix",IF(M930&lt;&gt; 0,"pas de quantité","pas de prix, ni de quantité"))))</f>
        <v>erreur de calcul</v>
      </c>
      <c r="BI930" s="19"/>
    </row>
    <row r="931" customFormat="false" ht="15" hidden="false" customHeight="false" outlineLevel="0" collapsed="false">
      <c r="A931" s="0" t="n">
        <v>19</v>
      </c>
      <c r="B931" s="8" t="s">
        <v>24</v>
      </c>
      <c r="C931" s="9" t="s">
        <v>25</v>
      </c>
      <c r="D931" s="9" t="s">
        <v>26</v>
      </c>
      <c r="E931" s="10" t="n">
        <v>1789</v>
      </c>
      <c r="F931" s="9" t="s">
        <v>27</v>
      </c>
      <c r="G931" s="9" t="s">
        <v>27</v>
      </c>
      <c r="H931" s="11" t="n">
        <v>24</v>
      </c>
      <c r="I931" s="11" t="s">
        <v>308</v>
      </c>
      <c r="J931" s="14" t="n">
        <v>240</v>
      </c>
      <c r="K931" s="14"/>
      <c r="L931" s="16"/>
      <c r="M931" s="27" t="n">
        <f aca="false">J931+(K931/20)+(L931/240)</f>
        <v>240</v>
      </c>
      <c r="N931" s="17" t="s">
        <v>64</v>
      </c>
      <c r="O931" s="11"/>
      <c r="P931" s="28"/>
      <c r="Q931" s="28" t="n">
        <f aca="false">P931*$M931</f>
        <v>0</v>
      </c>
      <c r="R931" s="28"/>
      <c r="S931" s="28" t="n">
        <f aca="false">R931*$M931</f>
        <v>0</v>
      </c>
      <c r="T931" s="28"/>
      <c r="U931" s="28" t="n">
        <f aca="false">T931*$M931</f>
        <v>0</v>
      </c>
      <c r="V931" s="28"/>
      <c r="W931" s="28" t="n">
        <f aca="false">V931*$M931</f>
        <v>0</v>
      </c>
      <c r="X931" s="28"/>
      <c r="Y931" s="28" t="n">
        <f aca="false">X931*$M931</f>
        <v>0</v>
      </c>
      <c r="Z931" s="28"/>
      <c r="AA931" s="28" t="n">
        <f aca="false">Z931*$M931</f>
        <v>0</v>
      </c>
      <c r="AB931" s="28"/>
      <c r="AC931" s="28" t="n">
        <f aca="false">AB931*$M931</f>
        <v>0</v>
      </c>
      <c r="AD931" s="28"/>
      <c r="AE931" s="28" t="n">
        <f aca="false">AD931*$M931</f>
        <v>0</v>
      </c>
      <c r="AF931" s="28"/>
      <c r="AG931" s="28" t="n">
        <f aca="false">AF931*$M931</f>
        <v>0</v>
      </c>
      <c r="AH931" s="28"/>
      <c r="AI931" s="28" t="n">
        <f aca="false">AH931*$M931</f>
        <v>0</v>
      </c>
      <c r="AJ931" s="28" t="n">
        <f aca="false">2173/100</f>
        <v>21.73</v>
      </c>
      <c r="AK931" s="28" t="n">
        <v>5215</v>
      </c>
      <c r="AL931" s="28"/>
      <c r="AM931" s="28" t="n">
        <f aca="false">AL931*$M931</f>
        <v>0</v>
      </c>
      <c r="AN931" s="28"/>
      <c r="AO931" s="28" t="n">
        <f aca="false">AN931*$M931</f>
        <v>0</v>
      </c>
      <c r="AP931" s="28"/>
      <c r="AQ931" s="28" t="n">
        <f aca="false">AP931*$M931</f>
        <v>0</v>
      </c>
      <c r="AR931" s="28"/>
      <c r="AS931" s="28" t="n">
        <f aca="false">AR931*$M931</f>
        <v>0</v>
      </c>
      <c r="AT931" s="28"/>
      <c r="AU931" s="28" t="n">
        <f aca="false">AT931*$M931</f>
        <v>0</v>
      </c>
      <c r="AV931" s="28"/>
      <c r="AW931" s="28" t="n">
        <f aca="false">AV931*$M931</f>
        <v>0</v>
      </c>
      <c r="AX931" s="28"/>
      <c r="AY931" s="28" t="n">
        <f aca="false">AX931*$M931</f>
        <v>0</v>
      </c>
      <c r="AZ931" s="30" t="n">
        <f aca="false">2173/100</f>
        <v>21.73</v>
      </c>
      <c r="BA931" s="11" t="n">
        <v>5215</v>
      </c>
      <c r="BB931" s="31" t="n">
        <f aca="false">SUM(Q931,S931,U931,W931,Y931,AA931,AC931,AE931,AG931,AI931,AK931,AM931,AO931,AQ931,AS931,AU931,AW931,AY931)</f>
        <v>5215</v>
      </c>
      <c r="BC931" s="28" t="n">
        <f aca="false">BA931-BB931</f>
        <v>0</v>
      </c>
      <c r="BD931" s="32" t="n">
        <f aca="false">SUM(P931,R931,T931,V931,X931,Z931,AB931,AD931,AF931,AH931,AJ931,AL931,AN931,AP931,AR931,AT931,AV931,AX931)</f>
        <v>21.73</v>
      </c>
      <c r="BE931" s="33" t="n">
        <f aca="false">AZ931-BD931</f>
        <v>0</v>
      </c>
      <c r="BF931" s="34" t="n">
        <f aca="false">BD931*M931</f>
        <v>5215.2</v>
      </c>
      <c r="BG931" s="35" t="n">
        <f aca="false">BA931-BF931</f>
        <v>-0.199999999999818</v>
      </c>
      <c r="BH931" s="19" t="str">
        <f aca="false">IF(BG931=0,"",IF(BG931&lt;&gt;BA931,"erreur de calcul",IF(BD931&lt;&gt;0,"pas de prix",IF(M931&lt;&gt; 0,"pas de quantité","pas de prix, ni de quantité"))))</f>
        <v>erreur de calcul</v>
      </c>
      <c r="BI931" s="19"/>
    </row>
    <row r="932" customFormat="false" ht="15" hidden="false" customHeight="false" outlineLevel="0" collapsed="false">
      <c r="A932" s="0" t="n">
        <v>20</v>
      </c>
      <c r="B932" s="8" t="s">
        <v>24</v>
      </c>
      <c r="C932" s="9" t="s">
        <v>25</v>
      </c>
      <c r="D932" s="9" t="s">
        <v>26</v>
      </c>
      <c r="E932" s="10" t="n">
        <v>1789</v>
      </c>
      <c r="F932" s="9" t="s">
        <v>27</v>
      </c>
      <c r="G932" s="9" t="s">
        <v>27</v>
      </c>
      <c r="H932" s="11" t="n">
        <v>24</v>
      </c>
      <c r="I932" s="11" t="s">
        <v>309</v>
      </c>
      <c r="J932" s="14"/>
      <c r="K932" s="14"/>
      <c r="L932" s="16"/>
      <c r="M932" s="27" t="n">
        <f aca="false">J932+(K932/20)+(L932/240)</f>
        <v>0</v>
      </c>
      <c r="N932" s="17"/>
      <c r="O932" s="11"/>
      <c r="P932" s="28"/>
      <c r="Q932" s="28" t="n">
        <f aca="false">P932*$M932</f>
        <v>0</v>
      </c>
      <c r="R932" s="28"/>
      <c r="S932" s="28" t="n">
        <f aca="false">R932*$M932</f>
        <v>0</v>
      </c>
      <c r="T932" s="28"/>
      <c r="U932" s="28" t="n">
        <v>195</v>
      </c>
      <c r="V932" s="28"/>
      <c r="W932" s="28" t="n">
        <v>640</v>
      </c>
      <c r="X932" s="28"/>
      <c r="Y932" s="28" t="n">
        <f aca="false">X932*$M932</f>
        <v>0</v>
      </c>
      <c r="Z932" s="28"/>
      <c r="AA932" s="28" t="n">
        <f aca="false">Z932*$M932</f>
        <v>0</v>
      </c>
      <c r="AB932" s="28"/>
      <c r="AC932" s="28" t="n">
        <f aca="false">AB932*$M932</f>
        <v>0</v>
      </c>
      <c r="AD932" s="28"/>
      <c r="AE932" s="28" t="n">
        <f aca="false">AD932*$M932</f>
        <v>0</v>
      </c>
      <c r="AF932" s="28"/>
      <c r="AG932" s="28" t="n">
        <f aca="false">AF932*$M932</f>
        <v>0</v>
      </c>
      <c r="AH932" s="28"/>
      <c r="AI932" s="28" t="n">
        <v>121</v>
      </c>
      <c r="AJ932" s="28"/>
      <c r="AK932" s="28" t="n">
        <v>412</v>
      </c>
      <c r="AL932" s="28"/>
      <c r="AM932" s="28" t="n">
        <f aca="false">AL932*$M932</f>
        <v>0</v>
      </c>
      <c r="AN932" s="28"/>
      <c r="AO932" s="28" t="n">
        <f aca="false">AN932*$M932</f>
        <v>0</v>
      </c>
      <c r="AP932" s="28"/>
      <c r="AQ932" s="28" t="n">
        <f aca="false">AP932*$M932</f>
        <v>0</v>
      </c>
      <c r="AR932" s="28"/>
      <c r="AS932" s="28" t="n">
        <f aca="false">AR932*$M932</f>
        <v>0</v>
      </c>
      <c r="AT932" s="28"/>
      <c r="AU932" s="28" t="n">
        <f aca="false">AT932*$M932</f>
        <v>0</v>
      </c>
      <c r="AV932" s="28"/>
      <c r="AW932" s="28" t="n">
        <f aca="false">AV932*$M932</f>
        <v>0</v>
      </c>
      <c r="AX932" s="28"/>
      <c r="AY932" s="28" t="n">
        <f aca="false">AX932*$M932</f>
        <v>0</v>
      </c>
      <c r="AZ932" s="30"/>
      <c r="BA932" s="11" t="n">
        <v>1368</v>
      </c>
      <c r="BB932" s="31" t="n">
        <f aca="false">SUM(Q932,S932,U932,W932,Y932,AA932,AC932,AE932,AG932,AI932,AK932,AM932,AO932,AQ932,AS932,AU932,AW932,AY932)</f>
        <v>1368</v>
      </c>
      <c r="BC932" s="28" t="n">
        <f aca="false">BA932-BB932</f>
        <v>0</v>
      </c>
      <c r="BD932" s="32" t="n">
        <f aca="false">SUM(P932,R932,T932,V932,X932,Z932,AB932,AD932,AF932,AH932,AJ932,AL932,AN932,AP932,AR932,AT932,AV932,AX932)</f>
        <v>0</v>
      </c>
      <c r="BE932" s="33" t="n">
        <f aca="false">AZ932-BD932</f>
        <v>0</v>
      </c>
      <c r="BF932" s="34" t="n">
        <f aca="false">BD932*M932</f>
        <v>0</v>
      </c>
      <c r="BG932" s="35" t="n">
        <f aca="false">BA932-BF932</f>
        <v>1368</v>
      </c>
      <c r="BH932" s="19" t="str">
        <f aca="false">IF(BG932=0,"",IF(BG932&lt;&gt;BA932,"erreur de calcul",IF(BD932&lt;&gt;0,"pas de prix",IF(M932&lt;&gt; 0,"pas de quantité","pas de prix, ni de quantité"))))</f>
        <v>pas de prix, ni de quantité</v>
      </c>
      <c r="BI932" s="19"/>
    </row>
    <row r="933" customFormat="false" ht="15" hidden="false" customHeight="false" outlineLevel="0" collapsed="false">
      <c r="A933" s="0" t="n">
        <v>21</v>
      </c>
      <c r="B933" s="8" t="s">
        <v>24</v>
      </c>
      <c r="C933" s="9" t="s">
        <v>25</v>
      </c>
      <c r="D933" s="9" t="s">
        <v>26</v>
      </c>
      <c r="E933" s="10" t="n">
        <v>1789</v>
      </c>
      <c r="F933" s="9" t="s">
        <v>27</v>
      </c>
      <c r="G933" s="9" t="s">
        <v>27</v>
      </c>
      <c r="H933" s="11" t="n">
        <v>24</v>
      </c>
      <c r="I933" s="11" t="s">
        <v>310</v>
      </c>
      <c r="J933" s="14"/>
      <c r="K933" s="14" t="n">
        <v>3</v>
      </c>
      <c r="L933" s="16"/>
      <c r="M933" s="27" t="n">
        <f aca="false">J933+(K933/20)+(L933/240)</f>
        <v>0.15</v>
      </c>
      <c r="N933" s="17" t="s">
        <v>311</v>
      </c>
      <c r="O933" s="11"/>
      <c r="P933" s="28"/>
      <c r="Q933" s="28" t="n">
        <f aca="false">P933*$M933</f>
        <v>0</v>
      </c>
      <c r="R933" s="28"/>
      <c r="S933" s="28" t="n">
        <f aca="false">R933*$M933</f>
        <v>0</v>
      </c>
      <c r="T933" s="28"/>
      <c r="U933" s="28" t="n">
        <f aca="false">T933*$M933</f>
        <v>0</v>
      </c>
      <c r="V933" s="28" t="n">
        <v>32065</v>
      </c>
      <c r="W933" s="28" t="n">
        <v>4810</v>
      </c>
      <c r="X933" s="28" t="n">
        <v>20652</v>
      </c>
      <c r="Y933" s="28" t="n">
        <v>3098</v>
      </c>
      <c r="Z933" s="28"/>
      <c r="AA933" s="28" t="n">
        <f aca="false">Z933*$M933</f>
        <v>0</v>
      </c>
      <c r="AB933" s="28"/>
      <c r="AC933" s="28" t="n">
        <f aca="false">AB933*$M933</f>
        <v>0</v>
      </c>
      <c r="AD933" s="28"/>
      <c r="AE933" s="28" t="n">
        <f aca="false">AD933*$M933</f>
        <v>0</v>
      </c>
      <c r="AF933" s="28"/>
      <c r="AG933" s="28" t="n">
        <f aca="false">AF933*$M933</f>
        <v>0</v>
      </c>
      <c r="AH933" s="28"/>
      <c r="AI933" s="28" t="n">
        <f aca="false">AH933*$M933</f>
        <v>0</v>
      </c>
      <c r="AJ933" s="28"/>
      <c r="AK933" s="28" t="n">
        <f aca="false">AJ933*$M933</f>
        <v>0</v>
      </c>
      <c r="AL933" s="28"/>
      <c r="AM933" s="28" t="n">
        <f aca="false">AL933*$M933</f>
        <v>0</v>
      </c>
      <c r="AN933" s="28"/>
      <c r="AO933" s="28" t="n">
        <f aca="false">AN933*$M933</f>
        <v>0</v>
      </c>
      <c r="AP933" s="28"/>
      <c r="AQ933" s="28" t="n">
        <f aca="false">AP933*$M933</f>
        <v>0</v>
      </c>
      <c r="AR933" s="28"/>
      <c r="AS933" s="28" t="n">
        <f aca="false">AR933*$M933</f>
        <v>0</v>
      </c>
      <c r="AT933" s="28"/>
      <c r="AU933" s="28" t="n">
        <f aca="false">AT933*$M933</f>
        <v>0</v>
      </c>
      <c r="AV933" s="28"/>
      <c r="AW933" s="28" t="n">
        <f aca="false">AV933*$M933</f>
        <v>0</v>
      </c>
      <c r="AX933" s="28"/>
      <c r="AY933" s="28" t="n">
        <f aca="false">AX933*$M933</f>
        <v>0</v>
      </c>
      <c r="AZ933" s="30" t="n">
        <v>52717</v>
      </c>
      <c r="BA933" s="11" t="n">
        <v>7908</v>
      </c>
      <c r="BB933" s="31" t="n">
        <f aca="false">SUM(Q933,S933,U933,W933,Y933,AA933,AC933,AE933,AG933,AI933,AK933,AM933,AO933,AQ933,AS933,AU933,AW933,AY933)</f>
        <v>7908</v>
      </c>
      <c r="BC933" s="28" t="n">
        <f aca="false">BA933-BB933</f>
        <v>0</v>
      </c>
      <c r="BD933" s="32" t="n">
        <f aca="false">SUM(P933,R933,T933,V933,X933,Z933,AB933,AD933,AF933,AH933,AJ933,AL933,AN933,AP933,AR933,AT933,AV933,AX933)</f>
        <v>52717</v>
      </c>
      <c r="BE933" s="33" t="n">
        <f aca="false">AZ933-BD933</f>
        <v>0</v>
      </c>
      <c r="BF933" s="34" t="n">
        <f aca="false">BD933*M933</f>
        <v>7907.55</v>
      </c>
      <c r="BG933" s="35" t="n">
        <f aca="false">BA933-BF933</f>
        <v>0.450000000000728</v>
      </c>
      <c r="BH933" s="19" t="str">
        <f aca="false">IF(BG933=0,"",IF(BG933&lt;&gt;BA933,"erreur de calcul",IF(BD933&lt;&gt;0,"pas de prix",IF(M933&lt;&gt; 0,"pas de quantité","pas de prix, ni de quantité"))))</f>
        <v>erreur de calcul</v>
      </c>
      <c r="BI933" s="19"/>
    </row>
    <row r="934" customFormat="false" ht="15" hidden="false" customHeight="false" outlineLevel="0" collapsed="false">
      <c r="A934" s="0" t="n">
        <v>22</v>
      </c>
      <c r="B934" s="8" t="s">
        <v>24</v>
      </c>
      <c r="C934" s="9" t="s">
        <v>25</v>
      </c>
      <c r="D934" s="9" t="s">
        <v>26</v>
      </c>
      <c r="E934" s="10" t="n">
        <v>1789</v>
      </c>
      <c r="F934" s="9" t="s">
        <v>27</v>
      </c>
      <c r="G934" s="9" t="s">
        <v>27</v>
      </c>
      <c r="H934" s="11" t="n">
        <v>24</v>
      </c>
      <c r="I934" s="11" t="s">
        <v>312</v>
      </c>
      <c r="J934" s="14" t="n">
        <v>15</v>
      </c>
      <c r="K934" s="14"/>
      <c r="L934" s="16"/>
      <c r="M934" s="27" t="n">
        <f aca="false">J934+(K934/20)+(L934/240)</f>
        <v>15</v>
      </c>
      <c r="N934" s="17" t="s">
        <v>275</v>
      </c>
      <c r="O934" s="11"/>
      <c r="P934" s="28"/>
      <c r="Q934" s="28" t="n">
        <f aca="false">P934*$M934</f>
        <v>0</v>
      </c>
      <c r="R934" s="28"/>
      <c r="S934" s="28" t="n">
        <f aca="false">R934*$M934</f>
        <v>0</v>
      </c>
      <c r="T934" s="28" t="n">
        <v>1479</v>
      </c>
      <c r="U934" s="28" t="n">
        <v>22185</v>
      </c>
      <c r="V934" s="28" t="n">
        <v>1500</v>
      </c>
      <c r="W934" s="28" t="n">
        <v>22500</v>
      </c>
      <c r="X934" s="28" t="n">
        <v>300</v>
      </c>
      <c r="Y934" s="28" t="n">
        <v>4500</v>
      </c>
      <c r="Z934" s="28" t="n">
        <v>168</v>
      </c>
      <c r="AA934" s="28" t="n">
        <v>2520</v>
      </c>
      <c r="AB934" s="28" t="n">
        <v>14570</v>
      </c>
      <c r="AC934" s="28" t="n">
        <v>218550</v>
      </c>
      <c r="AD934" s="28"/>
      <c r="AE934" s="28" t="n">
        <f aca="false">AD934*$M934</f>
        <v>0</v>
      </c>
      <c r="AF934" s="28" t="n">
        <v>5748</v>
      </c>
      <c r="AG934" s="28" t="n">
        <v>86220</v>
      </c>
      <c r="AH934" s="28"/>
      <c r="AI934" s="28" t="n">
        <f aca="false">AH934*$M934</f>
        <v>0</v>
      </c>
      <c r="AJ934" s="28" t="n">
        <v>710</v>
      </c>
      <c r="AK934" s="28" t="n">
        <v>10650</v>
      </c>
      <c r="AL934" s="28" t="n">
        <v>600</v>
      </c>
      <c r="AM934" s="28" t="n">
        <v>9000</v>
      </c>
      <c r="AN934" s="28"/>
      <c r="AO934" s="28" t="n">
        <f aca="false">AN934*$M934</f>
        <v>0</v>
      </c>
      <c r="AP934" s="28" t="n">
        <v>1200</v>
      </c>
      <c r="AQ934" s="28" t="n">
        <v>18000</v>
      </c>
      <c r="AR934" s="28"/>
      <c r="AS934" s="28" t="n">
        <f aca="false">AR934*$M934</f>
        <v>0</v>
      </c>
      <c r="AT934" s="28"/>
      <c r="AU934" s="28" t="n">
        <f aca="false">AT934*$M934</f>
        <v>0</v>
      </c>
      <c r="AV934" s="28"/>
      <c r="AW934" s="28" t="n">
        <f aca="false">AV934*$M934</f>
        <v>0</v>
      </c>
      <c r="AX934" s="28"/>
      <c r="AY934" s="28" t="n">
        <f aca="false">AX934*$M934</f>
        <v>0</v>
      </c>
      <c r="AZ934" s="30" t="n">
        <v>26275</v>
      </c>
      <c r="BA934" s="11" t="n">
        <v>394125</v>
      </c>
      <c r="BB934" s="31" t="n">
        <f aca="false">SUM(Q934,S934,U934,W934,Y934,AA934,AC934,AE934,AG934,AI934,AK934,AM934,AO934,AQ934,AS934,AU934,AW934,AY934)</f>
        <v>394125</v>
      </c>
      <c r="BC934" s="28" t="n">
        <f aca="false">BA934-BB934</f>
        <v>0</v>
      </c>
      <c r="BD934" s="32" t="n">
        <f aca="false">SUM(P934,R934,T934,V934,X934,Z934,AB934,AD934,AF934,AH934,AJ934,AL934,AN934,AP934,AR934,AT934,AV934,AX934)</f>
        <v>26275</v>
      </c>
      <c r="BE934" s="33" t="n">
        <f aca="false">AZ934-BD934</f>
        <v>0</v>
      </c>
      <c r="BF934" s="34" t="n">
        <f aca="false">BD934*M934</f>
        <v>394125</v>
      </c>
      <c r="BG934" s="35" t="n">
        <f aca="false">BA934-BF934</f>
        <v>0</v>
      </c>
      <c r="BH934" s="19" t="str">
        <f aca="false">IF(BG934=0,"",IF(BG934&lt;&gt;BA934,"erreur de calcul",IF(BD934&lt;&gt;0,"pas de prix",IF(M934&lt;&gt; 0,"pas de quantité","pas de prix, ni de quantité"))))</f>
        <v/>
      </c>
      <c r="BI934" s="19"/>
    </row>
    <row r="935" customFormat="false" ht="15" hidden="false" customHeight="false" outlineLevel="0" collapsed="false">
      <c r="A935" s="0" t="n">
        <v>23</v>
      </c>
      <c r="B935" s="8" t="s">
        <v>24</v>
      </c>
      <c r="C935" s="9" t="s">
        <v>25</v>
      </c>
      <c r="D935" s="9" t="s">
        <v>26</v>
      </c>
      <c r="E935" s="10" t="n">
        <v>1789</v>
      </c>
      <c r="F935" s="9" t="s">
        <v>27</v>
      </c>
      <c r="G935" s="9" t="s">
        <v>27</v>
      </c>
      <c r="H935" s="11" t="n">
        <v>24</v>
      </c>
      <c r="I935" s="11" t="s">
        <v>313</v>
      </c>
      <c r="J935" s="14" t="n">
        <v>9</v>
      </c>
      <c r="K935" s="14"/>
      <c r="L935" s="16"/>
      <c r="M935" s="27" t="n">
        <f aca="false">J935+(K935/20)+(L935/240)</f>
        <v>9</v>
      </c>
      <c r="N935" s="17" t="s">
        <v>64</v>
      </c>
      <c r="O935" s="11"/>
      <c r="P935" s="28"/>
      <c r="Q935" s="28" t="n">
        <f aca="false">P935*$M935</f>
        <v>0</v>
      </c>
      <c r="R935" s="28"/>
      <c r="S935" s="28" t="n">
        <f aca="false">R935*$M935</f>
        <v>0</v>
      </c>
      <c r="T935" s="28"/>
      <c r="U935" s="28" t="n">
        <f aca="false">T935*$M935</f>
        <v>0</v>
      </c>
      <c r="V935" s="28" t="n">
        <f aca="false">145504/100</f>
        <v>1455.04</v>
      </c>
      <c r="W935" s="28" t="n">
        <v>13095</v>
      </c>
      <c r="X935" s="28" t="n">
        <f aca="false">58504/100</f>
        <v>585.04</v>
      </c>
      <c r="Y935" s="28" t="n">
        <v>5265</v>
      </c>
      <c r="Z935" s="28" t="n">
        <f aca="false">17027/100</f>
        <v>170.27</v>
      </c>
      <c r="AA935" s="28" t="n">
        <v>1532</v>
      </c>
      <c r="AB935" s="28" t="n">
        <f aca="false">84396/100</f>
        <v>843.96</v>
      </c>
      <c r="AC935" s="28" t="n">
        <v>7596</v>
      </c>
      <c r="AD935" s="28"/>
      <c r="AE935" s="28" t="n">
        <f aca="false">AD935*$M935</f>
        <v>0</v>
      </c>
      <c r="AF935" s="28" t="n">
        <f aca="false">14807/100</f>
        <v>148.07</v>
      </c>
      <c r="AG935" s="28" t="n">
        <v>1333</v>
      </c>
      <c r="AH935" s="28"/>
      <c r="AI935" s="28" t="n">
        <f aca="false">AH935*$M935</f>
        <v>0</v>
      </c>
      <c r="AJ935" s="28"/>
      <c r="AK935" s="28" t="n">
        <f aca="false">AJ935*$M935</f>
        <v>0</v>
      </c>
      <c r="AL935" s="28"/>
      <c r="AM935" s="28" t="n">
        <f aca="false">AL935*$M935</f>
        <v>0</v>
      </c>
      <c r="AN935" s="28"/>
      <c r="AO935" s="28" t="n">
        <f aca="false">AN935*$M935</f>
        <v>0</v>
      </c>
      <c r="AP935" s="28"/>
      <c r="AQ935" s="28" t="n">
        <f aca="false">AP935*$M935</f>
        <v>0</v>
      </c>
      <c r="AR935" s="28"/>
      <c r="AS935" s="28" t="n">
        <f aca="false">AR935*$M935</f>
        <v>0</v>
      </c>
      <c r="AT935" s="28"/>
      <c r="AU935" s="28" t="n">
        <f aca="false">AT935*$M935</f>
        <v>0</v>
      </c>
      <c r="AV935" s="28"/>
      <c r="AW935" s="28" t="n">
        <f aca="false">AV935*$M935</f>
        <v>0</v>
      </c>
      <c r="AX935" s="28"/>
      <c r="AY935" s="28" t="n">
        <f aca="false">AX935*$M935</f>
        <v>0</v>
      </c>
      <c r="AZ935" s="30" t="n">
        <f aca="false">320238/100</f>
        <v>3202.38</v>
      </c>
      <c r="BA935" s="11" t="n">
        <v>28821</v>
      </c>
      <c r="BB935" s="31" t="n">
        <f aca="false">SUM(Q935,S935,U935,W935,Y935,AA935,AC935,AE935,AG935,AI935,AK935,AM935,AO935,AQ935,AS935,AU935,AW935,AY935)</f>
        <v>28821</v>
      </c>
      <c r="BC935" s="28" t="n">
        <f aca="false">BA935-BB935</f>
        <v>0</v>
      </c>
      <c r="BD935" s="32" t="n">
        <f aca="false">SUM(P935,R935,T935,V935,X935,Z935,AB935,AD935,AF935,AH935,AJ935,AL935,AN935,AP935,AR935,AT935,AV935,AX935)</f>
        <v>3202.38</v>
      </c>
      <c r="BE935" s="33" t="n">
        <f aca="false">AZ935-BD935</f>
        <v>0</v>
      </c>
      <c r="BF935" s="34" t="n">
        <f aca="false">BD935*M935</f>
        <v>28821.42</v>
      </c>
      <c r="BG935" s="35" t="n">
        <f aca="false">BA935-BF935</f>
        <v>-0.420000000001892</v>
      </c>
      <c r="BH935" s="19" t="str">
        <f aca="false">IF(BG935=0,"",IF(BG935&lt;&gt;BA935,"erreur de calcul",IF(BD935&lt;&gt;0,"pas de prix",IF(M935&lt;&gt; 0,"pas de quantité","pas de prix, ni de quantité"))))</f>
        <v>erreur de calcul</v>
      </c>
      <c r="BI935" s="19"/>
    </row>
    <row r="936" customFormat="false" ht="15" hidden="false" customHeight="false" outlineLevel="0" collapsed="false">
      <c r="A936" s="0" t="n">
        <v>24</v>
      </c>
      <c r="B936" s="8" t="s">
        <v>24</v>
      </c>
      <c r="C936" s="9" t="s">
        <v>25</v>
      </c>
      <c r="D936" s="9" t="s">
        <v>26</v>
      </c>
      <c r="E936" s="10" t="n">
        <v>1789</v>
      </c>
      <c r="F936" s="9" t="s">
        <v>27</v>
      </c>
      <c r="G936" s="9" t="s">
        <v>27</v>
      </c>
      <c r="H936" s="11" t="n">
        <v>24</v>
      </c>
      <c r="I936" s="11" t="s">
        <v>314</v>
      </c>
      <c r="J936" s="14"/>
      <c r="K936" s="14" t="n">
        <v>4</v>
      </c>
      <c r="L936" s="16"/>
      <c r="M936" s="27" t="n">
        <f aca="false">J936+(K936/20)+(L936/240)</f>
        <v>0.2</v>
      </c>
      <c r="N936" s="17" t="s">
        <v>311</v>
      </c>
      <c r="O936" s="11"/>
      <c r="P936" s="28"/>
      <c r="Q936" s="28" t="n">
        <f aca="false">P936*$M936</f>
        <v>0</v>
      </c>
      <c r="R936" s="28"/>
      <c r="S936" s="28" t="n">
        <f aca="false">R936*$M936</f>
        <v>0</v>
      </c>
      <c r="T936" s="28"/>
      <c r="U936" s="28" t="n">
        <f aca="false">T936*$M936</f>
        <v>0</v>
      </c>
      <c r="V936" s="28" t="n">
        <v>5800</v>
      </c>
      <c r="W936" s="28" t="n">
        <v>1160</v>
      </c>
      <c r="X936" s="28"/>
      <c r="Y936" s="28" t="n">
        <f aca="false">X936*$M936</f>
        <v>0</v>
      </c>
      <c r="Z936" s="28"/>
      <c r="AA936" s="28" t="n">
        <f aca="false">Z936*$M936</f>
        <v>0</v>
      </c>
      <c r="AB936" s="28"/>
      <c r="AC936" s="28" t="n">
        <f aca="false">AB936*$M936</f>
        <v>0</v>
      </c>
      <c r="AD936" s="28"/>
      <c r="AE936" s="28" t="n">
        <f aca="false">AD936*$M936</f>
        <v>0</v>
      </c>
      <c r="AF936" s="28"/>
      <c r="AG936" s="28" t="n">
        <f aca="false">AF936*$M936</f>
        <v>0</v>
      </c>
      <c r="AH936" s="28"/>
      <c r="AI936" s="28" t="n">
        <f aca="false">AH936*$M936</f>
        <v>0</v>
      </c>
      <c r="AJ936" s="28"/>
      <c r="AK936" s="28" t="n">
        <f aca="false">AJ936*$M936</f>
        <v>0</v>
      </c>
      <c r="AL936" s="28"/>
      <c r="AM936" s="28" t="n">
        <f aca="false">AL936*$M936</f>
        <v>0</v>
      </c>
      <c r="AN936" s="28"/>
      <c r="AO936" s="28" t="n">
        <f aca="false">AN936*$M936</f>
        <v>0</v>
      </c>
      <c r="AP936" s="28"/>
      <c r="AQ936" s="28" t="n">
        <f aca="false">AP936*$M936</f>
        <v>0</v>
      </c>
      <c r="AR936" s="28"/>
      <c r="AS936" s="28" t="n">
        <f aca="false">AR936*$M936</f>
        <v>0</v>
      </c>
      <c r="AT936" s="28"/>
      <c r="AU936" s="28" t="n">
        <f aca="false">AT936*$M936</f>
        <v>0</v>
      </c>
      <c r="AV936" s="28"/>
      <c r="AW936" s="28" t="n">
        <f aca="false">AV936*$M936</f>
        <v>0</v>
      </c>
      <c r="AX936" s="28"/>
      <c r="AY936" s="28" t="n">
        <f aca="false">AX936*$M936</f>
        <v>0</v>
      </c>
      <c r="AZ936" s="30" t="n">
        <v>5800</v>
      </c>
      <c r="BA936" s="11" t="n">
        <v>1160</v>
      </c>
      <c r="BB936" s="31" t="n">
        <f aca="false">SUM(Q936,S936,U936,W936,Y936,AA936,AC936,AE936,AG936,AI936,AK936,AM936,AO936,AQ936,AS936,AU936,AW936,AY936)</f>
        <v>1160</v>
      </c>
      <c r="BC936" s="28" t="n">
        <f aca="false">BA936-BB936</f>
        <v>0</v>
      </c>
      <c r="BD936" s="32" t="n">
        <f aca="false">SUM(P936,R936,T936,V936,X936,Z936,AB936,AD936,AF936,AH936,AJ936,AL936,AN936,AP936,AR936,AT936,AV936,AX936)</f>
        <v>5800</v>
      </c>
      <c r="BE936" s="33" t="n">
        <f aca="false">AZ936-BD936</f>
        <v>0</v>
      </c>
      <c r="BF936" s="34" t="n">
        <f aca="false">BD936*M936</f>
        <v>1160</v>
      </c>
      <c r="BG936" s="35" t="n">
        <f aca="false">BA936-BF936</f>
        <v>0</v>
      </c>
      <c r="BH936" s="19" t="str">
        <f aca="false">IF(BG936=0,"",IF(BG936&lt;&gt;BA936,"erreur de calcul",IF(BD936&lt;&gt;0,"pas de prix",IF(M936&lt;&gt; 0,"pas de quantité","pas de prix, ni de quantité"))))</f>
        <v/>
      </c>
      <c r="BI936" s="19"/>
    </row>
    <row r="937" customFormat="false" ht="15" hidden="false" customHeight="false" outlineLevel="0" collapsed="false">
      <c r="A937" s="0" t="n">
        <v>25</v>
      </c>
      <c r="B937" s="8" t="s">
        <v>24</v>
      </c>
      <c r="C937" s="9" t="s">
        <v>25</v>
      </c>
      <c r="D937" s="9" t="s">
        <v>26</v>
      </c>
      <c r="E937" s="10" t="n">
        <v>1789</v>
      </c>
      <c r="F937" s="9" t="s">
        <v>27</v>
      </c>
      <c r="G937" s="9" t="s">
        <v>27</v>
      </c>
      <c r="H937" s="11" t="n">
        <v>24</v>
      </c>
      <c r="I937" s="11" t="s">
        <v>315</v>
      </c>
      <c r="J937" s="14" t="n">
        <v>10</v>
      </c>
      <c r="K937" s="14"/>
      <c r="L937" s="16"/>
      <c r="M937" s="27" t="n">
        <f aca="false">J937+(K937/20)+(L937/240)</f>
        <v>10</v>
      </c>
      <c r="N937" s="17" t="s">
        <v>64</v>
      </c>
      <c r="O937" s="11"/>
      <c r="P937" s="28"/>
      <c r="Q937" s="28" t="n">
        <f aca="false">P937*$M937</f>
        <v>0</v>
      </c>
      <c r="R937" s="28"/>
      <c r="S937" s="28" t="n">
        <f aca="false">R937*$M937</f>
        <v>0</v>
      </c>
      <c r="T937" s="28"/>
      <c r="U937" s="28" t="n">
        <f aca="false">T937*$M937</f>
        <v>0</v>
      </c>
      <c r="V937" s="28"/>
      <c r="W937" s="28" t="n">
        <f aca="false">V937*$M937</f>
        <v>0</v>
      </c>
      <c r="X937" s="28"/>
      <c r="Y937" s="28" t="n">
        <f aca="false">X937*$M937</f>
        <v>0</v>
      </c>
      <c r="Z937" s="28"/>
      <c r="AA937" s="28" t="n">
        <f aca="false">Z937*$M937</f>
        <v>0</v>
      </c>
      <c r="AB937" s="28"/>
      <c r="AC937" s="28" t="n">
        <f aca="false">AB937*$M937</f>
        <v>0</v>
      </c>
      <c r="AD937" s="28"/>
      <c r="AE937" s="28" t="n">
        <f aca="false">AD937*$M937</f>
        <v>0</v>
      </c>
      <c r="AF937" s="28"/>
      <c r="AG937" s="28" t="n">
        <f aca="false">AF937*$M937</f>
        <v>0</v>
      </c>
      <c r="AH937" s="28"/>
      <c r="AI937" s="28" t="n">
        <f aca="false">AH937*$M937</f>
        <v>0</v>
      </c>
      <c r="AJ937" s="28" t="n">
        <f aca="false">13584/100</f>
        <v>135.84</v>
      </c>
      <c r="AK937" s="28" t="n">
        <v>1358</v>
      </c>
      <c r="AL937" s="28"/>
      <c r="AM937" s="28" t="n">
        <f aca="false">AL937*$M937</f>
        <v>0</v>
      </c>
      <c r="AN937" s="28"/>
      <c r="AO937" s="28" t="n">
        <f aca="false">AN937*$M937</f>
        <v>0</v>
      </c>
      <c r="AP937" s="28"/>
      <c r="AQ937" s="28" t="n">
        <f aca="false">AP937*$M937</f>
        <v>0</v>
      </c>
      <c r="AR937" s="28"/>
      <c r="AS937" s="28" t="n">
        <f aca="false">AR937*$M937</f>
        <v>0</v>
      </c>
      <c r="AT937" s="28"/>
      <c r="AU937" s="28" t="n">
        <f aca="false">AT937*$M937</f>
        <v>0</v>
      </c>
      <c r="AV937" s="28"/>
      <c r="AW937" s="28" t="n">
        <f aca="false">AV937*$M937</f>
        <v>0</v>
      </c>
      <c r="AX937" s="28"/>
      <c r="AY937" s="28" t="n">
        <f aca="false">AX937*$M937</f>
        <v>0</v>
      </c>
      <c r="AZ937" s="30" t="n">
        <f aca="false">13584/100</f>
        <v>135.84</v>
      </c>
      <c r="BA937" s="11" t="n">
        <v>1358</v>
      </c>
      <c r="BB937" s="31" t="n">
        <f aca="false">SUM(Q937,S937,U937,W937,Y937,AA937,AC937,AE937,AG937,AI937,AK937,AM937,AO937,AQ937,AS937,AU937,AW937,AY937)</f>
        <v>1358</v>
      </c>
      <c r="BC937" s="28" t="n">
        <f aca="false">BA937-BB937</f>
        <v>0</v>
      </c>
      <c r="BD937" s="32" t="n">
        <f aca="false">SUM(P937,R937,T937,V937,X937,Z937,AB937,AD937,AF937,AH937,AJ937,AL937,AN937,AP937,AR937,AT937,AV937,AX937)</f>
        <v>135.84</v>
      </c>
      <c r="BE937" s="33" t="n">
        <f aca="false">AZ937-BD937</f>
        <v>0</v>
      </c>
      <c r="BF937" s="34" t="n">
        <f aca="false">BD937*M937</f>
        <v>1358.4</v>
      </c>
      <c r="BG937" s="35" t="n">
        <f aca="false">BA937-BF937</f>
        <v>-0.400000000000091</v>
      </c>
      <c r="BH937" s="19" t="str">
        <f aca="false">IF(BG937=0,"",IF(BG937&lt;&gt;BA937,"erreur de calcul",IF(BD937&lt;&gt;0,"pas de prix",IF(M937&lt;&gt; 0,"pas de quantité","pas de prix, ni de quantité"))))</f>
        <v>erreur de calcul</v>
      </c>
      <c r="BI937" s="19"/>
    </row>
    <row r="938" customFormat="false" ht="15" hidden="false" customHeight="false" outlineLevel="0" collapsed="false">
      <c r="A938" s="0" t="n">
        <v>26</v>
      </c>
      <c r="B938" s="8" t="s">
        <v>24</v>
      </c>
      <c r="C938" s="9" t="s">
        <v>25</v>
      </c>
      <c r="D938" s="9" t="s">
        <v>26</v>
      </c>
      <c r="E938" s="10" t="n">
        <v>1789</v>
      </c>
      <c r="F938" s="9" t="s">
        <v>27</v>
      </c>
      <c r="G938" s="9" t="s">
        <v>27</v>
      </c>
      <c r="H938" s="11" t="n">
        <v>24</v>
      </c>
      <c r="I938" s="11" t="s">
        <v>316</v>
      </c>
      <c r="J938" s="14" t="n">
        <v>12</v>
      </c>
      <c r="K938" s="14"/>
      <c r="L938" s="16"/>
      <c r="M938" s="27" t="n">
        <f aca="false">J938+(K938/20)+(L938/240)</f>
        <v>12</v>
      </c>
      <c r="N938" s="17" t="s">
        <v>64</v>
      </c>
      <c r="O938" s="11"/>
      <c r="P938" s="28" t="n">
        <f aca="false">8690/100</f>
        <v>86.9</v>
      </c>
      <c r="Q938" s="28" t="n">
        <v>1043</v>
      </c>
      <c r="R938" s="28"/>
      <c r="S938" s="28" t="n">
        <f aca="false">R938*$M938</f>
        <v>0</v>
      </c>
      <c r="T938" s="28"/>
      <c r="U938" s="28" t="n">
        <f aca="false">T938*$M938</f>
        <v>0</v>
      </c>
      <c r="V938" s="28"/>
      <c r="W938" s="28" t="n">
        <f aca="false">V938*$M938</f>
        <v>0</v>
      </c>
      <c r="X938" s="28" t="n">
        <f aca="false">10000/100</f>
        <v>100</v>
      </c>
      <c r="Y938" s="28" t="n">
        <v>1200</v>
      </c>
      <c r="Z938" s="28"/>
      <c r="AA938" s="28" t="n">
        <f aca="false">Z938*$M938</f>
        <v>0</v>
      </c>
      <c r="AB938" s="28"/>
      <c r="AC938" s="28" t="n">
        <f aca="false">AB938*$M938</f>
        <v>0</v>
      </c>
      <c r="AD938" s="28"/>
      <c r="AE938" s="28" t="n">
        <f aca="false">AD938*$M938</f>
        <v>0</v>
      </c>
      <c r="AF938" s="28"/>
      <c r="AG938" s="28" t="n">
        <f aca="false">AF938*$M938</f>
        <v>0</v>
      </c>
      <c r="AH938" s="28"/>
      <c r="AI938" s="28" t="n">
        <f aca="false">AH938*$M938</f>
        <v>0</v>
      </c>
      <c r="AJ938" s="28"/>
      <c r="AK938" s="28" t="n">
        <f aca="false">AJ938*$M938</f>
        <v>0</v>
      </c>
      <c r="AL938" s="28"/>
      <c r="AM938" s="28" t="n">
        <f aca="false">AL938*$M938</f>
        <v>0</v>
      </c>
      <c r="AN938" s="28"/>
      <c r="AO938" s="28" t="n">
        <f aca="false">AN938*$M938</f>
        <v>0</v>
      </c>
      <c r="AP938" s="28"/>
      <c r="AQ938" s="28" t="n">
        <f aca="false">AP938*$M938</f>
        <v>0</v>
      </c>
      <c r="AR938" s="28"/>
      <c r="AS938" s="28" t="n">
        <f aca="false">AR938*$M938</f>
        <v>0</v>
      </c>
      <c r="AT938" s="28"/>
      <c r="AU938" s="28" t="n">
        <f aca="false">AT938*$M938</f>
        <v>0</v>
      </c>
      <c r="AV938" s="28"/>
      <c r="AW938" s="28" t="n">
        <f aca="false">AV938*$M938</f>
        <v>0</v>
      </c>
      <c r="AX938" s="28"/>
      <c r="AY938" s="28" t="n">
        <f aca="false">AX938*$M938</f>
        <v>0</v>
      </c>
      <c r="AZ938" s="30" t="n">
        <f aca="false">18690/100</f>
        <v>186.9</v>
      </c>
      <c r="BA938" s="11" t="n">
        <v>2243</v>
      </c>
      <c r="BB938" s="31" t="n">
        <f aca="false">SUM(Q938,S938,U938,W938,Y938,AA938,AC938,AE938,AG938,AI938,AK938,AM938,AO938,AQ938,AS938,AU938,AW938,AY938)</f>
        <v>2243</v>
      </c>
      <c r="BC938" s="28" t="n">
        <f aca="false">BA938-BB938</f>
        <v>0</v>
      </c>
      <c r="BD938" s="32" t="n">
        <f aca="false">SUM(P938,R938,T938,V938,X938,Z938,AB938,AD938,AF938,AH938,AJ938,AL938,AN938,AP938,AR938,AT938,AV938,AX938)</f>
        <v>186.9</v>
      </c>
      <c r="BE938" s="33" t="n">
        <f aca="false">AZ938-BD938</f>
        <v>0</v>
      </c>
      <c r="BF938" s="34" t="n">
        <f aca="false">BD938*M938</f>
        <v>2242.8</v>
      </c>
      <c r="BG938" s="35" t="n">
        <f aca="false">BA938-BF938</f>
        <v>0.199999999999818</v>
      </c>
      <c r="BH938" s="19" t="str">
        <f aca="false">IF(BG938=0,"",IF(BG938&lt;&gt;BA938,"erreur de calcul",IF(BD938&lt;&gt;0,"pas de prix",IF(M938&lt;&gt; 0,"pas de quantité","pas de prix, ni de quantité"))))</f>
        <v>erreur de calcul</v>
      </c>
      <c r="BI938" s="19"/>
    </row>
    <row r="939" customFormat="false" ht="15" hidden="false" customHeight="false" outlineLevel="0" collapsed="false">
      <c r="A939" s="0" t="n">
        <v>27</v>
      </c>
      <c r="B939" s="8" t="s">
        <v>24</v>
      </c>
      <c r="C939" s="9" t="s">
        <v>25</v>
      </c>
      <c r="D939" s="9" t="s">
        <v>26</v>
      </c>
      <c r="E939" s="10" t="n">
        <v>1789</v>
      </c>
      <c r="F939" s="9" t="s">
        <v>27</v>
      </c>
      <c r="G939" s="9" t="s">
        <v>27</v>
      </c>
      <c r="H939" s="11" t="n">
        <v>24</v>
      </c>
      <c r="I939" s="11" t="s">
        <v>317</v>
      </c>
      <c r="J939" s="14" t="n">
        <v>2</v>
      </c>
      <c r="K939" s="14"/>
      <c r="L939" s="16"/>
      <c r="M939" s="27" t="n">
        <f aca="false">J939+(K939/20)+(L939/240)</f>
        <v>2</v>
      </c>
      <c r="N939" s="17" t="s">
        <v>64</v>
      </c>
      <c r="O939" s="11"/>
      <c r="P939" s="28"/>
      <c r="Q939" s="28" t="n">
        <f aca="false">P939*$M939</f>
        <v>0</v>
      </c>
      <c r="R939" s="28"/>
      <c r="S939" s="28" t="n">
        <f aca="false">R939*$M939</f>
        <v>0</v>
      </c>
      <c r="T939" s="28"/>
      <c r="U939" s="28" t="n">
        <f aca="false">T939*$M939</f>
        <v>0</v>
      </c>
      <c r="V939" s="28"/>
      <c r="W939" s="28" t="n">
        <f aca="false">V939*$M939</f>
        <v>0</v>
      </c>
      <c r="X939" s="28"/>
      <c r="Y939" s="28" t="n">
        <f aca="false">X939*$M939</f>
        <v>0</v>
      </c>
      <c r="Z939" s="28"/>
      <c r="AA939" s="28" t="n">
        <f aca="false">Z939*$M939</f>
        <v>0</v>
      </c>
      <c r="AB939" s="28" t="n">
        <f aca="false">15417/100</f>
        <v>154.17</v>
      </c>
      <c r="AC939" s="28" t="n">
        <v>308</v>
      </c>
      <c r="AD939" s="28"/>
      <c r="AE939" s="28" t="n">
        <f aca="false">AD939*$M939</f>
        <v>0</v>
      </c>
      <c r="AF939" s="28"/>
      <c r="AG939" s="28" t="n">
        <f aca="false">AF939*$M939</f>
        <v>0</v>
      </c>
      <c r="AH939" s="28"/>
      <c r="AI939" s="28" t="n">
        <f aca="false">AH939*$M939</f>
        <v>0</v>
      </c>
      <c r="AJ939" s="28"/>
      <c r="AK939" s="28" t="n">
        <f aca="false">AJ939*$M939</f>
        <v>0</v>
      </c>
      <c r="AL939" s="28"/>
      <c r="AM939" s="28" t="n">
        <f aca="false">AL939*$M939</f>
        <v>0</v>
      </c>
      <c r="AN939" s="28"/>
      <c r="AO939" s="28" t="n">
        <f aca="false">AN939*$M939</f>
        <v>0</v>
      </c>
      <c r="AP939" s="28"/>
      <c r="AQ939" s="28" t="n">
        <f aca="false">AP939*$M939</f>
        <v>0</v>
      </c>
      <c r="AR939" s="28"/>
      <c r="AS939" s="28" t="n">
        <f aca="false">AR939*$M939</f>
        <v>0</v>
      </c>
      <c r="AT939" s="28"/>
      <c r="AU939" s="28" t="n">
        <f aca="false">AT939*$M939</f>
        <v>0</v>
      </c>
      <c r="AV939" s="28"/>
      <c r="AW939" s="28" t="n">
        <f aca="false">AV939*$M939</f>
        <v>0</v>
      </c>
      <c r="AX939" s="28"/>
      <c r="AY939" s="28" t="n">
        <f aca="false">AX939*$M939</f>
        <v>0</v>
      </c>
      <c r="AZ939" s="30" t="n">
        <f aca="false">15417/100</f>
        <v>154.17</v>
      </c>
      <c r="BA939" s="11" t="n">
        <v>308</v>
      </c>
      <c r="BB939" s="31" t="n">
        <f aca="false">SUM(Q939,S939,U939,W939,Y939,AA939,AC939,AE939,AG939,AI939,AK939,AM939,AO939,AQ939,AS939,AU939,AW939,AY939)</f>
        <v>308</v>
      </c>
      <c r="BC939" s="28" t="n">
        <f aca="false">BA939-BB939</f>
        <v>0</v>
      </c>
      <c r="BD939" s="32" t="n">
        <f aca="false">SUM(P939,R939,T939,V939,X939,Z939,AB939,AD939,AF939,AH939,AJ939,AL939,AN939,AP939,AR939,AT939,AV939,AX939)</f>
        <v>154.17</v>
      </c>
      <c r="BE939" s="33" t="n">
        <f aca="false">AZ939-BD939</f>
        <v>0</v>
      </c>
      <c r="BF939" s="34" t="n">
        <f aca="false">BD939*M939</f>
        <v>308.34</v>
      </c>
      <c r="BG939" s="35" t="n">
        <f aca="false">BA939-BF939</f>
        <v>-0.339999999999975</v>
      </c>
      <c r="BH939" s="19" t="str">
        <f aca="false">IF(BG939=0,"",IF(BG939&lt;&gt;BA939,"erreur de calcul",IF(BD939&lt;&gt;0,"pas de prix",IF(M939&lt;&gt; 0,"pas de quantité","pas de prix, ni de quantité"))))</f>
        <v>erreur de calcul</v>
      </c>
      <c r="BI939" s="19"/>
    </row>
    <row r="940" customFormat="false" ht="15" hidden="false" customHeight="false" outlineLevel="0" collapsed="false">
      <c r="A940" s="0" t="n">
        <v>28</v>
      </c>
      <c r="B940" s="8" t="s">
        <v>24</v>
      </c>
      <c r="C940" s="9" t="s">
        <v>25</v>
      </c>
      <c r="D940" s="9" t="s">
        <v>26</v>
      </c>
      <c r="E940" s="10" t="n">
        <v>1789</v>
      </c>
      <c r="F940" s="9" t="s">
        <v>27</v>
      </c>
      <c r="G940" s="9" t="s">
        <v>27</v>
      </c>
      <c r="H940" s="11" t="n">
        <v>24</v>
      </c>
      <c r="I940" s="11" t="s">
        <v>318</v>
      </c>
      <c r="J940" s="14" t="n">
        <v>30</v>
      </c>
      <c r="K940" s="14"/>
      <c r="L940" s="16"/>
      <c r="M940" s="27" t="n">
        <f aca="false">J940+(K940/20)+(L940/240)</f>
        <v>30</v>
      </c>
      <c r="N940" s="17" t="s">
        <v>64</v>
      </c>
      <c r="O940" s="11"/>
      <c r="P940" s="28" t="n">
        <f aca="false">55459/100</f>
        <v>554.59</v>
      </c>
      <c r="Q940" s="28" t="n">
        <v>16638</v>
      </c>
      <c r="R940" s="28"/>
      <c r="S940" s="28" t="n">
        <f aca="false">R940*$M940</f>
        <v>0</v>
      </c>
      <c r="T940" s="28"/>
      <c r="U940" s="28" t="n">
        <f aca="false">T940*$M940</f>
        <v>0</v>
      </c>
      <c r="V940" s="28"/>
      <c r="W940" s="28" t="n">
        <f aca="false">V940*$M940</f>
        <v>0</v>
      </c>
      <c r="X940" s="28"/>
      <c r="Y940" s="28" t="n">
        <f aca="false">X940*$M940</f>
        <v>0</v>
      </c>
      <c r="Z940" s="28"/>
      <c r="AA940" s="28" t="n">
        <f aca="false">Z940*$M940</f>
        <v>0</v>
      </c>
      <c r="AB940" s="28"/>
      <c r="AC940" s="28" t="n">
        <f aca="false">AB940*$M940</f>
        <v>0</v>
      </c>
      <c r="AD940" s="28"/>
      <c r="AE940" s="28" t="n">
        <f aca="false">AD940*$M940</f>
        <v>0</v>
      </c>
      <c r="AF940" s="28"/>
      <c r="AG940" s="28" t="n">
        <f aca="false">AF940*$M940</f>
        <v>0</v>
      </c>
      <c r="AH940" s="28"/>
      <c r="AI940" s="28" t="n">
        <f aca="false">AH940*$M940</f>
        <v>0</v>
      </c>
      <c r="AJ940" s="28"/>
      <c r="AK940" s="28" t="n">
        <f aca="false">AJ940*$M940</f>
        <v>0</v>
      </c>
      <c r="AL940" s="28"/>
      <c r="AM940" s="28" t="n">
        <f aca="false">AL940*$M940</f>
        <v>0</v>
      </c>
      <c r="AN940" s="28"/>
      <c r="AO940" s="28" t="n">
        <f aca="false">AN940*$M940</f>
        <v>0</v>
      </c>
      <c r="AP940" s="28"/>
      <c r="AQ940" s="28" t="n">
        <f aca="false">AP940*$M940</f>
        <v>0</v>
      </c>
      <c r="AR940" s="28"/>
      <c r="AS940" s="28" t="n">
        <f aca="false">AR940*$M940</f>
        <v>0</v>
      </c>
      <c r="AT940" s="28"/>
      <c r="AU940" s="28" t="n">
        <f aca="false">AT940*$M940</f>
        <v>0</v>
      </c>
      <c r="AV940" s="28"/>
      <c r="AW940" s="28" t="n">
        <f aca="false">AV940*$M940</f>
        <v>0</v>
      </c>
      <c r="AX940" s="28"/>
      <c r="AY940" s="28" t="n">
        <f aca="false">AX940*$M940</f>
        <v>0</v>
      </c>
      <c r="AZ940" s="30" t="n">
        <f aca="false">55459/100</f>
        <v>554.59</v>
      </c>
      <c r="BA940" s="11" t="n">
        <v>16638</v>
      </c>
      <c r="BB940" s="31" t="n">
        <f aca="false">SUM(Q940,S940,U940,W940,Y940,AA940,AC940,AE940,AG940,AI940,AK940,AM940,AO940,AQ940,AS940,AU940,AW940,AY940)</f>
        <v>16638</v>
      </c>
      <c r="BC940" s="28" t="n">
        <f aca="false">BA940-BB940</f>
        <v>0</v>
      </c>
      <c r="BD940" s="32" t="n">
        <f aca="false">SUM(P940,R940,T940,V940,X940,Z940,AB940,AD940,AF940,AH940,AJ940,AL940,AN940,AP940,AR940,AT940,AV940,AX940)</f>
        <v>554.59</v>
      </c>
      <c r="BE940" s="33" t="n">
        <f aca="false">AZ940-BD940</f>
        <v>0</v>
      </c>
      <c r="BF940" s="34" t="n">
        <f aca="false">BD940*M940</f>
        <v>16637.7</v>
      </c>
      <c r="BG940" s="35" t="n">
        <f aca="false">BA940-BF940</f>
        <v>0.299999999999272</v>
      </c>
      <c r="BH940" s="19" t="str">
        <f aca="false">IF(BG940=0,"",IF(BG940&lt;&gt;BA940,"erreur de calcul",IF(BD940&lt;&gt;0,"pas de prix",IF(M940&lt;&gt; 0,"pas de quantité","pas de prix, ni de quantité"))))</f>
        <v>erreur de calcul</v>
      </c>
      <c r="BI940" s="19"/>
    </row>
    <row r="941" customFormat="false" ht="15" hidden="false" customHeight="false" outlineLevel="0" collapsed="false">
      <c r="A941" s="0" t="n">
        <v>29</v>
      </c>
      <c r="B941" s="8" t="s">
        <v>24</v>
      </c>
      <c r="C941" s="9" t="s">
        <v>25</v>
      </c>
      <c r="D941" s="9" t="s">
        <v>26</v>
      </c>
      <c r="E941" s="10" t="n">
        <v>1789</v>
      </c>
      <c r="F941" s="9" t="s">
        <v>27</v>
      </c>
      <c r="G941" s="9" t="s">
        <v>27</v>
      </c>
      <c r="H941" s="11" t="n">
        <v>24</v>
      </c>
      <c r="I941" s="11" t="s">
        <v>319</v>
      </c>
      <c r="J941" s="14" t="n">
        <v>10</v>
      </c>
      <c r="K941" s="14"/>
      <c r="L941" s="16"/>
      <c r="M941" s="27" t="n">
        <f aca="false">J941+(K941/20)+(L941/240)</f>
        <v>10</v>
      </c>
      <c r="N941" s="17" t="s">
        <v>64</v>
      </c>
      <c r="O941" s="11"/>
      <c r="P941" s="28" t="n">
        <f aca="false">48819/100</f>
        <v>488.19</v>
      </c>
      <c r="Q941" s="28" t="n">
        <v>4882</v>
      </c>
      <c r="R941" s="28"/>
      <c r="S941" s="28" t="n">
        <f aca="false">R941*$M941</f>
        <v>0</v>
      </c>
      <c r="T941" s="28" t="n">
        <f aca="false">2500/100</f>
        <v>25</v>
      </c>
      <c r="U941" s="28" t="n">
        <v>250</v>
      </c>
      <c r="V941" s="28"/>
      <c r="W941" s="28" t="n">
        <f aca="false">V941*$M941</f>
        <v>0</v>
      </c>
      <c r="X941" s="28" t="n">
        <f aca="false">6667/100</f>
        <v>66.67</v>
      </c>
      <c r="Y941" s="28" t="n">
        <v>667</v>
      </c>
      <c r="Z941" s="28"/>
      <c r="AA941" s="28" t="n">
        <f aca="false">Z941*$M941</f>
        <v>0</v>
      </c>
      <c r="AB941" s="28"/>
      <c r="AC941" s="28" t="n">
        <f aca="false">AB941*$M941</f>
        <v>0</v>
      </c>
      <c r="AD941" s="28"/>
      <c r="AE941" s="28" t="n">
        <f aca="false">AD941*$M941</f>
        <v>0</v>
      </c>
      <c r="AF941" s="28"/>
      <c r="AG941" s="28" t="n">
        <f aca="false">AF941*$M941</f>
        <v>0</v>
      </c>
      <c r="AH941" s="28"/>
      <c r="AI941" s="28" t="n">
        <f aca="false">AH941*$M941</f>
        <v>0</v>
      </c>
      <c r="AJ941" s="28"/>
      <c r="AK941" s="28" t="n">
        <f aca="false">AJ941*$M941</f>
        <v>0</v>
      </c>
      <c r="AL941" s="28"/>
      <c r="AM941" s="28" t="n">
        <f aca="false">AL941*$M941</f>
        <v>0</v>
      </c>
      <c r="AN941" s="28"/>
      <c r="AO941" s="28" t="n">
        <f aca="false">AN941*$M941</f>
        <v>0</v>
      </c>
      <c r="AP941" s="28"/>
      <c r="AQ941" s="28" t="n">
        <f aca="false">AP941*$M941</f>
        <v>0</v>
      </c>
      <c r="AR941" s="28"/>
      <c r="AS941" s="28" t="n">
        <f aca="false">AR941*$M941</f>
        <v>0</v>
      </c>
      <c r="AT941" s="28"/>
      <c r="AU941" s="28" t="n">
        <f aca="false">AT941*$M941</f>
        <v>0</v>
      </c>
      <c r="AV941" s="28"/>
      <c r="AW941" s="28" t="n">
        <f aca="false">AV941*$M941</f>
        <v>0</v>
      </c>
      <c r="AX941" s="28"/>
      <c r="AY941" s="28" t="n">
        <f aca="false">AX941*$M941</f>
        <v>0</v>
      </c>
      <c r="AZ941" s="30" t="n">
        <f aca="false">57986/100</f>
        <v>579.86</v>
      </c>
      <c r="BA941" s="11" t="n">
        <v>5799</v>
      </c>
      <c r="BB941" s="31" t="n">
        <f aca="false">SUM(Q941,S941,U941,W941,Y941,AA941,AC941,AE941,AG941,AI941,AK941,AM941,AO941,AQ941,AS941,AU941,AW941,AY941)</f>
        <v>5799</v>
      </c>
      <c r="BC941" s="28" t="n">
        <f aca="false">BA941-BB941</f>
        <v>0</v>
      </c>
      <c r="BD941" s="32" t="n">
        <f aca="false">SUM(P941,R941,T941,V941,X941,Z941,AB941,AD941,AF941,AH941,AJ941,AL941,AN941,AP941,AR941,AT941,AV941,AX941)</f>
        <v>579.86</v>
      </c>
      <c r="BE941" s="33" t="n">
        <f aca="false">AZ941-BD941</f>
        <v>0</v>
      </c>
      <c r="BF941" s="34" t="n">
        <f aca="false">BD941*M941</f>
        <v>5798.6</v>
      </c>
      <c r="BG941" s="35" t="n">
        <f aca="false">BA941-BF941</f>
        <v>0.399999999999636</v>
      </c>
      <c r="BH941" s="19" t="str">
        <f aca="false">IF(BG941=0,"",IF(BG941&lt;&gt;BA941,"erreur de calcul",IF(BD941&lt;&gt;0,"pas de prix",IF(M941&lt;&gt; 0,"pas de quantité","pas de prix, ni de quantité"))))</f>
        <v>erreur de calcul</v>
      </c>
      <c r="BI941" s="19"/>
    </row>
    <row r="942" customFormat="false" ht="15" hidden="false" customHeight="false" outlineLevel="0" collapsed="false">
      <c r="A942" s="0" t="n">
        <v>30</v>
      </c>
      <c r="B942" s="8" t="s">
        <v>24</v>
      </c>
      <c r="C942" s="9" t="s">
        <v>25</v>
      </c>
      <c r="D942" s="9" t="s">
        <v>26</v>
      </c>
      <c r="E942" s="10" t="n">
        <v>1789</v>
      </c>
      <c r="F942" s="9" t="s">
        <v>27</v>
      </c>
      <c r="G942" s="9" t="s">
        <v>27</v>
      </c>
      <c r="H942" s="11" t="n">
        <v>24</v>
      </c>
      <c r="I942" s="11" t="s">
        <v>320</v>
      </c>
      <c r="J942" s="14" t="n">
        <v>90</v>
      </c>
      <c r="K942" s="14"/>
      <c r="L942" s="16"/>
      <c r="M942" s="27" t="n">
        <f aca="false">J942+(K942/20)+(L942/240)</f>
        <v>90</v>
      </c>
      <c r="N942" s="17" t="s">
        <v>64</v>
      </c>
      <c r="O942" s="11"/>
      <c r="P942" s="28"/>
      <c r="Q942" s="28" t="n">
        <f aca="false">P942*$M942</f>
        <v>0</v>
      </c>
      <c r="R942" s="28"/>
      <c r="S942" s="28" t="n">
        <f aca="false">R942*$M942</f>
        <v>0</v>
      </c>
      <c r="T942" s="28"/>
      <c r="U942" s="28" t="n">
        <f aca="false">T942*$M942</f>
        <v>0</v>
      </c>
      <c r="V942" s="28"/>
      <c r="W942" s="28" t="n">
        <f aca="false">V942*$M942</f>
        <v>0</v>
      </c>
      <c r="X942" s="28"/>
      <c r="Y942" s="28" t="n">
        <f aca="false">X942*$M942</f>
        <v>0</v>
      </c>
      <c r="Z942" s="28"/>
      <c r="AA942" s="28" t="n">
        <f aca="false">Z942*$M942</f>
        <v>0</v>
      </c>
      <c r="AB942" s="28"/>
      <c r="AC942" s="28" t="n">
        <f aca="false">AB942*$M942</f>
        <v>0</v>
      </c>
      <c r="AD942" s="28"/>
      <c r="AE942" s="28" t="n">
        <f aca="false">AD942*$M942</f>
        <v>0</v>
      </c>
      <c r="AF942" s="28"/>
      <c r="AG942" s="28" t="n">
        <f aca="false">AF942*$M942</f>
        <v>0</v>
      </c>
      <c r="AH942" s="28"/>
      <c r="AI942" s="28" t="n">
        <f aca="false">AH942*$M942</f>
        <v>0</v>
      </c>
      <c r="AJ942" s="28"/>
      <c r="AK942" s="28" t="n">
        <f aca="false">AJ942*$M942</f>
        <v>0</v>
      </c>
      <c r="AL942" s="28" t="n">
        <f aca="false">2950/100</f>
        <v>29.5</v>
      </c>
      <c r="AM942" s="28" t="n">
        <v>2655</v>
      </c>
      <c r="AN942" s="28"/>
      <c r="AO942" s="28" t="n">
        <f aca="false">AN942*$M942</f>
        <v>0</v>
      </c>
      <c r="AP942" s="28"/>
      <c r="AQ942" s="28" t="n">
        <f aca="false">AP942*$M942</f>
        <v>0</v>
      </c>
      <c r="AR942" s="28"/>
      <c r="AS942" s="28" t="n">
        <f aca="false">AR942*$M942</f>
        <v>0</v>
      </c>
      <c r="AT942" s="28"/>
      <c r="AU942" s="28" t="n">
        <f aca="false">AT942*$M942</f>
        <v>0</v>
      </c>
      <c r="AV942" s="28"/>
      <c r="AW942" s="28" t="n">
        <f aca="false">AV942*$M942</f>
        <v>0</v>
      </c>
      <c r="AX942" s="28"/>
      <c r="AY942" s="28" t="n">
        <f aca="false">AX942*$M942</f>
        <v>0</v>
      </c>
      <c r="AZ942" s="30" t="n">
        <f aca="false">2950/100</f>
        <v>29.5</v>
      </c>
      <c r="BA942" s="11" t="n">
        <v>2655</v>
      </c>
      <c r="BB942" s="31" t="n">
        <f aca="false">SUM(Q942,S942,U942,W942,Y942,AA942,AC942,AE942,AG942,AI942,AK942,AM942,AO942,AQ942,AS942,AU942,AW942,AY942)</f>
        <v>2655</v>
      </c>
      <c r="BC942" s="28" t="n">
        <f aca="false">BA942-BB942</f>
        <v>0</v>
      </c>
      <c r="BD942" s="32" t="n">
        <f aca="false">SUM(P942,R942,T942,V942,X942,Z942,AB942,AD942,AF942,AH942,AJ942,AL942,AN942,AP942,AR942,AT942,AV942,AX942)</f>
        <v>29.5</v>
      </c>
      <c r="BE942" s="33" t="n">
        <f aca="false">AZ942-BD942</f>
        <v>0</v>
      </c>
      <c r="BF942" s="34" t="n">
        <f aca="false">BD942*M942</f>
        <v>2655</v>
      </c>
      <c r="BG942" s="35" t="n">
        <f aca="false">BA942-BF942</f>
        <v>0</v>
      </c>
      <c r="BH942" s="19" t="str">
        <f aca="false">IF(BG942=0,"",IF(BG942&lt;&gt;BA942,"erreur de calcul",IF(BD942&lt;&gt;0,"pas de prix",IF(M942&lt;&gt; 0,"pas de quantité","pas de prix, ni de quantité"))))</f>
        <v/>
      </c>
      <c r="BI942" s="19"/>
    </row>
    <row r="943" customFormat="false" ht="15" hidden="false" customHeight="false" outlineLevel="0" collapsed="false">
      <c r="A943" s="0" t="n">
        <v>31</v>
      </c>
      <c r="B943" s="8" t="s">
        <v>24</v>
      </c>
      <c r="C943" s="9" t="s">
        <v>25</v>
      </c>
      <c r="D943" s="9" t="s">
        <v>26</v>
      </c>
      <c r="E943" s="10" t="n">
        <v>1789</v>
      </c>
      <c r="F943" s="9" t="s">
        <v>27</v>
      </c>
      <c r="G943" s="9" t="s">
        <v>27</v>
      </c>
      <c r="H943" s="11" t="n">
        <v>24</v>
      </c>
      <c r="I943" s="11" t="s">
        <v>321</v>
      </c>
      <c r="J943" s="14" t="n">
        <v>50</v>
      </c>
      <c r="K943" s="14"/>
      <c r="L943" s="16"/>
      <c r="M943" s="27" t="n">
        <f aca="false">J943+(K943/20)+(L943/240)</f>
        <v>50</v>
      </c>
      <c r="N943" s="17" t="s">
        <v>64</v>
      </c>
      <c r="O943" s="11" t="s">
        <v>277</v>
      </c>
      <c r="P943" s="28"/>
      <c r="Q943" s="28" t="n">
        <f aca="false">P943*$M943</f>
        <v>0</v>
      </c>
      <c r="R943" s="28"/>
      <c r="S943" s="28" t="n">
        <f aca="false">R943*$M943</f>
        <v>0</v>
      </c>
      <c r="T943" s="28" t="n">
        <f aca="false">2*288*0.02+153*0.02</f>
        <v>14.58</v>
      </c>
      <c r="U943" s="28" t="n">
        <v>729</v>
      </c>
      <c r="V943" s="28" t="n">
        <f aca="false">2*288*0.02+118*0.02</f>
        <v>13.88</v>
      </c>
      <c r="W943" s="28" t="n">
        <v>694</v>
      </c>
      <c r="X943" s="28" t="n">
        <f aca="false">25*288*0.02+103*0.02</f>
        <v>146.06</v>
      </c>
      <c r="Y943" s="28" t="n">
        <v>7303</v>
      </c>
      <c r="Z943" s="28"/>
      <c r="AA943" s="28" t="n">
        <f aca="false">Z943*$M943</f>
        <v>0</v>
      </c>
      <c r="AB943" s="28" t="n">
        <f aca="false">1*288*0.02+74*0.02</f>
        <v>7.24</v>
      </c>
      <c r="AC943" s="28" t="n">
        <v>362</v>
      </c>
      <c r="AD943" s="28" t="n">
        <f aca="false">276*0.02</f>
        <v>5.52</v>
      </c>
      <c r="AE943" s="28" t="n">
        <v>276</v>
      </c>
      <c r="AF943" s="28"/>
      <c r="AG943" s="28" t="n">
        <f aca="false">AF943*$M943</f>
        <v>0</v>
      </c>
      <c r="AH943" s="28" t="n">
        <f aca="false">1*288*0.02+75*0.02</f>
        <v>7.26</v>
      </c>
      <c r="AI943" s="28" t="n">
        <v>363</v>
      </c>
      <c r="AJ943" s="28" t="n">
        <f aca="false">2*288*0.02+176*0.02</f>
        <v>15.04</v>
      </c>
      <c r="AK943" s="28" t="n">
        <v>752</v>
      </c>
      <c r="AL943" s="28"/>
      <c r="AM943" s="28" t="n">
        <f aca="false">AL943*$M943</f>
        <v>0</v>
      </c>
      <c r="AN943" s="28"/>
      <c r="AO943" s="28" t="n">
        <f aca="false">AN943*$M943</f>
        <v>0</v>
      </c>
      <c r="AP943" s="28"/>
      <c r="AQ943" s="28" t="n">
        <f aca="false">AP943*$M943</f>
        <v>0</v>
      </c>
      <c r="AR943" s="28"/>
      <c r="AS943" s="28" t="n">
        <f aca="false">AR943*$M943</f>
        <v>0</v>
      </c>
      <c r="AT943" s="28"/>
      <c r="AU943" s="28" t="n">
        <f aca="false">AT943*$M943</f>
        <v>0</v>
      </c>
      <c r="AV943" s="28"/>
      <c r="AW943" s="28" t="n">
        <f aca="false">AV943*$M943</f>
        <v>0</v>
      </c>
      <c r="AX943" s="28"/>
      <c r="AY943" s="28" t="n">
        <f aca="false">AX943*$M943</f>
        <v>0</v>
      </c>
      <c r="AZ943" s="30" t="n">
        <f aca="false">36*288*0.02+111*0.02</f>
        <v>209.58</v>
      </c>
      <c r="BA943" s="11" t="n">
        <v>10479</v>
      </c>
      <c r="BB943" s="31" t="n">
        <f aca="false">SUM(Q943,S943,U943,W943,Y943,AA943,AC943,AE943,AG943,AI943,AK943,AM943,AO943,AQ943,AS943,AU943,AW943,AY943)</f>
        <v>10479</v>
      </c>
      <c r="BC943" s="28" t="n">
        <f aca="false">BA943-BB943</f>
        <v>0</v>
      </c>
      <c r="BD943" s="32" t="n">
        <f aca="false">SUM(P943,R943,T943,V943,X943,Z943,AB943,AD943,AF943,AH943,AJ943,AL943,AN943,AP943,AR943,AT943,AV943,AX943)</f>
        <v>209.58</v>
      </c>
      <c r="BE943" s="33" t="n">
        <f aca="false">AZ943-BD943</f>
        <v>0</v>
      </c>
      <c r="BF943" s="34" t="n">
        <f aca="false">BD943*M943</f>
        <v>10479</v>
      </c>
      <c r="BG943" s="35" t="n">
        <f aca="false">BA943-BF943</f>
        <v>0</v>
      </c>
      <c r="BH943" s="19" t="str">
        <f aca="false">IF(BG943=0,"",IF(BG943&lt;&gt;BA943,"erreur de calcul",IF(BD943&lt;&gt;0,"pas de prix",IF(M943&lt;&gt; 0,"pas de quantité","pas de prix, ni de quantité"))))</f>
        <v/>
      </c>
      <c r="BI943" s="19"/>
    </row>
    <row r="944" customFormat="false" ht="15" hidden="false" customHeight="false" outlineLevel="0" collapsed="false">
      <c r="A944" s="0" t="n">
        <v>32</v>
      </c>
      <c r="B944" s="8" t="s">
        <v>24</v>
      </c>
      <c r="C944" s="9" t="s">
        <v>25</v>
      </c>
      <c r="D944" s="9" t="s">
        <v>26</v>
      </c>
      <c r="E944" s="10" t="n">
        <v>1789</v>
      </c>
      <c r="F944" s="9" t="s">
        <v>27</v>
      </c>
      <c r="G944" s="9" t="s">
        <v>27</v>
      </c>
      <c r="H944" s="11" t="n">
        <v>24</v>
      </c>
      <c r="I944" s="11" t="s">
        <v>322</v>
      </c>
      <c r="J944" s="14" t="n">
        <v>70</v>
      </c>
      <c r="K944" s="14"/>
      <c r="L944" s="16"/>
      <c r="M944" s="27" t="n">
        <f aca="false">J944+(K944/20)+(L944/240)</f>
        <v>70</v>
      </c>
      <c r="N944" s="17" t="s">
        <v>64</v>
      </c>
      <c r="O944" s="11"/>
      <c r="P944" s="28"/>
      <c r="Q944" s="28" t="n">
        <f aca="false">P944*$M944</f>
        <v>0</v>
      </c>
      <c r="R944" s="28"/>
      <c r="S944" s="28" t="n">
        <f aca="false">R944*$M944</f>
        <v>0</v>
      </c>
      <c r="T944" s="28"/>
      <c r="U944" s="28" t="n">
        <f aca="false">T944*$M944</f>
        <v>0</v>
      </c>
      <c r="V944" s="28"/>
      <c r="W944" s="28" t="n">
        <f aca="false">V944*$M944</f>
        <v>0</v>
      </c>
      <c r="X944" s="28" t="n">
        <f aca="false">2*288*0.02+217*0.02</f>
        <v>15.86</v>
      </c>
      <c r="Y944" s="28" t="n">
        <v>1111</v>
      </c>
      <c r="Z944" s="28"/>
      <c r="AA944" s="28" t="n">
        <f aca="false">Z944*$M944</f>
        <v>0</v>
      </c>
      <c r="AB944" s="28"/>
      <c r="AC944" s="28" t="n">
        <f aca="false">AB944*$M944</f>
        <v>0</v>
      </c>
      <c r="AD944" s="28"/>
      <c r="AE944" s="28" t="n">
        <f aca="false">AD944*$M944</f>
        <v>0</v>
      </c>
      <c r="AF944" s="28"/>
      <c r="AG944" s="28" t="n">
        <f aca="false">AF944*$M944</f>
        <v>0</v>
      </c>
      <c r="AH944" s="28"/>
      <c r="AI944" s="28" t="n">
        <f aca="false">AH944*$M944</f>
        <v>0</v>
      </c>
      <c r="AJ944" s="28"/>
      <c r="AK944" s="28" t="n">
        <f aca="false">AJ944*$M944</f>
        <v>0</v>
      </c>
      <c r="AL944" s="28"/>
      <c r="AM944" s="28" t="n">
        <f aca="false">AL944*$M944</f>
        <v>0</v>
      </c>
      <c r="AN944" s="28"/>
      <c r="AO944" s="28" t="n">
        <f aca="false">AN944*$M944</f>
        <v>0</v>
      </c>
      <c r="AP944" s="28"/>
      <c r="AQ944" s="28" t="n">
        <f aca="false">AP944*$M944</f>
        <v>0</v>
      </c>
      <c r="AR944" s="28"/>
      <c r="AS944" s="28" t="n">
        <f aca="false">AR944*$M944</f>
        <v>0</v>
      </c>
      <c r="AT944" s="28"/>
      <c r="AU944" s="28" t="n">
        <f aca="false">AT944*$M944</f>
        <v>0</v>
      </c>
      <c r="AV944" s="28"/>
      <c r="AW944" s="28" t="n">
        <f aca="false">AV944*$M944</f>
        <v>0</v>
      </c>
      <c r="AX944" s="28"/>
      <c r="AY944" s="28" t="n">
        <f aca="false">AX944*$M944</f>
        <v>0</v>
      </c>
      <c r="AZ944" s="30" t="n">
        <f aca="false">2*288*0.02+217*0.02</f>
        <v>15.86</v>
      </c>
      <c r="BA944" s="11" t="n">
        <v>1111</v>
      </c>
      <c r="BB944" s="31" t="n">
        <f aca="false">SUM(Q944,S944,U944,W944,Y944,AA944,AC944,AE944,AG944,AI944,AK944,AM944,AO944,AQ944,AS944,AU944,AW944,AY944)</f>
        <v>1111</v>
      </c>
      <c r="BC944" s="28" t="n">
        <f aca="false">BA944-BB944</f>
        <v>0</v>
      </c>
      <c r="BD944" s="32" t="n">
        <f aca="false">SUM(P944,R944,T944,V944,X944,Z944,AB944,AD944,AF944,AH944,AJ944,AL944,AN944,AP944,AR944,AT944,AV944,AX944)</f>
        <v>15.86</v>
      </c>
      <c r="BE944" s="33" t="n">
        <f aca="false">AZ944-BD944</f>
        <v>0</v>
      </c>
      <c r="BF944" s="34" t="n">
        <f aca="false">BD944*M944</f>
        <v>1110.2</v>
      </c>
      <c r="BG944" s="35" t="n">
        <f aca="false">BA944-BF944</f>
        <v>0.799999999999955</v>
      </c>
      <c r="BH944" s="19" t="str">
        <f aca="false">IF(BG944=0,"",IF(BG944&lt;&gt;BA944,"erreur de calcul",IF(BD944&lt;&gt;0,"pas de prix",IF(M944&lt;&gt; 0,"pas de quantité","pas de prix, ni de quantité"))))</f>
        <v>erreur de calcul</v>
      </c>
      <c r="BI944" s="19"/>
    </row>
    <row r="945" customFormat="false" ht="15" hidden="false" customHeight="false" outlineLevel="0" collapsed="false">
      <c r="A945" s="0" t="n">
        <v>33</v>
      </c>
      <c r="B945" s="8" t="s">
        <v>24</v>
      </c>
      <c r="C945" s="9" t="s">
        <v>25</v>
      </c>
      <c r="D945" s="9" t="s">
        <v>26</v>
      </c>
      <c r="E945" s="10" t="n">
        <v>1789</v>
      </c>
      <c r="F945" s="9" t="s">
        <v>27</v>
      </c>
      <c r="G945" s="9" t="s">
        <v>27</v>
      </c>
      <c r="H945" s="11" t="n">
        <v>24</v>
      </c>
      <c r="I945" s="11" t="s">
        <v>323</v>
      </c>
      <c r="J945" s="14"/>
      <c r="K945" s="14" t="n">
        <v>40</v>
      </c>
      <c r="L945" s="16"/>
      <c r="M945" s="27" t="n">
        <f aca="false">J945+(K945/20)+(L945/240)</f>
        <v>2</v>
      </c>
      <c r="N945" s="17" t="s">
        <v>66</v>
      </c>
      <c r="O945" s="11"/>
      <c r="P945" s="28" t="n">
        <v>780</v>
      </c>
      <c r="Q945" s="28" t="n">
        <v>1560</v>
      </c>
      <c r="R945" s="28"/>
      <c r="S945" s="28" t="n">
        <f aca="false">R945*$M945</f>
        <v>0</v>
      </c>
      <c r="T945" s="28" t="n">
        <v>1552</v>
      </c>
      <c r="U945" s="28" t="n">
        <v>3104</v>
      </c>
      <c r="V945" s="28" t="n">
        <v>1051</v>
      </c>
      <c r="W945" s="28" t="n">
        <v>2102</v>
      </c>
      <c r="X945" s="28" t="n">
        <v>1486</v>
      </c>
      <c r="Y945" s="28" t="n">
        <v>2972</v>
      </c>
      <c r="Z945" s="28" t="n">
        <v>847</v>
      </c>
      <c r="AA945" s="28" t="n">
        <v>1694</v>
      </c>
      <c r="AB945" s="28" t="n">
        <v>114</v>
      </c>
      <c r="AC945" s="28" t="n">
        <v>228</v>
      </c>
      <c r="AD945" s="28" t="n">
        <v>407</v>
      </c>
      <c r="AE945" s="28" t="n">
        <v>814</v>
      </c>
      <c r="AF945" s="28"/>
      <c r="AG945" s="28" t="n">
        <f aca="false">AF945*$M945</f>
        <v>0</v>
      </c>
      <c r="AH945" s="28"/>
      <c r="AI945" s="28" t="n">
        <f aca="false">AH945*$M945</f>
        <v>0</v>
      </c>
      <c r="AJ945" s="28" t="n">
        <v>1297</v>
      </c>
      <c r="AK945" s="28" t="n">
        <v>2594</v>
      </c>
      <c r="AL945" s="28"/>
      <c r="AM945" s="28" t="n">
        <f aca="false">AL945*$M945</f>
        <v>0</v>
      </c>
      <c r="AN945" s="28"/>
      <c r="AO945" s="28" t="n">
        <f aca="false">AN945*$M945</f>
        <v>0</v>
      </c>
      <c r="AP945" s="28"/>
      <c r="AQ945" s="28" t="n">
        <f aca="false">AP945*$M945</f>
        <v>0</v>
      </c>
      <c r="AR945" s="28"/>
      <c r="AS945" s="28" t="n">
        <f aca="false">AR945*$M945</f>
        <v>0</v>
      </c>
      <c r="AT945" s="28"/>
      <c r="AU945" s="28" t="n">
        <f aca="false">AT945*$M945</f>
        <v>0</v>
      </c>
      <c r="AV945" s="28"/>
      <c r="AW945" s="28" t="n">
        <f aca="false">AV945*$M945</f>
        <v>0</v>
      </c>
      <c r="AX945" s="28"/>
      <c r="AY945" s="28" t="n">
        <f aca="false">AX945*$M945</f>
        <v>0</v>
      </c>
      <c r="AZ945" s="30" t="n">
        <v>7534</v>
      </c>
      <c r="BA945" s="11" t="n">
        <v>15068</v>
      </c>
      <c r="BB945" s="31" t="n">
        <f aca="false">SUM(Q945,S945,U945,W945,Y945,AA945,AC945,AE945,AG945,AI945,AK945,AM945,AO945,AQ945,AS945,AU945,AW945,AY945)</f>
        <v>15068</v>
      </c>
      <c r="BC945" s="28" t="n">
        <f aca="false">BA945-BB945</f>
        <v>0</v>
      </c>
      <c r="BD945" s="32" t="n">
        <f aca="false">SUM(P945,R945,T945,V945,X945,Z945,AB945,AD945,AF945,AH945,AJ945,AL945,AN945,AP945,AR945,AT945,AV945,AX945)</f>
        <v>7534</v>
      </c>
      <c r="BE945" s="33" t="n">
        <f aca="false">AZ945-BD945</f>
        <v>0</v>
      </c>
      <c r="BF945" s="34" t="n">
        <f aca="false">BD945*M945</f>
        <v>15068</v>
      </c>
      <c r="BG945" s="35" t="n">
        <f aca="false">BA945-BF945</f>
        <v>0</v>
      </c>
      <c r="BH945" s="19" t="str">
        <f aca="false">IF(BG945=0,"",IF(BG945&lt;&gt;BA945,"erreur de calcul",IF(BD945&lt;&gt;0,"pas de prix",IF(M945&lt;&gt; 0,"pas de quantité","pas de prix, ni de quantité"))))</f>
        <v/>
      </c>
      <c r="BI945" s="19"/>
    </row>
    <row r="946" customFormat="false" ht="15" hidden="false" customHeight="false" outlineLevel="0" collapsed="false">
      <c r="A946" s="0" t="n">
        <v>34</v>
      </c>
      <c r="B946" s="8" t="s">
        <v>24</v>
      </c>
      <c r="C946" s="9" t="s">
        <v>25</v>
      </c>
      <c r="D946" s="9" t="s">
        <v>26</v>
      </c>
      <c r="E946" s="10" t="n">
        <v>1789</v>
      </c>
      <c r="F946" s="9" t="s">
        <v>27</v>
      </c>
      <c r="G946" s="9" t="s">
        <v>27</v>
      </c>
      <c r="H946" s="11" t="n">
        <v>24</v>
      </c>
      <c r="I946" s="11" t="s">
        <v>324</v>
      </c>
      <c r="J946" s="14" t="n">
        <v>15</v>
      </c>
      <c r="K946" s="14"/>
      <c r="L946" s="16"/>
      <c r="M946" s="27" t="n">
        <f aca="false">J946+(K946/20)+(L946/240)</f>
        <v>15</v>
      </c>
      <c r="N946" s="17" t="s">
        <v>64</v>
      </c>
      <c r="O946" s="11"/>
      <c r="P946" s="28" t="n">
        <f aca="false">6834/100</f>
        <v>68.34</v>
      </c>
      <c r="Q946" s="28" t="n">
        <v>1025</v>
      </c>
      <c r="R946" s="28"/>
      <c r="S946" s="28" t="n">
        <f aca="false">R946*$M946</f>
        <v>0</v>
      </c>
      <c r="T946" s="28" t="n">
        <f aca="false">834/100</f>
        <v>8.34</v>
      </c>
      <c r="U946" s="28" t="n">
        <v>125</v>
      </c>
      <c r="V946" s="28" t="n">
        <f aca="false">197372/100</f>
        <v>1973.72</v>
      </c>
      <c r="W946" s="28" t="n">
        <v>29606</v>
      </c>
      <c r="X946" s="28" t="n">
        <f aca="false">2334702/100</f>
        <v>23347.02</v>
      </c>
      <c r="Y946" s="28" t="n">
        <v>350205</v>
      </c>
      <c r="Z946" s="28"/>
      <c r="AA946" s="28" t="n">
        <f aca="false">Z946*$M946</f>
        <v>0</v>
      </c>
      <c r="AB946" s="28" t="n">
        <f aca="false">1417/100</f>
        <v>14.17</v>
      </c>
      <c r="AC946" s="28" t="n">
        <v>212</v>
      </c>
      <c r="AD946" s="28"/>
      <c r="AE946" s="28" t="n">
        <f aca="false">AD946*$M946</f>
        <v>0</v>
      </c>
      <c r="AF946" s="28"/>
      <c r="AG946" s="28" t="n">
        <f aca="false">AF946*$M946</f>
        <v>0</v>
      </c>
      <c r="AH946" s="28"/>
      <c r="AI946" s="28" t="n">
        <f aca="false">AH946*$M946</f>
        <v>0</v>
      </c>
      <c r="AJ946" s="28"/>
      <c r="AK946" s="28" t="n">
        <f aca="false">AJ946*$M946</f>
        <v>0</v>
      </c>
      <c r="AL946" s="28"/>
      <c r="AM946" s="28" t="n">
        <f aca="false">AL946*$M946</f>
        <v>0</v>
      </c>
      <c r="AN946" s="28"/>
      <c r="AO946" s="28" t="n">
        <f aca="false">AN946*$M946</f>
        <v>0</v>
      </c>
      <c r="AP946" s="28"/>
      <c r="AQ946" s="28" t="n">
        <f aca="false">AP946*$M946</f>
        <v>0</v>
      </c>
      <c r="AR946" s="28"/>
      <c r="AS946" s="28" t="n">
        <f aca="false">AR946*$M946</f>
        <v>0</v>
      </c>
      <c r="AT946" s="28"/>
      <c r="AU946" s="28" t="n">
        <f aca="false">AT946*$M946</f>
        <v>0</v>
      </c>
      <c r="AV946" s="28"/>
      <c r="AW946" s="28" t="n">
        <f aca="false">AV946*$M946</f>
        <v>0</v>
      </c>
      <c r="AX946" s="28"/>
      <c r="AY946" s="28" t="n">
        <f aca="false">AX946*$M946</f>
        <v>0</v>
      </c>
      <c r="AZ946" s="30" t="n">
        <f aca="false">2541159/100</f>
        <v>25411.59</v>
      </c>
      <c r="BA946" s="11" t="n">
        <v>381173</v>
      </c>
      <c r="BB946" s="31" t="n">
        <f aca="false">SUM(Q946,S946,U946,W946,Y946,AA946,AC946,AE946,AG946,AI946,AK946,AM946,AO946,AQ946,AS946,AU946,AW946,AY946)</f>
        <v>381173</v>
      </c>
      <c r="BC946" s="28" t="n">
        <f aca="false">BA946-BB946</f>
        <v>0</v>
      </c>
      <c r="BD946" s="32" t="n">
        <f aca="false">SUM(P946,R946,T946,V946,X946,Z946,AB946,AD946,AF946,AH946,AJ946,AL946,AN946,AP946,AR946,AT946,AV946,AX946)</f>
        <v>25411.59</v>
      </c>
      <c r="BE946" s="33" t="n">
        <f aca="false">AZ946-BD946</f>
        <v>0</v>
      </c>
      <c r="BF946" s="34" t="n">
        <f aca="false">BD946*M946</f>
        <v>381173.85</v>
      </c>
      <c r="BG946" s="35" t="n">
        <f aca="false">BA946-BF946</f>
        <v>-0.849999999976717</v>
      </c>
      <c r="BH946" s="19" t="str">
        <f aca="false">IF(BG946=0,"",IF(BG946&lt;&gt;BA946,"erreur de calcul",IF(BD946&lt;&gt;0,"pas de prix",IF(M946&lt;&gt; 0,"pas de quantité","pas de prix, ni de quantité"))))</f>
        <v>erreur de calcul</v>
      </c>
      <c r="BI946" s="19"/>
    </row>
    <row r="947" customFormat="false" ht="15" hidden="false" customHeight="false" outlineLevel="0" collapsed="false">
      <c r="A947" s="0" t="n">
        <v>35</v>
      </c>
      <c r="B947" s="8" t="s">
        <v>24</v>
      </c>
      <c r="C947" s="9" t="s">
        <v>25</v>
      </c>
      <c r="D947" s="9" t="s">
        <v>26</v>
      </c>
      <c r="E947" s="10" t="n">
        <v>1789</v>
      </c>
      <c r="F947" s="9" t="s">
        <v>27</v>
      </c>
      <c r="G947" s="9" t="s">
        <v>27</v>
      </c>
      <c r="H947" s="11" t="n">
        <v>24</v>
      </c>
      <c r="I947" s="11" t="s">
        <v>325</v>
      </c>
      <c r="J947" s="14" t="n">
        <v>25</v>
      </c>
      <c r="K947" s="14"/>
      <c r="L947" s="16"/>
      <c r="M947" s="27" t="n">
        <f aca="false">J947+(K947/20)+(L947/240)</f>
        <v>25</v>
      </c>
      <c r="N947" s="17" t="s">
        <v>64</v>
      </c>
      <c r="O947" s="11"/>
      <c r="P947" s="28"/>
      <c r="Q947" s="28" t="n">
        <f aca="false">P947*$M947</f>
        <v>0</v>
      </c>
      <c r="R947" s="28"/>
      <c r="S947" s="28" t="n">
        <f aca="false">R947*$M947</f>
        <v>0</v>
      </c>
      <c r="T947" s="28"/>
      <c r="U947" s="28" t="n">
        <f aca="false">T947*$M947</f>
        <v>0</v>
      </c>
      <c r="V947" s="28"/>
      <c r="W947" s="28" t="n">
        <f aca="false">V947*$M947</f>
        <v>0</v>
      </c>
      <c r="X947" s="28" t="n">
        <f aca="false">4971/100</f>
        <v>49.71</v>
      </c>
      <c r="Y947" s="28" t="n">
        <v>1243</v>
      </c>
      <c r="Z947" s="28" t="n">
        <f aca="false">14812/100</f>
        <v>148.12</v>
      </c>
      <c r="AA947" s="28" t="n">
        <v>3703</v>
      </c>
      <c r="AB947" s="28"/>
      <c r="AC947" s="28" t="n">
        <f aca="false">AB947*$M947</f>
        <v>0</v>
      </c>
      <c r="AD947" s="28"/>
      <c r="AE947" s="28" t="n">
        <f aca="false">AD947*$M947</f>
        <v>0</v>
      </c>
      <c r="AF947" s="28"/>
      <c r="AG947" s="28" t="n">
        <f aca="false">AF947*$M947</f>
        <v>0</v>
      </c>
      <c r="AH947" s="28"/>
      <c r="AI947" s="28" t="n">
        <f aca="false">AH947*$M947</f>
        <v>0</v>
      </c>
      <c r="AJ947" s="28"/>
      <c r="AK947" s="28" t="n">
        <f aca="false">AJ947*$M947</f>
        <v>0</v>
      </c>
      <c r="AL947" s="28"/>
      <c r="AM947" s="28" t="n">
        <f aca="false">AL947*$M947</f>
        <v>0</v>
      </c>
      <c r="AN947" s="28"/>
      <c r="AO947" s="28" t="n">
        <f aca="false">AN947*$M947</f>
        <v>0</v>
      </c>
      <c r="AP947" s="28"/>
      <c r="AQ947" s="28" t="n">
        <f aca="false">AP947*$M947</f>
        <v>0</v>
      </c>
      <c r="AR947" s="28"/>
      <c r="AS947" s="28" t="n">
        <f aca="false">AR947*$M947</f>
        <v>0</v>
      </c>
      <c r="AT947" s="28"/>
      <c r="AU947" s="28" t="n">
        <f aca="false">AT947*$M947</f>
        <v>0</v>
      </c>
      <c r="AV947" s="28"/>
      <c r="AW947" s="28" t="n">
        <f aca="false">AV947*$M947</f>
        <v>0</v>
      </c>
      <c r="AX947" s="28"/>
      <c r="AY947" s="28" t="n">
        <f aca="false">AX947*$M947</f>
        <v>0</v>
      </c>
      <c r="AZ947" s="30" t="n">
        <f aca="false">19783/100</f>
        <v>197.83</v>
      </c>
      <c r="BA947" s="11" t="n">
        <v>4946</v>
      </c>
      <c r="BB947" s="31" t="n">
        <f aca="false">SUM(Q947,S947,U947,W947,Y947,AA947,AC947,AE947,AG947,AI947,AK947,AM947,AO947,AQ947,AS947,AU947,AW947,AY947)</f>
        <v>4946</v>
      </c>
      <c r="BC947" s="28" t="n">
        <f aca="false">BA947-BB947</f>
        <v>0</v>
      </c>
      <c r="BD947" s="32" t="n">
        <f aca="false">SUM(P947,R947,T947,V947,X947,Z947,AB947,AD947,AF947,AH947,AJ947,AL947,AN947,AP947,AR947,AT947,AV947,AX947)</f>
        <v>197.83</v>
      </c>
      <c r="BE947" s="33" t="n">
        <f aca="false">AZ947-BD947</f>
        <v>0</v>
      </c>
      <c r="BF947" s="34" t="n">
        <f aca="false">BD947*M947</f>
        <v>4945.75</v>
      </c>
      <c r="BG947" s="35" t="n">
        <f aca="false">BA947-BF947</f>
        <v>0.25</v>
      </c>
      <c r="BH947" s="19" t="str">
        <f aca="false">IF(BG947=0,"",IF(BG947&lt;&gt;BA947,"erreur de calcul",IF(BD947&lt;&gt;0,"pas de prix",IF(M947&lt;&gt; 0,"pas de quantité","pas de prix, ni de quantité"))))</f>
        <v>erreur de calcul</v>
      </c>
      <c r="BI947" s="19"/>
    </row>
    <row r="948" customFormat="false" ht="15" hidden="false" customHeight="false" outlineLevel="0" collapsed="false">
      <c r="A948" s="0" t="n">
        <v>36</v>
      </c>
      <c r="B948" s="8" t="s">
        <v>24</v>
      </c>
      <c r="C948" s="9" t="s">
        <v>25</v>
      </c>
      <c r="D948" s="9" t="s">
        <v>26</v>
      </c>
      <c r="E948" s="10" t="n">
        <v>1789</v>
      </c>
      <c r="F948" s="9" t="s">
        <v>27</v>
      </c>
      <c r="G948" s="9" t="s">
        <v>27</v>
      </c>
      <c r="H948" s="11" t="n">
        <v>24</v>
      </c>
      <c r="I948" s="11" t="s">
        <v>326</v>
      </c>
      <c r="J948" s="14"/>
      <c r="K948" s="14"/>
      <c r="L948" s="16"/>
      <c r="M948" s="27" t="n">
        <f aca="false">J948+(K948/20)+(L948/240)</f>
        <v>0</v>
      </c>
      <c r="N948" s="17"/>
      <c r="O948" s="11" t="s">
        <v>77</v>
      </c>
      <c r="P948" s="28"/>
      <c r="Q948" s="28" t="n">
        <v>84</v>
      </c>
      <c r="R948" s="28"/>
      <c r="S948" s="28" t="n">
        <v>80</v>
      </c>
      <c r="T948" s="28"/>
      <c r="U948" s="28" t="n">
        <v>115</v>
      </c>
      <c r="V948" s="28"/>
      <c r="W948" s="28" t="n">
        <f aca="false">V948*$M948</f>
        <v>0</v>
      </c>
      <c r="X948" s="28"/>
      <c r="Y948" s="28" t="n">
        <v>82</v>
      </c>
      <c r="Z948" s="28"/>
      <c r="AA948" s="28" t="n">
        <v>32</v>
      </c>
      <c r="AB948" s="28"/>
      <c r="AC948" s="28" t="n">
        <v>82</v>
      </c>
      <c r="AD948" s="28"/>
      <c r="AE948" s="28" t="n">
        <f aca="false">AD948*$M948</f>
        <v>0</v>
      </c>
      <c r="AF948" s="28"/>
      <c r="AG948" s="28" t="n">
        <v>129</v>
      </c>
      <c r="AH948" s="28"/>
      <c r="AI948" s="28" t="n">
        <f aca="false">AH948*$M948</f>
        <v>0</v>
      </c>
      <c r="AJ948" s="28"/>
      <c r="AK948" s="28" t="n">
        <v>79</v>
      </c>
      <c r="AL948" s="28"/>
      <c r="AM948" s="28" t="n">
        <v>106</v>
      </c>
      <c r="AN948" s="28"/>
      <c r="AO948" s="28" t="n">
        <f aca="false">AN948*$M948</f>
        <v>0</v>
      </c>
      <c r="AP948" s="28"/>
      <c r="AQ948" s="28" t="n">
        <f aca="false">AP948*$M948</f>
        <v>0</v>
      </c>
      <c r="AR948" s="28"/>
      <c r="AS948" s="28" t="n">
        <f aca="false">AR948*$M948</f>
        <v>0</v>
      </c>
      <c r="AT948" s="28"/>
      <c r="AU948" s="28" t="n">
        <f aca="false">AT948*$M948</f>
        <v>0</v>
      </c>
      <c r="AV948" s="28"/>
      <c r="AW948" s="28" t="n">
        <f aca="false">AV948*$M948</f>
        <v>0</v>
      </c>
      <c r="AX948" s="28"/>
      <c r="AY948" s="28" t="n">
        <f aca="false">AX948*$M948</f>
        <v>0</v>
      </c>
      <c r="AZ948" s="30"/>
      <c r="BA948" s="11" t="n">
        <v>789</v>
      </c>
      <c r="BB948" s="31" t="n">
        <f aca="false">SUM(Q948,S948,U948,W948,Y948,AA948,AC948,AE948,AG948,AI948,AK948,AM948,AO948,AQ948,AS948,AU948,AW948,AY948)</f>
        <v>789</v>
      </c>
      <c r="BC948" s="28" t="n">
        <f aca="false">BA948-BB948</f>
        <v>0</v>
      </c>
      <c r="BD948" s="32" t="n">
        <f aca="false">SUM(P948,R948,T948,V948,X948,Z948,AB948,AD948,AF948,AH948,AJ948,AL948,AN948,AP948,AR948,AT948,AV948,AX948)</f>
        <v>0</v>
      </c>
      <c r="BE948" s="33" t="n">
        <f aca="false">AZ948-BD948</f>
        <v>0</v>
      </c>
      <c r="BF948" s="34" t="n">
        <f aca="false">BD948*M948</f>
        <v>0</v>
      </c>
      <c r="BG948" s="35" t="n">
        <f aca="false">BA948-BF948</f>
        <v>789</v>
      </c>
      <c r="BH948" s="19" t="str">
        <f aca="false">IF(BG948=0,"",IF(BG948&lt;&gt;BA948,"erreur de calcul",IF(BD948&lt;&gt;0,"pas de prix",IF(M948&lt;&gt; 0,"pas de quantité","pas de prix, ni de quantité"))))</f>
        <v>pas de prix, ni de quantité</v>
      </c>
      <c r="BI948" s="19"/>
    </row>
    <row r="949" customFormat="false" ht="15" hidden="false" customHeight="false" outlineLevel="0" collapsed="false">
      <c r="A949" s="0" t="n">
        <v>37</v>
      </c>
      <c r="B949" s="8" t="s">
        <v>24</v>
      </c>
      <c r="C949" s="9" t="s">
        <v>25</v>
      </c>
      <c r="D949" s="9" t="s">
        <v>26</v>
      </c>
      <c r="E949" s="10" t="n">
        <v>1789</v>
      </c>
      <c r="F949" s="9" t="s">
        <v>27</v>
      </c>
      <c r="G949" s="9" t="s">
        <v>27</v>
      </c>
      <c r="H949" s="11" t="n">
        <v>24</v>
      </c>
      <c r="I949" s="11" t="s">
        <v>327</v>
      </c>
      <c r="J949" s="14"/>
      <c r="K949" s="14" t="n">
        <v>20</v>
      </c>
      <c r="L949" s="16"/>
      <c r="M949" s="27" t="n">
        <f aca="false">J949+(K949/20)+(L949/240)</f>
        <v>1</v>
      </c>
      <c r="N949" s="17" t="s">
        <v>66</v>
      </c>
      <c r="O949" s="11"/>
      <c r="P949" s="28"/>
      <c r="Q949" s="28" t="n">
        <f aca="false">P949*$M949</f>
        <v>0</v>
      </c>
      <c r="R949" s="28"/>
      <c r="S949" s="28" t="n">
        <f aca="false">R949*$M949</f>
        <v>0</v>
      </c>
      <c r="T949" s="28"/>
      <c r="U949" s="28" t="n">
        <f aca="false">T949*$M949</f>
        <v>0</v>
      </c>
      <c r="V949" s="28" t="n">
        <v>1705</v>
      </c>
      <c r="W949" s="28" t="n">
        <v>1705</v>
      </c>
      <c r="X949" s="28"/>
      <c r="Y949" s="28" t="n">
        <f aca="false">X949*$M949</f>
        <v>0</v>
      </c>
      <c r="Z949" s="28"/>
      <c r="AA949" s="28" t="n">
        <f aca="false">Z949*$M949</f>
        <v>0</v>
      </c>
      <c r="AB949" s="28" t="n">
        <v>226</v>
      </c>
      <c r="AC949" s="28" t="n">
        <v>226</v>
      </c>
      <c r="AD949" s="28"/>
      <c r="AE949" s="28" t="n">
        <f aca="false">AD949*$M949</f>
        <v>0</v>
      </c>
      <c r="AF949" s="28"/>
      <c r="AG949" s="28" t="n">
        <f aca="false">AF949*$M949</f>
        <v>0</v>
      </c>
      <c r="AH949" s="28"/>
      <c r="AI949" s="28" t="n">
        <f aca="false">AH949*$M949</f>
        <v>0</v>
      </c>
      <c r="AJ949" s="28"/>
      <c r="AK949" s="28" t="n">
        <f aca="false">AJ949*$M949</f>
        <v>0</v>
      </c>
      <c r="AL949" s="28"/>
      <c r="AM949" s="28" t="n">
        <f aca="false">AL949*$M949</f>
        <v>0</v>
      </c>
      <c r="AN949" s="28"/>
      <c r="AO949" s="28" t="n">
        <f aca="false">AN949*$M949</f>
        <v>0</v>
      </c>
      <c r="AP949" s="28"/>
      <c r="AQ949" s="28" t="n">
        <f aca="false">AP949*$M949</f>
        <v>0</v>
      </c>
      <c r="AR949" s="28"/>
      <c r="AS949" s="28" t="n">
        <f aca="false">AR949*$M949</f>
        <v>0</v>
      </c>
      <c r="AT949" s="28"/>
      <c r="AU949" s="28" t="n">
        <f aca="false">AT949*$M949</f>
        <v>0</v>
      </c>
      <c r="AV949" s="28"/>
      <c r="AW949" s="28" t="n">
        <f aca="false">AV949*$M949</f>
        <v>0</v>
      </c>
      <c r="AX949" s="28"/>
      <c r="AY949" s="28" t="n">
        <f aca="false">AX949*$M949</f>
        <v>0</v>
      </c>
      <c r="AZ949" s="30" t="n">
        <v>1931</v>
      </c>
      <c r="BA949" s="11" t="n">
        <v>1931</v>
      </c>
      <c r="BB949" s="31" t="n">
        <f aca="false">SUM(Q949,S949,U949,W949,Y949,AA949,AC949,AE949,AG949,AI949,AK949,AM949,AO949,AQ949,AS949,AU949,AW949,AY949)</f>
        <v>1931</v>
      </c>
      <c r="BC949" s="28" t="n">
        <f aca="false">BA949-BB949</f>
        <v>0</v>
      </c>
      <c r="BD949" s="32" t="n">
        <f aca="false">SUM(P949,R949,T949,V949,X949,Z949,AB949,AD949,AF949,AH949,AJ949,AL949,AN949,AP949,AR949,AT949,AV949,AX949)</f>
        <v>1931</v>
      </c>
      <c r="BE949" s="33" t="n">
        <f aca="false">AZ949-BD949</f>
        <v>0</v>
      </c>
      <c r="BF949" s="34" t="n">
        <f aca="false">BD949*M949</f>
        <v>1931</v>
      </c>
      <c r="BG949" s="35" t="n">
        <f aca="false">BA949-BF949</f>
        <v>0</v>
      </c>
      <c r="BH949" s="19" t="str">
        <f aca="false">IF(BG949=0,"",IF(BG949&lt;&gt;BA949,"erreur de calcul",IF(BD949&lt;&gt;0,"pas de prix",IF(M949&lt;&gt; 0,"pas de quantité","pas de prix, ni de quantité"))))</f>
        <v/>
      </c>
      <c r="BI949" s="19"/>
    </row>
    <row r="950" customFormat="false" ht="15" hidden="false" customHeight="false" outlineLevel="0" collapsed="false">
      <c r="A950" s="0" t="n">
        <v>38</v>
      </c>
      <c r="B950" s="8" t="s">
        <v>24</v>
      </c>
      <c r="C950" s="9" t="s">
        <v>25</v>
      </c>
      <c r="D950" s="9" t="s">
        <v>26</v>
      </c>
      <c r="E950" s="10" t="n">
        <v>1789</v>
      </c>
      <c r="F950" s="9" t="s">
        <v>27</v>
      </c>
      <c r="G950" s="9" t="s">
        <v>27</v>
      </c>
      <c r="H950" s="11" t="n">
        <v>24</v>
      </c>
      <c r="I950" s="11" t="s">
        <v>328</v>
      </c>
      <c r="J950" s="14" t="n">
        <v>208</v>
      </c>
      <c r="K950" s="14"/>
      <c r="L950" s="16"/>
      <c r="M950" s="27" t="n">
        <f aca="false">J950+(K950/20)+(L950/240)</f>
        <v>208</v>
      </c>
      <c r="N950" s="17" t="s">
        <v>64</v>
      </c>
      <c r="O950" s="11" t="s">
        <v>277</v>
      </c>
      <c r="P950" s="28"/>
      <c r="Q950" s="28" t="n">
        <f aca="false">P950*$M950</f>
        <v>0</v>
      </c>
      <c r="R950" s="28"/>
      <c r="S950" s="28" t="n">
        <f aca="false">R950*$M950</f>
        <v>0</v>
      </c>
      <c r="T950" s="28" t="n">
        <f aca="false">536/100</f>
        <v>5.36</v>
      </c>
      <c r="U950" s="28" t="n">
        <v>1115</v>
      </c>
      <c r="V950" s="28" t="n">
        <f aca="false">1983/100</f>
        <v>19.83</v>
      </c>
      <c r="W950" s="28" t="n">
        <v>4125</v>
      </c>
      <c r="X950" s="28" t="n">
        <f aca="false">37641/100</f>
        <v>376.41</v>
      </c>
      <c r="Y950" s="28" t="n">
        <v>78293</v>
      </c>
      <c r="Z950" s="28" t="n">
        <f aca="false">1281/100</f>
        <v>12.81</v>
      </c>
      <c r="AA950" s="28" t="n">
        <v>2664</v>
      </c>
      <c r="AB950" s="28"/>
      <c r="AC950" s="28" t="n">
        <f aca="false">AB950*$M950</f>
        <v>0</v>
      </c>
      <c r="AD950" s="28"/>
      <c r="AE950" s="28" t="n">
        <f aca="false">AD950*$M950</f>
        <v>0</v>
      </c>
      <c r="AF950" s="28"/>
      <c r="AG950" s="28" t="n">
        <f aca="false">AF950*$M950</f>
        <v>0</v>
      </c>
      <c r="AH950" s="28"/>
      <c r="AI950" s="28" t="n">
        <f aca="false">AH950*$M950</f>
        <v>0</v>
      </c>
      <c r="AJ950" s="28" t="n">
        <f aca="false">20789/100</f>
        <v>207.89</v>
      </c>
      <c r="AK950" s="28" t="n">
        <v>43241</v>
      </c>
      <c r="AL950" s="28" t="n">
        <f aca="false">2470/100</f>
        <v>24.7</v>
      </c>
      <c r="AM950" s="28" t="n">
        <v>5138</v>
      </c>
      <c r="AN950" s="28"/>
      <c r="AO950" s="28" t="n">
        <f aca="false">AN950*$M950</f>
        <v>0</v>
      </c>
      <c r="AP950" s="28"/>
      <c r="AQ950" s="28" t="n">
        <f aca="false">AP950*$M950</f>
        <v>0</v>
      </c>
      <c r="AR950" s="28"/>
      <c r="AS950" s="28" t="n">
        <f aca="false">AR950*$M950</f>
        <v>0</v>
      </c>
      <c r="AT950" s="28"/>
      <c r="AU950" s="28" t="n">
        <f aca="false">AT950*$M950</f>
        <v>0</v>
      </c>
      <c r="AV950" s="28"/>
      <c r="AW950" s="28" t="n">
        <f aca="false">AV950*$M950</f>
        <v>0</v>
      </c>
      <c r="AX950" s="28"/>
      <c r="AY950" s="28" t="n">
        <f aca="false">AX950*$M950</f>
        <v>0</v>
      </c>
      <c r="AZ950" s="30" t="n">
        <f aca="false">64700/100</f>
        <v>647</v>
      </c>
      <c r="BA950" s="11" t="n">
        <v>134576</v>
      </c>
      <c r="BB950" s="31" t="n">
        <f aca="false">SUM(Q950,S950,U950,W950,Y950,AA950,AC950,AE950,AG950,AI950,AK950,AM950,AO950,AQ950,AS950,AU950,AW950,AY950)</f>
        <v>134576</v>
      </c>
      <c r="BC950" s="28" t="n">
        <f aca="false">BA950-BB950</f>
        <v>0</v>
      </c>
      <c r="BD950" s="32" t="n">
        <f aca="false">SUM(P950,R950,T950,V950,X950,Z950,AB950,AD950,AF950,AH950,AJ950,AL950,AN950,AP950,AR950,AT950,AV950,AX950)</f>
        <v>647</v>
      </c>
      <c r="BE950" s="33" t="n">
        <f aca="false">AZ950-BD950</f>
        <v>0</v>
      </c>
      <c r="BF950" s="34" t="n">
        <f aca="false">BD950*M950</f>
        <v>134576</v>
      </c>
      <c r="BG950" s="35" t="n">
        <f aca="false">BA950-BF950</f>
        <v>0</v>
      </c>
      <c r="BH950" s="19" t="str">
        <f aca="false">IF(BG950=0,"",IF(BG950&lt;&gt;BA950,"erreur de calcul",IF(BD950&lt;&gt;0,"pas de prix",IF(M950&lt;&gt; 0,"pas de quantité","pas de prix, ni de quantité"))))</f>
        <v/>
      </c>
      <c r="BI950" s="19"/>
    </row>
    <row r="951" customFormat="false" ht="15" hidden="false" customHeight="false" outlineLevel="0" collapsed="false">
      <c r="A951" s="0" t="n">
        <v>1</v>
      </c>
      <c r="B951" s="8" t="s">
        <v>24</v>
      </c>
      <c r="C951" s="9" t="s">
        <v>25</v>
      </c>
      <c r="D951" s="9" t="s">
        <v>26</v>
      </c>
      <c r="E951" s="10" t="n">
        <v>1789</v>
      </c>
      <c r="F951" s="9" t="s">
        <v>27</v>
      </c>
      <c r="G951" s="9" t="s">
        <v>27</v>
      </c>
      <c r="H951" s="11" t="n">
        <v>25</v>
      </c>
      <c r="I951" s="11" t="s">
        <v>329</v>
      </c>
      <c r="J951" s="14" t="n">
        <v>30</v>
      </c>
      <c r="K951" s="14"/>
      <c r="L951" s="16"/>
      <c r="M951" s="27" t="n">
        <f aca="false">J951+(K951/20)+(L951/240)</f>
        <v>30</v>
      </c>
      <c r="N951" s="17" t="s">
        <v>64</v>
      </c>
      <c r="O951" s="11"/>
      <c r="P951" s="28" t="n">
        <f aca="false">888/100</f>
        <v>8.88</v>
      </c>
      <c r="Q951" s="28" t="n">
        <v>266</v>
      </c>
      <c r="R951" s="28"/>
      <c r="S951" s="28" t="n">
        <f aca="false">R951*$M951</f>
        <v>0</v>
      </c>
      <c r="T951" s="28" t="n">
        <f aca="false">1151/100</f>
        <v>11.51</v>
      </c>
      <c r="U951" s="28" t="n">
        <v>345</v>
      </c>
      <c r="V951" s="28"/>
      <c r="W951" s="28" t="n">
        <f aca="false">V951*$M951</f>
        <v>0</v>
      </c>
      <c r="X951" s="28"/>
      <c r="Y951" s="28" t="n">
        <f aca="false">X951*$M951</f>
        <v>0</v>
      </c>
      <c r="Z951" s="28"/>
      <c r="AA951" s="28" t="n">
        <f aca="false">Z951*$M951</f>
        <v>0</v>
      </c>
      <c r="AB951" s="28"/>
      <c r="AC951" s="28" t="n">
        <f aca="false">AB951*$M951</f>
        <v>0</v>
      </c>
      <c r="AD951" s="28"/>
      <c r="AE951" s="28" t="n">
        <f aca="false">AD951*$M951</f>
        <v>0</v>
      </c>
      <c r="AF951" s="28"/>
      <c r="AG951" s="28" t="n">
        <f aca="false">AF951*$M951</f>
        <v>0</v>
      </c>
      <c r="AH951" s="28"/>
      <c r="AI951" s="28" t="n">
        <f aca="false">AH951*$M951</f>
        <v>0</v>
      </c>
      <c r="AJ951" s="28"/>
      <c r="AK951" s="28" t="n">
        <f aca="false">AJ951*$M951</f>
        <v>0</v>
      </c>
      <c r="AL951" s="28"/>
      <c r="AM951" s="28" t="n">
        <f aca="false">AL951*$M951</f>
        <v>0</v>
      </c>
      <c r="AN951" s="28"/>
      <c r="AO951" s="28" t="n">
        <f aca="false">AN951*$M951</f>
        <v>0</v>
      </c>
      <c r="AP951" s="28"/>
      <c r="AQ951" s="28" t="n">
        <f aca="false">AP951*$M951</f>
        <v>0</v>
      </c>
      <c r="AR951" s="28"/>
      <c r="AS951" s="28" t="n">
        <f aca="false">AR951*$M951</f>
        <v>0</v>
      </c>
      <c r="AT951" s="28"/>
      <c r="AU951" s="28" t="n">
        <f aca="false">AT951*$M951</f>
        <v>0</v>
      </c>
      <c r="AV951" s="28"/>
      <c r="AW951" s="28" t="n">
        <f aca="false">AV951*$M951</f>
        <v>0</v>
      </c>
      <c r="AX951" s="28"/>
      <c r="AY951" s="28" t="n">
        <f aca="false">AX951*$M951</f>
        <v>0</v>
      </c>
      <c r="AZ951" s="30" t="n">
        <f aca="false">2039/100</f>
        <v>20.39</v>
      </c>
      <c r="BA951" s="11" t="n">
        <v>611</v>
      </c>
      <c r="BB951" s="31" t="n">
        <f aca="false">SUM(Q951,S951,U951,W951,Y951,AA951,AC951,AE951,AG951,AI951,AK951,AM951,AO951,AQ951,AS951,AU951,AW951,AY951)</f>
        <v>611</v>
      </c>
      <c r="BC951" s="28" t="n">
        <f aca="false">BA951-BB951</f>
        <v>0</v>
      </c>
      <c r="BD951" s="32" t="n">
        <f aca="false">SUM(P951,R951,T951,V951,X951,Z951,AB951,AD951,AF951,AH951,AJ951,AL951,AN951,AP951,AR951,AT951,AV951,AX951)</f>
        <v>20.39</v>
      </c>
      <c r="BE951" s="33" t="n">
        <f aca="false">AZ951-BD951</f>
        <v>0</v>
      </c>
      <c r="BF951" s="34" t="n">
        <f aca="false">BD951*M951</f>
        <v>611.7</v>
      </c>
      <c r="BG951" s="35" t="n">
        <f aca="false">BA951-BF951</f>
        <v>-0.700000000000046</v>
      </c>
      <c r="BH951" s="19" t="str">
        <f aca="false">IF(BG951=0,"",IF(BG951&lt;&gt;BA951,"erreur de calcul",IF(BD951&lt;&gt;0,"pas de prix",IF(M951&lt;&gt; 0,"pas de quantité","pas de prix, ni de quantité"))))</f>
        <v>erreur de calcul</v>
      </c>
      <c r="BI951" s="19"/>
    </row>
    <row r="952" customFormat="false" ht="15" hidden="false" customHeight="false" outlineLevel="0" collapsed="false">
      <c r="A952" s="0" t="n">
        <v>2</v>
      </c>
      <c r="B952" s="8" t="s">
        <v>24</v>
      </c>
      <c r="C952" s="9" t="s">
        <v>25</v>
      </c>
      <c r="D952" s="9" t="s">
        <v>26</v>
      </c>
      <c r="E952" s="10" t="n">
        <v>1789</v>
      </c>
      <c r="F952" s="9" t="s">
        <v>27</v>
      </c>
      <c r="G952" s="9" t="s">
        <v>27</v>
      </c>
      <c r="H952" s="11" t="n">
        <v>25</v>
      </c>
      <c r="I952" s="11" t="s">
        <v>330</v>
      </c>
      <c r="J952" s="14"/>
      <c r="K952" s="14" t="n">
        <v>20</v>
      </c>
      <c r="L952" s="16"/>
      <c r="M952" s="27" t="n">
        <f aca="false">J952+(K952/20)+(L952/240)</f>
        <v>1</v>
      </c>
      <c r="N952" s="17" t="s">
        <v>66</v>
      </c>
      <c r="O952" s="11"/>
      <c r="P952" s="28"/>
      <c r="Q952" s="28" t="n">
        <f aca="false">P952*$M952</f>
        <v>0</v>
      </c>
      <c r="R952" s="28"/>
      <c r="S952" s="28" t="n">
        <f aca="false">R952*$M952</f>
        <v>0</v>
      </c>
      <c r="T952" s="28"/>
      <c r="U952" s="28" t="n">
        <f aca="false">T952*$M952</f>
        <v>0</v>
      </c>
      <c r="V952" s="28"/>
      <c r="W952" s="28" t="n">
        <f aca="false">V952*$M952</f>
        <v>0</v>
      </c>
      <c r="X952" s="28"/>
      <c r="Y952" s="28" t="n">
        <f aca="false">X952*$M952</f>
        <v>0</v>
      </c>
      <c r="Z952" s="28"/>
      <c r="AA952" s="28" t="n">
        <f aca="false">Z952*$M952</f>
        <v>0</v>
      </c>
      <c r="AB952" s="28"/>
      <c r="AC952" s="28" t="n">
        <f aca="false">AB952*$M952</f>
        <v>0</v>
      </c>
      <c r="AD952" s="28"/>
      <c r="AE952" s="28" t="n">
        <f aca="false">AD952*$M952</f>
        <v>0</v>
      </c>
      <c r="AF952" s="28"/>
      <c r="AG952" s="28" t="n">
        <f aca="false">AF952*$M952</f>
        <v>0</v>
      </c>
      <c r="AH952" s="28"/>
      <c r="AI952" s="28" t="n">
        <f aca="false">AH952*$M952</f>
        <v>0</v>
      </c>
      <c r="AJ952" s="28" t="n">
        <v>4241</v>
      </c>
      <c r="AK952" s="28" t="n">
        <v>4241</v>
      </c>
      <c r="AL952" s="28"/>
      <c r="AM952" s="28" t="n">
        <f aca="false">AL952*$M952</f>
        <v>0</v>
      </c>
      <c r="AN952" s="28"/>
      <c r="AO952" s="28" t="n">
        <f aca="false">AN952*$M952</f>
        <v>0</v>
      </c>
      <c r="AP952" s="28"/>
      <c r="AQ952" s="28" t="n">
        <f aca="false">AP952*$M952</f>
        <v>0</v>
      </c>
      <c r="AR952" s="28"/>
      <c r="AS952" s="28" t="n">
        <f aca="false">AR952*$M952</f>
        <v>0</v>
      </c>
      <c r="AT952" s="28"/>
      <c r="AU952" s="28" t="n">
        <f aca="false">AT952*$M952</f>
        <v>0</v>
      </c>
      <c r="AV952" s="28"/>
      <c r="AW952" s="28" t="n">
        <f aca="false">AV952*$M952</f>
        <v>0</v>
      </c>
      <c r="AX952" s="28"/>
      <c r="AY952" s="28" t="n">
        <f aca="false">AX952*$M952</f>
        <v>0</v>
      </c>
      <c r="AZ952" s="30" t="n">
        <v>4241</v>
      </c>
      <c r="BA952" s="11" t="n">
        <v>4241</v>
      </c>
      <c r="BB952" s="31" t="n">
        <f aca="false">SUM(Q952,S952,U952,W952,Y952,AA952,AC952,AE952,AG952,AI952,AK952,AM952,AO952,AQ952,AS952,AU952,AW952,AY952)</f>
        <v>4241</v>
      </c>
      <c r="BC952" s="28" t="n">
        <f aca="false">BA952-BB952</f>
        <v>0</v>
      </c>
      <c r="BD952" s="32" t="n">
        <f aca="false">SUM(P952,R952,T952,V952,X952,Z952,AB952,AD952,AF952,AH952,AJ952,AL952,AN952,AP952,AR952,AT952,AV952,AX952)</f>
        <v>4241</v>
      </c>
      <c r="BE952" s="33" t="n">
        <f aca="false">AZ952-BD952</f>
        <v>0</v>
      </c>
      <c r="BF952" s="34" t="n">
        <f aca="false">BD952*M952</f>
        <v>4241</v>
      </c>
      <c r="BG952" s="35" t="n">
        <f aca="false">BA952-BF952</f>
        <v>0</v>
      </c>
      <c r="BH952" s="19" t="str">
        <f aca="false">IF(BG952=0,"",IF(BG952&lt;&gt;BA952,"erreur de calcul",IF(BD952&lt;&gt;0,"pas de prix",IF(M952&lt;&gt; 0,"pas de quantité","pas de prix, ni de quantité"))))</f>
        <v/>
      </c>
      <c r="BI952" s="19"/>
    </row>
    <row r="953" customFormat="false" ht="15" hidden="false" customHeight="false" outlineLevel="0" collapsed="false">
      <c r="A953" s="0" t="n">
        <v>3</v>
      </c>
      <c r="B953" s="8" t="s">
        <v>24</v>
      </c>
      <c r="C953" s="9" t="s">
        <v>25</v>
      </c>
      <c r="D953" s="9" t="s">
        <v>26</v>
      </c>
      <c r="E953" s="10" t="n">
        <v>1789</v>
      </c>
      <c r="F953" s="9" t="s">
        <v>27</v>
      </c>
      <c r="G953" s="9" t="s">
        <v>27</v>
      </c>
      <c r="H953" s="11" t="n">
        <v>25</v>
      </c>
      <c r="I953" s="11" t="s">
        <v>331</v>
      </c>
      <c r="J953" s="14" t="n">
        <v>18</v>
      </c>
      <c r="K953" s="14"/>
      <c r="L953" s="16"/>
      <c r="M953" s="27" t="n">
        <f aca="false">J953+(K953/20)+(L953/240)</f>
        <v>18</v>
      </c>
      <c r="N953" s="17" t="s">
        <v>66</v>
      </c>
      <c r="O953" s="11" t="s">
        <v>98</v>
      </c>
      <c r="P953" s="28"/>
      <c r="Q953" s="28" t="n">
        <f aca="false">P953*$M953</f>
        <v>0</v>
      </c>
      <c r="R953" s="28"/>
      <c r="S953" s="28" t="n">
        <f aca="false">R953*$M953</f>
        <v>0</v>
      </c>
      <c r="T953" s="28"/>
      <c r="U953" s="28" t="n">
        <f aca="false">T953*$M953</f>
        <v>0</v>
      </c>
      <c r="V953" s="28"/>
      <c r="W953" s="28" t="n">
        <f aca="false">V953*$M953</f>
        <v>0</v>
      </c>
      <c r="X953" s="28"/>
      <c r="Y953" s="28" t="n">
        <f aca="false">X953*$M953</f>
        <v>0</v>
      </c>
      <c r="Z953" s="28"/>
      <c r="AA953" s="28" t="n">
        <f aca="false">Z953*$M953</f>
        <v>0</v>
      </c>
      <c r="AB953" s="28"/>
      <c r="AC953" s="28" t="n">
        <f aca="false">AB953*$M953</f>
        <v>0</v>
      </c>
      <c r="AD953" s="28"/>
      <c r="AE953" s="28" t="n">
        <f aca="false">AD953*$M953</f>
        <v>0</v>
      </c>
      <c r="AF953" s="28"/>
      <c r="AG953" s="28" t="n">
        <f aca="false">AF953*$M953</f>
        <v>0</v>
      </c>
      <c r="AH953" s="28"/>
      <c r="AI953" s="28" t="n">
        <f aca="false">AH953*$M953</f>
        <v>0</v>
      </c>
      <c r="AJ953" s="28"/>
      <c r="AK953" s="28" t="n">
        <f aca="false">AJ953*$M953</f>
        <v>0</v>
      </c>
      <c r="AL953" s="28"/>
      <c r="AM953" s="28" t="n">
        <f aca="false">AL953*$M953</f>
        <v>0</v>
      </c>
      <c r="AN953" s="28"/>
      <c r="AO953" s="28" t="n">
        <f aca="false">AN953*$M953</f>
        <v>0</v>
      </c>
      <c r="AP953" s="28"/>
      <c r="AQ953" s="28" t="n">
        <f aca="false">AP953*$M953</f>
        <v>0</v>
      </c>
      <c r="AR953" s="28"/>
      <c r="AS953" s="28" t="n">
        <f aca="false">AR953*$M953</f>
        <v>0</v>
      </c>
      <c r="AT953" s="28"/>
      <c r="AU953" s="28" t="n">
        <f aca="false">AT953*$M953</f>
        <v>0</v>
      </c>
      <c r="AV953" s="28"/>
      <c r="AW953" s="28" t="n">
        <f aca="false">AV953*$M953</f>
        <v>0</v>
      </c>
      <c r="AX953" s="28"/>
      <c r="AY953" s="28" t="n">
        <f aca="false">AX953*$M953</f>
        <v>0</v>
      </c>
      <c r="AZ953" s="30"/>
      <c r="BA953" s="11"/>
      <c r="BB953" s="31" t="n">
        <f aca="false">SUM(Q953,S953,U953,W953,Y953,AA953,AC953,AE953,AG953,AI953,AK953,AM953,AO953,AQ953,AS953,AU953,AW953,AY953)</f>
        <v>0</v>
      </c>
      <c r="BC953" s="28" t="n">
        <f aca="false">BA953-BB953</f>
        <v>0</v>
      </c>
      <c r="BD953" s="32" t="n">
        <f aca="false">SUM(P953,R953,T953,V953,X953,Z953,AB953,AD953,AF953,AH953,AJ953,AL953,AN953,AP953,AR953,AT953,AV953,AX953)</f>
        <v>0</v>
      </c>
      <c r="BE953" s="33" t="n">
        <f aca="false">AZ953-BD953</f>
        <v>0</v>
      </c>
      <c r="BF953" s="34" t="n">
        <f aca="false">BD953*M953</f>
        <v>0</v>
      </c>
      <c r="BG953" s="35" t="n">
        <f aca="false">BA953-BF953</f>
        <v>0</v>
      </c>
      <c r="BH953" s="19" t="str">
        <f aca="false">IF(BG953=0,"",IF(BG953&lt;&gt;BA953,"erreur de calcul",IF(BD953&lt;&gt;0,"pas de prix",IF(M953&lt;&gt; 0,"pas de quantité","pas de prix, ni de quantité"))))</f>
        <v/>
      </c>
      <c r="BI953" s="19"/>
    </row>
    <row r="954" customFormat="false" ht="15" hidden="false" customHeight="false" outlineLevel="0" collapsed="false">
      <c r="A954" s="0" t="n">
        <v>4</v>
      </c>
      <c r="B954" s="8" t="s">
        <v>24</v>
      </c>
      <c r="C954" s="9" t="s">
        <v>25</v>
      </c>
      <c r="D954" s="9" t="s">
        <v>26</v>
      </c>
      <c r="E954" s="10" t="n">
        <v>1789</v>
      </c>
      <c r="F954" s="9" t="s">
        <v>27</v>
      </c>
      <c r="G954" s="9" t="s">
        <v>27</v>
      </c>
      <c r="H954" s="11" t="n">
        <v>25</v>
      </c>
      <c r="I954" s="11" t="s">
        <v>332</v>
      </c>
      <c r="J954" s="14" t="n">
        <v>18</v>
      </c>
      <c r="K954" s="14"/>
      <c r="L954" s="16"/>
      <c r="M954" s="27" t="n">
        <f aca="false">J954+(K954/20)+(L954/240)</f>
        <v>18</v>
      </c>
      <c r="N954" s="17" t="s">
        <v>66</v>
      </c>
      <c r="O954" s="11" t="s">
        <v>98</v>
      </c>
      <c r="P954" s="28"/>
      <c r="Q954" s="28" t="n">
        <f aca="false">P954*$M954</f>
        <v>0</v>
      </c>
      <c r="R954" s="28"/>
      <c r="S954" s="28" t="n">
        <f aca="false">R954*$M954</f>
        <v>0</v>
      </c>
      <c r="T954" s="28"/>
      <c r="U954" s="28" t="n">
        <f aca="false">T954*$M954</f>
        <v>0</v>
      </c>
      <c r="V954" s="28"/>
      <c r="W954" s="28" t="n">
        <f aca="false">V954*$M954</f>
        <v>0</v>
      </c>
      <c r="X954" s="28"/>
      <c r="Y954" s="28" t="n">
        <f aca="false">X954*$M954</f>
        <v>0</v>
      </c>
      <c r="Z954" s="28"/>
      <c r="AA954" s="28" t="n">
        <f aca="false">Z954*$M954</f>
        <v>0</v>
      </c>
      <c r="AB954" s="28"/>
      <c r="AC954" s="28" t="n">
        <f aca="false">AB954*$M954</f>
        <v>0</v>
      </c>
      <c r="AD954" s="28"/>
      <c r="AE954" s="28" t="n">
        <f aca="false">AD954*$M954</f>
        <v>0</v>
      </c>
      <c r="AF954" s="28"/>
      <c r="AG954" s="28" t="n">
        <f aca="false">AF954*$M954</f>
        <v>0</v>
      </c>
      <c r="AH954" s="28"/>
      <c r="AI954" s="28" t="n">
        <f aca="false">AH954*$M954</f>
        <v>0</v>
      </c>
      <c r="AJ954" s="28"/>
      <c r="AK954" s="28" t="n">
        <f aca="false">AJ954*$M954</f>
        <v>0</v>
      </c>
      <c r="AL954" s="28"/>
      <c r="AM954" s="28" t="n">
        <f aca="false">AL954*$M954</f>
        <v>0</v>
      </c>
      <c r="AN954" s="28"/>
      <c r="AO954" s="28" t="n">
        <f aca="false">AN954*$M954</f>
        <v>0</v>
      </c>
      <c r="AP954" s="28"/>
      <c r="AQ954" s="28" t="n">
        <f aca="false">AP954*$M954</f>
        <v>0</v>
      </c>
      <c r="AR954" s="28"/>
      <c r="AS954" s="28" t="n">
        <f aca="false">AR954*$M954</f>
        <v>0</v>
      </c>
      <c r="AT954" s="28"/>
      <c r="AU954" s="28" t="n">
        <f aca="false">AT954*$M954</f>
        <v>0</v>
      </c>
      <c r="AV954" s="28"/>
      <c r="AW954" s="28" t="n">
        <f aca="false">AV954*$M954</f>
        <v>0</v>
      </c>
      <c r="AX954" s="28"/>
      <c r="AY954" s="28" t="n">
        <f aca="false">AX954*$M954</f>
        <v>0</v>
      </c>
      <c r="AZ954" s="30"/>
      <c r="BA954" s="11"/>
      <c r="BB954" s="31" t="n">
        <f aca="false">SUM(Q954,S954,U954,W954,Y954,AA954,AC954,AE954,AG954,AI954,AK954,AM954,AO954,AQ954,AS954,AU954,AW954,AY954)</f>
        <v>0</v>
      </c>
      <c r="BC954" s="28" t="n">
        <f aca="false">BA954-BB954</f>
        <v>0</v>
      </c>
      <c r="BD954" s="32" t="n">
        <f aca="false">SUM(P954,R954,T954,V954,X954,Z954,AB954,AD954,AF954,AH954,AJ954,AL954,AN954,AP954,AR954,AT954,AV954,AX954)</f>
        <v>0</v>
      </c>
      <c r="BE954" s="33" t="n">
        <f aca="false">AZ954-BD954</f>
        <v>0</v>
      </c>
      <c r="BF954" s="34" t="n">
        <f aca="false">BD954*M954</f>
        <v>0</v>
      </c>
      <c r="BG954" s="35" t="n">
        <f aca="false">BA954-BF954</f>
        <v>0</v>
      </c>
      <c r="BH954" s="19" t="str">
        <f aca="false">IF(BG954=0,"",IF(BG954&lt;&gt;BA954,"erreur de calcul",IF(BD954&lt;&gt;0,"pas de prix",IF(M954&lt;&gt; 0,"pas de quantité","pas de prix, ni de quantité"))))</f>
        <v/>
      </c>
      <c r="BI954" s="19"/>
    </row>
    <row r="955" customFormat="false" ht="15" hidden="false" customHeight="false" outlineLevel="0" collapsed="false">
      <c r="A955" s="0" t="n">
        <v>5</v>
      </c>
      <c r="B955" s="8" t="s">
        <v>24</v>
      </c>
      <c r="C955" s="9" t="s">
        <v>25</v>
      </c>
      <c r="D955" s="9" t="s">
        <v>26</v>
      </c>
      <c r="E955" s="10" t="n">
        <v>1789</v>
      </c>
      <c r="F955" s="9" t="s">
        <v>27</v>
      </c>
      <c r="G955" s="9" t="s">
        <v>27</v>
      </c>
      <c r="H955" s="11" t="n">
        <v>25</v>
      </c>
      <c r="I955" s="11" t="s">
        <v>333</v>
      </c>
      <c r="J955" s="14" t="n">
        <v>44</v>
      </c>
      <c r="K955" s="14"/>
      <c r="L955" s="16"/>
      <c r="M955" s="27" t="n">
        <f aca="false">J955+(K955/20)+(L955/240)</f>
        <v>44</v>
      </c>
      <c r="N955" s="17" t="s">
        <v>66</v>
      </c>
      <c r="O955" s="11"/>
      <c r="P955" s="28" t="n">
        <v>1391</v>
      </c>
      <c r="Q955" s="28" t="n">
        <v>61204</v>
      </c>
      <c r="R955" s="28"/>
      <c r="S955" s="28" t="n">
        <f aca="false">R955*$M955</f>
        <v>0</v>
      </c>
      <c r="T955" s="28"/>
      <c r="U955" s="28" t="n">
        <f aca="false">T955*$M955</f>
        <v>0</v>
      </c>
      <c r="V955" s="28"/>
      <c r="W955" s="28" t="n">
        <f aca="false">V955*$M955</f>
        <v>0</v>
      </c>
      <c r="X955" s="28"/>
      <c r="Y955" s="28" t="n">
        <f aca="false">X955*$M955</f>
        <v>0</v>
      </c>
      <c r="Z955" s="28"/>
      <c r="AA955" s="28" t="n">
        <f aca="false">Z955*$M955</f>
        <v>0</v>
      </c>
      <c r="AB955" s="28"/>
      <c r="AC955" s="28" t="n">
        <f aca="false">AB955*$M955</f>
        <v>0</v>
      </c>
      <c r="AD955" s="28"/>
      <c r="AE955" s="28" t="n">
        <f aca="false">AD955*$M955</f>
        <v>0</v>
      </c>
      <c r="AF955" s="28"/>
      <c r="AG955" s="28" t="n">
        <f aca="false">AF955*$M955</f>
        <v>0</v>
      </c>
      <c r="AH955" s="28"/>
      <c r="AI955" s="28" t="n">
        <f aca="false">AH955*$M955</f>
        <v>0</v>
      </c>
      <c r="AJ955" s="28"/>
      <c r="AK955" s="28" t="n">
        <f aca="false">AJ955*$M955</f>
        <v>0</v>
      </c>
      <c r="AL955" s="28"/>
      <c r="AM955" s="28" t="n">
        <f aca="false">AL955*$M955</f>
        <v>0</v>
      </c>
      <c r="AN955" s="28"/>
      <c r="AO955" s="28" t="n">
        <f aca="false">AN955*$M955</f>
        <v>0</v>
      </c>
      <c r="AP955" s="28"/>
      <c r="AQ955" s="28" t="n">
        <f aca="false">AP955*$M955</f>
        <v>0</v>
      </c>
      <c r="AR955" s="28"/>
      <c r="AS955" s="28" t="n">
        <f aca="false">AR955*$M955</f>
        <v>0</v>
      </c>
      <c r="AT955" s="28"/>
      <c r="AU955" s="28" t="n">
        <f aca="false">AT955*$M955</f>
        <v>0</v>
      </c>
      <c r="AV955" s="28"/>
      <c r="AW955" s="28" t="n">
        <f aca="false">AV955*$M955</f>
        <v>0</v>
      </c>
      <c r="AX955" s="28"/>
      <c r="AY955" s="28" t="n">
        <f aca="false">AX955*$M955</f>
        <v>0</v>
      </c>
      <c r="AZ955" s="30" t="n">
        <v>1391</v>
      </c>
      <c r="BA955" s="11" t="n">
        <v>61204</v>
      </c>
      <c r="BB955" s="31" t="n">
        <f aca="false">SUM(Q955,S955,U955,W955,Y955,AA955,AC955,AE955,AG955,AI955,AK955,AM955,AO955,AQ955,AS955,AU955,AW955,AY955)</f>
        <v>61204</v>
      </c>
      <c r="BC955" s="28" t="n">
        <f aca="false">BA955-BB955</f>
        <v>0</v>
      </c>
      <c r="BD955" s="32" t="n">
        <f aca="false">SUM(P955,R955,T955,V955,X955,Z955,AB955,AD955,AF955,AH955,AJ955,AL955,AN955,AP955,AR955,AT955,AV955,AX955)</f>
        <v>1391</v>
      </c>
      <c r="BE955" s="33" t="n">
        <f aca="false">AZ955-BD955</f>
        <v>0</v>
      </c>
      <c r="BF955" s="34" t="n">
        <f aca="false">BD955*M955</f>
        <v>61204</v>
      </c>
      <c r="BG955" s="35" t="n">
        <f aca="false">BA955-BF955</f>
        <v>0</v>
      </c>
      <c r="BH955" s="19" t="str">
        <f aca="false">IF(BG955=0,"",IF(BG955&lt;&gt;BA955,"erreur de calcul",IF(BD955&lt;&gt;0,"pas de prix",IF(M955&lt;&gt; 0,"pas de quantité","pas de prix, ni de quantité"))))</f>
        <v/>
      </c>
      <c r="BI955" s="19"/>
    </row>
    <row r="956" customFormat="false" ht="15" hidden="false" customHeight="false" outlineLevel="0" collapsed="false">
      <c r="A956" s="0" t="n">
        <v>6</v>
      </c>
      <c r="B956" s="8" t="s">
        <v>24</v>
      </c>
      <c r="C956" s="9" t="s">
        <v>25</v>
      </c>
      <c r="D956" s="9" t="s">
        <v>26</v>
      </c>
      <c r="E956" s="10" t="n">
        <v>1789</v>
      </c>
      <c r="F956" s="9" t="s">
        <v>27</v>
      </c>
      <c r="G956" s="9" t="s">
        <v>27</v>
      </c>
      <c r="H956" s="11" t="n">
        <v>25</v>
      </c>
      <c r="I956" s="11" t="s">
        <v>334</v>
      </c>
      <c r="J956" s="14" t="n">
        <v>12</v>
      </c>
      <c r="K956" s="14"/>
      <c r="L956" s="16"/>
      <c r="M956" s="27" t="n">
        <f aca="false">J956+(K956/20)+(L956/240)</f>
        <v>12</v>
      </c>
      <c r="N956" s="17" t="s">
        <v>64</v>
      </c>
      <c r="O956" s="11"/>
      <c r="P956" s="28"/>
      <c r="Q956" s="28" t="n">
        <f aca="false">P956*$M956</f>
        <v>0</v>
      </c>
      <c r="R956" s="28"/>
      <c r="S956" s="28" t="n">
        <f aca="false">R956*$M956</f>
        <v>0</v>
      </c>
      <c r="T956" s="28"/>
      <c r="U956" s="28" t="n">
        <f aca="false">T956*$M956</f>
        <v>0</v>
      </c>
      <c r="V956" s="28"/>
      <c r="W956" s="28" t="n">
        <f aca="false">V956*$M956</f>
        <v>0</v>
      </c>
      <c r="X956" s="28" t="n">
        <f aca="false">1111/100</f>
        <v>11.11</v>
      </c>
      <c r="Y956" s="28" t="n">
        <v>133</v>
      </c>
      <c r="Z956" s="28"/>
      <c r="AA956" s="28" t="n">
        <f aca="false">Z956*$M956</f>
        <v>0</v>
      </c>
      <c r="AB956" s="28"/>
      <c r="AC956" s="28" t="n">
        <f aca="false">AB956*$M956</f>
        <v>0</v>
      </c>
      <c r="AD956" s="28"/>
      <c r="AE956" s="28" t="n">
        <f aca="false">AD956*$M956</f>
        <v>0</v>
      </c>
      <c r="AF956" s="28"/>
      <c r="AG956" s="28" t="n">
        <f aca="false">AF956*$M956</f>
        <v>0</v>
      </c>
      <c r="AH956" s="28"/>
      <c r="AI956" s="28" t="n">
        <f aca="false">AH956*$M956</f>
        <v>0</v>
      </c>
      <c r="AJ956" s="28"/>
      <c r="AK956" s="28" t="n">
        <f aca="false">AJ956*$M956</f>
        <v>0</v>
      </c>
      <c r="AL956" s="28"/>
      <c r="AM956" s="28" t="n">
        <f aca="false">AL956*$M956</f>
        <v>0</v>
      </c>
      <c r="AN956" s="28"/>
      <c r="AO956" s="28" t="n">
        <f aca="false">AN956*$M956</f>
        <v>0</v>
      </c>
      <c r="AP956" s="28"/>
      <c r="AQ956" s="28" t="n">
        <f aca="false">AP956*$M956</f>
        <v>0</v>
      </c>
      <c r="AR956" s="28"/>
      <c r="AS956" s="28" t="n">
        <f aca="false">AR956*$M956</f>
        <v>0</v>
      </c>
      <c r="AT956" s="28"/>
      <c r="AU956" s="28" t="n">
        <f aca="false">AT956*$M956</f>
        <v>0</v>
      </c>
      <c r="AV956" s="28"/>
      <c r="AW956" s="28" t="n">
        <f aca="false">AV956*$M956</f>
        <v>0</v>
      </c>
      <c r="AX956" s="28"/>
      <c r="AY956" s="28" t="n">
        <f aca="false">AX956*$M956</f>
        <v>0</v>
      </c>
      <c r="AZ956" s="30" t="n">
        <f aca="false">1111/100</f>
        <v>11.11</v>
      </c>
      <c r="BA956" s="11" t="n">
        <v>133</v>
      </c>
      <c r="BB956" s="31" t="n">
        <f aca="false">SUM(Q956,S956,U956,W956,Y956,AA956,AC956,AE956,AG956,AI956,AK956,AM956,AO956,AQ956,AS956,AU956,AW956,AY956)</f>
        <v>133</v>
      </c>
      <c r="BC956" s="28" t="n">
        <f aca="false">BA956-BB956</f>
        <v>0</v>
      </c>
      <c r="BD956" s="32" t="n">
        <f aca="false">SUM(P956,R956,T956,V956,X956,Z956,AB956,AD956,AF956,AH956,AJ956,AL956,AN956,AP956,AR956,AT956,AV956,AX956)</f>
        <v>11.11</v>
      </c>
      <c r="BE956" s="33" t="n">
        <f aca="false">AZ956-BD956</f>
        <v>0</v>
      </c>
      <c r="BF956" s="34" t="n">
        <f aca="false">BD956*M956</f>
        <v>133.32</v>
      </c>
      <c r="BG956" s="35" t="n">
        <f aca="false">BA956-BF956</f>
        <v>-0.319999999999993</v>
      </c>
      <c r="BH956" s="19" t="str">
        <f aca="false">IF(BG956=0,"",IF(BG956&lt;&gt;BA956,"erreur de calcul",IF(BD956&lt;&gt;0,"pas de prix",IF(M956&lt;&gt; 0,"pas de quantité","pas de prix, ni de quantité"))))</f>
        <v>erreur de calcul</v>
      </c>
      <c r="BI956" s="19"/>
    </row>
    <row r="957" customFormat="false" ht="16.65" hidden="false" customHeight="false" outlineLevel="0" collapsed="false">
      <c r="A957" s="0" t="n">
        <v>7</v>
      </c>
      <c r="B957" s="8" t="s">
        <v>24</v>
      </c>
      <c r="C957" s="9" t="s">
        <v>25</v>
      </c>
      <c r="D957" s="9" t="s">
        <v>26</v>
      </c>
      <c r="E957" s="10" t="n">
        <v>1789</v>
      </c>
      <c r="F957" s="9" t="s">
        <v>27</v>
      </c>
      <c r="G957" s="9" t="s">
        <v>27</v>
      </c>
      <c r="H957" s="11" t="n">
        <v>25</v>
      </c>
      <c r="I957" s="11" t="s">
        <v>335</v>
      </c>
      <c r="J957" s="14" t="n">
        <v>4</v>
      </c>
      <c r="K957" s="14" t="n">
        <v>10</v>
      </c>
      <c r="L957" s="16"/>
      <c r="M957" s="27" t="n">
        <f aca="false">J957+(K957/20)+(L957/240)</f>
        <v>4.5</v>
      </c>
      <c r="N957" s="17" t="s">
        <v>64</v>
      </c>
      <c r="O957" s="11" t="s">
        <v>77</v>
      </c>
      <c r="P957" s="28" t="n">
        <f aca="false">8366/100</f>
        <v>83.66</v>
      </c>
      <c r="Q957" s="28" t="n">
        <v>376</v>
      </c>
      <c r="R957" s="28"/>
      <c r="S957" s="28" t="n">
        <f aca="false">R957*$M957</f>
        <v>0</v>
      </c>
      <c r="T957" s="28"/>
      <c r="U957" s="28" t="n">
        <f aca="false">T957*$M957</f>
        <v>0</v>
      </c>
      <c r="V957" s="28"/>
      <c r="W957" s="28" t="n">
        <f aca="false">V957*$M957</f>
        <v>0</v>
      </c>
      <c r="X957" s="28"/>
      <c r="Y957" s="28" t="n">
        <f aca="false">X957*$M957</f>
        <v>0</v>
      </c>
      <c r="Z957" s="28"/>
      <c r="AA957" s="28" t="n">
        <f aca="false">Z957*$M957</f>
        <v>0</v>
      </c>
      <c r="AB957" s="28"/>
      <c r="AC957" s="28" t="n">
        <f aca="false">AB957*$M957</f>
        <v>0</v>
      </c>
      <c r="AD957" s="28"/>
      <c r="AE957" s="28" t="n">
        <f aca="false">AD957*$M957</f>
        <v>0</v>
      </c>
      <c r="AF957" s="28"/>
      <c r="AG957" s="28" t="n">
        <f aca="false">AF957*$M957</f>
        <v>0</v>
      </c>
      <c r="AH957" s="28"/>
      <c r="AI957" s="28" t="n">
        <f aca="false">AH957*$M957</f>
        <v>0</v>
      </c>
      <c r="AJ957" s="28"/>
      <c r="AK957" s="28" t="n">
        <f aca="false">AJ957*$M957</f>
        <v>0</v>
      </c>
      <c r="AL957" s="28"/>
      <c r="AM957" s="28" t="n">
        <f aca="false">AL957*$M957</f>
        <v>0</v>
      </c>
      <c r="AN957" s="28"/>
      <c r="AO957" s="28" t="n">
        <f aca="false">AN957*$M957</f>
        <v>0</v>
      </c>
      <c r="AP957" s="28"/>
      <c r="AQ957" s="28" t="n">
        <f aca="false">AP957*$M957</f>
        <v>0</v>
      </c>
      <c r="AR957" s="28"/>
      <c r="AS957" s="28" t="n">
        <f aca="false">AR957*$M957</f>
        <v>0</v>
      </c>
      <c r="AT957" s="28"/>
      <c r="AU957" s="28" t="n">
        <f aca="false">AT957*$M957</f>
        <v>0</v>
      </c>
      <c r="AV957" s="28"/>
      <c r="AW957" s="28" t="n">
        <f aca="false">AV957*$M957</f>
        <v>0</v>
      </c>
      <c r="AX957" s="28"/>
      <c r="AY957" s="28" t="n">
        <f aca="false">AX957*$M957</f>
        <v>0</v>
      </c>
      <c r="AZ957" s="30" t="n">
        <f aca="false">8366/100</f>
        <v>83.66</v>
      </c>
      <c r="BA957" s="11" t="n">
        <v>376</v>
      </c>
      <c r="BB957" s="31" t="n">
        <f aca="false">SUM(Q957,S957,U957,W957,Y957,AA957,AC957,AE957,AG957,AI957,AK957,AM957,AO957,AQ957,AS957,AU957,AW957,AY957)</f>
        <v>376</v>
      </c>
      <c r="BC957" s="28" t="n">
        <f aca="false">BA957-BB957</f>
        <v>0</v>
      </c>
      <c r="BD957" s="32" t="n">
        <f aca="false">SUM(P957,R957,T957,V957,X957,Z957,AB957,AD957,AF957,AH957,AJ957,AL957,AN957,AP957,AR957,AT957,AV957,AX957)</f>
        <v>83.66</v>
      </c>
      <c r="BE957" s="33" t="n">
        <f aca="false">AZ957-BD957</f>
        <v>0</v>
      </c>
      <c r="BF957" s="34" t="n">
        <f aca="false">BD957*M957</f>
        <v>376.47</v>
      </c>
      <c r="BG957" s="35" t="n">
        <f aca="false">BA957-BF957</f>
        <v>-0.46999999999997</v>
      </c>
      <c r="BH957" s="19" t="str">
        <f aca="false">IF(BG957=0,"",IF(BG957&lt;&gt;BA957,"erreur de calcul",IF(BD957&lt;&gt;0,"pas de prix",IF(M957&lt;&gt; 0,"pas de quantité","pas de prix, ni de quantité"))))</f>
        <v>erreur de calcul</v>
      </c>
      <c r="BI957" s="19"/>
    </row>
    <row r="958" customFormat="false" ht="15" hidden="false" customHeight="false" outlineLevel="0" collapsed="false">
      <c r="A958" s="0" t="n">
        <v>8</v>
      </c>
      <c r="B958" s="8" t="s">
        <v>24</v>
      </c>
      <c r="C958" s="9" t="s">
        <v>25</v>
      </c>
      <c r="D958" s="9" t="s">
        <v>26</v>
      </c>
      <c r="E958" s="10" t="n">
        <v>1789</v>
      </c>
      <c r="F958" s="9" t="s">
        <v>27</v>
      </c>
      <c r="G958" s="9" t="s">
        <v>27</v>
      </c>
      <c r="H958" s="11" t="n">
        <v>25</v>
      </c>
      <c r="I958" s="11" t="s">
        <v>336</v>
      </c>
      <c r="J958" s="14" t="n">
        <v>64</v>
      </c>
      <c r="K958" s="14"/>
      <c r="L958" s="16"/>
      <c r="M958" s="27" t="n">
        <f aca="false">J958+(K958/20)+(L958/240)</f>
        <v>64</v>
      </c>
      <c r="N958" s="17" t="s">
        <v>337</v>
      </c>
      <c r="O958" s="11"/>
      <c r="P958" s="28"/>
      <c r="Q958" s="28" t="n">
        <f aca="false">P958*$M958</f>
        <v>0</v>
      </c>
      <c r="R958" s="28"/>
      <c r="S958" s="28" t="n">
        <f aca="false">R958*$M958</f>
        <v>0</v>
      </c>
      <c r="T958" s="28" t="n">
        <v>42</v>
      </c>
      <c r="U958" s="28" t="n">
        <v>2688</v>
      </c>
      <c r="V958" s="28"/>
      <c r="W958" s="28" t="n">
        <f aca="false">V958*$M958</f>
        <v>0</v>
      </c>
      <c r="X958" s="28"/>
      <c r="Y958" s="28" t="n">
        <f aca="false">X958*$M958</f>
        <v>0</v>
      </c>
      <c r="Z958" s="28"/>
      <c r="AA958" s="28" t="n">
        <f aca="false">Z958*$M958</f>
        <v>0</v>
      </c>
      <c r="AB958" s="28" t="n">
        <v>66</v>
      </c>
      <c r="AC958" s="28" t="n">
        <v>4224</v>
      </c>
      <c r="AD958" s="28"/>
      <c r="AE958" s="28" t="n">
        <f aca="false">AD958*$M958</f>
        <v>0</v>
      </c>
      <c r="AF958" s="28"/>
      <c r="AG958" s="28" t="n">
        <f aca="false">AF958*$M958</f>
        <v>0</v>
      </c>
      <c r="AH958" s="28"/>
      <c r="AI958" s="28" t="n">
        <f aca="false">AH958*$M958</f>
        <v>0</v>
      </c>
      <c r="AJ958" s="28"/>
      <c r="AK958" s="28" t="n">
        <f aca="false">AJ958*$M958</f>
        <v>0</v>
      </c>
      <c r="AL958" s="28"/>
      <c r="AM958" s="28" t="n">
        <f aca="false">AL958*$M958</f>
        <v>0</v>
      </c>
      <c r="AN958" s="28"/>
      <c r="AO958" s="28" t="n">
        <f aca="false">AN958*$M958</f>
        <v>0</v>
      </c>
      <c r="AP958" s="28"/>
      <c r="AQ958" s="28" t="n">
        <f aca="false">AP958*$M958</f>
        <v>0</v>
      </c>
      <c r="AR958" s="28"/>
      <c r="AS958" s="28" t="n">
        <f aca="false">AR958*$M958</f>
        <v>0</v>
      </c>
      <c r="AT958" s="28"/>
      <c r="AU958" s="28" t="n">
        <f aca="false">AT958*$M958</f>
        <v>0</v>
      </c>
      <c r="AV958" s="28"/>
      <c r="AW958" s="28" t="n">
        <f aca="false">AV958*$M958</f>
        <v>0</v>
      </c>
      <c r="AX958" s="28"/>
      <c r="AY958" s="28" t="n">
        <f aca="false">AX958*$M958</f>
        <v>0</v>
      </c>
      <c r="AZ958" s="30" t="n">
        <v>108</v>
      </c>
      <c r="BA958" s="11" t="n">
        <v>6912</v>
      </c>
      <c r="BB958" s="31" t="n">
        <f aca="false">SUM(Q958,S958,U958,W958,Y958,AA958,AC958,AE958,AG958,AI958,AK958,AM958,AO958,AQ958,AS958,AU958,AW958,AY958)</f>
        <v>6912</v>
      </c>
      <c r="BC958" s="28" t="n">
        <f aca="false">BA958-BB958</f>
        <v>0</v>
      </c>
      <c r="BD958" s="32" t="n">
        <f aca="false">SUM(P958,R958,T958,V958,X958,Z958,AB958,AD958,AF958,AH958,AJ958,AL958,AN958,AP958,AR958,AT958,AV958,AX958)</f>
        <v>108</v>
      </c>
      <c r="BE958" s="33" t="n">
        <f aca="false">AZ958-BD958</f>
        <v>0</v>
      </c>
      <c r="BF958" s="34" t="n">
        <f aca="false">BD958*M958</f>
        <v>6912</v>
      </c>
      <c r="BG958" s="35" t="n">
        <f aca="false">BA958-BF958</f>
        <v>0</v>
      </c>
      <c r="BH958" s="19" t="str">
        <f aca="false">IF(BG958=0,"",IF(BG958&lt;&gt;BA958,"erreur de calcul",IF(BD958&lt;&gt;0,"pas de prix",IF(M958&lt;&gt; 0,"pas de quantité","pas de prix, ni de quantité"))))</f>
        <v/>
      </c>
      <c r="BI958" s="19"/>
    </row>
    <row r="959" customFormat="false" ht="15" hidden="false" customHeight="false" outlineLevel="0" collapsed="false">
      <c r="A959" s="0" t="n">
        <v>9</v>
      </c>
      <c r="B959" s="8" t="s">
        <v>24</v>
      </c>
      <c r="C959" s="9" t="s">
        <v>25</v>
      </c>
      <c r="D959" s="9" t="s">
        <v>26</v>
      </c>
      <c r="E959" s="10" t="n">
        <v>1789</v>
      </c>
      <c r="F959" s="9" t="s">
        <v>27</v>
      </c>
      <c r="G959" s="9" t="s">
        <v>27</v>
      </c>
      <c r="H959" s="11" t="n">
        <v>25</v>
      </c>
      <c r="I959" s="11" t="s">
        <v>338</v>
      </c>
      <c r="J959" s="14"/>
      <c r="K959" s="14"/>
      <c r="L959" s="16"/>
      <c r="M959" s="27" t="n">
        <f aca="false">J959+(K959/20)+(L959/240)</f>
        <v>0</v>
      </c>
      <c r="N959" s="17"/>
      <c r="O959" s="11"/>
      <c r="P959" s="28"/>
      <c r="Q959" s="28" t="n">
        <f aca="false">P959*$M959</f>
        <v>0</v>
      </c>
      <c r="R959" s="28"/>
      <c r="S959" s="28" t="n">
        <f aca="false">R959*$M959</f>
        <v>0</v>
      </c>
      <c r="T959" s="28"/>
      <c r="U959" s="28" t="n">
        <v>135</v>
      </c>
      <c r="V959" s="28"/>
      <c r="W959" s="28" t="n">
        <v>642</v>
      </c>
      <c r="X959" s="28"/>
      <c r="Y959" s="28" t="n">
        <f aca="false">X959*$M959</f>
        <v>0</v>
      </c>
      <c r="Z959" s="28"/>
      <c r="AA959" s="28" t="n">
        <f aca="false">Z959*$M959</f>
        <v>0</v>
      </c>
      <c r="AB959" s="28"/>
      <c r="AC959" s="28" t="n">
        <f aca="false">AB959*$M959</f>
        <v>0</v>
      </c>
      <c r="AD959" s="28"/>
      <c r="AE959" s="28" t="n">
        <f aca="false">AD959*$M959</f>
        <v>0</v>
      </c>
      <c r="AF959" s="28"/>
      <c r="AG959" s="28" t="n">
        <f aca="false">AF959*$M959</f>
        <v>0</v>
      </c>
      <c r="AH959" s="28"/>
      <c r="AI959" s="28" t="n">
        <f aca="false">AH959*$M959</f>
        <v>0</v>
      </c>
      <c r="AJ959" s="28"/>
      <c r="AK959" s="28" t="n">
        <v>375</v>
      </c>
      <c r="AL959" s="28"/>
      <c r="AM959" s="28" t="n">
        <f aca="false">AL959*$M959</f>
        <v>0</v>
      </c>
      <c r="AN959" s="28"/>
      <c r="AO959" s="28" t="n">
        <f aca="false">AN959*$M959</f>
        <v>0</v>
      </c>
      <c r="AP959" s="28"/>
      <c r="AQ959" s="28" t="n">
        <f aca="false">AP959*$M959</f>
        <v>0</v>
      </c>
      <c r="AR959" s="28"/>
      <c r="AS959" s="28" t="n">
        <f aca="false">AR959*$M959</f>
        <v>0</v>
      </c>
      <c r="AT959" s="28"/>
      <c r="AU959" s="28" t="n">
        <f aca="false">AT959*$M959</f>
        <v>0</v>
      </c>
      <c r="AV959" s="28"/>
      <c r="AW959" s="28" t="n">
        <v>765</v>
      </c>
      <c r="AX959" s="28"/>
      <c r="AY959" s="28" t="n">
        <f aca="false">AX959*$M959</f>
        <v>0</v>
      </c>
      <c r="AZ959" s="30"/>
      <c r="BA959" s="11" t="n">
        <v>1917</v>
      </c>
      <c r="BB959" s="31" t="n">
        <f aca="false">SUM(Q959,S959,U959,W959,Y959,AA959,AC959,AE959,AG959,AI959,AK959,AM959,AO959,AQ959,AS959,AU959,AW959,AY959)</f>
        <v>1917</v>
      </c>
      <c r="BC959" s="28" t="n">
        <f aca="false">BA959-BB959</f>
        <v>0</v>
      </c>
      <c r="BD959" s="32" t="n">
        <f aca="false">SUM(P959,R959,T959,V959,X959,Z959,AB959,AD959,AF959,AH959,AJ959,AL959,AN959,AP959,AR959,AT959,AV959,AX959)</f>
        <v>0</v>
      </c>
      <c r="BE959" s="33" t="n">
        <f aca="false">AZ959-BD959</f>
        <v>0</v>
      </c>
      <c r="BF959" s="34" t="n">
        <f aca="false">BD959*M959</f>
        <v>0</v>
      </c>
      <c r="BG959" s="35" t="n">
        <f aca="false">BA959-BF959</f>
        <v>1917</v>
      </c>
      <c r="BH959" s="19" t="str">
        <f aca="false">IF(BG959=0,"",IF(BG959&lt;&gt;BA959,"erreur de calcul",IF(BD959&lt;&gt;0,"pas de prix",IF(M959&lt;&gt; 0,"pas de quantité","pas de prix, ni de quantité"))))</f>
        <v>pas de prix, ni de quantité</v>
      </c>
      <c r="BI959" s="19"/>
    </row>
    <row r="960" customFormat="false" ht="15" hidden="false" customHeight="false" outlineLevel="0" collapsed="false">
      <c r="A960" s="0" t="n">
        <v>10</v>
      </c>
      <c r="B960" s="8" t="s">
        <v>24</v>
      </c>
      <c r="C960" s="9" t="s">
        <v>25</v>
      </c>
      <c r="D960" s="9" t="s">
        <v>26</v>
      </c>
      <c r="E960" s="10" t="n">
        <v>1789</v>
      </c>
      <c r="F960" s="9" t="s">
        <v>27</v>
      </c>
      <c r="G960" s="9" t="s">
        <v>27</v>
      </c>
      <c r="H960" s="11" t="n">
        <v>25</v>
      </c>
      <c r="I960" s="11" t="s">
        <v>339</v>
      </c>
      <c r="J960" s="14" t="n">
        <v>7</v>
      </c>
      <c r="K960" s="14"/>
      <c r="L960" s="16"/>
      <c r="M960" s="27" t="n">
        <f aca="false">J960+(K960/20)+(L960/240)</f>
        <v>7</v>
      </c>
      <c r="N960" s="17" t="s">
        <v>69</v>
      </c>
      <c r="O960" s="11"/>
      <c r="P960" s="28"/>
      <c r="Q960" s="28" t="n">
        <f aca="false">P960*$M960</f>
        <v>0</v>
      </c>
      <c r="R960" s="28"/>
      <c r="S960" s="28" t="n">
        <f aca="false">R960*$M960</f>
        <v>0</v>
      </c>
      <c r="T960" s="28"/>
      <c r="U960" s="28" t="n">
        <f aca="false">T960*$M960</f>
        <v>0</v>
      </c>
      <c r="V960" s="28" t="n">
        <v>554</v>
      </c>
      <c r="W960" s="28" t="n">
        <v>3878</v>
      </c>
      <c r="X960" s="28"/>
      <c r="Y960" s="28" t="n">
        <f aca="false">X960*$M960</f>
        <v>0</v>
      </c>
      <c r="Z960" s="28"/>
      <c r="AA960" s="28" t="n">
        <f aca="false">Z960*$M960</f>
        <v>0</v>
      </c>
      <c r="AB960" s="28"/>
      <c r="AC960" s="28" t="n">
        <f aca="false">AB960*$M960</f>
        <v>0</v>
      </c>
      <c r="AD960" s="28"/>
      <c r="AE960" s="28" t="n">
        <f aca="false">AD960*$M960</f>
        <v>0</v>
      </c>
      <c r="AF960" s="28"/>
      <c r="AG960" s="28" t="n">
        <f aca="false">AF960*$M960</f>
        <v>0</v>
      </c>
      <c r="AH960" s="28"/>
      <c r="AI960" s="28" t="n">
        <f aca="false">AH960*$M960</f>
        <v>0</v>
      </c>
      <c r="AJ960" s="28"/>
      <c r="AK960" s="28" t="n">
        <f aca="false">AJ960*$M960</f>
        <v>0</v>
      </c>
      <c r="AL960" s="28"/>
      <c r="AM960" s="28" t="n">
        <f aca="false">AL960*$M960</f>
        <v>0</v>
      </c>
      <c r="AN960" s="28"/>
      <c r="AO960" s="28" t="n">
        <f aca="false">AN960*$M960</f>
        <v>0</v>
      </c>
      <c r="AP960" s="28"/>
      <c r="AQ960" s="28" t="n">
        <f aca="false">AP960*$M960</f>
        <v>0</v>
      </c>
      <c r="AR960" s="28"/>
      <c r="AS960" s="28" t="n">
        <f aca="false">AR960*$M960</f>
        <v>0</v>
      </c>
      <c r="AT960" s="28"/>
      <c r="AU960" s="28" t="n">
        <f aca="false">AT960*$M960</f>
        <v>0</v>
      </c>
      <c r="AV960" s="28"/>
      <c r="AW960" s="28" t="n">
        <f aca="false">AV960*$M960</f>
        <v>0</v>
      </c>
      <c r="AX960" s="28"/>
      <c r="AY960" s="28" t="n">
        <f aca="false">AX960*$M960</f>
        <v>0</v>
      </c>
      <c r="AZ960" s="30" t="n">
        <v>554</v>
      </c>
      <c r="BA960" s="11" t="n">
        <v>3878</v>
      </c>
      <c r="BB960" s="31" t="n">
        <f aca="false">SUM(Q960,S960,U960,W960,Y960,AA960,AC960,AE960,AG960,AI960,AK960,AM960,AO960,AQ960,AS960,AU960,AW960,AY960)</f>
        <v>3878</v>
      </c>
      <c r="BC960" s="28" t="n">
        <f aca="false">BA960-BB960</f>
        <v>0</v>
      </c>
      <c r="BD960" s="32" t="n">
        <f aca="false">SUM(P960,R960,T960,V960,X960,Z960,AB960,AD960,AF960,AH960,AJ960,AL960,AN960,AP960,AR960,AT960,AV960,AX960)</f>
        <v>554</v>
      </c>
      <c r="BE960" s="33" t="n">
        <f aca="false">AZ960-BD960</f>
        <v>0</v>
      </c>
      <c r="BF960" s="34" t="n">
        <f aca="false">BD960*M960</f>
        <v>3878</v>
      </c>
      <c r="BG960" s="35" t="n">
        <f aca="false">BA960-BF960</f>
        <v>0</v>
      </c>
      <c r="BH960" s="19" t="str">
        <f aca="false">IF(BG960=0,"",IF(BG960&lt;&gt;BA960,"erreur de calcul",IF(BD960&lt;&gt;0,"pas de prix",IF(M960&lt;&gt; 0,"pas de quantité","pas de prix, ni de quantité"))))</f>
        <v/>
      </c>
      <c r="BI960" s="19"/>
    </row>
    <row r="961" customFormat="false" ht="15" hidden="false" customHeight="false" outlineLevel="0" collapsed="false">
      <c r="A961" s="0" t="n">
        <v>11</v>
      </c>
      <c r="B961" s="8" t="s">
        <v>24</v>
      </c>
      <c r="C961" s="9" t="s">
        <v>25</v>
      </c>
      <c r="D961" s="9" t="s">
        <v>26</v>
      </c>
      <c r="E961" s="10" t="n">
        <v>1789</v>
      </c>
      <c r="F961" s="9" t="s">
        <v>27</v>
      </c>
      <c r="G961" s="9" t="s">
        <v>27</v>
      </c>
      <c r="H961" s="11" t="n">
        <v>25</v>
      </c>
      <c r="I961" s="11" t="s">
        <v>340</v>
      </c>
      <c r="J961" s="14" t="n">
        <v>15</v>
      </c>
      <c r="K961" s="14"/>
      <c r="L961" s="16"/>
      <c r="M961" s="27" t="n">
        <f aca="false">J961+(K961/20)+(L961/240)</f>
        <v>15</v>
      </c>
      <c r="N961" s="17" t="s">
        <v>64</v>
      </c>
      <c r="O961" s="11"/>
      <c r="P961" s="28" t="n">
        <f aca="false">470959/100</f>
        <v>4709.59</v>
      </c>
      <c r="Q961" s="28" t="n">
        <v>70644</v>
      </c>
      <c r="R961" s="28"/>
      <c r="S961" s="28" t="n">
        <f aca="false">R961*$M961</f>
        <v>0</v>
      </c>
      <c r="T961" s="28"/>
      <c r="U961" s="28" t="n">
        <f aca="false">T961*$M961</f>
        <v>0</v>
      </c>
      <c r="V961" s="28"/>
      <c r="W961" s="28" t="n">
        <f aca="false">V961*$M961</f>
        <v>0</v>
      </c>
      <c r="X961" s="28"/>
      <c r="Y961" s="28" t="n">
        <f aca="false">X961*$M961</f>
        <v>0</v>
      </c>
      <c r="Z961" s="28"/>
      <c r="AA961" s="28" t="n">
        <f aca="false">Z961*$M961</f>
        <v>0</v>
      </c>
      <c r="AB961" s="28" t="n">
        <f aca="false">50000/100</f>
        <v>500</v>
      </c>
      <c r="AC961" s="28" t="n">
        <v>7500</v>
      </c>
      <c r="AD961" s="28"/>
      <c r="AE961" s="28" t="n">
        <f aca="false">AD961*$M961</f>
        <v>0</v>
      </c>
      <c r="AF961" s="28" t="n">
        <f aca="false">15584/100</f>
        <v>155.84</v>
      </c>
      <c r="AG961" s="28" t="n">
        <v>2338</v>
      </c>
      <c r="AH961" s="28"/>
      <c r="AI961" s="28" t="n">
        <f aca="false">AH961*$M961</f>
        <v>0</v>
      </c>
      <c r="AJ961" s="28"/>
      <c r="AK961" s="28" t="n">
        <f aca="false">AJ961*$M961</f>
        <v>0</v>
      </c>
      <c r="AL961" s="28"/>
      <c r="AM961" s="28" t="n">
        <f aca="false">AL961*$M961</f>
        <v>0</v>
      </c>
      <c r="AN961" s="28"/>
      <c r="AO961" s="28" t="n">
        <f aca="false">AN961*$M961</f>
        <v>0</v>
      </c>
      <c r="AP961" s="28"/>
      <c r="AQ961" s="28" t="n">
        <f aca="false">AP961*$M961</f>
        <v>0</v>
      </c>
      <c r="AR961" s="28"/>
      <c r="AS961" s="28" t="n">
        <f aca="false">AR961*$M961</f>
        <v>0</v>
      </c>
      <c r="AT961" s="28"/>
      <c r="AU961" s="28" t="n">
        <f aca="false">AT961*$M961</f>
        <v>0</v>
      </c>
      <c r="AV961" s="28"/>
      <c r="AW961" s="28" t="n">
        <f aca="false">AV961*$M961</f>
        <v>0</v>
      </c>
      <c r="AX961" s="28"/>
      <c r="AY961" s="28" t="n">
        <f aca="false">AX961*$M961</f>
        <v>0</v>
      </c>
      <c r="AZ961" s="30" t="n">
        <f aca="false">535959/100</f>
        <v>5359.59</v>
      </c>
      <c r="BA961" s="11" t="n">
        <v>80482</v>
      </c>
      <c r="BB961" s="31" t="n">
        <f aca="false">SUM(Q961,S961,U961,W961,Y961,AA961,AC961,AE961,AG961,AI961,AK961,AM961,AO961,AQ961,AS961,AU961,AW961,AY961)</f>
        <v>80482</v>
      </c>
      <c r="BC961" s="28" t="n">
        <f aca="false">BA961-BB961</f>
        <v>0</v>
      </c>
      <c r="BD961" s="32" t="n">
        <f aca="false">SUM(P961,R961,T961,V961,X961,Z961,AB961,AD961,AF961,AH961,AJ961,AL961,AN961,AP961,AR961,AT961,AV961,AX961)</f>
        <v>5365.43</v>
      </c>
      <c r="BE961" s="33" t="n">
        <f aca="false">AZ961-BD961</f>
        <v>-5.84000000000015</v>
      </c>
      <c r="BF961" s="34" t="n">
        <f aca="false">BD961*M961</f>
        <v>80481.45</v>
      </c>
      <c r="BG961" s="35" t="n">
        <f aca="false">BA961-BF961</f>
        <v>0.549999999988359</v>
      </c>
      <c r="BH961" s="19" t="str">
        <f aca="false">IF(BG961=0,"",IF(BG961&lt;&gt;BA961,"erreur de calcul",IF(BD961&lt;&gt;0,"pas de prix",IF(M961&lt;&gt; 0,"pas de quantité","pas de prix, ni de quantité"))))</f>
        <v>erreur de calcul</v>
      </c>
      <c r="BI961" s="19"/>
    </row>
    <row r="962" customFormat="false" ht="15" hidden="false" customHeight="false" outlineLevel="0" collapsed="false">
      <c r="A962" s="0" t="n">
        <v>12</v>
      </c>
      <c r="B962" s="8" t="s">
        <v>24</v>
      </c>
      <c r="C962" s="9" t="s">
        <v>25</v>
      </c>
      <c r="D962" s="9" t="s">
        <v>26</v>
      </c>
      <c r="E962" s="10" t="n">
        <v>1789</v>
      </c>
      <c r="F962" s="9" t="s">
        <v>27</v>
      </c>
      <c r="G962" s="9" t="s">
        <v>27</v>
      </c>
      <c r="H962" s="11" t="n">
        <v>25</v>
      </c>
      <c r="I962" s="11" t="s">
        <v>341</v>
      </c>
      <c r="J962" s="14" t="n">
        <v>75</v>
      </c>
      <c r="K962" s="14"/>
      <c r="L962" s="16"/>
      <c r="M962" s="27" t="n">
        <f aca="false">J962+(K962/20)+(L962/240)</f>
        <v>75</v>
      </c>
      <c r="N962" s="17" t="s">
        <v>85</v>
      </c>
      <c r="O962" s="11"/>
      <c r="P962" s="28"/>
      <c r="Q962" s="28" t="n">
        <f aca="false">P962*$M962</f>
        <v>0</v>
      </c>
      <c r="R962" s="28"/>
      <c r="S962" s="28" t="n">
        <f aca="false">R962*$M962</f>
        <v>0</v>
      </c>
      <c r="T962" s="28"/>
      <c r="U962" s="28" t="n">
        <f aca="false">T962*$M962</f>
        <v>0</v>
      </c>
      <c r="V962" s="28"/>
      <c r="W962" s="28" t="n">
        <f aca="false">V962*$M962</f>
        <v>0</v>
      </c>
      <c r="X962" s="28"/>
      <c r="Y962" s="28" t="n">
        <f aca="false">X962*$M962</f>
        <v>0</v>
      </c>
      <c r="Z962" s="28"/>
      <c r="AA962" s="28" t="n">
        <f aca="false">Z962*$M962</f>
        <v>0</v>
      </c>
      <c r="AB962" s="28"/>
      <c r="AC962" s="28" t="n">
        <f aca="false">AB962*$M962</f>
        <v>0</v>
      </c>
      <c r="AD962" s="28"/>
      <c r="AE962" s="28" t="n">
        <f aca="false">AD962*$M962</f>
        <v>0</v>
      </c>
      <c r="AF962" s="28"/>
      <c r="AG962" s="28" t="n">
        <f aca="false">AF962*$M962</f>
        <v>0</v>
      </c>
      <c r="AH962" s="28"/>
      <c r="AI962" s="28" t="n">
        <f aca="false">AH962*$M962</f>
        <v>0</v>
      </c>
      <c r="AJ962" s="28"/>
      <c r="AK962" s="28" t="n">
        <f aca="false">AJ962*$M962</f>
        <v>0</v>
      </c>
      <c r="AL962" s="28" t="n">
        <f aca="false">2584/100</f>
        <v>25.84</v>
      </c>
      <c r="AM962" s="28" t="n">
        <v>1938</v>
      </c>
      <c r="AN962" s="28"/>
      <c r="AO962" s="28" t="n">
        <f aca="false">AN962*$M962</f>
        <v>0</v>
      </c>
      <c r="AP962" s="28"/>
      <c r="AQ962" s="28" t="n">
        <f aca="false">AP962*$M962</f>
        <v>0</v>
      </c>
      <c r="AR962" s="28"/>
      <c r="AS962" s="28" t="n">
        <f aca="false">AR962*$M962</f>
        <v>0</v>
      </c>
      <c r="AT962" s="28"/>
      <c r="AU962" s="28" t="n">
        <f aca="false">AT962*$M962</f>
        <v>0</v>
      </c>
      <c r="AV962" s="28"/>
      <c r="AW962" s="28" t="n">
        <f aca="false">AV962*$M962</f>
        <v>0</v>
      </c>
      <c r="AX962" s="28"/>
      <c r="AY962" s="28" t="n">
        <f aca="false">AX962*$M962</f>
        <v>0</v>
      </c>
      <c r="AZ962" s="30" t="n">
        <f aca="false">2584/100</f>
        <v>25.84</v>
      </c>
      <c r="BA962" s="11" t="n">
        <v>1938</v>
      </c>
      <c r="BB962" s="31" t="n">
        <f aca="false">SUM(Q962,S962,U962,W962,Y962,AA962,AC962,AE962,AG962,AI962,AK962,AM962,AO962,AQ962,AS962,AU962,AW962,AY962)</f>
        <v>1938</v>
      </c>
      <c r="BC962" s="28" t="n">
        <f aca="false">BA962-BB962</f>
        <v>0</v>
      </c>
      <c r="BD962" s="32" t="n">
        <f aca="false">SUM(P962,R962,T962,V962,X962,Z962,AB962,AD962,AF962,AH962,AJ962,AL962,AN962,AP962,AR962,AT962,AV962,AX962)</f>
        <v>25.84</v>
      </c>
      <c r="BE962" s="33" t="n">
        <f aca="false">AZ962-BD962</f>
        <v>0</v>
      </c>
      <c r="BF962" s="34" t="n">
        <f aca="false">BD962*M962</f>
        <v>1938</v>
      </c>
      <c r="BG962" s="35" t="n">
        <f aca="false">BA962-BF962</f>
        <v>0</v>
      </c>
      <c r="BH962" s="19" t="str">
        <f aca="false">IF(BG962=0,"",IF(BG962&lt;&gt;BA962,"erreur de calcul",IF(BD962&lt;&gt;0,"pas de prix",IF(M962&lt;&gt; 0,"pas de quantité","pas de prix, ni de quantité"))))</f>
        <v/>
      </c>
      <c r="BI962" s="19"/>
    </row>
    <row r="963" customFormat="false" ht="15" hidden="false" customHeight="false" outlineLevel="0" collapsed="false">
      <c r="A963" s="0" t="n">
        <v>13</v>
      </c>
      <c r="B963" s="8" t="s">
        <v>24</v>
      </c>
      <c r="C963" s="9" t="s">
        <v>25</v>
      </c>
      <c r="D963" s="9" t="s">
        <v>26</v>
      </c>
      <c r="E963" s="10" t="n">
        <v>1789</v>
      </c>
      <c r="F963" s="9" t="s">
        <v>27</v>
      </c>
      <c r="G963" s="9" t="s">
        <v>27</v>
      </c>
      <c r="H963" s="11" t="n">
        <v>25</v>
      </c>
      <c r="I963" s="11" t="s">
        <v>342</v>
      </c>
      <c r="J963" s="14" t="n">
        <v>10</v>
      </c>
      <c r="K963" s="14"/>
      <c r="L963" s="16"/>
      <c r="M963" s="27" t="n">
        <f aca="false">J963+(K963/20)+(L963/240)</f>
        <v>10</v>
      </c>
      <c r="N963" s="17" t="s">
        <v>66</v>
      </c>
      <c r="O963" s="11"/>
      <c r="P963" s="28"/>
      <c r="Q963" s="28" t="n">
        <f aca="false">P963*$M963</f>
        <v>0</v>
      </c>
      <c r="R963" s="28" t="n">
        <v>827</v>
      </c>
      <c r="S963" s="28" t="n">
        <v>8270</v>
      </c>
      <c r="T963" s="28"/>
      <c r="U963" s="28" t="n">
        <f aca="false">T963*$M963</f>
        <v>0</v>
      </c>
      <c r="V963" s="28"/>
      <c r="W963" s="28" t="n">
        <f aca="false">V963*$M963</f>
        <v>0</v>
      </c>
      <c r="X963" s="28"/>
      <c r="Y963" s="28" t="n">
        <f aca="false">X963*$M963</f>
        <v>0</v>
      </c>
      <c r="Z963" s="28"/>
      <c r="AA963" s="28" t="n">
        <f aca="false">Z963*$M963</f>
        <v>0</v>
      </c>
      <c r="AB963" s="28"/>
      <c r="AC963" s="28" t="n">
        <f aca="false">AB963*$M963</f>
        <v>0</v>
      </c>
      <c r="AD963" s="28"/>
      <c r="AE963" s="28" t="n">
        <f aca="false">AD963*$M963</f>
        <v>0</v>
      </c>
      <c r="AF963" s="28"/>
      <c r="AG963" s="28" t="n">
        <f aca="false">AF963*$M963</f>
        <v>0</v>
      </c>
      <c r="AH963" s="28"/>
      <c r="AI963" s="28" t="n">
        <f aca="false">AH963*$M963</f>
        <v>0</v>
      </c>
      <c r="AJ963" s="28"/>
      <c r="AK963" s="28" t="n">
        <f aca="false">AJ963*$M963</f>
        <v>0</v>
      </c>
      <c r="AL963" s="28"/>
      <c r="AM963" s="28" t="n">
        <f aca="false">AL963*$M963</f>
        <v>0</v>
      </c>
      <c r="AN963" s="28"/>
      <c r="AO963" s="28" t="n">
        <f aca="false">AN963*$M963</f>
        <v>0</v>
      </c>
      <c r="AP963" s="28"/>
      <c r="AQ963" s="28" t="n">
        <f aca="false">AP963*$M963</f>
        <v>0</v>
      </c>
      <c r="AR963" s="28"/>
      <c r="AS963" s="28" t="n">
        <f aca="false">AR963*$M963</f>
        <v>0</v>
      </c>
      <c r="AT963" s="28"/>
      <c r="AU963" s="28" t="n">
        <f aca="false">AT963*$M963</f>
        <v>0</v>
      </c>
      <c r="AV963" s="28"/>
      <c r="AW963" s="28" t="n">
        <f aca="false">AV963*$M963</f>
        <v>0</v>
      </c>
      <c r="AX963" s="28"/>
      <c r="AY963" s="28" t="n">
        <f aca="false">AX963*$M963</f>
        <v>0</v>
      </c>
      <c r="AZ963" s="30" t="n">
        <v>827</v>
      </c>
      <c r="BA963" s="11" t="n">
        <v>8270</v>
      </c>
      <c r="BB963" s="31" t="n">
        <f aca="false">SUM(Q963,S963,U963,W963,Y963,AA963,AC963,AE963,AG963,AI963,AK963,AM963,AO963,AQ963,AS963,AU963,AW963,AY963)</f>
        <v>8270</v>
      </c>
      <c r="BC963" s="28" t="n">
        <f aca="false">BA963-BB963</f>
        <v>0</v>
      </c>
      <c r="BD963" s="32" t="n">
        <f aca="false">SUM(P963,R963,T963,V963,X963,Z963,AB963,AD963,AF963,AH963,AJ963,AL963,AN963,AP963,AR963,AT963,AV963,AX963)</f>
        <v>827</v>
      </c>
      <c r="BE963" s="33" t="n">
        <f aca="false">AZ963-BD963</f>
        <v>0</v>
      </c>
      <c r="BF963" s="34" t="n">
        <f aca="false">BD963*M963</f>
        <v>8270</v>
      </c>
      <c r="BG963" s="35" t="n">
        <f aca="false">BA963-BF963</f>
        <v>0</v>
      </c>
      <c r="BH963" s="19" t="str">
        <f aca="false">IF(BG963=0,"",IF(BG963&lt;&gt;BA963,"erreur de calcul",IF(BD963&lt;&gt;0,"pas de prix",IF(M963&lt;&gt; 0,"pas de quantité","pas de prix, ni de quantité"))))</f>
        <v/>
      </c>
      <c r="BI963" s="19"/>
    </row>
    <row r="964" customFormat="false" ht="15" hidden="false" customHeight="false" outlineLevel="0" collapsed="false">
      <c r="A964" s="0" t="n">
        <v>14</v>
      </c>
      <c r="B964" s="8" t="s">
        <v>24</v>
      </c>
      <c r="C964" s="9" t="s">
        <v>25</v>
      </c>
      <c r="D964" s="9" t="s">
        <v>26</v>
      </c>
      <c r="E964" s="10" t="n">
        <v>1789</v>
      </c>
      <c r="F964" s="9" t="s">
        <v>27</v>
      </c>
      <c r="G964" s="9" t="s">
        <v>27</v>
      </c>
      <c r="H964" s="11" t="n">
        <v>25</v>
      </c>
      <c r="I964" s="11" t="s">
        <v>343</v>
      </c>
      <c r="J964" s="14" t="n">
        <v>4</v>
      </c>
      <c r="K964" s="14"/>
      <c r="L964" s="16"/>
      <c r="M964" s="27" t="n">
        <f aca="false">J964+(K964/20)+(L964/240)</f>
        <v>4</v>
      </c>
      <c r="N964" s="17" t="s">
        <v>69</v>
      </c>
      <c r="O964" s="11"/>
      <c r="P964" s="28"/>
      <c r="Q964" s="28" t="n">
        <f aca="false">P964*$M964</f>
        <v>0</v>
      </c>
      <c r="R964" s="28"/>
      <c r="S964" s="28" t="n">
        <f aca="false">R964*$M964</f>
        <v>0</v>
      </c>
      <c r="T964" s="28"/>
      <c r="U964" s="28" t="n">
        <f aca="false">T964*$M964</f>
        <v>0</v>
      </c>
      <c r="V964" s="28" t="n">
        <v>2198</v>
      </c>
      <c r="W964" s="28" t="n">
        <v>8792</v>
      </c>
      <c r="X964" s="28"/>
      <c r="Y964" s="28" t="n">
        <f aca="false">X964*$M964</f>
        <v>0</v>
      </c>
      <c r="Z964" s="28"/>
      <c r="AA964" s="28" t="n">
        <f aca="false">Z964*$M964</f>
        <v>0</v>
      </c>
      <c r="AB964" s="28"/>
      <c r="AC964" s="28" t="n">
        <f aca="false">AB964*$M964</f>
        <v>0</v>
      </c>
      <c r="AD964" s="28"/>
      <c r="AE964" s="28" t="n">
        <f aca="false">AD964*$M964</f>
        <v>0</v>
      </c>
      <c r="AF964" s="28"/>
      <c r="AG964" s="28" t="n">
        <f aca="false">AF964*$M964</f>
        <v>0</v>
      </c>
      <c r="AH964" s="28"/>
      <c r="AI964" s="28" t="n">
        <f aca="false">AH964*$M964</f>
        <v>0</v>
      </c>
      <c r="AJ964" s="28"/>
      <c r="AK964" s="28" t="n">
        <f aca="false">AJ964*$M964</f>
        <v>0</v>
      </c>
      <c r="AL964" s="28"/>
      <c r="AM964" s="28" t="n">
        <f aca="false">AL964*$M964</f>
        <v>0</v>
      </c>
      <c r="AN964" s="28"/>
      <c r="AO964" s="28" t="n">
        <f aca="false">AN964*$M964</f>
        <v>0</v>
      </c>
      <c r="AP964" s="28"/>
      <c r="AQ964" s="28" t="n">
        <f aca="false">AP964*$M964</f>
        <v>0</v>
      </c>
      <c r="AR964" s="28"/>
      <c r="AS964" s="28" t="n">
        <f aca="false">AR964*$M964</f>
        <v>0</v>
      </c>
      <c r="AT964" s="28"/>
      <c r="AU964" s="28" t="n">
        <f aca="false">AT964*$M964</f>
        <v>0</v>
      </c>
      <c r="AV964" s="28"/>
      <c r="AW964" s="28" t="n">
        <f aca="false">AV964*$M964</f>
        <v>0</v>
      </c>
      <c r="AX964" s="28"/>
      <c r="AY964" s="28" t="n">
        <f aca="false">AX964*$M964</f>
        <v>0</v>
      </c>
      <c r="AZ964" s="30" t="n">
        <v>2198</v>
      </c>
      <c r="BA964" s="11" t="n">
        <v>8792</v>
      </c>
      <c r="BB964" s="31" t="n">
        <f aca="false">SUM(Q964,S964,U964,W964,Y964,AA964,AC964,AE964,AG964,AI964,AK964,AM964,AO964,AQ964,AS964,AU964,AW964,AY964)</f>
        <v>8792</v>
      </c>
      <c r="BC964" s="28" t="n">
        <f aca="false">BA964-BB964</f>
        <v>0</v>
      </c>
      <c r="BD964" s="32" t="n">
        <f aca="false">SUM(P964,R964,T964,V964,X964,Z964,AB964,AD964,AF964,AH964,AJ964,AL964,AN964,AP964,AR964,AT964,AV964,AX964)</f>
        <v>2198</v>
      </c>
      <c r="BE964" s="33" t="n">
        <f aca="false">AZ964-BD964</f>
        <v>0</v>
      </c>
      <c r="BF964" s="34" t="n">
        <f aca="false">BD964*M964</f>
        <v>8792</v>
      </c>
      <c r="BG964" s="35" t="n">
        <f aca="false">BA964-BF964</f>
        <v>0</v>
      </c>
      <c r="BH964" s="19" t="str">
        <f aca="false">IF(BG964=0,"",IF(BG964&lt;&gt;BA964,"erreur de calcul",IF(BD964&lt;&gt;0,"pas de prix",IF(M964&lt;&gt; 0,"pas de quantité","pas de prix, ni de quantité"))))</f>
        <v/>
      </c>
      <c r="BI964" s="19"/>
    </row>
    <row r="965" customFormat="false" ht="15" hidden="false" customHeight="false" outlineLevel="0" collapsed="false">
      <c r="A965" s="0" t="n">
        <v>15</v>
      </c>
      <c r="B965" s="8" t="s">
        <v>24</v>
      </c>
      <c r="C965" s="9" t="s">
        <v>25</v>
      </c>
      <c r="D965" s="9" t="s">
        <v>26</v>
      </c>
      <c r="E965" s="10" t="n">
        <v>1789</v>
      </c>
      <c r="F965" s="9" t="s">
        <v>27</v>
      </c>
      <c r="G965" s="9" t="s">
        <v>27</v>
      </c>
      <c r="H965" s="11" t="n">
        <v>25</v>
      </c>
      <c r="I965" s="11" t="s">
        <v>344</v>
      </c>
      <c r="J965" s="14" t="n">
        <v>2000</v>
      </c>
      <c r="K965" s="14"/>
      <c r="L965" s="16"/>
      <c r="M965" s="27" t="n">
        <f aca="false">J965+(K965/20)+(L965/240)</f>
        <v>2000</v>
      </c>
      <c r="N965" s="17" t="s">
        <v>64</v>
      </c>
      <c r="O965" s="11" t="s">
        <v>277</v>
      </c>
      <c r="P965" s="28"/>
      <c r="Q965" s="28" t="n">
        <f aca="false">P965*$M965</f>
        <v>0</v>
      </c>
      <c r="R965" s="28"/>
      <c r="S965" s="28" t="n">
        <f aca="false">R965*$M965</f>
        <v>0</v>
      </c>
      <c r="T965" s="28"/>
      <c r="U965" s="28" t="n">
        <f aca="false">T965*$M965</f>
        <v>0</v>
      </c>
      <c r="V965" s="28"/>
      <c r="W965" s="28" t="n">
        <f aca="false">V965*$M965</f>
        <v>0</v>
      </c>
      <c r="X965" s="28"/>
      <c r="Y965" s="28" t="n">
        <f aca="false">X965*$M965</f>
        <v>0</v>
      </c>
      <c r="Z965" s="28"/>
      <c r="AA965" s="28" t="n">
        <f aca="false">Z965*$M965</f>
        <v>0</v>
      </c>
      <c r="AB965" s="28"/>
      <c r="AC965" s="28" t="n">
        <f aca="false">AB965*$M965</f>
        <v>0</v>
      </c>
      <c r="AD965" s="28"/>
      <c r="AE965" s="28" t="n">
        <f aca="false">AD965*$M965</f>
        <v>0</v>
      </c>
      <c r="AF965" s="28"/>
      <c r="AG965" s="28" t="n">
        <f aca="false">AF965*$M965</f>
        <v>0</v>
      </c>
      <c r="AH965" s="28"/>
      <c r="AI965" s="28" t="n">
        <f aca="false">AH965*$M965</f>
        <v>0</v>
      </c>
      <c r="AJ965" s="28"/>
      <c r="AK965" s="28" t="n">
        <f aca="false">AJ965*$M965</f>
        <v>0</v>
      </c>
      <c r="AL965" s="28"/>
      <c r="AM965" s="28" t="n">
        <f aca="false">AL965*$M965</f>
        <v>0</v>
      </c>
      <c r="AN965" s="28"/>
      <c r="AO965" s="28" t="n">
        <f aca="false">AN965*$M965</f>
        <v>0</v>
      </c>
      <c r="AP965" s="28"/>
      <c r="AQ965" s="28" t="n">
        <f aca="false">AP965*$M965</f>
        <v>0</v>
      </c>
      <c r="AR965" s="28"/>
      <c r="AS965" s="28" t="n">
        <f aca="false">AR965*$M965</f>
        <v>0</v>
      </c>
      <c r="AT965" s="28"/>
      <c r="AU965" s="28" t="n">
        <f aca="false">AT965*$M965</f>
        <v>0</v>
      </c>
      <c r="AV965" s="28"/>
      <c r="AW965" s="28" t="n">
        <f aca="false">AV965*$M965</f>
        <v>0</v>
      </c>
      <c r="AX965" s="28"/>
      <c r="AY965" s="28" t="n">
        <f aca="false">AX965*$M965</f>
        <v>0</v>
      </c>
      <c r="AZ965" s="30"/>
      <c r="BA965" s="11"/>
      <c r="BB965" s="31" t="n">
        <f aca="false">SUM(Q965,S965,U965,W965,Y965,AA965,AC965,AE965,AG965,AI965,AK965,AM965,AO965,AQ965,AS965,AU965,AW965,AY965)</f>
        <v>0</v>
      </c>
      <c r="BC965" s="28" t="n">
        <f aca="false">BA965-BB965</f>
        <v>0</v>
      </c>
      <c r="BD965" s="32" t="n">
        <f aca="false">SUM(P965,R965,T965,V965,X965,Z965,AB965,AD965,AF965,AH965,AJ965,AL965,AN965,AP965,AR965,AT965,AV965,AX965)</f>
        <v>0</v>
      </c>
      <c r="BE965" s="33" t="n">
        <f aca="false">AZ965-BD965</f>
        <v>0</v>
      </c>
      <c r="BF965" s="34" t="n">
        <f aca="false">BD965*M965</f>
        <v>0</v>
      </c>
      <c r="BG965" s="35" t="n">
        <f aca="false">BA965-BF965</f>
        <v>0</v>
      </c>
      <c r="BH965" s="19" t="str">
        <f aca="false">IF(BG965=0,"",IF(BG965&lt;&gt;BA965,"erreur de calcul",IF(BD965&lt;&gt;0,"pas de prix",IF(M965&lt;&gt; 0,"pas de quantité","pas de prix, ni de quantité"))))</f>
        <v/>
      </c>
      <c r="BI965" s="19"/>
    </row>
    <row r="966" customFormat="false" ht="15" hidden="false" customHeight="false" outlineLevel="0" collapsed="false">
      <c r="A966" s="0" t="n">
        <v>16</v>
      </c>
      <c r="B966" s="8" t="s">
        <v>24</v>
      </c>
      <c r="C966" s="9" t="s">
        <v>25</v>
      </c>
      <c r="D966" s="9" t="s">
        <v>26</v>
      </c>
      <c r="E966" s="10" t="n">
        <v>1789</v>
      </c>
      <c r="F966" s="9" t="s">
        <v>27</v>
      </c>
      <c r="G966" s="9" t="s">
        <v>27</v>
      </c>
      <c r="H966" s="11" t="n">
        <v>25</v>
      </c>
      <c r="I966" s="11" t="s">
        <v>344</v>
      </c>
      <c r="J966" s="14" t="n">
        <v>2000</v>
      </c>
      <c r="K966" s="14"/>
      <c r="L966" s="16"/>
      <c r="M966" s="27" t="n">
        <f aca="false">J966+(K966/20)+(L966/240)</f>
        <v>2000</v>
      </c>
      <c r="N966" s="17" t="s">
        <v>64</v>
      </c>
      <c r="O966" s="11" t="s">
        <v>98</v>
      </c>
      <c r="P966" s="28"/>
      <c r="Q966" s="28" t="n">
        <f aca="false">P966*$M966</f>
        <v>0</v>
      </c>
      <c r="R966" s="28"/>
      <c r="S966" s="28" t="n">
        <f aca="false">R966*$M966</f>
        <v>0</v>
      </c>
      <c r="T966" s="28"/>
      <c r="U966" s="28" t="n">
        <f aca="false">T966*$M966</f>
        <v>0</v>
      </c>
      <c r="V966" s="28"/>
      <c r="W966" s="28" t="n">
        <f aca="false">V966*$M966</f>
        <v>0</v>
      </c>
      <c r="X966" s="28" t="n">
        <f aca="false">607/100</f>
        <v>6.07</v>
      </c>
      <c r="Y966" s="28" t="n">
        <f aca="false">X966*$M966</f>
        <v>12140</v>
      </c>
      <c r="Z966" s="28"/>
      <c r="AA966" s="28" t="n">
        <f aca="false">Z966*$M966</f>
        <v>0</v>
      </c>
      <c r="AB966" s="28"/>
      <c r="AC966" s="28" t="n">
        <f aca="false">AB966*$M966</f>
        <v>0</v>
      </c>
      <c r="AD966" s="28"/>
      <c r="AE966" s="28" t="n">
        <f aca="false">AD966*$M966</f>
        <v>0</v>
      </c>
      <c r="AF966" s="28"/>
      <c r="AG966" s="28" t="n">
        <f aca="false">AF966*$M966</f>
        <v>0</v>
      </c>
      <c r="AH966" s="28"/>
      <c r="AI966" s="28" t="n">
        <f aca="false">AH966*$M966</f>
        <v>0</v>
      </c>
      <c r="AJ966" s="28"/>
      <c r="AK966" s="28" t="n">
        <f aca="false">AJ966*$M966</f>
        <v>0</v>
      </c>
      <c r="AL966" s="28" t="n">
        <f aca="false">145/100</f>
        <v>1.45</v>
      </c>
      <c r="AM966" s="28" t="n">
        <f aca="false">AL966*$M966</f>
        <v>2900</v>
      </c>
      <c r="AN966" s="28" t="n">
        <f aca="false">3865/100</f>
        <v>38.65</v>
      </c>
      <c r="AO966" s="28" t="n">
        <v>77300</v>
      </c>
      <c r="AP966" s="28"/>
      <c r="AQ966" s="28" t="n">
        <f aca="false">AP966*$M966</f>
        <v>0</v>
      </c>
      <c r="AR966" s="28"/>
      <c r="AS966" s="28" t="n">
        <f aca="false">AR966*$M966</f>
        <v>0</v>
      </c>
      <c r="AT966" s="28"/>
      <c r="AU966" s="28" t="n">
        <f aca="false">AT966*$M966</f>
        <v>0</v>
      </c>
      <c r="AV966" s="28"/>
      <c r="AW966" s="28" t="n">
        <f aca="false">AV966*$M966</f>
        <v>0</v>
      </c>
      <c r="AX966" s="28"/>
      <c r="AY966" s="28" t="n">
        <f aca="false">AX966*$M966</f>
        <v>0</v>
      </c>
      <c r="AZ966" s="30" t="n">
        <f aca="false">4617/100</f>
        <v>46.17</v>
      </c>
      <c r="BA966" s="11" t="n">
        <v>92340</v>
      </c>
      <c r="BB966" s="31" t="n">
        <f aca="false">SUM(Q966,S966,U966,W966,Y966,AA966,AC966,AE966,AG966,AI966,AK966,AM966,AO966,AQ966,AS966,AU966,AW966,AY966)</f>
        <v>92340</v>
      </c>
      <c r="BC966" s="28" t="n">
        <f aca="false">BA966-BB966</f>
        <v>0</v>
      </c>
      <c r="BD966" s="32" t="n">
        <f aca="false">SUM(P966,R966,T966,V966,X966,Z966,AB966,AD966,AF966,AH966,AJ966,AL966,AN966,AP966,AR966,AT966,AV966,AX966)</f>
        <v>46.17</v>
      </c>
      <c r="BE966" s="33" t="n">
        <f aca="false">AZ966-BD966</f>
        <v>0</v>
      </c>
      <c r="BF966" s="34" t="n">
        <f aca="false">BD966*M966</f>
        <v>92340</v>
      </c>
      <c r="BG966" s="35" t="n">
        <f aca="false">BA966-BF966</f>
        <v>0</v>
      </c>
      <c r="BH966" s="19" t="str">
        <f aca="false">IF(BG966=0,"",IF(BG966&lt;&gt;BA966,"erreur de calcul",IF(BD966&lt;&gt;0,"pas de prix",IF(M966&lt;&gt; 0,"pas de quantité","pas de prix, ni de quantité"))))</f>
        <v/>
      </c>
      <c r="BI966" s="19"/>
    </row>
    <row r="967" customFormat="false" ht="15" hidden="false" customHeight="false" outlineLevel="0" collapsed="false">
      <c r="A967" s="0" t="n">
        <v>17</v>
      </c>
      <c r="B967" s="8" t="s">
        <v>24</v>
      </c>
      <c r="C967" s="9" t="s">
        <v>25</v>
      </c>
      <c r="D967" s="9" t="s">
        <v>26</v>
      </c>
      <c r="E967" s="10" t="n">
        <v>1789</v>
      </c>
      <c r="F967" s="9" t="s">
        <v>27</v>
      </c>
      <c r="G967" s="9" t="s">
        <v>27</v>
      </c>
      <c r="H967" s="11" t="n">
        <v>25</v>
      </c>
      <c r="I967" s="11" t="s">
        <v>345</v>
      </c>
      <c r="J967" s="14"/>
      <c r="K967" s="14" t="n">
        <v>12</v>
      </c>
      <c r="L967" s="16"/>
      <c r="M967" s="27" t="n">
        <f aca="false">J967+(K967/20)+(L967/240)</f>
        <v>0.6</v>
      </c>
      <c r="N967" s="17" t="s">
        <v>66</v>
      </c>
      <c r="O967" s="11"/>
      <c r="P967" s="28"/>
      <c r="Q967" s="28" t="n">
        <f aca="false">P967*$M967</f>
        <v>0</v>
      </c>
      <c r="R967" s="28"/>
      <c r="S967" s="28" t="n">
        <f aca="false">R967*$M967</f>
        <v>0</v>
      </c>
      <c r="T967" s="28"/>
      <c r="U967" s="28" t="n">
        <f aca="false">T967*$M967</f>
        <v>0</v>
      </c>
      <c r="V967" s="28"/>
      <c r="W967" s="28" t="n">
        <f aca="false">V967*$M967</f>
        <v>0</v>
      </c>
      <c r="X967" s="28"/>
      <c r="Y967" s="28" t="n">
        <f aca="false">X967*$M967</f>
        <v>0</v>
      </c>
      <c r="Z967" s="28"/>
      <c r="AA967" s="28" t="n">
        <f aca="false">Z967*$M967</f>
        <v>0</v>
      </c>
      <c r="AB967" s="28"/>
      <c r="AC967" s="28" t="n">
        <f aca="false">AB967*$M967</f>
        <v>0</v>
      </c>
      <c r="AD967" s="28"/>
      <c r="AE967" s="28" t="n">
        <f aca="false">AD967*$M967</f>
        <v>0</v>
      </c>
      <c r="AF967" s="28"/>
      <c r="AG967" s="28" t="n">
        <f aca="false">AF967*$M967</f>
        <v>0</v>
      </c>
      <c r="AH967" s="28"/>
      <c r="AI967" s="28" t="n">
        <f aca="false">AH967*$M967</f>
        <v>0</v>
      </c>
      <c r="AJ967" s="28" t="n">
        <v>41194</v>
      </c>
      <c r="AK967" s="28" t="n">
        <v>24716</v>
      </c>
      <c r="AL967" s="28"/>
      <c r="AM967" s="28" t="n">
        <f aca="false">AL967*$M967</f>
        <v>0</v>
      </c>
      <c r="AN967" s="28"/>
      <c r="AO967" s="28" t="n">
        <f aca="false">AN967*$M967</f>
        <v>0</v>
      </c>
      <c r="AP967" s="28"/>
      <c r="AQ967" s="28" t="n">
        <f aca="false">AP967*$M967</f>
        <v>0</v>
      </c>
      <c r="AR967" s="28"/>
      <c r="AS967" s="28" t="n">
        <f aca="false">AR967*$M967</f>
        <v>0</v>
      </c>
      <c r="AT967" s="28"/>
      <c r="AU967" s="28" t="n">
        <f aca="false">AT967*$M967</f>
        <v>0</v>
      </c>
      <c r="AV967" s="28"/>
      <c r="AW967" s="28" t="n">
        <f aca="false">AV967*$M967</f>
        <v>0</v>
      </c>
      <c r="AX967" s="28"/>
      <c r="AY967" s="28" t="n">
        <f aca="false">AX967*$M967</f>
        <v>0</v>
      </c>
      <c r="AZ967" s="30" t="n">
        <v>41194</v>
      </c>
      <c r="BA967" s="11" t="n">
        <v>24716</v>
      </c>
      <c r="BB967" s="31" t="n">
        <f aca="false">SUM(Q967,S967,U967,W967,Y967,AA967,AC967,AE967,AG967,AI967,AK967,AM967,AO967,AQ967,AS967,AU967,AW967,AY967)</f>
        <v>24716</v>
      </c>
      <c r="BC967" s="28" t="n">
        <f aca="false">BA967-BB967</f>
        <v>0</v>
      </c>
      <c r="BD967" s="32" t="n">
        <f aca="false">SUM(P967,R967,T967,V967,X967,Z967,AB967,AD967,AF967,AH967,AJ967,AL967,AN967,AP967,AR967,AT967,AV967,AX967)</f>
        <v>41194</v>
      </c>
      <c r="BE967" s="33" t="n">
        <f aca="false">AZ967-BD967</f>
        <v>0</v>
      </c>
      <c r="BF967" s="34" t="n">
        <f aca="false">BD967*M967</f>
        <v>24716.4</v>
      </c>
      <c r="BG967" s="35" t="n">
        <f aca="false">BA967-BF967</f>
        <v>-0.399999999997817</v>
      </c>
      <c r="BH967" s="19" t="str">
        <f aca="false">IF(BG967=0,"",IF(BG967&lt;&gt;BA967,"erreur de calcul",IF(BD967&lt;&gt;0,"pas de prix",IF(M967&lt;&gt; 0,"pas de quantité","pas de prix, ni de quantité"))))</f>
        <v>erreur de calcul</v>
      </c>
      <c r="BI967" s="19"/>
    </row>
    <row r="968" customFormat="false" ht="15" hidden="false" customHeight="false" outlineLevel="0" collapsed="false">
      <c r="A968" s="0" t="n">
        <v>18</v>
      </c>
      <c r="B968" s="8" t="s">
        <v>24</v>
      </c>
      <c r="C968" s="9" t="s">
        <v>25</v>
      </c>
      <c r="D968" s="9" t="s">
        <v>26</v>
      </c>
      <c r="E968" s="10" t="n">
        <v>1789</v>
      </c>
      <c r="F968" s="9" t="s">
        <v>27</v>
      </c>
      <c r="G968" s="9" t="s">
        <v>27</v>
      </c>
      <c r="H968" s="11" t="n">
        <v>25</v>
      </c>
      <c r="I968" s="11" t="s">
        <v>346</v>
      </c>
      <c r="J968" s="14"/>
      <c r="K968" s="14" t="n">
        <v>50</v>
      </c>
      <c r="L968" s="16"/>
      <c r="M968" s="27" t="n">
        <f aca="false">J968+(K968/20)+(L968/240)</f>
        <v>2.5</v>
      </c>
      <c r="N968" s="17" t="s">
        <v>85</v>
      </c>
      <c r="O968" s="11"/>
      <c r="P968" s="28" t="n">
        <f aca="false">371167/100</f>
        <v>3711.67</v>
      </c>
      <c r="Q968" s="28" t="n">
        <v>9279</v>
      </c>
      <c r="R968" s="28"/>
      <c r="S968" s="28" t="n">
        <f aca="false">R968*$M968</f>
        <v>0</v>
      </c>
      <c r="T968" s="28"/>
      <c r="U968" s="28" t="n">
        <f aca="false">T968*$M968</f>
        <v>0</v>
      </c>
      <c r="V968" s="28"/>
      <c r="W968" s="28" t="n">
        <f aca="false">V968*$M968</f>
        <v>0</v>
      </c>
      <c r="X968" s="28"/>
      <c r="Y968" s="28" t="n">
        <f aca="false">X968*$M968</f>
        <v>0</v>
      </c>
      <c r="Z968" s="28"/>
      <c r="AA968" s="28" t="n">
        <f aca="false">Z968*$M968</f>
        <v>0</v>
      </c>
      <c r="AB968" s="28"/>
      <c r="AC968" s="28" t="n">
        <f aca="false">AB968*$M968</f>
        <v>0</v>
      </c>
      <c r="AD968" s="28"/>
      <c r="AE968" s="28" t="n">
        <f aca="false">AD968*$M968</f>
        <v>0</v>
      </c>
      <c r="AF968" s="28"/>
      <c r="AG968" s="28" t="n">
        <f aca="false">AF968*$M968</f>
        <v>0</v>
      </c>
      <c r="AH968" s="28"/>
      <c r="AI968" s="28" t="n">
        <f aca="false">AH968*$M968</f>
        <v>0</v>
      </c>
      <c r="AJ968" s="28"/>
      <c r="AK968" s="28" t="n">
        <f aca="false">AJ968*$M968</f>
        <v>0</v>
      </c>
      <c r="AL968" s="28"/>
      <c r="AM968" s="28" t="n">
        <f aca="false">AL968*$M968</f>
        <v>0</v>
      </c>
      <c r="AN968" s="28"/>
      <c r="AO968" s="28" t="n">
        <f aca="false">AN968*$M968</f>
        <v>0</v>
      </c>
      <c r="AP968" s="28"/>
      <c r="AQ968" s="28" t="n">
        <f aca="false">AP968*$M968</f>
        <v>0</v>
      </c>
      <c r="AR968" s="28"/>
      <c r="AS968" s="28" t="n">
        <f aca="false">AR968*$M968</f>
        <v>0</v>
      </c>
      <c r="AT968" s="28"/>
      <c r="AU968" s="28" t="n">
        <f aca="false">AT968*$M968</f>
        <v>0</v>
      </c>
      <c r="AV968" s="28"/>
      <c r="AW968" s="28" t="n">
        <f aca="false">AV968*$M968</f>
        <v>0</v>
      </c>
      <c r="AX968" s="28"/>
      <c r="AY968" s="28" t="n">
        <f aca="false">AX968*$M968</f>
        <v>0</v>
      </c>
      <c r="AZ968" s="30" t="n">
        <f aca="false">371167/100</f>
        <v>3711.67</v>
      </c>
      <c r="BA968" s="11" t="n">
        <v>9279</v>
      </c>
      <c r="BB968" s="31" t="n">
        <f aca="false">SUM(Q968,S968,U968,W968,Y968,AA968,AC968,AE968,AG968,AI968,AK968,AM968,AO968,AQ968,AS968,AU968,AW968,AY968)</f>
        <v>9279</v>
      </c>
      <c r="BC968" s="28" t="n">
        <f aca="false">BA968-BB968</f>
        <v>0</v>
      </c>
      <c r="BD968" s="32" t="n">
        <f aca="false">SUM(P968,R968,T968,V968,X968,Z968,AB968,AD968,AF968,AH968,AJ968,AL968,AN968,AP968,AR968,AT968,AV968,AX968)</f>
        <v>3711.67</v>
      </c>
      <c r="BE968" s="33" t="n">
        <f aca="false">AZ968-BD968</f>
        <v>0</v>
      </c>
      <c r="BF968" s="34" t="n">
        <f aca="false">BD968*M968</f>
        <v>9279.175</v>
      </c>
      <c r="BG968" s="35" t="n">
        <f aca="false">BA968-BF968</f>
        <v>-0.174999999999272</v>
      </c>
      <c r="BH968" s="19" t="str">
        <f aca="false">IF(BG968=0,"",IF(BG968&lt;&gt;BA968,"erreur de calcul",IF(BD968&lt;&gt;0,"pas de prix",IF(M968&lt;&gt; 0,"pas de quantité","pas de prix, ni de quantité"))))</f>
        <v>erreur de calcul</v>
      </c>
      <c r="BI968" s="19"/>
    </row>
    <row r="969" customFormat="false" ht="16.65" hidden="false" customHeight="false" outlineLevel="0" collapsed="false">
      <c r="A969" s="0" t="n">
        <v>19</v>
      </c>
      <c r="B969" s="8" t="s">
        <v>24</v>
      </c>
      <c r="C969" s="9" t="s">
        <v>25</v>
      </c>
      <c r="D969" s="9" t="s">
        <v>26</v>
      </c>
      <c r="E969" s="10" t="n">
        <v>1789</v>
      </c>
      <c r="F969" s="9" t="s">
        <v>27</v>
      </c>
      <c r="G969" s="9" t="s">
        <v>27</v>
      </c>
      <c r="H969" s="11" t="n">
        <v>25</v>
      </c>
      <c r="I969" s="11" t="s">
        <v>347</v>
      </c>
      <c r="J969" s="14" t="n">
        <v>60</v>
      </c>
      <c r="K969" s="14"/>
      <c r="L969" s="16"/>
      <c r="M969" s="27" t="n">
        <f aca="false">J969+(K969/20)+(L969/240)</f>
        <v>60</v>
      </c>
      <c r="N969" s="17" t="s">
        <v>64</v>
      </c>
      <c r="O969" s="11"/>
      <c r="P969" s="28"/>
      <c r="Q969" s="28" t="n">
        <f aca="false">P969*$M969</f>
        <v>0</v>
      </c>
      <c r="R969" s="28"/>
      <c r="S969" s="28" t="n">
        <f aca="false">R969*$M969</f>
        <v>0</v>
      </c>
      <c r="T969" s="28"/>
      <c r="U969" s="28" t="n">
        <f aca="false">T969*$M969</f>
        <v>0</v>
      </c>
      <c r="V969" s="28" t="n">
        <f aca="false">4151/100</f>
        <v>41.51</v>
      </c>
      <c r="W969" s="28" t="n">
        <v>2491</v>
      </c>
      <c r="X969" s="28" t="n">
        <f aca="false">13344/100</f>
        <v>133.44</v>
      </c>
      <c r="Y969" s="28" t="n">
        <v>8006</v>
      </c>
      <c r="Z969" s="28" t="n">
        <f aca="false">3323/100</f>
        <v>33.23</v>
      </c>
      <c r="AA969" s="28" t="n">
        <v>1994</v>
      </c>
      <c r="AB969" s="28"/>
      <c r="AC969" s="28" t="n">
        <f aca="false">AB969*$M969</f>
        <v>0</v>
      </c>
      <c r="AD969" s="28" t="n">
        <f aca="false">15268/100</f>
        <v>152.68</v>
      </c>
      <c r="AE969" s="28" t="n">
        <v>9161</v>
      </c>
      <c r="AF969" s="28"/>
      <c r="AG969" s="28" t="n">
        <f aca="false">AF969*$M969</f>
        <v>0</v>
      </c>
      <c r="AH969" s="28"/>
      <c r="AI969" s="28" t="n">
        <f aca="false">AH969*$M969</f>
        <v>0</v>
      </c>
      <c r="AJ969" s="28"/>
      <c r="AK969" s="28" t="n">
        <f aca="false">AJ969*$M969</f>
        <v>0</v>
      </c>
      <c r="AL969" s="28"/>
      <c r="AM969" s="28" t="n">
        <f aca="false">AL969*$M969</f>
        <v>0</v>
      </c>
      <c r="AN969" s="28"/>
      <c r="AO969" s="28" t="n">
        <f aca="false">AN969*$M969</f>
        <v>0</v>
      </c>
      <c r="AP969" s="28"/>
      <c r="AQ969" s="28" t="n">
        <f aca="false">AP969*$M969</f>
        <v>0</v>
      </c>
      <c r="AR969" s="28"/>
      <c r="AS969" s="28" t="n">
        <f aca="false">AR969*$M969</f>
        <v>0</v>
      </c>
      <c r="AT969" s="28"/>
      <c r="AU969" s="28" t="n">
        <f aca="false">AT969*$M969</f>
        <v>0</v>
      </c>
      <c r="AV969" s="28"/>
      <c r="AW969" s="28" t="n">
        <f aca="false">AV969*$M969</f>
        <v>0</v>
      </c>
      <c r="AX969" s="28"/>
      <c r="AY969" s="28" t="n">
        <f aca="false">AX969*$M969</f>
        <v>0</v>
      </c>
      <c r="AZ969" s="30" t="n">
        <f aca="false">32763/100</f>
        <v>327.63</v>
      </c>
      <c r="BA969" s="11" t="n">
        <v>21652</v>
      </c>
      <c r="BB969" s="31" t="n">
        <f aca="false">SUM(Q969,S969,U969,W969,Y969,AA969,AC969,AE969,AG969,AI969,AK969,AM969,AO969,AQ969,AS969,AU969,AW969,AY969)</f>
        <v>21652</v>
      </c>
      <c r="BC969" s="28" t="n">
        <f aca="false">BA969-BB969</f>
        <v>0</v>
      </c>
      <c r="BD969" s="32" t="n">
        <f aca="false">SUM(P969,R969,T969,V969,X969,Z969,AB969,AD969,AF969,AH969,AJ969,AL969,AN969,AP969,AR969,AT969,AV969,AX969)</f>
        <v>360.86</v>
      </c>
      <c r="BE969" s="33" t="n">
        <f aca="false">AZ969-BD969</f>
        <v>-33.23</v>
      </c>
      <c r="BF969" s="34" t="n">
        <f aca="false">BD969*M969</f>
        <v>21651.6</v>
      </c>
      <c r="BG969" s="35" t="n">
        <f aca="false">BA969-BF969</f>
        <v>0.399999999997817</v>
      </c>
      <c r="BH969" s="19" t="str">
        <f aca="false">IF(BG969=0,"",IF(BG969&lt;&gt;BA969,"erreur de calcul",IF(BD969&lt;&gt;0,"pas de prix",IF(M969&lt;&gt; 0,"pas de quantité","pas de prix, ni de quantité"))))</f>
        <v>erreur de calcul</v>
      </c>
      <c r="BI969" s="19"/>
    </row>
    <row r="970" customFormat="false" ht="15" hidden="false" customHeight="false" outlineLevel="0" collapsed="false">
      <c r="A970" s="0" t="n">
        <v>20</v>
      </c>
      <c r="B970" s="8" t="s">
        <v>24</v>
      </c>
      <c r="C970" s="9" t="s">
        <v>25</v>
      </c>
      <c r="D970" s="9" t="s">
        <v>26</v>
      </c>
      <c r="E970" s="10" t="n">
        <v>1789</v>
      </c>
      <c r="F970" s="9" t="s">
        <v>27</v>
      </c>
      <c r="G970" s="9" t="s">
        <v>27</v>
      </c>
      <c r="H970" s="11" t="n">
        <v>25</v>
      </c>
      <c r="I970" s="11" t="s">
        <v>348</v>
      </c>
      <c r="J970" s="14" t="n">
        <v>9</v>
      </c>
      <c r="K970" s="14"/>
      <c r="L970" s="16"/>
      <c r="M970" s="27" t="n">
        <f aca="false">J970+(K970/20)+(L970/240)</f>
        <v>9</v>
      </c>
      <c r="N970" s="17" t="s">
        <v>349</v>
      </c>
      <c r="O970" s="11"/>
      <c r="P970" s="28"/>
      <c r="Q970" s="28" t="n">
        <f aca="false">P970*$M970</f>
        <v>0</v>
      </c>
      <c r="R970" s="28"/>
      <c r="S970" s="28" t="n">
        <f aca="false">R970*$M970</f>
        <v>0</v>
      </c>
      <c r="T970" s="28"/>
      <c r="U970" s="28" t="n">
        <f aca="false">T970*$M970</f>
        <v>0</v>
      </c>
      <c r="V970" s="28" t="n">
        <v>545</v>
      </c>
      <c r="W970" s="28" t="n">
        <v>4905</v>
      </c>
      <c r="X970" s="28"/>
      <c r="Y970" s="28" t="n">
        <f aca="false">X970*$M970</f>
        <v>0</v>
      </c>
      <c r="Z970" s="28"/>
      <c r="AA970" s="28" t="n">
        <f aca="false">Z970*$M970</f>
        <v>0</v>
      </c>
      <c r="AB970" s="28"/>
      <c r="AC970" s="28" t="n">
        <f aca="false">AB970*$M970</f>
        <v>0</v>
      </c>
      <c r="AD970" s="28"/>
      <c r="AE970" s="28" t="n">
        <f aca="false">AD970*$M970</f>
        <v>0</v>
      </c>
      <c r="AF970" s="28"/>
      <c r="AG970" s="28" t="n">
        <f aca="false">AF970*$M970</f>
        <v>0</v>
      </c>
      <c r="AH970" s="28"/>
      <c r="AI970" s="28" t="n">
        <f aca="false">AH970*$M970</f>
        <v>0</v>
      </c>
      <c r="AJ970" s="28" t="n">
        <v>592</v>
      </c>
      <c r="AK970" s="28" t="n">
        <v>5328</v>
      </c>
      <c r="AL970" s="28"/>
      <c r="AM970" s="28" t="n">
        <f aca="false">AL970*$M970</f>
        <v>0</v>
      </c>
      <c r="AN970" s="28"/>
      <c r="AO970" s="28" t="n">
        <f aca="false">AN970*$M970</f>
        <v>0</v>
      </c>
      <c r="AP970" s="28"/>
      <c r="AQ970" s="28" t="n">
        <f aca="false">AP970*$M970</f>
        <v>0</v>
      </c>
      <c r="AR970" s="28"/>
      <c r="AS970" s="28" t="n">
        <f aca="false">AR970*$M970</f>
        <v>0</v>
      </c>
      <c r="AT970" s="28"/>
      <c r="AU970" s="28" t="n">
        <f aca="false">AT970*$M970</f>
        <v>0</v>
      </c>
      <c r="AV970" s="28"/>
      <c r="AW970" s="28" t="n">
        <f aca="false">AV970*$M970</f>
        <v>0</v>
      </c>
      <c r="AX970" s="28"/>
      <c r="AY970" s="28" t="n">
        <f aca="false">AX970*$M970</f>
        <v>0</v>
      </c>
      <c r="AZ970" s="30" t="n">
        <v>1137</v>
      </c>
      <c r="BA970" s="11" t="n">
        <v>10233</v>
      </c>
      <c r="BB970" s="31" t="n">
        <f aca="false">SUM(Q970,S970,U970,W970,Y970,AA970,AC970,AE970,AG970,AI970,AK970,AM970,AO970,AQ970,AS970,AU970,AW970,AY970)</f>
        <v>10233</v>
      </c>
      <c r="BC970" s="28" t="n">
        <f aca="false">BA970-BB970</f>
        <v>0</v>
      </c>
      <c r="BD970" s="32" t="n">
        <f aca="false">SUM(P970,R970,T970,V970,X970,Z970,AB970,AD970,AF970,AH970,AJ970,AL970,AN970,AP970,AR970,AT970,AV970,AX970)</f>
        <v>1137</v>
      </c>
      <c r="BE970" s="33" t="n">
        <f aca="false">AZ970-BD970</f>
        <v>0</v>
      </c>
      <c r="BF970" s="34" t="n">
        <f aca="false">BD970*M970</f>
        <v>10233</v>
      </c>
      <c r="BG970" s="35" t="n">
        <f aca="false">BA970-BF970</f>
        <v>0</v>
      </c>
      <c r="BH970" s="19" t="str">
        <f aca="false">IF(BG970=0,"",IF(BG970&lt;&gt;BA970,"erreur de calcul",IF(BD970&lt;&gt;0,"pas de prix",IF(M970&lt;&gt; 0,"pas de quantité","pas de prix, ni de quantité"))))</f>
        <v/>
      </c>
      <c r="BI970" s="19"/>
    </row>
    <row r="971" customFormat="false" ht="15" hidden="false" customHeight="false" outlineLevel="0" collapsed="false">
      <c r="A971" s="0" t="n">
        <v>21</v>
      </c>
      <c r="B971" s="8" t="s">
        <v>24</v>
      </c>
      <c r="C971" s="9" t="s">
        <v>25</v>
      </c>
      <c r="D971" s="9" t="s">
        <v>26</v>
      </c>
      <c r="E971" s="10" t="n">
        <v>1789</v>
      </c>
      <c r="F971" s="9" t="s">
        <v>27</v>
      </c>
      <c r="G971" s="9" t="s">
        <v>27</v>
      </c>
      <c r="H971" s="11" t="n">
        <v>25</v>
      </c>
      <c r="I971" s="11" t="s">
        <v>350</v>
      </c>
      <c r="J971" s="14"/>
      <c r="K971" s="14" t="n">
        <v>40</v>
      </c>
      <c r="L971" s="16"/>
      <c r="M971" s="27" t="n">
        <f aca="false">J971+(K971/20)+(L971/240)</f>
        <v>2</v>
      </c>
      <c r="N971" s="17" t="s">
        <v>349</v>
      </c>
      <c r="O971" s="11"/>
      <c r="P971" s="28"/>
      <c r="Q971" s="28" t="n">
        <f aca="false">P971*$M971</f>
        <v>0</v>
      </c>
      <c r="R971" s="28"/>
      <c r="S971" s="28" t="n">
        <f aca="false">R971*$M971</f>
        <v>0</v>
      </c>
      <c r="T971" s="28"/>
      <c r="U971" s="28" t="n">
        <f aca="false">T971*$M971</f>
        <v>0</v>
      </c>
      <c r="V971" s="28" t="n">
        <v>2688</v>
      </c>
      <c r="W971" s="28" t="n">
        <v>5376</v>
      </c>
      <c r="X971" s="28" t="n">
        <v>775</v>
      </c>
      <c r="Y971" s="28" t="n">
        <v>1550</v>
      </c>
      <c r="Z971" s="28"/>
      <c r="AA971" s="28" t="n">
        <f aca="false">Z971*$M971</f>
        <v>0</v>
      </c>
      <c r="AB971" s="28"/>
      <c r="AC971" s="28" t="n">
        <f aca="false">AB971*$M971</f>
        <v>0</v>
      </c>
      <c r="AD971" s="28"/>
      <c r="AE971" s="28" t="n">
        <f aca="false">AD971*$M971</f>
        <v>0</v>
      </c>
      <c r="AF971" s="28"/>
      <c r="AG971" s="28" t="n">
        <f aca="false">AF971*$M971</f>
        <v>0</v>
      </c>
      <c r="AH971" s="28"/>
      <c r="AI971" s="28" t="n">
        <f aca="false">AH971*$M971</f>
        <v>0</v>
      </c>
      <c r="AJ971" s="28"/>
      <c r="AK971" s="28" t="n">
        <f aca="false">AJ971*$M971</f>
        <v>0</v>
      </c>
      <c r="AL971" s="28"/>
      <c r="AM971" s="28" t="n">
        <f aca="false">AL971*$M971</f>
        <v>0</v>
      </c>
      <c r="AN971" s="28"/>
      <c r="AO971" s="28" t="n">
        <f aca="false">AN971*$M971</f>
        <v>0</v>
      </c>
      <c r="AP971" s="28"/>
      <c r="AQ971" s="28" t="n">
        <f aca="false">AP971*$M971</f>
        <v>0</v>
      </c>
      <c r="AR971" s="28"/>
      <c r="AS971" s="28" t="n">
        <f aca="false">AR971*$M971</f>
        <v>0</v>
      </c>
      <c r="AT971" s="28"/>
      <c r="AU971" s="28" t="n">
        <f aca="false">AT971*$M971</f>
        <v>0</v>
      </c>
      <c r="AV971" s="28"/>
      <c r="AW971" s="28" t="n">
        <f aca="false">AV971*$M971</f>
        <v>0</v>
      </c>
      <c r="AX971" s="28"/>
      <c r="AY971" s="28" t="n">
        <f aca="false">AX971*$M971</f>
        <v>0</v>
      </c>
      <c r="AZ971" s="30" t="n">
        <v>3463</v>
      </c>
      <c r="BA971" s="11" t="n">
        <v>6926</v>
      </c>
      <c r="BB971" s="31" t="n">
        <f aca="false">SUM(Q971,S971,U971,W971,Y971,AA971,AC971,AE971,AG971,AI971,AK971,AM971,AO971,AQ971,AS971,AU971,AW971,AY971)</f>
        <v>6926</v>
      </c>
      <c r="BC971" s="28" t="n">
        <f aca="false">BA971-BB971</f>
        <v>0</v>
      </c>
      <c r="BD971" s="32" t="n">
        <f aca="false">SUM(P971,R971,T971,V971,X971,Z971,AB971,AD971,AF971,AH971,AJ971,AL971,AN971,AP971,AR971,AT971,AV971,AX971)</f>
        <v>3463</v>
      </c>
      <c r="BE971" s="33" t="n">
        <f aca="false">AZ971-BD971</f>
        <v>0</v>
      </c>
      <c r="BF971" s="34" t="n">
        <f aca="false">BD971*M971</f>
        <v>6926</v>
      </c>
      <c r="BG971" s="35" t="n">
        <f aca="false">BA971-BF971</f>
        <v>0</v>
      </c>
      <c r="BH971" s="19" t="str">
        <f aca="false">IF(BG971=0,"",IF(BG971&lt;&gt;BA971,"erreur de calcul",IF(BD971&lt;&gt;0,"pas de prix",IF(M971&lt;&gt; 0,"pas de quantité","pas de prix, ni de quantité"))))</f>
        <v/>
      </c>
      <c r="BI971" s="19"/>
    </row>
    <row r="972" customFormat="false" ht="15" hidden="false" customHeight="false" outlineLevel="0" collapsed="false">
      <c r="A972" s="0" t="n">
        <v>22</v>
      </c>
      <c r="B972" s="8" t="s">
        <v>24</v>
      </c>
      <c r="C972" s="9" t="s">
        <v>25</v>
      </c>
      <c r="D972" s="9" t="s">
        <v>26</v>
      </c>
      <c r="E972" s="10" t="n">
        <v>1789</v>
      </c>
      <c r="F972" s="9" t="s">
        <v>27</v>
      </c>
      <c r="G972" s="9" t="s">
        <v>27</v>
      </c>
      <c r="H972" s="11" t="n">
        <v>25</v>
      </c>
      <c r="I972" s="11" t="s">
        <v>351</v>
      </c>
      <c r="J972" s="14" t="n">
        <v>60</v>
      </c>
      <c r="K972" s="14"/>
      <c r="L972" s="16"/>
      <c r="M972" s="27" t="n">
        <f aca="false">J972+(K972/20)+(L972/240)</f>
        <v>60</v>
      </c>
      <c r="N972" s="17" t="s">
        <v>69</v>
      </c>
      <c r="O972" s="11"/>
      <c r="P972" s="28"/>
      <c r="Q972" s="28" t="n">
        <f aca="false">P972*$M972</f>
        <v>0</v>
      </c>
      <c r="R972" s="28"/>
      <c r="S972" s="28" t="n">
        <f aca="false">R972*$M972</f>
        <v>0</v>
      </c>
      <c r="T972" s="28" t="n">
        <v>20</v>
      </c>
      <c r="U972" s="28" t="n">
        <v>1200</v>
      </c>
      <c r="V972" s="28" t="n">
        <v>82</v>
      </c>
      <c r="W972" s="28" t="n">
        <v>4920</v>
      </c>
      <c r="X972" s="28"/>
      <c r="Y972" s="28" t="n">
        <f aca="false">X972*$M972</f>
        <v>0</v>
      </c>
      <c r="Z972" s="28"/>
      <c r="AA972" s="28" t="n">
        <f aca="false">Z972*$M972</f>
        <v>0</v>
      </c>
      <c r="AB972" s="28"/>
      <c r="AC972" s="28" t="n">
        <f aca="false">AB972*$M972</f>
        <v>0</v>
      </c>
      <c r="AD972" s="28"/>
      <c r="AE972" s="28" t="n">
        <f aca="false">AD972*$M972</f>
        <v>0</v>
      </c>
      <c r="AF972" s="28"/>
      <c r="AG972" s="28" t="n">
        <f aca="false">AF972*$M972</f>
        <v>0</v>
      </c>
      <c r="AH972" s="28"/>
      <c r="AI972" s="28" t="n">
        <f aca="false">AH972*$M972</f>
        <v>0</v>
      </c>
      <c r="AJ972" s="28"/>
      <c r="AK972" s="28" t="n">
        <f aca="false">AJ972*$M972</f>
        <v>0</v>
      </c>
      <c r="AL972" s="28"/>
      <c r="AM972" s="28" t="n">
        <f aca="false">AL972*$M972</f>
        <v>0</v>
      </c>
      <c r="AN972" s="28"/>
      <c r="AO972" s="28" t="n">
        <f aca="false">AN972*$M972</f>
        <v>0</v>
      </c>
      <c r="AP972" s="28"/>
      <c r="AQ972" s="28" t="n">
        <f aca="false">AP972*$M972</f>
        <v>0</v>
      </c>
      <c r="AR972" s="28"/>
      <c r="AS972" s="28" t="n">
        <f aca="false">AR972*$M972</f>
        <v>0</v>
      </c>
      <c r="AT972" s="28"/>
      <c r="AU972" s="28" t="n">
        <f aca="false">AT972*$M972</f>
        <v>0</v>
      </c>
      <c r="AV972" s="28"/>
      <c r="AW972" s="28" t="n">
        <f aca="false">AV972*$M972</f>
        <v>0</v>
      </c>
      <c r="AX972" s="28"/>
      <c r="AY972" s="28" t="n">
        <f aca="false">AX972*$M972</f>
        <v>0</v>
      </c>
      <c r="AZ972" s="30" t="n">
        <v>102</v>
      </c>
      <c r="BA972" s="11" t="n">
        <v>6120</v>
      </c>
      <c r="BB972" s="31" t="n">
        <f aca="false">SUM(Q972,S972,U972,W972,Y972,AA972,AC972,AE972,AG972,AI972,AK972,AM972,AO972,AQ972,AS972,AU972,AW972,AY972)</f>
        <v>6120</v>
      </c>
      <c r="BC972" s="28" t="n">
        <f aca="false">BA972-BB972</f>
        <v>0</v>
      </c>
      <c r="BD972" s="32" t="n">
        <f aca="false">SUM(P972,R972,T972,V972,X972,Z972,AB972,AD972,AF972,AH972,AJ972,AL972,AN972,AP972,AR972,AT972,AV972,AX972)</f>
        <v>102</v>
      </c>
      <c r="BE972" s="33" t="n">
        <f aca="false">AZ972-BD972</f>
        <v>0</v>
      </c>
      <c r="BF972" s="34" t="n">
        <f aca="false">BD972*M972</f>
        <v>6120</v>
      </c>
      <c r="BG972" s="35" t="n">
        <f aca="false">BA972-BF972</f>
        <v>0</v>
      </c>
      <c r="BH972" s="19" t="str">
        <f aca="false">IF(BG972=0,"",IF(BG972&lt;&gt;BA972,"erreur de calcul",IF(BD972&lt;&gt;0,"pas de prix",IF(M972&lt;&gt; 0,"pas de quantité","pas de prix, ni de quantité"))))</f>
        <v/>
      </c>
      <c r="BI972" s="19"/>
    </row>
    <row r="973" customFormat="false" ht="15" hidden="false" customHeight="false" outlineLevel="0" collapsed="false">
      <c r="A973" s="0" t="n">
        <v>23</v>
      </c>
      <c r="B973" s="8" t="s">
        <v>24</v>
      </c>
      <c r="C973" s="9" t="s">
        <v>25</v>
      </c>
      <c r="D973" s="9" t="s">
        <v>26</v>
      </c>
      <c r="E973" s="10" t="n">
        <v>1789</v>
      </c>
      <c r="F973" s="9" t="s">
        <v>27</v>
      </c>
      <c r="G973" s="9" t="s">
        <v>27</v>
      </c>
      <c r="H973" s="11" t="n">
        <v>25</v>
      </c>
      <c r="I973" s="11" t="s">
        <v>352</v>
      </c>
      <c r="J973" s="14" t="n">
        <v>150</v>
      </c>
      <c r="K973" s="14"/>
      <c r="L973" s="16"/>
      <c r="M973" s="27" t="n">
        <f aca="false">J973+(K973/20)+(L973/240)</f>
        <v>150</v>
      </c>
      <c r="N973" s="17" t="s">
        <v>64</v>
      </c>
      <c r="O973" s="11"/>
      <c r="P973" s="28" t="n">
        <f aca="false">274/100</f>
        <v>2.74</v>
      </c>
      <c r="Q973" s="28" t="n">
        <v>411</v>
      </c>
      <c r="R973" s="28"/>
      <c r="S973" s="28" t="n">
        <f aca="false">R973*$M973</f>
        <v>0</v>
      </c>
      <c r="T973" s="28" t="n">
        <f aca="false">3042/100</f>
        <v>30.42</v>
      </c>
      <c r="U973" s="28" t="n">
        <v>4563</v>
      </c>
      <c r="V973" s="28"/>
      <c r="W973" s="28" t="n">
        <f aca="false">V973*$M973</f>
        <v>0</v>
      </c>
      <c r="X973" s="28"/>
      <c r="Y973" s="28" t="n">
        <f aca="false">X973*$M973</f>
        <v>0</v>
      </c>
      <c r="Z973" s="28"/>
      <c r="AA973" s="28" t="n">
        <f aca="false">Z973*$M973</f>
        <v>0</v>
      </c>
      <c r="AB973" s="28" t="n">
        <f aca="false">92/100</f>
        <v>0.92</v>
      </c>
      <c r="AC973" s="28" t="n">
        <v>138</v>
      </c>
      <c r="AD973" s="28"/>
      <c r="AE973" s="28" t="n">
        <f aca="false">AD973*$M973</f>
        <v>0</v>
      </c>
      <c r="AF973" s="28"/>
      <c r="AG973" s="28" t="n">
        <f aca="false">AF973*$M973</f>
        <v>0</v>
      </c>
      <c r="AH973" s="28"/>
      <c r="AI973" s="28" t="n">
        <f aca="false">AH973*$M973</f>
        <v>0</v>
      </c>
      <c r="AJ973" s="28"/>
      <c r="AK973" s="28" t="n">
        <f aca="false">AJ973*$M973</f>
        <v>0</v>
      </c>
      <c r="AL973" s="28"/>
      <c r="AM973" s="28" t="n">
        <f aca="false">AL973*$M973</f>
        <v>0</v>
      </c>
      <c r="AN973" s="28"/>
      <c r="AO973" s="28" t="n">
        <f aca="false">AN973*$M973</f>
        <v>0</v>
      </c>
      <c r="AP973" s="28"/>
      <c r="AQ973" s="28" t="n">
        <f aca="false">AP973*$M973</f>
        <v>0</v>
      </c>
      <c r="AR973" s="28"/>
      <c r="AS973" s="28" t="n">
        <f aca="false">AR973*$M973</f>
        <v>0</v>
      </c>
      <c r="AT973" s="28"/>
      <c r="AU973" s="28" t="n">
        <f aca="false">AT973*$M973</f>
        <v>0</v>
      </c>
      <c r="AV973" s="28"/>
      <c r="AW973" s="28" t="n">
        <f aca="false">AV973*$M973</f>
        <v>0</v>
      </c>
      <c r="AX973" s="28"/>
      <c r="AY973" s="28" t="n">
        <f aca="false">AX973*$M973</f>
        <v>0</v>
      </c>
      <c r="AZ973" s="30" t="n">
        <f aca="false">3408/100</f>
        <v>34.08</v>
      </c>
      <c r="BA973" s="11" t="n">
        <v>5112</v>
      </c>
      <c r="BB973" s="31" t="n">
        <f aca="false">SUM(Q973,S973,U973,W973,Y973,AA973,AC973,AE973,AG973,AI973,AK973,AM973,AO973,AQ973,AS973,AU973,AW973,AY973)</f>
        <v>5112</v>
      </c>
      <c r="BC973" s="28" t="n">
        <f aca="false">BA973-BB973</f>
        <v>0</v>
      </c>
      <c r="BD973" s="32" t="n">
        <f aca="false">SUM(P973,R973,T973,V973,X973,Z973,AB973,AD973,AF973,AH973,AJ973,AL973,AN973,AP973,AR973,AT973,AV973,AX973)</f>
        <v>34.08</v>
      </c>
      <c r="BE973" s="33" t="n">
        <f aca="false">AZ973-BD973</f>
        <v>0</v>
      </c>
      <c r="BF973" s="34" t="n">
        <f aca="false">BD973*M973</f>
        <v>5112</v>
      </c>
      <c r="BG973" s="35" t="n">
        <f aca="false">BA973-BF973</f>
        <v>0</v>
      </c>
      <c r="BH973" s="19" t="str">
        <f aca="false">IF(BG973=0,"",IF(BG973&lt;&gt;BA973,"erreur de calcul",IF(BD973&lt;&gt;0,"pas de prix",IF(M973&lt;&gt; 0,"pas de quantité","pas de prix, ni de quantité"))))</f>
        <v/>
      </c>
      <c r="BI973" s="19"/>
    </row>
    <row r="974" customFormat="false" ht="15" hidden="false" customHeight="false" outlineLevel="0" collapsed="false">
      <c r="A974" s="0" t="n">
        <v>24</v>
      </c>
      <c r="B974" s="8" t="s">
        <v>24</v>
      </c>
      <c r="C974" s="9" t="s">
        <v>25</v>
      </c>
      <c r="D974" s="9" t="s">
        <v>26</v>
      </c>
      <c r="E974" s="10" t="n">
        <v>1789</v>
      </c>
      <c r="F974" s="9" t="s">
        <v>27</v>
      </c>
      <c r="G974" s="9" t="s">
        <v>27</v>
      </c>
      <c r="H974" s="11" t="n">
        <v>25</v>
      </c>
      <c r="I974" s="11" t="s">
        <v>353</v>
      </c>
      <c r="J974" s="14" t="n">
        <v>40</v>
      </c>
      <c r="K974" s="14"/>
      <c r="L974" s="16"/>
      <c r="M974" s="27" t="n">
        <f aca="false">J974+(K974/20)+(L974/240)</f>
        <v>40</v>
      </c>
      <c r="N974" s="17" t="s">
        <v>64</v>
      </c>
      <c r="O974" s="11"/>
      <c r="P974" s="28"/>
      <c r="Q974" s="28" t="n">
        <f aca="false">P974*$M974</f>
        <v>0</v>
      </c>
      <c r="R974" s="28"/>
      <c r="S974" s="28" t="n">
        <f aca="false">R974*$M974</f>
        <v>0</v>
      </c>
      <c r="T974" s="28"/>
      <c r="U974" s="28" t="n">
        <f aca="false">T974*$M974</f>
        <v>0</v>
      </c>
      <c r="V974" s="28" t="n">
        <f aca="false">4960/100</f>
        <v>49.6</v>
      </c>
      <c r="W974" s="28" t="n">
        <v>1984</v>
      </c>
      <c r="X974" s="28" t="n">
        <f aca="false">394/100</f>
        <v>3.94</v>
      </c>
      <c r="Y974" s="28" t="n">
        <v>158</v>
      </c>
      <c r="Z974" s="28"/>
      <c r="AA974" s="28" t="n">
        <f aca="false">Z974*$M974</f>
        <v>0</v>
      </c>
      <c r="AB974" s="28"/>
      <c r="AC974" s="28" t="n">
        <f aca="false">AB974*$M974</f>
        <v>0</v>
      </c>
      <c r="AD974" s="28"/>
      <c r="AE974" s="28" t="n">
        <f aca="false">AD974*$M974</f>
        <v>0</v>
      </c>
      <c r="AF974" s="28"/>
      <c r="AG974" s="28" t="n">
        <f aca="false">AF974*$M974</f>
        <v>0</v>
      </c>
      <c r="AH974" s="28"/>
      <c r="AI974" s="28" t="n">
        <f aca="false">AH974*$M974</f>
        <v>0</v>
      </c>
      <c r="AJ974" s="28"/>
      <c r="AK974" s="28" t="n">
        <f aca="false">AJ974*$M974</f>
        <v>0</v>
      </c>
      <c r="AL974" s="28"/>
      <c r="AM974" s="28" t="n">
        <f aca="false">AL974*$M974</f>
        <v>0</v>
      </c>
      <c r="AN974" s="28"/>
      <c r="AO974" s="28" t="n">
        <f aca="false">AN974*$M974</f>
        <v>0</v>
      </c>
      <c r="AP974" s="28"/>
      <c r="AQ974" s="28" t="n">
        <f aca="false">AP974*$M974</f>
        <v>0</v>
      </c>
      <c r="AR974" s="28"/>
      <c r="AS974" s="28" t="n">
        <f aca="false">AR974*$M974</f>
        <v>0</v>
      </c>
      <c r="AT974" s="28"/>
      <c r="AU974" s="28" t="n">
        <f aca="false">AT974*$M974</f>
        <v>0</v>
      </c>
      <c r="AV974" s="28"/>
      <c r="AW974" s="28" t="n">
        <f aca="false">AV974*$M974</f>
        <v>0</v>
      </c>
      <c r="AX974" s="28"/>
      <c r="AY974" s="28" t="n">
        <f aca="false">AX974*$M974</f>
        <v>0</v>
      </c>
      <c r="AZ974" s="30" t="n">
        <f aca="false">5354/100</f>
        <v>53.54</v>
      </c>
      <c r="BA974" s="11" t="n">
        <v>2142</v>
      </c>
      <c r="BB974" s="31" t="n">
        <f aca="false">SUM(Q974,S974,U974,W974,Y974,AA974,AC974,AE974,AG974,AI974,AK974,AM974,AO974,AQ974,AS974,AU974,AW974,AY974)</f>
        <v>2142</v>
      </c>
      <c r="BC974" s="28" t="n">
        <f aca="false">BA974-BB974</f>
        <v>0</v>
      </c>
      <c r="BD974" s="32" t="n">
        <f aca="false">SUM(P974,R974,T974,V974,X974,Z974,AB974,AD974,AF974,AH974,AJ974,AL974,AN974,AP974,AR974,AT974,AV974,AX974)</f>
        <v>53.54</v>
      </c>
      <c r="BE974" s="33" t="n">
        <f aca="false">AZ974-BD974</f>
        <v>0</v>
      </c>
      <c r="BF974" s="34" t="n">
        <f aca="false">BD974*M974</f>
        <v>2141.6</v>
      </c>
      <c r="BG974" s="35" t="n">
        <f aca="false">BA974-BF974</f>
        <v>0.400000000000091</v>
      </c>
      <c r="BH974" s="19" t="str">
        <f aca="false">IF(BG974=0,"",IF(BG974&lt;&gt;BA974,"erreur de calcul",IF(BD974&lt;&gt;0,"pas de prix",IF(M974&lt;&gt; 0,"pas de quantité","pas de prix, ni de quantité"))))</f>
        <v>erreur de calcul</v>
      </c>
      <c r="BI974" s="19"/>
    </row>
    <row r="975" customFormat="false" ht="15" hidden="false" customHeight="false" outlineLevel="0" collapsed="false">
      <c r="A975" s="0" t="n">
        <v>25</v>
      </c>
      <c r="B975" s="8" t="s">
        <v>24</v>
      </c>
      <c r="C975" s="9" t="s">
        <v>25</v>
      </c>
      <c r="D975" s="9" t="s">
        <v>26</v>
      </c>
      <c r="E975" s="10" t="n">
        <v>1789</v>
      </c>
      <c r="F975" s="9" t="s">
        <v>27</v>
      </c>
      <c r="G975" s="9" t="s">
        <v>27</v>
      </c>
      <c r="H975" s="11" t="n">
        <v>25</v>
      </c>
      <c r="I975" s="11" t="s">
        <v>354</v>
      </c>
      <c r="J975" s="14" t="n">
        <v>200</v>
      </c>
      <c r="K975" s="14"/>
      <c r="L975" s="16"/>
      <c r="M975" s="27" t="n">
        <f aca="false">J975+(K975/20)+(L975/240)</f>
        <v>200</v>
      </c>
      <c r="N975" s="17" t="s">
        <v>64</v>
      </c>
      <c r="O975" s="11"/>
      <c r="P975" s="28"/>
      <c r="Q975" s="28" t="n">
        <f aca="false">P975*$M975</f>
        <v>0</v>
      </c>
      <c r="R975" s="28"/>
      <c r="S975" s="28" t="n">
        <f aca="false">R975*$M975</f>
        <v>0</v>
      </c>
      <c r="T975" s="28" t="n">
        <f aca="false">4367/100</f>
        <v>43.67</v>
      </c>
      <c r="U975" s="28" t="n">
        <v>8734</v>
      </c>
      <c r="V975" s="28" t="n">
        <f aca="false">346/100</f>
        <v>3.46</v>
      </c>
      <c r="W975" s="28" t="n">
        <v>692</v>
      </c>
      <c r="X975" s="28"/>
      <c r="Y975" s="28" t="n">
        <f aca="false">X975*$M975</f>
        <v>0</v>
      </c>
      <c r="Z975" s="28"/>
      <c r="AA975" s="28" t="n">
        <f aca="false">Z975*$M975</f>
        <v>0</v>
      </c>
      <c r="AB975" s="28"/>
      <c r="AC975" s="28" t="n">
        <f aca="false">AB975*$M975</f>
        <v>0</v>
      </c>
      <c r="AD975" s="28"/>
      <c r="AE975" s="28" t="n">
        <f aca="false">AD975*$M975</f>
        <v>0</v>
      </c>
      <c r="AF975" s="28"/>
      <c r="AG975" s="28" t="n">
        <f aca="false">AF975*$M975</f>
        <v>0</v>
      </c>
      <c r="AH975" s="28"/>
      <c r="AI975" s="28" t="n">
        <f aca="false">AH975*$M975</f>
        <v>0</v>
      </c>
      <c r="AJ975" s="28"/>
      <c r="AK975" s="28" t="n">
        <f aca="false">AJ975*$M975</f>
        <v>0</v>
      </c>
      <c r="AL975" s="28"/>
      <c r="AM975" s="28" t="n">
        <f aca="false">AL975*$M975</f>
        <v>0</v>
      </c>
      <c r="AN975" s="28"/>
      <c r="AO975" s="28" t="n">
        <f aca="false">AN975*$M975</f>
        <v>0</v>
      </c>
      <c r="AP975" s="28"/>
      <c r="AQ975" s="28" t="n">
        <f aca="false">AP975*$M975</f>
        <v>0</v>
      </c>
      <c r="AR975" s="28"/>
      <c r="AS975" s="28" t="n">
        <f aca="false">AR975*$M975</f>
        <v>0</v>
      </c>
      <c r="AT975" s="28"/>
      <c r="AU975" s="28" t="n">
        <f aca="false">AT975*$M975</f>
        <v>0</v>
      </c>
      <c r="AV975" s="28"/>
      <c r="AW975" s="28" t="n">
        <f aca="false">AV975*$M975</f>
        <v>0</v>
      </c>
      <c r="AX975" s="28"/>
      <c r="AY975" s="28" t="n">
        <f aca="false">AX975*$M975</f>
        <v>0</v>
      </c>
      <c r="AZ975" s="30" t="n">
        <f aca="false">4713/100</f>
        <v>47.13</v>
      </c>
      <c r="BA975" s="11" t="n">
        <v>9426</v>
      </c>
      <c r="BB975" s="31" t="n">
        <f aca="false">SUM(Q975,S975,U975,W975,Y975,AA975,AC975,AE975,AG975,AI975,AK975,AM975,AO975,AQ975,AS975,AU975,AW975,AY975)</f>
        <v>9426</v>
      </c>
      <c r="BC975" s="28" t="n">
        <f aca="false">BA975-BB975</f>
        <v>0</v>
      </c>
      <c r="BD975" s="32" t="n">
        <f aca="false">SUM(P975,R975,T975,V975,X975,Z975,AB975,AD975,AF975,AH975,AJ975,AL975,AN975,AP975,AR975,AT975,AV975,AX975)</f>
        <v>47.13</v>
      </c>
      <c r="BE975" s="33" t="n">
        <f aca="false">AZ975-BD975</f>
        <v>0</v>
      </c>
      <c r="BF975" s="34" t="n">
        <f aca="false">BD975*M975</f>
        <v>9426</v>
      </c>
      <c r="BG975" s="35" t="n">
        <f aca="false">BA975-BF975</f>
        <v>0</v>
      </c>
      <c r="BH975" s="19" t="str">
        <f aca="false">IF(BG975=0,"",IF(BG975&lt;&gt;BA975,"erreur de calcul",IF(BD975&lt;&gt;0,"pas de prix",IF(M975&lt;&gt; 0,"pas de quantité","pas de prix, ni de quantité"))))</f>
        <v/>
      </c>
      <c r="BI975" s="19"/>
    </row>
    <row r="976" customFormat="false" ht="15" hidden="false" customHeight="false" outlineLevel="0" collapsed="false">
      <c r="A976" s="0" t="n">
        <v>26</v>
      </c>
      <c r="B976" s="8" t="s">
        <v>24</v>
      </c>
      <c r="C976" s="9" t="s">
        <v>25</v>
      </c>
      <c r="D976" s="9" t="s">
        <v>26</v>
      </c>
      <c r="E976" s="10" t="n">
        <v>1789</v>
      </c>
      <c r="F976" s="9" t="s">
        <v>27</v>
      </c>
      <c r="G976" s="9" t="s">
        <v>27</v>
      </c>
      <c r="H976" s="11" t="n">
        <v>25</v>
      </c>
      <c r="I976" s="11" t="s">
        <v>355</v>
      </c>
      <c r="J976" s="14" t="n">
        <v>200</v>
      </c>
      <c r="K976" s="14"/>
      <c r="L976" s="16"/>
      <c r="M976" s="27" t="n">
        <f aca="false">J976+(K976/20)+(L976/240)</f>
        <v>200</v>
      </c>
      <c r="N976" s="17" t="s">
        <v>64</v>
      </c>
      <c r="O976" s="11"/>
      <c r="P976" s="28"/>
      <c r="Q976" s="28" t="n">
        <f aca="false">P976*$M976</f>
        <v>0</v>
      </c>
      <c r="R976" s="28"/>
      <c r="S976" s="28" t="n">
        <f aca="false">R976*$M976</f>
        <v>0</v>
      </c>
      <c r="T976" s="28" t="n">
        <f aca="false">2471/100</f>
        <v>24.71</v>
      </c>
      <c r="U976" s="28" t="n">
        <v>4942</v>
      </c>
      <c r="V976" s="28"/>
      <c r="W976" s="28" t="n">
        <f aca="false">V976*$M976</f>
        <v>0</v>
      </c>
      <c r="X976" s="28"/>
      <c r="Y976" s="28" t="n">
        <f aca="false">X976*$M976</f>
        <v>0</v>
      </c>
      <c r="Z976" s="28"/>
      <c r="AA976" s="28" t="n">
        <f aca="false">Z976*$M976</f>
        <v>0</v>
      </c>
      <c r="AB976" s="28"/>
      <c r="AC976" s="28" t="n">
        <f aca="false">AB976*$M976</f>
        <v>0</v>
      </c>
      <c r="AD976" s="28"/>
      <c r="AE976" s="28" t="n">
        <f aca="false">AD976*$M976</f>
        <v>0</v>
      </c>
      <c r="AF976" s="28"/>
      <c r="AG976" s="28" t="n">
        <f aca="false">AF976*$M976</f>
        <v>0</v>
      </c>
      <c r="AH976" s="28"/>
      <c r="AI976" s="28" t="n">
        <f aca="false">AH976*$M976</f>
        <v>0</v>
      </c>
      <c r="AJ976" s="28"/>
      <c r="AK976" s="28" t="n">
        <f aca="false">AJ976*$M976</f>
        <v>0</v>
      </c>
      <c r="AL976" s="28"/>
      <c r="AM976" s="28" t="n">
        <f aca="false">AL976*$M976</f>
        <v>0</v>
      </c>
      <c r="AN976" s="28"/>
      <c r="AO976" s="28" t="n">
        <f aca="false">AN976*$M976</f>
        <v>0</v>
      </c>
      <c r="AP976" s="28"/>
      <c r="AQ976" s="28" t="n">
        <f aca="false">AP976*$M976</f>
        <v>0</v>
      </c>
      <c r="AR976" s="28"/>
      <c r="AS976" s="28" t="n">
        <f aca="false">AR976*$M976</f>
        <v>0</v>
      </c>
      <c r="AT976" s="28"/>
      <c r="AU976" s="28" t="n">
        <f aca="false">AT976*$M976</f>
        <v>0</v>
      </c>
      <c r="AV976" s="28"/>
      <c r="AW976" s="28" t="n">
        <f aca="false">AV976*$M976</f>
        <v>0</v>
      </c>
      <c r="AX976" s="28"/>
      <c r="AY976" s="28" t="n">
        <f aca="false">AX976*$M976</f>
        <v>0</v>
      </c>
      <c r="AZ976" s="30" t="n">
        <f aca="false">2471/100</f>
        <v>24.71</v>
      </c>
      <c r="BA976" s="11" t="n">
        <v>4942</v>
      </c>
      <c r="BB976" s="31" t="n">
        <f aca="false">SUM(Q976,S976,U976,W976,Y976,AA976,AC976,AE976,AG976,AI976,AK976,AM976,AO976,AQ976,AS976,AU976,AW976,AY976)</f>
        <v>4942</v>
      </c>
      <c r="BC976" s="28" t="n">
        <f aca="false">BA976-BB976</f>
        <v>0</v>
      </c>
      <c r="BD976" s="32" t="n">
        <f aca="false">SUM(P976,R976,T976,V976,X976,Z976,AB976,AD976,AF976,AH976,AJ976,AL976,AN976,AP976,AR976,AT976,AV976,AX976)</f>
        <v>24.71</v>
      </c>
      <c r="BE976" s="33" t="n">
        <f aca="false">AZ976-BD976</f>
        <v>0</v>
      </c>
      <c r="BF976" s="34" t="n">
        <f aca="false">BD976*M976</f>
        <v>4942</v>
      </c>
      <c r="BG976" s="35" t="n">
        <f aca="false">BA976-BF976</f>
        <v>0</v>
      </c>
      <c r="BH976" s="19" t="str">
        <f aca="false">IF(BG976=0,"",IF(BG976&lt;&gt;BA976,"erreur de calcul",IF(BD976&lt;&gt;0,"pas de prix",IF(M976&lt;&gt; 0,"pas de quantité","pas de prix, ni de quantité"))))</f>
        <v/>
      </c>
      <c r="BI976" s="19"/>
    </row>
    <row r="977" customFormat="false" ht="15" hidden="false" customHeight="false" outlineLevel="0" collapsed="false">
      <c r="A977" s="0" t="n">
        <v>27</v>
      </c>
      <c r="B977" s="8" t="s">
        <v>24</v>
      </c>
      <c r="C977" s="9" t="s">
        <v>25</v>
      </c>
      <c r="D977" s="9" t="s">
        <v>26</v>
      </c>
      <c r="E977" s="10" t="n">
        <v>1789</v>
      </c>
      <c r="F977" s="9" t="s">
        <v>27</v>
      </c>
      <c r="G977" s="9" t="s">
        <v>27</v>
      </c>
      <c r="H977" s="11" t="n">
        <v>25</v>
      </c>
      <c r="I977" s="11" t="s">
        <v>356</v>
      </c>
      <c r="J977" s="14" t="n">
        <v>120</v>
      </c>
      <c r="K977" s="14"/>
      <c r="L977" s="16"/>
      <c r="M977" s="27" t="n">
        <f aca="false">J977+(K977/20)+(L977/240)</f>
        <v>120</v>
      </c>
      <c r="N977" s="17" t="s">
        <v>64</v>
      </c>
      <c r="O977" s="11"/>
      <c r="P977" s="28"/>
      <c r="Q977" s="28" t="n">
        <f aca="false">P977*$M977</f>
        <v>0</v>
      </c>
      <c r="R977" s="28"/>
      <c r="S977" s="28" t="n">
        <f aca="false">R977*$M977</f>
        <v>0</v>
      </c>
      <c r="T977" s="28"/>
      <c r="U977" s="28" t="n">
        <f aca="false">T977*$M977</f>
        <v>0</v>
      </c>
      <c r="V977" s="28"/>
      <c r="W977" s="28" t="n">
        <f aca="false">V977*$M977</f>
        <v>0</v>
      </c>
      <c r="X977" s="28"/>
      <c r="Y977" s="28" t="n">
        <f aca="false">X977*$M977</f>
        <v>0</v>
      </c>
      <c r="Z977" s="28"/>
      <c r="AA977" s="28" t="n">
        <f aca="false">Z977*$M977</f>
        <v>0</v>
      </c>
      <c r="AB977" s="28"/>
      <c r="AC977" s="28" t="n">
        <f aca="false">AB977*$M977</f>
        <v>0</v>
      </c>
      <c r="AD977" s="28"/>
      <c r="AE977" s="28" t="n">
        <f aca="false">AD977*$M977</f>
        <v>0</v>
      </c>
      <c r="AF977" s="28"/>
      <c r="AG977" s="28" t="n">
        <f aca="false">AF977*$M977</f>
        <v>0</v>
      </c>
      <c r="AH977" s="28"/>
      <c r="AI977" s="28" t="n">
        <f aca="false">AH977*$M977</f>
        <v>0</v>
      </c>
      <c r="AJ977" s="28"/>
      <c r="AK977" s="28" t="n">
        <f aca="false">AJ977*$M977</f>
        <v>0</v>
      </c>
      <c r="AL977" s="28"/>
      <c r="AM977" s="28" t="n">
        <f aca="false">AL977*$M977</f>
        <v>0</v>
      </c>
      <c r="AN977" s="28" t="n">
        <f aca="false">407/100</f>
        <v>4.07</v>
      </c>
      <c r="AO977" s="28" t="n">
        <v>488</v>
      </c>
      <c r="AP977" s="28"/>
      <c r="AQ977" s="28" t="n">
        <f aca="false">AP977*$M977</f>
        <v>0</v>
      </c>
      <c r="AR977" s="28"/>
      <c r="AS977" s="28" t="n">
        <f aca="false">AR977*$M977</f>
        <v>0</v>
      </c>
      <c r="AT977" s="28"/>
      <c r="AU977" s="28" t="n">
        <f aca="false">AT977*$M977</f>
        <v>0</v>
      </c>
      <c r="AV977" s="28"/>
      <c r="AW977" s="28" t="n">
        <f aca="false">AV977*$M977</f>
        <v>0</v>
      </c>
      <c r="AX977" s="28"/>
      <c r="AY977" s="28" t="n">
        <f aca="false">AX977*$M977</f>
        <v>0</v>
      </c>
      <c r="AZ977" s="30" t="n">
        <f aca="false">407/100</f>
        <v>4.07</v>
      </c>
      <c r="BA977" s="11" t="n">
        <v>488</v>
      </c>
      <c r="BB977" s="31" t="n">
        <f aca="false">SUM(Q977,S977,U977,W977,Y977,AA977,AC977,AE977,AG977,AI977,AK977,AM977,AO977,AQ977,AS977,AU977,AW977,AY977)</f>
        <v>488</v>
      </c>
      <c r="BC977" s="28" t="n">
        <f aca="false">BA977-BB977</f>
        <v>0</v>
      </c>
      <c r="BD977" s="32" t="n">
        <f aca="false">SUM(P977,R977,T977,V977,X977,Z977,AB977,AD977,AF977,AH977,AJ977,AL977,AN977,AP977,AR977,AT977,AV977,AX977)</f>
        <v>4.07</v>
      </c>
      <c r="BE977" s="33" t="n">
        <f aca="false">AZ977-BD977</f>
        <v>0</v>
      </c>
      <c r="BF977" s="34" t="n">
        <f aca="false">BD977*M977</f>
        <v>488.4</v>
      </c>
      <c r="BG977" s="35" t="n">
        <f aca="false">BA977-BF977</f>
        <v>-0.400000000000034</v>
      </c>
      <c r="BH977" s="19" t="str">
        <f aca="false">IF(BG977=0,"",IF(BG977&lt;&gt;BA977,"erreur de calcul",IF(BD977&lt;&gt;0,"pas de prix",IF(M977&lt;&gt; 0,"pas de quantité","pas de prix, ni de quantité"))))</f>
        <v>erreur de calcul</v>
      </c>
      <c r="BI977" s="19"/>
    </row>
    <row r="978" customFormat="false" ht="15" hidden="false" customHeight="false" outlineLevel="0" collapsed="false">
      <c r="A978" s="0" t="n">
        <v>28</v>
      </c>
      <c r="B978" s="8" t="s">
        <v>24</v>
      </c>
      <c r="C978" s="9" t="s">
        <v>25</v>
      </c>
      <c r="D978" s="9" t="s">
        <v>26</v>
      </c>
      <c r="E978" s="10" t="n">
        <v>1789</v>
      </c>
      <c r="F978" s="9" t="s">
        <v>27</v>
      </c>
      <c r="G978" s="9" t="s">
        <v>27</v>
      </c>
      <c r="H978" s="11" t="n">
        <v>25</v>
      </c>
      <c r="I978" s="11" t="s">
        <v>357</v>
      </c>
      <c r="J978" s="14" t="n">
        <v>30</v>
      </c>
      <c r="K978" s="14"/>
      <c r="L978" s="16"/>
      <c r="M978" s="27" t="n">
        <f aca="false">J978+(K978/20)+(L978/240)</f>
        <v>30</v>
      </c>
      <c r="N978" s="17" t="s">
        <v>64</v>
      </c>
      <c r="O978" s="11"/>
      <c r="P978" s="28"/>
      <c r="Q978" s="28" t="n">
        <f aca="false">P978*$M978</f>
        <v>0</v>
      </c>
      <c r="R978" s="28"/>
      <c r="S978" s="28" t="n">
        <f aca="false">R978*$M978</f>
        <v>0</v>
      </c>
      <c r="T978" s="28" t="n">
        <f aca="false">8903/100</f>
        <v>89.03</v>
      </c>
      <c r="U978" s="28" t="n">
        <v>2671</v>
      </c>
      <c r="V978" s="28" t="n">
        <f aca="false">2591/100</f>
        <v>25.91</v>
      </c>
      <c r="W978" s="28" t="n">
        <v>777</v>
      </c>
      <c r="X978" s="28"/>
      <c r="Y978" s="28" t="n">
        <f aca="false">X978*$M978</f>
        <v>0</v>
      </c>
      <c r="Z978" s="28" t="n">
        <f aca="false">17041/100</f>
        <v>170.41</v>
      </c>
      <c r="AA978" s="28" t="n">
        <v>5112</v>
      </c>
      <c r="AB978" s="28" t="n">
        <f aca="false">42963/100</f>
        <v>429.63</v>
      </c>
      <c r="AC978" s="28" t="n">
        <v>12889</v>
      </c>
      <c r="AD978" s="28"/>
      <c r="AE978" s="28" t="n">
        <f aca="false">AD978*$M978</f>
        <v>0</v>
      </c>
      <c r="AF978" s="28" t="n">
        <f aca="false">138369/100</f>
        <v>1383.69</v>
      </c>
      <c r="AG978" s="28" t="n">
        <v>41511</v>
      </c>
      <c r="AH978" s="28"/>
      <c r="AI978" s="28" t="n">
        <f aca="false">AH978*$M978</f>
        <v>0</v>
      </c>
      <c r="AJ978" s="28"/>
      <c r="AK978" s="28" t="n">
        <f aca="false">AJ978*$M978</f>
        <v>0</v>
      </c>
      <c r="AL978" s="28"/>
      <c r="AM978" s="28" t="n">
        <f aca="false">AL978*$M978</f>
        <v>0</v>
      </c>
      <c r="AN978" s="28"/>
      <c r="AO978" s="28" t="n">
        <f aca="false">AN978*$M978</f>
        <v>0</v>
      </c>
      <c r="AP978" s="28"/>
      <c r="AQ978" s="28" t="n">
        <f aca="false">AP978*$M978</f>
        <v>0</v>
      </c>
      <c r="AR978" s="28"/>
      <c r="AS978" s="28" t="n">
        <f aca="false">AR978*$M978</f>
        <v>0</v>
      </c>
      <c r="AT978" s="28"/>
      <c r="AU978" s="28" t="n">
        <f aca="false">AT978*$M978</f>
        <v>0</v>
      </c>
      <c r="AV978" s="28"/>
      <c r="AW978" s="28" t="n">
        <f aca="false">AV978*$M978</f>
        <v>0</v>
      </c>
      <c r="AX978" s="28"/>
      <c r="AY978" s="28" t="n">
        <f aca="false">AX978*$M978</f>
        <v>0</v>
      </c>
      <c r="AZ978" s="30" t="n">
        <f aca="false">209867/100</f>
        <v>2098.67</v>
      </c>
      <c r="BA978" s="11" t="n">
        <v>62960</v>
      </c>
      <c r="BB978" s="31" t="n">
        <f aca="false">SUM(Q978,S978,U978,W978,Y978,AA978,AC978,AE978,AG978,AI978,AK978,AM978,AO978,AQ978,AS978,AU978,AW978,AY978)</f>
        <v>62960</v>
      </c>
      <c r="BC978" s="28" t="n">
        <f aca="false">BA978-BB978</f>
        <v>0</v>
      </c>
      <c r="BD978" s="32" t="n">
        <f aca="false">SUM(P978,R978,T978,V978,X978,Z978,AB978,AD978,AF978,AH978,AJ978,AL978,AN978,AP978,AR978,AT978,AV978,AX978)</f>
        <v>2098.67</v>
      </c>
      <c r="BE978" s="33" t="n">
        <f aca="false">AZ978-BD978</f>
        <v>0</v>
      </c>
      <c r="BF978" s="34" t="n">
        <f aca="false">BD978*M978</f>
        <v>62960.1</v>
      </c>
      <c r="BG978" s="35" t="n">
        <f aca="false">BA978-BF978</f>
        <v>-0.100000000013097</v>
      </c>
      <c r="BH978" s="19" t="str">
        <f aca="false">IF(BG978=0,"",IF(BG978&lt;&gt;BA978,"erreur de calcul",IF(BD978&lt;&gt;0,"pas de prix",IF(M978&lt;&gt; 0,"pas de quantité","pas de prix, ni de quantité"))))</f>
        <v>erreur de calcul</v>
      </c>
      <c r="BI978" s="19"/>
    </row>
    <row r="979" customFormat="false" ht="15" hidden="false" customHeight="false" outlineLevel="0" collapsed="false">
      <c r="A979" s="0" t="n">
        <v>29</v>
      </c>
      <c r="B979" s="8" t="s">
        <v>24</v>
      </c>
      <c r="C979" s="9" t="s">
        <v>25</v>
      </c>
      <c r="D979" s="9" t="s">
        <v>26</v>
      </c>
      <c r="E979" s="10" t="n">
        <v>1789</v>
      </c>
      <c r="F979" s="9" t="s">
        <v>27</v>
      </c>
      <c r="G979" s="9" t="s">
        <v>27</v>
      </c>
      <c r="H979" s="11" t="n">
        <v>25</v>
      </c>
      <c r="I979" s="11" t="s">
        <v>358</v>
      </c>
      <c r="J979" s="14" t="n">
        <v>35</v>
      </c>
      <c r="K979" s="14"/>
      <c r="L979" s="16"/>
      <c r="M979" s="27" t="n">
        <f aca="false">J979+(K979/20)+(L979/240)</f>
        <v>35</v>
      </c>
      <c r="N979" s="17" t="s">
        <v>64</v>
      </c>
      <c r="O979" s="11"/>
      <c r="P979" s="28"/>
      <c r="Q979" s="28" t="n">
        <f aca="false">P979*$M979</f>
        <v>0</v>
      </c>
      <c r="R979" s="28"/>
      <c r="S979" s="28" t="n">
        <f aca="false">R979*$M979</f>
        <v>0</v>
      </c>
      <c r="T979" s="28" t="n">
        <f aca="false">62095/100</f>
        <v>620.95</v>
      </c>
      <c r="U979" s="28" t="n">
        <v>21733</v>
      </c>
      <c r="V979" s="28" t="n">
        <f aca="false">257918/100</f>
        <v>2579.18</v>
      </c>
      <c r="W979" s="28" t="n">
        <v>90271</v>
      </c>
      <c r="X979" s="28" t="n">
        <f aca="false">10723/100</f>
        <v>107.23</v>
      </c>
      <c r="Y979" s="28" t="n">
        <v>3753</v>
      </c>
      <c r="Z979" s="28" t="n">
        <f aca="false">21191/100</f>
        <v>211.91</v>
      </c>
      <c r="AA979" s="28" t="n">
        <v>7417</v>
      </c>
      <c r="AB979" s="28" t="n">
        <f aca="false">308781/100</f>
        <v>3087.81</v>
      </c>
      <c r="AC979" s="28" t="n">
        <v>108073</v>
      </c>
      <c r="AD979" s="28"/>
      <c r="AE979" s="28" t="n">
        <f aca="false">AD979*$M979</f>
        <v>0</v>
      </c>
      <c r="AF979" s="28" t="n">
        <f aca="false">5225/100</f>
        <v>52.25</v>
      </c>
      <c r="AG979" s="28" t="n">
        <v>1829</v>
      </c>
      <c r="AH979" s="28"/>
      <c r="AI979" s="28" t="n">
        <f aca="false">AH979*$M979</f>
        <v>0</v>
      </c>
      <c r="AJ979" s="28"/>
      <c r="AK979" s="28" t="n">
        <f aca="false">AJ979*$M979</f>
        <v>0</v>
      </c>
      <c r="AL979" s="28"/>
      <c r="AM979" s="28" t="n">
        <f aca="false">AL979*$M979</f>
        <v>0</v>
      </c>
      <c r="AN979" s="28"/>
      <c r="AO979" s="28" t="n">
        <f aca="false">AN979*$M979</f>
        <v>0</v>
      </c>
      <c r="AP979" s="28"/>
      <c r="AQ979" s="28" t="n">
        <f aca="false">AP979*$M979</f>
        <v>0</v>
      </c>
      <c r="AR979" s="28"/>
      <c r="AS979" s="28" t="n">
        <f aca="false">AR979*$M979</f>
        <v>0</v>
      </c>
      <c r="AT979" s="28"/>
      <c r="AU979" s="28" t="n">
        <f aca="false">AT979*$M979</f>
        <v>0</v>
      </c>
      <c r="AV979" s="28"/>
      <c r="AW979" s="28" t="n">
        <f aca="false">AV979*$M979</f>
        <v>0</v>
      </c>
      <c r="AX979" s="28"/>
      <c r="AY979" s="28" t="n">
        <f aca="false">AX979*$M979</f>
        <v>0</v>
      </c>
      <c r="AZ979" s="30" t="n">
        <f aca="false">665933/100</f>
        <v>6659.33</v>
      </c>
      <c r="BA979" s="11" t="n">
        <v>233076</v>
      </c>
      <c r="BB979" s="31" t="n">
        <f aca="false">SUM(Q979,S979,U979,W979,Y979,AA979,AC979,AE979,AG979,AI979,AK979,AM979,AO979,AQ979,AS979,AU979,AW979,AY979)</f>
        <v>233076</v>
      </c>
      <c r="BC979" s="28" t="n">
        <f aca="false">BA979-BB979</f>
        <v>0</v>
      </c>
      <c r="BD979" s="32" t="n">
        <f aca="false">SUM(P979,R979,T979,V979,X979,Z979,AB979,AD979,AF979,AH979,AJ979,AL979,AN979,AP979,AR979,AT979,AV979,AX979)</f>
        <v>6659.33</v>
      </c>
      <c r="BE979" s="33" t="n">
        <f aca="false">AZ979-BD979</f>
        <v>0</v>
      </c>
      <c r="BF979" s="34" t="n">
        <f aca="false">BD979*M979</f>
        <v>233076.55</v>
      </c>
      <c r="BG979" s="35" t="n">
        <f aca="false">BA979-BF979</f>
        <v>-0.549999999959255</v>
      </c>
      <c r="BH979" s="19" t="str">
        <f aca="false">IF(BG979=0,"",IF(BG979&lt;&gt;BA979,"erreur de calcul",IF(BD979&lt;&gt;0,"pas de prix",IF(M979&lt;&gt; 0,"pas de quantité","pas de prix, ni de quantité"))))</f>
        <v>erreur de calcul</v>
      </c>
      <c r="BI979" s="19"/>
    </row>
    <row r="980" customFormat="false" ht="15" hidden="false" customHeight="false" outlineLevel="0" collapsed="false">
      <c r="A980" s="0" t="n">
        <v>30</v>
      </c>
      <c r="B980" s="8" t="s">
        <v>24</v>
      </c>
      <c r="C980" s="9" t="s">
        <v>25</v>
      </c>
      <c r="D980" s="9" t="s">
        <v>26</v>
      </c>
      <c r="E980" s="10" t="n">
        <v>1789</v>
      </c>
      <c r="F980" s="9" t="s">
        <v>27</v>
      </c>
      <c r="G980" s="9" t="s">
        <v>27</v>
      </c>
      <c r="H980" s="11" t="n">
        <v>25</v>
      </c>
      <c r="I980" s="11" t="s">
        <v>359</v>
      </c>
      <c r="J980" s="14"/>
      <c r="K980" s="14"/>
      <c r="L980" s="16"/>
      <c r="M980" s="27" t="n">
        <f aca="false">J980+(K980/20)+(L980/240)</f>
        <v>0</v>
      </c>
      <c r="N980" s="17"/>
      <c r="O980" s="11" t="s">
        <v>109</v>
      </c>
      <c r="P980" s="28"/>
      <c r="Q980" s="28" t="n">
        <f aca="false">P980*$M980</f>
        <v>0</v>
      </c>
      <c r="R980" s="28"/>
      <c r="S980" s="28" t="n">
        <f aca="false">R980*$M980</f>
        <v>0</v>
      </c>
      <c r="T980" s="28"/>
      <c r="U980" s="28" t="n">
        <f aca="false">T980*$M980</f>
        <v>0</v>
      </c>
      <c r="V980" s="28"/>
      <c r="W980" s="28" t="n">
        <f aca="false">V980*$M980</f>
        <v>0</v>
      </c>
      <c r="X980" s="28"/>
      <c r="Y980" s="28" t="n">
        <f aca="false">X980*$M980</f>
        <v>0</v>
      </c>
      <c r="Z980" s="28"/>
      <c r="AA980" s="28" t="n">
        <f aca="false">Z980*$M980</f>
        <v>0</v>
      </c>
      <c r="AB980" s="28"/>
      <c r="AC980" s="28" t="n">
        <f aca="false">AB980*$M980</f>
        <v>0</v>
      </c>
      <c r="AD980" s="28"/>
      <c r="AE980" s="28" t="n">
        <f aca="false">AD980*$M980</f>
        <v>0</v>
      </c>
      <c r="AF980" s="28"/>
      <c r="AG980" s="28" t="n">
        <f aca="false">AF980*$M980</f>
        <v>0</v>
      </c>
      <c r="AH980" s="28"/>
      <c r="AI980" s="28" t="n">
        <f aca="false">AH980*$M980</f>
        <v>0</v>
      </c>
      <c r="AJ980" s="28"/>
      <c r="AK980" s="28" t="n">
        <f aca="false">AJ980*$M980</f>
        <v>0</v>
      </c>
      <c r="AL980" s="28"/>
      <c r="AM980" s="28" t="n">
        <f aca="false">AL980*$M980</f>
        <v>0</v>
      </c>
      <c r="AN980" s="28"/>
      <c r="AO980" s="28" t="n">
        <f aca="false">AN980*$M980</f>
        <v>0</v>
      </c>
      <c r="AP980" s="28"/>
      <c r="AQ980" s="28" t="n">
        <f aca="false">AP980*$M980</f>
        <v>0</v>
      </c>
      <c r="AR980" s="28"/>
      <c r="AS980" s="28" t="n">
        <f aca="false">AR980*$M980</f>
        <v>0</v>
      </c>
      <c r="AT980" s="28"/>
      <c r="AU980" s="28" t="n">
        <f aca="false">AT980*$M980</f>
        <v>0</v>
      </c>
      <c r="AV980" s="28"/>
      <c r="AW980" s="28" t="n">
        <f aca="false">AV980*$M980</f>
        <v>0</v>
      </c>
      <c r="AX980" s="28"/>
      <c r="AY980" s="28" t="n">
        <f aca="false">AX980*$M980</f>
        <v>0</v>
      </c>
      <c r="AZ980" s="30"/>
      <c r="BA980" s="11"/>
      <c r="BB980" s="31" t="n">
        <f aca="false">SUM(Q980,S980,U980,W980,Y980,AA980,AC980,AE980,AG980,AI980,AK980,AM980,AO980,AQ980,AS980,AU980,AW980,AY980)</f>
        <v>0</v>
      </c>
      <c r="BC980" s="28" t="n">
        <f aca="false">BA980-BB980</f>
        <v>0</v>
      </c>
      <c r="BD980" s="32" t="n">
        <f aca="false">SUM(P980,R980,T980,V980,X980,Z980,AB980,AD980,AF980,AH980,AJ980,AL980,AN980,AP980,AR980,AT980,AV980,AX980)</f>
        <v>0</v>
      </c>
      <c r="BE980" s="33" t="n">
        <f aca="false">AZ980-BD980</f>
        <v>0</v>
      </c>
      <c r="BF980" s="34" t="n">
        <f aca="false">BD980*M980</f>
        <v>0</v>
      </c>
      <c r="BG980" s="35" t="n">
        <f aca="false">BA980-BF980</f>
        <v>0</v>
      </c>
      <c r="BH980" s="19" t="str">
        <f aca="false">IF(BG980=0,"",IF(BG980&lt;&gt;BA980,"erreur de calcul",IF(BD980&lt;&gt;0,"pas de prix",IF(M980&lt;&gt; 0,"pas de quantité","pas de prix, ni de quantité"))))</f>
        <v/>
      </c>
      <c r="BI980" s="19"/>
    </row>
    <row r="981" customFormat="false" ht="15" hidden="false" customHeight="false" outlineLevel="0" collapsed="false">
      <c r="A981" s="0" t="n">
        <v>31</v>
      </c>
      <c r="B981" s="8" t="s">
        <v>24</v>
      </c>
      <c r="C981" s="9" t="s">
        <v>25</v>
      </c>
      <c r="D981" s="9" t="s">
        <v>26</v>
      </c>
      <c r="E981" s="10" t="n">
        <v>1789</v>
      </c>
      <c r="F981" s="9" t="s">
        <v>27</v>
      </c>
      <c r="G981" s="9" t="s">
        <v>27</v>
      </c>
      <c r="H981" s="11" t="n">
        <v>25</v>
      </c>
      <c r="I981" s="11" t="s">
        <v>359</v>
      </c>
      <c r="J981" s="14"/>
      <c r="K981" s="14"/>
      <c r="L981" s="16"/>
      <c r="M981" s="27" t="n">
        <f aca="false">J981+(K981/20)+(L981/240)</f>
        <v>0</v>
      </c>
      <c r="N981" s="17"/>
      <c r="O981" s="11" t="s">
        <v>277</v>
      </c>
      <c r="P981" s="28"/>
      <c r="Q981" s="28" t="n">
        <f aca="false">P981*$M981</f>
        <v>0</v>
      </c>
      <c r="R981" s="28"/>
      <c r="S981" s="28" t="n">
        <f aca="false">R981*$M981</f>
        <v>0</v>
      </c>
      <c r="T981" s="28"/>
      <c r="U981" s="28" t="n">
        <f aca="false">T981*$M981</f>
        <v>0</v>
      </c>
      <c r="V981" s="28"/>
      <c r="W981" s="28" t="n">
        <f aca="false">V981*$M981</f>
        <v>0</v>
      </c>
      <c r="X981" s="28"/>
      <c r="Y981" s="28" t="n">
        <v>1361</v>
      </c>
      <c r="Z981" s="28"/>
      <c r="AA981" s="28" t="n">
        <f aca="false">Z981*$M981</f>
        <v>0</v>
      </c>
      <c r="AB981" s="28"/>
      <c r="AC981" s="28" t="n">
        <v>1182</v>
      </c>
      <c r="AD981" s="28"/>
      <c r="AE981" s="28" t="n">
        <v>649</v>
      </c>
      <c r="AF981" s="28"/>
      <c r="AG981" s="28" t="n">
        <f aca="false">AF981*$M981</f>
        <v>0</v>
      </c>
      <c r="AH981" s="28"/>
      <c r="AI981" s="28" t="n">
        <v>862</v>
      </c>
      <c r="AJ981" s="28"/>
      <c r="AK981" s="28" t="n">
        <f aca="false">AJ981*$M981</f>
        <v>0</v>
      </c>
      <c r="AL981" s="28"/>
      <c r="AM981" s="28" t="n">
        <f aca="false">AL981*$M981</f>
        <v>0</v>
      </c>
      <c r="AN981" s="28"/>
      <c r="AO981" s="28" t="n">
        <f aca="false">AN981*$M981</f>
        <v>0</v>
      </c>
      <c r="AP981" s="28"/>
      <c r="AQ981" s="28" t="n">
        <f aca="false">AP981*$M981</f>
        <v>0</v>
      </c>
      <c r="AR981" s="28"/>
      <c r="AS981" s="28" t="n">
        <f aca="false">AR981*$M981</f>
        <v>0</v>
      </c>
      <c r="AT981" s="28"/>
      <c r="AU981" s="28" t="n">
        <f aca="false">AT981*$M981</f>
        <v>0</v>
      </c>
      <c r="AV981" s="28"/>
      <c r="AW981" s="28" t="n">
        <f aca="false">AV981*$M981</f>
        <v>0</v>
      </c>
      <c r="AX981" s="28"/>
      <c r="AY981" s="28" t="n">
        <f aca="false">AX981*$M981</f>
        <v>0</v>
      </c>
      <c r="AZ981" s="30"/>
      <c r="BA981" s="11" t="n">
        <v>4054</v>
      </c>
      <c r="BB981" s="31" t="n">
        <f aca="false">SUM(Q981,S981,U981,W981,Y981,AA981,AC981,AE981,AG981,AI981,AK981,AM981,AO981,AQ981,AS981,AU981,AW981,AY981)</f>
        <v>4054</v>
      </c>
      <c r="BC981" s="28" t="n">
        <f aca="false">BA981-BB981</f>
        <v>0</v>
      </c>
      <c r="BD981" s="32" t="n">
        <f aca="false">SUM(P981,R981,T981,V981,X981,Z981,AB981,AD981,AF981,AH981,AJ981,AL981,AN981,AP981,AR981,AT981,AV981,AX981)</f>
        <v>0</v>
      </c>
      <c r="BE981" s="33" t="n">
        <f aca="false">AZ981-BD981</f>
        <v>0</v>
      </c>
      <c r="BF981" s="34" t="n">
        <f aca="false">BD981*M981</f>
        <v>0</v>
      </c>
      <c r="BG981" s="35" t="n">
        <f aca="false">BA981-BF981</f>
        <v>4054</v>
      </c>
      <c r="BH981" s="19" t="str">
        <f aca="false">IF(BG981=0,"",IF(BG981&lt;&gt;BA981,"erreur de calcul",IF(BD981&lt;&gt;0,"pas de prix",IF(M981&lt;&gt; 0,"pas de quantité","pas de prix, ni de quantité"))))</f>
        <v>pas de prix, ni de quantité</v>
      </c>
      <c r="BI981" s="19"/>
    </row>
    <row r="982" customFormat="false" ht="15" hidden="false" customHeight="false" outlineLevel="0" collapsed="false">
      <c r="A982" s="0" t="n">
        <v>32</v>
      </c>
      <c r="B982" s="8" t="s">
        <v>24</v>
      </c>
      <c r="C982" s="9" t="s">
        <v>25</v>
      </c>
      <c r="D982" s="9" t="s">
        <v>26</v>
      </c>
      <c r="E982" s="10" t="n">
        <v>1789</v>
      </c>
      <c r="F982" s="9" t="s">
        <v>27</v>
      </c>
      <c r="G982" s="9" t="s">
        <v>27</v>
      </c>
      <c r="H982" s="11" t="n">
        <v>25</v>
      </c>
      <c r="I982" s="11" t="s">
        <v>360</v>
      </c>
      <c r="J982" s="14" t="n">
        <v>66</v>
      </c>
      <c r="K982" s="14"/>
      <c r="L982" s="16"/>
      <c r="M982" s="27" t="n">
        <f aca="false">J982+(K982/20)+(L982/240)</f>
        <v>66</v>
      </c>
      <c r="N982" s="17" t="s">
        <v>64</v>
      </c>
      <c r="O982" s="11"/>
      <c r="P982" s="28"/>
      <c r="Q982" s="28" t="n">
        <f aca="false">P982*$M982</f>
        <v>0</v>
      </c>
      <c r="R982" s="28"/>
      <c r="S982" s="28" t="n">
        <f aca="false">R982*$M982</f>
        <v>0</v>
      </c>
      <c r="T982" s="28"/>
      <c r="U982" s="28" t="n">
        <f aca="false">T982*$M982</f>
        <v>0</v>
      </c>
      <c r="V982" s="28"/>
      <c r="W982" s="28" t="n">
        <f aca="false">V982*$M982</f>
        <v>0</v>
      </c>
      <c r="X982" s="28"/>
      <c r="Y982" s="28" t="n">
        <f aca="false">X982*$M982</f>
        <v>0</v>
      </c>
      <c r="Z982" s="28"/>
      <c r="AA982" s="28" t="n">
        <f aca="false">Z982*$M982</f>
        <v>0</v>
      </c>
      <c r="AB982" s="28"/>
      <c r="AC982" s="28" t="n">
        <f aca="false">AB982*$M982</f>
        <v>0</v>
      </c>
      <c r="AD982" s="28"/>
      <c r="AE982" s="28" t="n">
        <f aca="false">AD982*$M982</f>
        <v>0</v>
      </c>
      <c r="AF982" s="28"/>
      <c r="AG982" s="28" t="n">
        <f aca="false">AF982*$M982</f>
        <v>0</v>
      </c>
      <c r="AH982" s="28" t="n">
        <f aca="false">75475/100</f>
        <v>754.75</v>
      </c>
      <c r="AI982" s="28" t="n">
        <v>49813</v>
      </c>
      <c r="AJ982" s="28"/>
      <c r="AK982" s="28" t="n">
        <f aca="false">AJ982*$M982</f>
        <v>0</v>
      </c>
      <c r="AL982" s="28"/>
      <c r="AM982" s="28" t="n">
        <f aca="false">AL982*$M982</f>
        <v>0</v>
      </c>
      <c r="AN982" s="28"/>
      <c r="AO982" s="28" t="n">
        <f aca="false">AN982*$M982</f>
        <v>0</v>
      </c>
      <c r="AP982" s="28"/>
      <c r="AQ982" s="28" t="n">
        <f aca="false">AP982*$M982</f>
        <v>0</v>
      </c>
      <c r="AR982" s="28"/>
      <c r="AS982" s="28" t="n">
        <f aca="false">AR982*$M982</f>
        <v>0</v>
      </c>
      <c r="AT982" s="28"/>
      <c r="AU982" s="28" t="n">
        <f aca="false">AT982*$M982</f>
        <v>0</v>
      </c>
      <c r="AV982" s="28"/>
      <c r="AW982" s="28" t="n">
        <f aca="false">AV982*$M982</f>
        <v>0</v>
      </c>
      <c r="AX982" s="28"/>
      <c r="AY982" s="28" t="n">
        <f aca="false">AX982*$M982</f>
        <v>0</v>
      </c>
      <c r="AZ982" s="30" t="n">
        <f aca="false">75475/100</f>
        <v>754.75</v>
      </c>
      <c r="BA982" s="11" t="n">
        <v>49813</v>
      </c>
      <c r="BB982" s="31" t="n">
        <f aca="false">SUM(Q982,S982,U982,W982,Y982,AA982,AC982,AE982,AG982,AI982,AK982,AM982,AO982,AQ982,AS982,AU982,AW982,AY982)</f>
        <v>49813</v>
      </c>
      <c r="BC982" s="28" t="n">
        <f aca="false">BA982-BB982</f>
        <v>0</v>
      </c>
      <c r="BD982" s="32" t="n">
        <f aca="false">SUM(P982,R982,T982,V982,X982,Z982,AB982,AD982,AF982,AH982,AJ982,AL982,AN982,AP982,AR982,AT982,AV982,AX982)</f>
        <v>754.75</v>
      </c>
      <c r="BE982" s="33" t="n">
        <f aca="false">AZ982-BD982</f>
        <v>0</v>
      </c>
      <c r="BF982" s="34" t="n">
        <f aca="false">BD982*M982</f>
        <v>49813.5</v>
      </c>
      <c r="BG982" s="35" t="n">
        <f aca="false">BA982-BF982</f>
        <v>-0.5</v>
      </c>
      <c r="BH982" s="19" t="str">
        <f aca="false">IF(BG982=0,"",IF(BG982&lt;&gt;BA982,"erreur de calcul",IF(BD982&lt;&gt;0,"pas de prix",IF(M982&lt;&gt; 0,"pas de quantité","pas de prix, ni de quantité"))))</f>
        <v>erreur de calcul</v>
      </c>
      <c r="BI982" s="19"/>
    </row>
    <row r="983" customFormat="false" ht="15" hidden="false" customHeight="false" outlineLevel="0" collapsed="false">
      <c r="A983" s="0" t="n">
        <v>33</v>
      </c>
      <c r="B983" s="8" t="s">
        <v>24</v>
      </c>
      <c r="C983" s="9" t="s">
        <v>25</v>
      </c>
      <c r="D983" s="9" t="s">
        <v>26</v>
      </c>
      <c r="E983" s="10" t="n">
        <v>1789</v>
      </c>
      <c r="F983" s="9" t="s">
        <v>27</v>
      </c>
      <c r="G983" s="9" t="s">
        <v>27</v>
      </c>
      <c r="H983" s="11" t="n">
        <v>25</v>
      </c>
      <c r="I983" s="11" t="s">
        <v>361</v>
      </c>
      <c r="J983" s="14" t="n">
        <v>175</v>
      </c>
      <c r="K983" s="14"/>
      <c r="L983" s="16"/>
      <c r="M983" s="27" t="n">
        <f aca="false">J983+(K983/20)+(L983/240)</f>
        <v>175</v>
      </c>
      <c r="N983" s="17" t="s">
        <v>64</v>
      </c>
      <c r="O983" s="11" t="s">
        <v>77</v>
      </c>
      <c r="P983" s="28" t="n">
        <f aca="false">1514/100</f>
        <v>15.14</v>
      </c>
      <c r="Q983" s="28" t="n">
        <v>2649</v>
      </c>
      <c r="R983" s="28"/>
      <c r="S983" s="28" t="n">
        <f aca="false">R983*$M983</f>
        <v>0</v>
      </c>
      <c r="T983" s="28" t="n">
        <f aca="false">170926/100</f>
        <v>1709.26</v>
      </c>
      <c r="U983" s="28" t="n">
        <v>299120</v>
      </c>
      <c r="V983" s="28" t="n">
        <f aca="false">16985/100</f>
        <v>169.85</v>
      </c>
      <c r="W983" s="28" t="n">
        <v>29724</v>
      </c>
      <c r="X983" s="28" t="n">
        <f aca="false">4530/100</f>
        <v>45.3</v>
      </c>
      <c r="Y983" s="28" t="n">
        <v>7927</v>
      </c>
      <c r="Z983" s="28"/>
      <c r="AA983" s="28" t="n">
        <f aca="false">Z983*$M983</f>
        <v>0</v>
      </c>
      <c r="AB983" s="28" t="n">
        <f aca="false">33770/100</f>
        <v>337.7</v>
      </c>
      <c r="AC983" s="28" t="n">
        <v>59097</v>
      </c>
      <c r="AD983" s="28"/>
      <c r="AE983" s="28" t="n">
        <f aca="false">AD983*$M983</f>
        <v>0</v>
      </c>
      <c r="AF983" s="28" t="n">
        <f aca="false">4712/100</f>
        <v>47.12</v>
      </c>
      <c r="AG983" s="28" t="n">
        <v>8246</v>
      </c>
      <c r="AH983" s="28" t="n">
        <f aca="false">55822/100</f>
        <v>558.22</v>
      </c>
      <c r="AI983" s="28" t="n">
        <v>97688</v>
      </c>
      <c r="AJ983" s="28"/>
      <c r="AK983" s="28" t="n">
        <f aca="false">AJ983*$M983</f>
        <v>0</v>
      </c>
      <c r="AL983" s="28"/>
      <c r="AM983" s="28" t="n">
        <f aca="false">AL983*$M983</f>
        <v>0</v>
      </c>
      <c r="AN983" s="28"/>
      <c r="AO983" s="28" t="n">
        <f aca="false">AN983*$M983</f>
        <v>0</v>
      </c>
      <c r="AP983" s="28"/>
      <c r="AQ983" s="28" t="n">
        <f aca="false">AP983*$M983</f>
        <v>0</v>
      </c>
      <c r="AR983" s="28"/>
      <c r="AS983" s="28" t="n">
        <f aca="false">AR983*$M983</f>
        <v>0</v>
      </c>
      <c r="AT983" s="28"/>
      <c r="AU983" s="28" t="n">
        <f aca="false">AT983*$M983</f>
        <v>0</v>
      </c>
      <c r="AV983" s="28"/>
      <c r="AW983" s="28" t="n">
        <f aca="false">AV983*$M983</f>
        <v>0</v>
      </c>
      <c r="AX983" s="28"/>
      <c r="AY983" s="28" t="n">
        <f aca="false">AX983*$M983</f>
        <v>0</v>
      </c>
      <c r="AZ983" s="30" t="n">
        <f aca="false">288259/100</f>
        <v>2882.59</v>
      </c>
      <c r="BA983" s="11" t="n">
        <v>504451</v>
      </c>
      <c r="BB983" s="31" t="n">
        <f aca="false">SUM(Q983,S983,U983,W983,Y983,AA983,AC983,AE983,AG983,AI983,AK983,AM983,AO983,AQ983,AS983,AU983,AW983,AY983)</f>
        <v>504451</v>
      </c>
      <c r="BC983" s="28" t="n">
        <f aca="false">BA983-BB983</f>
        <v>0</v>
      </c>
      <c r="BD983" s="32" t="n">
        <f aca="false">SUM(P983,R983,T983,V983,X983,Z983,AB983,AD983,AF983,AH983,AJ983,AL983,AN983,AP983,AR983,AT983,AV983,AX983)</f>
        <v>2882.59</v>
      </c>
      <c r="BE983" s="33" t="n">
        <f aca="false">AZ983-BD983</f>
        <v>0</v>
      </c>
      <c r="BF983" s="34" t="n">
        <f aca="false">BD983*M983</f>
        <v>504453.25</v>
      </c>
      <c r="BG983" s="35" t="n">
        <f aca="false">BA983-BF983</f>
        <v>-2.24999999994179</v>
      </c>
      <c r="BH983" s="19" t="str">
        <f aca="false">IF(BG983=0,"",IF(BG983&lt;&gt;BA983,"erreur de calcul",IF(BD983&lt;&gt;0,"pas de prix",IF(M983&lt;&gt; 0,"pas de quantité","pas de prix, ni de quantité"))))</f>
        <v>erreur de calcul</v>
      </c>
      <c r="BI983" s="19"/>
    </row>
    <row r="984" customFormat="false" ht="15" hidden="false" customHeight="false" outlineLevel="0" collapsed="false">
      <c r="A984" s="0" t="n">
        <v>34</v>
      </c>
      <c r="B984" s="8" t="s">
        <v>24</v>
      </c>
      <c r="C984" s="9" t="s">
        <v>25</v>
      </c>
      <c r="D984" s="9" t="s">
        <v>26</v>
      </c>
      <c r="E984" s="10" t="n">
        <v>1789</v>
      </c>
      <c r="F984" s="9" t="s">
        <v>27</v>
      </c>
      <c r="G984" s="9" t="s">
        <v>27</v>
      </c>
      <c r="H984" s="11" t="n">
        <v>25</v>
      </c>
      <c r="I984" s="11" t="s">
        <v>362</v>
      </c>
      <c r="J984" s="14" t="n">
        <v>150</v>
      </c>
      <c r="K984" s="14"/>
      <c r="L984" s="16"/>
      <c r="M984" s="27" t="n">
        <f aca="false">J984+(K984/20)+(L984/240)</f>
        <v>150</v>
      </c>
      <c r="N984" s="17" t="s">
        <v>64</v>
      </c>
      <c r="O984" s="11"/>
      <c r="P984" s="28"/>
      <c r="Q984" s="28" t="n">
        <f aca="false">P984*$M984</f>
        <v>0</v>
      </c>
      <c r="R984" s="28"/>
      <c r="S984" s="28" t="n">
        <f aca="false">R984*$M984</f>
        <v>0</v>
      </c>
      <c r="T984" s="28" t="n">
        <f aca="false">1842/100</f>
        <v>18.42</v>
      </c>
      <c r="U984" s="28" t="n">
        <v>2763</v>
      </c>
      <c r="V984" s="28" t="n">
        <f aca="false">684/100</f>
        <v>6.84</v>
      </c>
      <c r="W984" s="28" t="n">
        <v>1026</v>
      </c>
      <c r="X984" s="28"/>
      <c r="Y984" s="28" t="n">
        <f aca="false">X984*$M984</f>
        <v>0</v>
      </c>
      <c r="Z984" s="28"/>
      <c r="AA984" s="28" t="n">
        <f aca="false">Z984*$M984</f>
        <v>0</v>
      </c>
      <c r="AB984" s="28"/>
      <c r="AC984" s="28" t="n">
        <f aca="false">AB984*$M984</f>
        <v>0</v>
      </c>
      <c r="AD984" s="28"/>
      <c r="AE984" s="28" t="n">
        <f aca="false">AD984*$M984</f>
        <v>0</v>
      </c>
      <c r="AF984" s="28"/>
      <c r="AG984" s="28" t="n">
        <f aca="false">AF984*$M984</f>
        <v>0</v>
      </c>
      <c r="AH984" s="28"/>
      <c r="AI984" s="28" t="n">
        <f aca="false">AH984*$M984</f>
        <v>0</v>
      </c>
      <c r="AJ984" s="28"/>
      <c r="AK984" s="28" t="n">
        <f aca="false">AJ984*$M984</f>
        <v>0</v>
      </c>
      <c r="AL984" s="28"/>
      <c r="AM984" s="28" t="n">
        <f aca="false">AL984*$M984</f>
        <v>0</v>
      </c>
      <c r="AN984" s="28"/>
      <c r="AO984" s="28" t="n">
        <f aca="false">AN984*$M984</f>
        <v>0</v>
      </c>
      <c r="AP984" s="28"/>
      <c r="AQ984" s="28" t="n">
        <f aca="false">AP984*$M984</f>
        <v>0</v>
      </c>
      <c r="AR984" s="28"/>
      <c r="AS984" s="28" t="n">
        <f aca="false">AR984*$M984</f>
        <v>0</v>
      </c>
      <c r="AT984" s="28"/>
      <c r="AU984" s="28" t="n">
        <f aca="false">AT984*$M984</f>
        <v>0</v>
      </c>
      <c r="AV984" s="28"/>
      <c r="AW984" s="28" t="n">
        <f aca="false">AV984*$M984</f>
        <v>0</v>
      </c>
      <c r="AX984" s="28"/>
      <c r="AY984" s="28" t="n">
        <f aca="false">AX984*$M984</f>
        <v>0</v>
      </c>
      <c r="AZ984" s="30" t="n">
        <f aca="false">2526/100</f>
        <v>25.26</v>
      </c>
      <c r="BA984" s="11" t="n">
        <v>3789</v>
      </c>
      <c r="BB984" s="31" t="n">
        <f aca="false">SUM(Q984,S984,U984,W984,Y984,AA984,AC984,AE984,AG984,AI984,AK984,AM984,AO984,AQ984,AS984,AU984,AW984,AY984)</f>
        <v>3789</v>
      </c>
      <c r="BC984" s="28" t="n">
        <f aca="false">BA984-BB984</f>
        <v>0</v>
      </c>
      <c r="BD984" s="32" t="n">
        <f aca="false">SUM(P984,R984,T984,V984,X984,Z984,AB984,AD984,AF984,AH984,AJ984,AL984,AN984,AP984,AR984,AT984,AV984,AX984)</f>
        <v>25.26</v>
      </c>
      <c r="BE984" s="33" t="n">
        <f aca="false">AZ984-BD984</f>
        <v>0</v>
      </c>
      <c r="BF984" s="34" t="n">
        <f aca="false">BD984*M984</f>
        <v>3789</v>
      </c>
      <c r="BG984" s="35" t="n">
        <f aca="false">BA984-BF984</f>
        <v>0</v>
      </c>
      <c r="BH984" s="19" t="str">
        <f aca="false">IF(BG984=0,"",IF(BG984&lt;&gt;BA984,"erreur de calcul",IF(BD984&lt;&gt;0,"pas de prix",IF(M984&lt;&gt; 0,"pas de quantité","pas de prix, ni de quantité"))))</f>
        <v/>
      </c>
      <c r="BI984" s="19"/>
    </row>
    <row r="985" customFormat="false" ht="15" hidden="false" customHeight="false" outlineLevel="0" collapsed="false">
      <c r="A985" s="0" t="n">
        <v>35</v>
      </c>
      <c r="B985" s="8" t="s">
        <v>24</v>
      </c>
      <c r="C985" s="9" t="s">
        <v>25</v>
      </c>
      <c r="D985" s="9" t="s">
        <v>26</v>
      </c>
      <c r="E985" s="10" t="n">
        <v>1789</v>
      </c>
      <c r="F985" s="9" t="s">
        <v>27</v>
      </c>
      <c r="G985" s="9" t="s">
        <v>27</v>
      </c>
      <c r="H985" s="11" t="n">
        <v>25</v>
      </c>
      <c r="I985" s="11" t="s">
        <v>363</v>
      </c>
      <c r="J985" s="14" t="n">
        <v>150</v>
      </c>
      <c r="K985" s="14"/>
      <c r="L985" s="16"/>
      <c r="M985" s="27" t="n">
        <f aca="false">J985+(K985/20)+(L985/240)</f>
        <v>150</v>
      </c>
      <c r="N985" s="17" t="s">
        <v>64</v>
      </c>
      <c r="O985" s="11" t="s">
        <v>77</v>
      </c>
      <c r="P985" s="28"/>
      <c r="Q985" s="28" t="n">
        <f aca="false">P985*$M985</f>
        <v>0</v>
      </c>
      <c r="R985" s="28"/>
      <c r="S985" s="28" t="n">
        <f aca="false">R985*$M985</f>
        <v>0</v>
      </c>
      <c r="T985" s="28"/>
      <c r="U985" s="28" t="n">
        <f aca="false">T985*$M985</f>
        <v>0</v>
      </c>
      <c r="V985" s="28" t="n">
        <f aca="false">1501/100</f>
        <v>15.01</v>
      </c>
      <c r="W985" s="28" t="n">
        <v>2251</v>
      </c>
      <c r="X985" s="28"/>
      <c r="Y985" s="28" t="n">
        <f aca="false">X985*$M985</f>
        <v>0</v>
      </c>
      <c r="Z985" s="28" t="n">
        <f aca="false">6420/100</f>
        <v>64.2</v>
      </c>
      <c r="AA985" s="28" t="n">
        <v>9630</v>
      </c>
      <c r="AB985" s="28"/>
      <c r="AC985" s="28" t="n">
        <f aca="false">AB985*$M985</f>
        <v>0</v>
      </c>
      <c r="AD985" s="28"/>
      <c r="AE985" s="28" t="n">
        <f aca="false">AD985*$M985</f>
        <v>0</v>
      </c>
      <c r="AF985" s="28"/>
      <c r="AG985" s="28" t="n">
        <f aca="false">AF985*$M985</f>
        <v>0</v>
      </c>
      <c r="AH985" s="28" t="n">
        <f aca="false">138039/100</f>
        <v>1380.39</v>
      </c>
      <c r="AI985" s="28" t="n">
        <v>207058</v>
      </c>
      <c r="AJ985" s="28"/>
      <c r="AK985" s="28" t="n">
        <f aca="false">AJ985*$M985</f>
        <v>0</v>
      </c>
      <c r="AL985" s="28" t="n">
        <f aca="false">917/100</f>
        <v>9.17</v>
      </c>
      <c r="AM985" s="28" t="n">
        <v>1375</v>
      </c>
      <c r="AN985" s="28"/>
      <c r="AO985" s="28" t="n">
        <f aca="false">AN985*$M985</f>
        <v>0</v>
      </c>
      <c r="AP985" s="28"/>
      <c r="AQ985" s="28" t="n">
        <f aca="false">AP985*$M985</f>
        <v>0</v>
      </c>
      <c r="AR985" s="28"/>
      <c r="AS985" s="28" t="n">
        <f aca="false">AR985*$M985</f>
        <v>0</v>
      </c>
      <c r="AT985" s="28"/>
      <c r="AU985" s="28" t="n">
        <f aca="false">AT985*$M985</f>
        <v>0</v>
      </c>
      <c r="AV985" s="28"/>
      <c r="AW985" s="28" t="n">
        <f aca="false">AV985*$M985</f>
        <v>0</v>
      </c>
      <c r="AX985" s="28"/>
      <c r="AY985" s="28" t="n">
        <f aca="false">AX985*$M985</f>
        <v>0</v>
      </c>
      <c r="AZ985" s="30" t="n">
        <f aca="false">146877/100</f>
        <v>1468.77</v>
      </c>
      <c r="BA985" s="11" t="n">
        <v>220314</v>
      </c>
      <c r="BB985" s="31" t="n">
        <f aca="false">SUM(Q985,S985,U985,W985,Y985,AA985,AC985,AE985,AG985,AI985,AK985,AM985,AO985,AQ985,AS985,AU985,AW985,AY985)</f>
        <v>220314</v>
      </c>
      <c r="BC985" s="28" t="n">
        <f aca="false">BA985-BB985</f>
        <v>0</v>
      </c>
      <c r="BD985" s="32" t="n">
        <f aca="false">SUM(P985,R985,T985,V985,X985,Z985,AB985,AD985,AF985,AH985,AJ985,AL985,AN985,AP985,AR985,AT985,AV985,AX985)</f>
        <v>1468.77</v>
      </c>
      <c r="BE985" s="33" t="n">
        <f aca="false">AZ985-BD985</f>
        <v>0</v>
      </c>
      <c r="BF985" s="34" t="n">
        <f aca="false">BD985*M985</f>
        <v>220315.5</v>
      </c>
      <c r="BG985" s="35" t="n">
        <f aca="false">BA985-BF985</f>
        <v>-1.5000000000291</v>
      </c>
      <c r="BH985" s="19" t="str">
        <f aca="false">IF(BG985=0,"",IF(BG985&lt;&gt;BA985,"erreur de calcul",IF(BD985&lt;&gt;0,"pas de prix",IF(M985&lt;&gt; 0,"pas de quantité","pas de prix, ni de quantité"))))</f>
        <v>erreur de calcul</v>
      </c>
      <c r="BI985" s="19"/>
    </row>
    <row r="986" customFormat="false" ht="15" hidden="false" customHeight="false" outlineLevel="0" collapsed="false">
      <c r="A986" s="0" t="n">
        <v>36</v>
      </c>
      <c r="B986" s="8" t="s">
        <v>24</v>
      </c>
      <c r="C986" s="9" t="s">
        <v>25</v>
      </c>
      <c r="D986" s="9" t="s">
        <v>26</v>
      </c>
      <c r="E986" s="10" t="n">
        <v>1789</v>
      </c>
      <c r="F986" s="9" t="s">
        <v>27</v>
      </c>
      <c r="G986" s="9" t="s">
        <v>27</v>
      </c>
      <c r="H986" s="11" t="n">
        <v>25</v>
      </c>
      <c r="I986" s="11" t="s">
        <v>364</v>
      </c>
      <c r="J986" s="14" t="n">
        <v>122</v>
      </c>
      <c r="K986" s="14"/>
      <c r="L986" s="16"/>
      <c r="M986" s="27" t="n">
        <f aca="false">J986+(K986/20)+(L986/240)</f>
        <v>122</v>
      </c>
      <c r="N986" s="17" t="s">
        <v>64</v>
      </c>
      <c r="O986" s="11" t="s">
        <v>77</v>
      </c>
      <c r="P986" s="28" t="n">
        <f aca="false">2402/100</f>
        <v>24.02</v>
      </c>
      <c r="Q986" s="28" t="n">
        <v>2930</v>
      </c>
      <c r="R986" s="28"/>
      <c r="S986" s="28" t="n">
        <f aca="false">R986*$M986</f>
        <v>0</v>
      </c>
      <c r="T986" s="28" t="n">
        <f aca="false">3566/100</f>
        <v>35.66</v>
      </c>
      <c r="U986" s="36" t="n">
        <v>4550</v>
      </c>
      <c r="V986" s="28" t="n">
        <f aca="false">917/100</f>
        <v>9.17</v>
      </c>
      <c r="W986" s="28" t="n">
        <v>1119</v>
      </c>
      <c r="X986" s="28"/>
      <c r="Y986" s="28" t="n">
        <f aca="false">X986*$M986</f>
        <v>0</v>
      </c>
      <c r="Z986" s="28"/>
      <c r="AA986" s="28" t="n">
        <f aca="false">Z986*$M986</f>
        <v>0</v>
      </c>
      <c r="AB986" s="28" t="n">
        <f aca="false">28087/100</f>
        <v>280.87</v>
      </c>
      <c r="AC986" s="28" t="n">
        <v>34266</v>
      </c>
      <c r="AD986" s="28" t="n">
        <f aca="false">1505/100</f>
        <v>15.05</v>
      </c>
      <c r="AE986" s="28" t="n">
        <v>1836</v>
      </c>
      <c r="AF986" s="28"/>
      <c r="AG986" s="28" t="n">
        <f aca="false">AF986*$M986</f>
        <v>0</v>
      </c>
      <c r="AH986" s="28" t="n">
        <f aca="false">15314/100</f>
        <v>153.14</v>
      </c>
      <c r="AI986" s="28" t="n">
        <v>18683</v>
      </c>
      <c r="AJ986" s="28"/>
      <c r="AK986" s="28" t="n">
        <f aca="false">AJ986*$M986</f>
        <v>0</v>
      </c>
      <c r="AL986" s="28"/>
      <c r="AM986" s="28" t="n">
        <f aca="false">AL986*$M986</f>
        <v>0</v>
      </c>
      <c r="AN986" s="28"/>
      <c r="AO986" s="28" t="n">
        <f aca="false">AN986*$M986</f>
        <v>0</v>
      </c>
      <c r="AP986" s="28"/>
      <c r="AQ986" s="28" t="n">
        <f aca="false">AP986*$M986</f>
        <v>0</v>
      </c>
      <c r="AR986" s="28"/>
      <c r="AS986" s="28" t="n">
        <f aca="false">AR986*$M986</f>
        <v>0</v>
      </c>
      <c r="AT986" s="28"/>
      <c r="AU986" s="28" t="n">
        <f aca="false">AT986*$M986</f>
        <v>0</v>
      </c>
      <c r="AV986" s="28"/>
      <c r="AW986" s="28" t="n">
        <f aca="false">AV986*$M986</f>
        <v>0</v>
      </c>
      <c r="AX986" s="28"/>
      <c r="AY986" s="28" t="n">
        <f aca="false">AX986*$M986</f>
        <v>0</v>
      </c>
      <c r="AZ986" s="30" t="n">
        <f aca="false">51791/100</f>
        <v>517.91</v>
      </c>
      <c r="BA986" s="11" t="n">
        <v>63384</v>
      </c>
      <c r="BB986" s="31" t="n">
        <f aca="false">SUM(Q986,S986,U986,W986,Y986,AA986,AC986,AE986,AG986,AI986,AK986,AM986,AO986,AQ986,AS986,AU986,AW986,AY986)</f>
        <v>63384</v>
      </c>
      <c r="BC986" s="28" t="n">
        <f aca="false">BA986-BB986</f>
        <v>0</v>
      </c>
      <c r="BD986" s="32" t="n">
        <f aca="false">SUM(P986,R986,T986,V986,X986,Z986,AB986,AD986,AF986,AH986,AJ986,AL986,AN986,AP986,AR986,AT986,AV986,AX986)</f>
        <v>517.91</v>
      </c>
      <c r="BE986" s="33" t="n">
        <f aca="false">AZ986-BD986</f>
        <v>0</v>
      </c>
      <c r="BF986" s="34" t="n">
        <f aca="false">BD986*M986</f>
        <v>63185.02</v>
      </c>
      <c r="BG986" s="35" t="n">
        <f aca="false">BA986-BF986</f>
        <v>198.980000000003</v>
      </c>
      <c r="BH986" s="19" t="str">
        <f aca="false">IF(BG986=0,"",IF(BG986&lt;&gt;BA986,"erreur de calcul",IF(BD986&lt;&gt;0,"pas de prix",IF(M986&lt;&gt; 0,"pas de quantité","pas de prix, ni de quantité"))))</f>
        <v>erreur de calcul</v>
      </c>
      <c r="BI986" s="19"/>
    </row>
    <row r="987" customFormat="false" ht="15" hidden="false" customHeight="false" outlineLevel="0" collapsed="false">
      <c r="A987" s="0" t="n">
        <v>37</v>
      </c>
      <c r="B987" s="8" t="s">
        <v>24</v>
      </c>
      <c r="C987" s="9" t="s">
        <v>25</v>
      </c>
      <c r="D987" s="9" t="s">
        <v>26</v>
      </c>
      <c r="E987" s="10" t="n">
        <v>1789</v>
      </c>
      <c r="F987" s="9" t="s">
        <v>27</v>
      </c>
      <c r="G987" s="9" t="s">
        <v>27</v>
      </c>
      <c r="H987" s="11" t="n">
        <v>25</v>
      </c>
      <c r="I987" s="11" t="s">
        <v>365</v>
      </c>
      <c r="J987" s="14" t="n">
        <v>107</v>
      </c>
      <c r="K987" s="14"/>
      <c r="L987" s="16"/>
      <c r="M987" s="27" t="n">
        <f aca="false">J987+(K987/20)+(L987/240)</f>
        <v>107</v>
      </c>
      <c r="N987" s="17" t="s">
        <v>64</v>
      </c>
      <c r="O987" s="11" t="s">
        <v>77</v>
      </c>
      <c r="P987" s="28"/>
      <c r="Q987" s="28" t="n">
        <f aca="false">P987*$M987</f>
        <v>0</v>
      </c>
      <c r="R987" s="28"/>
      <c r="S987" s="28" t="n">
        <f aca="false">R987*$M987</f>
        <v>0</v>
      </c>
      <c r="T987" s="28" t="n">
        <f aca="false">1834/100</f>
        <v>18.34</v>
      </c>
      <c r="U987" s="28" t="n">
        <v>1962</v>
      </c>
      <c r="V987" s="28"/>
      <c r="W987" s="28" t="n">
        <f aca="false">V987*$M987</f>
        <v>0</v>
      </c>
      <c r="X987" s="28"/>
      <c r="Y987" s="28" t="n">
        <f aca="false">X987*$M987</f>
        <v>0</v>
      </c>
      <c r="Z987" s="28"/>
      <c r="AA987" s="28" t="n">
        <f aca="false">Z987*$M987</f>
        <v>0</v>
      </c>
      <c r="AB987" s="28"/>
      <c r="AC987" s="28" t="n">
        <f aca="false">AB987*$M987</f>
        <v>0</v>
      </c>
      <c r="AD987" s="28"/>
      <c r="AE987" s="28" t="n">
        <f aca="false">AD987*$M987</f>
        <v>0</v>
      </c>
      <c r="AF987" s="28" t="n">
        <f aca="false">5202/100</f>
        <v>52.02</v>
      </c>
      <c r="AG987" s="28" t="n">
        <v>5566</v>
      </c>
      <c r="AH987" s="28"/>
      <c r="AI987" s="28" t="n">
        <f aca="false">AH987*$M987</f>
        <v>0</v>
      </c>
      <c r="AJ987" s="28" t="n">
        <f aca="false">3209/100</f>
        <v>32.09</v>
      </c>
      <c r="AK987" s="28" t="n">
        <v>3434</v>
      </c>
      <c r="AL987" s="28" t="n">
        <f aca="false">80682/100</f>
        <v>806.82</v>
      </c>
      <c r="AM987" s="28" t="n">
        <v>86329</v>
      </c>
      <c r="AN987" s="28"/>
      <c r="AO987" s="28" t="n">
        <f aca="false">AN987*$M987</f>
        <v>0</v>
      </c>
      <c r="AP987" s="28"/>
      <c r="AQ987" s="28" t="n">
        <f aca="false">AP987*$M987</f>
        <v>0</v>
      </c>
      <c r="AR987" s="28"/>
      <c r="AS987" s="28" t="n">
        <f aca="false">AR987*$M987</f>
        <v>0</v>
      </c>
      <c r="AT987" s="28"/>
      <c r="AU987" s="28" t="n">
        <f aca="false">AT987*$M987</f>
        <v>0</v>
      </c>
      <c r="AV987" s="28"/>
      <c r="AW987" s="28" t="n">
        <f aca="false">AV987*$M987</f>
        <v>0</v>
      </c>
      <c r="AX987" s="28"/>
      <c r="AY987" s="28" t="n">
        <f aca="false">AX987*$M987</f>
        <v>0</v>
      </c>
      <c r="AZ987" s="30" t="n">
        <f aca="false">90927/100</f>
        <v>909.27</v>
      </c>
      <c r="BA987" s="11" t="n">
        <v>97291</v>
      </c>
      <c r="BB987" s="31" t="n">
        <f aca="false">SUM(Q987,S987,U987,W987,Y987,AA987,AC987,AE987,AG987,AI987,AK987,AM987,AO987,AQ987,AS987,AU987,AW987,AY987)</f>
        <v>97291</v>
      </c>
      <c r="BC987" s="28" t="n">
        <f aca="false">BA987-BB987</f>
        <v>0</v>
      </c>
      <c r="BD987" s="32" t="n">
        <f aca="false">SUM(P987,R987,T987,V987,X987,Z987,AB987,AD987,AF987,AH987,AJ987,AL987,AN987,AP987,AR987,AT987,AV987,AX987)</f>
        <v>909.27</v>
      </c>
      <c r="BE987" s="33" t="n">
        <f aca="false">AZ987-BD987</f>
        <v>0</v>
      </c>
      <c r="BF987" s="34" t="n">
        <f aca="false">BD987*M987</f>
        <v>97291.89</v>
      </c>
      <c r="BG987" s="35" t="n">
        <f aca="false">BA987-BF987</f>
        <v>-0.89000000001397</v>
      </c>
      <c r="BH987" s="19" t="str">
        <f aca="false">IF(BG987=0,"",IF(BG987&lt;&gt;BA987,"erreur de calcul",IF(BD987&lt;&gt;0,"pas de prix",IF(M987&lt;&gt; 0,"pas de quantité","pas de prix, ni de quantité"))))</f>
        <v>erreur de calcul</v>
      </c>
      <c r="BI987" s="19"/>
    </row>
    <row r="988" customFormat="false" ht="15" hidden="false" customHeight="false" outlineLevel="0" collapsed="false">
      <c r="A988" s="0" t="n">
        <v>38</v>
      </c>
      <c r="B988" s="8" t="s">
        <v>24</v>
      </c>
      <c r="C988" s="9" t="s">
        <v>25</v>
      </c>
      <c r="D988" s="9" t="s">
        <v>26</v>
      </c>
      <c r="E988" s="10" t="n">
        <v>1789</v>
      </c>
      <c r="F988" s="9" t="s">
        <v>27</v>
      </c>
      <c r="G988" s="9" t="s">
        <v>27</v>
      </c>
      <c r="H988" s="11" t="n">
        <v>25</v>
      </c>
      <c r="I988" s="11" t="s">
        <v>366</v>
      </c>
      <c r="J988" s="14"/>
      <c r="K988" s="14"/>
      <c r="L988" s="16"/>
      <c r="M988" s="27" t="n">
        <f aca="false">J988+(K988/20)+(L988/240)</f>
        <v>0</v>
      </c>
      <c r="N988" s="17" t="s">
        <v>66</v>
      </c>
      <c r="O988" s="11"/>
      <c r="P988" s="28"/>
      <c r="Q988" s="28" t="n">
        <f aca="false">P988*$M988</f>
        <v>0</v>
      </c>
      <c r="R988" s="28"/>
      <c r="S988" s="28" t="n">
        <f aca="false">R988*$M988</f>
        <v>0</v>
      </c>
      <c r="T988" s="28"/>
      <c r="U988" s="28" t="n">
        <f aca="false">T988*$M988</f>
        <v>0</v>
      </c>
      <c r="V988" s="28" t="n">
        <v>797</v>
      </c>
      <c r="W988" s="28" t="n">
        <v>720</v>
      </c>
      <c r="X988" s="28"/>
      <c r="Y988" s="28" t="n">
        <f aca="false">X988*$M988</f>
        <v>0</v>
      </c>
      <c r="Z988" s="28"/>
      <c r="AA988" s="28" t="n">
        <f aca="false">Z988*$M988</f>
        <v>0</v>
      </c>
      <c r="AB988" s="28"/>
      <c r="AC988" s="28" t="n">
        <f aca="false">AB988*$M988</f>
        <v>0</v>
      </c>
      <c r="AD988" s="28"/>
      <c r="AE988" s="28" t="n">
        <f aca="false">AD988*$M988</f>
        <v>0</v>
      </c>
      <c r="AF988" s="28"/>
      <c r="AG988" s="28" t="n">
        <f aca="false">AF988*$M988</f>
        <v>0</v>
      </c>
      <c r="AH988" s="28"/>
      <c r="AI988" s="28" t="n">
        <f aca="false">AH988*$M988</f>
        <v>0</v>
      </c>
      <c r="AJ988" s="28"/>
      <c r="AK988" s="28" t="n">
        <f aca="false">AJ988*$M988</f>
        <v>0</v>
      </c>
      <c r="AL988" s="28"/>
      <c r="AM988" s="28" t="n">
        <f aca="false">AL988*$M988</f>
        <v>0</v>
      </c>
      <c r="AN988" s="28"/>
      <c r="AO988" s="28" t="n">
        <f aca="false">AN988*$M988</f>
        <v>0</v>
      </c>
      <c r="AP988" s="28"/>
      <c r="AQ988" s="28" t="n">
        <f aca="false">AP988*$M988</f>
        <v>0</v>
      </c>
      <c r="AR988" s="28"/>
      <c r="AS988" s="28" t="n">
        <f aca="false">AR988*$M988</f>
        <v>0</v>
      </c>
      <c r="AT988" s="28"/>
      <c r="AU988" s="28" t="n">
        <f aca="false">AT988*$M988</f>
        <v>0</v>
      </c>
      <c r="AV988" s="28"/>
      <c r="AW988" s="28" t="n">
        <f aca="false">AV988*$M988</f>
        <v>0</v>
      </c>
      <c r="AX988" s="28"/>
      <c r="AY988" s="28" t="n">
        <f aca="false">AX988*$M988</f>
        <v>0</v>
      </c>
      <c r="AZ988" s="30" t="n">
        <v>797</v>
      </c>
      <c r="BA988" s="11" t="n">
        <v>720</v>
      </c>
      <c r="BB988" s="31" t="n">
        <f aca="false">SUM(Q988,S988,U988,W988,Y988,AA988,AC988,AE988,AG988,AI988,AK988,AM988,AO988,AQ988,AS988,AU988,AW988,AY988)</f>
        <v>720</v>
      </c>
      <c r="BC988" s="28" t="n">
        <f aca="false">BA988-BB988</f>
        <v>0</v>
      </c>
      <c r="BD988" s="32" t="n">
        <f aca="false">SUM(P988,R988,T988,V988,X988,Z988,AB988,AD988,AF988,AH988,AJ988,AL988,AN988,AP988,AR988,AT988,AV988,AX988)</f>
        <v>797</v>
      </c>
      <c r="BE988" s="33" t="n">
        <f aca="false">AZ988-BD988</f>
        <v>0</v>
      </c>
      <c r="BF988" s="34" t="n">
        <f aca="false">BD988*M988</f>
        <v>0</v>
      </c>
      <c r="BG988" s="35" t="n">
        <f aca="false">BA988-BF988</f>
        <v>720</v>
      </c>
      <c r="BH988" s="19" t="str">
        <f aca="false">IF(BG988=0,"",IF(BG988&lt;&gt;BA988,"erreur de calcul",IF(BD988&lt;&gt;0,"pas de prix",IF(M988&lt;&gt; 0,"pas de quantité","pas de prix, ni de quantité"))))</f>
        <v>pas de prix</v>
      </c>
      <c r="BI988" s="19" t="s">
        <v>367</v>
      </c>
    </row>
    <row r="989" customFormat="false" ht="15" hidden="false" customHeight="false" outlineLevel="0" collapsed="false">
      <c r="A989" s="0" t="n">
        <v>39</v>
      </c>
      <c r="B989" s="8" t="s">
        <v>24</v>
      </c>
      <c r="C989" s="9" t="s">
        <v>25</v>
      </c>
      <c r="D989" s="9" t="s">
        <v>26</v>
      </c>
      <c r="E989" s="10" t="n">
        <v>1789</v>
      </c>
      <c r="F989" s="9" t="s">
        <v>27</v>
      </c>
      <c r="G989" s="9" t="s">
        <v>27</v>
      </c>
      <c r="H989" s="11" t="n">
        <v>25</v>
      </c>
      <c r="I989" s="11" t="s">
        <v>368</v>
      </c>
      <c r="J989" s="14" t="n">
        <v>4</v>
      </c>
      <c r="K989" s="14"/>
      <c r="L989" s="16"/>
      <c r="M989" s="27" t="n">
        <f aca="false">J989+(K989/20)+(L989/240)</f>
        <v>4</v>
      </c>
      <c r="N989" s="17" t="s">
        <v>64</v>
      </c>
      <c r="O989" s="11"/>
      <c r="P989" s="28"/>
      <c r="Q989" s="28" t="n">
        <f aca="false">P989*$M989</f>
        <v>0</v>
      </c>
      <c r="R989" s="28"/>
      <c r="S989" s="28" t="n">
        <f aca="false">R989*$M989</f>
        <v>0</v>
      </c>
      <c r="T989" s="28"/>
      <c r="U989" s="28" t="n">
        <f aca="false">T989*$M989</f>
        <v>0</v>
      </c>
      <c r="V989" s="28" t="n">
        <f aca="false">23693/100</f>
        <v>236.93</v>
      </c>
      <c r="W989" s="28" t="n">
        <v>948</v>
      </c>
      <c r="X989" s="28"/>
      <c r="Y989" s="28" t="n">
        <f aca="false">X989*$M989</f>
        <v>0</v>
      </c>
      <c r="Z989" s="28"/>
      <c r="AA989" s="28" t="n">
        <f aca="false">Z989*$M989</f>
        <v>0</v>
      </c>
      <c r="AB989" s="28"/>
      <c r="AC989" s="28" t="n">
        <f aca="false">AB989*$M989</f>
        <v>0</v>
      </c>
      <c r="AD989" s="28"/>
      <c r="AE989" s="28" t="n">
        <f aca="false">AD989*$M989</f>
        <v>0</v>
      </c>
      <c r="AF989" s="28"/>
      <c r="AG989" s="28" t="n">
        <f aca="false">AF989*$M989</f>
        <v>0</v>
      </c>
      <c r="AH989" s="28"/>
      <c r="AI989" s="28" t="n">
        <f aca="false">AH989*$M989</f>
        <v>0</v>
      </c>
      <c r="AJ989" s="28"/>
      <c r="AK989" s="28" t="n">
        <f aca="false">AJ989*$M989</f>
        <v>0</v>
      </c>
      <c r="AL989" s="28"/>
      <c r="AM989" s="28" t="n">
        <f aca="false">AL989*$M989</f>
        <v>0</v>
      </c>
      <c r="AN989" s="28"/>
      <c r="AO989" s="28" t="n">
        <f aca="false">AN989*$M989</f>
        <v>0</v>
      </c>
      <c r="AP989" s="28"/>
      <c r="AQ989" s="28" t="n">
        <f aca="false">AP989*$M989</f>
        <v>0</v>
      </c>
      <c r="AR989" s="28"/>
      <c r="AS989" s="28" t="n">
        <f aca="false">AR989*$M989</f>
        <v>0</v>
      </c>
      <c r="AT989" s="28"/>
      <c r="AU989" s="28" t="n">
        <f aca="false">AT989*$M989</f>
        <v>0</v>
      </c>
      <c r="AV989" s="28"/>
      <c r="AW989" s="28" t="n">
        <f aca="false">AV989*$M989</f>
        <v>0</v>
      </c>
      <c r="AX989" s="28"/>
      <c r="AY989" s="28" t="n">
        <f aca="false">AX989*$M989</f>
        <v>0</v>
      </c>
      <c r="AZ989" s="30" t="n">
        <f aca="false">23693/100</f>
        <v>236.93</v>
      </c>
      <c r="BA989" s="11" t="n">
        <v>948</v>
      </c>
      <c r="BB989" s="31" t="n">
        <f aca="false">SUM(Q989,S989,U989,W989,Y989,AA989,AC989,AE989,AG989,AI989,AK989,AM989,AO989,AQ989,AS989,AU989,AW989,AY989)</f>
        <v>948</v>
      </c>
      <c r="BC989" s="28" t="n">
        <f aca="false">BA989-BB989</f>
        <v>0</v>
      </c>
      <c r="BD989" s="32" t="n">
        <f aca="false">SUM(P989,R989,T989,V989,X989,Z989,AB989,AD989,AF989,AH989,AJ989,AL989,AN989,AP989,AR989,AT989,AV989,AX989)</f>
        <v>236.93</v>
      </c>
      <c r="BE989" s="33" t="n">
        <f aca="false">AZ989-BD989</f>
        <v>0</v>
      </c>
      <c r="BF989" s="34" t="n">
        <f aca="false">BD989*M989</f>
        <v>947.72</v>
      </c>
      <c r="BG989" s="35" t="n">
        <f aca="false">BA989-BF989</f>
        <v>0.279999999999973</v>
      </c>
      <c r="BH989" s="19" t="str">
        <f aca="false">IF(BG989=0,"",IF(BG989&lt;&gt;BA989,"erreur de calcul",IF(BD989&lt;&gt;0,"pas de prix",IF(M989&lt;&gt; 0,"pas de quantité","pas de prix, ni de quantité"))))</f>
        <v>erreur de calcul</v>
      </c>
      <c r="BI989" s="19"/>
    </row>
    <row r="990" customFormat="false" ht="15" hidden="false" customHeight="false" outlineLevel="0" collapsed="false">
      <c r="A990" s="0" t="n">
        <v>40</v>
      </c>
      <c r="B990" s="8" t="s">
        <v>24</v>
      </c>
      <c r="C990" s="9" t="s">
        <v>25</v>
      </c>
      <c r="D990" s="9" t="s">
        <v>26</v>
      </c>
      <c r="E990" s="10" t="n">
        <v>1789</v>
      </c>
      <c r="F990" s="9" t="s">
        <v>27</v>
      </c>
      <c r="G990" s="9" t="s">
        <v>27</v>
      </c>
      <c r="H990" s="11" t="n">
        <v>25</v>
      </c>
      <c r="I990" s="11" t="s">
        <v>369</v>
      </c>
      <c r="J990" s="14" t="n">
        <v>92</v>
      </c>
      <c r="K990" s="14"/>
      <c r="L990" s="16"/>
      <c r="M990" s="27" t="n">
        <f aca="false">J990+(K990/20)+(L990/240)</f>
        <v>92</v>
      </c>
      <c r="N990" s="17" t="s">
        <v>64</v>
      </c>
      <c r="O990" s="11"/>
      <c r="P990" s="28"/>
      <c r="Q990" s="28" t="n">
        <f aca="false">P990*$M990</f>
        <v>0</v>
      </c>
      <c r="R990" s="28"/>
      <c r="S990" s="28" t="n">
        <f aca="false">R990*$M990</f>
        <v>0</v>
      </c>
      <c r="T990" s="28"/>
      <c r="U990" s="28" t="n">
        <f aca="false">T990*$M990</f>
        <v>0</v>
      </c>
      <c r="V990" s="28" t="n">
        <f aca="false">82878/100</f>
        <v>828.78</v>
      </c>
      <c r="W990" s="28" t="n">
        <v>76248</v>
      </c>
      <c r="X990" s="28" t="n">
        <f aca="false">44264/100</f>
        <v>442.64</v>
      </c>
      <c r="Y990" s="36" t="n">
        <v>41023</v>
      </c>
      <c r="Z990" s="28"/>
      <c r="AA990" s="28" t="n">
        <f aca="false">Z990*$M990</f>
        <v>0</v>
      </c>
      <c r="AB990" s="28"/>
      <c r="AC990" s="28" t="n">
        <f aca="false">AB990*$M990</f>
        <v>0</v>
      </c>
      <c r="AD990" s="28"/>
      <c r="AE990" s="28" t="n">
        <f aca="false">AD990*$M990</f>
        <v>0</v>
      </c>
      <c r="AF990" s="28"/>
      <c r="AG990" s="28" t="n">
        <f aca="false">AF990*$M990</f>
        <v>0</v>
      </c>
      <c r="AH990" s="28"/>
      <c r="AI990" s="28" t="n">
        <f aca="false">AH990*$M990</f>
        <v>0</v>
      </c>
      <c r="AJ990" s="28"/>
      <c r="AK990" s="28" t="n">
        <f aca="false">AJ990*$M990</f>
        <v>0</v>
      </c>
      <c r="AL990" s="28"/>
      <c r="AM990" s="28" t="n">
        <f aca="false">AL990*$M990</f>
        <v>0</v>
      </c>
      <c r="AN990" s="28"/>
      <c r="AO990" s="28" t="n">
        <f aca="false">AN990*$M990</f>
        <v>0</v>
      </c>
      <c r="AP990" s="28"/>
      <c r="AQ990" s="28" t="n">
        <f aca="false">AP990*$M990</f>
        <v>0</v>
      </c>
      <c r="AR990" s="28"/>
      <c r="AS990" s="28" t="n">
        <f aca="false">AR990*$M990</f>
        <v>0</v>
      </c>
      <c r="AT990" s="28"/>
      <c r="AU990" s="28" t="n">
        <f aca="false">AT990*$M990</f>
        <v>0</v>
      </c>
      <c r="AV990" s="28"/>
      <c r="AW990" s="28" t="n">
        <f aca="false">AV990*$M990</f>
        <v>0</v>
      </c>
      <c r="AX990" s="28"/>
      <c r="AY990" s="28" t="n">
        <f aca="false">AX990*$M990</f>
        <v>0</v>
      </c>
      <c r="AZ990" s="30" t="n">
        <f aca="false">127142/100</f>
        <v>1271.42</v>
      </c>
      <c r="BA990" s="11" t="n">
        <v>117271</v>
      </c>
      <c r="BB990" s="31" t="n">
        <f aca="false">SUM(Q990,S990,U990,W990,Y990,AA990,AC990,AE990,AG990,AI990,AK990,AM990,AO990,AQ990,AS990,AU990,AW990,AY990)</f>
        <v>117271</v>
      </c>
      <c r="BC990" s="28" t="n">
        <f aca="false">BA990-BB990</f>
        <v>0</v>
      </c>
      <c r="BD990" s="32" t="n">
        <f aca="false">SUM(P990,R990,T990,V990,X990,Z990,AB990,AD990,AF990,AH990,AJ990,AL990,AN990,AP990,AR990,AT990,AV990,AX990)</f>
        <v>1271.42</v>
      </c>
      <c r="BE990" s="33" t="n">
        <f aca="false">AZ990-BD990</f>
        <v>0</v>
      </c>
      <c r="BF990" s="34" t="n">
        <f aca="false">BD990*M990</f>
        <v>116970.64</v>
      </c>
      <c r="BG990" s="35" t="n">
        <f aca="false">BA990-BF990</f>
        <v>300.359999999986</v>
      </c>
      <c r="BH990" s="19" t="str">
        <f aca="false">IF(BG990=0,"",IF(BG990&lt;&gt;BA990,"erreur de calcul",IF(BD990&lt;&gt;0,"pas de prix",IF(M990&lt;&gt; 0,"pas de quantité","pas de prix, ni de quantité"))))</f>
        <v>erreur de calcul</v>
      </c>
      <c r="BI990" s="19"/>
    </row>
    <row r="991" customFormat="false" ht="15" hidden="false" customHeight="false" outlineLevel="0" collapsed="false">
      <c r="A991" s="0" t="n">
        <v>41</v>
      </c>
      <c r="B991" s="8" t="s">
        <v>24</v>
      </c>
      <c r="C991" s="9" t="s">
        <v>25</v>
      </c>
      <c r="D991" s="9" t="s">
        <v>26</v>
      </c>
      <c r="E991" s="10" t="n">
        <v>1789</v>
      </c>
      <c r="F991" s="9" t="s">
        <v>27</v>
      </c>
      <c r="G991" s="9" t="s">
        <v>27</v>
      </c>
      <c r="H991" s="11" t="n">
        <v>25</v>
      </c>
      <c r="I991" s="11" t="s">
        <v>370</v>
      </c>
      <c r="J991" s="14" t="n">
        <v>12</v>
      </c>
      <c r="K991" s="14"/>
      <c r="L991" s="16"/>
      <c r="M991" s="27" t="n">
        <f aca="false">J991+(K991/20)+(L991/240)</f>
        <v>12</v>
      </c>
      <c r="N991" s="17" t="s">
        <v>64</v>
      </c>
      <c r="O991" s="11"/>
      <c r="P991" s="28"/>
      <c r="Q991" s="28" t="n">
        <f aca="false">P991*$M991</f>
        <v>0</v>
      </c>
      <c r="R991" s="28"/>
      <c r="S991" s="28" t="n">
        <f aca="false">R991*$M991</f>
        <v>0</v>
      </c>
      <c r="T991" s="28"/>
      <c r="U991" s="28" t="n">
        <f aca="false">T991*$M991</f>
        <v>0</v>
      </c>
      <c r="V991" s="28"/>
      <c r="W991" s="28" t="n">
        <f aca="false">V991*$M991</f>
        <v>0</v>
      </c>
      <c r="X991" s="28"/>
      <c r="Y991" s="28" t="n">
        <f aca="false">X991*$M991</f>
        <v>0</v>
      </c>
      <c r="Z991" s="28"/>
      <c r="AA991" s="28" t="n">
        <f aca="false">Z991*$M991</f>
        <v>0</v>
      </c>
      <c r="AB991" s="28"/>
      <c r="AC991" s="28" t="n">
        <f aca="false">AB991*$M991</f>
        <v>0</v>
      </c>
      <c r="AD991" s="28"/>
      <c r="AE991" s="28" t="n">
        <f aca="false">AD991*$M991</f>
        <v>0</v>
      </c>
      <c r="AF991" s="28"/>
      <c r="AG991" s="28" t="n">
        <f aca="false">AF991*$M991</f>
        <v>0</v>
      </c>
      <c r="AH991" s="28" t="n">
        <f aca="false">12168/100</f>
        <v>121.68</v>
      </c>
      <c r="AI991" s="28" t="n">
        <v>1460</v>
      </c>
      <c r="AJ991" s="28"/>
      <c r="AK991" s="28" t="n">
        <f aca="false">AJ991*$M991</f>
        <v>0</v>
      </c>
      <c r="AL991" s="28"/>
      <c r="AM991" s="28" t="n">
        <f aca="false">AL991*$M991</f>
        <v>0</v>
      </c>
      <c r="AN991" s="28"/>
      <c r="AO991" s="28" t="n">
        <f aca="false">AN991*$M991</f>
        <v>0</v>
      </c>
      <c r="AP991" s="28"/>
      <c r="AQ991" s="28" t="n">
        <f aca="false">AP991*$M991</f>
        <v>0</v>
      </c>
      <c r="AR991" s="28"/>
      <c r="AS991" s="28" t="n">
        <f aca="false">AR991*$M991</f>
        <v>0</v>
      </c>
      <c r="AT991" s="28"/>
      <c r="AU991" s="28" t="n">
        <f aca="false">AT991*$M991</f>
        <v>0</v>
      </c>
      <c r="AV991" s="28"/>
      <c r="AW991" s="28" t="n">
        <f aca="false">AV991*$M991</f>
        <v>0</v>
      </c>
      <c r="AX991" s="28"/>
      <c r="AY991" s="28" t="n">
        <f aca="false">AX991*$M991</f>
        <v>0</v>
      </c>
      <c r="AZ991" s="30" t="n">
        <f aca="false">12168/100</f>
        <v>121.68</v>
      </c>
      <c r="BA991" s="11" t="n">
        <v>1460</v>
      </c>
      <c r="BB991" s="31" t="n">
        <f aca="false">SUM(Q991,S991,U991,W991,Y991,AA991,AC991,AE991,AG991,AI991,AK991,AM991,AO991,AQ991,AS991,AU991,AW991,AY991)</f>
        <v>1460</v>
      </c>
      <c r="BC991" s="28" t="n">
        <f aca="false">BA991-BB991</f>
        <v>0</v>
      </c>
      <c r="BD991" s="32" t="n">
        <f aca="false">SUM(P991,R991,T991,V991,X991,Z991,AB991,AD991,AF991,AH991,AJ991,AL991,AN991,AP991,AR991,AT991,AV991,AX991)</f>
        <v>121.68</v>
      </c>
      <c r="BE991" s="33" t="n">
        <f aca="false">AZ991-BD991</f>
        <v>0</v>
      </c>
      <c r="BF991" s="34" t="n">
        <f aca="false">BD991*M991</f>
        <v>1460.16</v>
      </c>
      <c r="BG991" s="35" t="n">
        <f aca="false">BA991-BF991</f>
        <v>-0.160000000000082</v>
      </c>
      <c r="BH991" s="19" t="str">
        <f aca="false">IF(BG991=0,"",IF(BG991&lt;&gt;BA991,"erreur de calcul",IF(BD991&lt;&gt;0,"pas de prix",IF(M991&lt;&gt; 0,"pas de quantité","pas de prix, ni de quantité"))))</f>
        <v>erreur de calcul</v>
      </c>
      <c r="BI991" s="19"/>
    </row>
    <row r="992" customFormat="false" ht="15" hidden="false" customHeight="false" outlineLevel="0" collapsed="false">
      <c r="A992" s="0" t="n">
        <v>42</v>
      </c>
      <c r="B992" s="8" t="s">
        <v>24</v>
      </c>
      <c r="C992" s="9" t="s">
        <v>25</v>
      </c>
      <c r="D992" s="9" t="s">
        <v>26</v>
      </c>
      <c r="E992" s="10" t="n">
        <v>1789</v>
      </c>
      <c r="F992" s="9" t="s">
        <v>27</v>
      </c>
      <c r="G992" s="9" t="s">
        <v>27</v>
      </c>
      <c r="H992" s="11" t="n">
        <v>25</v>
      </c>
      <c r="I992" s="11" t="s">
        <v>371</v>
      </c>
      <c r="J992" s="14" t="n">
        <v>7</v>
      </c>
      <c r="K992" s="14"/>
      <c r="L992" s="16"/>
      <c r="M992" s="27" t="n">
        <f aca="false">J992+(K992/20)+(L992/240)</f>
        <v>7</v>
      </c>
      <c r="N992" s="17" t="s">
        <v>64</v>
      </c>
      <c r="O992" s="11"/>
      <c r="P992" s="28"/>
      <c r="Q992" s="28" t="n">
        <f aca="false">P992*$M992</f>
        <v>0</v>
      </c>
      <c r="R992" s="28"/>
      <c r="S992" s="28" t="n">
        <f aca="false">R992*$M992</f>
        <v>0</v>
      </c>
      <c r="T992" s="28"/>
      <c r="U992" s="28" t="n">
        <f aca="false">T992*$M992</f>
        <v>0</v>
      </c>
      <c r="V992" s="28"/>
      <c r="W992" s="28" t="n">
        <f aca="false">V992*$M992</f>
        <v>0</v>
      </c>
      <c r="X992" s="28"/>
      <c r="Y992" s="28" t="n">
        <f aca="false">X992*$M992</f>
        <v>0</v>
      </c>
      <c r="Z992" s="28"/>
      <c r="AA992" s="28" t="n">
        <f aca="false">Z992*$M992</f>
        <v>0</v>
      </c>
      <c r="AB992" s="28" t="n">
        <f aca="false">58003/100</f>
        <v>580.03</v>
      </c>
      <c r="AC992" s="28" t="n">
        <v>4060</v>
      </c>
      <c r="AD992" s="28"/>
      <c r="AE992" s="28" t="n">
        <f aca="false">AD992*$M992</f>
        <v>0</v>
      </c>
      <c r="AF992" s="28"/>
      <c r="AG992" s="28" t="n">
        <f aca="false">AF992*$M992</f>
        <v>0</v>
      </c>
      <c r="AH992" s="28"/>
      <c r="AI992" s="28" t="n">
        <f aca="false">AH992*$M992</f>
        <v>0</v>
      </c>
      <c r="AJ992" s="28"/>
      <c r="AK992" s="28" t="n">
        <f aca="false">AJ992*$M992</f>
        <v>0</v>
      </c>
      <c r="AL992" s="28"/>
      <c r="AM992" s="28" t="n">
        <f aca="false">AL992*$M992</f>
        <v>0</v>
      </c>
      <c r="AN992" s="28"/>
      <c r="AO992" s="28" t="n">
        <f aca="false">AN992*$M992</f>
        <v>0</v>
      </c>
      <c r="AP992" s="28"/>
      <c r="AQ992" s="28" t="n">
        <f aca="false">AP992*$M992</f>
        <v>0</v>
      </c>
      <c r="AR992" s="28"/>
      <c r="AS992" s="28" t="n">
        <f aca="false">AR992*$M992</f>
        <v>0</v>
      </c>
      <c r="AT992" s="28"/>
      <c r="AU992" s="28" t="n">
        <f aca="false">AT992*$M992</f>
        <v>0</v>
      </c>
      <c r="AV992" s="28"/>
      <c r="AW992" s="28" t="n">
        <f aca="false">AV992*$M992</f>
        <v>0</v>
      </c>
      <c r="AX992" s="28"/>
      <c r="AY992" s="28" t="n">
        <f aca="false">AX992*$M992</f>
        <v>0</v>
      </c>
      <c r="AZ992" s="30" t="n">
        <f aca="false">58003/100</f>
        <v>580.03</v>
      </c>
      <c r="BA992" s="11" t="n">
        <v>4060</v>
      </c>
      <c r="BB992" s="31" t="n">
        <f aca="false">SUM(Q992,S992,U992,W992,Y992,AA992,AC992,AE992,AG992,AI992,AK992,AM992,AO992,AQ992,AS992,AU992,AW992,AY992)</f>
        <v>4060</v>
      </c>
      <c r="BC992" s="28" t="n">
        <f aca="false">BA992-BB992</f>
        <v>0</v>
      </c>
      <c r="BD992" s="32" t="n">
        <f aca="false">SUM(P992,R992,T992,V992,X992,Z992,AB992,AD992,AF992,AH992,AJ992,AL992,AN992,AP992,AR992,AT992,AV992,AX992)</f>
        <v>580.03</v>
      </c>
      <c r="BE992" s="33" t="n">
        <f aca="false">AZ992-BD992</f>
        <v>0</v>
      </c>
      <c r="BF992" s="34" t="n">
        <f aca="false">BD992*M992</f>
        <v>4060.21</v>
      </c>
      <c r="BG992" s="35" t="n">
        <f aca="false">BA992-BF992</f>
        <v>-0.210000000000036</v>
      </c>
      <c r="BH992" s="19" t="str">
        <f aca="false">IF(BG992=0,"",IF(BG992&lt;&gt;BA992,"erreur de calcul",IF(BD992&lt;&gt;0,"pas de prix",IF(M992&lt;&gt; 0,"pas de quantité","pas de prix, ni de quantité"))))</f>
        <v>erreur de calcul</v>
      </c>
      <c r="BI992" s="19"/>
    </row>
    <row r="993" customFormat="false" ht="15" hidden="false" customHeight="false" outlineLevel="0" collapsed="false">
      <c r="A993" s="0" t="n">
        <v>1</v>
      </c>
      <c r="B993" s="8" t="s">
        <v>24</v>
      </c>
      <c r="C993" s="9" t="s">
        <v>25</v>
      </c>
      <c r="D993" s="9" t="s">
        <v>26</v>
      </c>
      <c r="E993" s="10" t="n">
        <v>1789</v>
      </c>
      <c r="F993" s="9" t="s">
        <v>27</v>
      </c>
      <c r="G993" s="9" t="s">
        <v>27</v>
      </c>
      <c r="H993" s="11" t="n">
        <v>26</v>
      </c>
      <c r="I993" s="11" t="s">
        <v>372</v>
      </c>
      <c r="J993" s="14" t="n">
        <v>30</v>
      </c>
      <c r="K993" s="14"/>
      <c r="L993" s="16"/>
      <c r="M993" s="27" t="n">
        <f aca="false">J993+(K993/20)+(L993/240)</f>
        <v>30</v>
      </c>
      <c r="N993" s="17" t="s">
        <v>64</v>
      </c>
      <c r="O993" s="11"/>
      <c r="P993" s="28"/>
      <c r="Q993" s="28" t="n">
        <f aca="false">P993*$M993</f>
        <v>0</v>
      </c>
      <c r="R993" s="28"/>
      <c r="S993" s="28" t="n">
        <f aca="false">R993*$M993</f>
        <v>0</v>
      </c>
      <c r="T993" s="28"/>
      <c r="U993" s="28" t="n">
        <f aca="false">T993*$M993</f>
        <v>0</v>
      </c>
      <c r="V993" s="28" t="n">
        <f aca="false">1500/100</f>
        <v>15</v>
      </c>
      <c r="W993" s="28" t="n">
        <v>450</v>
      </c>
      <c r="X993" s="28"/>
      <c r="Y993" s="28" t="n">
        <f aca="false">X993*$M993</f>
        <v>0</v>
      </c>
      <c r="Z993" s="28"/>
      <c r="AA993" s="28" t="n">
        <f aca="false">Z993*$M993</f>
        <v>0</v>
      </c>
      <c r="AB993" s="28"/>
      <c r="AC993" s="28" t="n">
        <f aca="false">AB993*$M993</f>
        <v>0</v>
      </c>
      <c r="AD993" s="28"/>
      <c r="AE993" s="28" t="n">
        <f aca="false">AD993*$M993</f>
        <v>0</v>
      </c>
      <c r="AF993" s="28"/>
      <c r="AG993" s="28" t="n">
        <f aca="false">AF993*$M993</f>
        <v>0</v>
      </c>
      <c r="AH993" s="28"/>
      <c r="AI993" s="28" t="n">
        <f aca="false">AH993*$M993</f>
        <v>0</v>
      </c>
      <c r="AJ993" s="28"/>
      <c r="AK993" s="28" t="n">
        <f aca="false">AJ993*$M993</f>
        <v>0</v>
      </c>
      <c r="AL993" s="28"/>
      <c r="AM993" s="28" t="n">
        <f aca="false">AL993*$M993</f>
        <v>0</v>
      </c>
      <c r="AN993" s="28"/>
      <c r="AO993" s="28" t="n">
        <f aca="false">AN993*$M993</f>
        <v>0</v>
      </c>
      <c r="AP993" s="28"/>
      <c r="AQ993" s="28" t="n">
        <f aca="false">AP993*$M993</f>
        <v>0</v>
      </c>
      <c r="AR993" s="28"/>
      <c r="AS993" s="28" t="n">
        <f aca="false">AR993*$M993</f>
        <v>0</v>
      </c>
      <c r="AT993" s="28"/>
      <c r="AU993" s="28" t="n">
        <f aca="false">AT993*$M993</f>
        <v>0</v>
      </c>
      <c r="AV993" s="28"/>
      <c r="AW993" s="28" t="n">
        <f aca="false">AV993*$M993</f>
        <v>0</v>
      </c>
      <c r="AX993" s="28"/>
      <c r="AY993" s="28" t="n">
        <f aca="false">AX993*$M993</f>
        <v>0</v>
      </c>
      <c r="AZ993" s="30" t="n">
        <f aca="false">1500/100</f>
        <v>15</v>
      </c>
      <c r="BA993" s="11" t="n">
        <v>450</v>
      </c>
      <c r="BB993" s="31" t="n">
        <f aca="false">SUM(Q993,S993,U993,W993,Y993,AA993,AC993,AE993,AG993,AI993,AK993,AM993,AO993,AQ993,AS993,AU993,AW993,AY993)</f>
        <v>450</v>
      </c>
      <c r="BC993" s="28" t="n">
        <f aca="false">BA993-BB993</f>
        <v>0</v>
      </c>
      <c r="BD993" s="32" t="n">
        <f aca="false">SUM(P993,R993,T993,V993,X993,Z993,AB993,AD993,AF993,AH993,AJ993,AL993,AN993,AP993,AR993,AT993,AV993,AX993)</f>
        <v>15</v>
      </c>
      <c r="BE993" s="33" t="n">
        <f aca="false">AZ993-BD993</f>
        <v>0</v>
      </c>
      <c r="BF993" s="34" t="n">
        <f aca="false">BD993*M993</f>
        <v>450</v>
      </c>
      <c r="BG993" s="35" t="n">
        <f aca="false">BA993-BF993</f>
        <v>0</v>
      </c>
      <c r="BH993" s="19" t="str">
        <f aca="false">IF(BG993=0,"",IF(BG993&lt;&gt;BA993,"erreur de calcul",IF(BD993&lt;&gt;0,"pas de prix",IF(M993&lt;&gt; 0,"pas de quantité","pas de prix, ni de quantité"))))</f>
        <v/>
      </c>
      <c r="BI993" s="19"/>
    </row>
    <row r="994" customFormat="false" ht="15" hidden="false" customHeight="false" outlineLevel="0" collapsed="false">
      <c r="A994" s="0" t="n">
        <v>2</v>
      </c>
      <c r="B994" s="8" t="s">
        <v>24</v>
      </c>
      <c r="C994" s="9" t="s">
        <v>25</v>
      </c>
      <c r="D994" s="9" t="s">
        <v>26</v>
      </c>
      <c r="E994" s="10" t="n">
        <v>1789</v>
      </c>
      <c r="F994" s="9" t="s">
        <v>27</v>
      </c>
      <c r="G994" s="9" t="s">
        <v>27</v>
      </c>
      <c r="H994" s="11" t="n">
        <v>26</v>
      </c>
      <c r="I994" s="11" t="s">
        <v>373</v>
      </c>
      <c r="J994" s="14" t="n">
        <v>25</v>
      </c>
      <c r="K994" s="14"/>
      <c r="L994" s="16"/>
      <c r="M994" s="27" t="n">
        <f aca="false">J994+(K994/20)+(L994/240)</f>
        <v>25</v>
      </c>
      <c r="N994" s="17" t="s">
        <v>64</v>
      </c>
      <c r="O994" s="11"/>
      <c r="P994" s="28"/>
      <c r="Q994" s="28" t="n">
        <f aca="false">P994*$M994</f>
        <v>0</v>
      </c>
      <c r="R994" s="28"/>
      <c r="S994" s="28" t="n">
        <f aca="false">R994*$M994</f>
        <v>0</v>
      </c>
      <c r="T994" s="28" t="n">
        <f aca="false">34168/100</f>
        <v>341.68</v>
      </c>
      <c r="U994" s="28" t="n">
        <v>8542</v>
      </c>
      <c r="V994" s="28" t="n">
        <f aca="false">128249/100</f>
        <v>1282.49</v>
      </c>
      <c r="W994" s="28" t="n">
        <v>32062</v>
      </c>
      <c r="X994" s="28" t="n">
        <f aca="false">21365/100</f>
        <v>213.65</v>
      </c>
      <c r="Y994" s="28" t="n">
        <v>5341</v>
      </c>
      <c r="Z994" s="28"/>
      <c r="AA994" s="28" t="n">
        <f aca="false">Z994*$M994</f>
        <v>0</v>
      </c>
      <c r="AB994" s="28"/>
      <c r="AC994" s="28" t="n">
        <f aca="false">AB994*$M994</f>
        <v>0</v>
      </c>
      <c r="AD994" s="28"/>
      <c r="AE994" s="28" t="n">
        <f aca="false">AD994*$M994</f>
        <v>0</v>
      </c>
      <c r="AF994" s="28"/>
      <c r="AG994" s="28" t="n">
        <f aca="false">AF994*$M994</f>
        <v>0</v>
      </c>
      <c r="AH994" s="28"/>
      <c r="AI994" s="28" t="n">
        <f aca="false">AH994*$M994</f>
        <v>0</v>
      </c>
      <c r="AJ994" s="28" t="n">
        <f aca="false">155251/100</f>
        <v>1552.51</v>
      </c>
      <c r="AK994" s="28" t="n">
        <v>38813</v>
      </c>
      <c r="AL994" s="28" t="n">
        <f aca="false">185000/100</f>
        <v>1850</v>
      </c>
      <c r="AM994" s="28" t="n">
        <v>46250</v>
      </c>
      <c r="AN994" s="28"/>
      <c r="AO994" s="28" t="n">
        <f aca="false">AN994*$M994</f>
        <v>0</v>
      </c>
      <c r="AP994" s="28"/>
      <c r="AQ994" s="28" t="n">
        <f aca="false">AP994*$M994</f>
        <v>0</v>
      </c>
      <c r="AR994" s="28"/>
      <c r="AS994" s="28" t="n">
        <f aca="false">AR994*$M994</f>
        <v>0</v>
      </c>
      <c r="AT994" s="28"/>
      <c r="AU994" s="28" t="n">
        <f aca="false">AT994*$M994</f>
        <v>0</v>
      </c>
      <c r="AV994" s="28"/>
      <c r="AW994" s="28" t="n">
        <f aca="false">AV994*$M994</f>
        <v>0</v>
      </c>
      <c r="AX994" s="28"/>
      <c r="AY994" s="28" t="n">
        <f aca="false">AX994*$M994</f>
        <v>0</v>
      </c>
      <c r="AZ994" s="30" t="n">
        <f aca="false">524033/100</f>
        <v>5240.33</v>
      </c>
      <c r="BA994" s="11" t="n">
        <v>131008</v>
      </c>
      <c r="BB994" s="31" t="n">
        <f aca="false">SUM(Q994,S994,U994,W994,Y994,AA994,AC994,AE994,AG994,AI994,AK994,AM994,AO994,AQ994,AS994,AU994,AW994,AY994)</f>
        <v>131008</v>
      </c>
      <c r="BC994" s="28" t="n">
        <f aca="false">BA994-BB994</f>
        <v>0</v>
      </c>
      <c r="BD994" s="32" t="n">
        <f aca="false">SUM(P994,R994,T994,V994,X994,Z994,AB994,AD994,AF994,AH994,AJ994,AL994,AN994,AP994,AR994,AT994,AV994,AX994)</f>
        <v>5240.33</v>
      </c>
      <c r="BE994" s="33" t="n">
        <f aca="false">AZ994-BD994</f>
        <v>0</v>
      </c>
      <c r="BF994" s="34" t="n">
        <f aca="false">BD994*M994</f>
        <v>131008.25</v>
      </c>
      <c r="BG994" s="35" t="n">
        <f aca="false">BA994-BF994</f>
        <v>-0.250000000014552</v>
      </c>
      <c r="BH994" s="19" t="str">
        <f aca="false">IF(BG994=0,"",IF(BG994&lt;&gt;BA994,"erreur de calcul",IF(BD994&lt;&gt;0,"pas de prix",IF(M994&lt;&gt; 0,"pas de quantité","pas de prix, ni de quantité"))))</f>
        <v>erreur de calcul</v>
      </c>
      <c r="BI994" s="19"/>
    </row>
    <row r="995" customFormat="false" ht="15" hidden="false" customHeight="false" outlineLevel="0" collapsed="false">
      <c r="A995" s="0" t="n">
        <v>3</v>
      </c>
      <c r="B995" s="8" t="s">
        <v>24</v>
      </c>
      <c r="C995" s="9" t="s">
        <v>25</v>
      </c>
      <c r="D995" s="9" t="s">
        <v>26</v>
      </c>
      <c r="E995" s="10" t="n">
        <v>1789</v>
      </c>
      <c r="F995" s="9" t="s">
        <v>27</v>
      </c>
      <c r="G995" s="9" t="s">
        <v>27</v>
      </c>
      <c r="H995" s="11" t="n">
        <v>26</v>
      </c>
      <c r="I995" s="11" t="s">
        <v>374</v>
      </c>
      <c r="J995" s="14" t="n">
        <v>70</v>
      </c>
      <c r="K995" s="14"/>
      <c r="L995" s="16"/>
      <c r="M995" s="27" t="n">
        <f aca="false">J995+(K995/20)+(L995/240)</f>
        <v>70</v>
      </c>
      <c r="N995" s="17" t="s">
        <v>64</v>
      </c>
      <c r="O995" s="11"/>
      <c r="P995" s="28"/>
      <c r="Q995" s="28" t="n">
        <f aca="false">P995*$M995</f>
        <v>0</v>
      </c>
      <c r="R995" s="28"/>
      <c r="S995" s="28" t="n">
        <f aca="false">R995*$M995</f>
        <v>0</v>
      </c>
      <c r="T995" s="28"/>
      <c r="U995" s="28" t="n">
        <f aca="false">T995*$M995</f>
        <v>0</v>
      </c>
      <c r="V995" s="28" t="n">
        <f aca="false">4560/100</f>
        <v>45.6</v>
      </c>
      <c r="W995" s="28" t="n">
        <v>3192</v>
      </c>
      <c r="X995" s="28" t="n">
        <f aca="false">1115/100</f>
        <v>11.15</v>
      </c>
      <c r="Y995" s="28" t="n">
        <v>780</v>
      </c>
      <c r="Z995" s="28"/>
      <c r="AA995" s="28" t="n">
        <f aca="false">Z995*$M995</f>
        <v>0</v>
      </c>
      <c r="AB995" s="28" t="n">
        <f aca="false">9431/100</f>
        <v>94.31</v>
      </c>
      <c r="AC995" s="28" t="n">
        <v>6602</v>
      </c>
      <c r="AD995" s="28"/>
      <c r="AE995" s="28" t="n">
        <f aca="false">AD995*$M995</f>
        <v>0</v>
      </c>
      <c r="AF995" s="28"/>
      <c r="AG995" s="28" t="n">
        <f aca="false">AF995*$M995</f>
        <v>0</v>
      </c>
      <c r="AH995" s="28"/>
      <c r="AI995" s="28" t="n">
        <f aca="false">AH995*$M995</f>
        <v>0</v>
      </c>
      <c r="AJ995" s="28"/>
      <c r="AK995" s="28" t="n">
        <f aca="false">AJ995*$M995</f>
        <v>0</v>
      </c>
      <c r="AL995" s="28"/>
      <c r="AM995" s="28" t="n">
        <f aca="false">AL995*$M995</f>
        <v>0</v>
      </c>
      <c r="AN995" s="28"/>
      <c r="AO995" s="28" t="n">
        <f aca="false">AN995*$M995</f>
        <v>0</v>
      </c>
      <c r="AP995" s="28"/>
      <c r="AQ995" s="28" t="n">
        <f aca="false">AP995*$M995</f>
        <v>0</v>
      </c>
      <c r="AR995" s="28"/>
      <c r="AS995" s="28" t="n">
        <f aca="false">AR995*$M995</f>
        <v>0</v>
      </c>
      <c r="AT995" s="28"/>
      <c r="AU995" s="28" t="n">
        <f aca="false">AT995*$M995</f>
        <v>0</v>
      </c>
      <c r="AV995" s="28"/>
      <c r="AW995" s="28" t="n">
        <f aca="false">AV995*$M995</f>
        <v>0</v>
      </c>
      <c r="AX995" s="28"/>
      <c r="AY995" s="28" t="n">
        <f aca="false">AX995*$M995</f>
        <v>0</v>
      </c>
      <c r="AZ995" s="30" t="n">
        <f aca="false">15106/100</f>
        <v>151.06</v>
      </c>
      <c r="BA995" s="11" t="n">
        <v>10574</v>
      </c>
      <c r="BB995" s="31" t="n">
        <f aca="false">SUM(Q995,S995,U995,W995,Y995,AA995,AC995,AE995,AG995,AI995,AK995,AM995,AO995,AQ995,AS995,AU995,AW995,AY995)</f>
        <v>10574</v>
      </c>
      <c r="BC995" s="28" t="n">
        <f aca="false">BA995-BB995</f>
        <v>0</v>
      </c>
      <c r="BD995" s="32" t="n">
        <f aca="false">SUM(P995,R995,T995,V995,X995,Z995,AB995,AD995,AF995,AH995,AJ995,AL995,AN995,AP995,AR995,AT995,AV995,AX995)</f>
        <v>151.06</v>
      </c>
      <c r="BE995" s="33" t="n">
        <f aca="false">AZ995-BD995</f>
        <v>0</v>
      </c>
      <c r="BF995" s="34" t="n">
        <f aca="false">BD995*M995</f>
        <v>10574.2</v>
      </c>
      <c r="BG995" s="35" t="n">
        <f aca="false">BA995-BF995</f>
        <v>-0.200000000000728</v>
      </c>
      <c r="BH995" s="19" t="str">
        <f aca="false">IF(BG995=0,"",IF(BG995&lt;&gt;BA995,"erreur de calcul",IF(BD995&lt;&gt;0,"pas de prix",IF(M995&lt;&gt; 0,"pas de quantité","pas de prix, ni de quantité"))))</f>
        <v>erreur de calcul</v>
      </c>
      <c r="BI995" s="19"/>
    </row>
    <row r="996" customFormat="false" ht="15" hidden="false" customHeight="false" outlineLevel="0" collapsed="false">
      <c r="A996" s="0" t="n">
        <v>4</v>
      </c>
      <c r="B996" s="8" t="s">
        <v>24</v>
      </c>
      <c r="C996" s="9" t="s">
        <v>25</v>
      </c>
      <c r="D996" s="9" t="s">
        <v>26</v>
      </c>
      <c r="E996" s="10" t="n">
        <v>1789</v>
      </c>
      <c r="F996" s="9" t="s">
        <v>27</v>
      </c>
      <c r="G996" s="9" t="s">
        <v>27</v>
      </c>
      <c r="H996" s="11" t="n">
        <v>26</v>
      </c>
      <c r="I996" s="11" t="s">
        <v>375</v>
      </c>
      <c r="J996" s="14" t="n">
        <v>245</v>
      </c>
      <c r="K996" s="14"/>
      <c r="L996" s="16"/>
      <c r="M996" s="27" t="n">
        <f aca="false">J996+(K996/20)+(L996/240)</f>
        <v>245</v>
      </c>
      <c r="N996" s="17" t="s">
        <v>64</v>
      </c>
      <c r="O996" s="11"/>
      <c r="P996" s="28"/>
      <c r="Q996" s="28" t="n">
        <f aca="false">P996*$M996</f>
        <v>0</v>
      </c>
      <c r="R996" s="28"/>
      <c r="S996" s="28" t="n">
        <f aca="false">R996*$M996</f>
        <v>0</v>
      </c>
      <c r="T996" s="28"/>
      <c r="U996" s="28" t="n">
        <f aca="false">T996*$M996</f>
        <v>0</v>
      </c>
      <c r="V996" s="28"/>
      <c r="W996" s="28" t="n">
        <f aca="false">V996*$M996</f>
        <v>0</v>
      </c>
      <c r="X996" s="28"/>
      <c r="Y996" s="28" t="n">
        <f aca="false">X996*$M996</f>
        <v>0</v>
      </c>
      <c r="Z996" s="28"/>
      <c r="AA996" s="28" t="n">
        <f aca="false">Z996*$M996</f>
        <v>0</v>
      </c>
      <c r="AB996" s="28"/>
      <c r="AC996" s="28" t="n">
        <f aca="false">AB996*$M996</f>
        <v>0</v>
      </c>
      <c r="AD996" s="28"/>
      <c r="AE996" s="28" t="n">
        <f aca="false">AD996*$M996</f>
        <v>0</v>
      </c>
      <c r="AF996" s="28"/>
      <c r="AG996" s="28" t="n">
        <f aca="false">AF996*$M996</f>
        <v>0</v>
      </c>
      <c r="AH996" s="28" t="n">
        <f aca="false">751/100</f>
        <v>7.51</v>
      </c>
      <c r="AI996" s="28" t="n">
        <v>1840</v>
      </c>
      <c r="AJ996" s="28"/>
      <c r="AK996" s="28" t="n">
        <f aca="false">AJ996*$M996</f>
        <v>0</v>
      </c>
      <c r="AL996" s="28"/>
      <c r="AM996" s="28" t="n">
        <f aca="false">AL996*$M996</f>
        <v>0</v>
      </c>
      <c r="AN996" s="28"/>
      <c r="AO996" s="28" t="n">
        <f aca="false">AN996*$M996</f>
        <v>0</v>
      </c>
      <c r="AP996" s="28"/>
      <c r="AQ996" s="28" t="n">
        <f aca="false">AP996*$M996</f>
        <v>0</v>
      </c>
      <c r="AR996" s="28"/>
      <c r="AS996" s="28" t="n">
        <f aca="false">AR996*$M996</f>
        <v>0</v>
      </c>
      <c r="AT996" s="28"/>
      <c r="AU996" s="28" t="n">
        <f aca="false">AT996*$M996</f>
        <v>0</v>
      </c>
      <c r="AV996" s="28"/>
      <c r="AW996" s="28" t="n">
        <f aca="false">AV996*$M996</f>
        <v>0</v>
      </c>
      <c r="AX996" s="28"/>
      <c r="AY996" s="28" t="n">
        <f aca="false">AX996*$M996</f>
        <v>0</v>
      </c>
      <c r="AZ996" s="30" t="n">
        <f aca="false">751/100</f>
        <v>7.51</v>
      </c>
      <c r="BA996" s="11" t="n">
        <v>1840</v>
      </c>
      <c r="BB996" s="31" t="n">
        <f aca="false">SUM(Q996,S996,U996,W996,Y996,AA996,AC996,AE996,AG996,AI996,AK996,AM996,AO996,AQ996,AS996,AU996,AW996,AY996)</f>
        <v>1840</v>
      </c>
      <c r="BC996" s="28" t="n">
        <f aca="false">BA996-BB996</f>
        <v>0</v>
      </c>
      <c r="BD996" s="32" t="n">
        <f aca="false">SUM(P996,R996,T996,V996,X996,Z996,AB996,AD996,AF996,AH996,AJ996,AL996,AN996,AP996,AR996,AT996,AV996,AX996)</f>
        <v>7.51</v>
      </c>
      <c r="BE996" s="33" t="n">
        <f aca="false">AZ996-BD996</f>
        <v>0</v>
      </c>
      <c r="BF996" s="34" t="n">
        <f aca="false">BD996*M996</f>
        <v>1839.95</v>
      </c>
      <c r="BG996" s="35" t="n">
        <f aca="false">BA996-BF996</f>
        <v>0.0499999999999545</v>
      </c>
      <c r="BH996" s="19" t="str">
        <f aca="false">IF(BG996=0,"",IF(BG996&lt;&gt;BA996,"erreur de calcul",IF(BD996&lt;&gt;0,"pas de prix",IF(M996&lt;&gt; 0,"pas de quantité","pas de prix, ni de quantité"))))</f>
        <v>erreur de calcul</v>
      </c>
      <c r="BI996" s="19"/>
    </row>
    <row r="997" customFormat="false" ht="15" hidden="false" customHeight="false" outlineLevel="0" collapsed="false">
      <c r="A997" s="0" t="n">
        <v>5</v>
      </c>
      <c r="B997" s="8" t="s">
        <v>24</v>
      </c>
      <c r="C997" s="9" t="s">
        <v>25</v>
      </c>
      <c r="D997" s="9" t="s">
        <v>26</v>
      </c>
      <c r="E997" s="10" t="n">
        <v>1789</v>
      </c>
      <c r="F997" s="9" t="s">
        <v>27</v>
      </c>
      <c r="G997" s="9" t="s">
        <v>27</v>
      </c>
      <c r="H997" s="11" t="n">
        <v>26</v>
      </c>
      <c r="I997" s="11" t="s">
        <v>376</v>
      </c>
      <c r="J997" s="14" t="n">
        <v>550</v>
      </c>
      <c r="K997" s="14"/>
      <c r="L997" s="16"/>
      <c r="M997" s="27" t="n">
        <f aca="false">J997+(K997/20)+(L997/240)</f>
        <v>550</v>
      </c>
      <c r="N997" s="17" t="s">
        <v>64</v>
      </c>
      <c r="O997" s="11"/>
      <c r="P997" s="28"/>
      <c r="Q997" s="28" t="n">
        <f aca="false">P997*$M997</f>
        <v>0</v>
      </c>
      <c r="R997" s="28"/>
      <c r="S997" s="28" t="n">
        <f aca="false">R997*$M997</f>
        <v>0</v>
      </c>
      <c r="T997" s="28"/>
      <c r="U997" s="28" t="n">
        <f aca="false">T997*$M997</f>
        <v>0</v>
      </c>
      <c r="V997" s="28"/>
      <c r="W997" s="28" t="n">
        <f aca="false">V997*$M997</f>
        <v>0</v>
      </c>
      <c r="X997" s="28"/>
      <c r="Y997" s="28" t="n">
        <f aca="false">X997*$M997</f>
        <v>0</v>
      </c>
      <c r="Z997" s="28"/>
      <c r="AA997" s="28" t="n">
        <f aca="false">Z997*$M997</f>
        <v>0</v>
      </c>
      <c r="AB997" s="28"/>
      <c r="AC997" s="28" t="n">
        <f aca="false">AB997*$M997</f>
        <v>0</v>
      </c>
      <c r="AD997" s="28"/>
      <c r="AE997" s="28" t="n">
        <f aca="false">AD997*$M997</f>
        <v>0</v>
      </c>
      <c r="AF997" s="28"/>
      <c r="AG997" s="28" t="n">
        <f aca="false">AF997*$M997</f>
        <v>0</v>
      </c>
      <c r="AH997" s="28" t="n">
        <f aca="false">215551/100</f>
        <v>2155.51</v>
      </c>
      <c r="AI997" s="28" t="n">
        <v>1185530</v>
      </c>
      <c r="AJ997" s="28"/>
      <c r="AK997" s="28" t="n">
        <f aca="false">AJ997*$M997</f>
        <v>0</v>
      </c>
      <c r="AL997" s="28"/>
      <c r="AM997" s="28" t="n">
        <f aca="false">AL997*$M997</f>
        <v>0</v>
      </c>
      <c r="AN997" s="28"/>
      <c r="AO997" s="28" t="n">
        <f aca="false">AN997*$M997</f>
        <v>0</v>
      </c>
      <c r="AP997" s="28"/>
      <c r="AQ997" s="28" t="n">
        <f aca="false">AP997*$M997</f>
        <v>0</v>
      </c>
      <c r="AR997" s="28"/>
      <c r="AS997" s="28" t="n">
        <f aca="false">AR997*$M997</f>
        <v>0</v>
      </c>
      <c r="AT997" s="28"/>
      <c r="AU997" s="28" t="n">
        <f aca="false">AT997*$M997</f>
        <v>0</v>
      </c>
      <c r="AV997" s="28"/>
      <c r="AW997" s="28" t="n">
        <f aca="false">AV997*$M997</f>
        <v>0</v>
      </c>
      <c r="AX997" s="28"/>
      <c r="AY997" s="28" t="n">
        <f aca="false">AX997*$M997</f>
        <v>0</v>
      </c>
      <c r="AZ997" s="30" t="n">
        <f aca="false">215551/100</f>
        <v>2155.51</v>
      </c>
      <c r="BA997" s="11" t="n">
        <v>1185530</v>
      </c>
      <c r="BB997" s="31" t="n">
        <f aca="false">SUM(Q997,S997,U997,W997,Y997,AA997,AC997,AE997,AG997,AI997,AK997,AM997,AO997,AQ997,AS997,AU997,AW997,AY997)</f>
        <v>1185530</v>
      </c>
      <c r="BC997" s="28" t="n">
        <f aca="false">BA997-BB997</f>
        <v>0</v>
      </c>
      <c r="BD997" s="32" t="n">
        <f aca="false">SUM(P997,R997,T997,V997,X997,Z997,AB997,AD997,AF997,AH997,AJ997,AL997,AN997,AP997,AR997,AT997,AV997,AX997)</f>
        <v>2155.51</v>
      </c>
      <c r="BE997" s="33" t="n">
        <f aca="false">AZ997-BD997</f>
        <v>0</v>
      </c>
      <c r="BF997" s="34" t="n">
        <f aca="false">BD997*M997</f>
        <v>1185530.5</v>
      </c>
      <c r="BG997" s="35" t="n">
        <f aca="false">BA997-BF997</f>
        <v>-0.500000000232831</v>
      </c>
      <c r="BH997" s="19" t="str">
        <f aca="false">IF(BG997=0,"",IF(BG997&lt;&gt;BA997,"erreur de calcul",IF(BD997&lt;&gt;0,"pas de prix",IF(M997&lt;&gt; 0,"pas de quantité","pas de prix, ni de quantité"))))</f>
        <v>erreur de calcul</v>
      </c>
      <c r="BI997" s="19"/>
    </row>
    <row r="998" customFormat="false" ht="15" hidden="false" customHeight="false" outlineLevel="0" collapsed="false">
      <c r="A998" s="0" t="n">
        <v>6</v>
      </c>
      <c r="B998" s="8" t="s">
        <v>24</v>
      </c>
      <c r="C998" s="9" t="s">
        <v>25</v>
      </c>
      <c r="D998" s="9" t="s">
        <v>26</v>
      </c>
      <c r="E998" s="10" t="n">
        <v>1789</v>
      </c>
      <c r="F998" s="9" t="s">
        <v>27</v>
      </c>
      <c r="G998" s="9" t="s">
        <v>27</v>
      </c>
      <c r="H998" s="11" t="n">
        <v>26</v>
      </c>
      <c r="I998" s="11" t="s">
        <v>377</v>
      </c>
      <c r="J998" s="14"/>
      <c r="K998" s="14"/>
      <c r="L998" s="16"/>
      <c r="M998" s="27" t="n">
        <f aca="false">J998+(K998/20)+(L998/240)</f>
        <v>0</v>
      </c>
      <c r="N998" s="17"/>
      <c r="O998" s="11"/>
      <c r="P998" s="28"/>
      <c r="Q998" s="28" t="n">
        <f aca="false">P998*$M998</f>
        <v>0</v>
      </c>
      <c r="R998" s="28"/>
      <c r="S998" s="28" t="n">
        <f aca="false">R998*$M998</f>
        <v>0</v>
      </c>
      <c r="T998" s="28"/>
      <c r="U998" s="28" t="n">
        <v>517</v>
      </c>
      <c r="V998" s="28"/>
      <c r="W998" s="28" t="n">
        <v>1243</v>
      </c>
      <c r="X998" s="28"/>
      <c r="Y998" s="28" t="n">
        <f aca="false">X998*$M998</f>
        <v>0</v>
      </c>
      <c r="Z998" s="28"/>
      <c r="AA998" s="28" t="n">
        <f aca="false">Z998*$M998</f>
        <v>0</v>
      </c>
      <c r="AB998" s="28"/>
      <c r="AC998" s="28" t="n">
        <v>694</v>
      </c>
      <c r="AD998" s="28"/>
      <c r="AE998" s="28" t="n">
        <f aca="false">AD998*$M998</f>
        <v>0</v>
      </c>
      <c r="AF998" s="28"/>
      <c r="AG998" s="28" t="n">
        <f aca="false">AF998*$M998</f>
        <v>0</v>
      </c>
      <c r="AH998" s="28"/>
      <c r="AI998" s="28" t="n">
        <f aca="false">AH998*$M998</f>
        <v>0</v>
      </c>
      <c r="AJ998" s="28"/>
      <c r="AK998" s="28" t="n">
        <v>664</v>
      </c>
      <c r="AL998" s="28"/>
      <c r="AM998" s="28" t="n">
        <v>161</v>
      </c>
      <c r="AN998" s="28"/>
      <c r="AO998" s="28" t="n">
        <f aca="false">AN998*$M998</f>
        <v>0</v>
      </c>
      <c r="AP998" s="28"/>
      <c r="AQ998" s="28" t="n">
        <f aca="false">AP998*$M998</f>
        <v>0</v>
      </c>
      <c r="AR998" s="28"/>
      <c r="AS998" s="28" t="n">
        <f aca="false">AR998*$M998</f>
        <v>0</v>
      </c>
      <c r="AT998" s="28"/>
      <c r="AU998" s="28" t="n">
        <f aca="false">AT998*$M998</f>
        <v>0</v>
      </c>
      <c r="AV998" s="28"/>
      <c r="AW998" s="28" t="n">
        <f aca="false">AV998*$M998</f>
        <v>0</v>
      </c>
      <c r="AX998" s="28"/>
      <c r="AY998" s="28" t="n">
        <f aca="false">AX998*$M998</f>
        <v>0</v>
      </c>
      <c r="AZ998" s="30"/>
      <c r="BA998" s="11" t="n">
        <v>3279</v>
      </c>
      <c r="BB998" s="31" t="n">
        <f aca="false">SUM(Q998,S998,U998,W998,Y998,AA998,AC998,AE998,AG998,AI998,AK998,AM998,AO998,AQ998,AS998,AU998,AW998,AY998)</f>
        <v>3279</v>
      </c>
      <c r="BC998" s="28" t="n">
        <f aca="false">BA998-BB998</f>
        <v>0</v>
      </c>
      <c r="BD998" s="32" t="n">
        <f aca="false">SUM(P998,R998,T998,V998,X998,Z998,AB998,AD998,AF998,AH998,AJ998,AL998,AN998,AP998,AR998,AT998,AV998,AX998)</f>
        <v>0</v>
      </c>
      <c r="BE998" s="33" t="n">
        <f aca="false">AZ998-BD998</f>
        <v>0</v>
      </c>
      <c r="BF998" s="34" t="n">
        <f aca="false">BD998*M998</f>
        <v>0</v>
      </c>
      <c r="BG998" s="35" t="n">
        <f aca="false">BA998-BF998</f>
        <v>3279</v>
      </c>
      <c r="BH998" s="19" t="str">
        <f aca="false">IF(BG998=0,"",IF(BG998&lt;&gt;BA998,"erreur de calcul",IF(BD998&lt;&gt;0,"pas de prix",IF(M998&lt;&gt; 0,"pas de quantité","pas de prix, ni de quantité"))))</f>
        <v>pas de prix, ni de quantité</v>
      </c>
      <c r="BI998" s="19"/>
    </row>
    <row r="999" customFormat="false" ht="15" hidden="false" customHeight="false" outlineLevel="0" collapsed="false">
      <c r="A999" s="0" t="n">
        <v>7</v>
      </c>
      <c r="B999" s="8" t="s">
        <v>24</v>
      </c>
      <c r="C999" s="9" t="s">
        <v>25</v>
      </c>
      <c r="D999" s="9" t="s">
        <v>26</v>
      </c>
      <c r="E999" s="10" t="n">
        <v>1789</v>
      </c>
      <c r="F999" s="9" t="s">
        <v>27</v>
      </c>
      <c r="G999" s="9" t="s">
        <v>27</v>
      </c>
      <c r="H999" s="11" t="n">
        <v>26</v>
      </c>
      <c r="I999" s="11" t="s">
        <v>378</v>
      </c>
      <c r="J999" s="14" t="n">
        <v>27</v>
      </c>
      <c r="K999" s="14"/>
      <c r="L999" s="16"/>
      <c r="M999" s="27" t="n">
        <f aca="false">J999+(K999/20)+(L999/240)</f>
        <v>27</v>
      </c>
      <c r="N999" s="17" t="s">
        <v>379</v>
      </c>
      <c r="O999" s="11" t="s">
        <v>98</v>
      </c>
      <c r="P999" s="28"/>
      <c r="Q999" s="28" t="n">
        <f aca="false">P999*$M999</f>
        <v>0</v>
      </c>
      <c r="R999" s="28"/>
      <c r="S999" s="28" t="n">
        <f aca="false">R999*$M999</f>
        <v>0</v>
      </c>
      <c r="T999" s="28"/>
      <c r="U999" s="28" t="n">
        <f aca="false">T999*$M999</f>
        <v>0</v>
      </c>
      <c r="V999" s="28"/>
      <c r="W999" s="28" t="n">
        <f aca="false">V999*$M999</f>
        <v>0</v>
      </c>
      <c r="X999" s="28"/>
      <c r="Y999" s="28" t="n">
        <f aca="false">X999*$M999</f>
        <v>0</v>
      </c>
      <c r="Z999" s="28"/>
      <c r="AA999" s="28" t="n">
        <f aca="false">Z999*$M999</f>
        <v>0</v>
      </c>
      <c r="AB999" s="28"/>
      <c r="AC999" s="28" t="n">
        <f aca="false">AB999*$M999</f>
        <v>0</v>
      </c>
      <c r="AD999" s="28"/>
      <c r="AE999" s="28" t="n">
        <f aca="false">AD999*$M999</f>
        <v>0</v>
      </c>
      <c r="AF999" s="28"/>
      <c r="AG999" s="28" t="n">
        <f aca="false">AF999*$M999</f>
        <v>0</v>
      </c>
      <c r="AH999" s="28"/>
      <c r="AI999" s="28" t="n">
        <f aca="false">AH999*$M999</f>
        <v>0</v>
      </c>
      <c r="AJ999" s="28"/>
      <c r="AK999" s="28" t="n">
        <f aca="false">AJ999*$M999</f>
        <v>0</v>
      </c>
      <c r="AL999" s="28"/>
      <c r="AM999" s="28" t="n">
        <f aca="false">AL999*$M999</f>
        <v>0</v>
      </c>
      <c r="AN999" s="28"/>
      <c r="AO999" s="28" t="n">
        <f aca="false">AN999*$M999</f>
        <v>0</v>
      </c>
      <c r="AP999" s="28"/>
      <c r="AQ999" s="28" t="n">
        <f aca="false">AP999*$M999</f>
        <v>0</v>
      </c>
      <c r="AR999" s="28"/>
      <c r="AS999" s="28" t="n">
        <f aca="false">AR999*$M999</f>
        <v>0</v>
      </c>
      <c r="AT999" s="28"/>
      <c r="AU999" s="28" t="n">
        <f aca="false">AT999*$M999</f>
        <v>0</v>
      </c>
      <c r="AV999" s="28"/>
      <c r="AW999" s="28" t="n">
        <f aca="false">AV999*$M999</f>
        <v>0</v>
      </c>
      <c r="AX999" s="28"/>
      <c r="AY999" s="28" t="n">
        <f aca="false">AX999*$M999</f>
        <v>0</v>
      </c>
      <c r="AZ999" s="30"/>
      <c r="BA999" s="11"/>
      <c r="BB999" s="31" t="n">
        <f aca="false">SUM(Q999,S999,U999,W999,Y999,AA999,AC999,AE999,AG999,AI999,AK999,AM999,AO999,AQ999,AS999,AU999,AW999,AY999)</f>
        <v>0</v>
      </c>
      <c r="BC999" s="28" t="n">
        <f aca="false">BA999-BB999</f>
        <v>0</v>
      </c>
      <c r="BD999" s="32" t="n">
        <f aca="false">SUM(P999,R999,T999,V999,X999,Z999,AB999,AD999,AF999,AH999,AJ999,AL999,AN999,AP999,AR999,AT999,AV999,AX999)</f>
        <v>0</v>
      </c>
      <c r="BE999" s="33" t="n">
        <f aca="false">AZ999-BD999</f>
        <v>0</v>
      </c>
      <c r="BF999" s="34" t="n">
        <f aca="false">BD999*M999</f>
        <v>0</v>
      </c>
      <c r="BG999" s="35" t="n">
        <f aca="false">BA999-BF999</f>
        <v>0</v>
      </c>
      <c r="BH999" s="19" t="str">
        <f aca="false">IF(BG999=0,"",IF(BG999&lt;&gt;BA999,"erreur de calcul",IF(BD999&lt;&gt;0,"pas de prix",IF(M999&lt;&gt; 0,"pas de quantité","pas de prix, ni de quantité"))))</f>
        <v/>
      </c>
      <c r="BI999" s="19"/>
    </row>
    <row r="1000" customFormat="false" ht="15" hidden="false" customHeight="false" outlineLevel="0" collapsed="false">
      <c r="A1000" s="0" t="n">
        <v>8</v>
      </c>
      <c r="B1000" s="8" t="s">
        <v>24</v>
      </c>
      <c r="C1000" s="9" t="s">
        <v>25</v>
      </c>
      <c r="D1000" s="9" t="s">
        <v>26</v>
      </c>
      <c r="E1000" s="10" t="n">
        <v>1789</v>
      </c>
      <c r="F1000" s="9" t="s">
        <v>27</v>
      </c>
      <c r="G1000" s="9" t="s">
        <v>27</v>
      </c>
      <c r="H1000" s="11" t="n">
        <v>26</v>
      </c>
      <c r="I1000" s="11" t="s">
        <v>380</v>
      </c>
      <c r="J1000" s="14" t="n">
        <v>30</v>
      </c>
      <c r="K1000" s="14"/>
      <c r="L1000" s="16"/>
      <c r="M1000" s="27" t="n">
        <f aca="false">J1000+(K1000/20)+(L1000/240)</f>
        <v>30</v>
      </c>
      <c r="N1000" s="17" t="s">
        <v>64</v>
      </c>
      <c r="O1000" s="11"/>
      <c r="P1000" s="28"/>
      <c r="Q1000" s="28" t="n">
        <f aca="false">P1000*$M1000</f>
        <v>0</v>
      </c>
      <c r="R1000" s="28"/>
      <c r="S1000" s="28" t="n">
        <f aca="false">R1000*$M1000</f>
        <v>0</v>
      </c>
      <c r="T1000" s="28"/>
      <c r="U1000" s="28" t="n">
        <f aca="false">T1000*$M1000</f>
        <v>0</v>
      </c>
      <c r="V1000" s="28"/>
      <c r="W1000" s="28" t="n">
        <f aca="false">V1000*$M1000</f>
        <v>0</v>
      </c>
      <c r="X1000" s="28"/>
      <c r="Y1000" s="28" t="n">
        <f aca="false">X1000*$M1000</f>
        <v>0</v>
      </c>
      <c r="Z1000" s="28"/>
      <c r="AA1000" s="28" t="n">
        <f aca="false">Z1000*$M1000</f>
        <v>0</v>
      </c>
      <c r="AB1000" s="28"/>
      <c r="AC1000" s="28" t="n">
        <f aca="false">AB1000*$M1000</f>
        <v>0</v>
      </c>
      <c r="AD1000" s="28"/>
      <c r="AE1000" s="28" t="n">
        <f aca="false">AD1000*$M1000</f>
        <v>0</v>
      </c>
      <c r="AF1000" s="28"/>
      <c r="AG1000" s="28" t="n">
        <f aca="false">AF1000*$M1000</f>
        <v>0</v>
      </c>
      <c r="AH1000" s="28"/>
      <c r="AI1000" s="28" t="n">
        <f aca="false">AH1000*$M1000</f>
        <v>0</v>
      </c>
      <c r="AJ1000" s="28"/>
      <c r="AK1000" s="28" t="n">
        <f aca="false">AJ1000*$M1000</f>
        <v>0</v>
      </c>
      <c r="AL1000" s="28"/>
      <c r="AM1000" s="28" t="n">
        <f aca="false">AL1000*$M1000</f>
        <v>0</v>
      </c>
      <c r="AN1000" s="28"/>
      <c r="AO1000" s="28" t="n">
        <f aca="false">AN1000*$M1000</f>
        <v>0</v>
      </c>
      <c r="AP1000" s="28"/>
      <c r="AQ1000" s="28" t="n">
        <f aca="false">AP1000*$M1000</f>
        <v>0</v>
      </c>
      <c r="AR1000" s="28"/>
      <c r="AS1000" s="28" t="n">
        <f aca="false">AR1000*$M1000</f>
        <v>0</v>
      </c>
      <c r="AT1000" s="28"/>
      <c r="AU1000" s="28" t="n">
        <f aca="false">AT1000*$M1000</f>
        <v>0</v>
      </c>
      <c r="AV1000" s="28" t="n">
        <f aca="false">5417/100</f>
        <v>54.17</v>
      </c>
      <c r="AW1000" s="28" t="n">
        <v>1625</v>
      </c>
      <c r="AX1000" s="28"/>
      <c r="AY1000" s="28" t="n">
        <f aca="false">AX1000*$M1000</f>
        <v>0</v>
      </c>
      <c r="AZ1000" s="30"/>
      <c r="BA1000" s="11" t="n">
        <v>1625</v>
      </c>
      <c r="BB1000" s="31" t="n">
        <f aca="false">SUM(Q1000,S1000,U1000,W1000,Y1000,AA1000,AC1000,AE1000,AG1000,AI1000,AK1000,AM1000,AO1000,AQ1000,AS1000,AU1000,AW1000,AY1000)</f>
        <v>1625</v>
      </c>
      <c r="BC1000" s="28" t="n">
        <f aca="false">BA1000-BB1000</f>
        <v>0</v>
      </c>
      <c r="BD1000" s="32" t="n">
        <f aca="false">SUM(P1000,R1000,T1000,V1000,X1000,Z1000,AB1000,AD1000,AF1000,AH1000,AJ1000,AL1000,AN1000,AP1000,AR1000,AT1000,AV1000,AX1000)</f>
        <v>54.17</v>
      </c>
      <c r="BE1000" s="33" t="n">
        <f aca="false">AZ1000-BD1000</f>
        <v>-54.17</v>
      </c>
      <c r="BF1000" s="34" t="n">
        <f aca="false">BD1000*M1000</f>
        <v>1625.1</v>
      </c>
      <c r="BG1000" s="35" t="n">
        <f aca="false">BA1000-BF1000</f>
        <v>-0.100000000000136</v>
      </c>
      <c r="BH1000" s="19" t="str">
        <f aca="false">IF(BG1000=0,"",IF(BG1000&lt;&gt;BA1000,"erreur de calcul",IF(BD1000&lt;&gt;0,"pas de prix",IF(M1000&lt;&gt; 0,"pas de quantité","pas de prix, ni de quantité"))))</f>
        <v>erreur de calcul</v>
      </c>
      <c r="BI1000" s="19"/>
    </row>
    <row r="1001" customFormat="false" ht="15" hidden="false" customHeight="false" outlineLevel="0" collapsed="false">
      <c r="A1001" s="0" t="n">
        <v>9</v>
      </c>
      <c r="B1001" s="8" t="s">
        <v>24</v>
      </c>
      <c r="C1001" s="9" t="s">
        <v>25</v>
      </c>
      <c r="D1001" s="9" t="s">
        <v>26</v>
      </c>
      <c r="E1001" s="10" t="n">
        <v>1789</v>
      </c>
      <c r="F1001" s="9" t="s">
        <v>27</v>
      </c>
      <c r="G1001" s="9" t="s">
        <v>27</v>
      </c>
      <c r="H1001" s="11" t="n">
        <v>26</v>
      </c>
      <c r="I1001" s="11" t="s">
        <v>381</v>
      </c>
      <c r="J1001" s="14" t="n">
        <v>6</v>
      </c>
      <c r="K1001" s="14"/>
      <c r="L1001" s="16"/>
      <c r="M1001" s="27" t="n">
        <f aca="false">J1001+(K1001/20)+(L1001/240)</f>
        <v>6</v>
      </c>
      <c r="N1001" s="17" t="s">
        <v>379</v>
      </c>
      <c r="O1001" s="11" t="s">
        <v>98</v>
      </c>
      <c r="P1001" s="28"/>
      <c r="Q1001" s="28" t="n">
        <f aca="false">P1001*$M1001</f>
        <v>0</v>
      </c>
      <c r="R1001" s="28"/>
      <c r="S1001" s="28" t="n">
        <f aca="false">R1001*$M1001</f>
        <v>0</v>
      </c>
      <c r="T1001" s="28"/>
      <c r="U1001" s="28" t="n">
        <f aca="false">T1001*$M1001</f>
        <v>0</v>
      </c>
      <c r="V1001" s="28"/>
      <c r="W1001" s="28" t="n">
        <f aca="false">V1001*$M1001</f>
        <v>0</v>
      </c>
      <c r="X1001" s="28"/>
      <c r="Y1001" s="28" t="n">
        <f aca="false">X1001*$M1001</f>
        <v>0</v>
      </c>
      <c r="Z1001" s="28"/>
      <c r="AA1001" s="28" t="n">
        <f aca="false">Z1001*$M1001</f>
        <v>0</v>
      </c>
      <c r="AB1001" s="28"/>
      <c r="AC1001" s="28" t="n">
        <f aca="false">AB1001*$M1001</f>
        <v>0</v>
      </c>
      <c r="AD1001" s="28"/>
      <c r="AE1001" s="28" t="n">
        <f aca="false">AD1001*$M1001</f>
        <v>0</v>
      </c>
      <c r="AF1001" s="28"/>
      <c r="AG1001" s="28" t="n">
        <f aca="false">AF1001*$M1001</f>
        <v>0</v>
      </c>
      <c r="AH1001" s="28"/>
      <c r="AI1001" s="28" t="n">
        <f aca="false">AH1001*$M1001</f>
        <v>0</v>
      </c>
      <c r="AJ1001" s="28"/>
      <c r="AK1001" s="28" t="n">
        <f aca="false">AJ1001*$M1001</f>
        <v>0</v>
      </c>
      <c r="AL1001" s="28"/>
      <c r="AM1001" s="28" t="n">
        <f aca="false">AL1001*$M1001</f>
        <v>0</v>
      </c>
      <c r="AN1001" s="28"/>
      <c r="AO1001" s="28" t="n">
        <f aca="false">AN1001*$M1001</f>
        <v>0</v>
      </c>
      <c r="AP1001" s="28"/>
      <c r="AQ1001" s="28" t="n">
        <f aca="false">AP1001*$M1001</f>
        <v>0</v>
      </c>
      <c r="AR1001" s="28"/>
      <c r="AS1001" s="28" t="n">
        <f aca="false">AR1001*$M1001</f>
        <v>0</v>
      </c>
      <c r="AT1001" s="28"/>
      <c r="AU1001" s="28" t="n">
        <f aca="false">AT1001*$M1001</f>
        <v>0</v>
      </c>
      <c r="AV1001" s="28"/>
      <c r="AW1001" s="28" t="n">
        <f aca="false">AV1001*$M1001</f>
        <v>0</v>
      </c>
      <c r="AX1001" s="28"/>
      <c r="AY1001" s="28" t="n">
        <f aca="false">AX1001*$M1001</f>
        <v>0</v>
      </c>
      <c r="AZ1001" s="30"/>
      <c r="BA1001" s="11"/>
      <c r="BB1001" s="31" t="n">
        <f aca="false">SUM(Q1001,S1001,U1001,W1001,Y1001,AA1001,AC1001,AE1001,AG1001,AI1001,AK1001,AM1001,AO1001,AQ1001,AS1001,AU1001,AW1001,AY1001)</f>
        <v>0</v>
      </c>
      <c r="BC1001" s="28" t="n">
        <f aca="false">BA1001-BB1001</f>
        <v>0</v>
      </c>
      <c r="BD1001" s="32" t="n">
        <f aca="false">SUM(P1001,R1001,T1001,V1001,X1001,Z1001,AB1001,AD1001,AF1001,AH1001,AJ1001,AL1001,AN1001,AP1001,AR1001,AT1001,AV1001,AX1001)</f>
        <v>0</v>
      </c>
      <c r="BE1001" s="33" t="n">
        <f aca="false">AZ1001-BD1001</f>
        <v>0</v>
      </c>
      <c r="BF1001" s="34" t="n">
        <f aca="false">BD1001*M1001</f>
        <v>0</v>
      </c>
      <c r="BG1001" s="35" t="n">
        <f aca="false">BA1001-BF1001</f>
        <v>0</v>
      </c>
      <c r="BH1001" s="19" t="str">
        <f aca="false">IF(BG1001=0,"",IF(BG1001&lt;&gt;BA1001,"erreur de calcul",IF(BD1001&lt;&gt;0,"pas de prix",IF(M1001&lt;&gt; 0,"pas de quantité","pas de prix, ni de quantité"))))</f>
        <v/>
      </c>
      <c r="BI1001" s="19"/>
    </row>
    <row r="1002" customFormat="false" ht="15" hidden="false" customHeight="false" outlineLevel="0" collapsed="false">
      <c r="A1002" s="0" t="n">
        <v>10</v>
      </c>
      <c r="B1002" s="8" t="s">
        <v>24</v>
      </c>
      <c r="C1002" s="9" t="s">
        <v>25</v>
      </c>
      <c r="D1002" s="9" t="s">
        <v>26</v>
      </c>
      <c r="E1002" s="10" t="n">
        <v>1789</v>
      </c>
      <c r="F1002" s="9" t="s">
        <v>27</v>
      </c>
      <c r="G1002" s="9" t="s">
        <v>27</v>
      </c>
      <c r="H1002" s="11" t="n">
        <v>26</v>
      </c>
      <c r="I1002" s="11" t="s">
        <v>381</v>
      </c>
      <c r="J1002" s="14" t="n">
        <v>40</v>
      </c>
      <c r="K1002" s="14"/>
      <c r="L1002" s="16"/>
      <c r="M1002" s="27" t="n">
        <f aca="false">J1002+(K1002/20)+(L1002/240)</f>
        <v>40</v>
      </c>
      <c r="N1002" s="17" t="s">
        <v>382</v>
      </c>
      <c r="O1002" s="11" t="s">
        <v>98</v>
      </c>
      <c r="P1002" s="28"/>
      <c r="Q1002" s="28" t="n">
        <f aca="false">P1002*$M1002</f>
        <v>0</v>
      </c>
      <c r="R1002" s="28"/>
      <c r="S1002" s="28" t="n">
        <f aca="false">R1002*$M1002</f>
        <v>0</v>
      </c>
      <c r="T1002" s="28"/>
      <c r="U1002" s="28" t="n">
        <f aca="false">T1002*$M1002</f>
        <v>0</v>
      </c>
      <c r="V1002" s="28"/>
      <c r="W1002" s="28" t="n">
        <f aca="false">V1002*$M1002</f>
        <v>0</v>
      </c>
      <c r="X1002" s="28"/>
      <c r="Y1002" s="28" t="n">
        <f aca="false">X1002*$M1002</f>
        <v>0</v>
      </c>
      <c r="Z1002" s="28"/>
      <c r="AA1002" s="28" t="n">
        <f aca="false">Z1002*$M1002</f>
        <v>0</v>
      </c>
      <c r="AB1002" s="28"/>
      <c r="AC1002" s="28" t="n">
        <f aca="false">AB1002*$M1002</f>
        <v>0</v>
      </c>
      <c r="AD1002" s="28"/>
      <c r="AE1002" s="28" t="n">
        <f aca="false">AD1002*$M1002</f>
        <v>0</v>
      </c>
      <c r="AF1002" s="28"/>
      <c r="AG1002" s="28" t="n">
        <f aca="false">AF1002*$M1002</f>
        <v>0</v>
      </c>
      <c r="AH1002" s="28"/>
      <c r="AI1002" s="28" t="n">
        <f aca="false">AH1002*$M1002</f>
        <v>0</v>
      </c>
      <c r="AJ1002" s="28"/>
      <c r="AK1002" s="28" t="n">
        <f aca="false">AJ1002*$M1002</f>
        <v>0</v>
      </c>
      <c r="AL1002" s="28"/>
      <c r="AM1002" s="28" t="n">
        <f aca="false">AL1002*$M1002</f>
        <v>0</v>
      </c>
      <c r="AN1002" s="28"/>
      <c r="AO1002" s="28" t="n">
        <f aca="false">AN1002*$M1002</f>
        <v>0</v>
      </c>
      <c r="AP1002" s="28"/>
      <c r="AQ1002" s="28" t="n">
        <f aca="false">AP1002*$M1002</f>
        <v>0</v>
      </c>
      <c r="AR1002" s="28"/>
      <c r="AS1002" s="28" t="n">
        <f aca="false">AR1002*$M1002</f>
        <v>0</v>
      </c>
      <c r="AT1002" s="28"/>
      <c r="AU1002" s="28" t="n">
        <f aca="false">AT1002*$M1002</f>
        <v>0</v>
      </c>
      <c r="AV1002" s="28"/>
      <c r="AW1002" s="28" t="n">
        <f aca="false">AV1002*$M1002</f>
        <v>0</v>
      </c>
      <c r="AX1002" s="28"/>
      <c r="AY1002" s="28" t="n">
        <f aca="false">AX1002*$M1002</f>
        <v>0</v>
      </c>
      <c r="AZ1002" s="30"/>
      <c r="BA1002" s="11"/>
      <c r="BB1002" s="31" t="n">
        <f aca="false">SUM(Q1002,S1002,U1002,W1002,Y1002,AA1002,AC1002,AE1002,AG1002,AI1002,AK1002,AM1002,AO1002,AQ1002,AS1002,AU1002,AW1002,AY1002)</f>
        <v>0</v>
      </c>
      <c r="BC1002" s="28" t="n">
        <f aca="false">BA1002-BB1002</f>
        <v>0</v>
      </c>
      <c r="BD1002" s="32" t="n">
        <f aca="false">SUM(P1002,R1002,T1002,V1002,X1002,Z1002,AB1002,AD1002,AF1002,AH1002,AJ1002,AL1002,AN1002,AP1002,AR1002,AT1002,AV1002,AX1002)</f>
        <v>0</v>
      </c>
      <c r="BE1002" s="33" t="n">
        <f aca="false">AZ1002-BD1002</f>
        <v>0</v>
      </c>
      <c r="BF1002" s="34" t="n">
        <f aca="false">BD1002*M1002</f>
        <v>0</v>
      </c>
      <c r="BG1002" s="35" t="n">
        <f aca="false">BA1002-BF1002</f>
        <v>0</v>
      </c>
      <c r="BH1002" s="19" t="str">
        <f aca="false">IF(BG1002=0,"",IF(BG1002&lt;&gt;BA1002,"erreur de calcul",IF(BD1002&lt;&gt;0,"pas de prix",IF(M1002&lt;&gt; 0,"pas de quantité","pas de prix, ni de quantité"))))</f>
        <v/>
      </c>
      <c r="BI1002" s="19"/>
    </row>
    <row r="1003" customFormat="false" ht="15" hidden="false" customHeight="false" outlineLevel="0" collapsed="false">
      <c r="A1003" s="0" t="n">
        <v>11</v>
      </c>
      <c r="B1003" s="8" t="s">
        <v>24</v>
      </c>
      <c r="C1003" s="9" t="s">
        <v>25</v>
      </c>
      <c r="D1003" s="9" t="s">
        <v>26</v>
      </c>
      <c r="E1003" s="10" t="n">
        <v>1789</v>
      </c>
      <c r="F1003" s="9" t="s">
        <v>27</v>
      </c>
      <c r="G1003" s="9" t="s">
        <v>27</v>
      </c>
      <c r="H1003" s="11" t="n">
        <v>26</v>
      </c>
      <c r="I1003" s="11" t="s">
        <v>383</v>
      </c>
      <c r="J1003" s="14" t="n">
        <v>50</v>
      </c>
      <c r="K1003" s="14"/>
      <c r="L1003" s="16"/>
      <c r="M1003" s="27" t="n">
        <f aca="false">J1003+(K1003/20)+(L1003/240)</f>
        <v>50</v>
      </c>
      <c r="N1003" s="17" t="s">
        <v>64</v>
      </c>
      <c r="O1003" s="11"/>
      <c r="P1003" s="28" t="n">
        <f aca="false">54967/100</f>
        <v>549.67</v>
      </c>
      <c r="Q1003" s="28" t="n">
        <v>27483</v>
      </c>
      <c r="R1003" s="28"/>
      <c r="S1003" s="28" t="n">
        <f aca="false">R1003*$M1003</f>
        <v>0</v>
      </c>
      <c r="T1003" s="28" t="n">
        <f aca="false">74693/100</f>
        <v>746.93</v>
      </c>
      <c r="U1003" s="28" t="n">
        <v>37346</v>
      </c>
      <c r="V1003" s="28" t="n">
        <f aca="false">161729/100</f>
        <v>1617.29</v>
      </c>
      <c r="W1003" s="28" t="n">
        <v>80864</v>
      </c>
      <c r="X1003" s="28" t="n">
        <f aca="false">106689/100</f>
        <v>1066.89</v>
      </c>
      <c r="Y1003" s="28" t="n">
        <v>53344</v>
      </c>
      <c r="Z1003" s="28"/>
      <c r="AA1003" s="28" t="n">
        <f aca="false">Z1003*$M1003</f>
        <v>0</v>
      </c>
      <c r="AB1003" s="28"/>
      <c r="AC1003" s="28" t="n">
        <f aca="false">AB1003*$M1003</f>
        <v>0</v>
      </c>
      <c r="AD1003" s="28"/>
      <c r="AE1003" s="28" t="n">
        <f aca="false">AD1003*$M1003</f>
        <v>0</v>
      </c>
      <c r="AF1003" s="28"/>
      <c r="AG1003" s="28" t="n">
        <f aca="false">AF1003*$M1003</f>
        <v>0</v>
      </c>
      <c r="AH1003" s="28"/>
      <c r="AI1003" s="28" t="n">
        <f aca="false">AH1003*$M1003</f>
        <v>0</v>
      </c>
      <c r="AJ1003" s="28"/>
      <c r="AK1003" s="28" t="n">
        <f aca="false">AJ1003*$M1003</f>
        <v>0</v>
      </c>
      <c r="AL1003" s="28"/>
      <c r="AM1003" s="28" t="n">
        <f aca="false">AL1003*$M1003</f>
        <v>0</v>
      </c>
      <c r="AN1003" s="28"/>
      <c r="AO1003" s="28" t="n">
        <f aca="false">AN1003*$M1003</f>
        <v>0</v>
      </c>
      <c r="AP1003" s="28"/>
      <c r="AQ1003" s="28" t="n">
        <f aca="false">AP1003*$M1003</f>
        <v>0</v>
      </c>
      <c r="AR1003" s="28"/>
      <c r="AS1003" s="28" t="n">
        <f aca="false">AR1003*$M1003</f>
        <v>0</v>
      </c>
      <c r="AT1003" s="28"/>
      <c r="AU1003" s="28" t="n">
        <f aca="false">AT1003*$M1003</f>
        <v>0</v>
      </c>
      <c r="AV1003" s="28"/>
      <c r="AW1003" s="28" t="n">
        <f aca="false">AV1003*$M1003</f>
        <v>0</v>
      </c>
      <c r="AX1003" s="28"/>
      <c r="AY1003" s="28" t="n">
        <f aca="false">AX1003*$M1003</f>
        <v>0</v>
      </c>
      <c r="AZ1003" s="30" t="n">
        <f aca="false">398078/100</f>
        <v>3980.78</v>
      </c>
      <c r="BA1003" s="11" t="n">
        <v>199037</v>
      </c>
      <c r="BB1003" s="31" t="n">
        <f aca="false">SUM(Q1003,S1003,U1003,W1003,Y1003,AA1003,AC1003,AE1003,AG1003,AI1003,AK1003,AM1003,AO1003,AQ1003,AS1003,AU1003,AW1003,AY1003)</f>
        <v>199037</v>
      </c>
      <c r="BC1003" s="28" t="n">
        <f aca="false">BA1003-BB1003</f>
        <v>0</v>
      </c>
      <c r="BD1003" s="32" t="n">
        <f aca="false">SUM(P1003,R1003,T1003,V1003,X1003,Z1003,AB1003,AD1003,AF1003,AH1003,AJ1003,AL1003,AN1003,AP1003,AR1003,AT1003,AV1003,AX1003)</f>
        <v>3980.78</v>
      </c>
      <c r="BE1003" s="33" t="n">
        <f aca="false">AZ1003-BD1003</f>
        <v>0</v>
      </c>
      <c r="BF1003" s="34" t="n">
        <f aca="false">BD1003*M1003</f>
        <v>199039</v>
      </c>
      <c r="BG1003" s="35" t="n">
        <f aca="false">BA1003-BF1003</f>
        <v>-2</v>
      </c>
      <c r="BH1003" s="19" t="str">
        <f aca="false">IF(BG1003=0,"",IF(BG1003&lt;&gt;BA1003,"erreur de calcul",IF(BD1003&lt;&gt;0,"pas de prix",IF(M1003&lt;&gt; 0,"pas de quantité","pas de prix, ni de quantité"))))</f>
        <v>erreur de calcul</v>
      </c>
      <c r="BI1003" s="19"/>
    </row>
    <row r="1004" customFormat="false" ht="15" hidden="false" customHeight="false" outlineLevel="0" collapsed="false">
      <c r="A1004" s="0" t="n">
        <v>12</v>
      </c>
      <c r="B1004" s="8" t="s">
        <v>24</v>
      </c>
      <c r="C1004" s="9" t="s">
        <v>25</v>
      </c>
      <c r="D1004" s="9" t="s">
        <v>26</v>
      </c>
      <c r="E1004" s="10" t="n">
        <v>1789</v>
      </c>
      <c r="F1004" s="9" t="s">
        <v>27</v>
      </c>
      <c r="G1004" s="9" t="s">
        <v>27</v>
      </c>
      <c r="H1004" s="11" t="n">
        <v>26</v>
      </c>
      <c r="I1004" s="11" t="s">
        <v>384</v>
      </c>
      <c r="J1004" s="14" t="n">
        <v>27</v>
      </c>
      <c r="K1004" s="14"/>
      <c r="L1004" s="16"/>
      <c r="M1004" s="27" t="n">
        <f aca="false">J1004+(K1004/20)+(L1004/240)</f>
        <v>27</v>
      </c>
      <c r="N1004" s="17" t="s">
        <v>64</v>
      </c>
      <c r="O1004" s="11"/>
      <c r="P1004" s="28"/>
      <c r="Q1004" s="28" t="n">
        <f aca="false">P1004*$M1004</f>
        <v>0</v>
      </c>
      <c r="R1004" s="28"/>
      <c r="S1004" s="28" t="n">
        <f aca="false">R1004*$M1004</f>
        <v>0</v>
      </c>
      <c r="T1004" s="28"/>
      <c r="U1004" s="28" t="n">
        <f aca="false">T1004*$M1004</f>
        <v>0</v>
      </c>
      <c r="V1004" s="28"/>
      <c r="W1004" s="28" t="n">
        <f aca="false">V1004*$M1004</f>
        <v>0</v>
      </c>
      <c r="X1004" s="28" t="n">
        <f aca="false">13334/100</f>
        <v>133.34</v>
      </c>
      <c r="Y1004" s="28" t="n">
        <v>3600</v>
      </c>
      <c r="Z1004" s="28"/>
      <c r="AA1004" s="28" t="n">
        <f aca="false">Z1004*$M1004</f>
        <v>0</v>
      </c>
      <c r="AB1004" s="28"/>
      <c r="AC1004" s="28" t="n">
        <f aca="false">AB1004*$M1004</f>
        <v>0</v>
      </c>
      <c r="AD1004" s="28"/>
      <c r="AE1004" s="28" t="n">
        <f aca="false">AD1004*$M1004</f>
        <v>0</v>
      </c>
      <c r="AF1004" s="28"/>
      <c r="AG1004" s="28" t="n">
        <f aca="false">AF1004*$M1004</f>
        <v>0</v>
      </c>
      <c r="AH1004" s="28"/>
      <c r="AI1004" s="28" t="n">
        <f aca="false">AH1004*$M1004</f>
        <v>0</v>
      </c>
      <c r="AJ1004" s="28"/>
      <c r="AK1004" s="28" t="n">
        <f aca="false">AJ1004*$M1004</f>
        <v>0</v>
      </c>
      <c r="AL1004" s="28"/>
      <c r="AM1004" s="28" t="n">
        <f aca="false">AL1004*$M1004</f>
        <v>0</v>
      </c>
      <c r="AN1004" s="28"/>
      <c r="AO1004" s="28" t="n">
        <f aca="false">AN1004*$M1004</f>
        <v>0</v>
      </c>
      <c r="AP1004" s="28"/>
      <c r="AQ1004" s="28" t="n">
        <f aca="false">AP1004*$M1004</f>
        <v>0</v>
      </c>
      <c r="AR1004" s="28"/>
      <c r="AS1004" s="28" t="n">
        <f aca="false">AR1004*$M1004</f>
        <v>0</v>
      </c>
      <c r="AT1004" s="28"/>
      <c r="AU1004" s="28" t="n">
        <f aca="false">AT1004*$M1004</f>
        <v>0</v>
      </c>
      <c r="AV1004" s="28"/>
      <c r="AW1004" s="28" t="n">
        <f aca="false">AV1004*$M1004</f>
        <v>0</v>
      </c>
      <c r="AX1004" s="28"/>
      <c r="AY1004" s="28" t="n">
        <f aca="false">AX1004*$M1004</f>
        <v>0</v>
      </c>
      <c r="AZ1004" s="30" t="n">
        <f aca="false">13334/100</f>
        <v>133.34</v>
      </c>
      <c r="BA1004" s="11" t="n">
        <v>3600</v>
      </c>
      <c r="BB1004" s="31" t="n">
        <f aca="false">SUM(Q1004,S1004,U1004,W1004,Y1004,AA1004,AC1004,AE1004,AG1004,AI1004,AK1004,AM1004,AO1004,AQ1004,AS1004,AU1004,AW1004,AY1004)</f>
        <v>3600</v>
      </c>
      <c r="BC1004" s="28" t="n">
        <f aca="false">BA1004-BB1004</f>
        <v>0</v>
      </c>
      <c r="BD1004" s="32" t="n">
        <f aca="false">SUM(P1004,R1004,T1004,V1004,X1004,Z1004,AB1004,AD1004,AF1004,AH1004,AJ1004,AL1004,AN1004,AP1004,AR1004,AT1004,AV1004,AX1004)</f>
        <v>133.34</v>
      </c>
      <c r="BE1004" s="33" t="n">
        <f aca="false">AZ1004-BD1004</f>
        <v>0</v>
      </c>
      <c r="BF1004" s="34" t="n">
        <f aca="false">BD1004*M1004</f>
        <v>3600.18</v>
      </c>
      <c r="BG1004" s="35" t="n">
        <f aca="false">BA1004-BF1004</f>
        <v>-0.180000000000291</v>
      </c>
      <c r="BH1004" s="19" t="str">
        <f aca="false">IF(BG1004=0,"",IF(BG1004&lt;&gt;BA1004,"erreur de calcul",IF(BD1004&lt;&gt;0,"pas de prix",IF(M1004&lt;&gt; 0,"pas de quantité","pas de prix, ni de quantité"))))</f>
        <v>erreur de calcul</v>
      </c>
      <c r="BI1004" s="19"/>
    </row>
    <row r="1005" customFormat="false" ht="15" hidden="false" customHeight="false" outlineLevel="0" collapsed="false">
      <c r="A1005" s="0" t="n">
        <v>13</v>
      </c>
      <c r="B1005" s="8" t="s">
        <v>24</v>
      </c>
      <c r="C1005" s="9" t="s">
        <v>25</v>
      </c>
      <c r="D1005" s="9" t="s">
        <v>26</v>
      </c>
      <c r="E1005" s="10" t="n">
        <v>1789</v>
      </c>
      <c r="F1005" s="9" t="s">
        <v>27</v>
      </c>
      <c r="G1005" s="9" t="s">
        <v>27</v>
      </c>
      <c r="H1005" s="11" t="n">
        <v>26</v>
      </c>
      <c r="I1005" s="11" t="s">
        <v>385</v>
      </c>
      <c r="J1005" s="14" t="n">
        <v>40</v>
      </c>
      <c r="K1005" s="14"/>
      <c r="L1005" s="16"/>
      <c r="M1005" s="27" t="n">
        <f aca="false">J1005+(K1005/20)+(L1005/240)</f>
        <v>40</v>
      </c>
      <c r="N1005" s="17" t="s">
        <v>64</v>
      </c>
      <c r="O1005" s="11"/>
      <c r="P1005" s="28"/>
      <c r="Q1005" s="28" t="n">
        <f aca="false">P1005*$M1005</f>
        <v>0</v>
      </c>
      <c r="R1005" s="28"/>
      <c r="S1005" s="28" t="n">
        <f aca="false">R1005*$M1005</f>
        <v>0</v>
      </c>
      <c r="T1005" s="28" t="n">
        <f aca="false">13801/100</f>
        <v>138.01</v>
      </c>
      <c r="U1005" s="28" t="n">
        <v>5520</v>
      </c>
      <c r="V1005" s="28"/>
      <c r="W1005" s="28" t="n">
        <f aca="false">V1005*$M1005</f>
        <v>0</v>
      </c>
      <c r="X1005" s="28"/>
      <c r="Y1005" s="28" t="n">
        <f aca="false">X1005*$M1005</f>
        <v>0</v>
      </c>
      <c r="Z1005" s="28"/>
      <c r="AA1005" s="28" t="n">
        <f aca="false">Z1005*$M1005</f>
        <v>0</v>
      </c>
      <c r="AB1005" s="28"/>
      <c r="AC1005" s="28" t="n">
        <f aca="false">AB1005*$M1005</f>
        <v>0</v>
      </c>
      <c r="AD1005" s="28"/>
      <c r="AE1005" s="28" t="n">
        <f aca="false">AD1005*$M1005</f>
        <v>0</v>
      </c>
      <c r="AF1005" s="28"/>
      <c r="AG1005" s="28" t="n">
        <f aca="false">AF1005*$M1005</f>
        <v>0</v>
      </c>
      <c r="AH1005" s="28"/>
      <c r="AI1005" s="28" t="n">
        <f aca="false">AH1005*$M1005</f>
        <v>0</v>
      </c>
      <c r="AJ1005" s="28"/>
      <c r="AK1005" s="28" t="n">
        <f aca="false">AJ1005*$M1005</f>
        <v>0</v>
      </c>
      <c r="AL1005" s="28"/>
      <c r="AM1005" s="28" t="n">
        <f aca="false">AL1005*$M1005</f>
        <v>0</v>
      </c>
      <c r="AN1005" s="28"/>
      <c r="AO1005" s="28" t="n">
        <f aca="false">AN1005*$M1005</f>
        <v>0</v>
      </c>
      <c r="AP1005" s="28"/>
      <c r="AQ1005" s="28" t="n">
        <f aca="false">AP1005*$M1005</f>
        <v>0</v>
      </c>
      <c r="AR1005" s="28"/>
      <c r="AS1005" s="28" t="n">
        <f aca="false">AR1005*$M1005</f>
        <v>0</v>
      </c>
      <c r="AT1005" s="28"/>
      <c r="AU1005" s="28" t="n">
        <f aca="false">AT1005*$M1005</f>
        <v>0</v>
      </c>
      <c r="AV1005" s="28"/>
      <c r="AW1005" s="28" t="n">
        <f aca="false">AV1005*$M1005</f>
        <v>0</v>
      </c>
      <c r="AX1005" s="28"/>
      <c r="AY1005" s="28" t="n">
        <f aca="false">AX1005*$M1005</f>
        <v>0</v>
      </c>
      <c r="AZ1005" s="30" t="n">
        <f aca="false">13801/100</f>
        <v>138.01</v>
      </c>
      <c r="BA1005" s="11" t="n">
        <v>5520</v>
      </c>
      <c r="BB1005" s="31" t="n">
        <f aca="false">SUM(Q1005,S1005,U1005,W1005,Y1005,AA1005,AC1005,AE1005,AG1005,AI1005,AK1005,AM1005,AO1005,AQ1005,AS1005,AU1005,AW1005,AY1005)</f>
        <v>5520</v>
      </c>
      <c r="BC1005" s="28" t="n">
        <f aca="false">BA1005-BB1005</f>
        <v>0</v>
      </c>
      <c r="BD1005" s="32" t="n">
        <f aca="false">SUM(P1005,R1005,T1005,V1005,X1005,Z1005,AB1005,AD1005,AF1005,AH1005,AJ1005,AL1005,AN1005,AP1005,AR1005,AT1005,AV1005,AX1005)</f>
        <v>138.01</v>
      </c>
      <c r="BE1005" s="33" t="n">
        <f aca="false">AZ1005-BD1005</f>
        <v>0</v>
      </c>
      <c r="BF1005" s="34" t="n">
        <f aca="false">BD1005*M1005</f>
        <v>5520.4</v>
      </c>
      <c r="BG1005" s="35" t="n">
        <f aca="false">BA1005-BF1005</f>
        <v>-0.399999999999636</v>
      </c>
      <c r="BH1005" s="19" t="str">
        <f aca="false">IF(BG1005=0,"",IF(BG1005&lt;&gt;BA1005,"erreur de calcul",IF(BD1005&lt;&gt;0,"pas de prix",IF(M1005&lt;&gt; 0,"pas de quantité","pas de prix, ni de quantité"))))</f>
        <v>erreur de calcul</v>
      </c>
      <c r="BI1005" s="19"/>
    </row>
    <row r="1006" customFormat="false" ht="15" hidden="false" customHeight="false" outlineLevel="0" collapsed="false">
      <c r="A1006" s="0" t="n">
        <v>14</v>
      </c>
      <c r="B1006" s="8" t="s">
        <v>24</v>
      </c>
      <c r="C1006" s="9" t="s">
        <v>25</v>
      </c>
      <c r="D1006" s="9" t="s">
        <v>26</v>
      </c>
      <c r="E1006" s="10" t="n">
        <v>1789</v>
      </c>
      <c r="F1006" s="9" t="s">
        <v>27</v>
      </c>
      <c r="G1006" s="9" t="s">
        <v>27</v>
      </c>
      <c r="H1006" s="11" t="n">
        <v>26</v>
      </c>
      <c r="I1006" s="11" t="s">
        <v>386</v>
      </c>
      <c r="J1006" s="14" t="n">
        <v>10</v>
      </c>
      <c r="K1006" s="14"/>
      <c r="L1006" s="16"/>
      <c r="M1006" s="27" t="n">
        <f aca="false">J1006+(K1006/20)+(L1006/240)</f>
        <v>10</v>
      </c>
      <c r="N1006" s="17" t="s">
        <v>387</v>
      </c>
      <c r="O1006" s="11" t="s">
        <v>77</v>
      </c>
      <c r="P1006" s="28" t="n">
        <v>30740</v>
      </c>
      <c r="Q1006" s="28" t="n">
        <v>307400</v>
      </c>
      <c r="R1006" s="28"/>
      <c r="S1006" s="28" t="n">
        <f aca="false">R1006*$M1006</f>
        <v>0</v>
      </c>
      <c r="T1006" s="28" t="n">
        <v>1357</v>
      </c>
      <c r="U1006" s="28" t="n">
        <v>13570</v>
      </c>
      <c r="V1006" s="28" t="n">
        <v>115</v>
      </c>
      <c r="W1006" s="28" t="n">
        <v>1150</v>
      </c>
      <c r="X1006" s="28"/>
      <c r="Y1006" s="28" t="n">
        <f aca="false">X1006*$M1006</f>
        <v>0</v>
      </c>
      <c r="Z1006" s="28"/>
      <c r="AA1006" s="28" t="n">
        <f aca="false">Z1006*$M1006</f>
        <v>0</v>
      </c>
      <c r="AB1006" s="28"/>
      <c r="AC1006" s="28" t="n">
        <f aca="false">AB1006*$M1006</f>
        <v>0</v>
      </c>
      <c r="AD1006" s="28"/>
      <c r="AE1006" s="28" t="n">
        <f aca="false">AD1006*$M1006</f>
        <v>0</v>
      </c>
      <c r="AF1006" s="28"/>
      <c r="AG1006" s="28" t="n">
        <f aca="false">AF1006*$M1006</f>
        <v>0</v>
      </c>
      <c r="AH1006" s="28"/>
      <c r="AI1006" s="28" t="n">
        <f aca="false">AH1006*$M1006</f>
        <v>0</v>
      </c>
      <c r="AJ1006" s="28"/>
      <c r="AK1006" s="28" t="n">
        <f aca="false">AJ1006*$M1006</f>
        <v>0</v>
      </c>
      <c r="AL1006" s="28"/>
      <c r="AM1006" s="28" t="n">
        <f aca="false">AL1006*$M1006</f>
        <v>0</v>
      </c>
      <c r="AN1006" s="28"/>
      <c r="AO1006" s="28" t="n">
        <f aca="false">AN1006*$M1006</f>
        <v>0</v>
      </c>
      <c r="AP1006" s="28"/>
      <c r="AQ1006" s="28" t="n">
        <f aca="false">AP1006*$M1006</f>
        <v>0</v>
      </c>
      <c r="AR1006" s="28"/>
      <c r="AS1006" s="28" t="n">
        <f aca="false">AR1006*$M1006</f>
        <v>0</v>
      </c>
      <c r="AT1006" s="28"/>
      <c r="AU1006" s="28" t="n">
        <f aca="false">AT1006*$M1006</f>
        <v>0</v>
      </c>
      <c r="AV1006" s="28"/>
      <c r="AW1006" s="28" t="n">
        <f aca="false">AV1006*$M1006</f>
        <v>0</v>
      </c>
      <c r="AX1006" s="28"/>
      <c r="AY1006" s="28" t="n">
        <f aca="false">AX1006*$M1006</f>
        <v>0</v>
      </c>
      <c r="AZ1006" s="30" t="n">
        <f aca="false">32212/100</f>
        <v>322.12</v>
      </c>
      <c r="BA1006" s="11" t="n">
        <v>322120</v>
      </c>
      <c r="BB1006" s="31" t="n">
        <f aca="false">SUM(Q1006,S1006,U1006,W1006,Y1006,AA1006,AC1006,AE1006,AG1006,AI1006,AK1006,AM1006,AO1006,AQ1006,AS1006,AU1006,AW1006,AY1006)</f>
        <v>322120</v>
      </c>
      <c r="BC1006" s="28" t="n">
        <f aca="false">BA1006-BB1006</f>
        <v>0</v>
      </c>
      <c r="BD1006" s="32" t="n">
        <f aca="false">SUM(P1006,R1006,T1006,V1006,X1006,Z1006,AB1006,AD1006,AF1006,AH1006,AJ1006,AL1006,AN1006,AP1006,AR1006,AT1006,AV1006,AX1006)</f>
        <v>32212</v>
      </c>
      <c r="BE1006" s="33" t="n">
        <f aca="false">AZ1006-BD1006</f>
        <v>-31889.88</v>
      </c>
      <c r="BF1006" s="34" t="n">
        <f aca="false">BD1006*M1006</f>
        <v>322120</v>
      </c>
      <c r="BG1006" s="35" t="n">
        <f aca="false">BA1006-BF1006</f>
        <v>0</v>
      </c>
      <c r="BH1006" s="19" t="str">
        <f aca="false">IF(BG1006=0,"",IF(BG1006&lt;&gt;BA1006,"erreur de calcul",IF(BD1006&lt;&gt;0,"pas de prix",IF(M1006&lt;&gt; 0,"pas de quantité","pas de prix, ni de quantité"))))</f>
        <v/>
      </c>
      <c r="BI1006" s="19"/>
    </row>
    <row r="1007" customFormat="false" ht="15" hidden="false" customHeight="false" outlineLevel="0" collapsed="false">
      <c r="A1007" s="0" t="n">
        <v>15</v>
      </c>
      <c r="B1007" s="8" t="s">
        <v>24</v>
      </c>
      <c r="C1007" s="9" t="s">
        <v>25</v>
      </c>
      <c r="D1007" s="9" t="s">
        <v>26</v>
      </c>
      <c r="E1007" s="10" t="n">
        <v>1789</v>
      </c>
      <c r="F1007" s="9" t="s">
        <v>27</v>
      </c>
      <c r="G1007" s="9" t="s">
        <v>27</v>
      </c>
      <c r="H1007" s="11" t="n">
        <v>26</v>
      </c>
      <c r="I1007" s="11" t="s">
        <v>385</v>
      </c>
      <c r="J1007" s="14" t="n">
        <v>60</v>
      </c>
      <c r="K1007" s="14"/>
      <c r="L1007" s="16"/>
      <c r="M1007" s="27" t="n">
        <f aca="false">J1007+(K1007/20)+(L1007/240)</f>
        <v>60</v>
      </c>
      <c r="N1007" s="17" t="s">
        <v>64</v>
      </c>
      <c r="O1007" s="11"/>
      <c r="P1007" s="28"/>
      <c r="Q1007" s="28" t="n">
        <f aca="false">P1007*$M1007</f>
        <v>0</v>
      </c>
      <c r="R1007" s="28"/>
      <c r="S1007" s="28" t="n">
        <f aca="false">R1007*$M1007</f>
        <v>0</v>
      </c>
      <c r="T1007" s="28" t="n">
        <f aca="false">204759/100</f>
        <v>2047.59</v>
      </c>
      <c r="U1007" s="28" t="n">
        <v>122855</v>
      </c>
      <c r="V1007" s="28"/>
      <c r="W1007" s="28" t="n">
        <f aca="false">V1007*$M1007</f>
        <v>0</v>
      </c>
      <c r="X1007" s="28"/>
      <c r="Y1007" s="28" t="n">
        <f aca="false">X1007*$M1007</f>
        <v>0</v>
      </c>
      <c r="Z1007" s="28"/>
      <c r="AA1007" s="28" t="n">
        <f aca="false">Z1007*$M1007</f>
        <v>0</v>
      </c>
      <c r="AB1007" s="28"/>
      <c r="AC1007" s="28" t="n">
        <f aca="false">AB1007*$M1007</f>
        <v>0</v>
      </c>
      <c r="AD1007" s="28"/>
      <c r="AE1007" s="28" t="n">
        <f aca="false">AD1007*$M1007</f>
        <v>0</v>
      </c>
      <c r="AF1007" s="28"/>
      <c r="AG1007" s="28" t="n">
        <f aca="false">AF1007*$M1007</f>
        <v>0</v>
      </c>
      <c r="AH1007" s="28"/>
      <c r="AI1007" s="28" t="n">
        <f aca="false">AH1007*$M1007</f>
        <v>0</v>
      </c>
      <c r="AJ1007" s="28"/>
      <c r="AK1007" s="28" t="n">
        <f aca="false">AJ1007*$M1007</f>
        <v>0</v>
      </c>
      <c r="AL1007" s="28"/>
      <c r="AM1007" s="28" t="n">
        <f aca="false">AL1007*$M1007</f>
        <v>0</v>
      </c>
      <c r="AN1007" s="28"/>
      <c r="AO1007" s="28" t="n">
        <f aca="false">AN1007*$M1007</f>
        <v>0</v>
      </c>
      <c r="AP1007" s="28"/>
      <c r="AQ1007" s="28" t="n">
        <f aca="false">AP1007*$M1007</f>
        <v>0</v>
      </c>
      <c r="AR1007" s="28"/>
      <c r="AS1007" s="28" t="n">
        <f aca="false">AR1007*$M1007</f>
        <v>0</v>
      </c>
      <c r="AT1007" s="28"/>
      <c r="AU1007" s="28" t="n">
        <f aca="false">AT1007*$M1007</f>
        <v>0</v>
      </c>
      <c r="AV1007" s="28"/>
      <c r="AW1007" s="28" t="n">
        <f aca="false">AV1007*$M1007</f>
        <v>0</v>
      </c>
      <c r="AX1007" s="28"/>
      <c r="AY1007" s="28" t="n">
        <f aca="false">AX1007*$M1007</f>
        <v>0</v>
      </c>
      <c r="AZ1007" s="30" t="n">
        <f aca="false">204759/100</f>
        <v>2047.59</v>
      </c>
      <c r="BA1007" s="11" t="n">
        <v>122855</v>
      </c>
      <c r="BB1007" s="31" t="n">
        <f aca="false">SUM(Q1007,S1007,U1007,W1007,Y1007,AA1007,AC1007,AE1007,AG1007,AI1007,AK1007,AM1007,AO1007,AQ1007,AS1007,AU1007,AW1007,AY1007)</f>
        <v>122855</v>
      </c>
      <c r="BC1007" s="28" t="n">
        <f aca="false">BA1007-BB1007</f>
        <v>0</v>
      </c>
      <c r="BD1007" s="32" t="n">
        <f aca="false">SUM(P1007,R1007,T1007,V1007,X1007,Z1007,AB1007,AD1007,AF1007,AH1007,AJ1007,AL1007,AN1007,AP1007,AR1007,AT1007,AV1007,AX1007)</f>
        <v>2047.59</v>
      </c>
      <c r="BE1007" s="33" t="n">
        <f aca="false">AZ1007-BD1007</f>
        <v>0</v>
      </c>
      <c r="BF1007" s="34" t="n">
        <f aca="false">BD1007*M1007</f>
        <v>122855.4</v>
      </c>
      <c r="BG1007" s="35" t="n">
        <f aca="false">BA1007-BF1007</f>
        <v>-0.399999999994179</v>
      </c>
      <c r="BH1007" s="19" t="str">
        <f aca="false">IF(BG1007=0,"",IF(BG1007&lt;&gt;BA1007,"erreur de calcul",IF(BD1007&lt;&gt;0,"pas de prix",IF(M1007&lt;&gt; 0,"pas de quantité","pas de prix, ni de quantité"))))</f>
        <v>erreur de calcul</v>
      </c>
      <c r="BI1007" s="19"/>
    </row>
    <row r="1008" customFormat="false" ht="15" hidden="false" customHeight="false" outlineLevel="0" collapsed="false">
      <c r="A1008" s="0" t="n">
        <v>16</v>
      </c>
      <c r="B1008" s="8" t="s">
        <v>24</v>
      </c>
      <c r="C1008" s="9" t="s">
        <v>25</v>
      </c>
      <c r="D1008" s="9" t="s">
        <v>26</v>
      </c>
      <c r="E1008" s="10" t="n">
        <v>1789</v>
      </c>
      <c r="F1008" s="9" t="s">
        <v>27</v>
      </c>
      <c r="G1008" s="9" t="s">
        <v>27</v>
      </c>
      <c r="H1008" s="11" t="n">
        <v>26</v>
      </c>
      <c r="I1008" s="11" t="s">
        <v>388</v>
      </c>
      <c r="J1008" s="14" t="n">
        <v>4</v>
      </c>
      <c r="K1008" s="14" t="n">
        <v>10</v>
      </c>
      <c r="L1008" s="16"/>
      <c r="M1008" s="27" t="n">
        <f aca="false">J1008+(K1008/20)+(L1008/240)</f>
        <v>4.5</v>
      </c>
      <c r="N1008" s="17" t="s">
        <v>66</v>
      </c>
      <c r="O1008" s="11"/>
      <c r="P1008" s="28" t="n">
        <v>20973</v>
      </c>
      <c r="Q1008" s="28" t="n">
        <v>94378</v>
      </c>
      <c r="R1008" s="28"/>
      <c r="S1008" s="28" t="n">
        <f aca="false">R1008*$M1008</f>
        <v>0</v>
      </c>
      <c r="T1008" s="28"/>
      <c r="U1008" s="28" t="n">
        <f aca="false">T1008*$M1008</f>
        <v>0</v>
      </c>
      <c r="V1008" s="28"/>
      <c r="W1008" s="28" t="n">
        <f aca="false">V1008*$M1008</f>
        <v>0</v>
      </c>
      <c r="X1008" s="28"/>
      <c r="Y1008" s="28" t="n">
        <f aca="false">X1008*$M1008</f>
        <v>0</v>
      </c>
      <c r="Z1008" s="28"/>
      <c r="AA1008" s="28" t="n">
        <f aca="false">Z1008*$M1008</f>
        <v>0</v>
      </c>
      <c r="AB1008" s="28"/>
      <c r="AC1008" s="28" t="n">
        <f aca="false">AB1008*$M1008</f>
        <v>0</v>
      </c>
      <c r="AD1008" s="28"/>
      <c r="AE1008" s="28" t="n">
        <f aca="false">AD1008*$M1008</f>
        <v>0</v>
      </c>
      <c r="AF1008" s="28"/>
      <c r="AG1008" s="28" t="n">
        <f aca="false">AF1008*$M1008</f>
        <v>0</v>
      </c>
      <c r="AH1008" s="28"/>
      <c r="AI1008" s="28" t="n">
        <f aca="false">AH1008*$M1008</f>
        <v>0</v>
      </c>
      <c r="AJ1008" s="28"/>
      <c r="AK1008" s="28" t="n">
        <f aca="false">AJ1008*$M1008</f>
        <v>0</v>
      </c>
      <c r="AL1008" s="28"/>
      <c r="AM1008" s="28" t="n">
        <f aca="false">AL1008*$M1008</f>
        <v>0</v>
      </c>
      <c r="AN1008" s="28"/>
      <c r="AO1008" s="28" t="n">
        <f aca="false">AN1008*$M1008</f>
        <v>0</v>
      </c>
      <c r="AP1008" s="28"/>
      <c r="AQ1008" s="28" t="n">
        <f aca="false">AP1008*$M1008</f>
        <v>0</v>
      </c>
      <c r="AR1008" s="28"/>
      <c r="AS1008" s="28" t="n">
        <f aca="false">AR1008*$M1008</f>
        <v>0</v>
      </c>
      <c r="AT1008" s="28"/>
      <c r="AU1008" s="28" t="n">
        <f aca="false">AT1008*$M1008</f>
        <v>0</v>
      </c>
      <c r="AV1008" s="28"/>
      <c r="AW1008" s="28" t="n">
        <f aca="false">AV1008*$M1008</f>
        <v>0</v>
      </c>
      <c r="AX1008" s="28"/>
      <c r="AY1008" s="28" t="n">
        <f aca="false">AX1008*$M1008</f>
        <v>0</v>
      </c>
      <c r="AZ1008" s="30" t="n">
        <v>20973</v>
      </c>
      <c r="BA1008" s="11" t="n">
        <v>94378</v>
      </c>
      <c r="BB1008" s="31" t="n">
        <f aca="false">SUM(Q1008,S1008,U1008,W1008,Y1008,AA1008,AC1008,AE1008,AG1008,AI1008,AK1008,AM1008,AO1008,AQ1008,AS1008,AU1008,AW1008,AY1008)</f>
        <v>94378</v>
      </c>
      <c r="BC1008" s="28" t="n">
        <f aca="false">BA1008-BB1008</f>
        <v>0</v>
      </c>
      <c r="BD1008" s="32" t="n">
        <f aca="false">SUM(P1008,R1008,T1008,V1008,X1008,Z1008,AB1008,AD1008,AF1008,AH1008,AJ1008,AL1008,AN1008,AP1008,AR1008,AT1008,AV1008,AX1008)</f>
        <v>20973</v>
      </c>
      <c r="BE1008" s="33" t="n">
        <f aca="false">AZ1008-BD1008</f>
        <v>0</v>
      </c>
      <c r="BF1008" s="34" t="n">
        <f aca="false">BD1008*M1008</f>
        <v>94378.5</v>
      </c>
      <c r="BG1008" s="35" t="n">
        <f aca="false">BA1008-BF1008</f>
        <v>-0.5</v>
      </c>
      <c r="BH1008" s="19" t="str">
        <f aca="false">IF(BG1008=0,"",IF(BG1008&lt;&gt;BA1008,"erreur de calcul",IF(BD1008&lt;&gt;0,"pas de prix",IF(M1008&lt;&gt; 0,"pas de quantité","pas de prix, ni de quantité"))))</f>
        <v>erreur de calcul</v>
      </c>
      <c r="BI1008" s="19"/>
    </row>
    <row r="1009" customFormat="false" ht="15" hidden="false" customHeight="false" outlineLevel="0" collapsed="false">
      <c r="A1009" s="0" t="n">
        <v>17</v>
      </c>
      <c r="B1009" s="8" t="s">
        <v>24</v>
      </c>
      <c r="C1009" s="9" t="s">
        <v>25</v>
      </c>
      <c r="D1009" s="9" t="s">
        <v>26</v>
      </c>
      <c r="E1009" s="10" t="n">
        <v>1789</v>
      </c>
      <c r="F1009" s="9" t="s">
        <v>27</v>
      </c>
      <c r="G1009" s="9" t="s">
        <v>27</v>
      </c>
      <c r="H1009" s="11" t="n">
        <v>26</v>
      </c>
      <c r="I1009" s="11" t="s">
        <v>389</v>
      </c>
      <c r="J1009" s="14"/>
      <c r="K1009" s="14"/>
      <c r="L1009" s="16"/>
      <c r="M1009" s="27" t="n">
        <f aca="false">J1009+(K1009/20)+(L1009/240)</f>
        <v>0</v>
      </c>
      <c r="N1009" s="17"/>
      <c r="O1009" s="11" t="s">
        <v>277</v>
      </c>
      <c r="P1009" s="28"/>
      <c r="Q1009" s="28" t="n">
        <f aca="false">P1009*$M1009</f>
        <v>0</v>
      </c>
      <c r="R1009" s="28"/>
      <c r="S1009" s="28" t="n">
        <f aca="false">R1009*$M1009</f>
        <v>0</v>
      </c>
      <c r="T1009" s="28"/>
      <c r="U1009" s="28" t="n">
        <v>189</v>
      </c>
      <c r="V1009" s="28"/>
      <c r="W1009" s="28" t="n">
        <v>540</v>
      </c>
      <c r="X1009" s="28"/>
      <c r="Y1009" s="28" t="n">
        <f aca="false">X1009*$M1009</f>
        <v>0</v>
      </c>
      <c r="Z1009" s="28"/>
      <c r="AA1009" s="28" t="n">
        <f aca="false">Z1009*$M1009</f>
        <v>0</v>
      </c>
      <c r="AB1009" s="28"/>
      <c r="AC1009" s="28" t="n">
        <f aca="false">AB1009*$M1009</f>
        <v>0</v>
      </c>
      <c r="AD1009" s="28"/>
      <c r="AE1009" s="28" t="n">
        <f aca="false">AD1009*$M1009</f>
        <v>0</v>
      </c>
      <c r="AF1009" s="28"/>
      <c r="AG1009" s="28" t="n">
        <f aca="false">AF1009*$M1009</f>
        <v>0</v>
      </c>
      <c r="AH1009" s="28"/>
      <c r="AI1009" s="28" t="n">
        <f aca="false">AH1009*$M1009</f>
        <v>0</v>
      </c>
      <c r="AJ1009" s="28"/>
      <c r="AK1009" s="28" t="n">
        <v>317</v>
      </c>
      <c r="AL1009" s="28"/>
      <c r="AM1009" s="28" t="n">
        <f aca="false">AL1009*$M1009</f>
        <v>0</v>
      </c>
      <c r="AN1009" s="28"/>
      <c r="AO1009" s="28" t="n">
        <f aca="false">AN1009*$M1009</f>
        <v>0</v>
      </c>
      <c r="AP1009" s="28"/>
      <c r="AQ1009" s="28" t="n">
        <f aca="false">AP1009*$M1009</f>
        <v>0</v>
      </c>
      <c r="AR1009" s="28"/>
      <c r="AS1009" s="28" t="n">
        <f aca="false">AR1009*$M1009</f>
        <v>0</v>
      </c>
      <c r="AT1009" s="28"/>
      <c r="AU1009" s="28" t="n">
        <f aca="false">AT1009*$M1009</f>
        <v>0</v>
      </c>
      <c r="AV1009" s="28"/>
      <c r="AW1009" s="28" t="n">
        <f aca="false">AV1009*$M1009</f>
        <v>0</v>
      </c>
      <c r="AX1009" s="28"/>
      <c r="AY1009" s="28" t="n">
        <f aca="false">AX1009*$M1009</f>
        <v>0</v>
      </c>
      <c r="AZ1009" s="30"/>
      <c r="BA1009" s="11" t="n">
        <v>1046</v>
      </c>
      <c r="BB1009" s="31" t="n">
        <f aca="false">SUM(Q1009,S1009,U1009,W1009,Y1009,AA1009,AC1009,AE1009,AG1009,AI1009,AK1009,AM1009,AO1009,AQ1009,AS1009,AU1009,AW1009,AY1009)</f>
        <v>1046</v>
      </c>
      <c r="BC1009" s="28" t="n">
        <f aca="false">BA1009-BB1009</f>
        <v>0</v>
      </c>
      <c r="BD1009" s="32" t="n">
        <f aca="false">SUM(P1009,R1009,T1009,V1009,X1009,Z1009,AB1009,AD1009,AF1009,AH1009,AJ1009,AL1009,AN1009,AP1009,AR1009,AT1009,AV1009,AX1009)</f>
        <v>0</v>
      </c>
      <c r="BE1009" s="33" t="n">
        <f aca="false">AZ1009-BD1009</f>
        <v>0</v>
      </c>
      <c r="BF1009" s="34" t="n">
        <f aca="false">BD1009*M1009</f>
        <v>0</v>
      </c>
      <c r="BG1009" s="35" t="n">
        <f aca="false">BA1009-BF1009</f>
        <v>1046</v>
      </c>
      <c r="BH1009" s="19" t="str">
        <f aca="false">IF(BG1009=0,"",IF(BG1009&lt;&gt;BA1009,"erreur de calcul",IF(BD1009&lt;&gt;0,"pas de prix",IF(M1009&lt;&gt; 0,"pas de quantité","pas de prix, ni de quantité"))))</f>
        <v>pas de prix, ni de quantité</v>
      </c>
      <c r="BI1009" s="19"/>
    </row>
    <row r="1010" customFormat="false" ht="15" hidden="false" customHeight="false" outlineLevel="0" collapsed="false">
      <c r="A1010" s="0" t="n">
        <v>18</v>
      </c>
      <c r="B1010" s="8" t="s">
        <v>24</v>
      </c>
      <c r="C1010" s="9" t="s">
        <v>25</v>
      </c>
      <c r="D1010" s="9" t="s">
        <v>26</v>
      </c>
      <c r="E1010" s="10" t="n">
        <v>1789</v>
      </c>
      <c r="F1010" s="9" t="s">
        <v>27</v>
      </c>
      <c r="G1010" s="9" t="s">
        <v>27</v>
      </c>
      <c r="H1010" s="11" t="n">
        <v>26</v>
      </c>
      <c r="I1010" s="11" t="s">
        <v>389</v>
      </c>
      <c r="J1010" s="14" t="n">
        <v>90</v>
      </c>
      <c r="K1010" s="14"/>
      <c r="L1010" s="16"/>
      <c r="M1010" s="27" t="n">
        <f aca="false">J1010+(K1010/20)+(L1010/240)</f>
        <v>90</v>
      </c>
      <c r="N1010" s="17" t="s">
        <v>64</v>
      </c>
      <c r="O1010" s="11"/>
      <c r="P1010" s="28"/>
      <c r="Q1010" s="28" t="n">
        <f aca="false">P1010*$M1010</f>
        <v>0</v>
      </c>
      <c r="R1010" s="28"/>
      <c r="S1010" s="28" t="n">
        <f aca="false">R1010*$M1010</f>
        <v>0</v>
      </c>
      <c r="T1010" s="28"/>
      <c r="U1010" s="28" t="n">
        <f aca="false">T1010*$M1010</f>
        <v>0</v>
      </c>
      <c r="V1010" s="28" t="n">
        <f aca="false">6341/100</f>
        <v>63.41</v>
      </c>
      <c r="W1010" s="28" t="n">
        <v>5707</v>
      </c>
      <c r="X1010" s="28" t="n">
        <f aca="false">10903/100</f>
        <v>109.03</v>
      </c>
      <c r="Y1010" s="28" t="n">
        <v>9813</v>
      </c>
      <c r="Z1010" s="28"/>
      <c r="AA1010" s="28" t="n">
        <f aca="false">Z1010*$M1010</f>
        <v>0</v>
      </c>
      <c r="AB1010" s="28"/>
      <c r="AC1010" s="28" t="n">
        <f aca="false">AB1010*$M1010</f>
        <v>0</v>
      </c>
      <c r="AD1010" s="28"/>
      <c r="AE1010" s="28" t="n">
        <f aca="false">AD1010*$M1010</f>
        <v>0</v>
      </c>
      <c r="AF1010" s="28"/>
      <c r="AG1010" s="28" t="n">
        <f aca="false">AF1010*$M1010</f>
        <v>0</v>
      </c>
      <c r="AH1010" s="28"/>
      <c r="AI1010" s="28" t="n">
        <f aca="false">AH1010*$M1010</f>
        <v>0</v>
      </c>
      <c r="AJ1010" s="28" t="n">
        <f aca="false">127232/100</f>
        <v>1272.32</v>
      </c>
      <c r="AK1010" s="28" t="n">
        <v>114509</v>
      </c>
      <c r="AL1010" s="28" t="n">
        <f aca="false">1835/100</f>
        <v>18.35</v>
      </c>
      <c r="AM1010" s="28" t="n">
        <v>1651</v>
      </c>
      <c r="AN1010" s="28"/>
      <c r="AO1010" s="28" t="n">
        <f aca="false">AN1010*$M1010</f>
        <v>0</v>
      </c>
      <c r="AP1010" s="28"/>
      <c r="AQ1010" s="28" t="n">
        <f aca="false">AP1010*$M1010</f>
        <v>0</v>
      </c>
      <c r="AR1010" s="28"/>
      <c r="AS1010" s="28" t="n">
        <f aca="false">AR1010*$M1010</f>
        <v>0</v>
      </c>
      <c r="AT1010" s="28"/>
      <c r="AU1010" s="28" t="n">
        <f aca="false">AT1010*$M1010</f>
        <v>0</v>
      </c>
      <c r="AV1010" s="28"/>
      <c r="AW1010" s="28" t="n">
        <f aca="false">AV1010*$M1010</f>
        <v>0</v>
      </c>
      <c r="AX1010" s="28"/>
      <c r="AY1010" s="28" t="n">
        <f aca="false">AX1010*$M1010</f>
        <v>0</v>
      </c>
      <c r="AZ1010" s="30" t="n">
        <f aca="false">146311/100</f>
        <v>1463.11</v>
      </c>
      <c r="BA1010" s="11" t="n">
        <v>131680</v>
      </c>
      <c r="BB1010" s="31" t="n">
        <f aca="false">SUM(Q1010,S1010,U1010,W1010,Y1010,AA1010,AC1010,AE1010,AG1010,AI1010,AK1010,AM1010,AO1010,AQ1010,AS1010,AU1010,AW1010,AY1010)</f>
        <v>131680</v>
      </c>
      <c r="BC1010" s="28" t="n">
        <f aca="false">BA1010-BB1010</f>
        <v>0</v>
      </c>
      <c r="BD1010" s="32" t="n">
        <f aca="false">SUM(P1010,R1010,T1010,V1010,X1010,Z1010,AB1010,AD1010,AF1010,AH1010,AJ1010,AL1010,AN1010,AP1010,AR1010,AT1010,AV1010,AX1010)</f>
        <v>1463.11</v>
      </c>
      <c r="BE1010" s="33" t="n">
        <f aca="false">AZ1010-BD1010</f>
        <v>0</v>
      </c>
      <c r="BF1010" s="34" t="n">
        <f aca="false">BD1010*M1010</f>
        <v>131679.9</v>
      </c>
      <c r="BG1010" s="35" t="n">
        <f aca="false">BA1010-BF1010</f>
        <v>0.100000000005821</v>
      </c>
      <c r="BH1010" s="19" t="str">
        <f aca="false">IF(BG1010=0,"",IF(BG1010&lt;&gt;BA1010,"erreur de calcul",IF(BD1010&lt;&gt;0,"pas de prix",IF(M1010&lt;&gt; 0,"pas de quantité","pas de prix, ni de quantité"))))</f>
        <v>erreur de calcul</v>
      </c>
      <c r="BI1010" s="19"/>
    </row>
    <row r="1011" customFormat="false" ht="15" hidden="false" customHeight="false" outlineLevel="0" collapsed="false">
      <c r="A1011" s="0" t="n">
        <v>19</v>
      </c>
      <c r="B1011" s="8" t="s">
        <v>24</v>
      </c>
      <c r="C1011" s="9" t="s">
        <v>25</v>
      </c>
      <c r="D1011" s="9" t="s">
        <v>26</v>
      </c>
      <c r="E1011" s="10" t="n">
        <v>1789</v>
      </c>
      <c r="F1011" s="9" t="s">
        <v>27</v>
      </c>
      <c r="G1011" s="9" t="s">
        <v>27</v>
      </c>
      <c r="H1011" s="11" t="n">
        <v>26</v>
      </c>
      <c r="I1011" s="11" t="s">
        <v>390</v>
      </c>
      <c r="J1011" s="14" t="n">
        <v>25</v>
      </c>
      <c r="K1011" s="14"/>
      <c r="L1011" s="16"/>
      <c r="M1011" s="27" t="n">
        <f aca="false">J1011+(K1011/20)+(L1011/240)</f>
        <v>25</v>
      </c>
      <c r="N1011" s="17" t="s">
        <v>64</v>
      </c>
      <c r="O1011" s="11" t="s">
        <v>277</v>
      </c>
      <c r="P1011" s="28"/>
      <c r="Q1011" s="28" t="n">
        <f aca="false">P1011*$M1011</f>
        <v>0</v>
      </c>
      <c r="R1011" s="28"/>
      <c r="S1011" s="28" t="n">
        <f aca="false">R1011*$M1011</f>
        <v>0</v>
      </c>
      <c r="T1011" s="28"/>
      <c r="U1011" s="28" t="n">
        <f aca="false">T1011*$M1011</f>
        <v>0</v>
      </c>
      <c r="V1011" s="28"/>
      <c r="W1011" s="28" t="n">
        <f aca="false">V1011*$M1011</f>
        <v>0</v>
      </c>
      <c r="X1011" s="28"/>
      <c r="Y1011" s="28" t="n">
        <f aca="false">X1011*$M1011</f>
        <v>0</v>
      </c>
      <c r="Z1011" s="28"/>
      <c r="AA1011" s="28" t="n">
        <f aca="false">Z1011*$M1011</f>
        <v>0</v>
      </c>
      <c r="AB1011" s="28"/>
      <c r="AC1011" s="28" t="n">
        <f aca="false">AB1011*$M1011</f>
        <v>0</v>
      </c>
      <c r="AD1011" s="28"/>
      <c r="AE1011" s="28" t="n">
        <f aca="false">AD1011*$M1011</f>
        <v>0</v>
      </c>
      <c r="AF1011" s="28"/>
      <c r="AG1011" s="28" t="n">
        <f aca="false">AF1011*$M1011</f>
        <v>0</v>
      </c>
      <c r="AH1011" s="28"/>
      <c r="AI1011" s="28" t="n">
        <f aca="false">AH1011*$M1011</f>
        <v>0</v>
      </c>
      <c r="AJ1011" s="28"/>
      <c r="AK1011" s="28" t="n">
        <f aca="false">AJ1011*$M1011</f>
        <v>0</v>
      </c>
      <c r="AL1011" s="28"/>
      <c r="AM1011" s="28" t="n">
        <f aca="false">AL1011*$M1011</f>
        <v>0</v>
      </c>
      <c r="AN1011" s="28"/>
      <c r="AO1011" s="28" t="n">
        <f aca="false">AN1011*$M1011</f>
        <v>0</v>
      </c>
      <c r="AP1011" s="28"/>
      <c r="AQ1011" s="28" t="n">
        <f aca="false">AP1011*$M1011</f>
        <v>0</v>
      </c>
      <c r="AR1011" s="28"/>
      <c r="AS1011" s="28" t="n">
        <f aca="false">AR1011*$M1011</f>
        <v>0</v>
      </c>
      <c r="AT1011" s="28"/>
      <c r="AU1011" s="28" t="n">
        <f aca="false">AT1011*$M1011</f>
        <v>0</v>
      </c>
      <c r="AV1011" s="28"/>
      <c r="AW1011" s="28" t="n">
        <f aca="false">AV1011*$M1011</f>
        <v>0</v>
      </c>
      <c r="AX1011" s="28"/>
      <c r="AY1011" s="28" t="n">
        <f aca="false">AX1011*$M1011</f>
        <v>0</v>
      </c>
      <c r="AZ1011" s="30"/>
      <c r="BA1011" s="11"/>
      <c r="BB1011" s="31" t="n">
        <f aca="false">SUM(Q1011,S1011,U1011,W1011,Y1011,AA1011,AC1011,AE1011,AG1011,AI1011,AK1011,AM1011,AO1011,AQ1011,AS1011,AU1011,AW1011,AY1011)</f>
        <v>0</v>
      </c>
      <c r="BC1011" s="28" t="n">
        <f aca="false">BA1011-BB1011</f>
        <v>0</v>
      </c>
      <c r="BD1011" s="32" t="n">
        <f aca="false">SUM(P1011,R1011,T1011,V1011,X1011,Z1011,AB1011,AD1011,AF1011,AH1011,AJ1011,AL1011,AN1011,AP1011,AR1011,AT1011,AV1011,AX1011)</f>
        <v>0</v>
      </c>
      <c r="BE1011" s="33" t="n">
        <f aca="false">AZ1011-BD1011</f>
        <v>0</v>
      </c>
      <c r="BF1011" s="34" t="n">
        <f aca="false">BD1011*M1011</f>
        <v>0</v>
      </c>
      <c r="BG1011" s="35" t="n">
        <f aca="false">BA1011-BF1011</f>
        <v>0</v>
      </c>
      <c r="BH1011" s="19" t="str">
        <f aca="false">IF(BG1011=0,"",IF(BG1011&lt;&gt;BA1011,"erreur de calcul",IF(BD1011&lt;&gt;0,"pas de prix",IF(M1011&lt;&gt; 0,"pas de quantité","pas de prix, ni de quantité"))))</f>
        <v/>
      </c>
      <c r="BI1011" s="19"/>
    </row>
    <row r="1012" customFormat="false" ht="15" hidden="false" customHeight="false" outlineLevel="0" collapsed="false">
      <c r="A1012" s="0" t="n">
        <v>20</v>
      </c>
      <c r="B1012" s="8" t="s">
        <v>24</v>
      </c>
      <c r="C1012" s="9" t="s">
        <v>25</v>
      </c>
      <c r="D1012" s="9" t="s">
        <v>26</v>
      </c>
      <c r="E1012" s="10" t="n">
        <v>1789</v>
      </c>
      <c r="F1012" s="9" t="s">
        <v>27</v>
      </c>
      <c r="G1012" s="9" t="s">
        <v>27</v>
      </c>
      <c r="H1012" s="11" t="n">
        <v>26</v>
      </c>
      <c r="I1012" s="11" t="s">
        <v>391</v>
      </c>
      <c r="J1012" s="14" t="n">
        <v>35</v>
      </c>
      <c r="K1012" s="14"/>
      <c r="L1012" s="16"/>
      <c r="M1012" s="27" t="n">
        <f aca="false">J1012+(K1012/20)+(L1012/240)</f>
        <v>35</v>
      </c>
      <c r="N1012" s="17" t="s">
        <v>64</v>
      </c>
      <c r="O1012" s="11"/>
      <c r="P1012" s="28"/>
      <c r="Q1012" s="28" t="n">
        <f aca="false">P1012*$M1012</f>
        <v>0</v>
      </c>
      <c r="R1012" s="28"/>
      <c r="S1012" s="28" t="n">
        <f aca="false">R1012*$M1012</f>
        <v>0</v>
      </c>
      <c r="T1012" s="28"/>
      <c r="U1012" s="28" t="n">
        <f aca="false">T1012*$M1012</f>
        <v>0</v>
      </c>
      <c r="V1012" s="28"/>
      <c r="W1012" s="28" t="n">
        <f aca="false">V1012*$M1012</f>
        <v>0</v>
      </c>
      <c r="X1012" s="28"/>
      <c r="Y1012" s="28" t="n">
        <f aca="false">X1012*$M1012</f>
        <v>0</v>
      </c>
      <c r="Z1012" s="28"/>
      <c r="AA1012" s="28" t="n">
        <f aca="false">Z1012*$M1012</f>
        <v>0</v>
      </c>
      <c r="AB1012" s="28"/>
      <c r="AC1012" s="28" t="n">
        <f aca="false">AB1012*$M1012</f>
        <v>0</v>
      </c>
      <c r="AD1012" s="28"/>
      <c r="AE1012" s="28" t="n">
        <f aca="false">AD1012*$M1012</f>
        <v>0</v>
      </c>
      <c r="AF1012" s="28"/>
      <c r="AG1012" s="28" t="n">
        <f aca="false">AF1012*$M1012</f>
        <v>0</v>
      </c>
      <c r="AH1012" s="28"/>
      <c r="AI1012" s="28" t="n">
        <f aca="false">AH1012*$M1012</f>
        <v>0</v>
      </c>
      <c r="AJ1012" s="28" t="n">
        <f aca="false">3950/100</f>
        <v>39.5</v>
      </c>
      <c r="AK1012" s="28" t="n">
        <v>1382</v>
      </c>
      <c r="AL1012" s="28"/>
      <c r="AM1012" s="28" t="n">
        <f aca="false">AL1012*$M1012</f>
        <v>0</v>
      </c>
      <c r="AN1012" s="28"/>
      <c r="AO1012" s="28" t="n">
        <f aca="false">AN1012*$M1012</f>
        <v>0</v>
      </c>
      <c r="AP1012" s="28"/>
      <c r="AQ1012" s="28" t="n">
        <f aca="false">AP1012*$M1012</f>
        <v>0</v>
      </c>
      <c r="AR1012" s="28"/>
      <c r="AS1012" s="28" t="n">
        <f aca="false">AR1012*$M1012</f>
        <v>0</v>
      </c>
      <c r="AT1012" s="28"/>
      <c r="AU1012" s="28" t="n">
        <f aca="false">AT1012*$M1012</f>
        <v>0</v>
      </c>
      <c r="AV1012" s="28"/>
      <c r="AW1012" s="28" t="n">
        <f aca="false">AV1012*$M1012</f>
        <v>0</v>
      </c>
      <c r="AX1012" s="28"/>
      <c r="AY1012" s="28" t="n">
        <f aca="false">AX1012*$M1012</f>
        <v>0</v>
      </c>
      <c r="AZ1012" s="30" t="n">
        <f aca="false">3950/100</f>
        <v>39.5</v>
      </c>
      <c r="BA1012" s="11" t="n">
        <v>1382</v>
      </c>
      <c r="BB1012" s="31" t="n">
        <f aca="false">SUM(Q1012,S1012,U1012,W1012,Y1012,AA1012,AC1012,AE1012,AG1012,AI1012,AK1012,AM1012,AO1012,AQ1012,AS1012,AU1012,AW1012,AY1012)</f>
        <v>1382</v>
      </c>
      <c r="BC1012" s="28" t="n">
        <f aca="false">BA1012-BB1012</f>
        <v>0</v>
      </c>
      <c r="BD1012" s="32" t="n">
        <f aca="false">SUM(P1012,R1012,T1012,V1012,X1012,Z1012,AB1012,AD1012,AF1012,AH1012,AJ1012,AL1012,AN1012,AP1012,AR1012,AT1012,AV1012,AX1012)</f>
        <v>39.5</v>
      </c>
      <c r="BE1012" s="33" t="n">
        <f aca="false">AZ1012-BD1012</f>
        <v>0</v>
      </c>
      <c r="BF1012" s="34" t="n">
        <f aca="false">BD1012*M1012</f>
        <v>1382.5</v>
      </c>
      <c r="BG1012" s="35" t="n">
        <f aca="false">BA1012-BF1012</f>
        <v>-0.5</v>
      </c>
      <c r="BH1012" s="19" t="str">
        <f aca="false">IF(BG1012=0,"",IF(BG1012&lt;&gt;BA1012,"erreur de calcul",IF(BD1012&lt;&gt;0,"pas de prix",IF(M1012&lt;&gt; 0,"pas de quantité","pas de prix, ni de quantité"))))</f>
        <v>erreur de calcul</v>
      </c>
      <c r="BI1012" s="19"/>
    </row>
    <row r="1013" customFormat="false" ht="15" hidden="false" customHeight="false" outlineLevel="0" collapsed="false">
      <c r="A1013" s="0" t="n">
        <v>21</v>
      </c>
      <c r="B1013" s="8" t="s">
        <v>24</v>
      </c>
      <c r="C1013" s="9" t="s">
        <v>25</v>
      </c>
      <c r="D1013" s="9" t="s">
        <v>26</v>
      </c>
      <c r="E1013" s="10" t="n">
        <v>1789</v>
      </c>
      <c r="F1013" s="9" t="s">
        <v>27</v>
      </c>
      <c r="G1013" s="9" t="s">
        <v>27</v>
      </c>
      <c r="H1013" s="11" t="n">
        <v>26</v>
      </c>
      <c r="I1013" s="11" t="s">
        <v>392</v>
      </c>
      <c r="J1013" s="14" t="n">
        <v>60</v>
      </c>
      <c r="K1013" s="14"/>
      <c r="L1013" s="16"/>
      <c r="M1013" s="27" t="n">
        <f aca="false">J1013+(K1013/20)+(L1013/240)</f>
        <v>60</v>
      </c>
      <c r="N1013" s="17" t="s">
        <v>64</v>
      </c>
      <c r="O1013" s="11"/>
      <c r="P1013" s="28"/>
      <c r="Q1013" s="28" t="n">
        <f aca="false">P1013*$M1013</f>
        <v>0</v>
      </c>
      <c r="R1013" s="28"/>
      <c r="S1013" s="28" t="n">
        <f aca="false">R1013*$M1013</f>
        <v>0</v>
      </c>
      <c r="T1013" s="28"/>
      <c r="U1013" s="28" t="n">
        <f aca="false">T1013*$M1013</f>
        <v>0</v>
      </c>
      <c r="V1013" s="28"/>
      <c r="W1013" s="28" t="n">
        <f aca="false">V1013*$M1013</f>
        <v>0</v>
      </c>
      <c r="X1013" s="28" t="n">
        <f aca="false">12306/100</f>
        <v>123.06</v>
      </c>
      <c r="Y1013" s="28" t="n">
        <v>7384</v>
      </c>
      <c r="Z1013" s="28"/>
      <c r="AA1013" s="28" t="n">
        <f aca="false">Z1013*$M1013</f>
        <v>0</v>
      </c>
      <c r="AB1013" s="28"/>
      <c r="AC1013" s="28" t="n">
        <f aca="false">AB1013*$M1013</f>
        <v>0</v>
      </c>
      <c r="AD1013" s="28"/>
      <c r="AE1013" s="28" t="n">
        <f aca="false">AD1013*$M1013</f>
        <v>0</v>
      </c>
      <c r="AF1013" s="28"/>
      <c r="AG1013" s="28" t="n">
        <f aca="false">AF1013*$M1013</f>
        <v>0</v>
      </c>
      <c r="AH1013" s="28"/>
      <c r="AI1013" s="28" t="n">
        <f aca="false">AH1013*$M1013</f>
        <v>0</v>
      </c>
      <c r="AJ1013" s="28" t="n">
        <f aca="false">2557/100</f>
        <v>25.57</v>
      </c>
      <c r="AK1013" s="28" t="n">
        <v>1534</v>
      </c>
      <c r="AL1013" s="28"/>
      <c r="AM1013" s="28" t="n">
        <f aca="false">AL1013*$M1013</f>
        <v>0</v>
      </c>
      <c r="AN1013" s="28"/>
      <c r="AO1013" s="28" t="n">
        <f aca="false">AN1013*$M1013</f>
        <v>0</v>
      </c>
      <c r="AP1013" s="28"/>
      <c r="AQ1013" s="28" t="n">
        <f aca="false">AP1013*$M1013</f>
        <v>0</v>
      </c>
      <c r="AR1013" s="28" t="n">
        <f aca="false">7204/100</f>
        <v>72.04</v>
      </c>
      <c r="AS1013" s="28" t="n">
        <v>4322</v>
      </c>
      <c r="AT1013" s="28"/>
      <c r="AU1013" s="28" t="n">
        <f aca="false">AT1013*$M1013</f>
        <v>0</v>
      </c>
      <c r="AV1013" s="28"/>
      <c r="AW1013" s="28" t="n">
        <f aca="false">AV1013*$M1013</f>
        <v>0</v>
      </c>
      <c r="AX1013" s="28"/>
      <c r="AY1013" s="28" t="n">
        <f aca="false">AX1013*$M1013</f>
        <v>0</v>
      </c>
      <c r="AZ1013" s="30" t="n">
        <f aca="false">22067/100</f>
        <v>220.67</v>
      </c>
      <c r="BA1013" s="11" t="n">
        <v>13240</v>
      </c>
      <c r="BB1013" s="31" t="n">
        <f aca="false">SUM(Q1013,S1013,U1013,W1013,Y1013,AA1013,AC1013,AE1013,AG1013,AI1013,AK1013,AM1013,AO1013,AQ1013,AS1013,AU1013,AW1013,AY1013)</f>
        <v>13240</v>
      </c>
      <c r="BC1013" s="28" t="n">
        <f aca="false">BA1013-BB1013</f>
        <v>0</v>
      </c>
      <c r="BD1013" s="32" t="n">
        <f aca="false">SUM(P1013,R1013,T1013,V1013,X1013,Z1013,AB1013,AD1013,AF1013,AH1013,AJ1013,AL1013,AN1013,AP1013,AR1013,AT1013,AV1013,AX1013)</f>
        <v>220.67</v>
      </c>
      <c r="BE1013" s="33" t="n">
        <f aca="false">AZ1013-BD1013</f>
        <v>0</v>
      </c>
      <c r="BF1013" s="34" t="n">
        <f aca="false">BD1013*M1013</f>
        <v>13240.2</v>
      </c>
      <c r="BG1013" s="35" t="n">
        <f aca="false">BA1013-BF1013</f>
        <v>-0.200000000000728</v>
      </c>
      <c r="BH1013" s="19" t="str">
        <f aca="false">IF(BG1013=0,"",IF(BG1013&lt;&gt;BA1013,"erreur de calcul",IF(BD1013&lt;&gt;0,"pas de prix",IF(M1013&lt;&gt; 0,"pas de quantité","pas de prix, ni de quantité"))))</f>
        <v>erreur de calcul</v>
      </c>
      <c r="BI1013" s="19"/>
    </row>
    <row r="1014" customFormat="false" ht="15" hidden="false" customHeight="false" outlineLevel="0" collapsed="false">
      <c r="A1014" s="0" t="n">
        <v>22</v>
      </c>
      <c r="B1014" s="8" t="s">
        <v>24</v>
      </c>
      <c r="C1014" s="9" t="s">
        <v>25</v>
      </c>
      <c r="D1014" s="9" t="s">
        <v>26</v>
      </c>
      <c r="E1014" s="10" t="n">
        <v>1789</v>
      </c>
      <c r="F1014" s="9" t="s">
        <v>27</v>
      </c>
      <c r="G1014" s="9" t="s">
        <v>27</v>
      </c>
      <c r="H1014" s="11" t="n">
        <v>26</v>
      </c>
      <c r="I1014" s="11" t="s">
        <v>393</v>
      </c>
      <c r="J1014" s="14" t="n">
        <v>120</v>
      </c>
      <c r="K1014" s="14"/>
      <c r="L1014" s="16"/>
      <c r="M1014" s="27" t="n">
        <f aca="false">J1014+(K1014/20)+(L1014/240)</f>
        <v>120</v>
      </c>
      <c r="N1014" s="17" t="s">
        <v>64</v>
      </c>
      <c r="O1014" s="11"/>
      <c r="P1014" s="28"/>
      <c r="Q1014" s="28" t="n">
        <f aca="false">P1014*$M1014</f>
        <v>0</v>
      </c>
      <c r="R1014" s="28"/>
      <c r="S1014" s="28" t="n">
        <f aca="false">R1014*$M1014</f>
        <v>0</v>
      </c>
      <c r="T1014" s="28"/>
      <c r="U1014" s="28" t="n">
        <f aca="false">T1014*$M1014</f>
        <v>0</v>
      </c>
      <c r="V1014" s="28"/>
      <c r="W1014" s="28" t="n">
        <f aca="false">V1014*$M1014</f>
        <v>0</v>
      </c>
      <c r="X1014" s="28"/>
      <c r="Y1014" s="28" t="n">
        <f aca="false">X1014*$M1014</f>
        <v>0</v>
      </c>
      <c r="Z1014" s="28"/>
      <c r="AA1014" s="28" t="n">
        <f aca="false">Z1014*$M1014</f>
        <v>0</v>
      </c>
      <c r="AB1014" s="28"/>
      <c r="AC1014" s="28" t="n">
        <f aca="false">AB1014*$M1014</f>
        <v>0</v>
      </c>
      <c r="AD1014" s="28"/>
      <c r="AE1014" s="28" t="n">
        <f aca="false">AD1014*$M1014</f>
        <v>0</v>
      </c>
      <c r="AF1014" s="28"/>
      <c r="AG1014" s="28" t="n">
        <f aca="false">AF1014*$M1014</f>
        <v>0</v>
      </c>
      <c r="AH1014" s="28" t="n">
        <f aca="false">1810/100</f>
        <v>18.1</v>
      </c>
      <c r="AI1014" s="28" t="n">
        <v>2172</v>
      </c>
      <c r="AJ1014" s="28"/>
      <c r="AK1014" s="28" t="n">
        <f aca="false">AJ1014*$M1014</f>
        <v>0</v>
      </c>
      <c r="AL1014" s="28"/>
      <c r="AM1014" s="28" t="n">
        <f aca="false">AL1014*$M1014</f>
        <v>0</v>
      </c>
      <c r="AN1014" s="28"/>
      <c r="AO1014" s="28" t="n">
        <f aca="false">AN1014*$M1014</f>
        <v>0</v>
      </c>
      <c r="AP1014" s="28"/>
      <c r="AQ1014" s="28" t="n">
        <f aca="false">AP1014*$M1014</f>
        <v>0</v>
      </c>
      <c r="AR1014" s="28"/>
      <c r="AS1014" s="28" t="n">
        <f aca="false">AR1014*$M1014</f>
        <v>0</v>
      </c>
      <c r="AT1014" s="28"/>
      <c r="AU1014" s="28" t="n">
        <f aca="false">AT1014*$M1014</f>
        <v>0</v>
      </c>
      <c r="AV1014" s="28"/>
      <c r="AW1014" s="28" t="n">
        <f aca="false">AV1014*$M1014</f>
        <v>0</v>
      </c>
      <c r="AX1014" s="28"/>
      <c r="AY1014" s="28" t="n">
        <f aca="false">AX1014*$M1014</f>
        <v>0</v>
      </c>
      <c r="AZ1014" s="30" t="n">
        <f aca="false">1810/100</f>
        <v>18.1</v>
      </c>
      <c r="BA1014" s="11" t="n">
        <v>2172</v>
      </c>
      <c r="BB1014" s="31" t="n">
        <f aca="false">SUM(Q1014,S1014,U1014,W1014,Y1014,AA1014,AC1014,AE1014,AG1014,AI1014,AK1014,AM1014,AO1014,AQ1014,AS1014,AU1014,AW1014,AY1014)</f>
        <v>2172</v>
      </c>
      <c r="BC1014" s="28" t="n">
        <f aca="false">BA1014-BB1014</f>
        <v>0</v>
      </c>
      <c r="BD1014" s="32" t="n">
        <f aca="false">SUM(P1014,R1014,T1014,V1014,X1014,Z1014,AB1014,AD1014,AF1014,AH1014,AJ1014,AL1014,AN1014,AP1014,AR1014,AT1014,AV1014,AX1014)</f>
        <v>18.1</v>
      </c>
      <c r="BE1014" s="33" t="n">
        <f aca="false">AZ1014-BD1014</f>
        <v>0</v>
      </c>
      <c r="BF1014" s="34" t="n">
        <f aca="false">BD1014*M1014</f>
        <v>2172</v>
      </c>
      <c r="BG1014" s="35" t="n">
        <f aca="false">BA1014-BF1014</f>
        <v>0</v>
      </c>
      <c r="BH1014" s="19" t="str">
        <f aca="false">IF(BG1014=0,"",IF(BG1014&lt;&gt;BA1014,"erreur de calcul",IF(BD1014&lt;&gt;0,"pas de prix",IF(M1014&lt;&gt; 0,"pas de quantité","pas de prix, ni de quantité"))))</f>
        <v/>
      </c>
      <c r="BI1014" s="19"/>
    </row>
    <row r="1015" customFormat="false" ht="15" hidden="false" customHeight="false" outlineLevel="0" collapsed="false">
      <c r="A1015" s="0" t="n">
        <v>23</v>
      </c>
      <c r="B1015" s="8" t="s">
        <v>24</v>
      </c>
      <c r="C1015" s="9" t="s">
        <v>25</v>
      </c>
      <c r="D1015" s="9" t="s">
        <v>26</v>
      </c>
      <c r="E1015" s="10" t="n">
        <v>1789</v>
      </c>
      <c r="F1015" s="9" t="s">
        <v>27</v>
      </c>
      <c r="G1015" s="9" t="s">
        <v>27</v>
      </c>
      <c r="H1015" s="11" t="n">
        <v>26</v>
      </c>
      <c r="I1015" s="41" t="s">
        <v>394</v>
      </c>
      <c r="J1015" s="14" t="n">
        <v>7</v>
      </c>
      <c r="K1015" s="14"/>
      <c r="L1015" s="16"/>
      <c r="M1015" s="27" t="n">
        <f aca="false">J1015+(K1015/20)+(L1015/240)</f>
        <v>7</v>
      </c>
      <c r="N1015" s="17" t="s">
        <v>64</v>
      </c>
      <c r="O1015" s="11"/>
      <c r="P1015" s="28" t="n">
        <f aca="false">11428/100</f>
        <v>114.28</v>
      </c>
      <c r="Q1015" s="28" t="n">
        <v>800</v>
      </c>
      <c r="R1015" s="28"/>
      <c r="S1015" s="28" t="n">
        <f aca="false">R1015*$M1015</f>
        <v>0</v>
      </c>
      <c r="T1015" s="28" t="n">
        <f aca="false">2084/100</f>
        <v>20.84</v>
      </c>
      <c r="U1015" s="36" t="n">
        <v>246</v>
      </c>
      <c r="V1015" s="28"/>
      <c r="W1015" s="28" t="n">
        <f aca="false">V1015*$M1015</f>
        <v>0</v>
      </c>
      <c r="X1015" s="28"/>
      <c r="Y1015" s="28" t="n">
        <f aca="false">X1015*$M1015</f>
        <v>0</v>
      </c>
      <c r="Z1015" s="28"/>
      <c r="AA1015" s="28" t="n">
        <f aca="false">Z1015*$M1015</f>
        <v>0</v>
      </c>
      <c r="AB1015" s="28"/>
      <c r="AC1015" s="28" t="n">
        <f aca="false">AB1015*$M1015</f>
        <v>0</v>
      </c>
      <c r="AD1015" s="28"/>
      <c r="AE1015" s="28" t="n">
        <f aca="false">AD1015*$M1015</f>
        <v>0</v>
      </c>
      <c r="AF1015" s="28" t="n">
        <f aca="false">6709/100</f>
        <v>67.09</v>
      </c>
      <c r="AG1015" s="28" t="n">
        <v>470</v>
      </c>
      <c r="AH1015" s="28"/>
      <c r="AI1015" s="28" t="n">
        <f aca="false">AH1015*$M1015</f>
        <v>0</v>
      </c>
      <c r="AJ1015" s="28"/>
      <c r="AK1015" s="28" t="n">
        <f aca="false">AJ1015*$M1015</f>
        <v>0</v>
      </c>
      <c r="AL1015" s="28"/>
      <c r="AM1015" s="28" t="n">
        <f aca="false">AL1015*$M1015</f>
        <v>0</v>
      </c>
      <c r="AN1015" s="28"/>
      <c r="AO1015" s="28" t="n">
        <f aca="false">AN1015*$M1015</f>
        <v>0</v>
      </c>
      <c r="AP1015" s="28"/>
      <c r="AQ1015" s="28" t="n">
        <f aca="false">AP1015*$M1015</f>
        <v>0</v>
      </c>
      <c r="AR1015" s="28"/>
      <c r="AS1015" s="28" t="n">
        <f aca="false">AR1015*$M1015</f>
        <v>0</v>
      </c>
      <c r="AT1015" s="28"/>
      <c r="AU1015" s="28" t="n">
        <f aca="false">AT1015*$M1015</f>
        <v>0</v>
      </c>
      <c r="AV1015" s="28"/>
      <c r="AW1015" s="28" t="n">
        <f aca="false">AV1015*$M1015</f>
        <v>0</v>
      </c>
      <c r="AX1015" s="28"/>
      <c r="AY1015" s="28" t="n">
        <f aca="false">AX1015*$M1015</f>
        <v>0</v>
      </c>
      <c r="AZ1015" s="30" t="n">
        <f aca="false">20221/100</f>
        <v>202.21</v>
      </c>
      <c r="BA1015" s="11" t="n">
        <v>1516</v>
      </c>
      <c r="BB1015" s="31" t="n">
        <f aca="false">SUM(Q1015,S1015,U1015,W1015,Y1015,AA1015,AC1015,AE1015,AG1015,AI1015,AK1015,AM1015,AO1015,AQ1015,AS1015,AU1015,AW1015,AY1015)</f>
        <v>1516</v>
      </c>
      <c r="BC1015" s="28" t="n">
        <f aca="false">BA1015-BB1015</f>
        <v>0</v>
      </c>
      <c r="BD1015" s="32" t="n">
        <f aca="false">SUM(P1015,R1015,T1015,V1015,X1015,Z1015,AB1015,AD1015,AF1015,AH1015,AJ1015,AL1015,AN1015,AP1015,AR1015,AT1015,AV1015,AX1015)</f>
        <v>202.21</v>
      </c>
      <c r="BE1015" s="33" t="n">
        <f aca="false">AZ1015-BD1015</f>
        <v>0</v>
      </c>
      <c r="BF1015" s="34" t="n">
        <f aca="false">BD1015*M1015</f>
        <v>1415.47</v>
      </c>
      <c r="BG1015" s="35" t="n">
        <f aca="false">BA1015-BF1015</f>
        <v>100.53</v>
      </c>
      <c r="BH1015" s="19" t="str">
        <f aca="false">IF(BG1015=0,"",IF(BG1015&lt;&gt;BA1015,"erreur de calcul",IF(BD1015&lt;&gt;0,"pas de prix",IF(M1015&lt;&gt; 0,"pas de quantité","pas de prix, ni de quantité"))))</f>
        <v>erreur de calcul</v>
      </c>
      <c r="BI1015" s="19"/>
    </row>
    <row r="1016" customFormat="false" ht="15" hidden="false" customHeight="false" outlineLevel="0" collapsed="false">
      <c r="A1016" s="0" t="n">
        <v>24</v>
      </c>
      <c r="B1016" s="8" t="s">
        <v>24</v>
      </c>
      <c r="C1016" s="9" t="s">
        <v>25</v>
      </c>
      <c r="D1016" s="9" t="s">
        <v>26</v>
      </c>
      <c r="E1016" s="10" t="n">
        <v>1789</v>
      </c>
      <c r="F1016" s="9" t="s">
        <v>27</v>
      </c>
      <c r="G1016" s="9" t="s">
        <v>27</v>
      </c>
      <c r="H1016" s="11" t="n">
        <v>26</v>
      </c>
      <c r="I1016" s="11" t="s">
        <v>395</v>
      </c>
      <c r="J1016" s="14" t="n">
        <v>40</v>
      </c>
      <c r="K1016" s="14"/>
      <c r="L1016" s="16"/>
      <c r="M1016" s="27" t="n">
        <f aca="false">J1016+(K1016/20)+(L1016/240)</f>
        <v>40</v>
      </c>
      <c r="N1016" s="17" t="s">
        <v>66</v>
      </c>
      <c r="O1016" s="11"/>
      <c r="P1016" s="28"/>
      <c r="Q1016" s="28" t="n">
        <f aca="false">P1016*$M1016</f>
        <v>0</v>
      </c>
      <c r="R1016" s="28"/>
      <c r="S1016" s="28" t="n">
        <f aca="false">R1016*$M1016</f>
        <v>0</v>
      </c>
      <c r="T1016" s="28" t="n">
        <v>2339</v>
      </c>
      <c r="U1016" s="28" t="n">
        <v>93560</v>
      </c>
      <c r="V1016" s="28" t="n">
        <v>38</v>
      </c>
      <c r="W1016" s="28" t="n">
        <v>1520</v>
      </c>
      <c r="X1016" s="28"/>
      <c r="Y1016" s="28" t="n">
        <f aca="false">X1016*$M1016</f>
        <v>0</v>
      </c>
      <c r="Z1016" s="28"/>
      <c r="AA1016" s="28" t="n">
        <f aca="false">Z1016*$M1016</f>
        <v>0</v>
      </c>
      <c r="AB1016" s="28"/>
      <c r="AC1016" s="28" t="n">
        <f aca="false">AB1016*$M1016</f>
        <v>0</v>
      </c>
      <c r="AD1016" s="28"/>
      <c r="AE1016" s="28" t="n">
        <f aca="false">AD1016*$M1016</f>
        <v>0</v>
      </c>
      <c r="AF1016" s="28"/>
      <c r="AG1016" s="28" t="n">
        <f aca="false">AF1016*$M1016</f>
        <v>0</v>
      </c>
      <c r="AH1016" s="28"/>
      <c r="AI1016" s="28" t="n">
        <f aca="false">AH1016*$M1016</f>
        <v>0</v>
      </c>
      <c r="AJ1016" s="28"/>
      <c r="AK1016" s="28" t="n">
        <f aca="false">AJ1016*$M1016</f>
        <v>0</v>
      </c>
      <c r="AL1016" s="28"/>
      <c r="AM1016" s="28" t="n">
        <f aca="false">AL1016*$M1016</f>
        <v>0</v>
      </c>
      <c r="AN1016" s="28"/>
      <c r="AO1016" s="28" t="n">
        <f aca="false">AN1016*$M1016</f>
        <v>0</v>
      </c>
      <c r="AP1016" s="28"/>
      <c r="AQ1016" s="28" t="n">
        <f aca="false">AP1016*$M1016</f>
        <v>0</v>
      </c>
      <c r="AR1016" s="28"/>
      <c r="AS1016" s="28" t="n">
        <f aca="false">AR1016*$M1016</f>
        <v>0</v>
      </c>
      <c r="AT1016" s="28"/>
      <c r="AU1016" s="28" t="n">
        <f aca="false">AT1016*$M1016</f>
        <v>0</v>
      </c>
      <c r="AV1016" s="28"/>
      <c r="AW1016" s="28" t="n">
        <f aca="false">AV1016*$M1016</f>
        <v>0</v>
      </c>
      <c r="AX1016" s="28"/>
      <c r="AY1016" s="28" t="n">
        <f aca="false">AX1016*$M1016</f>
        <v>0</v>
      </c>
      <c r="AZ1016" s="30" t="n">
        <v>2377</v>
      </c>
      <c r="BA1016" s="11" t="n">
        <v>95080</v>
      </c>
      <c r="BB1016" s="31" t="n">
        <f aca="false">SUM(Q1016,S1016,U1016,W1016,Y1016,AA1016,AC1016,AE1016,AG1016,AI1016,AK1016,AM1016,AO1016,AQ1016,AS1016,AU1016,AW1016,AY1016)</f>
        <v>95080</v>
      </c>
      <c r="BC1016" s="28" t="n">
        <f aca="false">BA1016-BB1016</f>
        <v>0</v>
      </c>
      <c r="BD1016" s="32" t="n">
        <f aca="false">SUM(P1016,R1016,T1016,V1016,X1016,Z1016,AB1016,AD1016,AF1016,AH1016,AJ1016,AL1016,AN1016,AP1016,AR1016,AT1016,AV1016,AX1016)</f>
        <v>2377</v>
      </c>
      <c r="BE1016" s="33" t="n">
        <f aca="false">AZ1016-BD1016</f>
        <v>0</v>
      </c>
      <c r="BF1016" s="34" t="n">
        <f aca="false">BD1016*M1016</f>
        <v>95080</v>
      </c>
      <c r="BG1016" s="35" t="n">
        <f aca="false">BA1016-BF1016</f>
        <v>0</v>
      </c>
      <c r="BH1016" s="19" t="str">
        <f aca="false">IF(BG1016=0,"",IF(BG1016&lt;&gt;BA1016,"erreur de calcul",IF(BD1016&lt;&gt;0,"pas de prix",IF(M1016&lt;&gt; 0,"pas de quantité","pas de prix, ni de quantité"))))</f>
        <v/>
      </c>
      <c r="BI1016" s="19"/>
    </row>
    <row r="1017" customFormat="false" ht="15" hidden="false" customHeight="false" outlineLevel="0" collapsed="false">
      <c r="A1017" s="0" t="n">
        <v>25</v>
      </c>
      <c r="B1017" s="8" t="s">
        <v>24</v>
      </c>
      <c r="C1017" s="9" t="s">
        <v>25</v>
      </c>
      <c r="D1017" s="9" t="s">
        <v>26</v>
      </c>
      <c r="E1017" s="10" t="n">
        <v>1789</v>
      </c>
      <c r="F1017" s="9" t="s">
        <v>27</v>
      </c>
      <c r="G1017" s="9" t="s">
        <v>27</v>
      </c>
      <c r="H1017" s="11" t="n">
        <v>26</v>
      </c>
      <c r="I1017" s="11" t="s">
        <v>396</v>
      </c>
      <c r="J1017" s="14" t="n">
        <v>2</v>
      </c>
      <c r="K1017" s="14" t="n">
        <v>10</v>
      </c>
      <c r="L1017" s="16"/>
      <c r="M1017" s="27" t="n">
        <f aca="false">J1017+(K1017/20)+(L1017/240)</f>
        <v>2.5</v>
      </c>
      <c r="N1017" s="17" t="s">
        <v>66</v>
      </c>
      <c r="O1017" s="11"/>
      <c r="P1017" s="28"/>
      <c r="Q1017" s="28" t="n">
        <f aca="false">P1017*$M1017</f>
        <v>0</v>
      </c>
      <c r="R1017" s="28"/>
      <c r="S1017" s="28" t="n">
        <f aca="false">R1017*$M1017</f>
        <v>0</v>
      </c>
      <c r="T1017" s="28"/>
      <c r="U1017" s="28" t="n">
        <f aca="false">T1017*$M1017</f>
        <v>0</v>
      </c>
      <c r="V1017" s="28"/>
      <c r="W1017" s="28" t="n">
        <f aca="false">V1017*$M1017</f>
        <v>0</v>
      </c>
      <c r="X1017" s="28"/>
      <c r="Y1017" s="28" t="n">
        <f aca="false">X1017*$M1017</f>
        <v>0</v>
      </c>
      <c r="Z1017" s="28"/>
      <c r="AA1017" s="28" t="n">
        <f aca="false">Z1017*$M1017</f>
        <v>0</v>
      </c>
      <c r="AB1017" s="28"/>
      <c r="AC1017" s="28" t="n">
        <f aca="false">AB1017*$M1017</f>
        <v>0</v>
      </c>
      <c r="AD1017" s="28"/>
      <c r="AE1017" s="28" t="n">
        <f aca="false">AD1017*$M1017</f>
        <v>0</v>
      </c>
      <c r="AF1017" s="28"/>
      <c r="AG1017" s="28" t="n">
        <f aca="false">AF1017*$M1017</f>
        <v>0</v>
      </c>
      <c r="AH1017" s="28"/>
      <c r="AI1017" s="28" t="n">
        <f aca="false">AH1017*$M1017</f>
        <v>0</v>
      </c>
      <c r="AJ1017" s="28" t="n">
        <v>7127</v>
      </c>
      <c r="AK1017" s="28" t="n">
        <v>17817</v>
      </c>
      <c r="AL1017" s="28"/>
      <c r="AM1017" s="28" t="n">
        <f aca="false">AL1017*$M1017</f>
        <v>0</v>
      </c>
      <c r="AN1017" s="28"/>
      <c r="AO1017" s="28" t="n">
        <f aca="false">AN1017*$M1017</f>
        <v>0</v>
      </c>
      <c r="AP1017" s="28"/>
      <c r="AQ1017" s="28" t="n">
        <f aca="false">AP1017*$M1017</f>
        <v>0</v>
      </c>
      <c r="AR1017" s="28"/>
      <c r="AS1017" s="28" t="n">
        <f aca="false">AR1017*$M1017</f>
        <v>0</v>
      </c>
      <c r="AT1017" s="28"/>
      <c r="AU1017" s="28" t="n">
        <f aca="false">AT1017*$M1017</f>
        <v>0</v>
      </c>
      <c r="AV1017" s="28"/>
      <c r="AW1017" s="28" t="n">
        <f aca="false">AV1017*$M1017</f>
        <v>0</v>
      </c>
      <c r="AX1017" s="28"/>
      <c r="AY1017" s="28" t="n">
        <f aca="false">AX1017*$M1017</f>
        <v>0</v>
      </c>
      <c r="AZ1017" s="30" t="n">
        <v>7127</v>
      </c>
      <c r="BA1017" s="11" t="n">
        <v>17817</v>
      </c>
      <c r="BB1017" s="31" t="n">
        <f aca="false">SUM(Q1017,S1017,U1017,W1017,Y1017,AA1017,AC1017,AE1017,AG1017,AI1017,AK1017,AM1017,AO1017,AQ1017,AS1017,AU1017,AW1017,AY1017)</f>
        <v>17817</v>
      </c>
      <c r="BC1017" s="28" t="n">
        <f aca="false">BA1017-BB1017</f>
        <v>0</v>
      </c>
      <c r="BD1017" s="32" t="n">
        <f aca="false">SUM(P1017,R1017,T1017,V1017,X1017,Z1017,AB1017,AD1017,AF1017,AH1017,AJ1017,AL1017,AN1017,AP1017,AR1017,AT1017,AV1017,AX1017)</f>
        <v>7127</v>
      </c>
      <c r="BE1017" s="33" t="n">
        <f aca="false">AZ1017-BD1017</f>
        <v>0</v>
      </c>
      <c r="BF1017" s="34" t="n">
        <f aca="false">BD1017*M1017</f>
        <v>17817.5</v>
      </c>
      <c r="BG1017" s="35" t="n">
        <f aca="false">BA1017-BF1017</f>
        <v>-0.5</v>
      </c>
      <c r="BH1017" s="19" t="str">
        <f aca="false">IF(BG1017=0,"",IF(BG1017&lt;&gt;BA1017,"erreur de calcul",IF(BD1017&lt;&gt;0,"pas de prix",IF(M1017&lt;&gt; 0,"pas de quantité","pas de prix, ni de quantité"))))</f>
        <v>erreur de calcul</v>
      </c>
      <c r="BI1017" s="19"/>
    </row>
    <row r="1018" customFormat="false" ht="15" hidden="false" customHeight="false" outlineLevel="0" collapsed="false">
      <c r="A1018" s="0" t="n">
        <v>26</v>
      </c>
      <c r="B1018" s="8" t="s">
        <v>24</v>
      </c>
      <c r="C1018" s="9" t="s">
        <v>25</v>
      </c>
      <c r="D1018" s="9" t="s">
        <v>26</v>
      </c>
      <c r="E1018" s="10" t="n">
        <v>1789</v>
      </c>
      <c r="F1018" s="9" t="s">
        <v>27</v>
      </c>
      <c r="G1018" s="9" t="s">
        <v>27</v>
      </c>
      <c r="H1018" s="11" t="n">
        <v>26</v>
      </c>
      <c r="I1018" s="11" t="s">
        <v>397</v>
      </c>
      <c r="J1018" s="14" t="n">
        <v>6</v>
      </c>
      <c r="K1018" s="14" t="n">
        <v>10</v>
      </c>
      <c r="L1018" s="16"/>
      <c r="M1018" s="27" t="n">
        <f aca="false">J1018+(K1018/20)+(L1018/240)</f>
        <v>6.5</v>
      </c>
      <c r="N1018" s="17" t="s">
        <v>64</v>
      </c>
      <c r="O1018" s="11"/>
      <c r="P1018" s="28"/>
      <c r="Q1018" s="28" t="n">
        <f aca="false">P1018*$M1018</f>
        <v>0</v>
      </c>
      <c r="R1018" s="28"/>
      <c r="S1018" s="28" t="n">
        <f aca="false">R1018*$M1018</f>
        <v>0</v>
      </c>
      <c r="T1018" s="28"/>
      <c r="U1018" s="28" t="n">
        <f aca="false">T1018*$M1018</f>
        <v>0</v>
      </c>
      <c r="V1018" s="28"/>
      <c r="W1018" s="28" t="n">
        <f aca="false">V1018*$M1018</f>
        <v>0</v>
      </c>
      <c r="X1018" s="28" t="n">
        <f aca="false">22000/100</f>
        <v>220</v>
      </c>
      <c r="Y1018" s="28" t="n">
        <v>1430</v>
      </c>
      <c r="Z1018" s="28"/>
      <c r="AA1018" s="28" t="n">
        <f aca="false">Z1018*$M1018</f>
        <v>0</v>
      </c>
      <c r="AB1018" s="28" t="n">
        <f aca="false">3575715/100</f>
        <v>35757.15</v>
      </c>
      <c r="AC1018" s="36" t="n">
        <v>214543</v>
      </c>
      <c r="AD1018" s="28"/>
      <c r="AE1018" s="28" t="n">
        <f aca="false">AD1018*$M1018</f>
        <v>0</v>
      </c>
      <c r="AF1018" s="28"/>
      <c r="AG1018" s="28" t="n">
        <f aca="false">AF1018*$M1018</f>
        <v>0</v>
      </c>
      <c r="AH1018" s="28"/>
      <c r="AI1018" s="28" t="n">
        <f aca="false">AH1018*$M1018</f>
        <v>0</v>
      </c>
      <c r="AJ1018" s="28"/>
      <c r="AK1018" s="28" t="n">
        <f aca="false">AJ1018*$M1018</f>
        <v>0</v>
      </c>
      <c r="AL1018" s="28"/>
      <c r="AM1018" s="28" t="n">
        <f aca="false">AL1018*$M1018</f>
        <v>0</v>
      </c>
      <c r="AN1018" s="28"/>
      <c r="AO1018" s="28" t="n">
        <f aca="false">AN1018*$M1018</f>
        <v>0</v>
      </c>
      <c r="AP1018" s="28"/>
      <c r="AQ1018" s="28" t="n">
        <f aca="false">AP1018*$M1018</f>
        <v>0</v>
      </c>
      <c r="AR1018" s="28"/>
      <c r="AS1018" s="28" t="n">
        <f aca="false">AR1018*$M1018</f>
        <v>0</v>
      </c>
      <c r="AT1018" s="28"/>
      <c r="AU1018" s="28" t="n">
        <f aca="false">AT1018*$M1018</f>
        <v>0</v>
      </c>
      <c r="AV1018" s="28"/>
      <c r="AW1018" s="28" t="n">
        <f aca="false">AV1018*$M1018</f>
        <v>0</v>
      </c>
      <c r="AX1018" s="28"/>
      <c r="AY1018" s="28" t="n">
        <f aca="false">AX1018*$M1018</f>
        <v>0</v>
      </c>
      <c r="AZ1018" s="30" t="n">
        <f aca="false">3597715/100</f>
        <v>35977.15</v>
      </c>
      <c r="BA1018" s="11" t="n">
        <v>215973</v>
      </c>
      <c r="BB1018" s="31" t="n">
        <f aca="false">SUM(Q1018,S1018,U1018,W1018,Y1018,AA1018,AC1018,AE1018,AG1018,AI1018,AK1018,AM1018,AO1018,AQ1018,AS1018,AU1018,AW1018,AY1018)</f>
        <v>215973</v>
      </c>
      <c r="BC1018" s="28" t="n">
        <f aca="false">BA1018-BB1018</f>
        <v>0</v>
      </c>
      <c r="BD1018" s="32" t="n">
        <f aca="false">SUM(P1018,R1018,T1018,V1018,X1018,Z1018,AB1018,AD1018,AF1018,AH1018,AJ1018,AL1018,AN1018,AP1018,AR1018,AT1018,AV1018,AX1018)</f>
        <v>35977.15</v>
      </c>
      <c r="BE1018" s="33" t="n">
        <f aca="false">AZ1018-BD1018</f>
        <v>0</v>
      </c>
      <c r="BF1018" s="34" t="n">
        <f aca="false">BD1018*M1018</f>
        <v>233851.475</v>
      </c>
      <c r="BG1018" s="35" t="n">
        <f aca="false">BA1018-BF1018</f>
        <v>-17878.475</v>
      </c>
      <c r="BH1018" s="19" t="str">
        <f aca="false">IF(BG1018=0,"",IF(BG1018&lt;&gt;BA1018,"erreur de calcul",IF(BD1018&lt;&gt;0,"pas de prix",IF(M1018&lt;&gt; 0,"pas de quantité","pas de prix, ni de quantité"))))</f>
        <v>erreur de calcul</v>
      </c>
      <c r="BI1018" s="19"/>
    </row>
    <row r="1019" customFormat="false" ht="15" hidden="false" customHeight="false" outlineLevel="0" collapsed="false">
      <c r="A1019" s="0" t="n">
        <v>27</v>
      </c>
      <c r="B1019" s="8" t="s">
        <v>24</v>
      </c>
      <c r="C1019" s="9" t="s">
        <v>25</v>
      </c>
      <c r="D1019" s="9" t="s">
        <v>26</v>
      </c>
      <c r="E1019" s="10" t="n">
        <v>1789</v>
      </c>
      <c r="F1019" s="9" t="s">
        <v>27</v>
      </c>
      <c r="G1019" s="9" t="s">
        <v>27</v>
      </c>
      <c r="H1019" s="11" t="n">
        <v>26</v>
      </c>
      <c r="I1019" s="11" t="s">
        <v>398</v>
      </c>
      <c r="J1019" s="14" t="n">
        <v>11</v>
      </c>
      <c r="K1019" s="14"/>
      <c r="L1019" s="16"/>
      <c r="M1019" s="27" t="n">
        <f aca="false">J1019+(K1019/20)+(L1019/240)</f>
        <v>11</v>
      </c>
      <c r="N1019" s="17" t="s">
        <v>64</v>
      </c>
      <c r="O1019" s="11"/>
      <c r="P1019" s="28" t="n">
        <f aca="false">166667/100</f>
        <v>1666.67</v>
      </c>
      <c r="Q1019" s="28" t="n">
        <v>18333</v>
      </c>
      <c r="R1019" s="28"/>
      <c r="S1019" s="28" t="n">
        <f aca="false">R1019*$M1019</f>
        <v>0</v>
      </c>
      <c r="T1019" s="28"/>
      <c r="U1019" s="28" t="n">
        <f aca="false">T1019*$M1019</f>
        <v>0</v>
      </c>
      <c r="V1019" s="28"/>
      <c r="W1019" s="28" t="n">
        <f aca="false">V1019*$M1019</f>
        <v>0</v>
      </c>
      <c r="X1019" s="28"/>
      <c r="Y1019" s="28" t="n">
        <f aca="false">X1019*$M1019</f>
        <v>0</v>
      </c>
      <c r="Z1019" s="28"/>
      <c r="AA1019" s="28" t="n">
        <f aca="false">Z1019*$M1019</f>
        <v>0</v>
      </c>
      <c r="AB1019" s="28" t="n">
        <f aca="false">3312/100</f>
        <v>33.12</v>
      </c>
      <c r="AC1019" s="28" t="n">
        <v>364</v>
      </c>
      <c r="AD1019" s="28"/>
      <c r="AE1019" s="28" t="n">
        <f aca="false">AD1019*$M1019</f>
        <v>0</v>
      </c>
      <c r="AF1019" s="28"/>
      <c r="AG1019" s="28" t="n">
        <f aca="false">AF1019*$M1019</f>
        <v>0</v>
      </c>
      <c r="AH1019" s="28"/>
      <c r="AI1019" s="28" t="n">
        <f aca="false">AH1019*$M1019</f>
        <v>0</v>
      </c>
      <c r="AJ1019" s="28"/>
      <c r="AK1019" s="28" t="n">
        <f aca="false">AJ1019*$M1019</f>
        <v>0</v>
      </c>
      <c r="AL1019" s="28"/>
      <c r="AM1019" s="28" t="n">
        <f aca="false">AL1019*$M1019</f>
        <v>0</v>
      </c>
      <c r="AN1019" s="28"/>
      <c r="AO1019" s="28" t="n">
        <f aca="false">AN1019*$M1019</f>
        <v>0</v>
      </c>
      <c r="AP1019" s="28"/>
      <c r="AQ1019" s="28" t="n">
        <f aca="false">AP1019*$M1019</f>
        <v>0</v>
      </c>
      <c r="AR1019" s="28"/>
      <c r="AS1019" s="28" t="n">
        <f aca="false">AR1019*$M1019</f>
        <v>0</v>
      </c>
      <c r="AT1019" s="28"/>
      <c r="AU1019" s="28" t="n">
        <f aca="false">AT1019*$M1019</f>
        <v>0</v>
      </c>
      <c r="AV1019" s="28"/>
      <c r="AW1019" s="28" t="n">
        <f aca="false">AV1019*$M1019</f>
        <v>0</v>
      </c>
      <c r="AX1019" s="28"/>
      <c r="AY1019" s="28" t="n">
        <f aca="false">AX1019*$M1019</f>
        <v>0</v>
      </c>
      <c r="AZ1019" s="30" t="n">
        <f aca="false">169979/100</f>
        <v>1699.79</v>
      </c>
      <c r="BA1019" s="11" t="n">
        <v>18697</v>
      </c>
      <c r="BB1019" s="31" t="n">
        <f aca="false">SUM(Q1019,S1019,U1019,W1019,Y1019,AA1019,AC1019,AE1019,AG1019,AI1019,AK1019,AM1019,AO1019,AQ1019,AS1019,AU1019,AW1019,AY1019)</f>
        <v>18697</v>
      </c>
      <c r="BC1019" s="28" t="n">
        <f aca="false">BA1019-BB1019</f>
        <v>0</v>
      </c>
      <c r="BD1019" s="32" t="n">
        <f aca="false">SUM(P1019,R1019,T1019,V1019,X1019,Z1019,AB1019,AD1019,AF1019,AH1019,AJ1019,AL1019,AN1019,AP1019,AR1019,AT1019,AV1019,AX1019)</f>
        <v>1699.79</v>
      </c>
      <c r="BE1019" s="33" t="n">
        <f aca="false">AZ1019-BD1019</f>
        <v>0</v>
      </c>
      <c r="BF1019" s="34" t="n">
        <f aca="false">BD1019*M1019</f>
        <v>18697.69</v>
      </c>
      <c r="BG1019" s="35" t="n">
        <f aca="false">BA1019-BF1019</f>
        <v>-0.68999999999869</v>
      </c>
      <c r="BH1019" s="19" t="str">
        <f aca="false">IF(BG1019=0,"",IF(BG1019&lt;&gt;BA1019,"erreur de calcul",IF(BD1019&lt;&gt;0,"pas de prix",IF(M1019&lt;&gt; 0,"pas de quantité","pas de prix, ni de quantité"))))</f>
        <v>erreur de calcul</v>
      </c>
      <c r="BI1019" s="19"/>
    </row>
    <row r="1020" customFormat="false" ht="15" hidden="false" customHeight="false" outlineLevel="0" collapsed="false">
      <c r="A1020" s="0" t="n">
        <v>28</v>
      </c>
      <c r="B1020" s="8" t="s">
        <v>24</v>
      </c>
      <c r="C1020" s="9" t="s">
        <v>25</v>
      </c>
      <c r="D1020" s="9" t="s">
        <v>26</v>
      </c>
      <c r="E1020" s="10" t="n">
        <v>1789</v>
      </c>
      <c r="F1020" s="9" t="s">
        <v>27</v>
      </c>
      <c r="G1020" s="9" t="s">
        <v>27</v>
      </c>
      <c r="H1020" s="11" t="n">
        <v>26</v>
      </c>
      <c r="I1020" s="11" t="s">
        <v>399</v>
      </c>
      <c r="J1020" s="14" t="n">
        <v>18</v>
      </c>
      <c r="K1020" s="14"/>
      <c r="L1020" s="16"/>
      <c r="M1020" s="27" t="n">
        <f aca="false">J1020+(K1020/20)+(L1020/240)</f>
        <v>18</v>
      </c>
      <c r="N1020" s="17" t="s">
        <v>66</v>
      </c>
      <c r="O1020" s="11"/>
      <c r="P1020" s="28"/>
      <c r="Q1020" s="28" t="n">
        <f aca="false">P1020*$M1020</f>
        <v>0</v>
      </c>
      <c r="R1020" s="28"/>
      <c r="S1020" s="28" t="n">
        <f aca="false">R1020*$M1020</f>
        <v>0</v>
      </c>
      <c r="T1020" s="28"/>
      <c r="U1020" s="28" t="n">
        <f aca="false">T1020*$M1020</f>
        <v>0</v>
      </c>
      <c r="V1020" s="28"/>
      <c r="W1020" s="28" t="n">
        <f aca="false">V1020*$M1020</f>
        <v>0</v>
      </c>
      <c r="X1020" s="28"/>
      <c r="Y1020" s="28" t="n">
        <f aca="false">X1020*$M1020</f>
        <v>0</v>
      </c>
      <c r="Z1020" s="28"/>
      <c r="AA1020" s="28" t="n">
        <f aca="false">Z1020*$M1020</f>
        <v>0</v>
      </c>
      <c r="AB1020" s="28"/>
      <c r="AC1020" s="28" t="n">
        <f aca="false">AB1020*$M1020</f>
        <v>0</v>
      </c>
      <c r="AD1020" s="28"/>
      <c r="AE1020" s="28" t="n">
        <f aca="false">AD1020*$M1020</f>
        <v>0</v>
      </c>
      <c r="AF1020" s="28"/>
      <c r="AG1020" s="28" t="n">
        <f aca="false">AF1020*$M1020</f>
        <v>0</v>
      </c>
      <c r="AH1020" s="28" t="n">
        <v>72036</v>
      </c>
      <c r="AI1020" s="28" t="n">
        <v>1296648</v>
      </c>
      <c r="AJ1020" s="28"/>
      <c r="AK1020" s="28" t="n">
        <f aca="false">AJ1020*$M1020</f>
        <v>0</v>
      </c>
      <c r="AL1020" s="28"/>
      <c r="AM1020" s="28" t="n">
        <f aca="false">AL1020*$M1020</f>
        <v>0</v>
      </c>
      <c r="AN1020" s="28"/>
      <c r="AO1020" s="28" t="n">
        <f aca="false">AN1020*$M1020</f>
        <v>0</v>
      </c>
      <c r="AP1020" s="28"/>
      <c r="AQ1020" s="28" t="n">
        <f aca="false">AP1020*$M1020</f>
        <v>0</v>
      </c>
      <c r="AR1020" s="28"/>
      <c r="AS1020" s="28" t="n">
        <f aca="false">AR1020*$M1020</f>
        <v>0</v>
      </c>
      <c r="AT1020" s="28"/>
      <c r="AU1020" s="28" t="n">
        <f aca="false">AT1020*$M1020</f>
        <v>0</v>
      </c>
      <c r="AV1020" s="28"/>
      <c r="AW1020" s="28" t="n">
        <f aca="false">AV1020*$M1020</f>
        <v>0</v>
      </c>
      <c r="AX1020" s="28"/>
      <c r="AY1020" s="28" t="n">
        <f aca="false">AX1020*$M1020</f>
        <v>0</v>
      </c>
      <c r="AZ1020" s="30" t="n">
        <v>72036</v>
      </c>
      <c r="BA1020" s="11" t="n">
        <v>1296648</v>
      </c>
      <c r="BB1020" s="31" t="n">
        <f aca="false">SUM(Q1020,S1020,U1020,W1020,Y1020,AA1020,AC1020,AE1020,AG1020,AI1020,AK1020,AM1020,AO1020,AQ1020,AS1020,AU1020,AW1020,AY1020)</f>
        <v>1296648</v>
      </c>
      <c r="BC1020" s="28" t="n">
        <f aca="false">BA1020-BB1020</f>
        <v>0</v>
      </c>
      <c r="BD1020" s="32" t="n">
        <f aca="false">SUM(P1020,R1020,T1020,V1020,X1020,Z1020,AB1020,AD1020,AF1020,AH1020,AJ1020,AL1020,AN1020,AP1020,AR1020,AT1020,AV1020,AX1020)</f>
        <v>72036</v>
      </c>
      <c r="BE1020" s="33" t="n">
        <f aca="false">AZ1020-BD1020</f>
        <v>0</v>
      </c>
      <c r="BF1020" s="34" t="n">
        <f aca="false">BD1020*M1020</f>
        <v>1296648</v>
      </c>
      <c r="BG1020" s="35" t="n">
        <f aca="false">BA1020-BF1020</f>
        <v>0</v>
      </c>
      <c r="BH1020" s="19" t="str">
        <f aca="false">IF(BG1020=0,"",IF(BG1020&lt;&gt;BA1020,"erreur de calcul",IF(BD1020&lt;&gt;0,"pas de prix",IF(M1020&lt;&gt; 0,"pas de quantité","pas de prix, ni de quantité"))))</f>
        <v/>
      </c>
      <c r="BI1020" s="19"/>
    </row>
    <row r="1021" customFormat="false" ht="15" hidden="false" customHeight="false" outlineLevel="0" collapsed="false">
      <c r="A1021" s="0" t="n">
        <v>29</v>
      </c>
      <c r="B1021" s="8" t="s">
        <v>24</v>
      </c>
      <c r="C1021" s="9" t="s">
        <v>25</v>
      </c>
      <c r="D1021" s="9" t="s">
        <v>26</v>
      </c>
      <c r="E1021" s="10" t="n">
        <v>1789</v>
      </c>
      <c r="F1021" s="9" t="s">
        <v>27</v>
      </c>
      <c r="G1021" s="9" t="s">
        <v>27</v>
      </c>
      <c r="H1021" s="11" t="n">
        <v>26</v>
      </c>
      <c r="I1021" s="11" t="s">
        <v>400</v>
      </c>
      <c r="J1021" s="14" t="n">
        <v>19</v>
      </c>
      <c r="K1021" s="14"/>
      <c r="L1021" s="16"/>
      <c r="M1021" s="27" t="n">
        <f aca="false">J1021+(K1021/20)+(L1021/240)</f>
        <v>19</v>
      </c>
      <c r="N1021" s="17" t="s">
        <v>66</v>
      </c>
      <c r="O1021" s="11"/>
      <c r="P1021" s="28"/>
      <c r="Q1021" s="28" t="n">
        <f aca="false">P1021*$M1021</f>
        <v>0</v>
      </c>
      <c r="R1021" s="28"/>
      <c r="S1021" s="28" t="n">
        <f aca="false">R1021*$M1021</f>
        <v>0</v>
      </c>
      <c r="T1021" s="28"/>
      <c r="U1021" s="28" t="n">
        <f aca="false">T1021*$M1021</f>
        <v>0</v>
      </c>
      <c r="V1021" s="28"/>
      <c r="W1021" s="28" t="n">
        <f aca="false">V1021*$M1021</f>
        <v>0</v>
      </c>
      <c r="X1021" s="28"/>
      <c r="Y1021" s="28" t="n">
        <f aca="false">X1021*$M1021</f>
        <v>0</v>
      </c>
      <c r="Z1021" s="28"/>
      <c r="AA1021" s="28" t="n">
        <f aca="false">Z1021*$M1021</f>
        <v>0</v>
      </c>
      <c r="AB1021" s="28" t="n">
        <v>1176</v>
      </c>
      <c r="AC1021" s="28" t="n">
        <v>22344</v>
      </c>
      <c r="AD1021" s="28"/>
      <c r="AE1021" s="28" t="n">
        <f aca="false">AD1021*$M1021</f>
        <v>0</v>
      </c>
      <c r="AF1021" s="28"/>
      <c r="AG1021" s="28" t="n">
        <f aca="false">AF1021*$M1021</f>
        <v>0</v>
      </c>
      <c r="AH1021" s="28"/>
      <c r="AI1021" s="28" t="n">
        <f aca="false">AH1021*$M1021</f>
        <v>0</v>
      </c>
      <c r="AJ1021" s="28"/>
      <c r="AK1021" s="28" t="n">
        <f aca="false">AJ1021*$M1021</f>
        <v>0</v>
      </c>
      <c r="AL1021" s="28"/>
      <c r="AM1021" s="28" t="n">
        <f aca="false">AL1021*$M1021</f>
        <v>0</v>
      </c>
      <c r="AN1021" s="28"/>
      <c r="AO1021" s="28" t="n">
        <f aca="false">AN1021*$M1021</f>
        <v>0</v>
      </c>
      <c r="AP1021" s="28"/>
      <c r="AQ1021" s="28" t="n">
        <f aca="false">AP1021*$M1021</f>
        <v>0</v>
      </c>
      <c r="AR1021" s="28"/>
      <c r="AS1021" s="28" t="n">
        <f aca="false">AR1021*$M1021</f>
        <v>0</v>
      </c>
      <c r="AT1021" s="28"/>
      <c r="AU1021" s="28" t="n">
        <f aca="false">AT1021*$M1021</f>
        <v>0</v>
      </c>
      <c r="AV1021" s="28"/>
      <c r="AW1021" s="28" t="n">
        <f aca="false">AV1021*$M1021</f>
        <v>0</v>
      </c>
      <c r="AX1021" s="28"/>
      <c r="AY1021" s="28" t="n">
        <f aca="false">AX1021*$M1021</f>
        <v>0</v>
      </c>
      <c r="AZ1021" s="30" t="n">
        <v>1176</v>
      </c>
      <c r="BA1021" s="11" t="n">
        <v>22344</v>
      </c>
      <c r="BB1021" s="31" t="n">
        <f aca="false">SUM(Q1021,S1021,U1021,W1021,Y1021,AA1021,AC1021,AE1021,AG1021,AI1021,AK1021,AM1021,AO1021,AQ1021,AS1021,AU1021,AW1021,AY1021)</f>
        <v>22344</v>
      </c>
      <c r="BC1021" s="28" t="n">
        <f aca="false">BA1021-BB1021</f>
        <v>0</v>
      </c>
      <c r="BD1021" s="32" t="n">
        <f aca="false">SUM(P1021,R1021,T1021,V1021,X1021,Z1021,AB1021,AD1021,AF1021,AH1021,AJ1021,AL1021,AN1021,AP1021,AR1021,AT1021,AV1021,AX1021)</f>
        <v>1176</v>
      </c>
      <c r="BE1021" s="33" t="n">
        <f aca="false">AZ1021-BD1021</f>
        <v>0</v>
      </c>
      <c r="BF1021" s="34" t="n">
        <f aca="false">BD1021*M1021</f>
        <v>22344</v>
      </c>
      <c r="BG1021" s="35" t="n">
        <f aca="false">BA1021-BF1021</f>
        <v>0</v>
      </c>
      <c r="BH1021" s="19" t="str">
        <f aca="false">IF(BG1021=0,"",IF(BG1021&lt;&gt;BA1021,"erreur de calcul",IF(BD1021&lt;&gt;0,"pas de prix",IF(M1021&lt;&gt; 0,"pas de quantité","pas de prix, ni de quantité"))))</f>
        <v/>
      </c>
      <c r="BI1021" s="19"/>
    </row>
    <row r="1022" customFormat="false" ht="15" hidden="false" customHeight="false" outlineLevel="0" collapsed="false">
      <c r="A1022" s="0" t="n">
        <v>30</v>
      </c>
      <c r="B1022" s="8" t="s">
        <v>24</v>
      </c>
      <c r="C1022" s="9" t="s">
        <v>25</v>
      </c>
      <c r="D1022" s="9" t="s">
        <v>26</v>
      </c>
      <c r="E1022" s="10" t="n">
        <v>1789</v>
      </c>
      <c r="F1022" s="9" t="s">
        <v>27</v>
      </c>
      <c r="G1022" s="9" t="s">
        <v>27</v>
      </c>
      <c r="H1022" s="11" t="n">
        <v>26</v>
      </c>
      <c r="I1022" s="11" t="s">
        <v>401</v>
      </c>
      <c r="J1022" s="14" t="n">
        <v>20</v>
      </c>
      <c r="K1022" s="14"/>
      <c r="L1022" s="16"/>
      <c r="M1022" s="27" t="n">
        <f aca="false">J1022+(K1022/20)+(L1022/240)</f>
        <v>20</v>
      </c>
      <c r="N1022" s="17" t="s">
        <v>66</v>
      </c>
      <c r="O1022" s="11"/>
      <c r="P1022" s="28"/>
      <c r="Q1022" s="28" t="n">
        <f aca="false">P1022*$M1022</f>
        <v>0</v>
      </c>
      <c r="R1022" s="28"/>
      <c r="S1022" s="28" t="n">
        <f aca="false">R1022*$M1022</f>
        <v>0</v>
      </c>
      <c r="T1022" s="28" t="n">
        <v>7478</v>
      </c>
      <c r="U1022" s="28" t="n">
        <v>149560</v>
      </c>
      <c r="V1022" s="28" t="n">
        <v>3386</v>
      </c>
      <c r="W1022" s="36" t="n">
        <v>66720</v>
      </c>
      <c r="X1022" s="28" t="n">
        <v>2233</v>
      </c>
      <c r="Y1022" s="28" t="n">
        <v>44660</v>
      </c>
      <c r="Z1022" s="28" t="n">
        <v>867</v>
      </c>
      <c r="AA1022" s="28" t="n">
        <v>17340</v>
      </c>
      <c r="AB1022" s="28" t="n">
        <v>32380</v>
      </c>
      <c r="AC1022" s="28" t="n">
        <v>647600</v>
      </c>
      <c r="AD1022" s="28"/>
      <c r="AE1022" s="28" t="n">
        <f aca="false">AD1022*$M1022</f>
        <v>0</v>
      </c>
      <c r="AF1022" s="28"/>
      <c r="AG1022" s="28" t="n">
        <f aca="false">AF1022*$M1022</f>
        <v>0</v>
      </c>
      <c r="AH1022" s="28" t="n">
        <v>12038</v>
      </c>
      <c r="AI1022" s="28" t="n">
        <v>240760</v>
      </c>
      <c r="AJ1022" s="28"/>
      <c r="AK1022" s="28" t="n">
        <f aca="false">AJ1022*$M1022</f>
        <v>0</v>
      </c>
      <c r="AL1022" s="28"/>
      <c r="AM1022" s="28" t="n">
        <f aca="false">AL1022*$M1022</f>
        <v>0</v>
      </c>
      <c r="AN1022" s="28"/>
      <c r="AO1022" s="28" t="n">
        <f aca="false">AN1022*$M1022</f>
        <v>0</v>
      </c>
      <c r="AP1022" s="28"/>
      <c r="AQ1022" s="28" t="n">
        <f aca="false">AP1022*$M1022</f>
        <v>0</v>
      </c>
      <c r="AR1022" s="28"/>
      <c r="AS1022" s="28" t="n">
        <f aca="false">AR1022*$M1022</f>
        <v>0</v>
      </c>
      <c r="AT1022" s="28"/>
      <c r="AU1022" s="28" t="n">
        <f aca="false">AT1022*$M1022</f>
        <v>0</v>
      </c>
      <c r="AV1022" s="28"/>
      <c r="AW1022" s="28" t="n">
        <f aca="false">AV1022*$M1022</f>
        <v>0</v>
      </c>
      <c r="AX1022" s="28"/>
      <c r="AY1022" s="28" t="n">
        <f aca="false">AX1022*$M1022</f>
        <v>0</v>
      </c>
      <c r="AZ1022" s="30" t="n">
        <v>58382</v>
      </c>
      <c r="BA1022" s="11" t="n">
        <v>1166640</v>
      </c>
      <c r="BB1022" s="31" t="n">
        <f aca="false">SUM(Q1022,S1022,U1022,W1022,Y1022,AA1022,AC1022,AE1022,AG1022,AI1022,AK1022,AM1022,AO1022,AQ1022,AS1022,AU1022,AW1022,AY1022)</f>
        <v>1166640</v>
      </c>
      <c r="BC1022" s="28" t="n">
        <f aca="false">BA1022-BB1022</f>
        <v>0</v>
      </c>
      <c r="BD1022" s="32" t="n">
        <f aca="false">SUM(P1022,R1022,T1022,V1022,X1022,Z1022,AB1022,AD1022,AF1022,AH1022,AJ1022,AL1022,AN1022,AP1022,AR1022,AT1022,AV1022,AX1022)</f>
        <v>58382</v>
      </c>
      <c r="BE1022" s="33" t="n">
        <f aca="false">AZ1022-BD1022</f>
        <v>0</v>
      </c>
      <c r="BF1022" s="34" t="n">
        <f aca="false">BD1022*M1022</f>
        <v>1167640</v>
      </c>
      <c r="BG1022" s="35" t="n">
        <f aca="false">BA1022-BF1022</f>
        <v>-1000</v>
      </c>
      <c r="BH1022" s="19" t="str">
        <f aca="false">IF(BG1022=0,"",IF(BG1022&lt;&gt;BA1022,"erreur de calcul",IF(BD1022&lt;&gt;0,"pas de prix",IF(M1022&lt;&gt; 0,"pas de quantité","pas de prix, ni de quantité"))))</f>
        <v>erreur de calcul</v>
      </c>
      <c r="BI1022" s="19"/>
    </row>
    <row r="1023" customFormat="false" ht="15" hidden="false" customHeight="false" outlineLevel="0" collapsed="false">
      <c r="A1023" s="0" t="n">
        <v>31</v>
      </c>
      <c r="B1023" s="8" t="s">
        <v>24</v>
      </c>
      <c r="C1023" s="9" t="s">
        <v>25</v>
      </c>
      <c r="D1023" s="9" t="s">
        <v>26</v>
      </c>
      <c r="E1023" s="10" t="n">
        <v>1789</v>
      </c>
      <c r="F1023" s="9" t="s">
        <v>27</v>
      </c>
      <c r="G1023" s="9" t="s">
        <v>27</v>
      </c>
      <c r="H1023" s="11" t="n">
        <v>26</v>
      </c>
      <c r="I1023" s="11" t="s">
        <v>402</v>
      </c>
      <c r="J1023" s="14" t="n">
        <v>17</v>
      </c>
      <c r="K1023" s="14"/>
      <c r="L1023" s="16"/>
      <c r="M1023" s="27" t="n">
        <f aca="false">J1023+(K1023/20)+(L1023/240)</f>
        <v>17</v>
      </c>
      <c r="N1023" s="17" t="s">
        <v>66</v>
      </c>
      <c r="O1023" s="11"/>
      <c r="P1023" s="28"/>
      <c r="Q1023" s="28" t="n">
        <f aca="false">P1023*$M1023</f>
        <v>0</v>
      </c>
      <c r="R1023" s="28"/>
      <c r="S1023" s="28" t="n">
        <f aca="false">R1023*$M1023</f>
        <v>0</v>
      </c>
      <c r="T1023" s="28" t="n">
        <v>126481</v>
      </c>
      <c r="U1023" s="28" t="n">
        <v>2150177</v>
      </c>
      <c r="V1023" s="28"/>
      <c r="W1023" s="28" t="n">
        <f aca="false">V1023*$M1023</f>
        <v>0</v>
      </c>
      <c r="X1023" s="28"/>
      <c r="Y1023" s="28" t="n">
        <f aca="false">X1023*$M1023</f>
        <v>0</v>
      </c>
      <c r="Z1023" s="28"/>
      <c r="AA1023" s="28" t="n">
        <f aca="false">Z1023*$M1023</f>
        <v>0</v>
      </c>
      <c r="AB1023" s="28"/>
      <c r="AC1023" s="28" t="n">
        <f aca="false">AB1023*$M1023</f>
        <v>0</v>
      </c>
      <c r="AD1023" s="28"/>
      <c r="AE1023" s="28" t="n">
        <f aca="false">AD1023*$M1023</f>
        <v>0</v>
      </c>
      <c r="AF1023" s="28"/>
      <c r="AG1023" s="28" t="n">
        <f aca="false">AF1023*$M1023</f>
        <v>0</v>
      </c>
      <c r="AH1023" s="28"/>
      <c r="AI1023" s="28" t="n">
        <f aca="false">AH1023*$M1023</f>
        <v>0</v>
      </c>
      <c r="AJ1023" s="28"/>
      <c r="AK1023" s="28" t="n">
        <f aca="false">AJ1023*$M1023</f>
        <v>0</v>
      </c>
      <c r="AL1023" s="28"/>
      <c r="AM1023" s="28" t="n">
        <f aca="false">AL1023*$M1023</f>
        <v>0</v>
      </c>
      <c r="AN1023" s="28"/>
      <c r="AO1023" s="28" t="n">
        <f aca="false">AN1023*$M1023</f>
        <v>0</v>
      </c>
      <c r="AP1023" s="28"/>
      <c r="AQ1023" s="28" t="n">
        <f aca="false">AP1023*$M1023</f>
        <v>0</v>
      </c>
      <c r="AR1023" s="28"/>
      <c r="AS1023" s="28" t="n">
        <f aca="false">AR1023*$M1023</f>
        <v>0</v>
      </c>
      <c r="AT1023" s="28"/>
      <c r="AU1023" s="28" t="n">
        <f aca="false">AT1023*$M1023</f>
        <v>0</v>
      </c>
      <c r="AV1023" s="28"/>
      <c r="AW1023" s="28" t="n">
        <f aca="false">AV1023*$M1023</f>
        <v>0</v>
      </c>
      <c r="AX1023" s="28"/>
      <c r="AY1023" s="28" t="n">
        <f aca="false">AX1023*$M1023</f>
        <v>0</v>
      </c>
      <c r="AZ1023" s="30" t="n">
        <v>126481</v>
      </c>
      <c r="BA1023" s="11" t="n">
        <v>2150177</v>
      </c>
      <c r="BB1023" s="31" t="n">
        <f aca="false">SUM(Q1023,S1023,U1023,W1023,Y1023,AA1023,AC1023,AE1023,AG1023,AI1023,AK1023,AM1023,AO1023,AQ1023,AS1023,AU1023,AW1023,AY1023)</f>
        <v>2150177</v>
      </c>
      <c r="BC1023" s="28" t="n">
        <f aca="false">BA1023-BB1023</f>
        <v>0</v>
      </c>
      <c r="BD1023" s="32" t="n">
        <f aca="false">SUM(P1023,R1023,T1023,V1023,X1023,Z1023,AB1023,AD1023,AF1023,AH1023,AJ1023,AL1023,AN1023,AP1023,AR1023,AT1023,AV1023,AX1023)</f>
        <v>126481</v>
      </c>
      <c r="BE1023" s="33" t="n">
        <f aca="false">AZ1023-BD1023</f>
        <v>0</v>
      </c>
      <c r="BF1023" s="34" t="n">
        <f aca="false">BD1023*M1023</f>
        <v>2150177</v>
      </c>
      <c r="BG1023" s="35" t="n">
        <f aca="false">BA1023-BF1023</f>
        <v>0</v>
      </c>
      <c r="BH1023" s="19" t="str">
        <f aca="false">IF(BG1023=0,"",IF(BG1023&lt;&gt;BA1023,"erreur de calcul",IF(BD1023&lt;&gt;0,"pas de prix",IF(M1023&lt;&gt; 0,"pas de quantité","pas de prix, ni de quantité"))))</f>
        <v/>
      </c>
      <c r="BI1023" s="19"/>
    </row>
    <row r="1024" customFormat="false" ht="15" hidden="false" customHeight="false" outlineLevel="0" collapsed="false">
      <c r="A1024" s="0" t="n">
        <v>32</v>
      </c>
      <c r="B1024" s="8" t="s">
        <v>24</v>
      </c>
      <c r="C1024" s="9" t="s">
        <v>25</v>
      </c>
      <c r="D1024" s="9" t="s">
        <v>26</v>
      </c>
      <c r="E1024" s="10" t="n">
        <v>1789</v>
      </c>
      <c r="F1024" s="9" t="s">
        <v>27</v>
      </c>
      <c r="G1024" s="9" t="s">
        <v>27</v>
      </c>
      <c r="H1024" s="11" t="n">
        <v>26</v>
      </c>
      <c r="I1024" s="11" t="s">
        <v>403</v>
      </c>
      <c r="J1024" s="14" t="n">
        <v>28</v>
      </c>
      <c r="K1024" s="14"/>
      <c r="L1024" s="16"/>
      <c r="M1024" s="27" t="n">
        <f aca="false">J1024+(K1024/20)+(L1024/240)</f>
        <v>28</v>
      </c>
      <c r="N1024" s="17" t="s">
        <v>66</v>
      </c>
      <c r="O1024" s="11"/>
      <c r="P1024" s="28"/>
      <c r="Q1024" s="28" t="n">
        <f aca="false">P1024*$M1024</f>
        <v>0</v>
      </c>
      <c r="R1024" s="28"/>
      <c r="S1024" s="28" t="n">
        <f aca="false">R1024*$M1024</f>
        <v>0</v>
      </c>
      <c r="T1024" s="28"/>
      <c r="U1024" s="28" t="n">
        <f aca="false">T1024*$M1024</f>
        <v>0</v>
      </c>
      <c r="V1024" s="28" t="n">
        <v>1923</v>
      </c>
      <c r="W1024" s="28" t="n">
        <v>53844</v>
      </c>
      <c r="X1024" s="28" t="n">
        <v>7280</v>
      </c>
      <c r="Y1024" s="36" t="n">
        <v>203860</v>
      </c>
      <c r="Z1024" s="28"/>
      <c r="AA1024" s="28" t="n">
        <f aca="false">Z1024*$M1024</f>
        <v>0</v>
      </c>
      <c r="AB1024" s="28" t="n">
        <v>128803</v>
      </c>
      <c r="AC1024" s="28" t="n">
        <v>3606484</v>
      </c>
      <c r="AD1024" s="28"/>
      <c r="AE1024" s="28" t="n">
        <f aca="false">AD1024*$M1024</f>
        <v>0</v>
      </c>
      <c r="AF1024" s="28"/>
      <c r="AG1024" s="28" t="n">
        <f aca="false">AF1024*$M1024</f>
        <v>0</v>
      </c>
      <c r="AH1024" s="28"/>
      <c r="AI1024" s="28" t="n">
        <f aca="false">AH1024*$M1024</f>
        <v>0</v>
      </c>
      <c r="AJ1024" s="28"/>
      <c r="AK1024" s="28" t="n">
        <f aca="false">AJ1024*$M1024</f>
        <v>0</v>
      </c>
      <c r="AL1024" s="28"/>
      <c r="AM1024" s="28" t="n">
        <f aca="false">AL1024*$M1024</f>
        <v>0</v>
      </c>
      <c r="AN1024" s="28"/>
      <c r="AO1024" s="28" t="n">
        <f aca="false">AN1024*$M1024</f>
        <v>0</v>
      </c>
      <c r="AP1024" s="28"/>
      <c r="AQ1024" s="28" t="n">
        <f aca="false">AP1024*$M1024</f>
        <v>0</v>
      </c>
      <c r="AR1024" s="28"/>
      <c r="AS1024" s="28" t="n">
        <f aca="false">AR1024*$M1024</f>
        <v>0</v>
      </c>
      <c r="AT1024" s="28"/>
      <c r="AU1024" s="28" t="n">
        <f aca="false">AT1024*$M1024</f>
        <v>0</v>
      </c>
      <c r="AV1024" s="28"/>
      <c r="AW1024" s="28" t="n">
        <f aca="false">AV1024*$M1024</f>
        <v>0</v>
      </c>
      <c r="AX1024" s="28"/>
      <c r="AY1024" s="28" t="n">
        <f aca="false">AX1024*$M1024</f>
        <v>0</v>
      </c>
      <c r="AZ1024" s="30" t="n">
        <v>138006</v>
      </c>
      <c r="BA1024" s="11" t="n">
        <v>3864188</v>
      </c>
      <c r="BB1024" s="31" t="n">
        <f aca="false">SUM(Q1024,S1024,U1024,W1024,Y1024,AA1024,AC1024,AE1024,AG1024,AI1024,AK1024,AM1024,AO1024,AQ1024,AS1024,AU1024,AW1024,AY1024)</f>
        <v>3864188</v>
      </c>
      <c r="BC1024" s="28" t="n">
        <f aca="false">BA1024-BB1024</f>
        <v>0</v>
      </c>
      <c r="BD1024" s="32" t="n">
        <f aca="false">SUM(P1024,R1024,T1024,V1024,X1024,Z1024,AB1024,AD1024,AF1024,AH1024,AJ1024,AL1024,AN1024,AP1024,AR1024,AT1024,AV1024,AX1024)</f>
        <v>138006</v>
      </c>
      <c r="BE1024" s="33" t="n">
        <f aca="false">AZ1024-BD1024</f>
        <v>0</v>
      </c>
      <c r="BF1024" s="34" t="n">
        <f aca="false">BD1024*M1024</f>
        <v>3864168</v>
      </c>
      <c r="BG1024" s="35" t="n">
        <f aca="false">BA1024-BF1024</f>
        <v>20</v>
      </c>
      <c r="BH1024" s="19" t="str">
        <f aca="false">IF(BG1024=0,"",IF(BG1024&lt;&gt;BA1024,"erreur de calcul",IF(BD1024&lt;&gt;0,"pas de prix",IF(M1024&lt;&gt; 0,"pas de quantité","pas de prix, ni de quantité"))))</f>
        <v>erreur de calcul</v>
      </c>
      <c r="BI1024" s="19"/>
    </row>
    <row r="1025" customFormat="false" ht="15" hidden="false" customHeight="false" outlineLevel="0" collapsed="false">
      <c r="A1025" s="0" t="n">
        <v>33</v>
      </c>
      <c r="B1025" s="8" t="s">
        <v>24</v>
      </c>
      <c r="C1025" s="9" t="s">
        <v>25</v>
      </c>
      <c r="D1025" s="9" t="s">
        <v>26</v>
      </c>
      <c r="E1025" s="10" t="n">
        <v>1789</v>
      </c>
      <c r="F1025" s="9" t="s">
        <v>27</v>
      </c>
      <c r="G1025" s="9" t="s">
        <v>27</v>
      </c>
      <c r="H1025" s="11" t="n">
        <v>26</v>
      </c>
      <c r="I1025" s="11" t="s">
        <v>404</v>
      </c>
      <c r="J1025" s="14"/>
      <c r="K1025" s="14" t="n">
        <v>30</v>
      </c>
      <c r="L1025" s="16"/>
      <c r="M1025" s="27" t="n">
        <f aca="false">J1025+(K1025/20)+(L1025/240)</f>
        <v>1.5</v>
      </c>
      <c r="N1025" s="17" t="s">
        <v>66</v>
      </c>
      <c r="O1025" s="11"/>
      <c r="P1025" s="28"/>
      <c r="Q1025" s="28" t="n">
        <f aca="false">P1025*$M1025</f>
        <v>0</v>
      </c>
      <c r="R1025" s="28"/>
      <c r="S1025" s="28" t="n">
        <f aca="false">R1025*$M1025</f>
        <v>0</v>
      </c>
      <c r="T1025" s="28" t="n">
        <v>11245</v>
      </c>
      <c r="U1025" s="28" t="n">
        <v>16867</v>
      </c>
      <c r="V1025" s="28"/>
      <c r="W1025" s="28" t="n">
        <f aca="false">V1025*$M1025</f>
        <v>0</v>
      </c>
      <c r="X1025" s="28"/>
      <c r="Y1025" s="28" t="n">
        <f aca="false">X1025*$M1025</f>
        <v>0</v>
      </c>
      <c r="Z1025" s="28"/>
      <c r="AA1025" s="28" t="n">
        <f aca="false">Z1025*$M1025</f>
        <v>0</v>
      </c>
      <c r="AB1025" s="28"/>
      <c r="AC1025" s="28" t="n">
        <f aca="false">AB1025*$M1025</f>
        <v>0</v>
      </c>
      <c r="AD1025" s="28"/>
      <c r="AE1025" s="28" t="n">
        <f aca="false">AD1025*$M1025</f>
        <v>0</v>
      </c>
      <c r="AF1025" s="28"/>
      <c r="AG1025" s="28" t="n">
        <f aca="false">AF1025*$M1025</f>
        <v>0</v>
      </c>
      <c r="AH1025" s="28"/>
      <c r="AI1025" s="28" t="n">
        <f aca="false">AH1025*$M1025</f>
        <v>0</v>
      </c>
      <c r="AJ1025" s="28"/>
      <c r="AK1025" s="28" t="n">
        <f aca="false">AJ1025*$M1025</f>
        <v>0</v>
      </c>
      <c r="AL1025" s="28"/>
      <c r="AM1025" s="28" t="n">
        <f aca="false">AL1025*$M1025</f>
        <v>0</v>
      </c>
      <c r="AN1025" s="28"/>
      <c r="AO1025" s="28" t="n">
        <f aca="false">AN1025*$M1025</f>
        <v>0</v>
      </c>
      <c r="AP1025" s="28"/>
      <c r="AQ1025" s="28" t="n">
        <f aca="false">AP1025*$M1025</f>
        <v>0</v>
      </c>
      <c r="AR1025" s="28"/>
      <c r="AS1025" s="28" t="n">
        <f aca="false">AR1025*$M1025</f>
        <v>0</v>
      </c>
      <c r="AT1025" s="28"/>
      <c r="AU1025" s="28" t="n">
        <f aca="false">AT1025*$M1025</f>
        <v>0</v>
      </c>
      <c r="AV1025" s="28"/>
      <c r="AW1025" s="28" t="n">
        <f aca="false">AV1025*$M1025</f>
        <v>0</v>
      </c>
      <c r="AX1025" s="28"/>
      <c r="AY1025" s="28" t="n">
        <f aca="false">AX1025*$M1025</f>
        <v>0</v>
      </c>
      <c r="AZ1025" s="30" t="n">
        <v>11245</v>
      </c>
      <c r="BA1025" s="11" t="n">
        <v>16867</v>
      </c>
      <c r="BB1025" s="31" t="n">
        <f aca="false">SUM(Q1025,S1025,U1025,W1025,Y1025,AA1025,AC1025,AE1025,AG1025,AI1025,AK1025,AM1025,AO1025,AQ1025,AS1025,AU1025,AW1025,AY1025)</f>
        <v>16867</v>
      </c>
      <c r="BC1025" s="28" t="n">
        <f aca="false">BA1025-BB1025</f>
        <v>0</v>
      </c>
      <c r="BD1025" s="32" t="n">
        <f aca="false">SUM(P1025,R1025,T1025,V1025,X1025,Z1025,AB1025,AD1025,AF1025,AH1025,AJ1025,AL1025,AN1025,AP1025,AR1025,AT1025,AV1025,AX1025)</f>
        <v>11245</v>
      </c>
      <c r="BE1025" s="33" t="n">
        <f aca="false">AZ1025-BD1025</f>
        <v>0</v>
      </c>
      <c r="BF1025" s="34" t="n">
        <f aca="false">BD1025*M1025</f>
        <v>16867.5</v>
      </c>
      <c r="BG1025" s="35" t="n">
        <f aca="false">BA1025-BF1025</f>
        <v>-0.5</v>
      </c>
      <c r="BH1025" s="19" t="str">
        <f aca="false">IF(BG1025=0,"",IF(BG1025&lt;&gt;BA1025,"erreur de calcul",IF(BD1025&lt;&gt;0,"pas de prix",IF(M1025&lt;&gt; 0,"pas de quantité","pas de prix, ni de quantité"))))</f>
        <v>erreur de calcul</v>
      </c>
      <c r="BI1025" s="19"/>
    </row>
    <row r="1026" customFormat="false" ht="15" hidden="false" customHeight="false" outlineLevel="0" collapsed="false">
      <c r="A1026" s="0" t="n">
        <v>34</v>
      </c>
      <c r="B1026" s="8" t="s">
        <v>24</v>
      </c>
      <c r="C1026" s="9" t="s">
        <v>25</v>
      </c>
      <c r="D1026" s="9" t="s">
        <v>26</v>
      </c>
      <c r="E1026" s="10" t="n">
        <v>1789</v>
      </c>
      <c r="F1026" s="9" t="s">
        <v>27</v>
      </c>
      <c r="G1026" s="9" t="s">
        <v>27</v>
      </c>
      <c r="H1026" s="11" t="n">
        <v>26</v>
      </c>
      <c r="I1026" s="11" t="s">
        <v>405</v>
      </c>
      <c r="J1026" s="14"/>
      <c r="K1026" s="14" t="n">
        <v>40</v>
      </c>
      <c r="L1026" s="16"/>
      <c r="M1026" s="27" t="n">
        <f aca="false">J1026+(K1026/20)+(L1026/240)</f>
        <v>2</v>
      </c>
      <c r="N1026" s="17" t="s">
        <v>66</v>
      </c>
      <c r="O1026" s="11"/>
      <c r="P1026" s="28"/>
      <c r="Q1026" s="28" t="n">
        <f aca="false">P1026*$M1026</f>
        <v>0</v>
      </c>
      <c r="R1026" s="28"/>
      <c r="S1026" s="28" t="n">
        <f aca="false">R1026*$M1026</f>
        <v>0</v>
      </c>
      <c r="T1026" s="28"/>
      <c r="U1026" s="28" t="n">
        <f aca="false">T1026*$M1026</f>
        <v>0</v>
      </c>
      <c r="V1026" s="28"/>
      <c r="W1026" s="28" t="n">
        <f aca="false">V1026*$M1026</f>
        <v>0</v>
      </c>
      <c r="X1026" s="28"/>
      <c r="Y1026" s="28" t="n">
        <f aca="false">X1026*$M1026</f>
        <v>0</v>
      </c>
      <c r="Z1026" s="28"/>
      <c r="AA1026" s="28" t="n">
        <f aca="false">Z1026*$M1026</f>
        <v>0</v>
      </c>
      <c r="AB1026" s="28"/>
      <c r="AC1026" s="28" t="n">
        <f aca="false">AB1026*$M1026</f>
        <v>0</v>
      </c>
      <c r="AD1026" s="28"/>
      <c r="AE1026" s="28" t="n">
        <f aca="false">AD1026*$M1026</f>
        <v>0</v>
      </c>
      <c r="AF1026" s="28"/>
      <c r="AG1026" s="28" t="n">
        <f aca="false">AF1026*$M1026</f>
        <v>0</v>
      </c>
      <c r="AH1026" s="28" t="n">
        <v>9380</v>
      </c>
      <c r="AI1026" s="28" t="n">
        <v>18760</v>
      </c>
      <c r="AJ1026" s="28"/>
      <c r="AK1026" s="28" t="n">
        <f aca="false">AJ1026*$M1026</f>
        <v>0</v>
      </c>
      <c r="AL1026" s="28"/>
      <c r="AM1026" s="28" t="n">
        <f aca="false">AL1026*$M1026</f>
        <v>0</v>
      </c>
      <c r="AN1026" s="28"/>
      <c r="AO1026" s="28" t="n">
        <f aca="false">AN1026*$M1026</f>
        <v>0</v>
      </c>
      <c r="AP1026" s="28"/>
      <c r="AQ1026" s="28" t="n">
        <f aca="false">AP1026*$M1026</f>
        <v>0</v>
      </c>
      <c r="AR1026" s="28"/>
      <c r="AS1026" s="28" t="n">
        <f aca="false">AR1026*$M1026</f>
        <v>0</v>
      </c>
      <c r="AT1026" s="28"/>
      <c r="AU1026" s="28" t="n">
        <f aca="false">AT1026*$M1026</f>
        <v>0</v>
      </c>
      <c r="AV1026" s="28"/>
      <c r="AW1026" s="28" t="n">
        <f aca="false">AV1026*$M1026</f>
        <v>0</v>
      </c>
      <c r="AX1026" s="28"/>
      <c r="AY1026" s="28" t="n">
        <f aca="false">AX1026*$M1026</f>
        <v>0</v>
      </c>
      <c r="AZ1026" s="30" t="n">
        <v>9380</v>
      </c>
      <c r="BA1026" s="11" t="n">
        <v>18760</v>
      </c>
      <c r="BB1026" s="31" t="n">
        <f aca="false">SUM(Q1026,S1026,U1026,W1026,Y1026,AA1026,AC1026,AE1026,AG1026,AI1026,AK1026,AM1026,AO1026,AQ1026,AS1026,AU1026,AW1026,AY1026)</f>
        <v>18760</v>
      </c>
      <c r="BC1026" s="28" t="n">
        <f aca="false">BA1026-BB1026</f>
        <v>0</v>
      </c>
      <c r="BD1026" s="32" t="n">
        <f aca="false">SUM(P1026,R1026,T1026,V1026,X1026,Z1026,AB1026,AD1026,AF1026,AH1026,AJ1026,AL1026,AN1026,AP1026,AR1026,AT1026,AV1026,AX1026)</f>
        <v>9380</v>
      </c>
      <c r="BE1026" s="33" t="n">
        <f aca="false">AZ1026-BD1026</f>
        <v>0</v>
      </c>
      <c r="BF1026" s="34" t="n">
        <f aca="false">BD1026*M1026</f>
        <v>18760</v>
      </c>
      <c r="BG1026" s="35" t="n">
        <f aca="false">BA1026-BF1026</f>
        <v>0</v>
      </c>
      <c r="BH1026" s="19" t="str">
        <f aca="false">IF(BG1026=0,"",IF(BG1026&lt;&gt;BA1026,"erreur de calcul",IF(BD1026&lt;&gt;0,"pas de prix",IF(M1026&lt;&gt; 0,"pas de quantité","pas de prix, ni de quantité"))))</f>
        <v/>
      </c>
      <c r="BI1026" s="19"/>
    </row>
    <row r="1027" customFormat="false" ht="15" hidden="false" customHeight="false" outlineLevel="0" collapsed="false">
      <c r="A1027" s="0" t="n">
        <v>35</v>
      </c>
      <c r="B1027" s="8" t="s">
        <v>24</v>
      </c>
      <c r="C1027" s="9" t="s">
        <v>25</v>
      </c>
      <c r="D1027" s="9" t="s">
        <v>26</v>
      </c>
      <c r="E1027" s="10" t="n">
        <v>1789</v>
      </c>
      <c r="F1027" s="9" t="s">
        <v>27</v>
      </c>
      <c r="G1027" s="9" t="s">
        <v>27</v>
      </c>
      <c r="H1027" s="11" t="n">
        <v>26</v>
      </c>
      <c r="I1027" s="11" t="s">
        <v>406</v>
      </c>
      <c r="J1027" s="14" t="n">
        <v>55</v>
      </c>
      <c r="K1027" s="14"/>
      <c r="L1027" s="16"/>
      <c r="M1027" s="27" t="n">
        <f aca="false">J1027+(K1027/20)+(L1027/240)</f>
        <v>55</v>
      </c>
      <c r="N1027" s="17" t="s">
        <v>64</v>
      </c>
      <c r="O1027" s="11"/>
      <c r="P1027" s="28" t="n">
        <f aca="false">634/100</f>
        <v>6.34</v>
      </c>
      <c r="Q1027" s="28" t="n">
        <v>349</v>
      </c>
      <c r="R1027" s="28"/>
      <c r="S1027" s="28" t="n">
        <f aca="false">R1027*$M1027</f>
        <v>0</v>
      </c>
      <c r="T1027" s="28" t="n">
        <f aca="false">2450/100</f>
        <v>24.5</v>
      </c>
      <c r="U1027" s="28" t="n">
        <v>1347</v>
      </c>
      <c r="V1027" s="28" t="n">
        <f aca="false">9685/100</f>
        <v>96.85</v>
      </c>
      <c r="W1027" s="28" t="n">
        <v>5327</v>
      </c>
      <c r="X1027" s="28"/>
      <c r="Y1027" s="28" t="n">
        <f aca="false">X1027*$M1027</f>
        <v>0</v>
      </c>
      <c r="Z1027" s="28"/>
      <c r="AA1027" s="28" t="n">
        <f aca="false">Z1027*$M1027</f>
        <v>0</v>
      </c>
      <c r="AB1027" s="28"/>
      <c r="AC1027" s="28" t="n">
        <f aca="false">AB1027*$M1027</f>
        <v>0</v>
      </c>
      <c r="AD1027" s="28"/>
      <c r="AE1027" s="28" t="n">
        <f aca="false">AD1027*$M1027</f>
        <v>0</v>
      </c>
      <c r="AF1027" s="28"/>
      <c r="AG1027" s="28" t="n">
        <f aca="false">AF1027*$M1027</f>
        <v>0</v>
      </c>
      <c r="AH1027" s="28"/>
      <c r="AI1027" s="28" t="n">
        <f aca="false">AH1027*$M1027</f>
        <v>0</v>
      </c>
      <c r="AJ1027" s="28"/>
      <c r="AK1027" s="28" t="n">
        <f aca="false">AJ1027*$M1027</f>
        <v>0</v>
      </c>
      <c r="AL1027" s="28"/>
      <c r="AM1027" s="28" t="n">
        <f aca="false">AL1027*$M1027</f>
        <v>0</v>
      </c>
      <c r="AN1027" s="28"/>
      <c r="AO1027" s="28" t="n">
        <f aca="false">AN1027*$M1027</f>
        <v>0</v>
      </c>
      <c r="AP1027" s="28"/>
      <c r="AQ1027" s="28" t="n">
        <f aca="false">AP1027*$M1027</f>
        <v>0</v>
      </c>
      <c r="AR1027" s="28"/>
      <c r="AS1027" s="28" t="n">
        <f aca="false">AR1027*$M1027</f>
        <v>0</v>
      </c>
      <c r="AT1027" s="28"/>
      <c r="AU1027" s="28" t="n">
        <f aca="false">AT1027*$M1027</f>
        <v>0</v>
      </c>
      <c r="AV1027" s="28"/>
      <c r="AW1027" s="28" t="n">
        <f aca="false">AV1027*$M1027</f>
        <v>0</v>
      </c>
      <c r="AX1027" s="28"/>
      <c r="AY1027" s="28" t="n">
        <f aca="false">AX1027*$M1027</f>
        <v>0</v>
      </c>
      <c r="AZ1027" s="30" t="n">
        <f aca="false">12769/100</f>
        <v>127.69</v>
      </c>
      <c r="BA1027" s="11" t="n">
        <v>7023</v>
      </c>
      <c r="BB1027" s="31" t="n">
        <f aca="false">SUM(Q1027,S1027,U1027,W1027,Y1027,AA1027,AC1027,AE1027,AG1027,AI1027,AK1027,AM1027,AO1027,AQ1027,AS1027,AU1027,AW1027,AY1027)</f>
        <v>7023</v>
      </c>
      <c r="BC1027" s="28" t="n">
        <f aca="false">BA1027-BB1027</f>
        <v>0</v>
      </c>
      <c r="BD1027" s="32" t="n">
        <f aca="false">SUM(P1027,R1027,T1027,V1027,X1027,Z1027,AB1027,AD1027,AF1027,AH1027,AJ1027,AL1027,AN1027,AP1027,AR1027,AT1027,AV1027,AX1027)</f>
        <v>127.69</v>
      </c>
      <c r="BE1027" s="33" t="n">
        <f aca="false">AZ1027-BD1027</f>
        <v>0</v>
      </c>
      <c r="BF1027" s="34" t="n">
        <f aca="false">BD1027*M1027</f>
        <v>7022.95</v>
      </c>
      <c r="BG1027" s="35" t="n">
        <f aca="false">BA1027-BF1027</f>
        <v>0.0500000000001819</v>
      </c>
      <c r="BH1027" s="19" t="str">
        <f aca="false">IF(BG1027=0,"",IF(BG1027&lt;&gt;BA1027,"erreur de calcul",IF(BD1027&lt;&gt;0,"pas de prix",IF(M1027&lt;&gt; 0,"pas de quantité","pas de prix, ni de quantité"))))</f>
        <v>erreur de calcul</v>
      </c>
      <c r="BI1027" s="19"/>
    </row>
    <row r="1028" customFormat="false" ht="15" hidden="false" customHeight="false" outlineLevel="0" collapsed="false">
      <c r="A1028" s="0" t="n">
        <v>36</v>
      </c>
      <c r="B1028" s="8" t="s">
        <v>24</v>
      </c>
      <c r="C1028" s="9" t="s">
        <v>25</v>
      </c>
      <c r="D1028" s="9" t="s">
        <v>26</v>
      </c>
      <c r="E1028" s="10" t="n">
        <v>1789</v>
      </c>
      <c r="F1028" s="9" t="s">
        <v>27</v>
      </c>
      <c r="G1028" s="9" t="s">
        <v>27</v>
      </c>
      <c r="H1028" s="11" t="n">
        <v>26</v>
      </c>
      <c r="I1028" s="11" t="s">
        <v>407</v>
      </c>
      <c r="J1028" s="14" t="n">
        <v>44</v>
      </c>
      <c r="K1028" s="14"/>
      <c r="L1028" s="16"/>
      <c r="M1028" s="27" t="n">
        <f aca="false">J1028+(K1028/20)+(L1028/240)</f>
        <v>44</v>
      </c>
      <c r="N1028" s="17" t="s">
        <v>64</v>
      </c>
      <c r="O1028" s="11" t="s">
        <v>77</v>
      </c>
      <c r="P1028" s="28" t="n">
        <f aca="false">68669/100</f>
        <v>686.69</v>
      </c>
      <c r="Q1028" s="28" t="n">
        <v>30214</v>
      </c>
      <c r="R1028" s="28"/>
      <c r="S1028" s="28" t="n">
        <f aca="false">R1028*$M1028</f>
        <v>0</v>
      </c>
      <c r="T1028" s="28" t="n">
        <f aca="false">7101/100</f>
        <v>71.01</v>
      </c>
      <c r="U1028" s="28" t="n">
        <v>3124</v>
      </c>
      <c r="V1028" s="28" t="n">
        <f aca="false">27549/100</f>
        <v>275.49</v>
      </c>
      <c r="W1028" s="28" t="n">
        <v>12121</v>
      </c>
      <c r="X1028" s="28" t="n">
        <f aca="false">947914/100</f>
        <v>9479.14</v>
      </c>
      <c r="Y1028" s="28" t="n">
        <v>417082</v>
      </c>
      <c r="Z1028" s="28" t="n">
        <f aca="false">183606/100</f>
        <v>1836.06</v>
      </c>
      <c r="AA1028" s="28" t="n">
        <v>80787</v>
      </c>
      <c r="AB1028" s="28" t="n">
        <f aca="false">36047/100</f>
        <v>360.47</v>
      </c>
      <c r="AC1028" s="28" t="n">
        <v>15861</v>
      </c>
      <c r="AD1028" s="28" t="n">
        <f aca="false">12322/100</f>
        <v>123.22</v>
      </c>
      <c r="AE1028" s="28" t="n">
        <v>5422</v>
      </c>
      <c r="AF1028" s="28"/>
      <c r="AG1028" s="28" t="n">
        <f aca="false">AF1028*$M1028</f>
        <v>0</v>
      </c>
      <c r="AH1028" s="28" t="n">
        <f aca="false">3318/100</f>
        <v>33.18</v>
      </c>
      <c r="AI1028" s="28" t="n">
        <v>1460</v>
      </c>
      <c r="AJ1028" s="28"/>
      <c r="AK1028" s="28" t="n">
        <f aca="false">AJ1028*$M1028</f>
        <v>0</v>
      </c>
      <c r="AL1028" s="28" t="n">
        <f aca="false">28260/100</f>
        <v>282.6</v>
      </c>
      <c r="AM1028" s="28" t="n">
        <v>12434</v>
      </c>
      <c r="AN1028" s="28"/>
      <c r="AO1028" s="28" t="n">
        <f aca="false">AN1028*$M1028</f>
        <v>0</v>
      </c>
      <c r="AP1028" s="28"/>
      <c r="AQ1028" s="28" t="n">
        <f aca="false">AP1028*$M1028</f>
        <v>0</v>
      </c>
      <c r="AR1028" s="28"/>
      <c r="AS1028" s="28" t="n">
        <f aca="false">AR1028*$M1028</f>
        <v>0</v>
      </c>
      <c r="AT1028" s="28"/>
      <c r="AU1028" s="28" t="n">
        <f aca="false">AT1028*$M1028</f>
        <v>0</v>
      </c>
      <c r="AV1028" s="28"/>
      <c r="AW1028" s="28" t="n">
        <f aca="false">AV1028*$M1028</f>
        <v>0</v>
      </c>
      <c r="AX1028" s="28"/>
      <c r="AY1028" s="28" t="n">
        <f aca="false">AX1028*$M1028</f>
        <v>0</v>
      </c>
      <c r="AZ1028" s="30" t="n">
        <f aca="false">1314786/100</f>
        <v>13147.86</v>
      </c>
      <c r="BA1028" s="11" t="n">
        <v>578505</v>
      </c>
      <c r="BB1028" s="31" t="n">
        <f aca="false">SUM(Q1028,S1028,U1028,W1028,Y1028,AA1028,AC1028,AE1028,AG1028,AI1028,AK1028,AM1028,AO1028,AQ1028,AS1028,AU1028,AW1028,AY1028)</f>
        <v>578505</v>
      </c>
      <c r="BC1028" s="28" t="n">
        <f aca="false">BA1028-BB1028</f>
        <v>0</v>
      </c>
      <c r="BD1028" s="32" t="n">
        <f aca="false">SUM(P1028,R1028,T1028,V1028,X1028,Z1028,AB1028,AD1028,AF1028,AH1028,AJ1028,AL1028,AN1028,AP1028,AR1028,AT1028,AV1028,AX1028)</f>
        <v>13147.86</v>
      </c>
      <c r="BE1028" s="33" t="n">
        <f aca="false">AZ1028-BD1028</f>
        <v>0</v>
      </c>
      <c r="BF1028" s="34" t="n">
        <f aca="false">BD1028*M1028</f>
        <v>578505.84</v>
      </c>
      <c r="BG1028" s="35" t="n">
        <f aca="false">BA1028-BF1028</f>
        <v>-0.839999999967404</v>
      </c>
      <c r="BH1028" s="19" t="str">
        <f aca="false">IF(BG1028=0,"",IF(BG1028&lt;&gt;BA1028,"erreur de calcul",IF(BD1028&lt;&gt;0,"pas de prix",IF(M1028&lt;&gt; 0,"pas de quantité","pas de prix, ni de quantité"))))</f>
        <v>erreur de calcul</v>
      </c>
      <c r="BI1028" s="19"/>
    </row>
    <row r="1029" customFormat="false" ht="15" hidden="false" customHeight="false" outlineLevel="0" collapsed="false">
      <c r="A1029" s="0" t="n">
        <v>37</v>
      </c>
      <c r="B1029" s="8" t="s">
        <v>24</v>
      </c>
      <c r="C1029" s="9" t="s">
        <v>25</v>
      </c>
      <c r="D1029" s="9" t="s">
        <v>26</v>
      </c>
      <c r="E1029" s="10" t="n">
        <v>1789</v>
      </c>
      <c r="F1029" s="9" t="s">
        <v>27</v>
      </c>
      <c r="G1029" s="9" t="s">
        <v>27</v>
      </c>
      <c r="H1029" s="11" t="n">
        <v>26</v>
      </c>
      <c r="I1029" s="11" t="s">
        <v>408</v>
      </c>
      <c r="J1029" s="14" t="n">
        <v>40</v>
      </c>
      <c r="K1029" s="14"/>
      <c r="L1029" s="16"/>
      <c r="M1029" s="27" t="n">
        <f aca="false">J1029+(K1029/20)+(L1029/240)</f>
        <v>40</v>
      </c>
      <c r="N1029" s="17" t="s">
        <v>64</v>
      </c>
      <c r="O1029" s="11"/>
      <c r="P1029" s="28"/>
      <c r="Q1029" s="28" t="n">
        <f aca="false">P1029*$M1029</f>
        <v>0</v>
      </c>
      <c r="R1029" s="28"/>
      <c r="S1029" s="28" t="n">
        <f aca="false">R1029*$M1029</f>
        <v>0</v>
      </c>
      <c r="T1029" s="28"/>
      <c r="U1029" s="28" t="n">
        <f aca="false">T1029*$M1029</f>
        <v>0</v>
      </c>
      <c r="V1029" s="28" t="n">
        <f aca="false">4827/100</f>
        <v>48.27</v>
      </c>
      <c r="W1029" s="28" t="n">
        <v>1931</v>
      </c>
      <c r="X1029" s="28"/>
      <c r="Y1029" s="28" t="n">
        <f aca="false">X1029*$M1029</f>
        <v>0</v>
      </c>
      <c r="Z1029" s="28"/>
      <c r="AA1029" s="28" t="n">
        <f aca="false">Z1029*$M1029</f>
        <v>0</v>
      </c>
      <c r="AB1029" s="28"/>
      <c r="AC1029" s="28" t="n">
        <f aca="false">AB1029*$M1029</f>
        <v>0</v>
      </c>
      <c r="AD1029" s="28"/>
      <c r="AE1029" s="28" t="n">
        <f aca="false">AD1029*$M1029</f>
        <v>0</v>
      </c>
      <c r="AF1029" s="28"/>
      <c r="AG1029" s="28" t="n">
        <f aca="false">AF1029*$M1029</f>
        <v>0</v>
      </c>
      <c r="AH1029" s="28"/>
      <c r="AI1029" s="28" t="n">
        <f aca="false">AH1029*$M1029</f>
        <v>0</v>
      </c>
      <c r="AJ1029" s="28"/>
      <c r="AK1029" s="28" t="n">
        <f aca="false">AJ1029*$M1029</f>
        <v>0</v>
      </c>
      <c r="AL1029" s="28"/>
      <c r="AM1029" s="28" t="n">
        <f aca="false">AL1029*$M1029</f>
        <v>0</v>
      </c>
      <c r="AN1029" s="28"/>
      <c r="AO1029" s="28" t="n">
        <f aca="false">AN1029*$M1029</f>
        <v>0</v>
      </c>
      <c r="AP1029" s="28"/>
      <c r="AQ1029" s="28" t="n">
        <f aca="false">AP1029*$M1029</f>
        <v>0</v>
      </c>
      <c r="AR1029" s="28"/>
      <c r="AS1029" s="28" t="n">
        <f aca="false">AR1029*$M1029</f>
        <v>0</v>
      </c>
      <c r="AT1029" s="28"/>
      <c r="AU1029" s="28" t="n">
        <f aca="false">AT1029*$M1029</f>
        <v>0</v>
      </c>
      <c r="AV1029" s="28"/>
      <c r="AW1029" s="28" t="n">
        <f aca="false">AV1029*$M1029</f>
        <v>0</v>
      </c>
      <c r="AX1029" s="28" t="n">
        <f aca="false">835109/100</f>
        <v>8351.09</v>
      </c>
      <c r="AY1029" s="28" t="n">
        <v>334044</v>
      </c>
      <c r="AZ1029" s="30" t="n">
        <f aca="false">839936/100</f>
        <v>8399.36</v>
      </c>
      <c r="BA1029" s="11" t="n">
        <v>335975</v>
      </c>
      <c r="BB1029" s="31" t="n">
        <f aca="false">SUM(Q1029,S1029,U1029,W1029,Y1029,AA1029,AC1029,AE1029,AG1029,AI1029,AK1029,AM1029,AO1029,AQ1029,AS1029,AU1029,AW1029,AY1029)</f>
        <v>335975</v>
      </c>
      <c r="BC1029" s="28" t="n">
        <f aca="false">BA1029-BB1029</f>
        <v>0</v>
      </c>
      <c r="BD1029" s="32" t="n">
        <f aca="false">SUM(P1029,R1029,T1029,V1029,X1029,Z1029,AB1029,AD1029,AF1029,AH1029,AJ1029,AL1029,AN1029,AP1029,AR1029,AT1029,AV1029,AX1029)</f>
        <v>8399.36</v>
      </c>
      <c r="BE1029" s="33" t="n">
        <f aca="false">AZ1029-BD1029</f>
        <v>0</v>
      </c>
      <c r="BF1029" s="34" t="n">
        <f aca="false">BD1029*M1029</f>
        <v>335974.4</v>
      </c>
      <c r="BG1029" s="35" t="n">
        <f aca="false">BA1029-BF1029</f>
        <v>0.599999999976717</v>
      </c>
      <c r="BH1029" s="19" t="str">
        <f aca="false">IF(BG1029=0,"",IF(BG1029&lt;&gt;BA1029,"erreur de calcul",IF(BD1029&lt;&gt;0,"pas de prix",IF(M1029&lt;&gt; 0,"pas de quantité","pas de prix, ni de quantité"))))</f>
        <v>erreur de calcul</v>
      </c>
      <c r="BI1029" s="19"/>
    </row>
    <row r="1030" customFormat="false" ht="16.65" hidden="false" customHeight="false" outlineLevel="0" collapsed="false">
      <c r="A1030" s="0" t="n">
        <v>38</v>
      </c>
      <c r="B1030" s="8" t="s">
        <v>24</v>
      </c>
      <c r="C1030" s="9" t="s">
        <v>25</v>
      </c>
      <c r="D1030" s="9" t="s">
        <v>26</v>
      </c>
      <c r="E1030" s="10" t="n">
        <v>1789</v>
      </c>
      <c r="F1030" s="9" t="s">
        <v>27</v>
      </c>
      <c r="G1030" s="9" t="s">
        <v>27</v>
      </c>
      <c r="H1030" s="11" t="n">
        <v>26</v>
      </c>
      <c r="I1030" s="11" t="s">
        <v>409</v>
      </c>
      <c r="J1030" s="14"/>
      <c r="K1030" s="14" t="n">
        <v>13</v>
      </c>
      <c r="L1030" s="16"/>
      <c r="M1030" s="27" t="n">
        <f aca="false">J1030+(K1030/20)+(L1030/240)</f>
        <v>0.65</v>
      </c>
      <c r="N1030" s="17" t="s">
        <v>64</v>
      </c>
      <c r="O1030" s="11"/>
      <c r="P1030" s="28"/>
      <c r="Q1030" s="28" t="n">
        <f aca="false">P1030*$M1030</f>
        <v>0</v>
      </c>
      <c r="R1030" s="28"/>
      <c r="S1030" s="28" t="n">
        <f aca="false">R1030*$M1030</f>
        <v>0</v>
      </c>
      <c r="T1030" s="28"/>
      <c r="U1030" s="28" t="n">
        <f aca="false">T1030*$M1030</f>
        <v>0</v>
      </c>
      <c r="V1030" s="28"/>
      <c r="W1030" s="28" t="n">
        <f aca="false">V1030*$M1030</f>
        <v>0</v>
      </c>
      <c r="X1030" s="28"/>
      <c r="Y1030" s="28" t="n">
        <f aca="false">X1030*$M1030</f>
        <v>0</v>
      </c>
      <c r="Z1030" s="28" t="n">
        <f aca="false">2471002/100</f>
        <v>24710.02</v>
      </c>
      <c r="AA1030" s="28" t="n">
        <v>16061</v>
      </c>
      <c r="AB1030" s="28"/>
      <c r="AC1030" s="28" t="n">
        <f aca="false">AB1030*$M1030</f>
        <v>0</v>
      </c>
      <c r="AD1030" s="28"/>
      <c r="AE1030" s="28" t="n">
        <f aca="false">AD1030*$M1030</f>
        <v>0</v>
      </c>
      <c r="AF1030" s="28"/>
      <c r="AG1030" s="28" t="n">
        <f aca="false">AF1030*$M1030</f>
        <v>0</v>
      </c>
      <c r="AH1030" s="28"/>
      <c r="AI1030" s="28" t="n">
        <f aca="false">AH1030*$M1030</f>
        <v>0</v>
      </c>
      <c r="AJ1030" s="28"/>
      <c r="AK1030" s="28" t="n">
        <f aca="false">AJ1030*$M1030</f>
        <v>0</v>
      </c>
      <c r="AL1030" s="28"/>
      <c r="AM1030" s="28" t="n">
        <f aca="false">AL1030*$M1030</f>
        <v>0</v>
      </c>
      <c r="AN1030" s="28"/>
      <c r="AO1030" s="28" t="n">
        <f aca="false">AN1030*$M1030</f>
        <v>0</v>
      </c>
      <c r="AP1030" s="28"/>
      <c r="AQ1030" s="28" t="n">
        <f aca="false">AP1030*$M1030</f>
        <v>0</v>
      </c>
      <c r="AR1030" s="28"/>
      <c r="AS1030" s="28" t="n">
        <f aca="false">AR1030*$M1030</f>
        <v>0</v>
      </c>
      <c r="AT1030" s="28"/>
      <c r="AU1030" s="28" t="n">
        <f aca="false">AT1030*$M1030</f>
        <v>0</v>
      </c>
      <c r="AV1030" s="28"/>
      <c r="AW1030" s="28" t="n">
        <f aca="false">AV1030*$M1030</f>
        <v>0</v>
      </c>
      <c r="AX1030" s="28"/>
      <c r="AY1030" s="28" t="n">
        <f aca="false">AX1030*$M1030</f>
        <v>0</v>
      </c>
      <c r="AZ1030" s="30" t="n">
        <f aca="false">2471002</f>
        <v>2471002</v>
      </c>
      <c r="BA1030" s="11" t="n">
        <v>16061</v>
      </c>
      <c r="BB1030" s="31" t="n">
        <f aca="false">SUM(Q1030,S1030,U1030,W1030,Y1030,AA1030,AC1030,AE1030,AG1030,AI1030,AK1030,AM1030,AO1030,AQ1030,AS1030,AU1030,AW1030,AY1030)</f>
        <v>16061</v>
      </c>
      <c r="BC1030" s="28" t="n">
        <f aca="false">BA1030-BB1030</f>
        <v>0</v>
      </c>
      <c r="BD1030" s="32" t="n">
        <f aca="false">SUM(P1030,R1030,T1030,V1030,X1030,Z1030,AB1030,AD1030,AF1030,AH1030,AJ1030,AL1030,AN1030,AP1030,AR1030,AT1030,AV1030,AX1030)</f>
        <v>24710.02</v>
      </c>
      <c r="BE1030" s="33" t="n">
        <f aca="false">AZ1030-BD1030</f>
        <v>2446291.98</v>
      </c>
      <c r="BF1030" s="34" t="n">
        <f aca="false">BD1030*M1030</f>
        <v>16061.513</v>
      </c>
      <c r="BG1030" s="35" t="n">
        <f aca="false">BA1030-BF1030</f>
        <v>-0.513000000000829</v>
      </c>
      <c r="BH1030" s="19" t="str">
        <f aca="false">IF(BG1030=0,"",IF(BG1030&lt;&gt;BA1030,"erreur de calcul",IF(BD1030&lt;&gt;0,"pas de prix",IF(M1030&lt;&gt; 0,"pas de quantité","pas de prix, ni de quantité"))))</f>
        <v>erreur de calcul</v>
      </c>
      <c r="BI1030" s="19"/>
    </row>
    <row r="1031" customFormat="false" ht="15" hidden="false" customHeight="false" outlineLevel="0" collapsed="false">
      <c r="A1031" s="0" t="n">
        <v>39</v>
      </c>
      <c r="B1031" s="8" t="s">
        <v>24</v>
      </c>
      <c r="C1031" s="9" t="s">
        <v>25</v>
      </c>
      <c r="D1031" s="9" t="s">
        <v>26</v>
      </c>
      <c r="E1031" s="10" t="n">
        <v>1789</v>
      </c>
      <c r="F1031" s="9" t="s">
        <v>27</v>
      </c>
      <c r="G1031" s="9" t="s">
        <v>27</v>
      </c>
      <c r="H1031" s="11" t="n">
        <v>26</v>
      </c>
      <c r="I1031" s="11" t="s">
        <v>410</v>
      </c>
      <c r="J1031" s="14" t="n">
        <v>10</v>
      </c>
      <c r="K1031" s="14"/>
      <c r="L1031" s="16"/>
      <c r="M1031" s="27" t="n">
        <f aca="false">J1031+(K1031/20)+(L1031/240)</f>
        <v>10</v>
      </c>
      <c r="N1031" s="17" t="s">
        <v>64</v>
      </c>
      <c r="O1031" s="11"/>
      <c r="P1031" s="28"/>
      <c r="Q1031" s="28" t="n">
        <f aca="false">P1031*$M1031</f>
        <v>0</v>
      </c>
      <c r="R1031" s="28"/>
      <c r="S1031" s="28" t="n">
        <f aca="false">R1031*$M1031</f>
        <v>0</v>
      </c>
      <c r="T1031" s="28"/>
      <c r="U1031" s="28" t="n">
        <f aca="false">T1031*$M1031</f>
        <v>0</v>
      </c>
      <c r="V1031" s="28"/>
      <c r="W1031" s="28" t="n">
        <f aca="false">V1031*$M1031</f>
        <v>0</v>
      </c>
      <c r="X1031" s="28" t="n">
        <f aca="false">2481/100</f>
        <v>24.81</v>
      </c>
      <c r="Y1031" s="28" t="n">
        <v>248</v>
      </c>
      <c r="Z1031" s="28"/>
      <c r="AA1031" s="28" t="n">
        <f aca="false">Z1031*$M1031</f>
        <v>0</v>
      </c>
      <c r="AB1031" s="28"/>
      <c r="AC1031" s="28" t="n">
        <f aca="false">AB1031*$M1031</f>
        <v>0</v>
      </c>
      <c r="AD1031" s="28"/>
      <c r="AE1031" s="28" t="n">
        <f aca="false">AD1031*$M1031</f>
        <v>0</v>
      </c>
      <c r="AF1031" s="28"/>
      <c r="AG1031" s="28" t="n">
        <f aca="false">AF1031*$M1031</f>
        <v>0</v>
      </c>
      <c r="AH1031" s="28"/>
      <c r="AI1031" s="28" t="n">
        <f aca="false">AH1031*$M1031</f>
        <v>0</v>
      </c>
      <c r="AJ1031" s="28"/>
      <c r="AK1031" s="28" t="n">
        <f aca="false">AJ1031*$M1031</f>
        <v>0</v>
      </c>
      <c r="AL1031" s="28"/>
      <c r="AM1031" s="28" t="n">
        <f aca="false">AL1031*$M1031</f>
        <v>0</v>
      </c>
      <c r="AN1031" s="28"/>
      <c r="AO1031" s="28" t="n">
        <f aca="false">AN1031*$M1031</f>
        <v>0</v>
      </c>
      <c r="AP1031" s="28"/>
      <c r="AQ1031" s="28" t="n">
        <f aca="false">AP1031*$M1031</f>
        <v>0</v>
      </c>
      <c r="AR1031" s="28"/>
      <c r="AS1031" s="28" t="n">
        <f aca="false">AR1031*$M1031</f>
        <v>0</v>
      </c>
      <c r="AT1031" s="28"/>
      <c r="AU1031" s="28" t="n">
        <f aca="false">AT1031*$M1031</f>
        <v>0</v>
      </c>
      <c r="AV1031" s="28"/>
      <c r="AW1031" s="28" t="n">
        <f aca="false">AV1031*$M1031</f>
        <v>0</v>
      </c>
      <c r="AX1031" s="28"/>
      <c r="AY1031" s="28" t="n">
        <f aca="false">AX1031*$M1031</f>
        <v>0</v>
      </c>
      <c r="AZ1031" s="30" t="n">
        <f aca="false">2481/100</f>
        <v>24.81</v>
      </c>
      <c r="BA1031" s="11" t="n">
        <v>248</v>
      </c>
      <c r="BB1031" s="31" t="n">
        <f aca="false">SUM(Q1031,S1031,U1031,W1031,Y1031,AA1031,AC1031,AE1031,AG1031,AI1031,AK1031,AM1031,AO1031,AQ1031,AS1031,AU1031,AW1031,AY1031)</f>
        <v>248</v>
      </c>
      <c r="BC1031" s="28" t="n">
        <f aca="false">BA1031-BB1031</f>
        <v>0</v>
      </c>
      <c r="BD1031" s="32" t="n">
        <f aca="false">SUM(P1031,R1031,T1031,V1031,X1031,Z1031,AB1031,AD1031,AF1031,AH1031,AJ1031,AL1031,AN1031,AP1031,AR1031,AT1031,AV1031,AX1031)</f>
        <v>24.81</v>
      </c>
      <c r="BE1031" s="33" t="n">
        <f aca="false">AZ1031-BD1031</f>
        <v>0</v>
      </c>
      <c r="BF1031" s="34" t="n">
        <f aca="false">BD1031*M1031</f>
        <v>248.1</v>
      </c>
      <c r="BG1031" s="35" t="n">
        <f aca="false">BA1031-BF1031</f>
        <v>-0.0999999999999943</v>
      </c>
      <c r="BH1031" s="19" t="str">
        <f aca="false">IF(BG1031=0,"",IF(BG1031&lt;&gt;BA1031,"erreur de calcul",IF(BD1031&lt;&gt;0,"pas de prix",IF(M1031&lt;&gt; 0,"pas de quantité","pas de prix, ni de quantité"))))</f>
        <v>erreur de calcul</v>
      </c>
      <c r="BI1031" s="19"/>
    </row>
    <row r="1032" customFormat="false" ht="15" hidden="false" customHeight="false" outlineLevel="0" collapsed="false">
      <c r="A1032" s="0" t="n">
        <v>40</v>
      </c>
      <c r="B1032" s="8" t="s">
        <v>24</v>
      </c>
      <c r="C1032" s="9" t="s">
        <v>25</v>
      </c>
      <c r="D1032" s="9" t="s">
        <v>26</v>
      </c>
      <c r="E1032" s="10" t="n">
        <v>1789</v>
      </c>
      <c r="F1032" s="9" t="s">
        <v>27</v>
      </c>
      <c r="G1032" s="9" t="s">
        <v>27</v>
      </c>
      <c r="H1032" s="11" t="n">
        <v>26</v>
      </c>
      <c r="I1032" s="11" t="s">
        <v>411</v>
      </c>
      <c r="J1032" s="14" t="n">
        <v>5</v>
      </c>
      <c r="K1032" s="14"/>
      <c r="L1032" s="16"/>
      <c r="M1032" s="27" t="n">
        <f aca="false">J1032+(K1032/20)+(L1032/240)</f>
        <v>5</v>
      </c>
      <c r="N1032" s="17" t="s">
        <v>66</v>
      </c>
      <c r="O1032" s="11" t="s">
        <v>98</v>
      </c>
      <c r="P1032" s="28"/>
      <c r="Q1032" s="28" t="n">
        <f aca="false">P1032*$M1032</f>
        <v>0</v>
      </c>
      <c r="R1032" s="28"/>
      <c r="S1032" s="28" t="n">
        <f aca="false">R1032*$M1032</f>
        <v>0</v>
      </c>
      <c r="T1032" s="28"/>
      <c r="U1032" s="28" t="n">
        <f aca="false">T1032*$M1032</f>
        <v>0</v>
      </c>
      <c r="V1032" s="28"/>
      <c r="W1032" s="28" t="n">
        <f aca="false">V1032*$M1032</f>
        <v>0</v>
      </c>
      <c r="X1032" s="28"/>
      <c r="Y1032" s="28" t="n">
        <f aca="false">X1032*$M1032</f>
        <v>0</v>
      </c>
      <c r="Z1032" s="28"/>
      <c r="AA1032" s="28" t="n">
        <f aca="false">Z1032*$M1032</f>
        <v>0</v>
      </c>
      <c r="AB1032" s="28"/>
      <c r="AC1032" s="28" t="n">
        <f aca="false">AB1032*$M1032</f>
        <v>0</v>
      </c>
      <c r="AD1032" s="28"/>
      <c r="AE1032" s="28" t="n">
        <f aca="false">AD1032*$M1032</f>
        <v>0</v>
      </c>
      <c r="AF1032" s="28" t="n">
        <v>22</v>
      </c>
      <c r="AG1032" s="28" t="n">
        <v>110</v>
      </c>
      <c r="AH1032" s="28" t="n">
        <v>2657</v>
      </c>
      <c r="AI1032" s="28" t="n">
        <v>13285</v>
      </c>
      <c r="AJ1032" s="28"/>
      <c r="AK1032" s="28" t="n">
        <f aca="false">AJ1032*$M1032</f>
        <v>0</v>
      </c>
      <c r="AL1032" s="28"/>
      <c r="AM1032" s="28" t="n">
        <f aca="false">AL1032*$M1032</f>
        <v>0</v>
      </c>
      <c r="AN1032" s="28"/>
      <c r="AO1032" s="28" t="n">
        <f aca="false">AN1032*$M1032</f>
        <v>0</v>
      </c>
      <c r="AP1032" s="28"/>
      <c r="AQ1032" s="28" t="n">
        <f aca="false">AP1032*$M1032</f>
        <v>0</v>
      </c>
      <c r="AR1032" s="28"/>
      <c r="AS1032" s="28" t="n">
        <f aca="false">AR1032*$M1032</f>
        <v>0</v>
      </c>
      <c r="AT1032" s="28"/>
      <c r="AU1032" s="28" t="n">
        <f aca="false">AT1032*$M1032</f>
        <v>0</v>
      </c>
      <c r="AV1032" s="28"/>
      <c r="AW1032" s="28" t="n">
        <f aca="false">AV1032*$M1032</f>
        <v>0</v>
      </c>
      <c r="AX1032" s="28"/>
      <c r="AY1032" s="28" t="n">
        <f aca="false">AX1032*$M1032</f>
        <v>0</v>
      </c>
      <c r="AZ1032" s="30" t="n">
        <v>2679</v>
      </c>
      <c r="BA1032" s="11" t="n">
        <v>13395</v>
      </c>
      <c r="BB1032" s="31" t="n">
        <f aca="false">SUM(Q1032,S1032,U1032,W1032,Y1032,AA1032,AC1032,AE1032,AG1032,AI1032,AK1032,AM1032,AO1032,AQ1032,AS1032,AU1032,AW1032,AY1032)</f>
        <v>13395</v>
      </c>
      <c r="BC1032" s="28" t="n">
        <f aca="false">BA1032-BB1032</f>
        <v>0</v>
      </c>
      <c r="BD1032" s="32" t="n">
        <f aca="false">SUM(P1032,R1032,T1032,V1032,X1032,Z1032,AB1032,AD1032,AF1032,AH1032,AJ1032,AL1032,AN1032,AP1032,AR1032,AT1032,AV1032,AX1032)</f>
        <v>2679</v>
      </c>
      <c r="BE1032" s="33" t="n">
        <f aca="false">AZ1032-BD1032</f>
        <v>0</v>
      </c>
      <c r="BF1032" s="34" t="n">
        <f aca="false">BD1032*M1032</f>
        <v>13395</v>
      </c>
      <c r="BG1032" s="35" t="n">
        <f aca="false">BA1032-BF1032</f>
        <v>0</v>
      </c>
      <c r="BH1032" s="19" t="str">
        <f aca="false">IF(BG1032=0,"",IF(BG1032&lt;&gt;BA1032,"erreur de calcul",IF(BD1032&lt;&gt;0,"pas de prix",IF(M1032&lt;&gt; 0,"pas de quantité","pas de prix, ni de quantité"))))</f>
        <v/>
      </c>
      <c r="BI1032" s="19"/>
    </row>
    <row r="1033" customFormat="false" ht="15" hidden="false" customHeight="false" outlineLevel="0" collapsed="false">
      <c r="A1033" s="0" t="n">
        <v>1</v>
      </c>
      <c r="B1033" s="8" t="s">
        <v>24</v>
      </c>
      <c r="C1033" s="9" t="s">
        <v>25</v>
      </c>
      <c r="D1033" s="9" t="s">
        <v>26</v>
      </c>
      <c r="E1033" s="10" t="n">
        <v>1789</v>
      </c>
      <c r="F1033" s="9" t="s">
        <v>27</v>
      </c>
      <c r="G1033" s="9" t="s">
        <v>27</v>
      </c>
      <c r="H1033" s="11" t="n">
        <v>27</v>
      </c>
      <c r="I1033" s="11" t="s">
        <v>412</v>
      </c>
      <c r="J1033" s="14" t="n">
        <v>7</v>
      </c>
      <c r="K1033" s="14" t="n">
        <v>10</v>
      </c>
      <c r="L1033" s="16"/>
      <c r="M1033" s="27" t="n">
        <f aca="false">J1033+(K1033/20)+(L1033/240)</f>
        <v>7.5</v>
      </c>
      <c r="N1033" s="17" t="s">
        <v>64</v>
      </c>
      <c r="O1033" s="11"/>
      <c r="P1033" s="28" t="n">
        <f aca="false">16667/100</f>
        <v>166.67</v>
      </c>
      <c r="Q1033" s="28" t="n">
        <v>1250</v>
      </c>
      <c r="R1033" s="28"/>
      <c r="S1033" s="28" t="n">
        <f aca="false">R1033*$M1033</f>
        <v>0</v>
      </c>
      <c r="T1033" s="28"/>
      <c r="U1033" s="28" t="n">
        <f aca="false">T1033*$M1033</f>
        <v>0</v>
      </c>
      <c r="V1033" s="28" t="n">
        <f aca="false">407887/100</f>
        <v>4078.87</v>
      </c>
      <c r="W1033" s="28" t="n">
        <v>30591</v>
      </c>
      <c r="X1033" s="28" t="n">
        <f aca="false">4444/100</f>
        <v>44.44</v>
      </c>
      <c r="Y1033" s="28" t="n">
        <v>333</v>
      </c>
      <c r="Z1033" s="28" t="n">
        <f aca="false">16084/100</f>
        <v>160.84</v>
      </c>
      <c r="AA1033" s="28" t="n">
        <v>1206</v>
      </c>
      <c r="AB1033" s="28" t="n">
        <f aca="false">20834/100</f>
        <v>208.34</v>
      </c>
      <c r="AC1033" s="28" t="n">
        <v>1562</v>
      </c>
      <c r="AD1033" s="28"/>
      <c r="AE1033" s="28" t="n">
        <f aca="false">AD1033*$M1033</f>
        <v>0</v>
      </c>
      <c r="AF1033" s="28"/>
      <c r="AG1033" s="28" t="n">
        <f aca="false">AF1033*$M1033</f>
        <v>0</v>
      </c>
      <c r="AH1033" s="28"/>
      <c r="AI1033" s="28" t="n">
        <f aca="false">AH1033*$M1033</f>
        <v>0</v>
      </c>
      <c r="AJ1033" s="28"/>
      <c r="AK1033" s="28" t="n">
        <f aca="false">AJ1033*$M1033</f>
        <v>0</v>
      </c>
      <c r="AL1033" s="28"/>
      <c r="AM1033" s="28" t="n">
        <f aca="false">AL1033*$M1033</f>
        <v>0</v>
      </c>
      <c r="AN1033" s="28"/>
      <c r="AO1033" s="28" t="n">
        <f aca="false">AN1033*$M1033</f>
        <v>0</v>
      </c>
      <c r="AP1033" s="28"/>
      <c r="AQ1033" s="28" t="n">
        <f aca="false">AP1033*$M1033</f>
        <v>0</v>
      </c>
      <c r="AR1033" s="28"/>
      <c r="AS1033" s="28" t="n">
        <f aca="false">AR1033*$M1033</f>
        <v>0</v>
      </c>
      <c r="AT1033" s="28"/>
      <c r="AU1033" s="28" t="n">
        <f aca="false">AT1033*$M1033</f>
        <v>0</v>
      </c>
      <c r="AV1033" s="28"/>
      <c r="AW1033" s="28" t="n">
        <f aca="false">AV1033*$M1033</f>
        <v>0</v>
      </c>
      <c r="AX1033" s="28"/>
      <c r="AY1033" s="28" t="n">
        <f aca="false">AX1033*$M1033</f>
        <v>0</v>
      </c>
      <c r="AZ1033" s="30" t="n">
        <f aca="false">465916/100</f>
        <v>4659.16</v>
      </c>
      <c r="BA1033" s="11" t="n">
        <v>34942</v>
      </c>
      <c r="BB1033" s="31" t="n">
        <f aca="false">SUM(Q1033,S1033,U1033,W1033,Y1033,AA1033,AC1033,AE1033,AG1033,AI1033,AK1033,AM1033,AO1033,AQ1033,AS1033,AU1033,AW1033,AY1033)</f>
        <v>34942</v>
      </c>
      <c r="BC1033" s="28" t="n">
        <f aca="false">BA1033-BB1033</f>
        <v>0</v>
      </c>
      <c r="BD1033" s="32" t="n">
        <f aca="false">SUM(P1033,R1033,T1033,V1033,X1033,Z1033,AB1033,AD1033,AF1033,AH1033,AJ1033,AL1033,AN1033,AP1033,AR1033,AT1033,AV1033,AX1033)</f>
        <v>4659.16</v>
      </c>
      <c r="BE1033" s="33" t="n">
        <f aca="false">AZ1033-BD1033</f>
        <v>0</v>
      </c>
      <c r="BF1033" s="34" t="n">
        <f aca="false">BD1033*M1033</f>
        <v>34943.7</v>
      </c>
      <c r="BG1033" s="35" t="n">
        <f aca="false">BA1033-BF1033</f>
        <v>-1.69999999999709</v>
      </c>
      <c r="BH1033" s="19" t="str">
        <f aca="false">IF(BG1033=0,"",IF(BG1033&lt;&gt;BA1033,"erreur de calcul",IF(BD1033&lt;&gt;0,"pas de prix",IF(M1033&lt;&gt; 0,"pas de quantité","pas de prix, ni de quantité"))))</f>
        <v>erreur de calcul</v>
      </c>
      <c r="BI1033" s="19"/>
    </row>
    <row r="1034" customFormat="false" ht="15" hidden="false" customHeight="false" outlineLevel="0" collapsed="false">
      <c r="A1034" s="0" t="n">
        <v>2</v>
      </c>
      <c r="B1034" s="8" t="s">
        <v>24</v>
      </c>
      <c r="C1034" s="9" t="s">
        <v>25</v>
      </c>
      <c r="D1034" s="9" t="s">
        <v>26</v>
      </c>
      <c r="E1034" s="10" t="n">
        <v>1789</v>
      </c>
      <c r="F1034" s="9" t="s">
        <v>27</v>
      </c>
      <c r="G1034" s="9" t="s">
        <v>27</v>
      </c>
      <c r="H1034" s="11" t="n">
        <v>27</v>
      </c>
      <c r="I1034" s="11" t="s">
        <v>413</v>
      </c>
      <c r="J1034" s="14" t="n">
        <v>3</v>
      </c>
      <c r="K1034" s="14"/>
      <c r="L1034" s="16"/>
      <c r="M1034" s="27" t="n">
        <f aca="false">J1034+(K1034/20)+(L1034/240)</f>
        <v>3</v>
      </c>
      <c r="N1034" s="17" t="s">
        <v>66</v>
      </c>
      <c r="O1034" s="11"/>
      <c r="P1034" s="28"/>
      <c r="Q1034" s="28" t="n">
        <f aca="false">P1034*$M1034</f>
        <v>0</v>
      </c>
      <c r="R1034" s="28"/>
      <c r="S1034" s="28" t="n">
        <f aca="false">R1034*$M1034</f>
        <v>0</v>
      </c>
      <c r="T1034" s="28"/>
      <c r="U1034" s="28" t="n">
        <f aca="false">T1034*$M1034</f>
        <v>0</v>
      </c>
      <c r="V1034" s="28"/>
      <c r="W1034" s="28" t="n">
        <f aca="false">V1034*$M1034</f>
        <v>0</v>
      </c>
      <c r="X1034" s="28"/>
      <c r="Y1034" s="28" t="n">
        <f aca="false">X1034*$M1034</f>
        <v>0</v>
      </c>
      <c r="Z1034" s="28"/>
      <c r="AA1034" s="28" t="n">
        <f aca="false">Z1034*$M1034</f>
        <v>0</v>
      </c>
      <c r="AB1034" s="28"/>
      <c r="AC1034" s="28" t="n">
        <f aca="false">AB1034*$M1034</f>
        <v>0</v>
      </c>
      <c r="AD1034" s="28"/>
      <c r="AE1034" s="28" t="n">
        <f aca="false">AD1034*$M1034</f>
        <v>0</v>
      </c>
      <c r="AF1034" s="28"/>
      <c r="AG1034" s="28" t="n">
        <f aca="false">AF1034*$M1034</f>
        <v>0</v>
      </c>
      <c r="AH1034" s="28" t="n">
        <v>58272</v>
      </c>
      <c r="AI1034" s="28" t="n">
        <v>174816</v>
      </c>
      <c r="AJ1034" s="28"/>
      <c r="AK1034" s="28" t="n">
        <f aca="false">AJ1034*$M1034</f>
        <v>0</v>
      </c>
      <c r="AL1034" s="28"/>
      <c r="AM1034" s="28" t="n">
        <f aca="false">AL1034*$M1034</f>
        <v>0</v>
      </c>
      <c r="AN1034" s="28"/>
      <c r="AO1034" s="28" t="n">
        <f aca="false">AN1034*$M1034</f>
        <v>0</v>
      </c>
      <c r="AP1034" s="28"/>
      <c r="AQ1034" s="28" t="n">
        <f aca="false">AP1034*$M1034</f>
        <v>0</v>
      </c>
      <c r="AR1034" s="28"/>
      <c r="AS1034" s="28" t="n">
        <f aca="false">AR1034*$M1034</f>
        <v>0</v>
      </c>
      <c r="AT1034" s="28"/>
      <c r="AU1034" s="28" t="n">
        <f aca="false">AT1034*$M1034</f>
        <v>0</v>
      </c>
      <c r="AV1034" s="28"/>
      <c r="AW1034" s="28" t="n">
        <f aca="false">AV1034*$M1034</f>
        <v>0</v>
      </c>
      <c r="AX1034" s="28"/>
      <c r="AY1034" s="28" t="n">
        <f aca="false">AX1034*$M1034</f>
        <v>0</v>
      </c>
      <c r="AZ1034" s="30" t="n">
        <f aca="false">58272</f>
        <v>58272</v>
      </c>
      <c r="BA1034" s="11" t="n">
        <v>174816</v>
      </c>
      <c r="BB1034" s="31" t="n">
        <f aca="false">SUM(Q1034,S1034,U1034,W1034,Y1034,AA1034,AC1034,AE1034,AG1034,AI1034,AK1034,AM1034,AO1034,AQ1034,AS1034,AU1034,AW1034,AY1034)</f>
        <v>174816</v>
      </c>
      <c r="BC1034" s="28" t="n">
        <f aca="false">BA1034-BB1034</f>
        <v>0</v>
      </c>
      <c r="BD1034" s="32" t="n">
        <f aca="false">SUM(P1034,R1034,T1034,V1034,X1034,Z1034,AB1034,AD1034,AF1034,AH1034,AJ1034,AL1034,AN1034,AP1034,AR1034,AT1034,AV1034,AX1034)</f>
        <v>58272</v>
      </c>
      <c r="BE1034" s="33" t="n">
        <f aca="false">AZ1034-BD1034</f>
        <v>0</v>
      </c>
      <c r="BF1034" s="34" t="n">
        <f aca="false">BD1034*M1034</f>
        <v>174816</v>
      </c>
      <c r="BG1034" s="35" t="n">
        <f aca="false">BA1034-BF1034</f>
        <v>0</v>
      </c>
      <c r="BH1034" s="19" t="str">
        <f aca="false">IF(BG1034=0,"",IF(BG1034&lt;&gt;BA1034,"erreur de calcul",IF(BD1034&lt;&gt;0,"pas de prix",IF(M1034&lt;&gt; 0,"pas de quantité","pas de prix, ni de quantité"))))</f>
        <v/>
      </c>
      <c r="BI1034" s="19"/>
    </row>
    <row r="1035" customFormat="false" ht="15" hidden="false" customHeight="false" outlineLevel="0" collapsed="false">
      <c r="A1035" s="0" t="n">
        <v>3</v>
      </c>
      <c r="B1035" s="8" t="s">
        <v>24</v>
      </c>
      <c r="C1035" s="9" t="s">
        <v>25</v>
      </c>
      <c r="D1035" s="9" t="s">
        <v>26</v>
      </c>
      <c r="E1035" s="10" t="n">
        <v>1789</v>
      </c>
      <c r="F1035" s="9" t="s">
        <v>27</v>
      </c>
      <c r="G1035" s="9" t="s">
        <v>27</v>
      </c>
      <c r="H1035" s="11" t="n">
        <v>27</v>
      </c>
      <c r="I1035" s="11" t="s">
        <v>414</v>
      </c>
      <c r="J1035" s="14" t="n">
        <v>3</v>
      </c>
      <c r="K1035" s="14"/>
      <c r="L1035" s="16"/>
      <c r="M1035" s="27" t="n">
        <f aca="false">J1035+(K1035/20)+(L1035/240)</f>
        <v>3</v>
      </c>
      <c r="N1035" s="17" t="s">
        <v>66</v>
      </c>
      <c r="O1035" s="11" t="s">
        <v>98</v>
      </c>
      <c r="P1035" s="28"/>
      <c r="Q1035" s="28" t="n">
        <f aca="false">P1035*$M1035</f>
        <v>0</v>
      </c>
      <c r="R1035" s="28"/>
      <c r="S1035" s="28" t="n">
        <f aca="false">R1035*$M1035</f>
        <v>0</v>
      </c>
      <c r="T1035" s="28"/>
      <c r="U1035" s="28" t="n">
        <f aca="false">T1035*$M1035</f>
        <v>0</v>
      </c>
      <c r="V1035" s="28"/>
      <c r="W1035" s="28" t="n">
        <f aca="false">V1035*$M1035</f>
        <v>0</v>
      </c>
      <c r="X1035" s="28"/>
      <c r="Y1035" s="28" t="n">
        <f aca="false">X1035*$M1035</f>
        <v>0</v>
      </c>
      <c r="Z1035" s="28"/>
      <c r="AA1035" s="28" t="n">
        <f aca="false">Z1035*$M1035</f>
        <v>0</v>
      </c>
      <c r="AB1035" s="28"/>
      <c r="AC1035" s="28" t="n">
        <f aca="false">AB1035*$M1035</f>
        <v>0</v>
      </c>
      <c r="AD1035" s="28"/>
      <c r="AE1035" s="28" t="n">
        <f aca="false">AD1035*$M1035</f>
        <v>0</v>
      </c>
      <c r="AF1035" s="28"/>
      <c r="AG1035" s="28" t="n">
        <f aca="false">AF1035*$M1035</f>
        <v>0</v>
      </c>
      <c r="AH1035" s="28" t="n">
        <v>110560</v>
      </c>
      <c r="AI1035" s="28" t="n">
        <v>331680</v>
      </c>
      <c r="AJ1035" s="28"/>
      <c r="AK1035" s="28" t="n">
        <f aca="false">AJ1035*$M1035</f>
        <v>0</v>
      </c>
      <c r="AL1035" s="28"/>
      <c r="AM1035" s="28" t="n">
        <f aca="false">AL1035*$M1035</f>
        <v>0</v>
      </c>
      <c r="AN1035" s="28"/>
      <c r="AO1035" s="28" t="n">
        <f aca="false">AN1035*$M1035</f>
        <v>0</v>
      </c>
      <c r="AP1035" s="28"/>
      <c r="AQ1035" s="28" t="n">
        <f aca="false">AP1035*$M1035</f>
        <v>0</v>
      </c>
      <c r="AR1035" s="28"/>
      <c r="AS1035" s="28" t="n">
        <f aca="false">AR1035*$M1035</f>
        <v>0</v>
      </c>
      <c r="AT1035" s="28"/>
      <c r="AU1035" s="28" t="n">
        <f aca="false">AT1035*$M1035</f>
        <v>0</v>
      </c>
      <c r="AV1035" s="28"/>
      <c r="AW1035" s="28" t="n">
        <f aca="false">AV1035*$M1035</f>
        <v>0</v>
      </c>
      <c r="AX1035" s="28"/>
      <c r="AY1035" s="28" t="n">
        <f aca="false">AX1035*$M1035</f>
        <v>0</v>
      </c>
      <c r="AZ1035" s="30" t="n">
        <v>110560</v>
      </c>
      <c r="BA1035" s="11" t="n">
        <v>331680</v>
      </c>
      <c r="BB1035" s="31" t="n">
        <f aca="false">SUM(Q1035,S1035,U1035,W1035,Y1035,AA1035,AC1035,AE1035,AG1035,AI1035,AK1035,AM1035,AO1035,AQ1035,AS1035,AU1035,AW1035,AY1035)</f>
        <v>331680</v>
      </c>
      <c r="BC1035" s="28" t="n">
        <f aca="false">BA1035-BB1035</f>
        <v>0</v>
      </c>
      <c r="BD1035" s="32" t="n">
        <f aca="false">SUM(P1035,R1035,T1035,V1035,X1035,Z1035,AB1035,AD1035,AF1035,AH1035,AJ1035,AL1035,AN1035,AP1035,AR1035,AT1035,AV1035,AX1035)</f>
        <v>110560</v>
      </c>
      <c r="BE1035" s="33" t="n">
        <f aca="false">AZ1035-BD1035</f>
        <v>0</v>
      </c>
      <c r="BF1035" s="34" t="n">
        <f aca="false">BD1035*M1035</f>
        <v>331680</v>
      </c>
      <c r="BG1035" s="35" t="n">
        <f aca="false">BA1035-BF1035</f>
        <v>0</v>
      </c>
      <c r="BH1035" s="19" t="str">
        <f aca="false">IF(BG1035=0,"",IF(BG1035&lt;&gt;BA1035,"erreur de calcul",IF(BD1035&lt;&gt;0,"pas de prix",IF(M1035&lt;&gt; 0,"pas de quantité","pas de prix, ni de quantité"))))</f>
        <v/>
      </c>
      <c r="BI1035" s="19"/>
    </row>
    <row r="1036" customFormat="false" ht="15" hidden="false" customHeight="false" outlineLevel="0" collapsed="false">
      <c r="A1036" s="0" t="n">
        <v>4</v>
      </c>
      <c r="B1036" s="8" t="s">
        <v>24</v>
      </c>
      <c r="C1036" s="9" t="s">
        <v>25</v>
      </c>
      <c r="D1036" s="9" t="s">
        <v>26</v>
      </c>
      <c r="E1036" s="10" t="n">
        <v>1789</v>
      </c>
      <c r="F1036" s="9" t="s">
        <v>27</v>
      </c>
      <c r="G1036" s="9" t="s">
        <v>27</v>
      </c>
      <c r="H1036" s="11" t="n">
        <v>27</v>
      </c>
      <c r="I1036" s="11" t="s">
        <v>415</v>
      </c>
      <c r="J1036" s="14" t="n">
        <v>3</v>
      </c>
      <c r="K1036" s="14" t="n">
        <v>10</v>
      </c>
      <c r="L1036" s="16"/>
      <c r="M1036" s="27" t="n">
        <f aca="false">J1036+(K1036/20)+(L1036/240)</f>
        <v>3.5</v>
      </c>
      <c r="N1036" s="17" t="s">
        <v>66</v>
      </c>
      <c r="O1036" s="11" t="s">
        <v>98</v>
      </c>
      <c r="P1036" s="28"/>
      <c r="Q1036" s="28" t="n">
        <f aca="false">P1036*$M1036</f>
        <v>0</v>
      </c>
      <c r="R1036" s="28"/>
      <c r="S1036" s="28" t="n">
        <f aca="false">R1036*$M1036</f>
        <v>0</v>
      </c>
      <c r="T1036" s="28"/>
      <c r="U1036" s="28" t="n">
        <f aca="false">T1036*$M1036</f>
        <v>0</v>
      </c>
      <c r="V1036" s="28"/>
      <c r="W1036" s="28" t="n">
        <f aca="false">V1036*$M1036</f>
        <v>0</v>
      </c>
      <c r="X1036" s="28" t="n">
        <v>218</v>
      </c>
      <c r="Y1036" s="28" t="n">
        <v>763</v>
      </c>
      <c r="Z1036" s="28"/>
      <c r="AA1036" s="28" t="n">
        <f aca="false">Z1036*$M1036</f>
        <v>0</v>
      </c>
      <c r="AB1036" s="28"/>
      <c r="AC1036" s="28" t="n">
        <f aca="false">AB1036*$M1036</f>
        <v>0</v>
      </c>
      <c r="AD1036" s="28"/>
      <c r="AE1036" s="28" t="n">
        <f aca="false">AD1036*$M1036</f>
        <v>0</v>
      </c>
      <c r="AF1036" s="28"/>
      <c r="AG1036" s="28" t="n">
        <f aca="false">AF1036*$M1036</f>
        <v>0</v>
      </c>
      <c r="AH1036" s="28" t="n">
        <v>25905</v>
      </c>
      <c r="AI1036" s="28" t="n">
        <v>90667</v>
      </c>
      <c r="AJ1036" s="28"/>
      <c r="AK1036" s="28" t="n">
        <f aca="false">AJ1036*$M1036</f>
        <v>0</v>
      </c>
      <c r="AL1036" s="28"/>
      <c r="AM1036" s="28" t="n">
        <f aca="false">AL1036*$M1036</f>
        <v>0</v>
      </c>
      <c r="AN1036" s="28"/>
      <c r="AO1036" s="28" t="n">
        <f aca="false">AN1036*$M1036</f>
        <v>0</v>
      </c>
      <c r="AP1036" s="28"/>
      <c r="AQ1036" s="28" t="n">
        <f aca="false">AP1036*$M1036</f>
        <v>0</v>
      </c>
      <c r="AR1036" s="28"/>
      <c r="AS1036" s="28" t="n">
        <f aca="false">AR1036*$M1036</f>
        <v>0</v>
      </c>
      <c r="AT1036" s="28"/>
      <c r="AU1036" s="28" t="n">
        <f aca="false">AT1036*$M1036</f>
        <v>0</v>
      </c>
      <c r="AV1036" s="28"/>
      <c r="AW1036" s="28" t="n">
        <f aca="false">AV1036*$M1036</f>
        <v>0</v>
      </c>
      <c r="AX1036" s="28"/>
      <c r="AY1036" s="28" t="n">
        <f aca="false">AX1036*$M1036</f>
        <v>0</v>
      </c>
      <c r="AZ1036" s="30" t="n">
        <v>26123</v>
      </c>
      <c r="BA1036" s="11" t="n">
        <v>91430</v>
      </c>
      <c r="BB1036" s="31" t="n">
        <f aca="false">SUM(Q1036,S1036,U1036,W1036,Y1036,AA1036,AC1036,AE1036,AG1036,AI1036,AK1036,AM1036,AO1036,AQ1036,AS1036,AU1036,AW1036,AY1036)</f>
        <v>91430</v>
      </c>
      <c r="BC1036" s="28" t="n">
        <f aca="false">BA1036-BB1036</f>
        <v>0</v>
      </c>
      <c r="BD1036" s="32" t="n">
        <f aca="false">SUM(P1036,R1036,T1036,V1036,X1036,Z1036,AB1036,AD1036,AF1036,AH1036,AJ1036,AL1036,AN1036,AP1036,AR1036,AT1036,AV1036,AX1036)</f>
        <v>26123</v>
      </c>
      <c r="BE1036" s="33" t="n">
        <f aca="false">AZ1036-BD1036</f>
        <v>0</v>
      </c>
      <c r="BF1036" s="34" t="n">
        <f aca="false">BD1036*M1036</f>
        <v>91430.5</v>
      </c>
      <c r="BG1036" s="35" t="n">
        <f aca="false">BA1036-BF1036</f>
        <v>-0.5</v>
      </c>
      <c r="BH1036" s="19" t="str">
        <f aca="false">IF(BG1036=0,"",IF(BG1036&lt;&gt;BA1036,"erreur de calcul",IF(BD1036&lt;&gt;0,"pas de prix",IF(M1036&lt;&gt; 0,"pas de quantité","pas de prix, ni de quantité"))))</f>
        <v>erreur de calcul</v>
      </c>
      <c r="BI1036" s="19"/>
    </row>
    <row r="1037" customFormat="false" ht="15" hidden="false" customHeight="false" outlineLevel="0" collapsed="false">
      <c r="A1037" s="0" t="n">
        <v>5</v>
      </c>
      <c r="B1037" s="8" t="s">
        <v>24</v>
      </c>
      <c r="C1037" s="9" t="s">
        <v>25</v>
      </c>
      <c r="D1037" s="9" t="s">
        <v>26</v>
      </c>
      <c r="E1037" s="10" t="n">
        <v>1789</v>
      </c>
      <c r="F1037" s="9" t="s">
        <v>27</v>
      </c>
      <c r="G1037" s="9" t="s">
        <v>27</v>
      </c>
      <c r="H1037" s="11" t="n">
        <v>27</v>
      </c>
      <c r="I1037" s="11" t="s">
        <v>416</v>
      </c>
      <c r="J1037" s="14"/>
      <c r="K1037" s="14" t="n">
        <v>30</v>
      </c>
      <c r="L1037" s="16"/>
      <c r="M1037" s="27" t="n">
        <f aca="false">J1037+(K1037/20)+(L1037/240)</f>
        <v>1.5</v>
      </c>
      <c r="N1037" s="17" t="s">
        <v>66</v>
      </c>
      <c r="O1037" s="11"/>
      <c r="P1037" s="28"/>
      <c r="Q1037" s="28" t="n">
        <f aca="false">P1037*$M1037</f>
        <v>0</v>
      </c>
      <c r="R1037" s="28"/>
      <c r="S1037" s="28" t="n">
        <f aca="false">R1037*$M1037</f>
        <v>0</v>
      </c>
      <c r="T1037" s="28"/>
      <c r="U1037" s="28" t="n">
        <f aca="false">T1037*$M1037</f>
        <v>0</v>
      </c>
      <c r="V1037" s="28"/>
      <c r="W1037" s="28" t="n">
        <f aca="false">V1037*$M1037</f>
        <v>0</v>
      </c>
      <c r="X1037" s="28"/>
      <c r="Y1037" s="28" t="n">
        <f aca="false">X1037*$M1037</f>
        <v>0</v>
      </c>
      <c r="Z1037" s="28"/>
      <c r="AA1037" s="28" t="n">
        <f aca="false">Z1037*$M1037</f>
        <v>0</v>
      </c>
      <c r="AB1037" s="28"/>
      <c r="AC1037" s="28" t="n">
        <f aca="false">AB1037*$M1037</f>
        <v>0</v>
      </c>
      <c r="AD1037" s="28"/>
      <c r="AE1037" s="28" t="n">
        <f aca="false">AD1037*$M1037</f>
        <v>0</v>
      </c>
      <c r="AF1037" s="28"/>
      <c r="AG1037" s="28" t="n">
        <f aca="false">AF1037*$M1037</f>
        <v>0</v>
      </c>
      <c r="AH1037" s="28" t="n">
        <v>75870</v>
      </c>
      <c r="AI1037" s="28" t="n">
        <v>113805</v>
      </c>
      <c r="AJ1037" s="28"/>
      <c r="AK1037" s="28" t="n">
        <f aca="false">AJ1037*$M1037</f>
        <v>0</v>
      </c>
      <c r="AL1037" s="28"/>
      <c r="AM1037" s="28" t="n">
        <f aca="false">AL1037*$M1037</f>
        <v>0</v>
      </c>
      <c r="AN1037" s="28"/>
      <c r="AO1037" s="28" t="n">
        <f aca="false">AN1037*$M1037</f>
        <v>0</v>
      </c>
      <c r="AP1037" s="28"/>
      <c r="AQ1037" s="28" t="n">
        <f aca="false">AP1037*$M1037</f>
        <v>0</v>
      </c>
      <c r="AR1037" s="28"/>
      <c r="AS1037" s="28" t="n">
        <f aca="false">AR1037*$M1037</f>
        <v>0</v>
      </c>
      <c r="AT1037" s="28"/>
      <c r="AU1037" s="28" t="n">
        <f aca="false">AT1037*$M1037</f>
        <v>0</v>
      </c>
      <c r="AV1037" s="28"/>
      <c r="AW1037" s="28" t="n">
        <f aca="false">AV1037*$M1037</f>
        <v>0</v>
      </c>
      <c r="AX1037" s="28"/>
      <c r="AY1037" s="28" t="n">
        <f aca="false">AX1037*$M1037</f>
        <v>0</v>
      </c>
      <c r="AZ1037" s="30" t="n">
        <v>75870</v>
      </c>
      <c r="BA1037" s="11" t="n">
        <v>113805</v>
      </c>
      <c r="BB1037" s="31" t="n">
        <f aca="false">SUM(Q1037,S1037,U1037,W1037,Y1037,AA1037,AC1037,AE1037,AG1037,AI1037,AK1037,AM1037,AO1037,AQ1037,AS1037,AU1037,AW1037,AY1037)</f>
        <v>113805</v>
      </c>
      <c r="BC1037" s="28" t="n">
        <f aca="false">BA1037-BB1037</f>
        <v>0</v>
      </c>
      <c r="BD1037" s="32" t="n">
        <f aca="false">SUM(P1037,R1037,T1037,V1037,X1037,Z1037,AB1037,AD1037,AF1037,AH1037,AJ1037,AL1037,AN1037,AP1037,AR1037,AT1037,AV1037,AX1037)</f>
        <v>75870</v>
      </c>
      <c r="BE1037" s="33" t="n">
        <f aca="false">AZ1037-BD1037</f>
        <v>0</v>
      </c>
      <c r="BF1037" s="34" t="n">
        <f aca="false">BD1037*M1037</f>
        <v>113805</v>
      </c>
      <c r="BG1037" s="35" t="n">
        <f aca="false">BA1037-BF1037</f>
        <v>0</v>
      </c>
      <c r="BH1037" s="19" t="str">
        <f aca="false">IF(BG1037=0,"",IF(BG1037&lt;&gt;BA1037,"erreur de calcul",IF(BD1037&lt;&gt;0,"pas de prix",IF(M1037&lt;&gt; 0,"pas de quantité","pas de prix, ni de quantité"))))</f>
        <v/>
      </c>
      <c r="BI1037" s="19"/>
    </row>
    <row r="1038" customFormat="false" ht="15" hidden="false" customHeight="false" outlineLevel="0" collapsed="false">
      <c r="A1038" s="0" t="n">
        <v>6</v>
      </c>
      <c r="B1038" s="8" t="s">
        <v>24</v>
      </c>
      <c r="C1038" s="9" t="s">
        <v>25</v>
      </c>
      <c r="D1038" s="9" t="s">
        <v>26</v>
      </c>
      <c r="E1038" s="10" t="n">
        <v>1789</v>
      </c>
      <c r="F1038" s="9" t="s">
        <v>27</v>
      </c>
      <c r="G1038" s="9" t="s">
        <v>27</v>
      </c>
      <c r="H1038" s="11" t="n">
        <v>27</v>
      </c>
      <c r="I1038" s="11" t="s">
        <v>417</v>
      </c>
      <c r="J1038" s="14" t="n">
        <v>3</v>
      </c>
      <c r="K1038" s="14"/>
      <c r="L1038" s="16"/>
      <c r="M1038" s="27" t="n">
        <f aca="false">J1038+(K1038/20)+(L1038/240)</f>
        <v>3</v>
      </c>
      <c r="N1038" s="17" t="s">
        <v>66</v>
      </c>
      <c r="O1038" s="11"/>
      <c r="P1038" s="28"/>
      <c r="Q1038" s="28" t="n">
        <f aca="false">P1038*$M1038</f>
        <v>0</v>
      </c>
      <c r="R1038" s="28"/>
      <c r="S1038" s="28" t="n">
        <f aca="false">R1038*$M1038</f>
        <v>0</v>
      </c>
      <c r="T1038" s="28"/>
      <c r="U1038" s="28" t="n">
        <f aca="false">T1038*$M1038</f>
        <v>0</v>
      </c>
      <c r="V1038" s="28"/>
      <c r="W1038" s="28" t="n">
        <f aca="false">V1038*$M1038</f>
        <v>0</v>
      </c>
      <c r="X1038" s="28"/>
      <c r="Y1038" s="28" t="n">
        <f aca="false">X1038*$M1038</f>
        <v>0</v>
      </c>
      <c r="Z1038" s="28"/>
      <c r="AA1038" s="28" t="n">
        <f aca="false">Z1038*$M1038</f>
        <v>0</v>
      </c>
      <c r="AB1038" s="28"/>
      <c r="AC1038" s="28" t="n">
        <f aca="false">AB1038*$M1038</f>
        <v>0</v>
      </c>
      <c r="AD1038" s="28"/>
      <c r="AE1038" s="28" t="n">
        <f aca="false">AD1038*$M1038</f>
        <v>0</v>
      </c>
      <c r="AF1038" s="28"/>
      <c r="AG1038" s="28" t="n">
        <f aca="false">AF1038*$M1038</f>
        <v>0</v>
      </c>
      <c r="AH1038" s="28" t="n">
        <v>121588</v>
      </c>
      <c r="AI1038" s="28" t="n">
        <v>364764</v>
      </c>
      <c r="AJ1038" s="28"/>
      <c r="AK1038" s="28" t="n">
        <f aca="false">AJ1038*$M1038</f>
        <v>0</v>
      </c>
      <c r="AL1038" s="28"/>
      <c r="AM1038" s="28" t="n">
        <f aca="false">AL1038*$M1038</f>
        <v>0</v>
      </c>
      <c r="AN1038" s="28"/>
      <c r="AO1038" s="28" t="n">
        <f aca="false">AN1038*$M1038</f>
        <v>0</v>
      </c>
      <c r="AP1038" s="28"/>
      <c r="AQ1038" s="28" t="n">
        <f aca="false">AP1038*$M1038</f>
        <v>0</v>
      </c>
      <c r="AR1038" s="28"/>
      <c r="AS1038" s="28" t="n">
        <f aca="false">AR1038*$M1038</f>
        <v>0</v>
      </c>
      <c r="AT1038" s="28"/>
      <c r="AU1038" s="28" t="n">
        <f aca="false">AT1038*$M1038</f>
        <v>0</v>
      </c>
      <c r="AV1038" s="28"/>
      <c r="AW1038" s="28" t="n">
        <f aca="false">AV1038*$M1038</f>
        <v>0</v>
      </c>
      <c r="AX1038" s="28"/>
      <c r="AY1038" s="28" t="n">
        <f aca="false">AX1038*$M1038</f>
        <v>0</v>
      </c>
      <c r="AZ1038" s="30" t="n">
        <v>121588</v>
      </c>
      <c r="BA1038" s="11" t="n">
        <v>364764</v>
      </c>
      <c r="BB1038" s="31" t="n">
        <f aca="false">SUM(Q1038,S1038,U1038,W1038,Y1038,AA1038,AC1038,AE1038,AG1038,AI1038,AK1038,AM1038,AO1038,AQ1038,AS1038,AU1038,AW1038,AY1038)</f>
        <v>364764</v>
      </c>
      <c r="BC1038" s="28" t="n">
        <f aca="false">BA1038-BB1038</f>
        <v>0</v>
      </c>
      <c r="BD1038" s="32" t="n">
        <f aca="false">SUM(P1038,R1038,T1038,V1038,X1038,Z1038,AB1038,AD1038,AF1038,AH1038,AJ1038,AL1038,AN1038,AP1038,AR1038,AT1038,AV1038,AX1038)</f>
        <v>121588</v>
      </c>
      <c r="BE1038" s="33" t="n">
        <f aca="false">AZ1038-BD1038</f>
        <v>0</v>
      </c>
      <c r="BF1038" s="34" t="n">
        <f aca="false">BD1038*M1038</f>
        <v>364764</v>
      </c>
      <c r="BG1038" s="35" t="n">
        <f aca="false">BA1038-BF1038</f>
        <v>0</v>
      </c>
      <c r="BH1038" s="19" t="str">
        <f aca="false">IF(BG1038=0,"",IF(BG1038&lt;&gt;BA1038,"erreur de calcul",IF(BD1038&lt;&gt;0,"pas de prix",IF(M1038&lt;&gt; 0,"pas de quantité","pas de prix, ni de quantité"))))</f>
        <v/>
      </c>
      <c r="BI1038" s="19"/>
    </row>
    <row r="1039" customFormat="false" ht="15" hidden="false" customHeight="false" outlineLevel="0" collapsed="false">
      <c r="A1039" s="0" t="n">
        <v>7</v>
      </c>
      <c r="B1039" s="8" t="s">
        <v>24</v>
      </c>
      <c r="C1039" s="9" t="s">
        <v>25</v>
      </c>
      <c r="D1039" s="9" t="s">
        <v>26</v>
      </c>
      <c r="E1039" s="10" t="n">
        <v>1789</v>
      </c>
      <c r="F1039" s="9" t="s">
        <v>27</v>
      </c>
      <c r="G1039" s="9" t="s">
        <v>27</v>
      </c>
      <c r="H1039" s="11" t="n">
        <v>27</v>
      </c>
      <c r="I1039" s="11" t="s">
        <v>418</v>
      </c>
      <c r="J1039" s="14"/>
      <c r="K1039" s="14" t="n">
        <v>24</v>
      </c>
      <c r="L1039" s="16"/>
      <c r="M1039" s="27" t="n">
        <f aca="false">J1039+(K1039/20)+(L1039/240)</f>
        <v>1.2</v>
      </c>
      <c r="N1039" s="17" t="s">
        <v>66</v>
      </c>
      <c r="O1039" s="11"/>
      <c r="P1039" s="28"/>
      <c r="Q1039" s="28" t="n">
        <f aca="false">P1039*$M1039</f>
        <v>0</v>
      </c>
      <c r="R1039" s="28"/>
      <c r="S1039" s="28" t="n">
        <f aca="false">R1039*$M1039</f>
        <v>0</v>
      </c>
      <c r="T1039" s="28"/>
      <c r="U1039" s="28" t="n">
        <f aca="false">T1039*$M1039</f>
        <v>0</v>
      </c>
      <c r="V1039" s="28"/>
      <c r="W1039" s="28" t="n">
        <f aca="false">V1039*$M1039</f>
        <v>0</v>
      </c>
      <c r="X1039" s="28"/>
      <c r="Y1039" s="28" t="n">
        <f aca="false">X1039*$M1039</f>
        <v>0</v>
      </c>
      <c r="Z1039" s="28"/>
      <c r="AA1039" s="28" t="n">
        <f aca="false">Z1039*$M1039</f>
        <v>0</v>
      </c>
      <c r="AB1039" s="28"/>
      <c r="AC1039" s="28" t="n">
        <f aca="false">AB1039*$M1039</f>
        <v>0</v>
      </c>
      <c r="AD1039" s="28"/>
      <c r="AE1039" s="28" t="n">
        <f aca="false">AD1039*$M1039</f>
        <v>0</v>
      </c>
      <c r="AF1039" s="28"/>
      <c r="AG1039" s="28" t="n">
        <f aca="false">AF1039*$M1039</f>
        <v>0</v>
      </c>
      <c r="AH1039" s="28" t="n">
        <v>50204</v>
      </c>
      <c r="AI1039" s="28" t="n">
        <v>60245</v>
      </c>
      <c r="AJ1039" s="28"/>
      <c r="AK1039" s="28" t="n">
        <f aca="false">AJ1039*$M1039</f>
        <v>0</v>
      </c>
      <c r="AL1039" s="28"/>
      <c r="AM1039" s="28" t="n">
        <f aca="false">AL1039*$M1039</f>
        <v>0</v>
      </c>
      <c r="AN1039" s="28"/>
      <c r="AO1039" s="28" t="n">
        <f aca="false">AN1039*$M1039</f>
        <v>0</v>
      </c>
      <c r="AP1039" s="28"/>
      <c r="AQ1039" s="28" t="n">
        <f aca="false">AP1039*$M1039</f>
        <v>0</v>
      </c>
      <c r="AR1039" s="28"/>
      <c r="AS1039" s="28" t="n">
        <f aca="false">AR1039*$M1039</f>
        <v>0</v>
      </c>
      <c r="AT1039" s="28"/>
      <c r="AU1039" s="28" t="n">
        <f aca="false">AT1039*$M1039</f>
        <v>0</v>
      </c>
      <c r="AV1039" s="28"/>
      <c r="AW1039" s="28" t="n">
        <f aca="false">AV1039*$M1039</f>
        <v>0</v>
      </c>
      <c r="AX1039" s="28"/>
      <c r="AY1039" s="28" t="n">
        <f aca="false">AX1039*$M1039</f>
        <v>0</v>
      </c>
      <c r="AZ1039" s="30" t="n">
        <v>50204</v>
      </c>
      <c r="BA1039" s="11" t="n">
        <v>60245</v>
      </c>
      <c r="BB1039" s="31" t="n">
        <f aca="false">SUM(Q1039,S1039,U1039,W1039,Y1039,AA1039,AC1039,AE1039,AG1039,AI1039,AK1039,AM1039,AO1039,AQ1039,AS1039,AU1039,AW1039,AY1039)</f>
        <v>60245</v>
      </c>
      <c r="BC1039" s="28" t="n">
        <f aca="false">BA1039-BB1039</f>
        <v>0</v>
      </c>
      <c r="BD1039" s="32" t="n">
        <f aca="false">SUM(P1039,R1039,T1039,V1039,X1039,Z1039,AB1039,AD1039,AF1039,AH1039,AJ1039,AL1039,AN1039,AP1039,AR1039,AT1039,AV1039,AX1039)</f>
        <v>50204</v>
      </c>
      <c r="BE1039" s="33" t="n">
        <f aca="false">AZ1039-BD1039</f>
        <v>0</v>
      </c>
      <c r="BF1039" s="34" t="n">
        <f aca="false">BD1039*M1039</f>
        <v>60244.8</v>
      </c>
      <c r="BG1039" s="35" t="n">
        <f aca="false">BA1039-BF1039</f>
        <v>0.200000000004366</v>
      </c>
      <c r="BH1039" s="19" t="str">
        <f aca="false">IF(BG1039=0,"",IF(BG1039&lt;&gt;BA1039,"erreur de calcul",IF(BD1039&lt;&gt;0,"pas de prix",IF(M1039&lt;&gt; 0,"pas de quantité","pas de prix, ni de quantité"))))</f>
        <v>erreur de calcul</v>
      </c>
      <c r="BI1039" s="19"/>
    </row>
    <row r="1040" customFormat="false" ht="15" hidden="false" customHeight="false" outlineLevel="0" collapsed="false">
      <c r="A1040" s="0" t="n">
        <v>8</v>
      </c>
      <c r="B1040" s="8" t="s">
        <v>24</v>
      </c>
      <c r="C1040" s="9" t="s">
        <v>25</v>
      </c>
      <c r="D1040" s="9" t="s">
        <v>26</v>
      </c>
      <c r="E1040" s="10" t="n">
        <v>1789</v>
      </c>
      <c r="F1040" s="9" t="s">
        <v>27</v>
      </c>
      <c r="G1040" s="9" t="s">
        <v>27</v>
      </c>
      <c r="H1040" s="11" t="n">
        <v>27</v>
      </c>
      <c r="I1040" s="11" t="s">
        <v>419</v>
      </c>
      <c r="J1040" s="14" t="n">
        <v>40</v>
      </c>
      <c r="K1040" s="14"/>
      <c r="L1040" s="16"/>
      <c r="M1040" s="27" t="n">
        <f aca="false">J1040+(K1040/20)+(L1040/240)</f>
        <v>40</v>
      </c>
      <c r="N1040" s="17" t="s">
        <v>66</v>
      </c>
      <c r="O1040" s="11" t="s">
        <v>98</v>
      </c>
      <c r="P1040" s="28"/>
      <c r="Q1040" s="28" t="n">
        <f aca="false">P1040*$M1040</f>
        <v>0</v>
      </c>
      <c r="R1040" s="28"/>
      <c r="S1040" s="28" t="n">
        <f aca="false">R1040*$M1040</f>
        <v>0</v>
      </c>
      <c r="T1040" s="28"/>
      <c r="U1040" s="28" t="n">
        <f aca="false">T1040*$M1040</f>
        <v>0</v>
      </c>
      <c r="V1040" s="28"/>
      <c r="W1040" s="28" t="n">
        <f aca="false">V1040*$M1040</f>
        <v>0</v>
      </c>
      <c r="X1040" s="28"/>
      <c r="Y1040" s="28" t="n">
        <f aca="false">X1040*$M1040</f>
        <v>0</v>
      </c>
      <c r="Z1040" s="28"/>
      <c r="AA1040" s="28" t="n">
        <f aca="false">Z1040*$M1040</f>
        <v>0</v>
      </c>
      <c r="AB1040" s="28"/>
      <c r="AC1040" s="28" t="n">
        <f aca="false">AB1040*$M1040</f>
        <v>0</v>
      </c>
      <c r="AD1040" s="28"/>
      <c r="AE1040" s="28" t="n">
        <f aca="false">AD1040*$M1040</f>
        <v>0</v>
      </c>
      <c r="AF1040" s="28"/>
      <c r="AG1040" s="28" t="n">
        <f aca="false">AF1040*$M1040</f>
        <v>0</v>
      </c>
      <c r="AH1040" s="28"/>
      <c r="AI1040" s="28" t="n">
        <f aca="false">AH1040*$M1040</f>
        <v>0</v>
      </c>
      <c r="AJ1040" s="28"/>
      <c r="AK1040" s="28" t="n">
        <f aca="false">AJ1040*$M1040</f>
        <v>0</v>
      </c>
      <c r="AL1040" s="28"/>
      <c r="AM1040" s="28" t="n">
        <f aca="false">AL1040*$M1040</f>
        <v>0</v>
      </c>
      <c r="AN1040" s="28"/>
      <c r="AO1040" s="28" t="n">
        <f aca="false">AN1040*$M1040</f>
        <v>0</v>
      </c>
      <c r="AP1040" s="28"/>
      <c r="AQ1040" s="28" t="n">
        <f aca="false">AP1040*$M1040</f>
        <v>0</v>
      </c>
      <c r="AR1040" s="28"/>
      <c r="AS1040" s="28" t="n">
        <f aca="false">AR1040*$M1040</f>
        <v>0</v>
      </c>
      <c r="AT1040" s="28"/>
      <c r="AU1040" s="28" t="n">
        <f aca="false">AT1040*$M1040</f>
        <v>0</v>
      </c>
      <c r="AV1040" s="28"/>
      <c r="AW1040" s="28" t="n">
        <f aca="false">AV1040*$M1040</f>
        <v>0</v>
      </c>
      <c r="AX1040" s="28"/>
      <c r="AY1040" s="28" t="n">
        <f aca="false">AX1040*$M1040</f>
        <v>0</v>
      </c>
      <c r="AZ1040" s="30"/>
      <c r="BA1040" s="11"/>
      <c r="BB1040" s="31" t="n">
        <f aca="false">SUM(Q1040,S1040,U1040,W1040,Y1040,AA1040,AC1040,AE1040,AG1040,AI1040,AK1040,AM1040,AO1040,AQ1040,AS1040,AU1040,AW1040,AY1040)</f>
        <v>0</v>
      </c>
      <c r="BC1040" s="28" t="n">
        <f aca="false">BA1040-BB1040</f>
        <v>0</v>
      </c>
      <c r="BD1040" s="32" t="n">
        <f aca="false">SUM(P1040,R1040,T1040,V1040,X1040,Z1040,AB1040,AD1040,AF1040,AH1040,AJ1040,AL1040,AN1040,AP1040,AR1040,AT1040,AV1040,AX1040)</f>
        <v>0</v>
      </c>
      <c r="BE1040" s="33" t="n">
        <f aca="false">AZ1040-BD1040</f>
        <v>0</v>
      </c>
      <c r="BF1040" s="34" t="n">
        <f aca="false">BD1040*M1040</f>
        <v>0</v>
      </c>
      <c r="BG1040" s="35" t="n">
        <f aca="false">BA1040-BF1040</f>
        <v>0</v>
      </c>
      <c r="BH1040" s="19" t="str">
        <f aca="false">IF(BG1040=0,"",IF(BG1040&lt;&gt;BA1040,"erreur de calcul",IF(BD1040&lt;&gt;0,"pas de prix",IF(M1040&lt;&gt; 0,"pas de quantité","pas de prix, ni de quantité"))))</f>
        <v/>
      </c>
      <c r="BI1040" s="19"/>
    </row>
    <row r="1041" customFormat="false" ht="15" hidden="false" customHeight="false" outlineLevel="0" collapsed="false">
      <c r="A1041" s="0" t="n">
        <v>9</v>
      </c>
      <c r="B1041" s="8" t="s">
        <v>24</v>
      </c>
      <c r="C1041" s="9" t="s">
        <v>25</v>
      </c>
      <c r="D1041" s="9" t="s">
        <v>26</v>
      </c>
      <c r="E1041" s="10" t="n">
        <v>1789</v>
      </c>
      <c r="F1041" s="9" t="s">
        <v>27</v>
      </c>
      <c r="G1041" s="9" t="s">
        <v>27</v>
      </c>
      <c r="H1041" s="11" t="n">
        <v>27</v>
      </c>
      <c r="I1041" s="11" t="s">
        <v>420</v>
      </c>
      <c r="J1041" s="14" t="n">
        <v>9</v>
      </c>
      <c r="K1041" s="14"/>
      <c r="L1041" s="16"/>
      <c r="M1041" s="27" t="n">
        <f aca="false">J1041+(K1041/20)+(L1041/240)</f>
        <v>9</v>
      </c>
      <c r="N1041" s="17" t="s">
        <v>81</v>
      </c>
      <c r="O1041" s="11" t="s">
        <v>98</v>
      </c>
      <c r="P1041" s="28"/>
      <c r="Q1041" s="28" t="n">
        <f aca="false">P1041*$M1041</f>
        <v>0</v>
      </c>
      <c r="R1041" s="28"/>
      <c r="S1041" s="28" t="n">
        <f aca="false">R1041*$M1041</f>
        <v>0</v>
      </c>
      <c r="T1041" s="28"/>
      <c r="U1041" s="28" t="n">
        <f aca="false">T1041*$M1041</f>
        <v>0</v>
      </c>
      <c r="V1041" s="28"/>
      <c r="W1041" s="28" t="n">
        <f aca="false">V1041*$M1041</f>
        <v>0</v>
      </c>
      <c r="X1041" s="28"/>
      <c r="Y1041" s="28" t="n">
        <f aca="false">X1041*$M1041</f>
        <v>0</v>
      </c>
      <c r="Z1041" s="28"/>
      <c r="AA1041" s="28" t="n">
        <f aca="false">Z1041*$M1041</f>
        <v>0</v>
      </c>
      <c r="AB1041" s="28"/>
      <c r="AC1041" s="28" t="n">
        <f aca="false">AB1041*$M1041</f>
        <v>0</v>
      </c>
      <c r="AD1041" s="28"/>
      <c r="AE1041" s="28" t="n">
        <f aca="false">AD1041*$M1041</f>
        <v>0</v>
      </c>
      <c r="AF1041" s="28"/>
      <c r="AG1041" s="28" t="n">
        <f aca="false">AF1041*$M1041</f>
        <v>0</v>
      </c>
      <c r="AH1041" s="28"/>
      <c r="AI1041" s="28" t="n">
        <f aca="false">AH1041*$M1041</f>
        <v>0</v>
      </c>
      <c r="AJ1041" s="28"/>
      <c r="AK1041" s="28" t="n">
        <f aca="false">AJ1041*$M1041</f>
        <v>0</v>
      </c>
      <c r="AL1041" s="28"/>
      <c r="AM1041" s="28" t="n">
        <f aca="false">AL1041*$M1041</f>
        <v>0</v>
      </c>
      <c r="AN1041" s="28"/>
      <c r="AO1041" s="28" t="n">
        <f aca="false">AN1041*$M1041</f>
        <v>0</v>
      </c>
      <c r="AP1041" s="28"/>
      <c r="AQ1041" s="28" t="n">
        <f aca="false">AP1041*$M1041</f>
        <v>0</v>
      </c>
      <c r="AR1041" s="28"/>
      <c r="AS1041" s="28" t="n">
        <f aca="false">AR1041*$M1041</f>
        <v>0</v>
      </c>
      <c r="AT1041" s="28"/>
      <c r="AU1041" s="28" t="n">
        <f aca="false">AT1041*$M1041</f>
        <v>0</v>
      </c>
      <c r="AV1041" s="28"/>
      <c r="AW1041" s="28" t="n">
        <f aca="false">AV1041*$M1041</f>
        <v>0</v>
      </c>
      <c r="AX1041" s="28"/>
      <c r="AY1041" s="28" t="n">
        <f aca="false">AX1041*$M1041</f>
        <v>0</v>
      </c>
      <c r="AZ1041" s="30"/>
      <c r="BA1041" s="11"/>
      <c r="BB1041" s="31" t="n">
        <f aca="false">SUM(Q1041,S1041,U1041,W1041,Y1041,AA1041,AC1041,AE1041,AG1041,AI1041,AK1041,AM1041,AO1041,AQ1041,AS1041,AU1041,AW1041,AY1041)</f>
        <v>0</v>
      </c>
      <c r="BC1041" s="28" t="n">
        <f aca="false">BA1041-BB1041</f>
        <v>0</v>
      </c>
      <c r="BD1041" s="32" t="n">
        <f aca="false">SUM(P1041,R1041,T1041,V1041,X1041,Z1041,AB1041,AD1041,AF1041,AH1041,AJ1041,AL1041,AN1041,AP1041,AR1041,AT1041,AV1041,AX1041)</f>
        <v>0</v>
      </c>
      <c r="BE1041" s="33" t="n">
        <f aca="false">AZ1041-BD1041</f>
        <v>0</v>
      </c>
      <c r="BF1041" s="34" t="n">
        <f aca="false">BD1041*M1041</f>
        <v>0</v>
      </c>
      <c r="BG1041" s="35" t="n">
        <f aca="false">BA1041-BF1041</f>
        <v>0</v>
      </c>
      <c r="BH1041" s="19" t="str">
        <f aca="false">IF(BG1041=0,"",IF(BG1041&lt;&gt;BA1041,"erreur de calcul",IF(BD1041&lt;&gt;0,"pas de prix",IF(M1041&lt;&gt; 0,"pas de quantité","pas de prix, ni de quantité"))))</f>
        <v/>
      </c>
      <c r="BI1041" s="19"/>
    </row>
    <row r="1042" customFormat="false" ht="15" hidden="false" customHeight="false" outlineLevel="0" collapsed="false">
      <c r="A1042" s="0" t="n">
        <v>10</v>
      </c>
      <c r="B1042" s="8" t="s">
        <v>24</v>
      </c>
      <c r="C1042" s="9" t="s">
        <v>25</v>
      </c>
      <c r="D1042" s="9" t="s">
        <v>26</v>
      </c>
      <c r="E1042" s="10" t="n">
        <v>1789</v>
      </c>
      <c r="F1042" s="9" t="s">
        <v>27</v>
      </c>
      <c r="G1042" s="9" t="s">
        <v>27</v>
      </c>
      <c r="H1042" s="11" t="n">
        <v>27</v>
      </c>
      <c r="I1042" s="11" t="s">
        <v>421</v>
      </c>
      <c r="J1042" s="14" t="n">
        <v>220</v>
      </c>
      <c r="K1042" s="14"/>
      <c r="L1042" s="16"/>
      <c r="M1042" s="27" t="n">
        <f aca="false">J1042+(K1042/20)+(L1042/240)</f>
        <v>220</v>
      </c>
      <c r="N1042" s="17" t="s">
        <v>64</v>
      </c>
      <c r="O1042" s="11" t="s">
        <v>277</v>
      </c>
      <c r="P1042" s="28" t="n">
        <f aca="false">245/100</f>
        <v>2.45</v>
      </c>
      <c r="Q1042" s="28" t="n">
        <v>539</v>
      </c>
      <c r="R1042" s="28"/>
      <c r="S1042" s="28" t="n">
        <f aca="false">R1042*$M1042</f>
        <v>0</v>
      </c>
      <c r="T1042" s="28" t="n">
        <f aca="false">40119/100</f>
        <v>401.19</v>
      </c>
      <c r="U1042" s="28" t="n">
        <v>88262</v>
      </c>
      <c r="V1042" s="28" t="n">
        <f aca="false">14285/100</f>
        <v>142.85</v>
      </c>
      <c r="W1042" s="28" t="n">
        <v>31427</v>
      </c>
      <c r="X1042" s="28" t="n">
        <f aca="false">62608/100</f>
        <v>626.08</v>
      </c>
      <c r="Y1042" s="28" t="n">
        <v>137738</v>
      </c>
      <c r="Z1042" s="28" t="n">
        <f aca="false">523/100</f>
        <v>5.23</v>
      </c>
      <c r="AA1042" s="28" t="n">
        <v>1151</v>
      </c>
      <c r="AB1042" s="28" t="n">
        <f aca="false">56/100</f>
        <v>0.56</v>
      </c>
      <c r="AC1042" s="28" t="n">
        <v>123</v>
      </c>
      <c r="AD1042" s="28"/>
      <c r="AE1042" s="28" t="n">
        <f aca="false">AD1042*$M1042</f>
        <v>0</v>
      </c>
      <c r="AF1042" s="28"/>
      <c r="AG1042" s="28" t="n">
        <f aca="false">AF1042*$M1042</f>
        <v>0</v>
      </c>
      <c r="AH1042" s="28"/>
      <c r="AI1042" s="28" t="n">
        <f aca="false">AH1042*$M1042</f>
        <v>0</v>
      </c>
      <c r="AJ1042" s="28" t="n">
        <f aca="false">3845/100</f>
        <v>38.45</v>
      </c>
      <c r="AK1042" s="28" t="n">
        <v>8459</v>
      </c>
      <c r="AL1042" s="28" t="n">
        <f aca="false">26510/100</f>
        <v>265.1</v>
      </c>
      <c r="AM1042" s="28" t="n">
        <v>58322</v>
      </c>
      <c r="AN1042" s="28" t="n">
        <f aca="false">330/100</f>
        <v>3.3</v>
      </c>
      <c r="AO1042" s="28" t="n">
        <v>726</v>
      </c>
      <c r="AP1042" s="28"/>
      <c r="AQ1042" s="28" t="n">
        <f aca="false">AP1042*$M1042</f>
        <v>0</v>
      </c>
      <c r="AR1042" s="28"/>
      <c r="AS1042" s="28" t="n">
        <f aca="false">AR1042*$M1042</f>
        <v>0</v>
      </c>
      <c r="AT1042" s="28"/>
      <c r="AU1042" s="28" t="n">
        <f aca="false">AT1042*$M1042</f>
        <v>0</v>
      </c>
      <c r="AV1042" s="28" t="n">
        <f aca="false">1487/100</f>
        <v>14.87</v>
      </c>
      <c r="AW1042" s="28" t="n">
        <v>3271</v>
      </c>
      <c r="AX1042" s="28"/>
      <c r="AY1042" s="28" t="n">
        <f aca="false">AX1042*$M1042</f>
        <v>0</v>
      </c>
      <c r="AZ1042" s="30" t="n">
        <f aca="false">150008/100</f>
        <v>1500.08</v>
      </c>
      <c r="BA1042" s="11" t="n">
        <v>330018</v>
      </c>
      <c r="BB1042" s="31" t="n">
        <f aca="false">SUM(Q1042,S1042,U1042,W1042,Y1042,AA1042,AC1042,AE1042,AG1042,AI1042,AK1042,AM1042,AO1042,AQ1042,AS1042,AU1042,AW1042,AY1042)</f>
        <v>330018</v>
      </c>
      <c r="BC1042" s="28" t="n">
        <f aca="false">BA1042-BB1042</f>
        <v>0</v>
      </c>
      <c r="BD1042" s="32" t="n">
        <f aca="false">SUM(P1042,R1042,T1042,V1042,X1042,Z1042,AB1042,AD1042,AF1042,AH1042,AJ1042,AL1042,AN1042,AP1042,AR1042,AT1042,AV1042,AX1042)</f>
        <v>1500.08</v>
      </c>
      <c r="BE1042" s="33" t="n">
        <f aca="false">AZ1042-BD1042</f>
        <v>0</v>
      </c>
      <c r="BF1042" s="34" t="n">
        <f aca="false">BD1042*M1042</f>
        <v>330017.6</v>
      </c>
      <c r="BG1042" s="35" t="n">
        <f aca="false">BA1042-BF1042</f>
        <v>0.399999999965075</v>
      </c>
      <c r="BH1042" s="19" t="str">
        <f aca="false">IF(BG1042=0,"",IF(BG1042&lt;&gt;BA1042,"erreur de calcul",IF(BD1042&lt;&gt;0,"pas de prix",IF(M1042&lt;&gt; 0,"pas de quantité","pas de prix, ni de quantité"))))</f>
        <v>erreur de calcul</v>
      </c>
      <c r="BI1042" s="19"/>
    </row>
    <row r="1043" customFormat="false" ht="15" hidden="false" customHeight="false" outlineLevel="0" collapsed="false">
      <c r="A1043" s="0" t="n">
        <v>11</v>
      </c>
      <c r="B1043" s="8" t="s">
        <v>24</v>
      </c>
      <c r="C1043" s="9" t="s">
        <v>25</v>
      </c>
      <c r="D1043" s="9" t="s">
        <v>26</v>
      </c>
      <c r="E1043" s="10" t="n">
        <v>1789</v>
      </c>
      <c r="F1043" s="9" t="s">
        <v>27</v>
      </c>
      <c r="G1043" s="9" t="s">
        <v>27</v>
      </c>
      <c r="H1043" s="11" t="n">
        <v>27</v>
      </c>
      <c r="I1043" s="11" t="s">
        <v>422</v>
      </c>
      <c r="J1043" s="14" t="n">
        <v>35</v>
      </c>
      <c r="K1043" s="14"/>
      <c r="L1043" s="16"/>
      <c r="M1043" s="27" t="n">
        <f aca="false">J1043+(K1043/20)+(L1043/240)</f>
        <v>35</v>
      </c>
      <c r="N1043" s="17" t="s">
        <v>64</v>
      </c>
      <c r="O1043" s="11"/>
      <c r="P1043" s="28"/>
      <c r="Q1043" s="28" t="n">
        <f aca="false">P1043*$M1043</f>
        <v>0</v>
      </c>
      <c r="R1043" s="28"/>
      <c r="S1043" s="28" t="n">
        <f aca="false">R1043*$M1043</f>
        <v>0</v>
      </c>
      <c r="T1043" s="28"/>
      <c r="U1043" s="28" t="n">
        <f aca="false">T1043*$M1043</f>
        <v>0</v>
      </c>
      <c r="V1043" s="28"/>
      <c r="W1043" s="28" t="n">
        <f aca="false">V1043*$M1043</f>
        <v>0</v>
      </c>
      <c r="X1043" s="28" t="n">
        <f aca="false">9982/100</f>
        <v>99.82</v>
      </c>
      <c r="Y1043" s="28" t="n">
        <v>3494</v>
      </c>
      <c r="Z1043" s="28"/>
      <c r="AA1043" s="28" t="n">
        <f aca="false">Z1043*$M1043</f>
        <v>0</v>
      </c>
      <c r="AB1043" s="28"/>
      <c r="AC1043" s="28" t="n">
        <f aca="false">AB1043*$M1043</f>
        <v>0</v>
      </c>
      <c r="AD1043" s="28"/>
      <c r="AE1043" s="28" t="n">
        <f aca="false">AD1043*$M1043</f>
        <v>0</v>
      </c>
      <c r="AF1043" s="28"/>
      <c r="AG1043" s="28" t="n">
        <f aca="false">AF1043*$M1043</f>
        <v>0</v>
      </c>
      <c r="AH1043" s="28"/>
      <c r="AI1043" s="28" t="n">
        <f aca="false">AH1043*$M1043</f>
        <v>0</v>
      </c>
      <c r="AJ1043" s="28" t="n">
        <f aca="false">28200/100</f>
        <v>282</v>
      </c>
      <c r="AK1043" s="28" t="n">
        <v>9870</v>
      </c>
      <c r="AL1043" s="28" t="n">
        <f aca="false">163472/100</f>
        <v>1634.72</v>
      </c>
      <c r="AM1043" s="28" t="n">
        <v>57215</v>
      </c>
      <c r="AN1043" s="28"/>
      <c r="AO1043" s="28" t="n">
        <f aca="false">AN1043*$M1043</f>
        <v>0</v>
      </c>
      <c r="AP1043" s="28"/>
      <c r="AQ1043" s="28" t="n">
        <f aca="false">AP1043*$M1043</f>
        <v>0</v>
      </c>
      <c r="AR1043" s="28"/>
      <c r="AS1043" s="28" t="n">
        <f aca="false">AR1043*$M1043</f>
        <v>0</v>
      </c>
      <c r="AT1043" s="28"/>
      <c r="AU1043" s="28" t="n">
        <f aca="false">AT1043*$M1043</f>
        <v>0</v>
      </c>
      <c r="AV1043" s="28" t="n">
        <f aca="false">49250/100</f>
        <v>492.5</v>
      </c>
      <c r="AW1043" s="28" t="n">
        <v>17237</v>
      </c>
      <c r="AX1043" s="28"/>
      <c r="AY1043" s="28" t="n">
        <f aca="false">AX1043*$M1043</f>
        <v>0</v>
      </c>
      <c r="AZ1043" s="30" t="n">
        <f aca="false">250904/100</f>
        <v>2509.04</v>
      </c>
      <c r="BA1043" s="11" t="n">
        <v>87816</v>
      </c>
      <c r="BB1043" s="31" t="n">
        <f aca="false">SUM(Q1043,S1043,U1043,W1043,Y1043,AA1043,AC1043,AE1043,AG1043,AI1043,AK1043,AM1043,AO1043,AQ1043,AS1043,AU1043,AW1043,AY1043)</f>
        <v>87816</v>
      </c>
      <c r="BC1043" s="28" t="n">
        <f aca="false">BA1043-BB1043</f>
        <v>0</v>
      </c>
      <c r="BD1043" s="32" t="n">
        <f aca="false">SUM(P1043,R1043,T1043,V1043,X1043,Z1043,AB1043,AD1043,AF1043,AH1043,AJ1043,AL1043,AN1043,AP1043,AR1043,AT1043,AV1043,AX1043)</f>
        <v>2509.04</v>
      </c>
      <c r="BE1043" s="33" t="n">
        <f aca="false">AZ1043-BD1043</f>
        <v>0</v>
      </c>
      <c r="BF1043" s="34" t="n">
        <f aca="false">BD1043*M1043</f>
        <v>87816.4</v>
      </c>
      <c r="BG1043" s="35" t="n">
        <f aca="false">BA1043-BF1043</f>
        <v>-0.400000000008731</v>
      </c>
      <c r="BH1043" s="19" t="str">
        <f aca="false">IF(BG1043=0,"",IF(BG1043&lt;&gt;BA1043,"erreur de calcul",IF(BD1043&lt;&gt;0,"pas de prix",IF(M1043&lt;&gt; 0,"pas de quantité","pas de prix, ni de quantité"))))</f>
        <v>erreur de calcul</v>
      </c>
      <c r="BI1043" s="19"/>
    </row>
    <row r="1044" customFormat="false" ht="15" hidden="false" customHeight="false" outlineLevel="0" collapsed="false">
      <c r="A1044" s="0" t="n">
        <v>12</v>
      </c>
      <c r="B1044" s="8" t="s">
        <v>24</v>
      </c>
      <c r="C1044" s="9" t="s">
        <v>25</v>
      </c>
      <c r="D1044" s="9" t="s">
        <v>26</v>
      </c>
      <c r="E1044" s="10" t="n">
        <v>1789</v>
      </c>
      <c r="F1044" s="9" t="s">
        <v>27</v>
      </c>
      <c r="G1044" s="9" t="s">
        <v>27</v>
      </c>
      <c r="H1044" s="11" t="n">
        <v>27</v>
      </c>
      <c r="I1044" s="11" t="s">
        <v>423</v>
      </c>
      <c r="J1044" s="14" t="n">
        <v>75</v>
      </c>
      <c r="K1044" s="14"/>
      <c r="L1044" s="16"/>
      <c r="M1044" s="27" t="n">
        <f aca="false">J1044+(K1044/20)+(L1044/240)</f>
        <v>75</v>
      </c>
      <c r="N1044" s="17" t="s">
        <v>64</v>
      </c>
      <c r="O1044" s="11"/>
      <c r="P1044" s="28"/>
      <c r="Q1044" s="28" t="n">
        <f aca="false">P1044*$M1044</f>
        <v>0</v>
      </c>
      <c r="R1044" s="28"/>
      <c r="S1044" s="28" t="n">
        <f aca="false">R1044*$M1044</f>
        <v>0</v>
      </c>
      <c r="T1044" s="28"/>
      <c r="U1044" s="28" t="n">
        <f aca="false">T1044*$M1044</f>
        <v>0</v>
      </c>
      <c r="V1044" s="28" t="n">
        <f aca="false">1030/100</f>
        <v>10.3</v>
      </c>
      <c r="W1044" s="28" t="n">
        <v>772</v>
      </c>
      <c r="X1044" s="28"/>
      <c r="Y1044" s="28" t="n">
        <f aca="false">X1044*$M1044</f>
        <v>0</v>
      </c>
      <c r="Z1044" s="28"/>
      <c r="AA1044" s="28" t="n">
        <f aca="false">Z1044*$M1044</f>
        <v>0</v>
      </c>
      <c r="AB1044" s="28"/>
      <c r="AC1044" s="28" t="n">
        <f aca="false">AB1044*$M1044</f>
        <v>0</v>
      </c>
      <c r="AD1044" s="28"/>
      <c r="AE1044" s="28" t="n">
        <f aca="false">AD1044*$M1044</f>
        <v>0</v>
      </c>
      <c r="AF1044" s="28"/>
      <c r="AG1044" s="28" t="n">
        <f aca="false">AF1044*$M1044</f>
        <v>0</v>
      </c>
      <c r="AH1044" s="28"/>
      <c r="AI1044" s="28" t="n">
        <f aca="false">AH1044*$M1044</f>
        <v>0</v>
      </c>
      <c r="AJ1044" s="28"/>
      <c r="AK1044" s="28" t="n">
        <f aca="false">AJ1044*$M1044</f>
        <v>0</v>
      </c>
      <c r="AL1044" s="28"/>
      <c r="AM1044" s="28" t="n">
        <f aca="false">AL1044*$M1044</f>
        <v>0</v>
      </c>
      <c r="AN1044" s="28"/>
      <c r="AO1044" s="28" t="n">
        <f aca="false">AN1044*$M1044</f>
        <v>0</v>
      </c>
      <c r="AP1044" s="28"/>
      <c r="AQ1044" s="28" t="n">
        <f aca="false">AP1044*$M1044</f>
        <v>0</v>
      </c>
      <c r="AR1044" s="28"/>
      <c r="AS1044" s="28" t="n">
        <f aca="false">AR1044*$M1044</f>
        <v>0</v>
      </c>
      <c r="AT1044" s="28"/>
      <c r="AU1044" s="28" t="n">
        <f aca="false">AT1044*$M1044</f>
        <v>0</v>
      </c>
      <c r="AV1044" s="28"/>
      <c r="AW1044" s="28" t="n">
        <f aca="false">AV1044*$M1044</f>
        <v>0</v>
      </c>
      <c r="AX1044" s="28"/>
      <c r="AY1044" s="28" t="n">
        <f aca="false">AX1044*$M1044</f>
        <v>0</v>
      </c>
      <c r="AZ1044" s="30" t="n">
        <f aca="false">1030/100</f>
        <v>10.3</v>
      </c>
      <c r="BA1044" s="11" t="n">
        <v>772</v>
      </c>
      <c r="BB1044" s="31" t="n">
        <f aca="false">SUM(Q1044,S1044,U1044,W1044,Y1044,AA1044,AC1044,AE1044,AG1044,AI1044,AK1044,AM1044,AO1044,AQ1044,AS1044,AU1044,AW1044,AY1044)</f>
        <v>772</v>
      </c>
      <c r="BC1044" s="28" t="n">
        <f aca="false">BA1044-BB1044</f>
        <v>0</v>
      </c>
      <c r="BD1044" s="32" t="n">
        <f aca="false">SUM(P1044,R1044,T1044,V1044,X1044,Z1044,AB1044,AD1044,AF1044,AH1044,AJ1044,AL1044,AN1044,AP1044,AR1044,AT1044,AV1044,AX1044)</f>
        <v>10.3</v>
      </c>
      <c r="BE1044" s="33" t="n">
        <f aca="false">AZ1044-BD1044</f>
        <v>0</v>
      </c>
      <c r="BF1044" s="34" t="n">
        <f aca="false">BD1044*M1044</f>
        <v>772.5</v>
      </c>
      <c r="BG1044" s="35" t="n">
        <f aca="false">BA1044-BF1044</f>
        <v>-0.5</v>
      </c>
      <c r="BH1044" s="19" t="str">
        <f aca="false">IF(BG1044=0,"",IF(BG1044&lt;&gt;BA1044,"erreur de calcul",IF(BD1044&lt;&gt;0,"pas de prix",IF(M1044&lt;&gt; 0,"pas de quantité","pas de prix, ni de quantité"))))</f>
        <v>erreur de calcul</v>
      </c>
      <c r="BI1044" s="19"/>
    </row>
    <row r="1045" customFormat="false" ht="15" hidden="false" customHeight="false" outlineLevel="0" collapsed="false">
      <c r="A1045" s="0" t="n">
        <v>13</v>
      </c>
      <c r="B1045" s="8" t="s">
        <v>24</v>
      </c>
      <c r="C1045" s="9" t="s">
        <v>25</v>
      </c>
      <c r="D1045" s="9" t="s">
        <v>26</v>
      </c>
      <c r="E1045" s="10" t="n">
        <v>1789</v>
      </c>
      <c r="F1045" s="9" t="s">
        <v>27</v>
      </c>
      <c r="G1045" s="9" t="s">
        <v>27</v>
      </c>
      <c r="H1045" s="11" t="n">
        <v>27</v>
      </c>
      <c r="I1045" s="11" t="s">
        <v>424</v>
      </c>
      <c r="J1045" s="14" t="n">
        <v>6</v>
      </c>
      <c r="K1045" s="14"/>
      <c r="L1045" s="16"/>
      <c r="M1045" s="27" t="n">
        <f aca="false">J1045+(K1045/20)+(L1045/240)</f>
        <v>6</v>
      </c>
      <c r="N1045" s="17" t="s">
        <v>64</v>
      </c>
      <c r="O1045" s="11" t="s">
        <v>277</v>
      </c>
      <c r="P1045" s="28"/>
      <c r="Q1045" s="28" t="n">
        <f aca="false">P1045*$M1045</f>
        <v>0</v>
      </c>
      <c r="R1045" s="28"/>
      <c r="S1045" s="28" t="n">
        <f aca="false">R1045*$M1045</f>
        <v>0</v>
      </c>
      <c r="T1045" s="28"/>
      <c r="U1045" s="28" t="n">
        <f aca="false">T1045*$M1045</f>
        <v>0</v>
      </c>
      <c r="V1045" s="28"/>
      <c r="W1045" s="28" t="n">
        <f aca="false">V1045*$M1045</f>
        <v>0</v>
      </c>
      <c r="X1045" s="28"/>
      <c r="Y1045" s="28" t="n">
        <f aca="false">X1045*$M1045</f>
        <v>0</v>
      </c>
      <c r="Z1045" s="28"/>
      <c r="AA1045" s="28" t="n">
        <f aca="false">Z1045*$M1045</f>
        <v>0</v>
      </c>
      <c r="AB1045" s="28"/>
      <c r="AC1045" s="28" t="n">
        <f aca="false">AB1045*$M1045</f>
        <v>0</v>
      </c>
      <c r="AD1045" s="28"/>
      <c r="AE1045" s="28" t="n">
        <f aca="false">AD1045*$M1045</f>
        <v>0</v>
      </c>
      <c r="AF1045" s="28"/>
      <c r="AG1045" s="28" t="n">
        <f aca="false">AF1045*$M1045</f>
        <v>0</v>
      </c>
      <c r="AH1045" s="28" t="n">
        <f aca="false">9050/100</f>
        <v>90.5</v>
      </c>
      <c r="AI1045" s="28" t="n">
        <v>543</v>
      </c>
      <c r="AJ1045" s="28"/>
      <c r="AK1045" s="28" t="n">
        <f aca="false">AJ1045*$M1045</f>
        <v>0</v>
      </c>
      <c r="AL1045" s="28" t="n">
        <f aca="false">48717/100</f>
        <v>487.17</v>
      </c>
      <c r="AM1045" s="28" t="n">
        <v>2923</v>
      </c>
      <c r="AN1045" s="28"/>
      <c r="AO1045" s="28" t="n">
        <f aca="false">AN1045*$M1045</f>
        <v>0</v>
      </c>
      <c r="AP1045" s="28"/>
      <c r="AQ1045" s="28" t="n">
        <f aca="false">AP1045*$M1045</f>
        <v>0</v>
      </c>
      <c r="AR1045" s="28"/>
      <c r="AS1045" s="28" t="n">
        <f aca="false">AR1045*$M1045</f>
        <v>0</v>
      </c>
      <c r="AT1045" s="28"/>
      <c r="AU1045" s="28" t="n">
        <f aca="false">AT1045*$M1045</f>
        <v>0</v>
      </c>
      <c r="AV1045" s="28"/>
      <c r="AW1045" s="28" t="n">
        <f aca="false">AV1045*$M1045</f>
        <v>0</v>
      </c>
      <c r="AX1045" s="28"/>
      <c r="AY1045" s="28" t="n">
        <f aca="false">AX1045*$M1045</f>
        <v>0</v>
      </c>
      <c r="AZ1045" s="30" t="n">
        <f aca="false">57767/100</f>
        <v>577.67</v>
      </c>
      <c r="BA1045" s="11" t="n">
        <v>3466</v>
      </c>
      <c r="BB1045" s="31" t="n">
        <f aca="false">SUM(Q1045,S1045,U1045,W1045,Y1045,AA1045,AC1045,AE1045,AG1045,AI1045,AK1045,AM1045,AO1045,AQ1045,AS1045,AU1045,AW1045,AY1045)</f>
        <v>3466</v>
      </c>
      <c r="BC1045" s="28" t="n">
        <f aca="false">BA1045-BB1045</f>
        <v>0</v>
      </c>
      <c r="BD1045" s="32" t="n">
        <f aca="false">SUM(P1045,R1045,T1045,V1045,X1045,Z1045,AB1045,AD1045,AF1045,AH1045,AJ1045,AL1045,AN1045,AP1045,AR1045,AT1045,AV1045,AX1045)</f>
        <v>577.67</v>
      </c>
      <c r="BE1045" s="33" t="n">
        <f aca="false">AZ1045-BD1045</f>
        <v>0</v>
      </c>
      <c r="BF1045" s="34" t="n">
        <f aca="false">BD1045*M1045</f>
        <v>3466.02</v>
      </c>
      <c r="BG1045" s="35" t="n">
        <f aca="false">BA1045-BF1045</f>
        <v>-0.0200000000004366</v>
      </c>
      <c r="BH1045" s="19" t="str">
        <f aca="false">IF(BG1045=0,"",IF(BG1045&lt;&gt;BA1045,"erreur de calcul",IF(BD1045&lt;&gt;0,"pas de prix",IF(M1045&lt;&gt; 0,"pas de quantité","pas de prix, ni de quantité"))))</f>
        <v>erreur de calcul</v>
      </c>
      <c r="BI1045" s="19"/>
    </row>
    <row r="1046" customFormat="false" ht="15" hidden="false" customHeight="false" outlineLevel="0" collapsed="false">
      <c r="A1046" s="0" t="n">
        <v>14</v>
      </c>
      <c r="B1046" s="8" t="s">
        <v>24</v>
      </c>
      <c r="C1046" s="9" t="s">
        <v>25</v>
      </c>
      <c r="D1046" s="9" t="s">
        <v>26</v>
      </c>
      <c r="E1046" s="10" t="n">
        <v>1789</v>
      </c>
      <c r="F1046" s="9" t="s">
        <v>27</v>
      </c>
      <c r="G1046" s="9" t="s">
        <v>27</v>
      </c>
      <c r="H1046" s="11" t="n">
        <v>27</v>
      </c>
      <c r="I1046" s="11" t="s">
        <v>425</v>
      </c>
      <c r="J1046" s="14" t="n">
        <v>25</v>
      </c>
      <c r="K1046" s="14"/>
      <c r="L1046" s="16"/>
      <c r="M1046" s="27" t="n">
        <f aca="false">J1046+(K1046/20)+(L1046/240)</f>
        <v>25</v>
      </c>
      <c r="N1046" s="17" t="s">
        <v>64</v>
      </c>
      <c r="O1046" s="11"/>
      <c r="P1046" s="28"/>
      <c r="Q1046" s="28" t="n">
        <f aca="false">P1046*$M1046</f>
        <v>0</v>
      </c>
      <c r="R1046" s="28"/>
      <c r="S1046" s="28" t="n">
        <f aca="false">R1046*$M1046</f>
        <v>0</v>
      </c>
      <c r="T1046" s="28" t="n">
        <f aca="false">10*288*0.02+114*0.02</f>
        <v>59.88</v>
      </c>
      <c r="U1046" s="28" t="n">
        <v>1497</v>
      </c>
      <c r="V1046" s="28"/>
      <c r="W1046" s="28" t="n">
        <f aca="false">V1046*$M1046</f>
        <v>0</v>
      </c>
      <c r="X1046" s="28"/>
      <c r="Y1046" s="28" t="n">
        <f aca="false">X1046*$M1046</f>
        <v>0</v>
      </c>
      <c r="Z1046" s="28"/>
      <c r="AA1046" s="28" t="n">
        <f aca="false">Z1046*$M1046</f>
        <v>0</v>
      </c>
      <c r="AB1046" s="28"/>
      <c r="AC1046" s="28" t="n">
        <f aca="false">AB1046*$M1046</f>
        <v>0</v>
      </c>
      <c r="AD1046" s="28"/>
      <c r="AE1046" s="28" t="n">
        <f aca="false">AD1046*$M1046</f>
        <v>0</v>
      </c>
      <c r="AF1046" s="28"/>
      <c r="AG1046" s="28" t="n">
        <f aca="false">AF1046*$M1046</f>
        <v>0</v>
      </c>
      <c r="AH1046" s="28"/>
      <c r="AI1046" s="28" t="n">
        <f aca="false">AH1046*$M1046</f>
        <v>0</v>
      </c>
      <c r="AJ1046" s="28"/>
      <c r="AK1046" s="28" t="n">
        <f aca="false">AJ1046*$M1046</f>
        <v>0</v>
      </c>
      <c r="AL1046" s="28"/>
      <c r="AM1046" s="28" t="n">
        <f aca="false">AL1046*$M1046</f>
        <v>0</v>
      </c>
      <c r="AN1046" s="28"/>
      <c r="AO1046" s="28" t="n">
        <f aca="false">AN1046*$M1046</f>
        <v>0</v>
      </c>
      <c r="AP1046" s="28"/>
      <c r="AQ1046" s="28" t="n">
        <f aca="false">AP1046*$M1046</f>
        <v>0</v>
      </c>
      <c r="AR1046" s="28"/>
      <c r="AS1046" s="28" t="n">
        <f aca="false">AR1046*$M1046</f>
        <v>0</v>
      </c>
      <c r="AT1046" s="28"/>
      <c r="AU1046" s="28" t="n">
        <f aca="false">AT1046*$M1046</f>
        <v>0</v>
      </c>
      <c r="AV1046" s="28"/>
      <c r="AW1046" s="28" t="n">
        <f aca="false">AV1046*$M1046</f>
        <v>0</v>
      </c>
      <c r="AX1046" s="28"/>
      <c r="AY1046" s="28" t="n">
        <f aca="false">AX1046*$M1046</f>
        <v>0</v>
      </c>
      <c r="AZ1046" s="30" t="n">
        <f aca="false">10*288*0.02+114*0.02</f>
        <v>59.88</v>
      </c>
      <c r="BA1046" s="11" t="n">
        <v>1497</v>
      </c>
      <c r="BB1046" s="31" t="n">
        <f aca="false">SUM(Q1046,S1046,U1046,W1046,Y1046,AA1046,AC1046,AE1046,AG1046,AI1046,AK1046,AM1046,AO1046,AQ1046,AS1046,AU1046,AW1046,AY1046)</f>
        <v>1497</v>
      </c>
      <c r="BC1046" s="28" t="n">
        <f aca="false">BA1046-BB1046</f>
        <v>0</v>
      </c>
      <c r="BD1046" s="32" t="n">
        <f aca="false">SUM(P1046,R1046,T1046,V1046,X1046,Z1046,AB1046,AD1046,AF1046,AH1046,AJ1046,AL1046,AN1046,AP1046,AR1046,AT1046,AV1046,AX1046)</f>
        <v>59.88</v>
      </c>
      <c r="BE1046" s="33" t="n">
        <f aca="false">AZ1046-BD1046</f>
        <v>0</v>
      </c>
      <c r="BF1046" s="34" t="n">
        <f aca="false">BD1046*M1046</f>
        <v>1497</v>
      </c>
      <c r="BG1046" s="35" t="n">
        <f aca="false">BA1046-BF1046</f>
        <v>0</v>
      </c>
      <c r="BH1046" s="19" t="str">
        <f aca="false">IF(BG1046=0,"",IF(BG1046&lt;&gt;BA1046,"erreur de calcul",IF(BD1046&lt;&gt;0,"pas de prix",IF(M1046&lt;&gt; 0,"pas de quantité","pas de prix, ni de quantité"))))</f>
        <v/>
      </c>
      <c r="BI1046" s="19"/>
    </row>
    <row r="1047" customFormat="false" ht="15" hidden="false" customHeight="false" outlineLevel="0" collapsed="false">
      <c r="A1047" s="0" t="n">
        <v>15</v>
      </c>
      <c r="B1047" s="8" t="s">
        <v>24</v>
      </c>
      <c r="C1047" s="9" t="s">
        <v>25</v>
      </c>
      <c r="D1047" s="9" t="s">
        <v>26</v>
      </c>
      <c r="E1047" s="10" t="n">
        <v>1789</v>
      </c>
      <c r="F1047" s="9" t="s">
        <v>27</v>
      </c>
      <c r="G1047" s="9" t="s">
        <v>27</v>
      </c>
      <c r="H1047" s="11" t="n">
        <v>27</v>
      </c>
      <c r="I1047" s="11" t="s">
        <v>426</v>
      </c>
      <c r="J1047" s="14" t="n">
        <v>40</v>
      </c>
      <c r="K1047" s="14"/>
      <c r="L1047" s="16"/>
      <c r="M1047" s="27" t="n">
        <f aca="false">J1047+(K1047/20)+(L1047/240)</f>
        <v>40</v>
      </c>
      <c r="N1047" s="17" t="s">
        <v>64</v>
      </c>
      <c r="O1047" s="11"/>
      <c r="P1047" s="28"/>
      <c r="Q1047" s="28" t="n">
        <f aca="false">P1047*$M1047</f>
        <v>0</v>
      </c>
      <c r="R1047" s="28"/>
      <c r="S1047" s="28" t="n">
        <f aca="false">R1047*$M1047</f>
        <v>0</v>
      </c>
      <c r="T1047" s="28"/>
      <c r="U1047" s="28" t="n">
        <f aca="false">T1047*$M1047</f>
        <v>0</v>
      </c>
      <c r="V1047" s="28"/>
      <c r="W1047" s="28" t="n">
        <f aca="false">V1047*$M1047</f>
        <v>0</v>
      </c>
      <c r="X1047" s="28"/>
      <c r="Y1047" s="28" t="n">
        <f aca="false">X1047*$M1047</f>
        <v>0</v>
      </c>
      <c r="Z1047" s="28"/>
      <c r="AA1047" s="28" t="n">
        <f aca="false">Z1047*$M1047</f>
        <v>0</v>
      </c>
      <c r="AB1047" s="28"/>
      <c r="AC1047" s="28" t="n">
        <f aca="false">AB1047*$M1047</f>
        <v>0</v>
      </c>
      <c r="AD1047" s="28"/>
      <c r="AE1047" s="28" t="n">
        <f aca="false">AD1047*$M1047</f>
        <v>0</v>
      </c>
      <c r="AF1047" s="28"/>
      <c r="AG1047" s="28" t="n">
        <f aca="false">AF1047*$M1047</f>
        <v>0</v>
      </c>
      <c r="AH1047" s="28" t="n">
        <f aca="false">1*288*0.02+59*0.02</f>
        <v>6.94</v>
      </c>
      <c r="AI1047" s="28" t="n">
        <v>278</v>
      </c>
      <c r="AJ1047" s="28"/>
      <c r="AK1047" s="28" t="n">
        <f aca="false">AJ1047*$M1047</f>
        <v>0</v>
      </c>
      <c r="AL1047" s="28"/>
      <c r="AM1047" s="28" t="n">
        <f aca="false">AL1047*$M1047</f>
        <v>0</v>
      </c>
      <c r="AN1047" s="28"/>
      <c r="AO1047" s="28" t="n">
        <f aca="false">AN1047*$M1047</f>
        <v>0</v>
      </c>
      <c r="AP1047" s="28"/>
      <c r="AQ1047" s="28" t="n">
        <f aca="false">AP1047*$M1047</f>
        <v>0</v>
      </c>
      <c r="AR1047" s="28"/>
      <c r="AS1047" s="28" t="n">
        <f aca="false">AR1047*$M1047</f>
        <v>0</v>
      </c>
      <c r="AT1047" s="28"/>
      <c r="AU1047" s="28" t="n">
        <f aca="false">AT1047*$M1047</f>
        <v>0</v>
      </c>
      <c r="AV1047" s="28"/>
      <c r="AW1047" s="28" t="n">
        <f aca="false">AV1047*$M1047</f>
        <v>0</v>
      </c>
      <c r="AX1047" s="28"/>
      <c r="AY1047" s="28" t="n">
        <f aca="false">AX1047*$M1047</f>
        <v>0</v>
      </c>
      <c r="AZ1047" s="30" t="n">
        <f aca="false">1*288*0.02+59*0.02</f>
        <v>6.94</v>
      </c>
      <c r="BA1047" s="11" t="n">
        <v>278</v>
      </c>
      <c r="BB1047" s="31" t="n">
        <f aca="false">SUM(Q1047,S1047,U1047,W1047,Y1047,AA1047,AC1047,AE1047,AG1047,AI1047,AK1047,AM1047,AO1047,AQ1047,AS1047,AU1047,AW1047,AY1047)</f>
        <v>278</v>
      </c>
      <c r="BC1047" s="28" t="n">
        <f aca="false">BA1047-BB1047</f>
        <v>0</v>
      </c>
      <c r="BD1047" s="32" t="n">
        <f aca="false">SUM(P1047,R1047,T1047,V1047,X1047,Z1047,AB1047,AD1047,AF1047,AH1047,AJ1047,AL1047,AN1047,AP1047,AR1047,AT1047,AV1047,AX1047)</f>
        <v>6.94</v>
      </c>
      <c r="BE1047" s="33" t="n">
        <f aca="false">AZ1047-BD1047</f>
        <v>0</v>
      </c>
      <c r="BF1047" s="34" t="n">
        <f aca="false">BD1047*M1047</f>
        <v>277.6</v>
      </c>
      <c r="BG1047" s="35" t="n">
        <f aca="false">BA1047-BF1047</f>
        <v>0.400000000000034</v>
      </c>
      <c r="BH1047" s="19" t="str">
        <f aca="false">IF(BG1047=0,"",IF(BG1047&lt;&gt;BA1047,"erreur de calcul",IF(BD1047&lt;&gt;0,"pas de prix",IF(M1047&lt;&gt; 0,"pas de quantité","pas de prix, ni de quantité"))))</f>
        <v>erreur de calcul</v>
      </c>
      <c r="BI1047" s="19"/>
    </row>
    <row r="1048" customFormat="false" ht="15" hidden="false" customHeight="false" outlineLevel="0" collapsed="false">
      <c r="A1048" s="0" t="n">
        <v>16</v>
      </c>
      <c r="B1048" s="8" t="s">
        <v>24</v>
      </c>
      <c r="C1048" s="9" t="s">
        <v>25</v>
      </c>
      <c r="D1048" s="9" t="s">
        <v>26</v>
      </c>
      <c r="E1048" s="10" t="n">
        <v>1789</v>
      </c>
      <c r="F1048" s="9" t="s">
        <v>27</v>
      </c>
      <c r="G1048" s="9" t="s">
        <v>27</v>
      </c>
      <c r="H1048" s="11" t="n">
        <v>27</v>
      </c>
      <c r="I1048" s="11" t="s">
        <v>427</v>
      </c>
      <c r="J1048" s="14" t="n">
        <v>32</v>
      </c>
      <c r="K1048" s="14"/>
      <c r="L1048" s="16"/>
      <c r="M1048" s="27" t="n">
        <f aca="false">J1048+(K1048/20)+(L1048/240)</f>
        <v>32</v>
      </c>
      <c r="N1048" s="17" t="s">
        <v>64</v>
      </c>
      <c r="O1048" s="11"/>
      <c r="P1048" s="28" t="n">
        <f aca="false">33*288*0.02+179*0.02</f>
        <v>193.66</v>
      </c>
      <c r="Q1048" s="28" t="n">
        <v>6197</v>
      </c>
      <c r="R1048" s="28"/>
      <c r="S1048" s="28" t="n">
        <f aca="false">R1048*$M1048</f>
        <v>0</v>
      </c>
      <c r="T1048" s="28"/>
      <c r="U1048" s="28" t="n">
        <f aca="false">T1048*$M1048</f>
        <v>0</v>
      </c>
      <c r="V1048" s="28"/>
      <c r="W1048" s="28" t="n">
        <f aca="false">V1048*$M1048</f>
        <v>0</v>
      </c>
      <c r="X1048" s="28"/>
      <c r="Y1048" s="28" t="n">
        <f aca="false">X1048*$M1048</f>
        <v>0</v>
      </c>
      <c r="Z1048" s="28"/>
      <c r="AA1048" s="28" t="n">
        <f aca="false">Z1048*$M1048</f>
        <v>0</v>
      </c>
      <c r="AB1048" s="28"/>
      <c r="AC1048" s="28" t="n">
        <f aca="false">AB1048*$M1048</f>
        <v>0</v>
      </c>
      <c r="AD1048" s="28"/>
      <c r="AE1048" s="28" t="n">
        <f aca="false">AD1048*$M1048</f>
        <v>0</v>
      </c>
      <c r="AF1048" s="28"/>
      <c r="AG1048" s="28" t="n">
        <f aca="false">AF1048*$M1048</f>
        <v>0</v>
      </c>
      <c r="AH1048" s="28"/>
      <c r="AI1048" s="28" t="n">
        <f aca="false">AH1048*$M1048</f>
        <v>0</v>
      </c>
      <c r="AJ1048" s="28"/>
      <c r="AK1048" s="28" t="n">
        <f aca="false">AJ1048*$M1048</f>
        <v>0</v>
      </c>
      <c r="AL1048" s="28"/>
      <c r="AM1048" s="28" t="n">
        <f aca="false">AL1048*$M1048</f>
        <v>0</v>
      </c>
      <c r="AN1048" s="28"/>
      <c r="AO1048" s="28" t="n">
        <f aca="false">AN1048*$M1048</f>
        <v>0</v>
      </c>
      <c r="AP1048" s="28"/>
      <c r="AQ1048" s="28" t="n">
        <f aca="false">AP1048*$M1048</f>
        <v>0</v>
      </c>
      <c r="AR1048" s="28"/>
      <c r="AS1048" s="28" t="n">
        <f aca="false">AR1048*$M1048</f>
        <v>0</v>
      </c>
      <c r="AT1048" s="28"/>
      <c r="AU1048" s="28" t="n">
        <f aca="false">AT1048*$M1048</f>
        <v>0</v>
      </c>
      <c r="AV1048" s="28"/>
      <c r="AW1048" s="28" t="n">
        <f aca="false">AV1048*$M1048</f>
        <v>0</v>
      </c>
      <c r="AX1048" s="28"/>
      <c r="AY1048" s="28" t="n">
        <f aca="false">AX1048*$M1048</f>
        <v>0</v>
      </c>
      <c r="AZ1048" s="30" t="n">
        <f aca="false">33*288*0.02+179*0.02</f>
        <v>193.66</v>
      </c>
      <c r="BA1048" s="11" t="n">
        <v>6197</v>
      </c>
      <c r="BB1048" s="31" t="n">
        <f aca="false">SUM(Q1048,S1048,U1048,W1048,Y1048,AA1048,AC1048,AE1048,AG1048,AI1048,AK1048,AM1048,AO1048,AQ1048,AS1048,AU1048,AW1048,AY1048)</f>
        <v>6197</v>
      </c>
      <c r="BC1048" s="28" t="n">
        <f aca="false">BA1048-BB1048</f>
        <v>0</v>
      </c>
      <c r="BD1048" s="32" t="n">
        <f aca="false">SUM(P1048,R1048,T1048,V1048,X1048,Z1048,AB1048,AD1048,AF1048,AH1048,AJ1048,AL1048,AN1048,AP1048,AR1048,AT1048,AV1048,AX1048)</f>
        <v>193.66</v>
      </c>
      <c r="BE1048" s="33" t="n">
        <f aca="false">AZ1048-BD1048</f>
        <v>0</v>
      </c>
      <c r="BF1048" s="34" t="n">
        <f aca="false">BD1048*M1048</f>
        <v>6197.12</v>
      </c>
      <c r="BG1048" s="35" t="n">
        <f aca="false">BA1048-BF1048</f>
        <v>-0.1200000000008</v>
      </c>
      <c r="BH1048" s="19" t="str">
        <f aca="false">IF(BG1048=0,"",IF(BG1048&lt;&gt;BA1048,"erreur de calcul",IF(BD1048&lt;&gt;0,"pas de prix",IF(M1048&lt;&gt; 0,"pas de quantité","pas de prix, ni de quantité"))))</f>
        <v>erreur de calcul</v>
      </c>
      <c r="BI1048" s="19"/>
    </row>
    <row r="1049" customFormat="false" ht="15" hidden="false" customHeight="false" outlineLevel="0" collapsed="false">
      <c r="A1049" s="0" t="n">
        <v>17</v>
      </c>
      <c r="B1049" s="8" t="s">
        <v>24</v>
      </c>
      <c r="C1049" s="9" t="s">
        <v>25</v>
      </c>
      <c r="D1049" s="9" t="s">
        <v>26</v>
      </c>
      <c r="E1049" s="10" t="n">
        <v>1789</v>
      </c>
      <c r="F1049" s="9" t="s">
        <v>27</v>
      </c>
      <c r="G1049" s="9" t="s">
        <v>27</v>
      </c>
      <c r="H1049" s="11" t="n">
        <v>27</v>
      </c>
      <c r="I1049" s="11" t="s">
        <v>428</v>
      </c>
      <c r="J1049" s="14"/>
      <c r="K1049" s="14" t="n">
        <v>12</v>
      </c>
      <c r="L1049" s="16"/>
      <c r="M1049" s="27" t="n">
        <f aca="false">J1049+(K1049/20)+(L1049/240)</f>
        <v>0.6</v>
      </c>
      <c r="N1049" s="17" t="s">
        <v>429</v>
      </c>
      <c r="O1049" s="11"/>
      <c r="P1049" s="28" t="n">
        <f aca="false">620*288+173</f>
        <v>178733</v>
      </c>
      <c r="Q1049" s="28" t="n">
        <v>107240</v>
      </c>
      <c r="R1049" s="28"/>
      <c r="S1049" s="28" t="n">
        <f aca="false">R1049*$M1049</f>
        <v>0</v>
      </c>
      <c r="T1049" s="28"/>
      <c r="U1049" s="28" t="n">
        <f aca="false">T1049*$M1049</f>
        <v>0</v>
      </c>
      <c r="V1049" s="28" t="n">
        <f aca="false">4*288+179</f>
        <v>1331</v>
      </c>
      <c r="W1049" s="28" t="n">
        <v>799</v>
      </c>
      <c r="X1049" s="28"/>
      <c r="Y1049" s="28" t="n">
        <f aca="false">X1049*$M1049</f>
        <v>0</v>
      </c>
      <c r="Z1049" s="28"/>
      <c r="AA1049" s="28" t="n">
        <f aca="false">Z1049*$M1049</f>
        <v>0</v>
      </c>
      <c r="AB1049" s="28"/>
      <c r="AC1049" s="28" t="n">
        <f aca="false">AB1049*$M1049</f>
        <v>0</v>
      </c>
      <c r="AD1049" s="28"/>
      <c r="AE1049" s="28" t="n">
        <f aca="false">AD1049*$M1049</f>
        <v>0</v>
      </c>
      <c r="AF1049" s="28"/>
      <c r="AG1049" s="28" t="n">
        <f aca="false">AF1049*$M1049</f>
        <v>0</v>
      </c>
      <c r="AH1049" s="28" t="n">
        <f aca="false">12*288+227</f>
        <v>3683</v>
      </c>
      <c r="AI1049" s="28" t="n">
        <v>2210</v>
      </c>
      <c r="AJ1049" s="28"/>
      <c r="AK1049" s="28" t="n">
        <f aca="false">AJ1049*$M1049</f>
        <v>0</v>
      </c>
      <c r="AL1049" s="28"/>
      <c r="AM1049" s="28" t="n">
        <f aca="false">AL1049*$M1049</f>
        <v>0</v>
      </c>
      <c r="AN1049" s="28"/>
      <c r="AO1049" s="28" t="n">
        <f aca="false">AN1049*$M1049</f>
        <v>0</v>
      </c>
      <c r="AP1049" s="28"/>
      <c r="AQ1049" s="28" t="n">
        <f aca="false">AP1049*$M1049</f>
        <v>0</v>
      </c>
      <c r="AR1049" s="28"/>
      <c r="AS1049" s="28" t="n">
        <f aca="false">AR1049*$M1049</f>
        <v>0</v>
      </c>
      <c r="AT1049" s="28"/>
      <c r="AU1049" s="28" t="n">
        <f aca="false">AT1049*$M1049</f>
        <v>0</v>
      </c>
      <c r="AV1049" s="28"/>
      <c r="AW1049" s="28" t="n">
        <f aca="false">AV1049*$M1049</f>
        <v>0</v>
      </c>
      <c r="AX1049" s="28"/>
      <c r="AY1049" s="28" t="n">
        <f aca="false">AX1049*$M1049</f>
        <v>0</v>
      </c>
      <c r="AZ1049" s="30" t="n">
        <f aca="false">638*288+3</f>
        <v>183747</v>
      </c>
      <c r="BA1049" s="11" t="n">
        <v>110249</v>
      </c>
      <c r="BB1049" s="31" t="n">
        <f aca="false">SUM(Q1049,S1049,U1049,W1049,Y1049,AA1049,AC1049,AE1049,AG1049,AI1049,AK1049,AM1049,AO1049,AQ1049,AS1049,AU1049,AW1049,AY1049)</f>
        <v>110249</v>
      </c>
      <c r="BC1049" s="28" t="n">
        <f aca="false">BA1049-BB1049</f>
        <v>0</v>
      </c>
      <c r="BD1049" s="32" t="n">
        <f aca="false">SUM(P1049,R1049,T1049,V1049,X1049,Z1049,AB1049,AD1049,AF1049,AH1049,AJ1049,AL1049,AN1049,AP1049,AR1049,AT1049,AV1049,AX1049)</f>
        <v>183747</v>
      </c>
      <c r="BE1049" s="33" t="n">
        <f aca="false">AZ1049-BD1049</f>
        <v>0</v>
      </c>
      <c r="BF1049" s="34" t="n">
        <f aca="false">BD1049*M1049</f>
        <v>110248.2</v>
      </c>
      <c r="BG1049" s="35" t="n">
        <f aca="false">BA1049-BF1049</f>
        <v>0.80000000000291</v>
      </c>
      <c r="BH1049" s="19" t="str">
        <f aca="false">IF(BG1049=0,"",IF(BG1049&lt;&gt;BA1049,"erreur de calcul",IF(BD1049&lt;&gt;0,"pas de prix",IF(M1049&lt;&gt; 0,"pas de quantité","pas de prix, ni de quantité"))))</f>
        <v>erreur de calcul</v>
      </c>
      <c r="BI1049" s="19"/>
    </row>
    <row r="1050" customFormat="false" ht="15" hidden="false" customHeight="false" outlineLevel="0" collapsed="false">
      <c r="A1050" s="0" t="n">
        <v>18</v>
      </c>
      <c r="B1050" s="8" t="s">
        <v>24</v>
      </c>
      <c r="C1050" s="9" t="s">
        <v>25</v>
      </c>
      <c r="D1050" s="9" t="s">
        <v>26</v>
      </c>
      <c r="E1050" s="10" t="n">
        <v>1789</v>
      </c>
      <c r="F1050" s="9" t="s">
        <v>27</v>
      </c>
      <c r="G1050" s="9" t="s">
        <v>27</v>
      </c>
      <c r="H1050" s="11" t="n">
        <v>27</v>
      </c>
      <c r="I1050" s="11" t="s">
        <v>430</v>
      </c>
      <c r="J1050" s="14" t="n">
        <v>30</v>
      </c>
      <c r="K1050" s="14"/>
      <c r="L1050" s="16"/>
      <c r="M1050" s="27" t="n">
        <f aca="false">J1050+(K1050/20)+(L1050/240)</f>
        <v>30</v>
      </c>
      <c r="N1050" s="17" t="s">
        <v>64</v>
      </c>
      <c r="O1050" s="11" t="s">
        <v>77</v>
      </c>
      <c r="P1050" s="28"/>
      <c r="Q1050" s="28" t="n">
        <f aca="false">P1050*$M1050</f>
        <v>0</v>
      </c>
      <c r="R1050" s="28"/>
      <c r="S1050" s="28" t="n">
        <f aca="false">R1050*$M1050</f>
        <v>0</v>
      </c>
      <c r="T1050" s="28" t="n">
        <f aca="false">3*288*0.02+162*0.02</f>
        <v>20.52</v>
      </c>
      <c r="U1050" s="28" t="n">
        <v>616</v>
      </c>
      <c r="V1050" s="28"/>
      <c r="W1050" s="28" t="n">
        <f aca="false">V1050*$M1050</f>
        <v>0</v>
      </c>
      <c r="X1050" s="28" t="n">
        <f aca="false">4*288*0.02+17*0.02</f>
        <v>23.38</v>
      </c>
      <c r="Y1050" s="28" t="n">
        <v>702</v>
      </c>
      <c r="Z1050" s="28" t="n">
        <f aca="false">3*288*0.02+169*0.02</f>
        <v>20.66</v>
      </c>
      <c r="AA1050" s="28" t="n">
        <v>620</v>
      </c>
      <c r="AB1050" s="28" t="n">
        <f aca="false">10*288*0.02+224*0.02</f>
        <v>62.08</v>
      </c>
      <c r="AC1050" s="28" t="n">
        <v>1863</v>
      </c>
      <c r="AD1050" s="28"/>
      <c r="AE1050" s="28" t="n">
        <f aca="false">AD1050*$M1050</f>
        <v>0</v>
      </c>
      <c r="AF1050" s="28"/>
      <c r="AG1050" s="28" t="n">
        <f aca="false">AF1050*$M1050</f>
        <v>0</v>
      </c>
      <c r="AH1050" s="28" t="n">
        <f aca="false">200*0.02</f>
        <v>4</v>
      </c>
      <c r="AI1050" s="28" t="n">
        <v>120</v>
      </c>
      <c r="AJ1050" s="28"/>
      <c r="AK1050" s="28" t="n">
        <f aca="false">AJ1050*$M1050</f>
        <v>0</v>
      </c>
      <c r="AL1050" s="28"/>
      <c r="AM1050" s="28" t="n">
        <f aca="false">AL1050*$M1050</f>
        <v>0</v>
      </c>
      <c r="AN1050" s="28"/>
      <c r="AO1050" s="28" t="n">
        <f aca="false">AN1050*$M1050</f>
        <v>0</v>
      </c>
      <c r="AP1050" s="28"/>
      <c r="AQ1050" s="28" t="n">
        <f aca="false">AP1050*$M1050</f>
        <v>0</v>
      </c>
      <c r="AR1050" s="28"/>
      <c r="AS1050" s="28" t="n">
        <f aca="false">AR1050*$M1050</f>
        <v>0</v>
      </c>
      <c r="AT1050" s="28"/>
      <c r="AU1050" s="28" t="n">
        <f aca="false">AT1050*$M1050</f>
        <v>0</v>
      </c>
      <c r="AV1050" s="28"/>
      <c r="AW1050" s="28" t="n">
        <f aca="false">AV1050*$M1050</f>
        <v>0</v>
      </c>
      <c r="AX1050" s="28"/>
      <c r="AY1050" s="28" t="n">
        <f aca="false">AX1050*$M1050</f>
        <v>0</v>
      </c>
      <c r="AZ1050" s="30" t="n">
        <f aca="false">22*288*0.02+196*0.02</f>
        <v>130.64</v>
      </c>
      <c r="BA1050" s="11" t="n">
        <v>3921</v>
      </c>
      <c r="BB1050" s="31" t="n">
        <f aca="false">SUM(Q1050,S1050,U1050,W1050,Y1050,AA1050,AC1050,AE1050,AG1050,AI1050,AK1050,AM1050,AO1050,AQ1050,AS1050,AU1050,AW1050,AY1050)</f>
        <v>3921</v>
      </c>
      <c r="BC1050" s="28" t="n">
        <f aca="false">BA1050-BB1050</f>
        <v>0</v>
      </c>
      <c r="BD1050" s="32" t="n">
        <f aca="false">SUM(P1050,R1050,T1050,V1050,X1050,Z1050,AB1050,AD1050,AF1050,AH1050,AJ1050,AL1050,AN1050,AP1050,AR1050,AT1050,AV1050,AX1050)</f>
        <v>130.64</v>
      </c>
      <c r="BE1050" s="33" t="n">
        <f aca="false">AZ1050-BD1050</f>
        <v>0</v>
      </c>
      <c r="BF1050" s="34" t="n">
        <f aca="false">BD1050*M1050</f>
        <v>3919.2</v>
      </c>
      <c r="BG1050" s="35" t="n">
        <f aca="false">BA1050-BF1050</f>
        <v>1.80000000000018</v>
      </c>
      <c r="BH1050" s="19" t="str">
        <f aca="false">IF(BG1050=0,"",IF(BG1050&lt;&gt;BA1050,"erreur de calcul",IF(BD1050&lt;&gt;0,"pas de prix",IF(M1050&lt;&gt; 0,"pas de quantité","pas de prix, ni de quantité"))))</f>
        <v>erreur de calcul</v>
      </c>
      <c r="BI1050" s="19"/>
    </row>
    <row r="1051" customFormat="false" ht="15" hidden="false" customHeight="false" outlineLevel="0" collapsed="false">
      <c r="A1051" s="0" t="n">
        <v>19</v>
      </c>
      <c r="B1051" s="8" t="s">
        <v>24</v>
      </c>
      <c r="C1051" s="9" t="s">
        <v>25</v>
      </c>
      <c r="D1051" s="9" t="s">
        <v>26</v>
      </c>
      <c r="E1051" s="10" t="n">
        <v>1789</v>
      </c>
      <c r="F1051" s="9" t="s">
        <v>27</v>
      </c>
      <c r="G1051" s="9" t="s">
        <v>27</v>
      </c>
      <c r="H1051" s="11" t="n">
        <v>27</v>
      </c>
      <c r="I1051" s="11" t="s">
        <v>431</v>
      </c>
      <c r="J1051" s="14" t="n">
        <v>10</v>
      </c>
      <c r="K1051" s="14"/>
      <c r="L1051" s="16"/>
      <c r="M1051" s="27" t="n">
        <f aca="false">J1051+(K1051/20)+(L1051/240)</f>
        <v>10</v>
      </c>
      <c r="N1051" s="17" t="s">
        <v>432</v>
      </c>
      <c r="O1051" s="11" t="s">
        <v>109</v>
      </c>
      <c r="P1051" s="28" t="n">
        <f aca="false">105*(288/62.5)+135/62.5</f>
        <v>486</v>
      </c>
      <c r="Q1051" s="28" t="n">
        <v>4860</v>
      </c>
      <c r="R1051" s="28"/>
      <c r="S1051" s="28" t="n">
        <f aca="false">R1051*$M1051</f>
        <v>0</v>
      </c>
      <c r="T1051" s="28" t="n">
        <f aca="false">8*(288/62.5)+196/62.5</f>
        <v>40</v>
      </c>
      <c r="U1051" s="28" t="n">
        <v>400</v>
      </c>
      <c r="V1051" s="28"/>
      <c r="W1051" s="28" t="n">
        <f aca="false">V1051*$M1051</f>
        <v>0</v>
      </c>
      <c r="X1051" s="28"/>
      <c r="Y1051" s="28" t="n">
        <f aca="false">X1051*$M1051</f>
        <v>0</v>
      </c>
      <c r="Z1051" s="28"/>
      <c r="AA1051" s="28" t="n">
        <f aca="false">Z1051*$M1051</f>
        <v>0</v>
      </c>
      <c r="AB1051" s="28"/>
      <c r="AC1051" s="28" t="n">
        <f aca="false">AB1051*$M1051</f>
        <v>0</v>
      </c>
      <c r="AD1051" s="28"/>
      <c r="AE1051" s="28" t="n">
        <f aca="false">AD1051*$M1051</f>
        <v>0</v>
      </c>
      <c r="AF1051" s="28"/>
      <c r="AG1051" s="28" t="n">
        <f aca="false">AF1051*$M1051</f>
        <v>0</v>
      </c>
      <c r="AH1051" s="28"/>
      <c r="AI1051" s="28" t="n">
        <f aca="false">AH1051*$M1051</f>
        <v>0</v>
      </c>
      <c r="AJ1051" s="28"/>
      <c r="AK1051" s="28" t="n">
        <f aca="false">AJ1051*$M1051</f>
        <v>0</v>
      </c>
      <c r="AL1051" s="28"/>
      <c r="AM1051" s="28" t="n">
        <f aca="false">AL1051*$M1051</f>
        <v>0</v>
      </c>
      <c r="AN1051" s="28"/>
      <c r="AO1051" s="28" t="n">
        <f aca="false">AN1051*$M1051</f>
        <v>0</v>
      </c>
      <c r="AP1051" s="28"/>
      <c r="AQ1051" s="28" t="n">
        <f aca="false">AP1051*$M1051</f>
        <v>0</v>
      </c>
      <c r="AR1051" s="28"/>
      <c r="AS1051" s="28" t="n">
        <f aca="false">AR1051*$M1051</f>
        <v>0</v>
      </c>
      <c r="AT1051" s="28"/>
      <c r="AU1051" s="28" t="n">
        <f aca="false">AT1051*$M1051</f>
        <v>0</v>
      </c>
      <c r="AV1051" s="28"/>
      <c r="AW1051" s="28" t="n">
        <f aca="false">AV1051*$M1051</f>
        <v>0</v>
      </c>
      <c r="AX1051" s="28"/>
      <c r="AY1051" s="28" t="n">
        <f aca="false">AX1051*$M1051</f>
        <v>0</v>
      </c>
      <c r="AZ1051" s="30" t="n">
        <f aca="false">114*(288/62.5)+43/62.5</f>
        <v>526</v>
      </c>
      <c r="BA1051" s="11" t="n">
        <v>5260</v>
      </c>
      <c r="BB1051" s="31" t="n">
        <f aca="false">SUM(Q1051,S1051,U1051,W1051,Y1051,AA1051,AC1051,AE1051,AG1051,AI1051,AK1051,AM1051,AO1051,AQ1051,AS1051,AU1051,AW1051,AY1051)</f>
        <v>5260</v>
      </c>
      <c r="BC1051" s="28" t="n">
        <f aca="false">BA1051-BB1051</f>
        <v>0</v>
      </c>
      <c r="BD1051" s="32" t="n">
        <f aca="false">SUM(P1051,R1051,T1051,V1051,X1051,Z1051,AB1051,AD1051,AF1051,AH1051,AJ1051,AL1051,AN1051,AP1051,AR1051,AT1051,AV1051,AX1051)</f>
        <v>526</v>
      </c>
      <c r="BE1051" s="33" t="n">
        <f aca="false">AZ1051-BD1051</f>
        <v>0</v>
      </c>
      <c r="BF1051" s="34" t="n">
        <f aca="false">BD1051*M1051</f>
        <v>5260</v>
      </c>
      <c r="BG1051" s="35" t="n">
        <f aca="false">BA1051-BF1051</f>
        <v>0</v>
      </c>
      <c r="BH1051" s="19" t="str">
        <f aca="false">IF(BG1051=0,"",IF(BG1051&lt;&gt;BA1051,"erreur de calcul",IF(BD1051&lt;&gt;0,"pas de prix",IF(M1051&lt;&gt; 0,"pas de quantité","pas de prix, ni de quantité"))))</f>
        <v/>
      </c>
      <c r="BI1051" s="19"/>
    </row>
    <row r="1052" customFormat="false" ht="15" hidden="false" customHeight="false" outlineLevel="0" collapsed="false">
      <c r="A1052" s="0" t="n">
        <v>20</v>
      </c>
      <c r="B1052" s="8" t="s">
        <v>24</v>
      </c>
      <c r="C1052" s="9" t="s">
        <v>25</v>
      </c>
      <c r="D1052" s="9" t="s">
        <v>26</v>
      </c>
      <c r="E1052" s="10" t="n">
        <v>1789</v>
      </c>
      <c r="F1052" s="9" t="s">
        <v>27</v>
      </c>
      <c r="G1052" s="9" t="s">
        <v>27</v>
      </c>
      <c r="H1052" s="11" t="n">
        <v>27</v>
      </c>
      <c r="I1052" s="11" t="s">
        <v>433</v>
      </c>
      <c r="J1052" s="14"/>
      <c r="K1052" s="14" t="n">
        <v>14</v>
      </c>
      <c r="L1052" s="16"/>
      <c r="M1052" s="27" t="n">
        <f aca="false">J1052+(K1052/20)+(L1052/240)</f>
        <v>0.7</v>
      </c>
      <c r="N1052" s="17" t="s">
        <v>429</v>
      </c>
      <c r="O1052" s="11"/>
      <c r="P1052" s="28" t="n">
        <f aca="false">103*288+190</f>
        <v>29854</v>
      </c>
      <c r="Q1052" s="28" t="n">
        <v>20898</v>
      </c>
      <c r="R1052" s="28"/>
      <c r="S1052" s="28" t="n">
        <f aca="false">R1052*$M1052</f>
        <v>0</v>
      </c>
      <c r="T1052" s="28"/>
      <c r="U1052" s="28" t="n">
        <f aca="false">T1052*$M1052</f>
        <v>0</v>
      </c>
      <c r="V1052" s="28"/>
      <c r="W1052" s="28" t="n">
        <f aca="false">V1052*$M1052</f>
        <v>0</v>
      </c>
      <c r="X1052" s="28"/>
      <c r="Y1052" s="28" t="n">
        <f aca="false">X1052*$M1052</f>
        <v>0</v>
      </c>
      <c r="Z1052" s="28"/>
      <c r="AA1052" s="28" t="n">
        <f aca="false">Z1052*$M1052</f>
        <v>0</v>
      </c>
      <c r="AB1052" s="28"/>
      <c r="AC1052" s="28" t="n">
        <f aca="false">AB1052*$M1052</f>
        <v>0</v>
      </c>
      <c r="AD1052" s="28"/>
      <c r="AE1052" s="28" t="n">
        <f aca="false">AD1052*$M1052</f>
        <v>0</v>
      </c>
      <c r="AF1052" s="28"/>
      <c r="AG1052" s="28" t="n">
        <f aca="false">AF1052*$M1052</f>
        <v>0</v>
      </c>
      <c r="AH1052" s="28"/>
      <c r="AI1052" s="28" t="n">
        <f aca="false">AH1052*$M1052</f>
        <v>0</v>
      </c>
      <c r="AJ1052" s="28"/>
      <c r="AK1052" s="28" t="n">
        <f aca="false">AJ1052*$M1052</f>
        <v>0</v>
      </c>
      <c r="AL1052" s="28"/>
      <c r="AM1052" s="28" t="n">
        <f aca="false">AL1052*$M1052</f>
        <v>0</v>
      </c>
      <c r="AN1052" s="28"/>
      <c r="AO1052" s="28" t="n">
        <f aca="false">AN1052*$M1052</f>
        <v>0</v>
      </c>
      <c r="AP1052" s="28"/>
      <c r="AQ1052" s="28" t="n">
        <f aca="false">AP1052*$M1052</f>
        <v>0</v>
      </c>
      <c r="AR1052" s="28"/>
      <c r="AS1052" s="28" t="n">
        <f aca="false">AR1052*$M1052</f>
        <v>0</v>
      </c>
      <c r="AT1052" s="28"/>
      <c r="AU1052" s="28" t="n">
        <f aca="false">AT1052*$M1052</f>
        <v>0</v>
      </c>
      <c r="AV1052" s="28"/>
      <c r="AW1052" s="28" t="n">
        <f aca="false">AV1052*$M1052</f>
        <v>0</v>
      </c>
      <c r="AX1052" s="28"/>
      <c r="AY1052" s="28" t="n">
        <f aca="false">AX1052*$M1052</f>
        <v>0</v>
      </c>
      <c r="AZ1052" s="30" t="n">
        <f aca="false">103*288+190</f>
        <v>29854</v>
      </c>
      <c r="BA1052" s="11" t="n">
        <v>20898</v>
      </c>
      <c r="BB1052" s="31" t="n">
        <f aca="false">SUM(Q1052,S1052,U1052,W1052,Y1052,AA1052,AC1052,AE1052,AG1052,AI1052,AK1052,AM1052,AO1052,AQ1052,AS1052,AU1052,AW1052,AY1052)</f>
        <v>20898</v>
      </c>
      <c r="BC1052" s="28" t="n">
        <f aca="false">BA1052-BB1052</f>
        <v>0</v>
      </c>
      <c r="BD1052" s="32" t="n">
        <f aca="false">SUM(P1052,R1052,T1052,V1052,X1052,Z1052,AB1052,AD1052,AF1052,AH1052,AJ1052,AL1052,AN1052,AP1052,AR1052,AT1052,AV1052,AX1052)</f>
        <v>29854</v>
      </c>
      <c r="BE1052" s="33" t="n">
        <f aca="false">AZ1052-BD1052</f>
        <v>0</v>
      </c>
      <c r="BF1052" s="34" t="n">
        <f aca="false">BD1052*M1052</f>
        <v>20897.8</v>
      </c>
      <c r="BG1052" s="35" t="n">
        <f aca="false">BA1052-BF1052</f>
        <v>0.200000000000728</v>
      </c>
      <c r="BH1052" s="19" t="str">
        <f aca="false">IF(BG1052=0,"",IF(BG1052&lt;&gt;BA1052,"erreur de calcul",IF(BD1052&lt;&gt;0,"pas de prix",IF(M1052&lt;&gt; 0,"pas de quantité","pas de prix, ni de quantité"))))</f>
        <v>erreur de calcul</v>
      </c>
      <c r="BI1052" s="19"/>
    </row>
    <row r="1053" customFormat="false" ht="15" hidden="false" customHeight="false" outlineLevel="0" collapsed="false">
      <c r="A1053" s="0" t="n">
        <v>21</v>
      </c>
      <c r="B1053" s="8" t="s">
        <v>24</v>
      </c>
      <c r="C1053" s="9" t="s">
        <v>25</v>
      </c>
      <c r="D1053" s="9" t="s">
        <v>26</v>
      </c>
      <c r="E1053" s="10" t="n">
        <v>1789</v>
      </c>
      <c r="F1053" s="9" t="s">
        <v>27</v>
      </c>
      <c r="G1053" s="9" t="s">
        <v>27</v>
      </c>
      <c r="H1053" s="11" t="n">
        <v>27</v>
      </c>
      <c r="I1053" s="11" t="s">
        <v>434</v>
      </c>
      <c r="J1053" s="14"/>
      <c r="K1053" s="14" t="n">
        <v>5</v>
      </c>
      <c r="L1053" s="16"/>
      <c r="M1053" s="27" t="n">
        <f aca="false">J1053+(K1053/20)+(L1053/240)</f>
        <v>0.25</v>
      </c>
      <c r="N1053" s="17" t="s">
        <v>79</v>
      </c>
      <c r="O1053" s="11"/>
      <c r="P1053" s="28" t="n">
        <v>300402</v>
      </c>
      <c r="Q1053" s="28" t="n">
        <v>75100</v>
      </c>
      <c r="R1053" s="28"/>
      <c r="S1053" s="28" t="n">
        <f aca="false">R1053*$M1053</f>
        <v>0</v>
      </c>
      <c r="T1053" s="28"/>
      <c r="U1053" s="28" t="n">
        <f aca="false">T1053*$M1053</f>
        <v>0</v>
      </c>
      <c r="V1053" s="28" t="n">
        <v>448</v>
      </c>
      <c r="W1053" s="28" t="n">
        <v>112</v>
      </c>
      <c r="X1053" s="28"/>
      <c r="Y1053" s="28" t="n">
        <f aca="false">X1053*$M1053</f>
        <v>0</v>
      </c>
      <c r="Z1053" s="28"/>
      <c r="AA1053" s="28" t="n">
        <f aca="false">Z1053*$M1053</f>
        <v>0</v>
      </c>
      <c r="AB1053" s="28"/>
      <c r="AC1053" s="28" t="n">
        <f aca="false">AB1053*$M1053</f>
        <v>0</v>
      </c>
      <c r="AD1053" s="28"/>
      <c r="AE1053" s="28" t="n">
        <f aca="false">AD1053*$M1053</f>
        <v>0</v>
      </c>
      <c r="AF1053" s="28"/>
      <c r="AG1053" s="28" t="n">
        <f aca="false">AF1053*$M1053</f>
        <v>0</v>
      </c>
      <c r="AH1053" s="28"/>
      <c r="AI1053" s="28" t="n">
        <f aca="false">AH1053*$M1053</f>
        <v>0</v>
      </c>
      <c r="AJ1053" s="28"/>
      <c r="AK1053" s="28" t="n">
        <f aca="false">AJ1053*$M1053</f>
        <v>0</v>
      </c>
      <c r="AL1053" s="28"/>
      <c r="AM1053" s="28" t="n">
        <f aca="false">AL1053*$M1053</f>
        <v>0</v>
      </c>
      <c r="AN1053" s="28"/>
      <c r="AO1053" s="28" t="n">
        <f aca="false">AN1053*$M1053</f>
        <v>0</v>
      </c>
      <c r="AP1053" s="28"/>
      <c r="AQ1053" s="28" t="n">
        <f aca="false">AP1053*$M1053</f>
        <v>0</v>
      </c>
      <c r="AR1053" s="28"/>
      <c r="AS1053" s="28" t="n">
        <f aca="false">AR1053*$M1053</f>
        <v>0</v>
      </c>
      <c r="AT1053" s="28"/>
      <c r="AU1053" s="28" t="n">
        <f aca="false">AT1053*$M1053</f>
        <v>0</v>
      </c>
      <c r="AV1053" s="28"/>
      <c r="AW1053" s="28" t="n">
        <f aca="false">AV1053*$M1053</f>
        <v>0</v>
      </c>
      <c r="AX1053" s="28"/>
      <c r="AY1053" s="28" t="n">
        <f aca="false">AX1053*$M1053</f>
        <v>0</v>
      </c>
      <c r="AZ1053" s="30" t="n">
        <v>300850</v>
      </c>
      <c r="BA1053" s="11" t="n">
        <v>75212</v>
      </c>
      <c r="BB1053" s="31" t="n">
        <f aca="false">SUM(Q1053,S1053,U1053,W1053,Y1053,AA1053,AC1053,AE1053,AG1053,AI1053,AK1053,AM1053,AO1053,AQ1053,AS1053,AU1053,AW1053,AY1053)</f>
        <v>75212</v>
      </c>
      <c r="BC1053" s="28" t="n">
        <f aca="false">BA1053-BB1053</f>
        <v>0</v>
      </c>
      <c r="BD1053" s="32" t="n">
        <f aca="false">SUM(P1053,R1053,T1053,V1053,X1053,Z1053,AB1053,AD1053,AF1053,AH1053,AJ1053,AL1053,AN1053,AP1053,AR1053,AT1053,AV1053,AX1053)</f>
        <v>300850</v>
      </c>
      <c r="BE1053" s="33" t="n">
        <f aca="false">AZ1053-BD1053</f>
        <v>0</v>
      </c>
      <c r="BF1053" s="34" t="n">
        <f aca="false">BD1053*M1053</f>
        <v>75212.5</v>
      </c>
      <c r="BG1053" s="35" t="n">
        <f aca="false">BA1053-BF1053</f>
        <v>-0.5</v>
      </c>
      <c r="BH1053" s="19" t="str">
        <f aca="false">IF(BG1053=0,"",IF(BG1053&lt;&gt;BA1053,"erreur de calcul",IF(BD1053&lt;&gt;0,"pas de prix",IF(M1053&lt;&gt; 0,"pas de quantité","pas de prix, ni de quantité"))))</f>
        <v>erreur de calcul</v>
      </c>
      <c r="BI1053" s="19"/>
    </row>
    <row r="1054" customFormat="false" ht="78.4" hidden="false" customHeight="true" outlineLevel="0" collapsed="false">
      <c r="A1054" s="0" t="s">
        <v>31</v>
      </c>
      <c r="B1054" s="2" t="s">
        <v>0</v>
      </c>
      <c r="C1054" s="2" t="s">
        <v>1</v>
      </c>
      <c r="D1054" s="2" t="s">
        <v>2</v>
      </c>
      <c r="E1054" s="2" t="s">
        <v>3</v>
      </c>
      <c r="F1054" s="2" t="s">
        <v>4</v>
      </c>
      <c r="G1054" s="2" t="s">
        <v>5</v>
      </c>
      <c r="H1054" s="2" t="s">
        <v>6</v>
      </c>
      <c r="I1054" s="3" t="s">
        <v>7</v>
      </c>
      <c r="J1054" s="5" t="s">
        <v>12</v>
      </c>
      <c r="K1054" s="5" t="s">
        <v>13</v>
      </c>
      <c r="L1054" s="5" t="s">
        <v>14</v>
      </c>
      <c r="M1054" s="7" t="s">
        <v>15</v>
      </c>
      <c r="N1054" s="6" t="s">
        <v>32</v>
      </c>
      <c r="O1054" s="6" t="s">
        <v>33</v>
      </c>
      <c r="P1054" s="6" t="s">
        <v>34</v>
      </c>
      <c r="Q1054" s="6"/>
      <c r="R1054" s="6" t="s">
        <v>35</v>
      </c>
      <c r="S1054" s="6"/>
      <c r="T1054" s="6" t="s">
        <v>36</v>
      </c>
      <c r="U1054" s="6"/>
      <c r="V1054" s="6" t="s">
        <v>37</v>
      </c>
      <c r="W1054" s="6"/>
      <c r="X1054" s="6" t="s">
        <v>38</v>
      </c>
      <c r="Y1054" s="6"/>
      <c r="Z1054" s="6" t="s">
        <v>39</v>
      </c>
      <c r="AA1054" s="6"/>
      <c r="AB1054" s="6" t="s">
        <v>40</v>
      </c>
      <c r="AC1054" s="6"/>
      <c r="AD1054" s="6" t="s">
        <v>41</v>
      </c>
      <c r="AE1054" s="6"/>
      <c r="AF1054" s="6" t="s">
        <v>42</v>
      </c>
      <c r="AG1054" s="6"/>
      <c r="AH1054" s="6" t="s">
        <v>43</v>
      </c>
      <c r="AI1054" s="6"/>
      <c r="AJ1054" s="6" t="s">
        <v>44</v>
      </c>
      <c r="AK1054" s="6"/>
      <c r="AL1054" s="6" t="s">
        <v>45</v>
      </c>
      <c r="AM1054" s="6"/>
      <c r="AN1054" s="6" t="s">
        <v>46</v>
      </c>
      <c r="AO1054" s="6"/>
      <c r="AP1054" s="6" t="s">
        <v>47</v>
      </c>
      <c r="AQ1054" s="6"/>
      <c r="AR1054" s="6" t="s">
        <v>48</v>
      </c>
      <c r="AS1054" s="6"/>
      <c r="AT1054" s="6" t="s">
        <v>49</v>
      </c>
      <c r="AU1054" s="6"/>
      <c r="AV1054" s="6" t="s">
        <v>50</v>
      </c>
      <c r="AW1054" s="6"/>
      <c r="AX1054" s="6" t="s">
        <v>51</v>
      </c>
      <c r="AY1054" s="6"/>
      <c r="AZ1054" s="6" t="s">
        <v>52</v>
      </c>
      <c r="BA1054" s="6"/>
      <c r="BB1054" s="6"/>
      <c r="BC1054" s="6"/>
      <c r="BD1054" s="6" t="s">
        <v>53</v>
      </c>
      <c r="BE1054" s="6" t="s">
        <v>54</v>
      </c>
      <c r="BF1054" s="6" t="s">
        <v>55</v>
      </c>
      <c r="BG1054" s="6" t="s">
        <v>56</v>
      </c>
      <c r="BH1054" s="6" t="s">
        <v>57</v>
      </c>
      <c r="BI1054" s="6" t="s">
        <v>23</v>
      </c>
    </row>
    <row r="1055" customFormat="false" ht="15" hidden="false" customHeight="false" outlineLevel="0" collapsed="false">
      <c r="B1055" s="20"/>
      <c r="C1055" s="20"/>
      <c r="D1055" s="20"/>
      <c r="E1055" s="21"/>
      <c r="F1055" s="20"/>
      <c r="G1055" s="20"/>
      <c r="H1055" s="20"/>
      <c r="I1055" s="22"/>
      <c r="J1055" s="23"/>
      <c r="K1055" s="23"/>
      <c r="L1055" s="24"/>
      <c r="M1055" s="25"/>
      <c r="N1055" s="25"/>
      <c r="O1055" s="26" t="s">
        <v>58</v>
      </c>
      <c r="P1055" s="25" t="s">
        <v>59</v>
      </c>
      <c r="Q1055" s="25" t="s">
        <v>60</v>
      </c>
      <c r="R1055" s="25" t="s">
        <v>59</v>
      </c>
      <c r="S1055" s="25" t="s">
        <v>60</v>
      </c>
      <c r="T1055" s="25" t="s">
        <v>59</v>
      </c>
      <c r="U1055" s="25" t="s">
        <v>60</v>
      </c>
      <c r="V1055" s="25" t="s">
        <v>59</v>
      </c>
      <c r="W1055" s="25" t="s">
        <v>60</v>
      </c>
      <c r="X1055" s="25" t="s">
        <v>59</v>
      </c>
      <c r="Y1055" s="25" t="s">
        <v>60</v>
      </c>
      <c r="Z1055" s="25" t="s">
        <v>59</v>
      </c>
      <c r="AA1055" s="25" t="s">
        <v>60</v>
      </c>
      <c r="AB1055" s="25" t="s">
        <v>59</v>
      </c>
      <c r="AC1055" s="25" t="s">
        <v>60</v>
      </c>
      <c r="AD1055" s="25" t="s">
        <v>59</v>
      </c>
      <c r="AE1055" s="25" t="s">
        <v>60</v>
      </c>
      <c r="AF1055" s="25" t="s">
        <v>59</v>
      </c>
      <c r="AG1055" s="25" t="s">
        <v>60</v>
      </c>
      <c r="AH1055" s="25" t="s">
        <v>59</v>
      </c>
      <c r="AI1055" s="25" t="s">
        <v>60</v>
      </c>
      <c r="AJ1055" s="25" t="s">
        <v>59</v>
      </c>
      <c r="AK1055" s="25" t="s">
        <v>60</v>
      </c>
      <c r="AL1055" s="25" t="s">
        <v>59</v>
      </c>
      <c r="AM1055" s="25" t="s">
        <v>60</v>
      </c>
      <c r="AN1055" s="25" t="s">
        <v>59</v>
      </c>
      <c r="AO1055" s="25" t="s">
        <v>60</v>
      </c>
      <c r="AP1055" s="25" t="s">
        <v>59</v>
      </c>
      <c r="AQ1055" s="25" t="s">
        <v>60</v>
      </c>
      <c r="AR1055" s="25" t="s">
        <v>59</v>
      </c>
      <c r="AS1055" s="25" t="s">
        <v>60</v>
      </c>
      <c r="AT1055" s="25" t="s">
        <v>59</v>
      </c>
      <c r="AU1055" s="25" t="s">
        <v>60</v>
      </c>
      <c r="AV1055" s="25" t="s">
        <v>59</v>
      </c>
      <c r="AW1055" s="25" t="s">
        <v>60</v>
      </c>
      <c r="AX1055" s="25" t="s">
        <v>59</v>
      </c>
      <c r="AY1055" s="25" t="s">
        <v>60</v>
      </c>
      <c r="AZ1055" s="25" t="s">
        <v>59</v>
      </c>
      <c r="BA1055" s="25" t="s">
        <v>60</v>
      </c>
      <c r="BB1055" s="25" t="s">
        <v>61</v>
      </c>
      <c r="BC1055" s="25" t="s">
        <v>62</v>
      </c>
      <c r="BD1055" s="20"/>
      <c r="BE1055" s="20"/>
      <c r="BF1055" s="20"/>
      <c r="BG1055" s="20"/>
      <c r="BH1055" s="20"/>
      <c r="BI1055" s="20"/>
    </row>
    <row r="1056" customFormat="false" ht="15" hidden="false" customHeight="false" outlineLevel="0" collapsed="false">
      <c r="A1056" s="0" t="n">
        <v>1</v>
      </c>
      <c r="B1056" s="8" t="s">
        <v>24</v>
      </c>
      <c r="C1056" s="9" t="s">
        <v>25</v>
      </c>
      <c r="D1056" s="9" t="s">
        <v>26</v>
      </c>
      <c r="E1056" s="10" t="n">
        <v>1789</v>
      </c>
      <c r="F1056" s="9" t="s">
        <v>27</v>
      </c>
      <c r="G1056" s="9" t="s">
        <v>27</v>
      </c>
      <c r="H1056" s="11" t="n">
        <v>18</v>
      </c>
      <c r="I1056" s="11" t="s">
        <v>63</v>
      </c>
      <c r="J1056" s="14" t="n">
        <v>27</v>
      </c>
      <c r="K1056" s="14"/>
      <c r="L1056" s="16"/>
      <c r="M1056" s="27" t="n">
        <f aca="false">J1056+(K1056/20)+(L1056/240)</f>
        <v>27</v>
      </c>
      <c r="N1056" s="17" t="s">
        <v>64</v>
      </c>
      <c r="O1056" s="11"/>
      <c r="P1056" s="28"/>
      <c r="Q1056" s="28" t="n">
        <f aca="false">P1056*$M1056</f>
        <v>0</v>
      </c>
      <c r="R1056" s="28"/>
      <c r="S1056" s="28" t="n">
        <f aca="false">R1056*$M1056</f>
        <v>0</v>
      </c>
      <c r="T1056" s="28"/>
      <c r="U1056" s="28" t="n">
        <f aca="false">T1056*$M1056</f>
        <v>0</v>
      </c>
      <c r="V1056" s="28" t="n">
        <f aca="false">700/100</f>
        <v>7</v>
      </c>
      <c r="W1056" s="28" t="n">
        <v>189</v>
      </c>
      <c r="X1056" s="29"/>
      <c r="Y1056" s="28" t="n">
        <v>9506</v>
      </c>
      <c r="Z1056" s="28"/>
      <c r="AA1056" s="28" t="n">
        <f aca="false">Z1056*$M1056</f>
        <v>0</v>
      </c>
      <c r="AB1056" s="28"/>
      <c r="AC1056" s="28" t="n">
        <f aca="false">AB1056*$M1056</f>
        <v>0</v>
      </c>
      <c r="AD1056" s="28"/>
      <c r="AE1056" s="28" t="n">
        <f aca="false">AD1056*$M1056</f>
        <v>0</v>
      </c>
      <c r="AF1056" s="28"/>
      <c r="AG1056" s="28" t="n">
        <f aca="false">AF1056*$M1056</f>
        <v>0</v>
      </c>
      <c r="AH1056" s="28"/>
      <c r="AI1056" s="28" t="n">
        <f aca="false">AH1056*$M1056</f>
        <v>0</v>
      </c>
      <c r="AJ1056" s="28" t="n">
        <f aca="false">72509/100</f>
        <v>725.09</v>
      </c>
      <c r="AK1056" s="28" t="n">
        <v>19577</v>
      </c>
      <c r="AL1056" s="28"/>
      <c r="AM1056" s="28" t="n">
        <f aca="false">AL1056*$M1056</f>
        <v>0</v>
      </c>
      <c r="AN1056" s="28"/>
      <c r="AO1056" s="28" t="n">
        <f aca="false">AN1056*$M1056</f>
        <v>0</v>
      </c>
      <c r="AP1056" s="28"/>
      <c r="AQ1056" s="28" t="n">
        <f aca="false">AP1056*$M1056</f>
        <v>0</v>
      </c>
      <c r="AR1056" s="28" t="n">
        <f aca="false">36750/100</f>
        <v>367.5</v>
      </c>
      <c r="AS1056" s="28" t="n">
        <v>9922</v>
      </c>
      <c r="AT1056" s="28"/>
      <c r="AU1056" s="28" t="n">
        <f aca="false">AT1056*$M1056</f>
        <v>0</v>
      </c>
      <c r="AV1056" s="28"/>
      <c r="AW1056" s="28" t="n">
        <f aca="false">AV1056*$M1056</f>
        <v>0</v>
      </c>
      <c r="AX1056" s="28"/>
      <c r="AY1056" s="28" t="n">
        <f aca="false">AX1056*$M1056</f>
        <v>0</v>
      </c>
      <c r="AZ1056" s="30" t="n">
        <f aca="false">145166/100</f>
        <v>1451.66</v>
      </c>
      <c r="BA1056" s="11" t="n">
        <v>39194</v>
      </c>
      <c r="BB1056" s="31" t="n">
        <f aca="false">SUM(Q1056,S1056,U1056,W1056,Y1056,AA1056,AC1056,AE1056,AG1056,AI1056,AK1056,AM1056,AO1056,AQ1056,AS1056,AU1056,AW1056,AY1056)</f>
        <v>39194</v>
      </c>
      <c r="BC1056" s="28" t="n">
        <f aca="false">BA1056-BB1056</f>
        <v>0</v>
      </c>
      <c r="BD1056" s="32" t="n">
        <f aca="false">SUM(P1056,R1056,T1056,V1056,X1056,Z1056,AB1056,AD1056,AF1056,AH1056,AJ1056,AL1056,AN1056,AP1056,AR1056,AT1056,AV1056,AX1056)</f>
        <v>1099.59</v>
      </c>
      <c r="BE1056" s="33" t="n">
        <f aca="false">AZ1056-BD1056</f>
        <v>352.07</v>
      </c>
      <c r="BF1056" s="34" t="n">
        <f aca="false">BD1056*M1056</f>
        <v>29688.93</v>
      </c>
      <c r="BG1056" s="35" t="n">
        <f aca="false">BA1056-BF1056</f>
        <v>9505.07</v>
      </c>
      <c r="BH1056" s="19" t="str">
        <f aca="false">IF(BG1056=0,"",IF(BG1056&lt;&gt;BA1056,"erreur de calcul",IF(BD1056&lt;&gt;0,"pas de prix",IF(M1056&lt;&gt; 0,"pas de quantité","pas de prix, ni de quantité"))))</f>
        <v>erreur de calcul</v>
      </c>
      <c r="BI1056" s="19"/>
    </row>
    <row r="1057" customFormat="false" ht="15" hidden="false" customHeight="false" outlineLevel="0" collapsed="false">
      <c r="A1057" s="0" t="n">
        <v>2</v>
      </c>
      <c r="B1057" s="8" t="s">
        <v>24</v>
      </c>
      <c r="C1057" s="9" t="s">
        <v>25</v>
      </c>
      <c r="D1057" s="9" t="s">
        <v>26</v>
      </c>
      <c r="E1057" s="10" t="n">
        <v>1789</v>
      </c>
      <c r="F1057" s="9" t="s">
        <v>27</v>
      </c>
      <c r="G1057" s="9" t="s">
        <v>27</v>
      </c>
      <c r="H1057" s="11" t="n">
        <v>18</v>
      </c>
      <c r="I1057" s="11" t="s">
        <v>65</v>
      </c>
      <c r="J1057" s="14"/>
      <c r="K1057" s="14" t="n">
        <v>20</v>
      </c>
      <c r="L1057" s="16"/>
      <c r="M1057" s="27" t="n">
        <f aca="false">J1057+(K1057/20)+(L1057/240)</f>
        <v>1</v>
      </c>
      <c r="N1057" s="17" t="s">
        <v>66</v>
      </c>
      <c r="O1057" s="11"/>
      <c r="P1057" s="28"/>
      <c r="Q1057" s="28" t="n">
        <f aca="false">P1057*$M1057</f>
        <v>0</v>
      </c>
      <c r="R1057" s="28"/>
      <c r="S1057" s="28" t="n">
        <f aca="false">R1057*$M1057</f>
        <v>0</v>
      </c>
      <c r="T1057" s="28"/>
      <c r="U1057" s="28" t="n">
        <f aca="false">T1057*$M1057</f>
        <v>0</v>
      </c>
      <c r="V1057" s="28" t="n">
        <v>2365</v>
      </c>
      <c r="W1057" s="28" t="n">
        <v>2365</v>
      </c>
      <c r="X1057" s="29" t="n">
        <v>234</v>
      </c>
      <c r="Y1057" s="28" t="n">
        <v>234</v>
      </c>
      <c r="Z1057" s="28"/>
      <c r="AA1057" s="28" t="n">
        <f aca="false">Z1057*$M1057</f>
        <v>0</v>
      </c>
      <c r="AB1057" s="28" t="n">
        <v>17776</v>
      </c>
      <c r="AC1057" s="28" t="n">
        <v>17776</v>
      </c>
      <c r="AD1057" s="28"/>
      <c r="AE1057" s="28" t="n">
        <f aca="false">AD1057*$M1057</f>
        <v>0</v>
      </c>
      <c r="AF1057" s="28"/>
      <c r="AG1057" s="28" t="n">
        <f aca="false">AF1057*$M1057</f>
        <v>0</v>
      </c>
      <c r="AH1057" s="28"/>
      <c r="AI1057" s="28" t="n">
        <f aca="false">AH1057*$M1057</f>
        <v>0</v>
      </c>
      <c r="AJ1057" s="28"/>
      <c r="AK1057" s="28" t="n">
        <f aca="false">AJ1057*$M1057</f>
        <v>0</v>
      </c>
      <c r="AL1057" s="28"/>
      <c r="AM1057" s="28" t="n">
        <f aca="false">AL1057*$M1057</f>
        <v>0</v>
      </c>
      <c r="AN1057" s="28"/>
      <c r="AO1057" s="28" t="n">
        <f aca="false">AN1057*$M1057</f>
        <v>0</v>
      </c>
      <c r="AP1057" s="28"/>
      <c r="AQ1057" s="28" t="n">
        <f aca="false">AP1057*$M1057</f>
        <v>0</v>
      </c>
      <c r="AR1057" s="28"/>
      <c r="AS1057" s="28" t="n">
        <f aca="false">AR1057*$M1057</f>
        <v>0</v>
      </c>
      <c r="AT1057" s="28"/>
      <c r="AU1057" s="28" t="n">
        <f aca="false">AT1057*$M1057</f>
        <v>0</v>
      </c>
      <c r="AV1057" s="28"/>
      <c r="AW1057" s="28" t="n">
        <f aca="false">AV1057*$M1057</f>
        <v>0</v>
      </c>
      <c r="AX1057" s="28"/>
      <c r="AY1057" s="28" t="n">
        <f aca="false">AX1057*$M1057</f>
        <v>0</v>
      </c>
      <c r="AZ1057" s="30" t="n">
        <v>20375</v>
      </c>
      <c r="BA1057" s="11" t="n">
        <v>20375</v>
      </c>
      <c r="BB1057" s="31" t="n">
        <f aca="false">SUM(Q1057,S1057,U1057,W1057,Y1057,AA1057,AC1057,AE1057,AG1057,AI1057,AK1057,AM1057,AO1057,AQ1057,AS1057,AU1057,AW1057,AY1057)</f>
        <v>20375</v>
      </c>
      <c r="BC1057" s="28" t="n">
        <f aca="false">BA1057-BB1057</f>
        <v>0</v>
      </c>
      <c r="BD1057" s="32" t="n">
        <f aca="false">SUM(P1057,R1057,T1057,V1057,X1057,Z1057,AB1057,AD1057,AF1057,AH1057,AJ1057,AL1057,AN1057,AP1057,AR1057,AT1057,AV1057,AX1057)</f>
        <v>20375</v>
      </c>
      <c r="BE1057" s="33" t="n">
        <f aca="false">AZ1057-BD1057</f>
        <v>0</v>
      </c>
      <c r="BF1057" s="34" t="n">
        <f aca="false">BD1057*M1057</f>
        <v>20375</v>
      </c>
      <c r="BG1057" s="35" t="n">
        <f aca="false">BA1057-BF1057</f>
        <v>0</v>
      </c>
      <c r="BH1057" s="19" t="str">
        <f aca="false">IF(BG1057=0,"",IF(BG1057&lt;&gt;BA1057,"erreur de calcul",IF(BD1057&lt;&gt;0,"pas de prix",IF(M1057&lt;&gt; 0,"pas de quantité","pas de prix, ni de quantité"))))</f>
        <v/>
      </c>
      <c r="BI1057" s="19"/>
    </row>
    <row r="1058" customFormat="false" ht="15" hidden="false" customHeight="false" outlineLevel="0" collapsed="false">
      <c r="A1058" s="0" t="n">
        <v>3</v>
      </c>
      <c r="B1058" s="8" t="s">
        <v>24</v>
      </c>
      <c r="C1058" s="9" t="s">
        <v>25</v>
      </c>
      <c r="D1058" s="9" t="s">
        <v>26</v>
      </c>
      <c r="E1058" s="10" t="n">
        <v>1789</v>
      </c>
      <c r="F1058" s="9" t="s">
        <v>27</v>
      </c>
      <c r="G1058" s="9" t="s">
        <v>27</v>
      </c>
      <c r="H1058" s="11" t="n">
        <v>18</v>
      </c>
      <c r="I1058" s="11" t="s">
        <v>67</v>
      </c>
      <c r="J1058" s="14" t="n">
        <v>56</v>
      </c>
      <c r="K1058" s="14"/>
      <c r="L1058" s="16"/>
      <c r="M1058" s="27" t="n">
        <f aca="false">J1058+(K1058/20)+(L1058/240)</f>
        <v>56</v>
      </c>
      <c r="N1058" s="17" t="s">
        <v>64</v>
      </c>
      <c r="O1058" s="11"/>
      <c r="P1058" s="28" t="n">
        <f aca="false">27159/100</f>
        <v>271.59</v>
      </c>
      <c r="Q1058" s="28" t="n">
        <v>15209</v>
      </c>
      <c r="R1058" s="28"/>
      <c r="S1058" s="28" t="n">
        <f aca="false">R1058*$M1058</f>
        <v>0</v>
      </c>
      <c r="T1058" s="28" t="n">
        <f aca="false">1044/100</f>
        <v>10.44</v>
      </c>
      <c r="U1058" s="28" t="n">
        <v>585</v>
      </c>
      <c r="V1058" s="28" t="n">
        <f aca="false">1838/100</f>
        <v>18.38</v>
      </c>
      <c r="W1058" s="36" t="n">
        <v>4557</v>
      </c>
      <c r="X1058" s="29"/>
      <c r="Y1058" s="28" t="n">
        <v>2566</v>
      </c>
      <c r="Z1058" s="28"/>
      <c r="AA1058" s="28" t="n">
        <f aca="false">Z1058*$M1058</f>
        <v>0</v>
      </c>
      <c r="AB1058" s="28" t="n">
        <f aca="false">17833/100</f>
        <v>178.33</v>
      </c>
      <c r="AC1058" s="28" t="n">
        <v>9986</v>
      </c>
      <c r="AD1058" s="28"/>
      <c r="AE1058" s="28" t="n">
        <f aca="false">AD1058*$M1058</f>
        <v>0</v>
      </c>
      <c r="AF1058" s="28" t="n">
        <f aca="false">30595/100</f>
        <v>305.95</v>
      </c>
      <c r="AG1058" s="28" t="n">
        <v>17133</v>
      </c>
      <c r="AH1058" s="28"/>
      <c r="AI1058" s="28" t="n">
        <f aca="false">AH1058*$M1058</f>
        <v>0</v>
      </c>
      <c r="AJ1058" s="28"/>
      <c r="AK1058" s="28" t="n">
        <f aca="false">AJ1058*$M1058</f>
        <v>0</v>
      </c>
      <c r="AL1058" s="28"/>
      <c r="AM1058" s="28" t="n">
        <f aca="false">AL1058*$M1058</f>
        <v>0</v>
      </c>
      <c r="AN1058" s="28"/>
      <c r="AO1058" s="28" t="n">
        <f aca="false">AN1058*$M1058</f>
        <v>0</v>
      </c>
      <c r="AP1058" s="28"/>
      <c r="AQ1058" s="28" t="n">
        <f aca="false">AP1058*$M1058</f>
        <v>0</v>
      </c>
      <c r="AR1058" s="28"/>
      <c r="AS1058" s="28" t="n">
        <f aca="false">AR1058*$M1058</f>
        <v>0</v>
      </c>
      <c r="AT1058" s="28"/>
      <c r="AU1058" s="28" t="n">
        <f aca="false">AT1058*$M1058</f>
        <v>0</v>
      </c>
      <c r="AV1058" s="28"/>
      <c r="AW1058" s="28" t="n">
        <f aca="false">AV1058*$M1058</f>
        <v>0</v>
      </c>
      <c r="AX1058" s="28"/>
      <c r="AY1058" s="28" t="n">
        <f aca="false">AX1058*$M1058</f>
        <v>0</v>
      </c>
      <c r="AZ1058" s="30" t="n">
        <f aca="false">83051/100</f>
        <v>830.51</v>
      </c>
      <c r="BA1058" s="11" t="n">
        <v>50036</v>
      </c>
      <c r="BB1058" s="31" t="n">
        <f aca="false">SUM(Q1058,S1058,U1058,W1058,Y1058,AA1058,AC1058,AE1058,AG1058,AI1058,AK1058,AM1058,AO1058,AQ1058,AS1058,AU1058,AW1058,AY1058)</f>
        <v>50036</v>
      </c>
      <c r="BC1058" s="28" t="n">
        <f aca="false">BA1058-BB1058</f>
        <v>0</v>
      </c>
      <c r="BD1058" s="32" t="n">
        <f aca="false">SUM(P1058,R1058,T1058,V1058,X1058,Z1058,AB1058,AD1058,AF1058,AH1058,AJ1058,AL1058,AN1058,AP1058,AR1058,AT1058,AV1058,AX1058)</f>
        <v>784.69</v>
      </c>
      <c r="BE1058" s="33" t="n">
        <f aca="false">AZ1058-BD1058</f>
        <v>45.8199999999999</v>
      </c>
      <c r="BF1058" s="34" t="n">
        <f aca="false">BD1058*M1058</f>
        <v>43942.64</v>
      </c>
      <c r="BG1058" s="35" t="n">
        <f aca="false">BA1058-BF1058</f>
        <v>6093.36</v>
      </c>
      <c r="BH1058" s="19" t="str">
        <f aca="false">IF(BG1058=0,"",IF(BG1058&lt;&gt;BA1058,"erreur de calcul",IF(BD1058&lt;&gt;0,"pas de prix",IF(M1058&lt;&gt; 0,"pas de quantité","pas de prix, ni de quantité"))))</f>
        <v>erreur de calcul</v>
      </c>
      <c r="BI1058" s="19"/>
    </row>
    <row r="1059" customFormat="false" ht="15" hidden="false" customHeight="false" outlineLevel="0" collapsed="false">
      <c r="A1059" s="0" t="n">
        <v>4</v>
      </c>
      <c r="B1059" s="8" t="s">
        <v>24</v>
      </c>
      <c r="C1059" s="9" t="s">
        <v>25</v>
      </c>
      <c r="D1059" s="9" t="s">
        <v>26</v>
      </c>
      <c r="E1059" s="10" t="n">
        <v>1789</v>
      </c>
      <c r="F1059" s="9" t="s">
        <v>27</v>
      </c>
      <c r="G1059" s="9" t="s">
        <v>27</v>
      </c>
      <c r="H1059" s="11" t="n">
        <v>18</v>
      </c>
      <c r="I1059" s="11" t="s">
        <v>68</v>
      </c>
      <c r="J1059" s="14"/>
      <c r="K1059" s="14" t="n">
        <v>30</v>
      </c>
      <c r="L1059" s="16"/>
      <c r="M1059" s="27" t="n">
        <f aca="false">J1059+(K1059/20)+(L1059/240)</f>
        <v>1.5</v>
      </c>
      <c r="N1059" s="17" t="s">
        <v>69</v>
      </c>
      <c r="O1059" s="11"/>
      <c r="P1059" s="28" t="n">
        <v>5460</v>
      </c>
      <c r="Q1059" s="28" t="n">
        <v>8190</v>
      </c>
      <c r="R1059" s="28"/>
      <c r="S1059" s="28" t="n">
        <f aca="false">R1059*$M1059</f>
        <v>0</v>
      </c>
      <c r="T1059" s="28"/>
      <c r="U1059" s="28" t="n">
        <f aca="false">T1059*$M1059</f>
        <v>0</v>
      </c>
      <c r="V1059" s="28" t="n">
        <v>1061</v>
      </c>
      <c r="W1059" s="28" t="n">
        <v>1591</v>
      </c>
      <c r="X1059" s="29"/>
      <c r="Y1059" s="28" t="n">
        <v>5766</v>
      </c>
      <c r="Z1059" s="28"/>
      <c r="AA1059" s="28" t="n">
        <f aca="false">Z1059*$M1059</f>
        <v>0</v>
      </c>
      <c r="AB1059" s="28"/>
      <c r="AC1059" s="28" t="n">
        <f aca="false">AB1059*$M1059</f>
        <v>0</v>
      </c>
      <c r="AD1059" s="28"/>
      <c r="AE1059" s="28" t="n">
        <f aca="false">AD1059*$M1059</f>
        <v>0</v>
      </c>
      <c r="AF1059" s="28"/>
      <c r="AG1059" s="28" t="n">
        <f aca="false">AF1059*$M1059</f>
        <v>0</v>
      </c>
      <c r="AH1059" s="28"/>
      <c r="AI1059" s="28" t="n">
        <f aca="false">AH1059*$M1059</f>
        <v>0</v>
      </c>
      <c r="AJ1059" s="28"/>
      <c r="AK1059" s="28" t="n">
        <f aca="false">AJ1059*$M1059</f>
        <v>0</v>
      </c>
      <c r="AL1059" s="28"/>
      <c r="AM1059" s="28" t="n">
        <f aca="false">AL1059*$M1059</f>
        <v>0</v>
      </c>
      <c r="AN1059" s="28"/>
      <c r="AO1059" s="28" t="n">
        <f aca="false">AN1059*$M1059</f>
        <v>0</v>
      </c>
      <c r="AP1059" s="28"/>
      <c r="AQ1059" s="28" t="n">
        <f aca="false">AP1059*$M1059</f>
        <v>0</v>
      </c>
      <c r="AR1059" s="28"/>
      <c r="AS1059" s="28" t="n">
        <f aca="false">AR1059*$M1059</f>
        <v>0</v>
      </c>
      <c r="AT1059" s="28"/>
      <c r="AU1059" s="28" t="n">
        <f aca="false">AT1059*$M1059</f>
        <v>0</v>
      </c>
      <c r="AV1059" s="28"/>
      <c r="AW1059" s="28" t="n">
        <f aca="false">AV1059*$M1059</f>
        <v>0</v>
      </c>
      <c r="AX1059" s="28"/>
      <c r="AY1059" s="28" t="n">
        <f aca="false">AX1059*$M1059</f>
        <v>0</v>
      </c>
      <c r="AZ1059" s="30" t="n">
        <v>10365</v>
      </c>
      <c r="BA1059" s="11" t="n">
        <v>15547</v>
      </c>
      <c r="BB1059" s="31" t="n">
        <f aca="false">SUM(Q1059,S1059,U1059,W1059,Y1059,AA1059,AC1059,AE1059,AG1059,AI1059,AK1059,AM1059,AO1059,AQ1059,AS1059,AU1059,AW1059,AY1059)</f>
        <v>15547</v>
      </c>
      <c r="BC1059" s="28" t="n">
        <f aca="false">BA1059-BB1059</f>
        <v>0</v>
      </c>
      <c r="BD1059" s="32" t="n">
        <f aca="false">SUM(P1059,R1059,T1059,V1059,X1059,Z1059,AB1059,AD1059,AF1059,AH1059,AJ1059,AL1059,AN1059,AP1059,AR1059,AT1059,AV1059,AX1059)</f>
        <v>6521</v>
      </c>
      <c r="BE1059" s="33" t="n">
        <f aca="false">AZ1059-BD1059</f>
        <v>3844</v>
      </c>
      <c r="BF1059" s="34" t="n">
        <f aca="false">BD1059*M1059</f>
        <v>9781.5</v>
      </c>
      <c r="BG1059" s="35" t="n">
        <f aca="false">BA1059-BF1059</f>
        <v>5765.5</v>
      </c>
      <c r="BH1059" s="19" t="str">
        <f aca="false">IF(BG1059=0,"",IF(BG1059&lt;&gt;BA1059,"erreur de calcul",IF(BD1059&lt;&gt;0,"pas de prix",IF(M1059&lt;&gt; 0,"pas de quantité","pas de prix, ni de quantité"))))</f>
        <v>erreur de calcul</v>
      </c>
      <c r="BI1059" s="19"/>
    </row>
    <row r="1060" customFormat="false" ht="15" hidden="false" customHeight="false" outlineLevel="0" collapsed="false">
      <c r="A1060" s="0" t="n">
        <v>5</v>
      </c>
      <c r="B1060" s="8" t="s">
        <v>24</v>
      </c>
      <c r="C1060" s="9" t="s">
        <v>25</v>
      </c>
      <c r="D1060" s="9" t="s">
        <v>26</v>
      </c>
      <c r="E1060" s="10" t="n">
        <v>1789</v>
      </c>
      <c r="F1060" s="9" t="s">
        <v>27</v>
      </c>
      <c r="G1060" s="9" t="s">
        <v>27</v>
      </c>
      <c r="H1060" s="11" t="n">
        <v>18</v>
      </c>
      <c r="I1060" s="11" t="s">
        <v>70</v>
      </c>
      <c r="J1060" s="14" t="n">
        <v>190</v>
      </c>
      <c r="K1060" s="14"/>
      <c r="L1060" s="16"/>
      <c r="M1060" s="27" t="n">
        <f aca="false">J1060+(K1060/20)+(L1060/240)</f>
        <v>190</v>
      </c>
      <c r="N1060" s="17" t="s">
        <v>64</v>
      </c>
      <c r="O1060" s="11"/>
      <c r="P1060" s="28"/>
      <c r="Q1060" s="28" t="n">
        <f aca="false">P1060*$M1060</f>
        <v>0</v>
      </c>
      <c r="R1060" s="28" t="n">
        <f aca="false">22283/100</f>
        <v>222.83</v>
      </c>
      <c r="S1060" s="28" t="n">
        <v>42338</v>
      </c>
      <c r="T1060" s="28" t="n">
        <f aca="false">1289/100</f>
        <v>12.89</v>
      </c>
      <c r="U1060" s="28" t="n">
        <v>2449</v>
      </c>
      <c r="V1060" s="28"/>
      <c r="W1060" s="28" t="n">
        <f aca="false">V1060*$M1060</f>
        <v>0</v>
      </c>
      <c r="X1060" s="29"/>
      <c r="Y1060" s="28" t="n">
        <f aca="false">X1060*$M1060</f>
        <v>0</v>
      </c>
      <c r="Z1060" s="28"/>
      <c r="AA1060" s="28" t="n">
        <f aca="false">Z1060*$M1060</f>
        <v>0</v>
      </c>
      <c r="AB1060" s="28"/>
      <c r="AC1060" s="28" t="n">
        <f aca="false">AB1060*$M1060</f>
        <v>0</v>
      </c>
      <c r="AD1060" s="28"/>
      <c r="AE1060" s="28" t="n">
        <f aca="false">AD1060*$M1060</f>
        <v>0</v>
      </c>
      <c r="AF1060" s="28"/>
      <c r="AG1060" s="28" t="n">
        <f aca="false">AF1060*$M1060</f>
        <v>0</v>
      </c>
      <c r="AH1060" s="28"/>
      <c r="AI1060" s="28" t="n">
        <f aca="false">AH1060*$M1060</f>
        <v>0</v>
      </c>
      <c r="AJ1060" s="28"/>
      <c r="AK1060" s="28" t="n">
        <f aca="false">AJ1060*$M1060</f>
        <v>0</v>
      </c>
      <c r="AL1060" s="28"/>
      <c r="AM1060" s="28" t="n">
        <f aca="false">AL1060*$M1060</f>
        <v>0</v>
      </c>
      <c r="AN1060" s="28"/>
      <c r="AO1060" s="28" t="n">
        <f aca="false">AN1060*$M1060</f>
        <v>0</v>
      </c>
      <c r="AP1060" s="28"/>
      <c r="AQ1060" s="28" t="n">
        <f aca="false">AP1060*$M1060</f>
        <v>0</v>
      </c>
      <c r="AR1060" s="28"/>
      <c r="AS1060" s="28" t="n">
        <f aca="false">AR1060*$M1060</f>
        <v>0</v>
      </c>
      <c r="AT1060" s="28"/>
      <c r="AU1060" s="28" t="n">
        <f aca="false">AT1060*$M1060</f>
        <v>0</v>
      </c>
      <c r="AV1060" s="28"/>
      <c r="AW1060" s="28" t="n">
        <f aca="false">AV1060*$M1060</f>
        <v>0</v>
      </c>
      <c r="AX1060" s="28"/>
      <c r="AY1060" s="28" t="n">
        <f aca="false">AX1060*$M1060</f>
        <v>0</v>
      </c>
      <c r="AZ1060" s="30" t="n">
        <f aca="false">23572/100</f>
        <v>235.72</v>
      </c>
      <c r="BA1060" s="11" t="n">
        <v>44787</v>
      </c>
      <c r="BB1060" s="31" t="n">
        <f aca="false">SUM(Q1060,S1060,U1060,W1060,Y1060,AA1060,AC1060,AE1060,AG1060,AI1060,AK1060,AM1060,AO1060,AQ1060,AS1060,AU1060,AW1060,AY1060)</f>
        <v>44787</v>
      </c>
      <c r="BC1060" s="28" t="n">
        <f aca="false">BA1060-BB1060</f>
        <v>0</v>
      </c>
      <c r="BD1060" s="32" t="n">
        <f aca="false">SUM(P1060,R1060,T1060,V1060,X1060,Z1060,AB1060,AD1060,AF1060,AH1060,AJ1060,AL1060,AN1060,AP1060,AR1060,AT1060,AV1060,AX1060)</f>
        <v>235.72</v>
      </c>
      <c r="BE1060" s="33" t="n">
        <f aca="false">AZ1060-BD1060</f>
        <v>0</v>
      </c>
      <c r="BF1060" s="34" t="n">
        <f aca="false">BD1060*M1060</f>
        <v>44786.8</v>
      </c>
      <c r="BG1060" s="35" t="n">
        <f aca="false">BA1060-BF1060</f>
        <v>0.19999999999709</v>
      </c>
      <c r="BH1060" s="19" t="str">
        <f aca="false">IF(BG1060=0,"",IF(BG1060&lt;&gt;BA1060,"erreur de calcul",IF(BD1060&lt;&gt;0,"pas de prix",IF(M1060&lt;&gt; 0,"pas de quantité","pas de prix, ni de quantité"))))</f>
        <v>erreur de calcul</v>
      </c>
      <c r="BI1060" s="19"/>
    </row>
    <row r="1061" customFormat="false" ht="15" hidden="false" customHeight="false" outlineLevel="0" collapsed="false">
      <c r="A1061" s="0" t="n">
        <v>6</v>
      </c>
      <c r="B1061" s="8" t="s">
        <v>24</v>
      </c>
      <c r="C1061" s="9" t="s">
        <v>25</v>
      </c>
      <c r="D1061" s="9" t="s">
        <v>26</v>
      </c>
      <c r="E1061" s="10" t="n">
        <v>1789</v>
      </c>
      <c r="F1061" s="9" t="s">
        <v>27</v>
      </c>
      <c r="G1061" s="9" t="s">
        <v>27</v>
      </c>
      <c r="H1061" s="11" t="n">
        <v>18</v>
      </c>
      <c r="I1061" s="11" t="s">
        <v>71</v>
      </c>
      <c r="J1061" s="14" t="n">
        <v>60</v>
      </c>
      <c r="K1061" s="14"/>
      <c r="L1061" s="16"/>
      <c r="M1061" s="27" t="n">
        <f aca="false">J1061+(K1061/20)+(L1061/240)</f>
        <v>60</v>
      </c>
      <c r="N1061" s="17" t="s">
        <v>64</v>
      </c>
      <c r="O1061" s="11"/>
      <c r="P1061" s="28" t="n">
        <f aca="false">674/100</f>
        <v>6.74</v>
      </c>
      <c r="Q1061" s="28" t="n">
        <v>404</v>
      </c>
      <c r="R1061" s="28"/>
      <c r="S1061" s="28" t="n">
        <f aca="false">R1061*$M1061</f>
        <v>0</v>
      </c>
      <c r="T1061" s="28"/>
      <c r="U1061" s="28" t="n">
        <f aca="false">T1061*$M1061</f>
        <v>0</v>
      </c>
      <c r="V1061" s="28"/>
      <c r="W1061" s="28" t="n">
        <f aca="false">V1061*$M1061</f>
        <v>0</v>
      </c>
      <c r="X1061" s="29"/>
      <c r="Y1061" s="28" t="n">
        <f aca="false">X1061*$M1061</f>
        <v>0</v>
      </c>
      <c r="Z1061" s="28"/>
      <c r="AA1061" s="28" t="n">
        <f aca="false">Z1061*$M1061</f>
        <v>0</v>
      </c>
      <c r="AB1061" s="28"/>
      <c r="AC1061" s="28" t="n">
        <f aca="false">AB1061*$M1061</f>
        <v>0</v>
      </c>
      <c r="AD1061" s="28"/>
      <c r="AE1061" s="28" t="n">
        <f aca="false">AD1061*$M1061</f>
        <v>0</v>
      </c>
      <c r="AF1061" s="28"/>
      <c r="AG1061" s="28" t="n">
        <f aca="false">AF1061*$M1061</f>
        <v>0</v>
      </c>
      <c r="AH1061" s="28"/>
      <c r="AI1061" s="28" t="n">
        <f aca="false">AH1061*$M1061</f>
        <v>0</v>
      </c>
      <c r="AJ1061" s="28" t="n">
        <f aca="false">1133/100</f>
        <v>11.33</v>
      </c>
      <c r="AK1061" s="28" t="n">
        <v>680</v>
      </c>
      <c r="AL1061" s="28" t="n">
        <f aca="false">3140/100</f>
        <v>31.4</v>
      </c>
      <c r="AM1061" s="28" t="n">
        <v>1884</v>
      </c>
      <c r="AN1061" s="28"/>
      <c r="AO1061" s="28" t="n">
        <f aca="false">AN1061*$M1061</f>
        <v>0</v>
      </c>
      <c r="AP1061" s="28"/>
      <c r="AQ1061" s="28" t="n">
        <f aca="false">AP1061*$M1061</f>
        <v>0</v>
      </c>
      <c r="AR1061" s="28"/>
      <c r="AS1061" s="28" t="n">
        <f aca="false">AR1061*$M1061</f>
        <v>0</v>
      </c>
      <c r="AT1061" s="28"/>
      <c r="AU1061" s="28" t="n">
        <f aca="false">AT1061*$M1061</f>
        <v>0</v>
      </c>
      <c r="AV1061" s="28"/>
      <c r="AW1061" s="28" t="n">
        <f aca="false">AV1061*$M1061</f>
        <v>0</v>
      </c>
      <c r="AX1061" s="28"/>
      <c r="AY1061" s="28" t="n">
        <f aca="false">AX1061*$M1061</f>
        <v>0</v>
      </c>
      <c r="AZ1061" s="30" t="n">
        <f aca="false">4947/100</f>
        <v>49.47</v>
      </c>
      <c r="BA1061" s="11" t="n">
        <v>2968</v>
      </c>
      <c r="BB1061" s="31" t="n">
        <f aca="false">SUM(Q1061,S1061,U1061,W1061,Y1061,AA1061,AC1061,AE1061,AG1061,AI1061,AK1061,AM1061,AO1061,AQ1061,AS1061,AU1061,AW1061,AY1061)</f>
        <v>2968</v>
      </c>
      <c r="BC1061" s="28" t="n">
        <f aca="false">BA1061-BB1061</f>
        <v>0</v>
      </c>
      <c r="BD1061" s="32" t="n">
        <f aca="false">SUM(P1061,R1061,T1061,V1061,X1061,Z1061,AB1061,AD1061,AF1061,AH1061,AJ1061,AL1061,AN1061,AP1061,AR1061,AT1061,AV1061,AX1061)</f>
        <v>49.47</v>
      </c>
      <c r="BE1061" s="33" t="n">
        <f aca="false">AZ1061-BD1061</f>
        <v>0</v>
      </c>
      <c r="BF1061" s="34" t="n">
        <f aca="false">BD1061*M1061</f>
        <v>2968.2</v>
      </c>
      <c r="BG1061" s="35" t="n">
        <f aca="false">BA1061-BF1061</f>
        <v>-0.199999999999818</v>
      </c>
      <c r="BH1061" s="19" t="str">
        <f aca="false">IF(BG1061=0,"",IF(BG1061&lt;&gt;BA1061,"erreur de calcul",IF(BD1061&lt;&gt;0,"pas de prix",IF(M1061&lt;&gt; 0,"pas de quantité","pas de prix, ni de quantité"))))</f>
        <v>erreur de calcul</v>
      </c>
      <c r="BI1061" s="19"/>
    </row>
    <row r="1062" customFormat="false" ht="15" hidden="false" customHeight="false" outlineLevel="0" collapsed="false">
      <c r="A1062" s="0" t="n">
        <v>7</v>
      </c>
      <c r="B1062" s="8" t="s">
        <v>24</v>
      </c>
      <c r="C1062" s="9" t="s">
        <v>25</v>
      </c>
      <c r="D1062" s="9" t="s">
        <v>26</v>
      </c>
      <c r="E1062" s="10" t="n">
        <v>1789</v>
      </c>
      <c r="F1062" s="9" t="s">
        <v>27</v>
      </c>
      <c r="G1062" s="9" t="s">
        <v>27</v>
      </c>
      <c r="H1062" s="11" t="n">
        <v>18</v>
      </c>
      <c r="I1062" s="11" t="s">
        <v>72</v>
      </c>
      <c r="J1062" s="14" t="n">
        <v>15</v>
      </c>
      <c r="K1062" s="14"/>
      <c r="L1062" s="16"/>
      <c r="M1062" s="27" t="n">
        <f aca="false">J1062+(K1062/20)+(L1062/240)</f>
        <v>15</v>
      </c>
      <c r="N1062" s="17" t="s">
        <v>64</v>
      </c>
      <c r="O1062" s="11"/>
      <c r="P1062" s="28"/>
      <c r="Q1062" s="28" t="n">
        <f aca="false">P1062*$M1062</f>
        <v>0</v>
      </c>
      <c r="R1062" s="28"/>
      <c r="S1062" s="28" t="n">
        <f aca="false">R1062*$M1062</f>
        <v>0</v>
      </c>
      <c r="T1062" s="28"/>
      <c r="U1062" s="28" t="n">
        <f aca="false">T1062*$M1062</f>
        <v>0</v>
      </c>
      <c r="V1062" s="28"/>
      <c r="W1062" s="28" t="n">
        <f aca="false">V1062*$M1062</f>
        <v>0</v>
      </c>
      <c r="X1062" s="29"/>
      <c r="Y1062" s="28" t="n">
        <f aca="false">X1062*$M1062</f>
        <v>0</v>
      </c>
      <c r="Z1062" s="28"/>
      <c r="AA1062" s="28" t="n">
        <f aca="false">Z1062*$M1062</f>
        <v>0</v>
      </c>
      <c r="AB1062" s="28"/>
      <c r="AC1062" s="28" t="n">
        <f aca="false">AB1062*$M1062</f>
        <v>0</v>
      </c>
      <c r="AD1062" s="28"/>
      <c r="AE1062" s="28" t="n">
        <f aca="false">AD1062*$M1062</f>
        <v>0</v>
      </c>
      <c r="AF1062" s="28"/>
      <c r="AG1062" s="28" t="n">
        <f aca="false">AF1062*$M1062</f>
        <v>0</v>
      </c>
      <c r="AH1062" s="28"/>
      <c r="AI1062" s="28" t="n">
        <f aca="false">AH1062*$M1062</f>
        <v>0</v>
      </c>
      <c r="AJ1062" s="28" t="n">
        <f aca="false">119*288*0.02+88*0.02</f>
        <v>687.2</v>
      </c>
      <c r="AK1062" s="28" t="n">
        <v>10308</v>
      </c>
      <c r="AL1062" s="28"/>
      <c r="AM1062" s="28" t="n">
        <f aca="false">AL1062*$M1062</f>
        <v>0</v>
      </c>
      <c r="AN1062" s="28"/>
      <c r="AO1062" s="28" t="n">
        <f aca="false">AN1062*$M1062</f>
        <v>0</v>
      </c>
      <c r="AP1062" s="28"/>
      <c r="AQ1062" s="28" t="n">
        <f aca="false">AP1062*$M1062</f>
        <v>0</v>
      </c>
      <c r="AR1062" s="28"/>
      <c r="AS1062" s="28" t="n">
        <f aca="false">AR1062*$M1062</f>
        <v>0</v>
      </c>
      <c r="AT1062" s="28"/>
      <c r="AU1062" s="28" t="n">
        <f aca="false">AT1062*$M1062</f>
        <v>0</v>
      </c>
      <c r="AV1062" s="28"/>
      <c r="AW1062" s="28" t="n">
        <f aca="false">AV1062*$M1062</f>
        <v>0</v>
      </c>
      <c r="AX1062" s="28"/>
      <c r="AY1062" s="28" t="n">
        <f aca="false">AX1062*$M1062</f>
        <v>0</v>
      </c>
      <c r="AZ1062" s="30" t="n">
        <f aca="false">119*288*0.02+88*0.02</f>
        <v>687.2</v>
      </c>
      <c r="BA1062" s="11" t="n">
        <v>10308</v>
      </c>
      <c r="BB1062" s="31" t="n">
        <f aca="false">SUM(Q1062,S1062,U1062,W1062,Y1062,AA1062,AC1062,AE1062,AG1062,AI1062,AK1062,AM1062,AO1062,AQ1062,AS1062,AU1062,AW1062,AY1062)</f>
        <v>10308</v>
      </c>
      <c r="BC1062" s="28" t="n">
        <f aca="false">BA1062-BB1062</f>
        <v>0</v>
      </c>
      <c r="BD1062" s="32" t="n">
        <f aca="false">SUM(P1062,R1062,T1062,V1062,X1062,Z1062,AB1062,AD1062,AF1062,AH1062,AJ1062,AL1062,AN1062,AP1062,AR1062,AT1062,AV1062,AX1062)</f>
        <v>687.2</v>
      </c>
      <c r="BE1062" s="33" t="n">
        <f aca="false">AZ1062-BD1062</f>
        <v>0</v>
      </c>
      <c r="BF1062" s="34" t="n">
        <f aca="false">BD1062*M1062</f>
        <v>10308</v>
      </c>
      <c r="BG1062" s="35" t="n">
        <f aca="false">BA1062-BF1062</f>
        <v>0</v>
      </c>
      <c r="BH1062" s="19" t="str">
        <f aca="false">IF(BG1062=0,"",IF(BG1062&lt;&gt;BA1062,"erreur de calcul",IF(BD1062&lt;&gt;0,"pas de prix",IF(M1062&lt;&gt; 0,"pas de quantité","pas de prix, ni de quantité"))))</f>
        <v/>
      </c>
      <c r="BI1062" s="19"/>
    </row>
    <row r="1063" customFormat="false" ht="15" hidden="false" customHeight="false" outlineLevel="0" collapsed="false">
      <c r="A1063" s="0" t="n">
        <v>8</v>
      </c>
      <c r="B1063" s="8" t="s">
        <v>24</v>
      </c>
      <c r="C1063" s="9" t="s">
        <v>25</v>
      </c>
      <c r="D1063" s="9" t="s">
        <v>26</v>
      </c>
      <c r="E1063" s="10" t="n">
        <v>1789</v>
      </c>
      <c r="F1063" s="9" t="s">
        <v>27</v>
      </c>
      <c r="G1063" s="9" t="s">
        <v>27</v>
      </c>
      <c r="H1063" s="11" t="n">
        <v>18</v>
      </c>
      <c r="I1063" s="11" t="s">
        <v>73</v>
      </c>
      <c r="J1063" s="14"/>
      <c r="K1063" s="14"/>
      <c r="L1063" s="16"/>
      <c r="M1063" s="27" t="n">
        <f aca="false">J1063+(K1063/20)+(L1063/240)</f>
        <v>0</v>
      </c>
      <c r="N1063" s="17"/>
      <c r="O1063" s="11"/>
      <c r="P1063" s="28"/>
      <c r="Q1063" s="28" t="n">
        <f aca="false">P1063*$M1063</f>
        <v>0</v>
      </c>
      <c r="R1063" s="28"/>
      <c r="S1063" s="28" t="n">
        <f aca="false">R1063*$M1063</f>
        <v>0</v>
      </c>
      <c r="T1063" s="28"/>
      <c r="U1063" s="28" t="n">
        <v>3356</v>
      </c>
      <c r="V1063" s="28"/>
      <c r="W1063" s="28" t="n">
        <v>1444</v>
      </c>
      <c r="X1063" s="29"/>
      <c r="Y1063" s="28" t="n">
        <f aca="false">X1063*$M1063</f>
        <v>0</v>
      </c>
      <c r="Z1063" s="28"/>
      <c r="AA1063" s="28" t="n">
        <f aca="false">Z1063*$M1063</f>
        <v>0</v>
      </c>
      <c r="AB1063" s="28"/>
      <c r="AC1063" s="28" t="n">
        <f aca="false">AB1063*$M1063</f>
        <v>0</v>
      </c>
      <c r="AD1063" s="28"/>
      <c r="AE1063" s="28" t="n">
        <f aca="false">AD1063*$M1063</f>
        <v>0</v>
      </c>
      <c r="AF1063" s="28"/>
      <c r="AG1063" s="28" t="n">
        <f aca="false">AF1063*$M1063</f>
        <v>0</v>
      </c>
      <c r="AH1063" s="28"/>
      <c r="AI1063" s="28" t="n">
        <f aca="false">AH1063*$M1063</f>
        <v>0</v>
      </c>
      <c r="AJ1063" s="28"/>
      <c r="AK1063" s="28" t="n">
        <f aca="false">AJ1063*$M1063</f>
        <v>0</v>
      </c>
      <c r="AL1063" s="28"/>
      <c r="AM1063" s="28" t="n">
        <f aca="false">AL1063*$M1063</f>
        <v>0</v>
      </c>
      <c r="AN1063" s="28"/>
      <c r="AO1063" s="28" t="n">
        <f aca="false">AN1063*$M1063</f>
        <v>0</v>
      </c>
      <c r="AP1063" s="28"/>
      <c r="AQ1063" s="28" t="n">
        <f aca="false">AP1063*$M1063</f>
        <v>0</v>
      </c>
      <c r="AR1063" s="28"/>
      <c r="AS1063" s="28" t="n">
        <f aca="false">AR1063*$M1063</f>
        <v>0</v>
      </c>
      <c r="AT1063" s="28"/>
      <c r="AU1063" s="28" t="n">
        <f aca="false">AT1063*$M1063</f>
        <v>0</v>
      </c>
      <c r="AV1063" s="28"/>
      <c r="AW1063" s="28" t="n">
        <f aca="false">AV1063*$M1063</f>
        <v>0</v>
      </c>
      <c r="AX1063" s="28"/>
      <c r="AY1063" s="28" t="n">
        <f aca="false">AX1063*$M1063</f>
        <v>0</v>
      </c>
      <c r="AZ1063" s="30"/>
      <c r="BA1063" s="11" t="n">
        <v>4800</v>
      </c>
      <c r="BB1063" s="31" t="n">
        <f aca="false">SUM(Q1063,S1063,U1063,W1063,Y1063,AA1063,AC1063,AE1063,AG1063,AI1063,AK1063,AM1063,AO1063,AQ1063,AS1063,AU1063,AW1063,AY1063)</f>
        <v>4800</v>
      </c>
      <c r="BC1063" s="28" t="n">
        <f aca="false">BA1063-BB1063</f>
        <v>0</v>
      </c>
      <c r="BD1063" s="32" t="n">
        <f aca="false">SUM(P1063,R1063,T1063,V1063,X1063,Z1063,AB1063,AD1063,AF1063,AH1063,AJ1063,AL1063,AN1063,AP1063,AR1063,AT1063,AV1063,AX1063)</f>
        <v>0</v>
      </c>
      <c r="BE1063" s="33" t="n">
        <f aca="false">AZ1063-BD1063</f>
        <v>0</v>
      </c>
      <c r="BF1063" s="34" t="n">
        <f aca="false">BD1063*M1063</f>
        <v>0</v>
      </c>
      <c r="BG1063" s="35" t="n">
        <f aca="false">BA1063-BF1063</f>
        <v>4800</v>
      </c>
      <c r="BH1063" s="19" t="str">
        <f aca="false">IF(BG1063=0,"",IF(BG1063&lt;&gt;BA1063,"erreur de calcul",IF(BD1063&lt;&gt;0,"pas de prix",IF(M1063&lt;&gt; 0,"pas de quantité","pas de prix, ni de quantité"))))</f>
        <v>pas de prix, ni de quantité</v>
      </c>
      <c r="BI1063" s="19"/>
    </row>
    <row r="1064" customFormat="false" ht="15" hidden="false" customHeight="false" outlineLevel="0" collapsed="false">
      <c r="A1064" s="0" t="n">
        <v>9</v>
      </c>
      <c r="B1064" s="8" t="s">
        <v>24</v>
      </c>
      <c r="C1064" s="9" t="s">
        <v>25</v>
      </c>
      <c r="D1064" s="9" t="s">
        <v>26</v>
      </c>
      <c r="E1064" s="10" t="n">
        <v>1789</v>
      </c>
      <c r="F1064" s="9" t="s">
        <v>27</v>
      </c>
      <c r="G1064" s="9" t="s">
        <v>27</v>
      </c>
      <c r="H1064" s="11" t="n">
        <v>18</v>
      </c>
      <c r="I1064" s="11" t="s">
        <v>74</v>
      </c>
      <c r="J1064" s="14"/>
      <c r="K1064" s="14"/>
      <c r="L1064" s="16"/>
      <c r="M1064" s="27" t="n">
        <f aca="false">J1064+(K1064/20)+(L1064/240)</f>
        <v>0</v>
      </c>
      <c r="N1064" s="17" t="s">
        <v>66</v>
      </c>
      <c r="O1064" s="11"/>
      <c r="P1064" s="28"/>
      <c r="Q1064" s="28" t="n">
        <f aca="false">P1064*$M1064</f>
        <v>0</v>
      </c>
      <c r="R1064" s="28"/>
      <c r="S1064" s="28" t="n">
        <f aca="false">R1064*$M1064</f>
        <v>0</v>
      </c>
      <c r="T1064" s="28"/>
      <c r="U1064" s="28" t="n">
        <f aca="false">T1064*$M1064</f>
        <v>0</v>
      </c>
      <c r="V1064" s="28"/>
      <c r="W1064" s="28" t="n">
        <f aca="false">V1064*$M1064</f>
        <v>0</v>
      </c>
      <c r="X1064" s="29"/>
      <c r="Y1064" s="28"/>
      <c r="Z1064" s="28"/>
      <c r="AA1064" s="28" t="n">
        <f aca="false">Z1064*$M1064</f>
        <v>0</v>
      </c>
      <c r="AB1064" s="28"/>
      <c r="AC1064" s="28" t="n">
        <f aca="false">AB1064*$M1064</f>
        <v>0</v>
      </c>
      <c r="AD1064" s="28"/>
      <c r="AE1064" s="28" t="n">
        <f aca="false">AD1064*$M1064</f>
        <v>0</v>
      </c>
      <c r="AF1064" s="28"/>
      <c r="AG1064" s="28" t="n">
        <f aca="false">AF1064*$M1064</f>
        <v>0</v>
      </c>
      <c r="AH1064" s="28" t="n">
        <v>45346</v>
      </c>
      <c r="AI1064" s="28" t="n">
        <v>3174</v>
      </c>
      <c r="AJ1064" s="28"/>
      <c r="AK1064" s="28" t="n">
        <f aca="false">AJ1064*$M1064</f>
        <v>0</v>
      </c>
      <c r="AL1064" s="28"/>
      <c r="AM1064" s="28" t="n">
        <f aca="false">AL1064*$M1064</f>
        <v>0</v>
      </c>
      <c r="AN1064" s="28"/>
      <c r="AO1064" s="28" t="n">
        <f aca="false">AN1064*$M1064</f>
        <v>0</v>
      </c>
      <c r="AP1064" s="28"/>
      <c r="AQ1064" s="28" t="n">
        <f aca="false">AP1064*$M1064</f>
        <v>0</v>
      </c>
      <c r="AR1064" s="28"/>
      <c r="AS1064" s="28" t="n">
        <f aca="false">AR1064*$M1064</f>
        <v>0</v>
      </c>
      <c r="AT1064" s="28"/>
      <c r="AU1064" s="28" t="n">
        <f aca="false">AT1064*$M1064</f>
        <v>0</v>
      </c>
      <c r="AV1064" s="28"/>
      <c r="AW1064" s="28" t="n">
        <f aca="false">AV1064*$M1064</f>
        <v>0</v>
      </c>
      <c r="AX1064" s="28"/>
      <c r="AY1064" s="28" t="n">
        <f aca="false">AX1064*$M1064</f>
        <v>0</v>
      </c>
      <c r="AZ1064" s="30" t="n">
        <v>45346</v>
      </c>
      <c r="BA1064" s="11" t="n">
        <v>3174</v>
      </c>
      <c r="BB1064" s="31" t="n">
        <f aca="false">SUM(Q1064,S1064,U1064,W1064,Y1064,AA1064,AC1064,AE1064,AG1064,AI1064,AK1064,AM1064,AO1064,AQ1064,AS1064,AU1064,AW1064,AY1064)</f>
        <v>3174</v>
      </c>
      <c r="BC1064" s="28" t="n">
        <f aca="false">BA1064-BB1064</f>
        <v>0</v>
      </c>
      <c r="BD1064" s="32" t="n">
        <f aca="false">SUM(P1064,R1064,T1064,V1064,X1064,Z1064,AB1064,AD1064,AF1064,AH1064,AJ1064,AL1064,AN1064,AP1064,AR1064,AT1064,AV1064,AX1064)</f>
        <v>45346</v>
      </c>
      <c r="BE1064" s="33" t="n">
        <f aca="false">AZ1064-BD1064</f>
        <v>0</v>
      </c>
      <c r="BF1064" s="34" t="n">
        <f aca="false">BD1064*M1064</f>
        <v>0</v>
      </c>
      <c r="BG1064" s="35" t="n">
        <f aca="false">BA1064-BF1064</f>
        <v>3174</v>
      </c>
      <c r="BH1064" s="19" t="str">
        <f aca="false">IF(BG1064=0,"",IF(BG1064&lt;&gt;BA1064,"erreur de calcul",IF(BD1064&lt;&gt;0,"pas de prix",IF(M1064&lt;&gt; 0,"pas de quantité","pas de prix, ni de quantité"))))</f>
        <v>pas de prix</v>
      </c>
      <c r="BI1064" s="19" t="s">
        <v>75</v>
      </c>
    </row>
    <row r="1065" customFormat="false" ht="15" hidden="false" customHeight="false" outlineLevel="0" collapsed="false">
      <c r="A1065" s="0" t="n">
        <v>10</v>
      </c>
      <c r="B1065" s="8" t="s">
        <v>24</v>
      </c>
      <c r="C1065" s="9" t="s">
        <v>25</v>
      </c>
      <c r="D1065" s="9" t="s">
        <v>26</v>
      </c>
      <c r="E1065" s="10" t="n">
        <v>1789</v>
      </c>
      <c r="F1065" s="9" t="s">
        <v>27</v>
      </c>
      <c r="G1065" s="9" t="s">
        <v>27</v>
      </c>
      <c r="H1065" s="11" t="n">
        <v>18</v>
      </c>
      <c r="I1065" s="11" t="s">
        <v>76</v>
      </c>
      <c r="J1065" s="14"/>
      <c r="K1065" s="14" t="n">
        <v>20</v>
      </c>
      <c r="L1065" s="16"/>
      <c r="M1065" s="27" t="n">
        <f aca="false">J1065+(K1065/20)+(L1065/240)</f>
        <v>1</v>
      </c>
      <c r="N1065" s="17" t="s">
        <v>64</v>
      </c>
      <c r="O1065" s="11" t="s">
        <v>77</v>
      </c>
      <c r="P1065" s="28" t="n">
        <f aca="false">66667/100</f>
        <v>666.67</v>
      </c>
      <c r="Q1065" s="28" t="n">
        <v>667</v>
      </c>
      <c r="R1065" s="28"/>
      <c r="S1065" s="28" t="n">
        <f aca="false">R1065*$M1065</f>
        <v>0</v>
      </c>
      <c r="T1065" s="28"/>
      <c r="U1065" s="28" t="n">
        <f aca="false">T1065*$M1065</f>
        <v>0</v>
      </c>
      <c r="V1065" s="28" t="n">
        <f aca="false">281532/100</f>
        <v>2815.32</v>
      </c>
      <c r="W1065" s="28" t="n">
        <v>2815</v>
      </c>
      <c r="X1065" s="29" t="n">
        <f aca="false">366667/100</f>
        <v>3666.67</v>
      </c>
      <c r="Y1065" s="28" t="n">
        <v>3666</v>
      </c>
      <c r="Z1065" s="28" t="n">
        <f aca="false">33334/100</f>
        <v>333.34</v>
      </c>
      <c r="AA1065" s="28" t="n">
        <v>333</v>
      </c>
      <c r="AB1065" s="28"/>
      <c r="AC1065" s="28" t="n">
        <f aca="false">AB1065*$M1065</f>
        <v>0</v>
      </c>
      <c r="AD1065" s="28"/>
      <c r="AE1065" s="28" t="n">
        <f aca="false">AD1065*$M1065</f>
        <v>0</v>
      </c>
      <c r="AF1065" s="28"/>
      <c r="AG1065" s="28" t="n">
        <f aca="false">AF1065*$M1065</f>
        <v>0</v>
      </c>
      <c r="AH1065" s="28"/>
      <c r="AI1065" s="28" t="n">
        <f aca="false">AH1065*$M1065</f>
        <v>0</v>
      </c>
      <c r="AJ1065" s="28"/>
      <c r="AK1065" s="28" t="n">
        <f aca="false">AJ1065*$M1065</f>
        <v>0</v>
      </c>
      <c r="AL1065" s="28"/>
      <c r="AM1065" s="28" t="n">
        <f aca="false">AL1065*$M1065</f>
        <v>0</v>
      </c>
      <c r="AN1065" s="28"/>
      <c r="AO1065" s="28" t="n">
        <f aca="false">AN1065*$M1065</f>
        <v>0</v>
      </c>
      <c r="AP1065" s="28"/>
      <c r="AQ1065" s="28" t="n">
        <f aca="false">AP1065*$M1065</f>
        <v>0</v>
      </c>
      <c r="AR1065" s="28"/>
      <c r="AS1065" s="28" t="n">
        <f aca="false">AR1065*$M1065</f>
        <v>0</v>
      </c>
      <c r="AT1065" s="28"/>
      <c r="AU1065" s="28" t="n">
        <f aca="false">AT1065*$M1065</f>
        <v>0</v>
      </c>
      <c r="AV1065" s="28"/>
      <c r="AW1065" s="28" t="n">
        <f aca="false">AV1065*$M1065</f>
        <v>0</v>
      </c>
      <c r="AX1065" s="28"/>
      <c r="AY1065" s="28" t="n">
        <f aca="false">AX1065*$M1065</f>
        <v>0</v>
      </c>
      <c r="AZ1065" s="30" t="n">
        <f aca="false">748200/100</f>
        <v>7482</v>
      </c>
      <c r="BA1065" s="11" t="n">
        <v>7481</v>
      </c>
      <c r="BB1065" s="31" t="n">
        <f aca="false">SUM(Q1065,S1065,U1065,W1065,Y1065,AA1065,AC1065,AE1065,AG1065,AI1065,AK1065,AM1065,AO1065,AQ1065,AS1065,AU1065,AW1065,AY1065)</f>
        <v>7481</v>
      </c>
      <c r="BC1065" s="28" t="n">
        <f aca="false">BA1065-BB1065</f>
        <v>0</v>
      </c>
      <c r="BD1065" s="32" t="n">
        <f aca="false">SUM(P1065,R1065,T1065,V1065,X1065,Z1065,AB1065,AD1065,AF1065,AH1065,AJ1065,AL1065,AN1065,AP1065,AR1065,AT1065,AV1065,AX1065)</f>
        <v>7482</v>
      </c>
      <c r="BE1065" s="33" t="n">
        <f aca="false">AZ1065-BD1065</f>
        <v>0</v>
      </c>
      <c r="BF1065" s="34" t="n">
        <f aca="false">BD1065*M1065</f>
        <v>7482</v>
      </c>
      <c r="BG1065" s="35" t="n">
        <f aca="false">BA1065-BF1065</f>
        <v>-1</v>
      </c>
      <c r="BH1065" s="19" t="str">
        <f aca="false">IF(BG1065=0,"",IF(BG1065&lt;&gt;BA1065,"erreur de calcul",IF(BD1065&lt;&gt;0,"pas de prix",IF(M1065&lt;&gt; 0,"pas de quantité","pas de prix, ni de quantité"))))</f>
        <v>erreur de calcul</v>
      </c>
      <c r="BI1065" s="19"/>
    </row>
    <row r="1066" customFormat="false" ht="15" hidden="false" customHeight="false" outlineLevel="0" collapsed="false">
      <c r="A1066" s="0" t="n">
        <v>11</v>
      </c>
      <c r="B1066" s="8" t="s">
        <v>24</v>
      </c>
      <c r="C1066" s="9" t="s">
        <v>25</v>
      </c>
      <c r="D1066" s="9" t="s">
        <v>26</v>
      </c>
      <c r="E1066" s="10" t="n">
        <v>1789</v>
      </c>
      <c r="F1066" s="9" t="s">
        <v>27</v>
      </c>
      <c r="G1066" s="9" t="s">
        <v>27</v>
      </c>
      <c r="H1066" s="11" t="n">
        <v>18</v>
      </c>
      <c r="I1066" s="11" t="s">
        <v>78</v>
      </c>
      <c r="J1066" s="14"/>
      <c r="K1066" s="14" t="n">
        <v>50</v>
      </c>
      <c r="L1066" s="16"/>
      <c r="M1066" s="27" t="n">
        <f aca="false">J1066+(K1066/20)+(L1066/240)</f>
        <v>2.5</v>
      </c>
      <c r="N1066" s="17" t="s">
        <v>79</v>
      </c>
      <c r="O1066" s="11"/>
      <c r="P1066" s="28"/>
      <c r="Q1066" s="28" t="n">
        <f aca="false">P1066*$M1066</f>
        <v>0</v>
      </c>
      <c r="R1066" s="28"/>
      <c r="S1066" s="28" t="n">
        <f aca="false">R1066*$M1066</f>
        <v>0</v>
      </c>
      <c r="T1066" s="28"/>
      <c r="U1066" s="28" t="n">
        <f aca="false">T1066*$M1066</f>
        <v>0</v>
      </c>
      <c r="V1066" s="28" t="n">
        <v>61807</v>
      </c>
      <c r="W1066" s="28" t="n">
        <v>154517</v>
      </c>
      <c r="X1066" s="29"/>
      <c r="Y1066" s="28" t="n">
        <f aca="false">X1066*$M1066</f>
        <v>0</v>
      </c>
      <c r="Z1066" s="28"/>
      <c r="AA1066" s="28" t="n">
        <f aca="false">Z1066*$M1066</f>
        <v>0</v>
      </c>
      <c r="AB1066" s="28" t="n">
        <v>43640</v>
      </c>
      <c r="AC1066" s="28" t="n">
        <v>109100</v>
      </c>
      <c r="AD1066" s="28"/>
      <c r="AE1066" s="28" t="n">
        <f aca="false">AD1066*$M1066</f>
        <v>0</v>
      </c>
      <c r="AF1066" s="28"/>
      <c r="AG1066" s="28" t="n">
        <f aca="false">AF1066*$M1066</f>
        <v>0</v>
      </c>
      <c r="AH1066" s="28"/>
      <c r="AI1066" s="28" t="n">
        <f aca="false">AH1066*$M1066</f>
        <v>0</v>
      </c>
      <c r="AJ1066" s="28"/>
      <c r="AK1066" s="28" t="n">
        <f aca="false">AJ1066*$M1066</f>
        <v>0</v>
      </c>
      <c r="AL1066" s="28"/>
      <c r="AM1066" s="28" t="n">
        <f aca="false">AL1066*$M1066</f>
        <v>0</v>
      </c>
      <c r="AN1066" s="28"/>
      <c r="AO1066" s="28" t="n">
        <f aca="false">AN1066*$M1066</f>
        <v>0</v>
      </c>
      <c r="AP1066" s="28"/>
      <c r="AQ1066" s="28" t="n">
        <f aca="false">AP1066*$M1066</f>
        <v>0</v>
      </c>
      <c r="AR1066" s="28"/>
      <c r="AS1066" s="28" t="n">
        <f aca="false">AR1066*$M1066</f>
        <v>0</v>
      </c>
      <c r="AT1066" s="28"/>
      <c r="AU1066" s="28" t="n">
        <f aca="false">AT1066*$M1066</f>
        <v>0</v>
      </c>
      <c r="AV1066" s="28"/>
      <c r="AW1066" s="28" t="n">
        <f aca="false">AV1066*$M1066</f>
        <v>0</v>
      </c>
      <c r="AX1066" s="28"/>
      <c r="AY1066" s="28" t="n">
        <f aca="false">AX1066*$M1066</f>
        <v>0</v>
      </c>
      <c r="AZ1066" s="30" t="n">
        <v>105447</v>
      </c>
      <c r="BA1066" s="11" t="n">
        <v>263617</v>
      </c>
      <c r="BB1066" s="31" t="n">
        <f aca="false">SUM(Q1066,S1066,U1066,W1066,Y1066,AA1066,AC1066,AE1066,AG1066,AI1066,AK1066,AM1066,AO1066,AQ1066,AS1066,AU1066,AW1066,AY1066)</f>
        <v>263617</v>
      </c>
      <c r="BC1066" s="28" t="n">
        <f aca="false">BA1066-BB1066</f>
        <v>0</v>
      </c>
      <c r="BD1066" s="32" t="n">
        <f aca="false">SUM(P1066,R1066,T1066,V1066,X1066,Z1066,AB1066,AD1066,AF1066,AH1066,AJ1066,AL1066,AN1066,AP1066,AR1066,AT1066,AV1066,AX1066)</f>
        <v>105447</v>
      </c>
      <c r="BE1066" s="33" t="n">
        <f aca="false">AZ1066-BD1066</f>
        <v>0</v>
      </c>
      <c r="BF1066" s="34" t="n">
        <f aca="false">BD1066*M1066</f>
        <v>263617.5</v>
      </c>
      <c r="BG1066" s="35" t="n">
        <f aca="false">BA1066-BF1066</f>
        <v>-0.5</v>
      </c>
      <c r="BH1066" s="19" t="str">
        <f aca="false">IF(BG1066=0,"",IF(BG1066&lt;&gt;BA1066,"erreur de calcul",IF(BD1066&lt;&gt;0,"pas de prix",IF(M1066&lt;&gt; 0,"pas de quantité","pas de prix, ni de quantité"))))</f>
        <v>erreur de calcul</v>
      </c>
      <c r="BI1066" s="19"/>
    </row>
    <row r="1067" customFormat="false" ht="15" hidden="false" customHeight="false" outlineLevel="0" collapsed="false">
      <c r="A1067" s="0" t="n">
        <v>12</v>
      </c>
      <c r="B1067" s="8" t="s">
        <v>24</v>
      </c>
      <c r="C1067" s="9" t="s">
        <v>25</v>
      </c>
      <c r="D1067" s="9" t="s">
        <v>26</v>
      </c>
      <c r="E1067" s="10" t="n">
        <v>1789</v>
      </c>
      <c r="F1067" s="9" t="s">
        <v>27</v>
      </c>
      <c r="G1067" s="9" t="s">
        <v>27</v>
      </c>
      <c r="H1067" s="11" t="n">
        <v>18</v>
      </c>
      <c r="I1067" s="11" t="s">
        <v>80</v>
      </c>
      <c r="J1067" s="14"/>
      <c r="K1067" s="14" t="n">
        <v>4</v>
      </c>
      <c r="L1067" s="16"/>
      <c r="M1067" s="27" t="n">
        <f aca="false">J1067+(K1067/20)+(L1067/240)</f>
        <v>0.2</v>
      </c>
      <c r="N1067" s="17" t="s">
        <v>81</v>
      </c>
      <c r="O1067" s="11"/>
      <c r="P1067" s="28"/>
      <c r="Q1067" s="28" t="n">
        <f aca="false">P1067*$M1067</f>
        <v>0</v>
      </c>
      <c r="R1067" s="28"/>
      <c r="S1067" s="28" t="n">
        <f aca="false">R1067*$M1067</f>
        <v>0</v>
      </c>
      <c r="T1067" s="28"/>
      <c r="U1067" s="28" t="n">
        <f aca="false">T1067*$M1067</f>
        <v>0</v>
      </c>
      <c r="V1067" s="28" t="n">
        <v>5800</v>
      </c>
      <c r="W1067" s="28" t="n">
        <v>1160</v>
      </c>
      <c r="X1067" s="29"/>
      <c r="Y1067" s="28" t="n">
        <v>1069</v>
      </c>
      <c r="Z1067" s="28"/>
      <c r="AA1067" s="28" t="n">
        <f aca="false">Z1067*$M1067</f>
        <v>0</v>
      </c>
      <c r="AB1067" s="28"/>
      <c r="AC1067" s="28" t="n">
        <f aca="false">AB1067*$M1067</f>
        <v>0</v>
      </c>
      <c r="AD1067" s="28"/>
      <c r="AE1067" s="28" t="n">
        <f aca="false">AD1067*$M1067</f>
        <v>0</v>
      </c>
      <c r="AF1067" s="28"/>
      <c r="AG1067" s="28" t="n">
        <f aca="false">AF1067*$M1067</f>
        <v>0</v>
      </c>
      <c r="AH1067" s="28"/>
      <c r="AI1067" s="28" t="n">
        <f aca="false">AH1067*$M1067</f>
        <v>0</v>
      </c>
      <c r="AJ1067" s="28"/>
      <c r="AK1067" s="28" t="n">
        <f aca="false">AJ1067*$M1067</f>
        <v>0</v>
      </c>
      <c r="AL1067" s="28"/>
      <c r="AM1067" s="28" t="n">
        <f aca="false">AL1067*$M1067</f>
        <v>0</v>
      </c>
      <c r="AN1067" s="28"/>
      <c r="AO1067" s="28" t="n">
        <f aca="false">AN1067*$M1067</f>
        <v>0</v>
      </c>
      <c r="AP1067" s="28"/>
      <c r="AQ1067" s="28" t="n">
        <f aca="false">AP1067*$M1067</f>
        <v>0</v>
      </c>
      <c r="AR1067" s="28"/>
      <c r="AS1067" s="28" t="n">
        <f aca="false">AR1067*$M1067</f>
        <v>0</v>
      </c>
      <c r="AT1067" s="28"/>
      <c r="AU1067" s="28" t="n">
        <f aca="false">AT1067*$M1067</f>
        <v>0</v>
      </c>
      <c r="AV1067" s="28"/>
      <c r="AW1067" s="28" t="n">
        <f aca="false">AV1067*$M1067</f>
        <v>0</v>
      </c>
      <c r="AX1067" s="28"/>
      <c r="AY1067" s="28" t="n">
        <f aca="false">AX1067*$M1067</f>
        <v>0</v>
      </c>
      <c r="AZ1067" s="30" t="n">
        <v>11144</v>
      </c>
      <c r="BA1067" s="11" t="n">
        <v>2229</v>
      </c>
      <c r="BB1067" s="31" t="n">
        <f aca="false">SUM(Q1067,S1067,U1067,W1067,Y1067,AA1067,AC1067,AE1067,AG1067,AI1067,AK1067,AM1067,AO1067,AQ1067,AS1067,AU1067,AW1067,AY1067)</f>
        <v>2229</v>
      </c>
      <c r="BC1067" s="28" t="n">
        <f aca="false">BA1067-BB1067</f>
        <v>0</v>
      </c>
      <c r="BD1067" s="32" t="n">
        <f aca="false">SUM(P1067,R1067,T1067,V1067,X1067,Z1067,AB1067,AD1067,AF1067,AH1067,AJ1067,AL1067,AN1067,AP1067,AR1067,AT1067,AV1067,AX1067)</f>
        <v>5800</v>
      </c>
      <c r="BE1067" s="33" t="n">
        <f aca="false">AZ1067-BD1067</f>
        <v>5344</v>
      </c>
      <c r="BF1067" s="34" t="n">
        <f aca="false">BD1067*M1067</f>
        <v>1160</v>
      </c>
      <c r="BG1067" s="35" t="n">
        <f aca="false">BA1067-BF1067</f>
        <v>1069</v>
      </c>
      <c r="BH1067" s="19" t="str">
        <f aca="false">IF(BG1067=0,"",IF(BG1067&lt;&gt;BA1067,"erreur de calcul",IF(BD1067&lt;&gt;0,"pas de prix",IF(M1067&lt;&gt; 0,"pas de quantité","pas de prix, ni de quantité"))))</f>
        <v>erreur de calcul</v>
      </c>
      <c r="BI1067" s="19"/>
    </row>
    <row r="1068" customFormat="false" ht="15" hidden="false" customHeight="false" outlineLevel="0" collapsed="false">
      <c r="A1068" s="0" t="n">
        <v>13</v>
      </c>
      <c r="B1068" s="8" t="s">
        <v>24</v>
      </c>
      <c r="C1068" s="9" t="s">
        <v>25</v>
      </c>
      <c r="D1068" s="9" t="s">
        <v>26</v>
      </c>
      <c r="E1068" s="10" t="n">
        <v>1789</v>
      </c>
      <c r="F1068" s="9" t="s">
        <v>27</v>
      </c>
      <c r="G1068" s="9" t="s">
        <v>27</v>
      </c>
      <c r="H1068" s="11" t="n">
        <v>18</v>
      </c>
      <c r="I1068" s="11" t="s">
        <v>82</v>
      </c>
      <c r="J1068" s="14" t="n">
        <v>17</v>
      </c>
      <c r="K1068" s="14"/>
      <c r="L1068" s="16"/>
      <c r="M1068" s="27" t="n">
        <f aca="false">J1068+(K1068/20)+(L1068/240)</f>
        <v>17</v>
      </c>
      <c r="N1068" s="17" t="s">
        <v>69</v>
      </c>
      <c r="O1068" s="11"/>
      <c r="P1068" s="28"/>
      <c r="Q1068" s="28" t="n">
        <f aca="false">P1068*$M1068</f>
        <v>0</v>
      </c>
      <c r="R1068" s="28"/>
      <c r="S1068" s="28" t="n">
        <f aca="false">R1068*$M1068</f>
        <v>0</v>
      </c>
      <c r="T1068" s="28"/>
      <c r="U1068" s="28" t="n">
        <f aca="false">T1068*$M1068</f>
        <v>0</v>
      </c>
      <c r="V1068" s="28" t="n">
        <v>600</v>
      </c>
      <c r="W1068" s="28" t="n">
        <v>10200</v>
      </c>
      <c r="X1068" s="29"/>
      <c r="Y1068" s="28" t="n">
        <f aca="false">X1068*$M1068</f>
        <v>0</v>
      </c>
      <c r="Z1068" s="28"/>
      <c r="AA1068" s="28" t="n">
        <f aca="false">Z1068*$M1068</f>
        <v>0</v>
      </c>
      <c r="AB1068" s="28"/>
      <c r="AC1068" s="28" t="n">
        <f aca="false">AB1068*$M1068</f>
        <v>0</v>
      </c>
      <c r="AD1068" s="28"/>
      <c r="AE1068" s="28" t="n">
        <f aca="false">AD1068*$M1068</f>
        <v>0</v>
      </c>
      <c r="AF1068" s="28"/>
      <c r="AG1068" s="28" t="n">
        <f aca="false">AF1068*$M1068</f>
        <v>0</v>
      </c>
      <c r="AH1068" s="28"/>
      <c r="AI1068" s="28" t="n">
        <f aca="false">AH1068*$M1068</f>
        <v>0</v>
      </c>
      <c r="AJ1068" s="28"/>
      <c r="AK1068" s="28" t="n">
        <f aca="false">AJ1068*$M1068</f>
        <v>0</v>
      </c>
      <c r="AL1068" s="28"/>
      <c r="AM1068" s="28" t="n">
        <f aca="false">AL1068*$M1068</f>
        <v>0</v>
      </c>
      <c r="AN1068" s="28"/>
      <c r="AO1068" s="28" t="n">
        <f aca="false">AN1068*$M1068</f>
        <v>0</v>
      </c>
      <c r="AP1068" s="28"/>
      <c r="AQ1068" s="28" t="n">
        <f aca="false">AP1068*$M1068</f>
        <v>0</v>
      </c>
      <c r="AR1068" s="28"/>
      <c r="AS1068" s="28" t="n">
        <f aca="false">AR1068*$M1068</f>
        <v>0</v>
      </c>
      <c r="AT1068" s="28"/>
      <c r="AU1068" s="28" t="n">
        <f aca="false">AT1068*$M1068</f>
        <v>0</v>
      </c>
      <c r="AV1068" s="28"/>
      <c r="AW1068" s="28" t="n">
        <f aca="false">AV1068*$M1068</f>
        <v>0</v>
      </c>
      <c r="AX1068" s="28"/>
      <c r="AY1068" s="28" t="n">
        <f aca="false">AX1068*$M1068</f>
        <v>0</v>
      </c>
      <c r="AZ1068" s="30" t="n">
        <v>600</v>
      </c>
      <c r="BA1068" s="11" t="n">
        <v>10200</v>
      </c>
      <c r="BB1068" s="31" t="n">
        <f aca="false">SUM(Q1068,S1068,U1068,W1068,Y1068,AA1068,AC1068,AE1068,AG1068,AI1068,AK1068,AM1068,AO1068,AQ1068,AS1068,AU1068,AW1068,AY1068)</f>
        <v>10200</v>
      </c>
      <c r="BC1068" s="28" t="n">
        <f aca="false">BA1068-BB1068</f>
        <v>0</v>
      </c>
      <c r="BD1068" s="32" t="n">
        <f aca="false">SUM(P1068,R1068,T1068,V1068,X1068,Z1068,AB1068,AD1068,AF1068,AH1068,AJ1068,AL1068,AN1068,AP1068,AR1068,AT1068,AV1068,AX1068)</f>
        <v>600</v>
      </c>
      <c r="BE1068" s="33" t="n">
        <f aca="false">AZ1068-BD1068</f>
        <v>0</v>
      </c>
      <c r="BF1068" s="34" t="n">
        <f aca="false">BD1068*M1068</f>
        <v>10200</v>
      </c>
      <c r="BG1068" s="35" t="n">
        <f aca="false">BA1068-BF1068</f>
        <v>0</v>
      </c>
      <c r="BH1068" s="19" t="str">
        <f aca="false">IF(BG1068=0,"",IF(BG1068&lt;&gt;BA1068,"erreur de calcul",IF(BD1068&lt;&gt;0,"pas de prix",IF(M1068&lt;&gt; 0,"pas de quantité","pas de prix, ni de quantité"))))</f>
        <v/>
      </c>
      <c r="BI1068" s="19"/>
    </row>
    <row r="1069" customFormat="false" ht="15" hidden="false" customHeight="false" outlineLevel="0" collapsed="false">
      <c r="A1069" s="0" t="n">
        <v>14</v>
      </c>
      <c r="B1069" s="8" t="s">
        <v>24</v>
      </c>
      <c r="C1069" s="9" t="s">
        <v>25</v>
      </c>
      <c r="D1069" s="9" t="s">
        <v>26</v>
      </c>
      <c r="E1069" s="10" t="n">
        <v>1789</v>
      </c>
      <c r="F1069" s="9" t="s">
        <v>27</v>
      </c>
      <c r="G1069" s="9" t="s">
        <v>27</v>
      </c>
      <c r="H1069" s="11" t="n">
        <v>18</v>
      </c>
      <c r="I1069" s="11" t="s">
        <v>83</v>
      </c>
      <c r="J1069" s="14" t="n">
        <v>20</v>
      </c>
      <c r="K1069" s="14"/>
      <c r="L1069" s="16"/>
      <c r="M1069" s="27" t="n">
        <f aca="false">J1069+(K1069/20)+(L1069/240)</f>
        <v>20</v>
      </c>
      <c r="N1069" s="17" t="s">
        <v>81</v>
      </c>
      <c r="O1069" s="11"/>
      <c r="P1069" s="28"/>
      <c r="Q1069" s="28" t="n">
        <f aca="false">P1069*$M1069</f>
        <v>0</v>
      </c>
      <c r="R1069" s="28"/>
      <c r="S1069" s="28" t="n">
        <f aca="false">R1069*$M1069</f>
        <v>0</v>
      </c>
      <c r="T1069" s="28"/>
      <c r="U1069" s="28" t="n">
        <f aca="false">T1069*$M1069</f>
        <v>0</v>
      </c>
      <c r="V1069" s="28"/>
      <c r="W1069" s="28" t="n">
        <f aca="false">V1069*$M1069</f>
        <v>0</v>
      </c>
      <c r="X1069" s="29"/>
      <c r="Y1069" s="28" t="n">
        <f aca="false">X1069*$M1069</f>
        <v>0</v>
      </c>
      <c r="Z1069" s="28" t="n">
        <v>460</v>
      </c>
      <c r="AA1069" s="28" t="n">
        <v>9200</v>
      </c>
      <c r="AB1069" s="28"/>
      <c r="AC1069" s="28" t="n">
        <f aca="false">AB1069*$M1069</f>
        <v>0</v>
      </c>
      <c r="AD1069" s="28"/>
      <c r="AE1069" s="28" t="n">
        <f aca="false">AD1069*$M1069</f>
        <v>0</v>
      </c>
      <c r="AF1069" s="28"/>
      <c r="AG1069" s="28" t="n">
        <f aca="false">AF1069*$M1069</f>
        <v>0</v>
      </c>
      <c r="AH1069" s="28"/>
      <c r="AI1069" s="28" t="n">
        <f aca="false">AH1069*$M1069</f>
        <v>0</v>
      </c>
      <c r="AJ1069" s="28"/>
      <c r="AK1069" s="28" t="n">
        <f aca="false">AJ1069*$M1069</f>
        <v>0</v>
      </c>
      <c r="AL1069" s="28"/>
      <c r="AM1069" s="28" t="n">
        <f aca="false">AL1069*$M1069</f>
        <v>0</v>
      </c>
      <c r="AN1069" s="28"/>
      <c r="AO1069" s="28" t="n">
        <f aca="false">AN1069*$M1069</f>
        <v>0</v>
      </c>
      <c r="AP1069" s="28"/>
      <c r="AQ1069" s="28" t="n">
        <f aca="false">AP1069*$M1069</f>
        <v>0</v>
      </c>
      <c r="AR1069" s="28"/>
      <c r="AS1069" s="28" t="n">
        <f aca="false">AR1069*$M1069</f>
        <v>0</v>
      </c>
      <c r="AT1069" s="28"/>
      <c r="AU1069" s="28" t="n">
        <f aca="false">AT1069*$M1069</f>
        <v>0</v>
      </c>
      <c r="AV1069" s="28"/>
      <c r="AW1069" s="28" t="n">
        <f aca="false">AV1069*$M1069</f>
        <v>0</v>
      </c>
      <c r="AX1069" s="28"/>
      <c r="AY1069" s="28" t="n">
        <f aca="false">AX1069*$M1069</f>
        <v>0</v>
      </c>
      <c r="AZ1069" s="30" t="n">
        <v>460</v>
      </c>
      <c r="BA1069" s="11" t="n">
        <v>9200</v>
      </c>
      <c r="BB1069" s="31" t="n">
        <f aca="false">SUM(Q1069,S1069,U1069,W1069,Y1069,AA1069,AC1069,AE1069,AG1069,AI1069,AK1069,AM1069,AO1069,AQ1069,AS1069,AU1069,AW1069,AY1069)</f>
        <v>9200</v>
      </c>
      <c r="BC1069" s="28" t="n">
        <f aca="false">BA1069-BB1069</f>
        <v>0</v>
      </c>
      <c r="BD1069" s="32" t="n">
        <f aca="false">SUM(P1069,R1069,T1069,V1069,X1069,Z1069,AB1069,AD1069,AF1069,AH1069,AJ1069,AL1069,AN1069,AP1069,AR1069,AT1069,AV1069,AX1069)</f>
        <v>460</v>
      </c>
      <c r="BE1069" s="33" t="n">
        <f aca="false">AZ1069-BD1069</f>
        <v>0</v>
      </c>
      <c r="BF1069" s="34" t="n">
        <f aca="false">BD1069*M1069</f>
        <v>9200</v>
      </c>
      <c r="BG1069" s="35" t="n">
        <f aca="false">BA1069-BF1069</f>
        <v>0</v>
      </c>
      <c r="BH1069" s="19" t="str">
        <f aca="false">IF(BG1069=0,"",IF(BG1069&lt;&gt;BA1069,"erreur de calcul",IF(BD1069&lt;&gt;0,"pas de prix",IF(M1069&lt;&gt; 0,"pas de quantité","pas de prix, ni de quantité"))))</f>
        <v/>
      </c>
      <c r="BI1069" s="19"/>
    </row>
    <row r="1070" customFormat="false" ht="15" hidden="false" customHeight="false" outlineLevel="0" collapsed="false">
      <c r="A1070" s="0" t="n">
        <v>15</v>
      </c>
      <c r="B1070" s="8" t="s">
        <v>24</v>
      </c>
      <c r="C1070" s="9" t="s">
        <v>25</v>
      </c>
      <c r="D1070" s="9" t="s">
        <v>26</v>
      </c>
      <c r="E1070" s="10" t="n">
        <v>1789</v>
      </c>
      <c r="F1070" s="9" t="s">
        <v>27</v>
      </c>
      <c r="G1070" s="9" t="s">
        <v>27</v>
      </c>
      <c r="H1070" s="11" t="n">
        <v>18</v>
      </c>
      <c r="I1070" s="11" t="s">
        <v>84</v>
      </c>
      <c r="J1070" s="14" t="n">
        <v>16</v>
      </c>
      <c r="K1070" s="14"/>
      <c r="L1070" s="16"/>
      <c r="M1070" s="27" t="n">
        <f aca="false">J1070+(K1070/20)+(L1070/240)</f>
        <v>16</v>
      </c>
      <c r="N1070" s="17" t="s">
        <v>85</v>
      </c>
      <c r="O1070" s="11"/>
      <c r="P1070" s="28"/>
      <c r="Q1070" s="28" t="n">
        <f aca="false">P1070*$M1070</f>
        <v>0</v>
      </c>
      <c r="R1070" s="28"/>
      <c r="S1070" s="28" t="n">
        <f aca="false">R1070*$M1070</f>
        <v>0</v>
      </c>
      <c r="T1070" s="28" t="n">
        <f aca="false">1600/100</f>
        <v>16</v>
      </c>
      <c r="U1070" s="28" t="n">
        <v>256</v>
      </c>
      <c r="V1070" s="28" t="n">
        <f aca="false">227136/100</f>
        <v>2271.36</v>
      </c>
      <c r="W1070" s="28" t="n">
        <v>36342</v>
      </c>
      <c r="X1070" s="29"/>
      <c r="Y1070" s="28" t="n">
        <v>304</v>
      </c>
      <c r="Z1070" s="28" t="n">
        <f aca="false">6850/100</f>
        <v>68.5</v>
      </c>
      <c r="AA1070" s="28" t="n">
        <v>1096</v>
      </c>
      <c r="AB1070" s="28" t="n">
        <f aca="false">204300/100</f>
        <v>2043</v>
      </c>
      <c r="AC1070" s="28" t="n">
        <v>32688</v>
      </c>
      <c r="AD1070" s="28" t="n">
        <f aca="false">9750/100</f>
        <v>97.5</v>
      </c>
      <c r="AE1070" s="28" t="n">
        <v>1560</v>
      </c>
      <c r="AF1070" s="28"/>
      <c r="AG1070" s="28" t="n">
        <f aca="false">AF1070*$M1070</f>
        <v>0</v>
      </c>
      <c r="AH1070" s="28"/>
      <c r="AI1070" s="28" t="n">
        <f aca="false">AH1070*$M1070</f>
        <v>0</v>
      </c>
      <c r="AJ1070" s="28" t="n">
        <f aca="false">1414/100</f>
        <v>14.14</v>
      </c>
      <c r="AK1070" s="28" t="n">
        <v>226</v>
      </c>
      <c r="AL1070" s="28" t="n">
        <f aca="false">29500/100</f>
        <v>295</v>
      </c>
      <c r="AM1070" s="28" t="n">
        <v>4720</v>
      </c>
      <c r="AN1070" s="28"/>
      <c r="AO1070" s="28" t="n">
        <f aca="false">AN1070*$M1070</f>
        <v>0</v>
      </c>
      <c r="AP1070" s="28" t="n">
        <f aca="false">1520/100</f>
        <v>15.2</v>
      </c>
      <c r="AQ1070" s="28" t="n">
        <v>243</v>
      </c>
      <c r="AR1070" s="28"/>
      <c r="AS1070" s="28" t="n">
        <f aca="false">AR1070*$M1070</f>
        <v>0</v>
      </c>
      <c r="AT1070" s="28" t="n">
        <f aca="false">2100/100</f>
        <v>21</v>
      </c>
      <c r="AU1070" s="28" t="n">
        <v>336</v>
      </c>
      <c r="AV1070" s="28" t="n">
        <f aca="false">1320/100</f>
        <v>13.2</v>
      </c>
      <c r="AW1070" s="28" t="n">
        <v>211</v>
      </c>
      <c r="AX1070" s="28" t="n">
        <f aca="false">177746/100</f>
        <v>1777.46</v>
      </c>
      <c r="AY1070" s="28" t="n">
        <v>28439</v>
      </c>
      <c r="AZ1070" s="30" t="n">
        <f aca="false">665136/100</f>
        <v>6651.36</v>
      </c>
      <c r="BA1070" s="11" t="n">
        <v>106421</v>
      </c>
      <c r="BB1070" s="31" t="n">
        <f aca="false">SUM(Q1070,S1070,U1070,W1070,Y1070,AA1070,AC1070,AE1070,AG1070,AI1070,AK1070,AM1070,AO1070,AQ1070,AS1070,AU1070,AW1070,AY1070)</f>
        <v>106421</v>
      </c>
      <c r="BC1070" s="28" t="n">
        <f aca="false">BA1070-BB1070</f>
        <v>0</v>
      </c>
      <c r="BD1070" s="32" t="n">
        <f aca="false">SUM(P1070,R1070,T1070,V1070,X1070,Z1070,AB1070,AD1070,AF1070,AH1070,AJ1070,AL1070,AN1070,AP1070,AR1070,AT1070,AV1070,AX1070)</f>
        <v>6632.36</v>
      </c>
      <c r="BE1070" s="33" t="n">
        <f aca="false">AZ1070-BD1070</f>
        <v>18.9999999999991</v>
      </c>
      <c r="BF1070" s="34" t="n">
        <f aca="false">BD1070*M1070</f>
        <v>106117.76</v>
      </c>
      <c r="BG1070" s="35" t="n">
        <f aca="false">BA1070-BF1070</f>
        <v>303.239999999991</v>
      </c>
      <c r="BH1070" s="19" t="str">
        <f aca="false">IF(BG1070=0,"",IF(BG1070&lt;&gt;BA1070,"erreur de calcul",IF(BD1070&lt;&gt;0,"pas de prix",IF(M1070&lt;&gt; 0,"pas de quantité","pas de prix, ni de quantité"))))</f>
        <v>erreur de calcul</v>
      </c>
      <c r="BI1070" s="19"/>
    </row>
    <row r="1071" customFormat="false" ht="15" hidden="false" customHeight="false" outlineLevel="0" collapsed="false">
      <c r="A1071" s="0" t="n">
        <v>16</v>
      </c>
      <c r="B1071" s="8" t="s">
        <v>24</v>
      </c>
      <c r="C1071" s="9" t="s">
        <v>25</v>
      </c>
      <c r="D1071" s="9" t="s">
        <v>26</v>
      </c>
      <c r="E1071" s="10" t="n">
        <v>1789</v>
      </c>
      <c r="F1071" s="9" t="s">
        <v>27</v>
      </c>
      <c r="G1071" s="9" t="s">
        <v>27</v>
      </c>
      <c r="H1071" s="11" t="n">
        <v>18</v>
      </c>
      <c r="I1071" s="11" t="s">
        <v>86</v>
      </c>
      <c r="J1071" s="14" t="n">
        <v>55</v>
      </c>
      <c r="K1071" s="14"/>
      <c r="L1071" s="16"/>
      <c r="M1071" s="27" t="n">
        <f aca="false">J1071+(K1071/20)+(L1071/240)</f>
        <v>55</v>
      </c>
      <c r="N1071" s="17" t="s">
        <v>81</v>
      </c>
      <c r="O1071" s="11"/>
      <c r="P1071" s="28"/>
      <c r="Q1071" s="28" t="n">
        <f aca="false">P1071*$M1071</f>
        <v>0</v>
      </c>
      <c r="R1071" s="28"/>
      <c r="S1071" s="28" t="n">
        <f aca="false">R1071*$M1071</f>
        <v>0</v>
      </c>
      <c r="T1071" s="28"/>
      <c r="U1071" s="28" t="n">
        <f aca="false">T1071*$M1071</f>
        <v>0</v>
      </c>
      <c r="V1071" s="28"/>
      <c r="W1071" s="28" t="n">
        <f aca="false">V1071*$M1071</f>
        <v>0</v>
      </c>
      <c r="X1071" s="29"/>
      <c r="Y1071" s="28" t="n">
        <f aca="false">X1071*$M1071</f>
        <v>0</v>
      </c>
      <c r="Z1071" s="28"/>
      <c r="AA1071" s="28" t="n">
        <f aca="false">Z1071*$M1071</f>
        <v>0</v>
      </c>
      <c r="AB1071" s="28"/>
      <c r="AC1071" s="28" t="n">
        <f aca="false">AB1071*$M1071</f>
        <v>0</v>
      </c>
      <c r="AD1071" s="28"/>
      <c r="AE1071" s="28" t="n">
        <f aca="false">AD1071*$M1071</f>
        <v>0</v>
      </c>
      <c r="AF1071" s="28"/>
      <c r="AG1071" s="28" t="n">
        <f aca="false">AF1071*$M1071</f>
        <v>0</v>
      </c>
      <c r="AH1071" s="28"/>
      <c r="AI1071" s="28" t="n">
        <f aca="false">AH1071*$M1071</f>
        <v>0</v>
      </c>
      <c r="AJ1071" s="28"/>
      <c r="AK1071" s="28" t="n">
        <f aca="false">AJ1071*$M1071</f>
        <v>0</v>
      </c>
      <c r="AL1071" s="28"/>
      <c r="AM1071" s="28" t="n">
        <f aca="false">AL1071*$M1071</f>
        <v>0</v>
      </c>
      <c r="AN1071" s="28"/>
      <c r="AO1071" s="28" t="n">
        <f aca="false">AN1071*$M1071</f>
        <v>0</v>
      </c>
      <c r="AP1071" s="28"/>
      <c r="AQ1071" s="28" t="n">
        <f aca="false">AP1071*$M1071</f>
        <v>0</v>
      </c>
      <c r="AR1071" s="28"/>
      <c r="AS1071" s="28" t="n">
        <f aca="false">AR1071*$M1071</f>
        <v>0</v>
      </c>
      <c r="AT1071" s="28" t="n">
        <v>319</v>
      </c>
      <c r="AU1071" s="28" t="n">
        <v>17545</v>
      </c>
      <c r="AV1071" s="28"/>
      <c r="AW1071" s="28" t="n">
        <f aca="false">AV1071*$M1071</f>
        <v>0</v>
      </c>
      <c r="AX1071" s="28"/>
      <c r="AY1071" s="28" t="n">
        <f aca="false">AX1071*$M1071</f>
        <v>0</v>
      </c>
      <c r="AZ1071" s="30" t="n">
        <v>319</v>
      </c>
      <c r="BA1071" s="11" t="n">
        <v>17545</v>
      </c>
      <c r="BB1071" s="31" t="n">
        <f aca="false">SUM(Q1071,S1071,U1071,W1071,Y1071,AA1071,AC1071,AE1071,AG1071,AI1071,AK1071,AM1071,AO1071,AQ1071,AS1071,AU1071,AW1071,AY1071)</f>
        <v>17545</v>
      </c>
      <c r="BC1071" s="28" t="n">
        <f aca="false">BA1071-BB1071</f>
        <v>0</v>
      </c>
      <c r="BD1071" s="32" t="n">
        <f aca="false">SUM(P1071,R1071,T1071,V1071,X1071,Z1071,AB1071,AD1071,AF1071,AH1071,AJ1071,AL1071,AN1071,AP1071,AR1071,AT1071,AV1071,AX1071)</f>
        <v>319</v>
      </c>
      <c r="BE1071" s="33" t="n">
        <f aca="false">AZ1071-BD1071</f>
        <v>0</v>
      </c>
      <c r="BF1071" s="34" t="n">
        <f aca="false">BD1071*M1071</f>
        <v>17545</v>
      </c>
      <c r="BG1071" s="35" t="n">
        <f aca="false">BA1071-BF1071</f>
        <v>0</v>
      </c>
      <c r="BH1071" s="19" t="str">
        <f aca="false">IF(BG1071=0,"",IF(BG1071&lt;&gt;BA1071,"erreur de calcul",IF(BD1071&lt;&gt;0,"pas de prix",IF(M1071&lt;&gt; 0,"pas de quantité","pas de prix, ni de quantité"))))</f>
        <v/>
      </c>
      <c r="BI1071" s="19"/>
    </row>
    <row r="1072" customFormat="false" ht="15" hidden="false" customHeight="false" outlineLevel="0" collapsed="false">
      <c r="A1072" s="0" t="n">
        <v>17</v>
      </c>
      <c r="B1072" s="8" t="s">
        <v>24</v>
      </c>
      <c r="C1072" s="9" t="s">
        <v>25</v>
      </c>
      <c r="D1072" s="9" t="s">
        <v>26</v>
      </c>
      <c r="E1072" s="10" t="n">
        <v>1789</v>
      </c>
      <c r="F1072" s="9" t="s">
        <v>27</v>
      </c>
      <c r="G1072" s="9" t="s">
        <v>27</v>
      </c>
      <c r="H1072" s="11" t="n">
        <v>18</v>
      </c>
      <c r="I1072" s="11" t="s">
        <v>87</v>
      </c>
      <c r="J1072" s="14" t="n">
        <v>6</v>
      </c>
      <c r="K1072" s="14"/>
      <c r="L1072" s="16"/>
      <c r="M1072" s="27" t="n">
        <f aca="false">J1072+(K1072/20)+(L1072/240)</f>
        <v>6</v>
      </c>
      <c r="N1072" s="17" t="s">
        <v>69</v>
      </c>
      <c r="O1072" s="11" t="s">
        <v>77</v>
      </c>
      <c r="P1072" s="28"/>
      <c r="Q1072" s="28" t="n">
        <f aca="false">P1072*$M1072</f>
        <v>0</v>
      </c>
      <c r="R1072" s="28" t="n">
        <v>63</v>
      </c>
      <c r="S1072" s="28" t="n">
        <v>378</v>
      </c>
      <c r="T1072" s="28" t="n">
        <v>2406</v>
      </c>
      <c r="U1072" s="28" t="n">
        <v>14436</v>
      </c>
      <c r="V1072" s="28" t="n">
        <v>222</v>
      </c>
      <c r="W1072" s="28" t="n">
        <v>1332</v>
      </c>
      <c r="X1072" s="29"/>
      <c r="Y1072" s="28" t="n">
        <f aca="false">X1072*$M1072</f>
        <v>0</v>
      </c>
      <c r="Z1072" s="28"/>
      <c r="AA1072" s="28" t="n">
        <f aca="false">Z1072*$M1072</f>
        <v>0</v>
      </c>
      <c r="AB1072" s="28"/>
      <c r="AC1072" s="28" t="n">
        <f aca="false">AB1072*$M1072</f>
        <v>0</v>
      </c>
      <c r="AD1072" s="28" t="n">
        <v>330</v>
      </c>
      <c r="AE1072" s="28" t="n">
        <v>1980</v>
      </c>
      <c r="AF1072" s="28"/>
      <c r="AG1072" s="28" t="n">
        <f aca="false">AF1072*$M1072</f>
        <v>0</v>
      </c>
      <c r="AH1072" s="28"/>
      <c r="AI1072" s="28" t="n">
        <f aca="false">AH1072*$M1072</f>
        <v>0</v>
      </c>
      <c r="AJ1072" s="28"/>
      <c r="AK1072" s="28" t="n">
        <f aca="false">AJ1072*$M1072</f>
        <v>0</v>
      </c>
      <c r="AL1072" s="28"/>
      <c r="AM1072" s="28" t="n">
        <f aca="false">AL1072*$M1072</f>
        <v>0</v>
      </c>
      <c r="AN1072" s="28"/>
      <c r="AO1072" s="28" t="n">
        <f aca="false">AN1072*$M1072</f>
        <v>0</v>
      </c>
      <c r="AP1072" s="28"/>
      <c r="AQ1072" s="28" t="n">
        <f aca="false">AP1072*$M1072</f>
        <v>0</v>
      </c>
      <c r="AR1072" s="28"/>
      <c r="AS1072" s="28" t="n">
        <f aca="false">AR1072*$M1072</f>
        <v>0</v>
      </c>
      <c r="AT1072" s="28"/>
      <c r="AU1072" s="28" t="n">
        <f aca="false">AT1072*$M1072</f>
        <v>0</v>
      </c>
      <c r="AV1072" s="28"/>
      <c r="AW1072" s="28" t="n">
        <f aca="false">AV1072*$M1072</f>
        <v>0</v>
      </c>
      <c r="AX1072" s="28"/>
      <c r="AY1072" s="28" t="n">
        <f aca="false">AX1072*$M1072</f>
        <v>0</v>
      </c>
      <c r="AZ1072" s="30" t="n">
        <v>3021</v>
      </c>
      <c r="BA1072" s="11" t="n">
        <v>18126</v>
      </c>
      <c r="BB1072" s="31" t="n">
        <f aca="false">SUM(Q1072,S1072,U1072,W1072,Y1072,AA1072,AC1072,AE1072,AG1072,AI1072,AK1072,AM1072,AO1072,AQ1072,AS1072,AU1072,AW1072,AY1072)</f>
        <v>18126</v>
      </c>
      <c r="BC1072" s="28" t="n">
        <f aca="false">BA1072-BB1072</f>
        <v>0</v>
      </c>
      <c r="BD1072" s="32" t="n">
        <f aca="false">SUM(P1072,R1072,T1072,V1072,X1072,Z1072,AB1072,AD1072,AF1072,AH1072,AJ1072,AL1072,AN1072,AP1072,AR1072,AT1072,AV1072,AX1072)</f>
        <v>3021</v>
      </c>
      <c r="BE1072" s="33" t="n">
        <f aca="false">AZ1072-BD1072</f>
        <v>0</v>
      </c>
      <c r="BF1072" s="34" t="n">
        <f aca="false">BD1072*M1072</f>
        <v>18126</v>
      </c>
      <c r="BG1072" s="35" t="n">
        <f aca="false">BA1072-BF1072</f>
        <v>0</v>
      </c>
      <c r="BH1072" s="19" t="str">
        <f aca="false">IF(BG1072=0,"",IF(BG1072&lt;&gt;BA1072,"erreur de calcul",IF(BD1072&lt;&gt;0,"pas de prix",IF(M1072&lt;&gt; 0,"pas de quantité","pas de prix, ni de quantité"))))</f>
        <v/>
      </c>
      <c r="BI1072" s="19"/>
    </row>
    <row r="1073" customFormat="false" ht="15" hidden="false" customHeight="false" outlineLevel="0" collapsed="false">
      <c r="A1073" s="0" t="n">
        <v>18</v>
      </c>
      <c r="B1073" s="8" t="s">
        <v>24</v>
      </c>
      <c r="C1073" s="9" t="s">
        <v>25</v>
      </c>
      <c r="D1073" s="9" t="s">
        <v>26</v>
      </c>
      <c r="E1073" s="10" t="n">
        <v>1789</v>
      </c>
      <c r="F1073" s="9" t="s">
        <v>27</v>
      </c>
      <c r="G1073" s="9" t="s">
        <v>27</v>
      </c>
      <c r="H1073" s="11" t="n">
        <v>18</v>
      </c>
      <c r="I1073" s="11" t="s">
        <v>88</v>
      </c>
      <c r="J1073" s="14" t="n">
        <v>26</v>
      </c>
      <c r="K1073" s="14"/>
      <c r="L1073" s="16"/>
      <c r="M1073" s="27" t="n">
        <f aca="false">J1073+(K1073/20)+(L1073/240)</f>
        <v>26</v>
      </c>
      <c r="N1073" s="17" t="s">
        <v>69</v>
      </c>
      <c r="O1073" s="11"/>
      <c r="P1073" s="28"/>
      <c r="Q1073" s="28" t="n">
        <f aca="false">P1073*$M1073</f>
        <v>0</v>
      </c>
      <c r="R1073" s="28"/>
      <c r="S1073" s="28" t="n">
        <f aca="false">R1073*$M1073</f>
        <v>0</v>
      </c>
      <c r="T1073" s="28"/>
      <c r="U1073" s="28" t="n">
        <f aca="false">T1073*$M1073</f>
        <v>0</v>
      </c>
      <c r="V1073" s="28"/>
      <c r="W1073" s="28" t="n">
        <f aca="false">V1073*$M1073</f>
        <v>0</v>
      </c>
      <c r="X1073" s="29"/>
      <c r="Y1073" s="28" t="n">
        <f aca="false">X1073*$M1073</f>
        <v>0</v>
      </c>
      <c r="Z1073" s="28"/>
      <c r="AA1073" s="28" t="n">
        <f aca="false">Z1073*$M1073</f>
        <v>0</v>
      </c>
      <c r="AB1073" s="28"/>
      <c r="AC1073" s="28" t="n">
        <f aca="false">AB1073*$M1073</f>
        <v>0</v>
      </c>
      <c r="AD1073" s="28"/>
      <c r="AE1073" s="28" t="n">
        <f aca="false">AD1073*$M1073</f>
        <v>0</v>
      </c>
      <c r="AF1073" s="28"/>
      <c r="AG1073" s="28" t="n">
        <f aca="false">AF1073*$M1073</f>
        <v>0</v>
      </c>
      <c r="AH1073" s="28"/>
      <c r="AI1073" s="28" t="n">
        <f aca="false">AH1073*$M1073</f>
        <v>0</v>
      </c>
      <c r="AJ1073" s="28"/>
      <c r="AK1073" s="28" t="n">
        <f aca="false">AJ1073*$M1073</f>
        <v>0</v>
      </c>
      <c r="AL1073" s="28" t="n">
        <v>150</v>
      </c>
      <c r="AM1073" s="28" t="n">
        <v>3900</v>
      </c>
      <c r="AN1073" s="28"/>
      <c r="AO1073" s="28" t="n">
        <f aca="false">AN1073*$M1073</f>
        <v>0</v>
      </c>
      <c r="AP1073" s="28" t="n">
        <v>4140</v>
      </c>
      <c r="AQ1073" s="28" t="n">
        <v>107640</v>
      </c>
      <c r="AR1073" s="28" t="n">
        <v>6957</v>
      </c>
      <c r="AS1073" s="28" t="n">
        <v>180882</v>
      </c>
      <c r="AT1073" s="28" t="n">
        <v>171</v>
      </c>
      <c r="AU1073" s="28" t="n">
        <v>4446</v>
      </c>
      <c r="AV1073" s="28" t="n">
        <v>838</v>
      </c>
      <c r="AW1073" s="28" t="n">
        <v>21788</v>
      </c>
      <c r="AX1073" s="28" t="n">
        <v>35</v>
      </c>
      <c r="AY1073" s="28" t="n">
        <v>910</v>
      </c>
      <c r="AZ1073" s="30" t="n">
        <v>12291</v>
      </c>
      <c r="BA1073" s="11" t="n">
        <v>319566</v>
      </c>
      <c r="BB1073" s="31" t="n">
        <f aca="false">SUM(Q1073,S1073,U1073,W1073,Y1073,AA1073,AC1073,AE1073,AG1073,AI1073,AK1073,AM1073,AO1073,AQ1073,AS1073,AU1073,AW1073,AY1073)</f>
        <v>319566</v>
      </c>
      <c r="BC1073" s="28" t="n">
        <f aca="false">BA1073-BB1073</f>
        <v>0</v>
      </c>
      <c r="BD1073" s="32" t="n">
        <f aca="false">SUM(P1073,R1073,T1073,V1073,X1073,Z1073,AB1073,AD1073,AF1073,AH1073,AJ1073,AL1073,AN1073,AP1073,AR1073,AT1073,AV1073,AX1073)</f>
        <v>12291</v>
      </c>
      <c r="BE1073" s="33" t="n">
        <f aca="false">AZ1073-BD1073</f>
        <v>0</v>
      </c>
      <c r="BF1073" s="34" t="n">
        <f aca="false">BD1073*M1073</f>
        <v>319566</v>
      </c>
      <c r="BG1073" s="35" t="n">
        <f aca="false">BA1073-BF1073</f>
        <v>0</v>
      </c>
      <c r="BH1073" s="19" t="str">
        <f aca="false">IF(BG1073=0,"",IF(BG1073&lt;&gt;BA1073,"erreur de calcul",IF(BD1073&lt;&gt;0,"pas de prix",IF(M1073&lt;&gt; 0,"pas de quantité","pas de prix, ni de quantité"))))</f>
        <v/>
      </c>
      <c r="BI1073" s="19"/>
    </row>
    <row r="1074" customFormat="false" ht="15" hidden="false" customHeight="false" outlineLevel="0" collapsed="false">
      <c r="A1074" s="0" t="n">
        <v>19</v>
      </c>
      <c r="B1074" s="8" t="s">
        <v>24</v>
      </c>
      <c r="C1074" s="9" t="s">
        <v>25</v>
      </c>
      <c r="D1074" s="9" t="s">
        <v>26</v>
      </c>
      <c r="E1074" s="10" t="n">
        <v>1789</v>
      </c>
      <c r="F1074" s="9" t="s">
        <v>27</v>
      </c>
      <c r="G1074" s="9" t="s">
        <v>27</v>
      </c>
      <c r="H1074" s="11" t="n">
        <v>18</v>
      </c>
      <c r="I1074" s="11" t="s">
        <v>89</v>
      </c>
      <c r="J1074" s="14" t="n">
        <v>7</v>
      </c>
      <c r="K1074" s="14"/>
      <c r="L1074" s="16"/>
      <c r="M1074" s="27" t="n">
        <f aca="false">J1074+(K1074/20)+(L1074/240)</f>
        <v>7</v>
      </c>
      <c r="N1074" s="17" t="s">
        <v>81</v>
      </c>
      <c r="O1074" s="11" t="s">
        <v>77</v>
      </c>
      <c r="P1074" s="28"/>
      <c r="Q1074" s="28" t="n">
        <f aca="false">P1074*$M1074</f>
        <v>0</v>
      </c>
      <c r="R1074" s="28"/>
      <c r="S1074" s="28" t="n">
        <f aca="false">R1074*$M1074</f>
        <v>0</v>
      </c>
      <c r="T1074" s="28"/>
      <c r="U1074" s="28" t="n">
        <f aca="false">T1074*$M1074</f>
        <v>0</v>
      </c>
      <c r="V1074" s="28"/>
      <c r="W1074" s="28" t="n">
        <f aca="false">V1074*$M1074</f>
        <v>0</v>
      </c>
      <c r="X1074" s="29"/>
      <c r="Y1074" s="28" t="n">
        <f aca="false">X1074*$M1074</f>
        <v>0</v>
      </c>
      <c r="Z1074" s="28"/>
      <c r="AA1074" s="28" t="n">
        <f aca="false">Z1074*$M1074</f>
        <v>0</v>
      </c>
      <c r="AB1074" s="28"/>
      <c r="AC1074" s="28" t="n">
        <f aca="false">AB1074*$M1074</f>
        <v>0</v>
      </c>
      <c r="AD1074" s="28"/>
      <c r="AE1074" s="28" t="n">
        <f aca="false">AD1074*$M1074</f>
        <v>0</v>
      </c>
      <c r="AF1074" s="28"/>
      <c r="AG1074" s="28" t="n">
        <f aca="false">AF1074*$M1074</f>
        <v>0</v>
      </c>
      <c r="AH1074" s="28"/>
      <c r="AI1074" s="28" t="n">
        <f aca="false">AH1074*$M1074</f>
        <v>0</v>
      </c>
      <c r="AJ1074" s="28"/>
      <c r="AK1074" s="28" t="n">
        <f aca="false">AJ1074*$M1074</f>
        <v>0</v>
      </c>
      <c r="AL1074" s="28"/>
      <c r="AM1074" s="28" t="n">
        <f aca="false">AL1074*$M1074</f>
        <v>0</v>
      </c>
      <c r="AN1074" s="28"/>
      <c r="AO1074" s="28" t="n">
        <f aca="false">AN1074*$M1074</f>
        <v>0</v>
      </c>
      <c r="AP1074" s="38" t="n">
        <v>1763</v>
      </c>
      <c r="AQ1074" s="28" t="n">
        <v>42312</v>
      </c>
      <c r="AR1074" s="28"/>
      <c r="AS1074" s="28" t="n">
        <f aca="false">AR1074*$M1074</f>
        <v>0</v>
      </c>
      <c r="AT1074" s="28"/>
      <c r="AU1074" s="28" t="n">
        <f aca="false">AT1074*$M1074</f>
        <v>0</v>
      </c>
      <c r="AV1074" s="38" t="n">
        <v>377</v>
      </c>
      <c r="AW1074" s="28" t="n">
        <v>9425</v>
      </c>
      <c r="AX1074" s="28"/>
      <c r="AY1074" s="28" t="n">
        <f aca="false">AX1074*$M1074</f>
        <v>0</v>
      </c>
      <c r="AZ1074" s="30" t="n">
        <v>2140</v>
      </c>
      <c r="BA1074" s="11" t="n">
        <v>51737</v>
      </c>
      <c r="BB1074" s="31" t="n">
        <f aca="false">SUM(Q1074,S1074,U1074,W1074,Y1074,AA1074,AC1074,AE1074,AG1074,AI1074,AK1074,AM1074,AO1074,AQ1074,AS1074,AU1074,AW1074,AY1074)</f>
        <v>51737</v>
      </c>
      <c r="BC1074" s="28" t="n">
        <f aca="false">BA1074-BB1074</f>
        <v>0</v>
      </c>
      <c r="BD1074" s="32" t="n">
        <f aca="false">SUM(P1074,R1074,T1074,V1074,X1074,Z1074,AB1074,AD1074,AF1074,AH1074,AJ1074,AL1074,AN1074,AP1074,AR1074,AT1074,AV1074,AX1074)</f>
        <v>2140</v>
      </c>
      <c r="BE1074" s="33" t="n">
        <f aca="false">AZ1074-BD1074</f>
        <v>0</v>
      </c>
      <c r="BF1074" s="34" t="n">
        <f aca="false">BD1074*M1074</f>
        <v>14980</v>
      </c>
      <c r="BG1074" s="35" t="n">
        <f aca="false">BA1074-BF1074</f>
        <v>36757</v>
      </c>
      <c r="BH1074" s="19" t="str">
        <f aca="false">IF(BG1074=0,"",IF(BG1074&lt;&gt;BA1074,"erreur de calcul",IF(BD1074&lt;&gt;0,"pas de prix",IF(M1074&lt;&gt; 0,"pas de quantité","pas de prix, ni de quantité"))))</f>
        <v>erreur de calcul</v>
      </c>
      <c r="BI1074" s="19" t="s">
        <v>90</v>
      </c>
    </row>
    <row r="1075" customFormat="false" ht="15" hidden="false" customHeight="false" outlineLevel="0" collapsed="false">
      <c r="A1075" s="0" t="n">
        <v>20</v>
      </c>
      <c r="B1075" s="8" t="s">
        <v>24</v>
      </c>
      <c r="C1075" s="9" t="s">
        <v>25</v>
      </c>
      <c r="D1075" s="9" t="s">
        <v>26</v>
      </c>
      <c r="E1075" s="10" t="n">
        <v>1789</v>
      </c>
      <c r="F1075" s="9" t="s">
        <v>27</v>
      </c>
      <c r="G1075" s="9" t="s">
        <v>27</v>
      </c>
      <c r="H1075" s="11" t="n">
        <v>18</v>
      </c>
      <c r="I1075" s="11" t="s">
        <v>91</v>
      </c>
      <c r="J1075" s="14" t="n">
        <v>30</v>
      </c>
      <c r="K1075" s="14"/>
      <c r="L1075" s="16"/>
      <c r="M1075" s="27" t="n">
        <f aca="false">J1075+(K1075/20)+(L1075/240)</f>
        <v>30</v>
      </c>
      <c r="N1075" s="17" t="s">
        <v>64</v>
      </c>
      <c r="O1075" s="11"/>
      <c r="P1075" s="28"/>
      <c r="Q1075" s="28" t="n">
        <f aca="false">P1075*$M1075</f>
        <v>0</v>
      </c>
      <c r="R1075" s="28"/>
      <c r="S1075" s="28" t="n">
        <f aca="false">R1075*$M1075</f>
        <v>0</v>
      </c>
      <c r="T1075" s="28"/>
      <c r="U1075" s="28" t="n">
        <f aca="false">T1075*$M1075</f>
        <v>0</v>
      </c>
      <c r="V1075" s="28" t="n">
        <f aca="false">12300/100</f>
        <v>123</v>
      </c>
      <c r="W1075" s="28" t="n">
        <v>3690</v>
      </c>
      <c r="X1075" s="29"/>
      <c r="Y1075" s="28" t="n">
        <f aca="false">X1075*$M1075</f>
        <v>0</v>
      </c>
      <c r="Z1075" s="28"/>
      <c r="AA1075" s="28" t="n">
        <f aca="false">Z1075*$M1075</f>
        <v>0</v>
      </c>
      <c r="AB1075" s="28" t="n">
        <f aca="false">16277/100</f>
        <v>162.77</v>
      </c>
      <c r="AC1075" s="28" t="n">
        <v>4883</v>
      </c>
      <c r="AD1075" s="28"/>
      <c r="AE1075" s="28" t="n">
        <f aca="false">AD1075*$M1075</f>
        <v>0</v>
      </c>
      <c r="AF1075" s="28"/>
      <c r="AG1075" s="28" t="n">
        <f aca="false">AF1075*$M1075</f>
        <v>0</v>
      </c>
      <c r="AH1075" s="28"/>
      <c r="AI1075" s="28" t="n">
        <f aca="false">AH1075*$M1075</f>
        <v>0</v>
      </c>
      <c r="AJ1075" s="28"/>
      <c r="AK1075" s="28" t="n">
        <f aca="false">AJ1075*$M1075</f>
        <v>0</v>
      </c>
      <c r="AL1075" s="28"/>
      <c r="AM1075" s="28" t="n">
        <f aca="false">AL1075*$M1075</f>
        <v>0</v>
      </c>
      <c r="AN1075" s="28"/>
      <c r="AO1075" s="28" t="n">
        <f aca="false">AN1075*$M1075</f>
        <v>0</v>
      </c>
      <c r="AP1075" s="28"/>
      <c r="AQ1075" s="28" t="n">
        <f aca="false">AP1075*$M1075</f>
        <v>0</v>
      </c>
      <c r="AR1075" s="28"/>
      <c r="AS1075" s="28" t="n">
        <f aca="false">AR1075*$M1075</f>
        <v>0</v>
      </c>
      <c r="AT1075" s="28"/>
      <c r="AU1075" s="28" t="n">
        <f aca="false">AT1075*$M1075</f>
        <v>0</v>
      </c>
      <c r="AV1075" s="28"/>
      <c r="AW1075" s="28" t="n">
        <f aca="false">AV1075*$M1075</f>
        <v>0</v>
      </c>
      <c r="AX1075" s="28"/>
      <c r="AY1075" s="28" t="n">
        <f aca="false">AX1075*$M1075</f>
        <v>0</v>
      </c>
      <c r="AZ1075" s="30" t="n">
        <f aca="false">28577/100</f>
        <v>285.77</v>
      </c>
      <c r="BA1075" s="11" t="n">
        <v>8573</v>
      </c>
      <c r="BB1075" s="31" t="n">
        <f aca="false">SUM(Q1075,S1075,U1075,W1075,Y1075,AA1075,AC1075,AE1075,AG1075,AI1075,AK1075,AM1075,AO1075,AQ1075,AS1075,AU1075,AW1075,AY1075)</f>
        <v>8573</v>
      </c>
      <c r="BC1075" s="28" t="n">
        <f aca="false">BA1075-BB1075</f>
        <v>0</v>
      </c>
      <c r="BD1075" s="32" t="n">
        <f aca="false">SUM(P1075,R1075,T1075,V1075,X1075,Z1075,AB1075,AD1075,AF1075,AH1075,AJ1075,AL1075,AN1075,AP1075,AR1075,AT1075,AV1075,AX1075)</f>
        <v>285.77</v>
      </c>
      <c r="BE1075" s="33" t="n">
        <f aca="false">AZ1075-BD1075</f>
        <v>0</v>
      </c>
      <c r="BF1075" s="34" t="n">
        <f aca="false">BD1075*M1075</f>
        <v>8573.1</v>
      </c>
      <c r="BG1075" s="35" t="n">
        <f aca="false">BA1075-BF1075</f>
        <v>-0.0999999999985448</v>
      </c>
      <c r="BH1075" s="19" t="str">
        <f aca="false">IF(BG1075=0,"",IF(BG1075&lt;&gt;BA1075,"erreur de calcul",IF(BD1075&lt;&gt;0,"pas de prix",IF(M1075&lt;&gt; 0,"pas de quantité","pas de prix, ni de quantité"))))</f>
        <v>erreur de calcul</v>
      </c>
      <c r="BI1075" s="19"/>
    </row>
    <row r="1076" customFormat="false" ht="15" hidden="false" customHeight="false" outlineLevel="0" collapsed="false">
      <c r="A1076" s="0" t="n">
        <v>21</v>
      </c>
      <c r="B1076" s="8" t="s">
        <v>24</v>
      </c>
      <c r="C1076" s="9" t="s">
        <v>25</v>
      </c>
      <c r="D1076" s="9" t="s">
        <v>26</v>
      </c>
      <c r="E1076" s="10" t="n">
        <v>1789</v>
      </c>
      <c r="F1076" s="9" t="s">
        <v>27</v>
      </c>
      <c r="G1076" s="9" t="s">
        <v>27</v>
      </c>
      <c r="H1076" s="11" t="n">
        <v>18</v>
      </c>
      <c r="I1076" s="11" t="s">
        <v>92</v>
      </c>
      <c r="J1076" s="14"/>
      <c r="K1076" s="14" t="n">
        <v>25</v>
      </c>
      <c r="L1076" s="16"/>
      <c r="M1076" s="27" t="n">
        <f aca="false">J1076+(K1076/20)+(L1076/240)</f>
        <v>1.25</v>
      </c>
      <c r="N1076" s="17" t="s">
        <v>81</v>
      </c>
      <c r="O1076" s="11"/>
      <c r="P1076" s="28"/>
      <c r="Q1076" s="28" t="n">
        <f aca="false">P1076*$M1076</f>
        <v>0</v>
      </c>
      <c r="R1076" s="28"/>
      <c r="S1076" s="28" t="n">
        <f aca="false">R1076*$M1076</f>
        <v>0</v>
      </c>
      <c r="T1076" s="28"/>
      <c r="U1076" s="28" t="n">
        <f aca="false">T1076*$M1076</f>
        <v>0</v>
      </c>
      <c r="V1076" s="28" t="n">
        <v>17192</v>
      </c>
      <c r="W1076" s="28" t="n">
        <v>21490</v>
      </c>
      <c r="X1076" s="29"/>
      <c r="Y1076" s="28" t="n">
        <f aca="false">X1076*$M1076</f>
        <v>0</v>
      </c>
      <c r="Z1076" s="28"/>
      <c r="AA1076" s="28" t="n">
        <f aca="false">Z1076*$M1076</f>
        <v>0</v>
      </c>
      <c r="AB1076" s="28"/>
      <c r="AC1076" s="28" t="n">
        <f aca="false">AB1076*$M1076</f>
        <v>0</v>
      </c>
      <c r="AD1076" s="28"/>
      <c r="AE1076" s="28" t="n">
        <f aca="false">AD1076*$M1076</f>
        <v>0</v>
      </c>
      <c r="AF1076" s="28"/>
      <c r="AG1076" s="28" t="n">
        <f aca="false">AF1076*$M1076</f>
        <v>0</v>
      </c>
      <c r="AH1076" s="28"/>
      <c r="AI1076" s="28" t="n">
        <f aca="false">AH1076*$M1076</f>
        <v>0</v>
      </c>
      <c r="AJ1076" s="28"/>
      <c r="AK1076" s="28" t="n">
        <f aca="false">AJ1076*$M1076</f>
        <v>0</v>
      </c>
      <c r="AL1076" s="28"/>
      <c r="AM1076" s="28" t="n">
        <f aca="false">AL1076*$M1076</f>
        <v>0</v>
      </c>
      <c r="AN1076" s="28"/>
      <c r="AO1076" s="28" t="n">
        <f aca="false">AN1076*$M1076</f>
        <v>0</v>
      </c>
      <c r="AP1076" s="28"/>
      <c r="AQ1076" s="28" t="n">
        <f aca="false">AP1076*$M1076</f>
        <v>0</v>
      </c>
      <c r="AR1076" s="28"/>
      <c r="AS1076" s="28" t="n">
        <f aca="false">AR1076*$M1076</f>
        <v>0</v>
      </c>
      <c r="AT1076" s="28"/>
      <c r="AU1076" s="28" t="n">
        <f aca="false">AT1076*$M1076</f>
        <v>0</v>
      </c>
      <c r="AV1076" s="28"/>
      <c r="AW1076" s="28" t="n">
        <f aca="false">AV1076*$M1076</f>
        <v>0</v>
      </c>
      <c r="AX1076" s="28"/>
      <c r="AY1076" s="28" t="n">
        <f aca="false">AX1076*$M1076</f>
        <v>0</v>
      </c>
      <c r="AZ1076" s="30" t="n">
        <v>17192</v>
      </c>
      <c r="BA1076" s="11" t="n">
        <v>21490</v>
      </c>
      <c r="BB1076" s="31" t="n">
        <f aca="false">SUM(Q1076,S1076,U1076,W1076,Y1076,AA1076,AC1076,AE1076,AG1076,AI1076,AK1076,AM1076,AO1076,AQ1076,AS1076,AU1076,AW1076,AY1076)</f>
        <v>21490</v>
      </c>
      <c r="BC1076" s="28" t="n">
        <f aca="false">BA1076-BB1076</f>
        <v>0</v>
      </c>
      <c r="BD1076" s="32" t="n">
        <f aca="false">SUM(P1076,R1076,T1076,V1076,X1076,Z1076,AB1076,AD1076,AF1076,AH1076,AJ1076,AL1076,AN1076,AP1076,AR1076,AT1076,AV1076,AX1076)</f>
        <v>17192</v>
      </c>
      <c r="BE1076" s="33" t="n">
        <f aca="false">AZ1076-BD1076</f>
        <v>0</v>
      </c>
      <c r="BF1076" s="34" t="n">
        <f aca="false">BD1076*M1076</f>
        <v>21490</v>
      </c>
      <c r="BG1076" s="35" t="n">
        <f aca="false">BA1076-BF1076</f>
        <v>0</v>
      </c>
      <c r="BH1076" s="19" t="str">
        <f aca="false">IF(BG1076=0,"",IF(BG1076&lt;&gt;BA1076,"erreur de calcul",IF(BD1076&lt;&gt;0,"pas de prix",IF(M1076&lt;&gt; 0,"pas de quantité","pas de prix, ni de quantité"))))</f>
        <v/>
      </c>
      <c r="BI1076" s="19"/>
    </row>
    <row r="1077" customFormat="false" ht="15" hidden="false" customHeight="false" outlineLevel="0" collapsed="false">
      <c r="A1077" s="0" t="n">
        <v>22</v>
      </c>
      <c r="B1077" s="8" t="s">
        <v>24</v>
      </c>
      <c r="C1077" s="9" t="s">
        <v>25</v>
      </c>
      <c r="D1077" s="9" t="s">
        <v>26</v>
      </c>
      <c r="E1077" s="10" t="n">
        <v>1789</v>
      </c>
      <c r="F1077" s="9" t="s">
        <v>27</v>
      </c>
      <c r="G1077" s="9" t="s">
        <v>27</v>
      </c>
      <c r="H1077" s="11" t="n">
        <v>18</v>
      </c>
      <c r="I1077" s="11" t="s">
        <v>93</v>
      </c>
      <c r="J1077" s="14" t="n">
        <v>4</v>
      </c>
      <c r="K1077" s="14"/>
      <c r="L1077" s="16"/>
      <c r="M1077" s="27" t="n">
        <f aca="false">J1077+(K1077/20)+(L1077/240)</f>
        <v>4</v>
      </c>
      <c r="N1077" s="17" t="s">
        <v>94</v>
      </c>
      <c r="O1077" s="11"/>
      <c r="P1077" s="28"/>
      <c r="Q1077" s="28" t="n">
        <f aca="false">P1077*$M1077</f>
        <v>0</v>
      </c>
      <c r="R1077" s="28"/>
      <c r="S1077" s="28" t="n">
        <f aca="false">R1077*$M1077</f>
        <v>0</v>
      </c>
      <c r="T1077" s="28"/>
      <c r="U1077" s="28" t="n">
        <f aca="false">T1077*$M1077</f>
        <v>0</v>
      </c>
      <c r="V1077" s="28"/>
      <c r="W1077" s="28" t="n">
        <f aca="false">V1077*$M1077</f>
        <v>0</v>
      </c>
      <c r="X1077" s="29"/>
      <c r="Y1077" s="28" t="n">
        <f aca="false">X1077*$M1077</f>
        <v>0</v>
      </c>
      <c r="Z1077" s="28"/>
      <c r="AA1077" s="28" t="n">
        <f aca="false">Z1077*$M1077</f>
        <v>0</v>
      </c>
      <c r="AB1077" s="28"/>
      <c r="AC1077" s="28" t="n">
        <f aca="false">AB1077*$M1077</f>
        <v>0</v>
      </c>
      <c r="AD1077" s="28" t="n">
        <v>900</v>
      </c>
      <c r="AE1077" s="28" t="n">
        <v>3600</v>
      </c>
      <c r="AF1077" s="28"/>
      <c r="AG1077" s="28" t="n">
        <f aca="false">AF1077*$M1077</f>
        <v>0</v>
      </c>
      <c r="AH1077" s="28"/>
      <c r="AI1077" s="28" t="n">
        <f aca="false">AH1077*$M1077</f>
        <v>0</v>
      </c>
      <c r="AJ1077" s="28"/>
      <c r="AK1077" s="28" t="n">
        <f aca="false">AJ1077*$M1077</f>
        <v>0</v>
      </c>
      <c r="AL1077" s="28"/>
      <c r="AM1077" s="28" t="n">
        <f aca="false">AL1077*$M1077</f>
        <v>0</v>
      </c>
      <c r="AN1077" s="28"/>
      <c r="AO1077" s="28" t="n">
        <f aca="false">AN1077*$M1077</f>
        <v>0</v>
      </c>
      <c r="AP1077" s="28" t="n">
        <v>36</v>
      </c>
      <c r="AQ1077" s="28" t="n">
        <v>144</v>
      </c>
      <c r="AR1077" s="28"/>
      <c r="AS1077" s="28" t="n">
        <f aca="false">AR1077*$M1077</f>
        <v>0</v>
      </c>
      <c r="AT1077" s="28"/>
      <c r="AU1077" s="28" t="n">
        <f aca="false">AT1077*$M1077</f>
        <v>0</v>
      </c>
      <c r="AV1077" s="28"/>
      <c r="AW1077" s="28" t="n">
        <f aca="false">AV1077*$M1077</f>
        <v>0</v>
      </c>
      <c r="AX1077" s="28"/>
      <c r="AY1077" s="28" t="n">
        <f aca="false">AX1077*$M1077</f>
        <v>0</v>
      </c>
      <c r="AZ1077" s="30" t="n">
        <v>936</v>
      </c>
      <c r="BA1077" s="11" t="n">
        <v>3744</v>
      </c>
      <c r="BB1077" s="31" t="n">
        <f aca="false">SUM(Q1077,S1077,U1077,W1077,Y1077,AA1077,AC1077,AE1077,AG1077,AI1077,AK1077,AM1077,AO1077,AQ1077,AS1077,AU1077,AW1077,AY1077)</f>
        <v>3744</v>
      </c>
      <c r="BC1077" s="28" t="n">
        <f aca="false">BA1077-BB1077</f>
        <v>0</v>
      </c>
      <c r="BD1077" s="32" t="n">
        <f aca="false">SUM(P1077,R1077,T1077,V1077,X1077,Z1077,AB1077,AD1077,AF1077,AH1077,AJ1077,AL1077,AN1077,AP1077,AR1077,AT1077,AV1077,AX1077)</f>
        <v>936</v>
      </c>
      <c r="BE1077" s="33" t="n">
        <f aca="false">AZ1077-BD1077</f>
        <v>0</v>
      </c>
      <c r="BF1077" s="34" t="n">
        <f aca="false">BD1077*M1077</f>
        <v>3744</v>
      </c>
      <c r="BG1077" s="35" t="n">
        <f aca="false">BA1077-BF1077</f>
        <v>0</v>
      </c>
      <c r="BH1077" s="19" t="str">
        <f aca="false">IF(BG1077=0,"",IF(BG1077&lt;&gt;BA1077,"erreur de calcul",IF(BD1077&lt;&gt;0,"pas de prix",IF(M1077&lt;&gt; 0,"pas de quantité","pas de prix, ni de quantité"))))</f>
        <v/>
      </c>
      <c r="BI1077" s="19"/>
    </row>
    <row r="1078" customFormat="false" ht="15" hidden="false" customHeight="false" outlineLevel="0" collapsed="false">
      <c r="A1078" s="0" t="n">
        <v>23</v>
      </c>
      <c r="B1078" s="8" t="s">
        <v>24</v>
      </c>
      <c r="C1078" s="9" t="s">
        <v>25</v>
      </c>
      <c r="D1078" s="9" t="s">
        <v>26</v>
      </c>
      <c r="E1078" s="10" t="n">
        <v>1789</v>
      </c>
      <c r="F1078" s="9" t="s">
        <v>27</v>
      </c>
      <c r="G1078" s="9" t="s">
        <v>27</v>
      </c>
      <c r="H1078" s="11" t="n">
        <v>18</v>
      </c>
      <c r="I1078" s="11" t="s">
        <v>95</v>
      </c>
      <c r="J1078" s="14" t="n">
        <v>40</v>
      </c>
      <c r="K1078" s="14"/>
      <c r="L1078" s="16"/>
      <c r="M1078" s="27" t="n">
        <f aca="false">J1078+(K1078/20)+(L1078/240)</f>
        <v>40</v>
      </c>
      <c r="N1078" s="17" t="s">
        <v>64</v>
      </c>
      <c r="O1078" s="11"/>
      <c r="P1078" s="28" t="n">
        <f aca="false">16000/100</f>
        <v>160</v>
      </c>
      <c r="Q1078" s="28" t="n">
        <v>6400</v>
      </c>
      <c r="R1078" s="28"/>
      <c r="S1078" s="28" t="n">
        <f aca="false">R1078*$M1078</f>
        <v>0</v>
      </c>
      <c r="T1078" s="28"/>
      <c r="U1078" s="28" t="n">
        <f aca="false">T1078*$M1078</f>
        <v>0</v>
      </c>
      <c r="V1078" s="28"/>
      <c r="W1078" s="28" t="n">
        <f aca="false">V1078*$M1078</f>
        <v>0</v>
      </c>
      <c r="X1078" s="29"/>
      <c r="Y1078" s="28" t="n">
        <f aca="false">X1078*$M1078</f>
        <v>0</v>
      </c>
      <c r="Z1078" s="28"/>
      <c r="AA1078" s="28" t="n">
        <f aca="false">Z1078*$M1078</f>
        <v>0</v>
      </c>
      <c r="AB1078" s="28"/>
      <c r="AC1078" s="28" t="n">
        <f aca="false">AB1078*$M1078</f>
        <v>0</v>
      </c>
      <c r="AD1078" s="28"/>
      <c r="AE1078" s="28" t="n">
        <f aca="false">AD1078*$M1078</f>
        <v>0</v>
      </c>
      <c r="AF1078" s="28"/>
      <c r="AG1078" s="28" t="n">
        <f aca="false">AF1078*$M1078</f>
        <v>0</v>
      </c>
      <c r="AH1078" s="28"/>
      <c r="AI1078" s="28" t="n">
        <f aca="false">AH1078*$M1078</f>
        <v>0</v>
      </c>
      <c r="AJ1078" s="28"/>
      <c r="AK1078" s="28" t="n">
        <f aca="false">AJ1078*$M1078</f>
        <v>0</v>
      </c>
      <c r="AL1078" s="28"/>
      <c r="AM1078" s="28" t="n">
        <f aca="false">AL1078*$M1078</f>
        <v>0</v>
      </c>
      <c r="AN1078" s="28"/>
      <c r="AO1078" s="28" t="n">
        <f aca="false">AN1078*$M1078</f>
        <v>0</v>
      </c>
      <c r="AP1078" s="28"/>
      <c r="AQ1078" s="28" t="n">
        <f aca="false">AP1078*$M1078</f>
        <v>0</v>
      </c>
      <c r="AR1078" s="28"/>
      <c r="AS1078" s="28" t="n">
        <f aca="false">AR1078*$M1078</f>
        <v>0</v>
      </c>
      <c r="AT1078" s="28"/>
      <c r="AU1078" s="28" t="n">
        <f aca="false">AT1078*$M1078</f>
        <v>0</v>
      </c>
      <c r="AV1078" s="28"/>
      <c r="AW1078" s="28" t="n">
        <f aca="false">AV1078*$M1078</f>
        <v>0</v>
      </c>
      <c r="AX1078" s="28"/>
      <c r="AY1078" s="28" t="n">
        <f aca="false">AX1078*$M1078</f>
        <v>0</v>
      </c>
      <c r="AZ1078" s="30" t="n">
        <f aca="false">16000/100</f>
        <v>160</v>
      </c>
      <c r="BA1078" s="11" t="n">
        <v>6400</v>
      </c>
      <c r="BB1078" s="31" t="n">
        <f aca="false">SUM(Q1078,S1078,U1078,W1078,Y1078,AA1078,AC1078,AE1078,AG1078,AI1078,AK1078,AM1078,AO1078,AQ1078,AS1078,AU1078,AW1078,AY1078)</f>
        <v>6400</v>
      </c>
      <c r="BC1078" s="28" t="n">
        <f aca="false">BA1078-BB1078</f>
        <v>0</v>
      </c>
      <c r="BD1078" s="32" t="n">
        <f aca="false">SUM(P1078,R1078,T1078,V1078,X1078,Z1078,AB1078,AD1078,AF1078,AH1078,AJ1078,AL1078,AN1078,AP1078,AR1078,AT1078,AV1078,AX1078)</f>
        <v>160</v>
      </c>
      <c r="BE1078" s="33" t="n">
        <f aca="false">AZ1078-BD1078</f>
        <v>0</v>
      </c>
      <c r="BF1078" s="34" t="n">
        <f aca="false">BD1078*M1078</f>
        <v>6400</v>
      </c>
      <c r="BG1078" s="35" t="n">
        <f aca="false">BA1078-BF1078</f>
        <v>0</v>
      </c>
      <c r="BH1078" s="19" t="str">
        <f aca="false">IF(BG1078=0,"",IF(BG1078&lt;&gt;BA1078,"erreur de calcul",IF(BD1078&lt;&gt;0,"pas de prix",IF(M1078&lt;&gt; 0,"pas de quantité","pas de prix, ni de quantité"))))</f>
        <v/>
      </c>
      <c r="BI1078" s="19"/>
    </row>
    <row r="1079" customFormat="false" ht="15" hidden="false" customHeight="false" outlineLevel="0" collapsed="false">
      <c r="A1079" s="0" t="n">
        <v>24</v>
      </c>
      <c r="B1079" s="8" t="s">
        <v>24</v>
      </c>
      <c r="C1079" s="9" t="s">
        <v>25</v>
      </c>
      <c r="D1079" s="9" t="s">
        <v>26</v>
      </c>
      <c r="E1079" s="10" t="n">
        <v>1789</v>
      </c>
      <c r="F1079" s="9" t="s">
        <v>27</v>
      </c>
      <c r="G1079" s="9" t="s">
        <v>27</v>
      </c>
      <c r="H1079" s="11" t="n">
        <v>18</v>
      </c>
      <c r="I1079" s="11" t="s">
        <v>96</v>
      </c>
      <c r="J1079" s="14" t="n">
        <v>25</v>
      </c>
      <c r="K1079" s="14"/>
      <c r="L1079" s="16"/>
      <c r="M1079" s="27" t="n">
        <f aca="false">J1079+(K1079/20)+(L1079/240)</f>
        <v>25</v>
      </c>
      <c r="N1079" s="17" t="s">
        <v>64</v>
      </c>
      <c r="O1079" s="11"/>
      <c r="P1079" s="28" t="n">
        <f aca="false">968306/100</f>
        <v>9683.06</v>
      </c>
      <c r="Q1079" s="28" t="n">
        <v>242076</v>
      </c>
      <c r="R1079" s="28"/>
      <c r="S1079" s="28" t="n">
        <f aca="false">R1079*$M1079</f>
        <v>0</v>
      </c>
      <c r="T1079" s="28"/>
      <c r="U1079" s="28" t="n">
        <f aca="false">T1079*$M1079</f>
        <v>0</v>
      </c>
      <c r="V1079" s="28" t="n">
        <f aca="false">39234/100</f>
        <v>392.34</v>
      </c>
      <c r="W1079" s="28" t="n">
        <v>9808</v>
      </c>
      <c r="X1079" s="29"/>
      <c r="Y1079" s="28" t="n">
        <v>3410</v>
      </c>
      <c r="Z1079" s="28"/>
      <c r="AA1079" s="28" t="n">
        <f aca="false">Z1079*$M1079</f>
        <v>0</v>
      </c>
      <c r="AB1079" s="28"/>
      <c r="AC1079" s="28" t="n">
        <f aca="false">AB1079*$M1079</f>
        <v>0</v>
      </c>
      <c r="AD1079" s="28"/>
      <c r="AE1079" s="28" t="n">
        <f aca="false">AD1079*$M1079</f>
        <v>0</v>
      </c>
      <c r="AF1079" s="28"/>
      <c r="AG1079" s="28" t="n">
        <f aca="false">AF1079*$M1079</f>
        <v>0</v>
      </c>
      <c r="AH1079" s="28"/>
      <c r="AI1079" s="28" t="n">
        <f aca="false">AH1079*$M1079</f>
        <v>0</v>
      </c>
      <c r="AJ1079" s="28" t="n">
        <f aca="false">2665/100</f>
        <v>26.65</v>
      </c>
      <c r="AK1079" s="28" t="n">
        <v>666</v>
      </c>
      <c r="AL1079" s="28"/>
      <c r="AM1079" s="28" t="n">
        <f aca="false">AL1079*$M1079</f>
        <v>0</v>
      </c>
      <c r="AN1079" s="28"/>
      <c r="AO1079" s="28" t="n">
        <f aca="false">AN1079*$M1079</f>
        <v>0</v>
      </c>
      <c r="AP1079" s="28"/>
      <c r="AQ1079" s="28" t="n">
        <f aca="false">AP1079*$M1079</f>
        <v>0</v>
      </c>
      <c r="AR1079" s="28"/>
      <c r="AS1079" s="28" t="n">
        <f aca="false">AR1079*$M1079</f>
        <v>0</v>
      </c>
      <c r="AT1079" s="28"/>
      <c r="AU1079" s="28" t="n">
        <f aca="false">AT1079*$M1079</f>
        <v>0</v>
      </c>
      <c r="AV1079" s="28"/>
      <c r="AW1079" s="28" t="n">
        <f aca="false">AV1079*$M1079</f>
        <v>0</v>
      </c>
      <c r="AX1079" s="28" t="n">
        <f aca="false">118115/100</f>
        <v>1181.15</v>
      </c>
      <c r="AY1079" s="28" t="n">
        <v>29529</v>
      </c>
      <c r="AZ1079" s="30" t="n">
        <f aca="false">1141960/100</f>
        <v>11419.6</v>
      </c>
      <c r="BA1079" s="11" t="n">
        <v>285489</v>
      </c>
      <c r="BB1079" s="31" t="n">
        <f aca="false">SUM(Q1079,S1079,U1079,W1079,Y1079,AA1079,AC1079,AE1079,AG1079,AI1079,AK1079,AM1079,AO1079,AQ1079,AS1079,AU1079,AW1079,AY1079)</f>
        <v>285489</v>
      </c>
      <c r="BC1079" s="28" t="n">
        <f aca="false">BA1079-BB1079</f>
        <v>0</v>
      </c>
      <c r="BD1079" s="32" t="n">
        <f aca="false">SUM(P1079,R1079,T1079,V1079,X1079,Z1079,AB1079,AD1079,AF1079,AH1079,AJ1079,AL1079,AN1079,AP1079,AR1079,AT1079,AV1079,AX1079)</f>
        <v>11283.2</v>
      </c>
      <c r="BE1079" s="33" t="n">
        <f aca="false">AZ1079-BD1079</f>
        <v>136.400000000001</v>
      </c>
      <c r="BF1079" s="34" t="n">
        <f aca="false">BD1079*M1079</f>
        <v>282080</v>
      </c>
      <c r="BG1079" s="35" t="n">
        <f aca="false">BA1079-BF1079</f>
        <v>3409</v>
      </c>
      <c r="BH1079" s="19" t="str">
        <f aca="false">IF(BG1079=0,"",IF(BG1079&lt;&gt;BA1079,"erreur de calcul",IF(BD1079&lt;&gt;0,"pas de prix",IF(M1079&lt;&gt; 0,"pas de quantité","pas de prix, ni de quantité"))))</f>
        <v>erreur de calcul</v>
      </c>
      <c r="BI1079" s="19"/>
    </row>
    <row r="1080" customFormat="false" ht="15" hidden="false" customHeight="false" outlineLevel="0" collapsed="false">
      <c r="A1080" s="0" t="n">
        <v>25</v>
      </c>
      <c r="B1080" s="8" t="s">
        <v>24</v>
      </c>
      <c r="C1080" s="9" t="s">
        <v>25</v>
      </c>
      <c r="D1080" s="9" t="s">
        <v>26</v>
      </c>
      <c r="E1080" s="10" t="n">
        <v>1789</v>
      </c>
      <c r="F1080" s="9" t="s">
        <v>27</v>
      </c>
      <c r="G1080" s="9" t="s">
        <v>27</v>
      </c>
      <c r="H1080" s="11" t="n">
        <v>18</v>
      </c>
      <c r="I1080" s="11" t="s">
        <v>97</v>
      </c>
      <c r="J1080" s="14" t="n">
        <v>30</v>
      </c>
      <c r="K1080" s="14"/>
      <c r="L1080" s="16"/>
      <c r="M1080" s="27" t="n">
        <f aca="false">J1080+(K1080/20)+(L1080/240)</f>
        <v>30</v>
      </c>
      <c r="N1080" s="17" t="s">
        <v>64</v>
      </c>
      <c r="O1080" s="11" t="s">
        <v>98</v>
      </c>
      <c r="P1080" s="28"/>
      <c r="Q1080" s="28" t="n">
        <f aca="false">P1080*$M1080</f>
        <v>0</v>
      </c>
      <c r="R1080" s="28"/>
      <c r="S1080" s="28" t="n">
        <f aca="false">R1080*$M1080</f>
        <v>0</v>
      </c>
      <c r="T1080" s="28"/>
      <c r="U1080" s="28" t="n">
        <f aca="false">T1080*$M1080</f>
        <v>0</v>
      </c>
      <c r="V1080" s="28"/>
      <c r="W1080" s="28" t="n">
        <f aca="false">V1080*$M1080</f>
        <v>0</v>
      </c>
      <c r="X1080" s="29"/>
      <c r="Y1080" s="28" t="n">
        <f aca="false">X1080*$M1080</f>
        <v>0</v>
      </c>
      <c r="Z1080" s="28"/>
      <c r="AA1080" s="28" t="n">
        <f aca="false">Z1080*$M1080</f>
        <v>0</v>
      </c>
      <c r="AB1080" s="28"/>
      <c r="AC1080" s="28" t="n">
        <f aca="false">AB1080*$M1080</f>
        <v>0</v>
      </c>
      <c r="AD1080" s="28"/>
      <c r="AE1080" s="28" t="n">
        <f aca="false">AD1080*$M1080</f>
        <v>0</v>
      </c>
      <c r="AF1080" s="28"/>
      <c r="AG1080" s="28" t="n">
        <f aca="false">AF1080*$M1080</f>
        <v>0</v>
      </c>
      <c r="AH1080" s="28"/>
      <c r="AI1080" s="28" t="n">
        <f aca="false">AH1080*$M1080</f>
        <v>0</v>
      </c>
      <c r="AJ1080" s="28"/>
      <c r="AK1080" s="28" t="n">
        <f aca="false">AJ1080*$M1080</f>
        <v>0</v>
      </c>
      <c r="AL1080" s="28"/>
      <c r="AM1080" s="28" t="n">
        <f aca="false">AL1080*$M1080</f>
        <v>0</v>
      </c>
      <c r="AN1080" s="28"/>
      <c r="AO1080" s="28" t="n">
        <f aca="false">AN1080*$M1080</f>
        <v>0</v>
      </c>
      <c r="AP1080" s="28"/>
      <c r="AQ1080" s="28" t="n">
        <f aca="false">AP1080*$M1080</f>
        <v>0</v>
      </c>
      <c r="AR1080" s="28"/>
      <c r="AS1080" s="28" t="n">
        <f aca="false">AR1080*$M1080</f>
        <v>0</v>
      </c>
      <c r="AT1080" s="28"/>
      <c r="AU1080" s="28" t="n">
        <f aca="false">AT1080*$M1080</f>
        <v>0</v>
      </c>
      <c r="AV1080" s="28"/>
      <c r="AW1080" s="28" t="n">
        <f aca="false">AV1080*$M1080</f>
        <v>0</v>
      </c>
      <c r="AX1080" s="28"/>
      <c r="AY1080" s="28" t="n">
        <f aca="false">AX1080*$M1080</f>
        <v>0</v>
      </c>
      <c r="AZ1080" s="30"/>
      <c r="BA1080" s="11"/>
      <c r="BB1080" s="31" t="n">
        <f aca="false">SUM(Q1080,S1080,U1080,W1080,Y1080,AA1080,AC1080,AE1080,AG1080,AI1080,AK1080,AM1080,AO1080,AQ1080,AS1080,AU1080,AW1080,AY1080)</f>
        <v>0</v>
      </c>
      <c r="BC1080" s="28" t="n">
        <f aca="false">BA1080-BB1080</f>
        <v>0</v>
      </c>
      <c r="BD1080" s="32" t="n">
        <f aca="false">SUM(P1080,R1080,T1080,V1080,X1080,Z1080,AB1080,AD1080,AF1080,AH1080,AJ1080,AL1080,AN1080,AP1080,AR1080,AT1080,AV1080,AX1080)</f>
        <v>0</v>
      </c>
      <c r="BE1080" s="33" t="n">
        <f aca="false">AZ1080-BD1080</f>
        <v>0</v>
      </c>
      <c r="BF1080" s="34" t="n">
        <f aca="false">BD1080*M1080</f>
        <v>0</v>
      </c>
      <c r="BG1080" s="35" t="n">
        <f aca="false">BA1080-BF1080</f>
        <v>0</v>
      </c>
      <c r="BH1080" s="19" t="str">
        <f aca="false">IF(BG1080=0,"",IF(BG1080&lt;&gt;BA1080,"erreur de calcul",IF(BD1080&lt;&gt;0,"pas de prix",IF(M1080&lt;&gt; 0,"pas de quantité","pas de prix, ni de quantité"))))</f>
        <v/>
      </c>
      <c r="BI1080" s="19"/>
    </row>
    <row r="1081" customFormat="false" ht="15" hidden="false" customHeight="false" outlineLevel="0" collapsed="false">
      <c r="A1081" s="0" t="n">
        <v>26</v>
      </c>
      <c r="B1081" s="8" t="s">
        <v>24</v>
      </c>
      <c r="C1081" s="9" t="s">
        <v>25</v>
      </c>
      <c r="D1081" s="9" t="s">
        <v>26</v>
      </c>
      <c r="E1081" s="10" t="n">
        <v>1789</v>
      </c>
      <c r="F1081" s="9" t="s">
        <v>27</v>
      </c>
      <c r="G1081" s="9" t="s">
        <v>27</v>
      </c>
      <c r="H1081" s="11" t="n">
        <v>18</v>
      </c>
      <c r="I1081" s="11" t="s">
        <v>99</v>
      </c>
      <c r="J1081" s="14" t="n">
        <v>12</v>
      </c>
      <c r="K1081" s="14"/>
      <c r="L1081" s="16"/>
      <c r="M1081" s="27" t="n">
        <f aca="false">J1081+(K1081/20)+(L1081/240)</f>
        <v>12</v>
      </c>
      <c r="N1081" s="17" t="s">
        <v>64</v>
      </c>
      <c r="O1081" s="11"/>
      <c r="P1081" s="28" t="n">
        <f aca="false">7077/100</f>
        <v>70.77</v>
      </c>
      <c r="Q1081" s="28" t="n">
        <v>849</v>
      </c>
      <c r="R1081" s="28"/>
      <c r="S1081" s="28" t="n">
        <f aca="false">R1081*$M1081</f>
        <v>0</v>
      </c>
      <c r="T1081" s="28"/>
      <c r="U1081" s="28" t="n">
        <f aca="false">T1081*$M1081</f>
        <v>0</v>
      </c>
      <c r="V1081" s="28"/>
      <c r="W1081" s="28" t="n">
        <f aca="false">V1081*$M1081</f>
        <v>0</v>
      </c>
      <c r="X1081" s="29"/>
      <c r="Y1081" s="28" t="n">
        <v>866</v>
      </c>
      <c r="Z1081" s="28"/>
      <c r="AA1081" s="28" t="n">
        <f aca="false">Z1081*$M1081</f>
        <v>0</v>
      </c>
      <c r="AB1081" s="28"/>
      <c r="AC1081" s="28" t="n">
        <f aca="false">AB1081*$M1081</f>
        <v>0</v>
      </c>
      <c r="AD1081" s="28"/>
      <c r="AE1081" s="28" t="n">
        <f aca="false">AD1081*$M1081</f>
        <v>0</v>
      </c>
      <c r="AF1081" s="28"/>
      <c r="AG1081" s="28" t="n">
        <f aca="false">AF1081*$M1081</f>
        <v>0</v>
      </c>
      <c r="AH1081" s="28"/>
      <c r="AI1081" s="28" t="n">
        <f aca="false">AH1081*$M1081</f>
        <v>0</v>
      </c>
      <c r="AJ1081" s="28"/>
      <c r="AK1081" s="28" t="n">
        <f aca="false">AJ1081*$M1081</f>
        <v>0</v>
      </c>
      <c r="AL1081" s="28"/>
      <c r="AM1081" s="28" t="n">
        <f aca="false">AL1081*$M1081</f>
        <v>0</v>
      </c>
      <c r="AN1081" s="28"/>
      <c r="AO1081" s="28" t="n">
        <f aca="false">AN1081*$M1081</f>
        <v>0</v>
      </c>
      <c r="AP1081" s="28"/>
      <c r="AQ1081" s="28" t="n">
        <f aca="false">AP1081*$M1081</f>
        <v>0</v>
      </c>
      <c r="AR1081" s="28"/>
      <c r="AS1081" s="28" t="n">
        <f aca="false">AR1081*$M1081</f>
        <v>0</v>
      </c>
      <c r="AT1081" s="28"/>
      <c r="AU1081" s="28" t="n">
        <f aca="false">AT1081*$M1081</f>
        <v>0</v>
      </c>
      <c r="AV1081" s="28"/>
      <c r="AW1081" s="28" t="n">
        <f aca="false">AV1081*$M1081</f>
        <v>0</v>
      </c>
      <c r="AX1081" s="28"/>
      <c r="AY1081" s="28" t="n">
        <f aca="false">AX1081*$M1081</f>
        <v>0</v>
      </c>
      <c r="AZ1081" s="30" t="n">
        <f aca="false">14294/100</f>
        <v>142.94</v>
      </c>
      <c r="BA1081" s="11" t="n">
        <v>1715</v>
      </c>
      <c r="BB1081" s="31" t="n">
        <f aca="false">SUM(Q1081,S1081,U1081,W1081,Y1081,AA1081,AC1081,AE1081,AG1081,AI1081,AK1081,AM1081,AO1081,AQ1081,AS1081,AU1081,AW1081,AY1081)</f>
        <v>1715</v>
      </c>
      <c r="BC1081" s="28" t="n">
        <f aca="false">BA1081-BB1081</f>
        <v>0</v>
      </c>
      <c r="BD1081" s="32" t="n">
        <f aca="false">SUM(P1081,R1081,T1081,V1081,X1081,Z1081,AB1081,AD1081,AF1081,AH1081,AJ1081,AL1081,AN1081,AP1081,AR1081,AT1081,AV1081,AX1081)</f>
        <v>70.77</v>
      </c>
      <c r="BE1081" s="33" t="n">
        <f aca="false">AZ1081-BD1081</f>
        <v>72.17</v>
      </c>
      <c r="BF1081" s="34" t="n">
        <f aca="false">BD1081*M1081</f>
        <v>849.24</v>
      </c>
      <c r="BG1081" s="35" t="n">
        <f aca="false">BA1081-BF1081</f>
        <v>865.76</v>
      </c>
      <c r="BH1081" s="19" t="str">
        <f aca="false">IF(BG1081=0,"",IF(BG1081&lt;&gt;BA1081,"erreur de calcul",IF(BD1081&lt;&gt;0,"pas de prix",IF(M1081&lt;&gt; 0,"pas de quantité","pas de prix, ni de quantité"))))</f>
        <v>erreur de calcul</v>
      </c>
      <c r="BI1081" s="19"/>
    </row>
    <row r="1082" customFormat="false" ht="15" hidden="false" customHeight="false" outlineLevel="0" collapsed="false">
      <c r="A1082" s="0" t="n">
        <v>27</v>
      </c>
      <c r="B1082" s="8" t="s">
        <v>24</v>
      </c>
      <c r="C1082" s="9" t="s">
        <v>25</v>
      </c>
      <c r="D1082" s="9" t="s">
        <v>26</v>
      </c>
      <c r="E1082" s="10" t="n">
        <v>1789</v>
      </c>
      <c r="F1082" s="9" t="s">
        <v>27</v>
      </c>
      <c r="G1082" s="9" t="s">
        <v>27</v>
      </c>
      <c r="H1082" s="11" t="n">
        <v>18</v>
      </c>
      <c r="I1082" s="11" t="s">
        <v>100</v>
      </c>
      <c r="J1082" s="14" t="n">
        <v>13</v>
      </c>
      <c r="K1082" s="14"/>
      <c r="L1082" s="16"/>
      <c r="M1082" s="27" t="n">
        <f aca="false">J1082+(K1082/20)+(L1082/240)</f>
        <v>13</v>
      </c>
      <c r="N1082" s="17" t="s">
        <v>64</v>
      </c>
      <c r="O1082" s="11"/>
      <c r="P1082" s="28"/>
      <c r="Q1082" s="28" t="n">
        <f aca="false">P1082*$M1082</f>
        <v>0</v>
      </c>
      <c r="R1082" s="28"/>
      <c r="S1082" s="28" t="n">
        <f aca="false">R1082*$M1082</f>
        <v>0</v>
      </c>
      <c r="T1082" s="28"/>
      <c r="U1082" s="28" t="n">
        <f aca="false">T1082*$M1082</f>
        <v>0</v>
      </c>
      <c r="V1082" s="28"/>
      <c r="W1082" s="28" t="n">
        <f aca="false">V1082*$M1082</f>
        <v>0</v>
      </c>
      <c r="X1082" s="29"/>
      <c r="Y1082" s="28" t="n">
        <f aca="false">X1082*$M1082</f>
        <v>0</v>
      </c>
      <c r="Z1082" s="28"/>
      <c r="AA1082" s="28" t="n">
        <f aca="false">Z1082*$M1082</f>
        <v>0</v>
      </c>
      <c r="AB1082" s="28"/>
      <c r="AC1082" s="28" t="n">
        <f aca="false">AB1082*$M1082</f>
        <v>0</v>
      </c>
      <c r="AD1082" s="28"/>
      <c r="AE1082" s="28" t="n">
        <f aca="false">AD1082*$M1082</f>
        <v>0</v>
      </c>
      <c r="AF1082" s="28"/>
      <c r="AG1082" s="28" t="n">
        <f aca="false">AF1082*$M1082</f>
        <v>0</v>
      </c>
      <c r="AH1082" s="28" t="n">
        <f aca="false">7819/100</f>
        <v>78.19</v>
      </c>
      <c r="AI1082" s="28" t="n">
        <v>1016</v>
      </c>
      <c r="AJ1082" s="28" t="n">
        <f aca="false">10382/100</f>
        <v>103.82</v>
      </c>
      <c r="AK1082" s="28" t="n">
        <v>1350</v>
      </c>
      <c r="AL1082" s="28"/>
      <c r="AM1082" s="28" t="n">
        <f aca="false">AL1082*$M1082</f>
        <v>0</v>
      </c>
      <c r="AN1082" s="28"/>
      <c r="AO1082" s="28" t="n">
        <f aca="false">AN1082*$M1082</f>
        <v>0</v>
      </c>
      <c r="AP1082" s="28"/>
      <c r="AQ1082" s="28" t="n">
        <f aca="false">AP1082*$M1082</f>
        <v>0</v>
      </c>
      <c r="AR1082" s="28"/>
      <c r="AS1082" s="28" t="n">
        <f aca="false">AR1082*$M1082</f>
        <v>0</v>
      </c>
      <c r="AT1082" s="28"/>
      <c r="AU1082" s="28" t="n">
        <f aca="false">AT1082*$M1082</f>
        <v>0</v>
      </c>
      <c r="AV1082" s="28"/>
      <c r="AW1082" s="28" t="n">
        <f aca="false">AV1082*$M1082</f>
        <v>0</v>
      </c>
      <c r="AX1082" s="28"/>
      <c r="AY1082" s="28" t="n">
        <f aca="false">AX1082*$M1082</f>
        <v>0</v>
      </c>
      <c r="AZ1082" s="30" t="n">
        <f aca="false">18201/100</f>
        <v>182.01</v>
      </c>
      <c r="BA1082" s="11" t="n">
        <v>2366</v>
      </c>
      <c r="BB1082" s="31" t="n">
        <f aca="false">SUM(Q1082,S1082,U1082,W1082,Y1082,AA1082,AC1082,AE1082,AG1082,AI1082,AK1082,AM1082,AO1082,AQ1082,AS1082,AU1082,AW1082,AY1082)</f>
        <v>2366</v>
      </c>
      <c r="BC1082" s="28" t="n">
        <f aca="false">BA1082-BB1082</f>
        <v>0</v>
      </c>
      <c r="BD1082" s="32" t="n">
        <f aca="false">SUM(P1082,R1082,T1082,V1082,X1082,Z1082,AB1082,AD1082,AF1082,AH1082,AJ1082,AL1082,AN1082,AP1082,AR1082,AT1082,AV1082,AX1082)</f>
        <v>182.01</v>
      </c>
      <c r="BE1082" s="33" t="n">
        <f aca="false">AZ1082-BD1082</f>
        <v>0</v>
      </c>
      <c r="BF1082" s="34" t="n">
        <f aca="false">BD1082*M1082</f>
        <v>2366.13</v>
      </c>
      <c r="BG1082" s="35" t="n">
        <f aca="false">BA1082-BF1082</f>
        <v>-0.130000000000109</v>
      </c>
      <c r="BH1082" s="19" t="str">
        <f aca="false">IF(BG1082=0,"",IF(BG1082&lt;&gt;BA1082,"erreur de calcul",IF(BD1082&lt;&gt;0,"pas de prix",IF(M1082&lt;&gt; 0,"pas de quantité","pas de prix, ni de quantité"))))</f>
        <v>erreur de calcul</v>
      </c>
      <c r="BI1082" s="19"/>
    </row>
    <row r="1083" customFormat="false" ht="15" hidden="false" customHeight="false" outlineLevel="0" collapsed="false">
      <c r="A1083" s="0" t="n">
        <v>28</v>
      </c>
      <c r="B1083" s="8" t="s">
        <v>24</v>
      </c>
      <c r="C1083" s="9" t="s">
        <v>25</v>
      </c>
      <c r="D1083" s="9" t="s">
        <v>26</v>
      </c>
      <c r="E1083" s="10" t="n">
        <v>1789</v>
      </c>
      <c r="F1083" s="9" t="s">
        <v>27</v>
      </c>
      <c r="G1083" s="9" t="s">
        <v>27</v>
      </c>
      <c r="H1083" s="11" t="n">
        <v>18</v>
      </c>
      <c r="I1083" s="11" t="s">
        <v>101</v>
      </c>
      <c r="J1083" s="14" t="n">
        <v>35</v>
      </c>
      <c r="K1083" s="14"/>
      <c r="L1083" s="16"/>
      <c r="M1083" s="27" t="n">
        <f aca="false">J1083+(K1083/20)+(L1083/240)</f>
        <v>35</v>
      </c>
      <c r="N1083" s="17" t="s">
        <v>64</v>
      </c>
      <c r="O1083" s="11"/>
      <c r="P1083" s="28"/>
      <c r="Q1083" s="28" t="n">
        <f aca="false">P1083*$M1083</f>
        <v>0</v>
      </c>
      <c r="R1083" s="28"/>
      <c r="S1083" s="28" t="n">
        <f aca="false">R1083*$M1083</f>
        <v>0</v>
      </c>
      <c r="T1083" s="28"/>
      <c r="U1083" s="28" t="n">
        <f aca="false">T1083*$M1083</f>
        <v>0</v>
      </c>
      <c r="V1083" s="28"/>
      <c r="W1083" s="28" t="n">
        <f aca="false">V1083*$M1083</f>
        <v>0</v>
      </c>
      <c r="X1083" s="29"/>
      <c r="Y1083" s="28" t="n">
        <f aca="false">X1083*$M1083</f>
        <v>0</v>
      </c>
      <c r="Z1083" s="28"/>
      <c r="AA1083" s="28" t="n">
        <f aca="false">Z1083*$M1083</f>
        <v>0</v>
      </c>
      <c r="AB1083" s="28"/>
      <c r="AC1083" s="28" t="n">
        <f aca="false">AB1083*$M1083</f>
        <v>0</v>
      </c>
      <c r="AD1083" s="28"/>
      <c r="AE1083" s="28" t="n">
        <f aca="false">AD1083*$M1083</f>
        <v>0</v>
      </c>
      <c r="AF1083" s="28"/>
      <c r="AG1083" s="28" t="n">
        <f aca="false">AF1083*$M1083</f>
        <v>0</v>
      </c>
      <c r="AH1083" s="28"/>
      <c r="AI1083" s="28" t="n">
        <f aca="false">AH1083*$M1083</f>
        <v>0</v>
      </c>
      <c r="AJ1083" s="28" t="n">
        <f aca="false">65277/100</f>
        <v>652.77</v>
      </c>
      <c r="AK1083" s="28" t="n">
        <v>22847</v>
      </c>
      <c r="AL1083" s="28"/>
      <c r="AM1083" s="28" t="n">
        <f aca="false">AL1083*$M1083</f>
        <v>0</v>
      </c>
      <c r="AN1083" s="28"/>
      <c r="AO1083" s="28" t="n">
        <f aca="false">AN1083*$M1083</f>
        <v>0</v>
      </c>
      <c r="AP1083" s="28"/>
      <c r="AQ1083" s="28" t="n">
        <f aca="false">AP1083*$M1083</f>
        <v>0</v>
      </c>
      <c r="AR1083" s="28"/>
      <c r="AS1083" s="28" t="n">
        <f aca="false">AR1083*$M1083</f>
        <v>0</v>
      </c>
      <c r="AT1083" s="28"/>
      <c r="AU1083" s="28" t="n">
        <f aca="false">AT1083*$M1083</f>
        <v>0</v>
      </c>
      <c r="AV1083" s="28"/>
      <c r="AW1083" s="28" t="n">
        <f aca="false">AV1083*$M1083</f>
        <v>0</v>
      </c>
      <c r="AX1083" s="28"/>
      <c r="AY1083" s="28" t="n">
        <f aca="false">AX1083*$M1083</f>
        <v>0</v>
      </c>
      <c r="AZ1083" s="30" t="n">
        <f aca="false">65277/100</f>
        <v>652.77</v>
      </c>
      <c r="BA1083" s="11" t="n">
        <v>22847</v>
      </c>
      <c r="BB1083" s="31" t="n">
        <f aca="false">SUM(Q1083,S1083,U1083,W1083,Y1083,AA1083,AC1083,AE1083,AG1083,AI1083,AK1083,AM1083,AO1083,AQ1083,AS1083,AU1083,AW1083,AY1083)</f>
        <v>22847</v>
      </c>
      <c r="BC1083" s="28" t="n">
        <f aca="false">BA1083-BB1083</f>
        <v>0</v>
      </c>
      <c r="BD1083" s="32" t="n">
        <f aca="false">SUM(P1083,R1083,T1083,V1083,X1083,Z1083,AB1083,AD1083,AF1083,AH1083,AJ1083,AL1083,AN1083,AP1083,AR1083,AT1083,AV1083,AX1083)</f>
        <v>652.77</v>
      </c>
      <c r="BE1083" s="33" t="n">
        <f aca="false">AZ1083-BD1083</f>
        <v>0</v>
      </c>
      <c r="BF1083" s="34" t="n">
        <f aca="false">BD1083*M1083</f>
        <v>22846.95</v>
      </c>
      <c r="BG1083" s="35" t="n">
        <f aca="false">BA1083-BF1083</f>
        <v>0.0499999999992724</v>
      </c>
      <c r="BH1083" s="19" t="str">
        <f aca="false">IF(BG1083=0,"",IF(BG1083&lt;&gt;BA1083,"erreur de calcul",IF(BD1083&lt;&gt;0,"pas de prix",IF(M1083&lt;&gt; 0,"pas de quantité","pas de prix, ni de quantité"))))</f>
        <v>erreur de calcul</v>
      </c>
      <c r="BI1083" s="19"/>
    </row>
    <row r="1084" customFormat="false" ht="16.65" hidden="false" customHeight="false" outlineLevel="0" collapsed="false">
      <c r="A1084" s="0" t="n">
        <v>29</v>
      </c>
      <c r="B1084" s="8" t="s">
        <v>24</v>
      </c>
      <c r="C1084" s="9" t="s">
        <v>25</v>
      </c>
      <c r="D1084" s="9" t="s">
        <v>26</v>
      </c>
      <c r="E1084" s="10" t="n">
        <v>1789</v>
      </c>
      <c r="F1084" s="9" t="s">
        <v>27</v>
      </c>
      <c r="G1084" s="9" t="s">
        <v>27</v>
      </c>
      <c r="H1084" s="11" t="n">
        <v>18</v>
      </c>
      <c r="I1084" s="11" t="s">
        <v>102</v>
      </c>
      <c r="J1084" s="14" t="n">
        <v>47</v>
      </c>
      <c r="K1084" s="14"/>
      <c r="L1084" s="16"/>
      <c r="M1084" s="27" t="n">
        <f aca="false">J1084+(K1084/20)+(L1084/240)</f>
        <v>47</v>
      </c>
      <c r="N1084" s="17" t="s">
        <v>64</v>
      </c>
      <c r="O1084" s="11"/>
      <c r="P1084" s="28" t="n">
        <f aca="false">8467/100</f>
        <v>84.67</v>
      </c>
      <c r="Q1084" s="28" t="n">
        <v>3979</v>
      </c>
      <c r="R1084" s="28"/>
      <c r="S1084" s="28" t="n">
        <f aca="false">R1084*$M1084</f>
        <v>0</v>
      </c>
      <c r="T1084" s="28"/>
      <c r="U1084" s="28" t="n">
        <f aca="false">T1084*$M1084</f>
        <v>0</v>
      </c>
      <c r="V1084" s="28"/>
      <c r="W1084" s="28" t="n">
        <f aca="false">V1084*$M1084</f>
        <v>0</v>
      </c>
      <c r="X1084" s="29"/>
      <c r="Y1084" s="28" t="n">
        <f aca="false">X1084*$M1084</f>
        <v>0</v>
      </c>
      <c r="Z1084" s="28"/>
      <c r="AA1084" s="28" t="n">
        <f aca="false">Z1084*$M1084</f>
        <v>0</v>
      </c>
      <c r="AB1084" s="28"/>
      <c r="AC1084" s="28" t="n">
        <f aca="false">AB1084*$M1084</f>
        <v>0</v>
      </c>
      <c r="AD1084" s="28"/>
      <c r="AE1084" s="28" t="n">
        <f aca="false">AD1084*$M1084</f>
        <v>0</v>
      </c>
      <c r="AF1084" s="28"/>
      <c r="AG1084" s="28" t="n">
        <f aca="false">AF1084*$M1084</f>
        <v>0</v>
      </c>
      <c r="AH1084" s="28"/>
      <c r="AI1084" s="28" t="n">
        <f aca="false">AH1084*$M1084</f>
        <v>0</v>
      </c>
      <c r="AJ1084" s="28"/>
      <c r="AK1084" s="28" t="n">
        <f aca="false">AJ1084*$M1084</f>
        <v>0</v>
      </c>
      <c r="AL1084" s="28"/>
      <c r="AM1084" s="28" t="n">
        <f aca="false">AL1084*$M1084</f>
        <v>0</v>
      </c>
      <c r="AN1084" s="28"/>
      <c r="AO1084" s="28" t="n">
        <f aca="false">AN1084*$M1084</f>
        <v>0</v>
      </c>
      <c r="AP1084" s="28"/>
      <c r="AQ1084" s="28" t="n">
        <f aca="false">AP1084*$M1084</f>
        <v>0</v>
      </c>
      <c r="AR1084" s="28"/>
      <c r="AS1084" s="28" t="n">
        <f aca="false">AR1084*$M1084</f>
        <v>0</v>
      </c>
      <c r="AT1084" s="28"/>
      <c r="AU1084" s="28" t="n">
        <f aca="false">AT1084*$M1084</f>
        <v>0</v>
      </c>
      <c r="AV1084" s="28"/>
      <c r="AW1084" s="28" t="n">
        <f aca="false">AV1084*$M1084</f>
        <v>0</v>
      </c>
      <c r="AX1084" s="28"/>
      <c r="AY1084" s="28" t="n">
        <f aca="false">AX1084*$M1084</f>
        <v>0</v>
      </c>
      <c r="AZ1084" s="30" t="n">
        <f aca="false">8467/100</f>
        <v>84.67</v>
      </c>
      <c r="BA1084" s="11" t="n">
        <v>3979</v>
      </c>
      <c r="BB1084" s="31" t="n">
        <f aca="false">SUM(Q1084,S1084,U1084,W1084,Y1084,AA1084,AC1084,AE1084,AG1084,AI1084,AK1084,AM1084,AO1084,AQ1084,AS1084,AU1084,AW1084,AY1084)</f>
        <v>3979</v>
      </c>
      <c r="BC1084" s="28" t="n">
        <f aca="false">BA1084-BB1084</f>
        <v>0</v>
      </c>
      <c r="BD1084" s="32" t="n">
        <f aca="false">SUM(P1084,R1084,T1084,V1084,X1084,Z1084,AB1084,AD1084,AF1084,AH1084,AJ1084,AL1084,AN1084,AP1084,AR1084,AT1084,AV1084,AX1084)</f>
        <v>84.67</v>
      </c>
      <c r="BE1084" s="33" t="n">
        <f aca="false">AZ1084-BD1084</f>
        <v>0</v>
      </c>
      <c r="BF1084" s="34" t="n">
        <f aca="false">BD1084*M1084</f>
        <v>3979.49</v>
      </c>
      <c r="BG1084" s="35" t="n">
        <f aca="false">BA1084-BF1084</f>
        <v>-0.490000000000237</v>
      </c>
      <c r="BH1084" s="19" t="str">
        <f aca="false">IF(BG1084=0,"",IF(BG1084&lt;&gt;BA1084,"erreur de calcul",IF(BD1084&lt;&gt;0,"pas de prix",IF(M1084&lt;&gt; 0,"pas de quantité","pas de prix, ni de quantité"))))</f>
        <v>erreur de calcul</v>
      </c>
      <c r="BI1084" s="19"/>
    </row>
    <row r="1085" customFormat="false" ht="15" hidden="false" customHeight="false" outlineLevel="0" collapsed="false">
      <c r="A1085" s="0" t="n">
        <v>30</v>
      </c>
      <c r="B1085" s="8" t="s">
        <v>24</v>
      </c>
      <c r="C1085" s="9" t="s">
        <v>25</v>
      </c>
      <c r="D1085" s="9" t="s">
        <v>26</v>
      </c>
      <c r="E1085" s="10" t="n">
        <v>1789</v>
      </c>
      <c r="F1085" s="9" t="s">
        <v>27</v>
      </c>
      <c r="G1085" s="9" t="s">
        <v>27</v>
      </c>
      <c r="H1085" s="11" t="n">
        <v>18</v>
      </c>
      <c r="I1085" s="11" t="s">
        <v>103</v>
      </c>
      <c r="J1085" s="14" t="n">
        <v>475</v>
      </c>
      <c r="K1085" s="14"/>
      <c r="L1085" s="16"/>
      <c r="M1085" s="27" t="n">
        <f aca="false">J1085+(K1085/20)+(L1085/240)</f>
        <v>475</v>
      </c>
      <c r="N1085" s="17" t="s">
        <v>64</v>
      </c>
      <c r="O1085" s="11"/>
      <c r="P1085" s="28"/>
      <c r="Q1085" s="28" t="n">
        <f aca="false">P1085*$M1085</f>
        <v>0</v>
      </c>
      <c r="R1085" s="28"/>
      <c r="S1085" s="28" t="n">
        <f aca="false">R1085*$M1085</f>
        <v>0</v>
      </c>
      <c r="T1085" s="28" t="n">
        <f aca="false">1746/100</f>
        <v>17.46</v>
      </c>
      <c r="U1085" s="28" t="n">
        <v>8293</v>
      </c>
      <c r="V1085" s="28"/>
      <c r="W1085" s="28" t="n">
        <f aca="false">V1085*$M1085</f>
        <v>0</v>
      </c>
      <c r="X1085" s="29"/>
      <c r="Y1085" s="28" t="n">
        <f aca="false">X1085*$M1085</f>
        <v>0</v>
      </c>
      <c r="Z1085" s="28"/>
      <c r="AA1085" s="28" t="n">
        <f aca="false">Z1085*$M1085</f>
        <v>0</v>
      </c>
      <c r="AB1085" s="28"/>
      <c r="AC1085" s="28" t="n">
        <f aca="false">AB1085*$M1085</f>
        <v>0</v>
      </c>
      <c r="AD1085" s="28"/>
      <c r="AE1085" s="28" t="n">
        <f aca="false">AD1085*$M1085</f>
        <v>0</v>
      </c>
      <c r="AF1085" s="28"/>
      <c r="AG1085" s="28" t="n">
        <f aca="false">AF1085*$M1085</f>
        <v>0</v>
      </c>
      <c r="AH1085" s="28" t="n">
        <f aca="false">1667/100</f>
        <v>16.67</v>
      </c>
      <c r="AI1085" s="28" t="n">
        <v>7918</v>
      </c>
      <c r="AJ1085" s="28"/>
      <c r="AK1085" s="28" t="n">
        <f aca="false">AJ1085*$M1085</f>
        <v>0</v>
      </c>
      <c r="AL1085" s="28"/>
      <c r="AM1085" s="28" t="n">
        <f aca="false">AL1085*$M1085</f>
        <v>0</v>
      </c>
      <c r="AN1085" s="28"/>
      <c r="AO1085" s="28" t="n">
        <f aca="false">AN1085*$M1085</f>
        <v>0</v>
      </c>
      <c r="AP1085" s="28"/>
      <c r="AQ1085" s="28" t="n">
        <f aca="false">AP1085*$M1085</f>
        <v>0</v>
      </c>
      <c r="AR1085" s="28"/>
      <c r="AS1085" s="28" t="n">
        <f aca="false">AR1085*$M1085</f>
        <v>0</v>
      </c>
      <c r="AT1085" s="28"/>
      <c r="AU1085" s="28" t="n">
        <f aca="false">AT1085*$M1085</f>
        <v>0</v>
      </c>
      <c r="AV1085" s="28"/>
      <c r="AW1085" s="28" t="n">
        <f aca="false">AV1085*$M1085</f>
        <v>0</v>
      </c>
      <c r="AX1085" s="28"/>
      <c r="AY1085" s="28" t="n">
        <f aca="false">AX1085*$M1085</f>
        <v>0</v>
      </c>
      <c r="AZ1085" s="30" t="n">
        <f aca="false">3413/100</f>
        <v>34.13</v>
      </c>
      <c r="BA1085" s="11" t="n">
        <v>16211</v>
      </c>
      <c r="BB1085" s="31" t="n">
        <f aca="false">SUM(Q1085,S1085,U1085,W1085,Y1085,AA1085,AC1085,AE1085,AG1085,AI1085,AK1085,AM1085,AO1085,AQ1085,AS1085,AU1085,AW1085,AY1085)</f>
        <v>16211</v>
      </c>
      <c r="BC1085" s="28" t="n">
        <f aca="false">BA1085-BB1085</f>
        <v>0</v>
      </c>
      <c r="BD1085" s="32" t="n">
        <f aca="false">SUM(P1085,R1085,T1085,V1085,X1085,Z1085,AB1085,AD1085,AF1085,AH1085,AJ1085,AL1085,AN1085,AP1085,AR1085,AT1085,AV1085,AX1085)</f>
        <v>34.13</v>
      </c>
      <c r="BE1085" s="33" t="n">
        <f aca="false">AZ1085-BD1085</f>
        <v>0</v>
      </c>
      <c r="BF1085" s="34" t="n">
        <f aca="false">BD1085*M1085</f>
        <v>16211.75</v>
      </c>
      <c r="BG1085" s="35" t="n">
        <f aca="false">BA1085-BF1085</f>
        <v>-0.750000000001819</v>
      </c>
      <c r="BH1085" s="19" t="str">
        <f aca="false">IF(BG1085=0,"",IF(BG1085&lt;&gt;BA1085,"erreur de calcul",IF(BD1085&lt;&gt;0,"pas de prix",IF(M1085&lt;&gt; 0,"pas de quantité","pas de prix, ni de quantité"))))</f>
        <v>erreur de calcul</v>
      </c>
      <c r="BI1085" s="19"/>
    </row>
    <row r="1086" customFormat="false" ht="15" hidden="false" customHeight="false" outlineLevel="0" collapsed="false">
      <c r="A1086" s="0" t="n">
        <v>31</v>
      </c>
      <c r="B1086" s="8" t="s">
        <v>24</v>
      </c>
      <c r="C1086" s="9" t="s">
        <v>25</v>
      </c>
      <c r="D1086" s="9" t="s">
        <v>26</v>
      </c>
      <c r="E1086" s="10" t="n">
        <v>1789</v>
      </c>
      <c r="F1086" s="9" t="s">
        <v>27</v>
      </c>
      <c r="G1086" s="9" t="s">
        <v>27</v>
      </c>
      <c r="H1086" s="11" t="n">
        <v>18</v>
      </c>
      <c r="I1086" s="11" t="s">
        <v>104</v>
      </c>
      <c r="J1086" s="14" t="n">
        <v>310</v>
      </c>
      <c r="K1086" s="14"/>
      <c r="L1086" s="16"/>
      <c r="M1086" s="27" t="n">
        <f aca="false">J1086+(K1086/20)+(L1086/240)</f>
        <v>310</v>
      </c>
      <c r="N1086" s="17" t="s">
        <v>64</v>
      </c>
      <c r="O1086" s="11"/>
      <c r="P1086" s="28"/>
      <c r="Q1086" s="28" t="n">
        <f aca="false">P1086*$M1086</f>
        <v>0</v>
      </c>
      <c r="R1086" s="28"/>
      <c r="S1086" s="28" t="n">
        <f aca="false">R1086*$M1086</f>
        <v>0</v>
      </c>
      <c r="T1086" s="28" t="n">
        <f aca="false">1087/100</f>
        <v>10.87</v>
      </c>
      <c r="U1086" s="28" t="n">
        <v>3370</v>
      </c>
      <c r="V1086" s="28" t="n">
        <f aca="false">285/100</f>
        <v>2.85</v>
      </c>
      <c r="W1086" s="28" t="n">
        <v>883</v>
      </c>
      <c r="X1086" s="29"/>
      <c r="Y1086" s="28" t="n">
        <f aca="false">X1086*$M1086</f>
        <v>0</v>
      </c>
      <c r="Z1086" s="28"/>
      <c r="AA1086" s="28" t="n">
        <f aca="false">Z1086*$M1086</f>
        <v>0</v>
      </c>
      <c r="AB1086" s="28"/>
      <c r="AC1086" s="28" t="n">
        <f aca="false">AB1086*$M1086</f>
        <v>0</v>
      </c>
      <c r="AD1086" s="28"/>
      <c r="AE1086" s="28" t="n">
        <f aca="false">AD1086*$M1086</f>
        <v>0</v>
      </c>
      <c r="AF1086" s="28"/>
      <c r="AG1086" s="28" t="n">
        <f aca="false">AF1086*$M1086</f>
        <v>0</v>
      </c>
      <c r="AH1086" s="28"/>
      <c r="AI1086" s="28" t="n">
        <f aca="false">AH1086*$M1086</f>
        <v>0</v>
      </c>
      <c r="AJ1086" s="28"/>
      <c r="AK1086" s="28" t="n">
        <f aca="false">AJ1086*$M1086</f>
        <v>0</v>
      </c>
      <c r="AL1086" s="28"/>
      <c r="AM1086" s="28" t="n">
        <f aca="false">AL1086*$M1086</f>
        <v>0</v>
      </c>
      <c r="AN1086" s="28"/>
      <c r="AO1086" s="28" t="n">
        <f aca="false">AN1086*$M1086</f>
        <v>0</v>
      </c>
      <c r="AP1086" s="28"/>
      <c r="AQ1086" s="28" t="n">
        <f aca="false">AP1086*$M1086</f>
        <v>0</v>
      </c>
      <c r="AR1086" s="28"/>
      <c r="AS1086" s="28" t="n">
        <f aca="false">AR1086*$M1086</f>
        <v>0</v>
      </c>
      <c r="AT1086" s="28"/>
      <c r="AU1086" s="28" t="n">
        <f aca="false">AT1086*$M1086</f>
        <v>0</v>
      </c>
      <c r="AV1086" s="28"/>
      <c r="AW1086" s="28" t="n">
        <f aca="false">AV1086*$M1086</f>
        <v>0</v>
      </c>
      <c r="AX1086" s="28"/>
      <c r="AY1086" s="28" t="n">
        <f aca="false">AX1086*$M1086</f>
        <v>0</v>
      </c>
      <c r="AZ1086" s="30" t="n">
        <f aca="false">1372/100</f>
        <v>13.72</v>
      </c>
      <c r="BA1086" s="11" t="n">
        <v>4253</v>
      </c>
      <c r="BB1086" s="31" t="n">
        <f aca="false">SUM(Q1086,S1086,U1086,W1086,Y1086,AA1086,AC1086,AE1086,AG1086,AI1086,AK1086,AM1086,AO1086,AQ1086,AS1086,AU1086,AW1086,AY1086)</f>
        <v>4253</v>
      </c>
      <c r="BC1086" s="28" t="n">
        <f aca="false">BA1086-BB1086</f>
        <v>0</v>
      </c>
      <c r="BD1086" s="32" t="n">
        <f aca="false">SUM(P1086,R1086,T1086,V1086,X1086,Z1086,AB1086,AD1086,AF1086,AH1086,AJ1086,AL1086,AN1086,AP1086,AR1086,AT1086,AV1086,AX1086)</f>
        <v>13.72</v>
      </c>
      <c r="BE1086" s="33" t="n">
        <f aca="false">AZ1086-BD1086</f>
        <v>0</v>
      </c>
      <c r="BF1086" s="34" t="n">
        <f aca="false">BD1086*M1086</f>
        <v>4253.2</v>
      </c>
      <c r="BG1086" s="35" t="n">
        <f aca="false">BA1086-BF1086</f>
        <v>-0.199999999999818</v>
      </c>
      <c r="BH1086" s="19" t="str">
        <f aca="false">IF(BG1086=0,"",IF(BG1086&lt;&gt;BA1086,"erreur de calcul",IF(BD1086&lt;&gt;0,"pas de prix",IF(M1086&lt;&gt; 0,"pas de quantité","pas de prix, ni de quantité"))))</f>
        <v>erreur de calcul</v>
      </c>
      <c r="BI1086" s="19"/>
    </row>
    <row r="1087" customFormat="false" ht="15" hidden="false" customHeight="false" outlineLevel="0" collapsed="false">
      <c r="A1087" s="0" t="n">
        <v>32</v>
      </c>
      <c r="B1087" s="8" t="s">
        <v>24</v>
      </c>
      <c r="C1087" s="9" t="s">
        <v>25</v>
      </c>
      <c r="D1087" s="9" t="s">
        <v>26</v>
      </c>
      <c r="E1087" s="10" t="n">
        <v>1789</v>
      </c>
      <c r="F1087" s="9" t="s">
        <v>27</v>
      </c>
      <c r="G1087" s="9" t="s">
        <v>27</v>
      </c>
      <c r="H1087" s="11" t="n">
        <v>18</v>
      </c>
      <c r="I1087" s="11" t="s">
        <v>105</v>
      </c>
      <c r="J1087" s="14" t="n">
        <v>570</v>
      </c>
      <c r="K1087" s="14"/>
      <c r="L1087" s="16"/>
      <c r="M1087" s="27" t="n">
        <f aca="false">J1087+(K1087/20)+(L1087/240)</f>
        <v>570</v>
      </c>
      <c r="N1087" s="17" t="s">
        <v>64</v>
      </c>
      <c r="O1087" s="11"/>
      <c r="P1087" s="28"/>
      <c r="Q1087" s="28" t="n">
        <f aca="false">P1087*$M1087</f>
        <v>0</v>
      </c>
      <c r="R1087" s="28"/>
      <c r="S1087" s="28" t="n">
        <f aca="false">R1087*$M1087</f>
        <v>0</v>
      </c>
      <c r="T1087" s="28" t="n">
        <f aca="false">7423/100</f>
        <v>74.23</v>
      </c>
      <c r="U1087" s="28" t="n">
        <v>42311</v>
      </c>
      <c r="V1087" s="28" t="n">
        <f aca="false">798/100</f>
        <v>7.98</v>
      </c>
      <c r="W1087" s="28" t="n">
        <v>4549</v>
      </c>
      <c r="X1087" s="29" t="n">
        <f aca="false">2068/100</f>
        <v>20.68</v>
      </c>
      <c r="Y1087" s="28" t="n">
        <v>8368</v>
      </c>
      <c r="Z1087" s="28"/>
      <c r="AA1087" s="28" t="n">
        <f aca="false">Z1087*$M1087</f>
        <v>0</v>
      </c>
      <c r="AB1087" s="28" t="n">
        <f aca="false">226/100</f>
        <v>2.26</v>
      </c>
      <c r="AC1087" s="28" t="n">
        <v>1288</v>
      </c>
      <c r="AD1087" s="28"/>
      <c r="AE1087" s="28" t="n">
        <f aca="false">AD1087*$M1087</f>
        <v>0</v>
      </c>
      <c r="AF1087" s="28"/>
      <c r="AG1087" s="28" t="n">
        <f aca="false">AF1087*$M1087</f>
        <v>0</v>
      </c>
      <c r="AH1087" s="28"/>
      <c r="AI1087" s="28" t="n">
        <f aca="false">AH1087*$M1087</f>
        <v>0</v>
      </c>
      <c r="AJ1087" s="28"/>
      <c r="AK1087" s="28" t="n">
        <f aca="false">AJ1087*$M1087</f>
        <v>0</v>
      </c>
      <c r="AL1087" s="28"/>
      <c r="AM1087" s="28" t="n">
        <f aca="false">AL1087*$M1087</f>
        <v>0</v>
      </c>
      <c r="AN1087" s="28"/>
      <c r="AO1087" s="28" t="n">
        <f aca="false">AN1087*$M1087</f>
        <v>0</v>
      </c>
      <c r="AP1087" s="28"/>
      <c r="AQ1087" s="28" t="n">
        <f aca="false">AP1087*$M1087</f>
        <v>0</v>
      </c>
      <c r="AR1087" s="28"/>
      <c r="AS1087" s="28" t="n">
        <f aca="false">AR1087*$M1087</f>
        <v>0</v>
      </c>
      <c r="AT1087" s="28"/>
      <c r="AU1087" s="28" t="n">
        <f aca="false">AT1087*$M1087</f>
        <v>0</v>
      </c>
      <c r="AV1087" s="28"/>
      <c r="AW1087" s="28" t="n">
        <f aca="false">AV1087*$M1087</f>
        <v>0</v>
      </c>
      <c r="AX1087" s="28"/>
      <c r="AY1087" s="28" t="n">
        <f aca="false">AX1087*$M1087</f>
        <v>0</v>
      </c>
      <c r="AZ1087" s="30" t="n">
        <f aca="false">10515/100</f>
        <v>105.15</v>
      </c>
      <c r="BA1087" s="11" t="n">
        <v>56516</v>
      </c>
      <c r="BB1087" s="31" t="n">
        <f aca="false">SUM(Q1087,S1087,U1087,W1087,Y1087,AA1087,AC1087,AE1087,AG1087,AI1087,AK1087,AM1087,AO1087,AQ1087,AS1087,AU1087,AW1087,AY1087)</f>
        <v>56516</v>
      </c>
      <c r="BC1087" s="28" t="n">
        <f aca="false">BA1087-BB1087</f>
        <v>0</v>
      </c>
      <c r="BD1087" s="32" t="n">
        <f aca="false">SUM(P1087,R1087,T1087,V1087,X1087,Z1087,AB1087,AD1087,AF1087,AH1087,AJ1087,AL1087,AN1087,AP1087,AR1087,AT1087,AV1087,AX1087)</f>
        <v>105.15</v>
      </c>
      <c r="BE1087" s="33" t="n">
        <f aca="false">AZ1087-BD1087</f>
        <v>0</v>
      </c>
      <c r="BF1087" s="34" t="n">
        <f aca="false">BD1087*M1087</f>
        <v>59935.5</v>
      </c>
      <c r="BG1087" s="35" t="n">
        <f aca="false">BA1087-BF1087</f>
        <v>-3419.5</v>
      </c>
      <c r="BH1087" s="19" t="str">
        <f aca="false">IF(BG1087=0,"",IF(BG1087&lt;&gt;BA1087,"erreur de calcul",IF(BD1087&lt;&gt;0,"pas de prix",IF(M1087&lt;&gt; 0,"pas de quantité","pas de prix, ni de quantité"))))</f>
        <v>erreur de calcul</v>
      </c>
      <c r="BI1087" s="19"/>
    </row>
    <row r="1088" customFormat="false" ht="15" hidden="false" customHeight="false" outlineLevel="0" collapsed="false">
      <c r="A1088" s="0" t="n">
        <v>33</v>
      </c>
      <c r="B1088" s="8" t="s">
        <v>24</v>
      </c>
      <c r="C1088" s="9" t="s">
        <v>25</v>
      </c>
      <c r="D1088" s="9" t="s">
        <v>26</v>
      </c>
      <c r="E1088" s="10" t="n">
        <v>1789</v>
      </c>
      <c r="F1088" s="9" t="s">
        <v>27</v>
      </c>
      <c r="G1088" s="9" t="s">
        <v>27</v>
      </c>
      <c r="H1088" s="11" t="n">
        <v>18</v>
      </c>
      <c r="I1088" s="11" t="s">
        <v>106</v>
      </c>
      <c r="J1088" s="14"/>
      <c r="K1088" s="14" t="n">
        <v>40</v>
      </c>
      <c r="L1088" s="16"/>
      <c r="M1088" s="27" t="n">
        <f aca="false">J1088+(K1088/20)+(L1088/240)</f>
        <v>2</v>
      </c>
      <c r="N1088" s="17" t="s">
        <v>66</v>
      </c>
      <c r="O1088" s="11"/>
      <c r="P1088" s="28"/>
      <c r="Q1088" s="28" t="n">
        <f aca="false">P1088*$M1088</f>
        <v>0</v>
      </c>
      <c r="R1088" s="28"/>
      <c r="S1088" s="28" t="n">
        <f aca="false">R1088*$M1088</f>
        <v>0</v>
      </c>
      <c r="T1088" s="28"/>
      <c r="U1088" s="28" t="n">
        <f aca="false">T1088*$M1088</f>
        <v>0</v>
      </c>
      <c r="V1088" s="28" t="n">
        <v>892</v>
      </c>
      <c r="W1088" s="28" t="n">
        <v>1784</v>
      </c>
      <c r="X1088" s="29"/>
      <c r="Y1088" s="28" t="n">
        <f aca="false">X1088*$M1088</f>
        <v>0</v>
      </c>
      <c r="Z1088" s="28"/>
      <c r="AA1088" s="28" t="n">
        <f aca="false">Z1088*$M1088</f>
        <v>0</v>
      </c>
      <c r="AB1088" s="28"/>
      <c r="AC1088" s="28" t="n">
        <f aca="false">AB1088*$M1088</f>
        <v>0</v>
      </c>
      <c r="AD1088" s="28"/>
      <c r="AE1088" s="28" t="n">
        <f aca="false">AD1088*$M1088</f>
        <v>0</v>
      </c>
      <c r="AF1088" s="28"/>
      <c r="AG1088" s="28" t="n">
        <f aca="false">AF1088*$M1088</f>
        <v>0</v>
      </c>
      <c r="AH1088" s="28" t="n">
        <v>1961</v>
      </c>
      <c r="AI1088" s="28" t="n">
        <v>3922</v>
      </c>
      <c r="AJ1088" s="28"/>
      <c r="AK1088" s="28" t="n">
        <f aca="false">AJ1088*$M1088</f>
        <v>0</v>
      </c>
      <c r="AL1088" s="28"/>
      <c r="AM1088" s="28" t="n">
        <f aca="false">AL1088*$M1088</f>
        <v>0</v>
      </c>
      <c r="AN1088" s="28"/>
      <c r="AO1088" s="28" t="n">
        <f aca="false">AN1088*$M1088</f>
        <v>0</v>
      </c>
      <c r="AP1088" s="28"/>
      <c r="AQ1088" s="28" t="n">
        <f aca="false">AP1088*$M1088</f>
        <v>0</v>
      </c>
      <c r="AR1088" s="28"/>
      <c r="AS1088" s="28" t="n">
        <f aca="false">AR1088*$M1088</f>
        <v>0</v>
      </c>
      <c r="AT1088" s="28"/>
      <c r="AU1088" s="28" t="n">
        <f aca="false">AT1088*$M1088</f>
        <v>0</v>
      </c>
      <c r="AV1088" s="28"/>
      <c r="AW1088" s="28" t="n">
        <f aca="false">AV1088*$M1088</f>
        <v>0</v>
      </c>
      <c r="AX1088" s="28"/>
      <c r="AY1088" s="28" t="n">
        <f aca="false">AX1088*$M1088</f>
        <v>0</v>
      </c>
      <c r="AZ1088" s="30" t="n">
        <v>2853</v>
      </c>
      <c r="BA1088" s="11" t="n">
        <v>5706</v>
      </c>
      <c r="BB1088" s="31" t="n">
        <f aca="false">SUM(Q1088,S1088,U1088,W1088,Y1088,AA1088,AC1088,AE1088,AG1088,AI1088,AK1088,AM1088,AO1088,AQ1088,AS1088,AU1088,AW1088,AY1088)</f>
        <v>5706</v>
      </c>
      <c r="BC1088" s="28" t="n">
        <f aca="false">BA1088-BB1088</f>
        <v>0</v>
      </c>
      <c r="BD1088" s="32" t="n">
        <f aca="false">SUM(P1088,R1088,T1088,V1088,X1088,Z1088,AB1088,AD1088,AF1088,AH1088,AJ1088,AL1088,AN1088,AP1088,AR1088,AT1088,AV1088,AX1088)</f>
        <v>2853</v>
      </c>
      <c r="BE1088" s="33" t="n">
        <f aca="false">AZ1088-BD1088</f>
        <v>0</v>
      </c>
      <c r="BF1088" s="34" t="n">
        <f aca="false">BD1088*M1088</f>
        <v>5706</v>
      </c>
      <c r="BG1088" s="35" t="n">
        <f aca="false">BA1088-BF1088</f>
        <v>0</v>
      </c>
      <c r="BH1088" s="19" t="str">
        <f aca="false">IF(BG1088=0,"",IF(BG1088&lt;&gt;BA1088,"erreur de calcul",IF(BD1088&lt;&gt;0,"pas de prix",IF(M1088&lt;&gt; 0,"pas de quantité","pas de prix, ni de quantité"))))</f>
        <v/>
      </c>
      <c r="BI1088" s="19"/>
    </row>
    <row r="1089" customFormat="false" ht="15" hidden="false" customHeight="false" outlineLevel="0" collapsed="false">
      <c r="A1089" s="0" t="n">
        <v>34</v>
      </c>
      <c r="B1089" s="8" t="s">
        <v>24</v>
      </c>
      <c r="C1089" s="9" t="s">
        <v>25</v>
      </c>
      <c r="D1089" s="9" t="s">
        <v>26</v>
      </c>
      <c r="E1089" s="10" t="n">
        <v>1789</v>
      </c>
      <c r="F1089" s="9" t="s">
        <v>27</v>
      </c>
      <c r="G1089" s="9" t="s">
        <v>27</v>
      </c>
      <c r="H1089" s="11" t="n">
        <v>18</v>
      </c>
      <c r="I1089" s="11" t="s">
        <v>107</v>
      </c>
      <c r="J1089" s="14" t="n">
        <v>180</v>
      </c>
      <c r="K1089" s="14"/>
      <c r="L1089" s="16"/>
      <c r="M1089" s="27" t="n">
        <f aca="false">J1089+(K1089/20)+(L1089/240)</f>
        <v>180</v>
      </c>
      <c r="N1089" s="17" t="s">
        <v>64</v>
      </c>
      <c r="O1089" s="11"/>
      <c r="P1089" s="28"/>
      <c r="Q1089" s="28" t="n">
        <f aca="false">P1089*$M1089</f>
        <v>0</v>
      </c>
      <c r="R1089" s="28"/>
      <c r="S1089" s="28" t="n">
        <f aca="false">R1089*$M1089</f>
        <v>0</v>
      </c>
      <c r="T1089" s="28"/>
      <c r="U1089" s="28" t="n">
        <f aca="false">T1089*$M1089</f>
        <v>0</v>
      </c>
      <c r="V1089" s="28"/>
      <c r="W1089" s="28" t="n">
        <f aca="false">V1089*$M1089</f>
        <v>0</v>
      </c>
      <c r="X1089" s="29"/>
      <c r="Y1089" s="28" t="n">
        <f aca="false">X1089*$M1089</f>
        <v>0</v>
      </c>
      <c r="Z1089" s="28"/>
      <c r="AA1089" s="28" t="n">
        <f aca="false">Z1089*$M1089</f>
        <v>0</v>
      </c>
      <c r="AB1089" s="28"/>
      <c r="AC1089" s="28" t="n">
        <f aca="false">AB1089*$M1089</f>
        <v>0</v>
      </c>
      <c r="AD1089" s="28"/>
      <c r="AE1089" s="28" t="n">
        <f aca="false">AD1089*$M1089</f>
        <v>0</v>
      </c>
      <c r="AF1089" s="28"/>
      <c r="AG1089" s="28" t="n">
        <f aca="false">AF1089*$M1089</f>
        <v>0</v>
      </c>
      <c r="AH1089" s="28" t="n">
        <f aca="false">28680/100</f>
        <v>286.8</v>
      </c>
      <c r="AI1089" s="28" t="n">
        <v>51624</v>
      </c>
      <c r="AJ1089" s="28"/>
      <c r="AK1089" s="28" t="n">
        <f aca="false">AJ1089*$M1089</f>
        <v>0</v>
      </c>
      <c r="AL1089" s="28"/>
      <c r="AM1089" s="28" t="n">
        <f aca="false">AL1089*$M1089</f>
        <v>0</v>
      </c>
      <c r="AN1089" s="28"/>
      <c r="AO1089" s="28" t="n">
        <f aca="false">AN1089*$M1089</f>
        <v>0</v>
      </c>
      <c r="AP1089" s="28"/>
      <c r="AQ1089" s="28" t="n">
        <f aca="false">AP1089*$M1089</f>
        <v>0</v>
      </c>
      <c r="AR1089" s="28"/>
      <c r="AS1089" s="28" t="n">
        <f aca="false">AR1089*$M1089</f>
        <v>0</v>
      </c>
      <c r="AT1089" s="28"/>
      <c r="AU1089" s="28" t="n">
        <f aca="false">AT1089*$M1089</f>
        <v>0</v>
      </c>
      <c r="AV1089" s="28"/>
      <c r="AW1089" s="28" t="n">
        <f aca="false">AV1089*$M1089</f>
        <v>0</v>
      </c>
      <c r="AX1089" s="28"/>
      <c r="AY1089" s="28" t="n">
        <f aca="false">AX1089*$M1089</f>
        <v>0</v>
      </c>
      <c r="AZ1089" s="30" t="n">
        <f aca="false">28680/100</f>
        <v>286.8</v>
      </c>
      <c r="BA1089" s="11" t="n">
        <v>51624</v>
      </c>
      <c r="BB1089" s="31" t="n">
        <f aca="false">SUM(Q1089,S1089,U1089,W1089,Y1089,AA1089,AC1089,AE1089,AG1089,AI1089,AK1089,AM1089,AO1089,AQ1089,AS1089,AU1089,AW1089,AY1089)</f>
        <v>51624</v>
      </c>
      <c r="BC1089" s="28" t="n">
        <f aca="false">BA1089-BB1089</f>
        <v>0</v>
      </c>
      <c r="BD1089" s="32" t="n">
        <f aca="false">SUM(P1089,R1089,T1089,V1089,X1089,Z1089,AB1089,AD1089,AF1089,AH1089,AJ1089,AL1089,AN1089,AP1089,AR1089,AT1089,AV1089,AX1089)</f>
        <v>286.8</v>
      </c>
      <c r="BE1089" s="33" t="n">
        <f aca="false">AZ1089-BD1089</f>
        <v>0</v>
      </c>
      <c r="BF1089" s="34" t="n">
        <f aca="false">BD1089*M1089</f>
        <v>51624</v>
      </c>
      <c r="BG1089" s="35" t="n">
        <f aca="false">BA1089-BF1089</f>
        <v>0</v>
      </c>
      <c r="BH1089" s="19" t="str">
        <f aca="false">IF(BG1089=0,"",IF(BG1089&lt;&gt;BA1089,"erreur de calcul",IF(BD1089&lt;&gt;0,"pas de prix",IF(M1089&lt;&gt; 0,"pas de quantité","pas de prix, ni de quantité"))))</f>
        <v/>
      </c>
      <c r="BI1089" s="19"/>
    </row>
    <row r="1090" customFormat="false" ht="15" hidden="false" customHeight="false" outlineLevel="0" collapsed="false">
      <c r="A1090" s="0" t="n">
        <v>35</v>
      </c>
      <c r="B1090" s="8" t="s">
        <v>24</v>
      </c>
      <c r="C1090" s="9" t="s">
        <v>25</v>
      </c>
      <c r="D1090" s="9" t="s">
        <v>26</v>
      </c>
      <c r="E1090" s="10" t="n">
        <v>1789</v>
      </c>
      <c r="F1090" s="9" t="s">
        <v>27</v>
      </c>
      <c r="G1090" s="9" t="s">
        <v>27</v>
      </c>
      <c r="H1090" s="11" t="n">
        <v>18</v>
      </c>
      <c r="I1090" s="11" t="s">
        <v>108</v>
      </c>
      <c r="J1090" s="14" t="n">
        <v>11</v>
      </c>
      <c r="K1090" s="14"/>
      <c r="L1090" s="16"/>
      <c r="M1090" s="27" t="n">
        <f aca="false">J1090+(K1090/20)+(L1090/240)</f>
        <v>11</v>
      </c>
      <c r="N1090" s="17" t="s">
        <v>64</v>
      </c>
      <c r="O1090" s="11" t="s">
        <v>109</v>
      </c>
      <c r="P1090" s="28"/>
      <c r="Q1090" s="28" t="n">
        <f aca="false">P1090*$M1090</f>
        <v>0</v>
      </c>
      <c r="R1090" s="28"/>
      <c r="S1090" s="28" t="n">
        <f aca="false">R1090*$M1090</f>
        <v>0</v>
      </c>
      <c r="T1090" s="28"/>
      <c r="U1090" s="28" t="n">
        <f aca="false">T1090*$M1090</f>
        <v>0</v>
      </c>
      <c r="V1090" s="28"/>
      <c r="W1090" s="28" t="n">
        <f aca="false">V1090*$M1090</f>
        <v>0</v>
      </c>
      <c r="X1090" s="29"/>
      <c r="Y1090" s="28" t="n">
        <f aca="false">X1090*$M1090</f>
        <v>0</v>
      </c>
      <c r="Z1090" s="28"/>
      <c r="AA1090" s="28" t="n">
        <f aca="false">Z1090*$M1090</f>
        <v>0</v>
      </c>
      <c r="AB1090" s="28"/>
      <c r="AC1090" s="28" t="n">
        <f aca="false">AB1090*$M1090</f>
        <v>0</v>
      </c>
      <c r="AD1090" s="28"/>
      <c r="AE1090" s="28" t="n">
        <f aca="false">AD1090*$M1090</f>
        <v>0</v>
      </c>
      <c r="AF1090" s="28"/>
      <c r="AG1090" s="28" t="n">
        <f aca="false">AF1090*$M1090</f>
        <v>0</v>
      </c>
      <c r="AH1090" s="28"/>
      <c r="AI1090" s="28" t="n">
        <f aca="false">AH1090*$M1090</f>
        <v>0</v>
      </c>
      <c r="AJ1090" s="28" t="n">
        <f aca="false">1784/100</f>
        <v>17.84</v>
      </c>
      <c r="AK1090" s="28" t="n">
        <v>196</v>
      </c>
      <c r="AL1090" s="28" t="n">
        <f aca="false">7942/100</f>
        <v>79.42</v>
      </c>
      <c r="AM1090" s="28" t="n">
        <v>874</v>
      </c>
      <c r="AN1090" s="28"/>
      <c r="AO1090" s="28" t="n">
        <f aca="false">AN1090*$M1090</f>
        <v>0</v>
      </c>
      <c r="AP1090" s="28" t="n">
        <f aca="false">13980/100</f>
        <v>139.8</v>
      </c>
      <c r="AQ1090" s="28" t="n">
        <v>1538</v>
      </c>
      <c r="AR1090" s="28" t="n">
        <f aca="false">96390/100</f>
        <v>963.9</v>
      </c>
      <c r="AS1090" s="28" t="n">
        <v>10603</v>
      </c>
      <c r="AT1090" s="28"/>
      <c r="AU1090" s="28" t="n">
        <f aca="false">AT1090*$M1090</f>
        <v>0</v>
      </c>
      <c r="AV1090" s="28"/>
      <c r="AW1090" s="28" t="n">
        <f aca="false">AV1090*$M1090</f>
        <v>0</v>
      </c>
      <c r="AX1090" s="28"/>
      <c r="AY1090" s="28" t="n">
        <f aca="false">AX1090*$M1090</f>
        <v>0</v>
      </c>
      <c r="AZ1090" s="30" t="n">
        <f aca="false">120096/100</f>
        <v>1200.96</v>
      </c>
      <c r="BA1090" s="11" t="n">
        <v>13211</v>
      </c>
      <c r="BB1090" s="31" t="n">
        <f aca="false">SUM(Q1090,S1090,U1090,W1090,Y1090,AA1090,AC1090,AE1090,AG1090,AI1090,AK1090,AM1090,AO1090,AQ1090,AS1090,AU1090,AW1090,AY1090)</f>
        <v>13211</v>
      </c>
      <c r="BC1090" s="28" t="n">
        <f aca="false">BA1090-BB1090</f>
        <v>0</v>
      </c>
      <c r="BD1090" s="32" t="n">
        <f aca="false">SUM(P1090,R1090,T1090,V1090,X1090,Z1090,AB1090,AD1090,AF1090,AH1090,AJ1090,AL1090,AN1090,AP1090,AR1090,AT1090,AV1090,AX1090)</f>
        <v>1200.96</v>
      </c>
      <c r="BE1090" s="33" t="n">
        <f aca="false">AZ1090-BD1090</f>
        <v>0</v>
      </c>
      <c r="BF1090" s="34" t="n">
        <f aca="false">BD1090*M1090</f>
        <v>13210.56</v>
      </c>
      <c r="BG1090" s="35" t="n">
        <f aca="false">BA1090-BF1090</f>
        <v>0.43999999999869</v>
      </c>
      <c r="BH1090" s="19" t="str">
        <f aca="false">IF(BG1090=0,"",IF(BG1090&lt;&gt;BA1090,"erreur de calcul",IF(BD1090&lt;&gt;0,"pas de prix",IF(M1090&lt;&gt; 0,"pas de quantité","pas de prix, ni de quantité"))))</f>
        <v>erreur de calcul</v>
      </c>
      <c r="BI1090" s="19"/>
    </row>
    <row r="1091" customFormat="false" ht="15" hidden="false" customHeight="false" outlineLevel="0" collapsed="false">
      <c r="A1091" s="0" t="n">
        <v>36</v>
      </c>
      <c r="B1091" s="8" t="s">
        <v>24</v>
      </c>
      <c r="C1091" s="9" t="s">
        <v>25</v>
      </c>
      <c r="D1091" s="9" t="s">
        <v>26</v>
      </c>
      <c r="E1091" s="10" t="n">
        <v>1789</v>
      </c>
      <c r="F1091" s="9" t="s">
        <v>27</v>
      </c>
      <c r="G1091" s="9" t="s">
        <v>27</v>
      </c>
      <c r="H1091" s="11" t="n">
        <v>18</v>
      </c>
      <c r="I1091" s="11" t="s">
        <v>110</v>
      </c>
      <c r="J1091" s="14" t="n">
        <v>12</v>
      </c>
      <c r="K1091" s="14"/>
      <c r="L1091" s="16"/>
      <c r="M1091" s="27" t="n">
        <f aca="false">J1091+(K1091/20)+(L1091/240)</f>
        <v>12</v>
      </c>
      <c r="N1091" s="17" t="s">
        <v>64</v>
      </c>
      <c r="O1091" s="11" t="s">
        <v>109</v>
      </c>
      <c r="P1091" s="28" t="n">
        <f aca="false">30663/100</f>
        <v>306.63</v>
      </c>
      <c r="Q1091" s="28" t="n">
        <v>3679</v>
      </c>
      <c r="R1091" s="28"/>
      <c r="S1091" s="28" t="n">
        <f aca="false">R1091*$M1091</f>
        <v>0</v>
      </c>
      <c r="T1091" s="28"/>
      <c r="U1091" s="28" t="n">
        <f aca="false">T1091*$M1091</f>
        <v>0</v>
      </c>
      <c r="V1091" s="28"/>
      <c r="W1091" s="28" t="n">
        <f aca="false">V1091*$M1091</f>
        <v>0</v>
      </c>
      <c r="X1091" s="29"/>
      <c r="Y1091" s="28" t="n">
        <f aca="false">X1091*$M1091</f>
        <v>0</v>
      </c>
      <c r="Z1091" s="28"/>
      <c r="AA1091" s="28" t="n">
        <f aca="false">Z1091*$M1091</f>
        <v>0</v>
      </c>
      <c r="AB1091" s="28"/>
      <c r="AC1091" s="28" t="n">
        <f aca="false">AB1091*$M1091</f>
        <v>0</v>
      </c>
      <c r="AD1091" s="28"/>
      <c r="AE1091" s="28" t="n">
        <f aca="false">AD1091*$M1091</f>
        <v>0</v>
      </c>
      <c r="AF1091" s="28"/>
      <c r="AG1091" s="28" t="n">
        <f aca="false">AF1091*$M1091</f>
        <v>0</v>
      </c>
      <c r="AH1091" s="28"/>
      <c r="AI1091" s="28" t="n">
        <f aca="false">AH1091*$M1091</f>
        <v>0</v>
      </c>
      <c r="AJ1091" s="28"/>
      <c r="AK1091" s="28" t="n">
        <f aca="false">AJ1091*$M1091</f>
        <v>0</v>
      </c>
      <c r="AL1091" s="28" t="n">
        <f aca="false">114207/100</f>
        <v>1142.07</v>
      </c>
      <c r="AM1091" s="28" t="n">
        <v>13705</v>
      </c>
      <c r="AN1091" s="28" t="n">
        <f aca="false">2100/100</f>
        <v>21</v>
      </c>
      <c r="AO1091" s="28" t="n">
        <v>252</v>
      </c>
      <c r="AP1091" s="28" t="n">
        <f aca="false">16107/100</f>
        <v>161.07</v>
      </c>
      <c r="AQ1091" s="28" t="n">
        <v>1933</v>
      </c>
      <c r="AR1091" s="28" t="n">
        <f aca="false">553069/100</f>
        <v>5530.69</v>
      </c>
      <c r="AS1091" s="28" t="n">
        <v>66368</v>
      </c>
      <c r="AT1091" s="28" t="n">
        <f aca="false">6160/100</f>
        <v>61.6</v>
      </c>
      <c r="AU1091" s="28" t="n">
        <v>739</v>
      </c>
      <c r="AV1091" s="28" t="n">
        <f aca="false">2640/100</f>
        <v>26.4</v>
      </c>
      <c r="AW1091" s="28" t="n">
        <v>317</v>
      </c>
      <c r="AX1091" s="28" t="n">
        <f aca="false">8767/100</f>
        <v>87.67</v>
      </c>
      <c r="AY1091" s="36" t="n">
        <v>1085</v>
      </c>
      <c r="AZ1091" s="30" t="n">
        <f aca="false">733753/100</f>
        <v>7337.53</v>
      </c>
      <c r="BA1091" s="11" t="n">
        <v>88078</v>
      </c>
      <c r="BB1091" s="31" t="n">
        <f aca="false">SUM(Q1091,S1091,U1091,W1091,Y1091,AA1091,AC1091,AE1091,AG1091,AI1091,AK1091,AM1091,AO1091,AQ1091,AS1091,AU1091,AW1091,AY1091)</f>
        <v>88078</v>
      </c>
      <c r="BC1091" s="28" t="n">
        <f aca="false">BA1091-BB1091</f>
        <v>0</v>
      </c>
      <c r="BD1091" s="32" t="n">
        <f aca="false">SUM(P1091,R1091,T1091,V1091,X1091,Z1091,AB1091,AD1091,AF1091,AH1091,AJ1091,AL1091,AN1091,AP1091,AR1091,AT1091,AV1091,AX1091)</f>
        <v>7337.13</v>
      </c>
      <c r="BE1091" s="33" t="n">
        <f aca="false">AZ1091-BD1091</f>
        <v>0.400000000000546</v>
      </c>
      <c r="BF1091" s="34" t="n">
        <f aca="false">BD1091*M1091</f>
        <v>88045.56</v>
      </c>
      <c r="BG1091" s="35" t="n">
        <f aca="false">BA1091-BF1091</f>
        <v>32.4400000000023</v>
      </c>
      <c r="BH1091" s="19" t="str">
        <f aca="false">IF(BG1091=0,"",IF(BG1091&lt;&gt;BA1091,"erreur de calcul",IF(BD1091&lt;&gt;0,"pas de prix",IF(M1091&lt;&gt; 0,"pas de quantité","pas de prix, ni de quantité"))))</f>
        <v>erreur de calcul</v>
      </c>
      <c r="BI1091" s="19"/>
    </row>
    <row r="1092" customFormat="false" ht="15" hidden="false" customHeight="false" outlineLevel="0" collapsed="false">
      <c r="A1092" s="0" t="n">
        <v>37</v>
      </c>
      <c r="B1092" s="8" t="s">
        <v>24</v>
      </c>
      <c r="C1092" s="9" t="s">
        <v>25</v>
      </c>
      <c r="D1092" s="9" t="s">
        <v>26</v>
      </c>
      <c r="E1092" s="10" t="n">
        <v>1789</v>
      </c>
      <c r="F1092" s="9" t="s">
        <v>27</v>
      </c>
      <c r="G1092" s="9" t="s">
        <v>27</v>
      </c>
      <c r="H1092" s="11" t="n">
        <v>18</v>
      </c>
      <c r="I1092" s="11" t="s">
        <v>111</v>
      </c>
      <c r="J1092" s="14" t="n">
        <v>10</v>
      </c>
      <c r="K1092" s="14"/>
      <c r="L1092" s="16"/>
      <c r="M1092" s="27" t="n">
        <f aca="false">J1092+(K1092/20)+(L1092/240)</f>
        <v>10</v>
      </c>
      <c r="N1092" s="17" t="s">
        <v>64</v>
      </c>
      <c r="O1092" s="11"/>
      <c r="P1092" s="28"/>
      <c r="Q1092" s="28" t="n">
        <f aca="false">P1092*$M1092</f>
        <v>0</v>
      </c>
      <c r="R1092" s="28"/>
      <c r="S1092" s="28" t="n">
        <f aca="false">R1092*$M1092</f>
        <v>0</v>
      </c>
      <c r="T1092" s="28"/>
      <c r="U1092" s="28" t="n">
        <f aca="false">T1092*$M1092</f>
        <v>0</v>
      </c>
      <c r="V1092" s="28"/>
      <c r="W1092" s="28" t="n">
        <f aca="false">V1092*$M1092</f>
        <v>0</v>
      </c>
      <c r="X1092" s="29"/>
      <c r="Y1092" s="28" t="n">
        <f aca="false">X1092*$M1092</f>
        <v>0</v>
      </c>
      <c r="Z1092" s="28"/>
      <c r="AA1092" s="28" t="n">
        <f aca="false">Z1092*$M1092</f>
        <v>0</v>
      </c>
      <c r="AB1092" s="28"/>
      <c r="AC1092" s="28" t="n">
        <f aca="false">AB1092*$M1092</f>
        <v>0</v>
      </c>
      <c r="AD1092" s="28"/>
      <c r="AE1092" s="28" t="n">
        <f aca="false">AD1092*$M1092</f>
        <v>0</v>
      </c>
      <c r="AF1092" s="28"/>
      <c r="AG1092" s="28" t="n">
        <f aca="false">AF1092*$M1092</f>
        <v>0</v>
      </c>
      <c r="AH1092" s="28"/>
      <c r="AI1092" s="28" t="n">
        <f aca="false">AH1092*$M1092</f>
        <v>0</v>
      </c>
      <c r="AJ1092" s="28"/>
      <c r="AK1092" s="28" t="n">
        <f aca="false">AJ1092*$M1092</f>
        <v>0</v>
      </c>
      <c r="AL1092" s="28"/>
      <c r="AM1092" s="28" t="n">
        <f aca="false">AL1092*$M1092</f>
        <v>0</v>
      </c>
      <c r="AN1092" s="28"/>
      <c r="AO1092" s="28" t="n">
        <f aca="false">AN1092*$M1092</f>
        <v>0</v>
      </c>
      <c r="AP1092" s="28"/>
      <c r="AQ1092" s="28" t="n">
        <f aca="false">AP1092*$M1092</f>
        <v>0</v>
      </c>
      <c r="AR1092" s="28"/>
      <c r="AS1092" s="28" t="n">
        <f aca="false">AR1092*$M1092</f>
        <v>0</v>
      </c>
      <c r="AT1092" s="28"/>
      <c r="AU1092" s="28" t="n">
        <f aca="false">AT1092*$M1092</f>
        <v>0</v>
      </c>
      <c r="AV1092" s="28"/>
      <c r="AW1092" s="28" t="n">
        <f aca="false">AV1092*$M1092</f>
        <v>0</v>
      </c>
      <c r="AX1092" s="28" t="n">
        <f aca="false">16133/100</f>
        <v>161.33</v>
      </c>
      <c r="AY1092" s="28" t="n">
        <v>1613</v>
      </c>
      <c r="AZ1092" s="30"/>
      <c r="BA1092" s="11" t="n">
        <v>1613</v>
      </c>
      <c r="BB1092" s="31" t="n">
        <f aca="false">SUM(Q1092,S1092,U1092,W1092,Y1092,AA1092,AC1092,AE1092,AG1092,AI1092,AK1092,AM1092,AO1092,AQ1092,AS1092,AU1092,AW1092,AY1092)</f>
        <v>1613</v>
      </c>
      <c r="BC1092" s="28" t="n">
        <f aca="false">BA1092-BB1092</f>
        <v>0</v>
      </c>
      <c r="BD1092" s="32" t="n">
        <f aca="false">SUM(P1092,R1092,T1092,V1092,X1092,Z1092,AB1092,AD1092,AF1092,AH1092,AJ1092,AL1092,AN1092,AP1092,AR1092,AT1092,AV1092,AX1092)</f>
        <v>161.33</v>
      </c>
      <c r="BE1092" s="33" t="n">
        <f aca="false">AZ1092-BD1092</f>
        <v>-161.33</v>
      </c>
      <c r="BF1092" s="34" t="n">
        <f aca="false">BD1092*M1092</f>
        <v>1613.3</v>
      </c>
      <c r="BG1092" s="35" t="n">
        <f aca="false">BA1092-BF1092</f>
        <v>-0.300000000000182</v>
      </c>
      <c r="BH1092" s="19" t="str">
        <f aca="false">IF(BG1092=0,"",IF(BG1092&lt;&gt;BA1092,"erreur de calcul",IF(BD1092&lt;&gt;0,"pas de prix",IF(M1092&lt;&gt; 0,"pas de quantité","pas de prix, ni de quantité"))))</f>
        <v>erreur de calcul</v>
      </c>
      <c r="BI1092" s="19"/>
    </row>
    <row r="1093" customFormat="false" ht="15" hidden="false" customHeight="false" outlineLevel="0" collapsed="false">
      <c r="A1093" s="0" t="n">
        <v>38</v>
      </c>
      <c r="B1093" s="8" t="s">
        <v>24</v>
      </c>
      <c r="C1093" s="9" t="s">
        <v>25</v>
      </c>
      <c r="D1093" s="9" t="s">
        <v>26</v>
      </c>
      <c r="E1093" s="10" t="n">
        <v>1789</v>
      </c>
      <c r="F1093" s="9" t="s">
        <v>27</v>
      </c>
      <c r="G1093" s="9" t="s">
        <v>27</v>
      </c>
      <c r="H1093" s="11" t="n">
        <v>18</v>
      </c>
      <c r="I1093" s="11" t="s">
        <v>112</v>
      </c>
      <c r="J1093" s="14" t="n">
        <v>100</v>
      </c>
      <c r="K1093" s="14"/>
      <c r="L1093" s="16"/>
      <c r="M1093" s="27" t="n">
        <f aca="false">J1093+(K1093/20)+(L1093/240)</f>
        <v>100</v>
      </c>
      <c r="N1093" s="17" t="s">
        <v>64</v>
      </c>
      <c r="O1093" s="11"/>
      <c r="P1093" s="28" t="n">
        <f aca="false">69730/100</f>
        <v>697.3</v>
      </c>
      <c r="Q1093" s="28" t="n">
        <v>69730</v>
      </c>
      <c r="R1093" s="28"/>
      <c r="S1093" s="28" t="n">
        <f aca="false">R1093*$M1093</f>
        <v>0</v>
      </c>
      <c r="T1093" s="28"/>
      <c r="U1093" s="28" t="n">
        <f aca="false">T1093*$M1093</f>
        <v>0</v>
      </c>
      <c r="V1093" s="28"/>
      <c r="W1093" s="28" t="n">
        <f aca="false">V1093*$M1093</f>
        <v>0</v>
      </c>
      <c r="X1093" s="29"/>
      <c r="Y1093" s="28" t="n">
        <f aca="false">X1093*$M1093</f>
        <v>0</v>
      </c>
      <c r="Z1093" s="28"/>
      <c r="AA1093" s="28" t="n">
        <f aca="false">Z1093*$M1093</f>
        <v>0</v>
      </c>
      <c r="AB1093" s="28"/>
      <c r="AC1093" s="28" t="n">
        <f aca="false">AB1093*$M1093</f>
        <v>0</v>
      </c>
      <c r="AD1093" s="28"/>
      <c r="AE1093" s="28" t="n">
        <f aca="false">AD1093*$M1093</f>
        <v>0</v>
      </c>
      <c r="AF1093" s="28"/>
      <c r="AG1093" s="28" t="n">
        <f aca="false">AF1093*$M1093</f>
        <v>0</v>
      </c>
      <c r="AH1093" s="28"/>
      <c r="AI1093" s="28" t="n">
        <f aca="false">AH1093*$M1093</f>
        <v>0</v>
      </c>
      <c r="AJ1093" s="28"/>
      <c r="AK1093" s="28" t="n">
        <f aca="false">AJ1093*$M1093</f>
        <v>0</v>
      </c>
      <c r="AL1093" s="28"/>
      <c r="AM1093" s="28" t="n">
        <f aca="false">AL1093*$M1093</f>
        <v>0</v>
      </c>
      <c r="AN1093" s="28"/>
      <c r="AO1093" s="28" t="n">
        <f aca="false">AN1093*$M1093</f>
        <v>0</v>
      </c>
      <c r="AP1093" s="28"/>
      <c r="AQ1093" s="28" t="n">
        <f aca="false">AP1093*$M1093</f>
        <v>0</v>
      </c>
      <c r="AR1093" s="28"/>
      <c r="AS1093" s="28" t="n">
        <f aca="false">AR1093*$M1093</f>
        <v>0</v>
      </c>
      <c r="AT1093" s="28"/>
      <c r="AU1093" s="28" t="n">
        <f aca="false">AT1093*$M1093</f>
        <v>0</v>
      </c>
      <c r="AV1093" s="28"/>
      <c r="AW1093" s="28" t="n">
        <f aca="false">AV1093*$M1093</f>
        <v>0</v>
      </c>
      <c r="AX1093" s="28"/>
      <c r="AY1093" s="28" t="n">
        <f aca="false">AX1093*$M1093</f>
        <v>0</v>
      </c>
      <c r="AZ1093" s="30" t="n">
        <f aca="false">69730/100</f>
        <v>697.3</v>
      </c>
      <c r="BA1093" s="11" t="n">
        <v>69730</v>
      </c>
      <c r="BB1093" s="31" t="n">
        <f aca="false">SUM(Q1093,S1093,U1093,W1093,Y1093,AA1093,AC1093,AE1093,AG1093,AI1093,AK1093,AM1093,AO1093,AQ1093,AS1093,AU1093,AW1093,AY1093)</f>
        <v>69730</v>
      </c>
      <c r="BC1093" s="28" t="n">
        <f aca="false">BA1093-BB1093</f>
        <v>0</v>
      </c>
      <c r="BD1093" s="32" t="n">
        <f aca="false">SUM(P1093,R1093,T1093,V1093,X1093,Z1093,AB1093,AD1093,AF1093,AH1093,AJ1093,AL1093,AN1093,AP1093,AR1093,AT1093,AV1093,AX1093)</f>
        <v>697.3</v>
      </c>
      <c r="BE1093" s="33" t="n">
        <f aca="false">AZ1093-BD1093</f>
        <v>0</v>
      </c>
      <c r="BF1093" s="34" t="n">
        <f aca="false">BD1093*M1093</f>
        <v>69730</v>
      </c>
      <c r="BG1093" s="35" t="n">
        <f aca="false">BA1093-BF1093</f>
        <v>0</v>
      </c>
      <c r="BH1093" s="19" t="str">
        <f aca="false">IF(BG1093=0,"",IF(BG1093&lt;&gt;BA1093,"erreur de calcul",IF(BD1093&lt;&gt;0,"pas de prix",IF(M1093&lt;&gt; 0,"pas de quantité","pas de prix, ni de quantité"))))</f>
        <v/>
      </c>
      <c r="BI1093" s="19" t="s">
        <v>113</v>
      </c>
    </row>
    <row r="1094" customFormat="false" ht="15" hidden="false" customHeight="false" outlineLevel="0" collapsed="false">
      <c r="A1094" s="0" t="n">
        <v>39</v>
      </c>
      <c r="B1094" s="8" t="s">
        <v>24</v>
      </c>
      <c r="C1094" s="9" t="s">
        <v>25</v>
      </c>
      <c r="D1094" s="9" t="s">
        <v>26</v>
      </c>
      <c r="E1094" s="10" t="n">
        <v>1789</v>
      </c>
      <c r="F1094" s="9" t="s">
        <v>27</v>
      </c>
      <c r="G1094" s="9" t="s">
        <v>27</v>
      </c>
      <c r="H1094" s="11" t="n">
        <v>18</v>
      </c>
      <c r="I1094" s="11" t="s">
        <v>112</v>
      </c>
      <c r="J1094" s="14" t="n">
        <v>50</v>
      </c>
      <c r="K1094" s="14"/>
      <c r="L1094" s="16"/>
      <c r="M1094" s="27" t="n">
        <f aca="false">J1094+(K1094/20)+(L1094/240)</f>
        <v>50</v>
      </c>
      <c r="N1094" s="17" t="s">
        <v>64</v>
      </c>
      <c r="O1094" s="11"/>
      <c r="P1094" s="28"/>
      <c r="Q1094" s="28" t="n">
        <f aca="false">P1094*$M1094</f>
        <v>0</v>
      </c>
      <c r="R1094" s="28"/>
      <c r="S1094" s="28" t="n">
        <f aca="false">R1094*$M1094</f>
        <v>0</v>
      </c>
      <c r="T1094" s="28"/>
      <c r="U1094" s="28" t="n">
        <f aca="false">T1094*$M1094</f>
        <v>0</v>
      </c>
      <c r="V1094" s="28" t="n">
        <f aca="false">38043/100</f>
        <v>380.43</v>
      </c>
      <c r="W1094" s="28" t="n">
        <v>19021</v>
      </c>
      <c r="X1094" s="29" t="n">
        <f aca="false">10658/100</f>
        <v>106.58</v>
      </c>
      <c r="Y1094" s="28" t="n">
        <v>5329</v>
      </c>
      <c r="Z1094" s="28"/>
      <c r="AA1094" s="28" t="n">
        <f aca="false">Z1094*$M1094</f>
        <v>0</v>
      </c>
      <c r="AB1094" s="28"/>
      <c r="AC1094" s="28" t="n">
        <f aca="false">AB1094*$M1094</f>
        <v>0</v>
      </c>
      <c r="AD1094" s="28"/>
      <c r="AE1094" s="28" t="n">
        <f aca="false">AD1094*$M1094</f>
        <v>0</v>
      </c>
      <c r="AF1094" s="28"/>
      <c r="AG1094" s="28" t="n">
        <f aca="false">AF1094*$M1094</f>
        <v>0</v>
      </c>
      <c r="AH1094" s="28"/>
      <c r="AI1094" s="28" t="n">
        <f aca="false">AH1094*$M1094</f>
        <v>0</v>
      </c>
      <c r="AJ1094" s="28" t="n">
        <f aca="false">39321/100</f>
        <v>393.21</v>
      </c>
      <c r="AK1094" s="28" t="n">
        <v>19660</v>
      </c>
      <c r="AL1094" s="28"/>
      <c r="AM1094" s="28" t="n">
        <f aca="false">AL1094*$M1094</f>
        <v>0</v>
      </c>
      <c r="AN1094" s="28"/>
      <c r="AO1094" s="28" t="n">
        <f aca="false">AN1094*$M1094</f>
        <v>0</v>
      </c>
      <c r="AP1094" s="28"/>
      <c r="AQ1094" s="28" t="n">
        <f aca="false">AP1094*$M1094</f>
        <v>0</v>
      </c>
      <c r="AR1094" s="28"/>
      <c r="AS1094" s="28" t="n">
        <f aca="false">AR1094*$M1094</f>
        <v>0</v>
      </c>
      <c r="AT1094" s="28"/>
      <c r="AU1094" s="28" t="n">
        <f aca="false">AT1094*$M1094</f>
        <v>0</v>
      </c>
      <c r="AV1094" s="28"/>
      <c r="AW1094" s="28" t="n">
        <f aca="false">AV1094*$M1094</f>
        <v>0</v>
      </c>
      <c r="AX1094" s="28"/>
      <c r="AY1094" s="28" t="n">
        <f aca="false">AX1094*$M1094</f>
        <v>0</v>
      </c>
      <c r="AZ1094" s="30" t="n">
        <f aca="false">88022/100</f>
        <v>880.22</v>
      </c>
      <c r="BA1094" s="11" t="n">
        <v>44010</v>
      </c>
      <c r="BB1094" s="31" t="n">
        <f aca="false">SUM(Q1094,S1094,U1094,W1094,Y1094,AA1094,AC1094,AE1094,AG1094,AI1094,AK1094,AM1094,AO1094,AQ1094,AS1094,AU1094,AW1094,AY1094)</f>
        <v>44010</v>
      </c>
      <c r="BC1094" s="28" t="n">
        <f aca="false">BA1094-BB1094</f>
        <v>0</v>
      </c>
      <c r="BD1094" s="32" t="n">
        <f aca="false">SUM(P1094,R1094,T1094,V1094,X1094,Z1094,AB1094,AD1094,AF1094,AH1094,AJ1094,AL1094,AN1094,AP1094,AR1094,AT1094,AV1094,AX1094)</f>
        <v>880.22</v>
      </c>
      <c r="BE1094" s="33" t="n">
        <f aca="false">AZ1094-BD1094</f>
        <v>0</v>
      </c>
      <c r="BF1094" s="34" t="n">
        <f aca="false">BD1094*M1094</f>
        <v>44011</v>
      </c>
      <c r="BG1094" s="35" t="n">
        <f aca="false">BA1094-BF1094</f>
        <v>-1</v>
      </c>
      <c r="BH1094" s="19" t="str">
        <f aca="false">IF(BG1094=0,"",IF(BG1094&lt;&gt;BA1094,"erreur de calcul",IF(BD1094&lt;&gt;0,"pas de prix",IF(M1094&lt;&gt; 0,"pas de quantité","pas de prix, ni de quantité"))))</f>
        <v>erreur de calcul</v>
      </c>
      <c r="BI1094" s="19" t="s">
        <v>114</v>
      </c>
    </row>
    <row r="1095" customFormat="false" ht="15" hidden="false" customHeight="false" outlineLevel="0" collapsed="false">
      <c r="A1095" s="0" t="n">
        <v>40</v>
      </c>
      <c r="B1095" s="8" t="s">
        <v>24</v>
      </c>
      <c r="C1095" s="9" t="s">
        <v>25</v>
      </c>
      <c r="D1095" s="9" t="s">
        <v>26</v>
      </c>
      <c r="E1095" s="10" t="n">
        <v>1789</v>
      </c>
      <c r="F1095" s="9" t="s">
        <v>27</v>
      </c>
      <c r="G1095" s="9" t="s">
        <v>27</v>
      </c>
      <c r="H1095" s="11" t="n">
        <v>18</v>
      </c>
      <c r="I1095" s="11" t="s">
        <v>115</v>
      </c>
      <c r="J1095" s="14"/>
      <c r="K1095" s="14" t="n">
        <v>28</v>
      </c>
      <c r="L1095" s="16"/>
      <c r="M1095" s="27" t="n">
        <f aca="false">J1095+(K1095/20)+(L1095/240)</f>
        <v>1.4</v>
      </c>
      <c r="N1095" s="17" t="s">
        <v>66</v>
      </c>
      <c r="O1095" s="11" t="s">
        <v>98</v>
      </c>
      <c r="P1095" s="28"/>
      <c r="Q1095" s="28" t="n">
        <f aca="false">P1095*$M1095</f>
        <v>0</v>
      </c>
      <c r="R1095" s="28"/>
      <c r="S1095" s="28" t="n">
        <f aca="false">R1095*$M1095</f>
        <v>0</v>
      </c>
      <c r="T1095" s="28" t="n">
        <v>426</v>
      </c>
      <c r="U1095" s="28" t="n">
        <v>596</v>
      </c>
      <c r="V1095" s="28"/>
      <c r="W1095" s="28" t="n">
        <f aca="false">V1095*$M1095</f>
        <v>0</v>
      </c>
      <c r="X1095" s="29"/>
      <c r="Y1095" s="28" t="n">
        <f aca="false">X1095*$M1095</f>
        <v>0</v>
      </c>
      <c r="Z1095" s="28"/>
      <c r="AA1095" s="28" t="n">
        <f aca="false">Z1095*$M1095</f>
        <v>0</v>
      </c>
      <c r="AB1095" s="28"/>
      <c r="AC1095" s="28" t="n">
        <f aca="false">AB1095*$M1095</f>
        <v>0</v>
      </c>
      <c r="AD1095" s="28"/>
      <c r="AE1095" s="28" t="n">
        <f aca="false">AD1095*$M1095</f>
        <v>0</v>
      </c>
      <c r="AF1095" s="28"/>
      <c r="AG1095" s="28" t="n">
        <f aca="false">AF1095*$M1095</f>
        <v>0</v>
      </c>
      <c r="AH1095" s="28"/>
      <c r="AI1095" s="28" t="n">
        <f aca="false">AH1095*$M1095</f>
        <v>0</v>
      </c>
      <c r="AJ1095" s="28" t="n">
        <v>142</v>
      </c>
      <c r="AK1095" s="28" t="n">
        <v>199</v>
      </c>
      <c r="AL1095" s="28"/>
      <c r="AM1095" s="28" t="n">
        <f aca="false">AL1095*$M1095</f>
        <v>0</v>
      </c>
      <c r="AN1095" s="28"/>
      <c r="AO1095" s="28" t="n">
        <f aca="false">AN1095*$M1095</f>
        <v>0</v>
      </c>
      <c r="AP1095" s="28"/>
      <c r="AQ1095" s="28" t="n">
        <f aca="false">AP1095*$M1095</f>
        <v>0</v>
      </c>
      <c r="AR1095" s="28"/>
      <c r="AS1095" s="28" t="n">
        <f aca="false">AR1095*$M1095</f>
        <v>0</v>
      </c>
      <c r="AT1095" s="28"/>
      <c r="AU1095" s="28" t="n">
        <f aca="false">AT1095*$M1095</f>
        <v>0</v>
      </c>
      <c r="AV1095" s="28"/>
      <c r="AW1095" s="28" t="n">
        <f aca="false">AV1095*$M1095</f>
        <v>0</v>
      </c>
      <c r="AX1095" s="28"/>
      <c r="AY1095" s="28" t="n">
        <f aca="false">AX1095*$M1095</f>
        <v>0</v>
      </c>
      <c r="AZ1095" s="30" t="n">
        <v>568</v>
      </c>
      <c r="BA1095" s="11" t="n">
        <v>795</v>
      </c>
      <c r="BB1095" s="31" t="n">
        <f aca="false">SUM(Q1095,S1095,U1095,W1095,Y1095,AA1095,AC1095,AE1095,AG1095,AI1095,AK1095,AM1095,AO1095,AQ1095,AS1095,AU1095,AW1095,AY1095)</f>
        <v>795</v>
      </c>
      <c r="BC1095" s="28" t="n">
        <f aca="false">BA1095-BB1095</f>
        <v>0</v>
      </c>
      <c r="BD1095" s="32" t="n">
        <f aca="false">SUM(P1095,R1095,T1095,V1095,X1095,Z1095,AB1095,AD1095,AF1095,AH1095,AJ1095,AL1095,AN1095,AP1095,AR1095,AT1095,AV1095,AX1095)</f>
        <v>568</v>
      </c>
      <c r="BE1095" s="33" t="n">
        <f aca="false">AZ1095-BD1095</f>
        <v>0</v>
      </c>
      <c r="BF1095" s="34" t="n">
        <f aca="false">BD1095*M1095</f>
        <v>795.2</v>
      </c>
      <c r="BG1095" s="35" t="n">
        <f aca="false">BA1095-BF1095</f>
        <v>-0.199999999999932</v>
      </c>
      <c r="BH1095" s="19" t="str">
        <f aca="false">IF(BG1095=0,"",IF(BG1095&lt;&gt;BA1095,"erreur de calcul",IF(BD1095&lt;&gt;0,"pas de prix",IF(M1095&lt;&gt; 0,"pas de quantité","pas de prix, ni de quantité"))))</f>
        <v>erreur de calcul</v>
      </c>
      <c r="BI1095" s="19"/>
    </row>
    <row r="1096" customFormat="false" ht="15" hidden="false" customHeight="false" outlineLevel="0" collapsed="false">
      <c r="A1096" s="0" t="n">
        <v>41</v>
      </c>
      <c r="B1096" s="8" t="s">
        <v>24</v>
      </c>
      <c r="C1096" s="9" t="s">
        <v>25</v>
      </c>
      <c r="D1096" s="9" t="s">
        <v>26</v>
      </c>
      <c r="E1096" s="10" t="n">
        <v>1789</v>
      </c>
      <c r="F1096" s="9" t="s">
        <v>27</v>
      </c>
      <c r="G1096" s="9" t="s">
        <v>27</v>
      </c>
      <c r="H1096" s="11" t="n">
        <v>18</v>
      </c>
      <c r="I1096" s="11" t="s">
        <v>116</v>
      </c>
      <c r="J1096" s="14"/>
      <c r="K1096" s="14" t="n">
        <v>40</v>
      </c>
      <c r="L1096" s="16"/>
      <c r="M1096" s="27" t="n">
        <f aca="false">J1096+(K1096/20)+(L1096/240)</f>
        <v>2</v>
      </c>
      <c r="N1096" s="17" t="s">
        <v>66</v>
      </c>
      <c r="O1096" s="11"/>
      <c r="P1096" s="28"/>
      <c r="Q1096" s="28" t="n">
        <f aca="false">P1096*$M1096</f>
        <v>0</v>
      </c>
      <c r="R1096" s="28"/>
      <c r="S1096" s="28" t="n">
        <f aca="false">R1096*$M1096</f>
        <v>0</v>
      </c>
      <c r="T1096" s="28"/>
      <c r="U1096" s="28" t="n">
        <f aca="false">T1096*$M1096</f>
        <v>0</v>
      </c>
      <c r="V1096" s="28"/>
      <c r="W1096" s="28" t="n">
        <f aca="false">V1096*$M1096</f>
        <v>0</v>
      </c>
      <c r="X1096" s="29"/>
      <c r="Y1096" s="28" t="n">
        <f aca="false">X1096*$M1096</f>
        <v>0</v>
      </c>
      <c r="Z1096" s="28"/>
      <c r="AA1096" s="28" t="n">
        <f aca="false">Z1096*$M1096</f>
        <v>0</v>
      </c>
      <c r="AB1096" s="28"/>
      <c r="AC1096" s="28" t="n">
        <f aca="false">AB1096*$M1096</f>
        <v>0</v>
      </c>
      <c r="AD1096" s="28"/>
      <c r="AE1096" s="28" t="n">
        <f aca="false">AD1096*$M1096</f>
        <v>0</v>
      </c>
      <c r="AF1096" s="28"/>
      <c r="AG1096" s="28" t="n">
        <f aca="false">AF1096*$M1096</f>
        <v>0</v>
      </c>
      <c r="AH1096" s="28" t="n">
        <v>232710</v>
      </c>
      <c r="AI1096" s="28" t="n">
        <v>465420</v>
      </c>
      <c r="AJ1096" s="28"/>
      <c r="AK1096" s="28" t="n">
        <f aca="false">AJ1096*$M1096</f>
        <v>0</v>
      </c>
      <c r="AL1096" s="28"/>
      <c r="AM1096" s="28" t="n">
        <f aca="false">AL1096*$M1096</f>
        <v>0</v>
      </c>
      <c r="AN1096" s="28"/>
      <c r="AO1096" s="28" t="n">
        <f aca="false">AN1096*$M1096</f>
        <v>0</v>
      </c>
      <c r="AP1096" s="28"/>
      <c r="AQ1096" s="28" t="n">
        <f aca="false">AP1096*$M1096</f>
        <v>0</v>
      </c>
      <c r="AR1096" s="28"/>
      <c r="AS1096" s="28" t="n">
        <f aca="false">AR1096*$M1096</f>
        <v>0</v>
      </c>
      <c r="AT1096" s="28"/>
      <c r="AU1096" s="28" t="n">
        <f aca="false">AT1096*$M1096</f>
        <v>0</v>
      </c>
      <c r="AV1096" s="28"/>
      <c r="AW1096" s="28" t="n">
        <f aca="false">AV1096*$M1096</f>
        <v>0</v>
      </c>
      <c r="AX1096" s="28"/>
      <c r="AY1096" s="28" t="n">
        <f aca="false">AX1096*$M1096</f>
        <v>0</v>
      </c>
      <c r="AZ1096" s="30" t="n">
        <v>232710</v>
      </c>
      <c r="BA1096" s="11" t="n">
        <v>465420</v>
      </c>
      <c r="BB1096" s="31" t="n">
        <f aca="false">SUM(Q1096,S1096,U1096,W1096,Y1096,AA1096,AC1096,AE1096,AG1096,AI1096,AK1096,AM1096,AO1096,AQ1096,AS1096,AU1096,AW1096,AY1096)</f>
        <v>465420</v>
      </c>
      <c r="BC1096" s="28" t="n">
        <f aca="false">BA1096-BB1096</f>
        <v>0</v>
      </c>
      <c r="BD1096" s="32" t="n">
        <f aca="false">SUM(P1096,R1096,T1096,V1096,X1096,Z1096,AB1096,AD1096,AF1096,AH1096,AJ1096,AL1096,AN1096,AP1096,AR1096,AT1096,AV1096,AX1096)</f>
        <v>232710</v>
      </c>
      <c r="BE1096" s="33" t="n">
        <f aca="false">AZ1096-BD1096</f>
        <v>0</v>
      </c>
      <c r="BF1096" s="34" t="n">
        <f aca="false">BD1096*M1096</f>
        <v>465420</v>
      </c>
      <c r="BG1096" s="35" t="n">
        <f aca="false">BA1096-BF1096</f>
        <v>0</v>
      </c>
      <c r="BH1096" s="19" t="str">
        <f aca="false">IF(BG1096=0,"",IF(BG1096&lt;&gt;BA1096,"erreur de calcul",IF(BD1096&lt;&gt;0,"pas de prix",IF(M1096&lt;&gt; 0,"pas de quantité","pas de prix, ni de quantité"))))</f>
        <v/>
      </c>
      <c r="BI1096" s="19"/>
    </row>
    <row r="1097" customFormat="false" ht="15" hidden="false" customHeight="false" outlineLevel="0" collapsed="false">
      <c r="A1097" s="0" t="n">
        <v>1</v>
      </c>
      <c r="B1097" s="8" t="s">
        <v>24</v>
      </c>
      <c r="C1097" s="9" t="s">
        <v>25</v>
      </c>
      <c r="D1097" s="9" t="s">
        <v>26</v>
      </c>
      <c r="E1097" s="10" t="n">
        <v>1789</v>
      </c>
      <c r="F1097" s="9" t="s">
        <v>27</v>
      </c>
      <c r="G1097" s="9" t="s">
        <v>27</v>
      </c>
      <c r="H1097" s="11" t="n">
        <v>20</v>
      </c>
      <c r="I1097" s="11" t="s">
        <v>117</v>
      </c>
      <c r="J1097" s="14" t="n">
        <v>10</v>
      </c>
      <c r="K1097" s="14"/>
      <c r="L1097" s="16"/>
      <c r="M1097" s="27" t="n">
        <f aca="false">J1097+(K1097/20)+(L1097/240)</f>
        <v>10</v>
      </c>
      <c r="N1097" s="17" t="s">
        <v>64</v>
      </c>
      <c r="O1097" s="11"/>
      <c r="P1097" s="28" t="n">
        <f aca="false">2120/100</f>
        <v>21.2</v>
      </c>
      <c r="Q1097" s="28" t="n">
        <v>212</v>
      </c>
      <c r="R1097" s="28"/>
      <c r="S1097" s="28" t="n">
        <f aca="false">R1097*$M1097</f>
        <v>0</v>
      </c>
      <c r="T1097" s="28" t="n">
        <f aca="false">4184/100</f>
        <v>41.84</v>
      </c>
      <c r="U1097" s="28" t="n">
        <v>418</v>
      </c>
      <c r="V1097" s="28"/>
      <c r="W1097" s="28" t="n">
        <f aca="false">V1097*$M1097</f>
        <v>0</v>
      </c>
      <c r="X1097" s="28"/>
      <c r="Y1097" s="28" t="n">
        <f aca="false">X1097*$M1097</f>
        <v>0</v>
      </c>
      <c r="Z1097" s="28" t="n">
        <f aca="false">4467/100</f>
        <v>44.67</v>
      </c>
      <c r="AA1097" s="28" t="n">
        <v>447</v>
      </c>
      <c r="AB1097" s="28"/>
      <c r="AC1097" s="28" t="n">
        <f aca="false">AB1097*$M1097</f>
        <v>0</v>
      </c>
      <c r="AD1097" s="28"/>
      <c r="AE1097" s="28" t="n">
        <f aca="false">AD1097*$M1097</f>
        <v>0</v>
      </c>
      <c r="AF1097" s="28"/>
      <c r="AG1097" s="28" t="n">
        <f aca="false">AF1097*$M1097</f>
        <v>0</v>
      </c>
      <c r="AH1097" s="28" t="n">
        <f aca="false">37604/100</f>
        <v>376.04</v>
      </c>
      <c r="AI1097" s="28" t="n">
        <v>3760</v>
      </c>
      <c r="AJ1097" s="28"/>
      <c r="AK1097" s="28" t="n">
        <f aca="false">AJ1097*$M1097</f>
        <v>0</v>
      </c>
      <c r="AL1097" s="28"/>
      <c r="AM1097" s="28" t="n">
        <f aca="false">AL1097*$M1097</f>
        <v>0</v>
      </c>
      <c r="AN1097" s="28"/>
      <c r="AO1097" s="28" t="n">
        <f aca="false">AN1097*$M1097</f>
        <v>0</v>
      </c>
      <c r="AP1097" s="28"/>
      <c r="AQ1097" s="28" t="n">
        <f aca="false">AP1097*$M1097</f>
        <v>0</v>
      </c>
      <c r="AR1097" s="28"/>
      <c r="AS1097" s="28" t="n">
        <f aca="false">AR1097*$M1097</f>
        <v>0</v>
      </c>
      <c r="AT1097" s="28"/>
      <c r="AU1097" s="28" t="n">
        <f aca="false">AT1097*$M1097</f>
        <v>0</v>
      </c>
      <c r="AV1097" s="28"/>
      <c r="AW1097" s="28" t="n">
        <f aca="false">AV1097*$M1097</f>
        <v>0</v>
      </c>
      <c r="AX1097" s="28"/>
      <c r="AY1097" s="28" t="n">
        <f aca="false">AX1097*$M1097</f>
        <v>0</v>
      </c>
      <c r="AZ1097" s="30" t="n">
        <f aca="false">46255/100</f>
        <v>462.55</v>
      </c>
      <c r="BA1097" s="11" t="n">
        <v>4837</v>
      </c>
      <c r="BB1097" s="31" t="n">
        <f aca="false">SUM(Q1097,S1097,U1097,W1097,Y1097,AA1097,AC1097,AE1097,AG1097,AI1097,AK1097,AM1097,AO1097,AQ1097,AS1097,AU1097,AW1097,AY1097)</f>
        <v>4837</v>
      </c>
      <c r="BC1097" s="28" t="n">
        <f aca="false">BA1097-BB1097</f>
        <v>0</v>
      </c>
      <c r="BD1097" s="32" t="n">
        <f aca="false">SUM(P1097,R1097,T1097,V1097,X1097,Z1097,AB1097,AD1097,AF1097,AH1097,AJ1097,AL1097,AN1097,AP1097,AR1097,AT1097,AV1097,AX1097)</f>
        <v>483.75</v>
      </c>
      <c r="BE1097" s="33" t="n">
        <f aca="false">AZ1097-BD1097</f>
        <v>-21.2</v>
      </c>
      <c r="BF1097" s="34" t="n">
        <f aca="false">BD1097*M1097</f>
        <v>4837.5</v>
      </c>
      <c r="BG1097" s="35" t="n">
        <f aca="false">BA1097-BF1097</f>
        <v>-0.50000000000091</v>
      </c>
      <c r="BH1097" s="19" t="str">
        <f aca="false">IF(BG1097=0,"",IF(BG1097&lt;&gt;BA1097,"erreur de calcul",IF(BD1097&lt;&gt;0,"pas de prix",IF(M1097&lt;&gt; 0,"pas de quantité","pas de prix, ni de quantité"))))</f>
        <v>erreur de calcul</v>
      </c>
      <c r="BI1097" s="19"/>
    </row>
    <row r="1098" customFormat="false" ht="15" hidden="false" customHeight="false" outlineLevel="0" collapsed="false">
      <c r="A1098" s="0" t="n">
        <v>2</v>
      </c>
      <c r="B1098" s="8" t="s">
        <v>24</v>
      </c>
      <c r="C1098" s="9" t="s">
        <v>25</v>
      </c>
      <c r="D1098" s="9" t="s">
        <v>26</v>
      </c>
      <c r="E1098" s="10" t="n">
        <v>1789</v>
      </c>
      <c r="F1098" s="9" t="s">
        <v>27</v>
      </c>
      <c r="G1098" s="9" t="s">
        <v>27</v>
      </c>
      <c r="H1098" s="11" t="n">
        <v>20</v>
      </c>
      <c r="I1098" s="11" t="s">
        <v>118</v>
      </c>
      <c r="J1098" s="14" t="n">
        <v>10</v>
      </c>
      <c r="K1098" s="14"/>
      <c r="L1098" s="16"/>
      <c r="M1098" s="27" t="n">
        <f aca="false">J1098+(K1098/20)+(L1098/240)</f>
        <v>10</v>
      </c>
      <c r="N1098" s="17" t="s">
        <v>64</v>
      </c>
      <c r="O1098" s="11"/>
      <c r="P1098" s="28" t="n">
        <f aca="false">6450193/100</f>
        <v>64501.93</v>
      </c>
      <c r="Q1098" s="28" t="n">
        <v>645019</v>
      </c>
      <c r="R1098" s="28"/>
      <c r="S1098" s="28" t="n">
        <f aca="false">R1098*$M1098</f>
        <v>0</v>
      </c>
      <c r="T1098" s="28"/>
      <c r="U1098" s="28" t="n">
        <f aca="false">T1098*$M1098</f>
        <v>0</v>
      </c>
      <c r="V1098" s="28"/>
      <c r="W1098" s="28" t="n">
        <f aca="false">V1098*$M1098</f>
        <v>0</v>
      </c>
      <c r="X1098" s="28"/>
      <c r="Y1098" s="28" t="n">
        <f aca="false">X1098*$M1098</f>
        <v>0</v>
      </c>
      <c r="Z1098" s="28"/>
      <c r="AA1098" s="28" t="n">
        <f aca="false">Z1098*$M1098</f>
        <v>0</v>
      </c>
      <c r="AB1098" s="28" t="n">
        <f aca="false">601547/100</f>
        <v>6015.47</v>
      </c>
      <c r="AC1098" s="28" t="n">
        <v>60155</v>
      </c>
      <c r="AD1098" s="28"/>
      <c r="AE1098" s="28" t="n">
        <f aca="false">AD1098*$M1098</f>
        <v>0</v>
      </c>
      <c r="AF1098" s="28" t="n">
        <f aca="false">727551/100</f>
        <v>7275.51</v>
      </c>
      <c r="AG1098" s="28" t="n">
        <v>72755</v>
      </c>
      <c r="AH1098" s="28" t="n">
        <f aca="false">52982/100</f>
        <v>529.82</v>
      </c>
      <c r="AI1098" s="28" t="n">
        <v>5299</v>
      </c>
      <c r="AJ1098" s="28"/>
      <c r="AK1098" s="28" t="n">
        <f aca="false">AJ1098*$M1098</f>
        <v>0</v>
      </c>
      <c r="AL1098" s="28"/>
      <c r="AM1098" s="28" t="n">
        <f aca="false">AL1098*$M1098</f>
        <v>0</v>
      </c>
      <c r="AN1098" s="28"/>
      <c r="AO1098" s="28" t="n">
        <f aca="false">AN1098*$M1098</f>
        <v>0</v>
      </c>
      <c r="AP1098" s="28"/>
      <c r="AQ1098" s="28" t="n">
        <f aca="false">AP1098*$M1098</f>
        <v>0</v>
      </c>
      <c r="AR1098" s="28"/>
      <c r="AS1098" s="28" t="n">
        <f aca="false">AR1098*$M1098</f>
        <v>0</v>
      </c>
      <c r="AT1098" s="28"/>
      <c r="AU1098" s="28" t="n">
        <f aca="false">AT1098*$M1098</f>
        <v>0</v>
      </c>
      <c r="AV1098" s="28"/>
      <c r="AW1098" s="28" t="n">
        <f aca="false">AV1098*$M1098</f>
        <v>0</v>
      </c>
      <c r="AX1098" s="28"/>
      <c r="AY1098" s="28" t="n">
        <f aca="false">AX1098*$M1098</f>
        <v>0</v>
      </c>
      <c r="AZ1098" s="30" t="n">
        <f aca="false">7832273/100</f>
        <v>78322.73</v>
      </c>
      <c r="BA1098" s="11" t="n">
        <v>783228</v>
      </c>
      <c r="BB1098" s="31" t="n">
        <f aca="false">SUM(Q1098,S1098,U1098,W1098,Y1098,AA1098,AC1098,AE1098,AG1098,AI1098,AK1098,AM1098,AO1098,AQ1098,AS1098,AU1098,AW1098,AY1098)</f>
        <v>783228</v>
      </c>
      <c r="BC1098" s="28" t="n">
        <f aca="false">BA1098-BB1098</f>
        <v>0</v>
      </c>
      <c r="BD1098" s="32" t="n">
        <f aca="false">SUM(P1098,R1098,T1098,V1098,X1098,Z1098,AB1098,AD1098,AF1098,AH1098,AJ1098,AL1098,AN1098,AP1098,AR1098,AT1098,AV1098,AX1098)</f>
        <v>78322.73</v>
      </c>
      <c r="BE1098" s="33" t="n">
        <f aca="false">AZ1098-BD1098</f>
        <v>0</v>
      </c>
      <c r="BF1098" s="34" t="n">
        <f aca="false">BD1098*M1098</f>
        <v>783227.3</v>
      </c>
      <c r="BG1098" s="35" t="n">
        <f aca="false">BA1098-BF1098</f>
        <v>0.700000000069849</v>
      </c>
      <c r="BH1098" s="19" t="str">
        <f aca="false">IF(BG1098=0,"",IF(BG1098&lt;&gt;BA1098,"erreur de calcul",IF(BD1098&lt;&gt;0,"pas de prix",IF(M1098&lt;&gt; 0,"pas de quantité","pas de prix, ni de quantité"))))</f>
        <v>erreur de calcul</v>
      </c>
      <c r="BI1098" s="19"/>
    </row>
    <row r="1099" customFormat="false" ht="15" hidden="false" customHeight="false" outlineLevel="0" collapsed="false">
      <c r="A1099" s="0" t="n">
        <v>3</v>
      </c>
      <c r="B1099" s="8" t="s">
        <v>24</v>
      </c>
      <c r="C1099" s="9" t="s">
        <v>25</v>
      </c>
      <c r="D1099" s="9" t="s">
        <v>26</v>
      </c>
      <c r="E1099" s="10" t="n">
        <v>1789</v>
      </c>
      <c r="F1099" s="9" t="s">
        <v>27</v>
      </c>
      <c r="G1099" s="9" t="s">
        <v>27</v>
      </c>
      <c r="H1099" s="11" t="n">
        <v>20</v>
      </c>
      <c r="I1099" s="11" t="s">
        <v>119</v>
      </c>
      <c r="J1099" s="14" t="n">
        <v>10</v>
      </c>
      <c r="K1099" s="14"/>
      <c r="L1099" s="16"/>
      <c r="M1099" s="27" t="n">
        <f aca="false">J1099+(K1099/20)+(L1099/240)</f>
        <v>10</v>
      </c>
      <c r="N1099" s="17" t="s">
        <v>64</v>
      </c>
      <c r="O1099" s="11"/>
      <c r="P1099" s="28" t="n">
        <f aca="false">2617064/100</f>
        <v>26170.64</v>
      </c>
      <c r="Q1099" s="28" t="n">
        <v>261706</v>
      </c>
      <c r="R1099" s="28"/>
      <c r="S1099" s="28" t="n">
        <f aca="false">R1099*$M1099</f>
        <v>0</v>
      </c>
      <c r="T1099" s="28" t="n">
        <f aca="false">251959/100</f>
        <v>2519.59</v>
      </c>
      <c r="U1099" s="28" t="n">
        <v>25196</v>
      </c>
      <c r="V1099" s="28"/>
      <c r="W1099" s="28" t="n">
        <f aca="false">V1099*$M1099</f>
        <v>0</v>
      </c>
      <c r="X1099" s="28"/>
      <c r="Y1099" s="28" t="n">
        <f aca="false">X1099*$M1099</f>
        <v>0</v>
      </c>
      <c r="Z1099" s="28"/>
      <c r="AA1099" s="28" t="n">
        <f aca="false">Z1099*$M1099</f>
        <v>0</v>
      </c>
      <c r="AB1099" s="28"/>
      <c r="AC1099" s="28" t="n">
        <f aca="false">AB1099*$M1099</f>
        <v>0</v>
      </c>
      <c r="AD1099" s="28"/>
      <c r="AE1099" s="28" t="n">
        <f aca="false">AD1099*$M1099</f>
        <v>0</v>
      </c>
      <c r="AF1099" s="28"/>
      <c r="AG1099" s="28" t="n">
        <f aca="false">AF1099*$M1099</f>
        <v>0</v>
      </c>
      <c r="AH1099" s="28"/>
      <c r="AI1099" s="28" t="n">
        <f aca="false">AH1099*$M1099</f>
        <v>0</v>
      </c>
      <c r="AJ1099" s="28"/>
      <c r="AK1099" s="28" t="n">
        <f aca="false">AJ1099*$M1099</f>
        <v>0</v>
      </c>
      <c r="AL1099" s="28"/>
      <c r="AM1099" s="28" t="n">
        <f aca="false">AL1099*$M1099</f>
        <v>0</v>
      </c>
      <c r="AN1099" s="28"/>
      <c r="AO1099" s="28" t="n">
        <f aca="false">AN1099*$M1099</f>
        <v>0</v>
      </c>
      <c r="AP1099" s="28"/>
      <c r="AQ1099" s="28" t="n">
        <f aca="false">AP1099*$M1099</f>
        <v>0</v>
      </c>
      <c r="AR1099" s="28"/>
      <c r="AS1099" s="28" t="n">
        <f aca="false">AR1099*$M1099</f>
        <v>0</v>
      </c>
      <c r="AT1099" s="28"/>
      <c r="AU1099" s="28" t="n">
        <f aca="false">AT1099*$M1099</f>
        <v>0</v>
      </c>
      <c r="AV1099" s="28"/>
      <c r="AW1099" s="28" t="n">
        <f aca="false">AV1099*$M1099</f>
        <v>0</v>
      </c>
      <c r="AX1099" s="28"/>
      <c r="AY1099" s="28" t="n">
        <f aca="false">AX1099*$M1099</f>
        <v>0</v>
      </c>
      <c r="AZ1099" s="30" t="n">
        <f aca="false">2869023/100</f>
        <v>28690.23</v>
      </c>
      <c r="BA1099" s="11" t="n">
        <v>286902</v>
      </c>
      <c r="BB1099" s="31" t="n">
        <f aca="false">SUM(Q1099,S1099,U1099,W1099,Y1099,AA1099,AC1099,AE1099,AG1099,AI1099,AK1099,AM1099,AO1099,AQ1099,AS1099,AU1099,AW1099,AY1099)</f>
        <v>286902</v>
      </c>
      <c r="BC1099" s="28" t="n">
        <f aca="false">BA1099-BB1099</f>
        <v>0</v>
      </c>
      <c r="BD1099" s="32" t="n">
        <f aca="false">SUM(P1099,R1099,T1099,V1099,X1099,Z1099,AB1099,AD1099,AF1099,AH1099,AJ1099,AL1099,AN1099,AP1099,AR1099,AT1099,AV1099,AX1099)</f>
        <v>28690.23</v>
      </c>
      <c r="BE1099" s="33" t="n">
        <f aca="false">AZ1099-BD1099</f>
        <v>0</v>
      </c>
      <c r="BF1099" s="34" t="n">
        <f aca="false">BD1099*M1099</f>
        <v>286902.3</v>
      </c>
      <c r="BG1099" s="35" t="n">
        <f aca="false">BA1099-BF1099</f>
        <v>-0.299999999988358</v>
      </c>
      <c r="BH1099" s="19" t="str">
        <f aca="false">IF(BG1099=0,"",IF(BG1099&lt;&gt;BA1099,"erreur de calcul",IF(BD1099&lt;&gt;0,"pas de prix",IF(M1099&lt;&gt; 0,"pas de quantité","pas de prix, ni de quantité"))))</f>
        <v>erreur de calcul</v>
      </c>
      <c r="BI1099" s="19"/>
    </row>
    <row r="1100" customFormat="false" ht="16.65" hidden="false" customHeight="false" outlineLevel="0" collapsed="false">
      <c r="A1100" s="0" t="n">
        <v>4</v>
      </c>
      <c r="B1100" s="8" t="s">
        <v>24</v>
      </c>
      <c r="C1100" s="9" t="s">
        <v>25</v>
      </c>
      <c r="D1100" s="9" t="s">
        <v>26</v>
      </c>
      <c r="E1100" s="10" t="n">
        <v>1789</v>
      </c>
      <c r="F1100" s="9" t="s">
        <v>27</v>
      </c>
      <c r="G1100" s="9" t="s">
        <v>27</v>
      </c>
      <c r="H1100" s="11" t="n">
        <v>20</v>
      </c>
      <c r="I1100" s="11" t="s">
        <v>120</v>
      </c>
      <c r="J1100" s="14" t="n">
        <v>12</v>
      </c>
      <c r="K1100" s="14"/>
      <c r="L1100" s="16"/>
      <c r="M1100" s="27" t="n">
        <f aca="false">J1100+(K1100/20)+(L1100/240)</f>
        <v>12</v>
      </c>
      <c r="N1100" s="17" t="s">
        <v>64</v>
      </c>
      <c r="O1100" s="11" t="s">
        <v>77</v>
      </c>
      <c r="P1100" s="28"/>
      <c r="Q1100" s="28" t="n">
        <f aca="false">P1100*$M1100</f>
        <v>0</v>
      </c>
      <c r="R1100" s="28"/>
      <c r="S1100" s="28" t="n">
        <f aca="false">R1100*$M1100</f>
        <v>0</v>
      </c>
      <c r="T1100" s="28"/>
      <c r="U1100" s="28" t="n">
        <f aca="false">T1100*$M1100</f>
        <v>0</v>
      </c>
      <c r="V1100" s="28" t="n">
        <f aca="false">15268/100</f>
        <v>152.68</v>
      </c>
      <c r="W1100" s="28" t="n">
        <v>1832</v>
      </c>
      <c r="X1100" s="28"/>
      <c r="Y1100" s="28" t="n">
        <f aca="false">X1100*$M1100</f>
        <v>0</v>
      </c>
      <c r="Z1100" s="28"/>
      <c r="AA1100" s="28" t="n">
        <f aca="false">Z1100*$M1100</f>
        <v>0</v>
      </c>
      <c r="AB1100" s="28"/>
      <c r="AC1100" s="28" t="n">
        <f aca="false">AB1100*$M1100</f>
        <v>0</v>
      </c>
      <c r="AD1100" s="28"/>
      <c r="AE1100" s="28" t="n">
        <f aca="false">AD1100*$M1100</f>
        <v>0</v>
      </c>
      <c r="AF1100" s="28"/>
      <c r="AG1100" s="28" t="n">
        <f aca="false">AF1100*$M1100</f>
        <v>0</v>
      </c>
      <c r="AH1100" s="28" t="n">
        <f aca="false">26667/100</f>
        <v>266.67</v>
      </c>
      <c r="AI1100" s="28" t="n">
        <v>3200</v>
      </c>
      <c r="AJ1100" s="28"/>
      <c r="AK1100" s="28" t="n">
        <f aca="false">AJ1100*$M1100</f>
        <v>0</v>
      </c>
      <c r="AL1100" s="28"/>
      <c r="AM1100" s="28" t="n">
        <f aca="false">AL1100*$M1100</f>
        <v>0</v>
      </c>
      <c r="AN1100" s="28"/>
      <c r="AO1100" s="28" t="n">
        <f aca="false">AN1100*$M1100</f>
        <v>0</v>
      </c>
      <c r="AP1100" s="28"/>
      <c r="AQ1100" s="28" t="n">
        <f aca="false">AP1100*$M1100</f>
        <v>0</v>
      </c>
      <c r="AR1100" s="28"/>
      <c r="AS1100" s="28" t="n">
        <f aca="false">AR1100*$M1100</f>
        <v>0</v>
      </c>
      <c r="AT1100" s="28"/>
      <c r="AU1100" s="28" t="n">
        <f aca="false">AT1100*$M1100</f>
        <v>0</v>
      </c>
      <c r="AV1100" s="28"/>
      <c r="AW1100" s="28" t="n">
        <f aca="false">AV1100*$M1100</f>
        <v>0</v>
      </c>
      <c r="AX1100" s="28"/>
      <c r="AY1100" s="28" t="n">
        <f aca="false">AX1100*$M1100</f>
        <v>0</v>
      </c>
      <c r="AZ1100" s="30" t="n">
        <f aca="false">41935/100</f>
        <v>419.35</v>
      </c>
      <c r="BA1100" s="11" t="n">
        <v>5032</v>
      </c>
      <c r="BB1100" s="31" t="n">
        <f aca="false">SUM(Q1100,S1100,U1100,W1100,Y1100,AA1100,AC1100,AE1100,AG1100,AI1100,AK1100,AM1100,AO1100,AQ1100,AS1100,AU1100,AW1100,AY1100)</f>
        <v>5032</v>
      </c>
      <c r="BC1100" s="28" t="n">
        <f aca="false">BA1100-BB1100</f>
        <v>0</v>
      </c>
      <c r="BD1100" s="32" t="n">
        <f aca="false">SUM(P1100,R1100,T1100,V1100,X1100,Z1100,AB1100,AD1100,AF1100,AH1100,AJ1100,AL1100,AN1100,AP1100,AR1100,AT1100,AV1100,AX1100)</f>
        <v>419.35</v>
      </c>
      <c r="BE1100" s="33" t="n">
        <f aca="false">AZ1100-BD1100</f>
        <v>0</v>
      </c>
      <c r="BF1100" s="34" t="n">
        <f aca="false">BD1100*M1100</f>
        <v>5032.2</v>
      </c>
      <c r="BG1100" s="35" t="n">
        <f aca="false">BA1100-BF1100</f>
        <v>-0.200000000000728</v>
      </c>
      <c r="BH1100" s="19" t="str">
        <f aca="false">IF(BG1100=0,"",IF(BG1100&lt;&gt;BA1100,"erreur de calcul",IF(BD1100&lt;&gt;0,"pas de prix",IF(M1100&lt;&gt; 0,"pas de quantité","pas de prix, ni de quantité"))))</f>
        <v>erreur de calcul</v>
      </c>
      <c r="BI1100" s="19"/>
    </row>
    <row r="1101" customFormat="false" ht="15" hidden="false" customHeight="false" outlineLevel="0" collapsed="false">
      <c r="A1101" s="0" t="n">
        <v>5</v>
      </c>
      <c r="B1101" s="8" t="s">
        <v>24</v>
      </c>
      <c r="C1101" s="9" t="s">
        <v>25</v>
      </c>
      <c r="D1101" s="9" t="s">
        <v>26</v>
      </c>
      <c r="E1101" s="10" t="n">
        <v>1789</v>
      </c>
      <c r="F1101" s="9" t="s">
        <v>27</v>
      </c>
      <c r="G1101" s="9" t="s">
        <v>27</v>
      </c>
      <c r="H1101" s="11" t="n">
        <v>20</v>
      </c>
      <c r="I1101" s="11" t="s">
        <v>121</v>
      </c>
      <c r="J1101" s="14" t="n">
        <v>28</v>
      </c>
      <c r="K1101" s="14"/>
      <c r="L1101" s="16"/>
      <c r="M1101" s="27" t="n">
        <f aca="false">J1101+(K1101/20)+(L1101/240)</f>
        <v>28</v>
      </c>
      <c r="N1101" s="17" t="s">
        <v>64</v>
      </c>
      <c r="O1101" s="11"/>
      <c r="P1101" s="28"/>
      <c r="Q1101" s="28" t="n">
        <f aca="false">P1101*$M1101</f>
        <v>0</v>
      </c>
      <c r="R1101" s="28"/>
      <c r="S1101" s="28" t="n">
        <f aca="false">R1101*$M1101</f>
        <v>0</v>
      </c>
      <c r="T1101" s="28"/>
      <c r="U1101" s="28" t="n">
        <f aca="false">T1101*$M1101</f>
        <v>0</v>
      </c>
      <c r="V1101" s="28"/>
      <c r="W1101" s="28" t="n">
        <f aca="false">V1101*$M1101</f>
        <v>0</v>
      </c>
      <c r="X1101" s="28" t="n">
        <f aca="false">187504/100</f>
        <v>1875.04</v>
      </c>
      <c r="Y1101" s="28" t="n">
        <v>52501</v>
      </c>
      <c r="Z1101" s="28" t="n">
        <f aca="false">1041667/100</f>
        <v>10416.67</v>
      </c>
      <c r="AA1101" s="28" t="n">
        <v>291667</v>
      </c>
      <c r="AB1101" s="28"/>
      <c r="AC1101" s="28" t="n">
        <f aca="false">AB1101*$M1101</f>
        <v>0</v>
      </c>
      <c r="AD1101" s="28"/>
      <c r="AE1101" s="28" t="n">
        <f aca="false">AD1101*$M1101</f>
        <v>0</v>
      </c>
      <c r="AF1101" s="28"/>
      <c r="AG1101" s="28" t="n">
        <f aca="false">AF1101*$M1101</f>
        <v>0</v>
      </c>
      <c r="AH1101" s="28"/>
      <c r="AI1101" s="28" t="n">
        <f aca="false">AH1101*$M1101</f>
        <v>0</v>
      </c>
      <c r="AJ1101" s="28"/>
      <c r="AK1101" s="28" t="n">
        <f aca="false">AJ1101*$M1101</f>
        <v>0</v>
      </c>
      <c r="AL1101" s="28"/>
      <c r="AM1101" s="28" t="n">
        <f aca="false">AL1101*$M1101</f>
        <v>0</v>
      </c>
      <c r="AN1101" s="28"/>
      <c r="AO1101" s="28" t="n">
        <f aca="false">AN1101*$M1101</f>
        <v>0</v>
      </c>
      <c r="AP1101" s="28"/>
      <c r="AQ1101" s="28" t="n">
        <f aca="false">AP1101*$M1101</f>
        <v>0</v>
      </c>
      <c r="AR1101" s="28"/>
      <c r="AS1101" s="28" t="n">
        <f aca="false">AR1101*$M1101</f>
        <v>0</v>
      </c>
      <c r="AT1101" s="28"/>
      <c r="AU1101" s="28" t="n">
        <f aca="false">AT1101*$M1101</f>
        <v>0</v>
      </c>
      <c r="AV1101" s="28"/>
      <c r="AW1101" s="28" t="n">
        <f aca="false">AV1101*$M1101</f>
        <v>0</v>
      </c>
      <c r="AX1101" s="28"/>
      <c r="AY1101" s="28" t="n">
        <f aca="false">AX1101*$M1101</f>
        <v>0</v>
      </c>
      <c r="AZ1101" s="30" t="n">
        <f aca="false">1229171/100</f>
        <v>12291.71</v>
      </c>
      <c r="BA1101" s="11" t="n">
        <v>344168</v>
      </c>
      <c r="BB1101" s="31" t="n">
        <f aca="false">SUM(Q1101,S1101,U1101,W1101,Y1101,AA1101,AC1101,AE1101,AG1101,AI1101,AK1101,AM1101,AO1101,AQ1101,AS1101,AU1101,AW1101,AY1101)</f>
        <v>344168</v>
      </c>
      <c r="BC1101" s="28" t="n">
        <f aca="false">BA1101-BB1101</f>
        <v>0</v>
      </c>
      <c r="BD1101" s="32" t="n">
        <f aca="false">SUM(P1101,R1101,T1101,V1101,X1101,Z1101,AB1101,AD1101,AF1101,AH1101,AJ1101,AL1101,AN1101,AP1101,AR1101,AT1101,AV1101,AX1101)</f>
        <v>12291.71</v>
      </c>
      <c r="BE1101" s="33" t="n">
        <f aca="false">AZ1101-BD1101</f>
        <v>0</v>
      </c>
      <c r="BF1101" s="34" t="n">
        <f aca="false">BD1101*M1101</f>
        <v>344167.88</v>
      </c>
      <c r="BG1101" s="35" t="n">
        <f aca="false">BA1101-BF1101</f>
        <v>0.119999999995343</v>
      </c>
      <c r="BH1101" s="19" t="str">
        <f aca="false">IF(BG1101=0,"",IF(BG1101&lt;&gt;BA1101,"erreur de calcul",IF(BD1101&lt;&gt;0,"pas de prix",IF(M1101&lt;&gt; 0,"pas de quantité","pas de prix, ni de quantité"))))</f>
        <v>erreur de calcul</v>
      </c>
      <c r="BI1101" s="19"/>
    </row>
    <row r="1102" customFormat="false" ht="15" hidden="false" customHeight="false" outlineLevel="0" collapsed="false">
      <c r="A1102" s="0" t="n">
        <v>6</v>
      </c>
      <c r="B1102" s="8" t="s">
        <v>24</v>
      </c>
      <c r="C1102" s="9" t="s">
        <v>25</v>
      </c>
      <c r="D1102" s="9" t="s">
        <v>26</v>
      </c>
      <c r="E1102" s="10" t="n">
        <v>1789</v>
      </c>
      <c r="F1102" s="9" t="s">
        <v>27</v>
      </c>
      <c r="G1102" s="9" t="s">
        <v>27</v>
      </c>
      <c r="H1102" s="11" t="n">
        <v>20</v>
      </c>
      <c r="I1102" s="11" t="s">
        <v>122</v>
      </c>
      <c r="J1102" s="14" t="n">
        <v>16</v>
      </c>
      <c r="K1102" s="14"/>
      <c r="L1102" s="16"/>
      <c r="M1102" s="27" t="n">
        <f aca="false">J1102+(K1102/20)+(L1102/240)</f>
        <v>16</v>
      </c>
      <c r="N1102" s="17" t="s">
        <v>64</v>
      </c>
      <c r="O1102" s="11"/>
      <c r="P1102" s="28" t="n">
        <f aca="false">1774951/100</f>
        <v>17749.51</v>
      </c>
      <c r="Q1102" s="28" t="n">
        <v>283992</v>
      </c>
      <c r="R1102" s="28"/>
      <c r="S1102" s="28" t="n">
        <f aca="false">R1102*$M1102</f>
        <v>0</v>
      </c>
      <c r="T1102" s="28"/>
      <c r="U1102" s="28" t="n">
        <f aca="false">T1102*$M1102</f>
        <v>0</v>
      </c>
      <c r="V1102" s="28" t="n">
        <f aca="false">20834/100</f>
        <v>208.34</v>
      </c>
      <c r="W1102" s="28" t="n">
        <v>3333</v>
      </c>
      <c r="X1102" s="28" t="n">
        <f aca="false">85901/100</f>
        <v>859.01</v>
      </c>
      <c r="Y1102" s="28" t="n">
        <v>13744</v>
      </c>
      <c r="Z1102" s="28"/>
      <c r="AA1102" s="28" t="n">
        <f aca="false">Z1102*$M1102</f>
        <v>0</v>
      </c>
      <c r="AB1102" s="28" t="n">
        <f aca="false">6847841/100</f>
        <v>68478.41</v>
      </c>
      <c r="AC1102" s="28" t="n">
        <v>1095654</v>
      </c>
      <c r="AD1102" s="28"/>
      <c r="AE1102" s="28" t="n">
        <f aca="false">AD1102*$M1102</f>
        <v>0</v>
      </c>
      <c r="AF1102" s="28"/>
      <c r="AG1102" s="28" t="n">
        <f aca="false">AF1102*$M1102</f>
        <v>0</v>
      </c>
      <c r="AH1102" s="28" t="n">
        <f aca="false">50417/100</f>
        <v>504.17</v>
      </c>
      <c r="AI1102" s="28" t="n">
        <v>8067</v>
      </c>
      <c r="AJ1102" s="28"/>
      <c r="AK1102" s="28" t="n">
        <f aca="false">AJ1102*$M1102</f>
        <v>0</v>
      </c>
      <c r="AL1102" s="28"/>
      <c r="AM1102" s="28" t="n">
        <f aca="false">AL1102*$M1102</f>
        <v>0</v>
      </c>
      <c r="AN1102" s="28"/>
      <c r="AO1102" s="28" t="n">
        <f aca="false">AN1102*$M1102</f>
        <v>0</v>
      </c>
      <c r="AP1102" s="28"/>
      <c r="AQ1102" s="28" t="n">
        <f aca="false">AP1102*$M1102</f>
        <v>0</v>
      </c>
      <c r="AR1102" s="28"/>
      <c r="AS1102" s="28" t="n">
        <f aca="false">AR1102*$M1102</f>
        <v>0</v>
      </c>
      <c r="AT1102" s="28"/>
      <c r="AU1102" s="28" t="n">
        <f aca="false">AT1102*$M1102</f>
        <v>0</v>
      </c>
      <c r="AV1102" s="28"/>
      <c r="AW1102" s="28" t="n">
        <f aca="false">AV1102*$M1102</f>
        <v>0</v>
      </c>
      <c r="AX1102" s="28"/>
      <c r="AY1102" s="28" t="n">
        <f aca="false">AX1102*$M1102</f>
        <v>0</v>
      </c>
      <c r="AZ1102" s="30" t="n">
        <f aca="false">8779944/100</f>
        <v>87799.44</v>
      </c>
      <c r="BA1102" s="11" t="n">
        <v>1404790</v>
      </c>
      <c r="BB1102" s="31" t="n">
        <f aca="false">SUM(Q1102,S1102,U1102,W1102,Y1102,AA1102,AC1102,AE1102,AG1102,AI1102,AK1102,AM1102,AO1102,AQ1102,AS1102,AU1102,AW1102,AY1102)</f>
        <v>1404790</v>
      </c>
      <c r="BC1102" s="28" t="n">
        <f aca="false">BA1102-BB1102</f>
        <v>0</v>
      </c>
      <c r="BD1102" s="32" t="n">
        <f aca="false">SUM(P1102,R1102,T1102,V1102,X1102,Z1102,AB1102,AD1102,AF1102,AH1102,AJ1102,AL1102,AN1102,AP1102,AR1102,AT1102,AV1102,AX1102)</f>
        <v>87799.44</v>
      </c>
      <c r="BE1102" s="33" t="n">
        <f aca="false">AZ1102-BD1102</f>
        <v>0</v>
      </c>
      <c r="BF1102" s="34" t="n">
        <f aca="false">BD1102*M1102</f>
        <v>1404791.04</v>
      </c>
      <c r="BG1102" s="35" t="n">
        <f aca="false">BA1102-BF1102</f>
        <v>-1.03999999980442</v>
      </c>
      <c r="BH1102" s="19" t="str">
        <f aca="false">IF(BG1102=0,"",IF(BG1102&lt;&gt;BA1102,"erreur de calcul",IF(BD1102&lt;&gt;0,"pas de prix",IF(M1102&lt;&gt; 0,"pas de quantité","pas de prix, ni de quantité"))))</f>
        <v>erreur de calcul</v>
      </c>
      <c r="BI1102" s="19"/>
    </row>
    <row r="1103" customFormat="false" ht="15" hidden="false" customHeight="false" outlineLevel="0" collapsed="false">
      <c r="A1103" s="0" t="n">
        <v>7</v>
      </c>
      <c r="B1103" s="8" t="s">
        <v>24</v>
      </c>
      <c r="C1103" s="9" t="s">
        <v>25</v>
      </c>
      <c r="D1103" s="9" t="s">
        <v>26</v>
      </c>
      <c r="E1103" s="10" t="n">
        <v>1789</v>
      </c>
      <c r="F1103" s="9" t="s">
        <v>27</v>
      </c>
      <c r="G1103" s="9" t="s">
        <v>27</v>
      </c>
      <c r="H1103" s="11" t="n">
        <v>20</v>
      </c>
      <c r="I1103" s="11" t="s">
        <v>123</v>
      </c>
      <c r="J1103" s="14" t="n">
        <v>12</v>
      </c>
      <c r="K1103" s="14"/>
      <c r="L1103" s="16"/>
      <c r="M1103" s="27" t="n">
        <f aca="false">J1103+(K1103/20)+(L1103/240)</f>
        <v>12</v>
      </c>
      <c r="N1103" s="17" t="s">
        <v>64</v>
      </c>
      <c r="O1103" s="11"/>
      <c r="P1103" s="28"/>
      <c r="Q1103" s="28" t="n">
        <f aca="false">P1103*$M1103</f>
        <v>0</v>
      </c>
      <c r="R1103" s="28"/>
      <c r="S1103" s="28" t="n">
        <f aca="false">R1103*$M1103</f>
        <v>0</v>
      </c>
      <c r="T1103" s="28"/>
      <c r="U1103" s="28" t="n">
        <f aca="false">T1103*$M1103</f>
        <v>0</v>
      </c>
      <c r="V1103" s="28"/>
      <c r="W1103" s="28" t="n">
        <f aca="false">V1103*$M1103</f>
        <v>0</v>
      </c>
      <c r="X1103" s="28"/>
      <c r="Y1103" s="28" t="n">
        <f aca="false">X1103*$M1103</f>
        <v>0</v>
      </c>
      <c r="Z1103" s="28"/>
      <c r="AA1103" s="28" t="n">
        <f aca="false">Z1103*$M1103</f>
        <v>0</v>
      </c>
      <c r="AB1103" s="28"/>
      <c r="AC1103" s="28" t="n">
        <f aca="false">AB1103*$M1103</f>
        <v>0</v>
      </c>
      <c r="AD1103" s="28"/>
      <c r="AE1103" s="28" t="n">
        <f aca="false">AD1103*$M1103</f>
        <v>0</v>
      </c>
      <c r="AF1103" s="28"/>
      <c r="AG1103" s="28" t="n">
        <f aca="false">AF1103*$M1103</f>
        <v>0</v>
      </c>
      <c r="AH1103" s="28" t="n">
        <f aca="false">5697511/100</f>
        <v>56975.11</v>
      </c>
      <c r="AI1103" s="28" t="n">
        <v>683701</v>
      </c>
      <c r="AJ1103" s="28"/>
      <c r="AK1103" s="28" t="n">
        <f aca="false">AJ1103*$M1103</f>
        <v>0</v>
      </c>
      <c r="AL1103" s="28"/>
      <c r="AM1103" s="28" t="n">
        <f aca="false">AL1103*$M1103</f>
        <v>0</v>
      </c>
      <c r="AN1103" s="28"/>
      <c r="AO1103" s="28" t="n">
        <f aca="false">AN1103*$M1103</f>
        <v>0</v>
      </c>
      <c r="AP1103" s="28"/>
      <c r="AQ1103" s="28" t="n">
        <f aca="false">AP1103*$M1103</f>
        <v>0</v>
      </c>
      <c r="AR1103" s="28"/>
      <c r="AS1103" s="28" t="n">
        <f aca="false">AR1103*$M1103</f>
        <v>0</v>
      </c>
      <c r="AT1103" s="28"/>
      <c r="AU1103" s="28" t="n">
        <f aca="false">AT1103*$M1103</f>
        <v>0</v>
      </c>
      <c r="AV1103" s="28"/>
      <c r="AW1103" s="28" t="n">
        <f aca="false">AV1103*$M1103</f>
        <v>0</v>
      </c>
      <c r="AX1103" s="28"/>
      <c r="AY1103" s="28" t="n">
        <f aca="false">AX1103*$M1103</f>
        <v>0</v>
      </c>
      <c r="AZ1103" s="30" t="n">
        <f aca="false">5697511/100</f>
        <v>56975.11</v>
      </c>
      <c r="BA1103" s="11" t="n">
        <v>683701</v>
      </c>
      <c r="BB1103" s="31" t="n">
        <f aca="false">SUM(Q1103,S1103,U1103,W1103,Y1103,AA1103,AC1103,AE1103,AG1103,AI1103,AK1103,AM1103,AO1103,AQ1103,AS1103,AU1103,AW1103,AY1103)</f>
        <v>683701</v>
      </c>
      <c r="BC1103" s="28" t="n">
        <f aca="false">BA1103-BB1103</f>
        <v>0</v>
      </c>
      <c r="BD1103" s="32" t="n">
        <f aca="false">SUM(P1103,R1103,T1103,V1103,X1103,Z1103,AB1103,AD1103,AF1103,AH1103,AJ1103,AL1103,AN1103,AP1103,AR1103,AT1103,AV1103,AX1103)</f>
        <v>56975.11</v>
      </c>
      <c r="BE1103" s="33" t="n">
        <f aca="false">AZ1103-BD1103</f>
        <v>0</v>
      </c>
      <c r="BF1103" s="34" t="n">
        <f aca="false">BD1103*M1103</f>
        <v>683701.32</v>
      </c>
      <c r="BG1103" s="35" t="n">
        <f aca="false">BA1103-BF1103</f>
        <v>-0.320000000065193</v>
      </c>
      <c r="BH1103" s="19" t="str">
        <f aca="false">IF(BG1103=0,"",IF(BG1103&lt;&gt;BA1103,"erreur de calcul",IF(BD1103&lt;&gt;0,"pas de prix",IF(M1103&lt;&gt; 0,"pas de quantité","pas de prix, ni de quantité"))))</f>
        <v>erreur de calcul</v>
      </c>
      <c r="BI1103" s="19"/>
    </row>
    <row r="1104" customFormat="false" ht="15" hidden="false" customHeight="false" outlineLevel="0" collapsed="false">
      <c r="A1104" s="0" t="n">
        <v>8</v>
      </c>
      <c r="B1104" s="8" t="s">
        <v>24</v>
      </c>
      <c r="C1104" s="9" t="s">
        <v>25</v>
      </c>
      <c r="D1104" s="9" t="s">
        <v>26</v>
      </c>
      <c r="E1104" s="10" t="n">
        <v>1789</v>
      </c>
      <c r="F1104" s="9" t="s">
        <v>27</v>
      </c>
      <c r="G1104" s="9" t="s">
        <v>27</v>
      </c>
      <c r="H1104" s="11" t="n">
        <v>20</v>
      </c>
      <c r="I1104" s="11" t="s">
        <v>124</v>
      </c>
      <c r="J1104" s="14" t="n">
        <v>34</v>
      </c>
      <c r="K1104" s="14"/>
      <c r="L1104" s="16"/>
      <c r="M1104" s="27" t="n">
        <f aca="false">J1104+(K1104/20)+(L1104/240)</f>
        <v>34</v>
      </c>
      <c r="N1104" s="17" t="s">
        <v>64</v>
      </c>
      <c r="O1104" s="11"/>
      <c r="P1104" s="28"/>
      <c r="Q1104" s="28" t="n">
        <f aca="false">P1104*$M1104</f>
        <v>0</v>
      </c>
      <c r="R1104" s="28"/>
      <c r="S1104" s="28" t="n">
        <f aca="false">R1104*$M1104</f>
        <v>0</v>
      </c>
      <c r="T1104" s="28" t="n">
        <f aca="false">528/100</f>
        <v>5.28</v>
      </c>
      <c r="U1104" s="28" t="n">
        <v>179</v>
      </c>
      <c r="V1104" s="28"/>
      <c r="W1104" s="28" t="n">
        <f aca="false">V1104*$M1104</f>
        <v>0</v>
      </c>
      <c r="X1104" s="28" t="n">
        <f aca="false">1014/100</f>
        <v>10.14</v>
      </c>
      <c r="Y1104" s="36" t="n">
        <v>243</v>
      </c>
      <c r="Z1104" s="28"/>
      <c r="AA1104" s="28" t="n">
        <f aca="false">Z1104*$M1104</f>
        <v>0</v>
      </c>
      <c r="AB1104" s="28"/>
      <c r="AC1104" s="28" t="n">
        <f aca="false">AB1104*$M1104</f>
        <v>0</v>
      </c>
      <c r="AD1104" s="28"/>
      <c r="AE1104" s="28" t="n">
        <f aca="false">AD1104*$M1104</f>
        <v>0</v>
      </c>
      <c r="AF1104" s="28"/>
      <c r="AG1104" s="28" t="n">
        <f aca="false">AF1104*$M1104</f>
        <v>0</v>
      </c>
      <c r="AH1104" s="28"/>
      <c r="AI1104" s="28" t="n">
        <f aca="false">AH1104*$M1104</f>
        <v>0</v>
      </c>
      <c r="AJ1104" s="28" t="n">
        <f aca="false">1917/100</f>
        <v>19.17</v>
      </c>
      <c r="AK1104" s="28" t="n">
        <v>652</v>
      </c>
      <c r="AL1104" s="28"/>
      <c r="AM1104" s="28" t="n">
        <f aca="false">AL1104*$M1104</f>
        <v>0</v>
      </c>
      <c r="AN1104" s="28"/>
      <c r="AO1104" s="28" t="n">
        <f aca="false">AN1104*$M1104</f>
        <v>0</v>
      </c>
      <c r="AP1104" s="28"/>
      <c r="AQ1104" s="28" t="n">
        <f aca="false">AP1104*$M1104</f>
        <v>0</v>
      </c>
      <c r="AR1104" s="28"/>
      <c r="AS1104" s="28" t="n">
        <f aca="false">AR1104*$M1104</f>
        <v>0</v>
      </c>
      <c r="AT1104" s="28"/>
      <c r="AU1104" s="28" t="n">
        <f aca="false">AT1104*$M1104</f>
        <v>0</v>
      </c>
      <c r="AV1104" s="28"/>
      <c r="AW1104" s="28" t="n">
        <f aca="false">AV1104*$M1104</f>
        <v>0</v>
      </c>
      <c r="AX1104" s="28"/>
      <c r="AY1104" s="28" t="n">
        <f aca="false">AX1104*$M1104</f>
        <v>0</v>
      </c>
      <c r="AZ1104" s="30" t="n">
        <f aca="false">3459/100</f>
        <v>34.59</v>
      </c>
      <c r="BA1104" s="11" t="n">
        <v>1074</v>
      </c>
      <c r="BB1104" s="31" t="n">
        <f aca="false">SUM(Q1104,S1104,U1104,W1104,Y1104,AA1104,AC1104,AE1104,AG1104,AI1104,AK1104,AM1104,AO1104,AQ1104,AS1104,AU1104,AW1104,AY1104)</f>
        <v>1074</v>
      </c>
      <c r="BC1104" s="28" t="n">
        <f aca="false">BA1104-BB1104</f>
        <v>0</v>
      </c>
      <c r="BD1104" s="32" t="n">
        <f aca="false">SUM(P1104,R1104,T1104,V1104,X1104,Z1104,AB1104,AD1104,AF1104,AH1104,AJ1104,AL1104,AN1104,AP1104,AR1104,AT1104,AV1104,AX1104)</f>
        <v>34.59</v>
      </c>
      <c r="BE1104" s="33" t="n">
        <f aca="false">AZ1104-BD1104</f>
        <v>0</v>
      </c>
      <c r="BF1104" s="34" t="n">
        <f aca="false">BD1104*M1104</f>
        <v>1176.06</v>
      </c>
      <c r="BG1104" s="35" t="n">
        <f aca="false">BA1104-BF1104</f>
        <v>-102.06</v>
      </c>
      <c r="BH1104" s="19" t="str">
        <f aca="false">IF(BG1104=0,"",IF(BG1104&lt;&gt;BA1104,"erreur de calcul",IF(BD1104&lt;&gt;0,"pas de prix",IF(M1104&lt;&gt; 0,"pas de quantité","pas de prix, ni de quantité"))))</f>
        <v>erreur de calcul</v>
      </c>
      <c r="BI1104" s="19"/>
    </row>
    <row r="1105" customFormat="false" ht="15" hidden="false" customHeight="false" outlineLevel="0" collapsed="false">
      <c r="A1105" s="0" t="n">
        <v>9</v>
      </c>
      <c r="B1105" s="8" t="s">
        <v>24</v>
      </c>
      <c r="C1105" s="9" t="s">
        <v>25</v>
      </c>
      <c r="D1105" s="9" t="s">
        <v>26</v>
      </c>
      <c r="E1105" s="10" t="n">
        <v>1789</v>
      </c>
      <c r="F1105" s="9" t="s">
        <v>27</v>
      </c>
      <c r="G1105" s="9" t="s">
        <v>27</v>
      </c>
      <c r="H1105" s="11" t="n">
        <v>20</v>
      </c>
      <c r="I1105" s="11" t="s">
        <v>125</v>
      </c>
      <c r="J1105" s="14" t="n">
        <v>30</v>
      </c>
      <c r="K1105" s="14"/>
      <c r="L1105" s="16"/>
      <c r="M1105" s="27" t="n">
        <f aca="false">J1105+(K1105/20)+(L1105/240)</f>
        <v>30</v>
      </c>
      <c r="N1105" s="17" t="s">
        <v>64</v>
      </c>
      <c r="O1105" s="11"/>
      <c r="P1105" s="28" t="n">
        <f aca="false">31476/100</f>
        <v>314.76</v>
      </c>
      <c r="Q1105" s="28" t="n">
        <v>9443</v>
      </c>
      <c r="R1105" s="28"/>
      <c r="S1105" s="28" t="n">
        <f aca="false">R1105*$M1105</f>
        <v>0</v>
      </c>
      <c r="T1105" s="28"/>
      <c r="U1105" s="28" t="n">
        <f aca="false">T1105*$M1105</f>
        <v>0</v>
      </c>
      <c r="V1105" s="28"/>
      <c r="W1105" s="28" t="n">
        <f aca="false">V1105*$M1105</f>
        <v>0</v>
      </c>
      <c r="X1105" s="28" t="n">
        <f aca="false">2320/100</f>
        <v>23.2</v>
      </c>
      <c r="Y1105" s="28" t="n">
        <v>696</v>
      </c>
      <c r="Z1105" s="28"/>
      <c r="AA1105" s="28" t="n">
        <f aca="false">Z1105*$M1105</f>
        <v>0</v>
      </c>
      <c r="AB1105" s="28"/>
      <c r="AC1105" s="28" t="n">
        <f aca="false">AB1105*$M1105</f>
        <v>0</v>
      </c>
      <c r="AD1105" s="28"/>
      <c r="AE1105" s="28" t="n">
        <f aca="false">AD1105*$M1105</f>
        <v>0</v>
      </c>
      <c r="AF1105" s="28"/>
      <c r="AG1105" s="28" t="n">
        <f aca="false">AF1105*$M1105</f>
        <v>0</v>
      </c>
      <c r="AH1105" s="28"/>
      <c r="AI1105" s="28" t="n">
        <f aca="false">AH1105*$M1105</f>
        <v>0</v>
      </c>
      <c r="AJ1105" s="28"/>
      <c r="AK1105" s="28" t="n">
        <f aca="false">AJ1105*$M1105</f>
        <v>0</v>
      </c>
      <c r="AL1105" s="28"/>
      <c r="AM1105" s="28" t="n">
        <f aca="false">AL1105*$M1105</f>
        <v>0</v>
      </c>
      <c r="AN1105" s="28"/>
      <c r="AO1105" s="28" t="n">
        <f aca="false">AN1105*$M1105</f>
        <v>0</v>
      </c>
      <c r="AP1105" s="28" t="n">
        <f aca="false">5100/100</f>
        <v>51</v>
      </c>
      <c r="AQ1105" s="28" t="n">
        <v>1530</v>
      </c>
      <c r="AR1105" s="28"/>
      <c r="AS1105" s="28" t="n">
        <f aca="false">AR1105*$M1105</f>
        <v>0</v>
      </c>
      <c r="AT1105" s="28"/>
      <c r="AU1105" s="28" t="n">
        <f aca="false">AT1105*$M1105</f>
        <v>0</v>
      </c>
      <c r="AV1105" s="28"/>
      <c r="AW1105" s="28" t="n">
        <f aca="false">AV1105*$M1105</f>
        <v>0</v>
      </c>
      <c r="AX1105" s="28" t="n">
        <f aca="false">26345/100</f>
        <v>263.45</v>
      </c>
      <c r="AY1105" s="28" t="n">
        <v>7903</v>
      </c>
      <c r="AZ1105" s="30" t="n">
        <f aca="false">65241/100</f>
        <v>652.41</v>
      </c>
      <c r="BA1105" s="11" t="n">
        <v>19572</v>
      </c>
      <c r="BB1105" s="31" t="n">
        <f aca="false">SUM(Q1105,S1105,U1105,W1105,Y1105,AA1105,AC1105,AE1105,AG1105,AI1105,AK1105,AM1105,AO1105,AQ1105,AS1105,AU1105,AW1105,AY1105)</f>
        <v>19572</v>
      </c>
      <c r="BC1105" s="28" t="n">
        <f aca="false">BA1105-BB1105</f>
        <v>0</v>
      </c>
      <c r="BD1105" s="32" t="n">
        <f aca="false">SUM(P1105,R1105,T1105,V1105,X1105,Z1105,AB1105,AD1105,AF1105,AH1105,AJ1105,AL1105,AN1105,AP1105,AR1105,AT1105,AV1105,AX1105)</f>
        <v>652.41</v>
      </c>
      <c r="BE1105" s="33" t="n">
        <f aca="false">AZ1105-BD1105</f>
        <v>0</v>
      </c>
      <c r="BF1105" s="34" t="n">
        <f aca="false">BD1105*M1105</f>
        <v>19572.3</v>
      </c>
      <c r="BG1105" s="35" t="n">
        <f aca="false">BA1105-BF1105</f>
        <v>-0.299999999999272</v>
      </c>
      <c r="BH1105" s="19" t="str">
        <f aca="false">IF(BG1105=0,"",IF(BG1105&lt;&gt;BA1105,"erreur de calcul",IF(BD1105&lt;&gt;0,"pas de prix",IF(M1105&lt;&gt; 0,"pas de quantité","pas de prix, ni de quantité"))))</f>
        <v>erreur de calcul</v>
      </c>
      <c r="BI1105" s="19"/>
    </row>
    <row r="1106" customFormat="false" ht="15" hidden="false" customHeight="false" outlineLevel="0" collapsed="false">
      <c r="A1106" s="0" t="n">
        <v>10</v>
      </c>
      <c r="B1106" s="8" t="s">
        <v>24</v>
      </c>
      <c r="C1106" s="9" t="s">
        <v>25</v>
      </c>
      <c r="D1106" s="9" t="s">
        <v>26</v>
      </c>
      <c r="E1106" s="10" t="n">
        <v>1789</v>
      </c>
      <c r="F1106" s="9" t="s">
        <v>27</v>
      </c>
      <c r="G1106" s="9" t="s">
        <v>27</v>
      </c>
      <c r="H1106" s="11" t="n">
        <v>20</v>
      </c>
      <c r="I1106" s="11" t="s">
        <v>126</v>
      </c>
      <c r="J1106" s="14" t="n">
        <v>75</v>
      </c>
      <c r="K1106" s="14"/>
      <c r="L1106" s="16"/>
      <c r="M1106" s="27" t="n">
        <f aca="false">J1106+(K1106/20)+(L1106/240)</f>
        <v>75</v>
      </c>
      <c r="N1106" s="17" t="s">
        <v>64</v>
      </c>
      <c r="O1106" s="11"/>
      <c r="P1106" s="28"/>
      <c r="Q1106" s="28" t="n">
        <f aca="false">P1106*$M1106</f>
        <v>0</v>
      </c>
      <c r="R1106" s="28"/>
      <c r="S1106" s="28" t="n">
        <f aca="false">R1106*$M1106</f>
        <v>0</v>
      </c>
      <c r="T1106" s="28"/>
      <c r="U1106" s="28" t="n">
        <f aca="false">T1106*$M1106</f>
        <v>0</v>
      </c>
      <c r="V1106" s="28" t="n">
        <f aca="false">223/100</f>
        <v>2.23</v>
      </c>
      <c r="W1106" s="28" t="n">
        <v>167</v>
      </c>
      <c r="X1106" s="28" t="n">
        <f aca="false">2897/100</f>
        <v>28.97</v>
      </c>
      <c r="Y1106" s="28" t="n">
        <v>2173</v>
      </c>
      <c r="Z1106" s="28"/>
      <c r="AA1106" s="28" t="n">
        <f aca="false">Z1106*$M1106</f>
        <v>0</v>
      </c>
      <c r="AB1106" s="28"/>
      <c r="AC1106" s="28" t="n">
        <f aca="false">AB1106*$M1106</f>
        <v>0</v>
      </c>
      <c r="AD1106" s="28"/>
      <c r="AE1106" s="28" t="n">
        <f aca="false">AD1106*$M1106</f>
        <v>0</v>
      </c>
      <c r="AF1106" s="28"/>
      <c r="AG1106" s="28" t="n">
        <f aca="false">AF1106*$M1106</f>
        <v>0</v>
      </c>
      <c r="AH1106" s="28"/>
      <c r="AI1106" s="28" t="n">
        <f aca="false">AH1106*$M1106</f>
        <v>0</v>
      </c>
      <c r="AJ1106" s="28"/>
      <c r="AK1106" s="28" t="n">
        <f aca="false">AJ1106*$M1106</f>
        <v>0</v>
      </c>
      <c r="AL1106" s="28"/>
      <c r="AM1106" s="28" t="n">
        <f aca="false">AL1106*$M1106</f>
        <v>0</v>
      </c>
      <c r="AN1106" s="28"/>
      <c r="AO1106" s="28" t="n">
        <f aca="false">AN1106*$M1106</f>
        <v>0</v>
      </c>
      <c r="AP1106" s="28"/>
      <c r="AQ1106" s="28" t="n">
        <f aca="false">AP1106*$M1106</f>
        <v>0</v>
      </c>
      <c r="AR1106" s="28"/>
      <c r="AS1106" s="28" t="n">
        <f aca="false">AR1106*$M1106</f>
        <v>0</v>
      </c>
      <c r="AT1106" s="28"/>
      <c r="AU1106" s="28" t="n">
        <f aca="false">AT1106*$M1106</f>
        <v>0</v>
      </c>
      <c r="AV1106" s="28"/>
      <c r="AW1106" s="28" t="n">
        <f aca="false">AV1106*$M1106</f>
        <v>0</v>
      </c>
      <c r="AX1106" s="28"/>
      <c r="AY1106" s="28" t="n">
        <f aca="false">AX1106*$M1106</f>
        <v>0</v>
      </c>
      <c r="AZ1106" s="30" t="n">
        <f aca="false">3120/100</f>
        <v>31.2</v>
      </c>
      <c r="BA1106" s="11" t="n">
        <v>2340</v>
      </c>
      <c r="BB1106" s="31" t="n">
        <f aca="false">SUM(Q1106,S1106,U1106,W1106,Y1106,AA1106,AC1106,AE1106,AG1106,AI1106,AK1106,AM1106,AO1106,AQ1106,AS1106,AU1106,AW1106,AY1106)</f>
        <v>2340</v>
      </c>
      <c r="BC1106" s="28" t="n">
        <f aca="false">BA1106-BB1106</f>
        <v>0</v>
      </c>
      <c r="BD1106" s="32" t="n">
        <f aca="false">SUM(P1106,R1106,T1106,V1106,X1106,Z1106,AB1106,AD1106,AF1106,AH1106,AJ1106,AL1106,AN1106,AP1106,AR1106,AT1106,AV1106,AX1106)</f>
        <v>31.2</v>
      </c>
      <c r="BE1106" s="33" t="n">
        <f aca="false">AZ1106-BD1106</f>
        <v>0</v>
      </c>
      <c r="BF1106" s="34" t="n">
        <f aca="false">BD1106*M1106</f>
        <v>2340</v>
      </c>
      <c r="BG1106" s="35" t="n">
        <f aca="false">BA1106-BF1106</f>
        <v>0</v>
      </c>
      <c r="BH1106" s="19" t="str">
        <f aca="false">IF(BG1106=0,"",IF(BG1106&lt;&gt;BA1106,"erreur de calcul",IF(BD1106&lt;&gt;0,"pas de prix",IF(M1106&lt;&gt; 0,"pas de quantité","pas de prix, ni de quantité"))))</f>
        <v/>
      </c>
      <c r="BI1106" s="19"/>
    </row>
    <row r="1107" customFormat="false" ht="15" hidden="false" customHeight="false" outlineLevel="0" collapsed="false">
      <c r="A1107" s="0" t="n">
        <v>11</v>
      </c>
      <c r="B1107" s="8" t="s">
        <v>24</v>
      </c>
      <c r="C1107" s="9" t="s">
        <v>25</v>
      </c>
      <c r="D1107" s="9" t="s">
        <v>26</v>
      </c>
      <c r="E1107" s="10" t="n">
        <v>1789</v>
      </c>
      <c r="F1107" s="9" t="s">
        <v>27</v>
      </c>
      <c r="G1107" s="9" t="s">
        <v>27</v>
      </c>
      <c r="H1107" s="11" t="n">
        <v>20</v>
      </c>
      <c r="I1107" s="11" t="s">
        <v>127</v>
      </c>
      <c r="J1107" s="14" t="n">
        <v>75</v>
      </c>
      <c r="K1107" s="14"/>
      <c r="L1107" s="16"/>
      <c r="M1107" s="27" t="n">
        <f aca="false">J1107+(K1107/20)+(L1107/240)</f>
        <v>75</v>
      </c>
      <c r="N1107" s="17" t="s">
        <v>64</v>
      </c>
      <c r="O1107" s="11"/>
      <c r="P1107" s="28"/>
      <c r="Q1107" s="28" t="n">
        <f aca="false">P1107*$M1107</f>
        <v>0</v>
      </c>
      <c r="R1107" s="28"/>
      <c r="S1107" s="28" t="n">
        <f aca="false">R1107*$M1107</f>
        <v>0</v>
      </c>
      <c r="T1107" s="28" t="n">
        <f aca="false">5807/100</f>
        <v>58.07</v>
      </c>
      <c r="U1107" s="28" t="n">
        <v>4355</v>
      </c>
      <c r="V1107" s="28"/>
      <c r="W1107" s="28" t="n">
        <f aca="false">V1107*$M1107</f>
        <v>0</v>
      </c>
      <c r="X1107" s="28"/>
      <c r="Y1107" s="28" t="n">
        <f aca="false">X1107*$M1107</f>
        <v>0</v>
      </c>
      <c r="Z1107" s="28"/>
      <c r="AA1107" s="28" t="n">
        <f aca="false">Z1107*$M1107</f>
        <v>0</v>
      </c>
      <c r="AB1107" s="28"/>
      <c r="AC1107" s="28" t="n">
        <f aca="false">AB1107*$M1107</f>
        <v>0</v>
      </c>
      <c r="AD1107" s="28"/>
      <c r="AE1107" s="28" t="n">
        <f aca="false">AD1107*$M1107</f>
        <v>0</v>
      </c>
      <c r="AF1107" s="28"/>
      <c r="AG1107" s="28" t="n">
        <f aca="false">AF1107*$M1107</f>
        <v>0</v>
      </c>
      <c r="AH1107" s="28"/>
      <c r="AI1107" s="28" t="n">
        <f aca="false">AH1107*$M1107</f>
        <v>0</v>
      </c>
      <c r="AJ1107" s="28"/>
      <c r="AK1107" s="28" t="n">
        <f aca="false">AJ1107*$M1107</f>
        <v>0</v>
      </c>
      <c r="AL1107" s="28"/>
      <c r="AM1107" s="28" t="n">
        <f aca="false">AL1107*$M1107</f>
        <v>0</v>
      </c>
      <c r="AN1107" s="28"/>
      <c r="AO1107" s="28" t="n">
        <f aca="false">AN1107*$M1107</f>
        <v>0</v>
      </c>
      <c r="AP1107" s="28"/>
      <c r="AQ1107" s="28" t="n">
        <f aca="false">AP1107*$M1107</f>
        <v>0</v>
      </c>
      <c r="AR1107" s="28"/>
      <c r="AS1107" s="28" t="n">
        <f aca="false">AR1107*$M1107</f>
        <v>0</v>
      </c>
      <c r="AT1107" s="28"/>
      <c r="AU1107" s="28" t="n">
        <f aca="false">AT1107*$M1107</f>
        <v>0</v>
      </c>
      <c r="AV1107" s="28"/>
      <c r="AW1107" s="28" t="n">
        <f aca="false">AV1107*$M1107</f>
        <v>0</v>
      </c>
      <c r="AX1107" s="28"/>
      <c r="AY1107" s="28" t="n">
        <f aca="false">AX1107*$M1107</f>
        <v>0</v>
      </c>
      <c r="AZ1107" s="30" t="n">
        <f aca="false">5807/100</f>
        <v>58.07</v>
      </c>
      <c r="BA1107" s="11" t="n">
        <v>4355</v>
      </c>
      <c r="BB1107" s="31" t="n">
        <f aca="false">SUM(Q1107,S1107,U1107,W1107,Y1107,AA1107,AC1107,AE1107,AG1107,AI1107,AK1107,AM1107,AO1107,AQ1107,AS1107,AU1107,AW1107,AY1107)</f>
        <v>4355</v>
      </c>
      <c r="BC1107" s="28" t="n">
        <f aca="false">BA1107-BB1107</f>
        <v>0</v>
      </c>
      <c r="BD1107" s="32" t="n">
        <f aca="false">SUM(P1107,R1107,T1107,V1107,X1107,Z1107,AB1107,AD1107,AF1107,AH1107,AJ1107,AL1107,AN1107,AP1107,AR1107,AT1107,AV1107,AX1107)</f>
        <v>58.07</v>
      </c>
      <c r="BE1107" s="33" t="n">
        <f aca="false">AZ1107-BD1107</f>
        <v>0</v>
      </c>
      <c r="BF1107" s="34" t="n">
        <f aca="false">BD1107*M1107</f>
        <v>4355.25</v>
      </c>
      <c r="BG1107" s="35" t="n">
        <f aca="false">BA1107-BF1107</f>
        <v>-0.25</v>
      </c>
      <c r="BH1107" s="19" t="str">
        <f aca="false">IF(BG1107=0,"",IF(BG1107&lt;&gt;BA1107,"erreur de calcul",IF(BD1107&lt;&gt;0,"pas de prix",IF(M1107&lt;&gt; 0,"pas de quantité","pas de prix, ni de quantité"))))</f>
        <v>erreur de calcul</v>
      </c>
      <c r="BI1107" s="19"/>
    </row>
    <row r="1108" customFormat="false" ht="15" hidden="false" customHeight="false" outlineLevel="0" collapsed="false">
      <c r="A1108" s="0" t="n">
        <v>12</v>
      </c>
      <c r="B1108" s="8" t="s">
        <v>24</v>
      </c>
      <c r="C1108" s="9" t="s">
        <v>25</v>
      </c>
      <c r="D1108" s="9" t="s">
        <v>26</v>
      </c>
      <c r="E1108" s="10" t="n">
        <v>1789</v>
      </c>
      <c r="F1108" s="9" t="s">
        <v>27</v>
      </c>
      <c r="G1108" s="9" t="s">
        <v>27</v>
      </c>
      <c r="H1108" s="11" t="n">
        <v>20</v>
      </c>
      <c r="I1108" s="11" t="s">
        <v>128</v>
      </c>
      <c r="J1108" s="14" t="n">
        <v>42</v>
      </c>
      <c r="K1108" s="14"/>
      <c r="L1108" s="16"/>
      <c r="M1108" s="27" t="n">
        <f aca="false">J1108+(K1108/20)+(L1108/240)</f>
        <v>42</v>
      </c>
      <c r="N1108" s="17" t="s">
        <v>64</v>
      </c>
      <c r="O1108" s="11"/>
      <c r="P1108" s="28"/>
      <c r="Q1108" s="28" t="n">
        <f aca="false">P1108*$M1108</f>
        <v>0</v>
      </c>
      <c r="R1108" s="28"/>
      <c r="S1108" s="28" t="n">
        <f aca="false">R1108*$M1108</f>
        <v>0</v>
      </c>
      <c r="T1108" s="28" t="n">
        <f aca="false">347073/100</f>
        <v>3470.73</v>
      </c>
      <c r="U1108" s="28" t="n">
        <v>145771</v>
      </c>
      <c r="V1108" s="28" t="n">
        <f aca="false">188616/100</f>
        <v>1886.16</v>
      </c>
      <c r="W1108" s="28" t="n">
        <v>79219</v>
      </c>
      <c r="X1108" s="28" t="n">
        <f aca="false">518894/100</f>
        <v>5188.94</v>
      </c>
      <c r="Y1108" s="28" t="n">
        <v>217935</v>
      </c>
      <c r="Z1108" s="28" t="n">
        <f aca="false">965148/100</f>
        <v>9651.48</v>
      </c>
      <c r="AA1108" s="28" t="n">
        <v>405362</v>
      </c>
      <c r="AB1108" s="28" t="n">
        <f aca="false">759238/100</f>
        <v>7592.38</v>
      </c>
      <c r="AC1108" s="28" t="n">
        <v>318880</v>
      </c>
      <c r="AD1108" s="28" t="n">
        <f aca="false">254167/100</f>
        <v>2541.67</v>
      </c>
      <c r="AE1108" s="28" t="n">
        <v>106750</v>
      </c>
      <c r="AF1108" s="28"/>
      <c r="AG1108" s="28" t="n">
        <f aca="false">AF1108*$M1108</f>
        <v>0</v>
      </c>
      <c r="AH1108" s="28"/>
      <c r="AI1108" s="28" t="n">
        <f aca="false">AH1108*$M1108</f>
        <v>0</v>
      </c>
      <c r="AJ1108" s="28"/>
      <c r="AK1108" s="28" t="n">
        <f aca="false">AJ1108*$M1108</f>
        <v>0</v>
      </c>
      <c r="AL1108" s="28" t="n">
        <f aca="false">73551/100</f>
        <v>735.51</v>
      </c>
      <c r="AM1108" s="28" t="n">
        <v>30891</v>
      </c>
      <c r="AN1108" s="28"/>
      <c r="AO1108" s="28" t="n">
        <f aca="false">AN1108*$M1108</f>
        <v>0</v>
      </c>
      <c r="AP1108" s="28" t="n">
        <f aca="false">45836/100</f>
        <v>458.36</v>
      </c>
      <c r="AQ1108" s="28" t="n">
        <v>19251</v>
      </c>
      <c r="AR1108" s="28"/>
      <c r="AS1108" s="28" t="n">
        <f aca="false">AR1108*$M1108</f>
        <v>0</v>
      </c>
      <c r="AT1108" s="28"/>
      <c r="AU1108" s="28" t="n">
        <f aca="false">AT1108*$M1108</f>
        <v>0</v>
      </c>
      <c r="AV1108" s="28" t="n">
        <f aca="false">566574/100</f>
        <v>5665.74</v>
      </c>
      <c r="AW1108" s="28" t="n">
        <v>237961</v>
      </c>
      <c r="AX1108" s="28"/>
      <c r="AY1108" s="28" t="n">
        <f aca="false">AX1108*$M1108</f>
        <v>0</v>
      </c>
      <c r="AZ1108" s="30" t="n">
        <f aca="false">3719097/100</f>
        <v>37190.97</v>
      </c>
      <c r="BA1108" s="11" t="n">
        <v>1562020</v>
      </c>
      <c r="BB1108" s="31" t="n">
        <f aca="false">SUM(Q1108,S1108,U1108,W1108,Y1108,AA1108,AC1108,AE1108,AG1108,AI1108,AK1108,AM1108,AO1108,AQ1108,AS1108,AU1108,AW1108,AY1108)</f>
        <v>1562020</v>
      </c>
      <c r="BC1108" s="28" t="n">
        <f aca="false">BA1108-BB1108</f>
        <v>0</v>
      </c>
      <c r="BD1108" s="32" t="n">
        <f aca="false">SUM(P1108,R1108,T1108,V1108,X1108,Z1108,AB1108,AD1108,AF1108,AH1108,AJ1108,AL1108,AN1108,AP1108,AR1108,AT1108,AV1108,AX1108)</f>
        <v>37190.97</v>
      </c>
      <c r="BE1108" s="33" t="n">
        <f aca="false">AZ1108-BD1108</f>
        <v>0</v>
      </c>
      <c r="BF1108" s="34" t="n">
        <f aca="false">BD1108*M1108</f>
        <v>1562020.74</v>
      </c>
      <c r="BG1108" s="35" t="n">
        <f aca="false">BA1108-BF1108</f>
        <v>-0.739999999990687</v>
      </c>
      <c r="BH1108" s="19" t="str">
        <f aca="false">IF(BG1108=0,"",IF(BG1108&lt;&gt;BA1108,"erreur de calcul",IF(BD1108&lt;&gt;0,"pas de prix",IF(M1108&lt;&gt; 0,"pas de quantité","pas de prix, ni de quantité"))))</f>
        <v>erreur de calcul</v>
      </c>
      <c r="BI1108" s="19"/>
    </row>
    <row r="1109" customFormat="false" ht="15" hidden="false" customHeight="false" outlineLevel="0" collapsed="false">
      <c r="A1109" s="0" t="n">
        <v>13</v>
      </c>
      <c r="B1109" s="8" t="s">
        <v>24</v>
      </c>
      <c r="C1109" s="9" t="s">
        <v>25</v>
      </c>
      <c r="D1109" s="9" t="s">
        <v>26</v>
      </c>
      <c r="E1109" s="10" t="n">
        <v>1789</v>
      </c>
      <c r="F1109" s="9" t="s">
        <v>27</v>
      </c>
      <c r="G1109" s="9" t="s">
        <v>27</v>
      </c>
      <c r="H1109" s="11" t="n">
        <v>20</v>
      </c>
      <c r="I1109" s="11" t="s">
        <v>129</v>
      </c>
      <c r="J1109" s="14" t="n">
        <v>75</v>
      </c>
      <c r="K1109" s="14"/>
      <c r="L1109" s="16"/>
      <c r="M1109" s="27" t="n">
        <f aca="false">J1109+(K1109/20)+(L1109/240)</f>
        <v>75</v>
      </c>
      <c r="N1109" s="17" t="s">
        <v>64</v>
      </c>
      <c r="O1109" s="11"/>
      <c r="P1109" s="28"/>
      <c r="Q1109" s="28" t="n">
        <f aca="false">P1109*$M1109</f>
        <v>0</v>
      </c>
      <c r="R1109" s="28"/>
      <c r="S1109" s="28" t="n">
        <f aca="false">R1109*$M1109</f>
        <v>0</v>
      </c>
      <c r="T1109" s="28"/>
      <c r="U1109" s="28" t="n">
        <f aca="false">T1109*$M1109</f>
        <v>0</v>
      </c>
      <c r="V1109" s="28" t="n">
        <f aca="false">3418/100</f>
        <v>34.18</v>
      </c>
      <c r="W1109" s="28" t="n">
        <v>2563</v>
      </c>
      <c r="X1109" s="28" t="n">
        <f aca="false">3755/100</f>
        <v>37.55</v>
      </c>
      <c r="Y1109" s="28" t="n">
        <v>2817</v>
      </c>
      <c r="Z1109" s="28"/>
      <c r="AA1109" s="28" t="n">
        <f aca="false">Z1109*$M1109</f>
        <v>0</v>
      </c>
      <c r="AB1109" s="28" t="n">
        <f aca="false">75529/100</f>
        <v>755.29</v>
      </c>
      <c r="AC1109" s="28" t="n">
        <v>56647</v>
      </c>
      <c r="AD1109" s="28"/>
      <c r="AE1109" s="28" t="n">
        <f aca="false">AD1109*$M1109</f>
        <v>0</v>
      </c>
      <c r="AF1109" s="28"/>
      <c r="AG1109" s="28" t="n">
        <f aca="false">AF1109*$M1109</f>
        <v>0</v>
      </c>
      <c r="AH1109" s="28"/>
      <c r="AI1109" s="28" t="n">
        <f aca="false">AH1109*$M1109</f>
        <v>0</v>
      </c>
      <c r="AJ1109" s="28"/>
      <c r="AK1109" s="28" t="n">
        <f aca="false">AJ1109*$M1109</f>
        <v>0</v>
      </c>
      <c r="AL1109" s="28"/>
      <c r="AM1109" s="28" t="n">
        <f aca="false">AL1109*$M1109</f>
        <v>0</v>
      </c>
      <c r="AN1109" s="28"/>
      <c r="AO1109" s="28" t="n">
        <f aca="false">AN1109*$M1109</f>
        <v>0</v>
      </c>
      <c r="AP1109" s="28"/>
      <c r="AQ1109" s="28" t="n">
        <f aca="false">AP1109*$M1109</f>
        <v>0</v>
      </c>
      <c r="AR1109" s="28"/>
      <c r="AS1109" s="28" t="n">
        <f aca="false">AR1109*$M1109</f>
        <v>0</v>
      </c>
      <c r="AT1109" s="28"/>
      <c r="AU1109" s="28" t="n">
        <f aca="false">AT1109*$M1109</f>
        <v>0</v>
      </c>
      <c r="AV1109" s="28"/>
      <c r="AW1109" s="28" t="n">
        <f aca="false">AV1109*$M1109</f>
        <v>0</v>
      </c>
      <c r="AX1109" s="28"/>
      <c r="AY1109" s="28" t="n">
        <f aca="false">AX1109*$M1109</f>
        <v>0</v>
      </c>
      <c r="AZ1109" s="30" t="n">
        <f aca="false">82702/100</f>
        <v>827.02</v>
      </c>
      <c r="BA1109" s="11" t="n">
        <v>62027</v>
      </c>
      <c r="BB1109" s="31" t="n">
        <f aca="false">SUM(Q1109,S1109,U1109,W1109,Y1109,AA1109,AC1109,AE1109,AG1109,AI1109,AK1109,AM1109,AO1109,AQ1109,AS1109,AU1109,AW1109,AY1109)</f>
        <v>62027</v>
      </c>
      <c r="BC1109" s="28" t="n">
        <f aca="false">BA1109-BB1109</f>
        <v>0</v>
      </c>
      <c r="BD1109" s="32" t="n">
        <f aca="false">SUM(P1109,R1109,T1109,V1109,X1109,Z1109,AB1109,AD1109,AF1109,AH1109,AJ1109,AL1109,AN1109,AP1109,AR1109,AT1109,AV1109,AX1109)</f>
        <v>827.02</v>
      </c>
      <c r="BE1109" s="33" t="n">
        <f aca="false">AZ1109-BD1109</f>
        <v>0</v>
      </c>
      <c r="BF1109" s="34" t="n">
        <f aca="false">BD1109*M1109</f>
        <v>62026.5</v>
      </c>
      <c r="BG1109" s="35" t="n">
        <f aca="false">BA1109-BF1109</f>
        <v>0.500000000007276</v>
      </c>
      <c r="BH1109" s="19" t="str">
        <f aca="false">IF(BG1109=0,"",IF(BG1109&lt;&gt;BA1109,"erreur de calcul",IF(BD1109&lt;&gt;0,"pas de prix",IF(M1109&lt;&gt; 0,"pas de quantité","pas de prix, ni de quantité"))))</f>
        <v>erreur de calcul</v>
      </c>
      <c r="BI1109" s="19"/>
    </row>
    <row r="1110" customFormat="false" ht="15" hidden="false" customHeight="false" outlineLevel="0" collapsed="false">
      <c r="A1110" s="0" t="n">
        <v>14</v>
      </c>
      <c r="B1110" s="8" t="s">
        <v>24</v>
      </c>
      <c r="C1110" s="9" t="s">
        <v>25</v>
      </c>
      <c r="D1110" s="9" t="s">
        <v>26</v>
      </c>
      <c r="E1110" s="10" t="n">
        <v>1789</v>
      </c>
      <c r="F1110" s="9" t="s">
        <v>27</v>
      </c>
      <c r="G1110" s="9" t="s">
        <v>27</v>
      </c>
      <c r="H1110" s="11" t="n">
        <v>20</v>
      </c>
      <c r="I1110" s="11" t="s">
        <v>130</v>
      </c>
      <c r="J1110" s="14" t="n">
        <v>170</v>
      </c>
      <c r="K1110" s="14"/>
      <c r="L1110" s="16"/>
      <c r="M1110" s="27" t="n">
        <f aca="false">J1110+(K1110/20)+(L1110/240)</f>
        <v>170</v>
      </c>
      <c r="N1110" s="17" t="s">
        <v>64</v>
      </c>
      <c r="O1110" s="11"/>
      <c r="P1110" s="28"/>
      <c r="Q1110" s="28" t="n">
        <f aca="false">P1110*$M1110</f>
        <v>0</v>
      </c>
      <c r="R1110" s="28"/>
      <c r="S1110" s="28" t="n">
        <f aca="false">R1110*$M1110</f>
        <v>0</v>
      </c>
      <c r="T1110" s="28" t="n">
        <f aca="false">488/100</f>
        <v>4.88</v>
      </c>
      <c r="U1110" s="28" t="n">
        <v>830</v>
      </c>
      <c r="V1110" s="28"/>
      <c r="W1110" s="28" t="n">
        <f aca="false">V1110*$M1110</f>
        <v>0</v>
      </c>
      <c r="X1110" s="28" t="n">
        <f aca="false">8480/100</f>
        <v>84.8</v>
      </c>
      <c r="Y1110" s="28" t="n">
        <v>14416</v>
      </c>
      <c r="Z1110" s="28"/>
      <c r="AA1110" s="28" t="n">
        <f aca="false">Z1110*$M1110</f>
        <v>0</v>
      </c>
      <c r="AB1110" s="28" t="n">
        <f aca="false">291/100</f>
        <v>2.91</v>
      </c>
      <c r="AC1110" s="28" t="n">
        <v>495</v>
      </c>
      <c r="AD1110" s="28"/>
      <c r="AE1110" s="28" t="n">
        <f aca="false">AD1110*$M1110</f>
        <v>0</v>
      </c>
      <c r="AF1110" s="28"/>
      <c r="AG1110" s="28" t="n">
        <f aca="false">AF1110*$M1110</f>
        <v>0</v>
      </c>
      <c r="AH1110" s="28"/>
      <c r="AI1110" s="28" t="n">
        <f aca="false">AH1110*$M1110</f>
        <v>0</v>
      </c>
      <c r="AJ1110" s="28"/>
      <c r="AK1110" s="28" t="n">
        <f aca="false">AJ1110*$M1110</f>
        <v>0</v>
      </c>
      <c r="AL1110" s="28"/>
      <c r="AM1110" s="28" t="n">
        <f aca="false">AL1110*$M1110</f>
        <v>0</v>
      </c>
      <c r="AN1110" s="28"/>
      <c r="AO1110" s="28" t="n">
        <f aca="false">AN1110*$M1110</f>
        <v>0</v>
      </c>
      <c r="AP1110" s="28"/>
      <c r="AQ1110" s="28" t="n">
        <f aca="false">AP1110*$M1110</f>
        <v>0</v>
      </c>
      <c r="AR1110" s="28"/>
      <c r="AS1110" s="28" t="n">
        <f aca="false">AR1110*$M1110</f>
        <v>0</v>
      </c>
      <c r="AT1110" s="28"/>
      <c r="AU1110" s="28" t="n">
        <f aca="false">AT1110*$M1110</f>
        <v>0</v>
      </c>
      <c r="AV1110" s="28"/>
      <c r="AW1110" s="28" t="n">
        <f aca="false">AV1110*$M1110</f>
        <v>0</v>
      </c>
      <c r="AX1110" s="28"/>
      <c r="AY1110" s="28" t="n">
        <f aca="false">AX1110*$M1110</f>
        <v>0</v>
      </c>
      <c r="AZ1110" s="30" t="n">
        <f aca="false">9259/100</f>
        <v>92.59</v>
      </c>
      <c r="BA1110" s="11" t="n">
        <v>15741</v>
      </c>
      <c r="BB1110" s="31" t="n">
        <f aca="false">SUM(Q1110,S1110,U1110,W1110,Y1110,AA1110,AC1110,AE1110,AG1110,AI1110,AK1110,AM1110,AO1110,AQ1110,AS1110,AU1110,AW1110,AY1110)</f>
        <v>15741</v>
      </c>
      <c r="BC1110" s="28" t="n">
        <f aca="false">BA1110-BB1110</f>
        <v>0</v>
      </c>
      <c r="BD1110" s="32" t="n">
        <f aca="false">SUM(P1110,R1110,T1110,V1110,X1110,Z1110,AB1110,AD1110,AF1110,AH1110,AJ1110,AL1110,AN1110,AP1110,AR1110,AT1110,AV1110,AX1110)</f>
        <v>92.59</v>
      </c>
      <c r="BE1110" s="33" t="n">
        <f aca="false">AZ1110-BD1110</f>
        <v>0</v>
      </c>
      <c r="BF1110" s="34" t="n">
        <f aca="false">BD1110*M1110</f>
        <v>15740.3</v>
      </c>
      <c r="BG1110" s="35" t="n">
        <f aca="false">BA1110-BF1110</f>
        <v>0.700000000002547</v>
      </c>
      <c r="BH1110" s="19" t="str">
        <f aca="false">IF(BG1110=0,"",IF(BG1110&lt;&gt;BA1110,"erreur de calcul",IF(BD1110&lt;&gt;0,"pas de prix",IF(M1110&lt;&gt; 0,"pas de quantité","pas de prix, ni de quantité"))))</f>
        <v>erreur de calcul</v>
      </c>
      <c r="BI1110" s="19"/>
    </row>
    <row r="1111" customFormat="false" ht="15" hidden="false" customHeight="false" outlineLevel="0" collapsed="false">
      <c r="A1111" s="0" t="n">
        <v>15</v>
      </c>
      <c r="B1111" s="8" t="s">
        <v>24</v>
      </c>
      <c r="C1111" s="9" t="s">
        <v>25</v>
      </c>
      <c r="D1111" s="9" t="s">
        <v>26</v>
      </c>
      <c r="E1111" s="10" t="n">
        <v>1789</v>
      </c>
      <c r="F1111" s="9" t="s">
        <v>27</v>
      </c>
      <c r="G1111" s="9" t="s">
        <v>27</v>
      </c>
      <c r="H1111" s="11" t="n">
        <v>20</v>
      </c>
      <c r="I1111" s="11" t="s">
        <v>131</v>
      </c>
      <c r="J1111" s="14"/>
      <c r="K1111" s="14" t="n">
        <v>55</v>
      </c>
      <c r="L1111" s="16"/>
      <c r="M1111" s="27" t="n">
        <f aca="false">J1111+(K1111/20)+(L1111/240)</f>
        <v>2.75</v>
      </c>
      <c r="N1111" s="17" t="s">
        <v>64</v>
      </c>
      <c r="O1111" s="11"/>
      <c r="P1111" s="28"/>
      <c r="Q1111" s="28" t="n">
        <f aca="false">P1111*$M1111</f>
        <v>0</v>
      </c>
      <c r="R1111" s="28"/>
      <c r="S1111" s="28" t="n">
        <f aca="false">R1111*$M1111</f>
        <v>0</v>
      </c>
      <c r="T1111" s="28"/>
      <c r="U1111" s="28" t="n">
        <f aca="false">T1111*$M1111</f>
        <v>0</v>
      </c>
      <c r="V1111" s="28"/>
      <c r="W1111" s="28" t="n">
        <f aca="false">V1111*$M1111</f>
        <v>0</v>
      </c>
      <c r="X1111" s="28" t="n">
        <f aca="false">3875617/100</f>
        <v>38756.17</v>
      </c>
      <c r="Y1111" s="28" t="n">
        <v>106579</v>
      </c>
      <c r="Z1111" s="28" t="n">
        <f aca="false">62500/100</f>
        <v>625</v>
      </c>
      <c r="AA1111" s="28" t="n">
        <v>1719</v>
      </c>
      <c r="AB1111" s="28" t="n">
        <f aca="false">360000/100</f>
        <v>3600</v>
      </c>
      <c r="AC1111" s="28" t="n">
        <v>9900</v>
      </c>
      <c r="AD1111" s="28"/>
      <c r="AE1111" s="28" t="n">
        <f aca="false">AD1111*$M1111</f>
        <v>0</v>
      </c>
      <c r="AF1111" s="28"/>
      <c r="AG1111" s="28" t="n">
        <f aca="false">AF1111*$M1111</f>
        <v>0</v>
      </c>
      <c r="AH1111" s="28"/>
      <c r="AI1111" s="28" t="n">
        <f aca="false">AH1111*$M1111</f>
        <v>0</v>
      </c>
      <c r="AJ1111" s="28"/>
      <c r="AK1111" s="28" t="n">
        <f aca="false">AJ1111*$M1111</f>
        <v>0</v>
      </c>
      <c r="AL1111" s="28"/>
      <c r="AM1111" s="28" t="n">
        <f aca="false">AL1111*$M1111</f>
        <v>0</v>
      </c>
      <c r="AN1111" s="28"/>
      <c r="AO1111" s="28" t="n">
        <f aca="false">AN1111*$M1111</f>
        <v>0</v>
      </c>
      <c r="AP1111" s="28"/>
      <c r="AQ1111" s="28" t="n">
        <f aca="false">AP1111*$M1111</f>
        <v>0</v>
      </c>
      <c r="AR1111" s="28"/>
      <c r="AS1111" s="28" t="n">
        <f aca="false">AR1111*$M1111</f>
        <v>0</v>
      </c>
      <c r="AT1111" s="28"/>
      <c r="AU1111" s="28" t="n">
        <f aca="false">AT1111*$M1111</f>
        <v>0</v>
      </c>
      <c r="AV1111" s="28"/>
      <c r="AW1111" s="28" t="n">
        <f aca="false">AV1111*$M1111</f>
        <v>0</v>
      </c>
      <c r="AX1111" s="28"/>
      <c r="AY1111" s="28" t="n">
        <f aca="false">AX1111*$M1111</f>
        <v>0</v>
      </c>
      <c r="AZ1111" s="30" t="n">
        <f aca="false">4298117/100</f>
        <v>42981.17</v>
      </c>
      <c r="BA1111" s="11" t="n">
        <v>118198</v>
      </c>
      <c r="BB1111" s="31" t="n">
        <f aca="false">SUM(Q1111,S1111,U1111,W1111,Y1111,AA1111,AC1111,AE1111,AG1111,AI1111,AK1111,AM1111,AO1111,AQ1111,AS1111,AU1111,AW1111,AY1111)</f>
        <v>118198</v>
      </c>
      <c r="BC1111" s="28" t="n">
        <f aca="false">BA1111-BB1111</f>
        <v>0</v>
      </c>
      <c r="BD1111" s="32" t="n">
        <f aca="false">SUM(P1111,R1111,T1111,V1111,X1111,Z1111,AB1111,AD1111,AF1111,AH1111,AJ1111,AL1111,AN1111,AP1111,AR1111,AT1111,AV1111,AX1111)</f>
        <v>42981.17</v>
      </c>
      <c r="BE1111" s="33" t="n">
        <f aca="false">AZ1111-BD1111</f>
        <v>0</v>
      </c>
      <c r="BF1111" s="34" t="n">
        <f aca="false">BD1111*M1111</f>
        <v>118198.2175</v>
      </c>
      <c r="BG1111" s="35" t="n">
        <f aca="false">BA1111-BF1111</f>
        <v>-0.217499999998836</v>
      </c>
      <c r="BH1111" s="19" t="str">
        <f aca="false">IF(BG1111=0,"",IF(BG1111&lt;&gt;BA1111,"erreur de calcul",IF(BD1111&lt;&gt;0,"pas de prix",IF(M1111&lt;&gt; 0,"pas de quantité","pas de prix, ni de quantité"))))</f>
        <v>erreur de calcul</v>
      </c>
      <c r="BI1111" s="19"/>
    </row>
    <row r="1112" customFormat="false" ht="15" hidden="false" customHeight="false" outlineLevel="0" collapsed="false">
      <c r="A1112" s="0" t="n">
        <v>16</v>
      </c>
      <c r="B1112" s="8" t="s">
        <v>24</v>
      </c>
      <c r="C1112" s="9" t="s">
        <v>25</v>
      </c>
      <c r="D1112" s="9" t="s">
        <v>26</v>
      </c>
      <c r="E1112" s="10" t="n">
        <v>1789</v>
      </c>
      <c r="F1112" s="9" t="s">
        <v>27</v>
      </c>
      <c r="G1112" s="9" t="s">
        <v>27</v>
      </c>
      <c r="H1112" s="11" t="n">
        <v>20</v>
      </c>
      <c r="I1112" s="11" t="s">
        <v>132</v>
      </c>
      <c r="J1112" s="14"/>
      <c r="K1112" s="14" t="n">
        <v>50</v>
      </c>
      <c r="L1112" s="16"/>
      <c r="M1112" s="27" t="n">
        <f aca="false">J1112+(K1112/20)+(L1112/240)</f>
        <v>2.5</v>
      </c>
      <c r="N1112" s="17" t="s">
        <v>64</v>
      </c>
      <c r="O1112" s="11"/>
      <c r="P1112" s="28"/>
      <c r="Q1112" s="28" t="n">
        <f aca="false">P1112*$M1112</f>
        <v>0</v>
      </c>
      <c r="R1112" s="28"/>
      <c r="S1112" s="28" t="n">
        <f aca="false">R1112*$M1112</f>
        <v>0</v>
      </c>
      <c r="T1112" s="28"/>
      <c r="U1112" s="28" t="n">
        <f aca="false">T1112*$M1112</f>
        <v>0</v>
      </c>
      <c r="V1112" s="28" t="n">
        <f aca="false">25000/100</f>
        <v>250</v>
      </c>
      <c r="W1112" s="28" t="n">
        <v>625</v>
      </c>
      <c r="X1112" s="28" t="n">
        <f aca="false">9335/100</f>
        <v>93.35</v>
      </c>
      <c r="Y1112" s="28" t="n">
        <v>233</v>
      </c>
      <c r="Z1112" s="28"/>
      <c r="AA1112" s="28" t="n">
        <f aca="false">Z1112*$M1112</f>
        <v>0</v>
      </c>
      <c r="AB1112" s="28"/>
      <c r="AC1112" s="28" t="n">
        <f aca="false">AB1112*$M1112</f>
        <v>0</v>
      </c>
      <c r="AD1112" s="28"/>
      <c r="AE1112" s="28" t="n">
        <f aca="false">AD1112*$M1112</f>
        <v>0</v>
      </c>
      <c r="AF1112" s="28"/>
      <c r="AG1112" s="28" t="n">
        <f aca="false">AF1112*$M1112</f>
        <v>0</v>
      </c>
      <c r="AH1112" s="28"/>
      <c r="AI1112" s="28" t="n">
        <f aca="false">AH1112*$M1112</f>
        <v>0</v>
      </c>
      <c r="AJ1112" s="28"/>
      <c r="AK1112" s="28" t="n">
        <f aca="false">AJ1112*$M1112</f>
        <v>0</v>
      </c>
      <c r="AL1112" s="28"/>
      <c r="AM1112" s="28" t="n">
        <f aca="false">AL1112*$M1112</f>
        <v>0</v>
      </c>
      <c r="AN1112" s="28"/>
      <c r="AO1112" s="28" t="n">
        <f aca="false">AN1112*$M1112</f>
        <v>0</v>
      </c>
      <c r="AP1112" s="28"/>
      <c r="AQ1112" s="28" t="n">
        <f aca="false">AP1112*$M1112</f>
        <v>0</v>
      </c>
      <c r="AR1112" s="28"/>
      <c r="AS1112" s="28" t="n">
        <f aca="false">AR1112*$M1112</f>
        <v>0</v>
      </c>
      <c r="AT1112" s="28"/>
      <c r="AU1112" s="28" t="n">
        <f aca="false">AT1112*$M1112</f>
        <v>0</v>
      </c>
      <c r="AV1112" s="28"/>
      <c r="AW1112" s="28" t="n">
        <f aca="false">AV1112*$M1112</f>
        <v>0</v>
      </c>
      <c r="AX1112" s="28"/>
      <c r="AY1112" s="28" t="n">
        <f aca="false">AX1112*$M1112</f>
        <v>0</v>
      </c>
      <c r="AZ1112" s="30" t="n">
        <f aca="false">34335/100</f>
        <v>343.35</v>
      </c>
      <c r="BA1112" s="11" t="n">
        <v>858</v>
      </c>
      <c r="BB1112" s="31" t="n">
        <f aca="false">SUM(Q1112,S1112,U1112,W1112,Y1112,AA1112,AC1112,AE1112,AG1112,AI1112,AK1112,AM1112,AO1112,AQ1112,AS1112,AU1112,AW1112,AY1112)</f>
        <v>858</v>
      </c>
      <c r="BC1112" s="28" t="n">
        <f aca="false">BA1112-BB1112</f>
        <v>0</v>
      </c>
      <c r="BD1112" s="32" t="n">
        <f aca="false">SUM(P1112,R1112,T1112,V1112,X1112,Z1112,AB1112,AD1112,AF1112,AH1112,AJ1112,AL1112,AN1112,AP1112,AR1112,AT1112,AV1112,AX1112)</f>
        <v>343.35</v>
      </c>
      <c r="BE1112" s="33" t="n">
        <f aca="false">AZ1112-BD1112</f>
        <v>0</v>
      </c>
      <c r="BF1112" s="34" t="n">
        <f aca="false">BD1112*M1112</f>
        <v>858.375</v>
      </c>
      <c r="BG1112" s="35" t="n">
        <f aca="false">BA1112-BF1112</f>
        <v>-0.375</v>
      </c>
      <c r="BH1112" s="19" t="str">
        <f aca="false">IF(BG1112=0,"",IF(BG1112&lt;&gt;BA1112,"erreur de calcul",IF(BD1112&lt;&gt;0,"pas de prix",IF(M1112&lt;&gt; 0,"pas de quantité","pas de prix, ni de quantité"))))</f>
        <v>erreur de calcul</v>
      </c>
      <c r="BI1112" s="19"/>
    </row>
    <row r="1113" customFormat="false" ht="15" hidden="false" customHeight="false" outlineLevel="0" collapsed="false">
      <c r="A1113" s="0" t="n">
        <v>17</v>
      </c>
      <c r="B1113" s="8" t="s">
        <v>24</v>
      </c>
      <c r="C1113" s="9" t="s">
        <v>25</v>
      </c>
      <c r="D1113" s="9" t="s">
        <v>26</v>
      </c>
      <c r="E1113" s="10" t="n">
        <v>1789</v>
      </c>
      <c r="F1113" s="9" t="s">
        <v>27</v>
      </c>
      <c r="G1113" s="9" t="s">
        <v>27</v>
      </c>
      <c r="H1113" s="11" t="n">
        <v>20</v>
      </c>
      <c r="I1113" s="11" t="s">
        <v>133</v>
      </c>
      <c r="J1113" s="14" t="n">
        <v>175</v>
      </c>
      <c r="K1113" s="14"/>
      <c r="L1113" s="16"/>
      <c r="M1113" s="27" t="n">
        <f aca="false">J1113+(K1113/20)+(L1113/240)</f>
        <v>175</v>
      </c>
      <c r="N1113" s="17" t="s">
        <v>64</v>
      </c>
      <c r="O1113" s="11"/>
      <c r="P1113" s="28" t="n">
        <f aca="false">84/100</f>
        <v>0.84</v>
      </c>
      <c r="Q1113" s="28" t="n">
        <v>147</v>
      </c>
      <c r="R1113" s="28"/>
      <c r="S1113" s="28" t="n">
        <f aca="false">R1113*$M1113</f>
        <v>0</v>
      </c>
      <c r="T1113" s="28"/>
      <c r="U1113" s="28" t="n">
        <f aca="false">T1113*$M1113</f>
        <v>0</v>
      </c>
      <c r="V1113" s="28" t="n">
        <f aca="false">124/100</f>
        <v>1.24</v>
      </c>
      <c r="W1113" s="28" t="n">
        <v>217</v>
      </c>
      <c r="X1113" s="28" t="n">
        <f aca="false">6034/100</f>
        <v>60.34</v>
      </c>
      <c r="Y1113" s="28" t="n">
        <v>10559</v>
      </c>
      <c r="Z1113" s="28" t="n">
        <f aca="false">147/100</f>
        <v>1.47</v>
      </c>
      <c r="AA1113" s="28" t="n">
        <v>257</v>
      </c>
      <c r="AB1113" s="28" t="n">
        <f aca="false">195/100</f>
        <v>1.95</v>
      </c>
      <c r="AC1113" s="28" t="n">
        <v>341</v>
      </c>
      <c r="AD1113" s="28"/>
      <c r="AE1113" s="28" t="n">
        <f aca="false">AD1113*$M1113</f>
        <v>0</v>
      </c>
      <c r="AF1113" s="28"/>
      <c r="AG1113" s="28" t="n">
        <f aca="false">AF1113*$M1113</f>
        <v>0</v>
      </c>
      <c r="AH1113" s="28"/>
      <c r="AI1113" s="28" t="n">
        <f aca="false">AH1113*$M1113</f>
        <v>0</v>
      </c>
      <c r="AJ1113" s="28"/>
      <c r="AK1113" s="28" t="n">
        <f aca="false">AJ1113*$M1113</f>
        <v>0</v>
      </c>
      <c r="AL1113" s="28"/>
      <c r="AM1113" s="28" t="n">
        <f aca="false">AL1113*$M1113</f>
        <v>0</v>
      </c>
      <c r="AN1113" s="28"/>
      <c r="AO1113" s="28" t="n">
        <f aca="false">AN1113*$M1113</f>
        <v>0</v>
      </c>
      <c r="AP1113" s="28"/>
      <c r="AQ1113" s="28" t="n">
        <f aca="false">AP1113*$M1113</f>
        <v>0</v>
      </c>
      <c r="AR1113" s="28"/>
      <c r="AS1113" s="28" t="n">
        <f aca="false">AR1113*$M1113</f>
        <v>0</v>
      </c>
      <c r="AT1113" s="28"/>
      <c r="AU1113" s="28" t="n">
        <f aca="false">AT1113*$M1113</f>
        <v>0</v>
      </c>
      <c r="AV1113" s="28"/>
      <c r="AW1113" s="28" t="n">
        <f aca="false">AV1113*$M1113</f>
        <v>0</v>
      </c>
      <c r="AX1113" s="28"/>
      <c r="AY1113" s="28" t="n">
        <f aca="false">AX1113*$M1113</f>
        <v>0</v>
      </c>
      <c r="AZ1113" s="30" t="n">
        <f aca="false">6584/100</f>
        <v>65.84</v>
      </c>
      <c r="BA1113" s="11" t="n">
        <v>11521</v>
      </c>
      <c r="BB1113" s="31" t="n">
        <f aca="false">SUM(Q1113,S1113,U1113,W1113,Y1113,AA1113,AC1113,AE1113,AG1113,AI1113,AK1113,AM1113,AO1113,AQ1113,AS1113,AU1113,AW1113,AY1113)</f>
        <v>11521</v>
      </c>
      <c r="BC1113" s="28" t="n">
        <f aca="false">BA1113-BB1113</f>
        <v>0</v>
      </c>
      <c r="BD1113" s="32" t="n">
        <f aca="false">SUM(P1113,R1113,T1113,V1113,X1113,Z1113,AB1113,AD1113,AF1113,AH1113,AJ1113,AL1113,AN1113,AP1113,AR1113,AT1113,AV1113,AX1113)</f>
        <v>65.84</v>
      </c>
      <c r="BE1113" s="33" t="n">
        <f aca="false">AZ1113-BD1113</f>
        <v>0</v>
      </c>
      <c r="BF1113" s="34" t="n">
        <f aca="false">BD1113*M1113</f>
        <v>11522</v>
      </c>
      <c r="BG1113" s="35" t="n">
        <f aca="false">BA1113-BF1113</f>
        <v>-1</v>
      </c>
      <c r="BH1113" s="19" t="str">
        <f aca="false">IF(BG1113=0,"",IF(BG1113&lt;&gt;BA1113,"erreur de calcul",IF(BD1113&lt;&gt;0,"pas de prix",IF(M1113&lt;&gt; 0,"pas de quantité","pas de prix, ni de quantité"))))</f>
        <v>erreur de calcul</v>
      </c>
      <c r="BI1113" s="19"/>
    </row>
    <row r="1114" customFormat="false" ht="15" hidden="false" customHeight="false" outlineLevel="0" collapsed="false">
      <c r="A1114" s="0" t="n">
        <v>18</v>
      </c>
      <c r="B1114" s="8" t="s">
        <v>24</v>
      </c>
      <c r="C1114" s="9" t="s">
        <v>25</v>
      </c>
      <c r="D1114" s="9" t="s">
        <v>26</v>
      </c>
      <c r="E1114" s="10" t="n">
        <v>1789</v>
      </c>
      <c r="F1114" s="9" t="s">
        <v>27</v>
      </c>
      <c r="G1114" s="9" t="s">
        <v>27</v>
      </c>
      <c r="H1114" s="11" t="n">
        <v>20</v>
      </c>
      <c r="I1114" s="11" t="s">
        <v>134</v>
      </c>
      <c r="J1114" s="14" t="n">
        <v>210</v>
      </c>
      <c r="K1114" s="14"/>
      <c r="L1114" s="16"/>
      <c r="M1114" s="27" t="n">
        <f aca="false">J1114+(K1114/20)+(L1114/240)</f>
        <v>210</v>
      </c>
      <c r="N1114" s="17" t="s">
        <v>64</v>
      </c>
      <c r="O1114" s="11"/>
      <c r="P1114" s="28"/>
      <c r="Q1114" s="28" t="n">
        <f aca="false">P1114*$M1114</f>
        <v>0</v>
      </c>
      <c r="R1114" s="28"/>
      <c r="S1114" s="28" t="n">
        <f aca="false">R1114*$M1114</f>
        <v>0</v>
      </c>
      <c r="T1114" s="28"/>
      <c r="U1114" s="28" t="n">
        <f aca="false">T1114*$M1114</f>
        <v>0</v>
      </c>
      <c r="V1114" s="28" t="n">
        <f aca="false">869/100</f>
        <v>8.69</v>
      </c>
      <c r="W1114" s="28" t="n">
        <v>1825</v>
      </c>
      <c r="X1114" s="28"/>
      <c r="Y1114" s="28" t="n">
        <f aca="false">X1114*$M1114</f>
        <v>0</v>
      </c>
      <c r="Z1114" s="28"/>
      <c r="AA1114" s="28" t="n">
        <f aca="false">Z1114*$M1114</f>
        <v>0</v>
      </c>
      <c r="AB1114" s="28"/>
      <c r="AC1114" s="28" t="n">
        <f aca="false">AB1114*$M1114</f>
        <v>0</v>
      </c>
      <c r="AD1114" s="28"/>
      <c r="AE1114" s="28" t="n">
        <f aca="false">AD1114*$M1114</f>
        <v>0</v>
      </c>
      <c r="AF1114" s="28"/>
      <c r="AG1114" s="28" t="n">
        <f aca="false">AF1114*$M1114</f>
        <v>0</v>
      </c>
      <c r="AH1114" s="28"/>
      <c r="AI1114" s="28" t="n">
        <f aca="false">AH1114*$M1114</f>
        <v>0</v>
      </c>
      <c r="AJ1114" s="28"/>
      <c r="AK1114" s="28" t="n">
        <f aca="false">AJ1114*$M1114</f>
        <v>0</v>
      </c>
      <c r="AL1114" s="28"/>
      <c r="AM1114" s="28" t="n">
        <f aca="false">AL1114*$M1114</f>
        <v>0</v>
      </c>
      <c r="AN1114" s="28"/>
      <c r="AO1114" s="28" t="n">
        <f aca="false">AN1114*$M1114</f>
        <v>0</v>
      </c>
      <c r="AP1114" s="28"/>
      <c r="AQ1114" s="28" t="n">
        <f aca="false">AP1114*$M1114</f>
        <v>0</v>
      </c>
      <c r="AR1114" s="28"/>
      <c r="AS1114" s="28" t="n">
        <f aca="false">AR1114*$M1114</f>
        <v>0</v>
      </c>
      <c r="AT1114" s="28"/>
      <c r="AU1114" s="28" t="n">
        <f aca="false">AT1114*$M1114</f>
        <v>0</v>
      </c>
      <c r="AV1114" s="28"/>
      <c r="AW1114" s="28" t="n">
        <f aca="false">AV1114*$M1114</f>
        <v>0</v>
      </c>
      <c r="AX1114" s="28"/>
      <c r="AY1114" s="28" t="n">
        <f aca="false">AX1114*$M1114</f>
        <v>0</v>
      </c>
      <c r="AZ1114" s="30" t="n">
        <f aca="false">869/100</f>
        <v>8.69</v>
      </c>
      <c r="BA1114" s="11" t="n">
        <v>1825</v>
      </c>
      <c r="BB1114" s="31" t="n">
        <f aca="false">SUM(Q1114,S1114,U1114,W1114,Y1114,AA1114,AC1114,AE1114,AG1114,AI1114,AK1114,AM1114,AO1114,AQ1114,AS1114,AU1114,AW1114,AY1114)</f>
        <v>1825</v>
      </c>
      <c r="BC1114" s="28" t="n">
        <f aca="false">BA1114-BB1114</f>
        <v>0</v>
      </c>
      <c r="BD1114" s="32" t="n">
        <f aca="false">SUM(P1114,R1114,T1114,V1114,X1114,Z1114,AB1114,AD1114,AF1114,AH1114,AJ1114,AL1114,AN1114,AP1114,AR1114,AT1114,AV1114,AX1114)</f>
        <v>8.69</v>
      </c>
      <c r="BE1114" s="33" t="n">
        <f aca="false">AZ1114-BD1114</f>
        <v>0</v>
      </c>
      <c r="BF1114" s="34" t="n">
        <f aca="false">BD1114*M1114</f>
        <v>1824.9</v>
      </c>
      <c r="BG1114" s="35" t="n">
        <f aca="false">BA1114-BF1114</f>
        <v>0.100000000000136</v>
      </c>
      <c r="BH1114" s="19" t="str">
        <f aca="false">IF(BG1114=0,"",IF(BG1114&lt;&gt;BA1114,"erreur de calcul",IF(BD1114&lt;&gt;0,"pas de prix",IF(M1114&lt;&gt; 0,"pas de quantité","pas de prix, ni de quantité"))))</f>
        <v>erreur de calcul</v>
      </c>
      <c r="BI1114" s="19"/>
    </row>
    <row r="1115" customFormat="false" ht="15" hidden="false" customHeight="false" outlineLevel="0" collapsed="false">
      <c r="A1115" s="0" t="n">
        <v>19</v>
      </c>
      <c r="B1115" s="8" t="s">
        <v>24</v>
      </c>
      <c r="C1115" s="9" t="s">
        <v>25</v>
      </c>
      <c r="D1115" s="9" t="s">
        <v>26</v>
      </c>
      <c r="E1115" s="10" t="n">
        <v>1789</v>
      </c>
      <c r="F1115" s="9" t="s">
        <v>27</v>
      </c>
      <c r="G1115" s="9" t="s">
        <v>27</v>
      </c>
      <c r="H1115" s="11" t="n">
        <v>20</v>
      </c>
      <c r="I1115" s="11" t="s">
        <v>135</v>
      </c>
      <c r="J1115" s="14" t="n">
        <v>170</v>
      </c>
      <c r="K1115" s="14"/>
      <c r="L1115" s="16"/>
      <c r="M1115" s="27" t="n">
        <f aca="false">J1115+(K1115/20)+(L1115/240)</f>
        <v>170</v>
      </c>
      <c r="N1115" s="17" t="s">
        <v>64</v>
      </c>
      <c r="O1115" s="11" t="s">
        <v>77</v>
      </c>
      <c r="P1115" s="28"/>
      <c r="Q1115" s="28" t="n">
        <f aca="false">P1115*$M1115</f>
        <v>0</v>
      </c>
      <c r="R1115" s="28"/>
      <c r="S1115" s="28" t="n">
        <f aca="false">R1115*$M1115</f>
        <v>0</v>
      </c>
      <c r="T1115" s="28"/>
      <c r="U1115" s="28" t="n">
        <f aca="false">T1115*$M1115</f>
        <v>0</v>
      </c>
      <c r="V1115" s="28"/>
      <c r="W1115" s="28" t="n">
        <f aca="false">V1115*$M1115</f>
        <v>0</v>
      </c>
      <c r="X1115" s="28"/>
      <c r="Y1115" s="28" t="n">
        <f aca="false">X1115*$M1115</f>
        <v>0</v>
      </c>
      <c r="Z1115" s="28"/>
      <c r="AA1115" s="28" t="n">
        <f aca="false">Z1115*$M1115</f>
        <v>0</v>
      </c>
      <c r="AB1115" s="28"/>
      <c r="AC1115" s="28" t="n">
        <f aca="false">AB1115*$M1115</f>
        <v>0</v>
      </c>
      <c r="AD1115" s="28"/>
      <c r="AE1115" s="28" t="n">
        <f aca="false">AD1115*$M1115</f>
        <v>0</v>
      </c>
      <c r="AF1115" s="28" t="n">
        <f aca="false">229459/100</f>
        <v>2294.59</v>
      </c>
      <c r="AG1115" s="28" t="n">
        <v>390080</v>
      </c>
      <c r="AH1115" s="28" t="n">
        <f aca="false">202301/100</f>
        <v>2023.01</v>
      </c>
      <c r="AI1115" s="28" t="n">
        <v>343912</v>
      </c>
      <c r="AJ1115" s="28"/>
      <c r="AK1115" s="28" t="n">
        <f aca="false">AJ1115*$M1115</f>
        <v>0</v>
      </c>
      <c r="AL1115" s="28"/>
      <c r="AM1115" s="28" t="n">
        <f aca="false">AL1115*$M1115</f>
        <v>0</v>
      </c>
      <c r="AN1115" s="28"/>
      <c r="AO1115" s="28" t="n">
        <f aca="false">AN1115*$M1115</f>
        <v>0</v>
      </c>
      <c r="AP1115" s="28"/>
      <c r="AQ1115" s="28" t="n">
        <f aca="false">AP1115*$M1115</f>
        <v>0</v>
      </c>
      <c r="AR1115" s="28"/>
      <c r="AS1115" s="28" t="n">
        <f aca="false">AR1115*$M1115</f>
        <v>0</v>
      </c>
      <c r="AT1115" s="28"/>
      <c r="AU1115" s="28" t="n">
        <f aca="false">AT1115*$M1115</f>
        <v>0</v>
      </c>
      <c r="AV1115" s="28"/>
      <c r="AW1115" s="28" t="n">
        <f aca="false">AV1115*$M1115</f>
        <v>0</v>
      </c>
      <c r="AX1115" s="28" t="n">
        <f aca="false">2736/100</f>
        <v>27.36</v>
      </c>
      <c r="AY1115" s="28" t="n">
        <v>4651</v>
      </c>
      <c r="AZ1115" s="30" t="n">
        <f aca="false">434496/100</f>
        <v>4344.96</v>
      </c>
      <c r="BA1115" s="11" t="n">
        <v>738643</v>
      </c>
      <c r="BB1115" s="31" t="n">
        <f aca="false">SUM(Q1115,S1115,U1115,W1115,Y1115,AA1115,AC1115,AE1115,AG1115,AI1115,AK1115,AM1115,AO1115,AQ1115,AS1115,AU1115,AW1115,AY1115)</f>
        <v>738643</v>
      </c>
      <c r="BC1115" s="28" t="n">
        <f aca="false">BA1115-BB1115</f>
        <v>0</v>
      </c>
      <c r="BD1115" s="32" t="n">
        <f aca="false">SUM(P1115,R1115,T1115,V1115,X1115,Z1115,AB1115,AD1115,AF1115,AH1115,AJ1115,AL1115,AN1115,AP1115,AR1115,AT1115,AV1115,AX1115)</f>
        <v>4344.96</v>
      </c>
      <c r="BE1115" s="33" t="n">
        <f aca="false">AZ1115-BD1115</f>
        <v>0</v>
      </c>
      <c r="BF1115" s="34" t="n">
        <f aca="false">BD1115*M1115</f>
        <v>738643.2</v>
      </c>
      <c r="BG1115" s="35" t="n">
        <f aca="false">BA1115-BF1115</f>
        <v>-0.199999999953434</v>
      </c>
      <c r="BH1115" s="19" t="str">
        <f aca="false">IF(BG1115=0,"",IF(BG1115&lt;&gt;BA1115,"erreur de calcul",IF(BD1115&lt;&gt;0,"pas de prix",IF(M1115&lt;&gt; 0,"pas de quantité","pas de prix, ni de quantité"))))</f>
        <v>erreur de calcul</v>
      </c>
      <c r="BI1115" s="19"/>
    </row>
    <row r="1116" customFormat="false" ht="15" hidden="false" customHeight="false" outlineLevel="0" collapsed="false">
      <c r="A1116" s="0" t="n">
        <v>20</v>
      </c>
      <c r="B1116" s="8" t="s">
        <v>24</v>
      </c>
      <c r="C1116" s="9" t="s">
        <v>25</v>
      </c>
      <c r="D1116" s="9" t="s">
        <v>26</v>
      </c>
      <c r="E1116" s="10" t="n">
        <v>1789</v>
      </c>
      <c r="F1116" s="9" t="s">
        <v>27</v>
      </c>
      <c r="G1116" s="9" t="s">
        <v>27</v>
      </c>
      <c r="H1116" s="11" t="n">
        <v>20</v>
      </c>
      <c r="I1116" s="11" t="s">
        <v>136</v>
      </c>
      <c r="J1116" s="14" t="n">
        <v>41</v>
      </c>
      <c r="K1116" s="14"/>
      <c r="L1116" s="16"/>
      <c r="M1116" s="27" t="n">
        <f aca="false">J1116+(K1116/20)+(L1116/240)</f>
        <v>41</v>
      </c>
      <c r="N1116" s="17" t="s">
        <v>64</v>
      </c>
      <c r="O1116" s="11"/>
      <c r="P1116" s="28" t="n">
        <f aca="false">1210/100</f>
        <v>12.1</v>
      </c>
      <c r="Q1116" s="28" t="n">
        <v>496</v>
      </c>
      <c r="R1116" s="28"/>
      <c r="S1116" s="28" t="n">
        <f aca="false">R1116*$M1116</f>
        <v>0</v>
      </c>
      <c r="T1116" s="28"/>
      <c r="U1116" s="28" t="n">
        <f aca="false">T1116*$M1116</f>
        <v>0</v>
      </c>
      <c r="V1116" s="28"/>
      <c r="W1116" s="28" t="n">
        <f aca="false">V1116*$M1116</f>
        <v>0</v>
      </c>
      <c r="X1116" s="28"/>
      <c r="Y1116" s="28" t="n">
        <f aca="false">X1116*$M1116</f>
        <v>0</v>
      </c>
      <c r="Z1116" s="28"/>
      <c r="AA1116" s="28" t="n">
        <f aca="false">Z1116*$M1116</f>
        <v>0</v>
      </c>
      <c r="AB1116" s="28"/>
      <c r="AC1116" s="28" t="n">
        <f aca="false">AB1116*$M1116</f>
        <v>0</v>
      </c>
      <c r="AD1116" s="28"/>
      <c r="AE1116" s="28" t="n">
        <f aca="false">AD1116*$M1116</f>
        <v>0</v>
      </c>
      <c r="AF1116" s="28"/>
      <c r="AG1116" s="28" t="n">
        <f aca="false">AF1116*$M1116</f>
        <v>0</v>
      </c>
      <c r="AH1116" s="28"/>
      <c r="AI1116" s="28" t="n">
        <f aca="false">AH1116*$M1116</f>
        <v>0</v>
      </c>
      <c r="AJ1116" s="28" t="n">
        <f aca="false">85034/100</f>
        <v>850.34</v>
      </c>
      <c r="AK1116" s="28" t="n">
        <v>34864</v>
      </c>
      <c r="AL1116" s="28" t="n">
        <f aca="false">1024/100</f>
        <v>10.24</v>
      </c>
      <c r="AM1116" s="28" t="n">
        <v>420</v>
      </c>
      <c r="AN1116" s="28"/>
      <c r="AO1116" s="28" t="n">
        <f aca="false">AN1116*$M1116</f>
        <v>0</v>
      </c>
      <c r="AP1116" s="28"/>
      <c r="AQ1116" s="28" t="n">
        <f aca="false">AP1116*$M1116</f>
        <v>0</v>
      </c>
      <c r="AR1116" s="28"/>
      <c r="AS1116" s="28" t="n">
        <f aca="false">AR1116*$M1116</f>
        <v>0</v>
      </c>
      <c r="AT1116" s="28"/>
      <c r="AU1116" s="28" t="n">
        <f aca="false">AT1116*$M1116</f>
        <v>0</v>
      </c>
      <c r="AV1116" s="28"/>
      <c r="AW1116" s="28" t="n">
        <f aca="false">AV1116*$M1116</f>
        <v>0</v>
      </c>
      <c r="AX1116" s="28"/>
      <c r="AY1116" s="28" t="n">
        <f aca="false">AX1116*$M1116</f>
        <v>0</v>
      </c>
      <c r="AZ1116" s="30" t="n">
        <f aca="false">87268/100</f>
        <v>872.68</v>
      </c>
      <c r="BA1116" s="11" t="n">
        <v>35780</v>
      </c>
      <c r="BB1116" s="31" t="n">
        <f aca="false">SUM(Q1116,S1116,U1116,W1116,Y1116,AA1116,AC1116,AE1116,AG1116,AI1116,AK1116,AM1116,AO1116,AQ1116,AS1116,AU1116,AW1116,AY1116)</f>
        <v>35780</v>
      </c>
      <c r="BC1116" s="28" t="n">
        <f aca="false">BA1116-BB1116</f>
        <v>0</v>
      </c>
      <c r="BD1116" s="32" t="n">
        <f aca="false">SUM(P1116,R1116,T1116,V1116,X1116,Z1116,AB1116,AD1116,AF1116,AH1116,AJ1116,AL1116,AN1116,AP1116,AR1116,AT1116,AV1116,AX1116)</f>
        <v>872.68</v>
      </c>
      <c r="BE1116" s="33" t="n">
        <f aca="false">AZ1116-BD1116</f>
        <v>0</v>
      </c>
      <c r="BF1116" s="34" t="n">
        <f aca="false">BD1116*M1116</f>
        <v>35779.88</v>
      </c>
      <c r="BG1116" s="35" t="n">
        <f aca="false">BA1116-BF1116</f>
        <v>0.119999999995343</v>
      </c>
      <c r="BH1116" s="19" t="str">
        <f aca="false">IF(BG1116=0,"",IF(BG1116&lt;&gt;BA1116,"erreur de calcul",IF(BD1116&lt;&gt;0,"pas de prix",IF(M1116&lt;&gt; 0,"pas de quantité","pas de prix, ni de quantité"))))</f>
        <v>erreur de calcul</v>
      </c>
      <c r="BI1116" s="19"/>
    </row>
    <row r="1117" customFormat="false" ht="15" hidden="false" customHeight="false" outlineLevel="0" collapsed="false">
      <c r="A1117" s="0" t="n">
        <v>21</v>
      </c>
      <c r="B1117" s="8" t="s">
        <v>24</v>
      </c>
      <c r="C1117" s="9" t="s">
        <v>25</v>
      </c>
      <c r="D1117" s="9" t="s">
        <v>26</v>
      </c>
      <c r="E1117" s="10" t="n">
        <v>1789</v>
      </c>
      <c r="F1117" s="9" t="s">
        <v>27</v>
      </c>
      <c r="G1117" s="9" t="s">
        <v>27</v>
      </c>
      <c r="H1117" s="11" t="n">
        <v>20</v>
      </c>
      <c r="I1117" s="11" t="s">
        <v>137</v>
      </c>
      <c r="J1117" s="14"/>
      <c r="K1117" s="14"/>
      <c r="L1117" s="16"/>
      <c r="M1117" s="27" t="n">
        <f aca="false">J1117+(K1117/20)+(L1117/240)</f>
        <v>0</v>
      </c>
      <c r="N1117" s="39" t="s">
        <v>138</v>
      </c>
      <c r="O1117" s="11"/>
      <c r="P1117" s="28" t="n">
        <v>337</v>
      </c>
      <c r="Q1117" s="28" t="n">
        <v>6250</v>
      </c>
      <c r="R1117" s="28"/>
      <c r="S1117" s="28" t="n">
        <f aca="false">R1117*$M1117</f>
        <v>0</v>
      </c>
      <c r="T1117" s="28"/>
      <c r="U1117" s="28" t="n">
        <f aca="false">T1117*$M1117</f>
        <v>0</v>
      </c>
      <c r="V1117" s="28" t="n">
        <v>760</v>
      </c>
      <c r="W1117" s="28" t="n">
        <v>18259</v>
      </c>
      <c r="X1117" s="28"/>
      <c r="Y1117" s="28" t="n">
        <f aca="false">X1117*$M1117</f>
        <v>0</v>
      </c>
      <c r="Z1117" s="28"/>
      <c r="AA1117" s="28" t="n">
        <f aca="false">Z1117*$M1117</f>
        <v>0</v>
      </c>
      <c r="AB1117" s="28"/>
      <c r="AC1117" s="28" t="n">
        <f aca="false">AB1117*$M1117</f>
        <v>0</v>
      </c>
      <c r="AD1117" s="28"/>
      <c r="AE1117" s="28" t="n">
        <f aca="false">AD1117*$M1117</f>
        <v>0</v>
      </c>
      <c r="AF1117" s="28"/>
      <c r="AG1117" s="28" t="n">
        <f aca="false">AF1117*$M1117</f>
        <v>0</v>
      </c>
      <c r="AH1117" s="28"/>
      <c r="AI1117" s="28" t="n">
        <f aca="false">AH1117*$M1117</f>
        <v>0</v>
      </c>
      <c r="AJ1117" s="28"/>
      <c r="AK1117" s="28" t="n">
        <f aca="false">AJ1117*$M1117</f>
        <v>0</v>
      </c>
      <c r="AL1117" s="28"/>
      <c r="AM1117" s="28" t="n">
        <f aca="false">AL1117*$M1117</f>
        <v>0</v>
      </c>
      <c r="AN1117" s="28"/>
      <c r="AO1117" s="28" t="n">
        <f aca="false">AN1117*$M1117</f>
        <v>0</v>
      </c>
      <c r="AP1117" s="28"/>
      <c r="AQ1117" s="28" t="n">
        <f aca="false">AP1117*$M1117</f>
        <v>0</v>
      </c>
      <c r="AR1117" s="28"/>
      <c r="AS1117" s="28" t="n">
        <f aca="false">AR1117*$M1117</f>
        <v>0</v>
      </c>
      <c r="AT1117" s="28"/>
      <c r="AU1117" s="28" t="n">
        <f aca="false">AT1117*$M1117</f>
        <v>0</v>
      </c>
      <c r="AV1117" s="28"/>
      <c r="AW1117" s="28" t="n">
        <f aca="false">AV1117*$M1117</f>
        <v>0</v>
      </c>
      <c r="AX1117" s="28"/>
      <c r="AY1117" s="28" t="n">
        <f aca="false">AX1117*$M1117</f>
        <v>0</v>
      </c>
      <c r="AZ1117" s="30" t="n">
        <f aca="false">1097</f>
        <v>1097</v>
      </c>
      <c r="BA1117" s="11" t="n">
        <v>24509</v>
      </c>
      <c r="BB1117" s="31" t="n">
        <f aca="false">SUM(Q1117,S1117,U1117,W1117,Y1117,AA1117,AC1117,AE1117,AG1117,AI1117,AK1117,AM1117,AO1117,AQ1117,AS1117,AU1117,AW1117,AY1117)</f>
        <v>24509</v>
      </c>
      <c r="BC1117" s="28" t="n">
        <f aca="false">BA1117-BB1117</f>
        <v>0</v>
      </c>
      <c r="BD1117" s="32" t="n">
        <f aca="false">SUM(P1117,R1117,T1117,V1117,X1117,Z1117,AB1117,AD1117,AF1117,AH1117,AJ1117,AL1117,AN1117,AP1117,AR1117,AT1117,AV1117,AX1117)</f>
        <v>1097</v>
      </c>
      <c r="BE1117" s="33" t="n">
        <f aca="false">AZ1117-BD1117</f>
        <v>0</v>
      </c>
      <c r="BF1117" s="34" t="n">
        <f aca="false">BD1117*M1117</f>
        <v>0</v>
      </c>
      <c r="BG1117" s="35" t="n">
        <f aca="false">BA1117-BF1117</f>
        <v>24509</v>
      </c>
      <c r="BH1117" s="19" t="str">
        <f aca="false">IF(BG1117=0,"",IF(BG1117&lt;&gt;BA1117,"erreur de calcul",IF(BD1117&lt;&gt;0,"pas de prix",IF(M1117&lt;&gt; 0,"pas de quantité","pas de prix, ni de quantité"))))</f>
        <v>pas de prix</v>
      </c>
      <c r="BI1117" s="19" t="s">
        <v>139</v>
      </c>
    </row>
    <row r="1118" customFormat="false" ht="15" hidden="false" customHeight="false" outlineLevel="0" collapsed="false">
      <c r="A1118" s="0" t="n">
        <v>22</v>
      </c>
      <c r="B1118" s="8" t="s">
        <v>24</v>
      </c>
      <c r="C1118" s="9" t="s">
        <v>25</v>
      </c>
      <c r="D1118" s="9" t="s">
        <v>26</v>
      </c>
      <c r="E1118" s="10" t="n">
        <v>1789</v>
      </c>
      <c r="F1118" s="9" t="s">
        <v>27</v>
      </c>
      <c r="G1118" s="9" t="s">
        <v>27</v>
      </c>
      <c r="H1118" s="11" t="n">
        <v>20</v>
      </c>
      <c r="I1118" s="11" t="s">
        <v>140</v>
      </c>
      <c r="J1118" s="14" t="n">
        <v>28</v>
      </c>
      <c r="K1118" s="14"/>
      <c r="L1118" s="16"/>
      <c r="M1118" s="27" t="n">
        <f aca="false">J1118+(K1118/20)+(L1118/240)</f>
        <v>28</v>
      </c>
      <c r="N1118" s="17" t="s">
        <v>64</v>
      </c>
      <c r="O1118" s="11"/>
      <c r="P1118" s="28"/>
      <c r="Q1118" s="28" t="n">
        <f aca="false">P1118*$M1118</f>
        <v>0</v>
      </c>
      <c r="R1118" s="28"/>
      <c r="S1118" s="28" t="n">
        <f aca="false">R1118*$M1118</f>
        <v>0</v>
      </c>
      <c r="T1118" s="28"/>
      <c r="U1118" s="28" t="n">
        <f aca="false">T1118*$M1118</f>
        <v>0</v>
      </c>
      <c r="V1118" s="28"/>
      <c r="W1118" s="28" t="n">
        <f aca="false">V1118*$M1118</f>
        <v>0</v>
      </c>
      <c r="X1118" s="28" t="n">
        <f aca="false">2572/100</f>
        <v>25.72</v>
      </c>
      <c r="Y1118" s="28" t="n">
        <v>720</v>
      </c>
      <c r="Z1118" s="28"/>
      <c r="AA1118" s="28" t="n">
        <f aca="false">Z1118*$M1118</f>
        <v>0</v>
      </c>
      <c r="AB1118" s="28"/>
      <c r="AC1118" s="28" t="n">
        <f aca="false">AB1118*$M1118</f>
        <v>0</v>
      </c>
      <c r="AD1118" s="28"/>
      <c r="AE1118" s="28" t="n">
        <f aca="false">AD1118*$M1118</f>
        <v>0</v>
      </c>
      <c r="AF1118" s="28" t="n">
        <f aca="false">3367/100</f>
        <v>33.67</v>
      </c>
      <c r="AG1118" s="36" t="n">
        <v>915</v>
      </c>
      <c r="AH1118" s="28"/>
      <c r="AI1118" s="28" t="n">
        <f aca="false">AH1118*$M1118</f>
        <v>0</v>
      </c>
      <c r="AJ1118" s="28"/>
      <c r="AK1118" s="28" t="n">
        <f aca="false">AJ1118*$M1118</f>
        <v>0</v>
      </c>
      <c r="AL1118" s="28"/>
      <c r="AM1118" s="28" t="n">
        <f aca="false">AL1118*$M1118</f>
        <v>0</v>
      </c>
      <c r="AN1118" s="28"/>
      <c r="AO1118" s="28" t="n">
        <f aca="false">AN1118*$M1118</f>
        <v>0</v>
      </c>
      <c r="AP1118" s="28"/>
      <c r="AQ1118" s="28" t="n">
        <f aca="false">AP1118*$M1118</f>
        <v>0</v>
      </c>
      <c r="AR1118" s="28"/>
      <c r="AS1118" s="28" t="n">
        <f aca="false">AR1118*$M1118</f>
        <v>0</v>
      </c>
      <c r="AT1118" s="28"/>
      <c r="AU1118" s="28" t="n">
        <f aca="false">AT1118*$M1118</f>
        <v>0</v>
      </c>
      <c r="AV1118" s="28"/>
      <c r="AW1118" s="28" t="n">
        <f aca="false">AV1118*$M1118</f>
        <v>0</v>
      </c>
      <c r="AX1118" s="28"/>
      <c r="AY1118" s="28" t="n">
        <f aca="false">AX1118*$M1118</f>
        <v>0</v>
      </c>
      <c r="AZ1118" s="30" t="n">
        <f aca="false">5939/100</f>
        <v>59.39</v>
      </c>
      <c r="BA1118" s="11" t="n">
        <v>1635</v>
      </c>
      <c r="BB1118" s="31" t="n">
        <f aca="false">SUM(Q1118,S1118,U1118,W1118,Y1118,AA1118,AC1118,AE1118,AG1118,AI1118,AK1118,AM1118,AO1118,AQ1118,AS1118,AU1118,AW1118,AY1118)</f>
        <v>1635</v>
      </c>
      <c r="BC1118" s="28" t="n">
        <f aca="false">BA1118-BB1118</f>
        <v>0</v>
      </c>
      <c r="BD1118" s="32" t="n">
        <f aca="false">SUM(P1118,R1118,T1118,V1118,X1118,Z1118,AB1118,AD1118,AF1118,AH1118,AJ1118,AL1118,AN1118,AP1118,AR1118,AT1118,AV1118,AX1118)</f>
        <v>59.39</v>
      </c>
      <c r="BE1118" s="33" t="n">
        <f aca="false">AZ1118-BD1118</f>
        <v>0</v>
      </c>
      <c r="BF1118" s="34" t="n">
        <f aca="false">BD1118*M1118</f>
        <v>1662.92</v>
      </c>
      <c r="BG1118" s="35" t="n">
        <f aca="false">BA1118-BF1118</f>
        <v>-27.9200000000001</v>
      </c>
      <c r="BH1118" s="19" t="str">
        <f aca="false">IF(BG1118=0,"",IF(BG1118&lt;&gt;BA1118,"erreur de calcul",IF(BD1118&lt;&gt;0,"pas de prix",IF(M1118&lt;&gt; 0,"pas de quantité","pas de prix, ni de quantité"))))</f>
        <v>erreur de calcul</v>
      </c>
      <c r="BI1118" s="19"/>
    </row>
    <row r="1119" customFormat="false" ht="15" hidden="false" customHeight="false" outlineLevel="0" collapsed="false">
      <c r="A1119" s="0" t="n">
        <v>23</v>
      </c>
      <c r="B1119" s="8" t="s">
        <v>24</v>
      </c>
      <c r="C1119" s="9" t="s">
        <v>25</v>
      </c>
      <c r="D1119" s="9" t="s">
        <v>26</v>
      </c>
      <c r="E1119" s="10" t="n">
        <v>1789</v>
      </c>
      <c r="F1119" s="9" t="s">
        <v>27</v>
      </c>
      <c r="G1119" s="9" t="s">
        <v>27</v>
      </c>
      <c r="H1119" s="11" t="n">
        <v>20</v>
      </c>
      <c r="I1119" s="11" t="s">
        <v>141</v>
      </c>
      <c r="J1119" s="14" t="n">
        <v>50</v>
      </c>
      <c r="K1119" s="14"/>
      <c r="L1119" s="16"/>
      <c r="M1119" s="27" t="n">
        <f aca="false">J1119+(K1119/20)+(L1119/240)</f>
        <v>50</v>
      </c>
      <c r="N1119" s="17" t="s">
        <v>64</v>
      </c>
      <c r="O1119" s="11"/>
      <c r="P1119" s="28" t="n">
        <f aca="false">79168/100</f>
        <v>791.68</v>
      </c>
      <c r="Q1119" s="28" t="n">
        <v>39584</v>
      </c>
      <c r="R1119" s="28"/>
      <c r="S1119" s="28" t="n">
        <f aca="false">R1119*$M1119</f>
        <v>0</v>
      </c>
      <c r="T1119" s="28" t="n">
        <f aca="false">18545/100</f>
        <v>185.45</v>
      </c>
      <c r="U1119" s="28" t="n">
        <v>9272</v>
      </c>
      <c r="V1119" s="28" t="n">
        <f aca="false">10784/100</f>
        <v>107.84</v>
      </c>
      <c r="W1119" s="28" t="n">
        <v>5392</v>
      </c>
      <c r="X1119" s="28" t="n">
        <f aca="false">22033/100</f>
        <v>220.33</v>
      </c>
      <c r="Y1119" s="28" t="n">
        <v>11016</v>
      </c>
      <c r="Z1119" s="28" t="n">
        <f aca="false">4478/100</f>
        <v>44.78</v>
      </c>
      <c r="AA1119" s="28" t="n">
        <v>2239</v>
      </c>
      <c r="AB1119" s="28" t="n">
        <f aca="false">8901/100</f>
        <v>89.01</v>
      </c>
      <c r="AC1119" s="28" t="n">
        <v>4450</v>
      </c>
      <c r="AD1119" s="28"/>
      <c r="AE1119" s="28" t="n">
        <f aca="false">AD1119*$M1119</f>
        <v>0</v>
      </c>
      <c r="AF1119" s="28"/>
      <c r="AG1119" s="28" t="n">
        <f aca="false">AF1119*$M1119</f>
        <v>0</v>
      </c>
      <c r="AH1119" s="28"/>
      <c r="AI1119" s="28" t="n">
        <f aca="false">AH1119*$M1119</f>
        <v>0</v>
      </c>
      <c r="AJ1119" s="28" t="n">
        <f aca="false">2917/100</f>
        <v>29.17</v>
      </c>
      <c r="AK1119" s="28" t="n">
        <v>1458</v>
      </c>
      <c r="AL1119" s="28"/>
      <c r="AM1119" s="28" t="n">
        <f aca="false">AL1119*$M1119</f>
        <v>0</v>
      </c>
      <c r="AN1119" s="28"/>
      <c r="AO1119" s="28" t="n">
        <f aca="false">AN1119*$M1119</f>
        <v>0</v>
      </c>
      <c r="AP1119" s="28"/>
      <c r="AQ1119" s="28" t="n">
        <f aca="false">AP1119*$M1119</f>
        <v>0</v>
      </c>
      <c r="AR1119" s="28"/>
      <c r="AS1119" s="28" t="n">
        <f aca="false">AR1119*$M1119</f>
        <v>0</v>
      </c>
      <c r="AT1119" s="28"/>
      <c r="AU1119" s="28" t="n">
        <f aca="false">AT1119*$M1119</f>
        <v>0</v>
      </c>
      <c r="AV1119" s="28" t="n">
        <f aca="false">6667/100</f>
        <v>66.67</v>
      </c>
      <c r="AW1119" s="28" t="n">
        <v>3333</v>
      </c>
      <c r="AX1119" s="28"/>
      <c r="AY1119" s="28" t="n">
        <f aca="false">AX1119*$M1119</f>
        <v>0</v>
      </c>
      <c r="AZ1119" s="30" t="n">
        <f aca="false">153493/100</f>
        <v>1534.93</v>
      </c>
      <c r="BA1119" s="11" t="n">
        <v>76744</v>
      </c>
      <c r="BB1119" s="31" t="n">
        <f aca="false">SUM(Q1119,S1119,U1119,W1119,Y1119,AA1119,AC1119,AE1119,AG1119,AI1119,AK1119,AM1119,AO1119,AQ1119,AS1119,AU1119,AW1119,AY1119)</f>
        <v>76744</v>
      </c>
      <c r="BC1119" s="28" t="n">
        <f aca="false">BA1119-BB1119</f>
        <v>0</v>
      </c>
      <c r="BD1119" s="32" t="n">
        <f aca="false">SUM(P1119,R1119,T1119,V1119,X1119,Z1119,AB1119,AD1119,AF1119,AH1119,AJ1119,AL1119,AN1119,AP1119,AR1119,AT1119,AV1119,AX1119)</f>
        <v>1534.93</v>
      </c>
      <c r="BE1119" s="33" t="n">
        <f aca="false">AZ1119-BD1119</f>
        <v>0</v>
      </c>
      <c r="BF1119" s="34" t="n">
        <f aca="false">BD1119*M1119</f>
        <v>76746.5</v>
      </c>
      <c r="BG1119" s="35" t="n">
        <f aca="false">BA1119-BF1119</f>
        <v>-2.49999999998545</v>
      </c>
      <c r="BH1119" s="19" t="str">
        <f aca="false">IF(BG1119=0,"",IF(BG1119&lt;&gt;BA1119,"erreur de calcul",IF(BD1119&lt;&gt;0,"pas de prix",IF(M1119&lt;&gt; 0,"pas de quantité","pas de prix, ni de quantité"))))</f>
        <v>erreur de calcul</v>
      </c>
      <c r="BI1119" s="19"/>
    </row>
    <row r="1120" customFormat="false" ht="15" hidden="false" customHeight="false" outlineLevel="0" collapsed="false">
      <c r="A1120" s="0" t="n">
        <v>24</v>
      </c>
      <c r="B1120" s="8" t="s">
        <v>24</v>
      </c>
      <c r="C1120" s="9" t="s">
        <v>25</v>
      </c>
      <c r="D1120" s="9" t="s">
        <v>26</v>
      </c>
      <c r="E1120" s="10" t="n">
        <v>1789</v>
      </c>
      <c r="F1120" s="9" t="s">
        <v>27</v>
      </c>
      <c r="G1120" s="9" t="s">
        <v>27</v>
      </c>
      <c r="H1120" s="11" t="n">
        <v>20</v>
      </c>
      <c r="I1120" s="11" t="s">
        <v>142</v>
      </c>
      <c r="J1120" s="14" t="n">
        <v>12</v>
      </c>
      <c r="K1120" s="14"/>
      <c r="L1120" s="16"/>
      <c r="M1120" s="27" t="n">
        <f aca="false">J1120+(K1120/20)+(L1120/240)</f>
        <v>12</v>
      </c>
      <c r="N1120" s="17" t="s">
        <v>66</v>
      </c>
      <c r="O1120" s="11"/>
      <c r="P1120" s="28"/>
      <c r="Q1120" s="28" t="n">
        <f aca="false">P1120*$M1120</f>
        <v>0</v>
      </c>
      <c r="R1120" s="28"/>
      <c r="S1120" s="28" t="n">
        <f aca="false">R1120*$M1120</f>
        <v>0</v>
      </c>
      <c r="T1120" s="28"/>
      <c r="U1120" s="28" t="n">
        <f aca="false">T1120*$M1120</f>
        <v>0</v>
      </c>
      <c r="V1120" s="28"/>
      <c r="W1120" s="28" t="n">
        <f aca="false">V1120*$M1120</f>
        <v>0</v>
      </c>
      <c r="X1120" s="28"/>
      <c r="Y1120" s="28" t="n">
        <f aca="false">X1120*$M1120</f>
        <v>0</v>
      </c>
      <c r="Z1120" s="28" t="n">
        <v>21</v>
      </c>
      <c r="AA1120" s="28" t="n">
        <v>252</v>
      </c>
      <c r="AB1120" s="28" t="n">
        <v>672</v>
      </c>
      <c r="AC1120" s="28" t="n">
        <v>8064</v>
      </c>
      <c r="AD1120" s="28"/>
      <c r="AE1120" s="28" t="n">
        <f aca="false">AD1120*$M1120</f>
        <v>0</v>
      </c>
      <c r="AF1120" s="28"/>
      <c r="AG1120" s="28" t="n">
        <f aca="false">AF1120*$M1120</f>
        <v>0</v>
      </c>
      <c r="AH1120" s="28"/>
      <c r="AI1120" s="28" t="n">
        <f aca="false">AH1120*$M1120</f>
        <v>0</v>
      </c>
      <c r="AJ1120" s="28"/>
      <c r="AK1120" s="28" t="n">
        <f aca="false">AJ1120*$M1120</f>
        <v>0</v>
      </c>
      <c r="AL1120" s="28"/>
      <c r="AM1120" s="28" t="n">
        <f aca="false">AL1120*$M1120</f>
        <v>0</v>
      </c>
      <c r="AN1120" s="28"/>
      <c r="AO1120" s="28" t="n">
        <f aca="false">AN1120*$M1120</f>
        <v>0</v>
      </c>
      <c r="AP1120" s="28"/>
      <c r="AQ1120" s="28" t="n">
        <f aca="false">AP1120*$M1120</f>
        <v>0</v>
      </c>
      <c r="AR1120" s="28"/>
      <c r="AS1120" s="28" t="n">
        <f aca="false">AR1120*$M1120</f>
        <v>0</v>
      </c>
      <c r="AT1120" s="28"/>
      <c r="AU1120" s="28" t="n">
        <f aca="false">AT1120*$M1120</f>
        <v>0</v>
      </c>
      <c r="AV1120" s="28"/>
      <c r="AW1120" s="28" t="n">
        <f aca="false">AV1120*$M1120</f>
        <v>0</v>
      </c>
      <c r="AX1120" s="28"/>
      <c r="AY1120" s="28" t="n">
        <f aca="false">AX1120*$M1120</f>
        <v>0</v>
      </c>
      <c r="AZ1120" s="30" t="n">
        <v>693</v>
      </c>
      <c r="BA1120" s="11" t="n">
        <v>8316</v>
      </c>
      <c r="BB1120" s="31" t="n">
        <f aca="false">SUM(Q1120,S1120,U1120,W1120,Y1120,AA1120,AC1120,AE1120,AG1120,AI1120,AK1120,AM1120,AO1120,AQ1120,AS1120,AU1120,AW1120,AY1120)</f>
        <v>8316</v>
      </c>
      <c r="BC1120" s="28" t="n">
        <f aca="false">BA1120-BB1120</f>
        <v>0</v>
      </c>
      <c r="BD1120" s="32" t="n">
        <f aca="false">SUM(P1120,R1120,T1120,V1120,X1120,Z1120,AB1120,AD1120,AF1120,AH1120,AJ1120,AL1120,AN1120,AP1120,AR1120,AT1120,AV1120,AX1120)</f>
        <v>693</v>
      </c>
      <c r="BE1120" s="33" t="n">
        <f aca="false">AZ1120-BD1120</f>
        <v>0</v>
      </c>
      <c r="BF1120" s="34" t="n">
        <f aca="false">BD1120*M1120</f>
        <v>8316</v>
      </c>
      <c r="BG1120" s="35" t="n">
        <f aca="false">BA1120-BF1120</f>
        <v>0</v>
      </c>
      <c r="BH1120" s="19" t="str">
        <f aca="false">IF(BG1120=0,"",IF(BG1120&lt;&gt;BA1120,"erreur de calcul",IF(BD1120&lt;&gt;0,"pas de prix",IF(M1120&lt;&gt; 0,"pas de quantité","pas de prix, ni de quantité"))))</f>
        <v/>
      </c>
      <c r="BI1120" s="19"/>
    </row>
    <row r="1121" customFormat="false" ht="15" hidden="false" customHeight="false" outlineLevel="0" collapsed="false">
      <c r="A1121" s="0" t="n">
        <v>25</v>
      </c>
      <c r="B1121" s="8" t="s">
        <v>24</v>
      </c>
      <c r="C1121" s="9" t="s">
        <v>25</v>
      </c>
      <c r="D1121" s="9" t="s">
        <v>26</v>
      </c>
      <c r="E1121" s="10" t="n">
        <v>1789</v>
      </c>
      <c r="F1121" s="9" t="s">
        <v>27</v>
      </c>
      <c r="G1121" s="9" t="s">
        <v>27</v>
      </c>
      <c r="H1121" s="11" t="n">
        <v>20</v>
      </c>
      <c r="I1121" s="11" t="s">
        <v>143</v>
      </c>
      <c r="J1121" s="14" t="n">
        <v>8</v>
      </c>
      <c r="K1121" s="14"/>
      <c r="L1121" s="16"/>
      <c r="M1121" s="27" t="n">
        <f aca="false">J1121+(K1121/20)+(L1121/240)</f>
        <v>8</v>
      </c>
      <c r="N1121" s="17" t="s">
        <v>85</v>
      </c>
      <c r="O1121" s="11"/>
      <c r="P1121" s="28" t="n">
        <f aca="false">74969/100</f>
        <v>749.69</v>
      </c>
      <c r="Q1121" s="28" t="n">
        <v>5997</v>
      </c>
      <c r="R1121" s="28"/>
      <c r="S1121" s="28" t="n">
        <f aca="false">R1121*$M1121</f>
        <v>0</v>
      </c>
      <c r="T1121" s="28" t="n">
        <f aca="false">58256/100</f>
        <v>582.56</v>
      </c>
      <c r="U1121" s="28" t="n">
        <v>4660</v>
      </c>
      <c r="V1121" s="28" t="n">
        <f aca="false">14450/100</f>
        <v>144.5</v>
      </c>
      <c r="W1121" s="28" t="n">
        <v>1156</v>
      </c>
      <c r="X1121" s="28" t="n">
        <f aca="false">4397/100</f>
        <v>43.97</v>
      </c>
      <c r="Y1121" s="28" t="n">
        <v>352</v>
      </c>
      <c r="Z1121" s="28"/>
      <c r="AA1121" s="28" t="n">
        <f aca="false">Z1121*$M1121</f>
        <v>0</v>
      </c>
      <c r="AB1121" s="28" t="n">
        <f aca="false">6400/100</f>
        <v>64</v>
      </c>
      <c r="AC1121" s="28" t="n">
        <v>512</v>
      </c>
      <c r="AD1121" s="28" t="n">
        <f aca="false">19450/100</f>
        <v>194.5</v>
      </c>
      <c r="AE1121" s="28" t="n">
        <v>1556</v>
      </c>
      <c r="AF1121" s="28" t="n">
        <f aca="false">2496/100</f>
        <v>24.96</v>
      </c>
      <c r="AG1121" s="28" t="n">
        <v>200</v>
      </c>
      <c r="AH1121" s="28"/>
      <c r="AI1121" s="28" t="n">
        <f aca="false">AH1121*$M1121</f>
        <v>0</v>
      </c>
      <c r="AJ1121" s="28"/>
      <c r="AK1121" s="28" t="n">
        <f aca="false">AJ1121*$M1121</f>
        <v>0</v>
      </c>
      <c r="AL1121" s="28"/>
      <c r="AM1121" s="28" t="n">
        <f aca="false">AL1121*$M1121</f>
        <v>0</v>
      </c>
      <c r="AN1121" s="28"/>
      <c r="AO1121" s="28" t="n">
        <f aca="false">AN1121*$M1121</f>
        <v>0</v>
      </c>
      <c r="AP1121" s="28"/>
      <c r="AQ1121" s="28" t="n">
        <f aca="false">AP1121*$M1121</f>
        <v>0</v>
      </c>
      <c r="AR1121" s="28"/>
      <c r="AS1121" s="28" t="n">
        <f aca="false">AR1121*$M1121</f>
        <v>0</v>
      </c>
      <c r="AT1121" s="28"/>
      <c r="AU1121" s="28" t="n">
        <f aca="false">AT1121*$M1121</f>
        <v>0</v>
      </c>
      <c r="AV1121" s="28"/>
      <c r="AW1121" s="28" t="n">
        <f aca="false">AV1121*$M1121</f>
        <v>0</v>
      </c>
      <c r="AX1121" s="28"/>
      <c r="AY1121" s="28" t="n">
        <f aca="false">AX1121*$M1121</f>
        <v>0</v>
      </c>
      <c r="AZ1121" s="30" t="n">
        <f aca="false">180418/100</f>
        <v>1804.18</v>
      </c>
      <c r="BA1121" s="11" t="n">
        <v>14433</v>
      </c>
      <c r="BB1121" s="31" t="n">
        <f aca="false">SUM(Q1121,S1121,U1121,W1121,Y1121,AA1121,AC1121,AE1121,AG1121,AI1121,AK1121,AM1121,AO1121,AQ1121,AS1121,AU1121,AW1121,AY1121)</f>
        <v>14433</v>
      </c>
      <c r="BC1121" s="28" t="n">
        <f aca="false">BA1121-BB1121</f>
        <v>0</v>
      </c>
      <c r="BD1121" s="32" t="n">
        <f aca="false">SUM(P1121,R1121,T1121,V1121,X1121,Z1121,AB1121,AD1121,AF1121,AH1121,AJ1121,AL1121,AN1121,AP1121,AR1121,AT1121,AV1121,AX1121)</f>
        <v>1804.18</v>
      </c>
      <c r="BE1121" s="33" t="n">
        <f aca="false">AZ1121-BD1121</f>
        <v>0</v>
      </c>
      <c r="BF1121" s="34" t="n">
        <f aca="false">BD1121*M1121</f>
        <v>14433.44</v>
      </c>
      <c r="BG1121" s="35" t="n">
        <f aca="false">BA1121-BF1121</f>
        <v>-0.440000000000509</v>
      </c>
      <c r="BH1121" s="19" t="str">
        <f aca="false">IF(BG1121=0,"",IF(BG1121&lt;&gt;BA1121,"erreur de calcul",IF(BD1121&lt;&gt;0,"pas de prix",IF(M1121&lt;&gt; 0,"pas de quantité","pas de prix, ni de quantité"))))</f>
        <v>erreur de calcul</v>
      </c>
      <c r="BI1121" s="19"/>
    </row>
    <row r="1122" customFormat="false" ht="15" hidden="false" customHeight="false" outlineLevel="0" collapsed="false">
      <c r="A1122" s="0" t="n">
        <v>26</v>
      </c>
      <c r="B1122" s="8" t="s">
        <v>24</v>
      </c>
      <c r="C1122" s="9" t="s">
        <v>25</v>
      </c>
      <c r="D1122" s="9" t="s">
        <v>26</v>
      </c>
      <c r="E1122" s="10" t="n">
        <v>1789</v>
      </c>
      <c r="F1122" s="9" t="s">
        <v>27</v>
      </c>
      <c r="G1122" s="9" t="s">
        <v>27</v>
      </c>
      <c r="H1122" s="11" t="n">
        <v>20</v>
      </c>
      <c r="I1122" s="11" t="s">
        <v>144</v>
      </c>
      <c r="J1122" s="14" t="n">
        <v>3</v>
      </c>
      <c r="K1122" s="14"/>
      <c r="L1122" s="16"/>
      <c r="M1122" s="27" t="n">
        <f aca="false">J1122+(K1122/20)+(L1122/240)</f>
        <v>3</v>
      </c>
      <c r="N1122" s="17" t="s">
        <v>66</v>
      </c>
      <c r="O1122" s="11"/>
      <c r="P1122" s="28"/>
      <c r="Q1122" s="28" t="n">
        <f aca="false">P1122*$M1122</f>
        <v>0</v>
      </c>
      <c r="R1122" s="28"/>
      <c r="S1122" s="28" t="n">
        <f aca="false">R1122*$M1122</f>
        <v>0</v>
      </c>
      <c r="T1122" s="28" t="n">
        <v>24347</v>
      </c>
      <c r="U1122" s="28" t="n">
        <v>73041</v>
      </c>
      <c r="V1122" s="28" t="n">
        <v>2300</v>
      </c>
      <c r="W1122" s="28" t="n">
        <v>6900</v>
      </c>
      <c r="X1122" s="28" t="n">
        <v>152</v>
      </c>
      <c r="Y1122" s="28" t="n">
        <v>456</v>
      </c>
      <c r="Z1122" s="28"/>
      <c r="AA1122" s="28" t="n">
        <f aca="false">Z1122*$M1122</f>
        <v>0</v>
      </c>
      <c r="AB1122" s="28" t="n">
        <v>53940</v>
      </c>
      <c r="AC1122" s="28" t="n">
        <v>161820</v>
      </c>
      <c r="AD1122" s="28"/>
      <c r="AE1122" s="28" t="n">
        <f aca="false">AD1122*$M1122</f>
        <v>0</v>
      </c>
      <c r="AF1122" s="28"/>
      <c r="AG1122" s="28" t="n">
        <f aca="false">AF1122*$M1122</f>
        <v>0</v>
      </c>
      <c r="AH1122" s="28" t="n">
        <v>1668909</v>
      </c>
      <c r="AI1122" s="28" t="n">
        <v>5006727</v>
      </c>
      <c r="AJ1122" s="28"/>
      <c r="AK1122" s="28" t="n">
        <f aca="false">AJ1122*$M1122</f>
        <v>0</v>
      </c>
      <c r="AL1122" s="28"/>
      <c r="AM1122" s="28" t="n">
        <f aca="false">AL1122*$M1122</f>
        <v>0</v>
      </c>
      <c r="AN1122" s="28" t="n">
        <v>165</v>
      </c>
      <c r="AO1122" s="28" t="n">
        <v>495</v>
      </c>
      <c r="AP1122" s="28"/>
      <c r="AQ1122" s="28" t="n">
        <f aca="false">AP1122*$M1122</f>
        <v>0</v>
      </c>
      <c r="AR1122" s="28"/>
      <c r="AS1122" s="28" t="n">
        <f aca="false">AR1122*$M1122</f>
        <v>0</v>
      </c>
      <c r="AT1122" s="28"/>
      <c r="AU1122" s="28" t="n">
        <f aca="false">AT1122*$M1122</f>
        <v>0</v>
      </c>
      <c r="AV1122" s="28"/>
      <c r="AW1122" s="28" t="n">
        <f aca="false">AV1122*$M1122</f>
        <v>0</v>
      </c>
      <c r="AX1122" s="28"/>
      <c r="AY1122" s="28" t="n">
        <f aca="false">AX1122*$M1122</f>
        <v>0</v>
      </c>
      <c r="AZ1122" s="30" t="n">
        <v>1736540</v>
      </c>
      <c r="BA1122" s="11" t="n">
        <v>5249439</v>
      </c>
      <c r="BB1122" s="31" t="n">
        <f aca="false">SUM(Q1122,S1122,U1122,W1122,Y1122,AA1122,AC1122,AE1122,AG1122,AI1122,AK1122,AM1122,AO1122,AQ1122,AS1122,AU1122,AW1122,AY1122)</f>
        <v>5249439</v>
      </c>
      <c r="BC1122" s="28" t="n">
        <f aca="false">BA1122-BB1122</f>
        <v>0</v>
      </c>
      <c r="BD1122" s="32" t="n">
        <f aca="false">SUM(P1122,R1122,T1122,V1122,X1122,Z1122,AB1122,AD1122,AF1122,AH1122,AJ1122,AL1122,AN1122,AP1122,AR1122,AT1122,AV1122,AX1122)</f>
        <v>1749813</v>
      </c>
      <c r="BE1122" s="33" t="n">
        <f aca="false">AZ1122-BD1122</f>
        <v>-13273</v>
      </c>
      <c r="BF1122" s="34" t="n">
        <f aca="false">BD1122*M1122</f>
        <v>5249439</v>
      </c>
      <c r="BG1122" s="35" t="n">
        <f aca="false">BA1122-BF1122</f>
        <v>0</v>
      </c>
      <c r="BH1122" s="19" t="str">
        <f aca="false">IF(BG1122=0,"",IF(BG1122&lt;&gt;BA1122,"erreur de calcul",IF(BD1122&lt;&gt;0,"pas de prix",IF(M1122&lt;&gt; 0,"pas de quantité","pas de prix, ni de quantité"))))</f>
        <v/>
      </c>
      <c r="BI1122" s="19"/>
    </row>
    <row r="1123" customFormat="false" ht="15" hidden="false" customHeight="false" outlineLevel="0" collapsed="false">
      <c r="A1123" s="0" t="n">
        <v>27</v>
      </c>
      <c r="B1123" s="8" t="s">
        <v>24</v>
      </c>
      <c r="C1123" s="9" t="s">
        <v>25</v>
      </c>
      <c r="D1123" s="9" t="s">
        <v>26</v>
      </c>
      <c r="E1123" s="10" t="n">
        <v>1789</v>
      </c>
      <c r="F1123" s="9" t="s">
        <v>27</v>
      </c>
      <c r="G1123" s="9" t="s">
        <v>27</v>
      </c>
      <c r="H1123" s="11" t="n">
        <v>20</v>
      </c>
      <c r="I1123" s="11" t="s">
        <v>145</v>
      </c>
      <c r="J1123" s="14" t="n">
        <v>4</v>
      </c>
      <c r="K1123" s="14" t="n">
        <v>18</v>
      </c>
      <c r="L1123" s="16"/>
      <c r="M1123" s="27" t="n">
        <f aca="false">J1123+(K1123/20)+(L1123/240)</f>
        <v>4.9</v>
      </c>
      <c r="N1123" s="17" t="s">
        <v>66</v>
      </c>
      <c r="O1123" s="11"/>
      <c r="P1123" s="28"/>
      <c r="Q1123" s="28" t="n">
        <f aca="false">P1123*$M1123</f>
        <v>0</v>
      </c>
      <c r="R1123" s="28"/>
      <c r="S1123" s="28" t="n">
        <f aca="false">R1123*$M1123</f>
        <v>0</v>
      </c>
      <c r="T1123" s="28"/>
      <c r="U1123" s="28" t="n">
        <f aca="false">T1123*$M1123</f>
        <v>0</v>
      </c>
      <c r="V1123" s="28"/>
      <c r="W1123" s="28" t="n">
        <f aca="false">V1123*$M1123</f>
        <v>0</v>
      </c>
      <c r="X1123" s="28"/>
      <c r="Y1123" s="28" t="n">
        <f aca="false">X1123*$M1123</f>
        <v>0</v>
      </c>
      <c r="Z1123" s="28"/>
      <c r="AA1123" s="28" t="n">
        <f aca="false">Z1123*$M1123</f>
        <v>0</v>
      </c>
      <c r="AB1123" s="28"/>
      <c r="AC1123" s="28" t="n">
        <f aca="false">AB1123*$M1123</f>
        <v>0</v>
      </c>
      <c r="AD1123" s="28"/>
      <c r="AE1123" s="28" t="n">
        <f aca="false">AD1123*$M1123</f>
        <v>0</v>
      </c>
      <c r="AF1123" s="28"/>
      <c r="AG1123" s="28" t="n">
        <f aca="false">AF1123*$M1123</f>
        <v>0</v>
      </c>
      <c r="AH1123" s="28" t="n">
        <v>14916</v>
      </c>
      <c r="AI1123" s="28" t="n">
        <v>73088</v>
      </c>
      <c r="AJ1123" s="28"/>
      <c r="AK1123" s="28" t="n">
        <f aca="false">AJ1123*$M1123</f>
        <v>0</v>
      </c>
      <c r="AL1123" s="28"/>
      <c r="AM1123" s="28" t="n">
        <f aca="false">AL1123*$M1123</f>
        <v>0</v>
      </c>
      <c r="AN1123" s="28"/>
      <c r="AO1123" s="28" t="n">
        <f aca="false">AN1123*$M1123</f>
        <v>0</v>
      </c>
      <c r="AP1123" s="28"/>
      <c r="AQ1123" s="28" t="n">
        <f aca="false">AP1123*$M1123</f>
        <v>0</v>
      </c>
      <c r="AR1123" s="28"/>
      <c r="AS1123" s="28" t="n">
        <f aca="false">AR1123*$M1123</f>
        <v>0</v>
      </c>
      <c r="AT1123" s="28"/>
      <c r="AU1123" s="28" t="n">
        <f aca="false">AT1123*$M1123</f>
        <v>0</v>
      </c>
      <c r="AV1123" s="28"/>
      <c r="AW1123" s="28" t="n">
        <f aca="false">AV1123*$M1123</f>
        <v>0</v>
      </c>
      <c r="AX1123" s="28"/>
      <c r="AY1123" s="28" t="n">
        <f aca="false">AX1123*$M1123</f>
        <v>0</v>
      </c>
      <c r="AZ1123" s="30" t="n">
        <v>14916</v>
      </c>
      <c r="BA1123" s="11" t="n">
        <v>73088</v>
      </c>
      <c r="BB1123" s="31" t="n">
        <f aca="false">SUM(Q1123,S1123,U1123,W1123,Y1123,AA1123,AC1123,AE1123,AG1123,AI1123,AK1123,AM1123,AO1123,AQ1123,AS1123,AU1123,AW1123,AY1123)</f>
        <v>73088</v>
      </c>
      <c r="BC1123" s="28" t="n">
        <f aca="false">BA1123-BB1123</f>
        <v>0</v>
      </c>
      <c r="BD1123" s="32" t="n">
        <f aca="false">SUM(P1123,R1123,T1123,V1123,X1123,Z1123,AB1123,AD1123,AF1123,AH1123,AJ1123,AL1123,AN1123,AP1123,AR1123,AT1123,AV1123,AX1123)</f>
        <v>14916</v>
      </c>
      <c r="BE1123" s="33" t="n">
        <f aca="false">AZ1123-BD1123</f>
        <v>0</v>
      </c>
      <c r="BF1123" s="34" t="n">
        <f aca="false">BD1123*M1123</f>
        <v>73088.4</v>
      </c>
      <c r="BG1123" s="35" t="n">
        <f aca="false">BA1123-BF1123</f>
        <v>-0.400000000008731</v>
      </c>
      <c r="BH1123" s="19" t="str">
        <f aca="false">IF(BG1123=0,"",IF(BG1123&lt;&gt;BA1123,"erreur de calcul",IF(BD1123&lt;&gt;0,"pas de prix",IF(M1123&lt;&gt; 0,"pas de quantité","pas de prix, ni de quantité"))))</f>
        <v>erreur de calcul</v>
      </c>
      <c r="BI1123" s="19"/>
    </row>
    <row r="1124" customFormat="false" ht="15" hidden="false" customHeight="false" outlineLevel="0" collapsed="false">
      <c r="A1124" s="0" t="n">
        <v>28</v>
      </c>
      <c r="B1124" s="8" t="s">
        <v>24</v>
      </c>
      <c r="C1124" s="9" t="s">
        <v>25</v>
      </c>
      <c r="D1124" s="9" t="s">
        <v>26</v>
      </c>
      <c r="E1124" s="10" t="n">
        <v>1789</v>
      </c>
      <c r="F1124" s="9" t="s">
        <v>27</v>
      </c>
      <c r="G1124" s="9" t="s">
        <v>27</v>
      </c>
      <c r="H1124" s="11" t="n">
        <v>20</v>
      </c>
      <c r="I1124" s="11" t="s">
        <v>146</v>
      </c>
      <c r="J1124" s="14" t="n">
        <v>126</v>
      </c>
      <c r="K1124" s="14"/>
      <c r="L1124" s="16"/>
      <c r="M1124" s="27"/>
      <c r="N1124" s="17" t="s">
        <v>66</v>
      </c>
      <c r="O1124" s="11" t="s">
        <v>98</v>
      </c>
      <c r="P1124" s="28"/>
      <c r="Q1124" s="28" t="n">
        <f aca="false">P1124*$M1124</f>
        <v>0</v>
      </c>
      <c r="R1124" s="28" t="n">
        <v>82676</v>
      </c>
      <c r="S1124" s="28" t="n">
        <v>28572</v>
      </c>
      <c r="T1124" s="28"/>
      <c r="U1124" s="28" t="n">
        <f aca="false">T1124*$M1124</f>
        <v>0</v>
      </c>
      <c r="V1124" s="28"/>
      <c r="W1124" s="28" t="n">
        <f aca="false">V1124*$M1124</f>
        <v>0</v>
      </c>
      <c r="X1124" s="28"/>
      <c r="Y1124" s="28" t="n">
        <f aca="false">X1124*$M1124</f>
        <v>0</v>
      </c>
      <c r="Z1124" s="28"/>
      <c r="AA1124" s="28" t="n">
        <f aca="false">Z1124*$M1124</f>
        <v>0</v>
      </c>
      <c r="AB1124" s="28"/>
      <c r="AC1124" s="28" t="n">
        <f aca="false">AB1124*$M1124</f>
        <v>0</v>
      </c>
      <c r="AD1124" s="28"/>
      <c r="AE1124" s="28" t="n">
        <f aca="false">AD1124*$M1124</f>
        <v>0</v>
      </c>
      <c r="AF1124" s="28"/>
      <c r="AG1124" s="28" t="n">
        <f aca="false">AF1124*$M1124</f>
        <v>0</v>
      </c>
      <c r="AH1124" s="28" t="n">
        <v>6408925</v>
      </c>
      <c r="AI1124" s="28" t="n">
        <v>8075245</v>
      </c>
      <c r="AJ1124" s="28"/>
      <c r="AK1124" s="28" t="n">
        <f aca="false">AJ1124*$M1124</f>
        <v>0</v>
      </c>
      <c r="AL1124" s="28"/>
      <c r="AM1124" s="28" t="n">
        <f aca="false">AL1124*$M1124</f>
        <v>0</v>
      </c>
      <c r="AN1124" s="28"/>
      <c r="AO1124" s="28" t="n">
        <f aca="false">AN1124*$M1124</f>
        <v>0</v>
      </c>
      <c r="AP1124" s="28"/>
      <c r="AQ1124" s="28" t="n">
        <f aca="false">AP1124*$M1124</f>
        <v>0</v>
      </c>
      <c r="AR1124" s="28"/>
      <c r="AS1124" s="28" t="n">
        <f aca="false">AR1124*$M1124</f>
        <v>0</v>
      </c>
      <c r="AT1124" s="28"/>
      <c r="AU1124" s="28" t="n">
        <f aca="false">AT1124*$M1124</f>
        <v>0</v>
      </c>
      <c r="AV1124" s="28"/>
      <c r="AW1124" s="28" t="n">
        <f aca="false">AV1124*$M1124</f>
        <v>0</v>
      </c>
      <c r="AX1124" s="28"/>
      <c r="AY1124" s="28" t="n">
        <f aca="false">AX1124*$M1124</f>
        <v>0</v>
      </c>
      <c r="AZ1124" s="11" t="n">
        <v>6431601</v>
      </c>
      <c r="BA1124" s="11" t="n">
        <v>8103817</v>
      </c>
      <c r="BB1124" s="31" t="n">
        <f aca="false">SUM(Q1124,S1124,U1124,W1124,Y1124,AA1124,AC1124,AE1124,AG1124,AI1124,AK1124,AM1124,AO1124,AQ1124,AS1124,AU1124,AW1124,AY1124)</f>
        <v>8103817</v>
      </c>
      <c r="BC1124" s="28" t="n">
        <f aca="false">BA1124-BB1124</f>
        <v>0</v>
      </c>
      <c r="BD1124" s="32" t="n">
        <f aca="false">SUM(P1124,R1124,T1124,V1124,X1124,Z1124,AB1124,AD1124,AF1124,AH1124,AJ1124,AL1124,AN1124,AP1124,AR1124,AT1124,AV1124,AX1124)</f>
        <v>6491601</v>
      </c>
      <c r="BE1124" s="33" t="n">
        <f aca="false">AZ1124-BD1124</f>
        <v>-60000</v>
      </c>
      <c r="BF1124" s="34" t="n">
        <f aca="false">BD1124*M1124</f>
        <v>0</v>
      </c>
      <c r="BG1124" s="35" t="n">
        <f aca="false">BA1124-BF1124</f>
        <v>8103817</v>
      </c>
      <c r="BH1124" s="19" t="str">
        <f aca="false">IF(BG1124=0,"",IF(BG1124&lt;&gt;BA1124,"erreur de calcul",IF(BD1124&lt;&gt;0,"pas de prix",IF(M1124&lt;&gt; 0,"pas de quantité","pas de prix, ni de quantité"))))</f>
        <v>pas de prix</v>
      </c>
      <c r="BI1124" s="19" t="s">
        <v>147</v>
      </c>
    </row>
    <row r="1125" customFormat="false" ht="15" hidden="false" customHeight="false" outlineLevel="0" collapsed="false">
      <c r="A1125" s="0" t="n">
        <v>29</v>
      </c>
      <c r="B1125" s="8" t="s">
        <v>24</v>
      </c>
      <c r="C1125" s="9" t="s">
        <v>25</v>
      </c>
      <c r="D1125" s="9" t="s">
        <v>26</v>
      </c>
      <c r="E1125" s="10" t="n">
        <v>1789</v>
      </c>
      <c r="F1125" s="9" t="s">
        <v>27</v>
      </c>
      <c r="G1125" s="9" t="s">
        <v>27</v>
      </c>
      <c r="H1125" s="11" t="n">
        <v>20</v>
      </c>
      <c r="I1125" s="11" t="s">
        <v>148</v>
      </c>
      <c r="J1125" s="14"/>
      <c r="K1125" s="14" t="n">
        <v>20</v>
      </c>
      <c r="L1125" s="16"/>
      <c r="M1125" s="27" t="n">
        <f aca="false">J1125+(K1125/20)+(L1125/240)</f>
        <v>1</v>
      </c>
      <c r="N1125" s="17" t="s">
        <v>66</v>
      </c>
      <c r="O1125" s="11"/>
      <c r="P1125" s="28"/>
      <c r="Q1125" s="28" t="n">
        <f aca="false">P1125*$M1125</f>
        <v>0</v>
      </c>
      <c r="R1125" s="28"/>
      <c r="S1125" s="28" t="n">
        <f aca="false">R1125*$M1125</f>
        <v>0</v>
      </c>
      <c r="T1125" s="28" t="n">
        <v>392</v>
      </c>
      <c r="U1125" s="28" t="n">
        <v>392</v>
      </c>
      <c r="V1125" s="28"/>
      <c r="W1125" s="28" t="n">
        <f aca="false">V1125*$M1125</f>
        <v>0</v>
      </c>
      <c r="X1125" s="28"/>
      <c r="Y1125" s="28" t="n">
        <f aca="false">X1125*$M1125</f>
        <v>0</v>
      </c>
      <c r="Z1125" s="28"/>
      <c r="AA1125" s="28" t="n">
        <f aca="false">Z1125*$M1125</f>
        <v>0</v>
      </c>
      <c r="AB1125" s="28" t="n">
        <v>7596</v>
      </c>
      <c r="AC1125" s="28" t="n">
        <v>7596</v>
      </c>
      <c r="AD1125" s="28"/>
      <c r="AE1125" s="28" t="n">
        <f aca="false">AD1125*$M1125</f>
        <v>0</v>
      </c>
      <c r="AF1125" s="28"/>
      <c r="AG1125" s="28" t="n">
        <f aca="false">AF1125*$M1125</f>
        <v>0</v>
      </c>
      <c r="AH1125" s="28"/>
      <c r="AI1125" s="28" t="n">
        <f aca="false">AH1125*$M1125</f>
        <v>0</v>
      </c>
      <c r="AJ1125" s="28"/>
      <c r="AK1125" s="28" t="n">
        <f aca="false">AJ1125*$M1125</f>
        <v>0</v>
      </c>
      <c r="AL1125" s="28"/>
      <c r="AM1125" s="28" t="n">
        <f aca="false">AL1125*$M1125</f>
        <v>0</v>
      </c>
      <c r="AN1125" s="28"/>
      <c r="AO1125" s="28" t="n">
        <f aca="false">AN1125*$M1125</f>
        <v>0</v>
      </c>
      <c r="AP1125" s="28"/>
      <c r="AQ1125" s="28" t="n">
        <f aca="false">AP1125*$M1125</f>
        <v>0</v>
      </c>
      <c r="AR1125" s="28"/>
      <c r="AS1125" s="28" t="n">
        <f aca="false">AR1125*$M1125</f>
        <v>0</v>
      </c>
      <c r="AT1125" s="28"/>
      <c r="AU1125" s="28" t="n">
        <f aca="false">AT1125*$M1125</f>
        <v>0</v>
      </c>
      <c r="AV1125" s="28"/>
      <c r="AW1125" s="28" t="n">
        <f aca="false">AV1125*$M1125</f>
        <v>0</v>
      </c>
      <c r="AX1125" s="28"/>
      <c r="AY1125" s="28" t="n">
        <f aca="false">AX1125*$M1125</f>
        <v>0</v>
      </c>
      <c r="AZ1125" s="30" t="n">
        <v>7988</v>
      </c>
      <c r="BA1125" s="11" t="n">
        <v>7988</v>
      </c>
      <c r="BB1125" s="31" t="n">
        <f aca="false">SUM(Q1125,S1125,U1125,W1125,Y1125,AA1125,AC1125,AE1125,AG1125,AI1125,AK1125,AM1125,AO1125,AQ1125,AS1125,AU1125,AW1125,AY1125)</f>
        <v>7988</v>
      </c>
      <c r="BC1125" s="28" t="n">
        <f aca="false">BA1125-BB1125</f>
        <v>0</v>
      </c>
      <c r="BD1125" s="32" t="n">
        <f aca="false">SUM(P1125,R1125,T1125,V1125,X1125,Z1125,AB1125,AD1125,AF1125,AH1125,AJ1125,AL1125,AN1125,AP1125,AR1125,AT1125,AV1125,AX1125)</f>
        <v>7988</v>
      </c>
      <c r="BE1125" s="33" t="n">
        <f aca="false">AZ1125-BD1125</f>
        <v>0</v>
      </c>
      <c r="BF1125" s="34" t="n">
        <f aca="false">BD1125*M1125</f>
        <v>7988</v>
      </c>
      <c r="BG1125" s="35" t="n">
        <f aca="false">BA1125-BF1125</f>
        <v>0</v>
      </c>
      <c r="BH1125" s="19" t="str">
        <f aca="false">IF(BG1125=0,"",IF(BG1125&lt;&gt;BA1125,"erreur de calcul",IF(BD1125&lt;&gt;0,"pas de prix",IF(M1125&lt;&gt; 0,"pas de quantité","pas de prix, ni de quantité"))))</f>
        <v/>
      </c>
      <c r="BI1125" s="19"/>
    </row>
    <row r="1126" customFormat="false" ht="15" hidden="false" customHeight="false" outlineLevel="0" collapsed="false">
      <c r="A1126" s="0" t="n">
        <v>30</v>
      </c>
      <c r="B1126" s="8" t="s">
        <v>24</v>
      </c>
      <c r="C1126" s="9" t="s">
        <v>25</v>
      </c>
      <c r="D1126" s="9" t="s">
        <v>26</v>
      </c>
      <c r="E1126" s="10" t="n">
        <v>1789</v>
      </c>
      <c r="F1126" s="9" t="s">
        <v>27</v>
      </c>
      <c r="G1126" s="9" t="s">
        <v>27</v>
      </c>
      <c r="H1126" s="11" t="n">
        <v>20</v>
      </c>
      <c r="I1126" s="11" t="s">
        <v>149</v>
      </c>
      <c r="J1126" s="14" t="n">
        <v>70</v>
      </c>
      <c r="K1126" s="14"/>
      <c r="L1126" s="16"/>
      <c r="M1126" s="27" t="n">
        <f aca="false">J1126+(K1126/20)+(L1126/240)</f>
        <v>70</v>
      </c>
      <c r="N1126" s="17" t="s">
        <v>64</v>
      </c>
      <c r="O1126" s="11"/>
      <c r="P1126" s="28"/>
      <c r="Q1126" s="28" t="n">
        <f aca="false">P1126*$M1126</f>
        <v>0</v>
      </c>
      <c r="R1126" s="28"/>
      <c r="S1126" s="28" t="n">
        <f aca="false">R1126*$M1126</f>
        <v>0</v>
      </c>
      <c r="T1126" s="28"/>
      <c r="U1126" s="28" t="n">
        <f aca="false">T1126*$M1126</f>
        <v>0</v>
      </c>
      <c r="V1126" s="28"/>
      <c r="W1126" s="28" t="n">
        <f aca="false">V1126*$M1126</f>
        <v>0</v>
      </c>
      <c r="X1126" s="28" t="n">
        <f aca="false">1904/100</f>
        <v>19.04</v>
      </c>
      <c r="Y1126" s="28" t="n">
        <v>1333</v>
      </c>
      <c r="Z1126" s="28"/>
      <c r="AA1126" s="28" t="n">
        <f aca="false">Z1126*$M1126</f>
        <v>0</v>
      </c>
      <c r="AB1126" s="28" t="n">
        <f aca="false">51370/100</f>
        <v>513.7</v>
      </c>
      <c r="AC1126" s="28" t="n">
        <v>35959</v>
      </c>
      <c r="AD1126" s="28"/>
      <c r="AE1126" s="28" t="n">
        <f aca="false">AD1126*$M1126</f>
        <v>0</v>
      </c>
      <c r="AF1126" s="28" t="n">
        <f aca="false">8872/100</f>
        <v>88.72</v>
      </c>
      <c r="AG1126" s="28" t="n">
        <v>6210</v>
      </c>
      <c r="AH1126" s="28" t="n">
        <f aca="false">14751/100</f>
        <v>147.51</v>
      </c>
      <c r="AI1126" s="28" t="n">
        <v>10326</v>
      </c>
      <c r="AJ1126" s="28"/>
      <c r="AK1126" s="28" t="n">
        <f aca="false">AJ1126*$M1126</f>
        <v>0</v>
      </c>
      <c r="AL1126" s="28"/>
      <c r="AM1126" s="28" t="n">
        <f aca="false">AL1126*$M1126</f>
        <v>0</v>
      </c>
      <c r="AN1126" s="28"/>
      <c r="AO1126" s="28" t="n">
        <f aca="false">AN1126*$M1126</f>
        <v>0</v>
      </c>
      <c r="AP1126" s="28"/>
      <c r="AQ1126" s="28" t="n">
        <f aca="false">AP1126*$M1126</f>
        <v>0</v>
      </c>
      <c r="AR1126" s="28"/>
      <c r="AS1126" s="28" t="n">
        <f aca="false">AR1126*$M1126</f>
        <v>0</v>
      </c>
      <c r="AT1126" s="28"/>
      <c r="AU1126" s="28" t="n">
        <f aca="false">AT1126*$M1126</f>
        <v>0</v>
      </c>
      <c r="AV1126" s="28"/>
      <c r="AW1126" s="28" t="n">
        <f aca="false">AV1126*$M1126</f>
        <v>0</v>
      </c>
      <c r="AX1126" s="28"/>
      <c r="AY1126" s="28" t="n">
        <f aca="false">AX1126*$M1126</f>
        <v>0</v>
      </c>
      <c r="AZ1126" s="30" t="n">
        <f aca="false">76897/100</f>
        <v>768.97</v>
      </c>
      <c r="BA1126" s="11" t="n">
        <v>53828</v>
      </c>
      <c r="BB1126" s="31" t="n">
        <f aca="false">SUM(Q1126,S1126,U1126,W1126,Y1126,AA1126,AC1126,AE1126,AG1126,AI1126,AK1126,AM1126,AO1126,AQ1126,AS1126,AU1126,AW1126,AY1126)</f>
        <v>53828</v>
      </c>
      <c r="BC1126" s="28" t="n">
        <f aca="false">BA1126-BB1126</f>
        <v>0</v>
      </c>
      <c r="BD1126" s="32" t="n">
        <f aca="false">SUM(P1126,R1126,T1126,V1126,X1126,Z1126,AB1126,AD1126,AF1126,AH1126,AJ1126,AL1126,AN1126,AP1126,AR1126,AT1126,AV1126,AX1126)</f>
        <v>768.97</v>
      </c>
      <c r="BE1126" s="33" t="n">
        <f aca="false">AZ1126-BD1126</f>
        <v>0</v>
      </c>
      <c r="BF1126" s="34" t="n">
        <f aca="false">BD1126*M1126</f>
        <v>53827.9</v>
      </c>
      <c r="BG1126" s="35" t="n">
        <f aca="false">BA1126-BF1126</f>
        <v>0.0999999999985448</v>
      </c>
      <c r="BH1126" s="19" t="str">
        <f aca="false">IF(BG1126=0,"",IF(BG1126&lt;&gt;BA1126,"erreur de calcul",IF(BD1126&lt;&gt;0,"pas de prix",IF(M1126&lt;&gt; 0,"pas de quantité","pas de prix, ni de quantité"))))</f>
        <v>erreur de calcul</v>
      </c>
      <c r="BI1126" s="19"/>
    </row>
    <row r="1127" customFormat="false" ht="15" hidden="false" customHeight="false" outlineLevel="0" collapsed="false">
      <c r="A1127" s="0" t="n">
        <v>31</v>
      </c>
      <c r="B1127" s="8" t="s">
        <v>24</v>
      </c>
      <c r="C1127" s="9" t="s">
        <v>25</v>
      </c>
      <c r="D1127" s="9" t="s">
        <v>26</v>
      </c>
      <c r="E1127" s="10" t="n">
        <v>1789</v>
      </c>
      <c r="F1127" s="9" t="s">
        <v>27</v>
      </c>
      <c r="G1127" s="9" t="s">
        <v>27</v>
      </c>
      <c r="H1127" s="11" t="n">
        <v>20</v>
      </c>
      <c r="I1127" s="11" t="s">
        <v>150</v>
      </c>
      <c r="J1127" s="14" t="n">
        <v>70</v>
      </c>
      <c r="K1127" s="14"/>
      <c r="L1127" s="16"/>
      <c r="M1127" s="27" t="n">
        <f aca="false">J1127+(K1127/20)+(L1127/240)</f>
        <v>70</v>
      </c>
      <c r="N1127" s="17" t="s">
        <v>64</v>
      </c>
      <c r="O1127" s="11" t="s">
        <v>77</v>
      </c>
      <c r="P1127" s="28"/>
      <c r="Q1127" s="28" t="n">
        <f aca="false">P1127*$M1127</f>
        <v>0</v>
      </c>
      <c r="R1127" s="28"/>
      <c r="S1127" s="28" t="n">
        <f aca="false">R1127*$M1127</f>
        <v>0</v>
      </c>
      <c r="T1127" s="28"/>
      <c r="U1127" s="28" t="n">
        <f aca="false">T1127*$M1127</f>
        <v>0</v>
      </c>
      <c r="V1127" s="28"/>
      <c r="W1127" s="28" t="n">
        <f aca="false">V1127*$M1127</f>
        <v>0</v>
      </c>
      <c r="X1127" s="28"/>
      <c r="Y1127" s="28" t="n">
        <f aca="false">X1127*$M1127</f>
        <v>0</v>
      </c>
      <c r="Z1127" s="28"/>
      <c r="AA1127" s="28" t="n">
        <f aca="false">Z1127*$M1127</f>
        <v>0</v>
      </c>
      <c r="AB1127" s="28"/>
      <c r="AC1127" s="28" t="n">
        <f aca="false">AB1127*$M1127</f>
        <v>0</v>
      </c>
      <c r="AD1127" s="28"/>
      <c r="AE1127" s="28" t="n">
        <f aca="false">AD1127*$M1127</f>
        <v>0</v>
      </c>
      <c r="AF1127" s="28"/>
      <c r="AG1127" s="28" t="n">
        <f aca="false">AF1127*$M1127</f>
        <v>0</v>
      </c>
      <c r="AH1127" s="28"/>
      <c r="AI1127" s="28" t="n">
        <f aca="false">AH1127*$M1127</f>
        <v>0</v>
      </c>
      <c r="AJ1127" s="28"/>
      <c r="AK1127" s="28" t="n">
        <f aca="false">AJ1127*$M1127</f>
        <v>0</v>
      </c>
      <c r="AL1127" s="28"/>
      <c r="AM1127" s="28" t="n">
        <f aca="false">AL1127*$M1127</f>
        <v>0</v>
      </c>
      <c r="AN1127" s="28"/>
      <c r="AO1127" s="28" t="n">
        <f aca="false">AN1127*$M1127</f>
        <v>0</v>
      </c>
      <c r="AP1127" s="28"/>
      <c r="AQ1127" s="28" t="n">
        <f aca="false">AP1127*$M1127</f>
        <v>0</v>
      </c>
      <c r="AR1127" s="28"/>
      <c r="AS1127" s="28" t="n">
        <f aca="false">AR1127*$M1127</f>
        <v>0</v>
      </c>
      <c r="AT1127" s="28"/>
      <c r="AU1127" s="28" t="n">
        <f aca="false">AT1127*$M1127</f>
        <v>0</v>
      </c>
      <c r="AV1127" s="28"/>
      <c r="AW1127" s="28" t="n">
        <f aca="false">AV1127*$M1127</f>
        <v>0</v>
      </c>
      <c r="AX1127" s="28"/>
      <c r="AY1127" s="28" t="n">
        <f aca="false">AX1127*$M1127</f>
        <v>0</v>
      </c>
      <c r="AZ1127" s="30"/>
      <c r="BA1127" s="11"/>
      <c r="BB1127" s="31" t="n">
        <f aca="false">SUM(Q1127,S1127,U1127,W1127,Y1127,AA1127,AC1127,AE1127,AG1127,AI1127,AK1127,AM1127,AO1127,AQ1127,AS1127,AU1127,AW1127,AY1127)</f>
        <v>0</v>
      </c>
      <c r="BC1127" s="28" t="n">
        <f aca="false">BA1127-BB1127</f>
        <v>0</v>
      </c>
      <c r="BD1127" s="32" t="n">
        <f aca="false">SUM(P1127,R1127,T1127,V1127,X1127,Z1127,AB1127,AD1127,AF1127,AH1127,AJ1127,AL1127,AN1127,AP1127,AR1127,AT1127,AV1127,AX1127)</f>
        <v>0</v>
      </c>
      <c r="BE1127" s="33" t="n">
        <f aca="false">AZ1127-BD1127</f>
        <v>0</v>
      </c>
      <c r="BF1127" s="34" t="n">
        <f aca="false">BD1127*M1127</f>
        <v>0</v>
      </c>
      <c r="BG1127" s="35" t="n">
        <f aca="false">BA1127-BF1127</f>
        <v>0</v>
      </c>
      <c r="BH1127" s="19" t="str">
        <f aca="false">IF(BG1127=0,"",IF(BG1127&lt;&gt;BA1127,"erreur de calcul",IF(BD1127&lt;&gt;0,"pas de prix",IF(M1127&lt;&gt; 0,"pas de quantité","pas de prix, ni de quantité"))))</f>
        <v/>
      </c>
      <c r="BI1127" s="19"/>
    </row>
    <row r="1128" customFormat="false" ht="15" hidden="false" customHeight="false" outlineLevel="0" collapsed="false">
      <c r="A1128" s="0" t="n">
        <v>32</v>
      </c>
      <c r="B1128" s="8" t="s">
        <v>24</v>
      </c>
      <c r="C1128" s="9" t="s">
        <v>25</v>
      </c>
      <c r="D1128" s="9" t="s">
        <v>26</v>
      </c>
      <c r="E1128" s="10" t="n">
        <v>1789</v>
      </c>
      <c r="F1128" s="9" t="s">
        <v>27</v>
      </c>
      <c r="G1128" s="9" t="s">
        <v>27</v>
      </c>
      <c r="H1128" s="11" t="n">
        <v>20</v>
      </c>
      <c r="I1128" s="11" t="s">
        <v>150</v>
      </c>
      <c r="J1128" s="14" t="n">
        <v>70</v>
      </c>
      <c r="K1128" s="14"/>
      <c r="L1128" s="16"/>
      <c r="M1128" s="27" t="n">
        <f aca="false">J1128+(K1128/20)+(L1128/240)</f>
        <v>70</v>
      </c>
      <c r="N1128" s="17" t="s">
        <v>64</v>
      </c>
      <c r="O1128" s="11" t="s">
        <v>98</v>
      </c>
      <c r="P1128" s="28" t="n">
        <f aca="false">382028/100</f>
        <v>3820.28</v>
      </c>
      <c r="Q1128" s="28" t="n">
        <v>267420</v>
      </c>
      <c r="R1128" s="28" t="n">
        <f aca="false">131361/100</f>
        <v>1313.61</v>
      </c>
      <c r="S1128" s="28" t="n">
        <v>91953</v>
      </c>
      <c r="T1128" s="28" t="n">
        <f aca="false">8856/100</f>
        <v>88.56</v>
      </c>
      <c r="U1128" s="28" t="n">
        <v>6199</v>
      </c>
      <c r="V1128" s="28" t="n">
        <f aca="false">171125/100</f>
        <v>1711.25</v>
      </c>
      <c r="W1128" s="28" t="n">
        <v>119787</v>
      </c>
      <c r="X1128" s="28" t="n">
        <f aca="false">24259/100</f>
        <v>242.59</v>
      </c>
      <c r="Y1128" s="28" t="n">
        <v>16981</v>
      </c>
      <c r="Z1128" s="28"/>
      <c r="AA1128" s="28" t="n">
        <f aca="false">Z1128*$M1128</f>
        <v>0</v>
      </c>
      <c r="AB1128" s="28" t="n">
        <f aca="false">33694/100</f>
        <v>336.94</v>
      </c>
      <c r="AC1128" s="28" t="n">
        <v>23586</v>
      </c>
      <c r="AD1128" s="28" t="n">
        <f aca="false">89734/100</f>
        <v>897.34</v>
      </c>
      <c r="AE1128" s="28" t="n">
        <v>62814</v>
      </c>
      <c r="AF1128" s="28" t="n">
        <f aca="false">1955727/100</f>
        <v>19557.27</v>
      </c>
      <c r="AG1128" s="28" t="n">
        <v>1369009</v>
      </c>
      <c r="AH1128" s="28" t="n">
        <f aca="false">11740/100</f>
        <v>117.4</v>
      </c>
      <c r="AI1128" s="28" t="n">
        <v>8218</v>
      </c>
      <c r="AJ1128" s="28"/>
      <c r="AK1128" s="28" t="n">
        <f aca="false">AJ1128*$M1128</f>
        <v>0</v>
      </c>
      <c r="AL1128" s="28"/>
      <c r="AM1128" s="28" t="n">
        <f aca="false">AL1128*$M1128</f>
        <v>0</v>
      </c>
      <c r="AN1128" s="28"/>
      <c r="AO1128" s="28" t="n">
        <f aca="false">AN1128*$M1128</f>
        <v>0</v>
      </c>
      <c r="AP1128" s="28"/>
      <c r="AQ1128" s="28" t="n">
        <f aca="false">AP1128*$M1128</f>
        <v>0</v>
      </c>
      <c r="AR1128" s="28"/>
      <c r="AS1128" s="28" t="n">
        <f aca="false">AR1128*$M1128</f>
        <v>0</v>
      </c>
      <c r="AT1128" s="28"/>
      <c r="AU1128" s="28" t="n">
        <f aca="false">AT1128*$M1128</f>
        <v>0</v>
      </c>
      <c r="AV1128" s="28" t="n">
        <f aca="false">15000/100</f>
        <v>150</v>
      </c>
      <c r="AW1128" s="28" t="n">
        <v>10500</v>
      </c>
      <c r="AX1128" s="28"/>
      <c r="AY1128" s="28" t="n">
        <f aca="false">AX1128*$M1128</f>
        <v>0</v>
      </c>
      <c r="AZ1128" s="30" t="n">
        <f aca="false">2823524/100</f>
        <v>28235.24</v>
      </c>
      <c r="BA1128" s="11" t="n">
        <v>1976467</v>
      </c>
      <c r="BB1128" s="31" t="n">
        <f aca="false">SUM(Q1128,S1128,U1128,W1128,Y1128,AA1128,AC1128,AE1128,AG1128,AI1128,AK1128,AM1128,AO1128,AQ1128,AS1128,AU1128,AW1128,AY1128)</f>
        <v>1976467</v>
      </c>
      <c r="BC1128" s="28" t="n">
        <f aca="false">BA1128-BB1128</f>
        <v>0</v>
      </c>
      <c r="BD1128" s="32" t="n">
        <f aca="false">SUM(P1128,R1128,T1128,V1128,X1128,Z1128,AB1128,AD1128,AF1128,AH1128,AJ1128,AL1128,AN1128,AP1128,AR1128,AT1128,AV1128,AX1128)</f>
        <v>28235.24</v>
      </c>
      <c r="BE1128" s="33" t="n">
        <f aca="false">AZ1128-BD1128</f>
        <v>0</v>
      </c>
      <c r="BF1128" s="34" t="n">
        <f aca="false">BD1128*M1128</f>
        <v>1976466.8</v>
      </c>
      <c r="BG1128" s="35" t="n">
        <f aca="false">BA1128-BF1128</f>
        <v>0.199999999953434</v>
      </c>
      <c r="BH1128" s="19" t="str">
        <f aca="false">IF(BG1128=0,"",IF(BG1128&lt;&gt;BA1128,"erreur de calcul",IF(BD1128&lt;&gt;0,"pas de prix",IF(M1128&lt;&gt; 0,"pas de quantité","pas de prix, ni de quantité"))))</f>
        <v>erreur de calcul</v>
      </c>
      <c r="BI1128" s="19"/>
    </row>
    <row r="1129" customFormat="false" ht="15" hidden="false" customHeight="false" outlineLevel="0" collapsed="false">
      <c r="A1129" s="0" t="n">
        <v>33</v>
      </c>
      <c r="B1129" s="8" t="s">
        <v>24</v>
      </c>
      <c r="C1129" s="9" t="s">
        <v>25</v>
      </c>
      <c r="D1129" s="9" t="s">
        <v>26</v>
      </c>
      <c r="E1129" s="10" t="n">
        <v>1789</v>
      </c>
      <c r="F1129" s="9" t="s">
        <v>27</v>
      </c>
      <c r="G1129" s="9" t="s">
        <v>27</v>
      </c>
      <c r="H1129" s="11" t="n">
        <v>20</v>
      </c>
      <c r="I1129" s="11" t="s">
        <v>151</v>
      </c>
      <c r="J1129" s="14" t="n">
        <v>150</v>
      </c>
      <c r="K1129" s="14"/>
      <c r="L1129" s="16"/>
      <c r="M1129" s="27" t="n">
        <f aca="false">J1129+(K1129/20)+(L1129/240)</f>
        <v>150</v>
      </c>
      <c r="N1129" s="17" t="s">
        <v>64</v>
      </c>
      <c r="O1129" s="11"/>
      <c r="P1129" s="28"/>
      <c r="Q1129" s="28" t="n">
        <f aca="false">P1129*$M1129</f>
        <v>0</v>
      </c>
      <c r="R1129" s="28"/>
      <c r="S1129" s="28" t="n">
        <f aca="false">R1129*$M1129</f>
        <v>0</v>
      </c>
      <c r="T1129" s="28"/>
      <c r="U1129" s="28" t="n">
        <f aca="false">T1129*$M1129</f>
        <v>0</v>
      </c>
      <c r="V1129" s="28"/>
      <c r="W1129" s="28" t="n">
        <f aca="false">V1129*$M1129</f>
        <v>0</v>
      </c>
      <c r="X1129" s="28"/>
      <c r="Y1129" s="28" t="n">
        <f aca="false">X1129*$M1129</f>
        <v>0</v>
      </c>
      <c r="Z1129" s="28"/>
      <c r="AA1129" s="28" t="n">
        <f aca="false">Z1129*$M1129</f>
        <v>0</v>
      </c>
      <c r="AB1129" s="28"/>
      <c r="AC1129" s="28" t="n">
        <f aca="false">AB1129*$M1129</f>
        <v>0</v>
      </c>
      <c r="AD1129" s="28"/>
      <c r="AE1129" s="28" t="n">
        <f aca="false">AD1129*$M1129</f>
        <v>0</v>
      </c>
      <c r="AF1129" s="28"/>
      <c r="AG1129" s="28" t="n">
        <f aca="false">AF1129*$M1129</f>
        <v>0</v>
      </c>
      <c r="AH1129" s="28"/>
      <c r="AI1129" s="28" t="n">
        <f aca="false">AH1129*$M1129</f>
        <v>0</v>
      </c>
      <c r="AJ1129" s="28"/>
      <c r="AK1129" s="28" t="n">
        <f aca="false">AJ1129*$M1129</f>
        <v>0</v>
      </c>
      <c r="AL1129" s="28" t="n">
        <f aca="false">118785/100</f>
        <v>1187.85</v>
      </c>
      <c r="AM1129" s="28" t="n">
        <v>178177</v>
      </c>
      <c r="AN1129" s="28"/>
      <c r="AO1129" s="28" t="n">
        <f aca="false">AN1129*$M1129</f>
        <v>0</v>
      </c>
      <c r="AP1129" s="28"/>
      <c r="AQ1129" s="28" t="n">
        <f aca="false">AP1129*$M1129</f>
        <v>0</v>
      </c>
      <c r="AR1129" s="28"/>
      <c r="AS1129" s="28" t="n">
        <f aca="false">AR1129*$M1129</f>
        <v>0</v>
      </c>
      <c r="AT1129" s="28"/>
      <c r="AU1129" s="28" t="n">
        <f aca="false">AT1129*$M1129</f>
        <v>0</v>
      </c>
      <c r="AV1129" s="28"/>
      <c r="AW1129" s="28" t="n">
        <f aca="false">AV1129*$M1129</f>
        <v>0</v>
      </c>
      <c r="AX1129" s="28"/>
      <c r="AY1129" s="28" t="n">
        <f aca="false">AX1129*$M1129</f>
        <v>0</v>
      </c>
      <c r="AZ1129" s="30" t="n">
        <f aca="false">118785/100</f>
        <v>1187.85</v>
      </c>
      <c r="BA1129" s="11" t="n">
        <v>178177</v>
      </c>
      <c r="BB1129" s="31" t="n">
        <f aca="false">SUM(Q1129,S1129,U1129,W1129,Y1129,AA1129,AC1129,AE1129,AG1129,AI1129,AK1129,AM1129,AO1129,AQ1129,AS1129,AU1129,AW1129,AY1129)</f>
        <v>178177</v>
      </c>
      <c r="BC1129" s="28" t="n">
        <f aca="false">BA1129-BB1129</f>
        <v>0</v>
      </c>
      <c r="BD1129" s="32" t="n">
        <f aca="false">SUM(P1129,R1129,T1129,V1129,X1129,Z1129,AB1129,AD1129,AF1129,AH1129,AJ1129,AL1129,AN1129,AP1129,AR1129,AT1129,AV1129,AX1129)</f>
        <v>1187.85</v>
      </c>
      <c r="BE1129" s="33" t="n">
        <f aca="false">AZ1129-BD1129</f>
        <v>0</v>
      </c>
      <c r="BF1129" s="34" t="n">
        <f aca="false">BD1129*M1129</f>
        <v>178177.5</v>
      </c>
      <c r="BG1129" s="35" t="n">
        <f aca="false">BA1129-BF1129</f>
        <v>-0.5</v>
      </c>
      <c r="BH1129" s="19" t="str">
        <f aca="false">IF(BG1129=0,"",IF(BG1129&lt;&gt;BA1129,"erreur de calcul",IF(BD1129&lt;&gt;0,"pas de prix",IF(M1129&lt;&gt; 0,"pas de quantité","pas de prix, ni de quantité"))))</f>
        <v>erreur de calcul</v>
      </c>
      <c r="BI1129" s="19"/>
    </row>
    <row r="1130" customFormat="false" ht="15" hidden="false" customHeight="false" outlineLevel="0" collapsed="false">
      <c r="A1130" s="0" t="n">
        <v>34</v>
      </c>
      <c r="B1130" s="8" t="s">
        <v>24</v>
      </c>
      <c r="C1130" s="9" t="s">
        <v>25</v>
      </c>
      <c r="D1130" s="9" t="s">
        <v>26</v>
      </c>
      <c r="E1130" s="10" t="n">
        <v>1789</v>
      </c>
      <c r="F1130" s="9" t="s">
        <v>27</v>
      </c>
      <c r="G1130" s="9" t="s">
        <v>27</v>
      </c>
      <c r="H1130" s="11" t="n">
        <v>20</v>
      </c>
      <c r="I1130" s="11" t="s">
        <v>152</v>
      </c>
      <c r="J1130" s="14" t="n">
        <v>80</v>
      </c>
      <c r="K1130" s="14"/>
      <c r="L1130" s="16"/>
      <c r="M1130" s="27" t="n">
        <f aca="false">J1130+(K1130/20)+(L1130/240)</f>
        <v>80</v>
      </c>
      <c r="N1130" s="17" t="s">
        <v>64</v>
      </c>
      <c r="O1130" s="11"/>
      <c r="P1130" s="28"/>
      <c r="Q1130" s="28" t="n">
        <f aca="false">P1130*$M1130</f>
        <v>0</v>
      </c>
      <c r="R1130" s="28"/>
      <c r="S1130" s="28" t="n">
        <f aca="false">R1130*$M1130</f>
        <v>0</v>
      </c>
      <c r="T1130" s="28"/>
      <c r="U1130" s="28" t="n">
        <f aca="false">T1130*$M1130</f>
        <v>0</v>
      </c>
      <c r="V1130" s="28"/>
      <c r="W1130" s="28" t="n">
        <f aca="false">V1130*$M1130</f>
        <v>0</v>
      </c>
      <c r="X1130" s="28"/>
      <c r="Y1130" s="28" t="n">
        <f aca="false">X1130*$M1130</f>
        <v>0</v>
      </c>
      <c r="Z1130" s="28"/>
      <c r="AA1130" s="28" t="n">
        <f aca="false">Z1130*$M1130</f>
        <v>0</v>
      </c>
      <c r="AB1130" s="28" t="n">
        <f aca="false">3142/100</f>
        <v>31.42</v>
      </c>
      <c r="AC1130" s="28" t="n">
        <v>2514</v>
      </c>
      <c r="AD1130" s="28"/>
      <c r="AE1130" s="28" t="n">
        <f aca="false">AD1130*$M1130</f>
        <v>0</v>
      </c>
      <c r="AF1130" s="28" t="n">
        <f aca="false">4868/100</f>
        <v>48.68</v>
      </c>
      <c r="AG1130" s="36" t="n">
        <v>3874</v>
      </c>
      <c r="AH1130" s="28" t="n">
        <f aca="false">1541601/100</f>
        <v>15416.01</v>
      </c>
      <c r="AI1130" s="28" t="n">
        <v>1233281</v>
      </c>
      <c r="AJ1130" s="28"/>
      <c r="AK1130" s="28" t="n">
        <f aca="false">AJ1130*$M1130</f>
        <v>0</v>
      </c>
      <c r="AL1130" s="28"/>
      <c r="AM1130" s="28" t="n">
        <f aca="false">AL1130*$M1130</f>
        <v>0</v>
      </c>
      <c r="AN1130" s="28"/>
      <c r="AO1130" s="28" t="n">
        <f aca="false">AN1130*$M1130</f>
        <v>0</v>
      </c>
      <c r="AP1130" s="28"/>
      <c r="AQ1130" s="28" t="n">
        <f aca="false">AP1130*$M1130</f>
        <v>0</v>
      </c>
      <c r="AR1130" s="28"/>
      <c r="AS1130" s="28" t="n">
        <f aca="false">AR1130*$M1130</f>
        <v>0</v>
      </c>
      <c r="AT1130" s="28"/>
      <c r="AU1130" s="28" t="n">
        <f aca="false">AT1130*$M1130</f>
        <v>0</v>
      </c>
      <c r="AV1130" s="28"/>
      <c r="AW1130" s="28" t="n">
        <f aca="false">AV1130*$M1130</f>
        <v>0</v>
      </c>
      <c r="AX1130" s="28"/>
      <c r="AY1130" s="28" t="n">
        <f aca="false">AX1130*$M1130</f>
        <v>0</v>
      </c>
      <c r="AZ1130" s="30" t="n">
        <f aca="false">1549611/100</f>
        <v>15496.11</v>
      </c>
      <c r="BA1130" s="11" t="n">
        <v>1239669</v>
      </c>
      <c r="BB1130" s="31" t="n">
        <f aca="false">SUM(Q1130,S1130,U1130,W1130,Y1130,AA1130,AC1130,AE1130,AG1130,AI1130,AK1130,AM1130,AO1130,AQ1130,AS1130,AU1130,AW1130,AY1130)</f>
        <v>1239669</v>
      </c>
      <c r="BC1130" s="28" t="n">
        <f aca="false">BA1130-BB1130</f>
        <v>0</v>
      </c>
      <c r="BD1130" s="32" t="n">
        <f aca="false">SUM(P1130,R1130,T1130,V1130,X1130,Z1130,AB1130,AD1130,AF1130,AH1130,AJ1130,AL1130,AN1130,AP1130,AR1130,AT1130,AV1130,AX1130)</f>
        <v>15496.11</v>
      </c>
      <c r="BE1130" s="33" t="n">
        <f aca="false">AZ1130-BD1130</f>
        <v>0</v>
      </c>
      <c r="BF1130" s="34" t="n">
        <f aca="false">BD1130*M1130</f>
        <v>1239688.8</v>
      </c>
      <c r="BG1130" s="35" t="n">
        <f aca="false">BA1130-BF1130</f>
        <v>-19.8000000000466</v>
      </c>
      <c r="BH1130" s="19" t="str">
        <f aca="false">IF(BG1130=0,"",IF(BG1130&lt;&gt;BA1130,"erreur de calcul",IF(BD1130&lt;&gt;0,"pas de prix",IF(M1130&lt;&gt; 0,"pas de quantité","pas de prix, ni de quantité"))))</f>
        <v>erreur de calcul</v>
      </c>
      <c r="BI1130" s="19"/>
    </row>
    <row r="1131" customFormat="false" ht="15" hidden="false" customHeight="false" outlineLevel="0" collapsed="false">
      <c r="A1131" s="0" t="n">
        <v>35</v>
      </c>
      <c r="B1131" s="8" t="s">
        <v>24</v>
      </c>
      <c r="C1131" s="9" t="s">
        <v>25</v>
      </c>
      <c r="D1131" s="9" t="s">
        <v>26</v>
      </c>
      <c r="E1131" s="10" t="n">
        <v>1789</v>
      </c>
      <c r="F1131" s="9" t="s">
        <v>27</v>
      </c>
      <c r="G1131" s="9" t="s">
        <v>27</v>
      </c>
      <c r="H1131" s="11" t="n">
        <v>20</v>
      </c>
      <c r="I1131" s="11" t="s">
        <v>153</v>
      </c>
      <c r="J1131" s="14" t="n">
        <v>148</v>
      </c>
      <c r="K1131" s="14"/>
      <c r="L1131" s="16"/>
      <c r="M1131" s="27" t="n">
        <f aca="false">J1131+(K1131/20)+(L1131/240)</f>
        <v>148</v>
      </c>
      <c r="N1131" s="17" t="s">
        <v>64</v>
      </c>
      <c r="O1131" s="11"/>
      <c r="P1131" s="28"/>
      <c r="Q1131" s="28" t="n">
        <f aca="false">P1131*$M1131</f>
        <v>0</v>
      </c>
      <c r="R1131" s="28"/>
      <c r="S1131" s="28" t="n">
        <f aca="false">R1131*$M1131</f>
        <v>0</v>
      </c>
      <c r="T1131" s="28"/>
      <c r="U1131" s="28" t="n">
        <f aca="false">T1131*$M1131</f>
        <v>0</v>
      </c>
      <c r="V1131" s="28"/>
      <c r="W1131" s="28" t="n">
        <f aca="false">V1131*$M1131</f>
        <v>0</v>
      </c>
      <c r="X1131" s="28"/>
      <c r="Y1131" s="28" t="n">
        <f aca="false">X1131*$M1131</f>
        <v>0</v>
      </c>
      <c r="Z1131" s="28"/>
      <c r="AA1131" s="28" t="n">
        <f aca="false">Z1131*$M1131</f>
        <v>0</v>
      </c>
      <c r="AB1131" s="28"/>
      <c r="AC1131" s="28" t="n">
        <f aca="false">AB1131*$M1131</f>
        <v>0</v>
      </c>
      <c r="AD1131" s="28"/>
      <c r="AE1131" s="28" t="n">
        <f aca="false">AD1131*$M1131</f>
        <v>0</v>
      </c>
      <c r="AF1131" s="28"/>
      <c r="AG1131" s="28" t="n">
        <f aca="false">AF1131*$M1131</f>
        <v>0</v>
      </c>
      <c r="AH1131" s="28"/>
      <c r="AI1131" s="28" t="n">
        <f aca="false">AH1131*$M1131</f>
        <v>0</v>
      </c>
      <c r="AJ1131" s="28" t="n">
        <f aca="false">1472/100</f>
        <v>14.72</v>
      </c>
      <c r="AK1131" s="28" t="n">
        <v>2178</v>
      </c>
      <c r="AL1131" s="28"/>
      <c r="AM1131" s="28" t="n">
        <f aca="false">AL1131*$M1131</f>
        <v>0</v>
      </c>
      <c r="AN1131" s="28"/>
      <c r="AO1131" s="28" t="n">
        <f aca="false">AN1131*$M1131</f>
        <v>0</v>
      </c>
      <c r="AP1131" s="28"/>
      <c r="AQ1131" s="28" t="n">
        <f aca="false">AP1131*$M1131</f>
        <v>0</v>
      </c>
      <c r="AR1131" s="28"/>
      <c r="AS1131" s="28" t="n">
        <f aca="false">AR1131*$M1131</f>
        <v>0</v>
      </c>
      <c r="AT1131" s="28"/>
      <c r="AU1131" s="28" t="n">
        <f aca="false">AT1131*$M1131</f>
        <v>0</v>
      </c>
      <c r="AV1131" s="28"/>
      <c r="AW1131" s="28" t="n">
        <f aca="false">AV1131*$M1131</f>
        <v>0</v>
      </c>
      <c r="AX1131" s="28"/>
      <c r="AY1131" s="28" t="n">
        <f aca="false">AX1131*$M1131</f>
        <v>0</v>
      </c>
      <c r="AZ1131" s="30" t="n">
        <f aca="false">1472/100</f>
        <v>14.72</v>
      </c>
      <c r="BA1131" s="11" t="n">
        <v>2178</v>
      </c>
      <c r="BB1131" s="31" t="n">
        <f aca="false">SUM(Q1131,S1131,U1131,W1131,Y1131,AA1131,AC1131,AE1131,AG1131,AI1131,AK1131,AM1131,AO1131,AQ1131,AS1131,AU1131,AW1131,AY1131)</f>
        <v>2178</v>
      </c>
      <c r="BC1131" s="28" t="n">
        <f aca="false">BA1131-BB1131</f>
        <v>0</v>
      </c>
      <c r="BD1131" s="32" t="n">
        <f aca="false">SUM(P1131,R1131,T1131,V1131,X1131,Z1131,AB1131,AD1131,AF1131,AH1131,AJ1131,AL1131,AN1131,AP1131,AR1131,AT1131,AV1131,AX1131)</f>
        <v>14.72</v>
      </c>
      <c r="BE1131" s="33" t="n">
        <f aca="false">AZ1131-BD1131</f>
        <v>0</v>
      </c>
      <c r="BF1131" s="34" t="n">
        <f aca="false">BD1131*M1131</f>
        <v>2178.56</v>
      </c>
      <c r="BG1131" s="35" t="n">
        <f aca="false">BA1131-BF1131</f>
        <v>-0.559999999999945</v>
      </c>
      <c r="BH1131" s="19" t="str">
        <f aca="false">IF(BG1131=0,"",IF(BG1131&lt;&gt;BA1131,"erreur de calcul",IF(BD1131&lt;&gt;0,"pas de prix",IF(M1131&lt;&gt; 0,"pas de quantité","pas de prix, ni de quantité"))))</f>
        <v>erreur de calcul</v>
      </c>
      <c r="BI1131" s="19"/>
    </row>
    <row r="1132" customFormat="false" ht="15" hidden="false" customHeight="false" outlineLevel="0" collapsed="false">
      <c r="A1132" s="0" t="n">
        <v>36</v>
      </c>
      <c r="B1132" s="8" t="s">
        <v>24</v>
      </c>
      <c r="C1132" s="9" t="s">
        <v>25</v>
      </c>
      <c r="D1132" s="9" t="s">
        <v>26</v>
      </c>
      <c r="E1132" s="10" t="n">
        <v>1789</v>
      </c>
      <c r="F1132" s="9" t="s">
        <v>27</v>
      </c>
      <c r="G1132" s="9" t="s">
        <v>27</v>
      </c>
      <c r="H1132" s="11" t="n">
        <v>20</v>
      </c>
      <c r="I1132" s="11" t="s">
        <v>154</v>
      </c>
      <c r="J1132" s="14" t="n">
        <v>75</v>
      </c>
      <c r="K1132" s="14"/>
      <c r="L1132" s="16"/>
      <c r="M1132" s="27" t="n">
        <f aca="false">J1132+(K1132/20)+(L1132/240)</f>
        <v>75</v>
      </c>
      <c r="N1132" s="17" t="s">
        <v>64</v>
      </c>
      <c r="O1132" s="11"/>
      <c r="P1132" s="28"/>
      <c r="Q1132" s="28" t="n">
        <f aca="false">P1132*$M1132</f>
        <v>0</v>
      </c>
      <c r="R1132" s="28"/>
      <c r="S1132" s="28" t="n">
        <f aca="false">R1132*$M1132</f>
        <v>0</v>
      </c>
      <c r="T1132" s="28" t="n">
        <f aca="false">627/100</f>
        <v>6.27</v>
      </c>
      <c r="U1132" s="28" t="n">
        <v>470</v>
      </c>
      <c r="V1132" s="28"/>
      <c r="W1132" s="28" t="n">
        <f aca="false">V1132*$M1132</f>
        <v>0</v>
      </c>
      <c r="X1132" s="28"/>
      <c r="Y1132" s="28" t="n">
        <f aca="false">X1132*$M1132</f>
        <v>0</v>
      </c>
      <c r="Z1132" s="28"/>
      <c r="AA1132" s="28" t="n">
        <f aca="false">Z1132*$M1132</f>
        <v>0</v>
      </c>
      <c r="AB1132" s="28"/>
      <c r="AC1132" s="28" t="n">
        <f aca="false">AB1132*$M1132</f>
        <v>0</v>
      </c>
      <c r="AD1132" s="28"/>
      <c r="AE1132" s="28" t="n">
        <f aca="false">AD1132*$M1132</f>
        <v>0</v>
      </c>
      <c r="AF1132" s="28"/>
      <c r="AG1132" s="28" t="n">
        <f aca="false">AF1132*$M1132</f>
        <v>0</v>
      </c>
      <c r="AH1132" s="28"/>
      <c r="AI1132" s="28" t="n">
        <f aca="false">AH1132*$M1132</f>
        <v>0</v>
      </c>
      <c r="AJ1132" s="28"/>
      <c r="AK1132" s="28" t="n">
        <f aca="false">AJ1132*$M1132</f>
        <v>0</v>
      </c>
      <c r="AL1132" s="28"/>
      <c r="AM1132" s="28" t="n">
        <f aca="false">AL1132*$M1132</f>
        <v>0</v>
      </c>
      <c r="AN1132" s="28"/>
      <c r="AO1132" s="28" t="n">
        <f aca="false">AN1132*$M1132</f>
        <v>0</v>
      </c>
      <c r="AP1132" s="28"/>
      <c r="AQ1132" s="28" t="n">
        <f aca="false">AP1132*$M1132</f>
        <v>0</v>
      </c>
      <c r="AR1132" s="28"/>
      <c r="AS1132" s="28" t="n">
        <f aca="false">AR1132*$M1132</f>
        <v>0</v>
      </c>
      <c r="AT1132" s="28"/>
      <c r="AU1132" s="28" t="n">
        <f aca="false">AT1132*$M1132</f>
        <v>0</v>
      </c>
      <c r="AV1132" s="28"/>
      <c r="AW1132" s="28" t="n">
        <f aca="false">AV1132*$M1132</f>
        <v>0</v>
      </c>
      <c r="AX1132" s="28"/>
      <c r="AY1132" s="28" t="n">
        <f aca="false">AX1132*$M1132</f>
        <v>0</v>
      </c>
      <c r="AZ1132" s="30" t="n">
        <f aca="false">627/100</f>
        <v>6.27</v>
      </c>
      <c r="BA1132" s="11" t="n">
        <v>470</v>
      </c>
      <c r="BB1132" s="31" t="n">
        <f aca="false">SUM(Q1132,S1132,U1132,W1132,Y1132,AA1132,AC1132,AE1132,AG1132,AI1132,AK1132,AM1132,AO1132,AQ1132,AS1132,AU1132,AW1132,AY1132)</f>
        <v>470</v>
      </c>
      <c r="BC1132" s="28" t="n">
        <f aca="false">BA1132-BB1132</f>
        <v>0</v>
      </c>
      <c r="BD1132" s="32" t="n">
        <f aca="false">SUM(P1132,R1132,T1132,V1132,X1132,Z1132,AB1132,AD1132,AF1132,AH1132,AJ1132,AL1132,AN1132,AP1132,AR1132,AT1132,AV1132,AX1132)</f>
        <v>6.27</v>
      </c>
      <c r="BE1132" s="33" t="n">
        <f aca="false">AZ1132-BD1132</f>
        <v>0</v>
      </c>
      <c r="BF1132" s="34" t="n">
        <f aca="false">BD1132*M1132</f>
        <v>470.25</v>
      </c>
      <c r="BG1132" s="35" t="n">
        <f aca="false">BA1132-BF1132</f>
        <v>-0.249999999999943</v>
      </c>
      <c r="BH1132" s="19" t="str">
        <f aca="false">IF(BG1132=0,"",IF(BG1132&lt;&gt;BA1132,"erreur de calcul",IF(BD1132&lt;&gt;0,"pas de prix",IF(M1132&lt;&gt; 0,"pas de quantité","pas de prix, ni de quantité"))))</f>
        <v>erreur de calcul</v>
      </c>
      <c r="BI1132" s="19"/>
    </row>
    <row r="1133" customFormat="false" ht="15" hidden="false" customHeight="false" outlineLevel="0" collapsed="false">
      <c r="A1133" s="0" t="n">
        <v>1</v>
      </c>
      <c r="B1133" s="8" t="s">
        <v>24</v>
      </c>
      <c r="C1133" s="9" t="s">
        <v>25</v>
      </c>
      <c r="D1133" s="9" t="s">
        <v>26</v>
      </c>
      <c r="E1133" s="10" t="n">
        <v>1789</v>
      </c>
      <c r="F1133" s="9" t="s">
        <v>27</v>
      </c>
      <c r="G1133" s="9" t="s">
        <v>27</v>
      </c>
      <c r="H1133" s="11" t="n">
        <v>21</v>
      </c>
      <c r="I1133" s="11" t="s">
        <v>155</v>
      </c>
      <c r="J1133" s="14" t="n">
        <v>60</v>
      </c>
      <c r="K1133" s="14"/>
      <c r="L1133" s="16"/>
      <c r="M1133" s="27" t="n">
        <f aca="false">J1133+(K1133/20)+(L1133/240)</f>
        <v>60</v>
      </c>
      <c r="N1133" s="17" t="s">
        <v>66</v>
      </c>
      <c r="O1133" s="11"/>
      <c r="P1133" s="28"/>
      <c r="Q1133" s="28" t="n">
        <f aca="false">P1133*$M1133</f>
        <v>0</v>
      </c>
      <c r="R1133" s="28"/>
      <c r="S1133" s="28" t="n">
        <f aca="false">R1133*$M1133</f>
        <v>0</v>
      </c>
      <c r="T1133" s="28"/>
      <c r="U1133" s="28" t="n">
        <f aca="false">T1133*$M1133</f>
        <v>0</v>
      </c>
      <c r="V1133" s="28" t="n">
        <v>10</v>
      </c>
      <c r="W1133" s="28" t="n">
        <v>600</v>
      </c>
      <c r="X1133" s="28"/>
      <c r="Y1133" s="28" t="n">
        <f aca="false">X1133*$M1133</f>
        <v>0</v>
      </c>
      <c r="Z1133" s="28"/>
      <c r="AA1133" s="28" t="n">
        <f aca="false">Z1133*$M1133</f>
        <v>0</v>
      </c>
      <c r="AB1133" s="28"/>
      <c r="AC1133" s="28" t="n">
        <f aca="false">AB1133*$M1133</f>
        <v>0</v>
      </c>
      <c r="AD1133" s="28"/>
      <c r="AE1133" s="28" t="n">
        <f aca="false">AD1133*$M1133</f>
        <v>0</v>
      </c>
      <c r="AF1133" s="28"/>
      <c r="AG1133" s="28" t="n">
        <f aca="false">AF1133*$M1133</f>
        <v>0</v>
      </c>
      <c r="AH1133" s="28"/>
      <c r="AI1133" s="28" t="n">
        <f aca="false">AH1133*$M1133</f>
        <v>0</v>
      </c>
      <c r="AJ1133" s="28"/>
      <c r="AK1133" s="28" t="n">
        <f aca="false">AJ1133*$M1133</f>
        <v>0</v>
      </c>
      <c r="AL1133" s="28"/>
      <c r="AM1133" s="28" t="n">
        <f aca="false">AL1133*$M1133</f>
        <v>0</v>
      </c>
      <c r="AN1133" s="28"/>
      <c r="AO1133" s="28" t="n">
        <f aca="false">AN1133*$M1133</f>
        <v>0</v>
      </c>
      <c r="AP1133" s="28"/>
      <c r="AQ1133" s="28" t="n">
        <f aca="false">AP1133*$M1133</f>
        <v>0</v>
      </c>
      <c r="AR1133" s="28"/>
      <c r="AS1133" s="28" t="n">
        <f aca="false">AR1133*$M1133</f>
        <v>0</v>
      </c>
      <c r="AT1133" s="28"/>
      <c r="AU1133" s="28" t="n">
        <f aca="false">AT1133*$M1133</f>
        <v>0</v>
      </c>
      <c r="AV1133" s="28"/>
      <c r="AW1133" s="28" t="n">
        <f aca="false">AV1133*$M1133</f>
        <v>0</v>
      </c>
      <c r="AX1133" s="28"/>
      <c r="AY1133" s="28" t="n">
        <f aca="false">AX1133*$M1133</f>
        <v>0</v>
      </c>
      <c r="AZ1133" s="30" t="n">
        <v>10</v>
      </c>
      <c r="BA1133" s="11" t="n">
        <v>600</v>
      </c>
      <c r="BB1133" s="31" t="n">
        <f aca="false">SUM(Q1133,S1133,U1133,W1133,Y1133,AA1133,AC1133,AE1133,AG1133,AI1133,AK1133,AM1133,AO1133,AQ1133,AS1133,AU1133,AW1133,AY1133)</f>
        <v>600</v>
      </c>
      <c r="BC1133" s="28" t="n">
        <f aca="false">BA1133-BB1133</f>
        <v>0</v>
      </c>
      <c r="BD1133" s="32" t="n">
        <f aca="false">SUM(P1133,R1133,T1133,V1133,X1133,Z1133,AB1133,AD1133,AF1133,AH1133,AJ1133,AL1133,AN1133,AP1133,AR1133,AT1133,AV1133,AX1133)</f>
        <v>10</v>
      </c>
      <c r="BE1133" s="33" t="n">
        <f aca="false">AZ1133-BD1133</f>
        <v>0</v>
      </c>
      <c r="BF1133" s="34" t="n">
        <f aca="false">BD1133*M1133</f>
        <v>600</v>
      </c>
      <c r="BG1133" s="35" t="n">
        <f aca="false">BA1133-BF1133</f>
        <v>0</v>
      </c>
      <c r="BH1133" s="19" t="str">
        <f aca="false">IF(BG1133=0,"",IF(BG1133&lt;&gt;BA1133,"erreur de calcul",IF(BD1133&lt;&gt;0,"pas de prix",IF(M1133&lt;&gt; 0,"pas de quantité","pas de prix, ni de quantité"))))</f>
        <v/>
      </c>
      <c r="BI1133" s="19"/>
    </row>
    <row r="1134" customFormat="false" ht="15" hidden="false" customHeight="false" outlineLevel="0" collapsed="false">
      <c r="A1134" s="0" t="n">
        <v>2</v>
      </c>
      <c r="B1134" s="8" t="s">
        <v>24</v>
      </c>
      <c r="C1134" s="9" t="s">
        <v>25</v>
      </c>
      <c r="D1134" s="9" t="s">
        <v>26</v>
      </c>
      <c r="E1134" s="10" t="n">
        <v>1789</v>
      </c>
      <c r="F1134" s="9" t="s">
        <v>27</v>
      </c>
      <c r="G1134" s="9" t="s">
        <v>27</v>
      </c>
      <c r="H1134" s="11" t="n">
        <v>21</v>
      </c>
      <c r="I1134" s="11" t="s">
        <v>156</v>
      </c>
      <c r="J1134" s="14"/>
      <c r="K1134" s="14"/>
      <c r="L1134" s="16"/>
      <c r="M1134" s="27" t="n">
        <f aca="false">J1134+(K1134/20)+(L1134/240)</f>
        <v>0</v>
      </c>
      <c r="N1134" s="17"/>
      <c r="O1134" s="11"/>
      <c r="P1134" s="28"/>
      <c r="Q1134" s="28" t="n">
        <v>304</v>
      </c>
      <c r="R1134" s="28"/>
      <c r="S1134" s="28" t="n">
        <f aca="false">R1134*$M1134</f>
        <v>0</v>
      </c>
      <c r="T1134" s="28"/>
      <c r="U1134" s="28" t="n">
        <f aca="false">T1134*$M1134</f>
        <v>0</v>
      </c>
      <c r="V1134" s="28"/>
      <c r="W1134" s="28" t="n">
        <f aca="false">V1134*$M1134</f>
        <v>0</v>
      </c>
      <c r="X1134" s="28"/>
      <c r="Y1134" s="28" t="n">
        <v>270</v>
      </c>
      <c r="Z1134" s="28"/>
      <c r="AA1134" s="28" t="n">
        <f aca="false">Z1134*$M1134</f>
        <v>0</v>
      </c>
      <c r="AB1134" s="28"/>
      <c r="AC1134" s="28" t="n">
        <f aca="false">AB1134*$M1134</f>
        <v>0</v>
      </c>
      <c r="AD1134" s="28"/>
      <c r="AE1134" s="28" t="n">
        <v>175</v>
      </c>
      <c r="AF1134" s="28"/>
      <c r="AG1134" s="28" t="n">
        <f aca="false">AF1134*$M1134</f>
        <v>0</v>
      </c>
      <c r="AH1134" s="28"/>
      <c r="AI1134" s="28" t="n">
        <f aca="false">AH1134*$M1134</f>
        <v>0</v>
      </c>
      <c r="AJ1134" s="28"/>
      <c r="AK1134" s="28" t="n">
        <v>240</v>
      </c>
      <c r="AL1134" s="28"/>
      <c r="AM1134" s="28" t="n">
        <v>808</v>
      </c>
      <c r="AN1134" s="28"/>
      <c r="AO1134" s="28" t="n">
        <f aca="false">AN1134*$M1134</f>
        <v>0</v>
      </c>
      <c r="AP1134" s="28"/>
      <c r="AQ1134" s="28" t="n">
        <f aca="false">AP1134*$M1134</f>
        <v>0</v>
      </c>
      <c r="AR1134" s="28"/>
      <c r="AS1134" s="28" t="n">
        <f aca="false">AR1134*$M1134</f>
        <v>0</v>
      </c>
      <c r="AT1134" s="28"/>
      <c r="AU1134" s="28" t="n">
        <f aca="false">AT1134*$M1134</f>
        <v>0</v>
      </c>
      <c r="AV1134" s="28"/>
      <c r="AW1134" s="28" t="n">
        <f aca="false">AV1134*$M1134</f>
        <v>0</v>
      </c>
      <c r="AX1134" s="28"/>
      <c r="AY1134" s="28" t="n">
        <f aca="false">AX1134*$M1134</f>
        <v>0</v>
      </c>
      <c r="AZ1134" s="30"/>
      <c r="BA1134" s="11" t="n">
        <v>1797</v>
      </c>
      <c r="BB1134" s="31" t="n">
        <f aca="false">SUM(Q1134,S1134,U1134,W1134,Y1134,AA1134,AC1134,AE1134,AG1134,AI1134,AK1134,AM1134,AO1134,AQ1134,AS1134,AU1134,AW1134,AY1134)</f>
        <v>1797</v>
      </c>
      <c r="BC1134" s="28" t="n">
        <f aca="false">BA1134-BB1134</f>
        <v>0</v>
      </c>
      <c r="BD1134" s="32" t="n">
        <f aca="false">SUM(P1134,R1134,T1134,V1134,X1134,Z1134,AB1134,AD1134,AF1134,AH1134,AJ1134,AL1134,AN1134,AP1134,AR1134,AT1134,AV1134,AX1134)</f>
        <v>0</v>
      </c>
      <c r="BE1134" s="33" t="n">
        <f aca="false">AZ1134-BD1134</f>
        <v>0</v>
      </c>
      <c r="BF1134" s="34" t="n">
        <f aca="false">BD1134*M1134</f>
        <v>0</v>
      </c>
      <c r="BG1134" s="35" t="n">
        <f aca="false">BA1134-BF1134</f>
        <v>1797</v>
      </c>
      <c r="BH1134" s="19" t="str">
        <f aca="false">IF(BG1134=0,"",IF(BG1134&lt;&gt;BA1134,"erreur de calcul",IF(BD1134&lt;&gt;0,"pas de prix",IF(M1134&lt;&gt; 0,"pas de quantité","pas de prix, ni de quantité"))))</f>
        <v>pas de prix, ni de quantité</v>
      </c>
      <c r="BI1134" s="19"/>
    </row>
    <row r="1135" customFormat="false" ht="15" hidden="false" customHeight="false" outlineLevel="0" collapsed="false">
      <c r="A1135" s="0" t="n">
        <v>3</v>
      </c>
      <c r="B1135" s="8" t="s">
        <v>24</v>
      </c>
      <c r="C1135" s="9" t="s">
        <v>25</v>
      </c>
      <c r="D1135" s="9" t="s">
        <v>26</v>
      </c>
      <c r="E1135" s="10" t="n">
        <v>1789</v>
      </c>
      <c r="F1135" s="9" t="s">
        <v>27</v>
      </c>
      <c r="G1135" s="9" t="s">
        <v>27</v>
      </c>
      <c r="H1135" s="11" t="n">
        <v>21</v>
      </c>
      <c r="I1135" s="11" t="s">
        <v>156</v>
      </c>
      <c r="J1135" s="14" t="n">
        <v>175</v>
      </c>
      <c r="K1135" s="14"/>
      <c r="L1135" s="16"/>
      <c r="M1135" s="27" t="n">
        <f aca="false">J1135+(K1135/20)+(L1135/240)</f>
        <v>175</v>
      </c>
      <c r="N1135" s="17" t="s">
        <v>64</v>
      </c>
      <c r="O1135" s="11" t="s">
        <v>98</v>
      </c>
      <c r="P1135" s="28" t="n">
        <f aca="false">3429/100</f>
        <v>34.29</v>
      </c>
      <c r="Q1135" s="28" t="n">
        <v>6001</v>
      </c>
      <c r="R1135" s="28"/>
      <c r="S1135" s="28" t="n">
        <f aca="false">R1135*$M1135</f>
        <v>0</v>
      </c>
      <c r="T1135" s="28" t="n">
        <f aca="false">5135/100</f>
        <v>51.35</v>
      </c>
      <c r="U1135" s="28" t="n">
        <v>8986</v>
      </c>
      <c r="V1135" s="28" t="n">
        <f aca="false">33716/100</f>
        <v>337.16</v>
      </c>
      <c r="W1135" s="28" t="n">
        <v>59003</v>
      </c>
      <c r="X1135" s="28" t="n">
        <f aca="false">14982/100</f>
        <v>149.82</v>
      </c>
      <c r="Y1135" s="28" t="n">
        <v>26218</v>
      </c>
      <c r="Z1135" s="28"/>
      <c r="AA1135" s="28" t="n">
        <f aca="false">Z1135*$M1135</f>
        <v>0</v>
      </c>
      <c r="AB1135" s="28"/>
      <c r="AC1135" s="28" t="n">
        <f aca="false">AB1135*$M1135</f>
        <v>0</v>
      </c>
      <c r="AD1135" s="28"/>
      <c r="AE1135" s="28" t="n">
        <f aca="false">AD1135*$M1135</f>
        <v>0</v>
      </c>
      <c r="AF1135" s="28" t="n">
        <f aca="false">439/100</f>
        <v>4.39</v>
      </c>
      <c r="AG1135" s="28" t="n">
        <v>768</v>
      </c>
      <c r="AH1135" s="28" t="n">
        <f aca="false">163722/100</f>
        <v>1637.22</v>
      </c>
      <c r="AI1135" s="28" t="n">
        <v>286513</v>
      </c>
      <c r="AJ1135" s="28" t="n">
        <f aca="false">17649/100</f>
        <v>176.49</v>
      </c>
      <c r="AK1135" s="28" t="n">
        <v>30886</v>
      </c>
      <c r="AL1135" s="28" t="n">
        <f aca="false">6852/100</f>
        <v>68.52</v>
      </c>
      <c r="AM1135" s="28" t="n">
        <v>11991</v>
      </c>
      <c r="AN1135" s="28"/>
      <c r="AO1135" s="28" t="n">
        <f aca="false">AN1135*$M1135</f>
        <v>0</v>
      </c>
      <c r="AP1135" s="28"/>
      <c r="AQ1135" s="28" t="n">
        <f aca="false">AP1135*$M1135</f>
        <v>0</v>
      </c>
      <c r="AR1135" s="28"/>
      <c r="AS1135" s="28" t="n">
        <f aca="false">AR1135*$M1135</f>
        <v>0</v>
      </c>
      <c r="AT1135" s="28"/>
      <c r="AU1135" s="28" t="n">
        <f aca="false">AT1135*$M1135</f>
        <v>0</v>
      </c>
      <c r="AV1135" s="28"/>
      <c r="AW1135" s="28" t="n">
        <f aca="false">AV1135*$M1135</f>
        <v>0</v>
      </c>
      <c r="AX1135" s="28"/>
      <c r="AY1135" s="28" t="n">
        <f aca="false">AX1135*$M1135</f>
        <v>0</v>
      </c>
      <c r="AZ1135" s="30" t="n">
        <f aca="false">245924/100</f>
        <v>2459.24</v>
      </c>
      <c r="BA1135" s="11" t="n">
        <v>430366</v>
      </c>
      <c r="BB1135" s="31" t="n">
        <f aca="false">SUM(Q1135,S1135,U1135,W1135,Y1135,AA1135,AC1135,AE1135,AG1135,AI1135,AK1135,AM1135,AO1135,AQ1135,AS1135,AU1135,AW1135,AY1135)</f>
        <v>430366</v>
      </c>
      <c r="BC1135" s="28" t="n">
        <f aca="false">BA1135-BB1135</f>
        <v>0</v>
      </c>
      <c r="BD1135" s="32" t="n">
        <f aca="false">SUM(P1135,R1135,T1135,V1135,X1135,Z1135,AB1135,AD1135,AF1135,AH1135,AJ1135,AL1135,AN1135,AP1135,AR1135,AT1135,AV1135,AX1135)</f>
        <v>2459.24</v>
      </c>
      <c r="BE1135" s="33" t="n">
        <f aca="false">AZ1135-BD1135</f>
        <v>0</v>
      </c>
      <c r="BF1135" s="34" t="n">
        <f aca="false">BD1135*M1135</f>
        <v>430367</v>
      </c>
      <c r="BG1135" s="35" t="n">
        <f aca="false">BA1135-BF1135</f>
        <v>-0.999999999941792</v>
      </c>
      <c r="BH1135" s="19" t="str">
        <f aca="false">IF(BG1135=0,"",IF(BG1135&lt;&gt;BA1135,"erreur de calcul",IF(BD1135&lt;&gt;0,"pas de prix",IF(M1135&lt;&gt; 0,"pas de quantité","pas de prix, ni de quantité"))))</f>
        <v>erreur de calcul</v>
      </c>
      <c r="BI1135" s="19"/>
    </row>
    <row r="1136" customFormat="false" ht="15" hidden="false" customHeight="false" outlineLevel="0" collapsed="false">
      <c r="A1136" s="0" t="n">
        <v>4</v>
      </c>
      <c r="B1136" s="8" t="s">
        <v>24</v>
      </c>
      <c r="C1136" s="9" t="s">
        <v>25</v>
      </c>
      <c r="D1136" s="9" t="s">
        <v>26</v>
      </c>
      <c r="E1136" s="10" t="n">
        <v>1789</v>
      </c>
      <c r="F1136" s="9" t="s">
        <v>27</v>
      </c>
      <c r="G1136" s="9" t="s">
        <v>27</v>
      </c>
      <c r="H1136" s="11" t="n">
        <v>21</v>
      </c>
      <c r="I1136" s="11" t="s">
        <v>157</v>
      </c>
      <c r="J1136" s="14" t="n">
        <v>240</v>
      </c>
      <c r="K1136" s="14"/>
      <c r="L1136" s="16"/>
      <c r="M1136" s="27" t="n">
        <f aca="false">J1136+(K1136/20)+(L1136/240)</f>
        <v>240</v>
      </c>
      <c r="N1136" s="17" t="s">
        <v>64</v>
      </c>
      <c r="O1136" s="11"/>
      <c r="P1136" s="28"/>
      <c r="Q1136" s="28" t="n">
        <f aca="false">P1136*$M1136</f>
        <v>0</v>
      </c>
      <c r="R1136" s="28"/>
      <c r="S1136" s="28" t="n">
        <f aca="false">R1136*$M1136</f>
        <v>0</v>
      </c>
      <c r="T1136" s="28"/>
      <c r="U1136" s="28" t="n">
        <f aca="false">T1136*$M1136</f>
        <v>0</v>
      </c>
      <c r="V1136" s="28"/>
      <c r="W1136" s="28" t="n">
        <f aca="false">V1136*$M1136</f>
        <v>0</v>
      </c>
      <c r="X1136" s="28"/>
      <c r="Y1136" s="28" t="n">
        <f aca="false">X1136*$M1136</f>
        <v>0</v>
      </c>
      <c r="Z1136" s="28"/>
      <c r="AA1136" s="28" t="n">
        <f aca="false">Z1136*$M1136</f>
        <v>0</v>
      </c>
      <c r="AB1136" s="28"/>
      <c r="AC1136" s="28" t="n">
        <f aca="false">AB1136*$M1136</f>
        <v>0</v>
      </c>
      <c r="AD1136" s="28"/>
      <c r="AE1136" s="28" t="n">
        <f aca="false">AD1136*$M1136</f>
        <v>0</v>
      </c>
      <c r="AF1136" s="28"/>
      <c r="AG1136" s="28" t="n">
        <f aca="false">AF1136*$M1136</f>
        <v>0</v>
      </c>
      <c r="AH1136" s="28"/>
      <c r="AI1136" s="28" t="n">
        <f aca="false">AH1136*$M1136</f>
        <v>0</v>
      </c>
      <c r="AJ1136" s="28" t="n">
        <f aca="false">290/100</f>
        <v>2.9</v>
      </c>
      <c r="AK1136" s="36" t="n">
        <v>2208</v>
      </c>
      <c r="AL1136" s="28"/>
      <c r="AM1136" s="28" t="n">
        <f aca="false">AL1136*$M1136</f>
        <v>0</v>
      </c>
      <c r="AN1136" s="28"/>
      <c r="AO1136" s="28" t="n">
        <f aca="false">AN1136*$M1136</f>
        <v>0</v>
      </c>
      <c r="AP1136" s="28"/>
      <c r="AQ1136" s="28" t="n">
        <f aca="false">AP1136*$M1136</f>
        <v>0</v>
      </c>
      <c r="AR1136" s="28"/>
      <c r="AS1136" s="28" t="n">
        <f aca="false">AR1136*$M1136</f>
        <v>0</v>
      </c>
      <c r="AT1136" s="28"/>
      <c r="AU1136" s="28" t="n">
        <f aca="false">AT1136*$M1136</f>
        <v>0</v>
      </c>
      <c r="AV1136" s="28"/>
      <c r="AW1136" s="28" t="n">
        <f aca="false">AV1136*$M1136</f>
        <v>0</v>
      </c>
      <c r="AX1136" s="28"/>
      <c r="AY1136" s="28" t="n">
        <f aca="false">AX1136*$M1136</f>
        <v>0</v>
      </c>
      <c r="AZ1136" s="30" t="n">
        <f aca="false">290/100</f>
        <v>2.9</v>
      </c>
      <c r="BA1136" s="11" t="n">
        <v>2208</v>
      </c>
      <c r="BB1136" s="31" t="n">
        <f aca="false">SUM(Q1136,S1136,U1136,W1136,Y1136,AA1136,AC1136,AE1136,AG1136,AI1136,AK1136,AM1136,AO1136,AQ1136,AS1136,AU1136,AW1136,AY1136)</f>
        <v>2208</v>
      </c>
      <c r="BC1136" s="28" t="n">
        <f aca="false">BA1136-BB1136</f>
        <v>0</v>
      </c>
      <c r="BD1136" s="32" t="n">
        <f aca="false">SUM(P1136,R1136,T1136,V1136,X1136,Z1136,AB1136,AD1136,AF1136,AH1136,AJ1136,AL1136,AN1136,AP1136,AR1136,AT1136,AV1136,AX1136)</f>
        <v>2.9</v>
      </c>
      <c r="BE1136" s="33" t="n">
        <f aca="false">AZ1136-BD1136</f>
        <v>0</v>
      </c>
      <c r="BF1136" s="34" t="n">
        <f aca="false">BD1136*M1136</f>
        <v>696</v>
      </c>
      <c r="BG1136" s="35" t="n">
        <f aca="false">BA1136-BF1136</f>
        <v>1512</v>
      </c>
      <c r="BH1136" s="19" t="str">
        <f aca="false">IF(BG1136=0,"",IF(BG1136&lt;&gt;BA1136,"erreur de calcul",IF(BD1136&lt;&gt;0,"pas de prix",IF(M1136&lt;&gt; 0,"pas de quantité","pas de prix, ni de quantité"))))</f>
        <v>erreur de calcul</v>
      </c>
      <c r="BI1136" s="19"/>
    </row>
    <row r="1137" customFormat="false" ht="15" hidden="false" customHeight="false" outlineLevel="0" collapsed="false">
      <c r="A1137" s="0" t="n">
        <v>5</v>
      </c>
      <c r="B1137" s="8" t="s">
        <v>24</v>
      </c>
      <c r="C1137" s="9" t="s">
        <v>25</v>
      </c>
      <c r="D1137" s="9" t="s">
        <v>26</v>
      </c>
      <c r="E1137" s="10" t="n">
        <v>1789</v>
      </c>
      <c r="F1137" s="9" t="s">
        <v>27</v>
      </c>
      <c r="G1137" s="9" t="s">
        <v>27</v>
      </c>
      <c r="H1137" s="11" t="n">
        <v>21</v>
      </c>
      <c r="I1137" s="11" t="s">
        <v>158</v>
      </c>
      <c r="J1137" s="14" t="n">
        <v>115</v>
      </c>
      <c r="K1137" s="14"/>
      <c r="L1137" s="16"/>
      <c r="M1137" s="27" t="n">
        <f aca="false">J1137+(K1137/20)+(L1137/240)</f>
        <v>115</v>
      </c>
      <c r="N1137" s="17" t="s">
        <v>64</v>
      </c>
      <c r="O1137" s="11"/>
      <c r="P1137" s="28"/>
      <c r="Q1137" s="28" t="n">
        <f aca="false">P1137*$M1137</f>
        <v>0</v>
      </c>
      <c r="R1137" s="28"/>
      <c r="S1137" s="28" t="n">
        <f aca="false">R1137*$M1137</f>
        <v>0</v>
      </c>
      <c r="T1137" s="28"/>
      <c r="U1137" s="28" t="n">
        <f aca="false">T1137*$M1137</f>
        <v>0</v>
      </c>
      <c r="V1137" s="28"/>
      <c r="W1137" s="28" t="n">
        <f aca="false">V1137*$M1137</f>
        <v>0</v>
      </c>
      <c r="X1137" s="28"/>
      <c r="Y1137" s="28" t="n">
        <f aca="false">X1137*$M1137</f>
        <v>0</v>
      </c>
      <c r="Z1137" s="28"/>
      <c r="AA1137" s="28" t="n">
        <f aca="false">Z1137*$M1137</f>
        <v>0</v>
      </c>
      <c r="AB1137" s="28"/>
      <c r="AC1137" s="28" t="n">
        <f aca="false">AB1137*$M1137</f>
        <v>0</v>
      </c>
      <c r="AD1137" s="28"/>
      <c r="AE1137" s="28" t="n">
        <f aca="false">AD1137*$M1137</f>
        <v>0</v>
      </c>
      <c r="AF1137" s="28"/>
      <c r="AG1137" s="28" t="n">
        <f aca="false">AF1137*$M1137</f>
        <v>0</v>
      </c>
      <c r="AH1137" s="28" t="n">
        <f aca="false">491552/100</f>
        <v>4915.52</v>
      </c>
      <c r="AI1137" s="28" t="n">
        <v>565285</v>
      </c>
      <c r="AJ1137" s="28"/>
      <c r="AK1137" s="28" t="n">
        <f aca="false">AJ1137*$M1137</f>
        <v>0</v>
      </c>
      <c r="AL1137" s="28"/>
      <c r="AM1137" s="28" t="n">
        <f aca="false">AL1137*$M1137</f>
        <v>0</v>
      </c>
      <c r="AN1137" s="28"/>
      <c r="AO1137" s="28" t="n">
        <f aca="false">AN1137*$M1137</f>
        <v>0</v>
      </c>
      <c r="AP1137" s="28"/>
      <c r="AQ1137" s="28" t="n">
        <f aca="false">AP1137*$M1137</f>
        <v>0</v>
      </c>
      <c r="AR1137" s="28"/>
      <c r="AS1137" s="28" t="n">
        <f aca="false">AR1137*$M1137</f>
        <v>0</v>
      </c>
      <c r="AT1137" s="28"/>
      <c r="AU1137" s="28" t="n">
        <f aca="false">AT1137*$M1137</f>
        <v>0</v>
      </c>
      <c r="AV1137" s="28"/>
      <c r="AW1137" s="28" t="n">
        <f aca="false">AV1137*$M1137</f>
        <v>0</v>
      </c>
      <c r="AX1137" s="28"/>
      <c r="AY1137" s="28" t="n">
        <f aca="false">AX1137*$M1137</f>
        <v>0</v>
      </c>
      <c r="AZ1137" s="30" t="n">
        <f aca="false">491552/100</f>
        <v>4915.52</v>
      </c>
      <c r="BA1137" s="11" t="n">
        <v>565285</v>
      </c>
      <c r="BB1137" s="31" t="n">
        <f aca="false">SUM(Q1137,S1137,U1137,W1137,Y1137,AA1137,AC1137,AE1137,AG1137,AI1137,AK1137,AM1137,AO1137,AQ1137,AS1137,AU1137,AW1137,AY1137)</f>
        <v>565285</v>
      </c>
      <c r="BC1137" s="28" t="n">
        <f aca="false">BA1137-BB1137</f>
        <v>0</v>
      </c>
      <c r="BD1137" s="32" t="n">
        <f aca="false">SUM(P1137,R1137,T1137,V1137,X1137,Z1137,AB1137,AD1137,AF1137,AH1137,AJ1137,AL1137,AN1137,AP1137,AR1137,AT1137,AV1137,AX1137)</f>
        <v>4915.52</v>
      </c>
      <c r="BE1137" s="33" t="n">
        <f aca="false">AZ1137-BD1137</f>
        <v>0</v>
      </c>
      <c r="BF1137" s="34" t="n">
        <f aca="false">BD1137*M1137</f>
        <v>565284.8</v>
      </c>
      <c r="BG1137" s="35" t="n">
        <f aca="false">BA1137-BF1137</f>
        <v>0.199999999953434</v>
      </c>
      <c r="BH1137" s="19" t="str">
        <f aca="false">IF(BG1137=0,"",IF(BG1137&lt;&gt;BA1137,"erreur de calcul",IF(BD1137&lt;&gt;0,"pas de prix",IF(M1137&lt;&gt; 0,"pas de quantité","pas de prix, ni de quantité"))))</f>
        <v>erreur de calcul</v>
      </c>
      <c r="BI1137" s="19"/>
    </row>
    <row r="1138" customFormat="false" ht="15" hidden="false" customHeight="false" outlineLevel="0" collapsed="false">
      <c r="A1138" s="0" t="n">
        <v>6</v>
      </c>
      <c r="B1138" s="8" t="s">
        <v>24</v>
      </c>
      <c r="C1138" s="9" t="s">
        <v>25</v>
      </c>
      <c r="D1138" s="9" t="s">
        <v>26</v>
      </c>
      <c r="E1138" s="10" t="n">
        <v>1789</v>
      </c>
      <c r="F1138" s="9" t="s">
        <v>27</v>
      </c>
      <c r="G1138" s="9" t="s">
        <v>27</v>
      </c>
      <c r="H1138" s="11" t="n">
        <v>21</v>
      </c>
      <c r="I1138" s="11" t="s">
        <v>159</v>
      </c>
      <c r="J1138" s="14" t="n">
        <v>240</v>
      </c>
      <c r="K1138" s="14"/>
      <c r="L1138" s="16"/>
      <c r="M1138" s="27" t="n">
        <f aca="false">J1138+(K1138/20)+(L1138/240)</f>
        <v>240</v>
      </c>
      <c r="N1138" s="17" t="s">
        <v>64</v>
      </c>
      <c r="O1138" s="11"/>
      <c r="P1138" s="28"/>
      <c r="Q1138" s="28" t="n">
        <f aca="false">P1138*$M1138</f>
        <v>0</v>
      </c>
      <c r="R1138" s="28"/>
      <c r="S1138" s="28" t="n">
        <f aca="false">R1138*$M1138</f>
        <v>0</v>
      </c>
      <c r="T1138" s="28"/>
      <c r="U1138" s="28" t="n">
        <f aca="false">T1138*$M1138</f>
        <v>0</v>
      </c>
      <c r="V1138" s="28"/>
      <c r="W1138" s="28" t="n">
        <f aca="false">V1138*$M1138</f>
        <v>0</v>
      </c>
      <c r="X1138" s="28"/>
      <c r="Y1138" s="28" t="n">
        <f aca="false">X1138*$M1138</f>
        <v>0</v>
      </c>
      <c r="Z1138" s="28"/>
      <c r="AA1138" s="28" t="n">
        <f aca="false">Z1138*$M1138</f>
        <v>0</v>
      </c>
      <c r="AB1138" s="28"/>
      <c r="AC1138" s="28" t="n">
        <f aca="false">AB1138*$M1138</f>
        <v>0</v>
      </c>
      <c r="AD1138" s="28"/>
      <c r="AE1138" s="28" t="n">
        <f aca="false">AD1138*$M1138</f>
        <v>0</v>
      </c>
      <c r="AF1138" s="28"/>
      <c r="AG1138" s="28" t="n">
        <f aca="false">AF1138*$M1138</f>
        <v>0</v>
      </c>
      <c r="AH1138" s="28" t="n">
        <f aca="false">46293/100</f>
        <v>462.93</v>
      </c>
      <c r="AI1138" s="28" t="n">
        <v>111103</v>
      </c>
      <c r="AJ1138" s="28"/>
      <c r="AK1138" s="28" t="n">
        <f aca="false">AJ1138*$M1138</f>
        <v>0</v>
      </c>
      <c r="AL1138" s="28"/>
      <c r="AM1138" s="28" t="n">
        <f aca="false">AL1138*$M1138</f>
        <v>0</v>
      </c>
      <c r="AN1138" s="28"/>
      <c r="AO1138" s="28" t="n">
        <f aca="false">AN1138*$M1138</f>
        <v>0</v>
      </c>
      <c r="AP1138" s="28"/>
      <c r="AQ1138" s="28" t="n">
        <f aca="false">AP1138*$M1138</f>
        <v>0</v>
      </c>
      <c r="AR1138" s="28"/>
      <c r="AS1138" s="28" t="n">
        <f aca="false">AR1138*$M1138</f>
        <v>0</v>
      </c>
      <c r="AT1138" s="28"/>
      <c r="AU1138" s="28" t="n">
        <f aca="false">AT1138*$M1138</f>
        <v>0</v>
      </c>
      <c r="AV1138" s="28"/>
      <c r="AW1138" s="28" t="n">
        <f aca="false">AV1138*$M1138</f>
        <v>0</v>
      </c>
      <c r="AX1138" s="28"/>
      <c r="AY1138" s="28" t="n">
        <f aca="false">AX1138*$M1138</f>
        <v>0</v>
      </c>
      <c r="AZ1138" s="30" t="n">
        <f aca="false">46293/100</f>
        <v>462.93</v>
      </c>
      <c r="BA1138" s="11" t="n">
        <v>111103</v>
      </c>
      <c r="BB1138" s="31" t="n">
        <f aca="false">SUM(Q1138,S1138,U1138,W1138,Y1138,AA1138,AC1138,AE1138,AG1138,AI1138,AK1138,AM1138,AO1138,AQ1138,AS1138,AU1138,AW1138,AY1138)</f>
        <v>111103</v>
      </c>
      <c r="BC1138" s="28" t="n">
        <f aca="false">BA1138-BB1138</f>
        <v>0</v>
      </c>
      <c r="BD1138" s="32" t="n">
        <f aca="false">SUM(P1138,R1138,T1138,V1138,X1138,Z1138,AB1138,AD1138,AF1138,AH1138,AJ1138,AL1138,AN1138,AP1138,AR1138,AT1138,AV1138,AX1138)</f>
        <v>462.93</v>
      </c>
      <c r="BE1138" s="33" t="n">
        <f aca="false">AZ1138-BD1138</f>
        <v>0</v>
      </c>
      <c r="BF1138" s="34" t="n">
        <f aca="false">BD1138*M1138</f>
        <v>111103.2</v>
      </c>
      <c r="BG1138" s="35" t="n">
        <f aca="false">BA1138-BF1138</f>
        <v>-0.19999999999709</v>
      </c>
      <c r="BH1138" s="19" t="str">
        <f aca="false">IF(BG1138=0,"",IF(BG1138&lt;&gt;BA1138,"erreur de calcul",IF(BD1138&lt;&gt;0,"pas de prix",IF(M1138&lt;&gt; 0,"pas de quantité","pas de prix, ni de quantité"))))</f>
        <v>erreur de calcul</v>
      </c>
      <c r="BI1138" s="19"/>
    </row>
    <row r="1139" customFormat="false" ht="15" hidden="false" customHeight="false" outlineLevel="0" collapsed="false">
      <c r="A1139" s="0" t="n">
        <v>7</v>
      </c>
      <c r="B1139" s="8" t="s">
        <v>24</v>
      </c>
      <c r="C1139" s="9" t="s">
        <v>25</v>
      </c>
      <c r="D1139" s="9" t="s">
        <v>26</v>
      </c>
      <c r="E1139" s="10" t="n">
        <v>1789</v>
      </c>
      <c r="F1139" s="9" t="s">
        <v>27</v>
      </c>
      <c r="G1139" s="9" t="s">
        <v>27</v>
      </c>
      <c r="H1139" s="11" t="n">
        <v>21</v>
      </c>
      <c r="I1139" s="11" t="s">
        <v>160</v>
      </c>
      <c r="J1139" s="14" t="n">
        <v>70</v>
      </c>
      <c r="K1139" s="14"/>
      <c r="L1139" s="16"/>
      <c r="M1139" s="27" t="n">
        <f aca="false">J1139+(K1139/20)+(L1139/240)</f>
        <v>70</v>
      </c>
      <c r="N1139" s="17" t="s">
        <v>64</v>
      </c>
      <c r="O1139" s="11"/>
      <c r="P1139" s="28"/>
      <c r="Q1139" s="28" t="n">
        <f aca="false">P1139*$M1139</f>
        <v>0</v>
      </c>
      <c r="R1139" s="28"/>
      <c r="S1139" s="28" t="n">
        <f aca="false">R1139*$M1139</f>
        <v>0</v>
      </c>
      <c r="T1139" s="28"/>
      <c r="U1139" s="28" t="n">
        <f aca="false">T1139*$M1139</f>
        <v>0</v>
      </c>
      <c r="V1139" s="28"/>
      <c r="W1139" s="28" t="n">
        <f aca="false">V1139*$M1139</f>
        <v>0</v>
      </c>
      <c r="X1139" s="28"/>
      <c r="Y1139" s="28" t="n">
        <f aca="false">X1139*$M1139</f>
        <v>0</v>
      </c>
      <c r="Z1139" s="28"/>
      <c r="AA1139" s="28" t="n">
        <f aca="false">Z1139*$M1139</f>
        <v>0</v>
      </c>
      <c r="AB1139" s="28"/>
      <c r="AC1139" s="28" t="n">
        <f aca="false">AB1139*$M1139</f>
        <v>0</v>
      </c>
      <c r="AD1139" s="28"/>
      <c r="AE1139" s="28" t="n">
        <f aca="false">AD1139*$M1139</f>
        <v>0</v>
      </c>
      <c r="AF1139" s="28" t="n">
        <f aca="false">125849/100</f>
        <v>1258.49</v>
      </c>
      <c r="AG1139" s="28" t="n">
        <v>88094</v>
      </c>
      <c r="AH1139" s="28"/>
      <c r="AI1139" s="28" t="n">
        <f aca="false">AH1139*$M1139</f>
        <v>0</v>
      </c>
      <c r="AJ1139" s="28"/>
      <c r="AK1139" s="28" t="n">
        <f aca="false">AJ1139*$M1139</f>
        <v>0</v>
      </c>
      <c r="AL1139" s="28"/>
      <c r="AM1139" s="28" t="n">
        <f aca="false">AL1139*$M1139</f>
        <v>0</v>
      </c>
      <c r="AN1139" s="28"/>
      <c r="AO1139" s="28" t="n">
        <f aca="false">AN1139*$M1139</f>
        <v>0</v>
      </c>
      <c r="AP1139" s="28"/>
      <c r="AQ1139" s="28" t="n">
        <f aca="false">AP1139*$M1139</f>
        <v>0</v>
      </c>
      <c r="AR1139" s="28"/>
      <c r="AS1139" s="28" t="n">
        <f aca="false">AR1139*$M1139</f>
        <v>0</v>
      </c>
      <c r="AT1139" s="28"/>
      <c r="AU1139" s="28" t="n">
        <f aca="false">AT1139*$M1139</f>
        <v>0</v>
      </c>
      <c r="AV1139" s="28"/>
      <c r="AW1139" s="28" t="n">
        <f aca="false">AV1139*$M1139</f>
        <v>0</v>
      </c>
      <c r="AX1139" s="28"/>
      <c r="AY1139" s="28" t="n">
        <f aca="false">AX1139*$M1139</f>
        <v>0</v>
      </c>
      <c r="AZ1139" s="30" t="n">
        <f aca="false">125849/100</f>
        <v>1258.49</v>
      </c>
      <c r="BA1139" s="11" t="n">
        <v>88094</v>
      </c>
      <c r="BB1139" s="31" t="n">
        <f aca="false">SUM(Q1139,S1139,U1139,W1139,Y1139,AA1139,AC1139,AE1139,AG1139,AI1139,AK1139,AM1139,AO1139,AQ1139,AS1139,AU1139,AW1139,AY1139)</f>
        <v>88094</v>
      </c>
      <c r="BC1139" s="28" t="n">
        <f aca="false">BA1139-BB1139</f>
        <v>0</v>
      </c>
      <c r="BD1139" s="32" t="n">
        <f aca="false">SUM(P1139,R1139,T1139,V1139,X1139,Z1139,AB1139,AD1139,AF1139,AH1139,AJ1139,AL1139,AN1139,AP1139,AR1139,AT1139,AV1139,AX1139)</f>
        <v>1258.49</v>
      </c>
      <c r="BE1139" s="33" t="n">
        <f aca="false">AZ1139-BD1139</f>
        <v>0</v>
      </c>
      <c r="BF1139" s="34" t="n">
        <f aca="false">BD1139*M1139</f>
        <v>88094.3</v>
      </c>
      <c r="BG1139" s="35" t="n">
        <f aca="false">BA1139-BF1139</f>
        <v>-0.30000000000291</v>
      </c>
      <c r="BH1139" s="19" t="str">
        <f aca="false">IF(BG1139=0,"",IF(BG1139&lt;&gt;BA1139,"erreur de calcul",IF(BD1139&lt;&gt;0,"pas de prix",IF(M1139&lt;&gt; 0,"pas de quantité","pas de prix, ni de quantité"))))</f>
        <v>erreur de calcul</v>
      </c>
      <c r="BI1139" s="19"/>
    </row>
    <row r="1140" customFormat="false" ht="15" hidden="false" customHeight="false" outlineLevel="0" collapsed="false">
      <c r="A1140" s="0" t="n">
        <v>8</v>
      </c>
      <c r="B1140" s="8" t="s">
        <v>24</v>
      </c>
      <c r="C1140" s="9" t="s">
        <v>25</v>
      </c>
      <c r="D1140" s="9" t="s">
        <v>26</v>
      </c>
      <c r="E1140" s="10" t="n">
        <v>1789</v>
      </c>
      <c r="F1140" s="9" t="s">
        <v>27</v>
      </c>
      <c r="G1140" s="9" t="s">
        <v>27</v>
      </c>
      <c r="H1140" s="11" t="n">
        <v>21</v>
      </c>
      <c r="I1140" s="11" t="s">
        <v>161</v>
      </c>
      <c r="J1140" s="14" t="n">
        <v>50</v>
      </c>
      <c r="K1140" s="14"/>
      <c r="L1140" s="16"/>
      <c r="M1140" s="27" t="n">
        <f aca="false">J1140+(K1140/20)+(L1140/240)</f>
        <v>50</v>
      </c>
      <c r="N1140" s="17" t="s">
        <v>64</v>
      </c>
      <c r="O1140" s="11"/>
      <c r="P1140" s="28"/>
      <c r="Q1140" s="28" t="n">
        <f aca="false">P1140*$M1140</f>
        <v>0</v>
      </c>
      <c r="R1140" s="28"/>
      <c r="S1140" s="28" t="n">
        <f aca="false">R1140*$M1140</f>
        <v>0</v>
      </c>
      <c r="T1140" s="28"/>
      <c r="U1140" s="28" t="n">
        <f aca="false">T1140*$M1140</f>
        <v>0</v>
      </c>
      <c r="V1140" s="28" t="n">
        <f aca="false">18055/100</f>
        <v>180.55</v>
      </c>
      <c r="W1140" s="28" t="n">
        <v>9027</v>
      </c>
      <c r="X1140" s="28" t="n">
        <f aca="false">17880/100</f>
        <v>178.8</v>
      </c>
      <c r="Y1140" s="28" t="n">
        <v>8940</v>
      </c>
      <c r="Z1140" s="28"/>
      <c r="AA1140" s="28" t="n">
        <f aca="false">Z1140*$M1140</f>
        <v>0</v>
      </c>
      <c r="AB1140" s="28" t="n">
        <f aca="false">104483/100</f>
        <v>1044.83</v>
      </c>
      <c r="AC1140" s="28" t="n">
        <v>52241</v>
      </c>
      <c r="AD1140" s="28"/>
      <c r="AE1140" s="28" t="n">
        <f aca="false">AD1140*$M1140</f>
        <v>0</v>
      </c>
      <c r="AF1140" s="28"/>
      <c r="AG1140" s="28" t="n">
        <f aca="false">AF1140*$M1140</f>
        <v>0</v>
      </c>
      <c r="AH1140" s="28"/>
      <c r="AI1140" s="28" t="n">
        <f aca="false">AH1140*$M1140</f>
        <v>0</v>
      </c>
      <c r="AJ1140" s="28"/>
      <c r="AK1140" s="28" t="n">
        <f aca="false">AJ1140*$M1140</f>
        <v>0</v>
      </c>
      <c r="AL1140" s="28"/>
      <c r="AM1140" s="28" t="n">
        <f aca="false">AL1140*$M1140</f>
        <v>0</v>
      </c>
      <c r="AN1140" s="28"/>
      <c r="AO1140" s="28" t="n">
        <f aca="false">AN1140*$M1140</f>
        <v>0</v>
      </c>
      <c r="AP1140" s="28"/>
      <c r="AQ1140" s="28" t="n">
        <f aca="false">AP1140*$M1140</f>
        <v>0</v>
      </c>
      <c r="AR1140" s="28"/>
      <c r="AS1140" s="28" t="n">
        <f aca="false">AR1140*$M1140</f>
        <v>0</v>
      </c>
      <c r="AT1140" s="28"/>
      <c r="AU1140" s="28" t="n">
        <f aca="false">AT1140*$M1140</f>
        <v>0</v>
      </c>
      <c r="AV1140" s="28"/>
      <c r="AW1140" s="28" t="n">
        <f aca="false">AV1140*$M1140</f>
        <v>0</v>
      </c>
      <c r="AX1140" s="28"/>
      <c r="AY1140" s="28" t="n">
        <f aca="false">AX1140*$M1140</f>
        <v>0</v>
      </c>
      <c r="AZ1140" s="30" t="n">
        <f aca="false">140418/100</f>
        <v>1404.18</v>
      </c>
      <c r="BA1140" s="11" t="n">
        <v>70208</v>
      </c>
      <c r="BB1140" s="31" t="n">
        <f aca="false">SUM(Q1140,S1140,U1140,W1140,Y1140,AA1140,AC1140,AE1140,AG1140,AI1140,AK1140,AM1140,AO1140,AQ1140,AS1140,AU1140,AW1140,AY1140)</f>
        <v>70208</v>
      </c>
      <c r="BC1140" s="28" t="n">
        <f aca="false">BA1140-BB1140</f>
        <v>0</v>
      </c>
      <c r="BD1140" s="32" t="n">
        <f aca="false">SUM(P1140,R1140,T1140,V1140,X1140,Z1140,AB1140,AD1140,AF1140,AH1140,AJ1140,AL1140,AN1140,AP1140,AR1140,AT1140,AV1140,AX1140)</f>
        <v>1404.18</v>
      </c>
      <c r="BE1140" s="33" t="n">
        <f aca="false">AZ1140-BD1140</f>
        <v>0</v>
      </c>
      <c r="BF1140" s="34" t="n">
        <f aca="false">BD1140*M1140</f>
        <v>70209</v>
      </c>
      <c r="BG1140" s="35" t="n">
        <f aca="false">BA1140-BF1140</f>
        <v>-0.999999999985448</v>
      </c>
      <c r="BH1140" s="19" t="str">
        <f aca="false">IF(BG1140=0,"",IF(BG1140&lt;&gt;BA1140,"erreur de calcul",IF(BD1140&lt;&gt;0,"pas de prix",IF(M1140&lt;&gt; 0,"pas de quantité","pas de prix, ni de quantité"))))</f>
        <v>erreur de calcul</v>
      </c>
      <c r="BI1140" s="19"/>
    </row>
    <row r="1141" customFormat="false" ht="15" hidden="false" customHeight="false" outlineLevel="0" collapsed="false">
      <c r="A1141" s="0" t="n">
        <v>9</v>
      </c>
      <c r="B1141" s="8" t="s">
        <v>24</v>
      </c>
      <c r="C1141" s="9" t="s">
        <v>25</v>
      </c>
      <c r="D1141" s="9" t="s">
        <v>26</v>
      </c>
      <c r="E1141" s="10" t="n">
        <v>1789</v>
      </c>
      <c r="F1141" s="9" t="s">
        <v>27</v>
      </c>
      <c r="G1141" s="9" t="s">
        <v>27</v>
      </c>
      <c r="H1141" s="11" t="n">
        <v>21</v>
      </c>
      <c r="I1141" s="11" t="s">
        <v>162</v>
      </c>
      <c r="J1141" s="14" t="n">
        <v>250</v>
      </c>
      <c r="K1141" s="14"/>
      <c r="L1141" s="16"/>
      <c r="M1141" s="27" t="n">
        <f aca="false">J1141+(K1141/20)+(L1141/240)</f>
        <v>250</v>
      </c>
      <c r="N1141" s="17" t="s">
        <v>64</v>
      </c>
      <c r="O1141" s="11"/>
      <c r="P1141" s="28"/>
      <c r="Q1141" s="28" t="n">
        <f aca="false">P1141*$M1141</f>
        <v>0</v>
      </c>
      <c r="R1141" s="28"/>
      <c r="S1141" s="28" t="n">
        <f aca="false">R1141*$M1141</f>
        <v>0</v>
      </c>
      <c r="T1141" s="28"/>
      <c r="U1141" s="28" t="n">
        <f aca="false">T1141*$M1141</f>
        <v>0</v>
      </c>
      <c r="V1141" s="28"/>
      <c r="W1141" s="28" t="n">
        <f aca="false">V1141*$M1141</f>
        <v>0</v>
      </c>
      <c r="X1141" s="28"/>
      <c r="Y1141" s="28" t="n">
        <f aca="false">X1141*$M1141</f>
        <v>0</v>
      </c>
      <c r="Z1141" s="28"/>
      <c r="AA1141" s="28" t="n">
        <f aca="false">Z1141*$M1141</f>
        <v>0</v>
      </c>
      <c r="AB1141" s="28"/>
      <c r="AC1141" s="28" t="n">
        <f aca="false">AB1141*$M1141</f>
        <v>0</v>
      </c>
      <c r="AD1141" s="28"/>
      <c r="AE1141" s="28" t="n">
        <f aca="false">AD1141*$M1141</f>
        <v>0</v>
      </c>
      <c r="AF1141" s="28"/>
      <c r="AG1141" s="28" t="n">
        <f aca="false">AF1141*$M1141</f>
        <v>0</v>
      </c>
      <c r="AH1141" s="28" t="n">
        <f aca="false">2306/100</f>
        <v>23.06</v>
      </c>
      <c r="AI1141" s="36" t="n">
        <v>5073</v>
      </c>
      <c r="AJ1141" s="28"/>
      <c r="AK1141" s="28" t="n">
        <f aca="false">AJ1141*$M1141</f>
        <v>0</v>
      </c>
      <c r="AL1141" s="28"/>
      <c r="AM1141" s="28" t="n">
        <f aca="false">AL1141*$M1141</f>
        <v>0</v>
      </c>
      <c r="AN1141" s="28"/>
      <c r="AO1141" s="28" t="n">
        <f aca="false">AN1141*$M1141</f>
        <v>0</v>
      </c>
      <c r="AP1141" s="28"/>
      <c r="AQ1141" s="28" t="n">
        <f aca="false">AP1141*$M1141</f>
        <v>0</v>
      </c>
      <c r="AR1141" s="28"/>
      <c r="AS1141" s="28" t="n">
        <f aca="false">AR1141*$M1141</f>
        <v>0</v>
      </c>
      <c r="AT1141" s="28"/>
      <c r="AU1141" s="28" t="n">
        <f aca="false">AT1141*$M1141</f>
        <v>0</v>
      </c>
      <c r="AV1141" s="28"/>
      <c r="AW1141" s="28" t="n">
        <f aca="false">AV1141*$M1141</f>
        <v>0</v>
      </c>
      <c r="AX1141" s="28"/>
      <c r="AY1141" s="28" t="n">
        <f aca="false">AX1141*$M1141</f>
        <v>0</v>
      </c>
      <c r="AZ1141" s="30" t="n">
        <f aca="false">2306/100</f>
        <v>23.06</v>
      </c>
      <c r="BA1141" s="11" t="n">
        <v>5073</v>
      </c>
      <c r="BB1141" s="31" t="n">
        <f aca="false">SUM(Q1141,S1141,U1141,W1141,Y1141,AA1141,AC1141,AE1141,AG1141,AI1141,AK1141,AM1141,AO1141,AQ1141,AS1141,AU1141,AW1141,AY1141)</f>
        <v>5073</v>
      </c>
      <c r="BC1141" s="28" t="n">
        <f aca="false">BA1141-BB1141</f>
        <v>0</v>
      </c>
      <c r="BD1141" s="32" t="n">
        <f aca="false">SUM(P1141,R1141,T1141,V1141,X1141,Z1141,AB1141,AD1141,AF1141,AH1141,AJ1141,AL1141,AN1141,AP1141,AR1141,AT1141,AV1141,AX1141)</f>
        <v>23.06</v>
      </c>
      <c r="BE1141" s="33" t="n">
        <f aca="false">AZ1141-BD1141</f>
        <v>0</v>
      </c>
      <c r="BF1141" s="34" t="n">
        <f aca="false">BD1141*M1141</f>
        <v>5765</v>
      </c>
      <c r="BG1141" s="35" t="n">
        <f aca="false">BA1141-BF1141</f>
        <v>-692</v>
      </c>
      <c r="BH1141" s="19" t="str">
        <f aca="false">IF(BG1141=0,"",IF(BG1141&lt;&gt;BA1141,"erreur de calcul",IF(BD1141&lt;&gt;0,"pas de prix",IF(M1141&lt;&gt; 0,"pas de quantité","pas de prix, ni de quantité"))))</f>
        <v>erreur de calcul</v>
      </c>
      <c r="BI1141" s="19"/>
    </row>
    <row r="1142" customFormat="false" ht="15" hidden="false" customHeight="false" outlineLevel="0" collapsed="false">
      <c r="A1142" s="0" t="n">
        <v>10</v>
      </c>
      <c r="B1142" s="8" t="s">
        <v>24</v>
      </c>
      <c r="C1142" s="9" t="s">
        <v>25</v>
      </c>
      <c r="D1142" s="9" t="s">
        <v>26</v>
      </c>
      <c r="E1142" s="10" t="n">
        <v>1789</v>
      </c>
      <c r="F1142" s="9" t="s">
        <v>27</v>
      </c>
      <c r="G1142" s="9" t="s">
        <v>27</v>
      </c>
      <c r="H1142" s="11" t="n">
        <v>21</v>
      </c>
      <c r="I1142" s="11" t="s">
        <v>163</v>
      </c>
      <c r="J1142" s="14"/>
      <c r="K1142" s="14"/>
      <c r="L1142" s="16"/>
      <c r="M1142" s="27" t="n">
        <f aca="false">J1142+(K1142/20)+(L1142/240)</f>
        <v>0</v>
      </c>
      <c r="N1142" s="17"/>
      <c r="O1142" s="11"/>
      <c r="P1142" s="28"/>
      <c r="Q1142" s="28" t="n">
        <v>1571</v>
      </c>
      <c r="R1142" s="28"/>
      <c r="S1142" s="28" t="n">
        <f aca="false">R1142*$M1142</f>
        <v>0</v>
      </c>
      <c r="T1142" s="28"/>
      <c r="U1142" s="28" t="n">
        <v>182</v>
      </c>
      <c r="V1142" s="28"/>
      <c r="W1142" s="28" t="n">
        <v>1801</v>
      </c>
      <c r="X1142" s="28"/>
      <c r="Y1142" s="28" t="n">
        <v>214</v>
      </c>
      <c r="Z1142" s="28"/>
      <c r="AA1142" s="28" t="n">
        <f aca="false">Z1142*$M1142</f>
        <v>0</v>
      </c>
      <c r="AB1142" s="28"/>
      <c r="AC1142" s="28" t="n">
        <v>401</v>
      </c>
      <c r="AD1142" s="28"/>
      <c r="AE1142" s="28" t="n">
        <f aca="false">AD1142*$M1142</f>
        <v>0</v>
      </c>
      <c r="AF1142" s="28"/>
      <c r="AG1142" s="28" t="n">
        <f aca="false">AF1142*$M1142</f>
        <v>0</v>
      </c>
      <c r="AH1142" s="28"/>
      <c r="AI1142" s="28" t="n">
        <f aca="false">AH1142*$M1142</f>
        <v>0</v>
      </c>
      <c r="AJ1142" s="28"/>
      <c r="AK1142" s="28" t="n">
        <v>760</v>
      </c>
      <c r="AL1142" s="28"/>
      <c r="AM1142" s="28" t="n">
        <f aca="false">AL1142*$M1142</f>
        <v>0</v>
      </c>
      <c r="AN1142" s="28"/>
      <c r="AO1142" s="28" t="n">
        <f aca="false">AN1142*$M1142</f>
        <v>0</v>
      </c>
      <c r="AP1142" s="28"/>
      <c r="AQ1142" s="28" t="n">
        <f aca="false">AP1142*$M1142</f>
        <v>0</v>
      </c>
      <c r="AR1142" s="28"/>
      <c r="AS1142" s="28" t="n">
        <f aca="false">AR1142*$M1142</f>
        <v>0</v>
      </c>
      <c r="AT1142" s="28"/>
      <c r="AU1142" s="28" t="n">
        <f aca="false">AT1142*$M1142</f>
        <v>0</v>
      </c>
      <c r="AV1142" s="28"/>
      <c r="AW1142" s="28" t="n">
        <f aca="false">AV1142*$M1142</f>
        <v>0</v>
      </c>
      <c r="AX1142" s="28"/>
      <c r="AY1142" s="28" t="n">
        <f aca="false">AX1142*$M1142</f>
        <v>0</v>
      </c>
      <c r="AZ1142" s="30"/>
      <c r="BA1142" s="11" t="n">
        <v>4929</v>
      </c>
      <c r="BB1142" s="31" t="n">
        <f aca="false">SUM(Q1142,S1142,U1142,W1142,Y1142,AA1142,AC1142,AE1142,AG1142,AI1142,AK1142,AM1142,AO1142,AQ1142,AS1142,AU1142,AW1142,AY1142)</f>
        <v>4929</v>
      </c>
      <c r="BC1142" s="28" t="n">
        <f aca="false">BA1142-BB1142</f>
        <v>0</v>
      </c>
      <c r="BD1142" s="32" t="n">
        <f aca="false">SUM(P1142,R1142,T1142,V1142,X1142,Z1142,AB1142,AD1142,AF1142,AH1142,AJ1142,AL1142,AN1142,AP1142,AR1142,AT1142,AV1142,AX1142)</f>
        <v>0</v>
      </c>
      <c r="BE1142" s="33" t="n">
        <f aca="false">AZ1142-BD1142</f>
        <v>0</v>
      </c>
      <c r="BF1142" s="34" t="n">
        <f aca="false">BD1142*M1142</f>
        <v>0</v>
      </c>
      <c r="BG1142" s="35" t="n">
        <f aca="false">BA1142-BF1142</f>
        <v>4929</v>
      </c>
      <c r="BH1142" s="19" t="str">
        <f aca="false">IF(BG1142=0,"",IF(BG1142&lt;&gt;BA1142,"erreur de calcul",IF(BD1142&lt;&gt;0,"pas de prix",IF(M1142&lt;&gt; 0,"pas de quantité","pas de prix, ni de quantité"))))</f>
        <v>pas de prix, ni de quantité</v>
      </c>
      <c r="BI1142" s="19"/>
    </row>
    <row r="1143" customFormat="false" ht="15" hidden="false" customHeight="false" outlineLevel="0" collapsed="false">
      <c r="A1143" s="0" t="n">
        <v>11</v>
      </c>
      <c r="B1143" s="8" t="s">
        <v>24</v>
      </c>
      <c r="C1143" s="9" t="s">
        <v>25</v>
      </c>
      <c r="D1143" s="9" t="s">
        <v>26</v>
      </c>
      <c r="E1143" s="10" t="n">
        <v>1789</v>
      </c>
      <c r="F1143" s="9" t="s">
        <v>27</v>
      </c>
      <c r="G1143" s="9" t="s">
        <v>27</v>
      </c>
      <c r="H1143" s="11" t="n">
        <v>21</v>
      </c>
      <c r="I1143" s="11" t="s">
        <v>164</v>
      </c>
      <c r="J1143" s="14" t="n">
        <v>580</v>
      </c>
      <c r="K1143" s="14"/>
      <c r="L1143" s="16"/>
      <c r="M1143" s="27" t="n">
        <f aca="false">J1143+(K1143/20)+(L1143/240)</f>
        <v>580</v>
      </c>
      <c r="N1143" s="17" t="s">
        <v>64</v>
      </c>
      <c r="O1143" s="11"/>
      <c r="P1143" s="28" t="n">
        <f aca="false">294/100</f>
        <v>2.94</v>
      </c>
      <c r="Q1143" s="28" t="n">
        <v>1705</v>
      </c>
      <c r="R1143" s="28"/>
      <c r="S1143" s="28" t="n">
        <f aca="false">R1143*$M1143</f>
        <v>0</v>
      </c>
      <c r="T1143" s="28"/>
      <c r="U1143" s="28" t="n">
        <f aca="false">T1143*$M1143</f>
        <v>0</v>
      </c>
      <c r="V1143" s="28"/>
      <c r="W1143" s="28" t="n">
        <f aca="false">V1143*$M1143</f>
        <v>0</v>
      </c>
      <c r="X1143" s="28"/>
      <c r="Y1143" s="28" t="n">
        <f aca="false">X1143*$M1143</f>
        <v>0</v>
      </c>
      <c r="Z1143" s="28"/>
      <c r="AA1143" s="28" t="n">
        <f aca="false">Z1143*$M1143</f>
        <v>0</v>
      </c>
      <c r="AB1143" s="28"/>
      <c r="AC1143" s="28" t="n">
        <f aca="false">AB1143*$M1143</f>
        <v>0</v>
      </c>
      <c r="AD1143" s="28"/>
      <c r="AE1143" s="28" t="n">
        <f aca="false">AD1143*$M1143</f>
        <v>0</v>
      </c>
      <c r="AF1143" s="28"/>
      <c r="AG1143" s="28" t="n">
        <f aca="false">AF1143*$M1143</f>
        <v>0</v>
      </c>
      <c r="AH1143" s="28"/>
      <c r="AI1143" s="28" t="n">
        <f aca="false">AH1143*$M1143</f>
        <v>0</v>
      </c>
      <c r="AJ1143" s="28"/>
      <c r="AK1143" s="28" t="n">
        <f aca="false">AJ1143*$M1143</f>
        <v>0</v>
      </c>
      <c r="AL1143" s="28"/>
      <c r="AM1143" s="28" t="n">
        <f aca="false">AL1143*$M1143</f>
        <v>0</v>
      </c>
      <c r="AN1143" s="28"/>
      <c r="AO1143" s="28" t="n">
        <f aca="false">AN1143*$M1143</f>
        <v>0</v>
      </c>
      <c r="AP1143" s="28"/>
      <c r="AQ1143" s="28" t="n">
        <f aca="false">AP1143*$M1143</f>
        <v>0</v>
      </c>
      <c r="AR1143" s="28"/>
      <c r="AS1143" s="28" t="n">
        <f aca="false">AR1143*$M1143</f>
        <v>0</v>
      </c>
      <c r="AT1143" s="28"/>
      <c r="AU1143" s="28" t="n">
        <f aca="false">AT1143*$M1143</f>
        <v>0</v>
      </c>
      <c r="AV1143" s="28"/>
      <c r="AW1143" s="28" t="n">
        <f aca="false">AV1143*$M1143</f>
        <v>0</v>
      </c>
      <c r="AX1143" s="28"/>
      <c r="AY1143" s="28" t="n">
        <f aca="false">AX1143*$M1143</f>
        <v>0</v>
      </c>
      <c r="AZ1143" s="30" t="n">
        <f aca="false">294/100</f>
        <v>2.94</v>
      </c>
      <c r="BA1143" s="11" t="n">
        <v>1705</v>
      </c>
      <c r="BB1143" s="31" t="n">
        <f aca="false">SUM(Q1143,S1143,U1143,W1143,Y1143,AA1143,AC1143,AE1143,AG1143,AI1143,AK1143,AM1143,AO1143,AQ1143,AS1143,AU1143,AW1143,AY1143)</f>
        <v>1705</v>
      </c>
      <c r="BC1143" s="28" t="n">
        <f aca="false">BA1143-BB1143</f>
        <v>0</v>
      </c>
      <c r="BD1143" s="32" t="n">
        <f aca="false">SUM(P1143,R1143,T1143,V1143,X1143,Z1143,AB1143,AD1143,AF1143,AH1143,AJ1143,AL1143,AN1143,AP1143,AR1143,AT1143,AV1143,AX1143)</f>
        <v>2.94</v>
      </c>
      <c r="BE1143" s="33" t="n">
        <f aca="false">AZ1143-BD1143</f>
        <v>0</v>
      </c>
      <c r="BF1143" s="34" t="n">
        <f aca="false">BD1143*M1143</f>
        <v>1705.2</v>
      </c>
      <c r="BG1143" s="35" t="n">
        <f aca="false">BA1143-BF1143</f>
        <v>-0.200000000000045</v>
      </c>
      <c r="BH1143" s="19" t="str">
        <f aca="false">IF(BG1143=0,"",IF(BG1143&lt;&gt;BA1143,"erreur de calcul",IF(BD1143&lt;&gt;0,"pas de prix",IF(M1143&lt;&gt; 0,"pas de quantité","pas de prix, ni de quantité"))))</f>
        <v>erreur de calcul</v>
      </c>
      <c r="BI1143" s="19"/>
    </row>
    <row r="1144" customFormat="false" ht="15" hidden="false" customHeight="false" outlineLevel="0" collapsed="false">
      <c r="A1144" s="0" t="n">
        <v>12</v>
      </c>
      <c r="B1144" s="8" t="s">
        <v>24</v>
      </c>
      <c r="C1144" s="9" t="s">
        <v>25</v>
      </c>
      <c r="D1144" s="9" t="s">
        <v>26</v>
      </c>
      <c r="E1144" s="10" t="n">
        <v>1789</v>
      </c>
      <c r="F1144" s="9" t="s">
        <v>27</v>
      </c>
      <c r="G1144" s="9" t="s">
        <v>27</v>
      </c>
      <c r="H1144" s="11" t="n">
        <v>21</v>
      </c>
      <c r="I1144" s="11" t="s">
        <v>165</v>
      </c>
      <c r="J1144" s="14" t="n">
        <v>180</v>
      </c>
      <c r="K1144" s="14"/>
      <c r="L1144" s="16"/>
      <c r="M1144" s="27" t="n">
        <f aca="false">J1144+(K1144/20)+(L1144/240)</f>
        <v>180</v>
      </c>
      <c r="N1144" s="17" t="s">
        <v>64</v>
      </c>
      <c r="O1144" s="11"/>
      <c r="P1144" s="28"/>
      <c r="Q1144" s="28" t="n">
        <f aca="false">P1144*$M1144</f>
        <v>0</v>
      </c>
      <c r="R1144" s="28"/>
      <c r="S1144" s="28" t="n">
        <f aca="false">R1144*$M1144</f>
        <v>0</v>
      </c>
      <c r="T1144" s="28"/>
      <c r="U1144" s="28" t="n">
        <f aca="false">T1144*$M1144</f>
        <v>0</v>
      </c>
      <c r="V1144" s="28"/>
      <c r="W1144" s="28" t="n">
        <f aca="false">V1144*$M1144</f>
        <v>0</v>
      </c>
      <c r="X1144" s="28"/>
      <c r="Y1144" s="28" t="n">
        <f aca="false">X1144*$M1144</f>
        <v>0</v>
      </c>
      <c r="Z1144" s="28"/>
      <c r="AA1144" s="28" t="n">
        <f aca="false">Z1144*$M1144</f>
        <v>0</v>
      </c>
      <c r="AB1144" s="28"/>
      <c r="AC1144" s="28" t="n">
        <f aca="false">AB1144*$M1144</f>
        <v>0</v>
      </c>
      <c r="AD1144" s="28"/>
      <c r="AE1144" s="28" t="n">
        <f aca="false">AD1144*$M1144</f>
        <v>0</v>
      </c>
      <c r="AF1144" s="28"/>
      <c r="AG1144" s="28" t="n">
        <f aca="false">AF1144*$M1144</f>
        <v>0</v>
      </c>
      <c r="AH1144" s="28"/>
      <c r="AI1144" s="28" t="n">
        <f aca="false">AH1144*$M1144</f>
        <v>0</v>
      </c>
      <c r="AJ1144" s="28"/>
      <c r="AK1144" s="28" t="n">
        <f aca="false">AJ1144*$M1144</f>
        <v>0</v>
      </c>
      <c r="AL1144" s="28"/>
      <c r="AM1144" s="28" t="n">
        <f aca="false">AL1144*$M1144</f>
        <v>0</v>
      </c>
      <c r="AN1144" s="28" t="n">
        <f aca="false">13754/100</f>
        <v>137.54</v>
      </c>
      <c r="AO1144" s="28" t="n">
        <v>24757</v>
      </c>
      <c r="AP1144" s="28"/>
      <c r="AQ1144" s="28" t="n">
        <f aca="false">AP1144*$M1144</f>
        <v>0</v>
      </c>
      <c r="AR1144" s="28"/>
      <c r="AS1144" s="28" t="n">
        <f aca="false">AR1144*$M1144</f>
        <v>0</v>
      </c>
      <c r="AT1144" s="28"/>
      <c r="AU1144" s="28" t="n">
        <f aca="false">AT1144*$M1144</f>
        <v>0</v>
      </c>
      <c r="AV1144" s="28"/>
      <c r="AW1144" s="28" t="n">
        <f aca="false">AV1144*$M1144</f>
        <v>0</v>
      </c>
      <c r="AX1144" s="28"/>
      <c r="AY1144" s="28" t="n">
        <f aca="false">AX1144*$M1144</f>
        <v>0</v>
      </c>
      <c r="AZ1144" s="30" t="n">
        <f aca="false">17360/100</f>
        <v>173.6</v>
      </c>
      <c r="BA1144" s="11" t="n">
        <v>24757</v>
      </c>
      <c r="BB1144" s="31" t="n">
        <f aca="false">SUM(Q1144,S1144,U1144,W1144,Y1144,AA1144,AC1144,AE1144,AG1144,AI1144,AK1144,AM1144,AO1144,AQ1144,AS1144,AU1144,AW1144,AY1144)</f>
        <v>24757</v>
      </c>
      <c r="BC1144" s="28" t="n">
        <f aca="false">BA1144-BB1144</f>
        <v>0</v>
      </c>
      <c r="BD1144" s="32" t="n">
        <f aca="false">SUM(P1144,R1144,T1144,V1144,X1144,Z1144,AB1144,AD1144,AF1144,AH1144,AJ1144,AL1144,AN1144,AP1144,AR1144,AT1144,AV1144,AX1144)</f>
        <v>137.54</v>
      </c>
      <c r="BE1144" s="33" t="n">
        <f aca="false">AZ1144-BD1144</f>
        <v>36.06</v>
      </c>
      <c r="BF1144" s="34" t="n">
        <f aca="false">BD1144*M1144</f>
        <v>24757.2</v>
      </c>
      <c r="BG1144" s="35" t="n">
        <f aca="false">BA1144-BF1144</f>
        <v>-0.19999999999709</v>
      </c>
      <c r="BH1144" s="19" t="str">
        <f aca="false">IF(BG1144=0,"",IF(BG1144&lt;&gt;BA1144,"erreur de calcul",IF(BD1144&lt;&gt;0,"pas de prix",IF(M1144&lt;&gt; 0,"pas de quantité","pas de prix, ni de quantité"))))</f>
        <v>erreur de calcul</v>
      </c>
      <c r="BI1144" s="19"/>
    </row>
    <row r="1145" customFormat="false" ht="15" hidden="false" customHeight="false" outlineLevel="0" collapsed="false">
      <c r="A1145" s="0" t="n">
        <v>13</v>
      </c>
      <c r="B1145" s="8" t="s">
        <v>24</v>
      </c>
      <c r="C1145" s="9" t="s">
        <v>25</v>
      </c>
      <c r="D1145" s="9" t="s">
        <v>26</v>
      </c>
      <c r="E1145" s="10" t="n">
        <v>1789</v>
      </c>
      <c r="F1145" s="9" t="s">
        <v>27</v>
      </c>
      <c r="G1145" s="9" t="s">
        <v>27</v>
      </c>
      <c r="H1145" s="11" t="n">
        <v>21</v>
      </c>
      <c r="I1145" s="11" t="s">
        <v>166</v>
      </c>
      <c r="J1145" s="14" t="n">
        <v>90</v>
      </c>
      <c r="K1145" s="14"/>
      <c r="L1145" s="16"/>
      <c r="M1145" s="27" t="n">
        <f aca="false">J1145+(K1145/20)+(L1145/240)</f>
        <v>90</v>
      </c>
      <c r="N1145" s="17" t="s">
        <v>64</v>
      </c>
      <c r="O1145" s="11"/>
      <c r="P1145" s="28" t="n">
        <f aca="false">3606/100</f>
        <v>36.06</v>
      </c>
      <c r="Q1145" s="28" t="n">
        <v>3245</v>
      </c>
      <c r="R1145" s="28"/>
      <c r="S1145" s="28" t="n">
        <f aca="false">R1145*$M1145</f>
        <v>0</v>
      </c>
      <c r="T1145" s="28"/>
      <c r="U1145" s="28" t="n">
        <f aca="false">T1145*$M1145</f>
        <v>0</v>
      </c>
      <c r="V1145" s="28"/>
      <c r="W1145" s="28" t="n">
        <f aca="false">V1145*$M1145</f>
        <v>0</v>
      </c>
      <c r="X1145" s="28"/>
      <c r="Y1145" s="28" t="n">
        <f aca="false">X1145*$M1145</f>
        <v>0</v>
      </c>
      <c r="Z1145" s="28"/>
      <c r="AA1145" s="28" t="n">
        <f aca="false">Z1145*$M1145</f>
        <v>0</v>
      </c>
      <c r="AB1145" s="28"/>
      <c r="AC1145" s="28" t="n">
        <f aca="false">AB1145*$M1145</f>
        <v>0</v>
      </c>
      <c r="AD1145" s="28"/>
      <c r="AE1145" s="28" t="n">
        <f aca="false">AD1145*$M1145</f>
        <v>0</v>
      </c>
      <c r="AF1145" s="28"/>
      <c r="AG1145" s="28" t="n">
        <f aca="false">AF1145*$M1145</f>
        <v>0</v>
      </c>
      <c r="AH1145" s="28"/>
      <c r="AI1145" s="28" t="n">
        <f aca="false">AH1145*$M1145</f>
        <v>0</v>
      </c>
      <c r="AJ1145" s="28"/>
      <c r="AK1145" s="28" t="n">
        <f aca="false">AJ1145*$M1145</f>
        <v>0</v>
      </c>
      <c r="AL1145" s="28"/>
      <c r="AM1145" s="28" t="n">
        <f aca="false">AL1145*$M1145</f>
        <v>0</v>
      </c>
      <c r="AN1145" s="28"/>
      <c r="AO1145" s="28" t="n">
        <f aca="false">AN1145*$M1145</f>
        <v>0</v>
      </c>
      <c r="AP1145" s="28"/>
      <c r="AQ1145" s="28" t="n">
        <f aca="false">AP1145*$M1145</f>
        <v>0</v>
      </c>
      <c r="AR1145" s="28"/>
      <c r="AS1145" s="28" t="n">
        <f aca="false">AR1145*$M1145</f>
        <v>0</v>
      </c>
      <c r="AT1145" s="28"/>
      <c r="AU1145" s="28" t="n">
        <f aca="false">AT1145*$M1145</f>
        <v>0</v>
      </c>
      <c r="AV1145" s="28"/>
      <c r="AW1145" s="28" t="n">
        <f aca="false">AV1145*$M1145</f>
        <v>0</v>
      </c>
      <c r="AX1145" s="28"/>
      <c r="AY1145" s="28" t="n">
        <f aca="false">AX1145*$M1145</f>
        <v>0</v>
      </c>
      <c r="AZ1145" s="30" t="n">
        <f aca="false">3606/100</f>
        <v>36.06</v>
      </c>
      <c r="BA1145" s="11" t="n">
        <v>3245</v>
      </c>
      <c r="BB1145" s="31" t="n">
        <f aca="false">SUM(Q1145,S1145,U1145,W1145,Y1145,AA1145,AC1145,AE1145,AG1145,AI1145,AK1145,AM1145,AO1145,AQ1145,AS1145,AU1145,AW1145,AY1145)</f>
        <v>3245</v>
      </c>
      <c r="BC1145" s="28" t="n">
        <f aca="false">BA1145-BB1145</f>
        <v>0</v>
      </c>
      <c r="BD1145" s="32" t="n">
        <f aca="false">SUM(P1145,R1145,T1145,V1145,X1145,Z1145,AB1145,AD1145,AF1145,AH1145,AJ1145,AL1145,AN1145,AP1145,AR1145,AT1145,AV1145,AX1145)</f>
        <v>36.06</v>
      </c>
      <c r="BE1145" s="33" t="n">
        <f aca="false">AZ1145-BD1145</f>
        <v>0</v>
      </c>
      <c r="BF1145" s="34" t="n">
        <f aca="false">BD1145*M1145</f>
        <v>3245.4</v>
      </c>
      <c r="BG1145" s="35" t="n">
        <f aca="false">BA1145-BF1145</f>
        <v>-0.400000000000091</v>
      </c>
      <c r="BH1145" s="19" t="str">
        <f aca="false">IF(BG1145=0,"",IF(BG1145&lt;&gt;BA1145,"erreur de calcul",IF(BD1145&lt;&gt;0,"pas de prix",IF(M1145&lt;&gt; 0,"pas de quantité","pas de prix, ni de quantité"))))</f>
        <v>erreur de calcul</v>
      </c>
      <c r="BI1145" s="19"/>
    </row>
    <row r="1146" customFormat="false" ht="15" hidden="false" customHeight="false" outlineLevel="0" collapsed="false">
      <c r="A1146" s="0" t="n">
        <v>14</v>
      </c>
      <c r="B1146" s="8" t="s">
        <v>24</v>
      </c>
      <c r="C1146" s="9" t="s">
        <v>25</v>
      </c>
      <c r="D1146" s="9" t="s">
        <v>26</v>
      </c>
      <c r="E1146" s="10" t="n">
        <v>1789</v>
      </c>
      <c r="F1146" s="9" t="s">
        <v>27</v>
      </c>
      <c r="G1146" s="9" t="s">
        <v>27</v>
      </c>
      <c r="H1146" s="11" t="n">
        <v>21</v>
      </c>
      <c r="I1146" s="11" t="s">
        <v>167</v>
      </c>
      <c r="J1146" s="14" t="n">
        <v>60</v>
      </c>
      <c r="K1146" s="14"/>
      <c r="L1146" s="16"/>
      <c r="M1146" s="27" t="n">
        <f aca="false">J1146+(K1146/20)+(L1146/240)</f>
        <v>60</v>
      </c>
      <c r="N1146" s="17" t="s">
        <v>64</v>
      </c>
      <c r="O1146" s="11"/>
      <c r="P1146" s="28" t="n">
        <f aca="false">19377/100</f>
        <v>193.77</v>
      </c>
      <c r="Q1146" s="28" t="n">
        <v>11626</v>
      </c>
      <c r="R1146" s="28"/>
      <c r="S1146" s="28" t="n">
        <f aca="false">R1146*$M1146</f>
        <v>0</v>
      </c>
      <c r="T1146" s="28"/>
      <c r="U1146" s="28" t="n">
        <f aca="false">T1146*$M1146</f>
        <v>0</v>
      </c>
      <c r="V1146" s="28"/>
      <c r="W1146" s="28" t="n">
        <f aca="false">V1146*$M1146</f>
        <v>0</v>
      </c>
      <c r="X1146" s="28"/>
      <c r="Y1146" s="28" t="n">
        <f aca="false">X1146*$M1146</f>
        <v>0</v>
      </c>
      <c r="Z1146" s="28"/>
      <c r="AA1146" s="28" t="n">
        <f aca="false">Z1146*$M1146</f>
        <v>0</v>
      </c>
      <c r="AB1146" s="28"/>
      <c r="AC1146" s="28" t="n">
        <f aca="false">AB1146*$M1146</f>
        <v>0</v>
      </c>
      <c r="AD1146" s="28"/>
      <c r="AE1146" s="28" t="n">
        <f aca="false">AD1146*$M1146</f>
        <v>0</v>
      </c>
      <c r="AF1146" s="28"/>
      <c r="AG1146" s="28" t="n">
        <f aca="false">AF1146*$M1146</f>
        <v>0</v>
      </c>
      <c r="AH1146" s="28"/>
      <c r="AI1146" s="28" t="n">
        <f aca="false">AH1146*$M1146</f>
        <v>0</v>
      </c>
      <c r="AJ1146" s="28"/>
      <c r="AK1146" s="28" t="n">
        <f aca="false">AJ1146*$M1146</f>
        <v>0</v>
      </c>
      <c r="AL1146" s="28"/>
      <c r="AM1146" s="28" t="n">
        <f aca="false">AL1146*$M1146</f>
        <v>0</v>
      </c>
      <c r="AN1146" s="28"/>
      <c r="AO1146" s="28" t="n">
        <f aca="false">AN1146*$M1146</f>
        <v>0</v>
      </c>
      <c r="AP1146" s="28"/>
      <c r="AQ1146" s="28" t="n">
        <f aca="false">AP1146*$M1146</f>
        <v>0</v>
      </c>
      <c r="AR1146" s="28"/>
      <c r="AS1146" s="28" t="n">
        <f aca="false">AR1146*$M1146</f>
        <v>0</v>
      </c>
      <c r="AT1146" s="28"/>
      <c r="AU1146" s="28" t="n">
        <f aca="false">AT1146*$M1146</f>
        <v>0</v>
      </c>
      <c r="AV1146" s="28"/>
      <c r="AW1146" s="28" t="n">
        <f aca="false">AV1146*$M1146</f>
        <v>0</v>
      </c>
      <c r="AX1146" s="28"/>
      <c r="AY1146" s="28" t="n">
        <f aca="false">AX1146*$M1146</f>
        <v>0</v>
      </c>
      <c r="AZ1146" s="30" t="n">
        <f aca="false">19377/100</f>
        <v>193.77</v>
      </c>
      <c r="BA1146" s="11" t="n">
        <v>11626</v>
      </c>
      <c r="BB1146" s="31" t="n">
        <f aca="false">SUM(Q1146,S1146,U1146,W1146,Y1146,AA1146,AC1146,AE1146,AG1146,AI1146,AK1146,AM1146,AO1146,AQ1146,AS1146,AU1146,AW1146,AY1146)</f>
        <v>11626</v>
      </c>
      <c r="BC1146" s="28" t="n">
        <f aca="false">BA1146-BB1146</f>
        <v>0</v>
      </c>
      <c r="BD1146" s="32" t="n">
        <f aca="false">SUM(P1146,R1146,T1146,V1146,X1146,Z1146,AB1146,AD1146,AF1146,AH1146,AJ1146,AL1146,AN1146,AP1146,AR1146,AT1146,AV1146,AX1146)</f>
        <v>193.77</v>
      </c>
      <c r="BE1146" s="33" t="n">
        <f aca="false">AZ1146-BD1146</f>
        <v>0</v>
      </c>
      <c r="BF1146" s="34" t="n">
        <f aca="false">BD1146*M1146</f>
        <v>11626.2</v>
      </c>
      <c r="BG1146" s="35" t="n">
        <f aca="false">BA1146-BF1146</f>
        <v>-0.200000000000728</v>
      </c>
      <c r="BH1146" s="19" t="str">
        <f aca="false">IF(BG1146=0,"",IF(BG1146&lt;&gt;BA1146,"erreur de calcul",IF(BD1146&lt;&gt;0,"pas de prix",IF(M1146&lt;&gt; 0,"pas de quantité","pas de prix, ni de quantité"))))</f>
        <v>erreur de calcul</v>
      </c>
      <c r="BI1146" s="19"/>
    </row>
    <row r="1147" customFormat="false" ht="15" hidden="false" customHeight="false" outlineLevel="0" collapsed="false">
      <c r="A1147" s="0" t="n">
        <v>15</v>
      </c>
      <c r="B1147" s="8" t="s">
        <v>24</v>
      </c>
      <c r="C1147" s="9" t="s">
        <v>25</v>
      </c>
      <c r="D1147" s="9" t="s">
        <v>26</v>
      </c>
      <c r="E1147" s="10" t="n">
        <v>1789</v>
      </c>
      <c r="F1147" s="9" t="s">
        <v>27</v>
      </c>
      <c r="G1147" s="9" t="s">
        <v>27</v>
      </c>
      <c r="H1147" s="11" t="n">
        <v>21</v>
      </c>
      <c r="I1147" s="11" t="s">
        <v>168</v>
      </c>
      <c r="J1147" s="14" t="n">
        <v>345</v>
      </c>
      <c r="K1147" s="14"/>
      <c r="L1147" s="16"/>
      <c r="M1147" s="27" t="n">
        <f aca="false">J1147+(K1147/20)+(L1147/240)</f>
        <v>345</v>
      </c>
      <c r="N1147" s="17" t="s">
        <v>64</v>
      </c>
      <c r="O1147" s="11"/>
      <c r="P1147" s="28" t="n">
        <f aca="false">617/100</f>
        <v>6.17</v>
      </c>
      <c r="Q1147" s="28" t="n">
        <v>2129</v>
      </c>
      <c r="R1147" s="28"/>
      <c r="S1147" s="28" t="n">
        <f aca="false">R1147*$M1147</f>
        <v>0</v>
      </c>
      <c r="T1147" s="28"/>
      <c r="U1147" s="28" t="n">
        <f aca="false">T1147*$M1147</f>
        <v>0</v>
      </c>
      <c r="V1147" s="28"/>
      <c r="W1147" s="28" t="n">
        <f aca="false">V1147*$M1147</f>
        <v>0</v>
      </c>
      <c r="X1147" s="28"/>
      <c r="Y1147" s="28" t="n">
        <f aca="false">X1147*$M1147</f>
        <v>0</v>
      </c>
      <c r="Z1147" s="28"/>
      <c r="AA1147" s="28" t="n">
        <f aca="false">Z1147*$M1147</f>
        <v>0</v>
      </c>
      <c r="AB1147" s="28" t="n">
        <f aca="false">1270/100</f>
        <v>12.7</v>
      </c>
      <c r="AC1147" s="28" t="n">
        <v>4381</v>
      </c>
      <c r="AD1147" s="28"/>
      <c r="AE1147" s="28" t="n">
        <f aca="false">AD1147*$M1147</f>
        <v>0</v>
      </c>
      <c r="AF1147" s="28"/>
      <c r="AG1147" s="28" t="n">
        <f aca="false">AF1147*$M1147</f>
        <v>0</v>
      </c>
      <c r="AH1147" s="28"/>
      <c r="AI1147" s="28" t="n">
        <f aca="false">AH1147*$M1147</f>
        <v>0</v>
      </c>
      <c r="AJ1147" s="28"/>
      <c r="AK1147" s="28" t="n">
        <f aca="false">AJ1147*$M1147</f>
        <v>0</v>
      </c>
      <c r="AL1147" s="28"/>
      <c r="AM1147" s="28" t="n">
        <f aca="false">AL1147*$M1147</f>
        <v>0</v>
      </c>
      <c r="AN1147" s="28"/>
      <c r="AO1147" s="28" t="n">
        <f aca="false">AN1147*$M1147</f>
        <v>0</v>
      </c>
      <c r="AP1147" s="28"/>
      <c r="AQ1147" s="28" t="n">
        <f aca="false">AP1147*$M1147</f>
        <v>0</v>
      </c>
      <c r="AR1147" s="28"/>
      <c r="AS1147" s="28" t="n">
        <f aca="false">AR1147*$M1147</f>
        <v>0</v>
      </c>
      <c r="AT1147" s="28"/>
      <c r="AU1147" s="28" t="n">
        <f aca="false">AT1147*$M1147</f>
        <v>0</v>
      </c>
      <c r="AV1147" s="28"/>
      <c r="AW1147" s="28" t="n">
        <f aca="false">AV1147*$M1147</f>
        <v>0</v>
      </c>
      <c r="AX1147" s="28"/>
      <c r="AY1147" s="28" t="n">
        <f aca="false">AX1147*$M1147</f>
        <v>0</v>
      </c>
      <c r="AZ1147" s="30" t="n">
        <f aca="false">1887/100</f>
        <v>18.87</v>
      </c>
      <c r="BA1147" s="11" t="n">
        <v>6510</v>
      </c>
      <c r="BB1147" s="31" t="n">
        <f aca="false">SUM(Q1147,S1147,U1147,W1147,Y1147,AA1147,AC1147,AE1147,AG1147,AI1147,AK1147,AM1147,AO1147,AQ1147,AS1147,AU1147,AW1147,AY1147)</f>
        <v>6510</v>
      </c>
      <c r="BC1147" s="28" t="n">
        <f aca="false">BA1147-BB1147</f>
        <v>0</v>
      </c>
      <c r="BD1147" s="32" t="n">
        <f aca="false">SUM(P1147,R1147,T1147,V1147,X1147,Z1147,AB1147,AD1147,AF1147,AH1147,AJ1147,AL1147,AN1147,AP1147,AR1147,AT1147,AV1147,AX1147)</f>
        <v>18.87</v>
      </c>
      <c r="BE1147" s="33" t="n">
        <f aca="false">AZ1147-BD1147</f>
        <v>0</v>
      </c>
      <c r="BF1147" s="34" t="n">
        <f aca="false">BD1147*M1147</f>
        <v>6510.15</v>
      </c>
      <c r="BG1147" s="35" t="n">
        <f aca="false">BA1147-BF1147</f>
        <v>-0.149999999998727</v>
      </c>
      <c r="BH1147" s="19" t="str">
        <f aca="false">IF(BG1147=0,"",IF(BG1147&lt;&gt;BA1147,"erreur de calcul",IF(BD1147&lt;&gt;0,"pas de prix",IF(M1147&lt;&gt; 0,"pas de quantité","pas de prix, ni de quantité"))))</f>
        <v>erreur de calcul</v>
      </c>
      <c r="BI1147" s="19"/>
    </row>
    <row r="1148" customFormat="false" ht="15" hidden="false" customHeight="false" outlineLevel="0" collapsed="false">
      <c r="A1148" s="0" t="n">
        <v>16</v>
      </c>
      <c r="B1148" s="8" t="s">
        <v>24</v>
      </c>
      <c r="C1148" s="9" t="s">
        <v>25</v>
      </c>
      <c r="D1148" s="9" t="s">
        <v>26</v>
      </c>
      <c r="E1148" s="10" t="n">
        <v>1789</v>
      </c>
      <c r="F1148" s="9" t="s">
        <v>27</v>
      </c>
      <c r="G1148" s="9" t="s">
        <v>27</v>
      </c>
      <c r="H1148" s="11" t="n">
        <v>21</v>
      </c>
      <c r="I1148" s="11" t="s">
        <v>169</v>
      </c>
      <c r="J1148" s="14" t="n">
        <v>6</v>
      </c>
      <c r="K1148" s="14"/>
      <c r="L1148" s="16"/>
      <c r="M1148" s="27" t="n">
        <f aca="false">J1148+(K1148/20)+(L1148/240)</f>
        <v>6</v>
      </c>
      <c r="N1148" s="17" t="s">
        <v>64</v>
      </c>
      <c r="O1148" s="11"/>
      <c r="P1148" s="28"/>
      <c r="Q1148" s="28" t="n">
        <f aca="false">P1148*$M1148</f>
        <v>0</v>
      </c>
      <c r="R1148" s="28"/>
      <c r="S1148" s="28" t="n">
        <f aca="false">R1148*$M1148</f>
        <v>0</v>
      </c>
      <c r="T1148" s="28"/>
      <c r="U1148" s="28" t="n">
        <f aca="false">T1148*$M1148</f>
        <v>0</v>
      </c>
      <c r="V1148" s="28" t="n">
        <f aca="false">39752/100</f>
        <v>397.52</v>
      </c>
      <c r="W1148" s="28" t="n">
        <v>2385</v>
      </c>
      <c r="X1148" s="28"/>
      <c r="Y1148" s="28" t="n">
        <f aca="false">X1148*$M1148</f>
        <v>0</v>
      </c>
      <c r="Z1148" s="28"/>
      <c r="AA1148" s="28" t="n">
        <f aca="false">Z1148*$M1148</f>
        <v>0</v>
      </c>
      <c r="AB1148" s="28"/>
      <c r="AC1148" s="28" t="n">
        <f aca="false">AB1148*$M1148</f>
        <v>0</v>
      </c>
      <c r="AD1148" s="28"/>
      <c r="AE1148" s="28" t="n">
        <f aca="false">AD1148*$M1148</f>
        <v>0</v>
      </c>
      <c r="AF1148" s="28"/>
      <c r="AG1148" s="28" t="n">
        <f aca="false">AF1148*$M1148</f>
        <v>0</v>
      </c>
      <c r="AH1148" s="28"/>
      <c r="AI1148" s="28" t="n">
        <f aca="false">AH1148*$M1148</f>
        <v>0</v>
      </c>
      <c r="AJ1148" s="28"/>
      <c r="AK1148" s="28" t="n">
        <f aca="false">AJ1148*$M1148</f>
        <v>0</v>
      </c>
      <c r="AL1148" s="28"/>
      <c r="AM1148" s="28" t="n">
        <f aca="false">AL1148*$M1148</f>
        <v>0</v>
      </c>
      <c r="AN1148" s="28"/>
      <c r="AO1148" s="28" t="n">
        <f aca="false">AN1148*$M1148</f>
        <v>0</v>
      </c>
      <c r="AP1148" s="28"/>
      <c r="AQ1148" s="28" t="n">
        <f aca="false">AP1148*$M1148</f>
        <v>0</v>
      </c>
      <c r="AR1148" s="28"/>
      <c r="AS1148" s="28" t="n">
        <f aca="false">AR1148*$M1148</f>
        <v>0</v>
      </c>
      <c r="AT1148" s="28"/>
      <c r="AU1148" s="28" t="n">
        <f aca="false">AT1148*$M1148</f>
        <v>0</v>
      </c>
      <c r="AV1148" s="28"/>
      <c r="AW1148" s="28" t="n">
        <f aca="false">AV1148*$M1148</f>
        <v>0</v>
      </c>
      <c r="AX1148" s="28"/>
      <c r="AY1148" s="28" t="n">
        <f aca="false">AX1148*$M1148</f>
        <v>0</v>
      </c>
      <c r="AZ1148" s="30" t="n">
        <f aca="false">39752/100</f>
        <v>397.52</v>
      </c>
      <c r="BA1148" s="11" t="n">
        <v>2385</v>
      </c>
      <c r="BB1148" s="31" t="n">
        <f aca="false">SUM(Q1148,S1148,U1148,W1148,Y1148,AA1148,AC1148,AE1148,AG1148,AI1148,AK1148,AM1148,AO1148,AQ1148,AS1148,AU1148,AW1148,AY1148)</f>
        <v>2385</v>
      </c>
      <c r="BC1148" s="28" t="n">
        <f aca="false">BA1148-BB1148</f>
        <v>0</v>
      </c>
      <c r="BD1148" s="32" t="n">
        <f aca="false">SUM(P1148,R1148,T1148,V1148,X1148,Z1148,AB1148,AD1148,AF1148,AH1148,AJ1148,AL1148,AN1148,AP1148,AR1148,AT1148,AV1148,AX1148)</f>
        <v>397.52</v>
      </c>
      <c r="BE1148" s="33" t="n">
        <f aca="false">AZ1148-BD1148</f>
        <v>0</v>
      </c>
      <c r="BF1148" s="34" t="n">
        <f aca="false">BD1148*M1148</f>
        <v>2385.12</v>
      </c>
      <c r="BG1148" s="35" t="n">
        <f aca="false">BA1148-BF1148</f>
        <v>-0.119999999999891</v>
      </c>
      <c r="BH1148" s="19" t="str">
        <f aca="false">IF(BG1148=0,"",IF(BG1148&lt;&gt;BA1148,"erreur de calcul",IF(BD1148&lt;&gt;0,"pas de prix",IF(M1148&lt;&gt; 0,"pas de quantité","pas de prix, ni de quantité"))))</f>
        <v>erreur de calcul</v>
      </c>
      <c r="BI1148" s="19"/>
    </row>
    <row r="1149" customFormat="false" ht="15" hidden="false" customHeight="false" outlineLevel="0" collapsed="false">
      <c r="A1149" s="0" t="n">
        <v>17</v>
      </c>
      <c r="B1149" s="8" t="s">
        <v>24</v>
      </c>
      <c r="C1149" s="9" t="s">
        <v>25</v>
      </c>
      <c r="D1149" s="9" t="s">
        <v>26</v>
      </c>
      <c r="E1149" s="10" t="n">
        <v>1789</v>
      </c>
      <c r="F1149" s="9" t="s">
        <v>27</v>
      </c>
      <c r="G1149" s="9" t="s">
        <v>27</v>
      </c>
      <c r="H1149" s="11" t="n">
        <v>21</v>
      </c>
      <c r="I1149" s="11" t="s">
        <v>170</v>
      </c>
      <c r="J1149" s="14" t="n">
        <v>90</v>
      </c>
      <c r="K1149" s="14"/>
      <c r="L1149" s="16"/>
      <c r="M1149" s="27" t="n">
        <f aca="false">J1149+(K1149/20)+(L1149/240)</f>
        <v>90</v>
      </c>
      <c r="N1149" s="17" t="s">
        <v>64</v>
      </c>
      <c r="O1149" s="11"/>
      <c r="P1149" s="28"/>
      <c r="Q1149" s="28" t="n">
        <f aca="false">P1149*$M1149</f>
        <v>0</v>
      </c>
      <c r="R1149" s="28"/>
      <c r="S1149" s="28" t="n">
        <f aca="false">R1149*$M1149</f>
        <v>0</v>
      </c>
      <c r="T1149" s="28"/>
      <c r="U1149" s="28" t="n">
        <f aca="false">T1149*$M1149</f>
        <v>0</v>
      </c>
      <c r="V1149" s="28"/>
      <c r="W1149" s="28" t="n">
        <f aca="false">V1149*$M1149</f>
        <v>0</v>
      </c>
      <c r="X1149" s="28" t="n">
        <f aca="false">3136/100</f>
        <v>31.36</v>
      </c>
      <c r="Y1149" s="28" t="n">
        <v>2822</v>
      </c>
      <c r="Z1149" s="28"/>
      <c r="AA1149" s="28" t="n">
        <f aca="false">Z1149*$M1149</f>
        <v>0</v>
      </c>
      <c r="AB1149" s="28"/>
      <c r="AC1149" s="28" t="n">
        <f aca="false">AB1149*$M1149</f>
        <v>0</v>
      </c>
      <c r="AD1149" s="28"/>
      <c r="AE1149" s="28" t="n">
        <f aca="false">AD1149*$M1149</f>
        <v>0</v>
      </c>
      <c r="AF1149" s="28"/>
      <c r="AG1149" s="28" t="n">
        <f aca="false">AF1149*$M1149</f>
        <v>0</v>
      </c>
      <c r="AH1149" s="28"/>
      <c r="AI1149" s="28" t="n">
        <f aca="false">AH1149*$M1149</f>
        <v>0</v>
      </c>
      <c r="AJ1149" s="28"/>
      <c r="AK1149" s="28" t="n">
        <f aca="false">AJ1149*$M1149</f>
        <v>0</v>
      </c>
      <c r="AL1149" s="28"/>
      <c r="AM1149" s="28" t="n">
        <f aca="false">AL1149*$M1149</f>
        <v>0</v>
      </c>
      <c r="AN1149" s="28"/>
      <c r="AO1149" s="28" t="n">
        <f aca="false">AN1149*$M1149</f>
        <v>0</v>
      </c>
      <c r="AP1149" s="28"/>
      <c r="AQ1149" s="28" t="n">
        <f aca="false">AP1149*$M1149</f>
        <v>0</v>
      </c>
      <c r="AR1149" s="28"/>
      <c r="AS1149" s="28" t="n">
        <f aca="false">AR1149*$M1149</f>
        <v>0</v>
      </c>
      <c r="AT1149" s="28"/>
      <c r="AU1149" s="28" t="n">
        <f aca="false">AT1149*$M1149</f>
        <v>0</v>
      </c>
      <c r="AV1149" s="28"/>
      <c r="AW1149" s="28" t="n">
        <f aca="false">AV1149*$M1149</f>
        <v>0</v>
      </c>
      <c r="AX1149" s="28"/>
      <c r="AY1149" s="28" t="n">
        <f aca="false">AX1149*$M1149</f>
        <v>0</v>
      </c>
      <c r="AZ1149" s="30" t="n">
        <f aca="false">3136/100</f>
        <v>31.36</v>
      </c>
      <c r="BA1149" s="11" t="n">
        <v>2822</v>
      </c>
      <c r="BB1149" s="31" t="n">
        <f aca="false">SUM(Q1149,S1149,U1149,W1149,Y1149,AA1149,AC1149,AE1149,AG1149,AI1149,AK1149,AM1149,AO1149,AQ1149,AS1149,AU1149,AW1149,AY1149)</f>
        <v>2822</v>
      </c>
      <c r="BC1149" s="28" t="n">
        <f aca="false">BA1149-BB1149</f>
        <v>0</v>
      </c>
      <c r="BD1149" s="32" t="n">
        <f aca="false">SUM(P1149,R1149,T1149,V1149,X1149,Z1149,AB1149,AD1149,AF1149,AH1149,AJ1149,AL1149,AN1149,AP1149,AR1149,AT1149,AV1149,AX1149)</f>
        <v>31.36</v>
      </c>
      <c r="BE1149" s="33" t="n">
        <f aca="false">AZ1149-BD1149</f>
        <v>0</v>
      </c>
      <c r="BF1149" s="34" t="n">
        <f aca="false">BD1149*M1149</f>
        <v>2822.4</v>
      </c>
      <c r="BG1149" s="35" t="n">
        <f aca="false">BA1149-BF1149</f>
        <v>-0.400000000000091</v>
      </c>
      <c r="BH1149" s="19" t="str">
        <f aca="false">IF(BG1149=0,"",IF(BG1149&lt;&gt;BA1149,"erreur de calcul",IF(BD1149&lt;&gt;0,"pas de prix",IF(M1149&lt;&gt; 0,"pas de quantité","pas de prix, ni de quantité"))))</f>
        <v>erreur de calcul</v>
      </c>
      <c r="BI1149" s="19"/>
    </row>
    <row r="1150" customFormat="false" ht="15" hidden="false" customHeight="false" outlineLevel="0" collapsed="false">
      <c r="A1150" s="0" t="n">
        <v>18</v>
      </c>
      <c r="B1150" s="8" t="s">
        <v>24</v>
      </c>
      <c r="C1150" s="9" t="s">
        <v>25</v>
      </c>
      <c r="D1150" s="9" t="s">
        <v>26</v>
      </c>
      <c r="E1150" s="10" t="n">
        <v>1789</v>
      </c>
      <c r="F1150" s="9" t="s">
        <v>27</v>
      </c>
      <c r="G1150" s="9" t="s">
        <v>27</v>
      </c>
      <c r="H1150" s="11" t="n">
        <v>21</v>
      </c>
      <c r="I1150" s="11" t="s">
        <v>171</v>
      </c>
      <c r="J1150" s="14" t="n">
        <v>90</v>
      </c>
      <c r="K1150" s="14"/>
      <c r="L1150" s="16"/>
      <c r="M1150" s="27" t="n">
        <f aca="false">J1150+(K1150/20)+(L1150/240)</f>
        <v>90</v>
      </c>
      <c r="N1150" s="17" t="s">
        <v>64</v>
      </c>
      <c r="O1150" s="11"/>
      <c r="P1150" s="28"/>
      <c r="Q1150" s="28" t="n">
        <f aca="false">P1150*$M1150</f>
        <v>0</v>
      </c>
      <c r="R1150" s="28"/>
      <c r="S1150" s="28" t="n">
        <f aca="false">R1150*$M1150</f>
        <v>0</v>
      </c>
      <c r="T1150" s="28"/>
      <c r="U1150" s="28" t="n">
        <f aca="false">T1150*$M1150</f>
        <v>0</v>
      </c>
      <c r="V1150" s="28"/>
      <c r="W1150" s="28" t="n">
        <f aca="false">V1150*$M1150</f>
        <v>0</v>
      </c>
      <c r="X1150" s="28"/>
      <c r="Y1150" s="28" t="n">
        <f aca="false">X1150*$M1150</f>
        <v>0</v>
      </c>
      <c r="Z1150" s="28"/>
      <c r="AA1150" s="28" t="n">
        <f aca="false">Z1150*$M1150</f>
        <v>0</v>
      </c>
      <c r="AB1150" s="28"/>
      <c r="AC1150" s="28" t="n">
        <f aca="false">AB1150*$M1150</f>
        <v>0</v>
      </c>
      <c r="AD1150" s="28"/>
      <c r="AE1150" s="28" t="n">
        <f aca="false">AD1150*$M1150</f>
        <v>0</v>
      </c>
      <c r="AF1150" s="28"/>
      <c r="AG1150" s="28" t="n">
        <f aca="false">AF1150*$M1150</f>
        <v>0</v>
      </c>
      <c r="AH1150" s="28" t="n">
        <f aca="false">5337/100</f>
        <v>53.37</v>
      </c>
      <c r="AI1150" s="28" t="n">
        <v>4803</v>
      </c>
      <c r="AJ1150" s="28"/>
      <c r="AK1150" s="28" t="n">
        <f aca="false">AJ1150*$M1150</f>
        <v>0</v>
      </c>
      <c r="AL1150" s="28"/>
      <c r="AM1150" s="28" t="n">
        <f aca="false">AL1150*$M1150</f>
        <v>0</v>
      </c>
      <c r="AN1150" s="28"/>
      <c r="AO1150" s="28" t="n">
        <f aca="false">AN1150*$M1150</f>
        <v>0</v>
      </c>
      <c r="AP1150" s="28"/>
      <c r="AQ1150" s="28" t="n">
        <f aca="false">AP1150*$M1150</f>
        <v>0</v>
      </c>
      <c r="AR1150" s="28"/>
      <c r="AS1150" s="28" t="n">
        <f aca="false">AR1150*$M1150</f>
        <v>0</v>
      </c>
      <c r="AT1150" s="28"/>
      <c r="AU1150" s="28" t="n">
        <f aca="false">AT1150*$M1150</f>
        <v>0</v>
      </c>
      <c r="AV1150" s="28"/>
      <c r="AW1150" s="28" t="n">
        <f aca="false">AV1150*$M1150</f>
        <v>0</v>
      </c>
      <c r="AX1150" s="28"/>
      <c r="AY1150" s="28" t="n">
        <f aca="false">AX1150*$M1150</f>
        <v>0</v>
      </c>
      <c r="AZ1150" s="30" t="n">
        <f aca="false">5337/100</f>
        <v>53.37</v>
      </c>
      <c r="BA1150" s="11" t="n">
        <v>4803</v>
      </c>
      <c r="BB1150" s="31" t="n">
        <f aca="false">SUM(Q1150,S1150,U1150,W1150,Y1150,AA1150,AC1150,AE1150,AG1150,AI1150,AK1150,AM1150,AO1150,AQ1150,AS1150,AU1150,AW1150,AY1150)</f>
        <v>4803</v>
      </c>
      <c r="BC1150" s="28" t="n">
        <f aca="false">BA1150-BB1150</f>
        <v>0</v>
      </c>
      <c r="BD1150" s="32" t="n">
        <f aca="false">SUM(P1150,R1150,T1150,V1150,X1150,Z1150,AB1150,AD1150,AF1150,AH1150,AJ1150,AL1150,AN1150,AP1150,AR1150,AT1150,AV1150,AX1150)</f>
        <v>53.37</v>
      </c>
      <c r="BE1150" s="33" t="n">
        <f aca="false">AZ1150-BD1150</f>
        <v>0</v>
      </c>
      <c r="BF1150" s="34" t="n">
        <f aca="false">BD1150*M1150</f>
        <v>4803.3</v>
      </c>
      <c r="BG1150" s="35" t="n">
        <f aca="false">BA1150-BF1150</f>
        <v>-0.300000000000182</v>
      </c>
      <c r="BH1150" s="19" t="str">
        <f aca="false">IF(BG1150=0,"",IF(BG1150&lt;&gt;BA1150,"erreur de calcul",IF(BD1150&lt;&gt;0,"pas de prix",IF(M1150&lt;&gt; 0,"pas de quantité","pas de prix, ni de quantité"))))</f>
        <v>erreur de calcul</v>
      </c>
      <c r="BI1150" s="19"/>
    </row>
    <row r="1151" customFormat="false" ht="15" hidden="false" customHeight="false" outlineLevel="0" collapsed="false">
      <c r="A1151" s="0" t="n">
        <v>19</v>
      </c>
      <c r="B1151" s="8" t="s">
        <v>24</v>
      </c>
      <c r="C1151" s="9" t="s">
        <v>25</v>
      </c>
      <c r="D1151" s="9" t="s">
        <v>26</v>
      </c>
      <c r="E1151" s="10" t="n">
        <v>1789</v>
      </c>
      <c r="F1151" s="9" t="s">
        <v>27</v>
      </c>
      <c r="G1151" s="9" t="s">
        <v>27</v>
      </c>
      <c r="H1151" s="11" t="n">
        <v>21</v>
      </c>
      <c r="I1151" s="11" t="s">
        <v>172</v>
      </c>
      <c r="J1151" s="14" t="n">
        <v>15</v>
      </c>
      <c r="K1151" s="14"/>
      <c r="L1151" s="16"/>
      <c r="M1151" s="27" t="n">
        <f aca="false">J1151+(K1151/20)+(L1151/240)</f>
        <v>15</v>
      </c>
      <c r="N1151" s="17" t="s">
        <v>64</v>
      </c>
      <c r="O1151" s="11" t="s">
        <v>77</v>
      </c>
      <c r="P1151" s="28"/>
      <c r="Q1151" s="28" t="n">
        <f aca="false">P1151*$M1151</f>
        <v>0</v>
      </c>
      <c r="R1151" s="28"/>
      <c r="S1151" s="28" t="n">
        <f aca="false">R1151*$M1151</f>
        <v>0</v>
      </c>
      <c r="T1151" s="28"/>
      <c r="U1151" s="28" t="n">
        <f aca="false">T1151*$M1151</f>
        <v>0</v>
      </c>
      <c r="V1151" s="28"/>
      <c r="W1151" s="28" t="n">
        <f aca="false">V1151*$M1151</f>
        <v>0</v>
      </c>
      <c r="X1151" s="28"/>
      <c r="Y1151" s="28" t="n">
        <f aca="false">X1151*$M1151</f>
        <v>0</v>
      </c>
      <c r="Z1151" s="28"/>
      <c r="AA1151" s="28" t="n">
        <f aca="false">Z1151*$M1151</f>
        <v>0</v>
      </c>
      <c r="AB1151" s="28"/>
      <c r="AC1151" s="28" t="n">
        <f aca="false">AB1151*$M1151</f>
        <v>0</v>
      </c>
      <c r="AD1151" s="28"/>
      <c r="AE1151" s="28" t="n">
        <f aca="false">AD1151*$M1151</f>
        <v>0</v>
      </c>
      <c r="AF1151" s="28"/>
      <c r="AG1151" s="28" t="n">
        <f aca="false">AF1151*$M1151</f>
        <v>0</v>
      </c>
      <c r="AH1151" s="28"/>
      <c r="AI1151" s="28" t="n">
        <f aca="false">AH1151*$M1151</f>
        <v>0</v>
      </c>
      <c r="AJ1151" s="28"/>
      <c r="AK1151" s="28" t="n">
        <f aca="false">AJ1151*$M1151</f>
        <v>0</v>
      </c>
      <c r="AL1151" s="28"/>
      <c r="AM1151" s="28" t="n">
        <f aca="false">AL1151*$M1151</f>
        <v>0</v>
      </c>
      <c r="AN1151" s="28"/>
      <c r="AO1151" s="28" t="n">
        <f aca="false">AN1151*$M1151</f>
        <v>0</v>
      </c>
      <c r="AP1151" s="28"/>
      <c r="AQ1151" s="28" t="n">
        <f aca="false">AP1151*$M1151</f>
        <v>0</v>
      </c>
      <c r="AR1151" s="28"/>
      <c r="AS1151" s="28" t="n">
        <f aca="false">AR1151*$M1151</f>
        <v>0</v>
      </c>
      <c r="AT1151" s="28"/>
      <c r="AU1151" s="28" t="n">
        <f aca="false">AT1151*$M1151</f>
        <v>0</v>
      </c>
      <c r="AV1151" s="28"/>
      <c r="AW1151" s="28" t="n">
        <f aca="false">AV1151*$M1151</f>
        <v>0</v>
      </c>
      <c r="AX1151" s="28"/>
      <c r="AY1151" s="28" t="n">
        <f aca="false">AX1151*$M1151</f>
        <v>0</v>
      </c>
      <c r="AZ1151" s="30"/>
      <c r="BA1151" s="11"/>
      <c r="BB1151" s="31" t="n">
        <f aca="false">SUM(Q1151,S1151,U1151,W1151,Y1151,AA1151,AC1151,AE1151,AG1151,AI1151,AK1151,AM1151,AO1151,AQ1151,AS1151,AU1151,AW1151,AY1151)</f>
        <v>0</v>
      </c>
      <c r="BC1151" s="28" t="n">
        <f aca="false">BA1151-BB1151</f>
        <v>0</v>
      </c>
      <c r="BD1151" s="32" t="n">
        <f aca="false">SUM(P1151,R1151,T1151,V1151,X1151,Z1151,AB1151,AD1151,AF1151,AH1151,AJ1151,AL1151,AN1151,AP1151,AR1151,AT1151,AV1151,AX1151)</f>
        <v>0</v>
      </c>
      <c r="BE1151" s="33" t="n">
        <f aca="false">AZ1151-BD1151</f>
        <v>0</v>
      </c>
      <c r="BF1151" s="34" t="n">
        <f aca="false">BD1151*M1151</f>
        <v>0</v>
      </c>
      <c r="BG1151" s="35" t="n">
        <f aca="false">BA1151-BF1151</f>
        <v>0</v>
      </c>
      <c r="BH1151" s="19" t="str">
        <f aca="false">IF(BG1151=0,"",IF(BG1151&lt;&gt;BA1151,"erreur de calcul",IF(BD1151&lt;&gt;0,"pas de prix",IF(M1151&lt;&gt; 0,"pas de quantité","pas de prix, ni de quantité"))))</f>
        <v/>
      </c>
      <c r="BI1151" s="19"/>
    </row>
    <row r="1152" customFormat="false" ht="15" hidden="false" customHeight="false" outlineLevel="0" collapsed="false">
      <c r="A1152" s="0" t="n">
        <v>20</v>
      </c>
      <c r="B1152" s="8" t="s">
        <v>24</v>
      </c>
      <c r="C1152" s="9" t="s">
        <v>25</v>
      </c>
      <c r="D1152" s="9" t="s">
        <v>26</v>
      </c>
      <c r="E1152" s="10" t="n">
        <v>1789</v>
      </c>
      <c r="F1152" s="9" t="s">
        <v>27</v>
      </c>
      <c r="G1152" s="9" t="s">
        <v>27</v>
      </c>
      <c r="H1152" s="11" t="n">
        <v>21</v>
      </c>
      <c r="I1152" s="11" t="s">
        <v>173</v>
      </c>
      <c r="J1152" s="14" t="n">
        <v>36</v>
      </c>
      <c r="K1152" s="14"/>
      <c r="L1152" s="16"/>
      <c r="M1152" s="27" t="n">
        <f aca="false">J1152+(K1152/20)+(L1152/240)</f>
        <v>36</v>
      </c>
      <c r="N1152" s="17" t="s">
        <v>64</v>
      </c>
      <c r="O1152" s="11"/>
      <c r="P1152" s="28"/>
      <c r="Q1152" s="28" t="n">
        <f aca="false">P1152*$M1152</f>
        <v>0</v>
      </c>
      <c r="R1152" s="28"/>
      <c r="S1152" s="28" t="n">
        <f aca="false">R1152*$M1152</f>
        <v>0</v>
      </c>
      <c r="T1152" s="28"/>
      <c r="U1152" s="28" t="n">
        <f aca="false">T1152*$M1152</f>
        <v>0</v>
      </c>
      <c r="V1152" s="28"/>
      <c r="W1152" s="28" t="n">
        <f aca="false">V1152*$M1152</f>
        <v>0</v>
      </c>
      <c r="X1152" s="28"/>
      <c r="Y1152" s="28" t="n">
        <f aca="false">X1152*$M1152</f>
        <v>0</v>
      </c>
      <c r="Z1152" s="28"/>
      <c r="AA1152" s="28" t="n">
        <f aca="false">Z1152*$M1152</f>
        <v>0</v>
      </c>
      <c r="AB1152" s="28" t="n">
        <f aca="false">80722/100</f>
        <v>807.22</v>
      </c>
      <c r="AC1152" s="28" t="n">
        <v>29060</v>
      </c>
      <c r="AD1152" s="28"/>
      <c r="AE1152" s="28" t="n">
        <f aca="false">AD1152*$M1152</f>
        <v>0</v>
      </c>
      <c r="AF1152" s="28"/>
      <c r="AG1152" s="28" t="n">
        <f aca="false">AF1152*$M1152</f>
        <v>0</v>
      </c>
      <c r="AH1152" s="28"/>
      <c r="AI1152" s="28" t="n">
        <f aca="false">AH1152*$M1152</f>
        <v>0</v>
      </c>
      <c r="AJ1152" s="28"/>
      <c r="AK1152" s="28" t="n">
        <f aca="false">AJ1152*$M1152</f>
        <v>0</v>
      </c>
      <c r="AL1152" s="28"/>
      <c r="AM1152" s="28" t="n">
        <f aca="false">AL1152*$M1152</f>
        <v>0</v>
      </c>
      <c r="AN1152" s="28"/>
      <c r="AO1152" s="28" t="n">
        <f aca="false">AN1152*$M1152</f>
        <v>0</v>
      </c>
      <c r="AP1152" s="28"/>
      <c r="AQ1152" s="28" t="n">
        <f aca="false">AP1152*$M1152</f>
        <v>0</v>
      </c>
      <c r="AR1152" s="28"/>
      <c r="AS1152" s="28" t="n">
        <f aca="false">AR1152*$M1152</f>
        <v>0</v>
      </c>
      <c r="AT1152" s="28"/>
      <c r="AU1152" s="28" t="n">
        <f aca="false">AT1152*$M1152</f>
        <v>0</v>
      </c>
      <c r="AV1152" s="28"/>
      <c r="AW1152" s="28" t="n">
        <f aca="false">AV1152*$M1152</f>
        <v>0</v>
      </c>
      <c r="AX1152" s="28"/>
      <c r="AY1152" s="28" t="n">
        <f aca="false">AX1152*$M1152</f>
        <v>0</v>
      </c>
      <c r="AZ1152" s="30" t="n">
        <f aca="false">80722/100</f>
        <v>807.22</v>
      </c>
      <c r="BA1152" s="11" t="n">
        <v>29060</v>
      </c>
      <c r="BB1152" s="31" t="n">
        <f aca="false">SUM(Q1152,S1152,U1152,W1152,Y1152,AA1152,AC1152,AE1152,AG1152,AI1152,AK1152,AM1152,AO1152,AQ1152,AS1152,AU1152,AW1152,AY1152)</f>
        <v>29060</v>
      </c>
      <c r="BC1152" s="28" t="n">
        <f aca="false">BA1152-BB1152</f>
        <v>0</v>
      </c>
      <c r="BD1152" s="32" t="n">
        <f aca="false">SUM(P1152,R1152,T1152,V1152,X1152,Z1152,AB1152,AD1152,AF1152,AH1152,AJ1152,AL1152,AN1152,AP1152,AR1152,AT1152,AV1152,AX1152)</f>
        <v>807.22</v>
      </c>
      <c r="BE1152" s="33" t="n">
        <f aca="false">AZ1152-BD1152</f>
        <v>0</v>
      </c>
      <c r="BF1152" s="34" t="n">
        <f aca="false">BD1152*M1152</f>
        <v>29059.92</v>
      </c>
      <c r="BG1152" s="35" t="n">
        <f aca="false">BA1152-BF1152</f>
        <v>0.0799999999981083</v>
      </c>
      <c r="BH1152" s="19" t="str">
        <f aca="false">IF(BG1152=0,"",IF(BG1152&lt;&gt;BA1152,"erreur de calcul",IF(BD1152&lt;&gt;0,"pas de prix",IF(M1152&lt;&gt; 0,"pas de quantité","pas de prix, ni de quantité"))))</f>
        <v>erreur de calcul</v>
      </c>
      <c r="BI1152" s="19"/>
    </row>
    <row r="1153" customFormat="false" ht="15" hidden="false" customHeight="false" outlineLevel="0" collapsed="false">
      <c r="A1153" s="0" t="n">
        <v>21</v>
      </c>
      <c r="B1153" s="8" t="s">
        <v>24</v>
      </c>
      <c r="C1153" s="9" t="s">
        <v>25</v>
      </c>
      <c r="D1153" s="9" t="s">
        <v>26</v>
      </c>
      <c r="E1153" s="10" t="n">
        <v>1789</v>
      </c>
      <c r="F1153" s="9" t="s">
        <v>27</v>
      </c>
      <c r="G1153" s="9" t="s">
        <v>27</v>
      </c>
      <c r="H1153" s="11" t="n">
        <v>21</v>
      </c>
      <c r="I1153" s="11" t="s">
        <v>174</v>
      </c>
      <c r="J1153" s="14" t="n">
        <v>31</v>
      </c>
      <c r="K1153" s="14"/>
      <c r="L1153" s="16"/>
      <c r="M1153" s="27" t="n">
        <f aca="false">J1153+(K1153/20)+(L1153/240)</f>
        <v>31</v>
      </c>
      <c r="N1153" s="17" t="s">
        <v>64</v>
      </c>
      <c r="O1153" s="11"/>
      <c r="P1153" s="28"/>
      <c r="Q1153" s="28" t="n">
        <f aca="false">P1153*$M1153</f>
        <v>0</v>
      </c>
      <c r="R1153" s="28"/>
      <c r="S1153" s="28" t="n">
        <f aca="false">R1153*$M1153</f>
        <v>0</v>
      </c>
      <c r="T1153" s="28"/>
      <c r="U1153" s="28" t="n">
        <f aca="false">T1153*$M1153</f>
        <v>0</v>
      </c>
      <c r="V1153" s="28"/>
      <c r="W1153" s="28" t="n">
        <f aca="false">V1153*$M1153</f>
        <v>0</v>
      </c>
      <c r="X1153" s="28"/>
      <c r="Y1153" s="28" t="n">
        <f aca="false">X1153*$M1153</f>
        <v>0</v>
      </c>
      <c r="Z1153" s="28"/>
      <c r="AA1153" s="28" t="n">
        <f aca="false">Z1153*$M1153</f>
        <v>0</v>
      </c>
      <c r="AB1153" s="28"/>
      <c r="AC1153" s="28" t="n">
        <f aca="false">AB1153*$M1153</f>
        <v>0</v>
      </c>
      <c r="AD1153" s="28"/>
      <c r="AE1153" s="28" t="n">
        <f aca="false">AD1153*$M1153</f>
        <v>0</v>
      </c>
      <c r="AF1153" s="28" t="n">
        <f aca="false">4599/100</f>
        <v>45.99</v>
      </c>
      <c r="AG1153" s="28" t="n">
        <v>1426</v>
      </c>
      <c r="AH1153" s="28" t="n">
        <f aca="false">12691/100</f>
        <v>126.91</v>
      </c>
      <c r="AI1153" s="28" t="n">
        <v>3934</v>
      </c>
      <c r="AJ1153" s="28"/>
      <c r="AK1153" s="28" t="n">
        <f aca="false">AJ1153*$M1153</f>
        <v>0</v>
      </c>
      <c r="AL1153" s="28"/>
      <c r="AM1153" s="28" t="n">
        <f aca="false">AL1153*$M1153</f>
        <v>0</v>
      </c>
      <c r="AN1153" s="28"/>
      <c r="AO1153" s="28" t="n">
        <f aca="false">AN1153*$M1153</f>
        <v>0</v>
      </c>
      <c r="AP1153" s="28"/>
      <c r="AQ1153" s="28" t="n">
        <f aca="false">AP1153*$M1153</f>
        <v>0</v>
      </c>
      <c r="AR1153" s="28"/>
      <c r="AS1153" s="28" t="n">
        <f aca="false">AR1153*$M1153</f>
        <v>0</v>
      </c>
      <c r="AT1153" s="28"/>
      <c r="AU1153" s="28" t="n">
        <f aca="false">AT1153*$M1153</f>
        <v>0</v>
      </c>
      <c r="AV1153" s="28"/>
      <c r="AW1153" s="28" t="n">
        <f aca="false">AV1153*$M1153</f>
        <v>0</v>
      </c>
      <c r="AX1153" s="28"/>
      <c r="AY1153" s="28" t="n">
        <f aca="false">AX1153*$M1153</f>
        <v>0</v>
      </c>
      <c r="AZ1153" s="30" t="n">
        <f aca="false">17290/100</f>
        <v>172.9</v>
      </c>
      <c r="BA1153" s="11" t="n">
        <v>5360</v>
      </c>
      <c r="BB1153" s="31" t="n">
        <f aca="false">SUM(Q1153,S1153,U1153,W1153,Y1153,AA1153,AC1153,AE1153,AG1153,AI1153,AK1153,AM1153,AO1153,AQ1153,AS1153,AU1153,AW1153,AY1153)</f>
        <v>5360</v>
      </c>
      <c r="BC1153" s="28" t="n">
        <f aca="false">BA1153-BB1153</f>
        <v>0</v>
      </c>
      <c r="BD1153" s="32" t="n">
        <f aca="false">SUM(P1153,R1153,T1153,V1153,X1153,Z1153,AB1153,AD1153,AF1153,AH1153,AJ1153,AL1153,AN1153,AP1153,AR1153,AT1153,AV1153,AX1153)</f>
        <v>172.9</v>
      </c>
      <c r="BE1153" s="33" t="n">
        <f aca="false">AZ1153-BD1153</f>
        <v>0</v>
      </c>
      <c r="BF1153" s="34" t="n">
        <f aca="false">BD1153*M1153</f>
        <v>5359.9</v>
      </c>
      <c r="BG1153" s="35" t="n">
        <f aca="false">BA1153-BF1153</f>
        <v>0.0999999999994543</v>
      </c>
      <c r="BH1153" s="19" t="str">
        <f aca="false">IF(BG1153=0,"",IF(BG1153&lt;&gt;BA1153,"erreur de calcul",IF(BD1153&lt;&gt;0,"pas de prix",IF(M1153&lt;&gt; 0,"pas de quantité","pas de prix, ni de quantité"))))</f>
        <v>erreur de calcul</v>
      </c>
      <c r="BI1153" s="19"/>
    </row>
    <row r="1154" customFormat="false" ht="15" hidden="false" customHeight="false" outlineLevel="0" collapsed="false">
      <c r="A1154" s="0" t="n">
        <v>22</v>
      </c>
      <c r="B1154" s="8" t="s">
        <v>24</v>
      </c>
      <c r="C1154" s="9" t="s">
        <v>25</v>
      </c>
      <c r="D1154" s="9" t="s">
        <v>26</v>
      </c>
      <c r="E1154" s="10" t="n">
        <v>1789</v>
      </c>
      <c r="F1154" s="9" t="s">
        <v>27</v>
      </c>
      <c r="G1154" s="9" t="s">
        <v>27</v>
      </c>
      <c r="H1154" s="11" t="n">
        <v>21</v>
      </c>
      <c r="I1154" s="11" t="s">
        <v>175</v>
      </c>
      <c r="J1154" s="14" t="n">
        <v>120</v>
      </c>
      <c r="K1154" s="14"/>
      <c r="L1154" s="16"/>
      <c r="M1154" s="27" t="n">
        <f aca="false">J1154+(K1154/20)+(L1154/240)</f>
        <v>120</v>
      </c>
      <c r="N1154" s="17" t="s">
        <v>64</v>
      </c>
      <c r="O1154" s="11"/>
      <c r="P1154" s="28"/>
      <c r="Q1154" s="28" t="n">
        <f aca="false">P1154*$M1154</f>
        <v>0</v>
      </c>
      <c r="R1154" s="28"/>
      <c r="S1154" s="28" t="n">
        <f aca="false">R1154*$M1154</f>
        <v>0</v>
      </c>
      <c r="T1154" s="28"/>
      <c r="U1154" s="28" t="n">
        <f aca="false">T1154*$M1154</f>
        <v>0</v>
      </c>
      <c r="V1154" s="28" t="n">
        <f aca="false">2364/100</f>
        <v>23.64</v>
      </c>
      <c r="W1154" s="28" t="n">
        <v>2837</v>
      </c>
      <c r="X1154" s="28"/>
      <c r="Y1154" s="28" t="n">
        <f aca="false">X1154*$M1154</f>
        <v>0</v>
      </c>
      <c r="Z1154" s="28"/>
      <c r="AA1154" s="28" t="n">
        <f aca="false">Z1154*$M1154</f>
        <v>0</v>
      </c>
      <c r="AB1154" s="28"/>
      <c r="AC1154" s="28" t="n">
        <f aca="false">AB1154*$M1154</f>
        <v>0</v>
      </c>
      <c r="AD1154" s="28"/>
      <c r="AE1154" s="28" t="n">
        <f aca="false">AD1154*$M1154</f>
        <v>0</v>
      </c>
      <c r="AF1154" s="28"/>
      <c r="AG1154" s="28" t="n">
        <f aca="false">AF1154*$M1154</f>
        <v>0</v>
      </c>
      <c r="AH1154" s="28"/>
      <c r="AI1154" s="28" t="n">
        <f aca="false">AH1154*$M1154</f>
        <v>0</v>
      </c>
      <c r="AJ1154" s="28"/>
      <c r="AK1154" s="28" t="n">
        <f aca="false">AJ1154*$M1154</f>
        <v>0</v>
      </c>
      <c r="AL1154" s="28"/>
      <c r="AM1154" s="28" t="n">
        <f aca="false">AL1154*$M1154</f>
        <v>0</v>
      </c>
      <c r="AN1154" s="28"/>
      <c r="AO1154" s="28" t="n">
        <f aca="false">AN1154*$M1154</f>
        <v>0</v>
      </c>
      <c r="AP1154" s="28"/>
      <c r="AQ1154" s="28" t="n">
        <f aca="false">AP1154*$M1154</f>
        <v>0</v>
      </c>
      <c r="AR1154" s="28"/>
      <c r="AS1154" s="28" t="n">
        <f aca="false">AR1154*$M1154</f>
        <v>0</v>
      </c>
      <c r="AT1154" s="28"/>
      <c r="AU1154" s="28" t="n">
        <f aca="false">AT1154*$M1154</f>
        <v>0</v>
      </c>
      <c r="AV1154" s="28"/>
      <c r="AW1154" s="28" t="n">
        <f aca="false">AV1154*$M1154</f>
        <v>0</v>
      </c>
      <c r="AX1154" s="28"/>
      <c r="AY1154" s="28" t="n">
        <f aca="false">AX1154*$M1154</f>
        <v>0</v>
      </c>
      <c r="AZ1154" s="30" t="n">
        <f aca="false">2364/100</f>
        <v>23.64</v>
      </c>
      <c r="BA1154" s="11" t="n">
        <v>2837</v>
      </c>
      <c r="BB1154" s="31" t="n">
        <f aca="false">SUM(Q1154,S1154,U1154,W1154,Y1154,AA1154,AC1154,AE1154,AG1154,AI1154,AK1154,AM1154,AO1154,AQ1154,AS1154,AU1154,AW1154,AY1154)</f>
        <v>2837</v>
      </c>
      <c r="BC1154" s="28" t="n">
        <f aca="false">BA1154-BB1154</f>
        <v>0</v>
      </c>
      <c r="BD1154" s="32" t="n">
        <f aca="false">SUM(P1154,R1154,T1154,V1154,X1154,Z1154,AB1154,AD1154,AF1154,AH1154,AJ1154,AL1154,AN1154,AP1154,AR1154,AT1154,AV1154,AX1154)</f>
        <v>23.64</v>
      </c>
      <c r="BE1154" s="33" t="n">
        <f aca="false">AZ1154-BD1154</f>
        <v>0</v>
      </c>
      <c r="BF1154" s="34" t="n">
        <f aca="false">BD1154*M1154</f>
        <v>2836.8</v>
      </c>
      <c r="BG1154" s="35" t="n">
        <f aca="false">BA1154-BF1154</f>
        <v>0.199999999999818</v>
      </c>
      <c r="BH1154" s="19" t="str">
        <f aca="false">IF(BG1154=0,"",IF(BG1154&lt;&gt;BA1154,"erreur de calcul",IF(BD1154&lt;&gt;0,"pas de prix",IF(M1154&lt;&gt; 0,"pas de quantité","pas de prix, ni de quantité"))))</f>
        <v>erreur de calcul</v>
      </c>
      <c r="BI1154" s="19"/>
    </row>
    <row r="1155" customFormat="false" ht="15" hidden="false" customHeight="false" outlineLevel="0" collapsed="false">
      <c r="A1155" s="0" t="n">
        <v>23</v>
      </c>
      <c r="B1155" s="8" t="s">
        <v>24</v>
      </c>
      <c r="C1155" s="9" t="s">
        <v>25</v>
      </c>
      <c r="D1155" s="9" t="s">
        <v>26</v>
      </c>
      <c r="E1155" s="10" t="n">
        <v>1789</v>
      </c>
      <c r="F1155" s="9" t="s">
        <v>27</v>
      </c>
      <c r="G1155" s="9" t="s">
        <v>27</v>
      </c>
      <c r="H1155" s="11" t="n">
        <v>21</v>
      </c>
      <c r="I1155" s="11" t="s">
        <v>176</v>
      </c>
      <c r="J1155" s="14" t="n">
        <v>170</v>
      </c>
      <c r="K1155" s="14"/>
      <c r="L1155" s="16"/>
      <c r="M1155" s="27" t="n">
        <f aca="false">J1155+(K1155/20)+(L1155/240)</f>
        <v>170</v>
      </c>
      <c r="N1155" s="17" t="s">
        <v>64</v>
      </c>
      <c r="O1155" s="11"/>
      <c r="P1155" s="28" t="n">
        <f aca="false">9760/100</f>
        <v>97.6</v>
      </c>
      <c r="Q1155" s="28" t="n">
        <v>16592</v>
      </c>
      <c r="R1155" s="28"/>
      <c r="S1155" s="28" t="n">
        <f aca="false">R1155*$M1155</f>
        <v>0</v>
      </c>
      <c r="T1155" s="28"/>
      <c r="U1155" s="28" t="n">
        <f aca="false">T1155*$M1155</f>
        <v>0</v>
      </c>
      <c r="V1155" s="28"/>
      <c r="W1155" s="28" t="n">
        <f aca="false">V1155*$M1155</f>
        <v>0</v>
      </c>
      <c r="X1155" s="28" t="n">
        <f aca="false">1589/100</f>
        <v>15.89</v>
      </c>
      <c r="Y1155" s="28" t="n">
        <v>2701</v>
      </c>
      <c r="Z1155" s="28"/>
      <c r="AA1155" s="28" t="n">
        <f aca="false">Z1155*$M1155</f>
        <v>0</v>
      </c>
      <c r="AB1155" s="28"/>
      <c r="AC1155" s="28" t="n">
        <f aca="false">AB1155*$M1155</f>
        <v>0</v>
      </c>
      <c r="AD1155" s="28"/>
      <c r="AE1155" s="28" t="n">
        <f aca="false">AD1155*$M1155</f>
        <v>0</v>
      </c>
      <c r="AF1155" s="28"/>
      <c r="AG1155" s="28" t="n">
        <f aca="false">AF1155*$M1155</f>
        <v>0</v>
      </c>
      <c r="AH1155" s="28"/>
      <c r="AI1155" s="28" t="n">
        <f aca="false">AH1155*$M1155</f>
        <v>0</v>
      </c>
      <c r="AJ1155" s="28"/>
      <c r="AK1155" s="28" t="n">
        <f aca="false">AJ1155*$M1155</f>
        <v>0</v>
      </c>
      <c r="AL1155" s="28"/>
      <c r="AM1155" s="28" t="n">
        <f aca="false">AL1155*$M1155</f>
        <v>0</v>
      </c>
      <c r="AN1155" s="28"/>
      <c r="AO1155" s="28" t="n">
        <f aca="false">AN1155*$M1155</f>
        <v>0</v>
      </c>
      <c r="AP1155" s="28"/>
      <c r="AQ1155" s="28" t="n">
        <f aca="false">AP1155*$M1155</f>
        <v>0</v>
      </c>
      <c r="AR1155" s="28"/>
      <c r="AS1155" s="28" t="n">
        <f aca="false">AR1155*$M1155</f>
        <v>0</v>
      </c>
      <c r="AT1155" s="28"/>
      <c r="AU1155" s="28" t="n">
        <f aca="false">AT1155*$M1155</f>
        <v>0</v>
      </c>
      <c r="AV1155" s="28"/>
      <c r="AW1155" s="28" t="n">
        <f aca="false">AV1155*$M1155</f>
        <v>0</v>
      </c>
      <c r="AX1155" s="28"/>
      <c r="AY1155" s="28" t="n">
        <f aca="false">AX1155*$M1155</f>
        <v>0</v>
      </c>
      <c r="AZ1155" s="30" t="n">
        <f aca="false">11349/100</f>
        <v>113.49</v>
      </c>
      <c r="BA1155" s="11" t="n">
        <v>19293</v>
      </c>
      <c r="BB1155" s="31" t="n">
        <f aca="false">SUM(Q1155,S1155,U1155,W1155,Y1155,AA1155,AC1155,AE1155,AG1155,AI1155,AK1155,AM1155,AO1155,AQ1155,AS1155,AU1155,AW1155,AY1155)</f>
        <v>19293</v>
      </c>
      <c r="BC1155" s="28" t="n">
        <f aca="false">BA1155-BB1155</f>
        <v>0</v>
      </c>
      <c r="BD1155" s="32" t="n">
        <f aca="false">SUM(P1155,R1155,T1155,V1155,X1155,Z1155,AB1155,AD1155,AF1155,AH1155,AJ1155,AL1155,AN1155,AP1155,AR1155,AT1155,AV1155,AX1155)</f>
        <v>113.49</v>
      </c>
      <c r="BE1155" s="33" t="n">
        <f aca="false">AZ1155-BD1155</f>
        <v>0</v>
      </c>
      <c r="BF1155" s="34" t="n">
        <f aca="false">BD1155*M1155</f>
        <v>19293.3</v>
      </c>
      <c r="BG1155" s="35" t="n">
        <f aca="false">BA1155-BF1155</f>
        <v>-0.299999999999272</v>
      </c>
      <c r="BH1155" s="19" t="str">
        <f aca="false">IF(BG1155=0,"",IF(BG1155&lt;&gt;BA1155,"erreur de calcul",IF(BD1155&lt;&gt;0,"pas de prix",IF(M1155&lt;&gt; 0,"pas de quantité","pas de prix, ni de quantité"))))</f>
        <v>erreur de calcul</v>
      </c>
      <c r="BI1155" s="19"/>
    </row>
    <row r="1156" customFormat="false" ht="15" hidden="false" customHeight="false" outlineLevel="0" collapsed="false">
      <c r="A1156" s="0" t="n">
        <v>24</v>
      </c>
      <c r="B1156" s="8" t="s">
        <v>24</v>
      </c>
      <c r="C1156" s="9" t="s">
        <v>25</v>
      </c>
      <c r="D1156" s="9" t="s">
        <v>26</v>
      </c>
      <c r="E1156" s="10" t="n">
        <v>1789</v>
      </c>
      <c r="F1156" s="9" t="s">
        <v>27</v>
      </c>
      <c r="G1156" s="9" t="s">
        <v>27</v>
      </c>
      <c r="H1156" s="11" t="n">
        <v>21</v>
      </c>
      <c r="I1156" s="11" t="s">
        <v>177</v>
      </c>
      <c r="J1156" s="14" t="n">
        <v>9</v>
      </c>
      <c r="K1156" s="14"/>
      <c r="L1156" s="16"/>
      <c r="M1156" s="27" t="n">
        <f aca="false">J1156+(K1156/20)+(L1156/240)</f>
        <v>9</v>
      </c>
      <c r="N1156" s="17" t="s">
        <v>66</v>
      </c>
      <c r="O1156" s="11"/>
      <c r="P1156" s="28"/>
      <c r="Q1156" s="28" t="n">
        <f aca="false">P1156*$M1156</f>
        <v>0</v>
      </c>
      <c r="R1156" s="28" t="n">
        <v>349</v>
      </c>
      <c r="S1156" s="28" t="n">
        <v>3141</v>
      </c>
      <c r="T1156" s="28"/>
      <c r="U1156" s="28" t="n">
        <f aca="false">T1156*$M1156</f>
        <v>0</v>
      </c>
      <c r="V1156" s="28" t="n">
        <v>315</v>
      </c>
      <c r="W1156" s="28" t="n">
        <v>2835</v>
      </c>
      <c r="X1156" s="28" t="n">
        <v>733</v>
      </c>
      <c r="Y1156" s="28" t="n">
        <v>6597</v>
      </c>
      <c r="Z1156" s="28"/>
      <c r="AA1156" s="28" t="n">
        <f aca="false">Z1156*$M1156</f>
        <v>0</v>
      </c>
      <c r="AB1156" s="28" t="n">
        <v>162</v>
      </c>
      <c r="AC1156" s="28" t="n">
        <v>1458</v>
      </c>
      <c r="AD1156" s="28"/>
      <c r="AE1156" s="28" t="n">
        <f aca="false">AD1156*$M1156</f>
        <v>0</v>
      </c>
      <c r="AF1156" s="28"/>
      <c r="AG1156" s="28" t="n">
        <f aca="false">AF1156*$M1156</f>
        <v>0</v>
      </c>
      <c r="AH1156" s="28"/>
      <c r="AI1156" s="28" t="n">
        <f aca="false">AH1156*$M1156</f>
        <v>0</v>
      </c>
      <c r="AJ1156" s="28"/>
      <c r="AK1156" s="28" t="n">
        <f aca="false">AJ1156*$M1156</f>
        <v>0</v>
      </c>
      <c r="AL1156" s="28"/>
      <c r="AM1156" s="28" t="n">
        <f aca="false">AL1156*$M1156</f>
        <v>0</v>
      </c>
      <c r="AN1156" s="28"/>
      <c r="AO1156" s="28" t="n">
        <f aca="false">AN1156*$M1156</f>
        <v>0</v>
      </c>
      <c r="AP1156" s="28"/>
      <c r="AQ1156" s="28" t="n">
        <f aca="false">AP1156*$M1156</f>
        <v>0</v>
      </c>
      <c r="AR1156" s="28"/>
      <c r="AS1156" s="28" t="n">
        <f aca="false">AR1156*$M1156</f>
        <v>0</v>
      </c>
      <c r="AT1156" s="28"/>
      <c r="AU1156" s="28" t="n">
        <f aca="false">AT1156*$M1156</f>
        <v>0</v>
      </c>
      <c r="AV1156" s="28"/>
      <c r="AW1156" s="28" t="n">
        <f aca="false">AV1156*$M1156</f>
        <v>0</v>
      </c>
      <c r="AX1156" s="28"/>
      <c r="AY1156" s="28" t="n">
        <f aca="false">AX1156*$M1156</f>
        <v>0</v>
      </c>
      <c r="AZ1156" s="30" t="n">
        <f aca="false">1559</f>
        <v>1559</v>
      </c>
      <c r="BA1156" s="11" t="n">
        <v>14031</v>
      </c>
      <c r="BB1156" s="31" t="n">
        <f aca="false">SUM(Q1156,S1156,U1156,W1156,Y1156,AA1156,AC1156,AE1156,AG1156,AI1156,AK1156,AM1156,AO1156,AQ1156,AS1156,AU1156,AW1156,AY1156)</f>
        <v>14031</v>
      </c>
      <c r="BC1156" s="28" t="n">
        <f aca="false">BA1156-BB1156</f>
        <v>0</v>
      </c>
      <c r="BD1156" s="32" t="n">
        <f aca="false">SUM(P1156,R1156,T1156,V1156,X1156,Z1156,AB1156,AD1156,AF1156,AH1156,AJ1156,AL1156,AN1156,AP1156,AR1156,AT1156,AV1156,AX1156)</f>
        <v>1559</v>
      </c>
      <c r="BE1156" s="33" t="n">
        <f aca="false">AZ1156-BD1156</f>
        <v>0</v>
      </c>
      <c r="BF1156" s="34" t="n">
        <f aca="false">BD1156*M1156</f>
        <v>14031</v>
      </c>
      <c r="BG1156" s="35" t="n">
        <f aca="false">BA1156-BF1156</f>
        <v>0</v>
      </c>
      <c r="BH1156" s="19" t="str">
        <f aca="false">IF(BG1156=0,"",IF(BG1156&lt;&gt;BA1156,"erreur de calcul",IF(BD1156&lt;&gt;0,"pas de prix",IF(M1156&lt;&gt; 0,"pas de quantité","pas de prix, ni de quantité"))))</f>
        <v/>
      </c>
      <c r="BI1156" s="19"/>
    </row>
    <row r="1157" customFormat="false" ht="15" hidden="false" customHeight="false" outlineLevel="0" collapsed="false">
      <c r="A1157" s="0" t="n">
        <v>25</v>
      </c>
      <c r="B1157" s="8" t="s">
        <v>24</v>
      </c>
      <c r="C1157" s="9" t="s">
        <v>25</v>
      </c>
      <c r="D1157" s="9" t="s">
        <v>26</v>
      </c>
      <c r="E1157" s="10" t="n">
        <v>1789</v>
      </c>
      <c r="F1157" s="9" t="s">
        <v>27</v>
      </c>
      <c r="G1157" s="9" t="s">
        <v>27</v>
      </c>
      <c r="H1157" s="11" t="n">
        <v>21</v>
      </c>
      <c r="I1157" s="11" t="s">
        <v>178</v>
      </c>
      <c r="J1157" s="14" t="n">
        <v>125</v>
      </c>
      <c r="K1157" s="14"/>
      <c r="L1157" s="16"/>
      <c r="M1157" s="27" t="n">
        <f aca="false">J1157+(K1157/20)+(L1157/240)</f>
        <v>125</v>
      </c>
      <c r="N1157" s="17" t="s">
        <v>64</v>
      </c>
      <c r="O1157" s="11"/>
      <c r="P1157" s="28"/>
      <c r="Q1157" s="28" t="n">
        <f aca="false">P1157*$M1157</f>
        <v>0</v>
      </c>
      <c r="R1157" s="28"/>
      <c r="S1157" s="28" t="n">
        <f aca="false">R1157*$M1157</f>
        <v>0</v>
      </c>
      <c r="T1157" s="28"/>
      <c r="U1157" s="28" t="n">
        <f aca="false">T1157*$M1157</f>
        <v>0</v>
      </c>
      <c r="V1157" s="28" t="n">
        <f aca="false">10764/100</f>
        <v>107.64</v>
      </c>
      <c r="W1157" s="28" t="n">
        <v>13455</v>
      </c>
      <c r="X1157" s="28" t="n">
        <f aca="false">13215/100</f>
        <v>132.15</v>
      </c>
      <c r="Y1157" s="28" t="n">
        <v>16519</v>
      </c>
      <c r="Z1157" s="28"/>
      <c r="AA1157" s="28" t="n">
        <f aca="false">Z1157*$M1157</f>
        <v>0</v>
      </c>
      <c r="AB1157" s="28" t="n">
        <f aca="false">188461/100</f>
        <v>1884.61</v>
      </c>
      <c r="AC1157" s="28" t="n">
        <v>235576</v>
      </c>
      <c r="AD1157" s="28"/>
      <c r="AE1157" s="28" t="n">
        <f aca="false">AD1157*$M1157</f>
        <v>0</v>
      </c>
      <c r="AF1157" s="28"/>
      <c r="AG1157" s="28" t="n">
        <f aca="false">AF1157*$M1157</f>
        <v>0</v>
      </c>
      <c r="AH1157" s="28"/>
      <c r="AI1157" s="28" t="n">
        <f aca="false">AH1157*$M1157</f>
        <v>0</v>
      </c>
      <c r="AJ1157" s="28"/>
      <c r="AK1157" s="28" t="n">
        <f aca="false">AJ1157*$M1157</f>
        <v>0</v>
      </c>
      <c r="AL1157" s="28"/>
      <c r="AM1157" s="28" t="n">
        <f aca="false">AL1157*$M1157</f>
        <v>0</v>
      </c>
      <c r="AN1157" s="28"/>
      <c r="AO1157" s="28" t="n">
        <f aca="false">AN1157*$M1157</f>
        <v>0</v>
      </c>
      <c r="AP1157" s="28"/>
      <c r="AQ1157" s="28" t="n">
        <f aca="false">AP1157*$M1157</f>
        <v>0</v>
      </c>
      <c r="AR1157" s="28"/>
      <c r="AS1157" s="28" t="n">
        <f aca="false">AR1157*$M1157</f>
        <v>0</v>
      </c>
      <c r="AT1157" s="28"/>
      <c r="AU1157" s="28" t="n">
        <f aca="false">AT1157*$M1157</f>
        <v>0</v>
      </c>
      <c r="AV1157" s="28"/>
      <c r="AW1157" s="28" t="n">
        <f aca="false">AV1157*$M1157</f>
        <v>0</v>
      </c>
      <c r="AX1157" s="28"/>
      <c r="AY1157" s="28" t="n">
        <f aca="false">AX1157*$M1157</f>
        <v>0</v>
      </c>
      <c r="AZ1157" s="30" t="n">
        <f aca="false">212440/100</f>
        <v>2124.4</v>
      </c>
      <c r="BA1157" s="11" t="n">
        <v>265550</v>
      </c>
      <c r="BB1157" s="31" t="n">
        <f aca="false">SUM(Q1157,S1157,U1157,W1157,Y1157,AA1157,AC1157,AE1157,AG1157,AI1157,AK1157,AM1157,AO1157,AQ1157,AS1157,AU1157,AW1157,AY1157)</f>
        <v>265550</v>
      </c>
      <c r="BC1157" s="28" t="n">
        <f aca="false">BA1157-BB1157</f>
        <v>0</v>
      </c>
      <c r="BD1157" s="32" t="n">
        <f aca="false">SUM(P1157,R1157,T1157,V1157,X1157,Z1157,AB1157,AD1157,AF1157,AH1157,AJ1157,AL1157,AN1157,AP1157,AR1157,AT1157,AV1157,AX1157)</f>
        <v>2124.4</v>
      </c>
      <c r="BE1157" s="33" t="n">
        <f aca="false">AZ1157-BD1157</f>
        <v>0</v>
      </c>
      <c r="BF1157" s="34" t="n">
        <f aca="false">BD1157*M1157</f>
        <v>265550</v>
      </c>
      <c r="BG1157" s="35" t="n">
        <f aca="false">BA1157-BF1157</f>
        <v>0</v>
      </c>
      <c r="BH1157" s="19" t="str">
        <f aca="false">IF(BG1157=0,"",IF(BG1157&lt;&gt;BA1157,"erreur de calcul",IF(BD1157&lt;&gt;0,"pas de prix",IF(M1157&lt;&gt; 0,"pas de quantité","pas de prix, ni de quantité"))))</f>
        <v/>
      </c>
      <c r="BI1157" s="19"/>
    </row>
    <row r="1158" customFormat="false" ht="15" hidden="false" customHeight="false" outlineLevel="0" collapsed="false">
      <c r="A1158" s="0" t="n">
        <v>26</v>
      </c>
      <c r="B1158" s="8" t="s">
        <v>24</v>
      </c>
      <c r="C1158" s="9" t="s">
        <v>25</v>
      </c>
      <c r="D1158" s="9" t="s">
        <v>26</v>
      </c>
      <c r="E1158" s="10" t="n">
        <v>1789</v>
      </c>
      <c r="F1158" s="9" t="s">
        <v>27</v>
      </c>
      <c r="G1158" s="9" t="s">
        <v>27</v>
      </c>
      <c r="H1158" s="11" t="n">
        <v>21</v>
      </c>
      <c r="I1158" s="11" t="s">
        <v>179</v>
      </c>
      <c r="J1158" s="14" t="n">
        <v>7</v>
      </c>
      <c r="K1158" s="14"/>
      <c r="L1158" s="16"/>
      <c r="M1158" s="27" t="n">
        <f aca="false">J1158+(K1158/20)+(L1158/240)</f>
        <v>7</v>
      </c>
      <c r="N1158" s="17" t="s">
        <v>66</v>
      </c>
      <c r="O1158" s="11"/>
      <c r="P1158" s="28" t="n">
        <v>8441</v>
      </c>
      <c r="Q1158" s="28" t="n">
        <v>59087</v>
      </c>
      <c r="R1158" s="28"/>
      <c r="S1158" s="28" t="n">
        <f aca="false">R1158*$M1158</f>
        <v>0</v>
      </c>
      <c r="T1158" s="28"/>
      <c r="U1158" s="28" t="n">
        <f aca="false">T1158*$M1158</f>
        <v>0</v>
      </c>
      <c r="V1158" s="28"/>
      <c r="W1158" s="28" t="n">
        <f aca="false">V1158*$M1158</f>
        <v>0</v>
      </c>
      <c r="X1158" s="28"/>
      <c r="Y1158" s="28" t="n">
        <f aca="false">X1158*$M1158</f>
        <v>0</v>
      </c>
      <c r="Z1158" s="28" t="n">
        <v>357</v>
      </c>
      <c r="AA1158" s="28" t="n">
        <v>2499</v>
      </c>
      <c r="AB1158" s="28"/>
      <c r="AC1158" s="28" t="n">
        <f aca="false">AB1158*$M1158</f>
        <v>0</v>
      </c>
      <c r="AD1158" s="28"/>
      <c r="AE1158" s="28" t="n">
        <f aca="false">AD1158*$M1158</f>
        <v>0</v>
      </c>
      <c r="AF1158" s="28"/>
      <c r="AG1158" s="28" t="n">
        <f aca="false">AF1158*$M1158</f>
        <v>0</v>
      </c>
      <c r="AH1158" s="28"/>
      <c r="AI1158" s="28" t="n">
        <f aca="false">AH1158*$M1158</f>
        <v>0</v>
      </c>
      <c r="AJ1158" s="28"/>
      <c r="AK1158" s="28" t="n">
        <f aca="false">AJ1158*$M1158</f>
        <v>0</v>
      </c>
      <c r="AL1158" s="28"/>
      <c r="AM1158" s="28" t="n">
        <f aca="false">AL1158*$M1158</f>
        <v>0</v>
      </c>
      <c r="AN1158" s="28"/>
      <c r="AO1158" s="28" t="n">
        <f aca="false">AN1158*$M1158</f>
        <v>0</v>
      </c>
      <c r="AP1158" s="28"/>
      <c r="AQ1158" s="28" t="n">
        <f aca="false">AP1158*$M1158</f>
        <v>0</v>
      </c>
      <c r="AR1158" s="28"/>
      <c r="AS1158" s="28" t="n">
        <f aca="false">AR1158*$M1158</f>
        <v>0</v>
      </c>
      <c r="AT1158" s="28"/>
      <c r="AU1158" s="28" t="n">
        <f aca="false">AT1158*$M1158</f>
        <v>0</v>
      </c>
      <c r="AV1158" s="28"/>
      <c r="AW1158" s="28" t="n">
        <f aca="false">AV1158*$M1158</f>
        <v>0</v>
      </c>
      <c r="AX1158" s="28"/>
      <c r="AY1158" s="28" t="n">
        <f aca="false">AX1158*$M1158</f>
        <v>0</v>
      </c>
      <c r="AZ1158" s="30" t="n">
        <v>8798</v>
      </c>
      <c r="BA1158" s="11" t="n">
        <v>61586</v>
      </c>
      <c r="BB1158" s="31" t="n">
        <f aca="false">SUM(Q1158,S1158,U1158,W1158,Y1158,AA1158,AC1158,AE1158,AG1158,AI1158,AK1158,AM1158,AO1158,AQ1158,AS1158,AU1158,AW1158,AY1158)</f>
        <v>61586</v>
      </c>
      <c r="BC1158" s="28" t="n">
        <f aca="false">BA1158-BB1158</f>
        <v>0</v>
      </c>
      <c r="BD1158" s="32" t="n">
        <f aca="false">SUM(P1158,R1158,T1158,V1158,X1158,Z1158,AB1158,AD1158,AF1158,AH1158,AJ1158,AL1158,AN1158,AP1158,AR1158,AT1158,AV1158,AX1158)</f>
        <v>8798</v>
      </c>
      <c r="BE1158" s="33" t="n">
        <f aca="false">AZ1158-BD1158</f>
        <v>0</v>
      </c>
      <c r="BF1158" s="34" t="n">
        <f aca="false">BD1158*M1158</f>
        <v>61586</v>
      </c>
      <c r="BG1158" s="35" t="n">
        <f aca="false">BA1158-BF1158</f>
        <v>0</v>
      </c>
      <c r="BH1158" s="19" t="str">
        <f aca="false">IF(BG1158=0,"",IF(BG1158&lt;&gt;BA1158,"erreur de calcul",IF(BD1158&lt;&gt;0,"pas de prix",IF(M1158&lt;&gt; 0,"pas de quantité","pas de prix, ni de quantité"))))</f>
        <v/>
      </c>
      <c r="BI1158" s="19"/>
    </row>
    <row r="1159" customFormat="false" ht="15" hidden="false" customHeight="false" outlineLevel="0" collapsed="false">
      <c r="A1159" s="0" t="n">
        <v>27</v>
      </c>
      <c r="B1159" s="8" t="s">
        <v>24</v>
      </c>
      <c r="C1159" s="9" t="s">
        <v>25</v>
      </c>
      <c r="D1159" s="9" t="s">
        <v>26</v>
      </c>
      <c r="E1159" s="10" t="n">
        <v>1789</v>
      </c>
      <c r="F1159" s="9" t="s">
        <v>27</v>
      </c>
      <c r="G1159" s="9" t="s">
        <v>27</v>
      </c>
      <c r="H1159" s="11" t="n">
        <v>21</v>
      </c>
      <c r="I1159" s="11" t="s">
        <v>180</v>
      </c>
      <c r="J1159" s="14" t="n">
        <v>9</v>
      </c>
      <c r="K1159" s="14"/>
      <c r="L1159" s="16"/>
      <c r="M1159" s="27" t="n">
        <f aca="false">J1159+(K1159/20)+(L1159/240)</f>
        <v>9</v>
      </c>
      <c r="N1159" s="17" t="s">
        <v>64</v>
      </c>
      <c r="O1159" s="11"/>
      <c r="P1159" s="28" t="n">
        <f aca="false">22662/100</f>
        <v>226.62</v>
      </c>
      <c r="Q1159" s="28" t="n">
        <v>2039</v>
      </c>
      <c r="R1159" s="28"/>
      <c r="S1159" s="28" t="n">
        <f aca="false">R1159*$M1159</f>
        <v>0</v>
      </c>
      <c r="T1159" s="28"/>
      <c r="U1159" s="28" t="n">
        <f aca="false">T1159*$M1159</f>
        <v>0</v>
      </c>
      <c r="V1159" s="28"/>
      <c r="W1159" s="28" t="n">
        <f aca="false">V1159*$M1159</f>
        <v>0</v>
      </c>
      <c r="X1159" s="28"/>
      <c r="Y1159" s="28" t="n">
        <f aca="false">X1159*$M1159</f>
        <v>0</v>
      </c>
      <c r="Z1159" s="28"/>
      <c r="AA1159" s="28" t="n">
        <f aca="false">Z1159*$M1159</f>
        <v>0</v>
      </c>
      <c r="AB1159" s="28"/>
      <c r="AC1159" s="28" t="n">
        <f aca="false">AB1159*$M1159</f>
        <v>0</v>
      </c>
      <c r="AD1159" s="28"/>
      <c r="AE1159" s="28" t="n">
        <f aca="false">AD1159*$M1159</f>
        <v>0</v>
      </c>
      <c r="AF1159" s="28"/>
      <c r="AG1159" s="28" t="n">
        <f aca="false">AF1159*$M1159</f>
        <v>0</v>
      </c>
      <c r="AH1159" s="28"/>
      <c r="AI1159" s="28" t="n">
        <f aca="false">AH1159*$M1159</f>
        <v>0</v>
      </c>
      <c r="AJ1159" s="28"/>
      <c r="AK1159" s="28" t="n">
        <f aca="false">AJ1159*$M1159</f>
        <v>0</v>
      </c>
      <c r="AL1159" s="28"/>
      <c r="AM1159" s="28" t="n">
        <f aca="false">AL1159*$M1159</f>
        <v>0</v>
      </c>
      <c r="AN1159" s="28"/>
      <c r="AO1159" s="28" t="n">
        <f aca="false">AN1159*$M1159</f>
        <v>0</v>
      </c>
      <c r="AP1159" s="28"/>
      <c r="AQ1159" s="28" t="n">
        <f aca="false">AP1159*$M1159</f>
        <v>0</v>
      </c>
      <c r="AR1159" s="28"/>
      <c r="AS1159" s="28" t="n">
        <f aca="false">AR1159*$M1159</f>
        <v>0</v>
      </c>
      <c r="AT1159" s="28"/>
      <c r="AU1159" s="28" t="n">
        <f aca="false">AT1159*$M1159</f>
        <v>0</v>
      </c>
      <c r="AV1159" s="28"/>
      <c r="AW1159" s="28" t="n">
        <f aca="false">AV1159*$M1159</f>
        <v>0</v>
      </c>
      <c r="AX1159" s="28"/>
      <c r="AY1159" s="28" t="n">
        <f aca="false">AX1159*$M1159</f>
        <v>0</v>
      </c>
      <c r="AZ1159" s="30" t="n">
        <f aca="false">22662/100</f>
        <v>226.62</v>
      </c>
      <c r="BA1159" s="11" t="n">
        <v>2039</v>
      </c>
      <c r="BB1159" s="31" t="n">
        <f aca="false">SUM(Q1159,S1159,U1159,W1159,Y1159,AA1159,AC1159,AE1159,AG1159,AI1159,AK1159,AM1159,AO1159,AQ1159,AS1159,AU1159,AW1159,AY1159)</f>
        <v>2039</v>
      </c>
      <c r="BC1159" s="28" t="n">
        <f aca="false">BA1159-BB1159</f>
        <v>0</v>
      </c>
      <c r="BD1159" s="32" t="n">
        <f aca="false">SUM(P1159,R1159,T1159,V1159,X1159,Z1159,AB1159,AD1159,AF1159,AH1159,AJ1159,AL1159,AN1159,AP1159,AR1159,AT1159,AV1159,AX1159)</f>
        <v>226.62</v>
      </c>
      <c r="BE1159" s="33" t="n">
        <f aca="false">AZ1159-BD1159</f>
        <v>0</v>
      </c>
      <c r="BF1159" s="34" t="n">
        <f aca="false">BD1159*M1159</f>
        <v>2039.58</v>
      </c>
      <c r="BG1159" s="35" t="n">
        <f aca="false">BA1159-BF1159</f>
        <v>-0.579999999999927</v>
      </c>
      <c r="BH1159" s="19" t="str">
        <f aca="false">IF(BG1159=0,"",IF(BG1159&lt;&gt;BA1159,"erreur de calcul",IF(BD1159&lt;&gt;0,"pas de prix",IF(M1159&lt;&gt; 0,"pas de quantité","pas de prix, ni de quantité"))))</f>
        <v>erreur de calcul</v>
      </c>
      <c r="BI1159" s="19"/>
    </row>
    <row r="1160" customFormat="false" ht="15" hidden="false" customHeight="false" outlineLevel="0" collapsed="false">
      <c r="A1160" s="0" t="n">
        <v>28</v>
      </c>
      <c r="B1160" s="8" t="s">
        <v>24</v>
      </c>
      <c r="C1160" s="9" t="s">
        <v>25</v>
      </c>
      <c r="D1160" s="9" t="s">
        <v>26</v>
      </c>
      <c r="E1160" s="10" t="n">
        <v>1789</v>
      </c>
      <c r="F1160" s="9" t="s">
        <v>27</v>
      </c>
      <c r="G1160" s="9" t="s">
        <v>27</v>
      </c>
      <c r="H1160" s="11" t="n">
        <v>21</v>
      </c>
      <c r="I1160" s="11" t="s">
        <v>181</v>
      </c>
      <c r="J1160" s="14" t="n">
        <v>8</v>
      </c>
      <c r="K1160" s="14" t="n">
        <v>10</v>
      </c>
      <c r="L1160" s="16"/>
      <c r="M1160" s="27" t="n">
        <f aca="false">J1160+(K1160/20)+(L1160/240)</f>
        <v>8.5</v>
      </c>
      <c r="N1160" s="17" t="s">
        <v>66</v>
      </c>
      <c r="O1160" s="11"/>
      <c r="P1160" s="28" t="n">
        <v>1770</v>
      </c>
      <c r="Q1160" s="28" t="n">
        <v>15045</v>
      </c>
      <c r="R1160" s="28"/>
      <c r="S1160" s="28" t="n">
        <f aca="false">R1160*$M1160</f>
        <v>0</v>
      </c>
      <c r="T1160" s="28"/>
      <c r="U1160" s="28" t="n">
        <f aca="false">T1160*$M1160</f>
        <v>0</v>
      </c>
      <c r="V1160" s="28"/>
      <c r="W1160" s="28" t="n">
        <f aca="false">V1160*$M1160</f>
        <v>0</v>
      </c>
      <c r="X1160" s="28"/>
      <c r="Y1160" s="28" t="n">
        <f aca="false">X1160*$M1160</f>
        <v>0</v>
      </c>
      <c r="Z1160" s="28"/>
      <c r="AA1160" s="28" t="n">
        <f aca="false">Z1160*$M1160</f>
        <v>0</v>
      </c>
      <c r="AB1160" s="28"/>
      <c r="AC1160" s="28" t="n">
        <f aca="false">AB1160*$M1160</f>
        <v>0</v>
      </c>
      <c r="AD1160" s="28"/>
      <c r="AE1160" s="28" t="n">
        <f aca="false">AD1160*$M1160</f>
        <v>0</v>
      </c>
      <c r="AF1160" s="28"/>
      <c r="AG1160" s="28" t="n">
        <f aca="false">AF1160*$M1160</f>
        <v>0</v>
      </c>
      <c r="AH1160" s="28" t="n">
        <v>323</v>
      </c>
      <c r="AI1160" s="28" t="n">
        <v>2745</v>
      </c>
      <c r="AJ1160" s="28"/>
      <c r="AK1160" s="28" t="n">
        <f aca="false">AJ1160*$M1160</f>
        <v>0</v>
      </c>
      <c r="AL1160" s="28"/>
      <c r="AM1160" s="28" t="n">
        <f aca="false">AL1160*$M1160</f>
        <v>0</v>
      </c>
      <c r="AN1160" s="28"/>
      <c r="AO1160" s="28" t="n">
        <f aca="false">AN1160*$M1160</f>
        <v>0</v>
      </c>
      <c r="AP1160" s="28"/>
      <c r="AQ1160" s="28" t="n">
        <f aca="false">AP1160*$M1160</f>
        <v>0</v>
      </c>
      <c r="AR1160" s="28"/>
      <c r="AS1160" s="28" t="n">
        <f aca="false">AR1160*$M1160</f>
        <v>0</v>
      </c>
      <c r="AT1160" s="28"/>
      <c r="AU1160" s="28" t="n">
        <f aca="false">AT1160*$M1160</f>
        <v>0</v>
      </c>
      <c r="AV1160" s="28"/>
      <c r="AW1160" s="28" t="n">
        <f aca="false">AV1160*$M1160</f>
        <v>0</v>
      </c>
      <c r="AX1160" s="28"/>
      <c r="AY1160" s="28" t="n">
        <f aca="false">AX1160*$M1160</f>
        <v>0</v>
      </c>
      <c r="AZ1160" s="30" t="n">
        <v>2093</v>
      </c>
      <c r="BA1160" s="11" t="n">
        <v>17790</v>
      </c>
      <c r="BB1160" s="31" t="n">
        <f aca="false">SUM(Q1160,S1160,U1160,W1160,Y1160,AA1160,AC1160,AE1160,AG1160,AI1160,AK1160,AM1160,AO1160,AQ1160,AS1160,AU1160,AW1160,AY1160)</f>
        <v>17790</v>
      </c>
      <c r="BC1160" s="28" t="n">
        <f aca="false">BA1160-BB1160</f>
        <v>0</v>
      </c>
      <c r="BD1160" s="32" t="n">
        <f aca="false">SUM(P1160,R1160,T1160,V1160,X1160,Z1160,AB1160,AD1160,AF1160,AH1160,AJ1160,AL1160,AN1160,AP1160,AR1160,AT1160,AV1160,AX1160)</f>
        <v>2093</v>
      </c>
      <c r="BE1160" s="33" t="n">
        <f aca="false">AZ1160-BD1160</f>
        <v>0</v>
      </c>
      <c r="BF1160" s="34" t="n">
        <f aca="false">BD1160*M1160</f>
        <v>17790.5</v>
      </c>
      <c r="BG1160" s="35" t="n">
        <f aca="false">BA1160-BF1160</f>
        <v>-0.5</v>
      </c>
      <c r="BH1160" s="19" t="str">
        <f aca="false">IF(BG1160=0,"",IF(BG1160&lt;&gt;BA1160,"erreur de calcul",IF(BD1160&lt;&gt;0,"pas de prix",IF(M1160&lt;&gt; 0,"pas de quantité","pas de prix, ni de quantité"))))</f>
        <v>erreur de calcul</v>
      </c>
      <c r="BI1160" s="19"/>
    </row>
    <row r="1161" customFormat="false" ht="15" hidden="false" customHeight="false" outlineLevel="0" collapsed="false">
      <c r="A1161" s="0" t="n">
        <v>29</v>
      </c>
      <c r="B1161" s="8" t="s">
        <v>24</v>
      </c>
      <c r="C1161" s="9" t="s">
        <v>25</v>
      </c>
      <c r="D1161" s="9" t="s">
        <v>26</v>
      </c>
      <c r="E1161" s="10" t="n">
        <v>1789</v>
      </c>
      <c r="F1161" s="9" t="s">
        <v>27</v>
      </c>
      <c r="G1161" s="9" t="s">
        <v>27</v>
      </c>
      <c r="H1161" s="11" t="n">
        <v>21</v>
      </c>
      <c r="I1161" s="11" t="s">
        <v>182</v>
      </c>
      <c r="J1161" s="14" t="n">
        <v>24</v>
      </c>
      <c r="K1161" s="14"/>
      <c r="L1161" s="16"/>
      <c r="M1161" s="27" t="n">
        <f aca="false">J1161+(K1161/20)+(L1161/240)</f>
        <v>24</v>
      </c>
      <c r="N1161" s="17" t="s">
        <v>66</v>
      </c>
      <c r="O1161" s="11"/>
      <c r="P1161" s="28" t="n">
        <v>478</v>
      </c>
      <c r="Q1161" s="28" t="n">
        <v>11472</v>
      </c>
      <c r="R1161" s="28"/>
      <c r="S1161" s="28" t="n">
        <f aca="false">R1161*$M1161</f>
        <v>0</v>
      </c>
      <c r="T1161" s="28" t="n">
        <v>38</v>
      </c>
      <c r="U1161" s="28" t="n">
        <v>912</v>
      </c>
      <c r="V1161" s="28"/>
      <c r="W1161" s="28" t="n">
        <f aca="false">V1161*$M1161</f>
        <v>0</v>
      </c>
      <c r="X1161" s="28"/>
      <c r="Y1161" s="28" t="n">
        <f aca="false">X1161*$M1161</f>
        <v>0</v>
      </c>
      <c r="Z1161" s="28"/>
      <c r="AA1161" s="28" t="n">
        <f aca="false">Z1161*$M1161</f>
        <v>0</v>
      </c>
      <c r="AB1161" s="28"/>
      <c r="AC1161" s="28" t="n">
        <f aca="false">AB1161*$M1161</f>
        <v>0</v>
      </c>
      <c r="AD1161" s="28"/>
      <c r="AE1161" s="28" t="n">
        <f aca="false">AD1161*$M1161</f>
        <v>0</v>
      </c>
      <c r="AF1161" s="28"/>
      <c r="AG1161" s="28" t="n">
        <f aca="false">AF1161*$M1161</f>
        <v>0</v>
      </c>
      <c r="AH1161" s="28"/>
      <c r="AI1161" s="28" t="n">
        <f aca="false">AH1161*$M1161</f>
        <v>0</v>
      </c>
      <c r="AJ1161" s="28"/>
      <c r="AK1161" s="28" t="n">
        <f aca="false">AJ1161*$M1161</f>
        <v>0</v>
      </c>
      <c r="AL1161" s="28"/>
      <c r="AM1161" s="28" t="n">
        <f aca="false">AL1161*$M1161</f>
        <v>0</v>
      </c>
      <c r="AN1161" s="28"/>
      <c r="AO1161" s="28" t="n">
        <f aca="false">AN1161*$M1161</f>
        <v>0</v>
      </c>
      <c r="AP1161" s="28"/>
      <c r="AQ1161" s="28" t="n">
        <f aca="false">AP1161*$M1161</f>
        <v>0</v>
      </c>
      <c r="AR1161" s="28"/>
      <c r="AS1161" s="28" t="n">
        <f aca="false">AR1161*$M1161</f>
        <v>0</v>
      </c>
      <c r="AT1161" s="28"/>
      <c r="AU1161" s="28" t="n">
        <f aca="false">AT1161*$M1161</f>
        <v>0</v>
      </c>
      <c r="AV1161" s="28"/>
      <c r="AW1161" s="28" t="n">
        <f aca="false">AV1161*$M1161</f>
        <v>0</v>
      </c>
      <c r="AX1161" s="28"/>
      <c r="AY1161" s="28" t="n">
        <f aca="false">AX1161*$M1161</f>
        <v>0</v>
      </c>
      <c r="AZ1161" s="30" t="n">
        <v>516</v>
      </c>
      <c r="BA1161" s="11" t="n">
        <v>12384</v>
      </c>
      <c r="BB1161" s="31" t="n">
        <f aca="false">SUM(Q1161,S1161,U1161,W1161,Y1161,AA1161,AC1161,AE1161,AG1161,AI1161,AK1161,AM1161,AO1161,AQ1161,AS1161,AU1161,AW1161,AY1161)</f>
        <v>12384</v>
      </c>
      <c r="BC1161" s="28" t="n">
        <f aca="false">BA1161-BB1161</f>
        <v>0</v>
      </c>
      <c r="BD1161" s="32" t="n">
        <f aca="false">SUM(P1161,R1161,T1161,V1161,X1161,Z1161,AB1161,AD1161,AF1161,AH1161,AJ1161,AL1161,AN1161,AP1161,AR1161,AT1161,AV1161,AX1161)</f>
        <v>516</v>
      </c>
      <c r="BE1161" s="33" t="n">
        <f aca="false">AZ1161-BD1161</f>
        <v>0</v>
      </c>
      <c r="BF1161" s="34" t="n">
        <f aca="false">BD1161*M1161</f>
        <v>12384</v>
      </c>
      <c r="BG1161" s="35" t="n">
        <f aca="false">BA1161-BF1161</f>
        <v>0</v>
      </c>
      <c r="BH1161" s="19" t="str">
        <f aca="false">IF(BG1161=0,"",IF(BG1161&lt;&gt;BA1161,"erreur de calcul",IF(BD1161&lt;&gt;0,"pas de prix",IF(M1161&lt;&gt; 0,"pas de quantité","pas de prix, ni de quantité"))))</f>
        <v/>
      </c>
      <c r="BI1161" s="19"/>
    </row>
    <row r="1162" customFormat="false" ht="15" hidden="false" customHeight="false" outlineLevel="0" collapsed="false">
      <c r="A1162" s="0" t="n">
        <v>30</v>
      </c>
      <c r="B1162" s="8" t="s">
        <v>24</v>
      </c>
      <c r="C1162" s="9" t="s">
        <v>25</v>
      </c>
      <c r="D1162" s="9" t="s">
        <v>26</v>
      </c>
      <c r="E1162" s="10" t="n">
        <v>1789</v>
      </c>
      <c r="F1162" s="9" t="s">
        <v>27</v>
      </c>
      <c r="G1162" s="9" t="s">
        <v>27</v>
      </c>
      <c r="H1162" s="11" t="n">
        <v>21</v>
      </c>
      <c r="I1162" s="11" t="s">
        <v>183</v>
      </c>
      <c r="J1162" s="14" t="n">
        <v>240</v>
      </c>
      <c r="K1162" s="14"/>
      <c r="L1162" s="16"/>
      <c r="M1162" s="27" t="n">
        <f aca="false">J1162+(K1162/20)+(L1162/240)</f>
        <v>240</v>
      </c>
      <c r="N1162" s="17" t="s">
        <v>64</v>
      </c>
      <c r="O1162" s="11"/>
      <c r="P1162" s="28" t="n">
        <f aca="false">52196/100</f>
        <v>521.96</v>
      </c>
      <c r="Q1162" s="28" t="n">
        <v>125270</v>
      </c>
      <c r="R1162" s="28" t="n">
        <f aca="false">29767/100</f>
        <v>297.67</v>
      </c>
      <c r="S1162" s="28" t="n">
        <v>71441</v>
      </c>
      <c r="T1162" s="28"/>
      <c r="U1162" s="28" t="n">
        <f aca="false">T1162*$M1162</f>
        <v>0</v>
      </c>
      <c r="V1162" s="28"/>
      <c r="W1162" s="28" t="n">
        <f aca="false">V1162*$M1162</f>
        <v>0</v>
      </c>
      <c r="X1162" s="28"/>
      <c r="Y1162" s="28" t="n">
        <f aca="false">X1162*$M1162</f>
        <v>0</v>
      </c>
      <c r="Z1162" s="28"/>
      <c r="AA1162" s="28" t="n">
        <f aca="false">Z1162*$M1162</f>
        <v>0</v>
      </c>
      <c r="AB1162" s="28"/>
      <c r="AC1162" s="28" t="n">
        <f aca="false">AB1162*$M1162</f>
        <v>0</v>
      </c>
      <c r="AD1162" s="28"/>
      <c r="AE1162" s="28" t="n">
        <f aca="false">AD1162*$M1162</f>
        <v>0</v>
      </c>
      <c r="AF1162" s="28"/>
      <c r="AG1162" s="28" t="n">
        <f aca="false">AF1162*$M1162</f>
        <v>0</v>
      </c>
      <c r="AH1162" s="28"/>
      <c r="AI1162" s="28" t="n">
        <f aca="false">AH1162*$M1162</f>
        <v>0</v>
      </c>
      <c r="AJ1162" s="28"/>
      <c r="AK1162" s="28" t="n">
        <f aca="false">AJ1162*$M1162</f>
        <v>0</v>
      </c>
      <c r="AL1162" s="28"/>
      <c r="AM1162" s="28" t="n">
        <f aca="false">AL1162*$M1162</f>
        <v>0</v>
      </c>
      <c r="AN1162" s="28"/>
      <c r="AO1162" s="28" t="n">
        <f aca="false">AN1162*$M1162</f>
        <v>0</v>
      </c>
      <c r="AP1162" s="28"/>
      <c r="AQ1162" s="28" t="n">
        <f aca="false">AP1162*$M1162</f>
        <v>0</v>
      </c>
      <c r="AR1162" s="28"/>
      <c r="AS1162" s="28" t="n">
        <f aca="false">AR1162*$M1162</f>
        <v>0</v>
      </c>
      <c r="AT1162" s="28"/>
      <c r="AU1162" s="28" t="n">
        <f aca="false">AT1162*$M1162</f>
        <v>0</v>
      </c>
      <c r="AV1162" s="28"/>
      <c r="AW1162" s="28" t="n">
        <f aca="false">AV1162*$M1162</f>
        <v>0</v>
      </c>
      <c r="AX1162" s="28"/>
      <c r="AY1162" s="28" t="n">
        <f aca="false">AX1162*$M1162</f>
        <v>0</v>
      </c>
      <c r="AZ1162" s="30" t="n">
        <f aca="false">81963/100</f>
        <v>819.63</v>
      </c>
      <c r="BA1162" s="11" t="n">
        <v>196711</v>
      </c>
      <c r="BB1162" s="31" t="n">
        <f aca="false">SUM(Q1162,S1162,U1162,W1162,Y1162,AA1162,AC1162,AE1162,AG1162,AI1162,AK1162,AM1162,AO1162,AQ1162,AS1162,AU1162,AW1162,AY1162)</f>
        <v>196711</v>
      </c>
      <c r="BC1162" s="28" t="n">
        <f aca="false">BA1162-BB1162</f>
        <v>0</v>
      </c>
      <c r="BD1162" s="32" t="n">
        <f aca="false">SUM(P1162,R1162,T1162,V1162,X1162,Z1162,AB1162,AD1162,AF1162,AH1162,AJ1162,AL1162,AN1162,AP1162,AR1162,AT1162,AV1162,AX1162)</f>
        <v>819.63</v>
      </c>
      <c r="BE1162" s="33" t="n">
        <f aca="false">AZ1162-BD1162</f>
        <v>0</v>
      </c>
      <c r="BF1162" s="34" t="n">
        <f aca="false">BD1162*M1162</f>
        <v>196711.2</v>
      </c>
      <c r="BG1162" s="35" t="n">
        <f aca="false">BA1162-BF1162</f>
        <v>-0.200000000011642</v>
      </c>
      <c r="BH1162" s="19" t="str">
        <f aca="false">IF(BG1162=0,"",IF(BG1162&lt;&gt;BA1162,"erreur de calcul",IF(BD1162&lt;&gt;0,"pas de prix",IF(M1162&lt;&gt; 0,"pas de quantité","pas de prix, ni de quantité"))))</f>
        <v>erreur de calcul</v>
      </c>
      <c r="BI1162" s="19"/>
    </row>
    <row r="1163" customFormat="false" ht="15" hidden="false" customHeight="false" outlineLevel="0" collapsed="false">
      <c r="A1163" s="0" t="n">
        <v>31</v>
      </c>
      <c r="B1163" s="8" t="s">
        <v>24</v>
      </c>
      <c r="C1163" s="9" t="s">
        <v>25</v>
      </c>
      <c r="D1163" s="9" t="s">
        <v>26</v>
      </c>
      <c r="E1163" s="10" t="n">
        <v>1789</v>
      </c>
      <c r="F1163" s="9" t="s">
        <v>27</v>
      </c>
      <c r="G1163" s="9" t="s">
        <v>27</v>
      </c>
      <c r="H1163" s="11" t="n">
        <v>21</v>
      </c>
      <c r="I1163" s="11" t="s">
        <v>184</v>
      </c>
      <c r="J1163" s="14" t="n">
        <v>13</v>
      </c>
      <c r="K1163" s="14"/>
      <c r="L1163" s="16"/>
      <c r="M1163" s="27" t="n">
        <f aca="false">J1163+(K1163/20)+(L1163/240)</f>
        <v>13</v>
      </c>
      <c r="N1163" s="17" t="s">
        <v>66</v>
      </c>
      <c r="O1163" s="11"/>
      <c r="P1163" s="28"/>
      <c r="Q1163" s="28" t="n">
        <f aca="false">P1163*$M1163</f>
        <v>0</v>
      </c>
      <c r="R1163" s="28"/>
      <c r="S1163" s="28" t="n">
        <f aca="false">R1163*$M1163</f>
        <v>0</v>
      </c>
      <c r="T1163" s="28"/>
      <c r="U1163" s="28" t="n">
        <f aca="false">T1163*$M1163</f>
        <v>0</v>
      </c>
      <c r="V1163" s="28"/>
      <c r="W1163" s="28" t="n">
        <f aca="false">V1163*$M1163</f>
        <v>0</v>
      </c>
      <c r="X1163" s="28"/>
      <c r="Y1163" s="28" t="n">
        <f aca="false">X1163*$M1163</f>
        <v>0</v>
      </c>
      <c r="Z1163" s="28"/>
      <c r="AA1163" s="28" t="n">
        <f aca="false">Z1163*$M1163</f>
        <v>0</v>
      </c>
      <c r="AB1163" s="28"/>
      <c r="AC1163" s="28" t="n">
        <f aca="false">AB1163*$M1163</f>
        <v>0</v>
      </c>
      <c r="AD1163" s="28"/>
      <c r="AE1163" s="28" t="n">
        <f aca="false">AD1163*$M1163</f>
        <v>0</v>
      </c>
      <c r="AF1163" s="28"/>
      <c r="AG1163" s="28" t="n">
        <f aca="false">AF1163*$M1163</f>
        <v>0</v>
      </c>
      <c r="AH1163" s="28" t="n">
        <v>354</v>
      </c>
      <c r="AI1163" s="28" t="n">
        <v>4602</v>
      </c>
      <c r="AJ1163" s="28"/>
      <c r="AK1163" s="28" t="n">
        <f aca="false">AJ1163*$M1163</f>
        <v>0</v>
      </c>
      <c r="AL1163" s="28"/>
      <c r="AM1163" s="28" t="n">
        <f aca="false">AL1163*$M1163</f>
        <v>0</v>
      </c>
      <c r="AN1163" s="28"/>
      <c r="AO1163" s="28" t="n">
        <f aca="false">AN1163*$M1163</f>
        <v>0</v>
      </c>
      <c r="AP1163" s="28"/>
      <c r="AQ1163" s="28" t="n">
        <f aca="false">AP1163*$M1163</f>
        <v>0</v>
      </c>
      <c r="AR1163" s="28"/>
      <c r="AS1163" s="28" t="n">
        <f aca="false">AR1163*$M1163</f>
        <v>0</v>
      </c>
      <c r="AT1163" s="28"/>
      <c r="AU1163" s="28" t="n">
        <f aca="false">AT1163*$M1163</f>
        <v>0</v>
      </c>
      <c r="AV1163" s="28"/>
      <c r="AW1163" s="28" t="n">
        <f aca="false">AV1163*$M1163</f>
        <v>0</v>
      </c>
      <c r="AX1163" s="28"/>
      <c r="AY1163" s="28" t="n">
        <f aca="false">AX1163*$M1163</f>
        <v>0</v>
      </c>
      <c r="AZ1163" s="30" t="n">
        <v>354</v>
      </c>
      <c r="BA1163" s="11" t="n">
        <v>4602</v>
      </c>
      <c r="BB1163" s="31" t="n">
        <f aca="false">SUM(Q1163,S1163,U1163,W1163,Y1163,AA1163,AC1163,AE1163,AG1163,AI1163,AK1163,AM1163,AO1163,AQ1163,AS1163,AU1163,AW1163,AY1163)</f>
        <v>4602</v>
      </c>
      <c r="BC1163" s="28" t="n">
        <f aca="false">BA1163-BB1163</f>
        <v>0</v>
      </c>
      <c r="BD1163" s="32" t="n">
        <f aca="false">SUM(P1163,R1163,T1163,V1163,X1163,Z1163,AB1163,AD1163,AF1163,AH1163,AJ1163,AL1163,AN1163,AP1163,AR1163,AT1163,AV1163,AX1163)</f>
        <v>354</v>
      </c>
      <c r="BE1163" s="33" t="n">
        <f aca="false">AZ1163-BD1163</f>
        <v>0</v>
      </c>
      <c r="BF1163" s="34" t="n">
        <f aca="false">BD1163*M1163</f>
        <v>4602</v>
      </c>
      <c r="BG1163" s="35" t="n">
        <f aca="false">BA1163-BF1163</f>
        <v>0</v>
      </c>
      <c r="BH1163" s="19" t="str">
        <f aca="false">IF(BG1163=0,"",IF(BG1163&lt;&gt;BA1163,"erreur de calcul",IF(BD1163&lt;&gt;0,"pas de prix",IF(M1163&lt;&gt; 0,"pas de quantité","pas de prix, ni de quantité"))))</f>
        <v/>
      </c>
      <c r="BI1163" s="19"/>
    </row>
    <row r="1164" customFormat="false" ht="15" hidden="false" customHeight="false" outlineLevel="0" collapsed="false">
      <c r="A1164" s="0" t="n">
        <v>32</v>
      </c>
      <c r="B1164" s="8" t="s">
        <v>24</v>
      </c>
      <c r="C1164" s="9" t="s">
        <v>25</v>
      </c>
      <c r="D1164" s="9" t="s">
        <v>26</v>
      </c>
      <c r="E1164" s="10" t="n">
        <v>1789</v>
      </c>
      <c r="F1164" s="9" t="s">
        <v>27</v>
      </c>
      <c r="G1164" s="9" t="s">
        <v>27</v>
      </c>
      <c r="H1164" s="11" t="n">
        <v>21</v>
      </c>
      <c r="I1164" s="11" t="s">
        <v>185</v>
      </c>
      <c r="J1164" s="14" t="n">
        <v>245</v>
      </c>
      <c r="K1164" s="14"/>
      <c r="L1164" s="16"/>
      <c r="M1164" s="27" t="n">
        <f aca="false">J1164+(K1164/20)+(L1164/240)</f>
        <v>245</v>
      </c>
      <c r="N1164" s="17" t="s">
        <v>64</v>
      </c>
      <c r="O1164" s="11"/>
      <c r="P1164" s="28"/>
      <c r="Q1164" s="28" t="n">
        <f aca="false">P1164*$M1164</f>
        <v>0</v>
      </c>
      <c r="R1164" s="28"/>
      <c r="S1164" s="28" t="n">
        <f aca="false">R1164*$M1164</f>
        <v>0</v>
      </c>
      <c r="T1164" s="28"/>
      <c r="U1164" s="28" t="n">
        <f aca="false">T1164*$M1164</f>
        <v>0</v>
      </c>
      <c r="V1164" s="28" t="n">
        <f aca="false">720/100</f>
        <v>7.2</v>
      </c>
      <c r="W1164" s="28" t="n">
        <v>1764</v>
      </c>
      <c r="X1164" s="28" t="n">
        <f aca="false">40366/100</f>
        <v>403.66</v>
      </c>
      <c r="Y1164" s="28" t="n">
        <v>98897</v>
      </c>
      <c r="Z1164" s="28"/>
      <c r="AA1164" s="28" t="n">
        <f aca="false">Z1164*$M1164</f>
        <v>0</v>
      </c>
      <c r="AB1164" s="28"/>
      <c r="AC1164" s="28" t="n">
        <f aca="false">AB1164*$M1164</f>
        <v>0</v>
      </c>
      <c r="AD1164" s="28"/>
      <c r="AE1164" s="28" t="n">
        <f aca="false">AD1164*$M1164</f>
        <v>0</v>
      </c>
      <c r="AF1164" s="28"/>
      <c r="AG1164" s="28" t="n">
        <f aca="false">AF1164*$M1164</f>
        <v>0</v>
      </c>
      <c r="AH1164" s="28" t="n">
        <f aca="false">83243/100</f>
        <v>832.43</v>
      </c>
      <c r="AI1164" s="28" t="n">
        <v>203945</v>
      </c>
      <c r="AJ1164" s="28"/>
      <c r="AK1164" s="28" t="n">
        <f aca="false">AJ1164*$M1164</f>
        <v>0</v>
      </c>
      <c r="AL1164" s="28"/>
      <c r="AM1164" s="28" t="n">
        <f aca="false">AL1164*$M1164</f>
        <v>0</v>
      </c>
      <c r="AN1164" s="28"/>
      <c r="AO1164" s="28" t="n">
        <f aca="false">AN1164*$M1164</f>
        <v>0</v>
      </c>
      <c r="AP1164" s="28"/>
      <c r="AQ1164" s="28" t="n">
        <f aca="false">AP1164*$M1164</f>
        <v>0</v>
      </c>
      <c r="AR1164" s="28"/>
      <c r="AS1164" s="28" t="n">
        <f aca="false">AR1164*$M1164</f>
        <v>0</v>
      </c>
      <c r="AT1164" s="28"/>
      <c r="AU1164" s="28" t="n">
        <f aca="false">AT1164*$M1164</f>
        <v>0</v>
      </c>
      <c r="AV1164" s="28"/>
      <c r="AW1164" s="28" t="n">
        <f aca="false">AV1164*$M1164</f>
        <v>0</v>
      </c>
      <c r="AX1164" s="28"/>
      <c r="AY1164" s="28" t="n">
        <f aca="false">AX1164*$M1164</f>
        <v>0</v>
      </c>
      <c r="AZ1164" s="30" t="n">
        <f aca="false">124329/100</f>
        <v>1243.29</v>
      </c>
      <c r="BA1164" s="11" t="n">
        <v>304606</v>
      </c>
      <c r="BB1164" s="31" t="n">
        <f aca="false">SUM(Q1164,S1164,U1164,W1164,Y1164,AA1164,AC1164,AE1164,AG1164,AI1164,AK1164,AM1164,AO1164,AQ1164,AS1164,AU1164,AW1164,AY1164)</f>
        <v>304606</v>
      </c>
      <c r="BC1164" s="28" t="n">
        <f aca="false">BA1164-BB1164</f>
        <v>0</v>
      </c>
      <c r="BD1164" s="32" t="n">
        <f aca="false">SUM(P1164,R1164,T1164,V1164,X1164,Z1164,AB1164,AD1164,AF1164,AH1164,AJ1164,AL1164,AN1164,AP1164,AR1164,AT1164,AV1164,AX1164)</f>
        <v>1243.29</v>
      </c>
      <c r="BE1164" s="33" t="n">
        <f aca="false">AZ1164-BD1164</f>
        <v>0</v>
      </c>
      <c r="BF1164" s="34" t="n">
        <f aca="false">BD1164*M1164</f>
        <v>304606.05</v>
      </c>
      <c r="BG1164" s="35" t="n">
        <f aca="false">BA1164-BF1164</f>
        <v>-0.0499999999883585</v>
      </c>
      <c r="BH1164" s="19" t="str">
        <f aca="false">IF(BG1164=0,"",IF(BG1164&lt;&gt;BA1164,"erreur de calcul",IF(BD1164&lt;&gt;0,"pas de prix",IF(M1164&lt;&gt; 0,"pas de quantité","pas de prix, ni de quantité"))))</f>
        <v>erreur de calcul</v>
      </c>
      <c r="BI1164" s="19"/>
    </row>
    <row r="1165" customFormat="false" ht="15" hidden="false" customHeight="false" outlineLevel="0" collapsed="false">
      <c r="A1165" s="0" t="n">
        <v>33</v>
      </c>
      <c r="B1165" s="8" t="s">
        <v>24</v>
      </c>
      <c r="C1165" s="9" t="s">
        <v>25</v>
      </c>
      <c r="D1165" s="9" t="s">
        <v>26</v>
      </c>
      <c r="E1165" s="10" t="n">
        <v>1789</v>
      </c>
      <c r="F1165" s="9" t="s">
        <v>27</v>
      </c>
      <c r="G1165" s="9" t="s">
        <v>27</v>
      </c>
      <c r="H1165" s="11" t="n">
        <v>21</v>
      </c>
      <c r="I1165" s="11" t="s">
        <v>186</v>
      </c>
      <c r="J1165" s="14" t="n">
        <v>240</v>
      </c>
      <c r="K1165" s="14"/>
      <c r="L1165" s="16"/>
      <c r="M1165" s="27" t="n">
        <f aca="false">J1165+(K1165/20)+(L1165/240)</f>
        <v>240</v>
      </c>
      <c r="N1165" s="17" t="s">
        <v>64</v>
      </c>
      <c r="O1165" s="11"/>
      <c r="P1165" s="28"/>
      <c r="Q1165" s="28" t="n">
        <f aca="false">P1165*$M1165</f>
        <v>0</v>
      </c>
      <c r="R1165" s="28"/>
      <c r="S1165" s="28" t="n">
        <f aca="false">R1165*$M1165</f>
        <v>0</v>
      </c>
      <c r="T1165" s="28"/>
      <c r="U1165" s="28" t="n">
        <f aca="false">T1165*$M1165</f>
        <v>0</v>
      </c>
      <c r="V1165" s="28"/>
      <c r="W1165" s="28" t="n">
        <f aca="false">V1165*$M1165</f>
        <v>0</v>
      </c>
      <c r="X1165" s="28"/>
      <c r="Y1165" s="28" t="n">
        <f aca="false">X1165*$M1165</f>
        <v>0</v>
      </c>
      <c r="Z1165" s="28"/>
      <c r="AA1165" s="28" t="n">
        <f aca="false">Z1165*$M1165</f>
        <v>0</v>
      </c>
      <c r="AB1165" s="28"/>
      <c r="AC1165" s="28" t="n">
        <f aca="false">AB1165*$M1165</f>
        <v>0</v>
      </c>
      <c r="AD1165" s="28"/>
      <c r="AE1165" s="28" t="n">
        <f aca="false">AD1165*$M1165</f>
        <v>0</v>
      </c>
      <c r="AF1165" s="28"/>
      <c r="AG1165" s="28" t="n">
        <f aca="false">AF1165*$M1165</f>
        <v>0</v>
      </c>
      <c r="AH1165" s="28" t="n">
        <f aca="false">803/100</f>
        <v>8.03</v>
      </c>
      <c r="AI1165" s="28" t="n">
        <v>1927</v>
      </c>
      <c r="AJ1165" s="28"/>
      <c r="AK1165" s="28" t="n">
        <f aca="false">AJ1165*$M1165</f>
        <v>0</v>
      </c>
      <c r="AL1165" s="28"/>
      <c r="AM1165" s="28" t="n">
        <f aca="false">AL1165*$M1165</f>
        <v>0</v>
      </c>
      <c r="AN1165" s="28"/>
      <c r="AO1165" s="28" t="n">
        <f aca="false">AN1165*$M1165</f>
        <v>0</v>
      </c>
      <c r="AP1165" s="28"/>
      <c r="AQ1165" s="28" t="n">
        <f aca="false">AP1165*$M1165</f>
        <v>0</v>
      </c>
      <c r="AR1165" s="28"/>
      <c r="AS1165" s="28" t="n">
        <f aca="false">AR1165*$M1165</f>
        <v>0</v>
      </c>
      <c r="AT1165" s="28"/>
      <c r="AU1165" s="28" t="n">
        <f aca="false">AT1165*$M1165</f>
        <v>0</v>
      </c>
      <c r="AV1165" s="28"/>
      <c r="AW1165" s="28" t="n">
        <f aca="false">AV1165*$M1165</f>
        <v>0</v>
      </c>
      <c r="AX1165" s="28"/>
      <c r="AY1165" s="28" t="n">
        <f aca="false">AX1165*$M1165</f>
        <v>0</v>
      </c>
      <c r="AZ1165" s="30" t="n">
        <f aca="false">803/100</f>
        <v>8.03</v>
      </c>
      <c r="BA1165" s="11" t="n">
        <v>1927</v>
      </c>
      <c r="BB1165" s="31" t="n">
        <f aca="false">SUM(Q1165,S1165,U1165,W1165,Y1165,AA1165,AC1165,AE1165,AG1165,AI1165,AK1165,AM1165,AO1165,AQ1165,AS1165,AU1165,AW1165,AY1165)</f>
        <v>1927</v>
      </c>
      <c r="BC1165" s="28" t="n">
        <f aca="false">BA1165-BB1165</f>
        <v>0</v>
      </c>
      <c r="BD1165" s="32" t="n">
        <f aca="false">SUM(P1165,R1165,T1165,V1165,X1165,Z1165,AB1165,AD1165,AF1165,AH1165,AJ1165,AL1165,AN1165,AP1165,AR1165,AT1165,AV1165,AX1165)</f>
        <v>8.03</v>
      </c>
      <c r="BE1165" s="33" t="n">
        <f aca="false">AZ1165-BD1165</f>
        <v>0</v>
      </c>
      <c r="BF1165" s="34" t="n">
        <f aca="false">BD1165*M1165</f>
        <v>1927.2</v>
      </c>
      <c r="BG1165" s="35" t="n">
        <f aca="false">BA1165-BF1165</f>
        <v>-0.199999999999818</v>
      </c>
      <c r="BH1165" s="19" t="str">
        <f aca="false">IF(BG1165=0,"",IF(BG1165&lt;&gt;BA1165,"erreur de calcul",IF(BD1165&lt;&gt;0,"pas de prix",IF(M1165&lt;&gt; 0,"pas de quantité","pas de prix, ni de quantité"))))</f>
        <v>erreur de calcul</v>
      </c>
      <c r="BI1165" s="19"/>
    </row>
    <row r="1166" customFormat="false" ht="15" hidden="false" customHeight="false" outlineLevel="0" collapsed="false">
      <c r="A1166" s="0" t="n">
        <v>34</v>
      </c>
      <c r="B1166" s="8" t="s">
        <v>24</v>
      </c>
      <c r="C1166" s="9" t="s">
        <v>25</v>
      </c>
      <c r="D1166" s="9" t="s">
        <v>26</v>
      </c>
      <c r="E1166" s="10" t="n">
        <v>1789</v>
      </c>
      <c r="F1166" s="9" t="s">
        <v>27</v>
      </c>
      <c r="G1166" s="9" t="s">
        <v>27</v>
      </c>
      <c r="H1166" s="11" t="n">
        <v>21</v>
      </c>
      <c r="I1166" s="11" t="s">
        <v>187</v>
      </c>
      <c r="J1166" s="14" t="n">
        <v>45</v>
      </c>
      <c r="K1166" s="14"/>
      <c r="L1166" s="16"/>
      <c r="M1166" s="27" t="n">
        <f aca="false">J1166+(K1166/20)+(L1166/240)</f>
        <v>45</v>
      </c>
      <c r="N1166" s="17" t="s">
        <v>64</v>
      </c>
      <c r="O1166" s="11"/>
      <c r="P1166" s="28" t="n">
        <f aca="false">8827/100</f>
        <v>88.27</v>
      </c>
      <c r="Q1166" s="28" t="n">
        <v>3972</v>
      </c>
      <c r="R1166" s="28"/>
      <c r="S1166" s="28" t="n">
        <f aca="false">R1166*$M1166</f>
        <v>0</v>
      </c>
      <c r="T1166" s="28"/>
      <c r="U1166" s="28" t="n">
        <f aca="false">T1166*$M1166</f>
        <v>0</v>
      </c>
      <c r="V1166" s="28" t="n">
        <f aca="false">8951/100</f>
        <v>89.51</v>
      </c>
      <c r="W1166" s="28" t="n">
        <v>4028</v>
      </c>
      <c r="X1166" s="28" t="n">
        <f aca="false">49106/100</f>
        <v>491.06</v>
      </c>
      <c r="Y1166" s="28" t="n">
        <v>22098</v>
      </c>
      <c r="Z1166" s="28"/>
      <c r="AA1166" s="28" t="n">
        <f aca="false">Z1166*$M1166</f>
        <v>0</v>
      </c>
      <c r="AB1166" s="28" t="n">
        <f aca="false">313412/100</f>
        <v>3134.12</v>
      </c>
      <c r="AC1166" s="28" t="n">
        <v>141035</v>
      </c>
      <c r="AD1166" s="28"/>
      <c r="AE1166" s="28" t="n">
        <f aca="false">AD1166*$M1166</f>
        <v>0</v>
      </c>
      <c r="AF1166" s="28"/>
      <c r="AG1166" s="28" t="n">
        <f aca="false">AF1166*$M1166</f>
        <v>0</v>
      </c>
      <c r="AH1166" s="28"/>
      <c r="AI1166" s="28" t="n">
        <f aca="false">AH1166*$M1166</f>
        <v>0</v>
      </c>
      <c r="AJ1166" s="28"/>
      <c r="AK1166" s="28" t="n">
        <f aca="false">AJ1166*$M1166</f>
        <v>0</v>
      </c>
      <c r="AL1166" s="28"/>
      <c r="AM1166" s="28" t="n">
        <f aca="false">AL1166*$M1166</f>
        <v>0</v>
      </c>
      <c r="AN1166" s="28"/>
      <c r="AO1166" s="28" t="n">
        <f aca="false">AN1166*$M1166</f>
        <v>0</v>
      </c>
      <c r="AP1166" s="28"/>
      <c r="AQ1166" s="28" t="n">
        <f aca="false">AP1166*$M1166</f>
        <v>0</v>
      </c>
      <c r="AR1166" s="28"/>
      <c r="AS1166" s="28" t="n">
        <f aca="false">AR1166*$M1166</f>
        <v>0</v>
      </c>
      <c r="AT1166" s="28"/>
      <c r="AU1166" s="28" t="n">
        <f aca="false">AT1166*$M1166</f>
        <v>0</v>
      </c>
      <c r="AV1166" s="28"/>
      <c r="AW1166" s="28" t="n">
        <f aca="false">AV1166*$M1166</f>
        <v>0</v>
      </c>
      <c r="AX1166" s="28"/>
      <c r="AY1166" s="28" t="n">
        <f aca="false">AX1166*$M1166</f>
        <v>0</v>
      </c>
      <c r="AZ1166" s="30" t="n">
        <f aca="false">380296/100</f>
        <v>3802.96</v>
      </c>
      <c r="BA1166" s="11" t="n">
        <v>171133</v>
      </c>
      <c r="BB1166" s="31" t="n">
        <f aca="false">SUM(Q1166,S1166,U1166,W1166,Y1166,AA1166,AC1166,AE1166,AG1166,AI1166,AK1166,AM1166,AO1166,AQ1166,AS1166,AU1166,AW1166,AY1166)</f>
        <v>171133</v>
      </c>
      <c r="BC1166" s="28" t="n">
        <f aca="false">BA1166-BB1166</f>
        <v>0</v>
      </c>
      <c r="BD1166" s="32" t="n">
        <f aca="false">SUM(P1166,R1166,T1166,V1166,X1166,Z1166,AB1166,AD1166,AF1166,AH1166,AJ1166,AL1166,AN1166,AP1166,AR1166,AT1166,AV1166,AX1166)</f>
        <v>3802.96</v>
      </c>
      <c r="BE1166" s="33" t="n">
        <f aca="false">AZ1166-BD1166</f>
        <v>0</v>
      </c>
      <c r="BF1166" s="34" t="n">
        <f aca="false">BD1166*M1166</f>
        <v>171133.2</v>
      </c>
      <c r="BG1166" s="35" t="n">
        <f aca="false">BA1166-BF1166</f>
        <v>-0.200000000011642</v>
      </c>
      <c r="BH1166" s="19" t="str">
        <f aca="false">IF(BG1166=0,"",IF(BG1166&lt;&gt;BA1166,"erreur de calcul",IF(BD1166&lt;&gt;0,"pas de prix",IF(M1166&lt;&gt; 0,"pas de quantité","pas de prix, ni de quantité"))))</f>
        <v>erreur de calcul</v>
      </c>
      <c r="BI1166" s="19"/>
    </row>
    <row r="1167" customFormat="false" ht="15" hidden="false" customHeight="false" outlineLevel="0" collapsed="false">
      <c r="A1167" s="0" t="n">
        <v>35</v>
      </c>
      <c r="B1167" s="8" t="s">
        <v>24</v>
      </c>
      <c r="C1167" s="9" t="s">
        <v>25</v>
      </c>
      <c r="D1167" s="9" t="s">
        <v>26</v>
      </c>
      <c r="E1167" s="10" t="n">
        <v>1789</v>
      </c>
      <c r="F1167" s="9" t="s">
        <v>27</v>
      </c>
      <c r="G1167" s="9" t="s">
        <v>27</v>
      </c>
      <c r="H1167" s="11" t="n">
        <v>21</v>
      </c>
      <c r="I1167" s="11" t="s">
        <v>188</v>
      </c>
      <c r="J1167" s="14" t="n">
        <v>60</v>
      </c>
      <c r="K1167" s="14"/>
      <c r="L1167" s="16"/>
      <c r="M1167" s="27" t="n">
        <f aca="false">J1167+(K1167/20)+(L1167/240)</f>
        <v>60</v>
      </c>
      <c r="N1167" s="17" t="s">
        <v>64</v>
      </c>
      <c r="O1167" s="11"/>
      <c r="P1167" s="28"/>
      <c r="Q1167" s="28" t="n">
        <f aca="false">P1167*$M1167</f>
        <v>0</v>
      </c>
      <c r="R1167" s="28"/>
      <c r="S1167" s="28" t="n">
        <f aca="false">R1167*$M1167</f>
        <v>0</v>
      </c>
      <c r="T1167" s="28"/>
      <c r="U1167" s="28" t="n">
        <f aca="false">T1167*$M1167</f>
        <v>0</v>
      </c>
      <c r="V1167" s="28"/>
      <c r="W1167" s="28" t="n">
        <f aca="false">V1167*$M1167</f>
        <v>0</v>
      </c>
      <c r="X1167" s="28"/>
      <c r="Y1167" s="28" t="n">
        <f aca="false">X1167*$M1167</f>
        <v>0</v>
      </c>
      <c r="Z1167" s="28"/>
      <c r="AA1167" s="28" t="n">
        <f aca="false">Z1167*$M1167</f>
        <v>0</v>
      </c>
      <c r="AB1167" s="28"/>
      <c r="AC1167" s="28" t="n">
        <f aca="false">AB1167*$M1167</f>
        <v>0</v>
      </c>
      <c r="AD1167" s="28"/>
      <c r="AE1167" s="28" t="n">
        <f aca="false">AD1167*$M1167</f>
        <v>0</v>
      </c>
      <c r="AF1167" s="28"/>
      <c r="AG1167" s="28" t="n">
        <f aca="false">AF1167*$M1167</f>
        <v>0</v>
      </c>
      <c r="AH1167" s="28" t="n">
        <f aca="false">6391/100</f>
        <v>63.91</v>
      </c>
      <c r="AI1167" s="28" t="n">
        <v>3835</v>
      </c>
      <c r="AJ1167" s="28"/>
      <c r="AK1167" s="28" t="n">
        <f aca="false">AJ1167*$M1167</f>
        <v>0</v>
      </c>
      <c r="AL1167" s="28"/>
      <c r="AM1167" s="28" t="n">
        <f aca="false">AL1167*$M1167</f>
        <v>0</v>
      </c>
      <c r="AN1167" s="28"/>
      <c r="AO1167" s="28" t="n">
        <f aca="false">AN1167*$M1167</f>
        <v>0</v>
      </c>
      <c r="AP1167" s="28"/>
      <c r="AQ1167" s="28" t="n">
        <f aca="false">AP1167*$M1167</f>
        <v>0</v>
      </c>
      <c r="AR1167" s="28"/>
      <c r="AS1167" s="28" t="n">
        <f aca="false">AR1167*$M1167</f>
        <v>0</v>
      </c>
      <c r="AT1167" s="28"/>
      <c r="AU1167" s="28" t="n">
        <f aca="false">AT1167*$M1167</f>
        <v>0</v>
      </c>
      <c r="AV1167" s="28"/>
      <c r="AW1167" s="28" t="n">
        <f aca="false">AV1167*$M1167</f>
        <v>0</v>
      </c>
      <c r="AX1167" s="28"/>
      <c r="AY1167" s="28" t="n">
        <f aca="false">AX1167*$M1167</f>
        <v>0</v>
      </c>
      <c r="AZ1167" s="30" t="n">
        <f aca="false">6391/100</f>
        <v>63.91</v>
      </c>
      <c r="BA1167" s="11" t="n">
        <v>3835</v>
      </c>
      <c r="BB1167" s="31" t="n">
        <f aca="false">SUM(Q1167,S1167,U1167,W1167,Y1167,AA1167,AC1167,AE1167,AG1167,AI1167,AK1167,AM1167,AO1167,AQ1167,AS1167,AU1167,AW1167,AY1167)</f>
        <v>3835</v>
      </c>
      <c r="BC1167" s="28" t="n">
        <f aca="false">BA1167-BB1167</f>
        <v>0</v>
      </c>
      <c r="BD1167" s="32" t="n">
        <f aca="false">SUM(P1167,R1167,T1167,V1167,X1167,Z1167,AB1167,AD1167,AF1167,AH1167,AJ1167,AL1167,AN1167,AP1167,AR1167,AT1167,AV1167,AX1167)</f>
        <v>63.91</v>
      </c>
      <c r="BE1167" s="33" t="n">
        <f aca="false">AZ1167-BD1167</f>
        <v>0</v>
      </c>
      <c r="BF1167" s="34" t="n">
        <f aca="false">BD1167*M1167</f>
        <v>3834.6</v>
      </c>
      <c r="BG1167" s="35" t="n">
        <f aca="false">BA1167-BF1167</f>
        <v>0.400000000000091</v>
      </c>
      <c r="BH1167" s="19" t="str">
        <f aca="false">IF(BG1167=0,"",IF(BG1167&lt;&gt;BA1167,"erreur de calcul",IF(BD1167&lt;&gt;0,"pas de prix",IF(M1167&lt;&gt; 0,"pas de quantité","pas de prix, ni de quantité"))))</f>
        <v>erreur de calcul</v>
      </c>
      <c r="BI1167" s="19"/>
    </row>
    <row r="1168" customFormat="false" ht="15" hidden="false" customHeight="false" outlineLevel="0" collapsed="false">
      <c r="A1168" s="0" t="n">
        <v>36</v>
      </c>
      <c r="B1168" s="8" t="s">
        <v>24</v>
      </c>
      <c r="C1168" s="9" t="s">
        <v>25</v>
      </c>
      <c r="D1168" s="9" t="s">
        <v>26</v>
      </c>
      <c r="E1168" s="10" t="n">
        <v>1789</v>
      </c>
      <c r="F1168" s="9" t="s">
        <v>27</v>
      </c>
      <c r="G1168" s="9" t="s">
        <v>27</v>
      </c>
      <c r="H1168" s="11" t="n">
        <v>21</v>
      </c>
      <c r="I1168" s="11" t="s">
        <v>189</v>
      </c>
      <c r="J1168" s="14" t="n">
        <v>30</v>
      </c>
      <c r="K1168" s="14"/>
      <c r="L1168" s="16"/>
      <c r="M1168" s="27" t="n">
        <f aca="false">J1168+(K1168/20)+(L1168/240)</f>
        <v>30</v>
      </c>
      <c r="N1168" s="17" t="s">
        <v>66</v>
      </c>
      <c r="O1168" s="11"/>
      <c r="P1168" s="28"/>
      <c r="Q1168" s="28" t="n">
        <f aca="false">P1168*$M1168</f>
        <v>0</v>
      </c>
      <c r="R1168" s="28"/>
      <c r="S1168" s="28" t="n">
        <f aca="false">R1168*$M1168</f>
        <v>0</v>
      </c>
      <c r="T1168" s="28"/>
      <c r="U1168" s="28" t="n">
        <f aca="false">T1168*$M1168</f>
        <v>0</v>
      </c>
      <c r="V1168" s="28" t="n">
        <v>146</v>
      </c>
      <c r="W1168" s="28" t="n">
        <v>4380</v>
      </c>
      <c r="X1168" s="28"/>
      <c r="Y1168" s="28" t="n">
        <f aca="false">X1168*$M1168</f>
        <v>0</v>
      </c>
      <c r="Z1168" s="28"/>
      <c r="AA1168" s="28" t="n">
        <f aca="false">Z1168*$M1168</f>
        <v>0</v>
      </c>
      <c r="AB1168" s="28"/>
      <c r="AC1168" s="28" t="n">
        <f aca="false">AB1168*$M1168</f>
        <v>0</v>
      </c>
      <c r="AD1168" s="28"/>
      <c r="AE1168" s="28" t="n">
        <f aca="false">AD1168*$M1168</f>
        <v>0</v>
      </c>
      <c r="AF1168" s="28"/>
      <c r="AG1168" s="28" t="n">
        <f aca="false">AF1168*$M1168</f>
        <v>0</v>
      </c>
      <c r="AH1168" s="28"/>
      <c r="AI1168" s="28" t="n">
        <f aca="false">AH1168*$M1168</f>
        <v>0</v>
      </c>
      <c r="AJ1168" s="28"/>
      <c r="AK1168" s="28" t="n">
        <f aca="false">AJ1168*$M1168</f>
        <v>0</v>
      </c>
      <c r="AL1168" s="28"/>
      <c r="AM1168" s="28" t="n">
        <f aca="false">AL1168*$M1168</f>
        <v>0</v>
      </c>
      <c r="AN1168" s="28"/>
      <c r="AO1168" s="28" t="n">
        <f aca="false">AN1168*$M1168</f>
        <v>0</v>
      </c>
      <c r="AP1168" s="28"/>
      <c r="AQ1168" s="28" t="n">
        <f aca="false">AP1168*$M1168</f>
        <v>0</v>
      </c>
      <c r="AR1168" s="28"/>
      <c r="AS1168" s="28" t="n">
        <f aca="false">AR1168*$M1168</f>
        <v>0</v>
      </c>
      <c r="AT1168" s="28"/>
      <c r="AU1168" s="28" t="n">
        <f aca="false">AT1168*$M1168</f>
        <v>0</v>
      </c>
      <c r="AV1168" s="28"/>
      <c r="AW1168" s="28" t="n">
        <f aca="false">AV1168*$M1168</f>
        <v>0</v>
      </c>
      <c r="AX1168" s="28"/>
      <c r="AY1168" s="28" t="n">
        <f aca="false">AX1168*$M1168</f>
        <v>0</v>
      </c>
      <c r="AZ1168" s="30" t="n">
        <v>146</v>
      </c>
      <c r="BA1168" s="11" t="n">
        <v>4380</v>
      </c>
      <c r="BB1168" s="31" t="n">
        <f aca="false">SUM(Q1168,S1168,U1168,W1168,Y1168,AA1168,AC1168,AE1168,AG1168,AI1168,AK1168,AM1168,AO1168,AQ1168,AS1168,AU1168,AW1168,AY1168)</f>
        <v>4380</v>
      </c>
      <c r="BC1168" s="28" t="n">
        <f aca="false">BA1168-BB1168</f>
        <v>0</v>
      </c>
      <c r="BD1168" s="32" t="n">
        <f aca="false">SUM(P1168,R1168,T1168,V1168,X1168,Z1168,AB1168,AD1168,AF1168,AH1168,AJ1168,AL1168,AN1168,AP1168,AR1168,AT1168,AV1168,AX1168)</f>
        <v>146</v>
      </c>
      <c r="BE1168" s="33" t="n">
        <f aca="false">AZ1168-BD1168</f>
        <v>0</v>
      </c>
      <c r="BF1168" s="34" t="n">
        <f aca="false">BD1168*M1168</f>
        <v>4380</v>
      </c>
      <c r="BG1168" s="35" t="n">
        <f aca="false">BA1168-BF1168</f>
        <v>0</v>
      </c>
      <c r="BH1168" s="19" t="str">
        <f aca="false">IF(BG1168=0,"",IF(BG1168&lt;&gt;BA1168,"erreur de calcul",IF(BD1168&lt;&gt;0,"pas de prix",IF(M1168&lt;&gt; 0,"pas de quantité","pas de prix, ni de quantité"))))</f>
        <v/>
      </c>
      <c r="BI1168" s="19"/>
    </row>
    <row r="1169" customFormat="false" ht="15" hidden="false" customHeight="false" outlineLevel="0" collapsed="false">
      <c r="A1169" s="0" t="n">
        <v>37</v>
      </c>
      <c r="B1169" s="8" t="s">
        <v>24</v>
      </c>
      <c r="C1169" s="9" t="s">
        <v>25</v>
      </c>
      <c r="D1169" s="9" t="s">
        <v>26</v>
      </c>
      <c r="E1169" s="10" t="n">
        <v>1789</v>
      </c>
      <c r="F1169" s="9" t="s">
        <v>27</v>
      </c>
      <c r="G1169" s="9" t="s">
        <v>27</v>
      </c>
      <c r="H1169" s="11" t="n">
        <v>21</v>
      </c>
      <c r="I1169" s="11" t="s">
        <v>190</v>
      </c>
      <c r="J1169" s="14" t="n">
        <v>3</v>
      </c>
      <c r="K1169" s="14"/>
      <c r="L1169" s="16"/>
      <c r="M1169" s="27" t="n">
        <f aca="false">J1169+(K1169/20)+(L1169/240)</f>
        <v>3</v>
      </c>
      <c r="N1169" s="17" t="s">
        <v>66</v>
      </c>
      <c r="O1169" s="11"/>
      <c r="P1169" s="28"/>
      <c r="Q1169" s="28" t="n">
        <f aca="false">P1169*$M1169</f>
        <v>0</v>
      </c>
      <c r="R1169" s="28"/>
      <c r="S1169" s="28" t="n">
        <f aca="false">R1169*$M1169</f>
        <v>0</v>
      </c>
      <c r="T1169" s="28"/>
      <c r="U1169" s="28" t="n">
        <f aca="false">T1169*$M1169</f>
        <v>0</v>
      </c>
      <c r="V1169" s="28" t="n">
        <v>284</v>
      </c>
      <c r="W1169" s="28" t="n">
        <v>852</v>
      </c>
      <c r="X1169" s="28" t="n">
        <v>8028</v>
      </c>
      <c r="Y1169" s="28" t="n">
        <v>24084</v>
      </c>
      <c r="Z1169" s="28"/>
      <c r="AA1169" s="28" t="n">
        <f aca="false">Z1169*$M1169</f>
        <v>0</v>
      </c>
      <c r="AB1169" s="28"/>
      <c r="AC1169" s="28" t="n">
        <f aca="false">AB1169*$M1169</f>
        <v>0</v>
      </c>
      <c r="AD1169" s="28"/>
      <c r="AE1169" s="28" t="n">
        <f aca="false">AD1169*$M1169</f>
        <v>0</v>
      </c>
      <c r="AF1169" s="28"/>
      <c r="AG1169" s="28" t="n">
        <f aca="false">AF1169*$M1169</f>
        <v>0</v>
      </c>
      <c r="AH1169" s="28"/>
      <c r="AI1169" s="28" t="n">
        <f aca="false">AH1169*$M1169</f>
        <v>0</v>
      </c>
      <c r="AJ1169" s="28"/>
      <c r="AK1169" s="28" t="n">
        <f aca="false">AJ1169*$M1169</f>
        <v>0</v>
      </c>
      <c r="AL1169" s="28" t="n">
        <v>2127</v>
      </c>
      <c r="AM1169" s="28" t="n">
        <v>6381</v>
      </c>
      <c r="AN1169" s="28"/>
      <c r="AO1169" s="28" t="n">
        <f aca="false">AN1169*$M1169</f>
        <v>0</v>
      </c>
      <c r="AP1169" s="28"/>
      <c r="AQ1169" s="28" t="n">
        <f aca="false">AP1169*$M1169</f>
        <v>0</v>
      </c>
      <c r="AR1169" s="28"/>
      <c r="AS1169" s="28" t="n">
        <f aca="false">AR1169*$M1169</f>
        <v>0</v>
      </c>
      <c r="AT1169" s="28"/>
      <c r="AU1169" s="28" t="n">
        <f aca="false">AT1169*$M1169</f>
        <v>0</v>
      </c>
      <c r="AV1169" s="28"/>
      <c r="AW1169" s="28" t="n">
        <f aca="false">AV1169*$M1169</f>
        <v>0</v>
      </c>
      <c r="AX1169" s="28"/>
      <c r="AY1169" s="28" t="n">
        <f aca="false">AX1169*$M1169</f>
        <v>0</v>
      </c>
      <c r="AZ1169" s="30" t="n">
        <v>10439</v>
      </c>
      <c r="BA1169" s="11" t="n">
        <v>31317</v>
      </c>
      <c r="BB1169" s="31" t="n">
        <f aca="false">SUM(Q1169,S1169,U1169,W1169,Y1169,AA1169,AC1169,AE1169,AG1169,AI1169,AK1169,AM1169,AO1169,AQ1169,AS1169,AU1169,AW1169,AY1169)</f>
        <v>31317</v>
      </c>
      <c r="BC1169" s="28" t="n">
        <f aca="false">BA1169-BB1169</f>
        <v>0</v>
      </c>
      <c r="BD1169" s="32" t="n">
        <f aca="false">SUM(P1169,R1169,T1169,V1169,X1169,Z1169,AB1169,AD1169,AF1169,AH1169,AJ1169,AL1169,AN1169,AP1169,AR1169,AT1169,AV1169,AX1169)</f>
        <v>10439</v>
      </c>
      <c r="BE1169" s="33" t="n">
        <f aca="false">AZ1169-BD1169</f>
        <v>0</v>
      </c>
      <c r="BF1169" s="34" t="n">
        <f aca="false">BD1169*M1169</f>
        <v>31317</v>
      </c>
      <c r="BG1169" s="35" t="n">
        <f aca="false">BA1169-BF1169</f>
        <v>0</v>
      </c>
      <c r="BH1169" s="19" t="str">
        <f aca="false">IF(BG1169=0,"",IF(BG1169&lt;&gt;BA1169,"erreur de calcul",IF(BD1169&lt;&gt;0,"pas de prix",IF(M1169&lt;&gt; 0,"pas de quantité","pas de prix, ni de quantité"))))</f>
        <v/>
      </c>
      <c r="BI1169" s="19"/>
    </row>
    <row r="1170" customFormat="false" ht="15" hidden="false" customHeight="false" outlineLevel="0" collapsed="false">
      <c r="A1170" s="0" t="n">
        <v>38</v>
      </c>
      <c r="B1170" s="8" t="s">
        <v>24</v>
      </c>
      <c r="C1170" s="9" t="s">
        <v>25</v>
      </c>
      <c r="D1170" s="9" t="s">
        <v>26</v>
      </c>
      <c r="E1170" s="10" t="n">
        <v>1789</v>
      </c>
      <c r="F1170" s="9" t="s">
        <v>27</v>
      </c>
      <c r="G1170" s="9" t="s">
        <v>27</v>
      </c>
      <c r="H1170" s="11" t="n">
        <v>21</v>
      </c>
      <c r="I1170" s="11" t="s">
        <v>191</v>
      </c>
      <c r="J1170" s="14" t="n">
        <v>25</v>
      </c>
      <c r="K1170" s="14"/>
      <c r="L1170" s="16"/>
      <c r="M1170" s="27" t="n">
        <f aca="false">J1170+(K1170/20)+(L1170/240)</f>
        <v>25</v>
      </c>
      <c r="N1170" s="17" t="s">
        <v>64</v>
      </c>
      <c r="O1170" s="11"/>
      <c r="P1170" s="28"/>
      <c r="Q1170" s="28" t="n">
        <f aca="false">P1170*$M1170</f>
        <v>0</v>
      </c>
      <c r="R1170" s="28"/>
      <c r="S1170" s="28" t="n">
        <f aca="false">R1170*$M1170</f>
        <v>0</v>
      </c>
      <c r="T1170" s="28"/>
      <c r="U1170" s="28" t="n">
        <f aca="false">T1170*$M1170</f>
        <v>0</v>
      </c>
      <c r="V1170" s="28"/>
      <c r="W1170" s="28" t="n">
        <f aca="false">V1170*$M1170</f>
        <v>0</v>
      </c>
      <c r="X1170" s="28" t="n">
        <f aca="false">5034/100</f>
        <v>50.34</v>
      </c>
      <c r="Y1170" s="28" t="n">
        <v>1258</v>
      </c>
      <c r="Z1170" s="28"/>
      <c r="AA1170" s="28" t="n">
        <f aca="false">Z1170*$M1170</f>
        <v>0</v>
      </c>
      <c r="AB1170" s="28"/>
      <c r="AC1170" s="28" t="n">
        <f aca="false">AB1170*$M1170</f>
        <v>0</v>
      </c>
      <c r="AD1170" s="28"/>
      <c r="AE1170" s="28" t="n">
        <f aca="false">AD1170*$M1170</f>
        <v>0</v>
      </c>
      <c r="AF1170" s="28"/>
      <c r="AG1170" s="28" t="n">
        <f aca="false">AF1170*$M1170</f>
        <v>0</v>
      </c>
      <c r="AH1170" s="28"/>
      <c r="AI1170" s="28" t="n">
        <f aca="false">AH1170*$M1170</f>
        <v>0</v>
      </c>
      <c r="AJ1170" s="28" t="n">
        <f aca="false">1375/100</f>
        <v>13.75</v>
      </c>
      <c r="AK1170" s="28" t="n">
        <v>344</v>
      </c>
      <c r="AL1170" s="28" t="n">
        <f aca="false">6710/100</f>
        <v>67.1</v>
      </c>
      <c r="AM1170" s="28" t="n">
        <v>1677</v>
      </c>
      <c r="AN1170" s="28"/>
      <c r="AO1170" s="28" t="n">
        <f aca="false">AN1170*$M1170</f>
        <v>0</v>
      </c>
      <c r="AP1170" s="28"/>
      <c r="AQ1170" s="28" t="n">
        <f aca="false">AP1170*$M1170</f>
        <v>0</v>
      </c>
      <c r="AR1170" s="28"/>
      <c r="AS1170" s="28" t="n">
        <f aca="false">AR1170*$M1170</f>
        <v>0</v>
      </c>
      <c r="AT1170" s="28"/>
      <c r="AU1170" s="28" t="n">
        <f aca="false">AT1170*$M1170</f>
        <v>0</v>
      </c>
      <c r="AV1170" s="28"/>
      <c r="AW1170" s="28" t="n">
        <f aca="false">AV1170*$M1170</f>
        <v>0</v>
      </c>
      <c r="AX1170" s="28"/>
      <c r="AY1170" s="28" t="n">
        <f aca="false">AX1170*$M1170</f>
        <v>0</v>
      </c>
      <c r="AZ1170" s="30" t="n">
        <f aca="false">13119/100</f>
        <v>131.19</v>
      </c>
      <c r="BA1170" s="11" t="n">
        <v>3279</v>
      </c>
      <c r="BB1170" s="31" t="n">
        <f aca="false">SUM(Q1170,S1170,U1170,W1170,Y1170,AA1170,AC1170,AE1170,AG1170,AI1170,AK1170,AM1170,AO1170,AQ1170,AS1170,AU1170,AW1170,AY1170)</f>
        <v>3279</v>
      </c>
      <c r="BC1170" s="28" t="n">
        <f aca="false">BA1170-BB1170</f>
        <v>0</v>
      </c>
      <c r="BD1170" s="32" t="n">
        <f aca="false">SUM(P1170,R1170,T1170,V1170,X1170,Z1170,AB1170,AD1170,AF1170,AH1170,AJ1170,AL1170,AN1170,AP1170,AR1170,AT1170,AV1170,AX1170)</f>
        <v>131.19</v>
      </c>
      <c r="BE1170" s="33" t="n">
        <f aca="false">AZ1170-BD1170</f>
        <v>0</v>
      </c>
      <c r="BF1170" s="34" t="n">
        <f aca="false">BD1170*M1170</f>
        <v>3279.75</v>
      </c>
      <c r="BG1170" s="35" t="n">
        <f aca="false">BA1170-BF1170</f>
        <v>-0.75</v>
      </c>
      <c r="BH1170" s="19" t="str">
        <f aca="false">IF(BG1170=0,"",IF(BG1170&lt;&gt;BA1170,"erreur de calcul",IF(BD1170&lt;&gt;0,"pas de prix",IF(M1170&lt;&gt; 0,"pas de quantité","pas de prix, ni de quantité"))))</f>
        <v>erreur de calcul</v>
      </c>
      <c r="BI1170" s="19"/>
    </row>
    <row r="1171" customFormat="false" ht="15" hidden="false" customHeight="false" outlineLevel="0" collapsed="false">
      <c r="A1171" s="0" t="n">
        <v>39</v>
      </c>
      <c r="B1171" s="8" t="s">
        <v>24</v>
      </c>
      <c r="C1171" s="9" t="s">
        <v>25</v>
      </c>
      <c r="D1171" s="9" t="s">
        <v>26</v>
      </c>
      <c r="E1171" s="10" t="n">
        <v>1789</v>
      </c>
      <c r="F1171" s="9" t="s">
        <v>27</v>
      </c>
      <c r="G1171" s="9" t="s">
        <v>27</v>
      </c>
      <c r="H1171" s="11" t="n">
        <v>21</v>
      </c>
      <c r="I1171" s="11" t="s">
        <v>192</v>
      </c>
      <c r="J1171" s="14" t="n">
        <v>25</v>
      </c>
      <c r="K1171" s="14"/>
      <c r="L1171" s="16"/>
      <c r="M1171" s="27" t="n">
        <f aca="false">J1171+(K1171/20)+(L1171/240)</f>
        <v>25</v>
      </c>
      <c r="N1171" s="17" t="s">
        <v>64</v>
      </c>
      <c r="O1171" s="11"/>
      <c r="P1171" s="28"/>
      <c r="Q1171" s="28" t="n">
        <f aca="false">P1171*$M1171</f>
        <v>0</v>
      </c>
      <c r="R1171" s="28"/>
      <c r="S1171" s="28" t="n">
        <f aca="false">R1171*$M1171</f>
        <v>0</v>
      </c>
      <c r="T1171" s="28"/>
      <c r="U1171" s="28" t="n">
        <f aca="false">T1171*$M1171</f>
        <v>0</v>
      </c>
      <c r="V1171" s="28"/>
      <c r="W1171" s="28" t="n">
        <f aca="false">V1171*$M1171</f>
        <v>0</v>
      </c>
      <c r="X1171" s="28" t="n">
        <f aca="false">5561/100</f>
        <v>55.61</v>
      </c>
      <c r="Y1171" s="28" t="n">
        <v>1390</v>
      </c>
      <c r="Z1171" s="28"/>
      <c r="AA1171" s="28" t="n">
        <f aca="false">Z1171*$M1171</f>
        <v>0</v>
      </c>
      <c r="AB1171" s="28"/>
      <c r="AC1171" s="28" t="n">
        <f aca="false">AB1171*$M1171</f>
        <v>0</v>
      </c>
      <c r="AD1171" s="28"/>
      <c r="AE1171" s="28" t="n">
        <f aca="false">AD1171*$M1171</f>
        <v>0</v>
      </c>
      <c r="AF1171" s="28"/>
      <c r="AG1171" s="28" t="n">
        <f aca="false">AF1171*$M1171</f>
        <v>0</v>
      </c>
      <c r="AH1171" s="28"/>
      <c r="AI1171" s="28" t="n">
        <f aca="false">AH1171*$M1171</f>
        <v>0</v>
      </c>
      <c r="AJ1171" s="28"/>
      <c r="AK1171" s="28" t="n">
        <f aca="false">AJ1171*$M1171</f>
        <v>0</v>
      </c>
      <c r="AL1171" s="28"/>
      <c r="AM1171" s="28" t="n">
        <f aca="false">AL1171*$M1171</f>
        <v>0</v>
      </c>
      <c r="AN1171" s="28"/>
      <c r="AO1171" s="28" t="n">
        <f aca="false">AN1171*$M1171</f>
        <v>0</v>
      </c>
      <c r="AP1171" s="28"/>
      <c r="AQ1171" s="28" t="n">
        <f aca="false">AP1171*$M1171</f>
        <v>0</v>
      </c>
      <c r="AR1171" s="28"/>
      <c r="AS1171" s="28" t="n">
        <f aca="false">AR1171*$M1171</f>
        <v>0</v>
      </c>
      <c r="AT1171" s="28"/>
      <c r="AU1171" s="28" t="n">
        <f aca="false">AT1171*$M1171</f>
        <v>0</v>
      </c>
      <c r="AV1171" s="28"/>
      <c r="AW1171" s="28" t="n">
        <f aca="false">AV1171*$M1171</f>
        <v>0</v>
      </c>
      <c r="AX1171" s="28"/>
      <c r="AY1171" s="28" t="n">
        <f aca="false">AX1171*$M1171</f>
        <v>0</v>
      </c>
      <c r="AZ1171" s="30" t="n">
        <f aca="false">5561/100</f>
        <v>55.61</v>
      </c>
      <c r="BA1171" s="11" t="n">
        <v>1390</v>
      </c>
      <c r="BB1171" s="31" t="n">
        <f aca="false">SUM(Q1171,S1171,U1171,W1171,Y1171,AA1171,AC1171,AE1171,AG1171,AI1171,AK1171,AM1171,AO1171,AQ1171,AS1171,AU1171,AW1171,AY1171)</f>
        <v>1390</v>
      </c>
      <c r="BC1171" s="28" t="n">
        <f aca="false">BA1171-BB1171</f>
        <v>0</v>
      </c>
      <c r="BD1171" s="32" t="n">
        <f aca="false">SUM(P1171,R1171,T1171,V1171,X1171,Z1171,AB1171,AD1171,AF1171,AH1171,AJ1171,AL1171,AN1171,AP1171,AR1171,AT1171,AV1171,AX1171)</f>
        <v>55.61</v>
      </c>
      <c r="BE1171" s="33" t="n">
        <f aca="false">AZ1171-BD1171</f>
        <v>0</v>
      </c>
      <c r="BF1171" s="34" t="n">
        <f aca="false">BD1171*M1171</f>
        <v>1390.25</v>
      </c>
      <c r="BG1171" s="35" t="n">
        <f aca="false">BA1171-BF1171</f>
        <v>-0.25</v>
      </c>
      <c r="BH1171" s="19" t="str">
        <f aca="false">IF(BG1171=0,"",IF(BG1171&lt;&gt;BA1171,"erreur de calcul",IF(BD1171&lt;&gt;0,"pas de prix",IF(M1171&lt;&gt; 0,"pas de quantité","pas de prix, ni de quantité"))))</f>
        <v>erreur de calcul</v>
      </c>
      <c r="BI1171" s="19"/>
    </row>
    <row r="1172" customFormat="false" ht="15" hidden="false" customHeight="false" outlineLevel="0" collapsed="false">
      <c r="A1172" s="0" t="n">
        <v>40</v>
      </c>
      <c r="B1172" s="8" t="s">
        <v>24</v>
      </c>
      <c r="C1172" s="9" t="s">
        <v>25</v>
      </c>
      <c r="D1172" s="9" t="s">
        <v>26</v>
      </c>
      <c r="E1172" s="10" t="n">
        <v>1789</v>
      </c>
      <c r="F1172" s="9" t="s">
        <v>27</v>
      </c>
      <c r="G1172" s="9" t="s">
        <v>27</v>
      </c>
      <c r="H1172" s="11" t="n">
        <v>21</v>
      </c>
      <c r="I1172" s="11" t="s">
        <v>193</v>
      </c>
      <c r="J1172" s="14" t="n">
        <v>168</v>
      </c>
      <c r="K1172" s="14"/>
      <c r="L1172" s="16"/>
      <c r="M1172" s="27" t="n">
        <f aca="false">J1172+(K1172/20)+(L1172/240)</f>
        <v>168</v>
      </c>
      <c r="N1172" s="17" t="s">
        <v>64</v>
      </c>
      <c r="O1172" s="11"/>
      <c r="P1172" s="28"/>
      <c r="Q1172" s="28" t="n">
        <f aca="false">P1172*$M1172</f>
        <v>0</v>
      </c>
      <c r="R1172" s="28"/>
      <c r="S1172" s="28" t="n">
        <f aca="false">R1172*$M1172</f>
        <v>0</v>
      </c>
      <c r="T1172" s="28"/>
      <c r="U1172" s="28" t="n">
        <f aca="false">T1172*$M1172</f>
        <v>0</v>
      </c>
      <c r="V1172" s="28"/>
      <c r="W1172" s="28" t="n">
        <f aca="false">V1172*$M1172</f>
        <v>0</v>
      </c>
      <c r="X1172" s="28"/>
      <c r="Y1172" s="28" t="n">
        <f aca="false">X1172*$M1172</f>
        <v>0</v>
      </c>
      <c r="Z1172" s="28"/>
      <c r="AA1172" s="28" t="n">
        <f aca="false">Z1172*$M1172</f>
        <v>0</v>
      </c>
      <c r="AB1172" s="28"/>
      <c r="AC1172" s="28" t="n">
        <f aca="false">AB1172*$M1172</f>
        <v>0</v>
      </c>
      <c r="AD1172" s="28"/>
      <c r="AE1172" s="28" t="n">
        <f aca="false">AD1172*$M1172</f>
        <v>0</v>
      </c>
      <c r="AF1172" s="28"/>
      <c r="AG1172" s="28" t="n">
        <f aca="false">AF1172*$M1172</f>
        <v>0</v>
      </c>
      <c r="AH1172" s="28" t="n">
        <f aca="false">14590/100</f>
        <v>145.9</v>
      </c>
      <c r="AI1172" s="28" t="n">
        <v>24511</v>
      </c>
      <c r="AJ1172" s="28"/>
      <c r="AK1172" s="28" t="n">
        <f aca="false">AJ1172*$M1172</f>
        <v>0</v>
      </c>
      <c r="AL1172" s="28"/>
      <c r="AM1172" s="28" t="n">
        <f aca="false">AL1172*$M1172</f>
        <v>0</v>
      </c>
      <c r="AN1172" s="28"/>
      <c r="AO1172" s="28" t="n">
        <f aca="false">AN1172*$M1172</f>
        <v>0</v>
      </c>
      <c r="AP1172" s="28"/>
      <c r="AQ1172" s="28" t="n">
        <f aca="false">AP1172*$M1172</f>
        <v>0</v>
      </c>
      <c r="AR1172" s="28"/>
      <c r="AS1172" s="28" t="n">
        <f aca="false">AR1172*$M1172</f>
        <v>0</v>
      </c>
      <c r="AT1172" s="28"/>
      <c r="AU1172" s="28" t="n">
        <f aca="false">AT1172*$M1172</f>
        <v>0</v>
      </c>
      <c r="AV1172" s="28"/>
      <c r="AW1172" s="28" t="n">
        <f aca="false">AV1172*$M1172</f>
        <v>0</v>
      </c>
      <c r="AX1172" s="28"/>
      <c r="AY1172" s="28" t="n">
        <f aca="false">AX1172*$M1172</f>
        <v>0</v>
      </c>
      <c r="AZ1172" s="30" t="n">
        <f aca="false">14590/100</f>
        <v>145.9</v>
      </c>
      <c r="BA1172" s="11" t="n">
        <v>24511</v>
      </c>
      <c r="BB1172" s="31" t="n">
        <f aca="false">SUM(Q1172,S1172,U1172,W1172,Y1172,AA1172,AC1172,AE1172,AG1172,AI1172,AK1172,AM1172,AO1172,AQ1172,AS1172,AU1172,AW1172,AY1172)</f>
        <v>24511</v>
      </c>
      <c r="BC1172" s="28" t="n">
        <f aca="false">BA1172-BB1172</f>
        <v>0</v>
      </c>
      <c r="BD1172" s="32" t="n">
        <f aca="false">SUM(P1172,R1172,T1172,V1172,X1172,Z1172,AB1172,AD1172,AF1172,AH1172,AJ1172,AL1172,AN1172,AP1172,AR1172,AT1172,AV1172,AX1172)</f>
        <v>145.9</v>
      </c>
      <c r="BE1172" s="33" t="n">
        <f aca="false">AZ1172-BD1172</f>
        <v>0</v>
      </c>
      <c r="BF1172" s="34" t="n">
        <f aca="false">BD1172*M1172</f>
        <v>24511.2</v>
      </c>
      <c r="BG1172" s="35" t="n">
        <f aca="false">BA1172-BF1172</f>
        <v>-0.200000000000728</v>
      </c>
      <c r="BH1172" s="19" t="str">
        <f aca="false">IF(BG1172=0,"",IF(BG1172&lt;&gt;BA1172,"erreur de calcul",IF(BD1172&lt;&gt;0,"pas de prix",IF(M1172&lt;&gt; 0,"pas de quantité","pas de prix, ni de quantité"))))</f>
        <v>erreur de calcul</v>
      </c>
      <c r="BI1172" s="19"/>
    </row>
    <row r="1173" customFormat="false" ht="15" hidden="false" customHeight="false" outlineLevel="0" collapsed="false">
      <c r="A1173" s="0" t="n">
        <v>41</v>
      </c>
      <c r="B1173" s="8" t="s">
        <v>24</v>
      </c>
      <c r="C1173" s="9" t="s">
        <v>25</v>
      </c>
      <c r="D1173" s="9" t="s">
        <v>26</v>
      </c>
      <c r="E1173" s="10" t="n">
        <v>1789</v>
      </c>
      <c r="F1173" s="9" t="s">
        <v>27</v>
      </c>
      <c r="G1173" s="9" t="s">
        <v>27</v>
      </c>
      <c r="H1173" s="11" t="n">
        <v>21</v>
      </c>
      <c r="I1173" s="11" t="s">
        <v>194</v>
      </c>
      <c r="J1173" s="14" t="n">
        <v>120</v>
      </c>
      <c r="K1173" s="14"/>
      <c r="L1173" s="16"/>
      <c r="M1173" s="27" t="n">
        <f aca="false">J1173+(K1173/20)+(L1173/240)</f>
        <v>120</v>
      </c>
      <c r="N1173" s="17" t="s">
        <v>64</v>
      </c>
      <c r="O1173" s="11"/>
      <c r="P1173" s="28"/>
      <c r="Q1173" s="28" t="n">
        <f aca="false">P1173*$M1173</f>
        <v>0</v>
      </c>
      <c r="R1173" s="28"/>
      <c r="S1173" s="28" t="n">
        <f aca="false">R1173*$M1173</f>
        <v>0</v>
      </c>
      <c r="T1173" s="28"/>
      <c r="U1173" s="28" t="n">
        <f aca="false">T1173*$M1173</f>
        <v>0</v>
      </c>
      <c r="V1173" s="28"/>
      <c r="W1173" s="28" t="n">
        <f aca="false">V1173*$M1173</f>
        <v>0</v>
      </c>
      <c r="X1173" s="28"/>
      <c r="Y1173" s="28" t="n">
        <f aca="false">X1173*$M1173</f>
        <v>0</v>
      </c>
      <c r="Z1173" s="28"/>
      <c r="AA1173" s="28" t="n">
        <f aca="false">Z1173*$M1173</f>
        <v>0</v>
      </c>
      <c r="AB1173" s="28" t="n">
        <f aca="false">6930/100</f>
        <v>69.3</v>
      </c>
      <c r="AC1173" s="28" t="n">
        <v>8316</v>
      </c>
      <c r="AD1173" s="28"/>
      <c r="AE1173" s="28" t="n">
        <f aca="false">AD1173*$M1173</f>
        <v>0</v>
      </c>
      <c r="AF1173" s="28"/>
      <c r="AG1173" s="28" t="n">
        <f aca="false">AF1173*$M1173</f>
        <v>0</v>
      </c>
      <c r="AH1173" s="28"/>
      <c r="AI1173" s="28" t="n">
        <f aca="false">AH1173*$M1173</f>
        <v>0</v>
      </c>
      <c r="AJ1173" s="28"/>
      <c r="AK1173" s="28" t="n">
        <f aca="false">AJ1173*$M1173</f>
        <v>0</v>
      </c>
      <c r="AL1173" s="28"/>
      <c r="AM1173" s="28" t="n">
        <f aca="false">AL1173*$M1173</f>
        <v>0</v>
      </c>
      <c r="AN1173" s="28"/>
      <c r="AO1173" s="28" t="n">
        <f aca="false">AN1173*$M1173</f>
        <v>0</v>
      </c>
      <c r="AP1173" s="28"/>
      <c r="AQ1173" s="28" t="n">
        <f aca="false">AP1173*$M1173</f>
        <v>0</v>
      </c>
      <c r="AR1173" s="28"/>
      <c r="AS1173" s="28" t="n">
        <f aca="false">AR1173*$M1173</f>
        <v>0</v>
      </c>
      <c r="AT1173" s="28"/>
      <c r="AU1173" s="28" t="n">
        <f aca="false">AT1173*$M1173</f>
        <v>0</v>
      </c>
      <c r="AV1173" s="28"/>
      <c r="AW1173" s="28" t="n">
        <f aca="false">AV1173*$M1173</f>
        <v>0</v>
      </c>
      <c r="AX1173" s="28"/>
      <c r="AY1173" s="28" t="n">
        <f aca="false">AX1173*$M1173</f>
        <v>0</v>
      </c>
      <c r="AZ1173" s="30" t="n">
        <f aca="false">6930/100</f>
        <v>69.3</v>
      </c>
      <c r="BA1173" s="11" t="n">
        <v>8316</v>
      </c>
      <c r="BB1173" s="31" t="n">
        <f aca="false">SUM(Q1173,S1173,U1173,W1173,Y1173,AA1173,AC1173,AE1173,AG1173,AI1173,AK1173,AM1173,AO1173,AQ1173,AS1173,AU1173,AW1173,AY1173)</f>
        <v>8316</v>
      </c>
      <c r="BC1173" s="28" t="n">
        <f aca="false">BA1173-BB1173</f>
        <v>0</v>
      </c>
      <c r="BD1173" s="32" t="n">
        <f aca="false">SUM(P1173,R1173,T1173,V1173,X1173,Z1173,AB1173,AD1173,AF1173,AH1173,AJ1173,AL1173,AN1173,AP1173,AR1173,AT1173,AV1173,AX1173)</f>
        <v>69.3</v>
      </c>
      <c r="BE1173" s="33" t="n">
        <f aca="false">AZ1173-BD1173</f>
        <v>0</v>
      </c>
      <c r="BF1173" s="34" t="n">
        <f aca="false">BD1173*M1173</f>
        <v>8316</v>
      </c>
      <c r="BG1173" s="35" t="n">
        <f aca="false">BA1173-BF1173</f>
        <v>0</v>
      </c>
      <c r="BH1173" s="19" t="str">
        <f aca="false">IF(BG1173=0,"",IF(BG1173&lt;&gt;BA1173,"erreur de calcul",IF(BD1173&lt;&gt;0,"pas de prix",IF(M1173&lt;&gt; 0,"pas de quantité","pas de prix, ni de quantité"))))</f>
        <v/>
      </c>
      <c r="BI1173" s="19"/>
    </row>
    <row r="1174" customFormat="false" ht="16.65" hidden="false" customHeight="false" outlineLevel="0" collapsed="false">
      <c r="A1174" s="0" t="n">
        <v>42</v>
      </c>
      <c r="B1174" s="8" t="s">
        <v>24</v>
      </c>
      <c r="C1174" s="9" t="s">
        <v>25</v>
      </c>
      <c r="D1174" s="9" t="s">
        <v>26</v>
      </c>
      <c r="E1174" s="10" t="n">
        <v>1789</v>
      </c>
      <c r="F1174" s="9" t="s">
        <v>27</v>
      </c>
      <c r="G1174" s="9" t="s">
        <v>27</v>
      </c>
      <c r="H1174" s="11" t="n">
        <v>21</v>
      </c>
      <c r="I1174" s="11" t="s">
        <v>195</v>
      </c>
      <c r="J1174" s="14" t="n">
        <v>70</v>
      </c>
      <c r="K1174" s="14"/>
      <c r="L1174" s="16"/>
      <c r="M1174" s="27" t="n">
        <f aca="false">J1174+(K1174/20)+(L1174/240)</f>
        <v>70</v>
      </c>
      <c r="N1174" s="17" t="s">
        <v>64</v>
      </c>
      <c r="O1174" s="11"/>
      <c r="P1174" s="28"/>
      <c r="Q1174" s="28" t="n">
        <f aca="false">P1174*$M1174</f>
        <v>0</v>
      </c>
      <c r="R1174" s="28"/>
      <c r="S1174" s="28" t="n">
        <f aca="false">R1174*$M1174</f>
        <v>0</v>
      </c>
      <c r="T1174" s="28"/>
      <c r="U1174" s="28" t="n">
        <f aca="false">T1174*$M1174</f>
        <v>0</v>
      </c>
      <c r="V1174" s="28"/>
      <c r="W1174" s="28" t="n">
        <f aca="false">V1174*$M1174</f>
        <v>0</v>
      </c>
      <c r="X1174" s="28"/>
      <c r="Y1174" s="28" t="n">
        <f aca="false">X1174*$M1174</f>
        <v>0</v>
      </c>
      <c r="Z1174" s="28"/>
      <c r="AA1174" s="28" t="n">
        <f aca="false">Z1174*$M1174</f>
        <v>0</v>
      </c>
      <c r="AB1174" s="28"/>
      <c r="AC1174" s="28" t="n">
        <f aca="false">AB1174*$M1174</f>
        <v>0</v>
      </c>
      <c r="AD1174" s="28"/>
      <c r="AE1174" s="28" t="n">
        <f aca="false">AD1174*$M1174</f>
        <v>0</v>
      </c>
      <c r="AF1174" s="28"/>
      <c r="AG1174" s="28" t="n">
        <f aca="false">AF1174*$M1174</f>
        <v>0</v>
      </c>
      <c r="AH1174" s="28"/>
      <c r="AI1174" s="28" t="n">
        <f aca="false">AH1174*$M1174</f>
        <v>0</v>
      </c>
      <c r="AJ1174" s="28"/>
      <c r="AK1174" s="28" t="n">
        <f aca="false">AJ1174*$M1174</f>
        <v>0</v>
      </c>
      <c r="AL1174" s="28"/>
      <c r="AM1174" s="28" t="n">
        <f aca="false">AL1174*$M1174</f>
        <v>0</v>
      </c>
      <c r="AN1174" s="28" t="n">
        <f aca="false">13200/100</f>
        <v>132</v>
      </c>
      <c r="AO1174" s="28" t="n">
        <v>9240</v>
      </c>
      <c r="AP1174" s="28"/>
      <c r="AQ1174" s="28" t="n">
        <f aca="false">AP1174*$M1174</f>
        <v>0</v>
      </c>
      <c r="AR1174" s="28"/>
      <c r="AS1174" s="28" t="n">
        <f aca="false">AR1174*$M1174</f>
        <v>0</v>
      </c>
      <c r="AT1174" s="28"/>
      <c r="AU1174" s="28" t="n">
        <f aca="false">AT1174*$M1174</f>
        <v>0</v>
      </c>
      <c r="AV1174" s="28"/>
      <c r="AW1174" s="28" t="n">
        <f aca="false">AV1174*$M1174</f>
        <v>0</v>
      </c>
      <c r="AX1174" s="28"/>
      <c r="AY1174" s="28" t="n">
        <f aca="false">AX1174*$M1174</f>
        <v>0</v>
      </c>
      <c r="AZ1174" s="30" t="n">
        <f aca="false">13200/100</f>
        <v>132</v>
      </c>
      <c r="BA1174" s="11" t="n">
        <v>9240</v>
      </c>
      <c r="BB1174" s="31" t="n">
        <f aca="false">SUM(Q1174,S1174,U1174,W1174,Y1174,AA1174,AC1174,AE1174,AG1174,AI1174,AK1174,AM1174,AO1174,AQ1174,AS1174,AU1174,AW1174,AY1174)</f>
        <v>9240</v>
      </c>
      <c r="BC1174" s="28" t="n">
        <f aca="false">BA1174-BB1174</f>
        <v>0</v>
      </c>
      <c r="BD1174" s="32" t="n">
        <f aca="false">SUM(P1174,R1174,T1174,V1174,X1174,Z1174,AB1174,AD1174,AF1174,AH1174,AJ1174,AL1174,AN1174,AP1174,AR1174,AT1174,AV1174,AX1174)</f>
        <v>132</v>
      </c>
      <c r="BE1174" s="33" t="n">
        <f aca="false">AZ1174-BD1174</f>
        <v>0</v>
      </c>
      <c r="BF1174" s="34" t="n">
        <f aca="false">BD1174*M1174</f>
        <v>9240</v>
      </c>
      <c r="BG1174" s="35" t="n">
        <f aca="false">BA1174-BF1174</f>
        <v>0</v>
      </c>
      <c r="BH1174" s="19" t="str">
        <f aca="false">IF(BG1174=0,"",IF(BG1174&lt;&gt;BA1174,"erreur de calcul",IF(BD1174&lt;&gt;0,"pas de prix",IF(M1174&lt;&gt; 0,"pas de quantité","pas de prix, ni de quantité"))))</f>
        <v/>
      </c>
      <c r="BI1174" s="19"/>
    </row>
    <row r="1175" customFormat="false" ht="15" hidden="false" customHeight="false" outlineLevel="0" collapsed="false">
      <c r="A1175" s="0" t="n">
        <v>43</v>
      </c>
      <c r="B1175" s="8" t="s">
        <v>24</v>
      </c>
      <c r="C1175" s="9" t="s">
        <v>25</v>
      </c>
      <c r="D1175" s="9" t="s">
        <v>26</v>
      </c>
      <c r="E1175" s="10" t="n">
        <v>1789</v>
      </c>
      <c r="F1175" s="9" t="s">
        <v>27</v>
      </c>
      <c r="G1175" s="9" t="s">
        <v>27</v>
      </c>
      <c r="H1175" s="11" t="n">
        <v>21</v>
      </c>
      <c r="I1175" s="11" t="s">
        <v>196</v>
      </c>
      <c r="J1175" s="14" t="n">
        <v>65</v>
      </c>
      <c r="K1175" s="14"/>
      <c r="L1175" s="16"/>
      <c r="M1175" s="27" t="n">
        <f aca="false">J1175+(K1175/20)+(L1175/240)</f>
        <v>65</v>
      </c>
      <c r="N1175" s="17" t="s">
        <v>64</v>
      </c>
      <c r="O1175" s="11"/>
      <c r="P1175" s="28"/>
      <c r="Q1175" s="28" t="n">
        <f aca="false">P1175*$M1175</f>
        <v>0</v>
      </c>
      <c r="R1175" s="28"/>
      <c r="S1175" s="28" t="n">
        <f aca="false">R1175*$M1175</f>
        <v>0</v>
      </c>
      <c r="T1175" s="28"/>
      <c r="U1175" s="28" t="n">
        <f aca="false">T1175*$M1175</f>
        <v>0</v>
      </c>
      <c r="V1175" s="28"/>
      <c r="W1175" s="28" t="n">
        <f aca="false">V1175*$M1175</f>
        <v>0</v>
      </c>
      <c r="X1175" s="28" t="n">
        <f aca="false">44247/100</f>
        <v>442.47</v>
      </c>
      <c r="Y1175" s="28" t="n">
        <v>28760</v>
      </c>
      <c r="Z1175" s="28" t="n">
        <f aca="false">1906/100</f>
        <v>19.06</v>
      </c>
      <c r="AA1175" s="28" t="n">
        <v>1239</v>
      </c>
      <c r="AB1175" s="28"/>
      <c r="AC1175" s="28" t="n">
        <f aca="false">AB1175*$M1175</f>
        <v>0</v>
      </c>
      <c r="AD1175" s="28"/>
      <c r="AE1175" s="28" t="n">
        <f aca="false">AD1175*$M1175</f>
        <v>0</v>
      </c>
      <c r="AF1175" s="28"/>
      <c r="AG1175" s="28" t="n">
        <f aca="false">AF1175*$M1175</f>
        <v>0</v>
      </c>
      <c r="AH1175" s="28"/>
      <c r="AI1175" s="28" t="n">
        <f aca="false">AH1175*$M1175</f>
        <v>0</v>
      </c>
      <c r="AJ1175" s="28" t="n">
        <f aca="false">625/100</f>
        <v>6.25</v>
      </c>
      <c r="AK1175" s="28" t="n">
        <v>406</v>
      </c>
      <c r="AL1175" s="28"/>
      <c r="AM1175" s="28" t="n">
        <f aca="false">AL1175*$M1175</f>
        <v>0</v>
      </c>
      <c r="AN1175" s="28"/>
      <c r="AO1175" s="28" t="n">
        <f aca="false">AN1175*$M1175</f>
        <v>0</v>
      </c>
      <c r="AP1175" s="28"/>
      <c r="AQ1175" s="28" t="n">
        <f aca="false">AP1175*$M1175</f>
        <v>0</v>
      </c>
      <c r="AR1175" s="28"/>
      <c r="AS1175" s="28" t="n">
        <f aca="false">AR1175*$M1175</f>
        <v>0</v>
      </c>
      <c r="AT1175" s="28"/>
      <c r="AU1175" s="28" t="n">
        <f aca="false">AT1175*$M1175</f>
        <v>0</v>
      </c>
      <c r="AV1175" s="28"/>
      <c r="AW1175" s="28" t="n">
        <f aca="false">AV1175*$M1175</f>
        <v>0</v>
      </c>
      <c r="AX1175" s="28"/>
      <c r="AY1175" s="28" t="n">
        <f aca="false">AX1175*$M1175</f>
        <v>0</v>
      </c>
      <c r="AZ1175" s="30" t="n">
        <f aca="false">46778/100</f>
        <v>467.78</v>
      </c>
      <c r="BA1175" s="11" t="n">
        <v>30405</v>
      </c>
      <c r="BB1175" s="31" t="n">
        <f aca="false">SUM(Q1175,S1175,U1175,W1175,Y1175,AA1175,AC1175,AE1175,AG1175,AI1175,AK1175,AM1175,AO1175,AQ1175,AS1175,AU1175,AW1175,AY1175)</f>
        <v>30405</v>
      </c>
      <c r="BC1175" s="28" t="n">
        <f aca="false">BA1175-BB1175</f>
        <v>0</v>
      </c>
      <c r="BD1175" s="32" t="n">
        <f aca="false">SUM(P1175,R1175,T1175,V1175,X1175,Z1175,AB1175,AD1175,AF1175,AH1175,AJ1175,AL1175,AN1175,AP1175,AR1175,AT1175,AV1175,AX1175)</f>
        <v>467.78</v>
      </c>
      <c r="BE1175" s="33" t="n">
        <f aca="false">AZ1175-BD1175</f>
        <v>0</v>
      </c>
      <c r="BF1175" s="34" t="n">
        <f aca="false">BD1175*M1175</f>
        <v>30405.7</v>
      </c>
      <c r="BG1175" s="35" t="n">
        <f aca="false">BA1175-BF1175</f>
        <v>-0.700000000000728</v>
      </c>
      <c r="BH1175" s="19" t="str">
        <f aca="false">IF(BG1175=0,"",IF(BG1175&lt;&gt;BA1175,"erreur de calcul",IF(BD1175&lt;&gt;0,"pas de prix",IF(M1175&lt;&gt; 0,"pas de quantité","pas de prix, ni de quantité"))))</f>
        <v>erreur de calcul</v>
      </c>
      <c r="BI1175" s="19"/>
    </row>
    <row r="1176" customFormat="false" ht="15" hidden="false" customHeight="false" outlineLevel="0" collapsed="false">
      <c r="A1176" s="0" t="n">
        <v>44</v>
      </c>
      <c r="B1176" s="8" t="s">
        <v>24</v>
      </c>
      <c r="C1176" s="9" t="s">
        <v>25</v>
      </c>
      <c r="D1176" s="9" t="s">
        <v>26</v>
      </c>
      <c r="E1176" s="10" t="n">
        <v>1789</v>
      </c>
      <c r="F1176" s="9" t="s">
        <v>27</v>
      </c>
      <c r="G1176" s="9" t="s">
        <v>27</v>
      </c>
      <c r="H1176" s="11" t="n">
        <v>21</v>
      </c>
      <c r="I1176" s="11" t="s">
        <v>197</v>
      </c>
      <c r="J1176" s="14" t="n">
        <v>70</v>
      </c>
      <c r="K1176" s="14"/>
      <c r="L1176" s="16"/>
      <c r="M1176" s="27" t="n">
        <f aca="false">J1176+(K1176/20)+(L1176/240)</f>
        <v>70</v>
      </c>
      <c r="N1176" s="17" t="s">
        <v>64</v>
      </c>
      <c r="O1176" s="11"/>
      <c r="P1176" s="28"/>
      <c r="Q1176" s="28" t="n">
        <f aca="false">P1176*$M1176</f>
        <v>0</v>
      </c>
      <c r="R1176" s="28"/>
      <c r="S1176" s="28" t="n">
        <f aca="false">R1176*$M1176</f>
        <v>0</v>
      </c>
      <c r="T1176" s="28"/>
      <c r="U1176" s="28" t="n">
        <f aca="false">T1176*$M1176</f>
        <v>0</v>
      </c>
      <c r="V1176" s="28"/>
      <c r="W1176" s="28" t="n">
        <f aca="false">V1176*$M1176</f>
        <v>0</v>
      </c>
      <c r="X1176" s="28"/>
      <c r="Y1176" s="28" t="n">
        <f aca="false">X1176*$M1176</f>
        <v>0</v>
      </c>
      <c r="Z1176" s="28"/>
      <c r="AA1176" s="28" t="n">
        <f aca="false">Z1176*$M1176</f>
        <v>0</v>
      </c>
      <c r="AB1176" s="28"/>
      <c r="AC1176" s="28" t="n">
        <f aca="false">AB1176*$M1176</f>
        <v>0</v>
      </c>
      <c r="AD1176" s="28"/>
      <c r="AE1176" s="28" t="n">
        <f aca="false">AD1176*$M1176</f>
        <v>0</v>
      </c>
      <c r="AF1176" s="28"/>
      <c r="AG1176" s="28" t="n">
        <f aca="false">AF1176*$M1176</f>
        <v>0</v>
      </c>
      <c r="AH1176" s="28" t="n">
        <f aca="false">156436/100</f>
        <v>1564.36</v>
      </c>
      <c r="AI1176" s="28" t="n">
        <v>109505</v>
      </c>
      <c r="AJ1176" s="28"/>
      <c r="AK1176" s="28" t="n">
        <f aca="false">AJ1176*$M1176</f>
        <v>0</v>
      </c>
      <c r="AL1176" s="28"/>
      <c r="AM1176" s="28" t="n">
        <f aca="false">AL1176*$M1176</f>
        <v>0</v>
      </c>
      <c r="AN1176" s="28"/>
      <c r="AO1176" s="28" t="n">
        <f aca="false">AN1176*$M1176</f>
        <v>0</v>
      </c>
      <c r="AP1176" s="28"/>
      <c r="AQ1176" s="28" t="n">
        <f aca="false">AP1176*$M1176</f>
        <v>0</v>
      </c>
      <c r="AR1176" s="28"/>
      <c r="AS1176" s="28" t="n">
        <f aca="false">AR1176*$M1176</f>
        <v>0</v>
      </c>
      <c r="AT1176" s="28"/>
      <c r="AU1176" s="28" t="n">
        <f aca="false">AT1176*$M1176</f>
        <v>0</v>
      </c>
      <c r="AV1176" s="28"/>
      <c r="AW1176" s="28" t="n">
        <f aca="false">AV1176*$M1176</f>
        <v>0</v>
      </c>
      <c r="AX1176" s="28"/>
      <c r="AY1176" s="28" t="n">
        <f aca="false">AX1176*$M1176</f>
        <v>0</v>
      </c>
      <c r="AZ1176" s="30" t="n">
        <f aca="false">156436/100</f>
        <v>1564.36</v>
      </c>
      <c r="BA1176" s="11" t="n">
        <v>109505</v>
      </c>
      <c r="BB1176" s="31" t="n">
        <f aca="false">SUM(Q1176,S1176,U1176,W1176,Y1176,AA1176,AC1176,AE1176,AG1176,AI1176,AK1176,AM1176,AO1176,AQ1176,AS1176,AU1176,AW1176,AY1176)</f>
        <v>109505</v>
      </c>
      <c r="BC1176" s="28" t="n">
        <f aca="false">BA1176-BB1176</f>
        <v>0</v>
      </c>
      <c r="BD1176" s="32" t="n">
        <f aca="false">SUM(P1176,R1176,T1176,V1176,X1176,Z1176,AB1176,AD1176,AF1176,AH1176,AJ1176,AL1176,AN1176,AP1176,AR1176,AT1176,AV1176,AX1176)</f>
        <v>1564.36</v>
      </c>
      <c r="BE1176" s="33" t="n">
        <f aca="false">AZ1176-BD1176</f>
        <v>0</v>
      </c>
      <c r="BF1176" s="34" t="n">
        <f aca="false">BD1176*M1176</f>
        <v>109505.2</v>
      </c>
      <c r="BG1176" s="35" t="n">
        <f aca="false">BA1176-BF1176</f>
        <v>-0.19999999999709</v>
      </c>
      <c r="BH1176" s="19" t="str">
        <f aca="false">IF(BG1176=0,"",IF(BG1176&lt;&gt;BA1176,"erreur de calcul",IF(BD1176&lt;&gt;0,"pas de prix",IF(M1176&lt;&gt; 0,"pas de quantité","pas de prix, ni de quantité"))))</f>
        <v>erreur de calcul</v>
      </c>
      <c r="BI1176" s="19"/>
    </row>
    <row r="1177" customFormat="false" ht="15" hidden="false" customHeight="false" outlineLevel="0" collapsed="false">
      <c r="A1177" s="0" t="n">
        <v>45</v>
      </c>
      <c r="B1177" s="8" t="s">
        <v>24</v>
      </c>
      <c r="C1177" s="9" t="s">
        <v>25</v>
      </c>
      <c r="D1177" s="9" t="s">
        <v>26</v>
      </c>
      <c r="E1177" s="10" t="n">
        <v>1789</v>
      </c>
      <c r="F1177" s="9" t="s">
        <v>27</v>
      </c>
      <c r="G1177" s="9" t="s">
        <v>27</v>
      </c>
      <c r="H1177" s="11" t="n">
        <v>21</v>
      </c>
      <c r="I1177" s="11" t="s">
        <v>198</v>
      </c>
      <c r="J1177" s="14"/>
      <c r="K1177" s="14"/>
      <c r="L1177" s="16"/>
      <c r="M1177" s="27" t="n">
        <f aca="false">J1177+(K1177/20)+(L1177/240)</f>
        <v>0</v>
      </c>
      <c r="N1177" s="17"/>
      <c r="O1177" s="11" t="s">
        <v>98</v>
      </c>
      <c r="P1177" s="28"/>
      <c r="Q1177" s="28" t="n">
        <v>387</v>
      </c>
      <c r="R1177" s="28"/>
      <c r="S1177" s="28" t="n">
        <f aca="false">R1177*$M1177</f>
        <v>0</v>
      </c>
      <c r="T1177" s="28"/>
      <c r="U1177" s="28" t="n">
        <v>2349</v>
      </c>
      <c r="V1177" s="28"/>
      <c r="W1177" s="28" t="n">
        <v>978</v>
      </c>
      <c r="X1177" s="28"/>
      <c r="Y1177" s="28" t="n">
        <f aca="false">X1177*$M1177</f>
        <v>0</v>
      </c>
      <c r="Z1177" s="28"/>
      <c r="AA1177" s="28" t="n">
        <f aca="false">Z1177*$M1177</f>
        <v>0</v>
      </c>
      <c r="AB1177" s="28"/>
      <c r="AC1177" s="28" t="n">
        <v>328</v>
      </c>
      <c r="AD1177" s="28"/>
      <c r="AE1177" s="28" t="n">
        <f aca="false">AD1177*$M1177</f>
        <v>0</v>
      </c>
      <c r="AF1177" s="28"/>
      <c r="AG1177" s="28" t="n">
        <f aca="false">AF1177*$M1177</f>
        <v>0</v>
      </c>
      <c r="AH1177" s="28"/>
      <c r="AI1177" s="28" t="n">
        <v>878</v>
      </c>
      <c r="AJ1177" s="28"/>
      <c r="AK1177" s="28" t="n">
        <v>1546</v>
      </c>
      <c r="AL1177" s="28"/>
      <c r="AM1177" s="28" t="n">
        <f aca="false">AL1177*$M1177</f>
        <v>0</v>
      </c>
      <c r="AN1177" s="28"/>
      <c r="AO1177" s="28" t="n">
        <f aca="false">AN1177*$M1177</f>
        <v>0</v>
      </c>
      <c r="AP1177" s="28"/>
      <c r="AQ1177" s="28" t="n">
        <f aca="false">AP1177*$M1177</f>
        <v>0</v>
      </c>
      <c r="AR1177" s="28"/>
      <c r="AS1177" s="28" t="n">
        <f aca="false">AR1177*$M1177</f>
        <v>0</v>
      </c>
      <c r="AT1177" s="28"/>
      <c r="AU1177" s="28" t="n">
        <f aca="false">AT1177*$M1177</f>
        <v>0</v>
      </c>
      <c r="AV1177" s="28"/>
      <c r="AW1177" s="28" t="n">
        <f aca="false">AV1177*$M1177</f>
        <v>0</v>
      </c>
      <c r="AX1177" s="28"/>
      <c r="AY1177" s="28" t="n">
        <f aca="false">AX1177*$M1177</f>
        <v>0</v>
      </c>
      <c r="AZ1177" s="30"/>
      <c r="BA1177" s="11" t="n">
        <v>6466</v>
      </c>
      <c r="BB1177" s="31" t="n">
        <f aca="false">SUM(Q1177,S1177,U1177,W1177,Y1177,AA1177,AC1177,AE1177,AG1177,AI1177,AK1177,AM1177,AO1177,AQ1177,AS1177,AU1177,AW1177,AY1177)</f>
        <v>6466</v>
      </c>
      <c r="BC1177" s="28" t="n">
        <f aca="false">BA1177-BB1177</f>
        <v>0</v>
      </c>
      <c r="BD1177" s="32" t="n">
        <f aca="false">SUM(P1177,R1177,T1177,V1177,X1177,Z1177,AB1177,AD1177,AF1177,AH1177,AJ1177,AL1177,AN1177,AP1177,AR1177,AT1177,AV1177,AX1177)</f>
        <v>0</v>
      </c>
      <c r="BE1177" s="33" t="n">
        <f aca="false">AZ1177-BD1177</f>
        <v>0</v>
      </c>
      <c r="BF1177" s="34" t="n">
        <f aca="false">BD1177*M1177</f>
        <v>0</v>
      </c>
      <c r="BG1177" s="35" t="n">
        <f aca="false">BA1177-BF1177</f>
        <v>6466</v>
      </c>
      <c r="BH1177" s="19" t="str">
        <f aca="false">IF(BG1177=0,"",IF(BG1177&lt;&gt;BA1177,"erreur de calcul",IF(BD1177&lt;&gt;0,"pas de prix",IF(M1177&lt;&gt; 0,"pas de quantité","pas de prix, ni de quantité"))))</f>
        <v>pas de prix, ni de quantité</v>
      </c>
      <c r="BI1177" s="19"/>
    </row>
    <row r="1178" customFormat="false" ht="15" hidden="false" customHeight="false" outlineLevel="0" collapsed="false">
      <c r="A1178" s="0" t="n">
        <v>46</v>
      </c>
      <c r="B1178" s="8" t="s">
        <v>24</v>
      </c>
      <c r="C1178" s="9" t="s">
        <v>25</v>
      </c>
      <c r="D1178" s="9" t="s">
        <v>26</v>
      </c>
      <c r="E1178" s="10" t="n">
        <v>1789</v>
      </c>
      <c r="F1178" s="9" t="s">
        <v>27</v>
      </c>
      <c r="G1178" s="9" t="s">
        <v>27</v>
      </c>
      <c r="H1178" s="11" t="n">
        <v>21</v>
      </c>
      <c r="I1178" s="11" t="s">
        <v>199</v>
      </c>
      <c r="J1178" s="14" t="n">
        <v>27</v>
      </c>
      <c r="K1178" s="14"/>
      <c r="L1178" s="16"/>
      <c r="M1178" s="27" t="n">
        <f aca="false">J1178+(K1178/20)+(L1178/240)</f>
        <v>27</v>
      </c>
      <c r="N1178" s="17" t="s">
        <v>64</v>
      </c>
      <c r="O1178" s="11"/>
      <c r="P1178" s="28" t="n">
        <f aca="false">108627/100</f>
        <v>1086.27</v>
      </c>
      <c r="Q1178" s="28" t="n">
        <v>29329</v>
      </c>
      <c r="R1178" s="28"/>
      <c r="S1178" s="28" t="n">
        <f aca="false">R1178*$M1178</f>
        <v>0</v>
      </c>
      <c r="T1178" s="28"/>
      <c r="U1178" s="28" t="n">
        <f aca="false">T1178*$M1178</f>
        <v>0</v>
      </c>
      <c r="V1178" s="28"/>
      <c r="W1178" s="28" t="n">
        <f aca="false">V1178*$M1178</f>
        <v>0</v>
      </c>
      <c r="X1178" s="28"/>
      <c r="Y1178" s="28" t="n">
        <f aca="false">X1178*$M1178</f>
        <v>0</v>
      </c>
      <c r="Z1178" s="28" t="n">
        <f aca="false">535243/100</f>
        <v>5352.43</v>
      </c>
      <c r="AA1178" s="28" t="n">
        <v>144516</v>
      </c>
      <c r="AB1178" s="28"/>
      <c r="AC1178" s="28" t="n">
        <f aca="false">AB1178*$M1178</f>
        <v>0</v>
      </c>
      <c r="AD1178" s="28" t="n">
        <f aca="false">75759/100</f>
        <v>757.59</v>
      </c>
      <c r="AE1178" s="28" t="n">
        <v>20455</v>
      </c>
      <c r="AF1178" s="28"/>
      <c r="AG1178" s="28" t="n">
        <f aca="false">AF1178*$M1178</f>
        <v>0</v>
      </c>
      <c r="AH1178" s="28" t="n">
        <f aca="false">77800/100</f>
        <v>778</v>
      </c>
      <c r="AI1178" s="36" t="n">
        <v>21016</v>
      </c>
      <c r="AJ1178" s="28" t="n">
        <f aca="false">28078/100</f>
        <v>280.78</v>
      </c>
      <c r="AK1178" s="28" t="n">
        <v>7581</v>
      </c>
      <c r="AL1178" s="28" t="n">
        <f aca="false">15417/100</f>
        <v>154.17</v>
      </c>
      <c r="AM1178" s="28" t="n">
        <v>4162</v>
      </c>
      <c r="AN1178" s="28"/>
      <c r="AO1178" s="28" t="n">
        <f aca="false">AN1178*$M1178</f>
        <v>0</v>
      </c>
      <c r="AP1178" s="28"/>
      <c r="AQ1178" s="28" t="n">
        <f aca="false">AP1178*$M1178</f>
        <v>0</v>
      </c>
      <c r="AR1178" s="28"/>
      <c r="AS1178" s="28" t="n">
        <f aca="false">AR1178*$M1178</f>
        <v>0</v>
      </c>
      <c r="AT1178" s="28"/>
      <c r="AU1178" s="28" t="n">
        <f aca="false">AT1178*$M1178</f>
        <v>0</v>
      </c>
      <c r="AV1178" s="28"/>
      <c r="AW1178" s="28" t="n">
        <f aca="false">AV1178*$M1178</f>
        <v>0</v>
      </c>
      <c r="AX1178" s="28"/>
      <c r="AY1178" s="28" t="n">
        <f aca="false">AX1178*$M1178</f>
        <v>0</v>
      </c>
      <c r="AZ1178" s="30" t="n">
        <f aca="false">840924/100</f>
        <v>8409.24</v>
      </c>
      <c r="BA1178" s="11" t="n">
        <v>227059</v>
      </c>
      <c r="BB1178" s="31" t="n">
        <f aca="false">SUM(Q1178,S1178,U1178,W1178,Y1178,AA1178,AC1178,AE1178,AG1178,AI1178,AK1178,AM1178,AO1178,AQ1178,AS1178,AU1178,AW1178,AY1178)</f>
        <v>227059</v>
      </c>
      <c r="BC1178" s="28" t="n">
        <f aca="false">BA1178-BB1178</f>
        <v>0</v>
      </c>
      <c r="BD1178" s="32" t="n">
        <f aca="false">SUM(P1178,R1178,T1178,V1178,X1178,Z1178,AB1178,AD1178,AF1178,AH1178,AJ1178,AL1178,AN1178,AP1178,AR1178,AT1178,AV1178,AX1178)</f>
        <v>8409.24</v>
      </c>
      <c r="BE1178" s="33" t="n">
        <f aca="false">AZ1178-BD1178</f>
        <v>0</v>
      </c>
      <c r="BF1178" s="34" t="n">
        <f aca="false">BD1178*M1178</f>
        <v>227049.48</v>
      </c>
      <c r="BG1178" s="35" t="n">
        <f aca="false">BA1178-BF1178</f>
        <v>9.52000000001863</v>
      </c>
      <c r="BH1178" s="19" t="str">
        <f aca="false">IF(BG1178=0,"",IF(BG1178&lt;&gt;BA1178,"erreur de calcul",IF(BD1178&lt;&gt;0,"pas de prix",IF(M1178&lt;&gt; 0,"pas de quantité","pas de prix, ni de quantité"))))</f>
        <v>erreur de calcul</v>
      </c>
      <c r="BI1178" s="19"/>
    </row>
    <row r="1179" customFormat="false" ht="15" hidden="false" customHeight="false" outlineLevel="0" collapsed="false">
      <c r="A1179" s="0" t="n">
        <v>47</v>
      </c>
      <c r="B1179" s="8" t="s">
        <v>24</v>
      </c>
      <c r="C1179" s="9" t="s">
        <v>25</v>
      </c>
      <c r="D1179" s="9" t="s">
        <v>26</v>
      </c>
      <c r="E1179" s="10" t="n">
        <v>1789</v>
      </c>
      <c r="F1179" s="9" t="s">
        <v>27</v>
      </c>
      <c r="G1179" s="9" t="s">
        <v>27</v>
      </c>
      <c r="H1179" s="11" t="n">
        <v>21</v>
      </c>
      <c r="I1179" s="11" t="s">
        <v>200</v>
      </c>
      <c r="J1179" s="14" t="n">
        <v>25</v>
      </c>
      <c r="K1179" s="14"/>
      <c r="L1179" s="16"/>
      <c r="M1179" s="27" t="n">
        <f aca="false">J1179+(K1179/20)+(L1179/240)</f>
        <v>25</v>
      </c>
      <c r="N1179" s="17" t="s">
        <v>64</v>
      </c>
      <c r="O1179" s="11"/>
      <c r="P1179" s="28"/>
      <c r="Q1179" s="28" t="n">
        <f aca="false">P1179*$M1179</f>
        <v>0</v>
      </c>
      <c r="R1179" s="28"/>
      <c r="S1179" s="28" t="n">
        <f aca="false">R1179*$M1179</f>
        <v>0</v>
      </c>
      <c r="T1179" s="28" t="n">
        <f aca="false">56427/100</f>
        <v>564.27</v>
      </c>
      <c r="U1179" s="28" t="n">
        <v>14107</v>
      </c>
      <c r="V1179" s="28"/>
      <c r="W1179" s="28" t="n">
        <f aca="false">V1179*$M1179</f>
        <v>0</v>
      </c>
      <c r="X1179" s="28" t="n">
        <f aca="false">98758/100</f>
        <v>987.58</v>
      </c>
      <c r="Y1179" s="28" t="n">
        <v>24689</v>
      </c>
      <c r="Z1179" s="28"/>
      <c r="AA1179" s="28" t="n">
        <f aca="false">Z1179*$M1179</f>
        <v>0</v>
      </c>
      <c r="AB1179" s="28"/>
      <c r="AC1179" s="28" t="n">
        <f aca="false">AB1179*$M1179</f>
        <v>0</v>
      </c>
      <c r="AD1179" s="28"/>
      <c r="AE1179" s="28" t="n">
        <f aca="false">AD1179*$M1179</f>
        <v>0</v>
      </c>
      <c r="AF1179" s="28"/>
      <c r="AG1179" s="28" t="n">
        <f aca="false">AF1179*$M1179</f>
        <v>0</v>
      </c>
      <c r="AH1179" s="28"/>
      <c r="AI1179" s="28" t="n">
        <f aca="false">AH1179*$M1179</f>
        <v>0</v>
      </c>
      <c r="AJ1179" s="28"/>
      <c r="AK1179" s="28" t="n">
        <f aca="false">AJ1179*$M1179</f>
        <v>0</v>
      </c>
      <c r="AL1179" s="28"/>
      <c r="AM1179" s="28" t="n">
        <f aca="false">AL1179*$M1179</f>
        <v>0</v>
      </c>
      <c r="AN1179" s="28"/>
      <c r="AO1179" s="28" t="n">
        <f aca="false">AN1179*$M1179</f>
        <v>0</v>
      </c>
      <c r="AP1179" s="28"/>
      <c r="AQ1179" s="28" t="n">
        <f aca="false">AP1179*$M1179</f>
        <v>0</v>
      </c>
      <c r="AR1179" s="28"/>
      <c r="AS1179" s="28" t="n">
        <f aca="false">AR1179*$M1179</f>
        <v>0</v>
      </c>
      <c r="AT1179" s="28"/>
      <c r="AU1179" s="28" t="n">
        <f aca="false">AT1179*$M1179</f>
        <v>0</v>
      </c>
      <c r="AV1179" s="28"/>
      <c r="AW1179" s="28" t="n">
        <f aca="false">AV1179*$M1179</f>
        <v>0</v>
      </c>
      <c r="AX1179" s="28"/>
      <c r="AY1179" s="28" t="n">
        <f aca="false">AX1179*$M1179</f>
        <v>0</v>
      </c>
      <c r="AZ1179" s="30" t="n">
        <f aca="false">155115/100</f>
        <v>1551.15</v>
      </c>
      <c r="BA1179" s="11" t="n">
        <v>38796</v>
      </c>
      <c r="BB1179" s="31" t="n">
        <f aca="false">SUM(Q1179,S1179,U1179,W1179,Y1179,AA1179,AC1179,AE1179,AG1179,AI1179,AK1179,AM1179,AO1179,AQ1179,AS1179,AU1179,AW1179,AY1179)</f>
        <v>38796</v>
      </c>
      <c r="BC1179" s="28" t="n">
        <f aca="false">BA1179-BB1179</f>
        <v>0</v>
      </c>
      <c r="BD1179" s="32" t="n">
        <f aca="false">SUM(P1179,R1179,T1179,V1179,X1179,Z1179,AB1179,AD1179,AF1179,AH1179,AJ1179,AL1179,AN1179,AP1179,AR1179,AT1179,AV1179,AX1179)</f>
        <v>1551.85</v>
      </c>
      <c r="BE1179" s="33" t="n">
        <f aca="false">AZ1179-BD1179</f>
        <v>-0.699999999999818</v>
      </c>
      <c r="BF1179" s="34" t="n">
        <f aca="false">BD1179*M1179</f>
        <v>38796.25</v>
      </c>
      <c r="BG1179" s="35" t="n">
        <f aca="false">BA1179-BF1179</f>
        <v>-0.25</v>
      </c>
      <c r="BH1179" s="19" t="str">
        <f aca="false">IF(BG1179=0,"",IF(BG1179&lt;&gt;BA1179,"erreur de calcul",IF(BD1179&lt;&gt;0,"pas de prix",IF(M1179&lt;&gt; 0,"pas de quantité","pas de prix, ni de quantité"))))</f>
        <v>erreur de calcul</v>
      </c>
      <c r="BI1179" s="19"/>
    </row>
    <row r="1180" customFormat="false" ht="15" hidden="false" customHeight="false" outlineLevel="0" collapsed="false">
      <c r="A1180" s="0" t="n">
        <v>48</v>
      </c>
      <c r="B1180" s="8" t="s">
        <v>24</v>
      </c>
      <c r="C1180" s="9" t="s">
        <v>25</v>
      </c>
      <c r="D1180" s="9" t="s">
        <v>26</v>
      </c>
      <c r="E1180" s="10" t="n">
        <v>1789</v>
      </c>
      <c r="F1180" s="9" t="s">
        <v>27</v>
      </c>
      <c r="G1180" s="9" t="s">
        <v>27</v>
      </c>
      <c r="H1180" s="11" t="n">
        <v>21</v>
      </c>
      <c r="I1180" s="11" t="s">
        <v>201</v>
      </c>
      <c r="J1180" s="14"/>
      <c r="K1180" s="14" t="n">
        <v>15</v>
      </c>
      <c r="L1180" s="16"/>
      <c r="M1180" s="27" t="n">
        <f aca="false">J1180+(K1180/20)+(L1180/240)</f>
        <v>0.75</v>
      </c>
      <c r="N1180" s="17" t="s">
        <v>66</v>
      </c>
      <c r="O1180" s="11"/>
      <c r="P1180" s="28"/>
      <c r="Q1180" s="28" t="n">
        <f aca="false">P1180*$M1180</f>
        <v>0</v>
      </c>
      <c r="R1180" s="28"/>
      <c r="S1180" s="28" t="n">
        <f aca="false">R1180*$M1180</f>
        <v>0</v>
      </c>
      <c r="T1180" s="28"/>
      <c r="U1180" s="28" t="n">
        <f aca="false">T1180*$M1180</f>
        <v>0</v>
      </c>
      <c r="V1180" s="28"/>
      <c r="W1180" s="28" t="n">
        <f aca="false">V1180*$M1180</f>
        <v>0</v>
      </c>
      <c r="X1180" s="28"/>
      <c r="Y1180" s="28" t="n">
        <f aca="false">X1180*$M1180</f>
        <v>0</v>
      </c>
      <c r="Z1180" s="28"/>
      <c r="AA1180" s="28" t="n">
        <f aca="false">Z1180*$M1180</f>
        <v>0</v>
      </c>
      <c r="AB1180" s="28"/>
      <c r="AC1180" s="28" t="n">
        <f aca="false">AB1180*$M1180</f>
        <v>0</v>
      </c>
      <c r="AD1180" s="28"/>
      <c r="AE1180" s="28" t="n">
        <f aca="false">AD1180*$M1180</f>
        <v>0</v>
      </c>
      <c r="AF1180" s="28"/>
      <c r="AG1180" s="28" t="n">
        <f aca="false">AF1180*$M1180</f>
        <v>0</v>
      </c>
      <c r="AH1180" s="28"/>
      <c r="AI1180" s="28" t="n">
        <f aca="false">AH1180*$M1180</f>
        <v>0</v>
      </c>
      <c r="AJ1180" s="28" t="n">
        <v>6171</v>
      </c>
      <c r="AK1180" s="28" t="n">
        <v>4628</v>
      </c>
      <c r="AL1180" s="28"/>
      <c r="AM1180" s="28" t="n">
        <f aca="false">AL1180*$M1180</f>
        <v>0</v>
      </c>
      <c r="AN1180" s="28"/>
      <c r="AO1180" s="28" t="n">
        <f aca="false">AN1180*$M1180</f>
        <v>0</v>
      </c>
      <c r="AP1180" s="28"/>
      <c r="AQ1180" s="28" t="n">
        <f aca="false">AP1180*$M1180</f>
        <v>0</v>
      </c>
      <c r="AR1180" s="28"/>
      <c r="AS1180" s="28" t="n">
        <f aca="false">AR1180*$M1180</f>
        <v>0</v>
      </c>
      <c r="AT1180" s="28"/>
      <c r="AU1180" s="28" t="n">
        <f aca="false">AT1180*$M1180</f>
        <v>0</v>
      </c>
      <c r="AV1180" s="28"/>
      <c r="AW1180" s="28" t="n">
        <f aca="false">AV1180*$M1180</f>
        <v>0</v>
      </c>
      <c r="AX1180" s="28"/>
      <c r="AY1180" s="28" t="n">
        <f aca="false">AX1180*$M1180</f>
        <v>0</v>
      </c>
      <c r="AZ1180" s="30" t="n">
        <v>6171</v>
      </c>
      <c r="BA1180" s="11" t="n">
        <v>4628</v>
      </c>
      <c r="BB1180" s="31" t="n">
        <f aca="false">SUM(Q1180,S1180,U1180,W1180,Y1180,AA1180,AC1180,AE1180,AG1180,AI1180,AK1180,AM1180,AO1180,AQ1180,AS1180,AU1180,AW1180,AY1180)</f>
        <v>4628</v>
      </c>
      <c r="BC1180" s="28" t="n">
        <f aca="false">BA1180-BB1180</f>
        <v>0</v>
      </c>
      <c r="BD1180" s="32" t="n">
        <f aca="false">SUM(P1180,R1180,T1180,V1180,X1180,Z1180,AB1180,AD1180,AF1180,AH1180,AJ1180,AL1180,AN1180,AP1180,AR1180,AT1180,AV1180,AX1180)</f>
        <v>6171</v>
      </c>
      <c r="BE1180" s="33" t="n">
        <f aca="false">AZ1180-BD1180</f>
        <v>0</v>
      </c>
      <c r="BF1180" s="34" t="n">
        <f aca="false">BD1180*M1180</f>
        <v>4628.25</v>
      </c>
      <c r="BG1180" s="35" t="n">
        <f aca="false">BA1180-BF1180</f>
        <v>-0.25</v>
      </c>
      <c r="BH1180" s="19" t="str">
        <f aca="false">IF(BG1180=0,"",IF(BG1180&lt;&gt;BA1180,"erreur de calcul",IF(BD1180&lt;&gt;0,"pas de prix",IF(M1180&lt;&gt; 0,"pas de quantité","pas de prix, ni de quantité"))))</f>
        <v>erreur de calcul</v>
      </c>
      <c r="BI1180" s="19"/>
    </row>
    <row r="1181" customFormat="false" ht="15" hidden="false" customHeight="false" outlineLevel="0" collapsed="false">
      <c r="A1181" s="0" t="n">
        <v>1</v>
      </c>
      <c r="B1181" s="8" t="s">
        <v>24</v>
      </c>
      <c r="C1181" s="9" t="s">
        <v>25</v>
      </c>
      <c r="D1181" s="9" t="s">
        <v>26</v>
      </c>
      <c r="E1181" s="10" t="n">
        <v>1789</v>
      </c>
      <c r="F1181" s="9" t="s">
        <v>27</v>
      </c>
      <c r="G1181" s="9" t="s">
        <v>27</v>
      </c>
      <c r="H1181" s="11" t="n">
        <v>22</v>
      </c>
      <c r="I1181" s="11" t="s">
        <v>202</v>
      </c>
      <c r="J1181" s="14" t="n">
        <v>10</v>
      </c>
      <c r="K1181" s="14"/>
      <c r="L1181" s="16"/>
      <c r="M1181" s="27" t="n">
        <f aca="false">J1181+(K1181/20)+(L1181/240)</f>
        <v>10</v>
      </c>
      <c r="N1181" s="17" t="s">
        <v>64</v>
      </c>
      <c r="O1181" s="11"/>
      <c r="P1181" s="28" t="n">
        <f aca="false">36147/100</f>
        <v>361.47</v>
      </c>
      <c r="Q1181" s="28" t="n">
        <v>3615</v>
      </c>
      <c r="R1181" s="28"/>
      <c r="S1181" s="28" t="n">
        <f aca="false">R1181*$M1181</f>
        <v>0</v>
      </c>
      <c r="T1181" s="28"/>
      <c r="U1181" s="28" t="n">
        <f aca="false">T1181*$M1181</f>
        <v>0</v>
      </c>
      <c r="V1181" s="28"/>
      <c r="W1181" s="28" t="n">
        <f aca="false">V1181*$M1181</f>
        <v>0</v>
      </c>
      <c r="X1181" s="28"/>
      <c r="Y1181" s="28" t="n">
        <f aca="false">X1181*$M1181</f>
        <v>0</v>
      </c>
      <c r="Z1181" s="28"/>
      <c r="AA1181" s="28" t="n">
        <f aca="false">Z1181*$M1181</f>
        <v>0</v>
      </c>
      <c r="AB1181" s="28" t="n">
        <f aca="false">14437/100</f>
        <v>144.37</v>
      </c>
      <c r="AC1181" s="28" t="n">
        <v>1444</v>
      </c>
      <c r="AD1181" s="28"/>
      <c r="AE1181" s="28" t="n">
        <f aca="false">AD1181*$M1181</f>
        <v>0</v>
      </c>
      <c r="AF1181" s="28"/>
      <c r="AG1181" s="28" t="n">
        <f aca="false">AF1181*$M1181</f>
        <v>0</v>
      </c>
      <c r="AH1181" s="28"/>
      <c r="AI1181" s="28" t="n">
        <f aca="false">AH1181*$M1181</f>
        <v>0</v>
      </c>
      <c r="AJ1181" s="28" t="n">
        <f aca="false">36351/100</f>
        <v>363.51</v>
      </c>
      <c r="AK1181" s="28" t="n">
        <v>3635</v>
      </c>
      <c r="AL1181" s="28"/>
      <c r="AM1181" s="28" t="n">
        <f aca="false">AL1181*$M1181</f>
        <v>0</v>
      </c>
      <c r="AN1181" s="28"/>
      <c r="AO1181" s="28" t="n">
        <f aca="false">AN1181*$M1181</f>
        <v>0</v>
      </c>
      <c r="AP1181" s="28"/>
      <c r="AQ1181" s="28" t="n">
        <f aca="false">AP1181*$M1181</f>
        <v>0</v>
      </c>
      <c r="AR1181" s="28" t="n">
        <f aca="false">25120/100</f>
        <v>251.2</v>
      </c>
      <c r="AS1181" s="28" t="n">
        <v>2512</v>
      </c>
      <c r="AT1181" s="28"/>
      <c r="AU1181" s="28" t="n">
        <f aca="false">AT1181*$M1181</f>
        <v>0</v>
      </c>
      <c r="AV1181" s="28"/>
      <c r="AW1181" s="28" t="n">
        <f aca="false">AV1181*$M1181</f>
        <v>0</v>
      </c>
      <c r="AX1181" s="28"/>
      <c r="AY1181" s="28" t="n">
        <f aca="false">AX1181*$M1181</f>
        <v>0</v>
      </c>
      <c r="AZ1181" s="30" t="n">
        <f aca="false">112055/100</f>
        <v>1120.55</v>
      </c>
      <c r="BA1181" s="11" t="n">
        <v>11206</v>
      </c>
      <c r="BB1181" s="31" t="n">
        <f aca="false">SUM(Q1181,S1181,U1181,W1181,Y1181,AA1181,AC1181,AE1181,AG1181,AI1181,AK1181,AM1181,AO1181,AQ1181,AS1181,AU1181,AW1181,AY1181)</f>
        <v>11206</v>
      </c>
      <c r="BC1181" s="28" t="n">
        <f aca="false">BA1181-BB1181</f>
        <v>0</v>
      </c>
      <c r="BD1181" s="32" t="n">
        <f aca="false">SUM(P1181,R1181,T1181,V1181,X1181,Z1181,AB1181,AD1181,AF1181,AH1181,AJ1181,AL1181,AN1181,AP1181,AR1181,AT1181,AV1181,AX1181)</f>
        <v>1120.55</v>
      </c>
      <c r="BE1181" s="33" t="n">
        <f aca="false">AZ1181-BD1181</f>
        <v>0</v>
      </c>
      <c r="BF1181" s="34" t="n">
        <f aca="false">BD1181*M1181</f>
        <v>11205.5</v>
      </c>
      <c r="BG1181" s="35" t="n">
        <f aca="false">BA1181-BF1181</f>
        <v>0.499999999998181</v>
      </c>
      <c r="BH1181" s="19" t="str">
        <f aca="false">IF(BG1181=0,"",IF(BG1181&lt;&gt;BA1181,"erreur de calcul",IF(BD1181&lt;&gt;0,"pas de prix",IF(M1181&lt;&gt; 0,"pas de quantité","pas de prix, ni de quantité"))))</f>
        <v>erreur de calcul</v>
      </c>
      <c r="BI1181" s="19"/>
    </row>
    <row r="1182" customFormat="false" ht="15" hidden="false" customHeight="false" outlineLevel="0" collapsed="false">
      <c r="A1182" s="0" t="n">
        <v>2</v>
      </c>
      <c r="B1182" s="8" t="s">
        <v>24</v>
      </c>
      <c r="C1182" s="9" t="s">
        <v>25</v>
      </c>
      <c r="D1182" s="9" t="s">
        <v>26</v>
      </c>
      <c r="E1182" s="10" t="n">
        <v>1789</v>
      </c>
      <c r="F1182" s="9" t="s">
        <v>27</v>
      </c>
      <c r="G1182" s="9" t="s">
        <v>27</v>
      </c>
      <c r="H1182" s="11" t="n">
        <v>22</v>
      </c>
      <c r="I1182" s="11" t="s">
        <v>203</v>
      </c>
      <c r="J1182" s="14" t="n">
        <v>20</v>
      </c>
      <c r="K1182" s="14"/>
      <c r="L1182" s="16"/>
      <c r="M1182" s="27" t="n">
        <f aca="false">J1182+(K1182/20)+(L1182/240)</f>
        <v>20</v>
      </c>
      <c r="N1182" s="17" t="s">
        <v>64</v>
      </c>
      <c r="O1182" s="11"/>
      <c r="P1182" s="28"/>
      <c r="Q1182" s="28" t="n">
        <f aca="false">P1182*$M1182</f>
        <v>0</v>
      </c>
      <c r="R1182" s="28"/>
      <c r="S1182" s="28" t="n">
        <f aca="false">R1182*$M1182</f>
        <v>0</v>
      </c>
      <c r="T1182" s="28"/>
      <c r="U1182" s="28" t="n">
        <f aca="false">T1182*$M1182</f>
        <v>0</v>
      </c>
      <c r="V1182" s="28"/>
      <c r="W1182" s="28" t="n">
        <f aca="false">V1182*$M1182</f>
        <v>0</v>
      </c>
      <c r="X1182" s="28"/>
      <c r="Y1182" s="28" t="n">
        <f aca="false">X1182*$M1182</f>
        <v>0</v>
      </c>
      <c r="Z1182" s="28"/>
      <c r="AA1182" s="28" t="n">
        <f aca="false">Z1182*$M1182</f>
        <v>0</v>
      </c>
      <c r="AB1182" s="28"/>
      <c r="AC1182" s="28" t="n">
        <f aca="false">AB1182*$M1182</f>
        <v>0</v>
      </c>
      <c r="AD1182" s="28"/>
      <c r="AE1182" s="28" t="n">
        <f aca="false">AD1182*$M1182</f>
        <v>0</v>
      </c>
      <c r="AF1182" s="28"/>
      <c r="AG1182" s="28" t="n">
        <f aca="false">AF1182*$M1182</f>
        <v>0</v>
      </c>
      <c r="AH1182" s="28"/>
      <c r="AI1182" s="28" t="n">
        <f aca="false">AH1182*$M1182</f>
        <v>0</v>
      </c>
      <c r="AJ1182" s="28" t="n">
        <f aca="false">109254/100</f>
        <v>1092.54</v>
      </c>
      <c r="AK1182" s="28" t="n">
        <v>21851</v>
      </c>
      <c r="AL1182" s="28"/>
      <c r="AM1182" s="28" t="n">
        <f aca="false">AL1182*$M1182</f>
        <v>0</v>
      </c>
      <c r="AN1182" s="28"/>
      <c r="AO1182" s="28" t="n">
        <f aca="false">AN1182*$M1182</f>
        <v>0</v>
      </c>
      <c r="AP1182" s="28"/>
      <c r="AQ1182" s="28" t="n">
        <f aca="false">AP1182*$M1182</f>
        <v>0</v>
      </c>
      <c r="AR1182" s="28"/>
      <c r="AS1182" s="28" t="n">
        <f aca="false">AR1182*$M1182</f>
        <v>0</v>
      </c>
      <c r="AT1182" s="28"/>
      <c r="AU1182" s="28" t="n">
        <f aca="false">AT1182*$M1182</f>
        <v>0</v>
      </c>
      <c r="AV1182" s="28"/>
      <c r="AW1182" s="28" t="n">
        <f aca="false">AV1182*$M1182</f>
        <v>0</v>
      </c>
      <c r="AX1182" s="28"/>
      <c r="AY1182" s="28" t="n">
        <f aca="false">AX1182*$M1182</f>
        <v>0</v>
      </c>
      <c r="AZ1182" s="30" t="n">
        <f aca="false">109254/100</f>
        <v>1092.54</v>
      </c>
      <c r="BA1182" s="11" t="n">
        <v>21851</v>
      </c>
      <c r="BB1182" s="31" t="n">
        <f aca="false">SUM(Q1182,S1182,U1182,W1182,Y1182,AA1182,AC1182,AE1182,AG1182,AI1182,AK1182,AM1182,AO1182,AQ1182,AS1182,AU1182,AW1182,AY1182)</f>
        <v>21851</v>
      </c>
      <c r="BC1182" s="28" t="n">
        <f aca="false">BA1182-BB1182</f>
        <v>0</v>
      </c>
      <c r="BD1182" s="32" t="n">
        <f aca="false">SUM(P1182,R1182,T1182,V1182,X1182,Z1182,AB1182,AD1182,AF1182,AH1182,AJ1182,AL1182,AN1182,AP1182,AR1182,AT1182,AV1182,AX1182)</f>
        <v>1092.54</v>
      </c>
      <c r="BE1182" s="33" t="n">
        <f aca="false">AZ1182-BD1182</f>
        <v>0</v>
      </c>
      <c r="BF1182" s="34" t="n">
        <f aca="false">BD1182*M1182</f>
        <v>21850.8</v>
      </c>
      <c r="BG1182" s="35" t="n">
        <f aca="false">BA1182-BF1182</f>
        <v>0.200000000000728</v>
      </c>
      <c r="BH1182" s="19" t="str">
        <f aca="false">IF(BG1182=0,"",IF(BG1182&lt;&gt;BA1182,"erreur de calcul",IF(BD1182&lt;&gt;0,"pas de prix",IF(M1182&lt;&gt; 0,"pas de quantité","pas de prix, ni de quantité"))))</f>
        <v>erreur de calcul</v>
      </c>
      <c r="BI1182" s="19"/>
    </row>
    <row r="1183" customFormat="false" ht="15" hidden="false" customHeight="false" outlineLevel="0" collapsed="false">
      <c r="A1183" s="0" t="n">
        <v>3</v>
      </c>
      <c r="B1183" s="8" t="s">
        <v>24</v>
      </c>
      <c r="C1183" s="9" t="s">
        <v>25</v>
      </c>
      <c r="D1183" s="9" t="s">
        <v>26</v>
      </c>
      <c r="E1183" s="10" t="n">
        <v>1789</v>
      </c>
      <c r="F1183" s="9" t="s">
        <v>27</v>
      </c>
      <c r="G1183" s="9" t="s">
        <v>27</v>
      </c>
      <c r="H1183" s="11" t="n">
        <v>22</v>
      </c>
      <c r="I1183" s="11" t="s">
        <v>204</v>
      </c>
      <c r="J1183" s="14" t="n">
        <v>20</v>
      </c>
      <c r="K1183" s="14"/>
      <c r="L1183" s="16"/>
      <c r="M1183" s="27" t="n">
        <f aca="false">J1183+(K1183/20)+(L1183/240)</f>
        <v>20</v>
      </c>
      <c r="N1183" s="17" t="s">
        <v>66</v>
      </c>
      <c r="O1183" s="11"/>
      <c r="P1183" s="28" t="n">
        <v>106125</v>
      </c>
      <c r="Q1183" s="36" t="n">
        <v>2162500</v>
      </c>
      <c r="R1183" s="28"/>
      <c r="S1183" s="28" t="n">
        <f aca="false">R1183*$M1183</f>
        <v>0</v>
      </c>
      <c r="T1183" s="28"/>
      <c r="U1183" s="28" t="n">
        <f aca="false">T1183*$M1183</f>
        <v>0</v>
      </c>
      <c r="V1183" s="28"/>
      <c r="W1183" s="28" t="n">
        <f aca="false">V1183*$M1183</f>
        <v>0</v>
      </c>
      <c r="X1183" s="28"/>
      <c r="Y1183" s="28" t="n">
        <f aca="false">X1183*$M1183</f>
        <v>0</v>
      </c>
      <c r="Z1183" s="28"/>
      <c r="AA1183" s="28" t="n">
        <f aca="false">Z1183*$M1183</f>
        <v>0</v>
      </c>
      <c r="AB1183" s="28"/>
      <c r="AC1183" s="28" t="n">
        <f aca="false">AB1183*$M1183</f>
        <v>0</v>
      </c>
      <c r="AD1183" s="28"/>
      <c r="AE1183" s="28" t="n">
        <f aca="false">AD1183*$M1183</f>
        <v>0</v>
      </c>
      <c r="AF1183" s="28"/>
      <c r="AG1183" s="28" t="n">
        <f aca="false">AF1183*$M1183</f>
        <v>0</v>
      </c>
      <c r="AH1183" s="28"/>
      <c r="AI1183" s="28" t="n">
        <f aca="false">AH1183*$M1183</f>
        <v>0</v>
      </c>
      <c r="AJ1183" s="28"/>
      <c r="AK1183" s="28" t="n">
        <f aca="false">AJ1183*$M1183</f>
        <v>0</v>
      </c>
      <c r="AL1183" s="28"/>
      <c r="AM1183" s="28" t="n">
        <f aca="false">AL1183*$M1183</f>
        <v>0</v>
      </c>
      <c r="AN1183" s="28"/>
      <c r="AO1183" s="28" t="n">
        <f aca="false">AN1183*$M1183</f>
        <v>0</v>
      </c>
      <c r="AP1183" s="28"/>
      <c r="AQ1183" s="28" t="n">
        <f aca="false">AP1183*$M1183</f>
        <v>0</v>
      </c>
      <c r="AR1183" s="28"/>
      <c r="AS1183" s="28" t="n">
        <f aca="false">AR1183*$M1183</f>
        <v>0</v>
      </c>
      <c r="AT1183" s="28"/>
      <c r="AU1183" s="28" t="n">
        <f aca="false">AT1183*$M1183</f>
        <v>0</v>
      </c>
      <c r="AV1183" s="28"/>
      <c r="AW1183" s="28" t="n">
        <f aca="false">AV1183*$M1183</f>
        <v>0</v>
      </c>
      <c r="AX1183" s="28"/>
      <c r="AY1183" s="28" t="n">
        <f aca="false">AX1183*$M1183</f>
        <v>0</v>
      </c>
      <c r="AZ1183" s="30" t="n">
        <v>108125</v>
      </c>
      <c r="BA1183" s="11" t="n">
        <v>2162500</v>
      </c>
      <c r="BB1183" s="31" t="n">
        <f aca="false">SUM(Q1183,S1183,U1183,W1183,Y1183,AA1183,AC1183,AE1183,AG1183,AI1183,AK1183,AM1183,AO1183,AQ1183,AS1183,AU1183,AW1183,AY1183)</f>
        <v>2162500</v>
      </c>
      <c r="BC1183" s="28" t="n">
        <f aca="false">BA1183-BB1183</f>
        <v>0</v>
      </c>
      <c r="BD1183" s="32" t="n">
        <f aca="false">SUM(P1183,R1183,T1183,V1183,X1183,Z1183,AB1183,AD1183,AF1183,AH1183,AJ1183,AL1183,AN1183,AP1183,AR1183,AT1183,AV1183,AX1183)</f>
        <v>106125</v>
      </c>
      <c r="BE1183" s="33" t="n">
        <f aca="false">AZ1183-BD1183</f>
        <v>2000</v>
      </c>
      <c r="BF1183" s="34" t="n">
        <f aca="false">BD1183*M1183</f>
        <v>2122500</v>
      </c>
      <c r="BG1183" s="35" t="n">
        <f aca="false">BA1183-BF1183</f>
        <v>40000</v>
      </c>
      <c r="BH1183" s="19" t="str">
        <f aca="false">IF(BG1183=0,"",IF(BG1183&lt;&gt;BA1183,"erreur de calcul",IF(BD1183&lt;&gt;0,"pas de prix",IF(M1183&lt;&gt; 0,"pas de quantité","pas de prix, ni de quantité"))))</f>
        <v>erreur de calcul</v>
      </c>
      <c r="BI1183" s="19"/>
    </row>
    <row r="1184" customFormat="false" ht="15" hidden="false" customHeight="false" outlineLevel="0" collapsed="false">
      <c r="A1184" s="0" t="n">
        <v>4</v>
      </c>
      <c r="B1184" s="8" t="s">
        <v>24</v>
      </c>
      <c r="C1184" s="9" t="s">
        <v>25</v>
      </c>
      <c r="D1184" s="9" t="s">
        <v>26</v>
      </c>
      <c r="E1184" s="10" t="n">
        <v>1789</v>
      </c>
      <c r="F1184" s="9" t="s">
        <v>27</v>
      </c>
      <c r="G1184" s="9" t="s">
        <v>27</v>
      </c>
      <c r="H1184" s="11" t="n">
        <v>22</v>
      </c>
      <c r="I1184" s="11" t="s">
        <v>205</v>
      </c>
      <c r="J1184" s="14" t="n">
        <v>15</v>
      </c>
      <c r="K1184" s="14"/>
      <c r="L1184" s="16"/>
      <c r="M1184" s="27" t="n">
        <f aca="false">J1184+(K1184/20)+(L1184/240)</f>
        <v>15</v>
      </c>
      <c r="N1184" s="17" t="s">
        <v>64</v>
      </c>
      <c r="O1184" s="11"/>
      <c r="P1184" s="28"/>
      <c r="Q1184" s="28" t="n">
        <f aca="false">P1184*$M1184</f>
        <v>0</v>
      </c>
      <c r="R1184" s="28"/>
      <c r="S1184" s="28" t="n">
        <f aca="false">R1184*$M1184</f>
        <v>0</v>
      </c>
      <c r="T1184" s="28"/>
      <c r="U1184" s="28" t="n">
        <f aca="false">T1184*$M1184</f>
        <v>0</v>
      </c>
      <c r="V1184" s="28"/>
      <c r="W1184" s="28" t="n">
        <f aca="false">V1184*$M1184</f>
        <v>0</v>
      </c>
      <c r="X1184" s="28" t="n">
        <f aca="false">27897/100</f>
        <v>278.97</v>
      </c>
      <c r="Y1184" s="28" t="n">
        <v>4184</v>
      </c>
      <c r="Z1184" s="28"/>
      <c r="AA1184" s="28" t="n">
        <f aca="false">Z1184*$M1184</f>
        <v>0</v>
      </c>
      <c r="AB1184" s="28"/>
      <c r="AC1184" s="28" t="n">
        <f aca="false">AB1184*$M1184</f>
        <v>0</v>
      </c>
      <c r="AD1184" s="28"/>
      <c r="AE1184" s="28" t="n">
        <f aca="false">AD1184*$M1184</f>
        <v>0</v>
      </c>
      <c r="AF1184" s="28"/>
      <c r="AG1184" s="28" t="n">
        <f aca="false">AF1184*$M1184</f>
        <v>0</v>
      </c>
      <c r="AH1184" s="28"/>
      <c r="AI1184" s="28" t="n">
        <f aca="false">AH1184*$M1184</f>
        <v>0</v>
      </c>
      <c r="AJ1184" s="28" t="n">
        <f aca="false">63734/100</f>
        <v>637.34</v>
      </c>
      <c r="AK1184" s="28" t="n">
        <v>9560</v>
      </c>
      <c r="AL1184" s="28"/>
      <c r="AM1184" s="28" t="n">
        <f aca="false">AL1184*$M1184</f>
        <v>0</v>
      </c>
      <c r="AN1184" s="28"/>
      <c r="AO1184" s="28" t="n">
        <f aca="false">AN1184*$M1184</f>
        <v>0</v>
      </c>
      <c r="AP1184" s="28"/>
      <c r="AQ1184" s="28" t="n">
        <f aca="false">AP1184*$M1184</f>
        <v>0</v>
      </c>
      <c r="AR1184" s="28"/>
      <c r="AS1184" s="28" t="n">
        <f aca="false">AR1184*$M1184</f>
        <v>0</v>
      </c>
      <c r="AT1184" s="28"/>
      <c r="AU1184" s="28" t="n">
        <f aca="false">AT1184*$M1184</f>
        <v>0</v>
      </c>
      <c r="AV1184" s="28"/>
      <c r="AW1184" s="28" t="n">
        <f aca="false">AV1184*$M1184</f>
        <v>0</v>
      </c>
      <c r="AX1184" s="28"/>
      <c r="AY1184" s="28" t="n">
        <f aca="false">AX1184*$M1184</f>
        <v>0</v>
      </c>
      <c r="AZ1184" s="30" t="n">
        <f aca="false">91631/100</f>
        <v>916.31</v>
      </c>
      <c r="BA1184" s="11" t="n">
        <v>13744</v>
      </c>
      <c r="BB1184" s="31" t="n">
        <f aca="false">SUM(Q1184,S1184,U1184,W1184,Y1184,AA1184,AC1184,AE1184,AG1184,AI1184,AK1184,AM1184,AO1184,AQ1184,AS1184,AU1184,AW1184,AY1184)</f>
        <v>13744</v>
      </c>
      <c r="BC1184" s="28" t="n">
        <f aca="false">BA1184-BB1184</f>
        <v>0</v>
      </c>
      <c r="BD1184" s="32" t="n">
        <f aca="false">SUM(P1184,R1184,T1184,V1184,X1184,Z1184,AB1184,AD1184,AF1184,AH1184,AJ1184,AL1184,AN1184,AP1184,AR1184,AT1184,AV1184,AX1184)</f>
        <v>916.31</v>
      </c>
      <c r="BE1184" s="33" t="n">
        <f aca="false">AZ1184-BD1184</f>
        <v>0</v>
      </c>
      <c r="BF1184" s="34" t="n">
        <f aca="false">BD1184*M1184</f>
        <v>13744.65</v>
      </c>
      <c r="BG1184" s="35" t="n">
        <f aca="false">BA1184-BF1184</f>
        <v>-0.650000000001455</v>
      </c>
      <c r="BH1184" s="19" t="str">
        <f aca="false">IF(BG1184=0,"",IF(BG1184&lt;&gt;BA1184,"erreur de calcul",IF(BD1184&lt;&gt;0,"pas de prix",IF(M1184&lt;&gt; 0,"pas de quantité","pas de prix, ni de quantité"))))</f>
        <v>erreur de calcul</v>
      </c>
      <c r="BI1184" s="19"/>
    </row>
    <row r="1185" customFormat="false" ht="15" hidden="false" customHeight="false" outlineLevel="0" collapsed="false">
      <c r="A1185" s="0" t="n">
        <v>5</v>
      </c>
      <c r="B1185" s="8" t="s">
        <v>24</v>
      </c>
      <c r="C1185" s="9" t="s">
        <v>25</v>
      </c>
      <c r="D1185" s="9" t="s">
        <v>26</v>
      </c>
      <c r="E1185" s="10" t="n">
        <v>1789</v>
      </c>
      <c r="F1185" s="9" t="s">
        <v>27</v>
      </c>
      <c r="G1185" s="9" t="s">
        <v>27</v>
      </c>
      <c r="H1185" s="11" t="n">
        <v>22</v>
      </c>
      <c r="I1185" s="11" t="s">
        <v>206</v>
      </c>
      <c r="J1185" s="14" t="n">
        <v>30</v>
      </c>
      <c r="K1185" s="14"/>
      <c r="L1185" s="16"/>
      <c r="M1185" s="27" t="n">
        <f aca="false">J1185+(K1185/20)+(L1185/240)</f>
        <v>30</v>
      </c>
      <c r="N1185" s="17" t="s">
        <v>64</v>
      </c>
      <c r="O1185" s="11"/>
      <c r="P1185" s="28" t="n">
        <f aca="false">8334/100</f>
        <v>83.34</v>
      </c>
      <c r="Q1185" s="28" t="n">
        <v>2500</v>
      </c>
      <c r="R1185" s="28"/>
      <c r="S1185" s="28" t="n">
        <f aca="false">R1185*$M1185</f>
        <v>0</v>
      </c>
      <c r="T1185" s="28"/>
      <c r="U1185" s="28" t="n">
        <f aca="false">T1185*$M1185</f>
        <v>0</v>
      </c>
      <c r="V1185" s="28"/>
      <c r="W1185" s="28" t="n">
        <f aca="false">V1185*$M1185</f>
        <v>0</v>
      </c>
      <c r="X1185" s="28"/>
      <c r="Y1185" s="28" t="n">
        <f aca="false">X1185*$M1185</f>
        <v>0</v>
      </c>
      <c r="Z1185" s="28"/>
      <c r="AA1185" s="28" t="n">
        <f aca="false">Z1185*$M1185</f>
        <v>0</v>
      </c>
      <c r="AB1185" s="28"/>
      <c r="AC1185" s="28" t="n">
        <f aca="false">AB1185*$M1185</f>
        <v>0</v>
      </c>
      <c r="AD1185" s="28"/>
      <c r="AE1185" s="28" t="n">
        <f aca="false">AD1185*$M1185</f>
        <v>0</v>
      </c>
      <c r="AF1185" s="28"/>
      <c r="AG1185" s="28" t="n">
        <f aca="false">AF1185*$M1185</f>
        <v>0</v>
      </c>
      <c r="AH1185" s="28"/>
      <c r="AI1185" s="28" t="n">
        <f aca="false">AH1185*$M1185</f>
        <v>0</v>
      </c>
      <c r="AJ1185" s="28"/>
      <c r="AK1185" s="28" t="n">
        <f aca="false">AJ1185*$M1185</f>
        <v>0</v>
      </c>
      <c r="AL1185" s="28"/>
      <c r="AM1185" s="28" t="n">
        <f aca="false">AL1185*$M1185</f>
        <v>0</v>
      </c>
      <c r="AN1185" s="28"/>
      <c r="AO1185" s="28" t="n">
        <f aca="false">AN1185*$M1185</f>
        <v>0</v>
      </c>
      <c r="AP1185" s="28"/>
      <c r="AQ1185" s="28" t="n">
        <f aca="false">AP1185*$M1185</f>
        <v>0</v>
      </c>
      <c r="AR1185" s="28"/>
      <c r="AS1185" s="28" t="n">
        <f aca="false">AR1185*$M1185</f>
        <v>0</v>
      </c>
      <c r="AT1185" s="28"/>
      <c r="AU1185" s="28" t="n">
        <f aca="false">AT1185*$M1185</f>
        <v>0</v>
      </c>
      <c r="AV1185" s="28"/>
      <c r="AW1185" s="28" t="n">
        <f aca="false">AV1185*$M1185</f>
        <v>0</v>
      </c>
      <c r="AX1185" s="28"/>
      <c r="AY1185" s="28" t="n">
        <f aca="false">AX1185*$M1185</f>
        <v>0</v>
      </c>
      <c r="AZ1185" s="30" t="n">
        <f aca="false">8334/100</f>
        <v>83.34</v>
      </c>
      <c r="BA1185" s="11" t="n">
        <v>2500</v>
      </c>
      <c r="BB1185" s="31" t="n">
        <f aca="false">SUM(Q1185,S1185,U1185,W1185,Y1185,AA1185,AC1185,AE1185,AG1185,AI1185,AK1185,AM1185,AO1185,AQ1185,AS1185,AU1185,AW1185,AY1185)</f>
        <v>2500</v>
      </c>
      <c r="BC1185" s="28" t="n">
        <f aca="false">BA1185-BB1185</f>
        <v>0</v>
      </c>
      <c r="BD1185" s="32" t="n">
        <f aca="false">SUM(P1185,R1185,T1185,V1185,X1185,Z1185,AB1185,AD1185,AF1185,AH1185,AJ1185,AL1185,AN1185,AP1185,AR1185,AT1185,AV1185,AX1185)</f>
        <v>83.34</v>
      </c>
      <c r="BE1185" s="33" t="n">
        <f aca="false">AZ1185-BD1185</f>
        <v>0</v>
      </c>
      <c r="BF1185" s="34" t="n">
        <f aca="false">BD1185*M1185</f>
        <v>2500.2</v>
      </c>
      <c r="BG1185" s="35" t="n">
        <f aca="false">BA1185-BF1185</f>
        <v>-0.200000000000273</v>
      </c>
      <c r="BH1185" s="19" t="str">
        <f aca="false">IF(BG1185=0,"",IF(BG1185&lt;&gt;BA1185,"erreur de calcul",IF(BD1185&lt;&gt;0,"pas de prix",IF(M1185&lt;&gt; 0,"pas de quantité","pas de prix, ni de quantité"))))</f>
        <v>erreur de calcul</v>
      </c>
      <c r="BI1185" s="19"/>
    </row>
    <row r="1186" customFormat="false" ht="15" hidden="false" customHeight="false" outlineLevel="0" collapsed="false">
      <c r="A1186" s="0" t="n">
        <v>6</v>
      </c>
      <c r="B1186" s="8" t="s">
        <v>24</v>
      </c>
      <c r="C1186" s="9" t="s">
        <v>25</v>
      </c>
      <c r="D1186" s="9" t="s">
        <v>26</v>
      </c>
      <c r="E1186" s="10" t="n">
        <v>1789</v>
      </c>
      <c r="F1186" s="9" t="s">
        <v>27</v>
      </c>
      <c r="G1186" s="9" t="s">
        <v>27</v>
      </c>
      <c r="H1186" s="11" t="n">
        <v>22</v>
      </c>
      <c r="I1186" s="11" t="s">
        <v>207</v>
      </c>
      <c r="J1186" s="14"/>
      <c r="K1186" s="14" t="n">
        <v>20</v>
      </c>
      <c r="L1186" s="16"/>
      <c r="M1186" s="27" t="n">
        <f aca="false">J1186+(K1186/20)+(L1186/240)</f>
        <v>1</v>
      </c>
      <c r="N1186" s="17" t="s">
        <v>66</v>
      </c>
      <c r="O1186" s="11"/>
      <c r="P1186" s="28"/>
      <c r="Q1186" s="28" t="n">
        <f aca="false">P1186*$M1186</f>
        <v>0</v>
      </c>
      <c r="R1186" s="28"/>
      <c r="S1186" s="28" t="n">
        <f aca="false">R1186*$M1186</f>
        <v>0</v>
      </c>
      <c r="T1186" s="28"/>
      <c r="U1186" s="28" t="n">
        <f aca="false">T1186*$M1186</f>
        <v>0</v>
      </c>
      <c r="V1186" s="28" t="n">
        <v>33010</v>
      </c>
      <c r="W1186" s="28" t="n">
        <v>33010</v>
      </c>
      <c r="X1186" s="28" t="n">
        <v>292003</v>
      </c>
      <c r="Y1186" s="28" t="n">
        <v>292003</v>
      </c>
      <c r="Z1186" s="28" t="n">
        <v>15558</v>
      </c>
      <c r="AA1186" s="28" t="n">
        <v>15558</v>
      </c>
      <c r="AB1186" s="28" t="n">
        <v>80515</v>
      </c>
      <c r="AC1186" s="28" t="n">
        <v>80515</v>
      </c>
      <c r="AD1186" s="28"/>
      <c r="AE1186" s="28" t="n">
        <f aca="false">AD1186*$M1186</f>
        <v>0</v>
      </c>
      <c r="AF1186" s="28"/>
      <c r="AG1186" s="28" t="n">
        <f aca="false">AF1186*$M1186</f>
        <v>0</v>
      </c>
      <c r="AH1186" s="28" t="n">
        <v>515373</v>
      </c>
      <c r="AI1186" s="28" t="n">
        <v>515373</v>
      </c>
      <c r="AJ1186" s="28"/>
      <c r="AK1186" s="28" t="n">
        <f aca="false">AJ1186*$M1186</f>
        <v>0</v>
      </c>
      <c r="AL1186" s="28" t="n">
        <v>3480</v>
      </c>
      <c r="AM1186" s="28" t="n">
        <v>3480</v>
      </c>
      <c r="AN1186" s="28"/>
      <c r="AO1186" s="28" t="n">
        <f aca="false">AN1186*$M1186</f>
        <v>0</v>
      </c>
      <c r="AP1186" s="28"/>
      <c r="AQ1186" s="28" t="n">
        <f aca="false">AP1186*$M1186</f>
        <v>0</v>
      </c>
      <c r="AR1186" s="28"/>
      <c r="AS1186" s="28" t="n">
        <f aca="false">AR1186*$M1186</f>
        <v>0</v>
      </c>
      <c r="AT1186" s="28"/>
      <c r="AU1186" s="28" t="n">
        <f aca="false">AT1186*$M1186</f>
        <v>0</v>
      </c>
      <c r="AV1186" s="28"/>
      <c r="AW1186" s="28" t="n">
        <f aca="false">AV1186*$M1186</f>
        <v>0</v>
      </c>
      <c r="AX1186" s="28"/>
      <c r="AY1186" s="28" t="n">
        <f aca="false">AX1186*$M1186</f>
        <v>0</v>
      </c>
      <c r="AZ1186" s="30" t="n">
        <v>939939</v>
      </c>
      <c r="BA1186" s="11" t="n">
        <v>939939</v>
      </c>
      <c r="BB1186" s="31" t="n">
        <f aca="false">SUM(Q1186,S1186,U1186,W1186,Y1186,AA1186,AC1186,AE1186,AG1186,AI1186,AK1186,AM1186,AO1186,AQ1186,AS1186,AU1186,AW1186,AY1186)</f>
        <v>939939</v>
      </c>
      <c r="BC1186" s="28" t="n">
        <f aca="false">BA1186-BB1186</f>
        <v>0</v>
      </c>
      <c r="BD1186" s="32" t="n">
        <f aca="false">SUM(P1186,R1186,T1186,V1186,X1186,Z1186,AB1186,AD1186,AF1186,AH1186,AJ1186,AL1186,AN1186,AP1186,AR1186,AT1186,AV1186,AX1186)</f>
        <v>939939</v>
      </c>
      <c r="BE1186" s="33" t="n">
        <f aca="false">AZ1186-BD1186</f>
        <v>0</v>
      </c>
      <c r="BF1186" s="34" t="n">
        <f aca="false">BD1186*M1186</f>
        <v>939939</v>
      </c>
      <c r="BG1186" s="35" t="n">
        <f aca="false">BA1186-BF1186</f>
        <v>0</v>
      </c>
      <c r="BH1186" s="19" t="str">
        <f aca="false">IF(BG1186=0,"",IF(BG1186&lt;&gt;BA1186,"erreur de calcul",IF(BD1186&lt;&gt;0,"pas de prix",IF(M1186&lt;&gt; 0,"pas de quantité","pas de prix, ni de quantité"))))</f>
        <v/>
      </c>
      <c r="BI1186" s="19"/>
    </row>
    <row r="1187" customFormat="false" ht="15" hidden="false" customHeight="false" outlineLevel="0" collapsed="false">
      <c r="A1187" s="0" t="n">
        <v>7</v>
      </c>
      <c r="B1187" s="8" t="s">
        <v>24</v>
      </c>
      <c r="C1187" s="9" t="s">
        <v>25</v>
      </c>
      <c r="D1187" s="9" t="s">
        <v>26</v>
      </c>
      <c r="E1187" s="10" t="n">
        <v>1789</v>
      </c>
      <c r="F1187" s="9" t="s">
        <v>27</v>
      </c>
      <c r="G1187" s="9" t="s">
        <v>27</v>
      </c>
      <c r="H1187" s="11" t="n">
        <v>22</v>
      </c>
      <c r="I1187" s="11" t="s">
        <v>208</v>
      </c>
      <c r="J1187" s="14" t="n">
        <v>60</v>
      </c>
      <c r="K1187" s="14"/>
      <c r="L1187" s="16"/>
      <c r="M1187" s="27" t="n">
        <f aca="false">J1187+(K1187/20)+(L1187/240)</f>
        <v>60</v>
      </c>
      <c r="N1187" s="17" t="s">
        <v>64</v>
      </c>
      <c r="O1187" s="11"/>
      <c r="P1187" s="28"/>
      <c r="Q1187" s="28" t="n">
        <f aca="false">P1187*$M1187</f>
        <v>0</v>
      </c>
      <c r="R1187" s="28"/>
      <c r="S1187" s="28" t="n">
        <f aca="false">R1187*$M1187</f>
        <v>0</v>
      </c>
      <c r="T1187" s="28"/>
      <c r="U1187" s="28" t="n">
        <f aca="false">T1187*$M1187</f>
        <v>0</v>
      </c>
      <c r="V1187" s="28"/>
      <c r="W1187" s="28" t="n">
        <f aca="false">V1187*$M1187</f>
        <v>0</v>
      </c>
      <c r="X1187" s="28"/>
      <c r="Y1187" s="28" t="n">
        <f aca="false">X1187*$M1187</f>
        <v>0</v>
      </c>
      <c r="Z1187" s="28"/>
      <c r="AA1187" s="28" t="n">
        <f aca="false">Z1187*$M1187</f>
        <v>0</v>
      </c>
      <c r="AB1187" s="28"/>
      <c r="AC1187" s="28" t="n">
        <f aca="false">AB1187*$M1187</f>
        <v>0</v>
      </c>
      <c r="AD1187" s="28"/>
      <c r="AE1187" s="28" t="n">
        <f aca="false">AD1187*$M1187</f>
        <v>0</v>
      </c>
      <c r="AF1187" s="28"/>
      <c r="AG1187" s="28" t="n">
        <f aca="false">AF1187*$M1187</f>
        <v>0</v>
      </c>
      <c r="AH1187" s="28"/>
      <c r="AI1187" s="28" t="n">
        <f aca="false">AH1187*$M1187</f>
        <v>0</v>
      </c>
      <c r="AJ1187" s="28" t="n">
        <f aca="false">28692/100</f>
        <v>286.92</v>
      </c>
      <c r="AK1187" s="28" t="n">
        <v>17215</v>
      </c>
      <c r="AL1187" s="28"/>
      <c r="AM1187" s="28" t="n">
        <f aca="false">AL1187*$M1187</f>
        <v>0</v>
      </c>
      <c r="AN1187" s="28"/>
      <c r="AO1187" s="28" t="n">
        <f aca="false">AN1187*$M1187</f>
        <v>0</v>
      </c>
      <c r="AP1187" s="28"/>
      <c r="AQ1187" s="28" t="n">
        <f aca="false">AP1187*$M1187</f>
        <v>0</v>
      </c>
      <c r="AR1187" s="28"/>
      <c r="AS1187" s="28" t="n">
        <f aca="false">AR1187*$M1187</f>
        <v>0</v>
      </c>
      <c r="AT1187" s="28"/>
      <c r="AU1187" s="28" t="n">
        <f aca="false">AT1187*$M1187</f>
        <v>0</v>
      </c>
      <c r="AV1187" s="28"/>
      <c r="AW1187" s="28" t="n">
        <f aca="false">AV1187*$M1187</f>
        <v>0</v>
      </c>
      <c r="AX1187" s="28"/>
      <c r="AY1187" s="28" t="n">
        <f aca="false">AX1187*$M1187</f>
        <v>0</v>
      </c>
      <c r="AZ1187" s="30" t="n">
        <f aca="false">28692/100</f>
        <v>286.92</v>
      </c>
      <c r="BA1187" s="11" t="n">
        <v>17215</v>
      </c>
      <c r="BB1187" s="31" t="n">
        <f aca="false">SUM(Q1187,S1187,U1187,W1187,Y1187,AA1187,AC1187,AE1187,AG1187,AI1187,AK1187,AM1187,AO1187,AQ1187,AS1187,AU1187,AW1187,AY1187)</f>
        <v>17215</v>
      </c>
      <c r="BC1187" s="28" t="n">
        <f aca="false">BA1187-BB1187</f>
        <v>0</v>
      </c>
      <c r="BD1187" s="32" t="n">
        <f aca="false">SUM(P1187,R1187,T1187,V1187,X1187,Z1187,AB1187,AD1187,AF1187,AH1187,AJ1187,AL1187,AN1187,AP1187,AR1187,AT1187,AV1187,AX1187)</f>
        <v>286.92</v>
      </c>
      <c r="BE1187" s="33" t="n">
        <f aca="false">AZ1187-BD1187</f>
        <v>0</v>
      </c>
      <c r="BF1187" s="34" t="n">
        <f aca="false">BD1187*M1187</f>
        <v>17215.2</v>
      </c>
      <c r="BG1187" s="35" t="n">
        <f aca="false">BA1187-BF1187</f>
        <v>-0.200000000000728</v>
      </c>
      <c r="BH1187" s="19" t="str">
        <f aca="false">IF(BG1187=0,"",IF(BG1187&lt;&gt;BA1187,"erreur de calcul",IF(BD1187&lt;&gt;0,"pas de prix",IF(M1187&lt;&gt; 0,"pas de quantité","pas de prix, ni de quantité"))))</f>
        <v>erreur de calcul</v>
      </c>
      <c r="BI1187" s="19"/>
    </row>
    <row r="1188" customFormat="false" ht="15" hidden="false" customHeight="false" outlineLevel="0" collapsed="false">
      <c r="A1188" s="0" t="n">
        <v>8</v>
      </c>
      <c r="B1188" s="8" t="s">
        <v>24</v>
      </c>
      <c r="C1188" s="9" t="s">
        <v>25</v>
      </c>
      <c r="D1188" s="9" t="s">
        <v>26</v>
      </c>
      <c r="E1188" s="10" t="n">
        <v>1789</v>
      </c>
      <c r="F1188" s="9" t="s">
        <v>27</v>
      </c>
      <c r="G1188" s="9" t="s">
        <v>27</v>
      </c>
      <c r="H1188" s="11" t="n">
        <v>22</v>
      </c>
      <c r="I1188" s="11" t="s">
        <v>209</v>
      </c>
      <c r="J1188" s="14" t="n">
        <v>26</v>
      </c>
      <c r="K1188" s="14"/>
      <c r="L1188" s="16"/>
      <c r="M1188" s="27" t="n">
        <f aca="false">J1188+(K1188/20)+(L1188/240)</f>
        <v>26</v>
      </c>
      <c r="N1188" s="17" t="s">
        <v>64</v>
      </c>
      <c r="O1188" s="11"/>
      <c r="P1188" s="28" t="n">
        <f aca="false">9675/100</f>
        <v>96.75</v>
      </c>
      <c r="Q1188" s="28" t="n">
        <v>2515</v>
      </c>
      <c r="R1188" s="28"/>
      <c r="S1188" s="28" t="n">
        <f aca="false">R1188*$M1188</f>
        <v>0</v>
      </c>
      <c r="T1188" s="28"/>
      <c r="U1188" s="28" t="n">
        <f aca="false">T1188*$M1188</f>
        <v>0</v>
      </c>
      <c r="V1188" s="28"/>
      <c r="W1188" s="28" t="n">
        <f aca="false">V1188*$M1188</f>
        <v>0</v>
      </c>
      <c r="X1188" s="28"/>
      <c r="Y1188" s="28" t="n">
        <f aca="false">X1188*$M1188</f>
        <v>0</v>
      </c>
      <c r="Z1188" s="28"/>
      <c r="AA1188" s="28" t="n">
        <f aca="false">Z1188*$M1188</f>
        <v>0</v>
      </c>
      <c r="AB1188" s="28"/>
      <c r="AC1188" s="28" t="n">
        <f aca="false">AB1188*$M1188</f>
        <v>0</v>
      </c>
      <c r="AD1188" s="28"/>
      <c r="AE1188" s="28" t="n">
        <f aca="false">AD1188*$M1188</f>
        <v>0</v>
      </c>
      <c r="AF1188" s="28"/>
      <c r="AG1188" s="28" t="n">
        <f aca="false">AF1188*$M1188</f>
        <v>0</v>
      </c>
      <c r="AH1188" s="28"/>
      <c r="AI1188" s="28" t="n">
        <f aca="false">AH1188*$M1188</f>
        <v>0</v>
      </c>
      <c r="AJ1188" s="28"/>
      <c r="AK1188" s="28" t="n">
        <f aca="false">AJ1188*$M1188</f>
        <v>0</v>
      </c>
      <c r="AL1188" s="28"/>
      <c r="AM1188" s="28" t="n">
        <f aca="false">AL1188*$M1188</f>
        <v>0</v>
      </c>
      <c r="AN1188" s="28"/>
      <c r="AO1188" s="28" t="n">
        <f aca="false">AN1188*$M1188</f>
        <v>0</v>
      </c>
      <c r="AP1188" s="28"/>
      <c r="AQ1188" s="28" t="n">
        <f aca="false">AP1188*$M1188</f>
        <v>0</v>
      </c>
      <c r="AR1188" s="28"/>
      <c r="AS1188" s="28" t="n">
        <f aca="false">AR1188*$M1188</f>
        <v>0</v>
      </c>
      <c r="AT1188" s="28"/>
      <c r="AU1188" s="28" t="n">
        <f aca="false">AT1188*$M1188</f>
        <v>0</v>
      </c>
      <c r="AV1188" s="28"/>
      <c r="AW1188" s="28" t="n">
        <f aca="false">AV1188*$M1188</f>
        <v>0</v>
      </c>
      <c r="AX1188" s="28"/>
      <c r="AY1188" s="28" t="n">
        <f aca="false">AX1188*$M1188</f>
        <v>0</v>
      </c>
      <c r="AZ1188" s="30" t="n">
        <f aca="false">9675/100</f>
        <v>96.75</v>
      </c>
      <c r="BA1188" s="11" t="n">
        <v>2515</v>
      </c>
      <c r="BB1188" s="31" t="n">
        <f aca="false">SUM(Q1188,S1188,U1188,W1188,Y1188,AA1188,AC1188,AE1188,AG1188,AI1188,AK1188,AM1188,AO1188,AQ1188,AS1188,AU1188,AW1188,AY1188)</f>
        <v>2515</v>
      </c>
      <c r="BC1188" s="28" t="n">
        <f aca="false">BA1188-BB1188</f>
        <v>0</v>
      </c>
      <c r="BD1188" s="32" t="n">
        <f aca="false">SUM(P1188,R1188,T1188,V1188,X1188,Z1188,AB1188,AD1188,AF1188,AH1188,AJ1188,AL1188,AN1188,AP1188,AR1188,AT1188,AV1188,AX1188)</f>
        <v>96.75</v>
      </c>
      <c r="BE1188" s="33" t="n">
        <f aca="false">AZ1188-BD1188</f>
        <v>0</v>
      </c>
      <c r="BF1188" s="34" t="n">
        <f aca="false">BD1188*M1188</f>
        <v>2515.5</v>
      </c>
      <c r="BG1188" s="35" t="n">
        <f aca="false">BA1188-BF1188</f>
        <v>-0.5</v>
      </c>
      <c r="BH1188" s="19" t="str">
        <f aca="false">IF(BG1188=0,"",IF(BG1188&lt;&gt;BA1188,"erreur de calcul",IF(BD1188&lt;&gt;0,"pas de prix",IF(M1188&lt;&gt; 0,"pas de quantité","pas de prix, ni de quantité"))))</f>
        <v>erreur de calcul</v>
      </c>
      <c r="BI1188" s="19"/>
    </row>
    <row r="1189" customFormat="false" ht="15" hidden="false" customHeight="false" outlineLevel="0" collapsed="false">
      <c r="A1189" s="0" t="n">
        <v>9</v>
      </c>
      <c r="B1189" s="8" t="s">
        <v>24</v>
      </c>
      <c r="C1189" s="9" t="s">
        <v>25</v>
      </c>
      <c r="D1189" s="9" t="s">
        <v>26</v>
      </c>
      <c r="E1189" s="10" t="n">
        <v>1789</v>
      </c>
      <c r="F1189" s="9" t="s">
        <v>27</v>
      </c>
      <c r="G1189" s="9" t="s">
        <v>27</v>
      </c>
      <c r="H1189" s="11" t="n">
        <v>22</v>
      </c>
      <c r="I1189" s="11" t="s">
        <v>210</v>
      </c>
      <c r="J1189" s="14" t="n">
        <v>8</v>
      </c>
      <c r="K1189" s="14" t="n">
        <v>15</v>
      </c>
      <c r="L1189" s="16"/>
      <c r="M1189" s="27" t="n">
        <f aca="false">J1189+(K1189/20)+(L1189/240)</f>
        <v>8.75</v>
      </c>
      <c r="N1189" s="17" t="s">
        <v>66</v>
      </c>
      <c r="O1189" s="11"/>
      <c r="P1189" s="28"/>
      <c r="Q1189" s="28" t="n">
        <f aca="false">P1189*$M1189</f>
        <v>0</v>
      </c>
      <c r="R1189" s="28"/>
      <c r="S1189" s="28" t="n">
        <f aca="false">R1189*$M1189</f>
        <v>0</v>
      </c>
      <c r="T1189" s="28" t="n">
        <v>2562</v>
      </c>
      <c r="U1189" s="36" t="n">
        <v>21777</v>
      </c>
      <c r="V1189" s="28" t="n">
        <v>127</v>
      </c>
      <c r="W1189" s="28" t="n">
        <v>1111</v>
      </c>
      <c r="X1189" s="28" t="n">
        <v>1945</v>
      </c>
      <c r="Y1189" s="28" t="n">
        <v>17018</v>
      </c>
      <c r="Z1189" s="28"/>
      <c r="AA1189" s="28" t="n">
        <f aca="false">Z1189*$M1189</f>
        <v>0</v>
      </c>
      <c r="AB1189" s="28"/>
      <c r="AC1189" s="28" t="n">
        <f aca="false">AB1189*$M1189</f>
        <v>0</v>
      </c>
      <c r="AD1189" s="28"/>
      <c r="AE1189" s="28" t="n">
        <f aca="false">AD1189*$M1189</f>
        <v>0</v>
      </c>
      <c r="AF1189" s="28"/>
      <c r="AG1189" s="28" t="n">
        <f aca="false">AF1189*$M1189</f>
        <v>0</v>
      </c>
      <c r="AH1189" s="28"/>
      <c r="AI1189" s="28" t="n">
        <f aca="false">AH1189*$M1189</f>
        <v>0</v>
      </c>
      <c r="AJ1189" s="28" t="n">
        <v>3538</v>
      </c>
      <c r="AK1189" s="36" t="n">
        <v>30073</v>
      </c>
      <c r="AL1189" s="28"/>
      <c r="AM1189" s="28" t="n">
        <f aca="false">AL1189*$M1189</f>
        <v>0</v>
      </c>
      <c r="AN1189" s="28"/>
      <c r="AO1189" s="28" t="n">
        <f aca="false">AN1189*$M1189</f>
        <v>0</v>
      </c>
      <c r="AP1189" s="28"/>
      <c r="AQ1189" s="28" t="n">
        <f aca="false">AP1189*$M1189</f>
        <v>0</v>
      </c>
      <c r="AR1189" s="28"/>
      <c r="AS1189" s="28" t="n">
        <f aca="false">AR1189*$M1189</f>
        <v>0</v>
      </c>
      <c r="AT1189" s="28"/>
      <c r="AU1189" s="28" t="n">
        <f aca="false">AT1189*$M1189</f>
        <v>0</v>
      </c>
      <c r="AV1189" s="28"/>
      <c r="AW1189" s="28" t="n">
        <f aca="false">AV1189*$M1189</f>
        <v>0</v>
      </c>
      <c r="AX1189" s="28" t="n">
        <v>11559</v>
      </c>
      <c r="AY1189" s="28" t="n">
        <v>101141</v>
      </c>
      <c r="AZ1189" s="30" t="n">
        <v>19731</v>
      </c>
      <c r="BA1189" s="11" t="n">
        <v>171120</v>
      </c>
      <c r="BB1189" s="31" t="n">
        <f aca="false">SUM(Q1189,S1189,U1189,W1189,Y1189,AA1189,AC1189,AE1189,AG1189,AI1189,AK1189,AM1189,AO1189,AQ1189,AS1189,AU1189,AW1189,AY1189)</f>
        <v>171120</v>
      </c>
      <c r="BC1189" s="28" t="n">
        <f aca="false">BA1189-BB1189</f>
        <v>0</v>
      </c>
      <c r="BD1189" s="32" t="n">
        <f aca="false">SUM(P1189,R1189,T1189,V1189,X1189,Z1189,AB1189,AD1189,AF1189,AH1189,AJ1189,AL1189,AN1189,AP1189,AR1189,AT1189,AV1189,AX1189)</f>
        <v>19731</v>
      </c>
      <c r="BE1189" s="33" t="n">
        <f aca="false">AZ1189-BD1189</f>
        <v>0</v>
      </c>
      <c r="BF1189" s="34" t="n">
        <f aca="false">BD1189*M1189</f>
        <v>172646.25</v>
      </c>
      <c r="BG1189" s="35" t="n">
        <f aca="false">BA1189-BF1189</f>
        <v>-1526.25</v>
      </c>
      <c r="BH1189" s="19" t="str">
        <f aca="false">IF(BG1189=0,"",IF(BG1189&lt;&gt;BA1189,"erreur de calcul",IF(BD1189&lt;&gt;0,"pas de prix",IF(M1189&lt;&gt; 0,"pas de quantité","pas de prix, ni de quantité"))))</f>
        <v>erreur de calcul</v>
      </c>
      <c r="BI1189" s="19"/>
    </row>
    <row r="1190" customFormat="false" ht="15" hidden="false" customHeight="false" outlineLevel="0" collapsed="false">
      <c r="A1190" s="0" t="n">
        <v>10</v>
      </c>
      <c r="B1190" s="8" t="s">
        <v>24</v>
      </c>
      <c r="C1190" s="9" t="s">
        <v>25</v>
      </c>
      <c r="D1190" s="9" t="s">
        <v>26</v>
      </c>
      <c r="E1190" s="10" t="n">
        <v>1789</v>
      </c>
      <c r="F1190" s="9" t="s">
        <v>27</v>
      </c>
      <c r="G1190" s="9" t="s">
        <v>27</v>
      </c>
      <c r="H1190" s="11" t="n">
        <v>22</v>
      </c>
      <c r="I1190" s="11" t="s">
        <v>211</v>
      </c>
      <c r="J1190" s="14" t="n">
        <v>11</v>
      </c>
      <c r="K1190" s="14"/>
      <c r="L1190" s="16"/>
      <c r="M1190" s="27" t="n">
        <f aca="false">J1190+(K1190/20)+(L1190/240)</f>
        <v>11</v>
      </c>
      <c r="N1190" s="17" t="s">
        <v>66</v>
      </c>
      <c r="O1190" s="11"/>
      <c r="P1190" s="28" t="n">
        <v>95190</v>
      </c>
      <c r="Q1190" s="28" t="n">
        <v>1047090</v>
      </c>
      <c r="R1190" s="28"/>
      <c r="S1190" s="28" t="n">
        <f aca="false">R1190*$M1190</f>
        <v>0</v>
      </c>
      <c r="T1190" s="28"/>
      <c r="U1190" s="28" t="n">
        <f aca="false">T1190*$M1190</f>
        <v>0</v>
      </c>
      <c r="V1190" s="28"/>
      <c r="W1190" s="28" t="n">
        <f aca="false">V1190*$M1190</f>
        <v>0</v>
      </c>
      <c r="X1190" s="28"/>
      <c r="Y1190" s="28" t="n">
        <f aca="false">X1190*$M1190</f>
        <v>0</v>
      </c>
      <c r="Z1190" s="28"/>
      <c r="AA1190" s="28" t="n">
        <f aca="false">Z1190*$M1190</f>
        <v>0</v>
      </c>
      <c r="AB1190" s="28"/>
      <c r="AC1190" s="28" t="n">
        <f aca="false">AB1190*$M1190</f>
        <v>0</v>
      </c>
      <c r="AD1190" s="28"/>
      <c r="AE1190" s="28" t="n">
        <f aca="false">AD1190*$M1190</f>
        <v>0</v>
      </c>
      <c r="AF1190" s="28"/>
      <c r="AG1190" s="28" t="n">
        <f aca="false">AF1190*$M1190</f>
        <v>0</v>
      </c>
      <c r="AH1190" s="28"/>
      <c r="AI1190" s="28" t="n">
        <f aca="false">AH1190*$M1190</f>
        <v>0</v>
      </c>
      <c r="AJ1190" s="28"/>
      <c r="AK1190" s="28" t="n">
        <f aca="false">AJ1190*$M1190</f>
        <v>0</v>
      </c>
      <c r="AL1190" s="28"/>
      <c r="AM1190" s="28" t="n">
        <f aca="false">AL1190*$M1190</f>
        <v>0</v>
      </c>
      <c r="AN1190" s="28"/>
      <c r="AO1190" s="28" t="n">
        <f aca="false">AN1190*$M1190</f>
        <v>0</v>
      </c>
      <c r="AP1190" s="28"/>
      <c r="AQ1190" s="28" t="n">
        <f aca="false">AP1190*$M1190</f>
        <v>0</v>
      </c>
      <c r="AR1190" s="28"/>
      <c r="AS1190" s="28" t="n">
        <f aca="false">AR1190*$M1190</f>
        <v>0</v>
      </c>
      <c r="AT1190" s="28"/>
      <c r="AU1190" s="28" t="n">
        <f aca="false">AT1190*$M1190</f>
        <v>0</v>
      </c>
      <c r="AV1190" s="28"/>
      <c r="AW1190" s="28" t="n">
        <f aca="false">AV1190*$M1190</f>
        <v>0</v>
      </c>
      <c r="AX1190" s="28"/>
      <c r="AY1190" s="28" t="n">
        <f aca="false">AX1190*$M1190</f>
        <v>0</v>
      </c>
      <c r="AZ1190" s="30" t="n">
        <v>95190</v>
      </c>
      <c r="BA1190" s="11" t="n">
        <v>1047090</v>
      </c>
      <c r="BB1190" s="31" t="n">
        <f aca="false">SUM(Q1190,S1190,U1190,W1190,Y1190,AA1190,AC1190,AE1190,AG1190,AI1190,AK1190,AM1190,AO1190,AQ1190,AS1190,AU1190,AW1190,AY1190)</f>
        <v>1047090</v>
      </c>
      <c r="BC1190" s="28" t="n">
        <f aca="false">BA1190-BB1190</f>
        <v>0</v>
      </c>
      <c r="BD1190" s="32" t="n">
        <f aca="false">SUM(P1190,R1190,T1190,V1190,X1190,Z1190,AB1190,AD1190,AF1190,AH1190,AJ1190,AL1190,AN1190,AP1190,AR1190,AT1190,AV1190,AX1190)</f>
        <v>95190</v>
      </c>
      <c r="BE1190" s="33" t="n">
        <f aca="false">AZ1190-BD1190</f>
        <v>0</v>
      </c>
      <c r="BF1190" s="34" t="n">
        <f aca="false">BD1190*M1190</f>
        <v>1047090</v>
      </c>
      <c r="BG1190" s="35" t="n">
        <f aca="false">BA1190-BF1190</f>
        <v>0</v>
      </c>
      <c r="BH1190" s="19" t="str">
        <f aca="false">IF(BG1190=0,"",IF(BG1190&lt;&gt;BA1190,"erreur de calcul",IF(BD1190&lt;&gt;0,"pas de prix",IF(M1190&lt;&gt; 0,"pas de quantité","pas de prix, ni de quantité"))))</f>
        <v/>
      </c>
      <c r="BI1190" s="19"/>
    </row>
    <row r="1191" customFormat="false" ht="17.15" hidden="false" customHeight="false" outlineLevel="0" collapsed="false">
      <c r="A1191" s="0" t="n">
        <v>11</v>
      </c>
      <c r="B1191" s="8" t="s">
        <v>24</v>
      </c>
      <c r="C1191" s="9" t="s">
        <v>25</v>
      </c>
      <c r="D1191" s="9" t="s">
        <v>26</v>
      </c>
      <c r="E1191" s="10" t="n">
        <v>1789</v>
      </c>
      <c r="F1191" s="9" t="s">
        <v>27</v>
      </c>
      <c r="G1191" s="9" t="s">
        <v>27</v>
      </c>
      <c r="H1191" s="11" t="n">
        <v>22</v>
      </c>
      <c r="I1191" s="40" t="s">
        <v>212</v>
      </c>
      <c r="J1191" s="14" t="n">
        <v>75</v>
      </c>
      <c r="K1191" s="14"/>
      <c r="L1191" s="16"/>
      <c r="M1191" s="27" t="n">
        <f aca="false">J1191+(K1191/20)+(L1191/240)</f>
        <v>75</v>
      </c>
      <c r="N1191" s="17" t="s">
        <v>64</v>
      </c>
      <c r="O1191" s="11"/>
      <c r="P1191" s="28"/>
      <c r="Q1191" s="28" t="n">
        <f aca="false">P1191*$M1191</f>
        <v>0</v>
      </c>
      <c r="R1191" s="28"/>
      <c r="S1191" s="28" t="n">
        <f aca="false">R1191*$M1191</f>
        <v>0</v>
      </c>
      <c r="T1191" s="28"/>
      <c r="U1191" s="28" t="n">
        <f aca="false">T1191*$M1191</f>
        <v>0</v>
      </c>
      <c r="V1191" s="28"/>
      <c r="W1191" s="28" t="n">
        <f aca="false">V1191*$M1191</f>
        <v>0</v>
      </c>
      <c r="X1191" s="28"/>
      <c r="Y1191" s="28" t="n">
        <f aca="false">X1191*$M1191</f>
        <v>0</v>
      </c>
      <c r="Z1191" s="28"/>
      <c r="AA1191" s="28" t="n">
        <f aca="false">Z1191*$M1191</f>
        <v>0</v>
      </c>
      <c r="AB1191" s="28"/>
      <c r="AC1191" s="28" t="n">
        <f aca="false">AB1191*$M1191</f>
        <v>0</v>
      </c>
      <c r="AD1191" s="28"/>
      <c r="AE1191" s="28" t="n">
        <f aca="false">AD1191*$M1191</f>
        <v>0</v>
      </c>
      <c r="AF1191" s="28"/>
      <c r="AG1191" s="28" t="n">
        <f aca="false">AF1191*$M1191</f>
        <v>0</v>
      </c>
      <c r="AH1191" s="28"/>
      <c r="AI1191" s="28" t="n">
        <f aca="false">AH1191*$M1191</f>
        <v>0</v>
      </c>
      <c r="AJ1191" s="28" t="n">
        <f aca="false">2372/100</f>
        <v>23.72</v>
      </c>
      <c r="AK1191" s="28" t="n">
        <v>1779</v>
      </c>
      <c r="AL1191" s="28"/>
      <c r="AM1191" s="28" t="n">
        <f aca="false">AL1191*$M1191</f>
        <v>0</v>
      </c>
      <c r="AN1191" s="28"/>
      <c r="AO1191" s="28" t="n">
        <f aca="false">AN1191*$M1191</f>
        <v>0</v>
      </c>
      <c r="AP1191" s="28"/>
      <c r="AQ1191" s="28" t="n">
        <f aca="false">AP1191*$M1191</f>
        <v>0</v>
      </c>
      <c r="AR1191" s="28"/>
      <c r="AS1191" s="28" t="n">
        <f aca="false">AR1191*$M1191</f>
        <v>0</v>
      </c>
      <c r="AT1191" s="28"/>
      <c r="AU1191" s="28" t="n">
        <f aca="false">AT1191*$M1191</f>
        <v>0</v>
      </c>
      <c r="AV1191" s="28"/>
      <c r="AW1191" s="28" t="n">
        <f aca="false">AV1191*$M1191</f>
        <v>0</v>
      </c>
      <c r="AX1191" s="28"/>
      <c r="AY1191" s="28" t="n">
        <f aca="false">AX1191*$M1191</f>
        <v>0</v>
      </c>
      <c r="AZ1191" s="30" t="n">
        <f aca="false">2372/100</f>
        <v>23.72</v>
      </c>
      <c r="BA1191" s="11" t="n">
        <v>1779</v>
      </c>
      <c r="BB1191" s="31" t="n">
        <f aca="false">SUM(Q1191,S1191,U1191,W1191,Y1191,AA1191,AC1191,AE1191,AG1191,AI1191,AK1191,AM1191,AO1191,AQ1191,AS1191,AU1191,AW1191,AY1191)</f>
        <v>1779</v>
      </c>
      <c r="BC1191" s="28" t="n">
        <f aca="false">BA1191-BB1191</f>
        <v>0</v>
      </c>
      <c r="BD1191" s="32" t="n">
        <f aca="false">SUM(P1191,R1191,T1191,V1191,X1191,Z1191,AB1191,AD1191,AF1191,AH1191,AJ1191,AL1191,AN1191,AP1191,AR1191,AT1191,AV1191,AX1191)</f>
        <v>23.72</v>
      </c>
      <c r="BE1191" s="33" t="n">
        <f aca="false">AZ1191-BD1191</f>
        <v>0</v>
      </c>
      <c r="BF1191" s="34" t="n">
        <f aca="false">BD1191*M1191</f>
        <v>1779</v>
      </c>
      <c r="BG1191" s="35" t="n">
        <f aca="false">BA1191-BF1191</f>
        <v>0</v>
      </c>
      <c r="BH1191" s="19" t="str">
        <f aca="false">IF(BG1191=0,"",IF(BG1191&lt;&gt;BA1191,"erreur de calcul",IF(BD1191&lt;&gt;0,"pas de prix",IF(M1191&lt;&gt; 0,"pas de quantité","pas de prix, ni de quantité"))))</f>
        <v/>
      </c>
      <c r="BI1191" s="19"/>
    </row>
    <row r="1192" customFormat="false" ht="15" hidden="false" customHeight="false" outlineLevel="0" collapsed="false">
      <c r="A1192" s="0" t="n">
        <v>12</v>
      </c>
      <c r="B1192" s="8" t="s">
        <v>24</v>
      </c>
      <c r="C1192" s="9" t="s">
        <v>25</v>
      </c>
      <c r="D1192" s="9" t="s">
        <v>26</v>
      </c>
      <c r="E1192" s="10" t="n">
        <v>1789</v>
      </c>
      <c r="F1192" s="9" t="s">
        <v>27</v>
      </c>
      <c r="G1192" s="9" t="s">
        <v>27</v>
      </c>
      <c r="H1192" s="11" t="n">
        <v>22</v>
      </c>
      <c r="I1192" s="11" t="s">
        <v>213</v>
      </c>
      <c r="J1192" s="14" t="n">
        <v>31</v>
      </c>
      <c r="K1192" s="14"/>
      <c r="L1192" s="16"/>
      <c r="M1192" s="27" t="n">
        <f aca="false">J1192+(K1192/20)+(L1192/240)</f>
        <v>31</v>
      </c>
      <c r="N1192" s="17" t="s">
        <v>64</v>
      </c>
      <c r="O1192" s="11"/>
      <c r="P1192" s="28"/>
      <c r="Q1192" s="28" t="n">
        <f aca="false">P1192*$M1192</f>
        <v>0</v>
      </c>
      <c r="R1192" s="28"/>
      <c r="S1192" s="28" t="n">
        <f aca="false">R1192*$M1192</f>
        <v>0</v>
      </c>
      <c r="T1192" s="28"/>
      <c r="U1192" s="28" t="n">
        <f aca="false">T1192*$M1192</f>
        <v>0</v>
      </c>
      <c r="V1192" s="28"/>
      <c r="W1192" s="28" t="n">
        <f aca="false">V1192*$M1192</f>
        <v>0</v>
      </c>
      <c r="X1192" s="28" t="n">
        <f aca="false">18202/100</f>
        <v>182.02</v>
      </c>
      <c r="Y1192" s="28" t="n">
        <v>5643</v>
      </c>
      <c r="Z1192" s="28"/>
      <c r="AA1192" s="28" t="n">
        <f aca="false">Z1192*$M1192</f>
        <v>0</v>
      </c>
      <c r="AB1192" s="28"/>
      <c r="AC1192" s="28" t="n">
        <f aca="false">AB1192*$M1192</f>
        <v>0</v>
      </c>
      <c r="AD1192" s="28"/>
      <c r="AE1192" s="28" t="n">
        <f aca="false">AD1192*$M1192</f>
        <v>0</v>
      </c>
      <c r="AF1192" s="28"/>
      <c r="AG1192" s="28" t="n">
        <f aca="false">AF1192*$M1192</f>
        <v>0</v>
      </c>
      <c r="AH1192" s="28"/>
      <c r="AI1192" s="28" t="n">
        <f aca="false">AH1192*$M1192</f>
        <v>0</v>
      </c>
      <c r="AJ1192" s="28"/>
      <c r="AK1192" s="28" t="n">
        <f aca="false">AJ1192*$M1192</f>
        <v>0</v>
      </c>
      <c r="AL1192" s="28"/>
      <c r="AM1192" s="28" t="n">
        <f aca="false">AL1192*$M1192</f>
        <v>0</v>
      </c>
      <c r="AN1192" s="28"/>
      <c r="AO1192" s="28" t="n">
        <f aca="false">AN1192*$M1192</f>
        <v>0</v>
      </c>
      <c r="AP1192" s="28"/>
      <c r="AQ1192" s="28" t="n">
        <f aca="false">AP1192*$M1192</f>
        <v>0</v>
      </c>
      <c r="AR1192" s="28"/>
      <c r="AS1192" s="28" t="n">
        <f aca="false">AR1192*$M1192</f>
        <v>0</v>
      </c>
      <c r="AT1192" s="28"/>
      <c r="AU1192" s="28" t="n">
        <f aca="false">AT1192*$M1192</f>
        <v>0</v>
      </c>
      <c r="AV1192" s="28"/>
      <c r="AW1192" s="28" t="n">
        <f aca="false">AV1192*$M1192</f>
        <v>0</v>
      </c>
      <c r="AX1192" s="28"/>
      <c r="AY1192" s="28" t="n">
        <f aca="false">AX1192*$M1192</f>
        <v>0</v>
      </c>
      <c r="AZ1192" s="30" t="n">
        <f aca="false">18202/100</f>
        <v>182.02</v>
      </c>
      <c r="BA1192" s="11" t="n">
        <v>5643</v>
      </c>
      <c r="BB1192" s="31" t="n">
        <f aca="false">SUM(Q1192,S1192,U1192,W1192,Y1192,AA1192,AC1192,AE1192,AG1192,AI1192,AK1192,AM1192,AO1192,AQ1192,AS1192,AU1192,AW1192,AY1192)</f>
        <v>5643</v>
      </c>
      <c r="BC1192" s="28" t="n">
        <f aca="false">BA1192-BB1192</f>
        <v>0</v>
      </c>
      <c r="BD1192" s="32" t="n">
        <f aca="false">SUM(P1192,R1192,T1192,V1192,X1192,Z1192,AB1192,AD1192,AF1192,AH1192,AJ1192,AL1192,AN1192,AP1192,AR1192,AT1192,AV1192,AX1192)</f>
        <v>182.02</v>
      </c>
      <c r="BE1192" s="33" t="n">
        <f aca="false">AZ1192-BD1192</f>
        <v>0</v>
      </c>
      <c r="BF1192" s="34" t="n">
        <f aca="false">BD1192*M1192</f>
        <v>5642.62</v>
      </c>
      <c r="BG1192" s="35" t="n">
        <f aca="false">BA1192-BF1192</f>
        <v>0.380000000000109</v>
      </c>
      <c r="BH1192" s="19" t="str">
        <f aca="false">IF(BG1192=0,"",IF(BG1192&lt;&gt;BA1192,"erreur de calcul",IF(BD1192&lt;&gt;0,"pas de prix",IF(M1192&lt;&gt; 0,"pas de quantité","pas de prix, ni de quantité"))))</f>
        <v>erreur de calcul</v>
      </c>
      <c r="BI1192" s="19"/>
    </row>
    <row r="1193" customFormat="false" ht="15" hidden="false" customHeight="false" outlineLevel="0" collapsed="false">
      <c r="A1193" s="0" t="n">
        <v>13</v>
      </c>
      <c r="B1193" s="8" t="s">
        <v>24</v>
      </c>
      <c r="C1193" s="9" t="s">
        <v>25</v>
      </c>
      <c r="D1193" s="9" t="s">
        <v>26</v>
      </c>
      <c r="E1193" s="10" t="n">
        <v>1789</v>
      </c>
      <c r="F1193" s="9" t="s">
        <v>27</v>
      </c>
      <c r="G1193" s="9" t="s">
        <v>27</v>
      </c>
      <c r="H1193" s="11" t="n">
        <v>22</v>
      </c>
      <c r="I1193" s="11" t="s">
        <v>214</v>
      </c>
      <c r="J1193" s="14"/>
      <c r="K1193" s="14" t="n">
        <v>20</v>
      </c>
      <c r="L1193" s="16"/>
      <c r="M1193" s="27" t="n">
        <f aca="false">J1193+(K1193/20)+(L1193/240)</f>
        <v>1</v>
      </c>
      <c r="N1193" s="17" t="s">
        <v>66</v>
      </c>
      <c r="O1193" s="11"/>
      <c r="P1193" s="28"/>
      <c r="Q1193" s="28" t="n">
        <f aca="false">P1193*$M1193</f>
        <v>0</v>
      </c>
      <c r="R1193" s="28"/>
      <c r="S1193" s="28" t="n">
        <f aca="false">R1193*$M1193</f>
        <v>0</v>
      </c>
      <c r="T1193" s="28"/>
      <c r="U1193" s="28" t="n">
        <f aca="false">T1193*$M1193</f>
        <v>0</v>
      </c>
      <c r="V1193" s="28"/>
      <c r="W1193" s="28" t="n">
        <f aca="false">V1193*$M1193</f>
        <v>0</v>
      </c>
      <c r="X1193" s="28"/>
      <c r="Y1193" s="28" t="n">
        <f aca="false">X1193*$M1193</f>
        <v>0</v>
      </c>
      <c r="Z1193" s="28"/>
      <c r="AA1193" s="28" t="n">
        <f aca="false">Z1193*$M1193</f>
        <v>0</v>
      </c>
      <c r="AB1193" s="28"/>
      <c r="AC1193" s="28" t="n">
        <f aca="false">AB1193*$M1193</f>
        <v>0</v>
      </c>
      <c r="AD1193" s="28" t="n">
        <v>2831</v>
      </c>
      <c r="AE1193" s="28" t="n">
        <v>2831</v>
      </c>
      <c r="AF1193" s="28"/>
      <c r="AG1193" s="28" t="n">
        <f aca="false">AF1193*$M1193</f>
        <v>0</v>
      </c>
      <c r="AH1193" s="28"/>
      <c r="AI1193" s="28" t="n">
        <f aca="false">AH1193*$M1193</f>
        <v>0</v>
      </c>
      <c r="AJ1193" s="28"/>
      <c r="AK1193" s="28" t="n">
        <f aca="false">AJ1193*$M1193</f>
        <v>0</v>
      </c>
      <c r="AL1193" s="28"/>
      <c r="AM1193" s="28" t="n">
        <f aca="false">AL1193*$M1193</f>
        <v>0</v>
      </c>
      <c r="AN1193" s="28"/>
      <c r="AO1193" s="28" t="n">
        <f aca="false">AN1193*$M1193</f>
        <v>0</v>
      </c>
      <c r="AP1193" s="28"/>
      <c r="AQ1193" s="28" t="n">
        <f aca="false">AP1193*$M1193</f>
        <v>0</v>
      </c>
      <c r="AR1193" s="28"/>
      <c r="AS1193" s="28" t="n">
        <f aca="false">AR1193*$M1193</f>
        <v>0</v>
      </c>
      <c r="AT1193" s="28"/>
      <c r="AU1193" s="28" t="n">
        <f aca="false">AT1193*$M1193</f>
        <v>0</v>
      </c>
      <c r="AV1193" s="28"/>
      <c r="AW1193" s="28" t="n">
        <f aca="false">AV1193*$M1193</f>
        <v>0</v>
      </c>
      <c r="AX1193" s="28"/>
      <c r="AY1193" s="28" t="n">
        <f aca="false">AX1193*$M1193</f>
        <v>0</v>
      </c>
      <c r="AZ1193" s="30" t="n">
        <v>2831</v>
      </c>
      <c r="BA1193" s="11" t="n">
        <v>2831</v>
      </c>
      <c r="BB1193" s="31" t="n">
        <f aca="false">SUM(Q1193,S1193,U1193,W1193,Y1193,AA1193,AC1193,AE1193,AG1193,AI1193,AK1193,AM1193,AO1193,AQ1193,AS1193,AU1193,AW1193,AY1193)</f>
        <v>2831</v>
      </c>
      <c r="BC1193" s="28" t="n">
        <f aca="false">BA1193-BB1193</f>
        <v>0</v>
      </c>
      <c r="BD1193" s="32" t="n">
        <f aca="false">SUM(P1193,R1193,T1193,V1193,X1193,Z1193,AB1193,AD1193,AF1193,AH1193,AJ1193,AL1193,AN1193,AP1193,AR1193,AT1193,AV1193,AX1193)</f>
        <v>2831</v>
      </c>
      <c r="BE1193" s="33" t="n">
        <f aca="false">AZ1193-BD1193</f>
        <v>0</v>
      </c>
      <c r="BF1193" s="34" t="n">
        <f aca="false">BD1193*M1193</f>
        <v>2831</v>
      </c>
      <c r="BG1193" s="35" t="n">
        <f aca="false">BA1193-BF1193</f>
        <v>0</v>
      </c>
      <c r="BH1193" s="19" t="str">
        <f aca="false">IF(BG1193=0,"",IF(BG1193&lt;&gt;BA1193,"erreur de calcul",IF(BD1193&lt;&gt;0,"pas de prix",IF(M1193&lt;&gt; 0,"pas de quantité","pas de prix, ni de quantité"))))</f>
        <v/>
      </c>
      <c r="BI1193" s="19"/>
    </row>
    <row r="1194" customFormat="false" ht="15" hidden="false" customHeight="false" outlineLevel="0" collapsed="false">
      <c r="A1194" s="0" t="n">
        <v>14</v>
      </c>
      <c r="B1194" s="8" t="s">
        <v>24</v>
      </c>
      <c r="C1194" s="9" t="s">
        <v>25</v>
      </c>
      <c r="D1194" s="9" t="s">
        <v>26</v>
      </c>
      <c r="E1194" s="10" t="n">
        <v>1789</v>
      </c>
      <c r="F1194" s="9" t="s">
        <v>27</v>
      </c>
      <c r="G1194" s="9" t="s">
        <v>27</v>
      </c>
      <c r="H1194" s="11" t="n">
        <v>22</v>
      </c>
      <c r="I1194" s="11" t="s">
        <v>215</v>
      </c>
      <c r="J1194" s="14" t="n">
        <v>36</v>
      </c>
      <c r="K1194" s="14"/>
      <c r="L1194" s="16"/>
      <c r="M1194" s="27" t="n">
        <f aca="false">J1194+(K1194/20)+(L1194/240)</f>
        <v>36</v>
      </c>
      <c r="N1194" s="17" t="s">
        <v>64</v>
      </c>
      <c r="O1194" s="11"/>
      <c r="P1194" s="28"/>
      <c r="Q1194" s="28" t="n">
        <f aca="false">P1194*$M1194</f>
        <v>0</v>
      </c>
      <c r="R1194" s="28"/>
      <c r="S1194" s="28" t="n">
        <f aca="false">R1194*$M1194</f>
        <v>0</v>
      </c>
      <c r="T1194" s="28"/>
      <c r="U1194" s="28" t="n">
        <f aca="false">T1194*$M1194</f>
        <v>0</v>
      </c>
      <c r="V1194" s="28"/>
      <c r="W1194" s="28" t="n">
        <f aca="false">V1194*$M1194</f>
        <v>0</v>
      </c>
      <c r="X1194" s="28"/>
      <c r="Y1194" s="28" t="n">
        <f aca="false">X1194*$M1194</f>
        <v>0</v>
      </c>
      <c r="Z1194" s="28"/>
      <c r="AA1194" s="28" t="n">
        <f aca="false">Z1194*$M1194</f>
        <v>0</v>
      </c>
      <c r="AB1194" s="28"/>
      <c r="AC1194" s="28" t="n">
        <f aca="false">AB1194*$M1194</f>
        <v>0</v>
      </c>
      <c r="AD1194" s="28"/>
      <c r="AE1194" s="28" t="n">
        <f aca="false">AD1194*$M1194</f>
        <v>0</v>
      </c>
      <c r="AF1194" s="28" t="n">
        <f aca="false">92472/100</f>
        <v>924.72</v>
      </c>
      <c r="AG1194" s="28" t="n">
        <v>33290</v>
      </c>
      <c r="AH1194" s="28" t="n">
        <f aca="false">490633/100</f>
        <v>4906.33</v>
      </c>
      <c r="AI1194" s="28" t="n">
        <v>176628</v>
      </c>
      <c r="AJ1194" s="28"/>
      <c r="AK1194" s="28" t="n">
        <f aca="false">AJ1194*$M1194</f>
        <v>0</v>
      </c>
      <c r="AL1194" s="28"/>
      <c r="AM1194" s="28" t="n">
        <f aca="false">AL1194*$M1194</f>
        <v>0</v>
      </c>
      <c r="AN1194" s="28"/>
      <c r="AO1194" s="28" t="n">
        <f aca="false">AN1194*$M1194</f>
        <v>0</v>
      </c>
      <c r="AP1194" s="28"/>
      <c r="AQ1194" s="28" t="n">
        <f aca="false">AP1194*$M1194</f>
        <v>0</v>
      </c>
      <c r="AR1194" s="28"/>
      <c r="AS1194" s="28" t="n">
        <f aca="false">AR1194*$M1194</f>
        <v>0</v>
      </c>
      <c r="AT1194" s="28"/>
      <c r="AU1194" s="28" t="n">
        <f aca="false">AT1194*$M1194</f>
        <v>0</v>
      </c>
      <c r="AV1194" s="28"/>
      <c r="AW1194" s="28" t="n">
        <f aca="false">AV1194*$M1194</f>
        <v>0</v>
      </c>
      <c r="AX1194" s="28"/>
      <c r="AY1194" s="28" t="n">
        <f aca="false">AX1194*$M1194</f>
        <v>0</v>
      </c>
      <c r="AZ1194" s="30" t="n">
        <f aca="false">583105/100</f>
        <v>5831.05</v>
      </c>
      <c r="BA1194" s="11" t="n">
        <v>209918</v>
      </c>
      <c r="BB1194" s="31" t="n">
        <f aca="false">SUM(Q1194,S1194,U1194,W1194,Y1194,AA1194,AC1194,AE1194,AG1194,AI1194,AK1194,AM1194,AO1194,AQ1194,AS1194,AU1194,AW1194,AY1194)</f>
        <v>209918</v>
      </c>
      <c r="BC1194" s="28" t="n">
        <f aca="false">BA1194-BB1194</f>
        <v>0</v>
      </c>
      <c r="BD1194" s="32" t="n">
        <f aca="false">SUM(P1194,R1194,T1194,V1194,X1194,Z1194,AB1194,AD1194,AF1194,AH1194,AJ1194,AL1194,AN1194,AP1194,AR1194,AT1194,AV1194,AX1194)</f>
        <v>5831.05</v>
      </c>
      <c r="BE1194" s="33" t="n">
        <f aca="false">AZ1194-BD1194</f>
        <v>0</v>
      </c>
      <c r="BF1194" s="34" t="n">
        <f aca="false">BD1194*M1194</f>
        <v>209917.8</v>
      </c>
      <c r="BG1194" s="35" t="n">
        <f aca="false">BA1194-BF1194</f>
        <v>0.199999999982538</v>
      </c>
      <c r="BH1194" s="19" t="str">
        <f aca="false">IF(BG1194=0,"",IF(BG1194&lt;&gt;BA1194,"erreur de calcul",IF(BD1194&lt;&gt;0,"pas de prix",IF(M1194&lt;&gt; 0,"pas de quantité","pas de prix, ni de quantité"))))</f>
        <v>erreur de calcul</v>
      </c>
      <c r="BI1194" s="19"/>
    </row>
    <row r="1195" customFormat="false" ht="15" hidden="false" customHeight="false" outlineLevel="0" collapsed="false">
      <c r="A1195" s="0" t="n">
        <v>15</v>
      </c>
      <c r="B1195" s="8" t="s">
        <v>24</v>
      </c>
      <c r="C1195" s="9" t="s">
        <v>25</v>
      </c>
      <c r="D1195" s="9" t="s">
        <v>26</v>
      </c>
      <c r="E1195" s="10" t="n">
        <v>1789</v>
      </c>
      <c r="F1195" s="9" t="s">
        <v>27</v>
      </c>
      <c r="G1195" s="9" t="s">
        <v>27</v>
      </c>
      <c r="H1195" s="11" t="n">
        <v>22</v>
      </c>
      <c r="I1195" s="11" t="s">
        <v>216</v>
      </c>
      <c r="J1195" s="14"/>
      <c r="K1195" s="14" t="n">
        <v>22</v>
      </c>
      <c r="L1195" s="16"/>
      <c r="M1195" s="27" t="n">
        <f aca="false">J1195+(K1195/20)+(L1195/240)</f>
        <v>1.1</v>
      </c>
      <c r="N1195" s="17" t="s">
        <v>66</v>
      </c>
      <c r="O1195" s="11"/>
      <c r="P1195" s="28"/>
      <c r="Q1195" s="28" t="n">
        <f aca="false">P1195*$M1195</f>
        <v>0</v>
      </c>
      <c r="R1195" s="28"/>
      <c r="S1195" s="28" t="n">
        <f aca="false">R1195*$M1195</f>
        <v>0</v>
      </c>
      <c r="T1195" s="28" t="n">
        <v>2875</v>
      </c>
      <c r="U1195" s="28" t="n">
        <v>3162</v>
      </c>
      <c r="V1195" s="28"/>
      <c r="W1195" s="28" t="n">
        <f aca="false">V1195*$M1195</f>
        <v>0</v>
      </c>
      <c r="X1195" s="28"/>
      <c r="Y1195" s="28" t="n">
        <f aca="false">X1195*$M1195</f>
        <v>0</v>
      </c>
      <c r="Z1195" s="28"/>
      <c r="AA1195" s="28" t="n">
        <f aca="false">Z1195*$M1195</f>
        <v>0</v>
      </c>
      <c r="AB1195" s="28"/>
      <c r="AC1195" s="28" t="n">
        <f aca="false">AB1195*$M1195</f>
        <v>0</v>
      </c>
      <c r="AD1195" s="28"/>
      <c r="AE1195" s="28" t="n">
        <f aca="false">AD1195*$M1195</f>
        <v>0</v>
      </c>
      <c r="AF1195" s="28"/>
      <c r="AG1195" s="28" t="n">
        <f aca="false">AF1195*$M1195</f>
        <v>0</v>
      </c>
      <c r="AH1195" s="28"/>
      <c r="AI1195" s="28" t="n">
        <f aca="false">AH1195*$M1195</f>
        <v>0</v>
      </c>
      <c r="AJ1195" s="28"/>
      <c r="AK1195" s="28" t="n">
        <f aca="false">AJ1195*$M1195</f>
        <v>0</v>
      </c>
      <c r="AL1195" s="28"/>
      <c r="AM1195" s="28" t="n">
        <f aca="false">AL1195*$M1195</f>
        <v>0</v>
      </c>
      <c r="AN1195" s="28"/>
      <c r="AO1195" s="28" t="n">
        <f aca="false">AN1195*$M1195</f>
        <v>0</v>
      </c>
      <c r="AP1195" s="28"/>
      <c r="AQ1195" s="28" t="n">
        <f aca="false">AP1195*$M1195</f>
        <v>0</v>
      </c>
      <c r="AR1195" s="28"/>
      <c r="AS1195" s="28" t="n">
        <f aca="false">AR1195*$M1195</f>
        <v>0</v>
      </c>
      <c r="AT1195" s="28"/>
      <c r="AU1195" s="28" t="n">
        <f aca="false">AT1195*$M1195</f>
        <v>0</v>
      </c>
      <c r="AV1195" s="28"/>
      <c r="AW1195" s="28" t="n">
        <f aca="false">AV1195*$M1195</f>
        <v>0</v>
      </c>
      <c r="AX1195" s="28"/>
      <c r="AY1195" s="28" t="n">
        <f aca="false">AX1195*$M1195</f>
        <v>0</v>
      </c>
      <c r="AZ1195" s="30" t="n">
        <v>2875</v>
      </c>
      <c r="BA1195" s="11" t="n">
        <v>3162</v>
      </c>
      <c r="BB1195" s="31" t="n">
        <f aca="false">SUM(Q1195,S1195,U1195,W1195,Y1195,AA1195,AC1195,AE1195,AG1195,AI1195,AK1195,AM1195,AO1195,AQ1195,AS1195,AU1195,AW1195,AY1195)</f>
        <v>3162</v>
      </c>
      <c r="BC1195" s="28" t="n">
        <f aca="false">BA1195-BB1195</f>
        <v>0</v>
      </c>
      <c r="BD1195" s="32" t="n">
        <f aca="false">SUM(P1195,R1195,T1195,V1195,X1195,Z1195,AB1195,AD1195,AF1195,AH1195,AJ1195,AL1195,AN1195,AP1195,AR1195,AT1195,AV1195,AX1195)</f>
        <v>2875</v>
      </c>
      <c r="BE1195" s="33" t="n">
        <f aca="false">AZ1195-BD1195</f>
        <v>0</v>
      </c>
      <c r="BF1195" s="34" t="n">
        <f aca="false">BD1195*M1195</f>
        <v>3162.5</v>
      </c>
      <c r="BG1195" s="35" t="n">
        <f aca="false">BA1195-BF1195</f>
        <v>-0.500000000000455</v>
      </c>
      <c r="BH1195" s="19" t="str">
        <f aca="false">IF(BG1195=0,"",IF(BG1195&lt;&gt;BA1195,"erreur de calcul",IF(BD1195&lt;&gt;0,"pas de prix",IF(M1195&lt;&gt; 0,"pas de quantité","pas de prix, ni de quantité"))))</f>
        <v>erreur de calcul</v>
      </c>
      <c r="BI1195" s="19"/>
    </row>
    <row r="1196" customFormat="false" ht="15" hidden="false" customHeight="false" outlineLevel="0" collapsed="false">
      <c r="A1196" s="0" t="n">
        <v>16</v>
      </c>
      <c r="B1196" s="8" t="s">
        <v>24</v>
      </c>
      <c r="C1196" s="9" t="s">
        <v>25</v>
      </c>
      <c r="D1196" s="9" t="s">
        <v>26</v>
      </c>
      <c r="E1196" s="10" t="n">
        <v>1789</v>
      </c>
      <c r="F1196" s="9" t="s">
        <v>27</v>
      </c>
      <c r="G1196" s="9" t="s">
        <v>27</v>
      </c>
      <c r="H1196" s="11" t="n">
        <v>22</v>
      </c>
      <c r="I1196" s="11" t="s">
        <v>217</v>
      </c>
      <c r="J1196" s="14" t="n">
        <v>90</v>
      </c>
      <c r="K1196" s="14"/>
      <c r="L1196" s="16"/>
      <c r="M1196" s="27" t="n">
        <f aca="false">J1196+(K1196/20)+(L1196/240)</f>
        <v>90</v>
      </c>
      <c r="N1196" s="17" t="s">
        <v>64</v>
      </c>
      <c r="O1196" s="11"/>
      <c r="P1196" s="28"/>
      <c r="Q1196" s="28" t="n">
        <f aca="false">P1196*$M1196</f>
        <v>0</v>
      </c>
      <c r="R1196" s="28"/>
      <c r="S1196" s="28" t="n">
        <f aca="false">R1196*$M1196</f>
        <v>0</v>
      </c>
      <c r="T1196" s="28"/>
      <c r="U1196" s="28" t="n">
        <f aca="false">T1196*$M1196</f>
        <v>0</v>
      </c>
      <c r="V1196" s="28"/>
      <c r="W1196" s="28" t="n">
        <f aca="false">V1196*$M1196</f>
        <v>0</v>
      </c>
      <c r="X1196" s="28" t="n">
        <f aca="false">2440/100</f>
        <v>24.4</v>
      </c>
      <c r="Y1196" s="28" t="n">
        <v>2196</v>
      </c>
      <c r="Z1196" s="28"/>
      <c r="AA1196" s="28" t="n">
        <f aca="false">Z1196*$M1196</f>
        <v>0</v>
      </c>
      <c r="AB1196" s="28"/>
      <c r="AC1196" s="28" t="n">
        <f aca="false">AB1196*$M1196</f>
        <v>0</v>
      </c>
      <c r="AD1196" s="28"/>
      <c r="AE1196" s="28" t="n">
        <f aca="false">AD1196*$M1196</f>
        <v>0</v>
      </c>
      <c r="AF1196" s="28"/>
      <c r="AG1196" s="28" t="n">
        <f aca="false">AF1196*$M1196</f>
        <v>0</v>
      </c>
      <c r="AH1196" s="28" t="n">
        <f aca="false">524577/100</f>
        <v>5245.77</v>
      </c>
      <c r="AI1196" s="28" t="n">
        <v>472116</v>
      </c>
      <c r="AJ1196" s="28"/>
      <c r="AK1196" s="28" t="n">
        <f aca="false">AJ1196*$M1196</f>
        <v>0</v>
      </c>
      <c r="AL1196" s="28"/>
      <c r="AM1196" s="28" t="n">
        <f aca="false">AL1196*$M1196</f>
        <v>0</v>
      </c>
      <c r="AN1196" s="28"/>
      <c r="AO1196" s="28" t="n">
        <f aca="false">AN1196*$M1196</f>
        <v>0</v>
      </c>
      <c r="AP1196" s="28"/>
      <c r="AQ1196" s="28" t="n">
        <f aca="false">AP1196*$M1196</f>
        <v>0</v>
      </c>
      <c r="AR1196" s="28"/>
      <c r="AS1196" s="28" t="n">
        <f aca="false">AR1196*$M1196</f>
        <v>0</v>
      </c>
      <c r="AT1196" s="28"/>
      <c r="AU1196" s="28" t="n">
        <f aca="false">AT1196*$M1196</f>
        <v>0</v>
      </c>
      <c r="AV1196" s="28"/>
      <c r="AW1196" s="28" t="n">
        <f aca="false">AV1196*$M1196</f>
        <v>0</v>
      </c>
      <c r="AX1196" s="28"/>
      <c r="AY1196" s="28" t="n">
        <f aca="false">AX1196*$M1196</f>
        <v>0</v>
      </c>
      <c r="AZ1196" s="30" t="n">
        <f aca="false">526980/100</f>
        <v>5269.8</v>
      </c>
      <c r="BA1196" s="11" t="n">
        <v>474312</v>
      </c>
      <c r="BB1196" s="31" t="n">
        <f aca="false">SUM(Q1196,S1196,U1196,W1196,Y1196,AA1196,AC1196,AE1196,AG1196,AI1196,AK1196,AM1196,AO1196,AQ1196,AS1196,AU1196,AW1196,AY1196)</f>
        <v>474312</v>
      </c>
      <c r="BC1196" s="28" t="n">
        <f aca="false">BA1196-BB1196</f>
        <v>0</v>
      </c>
      <c r="BD1196" s="32" t="n">
        <f aca="false">SUM(P1196,R1196,T1196,V1196,X1196,Z1196,AB1196,AD1196,AF1196,AH1196,AJ1196,AL1196,AN1196,AP1196,AR1196,AT1196,AV1196,AX1196)</f>
        <v>5270.17</v>
      </c>
      <c r="BE1196" s="33" t="n">
        <f aca="false">AZ1196-BD1196</f>
        <v>-0.369999999999891</v>
      </c>
      <c r="BF1196" s="34" t="n">
        <f aca="false">BD1196*M1196</f>
        <v>474315.3</v>
      </c>
      <c r="BG1196" s="35" t="n">
        <f aca="false">BA1196-BF1196</f>
        <v>-3.29999999998836</v>
      </c>
      <c r="BH1196" s="19" t="str">
        <f aca="false">IF(BG1196=0,"",IF(BG1196&lt;&gt;BA1196,"erreur de calcul",IF(BD1196&lt;&gt;0,"pas de prix",IF(M1196&lt;&gt; 0,"pas de quantité","pas de prix, ni de quantité"))))</f>
        <v>erreur de calcul</v>
      </c>
      <c r="BI1196" s="19"/>
    </row>
    <row r="1197" customFormat="false" ht="15" hidden="false" customHeight="false" outlineLevel="0" collapsed="false">
      <c r="A1197" s="0" t="n">
        <v>17</v>
      </c>
      <c r="B1197" s="8" t="s">
        <v>24</v>
      </c>
      <c r="C1197" s="9" t="s">
        <v>25</v>
      </c>
      <c r="D1197" s="9" t="s">
        <v>26</v>
      </c>
      <c r="E1197" s="10" t="n">
        <v>1789</v>
      </c>
      <c r="F1197" s="9" t="s">
        <v>27</v>
      </c>
      <c r="G1197" s="9" t="s">
        <v>27</v>
      </c>
      <c r="H1197" s="11" t="n">
        <v>22</v>
      </c>
      <c r="I1197" s="11" t="s">
        <v>218</v>
      </c>
      <c r="J1197" s="14" t="n">
        <v>15</v>
      </c>
      <c r="K1197" s="14"/>
      <c r="L1197" s="16"/>
      <c r="M1197" s="27" t="n">
        <f aca="false">J1197+(K1197/20)+(L1197/240)</f>
        <v>15</v>
      </c>
      <c r="N1197" s="17" t="s">
        <v>64</v>
      </c>
      <c r="O1197" s="11"/>
      <c r="P1197" s="28" t="n">
        <f aca="false">12250/100</f>
        <v>122.5</v>
      </c>
      <c r="Q1197" s="28" t="n">
        <v>1837</v>
      </c>
      <c r="R1197" s="28"/>
      <c r="S1197" s="28" t="n">
        <f aca="false">R1197*$M1197</f>
        <v>0</v>
      </c>
      <c r="T1197" s="28"/>
      <c r="U1197" s="28" t="n">
        <f aca="false">T1197*$M1197</f>
        <v>0</v>
      </c>
      <c r="V1197" s="28" t="n">
        <f aca="false">118493/100</f>
        <v>1184.93</v>
      </c>
      <c r="W1197" s="28" t="n">
        <v>17774</v>
      </c>
      <c r="X1197" s="28" t="n">
        <f aca="false">16835/100</f>
        <v>168.35</v>
      </c>
      <c r="Y1197" s="28" t="n">
        <v>2525</v>
      </c>
      <c r="Z1197" s="28"/>
      <c r="AA1197" s="28" t="n">
        <f aca="false">Z1197*$M1197</f>
        <v>0</v>
      </c>
      <c r="AB1197" s="28" t="n">
        <f aca="false">268622/100</f>
        <v>2686.22</v>
      </c>
      <c r="AC1197" s="28" t="n">
        <v>40293</v>
      </c>
      <c r="AD1197" s="28"/>
      <c r="AE1197" s="28" t="n">
        <f aca="false">AD1197*$M1197</f>
        <v>0</v>
      </c>
      <c r="AF1197" s="28"/>
      <c r="AG1197" s="28" t="n">
        <f aca="false">AF1197*$M1197</f>
        <v>0</v>
      </c>
      <c r="AH1197" s="28" t="n">
        <f aca="false">70164/100</f>
        <v>701.64</v>
      </c>
      <c r="AI1197" s="28" t="n">
        <v>10524</v>
      </c>
      <c r="AJ1197" s="28"/>
      <c r="AK1197" s="28" t="n">
        <f aca="false">AJ1197*$M1197</f>
        <v>0</v>
      </c>
      <c r="AL1197" s="28"/>
      <c r="AM1197" s="28" t="n">
        <f aca="false">AL1197*$M1197</f>
        <v>0</v>
      </c>
      <c r="AN1197" s="28"/>
      <c r="AO1197" s="28" t="n">
        <f aca="false">AN1197*$M1197</f>
        <v>0</v>
      </c>
      <c r="AP1197" s="28"/>
      <c r="AQ1197" s="28" t="n">
        <f aca="false">AP1197*$M1197</f>
        <v>0</v>
      </c>
      <c r="AR1197" s="28"/>
      <c r="AS1197" s="28" t="n">
        <f aca="false">AR1197*$M1197</f>
        <v>0</v>
      </c>
      <c r="AT1197" s="28"/>
      <c r="AU1197" s="28" t="n">
        <f aca="false">AT1197*$M1197</f>
        <v>0</v>
      </c>
      <c r="AV1197" s="28"/>
      <c r="AW1197" s="28" t="n">
        <f aca="false">AV1197*$M1197</f>
        <v>0</v>
      </c>
      <c r="AX1197" s="28"/>
      <c r="AY1197" s="28" t="n">
        <f aca="false">AX1197*$M1197</f>
        <v>0</v>
      </c>
      <c r="AZ1197" s="30" t="n">
        <f aca="false">486364/100</f>
        <v>4863.64</v>
      </c>
      <c r="BA1197" s="11" t="n">
        <v>72953</v>
      </c>
      <c r="BB1197" s="31" t="n">
        <f aca="false">SUM(Q1197,S1197,U1197,W1197,Y1197,AA1197,AC1197,AE1197,AG1197,AI1197,AK1197,AM1197,AO1197,AQ1197,AS1197,AU1197,AW1197,AY1197)</f>
        <v>72953</v>
      </c>
      <c r="BC1197" s="28" t="n">
        <f aca="false">BA1197-BB1197</f>
        <v>0</v>
      </c>
      <c r="BD1197" s="32" t="n">
        <f aca="false">SUM(P1197,R1197,T1197,V1197,X1197,Z1197,AB1197,AD1197,AF1197,AH1197,AJ1197,AL1197,AN1197,AP1197,AR1197,AT1197,AV1197,AX1197)</f>
        <v>4863.64</v>
      </c>
      <c r="BE1197" s="33" t="n">
        <f aca="false">AZ1197-BD1197</f>
        <v>0</v>
      </c>
      <c r="BF1197" s="34" t="n">
        <f aca="false">BD1197*M1197</f>
        <v>72954.6</v>
      </c>
      <c r="BG1197" s="35" t="n">
        <f aca="false">BA1197-BF1197</f>
        <v>-1.59999999999127</v>
      </c>
      <c r="BH1197" s="19" t="str">
        <f aca="false">IF(BG1197=0,"",IF(BG1197&lt;&gt;BA1197,"erreur de calcul",IF(BD1197&lt;&gt;0,"pas de prix",IF(M1197&lt;&gt; 0,"pas de quantité","pas de prix, ni de quantité"))))</f>
        <v>erreur de calcul</v>
      </c>
      <c r="BI1197" s="19"/>
    </row>
    <row r="1198" customFormat="false" ht="15" hidden="false" customHeight="false" outlineLevel="0" collapsed="false">
      <c r="A1198" s="0" t="n">
        <v>18</v>
      </c>
      <c r="B1198" s="8" t="s">
        <v>24</v>
      </c>
      <c r="C1198" s="9" t="s">
        <v>25</v>
      </c>
      <c r="D1198" s="9" t="s">
        <v>26</v>
      </c>
      <c r="E1198" s="10" t="n">
        <v>1789</v>
      </c>
      <c r="F1198" s="9" t="s">
        <v>27</v>
      </c>
      <c r="G1198" s="9" t="s">
        <v>27</v>
      </c>
      <c r="H1198" s="11" t="n">
        <v>22</v>
      </c>
      <c r="I1198" s="11" t="s">
        <v>219</v>
      </c>
      <c r="J1198" s="14" t="n">
        <v>12</v>
      </c>
      <c r="K1198" s="14"/>
      <c r="L1198" s="16"/>
      <c r="M1198" s="27" t="n">
        <f aca="false">J1198+(K1198/20)+(L1198/240)</f>
        <v>12</v>
      </c>
      <c r="N1198" s="17" t="s">
        <v>64</v>
      </c>
      <c r="O1198" s="11"/>
      <c r="P1198" s="28"/>
      <c r="Q1198" s="28" t="n">
        <f aca="false">P1198*$M1198</f>
        <v>0</v>
      </c>
      <c r="R1198" s="28"/>
      <c r="S1198" s="28" t="n">
        <f aca="false">R1198*$M1198</f>
        <v>0</v>
      </c>
      <c r="T1198" s="28"/>
      <c r="U1198" s="28" t="n">
        <f aca="false">T1198*$M1198</f>
        <v>0</v>
      </c>
      <c r="V1198" s="28" t="n">
        <f aca="false">26072/100</f>
        <v>260.72</v>
      </c>
      <c r="W1198" s="28" t="n">
        <v>3129</v>
      </c>
      <c r="X1198" s="28" t="n">
        <f aca="false">16340/100</f>
        <v>163.4</v>
      </c>
      <c r="Y1198" s="28" t="n">
        <v>1961</v>
      </c>
      <c r="Z1198" s="28"/>
      <c r="AA1198" s="28" t="n">
        <f aca="false">Z1198*$M1198</f>
        <v>0</v>
      </c>
      <c r="AB1198" s="28" t="n">
        <f aca="false">76351/100</f>
        <v>763.51</v>
      </c>
      <c r="AC1198" s="28" t="n">
        <v>9162</v>
      </c>
      <c r="AD1198" s="28"/>
      <c r="AE1198" s="28" t="n">
        <f aca="false">AD1198*$M1198</f>
        <v>0</v>
      </c>
      <c r="AF1198" s="28"/>
      <c r="AG1198" s="28" t="n">
        <f aca="false">AF1198*$M1198</f>
        <v>0</v>
      </c>
      <c r="AH1198" s="28"/>
      <c r="AI1198" s="28" t="n">
        <f aca="false">AH1198*$M1198</f>
        <v>0</v>
      </c>
      <c r="AJ1198" s="28"/>
      <c r="AK1198" s="28" t="n">
        <f aca="false">AJ1198*$M1198</f>
        <v>0</v>
      </c>
      <c r="AL1198" s="28"/>
      <c r="AM1198" s="28" t="n">
        <f aca="false">AL1198*$M1198</f>
        <v>0</v>
      </c>
      <c r="AN1198" s="28"/>
      <c r="AO1198" s="28" t="n">
        <f aca="false">AN1198*$M1198</f>
        <v>0</v>
      </c>
      <c r="AP1198" s="28"/>
      <c r="AQ1198" s="28" t="n">
        <f aca="false">AP1198*$M1198</f>
        <v>0</v>
      </c>
      <c r="AR1198" s="28"/>
      <c r="AS1198" s="28" t="n">
        <f aca="false">AR1198*$M1198</f>
        <v>0</v>
      </c>
      <c r="AT1198" s="28"/>
      <c r="AU1198" s="28" t="n">
        <f aca="false">AT1198*$M1198</f>
        <v>0</v>
      </c>
      <c r="AV1198" s="28"/>
      <c r="AW1198" s="28" t="n">
        <f aca="false">AV1198*$M1198</f>
        <v>0</v>
      </c>
      <c r="AX1198" s="28"/>
      <c r="AY1198" s="28" t="n">
        <f aca="false">AX1198*$M1198</f>
        <v>0</v>
      </c>
      <c r="AZ1198" s="30" t="n">
        <f aca="false">118763/100</f>
        <v>1187.63</v>
      </c>
      <c r="BA1198" s="11" t="n">
        <v>14252</v>
      </c>
      <c r="BB1198" s="31" t="n">
        <f aca="false">SUM(Q1198,S1198,U1198,W1198,Y1198,AA1198,AC1198,AE1198,AG1198,AI1198,AK1198,AM1198,AO1198,AQ1198,AS1198,AU1198,AW1198,AY1198)</f>
        <v>14252</v>
      </c>
      <c r="BC1198" s="28" t="n">
        <f aca="false">BA1198-BB1198</f>
        <v>0</v>
      </c>
      <c r="BD1198" s="32" t="n">
        <f aca="false">SUM(P1198,R1198,T1198,V1198,X1198,Z1198,AB1198,AD1198,AF1198,AH1198,AJ1198,AL1198,AN1198,AP1198,AR1198,AT1198,AV1198,AX1198)</f>
        <v>1187.63</v>
      </c>
      <c r="BE1198" s="33" t="n">
        <f aca="false">AZ1198-BD1198</f>
        <v>0</v>
      </c>
      <c r="BF1198" s="34" t="n">
        <f aca="false">BD1198*M1198</f>
        <v>14251.56</v>
      </c>
      <c r="BG1198" s="35" t="n">
        <f aca="false">BA1198-BF1198</f>
        <v>0.43999999999869</v>
      </c>
      <c r="BH1198" s="19" t="str">
        <f aca="false">IF(BG1198=0,"",IF(BG1198&lt;&gt;BA1198,"erreur de calcul",IF(BD1198&lt;&gt;0,"pas de prix",IF(M1198&lt;&gt; 0,"pas de quantité","pas de prix, ni de quantité"))))</f>
        <v>erreur de calcul</v>
      </c>
      <c r="BI1198" s="19"/>
    </row>
    <row r="1199" customFormat="false" ht="15" hidden="false" customHeight="false" outlineLevel="0" collapsed="false">
      <c r="A1199" s="0" t="n">
        <v>19</v>
      </c>
      <c r="B1199" s="8" t="s">
        <v>24</v>
      </c>
      <c r="C1199" s="9" t="s">
        <v>25</v>
      </c>
      <c r="D1199" s="9" t="s">
        <v>26</v>
      </c>
      <c r="E1199" s="10" t="n">
        <v>1789</v>
      </c>
      <c r="F1199" s="9" t="s">
        <v>27</v>
      </c>
      <c r="G1199" s="9" t="s">
        <v>27</v>
      </c>
      <c r="H1199" s="11" t="n">
        <v>22</v>
      </c>
      <c r="I1199" s="11" t="s">
        <v>220</v>
      </c>
      <c r="J1199" s="14" t="n">
        <v>8</v>
      </c>
      <c r="K1199" s="14"/>
      <c r="L1199" s="16"/>
      <c r="M1199" s="27" t="n">
        <f aca="false">J1199+(K1199/20)+(L1199/240)</f>
        <v>8</v>
      </c>
      <c r="N1199" s="17" t="s">
        <v>66</v>
      </c>
      <c r="O1199" s="11"/>
      <c r="P1199" s="28" t="n">
        <v>3798</v>
      </c>
      <c r="Q1199" s="28" t="n">
        <v>30384</v>
      </c>
      <c r="R1199" s="28"/>
      <c r="S1199" s="28" t="n">
        <f aca="false">R1199*$M1199</f>
        <v>0</v>
      </c>
      <c r="T1199" s="28"/>
      <c r="U1199" s="28" t="n">
        <f aca="false">T1199*$M1199</f>
        <v>0</v>
      </c>
      <c r="V1199" s="28"/>
      <c r="W1199" s="28" t="n">
        <f aca="false">V1199*$M1199</f>
        <v>0</v>
      </c>
      <c r="X1199" s="28"/>
      <c r="Y1199" s="28" t="n">
        <f aca="false">X1199*$M1199</f>
        <v>0</v>
      </c>
      <c r="Z1199" s="28"/>
      <c r="AA1199" s="28" t="n">
        <f aca="false">Z1199*$M1199</f>
        <v>0</v>
      </c>
      <c r="AB1199" s="28"/>
      <c r="AC1199" s="28" t="n">
        <f aca="false">AB1199*$M1199</f>
        <v>0</v>
      </c>
      <c r="AD1199" s="28"/>
      <c r="AE1199" s="28" t="n">
        <f aca="false">AD1199*$M1199</f>
        <v>0</v>
      </c>
      <c r="AF1199" s="28"/>
      <c r="AG1199" s="28" t="n">
        <f aca="false">AF1199*$M1199</f>
        <v>0</v>
      </c>
      <c r="AH1199" s="28" t="n">
        <v>322</v>
      </c>
      <c r="AI1199" s="28" t="n">
        <v>2576</v>
      </c>
      <c r="AJ1199" s="28"/>
      <c r="AK1199" s="28" t="n">
        <f aca="false">AJ1199*$M1199</f>
        <v>0</v>
      </c>
      <c r="AL1199" s="28"/>
      <c r="AM1199" s="28" t="n">
        <f aca="false">AL1199*$M1199</f>
        <v>0</v>
      </c>
      <c r="AN1199" s="28"/>
      <c r="AO1199" s="28" t="n">
        <f aca="false">AN1199*$M1199</f>
        <v>0</v>
      </c>
      <c r="AP1199" s="28"/>
      <c r="AQ1199" s="28" t="n">
        <f aca="false">AP1199*$M1199</f>
        <v>0</v>
      </c>
      <c r="AR1199" s="28"/>
      <c r="AS1199" s="28" t="n">
        <f aca="false">AR1199*$M1199</f>
        <v>0</v>
      </c>
      <c r="AT1199" s="28"/>
      <c r="AU1199" s="28" t="n">
        <f aca="false">AT1199*$M1199</f>
        <v>0</v>
      </c>
      <c r="AV1199" s="28"/>
      <c r="AW1199" s="28" t="n">
        <f aca="false">AV1199*$M1199</f>
        <v>0</v>
      </c>
      <c r="AX1199" s="28"/>
      <c r="AY1199" s="28" t="n">
        <f aca="false">AX1199*$M1199</f>
        <v>0</v>
      </c>
      <c r="AZ1199" s="30" t="n">
        <v>4120</v>
      </c>
      <c r="BA1199" s="11" t="n">
        <v>32960</v>
      </c>
      <c r="BB1199" s="31" t="n">
        <f aca="false">SUM(Q1199,S1199,U1199,W1199,Y1199,AA1199,AC1199,AE1199,AG1199,AI1199,AK1199,AM1199,AO1199,AQ1199,AS1199,AU1199,AW1199,AY1199)</f>
        <v>32960</v>
      </c>
      <c r="BC1199" s="28" t="n">
        <f aca="false">BA1199-BB1199</f>
        <v>0</v>
      </c>
      <c r="BD1199" s="32" t="n">
        <f aca="false">SUM(P1199,R1199,T1199,V1199,X1199,Z1199,AB1199,AD1199,AF1199,AH1199,AJ1199,AL1199,AN1199,AP1199,AR1199,AT1199,AV1199,AX1199)</f>
        <v>4120</v>
      </c>
      <c r="BE1199" s="33" t="n">
        <f aca="false">AZ1199-BD1199</f>
        <v>0</v>
      </c>
      <c r="BF1199" s="34" t="n">
        <f aca="false">BD1199*M1199</f>
        <v>32960</v>
      </c>
      <c r="BG1199" s="35" t="n">
        <f aca="false">BA1199-BF1199</f>
        <v>0</v>
      </c>
      <c r="BH1199" s="19" t="str">
        <f aca="false">IF(BG1199=0,"",IF(BG1199&lt;&gt;BA1199,"erreur de calcul",IF(BD1199&lt;&gt;0,"pas de prix",IF(M1199&lt;&gt; 0,"pas de quantité","pas de prix, ni de quantité"))))</f>
        <v/>
      </c>
      <c r="BI1199" s="19"/>
    </row>
    <row r="1200" customFormat="false" ht="15" hidden="false" customHeight="false" outlineLevel="0" collapsed="false">
      <c r="A1200" s="0" t="n">
        <v>20</v>
      </c>
      <c r="B1200" s="8" t="s">
        <v>24</v>
      </c>
      <c r="C1200" s="9" t="s">
        <v>25</v>
      </c>
      <c r="D1200" s="9" t="s">
        <v>26</v>
      </c>
      <c r="E1200" s="10" t="n">
        <v>1789</v>
      </c>
      <c r="F1200" s="9" t="s">
        <v>27</v>
      </c>
      <c r="G1200" s="9" t="s">
        <v>27</v>
      </c>
      <c r="H1200" s="11" t="n">
        <v>22</v>
      </c>
      <c r="I1200" s="11" t="s">
        <v>221</v>
      </c>
      <c r="J1200" s="14"/>
      <c r="K1200" s="14" t="n">
        <v>20</v>
      </c>
      <c r="L1200" s="16"/>
      <c r="M1200" s="27" t="n">
        <f aca="false">J1200+(K1200/20)+(L1200/240)</f>
        <v>1</v>
      </c>
      <c r="N1200" s="17" t="s">
        <v>66</v>
      </c>
      <c r="O1200" s="11"/>
      <c r="P1200" s="28" t="n">
        <v>1353</v>
      </c>
      <c r="Q1200" s="28" t="n">
        <v>1353</v>
      </c>
      <c r="R1200" s="28"/>
      <c r="S1200" s="28" t="n">
        <f aca="false">R1200*$M1200</f>
        <v>0</v>
      </c>
      <c r="T1200" s="28"/>
      <c r="U1200" s="28" t="n">
        <f aca="false">T1200*$M1200</f>
        <v>0</v>
      </c>
      <c r="V1200" s="28"/>
      <c r="W1200" s="28" t="n">
        <f aca="false">V1200*$M1200</f>
        <v>0</v>
      </c>
      <c r="X1200" s="28"/>
      <c r="Y1200" s="28" t="n">
        <f aca="false">X1200*$M1200</f>
        <v>0</v>
      </c>
      <c r="Z1200" s="28"/>
      <c r="AA1200" s="28" t="n">
        <f aca="false">Z1200*$M1200</f>
        <v>0</v>
      </c>
      <c r="AB1200" s="28"/>
      <c r="AC1200" s="28" t="n">
        <f aca="false">AB1200*$M1200</f>
        <v>0</v>
      </c>
      <c r="AD1200" s="28"/>
      <c r="AE1200" s="28" t="n">
        <f aca="false">AD1200*$M1200</f>
        <v>0</v>
      </c>
      <c r="AF1200" s="28"/>
      <c r="AG1200" s="28" t="n">
        <f aca="false">AF1200*$M1200</f>
        <v>0</v>
      </c>
      <c r="AH1200" s="28"/>
      <c r="AI1200" s="28" t="n">
        <f aca="false">AH1200*$M1200</f>
        <v>0</v>
      </c>
      <c r="AJ1200" s="28"/>
      <c r="AK1200" s="28" t="n">
        <f aca="false">AJ1200*$M1200</f>
        <v>0</v>
      </c>
      <c r="AL1200" s="28"/>
      <c r="AM1200" s="28" t="n">
        <f aca="false">AL1200*$M1200</f>
        <v>0</v>
      </c>
      <c r="AN1200" s="28"/>
      <c r="AO1200" s="28" t="n">
        <f aca="false">AN1200*$M1200</f>
        <v>0</v>
      </c>
      <c r="AP1200" s="28"/>
      <c r="AQ1200" s="28" t="n">
        <f aca="false">AP1200*$M1200</f>
        <v>0</v>
      </c>
      <c r="AR1200" s="28"/>
      <c r="AS1200" s="28" t="n">
        <f aca="false">AR1200*$M1200</f>
        <v>0</v>
      </c>
      <c r="AT1200" s="28"/>
      <c r="AU1200" s="28" t="n">
        <f aca="false">AT1200*$M1200</f>
        <v>0</v>
      </c>
      <c r="AV1200" s="28"/>
      <c r="AW1200" s="28" t="n">
        <f aca="false">AV1200*$M1200</f>
        <v>0</v>
      </c>
      <c r="AX1200" s="28"/>
      <c r="AY1200" s="28" t="n">
        <f aca="false">AX1200*$M1200</f>
        <v>0</v>
      </c>
      <c r="AZ1200" s="30" t="n">
        <v>1353</v>
      </c>
      <c r="BA1200" s="11" t="n">
        <v>1353</v>
      </c>
      <c r="BB1200" s="31" t="n">
        <f aca="false">SUM(Q1200,S1200,U1200,W1200,Y1200,AA1200,AC1200,AE1200,AG1200,AI1200,AK1200,AM1200,AO1200,AQ1200,AS1200,AU1200,AW1200,AY1200)</f>
        <v>1353</v>
      </c>
      <c r="BC1200" s="28" t="n">
        <f aca="false">BA1200-BB1200</f>
        <v>0</v>
      </c>
      <c r="BD1200" s="32" t="n">
        <f aca="false">SUM(P1200,R1200,T1200,V1200,X1200,Z1200,AB1200,AD1200,AF1200,AH1200,AJ1200,AL1200,AN1200,AP1200,AR1200,AT1200,AV1200,AX1200)</f>
        <v>1353</v>
      </c>
      <c r="BE1200" s="33" t="n">
        <f aca="false">AZ1200-BD1200</f>
        <v>0</v>
      </c>
      <c r="BF1200" s="34" t="n">
        <f aca="false">BD1200*M1200</f>
        <v>1353</v>
      </c>
      <c r="BG1200" s="35" t="n">
        <f aca="false">BA1200-BF1200</f>
        <v>0</v>
      </c>
      <c r="BH1200" s="19" t="str">
        <f aca="false">IF(BG1200=0,"",IF(BG1200&lt;&gt;BA1200,"erreur de calcul",IF(BD1200&lt;&gt;0,"pas de prix",IF(M1200&lt;&gt; 0,"pas de quantité","pas de prix, ni de quantité"))))</f>
        <v/>
      </c>
      <c r="BI1200" s="19"/>
    </row>
    <row r="1201" customFormat="false" ht="15" hidden="false" customHeight="false" outlineLevel="0" collapsed="false">
      <c r="A1201" s="0" t="n">
        <v>21</v>
      </c>
      <c r="B1201" s="8" t="s">
        <v>24</v>
      </c>
      <c r="C1201" s="9" t="s">
        <v>25</v>
      </c>
      <c r="D1201" s="9" t="s">
        <v>26</v>
      </c>
      <c r="E1201" s="10" t="n">
        <v>1789</v>
      </c>
      <c r="F1201" s="9" t="s">
        <v>27</v>
      </c>
      <c r="G1201" s="9" t="s">
        <v>27</v>
      </c>
      <c r="H1201" s="11" t="n">
        <v>22</v>
      </c>
      <c r="I1201" s="11" t="s">
        <v>222</v>
      </c>
      <c r="J1201" s="14" t="n">
        <v>85</v>
      </c>
      <c r="K1201" s="14"/>
      <c r="L1201" s="16"/>
      <c r="M1201" s="27" t="n">
        <f aca="false">J1201+(K1201/20)+(L1201/240)</f>
        <v>85</v>
      </c>
      <c r="N1201" s="17" t="s">
        <v>64</v>
      </c>
      <c r="O1201" s="11"/>
      <c r="P1201" s="28"/>
      <c r="Q1201" s="28" t="n">
        <f aca="false">P1201*$M1201</f>
        <v>0</v>
      </c>
      <c r="R1201" s="28"/>
      <c r="S1201" s="28" t="n">
        <f aca="false">R1201*$M1201</f>
        <v>0</v>
      </c>
      <c r="T1201" s="28" t="n">
        <f aca="false">10813/100</f>
        <v>108.13</v>
      </c>
      <c r="U1201" s="28" t="n">
        <v>9191</v>
      </c>
      <c r="V1201" s="28" t="n">
        <f aca="false">43400/100</f>
        <v>434</v>
      </c>
      <c r="W1201" s="28" t="n">
        <v>36890</v>
      </c>
      <c r="X1201" s="28" t="n">
        <f aca="false">702/100</f>
        <v>7.02</v>
      </c>
      <c r="Y1201" s="28" t="n">
        <v>597</v>
      </c>
      <c r="Z1201" s="28"/>
      <c r="AA1201" s="28" t="n">
        <f aca="false">Z1201*$M1201</f>
        <v>0</v>
      </c>
      <c r="AB1201" s="28" t="n">
        <f aca="false">171/100</f>
        <v>1.71</v>
      </c>
      <c r="AC1201" s="28" t="n">
        <v>145</v>
      </c>
      <c r="AD1201" s="28"/>
      <c r="AE1201" s="28" t="n">
        <f aca="false">AD1201*$M1201</f>
        <v>0</v>
      </c>
      <c r="AF1201" s="28"/>
      <c r="AG1201" s="28" t="n">
        <f aca="false">AF1201*$M1201</f>
        <v>0</v>
      </c>
      <c r="AH1201" s="28" t="n">
        <f aca="false">17388/100</f>
        <v>173.88</v>
      </c>
      <c r="AI1201" s="28" t="n">
        <v>14780</v>
      </c>
      <c r="AJ1201" s="28"/>
      <c r="AK1201" s="28" t="n">
        <f aca="false">AJ1201*$M1201</f>
        <v>0</v>
      </c>
      <c r="AL1201" s="28"/>
      <c r="AM1201" s="28" t="n">
        <f aca="false">AL1201*$M1201</f>
        <v>0</v>
      </c>
      <c r="AN1201" s="28"/>
      <c r="AO1201" s="28" t="n">
        <f aca="false">AN1201*$M1201</f>
        <v>0</v>
      </c>
      <c r="AP1201" s="28"/>
      <c r="AQ1201" s="28" t="n">
        <f aca="false">AP1201*$M1201</f>
        <v>0</v>
      </c>
      <c r="AR1201" s="28"/>
      <c r="AS1201" s="28" t="n">
        <f aca="false">AR1201*$M1201</f>
        <v>0</v>
      </c>
      <c r="AT1201" s="28"/>
      <c r="AU1201" s="28" t="n">
        <f aca="false">AT1201*$M1201</f>
        <v>0</v>
      </c>
      <c r="AV1201" s="28"/>
      <c r="AW1201" s="28" t="n">
        <f aca="false">AV1201*$M1201</f>
        <v>0</v>
      </c>
      <c r="AX1201" s="28"/>
      <c r="AY1201" s="28" t="n">
        <f aca="false">AX1201*$M1201</f>
        <v>0</v>
      </c>
      <c r="AZ1201" s="30" t="n">
        <f aca="false">72474/100</f>
        <v>724.74</v>
      </c>
      <c r="BA1201" s="11" t="n">
        <v>61603</v>
      </c>
      <c r="BB1201" s="31" t="n">
        <f aca="false">SUM(Q1201,S1201,U1201,W1201,Y1201,AA1201,AC1201,AE1201,AG1201,AI1201,AK1201,AM1201,AO1201,AQ1201,AS1201,AU1201,AW1201,AY1201)</f>
        <v>61603</v>
      </c>
      <c r="BC1201" s="28" t="n">
        <f aca="false">BA1201-BB1201</f>
        <v>0</v>
      </c>
      <c r="BD1201" s="32" t="n">
        <f aca="false">SUM(P1201,R1201,T1201,V1201,X1201,Z1201,AB1201,AD1201,AF1201,AH1201,AJ1201,AL1201,AN1201,AP1201,AR1201,AT1201,AV1201,AX1201)</f>
        <v>724.74</v>
      </c>
      <c r="BE1201" s="33" t="n">
        <f aca="false">AZ1201-BD1201</f>
        <v>0</v>
      </c>
      <c r="BF1201" s="34" t="n">
        <f aca="false">BD1201*M1201</f>
        <v>61602.9</v>
      </c>
      <c r="BG1201" s="35" t="n">
        <f aca="false">BA1201-BF1201</f>
        <v>0.0999999999985448</v>
      </c>
      <c r="BH1201" s="19" t="str">
        <f aca="false">IF(BG1201=0,"",IF(BG1201&lt;&gt;BA1201,"erreur de calcul",IF(BD1201&lt;&gt;0,"pas de prix",IF(M1201&lt;&gt; 0,"pas de quantité","pas de prix, ni de quantité"))))</f>
        <v>erreur de calcul</v>
      </c>
      <c r="BI1201" s="19"/>
    </row>
    <row r="1202" customFormat="false" ht="15" hidden="false" customHeight="false" outlineLevel="0" collapsed="false">
      <c r="A1202" s="0" t="n">
        <v>22</v>
      </c>
      <c r="B1202" s="8" t="s">
        <v>24</v>
      </c>
      <c r="C1202" s="9" t="s">
        <v>25</v>
      </c>
      <c r="D1202" s="9" t="s">
        <v>26</v>
      </c>
      <c r="E1202" s="10" t="n">
        <v>1789</v>
      </c>
      <c r="F1202" s="9" t="s">
        <v>27</v>
      </c>
      <c r="G1202" s="9" t="s">
        <v>27</v>
      </c>
      <c r="H1202" s="11" t="n">
        <v>22</v>
      </c>
      <c r="I1202" s="11" t="s">
        <v>223</v>
      </c>
      <c r="J1202" s="14" t="n">
        <v>150</v>
      </c>
      <c r="K1202" s="14"/>
      <c r="L1202" s="16"/>
      <c r="M1202" s="27" t="n">
        <f aca="false">J1202+(K1202/20)+(L1202/240)</f>
        <v>150</v>
      </c>
      <c r="N1202" s="17" t="s">
        <v>64</v>
      </c>
      <c r="O1202" s="11"/>
      <c r="P1202" s="28"/>
      <c r="Q1202" s="28" t="n">
        <f aca="false">P1202*$M1202</f>
        <v>0</v>
      </c>
      <c r="R1202" s="28"/>
      <c r="S1202" s="28" t="n">
        <f aca="false">R1202*$M1202</f>
        <v>0</v>
      </c>
      <c r="T1202" s="28"/>
      <c r="U1202" s="28" t="n">
        <f aca="false">T1202*$M1202</f>
        <v>0</v>
      </c>
      <c r="V1202" s="28" t="n">
        <f aca="false">1415/100</f>
        <v>14.15</v>
      </c>
      <c r="W1202" s="28" t="n">
        <v>2122</v>
      </c>
      <c r="X1202" s="28"/>
      <c r="Y1202" s="28" t="n">
        <f aca="false">X1202*$M1202</f>
        <v>0</v>
      </c>
      <c r="Z1202" s="28"/>
      <c r="AA1202" s="28" t="n">
        <f aca="false">Z1202*$M1202</f>
        <v>0</v>
      </c>
      <c r="AB1202" s="28" t="n">
        <f aca="false">1806/100</f>
        <v>18.06</v>
      </c>
      <c r="AC1202" s="28" t="n">
        <v>2709</v>
      </c>
      <c r="AD1202" s="28"/>
      <c r="AE1202" s="28" t="n">
        <f aca="false">AD1202*$M1202</f>
        <v>0</v>
      </c>
      <c r="AF1202" s="28"/>
      <c r="AG1202" s="28" t="n">
        <f aca="false">AF1202*$M1202</f>
        <v>0</v>
      </c>
      <c r="AH1202" s="28"/>
      <c r="AI1202" s="28" t="n">
        <f aca="false">AH1202*$M1202</f>
        <v>0</v>
      </c>
      <c r="AJ1202" s="28"/>
      <c r="AK1202" s="28" t="n">
        <f aca="false">AJ1202*$M1202</f>
        <v>0</v>
      </c>
      <c r="AL1202" s="28"/>
      <c r="AM1202" s="28" t="n">
        <f aca="false">AL1202*$M1202</f>
        <v>0</v>
      </c>
      <c r="AN1202" s="28"/>
      <c r="AO1202" s="28" t="n">
        <f aca="false">AN1202*$M1202</f>
        <v>0</v>
      </c>
      <c r="AP1202" s="28"/>
      <c r="AQ1202" s="28" t="n">
        <f aca="false">AP1202*$M1202</f>
        <v>0</v>
      </c>
      <c r="AR1202" s="28"/>
      <c r="AS1202" s="28" t="n">
        <f aca="false">AR1202*$M1202</f>
        <v>0</v>
      </c>
      <c r="AT1202" s="28"/>
      <c r="AU1202" s="28" t="n">
        <f aca="false">AT1202*$M1202</f>
        <v>0</v>
      </c>
      <c r="AV1202" s="28"/>
      <c r="AW1202" s="28" t="n">
        <f aca="false">AV1202*$M1202</f>
        <v>0</v>
      </c>
      <c r="AX1202" s="28"/>
      <c r="AY1202" s="28" t="n">
        <f aca="false">AX1202*$M1202</f>
        <v>0</v>
      </c>
      <c r="AZ1202" s="30" t="n">
        <f aca="false">3221/100</f>
        <v>32.21</v>
      </c>
      <c r="BA1202" s="11" t="n">
        <v>4831</v>
      </c>
      <c r="BB1202" s="31" t="n">
        <f aca="false">SUM(Q1202,S1202,U1202,W1202,Y1202,AA1202,AC1202,AE1202,AG1202,AI1202,AK1202,AM1202,AO1202,AQ1202,AS1202,AU1202,AW1202,AY1202)</f>
        <v>4831</v>
      </c>
      <c r="BC1202" s="28" t="n">
        <f aca="false">BA1202-BB1202</f>
        <v>0</v>
      </c>
      <c r="BD1202" s="32" t="n">
        <f aca="false">SUM(P1202,R1202,T1202,V1202,X1202,Z1202,AB1202,AD1202,AF1202,AH1202,AJ1202,AL1202,AN1202,AP1202,AR1202,AT1202,AV1202,AX1202)</f>
        <v>32.21</v>
      </c>
      <c r="BE1202" s="33" t="n">
        <f aca="false">AZ1202-BD1202</f>
        <v>0</v>
      </c>
      <c r="BF1202" s="34" t="n">
        <f aca="false">BD1202*M1202</f>
        <v>4831.5</v>
      </c>
      <c r="BG1202" s="35" t="n">
        <f aca="false">BA1202-BF1202</f>
        <v>-0.5</v>
      </c>
      <c r="BH1202" s="19" t="str">
        <f aca="false">IF(BG1202=0,"",IF(BG1202&lt;&gt;BA1202,"erreur de calcul",IF(BD1202&lt;&gt;0,"pas de prix",IF(M1202&lt;&gt; 0,"pas de quantité","pas de prix, ni de quantité"))))</f>
        <v>erreur de calcul</v>
      </c>
      <c r="BI1202" s="19"/>
    </row>
    <row r="1203" customFormat="false" ht="15" hidden="false" customHeight="false" outlineLevel="0" collapsed="false">
      <c r="A1203" s="0" t="n">
        <v>23</v>
      </c>
      <c r="B1203" s="8" t="s">
        <v>24</v>
      </c>
      <c r="C1203" s="9" t="s">
        <v>25</v>
      </c>
      <c r="D1203" s="9" t="s">
        <v>26</v>
      </c>
      <c r="E1203" s="10" t="n">
        <v>1789</v>
      </c>
      <c r="F1203" s="9" t="s">
        <v>27</v>
      </c>
      <c r="G1203" s="9" t="s">
        <v>27</v>
      </c>
      <c r="H1203" s="11" t="n">
        <v>22</v>
      </c>
      <c r="I1203" s="11" t="s">
        <v>224</v>
      </c>
      <c r="J1203" s="14"/>
      <c r="K1203" s="14"/>
      <c r="L1203" s="16"/>
      <c r="M1203" s="27" t="n">
        <f aca="false">J1203+(K1203/20)+(L1203/240)</f>
        <v>0</v>
      </c>
      <c r="N1203" s="17" t="s">
        <v>225</v>
      </c>
      <c r="O1203" s="11"/>
      <c r="P1203" s="28" t="n">
        <f aca="false">2+121/288</f>
        <v>2.42013888888889</v>
      </c>
      <c r="Q1203" s="28" t="n">
        <v>275</v>
      </c>
      <c r="R1203" s="28"/>
      <c r="S1203" s="28" t="n">
        <f aca="false">R1203*$M1203</f>
        <v>0</v>
      </c>
      <c r="T1203" s="28"/>
      <c r="U1203" s="28" t="n">
        <f aca="false">T1203*$M1203</f>
        <v>0</v>
      </c>
      <c r="V1203" s="28"/>
      <c r="W1203" s="28" t="n">
        <f aca="false">V1203*$M1203</f>
        <v>0</v>
      </c>
      <c r="X1203" s="28"/>
      <c r="Y1203" s="28" t="n">
        <f aca="false">X1203*$M1203</f>
        <v>0</v>
      </c>
      <c r="Z1203" s="28"/>
      <c r="AA1203" s="28" t="n">
        <f aca="false">Z1203*$M1203</f>
        <v>0</v>
      </c>
      <c r="AB1203" s="28"/>
      <c r="AC1203" s="28" t="n">
        <f aca="false">AB1203*$M1203</f>
        <v>0</v>
      </c>
      <c r="AD1203" s="28"/>
      <c r="AE1203" s="28" t="n">
        <f aca="false">AD1203*$M1203</f>
        <v>0</v>
      </c>
      <c r="AF1203" s="28"/>
      <c r="AG1203" s="28" t="n">
        <f aca="false">AF1203*$M1203</f>
        <v>0</v>
      </c>
      <c r="AH1203" s="28"/>
      <c r="AI1203" s="28" t="n">
        <f aca="false">AH1203*$M1203</f>
        <v>0</v>
      </c>
      <c r="AJ1203" s="28"/>
      <c r="AK1203" s="28" t="n">
        <f aca="false">AJ1203*$M1203</f>
        <v>0</v>
      </c>
      <c r="AL1203" s="28"/>
      <c r="AM1203" s="28" t="n">
        <f aca="false">AL1203*$M1203</f>
        <v>0</v>
      </c>
      <c r="AN1203" s="28"/>
      <c r="AO1203" s="28" t="n">
        <f aca="false">AN1203*$M1203</f>
        <v>0</v>
      </c>
      <c r="AP1203" s="28"/>
      <c r="AQ1203" s="28" t="n">
        <f aca="false">AP1203*$M1203</f>
        <v>0</v>
      </c>
      <c r="AR1203" s="28"/>
      <c r="AS1203" s="28" t="n">
        <f aca="false">AR1203*$M1203</f>
        <v>0</v>
      </c>
      <c r="AT1203" s="28"/>
      <c r="AU1203" s="28" t="n">
        <f aca="false">AT1203*$M1203</f>
        <v>0</v>
      </c>
      <c r="AV1203" s="28"/>
      <c r="AW1203" s="28" t="n">
        <f aca="false">AV1203*$M1203</f>
        <v>0</v>
      </c>
      <c r="AX1203" s="28"/>
      <c r="AY1203" s="28" t="n">
        <f aca="false">AX1203*$M1203</f>
        <v>0</v>
      </c>
      <c r="AZ1203" s="30" t="n">
        <f aca="false">2+121/288</f>
        <v>2.42013888888889</v>
      </c>
      <c r="BA1203" s="11" t="n">
        <v>275</v>
      </c>
      <c r="BB1203" s="31" t="n">
        <f aca="false">SUM(Q1203,S1203,U1203,W1203,Y1203,AA1203,AC1203,AE1203,AG1203,AI1203,AK1203,AM1203,AO1203,AQ1203,AS1203,AU1203,AW1203,AY1203)</f>
        <v>275</v>
      </c>
      <c r="BC1203" s="28" t="n">
        <f aca="false">BA1203-BB1203</f>
        <v>0</v>
      </c>
      <c r="BD1203" s="32" t="n">
        <f aca="false">SUM(P1203,R1203,T1203,V1203,X1203,Z1203,AB1203,AD1203,AF1203,AH1203,AJ1203,AL1203,AN1203,AP1203,AR1203,AT1203,AV1203,AX1203)</f>
        <v>2.42013888888889</v>
      </c>
      <c r="BE1203" s="33" t="n">
        <f aca="false">AZ1203-BD1203</f>
        <v>0</v>
      </c>
      <c r="BF1203" s="34" t="n">
        <f aca="false">BD1203*M1203</f>
        <v>0</v>
      </c>
      <c r="BG1203" s="35" t="n">
        <f aca="false">BA1203-BF1203</f>
        <v>275</v>
      </c>
      <c r="BH1203" s="19" t="str">
        <f aca="false">IF(BG1203=0,"",IF(BG1203&lt;&gt;BA1203,"erreur de calcul",IF(BD1203&lt;&gt;0,"pas de prix",IF(M1203&lt;&gt; 0,"pas de quantité","pas de prix, ni de quantité"))))</f>
        <v>pas de prix</v>
      </c>
      <c r="BI1203" s="19" t="s">
        <v>226</v>
      </c>
    </row>
    <row r="1204" customFormat="false" ht="15" hidden="false" customHeight="false" outlineLevel="0" collapsed="false">
      <c r="A1204" s="0" t="n">
        <v>24</v>
      </c>
      <c r="B1204" s="8" t="s">
        <v>24</v>
      </c>
      <c r="C1204" s="9" t="s">
        <v>25</v>
      </c>
      <c r="D1204" s="9" t="s">
        <v>26</v>
      </c>
      <c r="E1204" s="10" t="n">
        <v>1789</v>
      </c>
      <c r="F1204" s="9" t="s">
        <v>27</v>
      </c>
      <c r="G1204" s="9" t="s">
        <v>27</v>
      </c>
      <c r="H1204" s="11" t="n">
        <v>22</v>
      </c>
      <c r="I1204" s="11" t="s">
        <v>227</v>
      </c>
      <c r="J1204" s="14" t="n">
        <v>8</v>
      </c>
      <c r="K1204" s="14"/>
      <c r="L1204" s="16"/>
      <c r="M1204" s="27" t="n">
        <f aca="false">J1204+(K1204/20)+(L1204/240)</f>
        <v>8</v>
      </c>
      <c r="N1204" s="17" t="s">
        <v>64</v>
      </c>
      <c r="O1204" s="11" t="s">
        <v>77</v>
      </c>
      <c r="P1204" s="28" t="n">
        <f aca="false">267216/100</f>
        <v>2672.16</v>
      </c>
      <c r="Q1204" s="28" t="n">
        <v>21377</v>
      </c>
      <c r="R1204" s="28"/>
      <c r="S1204" s="28" t="n">
        <f aca="false">R1204*$M1204</f>
        <v>0</v>
      </c>
      <c r="T1204" s="28"/>
      <c r="U1204" s="28" t="n">
        <f aca="false">T1204*$M1204</f>
        <v>0</v>
      </c>
      <c r="V1204" s="28"/>
      <c r="W1204" s="28" t="n">
        <f aca="false">V1204*$M1204</f>
        <v>0</v>
      </c>
      <c r="X1204" s="28"/>
      <c r="Y1204" s="28" t="n">
        <f aca="false">X1204*$M1204</f>
        <v>0</v>
      </c>
      <c r="Z1204" s="28"/>
      <c r="AA1204" s="28" t="n">
        <f aca="false">Z1204*$M1204</f>
        <v>0</v>
      </c>
      <c r="AB1204" s="28" t="n">
        <f aca="false">3334/100</f>
        <v>33.34</v>
      </c>
      <c r="AC1204" s="28" t="n">
        <v>267</v>
      </c>
      <c r="AD1204" s="28"/>
      <c r="AE1204" s="28" t="n">
        <f aca="false">AD1204*$M1204</f>
        <v>0</v>
      </c>
      <c r="AF1204" s="28"/>
      <c r="AG1204" s="28" t="n">
        <f aca="false">AF1204*$M1204</f>
        <v>0</v>
      </c>
      <c r="AH1204" s="28"/>
      <c r="AI1204" s="28" t="n">
        <f aca="false">AH1204*$M1204</f>
        <v>0</v>
      </c>
      <c r="AJ1204" s="28"/>
      <c r="AK1204" s="28" t="n">
        <f aca="false">AJ1204*$M1204</f>
        <v>0</v>
      </c>
      <c r="AL1204" s="28"/>
      <c r="AM1204" s="28" t="n">
        <f aca="false">AL1204*$M1204</f>
        <v>0</v>
      </c>
      <c r="AN1204" s="28"/>
      <c r="AO1204" s="28" t="n">
        <f aca="false">AN1204*$M1204</f>
        <v>0</v>
      </c>
      <c r="AP1204" s="28"/>
      <c r="AQ1204" s="28" t="n">
        <f aca="false">AP1204*$M1204</f>
        <v>0</v>
      </c>
      <c r="AR1204" s="28"/>
      <c r="AS1204" s="28" t="n">
        <f aca="false">AR1204*$M1204</f>
        <v>0</v>
      </c>
      <c r="AT1204" s="28"/>
      <c r="AU1204" s="28" t="n">
        <f aca="false">AT1204*$M1204</f>
        <v>0</v>
      </c>
      <c r="AV1204" s="28"/>
      <c r="AW1204" s="28" t="n">
        <f aca="false">AV1204*$M1204</f>
        <v>0</v>
      </c>
      <c r="AX1204" s="28"/>
      <c r="AY1204" s="28" t="n">
        <f aca="false">AX1204*$M1204</f>
        <v>0</v>
      </c>
      <c r="AZ1204" s="30" t="n">
        <f aca="false">270550/100</f>
        <v>2705.5</v>
      </c>
      <c r="BA1204" s="11" t="n">
        <v>21644</v>
      </c>
      <c r="BB1204" s="31" t="n">
        <f aca="false">SUM(Q1204,S1204,U1204,W1204,Y1204,AA1204,AC1204,AE1204,AG1204,AI1204,AK1204,AM1204,AO1204,AQ1204,AS1204,AU1204,AW1204,AY1204)</f>
        <v>21644</v>
      </c>
      <c r="BC1204" s="28" t="n">
        <f aca="false">BA1204-BB1204</f>
        <v>0</v>
      </c>
      <c r="BD1204" s="32" t="n">
        <f aca="false">SUM(P1204,R1204,T1204,V1204,X1204,Z1204,AB1204,AD1204,AF1204,AH1204,AJ1204,AL1204,AN1204,AP1204,AR1204,AT1204,AV1204,AX1204)</f>
        <v>2705.5</v>
      </c>
      <c r="BE1204" s="33" t="n">
        <f aca="false">AZ1204-BD1204</f>
        <v>0</v>
      </c>
      <c r="BF1204" s="34" t="n">
        <f aca="false">BD1204*M1204</f>
        <v>21644</v>
      </c>
      <c r="BG1204" s="35" t="n">
        <f aca="false">BA1204-BF1204</f>
        <v>0</v>
      </c>
      <c r="BH1204" s="19" t="str">
        <f aca="false">IF(BG1204=0,"",IF(BG1204&lt;&gt;BA1204,"erreur de calcul",IF(BD1204&lt;&gt;0,"pas de prix",IF(M1204&lt;&gt; 0,"pas de quantité","pas de prix, ni de quantité"))))</f>
        <v/>
      </c>
      <c r="BI1204" s="19"/>
    </row>
    <row r="1205" customFormat="false" ht="15" hidden="false" customHeight="false" outlineLevel="0" collapsed="false">
      <c r="A1205" s="0" t="n">
        <v>25</v>
      </c>
      <c r="B1205" s="8" t="s">
        <v>24</v>
      </c>
      <c r="C1205" s="9" t="s">
        <v>25</v>
      </c>
      <c r="D1205" s="9" t="s">
        <v>26</v>
      </c>
      <c r="E1205" s="10" t="n">
        <v>1789</v>
      </c>
      <c r="F1205" s="9" t="s">
        <v>27</v>
      </c>
      <c r="G1205" s="9" t="s">
        <v>27</v>
      </c>
      <c r="H1205" s="11" t="n">
        <v>22</v>
      </c>
      <c r="I1205" s="11" t="s">
        <v>228</v>
      </c>
      <c r="J1205" s="14" t="n">
        <v>11</v>
      </c>
      <c r="K1205" s="14"/>
      <c r="L1205" s="16"/>
      <c r="M1205" s="27" t="n">
        <f aca="false">J1205+(K1205/20)+(L1205/240)</f>
        <v>11</v>
      </c>
      <c r="N1205" s="17" t="s">
        <v>66</v>
      </c>
      <c r="O1205" s="11"/>
      <c r="P1205" s="28"/>
      <c r="Q1205" s="28" t="n">
        <f aca="false">P1205*$M1205</f>
        <v>0</v>
      </c>
      <c r="R1205" s="28" t="n">
        <v>2017</v>
      </c>
      <c r="S1205" s="28" t="n">
        <v>22187</v>
      </c>
      <c r="T1205" s="28"/>
      <c r="U1205" s="28" t="n">
        <f aca="false">T1205*$M1205</f>
        <v>0</v>
      </c>
      <c r="V1205" s="28"/>
      <c r="W1205" s="28" t="n">
        <f aca="false">V1205*$M1205</f>
        <v>0</v>
      </c>
      <c r="X1205" s="28" t="n">
        <v>3804</v>
      </c>
      <c r="Y1205" s="28" t="n">
        <v>41844</v>
      </c>
      <c r="Z1205" s="28"/>
      <c r="AA1205" s="28" t="n">
        <f aca="false">Z1205*$M1205</f>
        <v>0</v>
      </c>
      <c r="AB1205" s="28"/>
      <c r="AC1205" s="28" t="n">
        <f aca="false">AB1205*$M1205</f>
        <v>0</v>
      </c>
      <c r="AD1205" s="28"/>
      <c r="AE1205" s="28" t="n">
        <f aca="false">AD1205*$M1205</f>
        <v>0</v>
      </c>
      <c r="AF1205" s="28"/>
      <c r="AG1205" s="28" t="n">
        <f aca="false">AF1205*$M1205</f>
        <v>0</v>
      </c>
      <c r="AH1205" s="28" t="n">
        <v>117</v>
      </c>
      <c r="AI1205" s="28" t="n">
        <v>1287</v>
      </c>
      <c r="AJ1205" s="28" t="n">
        <v>8694</v>
      </c>
      <c r="AK1205" s="28" t="n">
        <v>95634</v>
      </c>
      <c r="AL1205" s="28"/>
      <c r="AM1205" s="28" t="n">
        <f aca="false">AL1205*$M1205</f>
        <v>0</v>
      </c>
      <c r="AN1205" s="28" t="n">
        <v>5697</v>
      </c>
      <c r="AO1205" s="28" t="n">
        <v>62667</v>
      </c>
      <c r="AP1205" s="28"/>
      <c r="AQ1205" s="28" t="n">
        <f aca="false">AP1205*$M1205</f>
        <v>0</v>
      </c>
      <c r="AR1205" s="28"/>
      <c r="AS1205" s="28" t="n">
        <f aca="false">AR1205*$M1205</f>
        <v>0</v>
      </c>
      <c r="AT1205" s="28"/>
      <c r="AU1205" s="28" t="n">
        <f aca="false">AT1205*$M1205</f>
        <v>0</v>
      </c>
      <c r="AV1205" s="28"/>
      <c r="AW1205" s="28" t="n">
        <f aca="false">AV1205*$M1205</f>
        <v>0</v>
      </c>
      <c r="AX1205" s="28"/>
      <c r="AY1205" s="28" t="n">
        <f aca="false">AX1205*$M1205</f>
        <v>0</v>
      </c>
      <c r="AZ1205" s="30" t="n">
        <v>20329</v>
      </c>
      <c r="BA1205" s="11" t="n">
        <v>223619</v>
      </c>
      <c r="BB1205" s="31" t="n">
        <f aca="false">SUM(Q1205,S1205,U1205,W1205,Y1205,AA1205,AC1205,AE1205,AG1205,AI1205,AK1205,AM1205,AO1205,AQ1205,AS1205,AU1205,AW1205,AY1205)</f>
        <v>223619</v>
      </c>
      <c r="BC1205" s="28" t="n">
        <f aca="false">BA1205-BB1205</f>
        <v>0</v>
      </c>
      <c r="BD1205" s="32" t="n">
        <f aca="false">SUM(P1205,R1205,T1205,V1205,X1205,Z1205,AB1205,AD1205,AF1205,AH1205,AJ1205,AL1205,AN1205,AP1205,AR1205,AT1205,AV1205,AX1205)</f>
        <v>20329</v>
      </c>
      <c r="BE1205" s="33" t="n">
        <f aca="false">AZ1205-BD1205</f>
        <v>0</v>
      </c>
      <c r="BF1205" s="34" t="n">
        <f aca="false">BD1205*M1205</f>
        <v>223619</v>
      </c>
      <c r="BG1205" s="35" t="n">
        <f aca="false">BA1205-BF1205</f>
        <v>0</v>
      </c>
      <c r="BH1205" s="19" t="str">
        <f aca="false">IF(BG1205=0,"",IF(BG1205&lt;&gt;BA1205,"erreur de calcul",IF(BD1205&lt;&gt;0,"pas de prix",IF(M1205&lt;&gt; 0,"pas de quantité","pas de prix, ni de quantité"))))</f>
        <v/>
      </c>
      <c r="BI1205" s="19"/>
    </row>
    <row r="1206" customFormat="false" ht="15" hidden="false" customHeight="false" outlineLevel="0" collapsed="false">
      <c r="A1206" s="0" t="n">
        <v>26</v>
      </c>
      <c r="B1206" s="8" t="s">
        <v>24</v>
      </c>
      <c r="C1206" s="9" t="s">
        <v>25</v>
      </c>
      <c r="D1206" s="9" t="s">
        <v>26</v>
      </c>
      <c r="E1206" s="10" t="n">
        <v>1789</v>
      </c>
      <c r="F1206" s="9" t="s">
        <v>27</v>
      </c>
      <c r="G1206" s="9" t="s">
        <v>27</v>
      </c>
      <c r="H1206" s="11" t="n">
        <v>22</v>
      </c>
      <c r="I1206" s="11" t="s">
        <v>229</v>
      </c>
      <c r="J1206" s="14" t="n">
        <v>5</v>
      </c>
      <c r="K1206" s="14"/>
      <c r="L1206" s="16"/>
      <c r="M1206" s="27" t="n">
        <f aca="false">J1206+(K1206/20)+(L1206/240)</f>
        <v>5</v>
      </c>
      <c r="N1206" s="17" t="s">
        <v>66</v>
      </c>
      <c r="O1206" s="11"/>
      <c r="P1206" s="28"/>
      <c r="Q1206" s="28" t="n">
        <f aca="false">P1206*$M1206</f>
        <v>0</v>
      </c>
      <c r="R1206" s="28" t="n">
        <v>4117</v>
      </c>
      <c r="S1206" s="28" t="n">
        <v>20585</v>
      </c>
      <c r="T1206" s="28"/>
      <c r="U1206" s="28" t="n">
        <f aca="false">T1206*$M1206</f>
        <v>0</v>
      </c>
      <c r="V1206" s="28"/>
      <c r="W1206" s="28" t="n">
        <f aca="false">V1206*$M1206</f>
        <v>0</v>
      </c>
      <c r="X1206" s="28"/>
      <c r="Y1206" s="28" t="n">
        <f aca="false">X1206*$M1206</f>
        <v>0</v>
      </c>
      <c r="Z1206" s="28"/>
      <c r="AA1206" s="28" t="n">
        <f aca="false">Z1206*$M1206</f>
        <v>0</v>
      </c>
      <c r="AB1206" s="28"/>
      <c r="AC1206" s="28" t="n">
        <f aca="false">AB1206*$M1206</f>
        <v>0</v>
      </c>
      <c r="AD1206" s="28"/>
      <c r="AE1206" s="28" t="n">
        <f aca="false">AD1206*$M1206</f>
        <v>0</v>
      </c>
      <c r="AF1206" s="28"/>
      <c r="AG1206" s="28" t="n">
        <f aca="false">AF1206*$M1206</f>
        <v>0</v>
      </c>
      <c r="AH1206" s="28"/>
      <c r="AI1206" s="28" t="n">
        <f aca="false">AH1206*$M1206</f>
        <v>0</v>
      </c>
      <c r="AJ1206" s="28"/>
      <c r="AK1206" s="28" t="n">
        <f aca="false">AJ1206*$M1206</f>
        <v>0</v>
      </c>
      <c r="AL1206" s="28"/>
      <c r="AM1206" s="28" t="n">
        <f aca="false">AL1206*$M1206</f>
        <v>0</v>
      </c>
      <c r="AN1206" s="28"/>
      <c r="AO1206" s="28" t="n">
        <f aca="false">AN1206*$M1206</f>
        <v>0</v>
      </c>
      <c r="AP1206" s="28"/>
      <c r="AQ1206" s="28" t="n">
        <f aca="false">AP1206*$M1206</f>
        <v>0</v>
      </c>
      <c r="AR1206" s="28"/>
      <c r="AS1206" s="28" t="n">
        <f aca="false">AR1206*$M1206</f>
        <v>0</v>
      </c>
      <c r="AT1206" s="28"/>
      <c r="AU1206" s="28" t="n">
        <f aca="false">AT1206*$M1206</f>
        <v>0</v>
      </c>
      <c r="AV1206" s="28"/>
      <c r="AW1206" s="28" t="n">
        <f aca="false">AV1206*$M1206</f>
        <v>0</v>
      </c>
      <c r="AX1206" s="28"/>
      <c r="AY1206" s="28" t="n">
        <f aca="false">AX1206*$M1206</f>
        <v>0</v>
      </c>
      <c r="AZ1206" s="30" t="n">
        <v>4117</v>
      </c>
      <c r="BA1206" s="11" t="n">
        <v>20585</v>
      </c>
      <c r="BB1206" s="31" t="n">
        <f aca="false">SUM(Q1206,S1206,U1206,W1206,Y1206,AA1206,AC1206,AE1206,AG1206,AI1206,AK1206,AM1206,AO1206,AQ1206,AS1206,AU1206,AW1206,AY1206)</f>
        <v>20585</v>
      </c>
      <c r="BC1206" s="28" t="n">
        <f aca="false">BA1206-BB1206</f>
        <v>0</v>
      </c>
      <c r="BD1206" s="32" t="n">
        <f aca="false">SUM(P1206,R1206,T1206,V1206,X1206,Z1206,AB1206,AD1206,AF1206,AH1206,AJ1206,AL1206,AN1206,AP1206,AR1206,AT1206,AV1206,AX1206)</f>
        <v>4117</v>
      </c>
      <c r="BE1206" s="33" t="n">
        <f aca="false">AZ1206-BD1206</f>
        <v>0</v>
      </c>
      <c r="BF1206" s="34" t="n">
        <f aca="false">BD1206*M1206</f>
        <v>20585</v>
      </c>
      <c r="BG1206" s="35" t="n">
        <f aca="false">BA1206-BF1206</f>
        <v>0</v>
      </c>
      <c r="BH1206" s="19" t="str">
        <f aca="false">IF(BG1206=0,"",IF(BG1206&lt;&gt;BA1206,"erreur de calcul",IF(BD1206&lt;&gt;0,"pas de prix",IF(M1206&lt;&gt; 0,"pas de quantité","pas de prix, ni de quantité"))))</f>
        <v/>
      </c>
      <c r="BI1206" s="19"/>
    </row>
    <row r="1207" customFormat="false" ht="15" hidden="false" customHeight="false" outlineLevel="0" collapsed="false">
      <c r="A1207" s="0" t="n">
        <v>27</v>
      </c>
      <c r="B1207" s="8" t="s">
        <v>24</v>
      </c>
      <c r="C1207" s="9" t="s">
        <v>25</v>
      </c>
      <c r="D1207" s="9" t="s">
        <v>26</v>
      </c>
      <c r="E1207" s="10" t="n">
        <v>1789</v>
      </c>
      <c r="F1207" s="9" t="s">
        <v>27</v>
      </c>
      <c r="G1207" s="9" t="s">
        <v>27</v>
      </c>
      <c r="H1207" s="11" t="n">
        <v>22</v>
      </c>
      <c r="I1207" s="11" t="s">
        <v>230</v>
      </c>
      <c r="J1207" s="14" t="n">
        <v>11</v>
      </c>
      <c r="K1207" s="14"/>
      <c r="L1207" s="16"/>
      <c r="M1207" s="27" t="n">
        <f aca="false">J1207+(K1207/20)+(L1207/240)</f>
        <v>11</v>
      </c>
      <c r="N1207" s="17" t="s">
        <v>66</v>
      </c>
      <c r="O1207" s="11"/>
      <c r="P1207" s="28"/>
      <c r="Q1207" s="28" t="n">
        <f aca="false">P1207*$M1207</f>
        <v>0</v>
      </c>
      <c r="R1207" s="28"/>
      <c r="S1207" s="28" t="n">
        <f aca="false">R1207*$M1207</f>
        <v>0</v>
      </c>
      <c r="T1207" s="28"/>
      <c r="U1207" s="28" t="n">
        <f aca="false">T1207*$M1207</f>
        <v>0</v>
      </c>
      <c r="V1207" s="28"/>
      <c r="W1207" s="28" t="n">
        <f aca="false">V1207*$M1207</f>
        <v>0</v>
      </c>
      <c r="X1207" s="28"/>
      <c r="Y1207" s="28" t="n">
        <f aca="false">X1207*$M1207</f>
        <v>0</v>
      </c>
      <c r="Z1207" s="28"/>
      <c r="AA1207" s="28" t="n">
        <f aca="false">Z1207*$M1207</f>
        <v>0</v>
      </c>
      <c r="AB1207" s="28"/>
      <c r="AC1207" s="28" t="n">
        <f aca="false">AB1207*$M1207</f>
        <v>0</v>
      </c>
      <c r="AD1207" s="28"/>
      <c r="AE1207" s="28" t="n">
        <f aca="false">AD1207*$M1207</f>
        <v>0</v>
      </c>
      <c r="AF1207" s="28"/>
      <c r="AG1207" s="28" t="n">
        <f aca="false">AF1207*$M1207</f>
        <v>0</v>
      </c>
      <c r="AH1207" s="28"/>
      <c r="AI1207" s="28" t="n">
        <f aca="false">AH1207*$M1207</f>
        <v>0</v>
      </c>
      <c r="AJ1207" s="28" t="n">
        <v>34854</v>
      </c>
      <c r="AK1207" s="28" t="n">
        <v>383394</v>
      </c>
      <c r="AL1207" s="28"/>
      <c r="AM1207" s="28" t="n">
        <f aca="false">AL1207*$M1207</f>
        <v>0</v>
      </c>
      <c r="AN1207" s="28"/>
      <c r="AO1207" s="28" t="n">
        <f aca="false">AN1207*$M1207</f>
        <v>0</v>
      </c>
      <c r="AP1207" s="28"/>
      <c r="AQ1207" s="28" t="n">
        <f aca="false">AP1207*$M1207</f>
        <v>0</v>
      </c>
      <c r="AR1207" s="28"/>
      <c r="AS1207" s="28" t="n">
        <f aca="false">AR1207*$M1207</f>
        <v>0</v>
      </c>
      <c r="AT1207" s="28"/>
      <c r="AU1207" s="28" t="n">
        <f aca="false">AT1207*$M1207</f>
        <v>0</v>
      </c>
      <c r="AV1207" s="28"/>
      <c r="AW1207" s="28" t="n">
        <f aca="false">AV1207*$M1207</f>
        <v>0</v>
      </c>
      <c r="AX1207" s="28"/>
      <c r="AY1207" s="28" t="n">
        <f aca="false">AX1207*$M1207</f>
        <v>0</v>
      </c>
      <c r="AZ1207" s="30" t="n">
        <v>34854</v>
      </c>
      <c r="BA1207" s="11" t="n">
        <v>383394</v>
      </c>
      <c r="BB1207" s="31" t="n">
        <f aca="false">SUM(Q1207,S1207,U1207,W1207,Y1207,AA1207,AC1207,AE1207,AG1207,AI1207,AK1207,AM1207,AO1207,AQ1207,AS1207,AU1207,AW1207,AY1207)</f>
        <v>383394</v>
      </c>
      <c r="BC1207" s="28" t="n">
        <f aca="false">BA1207-BB1207</f>
        <v>0</v>
      </c>
      <c r="BD1207" s="32" t="n">
        <f aca="false">SUM(P1207,R1207,T1207,V1207,X1207,Z1207,AB1207,AD1207,AF1207,AH1207,AJ1207,AL1207,AN1207,AP1207,AR1207,AT1207,AV1207,AX1207)</f>
        <v>34854</v>
      </c>
      <c r="BE1207" s="33" t="n">
        <f aca="false">AZ1207-BD1207</f>
        <v>0</v>
      </c>
      <c r="BF1207" s="34" t="n">
        <f aca="false">BD1207*M1207</f>
        <v>383394</v>
      </c>
      <c r="BG1207" s="35" t="n">
        <f aca="false">BA1207-BF1207</f>
        <v>0</v>
      </c>
      <c r="BH1207" s="19" t="str">
        <f aca="false">IF(BG1207=0,"",IF(BG1207&lt;&gt;BA1207,"erreur de calcul",IF(BD1207&lt;&gt;0,"pas de prix",IF(M1207&lt;&gt; 0,"pas de quantité","pas de prix, ni de quantité"))))</f>
        <v/>
      </c>
      <c r="BI1207" s="19"/>
    </row>
    <row r="1208" customFormat="false" ht="15" hidden="false" customHeight="false" outlineLevel="0" collapsed="false">
      <c r="A1208" s="0" t="n">
        <v>28</v>
      </c>
      <c r="B1208" s="8" t="s">
        <v>24</v>
      </c>
      <c r="C1208" s="9" t="s">
        <v>25</v>
      </c>
      <c r="D1208" s="9" t="s">
        <v>26</v>
      </c>
      <c r="E1208" s="10" t="n">
        <v>1789</v>
      </c>
      <c r="F1208" s="9" t="s">
        <v>27</v>
      </c>
      <c r="G1208" s="9" t="s">
        <v>27</v>
      </c>
      <c r="H1208" s="11" t="n">
        <v>22</v>
      </c>
      <c r="I1208" s="11" t="s">
        <v>231</v>
      </c>
      <c r="J1208" s="14" t="n">
        <v>18</v>
      </c>
      <c r="K1208" s="14"/>
      <c r="L1208" s="16"/>
      <c r="M1208" s="27" t="n">
        <f aca="false">J1208+(K1208/20)+(L1208/240)</f>
        <v>18</v>
      </c>
      <c r="N1208" s="17" t="s">
        <v>66</v>
      </c>
      <c r="O1208" s="11"/>
      <c r="P1208" s="28"/>
      <c r="Q1208" s="28" t="n">
        <f aca="false">P1208*$M1208</f>
        <v>0</v>
      </c>
      <c r="R1208" s="28"/>
      <c r="S1208" s="28" t="n">
        <f aca="false">R1208*$M1208</f>
        <v>0</v>
      </c>
      <c r="T1208" s="28"/>
      <c r="U1208" s="28" t="n">
        <f aca="false">T1208*$M1208</f>
        <v>0</v>
      </c>
      <c r="V1208" s="28"/>
      <c r="W1208" s="28" t="n">
        <f aca="false">V1208*$M1208</f>
        <v>0</v>
      </c>
      <c r="X1208" s="28"/>
      <c r="Y1208" s="28" t="n">
        <f aca="false">X1208*$M1208</f>
        <v>0</v>
      </c>
      <c r="Z1208" s="28"/>
      <c r="AA1208" s="28" t="n">
        <f aca="false">Z1208*$M1208</f>
        <v>0</v>
      </c>
      <c r="AB1208" s="28"/>
      <c r="AC1208" s="28" t="n">
        <f aca="false">AB1208*$M1208</f>
        <v>0</v>
      </c>
      <c r="AD1208" s="28"/>
      <c r="AE1208" s="28" t="n">
        <f aca="false">AD1208*$M1208</f>
        <v>0</v>
      </c>
      <c r="AF1208" s="28"/>
      <c r="AG1208" s="28" t="n">
        <f aca="false">AF1208*$M1208</f>
        <v>0</v>
      </c>
      <c r="AH1208" s="28"/>
      <c r="AI1208" s="28" t="n">
        <f aca="false">AH1208*$M1208</f>
        <v>0</v>
      </c>
      <c r="AJ1208" s="28" t="n">
        <v>623</v>
      </c>
      <c r="AK1208" s="28" t="n">
        <v>11214</v>
      </c>
      <c r="AL1208" s="28"/>
      <c r="AM1208" s="28" t="n">
        <f aca="false">AL1208*$M1208</f>
        <v>0</v>
      </c>
      <c r="AN1208" s="28"/>
      <c r="AO1208" s="28" t="n">
        <f aca="false">AN1208*$M1208</f>
        <v>0</v>
      </c>
      <c r="AP1208" s="28"/>
      <c r="AQ1208" s="28" t="n">
        <f aca="false">AP1208*$M1208</f>
        <v>0</v>
      </c>
      <c r="AR1208" s="28"/>
      <c r="AS1208" s="28" t="n">
        <f aca="false">AR1208*$M1208</f>
        <v>0</v>
      </c>
      <c r="AT1208" s="28"/>
      <c r="AU1208" s="28" t="n">
        <f aca="false">AT1208*$M1208</f>
        <v>0</v>
      </c>
      <c r="AV1208" s="28"/>
      <c r="AW1208" s="28" t="n">
        <f aca="false">AV1208*$M1208</f>
        <v>0</v>
      </c>
      <c r="AX1208" s="28"/>
      <c r="AY1208" s="28" t="n">
        <f aca="false">AX1208*$M1208</f>
        <v>0</v>
      </c>
      <c r="AZ1208" s="30" t="n">
        <v>623</v>
      </c>
      <c r="BA1208" s="11" t="n">
        <v>11214</v>
      </c>
      <c r="BB1208" s="31" t="n">
        <f aca="false">SUM(Q1208,S1208,U1208,W1208,Y1208,AA1208,AC1208,AE1208,AG1208,AI1208,AK1208,AM1208,AO1208,AQ1208,AS1208,AU1208,AW1208,AY1208)</f>
        <v>11214</v>
      </c>
      <c r="BC1208" s="28" t="n">
        <f aca="false">BA1208-BB1208</f>
        <v>0</v>
      </c>
      <c r="BD1208" s="32" t="n">
        <f aca="false">SUM(P1208,R1208,T1208,V1208,X1208,Z1208,AB1208,AD1208,AF1208,AH1208,AJ1208,AL1208,AN1208,AP1208,AR1208,AT1208,AV1208,AX1208)</f>
        <v>623</v>
      </c>
      <c r="BE1208" s="33" t="n">
        <f aca="false">AZ1208-BD1208</f>
        <v>0</v>
      </c>
      <c r="BF1208" s="34" t="n">
        <f aca="false">BD1208*M1208</f>
        <v>11214</v>
      </c>
      <c r="BG1208" s="35" t="n">
        <f aca="false">BA1208-BF1208</f>
        <v>0</v>
      </c>
      <c r="BH1208" s="19" t="str">
        <f aca="false">IF(BG1208=0,"",IF(BG1208&lt;&gt;BA1208,"erreur de calcul",IF(BD1208&lt;&gt;0,"pas de prix",IF(M1208&lt;&gt; 0,"pas de quantité","pas de prix, ni de quantité"))))</f>
        <v/>
      </c>
      <c r="BI1208" s="19"/>
    </row>
    <row r="1209" customFormat="false" ht="15" hidden="false" customHeight="false" outlineLevel="0" collapsed="false">
      <c r="A1209" s="0" t="n">
        <v>29</v>
      </c>
      <c r="B1209" s="8" t="s">
        <v>24</v>
      </c>
      <c r="C1209" s="9" t="s">
        <v>25</v>
      </c>
      <c r="D1209" s="9" t="s">
        <v>26</v>
      </c>
      <c r="E1209" s="10" t="n">
        <v>1789</v>
      </c>
      <c r="F1209" s="9" t="s">
        <v>27</v>
      </c>
      <c r="G1209" s="9" t="s">
        <v>27</v>
      </c>
      <c r="H1209" s="11" t="n">
        <v>22</v>
      </c>
      <c r="I1209" s="11" t="s">
        <v>232</v>
      </c>
      <c r="J1209" s="14" t="n">
        <v>66</v>
      </c>
      <c r="K1209" s="14"/>
      <c r="L1209" s="16"/>
      <c r="M1209" s="27" t="n">
        <f aca="false">J1209+(K1209/20)+(L1209/240)</f>
        <v>66</v>
      </c>
      <c r="N1209" s="17" t="s">
        <v>64</v>
      </c>
      <c r="O1209" s="11"/>
      <c r="P1209" s="28"/>
      <c r="Q1209" s="28" t="n">
        <f aca="false">P1209*$M1209</f>
        <v>0</v>
      </c>
      <c r="R1209" s="28" t="n">
        <f aca="false">4580/100</f>
        <v>45.8</v>
      </c>
      <c r="S1209" s="28" t="n">
        <v>3023</v>
      </c>
      <c r="T1209" s="28"/>
      <c r="U1209" s="28" t="n">
        <f aca="false">T1209*$M1209</f>
        <v>0</v>
      </c>
      <c r="V1209" s="28"/>
      <c r="W1209" s="28" t="n">
        <f aca="false">V1209*$M1209</f>
        <v>0</v>
      </c>
      <c r="X1209" s="28"/>
      <c r="Y1209" s="28" t="n">
        <f aca="false">X1209*$M1209</f>
        <v>0</v>
      </c>
      <c r="Z1209" s="28"/>
      <c r="AA1209" s="28" t="n">
        <f aca="false">Z1209*$M1209</f>
        <v>0</v>
      </c>
      <c r="AB1209" s="28"/>
      <c r="AC1209" s="28" t="n">
        <f aca="false">AB1209*$M1209</f>
        <v>0</v>
      </c>
      <c r="AD1209" s="28"/>
      <c r="AE1209" s="28" t="n">
        <f aca="false">AD1209*$M1209</f>
        <v>0</v>
      </c>
      <c r="AF1209" s="28"/>
      <c r="AG1209" s="28" t="n">
        <f aca="false">AF1209*$M1209</f>
        <v>0</v>
      </c>
      <c r="AH1209" s="28"/>
      <c r="AI1209" s="28" t="n">
        <f aca="false">AH1209*$M1209</f>
        <v>0</v>
      </c>
      <c r="AJ1209" s="28"/>
      <c r="AK1209" s="28" t="n">
        <f aca="false">AJ1209*$M1209</f>
        <v>0</v>
      </c>
      <c r="AL1209" s="28"/>
      <c r="AM1209" s="28" t="n">
        <f aca="false">AL1209*$M1209</f>
        <v>0</v>
      </c>
      <c r="AN1209" s="28"/>
      <c r="AO1209" s="28" t="n">
        <f aca="false">AN1209*$M1209</f>
        <v>0</v>
      </c>
      <c r="AP1209" s="28"/>
      <c r="AQ1209" s="28" t="n">
        <f aca="false">AP1209*$M1209</f>
        <v>0</v>
      </c>
      <c r="AR1209" s="28"/>
      <c r="AS1209" s="28" t="n">
        <f aca="false">AR1209*$M1209</f>
        <v>0</v>
      </c>
      <c r="AT1209" s="28"/>
      <c r="AU1209" s="28" t="n">
        <f aca="false">AT1209*$M1209</f>
        <v>0</v>
      </c>
      <c r="AV1209" s="28"/>
      <c r="AW1209" s="28" t="n">
        <f aca="false">AV1209*$M1209</f>
        <v>0</v>
      </c>
      <c r="AX1209" s="28"/>
      <c r="AY1209" s="28" t="n">
        <f aca="false">AX1209*$M1209</f>
        <v>0</v>
      </c>
      <c r="AZ1209" s="30" t="n">
        <f aca="false">4580/100</f>
        <v>45.8</v>
      </c>
      <c r="BA1209" s="11" t="n">
        <v>3023</v>
      </c>
      <c r="BB1209" s="31" t="n">
        <f aca="false">SUM(Q1209,S1209,U1209,W1209,Y1209,AA1209,AC1209,AE1209,AG1209,AI1209,AK1209,AM1209,AO1209,AQ1209,AS1209,AU1209,AW1209,AY1209)</f>
        <v>3023</v>
      </c>
      <c r="BC1209" s="28" t="n">
        <f aca="false">BA1209-BB1209</f>
        <v>0</v>
      </c>
      <c r="BD1209" s="32" t="n">
        <f aca="false">SUM(P1209,R1209,T1209,V1209,X1209,Z1209,AB1209,AD1209,AF1209,AH1209,AJ1209,AL1209,AN1209,AP1209,AR1209,AT1209,AV1209,AX1209)</f>
        <v>45.8</v>
      </c>
      <c r="BE1209" s="33" t="n">
        <f aca="false">AZ1209-BD1209</f>
        <v>0</v>
      </c>
      <c r="BF1209" s="34" t="n">
        <f aca="false">BD1209*M1209</f>
        <v>3022.8</v>
      </c>
      <c r="BG1209" s="35" t="n">
        <f aca="false">BA1209-BF1209</f>
        <v>0.200000000000273</v>
      </c>
      <c r="BH1209" s="19" t="str">
        <f aca="false">IF(BG1209=0,"",IF(BG1209&lt;&gt;BA1209,"erreur de calcul",IF(BD1209&lt;&gt;0,"pas de prix",IF(M1209&lt;&gt; 0,"pas de quantité","pas de prix, ni de quantité"))))</f>
        <v>erreur de calcul</v>
      </c>
      <c r="BI1209" s="19"/>
    </row>
    <row r="1210" customFormat="false" ht="15" hidden="false" customHeight="false" outlineLevel="0" collapsed="false">
      <c r="A1210" s="0" t="n">
        <v>30</v>
      </c>
      <c r="B1210" s="8" t="s">
        <v>24</v>
      </c>
      <c r="C1210" s="9" t="s">
        <v>25</v>
      </c>
      <c r="D1210" s="9" t="s">
        <v>26</v>
      </c>
      <c r="E1210" s="10" t="n">
        <v>1789</v>
      </c>
      <c r="F1210" s="9" t="s">
        <v>27</v>
      </c>
      <c r="G1210" s="9" t="s">
        <v>27</v>
      </c>
      <c r="H1210" s="11" t="n">
        <v>22</v>
      </c>
      <c r="I1210" s="11" t="s">
        <v>233</v>
      </c>
      <c r="J1210" s="14" t="n">
        <v>155</v>
      </c>
      <c r="K1210" s="14"/>
      <c r="L1210" s="16"/>
      <c r="M1210" s="27" t="n">
        <f aca="false">J1210+(K1210/20)+(L1210/240)</f>
        <v>155</v>
      </c>
      <c r="N1210" s="17" t="s">
        <v>64</v>
      </c>
      <c r="O1210" s="11"/>
      <c r="P1210" s="28" t="n">
        <f aca="false">27574/100</f>
        <v>275.74</v>
      </c>
      <c r="Q1210" s="28" t="n">
        <v>42740</v>
      </c>
      <c r="R1210" s="28" t="n">
        <f aca="false">7820/100</f>
        <v>78.2</v>
      </c>
      <c r="S1210" s="28" t="n">
        <v>12121</v>
      </c>
      <c r="T1210" s="28"/>
      <c r="U1210" s="28" t="n">
        <f aca="false">T1210*$M1210</f>
        <v>0</v>
      </c>
      <c r="V1210" s="28" t="n">
        <f aca="false">37316/100</f>
        <v>373.16</v>
      </c>
      <c r="W1210" s="28" t="n">
        <v>57840</v>
      </c>
      <c r="X1210" s="28" t="n">
        <f aca="false">1394/100</f>
        <v>13.94</v>
      </c>
      <c r="Y1210" s="28" t="n">
        <v>2161</v>
      </c>
      <c r="Z1210" s="28"/>
      <c r="AA1210" s="28" t="n">
        <f aca="false">Z1210*$M1210</f>
        <v>0</v>
      </c>
      <c r="AB1210" s="28"/>
      <c r="AC1210" s="28" t="n">
        <f aca="false">AB1210*$M1210</f>
        <v>0</v>
      </c>
      <c r="AD1210" s="28"/>
      <c r="AE1210" s="28" t="n">
        <f aca="false">AD1210*$M1210</f>
        <v>0</v>
      </c>
      <c r="AF1210" s="28"/>
      <c r="AG1210" s="28" t="n">
        <f aca="false">AF1210*$M1210</f>
        <v>0</v>
      </c>
      <c r="AH1210" s="28"/>
      <c r="AI1210" s="28" t="n">
        <f aca="false">AH1210*$M1210</f>
        <v>0</v>
      </c>
      <c r="AJ1210" s="28" t="n">
        <f aca="false">158255/100</f>
        <v>1582.55</v>
      </c>
      <c r="AK1210" s="28" t="n">
        <v>245295</v>
      </c>
      <c r="AL1210" s="28"/>
      <c r="AM1210" s="28" t="n">
        <f aca="false">AL1210*$M1210</f>
        <v>0</v>
      </c>
      <c r="AN1210" s="28" t="n">
        <f aca="false">417945/100</f>
        <v>4179.45</v>
      </c>
      <c r="AO1210" s="28" t="n">
        <v>647815</v>
      </c>
      <c r="AP1210" s="28"/>
      <c r="AQ1210" s="28" t="n">
        <f aca="false">AP1210*$M1210</f>
        <v>0</v>
      </c>
      <c r="AR1210" s="28"/>
      <c r="AS1210" s="28" t="n">
        <f aca="false">AR1210*$M1210</f>
        <v>0</v>
      </c>
      <c r="AT1210" s="28"/>
      <c r="AU1210" s="28" t="n">
        <f aca="false">AT1210*$M1210</f>
        <v>0</v>
      </c>
      <c r="AV1210" s="28"/>
      <c r="AW1210" s="28" t="n">
        <f aca="false">AV1210*$M1210</f>
        <v>0</v>
      </c>
      <c r="AX1210" s="28"/>
      <c r="AY1210" s="28" t="n">
        <f aca="false">AX1210*$M1210</f>
        <v>0</v>
      </c>
      <c r="AZ1210" s="30" t="n">
        <f aca="false">650304/100</f>
        <v>6503.04</v>
      </c>
      <c r="BA1210" s="11" t="n">
        <v>1007972</v>
      </c>
      <c r="BB1210" s="31" t="n">
        <f aca="false">SUM(Q1210,S1210,U1210,W1210,Y1210,AA1210,AC1210,AE1210,AG1210,AI1210,AK1210,AM1210,AO1210,AQ1210,AS1210,AU1210,AW1210,AY1210)</f>
        <v>1007972</v>
      </c>
      <c r="BC1210" s="28" t="n">
        <f aca="false">BA1210-BB1210</f>
        <v>0</v>
      </c>
      <c r="BD1210" s="32" t="n">
        <f aca="false">SUM(P1210,R1210,T1210,V1210,X1210,Z1210,AB1210,AD1210,AF1210,AH1210,AJ1210,AL1210,AN1210,AP1210,AR1210,AT1210,AV1210,AX1210)</f>
        <v>6503.04</v>
      </c>
      <c r="BE1210" s="33" t="n">
        <f aca="false">AZ1210-BD1210</f>
        <v>0</v>
      </c>
      <c r="BF1210" s="34" t="n">
        <f aca="false">BD1210*M1210</f>
        <v>1007971.2</v>
      </c>
      <c r="BG1210" s="35" t="n">
        <f aca="false">BA1210-BF1210</f>
        <v>0.800000000162981</v>
      </c>
      <c r="BH1210" s="19" t="str">
        <f aca="false">IF(BG1210=0,"",IF(BG1210&lt;&gt;BA1210,"erreur de calcul",IF(BD1210&lt;&gt;0,"pas de prix",IF(M1210&lt;&gt; 0,"pas de quantité","pas de prix, ni de quantité"))))</f>
        <v>erreur de calcul</v>
      </c>
      <c r="BI1210" s="19"/>
    </row>
    <row r="1211" customFormat="false" ht="15" hidden="false" customHeight="false" outlineLevel="0" collapsed="false">
      <c r="A1211" s="0" t="n">
        <v>31</v>
      </c>
      <c r="B1211" s="8" t="s">
        <v>24</v>
      </c>
      <c r="C1211" s="9" t="s">
        <v>25</v>
      </c>
      <c r="D1211" s="9" t="s">
        <v>26</v>
      </c>
      <c r="E1211" s="10" t="n">
        <v>1789</v>
      </c>
      <c r="F1211" s="9" t="s">
        <v>27</v>
      </c>
      <c r="G1211" s="9" t="s">
        <v>27</v>
      </c>
      <c r="H1211" s="11" t="n">
        <v>22</v>
      </c>
      <c r="I1211" s="11" t="s">
        <v>234</v>
      </c>
      <c r="J1211" s="14" t="n">
        <v>110</v>
      </c>
      <c r="K1211" s="14"/>
      <c r="L1211" s="16"/>
      <c r="M1211" s="27" t="n">
        <f aca="false">J1211+(K1211/20)+(L1211/240)</f>
        <v>110</v>
      </c>
      <c r="N1211" s="17" t="s">
        <v>64</v>
      </c>
      <c r="O1211" s="11"/>
      <c r="P1211" s="28" t="n">
        <f aca="false">73942/100</f>
        <v>739.42</v>
      </c>
      <c r="Q1211" s="28" t="n">
        <v>81336</v>
      </c>
      <c r="R1211" s="28"/>
      <c r="S1211" s="28" t="n">
        <f aca="false">R1211*$M1211</f>
        <v>0</v>
      </c>
      <c r="T1211" s="28"/>
      <c r="U1211" s="28" t="n">
        <f aca="false">T1211*$M1211</f>
        <v>0</v>
      </c>
      <c r="V1211" s="28"/>
      <c r="W1211" s="28" t="n">
        <f aca="false">V1211*$M1211</f>
        <v>0</v>
      </c>
      <c r="X1211" s="28"/>
      <c r="Y1211" s="28" t="n">
        <f aca="false">X1211*$M1211</f>
        <v>0</v>
      </c>
      <c r="Z1211" s="28"/>
      <c r="AA1211" s="28" t="n">
        <f aca="false">Z1211*$M1211</f>
        <v>0</v>
      </c>
      <c r="AB1211" s="28"/>
      <c r="AC1211" s="28" t="n">
        <f aca="false">AB1211*$M1211</f>
        <v>0</v>
      </c>
      <c r="AD1211" s="28"/>
      <c r="AE1211" s="28" t="n">
        <f aca="false">AD1211*$M1211</f>
        <v>0</v>
      </c>
      <c r="AF1211" s="28"/>
      <c r="AG1211" s="28" t="n">
        <f aca="false">AF1211*$M1211</f>
        <v>0</v>
      </c>
      <c r="AH1211" s="28"/>
      <c r="AI1211" s="28" t="n">
        <f aca="false">AH1211*$M1211</f>
        <v>0</v>
      </c>
      <c r="AJ1211" s="28"/>
      <c r="AK1211" s="28" t="n">
        <f aca="false">AJ1211*$M1211</f>
        <v>0</v>
      </c>
      <c r="AL1211" s="28"/>
      <c r="AM1211" s="28" t="n">
        <f aca="false">AL1211*$M1211</f>
        <v>0</v>
      </c>
      <c r="AN1211" s="28"/>
      <c r="AO1211" s="28" t="n">
        <f aca="false">AN1211*$M1211</f>
        <v>0</v>
      </c>
      <c r="AP1211" s="28"/>
      <c r="AQ1211" s="28" t="n">
        <f aca="false">AP1211*$M1211</f>
        <v>0</v>
      </c>
      <c r="AR1211" s="28"/>
      <c r="AS1211" s="28" t="n">
        <f aca="false">AR1211*$M1211</f>
        <v>0</v>
      </c>
      <c r="AT1211" s="28"/>
      <c r="AU1211" s="28" t="n">
        <f aca="false">AT1211*$M1211</f>
        <v>0</v>
      </c>
      <c r="AV1211" s="28"/>
      <c r="AW1211" s="28" t="n">
        <f aca="false">AV1211*$M1211</f>
        <v>0</v>
      </c>
      <c r="AX1211" s="28"/>
      <c r="AY1211" s="28" t="n">
        <f aca="false">AX1211*$M1211</f>
        <v>0</v>
      </c>
      <c r="AZ1211" s="30" t="n">
        <f aca="false">73942/100</f>
        <v>739.42</v>
      </c>
      <c r="BA1211" s="11" t="n">
        <v>81336</v>
      </c>
      <c r="BB1211" s="31" t="n">
        <f aca="false">SUM(Q1211,S1211,U1211,W1211,Y1211,AA1211,AC1211,AE1211,AG1211,AI1211,AK1211,AM1211,AO1211,AQ1211,AS1211,AU1211,AW1211,AY1211)</f>
        <v>81336</v>
      </c>
      <c r="BC1211" s="28" t="n">
        <f aca="false">BA1211-BB1211</f>
        <v>0</v>
      </c>
      <c r="BD1211" s="32" t="n">
        <f aca="false">SUM(P1211,R1211,T1211,V1211,X1211,Z1211,AB1211,AD1211,AF1211,AH1211,AJ1211,AL1211,AN1211,AP1211,AR1211,AT1211,AV1211,AX1211)</f>
        <v>739.42</v>
      </c>
      <c r="BE1211" s="33" t="n">
        <f aca="false">AZ1211-BD1211</f>
        <v>0</v>
      </c>
      <c r="BF1211" s="34" t="n">
        <f aca="false">BD1211*M1211</f>
        <v>81336.2</v>
      </c>
      <c r="BG1211" s="35" t="n">
        <f aca="false">BA1211-BF1211</f>
        <v>-0.19999999999709</v>
      </c>
      <c r="BH1211" s="19" t="str">
        <f aca="false">IF(BG1211=0,"",IF(BG1211&lt;&gt;BA1211,"erreur de calcul",IF(BD1211&lt;&gt;0,"pas de prix",IF(M1211&lt;&gt; 0,"pas de quantité","pas de prix, ni de quantité"))))</f>
        <v>erreur de calcul</v>
      </c>
      <c r="BI1211" s="19"/>
    </row>
    <row r="1212" customFormat="false" ht="15" hidden="false" customHeight="false" outlineLevel="0" collapsed="false">
      <c r="A1212" s="0" t="n">
        <v>32</v>
      </c>
      <c r="B1212" s="8" t="s">
        <v>24</v>
      </c>
      <c r="C1212" s="9" t="s">
        <v>25</v>
      </c>
      <c r="D1212" s="9" t="s">
        <v>26</v>
      </c>
      <c r="E1212" s="10" t="n">
        <v>1789</v>
      </c>
      <c r="F1212" s="9" t="s">
        <v>27</v>
      </c>
      <c r="G1212" s="9" t="s">
        <v>27</v>
      </c>
      <c r="H1212" s="11" t="n">
        <v>22</v>
      </c>
      <c r="I1212" s="11" t="s">
        <v>235</v>
      </c>
      <c r="J1212" s="14" t="n">
        <v>60</v>
      </c>
      <c r="K1212" s="14"/>
      <c r="L1212" s="16"/>
      <c r="M1212" s="27" t="n">
        <f aca="false">J1212+(K1212/20)+(L1212/240)</f>
        <v>60</v>
      </c>
      <c r="N1212" s="17" t="s">
        <v>64</v>
      </c>
      <c r="O1212" s="11"/>
      <c r="P1212" s="28"/>
      <c r="Q1212" s="28" t="n">
        <f aca="false">P1212*$M1212</f>
        <v>0</v>
      </c>
      <c r="R1212" s="28"/>
      <c r="S1212" s="28" t="n">
        <f aca="false">R1212*$M1212</f>
        <v>0</v>
      </c>
      <c r="T1212" s="28"/>
      <c r="U1212" s="28" t="n">
        <f aca="false">T1212*$M1212</f>
        <v>0</v>
      </c>
      <c r="V1212" s="28" t="n">
        <f aca="false">232/100</f>
        <v>2.32</v>
      </c>
      <c r="W1212" s="28" t="n">
        <v>139</v>
      </c>
      <c r="X1212" s="28" t="n">
        <f aca="false">5603/100</f>
        <v>56.03</v>
      </c>
      <c r="Y1212" s="28" t="n">
        <v>3362</v>
      </c>
      <c r="Z1212" s="28"/>
      <c r="AA1212" s="28" t="n">
        <f aca="false">Z1212*$M1212</f>
        <v>0</v>
      </c>
      <c r="AB1212" s="28" t="n">
        <f aca="false">1410/100</f>
        <v>14.1</v>
      </c>
      <c r="AC1212" s="28" t="n">
        <v>846</v>
      </c>
      <c r="AD1212" s="28"/>
      <c r="AE1212" s="28" t="n">
        <f aca="false">AD1212*$M1212</f>
        <v>0</v>
      </c>
      <c r="AF1212" s="28" t="n">
        <f aca="false">162899/100</f>
        <v>1628.99</v>
      </c>
      <c r="AG1212" s="28" t="n">
        <v>97739</v>
      </c>
      <c r="AH1212" s="28" t="n">
        <f aca="false">6506/100</f>
        <v>65.06</v>
      </c>
      <c r="AI1212" s="28" t="n">
        <v>3904</v>
      </c>
      <c r="AJ1212" s="28"/>
      <c r="AK1212" s="28" t="n">
        <f aca="false">AJ1212*$M1212</f>
        <v>0</v>
      </c>
      <c r="AL1212" s="28"/>
      <c r="AM1212" s="28" t="n">
        <f aca="false">AL1212*$M1212</f>
        <v>0</v>
      </c>
      <c r="AN1212" s="28"/>
      <c r="AO1212" s="28" t="n">
        <f aca="false">AN1212*$M1212</f>
        <v>0</v>
      </c>
      <c r="AP1212" s="28"/>
      <c r="AQ1212" s="28" t="n">
        <f aca="false">AP1212*$M1212</f>
        <v>0</v>
      </c>
      <c r="AR1212" s="28"/>
      <c r="AS1212" s="28" t="n">
        <f aca="false">AR1212*$M1212</f>
        <v>0</v>
      </c>
      <c r="AT1212" s="28"/>
      <c r="AU1212" s="28" t="n">
        <f aca="false">AT1212*$M1212</f>
        <v>0</v>
      </c>
      <c r="AV1212" s="28"/>
      <c r="AW1212" s="28" t="n">
        <f aca="false">AV1212*$M1212</f>
        <v>0</v>
      </c>
      <c r="AX1212" s="28"/>
      <c r="AY1212" s="28" t="n">
        <f aca="false">AX1212*$M1212</f>
        <v>0</v>
      </c>
      <c r="AZ1212" s="30" t="n">
        <f aca="false">176650/100</f>
        <v>1766.5</v>
      </c>
      <c r="BA1212" s="11" t="n">
        <v>105990</v>
      </c>
      <c r="BB1212" s="31" t="n">
        <f aca="false">SUM(Q1212,S1212,U1212,W1212,Y1212,AA1212,AC1212,AE1212,AG1212,AI1212,AK1212,AM1212,AO1212,AQ1212,AS1212,AU1212,AW1212,AY1212)</f>
        <v>105990</v>
      </c>
      <c r="BC1212" s="28" t="n">
        <f aca="false">BA1212-BB1212</f>
        <v>0</v>
      </c>
      <c r="BD1212" s="32" t="n">
        <f aca="false">SUM(P1212,R1212,T1212,V1212,X1212,Z1212,AB1212,AD1212,AF1212,AH1212,AJ1212,AL1212,AN1212,AP1212,AR1212,AT1212,AV1212,AX1212)</f>
        <v>1766.5</v>
      </c>
      <c r="BE1212" s="33" t="n">
        <f aca="false">AZ1212-BD1212</f>
        <v>0</v>
      </c>
      <c r="BF1212" s="34" t="n">
        <f aca="false">BD1212*M1212</f>
        <v>105990</v>
      </c>
      <c r="BG1212" s="35" t="n">
        <f aca="false">BA1212-BF1212</f>
        <v>0</v>
      </c>
      <c r="BH1212" s="19" t="str">
        <f aca="false">IF(BG1212=0,"",IF(BG1212&lt;&gt;BA1212,"erreur de calcul",IF(BD1212&lt;&gt;0,"pas de prix",IF(M1212&lt;&gt; 0,"pas de quantité","pas de prix, ni de quantité"))))</f>
        <v/>
      </c>
      <c r="BI1212" s="19"/>
    </row>
    <row r="1213" customFormat="false" ht="15" hidden="false" customHeight="false" outlineLevel="0" collapsed="false">
      <c r="A1213" s="0" t="n">
        <v>33</v>
      </c>
      <c r="B1213" s="8" t="s">
        <v>24</v>
      </c>
      <c r="C1213" s="9" t="s">
        <v>25</v>
      </c>
      <c r="D1213" s="9" t="s">
        <v>26</v>
      </c>
      <c r="E1213" s="10" t="n">
        <v>1789</v>
      </c>
      <c r="F1213" s="9" t="s">
        <v>27</v>
      </c>
      <c r="G1213" s="9" t="s">
        <v>27</v>
      </c>
      <c r="H1213" s="11" t="n">
        <v>22</v>
      </c>
      <c r="I1213" s="11" t="s">
        <v>236</v>
      </c>
      <c r="J1213" s="14" t="n">
        <v>710</v>
      </c>
      <c r="K1213" s="14"/>
      <c r="L1213" s="16"/>
      <c r="M1213" s="27" t="n">
        <f aca="false">J1213+(K1213/20)+(L1213/240)</f>
        <v>710</v>
      </c>
      <c r="N1213" s="17" t="s">
        <v>64</v>
      </c>
      <c r="O1213" s="11"/>
      <c r="P1213" s="28"/>
      <c r="Q1213" s="28" t="n">
        <f aca="false">P1213*$M1213</f>
        <v>0</v>
      </c>
      <c r="R1213" s="28"/>
      <c r="S1213" s="28" t="n">
        <f aca="false">R1213*$M1213</f>
        <v>0</v>
      </c>
      <c r="T1213" s="28" t="n">
        <f aca="false">108/100</f>
        <v>1.08</v>
      </c>
      <c r="U1213" s="28" t="n">
        <v>767</v>
      </c>
      <c r="V1213" s="28" t="n">
        <f aca="false">1190/100</f>
        <v>11.9</v>
      </c>
      <c r="W1213" s="28" t="n">
        <v>8449</v>
      </c>
      <c r="X1213" s="28" t="n">
        <f aca="false">487/100</f>
        <v>4.87</v>
      </c>
      <c r="Y1213" s="28" t="n">
        <v>3458</v>
      </c>
      <c r="Z1213" s="28"/>
      <c r="AA1213" s="28" t="n">
        <f aca="false">Z1213*$M1213</f>
        <v>0</v>
      </c>
      <c r="AB1213" s="28" t="n">
        <f aca="false">9170/100</f>
        <v>91.7</v>
      </c>
      <c r="AC1213" s="28" t="n">
        <v>65107</v>
      </c>
      <c r="AD1213" s="28" t="n">
        <f aca="false">531/100</f>
        <v>5.31</v>
      </c>
      <c r="AE1213" s="28" t="n">
        <v>3770</v>
      </c>
      <c r="AF1213" s="28"/>
      <c r="AG1213" s="28" t="n">
        <f aca="false">AF1213*$M1213</f>
        <v>0</v>
      </c>
      <c r="AH1213" s="28"/>
      <c r="AI1213" s="28" t="n">
        <f aca="false">AH1213*$M1213</f>
        <v>0</v>
      </c>
      <c r="AJ1213" s="28"/>
      <c r="AK1213" s="28" t="n">
        <f aca="false">AJ1213*$M1213</f>
        <v>0</v>
      </c>
      <c r="AL1213" s="28"/>
      <c r="AM1213" s="28" t="n">
        <f aca="false">AL1213*$M1213</f>
        <v>0</v>
      </c>
      <c r="AN1213" s="28"/>
      <c r="AO1213" s="28" t="n">
        <f aca="false">AN1213*$M1213</f>
        <v>0</v>
      </c>
      <c r="AP1213" s="28"/>
      <c r="AQ1213" s="28" t="n">
        <f aca="false">AP1213*$M1213</f>
        <v>0</v>
      </c>
      <c r="AR1213" s="28"/>
      <c r="AS1213" s="28" t="n">
        <f aca="false">AR1213*$M1213</f>
        <v>0</v>
      </c>
      <c r="AT1213" s="28"/>
      <c r="AU1213" s="28" t="n">
        <f aca="false">AT1213*$M1213</f>
        <v>0</v>
      </c>
      <c r="AV1213" s="28"/>
      <c r="AW1213" s="28" t="n">
        <f aca="false">AV1213*$M1213</f>
        <v>0</v>
      </c>
      <c r="AX1213" s="28"/>
      <c r="AY1213" s="28" t="n">
        <f aca="false">AX1213*$M1213</f>
        <v>0</v>
      </c>
      <c r="AZ1213" s="30" t="n">
        <f aca="false">11486/100</f>
        <v>114.86</v>
      </c>
      <c r="BA1213" s="11" t="n">
        <v>81551</v>
      </c>
      <c r="BB1213" s="31" t="n">
        <f aca="false">SUM(Q1213,S1213,U1213,W1213,Y1213,AA1213,AC1213,AE1213,AG1213,AI1213,AK1213,AM1213,AO1213,AQ1213,AS1213,AU1213,AW1213,AY1213)</f>
        <v>81551</v>
      </c>
      <c r="BC1213" s="28" t="n">
        <f aca="false">BA1213-BB1213</f>
        <v>0</v>
      </c>
      <c r="BD1213" s="32" t="n">
        <f aca="false">SUM(P1213,R1213,T1213,V1213,X1213,Z1213,AB1213,AD1213,AF1213,AH1213,AJ1213,AL1213,AN1213,AP1213,AR1213,AT1213,AV1213,AX1213)</f>
        <v>114.86</v>
      </c>
      <c r="BE1213" s="33" t="n">
        <f aca="false">AZ1213-BD1213</f>
        <v>0</v>
      </c>
      <c r="BF1213" s="34" t="n">
        <f aca="false">BD1213*M1213</f>
        <v>81550.6</v>
      </c>
      <c r="BG1213" s="35" t="n">
        <f aca="false">BA1213-BF1213</f>
        <v>0.399999999994179</v>
      </c>
      <c r="BH1213" s="19" t="str">
        <f aca="false">IF(BG1213=0,"",IF(BG1213&lt;&gt;BA1213,"erreur de calcul",IF(BD1213&lt;&gt;0,"pas de prix",IF(M1213&lt;&gt; 0,"pas de quantité","pas de prix, ni de quantité"))))</f>
        <v>erreur de calcul</v>
      </c>
      <c r="BI1213" s="19"/>
    </row>
    <row r="1214" customFormat="false" ht="15" hidden="false" customHeight="false" outlineLevel="0" collapsed="false">
      <c r="A1214" s="0" t="n">
        <v>34</v>
      </c>
      <c r="B1214" s="8" t="s">
        <v>24</v>
      </c>
      <c r="C1214" s="9" t="s">
        <v>25</v>
      </c>
      <c r="D1214" s="9" t="s">
        <v>26</v>
      </c>
      <c r="E1214" s="10" t="n">
        <v>1789</v>
      </c>
      <c r="F1214" s="9" t="s">
        <v>27</v>
      </c>
      <c r="G1214" s="9" t="s">
        <v>27</v>
      </c>
      <c r="H1214" s="11" t="n">
        <v>22</v>
      </c>
      <c r="I1214" s="11" t="s">
        <v>237</v>
      </c>
      <c r="J1214" s="14" t="n">
        <v>91</v>
      </c>
      <c r="K1214" s="14"/>
      <c r="L1214" s="16"/>
      <c r="M1214" s="27" t="n">
        <f aca="false">J1214+(K1214/20)+(L1214/240)</f>
        <v>91</v>
      </c>
      <c r="N1214" s="17" t="s">
        <v>64</v>
      </c>
      <c r="O1214" s="11"/>
      <c r="P1214" s="28"/>
      <c r="Q1214" s="28" t="n">
        <f aca="false">P1214*$M1214</f>
        <v>0</v>
      </c>
      <c r="R1214" s="28"/>
      <c r="S1214" s="28" t="n">
        <f aca="false">R1214*$M1214</f>
        <v>0</v>
      </c>
      <c r="T1214" s="28"/>
      <c r="U1214" s="28" t="n">
        <f aca="false">T1214*$M1214</f>
        <v>0</v>
      </c>
      <c r="V1214" s="28" t="n">
        <f aca="false">3384/100</f>
        <v>33.84</v>
      </c>
      <c r="W1214" s="28" t="n">
        <v>3079</v>
      </c>
      <c r="X1214" s="28" t="n">
        <f aca="false">18105/100</f>
        <v>181.05</v>
      </c>
      <c r="Y1214" s="28" t="n">
        <v>16475</v>
      </c>
      <c r="Z1214" s="28"/>
      <c r="AA1214" s="28" t="n">
        <f aca="false">Z1214*$M1214</f>
        <v>0</v>
      </c>
      <c r="AB1214" s="28"/>
      <c r="AC1214" s="28" t="n">
        <f aca="false">AB1214*$M1214</f>
        <v>0</v>
      </c>
      <c r="AD1214" s="28"/>
      <c r="AE1214" s="28" t="n">
        <f aca="false">AD1214*$M1214</f>
        <v>0</v>
      </c>
      <c r="AF1214" s="28"/>
      <c r="AG1214" s="28" t="n">
        <f aca="false">AF1214*$M1214</f>
        <v>0</v>
      </c>
      <c r="AH1214" s="28"/>
      <c r="AI1214" s="28" t="n">
        <f aca="false">AH1214*$M1214</f>
        <v>0</v>
      </c>
      <c r="AJ1214" s="28"/>
      <c r="AK1214" s="28" t="n">
        <f aca="false">AJ1214*$M1214</f>
        <v>0</v>
      </c>
      <c r="AL1214" s="28"/>
      <c r="AM1214" s="28" t="n">
        <f aca="false">AL1214*$M1214</f>
        <v>0</v>
      </c>
      <c r="AN1214" s="28"/>
      <c r="AO1214" s="28" t="n">
        <f aca="false">AN1214*$M1214</f>
        <v>0</v>
      </c>
      <c r="AP1214" s="28"/>
      <c r="AQ1214" s="28" t="n">
        <f aca="false">AP1214*$M1214</f>
        <v>0</v>
      </c>
      <c r="AR1214" s="28"/>
      <c r="AS1214" s="28" t="n">
        <f aca="false">AR1214*$M1214</f>
        <v>0</v>
      </c>
      <c r="AT1214" s="28"/>
      <c r="AU1214" s="28" t="n">
        <f aca="false">AT1214*$M1214</f>
        <v>0</v>
      </c>
      <c r="AV1214" s="28"/>
      <c r="AW1214" s="28" t="n">
        <f aca="false">AV1214*$M1214</f>
        <v>0</v>
      </c>
      <c r="AX1214" s="28"/>
      <c r="AY1214" s="28" t="n">
        <f aca="false">AX1214*$M1214</f>
        <v>0</v>
      </c>
      <c r="AZ1214" s="30" t="n">
        <f aca="false">21489/100</f>
        <v>214.89</v>
      </c>
      <c r="BA1214" s="11" t="n">
        <v>19554</v>
      </c>
      <c r="BB1214" s="31" t="n">
        <f aca="false">SUM(Q1214,S1214,U1214,W1214,Y1214,AA1214,AC1214,AE1214,AG1214,AI1214,AK1214,AM1214,AO1214,AQ1214,AS1214,AU1214,AW1214,AY1214)</f>
        <v>19554</v>
      </c>
      <c r="BC1214" s="28" t="n">
        <f aca="false">BA1214-BB1214</f>
        <v>0</v>
      </c>
      <c r="BD1214" s="32" t="n">
        <f aca="false">SUM(P1214,R1214,T1214,V1214,X1214,Z1214,AB1214,AD1214,AF1214,AH1214,AJ1214,AL1214,AN1214,AP1214,AR1214,AT1214,AV1214,AX1214)</f>
        <v>214.89</v>
      </c>
      <c r="BE1214" s="33" t="n">
        <f aca="false">AZ1214-BD1214</f>
        <v>0</v>
      </c>
      <c r="BF1214" s="34" t="n">
        <f aca="false">BD1214*M1214</f>
        <v>19554.99</v>
      </c>
      <c r="BG1214" s="35" t="n">
        <f aca="false">BA1214-BF1214</f>
        <v>-0.990000000001601</v>
      </c>
      <c r="BH1214" s="19" t="str">
        <f aca="false">IF(BG1214=0,"",IF(BG1214&lt;&gt;BA1214,"erreur de calcul",IF(BD1214&lt;&gt;0,"pas de prix",IF(M1214&lt;&gt; 0,"pas de quantité","pas de prix, ni de quantité"))))</f>
        <v>erreur de calcul</v>
      </c>
      <c r="BI1214" s="19"/>
    </row>
    <row r="1215" customFormat="false" ht="15" hidden="false" customHeight="false" outlineLevel="0" collapsed="false">
      <c r="A1215" s="0" t="n">
        <v>35</v>
      </c>
      <c r="B1215" s="8" t="s">
        <v>24</v>
      </c>
      <c r="C1215" s="9" t="s">
        <v>25</v>
      </c>
      <c r="D1215" s="9" t="s">
        <v>26</v>
      </c>
      <c r="E1215" s="10" t="n">
        <v>1789</v>
      </c>
      <c r="F1215" s="9" t="s">
        <v>27</v>
      </c>
      <c r="G1215" s="9" t="s">
        <v>27</v>
      </c>
      <c r="H1215" s="11" t="n">
        <v>22</v>
      </c>
      <c r="I1215" s="11" t="s">
        <v>238</v>
      </c>
      <c r="J1215" s="14" t="n">
        <v>40</v>
      </c>
      <c r="K1215" s="14"/>
      <c r="L1215" s="16"/>
      <c r="M1215" s="27" t="n">
        <f aca="false">J1215+(K1215/20)+(L1215/240)</f>
        <v>40</v>
      </c>
      <c r="N1215" s="17" t="s">
        <v>66</v>
      </c>
      <c r="O1215" s="11"/>
      <c r="P1215" s="28" t="n">
        <v>150</v>
      </c>
      <c r="Q1215" s="28" t="n">
        <v>6000</v>
      </c>
      <c r="R1215" s="28"/>
      <c r="S1215" s="28" t="n">
        <f aca="false">R1215*$M1215</f>
        <v>0</v>
      </c>
      <c r="T1215" s="28" t="n">
        <v>467</v>
      </c>
      <c r="U1215" s="28" t="n">
        <v>18680</v>
      </c>
      <c r="V1215" s="28" t="n">
        <v>1124</v>
      </c>
      <c r="W1215" s="28" t="n">
        <v>44960</v>
      </c>
      <c r="X1215" s="28" t="n">
        <v>591</v>
      </c>
      <c r="Y1215" s="28" t="n">
        <v>23640</v>
      </c>
      <c r="Z1215" s="28"/>
      <c r="AA1215" s="28" t="n">
        <f aca="false">Z1215*$M1215</f>
        <v>0</v>
      </c>
      <c r="AB1215" s="28" t="n">
        <v>554</v>
      </c>
      <c r="AC1215" s="28" t="n">
        <v>22160</v>
      </c>
      <c r="AD1215" s="28"/>
      <c r="AE1215" s="28" t="n">
        <f aca="false">AD1215*$M1215</f>
        <v>0</v>
      </c>
      <c r="AF1215" s="28"/>
      <c r="AG1215" s="28" t="n">
        <f aca="false">AF1215*$M1215</f>
        <v>0</v>
      </c>
      <c r="AH1215" s="28" t="n">
        <v>1109</v>
      </c>
      <c r="AI1215" s="28" t="n">
        <v>44360</v>
      </c>
      <c r="AJ1215" s="28"/>
      <c r="AK1215" s="28" t="n">
        <f aca="false">AJ1215*$M1215</f>
        <v>0</v>
      </c>
      <c r="AL1215" s="28"/>
      <c r="AM1215" s="28" t="n">
        <f aca="false">AL1215*$M1215</f>
        <v>0</v>
      </c>
      <c r="AN1215" s="28"/>
      <c r="AO1215" s="28" t="n">
        <f aca="false">AN1215*$M1215</f>
        <v>0</v>
      </c>
      <c r="AP1215" s="28"/>
      <c r="AQ1215" s="28" t="n">
        <f aca="false">AP1215*$M1215</f>
        <v>0</v>
      </c>
      <c r="AR1215" s="28"/>
      <c r="AS1215" s="28" t="n">
        <f aca="false">AR1215*$M1215</f>
        <v>0</v>
      </c>
      <c r="AT1215" s="28"/>
      <c r="AU1215" s="28" t="n">
        <f aca="false">AT1215*$M1215</f>
        <v>0</v>
      </c>
      <c r="AV1215" s="28"/>
      <c r="AW1215" s="28" t="n">
        <f aca="false">AV1215*$M1215</f>
        <v>0</v>
      </c>
      <c r="AX1215" s="28"/>
      <c r="AY1215" s="28" t="n">
        <f aca="false">AX1215*$M1215</f>
        <v>0</v>
      </c>
      <c r="AZ1215" s="30" t="n">
        <v>3995</v>
      </c>
      <c r="BA1215" s="11" t="n">
        <v>159800</v>
      </c>
      <c r="BB1215" s="31" t="n">
        <f aca="false">SUM(Q1215,S1215,U1215,W1215,Y1215,AA1215,AC1215,AE1215,AG1215,AI1215,AK1215,AM1215,AO1215,AQ1215,AS1215,AU1215,AW1215,AY1215)</f>
        <v>159800</v>
      </c>
      <c r="BC1215" s="28" t="n">
        <f aca="false">BA1215-BB1215</f>
        <v>0</v>
      </c>
      <c r="BD1215" s="32" t="n">
        <f aca="false">SUM(P1215,R1215,T1215,V1215,X1215,Z1215,AB1215,AD1215,AF1215,AH1215,AJ1215,AL1215,AN1215,AP1215,AR1215,AT1215,AV1215,AX1215)</f>
        <v>3995</v>
      </c>
      <c r="BE1215" s="33" t="n">
        <f aca="false">AZ1215-BD1215</f>
        <v>0</v>
      </c>
      <c r="BF1215" s="34" t="n">
        <f aca="false">BD1215*M1215</f>
        <v>159800</v>
      </c>
      <c r="BG1215" s="35" t="n">
        <f aca="false">BA1215-BF1215</f>
        <v>0</v>
      </c>
      <c r="BH1215" s="19" t="str">
        <f aca="false">IF(BG1215=0,"",IF(BG1215&lt;&gt;BA1215,"erreur de calcul",IF(BD1215&lt;&gt;0,"pas de prix",IF(M1215&lt;&gt; 0,"pas de quantité","pas de prix, ni de quantité"))))</f>
        <v/>
      </c>
      <c r="BI1215" s="19"/>
    </row>
    <row r="1216" customFormat="false" ht="15" hidden="false" customHeight="false" outlineLevel="0" collapsed="false">
      <c r="A1216" s="0" t="n">
        <v>36</v>
      </c>
      <c r="B1216" s="8" t="s">
        <v>24</v>
      </c>
      <c r="C1216" s="9" t="s">
        <v>25</v>
      </c>
      <c r="D1216" s="9" t="s">
        <v>26</v>
      </c>
      <c r="E1216" s="10" t="n">
        <v>1789</v>
      </c>
      <c r="F1216" s="9" t="s">
        <v>27</v>
      </c>
      <c r="G1216" s="9" t="s">
        <v>27</v>
      </c>
      <c r="H1216" s="11" t="n">
        <v>22</v>
      </c>
      <c r="I1216" s="11" t="s">
        <v>239</v>
      </c>
      <c r="J1216" s="14" t="n">
        <v>48</v>
      </c>
      <c r="K1216" s="14"/>
      <c r="L1216" s="16"/>
      <c r="M1216" s="27" t="n">
        <f aca="false">J1216+(K1216/20)+(L1216/240)</f>
        <v>48</v>
      </c>
      <c r="N1216" s="17" t="s">
        <v>66</v>
      </c>
      <c r="O1216" s="11"/>
      <c r="P1216" s="28"/>
      <c r="Q1216" s="28" t="n">
        <f aca="false">P1216*$M1216</f>
        <v>0</v>
      </c>
      <c r="R1216" s="28"/>
      <c r="S1216" s="28" t="n">
        <f aca="false">R1216*$M1216</f>
        <v>0</v>
      </c>
      <c r="T1216" s="28" t="n">
        <v>690</v>
      </c>
      <c r="U1216" s="28" t="n">
        <v>33120</v>
      </c>
      <c r="V1216" s="28" t="n">
        <v>3577</v>
      </c>
      <c r="W1216" s="28" t="n">
        <v>171696</v>
      </c>
      <c r="X1216" s="28"/>
      <c r="Y1216" s="28" t="n">
        <f aca="false">X1216*$M1216</f>
        <v>0</v>
      </c>
      <c r="Z1216" s="28"/>
      <c r="AA1216" s="28" t="n">
        <f aca="false">Z1216*$M1216</f>
        <v>0</v>
      </c>
      <c r="AB1216" s="28"/>
      <c r="AC1216" s="28" t="n">
        <f aca="false">AB1216*$M1216</f>
        <v>0</v>
      </c>
      <c r="AD1216" s="28"/>
      <c r="AE1216" s="28" t="n">
        <f aca="false">AD1216*$M1216</f>
        <v>0</v>
      </c>
      <c r="AF1216" s="28"/>
      <c r="AG1216" s="28" t="n">
        <f aca="false">AF1216*$M1216</f>
        <v>0</v>
      </c>
      <c r="AH1216" s="28"/>
      <c r="AI1216" s="28" t="n">
        <f aca="false">AH1216*$M1216</f>
        <v>0</v>
      </c>
      <c r="AJ1216" s="28"/>
      <c r="AK1216" s="28" t="n">
        <f aca="false">AJ1216*$M1216</f>
        <v>0</v>
      </c>
      <c r="AL1216" s="28"/>
      <c r="AM1216" s="28" t="n">
        <f aca="false">AL1216*$M1216</f>
        <v>0</v>
      </c>
      <c r="AN1216" s="28"/>
      <c r="AO1216" s="28" t="n">
        <f aca="false">AN1216*$M1216</f>
        <v>0</v>
      </c>
      <c r="AP1216" s="28"/>
      <c r="AQ1216" s="28" t="n">
        <f aca="false">AP1216*$M1216</f>
        <v>0</v>
      </c>
      <c r="AR1216" s="28"/>
      <c r="AS1216" s="28" t="n">
        <f aca="false">AR1216*$M1216</f>
        <v>0</v>
      </c>
      <c r="AT1216" s="28"/>
      <c r="AU1216" s="28" t="n">
        <f aca="false">AT1216*$M1216</f>
        <v>0</v>
      </c>
      <c r="AV1216" s="28"/>
      <c r="AW1216" s="28" t="n">
        <f aca="false">AV1216*$M1216</f>
        <v>0</v>
      </c>
      <c r="AX1216" s="28"/>
      <c r="AY1216" s="28" t="n">
        <f aca="false">AX1216*$M1216</f>
        <v>0</v>
      </c>
      <c r="AZ1216" s="30" t="n">
        <v>4267</v>
      </c>
      <c r="BA1216" s="11" t="n">
        <v>204816</v>
      </c>
      <c r="BB1216" s="31" t="n">
        <f aca="false">SUM(Q1216,S1216,U1216,W1216,Y1216,AA1216,AC1216,AE1216,AG1216,AI1216,AK1216,AM1216,AO1216,AQ1216,AS1216,AU1216,AW1216,AY1216)</f>
        <v>204816</v>
      </c>
      <c r="BC1216" s="28" t="n">
        <f aca="false">BA1216-BB1216</f>
        <v>0</v>
      </c>
      <c r="BD1216" s="32" t="n">
        <f aca="false">SUM(P1216,R1216,T1216,V1216,X1216,Z1216,AB1216,AD1216,AF1216,AH1216,AJ1216,AL1216,AN1216,AP1216,AR1216,AT1216,AV1216,AX1216)</f>
        <v>4267</v>
      </c>
      <c r="BE1216" s="33" t="n">
        <f aca="false">AZ1216-BD1216</f>
        <v>0</v>
      </c>
      <c r="BF1216" s="34" t="n">
        <f aca="false">BD1216*M1216</f>
        <v>204816</v>
      </c>
      <c r="BG1216" s="35" t="n">
        <f aca="false">BA1216-BF1216</f>
        <v>0</v>
      </c>
      <c r="BH1216" s="19" t="str">
        <f aca="false">IF(BG1216=0,"",IF(BG1216&lt;&gt;BA1216,"erreur de calcul",IF(BD1216&lt;&gt;0,"pas de prix",IF(M1216&lt;&gt; 0,"pas de quantité","pas de prix, ni de quantité"))))</f>
        <v/>
      </c>
      <c r="BI1216" s="19"/>
    </row>
    <row r="1217" customFormat="false" ht="15" hidden="false" customHeight="false" outlineLevel="0" collapsed="false">
      <c r="A1217" s="0" t="n">
        <v>37</v>
      </c>
      <c r="B1217" s="8" t="s">
        <v>24</v>
      </c>
      <c r="C1217" s="9" t="s">
        <v>25</v>
      </c>
      <c r="D1217" s="9" t="s">
        <v>26</v>
      </c>
      <c r="E1217" s="10" t="n">
        <v>1789</v>
      </c>
      <c r="F1217" s="9" t="s">
        <v>27</v>
      </c>
      <c r="G1217" s="9" t="s">
        <v>27</v>
      </c>
      <c r="H1217" s="11" t="n">
        <v>22</v>
      </c>
      <c r="I1217" s="11" t="s">
        <v>240</v>
      </c>
      <c r="J1217" s="14" t="n">
        <v>30</v>
      </c>
      <c r="K1217" s="14"/>
      <c r="L1217" s="16"/>
      <c r="M1217" s="27" t="n">
        <f aca="false">J1217+(K1217/20)+(L1217/240)</f>
        <v>30</v>
      </c>
      <c r="N1217" s="17" t="s">
        <v>66</v>
      </c>
      <c r="O1217" s="11"/>
      <c r="P1217" s="28"/>
      <c r="Q1217" s="28" t="n">
        <f aca="false">P1217*$M1217</f>
        <v>0</v>
      </c>
      <c r="R1217" s="28"/>
      <c r="S1217" s="28" t="n">
        <f aca="false">R1217*$M1217</f>
        <v>0</v>
      </c>
      <c r="T1217" s="28"/>
      <c r="U1217" s="28" t="n">
        <f aca="false">T1217*$M1217</f>
        <v>0</v>
      </c>
      <c r="V1217" s="28"/>
      <c r="W1217" s="28" t="n">
        <f aca="false">V1217*$M1217</f>
        <v>0</v>
      </c>
      <c r="X1217" s="28"/>
      <c r="Y1217" s="28" t="n">
        <f aca="false">X1217*$M1217</f>
        <v>0</v>
      </c>
      <c r="Z1217" s="28"/>
      <c r="AA1217" s="28" t="n">
        <f aca="false">Z1217*$M1217</f>
        <v>0</v>
      </c>
      <c r="AB1217" s="28"/>
      <c r="AC1217" s="28" t="n">
        <f aca="false">AB1217*$M1217</f>
        <v>0</v>
      </c>
      <c r="AD1217" s="28"/>
      <c r="AE1217" s="28" t="n">
        <f aca="false">AD1217*$M1217</f>
        <v>0</v>
      </c>
      <c r="AF1217" s="28"/>
      <c r="AG1217" s="28" t="n">
        <f aca="false">AF1217*$M1217</f>
        <v>0</v>
      </c>
      <c r="AH1217" s="28" t="n">
        <v>4770</v>
      </c>
      <c r="AI1217" s="28" t="n">
        <v>143100</v>
      </c>
      <c r="AJ1217" s="28"/>
      <c r="AK1217" s="28" t="n">
        <f aca="false">AJ1217*$M1217</f>
        <v>0</v>
      </c>
      <c r="AL1217" s="28"/>
      <c r="AM1217" s="28" t="n">
        <f aca="false">AL1217*$M1217</f>
        <v>0</v>
      </c>
      <c r="AN1217" s="28"/>
      <c r="AO1217" s="28" t="n">
        <f aca="false">AN1217*$M1217</f>
        <v>0</v>
      </c>
      <c r="AP1217" s="28"/>
      <c r="AQ1217" s="28" t="n">
        <f aca="false">AP1217*$M1217</f>
        <v>0</v>
      </c>
      <c r="AR1217" s="28"/>
      <c r="AS1217" s="28" t="n">
        <f aca="false">AR1217*$M1217</f>
        <v>0</v>
      </c>
      <c r="AT1217" s="28"/>
      <c r="AU1217" s="28" t="n">
        <f aca="false">AT1217*$M1217</f>
        <v>0</v>
      </c>
      <c r="AV1217" s="28"/>
      <c r="AW1217" s="28" t="n">
        <f aca="false">AV1217*$M1217</f>
        <v>0</v>
      </c>
      <c r="AX1217" s="28"/>
      <c r="AY1217" s="28" t="n">
        <f aca="false">AX1217*$M1217</f>
        <v>0</v>
      </c>
      <c r="AZ1217" s="30" t="n">
        <v>4770</v>
      </c>
      <c r="BA1217" s="11" t="n">
        <v>143100</v>
      </c>
      <c r="BB1217" s="31" t="n">
        <f aca="false">SUM(Q1217,S1217,U1217,W1217,Y1217,AA1217,AC1217,AE1217,AG1217,AI1217,AK1217,AM1217,AO1217,AQ1217,AS1217,AU1217,AW1217,AY1217)</f>
        <v>143100</v>
      </c>
      <c r="BC1217" s="28" t="n">
        <f aca="false">BA1217-BB1217</f>
        <v>0</v>
      </c>
      <c r="BD1217" s="32" t="n">
        <f aca="false">SUM(P1217,R1217,T1217,V1217,X1217,Z1217,AB1217,AD1217,AF1217,AH1217,AJ1217,AL1217,AN1217,AP1217,AR1217,AT1217,AV1217,AX1217)</f>
        <v>4770</v>
      </c>
      <c r="BE1217" s="33" t="n">
        <f aca="false">AZ1217-BD1217</f>
        <v>0</v>
      </c>
      <c r="BF1217" s="34" t="n">
        <f aca="false">BD1217*M1217</f>
        <v>143100</v>
      </c>
      <c r="BG1217" s="35" t="n">
        <f aca="false">BA1217-BF1217</f>
        <v>0</v>
      </c>
      <c r="BH1217" s="19" t="str">
        <f aca="false">IF(BG1217=0,"",IF(BG1217&lt;&gt;BA1217,"erreur de calcul",IF(BD1217&lt;&gt;0,"pas de prix",IF(M1217&lt;&gt; 0,"pas de quantité","pas de prix, ni de quantité"))))</f>
        <v/>
      </c>
      <c r="BI1217" s="19"/>
    </row>
    <row r="1218" customFormat="false" ht="15" hidden="false" customHeight="false" outlineLevel="0" collapsed="false">
      <c r="A1218" s="0" t="n">
        <v>38</v>
      </c>
      <c r="B1218" s="8" t="s">
        <v>24</v>
      </c>
      <c r="C1218" s="9" t="s">
        <v>25</v>
      </c>
      <c r="D1218" s="9" t="s">
        <v>26</v>
      </c>
      <c r="E1218" s="10" t="n">
        <v>1789</v>
      </c>
      <c r="F1218" s="9" t="s">
        <v>27</v>
      </c>
      <c r="G1218" s="9" t="s">
        <v>27</v>
      </c>
      <c r="H1218" s="11" t="n">
        <v>22</v>
      </c>
      <c r="I1218" s="11" t="s">
        <v>241</v>
      </c>
      <c r="J1218" s="14" t="n">
        <v>24</v>
      </c>
      <c r="K1218" s="14"/>
      <c r="L1218" s="16"/>
      <c r="M1218" s="27" t="n">
        <f aca="false">J1218+(K1218/20)+(L1218/240)</f>
        <v>24</v>
      </c>
      <c r="N1218" s="17" t="s">
        <v>64</v>
      </c>
      <c r="O1218" s="11"/>
      <c r="P1218" s="28" t="n">
        <f aca="false">188958/100</f>
        <v>1889.58</v>
      </c>
      <c r="Q1218" s="28" t="n">
        <v>45350</v>
      </c>
      <c r="R1218" s="28"/>
      <c r="S1218" s="28" t="n">
        <f aca="false">R1218*$M1218</f>
        <v>0</v>
      </c>
      <c r="T1218" s="28"/>
      <c r="U1218" s="28" t="n">
        <f aca="false">T1218*$M1218</f>
        <v>0</v>
      </c>
      <c r="V1218" s="28" t="n">
        <f aca="false">10567/100</f>
        <v>105.67</v>
      </c>
      <c r="W1218" s="28" t="n">
        <v>2536</v>
      </c>
      <c r="X1218" s="28" t="n">
        <f aca="false">9467/100</f>
        <v>94.67</v>
      </c>
      <c r="Y1218" s="28" t="n">
        <v>2272</v>
      </c>
      <c r="Z1218" s="28"/>
      <c r="AA1218" s="28" t="n">
        <f aca="false">Z1218*$M1218</f>
        <v>0</v>
      </c>
      <c r="AB1218" s="28"/>
      <c r="AC1218" s="28" t="n">
        <f aca="false">AB1218*$M1218</f>
        <v>0</v>
      </c>
      <c r="AD1218" s="28"/>
      <c r="AE1218" s="28" t="n">
        <f aca="false">AD1218*$M1218</f>
        <v>0</v>
      </c>
      <c r="AF1218" s="28"/>
      <c r="AG1218" s="28" t="n">
        <f aca="false">AF1218*$M1218</f>
        <v>0</v>
      </c>
      <c r="AH1218" s="28"/>
      <c r="AI1218" s="28" t="n">
        <f aca="false">AH1218*$M1218</f>
        <v>0</v>
      </c>
      <c r="AJ1218" s="28"/>
      <c r="AK1218" s="28" t="n">
        <f aca="false">AJ1218*$M1218</f>
        <v>0</v>
      </c>
      <c r="AL1218" s="28"/>
      <c r="AM1218" s="28" t="n">
        <f aca="false">AL1218*$M1218</f>
        <v>0</v>
      </c>
      <c r="AN1218" s="28"/>
      <c r="AO1218" s="28" t="n">
        <f aca="false">AN1218*$M1218</f>
        <v>0</v>
      </c>
      <c r="AP1218" s="28"/>
      <c r="AQ1218" s="28" t="n">
        <f aca="false">AP1218*$M1218</f>
        <v>0</v>
      </c>
      <c r="AR1218" s="28"/>
      <c r="AS1218" s="28" t="n">
        <f aca="false">AR1218*$M1218</f>
        <v>0</v>
      </c>
      <c r="AT1218" s="28"/>
      <c r="AU1218" s="28" t="n">
        <f aca="false">AT1218*$M1218</f>
        <v>0</v>
      </c>
      <c r="AV1218" s="28"/>
      <c r="AW1218" s="28" t="n">
        <f aca="false">AV1218*$M1218</f>
        <v>0</v>
      </c>
      <c r="AX1218" s="28" t="n">
        <f aca="false">328659/100</f>
        <v>3286.59</v>
      </c>
      <c r="AY1218" s="28" t="n">
        <v>78878</v>
      </c>
      <c r="AZ1218" s="30" t="n">
        <f aca="false">537651/100</f>
        <v>5376.51</v>
      </c>
      <c r="BA1218" s="11" t="n">
        <v>129036</v>
      </c>
      <c r="BB1218" s="31" t="n">
        <f aca="false">SUM(Q1218,S1218,U1218,W1218,Y1218,AA1218,AC1218,AE1218,AG1218,AI1218,AK1218,AM1218,AO1218,AQ1218,AS1218,AU1218,AW1218,AY1218)</f>
        <v>129036</v>
      </c>
      <c r="BC1218" s="28" t="n">
        <f aca="false">BA1218-BB1218</f>
        <v>0</v>
      </c>
      <c r="BD1218" s="32" t="n">
        <f aca="false">SUM(P1218,R1218,T1218,V1218,X1218,Z1218,AB1218,AD1218,AF1218,AH1218,AJ1218,AL1218,AN1218,AP1218,AR1218,AT1218,AV1218,AX1218)</f>
        <v>5376.51</v>
      </c>
      <c r="BE1218" s="33" t="n">
        <f aca="false">AZ1218-BD1218</f>
        <v>0</v>
      </c>
      <c r="BF1218" s="34" t="n">
        <f aca="false">BD1218*M1218</f>
        <v>129036.24</v>
      </c>
      <c r="BG1218" s="35" t="n">
        <f aca="false">BA1218-BF1218</f>
        <v>-0.240000000005239</v>
      </c>
      <c r="BH1218" s="19" t="str">
        <f aca="false">IF(BG1218=0,"",IF(BG1218&lt;&gt;BA1218,"erreur de calcul",IF(BD1218&lt;&gt;0,"pas de prix",IF(M1218&lt;&gt; 0,"pas de quantité","pas de prix, ni de quantité"))))</f>
        <v>erreur de calcul</v>
      </c>
      <c r="BI1218" s="19"/>
    </row>
    <row r="1219" customFormat="false" ht="15" hidden="false" customHeight="false" outlineLevel="0" collapsed="false">
      <c r="A1219" s="0" t="n">
        <v>39</v>
      </c>
      <c r="B1219" s="8" t="s">
        <v>24</v>
      </c>
      <c r="C1219" s="9" t="s">
        <v>25</v>
      </c>
      <c r="D1219" s="9" t="s">
        <v>26</v>
      </c>
      <c r="E1219" s="10" t="n">
        <v>1789</v>
      </c>
      <c r="F1219" s="9" t="s">
        <v>27</v>
      </c>
      <c r="G1219" s="9" t="s">
        <v>27</v>
      </c>
      <c r="H1219" s="11" t="n">
        <v>22</v>
      </c>
      <c r="I1219" s="11" t="s">
        <v>242</v>
      </c>
      <c r="J1219" s="14" t="n">
        <v>41</v>
      </c>
      <c r="K1219" s="14"/>
      <c r="L1219" s="16"/>
      <c r="M1219" s="27" t="n">
        <f aca="false">J1219+(K1219/20)+(L1219/240)</f>
        <v>41</v>
      </c>
      <c r="N1219" s="17" t="s">
        <v>64</v>
      </c>
      <c r="O1219" s="11"/>
      <c r="P1219" s="28"/>
      <c r="Q1219" s="28" t="n">
        <f aca="false">P1219*$M1219</f>
        <v>0</v>
      </c>
      <c r="R1219" s="28"/>
      <c r="S1219" s="28" t="n">
        <f aca="false">R1219*$M1219</f>
        <v>0</v>
      </c>
      <c r="T1219" s="28" t="n">
        <f aca="false">441/100</f>
        <v>4.41</v>
      </c>
      <c r="U1219" s="28" t="n">
        <v>181</v>
      </c>
      <c r="V1219" s="28"/>
      <c r="W1219" s="28" t="n">
        <f aca="false">V1219*$M1219</f>
        <v>0</v>
      </c>
      <c r="X1219" s="28"/>
      <c r="Y1219" s="28" t="n">
        <f aca="false">X1219*$M1219</f>
        <v>0</v>
      </c>
      <c r="Z1219" s="28"/>
      <c r="AA1219" s="28" t="n">
        <f aca="false">Z1219*$M1219</f>
        <v>0</v>
      </c>
      <c r="AB1219" s="28"/>
      <c r="AC1219" s="28" t="n">
        <f aca="false">AB1219*$M1219</f>
        <v>0</v>
      </c>
      <c r="AD1219" s="28"/>
      <c r="AE1219" s="28" t="n">
        <f aca="false">AD1219*$M1219</f>
        <v>0</v>
      </c>
      <c r="AF1219" s="28"/>
      <c r="AG1219" s="28" t="n">
        <f aca="false">AF1219*$M1219</f>
        <v>0</v>
      </c>
      <c r="AH1219" s="28"/>
      <c r="AI1219" s="28" t="n">
        <f aca="false">AH1219*$M1219</f>
        <v>0</v>
      </c>
      <c r="AJ1219" s="28"/>
      <c r="AK1219" s="28" t="n">
        <f aca="false">AJ1219*$M1219</f>
        <v>0</v>
      </c>
      <c r="AL1219" s="28"/>
      <c r="AM1219" s="28" t="n">
        <f aca="false">AL1219*$M1219</f>
        <v>0</v>
      </c>
      <c r="AN1219" s="28"/>
      <c r="AO1219" s="28" t="n">
        <f aca="false">AN1219*$M1219</f>
        <v>0</v>
      </c>
      <c r="AP1219" s="28"/>
      <c r="AQ1219" s="28" t="n">
        <f aca="false">AP1219*$M1219</f>
        <v>0</v>
      </c>
      <c r="AR1219" s="28"/>
      <c r="AS1219" s="28" t="n">
        <f aca="false">AR1219*$M1219</f>
        <v>0</v>
      </c>
      <c r="AT1219" s="28"/>
      <c r="AU1219" s="28" t="n">
        <f aca="false">AT1219*$M1219</f>
        <v>0</v>
      </c>
      <c r="AV1219" s="28"/>
      <c r="AW1219" s="28" t="n">
        <f aca="false">AV1219*$M1219</f>
        <v>0</v>
      </c>
      <c r="AX1219" s="28"/>
      <c r="AY1219" s="28" t="n">
        <f aca="false">AX1219*$M1219</f>
        <v>0</v>
      </c>
      <c r="AZ1219" s="30" t="n">
        <f aca="false">441/100</f>
        <v>4.41</v>
      </c>
      <c r="BA1219" s="11" t="n">
        <v>181</v>
      </c>
      <c r="BB1219" s="31" t="n">
        <f aca="false">SUM(Q1219,S1219,U1219,W1219,Y1219,AA1219,AC1219,AE1219,AG1219,AI1219,AK1219,AM1219,AO1219,AQ1219,AS1219,AU1219,AW1219,AY1219)</f>
        <v>181</v>
      </c>
      <c r="BC1219" s="28" t="n">
        <f aca="false">BA1219-BB1219</f>
        <v>0</v>
      </c>
      <c r="BD1219" s="32" t="n">
        <f aca="false">SUM(P1219,R1219,T1219,V1219,X1219,Z1219,AB1219,AD1219,AF1219,AH1219,AJ1219,AL1219,AN1219,AP1219,AR1219,AT1219,AV1219,AX1219)</f>
        <v>4.41</v>
      </c>
      <c r="BE1219" s="33" t="n">
        <f aca="false">AZ1219-BD1219</f>
        <v>0</v>
      </c>
      <c r="BF1219" s="34" t="n">
        <f aca="false">BD1219*M1219</f>
        <v>180.81</v>
      </c>
      <c r="BG1219" s="35" t="n">
        <f aca="false">BA1219-BF1219</f>
        <v>0.189999999999998</v>
      </c>
      <c r="BH1219" s="19" t="str">
        <f aca="false">IF(BG1219=0,"",IF(BG1219&lt;&gt;BA1219,"erreur de calcul",IF(BD1219&lt;&gt;0,"pas de prix",IF(M1219&lt;&gt; 0,"pas de quantité","pas de prix, ni de quantité"))))</f>
        <v>erreur de calcul</v>
      </c>
      <c r="BI1219" s="19"/>
    </row>
    <row r="1220" customFormat="false" ht="15" hidden="false" customHeight="false" outlineLevel="0" collapsed="false">
      <c r="A1220" s="0" t="n">
        <v>1</v>
      </c>
      <c r="B1220" s="8" t="s">
        <v>24</v>
      </c>
      <c r="C1220" s="9" t="s">
        <v>25</v>
      </c>
      <c r="D1220" s="9" t="s">
        <v>26</v>
      </c>
      <c r="E1220" s="10" t="n">
        <v>1789</v>
      </c>
      <c r="F1220" s="9" t="s">
        <v>27</v>
      </c>
      <c r="G1220" s="9" t="s">
        <v>27</v>
      </c>
      <c r="H1220" s="11" t="n">
        <v>23</v>
      </c>
      <c r="I1220" s="11" t="s">
        <v>243</v>
      </c>
      <c r="J1220" s="14"/>
      <c r="K1220" s="14"/>
      <c r="L1220" s="16"/>
      <c r="M1220" s="27" t="n">
        <f aca="false">J1220+(K1220/20)+(L1220/240)</f>
        <v>0</v>
      </c>
      <c r="N1220" s="17"/>
      <c r="O1220" s="11"/>
      <c r="P1220" s="28"/>
      <c r="Q1220" s="28" t="n">
        <f aca="false">P1220*$M1220</f>
        <v>0</v>
      </c>
      <c r="R1220" s="28"/>
      <c r="S1220" s="28" t="n">
        <f aca="false">R1220*$M1220</f>
        <v>0</v>
      </c>
      <c r="T1220" s="28"/>
      <c r="U1220" s="28" t="n">
        <f aca="false">T1220*$M1220</f>
        <v>0</v>
      </c>
      <c r="V1220" s="28"/>
      <c r="W1220" s="28" t="n">
        <v>100</v>
      </c>
      <c r="X1220" s="28"/>
      <c r="Y1220" s="28" t="n">
        <v>563</v>
      </c>
      <c r="Z1220" s="28"/>
      <c r="AA1220" s="28" t="n">
        <f aca="false">Z1220*$M1220</f>
        <v>0</v>
      </c>
      <c r="AB1220" s="28"/>
      <c r="AC1220" s="28" t="n">
        <f aca="false">AB1220*$M1220</f>
        <v>0</v>
      </c>
      <c r="AD1220" s="28"/>
      <c r="AE1220" s="28" t="n">
        <f aca="false">AD1220*$M1220</f>
        <v>0</v>
      </c>
      <c r="AF1220" s="28"/>
      <c r="AG1220" s="28" t="n">
        <f aca="false">AF1220*$M1220</f>
        <v>0</v>
      </c>
      <c r="AH1220" s="28"/>
      <c r="AI1220" s="28" t="n">
        <f aca="false">AH1220*$M1220</f>
        <v>0</v>
      </c>
      <c r="AJ1220" s="28"/>
      <c r="AK1220" s="28" t="n">
        <v>1015</v>
      </c>
      <c r="AL1220" s="28"/>
      <c r="AM1220" s="28" t="n">
        <f aca="false">AL1220*$M1220</f>
        <v>0</v>
      </c>
      <c r="AN1220" s="28"/>
      <c r="AO1220" s="28" t="n">
        <f aca="false">AN1220*$M1220</f>
        <v>0</v>
      </c>
      <c r="AP1220" s="28"/>
      <c r="AQ1220" s="28" t="n">
        <f aca="false">AP1220*$M1220</f>
        <v>0</v>
      </c>
      <c r="AR1220" s="28"/>
      <c r="AS1220" s="28" t="n">
        <f aca="false">AR1220*$M1220</f>
        <v>0</v>
      </c>
      <c r="AT1220" s="28"/>
      <c r="AU1220" s="28" t="n">
        <f aca="false">AT1220*$M1220</f>
        <v>0</v>
      </c>
      <c r="AV1220" s="28"/>
      <c r="AW1220" s="28" t="n">
        <f aca="false">AV1220*$M1220</f>
        <v>0</v>
      </c>
      <c r="AX1220" s="28"/>
      <c r="AY1220" s="28" t="n">
        <f aca="false">AX1220*$M1220</f>
        <v>0</v>
      </c>
      <c r="AZ1220" s="30"/>
      <c r="BA1220" s="11" t="n">
        <v>1678</v>
      </c>
      <c r="BB1220" s="31" t="n">
        <f aca="false">SUM(Q1220,S1220,U1220,W1220,Y1220,AA1220,AC1220,AE1220,AG1220,AI1220,AK1220,AM1220,AO1220,AQ1220,AS1220,AU1220,AW1220,AY1220)</f>
        <v>1678</v>
      </c>
      <c r="BC1220" s="28" t="n">
        <f aca="false">BA1220-BB1220</f>
        <v>0</v>
      </c>
      <c r="BD1220" s="32" t="n">
        <f aca="false">SUM(P1220,R1220,T1220,V1220,X1220,Z1220,AB1220,AD1220,AF1220,AH1220,AJ1220,AL1220,AN1220,AP1220,AR1220,AT1220,AV1220,AX1220)</f>
        <v>0</v>
      </c>
      <c r="BE1220" s="33" t="n">
        <f aca="false">AZ1220-BD1220</f>
        <v>0</v>
      </c>
      <c r="BF1220" s="34" t="n">
        <f aca="false">BD1220*M1220</f>
        <v>0</v>
      </c>
      <c r="BG1220" s="35" t="n">
        <f aca="false">BA1220-BF1220</f>
        <v>1678</v>
      </c>
      <c r="BH1220" s="19" t="str">
        <f aca="false">IF(BG1220=0,"",IF(BG1220&lt;&gt;BA1220,"erreur de calcul",IF(BD1220&lt;&gt;0,"pas de prix",IF(M1220&lt;&gt; 0,"pas de quantité","pas de prix, ni de quantité"))))</f>
        <v>pas de prix, ni de quantité</v>
      </c>
      <c r="BI1220" s="19"/>
    </row>
    <row r="1221" customFormat="false" ht="15" hidden="false" customHeight="false" outlineLevel="0" collapsed="false">
      <c r="A1221" s="0" t="n">
        <v>2</v>
      </c>
      <c r="B1221" s="8" t="s">
        <v>24</v>
      </c>
      <c r="C1221" s="9" t="s">
        <v>25</v>
      </c>
      <c r="D1221" s="9" t="s">
        <v>26</v>
      </c>
      <c r="E1221" s="10" t="n">
        <v>1789</v>
      </c>
      <c r="F1221" s="9" t="s">
        <v>27</v>
      </c>
      <c r="G1221" s="9" t="s">
        <v>27</v>
      </c>
      <c r="H1221" s="11" t="n">
        <v>23</v>
      </c>
      <c r="I1221" s="11" t="s">
        <v>244</v>
      </c>
      <c r="J1221" s="14" t="n">
        <v>22</v>
      </c>
      <c r="K1221" s="14"/>
      <c r="L1221" s="16"/>
      <c r="M1221" s="27" t="n">
        <f aca="false">J1221+(K1221/20)+(L1221/240)</f>
        <v>22</v>
      </c>
      <c r="N1221" s="17" t="s">
        <v>64</v>
      </c>
      <c r="O1221" s="11"/>
      <c r="P1221" s="28"/>
      <c r="Q1221" s="28" t="n">
        <f aca="false">P1221*$M1221</f>
        <v>0</v>
      </c>
      <c r="R1221" s="28"/>
      <c r="S1221" s="28" t="n">
        <f aca="false">R1221*$M1221</f>
        <v>0</v>
      </c>
      <c r="T1221" s="28"/>
      <c r="U1221" s="28" t="n">
        <f aca="false">T1221*$M1221</f>
        <v>0</v>
      </c>
      <c r="V1221" s="28" t="n">
        <f aca="false">15346/100</f>
        <v>153.46</v>
      </c>
      <c r="W1221" s="28" t="n">
        <v>3376</v>
      </c>
      <c r="X1221" s="28"/>
      <c r="Y1221" s="28" t="n">
        <f aca="false">X1221*$M1221</f>
        <v>0</v>
      </c>
      <c r="Z1221" s="28"/>
      <c r="AA1221" s="28" t="n">
        <f aca="false">Z1221*$M1221</f>
        <v>0</v>
      </c>
      <c r="AB1221" s="28"/>
      <c r="AC1221" s="28" t="n">
        <f aca="false">AB1221*$M1221</f>
        <v>0</v>
      </c>
      <c r="AD1221" s="28"/>
      <c r="AE1221" s="28" t="n">
        <f aca="false">AD1221*$M1221</f>
        <v>0</v>
      </c>
      <c r="AF1221" s="28"/>
      <c r="AG1221" s="28" t="n">
        <f aca="false">AF1221*$M1221</f>
        <v>0</v>
      </c>
      <c r="AH1221" s="28"/>
      <c r="AI1221" s="28" t="n">
        <f aca="false">AH1221*$M1221</f>
        <v>0</v>
      </c>
      <c r="AJ1221" s="28" t="n">
        <f aca="false">9084/100</f>
        <v>90.84</v>
      </c>
      <c r="AK1221" s="28" t="n">
        <v>1998</v>
      </c>
      <c r="AL1221" s="28" t="n">
        <f aca="false">8917/100</f>
        <v>89.17</v>
      </c>
      <c r="AM1221" s="28" t="n">
        <v>1962</v>
      </c>
      <c r="AN1221" s="28"/>
      <c r="AO1221" s="28" t="n">
        <f aca="false">AN1221*$M1221</f>
        <v>0</v>
      </c>
      <c r="AP1221" s="28"/>
      <c r="AQ1221" s="28" t="n">
        <f aca="false">AP1221*$M1221</f>
        <v>0</v>
      </c>
      <c r="AR1221" s="28"/>
      <c r="AS1221" s="28" t="n">
        <f aca="false">AR1221*$M1221</f>
        <v>0</v>
      </c>
      <c r="AT1221" s="28"/>
      <c r="AU1221" s="28" t="n">
        <f aca="false">AT1221*$M1221</f>
        <v>0</v>
      </c>
      <c r="AV1221" s="28"/>
      <c r="AW1221" s="28" t="n">
        <f aca="false">AV1221*$M1221</f>
        <v>0</v>
      </c>
      <c r="AX1221" s="28"/>
      <c r="AY1221" s="28" t="n">
        <f aca="false">AX1221*$M1221</f>
        <v>0</v>
      </c>
      <c r="AZ1221" s="30" t="n">
        <f aca="false">3347/100</f>
        <v>33.47</v>
      </c>
      <c r="BA1221" s="11" t="n">
        <v>7336</v>
      </c>
      <c r="BB1221" s="31" t="n">
        <f aca="false">SUM(Q1221,S1221,U1221,W1221,Y1221,AA1221,AC1221,AE1221,AG1221,AI1221,AK1221,AM1221,AO1221,AQ1221,AS1221,AU1221,AW1221,AY1221)</f>
        <v>7336</v>
      </c>
      <c r="BC1221" s="28" t="n">
        <f aca="false">BA1221-BB1221</f>
        <v>0</v>
      </c>
      <c r="BD1221" s="32" t="n">
        <f aca="false">SUM(P1221,R1221,T1221,V1221,X1221,Z1221,AB1221,AD1221,AF1221,AH1221,AJ1221,AL1221,AN1221,AP1221,AR1221,AT1221,AV1221,AX1221)</f>
        <v>333.47</v>
      </c>
      <c r="BE1221" s="33" t="n">
        <f aca="false">AZ1221-BD1221</f>
        <v>-300</v>
      </c>
      <c r="BF1221" s="34" t="n">
        <f aca="false">BD1221*M1221</f>
        <v>7336.34</v>
      </c>
      <c r="BG1221" s="35" t="n">
        <f aca="false">BA1221-BF1221</f>
        <v>-0.340000000000146</v>
      </c>
      <c r="BH1221" s="19" t="str">
        <f aca="false">IF(BG1221=0,"",IF(BG1221&lt;&gt;BA1221,"erreur de calcul",IF(BD1221&lt;&gt;0,"pas de prix",IF(M1221&lt;&gt; 0,"pas de quantité","pas de prix, ni de quantité"))))</f>
        <v>erreur de calcul</v>
      </c>
      <c r="BI1221" s="19"/>
    </row>
    <row r="1222" customFormat="false" ht="15" hidden="false" customHeight="false" outlineLevel="0" collapsed="false">
      <c r="A1222" s="0" t="n">
        <v>3</v>
      </c>
      <c r="B1222" s="8" t="s">
        <v>24</v>
      </c>
      <c r="C1222" s="9" t="s">
        <v>25</v>
      </c>
      <c r="D1222" s="9" t="s">
        <v>26</v>
      </c>
      <c r="E1222" s="10" t="n">
        <v>1789</v>
      </c>
      <c r="F1222" s="9" t="s">
        <v>27</v>
      </c>
      <c r="G1222" s="9" t="s">
        <v>27</v>
      </c>
      <c r="H1222" s="11" t="n">
        <v>23</v>
      </c>
      <c r="I1222" s="11" t="s">
        <v>245</v>
      </c>
      <c r="J1222" s="14" t="n">
        <v>28</v>
      </c>
      <c r="K1222" s="14"/>
      <c r="L1222" s="16"/>
      <c r="M1222" s="27" t="n">
        <f aca="false">J1222+(K1222/20)+(L1222/240)</f>
        <v>28</v>
      </c>
      <c r="N1222" s="17" t="s">
        <v>64</v>
      </c>
      <c r="O1222" s="11"/>
      <c r="P1222" s="28"/>
      <c r="Q1222" s="28" t="n">
        <f aca="false">P1222*$M1222</f>
        <v>0</v>
      </c>
      <c r="R1222" s="28"/>
      <c r="S1222" s="28" t="n">
        <f aca="false">R1222*$M1222</f>
        <v>0</v>
      </c>
      <c r="T1222" s="28"/>
      <c r="U1222" s="28" t="n">
        <f aca="false">T1222*$M1222</f>
        <v>0</v>
      </c>
      <c r="V1222" s="28" t="n">
        <f aca="false">61654/100</f>
        <v>616.54</v>
      </c>
      <c r="W1222" s="28" t="n">
        <v>17263</v>
      </c>
      <c r="X1222" s="28"/>
      <c r="Y1222" s="28" t="n">
        <f aca="false">X1222*$M1222</f>
        <v>0</v>
      </c>
      <c r="Z1222" s="28"/>
      <c r="AA1222" s="28" t="n">
        <f aca="false">Z1222*$M1222</f>
        <v>0</v>
      </c>
      <c r="AB1222" s="28"/>
      <c r="AC1222" s="28" t="n">
        <f aca="false">AB1222*$M1222</f>
        <v>0</v>
      </c>
      <c r="AD1222" s="28"/>
      <c r="AE1222" s="28" t="n">
        <f aca="false">AD1222*$M1222</f>
        <v>0</v>
      </c>
      <c r="AF1222" s="28"/>
      <c r="AG1222" s="28" t="n">
        <f aca="false">AF1222*$M1222</f>
        <v>0</v>
      </c>
      <c r="AH1222" s="28"/>
      <c r="AI1222" s="28" t="n">
        <f aca="false">AH1222*$M1222</f>
        <v>0</v>
      </c>
      <c r="AJ1222" s="28"/>
      <c r="AK1222" s="28" t="n">
        <f aca="false">AJ1222*$M1222</f>
        <v>0</v>
      </c>
      <c r="AL1222" s="28" t="n">
        <f aca="false">6250/100</f>
        <v>62.5</v>
      </c>
      <c r="AM1222" s="28" t="n">
        <v>1750</v>
      </c>
      <c r="AN1222" s="28"/>
      <c r="AO1222" s="28" t="n">
        <f aca="false">AN1222*$M1222</f>
        <v>0</v>
      </c>
      <c r="AP1222" s="28"/>
      <c r="AQ1222" s="28" t="n">
        <f aca="false">AP1222*$M1222</f>
        <v>0</v>
      </c>
      <c r="AR1222" s="28"/>
      <c r="AS1222" s="28" t="n">
        <f aca="false">AR1222*$M1222</f>
        <v>0</v>
      </c>
      <c r="AT1222" s="28"/>
      <c r="AU1222" s="28" t="n">
        <f aca="false">AT1222*$M1222</f>
        <v>0</v>
      </c>
      <c r="AV1222" s="28"/>
      <c r="AW1222" s="28" t="n">
        <f aca="false">AV1222*$M1222</f>
        <v>0</v>
      </c>
      <c r="AX1222" s="28"/>
      <c r="AY1222" s="28" t="n">
        <f aca="false">AX1222*$M1222</f>
        <v>0</v>
      </c>
      <c r="AZ1222" s="30" t="n">
        <f aca="false">67904/100</f>
        <v>679.04</v>
      </c>
      <c r="BA1222" s="11" t="n">
        <v>19013</v>
      </c>
      <c r="BB1222" s="31" t="n">
        <f aca="false">SUM(Q1222,S1222,U1222,W1222,Y1222,AA1222,AC1222,AE1222,AG1222,AI1222,AK1222,AM1222,AO1222,AQ1222,AS1222,AU1222,AW1222,AY1222)</f>
        <v>19013</v>
      </c>
      <c r="BC1222" s="28" t="n">
        <f aca="false">BA1222-BB1222</f>
        <v>0</v>
      </c>
      <c r="BD1222" s="32" t="n">
        <f aca="false">SUM(P1222,R1222,T1222,V1222,X1222,Z1222,AB1222,AD1222,AF1222,AH1222,AJ1222,AL1222,AN1222,AP1222,AR1222,AT1222,AV1222,AX1222)</f>
        <v>679.04</v>
      </c>
      <c r="BE1222" s="33" t="n">
        <f aca="false">AZ1222-BD1222</f>
        <v>0</v>
      </c>
      <c r="BF1222" s="34" t="n">
        <f aca="false">BD1222*M1222</f>
        <v>19013.12</v>
      </c>
      <c r="BG1222" s="35" t="n">
        <f aca="false">BA1222-BF1222</f>
        <v>-0.119999999998981</v>
      </c>
      <c r="BH1222" s="19" t="str">
        <f aca="false">IF(BG1222=0,"",IF(BG1222&lt;&gt;BA1222,"erreur de calcul",IF(BD1222&lt;&gt;0,"pas de prix",IF(M1222&lt;&gt; 0,"pas de quantité","pas de prix, ni de quantité"))))</f>
        <v>erreur de calcul</v>
      </c>
      <c r="BI1222" s="19"/>
    </row>
    <row r="1223" customFormat="false" ht="15" hidden="false" customHeight="false" outlineLevel="0" collapsed="false">
      <c r="A1223" s="0" t="n">
        <v>4</v>
      </c>
      <c r="B1223" s="8" t="s">
        <v>24</v>
      </c>
      <c r="C1223" s="9" t="s">
        <v>25</v>
      </c>
      <c r="D1223" s="9" t="s">
        <v>26</v>
      </c>
      <c r="E1223" s="10" t="n">
        <v>1789</v>
      </c>
      <c r="F1223" s="9" t="s">
        <v>27</v>
      </c>
      <c r="G1223" s="9" t="s">
        <v>27</v>
      </c>
      <c r="H1223" s="11" t="n">
        <v>23</v>
      </c>
      <c r="I1223" s="11" t="s">
        <v>246</v>
      </c>
      <c r="J1223" s="14" t="n">
        <v>17</v>
      </c>
      <c r="K1223" s="14"/>
      <c r="L1223" s="16"/>
      <c r="M1223" s="27" t="n">
        <f aca="false">J1223+(K1223/20)+(L1223/240)</f>
        <v>17</v>
      </c>
      <c r="N1223" s="17" t="s">
        <v>64</v>
      </c>
      <c r="O1223" s="11"/>
      <c r="P1223" s="28"/>
      <c r="Q1223" s="28" t="n">
        <f aca="false">P1223*$M1223</f>
        <v>0</v>
      </c>
      <c r="R1223" s="28"/>
      <c r="S1223" s="28" t="n">
        <f aca="false">R1223*$M1223</f>
        <v>0</v>
      </c>
      <c r="T1223" s="28" t="n">
        <f aca="false">25000/100</f>
        <v>250</v>
      </c>
      <c r="U1223" s="28" t="n">
        <v>4250</v>
      </c>
      <c r="V1223" s="28" t="n">
        <f aca="false">78153/100</f>
        <v>781.53</v>
      </c>
      <c r="W1223" s="28" t="n">
        <v>13286</v>
      </c>
      <c r="X1223" s="28"/>
      <c r="Y1223" s="28" t="n">
        <f aca="false">X1223*$M1223</f>
        <v>0</v>
      </c>
      <c r="Z1223" s="28"/>
      <c r="AA1223" s="28" t="n">
        <f aca="false">Z1223*$M1223</f>
        <v>0</v>
      </c>
      <c r="AB1223" s="28"/>
      <c r="AC1223" s="28" t="n">
        <f aca="false">AB1223*$M1223</f>
        <v>0</v>
      </c>
      <c r="AD1223" s="28"/>
      <c r="AE1223" s="28" t="n">
        <f aca="false">AD1223*$M1223</f>
        <v>0</v>
      </c>
      <c r="AF1223" s="28"/>
      <c r="AG1223" s="28" t="n">
        <f aca="false">AF1223*$M1223</f>
        <v>0</v>
      </c>
      <c r="AH1223" s="28"/>
      <c r="AI1223" s="28" t="n">
        <f aca="false">AH1223*$M1223</f>
        <v>0</v>
      </c>
      <c r="AJ1223" s="28" t="n">
        <f aca="false">113774/100</f>
        <v>1137.74</v>
      </c>
      <c r="AK1223" s="28" t="n">
        <v>19341</v>
      </c>
      <c r="AL1223" s="28" t="n">
        <f aca="false">749547/100</f>
        <v>7495.47</v>
      </c>
      <c r="AM1223" s="28" t="n">
        <v>127423</v>
      </c>
      <c r="AN1223" s="28"/>
      <c r="AO1223" s="28" t="n">
        <f aca="false">AN1223*$M1223</f>
        <v>0</v>
      </c>
      <c r="AP1223" s="28" t="n">
        <f aca="false">578251/100</f>
        <v>5782.51</v>
      </c>
      <c r="AQ1223" s="28" t="n">
        <v>98303</v>
      </c>
      <c r="AR1223" s="28" t="n">
        <f aca="false">9141217/100</f>
        <v>91412.17</v>
      </c>
      <c r="AS1223" s="28" t="n">
        <v>1554007</v>
      </c>
      <c r="AT1223" s="28"/>
      <c r="AU1223" s="28" t="n">
        <f aca="false">AT1223*$M1223</f>
        <v>0</v>
      </c>
      <c r="AV1223" s="28" t="n">
        <f aca="false">314570/100</f>
        <v>3145.7</v>
      </c>
      <c r="AW1223" s="28" t="n">
        <v>53477</v>
      </c>
      <c r="AX1223" s="28"/>
      <c r="AY1223" s="28" t="n">
        <f aca="false">AX1223*$M1223</f>
        <v>0</v>
      </c>
      <c r="AZ1223" s="30" t="n">
        <f aca="false">11004767/100</f>
        <v>110047.67</v>
      </c>
      <c r="BA1223" s="11" t="n">
        <v>1870087</v>
      </c>
      <c r="BB1223" s="31" t="n">
        <f aca="false">SUM(Q1223,S1223,U1223,W1223,Y1223,AA1223,AC1223,AE1223,AG1223,AI1223,AK1223,AM1223,AO1223,AQ1223,AS1223,AU1223,AW1223,AY1223)</f>
        <v>1870087</v>
      </c>
      <c r="BC1223" s="28" t="n">
        <f aca="false">BA1223-BB1223</f>
        <v>0</v>
      </c>
      <c r="BD1223" s="32" t="n">
        <f aca="false">SUM(P1223,R1223,T1223,V1223,X1223,Z1223,AB1223,AD1223,AF1223,AH1223,AJ1223,AL1223,AN1223,AP1223,AR1223,AT1223,AV1223,AX1223)</f>
        <v>110005.12</v>
      </c>
      <c r="BE1223" s="33" t="n">
        <f aca="false">AZ1223-BD1223</f>
        <v>42.5500000000029</v>
      </c>
      <c r="BF1223" s="34" t="n">
        <f aca="false">BD1223*M1223</f>
        <v>1870087.04</v>
      </c>
      <c r="BG1223" s="35" t="n">
        <f aca="false">BA1223-BF1223</f>
        <v>-0.0400000000372529</v>
      </c>
      <c r="BH1223" s="19" t="str">
        <f aca="false">IF(BG1223=0,"",IF(BG1223&lt;&gt;BA1223,"erreur de calcul",IF(BD1223&lt;&gt;0,"pas de prix",IF(M1223&lt;&gt; 0,"pas de quantité","pas de prix, ni de quantité"))))</f>
        <v>erreur de calcul</v>
      </c>
      <c r="BI1223" s="19"/>
    </row>
    <row r="1224" customFormat="false" ht="15" hidden="false" customHeight="false" outlineLevel="0" collapsed="false">
      <c r="A1224" s="0" t="n">
        <v>5</v>
      </c>
      <c r="B1224" s="8" t="s">
        <v>24</v>
      </c>
      <c r="C1224" s="9" t="s">
        <v>25</v>
      </c>
      <c r="D1224" s="9" t="s">
        <v>26</v>
      </c>
      <c r="E1224" s="10" t="n">
        <v>1789</v>
      </c>
      <c r="F1224" s="9" t="s">
        <v>27</v>
      </c>
      <c r="G1224" s="9" t="s">
        <v>27</v>
      </c>
      <c r="H1224" s="11" t="n">
        <v>23</v>
      </c>
      <c r="I1224" s="11" t="s">
        <v>247</v>
      </c>
      <c r="J1224" s="14" t="n">
        <v>60</v>
      </c>
      <c r="K1224" s="14"/>
      <c r="L1224" s="16"/>
      <c r="M1224" s="27" t="n">
        <f aca="false">J1224+(K1224/20)+(L1224/240)</f>
        <v>60</v>
      </c>
      <c r="N1224" s="17" t="s">
        <v>64</v>
      </c>
      <c r="O1224" s="11"/>
      <c r="P1224" s="28" t="n">
        <f aca="false">17500/100</f>
        <v>175</v>
      </c>
      <c r="Q1224" s="28" t="n">
        <v>10500</v>
      </c>
      <c r="R1224" s="28"/>
      <c r="S1224" s="28" t="n">
        <f aca="false">R1224*$M1224</f>
        <v>0</v>
      </c>
      <c r="T1224" s="28"/>
      <c r="U1224" s="28" t="n">
        <f aca="false">T1224*$M1224</f>
        <v>0</v>
      </c>
      <c r="V1224" s="28"/>
      <c r="W1224" s="28" t="n">
        <f aca="false">V1224*$M1224</f>
        <v>0</v>
      </c>
      <c r="X1224" s="28"/>
      <c r="Y1224" s="28" t="n">
        <f aca="false">X1224*$M1224</f>
        <v>0</v>
      </c>
      <c r="Z1224" s="28"/>
      <c r="AA1224" s="28" t="n">
        <f aca="false">Z1224*$M1224</f>
        <v>0</v>
      </c>
      <c r="AB1224" s="28"/>
      <c r="AC1224" s="28" t="n">
        <f aca="false">AB1224*$M1224</f>
        <v>0</v>
      </c>
      <c r="AD1224" s="28"/>
      <c r="AE1224" s="28" t="n">
        <f aca="false">AD1224*$M1224</f>
        <v>0</v>
      </c>
      <c r="AF1224" s="28"/>
      <c r="AG1224" s="28" t="n">
        <f aca="false">AF1224*$M1224</f>
        <v>0</v>
      </c>
      <c r="AH1224" s="28"/>
      <c r="AI1224" s="28" t="n">
        <f aca="false">AH1224*$M1224</f>
        <v>0</v>
      </c>
      <c r="AJ1224" s="28"/>
      <c r="AK1224" s="28" t="n">
        <f aca="false">AJ1224*$M1224</f>
        <v>0</v>
      </c>
      <c r="AL1224" s="28" t="n">
        <f aca="false">107571/100</f>
        <v>1075.71</v>
      </c>
      <c r="AM1224" s="28" t="n">
        <v>64543</v>
      </c>
      <c r="AN1224" s="28"/>
      <c r="AO1224" s="28" t="n">
        <f aca="false">AN1224*$M1224</f>
        <v>0</v>
      </c>
      <c r="AP1224" s="28"/>
      <c r="AQ1224" s="28" t="n">
        <f aca="false">AP1224*$M1224</f>
        <v>0</v>
      </c>
      <c r="AR1224" s="28"/>
      <c r="AS1224" s="28" t="n">
        <f aca="false">AR1224*$M1224</f>
        <v>0</v>
      </c>
      <c r="AT1224" s="28"/>
      <c r="AU1224" s="28" t="n">
        <f aca="false">AT1224*$M1224</f>
        <v>0</v>
      </c>
      <c r="AV1224" s="28"/>
      <c r="AW1224" s="28" t="n">
        <f aca="false">AV1224*$M1224</f>
        <v>0</v>
      </c>
      <c r="AX1224" s="28"/>
      <c r="AY1224" s="28" t="n">
        <f aca="false">AX1224*$M1224</f>
        <v>0</v>
      </c>
      <c r="AZ1224" s="30" t="n">
        <f aca="false">125071/100</f>
        <v>1250.71</v>
      </c>
      <c r="BA1224" s="11" t="n">
        <v>75043</v>
      </c>
      <c r="BB1224" s="31" t="n">
        <f aca="false">SUM(Q1224,S1224,U1224,W1224,Y1224,AA1224,AC1224,AE1224,AG1224,AI1224,AK1224,AM1224,AO1224,AQ1224,AS1224,AU1224,AW1224,AY1224)</f>
        <v>75043</v>
      </c>
      <c r="BC1224" s="28" t="n">
        <f aca="false">BA1224-BB1224</f>
        <v>0</v>
      </c>
      <c r="BD1224" s="32" t="n">
        <f aca="false">SUM(P1224,R1224,T1224,V1224,X1224,Z1224,AB1224,AD1224,AF1224,AH1224,AJ1224,AL1224,AN1224,AP1224,AR1224,AT1224,AV1224,AX1224)</f>
        <v>1250.71</v>
      </c>
      <c r="BE1224" s="33" t="n">
        <f aca="false">AZ1224-BD1224</f>
        <v>0</v>
      </c>
      <c r="BF1224" s="34" t="n">
        <f aca="false">BD1224*M1224</f>
        <v>75042.6</v>
      </c>
      <c r="BG1224" s="35" t="n">
        <f aca="false">BA1224-BF1224</f>
        <v>0.399999999994179</v>
      </c>
      <c r="BH1224" s="19" t="str">
        <f aca="false">IF(BG1224=0,"",IF(BG1224&lt;&gt;BA1224,"erreur de calcul",IF(BD1224&lt;&gt;0,"pas de prix",IF(M1224&lt;&gt; 0,"pas de quantité","pas de prix, ni de quantité"))))</f>
        <v>erreur de calcul</v>
      </c>
      <c r="BI1224" s="19"/>
    </row>
    <row r="1225" customFormat="false" ht="15" hidden="false" customHeight="false" outlineLevel="0" collapsed="false">
      <c r="A1225" s="0" t="n">
        <v>6</v>
      </c>
      <c r="B1225" s="8" t="s">
        <v>24</v>
      </c>
      <c r="C1225" s="9" t="s">
        <v>25</v>
      </c>
      <c r="D1225" s="9" t="s">
        <v>26</v>
      </c>
      <c r="E1225" s="10" t="n">
        <v>1789</v>
      </c>
      <c r="F1225" s="9" t="s">
        <v>27</v>
      </c>
      <c r="G1225" s="9" t="s">
        <v>27</v>
      </c>
      <c r="H1225" s="11" t="n">
        <v>23</v>
      </c>
      <c r="I1225" s="11" t="s">
        <v>248</v>
      </c>
      <c r="J1225" s="14" t="n">
        <v>30</v>
      </c>
      <c r="K1225" s="14"/>
      <c r="L1225" s="16"/>
      <c r="M1225" s="27" t="n">
        <f aca="false">J1225+(K1225/20)+(L1225/240)</f>
        <v>30</v>
      </c>
      <c r="N1225" s="17" t="s">
        <v>64</v>
      </c>
      <c r="O1225" s="11"/>
      <c r="P1225" s="28"/>
      <c r="Q1225" s="28" t="n">
        <f aca="false">P1225*$M1225</f>
        <v>0</v>
      </c>
      <c r="R1225" s="28"/>
      <c r="S1225" s="28" t="n">
        <f aca="false">R1225*$M1225</f>
        <v>0</v>
      </c>
      <c r="T1225" s="28"/>
      <c r="U1225" s="28" t="n">
        <f aca="false">T1225*$M1225</f>
        <v>0</v>
      </c>
      <c r="V1225" s="28" t="n">
        <f aca="false">8491/100</f>
        <v>84.91</v>
      </c>
      <c r="W1225" s="28" t="n">
        <v>2547</v>
      </c>
      <c r="X1225" s="28"/>
      <c r="Y1225" s="28" t="n">
        <f aca="false">X1225*$M1225</f>
        <v>0</v>
      </c>
      <c r="Z1225" s="28"/>
      <c r="AA1225" s="28" t="n">
        <f aca="false">Z1225*$M1225</f>
        <v>0</v>
      </c>
      <c r="AB1225" s="28"/>
      <c r="AC1225" s="28" t="n">
        <f aca="false">AB1225*$M1225</f>
        <v>0</v>
      </c>
      <c r="AD1225" s="28"/>
      <c r="AE1225" s="28" t="n">
        <f aca="false">AD1225*$M1225</f>
        <v>0</v>
      </c>
      <c r="AF1225" s="28"/>
      <c r="AG1225" s="28" t="n">
        <f aca="false">AF1225*$M1225</f>
        <v>0</v>
      </c>
      <c r="AH1225" s="28"/>
      <c r="AI1225" s="28" t="n">
        <f aca="false">AH1225*$M1225</f>
        <v>0</v>
      </c>
      <c r="AJ1225" s="28"/>
      <c r="AK1225" s="28" t="n">
        <f aca="false">AJ1225*$M1225</f>
        <v>0</v>
      </c>
      <c r="AL1225" s="28"/>
      <c r="AM1225" s="28" t="n">
        <f aca="false">AL1225*$M1225</f>
        <v>0</v>
      </c>
      <c r="AN1225" s="28"/>
      <c r="AO1225" s="28" t="n">
        <f aca="false">AN1225*$M1225</f>
        <v>0</v>
      </c>
      <c r="AP1225" s="28"/>
      <c r="AQ1225" s="28" t="n">
        <f aca="false">AP1225*$M1225</f>
        <v>0</v>
      </c>
      <c r="AR1225" s="28"/>
      <c r="AS1225" s="28" t="n">
        <f aca="false">AR1225*$M1225</f>
        <v>0</v>
      </c>
      <c r="AT1225" s="28"/>
      <c r="AU1225" s="28" t="n">
        <f aca="false">AT1225*$M1225</f>
        <v>0</v>
      </c>
      <c r="AV1225" s="28"/>
      <c r="AW1225" s="28" t="n">
        <f aca="false">AV1225*$M1225</f>
        <v>0</v>
      </c>
      <c r="AX1225" s="28"/>
      <c r="AY1225" s="28" t="n">
        <f aca="false">AX1225*$M1225</f>
        <v>0</v>
      </c>
      <c r="AZ1225" s="30" t="n">
        <f aca="false">8491/100</f>
        <v>84.91</v>
      </c>
      <c r="BA1225" s="11" t="n">
        <v>2547</v>
      </c>
      <c r="BB1225" s="31" t="n">
        <f aca="false">SUM(Q1225,S1225,U1225,W1225,Y1225,AA1225,AC1225,AE1225,AG1225,AI1225,AK1225,AM1225,AO1225,AQ1225,AS1225,AU1225,AW1225,AY1225)</f>
        <v>2547</v>
      </c>
      <c r="BC1225" s="28" t="n">
        <f aca="false">BA1225-BB1225</f>
        <v>0</v>
      </c>
      <c r="BD1225" s="32" t="n">
        <f aca="false">SUM(P1225,R1225,T1225,V1225,X1225,Z1225,AB1225,AD1225,AF1225,AH1225,AJ1225,AL1225,AN1225,AP1225,AR1225,AT1225,AV1225,AX1225)</f>
        <v>84.91</v>
      </c>
      <c r="BE1225" s="33" t="n">
        <f aca="false">AZ1225-BD1225</f>
        <v>0</v>
      </c>
      <c r="BF1225" s="34" t="n">
        <f aca="false">BD1225*M1225</f>
        <v>2547.3</v>
      </c>
      <c r="BG1225" s="35" t="n">
        <f aca="false">BA1225-BF1225</f>
        <v>-0.299999999999727</v>
      </c>
      <c r="BH1225" s="19" t="str">
        <f aca="false">IF(BG1225=0,"",IF(BG1225&lt;&gt;BA1225,"erreur de calcul",IF(BD1225&lt;&gt;0,"pas de prix",IF(M1225&lt;&gt; 0,"pas de quantité","pas de prix, ni de quantité"))))</f>
        <v>erreur de calcul</v>
      </c>
      <c r="BI1225" s="19"/>
    </row>
    <row r="1226" customFormat="false" ht="15" hidden="false" customHeight="false" outlineLevel="0" collapsed="false">
      <c r="A1226" s="0" t="n">
        <v>7</v>
      </c>
      <c r="B1226" s="8" t="s">
        <v>24</v>
      </c>
      <c r="C1226" s="9" t="s">
        <v>25</v>
      </c>
      <c r="D1226" s="9" t="s">
        <v>26</v>
      </c>
      <c r="E1226" s="10" t="n">
        <v>1789</v>
      </c>
      <c r="F1226" s="9" t="s">
        <v>27</v>
      </c>
      <c r="G1226" s="9" t="s">
        <v>27</v>
      </c>
      <c r="H1226" s="11" t="n">
        <v>23</v>
      </c>
      <c r="I1226" s="11" t="s">
        <v>249</v>
      </c>
      <c r="J1226" s="14" t="n">
        <v>27</v>
      </c>
      <c r="K1226" s="14"/>
      <c r="L1226" s="16"/>
      <c r="M1226" s="27" t="n">
        <f aca="false">J1226+(K1226/20)+(L1226/240)</f>
        <v>27</v>
      </c>
      <c r="N1226" s="17" t="s">
        <v>64</v>
      </c>
      <c r="O1226" s="11"/>
      <c r="P1226" s="28"/>
      <c r="Q1226" s="28" t="n">
        <f aca="false">P1226*$M1226</f>
        <v>0</v>
      </c>
      <c r="R1226" s="28"/>
      <c r="S1226" s="28" t="n">
        <f aca="false">R1226*$M1226</f>
        <v>0</v>
      </c>
      <c r="T1226" s="28"/>
      <c r="U1226" s="28" t="n">
        <f aca="false">T1226*$M1226</f>
        <v>0</v>
      </c>
      <c r="V1226" s="28"/>
      <c r="W1226" s="28" t="n">
        <f aca="false">V1226*$M1226</f>
        <v>0</v>
      </c>
      <c r="X1226" s="28"/>
      <c r="Y1226" s="28" t="n">
        <f aca="false">X1226*$M1226</f>
        <v>0</v>
      </c>
      <c r="Z1226" s="28"/>
      <c r="AA1226" s="28" t="n">
        <f aca="false">Z1226*$M1226</f>
        <v>0</v>
      </c>
      <c r="AB1226" s="28"/>
      <c r="AC1226" s="28" t="n">
        <f aca="false">AB1226*$M1226</f>
        <v>0</v>
      </c>
      <c r="AD1226" s="28"/>
      <c r="AE1226" s="28" t="n">
        <f aca="false">AD1226*$M1226</f>
        <v>0</v>
      </c>
      <c r="AF1226" s="28"/>
      <c r="AG1226" s="28" t="n">
        <f aca="false">AF1226*$M1226</f>
        <v>0</v>
      </c>
      <c r="AH1226" s="28"/>
      <c r="AI1226" s="28" t="n">
        <f aca="false">AH1226*$M1226</f>
        <v>0</v>
      </c>
      <c r="AJ1226" s="28" t="n">
        <f aca="false">168254/100</f>
        <v>1682.54</v>
      </c>
      <c r="AK1226" s="28" t="n">
        <v>45428</v>
      </c>
      <c r="AL1226" s="28"/>
      <c r="AM1226" s="28" t="n">
        <f aca="false">AL1226*$M1226</f>
        <v>0</v>
      </c>
      <c r="AN1226" s="28"/>
      <c r="AO1226" s="28" t="n">
        <f aca="false">AN1226*$M1226</f>
        <v>0</v>
      </c>
      <c r="AP1226" s="28"/>
      <c r="AQ1226" s="28" t="n">
        <f aca="false">AP1226*$M1226</f>
        <v>0</v>
      </c>
      <c r="AR1226" s="28"/>
      <c r="AS1226" s="28" t="n">
        <f aca="false">AR1226*$M1226</f>
        <v>0</v>
      </c>
      <c r="AT1226" s="28"/>
      <c r="AU1226" s="28" t="n">
        <f aca="false">AT1226*$M1226</f>
        <v>0</v>
      </c>
      <c r="AV1226" s="28"/>
      <c r="AW1226" s="28" t="n">
        <f aca="false">AV1226*$M1226</f>
        <v>0</v>
      </c>
      <c r="AX1226" s="28"/>
      <c r="AY1226" s="28" t="n">
        <f aca="false">AX1226*$M1226</f>
        <v>0</v>
      </c>
      <c r="AZ1226" s="30" t="n">
        <f aca="false">168254/100</f>
        <v>1682.54</v>
      </c>
      <c r="BA1226" s="11" t="n">
        <v>45428</v>
      </c>
      <c r="BB1226" s="31" t="n">
        <f aca="false">SUM(Q1226,S1226,U1226,W1226,Y1226,AA1226,AC1226,AE1226,AG1226,AI1226,AK1226,AM1226,AO1226,AQ1226,AS1226,AU1226,AW1226,AY1226)</f>
        <v>45428</v>
      </c>
      <c r="BC1226" s="28" t="n">
        <f aca="false">BA1226-BB1226</f>
        <v>0</v>
      </c>
      <c r="BD1226" s="32" t="n">
        <f aca="false">SUM(P1226,R1226,T1226,V1226,X1226,Z1226,AB1226,AD1226,AF1226,AH1226,AJ1226,AL1226,AN1226,AP1226,AR1226,AT1226,AV1226,AX1226)</f>
        <v>1682.54</v>
      </c>
      <c r="BE1226" s="33" t="n">
        <f aca="false">AZ1226-BD1226</f>
        <v>0</v>
      </c>
      <c r="BF1226" s="34" t="n">
        <f aca="false">BD1226*M1226</f>
        <v>45428.58</v>
      </c>
      <c r="BG1226" s="35" t="n">
        <f aca="false">BA1226-BF1226</f>
        <v>-0.580000000001746</v>
      </c>
      <c r="BH1226" s="19" t="str">
        <f aca="false">IF(BG1226=0,"",IF(BG1226&lt;&gt;BA1226,"erreur de calcul",IF(BD1226&lt;&gt;0,"pas de prix",IF(M1226&lt;&gt; 0,"pas de quantité","pas de prix, ni de quantité"))))</f>
        <v>erreur de calcul</v>
      </c>
      <c r="BI1226" s="19"/>
    </row>
    <row r="1227" customFormat="false" ht="15" hidden="false" customHeight="false" outlineLevel="0" collapsed="false">
      <c r="A1227" s="0" t="n">
        <v>8</v>
      </c>
      <c r="B1227" s="8" t="s">
        <v>24</v>
      </c>
      <c r="C1227" s="9" t="s">
        <v>25</v>
      </c>
      <c r="D1227" s="9" t="s">
        <v>26</v>
      </c>
      <c r="E1227" s="10" t="n">
        <v>1789</v>
      </c>
      <c r="F1227" s="9" t="s">
        <v>27</v>
      </c>
      <c r="G1227" s="9" t="s">
        <v>27</v>
      </c>
      <c r="H1227" s="11" t="n">
        <v>23</v>
      </c>
      <c r="I1227" s="11" t="s">
        <v>250</v>
      </c>
      <c r="J1227" s="14" t="n">
        <v>27</v>
      </c>
      <c r="K1227" s="14"/>
      <c r="L1227" s="16"/>
      <c r="M1227" s="27" t="n">
        <f aca="false">J1227+(K1227/20)+(L1227/240)</f>
        <v>27</v>
      </c>
      <c r="N1227" s="17" t="s">
        <v>64</v>
      </c>
      <c r="O1227" s="11"/>
      <c r="P1227" s="28"/>
      <c r="Q1227" s="28" t="n">
        <f aca="false">P1227*$M1227</f>
        <v>0</v>
      </c>
      <c r="R1227" s="28"/>
      <c r="S1227" s="28" t="n">
        <f aca="false">R1227*$M1227</f>
        <v>0</v>
      </c>
      <c r="T1227" s="28"/>
      <c r="U1227" s="28" t="n">
        <f aca="false">T1227*$M1227</f>
        <v>0</v>
      </c>
      <c r="V1227" s="28"/>
      <c r="W1227" s="28" t="n">
        <f aca="false">V1227*$M1227</f>
        <v>0</v>
      </c>
      <c r="X1227" s="28"/>
      <c r="Y1227" s="28" t="n">
        <f aca="false">X1227*$M1227</f>
        <v>0</v>
      </c>
      <c r="Z1227" s="28"/>
      <c r="AA1227" s="28" t="n">
        <f aca="false">Z1227*$M1227</f>
        <v>0</v>
      </c>
      <c r="AB1227" s="28"/>
      <c r="AC1227" s="28" t="n">
        <f aca="false">AB1227*$M1227</f>
        <v>0</v>
      </c>
      <c r="AD1227" s="28"/>
      <c r="AE1227" s="28" t="n">
        <f aca="false">AD1227*$M1227</f>
        <v>0</v>
      </c>
      <c r="AF1227" s="28"/>
      <c r="AG1227" s="28" t="n">
        <f aca="false">AF1227*$M1227</f>
        <v>0</v>
      </c>
      <c r="AH1227" s="28"/>
      <c r="AI1227" s="28" t="n">
        <f aca="false">AH1227*$M1227</f>
        <v>0</v>
      </c>
      <c r="AJ1227" s="28"/>
      <c r="AK1227" s="28" t="n">
        <f aca="false">AJ1227*$M1227</f>
        <v>0</v>
      </c>
      <c r="AL1227" s="28" t="n">
        <f aca="false">4108/100</f>
        <v>41.08</v>
      </c>
      <c r="AM1227" s="28" t="n">
        <v>1109</v>
      </c>
      <c r="AN1227" s="28"/>
      <c r="AO1227" s="28" t="n">
        <f aca="false">AN1227*$M1227</f>
        <v>0</v>
      </c>
      <c r="AP1227" s="28"/>
      <c r="AQ1227" s="28" t="n">
        <f aca="false">AP1227*$M1227</f>
        <v>0</v>
      </c>
      <c r="AR1227" s="28" t="n">
        <f aca="false">37084/100</f>
        <v>370.84</v>
      </c>
      <c r="AS1227" s="36" t="n">
        <v>9963</v>
      </c>
      <c r="AT1227" s="28"/>
      <c r="AU1227" s="28" t="n">
        <f aca="false">AT1227*$M1227</f>
        <v>0</v>
      </c>
      <c r="AV1227" s="28"/>
      <c r="AW1227" s="28" t="n">
        <f aca="false">AV1227*$M1227</f>
        <v>0</v>
      </c>
      <c r="AX1227" s="28"/>
      <c r="AY1227" s="28" t="n">
        <f aca="false">AX1227*$M1227</f>
        <v>0</v>
      </c>
      <c r="AZ1227" s="30" t="n">
        <f aca="false">41192/100</f>
        <v>411.92</v>
      </c>
      <c r="BA1227" s="11" t="n">
        <v>11072</v>
      </c>
      <c r="BB1227" s="31" t="n">
        <f aca="false">SUM(Q1227,S1227,U1227,W1227,Y1227,AA1227,AC1227,AE1227,AG1227,AI1227,AK1227,AM1227,AO1227,AQ1227,AS1227,AU1227,AW1227,AY1227)</f>
        <v>11072</v>
      </c>
      <c r="BC1227" s="28" t="n">
        <f aca="false">BA1227-BB1227</f>
        <v>0</v>
      </c>
      <c r="BD1227" s="32" t="n">
        <f aca="false">SUM(P1227,R1227,T1227,V1227,X1227,Z1227,AB1227,AD1227,AF1227,AH1227,AJ1227,AL1227,AN1227,AP1227,AR1227,AT1227,AV1227,AX1227)</f>
        <v>411.92</v>
      </c>
      <c r="BE1227" s="33" t="n">
        <f aca="false">AZ1227-BD1227</f>
        <v>0</v>
      </c>
      <c r="BF1227" s="34" t="n">
        <f aca="false">BD1227*M1227</f>
        <v>11121.84</v>
      </c>
      <c r="BG1227" s="35" t="n">
        <f aca="false">BA1227-BF1227</f>
        <v>-49.8399999999983</v>
      </c>
      <c r="BH1227" s="19" t="str">
        <f aca="false">IF(BG1227=0,"",IF(BG1227&lt;&gt;BA1227,"erreur de calcul",IF(BD1227&lt;&gt;0,"pas de prix",IF(M1227&lt;&gt; 0,"pas de quantité","pas de prix, ni de quantité"))))</f>
        <v>erreur de calcul</v>
      </c>
      <c r="BI1227" s="19"/>
    </row>
    <row r="1228" customFormat="false" ht="15" hidden="false" customHeight="false" outlineLevel="0" collapsed="false">
      <c r="A1228" s="0" t="n">
        <v>9</v>
      </c>
      <c r="B1228" s="8" t="s">
        <v>24</v>
      </c>
      <c r="C1228" s="9" t="s">
        <v>25</v>
      </c>
      <c r="D1228" s="9" t="s">
        <v>26</v>
      </c>
      <c r="E1228" s="10" t="n">
        <v>1789</v>
      </c>
      <c r="F1228" s="9" t="s">
        <v>27</v>
      </c>
      <c r="G1228" s="9" t="s">
        <v>27</v>
      </c>
      <c r="H1228" s="11" t="n">
        <v>23</v>
      </c>
      <c r="I1228" s="11" t="s">
        <v>251</v>
      </c>
      <c r="J1228" s="14" t="n">
        <v>6</v>
      </c>
      <c r="K1228" s="14"/>
      <c r="L1228" s="16"/>
      <c r="M1228" s="27" t="n">
        <f aca="false">J1228+(K1228/20)+(L1228/240)</f>
        <v>6</v>
      </c>
      <c r="N1228" s="17" t="s">
        <v>64</v>
      </c>
      <c r="O1228" s="11"/>
      <c r="P1228" s="28"/>
      <c r="Q1228" s="28" t="n">
        <f aca="false">P1228*$M1228</f>
        <v>0</v>
      </c>
      <c r="R1228" s="28"/>
      <c r="S1228" s="28" t="n">
        <f aca="false">R1228*$M1228</f>
        <v>0</v>
      </c>
      <c r="T1228" s="28"/>
      <c r="U1228" s="28" t="n">
        <f aca="false">T1228*$M1228</f>
        <v>0</v>
      </c>
      <c r="V1228" s="28"/>
      <c r="W1228" s="28" t="n">
        <f aca="false">V1228*$M1228</f>
        <v>0</v>
      </c>
      <c r="X1228" s="28"/>
      <c r="Y1228" s="28" t="n">
        <f aca="false">X1228*$M1228</f>
        <v>0</v>
      </c>
      <c r="Z1228" s="28"/>
      <c r="AA1228" s="28" t="n">
        <f aca="false">Z1228*$M1228</f>
        <v>0</v>
      </c>
      <c r="AB1228" s="28"/>
      <c r="AC1228" s="28" t="n">
        <f aca="false">AB1228*$M1228</f>
        <v>0</v>
      </c>
      <c r="AD1228" s="28"/>
      <c r="AE1228" s="28" t="n">
        <f aca="false">AD1228*$M1228</f>
        <v>0</v>
      </c>
      <c r="AF1228" s="28"/>
      <c r="AG1228" s="28" t="n">
        <f aca="false">AF1228*$M1228</f>
        <v>0</v>
      </c>
      <c r="AH1228" s="28"/>
      <c r="AI1228" s="28" t="n">
        <f aca="false">AH1228*$M1228</f>
        <v>0</v>
      </c>
      <c r="AJ1228" s="28"/>
      <c r="AK1228" s="28" t="n">
        <f aca="false">AJ1228*$M1228</f>
        <v>0</v>
      </c>
      <c r="AL1228" s="28"/>
      <c r="AM1228" s="28" t="n">
        <f aca="false">AL1228*$M1228</f>
        <v>0</v>
      </c>
      <c r="AN1228" s="28"/>
      <c r="AO1228" s="28" t="n">
        <f aca="false">AN1228*$M1228</f>
        <v>0</v>
      </c>
      <c r="AP1228" s="28"/>
      <c r="AQ1228" s="28" t="n">
        <f aca="false">AP1228*$M1228</f>
        <v>0</v>
      </c>
      <c r="AR1228" s="28"/>
      <c r="AS1228" s="28" t="n">
        <f aca="false">AR1228*$M1228</f>
        <v>0</v>
      </c>
      <c r="AT1228" s="28"/>
      <c r="AU1228" s="28" t="n">
        <f aca="false">AT1228*$M1228</f>
        <v>0</v>
      </c>
      <c r="AV1228" s="28"/>
      <c r="AW1228" s="28" t="n">
        <f aca="false">AV1228*$M1228</f>
        <v>0</v>
      </c>
      <c r="AX1228" s="28"/>
      <c r="AY1228" s="28" t="n">
        <f aca="false">AX1228*$M1228</f>
        <v>0</v>
      </c>
      <c r="AZ1228" s="30"/>
      <c r="BA1228" s="11"/>
      <c r="BB1228" s="31" t="n">
        <f aca="false">SUM(Q1228,S1228,U1228,W1228,Y1228,AA1228,AC1228,AE1228,AG1228,AI1228,AK1228,AM1228,AO1228,AQ1228,AS1228,AU1228,AW1228,AY1228)</f>
        <v>0</v>
      </c>
      <c r="BC1228" s="28" t="n">
        <f aca="false">BA1228-BB1228</f>
        <v>0</v>
      </c>
      <c r="BD1228" s="32" t="n">
        <f aca="false">SUM(P1228,R1228,T1228,V1228,X1228,Z1228,AB1228,AD1228,AF1228,AH1228,AJ1228,AL1228,AN1228,AP1228,AR1228,AT1228,AV1228,AX1228)</f>
        <v>0</v>
      </c>
      <c r="BE1228" s="33" t="n">
        <f aca="false">AZ1228-BD1228</f>
        <v>0</v>
      </c>
      <c r="BF1228" s="34" t="n">
        <f aca="false">BD1228*M1228</f>
        <v>0</v>
      </c>
      <c r="BG1228" s="35" t="n">
        <f aca="false">BA1228-BF1228</f>
        <v>0</v>
      </c>
      <c r="BH1228" s="19" t="str">
        <f aca="false">IF(BG1228=0,"",IF(BG1228&lt;&gt;BA1228,"erreur de calcul",IF(BD1228&lt;&gt;0,"pas de prix",IF(M1228&lt;&gt; 0,"pas de quantité","pas de prix, ni de quantité"))))</f>
        <v/>
      </c>
      <c r="BI1228" s="19"/>
    </row>
    <row r="1229" customFormat="false" ht="15" hidden="false" customHeight="false" outlineLevel="0" collapsed="false">
      <c r="A1229" s="0" t="n">
        <v>10</v>
      </c>
      <c r="B1229" s="8" t="s">
        <v>24</v>
      </c>
      <c r="C1229" s="9" t="s">
        <v>25</v>
      </c>
      <c r="D1229" s="9" t="s">
        <v>26</v>
      </c>
      <c r="E1229" s="10" t="n">
        <v>1789</v>
      </c>
      <c r="F1229" s="9" t="s">
        <v>27</v>
      </c>
      <c r="G1229" s="9" t="s">
        <v>27</v>
      </c>
      <c r="H1229" s="11" t="n">
        <v>23</v>
      </c>
      <c r="I1229" s="11" t="s">
        <v>252</v>
      </c>
      <c r="J1229" s="14" t="n">
        <v>240</v>
      </c>
      <c r="K1229" s="14"/>
      <c r="L1229" s="16"/>
      <c r="M1229" s="27" t="n">
        <f aca="false">J1229+(K1229/20)+(L1229/240)</f>
        <v>240</v>
      </c>
      <c r="N1229" s="17" t="s">
        <v>64</v>
      </c>
      <c r="O1229" s="11"/>
      <c r="P1229" s="28"/>
      <c r="Q1229" s="28" t="n">
        <f aca="false">P1229*$M1229</f>
        <v>0</v>
      </c>
      <c r="R1229" s="28"/>
      <c r="S1229" s="28" t="n">
        <f aca="false">R1229*$M1229</f>
        <v>0</v>
      </c>
      <c r="T1229" s="28" t="n">
        <f aca="false">4204/100</f>
        <v>42.04</v>
      </c>
      <c r="U1229" s="28" t="n">
        <v>10090</v>
      </c>
      <c r="V1229" s="28" t="n">
        <f aca="false">2799/100</f>
        <v>27.99</v>
      </c>
      <c r="W1229" s="28" t="n">
        <v>6718</v>
      </c>
      <c r="X1229" s="28" t="n">
        <f aca="false">2536/100</f>
        <v>25.36</v>
      </c>
      <c r="Y1229" s="28" t="n">
        <v>6086</v>
      </c>
      <c r="Z1229" s="28" t="n">
        <f aca="false">3393/100</f>
        <v>33.93</v>
      </c>
      <c r="AA1229" s="28" t="n">
        <v>8143</v>
      </c>
      <c r="AB1229" s="28" t="n">
        <f aca="false">242/100</f>
        <v>2.42</v>
      </c>
      <c r="AC1229" s="28" t="n">
        <v>581</v>
      </c>
      <c r="AD1229" s="28"/>
      <c r="AE1229" s="28" t="n">
        <f aca="false">AD1229*$M1229</f>
        <v>0</v>
      </c>
      <c r="AF1229" s="28"/>
      <c r="AG1229" s="28" t="n">
        <f aca="false">AF1229*$M1229</f>
        <v>0</v>
      </c>
      <c r="AH1229" s="28"/>
      <c r="AI1229" s="28" t="n">
        <f aca="false">AH1229*$M1229</f>
        <v>0</v>
      </c>
      <c r="AJ1229" s="28"/>
      <c r="AK1229" s="28" t="n">
        <f aca="false">AJ1229*$M1229</f>
        <v>0</v>
      </c>
      <c r="AL1229" s="28"/>
      <c r="AM1229" s="28" t="n">
        <f aca="false">AL1229*$M1229</f>
        <v>0</v>
      </c>
      <c r="AN1229" s="28"/>
      <c r="AO1229" s="28" t="n">
        <f aca="false">AN1229*$M1229</f>
        <v>0</v>
      </c>
      <c r="AP1229" s="28"/>
      <c r="AQ1229" s="28" t="n">
        <f aca="false">AP1229*$M1229</f>
        <v>0</v>
      </c>
      <c r="AR1229" s="28"/>
      <c r="AS1229" s="28" t="n">
        <f aca="false">AR1229*$M1229</f>
        <v>0</v>
      </c>
      <c r="AT1229" s="28"/>
      <c r="AU1229" s="28" t="n">
        <f aca="false">AT1229*$M1229</f>
        <v>0</v>
      </c>
      <c r="AV1229" s="28"/>
      <c r="AW1229" s="28" t="n">
        <f aca="false">AV1229*$M1229</f>
        <v>0</v>
      </c>
      <c r="AX1229" s="28"/>
      <c r="AY1229" s="28" t="n">
        <f aca="false">AX1229*$M1229</f>
        <v>0</v>
      </c>
      <c r="AZ1229" s="30" t="n">
        <f aca="false">13174/100</f>
        <v>131.74</v>
      </c>
      <c r="BA1229" s="11" t="n">
        <v>31618</v>
      </c>
      <c r="BB1229" s="31" t="n">
        <f aca="false">SUM(Q1229,S1229,U1229,W1229,Y1229,AA1229,AC1229,AE1229,AG1229,AI1229,AK1229,AM1229,AO1229,AQ1229,AS1229,AU1229,AW1229,AY1229)</f>
        <v>31618</v>
      </c>
      <c r="BC1229" s="28" t="n">
        <f aca="false">BA1229-BB1229</f>
        <v>0</v>
      </c>
      <c r="BD1229" s="32" t="n">
        <f aca="false">SUM(P1229,R1229,T1229,V1229,X1229,Z1229,AB1229,AD1229,AF1229,AH1229,AJ1229,AL1229,AN1229,AP1229,AR1229,AT1229,AV1229,AX1229)</f>
        <v>131.74</v>
      </c>
      <c r="BE1229" s="33" t="n">
        <f aca="false">AZ1229-BD1229</f>
        <v>0</v>
      </c>
      <c r="BF1229" s="34" t="n">
        <f aca="false">BD1229*M1229</f>
        <v>31617.6</v>
      </c>
      <c r="BG1229" s="35" t="n">
        <f aca="false">BA1229-BF1229</f>
        <v>0.399999999997817</v>
      </c>
      <c r="BH1229" s="19" t="str">
        <f aca="false">IF(BG1229=0,"",IF(BG1229&lt;&gt;BA1229,"erreur de calcul",IF(BD1229&lt;&gt;0,"pas de prix",IF(M1229&lt;&gt; 0,"pas de quantité","pas de prix, ni de quantité"))))</f>
        <v>erreur de calcul</v>
      </c>
      <c r="BI1229" s="19"/>
    </row>
    <row r="1230" customFormat="false" ht="15" hidden="false" customHeight="false" outlineLevel="0" collapsed="false">
      <c r="A1230" s="0" t="n">
        <v>11</v>
      </c>
      <c r="B1230" s="8" t="s">
        <v>24</v>
      </c>
      <c r="C1230" s="9" t="s">
        <v>25</v>
      </c>
      <c r="D1230" s="9" t="s">
        <v>26</v>
      </c>
      <c r="E1230" s="10" t="n">
        <v>1789</v>
      </c>
      <c r="F1230" s="9" t="s">
        <v>27</v>
      </c>
      <c r="G1230" s="9" t="s">
        <v>27</v>
      </c>
      <c r="H1230" s="11" t="n">
        <v>23</v>
      </c>
      <c r="I1230" s="11" t="s">
        <v>253</v>
      </c>
      <c r="J1230" s="14" t="n">
        <v>190</v>
      </c>
      <c r="K1230" s="14"/>
      <c r="L1230" s="16"/>
      <c r="M1230" s="27" t="n">
        <f aca="false">J1230+(K1230/20)+(L1230/240)</f>
        <v>190</v>
      </c>
      <c r="N1230" s="17" t="s">
        <v>64</v>
      </c>
      <c r="O1230" s="11"/>
      <c r="P1230" s="28"/>
      <c r="Q1230" s="28" t="n">
        <f aca="false">P1230*$M1230</f>
        <v>0</v>
      </c>
      <c r="R1230" s="28"/>
      <c r="S1230" s="28" t="n">
        <f aca="false">R1230*$M1230</f>
        <v>0</v>
      </c>
      <c r="T1230" s="28"/>
      <c r="U1230" s="28" t="n">
        <f aca="false">T1230*$M1230</f>
        <v>0</v>
      </c>
      <c r="V1230" s="28" t="n">
        <f aca="false">14963/100</f>
        <v>149.63</v>
      </c>
      <c r="W1230" s="36" t="n">
        <v>28420</v>
      </c>
      <c r="X1230" s="28"/>
      <c r="Y1230" s="28" t="n">
        <f aca="false">X1230*$M1230</f>
        <v>0</v>
      </c>
      <c r="Z1230" s="28"/>
      <c r="AA1230" s="28" t="n">
        <f aca="false">Z1230*$M1230</f>
        <v>0</v>
      </c>
      <c r="AB1230" s="28"/>
      <c r="AC1230" s="28" t="n">
        <f aca="false">AB1230*$M1230</f>
        <v>0</v>
      </c>
      <c r="AD1230" s="28"/>
      <c r="AE1230" s="28" t="n">
        <f aca="false">AD1230*$M1230</f>
        <v>0</v>
      </c>
      <c r="AF1230" s="28"/>
      <c r="AG1230" s="28" t="n">
        <f aca="false">AF1230*$M1230</f>
        <v>0</v>
      </c>
      <c r="AH1230" s="28"/>
      <c r="AI1230" s="28" t="n">
        <f aca="false">AH1230*$M1230</f>
        <v>0</v>
      </c>
      <c r="AJ1230" s="28"/>
      <c r="AK1230" s="28" t="n">
        <f aca="false">AJ1230*$M1230</f>
        <v>0</v>
      </c>
      <c r="AL1230" s="28"/>
      <c r="AM1230" s="28" t="n">
        <f aca="false">AL1230*$M1230</f>
        <v>0</v>
      </c>
      <c r="AN1230" s="28"/>
      <c r="AO1230" s="28" t="n">
        <f aca="false">AN1230*$M1230</f>
        <v>0</v>
      </c>
      <c r="AP1230" s="28"/>
      <c r="AQ1230" s="28" t="n">
        <f aca="false">AP1230*$M1230</f>
        <v>0</v>
      </c>
      <c r="AR1230" s="28"/>
      <c r="AS1230" s="28" t="n">
        <f aca="false">AR1230*$M1230</f>
        <v>0</v>
      </c>
      <c r="AT1230" s="28"/>
      <c r="AU1230" s="28" t="n">
        <f aca="false">AT1230*$M1230</f>
        <v>0</v>
      </c>
      <c r="AV1230" s="28"/>
      <c r="AW1230" s="28" t="n">
        <f aca="false">AV1230*$M1230</f>
        <v>0</v>
      </c>
      <c r="AX1230" s="28"/>
      <c r="AY1230" s="28" t="n">
        <f aca="false">AX1230*$M1230</f>
        <v>0</v>
      </c>
      <c r="AZ1230" s="30" t="n">
        <f aca="false">14963/100</f>
        <v>149.63</v>
      </c>
      <c r="BA1230" s="11" t="n">
        <v>28420</v>
      </c>
      <c r="BB1230" s="31" t="n">
        <f aca="false">SUM(Q1230,S1230,U1230,W1230,Y1230,AA1230,AC1230,AE1230,AG1230,AI1230,AK1230,AM1230,AO1230,AQ1230,AS1230,AU1230,AW1230,AY1230)</f>
        <v>28420</v>
      </c>
      <c r="BC1230" s="28" t="n">
        <f aca="false">BA1230-BB1230</f>
        <v>0</v>
      </c>
      <c r="BD1230" s="32" t="n">
        <f aca="false">SUM(P1230,R1230,T1230,V1230,X1230,Z1230,AB1230,AD1230,AF1230,AH1230,AJ1230,AL1230,AN1230,AP1230,AR1230,AT1230,AV1230,AX1230)</f>
        <v>149.63</v>
      </c>
      <c r="BE1230" s="33" t="n">
        <f aca="false">AZ1230-BD1230</f>
        <v>0</v>
      </c>
      <c r="BF1230" s="34" t="n">
        <f aca="false">BD1230*M1230</f>
        <v>28429.7</v>
      </c>
      <c r="BG1230" s="35" t="n">
        <f aca="false">BA1230-BF1230</f>
        <v>-9.70000000000073</v>
      </c>
      <c r="BH1230" s="19" t="str">
        <f aca="false">IF(BG1230=0,"",IF(BG1230&lt;&gt;BA1230,"erreur de calcul",IF(BD1230&lt;&gt;0,"pas de prix",IF(M1230&lt;&gt; 0,"pas de quantité","pas de prix, ni de quantité"))))</f>
        <v>erreur de calcul</v>
      </c>
      <c r="BI1230" s="19"/>
    </row>
    <row r="1231" customFormat="false" ht="15" hidden="false" customHeight="false" outlineLevel="0" collapsed="false">
      <c r="A1231" s="0" t="n">
        <v>12</v>
      </c>
      <c r="B1231" s="8" t="s">
        <v>24</v>
      </c>
      <c r="C1231" s="9" t="s">
        <v>25</v>
      </c>
      <c r="D1231" s="9" t="s">
        <v>26</v>
      </c>
      <c r="E1231" s="10" t="n">
        <v>1789</v>
      </c>
      <c r="F1231" s="9" t="s">
        <v>27</v>
      </c>
      <c r="G1231" s="9" t="s">
        <v>27</v>
      </c>
      <c r="H1231" s="11" t="n">
        <v>23</v>
      </c>
      <c r="I1231" s="11" t="s">
        <v>254</v>
      </c>
      <c r="J1231" s="14" t="n">
        <v>14</v>
      </c>
      <c r="K1231" s="14"/>
      <c r="L1231" s="16"/>
      <c r="M1231" s="27" t="n">
        <f aca="false">J1231+(K1231/20)+(L1231/240)</f>
        <v>14</v>
      </c>
      <c r="N1231" s="17" t="s">
        <v>64</v>
      </c>
      <c r="O1231" s="11"/>
      <c r="P1231" s="28"/>
      <c r="Q1231" s="28" t="n">
        <f aca="false">P1231*$M1231</f>
        <v>0</v>
      </c>
      <c r="R1231" s="28"/>
      <c r="S1231" s="28" t="n">
        <f aca="false">R1231*$M1231</f>
        <v>0</v>
      </c>
      <c r="T1231" s="28"/>
      <c r="U1231" s="28" t="n">
        <f aca="false">T1231*$M1231</f>
        <v>0</v>
      </c>
      <c r="V1231" s="28"/>
      <c r="W1231" s="28" t="n">
        <f aca="false">V1231*$M1231</f>
        <v>0</v>
      </c>
      <c r="X1231" s="28" t="n">
        <f aca="false">445483/100</f>
        <v>4454.83</v>
      </c>
      <c r="Y1231" s="28" t="n">
        <v>62368</v>
      </c>
      <c r="Z1231" s="28"/>
      <c r="AA1231" s="28" t="n">
        <f aca="false">Z1231*$M1231</f>
        <v>0</v>
      </c>
      <c r="AB1231" s="28"/>
      <c r="AC1231" s="28" t="n">
        <f aca="false">AB1231*$M1231</f>
        <v>0</v>
      </c>
      <c r="AD1231" s="28"/>
      <c r="AE1231" s="28" t="n">
        <f aca="false">AD1231*$M1231</f>
        <v>0</v>
      </c>
      <c r="AF1231" s="28"/>
      <c r="AG1231" s="28" t="n">
        <f aca="false">AF1231*$M1231</f>
        <v>0</v>
      </c>
      <c r="AH1231" s="28"/>
      <c r="AI1231" s="28" t="n">
        <f aca="false">AH1231*$M1231</f>
        <v>0</v>
      </c>
      <c r="AJ1231" s="28"/>
      <c r="AK1231" s="28" t="n">
        <f aca="false">AJ1231*$M1231</f>
        <v>0</v>
      </c>
      <c r="AL1231" s="28"/>
      <c r="AM1231" s="28" t="n">
        <f aca="false">AL1231*$M1231</f>
        <v>0</v>
      </c>
      <c r="AN1231" s="28"/>
      <c r="AO1231" s="28" t="n">
        <f aca="false">AN1231*$M1231</f>
        <v>0</v>
      </c>
      <c r="AP1231" s="28"/>
      <c r="AQ1231" s="28" t="n">
        <f aca="false">AP1231*$M1231</f>
        <v>0</v>
      </c>
      <c r="AR1231" s="28"/>
      <c r="AS1231" s="28" t="n">
        <f aca="false">AR1231*$M1231</f>
        <v>0</v>
      </c>
      <c r="AT1231" s="28"/>
      <c r="AU1231" s="28" t="n">
        <f aca="false">AT1231*$M1231</f>
        <v>0</v>
      </c>
      <c r="AV1231" s="28"/>
      <c r="AW1231" s="28" t="n">
        <f aca="false">AV1231*$M1231</f>
        <v>0</v>
      </c>
      <c r="AX1231" s="28"/>
      <c r="AY1231" s="28" t="n">
        <f aca="false">AX1231*$M1231</f>
        <v>0</v>
      </c>
      <c r="AZ1231" s="30" t="n">
        <f aca="false">445483/100</f>
        <v>4454.83</v>
      </c>
      <c r="BA1231" s="11" t="n">
        <v>62368</v>
      </c>
      <c r="BB1231" s="31" t="n">
        <f aca="false">SUM(Q1231,S1231,U1231,W1231,Y1231,AA1231,AC1231,AE1231,AG1231,AI1231,AK1231,AM1231,AO1231,AQ1231,AS1231,AU1231,AW1231,AY1231)</f>
        <v>62368</v>
      </c>
      <c r="BC1231" s="28" t="n">
        <f aca="false">BA1231-BB1231</f>
        <v>0</v>
      </c>
      <c r="BD1231" s="32" t="n">
        <f aca="false">SUM(P1231,R1231,T1231,V1231,X1231,Z1231,AB1231,AD1231,AF1231,AH1231,AJ1231,AL1231,AN1231,AP1231,AR1231,AT1231,AV1231,AX1231)</f>
        <v>4454.83</v>
      </c>
      <c r="BE1231" s="33" t="n">
        <f aca="false">AZ1231-BD1231</f>
        <v>0</v>
      </c>
      <c r="BF1231" s="34" t="n">
        <f aca="false">BD1231*M1231</f>
        <v>62367.62</v>
      </c>
      <c r="BG1231" s="35" t="n">
        <f aca="false">BA1231-BF1231</f>
        <v>0.380000000004657</v>
      </c>
      <c r="BH1231" s="19" t="str">
        <f aca="false">IF(BG1231=0,"",IF(BG1231&lt;&gt;BA1231,"erreur de calcul",IF(BD1231&lt;&gt;0,"pas de prix",IF(M1231&lt;&gt; 0,"pas de quantité","pas de prix, ni de quantité"))))</f>
        <v>erreur de calcul</v>
      </c>
      <c r="BI1231" s="19"/>
    </row>
    <row r="1232" customFormat="false" ht="15" hidden="false" customHeight="false" outlineLevel="0" collapsed="false">
      <c r="A1232" s="0" t="n">
        <v>13</v>
      </c>
      <c r="B1232" s="8" t="s">
        <v>24</v>
      </c>
      <c r="C1232" s="9" t="s">
        <v>25</v>
      </c>
      <c r="D1232" s="9" t="s">
        <v>26</v>
      </c>
      <c r="E1232" s="10" t="n">
        <v>1789</v>
      </c>
      <c r="F1232" s="9" t="s">
        <v>27</v>
      </c>
      <c r="G1232" s="9" t="s">
        <v>27</v>
      </c>
      <c r="H1232" s="11" t="n">
        <v>23</v>
      </c>
      <c r="I1232" s="11" t="s">
        <v>255</v>
      </c>
      <c r="J1232" s="14" t="n">
        <v>6</v>
      </c>
      <c r="K1232" s="14"/>
      <c r="L1232" s="16"/>
      <c r="M1232" s="27" t="n">
        <f aca="false">J1232+(K1232/20)+(L1232/240)</f>
        <v>6</v>
      </c>
      <c r="N1232" s="17" t="s">
        <v>64</v>
      </c>
      <c r="O1232" s="11"/>
      <c r="P1232" s="28"/>
      <c r="Q1232" s="28" t="n">
        <f aca="false">P1232*$M1232</f>
        <v>0</v>
      </c>
      <c r="R1232" s="28"/>
      <c r="S1232" s="28" t="n">
        <f aca="false">R1232*$M1232</f>
        <v>0</v>
      </c>
      <c r="T1232" s="28"/>
      <c r="U1232" s="28" t="n">
        <f aca="false">T1232*$M1232</f>
        <v>0</v>
      </c>
      <c r="V1232" s="28" t="n">
        <f aca="false">8263/100</f>
        <v>82.63</v>
      </c>
      <c r="W1232" s="28" t="n">
        <v>496</v>
      </c>
      <c r="X1232" s="28"/>
      <c r="Y1232" s="28" t="n">
        <f aca="false">X1232*$M1232</f>
        <v>0</v>
      </c>
      <c r="Z1232" s="28" t="n">
        <f aca="false">62695/100</f>
        <v>626.95</v>
      </c>
      <c r="AA1232" s="28" t="n">
        <v>3762</v>
      </c>
      <c r="AB1232" s="28"/>
      <c r="AC1232" s="28" t="n">
        <f aca="false">AB1232*$M1232</f>
        <v>0</v>
      </c>
      <c r="AD1232" s="28"/>
      <c r="AE1232" s="28" t="n">
        <f aca="false">AD1232*$M1232</f>
        <v>0</v>
      </c>
      <c r="AF1232" s="28"/>
      <c r="AG1232" s="28" t="n">
        <f aca="false">AF1232*$M1232</f>
        <v>0</v>
      </c>
      <c r="AH1232" s="28"/>
      <c r="AI1232" s="28" t="n">
        <f aca="false">AH1232*$M1232</f>
        <v>0</v>
      </c>
      <c r="AJ1232" s="28"/>
      <c r="AK1232" s="28" t="n">
        <f aca="false">AJ1232*$M1232</f>
        <v>0</v>
      </c>
      <c r="AL1232" s="28"/>
      <c r="AM1232" s="28" t="n">
        <f aca="false">AL1232*$M1232</f>
        <v>0</v>
      </c>
      <c r="AN1232" s="28"/>
      <c r="AO1232" s="28" t="n">
        <f aca="false">AN1232*$M1232</f>
        <v>0</v>
      </c>
      <c r="AP1232" s="28"/>
      <c r="AQ1232" s="28" t="n">
        <f aca="false">AP1232*$M1232</f>
        <v>0</v>
      </c>
      <c r="AR1232" s="28"/>
      <c r="AS1232" s="28" t="n">
        <f aca="false">AR1232*$M1232</f>
        <v>0</v>
      </c>
      <c r="AT1232" s="28"/>
      <c r="AU1232" s="28" t="n">
        <f aca="false">AT1232*$M1232</f>
        <v>0</v>
      </c>
      <c r="AV1232" s="28"/>
      <c r="AW1232" s="28" t="n">
        <f aca="false">AV1232*$M1232</f>
        <v>0</v>
      </c>
      <c r="AX1232" s="28"/>
      <c r="AY1232" s="28" t="n">
        <f aca="false">AX1232*$M1232</f>
        <v>0</v>
      </c>
      <c r="AZ1232" s="30" t="n">
        <f aca="false">70958/100</f>
        <v>709.58</v>
      </c>
      <c r="BA1232" s="11" t="n">
        <v>4258</v>
      </c>
      <c r="BB1232" s="31" t="n">
        <f aca="false">SUM(Q1232,S1232,U1232,W1232,Y1232,AA1232,AC1232,AE1232,AG1232,AI1232,AK1232,AM1232,AO1232,AQ1232,AS1232,AU1232,AW1232,AY1232)</f>
        <v>4258</v>
      </c>
      <c r="BC1232" s="28" t="n">
        <f aca="false">BA1232-BB1232</f>
        <v>0</v>
      </c>
      <c r="BD1232" s="32" t="n">
        <f aca="false">SUM(P1232,R1232,T1232,V1232,X1232,Z1232,AB1232,AD1232,AF1232,AH1232,AJ1232,AL1232,AN1232,AP1232,AR1232,AT1232,AV1232,AX1232)</f>
        <v>709.58</v>
      </c>
      <c r="BE1232" s="33" t="n">
        <f aca="false">AZ1232-BD1232</f>
        <v>0</v>
      </c>
      <c r="BF1232" s="34" t="n">
        <f aca="false">BD1232*M1232</f>
        <v>4257.48</v>
      </c>
      <c r="BG1232" s="35" t="n">
        <f aca="false">BA1232-BF1232</f>
        <v>0.519999999999527</v>
      </c>
      <c r="BH1232" s="19" t="str">
        <f aca="false">IF(BG1232=0,"",IF(BG1232&lt;&gt;BA1232,"erreur de calcul",IF(BD1232&lt;&gt;0,"pas de prix",IF(M1232&lt;&gt; 0,"pas de quantité","pas de prix, ni de quantité"))))</f>
        <v>erreur de calcul</v>
      </c>
      <c r="BI1232" s="19"/>
    </row>
    <row r="1233" customFormat="false" ht="15" hidden="false" customHeight="false" outlineLevel="0" collapsed="false">
      <c r="A1233" s="0" t="n">
        <v>14</v>
      </c>
      <c r="B1233" s="8" t="s">
        <v>24</v>
      </c>
      <c r="C1233" s="9" t="s">
        <v>25</v>
      </c>
      <c r="D1233" s="9" t="s">
        <v>26</v>
      </c>
      <c r="E1233" s="10" t="n">
        <v>1789</v>
      </c>
      <c r="F1233" s="9" t="s">
        <v>27</v>
      </c>
      <c r="G1233" s="9" t="s">
        <v>27</v>
      </c>
      <c r="H1233" s="11" t="n">
        <v>23</v>
      </c>
      <c r="I1233" s="11" t="s">
        <v>256</v>
      </c>
      <c r="J1233" s="14" t="n">
        <v>30</v>
      </c>
      <c r="K1233" s="14"/>
      <c r="L1233" s="16"/>
      <c r="M1233" s="27" t="n">
        <f aca="false">J1233+(K1233/20)+(L1233/240)</f>
        <v>30</v>
      </c>
      <c r="N1233" s="17" t="s">
        <v>64</v>
      </c>
      <c r="O1233" s="11"/>
      <c r="P1233" s="28" t="n">
        <f aca="false">1584/100</f>
        <v>15.84</v>
      </c>
      <c r="Q1233" s="28" t="n">
        <v>475</v>
      </c>
      <c r="R1233" s="28"/>
      <c r="S1233" s="28" t="n">
        <f aca="false">R1233*$M1233</f>
        <v>0</v>
      </c>
      <c r="T1233" s="28" t="n">
        <f aca="false">78834/100</f>
        <v>788.34</v>
      </c>
      <c r="U1233" s="28" t="n">
        <v>23650</v>
      </c>
      <c r="V1233" s="28"/>
      <c r="W1233" s="28" t="n">
        <f aca="false">V1233*$M1233</f>
        <v>0</v>
      </c>
      <c r="X1233" s="28"/>
      <c r="Y1233" s="28" t="n">
        <f aca="false">X1233*$M1233</f>
        <v>0</v>
      </c>
      <c r="Z1233" s="28"/>
      <c r="AA1233" s="28" t="n">
        <f aca="false">Z1233*$M1233</f>
        <v>0</v>
      </c>
      <c r="AB1233" s="28"/>
      <c r="AC1233" s="28" t="n">
        <f aca="false">AB1233*$M1233</f>
        <v>0</v>
      </c>
      <c r="AD1233" s="28"/>
      <c r="AE1233" s="28" t="n">
        <f aca="false">AD1233*$M1233</f>
        <v>0</v>
      </c>
      <c r="AF1233" s="28"/>
      <c r="AG1233" s="28" t="n">
        <f aca="false">AF1233*$M1233</f>
        <v>0</v>
      </c>
      <c r="AH1233" s="28"/>
      <c r="AI1233" s="28" t="n">
        <f aca="false">AH1233*$M1233</f>
        <v>0</v>
      </c>
      <c r="AJ1233" s="28"/>
      <c r="AK1233" s="28" t="n">
        <f aca="false">AJ1233*$M1233</f>
        <v>0</v>
      </c>
      <c r="AL1233" s="28"/>
      <c r="AM1233" s="28" t="n">
        <f aca="false">AL1233*$M1233</f>
        <v>0</v>
      </c>
      <c r="AN1233" s="28"/>
      <c r="AO1233" s="28" t="n">
        <f aca="false">AN1233*$M1233</f>
        <v>0</v>
      </c>
      <c r="AP1233" s="28"/>
      <c r="AQ1233" s="28" t="n">
        <f aca="false">AP1233*$M1233</f>
        <v>0</v>
      </c>
      <c r="AR1233" s="28"/>
      <c r="AS1233" s="28" t="n">
        <f aca="false">AR1233*$M1233</f>
        <v>0</v>
      </c>
      <c r="AT1233" s="28"/>
      <c r="AU1233" s="28" t="n">
        <f aca="false">AT1233*$M1233</f>
        <v>0</v>
      </c>
      <c r="AV1233" s="28"/>
      <c r="AW1233" s="28" t="n">
        <f aca="false">AV1233*$M1233</f>
        <v>0</v>
      </c>
      <c r="AX1233" s="28"/>
      <c r="AY1233" s="28" t="n">
        <f aca="false">AX1233*$M1233</f>
        <v>0</v>
      </c>
      <c r="AZ1233" s="30" t="n">
        <f aca="false">80418/100</f>
        <v>804.18</v>
      </c>
      <c r="BA1233" s="11" t="n">
        <v>24125</v>
      </c>
      <c r="BB1233" s="31" t="n">
        <f aca="false">SUM(Q1233,S1233,U1233,W1233,Y1233,AA1233,AC1233,AE1233,AG1233,AI1233,AK1233,AM1233,AO1233,AQ1233,AS1233,AU1233,AW1233,AY1233)</f>
        <v>24125</v>
      </c>
      <c r="BC1233" s="28" t="n">
        <f aca="false">BA1233-BB1233</f>
        <v>0</v>
      </c>
      <c r="BD1233" s="32" t="n">
        <f aca="false">SUM(P1233,R1233,T1233,V1233,X1233,Z1233,AB1233,AD1233,AF1233,AH1233,AJ1233,AL1233,AN1233,AP1233,AR1233,AT1233,AV1233,AX1233)</f>
        <v>804.18</v>
      </c>
      <c r="BE1233" s="33" t="n">
        <f aca="false">AZ1233-BD1233</f>
        <v>0</v>
      </c>
      <c r="BF1233" s="34" t="n">
        <f aca="false">BD1233*M1233</f>
        <v>24125.4</v>
      </c>
      <c r="BG1233" s="35" t="n">
        <f aca="false">BA1233-BF1233</f>
        <v>-0.400000000001455</v>
      </c>
      <c r="BH1233" s="19" t="str">
        <f aca="false">IF(BG1233=0,"",IF(BG1233&lt;&gt;BA1233,"erreur de calcul",IF(BD1233&lt;&gt;0,"pas de prix",IF(M1233&lt;&gt; 0,"pas de quantité","pas de prix, ni de quantité"))))</f>
        <v>erreur de calcul</v>
      </c>
      <c r="BI1233" s="19"/>
    </row>
    <row r="1234" customFormat="false" ht="15" hidden="false" customHeight="false" outlineLevel="0" collapsed="false">
      <c r="A1234" s="0" t="n">
        <v>15</v>
      </c>
      <c r="B1234" s="8" t="s">
        <v>24</v>
      </c>
      <c r="C1234" s="9" t="s">
        <v>25</v>
      </c>
      <c r="D1234" s="9" t="s">
        <v>26</v>
      </c>
      <c r="E1234" s="10" t="n">
        <v>1789</v>
      </c>
      <c r="F1234" s="9" t="s">
        <v>27</v>
      </c>
      <c r="G1234" s="9" t="s">
        <v>27</v>
      </c>
      <c r="H1234" s="11" t="n">
        <v>23</v>
      </c>
      <c r="I1234" s="11" t="s">
        <v>257</v>
      </c>
      <c r="J1234" s="14" t="n">
        <v>40</v>
      </c>
      <c r="K1234" s="14"/>
      <c r="L1234" s="16"/>
      <c r="M1234" s="27" t="n">
        <f aca="false">J1234+(K1234/20)+(L1234/240)</f>
        <v>40</v>
      </c>
      <c r="N1234" s="17" t="s">
        <v>64</v>
      </c>
      <c r="O1234" s="11"/>
      <c r="P1234" s="28"/>
      <c r="Q1234" s="28" t="n">
        <f aca="false">P1234*$M1234</f>
        <v>0</v>
      </c>
      <c r="R1234" s="28"/>
      <c r="S1234" s="28" t="n">
        <f aca="false">R1234*$M1234</f>
        <v>0</v>
      </c>
      <c r="T1234" s="28"/>
      <c r="U1234" s="28" t="n">
        <f aca="false">T1234*$M1234</f>
        <v>0</v>
      </c>
      <c r="V1234" s="28"/>
      <c r="W1234" s="28" t="n">
        <f aca="false">V1234*$M1234</f>
        <v>0</v>
      </c>
      <c r="X1234" s="28"/>
      <c r="Y1234" s="28" t="n">
        <f aca="false">X1234*$M1234</f>
        <v>0</v>
      </c>
      <c r="Z1234" s="28"/>
      <c r="AA1234" s="28" t="n">
        <f aca="false">Z1234*$M1234</f>
        <v>0</v>
      </c>
      <c r="AB1234" s="28"/>
      <c r="AC1234" s="28" t="n">
        <f aca="false">AB1234*$M1234</f>
        <v>0</v>
      </c>
      <c r="AD1234" s="28"/>
      <c r="AE1234" s="28" t="n">
        <f aca="false">AD1234*$M1234</f>
        <v>0</v>
      </c>
      <c r="AF1234" s="28"/>
      <c r="AG1234" s="28" t="n">
        <f aca="false">AF1234*$M1234</f>
        <v>0</v>
      </c>
      <c r="AH1234" s="28"/>
      <c r="AI1234" s="28" t="n">
        <f aca="false">AH1234*$M1234</f>
        <v>0</v>
      </c>
      <c r="AJ1234" s="28" t="n">
        <f aca="false">784564/100</f>
        <v>7845.64</v>
      </c>
      <c r="AK1234" s="28" t="n">
        <v>313826</v>
      </c>
      <c r="AL1234" s="28" t="n">
        <f aca="false">33500/100</f>
        <v>335</v>
      </c>
      <c r="AM1234" s="28" t="n">
        <v>13400</v>
      </c>
      <c r="AN1234" s="28"/>
      <c r="AO1234" s="28" t="n">
        <f aca="false">AN1234*$M1234</f>
        <v>0</v>
      </c>
      <c r="AP1234" s="28"/>
      <c r="AQ1234" s="28" t="n">
        <f aca="false">AP1234*$M1234</f>
        <v>0</v>
      </c>
      <c r="AR1234" s="28"/>
      <c r="AS1234" s="28" t="n">
        <f aca="false">AR1234*$M1234</f>
        <v>0</v>
      </c>
      <c r="AT1234" s="28"/>
      <c r="AU1234" s="28" t="n">
        <f aca="false">AT1234*$M1234</f>
        <v>0</v>
      </c>
      <c r="AV1234" s="28"/>
      <c r="AW1234" s="28" t="n">
        <f aca="false">AV1234*$M1234</f>
        <v>0</v>
      </c>
      <c r="AX1234" s="28"/>
      <c r="AY1234" s="28" t="n">
        <f aca="false">AX1234*$M1234</f>
        <v>0</v>
      </c>
      <c r="AZ1234" s="30" t="n">
        <f aca="false">818064/100</f>
        <v>8180.64</v>
      </c>
      <c r="BA1234" s="11" t="n">
        <v>327226</v>
      </c>
      <c r="BB1234" s="31" t="n">
        <f aca="false">SUM(Q1234,S1234,U1234,W1234,Y1234,AA1234,AC1234,AE1234,AG1234,AI1234,AK1234,AM1234,AO1234,AQ1234,AS1234,AU1234,AW1234,AY1234)</f>
        <v>327226</v>
      </c>
      <c r="BC1234" s="28" t="n">
        <f aca="false">BA1234-BB1234</f>
        <v>0</v>
      </c>
      <c r="BD1234" s="32" t="n">
        <f aca="false">SUM(P1234,R1234,T1234,V1234,X1234,Z1234,AB1234,AD1234,AF1234,AH1234,AJ1234,AL1234,AN1234,AP1234,AR1234,AT1234,AV1234,AX1234)</f>
        <v>8180.64</v>
      </c>
      <c r="BE1234" s="33" t="n">
        <f aca="false">AZ1234-BD1234</f>
        <v>0</v>
      </c>
      <c r="BF1234" s="34" t="n">
        <f aca="false">BD1234*M1234</f>
        <v>327225.6</v>
      </c>
      <c r="BG1234" s="35" t="n">
        <f aca="false">BA1234-BF1234</f>
        <v>0.399999999965075</v>
      </c>
      <c r="BH1234" s="19" t="str">
        <f aca="false">IF(BG1234=0,"",IF(BG1234&lt;&gt;BA1234,"erreur de calcul",IF(BD1234&lt;&gt;0,"pas de prix",IF(M1234&lt;&gt; 0,"pas de quantité","pas de prix, ni de quantité"))))</f>
        <v>erreur de calcul</v>
      </c>
      <c r="BI1234" s="19"/>
    </row>
    <row r="1235" customFormat="false" ht="15" hidden="false" customHeight="false" outlineLevel="0" collapsed="false">
      <c r="A1235" s="0" t="n">
        <v>16</v>
      </c>
      <c r="B1235" s="8" t="s">
        <v>24</v>
      </c>
      <c r="C1235" s="9" t="s">
        <v>25</v>
      </c>
      <c r="D1235" s="9" t="s">
        <v>26</v>
      </c>
      <c r="E1235" s="10" t="n">
        <v>1789</v>
      </c>
      <c r="F1235" s="9" t="s">
        <v>27</v>
      </c>
      <c r="G1235" s="9" t="s">
        <v>27</v>
      </c>
      <c r="H1235" s="11" t="n">
        <v>23</v>
      </c>
      <c r="I1235" s="11" t="s">
        <v>258</v>
      </c>
      <c r="J1235" s="14" t="n">
        <v>75</v>
      </c>
      <c r="K1235" s="14"/>
      <c r="L1235" s="16"/>
      <c r="M1235" s="27" t="n">
        <f aca="false">J1235+(K1235/20)+(L1235/240)</f>
        <v>75</v>
      </c>
      <c r="N1235" s="17" t="s">
        <v>64</v>
      </c>
      <c r="O1235" s="11"/>
      <c r="P1235" s="28"/>
      <c r="Q1235" s="28" t="n">
        <f aca="false">P1235*$M1235</f>
        <v>0</v>
      </c>
      <c r="R1235" s="28"/>
      <c r="S1235" s="28" t="n">
        <f aca="false">R1235*$M1235</f>
        <v>0</v>
      </c>
      <c r="T1235" s="28" t="n">
        <f aca="false">1000/100</f>
        <v>10</v>
      </c>
      <c r="U1235" s="28" t="n">
        <v>750</v>
      </c>
      <c r="V1235" s="28" t="n">
        <f aca="false">17232/100</f>
        <v>172.32</v>
      </c>
      <c r="W1235" s="28" t="n">
        <v>12924</v>
      </c>
      <c r="X1235" s="28" t="n">
        <f aca="false">942/100</f>
        <v>9.42</v>
      </c>
      <c r="Y1235" s="28" t="n">
        <v>706</v>
      </c>
      <c r="Z1235" s="28"/>
      <c r="AA1235" s="28" t="n">
        <f aca="false">Z1235*$M1235</f>
        <v>0</v>
      </c>
      <c r="AB1235" s="28" t="n">
        <f aca="false">415/100</f>
        <v>4.15</v>
      </c>
      <c r="AC1235" s="28" t="n">
        <v>311</v>
      </c>
      <c r="AD1235" s="28"/>
      <c r="AE1235" s="28" t="n">
        <f aca="false">AD1235*$M1235</f>
        <v>0</v>
      </c>
      <c r="AF1235" s="28"/>
      <c r="AG1235" s="28" t="n">
        <f aca="false">AF1235*$M1235</f>
        <v>0</v>
      </c>
      <c r="AH1235" s="28"/>
      <c r="AI1235" s="28" t="n">
        <f aca="false">AH1235*$M1235</f>
        <v>0</v>
      </c>
      <c r="AJ1235" s="28"/>
      <c r="AK1235" s="28" t="n">
        <f aca="false">AJ1235*$M1235</f>
        <v>0</v>
      </c>
      <c r="AL1235" s="28"/>
      <c r="AM1235" s="28" t="n">
        <f aca="false">AL1235*$M1235</f>
        <v>0</v>
      </c>
      <c r="AN1235" s="28"/>
      <c r="AO1235" s="28" t="n">
        <f aca="false">AN1235*$M1235</f>
        <v>0</v>
      </c>
      <c r="AP1235" s="28"/>
      <c r="AQ1235" s="28" t="n">
        <f aca="false">AP1235*$M1235</f>
        <v>0</v>
      </c>
      <c r="AR1235" s="28"/>
      <c r="AS1235" s="28" t="n">
        <f aca="false">AR1235*$M1235</f>
        <v>0</v>
      </c>
      <c r="AT1235" s="28"/>
      <c r="AU1235" s="28" t="n">
        <f aca="false">AT1235*$M1235</f>
        <v>0</v>
      </c>
      <c r="AV1235" s="28"/>
      <c r="AW1235" s="28" t="n">
        <f aca="false">AV1235*$M1235</f>
        <v>0</v>
      </c>
      <c r="AX1235" s="28"/>
      <c r="AY1235" s="28" t="n">
        <f aca="false">AX1235*$M1235</f>
        <v>0</v>
      </c>
      <c r="AZ1235" s="30" t="n">
        <f aca="false">19589/100</f>
        <v>195.89</v>
      </c>
      <c r="BA1235" s="11" t="n">
        <v>14691</v>
      </c>
      <c r="BB1235" s="31" t="n">
        <f aca="false">SUM(Q1235,S1235,U1235,W1235,Y1235,AA1235,AC1235,AE1235,AG1235,AI1235,AK1235,AM1235,AO1235,AQ1235,AS1235,AU1235,AW1235,AY1235)</f>
        <v>14691</v>
      </c>
      <c r="BC1235" s="28" t="n">
        <f aca="false">BA1235-BB1235</f>
        <v>0</v>
      </c>
      <c r="BD1235" s="32" t="n">
        <f aca="false">SUM(P1235,R1235,T1235,V1235,X1235,Z1235,AB1235,AD1235,AF1235,AH1235,AJ1235,AL1235,AN1235,AP1235,AR1235,AT1235,AV1235,AX1235)</f>
        <v>195.89</v>
      </c>
      <c r="BE1235" s="33" t="n">
        <f aca="false">AZ1235-BD1235</f>
        <v>0</v>
      </c>
      <c r="BF1235" s="34" t="n">
        <f aca="false">BD1235*M1235</f>
        <v>14691.75</v>
      </c>
      <c r="BG1235" s="35" t="n">
        <f aca="false">BA1235-BF1235</f>
        <v>-0.749999999998181</v>
      </c>
      <c r="BH1235" s="19" t="str">
        <f aca="false">IF(BG1235=0,"",IF(BG1235&lt;&gt;BA1235,"erreur de calcul",IF(BD1235&lt;&gt;0,"pas de prix",IF(M1235&lt;&gt; 0,"pas de quantité","pas de prix, ni de quantité"))))</f>
        <v>erreur de calcul</v>
      </c>
      <c r="BI1235" s="19"/>
    </row>
    <row r="1236" customFormat="false" ht="15" hidden="false" customHeight="false" outlineLevel="0" collapsed="false">
      <c r="A1236" s="0" t="n">
        <v>17</v>
      </c>
      <c r="B1236" s="8" t="s">
        <v>24</v>
      </c>
      <c r="C1236" s="9" t="s">
        <v>25</v>
      </c>
      <c r="D1236" s="9" t="s">
        <v>26</v>
      </c>
      <c r="E1236" s="10" t="n">
        <v>1789</v>
      </c>
      <c r="F1236" s="9" t="s">
        <v>27</v>
      </c>
      <c r="G1236" s="9" t="s">
        <v>27</v>
      </c>
      <c r="H1236" s="11" t="n">
        <v>23</v>
      </c>
      <c r="I1236" s="11" t="s">
        <v>259</v>
      </c>
      <c r="J1236" s="14"/>
      <c r="K1236" s="14"/>
      <c r="L1236" s="16"/>
      <c r="M1236" s="27" t="n">
        <f aca="false">J1236+(K1236/20)+(L1236/240)</f>
        <v>0</v>
      </c>
      <c r="N1236" s="17"/>
      <c r="O1236" s="11"/>
      <c r="P1236" s="28"/>
      <c r="Q1236" s="28" t="n">
        <v>957</v>
      </c>
      <c r="R1236" s="28"/>
      <c r="S1236" s="28" t="n">
        <f aca="false">R1236*$M1236</f>
        <v>0</v>
      </c>
      <c r="T1236" s="28"/>
      <c r="U1236" s="28" t="n">
        <v>354</v>
      </c>
      <c r="V1236" s="28"/>
      <c r="W1236" s="28" t="n">
        <v>398</v>
      </c>
      <c r="X1236" s="28"/>
      <c r="Y1236" s="28" t="n">
        <v>685</v>
      </c>
      <c r="Z1236" s="28"/>
      <c r="AA1236" s="28" t="n">
        <v>120</v>
      </c>
      <c r="AB1236" s="28"/>
      <c r="AC1236" s="28" t="n">
        <v>2994</v>
      </c>
      <c r="AD1236" s="28"/>
      <c r="AE1236" s="28" t="n">
        <f aca="false">AD1236*$M1236</f>
        <v>0</v>
      </c>
      <c r="AF1236" s="28"/>
      <c r="AG1236" s="28" t="n">
        <f aca="false">AF1236*$M1236</f>
        <v>0</v>
      </c>
      <c r="AH1236" s="28"/>
      <c r="AI1236" s="28" t="n">
        <v>144</v>
      </c>
      <c r="AJ1236" s="28"/>
      <c r="AK1236" s="28" t="n">
        <f aca="false">AJ1236*$M1236</f>
        <v>0</v>
      </c>
      <c r="AL1236" s="28"/>
      <c r="AM1236" s="28" t="n">
        <f aca="false">AL1236*$M1236</f>
        <v>0</v>
      </c>
      <c r="AN1236" s="28"/>
      <c r="AO1236" s="28" t="n">
        <f aca="false">AN1236*$M1236</f>
        <v>0</v>
      </c>
      <c r="AP1236" s="28"/>
      <c r="AQ1236" s="28" t="n">
        <f aca="false">AP1236*$M1236</f>
        <v>0</v>
      </c>
      <c r="AR1236" s="28"/>
      <c r="AS1236" s="28" t="n">
        <f aca="false">AR1236*$M1236</f>
        <v>0</v>
      </c>
      <c r="AT1236" s="28"/>
      <c r="AU1236" s="28" t="n">
        <f aca="false">AT1236*$M1236</f>
        <v>0</v>
      </c>
      <c r="AV1236" s="28"/>
      <c r="AW1236" s="28" t="n">
        <f aca="false">AV1236*$M1236</f>
        <v>0</v>
      </c>
      <c r="AX1236" s="28"/>
      <c r="AY1236" s="28" t="n">
        <f aca="false">AX1236*$M1236</f>
        <v>0</v>
      </c>
      <c r="AZ1236" s="30"/>
      <c r="BA1236" s="11" t="n">
        <v>5652</v>
      </c>
      <c r="BB1236" s="31" t="n">
        <f aca="false">SUM(Q1236,S1236,U1236,W1236,Y1236,AA1236,AC1236,AE1236,AG1236,AI1236,AK1236,AM1236,AO1236,AQ1236,AS1236,AU1236,AW1236,AY1236)</f>
        <v>5652</v>
      </c>
      <c r="BC1236" s="28" t="n">
        <f aca="false">BA1236-BB1236</f>
        <v>0</v>
      </c>
      <c r="BD1236" s="32" t="n">
        <f aca="false">SUM(P1236,R1236,T1236,V1236,X1236,Z1236,AB1236,AD1236,AF1236,AH1236,AJ1236,AL1236,AN1236,AP1236,AR1236,AT1236,AV1236,AX1236)</f>
        <v>0</v>
      </c>
      <c r="BE1236" s="33" t="n">
        <f aca="false">AZ1236-BD1236</f>
        <v>0</v>
      </c>
      <c r="BF1236" s="34" t="n">
        <f aca="false">BD1236*M1236</f>
        <v>0</v>
      </c>
      <c r="BG1236" s="35" t="n">
        <f aca="false">BA1236-BF1236</f>
        <v>5652</v>
      </c>
      <c r="BH1236" s="19" t="str">
        <f aca="false">IF(BG1236=0,"",IF(BG1236&lt;&gt;BA1236,"erreur de calcul",IF(BD1236&lt;&gt;0,"pas de prix",IF(M1236&lt;&gt; 0,"pas de quantité","pas de prix, ni de quantité"))))</f>
        <v>pas de prix, ni de quantité</v>
      </c>
      <c r="BI1236" s="19"/>
    </row>
    <row r="1237" customFormat="false" ht="15" hidden="false" customHeight="false" outlineLevel="0" collapsed="false">
      <c r="A1237" s="0" t="n">
        <v>18</v>
      </c>
      <c r="B1237" s="8" t="s">
        <v>24</v>
      </c>
      <c r="C1237" s="9" t="s">
        <v>25</v>
      </c>
      <c r="D1237" s="9" t="s">
        <v>26</v>
      </c>
      <c r="E1237" s="10" t="n">
        <v>1789</v>
      </c>
      <c r="F1237" s="9" t="s">
        <v>27</v>
      </c>
      <c r="G1237" s="9" t="s">
        <v>27</v>
      </c>
      <c r="H1237" s="11" t="n">
        <v>23</v>
      </c>
      <c r="I1237" s="11" t="s">
        <v>260</v>
      </c>
      <c r="J1237" s="14" t="n">
        <v>88</v>
      </c>
      <c r="K1237" s="14"/>
      <c r="L1237" s="16"/>
      <c r="M1237" s="27" t="n">
        <f aca="false">J1237+(K1237/20)+(L1237/240)</f>
        <v>88</v>
      </c>
      <c r="N1237" s="17" t="s">
        <v>64</v>
      </c>
      <c r="O1237" s="11"/>
      <c r="P1237" s="28"/>
      <c r="Q1237" s="28" t="n">
        <f aca="false">P1237*$M1237</f>
        <v>0</v>
      </c>
      <c r="R1237" s="28"/>
      <c r="S1237" s="28" t="n">
        <f aca="false">R1237*$M1237</f>
        <v>0</v>
      </c>
      <c r="T1237" s="28"/>
      <c r="U1237" s="28" t="n">
        <f aca="false">T1237*$M1237</f>
        <v>0</v>
      </c>
      <c r="V1237" s="28" t="n">
        <f aca="false">21004/100</f>
        <v>210.04</v>
      </c>
      <c r="W1237" s="28" t="n">
        <v>18483</v>
      </c>
      <c r="X1237" s="28"/>
      <c r="Y1237" s="28" t="n">
        <f aca="false">X1237*$M1237</f>
        <v>0</v>
      </c>
      <c r="Z1237" s="28"/>
      <c r="AA1237" s="28" t="n">
        <f aca="false">Z1237*$M1237</f>
        <v>0</v>
      </c>
      <c r="AB1237" s="28"/>
      <c r="AC1237" s="28" t="n">
        <f aca="false">AB1237*$M1237</f>
        <v>0</v>
      </c>
      <c r="AD1237" s="28"/>
      <c r="AE1237" s="28" t="n">
        <f aca="false">AD1237*$M1237</f>
        <v>0</v>
      </c>
      <c r="AF1237" s="28"/>
      <c r="AG1237" s="28" t="n">
        <f aca="false">AF1237*$M1237</f>
        <v>0</v>
      </c>
      <c r="AH1237" s="28"/>
      <c r="AI1237" s="28" t="n">
        <f aca="false">AH1237*$M1237</f>
        <v>0</v>
      </c>
      <c r="AJ1237" s="28"/>
      <c r="AK1237" s="28" t="n">
        <f aca="false">AJ1237*$M1237</f>
        <v>0</v>
      </c>
      <c r="AL1237" s="28"/>
      <c r="AM1237" s="28" t="n">
        <f aca="false">AL1237*$M1237</f>
        <v>0</v>
      </c>
      <c r="AN1237" s="28"/>
      <c r="AO1237" s="28" t="n">
        <f aca="false">AN1237*$M1237</f>
        <v>0</v>
      </c>
      <c r="AP1237" s="28"/>
      <c r="AQ1237" s="28" t="n">
        <f aca="false">AP1237*$M1237</f>
        <v>0</v>
      </c>
      <c r="AR1237" s="28"/>
      <c r="AS1237" s="28" t="n">
        <f aca="false">AR1237*$M1237</f>
        <v>0</v>
      </c>
      <c r="AT1237" s="28"/>
      <c r="AU1237" s="28" t="n">
        <f aca="false">AT1237*$M1237</f>
        <v>0</v>
      </c>
      <c r="AV1237" s="28"/>
      <c r="AW1237" s="28" t="n">
        <f aca="false">AV1237*$M1237</f>
        <v>0</v>
      </c>
      <c r="AX1237" s="28"/>
      <c r="AY1237" s="28" t="n">
        <f aca="false">AX1237*$M1237</f>
        <v>0</v>
      </c>
      <c r="AZ1237" s="30" t="n">
        <f aca="false">21004/100</f>
        <v>210.04</v>
      </c>
      <c r="BA1237" s="11" t="n">
        <v>18483</v>
      </c>
      <c r="BB1237" s="31" t="n">
        <f aca="false">SUM(Q1237,S1237,U1237,W1237,Y1237,AA1237,AC1237,AE1237,AG1237,AI1237,AK1237,AM1237,AO1237,AQ1237,AS1237,AU1237,AW1237,AY1237)</f>
        <v>18483</v>
      </c>
      <c r="BC1237" s="28" t="n">
        <f aca="false">BA1237-BB1237</f>
        <v>0</v>
      </c>
      <c r="BD1237" s="32" t="n">
        <f aca="false">SUM(P1237,R1237,T1237,V1237,X1237,Z1237,AB1237,AD1237,AF1237,AH1237,AJ1237,AL1237,AN1237,AP1237,AR1237,AT1237,AV1237,AX1237)</f>
        <v>210.04</v>
      </c>
      <c r="BE1237" s="33" t="n">
        <f aca="false">AZ1237-BD1237</f>
        <v>0</v>
      </c>
      <c r="BF1237" s="34" t="n">
        <f aca="false">BD1237*M1237</f>
        <v>18483.52</v>
      </c>
      <c r="BG1237" s="35" t="n">
        <f aca="false">BA1237-BF1237</f>
        <v>-0.520000000000437</v>
      </c>
      <c r="BH1237" s="19" t="str">
        <f aca="false">IF(BG1237=0,"",IF(BG1237&lt;&gt;BA1237,"erreur de calcul",IF(BD1237&lt;&gt;0,"pas de prix",IF(M1237&lt;&gt; 0,"pas de quantité","pas de prix, ni de quantité"))))</f>
        <v>erreur de calcul</v>
      </c>
      <c r="BI1237" s="19"/>
    </row>
    <row r="1238" customFormat="false" ht="15" hidden="false" customHeight="false" outlineLevel="0" collapsed="false">
      <c r="A1238" s="0" t="n">
        <v>19</v>
      </c>
      <c r="B1238" s="8" t="s">
        <v>24</v>
      </c>
      <c r="C1238" s="9" t="s">
        <v>25</v>
      </c>
      <c r="D1238" s="9" t="s">
        <v>26</v>
      </c>
      <c r="E1238" s="10" t="n">
        <v>1789</v>
      </c>
      <c r="F1238" s="9" t="s">
        <v>27</v>
      </c>
      <c r="G1238" s="9" t="s">
        <v>27</v>
      </c>
      <c r="H1238" s="11" t="n">
        <v>23</v>
      </c>
      <c r="I1238" s="11" t="s">
        <v>261</v>
      </c>
      <c r="J1238" s="14" t="n">
        <v>35</v>
      </c>
      <c r="K1238" s="14"/>
      <c r="L1238" s="16"/>
      <c r="M1238" s="27" t="n">
        <f aca="false">J1238+(K1238/20)+(L1238/240)</f>
        <v>35</v>
      </c>
      <c r="N1238" s="17" t="s">
        <v>64</v>
      </c>
      <c r="O1238" s="11"/>
      <c r="P1238" s="28" t="n">
        <f aca="false">2877/100</f>
        <v>28.77</v>
      </c>
      <c r="Q1238" s="28" t="n">
        <v>1007</v>
      </c>
      <c r="R1238" s="28"/>
      <c r="S1238" s="28" t="n">
        <f aca="false">R1238*$M1238</f>
        <v>0</v>
      </c>
      <c r="T1238" s="28"/>
      <c r="U1238" s="28" t="n">
        <f aca="false">T1238*$M1238</f>
        <v>0</v>
      </c>
      <c r="V1238" s="28"/>
      <c r="W1238" s="28" t="n">
        <f aca="false">V1238*$M1238</f>
        <v>0</v>
      </c>
      <c r="X1238" s="28"/>
      <c r="Y1238" s="28" t="n">
        <f aca="false">X1238*$M1238</f>
        <v>0</v>
      </c>
      <c r="Z1238" s="28"/>
      <c r="AA1238" s="28" t="n">
        <f aca="false">Z1238*$M1238</f>
        <v>0</v>
      </c>
      <c r="AB1238" s="28"/>
      <c r="AC1238" s="28" t="n">
        <f aca="false">AB1238*$M1238</f>
        <v>0</v>
      </c>
      <c r="AD1238" s="28"/>
      <c r="AE1238" s="28" t="n">
        <f aca="false">AD1238*$M1238</f>
        <v>0</v>
      </c>
      <c r="AF1238" s="28"/>
      <c r="AG1238" s="28" t="n">
        <f aca="false">AF1238*$M1238</f>
        <v>0</v>
      </c>
      <c r="AH1238" s="28"/>
      <c r="AI1238" s="28" t="n">
        <f aca="false">AH1238*$M1238</f>
        <v>0</v>
      </c>
      <c r="AJ1238" s="28"/>
      <c r="AK1238" s="28" t="n">
        <f aca="false">AJ1238*$M1238</f>
        <v>0</v>
      </c>
      <c r="AL1238" s="28"/>
      <c r="AM1238" s="28" t="n">
        <f aca="false">AL1238*$M1238</f>
        <v>0</v>
      </c>
      <c r="AN1238" s="28"/>
      <c r="AO1238" s="28" t="n">
        <f aca="false">AN1238*$M1238</f>
        <v>0</v>
      </c>
      <c r="AP1238" s="28"/>
      <c r="AQ1238" s="28" t="n">
        <f aca="false">AP1238*$M1238</f>
        <v>0</v>
      </c>
      <c r="AR1238" s="28"/>
      <c r="AS1238" s="28" t="n">
        <f aca="false">AR1238*$M1238</f>
        <v>0</v>
      </c>
      <c r="AT1238" s="28"/>
      <c r="AU1238" s="28" t="n">
        <f aca="false">AT1238*$M1238</f>
        <v>0</v>
      </c>
      <c r="AV1238" s="28"/>
      <c r="AW1238" s="28" t="n">
        <f aca="false">AV1238*$M1238</f>
        <v>0</v>
      </c>
      <c r="AX1238" s="28"/>
      <c r="AY1238" s="28" t="n">
        <f aca="false">AX1238*$M1238</f>
        <v>0</v>
      </c>
      <c r="AZ1238" s="30" t="n">
        <f aca="false">2877/100</f>
        <v>28.77</v>
      </c>
      <c r="BA1238" s="11" t="n">
        <v>1007</v>
      </c>
      <c r="BB1238" s="31" t="n">
        <f aca="false">SUM(Q1238,S1238,U1238,W1238,Y1238,AA1238,AC1238,AE1238,AG1238,AI1238,AK1238,AM1238,AO1238,AQ1238,AS1238,AU1238,AW1238,AY1238)</f>
        <v>1007</v>
      </c>
      <c r="BC1238" s="28" t="n">
        <f aca="false">BA1238-BB1238</f>
        <v>0</v>
      </c>
      <c r="BD1238" s="32" t="n">
        <f aca="false">SUM(P1238,R1238,T1238,V1238,X1238,Z1238,AB1238,AD1238,AF1238,AH1238,AJ1238,AL1238,AN1238,AP1238,AR1238,AT1238,AV1238,AX1238)</f>
        <v>28.77</v>
      </c>
      <c r="BE1238" s="33" t="n">
        <f aca="false">AZ1238-BD1238</f>
        <v>0</v>
      </c>
      <c r="BF1238" s="34" t="n">
        <f aca="false">BD1238*M1238</f>
        <v>1006.95</v>
      </c>
      <c r="BG1238" s="35" t="n">
        <f aca="false">BA1238-BF1238</f>
        <v>0.0500000000000682</v>
      </c>
      <c r="BH1238" s="19" t="str">
        <f aca="false">IF(BG1238=0,"",IF(BG1238&lt;&gt;BA1238,"erreur de calcul",IF(BD1238&lt;&gt;0,"pas de prix",IF(M1238&lt;&gt; 0,"pas de quantité","pas de prix, ni de quantité"))))</f>
        <v>erreur de calcul</v>
      </c>
      <c r="BI1238" s="19"/>
    </row>
    <row r="1239" customFormat="false" ht="15" hidden="false" customHeight="false" outlineLevel="0" collapsed="false">
      <c r="A1239" s="0" t="n">
        <v>20</v>
      </c>
      <c r="B1239" s="8" t="s">
        <v>24</v>
      </c>
      <c r="C1239" s="9" t="s">
        <v>25</v>
      </c>
      <c r="D1239" s="9" t="s">
        <v>26</v>
      </c>
      <c r="E1239" s="10" t="n">
        <v>1789</v>
      </c>
      <c r="F1239" s="9" t="s">
        <v>27</v>
      </c>
      <c r="G1239" s="9" t="s">
        <v>27</v>
      </c>
      <c r="H1239" s="11" t="n">
        <v>23</v>
      </c>
      <c r="I1239" s="11" t="s">
        <v>262</v>
      </c>
      <c r="J1239" s="14" t="n">
        <v>40</v>
      </c>
      <c r="K1239" s="14"/>
      <c r="L1239" s="16"/>
      <c r="M1239" s="27" t="n">
        <f aca="false">J1239+(K1239/20)+(L1239/240)</f>
        <v>40</v>
      </c>
      <c r="N1239" s="17" t="s">
        <v>64</v>
      </c>
      <c r="O1239" s="11"/>
      <c r="P1239" s="28"/>
      <c r="Q1239" s="28" t="n">
        <f aca="false">P1239*$M1239</f>
        <v>0</v>
      </c>
      <c r="R1239" s="28"/>
      <c r="S1239" s="28" t="n">
        <f aca="false">R1239*$M1239</f>
        <v>0</v>
      </c>
      <c r="T1239" s="28"/>
      <c r="U1239" s="28" t="n">
        <f aca="false">T1239*$M1239</f>
        <v>0</v>
      </c>
      <c r="V1239" s="28"/>
      <c r="W1239" s="28" t="n">
        <f aca="false">V1239*$M1239</f>
        <v>0</v>
      </c>
      <c r="X1239" s="28"/>
      <c r="Y1239" s="28" t="n">
        <f aca="false">X1239*$M1239</f>
        <v>0</v>
      </c>
      <c r="Z1239" s="28"/>
      <c r="AA1239" s="28" t="n">
        <f aca="false">Z1239*$M1239</f>
        <v>0</v>
      </c>
      <c r="AB1239" s="28"/>
      <c r="AC1239" s="28" t="n">
        <f aca="false">AB1239*$M1239</f>
        <v>0</v>
      </c>
      <c r="AD1239" s="28"/>
      <c r="AE1239" s="28" t="n">
        <f aca="false">AD1239*$M1239</f>
        <v>0</v>
      </c>
      <c r="AF1239" s="28" t="n">
        <f aca="false">108620/100</f>
        <v>1086.2</v>
      </c>
      <c r="AG1239" s="28" t="n">
        <v>43448</v>
      </c>
      <c r="AH1239" s="28"/>
      <c r="AI1239" s="28" t="n">
        <f aca="false">AH1239*$M1239</f>
        <v>0</v>
      </c>
      <c r="AJ1239" s="28"/>
      <c r="AK1239" s="28" t="n">
        <f aca="false">AJ1239*$M1239</f>
        <v>0</v>
      </c>
      <c r="AL1239" s="28"/>
      <c r="AM1239" s="28" t="n">
        <f aca="false">AL1239*$M1239</f>
        <v>0</v>
      </c>
      <c r="AN1239" s="28"/>
      <c r="AO1239" s="28" t="n">
        <f aca="false">AN1239*$M1239</f>
        <v>0</v>
      </c>
      <c r="AP1239" s="28"/>
      <c r="AQ1239" s="28" t="n">
        <f aca="false">AP1239*$M1239</f>
        <v>0</v>
      </c>
      <c r="AR1239" s="28"/>
      <c r="AS1239" s="28" t="n">
        <f aca="false">AR1239*$M1239</f>
        <v>0</v>
      </c>
      <c r="AT1239" s="28"/>
      <c r="AU1239" s="28" t="n">
        <f aca="false">AT1239*$M1239</f>
        <v>0</v>
      </c>
      <c r="AV1239" s="28"/>
      <c r="AW1239" s="28" t="n">
        <f aca="false">AV1239*$M1239</f>
        <v>0</v>
      </c>
      <c r="AX1239" s="28"/>
      <c r="AY1239" s="28" t="n">
        <f aca="false">AX1239*$M1239</f>
        <v>0</v>
      </c>
      <c r="AZ1239" s="30" t="n">
        <f aca="false">108620/100</f>
        <v>1086.2</v>
      </c>
      <c r="BA1239" s="11" t="n">
        <v>43448</v>
      </c>
      <c r="BB1239" s="31" t="n">
        <f aca="false">SUM(Q1239,S1239,U1239,W1239,Y1239,AA1239,AC1239,AE1239,AG1239,AI1239,AK1239,AM1239,AO1239,AQ1239,AS1239,AU1239,AW1239,AY1239)</f>
        <v>43448</v>
      </c>
      <c r="BC1239" s="28" t="n">
        <f aca="false">BA1239-BB1239</f>
        <v>0</v>
      </c>
      <c r="BD1239" s="32" t="n">
        <f aca="false">SUM(P1239,R1239,T1239,V1239,X1239,Z1239,AB1239,AD1239,AF1239,AH1239,AJ1239,AL1239,AN1239,AP1239,AR1239,AT1239,AV1239,AX1239)</f>
        <v>1086.2</v>
      </c>
      <c r="BE1239" s="33" t="n">
        <f aca="false">AZ1239-BD1239</f>
        <v>0</v>
      </c>
      <c r="BF1239" s="34" t="n">
        <f aca="false">BD1239*M1239</f>
        <v>43448</v>
      </c>
      <c r="BG1239" s="35" t="n">
        <f aca="false">BA1239-BF1239</f>
        <v>0</v>
      </c>
      <c r="BH1239" s="19" t="str">
        <f aca="false">IF(BG1239=0,"",IF(BG1239&lt;&gt;BA1239,"erreur de calcul",IF(BD1239&lt;&gt;0,"pas de prix",IF(M1239&lt;&gt; 0,"pas de quantité","pas de prix, ni de quantité"))))</f>
        <v/>
      </c>
      <c r="BI1239" s="19"/>
    </row>
    <row r="1240" customFormat="false" ht="15" hidden="false" customHeight="false" outlineLevel="0" collapsed="false">
      <c r="A1240" s="0" t="n">
        <v>21</v>
      </c>
      <c r="B1240" s="8" t="s">
        <v>24</v>
      </c>
      <c r="C1240" s="9" t="s">
        <v>25</v>
      </c>
      <c r="D1240" s="9" t="s">
        <v>26</v>
      </c>
      <c r="E1240" s="10" t="n">
        <v>1789</v>
      </c>
      <c r="F1240" s="9" t="s">
        <v>27</v>
      </c>
      <c r="G1240" s="9" t="s">
        <v>27</v>
      </c>
      <c r="H1240" s="11" t="n">
        <v>23</v>
      </c>
      <c r="I1240" s="11" t="s">
        <v>263</v>
      </c>
      <c r="J1240" s="14" t="n">
        <v>12</v>
      </c>
      <c r="K1240" s="14"/>
      <c r="L1240" s="16"/>
      <c r="M1240" s="27" t="n">
        <f aca="false">J1240+(K1240/20)+(L1240/240)</f>
        <v>12</v>
      </c>
      <c r="N1240" s="17" t="s">
        <v>64</v>
      </c>
      <c r="O1240" s="11"/>
      <c r="P1240" s="28"/>
      <c r="Q1240" s="28" t="n">
        <f aca="false">P1240*$M1240</f>
        <v>0</v>
      </c>
      <c r="R1240" s="28"/>
      <c r="S1240" s="28" t="n">
        <f aca="false">R1240*$M1240</f>
        <v>0</v>
      </c>
      <c r="T1240" s="28"/>
      <c r="U1240" s="28" t="n">
        <f aca="false">T1240*$M1240</f>
        <v>0</v>
      </c>
      <c r="V1240" s="28"/>
      <c r="W1240" s="28" t="n">
        <f aca="false">V1240*$M1240</f>
        <v>0</v>
      </c>
      <c r="X1240" s="28"/>
      <c r="Y1240" s="28" t="n">
        <f aca="false">X1240*$M1240</f>
        <v>0</v>
      </c>
      <c r="Z1240" s="28"/>
      <c r="AA1240" s="28" t="n">
        <f aca="false">Z1240*$M1240</f>
        <v>0</v>
      </c>
      <c r="AB1240" s="28" t="n">
        <f aca="false">485726/100</f>
        <v>4857.26</v>
      </c>
      <c r="AC1240" s="28" t="n">
        <v>58287</v>
      </c>
      <c r="AD1240" s="28"/>
      <c r="AE1240" s="28" t="n">
        <f aca="false">AD1240*$M1240</f>
        <v>0</v>
      </c>
      <c r="AF1240" s="28"/>
      <c r="AG1240" s="28" t="n">
        <f aca="false">AF1240*$M1240</f>
        <v>0</v>
      </c>
      <c r="AH1240" s="28" t="n">
        <f aca="false">259291/100</f>
        <v>2592.91</v>
      </c>
      <c r="AI1240" s="28" t="n">
        <v>31115</v>
      </c>
      <c r="AJ1240" s="28"/>
      <c r="AK1240" s="28" t="n">
        <f aca="false">AJ1240*$M1240</f>
        <v>0</v>
      </c>
      <c r="AL1240" s="28"/>
      <c r="AM1240" s="28" t="n">
        <f aca="false">AL1240*$M1240</f>
        <v>0</v>
      </c>
      <c r="AN1240" s="28"/>
      <c r="AO1240" s="28" t="n">
        <f aca="false">AN1240*$M1240</f>
        <v>0</v>
      </c>
      <c r="AP1240" s="28"/>
      <c r="AQ1240" s="28" t="n">
        <f aca="false">AP1240*$M1240</f>
        <v>0</v>
      </c>
      <c r="AR1240" s="28"/>
      <c r="AS1240" s="28" t="n">
        <f aca="false">AR1240*$M1240</f>
        <v>0</v>
      </c>
      <c r="AT1240" s="28"/>
      <c r="AU1240" s="28" t="n">
        <f aca="false">AT1240*$M1240</f>
        <v>0</v>
      </c>
      <c r="AV1240" s="28"/>
      <c r="AW1240" s="28" t="n">
        <f aca="false">AV1240*$M1240</f>
        <v>0</v>
      </c>
      <c r="AX1240" s="28"/>
      <c r="AY1240" s="28" t="n">
        <f aca="false">AX1240*$M1240</f>
        <v>0</v>
      </c>
      <c r="AZ1240" s="30" t="n">
        <f aca="false">745017/100</f>
        <v>7450.17</v>
      </c>
      <c r="BA1240" s="11" t="n">
        <v>89402</v>
      </c>
      <c r="BB1240" s="31" t="n">
        <f aca="false">SUM(Q1240,S1240,U1240,W1240,Y1240,AA1240,AC1240,AE1240,AG1240,AI1240,AK1240,AM1240,AO1240,AQ1240,AS1240,AU1240,AW1240,AY1240)</f>
        <v>89402</v>
      </c>
      <c r="BC1240" s="28" t="n">
        <f aca="false">BA1240-BB1240</f>
        <v>0</v>
      </c>
      <c r="BD1240" s="32" t="n">
        <f aca="false">SUM(P1240,R1240,T1240,V1240,X1240,Z1240,AB1240,AD1240,AF1240,AH1240,AJ1240,AL1240,AN1240,AP1240,AR1240,AT1240,AV1240,AX1240)</f>
        <v>7450.17</v>
      </c>
      <c r="BE1240" s="33" t="n">
        <f aca="false">AZ1240-BD1240</f>
        <v>0</v>
      </c>
      <c r="BF1240" s="34" t="n">
        <f aca="false">BD1240*M1240</f>
        <v>89402.04</v>
      </c>
      <c r="BG1240" s="35" t="n">
        <f aca="false">BA1240-BF1240</f>
        <v>-0.0400000000081491</v>
      </c>
      <c r="BH1240" s="19" t="str">
        <f aca="false">IF(BG1240=0,"",IF(BG1240&lt;&gt;BA1240,"erreur de calcul",IF(BD1240&lt;&gt;0,"pas de prix",IF(M1240&lt;&gt; 0,"pas de quantité","pas de prix, ni de quantité"))))</f>
        <v>erreur de calcul</v>
      </c>
      <c r="BI1240" s="19"/>
    </row>
    <row r="1241" customFormat="false" ht="15" hidden="false" customHeight="false" outlineLevel="0" collapsed="false">
      <c r="A1241" s="0" t="n">
        <v>22</v>
      </c>
      <c r="B1241" s="8" t="s">
        <v>24</v>
      </c>
      <c r="C1241" s="9" t="s">
        <v>25</v>
      </c>
      <c r="D1241" s="9" t="s">
        <v>26</v>
      </c>
      <c r="E1241" s="10" t="n">
        <v>1789</v>
      </c>
      <c r="F1241" s="9" t="s">
        <v>27</v>
      </c>
      <c r="G1241" s="9" t="s">
        <v>27</v>
      </c>
      <c r="H1241" s="11" t="n">
        <v>23</v>
      </c>
      <c r="I1241" s="11" t="s">
        <v>264</v>
      </c>
      <c r="J1241" s="14" t="n">
        <v>15</v>
      </c>
      <c r="K1241" s="14"/>
      <c r="L1241" s="16"/>
      <c r="M1241" s="27" t="n">
        <f aca="false">J1241+(K1241/20)+(L1241/240)</f>
        <v>15</v>
      </c>
      <c r="N1241" s="17" t="s">
        <v>64</v>
      </c>
      <c r="O1241" s="11"/>
      <c r="P1241" s="28"/>
      <c r="Q1241" s="28" t="n">
        <f aca="false">P1241*$M1241</f>
        <v>0</v>
      </c>
      <c r="R1241" s="28"/>
      <c r="S1241" s="28" t="n">
        <f aca="false">R1241*$M1241</f>
        <v>0</v>
      </c>
      <c r="T1241" s="28"/>
      <c r="U1241" s="28" t="n">
        <f aca="false">T1241*$M1241</f>
        <v>0</v>
      </c>
      <c r="V1241" s="28"/>
      <c r="W1241" s="28" t="n">
        <f aca="false">V1241*$M1241</f>
        <v>0</v>
      </c>
      <c r="X1241" s="28" t="n">
        <f aca="false">65502/100</f>
        <v>655.02</v>
      </c>
      <c r="Y1241" s="28" t="n">
        <v>9825</v>
      </c>
      <c r="Z1241" s="28"/>
      <c r="AA1241" s="28" t="n">
        <f aca="false">Z1241*$M1241</f>
        <v>0</v>
      </c>
      <c r="AB1241" s="28" t="n">
        <f aca="false">207046/100</f>
        <v>2070.46</v>
      </c>
      <c r="AC1241" s="28" t="n">
        <v>31057</v>
      </c>
      <c r="AD1241" s="28"/>
      <c r="AE1241" s="28" t="n">
        <f aca="false">AD1241*$M1241</f>
        <v>0</v>
      </c>
      <c r="AF1241" s="28"/>
      <c r="AG1241" s="28" t="n">
        <f aca="false">AF1241*$M1241</f>
        <v>0</v>
      </c>
      <c r="AH1241" s="28" t="n">
        <f aca="false">11048/100</f>
        <v>110.48</v>
      </c>
      <c r="AI1241" s="28" t="n">
        <v>1657</v>
      </c>
      <c r="AJ1241" s="28"/>
      <c r="AK1241" s="28" t="n">
        <f aca="false">AJ1241*$M1241</f>
        <v>0</v>
      </c>
      <c r="AL1241" s="28"/>
      <c r="AM1241" s="28" t="n">
        <f aca="false">AL1241*$M1241</f>
        <v>0</v>
      </c>
      <c r="AN1241" s="28"/>
      <c r="AO1241" s="28" t="n">
        <f aca="false">AN1241*$M1241</f>
        <v>0</v>
      </c>
      <c r="AP1241" s="28"/>
      <c r="AQ1241" s="28" t="n">
        <f aca="false">AP1241*$M1241</f>
        <v>0</v>
      </c>
      <c r="AR1241" s="28"/>
      <c r="AS1241" s="28" t="n">
        <f aca="false">AR1241*$M1241</f>
        <v>0</v>
      </c>
      <c r="AT1241" s="28"/>
      <c r="AU1241" s="28" t="n">
        <f aca="false">AT1241*$M1241</f>
        <v>0</v>
      </c>
      <c r="AV1241" s="28"/>
      <c r="AW1241" s="28" t="n">
        <f aca="false">AV1241*$M1241</f>
        <v>0</v>
      </c>
      <c r="AX1241" s="28"/>
      <c r="AY1241" s="28" t="n">
        <f aca="false">AX1241*$M1241</f>
        <v>0</v>
      </c>
      <c r="AZ1241" s="30" t="n">
        <f aca="false">283596/100</f>
        <v>2835.96</v>
      </c>
      <c r="BA1241" s="11" t="n">
        <v>42539</v>
      </c>
      <c r="BB1241" s="31" t="n">
        <f aca="false">SUM(Q1241,S1241,U1241,W1241,Y1241,AA1241,AC1241,AE1241,AG1241,AI1241,AK1241,AM1241,AO1241,AQ1241,AS1241,AU1241,AW1241,AY1241)</f>
        <v>42539</v>
      </c>
      <c r="BC1241" s="28" t="n">
        <f aca="false">BA1241-BB1241</f>
        <v>0</v>
      </c>
      <c r="BD1241" s="32" t="n">
        <f aca="false">SUM(P1241,R1241,T1241,V1241,X1241,Z1241,AB1241,AD1241,AF1241,AH1241,AJ1241,AL1241,AN1241,AP1241,AR1241,AT1241,AV1241,AX1241)</f>
        <v>2835.96</v>
      </c>
      <c r="BE1241" s="33" t="n">
        <f aca="false">AZ1241-BD1241</f>
        <v>0</v>
      </c>
      <c r="BF1241" s="34" t="n">
        <f aca="false">BD1241*M1241</f>
        <v>42539.4</v>
      </c>
      <c r="BG1241" s="35" t="n">
        <f aca="false">BA1241-BF1241</f>
        <v>-0.400000000001455</v>
      </c>
      <c r="BH1241" s="19" t="str">
        <f aca="false">IF(BG1241=0,"",IF(BG1241&lt;&gt;BA1241,"erreur de calcul",IF(BD1241&lt;&gt;0,"pas de prix",IF(M1241&lt;&gt; 0,"pas de quantité","pas de prix, ni de quantité"))))</f>
        <v>erreur de calcul</v>
      </c>
      <c r="BI1241" s="19"/>
    </row>
    <row r="1242" customFormat="false" ht="15" hidden="false" customHeight="false" outlineLevel="0" collapsed="false">
      <c r="A1242" s="0" t="n">
        <v>23</v>
      </c>
      <c r="B1242" s="8" t="s">
        <v>24</v>
      </c>
      <c r="C1242" s="9" t="s">
        <v>25</v>
      </c>
      <c r="D1242" s="9" t="s">
        <v>26</v>
      </c>
      <c r="E1242" s="10" t="n">
        <v>1789</v>
      </c>
      <c r="F1242" s="9" t="s">
        <v>27</v>
      </c>
      <c r="G1242" s="9" t="s">
        <v>27</v>
      </c>
      <c r="H1242" s="11" t="n">
        <v>23</v>
      </c>
      <c r="I1242" s="11" t="s">
        <v>265</v>
      </c>
      <c r="J1242" s="14"/>
      <c r="K1242" s="14" t="n">
        <v>40</v>
      </c>
      <c r="L1242" s="16"/>
      <c r="M1242" s="27" t="n">
        <f aca="false">J1242+(K1242/20)+(L1242/240)</f>
        <v>2</v>
      </c>
      <c r="N1242" s="17" t="s">
        <v>66</v>
      </c>
      <c r="O1242" s="11"/>
      <c r="P1242" s="28"/>
      <c r="Q1242" s="28" t="n">
        <f aca="false">P1242*$M1242</f>
        <v>0</v>
      </c>
      <c r="R1242" s="28"/>
      <c r="S1242" s="28" t="n">
        <f aca="false">R1242*$M1242</f>
        <v>0</v>
      </c>
      <c r="T1242" s="28"/>
      <c r="U1242" s="28" t="n">
        <f aca="false">T1242*$M1242</f>
        <v>0</v>
      </c>
      <c r="V1242" s="28" t="n">
        <v>6275</v>
      </c>
      <c r="W1242" s="28" t="n">
        <v>12550</v>
      </c>
      <c r="X1242" s="28" t="n">
        <v>8662</v>
      </c>
      <c r="Y1242" s="28" t="n">
        <v>17324</v>
      </c>
      <c r="Z1242" s="28"/>
      <c r="AA1242" s="28" t="n">
        <f aca="false">Z1242*$M1242</f>
        <v>0</v>
      </c>
      <c r="AB1242" s="28" t="n">
        <v>2196</v>
      </c>
      <c r="AC1242" s="28" t="n">
        <v>4392</v>
      </c>
      <c r="AD1242" s="28"/>
      <c r="AE1242" s="28" t="n">
        <f aca="false">AD1242*$M1242</f>
        <v>0</v>
      </c>
      <c r="AF1242" s="28"/>
      <c r="AG1242" s="28" t="n">
        <f aca="false">AF1242*$M1242</f>
        <v>0</v>
      </c>
      <c r="AH1242" s="28"/>
      <c r="AI1242" s="28" t="n">
        <f aca="false">AH1242*$M1242</f>
        <v>0</v>
      </c>
      <c r="AJ1242" s="28"/>
      <c r="AK1242" s="28" t="n">
        <f aca="false">AJ1242*$M1242</f>
        <v>0</v>
      </c>
      <c r="AL1242" s="28"/>
      <c r="AM1242" s="28" t="n">
        <f aca="false">AL1242*$M1242</f>
        <v>0</v>
      </c>
      <c r="AN1242" s="28"/>
      <c r="AO1242" s="28" t="n">
        <f aca="false">AN1242*$M1242</f>
        <v>0</v>
      </c>
      <c r="AP1242" s="28"/>
      <c r="AQ1242" s="28" t="n">
        <f aca="false">AP1242*$M1242</f>
        <v>0</v>
      </c>
      <c r="AR1242" s="28"/>
      <c r="AS1242" s="28" t="n">
        <f aca="false">AR1242*$M1242</f>
        <v>0</v>
      </c>
      <c r="AT1242" s="28"/>
      <c r="AU1242" s="28" t="n">
        <f aca="false">AT1242*$M1242</f>
        <v>0</v>
      </c>
      <c r="AV1242" s="28"/>
      <c r="AW1242" s="28" t="n">
        <f aca="false">AV1242*$M1242</f>
        <v>0</v>
      </c>
      <c r="AX1242" s="28"/>
      <c r="AY1242" s="28" t="n">
        <f aca="false">AX1242*$M1242</f>
        <v>0</v>
      </c>
      <c r="AZ1242" s="30" t="n">
        <v>17133</v>
      </c>
      <c r="BA1242" s="11" t="n">
        <v>34266</v>
      </c>
      <c r="BB1242" s="31" t="n">
        <f aca="false">SUM(Q1242,S1242,U1242,W1242,Y1242,AA1242,AC1242,AE1242,AG1242,AI1242,AK1242,AM1242,AO1242,AQ1242,AS1242,AU1242,AW1242,AY1242)</f>
        <v>34266</v>
      </c>
      <c r="BC1242" s="28" t="n">
        <f aca="false">BA1242-BB1242</f>
        <v>0</v>
      </c>
      <c r="BD1242" s="32" t="n">
        <f aca="false">SUM(P1242,R1242,T1242,V1242,X1242,Z1242,AB1242,AD1242,AF1242,AH1242,AJ1242,AL1242,AN1242,AP1242,AR1242,AT1242,AV1242,AX1242)</f>
        <v>17133</v>
      </c>
      <c r="BE1242" s="33" t="n">
        <f aca="false">AZ1242-BD1242</f>
        <v>0</v>
      </c>
      <c r="BF1242" s="34" t="n">
        <f aca="false">BD1242*M1242</f>
        <v>34266</v>
      </c>
      <c r="BG1242" s="35" t="n">
        <f aca="false">BA1242-BF1242</f>
        <v>0</v>
      </c>
      <c r="BH1242" s="19" t="str">
        <f aca="false">IF(BG1242=0,"",IF(BG1242&lt;&gt;BA1242,"erreur de calcul",IF(BD1242&lt;&gt;0,"pas de prix",IF(M1242&lt;&gt; 0,"pas de quantité","pas de prix, ni de quantité"))))</f>
        <v/>
      </c>
      <c r="BI1242" s="19"/>
    </row>
    <row r="1243" customFormat="false" ht="15" hidden="false" customHeight="false" outlineLevel="0" collapsed="false">
      <c r="A1243" s="0" t="n">
        <v>24</v>
      </c>
      <c r="B1243" s="8" t="s">
        <v>24</v>
      </c>
      <c r="C1243" s="9" t="s">
        <v>25</v>
      </c>
      <c r="D1243" s="9" t="s">
        <v>26</v>
      </c>
      <c r="E1243" s="10" t="n">
        <v>1789</v>
      </c>
      <c r="F1243" s="9" t="s">
        <v>27</v>
      </c>
      <c r="G1243" s="9" t="s">
        <v>27</v>
      </c>
      <c r="H1243" s="11" t="n">
        <v>23</v>
      </c>
      <c r="I1243" s="11" t="s">
        <v>266</v>
      </c>
      <c r="J1243" s="14" t="n">
        <v>17</v>
      </c>
      <c r="K1243" s="14" t="n">
        <v>10</v>
      </c>
      <c r="L1243" s="16"/>
      <c r="M1243" s="27" t="n">
        <f aca="false">J1243+(K1243/20)+(L1243/240)</f>
        <v>17.5</v>
      </c>
      <c r="N1243" s="17" t="s">
        <v>64</v>
      </c>
      <c r="O1243" s="11"/>
      <c r="P1243" s="28" t="n">
        <f aca="false">147621/100</f>
        <v>1476.21</v>
      </c>
      <c r="Q1243" s="28" t="n">
        <v>25834</v>
      </c>
      <c r="R1243" s="28"/>
      <c r="S1243" s="28" t="n">
        <f aca="false">R1243*$M1243</f>
        <v>0</v>
      </c>
      <c r="T1243" s="28"/>
      <c r="U1243" s="28" t="n">
        <f aca="false">T1243*$M1243</f>
        <v>0</v>
      </c>
      <c r="V1243" s="28"/>
      <c r="W1243" s="28" t="n">
        <f aca="false">V1243*$M1243</f>
        <v>0</v>
      </c>
      <c r="X1243" s="28" t="n">
        <f aca="false">7220/100</f>
        <v>72.2</v>
      </c>
      <c r="Y1243" s="28" t="n">
        <v>1263</v>
      </c>
      <c r="Z1243" s="28"/>
      <c r="AA1243" s="28" t="n">
        <f aca="false">Z1243*$M1243</f>
        <v>0</v>
      </c>
      <c r="AB1243" s="28" t="n">
        <f aca="false">524444/100</f>
        <v>5244.44</v>
      </c>
      <c r="AC1243" s="36" t="n">
        <v>91767</v>
      </c>
      <c r="AD1243" s="28"/>
      <c r="AE1243" s="28" t="n">
        <f aca="false">AD1243*$M1243</f>
        <v>0</v>
      </c>
      <c r="AF1243" s="28"/>
      <c r="AG1243" s="28" t="n">
        <f aca="false">AF1243*$M1243</f>
        <v>0</v>
      </c>
      <c r="AH1243" s="28" t="n">
        <f aca="false">124394/100</f>
        <v>1243.94</v>
      </c>
      <c r="AI1243" s="28" t="n">
        <v>21769</v>
      </c>
      <c r="AJ1243" s="28"/>
      <c r="AK1243" s="28" t="n">
        <f aca="false">AJ1243*$M1243</f>
        <v>0</v>
      </c>
      <c r="AL1243" s="28"/>
      <c r="AM1243" s="28" t="n">
        <f aca="false">AL1243*$M1243</f>
        <v>0</v>
      </c>
      <c r="AN1243" s="28"/>
      <c r="AO1243" s="28" t="n">
        <f aca="false">AN1243*$M1243</f>
        <v>0</v>
      </c>
      <c r="AP1243" s="28"/>
      <c r="AQ1243" s="28" t="n">
        <f aca="false">AP1243*$M1243</f>
        <v>0</v>
      </c>
      <c r="AR1243" s="28"/>
      <c r="AS1243" s="28" t="n">
        <f aca="false">AR1243*$M1243</f>
        <v>0</v>
      </c>
      <c r="AT1243" s="28"/>
      <c r="AU1243" s="28" t="n">
        <f aca="false">AT1243*$M1243</f>
        <v>0</v>
      </c>
      <c r="AV1243" s="28"/>
      <c r="AW1243" s="28" t="n">
        <f aca="false">AV1243*$M1243</f>
        <v>0</v>
      </c>
      <c r="AX1243" s="28"/>
      <c r="AY1243" s="28" t="n">
        <f aca="false">AX1243*$M1243</f>
        <v>0</v>
      </c>
      <c r="AZ1243" s="30" t="n">
        <f aca="false">803679/100</f>
        <v>8036.79</v>
      </c>
      <c r="BA1243" s="11" t="n">
        <v>140633</v>
      </c>
      <c r="BB1243" s="31" t="n">
        <f aca="false">SUM(Q1243,S1243,U1243,W1243,Y1243,AA1243,AC1243,AE1243,AG1243,AI1243,AK1243,AM1243,AO1243,AQ1243,AS1243,AU1243,AW1243,AY1243)</f>
        <v>140633</v>
      </c>
      <c r="BC1243" s="28" t="n">
        <f aca="false">BA1243-BB1243</f>
        <v>0</v>
      </c>
      <c r="BD1243" s="32" t="n">
        <f aca="false">SUM(P1243,R1243,T1243,V1243,X1243,Z1243,AB1243,AD1243,AF1243,AH1243,AJ1243,AL1243,AN1243,AP1243,AR1243,AT1243,AV1243,AX1243)</f>
        <v>8036.79</v>
      </c>
      <c r="BE1243" s="33" t="n">
        <f aca="false">AZ1243-BD1243</f>
        <v>0</v>
      </c>
      <c r="BF1243" s="34" t="n">
        <f aca="false">BD1243*M1243</f>
        <v>140643.825</v>
      </c>
      <c r="BG1243" s="35" t="n">
        <f aca="false">BA1243-BF1243</f>
        <v>-10.8249999999825</v>
      </c>
      <c r="BH1243" s="19" t="str">
        <f aca="false">IF(BG1243=0,"",IF(BG1243&lt;&gt;BA1243,"erreur de calcul",IF(BD1243&lt;&gt;0,"pas de prix",IF(M1243&lt;&gt; 0,"pas de quantité","pas de prix, ni de quantité"))))</f>
        <v>erreur de calcul</v>
      </c>
      <c r="BI1243" s="19"/>
    </row>
    <row r="1244" customFormat="false" ht="15" hidden="false" customHeight="false" outlineLevel="0" collapsed="false">
      <c r="A1244" s="0" t="n">
        <v>25</v>
      </c>
      <c r="B1244" s="8" t="s">
        <v>24</v>
      </c>
      <c r="C1244" s="9" t="s">
        <v>25</v>
      </c>
      <c r="D1244" s="9" t="s">
        <v>26</v>
      </c>
      <c r="E1244" s="10" t="n">
        <v>1789</v>
      </c>
      <c r="F1244" s="9" t="s">
        <v>27</v>
      </c>
      <c r="G1244" s="9" t="s">
        <v>27</v>
      </c>
      <c r="H1244" s="11" t="n">
        <v>23</v>
      </c>
      <c r="I1244" s="11" t="s">
        <v>267</v>
      </c>
      <c r="J1244" s="14" t="n">
        <v>25</v>
      </c>
      <c r="K1244" s="14"/>
      <c r="L1244" s="16"/>
      <c r="M1244" s="27" t="n">
        <f aca="false">J1244+(K1244/20)+(L1244/240)</f>
        <v>25</v>
      </c>
      <c r="N1244" s="17" t="s">
        <v>64</v>
      </c>
      <c r="O1244" s="11"/>
      <c r="P1244" s="28"/>
      <c r="Q1244" s="28" t="n">
        <f aca="false">P1244*$M1244</f>
        <v>0</v>
      </c>
      <c r="R1244" s="28"/>
      <c r="S1244" s="28" t="n">
        <f aca="false">R1244*$M1244</f>
        <v>0</v>
      </c>
      <c r="T1244" s="28"/>
      <c r="U1244" s="28" t="n">
        <f aca="false">T1244*$M1244</f>
        <v>0</v>
      </c>
      <c r="V1244" s="28"/>
      <c r="W1244" s="28" t="n">
        <f aca="false">V1244*$M1244</f>
        <v>0</v>
      </c>
      <c r="X1244" s="28"/>
      <c r="Y1244" s="28" t="n">
        <f aca="false">X1244*$M1244</f>
        <v>0</v>
      </c>
      <c r="Z1244" s="28"/>
      <c r="AA1244" s="28" t="n">
        <f aca="false">Z1244*$M1244</f>
        <v>0</v>
      </c>
      <c r="AB1244" s="28" t="n">
        <f aca="false">136004/100</f>
        <v>1360.04</v>
      </c>
      <c r="AC1244" s="28" t="n">
        <v>34001</v>
      </c>
      <c r="AD1244" s="28"/>
      <c r="AE1244" s="28" t="n">
        <f aca="false">AD1244*$M1244</f>
        <v>0</v>
      </c>
      <c r="AF1244" s="28"/>
      <c r="AG1244" s="28" t="n">
        <f aca="false">AF1244*$M1244</f>
        <v>0</v>
      </c>
      <c r="AH1244" s="28" t="n">
        <f aca="false">173052/100</f>
        <v>1730.52</v>
      </c>
      <c r="AI1244" s="28" t="n">
        <v>43263</v>
      </c>
      <c r="AJ1244" s="28"/>
      <c r="AK1244" s="28" t="n">
        <f aca="false">AJ1244*$M1244</f>
        <v>0</v>
      </c>
      <c r="AL1244" s="28"/>
      <c r="AM1244" s="28" t="n">
        <f aca="false">AL1244*$M1244</f>
        <v>0</v>
      </c>
      <c r="AN1244" s="28"/>
      <c r="AO1244" s="28" t="n">
        <f aca="false">AN1244*$M1244</f>
        <v>0</v>
      </c>
      <c r="AP1244" s="28"/>
      <c r="AQ1244" s="28" t="n">
        <f aca="false">AP1244*$M1244</f>
        <v>0</v>
      </c>
      <c r="AR1244" s="28"/>
      <c r="AS1244" s="28" t="n">
        <f aca="false">AR1244*$M1244</f>
        <v>0</v>
      </c>
      <c r="AT1244" s="28"/>
      <c r="AU1244" s="28" t="n">
        <f aca="false">AT1244*$M1244</f>
        <v>0</v>
      </c>
      <c r="AV1244" s="28"/>
      <c r="AW1244" s="28" t="n">
        <f aca="false">AV1244*$M1244</f>
        <v>0</v>
      </c>
      <c r="AX1244" s="28"/>
      <c r="AY1244" s="28" t="n">
        <f aca="false">AX1244*$M1244</f>
        <v>0</v>
      </c>
      <c r="AZ1244" s="30" t="n">
        <f aca="false">309056/100</f>
        <v>3090.56</v>
      </c>
      <c r="BA1244" s="11" t="n">
        <v>77264</v>
      </c>
      <c r="BB1244" s="31" t="n">
        <f aca="false">SUM(Q1244,S1244,U1244,W1244,Y1244,AA1244,AC1244,AE1244,AG1244,AI1244,AK1244,AM1244,AO1244,AQ1244,AS1244,AU1244,AW1244,AY1244)</f>
        <v>77264</v>
      </c>
      <c r="BC1244" s="28" t="n">
        <f aca="false">BA1244-BB1244</f>
        <v>0</v>
      </c>
      <c r="BD1244" s="32" t="n">
        <f aca="false">SUM(P1244,R1244,T1244,V1244,X1244,Z1244,AB1244,AD1244,AF1244,AH1244,AJ1244,AL1244,AN1244,AP1244,AR1244,AT1244,AV1244,AX1244)</f>
        <v>3090.56</v>
      </c>
      <c r="BE1244" s="33" t="n">
        <f aca="false">AZ1244-BD1244</f>
        <v>0</v>
      </c>
      <c r="BF1244" s="34" t="n">
        <f aca="false">BD1244*M1244</f>
        <v>77264</v>
      </c>
      <c r="BG1244" s="35" t="n">
        <f aca="false">BA1244-BF1244</f>
        <v>0</v>
      </c>
      <c r="BH1244" s="19" t="str">
        <f aca="false">IF(BG1244=0,"",IF(BG1244&lt;&gt;BA1244,"erreur de calcul",IF(BD1244&lt;&gt;0,"pas de prix",IF(M1244&lt;&gt; 0,"pas de quantité","pas de prix, ni de quantité"))))</f>
        <v/>
      </c>
      <c r="BI1244" s="19"/>
    </row>
    <row r="1245" customFormat="false" ht="15" hidden="false" customHeight="false" outlineLevel="0" collapsed="false">
      <c r="A1245" s="0" t="n">
        <v>26</v>
      </c>
      <c r="B1245" s="8" t="s">
        <v>24</v>
      </c>
      <c r="C1245" s="9" t="s">
        <v>25</v>
      </c>
      <c r="D1245" s="9" t="s">
        <v>26</v>
      </c>
      <c r="E1245" s="10" t="n">
        <v>1789</v>
      </c>
      <c r="F1245" s="9" t="s">
        <v>27</v>
      </c>
      <c r="G1245" s="9" t="s">
        <v>27</v>
      </c>
      <c r="H1245" s="11" t="n">
        <v>23</v>
      </c>
      <c r="I1245" s="11" t="s">
        <v>268</v>
      </c>
      <c r="J1245" s="14" t="n">
        <v>8</v>
      </c>
      <c r="K1245" s="14"/>
      <c r="L1245" s="16"/>
      <c r="M1245" s="27" t="n">
        <f aca="false">J1245+(K1245/20)+(L1245/240)</f>
        <v>8</v>
      </c>
      <c r="N1245" s="17" t="s">
        <v>64</v>
      </c>
      <c r="O1245" s="11"/>
      <c r="P1245" s="28"/>
      <c r="Q1245" s="28" t="n">
        <f aca="false">P1245*$M1245</f>
        <v>0</v>
      </c>
      <c r="R1245" s="28"/>
      <c r="S1245" s="28" t="n">
        <f aca="false">R1245*$M1245</f>
        <v>0</v>
      </c>
      <c r="T1245" s="28" t="n">
        <f aca="false">260752/100</f>
        <v>2607.52</v>
      </c>
      <c r="U1245" s="28" t="n">
        <v>20860</v>
      </c>
      <c r="V1245" s="28" t="n">
        <f aca="false">170453/100</f>
        <v>1704.53</v>
      </c>
      <c r="W1245" s="28" t="n">
        <v>13636</v>
      </c>
      <c r="X1245" s="28"/>
      <c r="Y1245" s="28" t="n">
        <f aca="false">X1245*$M1245</f>
        <v>0</v>
      </c>
      <c r="Z1245" s="28"/>
      <c r="AA1245" s="28" t="n">
        <f aca="false">Z1245*$M1245</f>
        <v>0</v>
      </c>
      <c r="AB1245" s="28"/>
      <c r="AC1245" s="28" t="n">
        <f aca="false">AB1245*$M1245</f>
        <v>0</v>
      </c>
      <c r="AD1245" s="28"/>
      <c r="AE1245" s="28" t="n">
        <f aca="false">AD1245*$M1245</f>
        <v>0</v>
      </c>
      <c r="AF1245" s="28"/>
      <c r="AG1245" s="28" t="n">
        <f aca="false">AF1245*$M1245</f>
        <v>0</v>
      </c>
      <c r="AH1245" s="28"/>
      <c r="AI1245" s="28" t="n">
        <f aca="false">AH1245*$M1245</f>
        <v>0</v>
      </c>
      <c r="AJ1245" s="28"/>
      <c r="AK1245" s="28" t="n">
        <f aca="false">AJ1245*$M1245</f>
        <v>0</v>
      </c>
      <c r="AL1245" s="28"/>
      <c r="AM1245" s="28" t="n">
        <f aca="false">AL1245*$M1245</f>
        <v>0</v>
      </c>
      <c r="AN1245" s="28"/>
      <c r="AO1245" s="28" t="n">
        <f aca="false">AN1245*$M1245</f>
        <v>0</v>
      </c>
      <c r="AP1245" s="28"/>
      <c r="AQ1245" s="28" t="n">
        <f aca="false">AP1245*$M1245</f>
        <v>0</v>
      </c>
      <c r="AR1245" s="28"/>
      <c r="AS1245" s="28" t="n">
        <f aca="false">AR1245*$M1245</f>
        <v>0</v>
      </c>
      <c r="AT1245" s="28"/>
      <c r="AU1245" s="28" t="n">
        <f aca="false">AT1245*$M1245</f>
        <v>0</v>
      </c>
      <c r="AV1245" s="28"/>
      <c r="AW1245" s="28" t="n">
        <f aca="false">AV1245*$M1245</f>
        <v>0</v>
      </c>
      <c r="AX1245" s="28"/>
      <c r="AY1245" s="28" t="n">
        <f aca="false">AX1245*$M1245</f>
        <v>0</v>
      </c>
      <c r="AZ1245" s="30" t="n">
        <f aca="false">431205/100</f>
        <v>4312.05</v>
      </c>
      <c r="BA1245" s="11" t="n">
        <v>34496</v>
      </c>
      <c r="BB1245" s="31" t="n">
        <f aca="false">SUM(Q1245,S1245,U1245,W1245,Y1245,AA1245,AC1245,AE1245,AG1245,AI1245,AK1245,AM1245,AO1245,AQ1245,AS1245,AU1245,AW1245,AY1245)</f>
        <v>34496</v>
      </c>
      <c r="BC1245" s="28" t="n">
        <f aca="false">BA1245-BB1245</f>
        <v>0</v>
      </c>
      <c r="BD1245" s="32" t="n">
        <f aca="false">SUM(P1245,R1245,T1245,V1245,X1245,Z1245,AB1245,AD1245,AF1245,AH1245,AJ1245,AL1245,AN1245,AP1245,AR1245,AT1245,AV1245,AX1245)</f>
        <v>4312.05</v>
      </c>
      <c r="BE1245" s="33" t="n">
        <f aca="false">AZ1245-BD1245</f>
        <v>0</v>
      </c>
      <c r="BF1245" s="34" t="n">
        <f aca="false">BD1245*M1245</f>
        <v>34496.4</v>
      </c>
      <c r="BG1245" s="35" t="n">
        <f aca="false">BA1245-BF1245</f>
        <v>-0.400000000001455</v>
      </c>
      <c r="BH1245" s="19" t="str">
        <f aca="false">IF(BG1245=0,"",IF(BG1245&lt;&gt;BA1245,"erreur de calcul",IF(BD1245&lt;&gt;0,"pas de prix",IF(M1245&lt;&gt; 0,"pas de quantité","pas de prix, ni de quantité"))))</f>
        <v>erreur de calcul</v>
      </c>
      <c r="BI1245" s="19"/>
    </row>
    <row r="1246" customFormat="false" ht="15" hidden="false" customHeight="false" outlineLevel="0" collapsed="false">
      <c r="A1246" s="0" t="n">
        <v>27</v>
      </c>
      <c r="B1246" s="8" t="s">
        <v>24</v>
      </c>
      <c r="C1246" s="9" t="s">
        <v>25</v>
      </c>
      <c r="D1246" s="9" t="s">
        <v>26</v>
      </c>
      <c r="E1246" s="10" t="n">
        <v>1789</v>
      </c>
      <c r="F1246" s="9" t="s">
        <v>27</v>
      </c>
      <c r="G1246" s="9" t="s">
        <v>27</v>
      </c>
      <c r="H1246" s="11" t="n">
        <v>23</v>
      </c>
      <c r="I1246" s="11" t="s">
        <v>269</v>
      </c>
      <c r="J1246" s="14"/>
      <c r="K1246" s="14" t="n">
        <v>50</v>
      </c>
      <c r="L1246" s="16"/>
      <c r="M1246" s="27" t="n">
        <f aca="false">J1246+(K1246/20)+(L1246/240)</f>
        <v>2.5</v>
      </c>
      <c r="N1246" s="17" t="s">
        <v>85</v>
      </c>
      <c r="O1246" s="11"/>
      <c r="P1246" s="28"/>
      <c r="Q1246" s="28" t="n">
        <f aca="false">P1246*$M1246</f>
        <v>0</v>
      </c>
      <c r="R1246" s="28"/>
      <c r="S1246" s="28" t="n">
        <f aca="false">R1246*$M1246</f>
        <v>0</v>
      </c>
      <c r="T1246" s="28" t="n">
        <f aca="false">221150/100</f>
        <v>2211.5</v>
      </c>
      <c r="U1246" s="28" t="n">
        <v>5529</v>
      </c>
      <c r="V1246" s="28" t="n">
        <f aca="false">3922156/100</f>
        <v>39221.56</v>
      </c>
      <c r="W1246" s="28" t="n">
        <v>98054</v>
      </c>
      <c r="X1246" s="28"/>
      <c r="Y1246" s="28" t="n">
        <f aca="false">X1246*$M1246</f>
        <v>0</v>
      </c>
      <c r="Z1246" s="28"/>
      <c r="AA1246" s="28" t="n">
        <f aca="false">Z1246*$M1246</f>
        <v>0</v>
      </c>
      <c r="AB1246" s="28" t="n">
        <f aca="false">297900/100</f>
        <v>2979</v>
      </c>
      <c r="AC1246" s="28" t="n">
        <v>7447</v>
      </c>
      <c r="AD1246" s="28"/>
      <c r="AE1246" s="28" t="n">
        <f aca="false">AD1246*$M1246</f>
        <v>0</v>
      </c>
      <c r="AF1246" s="28"/>
      <c r="AG1246" s="28" t="n">
        <f aca="false">AF1246*$M1246</f>
        <v>0</v>
      </c>
      <c r="AH1246" s="28"/>
      <c r="AI1246" s="28" t="n">
        <f aca="false">AH1246*$M1246</f>
        <v>0</v>
      </c>
      <c r="AJ1246" s="28"/>
      <c r="AK1246" s="28" t="n">
        <f aca="false">AJ1246*$M1246</f>
        <v>0</v>
      </c>
      <c r="AL1246" s="28"/>
      <c r="AM1246" s="28" t="n">
        <f aca="false">AL1246*$M1246</f>
        <v>0</v>
      </c>
      <c r="AN1246" s="28"/>
      <c r="AO1246" s="28" t="n">
        <f aca="false">AN1246*$M1246</f>
        <v>0</v>
      </c>
      <c r="AP1246" s="28"/>
      <c r="AQ1246" s="28" t="n">
        <f aca="false">AP1246*$M1246</f>
        <v>0</v>
      </c>
      <c r="AR1246" s="28"/>
      <c r="AS1246" s="28" t="n">
        <f aca="false">AR1246*$M1246</f>
        <v>0</v>
      </c>
      <c r="AT1246" s="28"/>
      <c r="AU1246" s="28" t="n">
        <f aca="false">AT1246*$M1246</f>
        <v>0</v>
      </c>
      <c r="AV1246" s="28"/>
      <c r="AW1246" s="28" t="n">
        <f aca="false">AV1246*$M1246</f>
        <v>0</v>
      </c>
      <c r="AX1246" s="28"/>
      <c r="AY1246" s="28" t="n">
        <f aca="false">AX1246*$M1246</f>
        <v>0</v>
      </c>
      <c r="AZ1246" s="30" t="n">
        <f aca="false">4441206/100</f>
        <v>44412.06</v>
      </c>
      <c r="BA1246" s="11" t="n">
        <v>111030</v>
      </c>
      <c r="BB1246" s="31" t="n">
        <f aca="false">SUM(Q1246,S1246,U1246,W1246,Y1246,AA1246,AC1246,AE1246,AG1246,AI1246,AK1246,AM1246,AO1246,AQ1246,AS1246,AU1246,AW1246,AY1246)</f>
        <v>111030</v>
      </c>
      <c r="BC1246" s="28" t="n">
        <f aca="false">BA1246-BB1246</f>
        <v>0</v>
      </c>
      <c r="BD1246" s="32" t="n">
        <f aca="false">SUM(P1246,R1246,T1246,V1246,X1246,Z1246,AB1246,AD1246,AF1246,AH1246,AJ1246,AL1246,AN1246,AP1246,AR1246,AT1246,AV1246,AX1246)</f>
        <v>44412.06</v>
      </c>
      <c r="BE1246" s="33" t="n">
        <f aca="false">AZ1246-BD1246</f>
        <v>0</v>
      </c>
      <c r="BF1246" s="34" t="n">
        <f aca="false">BD1246*M1246</f>
        <v>111030.15</v>
      </c>
      <c r="BG1246" s="35" t="n">
        <f aca="false">BA1246-BF1246</f>
        <v>-0.149999999994179</v>
      </c>
      <c r="BH1246" s="19" t="str">
        <f aca="false">IF(BG1246=0,"",IF(BG1246&lt;&gt;BA1246,"erreur de calcul",IF(BD1246&lt;&gt;0,"pas de prix",IF(M1246&lt;&gt; 0,"pas de quantité","pas de prix, ni de quantité"))))</f>
        <v>erreur de calcul</v>
      </c>
      <c r="BI1246" s="19"/>
    </row>
    <row r="1247" customFormat="false" ht="15" hidden="false" customHeight="false" outlineLevel="0" collapsed="false">
      <c r="A1247" s="0" t="n">
        <v>28</v>
      </c>
      <c r="B1247" s="8" t="s">
        <v>24</v>
      </c>
      <c r="C1247" s="9" t="s">
        <v>25</v>
      </c>
      <c r="D1247" s="9" t="s">
        <v>26</v>
      </c>
      <c r="E1247" s="10" t="n">
        <v>1789</v>
      </c>
      <c r="F1247" s="9" t="s">
        <v>27</v>
      </c>
      <c r="G1247" s="9" t="s">
        <v>27</v>
      </c>
      <c r="H1247" s="11" t="n">
        <v>23</v>
      </c>
      <c r="I1247" s="11" t="s">
        <v>270</v>
      </c>
      <c r="J1247" s="14" t="n">
        <v>5</v>
      </c>
      <c r="K1247" s="14"/>
      <c r="L1247" s="16"/>
      <c r="M1247" s="27" t="n">
        <f aca="false">J1247+(K1247/20)+(L1247/240)</f>
        <v>5</v>
      </c>
      <c r="N1247" s="17" t="s">
        <v>85</v>
      </c>
      <c r="O1247" s="11"/>
      <c r="P1247" s="28" t="n">
        <f aca="false">328200/100</f>
        <v>3282</v>
      </c>
      <c r="Q1247" s="28" t="n">
        <v>16410</v>
      </c>
      <c r="R1247" s="28"/>
      <c r="S1247" s="28" t="n">
        <f aca="false">R1247*$M1247</f>
        <v>0</v>
      </c>
      <c r="T1247" s="28" t="n">
        <f aca="false">667000/100</f>
        <v>6670</v>
      </c>
      <c r="U1247" s="36" t="n">
        <v>33360</v>
      </c>
      <c r="V1247" s="28" t="n">
        <f aca="false">506800/100</f>
        <v>5068</v>
      </c>
      <c r="W1247" s="28" t="n">
        <v>25340</v>
      </c>
      <c r="X1247" s="28"/>
      <c r="Y1247" s="28" t="n">
        <f aca="false">X1247*$M1247</f>
        <v>0</v>
      </c>
      <c r="Z1247" s="28"/>
      <c r="AA1247" s="28" t="n">
        <f aca="false">Z1247*$M1247</f>
        <v>0</v>
      </c>
      <c r="AB1247" s="28"/>
      <c r="AC1247" s="28" t="n">
        <f aca="false">AB1247*$M1247</f>
        <v>0</v>
      </c>
      <c r="AD1247" s="28"/>
      <c r="AE1247" s="28" t="n">
        <f aca="false">AD1247*$M1247</f>
        <v>0</v>
      </c>
      <c r="AF1247" s="28"/>
      <c r="AG1247" s="28" t="n">
        <f aca="false">AF1247*$M1247</f>
        <v>0</v>
      </c>
      <c r="AH1247" s="28" t="n">
        <f aca="false">320500/100</f>
        <v>3205</v>
      </c>
      <c r="AI1247" s="28" t="n">
        <v>16025</v>
      </c>
      <c r="AJ1247" s="28"/>
      <c r="AK1247" s="28" t="n">
        <f aca="false">AJ1247*$M1247</f>
        <v>0</v>
      </c>
      <c r="AL1247" s="28"/>
      <c r="AM1247" s="28" t="n">
        <f aca="false">AL1247*$M1247</f>
        <v>0</v>
      </c>
      <c r="AN1247" s="28"/>
      <c r="AO1247" s="28" t="n">
        <f aca="false">AN1247*$M1247</f>
        <v>0</v>
      </c>
      <c r="AP1247" s="28"/>
      <c r="AQ1247" s="28" t="n">
        <f aca="false">AP1247*$M1247</f>
        <v>0</v>
      </c>
      <c r="AR1247" s="28"/>
      <c r="AS1247" s="28" t="n">
        <f aca="false">AR1247*$M1247</f>
        <v>0</v>
      </c>
      <c r="AT1247" s="28"/>
      <c r="AU1247" s="28" t="n">
        <f aca="false">AT1247*$M1247</f>
        <v>0</v>
      </c>
      <c r="AV1247" s="28"/>
      <c r="AW1247" s="28" t="n">
        <f aca="false">AV1247*$M1247</f>
        <v>0</v>
      </c>
      <c r="AX1247" s="28"/>
      <c r="AY1247" s="28" t="n">
        <f aca="false">AX1247*$M1247</f>
        <v>0</v>
      </c>
      <c r="AZ1247" s="30" t="n">
        <f aca="false">1822500/100</f>
        <v>18225</v>
      </c>
      <c r="BA1247" s="11" t="n">
        <v>91135</v>
      </c>
      <c r="BB1247" s="31" t="n">
        <f aca="false">SUM(Q1247,S1247,U1247,W1247,Y1247,AA1247,AC1247,AE1247,AG1247,AI1247,AK1247,AM1247,AO1247,AQ1247,AS1247,AU1247,AW1247,AY1247)</f>
        <v>91135</v>
      </c>
      <c r="BC1247" s="28" t="n">
        <f aca="false">BA1247-BB1247</f>
        <v>0</v>
      </c>
      <c r="BD1247" s="32" t="n">
        <f aca="false">SUM(P1247,R1247,T1247,V1247,X1247,Z1247,AB1247,AD1247,AF1247,AH1247,AJ1247,AL1247,AN1247,AP1247,AR1247,AT1247,AV1247,AX1247)</f>
        <v>18225</v>
      </c>
      <c r="BE1247" s="33" t="n">
        <f aca="false">AZ1247-BD1247</f>
        <v>0</v>
      </c>
      <c r="BF1247" s="34" t="n">
        <f aca="false">BD1247*M1247</f>
        <v>91125</v>
      </c>
      <c r="BG1247" s="35" t="n">
        <f aca="false">BA1247-BF1247</f>
        <v>10</v>
      </c>
      <c r="BH1247" s="19" t="str">
        <f aca="false">IF(BG1247=0,"",IF(BG1247&lt;&gt;BA1247,"erreur de calcul",IF(BD1247&lt;&gt;0,"pas de prix",IF(M1247&lt;&gt; 0,"pas de quantité","pas de prix, ni de quantité"))))</f>
        <v>erreur de calcul</v>
      </c>
      <c r="BI1247" s="19"/>
    </row>
    <row r="1248" customFormat="false" ht="15" hidden="false" customHeight="false" outlineLevel="0" collapsed="false">
      <c r="A1248" s="0" t="n">
        <v>29</v>
      </c>
      <c r="B1248" s="8" t="s">
        <v>24</v>
      </c>
      <c r="C1248" s="9" t="s">
        <v>25</v>
      </c>
      <c r="D1248" s="9" t="s">
        <v>26</v>
      </c>
      <c r="E1248" s="10" t="n">
        <v>1789</v>
      </c>
      <c r="F1248" s="9" t="s">
        <v>27</v>
      </c>
      <c r="G1248" s="9" t="s">
        <v>27</v>
      </c>
      <c r="H1248" s="11" t="n">
        <v>23</v>
      </c>
      <c r="I1248" s="11" t="s">
        <v>271</v>
      </c>
      <c r="J1248" s="14" t="n">
        <v>7</v>
      </c>
      <c r="K1248" s="14" t="n">
        <v>10</v>
      </c>
      <c r="L1248" s="16"/>
      <c r="M1248" s="27" t="n">
        <f aca="false">J1248+(K1248/20)+(L1248/240)</f>
        <v>7.5</v>
      </c>
      <c r="N1248" s="17" t="s">
        <v>64</v>
      </c>
      <c r="O1248" s="11"/>
      <c r="P1248" s="28"/>
      <c r="Q1248" s="28" t="n">
        <f aca="false">P1248*$M1248</f>
        <v>0</v>
      </c>
      <c r="R1248" s="28"/>
      <c r="S1248" s="28" t="n">
        <f aca="false">R1248*$M1248</f>
        <v>0</v>
      </c>
      <c r="T1248" s="28"/>
      <c r="U1248" s="28" t="n">
        <f aca="false">T1248*$M1248</f>
        <v>0</v>
      </c>
      <c r="V1248" s="28" t="n">
        <f aca="false">191888/100</f>
        <v>1918.88</v>
      </c>
      <c r="W1248" s="28" t="n">
        <v>14392</v>
      </c>
      <c r="X1248" s="28"/>
      <c r="Y1248" s="28" t="n">
        <f aca="false">X1248*$M1248</f>
        <v>0</v>
      </c>
      <c r="Z1248" s="28"/>
      <c r="AA1248" s="28" t="n">
        <f aca="false">Z1248*$M1248</f>
        <v>0</v>
      </c>
      <c r="AB1248" s="28"/>
      <c r="AC1248" s="28" t="n">
        <f aca="false">AB1248*$M1248</f>
        <v>0</v>
      </c>
      <c r="AD1248" s="28"/>
      <c r="AE1248" s="28" t="n">
        <f aca="false">AD1248*$M1248</f>
        <v>0</v>
      </c>
      <c r="AF1248" s="28"/>
      <c r="AG1248" s="28" t="n">
        <f aca="false">AF1248*$M1248</f>
        <v>0</v>
      </c>
      <c r="AH1248" s="28"/>
      <c r="AI1248" s="28" t="n">
        <f aca="false">AH1248*$M1248</f>
        <v>0</v>
      </c>
      <c r="AJ1248" s="28"/>
      <c r="AK1248" s="28" t="n">
        <f aca="false">AJ1248*$M1248</f>
        <v>0</v>
      </c>
      <c r="AL1248" s="28"/>
      <c r="AM1248" s="28" t="n">
        <f aca="false">AL1248*$M1248</f>
        <v>0</v>
      </c>
      <c r="AN1248" s="28"/>
      <c r="AO1248" s="28" t="n">
        <f aca="false">AN1248*$M1248</f>
        <v>0</v>
      </c>
      <c r="AP1248" s="28"/>
      <c r="AQ1248" s="28" t="n">
        <f aca="false">AP1248*$M1248</f>
        <v>0</v>
      </c>
      <c r="AR1248" s="28"/>
      <c r="AS1248" s="28" t="n">
        <f aca="false">AR1248*$M1248</f>
        <v>0</v>
      </c>
      <c r="AT1248" s="28"/>
      <c r="AU1248" s="28" t="n">
        <f aca="false">AT1248*$M1248</f>
        <v>0</v>
      </c>
      <c r="AV1248" s="28"/>
      <c r="AW1248" s="28" t="n">
        <f aca="false">AV1248*$M1248</f>
        <v>0</v>
      </c>
      <c r="AX1248" s="28"/>
      <c r="AY1248" s="28" t="n">
        <f aca="false">AX1248*$M1248</f>
        <v>0</v>
      </c>
      <c r="AZ1248" s="30" t="n">
        <f aca="false">191888/100</f>
        <v>1918.88</v>
      </c>
      <c r="BA1248" s="11" t="n">
        <v>14392</v>
      </c>
      <c r="BB1248" s="31" t="n">
        <f aca="false">SUM(Q1248,S1248,U1248,W1248,Y1248,AA1248,AC1248,AE1248,AG1248,AI1248,AK1248,AM1248,AO1248,AQ1248,AS1248,AU1248,AW1248,AY1248)</f>
        <v>14392</v>
      </c>
      <c r="BC1248" s="28" t="n">
        <f aca="false">BA1248-BB1248</f>
        <v>0</v>
      </c>
      <c r="BD1248" s="32" t="n">
        <f aca="false">SUM(P1248,R1248,T1248,V1248,X1248,Z1248,AB1248,AD1248,AF1248,AH1248,AJ1248,AL1248,AN1248,AP1248,AR1248,AT1248,AV1248,AX1248)</f>
        <v>1918.88</v>
      </c>
      <c r="BE1248" s="33" t="n">
        <f aca="false">AZ1248-BD1248</f>
        <v>0</v>
      </c>
      <c r="BF1248" s="34" t="n">
        <f aca="false">BD1248*M1248</f>
        <v>14391.6</v>
      </c>
      <c r="BG1248" s="35" t="n">
        <f aca="false">BA1248-BF1248</f>
        <v>0.399999999999636</v>
      </c>
      <c r="BH1248" s="19" t="str">
        <f aca="false">IF(BG1248=0,"",IF(BG1248&lt;&gt;BA1248,"erreur de calcul",IF(BD1248&lt;&gt;0,"pas de prix",IF(M1248&lt;&gt; 0,"pas de quantité","pas de prix, ni de quantité"))))</f>
        <v>erreur de calcul</v>
      </c>
      <c r="BI1248" s="19"/>
    </row>
    <row r="1249" customFormat="false" ht="15" hidden="false" customHeight="false" outlineLevel="0" collapsed="false">
      <c r="A1249" s="0" t="n">
        <v>30</v>
      </c>
      <c r="B1249" s="8" t="s">
        <v>24</v>
      </c>
      <c r="C1249" s="9" t="s">
        <v>25</v>
      </c>
      <c r="D1249" s="9" t="s">
        <v>26</v>
      </c>
      <c r="E1249" s="10" t="n">
        <v>1789</v>
      </c>
      <c r="F1249" s="9" t="s">
        <v>27</v>
      </c>
      <c r="G1249" s="9" t="s">
        <v>27</v>
      </c>
      <c r="H1249" s="11" t="n">
        <v>23</v>
      </c>
      <c r="I1249" s="11" t="s">
        <v>272</v>
      </c>
      <c r="J1249" s="14" t="n">
        <v>6</v>
      </c>
      <c r="K1249" s="14"/>
      <c r="L1249" s="16"/>
      <c r="M1249" s="27" t="n">
        <f aca="false">J1249+(K1249/20)+(L1249/240)</f>
        <v>6</v>
      </c>
      <c r="N1249" s="17" t="s">
        <v>64</v>
      </c>
      <c r="O1249" s="11"/>
      <c r="P1249" s="28"/>
      <c r="Q1249" s="28" t="n">
        <f aca="false">P1249*$M1249</f>
        <v>0</v>
      </c>
      <c r="R1249" s="28"/>
      <c r="S1249" s="28" t="n">
        <f aca="false">R1249*$M1249</f>
        <v>0</v>
      </c>
      <c r="T1249" s="28" t="n">
        <f aca="false">26711/100</f>
        <v>267.11</v>
      </c>
      <c r="U1249" s="28" t="n">
        <v>1603</v>
      </c>
      <c r="V1249" s="28" t="n">
        <f aca="false">790699/100</f>
        <v>7906.99</v>
      </c>
      <c r="W1249" s="28" t="n">
        <v>47442</v>
      </c>
      <c r="X1249" s="28" t="n">
        <f aca="false">50169/100</f>
        <v>501.69</v>
      </c>
      <c r="Y1249" s="28" t="n">
        <v>3010</v>
      </c>
      <c r="Z1249" s="28"/>
      <c r="AA1249" s="28" t="n">
        <f aca="false">Z1249*$M1249</f>
        <v>0</v>
      </c>
      <c r="AB1249" s="28"/>
      <c r="AC1249" s="28" t="n">
        <f aca="false">AB1249*$M1249</f>
        <v>0</v>
      </c>
      <c r="AD1249" s="28"/>
      <c r="AE1249" s="28" t="n">
        <f aca="false">AD1249*$M1249</f>
        <v>0</v>
      </c>
      <c r="AF1249" s="28"/>
      <c r="AG1249" s="28" t="n">
        <f aca="false">AF1249*$M1249</f>
        <v>0</v>
      </c>
      <c r="AH1249" s="28"/>
      <c r="AI1249" s="28" t="n">
        <f aca="false">AH1249*$M1249</f>
        <v>0</v>
      </c>
      <c r="AJ1249" s="28"/>
      <c r="AK1249" s="28" t="n">
        <f aca="false">AJ1249*$M1249</f>
        <v>0</v>
      </c>
      <c r="AL1249" s="28"/>
      <c r="AM1249" s="28" t="n">
        <f aca="false">AL1249*$M1249</f>
        <v>0</v>
      </c>
      <c r="AN1249" s="28"/>
      <c r="AO1249" s="28" t="n">
        <f aca="false">AN1249*$M1249</f>
        <v>0</v>
      </c>
      <c r="AP1249" s="28"/>
      <c r="AQ1249" s="28" t="n">
        <f aca="false">AP1249*$M1249</f>
        <v>0</v>
      </c>
      <c r="AR1249" s="28"/>
      <c r="AS1249" s="28" t="n">
        <f aca="false">AR1249*$M1249</f>
        <v>0</v>
      </c>
      <c r="AT1249" s="28"/>
      <c r="AU1249" s="28" t="n">
        <f aca="false">AT1249*$M1249</f>
        <v>0</v>
      </c>
      <c r="AV1249" s="28"/>
      <c r="AW1249" s="28" t="n">
        <f aca="false">AV1249*$M1249</f>
        <v>0</v>
      </c>
      <c r="AX1249" s="28"/>
      <c r="AY1249" s="28" t="n">
        <f aca="false">AX1249*$M1249</f>
        <v>0</v>
      </c>
      <c r="AZ1249" s="30" t="n">
        <f aca="false">867559/100</f>
        <v>8675.59</v>
      </c>
      <c r="BA1249" s="11" t="n">
        <v>52055</v>
      </c>
      <c r="BB1249" s="31" t="n">
        <f aca="false">SUM(Q1249,S1249,U1249,W1249,Y1249,AA1249,AC1249,AE1249,AG1249,AI1249,AK1249,AM1249,AO1249,AQ1249,AS1249,AU1249,AW1249,AY1249)</f>
        <v>52055</v>
      </c>
      <c r="BC1249" s="28" t="n">
        <f aca="false">BA1249-BB1249</f>
        <v>0</v>
      </c>
      <c r="BD1249" s="32" t="n">
        <f aca="false">SUM(P1249,R1249,T1249,V1249,X1249,Z1249,AB1249,AD1249,AF1249,AH1249,AJ1249,AL1249,AN1249,AP1249,AR1249,AT1249,AV1249,AX1249)</f>
        <v>8675.79</v>
      </c>
      <c r="BE1249" s="33" t="n">
        <f aca="false">AZ1249-BD1249</f>
        <v>-0.200000000000728</v>
      </c>
      <c r="BF1249" s="34" t="n">
        <f aca="false">BD1249*M1249</f>
        <v>52054.74</v>
      </c>
      <c r="BG1249" s="35" t="n">
        <f aca="false">BA1249-BF1249</f>
        <v>0.259999999994761</v>
      </c>
      <c r="BH1249" s="19" t="str">
        <f aca="false">IF(BG1249=0,"",IF(BG1249&lt;&gt;BA1249,"erreur de calcul",IF(BD1249&lt;&gt;0,"pas de prix",IF(M1249&lt;&gt; 0,"pas de quantité","pas de prix, ni de quantité"))))</f>
        <v>erreur de calcul</v>
      </c>
      <c r="BI1249" s="19"/>
    </row>
    <row r="1250" customFormat="false" ht="15" hidden="false" customHeight="false" outlineLevel="0" collapsed="false">
      <c r="A1250" s="0" t="n">
        <v>31</v>
      </c>
      <c r="B1250" s="8" t="s">
        <v>24</v>
      </c>
      <c r="C1250" s="9" t="s">
        <v>25</v>
      </c>
      <c r="D1250" s="9" t="s">
        <v>26</v>
      </c>
      <c r="E1250" s="10" t="n">
        <v>1789</v>
      </c>
      <c r="F1250" s="9" t="s">
        <v>27</v>
      </c>
      <c r="G1250" s="9" t="s">
        <v>27</v>
      </c>
      <c r="H1250" s="11" t="n">
        <v>23</v>
      </c>
      <c r="I1250" s="11" t="s">
        <v>273</v>
      </c>
      <c r="J1250" s="14" t="n">
        <v>8</v>
      </c>
      <c r="K1250" s="14"/>
      <c r="L1250" s="16"/>
      <c r="M1250" s="27" t="n">
        <f aca="false">J1250+(K1250/20)+(L1250/240)</f>
        <v>8</v>
      </c>
      <c r="N1250" s="17" t="s">
        <v>81</v>
      </c>
      <c r="O1250" s="11"/>
      <c r="P1250" s="28" t="n">
        <v>27</v>
      </c>
      <c r="Q1250" s="28" t="n">
        <v>216</v>
      </c>
      <c r="R1250" s="28"/>
      <c r="S1250" s="28" t="n">
        <f aca="false">R1250*$M1250</f>
        <v>0</v>
      </c>
      <c r="T1250" s="28"/>
      <c r="U1250" s="28" t="n">
        <f aca="false">T1250*$M1250</f>
        <v>0</v>
      </c>
      <c r="V1250" s="28" t="n">
        <v>40</v>
      </c>
      <c r="W1250" s="28" t="n">
        <v>320</v>
      </c>
      <c r="X1250" s="28"/>
      <c r="Y1250" s="28" t="n">
        <f aca="false">X1250*$M1250</f>
        <v>0</v>
      </c>
      <c r="Z1250" s="28"/>
      <c r="AA1250" s="28" t="n">
        <f aca="false">Z1250*$M1250</f>
        <v>0</v>
      </c>
      <c r="AB1250" s="28" t="n">
        <v>164</v>
      </c>
      <c r="AC1250" s="28" t="n">
        <v>1312</v>
      </c>
      <c r="AD1250" s="28"/>
      <c r="AE1250" s="28" t="n">
        <f aca="false">AD1250*$M1250</f>
        <v>0</v>
      </c>
      <c r="AF1250" s="28" t="n">
        <v>263</v>
      </c>
      <c r="AG1250" s="28" t="n">
        <v>2104</v>
      </c>
      <c r="AH1250" s="28"/>
      <c r="AI1250" s="28" t="n">
        <f aca="false">AH1250*$M1250</f>
        <v>0</v>
      </c>
      <c r="AJ1250" s="28"/>
      <c r="AK1250" s="28" t="n">
        <f aca="false">AJ1250*$M1250</f>
        <v>0</v>
      </c>
      <c r="AL1250" s="28"/>
      <c r="AM1250" s="28" t="n">
        <f aca="false">AL1250*$M1250</f>
        <v>0</v>
      </c>
      <c r="AN1250" s="28"/>
      <c r="AO1250" s="28" t="n">
        <f aca="false">AN1250*$M1250</f>
        <v>0</v>
      </c>
      <c r="AP1250" s="28" t="n">
        <v>278</v>
      </c>
      <c r="AQ1250" s="28" t="n">
        <v>2224</v>
      </c>
      <c r="AR1250" s="28"/>
      <c r="AS1250" s="28" t="n">
        <f aca="false">AR1250*$M1250</f>
        <v>0</v>
      </c>
      <c r="AT1250" s="28"/>
      <c r="AU1250" s="28" t="n">
        <f aca="false">AT1250*$M1250</f>
        <v>0</v>
      </c>
      <c r="AV1250" s="28"/>
      <c r="AW1250" s="28" t="n">
        <f aca="false">AV1250*$M1250</f>
        <v>0</v>
      </c>
      <c r="AX1250" s="28"/>
      <c r="AY1250" s="28" t="n">
        <f aca="false">AX1250*$M1250</f>
        <v>0</v>
      </c>
      <c r="AZ1250" s="30" t="n">
        <v>772</v>
      </c>
      <c r="BA1250" s="11" t="n">
        <v>6176</v>
      </c>
      <c r="BB1250" s="31" t="n">
        <f aca="false">SUM(Q1250,S1250,U1250,W1250,Y1250,AA1250,AC1250,AE1250,AG1250,AI1250,AK1250,AM1250,AO1250,AQ1250,AS1250,AU1250,AW1250,AY1250)</f>
        <v>6176</v>
      </c>
      <c r="BC1250" s="28" t="n">
        <f aca="false">BA1250-BB1250</f>
        <v>0</v>
      </c>
      <c r="BD1250" s="32" t="n">
        <f aca="false">SUM(P1250,R1250,T1250,V1250,X1250,Z1250,AB1250,AD1250,AF1250,AH1250,AJ1250,AL1250,AN1250,AP1250,AR1250,AT1250,AV1250,AX1250)</f>
        <v>772</v>
      </c>
      <c r="BE1250" s="33" t="n">
        <f aca="false">AZ1250-BD1250</f>
        <v>0</v>
      </c>
      <c r="BF1250" s="34" t="n">
        <f aca="false">BD1250*M1250</f>
        <v>6176</v>
      </c>
      <c r="BG1250" s="35" t="n">
        <f aca="false">BA1250-BF1250</f>
        <v>0</v>
      </c>
      <c r="BH1250" s="19" t="str">
        <f aca="false">IF(BG1250=0,"",IF(BG1250&lt;&gt;BA1250,"erreur de calcul",IF(BD1250&lt;&gt;0,"pas de prix",IF(M1250&lt;&gt; 0,"pas de quantité","pas de prix, ni de quantité"))))</f>
        <v/>
      </c>
      <c r="BI1250" s="19"/>
    </row>
    <row r="1251" customFormat="false" ht="15" hidden="false" customHeight="false" outlineLevel="0" collapsed="false">
      <c r="A1251" s="0" t="n">
        <v>32</v>
      </c>
      <c r="B1251" s="8" t="s">
        <v>24</v>
      </c>
      <c r="C1251" s="9" t="s">
        <v>25</v>
      </c>
      <c r="D1251" s="9" t="s">
        <v>26</v>
      </c>
      <c r="E1251" s="10" t="n">
        <v>1789</v>
      </c>
      <c r="F1251" s="9" t="s">
        <v>27</v>
      </c>
      <c r="G1251" s="9" t="s">
        <v>27</v>
      </c>
      <c r="H1251" s="11" t="n">
        <v>23</v>
      </c>
      <c r="I1251" s="11" t="s">
        <v>274</v>
      </c>
      <c r="J1251" s="14" t="n">
        <v>17</v>
      </c>
      <c r="K1251" s="14"/>
      <c r="L1251" s="16"/>
      <c r="M1251" s="27" t="n">
        <f aca="false">J1251+(K1251/20)+(L1251/240)</f>
        <v>17</v>
      </c>
      <c r="N1251" s="17" t="s">
        <v>275</v>
      </c>
      <c r="O1251" s="11"/>
      <c r="P1251" s="28" t="n">
        <v>200</v>
      </c>
      <c r="Q1251" s="28" t="n">
        <v>3400</v>
      </c>
      <c r="R1251" s="28"/>
      <c r="S1251" s="28" t="n">
        <f aca="false">R1251*$M1251</f>
        <v>0</v>
      </c>
      <c r="T1251" s="28"/>
      <c r="U1251" s="28" t="n">
        <f aca="false">T1251*$M1251</f>
        <v>0</v>
      </c>
      <c r="V1251" s="28"/>
      <c r="W1251" s="28" t="n">
        <f aca="false">V1251*$M1251</f>
        <v>0</v>
      </c>
      <c r="X1251" s="28" t="n">
        <v>145</v>
      </c>
      <c r="Y1251" s="28" t="n">
        <v>2465</v>
      </c>
      <c r="Z1251" s="28"/>
      <c r="AA1251" s="28" t="n">
        <f aca="false">Z1251*$M1251</f>
        <v>0</v>
      </c>
      <c r="AB1251" s="28"/>
      <c r="AC1251" s="28" t="n">
        <f aca="false">AB1251*$M1251</f>
        <v>0</v>
      </c>
      <c r="AD1251" s="28"/>
      <c r="AE1251" s="28" t="n">
        <f aca="false">AD1251*$M1251</f>
        <v>0</v>
      </c>
      <c r="AF1251" s="28"/>
      <c r="AG1251" s="28" t="n">
        <f aca="false">AF1251*$M1251</f>
        <v>0</v>
      </c>
      <c r="AH1251" s="28"/>
      <c r="AI1251" s="28" t="n">
        <f aca="false">AH1251*$M1251</f>
        <v>0</v>
      </c>
      <c r="AJ1251" s="28"/>
      <c r="AK1251" s="28" t="n">
        <f aca="false">AJ1251*$M1251</f>
        <v>0</v>
      </c>
      <c r="AL1251" s="28" t="n">
        <v>12</v>
      </c>
      <c r="AM1251" s="28" t="n">
        <v>204</v>
      </c>
      <c r="AN1251" s="28"/>
      <c r="AO1251" s="28" t="n">
        <f aca="false">AN1251*$M1251</f>
        <v>0</v>
      </c>
      <c r="AP1251" s="28"/>
      <c r="AQ1251" s="28" t="n">
        <f aca="false">AP1251*$M1251</f>
        <v>0</v>
      </c>
      <c r="AR1251" s="28"/>
      <c r="AS1251" s="28" t="n">
        <f aca="false">AR1251*$M1251</f>
        <v>0</v>
      </c>
      <c r="AT1251" s="28"/>
      <c r="AU1251" s="28" t="n">
        <f aca="false">AT1251*$M1251</f>
        <v>0</v>
      </c>
      <c r="AV1251" s="28"/>
      <c r="AW1251" s="28" t="n">
        <f aca="false">AV1251*$M1251</f>
        <v>0</v>
      </c>
      <c r="AX1251" s="28"/>
      <c r="AY1251" s="28" t="n">
        <f aca="false">AX1251*$M1251</f>
        <v>0</v>
      </c>
      <c r="AZ1251" s="30" t="n">
        <v>357</v>
      </c>
      <c r="BA1251" s="11" t="n">
        <v>6069</v>
      </c>
      <c r="BB1251" s="31" t="n">
        <f aca="false">SUM(Q1251,S1251,U1251,W1251,Y1251,AA1251,AC1251,AE1251,AG1251,AI1251,AK1251,AM1251,AO1251,AQ1251,AS1251,AU1251,AW1251,AY1251)</f>
        <v>6069</v>
      </c>
      <c r="BC1251" s="28" t="n">
        <f aca="false">BA1251-BB1251</f>
        <v>0</v>
      </c>
      <c r="BD1251" s="32" t="n">
        <f aca="false">SUM(P1251,R1251,T1251,V1251,X1251,Z1251,AB1251,AD1251,AF1251,AH1251,AJ1251,AL1251,AN1251,AP1251,AR1251,AT1251,AV1251,AX1251)</f>
        <v>357</v>
      </c>
      <c r="BE1251" s="33" t="n">
        <f aca="false">AZ1251-BD1251</f>
        <v>0</v>
      </c>
      <c r="BF1251" s="34" t="n">
        <f aca="false">BD1251*M1251</f>
        <v>6069</v>
      </c>
      <c r="BG1251" s="35" t="n">
        <f aca="false">BA1251-BF1251</f>
        <v>0</v>
      </c>
      <c r="BH1251" s="19" t="str">
        <f aca="false">IF(BG1251=0,"",IF(BG1251&lt;&gt;BA1251,"erreur de calcul",IF(BD1251&lt;&gt;0,"pas de prix",IF(M1251&lt;&gt; 0,"pas de quantité","pas de prix, ni de quantité"))))</f>
        <v/>
      </c>
      <c r="BI1251" s="19" t="s">
        <v>275</v>
      </c>
    </row>
    <row r="1252" customFormat="false" ht="15" hidden="false" customHeight="false" outlineLevel="0" collapsed="false">
      <c r="A1252" s="0" t="n">
        <v>33</v>
      </c>
      <c r="B1252" s="8" t="s">
        <v>24</v>
      </c>
      <c r="C1252" s="9" t="s">
        <v>25</v>
      </c>
      <c r="D1252" s="9" t="s">
        <v>26</v>
      </c>
      <c r="E1252" s="10" t="n">
        <v>1789</v>
      </c>
      <c r="F1252" s="9" t="s">
        <v>27</v>
      </c>
      <c r="G1252" s="9" t="s">
        <v>27</v>
      </c>
      <c r="H1252" s="11" t="n">
        <v>23</v>
      </c>
      <c r="I1252" s="11" t="s">
        <v>276</v>
      </c>
      <c r="J1252" s="14" t="n">
        <v>36</v>
      </c>
      <c r="K1252" s="14"/>
      <c r="L1252" s="16"/>
      <c r="M1252" s="27" t="n">
        <f aca="false">J1252+(K1252/20)+(L1252/240)</f>
        <v>36</v>
      </c>
      <c r="N1252" s="17" t="s">
        <v>275</v>
      </c>
      <c r="O1252" s="11" t="s">
        <v>277</v>
      </c>
      <c r="P1252" s="28"/>
      <c r="Q1252" s="28" t="n">
        <f aca="false">P1252*$M1252</f>
        <v>0</v>
      </c>
      <c r="R1252" s="28"/>
      <c r="S1252" s="28" t="n">
        <f aca="false">R1252*$M1252</f>
        <v>0</v>
      </c>
      <c r="T1252" s="28"/>
      <c r="U1252" s="28" t="n">
        <f aca="false">T1252*$M1252</f>
        <v>0</v>
      </c>
      <c r="V1252" s="28"/>
      <c r="W1252" s="28" t="n">
        <f aca="false">V1252*$M1252</f>
        <v>0</v>
      </c>
      <c r="X1252" s="28"/>
      <c r="Y1252" s="28" t="n">
        <f aca="false">X1252*$M1252</f>
        <v>0</v>
      </c>
      <c r="Z1252" s="28"/>
      <c r="AA1252" s="28" t="n">
        <f aca="false">Z1252*$M1252</f>
        <v>0</v>
      </c>
      <c r="AB1252" s="28"/>
      <c r="AC1252" s="28" t="n">
        <f aca="false">AB1252*$M1252</f>
        <v>0</v>
      </c>
      <c r="AD1252" s="28"/>
      <c r="AE1252" s="28" t="n">
        <f aca="false">AD1252*$M1252</f>
        <v>0</v>
      </c>
      <c r="AF1252" s="28"/>
      <c r="AG1252" s="28" t="n">
        <f aca="false">AF1252*$M1252</f>
        <v>0</v>
      </c>
      <c r="AH1252" s="28"/>
      <c r="AI1252" s="28" t="n">
        <f aca="false">AH1252*$M1252</f>
        <v>0</v>
      </c>
      <c r="AJ1252" s="28"/>
      <c r="AK1252" s="28" t="n">
        <f aca="false">AJ1252*$M1252</f>
        <v>0</v>
      </c>
      <c r="AL1252" s="28"/>
      <c r="AM1252" s="28" t="n">
        <f aca="false">AL1252*$M1252</f>
        <v>0</v>
      </c>
      <c r="AN1252" s="28"/>
      <c r="AO1252" s="28" t="n">
        <f aca="false">AN1252*$M1252</f>
        <v>0</v>
      </c>
      <c r="AP1252" s="28"/>
      <c r="AQ1252" s="28" t="n">
        <f aca="false">AP1252*$M1252</f>
        <v>0</v>
      </c>
      <c r="AR1252" s="28"/>
      <c r="AS1252" s="28" t="n">
        <f aca="false">AR1252*$M1252</f>
        <v>0</v>
      </c>
      <c r="AT1252" s="28"/>
      <c r="AU1252" s="28" t="n">
        <f aca="false">AT1252*$M1252</f>
        <v>0</v>
      </c>
      <c r="AV1252" s="28"/>
      <c r="AW1252" s="28" t="n">
        <f aca="false">AV1252*$M1252</f>
        <v>0</v>
      </c>
      <c r="AX1252" s="28"/>
      <c r="AY1252" s="28" t="n">
        <f aca="false">AX1252*$M1252</f>
        <v>0</v>
      </c>
      <c r="AZ1252" s="30"/>
      <c r="BA1252" s="11"/>
      <c r="BB1252" s="31" t="n">
        <f aca="false">SUM(Q1252,S1252,U1252,W1252,Y1252,AA1252,AC1252,AE1252,AG1252,AI1252,AK1252,AM1252,AO1252,AQ1252,AS1252,AU1252,AW1252,AY1252)</f>
        <v>0</v>
      </c>
      <c r="BC1252" s="28" t="n">
        <f aca="false">BA1252-BB1252</f>
        <v>0</v>
      </c>
      <c r="BD1252" s="32" t="n">
        <f aca="false">SUM(P1252,R1252,T1252,V1252,X1252,Z1252,AB1252,AD1252,AF1252,AH1252,AJ1252,AL1252,AN1252,AP1252,AR1252,AT1252,AV1252,AX1252)</f>
        <v>0</v>
      </c>
      <c r="BE1252" s="33" t="n">
        <f aca="false">AZ1252-BD1252</f>
        <v>0</v>
      </c>
      <c r="BF1252" s="34" t="n">
        <f aca="false">BD1252*M1252</f>
        <v>0</v>
      </c>
      <c r="BG1252" s="35" t="n">
        <f aca="false">BA1252-BF1252</f>
        <v>0</v>
      </c>
      <c r="BH1252" s="19" t="str">
        <f aca="false">IF(BG1252=0,"",IF(BG1252&lt;&gt;BA1252,"erreur de calcul",IF(BD1252&lt;&gt;0,"pas de prix",IF(M1252&lt;&gt; 0,"pas de quantité","pas de prix, ni de quantité"))))</f>
        <v/>
      </c>
      <c r="BI1252" s="19" t="s">
        <v>275</v>
      </c>
    </row>
    <row r="1253" customFormat="false" ht="15" hidden="false" customHeight="false" outlineLevel="0" collapsed="false">
      <c r="A1253" s="0" t="n">
        <v>34</v>
      </c>
      <c r="B1253" s="8" t="s">
        <v>24</v>
      </c>
      <c r="C1253" s="9" t="s">
        <v>25</v>
      </c>
      <c r="D1253" s="9" t="s">
        <v>26</v>
      </c>
      <c r="E1253" s="10" t="n">
        <v>1789</v>
      </c>
      <c r="F1253" s="9" t="s">
        <v>27</v>
      </c>
      <c r="G1253" s="9" t="s">
        <v>27</v>
      </c>
      <c r="H1253" s="11" t="n">
        <v>23</v>
      </c>
      <c r="I1253" s="11" t="s">
        <v>276</v>
      </c>
      <c r="J1253" s="14" t="n">
        <v>36</v>
      </c>
      <c r="K1253" s="14"/>
      <c r="L1253" s="16"/>
      <c r="M1253" s="27" t="n">
        <f aca="false">J1253+(K1253/20)+(L1253/240)</f>
        <v>36</v>
      </c>
      <c r="N1253" s="17" t="s">
        <v>275</v>
      </c>
      <c r="O1253" s="11" t="s">
        <v>77</v>
      </c>
      <c r="P1253" s="28" t="n">
        <v>7250</v>
      </c>
      <c r="Q1253" s="28" t="n">
        <v>261000</v>
      </c>
      <c r="R1253" s="28"/>
      <c r="S1253" s="28" t="n">
        <f aca="false">R1253*$M1253</f>
        <v>0</v>
      </c>
      <c r="T1253" s="28" t="n">
        <v>38389</v>
      </c>
      <c r="U1253" s="28" t="n">
        <v>1382004</v>
      </c>
      <c r="V1253" s="28" t="n">
        <v>19350</v>
      </c>
      <c r="W1253" s="28" t="n">
        <v>696600</v>
      </c>
      <c r="X1253" s="28" t="n">
        <v>25392</v>
      </c>
      <c r="Y1253" s="28" t="n">
        <v>914112</v>
      </c>
      <c r="Z1253" s="28" t="n">
        <v>31863</v>
      </c>
      <c r="AA1253" s="28" t="n">
        <v>1147068</v>
      </c>
      <c r="AB1253" s="28" t="n">
        <v>149064</v>
      </c>
      <c r="AC1253" s="28" t="n">
        <v>5366304</v>
      </c>
      <c r="AD1253" s="28" t="n">
        <v>1270</v>
      </c>
      <c r="AE1253" s="28" t="n">
        <v>45720</v>
      </c>
      <c r="AF1253" s="28" t="n">
        <v>54784</v>
      </c>
      <c r="AG1253" s="28" t="n">
        <v>1972224</v>
      </c>
      <c r="AH1253" s="28" t="n">
        <v>1200</v>
      </c>
      <c r="AI1253" s="28" t="n">
        <v>43200</v>
      </c>
      <c r="AJ1253" s="28" t="n">
        <v>10055</v>
      </c>
      <c r="AK1253" s="28" t="n">
        <v>361980</v>
      </c>
      <c r="AL1253" s="28"/>
      <c r="AM1253" s="28" t="n">
        <f aca="false">AL1253*$M1253</f>
        <v>0</v>
      </c>
      <c r="AN1253" s="28"/>
      <c r="AO1253" s="28" t="n">
        <f aca="false">AN1253*$M1253</f>
        <v>0</v>
      </c>
      <c r="AP1253" s="28" t="n">
        <v>220</v>
      </c>
      <c r="AQ1253" s="28" t="n">
        <f aca="false">AP1253*$M1253</f>
        <v>7920</v>
      </c>
      <c r="AR1253" s="28"/>
      <c r="AS1253" s="28" t="n">
        <f aca="false">AR1253*$M1253</f>
        <v>0</v>
      </c>
      <c r="AT1253" s="28"/>
      <c r="AU1253" s="28" t="n">
        <f aca="false">AT1253*$M1253</f>
        <v>0</v>
      </c>
      <c r="AV1253" s="28" t="n">
        <v>100</v>
      </c>
      <c r="AW1253" s="28" t="n">
        <v>3600</v>
      </c>
      <c r="AX1253" s="28" t="n">
        <v>9241</v>
      </c>
      <c r="AY1253" s="28" t="n">
        <v>332676</v>
      </c>
      <c r="AZ1253" s="30" t="n">
        <v>348178</v>
      </c>
      <c r="BA1253" s="11" t="n">
        <v>12534408</v>
      </c>
      <c r="BB1253" s="31" t="n">
        <f aca="false">SUM(Q1253,S1253,U1253,W1253,Y1253,AA1253,AC1253,AE1253,AG1253,AI1253,AK1253,AM1253,AO1253,AQ1253,AS1253,AU1253,AW1253,AY1253)</f>
        <v>12534408</v>
      </c>
      <c r="BC1253" s="28" t="n">
        <f aca="false">BA1253-BB1253</f>
        <v>0</v>
      </c>
      <c r="BD1253" s="32" t="n">
        <f aca="false">SUM(P1253,R1253,T1253,V1253,X1253,Z1253,AB1253,AD1253,AF1253,AH1253,AJ1253,AL1253,AN1253,AP1253,AR1253,AT1253,AV1253,AX1253)</f>
        <v>348178</v>
      </c>
      <c r="BE1253" s="33" t="n">
        <f aca="false">AZ1253-BD1253</f>
        <v>0</v>
      </c>
      <c r="BF1253" s="34" t="n">
        <f aca="false">BD1253*M1253</f>
        <v>12534408</v>
      </c>
      <c r="BG1253" s="35" t="n">
        <f aca="false">BA1253-BF1253</f>
        <v>0</v>
      </c>
      <c r="BH1253" s="19" t="str">
        <f aca="false">IF(BG1253=0,"",IF(BG1253&lt;&gt;BA1253,"erreur de calcul",IF(BD1253&lt;&gt;0,"pas de prix",IF(M1253&lt;&gt; 0,"pas de quantité","pas de prix, ni de quantité"))))</f>
        <v/>
      </c>
      <c r="BI1253" s="19"/>
    </row>
    <row r="1254" customFormat="false" ht="15" hidden="false" customHeight="false" outlineLevel="0" collapsed="false">
      <c r="A1254" s="0" t="n">
        <v>35</v>
      </c>
      <c r="B1254" s="8" t="s">
        <v>24</v>
      </c>
      <c r="C1254" s="9" t="s">
        <v>25</v>
      </c>
      <c r="D1254" s="9" t="s">
        <v>26</v>
      </c>
      <c r="E1254" s="10" t="n">
        <v>1789</v>
      </c>
      <c r="F1254" s="9" t="s">
        <v>27</v>
      </c>
      <c r="G1254" s="9" t="s">
        <v>27</v>
      </c>
      <c r="H1254" s="11" t="n">
        <v>23</v>
      </c>
      <c r="I1254" s="11" t="s">
        <v>278</v>
      </c>
      <c r="J1254" s="14" t="n">
        <v>12</v>
      </c>
      <c r="K1254" s="14"/>
      <c r="L1254" s="16"/>
      <c r="M1254" s="27" t="n">
        <f aca="false">J1254+(K1254/20)+(L1254/240)</f>
        <v>12</v>
      </c>
      <c r="N1254" s="17" t="s">
        <v>64</v>
      </c>
      <c r="O1254" s="11" t="s">
        <v>77</v>
      </c>
      <c r="P1254" s="28" t="n">
        <f aca="false">351312/100</f>
        <v>3513.12</v>
      </c>
      <c r="Q1254" s="28" t="n">
        <v>42157</v>
      </c>
      <c r="R1254" s="28"/>
      <c r="S1254" s="28" t="n">
        <f aca="false">R1254*$M1254</f>
        <v>0</v>
      </c>
      <c r="T1254" s="28" t="n">
        <f aca="false">52251/100</f>
        <v>522.51</v>
      </c>
      <c r="U1254" s="28" t="n">
        <v>6270</v>
      </c>
      <c r="V1254" s="28" t="n">
        <f aca="false">2393/100</f>
        <v>23.93</v>
      </c>
      <c r="W1254" s="28" t="n">
        <v>287</v>
      </c>
      <c r="X1254" s="28" t="n">
        <f aca="false">44842/100</f>
        <v>448.42</v>
      </c>
      <c r="Y1254" s="28" t="n">
        <v>5381</v>
      </c>
      <c r="Z1254" s="28"/>
      <c r="AA1254" s="28" t="n">
        <f aca="false">Z1254*$M1254</f>
        <v>0</v>
      </c>
      <c r="AB1254" s="28"/>
      <c r="AC1254" s="28" t="n">
        <f aca="false">AB1254*$M1254</f>
        <v>0</v>
      </c>
      <c r="AD1254" s="28"/>
      <c r="AE1254" s="28" t="n">
        <f aca="false">AD1254*$M1254</f>
        <v>0</v>
      </c>
      <c r="AF1254" s="28" t="n">
        <f aca="false">164167/100</f>
        <v>1641.67</v>
      </c>
      <c r="AG1254" s="28" t="n">
        <v>19700</v>
      </c>
      <c r="AH1254" s="28"/>
      <c r="AI1254" s="28" t="n">
        <f aca="false">AH1254*$M1254</f>
        <v>0</v>
      </c>
      <c r="AJ1254" s="28"/>
      <c r="AK1254" s="28" t="n">
        <f aca="false">AJ1254*$M1254</f>
        <v>0</v>
      </c>
      <c r="AL1254" s="28"/>
      <c r="AM1254" s="28" t="n">
        <f aca="false">AL1254*$M1254</f>
        <v>0</v>
      </c>
      <c r="AN1254" s="28"/>
      <c r="AO1254" s="28" t="n">
        <f aca="false">AN1254*$M1254</f>
        <v>0</v>
      </c>
      <c r="AP1254" s="28"/>
      <c r="AQ1254" s="28" t="n">
        <f aca="false">AP1254*$M1254</f>
        <v>0</v>
      </c>
      <c r="AR1254" s="28"/>
      <c r="AS1254" s="28" t="n">
        <f aca="false">AR1254*$M1254</f>
        <v>0</v>
      </c>
      <c r="AT1254" s="28"/>
      <c r="AU1254" s="28" t="n">
        <f aca="false">AT1254*$M1254</f>
        <v>0</v>
      </c>
      <c r="AV1254" s="28"/>
      <c r="AW1254" s="28" t="n">
        <f aca="false">AV1254*$M1254</f>
        <v>0</v>
      </c>
      <c r="AX1254" s="28" t="n">
        <f aca="false">25000/100</f>
        <v>250</v>
      </c>
      <c r="AY1254" s="28" t="n">
        <v>3000</v>
      </c>
      <c r="AZ1254" s="30"/>
      <c r="BA1254" s="11" t="n">
        <v>76795</v>
      </c>
      <c r="BB1254" s="31" t="n">
        <f aca="false">SUM(Q1254,S1254,U1254,W1254,Y1254,AA1254,AC1254,AE1254,AG1254,AI1254,AK1254,AM1254,AO1254,AQ1254,AS1254,AU1254,AW1254,AY1254)</f>
        <v>76795</v>
      </c>
      <c r="BC1254" s="28" t="n">
        <f aca="false">BA1254-BB1254</f>
        <v>0</v>
      </c>
      <c r="BD1254" s="32" t="n">
        <f aca="false">SUM(P1254,R1254,T1254,V1254,X1254,Z1254,AB1254,AD1254,AF1254,AH1254,AJ1254,AL1254,AN1254,AP1254,AR1254,AT1254,AV1254,AX1254)</f>
        <v>6399.65</v>
      </c>
      <c r="BE1254" s="33" t="n">
        <f aca="false">AZ1254-BD1254</f>
        <v>-6399.65</v>
      </c>
      <c r="BF1254" s="34" t="n">
        <f aca="false">BD1254*M1254</f>
        <v>76795.8</v>
      </c>
      <c r="BG1254" s="35" t="n">
        <f aca="false">BA1254-BF1254</f>
        <v>-0.799999999988359</v>
      </c>
      <c r="BH1254" s="19" t="str">
        <f aca="false">IF(BG1254=0,"",IF(BG1254&lt;&gt;BA1254,"erreur de calcul",IF(BD1254&lt;&gt;0,"pas de prix",IF(M1254&lt;&gt; 0,"pas de quantité","pas de prix, ni de quantité"))))</f>
        <v>erreur de calcul</v>
      </c>
      <c r="BI1254" s="19"/>
    </row>
    <row r="1255" customFormat="false" ht="15" hidden="false" customHeight="false" outlineLevel="0" collapsed="false">
      <c r="A1255" s="0" t="n">
        <v>36</v>
      </c>
      <c r="B1255" s="8" t="s">
        <v>24</v>
      </c>
      <c r="C1255" s="9" t="s">
        <v>25</v>
      </c>
      <c r="D1255" s="9" t="s">
        <v>26</v>
      </c>
      <c r="E1255" s="10" t="n">
        <v>1789</v>
      </c>
      <c r="F1255" s="9" t="s">
        <v>27</v>
      </c>
      <c r="G1255" s="9" t="s">
        <v>27</v>
      </c>
      <c r="H1255" s="11" t="n">
        <v>23</v>
      </c>
      <c r="I1255" s="11" t="s">
        <v>279</v>
      </c>
      <c r="J1255" s="14" t="n">
        <v>18</v>
      </c>
      <c r="K1255" s="14"/>
      <c r="L1255" s="16"/>
      <c r="M1255" s="27" t="n">
        <f aca="false">J1255+(K1255/20)+(L1255/240)</f>
        <v>18</v>
      </c>
      <c r="N1255" s="17" t="s">
        <v>275</v>
      </c>
      <c r="O1255" s="11"/>
      <c r="P1255" s="28"/>
      <c r="Q1255" s="28" t="n">
        <f aca="false">P1255*$M1255</f>
        <v>0</v>
      </c>
      <c r="R1255" s="28"/>
      <c r="S1255" s="28" t="n">
        <f aca="false">R1255*$M1255</f>
        <v>0</v>
      </c>
      <c r="T1255" s="28" t="n">
        <v>100</v>
      </c>
      <c r="U1255" s="28" t="n">
        <v>1800</v>
      </c>
      <c r="V1255" s="28"/>
      <c r="W1255" s="28" t="n">
        <f aca="false">V1255*$M1255</f>
        <v>0</v>
      </c>
      <c r="X1255" s="28"/>
      <c r="Y1255" s="28" t="n">
        <f aca="false">X1255*$M1255</f>
        <v>0</v>
      </c>
      <c r="Z1255" s="28"/>
      <c r="AA1255" s="28" t="n">
        <f aca="false">Z1255*$M1255</f>
        <v>0</v>
      </c>
      <c r="AB1255" s="28" t="n">
        <v>1936</v>
      </c>
      <c r="AC1255" s="28" t="n">
        <v>34848</v>
      </c>
      <c r="AD1255" s="28"/>
      <c r="AE1255" s="28" t="n">
        <f aca="false">AD1255*$M1255</f>
        <v>0</v>
      </c>
      <c r="AF1255" s="28" t="n">
        <v>600</v>
      </c>
      <c r="AG1255" s="28" t="n">
        <v>10800</v>
      </c>
      <c r="AH1255" s="28"/>
      <c r="AI1255" s="28" t="n">
        <f aca="false">AH1255*$M1255</f>
        <v>0</v>
      </c>
      <c r="AJ1255" s="28"/>
      <c r="AK1255" s="28" t="n">
        <f aca="false">AJ1255*$M1255</f>
        <v>0</v>
      </c>
      <c r="AL1255" s="28" t="n">
        <v>12</v>
      </c>
      <c r="AM1255" s="28" t="n">
        <v>216</v>
      </c>
      <c r="AN1255" s="28"/>
      <c r="AO1255" s="28" t="n">
        <f aca="false">AN1255*$M1255</f>
        <v>0</v>
      </c>
      <c r="AP1255" s="28" t="n">
        <v>12</v>
      </c>
      <c r="AQ1255" s="28" t="n">
        <v>216</v>
      </c>
      <c r="AR1255" s="28"/>
      <c r="AS1255" s="28" t="n">
        <f aca="false">AR1255*$M1255</f>
        <v>0</v>
      </c>
      <c r="AT1255" s="28"/>
      <c r="AU1255" s="28" t="n">
        <f aca="false">AT1255*$M1255</f>
        <v>0</v>
      </c>
      <c r="AV1255" s="28"/>
      <c r="AW1255" s="28" t="n">
        <f aca="false">AV1255*$M1255</f>
        <v>0</v>
      </c>
      <c r="AX1255" s="28"/>
      <c r="AY1255" s="28" t="n">
        <f aca="false">AX1255*$M1255</f>
        <v>0</v>
      </c>
      <c r="AZ1255" s="30" t="n">
        <v>2660</v>
      </c>
      <c r="BA1255" s="11" t="n">
        <v>47880</v>
      </c>
      <c r="BB1255" s="31" t="n">
        <f aca="false">SUM(Q1255,S1255,U1255,W1255,Y1255,AA1255,AC1255,AE1255,AG1255,AI1255,AK1255,AM1255,AO1255,AQ1255,AS1255,AU1255,AW1255,AY1255)</f>
        <v>47880</v>
      </c>
      <c r="BC1255" s="28" t="n">
        <f aca="false">BA1255-BB1255</f>
        <v>0</v>
      </c>
      <c r="BD1255" s="32" t="n">
        <f aca="false">SUM(P1255,R1255,T1255,V1255,X1255,Z1255,AB1255,AD1255,AF1255,AH1255,AJ1255,AL1255,AN1255,AP1255,AR1255,AT1255,AV1255,AX1255)</f>
        <v>2660</v>
      </c>
      <c r="BE1255" s="33" t="n">
        <f aca="false">AZ1255-BD1255</f>
        <v>0</v>
      </c>
      <c r="BF1255" s="34" t="n">
        <f aca="false">BD1255*M1255</f>
        <v>47880</v>
      </c>
      <c r="BG1255" s="35" t="n">
        <f aca="false">BA1255-BF1255</f>
        <v>0</v>
      </c>
      <c r="BH1255" s="19" t="str">
        <f aca="false">IF(BG1255=0,"",IF(BG1255&lt;&gt;BA1255,"erreur de calcul",IF(BD1255&lt;&gt;0,"pas de prix",IF(M1255&lt;&gt; 0,"pas de quantité","pas de prix, ni de quantité"))))</f>
        <v/>
      </c>
      <c r="BI1255" s="19"/>
    </row>
    <row r="1256" customFormat="false" ht="15" hidden="false" customHeight="false" outlineLevel="0" collapsed="false">
      <c r="A1256" s="0" t="n">
        <v>37</v>
      </c>
      <c r="B1256" s="8" t="s">
        <v>24</v>
      </c>
      <c r="C1256" s="9" t="s">
        <v>25</v>
      </c>
      <c r="D1256" s="9" t="s">
        <v>26</v>
      </c>
      <c r="E1256" s="10" t="n">
        <v>1789</v>
      </c>
      <c r="F1256" s="9" t="s">
        <v>27</v>
      </c>
      <c r="G1256" s="9" t="s">
        <v>27</v>
      </c>
      <c r="H1256" s="11" t="n">
        <v>23</v>
      </c>
      <c r="I1256" s="11" t="s">
        <v>280</v>
      </c>
      <c r="J1256" s="14" t="n">
        <v>25</v>
      </c>
      <c r="K1256" s="14"/>
      <c r="L1256" s="16"/>
      <c r="M1256" s="27" t="n">
        <f aca="false">J1256+(K1256/20)+(L1256/240)</f>
        <v>25</v>
      </c>
      <c r="N1256" s="17" t="s">
        <v>64</v>
      </c>
      <c r="O1256" s="11"/>
      <c r="P1256" s="28"/>
      <c r="Q1256" s="28" t="n">
        <f aca="false">P1256*$M1256</f>
        <v>0</v>
      </c>
      <c r="R1256" s="28"/>
      <c r="S1256" s="28" t="n">
        <f aca="false">R1256*$M1256</f>
        <v>0</v>
      </c>
      <c r="T1256" s="28" t="n">
        <f aca="false">1664501/100</f>
        <v>16645.01</v>
      </c>
      <c r="U1256" s="28" t="n">
        <v>416125</v>
      </c>
      <c r="V1256" s="28" t="n">
        <f aca="false">2171980/100</f>
        <v>21719.8</v>
      </c>
      <c r="W1256" s="28" t="n">
        <v>542995</v>
      </c>
      <c r="X1256" s="28" t="n">
        <f aca="false">11567/100</f>
        <v>115.67</v>
      </c>
      <c r="Y1256" s="28" t="n">
        <v>2892</v>
      </c>
      <c r="Z1256" s="28" t="n">
        <f aca="false">985/100</f>
        <v>9.85</v>
      </c>
      <c r="AA1256" s="28" t="n">
        <v>246</v>
      </c>
      <c r="AB1256" s="28" t="n">
        <f aca="false">399494/100</f>
        <v>3994.94</v>
      </c>
      <c r="AC1256" s="28" t="n">
        <v>99873</v>
      </c>
      <c r="AD1256" s="28"/>
      <c r="AE1256" s="28" t="n">
        <f aca="false">AD1256*$M1256</f>
        <v>0</v>
      </c>
      <c r="AF1256" s="28"/>
      <c r="AG1256" s="28" t="n">
        <f aca="false">AF1256*$M1256</f>
        <v>0</v>
      </c>
      <c r="AH1256" s="28"/>
      <c r="AI1256" s="28" t="n">
        <f aca="false">AH1256*$M1256</f>
        <v>0</v>
      </c>
      <c r="AJ1256" s="28"/>
      <c r="AK1256" s="28" t="n">
        <f aca="false">AJ1256*$M1256</f>
        <v>0</v>
      </c>
      <c r="AL1256" s="28"/>
      <c r="AM1256" s="28" t="n">
        <f aca="false">AL1256*$M1256</f>
        <v>0</v>
      </c>
      <c r="AN1256" s="28"/>
      <c r="AO1256" s="28" t="n">
        <f aca="false">AN1256*$M1256</f>
        <v>0</v>
      </c>
      <c r="AP1256" s="28"/>
      <c r="AQ1256" s="28" t="n">
        <f aca="false">AP1256*$M1256</f>
        <v>0</v>
      </c>
      <c r="AR1256" s="28"/>
      <c r="AS1256" s="28" t="n">
        <f aca="false">AR1256*$M1256</f>
        <v>0</v>
      </c>
      <c r="AT1256" s="28"/>
      <c r="AU1256" s="28" t="n">
        <f aca="false">AT1256*$M1256</f>
        <v>0</v>
      </c>
      <c r="AV1256" s="28"/>
      <c r="AW1256" s="28" t="n">
        <f aca="false">AV1256*$M1256</f>
        <v>0</v>
      </c>
      <c r="AX1256" s="28" t="n">
        <f aca="false">57000/100</f>
        <v>570</v>
      </c>
      <c r="AY1256" s="28" t="n">
        <v>14250</v>
      </c>
      <c r="AZ1256" s="30" t="n">
        <f aca="false">4305527/100</f>
        <v>43055.27</v>
      </c>
      <c r="BA1256" s="11" t="n">
        <v>1076381</v>
      </c>
      <c r="BB1256" s="31" t="n">
        <f aca="false">SUM(Q1256,S1256,U1256,W1256,Y1256,AA1256,AC1256,AE1256,AG1256,AI1256,AK1256,AM1256,AO1256,AQ1256,AS1256,AU1256,AW1256,AY1256)</f>
        <v>1076381</v>
      </c>
      <c r="BC1256" s="28" t="n">
        <f aca="false">BA1256-BB1256</f>
        <v>0</v>
      </c>
      <c r="BD1256" s="32" t="n">
        <f aca="false">SUM(P1256,R1256,T1256,V1256,X1256,Z1256,AB1256,AD1256,AF1256,AH1256,AJ1256,AL1256,AN1256,AP1256,AR1256,AT1256,AV1256,AX1256)</f>
        <v>43055.27</v>
      </c>
      <c r="BE1256" s="33" t="n">
        <f aca="false">AZ1256-BD1256</f>
        <v>0</v>
      </c>
      <c r="BF1256" s="34" t="n">
        <f aca="false">BD1256*M1256</f>
        <v>1076381.75</v>
      </c>
      <c r="BG1256" s="35" t="n">
        <f aca="false">BA1256-BF1256</f>
        <v>-0.75</v>
      </c>
      <c r="BH1256" s="19" t="str">
        <f aca="false">IF(BG1256=0,"",IF(BG1256&lt;&gt;BA1256,"erreur de calcul",IF(BD1256&lt;&gt;0,"pas de prix",IF(M1256&lt;&gt; 0,"pas de quantité","pas de prix, ni de quantité"))))</f>
        <v>erreur de calcul</v>
      </c>
      <c r="BI1256" s="19"/>
    </row>
    <row r="1257" customFormat="false" ht="15" hidden="false" customHeight="false" outlineLevel="0" collapsed="false">
      <c r="A1257" s="0" t="n">
        <v>38</v>
      </c>
      <c r="B1257" s="8" t="s">
        <v>24</v>
      </c>
      <c r="C1257" s="9" t="s">
        <v>25</v>
      </c>
      <c r="D1257" s="9" t="s">
        <v>26</v>
      </c>
      <c r="E1257" s="10" t="n">
        <v>1789</v>
      </c>
      <c r="F1257" s="9" t="s">
        <v>27</v>
      </c>
      <c r="G1257" s="9" t="s">
        <v>27</v>
      </c>
      <c r="H1257" s="11" t="n">
        <v>23</v>
      </c>
      <c r="I1257" s="11" t="s">
        <v>281</v>
      </c>
      <c r="J1257" s="14" t="n">
        <v>18</v>
      </c>
      <c r="K1257" s="14"/>
      <c r="L1257" s="16"/>
      <c r="M1257" s="27" t="n">
        <f aca="false">J1257+(K1257/20)+(L1257/240)</f>
        <v>18</v>
      </c>
      <c r="N1257" s="17" t="s">
        <v>275</v>
      </c>
      <c r="O1257" s="11"/>
      <c r="P1257" s="28"/>
      <c r="Q1257" s="28" t="n">
        <f aca="false">P1257*$M1257</f>
        <v>0</v>
      </c>
      <c r="R1257" s="28"/>
      <c r="S1257" s="28" t="n">
        <f aca="false">R1257*$M1257</f>
        <v>0</v>
      </c>
      <c r="T1257" s="28" t="n">
        <v>537</v>
      </c>
      <c r="U1257" s="28" t="n">
        <v>9666</v>
      </c>
      <c r="V1257" s="28"/>
      <c r="W1257" s="28" t="n">
        <f aca="false">V1257*$M1257</f>
        <v>0</v>
      </c>
      <c r="X1257" s="28"/>
      <c r="Y1257" s="28" t="n">
        <f aca="false">X1257*$M1257</f>
        <v>0</v>
      </c>
      <c r="Z1257" s="28"/>
      <c r="AA1257" s="28" t="n">
        <f aca="false">Z1257*$M1257</f>
        <v>0</v>
      </c>
      <c r="AB1257" s="28"/>
      <c r="AC1257" s="28" t="n">
        <f aca="false">AB1257*$M1257</f>
        <v>0</v>
      </c>
      <c r="AD1257" s="28"/>
      <c r="AE1257" s="28" t="n">
        <f aca="false">AD1257*$M1257</f>
        <v>0</v>
      </c>
      <c r="AF1257" s="28"/>
      <c r="AG1257" s="28" t="n">
        <f aca="false">AF1257*$M1257</f>
        <v>0</v>
      </c>
      <c r="AH1257" s="28"/>
      <c r="AI1257" s="28" t="n">
        <f aca="false">AH1257*$M1257</f>
        <v>0</v>
      </c>
      <c r="AJ1257" s="28"/>
      <c r="AK1257" s="28" t="n">
        <f aca="false">AJ1257*$M1257</f>
        <v>0</v>
      </c>
      <c r="AL1257" s="28"/>
      <c r="AM1257" s="28" t="n">
        <f aca="false">AL1257*$M1257</f>
        <v>0</v>
      </c>
      <c r="AN1257" s="28"/>
      <c r="AO1257" s="28" t="n">
        <f aca="false">AN1257*$M1257</f>
        <v>0</v>
      </c>
      <c r="AP1257" s="28"/>
      <c r="AQ1257" s="28" t="n">
        <f aca="false">AP1257*$M1257</f>
        <v>0</v>
      </c>
      <c r="AR1257" s="28"/>
      <c r="AS1257" s="28" t="n">
        <f aca="false">AR1257*$M1257</f>
        <v>0</v>
      </c>
      <c r="AT1257" s="28"/>
      <c r="AU1257" s="28" t="n">
        <f aca="false">AT1257*$M1257</f>
        <v>0</v>
      </c>
      <c r="AV1257" s="28" t="n">
        <v>1700</v>
      </c>
      <c r="AW1257" s="36" t="n">
        <v>33600</v>
      </c>
      <c r="AX1257" s="28"/>
      <c r="AY1257" s="28" t="n">
        <f aca="false">AX1257*$M1257</f>
        <v>0</v>
      </c>
      <c r="AZ1257" s="30" t="n">
        <v>2237</v>
      </c>
      <c r="BA1257" s="11" t="n">
        <v>43266</v>
      </c>
      <c r="BB1257" s="31" t="n">
        <f aca="false">SUM(Q1257,S1257,U1257,W1257,Y1257,AA1257,AC1257,AE1257,AG1257,AI1257,AK1257,AM1257,AO1257,AQ1257,AS1257,AU1257,AW1257,AY1257)</f>
        <v>43266</v>
      </c>
      <c r="BC1257" s="28" t="n">
        <f aca="false">BA1257-BB1257</f>
        <v>0</v>
      </c>
      <c r="BD1257" s="32" t="n">
        <f aca="false">SUM(P1257,R1257,T1257,V1257,X1257,Z1257,AB1257,AD1257,AF1257,AH1257,AJ1257,AL1257,AN1257,AP1257,AR1257,AT1257,AV1257,AX1257)</f>
        <v>2237</v>
      </c>
      <c r="BE1257" s="33" t="n">
        <f aca="false">AZ1257-BD1257</f>
        <v>0</v>
      </c>
      <c r="BF1257" s="34" t="n">
        <f aca="false">BD1257*M1257</f>
        <v>40266</v>
      </c>
      <c r="BG1257" s="35" t="n">
        <f aca="false">BA1257-BF1257</f>
        <v>3000</v>
      </c>
      <c r="BH1257" s="19" t="str">
        <f aca="false">IF(BG1257=0,"",IF(BG1257&lt;&gt;BA1257,"erreur de calcul",IF(BD1257&lt;&gt;0,"pas de prix",IF(M1257&lt;&gt; 0,"pas de quantité","pas de prix, ni de quantité"))))</f>
        <v>erreur de calcul</v>
      </c>
      <c r="BI1257" s="19"/>
    </row>
    <row r="1258" customFormat="false" ht="15" hidden="false" customHeight="false" outlineLevel="0" collapsed="false">
      <c r="A1258" s="0" t="n">
        <v>39</v>
      </c>
      <c r="B1258" s="8" t="s">
        <v>24</v>
      </c>
      <c r="C1258" s="9" t="s">
        <v>25</v>
      </c>
      <c r="D1258" s="9" t="s">
        <v>26</v>
      </c>
      <c r="E1258" s="10" t="n">
        <v>1789</v>
      </c>
      <c r="F1258" s="9" t="s">
        <v>27</v>
      </c>
      <c r="G1258" s="9" t="s">
        <v>27</v>
      </c>
      <c r="H1258" s="11" t="n">
        <v>23</v>
      </c>
      <c r="I1258" s="11" t="s">
        <v>282</v>
      </c>
      <c r="J1258" s="14"/>
      <c r="K1258" s="14"/>
      <c r="L1258" s="16"/>
      <c r="M1258" s="27" t="n">
        <f aca="false">J1258+(K1258/20)+(L1258/240)</f>
        <v>0</v>
      </c>
      <c r="N1258" s="17"/>
      <c r="O1258" s="11"/>
      <c r="P1258" s="28"/>
      <c r="Q1258" s="28" t="n">
        <f aca="false">P1258*$M1258</f>
        <v>0</v>
      </c>
      <c r="R1258" s="28"/>
      <c r="S1258" s="28" t="n">
        <f aca="false">R1258*$M1258</f>
        <v>0</v>
      </c>
      <c r="T1258" s="28"/>
      <c r="U1258" s="28" t="n">
        <v>1962</v>
      </c>
      <c r="V1258" s="28"/>
      <c r="W1258" s="28" t="n">
        <v>148</v>
      </c>
      <c r="X1258" s="28"/>
      <c r="Y1258" s="28" t="n">
        <v>221</v>
      </c>
      <c r="Z1258" s="28"/>
      <c r="AA1258" s="28" t="n">
        <f aca="false">Z1258*$M1258</f>
        <v>0</v>
      </c>
      <c r="AB1258" s="28"/>
      <c r="AC1258" s="28" t="n">
        <v>725</v>
      </c>
      <c r="AD1258" s="28"/>
      <c r="AE1258" s="28" t="n">
        <f aca="false">AD1258*$M1258</f>
        <v>0</v>
      </c>
      <c r="AF1258" s="28"/>
      <c r="AG1258" s="28" t="n">
        <v>414</v>
      </c>
      <c r="AH1258" s="28"/>
      <c r="AI1258" s="28" t="n">
        <f aca="false">AH1258*$M1258</f>
        <v>0</v>
      </c>
      <c r="AJ1258" s="28"/>
      <c r="AK1258" s="28" t="n">
        <f aca="false">AJ1258*$M1258</f>
        <v>0</v>
      </c>
      <c r="AL1258" s="28"/>
      <c r="AM1258" s="28" t="n">
        <f aca="false">AL1258*$M1258</f>
        <v>0</v>
      </c>
      <c r="AN1258" s="28"/>
      <c r="AO1258" s="28" t="n">
        <f aca="false">AN1258*$M1258</f>
        <v>0</v>
      </c>
      <c r="AP1258" s="28"/>
      <c r="AQ1258" s="28" t="n">
        <f aca="false">AP1258*$M1258</f>
        <v>0</v>
      </c>
      <c r="AR1258" s="28"/>
      <c r="AS1258" s="28" t="n">
        <f aca="false">AR1258*$M1258</f>
        <v>0</v>
      </c>
      <c r="AT1258" s="28"/>
      <c r="AU1258" s="28" t="n">
        <v>276</v>
      </c>
      <c r="AV1258" s="28"/>
      <c r="AW1258" s="28" t="n">
        <f aca="false">AV1258*$M1258</f>
        <v>0</v>
      </c>
      <c r="AX1258" s="28"/>
      <c r="AY1258" s="28" t="n">
        <f aca="false">AX1258*$M1258</f>
        <v>0</v>
      </c>
      <c r="AZ1258" s="30"/>
      <c r="BA1258" s="11" t="n">
        <v>3746</v>
      </c>
      <c r="BB1258" s="31" t="n">
        <f aca="false">SUM(Q1258,S1258,U1258,W1258,Y1258,AA1258,AC1258,AE1258,AG1258,AI1258,AK1258,AM1258,AO1258,AQ1258,AS1258,AU1258,AW1258,AY1258)</f>
        <v>3746</v>
      </c>
      <c r="BC1258" s="28" t="n">
        <f aca="false">BA1258-BB1258</f>
        <v>0</v>
      </c>
      <c r="BD1258" s="32" t="n">
        <f aca="false">SUM(P1258,R1258,T1258,V1258,X1258,Z1258,AB1258,AD1258,AF1258,AH1258,AJ1258,AL1258,AN1258,AP1258,AR1258,AT1258,AV1258,AX1258)</f>
        <v>0</v>
      </c>
      <c r="BE1258" s="33" t="n">
        <f aca="false">AZ1258-BD1258</f>
        <v>0</v>
      </c>
      <c r="BF1258" s="34" t="n">
        <f aca="false">BD1258*M1258</f>
        <v>0</v>
      </c>
      <c r="BG1258" s="35" t="n">
        <f aca="false">BA1258-BF1258</f>
        <v>3746</v>
      </c>
      <c r="BH1258" s="19" t="str">
        <f aca="false">IF(BG1258=0,"",IF(BG1258&lt;&gt;BA1258,"erreur de calcul",IF(BD1258&lt;&gt;0,"pas de prix",IF(M1258&lt;&gt; 0,"pas de quantité","pas de prix, ni de quantité"))))</f>
        <v>pas de prix, ni de quantité</v>
      </c>
      <c r="BI1258" s="19"/>
    </row>
    <row r="1259" customFormat="false" ht="15" hidden="false" customHeight="false" outlineLevel="0" collapsed="false">
      <c r="A1259" s="0" t="n">
        <v>40</v>
      </c>
      <c r="B1259" s="8" t="s">
        <v>24</v>
      </c>
      <c r="C1259" s="9" t="s">
        <v>25</v>
      </c>
      <c r="D1259" s="9" t="s">
        <v>26</v>
      </c>
      <c r="E1259" s="10" t="n">
        <v>1789</v>
      </c>
      <c r="F1259" s="9" t="s">
        <v>27</v>
      </c>
      <c r="G1259" s="9" t="s">
        <v>27</v>
      </c>
      <c r="H1259" s="11" t="n">
        <v>23</v>
      </c>
      <c r="I1259" s="11" t="s">
        <v>283</v>
      </c>
      <c r="J1259" s="14" t="n">
        <v>25</v>
      </c>
      <c r="K1259" s="14"/>
      <c r="L1259" s="16"/>
      <c r="M1259" s="27" t="n">
        <f aca="false">J1259+(K1259/20)+(L1259/240)</f>
        <v>25</v>
      </c>
      <c r="N1259" s="17" t="s">
        <v>64</v>
      </c>
      <c r="O1259" s="11"/>
      <c r="P1259" s="28" t="n">
        <f aca="false">12568/100</f>
        <v>125.68</v>
      </c>
      <c r="Q1259" s="28" t="n">
        <v>3142</v>
      </c>
      <c r="R1259" s="28"/>
      <c r="S1259" s="28" t="n">
        <f aca="false">R1259*$M1259</f>
        <v>0</v>
      </c>
      <c r="T1259" s="28"/>
      <c r="U1259" s="28" t="n">
        <f aca="false">T1259*$M1259</f>
        <v>0</v>
      </c>
      <c r="V1259" s="28"/>
      <c r="W1259" s="28" t="n">
        <f aca="false">V1259*$M1259</f>
        <v>0</v>
      </c>
      <c r="X1259" s="28"/>
      <c r="Y1259" s="28" t="n">
        <f aca="false">X1259*$M1259</f>
        <v>0</v>
      </c>
      <c r="Z1259" s="28"/>
      <c r="AA1259" s="28" t="n">
        <f aca="false">Z1259*$M1259</f>
        <v>0</v>
      </c>
      <c r="AB1259" s="28"/>
      <c r="AC1259" s="28" t="n">
        <f aca="false">AB1259*$M1259</f>
        <v>0</v>
      </c>
      <c r="AD1259" s="28"/>
      <c r="AE1259" s="28" t="n">
        <f aca="false">AD1259*$M1259</f>
        <v>0</v>
      </c>
      <c r="AF1259" s="28"/>
      <c r="AG1259" s="28" t="n">
        <f aca="false">AF1259*$M1259</f>
        <v>0</v>
      </c>
      <c r="AH1259" s="28" t="n">
        <f aca="false">5355/100</f>
        <v>53.55</v>
      </c>
      <c r="AI1259" s="28" t="n">
        <v>1339</v>
      </c>
      <c r="AJ1259" s="28"/>
      <c r="AK1259" s="28" t="n">
        <f aca="false">AJ1259*$M1259</f>
        <v>0</v>
      </c>
      <c r="AL1259" s="28"/>
      <c r="AM1259" s="28" t="n">
        <f aca="false">AL1259*$M1259</f>
        <v>0</v>
      </c>
      <c r="AN1259" s="28"/>
      <c r="AO1259" s="28" t="n">
        <f aca="false">AN1259*$M1259</f>
        <v>0</v>
      </c>
      <c r="AP1259" s="28"/>
      <c r="AQ1259" s="28" t="n">
        <f aca="false">AP1259*$M1259</f>
        <v>0</v>
      </c>
      <c r="AR1259" s="28"/>
      <c r="AS1259" s="28" t="n">
        <f aca="false">AR1259*$M1259</f>
        <v>0</v>
      </c>
      <c r="AT1259" s="28"/>
      <c r="AU1259" s="28" t="n">
        <f aca="false">AT1259*$M1259</f>
        <v>0</v>
      </c>
      <c r="AV1259" s="28"/>
      <c r="AW1259" s="28" t="n">
        <f aca="false">AV1259*$M1259</f>
        <v>0</v>
      </c>
      <c r="AX1259" s="28"/>
      <c r="AY1259" s="28" t="n">
        <f aca="false">AX1259*$M1259</f>
        <v>0</v>
      </c>
      <c r="AZ1259" s="30" t="n">
        <f aca="false">17923/100</f>
        <v>179.23</v>
      </c>
      <c r="BA1259" s="11" t="n">
        <v>4481</v>
      </c>
      <c r="BB1259" s="31" t="n">
        <f aca="false">SUM(Q1259,S1259,U1259,W1259,Y1259,AA1259,AC1259,AE1259,AG1259,AI1259,AK1259,AM1259,AO1259,AQ1259,AS1259,AU1259,AW1259,AY1259)</f>
        <v>4481</v>
      </c>
      <c r="BC1259" s="28" t="n">
        <f aca="false">BA1259-BB1259</f>
        <v>0</v>
      </c>
      <c r="BD1259" s="32" t="n">
        <f aca="false">SUM(P1259,R1259,T1259,V1259,X1259,Z1259,AB1259,AD1259,AF1259,AH1259,AJ1259,AL1259,AN1259,AP1259,AR1259,AT1259,AV1259,AX1259)</f>
        <v>179.23</v>
      </c>
      <c r="BE1259" s="33" t="n">
        <f aca="false">AZ1259-BD1259</f>
        <v>0</v>
      </c>
      <c r="BF1259" s="34" t="n">
        <f aca="false">BD1259*M1259</f>
        <v>4480.75</v>
      </c>
      <c r="BG1259" s="35" t="n">
        <f aca="false">BA1259-BF1259</f>
        <v>0.25</v>
      </c>
      <c r="BH1259" s="19" t="str">
        <f aca="false">IF(BG1259=0,"",IF(BG1259&lt;&gt;BA1259,"erreur de calcul",IF(BD1259&lt;&gt;0,"pas de prix",IF(M1259&lt;&gt; 0,"pas de quantité","pas de prix, ni de quantité"))))</f>
        <v>erreur de calcul</v>
      </c>
      <c r="BI1259" s="19"/>
    </row>
    <row r="1260" customFormat="false" ht="15" hidden="false" customHeight="false" outlineLevel="0" collapsed="false">
      <c r="A1260" s="0" t="n">
        <v>41</v>
      </c>
      <c r="B1260" s="8" t="s">
        <v>24</v>
      </c>
      <c r="C1260" s="9" t="s">
        <v>25</v>
      </c>
      <c r="D1260" s="9" t="s">
        <v>26</v>
      </c>
      <c r="E1260" s="10" t="n">
        <v>1789</v>
      </c>
      <c r="F1260" s="9" t="s">
        <v>27</v>
      </c>
      <c r="G1260" s="9" t="s">
        <v>27</v>
      </c>
      <c r="H1260" s="11" t="n">
        <v>23</v>
      </c>
      <c r="I1260" s="11" t="s">
        <v>284</v>
      </c>
      <c r="J1260" s="14" t="n">
        <v>17</v>
      </c>
      <c r="K1260" s="14"/>
      <c r="L1260" s="16"/>
      <c r="M1260" s="27" t="n">
        <f aca="false">J1260+(K1260/20)+(L1260/240)</f>
        <v>17</v>
      </c>
      <c r="N1260" s="17" t="s">
        <v>64</v>
      </c>
      <c r="O1260" s="11"/>
      <c r="P1260" s="28" t="n">
        <f aca="false">56873/100</f>
        <v>568.73</v>
      </c>
      <c r="Q1260" s="36" t="n">
        <v>3981</v>
      </c>
      <c r="R1260" s="28"/>
      <c r="S1260" s="28" t="n">
        <f aca="false">R1260*$M1260</f>
        <v>0</v>
      </c>
      <c r="T1260" s="28"/>
      <c r="U1260" s="28" t="n">
        <f aca="false">T1260*$M1260</f>
        <v>0</v>
      </c>
      <c r="V1260" s="28"/>
      <c r="W1260" s="28" t="n">
        <f aca="false">V1260*$M1260</f>
        <v>0</v>
      </c>
      <c r="X1260" s="28"/>
      <c r="Y1260" s="28" t="n">
        <f aca="false">X1260*$M1260</f>
        <v>0</v>
      </c>
      <c r="Z1260" s="28"/>
      <c r="AA1260" s="28" t="n">
        <f aca="false">Z1260*$M1260</f>
        <v>0</v>
      </c>
      <c r="AB1260" s="28"/>
      <c r="AC1260" s="28" t="n">
        <f aca="false">AB1260*$M1260</f>
        <v>0</v>
      </c>
      <c r="AD1260" s="28"/>
      <c r="AE1260" s="28" t="n">
        <f aca="false">AD1260*$M1260</f>
        <v>0</v>
      </c>
      <c r="AF1260" s="28"/>
      <c r="AG1260" s="28" t="n">
        <f aca="false">AF1260*$M1260</f>
        <v>0</v>
      </c>
      <c r="AH1260" s="28"/>
      <c r="AI1260" s="28" t="n">
        <f aca="false">AH1260*$M1260</f>
        <v>0</v>
      </c>
      <c r="AJ1260" s="28" t="n">
        <f aca="false">19651/100</f>
        <v>196.51</v>
      </c>
      <c r="AK1260" s="28" t="n">
        <v>3341</v>
      </c>
      <c r="AL1260" s="28"/>
      <c r="AM1260" s="28" t="n">
        <f aca="false">AL1260*$M1260</f>
        <v>0</v>
      </c>
      <c r="AN1260" s="28"/>
      <c r="AO1260" s="28" t="n">
        <f aca="false">AN1260*$M1260</f>
        <v>0</v>
      </c>
      <c r="AP1260" s="28"/>
      <c r="AQ1260" s="28" t="n">
        <f aca="false">AP1260*$M1260</f>
        <v>0</v>
      </c>
      <c r="AR1260" s="28"/>
      <c r="AS1260" s="28" t="n">
        <f aca="false">AR1260*$M1260</f>
        <v>0</v>
      </c>
      <c r="AT1260" s="28"/>
      <c r="AU1260" s="28" t="n">
        <f aca="false">AT1260*$M1260</f>
        <v>0</v>
      </c>
      <c r="AV1260" s="28"/>
      <c r="AW1260" s="28" t="n">
        <f aca="false">AV1260*$M1260</f>
        <v>0</v>
      </c>
      <c r="AX1260" s="28"/>
      <c r="AY1260" s="28" t="n">
        <f aca="false">AX1260*$M1260</f>
        <v>0</v>
      </c>
      <c r="AZ1260" s="30" t="n">
        <f aca="false">76524/100</f>
        <v>765.24</v>
      </c>
      <c r="BA1260" s="11" t="n">
        <v>7322</v>
      </c>
      <c r="BB1260" s="31" t="n">
        <f aca="false">SUM(Q1260,S1260,U1260,W1260,Y1260,AA1260,AC1260,AE1260,AG1260,AI1260,AK1260,AM1260,AO1260,AQ1260,AS1260,AU1260,AW1260,AY1260)</f>
        <v>7322</v>
      </c>
      <c r="BC1260" s="28" t="n">
        <f aca="false">BA1260-BB1260</f>
        <v>0</v>
      </c>
      <c r="BD1260" s="32" t="n">
        <f aca="false">SUM(P1260,R1260,T1260,V1260,X1260,Z1260,AB1260,AD1260,AF1260,AH1260,AJ1260,AL1260,AN1260,AP1260,AR1260,AT1260,AV1260,AX1260)</f>
        <v>765.24</v>
      </c>
      <c r="BE1260" s="33" t="n">
        <f aca="false">AZ1260-BD1260</f>
        <v>0</v>
      </c>
      <c r="BF1260" s="34" t="n">
        <f aca="false">BD1260*M1260</f>
        <v>13009.08</v>
      </c>
      <c r="BG1260" s="35" t="n">
        <f aca="false">BA1260-BF1260</f>
        <v>-5687.08</v>
      </c>
      <c r="BH1260" s="19" t="str">
        <f aca="false">IF(BG1260=0,"",IF(BG1260&lt;&gt;BA1260,"erreur de calcul",IF(BD1260&lt;&gt;0,"pas de prix",IF(M1260&lt;&gt; 0,"pas de quantité","pas de prix, ni de quantité"))))</f>
        <v>erreur de calcul</v>
      </c>
      <c r="BI1260" s="19"/>
    </row>
    <row r="1261" customFormat="false" ht="15" hidden="false" customHeight="false" outlineLevel="0" collapsed="false">
      <c r="A1261" s="0" t="n">
        <v>42</v>
      </c>
      <c r="B1261" s="8" t="s">
        <v>24</v>
      </c>
      <c r="C1261" s="9" t="s">
        <v>25</v>
      </c>
      <c r="D1261" s="9" t="s">
        <v>26</v>
      </c>
      <c r="E1261" s="10" t="n">
        <v>1789</v>
      </c>
      <c r="F1261" s="9" t="s">
        <v>27</v>
      </c>
      <c r="G1261" s="9" t="s">
        <v>27</v>
      </c>
      <c r="H1261" s="11" t="n">
        <v>23</v>
      </c>
      <c r="I1261" s="11" t="s">
        <v>285</v>
      </c>
      <c r="J1261" s="14" t="n">
        <v>15</v>
      </c>
      <c r="K1261" s="14"/>
      <c r="L1261" s="16"/>
      <c r="M1261" s="27" t="n">
        <f aca="false">J1261+(K1261/20)+(L1261/240)</f>
        <v>15</v>
      </c>
      <c r="N1261" s="17" t="s">
        <v>64</v>
      </c>
      <c r="O1261" s="11"/>
      <c r="P1261" s="28" t="n">
        <f aca="false">10520/100</f>
        <v>105.2</v>
      </c>
      <c r="Q1261" s="28" t="n">
        <v>1578</v>
      </c>
      <c r="R1261" s="28"/>
      <c r="S1261" s="28" t="n">
        <f aca="false">R1261*$M1261</f>
        <v>0</v>
      </c>
      <c r="T1261" s="28"/>
      <c r="U1261" s="28" t="n">
        <f aca="false">T1261*$M1261</f>
        <v>0</v>
      </c>
      <c r="V1261" s="28"/>
      <c r="W1261" s="28" t="n">
        <f aca="false">V1261*$M1261</f>
        <v>0</v>
      </c>
      <c r="X1261" s="28" t="n">
        <f aca="false">39052/100</f>
        <v>390.52</v>
      </c>
      <c r="Y1261" s="28" t="n">
        <v>5858</v>
      </c>
      <c r="Z1261" s="28"/>
      <c r="AA1261" s="28" t="n">
        <f aca="false">Z1261*$M1261</f>
        <v>0</v>
      </c>
      <c r="AB1261" s="28" t="n">
        <f aca="false">101189/100</f>
        <v>1011.89</v>
      </c>
      <c r="AC1261" s="28" t="n">
        <v>15178</v>
      </c>
      <c r="AD1261" s="28"/>
      <c r="AE1261" s="28" t="n">
        <f aca="false">AD1261*$M1261</f>
        <v>0</v>
      </c>
      <c r="AF1261" s="28" t="n">
        <f aca="false">48408/100</f>
        <v>484.08</v>
      </c>
      <c r="AG1261" s="28" t="n">
        <v>7261</v>
      </c>
      <c r="AH1261" s="28" t="n">
        <f aca="false">17847/100</f>
        <v>178.47</v>
      </c>
      <c r="AI1261" s="28" t="n">
        <v>2677</v>
      </c>
      <c r="AJ1261" s="28"/>
      <c r="AK1261" s="28" t="n">
        <f aca="false">AJ1261*$M1261</f>
        <v>0</v>
      </c>
      <c r="AL1261" s="28"/>
      <c r="AM1261" s="28" t="n">
        <f aca="false">AL1261*$M1261</f>
        <v>0</v>
      </c>
      <c r="AN1261" s="28"/>
      <c r="AO1261" s="28" t="n">
        <f aca="false">AN1261*$M1261</f>
        <v>0</v>
      </c>
      <c r="AP1261" s="28"/>
      <c r="AQ1261" s="28" t="n">
        <f aca="false">AP1261*$M1261</f>
        <v>0</v>
      </c>
      <c r="AR1261" s="28"/>
      <c r="AS1261" s="28" t="n">
        <f aca="false">AR1261*$M1261</f>
        <v>0</v>
      </c>
      <c r="AT1261" s="28"/>
      <c r="AU1261" s="28" t="n">
        <f aca="false">AT1261*$M1261</f>
        <v>0</v>
      </c>
      <c r="AV1261" s="28"/>
      <c r="AW1261" s="28" t="n">
        <f aca="false">AV1261*$M1261</f>
        <v>0</v>
      </c>
      <c r="AX1261" s="28"/>
      <c r="AY1261" s="28" t="n">
        <f aca="false">AX1261*$M1261</f>
        <v>0</v>
      </c>
      <c r="AZ1261" s="30" t="n">
        <f aca="false">217016/100</f>
        <v>2170.16</v>
      </c>
      <c r="BA1261" s="11" t="n">
        <v>32552</v>
      </c>
      <c r="BB1261" s="31" t="n">
        <f aca="false">SUM(Q1261,S1261,U1261,W1261,Y1261,AA1261,AC1261,AE1261,AG1261,AI1261,AK1261,AM1261,AO1261,AQ1261,AS1261,AU1261,AW1261,AY1261)</f>
        <v>32552</v>
      </c>
      <c r="BC1261" s="28" t="n">
        <f aca="false">BA1261-BB1261</f>
        <v>0</v>
      </c>
      <c r="BD1261" s="32" t="n">
        <f aca="false">SUM(P1261,R1261,T1261,V1261,X1261,Z1261,AB1261,AD1261,AF1261,AH1261,AJ1261,AL1261,AN1261,AP1261,AR1261,AT1261,AV1261,AX1261)</f>
        <v>2170.16</v>
      </c>
      <c r="BE1261" s="33" t="n">
        <f aca="false">AZ1261-BD1261</f>
        <v>0</v>
      </c>
      <c r="BF1261" s="34" t="n">
        <f aca="false">BD1261*M1261</f>
        <v>32552.4</v>
      </c>
      <c r="BG1261" s="35" t="n">
        <f aca="false">BA1261-BF1261</f>
        <v>-0.399999999997817</v>
      </c>
      <c r="BH1261" s="19" t="str">
        <f aca="false">IF(BG1261=0,"",IF(BG1261&lt;&gt;BA1261,"erreur de calcul",IF(BD1261&lt;&gt;0,"pas de prix",IF(M1261&lt;&gt; 0,"pas de quantité","pas de prix, ni de quantité"))))</f>
        <v>erreur de calcul</v>
      </c>
      <c r="BI1261" s="19"/>
    </row>
    <row r="1262" customFormat="false" ht="15" hidden="false" customHeight="false" outlineLevel="0" collapsed="false">
      <c r="A1262" s="0" t="n">
        <v>43</v>
      </c>
      <c r="B1262" s="8" t="s">
        <v>24</v>
      </c>
      <c r="C1262" s="9" t="s">
        <v>25</v>
      </c>
      <c r="D1262" s="9" t="s">
        <v>26</v>
      </c>
      <c r="E1262" s="10" t="n">
        <v>1789</v>
      </c>
      <c r="F1262" s="9" t="s">
        <v>27</v>
      </c>
      <c r="G1262" s="9" t="s">
        <v>27</v>
      </c>
      <c r="H1262" s="11" t="n">
        <v>23</v>
      </c>
      <c r="I1262" s="11" t="s">
        <v>286</v>
      </c>
      <c r="J1262" s="14" t="n">
        <v>20</v>
      </c>
      <c r="K1262" s="14"/>
      <c r="L1262" s="16"/>
      <c r="M1262" s="27" t="n">
        <f aca="false">J1262+(K1262/20)+(L1262/240)</f>
        <v>20</v>
      </c>
      <c r="N1262" s="17" t="s">
        <v>64</v>
      </c>
      <c r="O1262" s="11"/>
      <c r="P1262" s="28"/>
      <c r="Q1262" s="28" t="n">
        <f aca="false">P1262*$M1262</f>
        <v>0</v>
      </c>
      <c r="R1262" s="28"/>
      <c r="S1262" s="28" t="n">
        <f aca="false">R1262*$M1262</f>
        <v>0</v>
      </c>
      <c r="T1262" s="28"/>
      <c r="U1262" s="28" t="n">
        <f aca="false">T1262*$M1262</f>
        <v>0</v>
      </c>
      <c r="V1262" s="28"/>
      <c r="W1262" s="28" t="n">
        <f aca="false">V1262*$M1262</f>
        <v>0</v>
      </c>
      <c r="X1262" s="28"/>
      <c r="Y1262" s="28" t="n">
        <f aca="false">X1262*$M1262</f>
        <v>0</v>
      </c>
      <c r="Z1262" s="28"/>
      <c r="AA1262" s="28" t="n">
        <f aca="false">Z1262*$M1262</f>
        <v>0</v>
      </c>
      <c r="AB1262" s="28" t="n">
        <f aca="false">8852/100</f>
        <v>88.52</v>
      </c>
      <c r="AC1262" s="28" t="n">
        <v>1770</v>
      </c>
      <c r="AD1262" s="28"/>
      <c r="AE1262" s="28" t="n">
        <f aca="false">AD1262*$M1262</f>
        <v>0</v>
      </c>
      <c r="AF1262" s="28"/>
      <c r="AG1262" s="28" t="n">
        <f aca="false">AF1262*$M1262</f>
        <v>0</v>
      </c>
      <c r="AH1262" s="28"/>
      <c r="AI1262" s="28" t="n">
        <f aca="false">AH1262*$M1262</f>
        <v>0</v>
      </c>
      <c r="AJ1262" s="28"/>
      <c r="AK1262" s="28" t="n">
        <f aca="false">AJ1262*$M1262</f>
        <v>0</v>
      </c>
      <c r="AL1262" s="28"/>
      <c r="AM1262" s="28" t="n">
        <f aca="false">AL1262*$M1262</f>
        <v>0</v>
      </c>
      <c r="AN1262" s="28"/>
      <c r="AO1262" s="28" t="n">
        <f aca="false">AN1262*$M1262</f>
        <v>0</v>
      </c>
      <c r="AP1262" s="28"/>
      <c r="AQ1262" s="28" t="n">
        <f aca="false">AP1262*$M1262</f>
        <v>0</v>
      </c>
      <c r="AR1262" s="28"/>
      <c r="AS1262" s="28" t="n">
        <f aca="false">AR1262*$M1262</f>
        <v>0</v>
      </c>
      <c r="AT1262" s="28"/>
      <c r="AU1262" s="28" t="n">
        <f aca="false">AT1262*$M1262</f>
        <v>0</v>
      </c>
      <c r="AV1262" s="28"/>
      <c r="AW1262" s="28" t="n">
        <f aca="false">AV1262*$M1262</f>
        <v>0</v>
      </c>
      <c r="AX1262" s="28"/>
      <c r="AY1262" s="28" t="n">
        <f aca="false">AX1262*$M1262</f>
        <v>0</v>
      </c>
      <c r="AZ1262" s="30" t="n">
        <f aca="false">8852/100</f>
        <v>88.52</v>
      </c>
      <c r="BA1262" s="11" t="n">
        <v>1770</v>
      </c>
      <c r="BB1262" s="31" t="n">
        <f aca="false">SUM(Q1262,S1262,U1262,W1262,Y1262,AA1262,AC1262,AE1262,AG1262,AI1262,AK1262,AM1262,AO1262,AQ1262,AS1262,AU1262,AW1262,AY1262)</f>
        <v>1770</v>
      </c>
      <c r="BC1262" s="28" t="n">
        <f aca="false">BA1262-BB1262</f>
        <v>0</v>
      </c>
      <c r="BD1262" s="32" t="n">
        <f aca="false">SUM(P1262,R1262,T1262,V1262,X1262,Z1262,AB1262,AD1262,AF1262,AH1262,AJ1262,AL1262,AN1262,AP1262,AR1262,AT1262,AV1262,AX1262)</f>
        <v>88.52</v>
      </c>
      <c r="BE1262" s="33" t="n">
        <f aca="false">AZ1262-BD1262</f>
        <v>0</v>
      </c>
      <c r="BF1262" s="34" t="n">
        <f aca="false">BD1262*M1262</f>
        <v>1770.4</v>
      </c>
      <c r="BG1262" s="35" t="n">
        <f aca="false">BA1262-BF1262</f>
        <v>-0.399999999999864</v>
      </c>
      <c r="BH1262" s="19" t="str">
        <f aca="false">IF(BG1262=0,"",IF(BG1262&lt;&gt;BA1262,"erreur de calcul",IF(BD1262&lt;&gt;0,"pas de prix",IF(M1262&lt;&gt; 0,"pas de quantité","pas de prix, ni de quantité"))))</f>
        <v>erreur de calcul</v>
      </c>
      <c r="BI1262" s="19"/>
    </row>
    <row r="1263" customFormat="false" ht="15" hidden="false" customHeight="false" outlineLevel="0" collapsed="false">
      <c r="A1263" s="0" t="n">
        <v>44</v>
      </c>
      <c r="B1263" s="8" t="s">
        <v>24</v>
      </c>
      <c r="C1263" s="9" t="s">
        <v>25</v>
      </c>
      <c r="D1263" s="9" t="s">
        <v>26</v>
      </c>
      <c r="E1263" s="10" t="n">
        <v>1789</v>
      </c>
      <c r="F1263" s="9" t="s">
        <v>27</v>
      </c>
      <c r="G1263" s="9" t="s">
        <v>27</v>
      </c>
      <c r="H1263" s="11" t="n">
        <v>23</v>
      </c>
      <c r="I1263" s="11" t="s">
        <v>287</v>
      </c>
      <c r="J1263" s="14" t="n">
        <v>25</v>
      </c>
      <c r="K1263" s="14"/>
      <c r="L1263" s="16"/>
      <c r="M1263" s="27" t="n">
        <f aca="false">J1263+(K1263/20)+(L1263/240)</f>
        <v>25</v>
      </c>
      <c r="N1263" s="17" t="s">
        <v>64</v>
      </c>
      <c r="O1263" s="11" t="s">
        <v>77</v>
      </c>
      <c r="P1263" s="28" t="n">
        <f aca="false">13782/100</f>
        <v>137.82</v>
      </c>
      <c r="Q1263" s="28" t="n">
        <v>3445</v>
      </c>
      <c r="R1263" s="28"/>
      <c r="S1263" s="28" t="n">
        <f aca="false">R1263*$M1263</f>
        <v>0</v>
      </c>
      <c r="T1263" s="28"/>
      <c r="U1263" s="28" t="n">
        <f aca="false">T1263*$M1263</f>
        <v>0</v>
      </c>
      <c r="V1263" s="28" t="n">
        <f aca="false">4293/100</f>
        <v>42.93</v>
      </c>
      <c r="W1263" s="28" t="n">
        <v>1073</v>
      </c>
      <c r="X1263" s="28"/>
      <c r="Y1263" s="28" t="n">
        <f aca="false">X1263*$M1263</f>
        <v>0</v>
      </c>
      <c r="Z1263" s="28"/>
      <c r="AA1263" s="28" t="n">
        <f aca="false">Z1263*$M1263</f>
        <v>0</v>
      </c>
      <c r="AB1263" s="28"/>
      <c r="AC1263" s="28" t="n">
        <f aca="false">AB1263*$M1263</f>
        <v>0</v>
      </c>
      <c r="AD1263" s="28"/>
      <c r="AE1263" s="28" t="n">
        <f aca="false">AD1263*$M1263</f>
        <v>0</v>
      </c>
      <c r="AF1263" s="28"/>
      <c r="AG1263" s="28" t="n">
        <f aca="false">AF1263*$M1263</f>
        <v>0</v>
      </c>
      <c r="AH1263" s="28"/>
      <c r="AI1263" s="28" t="n">
        <f aca="false">AH1263*$M1263</f>
        <v>0</v>
      </c>
      <c r="AJ1263" s="28"/>
      <c r="AK1263" s="28" t="n">
        <f aca="false">AJ1263*$M1263</f>
        <v>0</v>
      </c>
      <c r="AL1263" s="28"/>
      <c r="AM1263" s="28" t="n">
        <f aca="false">AL1263*$M1263</f>
        <v>0</v>
      </c>
      <c r="AN1263" s="28"/>
      <c r="AO1263" s="28" t="n">
        <f aca="false">AN1263*$M1263</f>
        <v>0</v>
      </c>
      <c r="AP1263" s="28"/>
      <c r="AQ1263" s="28" t="n">
        <f aca="false">AP1263*$M1263</f>
        <v>0</v>
      </c>
      <c r="AR1263" s="28"/>
      <c r="AS1263" s="28" t="n">
        <f aca="false">AR1263*$M1263</f>
        <v>0</v>
      </c>
      <c r="AT1263" s="28"/>
      <c r="AU1263" s="28" t="n">
        <f aca="false">AT1263*$M1263</f>
        <v>0</v>
      </c>
      <c r="AV1263" s="28"/>
      <c r="AW1263" s="28" t="n">
        <f aca="false">AV1263*$M1263</f>
        <v>0</v>
      </c>
      <c r="AX1263" s="28"/>
      <c r="AY1263" s="28" t="n">
        <f aca="false">AX1263*$M1263</f>
        <v>0</v>
      </c>
      <c r="AZ1263" s="30" t="n">
        <f aca="false">18075/100</f>
        <v>180.75</v>
      </c>
      <c r="BA1263" s="11" t="n">
        <v>4518</v>
      </c>
      <c r="BB1263" s="31" t="n">
        <f aca="false">SUM(Q1263,S1263,U1263,W1263,Y1263,AA1263,AC1263,AE1263,AG1263,AI1263,AK1263,AM1263,AO1263,AQ1263,AS1263,AU1263,AW1263,AY1263)</f>
        <v>4518</v>
      </c>
      <c r="BC1263" s="28" t="n">
        <f aca="false">BA1263-BB1263</f>
        <v>0</v>
      </c>
      <c r="BD1263" s="32" t="n">
        <f aca="false">SUM(P1263,R1263,T1263,V1263,X1263,Z1263,AB1263,AD1263,AF1263,AH1263,AJ1263,AL1263,AN1263,AP1263,AR1263,AT1263,AV1263,AX1263)</f>
        <v>180.75</v>
      </c>
      <c r="BE1263" s="33" t="n">
        <f aca="false">AZ1263-BD1263</f>
        <v>0</v>
      </c>
      <c r="BF1263" s="34" t="n">
        <f aca="false">BD1263*M1263</f>
        <v>4518.75</v>
      </c>
      <c r="BG1263" s="35" t="n">
        <f aca="false">BA1263-BF1263</f>
        <v>-0.75</v>
      </c>
      <c r="BH1263" s="19" t="str">
        <f aca="false">IF(BG1263=0,"",IF(BG1263&lt;&gt;BA1263,"erreur de calcul",IF(BD1263&lt;&gt;0,"pas de prix",IF(M1263&lt;&gt; 0,"pas de quantité","pas de prix, ni de quantité"))))</f>
        <v>erreur de calcul</v>
      </c>
      <c r="BI1263" s="19"/>
    </row>
    <row r="1264" customFormat="false" ht="15" hidden="false" customHeight="false" outlineLevel="0" collapsed="false">
      <c r="A1264" s="0" t="n">
        <v>1</v>
      </c>
      <c r="B1264" s="8" t="s">
        <v>24</v>
      </c>
      <c r="C1264" s="9" t="s">
        <v>25</v>
      </c>
      <c r="D1264" s="9" t="s">
        <v>26</v>
      </c>
      <c r="E1264" s="10" t="n">
        <v>1789</v>
      </c>
      <c r="F1264" s="9" t="s">
        <v>27</v>
      </c>
      <c r="G1264" s="9" t="s">
        <v>27</v>
      </c>
      <c r="H1264" s="11" t="n">
        <v>24</v>
      </c>
      <c r="I1264" s="11" t="s">
        <v>288</v>
      </c>
      <c r="J1264" s="14" t="n">
        <v>250</v>
      </c>
      <c r="K1264" s="14"/>
      <c r="L1264" s="16"/>
      <c r="M1264" s="27" t="n">
        <f aca="false">J1264+(K1264/20)+(L1264/240)</f>
        <v>250</v>
      </c>
      <c r="N1264" s="17" t="s">
        <v>64</v>
      </c>
      <c r="O1264" s="11"/>
      <c r="P1264" s="28"/>
      <c r="Q1264" s="28" t="n">
        <f aca="false">P1264*$M1264</f>
        <v>0</v>
      </c>
      <c r="R1264" s="28"/>
      <c r="S1264" s="28" t="n">
        <f aca="false">R1264*$M1264</f>
        <v>0</v>
      </c>
      <c r="T1264" s="28"/>
      <c r="U1264" s="28" t="n">
        <f aca="false">T1264*$M1264</f>
        <v>0</v>
      </c>
      <c r="V1264" s="28"/>
      <c r="W1264" s="28" t="n">
        <f aca="false">V1264*$M1264</f>
        <v>0</v>
      </c>
      <c r="X1264" s="28"/>
      <c r="Y1264" s="28" t="n">
        <f aca="false">X1264*$M1264</f>
        <v>0</v>
      </c>
      <c r="Z1264" s="28"/>
      <c r="AA1264" s="28" t="n">
        <f aca="false">Z1264*$M1264</f>
        <v>0</v>
      </c>
      <c r="AB1264" s="28"/>
      <c r="AC1264" s="28" t="n">
        <f aca="false">AB1264*$M1264</f>
        <v>0</v>
      </c>
      <c r="AD1264" s="28"/>
      <c r="AE1264" s="28" t="n">
        <f aca="false">AD1264*$M1264</f>
        <v>0</v>
      </c>
      <c r="AF1264" s="28"/>
      <c r="AG1264" s="28" t="n">
        <f aca="false">AF1264*$M1264</f>
        <v>0</v>
      </c>
      <c r="AH1264" s="28" t="n">
        <f aca="false">5374/100</f>
        <v>53.74</v>
      </c>
      <c r="AI1264" s="28" t="n">
        <v>13435</v>
      </c>
      <c r="AJ1264" s="28"/>
      <c r="AK1264" s="28" t="n">
        <f aca="false">AJ1264*$M1264</f>
        <v>0</v>
      </c>
      <c r="AL1264" s="28"/>
      <c r="AM1264" s="28" t="n">
        <f aca="false">AL1264*$M1264</f>
        <v>0</v>
      </c>
      <c r="AN1264" s="28"/>
      <c r="AO1264" s="28" t="n">
        <f aca="false">AN1264*$M1264</f>
        <v>0</v>
      </c>
      <c r="AP1264" s="28"/>
      <c r="AQ1264" s="28" t="n">
        <f aca="false">AP1264*$M1264</f>
        <v>0</v>
      </c>
      <c r="AR1264" s="28"/>
      <c r="AS1264" s="28" t="n">
        <f aca="false">AR1264*$M1264</f>
        <v>0</v>
      </c>
      <c r="AT1264" s="28"/>
      <c r="AU1264" s="28" t="n">
        <f aca="false">AT1264*$M1264</f>
        <v>0</v>
      </c>
      <c r="AV1264" s="28"/>
      <c r="AW1264" s="28" t="n">
        <f aca="false">AV1264*$M1264</f>
        <v>0</v>
      </c>
      <c r="AX1264" s="28"/>
      <c r="AY1264" s="28" t="n">
        <f aca="false">AX1264*$M1264</f>
        <v>0</v>
      </c>
      <c r="AZ1264" s="30" t="n">
        <f aca="false">5374/100</f>
        <v>53.74</v>
      </c>
      <c r="BA1264" s="11" t="n">
        <v>13435</v>
      </c>
      <c r="BB1264" s="31" t="n">
        <f aca="false">SUM(Q1264,S1264,U1264,W1264,Y1264,AA1264,AC1264,AE1264,AG1264,AI1264,AK1264,AM1264,AO1264,AQ1264,AS1264,AU1264,AW1264,AY1264)</f>
        <v>13435</v>
      </c>
      <c r="BC1264" s="28" t="n">
        <f aca="false">BA1264-BB1264</f>
        <v>0</v>
      </c>
      <c r="BD1264" s="32" t="n">
        <f aca="false">SUM(P1264,R1264,T1264,V1264,X1264,Z1264,AB1264,AD1264,AF1264,AH1264,AJ1264,AL1264,AN1264,AP1264,AR1264,AT1264,AV1264,AX1264)</f>
        <v>53.74</v>
      </c>
      <c r="BE1264" s="33" t="n">
        <f aca="false">AZ1264-BD1264</f>
        <v>0</v>
      </c>
      <c r="BF1264" s="34" t="n">
        <f aca="false">BD1264*M1264</f>
        <v>13435</v>
      </c>
      <c r="BG1264" s="35" t="n">
        <f aca="false">BA1264-BF1264</f>
        <v>0</v>
      </c>
      <c r="BH1264" s="19" t="str">
        <f aca="false">IF(BG1264=0,"",IF(BG1264&lt;&gt;BA1264,"erreur de calcul",IF(BD1264&lt;&gt;0,"pas de prix",IF(M1264&lt;&gt; 0,"pas de quantité","pas de prix, ni de quantité"))))</f>
        <v/>
      </c>
      <c r="BI1264" s="19"/>
    </row>
    <row r="1265" customFormat="false" ht="15" hidden="false" customHeight="false" outlineLevel="0" collapsed="false">
      <c r="A1265" s="0" t="n">
        <v>2</v>
      </c>
      <c r="B1265" s="8" t="s">
        <v>24</v>
      </c>
      <c r="C1265" s="9" t="s">
        <v>25</v>
      </c>
      <c r="D1265" s="9" t="s">
        <v>26</v>
      </c>
      <c r="E1265" s="10" t="n">
        <v>1789</v>
      </c>
      <c r="F1265" s="9" t="s">
        <v>27</v>
      </c>
      <c r="G1265" s="9" t="s">
        <v>27</v>
      </c>
      <c r="H1265" s="11" t="n">
        <v>24</v>
      </c>
      <c r="I1265" s="11" t="s">
        <v>289</v>
      </c>
      <c r="J1265" s="14" t="n">
        <v>3</v>
      </c>
      <c r="K1265" s="14"/>
      <c r="L1265" s="16"/>
      <c r="M1265" s="27" t="n">
        <f aca="false">J1265+(K1265/20)+(L1265/240)</f>
        <v>3</v>
      </c>
      <c r="N1265" s="17" t="s">
        <v>66</v>
      </c>
      <c r="O1265" s="11"/>
      <c r="P1265" s="28"/>
      <c r="Q1265" s="28" t="n">
        <f aca="false">P1265*$M1265</f>
        <v>0</v>
      </c>
      <c r="R1265" s="28"/>
      <c r="S1265" s="28" t="n">
        <f aca="false">R1265*$M1265</f>
        <v>0</v>
      </c>
      <c r="T1265" s="28"/>
      <c r="U1265" s="28" t="n">
        <f aca="false">T1265*$M1265</f>
        <v>0</v>
      </c>
      <c r="V1265" s="28"/>
      <c r="W1265" s="28" t="n">
        <f aca="false">V1265*$M1265</f>
        <v>0</v>
      </c>
      <c r="X1265" s="28"/>
      <c r="Y1265" s="28" t="n">
        <f aca="false">X1265*$M1265</f>
        <v>0</v>
      </c>
      <c r="Z1265" s="28"/>
      <c r="AA1265" s="28" t="n">
        <f aca="false">Z1265*$M1265</f>
        <v>0</v>
      </c>
      <c r="AB1265" s="28"/>
      <c r="AC1265" s="28" t="n">
        <f aca="false">AB1265*$M1265</f>
        <v>0</v>
      </c>
      <c r="AD1265" s="28"/>
      <c r="AE1265" s="28" t="n">
        <f aca="false">AD1265*$M1265</f>
        <v>0</v>
      </c>
      <c r="AF1265" s="28"/>
      <c r="AG1265" s="28" t="n">
        <f aca="false">AF1265*$M1265</f>
        <v>0</v>
      </c>
      <c r="AH1265" s="28" t="n">
        <v>261</v>
      </c>
      <c r="AI1265" s="28" t="n">
        <v>783</v>
      </c>
      <c r="AJ1265" s="28"/>
      <c r="AK1265" s="28" t="n">
        <f aca="false">AJ1265*$M1265</f>
        <v>0</v>
      </c>
      <c r="AL1265" s="28"/>
      <c r="AM1265" s="28" t="n">
        <f aca="false">AL1265*$M1265</f>
        <v>0</v>
      </c>
      <c r="AN1265" s="28"/>
      <c r="AO1265" s="28" t="n">
        <f aca="false">AN1265*$M1265</f>
        <v>0</v>
      </c>
      <c r="AP1265" s="28"/>
      <c r="AQ1265" s="28" t="n">
        <f aca="false">AP1265*$M1265</f>
        <v>0</v>
      </c>
      <c r="AR1265" s="28"/>
      <c r="AS1265" s="28" t="n">
        <f aca="false">AR1265*$M1265</f>
        <v>0</v>
      </c>
      <c r="AT1265" s="28"/>
      <c r="AU1265" s="28" t="n">
        <f aca="false">AT1265*$M1265</f>
        <v>0</v>
      </c>
      <c r="AV1265" s="28"/>
      <c r="AW1265" s="28" t="n">
        <f aca="false">AV1265*$M1265</f>
        <v>0</v>
      </c>
      <c r="AX1265" s="28"/>
      <c r="AY1265" s="28" t="n">
        <f aca="false">AX1265*$M1265</f>
        <v>0</v>
      </c>
      <c r="AZ1265" s="30" t="n">
        <v>261</v>
      </c>
      <c r="BA1265" s="11" t="n">
        <v>783</v>
      </c>
      <c r="BB1265" s="31" t="n">
        <f aca="false">SUM(Q1265,S1265,U1265,W1265,Y1265,AA1265,AC1265,AE1265,AG1265,AI1265,AK1265,AM1265,AO1265,AQ1265,AS1265,AU1265,AW1265,AY1265)</f>
        <v>783</v>
      </c>
      <c r="BC1265" s="28" t="n">
        <f aca="false">BA1265-BB1265</f>
        <v>0</v>
      </c>
      <c r="BD1265" s="32" t="n">
        <f aca="false">SUM(P1265,R1265,T1265,V1265,X1265,Z1265,AB1265,AD1265,AF1265,AH1265,AJ1265,AL1265,AN1265,AP1265,AR1265,AT1265,AV1265,AX1265)</f>
        <v>261</v>
      </c>
      <c r="BE1265" s="33" t="n">
        <f aca="false">AZ1265-BD1265</f>
        <v>0</v>
      </c>
      <c r="BF1265" s="34" t="n">
        <f aca="false">BD1265*M1265</f>
        <v>783</v>
      </c>
      <c r="BG1265" s="35" t="n">
        <f aca="false">BA1265-BF1265</f>
        <v>0</v>
      </c>
      <c r="BH1265" s="19" t="str">
        <f aca="false">IF(BG1265=0,"",IF(BG1265&lt;&gt;BA1265,"erreur de calcul",IF(BD1265&lt;&gt;0,"pas de prix",IF(M1265&lt;&gt; 0,"pas de quantité","pas de prix, ni de quantité"))))</f>
        <v/>
      </c>
      <c r="BI1265" s="19"/>
    </row>
    <row r="1266" customFormat="false" ht="15" hidden="false" customHeight="false" outlineLevel="0" collapsed="false">
      <c r="A1266" s="0" t="n">
        <v>3</v>
      </c>
      <c r="B1266" s="8" t="s">
        <v>24</v>
      </c>
      <c r="C1266" s="9" t="s">
        <v>25</v>
      </c>
      <c r="D1266" s="9" t="s">
        <v>26</v>
      </c>
      <c r="E1266" s="10" t="n">
        <v>1789</v>
      </c>
      <c r="F1266" s="9" t="s">
        <v>27</v>
      </c>
      <c r="G1266" s="9" t="s">
        <v>27</v>
      </c>
      <c r="H1266" s="11" t="n">
        <v>24</v>
      </c>
      <c r="I1266" s="11" t="s">
        <v>290</v>
      </c>
      <c r="J1266" s="14" t="n">
        <v>5</v>
      </c>
      <c r="K1266" s="14"/>
      <c r="L1266" s="16"/>
      <c r="M1266" s="27" t="n">
        <f aca="false">J1266+(K1266/20)+(L1266/240)</f>
        <v>5</v>
      </c>
      <c r="N1266" s="17" t="s">
        <v>66</v>
      </c>
      <c r="O1266" s="11"/>
      <c r="P1266" s="28"/>
      <c r="Q1266" s="28" t="n">
        <f aca="false">P1266*$M1266</f>
        <v>0</v>
      </c>
      <c r="R1266" s="28"/>
      <c r="S1266" s="28" t="n">
        <f aca="false">R1266*$M1266</f>
        <v>0</v>
      </c>
      <c r="T1266" s="28"/>
      <c r="U1266" s="28" t="n">
        <v>4765</v>
      </c>
      <c r="V1266" s="28"/>
      <c r="W1266" s="28" t="n">
        <f aca="false">V1266*$M1266</f>
        <v>0</v>
      </c>
      <c r="X1266" s="28"/>
      <c r="Y1266" s="28" t="n">
        <f aca="false">X1266*$M1266</f>
        <v>0</v>
      </c>
      <c r="Z1266" s="28"/>
      <c r="AA1266" s="28" t="n">
        <f aca="false">Z1266*$M1266</f>
        <v>0</v>
      </c>
      <c r="AB1266" s="28"/>
      <c r="AC1266" s="28" t="n">
        <f aca="false">AB1266*$M1266</f>
        <v>0</v>
      </c>
      <c r="AD1266" s="28"/>
      <c r="AE1266" s="28" t="n">
        <f aca="false">AD1266*$M1266</f>
        <v>0</v>
      </c>
      <c r="AF1266" s="28"/>
      <c r="AG1266" s="28" t="n">
        <f aca="false">AF1266*$M1266</f>
        <v>0</v>
      </c>
      <c r="AH1266" s="28"/>
      <c r="AI1266" s="28" t="n">
        <f aca="false">AH1266*$M1266</f>
        <v>0</v>
      </c>
      <c r="AJ1266" s="28"/>
      <c r="AK1266" s="28" t="n">
        <f aca="false">AJ1266*$M1266</f>
        <v>0</v>
      </c>
      <c r="AL1266" s="28"/>
      <c r="AM1266" s="28" t="n">
        <f aca="false">AL1266*$M1266</f>
        <v>0</v>
      </c>
      <c r="AN1266" s="28"/>
      <c r="AO1266" s="28" t="n">
        <f aca="false">AN1266*$M1266</f>
        <v>0</v>
      </c>
      <c r="AP1266" s="28"/>
      <c r="AQ1266" s="28" t="n">
        <f aca="false">AP1266*$M1266</f>
        <v>0</v>
      </c>
      <c r="AR1266" s="28"/>
      <c r="AS1266" s="28" t="n">
        <f aca="false">AR1266*$M1266</f>
        <v>0</v>
      </c>
      <c r="AT1266" s="28"/>
      <c r="AU1266" s="28" t="n">
        <f aca="false">AT1266*$M1266</f>
        <v>0</v>
      </c>
      <c r="AV1266" s="28"/>
      <c r="AW1266" s="28" t="n">
        <f aca="false">AV1266*$M1266</f>
        <v>0</v>
      </c>
      <c r="AX1266" s="28"/>
      <c r="AY1266" s="28" t="n">
        <f aca="false">AX1266*$M1266</f>
        <v>0</v>
      </c>
      <c r="AZ1266" s="30"/>
      <c r="BA1266" s="11" t="n">
        <v>4765</v>
      </c>
      <c r="BB1266" s="31" t="n">
        <f aca="false">SUM(Q1266,S1266,U1266,W1266,Y1266,AA1266,AC1266,AE1266,AG1266,AI1266,AK1266,AM1266,AO1266,AQ1266,AS1266,AU1266,AW1266,AY1266)</f>
        <v>4765</v>
      </c>
      <c r="BC1266" s="28" t="n">
        <f aca="false">BA1266-BB1266</f>
        <v>0</v>
      </c>
      <c r="BD1266" s="32" t="n">
        <f aca="false">SUM(P1266,R1266,T1266,V1266,X1266,Z1266,AB1266,AD1266,AF1266,AH1266,AJ1266,AL1266,AN1266,AP1266,AR1266,AT1266,AV1266,AX1266)</f>
        <v>0</v>
      </c>
      <c r="BE1266" s="33" t="n">
        <f aca="false">AZ1266-BD1266</f>
        <v>0</v>
      </c>
      <c r="BF1266" s="34" t="n">
        <f aca="false">BD1266*M1266</f>
        <v>0</v>
      </c>
      <c r="BG1266" s="35" t="n">
        <f aca="false">BA1266-BF1266</f>
        <v>4765</v>
      </c>
      <c r="BH1266" s="19" t="str">
        <f aca="false">IF(BG1266=0,"",IF(BG1266&lt;&gt;BA1266,"erreur de calcul",IF(BD1266&lt;&gt;0,"pas de prix",IF(M1266&lt;&gt; 0,"pas de quantité","pas de prix, ni de quantité"))))</f>
        <v>pas de quantité</v>
      </c>
      <c r="BI1266" s="19"/>
    </row>
    <row r="1267" customFormat="false" ht="15" hidden="false" customHeight="false" outlineLevel="0" collapsed="false">
      <c r="A1267" s="0" t="n">
        <v>4</v>
      </c>
      <c r="B1267" s="8" t="s">
        <v>24</v>
      </c>
      <c r="C1267" s="9" t="s">
        <v>25</v>
      </c>
      <c r="D1267" s="9" t="s">
        <v>26</v>
      </c>
      <c r="E1267" s="10" t="n">
        <v>1789</v>
      </c>
      <c r="F1267" s="9" t="s">
        <v>27</v>
      </c>
      <c r="G1267" s="9" t="s">
        <v>27</v>
      </c>
      <c r="H1267" s="11" t="n">
        <v>24</v>
      </c>
      <c r="I1267" s="11" t="s">
        <v>291</v>
      </c>
      <c r="J1267" s="14" t="n">
        <v>36</v>
      </c>
      <c r="K1267" s="14"/>
      <c r="L1267" s="16"/>
      <c r="M1267" s="27" t="n">
        <f aca="false">J1267+(K1267/20)+(L1267/240)</f>
        <v>36</v>
      </c>
      <c r="N1267" s="17" t="s">
        <v>66</v>
      </c>
      <c r="O1267" s="11"/>
      <c r="P1267" s="28"/>
      <c r="Q1267" s="28" t="n">
        <f aca="false">P1267*$M1267</f>
        <v>0</v>
      </c>
      <c r="R1267" s="28"/>
      <c r="S1267" s="28" t="n">
        <f aca="false">R1267*$M1267</f>
        <v>0</v>
      </c>
      <c r="T1267" s="28"/>
      <c r="U1267" s="28" t="n">
        <f aca="false">T1267*$M1267</f>
        <v>0</v>
      </c>
      <c r="V1267" s="28"/>
      <c r="W1267" s="28" t="n">
        <f aca="false">V1267*$M1267</f>
        <v>0</v>
      </c>
      <c r="X1267" s="28"/>
      <c r="Y1267" s="28" t="n">
        <f aca="false">X1267*$M1267</f>
        <v>0</v>
      </c>
      <c r="Z1267" s="28"/>
      <c r="AA1267" s="28" t="n">
        <f aca="false">Z1267*$M1267</f>
        <v>0</v>
      </c>
      <c r="AB1267" s="28"/>
      <c r="AC1267" s="28" t="n">
        <f aca="false">AB1267*$M1267</f>
        <v>0</v>
      </c>
      <c r="AD1267" s="28"/>
      <c r="AE1267" s="28" t="n">
        <f aca="false">AD1267*$M1267</f>
        <v>0</v>
      </c>
      <c r="AF1267" s="28"/>
      <c r="AG1267" s="28" t="n">
        <f aca="false">AF1267*$M1267</f>
        <v>0</v>
      </c>
      <c r="AH1267" s="28"/>
      <c r="AI1267" s="28" t="n">
        <f aca="false">AH1267*$M1267</f>
        <v>0</v>
      </c>
      <c r="AJ1267" s="28" t="n">
        <v>387</v>
      </c>
      <c r="AK1267" s="28" t="n">
        <v>13932</v>
      </c>
      <c r="AL1267" s="28"/>
      <c r="AM1267" s="28" t="n">
        <f aca="false">AL1267*$M1267</f>
        <v>0</v>
      </c>
      <c r="AN1267" s="28"/>
      <c r="AO1267" s="28" t="n">
        <f aca="false">AN1267*$M1267</f>
        <v>0</v>
      </c>
      <c r="AP1267" s="28"/>
      <c r="AQ1267" s="28" t="n">
        <f aca="false">AP1267*$M1267</f>
        <v>0</v>
      </c>
      <c r="AR1267" s="28"/>
      <c r="AS1267" s="28" t="n">
        <f aca="false">AR1267*$M1267</f>
        <v>0</v>
      </c>
      <c r="AT1267" s="28"/>
      <c r="AU1267" s="28" t="n">
        <f aca="false">AT1267*$M1267</f>
        <v>0</v>
      </c>
      <c r="AV1267" s="28"/>
      <c r="AW1267" s="28" t="n">
        <f aca="false">AV1267*$M1267</f>
        <v>0</v>
      </c>
      <c r="AX1267" s="28"/>
      <c r="AY1267" s="28" t="n">
        <f aca="false">AX1267*$M1267</f>
        <v>0</v>
      </c>
      <c r="AZ1267" s="30" t="n">
        <v>387</v>
      </c>
      <c r="BA1267" s="11" t="n">
        <v>13932</v>
      </c>
      <c r="BB1267" s="31" t="n">
        <f aca="false">SUM(Q1267,S1267,U1267,W1267,Y1267,AA1267,AC1267,AE1267,AG1267,AI1267,AK1267,AM1267,AO1267,AQ1267,AS1267,AU1267,AW1267,AY1267)</f>
        <v>13932</v>
      </c>
      <c r="BC1267" s="28" t="n">
        <f aca="false">BA1267-BB1267</f>
        <v>0</v>
      </c>
      <c r="BD1267" s="32" t="n">
        <f aca="false">SUM(P1267,R1267,T1267,V1267,X1267,Z1267,AB1267,AD1267,AF1267,AH1267,AJ1267,AL1267,AN1267,AP1267,AR1267,AT1267,AV1267,AX1267)</f>
        <v>387</v>
      </c>
      <c r="BE1267" s="33" t="n">
        <f aca="false">AZ1267-BD1267</f>
        <v>0</v>
      </c>
      <c r="BF1267" s="34" t="n">
        <f aca="false">BD1267*M1267</f>
        <v>13932</v>
      </c>
      <c r="BG1267" s="35" t="n">
        <f aca="false">BA1267-BF1267</f>
        <v>0</v>
      </c>
      <c r="BH1267" s="19" t="str">
        <f aca="false">IF(BG1267=0,"",IF(BG1267&lt;&gt;BA1267,"erreur de calcul",IF(BD1267&lt;&gt;0,"pas de prix",IF(M1267&lt;&gt; 0,"pas de quantité","pas de prix, ni de quantité"))))</f>
        <v/>
      </c>
      <c r="BI1267" s="19"/>
    </row>
    <row r="1268" customFormat="false" ht="15" hidden="false" customHeight="false" outlineLevel="0" collapsed="false">
      <c r="A1268" s="0" t="n">
        <v>5</v>
      </c>
      <c r="B1268" s="8" t="s">
        <v>24</v>
      </c>
      <c r="C1268" s="9" t="s">
        <v>25</v>
      </c>
      <c r="D1268" s="9" t="s">
        <v>26</v>
      </c>
      <c r="E1268" s="10" t="n">
        <v>1789</v>
      </c>
      <c r="F1268" s="9" t="s">
        <v>27</v>
      </c>
      <c r="G1268" s="9" t="s">
        <v>27</v>
      </c>
      <c r="H1268" s="11" t="n">
        <v>24</v>
      </c>
      <c r="I1268" s="11" t="s">
        <v>292</v>
      </c>
      <c r="J1268" s="14" t="n">
        <v>40</v>
      </c>
      <c r="K1268" s="14"/>
      <c r="L1268" s="16"/>
      <c r="M1268" s="27" t="n">
        <f aca="false">J1268+(K1268/20)+(L1268/240)</f>
        <v>40</v>
      </c>
      <c r="N1268" s="17" t="s">
        <v>64</v>
      </c>
      <c r="O1268" s="11" t="s">
        <v>277</v>
      </c>
      <c r="P1268" s="28"/>
      <c r="Q1268" s="28" t="n">
        <f aca="false">P1268*$M1268</f>
        <v>0</v>
      </c>
      <c r="R1268" s="28"/>
      <c r="S1268" s="28" t="n">
        <f aca="false">R1268*$M1268</f>
        <v>0</v>
      </c>
      <c r="T1268" s="28" t="n">
        <f aca="false">5917/100</f>
        <v>59.17</v>
      </c>
      <c r="U1268" s="28" t="n">
        <v>2367</v>
      </c>
      <c r="V1268" s="28" t="n">
        <f aca="false">12510/100</f>
        <v>125.1</v>
      </c>
      <c r="W1268" s="28" t="n">
        <f aca="false">V1268*$M1268</f>
        <v>5004</v>
      </c>
      <c r="X1268" s="28"/>
      <c r="Y1268" s="28" t="n">
        <f aca="false">X1268*$M1268</f>
        <v>0</v>
      </c>
      <c r="Z1268" s="28"/>
      <c r="AA1268" s="28" t="n">
        <f aca="false">Z1268*$M1268</f>
        <v>0</v>
      </c>
      <c r="AB1268" s="28" t="n">
        <f aca="false">50338/100</f>
        <v>503.38</v>
      </c>
      <c r="AC1268" s="28" t="n">
        <v>20135</v>
      </c>
      <c r="AD1268" s="28"/>
      <c r="AE1268" s="28" t="n">
        <f aca="false">AD1268*$M1268</f>
        <v>0</v>
      </c>
      <c r="AF1268" s="28"/>
      <c r="AG1268" s="28" t="n">
        <f aca="false">AF1268*$M1268</f>
        <v>0</v>
      </c>
      <c r="AH1268" s="28" t="n">
        <f aca="false">440/100</f>
        <v>4.4</v>
      </c>
      <c r="AI1268" s="28" t="n">
        <v>176</v>
      </c>
      <c r="AJ1268" s="28" t="n">
        <f aca="false">18094/100</f>
        <v>180.94</v>
      </c>
      <c r="AK1268" s="28" t="n">
        <v>7238</v>
      </c>
      <c r="AL1268" s="28"/>
      <c r="AM1268" s="28" t="n">
        <f aca="false">AL1268*$M1268</f>
        <v>0</v>
      </c>
      <c r="AN1268" s="28"/>
      <c r="AO1268" s="28" t="n">
        <f aca="false">AN1268*$M1268</f>
        <v>0</v>
      </c>
      <c r="AP1268" s="28"/>
      <c r="AQ1268" s="28" t="n">
        <f aca="false">AP1268*$M1268</f>
        <v>0</v>
      </c>
      <c r="AR1268" s="28"/>
      <c r="AS1268" s="28" t="n">
        <f aca="false">AR1268*$M1268</f>
        <v>0</v>
      </c>
      <c r="AT1268" s="28"/>
      <c r="AU1268" s="28" t="n">
        <f aca="false">AT1268*$M1268</f>
        <v>0</v>
      </c>
      <c r="AV1268" s="28"/>
      <c r="AW1268" s="28" t="n">
        <f aca="false">AV1268*$M1268</f>
        <v>0</v>
      </c>
      <c r="AX1268" s="28"/>
      <c r="AY1268" s="28" t="n">
        <f aca="false">AX1268*$M1268</f>
        <v>0</v>
      </c>
      <c r="AZ1268" s="30" t="n">
        <f aca="false">87279/100</f>
        <v>872.79</v>
      </c>
      <c r="BA1268" s="11" t="n">
        <v>34920</v>
      </c>
      <c r="BB1268" s="31" t="n">
        <f aca="false">SUM(Q1268,S1268,U1268,W1268,Y1268,AA1268,AC1268,AE1268,AG1268,AI1268,AK1268,AM1268,AO1268,AQ1268,AS1268,AU1268,AW1268,AY1268)</f>
        <v>34920</v>
      </c>
      <c r="BC1268" s="28" t="n">
        <f aca="false">BA1268-BB1268</f>
        <v>0</v>
      </c>
      <c r="BD1268" s="32" t="n">
        <f aca="false">SUM(P1268,R1268,T1268,V1268,X1268,Z1268,AB1268,AD1268,AF1268,AH1268,AJ1268,AL1268,AN1268,AP1268,AR1268,AT1268,AV1268,AX1268)</f>
        <v>872.99</v>
      </c>
      <c r="BE1268" s="33" t="n">
        <f aca="false">AZ1268-BD1268</f>
        <v>-0.200000000000045</v>
      </c>
      <c r="BF1268" s="34" t="n">
        <f aca="false">BD1268*M1268</f>
        <v>34919.6</v>
      </c>
      <c r="BG1268" s="35" t="n">
        <f aca="false">BA1268-BF1268</f>
        <v>0.400000000001455</v>
      </c>
      <c r="BH1268" s="19" t="str">
        <f aca="false">IF(BG1268=0,"",IF(BG1268&lt;&gt;BA1268,"erreur de calcul",IF(BD1268&lt;&gt;0,"pas de prix",IF(M1268&lt;&gt; 0,"pas de quantité","pas de prix, ni de quantité"))))</f>
        <v>erreur de calcul</v>
      </c>
      <c r="BI1268" s="19"/>
    </row>
    <row r="1269" customFormat="false" ht="15" hidden="false" customHeight="false" outlineLevel="0" collapsed="false">
      <c r="A1269" s="0" t="n">
        <v>6</v>
      </c>
      <c r="B1269" s="8" t="s">
        <v>24</v>
      </c>
      <c r="C1269" s="9" t="s">
        <v>25</v>
      </c>
      <c r="D1269" s="9" t="s">
        <v>26</v>
      </c>
      <c r="E1269" s="10" t="n">
        <v>1789</v>
      </c>
      <c r="F1269" s="9" t="s">
        <v>27</v>
      </c>
      <c r="G1269" s="9" t="s">
        <v>27</v>
      </c>
      <c r="H1269" s="11" t="n">
        <v>24</v>
      </c>
      <c r="I1269" s="11" t="s">
        <v>293</v>
      </c>
      <c r="J1269" s="14" t="n">
        <v>72</v>
      </c>
      <c r="K1269" s="14"/>
      <c r="L1269" s="16"/>
      <c r="M1269" s="27" t="n">
        <f aca="false">J1269+(K1269/20)+(L1269/240)</f>
        <v>72</v>
      </c>
      <c r="N1269" s="17" t="s">
        <v>294</v>
      </c>
      <c r="O1269" s="11"/>
      <c r="P1269" s="28" t="n">
        <v>16096</v>
      </c>
      <c r="Q1269" s="28" t="n">
        <v>1158912</v>
      </c>
      <c r="R1269" s="28"/>
      <c r="S1269" s="28" t="n">
        <f aca="false">R1269*$M1269</f>
        <v>0</v>
      </c>
      <c r="T1269" s="28" t="n">
        <v>6580</v>
      </c>
      <c r="U1269" s="28" t="n">
        <v>473760</v>
      </c>
      <c r="V1269" s="28" t="n">
        <v>21336</v>
      </c>
      <c r="W1269" s="28" t="n">
        <v>1536192</v>
      </c>
      <c r="X1269" s="28" t="n">
        <v>905</v>
      </c>
      <c r="Y1269" s="28" t="n">
        <v>65160</v>
      </c>
      <c r="Z1269" s="28" t="n">
        <v>250</v>
      </c>
      <c r="AA1269" s="28" t="n">
        <v>18000</v>
      </c>
      <c r="AB1269" s="28" t="n">
        <v>155034</v>
      </c>
      <c r="AC1269" s="28" t="n">
        <v>11162448</v>
      </c>
      <c r="AD1269" s="28"/>
      <c r="AE1269" s="28" t="n">
        <f aca="false">AD1269*$M1269</f>
        <v>0</v>
      </c>
      <c r="AF1269" s="28" t="n">
        <v>18739</v>
      </c>
      <c r="AG1269" s="28" t="n">
        <v>1349208</v>
      </c>
      <c r="AH1269" s="28" t="n">
        <v>44032</v>
      </c>
      <c r="AI1269" s="28" t="n">
        <v>3170304</v>
      </c>
      <c r="AJ1269" s="28"/>
      <c r="AK1269" s="28" t="n">
        <f aca="false">AJ1269*$M1269</f>
        <v>0</v>
      </c>
      <c r="AL1269" s="28"/>
      <c r="AM1269" s="28" t="n">
        <f aca="false">AL1269*$M1269</f>
        <v>0</v>
      </c>
      <c r="AN1269" s="28"/>
      <c r="AO1269" s="28" t="n">
        <f aca="false">AN1269*$M1269</f>
        <v>0</v>
      </c>
      <c r="AP1269" s="28"/>
      <c r="AQ1269" s="28" t="n">
        <f aca="false">AP1269*$M1269</f>
        <v>0</v>
      </c>
      <c r="AR1269" s="28"/>
      <c r="AS1269" s="28" t="n">
        <f aca="false">AR1269*$M1269</f>
        <v>0</v>
      </c>
      <c r="AT1269" s="28"/>
      <c r="AU1269" s="28" t="n">
        <f aca="false">AT1269*$M1269</f>
        <v>0</v>
      </c>
      <c r="AV1269" s="28"/>
      <c r="AW1269" s="28" t="n">
        <f aca="false">AV1269*$M1269</f>
        <v>0</v>
      </c>
      <c r="AX1269" s="28"/>
      <c r="AY1269" s="28" t="n">
        <f aca="false">AX1269*$M1269</f>
        <v>0</v>
      </c>
      <c r="AZ1269" s="30" t="n">
        <v>262972</v>
      </c>
      <c r="BA1269" s="11" t="n">
        <v>18933984</v>
      </c>
      <c r="BB1269" s="31" t="n">
        <f aca="false">SUM(Q1269,S1269,U1269,W1269,Y1269,AA1269,AC1269,AE1269,AG1269,AI1269,AK1269,AM1269,AO1269,AQ1269,AS1269,AU1269,AW1269,AY1269)</f>
        <v>18933984</v>
      </c>
      <c r="BC1269" s="28" t="n">
        <f aca="false">BA1269-BB1269</f>
        <v>0</v>
      </c>
      <c r="BD1269" s="32" t="n">
        <f aca="false">SUM(P1269,R1269,T1269,V1269,X1269,Z1269,AB1269,AD1269,AF1269,AH1269,AJ1269,AL1269,AN1269,AP1269,AR1269,AT1269,AV1269,AX1269)</f>
        <v>262972</v>
      </c>
      <c r="BE1269" s="33" t="n">
        <f aca="false">AZ1269-BD1269</f>
        <v>0</v>
      </c>
      <c r="BF1269" s="34" t="n">
        <f aca="false">BD1269*M1269</f>
        <v>18933984</v>
      </c>
      <c r="BG1269" s="35" t="n">
        <f aca="false">BA1269-BF1269</f>
        <v>0</v>
      </c>
      <c r="BH1269" s="19" t="str">
        <f aca="false">IF(BG1269=0,"",IF(BG1269&lt;&gt;BA1269,"erreur de calcul",IF(BD1269&lt;&gt;0,"pas de prix",IF(M1269&lt;&gt; 0,"pas de quantité","pas de prix, ni de quantité"))))</f>
        <v/>
      </c>
      <c r="BI1269" s="19" t="s">
        <v>295</v>
      </c>
    </row>
    <row r="1270" customFormat="false" ht="15" hidden="false" customHeight="false" outlineLevel="0" collapsed="false">
      <c r="A1270" s="0" t="n">
        <v>7</v>
      </c>
      <c r="B1270" s="8" t="s">
        <v>24</v>
      </c>
      <c r="C1270" s="9" t="s">
        <v>25</v>
      </c>
      <c r="D1270" s="9" t="s">
        <v>26</v>
      </c>
      <c r="E1270" s="10" t="n">
        <v>1789</v>
      </c>
      <c r="F1270" s="9" t="s">
        <v>27</v>
      </c>
      <c r="G1270" s="9" t="s">
        <v>27</v>
      </c>
      <c r="H1270" s="11" t="n">
        <v>24</v>
      </c>
      <c r="I1270" s="11" t="s">
        <v>296</v>
      </c>
      <c r="J1270" s="14" t="n">
        <v>35</v>
      </c>
      <c r="K1270" s="14"/>
      <c r="L1270" s="16"/>
      <c r="M1270" s="27" t="n">
        <f aca="false">J1270+(K1270/20)+(L1270/240)</f>
        <v>35</v>
      </c>
      <c r="N1270" s="17" t="s">
        <v>64</v>
      </c>
      <c r="O1270" s="11" t="s">
        <v>98</v>
      </c>
      <c r="P1270" s="28"/>
      <c r="Q1270" s="28" t="n">
        <f aca="false">P1270*$M1270</f>
        <v>0</v>
      </c>
      <c r="R1270" s="28"/>
      <c r="S1270" s="28" t="n">
        <f aca="false">R1270*$M1270</f>
        <v>0</v>
      </c>
      <c r="T1270" s="28"/>
      <c r="U1270" s="28" t="n">
        <f aca="false">T1270*$M1270</f>
        <v>0</v>
      </c>
      <c r="V1270" s="28"/>
      <c r="W1270" s="28" t="n">
        <f aca="false">V1270*$M1270</f>
        <v>0</v>
      </c>
      <c r="X1270" s="28"/>
      <c r="Y1270" s="28" t="n">
        <f aca="false">X1270*$M1270</f>
        <v>0</v>
      </c>
      <c r="Z1270" s="28"/>
      <c r="AA1270" s="28" t="n">
        <f aca="false">Z1270*$M1270</f>
        <v>0</v>
      </c>
      <c r="AB1270" s="28"/>
      <c r="AC1270" s="28" t="n">
        <f aca="false">AB1270*$M1270</f>
        <v>0</v>
      </c>
      <c r="AD1270" s="28"/>
      <c r="AE1270" s="28" t="n">
        <f aca="false">AD1270*$M1270</f>
        <v>0</v>
      </c>
      <c r="AF1270" s="28"/>
      <c r="AG1270" s="28" t="n">
        <f aca="false">AF1270*$M1270</f>
        <v>0</v>
      </c>
      <c r="AH1270" s="28"/>
      <c r="AI1270" s="28" t="n">
        <f aca="false">AH1270*$M1270</f>
        <v>0</v>
      </c>
      <c r="AJ1270" s="28"/>
      <c r="AK1270" s="28" t="n">
        <f aca="false">AJ1270*$M1270</f>
        <v>0</v>
      </c>
      <c r="AL1270" s="28"/>
      <c r="AM1270" s="28" t="n">
        <f aca="false">AL1270*$M1270</f>
        <v>0</v>
      </c>
      <c r="AN1270" s="28"/>
      <c r="AO1270" s="28" t="n">
        <f aca="false">AN1270*$M1270</f>
        <v>0</v>
      </c>
      <c r="AP1270" s="28"/>
      <c r="AQ1270" s="28" t="n">
        <f aca="false">AP1270*$M1270</f>
        <v>0</v>
      </c>
      <c r="AR1270" s="28"/>
      <c r="AS1270" s="28" t="n">
        <f aca="false">AR1270*$M1270</f>
        <v>0</v>
      </c>
      <c r="AT1270" s="28"/>
      <c r="AU1270" s="28" t="n">
        <f aca="false">AT1270*$M1270</f>
        <v>0</v>
      </c>
      <c r="AV1270" s="28"/>
      <c r="AW1270" s="28" t="n">
        <f aca="false">AV1270*$M1270</f>
        <v>0</v>
      </c>
      <c r="AX1270" s="28"/>
      <c r="AY1270" s="28" t="n">
        <f aca="false">AX1270*$M1270</f>
        <v>0</v>
      </c>
      <c r="AZ1270" s="30"/>
      <c r="BA1270" s="11"/>
      <c r="BB1270" s="31" t="n">
        <f aca="false">SUM(Q1270,S1270,U1270,W1270,Y1270,AA1270,AC1270,AE1270,AG1270,AI1270,AK1270,AM1270,AO1270,AQ1270,AS1270,AU1270,AW1270,AY1270)</f>
        <v>0</v>
      </c>
      <c r="BC1270" s="28" t="n">
        <f aca="false">BA1270-BB1270</f>
        <v>0</v>
      </c>
      <c r="BD1270" s="32" t="n">
        <f aca="false">SUM(P1270,R1270,T1270,V1270,X1270,Z1270,AB1270,AD1270,AF1270,AH1270,AJ1270,AL1270,AN1270,AP1270,AR1270,AT1270,AV1270,AX1270)</f>
        <v>0</v>
      </c>
      <c r="BE1270" s="33" t="n">
        <f aca="false">AZ1270-BD1270</f>
        <v>0</v>
      </c>
      <c r="BF1270" s="34" t="n">
        <f aca="false">BD1270*M1270</f>
        <v>0</v>
      </c>
      <c r="BG1270" s="35" t="n">
        <f aca="false">BA1270-BF1270</f>
        <v>0</v>
      </c>
      <c r="BH1270" s="19" t="str">
        <f aca="false">IF(BG1270=0,"",IF(BG1270&lt;&gt;BA1270,"erreur de calcul",IF(BD1270&lt;&gt;0,"pas de prix",IF(M1270&lt;&gt; 0,"pas de quantité","pas de prix, ni de quantité"))))</f>
        <v/>
      </c>
      <c r="BI1270" s="19"/>
    </row>
    <row r="1271" customFormat="false" ht="15" hidden="false" customHeight="false" outlineLevel="0" collapsed="false">
      <c r="A1271" s="0" t="n">
        <v>8</v>
      </c>
      <c r="B1271" s="8" t="s">
        <v>24</v>
      </c>
      <c r="C1271" s="9" t="s">
        <v>25</v>
      </c>
      <c r="D1271" s="9" t="s">
        <v>26</v>
      </c>
      <c r="E1271" s="10" t="n">
        <v>1789</v>
      </c>
      <c r="F1271" s="9" t="s">
        <v>27</v>
      </c>
      <c r="G1271" s="9" t="s">
        <v>27</v>
      </c>
      <c r="H1271" s="11" t="n">
        <v>24</v>
      </c>
      <c r="I1271" s="11" t="s">
        <v>297</v>
      </c>
      <c r="J1271" s="14" t="n">
        <v>45</v>
      </c>
      <c r="K1271" s="14"/>
      <c r="L1271" s="16"/>
      <c r="M1271" s="27" t="n">
        <f aca="false">J1271+(K1271/20)+(L1271/240)</f>
        <v>45</v>
      </c>
      <c r="N1271" s="17" t="s">
        <v>64</v>
      </c>
      <c r="O1271" s="11"/>
      <c r="P1271" s="28"/>
      <c r="Q1271" s="28" t="n">
        <f aca="false">P1271*$M1271</f>
        <v>0</v>
      </c>
      <c r="R1271" s="28"/>
      <c r="S1271" s="28" t="n">
        <f aca="false">R1271*$M1271</f>
        <v>0</v>
      </c>
      <c r="T1271" s="28"/>
      <c r="U1271" s="28" t="n">
        <f aca="false">T1271*$M1271</f>
        <v>0</v>
      </c>
      <c r="V1271" s="28"/>
      <c r="W1271" s="28" t="n">
        <f aca="false">V1271*$M1271</f>
        <v>0</v>
      </c>
      <c r="X1271" s="28"/>
      <c r="Y1271" s="28" t="n">
        <f aca="false">X1271*$M1271</f>
        <v>0</v>
      </c>
      <c r="Z1271" s="28"/>
      <c r="AA1271" s="28" t="n">
        <f aca="false">Z1271*$M1271</f>
        <v>0</v>
      </c>
      <c r="AB1271" s="28"/>
      <c r="AC1271" s="28" t="n">
        <f aca="false">AB1271*$M1271</f>
        <v>0</v>
      </c>
      <c r="AD1271" s="28"/>
      <c r="AE1271" s="28" t="n">
        <f aca="false">AD1271*$M1271</f>
        <v>0</v>
      </c>
      <c r="AF1271" s="28"/>
      <c r="AG1271" s="28" t="n">
        <f aca="false">AF1271*$M1271</f>
        <v>0</v>
      </c>
      <c r="AH1271" s="28"/>
      <c r="AI1271" s="28" t="n">
        <f aca="false">AH1271*$M1271</f>
        <v>0</v>
      </c>
      <c r="AJ1271" s="28"/>
      <c r="AK1271" s="28" t="n">
        <f aca="false">AJ1271*$M1271</f>
        <v>0</v>
      </c>
      <c r="AL1271" s="28"/>
      <c r="AM1271" s="28" t="n">
        <f aca="false">AL1271*$M1271</f>
        <v>0</v>
      </c>
      <c r="AN1271" s="28"/>
      <c r="AO1271" s="28" t="n">
        <f aca="false">AN1271*$M1271</f>
        <v>0</v>
      </c>
      <c r="AP1271" s="28"/>
      <c r="AQ1271" s="28" t="n">
        <f aca="false">AP1271*$M1271</f>
        <v>0</v>
      </c>
      <c r="AR1271" s="28"/>
      <c r="AS1271" s="28" t="n">
        <f aca="false">AR1271*$M1271</f>
        <v>0</v>
      </c>
      <c r="AT1271" s="28"/>
      <c r="AU1271" s="28" t="n">
        <f aca="false">AT1271*$M1271</f>
        <v>0</v>
      </c>
      <c r="AV1271" s="28"/>
      <c r="AW1271" s="28" t="n">
        <f aca="false">AV1271*$M1271</f>
        <v>0</v>
      </c>
      <c r="AX1271" s="28" t="n">
        <f aca="false">44459/100</f>
        <v>444.59</v>
      </c>
      <c r="AY1271" s="28" t="n">
        <v>20006</v>
      </c>
      <c r="AZ1271" s="30" t="n">
        <f aca="false">44459/100</f>
        <v>444.59</v>
      </c>
      <c r="BA1271" s="11" t="n">
        <v>20006</v>
      </c>
      <c r="BB1271" s="31" t="n">
        <f aca="false">SUM(Q1271,S1271,U1271,W1271,Y1271,AA1271,AC1271,AE1271,AG1271,AI1271,AK1271,AM1271,AO1271,AQ1271,AS1271,AU1271,AW1271,AY1271)</f>
        <v>20006</v>
      </c>
      <c r="BC1271" s="28" t="n">
        <f aca="false">BA1271-BB1271</f>
        <v>0</v>
      </c>
      <c r="BD1271" s="32" t="n">
        <f aca="false">SUM(P1271,R1271,T1271,V1271,X1271,Z1271,AB1271,AD1271,AF1271,AH1271,AJ1271,AL1271,AN1271,AP1271,AR1271,AT1271,AV1271,AX1271)</f>
        <v>444.59</v>
      </c>
      <c r="BE1271" s="33" t="n">
        <f aca="false">AZ1271-BD1271</f>
        <v>0</v>
      </c>
      <c r="BF1271" s="34" t="n">
        <f aca="false">BD1271*M1271</f>
        <v>20006.55</v>
      </c>
      <c r="BG1271" s="35" t="n">
        <f aca="false">BA1271-BF1271</f>
        <v>-0.549999999999272</v>
      </c>
      <c r="BH1271" s="19" t="str">
        <f aca="false">IF(BG1271=0,"",IF(BG1271&lt;&gt;BA1271,"erreur de calcul",IF(BD1271&lt;&gt;0,"pas de prix",IF(M1271&lt;&gt; 0,"pas de quantité","pas de prix, ni de quantité"))))</f>
        <v>erreur de calcul</v>
      </c>
      <c r="BI1271" s="19"/>
    </row>
    <row r="1272" customFormat="false" ht="15" hidden="false" customHeight="false" outlineLevel="0" collapsed="false">
      <c r="A1272" s="0" t="n">
        <v>9</v>
      </c>
      <c r="B1272" s="8" t="s">
        <v>24</v>
      </c>
      <c r="C1272" s="9" t="s">
        <v>25</v>
      </c>
      <c r="D1272" s="9" t="s">
        <v>26</v>
      </c>
      <c r="E1272" s="10" t="n">
        <v>1789</v>
      </c>
      <c r="F1272" s="9" t="s">
        <v>27</v>
      </c>
      <c r="G1272" s="9" t="s">
        <v>27</v>
      </c>
      <c r="H1272" s="11" t="n">
        <v>24</v>
      </c>
      <c r="I1272" s="11" t="s">
        <v>298</v>
      </c>
      <c r="J1272" s="14" t="n">
        <v>550</v>
      </c>
      <c r="K1272" s="14"/>
      <c r="L1272" s="16"/>
      <c r="M1272" s="27" t="n">
        <f aca="false">J1272+(K1272/20)+(L1272/240)</f>
        <v>550</v>
      </c>
      <c r="N1272" s="17" t="s">
        <v>64</v>
      </c>
      <c r="O1272" s="11"/>
      <c r="P1272" s="28"/>
      <c r="Q1272" s="28" t="n">
        <f aca="false">P1272*$M1272</f>
        <v>0</v>
      </c>
      <c r="R1272" s="28"/>
      <c r="S1272" s="28" t="n">
        <f aca="false">R1272*$M1272</f>
        <v>0</v>
      </c>
      <c r="T1272" s="28"/>
      <c r="U1272" s="28" t="n">
        <f aca="false">T1272*$M1272</f>
        <v>0</v>
      </c>
      <c r="V1272" s="28"/>
      <c r="W1272" s="28" t="n">
        <f aca="false">V1272*$M1272</f>
        <v>0</v>
      </c>
      <c r="X1272" s="28"/>
      <c r="Y1272" s="28" t="n">
        <f aca="false">X1272*$M1272</f>
        <v>0</v>
      </c>
      <c r="Z1272" s="28"/>
      <c r="AA1272" s="28" t="n">
        <f aca="false">Z1272*$M1272</f>
        <v>0</v>
      </c>
      <c r="AB1272" s="28"/>
      <c r="AC1272" s="28" t="n">
        <f aca="false">AB1272*$M1272</f>
        <v>0</v>
      </c>
      <c r="AD1272" s="28"/>
      <c r="AE1272" s="28" t="n">
        <f aca="false">AD1272*$M1272</f>
        <v>0</v>
      </c>
      <c r="AF1272" s="28" t="n">
        <f aca="false">200/100</f>
        <v>2</v>
      </c>
      <c r="AG1272" s="28" t="n">
        <v>1100</v>
      </c>
      <c r="AH1272" s="28"/>
      <c r="AI1272" s="28" t="n">
        <f aca="false">AH1272*$M1272</f>
        <v>0</v>
      </c>
      <c r="AJ1272" s="28"/>
      <c r="AK1272" s="28" t="n">
        <f aca="false">AJ1272*$M1272</f>
        <v>0</v>
      </c>
      <c r="AL1272" s="28"/>
      <c r="AM1272" s="28" t="n">
        <f aca="false">AL1272*$M1272</f>
        <v>0</v>
      </c>
      <c r="AN1272" s="28"/>
      <c r="AO1272" s="28" t="n">
        <f aca="false">AN1272*$M1272</f>
        <v>0</v>
      </c>
      <c r="AP1272" s="28"/>
      <c r="AQ1272" s="28" t="n">
        <f aca="false">AP1272*$M1272</f>
        <v>0</v>
      </c>
      <c r="AR1272" s="28"/>
      <c r="AS1272" s="28" t="n">
        <f aca="false">AR1272*$M1272</f>
        <v>0</v>
      </c>
      <c r="AT1272" s="28"/>
      <c r="AU1272" s="28" t="n">
        <f aca="false">AT1272*$M1272</f>
        <v>0</v>
      </c>
      <c r="AV1272" s="28"/>
      <c r="AW1272" s="28" t="n">
        <f aca="false">AV1272*$M1272</f>
        <v>0</v>
      </c>
      <c r="AX1272" s="28"/>
      <c r="AY1272" s="28" t="n">
        <f aca="false">AX1272*$M1272</f>
        <v>0</v>
      </c>
      <c r="AZ1272" s="30" t="n">
        <f aca="false">200/100</f>
        <v>2</v>
      </c>
      <c r="BA1272" s="11" t="n">
        <v>1100</v>
      </c>
      <c r="BB1272" s="31" t="n">
        <f aca="false">SUM(Q1272,S1272,U1272,W1272,Y1272,AA1272,AC1272,AE1272,AG1272,AI1272,AK1272,AM1272,AO1272,AQ1272,AS1272,AU1272,AW1272,AY1272)</f>
        <v>1100</v>
      </c>
      <c r="BC1272" s="28" t="n">
        <f aca="false">BA1272-BB1272</f>
        <v>0</v>
      </c>
      <c r="BD1272" s="32" t="n">
        <f aca="false">SUM(P1272,R1272,T1272,V1272,X1272,Z1272,AB1272,AD1272,AF1272,AH1272,AJ1272,AL1272,AN1272,AP1272,AR1272,AT1272,AV1272,AX1272)</f>
        <v>2</v>
      </c>
      <c r="BE1272" s="33" t="n">
        <f aca="false">AZ1272-BD1272</f>
        <v>0</v>
      </c>
      <c r="BF1272" s="34" t="n">
        <f aca="false">BD1272*M1272</f>
        <v>1100</v>
      </c>
      <c r="BG1272" s="35" t="n">
        <f aca="false">BA1272-BF1272</f>
        <v>0</v>
      </c>
      <c r="BH1272" s="19" t="str">
        <f aca="false">IF(BG1272=0,"",IF(BG1272&lt;&gt;BA1272,"erreur de calcul",IF(BD1272&lt;&gt;0,"pas de prix",IF(M1272&lt;&gt; 0,"pas de quantité","pas de prix, ni de quantité"))))</f>
        <v/>
      </c>
      <c r="BI1272" s="19"/>
    </row>
    <row r="1273" customFormat="false" ht="15" hidden="false" customHeight="false" outlineLevel="0" collapsed="false">
      <c r="A1273" s="0" t="n">
        <v>10</v>
      </c>
      <c r="B1273" s="8" t="s">
        <v>24</v>
      </c>
      <c r="C1273" s="9" t="s">
        <v>25</v>
      </c>
      <c r="D1273" s="9" t="s">
        <v>26</v>
      </c>
      <c r="E1273" s="10" t="n">
        <v>1789</v>
      </c>
      <c r="F1273" s="9" t="s">
        <v>27</v>
      </c>
      <c r="G1273" s="9" t="s">
        <v>27</v>
      </c>
      <c r="H1273" s="11" t="n">
        <v>24</v>
      </c>
      <c r="I1273" s="11" t="s">
        <v>299</v>
      </c>
      <c r="J1273" s="14" t="n">
        <v>16</v>
      </c>
      <c r="K1273" s="14"/>
      <c r="L1273" s="16"/>
      <c r="M1273" s="27" t="n">
        <f aca="false">J1273+(K1273/20)+(L1273/240)</f>
        <v>16</v>
      </c>
      <c r="N1273" s="17" t="s">
        <v>64</v>
      </c>
      <c r="O1273" s="11"/>
      <c r="P1273" s="28" t="n">
        <f aca="false">20*288*0.02+252*0.02</f>
        <v>120.24</v>
      </c>
      <c r="Q1273" s="28" t="n">
        <v>1924</v>
      </c>
      <c r="R1273" s="28"/>
      <c r="S1273" s="28" t="n">
        <f aca="false">R1273*$M1273</f>
        <v>0</v>
      </c>
      <c r="T1273" s="28"/>
      <c r="U1273" s="28" t="n">
        <f aca="false">T1273*$M1273</f>
        <v>0</v>
      </c>
      <c r="V1273" s="28" t="n">
        <f aca="false">16*288*0.02+15*0.02</f>
        <v>92.46</v>
      </c>
      <c r="W1273" s="28" t="n">
        <v>1479</v>
      </c>
      <c r="X1273" s="28" t="n">
        <f aca="false">25*288*0.02+152*0.02</f>
        <v>147.04</v>
      </c>
      <c r="Y1273" s="28" t="n">
        <v>2353</v>
      </c>
      <c r="Z1273" s="28"/>
      <c r="AA1273" s="28" t="n">
        <f aca="false">Z1273*$M1273</f>
        <v>0</v>
      </c>
      <c r="AB1273" s="28" t="n">
        <f aca="false">127*288*0.02+236*0.02</f>
        <v>736.24</v>
      </c>
      <c r="AC1273" s="28" t="n">
        <v>11780</v>
      </c>
      <c r="AD1273" s="28"/>
      <c r="AE1273" s="28" t="n">
        <f aca="false">AD1273*$M1273</f>
        <v>0</v>
      </c>
      <c r="AF1273" s="28"/>
      <c r="AG1273" s="28" t="n">
        <f aca="false">AF1273*$M1273</f>
        <v>0</v>
      </c>
      <c r="AH1273" s="28"/>
      <c r="AI1273" s="28" t="n">
        <f aca="false">AH1273*$M1273</f>
        <v>0</v>
      </c>
      <c r="AJ1273" s="28"/>
      <c r="AK1273" s="28" t="n">
        <f aca="false">AJ1273*$M1273</f>
        <v>0</v>
      </c>
      <c r="AL1273" s="28"/>
      <c r="AM1273" s="28" t="n">
        <f aca="false">AL1273*$M1273</f>
        <v>0</v>
      </c>
      <c r="AN1273" s="28"/>
      <c r="AO1273" s="28" t="n">
        <f aca="false">AN1273*$M1273</f>
        <v>0</v>
      </c>
      <c r="AP1273" s="28"/>
      <c r="AQ1273" s="28" t="n">
        <f aca="false">AP1273*$M1273</f>
        <v>0</v>
      </c>
      <c r="AR1273" s="28"/>
      <c r="AS1273" s="28" t="n">
        <f aca="false">AR1273*$M1273</f>
        <v>0</v>
      </c>
      <c r="AT1273" s="28"/>
      <c r="AU1273" s="28" t="n">
        <f aca="false">AT1273*$M1273</f>
        <v>0</v>
      </c>
      <c r="AV1273" s="28"/>
      <c r="AW1273" s="28" t="n">
        <f aca="false">AV1273*$M1273</f>
        <v>0</v>
      </c>
      <c r="AX1273" s="28"/>
      <c r="AY1273" s="28" t="n">
        <f aca="false">AX1273*$M1273</f>
        <v>0</v>
      </c>
      <c r="AZ1273" s="30" t="n">
        <f aca="false">190*288*0.02+82*0.02</f>
        <v>1096.04</v>
      </c>
      <c r="BA1273" s="11" t="n">
        <v>17536</v>
      </c>
      <c r="BB1273" s="31" t="n">
        <f aca="false">SUM(Q1273,S1273,U1273,W1273,Y1273,AA1273,AC1273,AE1273,AG1273,AI1273,AK1273,AM1273,AO1273,AQ1273,AS1273,AU1273,AW1273,AY1273)</f>
        <v>17536</v>
      </c>
      <c r="BC1273" s="28" t="n">
        <f aca="false">BA1273-BB1273</f>
        <v>0</v>
      </c>
      <c r="BD1273" s="32" t="n">
        <f aca="false">SUM(P1273,R1273,T1273,V1273,X1273,Z1273,AB1273,AD1273,AF1273,AH1273,AJ1273,AL1273,AN1273,AP1273,AR1273,AT1273,AV1273,AX1273)</f>
        <v>1095.98</v>
      </c>
      <c r="BE1273" s="33" t="n">
        <f aca="false">AZ1273-BD1273</f>
        <v>0.0600000000001728</v>
      </c>
      <c r="BF1273" s="34" t="n">
        <f aca="false">BD1273*M1273</f>
        <v>17535.68</v>
      </c>
      <c r="BG1273" s="35" t="n">
        <f aca="false">BA1273-BF1273</f>
        <v>0.319999999999709</v>
      </c>
      <c r="BH1273" s="19" t="str">
        <f aca="false">IF(BG1273=0,"",IF(BG1273&lt;&gt;BA1273,"erreur de calcul",IF(BD1273&lt;&gt;0,"pas de prix",IF(M1273&lt;&gt; 0,"pas de quantité","pas de prix, ni de quantité"))))</f>
        <v>erreur de calcul</v>
      </c>
      <c r="BI1273" s="19"/>
    </row>
    <row r="1274" customFormat="false" ht="15" hidden="false" customHeight="false" outlineLevel="0" collapsed="false">
      <c r="A1274" s="0" t="n">
        <v>11</v>
      </c>
      <c r="B1274" s="8" t="s">
        <v>24</v>
      </c>
      <c r="C1274" s="9" t="s">
        <v>25</v>
      </c>
      <c r="D1274" s="9" t="s">
        <v>26</v>
      </c>
      <c r="E1274" s="10" t="n">
        <v>1789</v>
      </c>
      <c r="F1274" s="9" t="s">
        <v>27</v>
      </c>
      <c r="G1274" s="9" t="s">
        <v>27</v>
      </c>
      <c r="H1274" s="11" t="n">
        <v>24</v>
      </c>
      <c r="I1274" s="11" t="s">
        <v>300</v>
      </c>
      <c r="J1274" s="14" t="n">
        <v>360</v>
      </c>
      <c r="K1274" s="14"/>
      <c r="L1274" s="16"/>
      <c r="M1274" s="27" t="n">
        <f aca="false">J1274+(K1274/20)+(L1274/240)</f>
        <v>360</v>
      </c>
      <c r="N1274" s="17" t="s">
        <v>64</v>
      </c>
      <c r="O1274" s="11"/>
      <c r="P1274" s="28"/>
      <c r="Q1274" s="28" t="n">
        <f aca="false">P1274*$M1274</f>
        <v>0</v>
      </c>
      <c r="R1274" s="28"/>
      <c r="S1274" s="28" t="n">
        <f aca="false">R1274*$M1274</f>
        <v>0</v>
      </c>
      <c r="T1274" s="28"/>
      <c r="U1274" s="28" t="n">
        <f aca="false">T1274*$M1274</f>
        <v>0</v>
      </c>
      <c r="V1274" s="28"/>
      <c r="W1274" s="28" t="n">
        <f aca="false">V1274*$M1274</f>
        <v>0</v>
      </c>
      <c r="X1274" s="28"/>
      <c r="Y1274" s="28" t="n">
        <f aca="false">X1274*$M1274</f>
        <v>0</v>
      </c>
      <c r="Z1274" s="28"/>
      <c r="AA1274" s="28" t="n">
        <f aca="false">Z1274*$M1274</f>
        <v>0</v>
      </c>
      <c r="AB1274" s="28"/>
      <c r="AC1274" s="28" t="n">
        <f aca="false">AB1274*$M1274</f>
        <v>0</v>
      </c>
      <c r="AD1274" s="28"/>
      <c r="AE1274" s="28" t="n">
        <f aca="false">AD1274*$M1274</f>
        <v>0</v>
      </c>
      <c r="AF1274" s="28"/>
      <c r="AG1274" s="28" t="n">
        <f aca="false">AF1274*$M1274</f>
        <v>0</v>
      </c>
      <c r="AH1274" s="28" t="n">
        <f aca="false">371073/100</f>
        <v>3710.73</v>
      </c>
      <c r="AI1274" s="28" t="n">
        <v>1335863</v>
      </c>
      <c r="AJ1274" s="28"/>
      <c r="AK1274" s="28" t="n">
        <f aca="false">AJ1274*$M1274</f>
        <v>0</v>
      </c>
      <c r="AL1274" s="28"/>
      <c r="AM1274" s="28" t="n">
        <f aca="false">AL1274*$M1274</f>
        <v>0</v>
      </c>
      <c r="AN1274" s="28"/>
      <c r="AO1274" s="28" t="n">
        <f aca="false">AN1274*$M1274</f>
        <v>0</v>
      </c>
      <c r="AP1274" s="28"/>
      <c r="AQ1274" s="28" t="n">
        <f aca="false">AP1274*$M1274</f>
        <v>0</v>
      </c>
      <c r="AR1274" s="28"/>
      <c r="AS1274" s="28" t="n">
        <f aca="false">AR1274*$M1274</f>
        <v>0</v>
      </c>
      <c r="AT1274" s="28"/>
      <c r="AU1274" s="28" t="n">
        <f aca="false">AT1274*$M1274</f>
        <v>0</v>
      </c>
      <c r="AV1274" s="28"/>
      <c r="AW1274" s="28" t="n">
        <f aca="false">AV1274*$M1274</f>
        <v>0</v>
      </c>
      <c r="AX1274" s="28"/>
      <c r="AY1274" s="28" t="n">
        <f aca="false">AX1274*$M1274</f>
        <v>0</v>
      </c>
      <c r="AZ1274" s="30" t="n">
        <f aca="false">371073/100</f>
        <v>3710.73</v>
      </c>
      <c r="BA1274" s="11" t="n">
        <v>1335863</v>
      </c>
      <c r="BB1274" s="31" t="n">
        <f aca="false">SUM(Q1274,S1274,U1274,W1274,Y1274,AA1274,AC1274,AE1274,AG1274,AI1274,AK1274,AM1274,AO1274,AQ1274,AS1274,AU1274,AW1274,AY1274)</f>
        <v>1335863</v>
      </c>
      <c r="BC1274" s="28" t="n">
        <f aca="false">BA1274-BB1274</f>
        <v>0</v>
      </c>
      <c r="BD1274" s="32" t="n">
        <f aca="false">SUM(P1274,R1274,T1274,V1274,X1274,Z1274,AB1274,AD1274,AF1274,AH1274,AJ1274,AL1274,AN1274,AP1274,AR1274,AT1274,AV1274,AX1274)</f>
        <v>3710.73</v>
      </c>
      <c r="BE1274" s="33" t="n">
        <f aca="false">AZ1274-BD1274</f>
        <v>0</v>
      </c>
      <c r="BF1274" s="34" t="n">
        <f aca="false">BD1274*M1274</f>
        <v>1335862.8</v>
      </c>
      <c r="BG1274" s="35" t="n">
        <f aca="false">BA1274-BF1274</f>
        <v>0.199999999953434</v>
      </c>
      <c r="BH1274" s="19" t="str">
        <f aca="false">IF(BG1274=0,"",IF(BG1274&lt;&gt;BA1274,"erreur de calcul",IF(BD1274&lt;&gt;0,"pas de prix",IF(M1274&lt;&gt; 0,"pas de quantité","pas de prix, ni de quantité"))))</f>
        <v>erreur de calcul</v>
      </c>
      <c r="BI1274" s="19"/>
    </row>
    <row r="1275" customFormat="false" ht="15" hidden="false" customHeight="false" outlineLevel="0" collapsed="false">
      <c r="A1275" s="0" t="n">
        <v>12</v>
      </c>
      <c r="B1275" s="8" t="s">
        <v>24</v>
      </c>
      <c r="C1275" s="9" t="s">
        <v>25</v>
      </c>
      <c r="D1275" s="9" t="s">
        <v>26</v>
      </c>
      <c r="E1275" s="10" t="n">
        <v>1789</v>
      </c>
      <c r="F1275" s="9" t="s">
        <v>27</v>
      </c>
      <c r="G1275" s="9" t="s">
        <v>27</v>
      </c>
      <c r="H1275" s="11" t="n">
        <v>24</v>
      </c>
      <c r="I1275" s="11" t="s">
        <v>301</v>
      </c>
      <c r="J1275" s="14" t="n">
        <v>3</v>
      </c>
      <c r="K1275" s="14"/>
      <c r="L1275" s="16"/>
      <c r="M1275" s="27" t="n">
        <f aca="false">J1275+(K1275/20)+(L1275/240)</f>
        <v>3</v>
      </c>
      <c r="N1275" s="17" t="s">
        <v>66</v>
      </c>
      <c r="O1275" s="11"/>
      <c r="P1275" s="28"/>
      <c r="Q1275" s="28" t="n">
        <f aca="false">P1275*$M1275</f>
        <v>0</v>
      </c>
      <c r="R1275" s="28"/>
      <c r="S1275" s="28" t="n">
        <f aca="false">R1275*$M1275</f>
        <v>0</v>
      </c>
      <c r="T1275" s="28"/>
      <c r="U1275" s="28" t="n">
        <f aca="false">T1275*$M1275</f>
        <v>0</v>
      </c>
      <c r="V1275" s="28"/>
      <c r="W1275" s="28" t="n">
        <f aca="false">V1275*$M1275</f>
        <v>0</v>
      </c>
      <c r="X1275" s="28"/>
      <c r="Y1275" s="28" t="n">
        <f aca="false">X1275*$M1275</f>
        <v>0</v>
      </c>
      <c r="Z1275" s="28"/>
      <c r="AA1275" s="28" t="n">
        <f aca="false">Z1275*$M1275</f>
        <v>0</v>
      </c>
      <c r="AB1275" s="28"/>
      <c r="AC1275" s="28" t="n">
        <f aca="false">AB1275*$M1275</f>
        <v>0</v>
      </c>
      <c r="AD1275" s="28"/>
      <c r="AE1275" s="28" t="n">
        <f aca="false">AD1275*$M1275</f>
        <v>0</v>
      </c>
      <c r="AF1275" s="28"/>
      <c r="AG1275" s="28" t="n">
        <f aca="false">AF1275*$M1275</f>
        <v>0</v>
      </c>
      <c r="AH1275" s="28" t="n">
        <v>19281</v>
      </c>
      <c r="AI1275" s="28" t="n">
        <v>57843</v>
      </c>
      <c r="AJ1275" s="28"/>
      <c r="AK1275" s="28" t="n">
        <f aca="false">AJ1275*$M1275</f>
        <v>0</v>
      </c>
      <c r="AL1275" s="28"/>
      <c r="AM1275" s="28" t="n">
        <f aca="false">AL1275*$M1275</f>
        <v>0</v>
      </c>
      <c r="AN1275" s="28"/>
      <c r="AO1275" s="28" t="n">
        <f aca="false">AN1275*$M1275</f>
        <v>0</v>
      </c>
      <c r="AP1275" s="28"/>
      <c r="AQ1275" s="28" t="n">
        <f aca="false">AP1275*$M1275</f>
        <v>0</v>
      </c>
      <c r="AR1275" s="28"/>
      <c r="AS1275" s="28" t="n">
        <f aca="false">AR1275*$M1275</f>
        <v>0</v>
      </c>
      <c r="AT1275" s="28"/>
      <c r="AU1275" s="28" t="n">
        <f aca="false">AT1275*$M1275</f>
        <v>0</v>
      </c>
      <c r="AV1275" s="28"/>
      <c r="AW1275" s="28" t="n">
        <f aca="false">AV1275*$M1275</f>
        <v>0</v>
      </c>
      <c r="AX1275" s="28"/>
      <c r="AY1275" s="28" t="n">
        <f aca="false">AX1275*$M1275</f>
        <v>0</v>
      </c>
      <c r="AZ1275" s="30" t="n">
        <v>19281</v>
      </c>
      <c r="BA1275" s="11" t="n">
        <v>57843</v>
      </c>
      <c r="BB1275" s="31" t="n">
        <f aca="false">SUM(Q1275,S1275,U1275,W1275,Y1275,AA1275,AC1275,AE1275,AG1275,AI1275,AK1275,AM1275,AO1275,AQ1275,AS1275,AU1275,AW1275,AY1275)</f>
        <v>57843</v>
      </c>
      <c r="BC1275" s="28" t="n">
        <f aca="false">BA1275-BB1275</f>
        <v>0</v>
      </c>
      <c r="BD1275" s="32" t="n">
        <f aca="false">SUM(P1275,R1275,T1275,V1275,X1275,Z1275,AB1275,AD1275,AF1275,AH1275,AJ1275,AL1275,AN1275,AP1275,AR1275,AT1275,AV1275,AX1275)</f>
        <v>19281</v>
      </c>
      <c r="BE1275" s="33" t="n">
        <f aca="false">AZ1275-BD1275</f>
        <v>0</v>
      </c>
      <c r="BF1275" s="34" t="n">
        <f aca="false">BD1275*M1275</f>
        <v>57843</v>
      </c>
      <c r="BG1275" s="35" t="n">
        <f aca="false">BA1275-BF1275</f>
        <v>0</v>
      </c>
      <c r="BH1275" s="19" t="str">
        <f aca="false">IF(BG1275=0,"",IF(BG1275&lt;&gt;BA1275,"erreur de calcul",IF(BD1275&lt;&gt;0,"pas de prix",IF(M1275&lt;&gt; 0,"pas de quantité","pas de prix, ni de quantité"))))</f>
        <v/>
      </c>
      <c r="BI1275" s="19"/>
    </row>
    <row r="1276" customFormat="false" ht="15" hidden="false" customHeight="false" outlineLevel="0" collapsed="false">
      <c r="A1276" s="0" t="n">
        <v>13</v>
      </c>
      <c r="B1276" s="8" t="s">
        <v>24</v>
      </c>
      <c r="C1276" s="9" t="s">
        <v>25</v>
      </c>
      <c r="D1276" s="9" t="s">
        <v>26</v>
      </c>
      <c r="E1276" s="10" t="n">
        <v>1789</v>
      </c>
      <c r="F1276" s="9" t="s">
        <v>27</v>
      </c>
      <c r="G1276" s="9" t="s">
        <v>27</v>
      </c>
      <c r="H1276" s="11" t="n">
        <v>24</v>
      </c>
      <c r="I1276" s="11" t="s">
        <v>302</v>
      </c>
      <c r="J1276" s="14" t="n">
        <v>112</v>
      </c>
      <c r="K1276" s="14"/>
      <c r="L1276" s="16"/>
      <c r="M1276" s="27" t="n">
        <f aca="false">J1276+(K1276/20)+(L1276/240)</f>
        <v>112</v>
      </c>
      <c r="N1276" s="17" t="s">
        <v>64</v>
      </c>
      <c r="O1276" s="11"/>
      <c r="P1276" s="28" t="n">
        <f aca="false">99503/100</f>
        <v>995.03</v>
      </c>
      <c r="Q1276" s="28" t="n">
        <v>111443</v>
      </c>
      <c r="R1276" s="28"/>
      <c r="S1276" s="28" t="n">
        <f aca="false">R1276*$M1276</f>
        <v>0</v>
      </c>
      <c r="T1276" s="28" t="n">
        <f aca="false">8445/100</f>
        <v>84.45</v>
      </c>
      <c r="U1276" s="28" t="n">
        <v>9458</v>
      </c>
      <c r="V1276" s="28" t="n">
        <f aca="false">2517/100</f>
        <v>25.17</v>
      </c>
      <c r="W1276" s="28" t="n">
        <v>2819</v>
      </c>
      <c r="X1276" s="28" t="n">
        <f aca="false">4729/100</f>
        <v>47.29</v>
      </c>
      <c r="Y1276" s="28" t="n">
        <v>5296</v>
      </c>
      <c r="Z1276" s="28" t="n">
        <f aca="false">198115/100</f>
        <v>1981.15</v>
      </c>
      <c r="AA1276" s="28" t="n">
        <v>221889</v>
      </c>
      <c r="AB1276" s="28"/>
      <c r="AC1276" s="28" t="n">
        <f aca="false">AB1276*$M1276</f>
        <v>0</v>
      </c>
      <c r="AD1276" s="28"/>
      <c r="AE1276" s="28" t="n">
        <f aca="false">AD1276*$M1276</f>
        <v>0</v>
      </c>
      <c r="AF1276" s="28" t="n">
        <f aca="false">67420/100</f>
        <v>674.2</v>
      </c>
      <c r="AG1276" s="28" t="n">
        <v>75510</v>
      </c>
      <c r="AH1276" s="28" t="n">
        <f aca="false">415806/100</f>
        <v>4158.06</v>
      </c>
      <c r="AI1276" s="28" t="n">
        <v>465703</v>
      </c>
      <c r="AJ1276" s="28"/>
      <c r="AK1276" s="28" t="n">
        <f aca="false">AJ1276*$M1276</f>
        <v>0</v>
      </c>
      <c r="AL1276" s="28" t="n">
        <f aca="false">324/100</f>
        <v>3.24</v>
      </c>
      <c r="AM1276" s="28" t="n">
        <v>363</v>
      </c>
      <c r="AN1276" s="28"/>
      <c r="AO1276" s="28" t="n">
        <f aca="false">AN1276*$M1276</f>
        <v>0</v>
      </c>
      <c r="AP1276" s="28"/>
      <c r="AQ1276" s="28" t="n">
        <f aca="false">AP1276*$M1276</f>
        <v>0</v>
      </c>
      <c r="AR1276" s="28"/>
      <c r="AS1276" s="28" t="n">
        <f aca="false">AR1276*$M1276</f>
        <v>0</v>
      </c>
      <c r="AT1276" s="28"/>
      <c r="AU1276" s="28" t="n">
        <f aca="false">AT1276*$M1276</f>
        <v>0</v>
      </c>
      <c r="AV1276" s="28"/>
      <c r="AW1276" s="28" t="n">
        <f aca="false">AV1276*$M1276</f>
        <v>0</v>
      </c>
      <c r="AX1276" s="28"/>
      <c r="AY1276" s="28" t="n">
        <f aca="false">AX1276*$M1276</f>
        <v>0</v>
      </c>
      <c r="AZ1276" s="30" t="n">
        <f aca="false">796859/100</f>
        <v>7968.59</v>
      </c>
      <c r="BA1276" s="11" t="n">
        <v>892481</v>
      </c>
      <c r="BB1276" s="31" t="n">
        <f aca="false">SUM(Q1276,S1276,U1276,W1276,Y1276,AA1276,AC1276,AE1276,AG1276,AI1276,AK1276,AM1276,AO1276,AQ1276,AS1276,AU1276,AW1276,AY1276)</f>
        <v>892481</v>
      </c>
      <c r="BC1276" s="28" t="n">
        <f aca="false">BA1276-BB1276</f>
        <v>0</v>
      </c>
      <c r="BD1276" s="32" t="n">
        <f aca="false">SUM(P1276,R1276,T1276,V1276,X1276,Z1276,AB1276,AD1276,AF1276,AH1276,AJ1276,AL1276,AN1276,AP1276,AR1276,AT1276,AV1276,AX1276)</f>
        <v>7968.59</v>
      </c>
      <c r="BE1276" s="33" t="n">
        <f aca="false">AZ1276-BD1276</f>
        <v>0</v>
      </c>
      <c r="BF1276" s="34" t="n">
        <f aca="false">BD1276*M1276</f>
        <v>892482.08</v>
      </c>
      <c r="BG1276" s="35" t="n">
        <f aca="false">BA1276-BF1276</f>
        <v>-1.07999999995809</v>
      </c>
      <c r="BH1276" s="19" t="str">
        <f aca="false">IF(BG1276=0,"",IF(BG1276&lt;&gt;BA1276,"erreur de calcul",IF(BD1276&lt;&gt;0,"pas de prix",IF(M1276&lt;&gt; 0,"pas de quantité","pas de prix, ni de quantité"))))</f>
        <v>erreur de calcul</v>
      </c>
      <c r="BI1276" s="19"/>
    </row>
    <row r="1277" customFormat="false" ht="15" hidden="false" customHeight="false" outlineLevel="0" collapsed="false">
      <c r="A1277" s="0" t="n">
        <v>14</v>
      </c>
      <c r="B1277" s="8" t="s">
        <v>24</v>
      </c>
      <c r="C1277" s="9" t="s">
        <v>25</v>
      </c>
      <c r="D1277" s="9" t="s">
        <v>26</v>
      </c>
      <c r="E1277" s="10" t="n">
        <v>1789</v>
      </c>
      <c r="F1277" s="9" t="s">
        <v>27</v>
      </c>
      <c r="G1277" s="9" t="s">
        <v>27</v>
      </c>
      <c r="H1277" s="11" t="n">
        <v>24</v>
      </c>
      <c r="I1277" s="11" t="s">
        <v>303</v>
      </c>
      <c r="J1277" s="14" t="n">
        <v>50</v>
      </c>
      <c r="K1277" s="14"/>
      <c r="L1277" s="16"/>
      <c r="M1277" s="27" t="n">
        <f aca="false">J1277+(K1277/20)+(L1277/240)</f>
        <v>50</v>
      </c>
      <c r="N1277" s="17" t="s">
        <v>64</v>
      </c>
      <c r="O1277" s="11"/>
      <c r="P1277" s="28"/>
      <c r="Q1277" s="28" t="n">
        <f aca="false">P1277*$M1277</f>
        <v>0</v>
      </c>
      <c r="R1277" s="28"/>
      <c r="S1277" s="28" t="n">
        <f aca="false">R1277*$M1277</f>
        <v>0</v>
      </c>
      <c r="T1277" s="28"/>
      <c r="U1277" s="28" t="n">
        <f aca="false">T1277*$M1277</f>
        <v>0</v>
      </c>
      <c r="V1277" s="28"/>
      <c r="W1277" s="28" t="n">
        <f aca="false">V1277*$M1277</f>
        <v>0</v>
      </c>
      <c r="X1277" s="28"/>
      <c r="Y1277" s="28" t="n">
        <f aca="false">X1277*$M1277</f>
        <v>0</v>
      </c>
      <c r="Z1277" s="28"/>
      <c r="AA1277" s="28" t="n">
        <f aca="false">Z1277*$M1277</f>
        <v>0</v>
      </c>
      <c r="AB1277" s="28"/>
      <c r="AC1277" s="28" t="n">
        <f aca="false">AB1277*$M1277</f>
        <v>0</v>
      </c>
      <c r="AD1277" s="28"/>
      <c r="AE1277" s="28" t="n">
        <f aca="false">AD1277*$M1277</f>
        <v>0</v>
      </c>
      <c r="AF1277" s="28" t="n">
        <f aca="false">208461/100</f>
        <v>2084.61</v>
      </c>
      <c r="AG1277" s="28" t="n">
        <v>104230</v>
      </c>
      <c r="AH1277" s="28" t="n">
        <f aca="false">757624/100</f>
        <v>7576.24</v>
      </c>
      <c r="AI1277" s="28" t="n">
        <v>378812</v>
      </c>
      <c r="AJ1277" s="28"/>
      <c r="AK1277" s="28" t="n">
        <f aca="false">AJ1277*$M1277</f>
        <v>0</v>
      </c>
      <c r="AL1277" s="28"/>
      <c r="AM1277" s="28" t="n">
        <f aca="false">AL1277*$M1277</f>
        <v>0</v>
      </c>
      <c r="AN1277" s="28"/>
      <c r="AO1277" s="28" t="n">
        <f aca="false">AN1277*$M1277</f>
        <v>0</v>
      </c>
      <c r="AP1277" s="28"/>
      <c r="AQ1277" s="28" t="n">
        <f aca="false">AP1277*$M1277</f>
        <v>0</v>
      </c>
      <c r="AR1277" s="28"/>
      <c r="AS1277" s="28" t="n">
        <f aca="false">AR1277*$M1277</f>
        <v>0</v>
      </c>
      <c r="AT1277" s="28"/>
      <c r="AU1277" s="28" t="n">
        <f aca="false">AT1277*$M1277</f>
        <v>0</v>
      </c>
      <c r="AV1277" s="28"/>
      <c r="AW1277" s="28" t="n">
        <f aca="false">AV1277*$M1277</f>
        <v>0</v>
      </c>
      <c r="AX1277" s="28"/>
      <c r="AY1277" s="28" t="n">
        <f aca="false">AX1277*$M1277</f>
        <v>0</v>
      </c>
      <c r="AZ1277" s="30" t="n">
        <f aca="false">966085/100</f>
        <v>9660.85</v>
      </c>
      <c r="BA1277" s="11" t="n">
        <v>483042</v>
      </c>
      <c r="BB1277" s="31" t="n">
        <f aca="false">SUM(Q1277,S1277,U1277,W1277,Y1277,AA1277,AC1277,AE1277,AG1277,AI1277,AK1277,AM1277,AO1277,AQ1277,AS1277,AU1277,AW1277,AY1277)</f>
        <v>483042</v>
      </c>
      <c r="BC1277" s="28" t="n">
        <f aca="false">BA1277-BB1277</f>
        <v>0</v>
      </c>
      <c r="BD1277" s="32" t="n">
        <f aca="false">SUM(P1277,R1277,T1277,V1277,X1277,Z1277,AB1277,AD1277,AF1277,AH1277,AJ1277,AL1277,AN1277,AP1277,AR1277,AT1277,AV1277,AX1277)</f>
        <v>9660.85</v>
      </c>
      <c r="BE1277" s="33" t="n">
        <f aca="false">AZ1277-BD1277</f>
        <v>0</v>
      </c>
      <c r="BF1277" s="34" t="n">
        <f aca="false">BD1277*M1277</f>
        <v>483042.5</v>
      </c>
      <c r="BG1277" s="35" t="n">
        <f aca="false">BA1277-BF1277</f>
        <v>-0.5</v>
      </c>
      <c r="BH1277" s="19" t="str">
        <f aca="false">IF(BG1277=0,"",IF(BG1277&lt;&gt;BA1277,"erreur de calcul",IF(BD1277&lt;&gt;0,"pas de prix",IF(M1277&lt;&gt; 0,"pas de quantité","pas de prix, ni de quantité"))))</f>
        <v>erreur de calcul</v>
      </c>
      <c r="BI1277" s="19"/>
    </row>
    <row r="1278" customFormat="false" ht="15" hidden="false" customHeight="false" outlineLevel="0" collapsed="false">
      <c r="A1278" s="0" t="n">
        <v>15</v>
      </c>
      <c r="B1278" s="8" t="s">
        <v>24</v>
      </c>
      <c r="C1278" s="9" t="s">
        <v>25</v>
      </c>
      <c r="D1278" s="9" t="s">
        <v>26</v>
      </c>
      <c r="E1278" s="10" t="n">
        <v>1789</v>
      </c>
      <c r="F1278" s="9" t="s">
        <v>27</v>
      </c>
      <c r="G1278" s="9" t="s">
        <v>27</v>
      </c>
      <c r="H1278" s="11" t="n">
        <v>24</v>
      </c>
      <c r="I1278" s="11" t="s">
        <v>304</v>
      </c>
      <c r="J1278" s="14" t="n">
        <v>340</v>
      </c>
      <c r="K1278" s="14"/>
      <c r="L1278" s="16"/>
      <c r="M1278" s="27" t="n">
        <f aca="false">J1278+(K1278/20)+(L1278/240)</f>
        <v>340</v>
      </c>
      <c r="N1278" s="17" t="s">
        <v>64</v>
      </c>
      <c r="O1278" s="11"/>
      <c r="P1278" s="28"/>
      <c r="Q1278" s="28" t="n">
        <f aca="false">P1278*$M1278</f>
        <v>0</v>
      </c>
      <c r="R1278" s="28"/>
      <c r="S1278" s="28" t="n">
        <f aca="false">R1278*$M1278</f>
        <v>0</v>
      </c>
      <c r="T1278" s="28"/>
      <c r="U1278" s="28" t="n">
        <f aca="false">T1278*$M1278</f>
        <v>0</v>
      </c>
      <c r="V1278" s="28"/>
      <c r="W1278" s="28" t="n">
        <f aca="false">V1278*$M1278</f>
        <v>0</v>
      </c>
      <c r="X1278" s="28"/>
      <c r="Y1278" s="28" t="n">
        <f aca="false">X1278*$M1278</f>
        <v>0</v>
      </c>
      <c r="Z1278" s="28"/>
      <c r="AA1278" s="28" t="n">
        <f aca="false">Z1278*$M1278</f>
        <v>0</v>
      </c>
      <c r="AB1278" s="28" t="n">
        <f aca="false">339883/100</f>
        <v>3398.83</v>
      </c>
      <c r="AC1278" s="28" t="n">
        <v>1155602</v>
      </c>
      <c r="AD1278" s="28"/>
      <c r="AE1278" s="28" t="n">
        <f aca="false">AD1278*$M1278</f>
        <v>0</v>
      </c>
      <c r="AF1278" s="28"/>
      <c r="AG1278" s="28" t="n">
        <f aca="false">AF1278*$M1278</f>
        <v>0</v>
      </c>
      <c r="AH1278" s="28"/>
      <c r="AI1278" s="28" t="n">
        <f aca="false">AH1278*$M1278</f>
        <v>0</v>
      </c>
      <c r="AJ1278" s="28"/>
      <c r="AK1278" s="28" t="n">
        <f aca="false">AJ1278*$M1278</f>
        <v>0</v>
      </c>
      <c r="AL1278" s="28"/>
      <c r="AM1278" s="28" t="n">
        <f aca="false">AL1278*$M1278</f>
        <v>0</v>
      </c>
      <c r="AN1278" s="28"/>
      <c r="AO1278" s="28" t="n">
        <f aca="false">AN1278*$M1278</f>
        <v>0</v>
      </c>
      <c r="AP1278" s="28"/>
      <c r="AQ1278" s="28" t="n">
        <f aca="false">AP1278*$M1278</f>
        <v>0</v>
      </c>
      <c r="AR1278" s="28"/>
      <c r="AS1278" s="28" t="n">
        <f aca="false">AR1278*$M1278</f>
        <v>0</v>
      </c>
      <c r="AT1278" s="28"/>
      <c r="AU1278" s="28" t="n">
        <f aca="false">AT1278*$M1278</f>
        <v>0</v>
      </c>
      <c r="AV1278" s="28"/>
      <c r="AW1278" s="28" t="n">
        <f aca="false">AV1278*$M1278</f>
        <v>0</v>
      </c>
      <c r="AX1278" s="28"/>
      <c r="AY1278" s="28" t="n">
        <f aca="false">AX1278*$M1278</f>
        <v>0</v>
      </c>
      <c r="AZ1278" s="30" t="n">
        <f aca="false">339883/100</f>
        <v>3398.83</v>
      </c>
      <c r="BA1278" s="11" t="n">
        <v>1155602</v>
      </c>
      <c r="BB1278" s="31" t="n">
        <f aca="false">SUM(Q1278,S1278,U1278,W1278,Y1278,AA1278,AC1278,AE1278,AG1278,AI1278,AK1278,AM1278,AO1278,AQ1278,AS1278,AU1278,AW1278,AY1278)</f>
        <v>1155602</v>
      </c>
      <c r="BC1278" s="28" t="n">
        <f aca="false">BA1278-BB1278</f>
        <v>0</v>
      </c>
      <c r="BD1278" s="32" t="n">
        <f aca="false">SUM(P1278,R1278,T1278,V1278,X1278,Z1278,AB1278,AD1278,AF1278,AH1278,AJ1278,AL1278,AN1278,AP1278,AR1278,AT1278,AV1278,AX1278)</f>
        <v>3398.83</v>
      </c>
      <c r="BE1278" s="33" t="n">
        <f aca="false">AZ1278-BD1278</f>
        <v>0</v>
      </c>
      <c r="BF1278" s="34" t="n">
        <f aca="false">BD1278*M1278</f>
        <v>1155602.2</v>
      </c>
      <c r="BG1278" s="35" t="n">
        <f aca="false">BA1278-BF1278</f>
        <v>-0.199999999953434</v>
      </c>
      <c r="BH1278" s="19" t="str">
        <f aca="false">IF(BG1278=0,"",IF(BG1278&lt;&gt;BA1278,"erreur de calcul",IF(BD1278&lt;&gt;0,"pas de prix",IF(M1278&lt;&gt; 0,"pas de quantité","pas de prix, ni de quantité"))))</f>
        <v>erreur de calcul</v>
      </c>
      <c r="BI1278" s="19"/>
    </row>
    <row r="1279" customFormat="false" ht="15" hidden="false" customHeight="false" outlineLevel="0" collapsed="false">
      <c r="A1279" s="0" t="n">
        <v>16</v>
      </c>
      <c r="B1279" s="8" t="s">
        <v>24</v>
      </c>
      <c r="C1279" s="9" t="s">
        <v>25</v>
      </c>
      <c r="D1279" s="9" t="s">
        <v>26</v>
      </c>
      <c r="E1279" s="10" t="n">
        <v>1789</v>
      </c>
      <c r="F1279" s="9" t="s">
        <v>27</v>
      </c>
      <c r="G1279" s="9" t="s">
        <v>27</v>
      </c>
      <c r="H1279" s="11" t="n">
        <v>24</v>
      </c>
      <c r="I1279" s="11" t="s">
        <v>305</v>
      </c>
      <c r="J1279" s="14" t="n">
        <v>235</v>
      </c>
      <c r="K1279" s="14"/>
      <c r="L1279" s="16"/>
      <c r="M1279" s="27" t="n">
        <f aca="false">J1279+(K1279/20)+(L1279/240)</f>
        <v>235</v>
      </c>
      <c r="N1279" s="17" t="s">
        <v>64</v>
      </c>
      <c r="O1279" s="11"/>
      <c r="P1279" s="28" t="n">
        <f aca="false">34642/100</f>
        <v>346.42</v>
      </c>
      <c r="Q1279" s="28" t="n">
        <v>81409</v>
      </c>
      <c r="R1279" s="28"/>
      <c r="S1279" s="28" t="n">
        <f aca="false">R1279*$M1279</f>
        <v>0</v>
      </c>
      <c r="T1279" s="28"/>
      <c r="U1279" s="28" t="n">
        <f aca="false">T1279*$M1279</f>
        <v>0</v>
      </c>
      <c r="V1279" s="28"/>
      <c r="W1279" s="28" t="n">
        <f aca="false">V1279*$M1279</f>
        <v>0</v>
      </c>
      <c r="X1279" s="28"/>
      <c r="Y1279" s="28" t="n">
        <f aca="false">X1279*$M1279</f>
        <v>0</v>
      </c>
      <c r="Z1279" s="28"/>
      <c r="AA1279" s="28" t="n">
        <f aca="false">Z1279*$M1279</f>
        <v>0</v>
      </c>
      <c r="AB1279" s="28"/>
      <c r="AC1279" s="28" t="n">
        <f aca="false">AB1279*$M1279</f>
        <v>0</v>
      </c>
      <c r="AD1279" s="28"/>
      <c r="AE1279" s="28" t="n">
        <f aca="false">AD1279*$M1279</f>
        <v>0</v>
      </c>
      <c r="AF1279" s="28"/>
      <c r="AG1279" s="28" t="n">
        <f aca="false">AF1279*$M1279</f>
        <v>0</v>
      </c>
      <c r="AH1279" s="28"/>
      <c r="AI1279" s="28" t="n">
        <f aca="false">AH1279*$M1279</f>
        <v>0</v>
      </c>
      <c r="AJ1279" s="28"/>
      <c r="AK1279" s="28" t="n">
        <f aca="false">AJ1279*$M1279</f>
        <v>0</v>
      </c>
      <c r="AL1279" s="28"/>
      <c r="AM1279" s="28" t="n">
        <f aca="false">AL1279*$M1279</f>
        <v>0</v>
      </c>
      <c r="AN1279" s="28"/>
      <c r="AO1279" s="28" t="n">
        <f aca="false">AN1279*$M1279</f>
        <v>0</v>
      </c>
      <c r="AP1279" s="28"/>
      <c r="AQ1279" s="28" t="n">
        <f aca="false">AP1279*$M1279</f>
        <v>0</v>
      </c>
      <c r="AR1279" s="28"/>
      <c r="AS1279" s="28" t="n">
        <f aca="false">AR1279*$M1279</f>
        <v>0</v>
      </c>
      <c r="AT1279" s="28"/>
      <c r="AU1279" s="28" t="n">
        <f aca="false">AT1279*$M1279</f>
        <v>0</v>
      </c>
      <c r="AV1279" s="28"/>
      <c r="AW1279" s="28" t="n">
        <f aca="false">AV1279*$M1279</f>
        <v>0</v>
      </c>
      <c r="AX1279" s="28"/>
      <c r="AY1279" s="28" t="n">
        <f aca="false">AX1279*$M1279</f>
        <v>0</v>
      </c>
      <c r="AZ1279" s="30" t="n">
        <f aca="false">34642/100</f>
        <v>346.42</v>
      </c>
      <c r="BA1279" s="11" t="n">
        <v>81409</v>
      </c>
      <c r="BB1279" s="31" t="n">
        <f aca="false">SUM(Q1279,S1279,U1279,W1279,Y1279,AA1279,AC1279,AE1279,AG1279,AI1279,AK1279,AM1279,AO1279,AQ1279,AS1279,AU1279,AW1279,AY1279)</f>
        <v>81409</v>
      </c>
      <c r="BC1279" s="28" t="n">
        <f aca="false">BA1279-BB1279</f>
        <v>0</v>
      </c>
      <c r="BD1279" s="32" t="n">
        <f aca="false">SUM(P1279,R1279,T1279,V1279,X1279,Z1279,AB1279,AD1279,AF1279,AH1279,AJ1279,AL1279,AN1279,AP1279,AR1279,AT1279,AV1279,AX1279)</f>
        <v>346.42</v>
      </c>
      <c r="BE1279" s="33" t="n">
        <f aca="false">AZ1279-BD1279</f>
        <v>0</v>
      </c>
      <c r="BF1279" s="34" t="n">
        <f aca="false">BD1279*M1279</f>
        <v>81408.7</v>
      </c>
      <c r="BG1279" s="35" t="n">
        <f aca="false">BA1279-BF1279</f>
        <v>0.30000000000291</v>
      </c>
      <c r="BH1279" s="19" t="str">
        <f aca="false">IF(BG1279=0,"",IF(BG1279&lt;&gt;BA1279,"erreur de calcul",IF(BD1279&lt;&gt;0,"pas de prix",IF(M1279&lt;&gt; 0,"pas de quantité","pas de prix, ni de quantité"))))</f>
        <v>erreur de calcul</v>
      </c>
      <c r="BI1279" s="19"/>
    </row>
    <row r="1280" customFormat="false" ht="15" hidden="false" customHeight="false" outlineLevel="0" collapsed="false">
      <c r="A1280" s="0" t="n">
        <v>17</v>
      </c>
      <c r="B1280" s="8" t="s">
        <v>24</v>
      </c>
      <c r="C1280" s="9" t="s">
        <v>25</v>
      </c>
      <c r="D1280" s="9" t="s">
        <v>26</v>
      </c>
      <c r="E1280" s="10" t="n">
        <v>1789</v>
      </c>
      <c r="F1280" s="9" t="s">
        <v>27</v>
      </c>
      <c r="G1280" s="9" t="s">
        <v>27</v>
      </c>
      <c r="H1280" s="11" t="n">
        <v>24</v>
      </c>
      <c r="I1280" s="11" t="s">
        <v>306</v>
      </c>
      <c r="J1280" s="14" t="n">
        <v>71</v>
      </c>
      <c r="K1280" s="14"/>
      <c r="L1280" s="16"/>
      <c r="M1280" s="27" t="n">
        <f aca="false">J1280+(K1280/20)+(L1280/240)</f>
        <v>71</v>
      </c>
      <c r="N1280" s="17" t="s">
        <v>64</v>
      </c>
      <c r="O1280" s="11"/>
      <c r="P1280" s="28"/>
      <c r="Q1280" s="28" t="n">
        <f aca="false">P1280*$M1280</f>
        <v>0</v>
      </c>
      <c r="R1280" s="28"/>
      <c r="S1280" s="28" t="n">
        <f aca="false">R1280*$M1280</f>
        <v>0</v>
      </c>
      <c r="T1280" s="28" t="n">
        <f aca="false">12674/100</f>
        <v>126.74</v>
      </c>
      <c r="U1280" s="28" t="n">
        <v>8998</v>
      </c>
      <c r="V1280" s="28"/>
      <c r="W1280" s="28" t="n">
        <f aca="false">V1280*$M1280</f>
        <v>0</v>
      </c>
      <c r="X1280" s="28"/>
      <c r="Y1280" s="28" t="n">
        <f aca="false">X1280*$M1280</f>
        <v>0</v>
      </c>
      <c r="Z1280" s="28"/>
      <c r="AA1280" s="28" t="n">
        <f aca="false">Z1280*$M1280</f>
        <v>0</v>
      </c>
      <c r="AB1280" s="28"/>
      <c r="AC1280" s="28" t="n">
        <f aca="false">AB1280*$M1280</f>
        <v>0</v>
      </c>
      <c r="AD1280" s="28" t="n">
        <f aca="false">4283/100</f>
        <v>42.83</v>
      </c>
      <c r="AE1280" s="28" t="n">
        <v>3041</v>
      </c>
      <c r="AF1280" s="28" t="n">
        <f aca="false">2978140/100</f>
        <v>29781.4</v>
      </c>
      <c r="AG1280" s="28" t="n">
        <v>2114479</v>
      </c>
      <c r="AH1280" s="28" t="n">
        <f aca="false">4119032/100</f>
        <v>41190.32</v>
      </c>
      <c r="AI1280" s="28" t="n">
        <v>2924512</v>
      </c>
      <c r="AJ1280" s="28"/>
      <c r="AK1280" s="28" t="n">
        <f aca="false">AJ1280*$M1280</f>
        <v>0</v>
      </c>
      <c r="AL1280" s="28"/>
      <c r="AM1280" s="28" t="n">
        <f aca="false">AL1280*$M1280</f>
        <v>0</v>
      </c>
      <c r="AN1280" s="28"/>
      <c r="AO1280" s="28" t="n">
        <f aca="false">AN1280*$M1280</f>
        <v>0</v>
      </c>
      <c r="AP1280" s="28"/>
      <c r="AQ1280" s="28" t="n">
        <f aca="false">AP1280*$M1280</f>
        <v>0</v>
      </c>
      <c r="AR1280" s="28"/>
      <c r="AS1280" s="28" t="n">
        <f aca="false">AR1280*$M1280</f>
        <v>0</v>
      </c>
      <c r="AT1280" s="28"/>
      <c r="AU1280" s="28" t="n">
        <f aca="false">AT1280*$M1280</f>
        <v>0</v>
      </c>
      <c r="AV1280" s="28"/>
      <c r="AW1280" s="28" t="n">
        <f aca="false">AV1280*$M1280</f>
        <v>0</v>
      </c>
      <c r="AX1280" s="28"/>
      <c r="AY1280" s="28" t="n">
        <f aca="false">AX1280*$M1280</f>
        <v>0</v>
      </c>
      <c r="AZ1280" s="30" t="n">
        <f aca="false">7114129/100</f>
        <v>71141.29</v>
      </c>
      <c r="BA1280" s="11" t="n">
        <v>5051030</v>
      </c>
      <c r="BB1280" s="31" t="n">
        <f aca="false">SUM(Q1280,S1280,U1280,W1280,Y1280,AA1280,AC1280,AE1280,AG1280,AI1280,AK1280,AM1280,AO1280,AQ1280,AS1280,AU1280,AW1280,AY1280)</f>
        <v>5051030</v>
      </c>
      <c r="BC1280" s="28" t="n">
        <f aca="false">BA1280-BB1280</f>
        <v>0</v>
      </c>
      <c r="BD1280" s="32" t="n">
        <f aca="false">SUM(P1280,R1280,T1280,V1280,X1280,Z1280,AB1280,AD1280,AF1280,AH1280,AJ1280,AL1280,AN1280,AP1280,AR1280,AT1280,AV1280,AX1280)</f>
        <v>71141.29</v>
      </c>
      <c r="BE1280" s="33" t="n">
        <f aca="false">AZ1280-BD1280</f>
        <v>0</v>
      </c>
      <c r="BF1280" s="34" t="n">
        <f aca="false">BD1280*M1280</f>
        <v>5051031.59</v>
      </c>
      <c r="BG1280" s="35" t="n">
        <f aca="false">BA1280-BF1280</f>
        <v>-1.59000000078231</v>
      </c>
      <c r="BH1280" s="19" t="str">
        <f aca="false">IF(BG1280=0,"",IF(BG1280&lt;&gt;BA1280,"erreur de calcul",IF(BD1280&lt;&gt;0,"pas de prix",IF(M1280&lt;&gt; 0,"pas de quantité","pas de prix, ni de quantité"))))</f>
        <v>erreur de calcul</v>
      </c>
      <c r="BI1280" s="19"/>
    </row>
    <row r="1281" customFormat="false" ht="15" hidden="false" customHeight="false" outlineLevel="0" collapsed="false">
      <c r="A1281" s="0" t="n">
        <v>18</v>
      </c>
      <c r="B1281" s="8" t="s">
        <v>24</v>
      </c>
      <c r="C1281" s="9" t="s">
        <v>25</v>
      </c>
      <c r="D1281" s="9" t="s">
        <v>26</v>
      </c>
      <c r="E1281" s="10" t="n">
        <v>1789</v>
      </c>
      <c r="F1281" s="9" t="s">
        <v>27</v>
      </c>
      <c r="G1281" s="9" t="s">
        <v>27</v>
      </c>
      <c r="H1281" s="11" t="n">
        <v>24</v>
      </c>
      <c r="I1281" s="11" t="s">
        <v>307</v>
      </c>
      <c r="J1281" s="14" t="n">
        <v>45</v>
      </c>
      <c r="K1281" s="14"/>
      <c r="L1281" s="16"/>
      <c r="M1281" s="27" t="n">
        <f aca="false">J1281+(K1281/20)+(L1281/240)</f>
        <v>45</v>
      </c>
      <c r="N1281" s="17" t="s">
        <v>64</v>
      </c>
      <c r="O1281" s="11"/>
      <c r="P1281" s="28"/>
      <c r="Q1281" s="28" t="n">
        <f aca="false">P1281*$M1281</f>
        <v>0</v>
      </c>
      <c r="R1281" s="28"/>
      <c r="S1281" s="28" t="n">
        <f aca="false">R1281*$M1281</f>
        <v>0</v>
      </c>
      <c r="T1281" s="28"/>
      <c r="U1281" s="28" t="n">
        <f aca="false">T1281*$M1281</f>
        <v>0</v>
      </c>
      <c r="V1281" s="28"/>
      <c r="W1281" s="28" t="n">
        <f aca="false">V1281*$M1281</f>
        <v>0</v>
      </c>
      <c r="X1281" s="28"/>
      <c r="Y1281" s="28" t="n">
        <f aca="false">X1281*$M1281</f>
        <v>0</v>
      </c>
      <c r="Z1281" s="28"/>
      <c r="AA1281" s="28" t="n">
        <f aca="false">Z1281*$M1281</f>
        <v>0</v>
      </c>
      <c r="AB1281" s="28"/>
      <c r="AC1281" s="28" t="n">
        <f aca="false">AB1281*$M1281</f>
        <v>0</v>
      </c>
      <c r="AD1281" s="28"/>
      <c r="AE1281" s="28" t="n">
        <f aca="false">AD1281*$M1281</f>
        <v>0</v>
      </c>
      <c r="AF1281" s="28"/>
      <c r="AG1281" s="28" t="n">
        <f aca="false">AF1281*$M1281</f>
        <v>0</v>
      </c>
      <c r="AH1281" s="28"/>
      <c r="AI1281" s="28" t="n">
        <f aca="false">AH1281*$M1281</f>
        <v>0</v>
      </c>
      <c r="AJ1281" s="28"/>
      <c r="AK1281" s="28" t="n">
        <f aca="false">AJ1281*$M1281</f>
        <v>0</v>
      </c>
      <c r="AL1281" s="28" t="n">
        <f aca="false">971/100</f>
        <v>9.71</v>
      </c>
      <c r="AM1281" s="28" t="n">
        <v>437</v>
      </c>
      <c r="AN1281" s="28"/>
      <c r="AO1281" s="28" t="n">
        <f aca="false">AN1281*$M1281</f>
        <v>0</v>
      </c>
      <c r="AP1281" s="28"/>
      <c r="AQ1281" s="28" t="n">
        <f aca="false">AP1281*$M1281</f>
        <v>0</v>
      </c>
      <c r="AR1281" s="28"/>
      <c r="AS1281" s="28" t="n">
        <f aca="false">AR1281*$M1281</f>
        <v>0</v>
      </c>
      <c r="AT1281" s="28"/>
      <c r="AU1281" s="28" t="n">
        <f aca="false">AT1281*$M1281</f>
        <v>0</v>
      </c>
      <c r="AV1281" s="28"/>
      <c r="AW1281" s="28" t="n">
        <f aca="false">AV1281*$M1281</f>
        <v>0</v>
      </c>
      <c r="AX1281" s="28"/>
      <c r="AY1281" s="28" t="n">
        <f aca="false">AX1281*$M1281</f>
        <v>0</v>
      </c>
      <c r="AZ1281" s="30" t="n">
        <f aca="false">971/100</f>
        <v>9.71</v>
      </c>
      <c r="BA1281" s="11" t="n">
        <v>437</v>
      </c>
      <c r="BB1281" s="31" t="n">
        <f aca="false">SUM(Q1281,S1281,U1281,W1281,Y1281,AA1281,AC1281,AE1281,AG1281,AI1281,AK1281,AM1281,AO1281,AQ1281,AS1281,AU1281,AW1281,AY1281)</f>
        <v>437</v>
      </c>
      <c r="BC1281" s="28" t="n">
        <f aca="false">BA1281-BB1281</f>
        <v>0</v>
      </c>
      <c r="BD1281" s="32" t="n">
        <f aca="false">SUM(P1281,R1281,T1281,V1281,X1281,Z1281,AB1281,AD1281,AF1281,AH1281,AJ1281,AL1281,AN1281,AP1281,AR1281,AT1281,AV1281,AX1281)</f>
        <v>9.71</v>
      </c>
      <c r="BE1281" s="33" t="n">
        <f aca="false">AZ1281-BD1281</f>
        <v>0</v>
      </c>
      <c r="BF1281" s="34" t="n">
        <f aca="false">BD1281*M1281</f>
        <v>436.95</v>
      </c>
      <c r="BG1281" s="35" t="n">
        <f aca="false">BA1281-BF1281</f>
        <v>0.0499999999999545</v>
      </c>
      <c r="BH1281" s="19" t="str">
        <f aca="false">IF(BG1281=0,"",IF(BG1281&lt;&gt;BA1281,"erreur de calcul",IF(BD1281&lt;&gt;0,"pas de prix",IF(M1281&lt;&gt; 0,"pas de quantité","pas de prix, ni de quantité"))))</f>
        <v>erreur de calcul</v>
      </c>
      <c r="BI1281" s="19"/>
    </row>
    <row r="1282" customFormat="false" ht="15" hidden="false" customHeight="false" outlineLevel="0" collapsed="false">
      <c r="A1282" s="0" t="n">
        <v>19</v>
      </c>
      <c r="B1282" s="8" t="s">
        <v>24</v>
      </c>
      <c r="C1282" s="9" t="s">
        <v>25</v>
      </c>
      <c r="D1282" s="9" t="s">
        <v>26</v>
      </c>
      <c r="E1282" s="10" t="n">
        <v>1789</v>
      </c>
      <c r="F1282" s="9" t="s">
        <v>27</v>
      </c>
      <c r="G1282" s="9" t="s">
        <v>27</v>
      </c>
      <c r="H1282" s="11" t="n">
        <v>24</v>
      </c>
      <c r="I1282" s="11" t="s">
        <v>308</v>
      </c>
      <c r="J1282" s="14" t="n">
        <v>240</v>
      </c>
      <c r="K1282" s="14"/>
      <c r="L1282" s="16"/>
      <c r="M1282" s="27" t="n">
        <f aca="false">J1282+(K1282/20)+(L1282/240)</f>
        <v>240</v>
      </c>
      <c r="N1282" s="17" t="s">
        <v>64</v>
      </c>
      <c r="O1282" s="11"/>
      <c r="P1282" s="28"/>
      <c r="Q1282" s="28" t="n">
        <f aca="false">P1282*$M1282</f>
        <v>0</v>
      </c>
      <c r="R1282" s="28"/>
      <c r="S1282" s="28" t="n">
        <f aca="false">R1282*$M1282</f>
        <v>0</v>
      </c>
      <c r="T1282" s="28"/>
      <c r="U1282" s="28" t="n">
        <f aca="false">T1282*$M1282</f>
        <v>0</v>
      </c>
      <c r="V1282" s="28"/>
      <c r="W1282" s="28" t="n">
        <f aca="false">V1282*$M1282</f>
        <v>0</v>
      </c>
      <c r="X1282" s="28"/>
      <c r="Y1282" s="28" t="n">
        <f aca="false">X1282*$M1282</f>
        <v>0</v>
      </c>
      <c r="Z1282" s="28"/>
      <c r="AA1282" s="28" t="n">
        <f aca="false">Z1282*$M1282</f>
        <v>0</v>
      </c>
      <c r="AB1282" s="28"/>
      <c r="AC1282" s="28" t="n">
        <f aca="false">AB1282*$M1282</f>
        <v>0</v>
      </c>
      <c r="AD1282" s="28"/>
      <c r="AE1282" s="28" t="n">
        <f aca="false">AD1282*$M1282</f>
        <v>0</v>
      </c>
      <c r="AF1282" s="28"/>
      <c r="AG1282" s="28" t="n">
        <f aca="false">AF1282*$M1282</f>
        <v>0</v>
      </c>
      <c r="AH1282" s="28"/>
      <c r="AI1282" s="28" t="n">
        <f aca="false">AH1282*$M1282</f>
        <v>0</v>
      </c>
      <c r="AJ1282" s="28" t="n">
        <f aca="false">2173/100</f>
        <v>21.73</v>
      </c>
      <c r="AK1282" s="28" t="n">
        <v>5215</v>
      </c>
      <c r="AL1282" s="28"/>
      <c r="AM1282" s="28" t="n">
        <f aca="false">AL1282*$M1282</f>
        <v>0</v>
      </c>
      <c r="AN1282" s="28"/>
      <c r="AO1282" s="28" t="n">
        <f aca="false">AN1282*$M1282</f>
        <v>0</v>
      </c>
      <c r="AP1282" s="28"/>
      <c r="AQ1282" s="28" t="n">
        <f aca="false">AP1282*$M1282</f>
        <v>0</v>
      </c>
      <c r="AR1282" s="28"/>
      <c r="AS1282" s="28" t="n">
        <f aca="false">AR1282*$M1282</f>
        <v>0</v>
      </c>
      <c r="AT1282" s="28"/>
      <c r="AU1282" s="28" t="n">
        <f aca="false">AT1282*$M1282</f>
        <v>0</v>
      </c>
      <c r="AV1282" s="28"/>
      <c r="AW1282" s="28" t="n">
        <f aca="false">AV1282*$M1282</f>
        <v>0</v>
      </c>
      <c r="AX1282" s="28"/>
      <c r="AY1282" s="28" t="n">
        <f aca="false">AX1282*$M1282</f>
        <v>0</v>
      </c>
      <c r="AZ1282" s="30" t="n">
        <f aca="false">2173/100</f>
        <v>21.73</v>
      </c>
      <c r="BA1282" s="11" t="n">
        <v>5215</v>
      </c>
      <c r="BB1282" s="31" t="n">
        <f aca="false">SUM(Q1282,S1282,U1282,W1282,Y1282,AA1282,AC1282,AE1282,AG1282,AI1282,AK1282,AM1282,AO1282,AQ1282,AS1282,AU1282,AW1282,AY1282)</f>
        <v>5215</v>
      </c>
      <c r="BC1282" s="28" t="n">
        <f aca="false">BA1282-BB1282</f>
        <v>0</v>
      </c>
      <c r="BD1282" s="32" t="n">
        <f aca="false">SUM(P1282,R1282,T1282,V1282,X1282,Z1282,AB1282,AD1282,AF1282,AH1282,AJ1282,AL1282,AN1282,AP1282,AR1282,AT1282,AV1282,AX1282)</f>
        <v>21.73</v>
      </c>
      <c r="BE1282" s="33" t="n">
        <f aca="false">AZ1282-BD1282</f>
        <v>0</v>
      </c>
      <c r="BF1282" s="34" t="n">
        <f aca="false">BD1282*M1282</f>
        <v>5215.2</v>
      </c>
      <c r="BG1282" s="35" t="n">
        <f aca="false">BA1282-BF1282</f>
        <v>-0.199999999999818</v>
      </c>
      <c r="BH1282" s="19" t="str">
        <f aca="false">IF(BG1282=0,"",IF(BG1282&lt;&gt;BA1282,"erreur de calcul",IF(BD1282&lt;&gt;0,"pas de prix",IF(M1282&lt;&gt; 0,"pas de quantité","pas de prix, ni de quantité"))))</f>
        <v>erreur de calcul</v>
      </c>
      <c r="BI1282" s="19"/>
    </row>
    <row r="1283" customFormat="false" ht="15" hidden="false" customHeight="false" outlineLevel="0" collapsed="false">
      <c r="A1283" s="0" t="n">
        <v>20</v>
      </c>
      <c r="B1283" s="8" t="s">
        <v>24</v>
      </c>
      <c r="C1283" s="9" t="s">
        <v>25</v>
      </c>
      <c r="D1283" s="9" t="s">
        <v>26</v>
      </c>
      <c r="E1283" s="10" t="n">
        <v>1789</v>
      </c>
      <c r="F1283" s="9" t="s">
        <v>27</v>
      </c>
      <c r="G1283" s="9" t="s">
        <v>27</v>
      </c>
      <c r="H1283" s="11" t="n">
        <v>24</v>
      </c>
      <c r="I1283" s="11" t="s">
        <v>309</v>
      </c>
      <c r="J1283" s="14"/>
      <c r="K1283" s="14"/>
      <c r="L1283" s="16"/>
      <c r="M1283" s="27" t="n">
        <f aca="false">J1283+(K1283/20)+(L1283/240)</f>
        <v>0</v>
      </c>
      <c r="N1283" s="17"/>
      <c r="O1283" s="11"/>
      <c r="P1283" s="28"/>
      <c r="Q1283" s="28" t="n">
        <f aca="false">P1283*$M1283</f>
        <v>0</v>
      </c>
      <c r="R1283" s="28"/>
      <c r="S1283" s="28" t="n">
        <f aca="false">R1283*$M1283</f>
        <v>0</v>
      </c>
      <c r="T1283" s="28"/>
      <c r="U1283" s="28" t="n">
        <v>195</v>
      </c>
      <c r="V1283" s="28"/>
      <c r="W1283" s="28" t="n">
        <v>640</v>
      </c>
      <c r="X1283" s="28"/>
      <c r="Y1283" s="28" t="n">
        <f aca="false">X1283*$M1283</f>
        <v>0</v>
      </c>
      <c r="Z1283" s="28"/>
      <c r="AA1283" s="28" t="n">
        <f aca="false">Z1283*$M1283</f>
        <v>0</v>
      </c>
      <c r="AB1283" s="28"/>
      <c r="AC1283" s="28" t="n">
        <f aca="false">AB1283*$M1283</f>
        <v>0</v>
      </c>
      <c r="AD1283" s="28"/>
      <c r="AE1283" s="28" t="n">
        <f aca="false">AD1283*$M1283</f>
        <v>0</v>
      </c>
      <c r="AF1283" s="28"/>
      <c r="AG1283" s="28" t="n">
        <f aca="false">AF1283*$M1283</f>
        <v>0</v>
      </c>
      <c r="AH1283" s="28"/>
      <c r="AI1283" s="28" t="n">
        <v>121</v>
      </c>
      <c r="AJ1283" s="28"/>
      <c r="AK1283" s="28" t="n">
        <v>412</v>
      </c>
      <c r="AL1283" s="28"/>
      <c r="AM1283" s="28" t="n">
        <f aca="false">AL1283*$M1283</f>
        <v>0</v>
      </c>
      <c r="AN1283" s="28"/>
      <c r="AO1283" s="28" t="n">
        <f aca="false">AN1283*$M1283</f>
        <v>0</v>
      </c>
      <c r="AP1283" s="28"/>
      <c r="AQ1283" s="28" t="n">
        <f aca="false">AP1283*$M1283</f>
        <v>0</v>
      </c>
      <c r="AR1283" s="28"/>
      <c r="AS1283" s="28" t="n">
        <f aca="false">AR1283*$M1283</f>
        <v>0</v>
      </c>
      <c r="AT1283" s="28"/>
      <c r="AU1283" s="28" t="n">
        <f aca="false">AT1283*$M1283</f>
        <v>0</v>
      </c>
      <c r="AV1283" s="28"/>
      <c r="AW1283" s="28" t="n">
        <f aca="false">AV1283*$M1283</f>
        <v>0</v>
      </c>
      <c r="AX1283" s="28"/>
      <c r="AY1283" s="28" t="n">
        <f aca="false">AX1283*$M1283</f>
        <v>0</v>
      </c>
      <c r="AZ1283" s="30"/>
      <c r="BA1283" s="11" t="n">
        <v>1368</v>
      </c>
      <c r="BB1283" s="31" t="n">
        <f aca="false">SUM(Q1283,S1283,U1283,W1283,Y1283,AA1283,AC1283,AE1283,AG1283,AI1283,AK1283,AM1283,AO1283,AQ1283,AS1283,AU1283,AW1283,AY1283)</f>
        <v>1368</v>
      </c>
      <c r="BC1283" s="28" t="n">
        <f aca="false">BA1283-BB1283</f>
        <v>0</v>
      </c>
      <c r="BD1283" s="32" t="n">
        <f aca="false">SUM(P1283,R1283,T1283,V1283,X1283,Z1283,AB1283,AD1283,AF1283,AH1283,AJ1283,AL1283,AN1283,AP1283,AR1283,AT1283,AV1283,AX1283)</f>
        <v>0</v>
      </c>
      <c r="BE1283" s="33" t="n">
        <f aca="false">AZ1283-BD1283</f>
        <v>0</v>
      </c>
      <c r="BF1283" s="34" t="n">
        <f aca="false">BD1283*M1283</f>
        <v>0</v>
      </c>
      <c r="BG1283" s="35" t="n">
        <f aca="false">BA1283-BF1283</f>
        <v>1368</v>
      </c>
      <c r="BH1283" s="19" t="str">
        <f aca="false">IF(BG1283=0,"",IF(BG1283&lt;&gt;BA1283,"erreur de calcul",IF(BD1283&lt;&gt;0,"pas de prix",IF(M1283&lt;&gt; 0,"pas de quantité","pas de prix, ni de quantité"))))</f>
        <v>pas de prix, ni de quantité</v>
      </c>
      <c r="BI1283" s="19"/>
    </row>
    <row r="1284" customFormat="false" ht="15" hidden="false" customHeight="false" outlineLevel="0" collapsed="false">
      <c r="A1284" s="0" t="n">
        <v>21</v>
      </c>
      <c r="B1284" s="8" t="s">
        <v>24</v>
      </c>
      <c r="C1284" s="9" t="s">
        <v>25</v>
      </c>
      <c r="D1284" s="9" t="s">
        <v>26</v>
      </c>
      <c r="E1284" s="10" t="n">
        <v>1789</v>
      </c>
      <c r="F1284" s="9" t="s">
        <v>27</v>
      </c>
      <c r="G1284" s="9" t="s">
        <v>27</v>
      </c>
      <c r="H1284" s="11" t="n">
        <v>24</v>
      </c>
      <c r="I1284" s="11" t="s">
        <v>310</v>
      </c>
      <c r="J1284" s="14"/>
      <c r="K1284" s="14" t="n">
        <v>3</v>
      </c>
      <c r="L1284" s="16"/>
      <c r="M1284" s="27" t="n">
        <f aca="false">J1284+(K1284/20)+(L1284/240)</f>
        <v>0.15</v>
      </c>
      <c r="N1284" s="17" t="s">
        <v>311</v>
      </c>
      <c r="O1284" s="11"/>
      <c r="P1284" s="28"/>
      <c r="Q1284" s="28" t="n">
        <f aca="false">P1284*$M1284</f>
        <v>0</v>
      </c>
      <c r="R1284" s="28"/>
      <c r="S1284" s="28" t="n">
        <f aca="false">R1284*$M1284</f>
        <v>0</v>
      </c>
      <c r="T1284" s="28"/>
      <c r="U1284" s="28" t="n">
        <f aca="false">T1284*$M1284</f>
        <v>0</v>
      </c>
      <c r="V1284" s="28" t="n">
        <v>32065</v>
      </c>
      <c r="W1284" s="28" t="n">
        <v>4810</v>
      </c>
      <c r="X1284" s="28" t="n">
        <v>20652</v>
      </c>
      <c r="Y1284" s="28" t="n">
        <v>3098</v>
      </c>
      <c r="Z1284" s="28"/>
      <c r="AA1284" s="28" t="n">
        <f aca="false">Z1284*$M1284</f>
        <v>0</v>
      </c>
      <c r="AB1284" s="28"/>
      <c r="AC1284" s="28" t="n">
        <f aca="false">AB1284*$M1284</f>
        <v>0</v>
      </c>
      <c r="AD1284" s="28"/>
      <c r="AE1284" s="28" t="n">
        <f aca="false">AD1284*$M1284</f>
        <v>0</v>
      </c>
      <c r="AF1284" s="28"/>
      <c r="AG1284" s="28" t="n">
        <f aca="false">AF1284*$M1284</f>
        <v>0</v>
      </c>
      <c r="AH1284" s="28"/>
      <c r="AI1284" s="28" t="n">
        <f aca="false">AH1284*$M1284</f>
        <v>0</v>
      </c>
      <c r="AJ1284" s="28"/>
      <c r="AK1284" s="28" t="n">
        <f aca="false">AJ1284*$M1284</f>
        <v>0</v>
      </c>
      <c r="AL1284" s="28"/>
      <c r="AM1284" s="28" t="n">
        <f aca="false">AL1284*$M1284</f>
        <v>0</v>
      </c>
      <c r="AN1284" s="28"/>
      <c r="AO1284" s="28" t="n">
        <f aca="false">AN1284*$M1284</f>
        <v>0</v>
      </c>
      <c r="AP1284" s="28"/>
      <c r="AQ1284" s="28" t="n">
        <f aca="false">AP1284*$M1284</f>
        <v>0</v>
      </c>
      <c r="AR1284" s="28"/>
      <c r="AS1284" s="28" t="n">
        <f aca="false">AR1284*$M1284</f>
        <v>0</v>
      </c>
      <c r="AT1284" s="28"/>
      <c r="AU1284" s="28" t="n">
        <f aca="false">AT1284*$M1284</f>
        <v>0</v>
      </c>
      <c r="AV1284" s="28"/>
      <c r="AW1284" s="28" t="n">
        <f aca="false">AV1284*$M1284</f>
        <v>0</v>
      </c>
      <c r="AX1284" s="28"/>
      <c r="AY1284" s="28" t="n">
        <f aca="false">AX1284*$M1284</f>
        <v>0</v>
      </c>
      <c r="AZ1284" s="30" t="n">
        <v>52717</v>
      </c>
      <c r="BA1284" s="11" t="n">
        <v>7908</v>
      </c>
      <c r="BB1284" s="31" t="n">
        <f aca="false">SUM(Q1284,S1284,U1284,W1284,Y1284,AA1284,AC1284,AE1284,AG1284,AI1284,AK1284,AM1284,AO1284,AQ1284,AS1284,AU1284,AW1284,AY1284)</f>
        <v>7908</v>
      </c>
      <c r="BC1284" s="28" t="n">
        <f aca="false">BA1284-BB1284</f>
        <v>0</v>
      </c>
      <c r="BD1284" s="32" t="n">
        <f aca="false">SUM(P1284,R1284,T1284,V1284,X1284,Z1284,AB1284,AD1284,AF1284,AH1284,AJ1284,AL1284,AN1284,AP1284,AR1284,AT1284,AV1284,AX1284)</f>
        <v>52717</v>
      </c>
      <c r="BE1284" s="33" t="n">
        <f aca="false">AZ1284-BD1284</f>
        <v>0</v>
      </c>
      <c r="BF1284" s="34" t="n">
        <f aca="false">BD1284*M1284</f>
        <v>7907.55</v>
      </c>
      <c r="BG1284" s="35" t="n">
        <f aca="false">BA1284-BF1284</f>
        <v>0.450000000000728</v>
      </c>
      <c r="BH1284" s="19" t="str">
        <f aca="false">IF(BG1284=0,"",IF(BG1284&lt;&gt;BA1284,"erreur de calcul",IF(BD1284&lt;&gt;0,"pas de prix",IF(M1284&lt;&gt; 0,"pas de quantité","pas de prix, ni de quantité"))))</f>
        <v>erreur de calcul</v>
      </c>
      <c r="BI1284" s="19"/>
    </row>
    <row r="1285" customFormat="false" ht="15" hidden="false" customHeight="false" outlineLevel="0" collapsed="false">
      <c r="A1285" s="0" t="n">
        <v>22</v>
      </c>
      <c r="B1285" s="8" t="s">
        <v>24</v>
      </c>
      <c r="C1285" s="9" t="s">
        <v>25</v>
      </c>
      <c r="D1285" s="9" t="s">
        <v>26</v>
      </c>
      <c r="E1285" s="10" t="n">
        <v>1789</v>
      </c>
      <c r="F1285" s="9" t="s">
        <v>27</v>
      </c>
      <c r="G1285" s="9" t="s">
        <v>27</v>
      </c>
      <c r="H1285" s="11" t="n">
        <v>24</v>
      </c>
      <c r="I1285" s="11" t="s">
        <v>312</v>
      </c>
      <c r="J1285" s="14" t="n">
        <v>15</v>
      </c>
      <c r="K1285" s="14"/>
      <c r="L1285" s="16"/>
      <c r="M1285" s="27" t="n">
        <f aca="false">J1285+(K1285/20)+(L1285/240)</f>
        <v>15</v>
      </c>
      <c r="N1285" s="17" t="s">
        <v>275</v>
      </c>
      <c r="O1285" s="11"/>
      <c r="P1285" s="28"/>
      <c r="Q1285" s="28" t="n">
        <f aca="false">P1285*$M1285</f>
        <v>0</v>
      </c>
      <c r="R1285" s="28"/>
      <c r="S1285" s="28" t="n">
        <f aca="false">R1285*$M1285</f>
        <v>0</v>
      </c>
      <c r="T1285" s="28" t="n">
        <v>1479</v>
      </c>
      <c r="U1285" s="28" t="n">
        <v>22185</v>
      </c>
      <c r="V1285" s="28" t="n">
        <v>1500</v>
      </c>
      <c r="W1285" s="28" t="n">
        <v>22500</v>
      </c>
      <c r="X1285" s="28" t="n">
        <v>300</v>
      </c>
      <c r="Y1285" s="28" t="n">
        <v>4500</v>
      </c>
      <c r="Z1285" s="28" t="n">
        <v>168</v>
      </c>
      <c r="AA1285" s="28" t="n">
        <v>2520</v>
      </c>
      <c r="AB1285" s="28" t="n">
        <v>14570</v>
      </c>
      <c r="AC1285" s="28" t="n">
        <v>218550</v>
      </c>
      <c r="AD1285" s="28"/>
      <c r="AE1285" s="28" t="n">
        <f aca="false">AD1285*$M1285</f>
        <v>0</v>
      </c>
      <c r="AF1285" s="28" t="n">
        <v>5748</v>
      </c>
      <c r="AG1285" s="28" t="n">
        <v>86220</v>
      </c>
      <c r="AH1285" s="28"/>
      <c r="AI1285" s="28" t="n">
        <f aca="false">AH1285*$M1285</f>
        <v>0</v>
      </c>
      <c r="AJ1285" s="28" t="n">
        <v>710</v>
      </c>
      <c r="AK1285" s="28" t="n">
        <v>10650</v>
      </c>
      <c r="AL1285" s="28" t="n">
        <v>600</v>
      </c>
      <c r="AM1285" s="28" t="n">
        <v>9000</v>
      </c>
      <c r="AN1285" s="28"/>
      <c r="AO1285" s="28" t="n">
        <f aca="false">AN1285*$M1285</f>
        <v>0</v>
      </c>
      <c r="AP1285" s="28" t="n">
        <v>1200</v>
      </c>
      <c r="AQ1285" s="28" t="n">
        <v>18000</v>
      </c>
      <c r="AR1285" s="28"/>
      <c r="AS1285" s="28" t="n">
        <f aca="false">AR1285*$M1285</f>
        <v>0</v>
      </c>
      <c r="AT1285" s="28"/>
      <c r="AU1285" s="28" t="n">
        <f aca="false">AT1285*$M1285</f>
        <v>0</v>
      </c>
      <c r="AV1285" s="28"/>
      <c r="AW1285" s="28" t="n">
        <f aca="false">AV1285*$M1285</f>
        <v>0</v>
      </c>
      <c r="AX1285" s="28"/>
      <c r="AY1285" s="28" t="n">
        <f aca="false">AX1285*$M1285</f>
        <v>0</v>
      </c>
      <c r="AZ1285" s="30" t="n">
        <v>26275</v>
      </c>
      <c r="BA1285" s="11" t="n">
        <v>394125</v>
      </c>
      <c r="BB1285" s="31" t="n">
        <f aca="false">SUM(Q1285,S1285,U1285,W1285,Y1285,AA1285,AC1285,AE1285,AG1285,AI1285,AK1285,AM1285,AO1285,AQ1285,AS1285,AU1285,AW1285,AY1285)</f>
        <v>394125</v>
      </c>
      <c r="BC1285" s="28" t="n">
        <f aca="false">BA1285-BB1285</f>
        <v>0</v>
      </c>
      <c r="BD1285" s="32" t="n">
        <f aca="false">SUM(P1285,R1285,T1285,V1285,X1285,Z1285,AB1285,AD1285,AF1285,AH1285,AJ1285,AL1285,AN1285,AP1285,AR1285,AT1285,AV1285,AX1285)</f>
        <v>26275</v>
      </c>
      <c r="BE1285" s="33" t="n">
        <f aca="false">AZ1285-BD1285</f>
        <v>0</v>
      </c>
      <c r="BF1285" s="34" t="n">
        <f aca="false">BD1285*M1285</f>
        <v>394125</v>
      </c>
      <c r="BG1285" s="35" t="n">
        <f aca="false">BA1285-BF1285</f>
        <v>0</v>
      </c>
      <c r="BH1285" s="19" t="str">
        <f aca="false">IF(BG1285=0,"",IF(BG1285&lt;&gt;BA1285,"erreur de calcul",IF(BD1285&lt;&gt;0,"pas de prix",IF(M1285&lt;&gt; 0,"pas de quantité","pas de prix, ni de quantité"))))</f>
        <v/>
      </c>
      <c r="BI1285" s="19"/>
    </row>
    <row r="1286" customFormat="false" ht="15" hidden="false" customHeight="false" outlineLevel="0" collapsed="false">
      <c r="A1286" s="0" t="n">
        <v>23</v>
      </c>
      <c r="B1286" s="8" t="s">
        <v>24</v>
      </c>
      <c r="C1286" s="9" t="s">
        <v>25</v>
      </c>
      <c r="D1286" s="9" t="s">
        <v>26</v>
      </c>
      <c r="E1286" s="10" t="n">
        <v>1789</v>
      </c>
      <c r="F1286" s="9" t="s">
        <v>27</v>
      </c>
      <c r="G1286" s="9" t="s">
        <v>27</v>
      </c>
      <c r="H1286" s="11" t="n">
        <v>24</v>
      </c>
      <c r="I1286" s="11" t="s">
        <v>313</v>
      </c>
      <c r="J1286" s="14" t="n">
        <v>9</v>
      </c>
      <c r="K1286" s="14"/>
      <c r="L1286" s="16"/>
      <c r="M1286" s="27" t="n">
        <f aca="false">J1286+(K1286/20)+(L1286/240)</f>
        <v>9</v>
      </c>
      <c r="N1286" s="17" t="s">
        <v>64</v>
      </c>
      <c r="O1286" s="11"/>
      <c r="P1286" s="28"/>
      <c r="Q1286" s="28" t="n">
        <f aca="false">P1286*$M1286</f>
        <v>0</v>
      </c>
      <c r="R1286" s="28"/>
      <c r="S1286" s="28" t="n">
        <f aca="false">R1286*$M1286</f>
        <v>0</v>
      </c>
      <c r="T1286" s="28"/>
      <c r="U1286" s="28" t="n">
        <f aca="false">T1286*$M1286</f>
        <v>0</v>
      </c>
      <c r="V1286" s="28" t="n">
        <f aca="false">145504/100</f>
        <v>1455.04</v>
      </c>
      <c r="W1286" s="28" t="n">
        <v>13095</v>
      </c>
      <c r="X1286" s="28" t="n">
        <f aca="false">58504/100</f>
        <v>585.04</v>
      </c>
      <c r="Y1286" s="28" t="n">
        <v>5265</v>
      </c>
      <c r="Z1286" s="28" t="n">
        <f aca="false">17027/100</f>
        <v>170.27</v>
      </c>
      <c r="AA1286" s="28" t="n">
        <v>1532</v>
      </c>
      <c r="AB1286" s="28" t="n">
        <f aca="false">84396/100</f>
        <v>843.96</v>
      </c>
      <c r="AC1286" s="28" t="n">
        <v>7596</v>
      </c>
      <c r="AD1286" s="28"/>
      <c r="AE1286" s="28" t="n">
        <f aca="false">AD1286*$M1286</f>
        <v>0</v>
      </c>
      <c r="AF1286" s="28" t="n">
        <f aca="false">14807/100</f>
        <v>148.07</v>
      </c>
      <c r="AG1286" s="28" t="n">
        <v>1333</v>
      </c>
      <c r="AH1286" s="28"/>
      <c r="AI1286" s="28" t="n">
        <f aca="false">AH1286*$M1286</f>
        <v>0</v>
      </c>
      <c r="AJ1286" s="28"/>
      <c r="AK1286" s="28" t="n">
        <f aca="false">AJ1286*$M1286</f>
        <v>0</v>
      </c>
      <c r="AL1286" s="28"/>
      <c r="AM1286" s="28" t="n">
        <f aca="false">AL1286*$M1286</f>
        <v>0</v>
      </c>
      <c r="AN1286" s="28"/>
      <c r="AO1286" s="28" t="n">
        <f aca="false">AN1286*$M1286</f>
        <v>0</v>
      </c>
      <c r="AP1286" s="28"/>
      <c r="AQ1286" s="28" t="n">
        <f aca="false">AP1286*$M1286</f>
        <v>0</v>
      </c>
      <c r="AR1286" s="28"/>
      <c r="AS1286" s="28" t="n">
        <f aca="false">AR1286*$M1286</f>
        <v>0</v>
      </c>
      <c r="AT1286" s="28"/>
      <c r="AU1286" s="28" t="n">
        <f aca="false">AT1286*$M1286</f>
        <v>0</v>
      </c>
      <c r="AV1286" s="28"/>
      <c r="AW1286" s="28" t="n">
        <f aca="false">AV1286*$M1286</f>
        <v>0</v>
      </c>
      <c r="AX1286" s="28"/>
      <c r="AY1286" s="28" t="n">
        <f aca="false">AX1286*$M1286</f>
        <v>0</v>
      </c>
      <c r="AZ1286" s="30" t="n">
        <f aca="false">320238/100</f>
        <v>3202.38</v>
      </c>
      <c r="BA1286" s="11" t="n">
        <v>28821</v>
      </c>
      <c r="BB1286" s="31" t="n">
        <f aca="false">SUM(Q1286,S1286,U1286,W1286,Y1286,AA1286,AC1286,AE1286,AG1286,AI1286,AK1286,AM1286,AO1286,AQ1286,AS1286,AU1286,AW1286,AY1286)</f>
        <v>28821</v>
      </c>
      <c r="BC1286" s="28" t="n">
        <f aca="false">BA1286-BB1286</f>
        <v>0</v>
      </c>
      <c r="BD1286" s="32" t="n">
        <f aca="false">SUM(P1286,R1286,T1286,V1286,X1286,Z1286,AB1286,AD1286,AF1286,AH1286,AJ1286,AL1286,AN1286,AP1286,AR1286,AT1286,AV1286,AX1286)</f>
        <v>3202.38</v>
      </c>
      <c r="BE1286" s="33" t="n">
        <f aca="false">AZ1286-BD1286</f>
        <v>0</v>
      </c>
      <c r="BF1286" s="34" t="n">
        <f aca="false">BD1286*M1286</f>
        <v>28821.42</v>
      </c>
      <c r="BG1286" s="35" t="n">
        <f aca="false">BA1286-BF1286</f>
        <v>-0.420000000001892</v>
      </c>
      <c r="BH1286" s="19" t="str">
        <f aca="false">IF(BG1286=0,"",IF(BG1286&lt;&gt;BA1286,"erreur de calcul",IF(BD1286&lt;&gt;0,"pas de prix",IF(M1286&lt;&gt; 0,"pas de quantité","pas de prix, ni de quantité"))))</f>
        <v>erreur de calcul</v>
      </c>
      <c r="BI1286" s="19"/>
    </row>
    <row r="1287" customFormat="false" ht="15" hidden="false" customHeight="false" outlineLevel="0" collapsed="false">
      <c r="A1287" s="0" t="n">
        <v>24</v>
      </c>
      <c r="B1287" s="8" t="s">
        <v>24</v>
      </c>
      <c r="C1287" s="9" t="s">
        <v>25</v>
      </c>
      <c r="D1287" s="9" t="s">
        <v>26</v>
      </c>
      <c r="E1287" s="10" t="n">
        <v>1789</v>
      </c>
      <c r="F1287" s="9" t="s">
        <v>27</v>
      </c>
      <c r="G1287" s="9" t="s">
        <v>27</v>
      </c>
      <c r="H1287" s="11" t="n">
        <v>24</v>
      </c>
      <c r="I1287" s="11" t="s">
        <v>314</v>
      </c>
      <c r="J1287" s="14"/>
      <c r="K1287" s="14" t="n">
        <v>4</v>
      </c>
      <c r="L1287" s="16"/>
      <c r="M1287" s="27" t="n">
        <f aca="false">J1287+(K1287/20)+(L1287/240)</f>
        <v>0.2</v>
      </c>
      <c r="N1287" s="17" t="s">
        <v>311</v>
      </c>
      <c r="O1287" s="11"/>
      <c r="P1287" s="28"/>
      <c r="Q1287" s="28" t="n">
        <f aca="false">P1287*$M1287</f>
        <v>0</v>
      </c>
      <c r="R1287" s="28"/>
      <c r="S1287" s="28" t="n">
        <f aca="false">R1287*$M1287</f>
        <v>0</v>
      </c>
      <c r="T1287" s="28"/>
      <c r="U1287" s="28" t="n">
        <f aca="false">T1287*$M1287</f>
        <v>0</v>
      </c>
      <c r="V1287" s="28" t="n">
        <v>5800</v>
      </c>
      <c r="W1287" s="28" t="n">
        <v>1160</v>
      </c>
      <c r="X1287" s="28"/>
      <c r="Y1287" s="28" t="n">
        <f aca="false">X1287*$M1287</f>
        <v>0</v>
      </c>
      <c r="Z1287" s="28"/>
      <c r="AA1287" s="28" t="n">
        <f aca="false">Z1287*$M1287</f>
        <v>0</v>
      </c>
      <c r="AB1287" s="28"/>
      <c r="AC1287" s="28" t="n">
        <f aca="false">AB1287*$M1287</f>
        <v>0</v>
      </c>
      <c r="AD1287" s="28"/>
      <c r="AE1287" s="28" t="n">
        <f aca="false">AD1287*$M1287</f>
        <v>0</v>
      </c>
      <c r="AF1287" s="28"/>
      <c r="AG1287" s="28" t="n">
        <f aca="false">AF1287*$M1287</f>
        <v>0</v>
      </c>
      <c r="AH1287" s="28"/>
      <c r="AI1287" s="28" t="n">
        <f aca="false">AH1287*$M1287</f>
        <v>0</v>
      </c>
      <c r="AJ1287" s="28"/>
      <c r="AK1287" s="28" t="n">
        <f aca="false">AJ1287*$M1287</f>
        <v>0</v>
      </c>
      <c r="AL1287" s="28"/>
      <c r="AM1287" s="28" t="n">
        <f aca="false">AL1287*$M1287</f>
        <v>0</v>
      </c>
      <c r="AN1287" s="28"/>
      <c r="AO1287" s="28" t="n">
        <f aca="false">AN1287*$M1287</f>
        <v>0</v>
      </c>
      <c r="AP1287" s="28"/>
      <c r="AQ1287" s="28" t="n">
        <f aca="false">AP1287*$M1287</f>
        <v>0</v>
      </c>
      <c r="AR1287" s="28"/>
      <c r="AS1287" s="28" t="n">
        <f aca="false">AR1287*$M1287</f>
        <v>0</v>
      </c>
      <c r="AT1287" s="28"/>
      <c r="AU1287" s="28" t="n">
        <f aca="false">AT1287*$M1287</f>
        <v>0</v>
      </c>
      <c r="AV1287" s="28"/>
      <c r="AW1287" s="28" t="n">
        <f aca="false">AV1287*$M1287</f>
        <v>0</v>
      </c>
      <c r="AX1287" s="28"/>
      <c r="AY1287" s="28" t="n">
        <f aca="false">AX1287*$M1287</f>
        <v>0</v>
      </c>
      <c r="AZ1287" s="30" t="n">
        <v>5800</v>
      </c>
      <c r="BA1287" s="11" t="n">
        <v>1160</v>
      </c>
      <c r="BB1287" s="31" t="n">
        <f aca="false">SUM(Q1287,S1287,U1287,W1287,Y1287,AA1287,AC1287,AE1287,AG1287,AI1287,AK1287,AM1287,AO1287,AQ1287,AS1287,AU1287,AW1287,AY1287)</f>
        <v>1160</v>
      </c>
      <c r="BC1287" s="28" t="n">
        <f aca="false">BA1287-BB1287</f>
        <v>0</v>
      </c>
      <c r="BD1287" s="32" t="n">
        <f aca="false">SUM(P1287,R1287,T1287,V1287,X1287,Z1287,AB1287,AD1287,AF1287,AH1287,AJ1287,AL1287,AN1287,AP1287,AR1287,AT1287,AV1287,AX1287)</f>
        <v>5800</v>
      </c>
      <c r="BE1287" s="33" t="n">
        <f aca="false">AZ1287-BD1287</f>
        <v>0</v>
      </c>
      <c r="BF1287" s="34" t="n">
        <f aca="false">BD1287*M1287</f>
        <v>1160</v>
      </c>
      <c r="BG1287" s="35" t="n">
        <f aca="false">BA1287-BF1287</f>
        <v>0</v>
      </c>
      <c r="BH1287" s="19" t="str">
        <f aca="false">IF(BG1287=0,"",IF(BG1287&lt;&gt;BA1287,"erreur de calcul",IF(BD1287&lt;&gt;0,"pas de prix",IF(M1287&lt;&gt; 0,"pas de quantité","pas de prix, ni de quantité"))))</f>
        <v/>
      </c>
      <c r="BI1287" s="19"/>
    </row>
    <row r="1288" customFormat="false" ht="15" hidden="false" customHeight="false" outlineLevel="0" collapsed="false">
      <c r="A1288" s="0" t="n">
        <v>25</v>
      </c>
      <c r="B1288" s="8" t="s">
        <v>24</v>
      </c>
      <c r="C1288" s="9" t="s">
        <v>25</v>
      </c>
      <c r="D1288" s="9" t="s">
        <v>26</v>
      </c>
      <c r="E1288" s="10" t="n">
        <v>1789</v>
      </c>
      <c r="F1288" s="9" t="s">
        <v>27</v>
      </c>
      <c r="G1288" s="9" t="s">
        <v>27</v>
      </c>
      <c r="H1288" s="11" t="n">
        <v>24</v>
      </c>
      <c r="I1288" s="11" t="s">
        <v>315</v>
      </c>
      <c r="J1288" s="14" t="n">
        <v>10</v>
      </c>
      <c r="K1288" s="14"/>
      <c r="L1288" s="16"/>
      <c r="M1288" s="27" t="n">
        <f aca="false">J1288+(K1288/20)+(L1288/240)</f>
        <v>10</v>
      </c>
      <c r="N1288" s="17" t="s">
        <v>64</v>
      </c>
      <c r="O1288" s="11"/>
      <c r="P1288" s="28"/>
      <c r="Q1288" s="28" t="n">
        <f aca="false">P1288*$M1288</f>
        <v>0</v>
      </c>
      <c r="R1288" s="28"/>
      <c r="S1288" s="28" t="n">
        <f aca="false">R1288*$M1288</f>
        <v>0</v>
      </c>
      <c r="T1288" s="28"/>
      <c r="U1288" s="28" t="n">
        <f aca="false">T1288*$M1288</f>
        <v>0</v>
      </c>
      <c r="V1288" s="28"/>
      <c r="W1288" s="28" t="n">
        <f aca="false">V1288*$M1288</f>
        <v>0</v>
      </c>
      <c r="X1288" s="28"/>
      <c r="Y1288" s="28" t="n">
        <f aca="false">X1288*$M1288</f>
        <v>0</v>
      </c>
      <c r="Z1288" s="28"/>
      <c r="AA1288" s="28" t="n">
        <f aca="false">Z1288*$M1288</f>
        <v>0</v>
      </c>
      <c r="AB1288" s="28"/>
      <c r="AC1288" s="28" t="n">
        <f aca="false">AB1288*$M1288</f>
        <v>0</v>
      </c>
      <c r="AD1288" s="28"/>
      <c r="AE1288" s="28" t="n">
        <f aca="false">AD1288*$M1288</f>
        <v>0</v>
      </c>
      <c r="AF1288" s="28"/>
      <c r="AG1288" s="28" t="n">
        <f aca="false">AF1288*$M1288</f>
        <v>0</v>
      </c>
      <c r="AH1288" s="28"/>
      <c r="AI1288" s="28" t="n">
        <f aca="false">AH1288*$M1288</f>
        <v>0</v>
      </c>
      <c r="AJ1288" s="28" t="n">
        <f aca="false">13584/100</f>
        <v>135.84</v>
      </c>
      <c r="AK1288" s="28" t="n">
        <v>1358</v>
      </c>
      <c r="AL1288" s="28"/>
      <c r="AM1288" s="28" t="n">
        <f aca="false">AL1288*$M1288</f>
        <v>0</v>
      </c>
      <c r="AN1288" s="28"/>
      <c r="AO1288" s="28" t="n">
        <f aca="false">AN1288*$M1288</f>
        <v>0</v>
      </c>
      <c r="AP1288" s="28"/>
      <c r="AQ1288" s="28" t="n">
        <f aca="false">AP1288*$M1288</f>
        <v>0</v>
      </c>
      <c r="AR1288" s="28"/>
      <c r="AS1288" s="28" t="n">
        <f aca="false">AR1288*$M1288</f>
        <v>0</v>
      </c>
      <c r="AT1288" s="28"/>
      <c r="AU1288" s="28" t="n">
        <f aca="false">AT1288*$M1288</f>
        <v>0</v>
      </c>
      <c r="AV1288" s="28"/>
      <c r="AW1288" s="28" t="n">
        <f aca="false">AV1288*$M1288</f>
        <v>0</v>
      </c>
      <c r="AX1288" s="28"/>
      <c r="AY1288" s="28" t="n">
        <f aca="false">AX1288*$M1288</f>
        <v>0</v>
      </c>
      <c r="AZ1288" s="30" t="n">
        <f aca="false">13584/100</f>
        <v>135.84</v>
      </c>
      <c r="BA1288" s="11" t="n">
        <v>1358</v>
      </c>
      <c r="BB1288" s="31" t="n">
        <f aca="false">SUM(Q1288,S1288,U1288,W1288,Y1288,AA1288,AC1288,AE1288,AG1288,AI1288,AK1288,AM1288,AO1288,AQ1288,AS1288,AU1288,AW1288,AY1288)</f>
        <v>1358</v>
      </c>
      <c r="BC1288" s="28" t="n">
        <f aca="false">BA1288-BB1288</f>
        <v>0</v>
      </c>
      <c r="BD1288" s="32" t="n">
        <f aca="false">SUM(P1288,R1288,T1288,V1288,X1288,Z1288,AB1288,AD1288,AF1288,AH1288,AJ1288,AL1288,AN1288,AP1288,AR1288,AT1288,AV1288,AX1288)</f>
        <v>135.84</v>
      </c>
      <c r="BE1288" s="33" t="n">
        <f aca="false">AZ1288-BD1288</f>
        <v>0</v>
      </c>
      <c r="BF1288" s="34" t="n">
        <f aca="false">BD1288*M1288</f>
        <v>1358.4</v>
      </c>
      <c r="BG1288" s="35" t="n">
        <f aca="false">BA1288-BF1288</f>
        <v>-0.400000000000091</v>
      </c>
      <c r="BH1288" s="19" t="str">
        <f aca="false">IF(BG1288=0,"",IF(BG1288&lt;&gt;BA1288,"erreur de calcul",IF(BD1288&lt;&gt;0,"pas de prix",IF(M1288&lt;&gt; 0,"pas de quantité","pas de prix, ni de quantité"))))</f>
        <v>erreur de calcul</v>
      </c>
      <c r="BI1288" s="19"/>
    </row>
    <row r="1289" customFormat="false" ht="15" hidden="false" customHeight="false" outlineLevel="0" collapsed="false">
      <c r="A1289" s="0" t="n">
        <v>26</v>
      </c>
      <c r="B1289" s="8" t="s">
        <v>24</v>
      </c>
      <c r="C1289" s="9" t="s">
        <v>25</v>
      </c>
      <c r="D1289" s="9" t="s">
        <v>26</v>
      </c>
      <c r="E1289" s="10" t="n">
        <v>1789</v>
      </c>
      <c r="F1289" s="9" t="s">
        <v>27</v>
      </c>
      <c r="G1289" s="9" t="s">
        <v>27</v>
      </c>
      <c r="H1289" s="11" t="n">
        <v>24</v>
      </c>
      <c r="I1289" s="11" t="s">
        <v>316</v>
      </c>
      <c r="J1289" s="14" t="n">
        <v>12</v>
      </c>
      <c r="K1289" s="14"/>
      <c r="L1289" s="16"/>
      <c r="M1289" s="27" t="n">
        <f aca="false">J1289+(K1289/20)+(L1289/240)</f>
        <v>12</v>
      </c>
      <c r="N1289" s="17" t="s">
        <v>64</v>
      </c>
      <c r="O1289" s="11"/>
      <c r="P1289" s="28" t="n">
        <f aca="false">8690/100</f>
        <v>86.9</v>
      </c>
      <c r="Q1289" s="28" t="n">
        <v>1043</v>
      </c>
      <c r="R1289" s="28"/>
      <c r="S1289" s="28" t="n">
        <f aca="false">R1289*$M1289</f>
        <v>0</v>
      </c>
      <c r="T1289" s="28"/>
      <c r="U1289" s="28" t="n">
        <f aca="false">T1289*$M1289</f>
        <v>0</v>
      </c>
      <c r="V1289" s="28"/>
      <c r="W1289" s="28" t="n">
        <f aca="false">V1289*$M1289</f>
        <v>0</v>
      </c>
      <c r="X1289" s="28" t="n">
        <f aca="false">10000/100</f>
        <v>100</v>
      </c>
      <c r="Y1289" s="28" t="n">
        <v>1200</v>
      </c>
      <c r="Z1289" s="28"/>
      <c r="AA1289" s="28" t="n">
        <f aca="false">Z1289*$M1289</f>
        <v>0</v>
      </c>
      <c r="AB1289" s="28"/>
      <c r="AC1289" s="28" t="n">
        <f aca="false">AB1289*$M1289</f>
        <v>0</v>
      </c>
      <c r="AD1289" s="28"/>
      <c r="AE1289" s="28" t="n">
        <f aca="false">AD1289*$M1289</f>
        <v>0</v>
      </c>
      <c r="AF1289" s="28"/>
      <c r="AG1289" s="28" t="n">
        <f aca="false">AF1289*$M1289</f>
        <v>0</v>
      </c>
      <c r="AH1289" s="28"/>
      <c r="AI1289" s="28" t="n">
        <f aca="false">AH1289*$M1289</f>
        <v>0</v>
      </c>
      <c r="AJ1289" s="28"/>
      <c r="AK1289" s="28" t="n">
        <f aca="false">AJ1289*$M1289</f>
        <v>0</v>
      </c>
      <c r="AL1289" s="28"/>
      <c r="AM1289" s="28" t="n">
        <f aca="false">AL1289*$M1289</f>
        <v>0</v>
      </c>
      <c r="AN1289" s="28"/>
      <c r="AO1289" s="28" t="n">
        <f aca="false">AN1289*$M1289</f>
        <v>0</v>
      </c>
      <c r="AP1289" s="28"/>
      <c r="AQ1289" s="28" t="n">
        <f aca="false">AP1289*$M1289</f>
        <v>0</v>
      </c>
      <c r="AR1289" s="28"/>
      <c r="AS1289" s="28" t="n">
        <f aca="false">AR1289*$M1289</f>
        <v>0</v>
      </c>
      <c r="AT1289" s="28"/>
      <c r="AU1289" s="28" t="n">
        <f aca="false">AT1289*$M1289</f>
        <v>0</v>
      </c>
      <c r="AV1289" s="28"/>
      <c r="AW1289" s="28" t="n">
        <f aca="false">AV1289*$M1289</f>
        <v>0</v>
      </c>
      <c r="AX1289" s="28"/>
      <c r="AY1289" s="28" t="n">
        <f aca="false">AX1289*$M1289</f>
        <v>0</v>
      </c>
      <c r="AZ1289" s="30" t="n">
        <f aca="false">18690/100</f>
        <v>186.9</v>
      </c>
      <c r="BA1289" s="11" t="n">
        <v>2243</v>
      </c>
      <c r="BB1289" s="31" t="n">
        <f aca="false">SUM(Q1289,S1289,U1289,W1289,Y1289,AA1289,AC1289,AE1289,AG1289,AI1289,AK1289,AM1289,AO1289,AQ1289,AS1289,AU1289,AW1289,AY1289)</f>
        <v>2243</v>
      </c>
      <c r="BC1289" s="28" t="n">
        <f aca="false">BA1289-BB1289</f>
        <v>0</v>
      </c>
      <c r="BD1289" s="32" t="n">
        <f aca="false">SUM(P1289,R1289,T1289,V1289,X1289,Z1289,AB1289,AD1289,AF1289,AH1289,AJ1289,AL1289,AN1289,AP1289,AR1289,AT1289,AV1289,AX1289)</f>
        <v>186.9</v>
      </c>
      <c r="BE1289" s="33" t="n">
        <f aca="false">AZ1289-BD1289</f>
        <v>0</v>
      </c>
      <c r="BF1289" s="34" t="n">
        <f aca="false">BD1289*M1289</f>
        <v>2242.8</v>
      </c>
      <c r="BG1289" s="35" t="n">
        <f aca="false">BA1289-BF1289</f>
        <v>0.199999999999818</v>
      </c>
      <c r="BH1289" s="19" t="str">
        <f aca="false">IF(BG1289=0,"",IF(BG1289&lt;&gt;BA1289,"erreur de calcul",IF(BD1289&lt;&gt;0,"pas de prix",IF(M1289&lt;&gt; 0,"pas de quantité","pas de prix, ni de quantité"))))</f>
        <v>erreur de calcul</v>
      </c>
      <c r="BI1289" s="19"/>
    </row>
    <row r="1290" customFormat="false" ht="15" hidden="false" customHeight="false" outlineLevel="0" collapsed="false">
      <c r="A1290" s="0" t="n">
        <v>27</v>
      </c>
      <c r="B1290" s="8" t="s">
        <v>24</v>
      </c>
      <c r="C1290" s="9" t="s">
        <v>25</v>
      </c>
      <c r="D1290" s="9" t="s">
        <v>26</v>
      </c>
      <c r="E1290" s="10" t="n">
        <v>1789</v>
      </c>
      <c r="F1290" s="9" t="s">
        <v>27</v>
      </c>
      <c r="G1290" s="9" t="s">
        <v>27</v>
      </c>
      <c r="H1290" s="11" t="n">
        <v>24</v>
      </c>
      <c r="I1290" s="11" t="s">
        <v>317</v>
      </c>
      <c r="J1290" s="14" t="n">
        <v>2</v>
      </c>
      <c r="K1290" s="14"/>
      <c r="L1290" s="16"/>
      <c r="M1290" s="27" t="n">
        <f aca="false">J1290+(K1290/20)+(L1290/240)</f>
        <v>2</v>
      </c>
      <c r="N1290" s="17" t="s">
        <v>64</v>
      </c>
      <c r="O1290" s="11"/>
      <c r="P1290" s="28"/>
      <c r="Q1290" s="28" t="n">
        <f aca="false">P1290*$M1290</f>
        <v>0</v>
      </c>
      <c r="R1290" s="28"/>
      <c r="S1290" s="28" t="n">
        <f aca="false">R1290*$M1290</f>
        <v>0</v>
      </c>
      <c r="T1290" s="28"/>
      <c r="U1290" s="28" t="n">
        <f aca="false">T1290*$M1290</f>
        <v>0</v>
      </c>
      <c r="V1290" s="28"/>
      <c r="W1290" s="28" t="n">
        <f aca="false">V1290*$M1290</f>
        <v>0</v>
      </c>
      <c r="X1290" s="28"/>
      <c r="Y1290" s="28" t="n">
        <f aca="false">X1290*$M1290</f>
        <v>0</v>
      </c>
      <c r="Z1290" s="28"/>
      <c r="AA1290" s="28" t="n">
        <f aca="false">Z1290*$M1290</f>
        <v>0</v>
      </c>
      <c r="AB1290" s="28" t="n">
        <f aca="false">15417/100</f>
        <v>154.17</v>
      </c>
      <c r="AC1290" s="28" t="n">
        <v>308</v>
      </c>
      <c r="AD1290" s="28"/>
      <c r="AE1290" s="28" t="n">
        <f aca="false">AD1290*$M1290</f>
        <v>0</v>
      </c>
      <c r="AF1290" s="28"/>
      <c r="AG1290" s="28" t="n">
        <f aca="false">AF1290*$M1290</f>
        <v>0</v>
      </c>
      <c r="AH1290" s="28"/>
      <c r="AI1290" s="28" t="n">
        <f aca="false">AH1290*$M1290</f>
        <v>0</v>
      </c>
      <c r="AJ1290" s="28"/>
      <c r="AK1290" s="28" t="n">
        <f aca="false">AJ1290*$M1290</f>
        <v>0</v>
      </c>
      <c r="AL1290" s="28"/>
      <c r="AM1290" s="28" t="n">
        <f aca="false">AL1290*$M1290</f>
        <v>0</v>
      </c>
      <c r="AN1290" s="28"/>
      <c r="AO1290" s="28" t="n">
        <f aca="false">AN1290*$M1290</f>
        <v>0</v>
      </c>
      <c r="AP1290" s="28"/>
      <c r="AQ1290" s="28" t="n">
        <f aca="false">AP1290*$M1290</f>
        <v>0</v>
      </c>
      <c r="AR1290" s="28"/>
      <c r="AS1290" s="28" t="n">
        <f aca="false">AR1290*$M1290</f>
        <v>0</v>
      </c>
      <c r="AT1290" s="28"/>
      <c r="AU1290" s="28" t="n">
        <f aca="false">AT1290*$M1290</f>
        <v>0</v>
      </c>
      <c r="AV1290" s="28"/>
      <c r="AW1290" s="28" t="n">
        <f aca="false">AV1290*$M1290</f>
        <v>0</v>
      </c>
      <c r="AX1290" s="28"/>
      <c r="AY1290" s="28" t="n">
        <f aca="false">AX1290*$M1290</f>
        <v>0</v>
      </c>
      <c r="AZ1290" s="30" t="n">
        <f aca="false">15417/100</f>
        <v>154.17</v>
      </c>
      <c r="BA1290" s="11" t="n">
        <v>308</v>
      </c>
      <c r="BB1290" s="31" t="n">
        <f aca="false">SUM(Q1290,S1290,U1290,W1290,Y1290,AA1290,AC1290,AE1290,AG1290,AI1290,AK1290,AM1290,AO1290,AQ1290,AS1290,AU1290,AW1290,AY1290)</f>
        <v>308</v>
      </c>
      <c r="BC1290" s="28" t="n">
        <f aca="false">BA1290-BB1290</f>
        <v>0</v>
      </c>
      <c r="BD1290" s="32" t="n">
        <f aca="false">SUM(P1290,R1290,T1290,V1290,X1290,Z1290,AB1290,AD1290,AF1290,AH1290,AJ1290,AL1290,AN1290,AP1290,AR1290,AT1290,AV1290,AX1290)</f>
        <v>154.17</v>
      </c>
      <c r="BE1290" s="33" t="n">
        <f aca="false">AZ1290-BD1290</f>
        <v>0</v>
      </c>
      <c r="BF1290" s="34" t="n">
        <f aca="false">BD1290*M1290</f>
        <v>308.34</v>
      </c>
      <c r="BG1290" s="35" t="n">
        <f aca="false">BA1290-BF1290</f>
        <v>-0.339999999999975</v>
      </c>
      <c r="BH1290" s="19" t="str">
        <f aca="false">IF(BG1290=0,"",IF(BG1290&lt;&gt;BA1290,"erreur de calcul",IF(BD1290&lt;&gt;0,"pas de prix",IF(M1290&lt;&gt; 0,"pas de quantité","pas de prix, ni de quantité"))))</f>
        <v>erreur de calcul</v>
      </c>
      <c r="BI1290" s="19"/>
    </row>
    <row r="1291" customFormat="false" ht="15" hidden="false" customHeight="false" outlineLevel="0" collapsed="false">
      <c r="A1291" s="0" t="n">
        <v>28</v>
      </c>
      <c r="B1291" s="8" t="s">
        <v>24</v>
      </c>
      <c r="C1291" s="9" t="s">
        <v>25</v>
      </c>
      <c r="D1291" s="9" t="s">
        <v>26</v>
      </c>
      <c r="E1291" s="10" t="n">
        <v>1789</v>
      </c>
      <c r="F1291" s="9" t="s">
        <v>27</v>
      </c>
      <c r="G1291" s="9" t="s">
        <v>27</v>
      </c>
      <c r="H1291" s="11" t="n">
        <v>24</v>
      </c>
      <c r="I1291" s="11" t="s">
        <v>318</v>
      </c>
      <c r="J1291" s="14" t="n">
        <v>30</v>
      </c>
      <c r="K1291" s="14"/>
      <c r="L1291" s="16"/>
      <c r="M1291" s="27" t="n">
        <f aca="false">J1291+(K1291/20)+(L1291/240)</f>
        <v>30</v>
      </c>
      <c r="N1291" s="17" t="s">
        <v>64</v>
      </c>
      <c r="O1291" s="11"/>
      <c r="P1291" s="28" t="n">
        <f aca="false">55459/100</f>
        <v>554.59</v>
      </c>
      <c r="Q1291" s="28" t="n">
        <v>16638</v>
      </c>
      <c r="R1291" s="28"/>
      <c r="S1291" s="28" t="n">
        <f aca="false">R1291*$M1291</f>
        <v>0</v>
      </c>
      <c r="T1291" s="28"/>
      <c r="U1291" s="28" t="n">
        <f aca="false">T1291*$M1291</f>
        <v>0</v>
      </c>
      <c r="V1291" s="28"/>
      <c r="W1291" s="28" t="n">
        <f aca="false">V1291*$M1291</f>
        <v>0</v>
      </c>
      <c r="X1291" s="28"/>
      <c r="Y1291" s="28" t="n">
        <f aca="false">X1291*$M1291</f>
        <v>0</v>
      </c>
      <c r="Z1291" s="28"/>
      <c r="AA1291" s="28" t="n">
        <f aca="false">Z1291*$M1291</f>
        <v>0</v>
      </c>
      <c r="AB1291" s="28"/>
      <c r="AC1291" s="28" t="n">
        <f aca="false">AB1291*$M1291</f>
        <v>0</v>
      </c>
      <c r="AD1291" s="28"/>
      <c r="AE1291" s="28" t="n">
        <f aca="false">AD1291*$M1291</f>
        <v>0</v>
      </c>
      <c r="AF1291" s="28"/>
      <c r="AG1291" s="28" t="n">
        <f aca="false">AF1291*$M1291</f>
        <v>0</v>
      </c>
      <c r="AH1291" s="28"/>
      <c r="AI1291" s="28" t="n">
        <f aca="false">AH1291*$M1291</f>
        <v>0</v>
      </c>
      <c r="AJ1291" s="28"/>
      <c r="AK1291" s="28" t="n">
        <f aca="false">AJ1291*$M1291</f>
        <v>0</v>
      </c>
      <c r="AL1291" s="28"/>
      <c r="AM1291" s="28" t="n">
        <f aca="false">AL1291*$M1291</f>
        <v>0</v>
      </c>
      <c r="AN1291" s="28"/>
      <c r="AO1291" s="28" t="n">
        <f aca="false">AN1291*$M1291</f>
        <v>0</v>
      </c>
      <c r="AP1291" s="28"/>
      <c r="AQ1291" s="28" t="n">
        <f aca="false">AP1291*$M1291</f>
        <v>0</v>
      </c>
      <c r="AR1291" s="28"/>
      <c r="AS1291" s="28" t="n">
        <f aca="false">AR1291*$M1291</f>
        <v>0</v>
      </c>
      <c r="AT1291" s="28"/>
      <c r="AU1291" s="28" t="n">
        <f aca="false">AT1291*$M1291</f>
        <v>0</v>
      </c>
      <c r="AV1291" s="28"/>
      <c r="AW1291" s="28" t="n">
        <f aca="false">AV1291*$M1291</f>
        <v>0</v>
      </c>
      <c r="AX1291" s="28"/>
      <c r="AY1291" s="28" t="n">
        <f aca="false">AX1291*$M1291</f>
        <v>0</v>
      </c>
      <c r="AZ1291" s="30" t="n">
        <f aca="false">55459/100</f>
        <v>554.59</v>
      </c>
      <c r="BA1291" s="11" t="n">
        <v>16638</v>
      </c>
      <c r="BB1291" s="31" t="n">
        <f aca="false">SUM(Q1291,S1291,U1291,W1291,Y1291,AA1291,AC1291,AE1291,AG1291,AI1291,AK1291,AM1291,AO1291,AQ1291,AS1291,AU1291,AW1291,AY1291)</f>
        <v>16638</v>
      </c>
      <c r="BC1291" s="28" t="n">
        <f aca="false">BA1291-BB1291</f>
        <v>0</v>
      </c>
      <c r="BD1291" s="32" t="n">
        <f aca="false">SUM(P1291,R1291,T1291,V1291,X1291,Z1291,AB1291,AD1291,AF1291,AH1291,AJ1291,AL1291,AN1291,AP1291,AR1291,AT1291,AV1291,AX1291)</f>
        <v>554.59</v>
      </c>
      <c r="BE1291" s="33" t="n">
        <f aca="false">AZ1291-BD1291</f>
        <v>0</v>
      </c>
      <c r="BF1291" s="34" t="n">
        <f aca="false">BD1291*M1291</f>
        <v>16637.7</v>
      </c>
      <c r="BG1291" s="35" t="n">
        <f aca="false">BA1291-BF1291</f>
        <v>0.299999999999272</v>
      </c>
      <c r="BH1291" s="19" t="str">
        <f aca="false">IF(BG1291=0,"",IF(BG1291&lt;&gt;BA1291,"erreur de calcul",IF(BD1291&lt;&gt;0,"pas de prix",IF(M1291&lt;&gt; 0,"pas de quantité","pas de prix, ni de quantité"))))</f>
        <v>erreur de calcul</v>
      </c>
      <c r="BI1291" s="19"/>
    </row>
    <row r="1292" customFormat="false" ht="15" hidden="false" customHeight="false" outlineLevel="0" collapsed="false">
      <c r="A1292" s="0" t="n">
        <v>29</v>
      </c>
      <c r="B1292" s="8" t="s">
        <v>24</v>
      </c>
      <c r="C1292" s="9" t="s">
        <v>25</v>
      </c>
      <c r="D1292" s="9" t="s">
        <v>26</v>
      </c>
      <c r="E1292" s="10" t="n">
        <v>1789</v>
      </c>
      <c r="F1292" s="9" t="s">
        <v>27</v>
      </c>
      <c r="G1292" s="9" t="s">
        <v>27</v>
      </c>
      <c r="H1292" s="11" t="n">
        <v>24</v>
      </c>
      <c r="I1292" s="11" t="s">
        <v>319</v>
      </c>
      <c r="J1292" s="14" t="n">
        <v>10</v>
      </c>
      <c r="K1292" s="14"/>
      <c r="L1292" s="16"/>
      <c r="M1292" s="27" t="n">
        <f aca="false">J1292+(K1292/20)+(L1292/240)</f>
        <v>10</v>
      </c>
      <c r="N1292" s="17" t="s">
        <v>64</v>
      </c>
      <c r="O1292" s="11"/>
      <c r="P1292" s="28" t="n">
        <f aca="false">48819/100</f>
        <v>488.19</v>
      </c>
      <c r="Q1292" s="28" t="n">
        <v>4882</v>
      </c>
      <c r="R1292" s="28"/>
      <c r="S1292" s="28" t="n">
        <f aca="false">R1292*$M1292</f>
        <v>0</v>
      </c>
      <c r="T1292" s="28" t="n">
        <f aca="false">2500/100</f>
        <v>25</v>
      </c>
      <c r="U1292" s="28" t="n">
        <v>250</v>
      </c>
      <c r="V1292" s="28"/>
      <c r="W1292" s="28" t="n">
        <f aca="false">V1292*$M1292</f>
        <v>0</v>
      </c>
      <c r="X1292" s="28" t="n">
        <f aca="false">6667/100</f>
        <v>66.67</v>
      </c>
      <c r="Y1292" s="28" t="n">
        <v>667</v>
      </c>
      <c r="Z1292" s="28"/>
      <c r="AA1292" s="28" t="n">
        <f aca="false">Z1292*$M1292</f>
        <v>0</v>
      </c>
      <c r="AB1292" s="28"/>
      <c r="AC1292" s="28" t="n">
        <f aca="false">AB1292*$M1292</f>
        <v>0</v>
      </c>
      <c r="AD1292" s="28"/>
      <c r="AE1292" s="28" t="n">
        <f aca="false">AD1292*$M1292</f>
        <v>0</v>
      </c>
      <c r="AF1292" s="28"/>
      <c r="AG1292" s="28" t="n">
        <f aca="false">AF1292*$M1292</f>
        <v>0</v>
      </c>
      <c r="AH1292" s="28"/>
      <c r="AI1292" s="28" t="n">
        <f aca="false">AH1292*$M1292</f>
        <v>0</v>
      </c>
      <c r="AJ1292" s="28"/>
      <c r="AK1292" s="28" t="n">
        <f aca="false">AJ1292*$M1292</f>
        <v>0</v>
      </c>
      <c r="AL1292" s="28"/>
      <c r="AM1292" s="28" t="n">
        <f aca="false">AL1292*$M1292</f>
        <v>0</v>
      </c>
      <c r="AN1292" s="28"/>
      <c r="AO1292" s="28" t="n">
        <f aca="false">AN1292*$M1292</f>
        <v>0</v>
      </c>
      <c r="AP1292" s="28"/>
      <c r="AQ1292" s="28" t="n">
        <f aca="false">AP1292*$M1292</f>
        <v>0</v>
      </c>
      <c r="AR1292" s="28"/>
      <c r="AS1292" s="28" t="n">
        <f aca="false">AR1292*$M1292</f>
        <v>0</v>
      </c>
      <c r="AT1292" s="28"/>
      <c r="AU1292" s="28" t="n">
        <f aca="false">AT1292*$M1292</f>
        <v>0</v>
      </c>
      <c r="AV1292" s="28"/>
      <c r="AW1292" s="28" t="n">
        <f aca="false">AV1292*$M1292</f>
        <v>0</v>
      </c>
      <c r="AX1292" s="28"/>
      <c r="AY1292" s="28" t="n">
        <f aca="false">AX1292*$M1292</f>
        <v>0</v>
      </c>
      <c r="AZ1292" s="30" t="n">
        <f aca="false">57986/100</f>
        <v>579.86</v>
      </c>
      <c r="BA1292" s="11" t="n">
        <v>5799</v>
      </c>
      <c r="BB1292" s="31" t="n">
        <f aca="false">SUM(Q1292,S1292,U1292,W1292,Y1292,AA1292,AC1292,AE1292,AG1292,AI1292,AK1292,AM1292,AO1292,AQ1292,AS1292,AU1292,AW1292,AY1292)</f>
        <v>5799</v>
      </c>
      <c r="BC1292" s="28" t="n">
        <f aca="false">BA1292-BB1292</f>
        <v>0</v>
      </c>
      <c r="BD1292" s="32" t="n">
        <f aca="false">SUM(P1292,R1292,T1292,V1292,X1292,Z1292,AB1292,AD1292,AF1292,AH1292,AJ1292,AL1292,AN1292,AP1292,AR1292,AT1292,AV1292,AX1292)</f>
        <v>579.86</v>
      </c>
      <c r="BE1292" s="33" t="n">
        <f aca="false">AZ1292-BD1292</f>
        <v>0</v>
      </c>
      <c r="BF1292" s="34" t="n">
        <f aca="false">BD1292*M1292</f>
        <v>5798.6</v>
      </c>
      <c r="BG1292" s="35" t="n">
        <f aca="false">BA1292-BF1292</f>
        <v>0.399999999999636</v>
      </c>
      <c r="BH1292" s="19" t="str">
        <f aca="false">IF(BG1292=0,"",IF(BG1292&lt;&gt;BA1292,"erreur de calcul",IF(BD1292&lt;&gt;0,"pas de prix",IF(M1292&lt;&gt; 0,"pas de quantité","pas de prix, ni de quantité"))))</f>
        <v>erreur de calcul</v>
      </c>
      <c r="BI1292" s="19"/>
    </row>
    <row r="1293" customFormat="false" ht="15" hidden="false" customHeight="false" outlineLevel="0" collapsed="false">
      <c r="A1293" s="0" t="n">
        <v>30</v>
      </c>
      <c r="B1293" s="8" t="s">
        <v>24</v>
      </c>
      <c r="C1293" s="9" t="s">
        <v>25</v>
      </c>
      <c r="D1293" s="9" t="s">
        <v>26</v>
      </c>
      <c r="E1293" s="10" t="n">
        <v>1789</v>
      </c>
      <c r="F1293" s="9" t="s">
        <v>27</v>
      </c>
      <c r="G1293" s="9" t="s">
        <v>27</v>
      </c>
      <c r="H1293" s="11" t="n">
        <v>24</v>
      </c>
      <c r="I1293" s="11" t="s">
        <v>320</v>
      </c>
      <c r="J1293" s="14" t="n">
        <v>90</v>
      </c>
      <c r="K1293" s="14"/>
      <c r="L1293" s="16"/>
      <c r="M1293" s="27" t="n">
        <f aca="false">J1293+(K1293/20)+(L1293/240)</f>
        <v>90</v>
      </c>
      <c r="N1293" s="17" t="s">
        <v>64</v>
      </c>
      <c r="O1293" s="11"/>
      <c r="P1293" s="28"/>
      <c r="Q1293" s="28" t="n">
        <f aca="false">P1293*$M1293</f>
        <v>0</v>
      </c>
      <c r="R1293" s="28"/>
      <c r="S1293" s="28" t="n">
        <f aca="false">R1293*$M1293</f>
        <v>0</v>
      </c>
      <c r="T1293" s="28"/>
      <c r="U1293" s="28" t="n">
        <f aca="false">T1293*$M1293</f>
        <v>0</v>
      </c>
      <c r="V1293" s="28"/>
      <c r="W1293" s="28" t="n">
        <f aca="false">V1293*$M1293</f>
        <v>0</v>
      </c>
      <c r="X1293" s="28"/>
      <c r="Y1293" s="28" t="n">
        <f aca="false">X1293*$M1293</f>
        <v>0</v>
      </c>
      <c r="Z1293" s="28"/>
      <c r="AA1293" s="28" t="n">
        <f aca="false">Z1293*$M1293</f>
        <v>0</v>
      </c>
      <c r="AB1293" s="28"/>
      <c r="AC1293" s="28" t="n">
        <f aca="false">AB1293*$M1293</f>
        <v>0</v>
      </c>
      <c r="AD1293" s="28"/>
      <c r="AE1293" s="28" t="n">
        <f aca="false">AD1293*$M1293</f>
        <v>0</v>
      </c>
      <c r="AF1293" s="28"/>
      <c r="AG1293" s="28" t="n">
        <f aca="false">AF1293*$M1293</f>
        <v>0</v>
      </c>
      <c r="AH1293" s="28"/>
      <c r="AI1293" s="28" t="n">
        <f aca="false">AH1293*$M1293</f>
        <v>0</v>
      </c>
      <c r="AJ1293" s="28"/>
      <c r="AK1293" s="28" t="n">
        <f aca="false">AJ1293*$M1293</f>
        <v>0</v>
      </c>
      <c r="AL1293" s="28" t="n">
        <f aca="false">2950/100</f>
        <v>29.5</v>
      </c>
      <c r="AM1293" s="28" t="n">
        <v>2655</v>
      </c>
      <c r="AN1293" s="28"/>
      <c r="AO1293" s="28" t="n">
        <f aca="false">AN1293*$M1293</f>
        <v>0</v>
      </c>
      <c r="AP1293" s="28"/>
      <c r="AQ1293" s="28" t="n">
        <f aca="false">AP1293*$M1293</f>
        <v>0</v>
      </c>
      <c r="AR1293" s="28"/>
      <c r="AS1293" s="28" t="n">
        <f aca="false">AR1293*$M1293</f>
        <v>0</v>
      </c>
      <c r="AT1293" s="28"/>
      <c r="AU1293" s="28" t="n">
        <f aca="false">AT1293*$M1293</f>
        <v>0</v>
      </c>
      <c r="AV1293" s="28"/>
      <c r="AW1293" s="28" t="n">
        <f aca="false">AV1293*$M1293</f>
        <v>0</v>
      </c>
      <c r="AX1293" s="28"/>
      <c r="AY1293" s="28" t="n">
        <f aca="false">AX1293*$M1293</f>
        <v>0</v>
      </c>
      <c r="AZ1293" s="30" t="n">
        <f aca="false">2950/100</f>
        <v>29.5</v>
      </c>
      <c r="BA1293" s="11" t="n">
        <v>2655</v>
      </c>
      <c r="BB1293" s="31" t="n">
        <f aca="false">SUM(Q1293,S1293,U1293,W1293,Y1293,AA1293,AC1293,AE1293,AG1293,AI1293,AK1293,AM1293,AO1293,AQ1293,AS1293,AU1293,AW1293,AY1293)</f>
        <v>2655</v>
      </c>
      <c r="BC1293" s="28" t="n">
        <f aca="false">BA1293-BB1293</f>
        <v>0</v>
      </c>
      <c r="BD1293" s="32" t="n">
        <f aca="false">SUM(P1293,R1293,T1293,V1293,X1293,Z1293,AB1293,AD1293,AF1293,AH1293,AJ1293,AL1293,AN1293,AP1293,AR1293,AT1293,AV1293,AX1293)</f>
        <v>29.5</v>
      </c>
      <c r="BE1293" s="33" t="n">
        <f aca="false">AZ1293-BD1293</f>
        <v>0</v>
      </c>
      <c r="BF1293" s="34" t="n">
        <f aca="false">BD1293*M1293</f>
        <v>2655</v>
      </c>
      <c r="BG1293" s="35" t="n">
        <f aca="false">BA1293-BF1293</f>
        <v>0</v>
      </c>
      <c r="BH1293" s="19" t="str">
        <f aca="false">IF(BG1293=0,"",IF(BG1293&lt;&gt;BA1293,"erreur de calcul",IF(BD1293&lt;&gt;0,"pas de prix",IF(M1293&lt;&gt; 0,"pas de quantité","pas de prix, ni de quantité"))))</f>
        <v/>
      </c>
      <c r="BI1293" s="19"/>
    </row>
    <row r="1294" customFormat="false" ht="15" hidden="false" customHeight="false" outlineLevel="0" collapsed="false">
      <c r="A1294" s="0" t="n">
        <v>31</v>
      </c>
      <c r="B1294" s="8" t="s">
        <v>24</v>
      </c>
      <c r="C1294" s="9" t="s">
        <v>25</v>
      </c>
      <c r="D1294" s="9" t="s">
        <v>26</v>
      </c>
      <c r="E1294" s="10" t="n">
        <v>1789</v>
      </c>
      <c r="F1294" s="9" t="s">
        <v>27</v>
      </c>
      <c r="G1294" s="9" t="s">
        <v>27</v>
      </c>
      <c r="H1294" s="11" t="n">
        <v>24</v>
      </c>
      <c r="I1294" s="11" t="s">
        <v>321</v>
      </c>
      <c r="J1294" s="14" t="n">
        <v>50</v>
      </c>
      <c r="K1294" s="14"/>
      <c r="L1294" s="16"/>
      <c r="M1294" s="27" t="n">
        <f aca="false">J1294+(K1294/20)+(L1294/240)</f>
        <v>50</v>
      </c>
      <c r="N1294" s="17" t="s">
        <v>64</v>
      </c>
      <c r="O1294" s="11" t="s">
        <v>277</v>
      </c>
      <c r="P1294" s="28"/>
      <c r="Q1294" s="28" t="n">
        <f aca="false">P1294*$M1294</f>
        <v>0</v>
      </c>
      <c r="R1294" s="28"/>
      <c r="S1294" s="28" t="n">
        <f aca="false">R1294*$M1294</f>
        <v>0</v>
      </c>
      <c r="T1294" s="28" t="n">
        <f aca="false">2*288*0.02+153*0.02</f>
        <v>14.58</v>
      </c>
      <c r="U1294" s="28" t="n">
        <v>729</v>
      </c>
      <c r="V1294" s="28" t="n">
        <f aca="false">2*288*0.02+118*0.02</f>
        <v>13.88</v>
      </c>
      <c r="W1294" s="28" t="n">
        <v>694</v>
      </c>
      <c r="X1294" s="28" t="n">
        <f aca="false">25*288*0.02+103*0.02</f>
        <v>146.06</v>
      </c>
      <c r="Y1294" s="28" t="n">
        <v>7303</v>
      </c>
      <c r="Z1294" s="28"/>
      <c r="AA1294" s="28" t="n">
        <f aca="false">Z1294*$M1294</f>
        <v>0</v>
      </c>
      <c r="AB1294" s="28" t="n">
        <f aca="false">1*288*0.02+74*0.02</f>
        <v>7.24</v>
      </c>
      <c r="AC1294" s="28" t="n">
        <v>362</v>
      </c>
      <c r="AD1294" s="28" t="n">
        <f aca="false">276*0.02</f>
        <v>5.52</v>
      </c>
      <c r="AE1294" s="28" t="n">
        <v>276</v>
      </c>
      <c r="AF1294" s="28"/>
      <c r="AG1294" s="28" t="n">
        <f aca="false">AF1294*$M1294</f>
        <v>0</v>
      </c>
      <c r="AH1294" s="28" t="n">
        <f aca="false">1*288*0.02+75*0.02</f>
        <v>7.26</v>
      </c>
      <c r="AI1294" s="28" t="n">
        <v>363</v>
      </c>
      <c r="AJ1294" s="28" t="n">
        <f aca="false">2*288*0.02+176*0.02</f>
        <v>15.04</v>
      </c>
      <c r="AK1294" s="28" t="n">
        <v>752</v>
      </c>
      <c r="AL1294" s="28"/>
      <c r="AM1294" s="28" t="n">
        <f aca="false">AL1294*$M1294</f>
        <v>0</v>
      </c>
      <c r="AN1294" s="28"/>
      <c r="AO1294" s="28" t="n">
        <f aca="false">AN1294*$M1294</f>
        <v>0</v>
      </c>
      <c r="AP1294" s="28"/>
      <c r="AQ1294" s="28" t="n">
        <f aca="false">AP1294*$M1294</f>
        <v>0</v>
      </c>
      <c r="AR1294" s="28"/>
      <c r="AS1294" s="28" t="n">
        <f aca="false">AR1294*$M1294</f>
        <v>0</v>
      </c>
      <c r="AT1294" s="28"/>
      <c r="AU1294" s="28" t="n">
        <f aca="false">AT1294*$M1294</f>
        <v>0</v>
      </c>
      <c r="AV1294" s="28"/>
      <c r="AW1294" s="28" t="n">
        <f aca="false">AV1294*$M1294</f>
        <v>0</v>
      </c>
      <c r="AX1294" s="28"/>
      <c r="AY1294" s="28" t="n">
        <f aca="false">AX1294*$M1294</f>
        <v>0</v>
      </c>
      <c r="AZ1294" s="30" t="n">
        <f aca="false">36*288*0.02+111*0.02</f>
        <v>209.58</v>
      </c>
      <c r="BA1294" s="11" t="n">
        <v>10479</v>
      </c>
      <c r="BB1294" s="31" t="n">
        <f aca="false">SUM(Q1294,S1294,U1294,W1294,Y1294,AA1294,AC1294,AE1294,AG1294,AI1294,AK1294,AM1294,AO1294,AQ1294,AS1294,AU1294,AW1294,AY1294)</f>
        <v>10479</v>
      </c>
      <c r="BC1294" s="28" t="n">
        <f aca="false">BA1294-BB1294</f>
        <v>0</v>
      </c>
      <c r="BD1294" s="32" t="n">
        <f aca="false">SUM(P1294,R1294,T1294,V1294,X1294,Z1294,AB1294,AD1294,AF1294,AH1294,AJ1294,AL1294,AN1294,AP1294,AR1294,AT1294,AV1294,AX1294)</f>
        <v>209.58</v>
      </c>
      <c r="BE1294" s="33" t="n">
        <f aca="false">AZ1294-BD1294</f>
        <v>0</v>
      </c>
      <c r="BF1294" s="34" t="n">
        <f aca="false">BD1294*M1294</f>
        <v>10479</v>
      </c>
      <c r="BG1294" s="35" t="n">
        <f aca="false">BA1294-BF1294</f>
        <v>0</v>
      </c>
      <c r="BH1294" s="19" t="str">
        <f aca="false">IF(BG1294=0,"",IF(BG1294&lt;&gt;BA1294,"erreur de calcul",IF(BD1294&lt;&gt;0,"pas de prix",IF(M1294&lt;&gt; 0,"pas de quantité","pas de prix, ni de quantité"))))</f>
        <v/>
      </c>
      <c r="BI1294" s="19"/>
    </row>
    <row r="1295" customFormat="false" ht="15" hidden="false" customHeight="false" outlineLevel="0" collapsed="false">
      <c r="A1295" s="0" t="n">
        <v>32</v>
      </c>
      <c r="B1295" s="8" t="s">
        <v>24</v>
      </c>
      <c r="C1295" s="9" t="s">
        <v>25</v>
      </c>
      <c r="D1295" s="9" t="s">
        <v>26</v>
      </c>
      <c r="E1295" s="10" t="n">
        <v>1789</v>
      </c>
      <c r="F1295" s="9" t="s">
        <v>27</v>
      </c>
      <c r="G1295" s="9" t="s">
        <v>27</v>
      </c>
      <c r="H1295" s="11" t="n">
        <v>24</v>
      </c>
      <c r="I1295" s="11" t="s">
        <v>322</v>
      </c>
      <c r="J1295" s="14" t="n">
        <v>70</v>
      </c>
      <c r="K1295" s="14"/>
      <c r="L1295" s="16"/>
      <c r="M1295" s="27" t="n">
        <f aca="false">J1295+(K1295/20)+(L1295/240)</f>
        <v>70</v>
      </c>
      <c r="N1295" s="17" t="s">
        <v>64</v>
      </c>
      <c r="O1295" s="11"/>
      <c r="P1295" s="28"/>
      <c r="Q1295" s="28" t="n">
        <f aca="false">P1295*$M1295</f>
        <v>0</v>
      </c>
      <c r="R1295" s="28"/>
      <c r="S1295" s="28" t="n">
        <f aca="false">R1295*$M1295</f>
        <v>0</v>
      </c>
      <c r="T1295" s="28"/>
      <c r="U1295" s="28" t="n">
        <f aca="false">T1295*$M1295</f>
        <v>0</v>
      </c>
      <c r="V1295" s="28"/>
      <c r="W1295" s="28" t="n">
        <f aca="false">V1295*$M1295</f>
        <v>0</v>
      </c>
      <c r="X1295" s="28" t="n">
        <f aca="false">2*288*0.02+217*0.02</f>
        <v>15.86</v>
      </c>
      <c r="Y1295" s="28" t="n">
        <v>1111</v>
      </c>
      <c r="Z1295" s="28"/>
      <c r="AA1295" s="28" t="n">
        <f aca="false">Z1295*$M1295</f>
        <v>0</v>
      </c>
      <c r="AB1295" s="28"/>
      <c r="AC1295" s="28" t="n">
        <f aca="false">AB1295*$M1295</f>
        <v>0</v>
      </c>
      <c r="AD1295" s="28"/>
      <c r="AE1295" s="28" t="n">
        <f aca="false">AD1295*$M1295</f>
        <v>0</v>
      </c>
      <c r="AF1295" s="28"/>
      <c r="AG1295" s="28" t="n">
        <f aca="false">AF1295*$M1295</f>
        <v>0</v>
      </c>
      <c r="AH1295" s="28"/>
      <c r="AI1295" s="28" t="n">
        <f aca="false">AH1295*$M1295</f>
        <v>0</v>
      </c>
      <c r="AJ1295" s="28"/>
      <c r="AK1295" s="28" t="n">
        <f aca="false">AJ1295*$M1295</f>
        <v>0</v>
      </c>
      <c r="AL1295" s="28"/>
      <c r="AM1295" s="28" t="n">
        <f aca="false">AL1295*$M1295</f>
        <v>0</v>
      </c>
      <c r="AN1295" s="28"/>
      <c r="AO1295" s="28" t="n">
        <f aca="false">AN1295*$M1295</f>
        <v>0</v>
      </c>
      <c r="AP1295" s="28"/>
      <c r="AQ1295" s="28" t="n">
        <f aca="false">AP1295*$M1295</f>
        <v>0</v>
      </c>
      <c r="AR1295" s="28"/>
      <c r="AS1295" s="28" t="n">
        <f aca="false">AR1295*$M1295</f>
        <v>0</v>
      </c>
      <c r="AT1295" s="28"/>
      <c r="AU1295" s="28" t="n">
        <f aca="false">AT1295*$M1295</f>
        <v>0</v>
      </c>
      <c r="AV1295" s="28"/>
      <c r="AW1295" s="28" t="n">
        <f aca="false">AV1295*$M1295</f>
        <v>0</v>
      </c>
      <c r="AX1295" s="28"/>
      <c r="AY1295" s="28" t="n">
        <f aca="false">AX1295*$M1295</f>
        <v>0</v>
      </c>
      <c r="AZ1295" s="30" t="n">
        <f aca="false">2*288*0.02+217*0.02</f>
        <v>15.86</v>
      </c>
      <c r="BA1295" s="11" t="n">
        <v>1111</v>
      </c>
      <c r="BB1295" s="31" t="n">
        <f aca="false">SUM(Q1295,S1295,U1295,W1295,Y1295,AA1295,AC1295,AE1295,AG1295,AI1295,AK1295,AM1295,AO1295,AQ1295,AS1295,AU1295,AW1295,AY1295)</f>
        <v>1111</v>
      </c>
      <c r="BC1295" s="28" t="n">
        <f aca="false">BA1295-BB1295</f>
        <v>0</v>
      </c>
      <c r="BD1295" s="32" t="n">
        <f aca="false">SUM(P1295,R1295,T1295,V1295,X1295,Z1295,AB1295,AD1295,AF1295,AH1295,AJ1295,AL1295,AN1295,AP1295,AR1295,AT1295,AV1295,AX1295)</f>
        <v>15.86</v>
      </c>
      <c r="BE1295" s="33" t="n">
        <f aca="false">AZ1295-BD1295</f>
        <v>0</v>
      </c>
      <c r="BF1295" s="34" t="n">
        <f aca="false">BD1295*M1295</f>
        <v>1110.2</v>
      </c>
      <c r="BG1295" s="35" t="n">
        <f aca="false">BA1295-BF1295</f>
        <v>0.799999999999955</v>
      </c>
      <c r="BH1295" s="19" t="str">
        <f aca="false">IF(BG1295=0,"",IF(BG1295&lt;&gt;BA1295,"erreur de calcul",IF(BD1295&lt;&gt;0,"pas de prix",IF(M1295&lt;&gt; 0,"pas de quantité","pas de prix, ni de quantité"))))</f>
        <v>erreur de calcul</v>
      </c>
      <c r="BI1295" s="19"/>
    </row>
    <row r="1296" customFormat="false" ht="15" hidden="false" customHeight="false" outlineLevel="0" collapsed="false">
      <c r="A1296" s="0" t="n">
        <v>33</v>
      </c>
      <c r="B1296" s="8" t="s">
        <v>24</v>
      </c>
      <c r="C1296" s="9" t="s">
        <v>25</v>
      </c>
      <c r="D1296" s="9" t="s">
        <v>26</v>
      </c>
      <c r="E1296" s="10" t="n">
        <v>1789</v>
      </c>
      <c r="F1296" s="9" t="s">
        <v>27</v>
      </c>
      <c r="G1296" s="9" t="s">
        <v>27</v>
      </c>
      <c r="H1296" s="11" t="n">
        <v>24</v>
      </c>
      <c r="I1296" s="11" t="s">
        <v>323</v>
      </c>
      <c r="J1296" s="14"/>
      <c r="K1296" s="14" t="n">
        <v>40</v>
      </c>
      <c r="L1296" s="16"/>
      <c r="M1296" s="27" t="n">
        <f aca="false">J1296+(K1296/20)+(L1296/240)</f>
        <v>2</v>
      </c>
      <c r="N1296" s="17" t="s">
        <v>66</v>
      </c>
      <c r="O1296" s="11"/>
      <c r="P1296" s="28" t="n">
        <v>780</v>
      </c>
      <c r="Q1296" s="28" t="n">
        <v>1560</v>
      </c>
      <c r="R1296" s="28"/>
      <c r="S1296" s="28" t="n">
        <f aca="false">R1296*$M1296</f>
        <v>0</v>
      </c>
      <c r="T1296" s="28" t="n">
        <v>1552</v>
      </c>
      <c r="U1296" s="28" t="n">
        <v>3104</v>
      </c>
      <c r="V1296" s="28" t="n">
        <v>1051</v>
      </c>
      <c r="W1296" s="28" t="n">
        <v>2102</v>
      </c>
      <c r="X1296" s="28" t="n">
        <v>1486</v>
      </c>
      <c r="Y1296" s="28" t="n">
        <v>2972</v>
      </c>
      <c r="Z1296" s="28" t="n">
        <v>847</v>
      </c>
      <c r="AA1296" s="28" t="n">
        <v>1694</v>
      </c>
      <c r="AB1296" s="28" t="n">
        <v>114</v>
      </c>
      <c r="AC1296" s="28" t="n">
        <v>228</v>
      </c>
      <c r="AD1296" s="28" t="n">
        <v>407</v>
      </c>
      <c r="AE1296" s="28" t="n">
        <v>814</v>
      </c>
      <c r="AF1296" s="28"/>
      <c r="AG1296" s="28" t="n">
        <f aca="false">AF1296*$M1296</f>
        <v>0</v>
      </c>
      <c r="AH1296" s="28"/>
      <c r="AI1296" s="28" t="n">
        <f aca="false">AH1296*$M1296</f>
        <v>0</v>
      </c>
      <c r="AJ1296" s="28" t="n">
        <v>1297</v>
      </c>
      <c r="AK1296" s="28" t="n">
        <v>2594</v>
      </c>
      <c r="AL1296" s="28"/>
      <c r="AM1296" s="28" t="n">
        <f aca="false">AL1296*$M1296</f>
        <v>0</v>
      </c>
      <c r="AN1296" s="28"/>
      <c r="AO1296" s="28" t="n">
        <f aca="false">AN1296*$M1296</f>
        <v>0</v>
      </c>
      <c r="AP1296" s="28"/>
      <c r="AQ1296" s="28" t="n">
        <f aca="false">AP1296*$M1296</f>
        <v>0</v>
      </c>
      <c r="AR1296" s="28"/>
      <c r="AS1296" s="28" t="n">
        <f aca="false">AR1296*$M1296</f>
        <v>0</v>
      </c>
      <c r="AT1296" s="28"/>
      <c r="AU1296" s="28" t="n">
        <f aca="false">AT1296*$M1296</f>
        <v>0</v>
      </c>
      <c r="AV1296" s="28"/>
      <c r="AW1296" s="28" t="n">
        <f aca="false">AV1296*$M1296</f>
        <v>0</v>
      </c>
      <c r="AX1296" s="28"/>
      <c r="AY1296" s="28" t="n">
        <f aca="false">AX1296*$M1296</f>
        <v>0</v>
      </c>
      <c r="AZ1296" s="30" t="n">
        <v>7534</v>
      </c>
      <c r="BA1296" s="11" t="n">
        <v>15068</v>
      </c>
      <c r="BB1296" s="31" t="n">
        <f aca="false">SUM(Q1296,S1296,U1296,W1296,Y1296,AA1296,AC1296,AE1296,AG1296,AI1296,AK1296,AM1296,AO1296,AQ1296,AS1296,AU1296,AW1296,AY1296)</f>
        <v>15068</v>
      </c>
      <c r="BC1296" s="28" t="n">
        <f aca="false">BA1296-BB1296</f>
        <v>0</v>
      </c>
      <c r="BD1296" s="32" t="n">
        <f aca="false">SUM(P1296,R1296,T1296,V1296,X1296,Z1296,AB1296,AD1296,AF1296,AH1296,AJ1296,AL1296,AN1296,AP1296,AR1296,AT1296,AV1296,AX1296)</f>
        <v>7534</v>
      </c>
      <c r="BE1296" s="33" t="n">
        <f aca="false">AZ1296-BD1296</f>
        <v>0</v>
      </c>
      <c r="BF1296" s="34" t="n">
        <f aca="false">BD1296*M1296</f>
        <v>15068</v>
      </c>
      <c r="BG1296" s="35" t="n">
        <f aca="false">BA1296-BF1296</f>
        <v>0</v>
      </c>
      <c r="BH1296" s="19" t="str">
        <f aca="false">IF(BG1296=0,"",IF(BG1296&lt;&gt;BA1296,"erreur de calcul",IF(BD1296&lt;&gt;0,"pas de prix",IF(M1296&lt;&gt; 0,"pas de quantité","pas de prix, ni de quantité"))))</f>
        <v/>
      </c>
      <c r="BI1296" s="19"/>
    </row>
    <row r="1297" customFormat="false" ht="15" hidden="false" customHeight="false" outlineLevel="0" collapsed="false">
      <c r="A1297" s="0" t="n">
        <v>34</v>
      </c>
      <c r="B1297" s="8" t="s">
        <v>24</v>
      </c>
      <c r="C1297" s="9" t="s">
        <v>25</v>
      </c>
      <c r="D1297" s="9" t="s">
        <v>26</v>
      </c>
      <c r="E1297" s="10" t="n">
        <v>1789</v>
      </c>
      <c r="F1297" s="9" t="s">
        <v>27</v>
      </c>
      <c r="G1297" s="9" t="s">
        <v>27</v>
      </c>
      <c r="H1297" s="11" t="n">
        <v>24</v>
      </c>
      <c r="I1297" s="11" t="s">
        <v>324</v>
      </c>
      <c r="J1297" s="14" t="n">
        <v>15</v>
      </c>
      <c r="K1297" s="14"/>
      <c r="L1297" s="16"/>
      <c r="M1297" s="27" t="n">
        <f aca="false">J1297+(K1297/20)+(L1297/240)</f>
        <v>15</v>
      </c>
      <c r="N1297" s="17" t="s">
        <v>64</v>
      </c>
      <c r="O1297" s="11"/>
      <c r="P1297" s="28" t="n">
        <f aca="false">6834/100</f>
        <v>68.34</v>
      </c>
      <c r="Q1297" s="28" t="n">
        <v>1025</v>
      </c>
      <c r="R1297" s="28"/>
      <c r="S1297" s="28" t="n">
        <f aca="false">R1297*$M1297</f>
        <v>0</v>
      </c>
      <c r="T1297" s="28" t="n">
        <f aca="false">834/100</f>
        <v>8.34</v>
      </c>
      <c r="U1297" s="28" t="n">
        <v>125</v>
      </c>
      <c r="V1297" s="28" t="n">
        <f aca="false">197372/100</f>
        <v>1973.72</v>
      </c>
      <c r="W1297" s="28" t="n">
        <v>29606</v>
      </c>
      <c r="X1297" s="28" t="n">
        <f aca="false">2334702/100</f>
        <v>23347.02</v>
      </c>
      <c r="Y1297" s="28" t="n">
        <v>350205</v>
      </c>
      <c r="Z1297" s="28"/>
      <c r="AA1297" s="28" t="n">
        <f aca="false">Z1297*$M1297</f>
        <v>0</v>
      </c>
      <c r="AB1297" s="28" t="n">
        <f aca="false">1417/100</f>
        <v>14.17</v>
      </c>
      <c r="AC1297" s="28" t="n">
        <v>212</v>
      </c>
      <c r="AD1297" s="28"/>
      <c r="AE1297" s="28" t="n">
        <f aca="false">AD1297*$M1297</f>
        <v>0</v>
      </c>
      <c r="AF1297" s="28"/>
      <c r="AG1297" s="28" t="n">
        <f aca="false">AF1297*$M1297</f>
        <v>0</v>
      </c>
      <c r="AH1297" s="28"/>
      <c r="AI1297" s="28" t="n">
        <f aca="false">AH1297*$M1297</f>
        <v>0</v>
      </c>
      <c r="AJ1297" s="28"/>
      <c r="AK1297" s="28" t="n">
        <f aca="false">AJ1297*$M1297</f>
        <v>0</v>
      </c>
      <c r="AL1297" s="28"/>
      <c r="AM1297" s="28" t="n">
        <f aca="false">AL1297*$M1297</f>
        <v>0</v>
      </c>
      <c r="AN1297" s="28"/>
      <c r="AO1297" s="28" t="n">
        <f aca="false">AN1297*$M1297</f>
        <v>0</v>
      </c>
      <c r="AP1297" s="28"/>
      <c r="AQ1297" s="28" t="n">
        <f aca="false">AP1297*$M1297</f>
        <v>0</v>
      </c>
      <c r="AR1297" s="28"/>
      <c r="AS1297" s="28" t="n">
        <f aca="false">AR1297*$M1297</f>
        <v>0</v>
      </c>
      <c r="AT1297" s="28"/>
      <c r="AU1297" s="28" t="n">
        <f aca="false">AT1297*$M1297</f>
        <v>0</v>
      </c>
      <c r="AV1297" s="28"/>
      <c r="AW1297" s="28" t="n">
        <f aca="false">AV1297*$M1297</f>
        <v>0</v>
      </c>
      <c r="AX1297" s="28"/>
      <c r="AY1297" s="28" t="n">
        <f aca="false">AX1297*$M1297</f>
        <v>0</v>
      </c>
      <c r="AZ1297" s="30" t="n">
        <f aca="false">2541159/100</f>
        <v>25411.59</v>
      </c>
      <c r="BA1297" s="11" t="n">
        <v>381173</v>
      </c>
      <c r="BB1297" s="31" t="n">
        <f aca="false">SUM(Q1297,S1297,U1297,W1297,Y1297,AA1297,AC1297,AE1297,AG1297,AI1297,AK1297,AM1297,AO1297,AQ1297,AS1297,AU1297,AW1297,AY1297)</f>
        <v>381173</v>
      </c>
      <c r="BC1297" s="28" t="n">
        <f aca="false">BA1297-BB1297</f>
        <v>0</v>
      </c>
      <c r="BD1297" s="32" t="n">
        <f aca="false">SUM(P1297,R1297,T1297,V1297,X1297,Z1297,AB1297,AD1297,AF1297,AH1297,AJ1297,AL1297,AN1297,AP1297,AR1297,AT1297,AV1297,AX1297)</f>
        <v>25411.59</v>
      </c>
      <c r="BE1297" s="33" t="n">
        <f aca="false">AZ1297-BD1297</f>
        <v>0</v>
      </c>
      <c r="BF1297" s="34" t="n">
        <f aca="false">BD1297*M1297</f>
        <v>381173.85</v>
      </c>
      <c r="BG1297" s="35" t="n">
        <f aca="false">BA1297-BF1297</f>
        <v>-0.849999999976717</v>
      </c>
      <c r="BH1297" s="19" t="str">
        <f aca="false">IF(BG1297=0,"",IF(BG1297&lt;&gt;BA1297,"erreur de calcul",IF(BD1297&lt;&gt;0,"pas de prix",IF(M1297&lt;&gt; 0,"pas de quantité","pas de prix, ni de quantité"))))</f>
        <v>erreur de calcul</v>
      </c>
      <c r="BI1297" s="19"/>
    </row>
    <row r="1298" customFormat="false" ht="15" hidden="false" customHeight="false" outlineLevel="0" collapsed="false">
      <c r="A1298" s="0" t="n">
        <v>35</v>
      </c>
      <c r="B1298" s="8" t="s">
        <v>24</v>
      </c>
      <c r="C1298" s="9" t="s">
        <v>25</v>
      </c>
      <c r="D1298" s="9" t="s">
        <v>26</v>
      </c>
      <c r="E1298" s="10" t="n">
        <v>1789</v>
      </c>
      <c r="F1298" s="9" t="s">
        <v>27</v>
      </c>
      <c r="G1298" s="9" t="s">
        <v>27</v>
      </c>
      <c r="H1298" s="11" t="n">
        <v>24</v>
      </c>
      <c r="I1298" s="11" t="s">
        <v>325</v>
      </c>
      <c r="J1298" s="14" t="n">
        <v>25</v>
      </c>
      <c r="K1298" s="14"/>
      <c r="L1298" s="16"/>
      <c r="M1298" s="27" t="n">
        <f aca="false">J1298+(K1298/20)+(L1298/240)</f>
        <v>25</v>
      </c>
      <c r="N1298" s="17" t="s">
        <v>64</v>
      </c>
      <c r="O1298" s="11"/>
      <c r="P1298" s="28"/>
      <c r="Q1298" s="28" t="n">
        <f aca="false">P1298*$M1298</f>
        <v>0</v>
      </c>
      <c r="R1298" s="28"/>
      <c r="S1298" s="28" t="n">
        <f aca="false">R1298*$M1298</f>
        <v>0</v>
      </c>
      <c r="T1298" s="28"/>
      <c r="U1298" s="28" t="n">
        <f aca="false">T1298*$M1298</f>
        <v>0</v>
      </c>
      <c r="V1298" s="28"/>
      <c r="W1298" s="28" t="n">
        <f aca="false">V1298*$M1298</f>
        <v>0</v>
      </c>
      <c r="X1298" s="28" t="n">
        <f aca="false">4971/100</f>
        <v>49.71</v>
      </c>
      <c r="Y1298" s="28" t="n">
        <v>1243</v>
      </c>
      <c r="Z1298" s="28" t="n">
        <f aca="false">14812/100</f>
        <v>148.12</v>
      </c>
      <c r="AA1298" s="28" t="n">
        <v>3703</v>
      </c>
      <c r="AB1298" s="28"/>
      <c r="AC1298" s="28" t="n">
        <f aca="false">AB1298*$M1298</f>
        <v>0</v>
      </c>
      <c r="AD1298" s="28"/>
      <c r="AE1298" s="28" t="n">
        <f aca="false">AD1298*$M1298</f>
        <v>0</v>
      </c>
      <c r="AF1298" s="28"/>
      <c r="AG1298" s="28" t="n">
        <f aca="false">AF1298*$M1298</f>
        <v>0</v>
      </c>
      <c r="AH1298" s="28"/>
      <c r="AI1298" s="28" t="n">
        <f aca="false">AH1298*$M1298</f>
        <v>0</v>
      </c>
      <c r="AJ1298" s="28"/>
      <c r="AK1298" s="28" t="n">
        <f aca="false">AJ1298*$M1298</f>
        <v>0</v>
      </c>
      <c r="AL1298" s="28"/>
      <c r="AM1298" s="28" t="n">
        <f aca="false">AL1298*$M1298</f>
        <v>0</v>
      </c>
      <c r="AN1298" s="28"/>
      <c r="AO1298" s="28" t="n">
        <f aca="false">AN1298*$M1298</f>
        <v>0</v>
      </c>
      <c r="AP1298" s="28"/>
      <c r="AQ1298" s="28" t="n">
        <f aca="false">AP1298*$M1298</f>
        <v>0</v>
      </c>
      <c r="AR1298" s="28"/>
      <c r="AS1298" s="28" t="n">
        <f aca="false">AR1298*$M1298</f>
        <v>0</v>
      </c>
      <c r="AT1298" s="28"/>
      <c r="AU1298" s="28" t="n">
        <f aca="false">AT1298*$M1298</f>
        <v>0</v>
      </c>
      <c r="AV1298" s="28"/>
      <c r="AW1298" s="28" t="n">
        <f aca="false">AV1298*$M1298</f>
        <v>0</v>
      </c>
      <c r="AX1298" s="28"/>
      <c r="AY1298" s="28" t="n">
        <f aca="false">AX1298*$M1298</f>
        <v>0</v>
      </c>
      <c r="AZ1298" s="30" t="n">
        <f aca="false">19783/100</f>
        <v>197.83</v>
      </c>
      <c r="BA1298" s="11" t="n">
        <v>4946</v>
      </c>
      <c r="BB1298" s="31" t="n">
        <f aca="false">SUM(Q1298,S1298,U1298,W1298,Y1298,AA1298,AC1298,AE1298,AG1298,AI1298,AK1298,AM1298,AO1298,AQ1298,AS1298,AU1298,AW1298,AY1298)</f>
        <v>4946</v>
      </c>
      <c r="BC1298" s="28" t="n">
        <f aca="false">BA1298-BB1298</f>
        <v>0</v>
      </c>
      <c r="BD1298" s="32" t="n">
        <f aca="false">SUM(P1298,R1298,T1298,V1298,X1298,Z1298,AB1298,AD1298,AF1298,AH1298,AJ1298,AL1298,AN1298,AP1298,AR1298,AT1298,AV1298,AX1298)</f>
        <v>197.83</v>
      </c>
      <c r="BE1298" s="33" t="n">
        <f aca="false">AZ1298-BD1298</f>
        <v>0</v>
      </c>
      <c r="BF1298" s="34" t="n">
        <f aca="false">BD1298*M1298</f>
        <v>4945.75</v>
      </c>
      <c r="BG1298" s="35" t="n">
        <f aca="false">BA1298-BF1298</f>
        <v>0.25</v>
      </c>
      <c r="BH1298" s="19" t="str">
        <f aca="false">IF(BG1298=0,"",IF(BG1298&lt;&gt;BA1298,"erreur de calcul",IF(BD1298&lt;&gt;0,"pas de prix",IF(M1298&lt;&gt; 0,"pas de quantité","pas de prix, ni de quantité"))))</f>
        <v>erreur de calcul</v>
      </c>
      <c r="BI1298" s="19"/>
    </row>
    <row r="1299" customFormat="false" ht="15" hidden="false" customHeight="false" outlineLevel="0" collapsed="false">
      <c r="A1299" s="0" t="n">
        <v>36</v>
      </c>
      <c r="B1299" s="8" t="s">
        <v>24</v>
      </c>
      <c r="C1299" s="9" t="s">
        <v>25</v>
      </c>
      <c r="D1299" s="9" t="s">
        <v>26</v>
      </c>
      <c r="E1299" s="10" t="n">
        <v>1789</v>
      </c>
      <c r="F1299" s="9" t="s">
        <v>27</v>
      </c>
      <c r="G1299" s="9" t="s">
        <v>27</v>
      </c>
      <c r="H1299" s="11" t="n">
        <v>24</v>
      </c>
      <c r="I1299" s="11" t="s">
        <v>326</v>
      </c>
      <c r="J1299" s="14"/>
      <c r="K1299" s="14"/>
      <c r="L1299" s="16"/>
      <c r="M1299" s="27" t="n">
        <f aca="false">J1299+(K1299/20)+(L1299/240)</f>
        <v>0</v>
      </c>
      <c r="N1299" s="17"/>
      <c r="O1299" s="11" t="s">
        <v>77</v>
      </c>
      <c r="P1299" s="28"/>
      <c r="Q1299" s="28" t="n">
        <v>84</v>
      </c>
      <c r="R1299" s="28"/>
      <c r="S1299" s="28" t="n">
        <v>80</v>
      </c>
      <c r="T1299" s="28"/>
      <c r="U1299" s="28" t="n">
        <v>115</v>
      </c>
      <c r="V1299" s="28"/>
      <c r="W1299" s="28" t="n">
        <f aca="false">V1299*$M1299</f>
        <v>0</v>
      </c>
      <c r="X1299" s="28"/>
      <c r="Y1299" s="28" t="n">
        <v>82</v>
      </c>
      <c r="Z1299" s="28"/>
      <c r="AA1299" s="28" t="n">
        <v>32</v>
      </c>
      <c r="AB1299" s="28"/>
      <c r="AC1299" s="28" t="n">
        <v>82</v>
      </c>
      <c r="AD1299" s="28"/>
      <c r="AE1299" s="28" t="n">
        <f aca="false">AD1299*$M1299</f>
        <v>0</v>
      </c>
      <c r="AF1299" s="28"/>
      <c r="AG1299" s="28" t="n">
        <v>129</v>
      </c>
      <c r="AH1299" s="28"/>
      <c r="AI1299" s="28" t="n">
        <f aca="false">AH1299*$M1299</f>
        <v>0</v>
      </c>
      <c r="AJ1299" s="28"/>
      <c r="AK1299" s="28" t="n">
        <v>79</v>
      </c>
      <c r="AL1299" s="28"/>
      <c r="AM1299" s="28" t="n">
        <v>106</v>
      </c>
      <c r="AN1299" s="28"/>
      <c r="AO1299" s="28" t="n">
        <f aca="false">AN1299*$M1299</f>
        <v>0</v>
      </c>
      <c r="AP1299" s="28"/>
      <c r="AQ1299" s="28" t="n">
        <f aca="false">AP1299*$M1299</f>
        <v>0</v>
      </c>
      <c r="AR1299" s="28"/>
      <c r="AS1299" s="28" t="n">
        <f aca="false">AR1299*$M1299</f>
        <v>0</v>
      </c>
      <c r="AT1299" s="28"/>
      <c r="AU1299" s="28" t="n">
        <f aca="false">AT1299*$M1299</f>
        <v>0</v>
      </c>
      <c r="AV1299" s="28"/>
      <c r="AW1299" s="28" t="n">
        <f aca="false">AV1299*$M1299</f>
        <v>0</v>
      </c>
      <c r="AX1299" s="28"/>
      <c r="AY1299" s="28" t="n">
        <f aca="false">AX1299*$M1299</f>
        <v>0</v>
      </c>
      <c r="AZ1299" s="30"/>
      <c r="BA1299" s="11" t="n">
        <v>789</v>
      </c>
      <c r="BB1299" s="31" t="n">
        <f aca="false">SUM(Q1299,S1299,U1299,W1299,Y1299,AA1299,AC1299,AE1299,AG1299,AI1299,AK1299,AM1299,AO1299,AQ1299,AS1299,AU1299,AW1299,AY1299)</f>
        <v>789</v>
      </c>
      <c r="BC1299" s="28" t="n">
        <f aca="false">BA1299-BB1299</f>
        <v>0</v>
      </c>
      <c r="BD1299" s="32" t="n">
        <f aca="false">SUM(P1299,R1299,T1299,V1299,X1299,Z1299,AB1299,AD1299,AF1299,AH1299,AJ1299,AL1299,AN1299,AP1299,AR1299,AT1299,AV1299,AX1299)</f>
        <v>0</v>
      </c>
      <c r="BE1299" s="33" t="n">
        <f aca="false">AZ1299-BD1299</f>
        <v>0</v>
      </c>
      <c r="BF1299" s="34" t="n">
        <f aca="false">BD1299*M1299</f>
        <v>0</v>
      </c>
      <c r="BG1299" s="35" t="n">
        <f aca="false">BA1299-BF1299</f>
        <v>789</v>
      </c>
      <c r="BH1299" s="19" t="str">
        <f aca="false">IF(BG1299=0,"",IF(BG1299&lt;&gt;BA1299,"erreur de calcul",IF(BD1299&lt;&gt;0,"pas de prix",IF(M1299&lt;&gt; 0,"pas de quantité","pas de prix, ni de quantité"))))</f>
        <v>pas de prix, ni de quantité</v>
      </c>
      <c r="BI1299" s="19"/>
    </row>
    <row r="1300" customFormat="false" ht="15" hidden="false" customHeight="false" outlineLevel="0" collapsed="false">
      <c r="A1300" s="0" t="n">
        <v>37</v>
      </c>
      <c r="B1300" s="8" t="s">
        <v>24</v>
      </c>
      <c r="C1300" s="9" t="s">
        <v>25</v>
      </c>
      <c r="D1300" s="9" t="s">
        <v>26</v>
      </c>
      <c r="E1300" s="10" t="n">
        <v>1789</v>
      </c>
      <c r="F1300" s="9" t="s">
        <v>27</v>
      </c>
      <c r="G1300" s="9" t="s">
        <v>27</v>
      </c>
      <c r="H1300" s="11" t="n">
        <v>24</v>
      </c>
      <c r="I1300" s="11" t="s">
        <v>327</v>
      </c>
      <c r="J1300" s="14"/>
      <c r="K1300" s="14" t="n">
        <v>20</v>
      </c>
      <c r="L1300" s="16"/>
      <c r="M1300" s="27" t="n">
        <f aca="false">J1300+(K1300/20)+(L1300/240)</f>
        <v>1</v>
      </c>
      <c r="N1300" s="17" t="s">
        <v>66</v>
      </c>
      <c r="O1300" s="11"/>
      <c r="P1300" s="28"/>
      <c r="Q1300" s="28" t="n">
        <f aca="false">P1300*$M1300</f>
        <v>0</v>
      </c>
      <c r="R1300" s="28"/>
      <c r="S1300" s="28" t="n">
        <f aca="false">R1300*$M1300</f>
        <v>0</v>
      </c>
      <c r="T1300" s="28"/>
      <c r="U1300" s="28" t="n">
        <f aca="false">T1300*$M1300</f>
        <v>0</v>
      </c>
      <c r="V1300" s="28" t="n">
        <v>1705</v>
      </c>
      <c r="W1300" s="28" t="n">
        <v>1705</v>
      </c>
      <c r="X1300" s="28"/>
      <c r="Y1300" s="28" t="n">
        <f aca="false">X1300*$M1300</f>
        <v>0</v>
      </c>
      <c r="Z1300" s="28"/>
      <c r="AA1300" s="28" t="n">
        <f aca="false">Z1300*$M1300</f>
        <v>0</v>
      </c>
      <c r="AB1300" s="28" t="n">
        <v>226</v>
      </c>
      <c r="AC1300" s="28" t="n">
        <v>226</v>
      </c>
      <c r="AD1300" s="28"/>
      <c r="AE1300" s="28" t="n">
        <f aca="false">AD1300*$M1300</f>
        <v>0</v>
      </c>
      <c r="AF1300" s="28"/>
      <c r="AG1300" s="28" t="n">
        <f aca="false">AF1300*$M1300</f>
        <v>0</v>
      </c>
      <c r="AH1300" s="28"/>
      <c r="AI1300" s="28" t="n">
        <f aca="false">AH1300*$M1300</f>
        <v>0</v>
      </c>
      <c r="AJ1300" s="28"/>
      <c r="AK1300" s="28" t="n">
        <f aca="false">AJ1300*$M1300</f>
        <v>0</v>
      </c>
      <c r="AL1300" s="28"/>
      <c r="AM1300" s="28" t="n">
        <f aca="false">AL1300*$M1300</f>
        <v>0</v>
      </c>
      <c r="AN1300" s="28"/>
      <c r="AO1300" s="28" t="n">
        <f aca="false">AN1300*$M1300</f>
        <v>0</v>
      </c>
      <c r="AP1300" s="28"/>
      <c r="AQ1300" s="28" t="n">
        <f aca="false">AP1300*$M1300</f>
        <v>0</v>
      </c>
      <c r="AR1300" s="28"/>
      <c r="AS1300" s="28" t="n">
        <f aca="false">AR1300*$M1300</f>
        <v>0</v>
      </c>
      <c r="AT1300" s="28"/>
      <c r="AU1300" s="28" t="n">
        <f aca="false">AT1300*$M1300</f>
        <v>0</v>
      </c>
      <c r="AV1300" s="28"/>
      <c r="AW1300" s="28" t="n">
        <f aca="false">AV1300*$M1300</f>
        <v>0</v>
      </c>
      <c r="AX1300" s="28"/>
      <c r="AY1300" s="28" t="n">
        <f aca="false">AX1300*$M1300</f>
        <v>0</v>
      </c>
      <c r="AZ1300" s="30" t="n">
        <v>1931</v>
      </c>
      <c r="BA1300" s="11" t="n">
        <v>1931</v>
      </c>
      <c r="BB1300" s="31" t="n">
        <f aca="false">SUM(Q1300,S1300,U1300,W1300,Y1300,AA1300,AC1300,AE1300,AG1300,AI1300,AK1300,AM1300,AO1300,AQ1300,AS1300,AU1300,AW1300,AY1300)</f>
        <v>1931</v>
      </c>
      <c r="BC1300" s="28" t="n">
        <f aca="false">BA1300-BB1300</f>
        <v>0</v>
      </c>
      <c r="BD1300" s="32" t="n">
        <f aca="false">SUM(P1300,R1300,T1300,V1300,X1300,Z1300,AB1300,AD1300,AF1300,AH1300,AJ1300,AL1300,AN1300,AP1300,AR1300,AT1300,AV1300,AX1300)</f>
        <v>1931</v>
      </c>
      <c r="BE1300" s="33" t="n">
        <f aca="false">AZ1300-BD1300</f>
        <v>0</v>
      </c>
      <c r="BF1300" s="34" t="n">
        <f aca="false">BD1300*M1300</f>
        <v>1931</v>
      </c>
      <c r="BG1300" s="35" t="n">
        <f aca="false">BA1300-BF1300</f>
        <v>0</v>
      </c>
      <c r="BH1300" s="19" t="str">
        <f aca="false">IF(BG1300=0,"",IF(BG1300&lt;&gt;BA1300,"erreur de calcul",IF(BD1300&lt;&gt;0,"pas de prix",IF(M1300&lt;&gt; 0,"pas de quantité","pas de prix, ni de quantité"))))</f>
        <v/>
      </c>
      <c r="BI1300" s="19"/>
    </row>
    <row r="1301" customFormat="false" ht="15" hidden="false" customHeight="false" outlineLevel="0" collapsed="false">
      <c r="A1301" s="0" t="n">
        <v>38</v>
      </c>
      <c r="B1301" s="8" t="s">
        <v>24</v>
      </c>
      <c r="C1301" s="9" t="s">
        <v>25</v>
      </c>
      <c r="D1301" s="9" t="s">
        <v>26</v>
      </c>
      <c r="E1301" s="10" t="n">
        <v>1789</v>
      </c>
      <c r="F1301" s="9" t="s">
        <v>27</v>
      </c>
      <c r="G1301" s="9" t="s">
        <v>27</v>
      </c>
      <c r="H1301" s="11" t="n">
        <v>24</v>
      </c>
      <c r="I1301" s="11" t="s">
        <v>328</v>
      </c>
      <c r="J1301" s="14" t="n">
        <v>208</v>
      </c>
      <c r="K1301" s="14"/>
      <c r="L1301" s="16"/>
      <c r="M1301" s="27" t="n">
        <f aca="false">J1301+(K1301/20)+(L1301/240)</f>
        <v>208</v>
      </c>
      <c r="N1301" s="17" t="s">
        <v>64</v>
      </c>
      <c r="O1301" s="11" t="s">
        <v>277</v>
      </c>
      <c r="P1301" s="28"/>
      <c r="Q1301" s="28" t="n">
        <f aca="false">P1301*$M1301</f>
        <v>0</v>
      </c>
      <c r="R1301" s="28"/>
      <c r="S1301" s="28" t="n">
        <f aca="false">R1301*$M1301</f>
        <v>0</v>
      </c>
      <c r="T1301" s="28" t="n">
        <f aca="false">536/100</f>
        <v>5.36</v>
      </c>
      <c r="U1301" s="28" t="n">
        <v>1115</v>
      </c>
      <c r="V1301" s="28" t="n">
        <f aca="false">1983/100</f>
        <v>19.83</v>
      </c>
      <c r="W1301" s="28" t="n">
        <v>4125</v>
      </c>
      <c r="X1301" s="28" t="n">
        <f aca="false">37641/100</f>
        <v>376.41</v>
      </c>
      <c r="Y1301" s="28" t="n">
        <v>78293</v>
      </c>
      <c r="Z1301" s="28" t="n">
        <f aca="false">1281/100</f>
        <v>12.81</v>
      </c>
      <c r="AA1301" s="28" t="n">
        <v>2664</v>
      </c>
      <c r="AB1301" s="28"/>
      <c r="AC1301" s="28" t="n">
        <f aca="false">AB1301*$M1301</f>
        <v>0</v>
      </c>
      <c r="AD1301" s="28"/>
      <c r="AE1301" s="28" t="n">
        <f aca="false">AD1301*$M1301</f>
        <v>0</v>
      </c>
      <c r="AF1301" s="28"/>
      <c r="AG1301" s="28" t="n">
        <f aca="false">AF1301*$M1301</f>
        <v>0</v>
      </c>
      <c r="AH1301" s="28"/>
      <c r="AI1301" s="28" t="n">
        <f aca="false">AH1301*$M1301</f>
        <v>0</v>
      </c>
      <c r="AJ1301" s="28" t="n">
        <f aca="false">20789/100</f>
        <v>207.89</v>
      </c>
      <c r="AK1301" s="28" t="n">
        <v>43241</v>
      </c>
      <c r="AL1301" s="28" t="n">
        <f aca="false">2470/100</f>
        <v>24.7</v>
      </c>
      <c r="AM1301" s="28" t="n">
        <v>5138</v>
      </c>
      <c r="AN1301" s="28"/>
      <c r="AO1301" s="28" t="n">
        <f aca="false">AN1301*$M1301</f>
        <v>0</v>
      </c>
      <c r="AP1301" s="28"/>
      <c r="AQ1301" s="28" t="n">
        <f aca="false">AP1301*$M1301</f>
        <v>0</v>
      </c>
      <c r="AR1301" s="28"/>
      <c r="AS1301" s="28" t="n">
        <f aca="false">AR1301*$M1301</f>
        <v>0</v>
      </c>
      <c r="AT1301" s="28"/>
      <c r="AU1301" s="28" t="n">
        <f aca="false">AT1301*$M1301</f>
        <v>0</v>
      </c>
      <c r="AV1301" s="28"/>
      <c r="AW1301" s="28" t="n">
        <f aca="false">AV1301*$M1301</f>
        <v>0</v>
      </c>
      <c r="AX1301" s="28"/>
      <c r="AY1301" s="28" t="n">
        <f aca="false">AX1301*$M1301</f>
        <v>0</v>
      </c>
      <c r="AZ1301" s="30" t="n">
        <f aca="false">64700/100</f>
        <v>647</v>
      </c>
      <c r="BA1301" s="11" t="n">
        <v>134576</v>
      </c>
      <c r="BB1301" s="31" t="n">
        <f aca="false">SUM(Q1301,S1301,U1301,W1301,Y1301,AA1301,AC1301,AE1301,AG1301,AI1301,AK1301,AM1301,AO1301,AQ1301,AS1301,AU1301,AW1301,AY1301)</f>
        <v>134576</v>
      </c>
      <c r="BC1301" s="28" t="n">
        <f aca="false">BA1301-BB1301</f>
        <v>0</v>
      </c>
      <c r="BD1301" s="32" t="n">
        <f aca="false">SUM(P1301,R1301,T1301,V1301,X1301,Z1301,AB1301,AD1301,AF1301,AH1301,AJ1301,AL1301,AN1301,AP1301,AR1301,AT1301,AV1301,AX1301)</f>
        <v>647</v>
      </c>
      <c r="BE1301" s="33" t="n">
        <f aca="false">AZ1301-BD1301</f>
        <v>0</v>
      </c>
      <c r="BF1301" s="34" t="n">
        <f aca="false">BD1301*M1301</f>
        <v>134576</v>
      </c>
      <c r="BG1301" s="35" t="n">
        <f aca="false">BA1301-BF1301</f>
        <v>0</v>
      </c>
      <c r="BH1301" s="19" t="str">
        <f aca="false">IF(BG1301=0,"",IF(BG1301&lt;&gt;BA1301,"erreur de calcul",IF(BD1301&lt;&gt;0,"pas de prix",IF(M1301&lt;&gt; 0,"pas de quantité","pas de prix, ni de quantité"))))</f>
        <v/>
      </c>
      <c r="BI1301" s="19"/>
    </row>
    <row r="1302" customFormat="false" ht="15" hidden="false" customHeight="false" outlineLevel="0" collapsed="false">
      <c r="A1302" s="0" t="n">
        <v>1</v>
      </c>
      <c r="B1302" s="8" t="s">
        <v>24</v>
      </c>
      <c r="C1302" s="9" t="s">
        <v>25</v>
      </c>
      <c r="D1302" s="9" t="s">
        <v>26</v>
      </c>
      <c r="E1302" s="10" t="n">
        <v>1789</v>
      </c>
      <c r="F1302" s="9" t="s">
        <v>27</v>
      </c>
      <c r="G1302" s="9" t="s">
        <v>27</v>
      </c>
      <c r="H1302" s="11" t="n">
        <v>25</v>
      </c>
      <c r="I1302" s="11" t="s">
        <v>329</v>
      </c>
      <c r="J1302" s="14" t="n">
        <v>30</v>
      </c>
      <c r="K1302" s="14"/>
      <c r="L1302" s="16"/>
      <c r="M1302" s="27" t="n">
        <f aca="false">J1302+(K1302/20)+(L1302/240)</f>
        <v>30</v>
      </c>
      <c r="N1302" s="17" t="s">
        <v>64</v>
      </c>
      <c r="O1302" s="11"/>
      <c r="P1302" s="28" t="n">
        <f aca="false">888/100</f>
        <v>8.88</v>
      </c>
      <c r="Q1302" s="28" t="n">
        <v>266</v>
      </c>
      <c r="R1302" s="28"/>
      <c r="S1302" s="28" t="n">
        <f aca="false">R1302*$M1302</f>
        <v>0</v>
      </c>
      <c r="T1302" s="28" t="n">
        <f aca="false">1151/100</f>
        <v>11.51</v>
      </c>
      <c r="U1302" s="28" t="n">
        <v>345</v>
      </c>
      <c r="V1302" s="28"/>
      <c r="W1302" s="28" t="n">
        <f aca="false">V1302*$M1302</f>
        <v>0</v>
      </c>
      <c r="X1302" s="28"/>
      <c r="Y1302" s="28" t="n">
        <f aca="false">X1302*$M1302</f>
        <v>0</v>
      </c>
      <c r="Z1302" s="28"/>
      <c r="AA1302" s="28" t="n">
        <f aca="false">Z1302*$M1302</f>
        <v>0</v>
      </c>
      <c r="AB1302" s="28"/>
      <c r="AC1302" s="28" t="n">
        <f aca="false">AB1302*$M1302</f>
        <v>0</v>
      </c>
      <c r="AD1302" s="28"/>
      <c r="AE1302" s="28" t="n">
        <f aca="false">AD1302*$M1302</f>
        <v>0</v>
      </c>
      <c r="AF1302" s="28"/>
      <c r="AG1302" s="28" t="n">
        <f aca="false">AF1302*$M1302</f>
        <v>0</v>
      </c>
      <c r="AH1302" s="28"/>
      <c r="AI1302" s="28" t="n">
        <f aca="false">AH1302*$M1302</f>
        <v>0</v>
      </c>
      <c r="AJ1302" s="28"/>
      <c r="AK1302" s="28" t="n">
        <f aca="false">AJ1302*$M1302</f>
        <v>0</v>
      </c>
      <c r="AL1302" s="28"/>
      <c r="AM1302" s="28" t="n">
        <f aca="false">AL1302*$M1302</f>
        <v>0</v>
      </c>
      <c r="AN1302" s="28"/>
      <c r="AO1302" s="28" t="n">
        <f aca="false">AN1302*$M1302</f>
        <v>0</v>
      </c>
      <c r="AP1302" s="28"/>
      <c r="AQ1302" s="28" t="n">
        <f aca="false">AP1302*$M1302</f>
        <v>0</v>
      </c>
      <c r="AR1302" s="28"/>
      <c r="AS1302" s="28" t="n">
        <f aca="false">AR1302*$M1302</f>
        <v>0</v>
      </c>
      <c r="AT1302" s="28"/>
      <c r="AU1302" s="28" t="n">
        <f aca="false">AT1302*$M1302</f>
        <v>0</v>
      </c>
      <c r="AV1302" s="28"/>
      <c r="AW1302" s="28" t="n">
        <f aca="false">AV1302*$M1302</f>
        <v>0</v>
      </c>
      <c r="AX1302" s="28"/>
      <c r="AY1302" s="28" t="n">
        <f aca="false">AX1302*$M1302</f>
        <v>0</v>
      </c>
      <c r="AZ1302" s="30" t="n">
        <f aca="false">2039/100</f>
        <v>20.39</v>
      </c>
      <c r="BA1302" s="11" t="n">
        <v>611</v>
      </c>
      <c r="BB1302" s="31" t="n">
        <f aca="false">SUM(Q1302,S1302,U1302,W1302,Y1302,AA1302,AC1302,AE1302,AG1302,AI1302,AK1302,AM1302,AO1302,AQ1302,AS1302,AU1302,AW1302,AY1302)</f>
        <v>611</v>
      </c>
      <c r="BC1302" s="28" t="n">
        <f aca="false">BA1302-BB1302</f>
        <v>0</v>
      </c>
      <c r="BD1302" s="32" t="n">
        <f aca="false">SUM(P1302,R1302,T1302,V1302,X1302,Z1302,AB1302,AD1302,AF1302,AH1302,AJ1302,AL1302,AN1302,AP1302,AR1302,AT1302,AV1302,AX1302)</f>
        <v>20.39</v>
      </c>
      <c r="BE1302" s="33" t="n">
        <f aca="false">AZ1302-BD1302</f>
        <v>0</v>
      </c>
      <c r="BF1302" s="34" t="n">
        <f aca="false">BD1302*M1302</f>
        <v>611.7</v>
      </c>
      <c r="BG1302" s="35" t="n">
        <f aca="false">BA1302-BF1302</f>
        <v>-0.700000000000046</v>
      </c>
      <c r="BH1302" s="19" t="str">
        <f aca="false">IF(BG1302=0,"",IF(BG1302&lt;&gt;BA1302,"erreur de calcul",IF(BD1302&lt;&gt;0,"pas de prix",IF(M1302&lt;&gt; 0,"pas de quantité","pas de prix, ni de quantité"))))</f>
        <v>erreur de calcul</v>
      </c>
      <c r="BI1302" s="19"/>
    </row>
    <row r="1303" customFormat="false" ht="15" hidden="false" customHeight="false" outlineLevel="0" collapsed="false">
      <c r="A1303" s="0" t="n">
        <v>2</v>
      </c>
      <c r="B1303" s="8" t="s">
        <v>24</v>
      </c>
      <c r="C1303" s="9" t="s">
        <v>25</v>
      </c>
      <c r="D1303" s="9" t="s">
        <v>26</v>
      </c>
      <c r="E1303" s="10" t="n">
        <v>1789</v>
      </c>
      <c r="F1303" s="9" t="s">
        <v>27</v>
      </c>
      <c r="G1303" s="9" t="s">
        <v>27</v>
      </c>
      <c r="H1303" s="11" t="n">
        <v>25</v>
      </c>
      <c r="I1303" s="11" t="s">
        <v>330</v>
      </c>
      <c r="J1303" s="14"/>
      <c r="K1303" s="14" t="n">
        <v>20</v>
      </c>
      <c r="L1303" s="16"/>
      <c r="M1303" s="27" t="n">
        <f aca="false">J1303+(K1303/20)+(L1303/240)</f>
        <v>1</v>
      </c>
      <c r="N1303" s="17" t="s">
        <v>66</v>
      </c>
      <c r="O1303" s="11"/>
      <c r="P1303" s="28"/>
      <c r="Q1303" s="28" t="n">
        <f aca="false">P1303*$M1303</f>
        <v>0</v>
      </c>
      <c r="R1303" s="28"/>
      <c r="S1303" s="28" t="n">
        <f aca="false">R1303*$M1303</f>
        <v>0</v>
      </c>
      <c r="T1303" s="28"/>
      <c r="U1303" s="28" t="n">
        <f aca="false">T1303*$M1303</f>
        <v>0</v>
      </c>
      <c r="V1303" s="28"/>
      <c r="W1303" s="28" t="n">
        <f aca="false">V1303*$M1303</f>
        <v>0</v>
      </c>
      <c r="X1303" s="28"/>
      <c r="Y1303" s="28" t="n">
        <f aca="false">X1303*$M1303</f>
        <v>0</v>
      </c>
      <c r="Z1303" s="28"/>
      <c r="AA1303" s="28" t="n">
        <f aca="false">Z1303*$M1303</f>
        <v>0</v>
      </c>
      <c r="AB1303" s="28"/>
      <c r="AC1303" s="28" t="n">
        <f aca="false">AB1303*$M1303</f>
        <v>0</v>
      </c>
      <c r="AD1303" s="28"/>
      <c r="AE1303" s="28" t="n">
        <f aca="false">AD1303*$M1303</f>
        <v>0</v>
      </c>
      <c r="AF1303" s="28"/>
      <c r="AG1303" s="28" t="n">
        <f aca="false">AF1303*$M1303</f>
        <v>0</v>
      </c>
      <c r="AH1303" s="28"/>
      <c r="AI1303" s="28" t="n">
        <f aca="false">AH1303*$M1303</f>
        <v>0</v>
      </c>
      <c r="AJ1303" s="28" t="n">
        <v>4241</v>
      </c>
      <c r="AK1303" s="28" t="n">
        <v>4241</v>
      </c>
      <c r="AL1303" s="28"/>
      <c r="AM1303" s="28" t="n">
        <f aca="false">AL1303*$M1303</f>
        <v>0</v>
      </c>
      <c r="AN1303" s="28"/>
      <c r="AO1303" s="28" t="n">
        <f aca="false">AN1303*$M1303</f>
        <v>0</v>
      </c>
      <c r="AP1303" s="28"/>
      <c r="AQ1303" s="28" t="n">
        <f aca="false">AP1303*$M1303</f>
        <v>0</v>
      </c>
      <c r="AR1303" s="28"/>
      <c r="AS1303" s="28" t="n">
        <f aca="false">AR1303*$M1303</f>
        <v>0</v>
      </c>
      <c r="AT1303" s="28"/>
      <c r="AU1303" s="28" t="n">
        <f aca="false">AT1303*$M1303</f>
        <v>0</v>
      </c>
      <c r="AV1303" s="28"/>
      <c r="AW1303" s="28" t="n">
        <f aca="false">AV1303*$M1303</f>
        <v>0</v>
      </c>
      <c r="AX1303" s="28"/>
      <c r="AY1303" s="28" t="n">
        <f aca="false">AX1303*$M1303</f>
        <v>0</v>
      </c>
      <c r="AZ1303" s="30" t="n">
        <v>4241</v>
      </c>
      <c r="BA1303" s="11" t="n">
        <v>4241</v>
      </c>
      <c r="BB1303" s="31" t="n">
        <f aca="false">SUM(Q1303,S1303,U1303,W1303,Y1303,AA1303,AC1303,AE1303,AG1303,AI1303,AK1303,AM1303,AO1303,AQ1303,AS1303,AU1303,AW1303,AY1303)</f>
        <v>4241</v>
      </c>
      <c r="BC1303" s="28" t="n">
        <f aca="false">BA1303-BB1303</f>
        <v>0</v>
      </c>
      <c r="BD1303" s="32" t="n">
        <f aca="false">SUM(P1303,R1303,T1303,V1303,X1303,Z1303,AB1303,AD1303,AF1303,AH1303,AJ1303,AL1303,AN1303,AP1303,AR1303,AT1303,AV1303,AX1303)</f>
        <v>4241</v>
      </c>
      <c r="BE1303" s="33" t="n">
        <f aca="false">AZ1303-BD1303</f>
        <v>0</v>
      </c>
      <c r="BF1303" s="34" t="n">
        <f aca="false">BD1303*M1303</f>
        <v>4241</v>
      </c>
      <c r="BG1303" s="35" t="n">
        <f aca="false">BA1303-BF1303</f>
        <v>0</v>
      </c>
      <c r="BH1303" s="19" t="str">
        <f aca="false">IF(BG1303=0,"",IF(BG1303&lt;&gt;BA1303,"erreur de calcul",IF(BD1303&lt;&gt;0,"pas de prix",IF(M1303&lt;&gt; 0,"pas de quantité","pas de prix, ni de quantité"))))</f>
        <v/>
      </c>
      <c r="BI1303" s="19"/>
    </row>
    <row r="1304" customFormat="false" ht="15" hidden="false" customHeight="false" outlineLevel="0" collapsed="false">
      <c r="A1304" s="0" t="n">
        <v>3</v>
      </c>
      <c r="B1304" s="8" t="s">
        <v>24</v>
      </c>
      <c r="C1304" s="9" t="s">
        <v>25</v>
      </c>
      <c r="D1304" s="9" t="s">
        <v>26</v>
      </c>
      <c r="E1304" s="10" t="n">
        <v>1789</v>
      </c>
      <c r="F1304" s="9" t="s">
        <v>27</v>
      </c>
      <c r="G1304" s="9" t="s">
        <v>27</v>
      </c>
      <c r="H1304" s="11" t="n">
        <v>25</v>
      </c>
      <c r="I1304" s="11" t="s">
        <v>331</v>
      </c>
      <c r="J1304" s="14" t="n">
        <v>18</v>
      </c>
      <c r="K1304" s="14"/>
      <c r="L1304" s="16"/>
      <c r="M1304" s="27" t="n">
        <f aca="false">J1304+(K1304/20)+(L1304/240)</f>
        <v>18</v>
      </c>
      <c r="N1304" s="17" t="s">
        <v>66</v>
      </c>
      <c r="O1304" s="11" t="s">
        <v>98</v>
      </c>
      <c r="P1304" s="28"/>
      <c r="Q1304" s="28" t="n">
        <f aca="false">P1304*$M1304</f>
        <v>0</v>
      </c>
      <c r="R1304" s="28"/>
      <c r="S1304" s="28" t="n">
        <f aca="false">R1304*$M1304</f>
        <v>0</v>
      </c>
      <c r="T1304" s="28"/>
      <c r="U1304" s="28" t="n">
        <f aca="false">T1304*$M1304</f>
        <v>0</v>
      </c>
      <c r="V1304" s="28"/>
      <c r="W1304" s="28" t="n">
        <f aca="false">V1304*$M1304</f>
        <v>0</v>
      </c>
      <c r="X1304" s="28"/>
      <c r="Y1304" s="28" t="n">
        <f aca="false">X1304*$M1304</f>
        <v>0</v>
      </c>
      <c r="Z1304" s="28"/>
      <c r="AA1304" s="28" t="n">
        <f aca="false">Z1304*$M1304</f>
        <v>0</v>
      </c>
      <c r="AB1304" s="28"/>
      <c r="AC1304" s="28" t="n">
        <f aca="false">AB1304*$M1304</f>
        <v>0</v>
      </c>
      <c r="AD1304" s="28"/>
      <c r="AE1304" s="28" t="n">
        <f aca="false">AD1304*$M1304</f>
        <v>0</v>
      </c>
      <c r="AF1304" s="28"/>
      <c r="AG1304" s="28" t="n">
        <f aca="false">AF1304*$M1304</f>
        <v>0</v>
      </c>
      <c r="AH1304" s="28"/>
      <c r="AI1304" s="28" t="n">
        <f aca="false">AH1304*$M1304</f>
        <v>0</v>
      </c>
      <c r="AJ1304" s="28"/>
      <c r="AK1304" s="28" t="n">
        <f aca="false">AJ1304*$M1304</f>
        <v>0</v>
      </c>
      <c r="AL1304" s="28"/>
      <c r="AM1304" s="28" t="n">
        <f aca="false">AL1304*$M1304</f>
        <v>0</v>
      </c>
      <c r="AN1304" s="28"/>
      <c r="AO1304" s="28" t="n">
        <f aca="false">AN1304*$M1304</f>
        <v>0</v>
      </c>
      <c r="AP1304" s="28"/>
      <c r="AQ1304" s="28" t="n">
        <f aca="false">AP1304*$M1304</f>
        <v>0</v>
      </c>
      <c r="AR1304" s="28"/>
      <c r="AS1304" s="28" t="n">
        <f aca="false">AR1304*$M1304</f>
        <v>0</v>
      </c>
      <c r="AT1304" s="28"/>
      <c r="AU1304" s="28" t="n">
        <f aca="false">AT1304*$M1304</f>
        <v>0</v>
      </c>
      <c r="AV1304" s="28"/>
      <c r="AW1304" s="28" t="n">
        <f aca="false">AV1304*$M1304</f>
        <v>0</v>
      </c>
      <c r="AX1304" s="28"/>
      <c r="AY1304" s="28" t="n">
        <f aca="false">AX1304*$M1304</f>
        <v>0</v>
      </c>
      <c r="AZ1304" s="30"/>
      <c r="BA1304" s="11"/>
      <c r="BB1304" s="31" t="n">
        <f aca="false">SUM(Q1304,S1304,U1304,W1304,Y1304,AA1304,AC1304,AE1304,AG1304,AI1304,AK1304,AM1304,AO1304,AQ1304,AS1304,AU1304,AW1304,AY1304)</f>
        <v>0</v>
      </c>
      <c r="BC1304" s="28" t="n">
        <f aca="false">BA1304-BB1304</f>
        <v>0</v>
      </c>
      <c r="BD1304" s="32" t="n">
        <f aca="false">SUM(P1304,R1304,T1304,V1304,X1304,Z1304,AB1304,AD1304,AF1304,AH1304,AJ1304,AL1304,AN1304,AP1304,AR1304,AT1304,AV1304,AX1304)</f>
        <v>0</v>
      </c>
      <c r="BE1304" s="33" t="n">
        <f aca="false">AZ1304-BD1304</f>
        <v>0</v>
      </c>
      <c r="BF1304" s="34" t="n">
        <f aca="false">BD1304*M1304</f>
        <v>0</v>
      </c>
      <c r="BG1304" s="35" t="n">
        <f aca="false">BA1304-BF1304</f>
        <v>0</v>
      </c>
      <c r="BH1304" s="19" t="str">
        <f aca="false">IF(BG1304=0,"",IF(BG1304&lt;&gt;BA1304,"erreur de calcul",IF(BD1304&lt;&gt;0,"pas de prix",IF(M1304&lt;&gt; 0,"pas de quantité","pas de prix, ni de quantité"))))</f>
        <v/>
      </c>
      <c r="BI1304" s="19"/>
    </row>
    <row r="1305" customFormat="false" ht="15" hidden="false" customHeight="false" outlineLevel="0" collapsed="false">
      <c r="A1305" s="0" t="n">
        <v>4</v>
      </c>
      <c r="B1305" s="8" t="s">
        <v>24</v>
      </c>
      <c r="C1305" s="9" t="s">
        <v>25</v>
      </c>
      <c r="D1305" s="9" t="s">
        <v>26</v>
      </c>
      <c r="E1305" s="10" t="n">
        <v>1789</v>
      </c>
      <c r="F1305" s="9" t="s">
        <v>27</v>
      </c>
      <c r="G1305" s="9" t="s">
        <v>27</v>
      </c>
      <c r="H1305" s="11" t="n">
        <v>25</v>
      </c>
      <c r="I1305" s="11" t="s">
        <v>332</v>
      </c>
      <c r="J1305" s="14" t="n">
        <v>18</v>
      </c>
      <c r="K1305" s="14"/>
      <c r="L1305" s="16"/>
      <c r="M1305" s="27" t="n">
        <f aca="false">J1305+(K1305/20)+(L1305/240)</f>
        <v>18</v>
      </c>
      <c r="N1305" s="17" t="s">
        <v>66</v>
      </c>
      <c r="O1305" s="11" t="s">
        <v>98</v>
      </c>
      <c r="P1305" s="28"/>
      <c r="Q1305" s="28" t="n">
        <f aca="false">P1305*$M1305</f>
        <v>0</v>
      </c>
      <c r="R1305" s="28"/>
      <c r="S1305" s="28" t="n">
        <f aca="false">R1305*$M1305</f>
        <v>0</v>
      </c>
      <c r="T1305" s="28"/>
      <c r="U1305" s="28" t="n">
        <f aca="false">T1305*$M1305</f>
        <v>0</v>
      </c>
      <c r="V1305" s="28"/>
      <c r="W1305" s="28" t="n">
        <f aca="false">V1305*$M1305</f>
        <v>0</v>
      </c>
      <c r="X1305" s="28"/>
      <c r="Y1305" s="28" t="n">
        <f aca="false">X1305*$M1305</f>
        <v>0</v>
      </c>
      <c r="Z1305" s="28"/>
      <c r="AA1305" s="28" t="n">
        <f aca="false">Z1305*$M1305</f>
        <v>0</v>
      </c>
      <c r="AB1305" s="28"/>
      <c r="AC1305" s="28" t="n">
        <f aca="false">AB1305*$M1305</f>
        <v>0</v>
      </c>
      <c r="AD1305" s="28"/>
      <c r="AE1305" s="28" t="n">
        <f aca="false">AD1305*$M1305</f>
        <v>0</v>
      </c>
      <c r="AF1305" s="28"/>
      <c r="AG1305" s="28" t="n">
        <f aca="false">AF1305*$M1305</f>
        <v>0</v>
      </c>
      <c r="AH1305" s="28"/>
      <c r="AI1305" s="28" t="n">
        <f aca="false">AH1305*$M1305</f>
        <v>0</v>
      </c>
      <c r="AJ1305" s="28"/>
      <c r="AK1305" s="28" t="n">
        <f aca="false">AJ1305*$M1305</f>
        <v>0</v>
      </c>
      <c r="AL1305" s="28"/>
      <c r="AM1305" s="28" t="n">
        <f aca="false">AL1305*$M1305</f>
        <v>0</v>
      </c>
      <c r="AN1305" s="28"/>
      <c r="AO1305" s="28" t="n">
        <f aca="false">AN1305*$M1305</f>
        <v>0</v>
      </c>
      <c r="AP1305" s="28"/>
      <c r="AQ1305" s="28" t="n">
        <f aca="false">AP1305*$M1305</f>
        <v>0</v>
      </c>
      <c r="AR1305" s="28"/>
      <c r="AS1305" s="28" t="n">
        <f aca="false">AR1305*$M1305</f>
        <v>0</v>
      </c>
      <c r="AT1305" s="28"/>
      <c r="AU1305" s="28" t="n">
        <f aca="false">AT1305*$M1305</f>
        <v>0</v>
      </c>
      <c r="AV1305" s="28"/>
      <c r="AW1305" s="28" t="n">
        <f aca="false">AV1305*$M1305</f>
        <v>0</v>
      </c>
      <c r="AX1305" s="28"/>
      <c r="AY1305" s="28" t="n">
        <f aca="false">AX1305*$M1305</f>
        <v>0</v>
      </c>
      <c r="AZ1305" s="30"/>
      <c r="BA1305" s="11"/>
      <c r="BB1305" s="31" t="n">
        <f aca="false">SUM(Q1305,S1305,U1305,W1305,Y1305,AA1305,AC1305,AE1305,AG1305,AI1305,AK1305,AM1305,AO1305,AQ1305,AS1305,AU1305,AW1305,AY1305)</f>
        <v>0</v>
      </c>
      <c r="BC1305" s="28" t="n">
        <f aca="false">BA1305-BB1305</f>
        <v>0</v>
      </c>
      <c r="BD1305" s="32" t="n">
        <f aca="false">SUM(P1305,R1305,T1305,V1305,X1305,Z1305,AB1305,AD1305,AF1305,AH1305,AJ1305,AL1305,AN1305,AP1305,AR1305,AT1305,AV1305,AX1305)</f>
        <v>0</v>
      </c>
      <c r="BE1305" s="33" t="n">
        <f aca="false">AZ1305-BD1305</f>
        <v>0</v>
      </c>
      <c r="BF1305" s="34" t="n">
        <f aca="false">BD1305*M1305</f>
        <v>0</v>
      </c>
      <c r="BG1305" s="35" t="n">
        <f aca="false">BA1305-BF1305</f>
        <v>0</v>
      </c>
      <c r="BH1305" s="19" t="str">
        <f aca="false">IF(BG1305=0,"",IF(BG1305&lt;&gt;BA1305,"erreur de calcul",IF(BD1305&lt;&gt;0,"pas de prix",IF(M1305&lt;&gt; 0,"pas de quantité","pas de prix, ni de quantité"))))</f>
        <v/>
      </c>
      <c r="BI1305" s="19"/>
    </row>
    <row r="1306" customFormat="false" ht="15" hidden="false" customHeight="false" outlineLevel="0" collapsed="false">
      <c r="A1306" s="0" t="n">
        <v>5</v>
      </c>
      <c r="B1306" s="8" t="s">
        <v>24</v>
      </c>
      <c r="C1306" s="9" t="s">
        <v>25</v>
      </c>
      <c r="D1306" s="9" t="s">
        <v>26</v>
      </c>
      <c r="E1306" s="10" t="n">
        <v>1789</v>
      </c>
      <c r="F1306" s="9" t="s">
        <v>27</v>
      </c>
      <c r="G1306" s="9" t="s">
        <v>27</v>
      </c>
      <c r="H1306" s="11" t="n">
        <v>25</v>
      </c>
      <c r="I1306" s="11" t="s">
        <v>333</v>
      </c>
      <c r="J1306" s="14" t="n">
        <v>44</v>
      </c>
      <c r="K1306" s="14"/>
      <c r="L1306" s="16"/>
      <c r="M1306" s="27" t="n">
        <f aca="false">J1306+(K1306/20)+(L1306/240)</f>
        <v>44</v>
      </c>
      <c r="N1306" s="17" t="s">
        <v>66</v>
      </c>
      <c r="O1306" s="11"/>
      <c r="P1306" s="28" t="n">
        <v>1391</v>
      </c>
      <c r="Q1306" s="28" t="n">
        <v>61204</v>
      </c>
      <c r="R1306" s="28"/>
      <c r="S1306" s="28" t="n">
        <f aca="false">R1306*$M1306</f>
        <v>0</v>
      </c>
      <c r="T1306" s="28"/>
      <c r="U1306" s="28" t="n">
        <f aca="false">T1306*$M1306</f>
        <v>0</v>
      </c>
      <c r="V1306" s="28"/>
      <c r="W1306" s="28" t="n">
        <f aca="false">V1306*$M1306</f>
        <v>0</v>
      </c>
      <c r="X1306" s="28"/>
      <c r="Y1306" s="28" t="n">
        <f aca="false">X1306*$M1306</f>
        <v>0</v>
      </c>
      <c r="Z1306" s="28"/>
      <c r="AA1306" s="28" t="n">
        <f aca="false">Z1306*$M1306</f>
        <v>0</v>
      </c>
      <c r="AB1306" s="28"/>
      <c r="AC1306" s="28" t="n">
        <f aca="false">AB1306*$M1306</f>
        <v>0</v>
      </c>
      <c r="AD1306" s="28"/>
      <c r="AE1306" s="28" t="n">
        <f aca="false">AD1306*$M1306</f>
        <v>0</v>
      </c>
      <c r="AF1306" s="28"/>
      <c r="AG1306" s="28" t="n">
        <f aca="false">AF1306*$M1306</f>
        <v>0</v>
      </c>
      <c r="AH1306" s="28"/>
      <c r="AI1306" s="28" t="n">
        <f aca="false">AH1306*$M1306</f>
        <v>0</v>
      </c>
      <c r="AJ1306" s="28"/>
      <c r="AK1306" s="28" t="n">
        <f aca="false">AJ1306*$M1306</f>
        <v>0</v>
      </c>
      <c r="AL1306" s="28"/>
      <c r="AM1306" s="28" t="n">
        <f aca="false">AL1306*$M1306</f>
        <v>0</v>
      </c>
      <c r="AN1306" s="28"/>
      <c r="AO1306" s="28" t="n">
        <f aca="false">AN1306*$M1306</f>
        <v>0</v>
      </c>
      <c r="AP1306" s="28"/>
      <c r="AQ1306" s="28" t="n">
        <f aca="false">AP1306*$M1306</f>
        <v>0</v>
      </c>
      <c r="AR1306" s="28"/>
      <c r="AS1306" s="28" t="n">
        <f aca="false">AR1306*$M1306</f>
        <v>0</v>
      </c>
      <c r="AT1306" s="28"/>
      <c r="AU1306" s="28" t="n">
        <f aca="false">AT1306*$M1306</f>
        <v>0</v>
      </c>
      <c r="AV1306" s="28"/>
      <c r="AW1306" s="28" t="n">
        <f aca="false">AV1306*$M1306</f>
        <v>0</v>
      </c>
      <c r="AX1306" s="28"/>
      <c r="AY1306" s="28" t="n">
        <f aca="false">AX1306*$M1306</f>
        <v>0</v>
      </c>
      <c r="AZ1306" s="30" t="n">
        <v>1391</v>
      </c>
      <c r="BA1306" s="11" t="n">
        <v>61204</v>
      </c>
      <c r="BB1306" s="31" t="n">
        <f aca="false">SUM(Q1306,S1306,U1306,W1306,Y1306,AA1306,AC1306,AE1306,AG1306,AI1306,AK1306,AM1306,AO1306,AQ1306,AS1306,AU1306,AW1306,AY1306)</f>
        <v>61204</v>
      </c>
      <c r="BC1306" s="28" t="n">
        <f aca="false">BA1306-BB1306</f>
        <v>0</v>
      </c>
      <c r="BD1306" s="32" t="n">
        <f aca="false">SUM(P1306,R1306,T1306,V1306,X1306,Z1306,AB1306,AD1306,AF1306,AH1306,AJ1306,AL1306,AN1306,AP1306,AR1306,AT1306,AV1306,AX1306)</f>
        <v>1391</v>
      </c>
      <c r="BE1306" s="33" t="n">
        <f aca="false">AZ1306-BD1306</f>
        <v>0</v>
      </c>
      <c r="BF1306" s="34" t="n">
        <f aca="false">BD1306*M1306</f>
        <v>61204</v>
      </c>
      <c r="BG1306" s="35" t="n">
        <f aca="false">BA1306-BF1306</f>
        <v>0</v>
      </c>
      <c r="BH1306" s="19" t="str">
        <f aca="false">IF(BG1306=0,"",IF(BG1306&lt;&gt;BA1306,"erreur de calcul",IF(BD1306&lt;&gt;0,"pas de prix",IF(M1306&lt;&gt; 0,"pas de quantité","pas de prix, ni de quantité"))))</f>
        <v/>
      </c>
      <c r="BI1306" s="19"/>
    </row>
    <row r="1307" customFormat="false" ht="15" hidden="false" customHeight="false" outlineLevel="0" collapsed="false">
      <c r="A1307" s="0" t="n">
        <v>6</v>
      </c>
      <c r="B1307" s="8" t="s">
        <v>24</v>
      </c>
      <c r="C1307" s="9" t="s">
        <v>25</v>
      </c>
      <c r="D1307" s="9" t="s">
        <v>26</v>
      </c>
      <c r="E1307" s="10" t="n">
        <v>1789</v>
      </c>
      <c r="F1307" s="9" t="s">
        <v>27</v>
      </c>
      <c r="G1307" s="9" t="s">
        <v>27</v>
      </c>
      <c r="H1307" s="11" t="n">
        <v>25</v>
      </c>
      <c r="I1307" s="11" t="s">
        <v>334</v>
      </c>
      <c r="J1307" s="14" t="n">
        <v>12</v>
      </c>
      <c r="K1307" s="14"/>
      <c r="L1307" s="16"/>
      <c r="M1307" s="27" t="n">
        <f aca="false">J1307+(K1307/20)+(L1307/240)</f>
        <v>12</v>
      </c>
      <c r="N1307" s="17" t="s">
        <v>64</v>
      </c>
      <c r="O1307" s="11"/>
      <c r="P1307" s="28"/>
      <c r="Q1307" s="28" t="n">
        <f aca="false">P1307*$M1307</f>
        <v>0</v>
      </c>
      <c r="R1307" s="28"/>
      <c r="S1307" s="28" t="n">
        <f aca="false">R1307*$M1307</f>
        <v>0</v>
      </c>
      <c r="T1307" s="28"/>
      <c r="U1307" s="28" t="n">
        <f aca="false">T1307*$M1307</f>
        <v>0</v>
      </c>
      <c r="V1307" s="28"/>
      <c r="W1307" s="28" t="n">
        <f aca="false">V1307*$M1307</f>
        <v>0</v>
      </c>
      <c r="X1307" s="28" t="n">
        <f aca="false">1111/100</f>
        <v>11.11</v>
      </c>
      <c r="Y1307" s="28" t="n">
        <v>133</v>
      </c>
      <c r="Z1307" s="28"/>
      <c r="AA1307" s="28" t="n">
        <f aca="false">Z1307*$M1307</f>
        <v>0</v>
      </c>
      <c r="AB1307" s="28"/>
      <c r="AC1307" s="28" t="n">
        <f aca="false">AB1307*$M1307</f>
        <v>0</v>
      </c>
      <c r="AD1307" s="28"/>
      <c r="AE1307" s="28" t="n">
        <f aca="false">AD1307*$M1307</f>
        <v>0</v>
      </c>
      <c r="AF1307" s="28"/>
      <c r="AG1307" s="28" t="n">
        <f aca="false">AF1307*$M1307</f>
        <v>0</v>
      </c>
      <c r="AH1307" s="28"/>
      <c r="AI1307" s="28" t="n">
        <f aca="false">AH1307*$M1307</f>
        <v>0</v>
      </c>
      <c r="AJ1307" s="28"/>
      <c r="AK1307" s="28" t="n">
        <f aca="false">AJ1307*$M1307</f>
        <v>0</v>
      </c>
      <c r="AL1307" s="28"/>
      <c r="AM1307" s="28" t="n">
        <f aca="false">AL1307*$M1307</f>
        <v>0</v>
      </c>
      <c r="AN1307" s="28"/>
      <c r="AO1307" s="28" t="n">
        <f aca="false">AN1307*$M1307</f>
        <v>0</v>
      </c>
      <c r="AP1307" s="28"/>
      <c r="AQ1307" s="28" t="n">
        <f aca="false">AP1307*$M1307</f>
        <v>0</v>
      </c>
      <c r="AR1307" s="28"/>
      <c r="AS1307" s="28" t="n">
        <f aca="false">AR1307*$M1307</f>
        <v>0</v>
      </c>
      <c r="AT1307" s="28"/>
      <c r="AU1307" s="28" t="n">
        <f aca="false">AT1307*$M1307</f>
        <v>0</v>
      </c>
      <c r="AV1307" s="28"/>
      <c r="AW1307" s="28" t="n">
        <f aca="false">AV1307*$M1307</f>
        <v>0</v>
      </c>
      <c r="AX1307" s="28"/>
      <c r="AY1307" s="28" t="n">
        <f aca="false">AX1307*$M1307</f>
        <v>0</v>
      </c>
      <c r="AZ1307" s="30" t="n">
        <f aca="false">1111/100</f>
        <v>11.11</v>
      </c>
      <c r="BA1307" s="11" t="n">
        <v>133</v>
      </c>
      <c r="BB1307" s="31" t="n">
        <f aca="false">SUM(Q1307,S1307,U1307,W1307,Y1307,AA1307,AC1307,AE1307,AG1307,AI1307,AK1307,AM1307,AO1307,AQ1307,AS1307,AU1307,AW1307,AY1307)</f>
        <v>133</v>
      </c>
      <c r="BC1307" s="28" t="n">
        <f aca="false">BA1307-BB1307</f>
        <v>0</v>
      </c>
      <c r="BD1307" s="32" t="n">
        <f aca="false">SUM(P1307,R1307,T1307,V1307,X1307,Z1307,AB1307,AD1307,AF1307,AH1307,AJ1307,AL1307,AN1307,AP1307,AR1307,AT1307,AV1307,AX1307)</f>
        <v>11.11</v>
      </c>
      <c r="BE1307" s="33" t="n">
        <f aca="false">AZ1307-BD1307</f>
        <v>0</v>
      </c>
      <c r="BF1307" s="34" t="n">
        <f aca="false">BD1307*M1307</f>
        <v>133.32</v>
      </c>
      <c r="BG1307" s="35" t="n">
        <f aca="false">BA1307-BF1307</f>
        <v>-0.319999999999993</v>
      </c>
      <c r="BH1307" s="19" t="str">
        <f aca="false">IF(BG1307=0,"",IF(BG1307&lt;&gt;BA1307,"erreur de calcul",IF(BD1307&lt;&gt;0,"pas de prix",IF(M1307&lt;&gt; 0,"pas de quantité","pas de prix, ni de quantité"))))</f>
        <v>erreur de calcul</v>
      </c>
      <c r="BI1307" s="19"/>
    </row>
    <row r="1308" customFormat="false" ht="16.65" hidden="false" customHeight="false" outlineLevel="0" collapsed="false">
      <c r="A1308" s="0" t="n">
        <v>7</v>
      </c>
      <c r="B1308" s="8" t="s">
        <v>24</v>
      </c>
      <c r="C1308" s="9" t="s">
        <v>25</v>
      </c>
      <c r="D1308" s="9" t="s">
        <v>26</v>
      </c>
      <c r="E1308" s="10" t="n">
        <v>1789</v>
      </c>
      <c r="F1308" s="9" t="s">
        <v>27</v>
      </c>
      <c r="G1308" s="9" t="s">
        <v>27</v>
      </c>
      <c r="H1308" s="11" t="n">
        <v>25</v>
      </c>
      <c r="I1308" s="11" t="s">
        <v>335</v>
      </c>
      <c r="J1308" s="14" t="n">
        <v>4</v>
      </c>
      <c r="K1308" s="14" t="n">
        <v>10</v>
      </c>
      <c r="L1308" s="16"/>
      <c r="M1308" s="27" t="n">
        <f aca="false">J1308+(K1308/20)+(L1308/240)</f>
        <v>4.5</v>
      </c>
      <c r="N1308" s="17" t="s">
        <v>64</v>
      </c>
      <c r="O1308" s="11" t="s">
        <v>77</v>
      </c>
      <c r="P1308" s="28" t="n">
        <f aca="false">8366/100</f>
        <v>83.66</v>
      </c>
      <c r="Q1308" s="28" t="n">
        <v>376</v>
      </c>
      <c r="R1308" s="28"/>
      <c r="S1308" s="28" t="n">
        <f aca="false">R1308*$M1308</f>
        <v>0</v>
      </c>
      <c r="T1308" s="28"/>
      <c r="U1308" s="28" t="n">
        <f aca="false">T1308*$M1308</f>
        <v>0</v>
      </c>
      <c r="V1308" s="28"/>
      <c r="W1308" s="28" t="n">
        <f aca="false">V1308*$M1308</f>
        <v>0</v>
      </c>
      <c r="X1308" s="28"/>
      <c r="Y1308" s="28" t="n">
        <f aca="false">X1308*$M1308</f>
        <v>0</v>
      </c>
      <c r="Z1308" s="28"/>
      <c r="AA1308" s="28" t="n">
        <f aca="false">Z1308*$M1308</f>
        <v>0</v>
      </c>
      <c r="AB1308" s="28"/>
      <c r="AC1308" s="28" t="n">
        <f aca="false">AB1308*$M1308</f>
        <v>0</v>
      </c>
      <c r="AD1308" s="28"/>
      <c r="AE1308" s="28" t="n">
        <f aca="false">AD1308*$M1308</f>
        <v>0</v>
      </c>
      <c r="AF1308" s="28"/>
      <c r="AG1308" s="28" t="n">
        <f aca="false">AF1308*$M1308</f>
        <v>0</v>
      </c>
      <c r="AH1308" s="28"/>
      <c r="AI1308" s="28" t="n">
        <f aca="false">AH1308*$M1308</f>
        <v>0</v>
      </c>
      <c r="AJ1308" s="28"/>
      <c r="AK1308" s="28" t="n">
        <f aca="false">AJ1308*$M1308</f>
        <v>0</v>
      </c>
      <c r="AL1308" s="28"/>
      <c r="AM1308" s="28" t="n">
        <f aca="false">AL1308*$M1308</f>
        <v>0</v>
      </c>
      <c r="AN1308" s="28"/>
      <c r="AO1308" s="28" t="n">
        <f aca="false">AN1308*$M1308</f>
        <v>0</v>
      </c>
      <c r="AP1308" s="28"/>
      <c r="AQ1308" s="28" t="n">
        <f aca="false">AP1308*$M1308</f>
        <v>0</v>
      </c>
      <c r="AR1308" s="28"/>
      <c r="AS1308" s="28" t="n">
        <f aca="false">AR1308*$M1308</f>
        <v>0</v>
      </c>
      <c r="AT1308" s="28"/>
      <c r="AU1308" s="28" t="n">
        <f aca="false">AT1308*$M1308</f>
        <v>0</v>
      </c>
      <c r="AV1308" s="28"/>
      <c r="AW1308" s="28" t="n">
        <f aca="false">AV1308*$M1308</f>
        <v>0</v>
      </c>
      <c r="AX1308" s="28"/>
      <c r="AY1308" s="28" t="n">
        <f aca="false">AX1308*$M1308</f>
        <v>0</v>
      </c>
      <c r="AZ1308" s="30" t="n">
        <f aca="false">8366/100</f>
        <v>83.66</v>
      </c>
      <c r="BA1308" s="11" t="n">
        <v>376</v>
      </c>
      <c r="BB1308" s="31" t="n">
        <f aca="false">SUM(Q1308,S1308,U1308,W1308,Y1308,AA1308,AC1308,AE1308,AG1308,AI1308,AK1308,AM1308,AO1308,AQ1308,AS1308,AU1308,AW1308,AY1308)</f>
        <v>376</v>
      </c>
      <c r="BC1308" s="28" t="n">
        <f aca="false">BA1308-BB1308</f>
        <v>0</v>
      </c>
      <c r="BD1308" s="32" t="n">
        <f aca="false">SUM(P1308,R1308,T1308,V1308,X1308,Z1308,AB1308,AD1308,AF1308,AH1308,AJ1308,AL1308,AN1308,AP1308,AR1308,AT1308,AV1308,AX1308)</f>
        <v>83.66</v>
      </c>
      <c r="BE1308" s="33" t="n">
        <f aca="false">AZ1308-BD1308</f>
        <v>0</v>
      </c>
      <c r="BF1308" s="34" t="n">
        <f aca="false">BD1308*M1308</f>
        <v>376.47</v>
      </c>
      <c r="BG1308" s="35" t="n">
        <f aca="false">BA1308-BF1308</f>
        <v>-0.46999999999997</v>
      </c>
      <c r="BH1308" s="19" t="str">
        <f aca="false">IF(BG1308=0,"",IF(BG1308&lt;&gt;BA1308,"erreur de calcul",IF(BD1308&lt;&gt;0,"pas de prix",IF(M1308&lt;&gt; 0,"pas de quantité","pas de prix, ni de quantité"))))</f>
        <v>erreur de calcul</v>
      </c>
      <c r="BI1308" s="19"/>
    </row>
    <row r="1309" customFormat="false" ht="15" hidden="false" customHeight="false" outlineLevel="0" collapsed="false">
      <c r="A1309" s="0" t="n">
        <v>8</v>
      </c>
      <c r="B1309" s="8" t="s">
        <v>24</v>
      </c>
      <c r="C1309" s="9" t="s">
        <v>25</v>
      </c>
      <c r="D1309" s="9" t="s">
        <v>26</v>
      </c>
      <c r="E1309" s="10" t="n">
        <v>1789</v>
      </c>
      <c r="F1309" s="9" t="s">
        <v>27</v>
      </c>
      <c r="G1309" s="9" t="s">
        <v>27</v>
      </c>
      <c r="H1309" s="11" t="n">
        <v>25</v>
      </c>
      <c r="I1309" s="11" t="s">
        <v>336</v>
      </c>
      <c r="J1309" s="14" t="n">
        <v>64</v>
      </c>
      <c r="K1309" s="14"/>
      <c r="L1309" s="16"/>
      <c r="M1309" s="27" t="n">
        <f aca="false">J1309+(K1309/20)+(L1309/240)</f>
        <v>64</v>
      </c>
      <c r="N1309" s="17" t="s">
        <v>337</v>
      </c>
      <c r="O1309" s="11"/>
      <c r="P1309" s="28"/>
      <c r="Q1309" s="28" t="n">
        <f aca="false">P1309*$M1309</f>
        <v>0</v>
      </c>
      <c r="R1309" s="28"/>
      <c r="S1309" s="28" t="n">
        <f aca="false">R1309*$M1309</f>
        <v>0</v>
      </c>
      <c r="T1309" s="28" t="n">
        <v>42</v>
      </c>
      <c r="U1309" s="28" t="n">
        <v>2688</v>
      </c>
      <c r="V1309" s="28"/>
      <c r="W1309" s="28" t="n">
        <f aca="false">V1309*$M1309</f>
        <v>0</v>
      </c>
      <c r="X1309" s="28"/>
      <c r="Y1309" s="28" t="n">
        <f aca="false">X1309*$M1309</f>
        <v>0</v>
      </c>
      <c r="Z1309" s="28"/>
      <c r="AA1309" s="28" t="n">
        <f aca="false">Z1309*$M1309</f>
        <v>0</v>
      </c>
      <c r="AB1309" s="28" t="n">
        <v>66</v>
      </c>
      <c r="AC1309" s="28" t="n">
        <v>4224</v>
      </c>
      <c r="AD1309" s="28"/>
      <c r="AE1309" s="28" t="n">
        <f aca="false">AD1309*$M1309</f>
        <v>0</v>
      </c>
      <c r="AF1309" s="28"/>
      <c r="AG1309" s="28" t="n">
        <f aca="false">AF1309*$M1309</f>
        <v>0</v>
      </c>
      <c r="AH1309" s="28"/>
      <c r="AI1309" s="28" t="n">
        <f aca="false">AH1309*$M1309</f>
        <v>0</v>
      </c>
      <c r="AJ1309" s="28"/>
      <c r="AK1309" s="28" t="n">
        <f aca="false">AJ1309*$M1309</f>
        <v>0</v>
      </c>
      <c r="AL1309" s="28"/>
      <c r="AM1309" s="28" t="n">
        <f aca="false">AL1309*$M1309</f>
        <v>0</v>
      </c>
      <c r="AN1309" s="28"/>
      <c r="AO1309" s="28" t="n">
        <f aca="false">AN1309*$M1309</f>
        <v>0</v>
      </c>
      <c r="AP1309" s="28"/>
      <c r="AQ1309" s="28" t="n">
        <f aca="false">AP1309*$M1309</f>
        <v>0</v>
      </c>
      <c r="AR1309" s="28"/>
      <c r="AS1309" s="28" t="n">
        <f aca="false">AR1309*$M1309</f>
        <v>0</v>
      </c>
      <c r="AT1309" s="28"/>
      <c r="AU1309" s="28" t="n">
        <f aca="false">AT1309*$M1309</f>
        <v>0</v>
      </c>
      <c r="AV1309" s="28"/>
      <c r="AW1309" s="28" t="n">
        <f aca="false">AV1309*$M1309</f>
        <v>0</v>
      </c>
      <c r="AX1309" s="28"/>
      <c r="AY1309" s="28" t="n">
        <f aca="false">AX1309*$M1309</f>
        <v>0</v>
      </c>
      <c r="AZ1309" s="30" t="n">
        <v>108</v>
      </c>
      <c r="BA1309" s="11" t="n">
        <v>6912</v>
      </c>
      <c r="BB1309" s="31" t="n">
        <f aca="false">SUM(Q1309,S1309,U1309,W1309,Y1309,AA1309,AC1309,AE1309,AG1309,AI1309,AK1309,AM1309,AO1309,AQ1309,AS1309,AU1309,AW1309,AY1309)</f>
        <v>6912</v>
      </c>
      <c r="BC1309" s="28" t="n">
        <f aca="false">BA1309-BB1309</f>
        <v>0</v>
      </c>
      <c r="BD1309" s="32" t="n">
        <f aca="false">SUM(P1309,R1309,T1309,V1309,X1309,Z1309,AB1309,AD1309,AF1309,AH1309,AJ1309,AL1309,AN1309,AP1309,AR1309,AT1309,AV1309,AX1309)</f>
        <v>108</v>
      </c>
      <c r="BE1309" s="33" t="n">
        <f aca="false">AZ1309-BD1309</f>
        <v>0</v>
      </c>
      <c r="BF1309" s="34" t="n">
        <f aca="false">BD1309*M1309</f>
        <v>6912</v>
      </c>
      <c r="BG1309" s="35" t="n">
        <f aca="false">BA1309-BF1309</f>
        <v>0</v>
      </c>
      <c r="BH1309" s="19" t="str">
        <f aca="false">IF(BG1309=0,"",IF(BG1309&lt;&gt;BA1309,"erreur de calcul",IF(BD1309&lt;&gt;0,"pas de prix",IF(M1309&lt;&gt; 0,"pas de quantité","pas de prix, ni de quantité"))))</f>
        <v/>
      </c>
      <c r="BI1309" s="19"/>
    </row>
    <row r="1310" customFormat="false" ht="15" hidden="false" customHeight="false" outlineLevel="0" collapsed="false">
      <c r="A1310" s="0" t="n">
        <v>9</v>
      </c>
      <c r="B1310" s="8" t="s">
        <v>24</v>
      </c>
      <c r="C1310" s="9" t="s">
        <v>25</v>
      </c>
      <c r="D1310" s="9" t="s">
        <v>26</v>
      </c>
      <c r="E1310" s="10" t="n">
        <v>1789</v>
      </c>
      <c r="F1310" s="9" t="s">
        <v>27</v>
      </c>
      <c r="G1310" s="9" t="s">
        <v>27</v>
      </c>
      <c r="H1310" s="11" t="n">
        <v>25</v>
      </c>
      <c r="I1310" s="11" t="s">
        <v>338</v>
      </c>
      <c r="J1310" s="14"/>
      <c r="K1310" s="14"/>
      <c r="L1310" s="16"/>
      <c r="M1310" s="27" t="n">
        <f aca="false">J1310+(K1310/20)+(L1310/240)</f>
        <v>0</v>
      </c>
      <c r="N1310" s="17"/>
      <c r="O1310" s="11"/>
      <c r="P1310" s="28"/>
      <c r="Q1310" s="28" t="n">
        <f aca="false">P1310*$M1310</f>
        <v>0</v>
      </c>
      <c r="R1310" s="28"/>
      <c r="S1310" s="28" t="n">
        <f aca="false">R1310*$M1310</f>
        <v>0</v>
      </c>
      <c r="T1310" s="28"/>
      <c r="U1310" s="28" t="n">
        <v>135</v>
      </c>
      <c r="V1310" s="28"/>
      <c r="W1310" s="28" t="n">
        <v>642</v>
      </c>
      <c r="X1310" s="28"/>
      <c r="Y1310" s="28" t="n">
        <f aca="false">X1310*$M1310</f>
        <v>0</v>
      </c>
      <c r="Z1310" s="28"/>
      <c r="AA1310" s="28" t="n">
        <f aca="false">Z1310*$M1310</f>
        <v>0</v>
      </c>
      <c r="AB1310" s="28"/>
      <c r="AC1310" s="28" t="n">
        <f aca="false">AB1310*$M1310</f>
        <v>0</v>
      </c>
      <c r="AD1310" s="28"/>
      <c r="AE1310" s="28" t="n">
        <f aca="false">AD1310*$M1310</f>
        <v>0</v>
      </c>
      <c r="AF1310" s="28"/>
      <c r="AG1310" s="28" t="n">
        <f aca="false">AF1310*$M1310</f>
        <v>0</v>
      </c>
      <c r="AH1310" s="28"/>
      <c r="AI1310" s="28" t="n">
        <f aca="false">AH1310*$M1310</f>
        <v>0</v>
      </c>
      <c r="AJ1310" s="28"/>
      <c r="AK1310" s="28" t="n">
        <v>375</v>
      </c>
      <c r="AL1310" s="28"/>
      <c r="AM1310" s="28" t="n">
        <f aca="false">AL1310*$M1310</f>
        <v>0</v>
      </c>
      <c r="AN1310" s="28"/>
      <c r="AO1310" s="28" t="n">
        <f aca="false">AN1310*$M1310</f>
        <v>0</v>
      </c>
      <c r="AP1310" s="28"/>
      <c r="AQ1310" s="28" t="n">
        <f aca="false">AP1310*$M1310</f>
        <v>0</v>
      </c>
      <c r="AR1310" s="28"/>
      <c r="AS1310" s="28" t="n">
        <f aca="false">AR1310*$M1310</f>
        <v>0</v>
      </c>
      <c r="AT1310" s="28"/>
      <c r="AU1310" s="28" t="n">
        <f aca="false">AT1310*$M1310</f>
        <v>0</v>
      </c>
      <c r="AV1310" s="28"/>
      <c r="AW1310" s="28" t="n">
        <v>765</v>
      </c>
      <c r="AX1310" s="28"/>
      <c r="AY1310" s="28" t="n">
        <f aca="false">AX1310*$M1310</f>
        <v>0</v>
      </c>
      <c r="AZ1310" s="30"/>
      <c r="BA1310" s="11" t="n">
        <v>1917</v>
      </c>
      <c r="BB1310" s="31" t="n">
        <f aca="false">SUM(Q1310,S1310,U1310,W1310,Y1310,AA1310,AC1310,AE1310,AG1310,AI1310,AK1310,AM1310,AO1310,AQ1310,AS1310,AU1310,AW1310,AY1310)</f>
        <v>1917</v>
      </c>
      <c r="BC1310" s="28" t="n">
        <f aca="false">BA1310-BB1310</f>
        <v>0</v>
      </c>
      <c r="BD1310" s="32" t="n">
        <f aca="false">SUM(P1310,R1310,T1310,V1310,X1310,Z1310,AB1310,AD1310,AF1310,AH1310,AJ1310,AL1310,AN1310,AP1310,AR1310,AT1310,AV1310,AX1310)</f>
        <v>0</v>
      </c>
      <c r="BE1310" s="33" t="n">
        <f aca="false">AZ1310-BD1310</f>
        <v>0</v>
      </c>
      <c r="BF1310" s="34" t="n">
        <f aca="false">BD1310*M1310</f>
        <v>0</v>
      </c>
      <c r="BG1310" s="35" t="n">
        <f aca="false">BA1310-BF1310</f>
        <v>1917</v>
      </c>
      <c r="BH1310" s="19" t="str">
        <f aca="false">IF(BG1310=0,"",IF(BG1310&lt;&gt;BA1310,"erreur de calcul",IF(BD1310&lt;&gt;0,"pas de prix",IF(M1310&lt;&gt; 0,"pas de quantité","pas de prix, ni de quantité"))))</f>
        <v>pas de prix, ni de quantité</v>
      </c>
      <c r="BI1310" s="19"/>
    </row>
    <row r="1311" customFormat="false" ht="15" hidden="false" customHeight="false" outlineLevel="0" collapsed="false">
      <c r="A1311" s="0" t="n">
        <v>10</v>
      </c>
      <c r="B1311" s="8" t="s">
        <v>24</v>
      </c>
      <c r="C1311" s="9" t="s">
        <v>25</v>
      </c>
      <c r="D1311" s="9" t="s">
        <v>26</v>
      </c>
      <c r="E1311" s="10" t="n">
        <v>1789</v>
      </c>
      <c r="F1311" s="9" t="s">
        <v>27</v>
      </c>
      <c r="G1311" s="9" t="s">
        <v>27</v>
      </c>
      <c r="H1311" s="11" t="n">
        <v>25</v>
      </c>
      <c r="I1311" s="11" t="s">
        <v>339</v>
      </c>
      <c r="J1311" s="14" t="n">
        <v>7</v>
      </c>
      <c r="K1311" s="14"/>
      <c r="L1311" s="16"/>
      <c r="M1311" s="27" t="n">
        <f aca="false">J1311+(K1311/20)+(L1311/240)</f>
        <v>7</v>
      </c>
      <c r="N1311" s="17" t="s">
        <v>69</v>
      </c>
      <c r="O1311" s="11"/>
      <c r="P1311" s="28"/>
      <c r="Q1311" s="28" t="n">
        <f aca="false">P1311*$M1311</f>
        <v>0</v>
      </c>
      <c r="R1311" s="28"/>
      <c r="S1311" s="28" t="n">
        <f aca="false">R1311*$M1311</f>
        <v>0</v>
      </c>
      <c r="T1311" s="28"/>
      <c r="U1311" s="28" t="n">
        <f aca="false">T1311*$M1311</f>
        <v>0</v>
      </c>
      <c r="V1311" s="28" t="n">
        <v>554</v>
      </c>
      <c r="W1311" s="28" t="n">
        <v>3878</v>
      </c>
      <c r="X1311" s="28"/>
      <c r="Y1311" s="28" t="n">
        <f aca="false">X1311*$M1311</f>
        <v>0</v>
      </c>
      <c r="Z1311" s="28"/>
      <c r="AA1311" s="28" t="n">
        <f aca="false">Z1311*$M1311</f>
        <v>0</v>
      </c>
      <c r="AB1311" s="28"/>
      <c r="AC1311" s="28" t="n">
        <f aca="false">AB1311*$M1311</f>
        <v>0</v>
      </c>
      <c r="AD1311" s="28"/>
      <c r="AE1311" s="28" t="n">
        <f aca="false">AD1311*$M1311</f>
        <v>0</v>
      </c>
      <c r="AF1311" s="28"/>
      <c r="AG1311" s="28" t="n">
        <f aca="false">AF1311*$M1311</f>
        <v>0</v>
      </c>
      <c r="AH1311" s="28"/>
      <c r="AI1311" s="28" t="n">
        <f aca="false">AH1311*$M1311</f>
        <v>0</v>
      </c>
      <c r="AJ1311" s="28"/>
      <c r="AK1311" s="28" t="n">
        <f aca="false">AJ1311*$M1311</f>
        <v>0</v>
      </c>
      <c r="AL1311" s="28"/>
      <c r="AM1311" s="28" t="n">
        <f aca="false">AL1311*$M1311</f>
        <v>0</v>
      </c>
      <c r="AN1311" s="28"/>
      <c r="AO1311" s="28" t="n">
        <f aca="false">AN1311*$M1311</f>
        <v>0</v>
      </c>
      <c r="AP1311" s="28"/>
      <c r="AQ1311" s="28" t="n">
        <f aca="false">AP1311*$M1311</f>
        <v>0</v>
      </c>
      <c r="AR1311" s="28"/>
      <c r="AS1311" s="28" t="n">
        <f aca="false">AR1311*$M1311</f>
        <v>0</v>
      </c>
      <c r="AT1311" s="28"/>
      <c r="AU1311" s="28" t="n">
        <f aca="false">AT1311*$M1311</f>
        <v>0</v>
      </c>
      <c r="AV1311" s="28"/>
      <c r="AW1311" s="28" t="n">
        <f aca="false">AV1311*$M1311</f>
        <v>0</v>
      </c>
      <c r="AX1311" s="28"/>
      <c r="AY1311" s="28" t="n">
        <f aca="false">AX1311*$M1311</f>
        <v>0</v>
      </c>
      <c r="AZ1311" s="30" t="n">
        <v>554</v>
      </c>
      <c r="BA1311" s="11" t="n">
        <v>3878</v>
      </c>
      <c r="BB1311" s="31" t="n">
        <f aca="false">SUM(Q1311,S1311,U1311,W1311,Y1311,AA1311,AC1311,AE1311,AG1311,AI1311,AK1311,AM1311,AO1311,AQ1311,AS1311,AU1311,AW1311,AY1311)</f>
        <v>3878</v>
      </c>
      <c r="BC1311" s="28" t="n">
        <f aca="false">BA1311-BB1311</f>
        <v>0</v>
      </c>
      <c r="BD1311" s="32" t="n">
        <f aca="false">SUM(P1311,R1311,T1311,V1311,X1311,Z1311,AB1311,AD1311,AF1311,AH1311,AJ1311,AL1311,AN1311,AP1311,AR1311,AT1311,AV1311,AX1311)</f>
        <v>554</v>
      </c>
      <c r="BE1311" s="33" t="n">
        <f aca="false">AZ1311-BD1311</f>
        <v>0</v>
      </c>
      <c r="BF1311" s="34" t="n">
        <f aca="false">BD1311*M1311</f>
        <v>3878</v>
      </c>
      <c r="BG1311" s="35" t="n">
        <f aca="false">BA1311-BF1311</f>
        <v>0</v>
      </c>
      <c r="BH1311" s="19" t="str">
        <f aca="false">IF(BG1311=0,"",IF(BG1311&lt;&gt;BA1311,"erreur de calcul",IF(BD1311&lt;&gt;0,"pas de prix",IF(M1311&lt;&gt; 0,"pas de quantité","pas de prix, ni de quantité"))))</f>
        <v/>
      </c>
      <c r="BI1311" s="19"/>
    </row>
    <row r="1312" customFormat="false" ht="15" hidden="false" customHeight="false" outlineLevel="0" collapsed="false">
      <c r="A1312" s="0" t="n">
        <v>11</v>
      </c>
      <c r="B1312" s="8" t="s">
        <v>24</v>
      </c>
      <c r="C1312" s="9" t="s">
        <v>25</v>
      </c>
      <c r="D1312" s="9" t="s">
        <v>26</v>
      </c>
      <c r="E1312" s="10" t="n">
        <v>1789</v>
      </c>
      <c r="F1312" s="9" t="s">
        <v>27</v>
      </c>
      <c r="G1312" s="9" t="s">
        <v>27</v>
      </c>
      <c r="H1312" s="11" t="n">
        <v>25</v>
      </c>
      <c r="I1312" s="11" t="s">
        <v>340</v>
      </c>
      <c r="J1312" s="14" t="n">
        <v>15</v>
      </c>
      <c r="K1312" s="14"/>
      <c r="L1312" s="16"/>
      <c r="M1312" s="27" t="n">
        <f aca="false">J1312+(K1312/20)+(L1312/240)</f>
        <v>15</v>
      </c>
      <c r="N1312" s="17" t="s">
        <v>64</v>
      </c>
      <c r="O1312" s="11"/>
      <c r="P1312" s="28" t="n">
        <f aca="false">470959/100</f>
        <v>4709.59</v>
      </c>
      <c r="Q1312" s="28" t="n">
        <v>70644</v>
      </c>
      <c r="R1312" s="28"/>
      <c r="S1312" s="28" t="n">
        <f aca="false">R1312*$M1312</f>
        <v>0</v>
      </c>
      <c r="T1312" s="28"/>
      <c r="U1312" s="28" t="n">
        <f aca="false">T1312*$M1312</f>
        <v>0</v>
      </c>
      <c r="V1312" s="28"/>
      <c r="W1312" s="28" t="n">
        <f aca="false">V1312*$M1312</f>
        <v>0</v>
      </c>
      <c r="X1312" s="28"/>
      <c r="Y1312" s="28" t="n">
        <f aca="false">X1312*$M1312</f>
        <v>0</v>
      </c>
      <c r="Z1312" s="28"/>
      <c r="AA1312" s="28" t="n">
        <f aca="false">Z1312*$M1312</f>
        <v>0</v>
      </c>
      <c r="AB1312" s="28" t="n">
        <f aca="false">50000/100</f>
        <v>500</v>
      </c>
      <c r="AC1312" s="28" t="n">
        <v>7500</v>
      </c>
      <c r="AD1312" s="28"/>
      <c r="AE1312" s="28" t="n">
        <f aca="false">AD1312*$M1312</f>
        <v>0</v>
      </c>
      <c r="AF1312" s="28" t="n">
        <f aca="false">15584/100</f>
        <v>155.84</v>
      </c>
      <c r="AG1312" s="28" t="n">
        <v>2338</v>
      </c>
      <c r="AH1312" s="28"/>
      <c r="AI1312" s="28" t="n">
        <f aca="false">AH1312*$M1312</f>
        <v>0</v>
      </c>
      <c r="AJ1312" s="28"/>
      <c r="AK1312" s="28" t="n">
        <f aca="false">AJ1312*$M1312</f>
        <v>0</v>
      </c>
      <c r="AL1312" s="28"/>
      <c r="AM1312" s="28" t="n">
        <f aca="false">AL1312*$M1312</f>
        <v>0</v>
      </c>
      <c r="AN1312" s="28"/>
      <c r="AO1312" s="28" t="n">
        <f aca="false">AN1312*$M1312</f>
        <v>0</v>
      </c>
      <c r="AP1312" s="28"/>
      <c r="AQ1312" s="28" t="n">
        <f aca="false">AP1312*$M1312</f>
        <v>0</v>
      </c>
      <c r="AR1312" s="28"/>
      <c r="AS1312" s="28" t="n">
        <f aca="false">AR1312*$M1312</f>
        <v>0</v>
      </c>
      <c r="AT1312" s="28"/>
      <c r="AU1312" s="28" t="n">
        <f aca="false">AT1312*$M1312</f>
        <v>0</v>
      </c>
      <c r="AV1312" s="28"/>
      <c r="AW1312" s="28" t="n">
        <f aca="false">AV1312*$M1312</f>
        <v>0</v>
      </c>
      <c r="AX1312" s="28"/>
      <c r="AY1312" s="28" t="n">
        <f aca="false">AX1312*$M1312</f>
        <v>0</v>
      </c>
      <c r="AZ1312" s="30" t="n">
        <f aca="false">535959/100</f>
        <v>5359.59</v>
      </c>
      <c r="BA1312" s="11" t="n">
        <v>80482</v>
      </c>
      <c r="BB1312" s="31" t="n">
        <f aca="false">SUM(Q1312,S1312,U1312,W1312,Y1312,AA1312,AC1312,AE1312,AG1312,AI1312,AK1312,AM1312,AO1312,AQ1312,AS1312,AU1312,AW1312,AY1312)</f>
        <v>80482</v>
      </c>
      <c r="BC1312" s="28" t="n">
        <f aca="false">BA1312-BB1312</f>
        <v>0</v>
      </c>
      <c r="BD1312" s="32" t="n">
        <f aca="false">SUM(P1312,R1312,T1312,V1312,X1312,Z1312,AB1312,AD1312,AF1312,AH1312,AJ1312,AL1312,AN1312,AP1312,AR1312,AT1312,AV1312,AX1312)</f>
        <v>5365.43</v>
      </c>
      <c r="BE1312" s="33" t="n">
        <f aca="false">AZ1312-BD1312</f>
        <v>-5.84000000000015</v>
      </c>
      <c r="BF1312" s="34" t="n">
        <f aca="false">BD1312*M1312</f>
        <v>80481.45</v>
      </c>
      <c r="BG1312" s="35" t="n">
        <f aca="false">BA1312-BF1312</f>
        <v>0.549999999988359</v>
      </c>
      <c r="BH1312" s="19" t="str">
        <f aca="false">IF(BG1312=0,"",IF(BG1312&lt;&gt;BA1312,"erreur de calcul",IF(BD1312&lt;&gt;0,"pas de prix",IF(M1312&lt;&gt; 0,"pas de quantité","pas de prix, ni de quantité"))))</f>
        <v>erreur de calcul</v>
      </c>
      <c r="BI1312" s="19"/>
    </row>
    <row r="1313" customFormat="false" ht="15" hidden="false" customHeight="false" outlineLevel="0" collapsed="false">
      <c r="A1313" s="0" t="n">
        <v>12</v>
      </c>
      <c r="B1313" s="8" t="s">
        <v>24</v>
      </c>
      <c r="C1313" s="9" t="s">
        <v>25</v>
      </c>
      <c r="D1313" s="9" t="s">
        <v>26</v>
      </c>
      <c r="E1313" s="10" t="n">
        <v>1789</v>
      </c>
      <c r="F1313" s="9" t="s">
        <v>27</v>
      </c>
      <c r="G1313" s="9" t="s">
        <v>27</v>
      </c>
      <c r="H1313" s="11" t="n">
        <v>25</v>
      </c>
      <c r="I1313" s="11" t="s">
        <v>341</v>
      </c>
      <c r="J1313" s="14" t="n">
        <v>75</v>
      </c>
      <c r="K1313" s="14"/>
      <c r="L1313" s="16"/>
      <c r="M1313" s="27" t="n">
        <f aca="false">J1313+(K1313/20)+(L1313/240)</f>
        <v>75</v>
      </c>
      <c r="N1313" s="17" t="s">
        <v>85</v>
      </c>
      <c r="O1313" s="11"/>
      <c r="P1313" s="28"/>
      <c r="Q1313" s="28" t="n">
        <f aca="false">P1313*$M1313</f>
        <v>0</v>
      </c>
      <c r="R1313" s="28"/>
      <c r="S1313" s="28" t="n">
        <f aca="false">R1313*$M1313</f>
        <v>0</v>
      </c>
      <c r="T1313" s="28"/>
      <c r="U1313" s="28" t="n">
        <f aca="false">T1313*$M1313</f>
        <v>0</v>
      </c>
      <c r="V1313" s="28"/>
      <c r="W1313" s="28" t="n">
        <f aca="false">V1313*$M1313</f>
        <v>0</v>
      </c>
      <c r="X1313" s="28"/>
      <c r="Y1313" s="28" t="n">
        <f aca="false">X1313*$M1313</f>
        <v>0</v>
      </c>
      <c r="Z1313" s="28"/>
      <c r="AA1313" s="28" t="n">
        <f aca="false">Z1313*$M1313</f>
        <v>0</v>
      </c>
      <c r="AB1313" s="28"/>
      <c r="AC1313" s="28" t="n">
        <f aca="false">AB1313*$M1313</f>
        <v>0</v>
      </c>
      <c r="AD1313" s="28"/>
      <c r="AE1313" s="28" t="n">
        <f aca="false">AD1313*$M1313</f>
        <v>0</v>
      </c>
      <c r="AF1313" s="28"/>
      <c r="AG1313" s="28" t="n">
        <f aca="false">AF1313*$M1313</f>
        <v>0</v>
      </c>
      <c r="AH1313" s="28"/>
      <c r="AI1313" s="28" t="n">
        <f aca="false">AH1313*$M1313</f>
        <v>0</v>
      </c>
      <c r="AJ1313" s="28"/>
      <c r="AK1313" s="28" t="n">
        <f aca="false">AJ1313*$M1313</f>
        <v>0</v>
      </c>
      <c r="AL1313" s="28" t="n">
        <f aca="false">2584/100</f>
        <v>25.84</v>
      </c>
      <c r="AM1313" s="28" t="n">
        <v>1938</v>
      </c>
      <c r="AN1313" s="28"/>
      <c r="AO1313" s="28" t="n">
        <f aca="false">AN1313*$M1313</f>
        <v>0</v>
      </c>
      <c r="AP1313" s="28"/>
      <c r="AQ1313" s="28" t="n">
        <f aca="false">AP1313*$M1313</f>
        <v>0</v>
      </c>
      <c r="AR1313" s="28"/>
      <c r="AS1313" s="28" t="n">
        <f aca="false">AR1313*$M1313</f>
        <v>0</v>
      </c>
      <c r="AT1313" s="28"/>
      <c r="AU1313" s="28" t="n">
        <f aca="false">AT1313*$M1313</f>
        <v>0</v>
      </c>
      <c r="AV1313" s="28"/>
      <c r="AW1313" s="28" t="n">
        <f aca="false">AV1313*$M1313</f>
        <v>0</v>
      </c>
      <c r="AX1313" s="28"/>
      <c r="AY1313" s="28" t="n">
        <f aca="false">AX1313*$M1313</f>
        <v>0</v>
      </c>
      <c r="AZ1313" s="30" t="n">
        <f aca="false">2584/100</f>
        <v>25.84</v>
      </c>
      <c r="BA1313" s="11" t="n">
        <v>1938</v>
      </c>
      <c r="BB1313" s="31" t="n">
        <f aca="false">SUM(Q1313,S1313,U1313,W1313,Y1313,AA1313,AC1313,AE1313,AG1313,AI1313,AK1313,AM1313,AO1313,AQ1313,AS1313,AU1313,AW1313,AY1313)</f>
        <v>1938</v>
      </c>
      <c r="BC1313" s="28" t="n">
        <f aca="false">BA1313-BB1313</f>
        <v>0</v>
      </c>
      <c r="BD1313" s="32" t="n">
        <f aca="false">SUM(P1313,R1313,T1313,V1313,X1313,Z1313,AB1313,AD1313,AF1313,AH1313,AJ1313,AL1313,AN1313,AP1313,AR1313,AT1313,AV1313,AX1313)</f>
        <v>25.84</v>
      </c>
      <c r="BE1313" s="33" t="n">
        <f aca="false">AZ1313-BD1313</f>
        <v>0</v>
      </c>
      <c r="BF1313" s="34" t="n">
        <f aca="false">BD1313*M1313</f>
        <v>1938</v>
      </c>
      <c r="BG1313" s="35" t="n">
        <f aca="false">BA1313-BF1313</f>
        <v>0</v>
      </c>
      <c r="BH1313" s="19" t="str">
        <f aca="false">IF(BG1313=0,"",IF(BG1313&lt;&gt;BA1313,"erreur de calcul",IF(BD1313&lt;&gt;0,"pas de prix",IF(M1313&lt;&gt; 0,"pas de quantité","pas de prix, ni de quantité"))))</f>
        <v/>
      </c>
      <c r="BI1313" s="19"/>
    </row>
    <row r="1314" customFormat="false" ht="15" hidden="false" customHeight="false" outlineLevel="0" collapsed="false">
      <c r="A1314" s="0" t="n">
        <v>13</v>
      </c>
      <c r="B1314" s="8" t="s">
        <v>24</v>
      </c>
      <c r="C1314" s="9" t="s">
        <v>25</v>
      </c>
      <c r="D1314" s="9" t="s">
        <v>26</v>
      </c>
      <c r="E1314" s="10" t="n">
        <v>1789</v>
      </c>
      <c r="F1314" s="9" t="s">
        <v>27</v>
      </c>
      <c r="G1314" s="9" t="s">
        <v>27</v>
      </c>
      <c r="H1314" s="11" t="n">
        <v>25</v>
      </c>
      <c r="I1314" s="11" t="s">
        <v>342</v>
      </c>
      <c r="J1314" s="14" t="n">
        <v>10</v>
      </c>
      <c r="K1314" s="14"/>
      <c r="L1314" s="16"/>
      <c r="M1314" s="27" t="n">
        <f aca="false">J1314+(K1314/20)+(L1314/240)</f>
        <v>10</v>
      </c>
      <c r="N1314" s="17" t="s">
        <v>66</v>
      </c>
      <c r="O1314" s="11"/>
      <c r="P1314" s="28"/>
      <c r="Q1314" s="28" t="n">
        <f aca="false">P1314*$M1314</f>
        <v>0</v>
      </c>
      <c r="R1314" s="28" t="n">
        <v>827</v>
      </c>
      <c r="S1314" s="28" t="n">
        <v>8270</v>
      </c>
      <c r="T1314" s="28"/>
      <c r="U1314" s="28" t="n">
        <f aca="false">T1314*$M1314</f>
        <v>0</v>
      </c>
      <c r="V1314" s="28"/>
      <c r="W1314" s="28" t="n">
        <f aca="false">V1314*$M1314</f>
        <v>0</v>
      </c>
      <c r="X1314" s="28"/>
      <c r="Y1314" s="28" t="n">
        <f aca="false">X1314*$M1314</f>
        <v>0</v>
      </c>
      <c r="Z1314" s="28"/>
      <c r="AA1314" s="28" t="n">
        <f aca="false">Z1314*$M1314</f>
        <v>0</v>
      </c>
      <c r="AB1314" s="28"/>
      <c r="AC1314" s="28" t="n">
        <f aca="false">AB1314*$M1314</f>
        <v>0</v>
      </c>
      <c r="AD1314" s="28"/>
      <c r="AE1314" s="28" t="n">
        <f aca="false">AD1314*$M1314</f>
        <v>0</v>
      </c>
      <c r="AF1314" s="28"/>
      <c r="AG1314" s="28" t="n">
        <f aca="false">AF1314*$M1314</f>
        <v>0</v>
      </c>
      <c r="AH1314" s="28"/>
      <c r="AI1314" s="28" t="n">
        <f aca="false">AH1314*$M1314</f>
        <v>0</v>
      </c>
      <c r="AJ1314" s="28"/>
      <c r="AK1314" s="28" t="n">
        <f aca="false">AJ1314*$M1314</f>
        <v>0</v>
      </c>
      <c r="AL1314" s="28"/>
      <c r="AM1314" s="28" t="n">
        <f aca="false">AL1314*$M1314</f>
        <v>0</v>
      </c>
      <c r="AN1314" s="28"/>
      <c r="AO1314" s="28" t="n">
        <f aca="false">AN1314*$M1314</f>
        <v>0</v>
      </c>
      <c r="AP1314" s="28"/>
      <c r="AQ1314" s="28" t="n">
        <f aca="false">AP1314*$M1314</f>
        <v>0</v>
      </c>
      <c r="AR1314" s="28"/>
      <c r="AS1314" s="28" t="n">
        <f aca="false">AR1314*$M1314</f>
        <v>0</v>
      </c>
      <c r="AT1314" s="28"/>
      <c r="AU1314" s="28" t="n">
        <f aca="false">AT1314*$M1314</f>
        <v>0</v>
      </c>
      <c r="AV1314" s="28"/>
      <c r="AW1314" s="28" t="n">
        <f aca="false">AV1314*$M1314</f>
        <v>0</v>
      </c>
      <c r="AX1314" s="28"/>
      <c r="AY1314" s="28" t="n">
        <f aca="false">AX1314*$M1314</f>
        <v>0</v>
      </c>
      <c r="AZ1314" s="30" t="n">
        <v>827</v>
      </c>
      <c r="BA1314" s="11" t="n">
        <v>8270</v>
      </c>
      <c r="BB1314" s="31" t="n">
        <f aca="false">SUM(Q1314,S1314,U1314,W1314,Y1314,AA1314,AC1314,AE1314,AG1314,AI1314,AK1314,AM1314,AO1314,AQ1314,AS1314,AU1314,AW1314,AY1314)</f>
        <v>8270</v>
      </c>
      <c r="BC1314" s="28" t="n">
        <f aca="false">BA1314-BB1314</f>
        <v>0</v>
      </c>
      <c r="BD1314" s="32" t="n">
        <f aca="false">SUM(P1314,R1314,T1314,V1314,X1314,Z1314,AB1314,AD1314,AF1314,AH1314,AJ1314,AL1314,AN1314,AP1314,AR1314,AT1314,AV1314,AX1314)</f>
        <v>827</v>
      </c>
      <c r="BE1314" s="33" t="n">
        <f aca="false">AZ1314-BD1314</f>
        <v>0</v>
      </c>
      <c r="BF1314" s="34" t="n">
        <f aca="false">BD1314*M1314</f>
        <v>8270</v>
      </c>
      <c r="BG1314" s="35" t="n">
        <f aca="false">BA1314-BF1314</f>
        <v>0</v>
      </c>
      <c r="BH1314" s="19" t="str">
        <f aca="false">IF(BG1314=0,"",IF(BG1314&lt;&gt;BA1314,"erreur de calcul",IF(BD1314&lt;&gt;0,"pas de prix",IF(M1314&lt;&gt; 0,"pas de quantité","pas de prix, ni de quantité"))))</f>
        <v/>
      </c>
      <c r="BI1314" s="19"/>
    </row>
    <row r="1315" customFormat="false" ht="15" hidden="false" customHeight="false" outlineLevel="0" collapsed="false">
      <c r="A1315" s="0" t="n">
        <v>14</v>
      </c>
      <c r="B1315" s="8" t="s">
        <v>24</v>
      </c>
      <c r="C1315" s="9" t="s">
        <v>25</v>
      </c>
      <c r="D1315" s="9" t="s">
        <v>26</v>
      </c>
      <c r="E1315" s="10" t="n">
        <v>1789</v>
      </c>
      <c r="F1315" s="9" t="s">
        <v>27</v>
      </c>
      <c r="G1315" s="9" t="s">
        <v>27</v>
      </c>
      <c r="H1315" s="11" t="n">
        <v>25</v>
      </c>
      <c r="I1315" s="11" t="s">
        <v>343</v>
      </c>
      <c r="J1315" s="14" t="n">
        <v>4</v>
      </c>
      <c r="K1315" s="14"/>
      <c r="L1315" s="16"/>
      <c r="M1315" s="27" t="n">
        <f aca="false">J1315+(K1315/20)+(L1315/240)</f>
        <v>4</v>
      </c>
      <c r="N1315" s="17" t="s">
        <v>69</v>
      </c>
      <c r="O1315" s="11"/>
      <c r="P1315" s="28"/>
      <c r="Q1315" s="28" t="n">
        <f aca="false">P1315*$M1315</f>
        <v>0</v>
      </c>
      <c r="R1315" s="28"/>
      <c r="S1315" s="28" t="n">
        <f aca="false">R1315*$M1315</f>
        <v>0</v>
      </c>
      <c r="T1315" s="28"/>
      <c r="U1315" s="28" t="n">
        <f aca="false">T1315*$M1315</f>
        <v>0</v>
      </c>
      <c r="V1315" s="28" t="n">
        <v>2198</v>
      </c>
      <c r="W1315" s="28" t="n">
        <v>8792</v>
      </c>
      <c r="X1315" s="28"/>
      <c r="Y1315" s="28" t="n">
        <f aca="false">X1315*$M1315</f>
        <v>0</v>
      </c>
      <c r="Z1315" s="28"/>
      <c r="AA1315" s="28" t="n">
        <f aca="false">Z1315*$M1315</f>
        <v>0</v>
      </c>
      <c r="AB1315" s="28"/>
      <c r="AC1315" s="28" t="n">
        <f aca="false">AB1315*$M1315</f>
        <v>0</v>
      </c>
      <c r="AD1315" s="28"/>
      <c r="AE1315" s="28" t="n">
        <f aca="false">AD1315*$M1315</f>
        <v>0</v>
      </c>
      <c r="AF1315" s="28"/>
      <c r="AG1315" s="28" t="n">
        <f aca="false">AF1315*$M1315</f>
        <v>0</v>
      </c>
      <c r="AH1315" s="28"/>
      <c r="AI1315" s="28" t="n">
        <f aca="false">AH1315*$M1315</f>
        <v>0</v>
      </c>
      <c r="AJ1315" s="28"/>
      <c r="AK1315" s="28" t="n">
        <f aca="false">AJ1315*$M1315</f>
        <v>0</v>
      </c>
      <c r="AL1315" s="28"/>
      <c r="AM1315" s="28" t="n">
        <f aca="false">AL1315*$M1315</f>
        <v>0</v>
      </c>
      <c r="AN1315" s="28"/>
      <c r="AO1315" s="28" t="n">
        <f aca="false">AN1315*$M1315</f>
        <v>0</v>
      </c>
      <c r="AP1315" s="28"/>
      <c r="AQ1315" s="28" t="n">
        <f aca="false">AP1315*$M1315</f>
        <v>0</v>
      </c>
      <c r="AR1315" s="28"/>
      <c r="AS1315" s="28" t="n">
        <f aca="false">AR1315*$M1315</f>
        <v>0</v>
      </c>
      <c r="AT1315" s="28"/>
      <c r="AU1315" s="28" t="n">
        <f aca="false">AT1315*$M1315</f>
        <v>0</v>
      </c>
      <c r="AV1315" s="28"/>
      <c r="AW1315" s="28" t="n">
        <f aca="false">AV1315*$M1315</f>
        <v>0</v>
      </c>
      <c r="AX1315" s="28"/>
      <c r="AY1315" s="28" t="n">
        <f aca="false">AX1315*$M1315</f>
        <v>0</v>
      </c>
      <c r="AZ1315" s="30" t="n">
        <v>2198</v>
      </c>
      <c r="BA1315" s="11" t="n">
        <v>8792</v>
      </c>
      <c r="BB1315" s="31" t="n">
        <f aca="false">SUM(Q1315,S1315,U1315,W1315,Y1315,AA1315,AC1315,AE1315,AG1315,AI1315,AK1315,AM1315,AO1315,AQ1315,AS1315,AU1315,AW1315,AY1315)</f>
        <v>8792</v>
      </c>
      <c r="BC1315" s="28" t="n">
        <f aca="false">BA1315-BB1315</f>
        <v>0</v>
      </c>
      <c r="BD1315" s="32" t="n">
        <f aca="false">SUM(P1315,R1315,T1315,V1315,X1315,Z1315,AB1315,AD1315,AF1315,AH1315,AJ1315,AL1315,AN1315,AP1315,AR1315,AT1315,AV1315,AX1315)</f>
        <v>2198</v>
      </c>
      <c r="BE1315" s="33" t="n">
        <f aca="false">AZ1315-BD1315</f>
        <v>0</v>
      </c>
      <c r="BF1315" s="34" t="n">
        <f aca="false">BD1315*M1315</f>
        <v>8792</v>
      </c>
      <c r="BG1315" s="35" t="n">
        <f aca="false">BA1315-BF1315</f>
        <v>0</v>
      </c>
      <c r="BH1315" s="19" t="str">
        <f aca="false">IF(BG1315=0,"",IF(BG1315&lt;&gt;BA1315,"erreur de calcul",IF(BD1315&lt;&gt;0,"pas de prix",IF(M1315&lt;&gt; 0,"pas de quantité","pas de prix, ni de quantité"))))</f>
        <v/>
      </c>
      <c r="BI1315" s="19"/>
    </row>
    <row r="1316" customFormat="false" ht="15" hidden="false" customHeight="false" outlineLevel="0" collapsed="false">
      <c r="A1316" s="0" t="n">
        <v>15</v>
      </c>
      <c r="B1316" s="8" t="s">
        <v>24</v>
      </c>
      <c r="C1316" s="9" t="s">
        <v>25</v>
      </c>
      <c r="D1316" s="9" t="s">
        <v>26</v>
      </c>
      <c r="E1316" s="10" t="n">
        <v>1789</v>
      </c>
      <c r="F1316" s="9" t="s">
        <v>27</v>
      </c>
      <c r="G1316" s="9" t="s">
        <v>27</v>
      </c>
      <c r="H1316" s="11" t="n">
        <v>25</v>
      </c>
      <c r="I1316" s="11" t="s">
        <v>344</v>
      </c>
      <c r="J1316" s="14" t="n">
        <v>2000</v>
      </c>
      <c r="K1316" s="14"/>
      <c r="L1316" s="16"/>
      <c r="M1316" s="27" t="n">
        <f aca="false">J1316+(K1316/20)+(L1316/240)</f>
        <v>2000</v>
      </c>
      <c r="N1316" s="17" t="s">
        <v>64</v>
      </c>
      <c r="O1316" s="11" t="s">
        <v>277</v>
      </c>
      <c r="P1316" s="28"/>
      <c r="Q1316" s="28" t="n">
        <f aca="false">P1316*$M1316</f>
        <v>0</v>
      </c>
      <c r="R1316" s="28"/>
      <c r="S1316" s="28" t="n">
        <f aca="false">R1316*$M1316</f>
        <v>0</v>
      </c>
      <c r="T1316" s="28"/>
      <c r="U1316" s="28" t="n">
        <f aca="false">T1316*$M1316</f>
        <v>0</v>
      </c>
      <c r="V1316" s="28"/>
      <c r="W1316" s="28" t="n">
        <f aca="false">V1316*$M1316</f>
        <v>0</v>
      </c>
      <c r="X1316" s="28"/>
      <c r="Y1316" s="28" t="n">
        <f aca="false">X1316*$M1316</f>
        <v>0</v>
      </c>
      <c r="Z1316" s="28"/>
      <c r="AA1316" s="28" t="n">
        <f aca="false">Z1316*$M1316</f>
        <v>0</v>
      </c>
      <c r="AB1316" s="28"/>
      <c r="AC1316" s="28" t="n">
        <f aca="false">AB1316*$M1316</f>
        <v>0</v>
      </c>
      <c r="AD1316" s="28"/>
      <c r="AE1316" s="28" t="n">
        <f aca="false">AD1316*$M1316</f>
        <v>0</v>
      </c>
      <c r="AF1316" s="28"/>
      <c r="AG1316" s="28" t="n">
        <f aca="false">AF1316*$M1316</f>
        <v>0</v>
      </c>
      <c r="AH1316" s="28"/>
      <c r="AI1316" s="28" t="n">
        <f aca="false">AH1316*$M1316</f>
        <v>0</v>
      </c>
      <c r="AJ1316" s="28"/>
      <c r="AK1316" s="28" t="n">
        <f aca="false">AJ1316*$M1316</f>
        <v>0</v>
      </c>
      <c r="AL1316" s="28"/>
      <c r="AM1316" s="28" t="n">
        <f aca="false">AL1316*$M1316</f>
        <v>0</v>
      </c>
      <c r="AN1316" s="28"/>
      <c r="AO1316" s="28" t="n">
        <f aca="false">AN1316*$M1316</f>
        <v>0</v>
      </c>
      <c r="AP1316" s="28"/>
      <c r="AQ1316" s="28" t="n">
        <f aca="false">AP1316*$M1316</f>
        <v>0</v>
      </c>
      <c r="AR1316" s="28"/>
      <c r="AS1316" s="28" t="n">
        <f aca="false">AR1316*$M1316</f>
        <v>0</v>
      </c>
      <c r="AT1316" s="28"/>
      <c r="AU1316" s="28" t="n">
        <f aca="false">AT1316*$M1316</f>
        <v>0</v>
      </c>
      <c r="AV1316" s="28"/>
      <c r="AW1316" s="28" t="n">
        <f aca="false">AV1316*$M1316</f>
        <v>0</v>
      </c>
      <c r="AX1316" s="28"/>
      <c r="AY1316" s="28" t="n">
        <f aca="false">AX1316*$M1316</f>
        <v>0</v>
      </c>
      <c r="AZ1316" s="30"/>
      <c r="BA1316" s="11"/>
      <c r="BB1316" s="31" t="n">
        <f aca="false">SUM(Q1316,S1316,U1316,W1316,Y1316,AA1316,AC1316,AE1316,AG1316,AI1316,AK1316,AM1316,AO1316,AQ1316,AS1316,AU1316,AW1316,AY1316)</f>
        <v>0</v>
      </c>
      <c r="BC1316" s="28" t="n">
        <f aca="false">BA1316-BB1316</f>
        <v>0</v>
      </c>
      <c r="BD1316" s="32" t="n">
        <f aca="false">SUM(P1316,R1316,T1316,V1316,X1316,Z1316,AB1316,AD1316,AF1316,AH1316,AJ1316,AL1316,AN1316,AP1316,AR1316,AT1316,AV1316,AX1316)</f>
        <v>0</v>
      </c>
      <c r="BE1316" s="33" t="n">
        <f aca="false">AZ1316-BD1316</f>
        <v>0</v>
      </c>
      <c r="BF1316" s="34" t="n">
        <f aca="false">BD1316*M1316</f>
        <v>0</v>
      </c>
      <c r="BG1316" s="35" t="n">
        <f aca="false">BA1316-BF1316</f>
        <v>0</v>
      </c>
      <c r="BH1316" s="19" t="str">
        <f aca="false">IF(BG1316=0,"",IF(BG1316&lt;&gt;BA1316,"erreur de calcul",IF(BD1316&lt;&gt;0,"pas de prix",IF(M1316&lt;&gt; 0,"pas de quantité","pas de prix, ni de quantité"))))</f>
        <v/>
      </c>
      <c r="BI1316" s="19"/>
    </row>
    <row r="1317" customFormat="false" ht="15" hidden="false" customHeight="false" outlineLevel="0" collapsed="false">
      <c r="A1317" s="0" t="n">
        <v>16</v>
      </c>
      <c r="B1317" s="8" t="s">
        <v>24</v>
      </c>
      <c r="C1317" s="9" t="s">
        <v>25</v>
      </c>
      <c r="D1317" s="9" t="s">
        <v>26</v>
      </c>
      <c r="E1317" s="10" t="n">
        <v>1789</v>
      </c>
      <c r="F1317" s="9" t="s">
        <v>27</v>
      </c>
      <c r="G1317" s="9" t="s">
        <v>27</v>
      </c>
      <c r="H1317" s="11" t="n">
        <v>25</v>
      </c>
      <c r="I1317" s="11" t="s">
        <v>344</v>
      </c>
      <c r="J1317" s="14" t="n">
        <v>2000</v>
      </c>
      <c r="K1317" s="14"/>
      <c r="L1317" s="16"/>
      <c r="M1317" s="27" t="n">
        <f aca="false">J1317+(K1317/20)+(L1317/240)</f>
        <v>2000</v>
      </c>
      <c r="N1317" s="17" t="s">
        <v>64</v>
      </c>
      <c r="O1317" s="11" t="s">
        <v>98</v>
      </c>
      <c r="P1317" s="28"/>
      <c r="Q1317" s="28" t="n">
        <f aca="false">P1317*$M1317</f>
        <v>0</v>
      </c>
      <c r="R1317" s="28"/>
      <c r="S1317" s="28" t="n">
        <f aca="false">R1317*$M1317</f>
        <v>0</v>
      </c>
      <c r="T1317" s="28"/>
      <c r="U1317" s="28" t="n">
        <f aca="false">T1317*$M1317</f>
        <v>0</v>
      </c>
      <c r="V1317" s="28"/>
      <c r="W1317" s="28" t="n">
        <f aca="false">V1317*$M1317</f>
        <v>0</v>
      </c>
      <c r="X1317" s="28" t="n">
        <f aca="false">607/100</f>
        <v>6.07</v>
      </c>
      <c r="Y1317" s="28" t="n">
        <f aca="false">X1317*$M1317</f>
        <v>12140</v>
      </c>
      <c r="Z1317" s="28"/>
      <c r="AA1317" s="28" t="n">
        <f aca="false">Z1317*$M1317</f>
        <v>0</v>
      </c>
      <c r="AB1317" s="28"/>
      <c r="AC1317" s="28" t="n">
        <f aca="false">AB1317*$M1317</f>
        <v>0</v>
      </c>
      <c r="AD1317" s="28"/>
      <c r="AE1317" s="28" t="n">
        <f aca="false">AD1317*$M1317</f>
        <v>0</v>
      </c>
      <c r="AF1317" s="28"/>
      <c r="AG1317" s="28" t="n">
        <f aca="false">AF1317*$M1317</f>
        <v>0</v>
      </c>
      <c r="AH1317" s="28"/>
      <c r="AI1317" s="28" t="n">
        <f aca="false">AH1317*$M1317</f>
        <v>0</v>
      </c>
      <c r="AJ1317" s="28"/>
      <c r="AK1317" s="28" t="n">
        <f aca="false">AJ1317*$M1317</f>
        <v>0</v>
      </c>
      <c r="AL1317" s="28" t="n">
        <f aca="false">145/100</f>
        <v>1.45</v>
      </c>
      <c r="AM1317" s="28" t="n">
        <f aca="false">AL1317*$M1317</f>
        <v>2900</v>
      </c>
      <c r="AN1317" s="28" t="n">
        <f aca="false">3865/100</f>
        <v>38.65</v>
      </c>
      <c r="AO1317" s="28" t="n">
        <v>77300</v>
      </c>
      <c r="AP1317" s="28"/>
      <c r="AQ1317" s="28" t="n">
        <f aca="false">AP1317*$M1317</f>
        <v>0</v>
      </c>
      <c r="AR1317" s="28"/>
      <c r="AS1317" s="28" t="n">
        <f aca="false">AR1317*$M1317</f>
        <v>0</v>
      </c>
      <c r="AT1317" s="28"/>
      <c r="AU1317" s="28" t="n">
        <f aca="false">AT1317*$M1317</f>
        <v>0</v>
      </c>
      <c r="AV1317" s="28"/>
      <c r="AW1317" s="28" t="n">
        <f aca="false">AV1317*$M1317</f>
        <v>0</v>
      </c>
      <c r="AX1317" s="28"/>
      <c r="AY1317" s="28" t="n">
        <f aca="false">AX1317*$M1317</f>
        <v>0</v>
      </c>
      <c r="AZ1317" s="30" t="n">
        <f aca="false">4617/100</f>
        <v>46.17</v>
      </c>
      <c r="BA1317" s="11" t="n">
        <v>92340</v>
      </c>
      <c r="BB1317" s="31" t="n">
        <f aca="false">SUM(Q1317,S1317,U1317,W1317,Y1317,AA1317,AC1317,AE1317,AG1317,AI1317,AK1317,AM1317,AO1317,AQ1317,AS1317,AU1317,AW1317,AY1317)</f>
        <v>92340</v>
      </c>
      <c r="BC1317" s="28" t="n">
        <f aca="false">BA1317-BB1317</f>
        <v>0</v>
      </c>
      <c r="BD1317" s="32" t="n">
        <f aca="false">SUM(P1317,R1317,T1317,V1317,X1317,Z1317,AB1317,AD1317,AF1317,AH1317,AJ1317,AL1317,AN1317,AP1317,AR1317,AT1317,AV1317,AX1317)</f>
        <v>46.17</v>
      </c>
      <c r="BE1317" s="33" t="n">
        <f aca="false">AZ1317-BD1317</f>
        <v>0</v>
      </c>
      <c r="BF1317" s="34" t="n">
        <f aca="false">BD1317*M1317</f>
        <v>92340</v>
      </c>
      <c r="BG1317" s="35" t="n">
        <f aca="false">BA1317-BF1317</f>
        <v>0</v>
      </c>
      <c r="BH1317" s="19" t="str">
        <f aca="false">IF(BG1317=0,"",IF(BG1317&lt;&gt;BA1317,"erreur de calcul",IF(BD1317&lt;&gt;0,"pas de prix",IF(M1317&lt;&gt; 0,"pas de quantité","pas de prix, ni de quantité"))))</f>
        <v/>
      </c>
      <c r="BI1317" s="19"/>
    </row>
    <row r="1318" customFormat="false" ht="15" hidden="false" customHeight="false" outlineLevel="0" collapsed="false">
      <c r="A1318" s="0" t="n">
        <v>17</v>
      </c>
      <c r="B1318" s="8" t="s">
        <v>24</v>
      </c>
      <c r="C1318" s="9" t="s">
        <v>25</v>
      </c>
      <c r="D1318" s="9" t="s">
        <v>26</v>
      </c>
      <c r="E1318" s="10" t="n">
        <v>1789</v>
      </c>
      <c r="F1318" s="9" t="s">
        <v>27</v>
      </c>
      <c r="G1318" s="9" t="s">
        <v>27</v>
      </c>
      <c r="H1318" s="11" t="n">
        <v>25</v>
      </c>
      <c r="I1318" s="11" t="s">
        <v>345</v>
      </c>
      <c r="J1318" s="14"/>
      <c r="K1318" s="14" t="n">
        <v>12</v>
      </c>
      <c r="L1318" s="16"/>
      <c r="M1318" s="27" t="n">
        <f aca="false">J1318+(K1318/20)+(L1318/240)</f>
        <v>0.6</v>
      </c>
      <c r="N1318" s="17" t="s">
        <v>66</v>
      </c>
      <c r="O1318" s="11"/>
      <c r="P1318" s="28"/>
      <c r="Q1318" s="28" t="n">
        <f aca="false">P1318*$M1318</f>
        <v>0</v>
      </c>
      <c r="R1318" s="28"/>
      <c r="S1318" s="28" t="n">
        <f aca="false">R1318*$M1318</f>
        <v>0</v>
      </c>
      <c r="T1318" s="28"/>
      <c r="U1318" s="28" t="n">
        <f aca="false">T1318*$M1318</f>
        <v>0</v>
      </c>
      <c r="V1318" s="28"/>
      <c r="W1318" s="28" t="n">
        <f aca="false">V1318*$M1318</f>
        <v>0</v>
      </c>
      <c r="X1318" s="28"/>
      <c r="Y1318" s="28" t="n">
        <f aca="false">X1318*$M1318</f>
        <v>0</v>
      </c>
      <c r="Z1318" s="28"/>
      <c r="AA1318" s="28" t="n">
        <f aca="false">Z1318*$M1318</f>
        <v>0</v>
      </c>
      <c r="AB1318" s="28"/>
      <c r="AC1318" s="28" t="n">
        <f aca="false">AB1318*$M1318</f>
        <v>0</v>
      </c>
      <c r="AD1318" s="28"/>
      <c r="AE1318" s="28" t="n">
        <f aca="false">AD1318*$M1318</f>
        <v>0</v>
      </c>
      <c r="AF1318" s="28"/>
      <c r="AG1318" s="28" t="n">
        <f aca="false">AF1318*$M1318</f>
        <v>0</v>
      </c>
      <c r="AH1318" s="28"/>
      <c r="AI1318" s="28" t="n">
        <f aca="false">AH1318*$M1318</f>
        <v>0</v>
      </c>
      <c r="AJ1318" s="28" t="n">
        <v>41194</v>
      </c>
      <c r="AK1318" s="28" t="n">
        <v>24716</v>
      </c>
      <c r="AL1318" s="28"/>
      <c r="AM1318" s="28" t="n">
        <f aca="false">AL1318*$M1318</f>
        <v>0</v>
      </c>
      <c r="AN1318" s="28"/>
      <c r="AO1318" s="28" t="n">
        <f aca="false">AN1318*$M1318</f>
        <v>0</v>
      </c>
      <c r="AP1318" s="28"/>
      <c r="AQ1318" s="28" t="n">
        <f aca="false">AP1318*$M1318</f>
        <v>0</v>
      </c>
      <c r="AR1318" s="28"/>
      <c r="AS1318" s="28" t="n">
        <f aca="false">AR1318*$M1318</f>
        <v>0</v>
      </c>
      <c r="AT1318" s="28"/>
      <c r="AU1318" s="28" t="n">
        <f aca="false">AT1318*$M1318</f>
        <v>0</v>
      </c>
      <c r="AV1318" s="28"/>
      <c r="AW1318" s="28" t="n">
        <f aca="false">AV1318*$M1318</f>
        <v>0</v>
      </c>
      <c r="AX1318" s="28"/>
      <c r="AY1318" s="28" t="n">
        <f aca="false">AX1318*$M1318</f>
        <v>0</v>
      </c>
      <c r="AZ1318" s="30" t="n">
        <v>41194</v>
      </c>
      <c r="BA1318" s="11" t="n">
        <v>24716</v>
      </c>
      <c r="BB1318" s="31" t="n">
        <f aca="false">SUM(Q1318,S1318,U1318,W1318,Y1318,AA1318,AC1318,AE1318,AG1318,AI1318,AK1318,AM1318,AO1318,AQ1318,AS1318,AU1318,AW1318,AY1318)</f>
        <v>24716</v>
      </c>
      <c r="BC1318" s="28" t="n">
        <f aca="false">BA1318-BB1318</f>
        <v>0</v>
      </c>
      <c r="BD1318" s="32" t="n">
        <f aca="false">SUM(P1318,R1318,T1318,V1318,X1318,Z1318,AB1318,AD1318,AF1318,AH1318,AJ1318,AL1318,AN1318,AP1318,AR1318,AT1318,AV1318,AX1318)</f>
        <v>41194</v>
      </c>
      <c r="BE1318" s="33" t="n">
        <f aca="false">AZ1318-BD1318</f>
        <v>0</v>
      </c>
      <c r="BF1318" s="34" t="n">
        <f aca="false">BD1318*M1318</f>
        <v>24716.4</v>
      </c>
      <c r="BG1318" s="35" t="n">
        <f aca="false">BA1318-BF1318</f>
        <v>-0.399999999997817</v>
      </c>
      <c r="BH1318" s="19" t="str">
        <f aca="false">IF(BG1318=0,"",IF(BG1318&lt;&gt;BA1318,"erreur de calcul",IF(BD1318&lt;&gt;0,"pas de prix",IF(M1318&lt;&gt; 0,"pas de quantité","pas de prix, ni de quantité"))))</f>
        <v>erreur de calcul</v>
      </c>
      <c r="BI1318" s="19"/>
    </row>
    <row r="1319" customFormat="false" ht="15" hidden="false" customHeight="false" outlineLevel="0" collapsed="false">
      <c r="A1319" s="0" t="n">
        <v>18</v>
      </c>
      <c r="B1319" s="8" t="s">
        <v>24</v>
      </c>
      <c r="C1319" s="9" t="s">
        <v>25</v>
      </c>
      <c r="D1319" s="9" t="s">
        <v>26</v>
      </c>
      <c r="E1319" s="10" t="n">
        <v>1789</v>
      </c>
      <c r="F1319" s="9" t="s">
        <v>27</v>
      </c>
      <c r="G1319" s="9" t="s">
        <v>27</v>
      </c>
      <c r="H1319" s="11" t="n">
        <v>25</v>
      </c>
      <c r="I1319" s="11" t="s">
        <v>346</v>
      </c>
      <c r="J1319" s="14"/>
      <c r="K1319" s="14" t="n">
        <v>50</v>
      </c>
      <c r="L1319" s="16"/>
      <c r="M1319" s="27" t="n">
        <f aca="false">J1319+(K1319/20)+(L1319/240)</f>
        <v>2.5</v>
      </c>
      <c r="N1319" s="17" t="s">
        <v>85</v>
      </c>
      <c r="O1319" s="11"/>
      <c r="P1319" s="28" t="n">
        <f aca="false">371167/100</f>
        <v>3711.67</v>
      </c>
      <c r="Q1319" s="28" t="n">
        <v>9279</v>
      </c>
      <c r="R1319" s="28"/>
      <c r="S1319" s="28" t="n">
        <f aca="false">R1319*$M1319</f>
        <v>0</v>
      </c>
      <c r="T1319" s="28"/>
      <c r="U1319" s="28" t="n">
        <f aca="false">T1319*$M1319</f>
        <v>0</v>
      </c>
      <c r="V1319" s="28"/>
      <c r="W1319" s="28" t="n">
        <f aca="false">V1319*$M1319</f>
        <v>0</v>
      </c>
      <c r="X1319" s="28"/>
      <c r="Y1319" s="28" t="n">
        <f aca="false">X1319*$M1319</f>
        <v>0</v>
      </c>
      <c r="Z1319" s="28"/>
      <c r="AA1319" s="28" t="n">
        <f aca="false">Z1319*$M1319</f>
        <v>0</v>
      </c>
      <c r="AB1319" s="28"/>
      <c r="AC1319" s="28" t="n">
        <f aca="false">AB1319*$M1319</f>
        <v>0</v>
      </c>
      <c r="AD1319" s="28"/>
      <c r="AE1319" s="28" t="n">
        <f aca="false">AD1319*$M1319</f>
        <v>0</v>
      </c>
      <c r="AF1319" s="28"/>
      <c r="AG1319" s="28" t="n">
        <f aca="false">AF1319*$M1319</f>
        <v>0</v>
      </c>
      <c r="AH1319" s="28"/>
      <c r="AI1319" s="28" t="n">
        <f aca="false">AH1319*$M1319</f>
        <v>0</v>
      </c>
      <c r="AJ1319" s="28"/>
      <c r="AK1319" s="28" t="n">
        <f aca="false">AJ1319*$M1319</f>
        <v>0</v>
      </c>
      <c r="AL1319" s="28"/>
      <c r="AM1319" s="28" t="n">
        <f aca="false">AL1319*$M1319</f>
        <v>0</v>
      </c>
      <c r="AN1319" s="28"/>
      <c r="AO1319" s="28" t="n">
        <f aca="false">AN1319*$M1319</f>
        <v>0</v>
      </c>
      <c r="AP1319" s="28"/>
      <c r="AQ1319" s="28" t="n">
        <f aca="false">AP1319*$M1319</f>
        <v>0</v>
      </c>
      <c r="AR1319" s="28"/>
      <c r="AS1319" s="28" t="n">
        <f aca="false">AR1319*$M1319</f>
        <v>0</v>
      </c>
      <c r="AT1319" s="28"/>
      <c r="AU1319" s="28" t="n">
        <f aca="false">AT1319*$M1319</f>
        <v>0</v>
      </c>
      <c r="AV1319" s="28"/>
      <c r="AW1319" s="28" t="n">
        <f aca="false">AV1319*$M1319</f>
        <v>0</v>
      </c>
      <c r="AX1319" s="28"/>
      <c r="AY1319" s="28" t="n">
        <f aca="false">AX1319*$M1319</f>
        <v>0</v>
      </c>
      <c r="AZ1319" s="30" t="n">
        <f aca="false">371167/100</f>
        <v>3711.67</v>
      </c>
      <c r="BA1319" s="11" t="n">
        <v>9279</v>
      </c>
      <c r="BB1319" s="31" t="n">
        <f aca="false">SUM(Q1319,S1319,U1319,W1319,Y1319,AA1319,AC1319,AE1319,AG1319,AI1319,AK1319,AM1319,AO1319,AQ1319,AS1319,AU1319,AW1319,AY1319)</f>
        <v>9279</v>
      </c>
      <c r="BC1319" s="28" t="n">
        <f aca="false">BA1319-BB1319</f>
        <v>0</v>
      </c>
      <c r="BD1319" s="32" t="n">
        <f aca="false">SUM(P1319,R1319,T1319,V1319,X1319,Z1319,AB1319,AD1319,AF1319,AH1319,AJ1319,AL1319,AN1319,AP1319,AR1319,AT1319,AV1319,AX1319)</f>
        <v>3711.67</v>
      </c>
      <c r="BE1319" s="33" t="n">
        <f aca="false">AZ1319-BD1319</f>
        <v>0</v>
      </c>
      <c r="BF1319" s="34" t="n">
        <f aca="false">BD1319*M1319</f>
        <v>9279.175</v>
      </c>
      <c r="BG1319" s="35" t="n">
        <f aca="false">BA1319-BF1319</f>
        <v>-0.174999999999272</v>
      </c>
      <c r="BH1319" s="19" t="str">
        <f aca="false">IF(BG1319=0,"",IF(BG1319&lt;&gt;BA1319,"erreur de calcul",IF(BD1319&lt;&gt;0,"pas de prix",IF(M1319&lt;&gt; 0,"pas de quantité","pas de prix, ni de quantité"))))</f>
        <v>erreur de calcul</v>
      </c>
      <c r="BI1319" s="19"/>
    </row>
    <row r="1320" customFormat="false" ht="16.65" hidden="false" customHeight="false" outlineLevel="0" collapsed="false">
      <c r="A1320" s="0" t="n">
        <v>19</v>
      </c>
      <c r="B1320" s="8" t="s">
        <v>24</v>
      </c>
      <c r="C1320" s="9" t="s">
        <v>25</v>
      </c>
      <c r="D1320" s="9" t="s">
        <v>26</v>
      </c>
      <c r="E1320" s="10" t="n">
        <v>1789</v>
      </c>
      <c r="F1320" s="9" t="s">
        <v>27</v>
      </c>
      <c r="G1320" s="9" t="s">
        <v>27</v>
      </c>
      <c r="H1320" s="11" t="n">
        <v>25</v>
      </c>
      <c r="I1320" s="11" t="s">
        <v>347</v>
      </c>
      <c r="J1320" s="14" t="n">
        <v>60</v>
      </c>
      <c r="K1320" s="14"/>
      <c r="L1320" s="16"/>
      <c r="M1320" s="27" t="n">
        <f aca="false">J1320+(K1320/20)+(L1320/240)</f>
        <v>60</v>
      </c>
      <c r="N1320" s="17" t="s">
        <v>64</v>
      </c>
      <c r="O1320" s="11"/>
      <c r="P1320" s="28"/>
      <c r="Q1320" s="28" t="n">
        <f aca="false">P1320*$M1320</f>
        <v>0</v>
      </c>
      <c r="R1320" s="28"/>
      <c r="S1320" s="28" t="n">
        <f aca="false">R1320*$M1320</f>
        <v>0</v>
      </c>
      <c r="T1320" s="28"/>
      <c r="U1320" s="28" t="n">
        <f aca="false">T1320*$M1320</f>
        <v>0</v>
      </c>
      <c r="V1320" s="28" t="n">
        <f aca="false">4151/100</f>
        <v>41.51</v>
      </c>
      <c r="W1320" s="28" t="n">
        <v>2491</v>
      </c>
      <c r="X1320" s="28" t="n">
        <f aca="false">13344/100</f>
        <v>133.44</v>
      </c>
      <c r="Y1320" s="28" t="n">
        <v>8006</v>
      </c>
      <c r="Z1320" s="28" t="n">
        <f aca="false">3323/100</f>
        <v>33.23</v>
      </c>
      <c r="AA1320" s="28" t="n">
        <v>1994</v>
      </c>
      <c r="AB1320" s="28"/>
      <c r="AC1320" s="28" t="n">
        <f aca="false">AB1320*$M1320</f>
        <v>0</v>
      </c>
      <c r="AD1320" s="28" t="n">
        <f aca="false">15268/100</f>
        <v>152.68</v>
      </c>
      <c r="AE1320" s="28" t="n">
        <v>9161</v>
      </c>
      <c r="AF1320" s="28"/>
      <c r="AG1320" s="28" t="n">
        <f aca="false">AF1320*$M1320</f>
        <v>0</v>
      </c>
      <c r="AH1320" s="28"/>
      <c r="AI1320" s="28" t="n">
        <f aca="false">AH1320*$M1320</f>
        <v>0</v>
      </c>
      <c r="AJ1320" s="28"/>
      <c r="AK1320" s="28" t="n">
        <f aca="false">AJ1320*$M1320</f>
        <v>0</v>
      </c>
      <c r="AL1320" s="28"/>
      <c r="AM1320" s="28" t="n">
        <f aca="false">AL1320*$M1320</f>
        <v>0</v>
      </c>
      <c r="AN1320" s="28"/>
      <c r="AO1320" s="28" t="n">
        <f aca="false">AN1320*$M1320</f>
        <v>0</v>
      </c>
      <c r="AP1320" s="28"/>
      <c r="AQ1320" s="28" t="n">
        <f aca="false">AP1320*$M1320</f>
        <v>0</v>
      </c>
      <c r="AR1320" s="28"/>
      <c r="AS1320" s="28" t="n">
        <f aca="false">AR1320*$M1320</f>
        <v>0</v>
      </c>
      <c r="AT1320" s="28"/>
      <c r="AU1320" s="28" t="n">
        <f aca="false">AT1320*$M1320</f>
        <v>0</v>
      </c>
      <c r="AV1320" s="28"/>
      <c r="AW1320" s="28" t="n">
        <f aca="false">AV1320*$M1320</f>
        <v>0</v>
      </c>
      <c r="AX1320" s="28"/>
      <c r="AY1320" s="28" t="n">
        <f aca="false">AX1320*$M1320</f>
        <v>0</v>
      </c>
      <c r="AZ1320" s="30" t="n">
        <f aca="false">32763/100</f>
        <v>327.63</v>
      </c>
      <c r="BA1320" s="11" t="n">
        <v>21652</v>
      </c>
      <c r="BB1320" s="31" t="n">
        <f aca="false">SUM(Q1320,S1320,U1320,W1320,Y1320,AA1320,AC1320,AE1320,AG1320,AI1320,AK1320,AM1320,AO1320,AQ1320,AS1320,AU1320,AW1320,AY1320)</f>
        <v>21652</v>
      </c>
      <c r="BC1320" s="28" t="n">
        <f aca="false">BA1320-BB1320</f>
        <v>0</v>
      </c>
      <c r="BD1320" s="32" t="n">
        <f aca="false">SUM(P1320,R1320,T1320,V1320,X1320,Z1320,AB1320,AD1320,AF1320,AH1320,AJ1320,AL1320,AN1320,AP1320,AR1320,AT1320,AV1320,AX1320)</f>
        <v>360.86</v>
      </c>
      <c r="BE1320" s="33" t="n">
        <f aca="false">AZ1320-BD1320</f>
        <v>-33.23</v>
      </c>
      <c r="BF1320" s="34" t="n">
        <f aca="false">BD1320*M1320</f>
        <v>21651.6</v>
      </c>
      <c r="BG1320" s="35" t="n">
        <f aca="false">BA1320-BF1320</f>
        <v>0.399999999997817</v>
      </c>
      <c r="BH1320" s="19" t="str">
        <f aca="false">IF(BG1320=0,"",IF(BG1320&lt;&gt;BA1320,"erreur de calcul",IF(BD1320&lt;&gt;0,"pas de prix",IF(M1320&lt;&gt; 0,"pas de quantité","pas de prix, ni de quantité"))))</f>
        <v>erreur de calcul</v>
      </c>
      <c r="BI1320" s="19"/>
    </row>
    <row r="1321" customFormat="false" ht="15" hidden="false" customHeight="false" outlineLevel="0" collapsed="false">
      <c r="A1321" s="0" t="n">
        <v>20</v>
      </c>
      <c r="B1321" s="8" t="s">
        <v>24</v>
      </c>
      <c r="C1321" s="9" t="s">
        <v>25</v>
      </c>
      <c r="D1321" s="9" t="s">
        <v>26</v>
      </c>
      <c r="E1321" s="10" t="n">
        <v>1789</v>
      </c>
      <c r="F1321" s="9" t="s">
        <v>27</v>
      </c>
      <c r="G1321" s="9" t="s">
        <v>27</v>
      </c>
      <c r="H1321" s="11" t="n">
        <v>25</v>
      </c>
      <c r="I1321" s="11" t="s">
        <v>348</v>
      </c>
      <c r="J1321" s="14" t="n">
        <v>9</v>
      </c>
      <c r="K1321" s="14"/>
      <c r="L1321" s="16"/>
      <c r="M1321" s="27" t="n">
        <f aca="false">J1321+(K1321/20)+(L1321/240)</f>
        <v>9</v>
      </c>
      <c r="N1321" s="17" t="s">
        <v>349</v>
      </c>
      <c r="O1321" s="11"/>
      <c r="P1321" s="28"/>
      <c r="Q1321" s="28" t="n">
        <f aca="false">P1321*$M1321</f>
        <v>0</v>
      </c>
      <c r="R1321" s="28"/>
      <c r="S1321" s="28" t="n">
        <f aca="false">R1321*$M1321</f>
        <v>0</v>
      </c>
      <c r="T1321" s="28"/>
      <c r="U1321" s="28" t="n">
        <f aca="false">T1321*$M1321</f>
        <v>0</v>
      </c>
      <c r="V1321" s="28" t="n">
        <v>545</v>
      </c>
      <c r="W1321" s="28" t="n">
        <v>4905</v>
      </c>
      <c r="X1321" s="28"/>
      <c r="Y1321" s="28" t="n">
        <f aca="false">X1321*$M1321</f>
        <v>0</v>
      </c>
      <c r="Z1321" s="28"/>
      <c r="AA1321" s="28" t="n">
        <f aca="false">Z1321*$M1321</f>
        <v>0</v>
      </c>
      <c r="AB1321" s="28"/>
      <c r="AC1321" s="28" t="n">
        <f aca="false">AB1321*$M1321</f>
        <v>0</v>
      </c>
      <c r="AD1321" s="28"/>
      <c r="AE1321" s="28" t="n">
        <f aca="false">AD1321*$M1321</f>
        <v>0</v>
      </c>
      <c r="AF1321" s="28"/>
      <c r="AG1321" s="28" t="n">
        <f aca="false">AF1321*$M1321</f>
        <v>0</v>
      </c>
      <c r="AH1321" s="28"/>
      <c r="AI1321" s="28" t="n">
        <f aca="false">AH1321*$M1321</f>
        <v>0</v>
      </c>
      <c r="AJ1321" s="28" t="n">
        <v>592</v>
      </c>
      <c r="AK1321" s="28" t="n">
        <v>5328</v>
      </c>
      <c r="AL1321" s="28"/>
      <c r="AM1321" s="28" t="n">
        <f aca="false">AL1321*$M1321</f>
        <v>0</v>
      </c>
      <c r="AN1321" s="28"/>
      <c r="AO1321" s="28" t="n">
        <f aca="false">AN1321*$M1321</f>
        <v>0</v>
      </c>
      <c r="AP1321" s="28"/>
      <c r="AQ1321" s="28" t="n">
        <f aca="false">AP1321*$M1321</f>
        <v>0</v>
      </c>
      <c r="AR1321" s="28"/>
      <c r="AS1321" s="28" t="n">
        <f aca="false">AR1321*$M1321</f>
        <v>0</v>
      </c>
      <c r="AT1321" s="28"/>
      <c r="AU1321" s="28" t="n">
        <f aca="false">AT1321*$M1321</f>
        <v>0</v>
      </c>
      <c r="AV1321" s="28"/>
      <c r="AW1321" s="28" t="n">
        <f aca="false">AV1321*$M1321</f>
        <v>0</v>
      </c>
      <c r="AX1321" s="28"/>
      <c r="AY1321" s="28" t="n">
        <f aca="false">AX1321*$M1321</f>
        <v>0</v>
      </c>
      <c r="AZ1321" s="30" t="n">
        <v>1137</v>
      </c>
      <c r="BA1321" s="11" t="n">
        <v>10233</v>
      </c>
      <c r="BB1321" s="31" t="n">
        <f aca="false">SUM(Q1321,S1321,U1321,W1321,Y1321,AA1321,AC1321,AE1321,AG1321,AI1321,AK1321,AM1321,AO1321,AQ1321,AS1321,AU1321,AW1321,AY1321)</f>
        <v>10233</v>
      </c>
      <c r="BC1321" s="28" t="n">
        <f aca="false">BA1321-BB1321</f>
        <v>0</v>
      </c>
      <c r="BD1321" s="32" t="n">
        <f aca="false">SUM(P1321,R1321,T1321,V1321,X1321,Z1321,AB1321,AD1321,AF1321,AH1321,AJ1321,AL1321,AN1321,AP1321,AR1321,AT1321,AV1321,AX1321)</f>
        <v>1137</v>
      </c>
      <c r="BE1321" s="33" t="n">
        <f aca="false">AZ1321-BD1321</f>
        <v>0</v>
      </c>
      <c r="BF1321" s="34" t="n">
        <f aca="false">BD1321*M1321</f>
        <v>10233</v>
      </c>
      <c r="BG1321" s="35" t="n">
        <f aca="false">BA1321-BF1321</f>
        <v>0</v>
      </c>
      <c r="BH1321" s="19" t="str">
        <f aca="false">IF(BG1321=0,"",IF(BG1321&lt;&gt;BA1321,"erreur de calcul",IF(BD1321&lt;&gt;0,"pas de prix",IF(M1321&lt;&gt; 0,"pas de quantité","pas de prix, ni de quantité"))))</f>
        <v/>
      </c>
      <c r="BI1321" s="19"/>
    </row>
    <row r="1322" customFormat="false" ht="15" hidden="false" customHeight="false" outlineLevel="0" collapsed="false">
      <c r="A1322" s="0" t="n">
        <v>21</v>
      </c>
      <c r="B1322" s="8" t="s">
        <v>24</v>
      </c>
      <c r="C1322" s="9" t="s">
        <v>25</v>
      </c>
      <c r="D1322" s="9" t="s">
        <v>26</v>
      </c>
      <c r="E1322" s="10" t="n">
        <v>1789</v>
      </c>
      <c r="F1322" s="9" t="s">
        <v>27</v>
      </c>
      <c r="G1322" s="9" t="s">
        <v>27</v>
      </c>
      <c r="H1322" s="11" t="n">
        <v>25</v>
      </c>
      <c r="I1322" s="11" t="s">
        <v>350</v>
      </c>
      <c r="J1322" s="14"/>
      <c r="K1322" s="14" t="n">
        <v>40</v>
      </c>
      <c r="L1322" s="16"/>
      <c r="M1322" s="27" t="n">
        <f aca="false">J1322+(K1322/20)+(L1322/240)</f>
        <v>2</v>
      </c>
      <c r="N1322" s="17" t="s">
        <v>349</v>
      </c>
      <c r="O1322" s="11"/>
      <c r="P1322" s="28"/>
      <c r="Q1322" s="28" t="n">
        <f aca="false">P1322*$M1322</f>
        <v>0</v>
      </c>
      <c r="R1322" s="28"/>
      <c r="S1322" s="28" t="n">
        <f aca="false">R1322*$M1322</f>
        <v>0</v>
      </c>
      <c r="T1322" s="28"/>
      <c r="U1322" s="28" t="n">
        <f aca="false">T1322*$M1322</f>
        <v>0</v>
      </c>
      <c r="V1322" s="28" t="n">
        <v>2688</v>
      </c>
      <c r="W1322" s="28" t="n">
        <v>5376</v>
      </c>
      <c r="X1322" s="28" t="n">
        <v>775</v>
      </c>
      <c r="Y1322" s="28" t="n">
        <v>1550</v>
      </c>
      <c r="Z1322" s="28"/>
      <c r="AA1322" s="28" t="n">
        <f aca="false">Z1322*$M1322</f>
        <v>0</v>
      </c>
      <c r="AB1322" s="28"/>
      <c r="AC1322" s="28" t="n">
        <f aca="false">AB1322*$M1322</f>
        <v>0</v>
      </c>
      <c r="AD1322" s="28"/>
      <c r="AE1322" s="28" t="n">
        <f aca="false">AD1322*$M1322</f>
        <v>0</v>
      </c>
      <c r="AF1322" s="28"/>
      <c r="AG1322" s="28" t="n">
        <f aca="false">AF1322*$M1322</f>
        <v>0</v>
      </c>
      <c r="AH1322" s="28"/>
      <c r="AI1322" s="28" t="n">
        <f aca="false">AH1322*$M1322</f>
        <v>0</v>
      </c>
      <c r="AJ1322" s="28"/>
      <c r="AK1322" s="28" t="n">
        <f aca="false">AJ1322*$M1322</f>
        <v>0</v>
      </c>
      <c r="AL1322" s="28"/>
      <c r="AM1322" s="28" t="n">
        <f aca="false">AL1322*$M1322</f>
        <v>0</v>
      </c>
      <c r="AN1322" s="28"/>
      <c r="AO1322" s="28" t="n">
        <f aca="false">AN1322*$M1322</f>
        <v>0</v>
      </c>
      <c r="AP1322" s="28"/>
      <c r="AQ1322" s="28" t="n">
        <f aca="false">AP1322*$M1322</f>
        <v>0</v>
      </c>
      <c r="AR1322" s="28"/>
      <c r="AS1322" s="28" t="n">
        <f aca="false">AR1322*$M1322</f>
        <v>0</v>
      </c>
      <c r="AT1322" s="28"/>
      <c r="AU1322" s="28" t="n">
        <f aca="false">AT1322*$M1322</f>
        <v>0</v>
      </c>
      <c r="AV1322" s="28"/>
      <c r="AW1322" s="28" t="n">
        <f aca="false">AV1322*$M1322</f>
        <v>0</v>
      </c>
      <c r="AX1322" s="28"/>
      <c r="AY1322" s="28" t="n">
        <f aca="false">AX1322*$M1322</f>
        <v>0</v>
      </c>
      <c r="AZ1322" s="30" t="n">
        <v>3463</v>
      </c>
      <c r="BA1322" s="11" t="n">
        <v>6926</v>
      </c>
      <c r="BB1322" s="31" t="n">
        <f aca="false">SUM(Q1322,S1322,U1322,W1322,Y1322,AA1322,AC1322,AE1322,AG1322,AI1322,AK1322,AM1322,AO1322,AQ1322,AS1322,AU1322,AW1322,AY1322)</f>
        <v>6926</v>
      </c>
      <c r="BC1322" s="28" t="n">
        <f aca="false">BA1322-BB1322</f>
        <v>0</v>
      </c>
      <c r="BD1322" s="32" t="n">
        <f aca="false">SUM(P1322,R1322,T1322,V1322,X1322,Z1322,AB1322,AD1322,AF1322,AH1322,AJ1322,AL1322,AN1322,AP1322,AR1322,AT1322,AV1322,AX1322)</f>
        <v>3463</v>
      </c>
      <c r="BE1322" s="33" t="n">
        <f aca="false">AZ1322-BD1322</f>
        <v>0</v>
      </c>
      <c r="BF1322" s="34" t="n">
        <f aca="false">BD1322*M1322</f>
        <v>6926</v>
      </c>
      <c r="BG1322" s="35" t="n">
        <f aca="false">BA1322-BF1322</f>
        <v>0</v>
      </c>
      <c r="BH1322" s="19" t="str">
        <f aca="false">IF(BG1322=0,"",IF(BG1322&lt;&gt;BA1322,"erreur de calcul",IF(BD1322&lt;&gt;0,"pas de prix",IF(M1322&lt;&gt; 0,"pas de quantité","pas de prix, ni de quantité"))))</f>
        <v/>
      </c>
      <c r="BI1322" s="19"/>
    </row>
    <row r="1323" customFormat="false" ht="15" hidden="false" customHeight="false" outlineLevel="0" collapsed="false">
      <c r="A1323" s="0" t="n">
        <v>22</v>
      </c>
      <c r="B1323" s="8" t="s">
        <v>24</v>
      </c>
      <c r="C1323" s="9" t="s">
        <v>25</v>
      </c>
      <c r="D1323" s="9" t="s">
        <v>26</v>
      </c>
      <c r="E1323" s="10" t="n">
        <v>1789</v>
      </c>
      <c r="F1323" s="9" t="s">
        <v>27</v>
      </c>
      <c r="G1323" s="9" t="s">
        <v>27</v>
      </c>
      <c r="H1323" s="11" t="n">
        <v>25</v>
      </c>
      <c r="I1323" s="11" t="s">
        <v>351</v>
      </c>
      <c r="J1323" s="14" t="n">
        <v>60</v>
      </c>
      <c r="K1323" s="14"/>
      <c r="L1323" s="16"/>
      <c r="M1323" s="27" t="n">
        <f aca="false">J1323+(K1323/20)+(L1323/240)</f>
        <v>60</v>
      </c>
      <c r="N1323" s="17" t="s">
        <v>69</v>
      </c>
      <c r="O1323" s="11"/>
      <c r="P1323" s="28"/>
      <c r="Q1323" s="28" t="n">
        <f aca="false">P1323*$M1323</f>
        <v>0</v>
      </c>
      <c r="R1323" s="28"/>
      <c r="S1323" s="28" t="n">
        <f aca="false">R1323*$M1323</f>
        <v>0</v>
      </c>
      <c r="T1323" s="28" t="n">
        <v>20</v>
      </c>
      <c r="U1323" s="28" t="n">
        <v>1200</v>
      </c>
      <c r="V1323" s="28" t="n">
        <v>82</v>
      </c>
      <c r="W1323" s="28" t="n">
        <v>4920</v>
      </c>
      <c r="X1323" s="28"/>
      <c r="Y1323" s="28" t="n">
        <f aca="false">X1323*$M1323</f>
        <v>0</v>
      </c>
      <c r="Z1323" s="28"/>
      <c r="AA1323" s="28" t="n">
        <f aca="false">Z1323*$M1323</f>
        <v>0</v>
      </c>
      <c r="AB1323" s="28"/>
      <c r="AC1323" s="28" t="n">
        <f aca="false">AB1323*$M1323</f>
        <v>0</v>
      </c>
      <c r="AD1323" s="28"/>
      <c r="AE1323" s="28" t="n">
        <f aca="false">AD1323*$M1323</f>
        <v>0</v>
      </c>
      <c r="AF1323" s="28"/>
      <c r="AG1323" s="28" t="n">
        <f aca="false">AF1323*$M1323</f>
        <v>0</v>
      </c>
      <c r="AH1323" s="28"/>
      <c r="AI1323" s="28" t="n">
        <f aca="false">AH1323*$M1323</f>
        <v>0</v>
      </c>
      <c r="AJ1323" s="28"/>
      <c r="AK1323" s="28" t="n">
        <f aca="false">AJ1323*$M1323</f>
        <v>0</v>
      </c>
      <c r="AL1323" s="28"/>
      <c r="AM1323" s="28" t="n">
        <f aca="false">AL1323*$M1323</f>
        <v>0</v>
      </c>
      <c r="AN1323" s="28"/>
      <c r="AO1323" s="28" t="n">
        <f aca="false">AN1323*$M1323</f>
        <v>0</v>
      </c>
      <c r="AP1323" s="28"/>
      <c r="AQ1323" s="28" t="n">
        <f aca="false">AP1323*$M1323</f>
        <v>0</v>
      </c>
      <c r="AR1323" s="28"/>
      <c r="AS1323" s="28" t="n">
        <f aca="false">AR1323*$M1323</f>
        <v>0</v>
      </c>
      <c r="AT1323" s="28"/>
      <c r="AU1323" s="28" t="n">
        <f aca="false">AT1323*$M1323</f>
        <v>0</v>
      </c>
      <c r="AV1323" s="28"/>
      <c r="AW1323" s="28" t="n">
        <f aca="false">AV1323*$M1323</f>
        <v>0</v>
      </c>
      <c r="AX1323" s="28"/>
      <c r="AY1323" s="28" t="n">
        <f aca="false">AX1323*$M1323</f>
        <v>0</v>
      </c>
      <c r="AZ1323" s="30" t="n">
        <v>102</v>
      </c>
      <c r="BA1323" s="11" t="n">
        <v>6120</v>
      </c>
      <c r="BB1323" s="31" t="n">
        <f aca="false">SUM(Q1323,S1323,U1323,W1323,Y1323,AA1323,AC1323,AE1323,AG1323,AI1323,AK1323,AM1323,AO1323,AQ1323,AS1323,AU1323,AW1323,AY1323)</f>
        <v>6120</v>
      </c>
      <c r="BC1323" s="28" t="n">
        <f aca="false">BA1323-BB1323</f>
        <v>0</v>
      </c>
      <c r="BD1323" s="32" t="n">
        <f aca="false">SUM(P1323,R1323,T1323,V1323,X1323,Z1323,AB1323,AD1323,AF1323,AH1323,AJ1323,AL1323,AN1323,AP1323,AR1323,AT1323,AV1323,AX1323)</f>
        <v>102</v>
      </c>
      <c r="BE1323" s="33" t="n">
        <f aca="false">AZ1323-BD1323</f>
        <v>0</v>
      </c>
      <c r="BF1323" s="34" t="n">
        <f aca="false">BD1323*M1323</f>
        <v>6120</v>
      </c>
      <c r="BG1323" s="35" t="n">
        <f aca="false">BA1323-BF1323</f>
        <v>0</v>
      </c>
      <c r="BH1323" s="19" t="str">
        <f aca="false">IF(BG1323=0,"",IF(BG1323&lt;&gt;BA1323,"erreur de calcul",IF(BD1323&lt;&gt;0,"pas de prix",IF(M1323&lt;&gt; 0,"pas de quantité","pas de prix, ni de quantité"))))</f>
        <v/>
      </c>
      <c r="BI1323" s="19"/>
    </row>
    <row r="1324" customFormat="false" ht="15" hidden="false" customHeight="false" outlineLevel="0" collapsed="false">
      <c r="A1324" s="0" t="n">
        <v>23</v>
      </c>
      <c r="B1324" s="8" t="s">
        <v>24</v>
      </c>
      <c r="C1324" s="9" t="s">
        <v>25</v>
      </c>
      <c r="D1324" s="9" t="s">
        <v>26</v>
      </c>
      <c r="E1324" s="10" t="n">
        <v>1789</v>
      </c>
      <c r="F1324" s="9" t="s">
        <v>27</v>
      </c>
      <c r="G1324" s="9" t="s">
        <v>27</v>
      </c>
      <c r="H1324" s="11" t="n">
        <v>25</v>
      </c>
      <c r="I1324" s="11" t="s">
        <v>352</v>
      </c>
      <c r="J1324" s="14" t="n">
        <v>150</v>
      </c>
      <c r="K1324" s="14"/>
      <c r="L1324" s="16"/>
      <c r="M1324" s="27" t="n">
        <f aca="false">J1324+(K1324/20)+(L1324/240)</f>
        <v>150</v>
      </c>
      <c r="N1324" s="17" t="s">
        <v>64</v>
      </c>
      <c r="O1324" s="11"/>
      <c r="P1324" s="28" t="n">
        <f aca="false">274/100</f>
        <v>2.74</v>
      </c>
      <c r="Q1324" s="28" t="n">
        <v>411</v>
      </c>
      <c r="R1324" s="28"/>
      <c r="S1324" s="28" t="n">
        <f aca="false">R1324*$M1324</f>
        <v>0</v>
      </c>
      <c r="T1324" s="28" t="n">
        <f aca="false">3042/100</f>
        <v>30.42</v>
      </c>
      <c r="U1324" s="28" t="n">
        <v>4563</v>
      </c>
      <c r="V1324" s="28"/>
      <c r="W1324" s="28" t="n">
        <f aca="false">V1324*$M1324</f>
        <v>0</v>
      </c>
      <c r="X1324" s="28"/>
      <c r="Y1324" s="28" t="n">
        <f aca="false">X1324*$M1324</f>
        <v>0</v>
      </c>
      <c r="Z1324" s="28"/>
      <c r="AA1324" s="28" t="n">
        <f aca="false">Z1324*$M1324</f>
        <v>0</v>
      </c>
      <c r="AB1324" s="28" t="n">
        <f aca="false">92/100</f>
        <v>0.92</v>
      </c>
      <c r="AC1324" s="28" t="n">
        <v>138</v>
      </c>
      <c r="AD1324" s="28"/>
      <c r="AE1324" s="28" t="n">
        <f aca="false">AD1324*$M1324</f>
        <v>0</v>
      </c>
      <c r="AF1324" s="28"/>
      <c r="AG1324" s="28" t="n">
        <f aca="false">AF1324*$M1324</f>
        <v>0</v>
      </c>
      <c r="AH1324" s="28"/>
      <c r="AI1324" s="28" t="n">
        <f aca="false">AH1324*$M1324</f>
        <v>0</v>
      </c>
      <c r="AJ1324" s="28"/>
      <c r="AK1324" s="28" t="n">
        <f aca="false">AJ1324*$M1324</f>
        <v>0</v>
      </c>
      <c r="AL1324" s="28"/>
      <c r="AM1324" s="28" t="n">
        <f aca="false">AL1324*$M1324</f>
        <v>0</v>
      </c>
      <c r="AN1324" s="28"/>
      <c r="AO1324" s="28" t="n">
        <f aca="false">AN1324*$M1324</f>
        <v>0</v>
      </c>
      <c r="AP1324" s="28"/>
      <c r="AQ1324" s="28" t="n">
        <f aca="false">AP1324*$M1324</f>
        <v>0</v>
      </c>
      <c r="AR1324" s="28"/>
      <c r="AS1324" s="28" t="n">
        <f aca="false">AR1324*$M1324</f>
        <v>0</v>
      </c>
      <c r="AT1324" s="28"/>
      <c r="AU1324" s="28" t="n">
        <f aca="false">AT1324*$M1324</f>
        <v>0</v>
      </c>
      <c r="AV1324" s="28"/>
      <c r="AW1324" s="28" t="n">
        <f aca="false">AV1324*$M1324</f>
        <v>0</v>
      </c>
      <c r="AX1324" s="28"/>
      <c r="AY1324" s="28" t="n">
        <f aca="false">AX1324*$M1324</f>
        <v>0</v>
      </c>
      <c r="AZ1324" s="30" t="n">
        <f aca="false">3408/100</f>
        <v>34.08</v>
      </c>
      <c r="BA1324" s="11" t="n">
        <v>5112</v>
      </c>
      <c r="BB1324" s="31" t="n">
        <f aca="false">SUM(Q1324,S1324,U1324,W1324,Y1324,AA1324,AC1324,AE1324,AG1324,AI1324,AK1324,AM1324,AO1324,AQ1324,AS1324,AU1324,AW1324,AY1324)</f>
        <v>5112</v>
      </c>
      <c r="BC1324" s="28" t="n">
        <f aca="false">BA1324-BB1324</f>
        <v>0</v>
      </c>
      <c r="BD1324" s="32" t="n">
        <f aca="false">SUM(P1324,R1324,T1324,V1324,X1324,Z1324,AB1324,AD1324,AF1324,AH1324,AJ1324,AL1324,AN1324,AP1324,AR1324,AT1324,AV1324,AX1324)</f>
        <v>34.08</v>
      </c>
      <c r="BE1324" s="33" t="n">
        <f aca="false">AZ1324-BD1324</f>
        <v>0</v>
      </c>
      <c r="BF1324" s="34" t="n">
        <f aca="false">BD1324*M1324</f>
        <v>5112</v>
      </c>
      <c r="BG1324" s="35" t="n">
        <f aca="false">BA1324-BF1324</f>
        <v>0</v>
      </c>
      <c r="BH1324" s="19" t="str">
        <f aca="false">IF(BG1324=0,"",IF(BG1324&lt;&gt;BA1324,"erreur de calcul",IF(BD1324&lt;&gt;0,"pas de prix",IF(M1324&lt;&gt; 0,"pas de quantité","pas de prix, ni de quantité"))))</f>
        <v/>
      </c>
      <c r="BI1324" s="19"/>
    </row>
    <row r="1325" customFormat="false" ht="15" hidden="false" customHeight="false" outlineLevel="0" collapsed="false">
      <c r="A1325" s="0" t="n">
        <v>24</v>
      </c>
      <c r="B1325" s="8" t="s">
        <v>24</v>
      </c>
      <c r="C1325" s="9" t="s">
        <v>25</v>
      </c>
      <c r="D1325" s="9" t="s">
        <v>26</v>
      </c>
      <c r="E1325" s="10" t="n">
        <v>1789</v>
      </c>
      <c r="F1325" s="9" t="s">
        <v>27</v>
      </c>
      <c r="G1325" s="9" t="s">
        <v>27</v>
      </c>
      <c r="H1325" s="11" t="n">
        <v>25</v>
      </c>
      <c r="I1325" s="11" t="s">
        <v>353</v>
      </c>
      <c r="J1325" s="14" t="n">
        <v>40</v>
      </c>
      <c r="K1325" s="14"/>
      <c r="L1325" s="16"/>
      <c r="M1325" s="27" t="n">
        <f aca="false">J1325+(K1325/20)+(L1325/240)</f>
        <v>40</v>
      </c>
      <c r="N1325" s="17" t="s">
        <v>64</v>
      </c>
      <c r="O1325" s="11"/>
      <c r="P1325" s="28"/>
      <c r="Q1325" s="28" t="n">
        <f aca="false">P1325*$M1325</f>
        <v>0</v>
      </c>
      <c r="R1325" s="28"/>
      <c r="S1325" s="28" t="n">
        <f aca="false">R1325*$M1325</f>
        <v>0</v>
      </c>
      <c r="T1325" s="28"/>
      <c r="U1325" s="28" t="n">
        <f aca="false">T1325*$M1325</f>
        <v>0</v>
      </c>
      <c r="V1325" s="28" t="n">
        <f aca="false">4960/100</f>
        <v>49.6</v>
      </c>
      <c r="W1325" s="28" t="n">
        <v>1984</v>
      </c>
      <c r="X1325" s="28" t="n">
        <f aca="false">394/100</f>
        <v>3.94</v>
      </c>
      <c r="Y1325" s="28" t="n">
        <v>158</v>
      </c>
      <c r="Z1325" s="28"/>
      <c r="AA1325" s="28" t="n">
        <f aca="false">Z1325*$M1325</f>
        <v>0</v>
      </c>
      <c r="AB1325" s="28"/>
      <c r="AC1325" s="28" t="n">
        <f aca="false">AB1325*$M1325</f>
        <v>0</v>
      </c>
      <c r="AD1325" s="28"/>
      <c r="AE1325" s="28" t="n">
        <f aca="false">AD1325*$M1325</f>
        <v>0</v>
      </c>
      <c r="AF1325" s="28"/>
      <c r="AG1325" s="28" t="n">
        <f aca="false">AF1325*$M1325</f>
        <v>0</v>
      </c>
      <c r="AH1325" s="28"/>
      <c r="AI1325" s="28" t="n">
        <f aca="false">AH1325*$M1325</f>
        <v>0</v>
      </c>
      <c r="AJ1325" s="28"/>
      <c r="AK1325" s="28" t="n">
        <f aca="false">AJ1325*$M1325</f>
        <v>0</v>
      </c>
      <c r="AL1325" s="28"/>
      <c r="AM1325" s="28" t="n">
        <f aca="false">AL1325*$M1325</f>
        <v>0</v>
      </c>
      <c r="AN1325" s="28"/>
      <c r="AO1325" s="28" t="n">
        <f aca="false">AN1325*$M1325</f>
        <v>0</v>
      </c>
      <c r="AP1325" s="28"/>
      <c r="AQ1325" s="28" t="n">
        <f aca="false">AP1325*$M1325</f>
        <v>0</v>
      </c>
      <c r="AR1325" s="28"/>
      <c r="AS1325" s="28" t="n">
        <f aca="false">AR1325*$M1325</f>
        <v>0</v>
      </c>
      <c r="AT1325" s="28"/>
      <c r="AU1325" s="28" t="n">
        <f aca="false">AT1325*$M1325</f>
        <v>0</v>
      </c>
      <c r="AV1325" s="28"/>
      <c r="AW1325" s="28" t="n">
        <f aca="false">AV1325*$M1325</f>
        <v>0</v>
      </c>
      <c r="AX1325" s="28"/>
      <c r="AY1325" s="28" t="n">
        <f aca="false">AX1325*$M1325</f>
        <v>0</v>
      </c>
      <c r="AZ1325" s="30" t="n">
        <f aca="false">5354/100</f>
        <v>53.54</v>
      </c>
      <c r="BA1325" s="11" t="n">
        <v>2142</v>
      </c>
      <c r="BB1325" s="31" t="n">
        <f aca="false">SUM(Q1325,S1325,U1325,W1325,Y1325,AA1325,AC1325,AE1325,AG1325,AI1325,AK1325,AM1325,AO1325,AQ1325,AS1325,AU1325,AW1325,AY1325)</f>
        <v>2142</v>
      </c>
      <c r="BC1325" s="28" t="n">
        <f aca="false">BA1325-BB1325</f>
        <v>0</v>
      </c>
      <c r="BD1325" s="32" t="n">
        <f aca="false">SUM(P1325,R1325,T1325,V1325,X1325,Z1325,AB1325,AD1325,AF1325,AH1325,AJ1325,AL1325,AN1325,AP1325,AR1325,AT1325,AV1325,AX1325)</f>
        <v>53.54</v>
      </c>
      <c r="BE1325" s="33" t="n">
        <f aca="false">AZ1325-BD1325</f>
        <v>0</v>
      </c>
      <c r="BF1325" s="34" t="n">
        <f aca="false">BD1325*M1325</f>
        <v>2141.6</v>
      </c>
      <c r="BG1325" s="35" t="n">
        <f aca="false">BA1325-BF1325</f>
        <v>0.400000000000091</v>
      </c>
      <c r="BH1325" s="19" t="str">
        <f aca="false">IF(BG1325=0,"",IF(BG1325&lt;&gt;BA1325,"erreur de calcul",IF(BD1325&lt;&gt;0,"pas de prix",IF(M1325&lt;&gt; 0,"pas de quantité","pas de prix, ni de quantité"))))</f>
        <v>erreur de calcul</v>
      </c>
      <c r="BI1325" s="19"/>
    </row>
    <row r="1326" customFormat="false" ht="15" hidden="false" customHeight="false" outlineLevel="0" collapsed="false">
      <c r="A1326" s="0" t="n">
        <v>25</v>
      </c>
      <c r="B1326" s="8" t="s">
        <v>24</v>
      </c>
      <c r="C1326" s="9" t="s">
        <v>25</v>
      </c>
      <c r="D1326" s="9" t="s">
        <v>26</v>
      </c>
      <c r="E1326" s="10" t="n">
        <v>1789</v>
      </c>
      <c r="F1326" s="9" t="s">
        <v>27</v>
      </c>
      <c r="G1326" s="9" t="s">
        <v>27</v>
      </c>
      <c r="H1326" s="11" t="n">
        <v>25</v>
      </c>
      <c r="I1326" s="11" t="s">
        <v>354</v>
      </c>
      <c r="J1326" s="14" t="n">
        <v>200</v>
      </c>
      <c r="K1326" s="14"/>
      <c r="L1326" s="16"/>
      <c r="M1326" s="27" t="n">
        <f aca="false">J1326+(K1326/20)+(L1326/240)</f>
        <v>200</v>
      </c>
      <c r="N1326" s="17" t="s">
        <v>64</v>
      </c>
      <c r="O1326" s="11"/>
      <c r="P1326" s="28"/>
      <c r="Q1326" s="28" t="n">
        <f aca="false">P1326*$M1326</f>
        <v>0</v>
      </c>
      <c r="R1326" s="28"/>
      <c r="S1326" s="28" t="n">
        <f aca="false">R1326*$M1326</f>
        <v>0</v>
      </c>
      <c r="T1326" s="28" t="n">
        <f aca="false">4367/100</f>
        <v>43.67</v>
      </c>
      <c r="U1326" s="28" t="n">
        <v>8734</v>
      </c>
      <c r="V1326" s="28" t="n">
        <f aca="false">346/100</f>
        <v>3.46</v>
      </c>
      <c r="W1326" s="28" t="n">
        <v>692</v>
      </c>
      <c r="X1326" s="28"/>
      <c r="Y1326" s="28" t="n">
        <f aca="false">X1326*$M1326</f>
        <v>0</v>
      </c>
      <c r="Z1326" s="28"/>
      <c r="AA1326" s="28" t="n">
        <f aca="false">Z1326*$M1326</f>
        <v>0</v>
      </c>
      <c r="AB1326" s="28"/>
      <c r="AC1326" s="28" t="n">
        <f aca="false">AB1326*$M1326</f>
        <v>0</v>
      </c>
      <c r="AD1326" s="28"/>
      <c r="AE1326" s="28" t="n">
        <f aca="false">AD1326*$M1326</f>
        <v>0</v>
      </c>
      <c r="AF1326" s="28"/>
      <c r="AG1326" s="28" t="n">
        <f aca="false">AF1326*$M1326</f>
        <v>0</v>
      </c>
      <c r="AH1326" s="28"/>
      <c r="AI1326" s="28" t="n">
        <f aca="false">AH1326*$M1326</f>
        <v>0</v>
      </c>
      <c r="AJ1326" s="28"/>
      <c r="AK1326" s="28" t="n">
        <f aca="false">AJ1326*$M1326</f>
        <v>0</v>
      </c>
      <c r="AL1326" s="28"/>
      <c r="AM1326" s="28" t="n">
        <f aca="false">AL1326*$M1326</f>
        <v>0</v>
      </c>
      <c r="AN1326" s="28"/>
      <c r="AO1326" s="28" t="n">
        <f aca="false">AN1326*$M1326</f>
        <v>0</v>
      </c>
      <c r="AP1326" s="28"/>
      <c r="AQ1326" s="28" t="n">
        <f aca="false">AP1326*$M1326</f>
        <v>0</v>
      </c>
      <c r="AR1326" s="28"/>
      <c r="AS1326" s="28" t="n">
        <f aca="false">AR1326*$M1326</f>
        <v>0</v>
      </c>
      <c r="AT1326" s="28"/>
      <c r="AU1326" s="28" t="n">
        <f aca="false">AT1326*$M1326</f>
        <v>0</v>
      </c>
      <c r="AV1326" s="28"/>
      <c r="AW1326" s="28" t="n">
        <f aca="false">AV1326*$M1326</f>
        <v>0</v>
      </c>
      <c r="AX1326" s="28"/>
      <c r="AY1326" s="28" t="n">
        <f aca="false">AX1326*$M1326</f>
        <v>0</v>
      </c>
      <c r="AZ1326" s="30" t="n">
        <f aca="false">4713/100</f>
        <v>47.13</v>
      </c>
      <c r="BA1326" s="11" t="n">
        <v>9426</v>
      </c>
      <c r="BB1326" s="31" t="n">
        <f aca="false">SUM(Q1326,S1326,U1326,W1326,Y1326,AA1326,AC1326,AE1326,AG1326,AI1326,AK1326,AM1326,AO1326,AQ1326,AS1326,AU1326,AW1326,AY1326)</f>
        <v>9426</v>
      </c>
      <c r="BC1326" s="28" t="n">
        <f aca="false">BA1326-BB1326</f>
        <v>0</v>
      </c>
      <c r="BD1326" s="32" t="n">
        <f aca="false">SUM(P1326,R1326,T1326,V1326,X1326,Z1326,AB1326,AD1326,AF1326,AH1326,AJ1326,AL1326,AN1326,AP1326,AR1326,AT1326,AV1326,AX1326)</f>
        <v>47.13</v>
      </c>
      <c r="BE1326" s="33" t="n">
        <f aca="false">AZ1326-BD1326</f>
        <v>0</v>
      </c>
      <c r="BF1326" s="34" t="n">
        <f aca="false">BD1326*M1326</f>
        <v>9426</v>
      </c>
      <c r="BG1326" s="35" t="n">
        <f aca="false">BA1326-BF1326</f>
        <v>0</v>
      </c>
      <c r="BH1326" s="19" t="str">
        <f aca="false">IF(BG1326=0,"",IF(BG1326&lt;&gt;BA1326,"erreur de calcul",IF(BD1326&lt;&gt;0,"pas de prix",IF(M1326&lt;&gt; 0,"pas de quantité","pas de prix, ni de quantité"))))</f>
        <v/>
      </c>
      <c r="BI1326" s="19"/>
    </row>
    <row r="1327" customFormat="false" ht="15" hidden="false" customHeight="false" outlineLevel="0" collapsed="false">
      <c r="A1327" s="0" t="n">
        <v>26</v>
      </c>
      <c r="B1327" s="8" t="s">
        <v>24</v>
      </c>
      <c r="C1327" s="9" t="s">
        <v>25</v>
      </c>
      <c r="D1327" s="9" t="s">
        <v>26</v>
      </c>
      <c r="E1327" s="10" t="n">
        <v>1789</v>
      </c>
      <c r="F1327" s="9" t="s">
        <v>27</v>
      </c>
      <c r="G1327" s="9" t="s">
        <v>27</v>
      </c>
      <c r="H1327" s="11" t="n">
        <v>25</v>
      </c>
      <c r="I1327" s="11" t="s">
        <v>355</v>
      </c>
      <c r="J1327" s="14" t="n">
        <v>200</v>
      </c>
      <c r="K1327" s="14"/>
      <c r="L1327" s="16"/>
      <c r="M1327" s="27" t="n">
        <f aca="false">J1327+(K1327/20)+(L1327/240)</f>
        <v>200</v>
      </c>
      <c r="N1327" s="17" t="s">
        <v>64</v>
      </c>
      <c r="O1327" s="11"/>
      <c r="P1327" s="28"/>
      <c r="Q1327" s="28" t="n">
        <f aca="false">P1327*$M1327</f>
        <v>0</v>
      </c>
      <c r="R1327" s="28"/>
      <c r="S1327" s="28" t="n">
        <f aca="false">R1327*$M1327</f>
        <v>0</v>
      </c>
      <c r="T1327" s="28" t="n">
        <f aca="false">2471/100</f>
        <v>24.71</v>
      </c>
      <c r="U1327" s="28" t="n">
        <v>4942</v>
      </c>
      <c r="V1327" s="28"/>
      <c r="W1327" s="28" t="n">
        <f aca="false">V1327*$M1327</f>
        <v>0</v>
      </c>
      <c r="X1327" s="28"/>
      <c r="Y1327" s="28" t="n">
        <f aca="false">X1327*$M1327</f>
        <v>0</v>
      </c>
      <c r="Z1327" s="28"/>
      <c r="AA1327" s="28" t="n">
        <f aca="false">Z1327*$M1327</f>
        <v>0</v>
      </c>
      <c r="AB1327" s="28"/>
      <c r="AC1327" s="28" t="n">
        <f aca="false">AB1327*$M1327</f>
        <v>0</v>
      </c>
      <c r="AD1327" s="28"/>
      <c r="AE1327" s="28" t="n">
        <f aca="false">AD1327*$M1327</f>
        <v>0</v>
      </c>
      <c r="AF1327" s="28"/>
      <c r="AG1327" s="28" t="n">
        <f aca="false">AF1327*$M1327</f>
        <v>0</v>
      </c>
      <c r="AH1327" s="28"/>
      <c r="AI1327" s="28" t="n">
        <f aca="false">AH1327*$M1327</f>
        <v>0</v>
      </c>
      <c r="AJ1327" s="28"/>
      <c r="AK1327" s="28" t="n">
        <f aca="false">AJ1327*$M1327</f>
        <v>0</v>
      </c>
      <c r="AL1327" s="28"/>
      <c r="AM1327" s="28" t="n">
        <f aca="false">AL1327*$M1327</f>
        <v>0</v>
      </c>
      <c r="AN1327" s="28"/>
      <c r="AO1327" s="28" t="n">
        <f aca="false">AN1327*$M1327</f>
        <v>0</v>
      </c>
      <c r="AP1327" s="28"/>
      <c r="AQ1327" s="28" t="n">
        <f aca="false">AP1327*$M1327</f>
        <v>0</v>
      </c>
      <c r="AR1327" s="28"/>
      <c r="AS1327" s="28" t="n">
        <f aca="false">AR1327*$M1327</f>
        <v>0</v>
      </c>
      <c r="AT1327" s="28"/>
      <c r="AU1327" s="28" t="n">
        <f aca="false">AT1327*$M1327</f>
        <v>0</v>
      </c>
      <c r="AV1327" s="28"/>
      <c r="AW1327" s="28" t="n">
        <f aca="false">AV1327*$M1327</f>
        <v>0</v>
      </c>
      <c r="AX1327" s="28"/>
      <c r="AY1327" s="28" t="n">
        <f aca="false">AX1327*$M1327</f>
        <v>0</v>
      </c>
      <c r="AZ1327" s="30" t="n">
        <f aca="false">2471/100</f>
        <v>24.71</v>
      </c>
      <c r="BA1327" s="11" t="n">
        <v>4942</v>
      </c>
      <c r="BB1327" s="31" t="n">
        <f aca="false">SUM(Q1327,S1327,U1327,W1327,Y1327,AA1327,AC1327,AE1327,AG1327,AI1327,AK1327,AM1327,AO1327,AQ1327,AS1327,AU1327,AW1327,AY1327)</f>
        <v>4942</v>
      </c>
      <c r="BC1327" s="28" t="n">
        <f aca="false">BA1327-BB1327</f>
        <v>0</v>
      </c>
      <c r="BD1327" s="32" t="n">
        <f aca="false">SUM(P1327,R1327,T1327,V1327,X1327,Z1327,AB1327,AD1327,AF1327,AH1327,AJ1327,AL1327,AN1327,AP1327,AR1327,AT1327,AV1327,AX1327)</f>
        <v>24.71</v>
      </c>
      <c r="BE1327" s="33" t="n">
        <f aca="false">AZ1327-BD1327</f>
        <v>0</v>
      </c>
      <c r="BF1327" s="34" t="n">
        <f aca="false">BD1327*M1327</f>
        <v>4942</v>
      </c>
      <c r="BG1327" s="35" t="n">
        <f aca="false">BA1327-BF1327</f>
        <v>0</v>
      </c>
      <c r="BH1327" s="19" t="str">
        <f aca="false">IF(BG1327=0,"",IF(BG1327&lt;&gt;BA1327,"erreur de calcul",IF(BD1327&lt;&gt;0,"pas de prix",IF(M1327&lt;&gt; 0,"pas de quantité","pas de prix, ni de quantité"))))</f>
        <v/>
      </c>
      <c r="BI1327" s="19"/>
    </row>
    <row r="1328" customFormat="false" ht="15" hidden="false" customHeight="false" outlineLevel="0" collapsed="false">
      <c r="A1328" s="0" t="n">
        <v>27</v>
      </c>
      <c r="B1328" s="8" t="s">
        <v>24</v>
      </c>
      <c r="C1328" s="9" t="s">
        <v>25</v>
      </c>
      <c r="D1328" s="9" t="s">
        <v>26</v>
      </c>
      <c r="E1328" s="10" t="n">
        <v>1789</v>
      </c>
      <c r="F1328" s="9" t="s">
        <v>27</v>
      </c>
      <c r="G1328" s="9" t="s">
        <v>27</v>
      </c>
      <c r="H1328" s="11" t="n">
        <v>25</v>
      </c>
      <c r="I1328" s="11" t="s">
        <v>356</v>
      </c>
      <c r="J1328" s="14" t="n">
        <v>120</v>
      </c>
      <c r="K1328" s="14"/>
      <c r="L1328" s="16"/>
      <c r="M1328" s="27" t="n">
        <f aca="false">J1328+(K1328/20)+(L1328/240)</f>
        <v>120</v>
      </c>
      <c r="N1328" s="17" t="s">
        <v>64</v>
      </c>
      <c r="O1328" s="11"/>
      <c r="P1328" s="28"/>
      <c r="Q1328" s="28" t="n">
        <f aca="false">P1328*$M1328</f>
        <v>0</v>
      </c>
      <c r="R1328" s="28"/>
      <c r="S1328" s="28" t="n">
        <f aca="false">R1328*$M1328</f>
        <v>0</v>
      </c>
      <c r="T1328" s="28"/>
      <c r="U1328" s="28" t="n">
        <f aca="false">T1328*$M1328</f>
        <v>0</v>
      </c>
      <c r="V1328" s="28"/>
      <c r="W1328" s="28" t="n">
        <f aca="false">V1328*$M1328</f>
        <v>0</v>
      </c>
      <c r="X1328" s="28"/>
      <c r="Y1328" s="28" t="n">
        <f aca="false">X1328*$M1328</f>
        <v>0</v>
      </c>
      <c r="Z1328" s="28"/>
      <c r="AA1328" s="28" t="n">
        <f aca="false">Z1328*$M1328</f>
        <v>0</v>
      </c>
      <c r="AB1328" s="28"/>
      <c r="AC1328" s="28" t="n">
        <f aca="false">AB1328*$M1328</f>
        <v>0</v>
      </c>
      <c r="AD1328" s="28"/>
      <c r="AE1328" s="28" t="n">
        <f aca="false">AD1328*$M1328</f>
        <v>0</v>
      </c>
      <c r="AF1328" s="28"/>
      <c r="AG1328" s="28" t="n">
        <f aca="false">AF1328*$M1328</f>
        <v>0</v>
      </c>
      <c r="AH1328" s="28"/>
      <c r="AI1328" s="28" t="n">
        <f aca="false">AH1328*$M1328</f>
        <v>0</v>
      </c>
      <c r="AJ1328" s="28"/>
      <c r="AK1328" s="28" t="n">
        <f aca="false">AJ1328*$M1328</f>
        <v>0</v>
      </c>
      <c r="AL1328" s="28"/>
      <c r="AM1328" s="28" t="n">
        <f aca="false">AL1328*$M1328</f>
        <v>0</v>
      </c>
      <c r="AN1328" s="28" t="n">
        <f aca="false">407/100</f>
        <v>4.07</v>
      </c>
      <c r="AO1328" s="28" t="n">
        <v>488</v>
      </c>
      <c r="AP1328" s="28"/>
      <c r="AQ1328" s="28" t="n">
        <f aca="false">AP1328*$M1328</f>
        <v>0</v>
      </c>
      <c r="AR1328" s="28"/>
      <c r="AS1328" s="28" t="n">
        <f aca="false">AR1328*$M1328</f>
        <v>0</v>
      </c>
      <c r="AT1328" s="28"/>
      <c r="AU1328" s="28" t="n">
        <f aca="false">AT1328*$M1328</f>
        <v>0</v>
      </c>
      <c r="AV1328" s="28"/>
      <c r="AW1328" s="28" t="n">
        <f aca="false">AV1328*$M1328</f>
        <v>0</v>
      </c>
      <c r="AX1328" s="28"/>
      <c r="AY1328" s="28" t="n">
        <f aca="false">AX1328*$M1328</f>
        <v>0</v>
      </c>
      <c r="AZ1328" s="30" t="n">
        <f aca="false">407/100</f>
        <v>4.07</v>
      </c>
      <c r="BA1328" s="11" t="n">
        <v>488</v>
      </c>
      <c r="BB1328" s="31" t="n">
        <f aca="false">SUM(Q1328,S1328,U1328,W1328,Y1328,AA1328,AC1328,AE1328,AG1328,AI1328,AK1328,AM1328,AO1328,AQ1328,AS1328,AU1328,AW1328,AY1328)</f>
        <v>488</v>
      </c>
      <c r="BC1328" s="28" t="n">
        <f aca="false">BA1328-BB1328</f>
        <v>0</v>
      </c>
      <c r="BD1328" s="32" t="n">
        <f aca="false">SUM(P1328,R1328,T1328,V1328,X1328,Z1328,AB1328,AD1328,AF1328,AH1328,AJ1328,AL1328,AN1328,AP1328,AR1328,AT1328,AV1328,AX1328)</f>
        <v>4.07</v>
      </c>
      <c r="BE1328" s="33" t="n">
        <f aca="false">AZ1328-BD1328</f>
        <v>0</v>
      </c>
      <c r="BF1328" s="34" t="n">
        <f aca="false">BD1328*M1328</f>
        <v>488.4</v>
      </c>
      <c r="BG1328" s="35" t="n">
        <f aca="false">BA1328-BF1328</f>
        <v>-0.400000000000034</v>
      </c>
      <c r="BH1328" s="19" t="str">
        <f aca="false">IF(BG1328=0,"",IF(BG1328&lt;&gt;BA1328,"erreur de calcul",IF(BD1328&lt;&gt;0,"pas de prix",IF(M1328&lt;&gt; 0,"pas de quantité","pas de prix, ni de quantité"))))</f>
        <v>erreur de calcul</v>
      </c>
      <c r="BI1328" s="19"/>
    </row>
    <row r="1329" customFormat="false" ht="15" hidden="false" customHeight="false" outlineLevel="0" collapsed="false">
      <c r="A1329" s="0" t="n">
        <v>28</v>
      </c>
      <c r="B1329" s="8" t="s">
        <v>24</v>
      </c>
      <c r="C1329" s="9" t="s">
        <v>25</v>
      </c>
      <c r="D1329" s="9" t="s">
        <v>26</v>
      </c>
      <c r="E1329" s="10" t="n">
        <v>1789</v>
      </c>
      <c r="F1329" s="9" t="s">
        <v>27</v>
      </c>
      <c r="G1329" s="9" t="s">
        <v>27</v>
      </c>
      <c r="H1329" s="11" t="n">
        <v>25</v>
      </c>
      <c r="I1329" s="11" t="s">
        <v>357</v>
      </c>
      <c r="J1329" s="14" t="n">
        <v>30</v>
      </c>
      <c r="K1329" s="14"/>
      <c r="L1329" s="16"/>
      <c r="M1329" s="27" t="n">
        <f aca="false">J1329+(K1329/20)+(L1329/240)</f>
        <v>30</v>
      </c>
      <c r="N1329" s="17" t="s">
        <v>64</v>
      </c>
      <c r="O1329" s="11"/>
      <c r="P1329" s="28"/>
      <c r="Q1329" s="28" t="n">
        <f aca="false">P1329*$M1329</f>
        <v>0</v>
      </c>
      <c r="R1329" s="28"/>
      <c r="S1329" s="28" t="n">
        <f aca="false">R1329*$M1329</f>
        <v>0</v>
      </c>
      <c r="T1329" s="28" t="n">
        <f aca="false">8903/100</f>
        <v>89.03</v>
      </c>
      <c r="U1329" s="28" t="n">
        <v>2671</v>
      </c>
      <c r="V1329" s="28" t="n">
        <f aca="false">2591/100</f>
        <v>25.91</v>
      </c>
      <c r="W1329" s="28" t="n">
        <v>777</v>
      </c>
      <c r="X1329" s="28"/>
      <c r="Y1329" s="28" t="n">
        <f aca="false">X1329*$M1329</f>
        <v>0</v>
      </c>
      <c r="Z1329" s="28" t="n">
        <f aca="false">17041/100</f>
        <v>170.41</v>
      </c>
      <c r="AA1329" s="28" t="n">
        <v>5112</v>
      </c>
      <c r="AB1329" s="28" t="n">
        <f aca="false">42963/100</f>
        <v>429.63</v>
      </c>
      <c r="AC1329" s="28" t="n">
        <v>12889</v>
      </c>
      <c r="AD1329" s="28"/>
      <c r="AE1329" s="28" t="n">
        <f aca="false">AD1329*$M1329</f>
        <v>0</v>
      </c>
      <c r="AF1329" s="28" t="n">
        <f aca="false">138369/100</f>
        <v>1383.69</v>
      </c>
      <c r="AG1329" s="28" t="n">
        <v>41511</v>
      </c>
      <c r="AH1329" s="28"/>
      <c r="AI1329" s="28" t="n">
        <f aca="false">AH1329*$M1329</f>
        <v>0</v>
      </c>
      <c r="AJ1329" s="28"/>
      <c r="AK1329" s="28" t="n">
        <f aca="false">AJ1329*$M1329</f>
        <v>0</v>
      </c>
      <c r="AL1329" s="28"/>
      <c r="AM1329" s="28" t="n">
        <f aca="false">AL1329*$M1329</f>
        <v>0</v>
      </c>
      <c r="AN1329" s="28"/>
      <c r="AO1329" s="28" t="n">
        <f aca="false">AN1329*$M1329</f>
        <v>0</v>
      </c>
      <c r="AP1329" s="28"/>
      <c r="AQ1329" s="28" t="n">
        <f aca="false">AP1329*$M1329</f>
        <v>0</v>
      </c>
      <c r="AR1329" s="28"/>
      <c r="AS1329" s="28" t="n">
        <f aca="false">AR1329*$M1329</f>
        <v>0</v>
      </c>
      <c r="AT1329" s="28"/>
      <c r="AU1329" s="28" t="n">
        <f aca="false">AT1329*$M1329</f>
        <v>0</v>
      </c>
      <c r="AV1329" s="28"/>
      <c r="AW1329" s="28" t="n">
        <f aca="false">AV1329*$M1329</f>
        <v>0</v>
      </c>
      <c r="AX1329" s="28"/>
      <c r="AY1329" s="28" t="n">
        <f aca="false">AX1329*$M1329</f>
        <v>0</v>
      </c>
      <c r="AZ1329" s="30" t="n">
        <f aca="false">209867/100</f>
        <v>2098.67</v>
      </c>
      <c r="BA1329" s="11" t="n">
        <v>62960</v>
      </c>
      <c r="BB1329" s="31" t="n">
        <f aca="false">SUM(Q1329,S1329,U1329,W1329,Y1329,AA1329,AC1329,AE1329,AG1329,AI1329,AK1329,AM1329,AO1329,AQ1329,AS1329,AU1329,AW1329,AY1329)</f>
        <v>62960</v>
      </c>
      <c r="BC1329" s="28" t="n">
        <f aca="false">BA1329-BB1329</f>
        <v>0</v>
      </c>
      <c r="BD1329" s="32" t="n">
        <f aca="false">SUM(P1329,R1329,T1329,V1329,X1329,Z1329,AB1329,AD1329,AF1329,AH1329,AJ1329,AL1329,AN1329,AP1329,AR1329,AT1329,AV1329,AX1329)</f>
        <v>2098.67</v>
      </c>
      <c r="BE1329" s="33" t="n">
        <f aca="false">AZ1329-BD1329</f>
        <v>0</v>
      </c>
      <c r="BF1329" s="34" t="n">
        <f aca="false">BD1329*M1329</f>
        <v>62960.1</v>
      </c>
      <c r="BG1329" s="35" t="n">
        <f aca="false">BA1329-BF1329</f>
        <v>-0.100000000013097</v>
      </c>
      <c r="BH1329" s="19" t="str">
        <f aca="false">IF(BG1329=0,"",IF(BG1329&lt;&gt;BA1329,"erreur de calcul",IF(BD1329&lt;&gt;0,"pas de prix",IF(M1329&lt;&gt; 0,"pas de quantité","pas de prix, ni de quantité"))))</f>
        <v>erreur de calcul</v>
      </c>
      <c r="BI1329" s="19"/>
    </row>
    <row r="1330" customFormat="false" ht="15" hidden="false" customHeight="false" outlineLevel="0" collapsed="false">
      <c r="A1330" s="0" t="n">
        <v>29</v>
      </c>
      <c r="B1330" s="8" t="s">
        <v>24</v>
      </c>
      <c r="C1330" s="9" t="s">
        <v>25</v>
      </c>
      <c r="D1330" s="9" t="s">
        <v>26</v>
      </c>
      <c r="E1330" s="10" t="n">
        <v>1789</v>
      </c>
      <c r="F1330" s="9" t="s">
        <v>27</v>
      </c>
      <c r="G1330" s="9" t="s">
        <v>27</v>
      </c>
      <c r="H1330" s="11" t="n">
        <v>25</v>
      </c>
      <c r="I1330" s="11" t="s">
        <v>358</v>
      </c>
      <c r="J1330" s="14" t="n">
        <v>35</v>
      </c>
      <c r="K1330" s="14"/>
      <c r="L1330" s="16"/>
      <c r="M1330" s="27" t="n">
        <f aca="false">J1330+(K1330/20)+(L1330/240)</f>
        <v>35</v>
      </c>
      <c r="N1330" s="17" t="s">
        <v>64</v>
      </c>
      <c r="O1330" s="11"/>
      <c r="P1330" s="28"/>
      <c r="Q1330" s="28" t="n">
        <f aca="false">P1330*$M1330</f>
        <v>0</v>
      </c>
      <c r="R1330" s="28"/>
      <c r="S1330" s="28" t="n">
        <f aca="false">R1330*$M1330</f>
        <v>0</v>
      </c>
      <c r="T1330" s="28" t="n">
        <f aca="false">62095/100</f>
        <v>620.95</v>
      </c>
      <c r="U1330" s="28" t="n">
        <v>21733</v>
      </c>
      <c r="V1330" s="28" t="n">
        <f aca="false">257918/100</f>
        <v>2579.18</v>
      </c>
      <c r="W1330" s="28" t="n">
        <v>90271</v>
      </c>
      <c r="X1330" s="28" t="n">
        <f aca="false">10723/100</f>
        <v>107.23</v>
      </c>
      <c r="Y1330" s="28" t="n">
        <v>3753</v>
      </c>
      <c r="Z1330" s="28" t="n">
        <f aca="false">21191/100</f>
        <v>211.91</v>
      </c>
      <c r="AA1330" s="28" t="n">
        <v>7417</v>
      </c>
      <c r="AB1330" s="28" t="n">
        <f aca="false">308781/100</f>
        <v>3087.81</v>
      </c>
      <c r="AC1330" s="28" t="n">
        <v>108073</v>
      </c>
      <c r="AD1330" s="28"/>
      <c r="AE1330" s="28" t="n">
        <f aca="false">AD1330*$M1330</f>
        <v>0</v>
      </c>
      <c r="AF1330" s="28" t="n">
        <f aca="false">5225/100</f>
        <v>52.25</v>
      </c>
      <c r="AG1330" s="28" t="n">
        <v>1829</v>
      </c>
      <c r="AH1330" s="28"/>
      <c r="AI1330" s="28" t="n">
        <f aca="false">AH1330*$M1330</f>
        <v>0</v>
      </c>
      <c r="AJ1330" s="28"/>
      <c r="AK1330" s="28" t="n">
        <f aca="false">AJ1330*$M1330</f>
        <v>0</v>
      </c>
      <c r="AL1330" s="28"/>
      <c r="AM1330" s="28" t="n">
        <f aca="false">AL1330*$M1330</f>
        <v>0</v>
      </c>
      <c r="AN1330" s="28"/>
      <c r="AO1330" s="28" t="n">
        <f aca="false">AN1330*$M1330</f>
        <v>0</v>
      </c>
      <c r="AP1330" s="28"/>
      <c r="AQ1330" s="28" t="n">
        <f aca="false">AP1330*$M1330</f>
        <v>0</v>
      </c>
      <c r="AR1330" s="28"/>
      <c r="AS1330" s="28" t="n">
        <f aca="false">AR1330*$M1330</f>
        <v>0</v>
      </c>
      <c r="AT1330" s="28"/>
      <c r="AU1330" s="28" t="n">
        <f aca="false">AT1330*$M1330</f>
        <v>0</v>
      </c>
      <c r="AV1330" s="28"/>
      <c r="AW1330" s="28" t="n">
        <f aca="false">AV1330*$M1330</f>
        <v>0</v>
      </c>
      <c r="AX1330" s="28"/>
      <c r="AY1330" s="28" t="n">
        <f aca="false">AX1330*$M1330</f>
        <v>0</v>
      </c>
      <c r="AZ1330" s="30" t="n">
        <f aca="false">665933/100</f>
        <v>6659.33</v>
      </c>
      <c r="BA1330" s="11" t="n">
        <v>233076</v>
      </c>
      <c r="BB1330" s="31" t="n">
        <f aca="false">SUM(Q1330,S1330,U1330,W1330,Y1330,AA1330,AC1330,AE1330,AG1330,AI1330,AK1330,AM1330,AO1330,AQ1330,AS1330,AU1330,AW1330,AY1330)</f>
        <v>233076</v>
      </c>
      <c r="BC1330" s="28" t="n">
        <f aca="false">BA1330-BB1330</f>
        <v>0</v>
      </c>
      <c r="BD1330" s="32" t="n">
        <f aca="false">SUM(P1330,R1330,T1330,V1330,X1330,Z1330,AB1330,AD1330,AF1330,AH1330,AJ1330,AL1330,AN1330,AP1330,AR1330,AT1330,AV1330,AX1330)</f>
        <v>6659.33</v>
      </c>
      <c r="BE1330" s="33" t="n">
        <f aca="false">AZ1330-BD1330</f>
        <v>0</v>
      </c>
      <c r="BF1330" s="34" t="n">
        <f aca="false">BD1330*M1330</f>
        <v>233076.55</v>
      </c>
      <c r="BG1330" s="35" t="n">
        <f aca="false">BA1330-BF1330</f>
        <v>-0.549999999959255</v>
      </c>
      <c r="BH1330" s="19" t="str">
        <f aca="false">IF(BG1330=0,"",IF(BG1330&lt;&gt;BA1330,"erreur de calcul",IF(BD1330&lt;&gt;0,"pas de prix",IF(M1330&lt;&gt; 0,"pas de quantité","pas de prix, ni de quantité"))))</f>
        <v>erreur de calcul</v>
      </c>
      <c r="BI1330" s="19"/>
    </row>
    <row r="1331" customFormat="false" ht="15" hidden="false" customHeight="false" outlineLevel="0" collapsed="false">
      <c r="A1331" s="0" t="n">
        <v>30</v>
      </c>
      <c r="B1331" s="8" t="s">
        <v>24</v>
      </c>
      <c r="C1331" s="9" t="s">
        <v>25</v>
      </c>
      <c r="D1331" s="9" t="s">
        <v>26</v>
      </c>
      <c r="E1331" s="10" t="n">
        <v>1789</v>
      </c>
      <c r="F1331" s="9" t="s">
        <v>27</v>
      </c>
      <c r="G1331" s="9" t="s">
        <v>27</v>
      </c>
      <c r="H1331" s="11" t="n">
        <v>25</v>
      </c>
      <c r="I1331" s="11" t="s">
        <v>359</v>
      </c>
      <c r="J1331" s="14"/>
      <c r="K1331" s="14"/>
      <c r="L1331" s="16"/>
      <c r="M1331" s="27" t="n">
        <f aca="false">J1331+(K1331/20)+(L1331/240)</f>
        <v>0</v>
      </c>
      <c r="N1331" s="17"/>
      <c r="O1331" s="11" t="s">
        <v>109</v>
      </c>
      <c r="P1331" s="28"/>
      <c r="Q1331" s="28" t="n">
        <f aca="false">P1331*$M1331</f>
        <v>0</v>
      </c>
      <c r="R1331" s="28"/>
      <c r="S1331" s="28" t="n">
        <f aca="false">R1331*$M1331</f>
        <v>0</v>
      </c>
      <c r="T1331" s="28"/>
      <c r="U1331" s="28" t="n">
        <f aca="false">T1331*$M1331</f>
        <v>0</v>
      </c>
      <c r="V1331" s="28"/>
      <c r="W1331" s="28" t="n">
        <f aca="false">V1331*$M1331</f>
        <v>0</v>
      </c>
      <c r="X1331" s="28"/>
      <c r="Y1331" s="28" t="n">
        <f aca="false">X1331*$M1331</f>
        <v>0</v>
      </c>
      <c r="Z1331" s="28"/>
      <c r="AA1331" s="28" t="n">
        <f aca="false">Z1331*$M1331</f>
        <v>0</v>
      </c>
      <c r="AB1331" s="28"/>
      <c r="AC1331" s="28" t="n">
        <f aca="false">AB1331*$M1331</f>
        <v>0</v>
      </c>
      <c r="AD1331" s="28"/>
      <c r="AE1331" s="28" t="n">
        <f aca="false">AD1331*$M1331</f>
        <v>0</v>
      </c>
      <c r="AF1331" s="28"/>
      <c r="AG1331" s="28" t="n">
        <f aca="false">AF1331*$M1331</f>
        <v>0</v>
      </c>
      <c r="AH1331" s="28"/>
      <c r="AI1331" s="28" t="n">
        <f aca="false">AH1331*$M1331</f>
        <v>0</v>
      </c>
      <c r="AJ1331" s="28"/>
      <c r="AK1331" s="28" t="n">
        <f aca="false">AJ1331*$M1331</f>
        <v>0</v>
      </c>
      <c r="AL1331" s="28"/>
      <c r="AM1331" s="28" t="n">
        <f aca="false">AL1331*$M1331</f>
        <v>0</v>
      </c>
      <c r="AN1331" s="28"/>
      <c r="AO1331" s="28" t="n">
        <f aca="false">AN1331*$M1331</f>
        <v>0</v>
      </c>
      <c r="AP1331" s="28"/>
      <c r="AQ1331" s="28" t="n">
        <f aca="false">AP1331*$M1331</f>
        <v>0</v>
      </c>
      <c r="AR1331" s="28"/>
      <c r="AS1331" s="28" t="n">
        <f aca="false">AR1331*$M1331</f>
        <v>0</v>
      </c>
      <c r="AT1331" s="28"/>
      <c r="AU1331" s="28" t="n">
        <f aca="false">AT1331*$M1331</f>
        <v>0</v>
      </c>
      <c r="AV1331" s="28"/>
      <c r="AW1331" s="28" t="n">
        <f aca="false">AV1331*$M1331</f>
        <v>0</v>
      </c>
      <c r="AX1331" s="28"/>
      <c r="AY1331" s="28" t="n">
        <f aca="false">AX1331*$M1331</f>
        <v>0</v>
      </c>
      <c r="AZ1331" s="30"/>
      <c r="BA1331" s="11"/>
      <c r="BB1331" s="31" t="n">
        <f aca="false">SUM(Q1331,S1331,U1331,W1331,Y1331,AA1331,AC1331,AE1331,AG1331,AI1331,AK1331,AM1331,AO1331,AQ1331,AS1331,AU1331,AW1331,AY1331)</f>
        <v>0</v>
      </c>
      <c r="BC1331" s="28" t="n">
        <f aca="false">BA1331-BB1331</f>
        <v>0</v>
      </c>
      <c r="BD1331" s="32" t="n">
        <f aca="false">SUM(P1331,R1331,T1331,V1331,X1331,Z1331,AB1331,AD1331,AF1331,AH1331,AJ1331,AL1331,AN1331,AP1331,AR1331,AT1331,AV1331,AX1331)</f>
        <v>0</v>
      </c>
      <c r="BE1331" s="33" t="n">
        <f aca="false">AZ1331-BD1331</f>
        <v>0</v>
      </c>
      <c r="BF1331" s="34" t="n">
        <f aca="false">BD1331*M1331</f>
        <v>0</v>
      </c>
      <c r="BG1331" s="35" t="n">
        <f aca="false">BA1331-BF1331</f>
        <v>0</v>
      </c>
      <c r="BH1331" s="19" t="str">
        <f aca="false">IF(BG1331=0,"",IF(BG1331&lt;&gt;BA1331,"erreur de calcul",IF(BD1331&lt;&gt;0,"pas de prix",IF(M1331&lt;&gt; 0,"pas de quantité","pas de prix, ni de quantité"))))</f>
        <v/>
      </c>
      <c r="BI1331" s="19"/>
    </row>
    <row r="1332" customFormat="false" ht="15" hidden="false" customHeight="false" outlineLevel="0" collapsed="false">
      <c r="A1332" s="0" t="n">
        <v>31</v>
      </c>
      <c r="B1332" s="8" t="s">
        <v>24</v>
      </c>
      <c r="C1332" s="9" t="s">
        <v>25</v>
      </c>
      <c r="D1332" s="9" t="s">
        <v>26</v>
      </c>
      <c r="E1332" s="10" t="n">
        <v>1789</v>
      </c>
      <c r="F1332" s="9" t="s">
        <v>27</v>
      </c>
      <c r="G1332" s="9" t="s">
        <v>27</v>
      </c>
      <c r="H1332" s="11" t="n">
        <v>25</v>
      </c>
      <c r="I1332" s="11" t="s">
        <v>359</v>
      </c>
      <c r="J1332" s="14"/>
      <c r="K1332" s="14"/>
      <c r="L1332" s="16"/>
      <c r="M1332" s="27" t="n">
        <f aca="false">J1332+(K1332/20)+(L1332/240)</f>
        <v>0</v>
      </c>
      <c r="N1332" s="17"/>
      <c r="O1332" s="11" t="s">
        <v>277</v>
      </c>
      <c r="P1332" s="28"/>
      <c r="Q1332" s="28" t="n">
        <f aca="false">P1332*$M1332</f>
        <v>0</v>
      </c>
      <c r="R1332" s="28"/>
      <c r="S1332" s="28" t="n">
        <f aca="false">R1332*$M1332</f>
        <v>0</v>
      </c>
      <c r="T1332" s="28"/>
      <c r="U1332" s="28" t="n">
        <f aca="false">T1332*$M1332</f>
        <v>0</v>
      </c>
      <c r="V1332" s="28"/>
      <c r="W1332" s="28" t="n">
        <f aca="false">V1332*$M1332</f>
        <v>0</v>
      </c>
      <c r="X1332" s="28"/>
      <c r="Y1332" s="28" t="n">
        <v>1361</v>
      </c>
      <c r="Z1332" s="28"/>
      <c r="AA1332" s="28" t="n">
        <f aca="false">Z1332*$M1332</f>
        <v>0</v>
      </c>
      <c r="AB1332" s="28"/>
      <c r="AC1332" s="28" t="n">
        <v>1182</v>
      </c>
      <c r="AD1332" s="28"/>
      <c r="AE1332" s="28" t="n">
        <v>649</v>
      </c>
      <c r="AF1332" s="28"/>
      <c r="AG1332" s="28" t="n">
        <f aca="false">AF1332*$M1332</f>
        <v>0</v>
      </c>
      <c r="AH1332" s="28"/>
      <c r="AI1332" s="28" t="n">
        <v>862</v>
      </c>
      <c r="AJ1332" s="28"/>
      <c r="AK1332" s="28" t="n">
        <f aca="false">AJ1332*$M1332</f>
        <v>0</v>
      </c>
      <c r="AL1332" s="28"/>
      <c r="AM1332" s="28" t="n">
        <f aca="false">AL1332*$M1332</f>
        <v>0</v>
      </c>
      <c r="AN1332" s="28"/>
      <c r="AO1332" s="28" t="n">
        <f aca="false">AN1332*$M1332</f>
        <v>0</v>
      </c>
      <c r="AP1332" s="28"/>
      <c r="AQ1332" s="28" t="n">
        <f aca="false">AP1332*$M1332</f>
        <v>0</v>
      </c>
      <c r="AR1332" s="28"/>
      <c r="AS1332" s="28" t="n">
        <f aca="false">AR1332*$M1332</f>
        <v>0</v>
      </c>
      <c r="AT1332" s="28"/>
      <c r="AU1332" s="28" t="n">
        <f aca="false">AT1332*$M1332</f>
        <v>0</v>
      </c>
      <c r="AV1332" s="28"/>
      <c r="AW1332" s="28" t="n">
        <f aca="false">AV1332*$M1332</f>
        <v>0</v>
      </c>
      <c r="AX1332" s="28"/>
      <c r="AY1332" s="28" t="n">
        <f aca="false">AX1332*$M1332</f>
        <v>0</v>
      </c>
      <c r="AZ1332" s="30"/>
      <c r="BA1332" s="11" t="n">
        <v>4054</v>
      </c>
      <c r="BB1332" s="31" t="n">
        <f aca="false">SUM(Q1332,S1332,U1332,W1332,Y1332,AA1332,AC1332,AE1332,AG1332,AI1332,AK1332,AM1332,AO1332,AQ1332,AS1332,AU1332,AW1332,AY1332)</f>
        <v>4054</v>
      </c>
      <c r="BC1332" s="28" t="n">
        <f aca="false">BA1332-BB1332</f>
        <v>0</v>
      </c>
      <c r="BD1332" s="32" t="n">
        <f aca="false">SUM(P1332,R1332,T1332,V1332,X1332,Z1332,AB1332,AD1332,AF1332,AH1332,AJ1332,AL1332,AN1332,AP1332,AR1332,AT1332,AV1332,AX1332)</f>
        <v>0</v>
      </c>
      <c r="BE1332" s="33" t="n">
        <f aca="false">AZ1332-BD1332</f>
        <v>0</v>
      </c>
      <c r="BF1332" s="34" t="n">
        <f aca="false">BD1332*M1332</f>
        <v>0</v>
      </c>
      <c r="BG1332" s="35" t="n">
        <f aca="false">BA1332-BF1332</f>
        <v>4054</v>
      </c>
      <c r="BH1332" s="19" t="str">
        <f aca="false">IF(BG1332=0,"",IF(BG1332&lt;&gt;BA1332,"erreur de calcul",IF(BD1332&lt;&gt;0,"pas de prix",IF(M1332&lt;&gt; 0,"pas de quantité","pas de prix, ni de quantité"))))</f>
        <v>pas de prix, ni de quantité</v>
      </c>
      <c r="BI1332" s="19"/>
    </row>
    <row r="1333" customFormat="false" ht="15" hidden="false" customHeight="false" outlineLevel="0" collapsed="false">
      <c r="A1333" s="0" t="n">
        <v>32</v>
      </c>
      <c r="B1333" s="8" t="s">
        <v>24</v>
      </c>
      <c r="C1333" s="9" t="s">
        <v>25</v>
      </c>
      <c r="D1333" s="9" t="s">
        <v>26</v>
      </c>
      <c r="E1333" s="10" t="n">
        <v>1789</v>
      </c>
      <c r="F1333" s="9" t="s">
        <v>27</v>
      </c>
      <c r="G1333" s="9" t="s">
        <v>27</v>
      </c>
      <c r="H1333" s="11" t="n">
        <v>25</v>
      </c>
      <c r="I1333" s="11" t="s">
        <v>360</v>
      </c>
      <c r="J1333" s="14" t="n">
        <v>66</v>
      </c>
      <c r="K1333" s="14"/>
      <c r="L1333" s="16"/>
      <c r="M1333" s="27" t="n">
        <f aca="false">J1333+(K1333/20)+(L1333/240)</f>
        <v>66</v>
      </c>
      <c r="N1333" s="17" t="s">
        <v>64</v>
      </c>
      <c r="O1333" s="11"/>
      <c r="P1333" s="28"/>
      <c r="Q1333" s="28" t="n">
        <f aca="false">P1333*$M1333</f>
        <v>0</v>
      </c>
      <c r="R1333" s="28"/>
      <c r="S1333" s="28" t="n">
        <f aca="false">R1333*$M1333</f>
        <v>0</v>
      </c>
      <c r="T1333" s="28"/>
      <c r="U1333" s="28" t="n">
        <f aca="false">T1333*$M1333</f>
        <v>0</v>
      </c>
      <c r="V1333" s="28"/>
      <c r="W1333" s="28" t="n">
        <f aca="false">V1333*$M1333</f>
        <v>0</v>
      </c>
      <c r="X1333" s="28"/>
      <c r="Y1333" s="28" t="n">
        <f aca="false">X1333*$M1333</f>
        <v>0</v>
      </c>
      <c r="Z1333" s="28"/>
      <c r="AA1333" s="28" t="n">
        <f aca="false">Z1333*$M1333</f>
        <v>0</v>
      </c>
      <c r="AB1333" s="28"/>
      <c r="AC1333" s="28" t="n">
        <f aca="false">AB1333*$M1333</f>
        <v>0</v>
      </c>
      <c r="AD1333" s="28"/>
      <c r="AE1333" s="28" t="n">
        <f aca="false">AD1333*$M1333</f>
        <v>0</v>
      </c>
      <c r="AF1333" s="28"/>
      <c r="AG1333" s="28" t="n">
        <f aca="false">AF1333*$M1333</f>
        <v>0</v>
      </c>
      <c r="AH1333" s="28" t="n">
        <f aca="false">75475/100</f>
        <v>754.75</v>
      </c>
      <c r="AI1333" s="28" t="n">
        <v>49813</v>
      </c>
      <c r="AJ1333" s="28"/>
      <c r="AK1333" s="28" t="n">
        <f aca="false">AJ1333*$M1333</f>
        <v>0</v>
      </c>
      <c r="AL1333" s="28"/>
      <c r="AM1333" s="28" t="n">
        <f aca="false">AL1333*$M1333</f>
        <v>0</v>
      </c>
      <c r="AN1333" s="28"/>
      <c r="AO1333" s="28" t="n">
        <f aca="false">AN1333*$M1333</f>
        <v>0</v>
      </c>
      <c r="AP1333" s="28"/>
      <c r="AQ1333" s="28" t="n">
        <f aca="false">AP1333*$M1333</f>
        <v>0</v>
      </c>
      <c r="AR1333" s="28"/>
      <c r="AS1333" s="28" t="n">
        <f aca="false">AR1333*$M1333</f>
        <v>0</v>
      </c>
      <c r="AT1333" s="28"/>
      <c r="AU1333" s="28" t="n">
        <f aca="false">AT1333*$M1333</f>
        <v>0</v>
      </c>
      <c r="AV1333" s="28"/>
      <c r="AW1333" s="28" t="n">
        <f aca="false">AV1333*$M1333</f>
        <v>0</v>
      </c>
      <c r="AX1333" s="28"/>
      <c r="AY1333" s="28" t="n">
        <f aca="false">AX1333*$M1333</f>
        <v>0</v>
      </c>
      <c r="AZ1333" s="30" t="n">
        <f aca="false">75475/100</f>
        <v>754.75</v>
      </c>
      <c r="BA1333" s="11" t="n">
        <v>49813</v>
      </c>
      <c r="BB1333" s="31" t="n">
        <f aca="false">SUM(Q1333,S1333,U1333,W1333,Y1333,AA1333,AC1333,AE1333,AG1333,AI1333,AK1333,AM1333,AO1333,AQ1333,AS1333,AU1333,AW1333,AY1333)</f>
        <v>49813</v>
      </c>
      <c r="BC1333" s="28" t="n">
        <f aca="false">BA1333-BB1333</f>
        <v>0</v>
      </c>
      <c r="BD1333" s="32" t="n">
        <f aca="false">SUM(P1333,R1333,T1333,V1333,X1333,Z1333,AB1333,AD1333,AF1333,AH1333,AJ1333,AL1333,AN1333,AP1333,AR1333,AT1333,AV1333,AX1333)</f>
        <v>754.75</v>
      </c>
      <c r="BE1333" s="33" t="n">
        <f aca="false">AZ1333-BD1333</f>
        <v>0</v>
      </c>
      <c r="BF1333" s="34" t="n">
        <f aca="false">BD1333*M1333</f>
        <v>49813.5</v>
      </c>
      <c r="BG1333" s="35" t="n">
        <f aca="false">BA1333-BF1333</f>
        <v>-0.5</v>
      </c>
      <c r="BH1333" s="19" t="str">
        <f aca="false">IF(BG1333=0,"",IF(BG1333&lt;&gt;BA1333,"erreur de calcul",IF(BD1333&lt;&gt;0,"pas de prix",IF(M1333&lt;&gt; 0,"pas de quantité","pas de prix, ni de quantité"))))</f>
        <v>erreur de calcul</v>
      </c>
      <c r="BI1333" s="19"/>
    </row>
    <row r="1334" customFormat="false" ht="15" hidden="false" customHeight="false" outlineLevel="0" collapsed="false">
      <c r="A1334" s="0" t="n">
        <v>33</v>
      </c>
      <c r="B1334" s="8" t="s">
        <v>24</v>
      </c>
      <c r="C1334" s="9" t="s">
        <v>25</v>
      </c>
      <c r="D1334" s="9" t="s">
        <v>26</v>
      </c>
      <c r="E1334" s="10" t="n">
        <v>1789</v>
      </c>
      <c r="F1334" s="9" t="s">
        <v>27</v>
      </c>
      <c r="G1334" s="9" t="s">
        <v>27</v>
      </c>
      <c r="H1334" s="11" t="n">
        <v>25</v>
      </c>
      <c r="I1334" s="11" t="s">
        <v>361</v>
      </c>
      <c r="J1334" s="14" t="n">
        <v>175</v>
      </c>
      <c r="K1334" s="14"/>
      <c r="L1334" s="16"/>
      <c r="M1334" s="27" t="n">
        <f aca="false">J1334+(K1334/20)+(L1334/240)</f>
        <v>175</v>
      </c>
      <c r="N1334" s="17" t="s">
        <v>64</v>
      </c>
      <c r="O1334" s="11" t="s">
        <v>77</v>
      </c>
      <c r="P1334" s="28" t="n">
        <f aca="false">1514/100</f>
        <v>15.14</v>
      </c>
      <c r="Q1334" s="28" t="n">
        <v>2649</v>
      </c>
      <c r="R1334" s="28"/>
      <c r="S1334" s="28" t="n">
        <f aca="false">R1334*$M1334</f>
        <v>0</v>
      </c>
      <c r="T1334" s="28" t="n">
        <f aca="false">170926/100</f>
        <v>1709.26</v>
      </c>
      <c r="U1334" s="28" t="n">
        <v>299120</v>
      </c>
      <c r="V1334" s="28" t="n">
        <f aca="false">16985/100</f>
        <v>169.85</v>
      </c>
      <c r="W1334" s="28" t="n">
        <v>29724</v>
      </c>
      <c r="X1334" s="28" t="n">
        <f aca="false">4530/100</f>
        <v>45.3</v>
      </c>
      <c r="Y1334" s="28" t="n">
        <v>7927</v>
      </c>
      <c r="Z1334" s="28"/>
      <c r="AA1334" s="28" t="n">
        <f aca="false">Z1334*$M1334</f>
        <v>0</v>
      </c>
      <c r="AB1334" s="28" t="n">
        <f aca="false">33770/100</f>
        <v>337.7</v>
      </c>
      <c r="AC1334" s="28" t="n">
        <v>59097</v>
      </c>
      <c r="AD1334" s="28"/>
      <c r="AE1334" s="28" t="n">
        <f aca="false">AD1334*$M1334</f>
        <v>0</v>
      </c>
      <c r="AF1334" s="28" t="n">
        <f aca="false">4712/100</f>
        <v>47.12</v>
      </c>
      <c r="AG1334" s="28" t="n">
        <v>8246</v>
      </c>
      <c r="AH1334" s="28" t="n">
        <f aca="false">55822/100</f>
        <v>558.22</v>
      </c>
      <c r="AI1334" s="28" t="n">
        <v>97688</v>
      </c>
      <c r="AJ1334" s="28"/>
      <c r="AK1334" s="28" t="n">
        <f aca="false">AJ1334*$M1334</f>
        <v>0</v>
      </c>
      <c r="AL1334" s="28"/>
      <c r="AM1334" s="28" t="n">
        <f aca="false">AL1334*$M1334</f>
        <v>0</v>
      </c>
      <c r="AN1334" s="28"/>
      <c r="AO1334" s="28" t="n">
        <f aca="false">AN1334*$M1334</f>
        <v>0</v>
      </c>
      <c r="AP1334" s="28"/>
      <c r="AQ1334" s="28" t="n">
        <f aca="false">AP1334*$M1334</f>
        <v>0</v>
      </c>
      <c r="AR1334" s="28"/>
      <c r="AS1334" s="28" t="n">
        <f aca="false">AR1334*$M1334</f>
        <v>0</v>
      </c>
      <c r="AT1334" s="28"/>
      <c r="AU1334" s="28" t="n">
        <f aca="false">AT1334*$M1334</f>
        <v>0</v>
      </c>
      <c r="AV1334" s="28"/>
      <c r="AW1334" s="28" t="n">
        <f aca="false">AV1334*$M1334</f>
        <v>0</v>
      </c>
      <c r="AX1334" s="28"/>
      <c r="AY1334" s="28" t="n">
        <f aca="false">AX1334*$M1334</f>
        <v>0</v>
      </c>
      <c r="AZ1334" s="30" t="n">
        <f aca="false">288259/100</f>
        <v>2882.59</v>
      </c>
      <c r="BA1334" s="11" t="n">
        <v>504451</v>
      </c>
      <c r="BB1334" s="31" t="n">
        <f aca="false">SUM(Q1334,S1334,U1334,W1334,Y1334,AA1334,AC1334,AE1334,AG1334,AI1334,AK1334,AM1334,AO1334,AQ1334,AS1334,AU1334,AW1334,AY1334)</f>
        <v>504451</v>
      </c>
      <c r="BC1334" s="28" t="n">
        <f aca="false">BA1334-BB1334</f>
        <v>0</v>
      </c>
      <c r="BD1334" s="32" t="n">
        <f aca="false">SUM(P1334,R1334,T1334,V1334,X1334,Z1334,AB1334,AD1334,AF1334,AH1334,AJ1334,AL1334,AN1334,AP1334,AR1334,AT1334,AV1334,AX1334)</f>
        <v>2882.59</v>
      </c>
      <c r="BE1334" s="33" t="n">
        <f aca="false">AZ1334-BD1334</f>
        <v>0</v>
      </c>
      <c r="BF1334" s="34" t="n">
        <f aca="false">BD1334*M1334</f>
        <v>504453.25</v>
      </c>
      <c r="BG1334" s="35" t="n">
        <f aca="false">BA1334-BF1334</f>
        <v>-2.24999999994179</v>
      </c>
      <c r="BH1334" s="19" t="str">
        <f aca="false">IF(BG1334=0,"",IF(BG1334&lt;&gt;BA1334,"erreur de calcul",IF(BD1334&lt;&gt;0,"pas de prix",IF(M1334&lt;&gt; 0,"pas de quantité","pas de prix, ni de quantité"))))</f>
        <v>erreur de calcul</v>
      </c>
      <c r="BI1334" s="19"/>
    </row>
    <row r="1335" customFormat="false" ht="15" hidden="false" customHeight="false" outlineLevel="0" collapsed="false">
      <c r="A1335" s="0" t="n">
        <v>34</v>
      </c>
      <c r="B1335" s="8" t="s">
        <v>24</v>
      </c>
      <c r="C1335" s="9" t="s">
        <v>25</v>
      </c>
      <c r="D1335" s="9" t="s">
        <v>26</v>
      </c>
      <c r="E1335" s="10" t="n">
        <v>1789</v>
      </c>
      <c r="F1335" s="9" t="s">
        <v>27</v>
      </c>
      <c r="G1335" s="9" t="s">
        <v>27</v>
      </c>
      <c r="H1335" s="11" t="n">
        <v>25</v>
      </c>
      <c r="I1335" s="11" t="s">
        <v>362</v>
      </c>
      <c r="J1335" s="14" t="n">
        <v>150</v>
      </c>
      <c r="K1335" s="14"/>
      <c r="L1335" s="16"/>
      <c r="M1335" s="27" t="n">
        <f aca="false">J1335+(K1335/20)+(L1335/240)</f>
        <v>150</v>
      </c>
      <c r="N1335" s="17" t="s">
        <v>64</v>
      </c>
      <c r="O1335" s="11"/>
      <c r="P1335" s="28"/>
      <c r="Q1335" s="28" t="n">
        <f aca="false">P1335*$M1335</f>
        <v>0</v>
      </c>
      <c r="R1335" s="28"/>
      <c r="S1335" s="28" t="n">
        <f aca="false">R1335*$M1335</f>
        <v>0</v>
      </c>
      <c r="T1335" s="28" t="n">
        <f aca="false">1842/100</f>
        <v>18.42</v>
      </c>
      <c r="U1335" s="28" t="n">
        <v>2763</v>
      </c>
      <c r="V1335" s="28" t="n">
        <f aca="false">684/100</f>
        <v>6.84</v>
      </c>
      <c r="W1335" s="28" t="n">
        <v>1026</v>
      </c>
      <c r="X1335" s="28"/>
      <c r="Y1335" s="28" t="n">
        <f aca="false">X1335*$M1335</f>
        <v>0</v>
      </c>
      <c r="Z1335" s="28"/>
      <c r="AA1335" s="28" t="n">
        <f aca="false">Z1335*$M1335</f>
        <v>0</v>
      </c>
      <c r="AB1335" s="28"/>
      <c r="AC1335" s="28" t="n">
        <f aca="false">AB1335*$M1335</f>
        <v>0</v>
      </c>
      <c r="AD1335" s="28"/>
      <c r="AE1335" s="28" t="n">
        <f aca="false">AD1335*$M1335</f>
        <v>0</v>
      </c>
      <c r="AF1335" s="28"/>
      <c r="AG1335" s="28" t="n">
        <f aca="false">AF1335*$M1335</f>
        <v>0</v>
      </c>
      <c r="AH1335" s="28"/>
      <c r="AI1335" s="28" t="n">
        <f aca="false">AH1335*$M1335</f>
        <v>0</v>
      </c>
      <c r="AJ1335" s="28"/>
      <c r="AK1335" s="28" t="n">
        <f aca="false">AJ1335*$M1335</f>
        <v>0</v>
      </c>
      <c r="AL1335" s="28"/>
      <c r="AM1335" s="28" t="n">
        <f aca="false">AL1335*$M1335</f>
        <v>0</v>
      </c>
      <c r="AN1335" s="28"/>
      <c r="AO1335" s="28" t="n">
        <f aca="false">AN1335*$M1335</f>
        <v>0</v>
      </c>
      <c r="AP1335" s="28"/>
      <c r="AQ1335" s="28" t="n">
        <f aca="false">AP1335*$M1335</f>
        <v>0</v>
      </c>
      <c r="AR1335" s="28"/>
      <c r="AS1335" s="28" t="n">
        <f aca="false">AR1335*$M1335</f>
        <v>0</v>
      </c>
      <c r="AT1335" s="28"/>
      <c r="AU1335" s="28" t="n">
        <f aca="false">AT1335*$M1335</f>
        <v>0</v>
      </c>
      <c r="AV1335" s="28"/>
      <c r="AW1335" s="28" t="n">
        <f aca="false">AV1335*$M1335</f>
        <v>0</v>
      </c>
      <c r="AX1335" s="28"/>
      <c r="AY1335" s="28" t="n">
        <f aca="false">AX1335*$M1335</f>
        <v>0</v>
      </c>
      <c r="AZ1335" s="30" t="n">
        <f aca="false">2526/100</f>
        <v>25.26</v>
      </c>
      <c r="BA1335" s="11" t="n">
        <v>3789</v>
      </c>
      <c r="BB1335" s="31" t="n">
        <f aca="false">SUM(Q1335,S1335,U1335,W1335,Y1335,AA1335,AC1335,AE1335,AG1335,AI1335,AK1335,AM1335,AO1335,AQ1335,AS1335,AU1335,AW1335,AY1335)</f>
        <v>3789</v>
      </c>
      <c r="BC1335" s="28" t="n">
        <f aca="false">BA1335-BB1335</f>
        <v>0</v>
      </c>
      <c r="BD1335" s="32" t="n">
        <f aca="false">SUM(P1335,R1335,T1335,V1335,X1335,Z1335,AB1335,AD1335,AF1335,AH1335,AJ1335,AL1335,AN1335,AP1335,AR1335,AT1335,AV1335,AX1335)</f>
        <v>25.26</v>
      </c>
      <c r="BE1335" s="33" t="n">
        <f aca="false">AZ1335-BD1335</f>
        <v>0</v>
      </c>
      <c r="BF1335" s="34" t="n">
        <f aca="false">BD1335*M1335</f>
        <v>3789</v>
      </c>
      <c r="BG1335" s="35" t="n">
        <f aca="false">BA1335-BF1335</f>
        <v>0</v>
      </c>
      <c r="BH1335" s="19" t="str">
        <f aca="false">IF(BG1335=0,"",IF(BG1335&lt;&gt;BA1335,"erreur de calcul",IF(BD1335&lt;&gt;0,"pas de prix",IF(M1335&lt;&gt; 0,"pas de quantité","pas de prix, ni de quantité"))))</f>
        <v/>
      </c>
      <c r="BI1335" s="19"/>
    </row>
    <row r="1336" customFormat="false" ht="15" hidden="false" customHeight="false" outlineLevel="0" collapsed="false">
      <c r="A1336" s="0" t="n">
        <v>35</v>
      </c>
      <c r="B1336" s="8" t="s">
        <v>24</v>
      </c>
      <c r="C1336" s="9" t="s">
        <v>25</v>
      </c>
      <c r="D1336" s="9" t="s">
        <v>26</v>
      </c>
      <c r="E1336" s="10" t="n">
        <v>1789</v>
      </c>
      <c r="F1336" s="9" t="s">
        <v>27</v>
      </c>
      <c r="G1336" s="9" t="s">
        <v>27</v>
      </c>
      <c r="H1336" s="11" t="n">
        <v>25</v>
      </c>
      <c r="I1336" s="11" t="s">
        <v>363</v>
      </c>
      <c r="J1336" s="14" t="n">
        <v>150</v>
      </c>
      <c r="K1336" s="14"/>
      <c r="L1336" s="16"/>
      <c r="M1336" s="27" t="n">
        <f aca="false">J1336+(K1336/20)+(L1336/240)</f>
        <v>150</v>
      </c>
      <c r="N1336" s="17" t="s">
        <v>64</v>
      </c>
      <c r="O1336" s="11" t="s">
        <v>77</v>
      </c>
      <c r="P1336" s="28"/>
      <c r="Q1336" s="28" t="n">
        <f aca="false">P1336*$M1336</f>
        <v>0</v>
      </c>
      <c r="R1336" s="28"/>
      <c r="S1336" s="28" t="n">
        <f aca="false">R1336*$M1336</f>
        <v>0</v>
      </c>
      <c r="T1336" s="28"/>
      <c r="U1336" s="28" t="n">
        <f aca="false">T1336*$M1336</f>
        <v>0</v>
      </c>
      <c r="V1336" s="28" t="n">
        <f aca="false">1501/100</f>
        <v>15.01</v>
      </c>
      <c r="W1336" s="28" t="n">
        <v>2251</v>
      </c>
      <c r="X1336" s="28"/>
      <c r="Y1336" s="28" t="n">
        <f aca="false">X1336*$M1336</f>
        <v>0</v>
      </c>
      <c r="Z1336" s="28" t="n">
        <f aca="false">6420/100</f>
        <v>64.2</v>
      </c>
      <c r="AA1336" s="28" t="n">
        <v>9630</v>
      </c>
      <c r="AB1336" s="28"/>
      <c r="AC1336" s="28" t="n">
        <f aca="false">AB1336*$M1336</f>
        <v>0</v>
      </c>
      <c r="AD1336" s="28"/>
      <c r="AE1336" s="28" t="n">
        <f aca="false">AD1336*$M1336</f>
        <v>0</v>
      </c>
      <c r="AF1336" s="28"/>
      <c r="AG1336" s="28" t="n">
        <f aca="false">AF1336*$M1336</f>
        <v>0</v>
      </c>
      <c r="AH1336" s="28" t="n">
        <f aca="false">138039/100</f>
        <v>1380.39</v>
      </c>
      <c r="AI1336" s="28" t="n">
        <v>207058</v>
      </c>
      <c r="AJ1336" s="28"/>
      <c r="AK1336" s="28" t="n">
        <f aca="false">AJ1336*$M1336</f>
        <v>0</v>
      </c>
      <c r="AL1336" s="28" t="n">
        <f aca="false">917/100</f>
        <v>9.17</v>
      </c>
      <c r="AM1336" s="28" t="n">
        <v>1375</v>
      </c>
      <c r="AN1336" s="28"/>
      <c r="AO1336" s="28" t="n">
        <f aca="false">AN1336*$M1336</f>
        <v>0</v>
      </c>
      <c r="AP1336" s="28"/>
      <c r="AQ1336" s="28" t="n">
        <f aca="false">AP1336*$M1336</f>
        <v>0</v>
      </c>
      <c r="AR1336" s="28"/>
      <c r="AS1336" s="28" t="n">
        <f aca="false">AR1336*$M1336</f>
        <v>0</v>
      </c>
      <c r="AT1336" s="28"/>
      <c r="AU1336" s="28" t="n">
        <f aca="false">AT1336*$M1336</f>
        <v>0</v>
      </c>
      <c r="AV1336" s="28"/>
      <c r="AW1336" s="28" t="n">
        <f aca="false">AV1336*$M1336</f>
        <v>0</v>
      </c>
      <c r="AX1336" s="28"/>
      <c r="AY1336" s="28" t="n">
        <f aca="false">AX1336*$M1336</f>
        <v>0</v>
      </c>
      <c r="AZ1336" s="30" t="n">
        <f aca="false">146877/100</f>
        <v>1468.77</v>
      </c>
      <c r="BA1336" s="11" t="n">
        <v>220314</v>
      </c>
      <c r="BB1336" s="31" t="n">
        <f aca="false">SUM(Q1336,S1336,U1336,W1336,Y1336,AA1336,AC1336,AE1336,AG1336,AI1336,AK1336,AM1336,AO1336,AQ1336,AS1336,AU1336,AW1336,AY1336)</f>
        <v>220314</v>
      </c>
      <c r="BC1336" s="28" t="n">
        <f aca="false">BA1336-BB1336</f>
        <v>0</v>
      </c>
      <c r="BD1336" s="32" t="n">
        <f aca="false">SUM(P1336,R1336,T1336,V1336,X1336,Z1336,AB1336,AD1336,AF1336,AH1336,AJ1336,AL1336,AN1336,AP1336,AR1336,AT1336,AV1336,AX1336)</f>
        <v>1468.77</v>
      </c>
      <c r="BE1336" s="33" t="n">
        <f aca="false">AZ1336-BD1336</f>
        <v>0</v>
      </c>
      <c r="BF1336" s="34" t="n">
        <f aca="false">BD1336*M1336</f>
        <v>220315.5</v>
      </c>
      <c r="BG1336" s="35" t="n">
        <f aca="false">BA1336-BF1336</f>
        <v>-1.5000000000291</v>
      </c>
      <c r="BH1336" s="19" t="str">
        <f aca="false">IF(BG1336=0,"",IF(BG1336&lt;&gt;BA1336,"erreur de calcul",IF(BD1336&lt;&gt;0,"pas de prix",IF(M1336&lt;&gt; 0,"pas de quantité","pas de prix, ni de quantité"))))</f>
        <v>erreur de calcul</v>
      </c>
      <c r="BI1336" s="19"/>
    </row>
    <row r="1337" customFormat="false" ht="15" hidden="false" customHeight="false" outlineLevel="0" collapsed="false">
      <c r="A1337" s="0" t="n">
        <v>36</v>
      </c>
      <c r="B1337" s="8" t="s">
        <v>24</v>
      </c>
      <c r="C1337" s="9" t="s">
        <v>25</v>
      </c>
      <c r="D1337" s="9" t="s">
        <v>26</v>
      </c>
      <c r="E1337" s="10" t="n">
        <v>1789</v>
      </c>
      <c r="F1337" s="9" t="s">
        <v>27</v>
      </c>
      <c r="G1337" s="9" t="s">
        <v>27</v>
      </c>
      <c r="H1337" s="11" t="n">
        <v>25</v>
      </c>
      <c r="I1337" s="11" t="s">
        <v>364</v>
      </c>
      <c r="J1337" s="14" t="n">
        <v>122</v>
      </c>
      <c r="K1337" s="14"/>
      <c r="L1337" s="16"/>
      <c r="M1337" s="27" t="n">
        <f aca="false">J1337+(K1337/20)+(L1337/240)</f>
        <v>122</v>
      </c>
      <c r="N1337" s="17" t="s">
        <v>64</v>
      </c>
      <c r="O1337" s="11" t="s">
        <v>77</v>
      </c>
      <c r="P1337" s="28" t="n">
        <f aca="false">2402/100</f>
        <v>24.02</v>
      </c>
      <c r="Q1337" s="28" t="n">
        <v>2930</v>
      </c>
      <c r="R1337" s="28"/>
      <c r="S1337" s="28" t="n">
        <f aca="false">R1337*$M1337</f>
        <v>0</v>
      </c>
      <c r="T1337" s="28" t="n">
        <f aca="false">3566/100</f>
        <v>35.66</v>
      </c>
      <c r="U1337" s="36" t="n">
        <v>4550</v>
      </c>
      <c r="V1337" s="28" t="n">
        <f aca="false">917/100</f>
        <v>9.17</v>
      </c>
      <c r="W1337" s="28" t="n">
        <v>1119</v>
      </c>
      <c r="X1337" s="28"/>
      <c r="Y1337" s="28" t="n">
        <f aca="false">X1337*$M1337</f>
        <v>0</v>
      </c>
      <c r="Z1337" s="28"/>
      <c r="AA1337" s="28" t="n">
        <f aca="false">Z1337*$M1337</f>
        <v>0</v>
      </c>
      <c r="AB1337" s="28" t="n">
        <f aca="false">28087/100</f>
        <v>280.87</v>
      </c>
      <c r="AC1337" s="28" t="n">
        <v>34266</v>
      </c>
      <c r="AD1337" s="28" t="n">
        <f aca="false">1505/100</f>
        <v>15.05</v>
      </c>
      <c r="AE1337" s="28" t="n">
        <v>1836</v>
      </c>
      <c r="AF1337" s="28"/>
      <c r="AG1337" s="28" t="n">
        <f aca="false">AF1337*$M1337</f>
        <v>0</v>
      </c>
      <c r="AH1337" s="28" t="n">
        <f aca="false">15314/100</f>
        <v>153.14</v>
      </c>
      <c r="AI1337" s="28" t="n">
        <v>18683</v>
      </c>
      <c r="AJ1337" s="28"/>
      <c r="AK1337" s="28" t="n">
        <f aca="false">AJ1337*$M1337</f>
        <v>0</v>
      </c>
      <c r="AL1337" s="28"/>
      <c r="AM1337" s="28" t="n">
        <f aca="false">AL1337*$M1337</f>
        <v>0</v>
      </c>
      <c r="AN1337" s="28"/>
      <c r="AO1337" s="28" t="n">
        <f aca="false">AN1337*$M1337</f>
        <v>0</v>
      </c>
      <c r="AP1337" s="28"/>
      <c r="AQ1337" s="28" t="n">
        <f aca="false">AP1337*$M1337</f>
        <v>0</v>
      </c>
      <c r="AR1337" s="28"/>
      <c r="AS1337" s="28" t="n">
        <f aca="false">AR1337*$M1337</f>
        <v>0</v>
      </c>
      <c r="AT1337" s="28"/>
      <c r="AU1337" s="28" t="n">
        <f aca="false">AT1337*$M1337</f>
        <v>0</v>
      </c>
      <c r="AV1337" s="28"/>
      <c r="AW1337" s="28" t="n">
        <f aca="false">AV1337*$M1337</f>
        <v>0</v>
      </c>
      <c r="AX1337" s="28"/>
      <c r="AY1337" s="28" t="n">
        <f aca="false">AX1337*$M1337</f>
        <v>0</v>
      </c>
      <c r="AZ1337" s="30" t="n">
        <f aca="false">51791/100</f>
        <v>517.91</v>
      </c>
      <c r="BA1337" s="11" t="n">
        <v>63384</v>
      </c>
      <c r="BB1337" s="31" t="n">
        <f aca="false">SUM(Q1337,S1337,U1337,W1337,Y1337,AA1337,AC1337,AE1337,AG1337,AI1337,AK1337,AM1337,AO1337,AQ1337,AS1337,AU1337,AW1337,AY1337)</f>
        <v>63384</v>
      </c>
      <c r="BC1337" s="28" t="n">
        <f aca="false">BA1337-BB1337</f>
        <v>0</v>
      </c>
      <c r="BD1337" s="32" t="n">
        <f aca="false">SUM(P1337,R1337,T1337,V1337,X1337,Z1337,AB1337,AD1337,AF1337,AH1337,AJ1337,AL1337,AN1337,AP1337,AR1337,AT1337,AV1337,AX1337)</f>
        <v>517.91</v>
      </c>
      <c r="BE1337" s="33" t="n">
        <f aca="false">AZ1337-BD1337</f>
        <v>0</v>
      </c>
      <c r="BF1337" s="34" t="n">
        <f aca="false">BD1337*M1337</f>
        <v>63185.02</v>
      </c>
      <c r="BG1337" s="35" t="n">
        <f aca="false">BA1337-BF1337</f>
        <v>198.980000000003</v>
      </c>
      <c r="BH1337" s="19" t="str">
        <f aca="false">IF(BG1337=0,"",IF(BG1337&lt;&gt;BA1337,"erreur de calcul",IF(BD1337&lt;&gt;0,"pas de prix",IF(M1337&lt;&gt; 0,"pas de quantité","pas de prix, ni de quantité"))))</f>
        <v>erreur de calcul</v>
      </c>
      <c r="BI1337" s="19"/>
    </row>
    <row r="1338" customFormat="false" ht="15" hidden="false" customHeight="false" outlineLevel="0" collapsed="false">
      <c r="A1338" s="0" t="n">
        <v>37</v>
      </c>
      <c r="B1338" s="8" t="s">
        <v>24</v>
      </c>
      <c r="C1338" s="9" t="s">
        <v>25</v>
      </c>
      <c r="D1338" s="9" t="s">
        <v>26</v>
      </c>
      <c r="E1338" s="10" t="n">
        <v>1789</v>
      </c>
      <c r="F1338" s="9" t="s">
        <v>27</v>
      </c>
      <c r="G1338" s="9" t="s">
        <v>27</v>
      </c>
      <c r="H1338" s="11" t="n">
        <v>25</v>
      </c>
      <c r="I1338" s="11" t="s">
        <v>365</v>
      </c>
      <c r="J1338" s="14" t="n">
        <v>107</v>
      </c>
      <c r="K1338" s="14"/>
      <c r="L1338" s="16"/>
      <c r="M1338" s="27" t="n">
        <f aca="false">J1338+(K1338/20)+(L1338/240)</f>
        <v>107</v>
      </c>
      <c r="N1338" s="17" t="s">
        <v>64</v>
      </c>
      <c r="O1338" s="11" t="s">
        <v>77</v>
      </c>
      <c r="P1338" s="28"/>
      <c r="Q1338" s="28" t="n">
        <f aca="false">P1338*$M1338</f>
        <v>0</v>
      </c>
      <c r="R1338" s="28"/>
      <c r="S1338" s="28" t="n">
        <f aca="false">R1338*$M1338</f>
        <v>0</v>
      </c>
      <c r="T1338" s="28" t="n">
        <f aca="false">1834/100</f>
        <v>18.34</v>
      </c>
      <c r="U1338" s="28" t="n">
        <v>1962</v>
      </c>
      <c r="V1338" s="28"/>
      <c r="W1338" s="28" t="n">
        <f aca="false">V1338*$M1338</f>
        <v>0</v>
      </c>
      <c r="X1338" s="28"/>
      <c r="Y1338" s="28" t="n">
        <f aca="false">X1338*$M1338</f>
        <v>0</v>
      </c>
      <c r="Z1338" s="28"/>
      <c r="AA1338" s="28" t="n">
        <f aca="false">Z1338*$M1338</f>
        <v>0</v>
      </c>
      <c r="AB1338" s="28"/>
      <c r="AC1338" s="28" t="n">
        <f aca="false">AB1338*$M1338</f>
        <v>0</v>
      </c>
      <c r="AD1338" s="28"/>
      <c r="AE1338" s="28" t="n">
        <f aca="false">AD1338*$M1338</f>
        <v>0</v>
      </c>
      <c r="AF1338" s="28" t="n">
        <f aca="false">5202/100</f>
        <v>52.02</v>
      </c>
      <c r="AG1338" s="28" t="n">
        <v>5566</v>
      </c>
      <c r="AH1338" s="28"/>
      <c r="AI1338" s="28" t="n">
        <f aca="false">AH1338*$M1338</f>
        <v>0</v>
      </c>
      <c r="AJ1338" s="28" t="n">
        <f aca="false">3209/100</f>
        <v>32.09</v>
      </c>
      <c r="AK1338" s="28" t="n">
        <v>3434</v>
      </c>
      <c r="AL1338" s="28" t="n">
        <f aca="false">80682/100</f>
        <v>806.82</v>
      </c>
      <c r="AM1338" s="28" t="n">
        <v>86329</v>
      </c>
      <c r="AN1338" s="28"/>
      <c r="AO1338" s="28" t="n">
        <f aca="false">AN1338*$M1338</f>
        <v>0</v>
      </c>
      <c r="AP1338" s="28"/>
      <c r="AQ1338" s="28" t="n">
        <f aca="false">AP1338*$M1338</f>
        <v>0</v>
      </c>
      <c r="AR1338" s="28"/>
      <c r="AS1338" s="28" t="n">
        <f aca="false">AR1338*$M1338</f>
        <v>0</v>
      </c>
      <c r="AT1338" s="28"/>
      <c r="AU1338" s="28" t="n">
        <f aca="false">AT1338*$M1338</f>
        <v>0</v>
      </c>
      <c r="AV1338" s="28"/>
      <c r="AW1338" s="28" t="n">
        <f aca="false">AV1338*$M1338</f>
        <v>0</v>
      </c>
      <c r="AX1338" s="28"/>
      <c r="AY1338" s="28" t="n">
        <f aca="false">AX1338*$M1338</f>
        <v>0</v>
      </c>
      <c r="AZ1338" s="30" t="n">
        <f aca="false">90927/100</f>
        <v>909.27</v>
      </c>
      <c r="BA1338" s="11" t="n">
        <v>97291</v>
      </c>
      <c r="BB1338" s="31" t="n">
        <f aca="false">SUM(Q1338,S1338,U1338,W1338,Y1338,AA1338,AC1338,AE1338,AG1338,AI1338,AK1338,AM1338,AO1338,AQ1338,AS1338,AU1338,AW1338,AY1338)</f>
        <v>97291</v>
      </c>
      <c r="BC1338" s="28" t="n">
        <f aca="false">BA1338-BB1338</f>
        <v>0</v>
      </c>
      <c r="BD1338" s="32" t="n">
        <f aca="false">SUM(P1338,R1338,T1338,V1338,X1338,Z1338,AB1338,AD1338,AF1338,AH1338,AJ1338,AL1338,AN1338,AP1338,AR1338,AT1338,AV1338,AX1338)</f>
        <v>909.27</v>
      </c>
      <c r="BE1338" s="33" t="n">
        <f aca="false">AZ1338-BD1338</f>
        <v>0</v>
      </c>
      <c r="BF1338" s="34" t="n">
        <f aca="false">BD1338*M1338</f>
        <v>97291.89</v>
      </c>
      <c r="BG1338" s="35" t="n">
        <f aca="false">BA1338-BF1338</f>
        <v>-0.89000000001397</v>
      </c>
      <c r="BH1338" s="19" t="str">
        <f aca="false">IF(BG1338=0,"",IF(BG1338&lt;&gt;BA1338,"erreur de calcul",IF(BD1338&lt;&gt;0,"pas de prix",IF(M1338&lt;&gt; 0,"pas de quantité","pas de prix, ni de quantité"))))</f>
        <v>erreur de calcul</v>
      </c>
      <c r="BI1338" s="19"/>
    </row>
    <row r="1339" customFormat="false" ht="15" hidden="false" customHeight="false" outlineLevel="0" collapsed="false">
      <c r="A1339" s="0" t="n">
        <v>38</v>
      </c>
      <c r="B1339" s="8" t="s">
        <v>24</v>
      </c>
      <c r="C1339" s="9" t="s">
        <v>25</v>
      </c>
      <c r="D1339" s="9" t="s">
        <v>26</v>
      </c>
      <c r="E1339" s="10" t="n">
        <v>1789</v>
      </c>
      <c r="F1339" s="9" t="s">
        <v>27</v>
      </c>
      <c r="G1339" s="9" t="s">
        <v>27</v>
      </c>
      <c r="H1339" s="11" t="n">
        <v>25</v>
      </c>
      <c r="I1339" s="11" t="s">
        <v>366</v>
      </c>
      <c r="J1339" s="14"/>
      <c r="K1339" s="14"/>
      <c r="L1339" s="16"/>
      <c r="M1339" s="27" t="n">
        <f aca="false">J1339+(K1339/20)+(L1339/240)</f>
        <v>0</v>
      </c>
      <c r="N1339" s="17" t="s">
        <v>66</v>
      </c>
      <c r="O1339" s="11"/>
      <c r="P1339" s="28"/>
      <c r="Q1339" s="28" t="n">
        <f aca="false">P1339*$M1339</f>
        <v>0</v>
      </c>
      <c r="R1339" s="28"/>
      <c r="S1339" s="28" t="n">
        <f aca="false">R1339*$M1339</f>
        <v>0</v>
      </c>
      <c r="T1339" s="28"/>
      <c r="U1339" s="28" t="n">
        <f aca="false">T1339*$M1339</f>
        <v>0</v>
      </c>
      <c r="V1339" s="28" t="n">
        <v>797</v>
      </c>
      <c r="W1339" s="28" t="n">
        <v>720</v>
      </c>
      <c r="X1339" s="28"/>
      <c r="Y1339" s="28" t="n">
        <f aca="false">X1339*$M1339</f>
        <v>0</v>
      </c>
      <c r="Z1339" s="28"/>
      <c r="AA1339" s="28" t="n">
        <f aca="false">Z1339*$M1339</f>
        <v>0</v>
      </c>
      <c r="AB1339" s="28"/>
      <c r="AC1339" s="28" t="n">
        <f aca="false">AB1339*$M1339</f>
        <v>0</v>
      </c>
      <c r="AD1339" s="28"/>
      <c r="AE1339" s="28" t="n">
        <f aca="false">AD1339*$M1339</f>
        <v>0</v>
      </c>
      <c r="AF1339" s="28"/>
      <c r="AG1339" s="28" t="n">
        <f aca="false">AF1339*$M1339</f>
        <v>0</v>
      </c>
      <c r="AH1339" s="28"/>
      <c r="AI1339" s="28" t="n">
        <f aca="false">AH1339*$M1339</f>
        <v>0</v>
      </c>
      <c r="AJ1339" s="28"/>
      <c r="AK1339" s="28" t="n">
        <f aca="false">AJ1339*$M1339</f>
        <v>0</v>
      </c>
      <c r="AL1339" s="28"/>
      <c r="AM1339" s="28" t="n">
        <f aca="false">AL1339*$M1339</f>
        <v>0</v>
      </c>
      <c r="AN1339" s="28"/>
      <c r="AO1339" s="28" t="n">
        <f aca="false">AN1339*$M1339</f>
        <v>0</v>
      </c>
      <c r="AP1339" s="28"/>
      <c r="AQ1339" s="28" t="n">
        <f aca="false">AP1339*$M1339</f>
        <v>0</v>
      </c>
      <c r="AR1339" s="28"/>
      <c r="AS1339" s="28" t="n">
        <f aca="false">AR1339*$M1339</f>
        <v>0</v>
      </c>
      <c r="AT1339" s="28"/>
      <c r="AU1339" s="28" t="n">
        <f aca="false">AT1339*$M1339</f>
        <v>0</v>
      </c>
      <c r="AV1339" s="28"/>
      <c r="AW1339" s="28" t="n">
        <f aca="false">AV1339*$M1339</f>
        <v>0</v>
      </c>
      <c r="AX1339" s="28"/>
      <c r="AY1339" s="28" t="n">
        <f aca="false">AX1339*$M1339</f>
        <v>0</v>
      </c>
      <c r="AZ1339" s="30" t="n">
        <v>797</v>
      </c>
      <c r="BA1339" s="11" t="n">
        <v>720</v>
      </c>
      <c r="BB1339" s="31" t="n">
        <f aca="false">SUM(Q1339,S1339,U1339,W1339,Y1339,AA1339,AC1339,AE1339,AG1339,AI1339,AK1339,AM1339,AO1339,AQ1339,AS1339,AU1339,AW1339,AY1339)</f>
        <v>720</v>
      </c>
      <c r="BC1339" s="28" t="n">
        <f aca="false">BA1339-BB1339</f>
        <v>0</v>
      </c>
      <c r="BD1339" s="32" t="n">
        <f aca="false">SUM(P1339,R1339,T1339,V1339,X1339,Z1339,AB1339,AD1339,AF1339,AH1339,AJ1339,AL1339,AN1339,AP1339,AR1339,AT1339,AV1339,AX1339)</f>
        <v>797</v>
      </c>
      <c r="BE1339" s="33" t="n">
        <f aca="false">AZ1339-BD1339</f>
        <v>0</v>
      </c>
      <c r="BF1339" s="34" t="n">
        <f aca="false">BD1339*M1339</f>
        <v>0</v>
      </c>
      <c r="BG1339" s="35" t="n">
        <f aca="false">BA1339-BF1339</f>
        <v>720</v>
      </c>
      <c r="BH1339" s="19" t="str">
        <f aca="false">IF(BG1339=0,"",IF(BG1339&lt;&gt;BA1339,"erreur de calcul",IF(BD1339&lt;&gt;0,"pas de prix",IF(M1339&lt;&gt; 0,"pas de quantité","pas de prix, ni de quantité"))))</f>
        <v>pas de prix</v>
      </c>
      <c r="BI1339" s="19" t="s">
        <v>367</v>
      </c>
    </row>
    <row r="1340" customFormat="false" ht="15" hidden="false" customHeight="false" outlineLevel="0" collapsed="false">
      <c r="A1340" s="0" t="n">
        <v>39</v>
      </c>
      <c r="B1340" s="8" t="s">
        <v>24</v>
      </c>
      <c r="C1340" s="9" t="s">
        <v>25</v>
      </c>
      <c r="D1340" s="9" t="s">
        <v>26</v>
      </c>
      <c r="E1340" s="10" t="n">
        <v>1789</v>
      </c>
      <c r="F1340" s="9" t="s">
        <v>27</v>
      </c>
      <c r="G1340" s="9" t="s">
        <v>27</v>
      </c>
      <c r="H1340" s="11" t="n">
        <v>25</v>
      </c>
      <c r="I1340" s="11" t="s">
        <v>368</v>
      </c>
      <c r="J1340" s="14" t="n">
        <v>4</v>
      </c>
      <c r="K1340" s="14"/>
      <c r="L1340" s="16"/>
      <c r="M1340" s="27" t="n">
        <f aca="false">J1340+(K1340/20)+(L1340/240)</f>
        <v>4</v>
      </c>
      <c r="N1340" s="17" t="s">
        <v>64</v>
      </c>
      <c r="O1340" s="11"/>
      <c r="P1340" s="28"/>
      <c r="Q1340" s="28" t="n">
        <f aca="false">P1340*$M1340</f>
        <v>0</v>
      </c>
      <c r="R1340" s="28"/>
      <c r="S1340" s="28" t="n">
        <f aca="false">R1340*$M1340</f>
        <v>0</v>
      </c>
      <c r="T1340" s="28"/>
      <c r="U1340" s="28" t="n">
        <f aca="false">T1340*$M1340</f>
        <v>0</v>
      </c>
      <c r="V1340" s="28" t="n">
        <f aca="false">23693/100</f>
        <v>236.93</v>
      </c>
      <c r="W1340" s="28" t="n">
        <v>948</v>
      </c>
      <c r="X1340" s="28"/>
      <c r="Y1340" s="28" t="n">
        <f aca="false">X1340*$M1340</f>
        <v>0</v>
      </c>
      <c r="Z1340" s="28"/>
      <c r="AA1340" s="28" t="n">
        <f aca="false">Z1340*$M1340</f>
        <v>0</v>
      </c>
      <c r="AB1340" s="28"/>
      <c r="AC1340" s="28" t="n">
        <f aca="false">AB1340*$M1340</f>
        <v>0</v>
      </c>
      <c r="AD1340" s="28"/>
      <c r="AE1340" s="28" t="n">
        <f aca="false">AD1340*$M1340</f>
        <v>0</v>
      </c>
      <c r="AF1340" s="28"/>
      <c r="AG1340" s="28" t="n">
        <f aca="false">AF1340*$M1340</f>
        <v>0</v>
      </c>
      <c r="AH1340" s="28"/>
      <c r="AI1340" s="28" t="n">
        <f aca="false">AH1340*$M1340</f>
        <v>0</v>
      </c>
      <c r="AJ1340" s="28"/>
      <c r="AK1340" s="28" t="n">
        <f aca="false">AJ1340*$M1340</f>
        <v>0</v>
      </c>
      <c r="AL1340" s="28"/>
      <c r="AM1340" s="28" t="n">
        <f aca="false">AL1340*$M1340</f>
        <v>0</v>
      </c>
      <c r="AN1340" s="28"/>
      <c r="AO1340" s="28" t="n">
        <f aca="false">AN1340*$M1340</f>
        <v>0</v>
      </c>
      <c r="AP1340" s="28"/>
      <c r="AQ1340" s="28" t="n">
        <f aca="false">AP1340*$M1340</f>
        <v>0</v>
      </c>
      <c r="AR1340" s="28"/>
      <c r="AS1340" s="28" t="n">
        <f aca="false">AR1340*$M1340</f>
        <v>0</v>
      </c>
      <c r="AT1340" s="28"/>
      <c r="AU1340" s="28" t="n">
        <f aca="false">AT1340*$M1340</f>
        <v>0</v>
      </c>
      <c r="AV1340" s="28"/>
      <c r="AW1340" s="28" t="n">
        <f aca="false">AV1340*$M1340</f>
        <v>0</v>
      </c>
      <c r="AX1340" s="28"/>
      <c r="AY1340" s="28" t="n">
        <f aca="false">AX1340*$M1340</f>
        <v>0</v>
      </c>
      <c r="AZ1340" s="30" t="n">
        <f aca="false">23693/100</f>
        <v>236.93</v>
      </c>
      <c r="BA1340" s="11" t="n">
        <v>948</v>
      </c>
      <c r="BB1340" s="31" t="n">
        <f aca="false">SUM(Q1340,S1340,U1340,W1340,Y1340,AA1340,AC1340,AE1340,AG1340,AI1340,AK1340,AM1340,AO1340,AQ1340,AS1340,AU1340,AW1340,AY1340)</f>
        <v>948</v>
      </c>
      <c r="BC1340" s="28" t="n">
        <f aca="false">BA1340-BB1340</f>
        <v>0</v>
      </c>
      <c r="BD1340" s="32" t="n">
        <f aca="false">SUM(P1340,R1340,T1340,V1340,X1340,Z1340,AB1340,AD1340,AF1340,AH1340,AJ1340,AL1340,AN1340,AP1340,AR1340,AT1340,AV1340,AX1340)</f>
        <v>236.93</v>
      </c>
      <c r="BE1340" s="33" t="n">
        <f aca="false">AZ1340-BD1340</f>
        <v>0</v>
      </c>
      <c r="BF1340" s="34" t="n">
        <f aca="false">BD1340*M1340</f>
        <v>947.72</v>
      </c>
      <c r="BG1340" s="35" t="n">
        <f aca="false">BA1340-BF1340</f>
        <v>0.279999999999973</v>
      </c>
      <c r="BH1340" s="19" t="str">
        <f aca="false">IF(BG1340=0,"",IF(BG1340&lt;&gt;BA1340,"erreur de calcul",IF(BD1340&lt;&gt;0,"pas de prix",IF(M1340&lt;&gt; 0,"pas de quantité","pas de prix, ni de quantité"))))</f>
        <v>erreur de calcul</v>
      </c>
      <c r="BI1340" s="19"/>
    </row>
    <row r="1341" customFormat="false" ht="15" hidden="false" customHeight="false" outlineLevel="0" collapsed="false">
      <c r="A1341" s="0" t="n">
        <v>40</v>
      </c>
      <c r="B1341" s="8" t="s">
        <v>24</v>
      </c>
      <c r="C1341" s="9" t="s">
        <v>25</v>
      </c>
      <c r="D1341" s="9" t="s">
        <v>26</v>
      </c>
      <c r="E1341" s="10" t="n">
        <v>1789</v>
      </c>
      <c r="F1341" s="9" t="s">
        <v>27</v>
      </c>
      <c r="G1341" s="9" t="s">
        <v>27</v>
      </c>
      <c r="H1341" s="11" t="n">
        <v>25</v>
      </c>
      <c r="I1341" s="11" t="s">
        <v>369</v>
      </c>
      <c r="J1341" s="14" t="n">
        <v>92</v>
      </c>
      <c r="K1341" s="14"/>
      <c r="L1341" s="16"/>
      <c r="M1341" s="27" t="n">
        <f aca="false">J1341+(K1341/20)+(L1341/240)</f>
        <v>92</v>
      </c>
      <c r="N1341" s="17" t="s">
        <v>64</v>
      </c>
      <c r="O1341" s="11"/>
      <c r="P1341" s="28"/>
      <c r="Q1341" s="28" t="n">
        <f aca="false">P1341*$M1341</f>
        <v>0</v>
      </c>
      <c r="R1341" s="28"/>
      <c r="S1341" s="28" t="n">
        <f aca="false">R1341*$M1341</f>
        <v>0</v>
      </c>
      <c r="T1341" s="28"/>
      <c r="U1341" s="28" t="n">
        <f aca="false">T1341*$M1341</f>
        <v>0</v>
      </c>
      <c r="V1341" s="28" t="n">
        <f aca="false">82878/100</f>
        <v>828.78</v>
      </c>
      <c r="W1341" s="28" t="n">
        <v>76248</v>
      </c>
      <c r="X1341" s="28" t="n">
        <f aca="false">44264/100</f>
        <v>442.64</v>
      </c>
      <c r="Y1341" s="36" t="n">
        <v>41023</v>
      </c>
      <c r="Z1341" s="28"/>
      <c r="AA1341" s="28" t="n">
        <f aca="false">Z1341*$M1341</f>
        <v>0</v>
      </c>
      <c r="AB1341" s="28"/>
      <c r="AC1341" s="28" t="n">
        <f aca="false">AB1341*$M1341</f>
        <v>0</v>
      </c>
      <c r="AD1341" s="28"/>
      <c r="AE1341" s="28" t="n">
        <f aca="false">AD1341*$M1341</f>
        <v>0</v>
      </c>
      <c r="AF1341" s="28"/>
      <c r="AG1341" s="28" t="n">
        <f aca="false">AF1341*$M1341</f>
        <v>0</v>
      </c>
      <c r="AH1341" s="28"/>
      <c r="AI1341" s="28" t="n">
        <f aca="false">AH1341*$M1341</f>
        <v>0</v>
      </c>
      <c r="AJ1341" s="28"/>
      <c r="AK1341" s="28" t="n">
        <f aca="false">AJ1341*$M1341</f>
        <v>0</v>
      </c>
      <c r="AL1341" s="28"/>
      <c r="AM1341" s="28" t="n">
        <f aca="false">AL1341*$M1341</f>
        <v>0</v>
      </c>
      <c r="AN1341" s="28"/>
      <c r="AO1341" s="28" t="n">
        <f aca="false">AN1341*$M1341</f>
        <v>0</v>
      </c>
      <c r="AP1341" s="28"/>
      <c r="AQ1341" s="28" t="n">
        <f aca="false">AP1341*$M1341</f>
        <v>0</v>
      </c>
      <c r="AR1341" s="28"/>
      <c r="AS1341" s="28" t="n">
        <f aca="false">AR1341*$M1341</f>
        <v>0</v>
      </c>
      <c r="AT1341" s="28"/>
      <c r="AU1341" s="28" t="n">
        <f aca="false">AT1341*$M1341</f>
        <v>0</v>
      </c>
      <c r="AV1341" s="28"/>
      <c r="AW1341" s="28" t="n">
        <f aca="false">AV1341*$M1341</f>
        <v>0</v>
      </c>
      <c r="AX1341" s="28"/>
      <c r="AY1341" s="28" t="n">
        <f aca="false">AX1341*$M1341</f>
        <v>0</v>
      </c>
      <c r="AZ1341" s="30" t="n">
        <f aca="false">127142/100</f>
        <v>1271.42</v>
      </c>
      <c r="BA1341" s="11" t="n">
        <v>117271</v>
      </c>
      <c r="BB1341" s="31" t="n">
        <f aca="false">SUM(Q1341,S1341,U1341,W1341,Y1341,AA1341,AC1341,AE1341,AG1341,AI1341,AK1341,AM1341,AO1341,AQ1341,AS1341,AU1341,AW1341,AY1341)</f>
        <v>117271</v>
      </c>
      <c r="BC1341" s="28" t="n">
        <f aca="false">BA1341-BB1341</f>
        <v>0</v>
      </c>
      <c r="BD1341" s="32" t="n">
        <f aca="false">SUM(P1341,R1341,T1341,V1341,X1341,Z1341,AB1341,AD1341,AF1341,AH1341,AJ1341,AL1341,AN1341,AP1341,AR1341,AT1341,AV1341,AX1341)</f>
        <v>1271.42</v>
      </c>
      <c r="BE1341" s="33" t="n">
        <f aca="false">AZ1341-BD1341</f>
        <v>0</v>
      </c>
      <c r="BF1341" s="34" t="n">
        <f aca="false">BD1341*M1341</f>
        <v>116970.64</v>
      </c>
      <c r="BG1341" s="35" t="n">
        <f aca="false">BA1341-BF1341</f>
        <v>300.359999999986</v>
      </c>
      <c r="BH1341" s="19" t="str">
        <f aca="false">IF(BG1341=0,"",IF(BG1341&lt;&gt;BA1341,"erreur de calcul",IF(BD1341&lt;&gt;0,"pas de prix",IF(M1341&lt;&gt; 0,"pas de quantité","pas de prix, ni de quantité"))))</f>
        <v>erreur de calcul</v>
      </c>
      <c r="BI1341" s="19"/>
    </row>
    <row r="1342" customFormat="false" ht="15" hidden="false" customHeight="false" outlineLevel="0" collapsed="false">
      <c r="A1342" s="0" t="n">
        <v>41</v>
      </c>
      <c r="B1342" s="8" t="s">
        <v>24</v>
      </c>
      <c r="C1342" s="9" t="s">
        <v>25</v>
      </c>
      <c r="D1342" s="9" t="s">
        <v>26</v>
      </c>
      <c r="E1342" s="10" t="n">
        <v>1789</v>
      </c>
      <c r="F1342" s="9" t="s">
        <v>27</v>
      </c>
      <c r="G1342" s="9" t="s">
        <v>27</v>
      </c>
      <c r="H1342" s="11" t="n">
        <v>25</v>
      </c>
      <c r="I1342" s="11" t="s">
        <v>370</v>
      </c>
      <c r="J1342" s="14" t="n">
        <v>12</v>
      </c>
      <c r="K1342" s="14"/>
      <c r="L1342" s="16"/>
      <c r="M1342" s="27" t="n">
        <f aca="false">J1342+(K1342/20)+(L1342/240)</f>
        <v>12</v>
      </c>
      <c r="N1342" s="17" t="s">
        <v>64</v>
      </c>
      <c r="O1342" s="11"/>
      <c r="P1342" s="28"/>
      <c r="Q1342" s="28" t="n">
        <f aca="false">P1342*$M1342</f>
        <v>0</v>
      </c>
      <c r="R1342" s="28"/>
      <c r="S1342" s="28" t="n">
        <f aca="false">R1342*$M1342</f>
        <v>0</v>
      </c>
      <c r="T1342" s="28"/>
      <c r="U1342" s="28" t="n">
        <f aca="false">T1342*$M1342</f>
        <v>0</v>
      </c>
      <c r="V1342" s="28"/>
      <c r="W1342" s="28" t="n">
        <f aca="false">V1342*$M1342</f>
        <v>0</v>
      </c>
      <c r="X1342" s="28"/>
      <c r="Y1342" s="28" t="n">
        <f aca="false">X1342*$M1342</f>
        <v>0</v>
      </c>
      <c r="Z1342" s="28"/>
      <c r="AA1342" s="28" t="n">
        <f aca="false">Z1342*$M1342</f>
        <v>0</v>
      </c>
      <c r="AB1342" s="28"/>
      <c r="AC1342" s="28" t="n">
        <f aca="false">AB1342*$M1342</f>
        <v>0</v>
      </c>
      <c r="AD1342" s="28"/>
      <c r="AE1342" s="28" t="n">
        <f aca="false">AD1342*$M1342</f>
        <v>0</v>
      </c>
      <c r="AF1342" s="28"/>
      <c r="AG1342" s="28" t="n">
        <f aca="false">AF1342*$M1342</f>
        <v>0</v>
      </c>
      <c r="AH1342" s="28" t="n">
        <f aca="false">12168/100</f>
        <v>121.68</v>
      </c>
      <c r="AI1342" s="28" t="n">
        <v>1460</v>
      </c>
      <c r="AJ1342" s="28"/>
      <c r="AK1342" s="28" t="n">
        <f aca="false">AJ1342*$M1342</f>
        <v>0</v>
      </c>
      <c r="AL1342" s="28"/>
      <c r="AM1342" s="28" t="n">
        <f aca="false">AL1342*$M1342</f>
        <v>0</v>
      </c>
      <c r="AN1342" s="28"/>
      <c r="AO1342" s="28" t="n">
        <f aca="false">AN1342*$M1342</f>
        <v>0</v>
      </c>
      <c r="AP1342" s="28"/>
      <c r="AQ1342" s="28" t="n">
        <f aca="false">AP1342*$M1342</f>
        <v>0</v>
      </c>
      <c r="AR1342" s="28"/>
      <c r="AS1342" s="28" t="n">
        <f aca="false">AR1342*$M1342</f>
        <v>0</v>
      </c>
      <c r="AT1342" s="28"/>
      <c r="AU1342" s="28" t="n">
        <f aca="false">AT1342*$M1342</f>
        <v>0</v>
      </c>
      <c r="AV1342" s="28"/>
      <c r="AW1342" s="28" t="n">
        <f aca="false">AV1342*$M1342</f>
        <v>0</v>
      </c>
      <c r="AX1342" s="28"/>
      <c r="AY1342" s="28" t="n">
        <f aca="false">AX1342*$M1342</f>
        <v>0</v>
      </c>
      <c r="AZ1342" s="30" t="n">
        <f aca="false">12168/100</f>
        <v>121.68</v>
      </c>
      <c r="BA1342" s="11" t="n">
        <v>1460</v>
      </c>
      <c r="BB1342" s="31" t="n">
        <f aca="false">SUM(Q1342,S1342,U1342,W1342,Y1342,AA1342,AC1342,AE1342,AG1342,AI1342,AK1342,AM1342,AO1342,AQ1342,AS1342,AU1342,AW1342,AY1342)</f>
        <v>1460</v>
      </c>
      <c r="BC1342" s="28" t="n">
        <f aca="false">BA1342-BB1342</f>
        <v>0</v>
      </c>
      <c r="BD1342" s="32" t="n">
        <f aca="false">SUM(P1342,R1342,T1342,V1342,X1342,Z1342,AB1342,AD1342,AF1342,AH1342,AJ1342,AL1342,AN1342,AP1342,AR1342,AT1342,AV1342,AX1342)</f>
        <v>121.68</v>
      </c>
      <c r="BE1342" s="33" t="n">
        <f aca="false">AZ1342-BD1342</f>
        <v>0</v>
      </c>
      <c r="BF1342" s="34" t="n">
        <f aca="false">BD1342*M1342</f>
        <v>1460.16</v>
      </c>
      <c r="BG1342" s="35" t="n">
        <f aca="false">BA1342-BF1342</f>
        <v>-0.160000000000082</v>
      </c>
      <c r="BH1342" s="19" t="str">
        <f aca="false">IF(BG1342=0,"",IF(BG1342&lt;&gt;BA1342,"erreur de calcul",IF(BD1342&lt;&gt;0,"pas de prix",IF(M1342&lt;&gt; 0,"pas de quantité","pas de prix, ni de quantité"))))</f>
        <v>erreur de calcul</v>
      </c>
      <c r="BI1342" s="19"/>
    </row>
    <row r="1343" customFormat="false" ht="15" hidden="false" customHeight="false" outlineLevel="0" collapsed="false">
      <c r="A1343" s="0" t="n">
        <v>42</v>
      </c>
      <c r="B1343" s="8" t="s">
        <v>24</v>
      </c>
      <c r="C1343" s="9" t="s">
        <v>25</v>
      </c>
      <c r="D1343" s="9" t="s">
        <v>26</v>
      </c>
      <c r="E1343" s="10" t="n">
        <v>1789</v>
      </c>
      <c r="F1343" s="9" t="s">
        <v>27</v>
      </c>
      <c r="G1343" s="9" t="s">
        <v>27</v>
      </c>
      <c r="H1343" s="11" t="n">
        <v>25</v>
      </c>
      <c r="I1343" s="11" t="s">
        <v>371</v>
      </c>
      <c r="J1343" s="14" t="n">
        <v>7</v>
      </c>
      <c r="K1343" s="14"/>
      <c r="L1343" s="16"/>
      <c r="M1343" s="27" t="n">
        <f aca="false">J1343+(K1343/20)+(L1343/240)</f>
        <v>7</v>
      </c>
      <c r="N1343" s="17" t="s">
        <v>64</v>
      </c>
      <c r="O1343" s="11"/>
      <c r="P1343" s="28"/>
      <c r="Q1343" s="28" t="n">
        <f aca="false">P1343*$M1343</f>
        <v>0</v>
      </c>
      <c r="R1343" s="28"/>
      <c r="S1343" s="28" t="n">
        <f aca="false">R1343*$M1343</f>
        <v>0</v>
      </c>
      <c r="T1343" s="28"/>
      <c r="U1343" s="28" t="n">
        <f aca="false">T1343*$M1343</f>
        <v>0</v>
      </c>
      <c r="V1343" s="28"/>
      <c r="W1343" s="28" t="n">
        <f aca="false">V1343*$M1343</f>
        <v>0</v>
      </c>
      <c r="X1343" s="28"/>
      <c r="Y1343" s="28" t="n">
        <f aca="false">X1343*$M1343</f>
        <v>0</v>
      </c>
      <c r="Z1343" s="28"/>
      <c r="AA1343" s="28" t="n">
        <f aca="false">Z1343*$M1343</f>
        <v>0</v>
      </c>
      <c r="AB1343" s="28" t="n">
        <f aca="false">58003/100</f>
        <v>580.03</v>
      </c>
      <c r="AC1343" s="28" t="n">
        <v>4060</v>
      </c>
      <c r="AD1343" s="28"/>
      <c r="AE1343" s="28" t="n">
        <f aca="false">AD1343*$M1343</f>
        <v>0</v>
      </c>
      <c r="AF1343" s="28"/>
      <c r="AG1343" s="28" t="n">
        <f aca="false">AF1343*$M1343</f>
        <v>0</v>
      </c>
      <c r="AH1343" s="28"/>
      <c r="AI1343" s="28" t="n">
        <f aca="false">AH1343*$M1343</f>
        <v>0</v>
      </c>
      <c r="AJ1343" s="28"/>
      <c r="AK1343" s="28" t="n">
        <f aca="false">AJ1343*$M1343</f>
        <v>0</v>
      </c>
      <c r="AL1343" s="28"/>
      <c r="AM1343" s="28" t="n">
        <f aca="false">AL1343*$M1343</f>
        <v>0</v>
      </c>
      <c r="AN1343" s="28"/>
      <c r="AO1343" s="28" t="n">
        <f aca="false">AN1343*$M1343</f>
        <v>0</v>
      </c>
      <c r="AP1343" s="28"/>
      <c r="AQ1343" s="28" t="n">
        <f aca="false">AP1343*$M1343</f>
        <v>0</v>
      </c>
      <c r="AR1343" s="28"/>
      <c r="AS1343" s="28" t="n">
        <f aca="false">AR1343*$M1343</f>
        <v>0</v>
      </c>
      <c r="AT1343" s="28"/>
      <c r="AU1343" s="28" t="n">
        <f aca="false">AT1343*$M1343</f>
        <v>0</v>
      </c>
      <c r="AV1343" s="28"/>
      <c r="AW1343" s="28" t="n">
        <f aca="false">AV1343*$M1343</f>
        <v>0</v>
      </c>
      <c r="AX1343" s="28"/>
      <c r="AY1343" s="28" t="n">
        <f aca="false">AX1343*$M1343</f>
        <v>0</v>
      </c>
      <c r="AZ1343" s="30" t="n">
        <f aca="false">58003/100</f>
        <v>580.03</v>
      </c>
      <c r="BA1343" s="11" t="n">
        <v>4060</v>
      </c>
      <c r="BB1343" s="31" t="n">
        <f aca="false">SUM(Q1343,S1343,U1343,W1343,Y1343,AA1343,AC1343,AE1343,AG1343,AI1343,AK1343,AM1343,AO1343,AQ1343,AS1343,AU1343,AW1343,AY1343)</f>
        <v>4060</v>
      </c>
      <c r="BC1343" s="28" t="n">
        <f aca="false">BA1343-BB1343</f>
        <v>0</v>
      </c>
      <c r="BD1343" s="32" t="n">
        <f aca="false">SUM(P1343,R1343,T1343,V1343,X1343,Z1343,AB1343,AD1343,AF1343,AH1343,AJ1343,AL1343,AN1343,AP1343,AR1343,AT1343,AV1343,AX1343)</f>
        <v>580.03</v>
      </c>
      <c r="BE1343" s="33" t="n">
        <f aca="false">AZ1343-BD1343</f>
        <v>0</v>
      </c>
      <c r="BF1343" s="34" t="n">
        <f aca="false">BD1343*M1343</f>
        <v>4060.21</v>
      </c>
      <c r="BG1343" s="35" t="n">
        <f aca="false">BA1343-BF1343</f>
        <v>-0.210000000000036</v>
      </c>
      <c r="BH1343" s="19" t="str">
        <f aca="false">IF(BG1343=0,"",IF(BG1343&lt;&gt;BA1343,"erreur de calcul",IF(BD1343&lt;&gt;0,"pas de prix",IF(M1343&lt;&gt; 0,"pas de quantité","pas de prix, ni de quantité"))))</f>
        <v>erreur de calcul</v>
      </c>
      <c r="BI1343" s="19"/>
    </row>
    <row r="1344" customFormat="false" ht="15" hidden="false" customHeight="false" outlineLevel="0" collapsed="false">
      <c r="A1344" s="0" t="n">
        <v>1</v>
      </c>
      <c r="B1344" s="8" t="s">
        <v>24</v>
      </c>
      <c r="C1344" s="9" t="s">
        <v>25</v>
      </c>
      <c r="D1344" s="9" t="s">
        <v>26</v>
      </c>
      <c r="E1344" s="10" t="n">
        <v>1789</v>
      </c>
      <c r="F1344" s="9" t="s">
        <v>27</v>
      </c>
      <c r="G1344" s="9" t="s">
        <v>27</v>
      </c>
      <c r="H1344" s="11" t="n">
        <v>26</v>
      </c>
      <c r="I1344" s="11" t="s">
        <v>372</v>
      </c>
      <c r="J1344" s="14" t="n">
        <v>30</v>
      </c>
      <c r="K1344" s="14"/>
      <c r="L1344" s="16"/>
      <c r="M1344" s="27" t="n">
        <f aca="false">J1344+(K1344/20)+(L1344/240)</f>
        <v>30</v>
      </c>
      <c r="N1344" s="17" t="s">
        <v>64</v>
      </c>
      <c r="O1344" s="11"/>
      <c r="P1344" s="28"/>
      <c r="Q1344" s="28" t="n">
        <f aca="false">P1344*$M1344</f>
        <v>0</v>
      </c>
      <c r="R1344" s="28"/>
      <c r="S1344" s="28" t="n">
        <f aca="false">R1344*$M1344</f>
        <v>0</v>
      </c>
      <c r="T1344" s="28"/>
      <c r="U1344" s="28" t="n">
        <f aca="false">T1344*$M1344</f>
        <v>0</v>
      </c>
      <c r="V1344" s="28" t="n">
        <f aca="false">1500/100</f>
        <v>15</v>
      </c>
      <c r="W1344" s="28" t="n">
        <v>450</v>
      </c>
      <c r="X1344" s="28"/>
      <c r="Y1344" s="28" t="n">
        <f aca="false">X1344*$M1344</f>
        <v>0</v>
      </c>
      <c r="Z1344" s="28"/>
      <c r="AA1344" s="28" t="n">
        <f aca="false">Z1344*$M1344</f>
        <v>0</v>
      </c>
      <c r="AB1344" s="28"/>
      <c r="AC1344" s="28" t="n">
        <f aca="false">AB1344*$M1344</f>
        <v>0</v>
      </c>
      <c r="AD1344" s="28"/>
      <c r="AE1344" s="28" t="n">
        <f aca="false">AD1344*$M1344</f>
        <v>0</v>
      </c>
      <c r="AF1344" s="28"/>
      <c r="AG1344" s="28" t="n">
        <f aca="false">AF1344*$M1344</f>
        <v>0</v>
      </c>
      <c r="AH1344" s="28"/>
      <c r="AI1344" s="28" t="n">
        <f aca="false">AH1344*$M1344</f>
        <v>0</v>
      </c>
      <c r="AJ1344" s="28"/>
      <c r="AK1344" s="28" t="n">
        <f aca="false">AJ1344*$M1344</f>
        <v>0</v>
      </c>
      <c r="AL1344" s="28"/>
      <c r="AM1344" s="28" t="n">
        <f aca="false">AL1344*$M1344</f>
        <v>0</v>
      </c>
      <c r="AN1344" s="28"/>
      <c r="AO1344" s="28" t="n">
        <f aca="false">AN1344*$M1344</f>
        <v>0</v>
      </c>
      <c r="AP1344" s="28"/>
      <c r="AQ1344" s="28" t="n">
        <f aca="false">AP1344*$M1344</f>
        <v>0</v>
      </c>
      <c r="AR1344" s="28"/>
      <c r="AS1344" s="28" t="n">
        <f aca="false">AR1344*$M1344</f>
        <v>0</v>
      </c>
      <c r="AT1344" s="28"/>
      <c r="AU1344" s="28" t="n">
        <f aca="false">AT1344*$M1344</f>
        <v>0</v>
      </c>
      <c r="AV1344" s="28"/>
      <c r="AW1344" s="28" t="n">
        <f aca="false">AV1344*$M1344</f>
        <v>0</v>
      </c>
      <c r="AX1344" s="28"/>
      <c r="AY1344" s="28" t="n">
        <f aca="false">AX1344*$M1344</f>
        <v>0</v>
      </c>
      <c r="AZ1344" s="30" t="n">
        <f aca="false">1500/100</f>
        <v>15</v>
      </c>
      <c r="BA1344" s="11" t="n">
        <v>450</v>
      </c>
      <c r="BB1344" s="31" t="n">
        <f aca="false">SUM(Q1344,S1344,U1344,W1344,Y1344,AA1344,AC1344,AE1344,AG1344,AI1344,AK1344,AM1344,AO1344,AQ1344,AS1344,AU1344,AW1344,AY1344)</f>
        <v>450</v>
      </c>
      <c r="BC1344" s="28" t="n">
        <f aca="false">BA1344-BB1344</f>
        <v>0</v>
      </c>
      <c r="BD1344" s="32" t="n">
        <f aca="false">SUM(P1344,R1344,T1344,V1344,X1344,Z1344,AB1344,AD1344,AF1344,AH1344,AJ1344,AL1344,AN1344,AP1344,AR1344,AT1344,AV1344,AX1344)</f>
        <v>15</v>
      </c>
      <c r="BE1344" s="33" t="n">
        <f aca="false">AZ1344-BD1344</f>
        <v>0</v>
      </c>
      <c r="BF1344" s="34" t="n">
        <f aca="false">BD1344*M1344</f>
        <v>450</v>
      </c>
      <c r="BG1344" s="35" t="n">
        <f aca="false">BA1344-BF1344</f>
        <v>0</v>
      </c>
      <c r="BH1344" s="19" t="str">
        <f aca="false">IF(BG1344=0,"",IF(BG1344&lt;&gt;BA1344,"erreur de calcul",IF(BD1344&lt;&gt;0,"pas de prix",IF(M1344&lt;&gt; 0,"pas de quantité","pas de prix, ni de quantité"))))</f>
        <v/>
      </c>
      <c r="BI1344" s="19"/>
    </row>
    <row r="1345" customFormat="false" ht="15" hidden="false" customHeight="false" outlineLevel="0" collapsed="false">
      <c r="A1345" s="0" t="n">
        <v>2</v>
      </c>
      <c r="B1345" s="8" t="s">
        <v>24</v>
      </c>
      <c r="C1345" s="9" t="s">
        <v>25</v>
      </c>
      <c r="D1345" s="9" t="s">
        <v>26</v>
      </c>
      <c r="E1345" s="10" t="n">
        <v>1789</v>
      </c>
      <c r="F1345" s="9" t="s">
        <v>27</v>
      </c>
      <c r="G1345" s="9" t="s">
        <v>27</v>
      </c>
      <c r="H1345" s="11" t="n">
        <v>26</v>
      </c>
      <c r="I1345" s="11" t="s">
        <v>373</v>
      </c>
      <c r="J1345" s="14" t="n">
        <v>25</v>
      </c>
      <c r="K1345" s="14"/>
      <c r="L1345" s="16"/>
      <c r="M1345" s="27" t="n">
        <f aca="false">J1345+(K1345/20)+(L1345/240)</f>
        <v>25</v>
      </c>
      <c r="N1345" s="17" t="s">
        <v>64</v>
      </c>
      <c r="O1345" s="11"/>
      <c r="P1345" s="28"/>
      <c r="Q1345" s="28" t="n">
        <f aca="false">P1345*$M1345</f>
        <v>0</v>
      </c>
      <c r="R1345" s="28"/>
      <c r="S1345" s="28" t="n">
        <f aca="false">R1345*$M1345</f>
        <v>0</v>
      </c>
      <c r="T1345" s="28" t="n">
        <f aca="false">34168/100</f>
        <v>341.68</v>
      </c>
      <c r="U1345" s="28" t="n">
        <v>8542</v>
      </c>
      <c r="V1345" s="28" t="n">
        <f aca="false">128249/100</f>
        <v>1282.49</v>
      </c>
      <c r="W1345" s="28" t="n">
        <v>32062</v>
      </c>
      <c r="X1345" s="28" t="n">
        <f aca="false">21365/100</f>
        <v>213.65</v>
      </c>
      <c r="Y1345" s="28" t="n">
        <v>5341</v>
      </c>
      <c r="Z1345" s="28"/>
      <c r="AA1345" s="28" t="n">
        <f aca="false">Z1345*$M1345</f>
        <v>0</v>
      </c>
      <c r="AB1345" s="28"/>
      <c r="AC1345" s="28" t="n">
        <f aca="false">AB1345*$M1345</f>
        <v>0</v>
      </c>
      <c r="AD1345" s="28"/>
      <c r="AE1345" s="28" t="n">
        <f aca="false">AD1345*$M1345</f>
        <v>0</v>
      </c>
      <c r="AF1345" s="28"/>
      <c r="AG1345" s="28" t="n">
        <f aca="false">AF1345*$M1345</f>
        <v>0</v>
      </c>
      <c r="AH1345" s="28"/>
      <c r="AI1345" s="28" t="n">
        <f aca="false">AH1345*$M1345</f>
        <v>0</v>
      </c>
      <c r="AJ1345" s="28" t="n">
        <f aca="false">155251/100</f>
        <v>1552.51</v>
      </c>
      <c r="AK1345" s="28" t="n">
        <v>38813</v>
      </c>
      <c r="AL1345" s="28" t="n">
        <f aca="false">185000/100</f>
        <v>1850</v>
      </c>
      <c r="AM1345" s="28" t="n">
        <v>46250</v>
      </c>
      <c r="AN1345" s="28"/>
      <c r="AO1345" s="28" t="n">
        <f aca="false">AN1345*$M1345</f>
        <v>0</v>
      </c>
      <c r="AP1345" s="28"/>
      <c r="AQ1345" s="28" t="n">
        <f aca="false">AP1345*$M1345</f>
        <v>0</v>
      </c>
      <c r="AR1345" s="28"/>
      <c r="AS1345" s="28" t="n">
        <f aca="false">AR1345*$M1345</f>
        <v>0</v>
      </c>
      <c r="AT1345" s="28"/>
      <c r="AU1345" s="28" t="n">
        <f aca="false">AT1345*$M1345</f>
        <v>0</v>
      </c>
      <c r="AV1345" s="28"/>
      <c r="AW1345" s="28" t="n">
        <f aca="false">AV1345*$M1345</f>
        <v>0</v>
      </c>
      <c r="AX1345" s="28"/>
      <c r="AY1345" s="28" t="n">
        <f aca="false">AX1345*$M1345</f>
        <v>0</v>
      </c>
      <c r="AZ1345" s="30" t="n">
        <f aca="false">524033/100</f>
        <v>5240.33</v>
      </c>
      <c r="BA1345" s="11" t="n">
        <v>131008</v>
      </c>
      <c r="BB1345" s="31" t="n">
        <f aca="false">SUM(Q1345,S1345,U1345,W1345,Y1345,AA1345,AC1345,AE1345,AG1345,AI1345,AK1345,AM1345,AO1345,AQ1345,AS1345,AU1345,AW1345,AY1345)</f>
        <v>131008</v>
      </c>
      <c r="BC1345" s="28" t="n">
        <f aca="false">BA1345-BB1345</f>
        <v>0</v>
      </c>
      <c r="BD1345" s="32" t="n">
        <f aca="false">SUM(P1345,R1345,T1345,V1345,X1345,Z1345,AB1345,AD1345,AF1345,AH1345,AJ1345,AL1345,AN1345,AP1345,AR1345,AT1345,AV1345,AX1345)</f>
        <v>5240.33</v>
      </c>
      <c r="BE1345" s="33" t="n">
        <f aca="false">AZ1345-BD1345</f>
        <v>0</v>
      </c>
      <c r="BF1345" s="34" t="n">
        <f aca="false">BD1345*M1345</f>
        <v>131008.25</v>
      </c>
      <c r="BG1345" s="35" t="n">
        <f aca="false">BA1345-BF1345</f>
        <v>-0.250000000014552</v>
      </c>
      <c r="BH1345" s="19" t="str">
        <f aca="false">IF(BG1345=0,"",IF(BG1345&lt;&gt;BA1345,"erreur de calcul",IF(BD1345&lt;&gt;0,"pas de prix",IF(M1345&lt;&gt; 0,"pas de quantité","pas de prix, ni de quantité"))))</f>
        <v>erreur de calcul</v>
      </c>
      <c r="BI1345" s="19"/>
    </row>
    <row r="1346" customFormat="false" ht="15" hidden="false" customHeight="false" outlineLevel="0" collapsed="false">
      <c r="A1346" s="0" t="n">
        <v>3</v>
      </c>
      <c r="B1346" s="8" t="s">
        <v>24</v>
      </c>
      <c r="C1346" s="9" t="s">
        <v>25</v>
      </c>
      <c r="D1346" s="9" t="s">
        <v>26</v>
      </c>
      <c r="E1346" s="10" t="n">
        <v>1789</v>
      </c>
      <c r="F1346" s="9" t="s">
        <v>27</v>
      </c>
      <c r="G1346" s="9" t="s">
        <v>27</v>
      </c>
      <c r="H1346" s="11" t="n">
        <v>26</v>
      </c>
      <c r="I1346" s="11" t="s">
        <v>374</v>
      </c>
      <c r="J1346" s="14" t="n">
        <v>70</v>
      </c>
      <c r="K1346" s="14"/>
      <c r="L1346" s="16"/>
      <c r="M1346" s="27" t="n">
        <f aca="false">J1346+(K1346/20)+(L1346/240)</f>
        <v>70</v>
      </c>
      <c r="N1346" s="17" t="s">
        <v>64</v>
      </c>
      <c r="O1346" s="11"/>
      <c r="P1346" s="28"/>
      <c r="Q1346" s="28" t="n">
        <f aca="false">P1346*$M1346</f>
        <v>0</v>
      </c>
      <c r="R1346" s="28"/>
      <c r="S1346" s="28" t="n">
        <f aca="false">R1346*$M1346</f>
        <v>0</v>
      </c>
      <c r="T1346" s="28"/>
      <c r="U1346" s="28" t="n">
        <f aca="false">T1346*$M1346</f>
        <v>0</v>
      </c>
      <c r="V1346" s="28" t="n">
        <f aca="false">4560/100</f>
        <v>45.6</v>
      </c>
      <c r="W1346" s="28" t="n">
        <v>3192</v>
      </c>
      <c r="X1346" s="28" t="n">
        <f aca="false">1115/100</f>
        <v>11.15</v>
      </c>
      <c r="Y1346" s="28" t="n">
        <v>780</v>
      </c>
      <c r="Z1346" s="28"/>
      <c r="AA1346" s="28" t="n">
        <f aca="false">Z1346*$M1346</f>
        <v>0</v>
      </c>
      <c r="AB1346" s="28" t="n">
        <f aca="false">9431/100</f>
        <v>94.31</v>
      </c>
      <c r="AC1346" s="28" t="n">
        <v>6602</v>
      </c>
      <c r="AD1346" s="28"/>
      <c r="AE1346" s="28" t="n">
        <f aca="false">AD1346*$M1346</f>
        <v>0</v>
      </c>
      <c r="AF1346" s="28"/>
      <c r="AG1346" s="28" t="n">
        <f aca="false">AF1346*$M1346</f>
        <v>0</v>
      </c>
      <c r="AH1346" s="28"/>
      <c r="AI1346" s="28" t="n">
        <f aca="false">AH1346*$M1346</f>
        <v>0</v>
      </c>
      <c r="AJ1346" s="28"/>
      <c r="AK1346" s="28" t="n">
        <f aca="false">AJ1346*$M1346</f>
        <v>0</v>
      </c>
      <c r="AL1346" s="28"/>
      <c r="AM1346" s="28" t="n">
        <f aca="false">AL1346*$M1346</f>
        <v>0</v>
      </c>
      <c r="AN1346" s="28"/>
      <c r="AO1346" s="28" t="n">
        <f aca="false">AN1346*$M1346</f>
        <v>0</v>
      </c>
      <c r="AP1346" s="28"/>
      <c r="AQ1346" s="28" t="n">
        <f aca="false">AP1346*$M1346</f>
        <v>0</v>
      </c>
      <c r="AR1346" s="28"/>
      <c r="AS1346" s="28" t="n">
        <f aca="false">AR1346*$M1346</f>
        <v>0</v>
      </c>
      <c r="AT1346" s="28"/>
      <c r="AU1346" s="28" t="n">
        <f aca="false">AT1346*$M1346</f>
        <v>0</v>
      </c>
      <c r="AV1346" s="28"/>
      <c r="AW1346" s="28" t="n">
        <f aca="false">AV1346*$M1346</f>
        <v>0</v>
      </c>
      <c r="AX1346" s="28"/>
      <c r="AY1346" s="28" t="n">
        <f aca="false">AX1346*$M1346</f>
        <v>0</v>
      </c>
      <c r="AZ1346" s="30" t="n">
        <f aca="false">15106/100</f>
        <v>151.06</v>
      </c>
      <c r="BA1346" s="11" t="n">
        <v>10574</v>
      </c>
      <c r="BB1346" s="31" t="n">
        <f aca="false">SUM(Q1346,S1346,U1346,W1346,Y1346,AA1346,AC1346,AE1346,AG1346,AI1346,AK1346,AM1346,AO1346,AQ1346,AS1346,AU1346,AW1346,AY1346)</f>
        <v>10574</v>
      </c>
      <c r="BC1346" s="28" t="n">
        <f aca="false">BA1346-BB1346</f>
        <v>0</v>
      </c>
      <c r="BD1346" s="32" t="n">
        <f aca="false">SUM(P1346,R1346,T1346,V1346,X1346,Z1346,AB1346,AD1346,AF1346,AH1346,AJ1346,AL1346,AN1346,AP1346,AR1346,AT1346,AV1346,AX1346)</f>
        <v>151.06</v>
      </c>
      <c r="BE1346" s="33" t="n">
        <f aca="false">AZ1346-BD1346</f>
        <v>0</v>
      </c>
      <c r="BF1346" s="34" t="n">
        <f aca="false">BD1346*M1346</f>
        <v>10574.2</v>
      </c>
      <c r="BG1346" s="35" t="n">
        <f aca="false">BA1346-BF1346</f>
        <v>-0.200000000000728</v>
      </c>
      <c r="BH1346" s="19" t="str">
        <f aca="false">IF(BG1346=0,"",IF(BG1346&lt;&gt;BA1346,"erreur de calcul",IF(BD1346&lt;&gt;0,"pas de prix",IF(M1346&lt;&gt; 0,"pas de quantité","pas de prix, ni de quantité"))))</f>
        <v>erreur de calcul</v>
      </c>
      <c r="BI1346" s="19"/>
    </row>
    <row r="1347" customFormat="false" ht="15" hidden="false" customHeight="false" outlineLevel="0" collapsed="false">
      <c r="A1347" s="0" t="n">
        <v>4</v>
      </c>
      <c r="B1347" s="8" t="s">
        <v>24</v>
      </c>
      <c r="C1347" s="9" t="s">
        <v>25</v>
      </c>
      <c r="D1347" s="9" t="s">
        <v>26</v>
      </c>
      <c r="E1347" s="10" t="n">
        <v>1789</v>
      </c>
      <c r="F1347" s="9" t="s">
        <v>27</v>
      </c>
      <c r="G1347" s="9" t="s">
        <v>27</v>
      </c>
      <c r="H1347" s="11" t="n">
        <v>26</v>
      </c>
      <c r="I1347" s="11" t="s">
        <v>375</v>
      </c>
      <c r="J1347" s="14" t="n">
        <v>245</v>
      </c>
      <c r="K1347" s="14"/>
      <c r="L1347" s="16"/>
      <c r="M1347" s="27" t="n">
        <f aca="false">J1347+(K1347/20)+(L1347/240)</f>
        <v>245</v>
      </c>
      <c r="N1347" s="17" t="s">
        <v>64</v>
      </c>
      <c r="O1347" s="11"/>
      <c r="P1347" s="28"/>
      <c r="Q1347" s="28" t="n">
        <f aca="false">P1347*$M1347</f>
        <v>0</v>
      </c>
      <c r="R1347" s="28"/>
      <c r="S1347" s="28" t="n">
        <f aca="false">R1347*$M1347</f>
        <v>0</v>
      </c>
      <c r="T1347" s="28"/>
      <c r="U1347" s="28" t="n">
        <f aca="false">T1347*$M1347</f>
        <v>0</v>
      </c>
      <c r="V1347" s="28"/>
      <c r="W1347" s="28" t="n">
        <f aca="false">V1347*$M1347</f>
        <v>0</v>
      </c>
      <c r="X1347" s="28"/>
      <c r="Y1347" s="28" t="n">
        <f aca="false">X1347*$M1347</f>
        <v>0</v>
      </c>
      <c r="Z1347" s="28"/>
      <c r="AA1347" s="28" t="n">
        <f aca="false">Z1347*$M1347</f>
        <v>0</v>
      </c>
      <c r="AB1347" s="28"/>
      <c r="AC1347" s="28" t="n">
        <f aca="false">AB1347*$M1347</f>
        <v>0</v>
      </c>
      <c r="AD1347" s="28"/>
      <c r="AE1347" s="28" t="n">
        <f aca="false">AD1347*$M1347</f>
        <v>0</v>
      </c>
      <c r="AF1347" s="28"/>
      <c r="AG1347" s="28" t="n">
        <f aca="false">AF1347*$M1347</f>
        <v>0</v>
      </c>
      <c r="AH1347" s="28" t="n">
        <f aca="false">751/100</f>
        <v>7.51</v>
      </c>
      <c r="AI1347" s="28" t="n">
        <v>1840</v>
      </c>
      <c r="AJ1347" s="28"/>
      <c r="AK1347" s="28" t="n">
        <f aca="false">AJ1347*$M1347</f>
        <v>0</v>
      </c>
      <c r="AL1347" s="28"/>
      <c r="AM1347" s="28" t="n">
        <f aca="false">AL1347*$M1347</f>
        <v>0</v>
      </c>
      <c r="AN1347" s="28"/>
      <c r="AO1347" s="28" t="n">
        <f aca="false">AN1347*$M1347</f>
        <v>0</v>
      </c>
      <c r="AP1347" s="28"/>
      <c r="AQ1347" s="28" t="n">
        <f aca="false">AP1347*$M1347</f>
        <v>0</v>
      </c>
      <c r="AR1347" s="28"/>
      <c r="AS1347" s="28" t="n">
        <f aca="false">AR1347*$M1347</f>
        <v>0</v>
      </c>
      <c r="AT1347" s="28"/>
      <c r="AU1347" s="28" t="n">
        <f aca="false">AT1347*$M1347</f>
        <v>0</v>
      </c>
      <c r="AV1347" s="28"/>
      <c r="AW1347" s="28" t="n">
        <f aca="false">AV1347*$M1347</f>
        <v>0</v>
      </c>
      <c r="AX1347" s="28"/>
      <c r="AY1347" s="28" t="n">
        <f aca="false">AX1347*$M1347</f>
        <v>0</v>
      </c>
      <c r="AZ1347" s="30" t="n">
        <f aca="false">751/100</f>
        <v>7.51</v>
      </c>
      <c r="BA1347" s="11" t="n">
        <v>1840</v>
      </c>
      <c r="BB1347" s="31" t="n">
        <f aca="false">SUM(Q1347,S1347,U1347,W1347,Y1347,AA1347,AC1347,AE1347,AG1347,AI1347,AK1347,AM1347,AO1347,AQ1347,AS1347,AU1347,AW1347,AY1347)</f>
        <v>1840</v>
      </c>
      <c r="BC1347" s="28" t="n">
        <f aca="false">BA1347-BB1347</f>
        <v>0</v>
      </c>
      <c r="BD1347" s="32" t="n">
        <f aca="false">SUM(P1347,R1347,T1347,V1347,X1347,Z1347,AB1347,AD1347,AF1347,AH1347,AJ1347,AL1347,AN1347,AP1347,AR1347,AT1347,AV1347,AX1347)</f>
        <v>7.51</v>
      </c>
      <c r="BE1347" s="33" t="n">
        <f aca="false">AZ1347-BD1347</f>
        <v>0</v>
      </c>
      <c r="BF1347" s="34" t="n">
        <f aca="false">BD1347*M1347</f>
        <v>1839.95</v>
      </c>
      <c r="BG1347" s="35" t="n">
        <f aca="false">BA1347-BF1347</f>
        <v>0.0499999999999545</v>
      </c>
      <c r="BH1347" s="19" t="str">
        <f aca="false">IF(BG1347=0,"",IF(BG1347&lt;&gt;BA1347,"erreur de calcul",IF(BD1347&lt;&gt;0,"pas de prix",IF(M1347&lt;&gt; 0,"pas de quantité","pas de prix, ni de quantité"))))</f>
        <v>erreur de calcul</v>
      </c>
      <c r="BI1347" s="19"/>
    </row>
    <row r="1348" customFormat="false" ht="15" hidden="false" customHeight="false" outlineLevel="0" collapsed="false">
      <c r="A1348" s="0" t="n">
        <v>5</v>
      </c>
      <c r="B1348" s="8" t="s">
        <v>24</v>
      </c>
      <c r="C1348" s="9" t="s">
        <v>25</v>
      </c>
      <c r="D1348" s="9" t="s">
        <v>26</v>
      </c>
      <c r="E1348" s="10" t="n">
        <v>1789</v>
      </c>
      <c r="F1348" s="9" t="s">
        <v>27</v>
      </c>
      <c r="G1348" s="9" t="s">
        <v>27</v>
      </c>
      <c r="H1348" s="11" t="n">
        <v>26</v>
      </c>
      <c r="I1348" s="11" t="s">
        <v>376</v>
      </c>
      <c r="J1348" s="14" t="n">
        <v>550</v>
      </c>
      <c r="K1348" s="14"/>
      <c r="L1348" s="16"/>
      <c r="M1348" s="27" t="n">
        <f aca="false">J1348+(K1348/20)+(L1348/240)</f>
        <v>550</v>
      </c>
      <c r="N1348" s="17" t="s">
        <v>64</v>
      </c>
      <c r="O1348" s="11"/>
      <c r="P1348" s="28"/>
      <c r="Q1348" s="28" t="n">
        <f aca="false">P1348*$M1348</f>
        <v>0</v>
      </c>
      <c r="R1348" s="28"/>
      <c r="S1348" s="28" t="n">
        <f aca="false">R1348*$M1348</f>
        <v>0</v>
      </c>
      <c r="T1348" s="28"/>
      <c r="U1348" s="28" t="n">
        <f aca="false">T1348*$M1348</f>
        <v>0</v>
      </c>
      <c r="V1348" s="28"/>
      <c r="W1348" s="28" t="n">
        <f aca="false">V1348*$M1348</f>
        <v>0</v>
      </c>
      <c r="X1348" s="28"/>
      <c r="Y1348" s="28" t="n">
        <f aca="false">X1348*$M1348</f>
        <v>0</v>
      </c>
      <c r="Z1348" s="28"/>
      <c r="AA1348" s="28" t="n">
        <f aca="false">Z1348*$M1348</f>
        <v>0</v>
      </c>
      <c r="AB1348" s="28"/>
      <c r="AC1348" s="28" t="n">
        <f aca="false">AB1348*$M1348</f>
        <v>0</v>
      </c>
      <c r="AD1348" s="28"/>
      <c r="AE1348" s="28" t="n">
        <f aca="false">AD1348*$M1348</f>
        <v>0</v>
      </c>
      <c r="AF1348" s="28"/>
      <c r="AG1348" s="28" t="n">
        <f aca="false">AF1348*$M1348</f>
        <v>0</v>
      </c>
      <c r="AH1348" s="28" t="n">
        <f aca="false">215551/100</f>
        <v>2155.51</v>
      </c>
      <c r="AI1348" s="28" t="n">
        <v>1185530</v>
      </c>
      <c r="AJ1348" s="28"/>
      <c r="AK1348" s="28" t="n">
        <f aca="false">AJ1348*$M1348</f>
        <v>0</v>
      </c>
      <c r="AL1348" s="28"/>
      <c r="AM1348" s="28" t="n">
        <f aca="false">AL1348*$M1348</f>
        <v>0</v>
      </c>
      <c r="AN1348" s="28"/>
      <c r="AO1348" s="28" t="n">
        <f aca="false">AN1348*$M1348</f>
        <v>0</v>
      </c>
      <c r="AP1348" s="28"/>
      <c r="AQ1348" s="28" t="n">
        <f aca="false">AP1348*$M1348</f>
        <v>0</v>
      </c>
      <c r="AR1348" s="28"/>
      <c r="AS1348" s="28" t="n">
        <f aca="false">AR1348*$M1348</f>
        <v>0</v>
      </c>
      <c r="AT1348" s="28"/>
      <c r="AU1348" s="28" t="n">
        <f aca="false">AT1348*$M1348</f>
        <v>0</v>
      </c>
      <c r="AV1348" s="28"/>
      <c r="AW1348" s="28" t="n">
        <f aca="false">AV1348*$M1348</f>
        <v>0</v>
      </c>
      <c r="AX1348" s="28"/>
      <c r="AY1348" s="28" t="n">
        <f aca="false">AX1348*$M1348</f>
        <v>0</v>
      </c>
      <c r="AZ1348" s="30" t="n">
        <f aca="false">215551/100</f>
        <v>2155.51</v>
      </c>
      <c r="BA1348" s="11" t="n">
        <v>1185530</v>
      </c>
      <c r="BB1348" s="31" t="n">
        <f aca="false">SUM(Q1348,S1348,U1348,W1348,Y1348,AA1348,AC1348,AE1348,AG1348,AI1348,AK1348,AM1348,AO1348,AQ1348,AS1348,AU1348,AW1348,AY1348)</f>
        <v>1185530</v>
      </c>
      <c r="BC1348" s="28" t="n">
        <f aca="false">BA1348-BB1348</f>
        <v>0</v>
      </c>
      <c r="BD1348" s="32" t="n">
        <f aca="false">SUM(P1348,R1348,T1348,V1348,X1348,Z1348,AB1348,AD1348,AF1348,AH1348,AJ1348,AL1348,AN1348,AP1348,AR1348,AT1348,AV1348,AX1348)</f>
        <v>2155.51</v>
      </c>
      <c r="BE1348" s="33" t="n">
        <f aca="false">AZ1348-BD1348</f>
        <v>0</v>
      </c>
      <c r="BF1348" s="34" t="n">
        <f aca="false">BD1348*M1348</f>
        <v>1185530.5</v>
      </c>
      <c r="BG1348" s="35" t="n">
        <f aca="false">BA1348-BF1348</f>
        <v>-0.500000000232831</v>
      </c>
      <c r="BH1348" s="19" t="str">
        <f aca="false">IF(BG1348=0,"",IF(BG1348&lt;&gt;BA1348,"erreur de calcul",IF(BD1348&lt;&gt;0,"pas de prix",IF(M1348&lt;&gt; 0,"pas de quantité","pas de prix, ni de quantité"))))</f>
        <v>erreur de calcul</v>
      </c>
      <c r="BI1348" s="19"/>
    </row>
    <row r="1349" customFormat="false" ht="15" hidden="false" customHeight="false" outlineLevel="0" collapsed="false">
      <c r="A1349" s="0" t="n">
        <v>6</v>
      </c>
      <c r="B1349" s="8" t="s">
        <v>24</v>
      </c>
      <c r="C1349" s="9" t="s">
        <v>25</v>
      </c>
      <c r="D1349" s="9" t="s">
        <v>26</v>
      </c>
      <c r="E1349" s="10" t="n">
        <v>1789</v>
      </c>
      <c r="F1349" s="9" t="s">
        <v>27</v>
      </c>
      <c r="G1349" s="9" t="s">
        <v>27</v>
      </c>
      <c r="H1349" s="11" t="n">
        <v>26</v>
      </c>
      <c r="I1349" s="11" t="s">
        <v>377</v>
      </c>
      <c r="J1349" s="14"/>
      <c r="K1349" s="14"/>
      <c r="L1349" s="16"/>
      <c r="M1349" s="27" t="n">
        <f aca="false">J1349+(K1349/20)+(L1349/240)</f>
        <v>0</v>
      </c>
      <c r="N1349" s="17"/>
      <c r="O1349" s="11"/>
      <c r="P1349" s="28"/>
      <c r="Q1349" s="28" t="n">
        <f aca="false">P1349*$M1349</f>
        <v>0</v>
      </c>
      <c r="R1349" s="28"/>
      <c r="S1349" s="28" t="n">
        <f aca="false">R1349*$M1349</f>
        <v>0</v>
      </c>
      <c r="T1349" s="28"/>
      <c r="U1349" s="28" t="n">
        <v>517</v>
      </c>
      <c r="V1349" s="28"/>
      <c r="W1349" s="28" t="n">
        <v>1243</v>
      </c>
      <c r="X1349" s="28"/>
      <c r="Y1349" s="28" t="n">
        <f aca="false">X1349*$M1349</f>
        <v>0</v>
      </c>
      <c r="Z1349" s="28"/>
      <c r="AA1349" s="28" t="n">
        <f aca="false">Z1349*$M1349</f>
        <v>0</v>
      </c>
      <c r="AB1349" s="28"/>
      <c r="AC1349" s="28" t="n">
        <v>694</v>
      </c>
      <c r="AD1349" s="28"/>
      <c r="AE1349" s="28" t="n">
        <f aca="false">AD1349*$M1349</f>
        <v>0</v>
      </c>
      <c r="AF1349" s="28"/>
      <c r="AG1349" s="28" t="n">
        <f aca="false">AF1349*$M1349</f>
        <v>0</v>
      </c>
      <c r="AH1349" s="28"/>
      <c r="AI1349" s="28" t="n">
        <f aca="false">AH1349*$M1349</f>
        <v>0</v>
      </c>
      <c r="AJ1349" s="28"/>
      <c r="AK1349" s="28" t="n">
        <v>664</v>
      </c>
      <c r="AL1349" s="28"/>
      <c r="AM1349" s="28" t="n">
        <v>161</v>
      </c>
      <c r="AN1349" s="28"/>
      <c r="AO1349" s="28" t="n">
        <f aca="false">AN1349*$M1349</f>
        <v>0</v>
      </c>
      <c r="AP1349" s="28"/>
      <c r="AQ1349" s="28" t="n">
        <f aca="false">AP1349*$M1349</f>
        <v>0</v>
      </c>
      <c r="AR1349" s="28"/>
      <c r="AS1349" s="28" t="n">
        <f aca="false">AR1349*$M1349</f>
        <v>0</v>
      </c>
      <c r="AT1349" s="28"/>
      <c r="AU1349" s="28" t="n">
        <f aca="false">AT1349*$M1349</f>
        <v>0</v>
      </c>
      <c r="AV1349" s="28"/>
      <c r="AW1349" s="28" t="n">
        <f aca="false">AV1349*$M1349</f>
        <v>0</v>
      </c>
      <c r="AX1349" s="28"/>
      <c r="AY1349" s="28" t="n">
        <f aca="false">AX1349*$M1349</f>
        <v>0</v>
      </c>
      <c r="AZ1349" s="30"/>
      <c r="BA1349" s="11" t="n">
        <v>3279</v>
      </c>
      <c r="BB1349" s="31" t="n">
        <f aca="false">SUM(Q1349,S1349,U1349,W1349,Y1349,AA1349,AC1349,AE1349,AG1349,AI1349,AK1349,AM1349,AO1349,AQ1349,AS1349,AU1349,AW1349,AY1349)</f>
        <v>3279</v>
      </c>
      <c r="BC1349" s="28" t="n">
        <f aca="false">BA1349-BB1349</f>
        <v>0</v>
      </c>
      <c r="BD1349" s="32" t="n">
        <f aca="false">SUM(P1349,R1349,T1349,V1349,X1349,Z1349,AB1349,AD1349,AF1349,AH1349,AJ1349,AL1349,AN1349,AP1349,AR1349,AT1349,AV1349,AX1349)</f>
        <v>0</v>
      </c>
      <c r="BE1349" s="33" t="n">
        <f aca="false">AZ1349-BD1349</f>
        <v>0</v>
      </c>
      <c r="BF1349" s="34" t="n">
        <f aca="false">BD1349*M1349</f>
        <v>0</v>
      </c>
      <c r="BG1349" s="35" t="n">
        <f aca="false">BA1349-BF1349</f>
        <v>3279</v>
      </c>
      <c r="BH1349" s="19" t="str">
        <f aca="false">IF(BG1349=0,"",IF(BG1349&lt;&gt;BA1349,"erreur de calcul",IF(BD1349&lt;&gt;0,"pas de prix",IF(M1349&lt;&gt; 0,"pas de quantité","pas de prix, ni de quantité"))))</f>
        <v>pas de prix, ni de quantité</v>
      </c>
      <c r="BI1349" s="19"/>
    </row>
    <row r="1350" customFormat="false" ht="15" hidden="false" customHeight="false" outlineLevel="0" collapsed="false">
      <c r="A1350" s="0" t="n">
        <v>7</v>
      </c>
      <c r="B1350" s="8" t="s">
        <v>24</v>
      </c>
      <c r="C1350" s="9" t="s">
        <v>25</v>
      </c>
      <c r="D1350" s="9" t="s">
        <v>26</v>
      </c>
      <c r="E1350" s="10" t="n">
        <v>1789</v>
      </c>
      <c r="F1350" s="9" t="s">
        <v>27</v>
      </c>
      <c r="G1350" s="9" t="s">
        <v>27</v>
      </c>
      <c r="H1350" s="11" t="n">
        <v>26</v>
      </c>
      <c r="I1350" s="11" t="s">
        <v>378</v>
      </c>
      <c r="J1350" s="14" t="n">
        <v>27</v>
      </c>
      <c r="K1350" s="14"/>
      <c r="L1350" s="16"/>
      <c r="M1350" s="27" t="n">
        <f aca="false">J1350+(K1350/20)+(L1350/240)</f>
        <v>27</v>
      </c>
      <c r="N1350" s="17" t="s">
        <v>379</v>
      </c>
      <c r="O1350" s="11" t="s">
        <v>98</v>
      </c>
      <c r="P1350" s="28"/>
      <c r="Q1350" s="28" t="n">
        <f aca="false">P1350*$M1350</f>
        <v>0</v>
      </c>
      <c r="R1350" s="28"/>
      <c r="S1350" s="28" t="n">
        <f aca="false">R1350*$M1350</f>
        <v>0</v>
      </c>
      <c r="T1350" s="28"/>
      <c r="U1350" s="28" t="n">
        <f aca="false">T1350*$M1350</f>
        <v>0</v>
      </c>
      <c r="V1350" s="28"/>
      <c r="W1350" s="28" t="n">
        <f aca="false">V1350*$M1350</f>
        <v>0</v>
      </c>
      <c r="X1350" s="28"/>
      <c r="Y1350" s="28" t="n">
        <f aca="false">X1350*$M1350</f>
        <v>0</v>
      </c>
      <c r="Z1350" s="28"/>
      <c r="AA1350" s="28" t="n">
        <f aca="false">Z1350*$M1350</f>
        <v>0</v>
      </c>
      <c r="AB1350" s="28"/>
      <c r="AC1350" s="28" t="n">
        <f aca="false">AB1350*$M1350</f>
        <v>0</v>
      </c>
      <c r="AD1350" s="28"/>
      <c r="AE1350" s="28" t="n">
        <f aca="false">AD1350*$M1350</f>
        <v>0</v>
      </c>
      <c r="AF1350" s="28"/>
      <c r="AG1350" s="28" t="n">
        <f aca="false">AF1350*$M1350</f>
        <v>0</v>
      </c>
      <c r="AH1350" s="28"/>
      <c r="AI1350" s="28" t="n">
        <f aca="false">AH1350*$M1350</f>
        <v>0</v>
      </c>
      <c r="AJ1350" s="28"/>
      <c r="AK1350" s="28" t="n">
        <f aca="false">AJ1350*$M1350</f>
        <v>0</v>
      </c>
      <c r="AL1350" s="28"/>
      <c r="AM1350" s="28" t="n">
        <f aca="false">AL1350*$M1350</f>
        <v>0</v>
      </c>
      <c r="AN1350" s="28"/>
      <c r="AO1350" s="28" t="n">
        <f aca="false">AN1350*$M1350</f>
        <v>0</v>
      </c>
      <c r="AP1350" s="28"/>
      <c r="AQ1350" s="28" t="n">
        <f aca="false">AP1350*$M1350</f>
        <v>0</v>
      </c>
      <c r="AR1350" s="28"/>
      <c r="AS1350" s="28" t="n">
        <f aca="false">AR1350*$M1350</f>
        <v>0</v>
      </c>
      <c r="AT1350" s="28"/>
      <c r="AU1350" s="28" t="n">
        <f aca="false">AT1350*$M1350</f>
        <v>0</v>
      </c>
      <c r="AV1350" s="28"/>
      <c r="AW1350" s="28" t="n">
        <f aca="false">AV1350*$M1350</f>
        <v>0</v>
      </c>
      <c r="AX1350" s="28"/>
      <c r="AY1350" s="28" t="n">
        <f aca="false">AX1350*$M1350</f>
        <v>0</v>
      </c>
      <c r="AZ1350" s="30"/>
      <c r="BA1350" s="11"/>
      <c r="BB1350" s="31" t="n">
        <f aca="false">SUM(Q1350,S1350,U1350,W1350,Y1350,AA1350,AC1350,AE1350,AG1350,AI1350,AK1350,AM1350,AO1350,AQ1350,AS1350,AU1350,AW1350,AY1350)</f>
        <v>0</v>
      </c>
      <c r="BC1350" s="28" t="n">
        <f aca="false">BA1350-BB1350</f>
        <v>0</v>
      </c>
      <c r="BD1350" s="32" t="n">
        <f aca="false">SUM(P1350,R1350,T1350,V1350,X1350,Z1350,AB1350,AD1350,AF1350,AH1350,AJ1350,AL1350,AN1350,AP1350,AR1350,AT1350,AV1350,AX1350)</f>
        <v>0</v>
      </c>
      <c r="BE1350" s="33" t="n">
        <f aca="false">AZ1350-BD1350</f>
        <v>0</v>
      </c>
      <c r="BF1350" s="34" t="n">
        <f aca="false">BD1350*M1350</f>
        <v>0</v>
      </c>
      <c r="BG1350" s="35" t="n">
        <f aca="false">BA1350-BF1350</f>
        <v>0</v>
      </c>
      <c r="BH1350" s="19" t="str">
        <f aca="false">IF(BG1350=0,"",IF(BG1350&lt;&gt;BA1350,"erreur de calcul",IF(BD1350&lt;&gt;0,"pas de prix",IF(M1350&lt;&gt; 0,"pas de quantité","pas de prix, ni de quantité"))))</f>
        <v/>
      </c>
      <c r="BI1350" s="19"/>
    </row>
    <row r="1351" customFormat="false" ht="15" hidden="false" customHeight="false" outlineLevel="0" collapsed="false">
      <c r="A1351" s="0" t="n">
        <v>8</v>
      </c>
      <c r="B1351" s="8" t="s">
        <v>24</v>
      </c>
      <c r="C1351" s="9" t="s">
        <v>25</v>
      </c>
      <c r="D1351" s="9" t="s">
        <v>26</v>
      </c>
      <c r="E1351" s="10" t="n">
        <v>1789</v>
      </c>
      <c r="F1351" s="9" t="s">
        <v>27</v>
      </c>
      <c r="G1351" s="9" t="s">
        <v>27</v>
      </c>
      <c r="H1351" s="11" t="n">
        <v>26</v>
      </c>
      <c r="I1351" s="11" t="s">
        <v>380</v>
      </c>
      <c r="J1351" s="14" t="n">
        <v>30</v>
      </c>
      <c r="K1351" s="14"/>
      <c r="L1351" s="16"/>
      <c r="M1351" s="27" t="n">
        <f aca="false">J1351+(K1351/20)+(L1351/240)</f>
        <v>30</v>
      </c>
      <c r="N1351" s="17" t="s">
        <v>64</v>
      </c>
      <c r="O1351" s="11"/>
      <c r="P1351" s="28"/>
      <c r="Q1351" s="28" t="n">
        <f aca="false">P1351*$M1351</f>
        <v>0</v>
      </c>
      <c r="R1351" s="28"/>
      <c r="S1351" s="28" t="n">
        <f aca="false">R1351*$M1351</f>
        <v>0</v>
      </c>
      <c r="T1351" s="28"/>
      <c r="U1351" s="28" t="n">
        <f aca="false">T1351*$M1351</f>
        <v>0</v>
      </c>
      <c r="V1351" s="28"/>
      <c r="W1351" s="28" t="n">
        <f aca="false">V1351*$M1351</f>
        <v>0</v>
      </c>
      <c r="X1351" s="28"/>
      <c r="Y1351" s="28" t="n">
        <f aca="false">X1351*$M1351</f>
        <v>0</v>
      </c>
      <c r="Z1351" s="28"/>
      <c r="AA1351" s="28" t="n">
        <f aca="false">Z1351*$M1351</f>
        <v>0</v>
      </c>
      <c r="AB1351" s="28"/>
      <c r="AC1351" s="28" t="n">
        <f aca="false">AB1351*$M1351</f>
        <v>0</v>
      </c>
      <c r="AD1351" s="28"/>
      <c r="AE1351" s="28" t="n">
        <f aca="false">AD1351*$M1351</f>
        <v>0</v>
      </c>
      <c r="AF1351" s="28"/>
      <c r="AG1351" s="28" t="n">
        <f aca="false">AF1351*$M1351</f>
        <v>0</v>
      </c>
      <c r="AH1351" s="28"/>
      <c r="AI1351" s="28" t="n">
        <f aca="false">AH1351*$M1351</f>
        <v>0</v>
      </c>
      <c r="AJ1351" s="28"/>
      <c r="AK1351" s="28" t="n">
        <f aca="false">AJ1351*$M1351</f>
        <v>0</v>
      </c>
      <c r="AL1351" s="28"/>
      <c r="AM1351" s="28" t="n">
        <f aca="false">AL1351*$M1351</f>
        <v>0</v>
      </c>
      <c r="AN1351" s="28"/>
      <c r="AO1351" s="28" t="n">
        <f aca="false">AN1351*$M1351</f>
        <v>0</v>
      </c>
      <c r="AP1351" s="28"/>
      <c r="AQ1351" s="28" t="n">
        <f aca="false">AP1351*$M1351</f>
        <v>0</v>
      </c>
      <c r="AR1351" s="28"/>
      <c r="AS1351" s="28" t="n">
        <f aca="false">AR1351*$M1351</f>
        <v>0</v>
      </c>
      <c r="AT1351" s="28"/>
      <c r="AU1351" s="28" t="n">
        <f aca="false">AT1351*$M1351</f>
        <v>0</v>
      </c>
      <c r="AV1351" s="28" t="n">
        <f aca="false">5417/100</f>
        <v>54.17</v>
      </c>
      <c r="AW1351" s="28" t="n">
        <v>1625</v>
      </c>
      <c r="AX1351" s="28"/>
      <c r="AY1351" s="28" t="n">
        <f aca="false">AX1351*$M1351</f>
        <v>0</v>
      </c>
      <c r="AZ1351" s="30"/>
      <c r="BA1351" s="11" t="n">
        <v>1625</v>
      </c>
      <c r="BB1351" s="31" t="n">
        <f aca="false">SUM(Q1351,S1351,U1351,W1351,Y1351,AA1351,AC1351,AE1351,AG1351,AI1351,AK1351,AM1351,AO1351,AQ1351,AS1351,AU1351,AW1351,AY1351)</f>
        <v>1625</v>
      </c>
      <c r="BC1351" s="28" t="n">
        <f aca="false">BA1351-BB1351</f>
        <v>0</v>
      </c>
      <c r="BD1351" s="32" t="n">
        <f aca="false">SUM(P1351,R1351,T1351,V1351,X1351,Z1351,AB1351,AD1351,AF1351,AH1351,AJ1351,AL1351,AN1351,AP1351,AR1351,AT1351,AV1351,AX1351)</f>
        <v>54.17</v>
      </c>
      <c r="BE1351" s="33" t="n">
        <f aca="false">AZ1351-BD1351</f>
        <v>-54.17</v>
      </c>
      <c r="BF1351" s="34" t="n">
        <f aca="false">BD1351*M1351</f>
        <v>1625.1</v>
      </c>
      <c r="BG1351" s="35" t="n">
        <f aca="false">BA1351-BF1351</f>
        <v>-0.100000000000136</v>
      </c>
      <c r="BH1351" s="19" t="str">
        <f aca="false">IF(BG1351=0,"",IF(BG1351&lt;&gt;BA1351,"erreur de calcul",IF(BD1351&lt;&gt;0,"pas de prix",IF(M1351&lt;&gt; 0,"pas de quantité","pas de prix, ni de quantité"))))</f>
        <v>erreur de calcul</v>
      </c>
      <c r="BI1351" s="19"/>
    </row>
    <row r="1352" customFormat="false" ht="15" hidden="false" customHeight="false" outlineLevel="0" collapsed="false">
      <c r="A1352" s="0" t="n">
        <v>9</v>
      </c>
      <c r="B1352" s="8" t="s">
        <v>24</v>
      </c>
      <c r="C1352" s="9" t="s">
        <v>25</v>
      </c>
      <c r="D1352" s="9" t="s">
        <v>26</v>
      </c>
      <c r="E1352" s="10" t="n">
        <v>1789</v>
      </c>
      <c r="F1352" s="9" t="s">
        <v>27</v>
      </c>
      <c r="G1352" s="9" t="s">
        <v>27</v>
      </c>
      <c r="H1352" s="11" t="n">
        <v>26</v>
      </c>
      <c r="I1352" s="11" t="s">
        <v>381</v>
      </c>
      <c r="J1352" s="14" t="n">
        <v>6</v>
      </c>
      <c r="K1352" s="14"/>
      <c r="L1352" s="16"/>
      <c r="M1352" s="27" t="n">
        <f aca="false">J1352+(K1352/20)+(L1352/240)</f>
        <v>6</v>
      </c>
      <c r="N1352" s="17" t="s">
        <v>379</v>
      </c>
      <c r="O1352" s="11" t="s">
        <v>98</v>
      </c>
      <c r="P1352" s="28"/>
      <c r="Q1352" s="28" t="n">
        <f aca="false">P1352*$M1352</f>
        <v>0</v>
      </c>
      <c r="R1352" s="28"/>
      <c r="S1352" s="28" t="n">
        <f aca="false">R1352*$M1352</f>
        <v>0</v>
      </c>
      <c r="T1352" s="28"/>
      <c r="U1352" s="28" t="n">
        <f aca="false">T1352*$M1352</f>
        <v>0</v>
      </c>
      <c r="V1352" s="28"/>
      <c r="W1352" s="28" t="n">
        <f aca="false">V1352*$M1352</f>
        <v>0</v>
      </c>
      <c r="X1352" s="28"/>
      <c r="Y1352" s="28" t="n">
        <f aca="false">X1352*$M1352</f>
        <v>0</v>
      </c>
      <c r="Z1352" s="28"/>
      <c r="AA1352" s="28" t="n">
        <f aca="false">Z1352*$M1352</f>
        <v>0</v>
      </c>
      <c r="AB1352" s="28"/>
      <c r="AC1352" s="28" t="n">
        <f aca="false">AB1352*$M1352</f>
        <v>0</v>
      </c>
      <c r="AD1352" s="28"/>
      <c r="AE1352" s="28" t="n">
        <f aca="false">AD1352*$M1352</f>
        <v>0</v>
      </c>
      <c r="AF1352" s="28"/>
      <c r="AG1352" s="28" t="n">
        <f aca="false">AF1352*$M1352</f>
        <v>0</v>
      </c>
      <c r="AH1352" s="28"/>
      <c r="AI1352" s="28" t="n">
        <f aca="false">AH1352*$M1352</f>
        <v>0</v>
      </c>
      <c r="AJ1352" s="28"/>
      <c r="AK1352" s="28" t="n">
        <f aca="false">AJ1352*$M1352</f>
        <v>0</v>
      </c>
      <c r="AL1352" s="28"/>
      <c r="AM1352" s="28" t="n">
        <f aca="false">AL1352*$M1352</f>
        <v>0</v>
      </c>
      <c r="AN1352" s="28"/>
      <c r="AO1352" s="28" t="n">
        <f aca="false">AN1352*$M1352</f>
        <v>0</v>
      </c>
      <c r="AP1352" s="28"/>
      <c r="AQ1352" s="28" t="n">
        <f aca="false">AP1352*$M1352</f>
        <v>0</v>
      </c>
      <c r="AR1352" s="28"/>
      <c r="AS1352" s="28" t="n">
        <f aca="false">AR1352*$M1352</f>
        <v>0</v>
      </c>
      <c r="AT1352" s="28"/>
      <c r="AU1352" s="28" t="n">
        <f aca="false">AT1352*$M1352</f>
        <v>0</v>
      </c>
      <c r="AV1352" s="28"/>
      <c r="AW1352" s="28" t="n">
        <f aca="false">AV1352*$M1352</f>
        <v>0</v>
      </c>
      <c r="AX1352" s="28"/>
      <c r="AY1352" s="28" t="n">
        <f aca="false">AX1352*$M1352</f>
        <v>0</v>
      </c>
      <c r="AZ1352" s="30"/>
      <c r="BA1352" s="11"/>
      <c r="BB1352" s="31" t="n">
        <f aca="false">SUM(Q1352,S1352,U1352,W1352,Y1352,AA1352,AC1352,AE1352,AG1352,AI1352,AK1352,AM1352,AO1352,AQ1352,AS1352,AU1352,AW1352,AY1352)</f>
        <v>0</v>
      </c>
      <c r="BC1352" s="28" t="n">
        <f aca="false">BA1352-BB1352</f>
        <v>0</v>
      </c>
      <c r="BD1352" s="32" t="n">
        <f aca="false">SUM(P1352,R1352,T1352,V1352,X1352,Z1352,AB1352,AD1352,AF1352,AH1352,AJ1352,AL1352,AN1352,AP1352,AR1352,AT1352,AV1352,AX1352)</f>
        <v>0</v>
      </c>
      <c r="BE1352" s="33" t="n">
        <f aca="false">AZ1352-BD1352</f>
        <v>0</v>
      </c>
      <c r="BF1352" s="34" t="n">
        <f aca="false">BD1352*M1352</f>
        <v>0</v>
      </c>
      <c r="BG1352" s="35" t="n">
        <f aca="false">BA1352-BF1352</f>
        <v>0</v>
      </c>
      <c r="BH1352" s="19" t="str">
        <f aca="false">IF(BG1352=0,"",IF(BG1352&lt;&gt;BA1352,"erreur de calcul",IF(BD1352&lt;&gt;0,"pas de prix",IF(M1352&lt;&gt; 0,"pas de quantité","pas de prix, ni de quantité"))))</f>
        <v/>
      </c>
      <c r="BI1352" s="19"/>
    </row>
    <row r="1353" customFormat="false" ht="15" hidden="false" customHeight="false" outlineLevel="0" collapsed="false">
      <c r="A1353" s="0" t="n">
        <v>10</v>
      </c>
      <c r="B1353" s="8" t="s">
        <v>24</v>
      </c>
      <c r="C1353" s="9" t="s">
        <v>25</v>
      </c>
      <c r="D1353" s="9" t="s">
        <v>26</v>
      </c>
      <c r="E1353" s="10" t="n">
        <v>1789</v>
      </c>
      <c r="F1353" s="9" t="s">
        <v>27</v>
      </c>
      <c r="G1353" s="9" t="s">
        <v>27</v>
      </c>
      <c r="H1353" s="11" t="n">
        <v>26</v>
      </c>
      <c r="I1353" s="11" t="s">
        <v>381</v>
      </c>
      <c r="J1353" s="14" t="n">
        <v>40</v>
      </c>
      <c r="K1353" s="14"/>
      <c r="L1353" s="16"/>
      <c r="M1353" s="27" t="n">
        <f aca="false">J1353+(K1353/20)+(L1353/240)</f>
        <v>40</v>
      </c>
      <c r="N1353" s="17" t="s">
        <v>382</v>
      </c>
      <c r="O1353" s="11" t="s">
        <v>98</v>
      </c>
      <c r="P1353" s="28"/>
      <c r="Q1353" s="28" t="n">
        <f aca="false">P1353*$M1353</f>
        <v>0</v>
      </c>
      <c r="R1353" s="28"/>
      <c r="S1353" s="28" t="n">
        <f aca="false">R1353*$M1353</f>
        <v>0</v>
      </c>
      <c r="T1353" s="28"/>
      <c r="U1353" s="28" t="n">
        <f aca="false">T1353*$M1353</f>
        <v>0</v>
      </c>
      <c r="V1353" s="28"/>
      <c r="W1353" s="28" t="n">
        <f aca="false">V1353*$M1353</f>
        <v>0</v>
      </c>
      <c r="X1353" s="28"/>
      <c r="Y1353" s="28" t="n">
        <f aca="false">X1353*$M1353</f>
        <v>0</v>
      </c>
      <c r="Z1353" s="28"/>
      <c r="AA1353" s="28" t="n">
        <f aca="false">Z1353*$M1353</f>
        <v>0</v>
      </c>
      <c r="AB1353" s="28"/>
      <c r="AC1353" s="28" t="n">
        <f aca="false">AB1353*$M1353</f>
        <v>0</v>
      </c>
      <c r="AD1353" s="28"/>
      <c r="AE1353" s="28" t="n">
        <f aca="false">AD1353*$M1353</f>
        <v>0</v>
      </c>
      <c r="AF1353" s="28"/>
      <c r="AG1353" s="28" t="n">
        <f aca="false">AF1353*$M1353</f>
        <v>0</v>
      </c>
      <c r="AH1353" s="28"/>
      <c r="AI1353" s="28" t="n">
        <f aca="false">AH1353*$M1353</f>
        <v>0</v>
      </c>
      <c r="AJ1353" s="28"/>
      <c r="AK1353" s="28" t="n">
        <f aca="false">AJ1353*$M1353</f>
        <v>0</v>
      </c>
      <c r="AL1353" s="28"/>
      <c r="AM1353" s="28" t="n">
        <f aca="false">AL1353*$M1353</f>
        <v>0</v>
      </c>
      <c r="AN1353" s="28"/>
      <c r="AO1353" s="28" t="n">
        <f aca="false">AN1353*$M1353</f>
        <v>0</v>
      </c>
      <c r="AP1353" s="28"/>
      <c r="AQ1353" s="28" t="n">
        <f aca="false">AP1353*$M1353</f>
        <v>0</v>
      </c>
      <c r="AR1353" s="28"/>
      <c r="AS1353" s="28" t="n">
        <f aca="false">AR1353*$M1353</f>
        <v>0</v>
      </c>
      <c r="AT1353" s="28"/>
      <c r="AU1353" s="28" t="n">
        <f aca="false">AT1353*$M1353</f>
        <v>0</v>
      </c>
      <c r="AV1353" s="28"/>
      <c r="AW1353" s="28" t="n">
        <f aca="false">AV1353*$M1353</f>
        <v>0</v>
      </c>
      <c r="AX1353" s="28"/>
      <c r="AY1353" s="28" t="n">
        <f aca="false">AX1353*$M1353</f>
        <v>0</v>
      </c>
      <c r="AZ1353" s="30"/>
      <c r="BA1353" s="11"/>
      <c r="BB1353" s="31" t="n">
        <f aca="false">SUM(Q1353,S1353,U1353,W1353,Y1353,AA1353,AC1353,AE1353,AG1353,AI1353,AK1353,AM1353,AO1353,AQ1353,AS1353,AU1353,AW1353,AY1353)</f>
        <v>0</v>
      </c>
      <c r="BC1353" s="28" t="n">
        <f aca="false">BA1353-BB1353</f>
        <v>0</v>
      </c>
      <c r="BD1353" s="32" t="n">
        <f aca="false">SUM(P1353,R1353,T1353,V1353,X1353,Z1353,AB1353,AD1353,AF1353,AH1353,AJ1353,AL1353,AN1353,AP1353,AR1353,AT1353,AV1353,AX1353)</f>
        <v>0</v>
      </c>
      <c r="BE1353" s="33" t="n">
        <f aca="false">AZ1353-BD1353</f>
        <v>0</v>
      </c>
      <c r="BF1353" s="34" t="n">
        <f aca="false">BD1353*M1353</f>
        <v>0</v>
      </c>
      <c r="BG1353" s="35" t="n">
        <f aca="false">BA1353-BF1353</f>
        <v>0</v>
      </c>
      <c r="BH1353" s="19" t="str">
        <f aca="false">IF(BG1353=0,"",IF(BG1353&lt;&gt;BA1353,"erreur de calcul",IF(BD1353&lt;&gt;0,"pas de prix",IF(M1353&lt;&gt; 0,"pas de quantité","pas de prix, ni de quantité"))))</f>
        <v/>
      </c>
      <c r="BI1353" s="19"/>
    </row>
    <row r="1354" customFormat="false" ht="15" hidden="false" customHeight="false" outlineLevel="0" collapsed="false">
      <c r="A1354" s="0" t="n">
        <v>11</v>
      </c>
      <c r="B1354" s="8" t="s">
        <v>24</v>
      </c>
      <c r="C1354" s="9" t="s">
        <v>25</v>
      </c>
      <c r="D1354" s="9" t="s">
        <v>26</v>
      </c>
      <c r="E1354" s="10" t="n">
        <v>1789</v>
      </c>
      <c r="F1354" s="9" t="s">
        <v>27</v>
      </c>
      <c r="G1354" s="9" t="s">
        <v>27</v>
      </c>
      <c r="H1354" s="11" t="n">
        <v>26</v>
      </c>
      <c r="I1354" s="11" t="s">
        <v>383</v>
      </c>
      <c r="J1354" s="14" t="n">
        <v>50</v>
      </c>
      <c r="K1354" s="14"/>
      <c r="L1354" s="16"/>
      <c r="M1354" s="27" t="n">
        <f aca="false">J1354+(K1354/20)+(L1354/240)</f>
        <v>50</v>
      </c>
      <c r="N1354" s="17" t="s">
        <v>64</v>
      </c>
      <c r="O1354" s="11"/>
      <c r="P1354" s="28" t="n">
        <f aca="false">54967/100</f>
        <v>549.67</v>
      </c>
      <c r="Q1354" s="28" t="n">
        <v>27483</v>
      </c>
      <c r="R1354" s="28"/>
      <c r="S1354" s="28" t="n">
        <f aca="false">R1354*$M1354</f>
        <v>0</v>
      </c>
      <c r="T1354" s="28" t="n">
        <f aca="false">74693/100</f>
        <v>746.93</v>
      </c>
      <c r="U1354" s="28" t="n">
        <v>37346</v>
      </c>
      <c r="V1354" s="28" t="n">
        <f aca="false">161729/100</f>
        <v>1617.29</v>
      </c>
      <c r="W1354" s="28" t="n">
        <v>80864</v>
      </c>
      <c r="X1354" s="28" t="n">
        <f aca="false">106689/100</f>
        <v>1066.89</v>
      </c>
      <c r="Y1354" s="28" t="n">
        <v>53344</v>
      </c>
      <c r="Z1354" s="28"/>
      <c r="AA1354" s="28" t="n">
        <f aca="false">Z1354*$M1354</f>
        <v>0</v>
      </c>
      <c r="AB1354" s="28"/>
      <c r="AC1354" s="28" t="n">
        <f aca="false">AB1354*$M1354</f>
        <v>0</v>
      </c>
      <c r="AD1354" s="28"/>
      <c r="AE1354" s="28" t="n">
        <f aca="false">AD1354*$M1354</f>
        <v>0</v>
      </c>
      <c r="AF1354" s="28"/>
      <c r="AG1354" s="28" t="n">
        <f aca="false">AF1354*$M1354</f>
        <v>0</v>
      </c>
      <c r="AH1354" s="28"/>
      <c r="AI1354" s="28" t="n">
        <f aca="false">AH1354*$M1354</f>
        <v>0</v>
      </c>
      <c r="AJ1354" s="28"/>
      <c r="AK1354" s="28" t="n">
        <f aca="false">AJ1354*$M1354</f>
        <v>0</v>
      </c>
      <c r="AL1354" s="28"/>
      <c r="AM1354" s="28" t="n">
        <f aca="false">AL1354*$M1354</f>
        <v>0</v>
      </c>
      <c r="AN1354" s="28"/>
      <c r="AO1354" s="28" t="n">
        <f aca="false">AN1354*$M1354</f>
        <v>0</v>
      </c>
      <c r="AP1354" s="28"/>
      <c r="AQ1354" s="28" t="n">
        <f aca="false">AP1354*$M1354</f>
        <v>0</v>
      </c>
      <c r="AR1354" s="28"/>
      <c r="AS1354" s="28" t="n">
        <f aca="false">AR1354*$M1354</f>
        <v>0</v>
      </c>
      <c r="AT1354" s="28"/>
      <c r="AU1354" s="28" t="n">
        <f aca="false">AT1354*$M1354</f>
        <v>0</v>
      </c>
      <c r="AV1354" s="28"/>
      <c r="AW1354" s="28" t="n">
        <f aca="false">AV1354*$M1354</f>
        <v>0</v>
      </c>
      <c r="AX1354" s="28"/>
      <c r="AY1354" s="28" t="n">
        <f aca="false">AX1354*$M1354</f>
        <v>0</v>
      </c>
      <c r="AZ1354" s="30" t="n">
        <f aca="false">398078/100</f>
        <v>3980.78</v>
      </c>
      <c r="BA1354" s="11" t="n">
        <v>199037</v>
      </c>
      <c r="BB1354" s="31" t="n">
        <f aca="false">SUM(Q1354,S1354,U1354,W1354,Y1354,AA1354,AC1354,AE1354,AG1354,AI1354,AK1354,AM1354,AO1354,AQ1354,AS1354,AU1354,AW1354,AY1354)</f>
        <v>199037</v>
      </c>
      <c r="BC1354" s="28" t="n">
        <f aca="false">BA1354-BB1354</f>
        <v>0</v>
      </c>
      <c r="BD1354" s="32" t="n">
        <f aca="false">SUM(P1354,R1354,T1354,V1354,X1354,Z1354,AB1354,AD1354,AF1354,AH1354,AJ1354,AL1354,AN1354,AP1354,AR1354,AT1354,AV1354,AX1354)</f>
        <v>3980.78</v>
      </c>
      <c r="BE1354" s="33" t="n">
        <f aca="false">AZ1354-BD1354</f>
        <v>0</v>
      </c>
      <c r="BF1354" s="34" t="n">
        <f aca="false">BD1354*M1354</f>
        <v>199039</v>
      </c>
      <c r="BG1354" s="35" t="n">
        <f aca="false">BA1354-BF1354</f>
        <v>-2</v>
      </c>
      <c r="BH1354" s="19" t="str">
        <f aca="false">IF(BG1354=0,"",IF(BG1354&lt;&gt;BA1354,"erreur de calcul",IF(BD1354&lt;&gt;0,"pas de prix",IF(M1354&lt;&gt; 0,"pas de quantité","pas de prix, ni de quantité"))))</f>
        <v>erreur de calcul</v>
      </c>
      <c r="BI1354" s="19"/>
    </row>
    <row r="1355" customFormat="false" ht="15" hidden="false" customHeight="false" outlineLevel="0" collapsed="false">
      <c r="A1355" s="0" t="n">
        <v>12</v>
      </c>
      <c r="B1355" s="8" t="s">
        <v>24</v>
      </c>
      <c r="C1355" s="9" t="s">
        <v>25</v>
      </c>
      <c r="D1355" s="9" t="s">
        <v>26</v>
      </c>
      <c r="E1355" s="10" t="n">
        <v>1789</v>
      </c>
      <c r="F1355" s="9" t="s">
        <v>27</v>
      </c>
      <c r="G1355" s="9" t="s">
        <v>27</v>
      </c>
      <c r="H1355" s="11" t="n">
        <v>26</v>
      </c>
      <c r="I1355" s="11" t="s">
        <v>384</v>
      </c>
      <c r="J1355" s="14" t="n">
        <v>27</v>
      </c>
      <c r="K1355" s="14"/>
      <c r="L1355" s="16"/>
      <c r="M1355" s="27" t="n">
        <f aca="false">J1355+(K1355/20)+(L1355/240)</f>
        <v>27</v>
      </c>
      <c r="N1355" s="17" t="s">
        <v>64</v>
      </c>
      <c r="O1355" s="11"/>
      <c r="P1355" s="28"/>
      <c r="Q1355" s="28" t="n">
        <f aca="false">P1355*$M1355</f>
        <v>0</v>
      </c>
      <c r="R1355" s="28"/>
      <c r="S1355" s="28" t="n">
        <f aca="false">R1355*$M1355</f>
        <v>0</v>
      </c>
      <c r="T1355" s="28"/>
      <c r="U1355" s="28" t="n">
        <f aca="false">T1355*$M1355</f>
        <v>0</v>
      </c>
      <c r="V1355" s="28"/>
      <c r="W1355" s="28" t="n">
        <f aca="false">V1355*$M1355</f>
        <v>0</v>
      </c>
      <c r="X1355" s="28" t="n">
        <f aca="false">13334/100</f>
        <v>133.34</v>
      </c>
      <c r="Y1355" s="28" t="n">
        <v>3600</v>
      </c>
      <c r="Z1355" s="28"/>
      <c r="AA1355" s="28" t="n">
        <f aca="false">Z1355*$M1355</f>
        <v>0</v>
      </c>
      <c r="AB1355" s="28"/>
      <c r="AC1355" s="28" t="n">
        <f aca="false">AB1355*$M1355</f>
        <v>0</v>
      </c>
      <c r="AD1355" s="28"/>
      <c r="AE1355" s="28" t="n">
        <f aca="false">AD1355*$M1355</f>
        <v>0</v>
      </c>
      <c r="AF1355" s="28"/>
      <c r="AG1355" s="28" t="n">
        <f aca="false">AF1355*$M1355</f>
        <v>0</v>
      </c>
      <c r="AH1355" s="28"/>
      <c r="AI1355" s="28" t="n">
        <f aca="false">AH1355*$M1355</f>
        <v>0</v>
      </c>
      <c r="AJ1355" s="28"/>
      <c r="AK1355" s="28" t="n">
        <f aca="false">AJ1355*$M1355</f>
        <v>0</v>
      </c>
      <c r="AL1355" s="28"/>
      <c r="AM1355" s="28" t="n">
        <f aca="false">AL1355*$M1355</f>
        <v>0</v>
      </c>
      <c r="AN1355" s="28"/>
      <c r="AO1355" s="28" t="n">
        <f aca="false">AN1355*$M1355</f>
        <v>0</v>
      </c>
      <c r="AP1355" s="28"/>
      <c r="AQ1355" s="28" t="n">
        <f aca="false">AP1355*$M1355</f>
        <v>0</v>
      </c>
      <c r="AR1355" s="28"/>
      <c r="AS1355" s="28" t="n">
        <f aca="false">AR1355*$M1355</f>
        <v>0</v>
      </c>
      <c r="AT1355" s="28"/>
      <c r="AU1355" s="28" t="n">
        <f aca="false">AT1355*$M1355</f>
        <v>0</v>
      </c>
      <c r="AV1355" s="28"/>
      <c r="AW1355" s="28" t="n">
        <f aca="false">AV1355*$M1355</f>
        <v>0</v>
      </c>
      <c r="AX1355" s="28"/>
      <c r="AY1355" s="28" t="n">
        <f aca="false">AX1355*$M1355</f>
        <v>0</v>
      </c>
      <c r="AZ1355" s="30" t="n">
        <f aca="false">13334/100</f>
        <v>133.34</v>
      </c>
      <c r="BA1355" s="11" t="n">
        <v>3600</v>
      </c>
      <c r="BB1355" s="31" t="n">
        <f aca="false">SUM(Q1355,S1355,U1355,W1355,Y1355,AA1355,AC1355,AE1355,AG1355,AI1355,AK1355,AM1355,AO1355,AQ1355,AS1355,AU1355,AW1355,AY1355)</f>
        <v>3600</v>
      </c>
      <c r="BC1355" s="28" t="n">
        <f aca="false">BA1355-BB1355</f>
        <v>0</v>
      </c>
      <c r="BD1355" s="32" t="n">
        <f aca="false">SUM(P1355,R1355,T1355,V1355,X1355,Z1355,AB1355,AD1355,AF1355,AH1355,AJ1355,AL1355,AN1355,AP1355,AR1355,AT1355,AV1355,AX1355)</f>
        <v>133.34</v>
      </c>
      <c r="BE1355" s="33" t="n">
        <f aca="false">AZ1355-BD1355</f>
        <v>0</v>
      </c>
      <c r="BF1355" s="34" t="n">
        <f aca="false">BD1355*M1355</f>
        <v>3600.18</v>
      </c>
      <c r="BG1355" s="35" t="n">
        <f aca="false">BA1355-BF1355</f>
        <v>-0.180000000000291</v>
      </c>
      <c r="BH1355" s="19" t="str">
        <f aca="false">IF(BG1355=0,"",IF(BG1355&lt;&gt;BA1355,"erreur de calcul",IF(BD1355&lt;&gt;0,"pas de prix",IF(M1355&lt;&gt; 0,"pas de quantité","pas de prix, ni de quantité"))))</f>
        <v>erreur de calcul</v>
      </c>
      <c r="BI1355" s="19"/>
    </row>
    <row r="1356" customFormat="false" ht="15" hidden="false" customHeight="false" outlineLevel="0" collapsed="false">
      <c r="A1356" s="0" t="n">
        <v>13</v>
      </c>
      <c r="B1356" s="8" t="s">
        <v>24</v>
      </c>
      <c r="C1356" s="9" t="s">
        <v>25</v>
      </c>
      <c r="D1356" s="9" t="s">
        <v>26</v>
      </c>
      <c r="E1356" s="10" t="n">
        <v>1789</v>
      </c>
      <c r="F1356" s="9" t="s">
        <v>27</v>
      </c>
      <c r="G1356" s="9" t="s">
        <v>27</v>
      </c>
      <c r="H1356" s="11" t="n">
        <v>26</v>
      </c>
      <c r="I1356" s="11" t="s">
        <v>385</v>
      </c>
      <c r="J1356" s="14" t="n">
        <v>40</v>
      </c>
      <c r="K1356" s="14"/>
      <c r="L1356" s="16"/>
      <c r="M1356" s="27" t="n">
        <f aca="false">J1356+(K1356/20)+(L1356/240)</f>
        <v>40</v>
      </c>
      <c r="N1356" s="17" t="s">
        <v>64</v>
      </c>
      <c r="O1356" s="11"/>
      <c r="P1356" s="28"/>
      <c r="Q1356" s="28" t="n">
        <f aca="false">P1356*$M1356</f>
        <v>0</v>
      </c>
      <c r="R1356" s="28"/>
      <c r="S1356" s="28" t="n">
        <f aca="false">R1356*$M1356</f>
        <v>0</v>
      </c>
      <c r="T1356" s="28" t="n">
        <f aca="false">13801/100</f>
        <v>138.01</v>
      </c>
      <c r="U1356" s="28" t="n">
        <v>5520</v>
      </c>
      <c r="V1356" s="28"/>
      <c r="W1356" s="28" t="n">
        <f aca="false">V1356*$M1356</f>
        <v>0</v>
      </c>
      <c r="X1356" s="28"/>
      <c r="Y1356" s="28" t="n">
        <f aca="false">X1356*$M1356</f>
        <v>0</v>
      </c>
      <c r="Z1356" s="28"/>
      <c r="AA1356" s="28" t="n">
        <f aca="false">Z1356*$M1356</f>
        <v>0</v>
      </c>
      <c r="AB1356" s="28"/>
      <c r="AC1356" s="28" t="n">
        <f aca="false">AB1356*$M1356</f>
        <v>0</v>
      </c>
      <c r="AD1356" s="28"/>
      <c r="AE1356" s="28" t="n">
        <f aca="false">AD1356*$M1356</f>
        <v>0</v>
      </c>
      <c r="AF1356" s="28"/>
      <c r="AG1356" s="28" t="n">
        <f aca="false">AF1356*$M1356</f>
        <v>0</v>
      </c>
      <c r="AH1356" s="28"/>
      <c r="AI1356" s="28" t="n">
        <f aca="false">AH1356*$M1356</f>
        <v>0</v>
      </c>
      <c r="AJ1356" s="28"/>
      <c r="AK1356" s="28" t="n">
        <f aca="false">AJ1356*$M1356</f>
        <v>0</v>
      </c>
      <c r="AL1356" s="28"/>
      <c r="AM1356" s="28" t="n">
        <f aca="false">AL1356*$M1356</f>
        <v>0</v>
      </c>
      <c r="AN1356" s="28"/>
      <c r="AO1356" s="28" t="n">
        <f aca="false">AN1356*$M1356</f>
        <v>0</v>
      </c>
      <c r="AP1356" s="28"/>
      <c r="AQ1356" s="28" t="n">
        <f aca="false">AP1356*$M1356</f>
        <v>0</v>
      </c>
      <c r="AR1356" s="28"/>
      <c r="AS1356" s="28" t="n">
        <f aca="false">AR1356*$M1356</f>
        <v>0</v>
      </c>
      <c r="AT1356" s="28"/>
      <c r="AU1356" s="28" t="n">
        <f aca="false">AT1356*$M1356</f>
        <v>0</v>
      </c>
      <c r="AV1356" s="28"/>
      <c r="AW1356" s="28" t="n">
        <f aca="false">AV1356*$M1356</f>
        <v>0</v>
      </c>
      <c r="AX1356" s="28"/>
      <c r="AY1356" s="28" t="n">
        <f aca="false">AX1356*$M1356</f>
        <v>0</v>
      </c>
      <c r="AZ1356" s="30" t="n">
        <f aca="false">13801/100</f>
        <v>138.01</v>
      </c>
      <c r="BA1356" s="11" t="n">
        <v>5520</v>
      </c>
      <c r="BB1356" s="31" t="n">
        <f aca="false">SUM(Q1356,S1356,U1356,W1356,Y1356,AA1356,AC1356,AE1356,AG1356,AI1356,AK1356,AM1356,AO1356,AQ1356,AS1356,AU1356,AW1356,AY1356)</f>
        <v>5520</v>
      </c>
      <c r="BC1356" s="28" t="n">
        <f aca="false">BA1356-BB1356</f>
        <v>0</v>
      </c>
      <c r="BD1356" s="32" t="n">
        <f aca="false">SUM(P1356,R1356,T1356,V1356,X1356,Z1356,AB1356,AD1356,AF1356,AH1356,AJ1356,AL1356,AN1356,AP1356,AR1356,AT1356,AV1356,AX1356)</f>
        <v>138.01</v>
      </c>
      <c r="BE1356" s="33" t="n">
        <f aca="false">AZ1356-BD1356</f>
        <v>0</v>
      </c>
      <c r="BF1356" s="34" t="n">
        <f aca="false">BD1356*M1356</f>
        <v>5520.4</v>
      </c>
      <c r="BG1356" s="35" t="n">
        <f aca="false">BA1356-BF1356</f>
        <v>-0.399999999999636</v>
      </c>
      <c r="BH1356" s="19" t="str">
        <f aca="false">IF(BG1356=0,"",IF(BG1356&lt;&gt;BA1356,"erreur de calcul",IF(BD1356&lt;&gt;0,"pas de prix",IF(M1356&lt;&gt; 0,"pas de quantité","pas de prix, ni de quantité"))))</f>
        <v>erreur de calcul</v>
      </c>
      <c r="BI1356" s="19"/>
    </row>
    <row r="1357" customFormat="false" ht="15" hidden="false" customHeight="false" outlineLevel="0" collapsed="false">
      <c r="A1357" s="0" t="n">
        <v>14</v>
      </c>
      <c r="B1357" s="8" t="s">
        <v>24</v>
      </c>
      <c r="C1357" s="9" t="s">
        <v>25</v>
      </c>
      <c r="D1357" s="9" t="s">
        <v>26</v>
      </c>
      <c r="E1357" s="10" t="n">
        <v>1789</v>
      </c>
      <c r="F1357" s="9" t="s">
        <v>27</v>
      </c>
      <c r="G1357" s="9" t="s">
        <v>27</v>
      </c>
      <c r="H1357" s="11" t="n">
        <v>26</v>
      </c>
      <c r="I1357" s="11" t="s">
        <v>386</v>
      </c>
      <c r="J1357" s="14" t="n">
        <v>10</v>
      </c>
      <c r="K1357" s="14"/>
      <c r="L1357" s="16"/>
      <c r="M1357" s="27" t="n">
        <f aca="false">J1357+(K1357/20)+(L1357/240)</f>
        <v>10</v>
      </c>
      <c r="N1357" s="17" t="s">
        <v>387</v>
      </c>
      <c r="O1357" s="11" t="s">
        <v>77</v>
      </c>
      <c r="P1357" s="28" t="n">
        <v>30740</v>
      </c>
      <c r="Q1357" s="28" t="n">
        <v>307400</v>
      </c>
      <c r="R1357" s="28"/>
      <c r="S1357" s="28" t="n">
        <f aca="false">R1357*$M1357</f>
        <v>0</v>
      </c>
      <c r="T1357" s="28" t="n">
        <v>1357</v>
      </c>
      <c r="U1357" s="28" t="n">
        <v>13570</v>
      </c>
      <c r="V1357" s="28" t="n">
        <v>115</v>
      </c>
      <c r="W1357" s="28" t="n">
        <v>1150</v>
      </c>
      <c r="X1357" s="28"/>
      <c r="Y1357" s="28" t="n">
        <f aca="false">X1357*$M1357</f>
        <v>0</v>
      </c>
      <c r="Z1357" s="28"/>
      <c r="AA1357" s="28" t="n">
        <f aca="false">Z1357*$M1357</f>
        <v>0</v>
      </c>
      <c r="AB1357" s="28"/>
      <c r="AC1357" s="28" t="n">
        <f aca="false">AB1357*$M1357</f>
        <v>0</v>
      </c>
      <c r="AD1357" s="28"/>
      <c r="AE1357" s="28" t="n">
        <f aca="false">AD1357*$M1357</f>
        <v>0</v>
      </c>
      <c r="AF1357" s="28"/>
      <c r="AG1357" s="28" t="n">
        <f aca="false">AF1357*$M1357</f>
        <v>0</v>
      </c>
      <c r="AH1357" s="28"/>
      <c r="AI1357" s="28" t="n">
        <f aca="false">AH1357*$M1357</f>
        <v>0</v>
      </c>
      <c r="AJ1357" s="28"/>
      <c r="AK1357" s="28" t="n">
        <f aca="false">AJ1357*$M1357</f>
        <v>0</v>
      </c>
      <c r="AL1357" s="28"/>
      <c r="AM1357" s="28" t="n">
        <f aca="false">AL1357*$M1357</f>
        <v>0</v>
      </c>
      <c r="AN1357" s="28"/>
      <c r="AO1357" s="28" t="n">
        <f aca="false">AN1357*$M1357</f>
        <v>0</v>
      </c>
      <c r="AP1357" s="28"/>
      <c r="AQ1357" s="28" t="n">
        <f aca="false">AP1357*$M1357</f>
        <v>0</v>
      </c>
      <c r="AR1357" s="28"/>
      <c r="AS1357" s="28" t="n">
        <f aca="false">AR1357*$M1357</f>
        <v>0</v>
      </c>
      <c r="AT1357" s="28"/>
      <c r="AU1357" s="28" t="n">
        <f aca="false">AT1357*$M1357</f>
        <v>0</v>
      </c>
      <c r="AV1357" s="28"/>
      <c r="AW1357" s="28" t="n">
        <f aca="false">AV1357*$M1357</f>
        <v>0</v>
      </c>
      <c r="AX1357" s="28"/>
      <c r="AY1357" s="28" t="n">
        <f aca="false">AX1357*$M1357</f>
        <v>0</v>
      </c>
      <c r="AZ1357" s="30" t="n">
        <f aca="false">32212/100</f>
        <v>322.12</v>
      </c>
      <c r="BA1357" s="11" t="n">
        <v>322120</v>
      </c>
      <c r="BB1357" s="31" t="n">
        <f aca="false">SUM(Q1357,S1357,U1357,W1357,Y1357,AA1357,AC1357,AE1357,AG1357,AI1357,AK1357,AM1357,AO1357,AQ1357,AS1357,AU1357,AW1357,AY1357)</f>
        <v>322120</v>
      </c>
      <c r="BC1357" s="28" t="n">
        <f aca="false">BA1357-BB1357</f>
        <v>0</v>
      </c>
      <c r="BD1357" s="32" t="n">
        <f aca="false">SUM(P1357,R1357,T1357,V1357,X1357,Z1357,AB1357,AD1357,AF1357,AH1357,AJ1357,AL1357,AN1357,AP1357,AR1357,AT1357,AV1357,AX1357)</f>
        <v>32212</v>
      </c>
      <c r="BE1357" s="33" t="n">
        <f aca="false">AZ1357-BD1357</f>
        <v>-31889.88</v>
      </c>
      <c r="BF1357" s="34" t="n">
        <f aca="false">BD1357*M1357</f>
        <v>322120</v>
      </c>
      <c r="BG1357" s="35" t="n">
        <f aca="false">BA1357-BF1357</f>
        <v>0</v>
      </c>
      <c r="BH1357" s="19" t="str">
        <f aca="false">IF(BG1357=0,"",IF(BG1357&lt;&gt;BA1357,"erreur de calcul",IF(BD1357&lt;&gt;0,"pas de prix",IF(M1357&lt;&gt; 0,"pas de quantité","pas de prix, ni de quantité"))))</f>
        <v/>
      </c>
      <c r="BI1357" s="19"/>
    </row>
    <row r="1358" customFormat="false" ht="15" hidden="false" customHeight="false" outlineLevel="0" collapsed="false">
      <c r="A1358" s="0" t="n">
        <v>15</v>
      </c>
      <c r="B1358" s="8" t="s">
        <v>24</v>
      </c>
      <c r="C1358" s="9" t="s">
        <v>25</v>
      </c>
      <c r="D1358" s="9" t="s">
        <v>26</v>
      </c>
      <c r="E1358" s="10" t="n">
        <v>1789</v>
      </c>
      <c r="F1358" s="9" t="s">
        <v>27</v>
      </c>
      <c r="G1358" s="9" t="s">
        <v>27</v>
      </c>
      <c r="H1358" s="11" t="n">
        <v>26</v>
      </c>
      <c r="I1358" s="11" t="s">
        <v>385</v>
      </c>
      <c r="J1358" s="14" t="n">
        <v>60</v>
      </c>
      <c r="K1358" s="14"/>
      <c r="L1358" s="16"/>
      <c r="M1358" s="27" t="n">
        <f aca="false">J1358+(K1358/20)+(L1358/240)</f>
        <v>60</v>
      </c>
      <c r="N1358" s="17" t="s">
        <v>64</v>
      </c>
      <c r="O1358" s="11"/>
      <c r="P1358" s="28"/>
      <c r="Q1358" s="28" t="n">
        <f aca="false">P1358*$M1358</f>
        <v>0</v>
      </c>
      <c r="R1358" s="28"/>
      <c r="S1358" s="28" t="n">
        <f aca="false">R1358*$M1358</f>
        <v>0</v>
      </c>
      <c r="T1358" s="28" t="n">
        <f aca="false">204759/100</f>
        <v>2047.59</v>
      </c>
      <c r="U1358" s="28" t="n">
        <v>122855</v>
      </c>
      <c r="V1358" s="28"/>
      <c r="W1358" s="28" t="n">
        <f aca="false">V1358*$M1358</f>
        <v>0</v>
      </c>
      <c r="X1358" s="28"/>
      <c r="Y1358" s="28" t="n">
        <f aca="false">X1358*$M1358</f>
        <v>0</v>
      </c>
      <c r="Z1358" s="28"/>
      <c r="AA1358" s="28" t="n">
        <f aca="false">Z1358*$M1358</f>
        <v>0</v>
      </c>
      <c r="AB1358" s="28"/>
      <c r="AC1358" s="28" t="n">
        <f aca="false">AB1358*$M1358</f>
        <v>0</v>
      </c>
      <c r="AD1358" s="28"/>
      <c r="AE1358" s="28" t="n">
        <f aca="false">AD1358*$M1358</f>
        <v>0</v>
      </c>
      <c r="AF1358" s="28"/>
      <c r="AG1358" s="28" t="n">
        <f aca="false">AF1358*$M1358</f>
        <v>0</v>
      </c>
      <c r="AH1358" s="28"/>
      <c r="AI1358" s="28" t="n">
        <f aca="false">AH1358*$M1358</f>
        <v>0</v>
      </c>
      <c r="AJ1358" s="28"/>
      <c r="AK1358" s="28" t="n">
        <f aca="false">AJ1358*$M1358</f>
        <v>0</v>
      </c>
      <c r="AL1358" s="28"/>
      <c r="AM1358" s="28" t="n">
        <f aca="false">AL1358*$M1358</f>
        <v>0</v>
      </c>
      <c r="AN1358" s="28"/>
      <c r="AO1358" s="28" t="n">
        <f aca="false">AN1358*$M1358</f>
        <v>0</v>
      </c>
      <c r="AP1358" s="28"/>
      <c r="AQ1358" s="28" t="n">
        <f aca="false">AP1358*$M1358</f>
        <v>0</v>
      </c>
      <c r="AR1358" s="28"/>
      <c r="AS1358" s="28" t="n">
        <f aca="false">AR1358*$M1358</f>
        <v>0</v>
      </c>
      <c r="AT1358" s="28"/>
      <c r="AU1358" s="28" t="n">
        <f aca="false">AT1358*$M1358</f>
        <v>0</v>
      </c>
      <c r="AV1358" s="28"/>
      <c r="AW1358" s="28" t="n">
        <f aca="false">AV1358*$M1358</f>
        <v>0</v>
      </c>
      <c r="AX1358" s="28"/>
      <c r="AY1358" s="28" t="n">
        <f aca="false">AX1358*$M1358</f>
        <v>0</v>
      </c>
      <c r="AZ1358" s="30" t="n">
        <f aca="false">204759/100</f>
        <v>2047.59</v>
      </c>
      <c r="BA1358" s="11" t="n">
        <v>122855</v>
      </c>
      <c r="BB1358" s="31" t="n">
        <f aca="false">SUM(Q1358,S1358,U1358,W1358,Y1358,AA1358,AC1358,AE1358,AG1358,AI1358,AK1358,AM1358,AO1358,AQ1358,AS1358,AU1358,AW1358,AY1358)</f>
        <v>122855</v>
      </c>
      <c r="BC1358" s="28" t="n">
        <f aca="false">BA1358-BB1358</f>
        <v>0</v>
      </c>
      <c r="BD1358" s="32" t="n">
        <f aca="false">SUM(P1358,R1358,T1358,V1358,X1358,Z1358,AB1358,AD1358,AF1358,AH1358,AJ1358,AL1358,AN1358,AP1358,AR1358,AT1358,AV1358,AX1358)</f>
        <v>2047.59</v>
      </c>
      <c r="BE1358" s="33" t="n">
        <f aca="false">AZ1358-BD1358</f>
        <v>0</v>
      </c>
      <c r="BF1358" s="34" t="n">
        <f aca="false">BD1358*M1358</f>
        <v>122855.4</v>
      </c>
      <c r="BG1358" s="35" t="n">
        <f aca="false">BA1358-BF1358</f>
        <v>-0.399999999994179</v>
      </c>
      <c r="BH1358" s="19" t="str">
        <f aca="false">IF(BG1358=0,"",IF(BG1358&lt;&gt;BA1358,"erreur de calcul",IF(BD1358&lt;&gt;0,"pas de prix",IF(M1358&lt;&gt; 0,"pas de quantité","pas de prix, ni de quantité"))))</f>
        <v>erreur de calcul</v>
      </c>
      <c r="BI1358" s="19"/>
    </row>
    <row r="1359" customFormat="false" ht="15" hidden="false" customHeight="false" outlineLevel="0" collapsed="false">
      <c r="A1359" s="0" t="n">
        <v>16</v>
      </c>
      <c r="B1359" s="8" t="s">
        <v>24</v>
      </c>
      <c r="C1359" s="9" t="s">
        <v>25</v>
      </c>
      <c r="D1359" s="9" t="s">
        <v>26</v>
      </c>
      <c r="E1359" s="10" t="n">
        <v>1789</v>
      </c>
      <c r="F1359" s="9" t="s">
        <v>27</v>
      </c>
      <c r="G1359" s="9" t="s">
        <v>27</v>
      </c>
      <c r="H1359" s="11" t="n">
        <v>26</v>
      </c>
      <c r="I1359" s="11" t="s">
        <v>388</v>
      </c>
      <c r="J1359" s="14" t="n">
        <v>4</v>
      </c>
      <c r="K1359" s="14" t="n">
        <v>10</v>
      </c>
      <c r="L1359" s="16"/>
      <c r="M1359" s="27" t="n">
        <f aca="false">J1359+(K1359/20)+(L1359/240)</f>
        <v>4.5</v>
      </c>
      <c r="N1359" s="17" t="s">
        <v>66</v>
      </c>
      <c r="O1359" s="11"/>
      <c r="P1359" s="28" t="n">
        <v>20973</v>
      </c>
      <c r="Q1359" s="28" t="n">
        <v>94378</v>
      </c>
      <c r="R1359" s="28"/>
      <c r="S1359" s="28" t="n">
        <f aca="false">R1359*$M1359</f>
        <v>0</v>
      </c>
      <c r="T1359" s="28"/>
      <c r="U1359" s="28" t="n">
        <f aca="false">T1359*$M1359</f>
        <v>0</v>
      </c>
      <c r="V1359" s="28"/>
      <c r="W1359" s="28" t="n">
        <f aca="false">V1359*$M1359</f>
        <v>0</v>
      </c>
      <c r="X1359" s="28"/>
      <c r="Y1359" s="28" t="n">
        <f aca="false">X1359*$M1359</f>
        <v>0</v>
      </c>
      <c r="Z1359" s="28"/>
      <c r="AA1359" s="28" t="n">
        <f aca="false">Z1359*$M1359</f>
        <v>0</v>
      </c>
      <c r="AB1359" s="28"/>
      <c r="AC1359" s="28" t="n">
        <f aca="false">AB1359*$M1359</f>
        <v>0</v>
      </c>
      <c r="AD1359" s="28"/>
      <c r="AE1359" s="28" t="n">
        <f aca="false">AD1359*$M1359</f>
        <v>0</v>
      </c>
      <c r="AF1359" s="28"/>
      <c r="AG1359" s="28" t="n">
        <f aca="false">AF1359*$M1359</f>
        <v>0</v>
      </c>
      <c r="AH1359" s="28"/>
      <c r="AI1359" s="28" t="n">
        <f aca="false">AH1359*$M1359</f>
        <v>0</v>
      </c>
      <c r="AJ1359" s="28"/>
      <c r="AK1359" s="28" t="n">
        <f aca="false">AJ1359*$M1359</f>
        <v>0</v>
      </c>
      <c r="AL1359" s="28"/>
      <c r="AM1359" s="28" t="n">
        <f aca="false">AL1359*$M1359</f>
        <v>0</v>
      </c>
      <c r="AN1359" s="28"/>
      <c r="AO1359" s="28" t="n">
        <f aca="false">AN1359*$M1359</f>
        <v>0</v>
      </c>
      <c r="AP1359" s="28"/>
      <c r="AQ1359" s="28" t="n">
        <f aca="false">AP1359*$M1359</f>
        <v>0</v>
      </c>
      <c r="AR1359" s="28"/>
      <c r="AS1359" s="28" t="n">
        <f aca="false">AR1359*$M1359</f>
        <v>0</v>
      </c>
      <c r="AT1359" s="28"/>
      <c r="AU1359" s="28" t="n">
        <f aca="false">AT1359*$M1359</f>
        <v>0</v>
      </c>
      <c r="AV1359" s="28"/>
      <c r="AW1359" s="28" t="n">
        <f aca="false">AV1359*$M1359</f>
        <v>0</v>
      </c>
      <c r="AX1359" s="28"/>
      <c r="AY1359" s="28" t="n">
        <f aca="false">AX1359*$M1359</f>
        <v>0</v>
      </c>
      <c r="AZ1359" s="30" t="n">
        <v>20973</v>
      </c>
      <c r="BA1359" s="11" t="n">
        <v>94378</v>
      </c>
      <c r="BB1359" s="31" t="n">
        <f aca="false">SUM(Q1359,S1359,U1359,W1359,Y1359,AA1359,AC1359,AE1359,AG1359,AI1359,AK1359,AM1359,AO1359,AQ1359,AS1359,AU1359,AW1359,AY1359)</f>
        <v>94378</v>
      </c>
      <c r="BC1359" s="28" t="n">
        <f aca="false">BA1359-BB1359</f>
        <v>0</v>
      </c>
      <c r="BD1359" s="32" t="n">
        <f aca="false">SUM(P1359,R1359,T1359,V1359,X1359,Z1359,AB1359,AD1359,AF1359,AH1359,AJ1359,AL1359,AN1359,AP1359,AR1359,AT1359,AV1359,AX1359)</f>
        <v>20973</v>
      </c>
      <c r="BE1359" s="33" t="n">
        <f aca="false">AZ1359-BD1359</f>
        <v>0</v>
      </c>
      <c r="BF1359" s="34" t="n">
        <f aca="false">BD1359*M1359</f>
        <v>94378.5</v>
      </c>
      <c r="BG1359" s="35" t="n">
        <f aca="false">BA1359-BF1359</f>
        <v>-0.5</v>
      </c>
      <c r="BH1359" s="19" t="str">
        <f aca="false">IF(BG1359=0,"",IF(BG1359&lt;&gt;BA1359,"erreur de calcul",IF(BD1359&lt;&gt;0,"pas de prix",IF(M1359&lt;&gt; 0,"pas de quantité","pas de prix, ni de quantité"))))</f>
        <v>erreur de calcul</v>
      </c>
      <c r="BI1359" s="19"/>
    </row>
    <row r="1360" customFormat="false" ht="15" hidden="false" customHeight="false" outlineLevel="0" collapsed="false">
      <c r="A1360" s="0" t="n">
        <v>17</v>
      </c>
      <c r="B1360" s="8" t="s">
        <v>24</v>
      </c>
      <c r="C1360" s="9" t="s">
        <v>25</v>
      </c>
      <c r="D1360" s="9" t="s">
        <v>26</v>
      </c>
      <c r="E1360" s="10" t="n">
        <v>1789</v>
      </c>
      <c r="F1360" s="9" t="s">
        <v>27</v>
      </c>
      <c r="G1360" s="9" t="s">
        <v>27</v>
      </c>
      <c r="H1360" s="11" t="n">
        <v>26</v>
      </c>
      <c r="I1360" s="11" t="s">
        <v>389</v>
      </c>
      <c r="J1360" s="14"/>
      <c r="K1360" s="14"/>
      <c r="L1360" s="16"/>
      <c r="M1360" s="27" t="n">
        <f aca="false">J1360+(K1360/20)+(L1360/240)</f>
        <v>0</v>
      </c>
      <c r="N1360" s="17"/>
      <c r="O1360" s="11" t="s">
        <v>277</v>
      </c>
      <c r="P1360" s="28"/>
      <c r="Q1360" s="28" t="n">
        <f aca="false">P1360*$M1360</f>
        <v>0</v>
      </c>
      <c r="R1360" s="28"/>
      <c r="S1360" s="28" t="n">
        <f aca="false">R1360*$M1360</f>
        <v>0</v>
      </c>
      <c r="T1360" s="28"/>
      <c r="U1360" s="28" t="n">
        <v>189</v>
      </c>
      <c r="V1360" s="28"/>
      <c r="W1360" s="28" t="n">
        <v>540</v>
      </c>
      <c r="X1360" s="28"/>
      <c r="Y1360" s="28" t="n">
        <f aca="false">X1360*$M1360</f>
        <v>0</v>
      </c>
      <c r="Z1360" s="28"/>
      <c r="AA1360" s="28" t="n">
        <f aca="false">Z1360*$M1360</f>
        <v>0</v>
      </c>
      <c r="AB1360" s="28"/>
      <c r="AC1360" s="28" t="n">
        <f aca="false">AB1360*$M1360</f>
        <v>0</v>
      </c>
      <c r="AD1360" s="28"/>
      <c r="AE1360" s="28" t="n">
        <f aca="false">AD1360*$M1360</f>
        <v>0</v>
      </c>
      <c r="AF1360" s="28"/>
      <c r="AG1360" s="28" t="n">
        <f aca="false">AF1360*$M1360</f>
        <v>0</v>
      </c>
      <c r="AH1360" s="28"/>
      <c r="AI1360" s="28" t="n">
        <f aca="false">AH1360*$M1360</f>
        <v>0</v>
      </c>
      <c r="AJ1360" s="28"/>
      <c r="AK1360" s="28" t="n">
        <v>317</v>
      </c>
      <c r="AL1360" s="28"/>
      <c r="AM1360" s="28" t="n">
        <f aca="false">AL1360*$M1360</f>
        <v>0</v>
      </c>
      <c r="AN1360" s="28"/>
      <c r="AO1360" s="28" t="n">
        <f aca="false">AN1360*$M1360</f>
        <v>0</v>
      </c>
      <c r="AP1360" s="28"/>
      <c r="AQ1360" s="28" t="n">
        <f aca="false">AP1360*$M1360</f>
        <v>0</v>
      </c>
      <c r="AR1360" s="28"/>
      <c r="AS1360" s="28" t="n">
        <f aca="false">AR1360*$M1360</f>
        <v>0</v>
      </c>
      <c r="AT1360" s="28"/>
      <c r="AU1360" s="28" t="n">
        <f aca="false">AT1360*$M1360</f>
        <v>0</v>
      </c>
      <c r="AV1360" s="28"/>
      <c r="AW1360" s="28" t="n">
        <f aca="false">AV1360*$M1360</f>
        <v>0</v>
      </c>
      <c r="AX1360" s="28"/>
      <c r="AY1360" s="28" t="n">
        <f aca="false">AX1360*$M1360</f>
        <v>0</v>
      </c>
      <c r="AZ1360" s="30"/>
      <c r="BA1360" s="11" t="n">
        <v>1046</v>
      </c>
      <c r="BB1360" s="31" t="n">
        <f aca="false">SUM(Q1360,S1360,U1360,W1360,Y1360,AA1360,AC1360,AE1360,AG1360,AI1360,AK1360,AM1360,AO1360,AQ1360,AS1360,AU1360,AW1360,AY1360)</f>
        <v>1046</v>
      </c>
      <c r="BC1360" s="28" t="n">
        <f aca="false">BA1360-BB1360</f>
        <v>0</v>
      </c>
      <c r="BD1360" s="32" t="n">
        <f aca="false">SUM(P1360,R1360,T1360,V1360,X1360,Z1360,AB1360,AD1360,AF1360,AH1360,AJ1360,AL1360,AN1360,AP1360,AR1360,AT1360,AV1360,AX1360)</f>
        <v>0</v>
      </c>
      <c r="BE1360" s="33" t="n">
        <f aca="false">AZ1360-BD1360</f>
        <v>0</v>
      </c>
      <c r="BF1360" s="34" t="n">
        <f aca="false">BD1360*M1360</f>
        <v>0</v>
      </c>
      <c r="BG1360" s="35" t="n">
        <f aca="false">BA1360-BF1360</f>
        <v>1046</v>
      </c>
      <c r="BH1360" s="19" t="str">
        <f aca="false">IF(BG1360=0,"",IF(BG1360&lt;&gt;BA1360,"erreur de calcul",IF(BD1360&lt;&gt;0,"pas de prix",IF(M1360&lt;&gt; 0,"pas de quantité","pas de prix, ni de quantité"))))</f>
        <v>pas de prix, ni de quantité</v>
      </c>
      <c r="BI1360" s="19"/>
    </row>
    <row r="1361" customFormat="false" ht="15" hidden="false" customHeight="false" outlineLevel="0" collapsed="false">
      <c r="A1361" s="0" t="n">
        <v>18</v>
      </c>
      <c r="B1361" s="8" t="s">
        <v>24</v>
      </c>
      <c r="C1361" s="9" t="s">
        <v>25</v>
      </c>
      <c r="D1361" s="9" t="s">
        <v>26</v>
      </c>
      <c r="E1361" s="10" t="n">
        <v>1789</v>
      </c>
      <c r="F1361" s="9" t="s">
        <v>27</v>
      </c>
      <c r="G1361" s="9" t="s">
        <v>27</v>
      </c>
      <c r="H1361" s="11" t="n">
        <v>26</v>
      </c>
      <c r="I1361" s="11" t="s">
        <v>389</v>
      </c>
      <c r="J1361" s="14" t="n">
        <v>90</v>
      </c>
      <c r="K1361" s="14"/>
      <c r="L1361" s="16"/>
      <c r="M1361" s="27" t="n">
        <f aca="false">J1361+(K1361/20)+(L1361/240)</f>
        <v>90</v>
      </c>
      <c r="N1361" s="17" t="s">
        <v>64</v>
      </c>
      <c r="O1361" s="11"/>
      <c r="P1361" s="28"/>
      <c r="Q1361" s="28" t="n">
        <f aca="false">P1361*$M1361</f>
        <v>0</v>
      </c>
      <c r="R1361" s="28"/>
      <c r="S1361" s="28" t="n">
        <f aca="false">R1361*$M1361</f>
        <v>0</v>
      </c>
      <c r="T1361" s="28"/>
      <c r="U1361" s="28" t="n">
        <f aca="false">T1361*$M1361</f>
        <v>0</v>
      </c>
      <c r="V1361" s="28" t="n">
        <f aca="false">6341/100</f>
        <v>63.41</v>
      </c>
      <c r="W1361" s="28" t="n">
        <v>5707</v>
      </c>
      <c r="X1361" s="28" t="n">
        <f aca="false">10903/100</f>
        <v>109.03</v>
      </c>
      <c r="Y1361" s="28" t="n">
        <v>9813</v>
      </c>
      <c r="Z1361" s="28"/>
      <c r="AA1361" s="28" t="n">
        <f aca="false">Z1361*$M1361</f>
        <v>0</v>
      </c>
      <c r="AB1361" s="28"/>
      <c r="AC1361" s="28" t="n">
        <f aca="false">AB1361*$M1361</f>
        <v>0</v>
      </c>
      <c r="AD1361" s="28"/>
      <c r="AE1361" s="28" t="n">
        <f aca="false">AD1361*$M1361</f>
        <v>0</v>
      </c>
      <c r="AF1361" s="28"/>
      <c r="AG1361" s="28" t="n">
        <f aca="false">AF1361*$M1361</f>
        <v>0</v>
      </c>
      <c r="AH1361" s="28"/>
      <c r="AI1361" s="28" t="n">
        <f aca="false">AH1361*$M1361</f>
        <v>0</v>
      </c>
      <c r="AJ1361" s="28" t="n">
        <f aca="false">127232/100</f>
        <v>1272.32</v>
      </c>
      <c r="AK1361" s="28" t="n">
        <v>114509</v>
      </c>
      <c r="AL1361" s="28" t="n">
        <f aca="false">1835/100</f>
        <v>18.35</v>
      </c>
      <c r="AM1361" s="28" t="n">
        <v>1651</v>
      </c>
      <c r="AN1361" s="28"/>
      <c r="AO1361" s="28" t="n">
        <f aca="false">AN1361*$M1361</f>
        <v>0</v>
      </c>
      <c r="AP1361" s="28"/>
      <c r="AQ1361" s="28" t="n">
        <f aca="false">AP1361*$M1361</f>
        <v>0</v>
      </c>
      <c r="AR1361" s="28"/>
      <c r="AS1361" s="28" t="n">
        <f aca="false">AR1361*$M1361</f>
        <v>0</v>
      </c>
      <c r="AT1361" s="28"/>
      <c r="AU1361" s="28" t="n">
        <f aca="false">AT1361*$M1361</f>
        <v>0</v>
      </c>
      <c r="AV1361" s="28"/>
      <c r="AW1361" s="28" t="n">
        <f aca="false">AV1361*$M1361</f>
        <v>0</v>
      </c>
      <c r="AX1361" s="28"/>
      <c r="AY1361" s="28" t="n">
        <f aca="false">AX1361*$M1361</f>
        <v>0</v>
      </c>
      <c r="AZ1361" s="30" t="n">
        <f aca="false">146311/100</f>
        <v>1463.11</v>
      </c>
      <c r="BA1361" s="11" t="n">
        <v>131680</v>
      </c>
      <c r="BB1361" s="31" t="n">
        <f aca="false">SUM(Q1361,S1361,U1361,W1361,Y1361,AA1361,AC1361,AE1361,AG1361,AI1361,AK1361,AM1361,AO1361,AQ1361,AS1361,AU1361,AW1361,AY1361)</f>
        <v>131680</v>
      </c>
      <c r="BC1361" s="28" t="n">
        <f aca="false">BA1361-BB1361</f>
        <v>0</v>
      </c>
      <c r="BD1361" s="32" t="n">
        <f aca="false">SUM(P1361,R1361,T1361,V1361,X1361,Z1361,AB1361,AD1361,AF1361,AH1361,AJ1361,AL1361,AN1361,AP1361,AR1361,AT1361,AV1361,AX1361)</f>
        <v>1463.11</v>
      </c>
      <c r="BE1361" s="33" t="n">
        <f aca="false">AZ1361-BD1361</f>
        <v>0</v>
      </c>
      <c r="BF1361" s="34" t="n">
        <f aca="false">BD1361*M1361</f>
        <v>131679.9</v>
      </c>
      <c r="BG1361" s="35" t="n">
        <f aca="false">BA1361-BF1361</f>
        <v>0.100000000005821</v>
      </c>
      <c r="BH1361" s="19" t="str">
        <f aca="false">IF(BG1361=0,"",IF(BG1361&lt;&gt;BA1361,"erreur de calcul",IF(BD1361&lt;&gt;0,"pas de prix",IF(M1361&lt;&gt; 0,"pas de quantité","pas de prix, ni de quantité"))))</f>
        <v>erreur de calcul</v>
      </c>
      <c r="BI1361" s="19"/>
    </row>
    <row r="1362" customFormat="false" ht="15" hidden="false" customHeight="false" outlineLevel="0" collapsed="false">
      <c r="A1362" s="0" t="n">
        <v>19</v>
      </c>
      <c r="B1362" s="8" t="s">
        <v>24</v>
      </c>
      <c r="C1362" s="9" t="s">
        <v>25</v>
      </c>
      <c r="D1362" s="9" t="s">
        <v>26</v>
      </c>
      <c r="E1362" s="10" t="n">
        <v>1789</v>
      </c>
      <c r="F1362" s="9" t="s">
        <v>27</v>
      </c>
      <c r="G1362" s="9" t="s">
        <v>27</v>
      </c>
      <c r="H1362" s="11" t="n">
        <v>26</v>
      </c>
      <c r="I1362" s="11" t="s">
        <v>390</v>
      </c>
      <c r="J1362" s="14" t="n">
        <v>25</v>
      </c>
      <c r="K1362" s="14"/>
      <c r="L1362" s="16"/>
      <c r="M1362" s="27" t="n">
        <f aca="false">J1362+(K1362/20)+(L1362/240)</f>
        <v>25</v>
      </c>
      <c r="N1362" s="17" t="s">
        <v>64</v>
      </c>
      <c r="O1362" s="11" t="s">
        <v>277</v>
      </c>
      <c r="P1362" s="28"/>
      <c r="Q1362" s="28" t="n">
        <f aca="false">P1362*$M1362</f>
        <v>0</v>
      </c>
      <c r="R1362" s="28"/>
      <c r="S1362" s="28" t="n">
        <f aca="false">R1362*$M1362</f>
        <v>0</v>
      </c>
      <c r="T1362" s="28"/>
      <c r="U1362" s="28" t="n">
        <f aca="false">T1362*$M1362</f>
        <v>0</v>
      </c>
      <c r="V1362" s="28"/>
      <c r="W1362" s="28" t="n">
        <f aca="false">V1362*$M1362</f>
        <v>0</v>
      </c>
      <c r="X1362" s="28"/>
      <c r="Y1362" s="28" t="n">
        <f aca="false">X1362*$M1362</f>
        <v>0</v>
      </c>
      <c r="Z1362" s="28"/>
      <c r="AA1362" s="28" t="n">
        <f aca="false">Z1362*$M1362</f>
        <v>0</v>
      </c>
      <c r="AB1362" s="28"/>
      <c r="AC1362" s="28" t="n">
        <f aca="false">AB1362*$M1362</f>
        <v>0</v>
      </c>
      <c r="AD1362" s="28"/>
      <c r="AE1362" s="28" t="n">
        <f aca="false">AD1362*$M1362</f>
        <v>0</v>
      </c>
      <c r="AF1362" s="28"/>
      <c r="AG1362" s="28" t="n">
        <f aca="false">AF1362*$M1362</f>
        <v>0</v>
      </c>
      <c r="AH1362" s="28"/>
      <c r="AI1362" s="28" t="n">
        <f aca="false">AH1362*$M1362</f>
        <v>0</v>
      </c>
      <c r="AJ1362" s="28"/>
      <c r="AK1362" s="28" t="n">
        <f aca="false">AJ1362*$M1362</f>
        <v>0</v>
      </c>
      <c r="AL1362" s="28"/>
      <c r="AM1362" s="28" t="n">
        <f aca="false">AL1362*$M1362</f>
        <v>0</v>
      </c>
      <c r="AN1362" s="28"/>
      <c r="AO1362" s="28" t="n">
        <f aca="false">AN1362*$M1362</f>
        <v>0</v>
      </c>
      <c r="AP1362" s="28"/>
      <c r="AQ1362" s="28" t="n">
        <f aca="false">AP1362*$M1362</f>
        <v>0</v>
      </c>
      <c r="AR1362" s="28"/>
      <c r="AS1362" s="28" t="n">
        <f aca="false">AR1362*$M1362</f>
        <v>0</v>
      </c>
      <c r="AT1362" s="28"/>
      <c r="AU1362" s="28" t="n">
        <f aca="false">AT1362*$M1362</f>
        <v>0</v>
      </c>
      <c r="AV1362" s="28"/>
      <c r="AW1362" s="28" t="n">
        <f aca="false">AV1362*$M1362</f>
        <v>0</v>
      </c>
      <c r="AX1362" s="28"/>
      <c r="AY1362" s="28" t="n">
        <f aca="false">AX1362*$M1362</f>
        <v>0</v>
      </c>
      <c r="AZ1362" s="30"/>
      <c r="BA1362" s="11"/>
      <c r="BB1362" s="31" t="n">
        <f aca="false">SUM(Q1362,S1362,U1362,W1362,Y1362,AA1362,AC1362,AE1362,AG1362,AI1362,AK1362,AM1362,AO1362,AQ1362,AS1362,AU1362,AW1362,AY1362)</f>
        <v>0</v>
      </c>
      <c r="BC1362" s="28" t="n">
        <f aca="false">BA1362-BB1362</f>
        <v>0</v>
      </c>
      <c r="BD1362" s="32" t="n">
        <f aca="false">SUM(P1362,R1362,T1362,V1362,X1362,Z1362,AB1362,AD1362,AF1362,AH1362,AJ1362,AL1362,AN1362,AP1362,AR1362,AT1362,AV1362,AX1362)</f>
        <v>0</v>
      </c>
      <c r="BE1362" s="33" t="n">
        <f aca="false">AZ1362-BD1362</f>
        <v>0</v>
      </c>
      <c r="BF1362" s="34" t="n">
        <f aca="false">BD1362*M1362</f>
        <v>0</v>
      </c>
      <c r="BG1362" s="35" t="n">
        <f aca="false">BA1362-BF1362</f>
        <v>0</v>
      </c>
      <c r="BH1362" s="19" t="str">
        <f aca="false">IF(BG1362=0,"",IF(BG1362&lt;&gt;BA1362,"erreur de calcul",IF(BD1362&lt;&gt;0,"pas de prix",IF(M1362&lt;&gt; 0,"pas de quantité","pas de prix, ni de quantité"))))</f>
        <v/>
      </c>
      <c r="BI1362" s="19"/>
    </row>
    <row r="1363" customFormat="false" ht="15" hidden="false" customHeight="false" outlineLevel="0" collapsed="false">
      <c r="A1363" s="0" t="n">
        <v>20</v>
      </c>
      <c r="B1363" s="8" t="s">
        <v>24</v>
      </c>
      <c r="C1363" s="9" t="s">
        <v>25</v>
      </c>
      <c r="D1363" s="9" t="s">
        <v>26</v>
      </c>
      <c r="E1363" s="10" t="n">
        <v>1789</v>
      </c>
      <c r="F1363" s="9" t="s">
        <v>27</v>
      </c>
      <c r="G1363" s="9" t="s">
        <v>27</v>
      </c>
      <c r="H1363" s="11" t="n">
        <v>26</v>
      </c>
      <c r="I1363" s="11" t="s">
        <v>391</v>
      </c>
      <c r="J1363" s="14" t="n">
        <v>35</v>
      </c>
      <c r="K1363" s="14"/>
      <c r="L1363" s="16"/>
      <c r="M1363" s="27" t="n">
        <f aca="false">J1363+(K1363/20)+(L1363/240)</f>
        <v>35</v>
      </c>
      <c r="N1363" s="17" t="s">
        <v>64</v>
      </c>
      <c r="O1363" s="11"/>
      <c r="P1363" s="28"/>
      <c r="Q1363" s="28" t="n">
        <f aca="false">P1363*$M1363</f>
        <v>0</v>
      </c>
      <c r="R1363" s="28"/>
      <c r="S1363" s="28" t="n">
        <f aca="false">R1363*$M1363</f>
        <v>0</v>
      </c>
      <c r="T1363" s="28"/>
      <c r="U1363" s="28" t="n">
        <f aca="false">T1363*$M1363</f>
        <v>0</v>
      </c>
      <c r="V1363" s="28"/>
      <c r="W1363" s="28" t="n">
        <f aca="false">V1363*$M1363</f>
        <v>0</v>
      </c>
      <c r="X1363" s="28"/>
      <c r="Y1363" s="28" t="n">
        <f aca="false">X1363*$M1363</f>
        <v>0</v>
      </c>
      <c r="Z1363" s="28"/>
      <c r="AA1363" s="28" t="n">
        <f aca="false">Z1363*$M1363</f>
        <v>0</v>
      </c>
      <c r="AB1363" s="28"/>
      <c r="AC1363" s="28" t="n">
        <f aca="false">AB1363*$M1363</f>
        <v>0</v>
      </c>
      <c r="AD1363" s="28"/>
      <c r="AE1363" s="28" t="n">
        <f aca="false">AD1363*$M1363</f>
        <v>0</v>
      </c>
      <c r="AF1363" s="28"/>
      <c r="AG1363" s="28" t="n">
        <f aca="false">AF1363*$M1363</f>
        <v>0</v>
      </c>
      <c r="AH1363" s="28"/>
      <c r="AI1363" s="28" t="n">
        <f aca="false">AH1363*$M1363</f>
        <v>0</v>
      </c>
      <c r="AJ1363" s="28" t="n">
        <f aca="false">3950/100</f>
        <v>39.5</v>
      </c>
      <c r="AK1363" s="28" t="n">
        <v>1382</v>
      </c>
      <c r="AL1363" s="28"/>
      <c r="AM1363" s="28" t="n">
        <f aca="false">AL1363*$M1363</f>
        <v>0</v>
      </c>
      <c r="AN1363" s="28"/>
      <c r="AO1363" s="28" t="n">
        <f aca="false">AN1363*$M1363</f>
        <v>0</v>
      </c>
      <c r="AP1363" s="28"/>
      <c r="AQ1363" s="28" t="n">
        <f aca="false">AP1363*$M1363</f>
        <v>0</v>
      </c>
      <c r="AR1363" s="28"/>
      <c r="AS1363" s="28" t="n">
        <f aca="false">AR1363*$M1363</f>
        <v>0</v>
      </c>
      <c r="AT1363" s="28"/>
      <c r="AU1363" s="28" t="n">
        <f aca="false">AT1363*$M1363</f>
        <v>0</v>
      </c>
      <c r="AV1363" s="28"/>
      <c r="AW1363" s="28" t="n">
        <f aca="false">AV1363*$M1363</f>
        <v>0</v>
      </c>
      <c r="AX1363" s="28"/>
      <c r="AY1363" s="28" t="n">
        <f aca="false">AX1363*$M1363</f>
        <v>0</v>
      </c>
      <c r="AZ1363" s="30" t="n">
        <f aca="false">3950/100</f>
        <v>39.5</v>
      </c>
      <c r="BA1363" s="11" t="n">
        <v>1382</v>
      </c>
      <c r="BB1363" s="31" t="n">
        <f aca="false">SUM(Q1363,S1363,U1363,W1363,Y1363,AA1363,AC1363,AE1363,AG1363,AI1363,AK1363,AM1363,AO1363,AQ1363,AS1363,AU1363,AW1363,AY1363)</f>
        <v>1382</v>
      </c>
      <c r="BC1363" s="28" t="n">
        <f aca="false">BA1363-BB1363</f>
        <v>0</v>
      </c>
      <c r="BD1363" s="32" t="n">
        <f aca="false">SUM(P1363,R1363,T1363,V1363,X1363,Z1363,AB1363,AD1363,AF1363,AH1363,AJ1363,AL1363,AN1363,AP1363,AR1363,AT1363,AV1363,AX1363)</f>
        <v>39.5</v>
      </c>
      <c r="BE1363" s="33" t="n">
        <f aca="false">AZ1363-BD1363</f>
        <v>0</v>
      </c>
      <c r="BF1363" s="34" t="n">
        <f aca="false">BD1363*M1363</f>
        <v>1382.5</v>
      </c>
      <c r="BG1363" s="35" t="n">
        <f aca="false">BA1363-BF1363</f>
        <v>-0.5</v>
      </c>
      <c r="BH1363" s="19" t="str">
        <f aca="false">IF(BG1363=0,"",IF(BG1363&lt;&gt;BA1363,"erreur de calcul",IF(BD1363&lt;&gt;0,"pas de prix",IF(M1363&lt;&gt; 0,"pas de quantité","pas de prix, ni de quantité"))))</f>
        <v>erreur de calcul</v>
      </c>
      <c r="BI1363" s="19"/>
    </row>
    <row r="1364" customFormat="false" ht="15" hidden="false" customHeight="false" outlineLevel="0" collapsed="false">
      <c r="A1364" s="0" t="n">
        <v>21</v>
      </c>
      <c r="B1364" s="8" t="s">
        <v>24</v>
      </c>
      <c r="C1364" s="9" t="s">
        <v>25</v>
      </c>
      <c r="D1364" s="9" t="s">
        <v>26</v>
      </c>
      <c r="E1364" s="10" t="n">
        <v>1789</v>
      </c>
      <c r="F1364" s="9" t="s">
        <v>27</v>
      </c>
      <c r="G1364" s="9" t="s">
        <v>27</v>
      </c>
      <c r="H1364" s="11" t="n">
        <v>26</v>
      </c>
      <c r="I1364" s="11" t="s">
        <v>392</v>
      </c>
      <c r="J1364" s="14" t="n">
        <v>60</v>
      </c>
      <c r="K1364" s="14"/>
      <c r="L1364" s="16"/>
      <c r="M1364" s="27" t="n">
        <f aca="false">J1364+(K1364/20)+(L1364/240)</f>
        <v>60</v>
      </c>
      <c r="N1364" s="17" t="s">
        <v>64</v>
      </c>
      <c r="O1364" s="11"/>
      <c r="P1364" s="28"/>
      <c r="Q1364" s="28" t="n">
        <f aca="false">P1364*$M1364</f>
        <v>0</v>
      </c>
      <c r="R1364" s="28"/>
      <c r="S1364" s="28" t="n">
        <f aca="false">R1364*$M1364</f>
        <v>0</v>
      </c>
      <c r="T1364" s="28"/>
      <c r="U1364" s="28" t="n">
        <f aca="false">T1364*$M1364</f>
        <v>0</v>
      </c>
      <c r="V1364" s="28"/>
      <c r="W1364" s="28" t="n">
        <f aca="false">V1364*$M1364</f>
        <v>0</v>
      </c>
      <c r="X1364" s="28" t="n">
        <f aca="false">12306/100</f>
        <v>123.06</v>
      </c>
      <c r="Y1364" s="28" t="n">
        <v>7384</v>
      </c>
      <c r="Z1364" s="28"/>
      <c r="AA1364" s="28" t="n">
        <f aca="false">Z1364*$M1364</f>
        <v>0</v>
      </c>
      <c r="AB1364" s="28"/>
      <c r="AC1364" s="28" t="n">
        <f aca="false">AB1364*$M1364</f>
        <v>0</v>
      </c>
      <c r="AD1364" s="28"/>
      <c r="AE1364" s="28" t="n">
        <f aca="false">AD1364*$M1364</f>
        <v>0</v>
      </c>
      <c r="AF1364" s="28"/>
      <c r="AG1364" s="28" t="n">
        <f aca="false">AF1364*$M1364</f>
        <v>0</v>
      </c>
      <c r="AH1364" s="28"/>
      <c r="AI1364" s="28" t="n">
        <f aca="false">AH1364*$M1364</f>
        <v>0</v>
      </c>
      <c r="AJ1364" s="28" t="n">
        <f aca="false">2557/100</f>
        <v>25.57</v>
      </c>
      <c r="AK1364" s="28" t="n">
        <v>1534</v>
      </c>
      <c r="AL1364" s="28"/>
      <c r="AM1364" s="28" t="n">
        <f aca="false">AL1364*$M1364</f>
        <v>0</v>
      </c>
      <c r="AN1364" s="28"/>
      <c r="AO1364" s="28" t="n">
        <f aca="false">AN1364*$M1364</f>
        <v>0</v>
      </c>
      <c r="AP1364" s="28"/>
      <c r="AQ1364" s="28" t="n">
        <f aca="false">AP1364*$M1364</f>
        <v>0</v>
      </c>
      <c r="AR1364" s="28" t="n">
        <f aca="false">7204/100</f>
        <v>72.04</v>
      </c>
      <c r="AS1364" s="28" t="n">
        <v>4322</v>
      </c>
      <c r="AT1364" s="28"/>
      <c r="AU1364" s="28" t="n">
        <f aca="false">AT1364*$M1364</f>
        <v>0</v>
      </c>
      <c r="AV1364" s="28"/>
      <c r="AW1364" s="28" t="n">
        <f aca="false">AV1364*$M1364</f>
        <v>0</v>
      </c>
      <c r="AX1364" s="28"/>
      <c r="AY1364" s="28" t="n">
        <f aca="false">AX1364*$M1364</f>
        <v>0</v>
      </c>
      <c r="AZ1364" s="30" t="n">
        <f aca="false">22067/100</f>
        <v>220.67</v>
      </c>
      <c r="BA1364" s="11" t="n">
        <v>13240</v>
      </c>
      <c r="BB1364" s="31" t="n">
        <f aca="false">SUM(Q1364,S1364,U1364,W1364,Y1364,AA1364,AC1364,AE1364,AG1364,AI1364,AK1364,AM1364,AO1364,AQ1364,AS1364,AU1364,AW1364,AY1364)</f>
        <v>13240</v>
      </c>
      <c r="BC1364" s="28" t="n">
        <f aca="false">BA1364-BB1364</f>
        <v>0</v>
      </c>
      <c r="BD1364" s="32" t="n">
        <f aca="false">SUM(P1364,R1364,T1364,V1364,X1364,Z1364,AB1364,AD1364,AF1364,AH1364,AJ1364,AL1364,AN1364,AP1364,AR1364,AT1364,AV1364,AX1364)</f>
        <v>220.67</v>
      </c>
      <c r="BE1364" s="33" t="n">
        <f aca="false">AZ1364-BD1364</f>
        <v>0</v>
      </c>
      <c r="BF1364" s="34" t="n">
        <f aca="false">BD1364*M1364</f>
        <v>13240.2</v>
      </c>
      <c r="BG1364" s="35" t="n">
        <f aca="false">BA1364-BF1364</f>
        <v>-0.200000000000728</v>
      </c>
      <c r="BH1364" s="19" t="str">
        <f aca="false">IF(BG1364=0,"",IF(BG1364&lt;&gt;BA1364,"erreur de calcul",IF(BD1364&lt;&gt;0,"pas de prix",IF(M1364&lt;&gt; 0,"pas de quantité","pas de prix, ni de quantité"))))</f>
        <v>erreur de calcul</v>
      </c>
      <c r="BI1364" s="19"/>
    </row>
    <row r="1365" customFormat="false" ht="15" hidden="false" customHeight="false" outlineLevel="0" collapsed="false">
      <c r="A1365" s="0" t="n">
        <v>22</v>
      </c>
      <c r="B1365" s="8" t="s">
        <v>24</v>
      </c>
      <c r="C1365" s="9" t="s">
        <v>25</v>
      </c>
      <c r="D1365" s="9" t="s">
        <v>26</v>
      </c>
      <c r="E1365" s="10" t="n">
        <v>1789</v>
      </c>
      <c r="F1365" s="9" t="s">
        <v>27</v>
      </c>
      <c r="G1365" s="9" t="s">
        <v>27</v>
      </c>
      <c r="H1365" s="11" t="n">
        <v>26</v>
      </c>
      <c r="I1365" s="11" t="s">
        <v>393</v>
      </c>
      <c r="J1365" s="14" t="n">
        <v>120</v>
      </c>
      <c r="K1365" s="14"/>
      <c r="L1365" s="16"/>
      <c r="M1365" s="27" t="n">
        <f aca="false">J1365+(K1365/20)+(L1365/240)</f>
        <v>120</v>
      </c>
      <c r="N1365" s="17" t="s">
        <v>64</v>
      </c>
      <c r="O1365" s="11"/>
      <c r="P1365" s="28"/>
      <c r="Q1365" s="28" t="n">
        <f aca="false">P1365*$M1365</f>
        <v>0</v>
      </c>
      <c r="R1365" s="28"/>
      <c r="S1365" s="28" t="n">
        <f aca="false">R1365*$M1365</f>
        <v>0</v>
      </c>
      <c r="T1365" s="28"/>
      <c r="U1365" s="28" t="n">
        <f aca="false">T1365*$M1365</f>
        <v>0</v>
      </c>
      <c r="V1365" s="28"/>
      <c r="W1365" s="28" t="n">
        <f aca="false">V1365*$M1365</f>
        <v>0</v>
      </c>
      <c r="X1365" s="28"/>
      <c r="Y1365" s="28" t="n">
        <f aca="false">X1365*$M1365</f>
        <v>0</v>
      </c>
      <c r="Z1365" s="28"/>
      <c r="AA1365" s="28" t="n">
        <f aca="false">Z1365*$M1365</f>
        <v>0</v>
      </c>
      <c r="AB1365" s="28"/>
      <c r="AC1365" s="28" t="n">
        <f aca="false">AB1365*$M1365</f>
        <v>0</v>
      </c>
      <c r="AD1365" s="28"/>
      <c r="AE1365" s="28" t="n">
        <f aca="false">AD1365*$M1365</f>
        <v>0</v>
      </c>
      <c r="AF1365" s="28"/>
      <c r="AG1365" s="28" t="n">
        <f aca="false">AF1365*$M1365</f>
        <v>0</v>
      </c>
      <c r="AH1365" s="28" t="n">
        <f aca="false">1810/100</f>
        <v>18.1</v>
      </c>
      <c r="AI1365" s="28" t="n">
        <v>2172</v>
      </c>
      <c r="AJ1365" s="28"/>
      <c r="AK1365" s="28" t="n">
        <f aca="false">AJ1365*$M1365</f>
        <v>0</v>
      </c>
      <c r="AL1365" s="28"/>
      <c r="AM1365" s="28" t="n">
        <f aca="false">AL1365*$M1365</f>
        <v>0</v>
      </c>
      <c r="AN1365" s="28"/>
      <c r="AO1365" s="28" t="n">
        <f aca="false">AN1365*$M1365</f>
        <v>0</v>
      </c>
      <c r="AP1365" s="28"/>
      <c r="AQ1365" s="28" t="n">
        <f aca="false">AP1365*$M1365</f>
        <v>0</v>
      </c>
      <c r="AR1365" s="28"/>
      <c r="AS1365" s="28" t="n">
        <f aca="false">AR1365*$M1365</f>
        <v>0</v>
      </c>
      <c r="AT1365" s="28"/>
      <c r="AU1365" s="28" t="n">
        <f aca="false">AT1365*$M1365</f>
        <v>0</v>
      </c>
      <c r="AV1365" s="28"/>
      <c r="AW1365" s="28" t="n">
        <f aca="false">AV1365*$M1365</f>
        <v>0</v>
      </c>
      <c r="AX1365" s="28"/>
      <c r="AY1365" s="28" t="n">
        <f aca="false">AX1365*$M1365</f>
        <v>0</v>
      </c>
      <c r="AZ1365" s="30" t="n">
        <f aca="false">1810/100</f>
        <v>18.1</v>
      </c>
      <c r="BA1365" s="11" t="n">
        <v>2172</v>
      </c>
      <c r="BB1365" s="31" t="n">
        <f aca="false">SUM(Q1365,S1365,U1365,W1365,Y1365,AA1365,AC1365,AE1365,AG1365,AI1365,AK1365,AM1365,AO1365,AQ1365,AS1365,AU1365,AW1365,AY1365)</f>
        <v>2172</v>
      </c>
      <c r="BC1365" s="28" t="n">
        <f aca="false">BA1365-BB1365</f>
        <v>0</v>
      </c>
      <c r="BD1365" s="32" t="n">
        <f aca="false">SUM(P1365,R1365,T1365,V1365,X1365,Z1365,AB1365,AD1365,AF1365,AH1365,AJ1365,AL1365,AN1365,AP1365,AR1365,AT1365,AV1365,AX1365)</f>
        <v>18.1</v>
      </c>
      <c r="BE1365" s="33" t="n">
        <f aca="false">AZ1365-BD1365</f>
        <v>0</v>
      </c>
      <c r="BF1365" s="34" t="n">
        <f aca="false">BD1365*M1365</f>
        <v>2172</v>
      </c>
      <c r="BG1365" s="35" t="n">
        <f aca="false">BA1365-BF1365</f>
        <v>0</v>
      </c>
      <c r="BH1365" s="19" t="str">
        <f aca="false">IF(BG1365=0,"",IF(BG1365&lt;&gt;BA1365,"erreur de calcul",IF(BD1365&lt;&gt;0,"pas de prix",IF(M1365&lt;&gt; 0,"pas de quantité","pas de prix, ni de quantité"))))</f>
        <v/>
      </c>
      <c r="BI1365" s="19"/>
    </row>
    <row r="1366" customFormat="false" ht="15" hidden="false" customHeight="false" outlineLevel="0" collapsed="false">
      <c r="A1366" s="0" t="n">
        <v>23</v>
      </c>
      <c r="B1366" s="8" t="s">
        <v>24</v>
      </c>
      <c r="C1366" s="9" t="s">
        <v>25</v>
      </c>
      <c r="D1366" s="9" t="s">
        <v>26</v>
      </c>
      <c r="E1366" s="10" t="n">
        <v>1789</v>
      </c>
      <c r="F1366" s="9" t="s">
        <v>27</v>
      </c>
      <c r="G1366" s="9" t="s">
        <v>27</v>
      </c>
      <c r="H1366" s="11" t="n">
        <v>26</v>
      </c>
      <c r="I1366" s="41" t="s">
        <v>394</v>
      </c>
      <c r="J1366" s="14" t="n">
        <v>7</v>
      </c>
      <c r="K1366" s="14"/>
      <c r="L1366" s="16"/>
      <c r="M1366" s="27" t="n">
        <f aca="false">J1366+(K1366/20)+(L1366/240)</f>
        <v>7</v>
      </c>
      <c r="N1366" s="17" t="s">
        <v>64</v>
      </c>
      <c r="O1366" s="11"/>
      <c r="P1366" s="28" t="n">
        <f aca="false">11428/100</f>
        <v>114.28</v>
      </c>
      <c r="Q1366" s="28" t="n">
        <v>800</v>
      </c>
      <c r="R1366" s="28"/>
      <c r="S1366" s="28" t="n">
        <f aca="false">R1366*$M1366</f>
        <v>0</v>
      </c>
      <c r="T1366" s="28" t="n">
        <f aca="false">2084/100</f>
        <v>20.84</v>
      </c>
      <c r="U1366" s="36" t="n">
        <v>246</v>
      </c>
      <c r="V1366" s="28"/>
      <c r="W1366" s="28" t="n">
        <f aca="false">V1366*$M1366</f>
        <v>0</v>
      </c>
      <c r="X1366" s="28"/>
      <c r="Y1366" s="28" t="n">
        <f aca="false">X1366*$M1366</f>
        <v>0</v>
      </c>
      <c r="Z1366" s="28"/>
      <c r="AA1366" s="28" t="n">
        <f aca="false">Z1366*$M1366</f>
        <v>0</v>
      </c>
      <c r="AB1366" s="28"/>
      <c r="AC1366" s="28" t="n">
        <f aca="false">AB1366*$M1366</f>
        <v>0</v>
      </c>
      <c r="AD1366" s="28"/>
      <c r="AE1366" s="28" t="n">
        <f aca="false">AD1366*$M1366</f>
        <v>0</v>
      </c>
      <c r="AF1366" s="28" t="n">
        <f aca="false">6709/100</f>
        <v>67.09</v>
      </c>
      <c r="AG1366" s="28" t="n">
        <v>470</v>
      </c>
      <c r="AH1366" s="28"/>
      <c r="AI1366" s="28" t="n">
        <f aca="false">AH1366*$M1366</f>
        <v>0</v>
      </c>
      <c r="AJ1366" s="28"/>
      <c r="AK1366" s="28" t="n">
        <f aca="false">AJ1366*$M1366</f>
        <v>0</v>
      </c>
      <c r="AL1366" s="28"/>
      <c r="AM1366" s="28" t="n">
        <f aca="false">AL1366*$M1366</f>
        <v>0</v>
      </c>
      <c r="AN1366" s="28"/>
      <c r="AO1366" s="28" t="n">
        <f aca="false">AN1366*$M1366</f>
        <v>0</v>
      </c>
      <c r="AP1366" s="28"/>
      <c r="AQ1366" s="28" t="n">
        <f aca="false">AP1366*$M1366</f>
        <v>0</v>
      </c>
      <c r="AR1366" s="28"/>
      <c r="AS1366" s="28" t="n">
        <f aca="false">AR1366*$M1366</f>
        <v>0</v>
      </c>
      <c r="AT1366" s="28"/>
      <c r="AU1366" s="28" t="n">
        <f aca="false">AT1366*$M1366</f>
        <v>0</v>
      </c>
      <c r="AV1366" s="28"/>
      <c r="AW1366" s="28" t="n">
        <f aca="false">AV1366*$M1366</f>
        <v>0</v>
      </c>
      <c r="AX1366" s="28"/>
      <c r="AY1366" s="28" t="n">
        <f aca="false">AX1366*$M1366</f>
        <v>0</v>
      </c>
      <c r="AZ1366" s="30" t="n">
        <f aca="false">20221/100</f>
        <v>202.21</v>
      </c>
      <c r="BA1366" s="11" t="n">
        <v>1516</v>
      </c>
      <c r="BB1366" s="31" t="n">
        <f aca="false">SUM(Q1366,S1366,U1366,W1366,Y1366,AA1366,AC1366,AE1366,AG1366,AI1366,AK1366,AM1366,AO1366,AQ1366,AS1366,AU1366,AW1366,AY1366)</f>
        <v>1516</v>
      </c>
      <c r="BC1366" s="28" t="n">
        <f aca="false">BA1366-BB1366</f>
        <v>0</v>
      </c>
      <c r="BD1366" s="32" t="n">
        <f aca="false">SUM(P1366,R1366,T1366,V1366,X1366,Z1366,AB1366,AD1366,AF1366,AH1366,AJ1366,AL1366,AN1366,AP1366,AR1366,AT1366,AV1366,AX1366)</f>
        <v>202.21</v>
      </c>
      <c r="BE1366" s="33" t="n">
        <f aca="false">AZ1366-BD1366</f>
        <v>0</v>
      </c>
      <c r="BF1366" s="34" t="n">
        <f aca="false">BD1366*M1366</f>
        <v>1415.47</v>
      </c>
      <c r="BG1366" s="35" t="n">
        <f aca="false">BA1366-BF1366</f>
        <v>100.53</v>
      </c>
      <c r="BH1366" s="19" t="str">
        <f aca="false">IF(BG1366=0,"",IF(BG1366&lt;&gt;BA1366,"erreur de calcul",IF(BD1366&lt;&gt;0,"pas de prix",IF(M1366&lt;&gt; 0,"pas de quantité","pas de prix, ni de quantité"))))</f>
        <v>erreur de calcul</v>
      </c>
      <c r="BI1366" s="19"/>
    </row>
    <row r="1367" customFormat="false" ht="15" hidden="false" customHeight="false" outlineLevel="0" collapsed="false">
      <c r="A1367" s="0" t="n">
        <v>24</v>
      </c>
      <c r="B1367" s="8" t="s">
        <v>24</v>
      </c>
      <c r="C1367" s="9" t="s">
        <v>25</v>
      </c>
      <c r="D1367" s="9" t="s">
        <v>26</v>
      </c>
      <c r="E1367" s="10" t="n">
        <v>1789</v>
      </c>
      <c r="F1367" s="9" t="s">
        <v>27</v>
      </c>
      <c r="G1367" s="9" t="s">
        <v>27</v>
      </c>
      <c r="H1367" s="11" t="n">
        <v>26</v>
      </c>
      <c r="I1367" s="11" t="s">
        <v>395</v>
      </c>
      <c r="J1367" s="14" t="n">
        <v>40</v>
      </c>
      <c r="K1367" s="14"/>
      <c r="L1367" s="16"/>
      <c r="M1367" s="27" t="n">
        <f aca="false">J1367+(K1367/20)+(L1367/240)</f>
        <v>40</v>
      </c>
      <c r="N1367" s="17" t="s">
        <v>66</v>
      </c>
      <c r="O1367" s="11"/>
      <c r="P1367" s="28"/>
      <c r="Q1367" s="28" t="n">
        <f aca="false">P1367*$M1367</f>
        <v>0</v>
      </c>
      <c r="R1367" s="28"/>
      <c r="S1367" s="28" t="n">
        <f aca="false">R1367*$M1367</f>
        <v>0</v>
      </c>
      <c r="T1367" s="28" t="n">
        <v>2339</v>
      </c>
      <c r="U1367" s="28" t="n">
        <v>93560</v>
      </c>
      <c r="V1367" s="28" t="n">
        <v>38</v>
      </c>
      <c r="W1367" s="28" t="n">
        <v>1520</v>
      </c>
      <c r="X1367" s="28"/>
      <c r="Y1367" s="28" t="n">
        <f aca="false">X1367*$M1367</f>
        <v>0</v>
      </c>
      <c r="Z1367" s="28"/>
      <c r="AA1367" s="28" t="n">
        <f aca="false">Z1367*$M1367</f>
        <v>0</v>
      </c>
      <c r="AB1367" s="28"/>
      <c r="AC1367" s="28" t="n">
        <f aca="false">AB1367*$M1367</f>
        <v>0</v>
      </c>
      <c r="AD1367" s="28"/>
      <c r="AE1367" s="28" t="n">
        <f aca="false">AD1367*$M1367</f>
        <v>0</v>
      </c>
      <c r="AF1367" s="28"/>
      <c r="AG1367" s="28" t="n">
        <f aca="false">AF1367*$M1367</f>
        <v>0</v>
      </c>
      <c r="AH1367" s="28"/>
      <c r="AI1367" s="28" t="n">
        <f aca="false">AH1367*$M1367</f>
        <v>0</v>
      </c>
      <c r="AJ1367" s="28"/>
      <c r="AK1367" s="28" t="n">
        <f aca="false">AJ1367*$M1367</f>
        <v>0</v>
      </c>
      <c r="AL1367" s="28"/>
      <c r="AM1367" s="28" t="n">
        <f aca="false">AL1367*$M1367</f>
        <v>0</v>
      </c>
      <c r="AN1367" s="28"/>
      <c r="AO1367" s="28" t="n">
        <f aca="false">AN1367*$M1367</f>
        <v>0</v>
      </c>
      <c r="AP1367" s="28"/>
      <c r="AQ1367" s="28" t="n">
        <f aca="false">AP1367*$M1367</f>
        <v>0</v>
      </c>
      <c r="AR1367" s="28"/>
      <c r="AS1367" s="28" t="n">
        <f aca="false">AR1367*$M1367</f>
        <v>0</v>
      </c>
      <c r="AT1367" s="28"/>
      <c r="AU1367" s="28" t="n">
        <f aca="false">AT1367*$M1367</f>
        <v>0</v>
      </c>
      <c r="AV1367" s="28"/>
      <c r="AW1367" s="28" t="n">
        <f aca="false">AV1367*$M1367</f>
        <v>0</v>
      </c>
      <c r="AX1367" s="28"/>
      <c r="AY1367" s="28" t="n">
        <f aca="false">AX1367*$M1367</f>
        <v>0</v>
      </c>
      <c r="AZ1367" s="30" t="n">
        <v>2377</v>
      </c>
      <c r="BA1367" s="11" t="n">
        <v>95080</v>
      </c>
      <c r="BB1367" s="31" t="n">
        <f aca="false">SUM(Q1367,S1367,U1367,W1367,Y1367,AA1367,AC1367,AE1367,AG1367,AI1367,AK1367,AM1367,AO1367,AQ1367,AS1367,AU1367,AW1367,AY1367)</f>
        <v>95080</v>
      </c>
      <c r="BC1367" s="28" t="n">
        <f aca="false">BA1367-BB1367</f>
        <v>0</v>
      </c>
      <c r="BD1367" s="32" t="n">
        <f aca="false">SUM(P1367,R1367,T1367,V1367,X1367,Z1367,AB1367,AD1367,AF1367,AH1367,AJ1367,AL1367,AN1367,AP1367,AR1367,AT1367,AV1367,AX1367)</f>
        <v>2377</v>
      </c>
      <c r="BE1367" s="33" t="n">
        <f aca="false">AZ1367-BD1367</f>
        <v>0</v>
      </c>
      <c r="BF1367" s="34" t="n">
        <f aca="false">BD1367*M1367</f>
        <v>95080</v>
      </c>
      <c r="BG1367" s="35" t="n">
        <f aca="false">BA1367-BF1367</f>
        <v>0</v>
      </c>
      <c r="BH1367" s="19" t="str">
        <f aca="false">IF(BG1367=0,"",IF(BG1367&lt;&gt;BA1367,"erreur de calcul",IF(BD1367&lt;&gt;0,"pas de prix",IF(M1367&lt;&gt; 0,"pas de quantité","pas de prix, ni de quantité"))))</f>
        <v/>
      </c>
      <c r="BI1367" s="19"/>
    </row>
    <row r="1368" customFormat="false" ht="15" hidden="false" customHeight="false" outlineLevel="0" collapsed="false">
      <c r="A1368" s="0" t="n">
        <v>25</v>
      </c>
      <c r="B1368" s="8" t="s">
        <v>24</v>
      </c>
      <c r="C1368" s="9" t="s">
        <v>25</v>
      </c>
      <c r="D1368" s="9" t="s">
        <v>26</v>
      </c>
      <c r="E1368" s="10" t="n">
        <v>1789</v>
      </c>
      <c r="F1368" s="9" t="s">
        <v>27</v>
      </c>
      <c r="G1368" s="9" t="s">
        <v>27</v>
      </c>
      <c r="H1368" s="11" t="n">
        <v>26</v>
      </c>
      <c r="I1368" s="11" t="s">
        <v>396</v>
      </c>
      <c r="J1368" s="14" t="n">
        <v>2</v>
      </c>
      <c r="K1368" s="14" t="n">
        <v>10</v>
      </c>
      <c r="L1368" s="16"/>
      <c r="M1368" s="27" t="n">
        <f aca="false">J1368+(K1368/20)+(L1368/240)</f>
        <v>2.5</v>
      </c>
      <c r="N1368" s="17" t="s">
        <v>66</v>
      </c>
      <c r="O1368" s="11"/>
      <c r="P1368" s="28"/>
      <c r="Q1368" s="28" t="n">
        <f aca="false">P1368*$M1368</f>
        <v>0</v>
      </c>
      <c r="R1368" s="28"/>
      <c r="S1368" s="28" t="n">
        <f aca="false">R1368*$M1368</f>
        <v>0</v>
      </c>
      <c r="T1368" s="28"/>
      <c r="U1368" s="28" t="n">
        <f aca="false">T1368*$M1368</f>
        <v>0</v>
      </c>
      <c r="V1368" s="28"/>
      <c r="W1368" s="28" t="n">
        <f aca="false">V1368*$M1368</f>
        <v>0</v>
      </c>
      <c r="X1368" s="28"/>
      <c r="Y1368" s="28" t="n">
        <f aca="false">X1368*$M1368</f>
        <v>0</v>
      </c>
      <c r="Z1368" s="28"/>
      <c r="AA1368" s="28" t="n">
        <f aca="false">Z1368*$M1368</f>
        <v>0</v>
      </c>
      <c r="AB1368" s="28"/>
      <c r="AC1368" s="28" t="n">
        <f aca="false">AB1368*$M1368</f>
        <v>0</v>
      </c>
      <c r="AD1368" s="28"/>
      <c r="AE1368" s="28" t="n">
        <f aca="false">AD1368*$M1368</f>
        <v>0</v>
      </c>
      <c r="AF1368" s="28"/>
      <c r="AG1368" s="28" t="n">
        <f aca="false">AF1368*$M1368</f>
        <v>0</v>
      </c>
      <c r="AH1368" s="28"/>
      <c r="AI1368" s="28" t="n">
        <f aca="false">AH1368*$M1368</f>
        <v>0</v>
      </c>
      <c r="AJ1368" s="28" t="n">
        <v>7127</v>
      </c>
      <c r="AK1368" s="28" t="n">
        <v>17817</v>
      </c>
      <c r="AL1368" s="28"/>
      <c r="AM1368" s="28" t="n">
        <f aca="false">AL1368*$M1368</f>
        <v>0</v>
      </c>
      <c r="AN1368" s="28"/>
      <c r="AO1368" s="28" t="n">
        <f aca="false">AN1368*$M1368</f>
        <v>0</v>
      </c>
      <c r="AP1368" s="28"/>
      <c r="AQ1368" s="28" t="n">
        <f aca="false">AP1368*$M1368</f>
        <v>0</v>
      </c>
      <c r="AR1368" s="28"/>
      <c r="AS1368" s="28" t="n">
        <f aca="false">AR1368*$M1368</f>
        <v>0</v>
      </c>
      <c r="AT1368" s="28"/>
      <c r="AU1368" s="28" t="n">
        <f aca="false">AT1368*$M1368</f>
        <v>0</v>
      </c>
      <c r="AV1368" s="28"/>
      <c r="AW1368" s="28" t="n">
        <f aca="false">AV1368*$M1368</f>
        <v>0</v>
      </c>
      <c r="AX1368" s="28"/>
      <c r="AY1368" s="28" t="n">
        <f aca="false">AX1368*$M1368</f>
        <v>0</v>
      </c>
      <c r="AZ1368" s="30" t="n">
        <v>7127</v>
      </c>
      <c r="BA1368" s="11" t="n">
        <v>17817</v>
      </c>
      <c r="BB1368" s="31" t="n">
        <f aca="false">SUM(Q1368,S1368,U1368,W1368,Y1368,AA1368,AC1368,AE1368,AG1368,AI1368,AK1368,AM1368,AO1368,AQ1368,AS1368,AU1368,AW1368,AY1368)</f>
        <v>17817</v>
      </c>
      <c r="BC1368" s="28" t="n">
        <f aca="false">BA1368-BB1368</f>
        <v>0</v>
      </c>
      <c r="BD1368" s="32" t="n">
        <f aca="false">SUM(P1368,R1368,T1368,V1368,X1368,Z1368,AB1368,AD1368,AF1368,AH1368,AJ1368,AL1368,AN1368,AP1368,AR1368,AT1368,AV1368,AX1368)</f>
        <v>7127</v>
      </c>
      <c r="BE1368" s="33" t="n">
        <f aca="false">AZ1368-BD1368</f>
        <v>0</v>
      </c>
      <c r="BF1368" s="34" t="n">
        <f aca="false">BD1368*M1368</f>
        <v>17817.5</v>
      </c>
      <c r="BG1368" s="35" t="n">
        <f aca="false">BA1368-BF1368</f>
        <v>-0.5</v>
      </c>
      <c r="BH1368" s="19" t="str">
        <f aca="false">IF(BG1368=0,"",IF(BG1368&lt;&gt;BA1368,"erreur de calcul",IF(BD1368&lt;&gt;0,"pas de prix",IF(M1368&lt;&gt; 0,"pas de quantité","pas de prix, ni de quantité"))))</f>
        <v>erreur de calcul</v>
      </c>
      <c r="BI1368" s="19"/>
    </row>
    <row r="1369" customFormat="false" ht="15" hidden="false" customHeight="false" outlineLevel="0" collapsed="false">
      <c r="A1369" s="0" t="n">
        <v>26</v>
      </c>
      <c r="B1369" s="8" t="s">
        <v>24</v>
      </c>
      <c r="C1369" s="9" t="s">
        <v>25</v>
      </c>
      <c r="D1369" s="9" t="s">
        <v>26</v>
      </c>
      <c r="E1369" s="10" t="n">
        <v>1789</v>
      </c>
      <c r="F1369" s="9" t="s">
        <v>27</v>
      </c>
      <c r="G1369" s="9" t="s">
        <v>27</v>
      </c>
      <c r="H1369" s="11" t="n">
        <v>26</v>
      </c>
      <c r="I1369" s="11" t="s">
        <v>397</v>
      </c>
      <c r="J1369" s="14" t="n">
        <v>6</v>
      </c>
      <c r="K1369" s="14" t="n">
        <v>10</v>
      </c>
      <c r="L1369" s="16"/>
      <c r="M1369" s="27" t="n">
        <f aca="false">J1369+(K1369/20)+(L1369/240)</f>
        <v>6.5</v>
      </c>
      <c r="N1369" s="17" t="s">
        <v>64</v>
      </c>
      <c r="O1369" s="11"/>
      <c r="P1369" s="28"/>
      <c r="Q1369" s="28" t="n">
        <f aca="false">P1369*$M1369</f>
        <v>0</v>
      </c>
      <c r="R1369" s="28"/>
      <c r="S1369" s="28" t="n">
        <f aca="false">R1369*$M1369</f>
        <v>0</v>
      </c>
      <c r="T1369" s="28"/>
      <c r="U1369" s="28" t="n">
        <f aca="false">T1369*$M1369</f>
        <v>0</v>
      </c>
      <c r="V1369" s="28"/>
      <c r="W1369" s="28" t="n">
        <f aca="false">V1369*$M1369</f>
        <v>0</v>
      </c>
      <c r="X1369" s="28" t="n">
        <f aca="false">22000/100</f>
        <v>220</v>
      </c>
      <c r="Y1369" s="28" t="n">
        <v>1430</v>
      </c>
      <c r="Z1369" s="28"/>
      <c r="AA1369" s="28" t="n">
        <f aca="false">Z1369*$M1369</f>
        <v>0</v>
      </c>
      <c r="AB1369" s="28" t="n">
        <f aca="false">3575715/100</f>
        <v>35757.15</v>
      </c>
      <c r="AC1369" s="36" t="n">
        <v>214543</v>
      </c>
      <c r="AD1369" s="28"/>
      <c r="AE1369" s="28" t="n">
        <f aca="false">AD1369*$M1369</f>
        <v>0</v>
      </c>
      <c r="AF1369" s="28"/>
      <c r="AG1369" s="28" t="n">
        <f aca="false">AF1369*$M1369</f>
        <v>0</v>
      </c>
      <c r="AH1369" s="28"/>
      <c r="AI1369" s="28" t="n">
        <f aca="false">AH1369*$M1369</f>
        <v>0</v>
      </c>
      <c r="AJ1369" s="28"/>
      <c r="AK1369" s="28" t="n">
        <f aca="false">AJ1369*$M1369</f>
        <v>0</v>
      </c>
      <c r="AL1369" s="28"/>
      <c r="AM1369" s="28" t="n">
        <f aca="false">AL1369*$M1369</f>
        <v>0</v>
      </c>
      <c r="AN1369" s="28"/>
      <c r="AO1369" s="28" t="n">
        <f aca="false">AN1369*$M1369</f>
        <v>0</v>
      </c>
      <c r="AP1369" s="28"/>
      <c r="AQ1369" s="28" t="n">
        <f aca="false">AP1369*$M1369</f>
        <v>0</v>
      </c>
      <c r="AR1369" s="28"/>
      <c r="AS1369" s="28" t="n">
        <f aca="false">AR1369*$M1369</f>
        <v>0</v>
      </c>
      <c r="AT1369" s="28"/>
      <c r="AU1369" s="28" t="n">
        <f aca="false">AT1369*$M1369</f>
        <v>0</v>
      </c>
      <c r="AV1369" s="28"/>
      <c r="AW1369" s="28" t="n">
        <f aca="false">AV1369*$M1369</f>
        <v>0</v>
      </c>
      <c r="AX1369" s="28"/>
      <c r="AY1369" s="28" t="n">
        <f aca="false">AX1369*$M1369</f>
        <v>0</v>
      </c>
      <c r="AZ1369" s="30" t="n">
        <f aca="false">3597715/100</f>
        <v>35977.15</v>
      </c>
      <c r="BA1369" s="11" t="n">
        <v>215973</v>
      </c>
      <c r="BB1369" s="31" t="n">
        <f aca="false">SUM(Q1369,S1369,U1369,W1369,Y1369,AA1369,AC1369,AE1369,AG1369,AI1369,AK1369,AM1369,AO1369,AQ1369,AS1369,AU1369,AW1369,AY1369)</f>
        <v>215973</v>
      </c>
      <c r="BC1369" s="28" t="n">
        <f aca="false">BA1369-BB1369</f>
        <v>0</v>
      </c>
      <c r="BD1369" s="32" t="n">
        <f aca="false">SUM(P1369,R1369,T1369,V1369,X1369,Z1369,AB1369,AD1369,AF1369,AH1369,AJ1369,AL1369,AN1369,AP1369,AR1369,AT1369,AV1369,AX1369)</f>
        <v>35977.15</v>
      </c>
      <c r="BE1369" s="33" t="n">
        <f aca="false">AZ1369-BD1369</f>
        <v>0</v>
      </c>
      <c r="BF1369" s="34" t="n">
        <f aca="false">BD1369*M1369</f>
        <v>233851.475</v>
      </c>
      <c r="BG1369" s="35" t="n">
        <f aca="false">BA1369-BF1369</f>
        <v>-17878.475</v>
      </c>
      <c r="BH1369" s="19" t="str">
        <f aca="false">IF(BG1369=0,"",IF(BG1369&lt;&gt;BA1369,"erreur de calcul",IF(BD1369&lt;&gt;0,"pas de prix",IF(M1369&lt;&gt; 0,"pas de quantité","pas de prix, ni de quantité"))))</f>
        <v>erreur de calcul</v>
      </c>
      <c r="BI1369" s="19"/>
    </row>
    <row r="1370" customFormat="false" ht="15" hidden="false" customHeight="false" outlineLevel="0" collapsed="false">
      <c r="A1370" s="0" t="n">
        <v>27</v>
      </c>
      <c r="B1370" s="8" t="s">
        <v>24</v>
      </c>
      <c r="C1370" s="9" t="s">
        <v>25</v>
      </c>
      <c r="D1370" s="9" t="s">
        <v>26</v>
      </c>
      <c r="E1370" s="10" t="n">
        <v>1789</v>
      </c>
      <c r="F1370" s="9" t="s">
        <v>27</v>
      </c>
      <c r="G1370" s="9" t="s">
        <v>27</v>
      </c>
      <c r="H1370" s="11" t="n">
        <v>26</v>
      </c>
      <c r="I1370" s="11" t="s">
        <v>398</v>
      </c>
      <c r="J1370" s="14" t="n">
        <v>11</v>
      </c>
      <c r="K1370" s="14"/>
      <c r="L1370" s="16"/>
      <c r="M1370" s="27" t="n">
        <f aca="false">J1370+(K1370/20)+(L1370/240)</f>
        <v>11</v>
      </c>
      <c r="N1370" s="17" t="s">
        <v>64</v>
      </c>
      <c r="O1370" s="11"/>
      <c r="P1370" s="28" t="n">
        <f aca="false">166667/100</f>
        <v>1666.67</v>
      </c>
      <c r="Q1370" s="28" t="n">
        <v>18333</v>
      </c>
      <c r="R1370" s="28"/>
      <c r="S1370" s="28" t="n">
        <f aca="false">R1370*$M1370</f>
        <v>0</v>
      </c>
      <c r="T1370" s="28"/>
      <c r="U1370" s="28" t="n">
        <f aca="false">T1370*$M1370</f>
        <v>0</v>
      </c>
      <c r="V1370" s="28"/>
      <c r="W1370" s="28" t="n">
        <f aca="false">V1370*$M1370</f>
        <v>0</v>
      </c>
      <c r="X1370" s="28"/>
      <c r="Y1370" s="28" t="n">
        <f aca="false">X1370*$M1370</f>
        <v>0</v>
      </c>
      <c r="Z1370" s="28"/>
      <c r="AA1370" s="28" t="n">
        <f aca="false">Z1370*$M1370</f>
        <v>0</v>
      </c>
      <c r="AB1370" s="28" t="n">
        <f aca="false">3312/100</f>
        <v>33.12</v>
      </c>
      <c r="AC1370" s="28" t="n">
        <v>364</v>
      </c>
      <c r="AD1370" s="28"/>
      <c r="AE1370" s="28" t="n">
        <f aca="false">AD1370*$M1370</f>
        <v>0</v>
      </c>
      <c r="AF1370" s="28"/>
      <c r="AG1370" s="28" t="n">
        <f aca="false">AF1370*$M1370</f>
        <v>0</v>
      </c>
      <c r="AH1370" s="28"/>
      <c r="AI1370" s="28" t="n">
        <f aca="false">AH1370*$M1370</f>
        <v>0</v>
      </c>
      <c r="AJ1370" s="28"/>
      <c r="AK1370" s="28" t="n">
        <f aca="false">AJ1370*$M1370</f>
        <v>0</v>
      </c>
      <c r="AL1370" s="28"/>
      <c r="AM1370" s="28" t="n">
        <f aca="false">AL1370*$M1370</f>
        <v>0</v>
      </c>
      <c r="AN1370" s="28"/>
      <c r="AO1370" s="28" t="n">
        <f aca="false">AN1370*$M1370</f>
        <v>0</v>
      </c>
      <c r="AP1370" s="28"/>
      <c r="AQ1370" s="28" t="n">
        <f aca="false">AP1370*$M1370</f>
        <v>0</v>
      </c>
      <c r="AR1370" s="28"/>
      <c r="AS1370" s="28" t="n">
        <f aca="false">AR1370*$M1370</f>
        <v>0</v>
      </c>
      <c r="AT1370" s="28"/>
      <c r="AU1370" s="28" t="n">
        <f aca="false">AT1370*$M1370</f>
        <v>0</v>
      </c>
      <c r="AV1370" s="28"/>
      <c r="AW1370" s="28" t="n">
        <f aca="false">AV1370*$M1370</f>
        <v>0</v>
      </c>
      <c r="AX1370" s="28"/>
      <c r="AY1370" s="28" t="n">
        <f aca="false">AX1370*$M1370</f>
        <v>0</v>
      </c>
      <c r="AZ1370" s="30" t="n">
        <f aca="false">169979/100</f>
        <v>1699.79</v>
      </c>
      <c r="BA1370" s="11" t="n">
        <v>18697</v>
      </c>
      <c r="BB1370" s="31" t="n">
        <f aca="false">SUM(Q1370,S1370,U1370,W1370,Y1370,AA1370,AC1370,AE1370,AG1370,AI1370,AK1370,AM1370,AO1370,AQ1370,AS1370,AU1370,AW1370,AY1370)</f>
        <v>18697</v>
      </c>
      <c r="BC1370" s="28" t="n">
        <f aca="false">BA1370-BB1370</f>
        <v>0</v>
      </c>
      <c r="BD1370" s="32" t="n">
        <f aca="false">SUM(P1370,R1370,T1370,V1370,X1370,Z1370,AB1370,AD1370,AF1370,AH1370,AJ1370,AL1370,AN1370,AP1370,AR1370,AT1370,AV1370,AX1370)</f>
        <v>1699.79</v>
      </c>
      <c r="BE1370" s="33" t="n">
        <f aca="false">AZ1370-BD1370</f>
        <v>0</v>
      </c>
      <c r="BF1370" s="34" t="n">
        <f aca="false">BD1370*M1370</f>
        <v>18697.69</v>
      </c>
      <c r="BG1370" s="35" t="n">
        <f aca="false">BA1370-BF1370</f>
        <v>-0.68999999999869</v>
      </c>
      <c r="BH1370" s="19" t="str">
        <f aca="false">IF(BG1370=0,"",IF(BG1370&lt;&gt;BA1370,"erreur de calcul",IF(BD1370&lt;&gt;0,"pas de prix",IF(M1370&lt;&gt; 0,"pas de quantité","pas de prix, ni de quantité"))))</f>
        <v>erreur de calcul</v>
      </c>
      <c r="BI1370" s="19"/>
    </row>
    <row r="1371" customFormat="false" ht="15" hidden="false" customHeight="false" outlineLevel="0" collapsed="false">
      <c r="A1371" s="0" t="n">
        <v>28</v>
      </c>
      <c r="B1371" s="8" t="s">
        <v>24</v>
      </c>
      <c r="C1371" s="9" t="s">
        <v>25</v>
      </c>
      <c r="D1371" s="9" t="s">
        <v>26</v>
      </c>
      <c r="E1371" s="10" t="n">
        <v>1789</v>
      </c>
      <c r="F1371" s="9" t="s">
        <v>27</v>
      </c>
      <c r="G1371" s="9" t="s">
        <v>27</v>
      </c>
      <c r="H1371" s="11" t="n">
        <v>26</v>
      </c>
      <c r="I1371" s="11" t="s">
        <v>399</v>
      </c>
      <c r="J1371" s="14" t="n">
        <v>18</v>
      </c>
      <c r="K1371" s="14"/>
      <c r="L1371" s="16"/>
      <c r="M1371" s="27" t="n">
        <f aca="false">J1371+(K1371/20)+(L1371/240)</f>
        <v>18</v>
      </c>
      <c r="N1371" s="17" t="s">
        <v>66</v>
      </c>
      <c r="O1371" s="11"/>
      <c r="P1371" s="28"/>
      <c r="Q1371" s="28" t="n">
        <f aca="false">P1371*$M1371</f>
        <v>0</v>
      </c>
      <c r="R1371" s="28"/>
      <c r="S1371" s="28" t="n">
        <f aca="false">R1371*$M1371</f>
        <v>0</v>
      </c>
      <c r="T1371" s="28"/>
      <c r="U1371" s="28" t="n">
        <f aca="false">T1371*$M1371</f>
        <v>0</v>
      </c>
      <c r="V1371" s="28"/>
      <c r="W1371" s="28" t="n">
        <f aca="false">V1371*$M1371</f>
        <v>0</v>
      </c>
      <c r="X1371" s="28"/>
      <c r="Y1371" s="28" t="n">
        <f aca="false">X1371*$M1371</f>
        <v>0</v>
      </c>
      <c r="Z1371" s="28"/>
      <c r="AA1371" s="28" t="n">
        <f aca="false">Z1371*$M1371</f>
        <v>0</v>
      </c>
      <c r="AB1371" s="28"/>
      <c r="AC1371" s="28" t="n">
        <f aca="false">AB1371*$M1371</f>
        <v>0</v>
      </c>
      <c r="AD1371" s="28"/>
      <c r="AE1371" s="28" t="n">
        <f aca="false">AD1371*$M1371</f>
        <v>0</v>
      </c>
      <c r="AF1371" s="28"/>
      <c r="AG1371" s="28" t="n">
        <f aca="false">AF1371*$M1371</f>
        <v>0</v>
      </c>
      <c r="AH1371" s="28" t="n">
        <v>72036</v>
      </c>
      <c r="AI1371" s="28" t="n">
        <v>1296648</v>
      </c>
      <c r="AJ1371" s="28"/>
      <c r="AK1371" s="28" t="n">
        <f aca="false">AJ1371*$M1371</f>
        <v>0</v>
      </c>
      <c r="AL1371" s="28"/>
      <c r="AM1371" s="28" t="n">
        <f aca="false">AL1371*$M1371</f>
        <v>0</v>
      </c>
      <c r="AN1371" s="28"/>
      <c r="AO1371" s="28" t="n">
        <f aca="false">AN1371*$M1371</f>
        <v>0</v>
      </c>
      <c r="AP1371" s="28"/>
      <c r="AQ1371" s="28" t="n">
        <f aca="false">AP1371*$M1371</f>
        <v>0</v>
      </c>
      <c r="AR1371" s="28"/>
      <c r="AS1371" s="28" t="n">
        <f aca="false">AR1371*$M1371</f>
        <v>0</v>
      </c>
      <c r="AT1371" s="28"/>
      <c r="AU1371" s="28" t="n">
        <f aca="false">AT1371*$M1371</f>
        <v>0</v>
      </c>
      <c r="AV1371" s="28"/>
      <c r="AW1371" s="28" t="n">
        <f aca="false">AV1371*$M1371</f>
        <v>0</v>
      </c>
      <c r="AX1371" s="28"/>
      <c r="AY1371" s="28" t="n">
        <f aca="false">AX1371*$M1371</f>
        <v>0</v>
      </c>
      <c r="AZ1371" s="30" t="n">
        <v>72036</v>
      </c>
      <c r="BA1371" s="11" t="n">
        <v>1296648</v>
      </c>
      <c r="BB1371" s="31" t="n">
        <f aca="false">SUM(Q1371,S1371,U1371,W1371,Y1371,AA1371,AC1371,AE1371,AG1371,AI1371,AK1371,AM1371,AO1371,AQ1371,AS1371,AU1371,AW1371,AY1371)</f>
        <v>1296648</v>
      </c>
      <c r="BC1371" s="28" t="n">
        <f aca="false">BA1371-BB1371</f>
        <v>0</v>
      </c>
      <c r="BD1371" s="32" t="n">
        <f aca="false">SUM(P1371,R1371,T1371,V1371,X1371,Z1371,AB1371,AD1371,AF1371,AH1371,AJ1371,AL1371,AN1371,AP1371,AR1371,AT1371,AV1371,AX1371)</f>
        <v>72036</v>
      </c>
      <c r="BE1371" s="33" t="n">
        <f aca="false">AZ1371-BD1371</f>
        <v>0</v>
      </c>
      <c r="BF1371" s="34" t="n">
        <f aca="false">BD1371*M1371</f>
        <v>1296648</v>
      </c>
      <c r="BG1371" s="35" t="n">
        <f aca="false">BA1371-BF1371</f>
        <v>0</v>
      </c>
      <c r="BH1371" s="19" t="str">
        <f aca="false">IF(BG1371=0,"",IF(BG1371&lt;&gt;BA1371,"erreur de calcul",IF(BD1371&lt;&gt;0,"pas de prix",IF(M1371&lt;&gt; 0,"pas de quantité","pas de prix, ni de quantité"))))</f>
        <v/>
      </c>
      <c r="BI1371" s="19"/>
    </row>
    <row r="1372" customFormat="false" ht="15" hidden="false" customHeight="false" outlineLevel="0" collapsed="false">
      <c r="A1372" s="0" t="n">
        <v>29</v>
      </c>
      <c r="B1372" s="8" t="s">
        <v>24</v>
      </c>
      <c r="C1372" s="9" t="s">
        <v>25</v>
      </c>
      <c r="D1372" s="9" t="s">
        <v>26</v>
      </c>
      <c r="E1372" s="10" t="n">
        <v>1789</v>
      </c>
      <c r="F1372" s="9" t="s">
        <v>27</v>
      </c>
      <c r="G1372" s="9" t="s">
        <v>27</v>
      </c>
      <c r="H1372" s="11" t="n">
        <v>26</v>
      </c>
      <c r="I1372" s="11" t="s">
        <v>400</v>
      </c>
      <c r="J1372" s="14" t="n">
        <v>19</v>
      </c>
      <c r="K1372" s="14"/>
      <c r="L1372" s="16"/>
      <c r="M1372" s="27" t="n">
        <f aca="false">J1372+(K1372/20)+(L1372/240)</f>
        <v>19</v>
      </c>
      <c r="N1372" s="17" t="s">
        <v>66</v>
      </c>
      <c r="O1372" s="11"/>
      <c r="P1372" s="28"/>
      <c r="Q1372" s="28" t="n">
        <f aca="false">P1372*$M1372</f>
        <v>0</v>
      </c>
      <c r="R1372" s="28"/>
      <c r="S1372" s="28" t="n">
        <f aca="false">R1372*$M1372</f>
        <v>0</v>
      </c>
      <c r="T1372" s="28"/>
      <c r="U1372" s="28" t="n">
        <f aca="false">T1372*$M1372</f>
        <v>0</v>
      </c>
      <c r="V1372" s="28"/>
      <c r="W1372" s="28" t="n">
        <f aca="false">V1372*$M1372</f>
        <v>0</v>
      </c>
      <c r="X1372" s="28"/>
      <c r="Y1372" s="28" t="n">
        <f aca="false">X1372*$M1372</f>
        <v>0</v>
      </c>
      <c r="Z1372" s="28"/>
      <c r="AA1372" s="28" t="n">
        <f aca="false">Z1372*$M1372</f>
        <v>0</v>
      </c>
      <c r="AB1372" s="28" t="n">
        <v>1176</v>
      </c>
      <c r="AC1372" s="28" t="n">
        <v>22344</v>
      </c>
      <c r="AD1372" s="28"/>
      <c r="AE1372" s="28" t="n">
        <f aca="false">AD1372*$M1372</f>
        <v>0</v>
      </c>
      <c r="AF1372" s="28"/>
      <c r="AG1372" s="28" t="n">
        <f aca="false">AF1372*$M1372</f>
        <v>0</v>
      </c>
      <c r="AH1372" s="28"/>
      <c r="AI1372" s="28" t="n">
        <f aca="false">AH1372*$M1372</f>
        <v>0</v>
      </c>
      <c r="AJ1372" s="28"/>
      <c r="AK1372" s="28" t="n">
        <f aca="false">AJ1372*$M1372</f>
        <v>0</v>
      </c>
      <c r="AL1372" s="28"/>
      <c r="AM1372" s="28" t="n">
        <f aca="false">AL1372*$M1372</f>
        <v>0</v>
      </c>
      <c r="AN1372" s="28"/>
      <c r="AO1372" s="28" t="n">
        <f aca="false">AN1372*$M1372</f>
        <v>0</v>
      </c>
      <c r="AP1372" s="28"/>
      <c r="AQ1372" s="28" t="n">
        <f aca="false">AP1372*$M1372</f>
        <v>0</v>
      </c>
      <c r="AR1372" s="28"/>
      <c r="AS1372" s="28" t="n">
        <f aca="false">AR1372*$M1372</f>
        <v>0</v>
      </c>
      <c r="AT1372" s="28"/>
      <c r="AU1372" s="28" t="n">
        <f aca="false">AT1372*$M1372</f>
        <v>0</v>
      </c>
      <c r="AV1372" s="28"/>
      <c r="AW1372" s="28" t="n">
        <f aca="false">AV1372*$M1372</f>
        <v>0</v>
      </c>
      <c r="AX1372" s="28"/>
      <c r="AY1372" s="28" t="n">
        <f aca="false">AX1372*$M1372</f>
        <v>0</v>
      </c>
      <c r="AZ1372" s="30" t="n">
        <v>1176</v>
      </c>
      <c r="BA1372" s="11" t="n">
        <v>22344</v>
      </c>
      <c r="BB1372" s="31" t="n">
        <f aca="false">SUM(Q1372,S1372,U1372,W1372,Y1372,AA1372,AC1372,AE1372,AG1372,AI1372,AK1372,AM1372,AO1372,AQ1372,AS1372,AU1372,AW1372,AY1372)</f>
        <v>22344</v>
      </c>
      <c r="BC1372" s="28" t="n">
        <f aca="false">BA1372-BB1372</f>
        <v>0</v>
      </c>
      <c r="BD1372" s="32" t="n">
        <f aca="false">SUM(P1372,R1372,T1372,V1372,X1372,Z1372,AB1372,AD1372,AF1372,AH1372,AJ1372,AL1372,AN1372,AP1372,AR1372,AT1372,AV1372,AX1372)</f>
        <v>1176</v>
      </c>
      <c r="BE1372" s="33" t="n">
        <f aca="false">AZ1372-BD1372</f>
        <v>0</v>
      </c>
      <c r="BF1372" s="34" t="n">
        <f aca="false">BD1372*M1372</f>
        <v>22344</v>
      </c>
      <c r="BG1372" s="35" t="n">
        <f aca="false">BA1372-BF1372</f>
        <v>0</v>
      </c>
      <c r="BH1372" s="19" t="str">
        <f aca="false">IF(BG1372=0,"",IF(BG1372&lt;&gt;BA1372,"erreur de calcul",IF(BD1372&lt;&gt;0,"pas de prix",IF(M1372&lt;&gt; 0,"pas de quantité","pas de prix, ni de quantité"))))</f>
        <v/>
      </c>
      <c r="BI1372" s="19"/>
    </row>
    <row r="1373" customFormat="false" ht="15" hidden="false" customHeight="false" outlineLevel="0" collapsed="false">
      <c r="A1373" s="0" t="n">
        <v>30</v>
      </c>
      <c r="B1373" s="8" t="s">
        <v>24</v>
      </c>
      <c r="C1373" s="9" t="s">
        <v>25</v>
      </c>
      <c r="D1373" s="9" t="s">
        <v>26</v>
      </c>
      <c r="E1373" s="10" t="n">
        <v>1789</v>
      </c>
      <c r="F1373" s="9" t="s">
        <v>27</v>
      </c>
      <c r="G1373" s="9" t="s">
        <v>27</v>
      </c>
      <c r="H1373" s="11" t="n">
        <v>26</v>
      </c>
      <c r="I1373" s="11" t="s">
        <v>401</v>
      </c>
      <c r="J1373" s="14" t="n">
        <v>20</v>
      </c>
      <c r="K1373" s="14"/>
      <c r="L1373" s="16"/>
      <c r="M1373" s="27" t="n">
        <f aca="false">J1373+(K1373/20)+(L1373/240)</f>
        <v>20</v>
      </c>
      <c r="N1373" s="17" t="s">
        <v>66</v>
      </c>
      <c r="O1373" s="11"/>
      <c r="P1373" s="28"/>
      <c r="Q1373" s="28" t="n">
        <f aca="false">P1373*$M1373</f>
        <v>0</v>
      </c>
      <c r="R1373" s="28"/>
      <c r="S1373" s="28" t="n">
        <f aca="false">R1373*$M1373</f>
        <v>0</v>
      </c>
      <c r="T1373" s="28" t="n">
        <v>7478</v>
      </c>
      <c r="U1373" s="28" t="n">
        <v>149560</v>
      </c>
      <c r="V1373" s="28" t="n">
        <v>3386</v>
      </c>
      <c r="W1373" s="36" t="n">
        <v>66720</v>
      </c>
      <c r="X1373" s="28" t="n">
        <v>2233</v>
      </c>
      <c r="Y1373" s="28" t="n">
        <v>44660</v>
      </c>
      <c r="Z1373" s="28" t="n">
        <v>867</v>
      </c>
      <c r="AA1373" s="28" t="n">
        <v>17340</v>
      </c>
      <c r="AB1373" s="28" t="n">
        <v>32380</v>
      </c>
      <c r="AC1373" s="28" t="n">
        <v>647600</v>
      </c>
      <c r="AD1373" s="28"/>
      <c r="AE1373" s="28" t="n">
        <f aca="false">AD1373*$M1373</f>
        <v>0</v>
      </c>
      <c r="AF1373" s="28"/>
      <c r="AG1373" s="28" t="n">
        <f aca="false">AF1373*$M1373</f>
        <v>0</v>
      </c>
      <c r="AH1373" s="28" t="n">
        <v>12038</v>
      </c>
      <c r="AI1373" s="28" t="n">
        <v>240760</v>
      </c>
      <c r="AJ1373" s="28"/>
      <c r="AK1373" s="28" t="n">
        <f aca="false">AJ1373*$M1373</f>
        <v>0</v>
      </c>
      <c r="AL1373" s="28"/>
      <c r="AM1373" s="28" t="n">
        <f aca="false">AL1373*$M1373</f>
        <v>0</v>
      </c>
      <c r="AN1373" s="28"/>
      <c r="AO1373" s="28" t="n">
        <f aca="false">AN1373*$M1373</f>
        <v>0</v>
      </c>
      <c r="AP1373" s="28"/>
      <c r="AQ1373" s="28" t="n">
        <f aca="false">AP1373*$M1373</f>
        <v>0</v>
      </c>
      <c r="AR1373" s="28"/>
      <c r="AS1373" s="28" t="n">
        <f aca="false">AR1373*$M1373</f>
        <v>0</v>
      </c>
      <c r="AT1373" s="28"/>
      <c r="AU1373" s="28" t="n">
        <f aca="false">AT1373*$M1373</f>
        <v>0</v>
      </c>
      <c r="AV1373" s="28"/>
      <c r="AW1373" s="28" t="n">
        <f aca="false">AV1373*$M1373</f>
        <v>0</v>
      </c>
      <c r="AX1373" s="28"/>
      <c r="AY1373" s="28" t="n">
        <f aca="false">AX1373*$M1373</f>
        <v>0</v>
      </c>
      <c r="AZ1373" s="30" t="n">
        <v>58382</v>
      </c>
      <c r="BA1373" s="11" t="n">
        <v>1166640</v>
      </c>
      <c r="BB1373" s="31" t="n">
        <f aca="false">SUM(Q1373,S1373,U1373,W1373,Y1373,AA1373,AC1373,AE1373,AG1373,AI1373,AK1373,AM1373,AO1373,AQ1373,AS1373,AU1373,AW1373,AY1373)</f>
        <v>1166640</v>
      </c>
      <c r="BC1373" s="28" t="n">
        <f aca="false">BA1373-BB1373</f>
        <v>0</v>
      </c>
      <c r="BD1373" s="32" t="n">
        <f aca="false">SUM(P1373,R1373,T1373,V1373,X1373,Z1373,AB1373,AD1373,AF1373,AH1373,AJ1373,AL1373,AN1373,AP1373,AR1373,AT1373,AV1373,AX1373)</f>
        <v>58382</v>
      </c>
      <c r="BE1373" s="33" t="n">
        <f aca="false">AZ1373-BD1373</f>
        <v>0</v>
      </c>
      <c r="BF1373" s="34" t="n">
        <f aca="false">BD1373*M1373</f>
        <v>1167640</v>
      </c>
      <c r="BG1373" s="35" t="n">
        <f aca="false">BA1373-BF1373</f>
        <v>-1000</v>
      </c>
      <c r="BH1373" s="19" t="str">
        <f aca="false">IF(BG1373=0,"",IF(BG1373&lt;&gt;BA1373,"erreur de calcul",IF(BD1373&lt;&gt;0,"pas de prix",IF(M1373&lt;&gt; 0,"pas de quantité","pas de prix, ni de quantité"))))</f>
        <v>erreur de calcul</v>
      </c>
      <c r="BI1373" s="19"/>
    </row>
    <row r="1374" customFormat="false" ht="15" hidden="false" customHeight="false" outlineLevel="0" collapsed="false">
      <c r="A1374" s="0" t="n">
        <v>31</v>
      </c>
      <c r="B1374" s="8" t="s">
        <v>24</v>
      </c>
      <c r="C1374" s="9" t="s">
        <v>25</v>
      </c>
      <c r="D1374" s="9" t="s">
        <v>26</v>
      </c>
      <c r="E1374" s="10" t="n">
        <v>1789</v>
      </c>
      <c r="F1374" s="9" t="s">
        <v>27</v>
      </c>
      <c r="G1374" s="9" t="s">
        <v>27</v>
      </c>
      <c r="H1374" s="11" t="n">
        <v>26</v>
      </c>
      <c r="I1374" s="11" t="s">
        <v>402</v>
      </c>
      <c r="J1374" s="14" t="n">
        <v>17</v>
      </c>
      <c r="K1374" s="14"/>
      <c r="L1374" s="16"/>
      <c r="M1374" s="27" t="n">
        <f aca="false">J1374+(K1374/20)+(L1374/240)</f>
        <v>17</v>
      </c>
      <c r="N1374" s="17" t="s">
        <v>66</v>
      </c>
      <c r="O1374" s="11"/>
      <c r="P1374" s="28"/>
      <c r="Q1374" s="28" t="n">
        <f aca="false">P1374*$M1374</f>
        <v>0</v>
      </c>
      <c r="R1374" s="28"/>
      <c r="S1374" s="28" t="n">
        <f aca="false">R1374*$M1374</f>
        <v>0</v>
      </c>
      <c r="T1374" s="28" t="n">
        <v>126481</v>
      </c>
      <c r="U1374" s="28" t="n">
        <v>2150177</v>
      </c>
      <c r="V1374" s="28"/>
      <c r="W1374" s="28" t="n">
        <f aca="false">V1374*$M1374</f>
        <v>0</v>
      </c>
      <c r="X1374" s="28"/>
      <c r="Y1374" s="28" t="n">
        <f aca="false">X1374*$M1374</f>
        <v>0</v>
      </c>
      <c r="Z1374" s="28"/>
      <c r="AA1374" s="28" t="n">
        <f aca="false">Z1374*$M1374</f>
        <v>0</v>
      </c>
      <c r="AB1374" s="28"/>
      <c r="AC1374" s="28" t="n">
        <f aca="false">AB1374*$M1374</f>
        <v>0</v>
      </c>
      <c r="AD1374" s="28"/>
      <c r="AE1374" s="28" t="n">
        <f aca="false">AD1374*$M1374</f>
        <v>0</v>
      </c>
      <c r="AF1374" s="28"/>
      <c r="AG1374" s="28" t="n">
        <f aca="false">AF1374*$M1374</f>
        <v>0</v>
      </c>
      <c r="AH1374" s="28"/>
      <c r="AI1374" s="28" t="n">
        <f aca="false">AH1374*$M1374</f>
        <v>0</v>
      </c>
      <c r="AJ1374" s="28"/>
      <c r="AK1374" s="28" t="n">
        <f aca="false">AJ1374*$M1374</f>
        <v>0</v>
      </c>
      <c r="AL1374" s="28"/>
      <c r="AM1374" s="28" t="n">
        <f aca="false">AL1374*$M1374</f>
        <v>0</v>
      </c>
      <c r="AN1374" s="28"/>
      <c r="AO1374" s="28" t="n">
        <f aca="false">AN1374*$M1374</f>
        <v>0</v>
      </c>
      <c r="AP1374" s="28"/>
      <c r="AQ1374" s="28" t="n">
        <f aca="false">AP1374*$M1374</f>
        <v>0</v>
      </c>
      <c r="AR1374" s="28"/>
      <c r="AS1374" s="28" t="n">
        <f aca="false">AR1374*$M1374</f>
        <v>0</v>
      </c>
      <c r="AT1374" s="28"/>
      <c r="AU1374" s="28" t="n">
        <f aca="false">AT1374*$M1374</f>
        <v>0</v>
      </c>
      <c r="AV1374" s="28"/>
      <c r="AW1374" s="28" t="n">
        <f aca="false">AV1374*$M1374</f>
        <v>0</v>
      </c>
      <c r="AX1374" s="28"/>
      <c r="AY1374" s="28" t="n">
        <f aca="false">AX1374*$M1374</f>
        <v>0</v>
      </c>
      <c r="AZ1374" s="30" t="n">
        <v>126481</v>
      </c>
      <c r="BA1374" s="11" t="n">
        <v>2150177</v>
      </c>
      <c r="BB1374" s="31" t="n">
        <f aca="false">SUM(Q1374,S1374,U1374,W1374,Y1374,AA1374,AC1374,AE1374,AG1374,AI1374,AK1374,AM1374,AO1374,AQ1374,AS1374,AU1374,AW1374,AY1374)</f>
        <v>2150177</v>
      </c>
      <c r="BC1374" s="28" t="n">
        <f aca="false">BA1374-BB1374</f>
        <v>0</v>
      </c>
      <c r="BD1374" s="32" t="n">
        <f aca="false">SUM(P1374,R1374,T1374,V1374,X1374,Z1374,AB1374,AD1374,AF1374,AH1374,AJ1374,AL1374,AN1374,AP1374,AR1374,AT1374,AV1374,AX1374)</f>
        <v>126481</v>
      </c>
      <c r="BE1374" s="33" t="n">
        <f aca="false">AZ1374-BD1374</f>
        <v>0</v>
      </c>
      <c r="BF1374" s="34" t="n">
        <f aca="false">BD1374*M1374</f>
        <v>2150177</v>
      </c>
      <c r="BG1374" s="35" t="n">
        <f aca="false">BA1374-BF1374</f>
        <v>0</v>
      </c>
      <c r="BH1374" s="19" t="str">
        <f aca="false">IF(BG1374=0,"",IF(BG1374&lt;&gt;BA1374,"erreur de calcul",IF(BD1374&lt;&gt;0,"pas de prix",IF(M1374&lt;&gt; 0,"pas de quantité","pas de prix, ni de quantité"))))</f>
        <v/>
      </c>
      <c r="BI1374" s="19"/>
    </row>
    <row r="1375" customFormat="false" ht="15" hidden="false" customHeight="false" outlineLevel="0" collapsed="false">
      <c r="A1375" s="0" t="n">
        <v>32</v>
      </c>
      <c r="B1375" s="8" t="s">
        <v>24</v>
      </c>
      <c r="C1375" s="9" t="s">
        <v>25</v>
      </c>
      <c r="D1375" s="9" t="s">
        <v>26</v>
      </c>
      <c r="E1375" s="10" t="n">
        <v>1789</v>
      </c>
      <c r="F1375" s="9" t="s">
        <v>27</v>
      </c>
      <c r="G1375" s="9" t="s">
        <v>27</v>
      </c>
      <c r="H1375" s="11" t="n">
        <v>26</v>
      </c>
      <c r="I1375" s="11" t="s">
        <v>403</v>
      </c>
      <c r="J1375" s="14" t="n">
        <v>28</v>
      </c>
      <c r="K1375" s="14"/>
      <c r="L1375" s="16"/>
      <c r="M1375" s="27" t="n">
        <f aca="false">J1375+(K1375/20)+(L1375/240)</f>
        <v>28</v>
      </c>
      <c r="N1375" s="17" t="s">
        <v>66</v>
      </c>
      <c r="O1375" s="11"/>
      <c r="P1375" s="28"/>
      <c r="Q1375" s="28" t="n">
        <f aca="false">P1375*$M1375</f>
        <v>0</v>
      </c>
      <c r="R1375" s="28"/>
      <c r="S1375" s="28" t="n">
        <f aca="false">R1375*$M1375</f>
        <v>0</v>
      </c>
      <c r="T1375" s="28"/>
      <c r="U1375" s="28" t="n">
        <f aca="false">T1375*$M1375</f>
        <v>0</v>
      </c>
      <c r="V1375" s="28" t="n">
        <v>1923</v>
      </c>
      <c r="W1375" s="28" t="n">
        <v>53844</v>
      </c>
      <c r="X1375" s="28" t="n">
        <v>7280</v>
      </c>
      <c r="Y1375" s="36" t="n">
        <v>203860</v>
      </c>
      <c r="Z1375" s="28"/>
      <c r="AA1375" s="28" t="n">
        <f aca="false">Z1375*$M1375</f>
        <v>0</v>
      </c>
      <c r="AB1375" s="28" t="n">
        <v>128803</v>
      </c>
      <c r="AC1375" s="28" t="n">
        <v>3606484</v>
      </c>
      <c r="AD1375" s="28"/>
      <c r="AE1375" s="28" t="n">
        <f aca="false">AD1375*$M1375</f>
        <v>0</v>
      </c>
      <c r="AF1375" s="28"/>
      <c r="AG1375" s="28" t="n">
        <f aca="false">AF1375*$M1375</f>
        <v>0</v>
      </c>
      <c r="AH1375" s="28"/>
      <c r="AI1375" s="28" t="n">
        <f aca="false">AH1375*$M1375</f>
        <v>0</v>
      </c>
      <c r="AJ1375" s="28"/>
      <c r="AK1375" s="28" t="n">
        <f aca="false">AJ1375*$M1375</f>
        <v>0</v>
      </c>
      <c r="AL1375" s="28"/>
      <c r="AM1375" s="28" t="n">
        <f aca="false">AL1375*$M1375</f>
        <v>0</v>
      </c>
      <c r="AN1375" s="28"/>
      <c r="AO1375" s="28" t="n">
        <f aca="false">AN1375*$M1375</f>
        <v>0</v>
      </c>
      <c r="AP1375" s="28"/>
      <c r="AQ1375" s="28" t="n">
        <f aca="false">AP1375*$M1375</f>
        <v>0</v>
      </c>
      <c r="AR1375" s="28"/>
      <c r="AS1375" s="28" t="n">
        <f aca="false">AR1375*$M1375</f>
        <v>0</v>
      </c>
      <c r="AT1375" s="28"/>
      <c r="AU1375" s="28" t="n">
        <f aca="false">AT1375*$M1375</f>
        <v>0</v>
      </c>
      <c r="AV1375" s="28"/>
      <c r="AW1375" s="28" t="n">
        <f aca="false">AV1375*$M1375</f>
        <v>0</v>
      </c>
      <c r="AX1375" s="28"/>
      <c r="AY1375" s="28" t="n">
        <f aca="false">AX1375*$M1375</f>
        <v>0</v>
      </c>
      <c r="AZ1375" s="30" t="n">
        <v>138006</v>
      </c>
      <c r="BA1375" s="11" t="n">
        <v>3864188</v>
      </c>
      <c r="BB1375" s="31" t="n">
        <f aca="false">SUM(Q1375,S1375,U1375,W1375,Y1375,AA1375,AC1375,AE1375,AG1375,AI1375,AK1375,AM1375,AO1375,AQ1375,AS1375,AU1375,AW1375,AY1375)</f>
        <v>3864188</v>
      </c>
      <c r="BC1375" s="28" t="n">
        <f aca="false">BA1375-BB1375</f>
        <v>0</v>
      </c>
      <c r="BD1375" s="32" t="n">
        <f aca="false">SUM(P1375,R1375,T1375,V1375,X1375,Z1375,AB1375,AD1375,AF1375,AH1375,AJ1375,AL1375,AN1375,AP1375,AR1375,AT1375,AV1375,AX1375)</f>
        <v>138006</v>
      </c>
      <c r="BE1375" s="33" t="n">
        <f aca="false">AZ1375-BD1375</f>
        <v>0</v>
      </c>
      <c r="BF1375" s="34" t="n">
        <f aca="false">BD1375*M1375</f>
        <v>3864168</v>
      </c>
      <c r="BG1375" s="35" t="n">
        <f aca="false">BA1375-BF1375</f>
        <v>20</v>
      </c>
      <c r="BH1375" s="19" t="str">
        <f aca="false">IF(BG1375=0,"",IF(BG1375&lt;&gt;BA1375,"erreur de calcul",IF(BD1375&lt;&gt;0,"pas de prix",IF(M1375&lt;&gt; 0,"pas de quantité","pas de prix, ni de quantité"))))</f>
        <v>erreur de calcul</v>
      </c>
      <c r="BI1375" s="19"/>
    </row>
    <row r="1376" customFormat="false" ht="15" hidden="false" customHeight="false" outlineLevel="0" collapsed="false">
      <c r="A1376" s="0" t="n">
        <v>33</v>
      </c>
      <c r="B1376" s="8" t="s">
        <v>24</v>
      </c>
      <c r="C1376" s="9" t="s">
        <v>25</v>
      </c>
      <c r="D1376" s="9" t="s">
        <v>26</v>
      </c>
      <c r="E1376" s="10" t="n">
        <v>1789</v>
      </c>
      <c r="F1376" s="9" t="s">
        <v>27</v>
      </c>
      <c r="G1376" s="9" t="s">
        <v>27</v>
      </c>
      <c r="H1376" s="11" t="n">
        <v>26</v>
      </c>
      <c r="I1376" s="11" t="s">
        <v>404</v>
      </c>
      <c r="J1376" s="14"/>
      <c r="K1376" s="14" t="n">
        <v>30</v>
      </c>
      <c r="L1376" s="16"/>
      <c r="M1376" s="27" t="n">
        <f aca="false">J1376+(K1376/20)+(L1376/240)</f>
        <v>1.5</v>
      </c>
      <c r="N1376" s="17" t="s">
        <v>66</v>
      </c>
      <c r="O1376" s="11"/>
      <c r="P1376" s="28"/>
      <c r="Q1376" s="28" t="n">
        <f aca="false">P1376*$M1376</f>
        <v>0</v>
      </c>
      <c r="R1376" s="28"/>
      <c r="S1376" s="28" t="n">
        <f aca="false">R1376*$M1376</f>
        <v>0</v>
      </c>
      <c r="T1376" s="28" t="n">
        <v>11245</v>
      </c>
      <c r="U1376" s="28" t="n">
        <v>16867</v>
      </c>
      <c r="V1376" s="28"/>
      <c r="W1376" s="28" t="n">
        <f aca="false">V1376*$M1376</f>
        <v>0</v>
      </c>
      <c r="X1376" s="28"/>
      <c r="Y1376" s="28" t="n">
        <f aca="false">X1376*$M1376</f>
        <v>0</v>
      </c>
      <c r="Z1376" s="28"/>
      <c r="AA1376" s="28" t="n">
        <f aca="false">Z1376*$M1376</f>
        <v>0</v>
      </c>
      <c r="AB1376" s="28"/>
      <c r="AC1376" s="28" t="n">
        <f aca="false">AB1376*$M1376</f>
        <v>0</v>
      </c>
      <c r="AD1376" s="28"/>
      <c r="AE1376" s="28" t="n">
        <f aca="false">AD1376*$M1376</f>
        <v>0</v>
      </c>
      <c r="AF1376" s="28"/>
      <c r="AG1376" s="28" t="n">
        <f aca="false">AF1376*$M1376</f>
        <v>0</v>
      </c>
      <c r="AH1376" s="28"/>
      <c r="AI1376" s="28" t="n">
        <f aca="false">AH1376*$M1376</f>
        <v>0</v>
      </c>
      <c r="AJ1376" s="28"/>
      <c r="AK1376" s="28" t="n">
        <f aca="false">AJ1376*$M1376</f>
        <v>0</v>
      </c>
      <c r="AL1376" s="28"/>
      <c r="AM1376" s="28" t="n">
        <f aca="false">AL1376*$M1376</f>
        <v>0</v>
      </c>
      <c r="AN1376" s="28"/>
      <c r="AO1376" s="28" t="n">
        <f aca="false">AN1376*$M1376</f>
        <v>0</v>
      </c>
      <c r="AP1376" s="28"/>
      <c r="AQ1376" s="28" t="n">
        <f aca="false">AP1376*$M1376</f>
        <v>0</v>
      </c>
      <c r="AR1376" s="28"/>
      <c r="AS1376" s="28" t="n">
        <f aca="false">AR1376*$M1376</f>
        <v>0</v>
      </c>
      <c r="AT1376" s="28"/>
      <c r="AU1376" s="28" t="n">
        <f aca="false">AT1376*$M1376</f>
        <v>0</v>
      </c>
      <c r="AV1376" s="28"/>
      <c r="AW1376" s="28" t="n">
        <f aca="false">AV1376*$M1376</f>
        <v>0</v>
      </c>
      <c r="AX1376" s="28"/>
      <c r="AY1376" s="28" t="n">
        <f aca="false">AX1376*$M1376</f>
        <v>0</v>
      </c>
      <c r="AZ1376" s="30" t="n">
        <v>11245</v>
      </c>
      <c r="BA1376" s="11" t="n">
        <v>16867</v>
      </c>
      <c r="BB1376" s="31" t="n">
        <f aca="false">SUM(Q1376,S1376,U1376,W1376,Y1376,AA1376,AC1376,AE1376,AG1376,AI1376,AK1376,AM1376,AO1376,AQ1376,AS1376,AU1376,AW1376,AY1376)</f>
        <v>16867</v>
      </c>
      <c r="BC1376" s="28" t="n">
        <f aca="false">BA1376-BB1376</f>
        <v>0</v>
      </c>
      <c r="BD1376" s="32" t="n">
        <f aca="false">SUM(P1376,R1376,T1376,V1376,X1376,Z1376,AB1376,AD1376,AF1376,AH1376,AJ1376,AL1376,AN1376,AP1376,AR1376,AT1376,AV1376,AX1376)</f>
        <v>11245</v>
      </c>
      <c r="BE1376" s="33" t="n">
        <f aca="false">AZ1376-BD1376</f>
        <v>0</v>
      </c>
      <c r="BF1376" s="34" t="n">
        <f aca="false">BD1376*M1376</f>
        <v>16867.5</v>
      </c>
      <c r="BG1376" s="35" t="n">
        <f aca="false">BA1376-BF1376</f>
        <v>-0.5</v>
      </c>
      <c r="BH1376" s="19" t="str">
        <f aca="false">IF(BG1376=0,"",IF(BG1376&lt;&gt;BA1376,"erreur de calcul",IF(BD1376&lt;&gt;0,"pas de prix",IF(M1376&lt;&gt; 0,"pas de quantité","pas de prix, ni de quantité"))))</f>
        <v>erreur de calcul</v>
      </c>
      <c r="BI1376" s="19"/>
    </row>
    <row r="1377" customFormat="false" ht="15" hidden="false" customHeight="false" outlineLevel="0" collapsed="false">
      <c r="A1377" s="0" t="n">
        <v>34</v>
      </c>
      <c r="B1377" s="8" t="s">
        <v>24</v>
      </c>
      <c r="C1377" s="9" t="s">
        <v>25</v>
      </c>
      <c r="D1377" s="9" t="s">
        <v>26</v>
      </c>
      <c r="E1377" s="10" t="n">
        <v>1789</v>
      </c>
      <c r="F1377" s="9" t="s">
        <v>27</v>
      </c>
      <c r="G1377" s="9" t="s">
        <v>27</v>
      </c>
      <c r="H1377" s="11" t="n">
        <v>26</v>
      </c>
      <c r="I1377" s="11" t="s">
        <v>405</v>
      </c>
      <c r="J1377" s="14"/>
      <c r="K1377" s="14" t="n">
        <v>40</v>
      </c>
      <c r="L1377" s="16"/>
      <c r="M1377" s="27" t="n">
        <f aca="false">J1377+(K1377/20)+(L1377/240)</f>
        <v>2</v>
      </c>
      <c r="N1377" s="17" t="s">
        <v>66</v>
      </c>
      <c r="O1377" s="11"/>
      <c r="P1377" s="28"/>
      <c r="Q1377" s="28" t="n">
        <f aca="false">P1377*$M1377</f>
        <v>0</v>
      </c>
      <c r="R1377" s="28"/>
      <c r="S1377" s="28" t="n">
        <f aca="false">R1377*$M1377</f>
        <v>0</v>
      </c>
      <c r="T1377" s="28"/>
      <c r="U1377" s="28" t="n">
        <f aca="false">T1377*$M1377</f>
        <v>0</v>
      </c>
      <c r="V1377" s="28"/>
      <c r="W1377" s="28" t="n">
        <f aca="false">V1377*$M1377</f>
        <v>0</v>
      </c>
      <c r="X1377" s="28"/>
      <c r="Y1377" s="28" t="n">
        <f aca="false">X1377*$M1377</f>
        <v>0</v>
      </c>
      <c r="Z1377" s="28"/>
      <c r="AA1377" s="28" t="n">
        <f aca="false">Z1377*$M1377</f>
        <v>0</v>
      </c>
      <c r="AB1377" s="28"/>
      <c r="AC1377" s="28" t="n">
        <f aca="false">AB1377*$M1377</f>
        <v>0</v>
      </c>
      <c r="AD1377" s="28"/>
      <c r="AE1377" s="28" t="n">
        <f aca="false">AD1377*$M1377</f>
        <v>0</v>
      </c>
      <c r="AF1377" s="28"/>
      <c r="AG1377" s="28" t="n">
        <f aca="false">AF1377*$M1377</f>
        <v>0</v>
      </c>
      <c r="AH1377" s="28" t="n">
        <v>9380</v>
      </c>
      <c r="AI1377" s="28" t="n">
        <v>18760</v>
      </c>
      <c r="AJ1377" s="28"/>
      <c r="AK1377" s="28" t="n">
        <f aca="false">AJ1377*$M1377</f>
        <v>0</v>
      </c>
      <c r="AL1377" s="28"/>
      <c r="AM1377" s="28" t="n">
        <f aca="false">AL1377*$M1377</f>
        <v>0</v>
      </c>
      <c r="AN1377" s="28"/>
      <c r="AO1377" s="28" t="n">
        <f aca="false">AN1377*$M1377</f>
        <v>0</v>
      </c>
      <c r="AP1377" s="28"/>
      <c r="AQ1377" s="28" t="n">
        <f aca="false">AP1377*$M1377</f>
        <v>0</v>
      </c>
      <c r="AR1377" s="28"/>
      <c r="AS1377" s="28" t="n">
        <f aca="false">AR1377*$M1377</f>
        <v>0</v>
      </c>
      <c r="AT1377" s="28"/>
      <c r="AU1377" s="28" t="n">
        <f aca="false">AT1377*$M1377</f>
        <v>0</v>
      </c>
      <c r="AV1377" s="28"/>
      <c r="AW1377" s="28" t="n">
        <f aca="false">AV1377*$M1377</f>
        <v>0</v>
      </c>
      <c r="AX1377" s="28"/>
      <c r="AY1377" s="28" t="n">
        <f aca="false">AX1377*$M1377</f>
        <v>0</v>
      </c>
      <c r="AZ1377" s="30" t="n">
        <v>9380</v>
      </c>
      <c r="BA1377" s="11" t="n">
        <v>18760</v>
      </c>
      <c r="BB1377" s="31" t="n">
        <f aca="false">SUM(Q1377,S1377,U1377,W1377,Y1377,AA1377,AC1377,AE1377,AG1377,AI1377,AK1377,AM1377,AO1377,AQ1377,AS1377,AU1377,AW1377,AY1377)</f>
        <v>18760</v>
      </c>
      <c r="BC1377" s="28" t="n">
        <f aca="false">BA1377-BB1377</f>
        <v>0</v>
      </c>
      <c r="BD1377" s="32" t="n">
        <f aca="false">SUM(P1377,R1377,T1377,V1377,X1377,Z1377,AB1377,AD1377,AF1377,AH1377,AJ1377,AL1377,AN1377,AP1377,AR1377,AT1377,AV1377,AX1377)</f>
        <v>9380</v>
      </c>
      <c r="BE1377" s="33" t="n">
        <f aca="false">AZ1377-BD1377</f>
        <v>0</v>
      </c>
      <c r="BF1377" s="34" t="n">
        <f aca="false">BD1377*M1377</f>
        <v>18760</v>
      </c>
      <c r="BG1377" s="35" t="n">
        <f aca="false">BA1377-BF1377</f>
        <v>0</v>
      </c>
      <c r="BH1377" s="19" t="str">
        <f aca="false">IF(BG1377=0,"",IF(BG1377&lt;&gt;BA1377,"erreur de calcul",IF(BD1377&lt;&gt;0,"pas de prix",IF(M1377&lt;&gt; 0,"pas de quantité","pas de prix, ni de quantité"))))</f>
        <v/>
      </c>
      <c r="BI1377" s="19"/>
    </row>
    <row r="1378" customFormat="false" ht="15" hidden="false" customHeight="false" outlineLevel="0" collapsed="false">
      <c r="A1378" s="0" t="n">
        <v>35</v>
      </c>
      <c r="B1378" s="8" t="s">
        <v>24</v>
      </c>
      <c r="C1378" s="9" t="s">
        <v>25</v>
      </c>
      <c r="D1378" s="9" t="s">
        <v>26</v>
      </c>
      <c r="E1378" s="10" t="n">
        <v>1789</v>
      </c>
      <c r="F1378" s="9" t="s">
        <v>27</v>
      </c>
      <c r="G1378" s="9" t="s">
        <v>27</v>
      </c>
      <c r="H1378" s="11" t="n">
        <v>26</v>
      </c>
      <c r="I1378" s="11" t="s">
        <v>406</v>
      </c>
      <c r="J1378" s="14" t="n">
        <v>55</v>
      </c>
      <c r="K1378" s="14"/>
      <c r="L1378" s="16"/>
      <c r="M1378" s="27" t="n">
        <f aca="false">J1378+(K1378/20)+(L1378/240)</f>
        <v>55</v>
      </c>
      <c r="N1378" s="17" t="s">
        <v>64</v>
      </c>
      <c r="O1378" s="11"/>
      <c r="P1378" s="28" t="n">
        <f aca="false">634/100</f>
        <v>6.34</v>
      </c>
      <c r="Q1378" s="28" t="n">
        <v>349</v>
      </c>
      <c r="R1378" s="28"/>
      <c r="S1378" s="28" t="n">
        <f aca="false">R1378*$M1378</f>
        <v>0</v>
      </c>
      <c r="T1378" s="28" t="n">
        <f aca="false">2450/100</f>
        <v>24.5</v>
      </c>
      <c r="U1378" s="28" t="n">
        <v>1347</v>
      </c>
      <c r="V1378" s="28" t="n">
        <f aca="false">9685/100</f>
        <v>96.85</v>
      </c>
      <c r="W1378" s="28" t="n">
        <v>5327</v>
      </c>
      <c r="X1378" s="28"/>
      <c r="Y1378" s="28" t="n">
        <f aca="false">X1378*$M1378</f>
        <v>0</v>
      </c>
      <c r="Z1378" s="28"/>
      <c r="AA1378" s="28" t="n">
        <f aca="false">Z1378*$M1378</f>
        <v>0</v>
      </c>
      <c r="AB1378" s="28"/>
      <c r="AC1378" s="28" t="n">
        <f aca="false">AB1378*$M1378</f>
        <v>0</v>
      </c>
      <c r="AD1378" s="28"/>
      <c r="AE1378" s="28" t="n">
        <f aca="false">AD1378*$M1378</f>
        <v>0</v>
      </c>
      <c r="AF1378" s="28"/>
      <c r="AG1378" s="28" t="n">
        <f aca="false">AF1378*$M1378</f>
        <v>0</v>
      </c>
      <c r="AH1378" s="28"/>
      <c r="AI1378" s="28" t="n">
        <f aca="false">AH1378*$M1378</f>
        <v>0</v>
      </c>
      <c r="AJ1378" s="28"/>
      <c r="AK1378" s="28" t="n">
        <f aca="false">AJ1378*$M1378</f>
        <v>0</v>
      </c>
      <c r="AL1378" s="28"/>
      <c r="AM1378" s="28" t="n">
        <f aca="false">AL1378*$M1378</f>
        <v>0</v>
      </c>
      <c r="AN1378" s="28"/>
      <c r="AO1378" s="28" t="n">
        <f aca="false">AN1378*$M1378</f>
        <v>0</v>
      </c>
      <c r="AP1378" s="28"/>
      <c r="AQ1378" s="28" t="n">
        <f aca="false">AP1378*$M1378</f>
        <v>0</v>
      </c>
      <c r="AR1378" s="28"/>
      <c r="AS1378" s="28" t="n">
        <f aca="false">AR1378*$M1378</f>
        <v>0</v>
      </c>
      <c r="AT1378" s="28"/>
      <c r="AU1378" s="28" t="n">
        <f aca="false">AT1378*$M1378</f>
        <v>0</v>
      </c>
      <c r="AV1378" s="28"/>
      <c r="AW1378" s="28" t="n">
        <f aca="false">AV1378*$M1378</f>
        <v>0</v>
      </c>
      <c r="AX1378" s="28"/>
      <c r="AY1378" s="28" t="n">
        <f aca="false">AX1378*$M1378</f>
        <v>0</v>
      </c>
      <c r="AZ1378" s="30" t="n">
        <f aca="false">12769/100</f>
        <v>127.69</v>
      </c>
      <c r="BA1378" s="11" t="n">
        <v>7023</v>
      </c>
      <c r="BB1378" s="31" t="n">
        <f aca="false">SUM(Q1378,S1378,U1378,W1378,Y1378,AA1378,AC1378,AE1378,AG1378,AI1378,AK1378,AM1378,AO1378,AQ1378,AS1378,AU1378,AW1378,AY1378)</f>
        <v>7023</v>
      </c>
      <c r="BC1378" s="28" t="n">
        <f aca="false">BA1378-BB1378</f>
        <v>0</v>
      </c>
      <c r="BD1378" s="32" t="n">
        <f aca="false">SUM(P1378,R1378,T1378,V1378,X1378,Z1378,AB1378,AD1378,AF1378,AH1378,AJ1378,AL1378,AN1378,AP1378,AR1378,AT1378,AV1378,AX1378)</f>
        <v>127.69</v>
      </c>
      <c r="BE1378" s="33" t="n">
        <f aca="false">AZ1378-BD1378</f>
        <v>0</v>
      </c>
      <c r="BF1378" s="34" t="n">
        <f aca="false">BD1378*M1378</f>
        <v>7022.95</v>
      </c>
      <c r="BG1378" s="35" t="n">
        <f aca="false">BA1378-BF1378</f>
        <v>0.0500000000001819</v>
      </c>
      <c r="BH1378" s="19" t="str">
        <f aca="false">IF(BG1378=0,"",IF(BG1378&lt;&gt;BA1378,"erreur de calcul",IF(BD1378&lt;&gt;0,"pas de prix",IF(M1378&lt;&gt; 0,"pas de quantité","pas de prix, ni de quantité"))))</f>
        <v>erreur de calcul</v>
      </c>
      <c r="BI1378" s="19"/>
    </row>
    <row r="1379" customFormat="false" ht="15" hidden="false" customHeight="false" outlineLevel="0" collapsed="false">
      <c r="A1379" s="0" t="n">
        <v>36</v>
      </c>
      <c r="B1379" s="8" t="s">
        <v>24</v>
      </c>
      <c r="C1379" s="9" t="s">
        <v>25</v>
      </c>
      <c r="D1379" s="9" t="s">
        <v>26</v>
      </c>
      <c r="E1379" s="10" t="n">
        <v>1789</v>
      </c>
      <c r="F1379" s="9" t="s">
        <v>27</v>
      </c>
      <c r="G1379" s="9" t="s">
        <v>27</v>
      </c>
      <c r="H1379" s="11" t="n">
        <v>26</v>
      </c>
      <c r="I1379" s="11" t="s">
        <v>407</v>
      </c>
      <c r="J1379" s="14" t="n">
        <v>44</v>
      </c>
      <c r="K1379" s="14"/>
      <c r="L1379" s="16"/>
      <c r="M1379" s="27" t="n">
        <f aca="false">J1379+(K1379/20)+(L1379/240)</f>
        <v>44</v>
      </c>
      <c r="N1379" s="17" t="s">
        <v>64</v>
      </c>
      <c r="O1379" s="11" t="s">
        <v>77</v>
      </c>
      <c r="P1379" s="28" t="n">
        <f aca="false">68669/100</f>
        <v>686.69</v>
      </c>
      <c r="Q1379" s="28" t="n">
        <v>30214</v>
      </c>
      <c r="R1379" s="28"/>
      <c r="S1379" s="28" t="n">
        <f aca="false">R1379*$M1379</f>
        <v>0</v>
      </c>
      <c r="T1379" s="28" t="n">
        <f aca="false">7101/100</f>
        <v>71.01</v>
      </c>
      <c r="U1379" s="28" t="n">
        <v>3124</v>
      </c>
      <c r="V1379" s="28" t="n">
        <f aca="false">27549/100</f>
        <v>275.49</v>
      </c>
      <c r="W1379" s="28" t="n">
        <v>12121</v>
      </c>
      <c r="X1379" s="28" t="n">
        <f aca="false">947914/100</f>
        <v>9479.14</v>
      </c>
      <c r="Y1379" s="28" t="n">
        <v>417082</v>
      </c>
      <c r="Z1379" s="28" t="n">
        <f aca="false">183606/100</f>
        <v>1836.06</v>
      </c>
      <c r="AA1379" s="28" t="n">
        <v>80787</v>
      </c>
      <c r="AB1379" s="28" t="n">
        <f aca="false">36047/100</f>
        <v>360.47</v>
      </c>
      <c r="AC1379" s="28" t="n">
        <v>15861</v>
      </c>
      <c r="AD1379" s="28" t="n">
        <f aca="false">12322/100</f>
        <v>123.22</v>
      </c>
      <c r="AE1379" s="28" t="n">
        <v>5422</v>
      </c>
      <c r="AF1379" s="28"/>
      <c r="AG1379" s="28" t="n">
        <f aca="false">AF1379*$M1379</f>
        <v>0</v>
      </c>
      <c r="AH1379" s="28" t="n">
        <f aca="false">3318/100</f>
        <v>33.18</v>
      </c>
      <c r="AI1379" s="28" t="n">
        <v>1460</v>
      </c>
      <c r="AJ1379" s="28"/>
      <c r="AK1379" s="28" t="n">
        <f aca="false">AJ1379*$M1379</f>
        <v>0</v>
      </c>
      <c r="AL1379" s="28" t="n">
        <f aca="false">28260/100</f>
        <v>282.6</v>
      </c>
      <c r="AM1379" s="28" t="n">
        <v>12434</v>
      </c>
      <c r="AN1379" s="28"/>
      <c r="AO1379" s="28" t="n">
        <f aca="false">AN1379*$M1379</f>
        <v>0</v>
      </c>
      <c r="AP1379" s="28"/>
      <c r="AQ1379" s="28" t="n">
        <f aca="false">AP1379*$M1379</f>
        <v>0</v>
      </c>
      <c r="AR1379" s="28"/>
      <c r="AS1379" s="28" t="n">
        <f aca="false">AR1379*$M1379</f>
        <v>0</v>
      </c>
      <c r="AT1379" s="28"/>
      <c r="AU1379" s="28" t="n">
        <f aca="false">AT1379*$M1379</f>
        <v>0</v>
      </c>
      <c r="AV1379" s="28"/>
      <c r="AW1379" s="28" t="n">
        <f aca="false">AV1379*$M1379</f>
        <v>0</v>
      </c>
      <c r="AX1379" s="28"/>
      <c r="AY1379" s="28" t="n">
        <f aca="false">AX1379*$M1379</f>
        <v>0</v>
      </c>
      <c r="AZ1379" s="30" t="n">
        <f aca="false">1314786/100</f>
        <v>13147.86</v>
      </c>
      <c r="BA1379" s="11" t="n">
        <v>578505</v>
      </c>
      <c r="BB1379" s="31" t="n">
        <f aca="false">SUM(Q1379,S1379,U1379,W1379,Y1379,AA1379,AC1379,AE1379,AG1379,AI1379,AK1379,AM1379,AO1379,AQ1379,AS1379,AU1379,AW1379,AY1379)</f>
        <v>578505</v>
      </c>
      <c r="BC1379" s="28" t="n">
        <f aca="false">BA1379-BB1379</f>
        <v>0</v>
      </c>
      <c r="BD1379" s="32" t="n">
        <f aca="false">SUM(P1379,R1379,T1379,V1379,X1379,Z1379,AB1379,AD1379,AF1379,AH1379,AJ1379,AL1379,AN1379,AP1379,AR1379,AT1379,AV1379,AX1379)</f>
        <v>13147.86</v>
      </c>
      <c r="BE1379" s="33" t="n">
        <f aca="false">AZ1379-BD1379</f>
        <v>0</v>
      </c>
      <c r="BF1379" s="34" t="n">
        <f aca="false">BD1379*M1379</f>
        <v>578505.84</v>
      </c>
      <c r="BG1379" s="35" t="n">
        <f aca="false">BA1379-BF1379</f>
        <v>-0.839999999967404</v>
      </c>
      <c r="BH1379" s="19" t="str">
        <f aca="false">IF(BG1379=0,"",IF(BG1379&lt;&gt;BA1379,"erreur de calcul",IF(BD1379&lt;&gt;0,"pas de prix",IF(M1379&lt;&gt; 0,"pas de quantité","pas de prix, ni de quantité"))))</f>
        <v>erreur de calcul</v>
      </c>
      <c r="BI1379" s="19"/>
    </row>
    <row r="1380" customFormat="false" ht="15" hidden="false" customHeight="false" outlineLevel="0" collapsed="false">
      <c r="A1380" s="0" t="n">
        <v>37</v>
      </c>
      <c r="B1380" s="8" t="s">
        <v>24</v>
      </c>
      <c r="C1380" s="9" t="s">
        <v>25</v>
      </c>
      <c r="D1380" s="9" t="s">
        <v>26</v>
      </c>
      <c r="E1380" s="10" t="n">
        <v>1789</v>
      </c>
      <c r="F1380" s="9" t="s">
        <v>27</v>
      </c>
      <c r="G1380" s="9" t="s">
        <v>27</v>
      </c>
      <c r="H1380" s="11" t="n">
        <v>26</v>
      </c>
      <c r="I1380" s="11" t="s">
        <v>408</v>
      </c>
      <c r="J1380" s="14" t="n">
        <v>40</v>
      </c>
      <c r="K1380" s="14"/>
      <c r="L1380" s="16"/>
      <c r="M1380" s="27" t="n">
        <f aca="false">J1380+(K1380/20)+(L1380/240)</f>
        <v>40</v>
      </c>
      <c r="N1380" s="17" t="s">
        <v>64</v>
      </c>
      <c r="O1380" s="11"/>
      <c r="P1380" s="28"/>
      <c r="Q1380" s="28" t="n">
        <f aca="false">P1380*$M1380</f>
        <v>0</v>
      </c>
      <c r="R1380" s="28"/>
      <c r="S1380" s="28" t="n">
        <f aca="false">R1380*$M1380</f>
        <v>0</v>
      </c>
      <c r="T1380" s="28"/>
      <c r="U1380" s="28" t="n">
        <f aca="false">T1380*$M1380</f>
        <v>0</v>
      </c>
      <c r="V1380" s="28" t="n">
        <f aca="false">4827/100</f>
        <v>48.27</v>
      </c>
      <c r="W1380" s="28" t="n">
        <v>1931</v>
      </c>
      <c r="X1380" s="28"/>
      <c r="Y1380" s="28" t="n">
        <f aca="false">X1380*$M1380</f>
        <v>0</v>
      </c>
      <c r="Z1380" s="28"/>
      <c r="AA1380" s="28" t="n">
        <f aca="false">Z1380*$M1380</f>
        <v>0</v>
      </c>
      <c r="AB1380" s="28"/>
      <c r="AC1380" s="28" t="n">
        <f aca="false">AB1380*$M1380</f>
        <v>0</v>
      </c>
      <c r="AD1380" s="28"/>
      <c r="AE1380" s="28" t="n">
        <f aca="false">AD1380*$M1380</f>
        <v>0</v>
      </c>
      <c r="AF1380" s="28"/>
      <c r="AG1380" s="28" t="n">
        <f aca="false">AF1380*$M1380</f>
        <v>0</v>
      </c>
      <c r="AH1380" s="28"/>
      <c r="AI1380" s="28" t="n">
        <f aca="false">AH1380*$M1380</f>
        <v>0</v>
      </c>
      <c r="AJ1380" s="28"/>
      <c r="AK1380" s="28" t="n">
        <f aca="false">AJ1380*$M1380</f>
        <v>0</v>
      </c>
      <c r="AL1380" s="28"/>
      <c r="AM1380" s="28" t="n">
        <f aca="false">AL1380*$M1380</f>
        <v>0</v>
      </c>
      <c r="AN1380" s="28"/>
      <c r="AO1380" s="28" t="n">
        <f aca="false">AN1380*$M1380</f>
        <v>0</v>
      </c>
      <c r="AP1380" s="28"/>
      <c r="AQ1380" s="28" t="n">
        <f aca="false">AP1380*$M1380</f>
        <v>0</v>
      </c>
      <c r="AR1380" s="28"/>
      <c r="AS1380" s="28" t="n">
        <f aca="false">AR1380*$M1380</f>
        <v>0</v>
      </c>
      <c r="AT1380" s="28"/>
      <c r="AU1380" s="28" t="n">
        <f aca="false">AT1380*$M1380</f>
        <v>0</v>
      </c>
      <c r="AV1380" s="28"/>
      <c r="AW1380" s="28" t="n">
        <f aca="false">AV1380*$M1380</f>
        <v>0</v>
      </c>
      <c r="AX1380" s="28" t="n">
        <f aca="false">835109/100</f>
        <v>8351.09</v>
      </c>
      <c r="AY1380" s="28" t="n">
        <v>334044</v>
      </c>
      <c r="AZ1380" s="30" t="n">
        <f aca="false">839936/100</f>
        <v>8399.36</v>
      </c>
      <c r="BA1380" s="11" t="n">
        <v>335975</v>
      </c>
      <c r="BB1380" s="31" t="n">
        <f aca="false">SUM(Q1380,S1380,U1380,W1380,Y1380,AA1380,AC1380,AE1380,AG1380,AI1380,AK1380,AM1380,AO1380,AQ1380,AS1380,AU1380,AW1380,AY1380)</f>
        <v>335975</v>
      </c>
      <c r="BC1380" s="28" t="n">
        <f aca="false">BA1380-BB1380</f>
        <v>0</v>
      </c>
      <c r="BD1380" s="32" t="n">
        <f aca="false">SUM(P1380,R1380,T1380,V1380,X1380,Z1380,AB1380,AD1380,AF1380,AH1380,AJ1380,AL1380,AN1380,AP1380,AR1380,AT1380,AV1380,AX1380)</f>
        <v>8399.36</v>
      </c>
      <c r="BE1380" s="33" t="n">
        <f aca="false">AZ1380-BD1380</f>
        <v>0</v>
      </c>
      <c r="BF1380" s="34" t="n">
        <f aca="false">BD1380*M1380</f>
        <v>335974.4</v>
      </c>
      <c r="BG1380" s="35" t="n">
        <f aca="false">BA1380-BF1380</f>
        <v>0.599999999976717</v>
      </c>
      <c r="BH1380" s="19" t="str">
        <f aca="false">IF(BG1380=0,"",IF(BG1380&lt;&gt;BA1380,"erreur de calcul",IF(BD1380&lt;&gt;0,"pas de prix",IF(M1380&lt;&gt; 0,"pas de quantité","pas de prix, ni de quantité"))))</f>
        <v>erreur de calcul</v>
      </c>
      <c r="BI1380" s="19"/>
    </row>
    <row r="1381" customFormat="false" ht="16.65" hidden="false" customHeight="false" outlineLevel="0" collapsed="false">
      <c r="A1381" s="0" t="n">
        <v>38</v>
      </c>
      <c r="B1381" s="8" t="s">
        <v>24</v>
      </c>
      <c r="C1381" s="9" t="s">
        <v>25</v>
      </c>
      <c r="D1381" s="9" t="s">
        <v>26</v>
      </c>
      <c r="E1381" s="10" t="n">
        <v>1789</v>
      </c>
      <c r="F1381" s="9" t="s">
        <v>27</v>
      </c>
      <c r="G1381" s="9" t="s">
        <v>27</v>
      </c>
      <c r="H1381" s="11" t="n">
        <v>26</v>
      </c>
      <c r="I1381" s="11" t="s">
        <v>409</v>
      </c>
      <c r="J1381" s="14"/>
      <c r="K1381" s="14" t="n">
        <v>13</v>
      </c>
      <c r="L1381" s="16"/>
      <c r="M1381" s="27" t="n">
        <f aca="false">J1381+(K1381/20)+(L1381/240)</f>
        <v>0.65</v>
      </c>
      <c r="N1381" s="17" t="s">
        <v>64</v>
      </c>
      <c r="O1381" s="11"/>
      <c r="P1381" s="28"/>
      <c r="Q1381" s="28" t="n">
        <f aca="false">P1381*$M1381</f>
        <v>0</v>
      </c>
      <c r="R1381" s="28"/>
      <c r="S1381" s="28" t="n">
        <f aca="false">R1381*$M1381</f>
        <v>0</v>
      </c>
      <c r="T1381" s="28"/>
      <c r="U1381" s="28" t="n">
        <f aca="false">T1381*$M1381</f>
        <v>0</v>
      </c>
      <c r="V1381" s="28"/>
      <c r="W1381" s="28" t="n">
        <f aca="false">V1381*$M1381</f>
        <v>0</v>
      </c>
      <c r="X1381" s="28"/>
      <c r="Y1381" s="28" t="n">
        <f aca="false">X1381*$M1381</f>
        <v>0</v>
      </c>
      <c r="Z1381" s="28" t="n">
        <f aca="false">2471002/100</f>
        <v>24710.02</v>
      </c>
      <c r="AA1381" s="28" t="n">
        <v>16061</v>
      </c>
      <c r="AB1381" s="28"/>
      <c r="AC1381" s="28" t="n">
        <f aca="false">AB1381*$M1381</f>
        <v>0</v>
      </c>
      <c r="AD1381" s="28"/>
      <c r="AE1381" s="28" t="n">
        <f aca="false">AD1381*$M1381</f>
        <v>0</v>
      </c>
      <c r="AF1381" s="28"/>
      <c r="AG1381" s="28" t="n">
        <f aca="false">AF1381*$M1381</f>
        <v>0</v>
      </c>
      <c r="AH1381" s="28"/>
      <c r="AI1381" s="28" t="n">
        <f aca="false">AH1381*$M1381</f>
        <v>0</v>
      </c>
      <c r="AJ1381" s="28"/>
      <c r="AK1381" s="28" t="n">
        <f aca="false">AJ1381*$M1381</f>
        <v>0</v>
      </c>
      <c r="AL1381" s="28"/>
      <c r="AM1381" s="28" t="n">
        <f aca="false">AL1381*$M1381</f>
        <v>0</v>
      </c>
      <c r="AN1381" s="28"/>
      <c r="AO1381" s="28" t="n">
        <f aca="false">AN1381*$M1381</f>
        <v>0</v>
      </c>
      <c r="AP1381" s="28"/>
      <c r="AQ1381" s="28" t="n">
        <f aca="false">AP1381*$M1381</f>
        <v>0</v>
      </c>
      <c r="AR1381" s="28"/>
      <c r="AS1381" s="28" t="n">
        <f aca="false">AR1381*$M1381</f>
        <v>0</v>
      </c>
      <c r="AT1381" s="28"/>
      <c r="AU1381" s="28" t="n">
        <f aca="false">AT1381*$M1381</f>
        <v>0</v>
      </c>
      <c r="AV1381" s="28"/>
      <c r="AW1381" s="28" t="n">
        <f aca="false">AV1381*$M1381</f>
        <v>0</v>
      </c>
      <c r="AX1381" s="28"/>
      <c r="AY1381" s="28" t="n">
        <f aca="false">AX1381*$M1381</f>
        <v>0</v>
      </c>
      <c r="AZ1381" s="30" t="n">
        <f aca="false">2471002</f>
        <v>2471002</v>
      </c>
      <c r="BA1381" s="11" t="n">
        <v>16061</v>
      </c>
      <c r="BB1381" s="31" t="n">
        <f aca="false">SUM(Q1381,S1381,U1381,W1381,Y1381,AA1381,AC1381,AE1381,AG1381,AI1381,AK1381,AM1381,AO1381,AQ1381,AS1381,AU1381,AW1381,AY1381)</f>
        <v>16061</v>
      </c>
      <c r="BC1381" s="28" t="n">
        <f aca="false">BA1381-BB1381</f>
        <v>0</v>
      </c>
      <c r="BD1381" s="32" t="n">
        <f aca="false">SUM(P1381,R1381,T1381,V1381,X1381,Z1381,AB1381,AD1381,AF1381,AH1381,AJ1381,AL1381,AN1381,AP1381,AR1381,AT1381,AV1381,AX1381)</f>
        <v>24710.02</v>
      </c>
      <c r="BE1381" s="33" t="n">
        <f aca="false">AZ1381-BD1381</f>
        <v>2446291.98</v>
      </c>
      <c r="BF1381" s="34" t="n">
        <f aca="false">BD1381*M1381</f>
        <v>16061.513</v>
      </c>
      <c r="BG1381" s="35" t="n">
        <f aca="false">BA1381-BF1381</f>
        <v>-0.513000000000829</v>
      </c>
      <c r="BH1381" s="19" t="str">
        <f aca="false">IF(BG1381=0,"",IF(BG1381&lt;&gt;BA1381,"erreur de calcul",IF(BD1381&lt;&gt;0,"pas de prix",IF(M1381&lt;&gt; 0,"pas de quantité","pas de prix, ni de quantité"))))</f>
        <v>erreur de calcul</v>
      </c>
      <c r="BI1381" s="19"/>
    </row>
    <row r="1382" customFormat="false" ht="15" hidden="false" customHeight="false" outlineLevel="0" collapsed="false">
      <c r="A1382" s="0" t="n">
        <v>39</v>
      </c>
      <c r="B1382" s="8" t="s">
        <v>24</v>
      </c>
      <c r="C1382" s="9" t="s">
        <v>25</v>
      </c>
      <c r="D1382" s="9" t="s">
        <v>26</v>
      </c>
      <c r="E1382" s="10" t="n">
        <v>1789</v>
      </c>
      <c r="F1382" s="9" t="s">
        <v>27</v>
      </c>
      <c r="G1382" s="9" t="s">
        <v>27</v>
      </c>
      <c r="H1382" s="11" t="n">
        <v>26</v>
      </c>
      <c r="I1382" s="11" t="s">
        <v>410</v>
      </c>
      <c r="J1382" s="14" t="n">
        <v>10</v>
      </c>
      <c r="K1382" s="14"/>
      <c r="L1382" s="16"/>
      <c r="M1382" s="27" t="n">
        <f aca="false">J1382+(K1382/20)+(L1382/240)</f>
        <v>10</v>
      </c>
      <c r="N1382" s="17" t="s">
        <v>64</v>
      </c>
      <c r="O1382" s="11"/>
      <c r="P1382" s="28"/>
      <c r="Q1382" s="28" t="n">
        <f aca="false">P1382*$M1382</f>
        <v>0</v>
      </c>
      <c r="R1382" s="28"/>
      <c r="S1382" s="28" t="n">
        <f aca="false">R1382*$M1382</f>
        <v>0</v>
      </c>
      <c r="T1382" s="28"/>
      <c r="U1382" s="28" t="n">
        <f aca="false">T1382*$M1382</f>
        <v>0</v>
      </c>
      <c r="V1382" s="28"/>
      <c r="W1382" s="28" t="n">
        <f aca="false">V1382*$M1382</f>
        <v>0</v>
      </c>
      <c r="X1382" s="28" t="n">
        <f aca="false">2481/100</f>
        <v>24.81</v>
      </c>
      <c r="Y1382" s="28" t="n">
        <v>248</v>
      </c>
      <c r="Z1382" s="28"/>
      <c r="AA1382" s="28" t="n">
        <f aca="false">Z1382*$M1382</f>
        <v>0</v>
      </c>
      <c r="AB1382" s="28"/>
      <c r="AC1382" s="28" t="n">
        <f aca="false">AB1382*$M1382</f>
        <v>0</v>
      </c>
      <c r="AD1382" s="28"/>
      <c r="AE1382" s="28" t="n">
        <f aca="false">AD1382*$M1382</f>
        <v>0</v>
      </c>
      <c r="AF1382" s="28"/>
      <c r="AG1382" s="28" t="n">
        <f aca="false">AF1382*$M1382</f>
        <v>0</v>
      </c>
      <c r="AH1382" s="28"/>
      <c r="AI1382" s="28" t="n">
        <f aca="false">AH1382*$M1382</f>
        <v>0</v>
      </c>
      <c r="AJ1382" s="28"/>
      <c r="AK1382" s="28" t="n">
        <f aca="false">AJ1382*$M1382</f>
        <v>0</v>
      </c>
      <c r="AL1382" s="28"/>
      <c r="AM1382" s="28" t="n">
        <f aca="false">AL1382*$M1382</f>
        <v>0</v>
      </c>
      <c r="AN1382" s="28"/>
      <c r="AO1382" s="28" t="n">
        <f aca="false">AN1382*$M1382</f>
        <v>0</v>
      </c>
      <c r="AP1382" s="28"/>
      <c r="AQ1382" s="28" t="n">
        <f aca="false">AP1382*$M1382</f>
        <v>0</v>
      </c>
      <c r="AR1382" s="28"/>
      <c r="AS1382" s="28" t="n">
        <f aca="false">AR1382*$M1382</f>
        <v>0</v>
      </c>
      <c r="AT1382" s="28"/>
      <c r="AU1382" s="28" t="n">
        <f aca="false">AT1382*$M1382</f>
        <v>0</v>
      </c>
      <c r="AV1382" s="28"/>
      <c r="AW1382" s="28" t="n">
        <f aca="false">AV1382*$M1382</f>
        <v>0</v>
      </c>
      <c r="AX1382" s="28"/>
      <c r="AY1382" s="28" t="n">
        <f aca="false">AX1382*$M1382</f>
        <v>0</v>
      </c>
      <c r="AZ1382" s="30" t="n">
        <f aca="false">2481/100</f>
        <v>24.81</v>
      </c>
      <c r="BA1382" s="11" t="n">
        <v>248</v>
      </c>
      <c r="BB1382" s="31" t="n">
        <f aca="false">SUM(Q1382,S1382,U1382,W1382,Y1382,AA1382,AC1382,AE1382,AG1382,AI1382,AK1382,AM1382,AO1382,AQ1382,AS1382,AU1382,AW1382,AY1382)</f>
        <v>248</v>
      </c>
      <c r="BC1382" s="28" t="n">
        <f aca="false">BA1382-BB1382</f>
        <v>0</v>
      </c>
      <c r="BD1382" s="32" t="n">
        <f aca="false">SUM(P1382,R1382,T1382,V1382,X1382,Z1382,AB1382,AD1382,AF1382,AH1382,AJ1382,AL1382,AN1382,AP1382,AR1382,AT1382,AV1382,AX1382)</f>
        <v>24.81</v>
      </c>
      <c r="BE1382" s="33" t="n">
        <f aca="false">AZ1382-BD1382</f>
        <v>0</v>
      </c>
      <c r="BF1382" s="34" t="n">
        <f aca="false">BD1382*M1382</f>
        <v>248.1</v>
      </c>
      <c r="BG1382" s="35" t="n">
        <f aca="false">BA1382-BF1382</f>
        <v>-0.0999999999999943</v>
      </c>
      <c r="BH1382" s="19" t="str">
        <f aca="false">IF(BG1382=0,"",IF(BG1382&lt;&gt;BA1382,"erreur de calcul",IF(BD1382&lt;&gt;0,"pas de prix",IF(M1382&lt;&gt; 0,"pas de quantité","pas de prix, ni de quantité"))))</f>
        <v>erreur de calcul</v>
      </c>
      <c r="BI1382" s="19"/>
    </row>
    <row r="1383" customFormat="false" ht="15" hidden="false" customHeight="false" outlineLevel="0" collapsed="false">
      <c r="A1383" s="0" t="n">
        <v>40</v>
      </c>
      <c r="B1383" s="8" t="s">
        <v>24</v>
      </c>
      <c r="C1383" s="9" t="s">
        <v>25</v>
      </c>
      <c r="D1383" s="9" t="s">
        <v>26</v>
      </c>
      <c r="E1383" s="10" t="n">
        <v>1789</v>
      </c>
      <c r="F1383" s="9" t="s">
        <v>27</v>
      </c>
      <c r="G1383" s="9" t="s">
        <v>27</v>
      </c>
      <c r="H1383" s="11" t="n">
        <v>26</v>
      </c>
      <c r="I1383" s="11" t="s">
        <v>411</v>
      </c>
      <c r="J1383" s="14" t="n">
        <v>5</v>
      </c>
      <c r="K1383" s="14"/>
      <c r="L1383" s="16"/>
      <c r="M1383" s="27" t="n">
        <f aca="false">J1383+(K1383/20)+(L1383/240)</f>
        <v>5</v>
      </c>
      <c r="N1383" s="17" t="s">
        <v>66</v>
      </c>
      <c r="O1383" s="11" t="s">
        <v>98</v>
      </c>
      <c r="P1383" s="28"/>
      <c r="Q1383" s="28" t="n">
        <f aca="false">P1383*$M1383</f>
        <v>0</v>
      </c>
      <c r="R1383" s="28"/>
      <c r="S1383" s="28" t="n">
        <f aca="false">R1383*$M1383</f>
        <v>0</v>
      </c>
      <c r="T1383" s="28"/>
      <c r="U1383" s="28" t="n">
        <f aca="false">T1383*$M1383</f>
        <v>0</v>
      </c>
      <c r="V1383" s="28"/>
      <c r="W1383" s="28" t="n">
        <f aca="false">V1383*$M1383</f>
        <v>0</v>
      </c>
      <c r="X1383" s="28"/>
      <c r="Y1383" s="28" t="n">
        <f aca="false">X1383*$M1383</f>
        <v>0</v>
      </c>
      <c r="Z1383" s="28"/>
      <c r="AA1383" s="28" t="n">
        <f aca="false">Z1383*$M1383</f>
        <v>0</v>
      </c>
      <c r="AB1383" s="28"/>
      <c r="AC1383" s="28" t="n">
        <f aca="false">AB1383*$M1383</f>
        <v>0</v>
      </c>
      <c r="AD1383" s="28"/>
      <c r="AE1383" s="28" t="n">
        <f aca="false">AD1383*$M1383</f>
        <v>0</v>
      </c>
      <c r="AF1383" s="28" t="n">
        <v>22</v>
      </c>
      <c r="AG1383" s="28" t="n">
        <v>110</v>
      </c>
      <c r="AH1383" s="28" t="n">
        <v>2657</v>
      </c>
      <c r="AI1383" s="28" t="n">
        <v>13285</v>
      </c>
      <c r="AJ1383" s="28"/>
      <c r="AK1383" s="28" t="n">
        <f aca="false">AJ1383*$M1383</f>
        <v>0</v>
      </c>
      <c r="AL1383" s="28"/>
      <c r="AM1383" s="28" t="n">
        <f aca="false">AL1383*$M1383</f>
        <v>0</v>
      </c>
      <c r="AN1383" s="28"/>
      <c r="AO1383" s="28" t="n">
        <f aca="false">AN1383*$M1383</f>
        <v>0</v>
      </c>
      <c r="AP1383" s="28"/>
      <c r="AQ1383" s="28" t="n">
        <f aca="false">AP1383*$M1383</f>
        <v>0</v>
      </c>
      <c r="AR1383" s="28"/>
      <c r="AS1383" s="28" t="n">
        <f aca="false">AR1383*$M1383</f>
        <v>0</v>
      </c>
      <c r="AT1383" s="28"/>
      <c r="AU1383" s="28" t="n">
        <f aca="false">AT1383*$M1383</f>
        <v>0</v>
      </c>
      <c r="AV1383" s="28"/>
      <c r="AW1383" s="28" t="n">
        <f aca="false">AV1383*$M1383</f>
        <v>0</v>
      </c>
      <c r="AX1383" s="28"/>
      <c r="AY1383" s="28" t="n">
        <f aca="false">AX1383*$M1383</f>
        <v>0</v>
      </c>
      <c r="AZ1383" s="30" t="n">
        <v>2679</v>
      </c>
      <c r="BA1383" s="11" t="n">
        <v>13395</v>
      </c>
      <c r="BB1383" s="31" t="n">
        <f aca="false">SUM(Q1383,S1383,U1383,W1383,Y1383,AA1383,AC1383,AE1383,AG1383,AI1383,AK1383,AM1383,AO1383,AQ1383,AS1383,AU1383,AW1383,AY1383)</f>
        <v>13395</v>
      </c>
      <c r="BC1383" s="28" t="n">
        <f aca="false">BA1383-BB1383</f>
        <v>0</v>
      </c>
      <c r="BD1383" s="32" t="n">
        <f aca="false">SUM(P1383,R1383,T1383,V1383,X1383,Z1383,AB1383,AD1383,AF1383,AH1383,AJ1383,AL1383,AN1383,AP1383,AR1383,AT1383,AV1383,AX1383)</f>
        <v>2679</v>
      </c>
      <c r="BE1383" s="33" t="n">
        <f aca="false">AZ1383-BD1383</f>
        <v>0</v>
      </c>
      <c r="BF1383" s="34" t="n">
        <f aca="false">BD1383*M1383</f>
        <v>13395</v>
      </c>
      <c r="BG1383" s="35" t="n">
        <f aca="false">BA1383-BF1383</f>
        <v>0</v>
      </c>
      <c r="BH1383" s="19" t="str">
        <f aca="false">IF(BG1383=0,"",IF(BG1383&lt;&gt;BA1383,"erreur de calcul",IF(BD1383&lt;&gt;0,"pas de prix",IF(M1383&lt;&gt; 0,"pas de quantité","pas de prix, ni de quantité"))))</f>
        <v/>
      </c>
      <c r="BI1383" s="19"/>
    </row>
    <row r="1384" customFormat="false" ht="15" hidden="false" customHeight="false" outlineLevel="0" collapsed="false">
      <c r="A1384" s="0" t="n">
        <v>1</v>
      </c>
      <c r="B1384" s="8" t="s">
        <v>24</v>
      </c>
      <c r="C1384" s="9" t="s">
        <v>25</v>
      </c>
      <c r="D1384" s="9" t="s">
        <v>26</v>
      </c>
      <c r="E1384" s="10" t="n">
        <v>1789</v>
      </c>
      <c r="F1384" s="9" t="s">
        <v>27</v>
      </c>
      <c r="G1384" s="9" t="s">
        <v>27</v>
      </c>
      <c r="H1384" s="11" t="n">
        <v>27</v>
      </c>
      <c r="I1384" s="11" t="s">
        <v>412</v>
      </c>
      <c r="J1384" s="14" t="n">
        <v>7</v>
      </c>
      <c r="K1384" s="14" t="n">
        <v>10</v>
      </c>
      <c r="L1384" s="16"/>
      <c r="M1384" s="27" t="n">
        <f aca="false">J1384+(K1384/20)+(L1384/240)</f>
        <v>7.5</v>
      </c>
      <c r="N1384" s="17" t="s">
        <v>64</v>
      </c>
      <c r="O1384" s="11"/>
      <c r="P1384" s="28" t="n">
        <f aca="false">16667/100</f>
        <v>166.67</v>
      </c>
      <c r="Q1384" s="28" t="n">
        <v>1250</v>
      </c>
      <c r="R1384" s="28"/>
      <c r="S1384" s="28" t="n">
        <f aca="false">R1384*$M1384</f>
        <v>0</v>
      </c>
      <c r="T1384" s="28"/>
      <c r="U1384" s="28" t="n">
        <f aca="false">T1384*$M1384</f>
        <v>0</v>
      </c>
      <c r="V1384" s="28" t="n">
        <f aca="false">407887/100</f>
        <v>4078.87</v>
      </c>
      <c r="W1384" s="28" t="n">
        <v>30591</v>
      </c>
      <c r="X1384" s="28" t="n">
        <f aca="false">4444/100</f>
        <v>44.44</v>
      </c>
      <c r="Y1384" s="28" t="n">
        <v>333</v>
      </c>
      <c r="Z1384" s="28" t="n">
        <f aca="false">16084/100</f>
        <v>160.84</v>
      </c>
      <c r="AA1384" s="28" t="n">
        <v>1206</v>
      </c>
      <c r="AB1384" s="28" t="n">
        <f aca="false">20834/100</f>
        <v>208.34</v>
      </c>
      <c r="AC1384" s="28" t="n">
        <v>1562</v>
      </c>
      <c r="AD1384" s="28"/>
      <c r="AE1384" s="28" t="n">
        <f aca="false">AD1384*$M1384</f>
        <v>0</v>
      </c>
      <c r="AF1384" s="28"/>
      <c r="AG1384" s="28" t="n">
        <f aca="false">AF1384*$M1384</f>
        <v>0</v>
      </c>
      <c r="AH1384" s="28"/>
      <c r="AI1384" s="28" t="n">
        <f aca="false">AH1384*$M1384</f>
        <v>0</v>
      </c>
      <c r="AJ1384" s="28"/>
      <c r="AK1384" s="28" t="n">
        <f aca="false">AJ1384*$M1384</f>
        <v>0</v>
      </c>
      <c r="AL1384" s="28"/>
      <c r="AM1384" s="28" t="n">
        <f aca="false">AL1384*$M1384</f>
        <v>0</v>
      </c>
      <c r="AN1384" s="28"/>
      <c r="AO1384" s="28" t="n">
        <f aca="false">AN1384*$M1384</f>
        <v>0</v>
      </c>
      <c r="AP1384" s="28"/>
      <c r="AQ1384" s="28" t="n">
        <f aca="false">AP1384*$M1384</f>
        <v>0</v>
      </c>
      <c r="AR1384" s="28"/>
      <c r="AS1384" s="28" t="n">
        <f aca="false">AR1384*$M1384</f>
        <v>0</v>
      </c>
      <c r="AT1384" s="28"/>
      <c r="AU1384" s="28" t="n">
        <f aca="false">AT1384*$M1384</f>
        <v>0</v>
      </c>
      <c r="AV1384" s="28"/>
      <c r="AW1384" s="28" t="n">
        <f aca="false">AV1384*$M1384</f>
        <v>0</v>
      </c>
      <c r="AX1384" s="28"/>
      <c r="AY1384" s="28" t="n">
        <f aca="false">AX1384*$M1384</f>
        <v>0</v>
      </c>
      <c r="AZ1384" s="30" t="n">
        <f aca="false">465916/100</f>
        <v>4659.16</v>
      </c>
      <c r="BA1384" s="11" t="n">
        <v>34942</v>
      </c>
      <c r="BB1384" s="31" t="n">
        <f aca="false">SUM(Q1384,S1384,U1384,W1384,Y1384,AA1384,AC1384,AE1384,AG1384,AI1384,AK1384,AM1384,AO1384,AQ1384,AS1384,AU1384,AW1384,AY1384)</f>
        <v>34942</v>
      </c>
      <c r="BC1384" s="28" t="n">
        <f aca="false">BA1384-BB1384</f>
        <v>0</v>
      </c>
      <c r="BD1384" s="32" t="n">
        <f aca="false">SUM(P1384,R1384,T1384,V1384,X1384,Z1384,AB1384,AD1384,AF1384,AH1384,AJ1384,AL1384,AN1384,AP1384,AR1384,AT1384,AV1384,AX1384)</f>
        <v>4659.16</v>
      </c>
      <c r="BE1384" s="33" t="n">
        <f aca="false">AZ1384-BD1384</f>
        <v>0</v>
      </c>
      <c r="BF1384" s="34" t="n">
        <f aca="false">BD1384*M1384</f>
        <v>34943.7</v>
      </c>
      <c r="BG1384" s="35" t="n">
        <f aca="false">BA1384-BF1384</f>
        <v>-1.69999999999709</v>
      </c>
      <c r="BH1384" s="19" t="str">
        <f aca="false">IF(BG1384=0,"",IF(BG1384&lt;&gt;BA1384,"erreur de calcul",IF(BD1384&lt;&gt;0,"pas de prix",IF(M1384&lt;&gt; 0,"pas de quantité","pas de prix, ni de quantité"))))</f>
        <v>erreur de calcul</v>
      </c>
      <c r="BI1384" s="19"/>
    </row>
    <row r="1385" customFormat="false" ht="15" hidden="false" customHeight="false" outlineLevel="0" collapsed="false">
      <c r="A1385" s="0" t="n">
        <v>2</v>
      </c>
      <c r="B1385" s="8" t="s">
        <v>24</v>
      </c>
      <c r="C1385" s="9" t="s">
        <v>25</v>
      </c>
      <c r="D1385" s="9" t="s">
        <v>26</v>
      </c>
      <c r="E1385" s="10" t="n">
        <v>1789</v>
      </c>
      <c r="F1385" s="9" t="s">
        <v>27</v>
      </c>
      <c r="G1385" s="9" t="s">
        <v>27</v>
      </c>
      <c r="H1385" s="11" t="n">
        <v>27</v>
      </c>
      <c r="I1385" s="11" t="s">
        <v>413</v>
      </c>
      <c r="J1385" s="14" t="n">
        <v>3</v>
      </c>
      <c r="K1385" s="14"/>
      <c r="L1385" s="16"/>
      <c r="M1385" s="27" t="n">
        <f aca="false">J1385+(K1385/20)+(L1385/240)</f>
        <v>3</v>
      </c>
      <c r="N1385" s="17" t="s">
        <v>66</v>
      </c>
      <c r="O1385" s="11"/>
      <c r="P1385" s="28"/>
      <c r="Q1385" s="28" t="n">
        <f aca="false">P1385*$M1385</f>
        <v>0</v>
      </c>
      <c r="R1385" s="28"/>
      <c r="S1385" s="28" t="n">
        <f aca="false">R1385*$M1385</f>
        <v>0</v>
      </c>
      <c r="T1385" s="28"/>
      <c r="U1385" s="28" t="n">
        <f aca="false">T1385*$M1385</f>
        <v>0</v>
      </c>
      <c r="V1385" s="28"/>
      <c r="W1385" s="28" t="n">
        <f aca="false">V1385*$M1385</f>
        <v>0</v>
      </c>
      <c r="X1385" s="28"/>
      <c r="Y1385" s="28" t="n">
        <f aca="false">X1385*$M1385</f>
        <v>0</v>
      </c>
      <c r="Z1385" s="28"/>
      <c r="AA1385" s="28" t="n">
        <f aca="false">Z1385*$M1385</f>
        <v>0</v>
      </c>
      <c r="AB1385" s="28"/>
      <c r="AC1385" s="28" t="n">
        <f aca="false">AB1385*$M1385</f>
        <v>0</v>
      </c>
      <c r="AD1385" s="28"/>
      <c r="AE1385" s="28" t="n">
        <f aca="false">AD1385*$M1385</f>
        <v>0</v>
      </c>
      <c r="AF1385" s="28"/>
      <c r="AG1385" s="28" t="n">
        <f aca="false">AF1385*$M1385</f>
        <v>0</v>
      </c>
      <c r="AH1385" s="28" t="n">
        <v>58272</v>
      </c>
      <c r="AI1385" s="28" t="n">
        <v>174816</v>
      </c>
      <c r="AJ1385" s="28"/>
      <c r="AK1385" s="28" t="n">
        <f aca="false">AJ1385*$M1385</f>
        <v>0</v>
      </c>
      <c r="AL1385" s="28"/>
      <c r="AM1385" s="28" t="n">
        <f aca="false">AL1385*$M1385</f>
        <v>0</v>
      </c>
      <c r="AN1385" s="28"/>
      <c r="AO1385" s="28" t="n">
        <f aca="false">AN1385*$M1385</f>
        <v>0</v>
      </c>
      <c r="AP1385" s="28"/>
      <c r="AQ1385" s="28" t="n">
        <f aca="false">AP1385*$M1385</f>
        <v>0</v>
      </c>
      <c r="AR1385" s="28"/>
      <c r="AS1385" s="28" t="n">
        <f aca="false">AR1385*$M1385</f>
        <v>0</v>
      </c>
      <c r="AT1385" s="28"/>
      <c r="AU1385" s="28" t="n">
        <f aca="false">AT1385*$M1385</f>
        <v>0</v>
      </c>
      <c r="AV1385" s="28"/>
      <c r="AW1385" s="28" t="n">
        <f aca="false">AV1385*$M1385</f>
        <v>0</v>
      </c>
      <c r="AX1385" s="28"/>
      <c r="AY1385" s="28" t="n">
        <f aca="false">AX1385*$M1385</f>
        <v>0</v>
      </c>
      <c r="AZ1385" s="30" t="n">
        <f aca="false">58272</f>
        <v>58272</v>
      </c>
      <c r="BA1385" s="11" t="n">
        <v>174816</v>
      </c>
      <c r="BB1385" s="31" t="n">
        <f aca="false">SUM(Q1385,S1385,U1385,W1385,Y1385,AA1385,AC1385,AE1385,AG1385,AI1385,AK1385,AM1385,AO1385,AQ1385,AS1385,AU1385,AW1385,AY1385)</f>
        <v>174816</v>
      </c>
      <c r="BC1385" s="28" t="n">
        <f aca="false">BA1385-BB1385</f>
        <v>0</v>
      </c>
      <c r="BD1385" s="32" t="n">
        <f aca="false">SUM(P1385,R1385,T1385,V1385,X1385,Z1385,AB1385,AD1385,AF1385,AH1385,AJ1385,AL1385,AN1385,AP1385,AR1385,AT1385,AV1385,AX1385)</f>
        <v>58272</v>
      </c>
      <c r="BE1385" s="33" t="n">
        <f aca="false">AZ1385-BD1385</f>
        <v>0</v>
      </c>
      <c r="BF1385" s="34" t="n">
        <f aca="false">BD1385*M1385</f>
        <v>174816</v>
      </c>
      <c r="BG1385" s="35" t="n">
        <f aca="false">BA1385-BF1385</f>
        <v>0</v>
      </c>
      <c r="BH1385" s="19" t="str">
        <f aca="false">IF(BG1385=0,"",IF(BG1385&lt;&gt;BA1385,"erreur de calcul",IF(BD1385&lt;&gt;0,"pas de prix",IF(M1385&lt;&gt; 0,"pas de quantité","pas de prix, ni de quantité"))))</f>
        <v/>
      </c>
      <c r="BI1385" s="19"/>
    </row>
    <row r="1386" customFormat="false" ht="15" hidden="false" customHeight="false" outlineLevel="0" collapsed="false">
      <c r="A1386" s="0" t="n">
        <v>3</v>
      </c>
      <c r="B1386" s="8" t="s">
        <v>24</v>
      </c>
      <c r="C1386" s="9" t="s">
        <v>25</v>
      </c>
      <c r="D1386" s="9" t="s">
        <v>26</v>
      </c>
      <c r="E1386" s="10" t="n">
        <v>1789</v>
      </c>
      <c r="F1386" s="9" t="s">
        <v>27</v>
      </c>
      <c r="G1386" s="9" t="s">
        <v>27</v>
      </c>
      <c r="H1386" s="11" t="n">
        <v>27</v>
      </c>
      <c r="I1386" s="11" t="s">
        <v>414</v>
      </c>
      <c r="J1386" s="14" t="n">
        <v>3</v>
      </c>
      <c r="K1386" s="14"/>
      <c r="L1386" s="16"/>
      <c r="M1386" s="27" t="n">
        <f aca="false">J1386+(K1386/20)+(L1386/240)</f>
        <v>3</v>
      </c>
      <c r="N1386" s="17" t="s">
        <v>66</v>
      </c>
      <c r="O1386" s="11" t="s">
        <v>98</v>
      </c>
      <c r="P1386" s="28"/>
      <c r="Q1386" s="28" t="n">
        <f aca="false">P1386*$M1386</f>
        <v>0</v>
      </c>
      <c r="R1386" s="28"/>
      <c r="S1386" s="28" t="n">
        <f aca="false">R1386*$M1386</f>
        <v>0</v>
      </c>
      <c r="T1386" s="28"/>
      <c r="U1386" s="28" t="n">
        <f aca="false">T1386*$M1386</f>
        <v>0</v>
      </c>
      <c r="V1386" s="28"/>
      <c r="W1386" s="28" t="n">
        <f aca="false">V1386*$M1386</f>
        <v>0</v>
      </c>
      <c r="X1386" s="28"/>
      <c r="Y1386" s="28" t="n">
        <f aca="false">X1386*$M1386</f>
        <v>0</v>
      </c>
      <c r="Z1386" s="28"/>
      <c r="AA1386" s="28" t="n">
        <f aca="false">Z1386*$M1386</f>
        <v>0</v>
      </c>
      <c r="AB1386" s="28"/>
      <c r="AC1386" s="28" t="n">
        <f aca="false">AB1386*$M1386</f>
        <v>0</v>
      </c>
      <c r="AD1386" s="28"/>
      <c r="AE1386" s="28" t="n">
        <f aca="false">AD1386*$M1386</f>
        <v>0</v>
      </c>
      <c r="AF1386" s="28"/>
      <c r="AG1386" s="28" t="n">
        <f aca="false">AF1386*$M1386</f>
        <v>0</v>
      </c>
      <c r="AH1386" s="28" t="n">
        <v>110560</v>
      </c>
      <c r="AI1386" s="28" t="n">
        <v>331680</v>
      </c>
      <c r="AJ1386" s="28"/>
      <c r="AK1386" s="28" t="n">
        <f aca="false">AJ1386*$M1386</f>
        <v>0</v>
      </c>
      <c r="AL1386" s="28"/>
      <c r="AM1386" s="28" t="n">
        <f aca="false">AL1386*$M1386</f>
        <v>0</v>
      </c>
      <c r="AN1386" s="28"/>
      <c r="AO1386" s="28" t="n">
        <f aca="false">AN1386*$M1386</f>
        <v>0</v>
      </c>
      <c r="AP1386" s="28"/>
      <c r="AQ1386" s="28" t="n">
        <f aca="false">AP1386*$M1386</f>
        <v>0</v>
      </c>
      <c r="AR1386" s="28"/>
      <c r="AS1386" s="28" t="n">
        <f aca="false">AR1386*$M1386</f>
        <v>0</v>
      </c>
      <c r="AT1386" s="28"/>
      <c r="AU1386" s="28" t="n">
        <f aca="false">AT1386*$M1386</f>
        <v>0</v>
      </c>
      <c r="AV1386" s="28"/>
      <c r="AW1386" s="28" t="n">
        <f aca="false">AV1386*$M1386</f>
        <v>0</v>
      </c>
      <c r="AX1386" s="28"/>
      <c r="AY1386" s="28" t="n">
        <f aca="false">AX1386*$M1386</f>
        <v>0</v>
      </c>
      <c r="AZ1386" s="30" t="n">
        <v>110560</v>
      </c>
      <c r="BA1386" s="11" t="n">
        <v>331680</v>
      </c>
      <c r="BB1386" s="31" t="n">
        <f aca="false">SUM(Q1386,S1386,U1386,W1386,Y1386,AA1386,AC1386,AE1386,AG1386,AI1386,AK1386,AM1386,AO1386,AQ1386,AS1386,AU1386,AW1386,AY1386)</f>
        <v>331680</v>
      </c>
      <c r="BC1386" s="28" t="n">
        <f aca="false">BA1386-BB1386</f>
        <v>0</v>
      </c>
      <c r="BD1386" s="32" t="n">
        <f aca="false">SUM(P1386,R1386,T1386,V1386,X1386,Z1386,AB1386,AD1386,AF1386,AH1386,AJ1386,AL1386,AN1386,AP1386,AR1386,AT1386,AV1386,AX1386)</f>
        <v>110560</v>
      </c>
      <c r="BE1386" s="33" t="n">
        <f aca="false">AZ1386-BD1386</f>
        <v>0</v>
      </c>
      <c r="BF1386" s="34" t="n">
        <f aca="false">BD1386*M1386</f>
        <v>331680</v>
      </c>
      <c r="BG1386" s="35" t="n">
        <f aca="false">BA1386-BF1386</f>
        <v>0</v>
      </c>
      <c r="BH1386" s="19" t="str">
        <f aca="false">IF(BG1386=0,"",IF(BG1386&lt;&gt;BA1386,"erreur de calcul",IF(BD1386&lt;&gt;0,"pas de prix",IF(M1386&lt;&gt; 0,"pas de quantité","pas de prix, ni de quantité"))))</f>
        <v/>
      </c>
      <c r="BI1386" s="19"/>
    </row>
    <row r="1387" customFormat="false" ht="15" hidden="false" customHeight="false" outlineLevel="0" collapsed="false">
      <c r="A1387" s="0" t="n">
        <v>4</v>
      </c>
      <c r="B1387" s="8" t="s">
        <v>24</v>
      </c>
      <c r="C1387" s="9" t="s">
        <v>25</v>
      </c>
      <c r="D1387" s="9" t="s">
        <v>26</v>
      </c>
      <c r="E1387" s="10" t="n">
        <v>1789</v>
      </c>
      <c r="F1387" s="9" t="s">
        <v>27</v>
      </c>
      <c r="G1387" s="9" t="s">
        <v>27</v>
      </c>
      <c r="H1387" s="11" t="n">
        <v>27</v>
      </c>
      <c r="I1387" s="11" t="s">
        <v>415</v>
      </c>
      <c r="J1387" s="14" t="n">
        <v>3</v>
      </c>
      <c r="K1387" s="14" t="n">
        <v>10</v>
      </c>
      <c r="L1387" s="16"/>
      <c r="M1387" s="27" t="n">
        <f aca="false">J1387+(K1387/20)+(L1387/240)</f>
        <v>3.5</v>
      </c>
      <c r="N1387" s="17" t="s">
        <v>66</v>
      </c>
      <c r="O1387" s="11" t="s">
        <v>98</v>
      </c>
      <c r="P1387" s="28"/>
      <c r="Q1387" s="28" t="n">
        <f aca="false">P1387*$M1387</f>
        <v>0</v>
      </c>
      <c r="R1387" s="28"/>
      <c r="S1387" s="28" t="n">
        <f aca="false">R1387*$M1387</f>
        <v>0</v>
      </c>
      <c r="T1387" s="28"/>
      <c r="U1387" s="28" t="n">
        <f aca="false">T1387*$M1387</f>
        <v>0</v>
      </c>
      <c r="V1387" s="28"/>
      <c r="W1387" s="28" t="n">
        <f aca="false">V1387*$M1387</f>
        <v>0</v>
      </c>
      <c r="X1387" s="28" t="n">
        <v>218</v>
      </c>
      <c r="Y1387" s="28" t="n">
        <v>763</v>
      </c>
      <c r="Z1387" s="28"/>
      <c r="AA1387" s="28" t="n">
        <f aca="false">Z1387*$M1387</f>
        <v>0</v>
      </c>
      <c r="AB1387" s="28"/>
      <c r="AC1387" s="28" t="n">
        <f aca="false">AB1387*$M1387</f>
        <v>0</v>
      </c>
      <c r="AD1387" s="28"/>
      <c r="AE1387" s="28" t="n">
        <f aca="false">AD1387*$M1387</f>
        <v>0</v>
      </c>
      <c r="AF1387" s="28"/>
      <c r="AG1387" s="28" t="n">
        <f aca="false">AF1387*$M1387</f>
        <v>0</v>
      </c>
      <c r="AH1387" s="28" t="n">
        <v>25905</v>
      </c>
      <c r="AI1387" s="28" t="n">
        <v>90667</v>
      </c>
      <c r="AJ1387" s="28"/>
      <c r="AK1387" s="28" t="n">
        <f aca="false">AJ1387*$M1387</f>
        <v>0</v>
      </c>
      <c r="AL1387" s="28"/>
      <c r="AM1387" s="28" t="n">
        <f aca="false">AL1387*$M1387</f>
        <v>0</v>
      </c>
      <c r="AN1387" s="28"/>
      <c r="AO1387" s="28" t="n">
        <f aca="false">AN1387*$M1387</f>
        <v>0</v>
      </c>
      <c r="AP1387" s="28"/>
      <c r="AQ1387" s="28" t="n">
        <f aca="false">AP1387*$M1387</f>
        <v>0</v>
      </c>
      <c r="AR1387" s="28"/>
      <c r="AS1387" s="28" t="n">
        <f aca="false">AR1387*$M1387</f>
        <v>0</v>
      </c>
      <c r="AT1387" s="28"/>
      <c r="AU1387" s="28" t="n">
        <f aca="false">AT1387*$M1387</f>
        <v>0</v>
      </c>
      <c r="AV1387" s="28"/>
      <c r="AW1387" s="28" t="n">
        <f aca="false">AV1387*$M1387</f>
        <v>0</v>
      </c>
      <c r="AX1387" s="28"/>
      <c r="AY1387" s="28" t="n">
        <f aca="false">AX1387*$M1387</f>
        <v>0</v>
      </c>
      <c r="AZ1387" s="30" t="n">
        <v>26123</v>
      </c>
      <c r="BA1387" s="11" t="n">
        <v>91430</v>
      </c>
      <c r="BB1387" s="31" t="n">
        <f aca="false">SUM(Q1387,S1387,U1387,W1387,Y1387,AA1387,AC1387,AE1387,AG1387,AI1387,AK1387,AM1387,AO1387,AQ1387,AS1387,AU1387,AW1387,AY1387)</f>
        <v>91430</v>
      </c>
      <c r="BC1387" s="28" t="n">
        <f aca="false">BA1387-BB1387</f>
        <v>0</v>
      </c>
      <c r="BD1387" s="32" t="n">
        <f aca="false">SUM(P1387,R1387,T1387,V1387,X1387,Z1387,AB1387,AD1387,AF1387,AH1387,AJ1387,AL1387,AN1387,AP1387,AR1387,AT1387,AV1387,AX1387)</f>
        <v>26123</v>
      </c>
      <c r="BE1387" s="33" t="n">
        <f aca="false">AZ1387-BD1387</f>
        <v>0</v>
      </c>
      <c r="BF1387" s="34" t="n">
        <f aca="false">BD1387*M1387</f>
        <v>91430.5</v>
      </c>
      <c r="BG1387" s="35" t="n">
        <f aca="false">BA1387-BF1387</f>
        <v>-0.5</v>
      </c>
      <c r="BH1387" s="19" t="str">
        <f aca="false">IF(BG1387=0,"",IF(BG1387&lt;&gt;BA1387,"erreur de calcul",IF(BD1387&lt;&gt;0,"pas de prix",IF(M1387&lt;&gt; 0,"pas de quantité","pas de prix, ni de quantité"))))</f>
        <v>erreur de calcul</v>
      </c>
      <c r="BI1387" s="19"/>
    </row>
    <row r="1388" customFormat="false" ht="15" hidden="false" customHeight="false" outlineLevel="0" collapsed="false">
      <c r="A1388" s="0" t="n">
        <v>5</v>
      </c>
      <c r="B1388" s="8" t="s">
        <v>24</v>
      </c>
      <c r="C1388" s="9" t="s">
        <v>25</v>
      </c>
      <c r="D1388" s="9" t="s">
        <v>26</v>
      </c>
      <c r="E1388" s="10" t="n">
        <v>1789</v>
      </c>
      <c r="F1388" s="9" t="s">
        <v>27</v>
      </c>
      <c r="G1388" s="9" t="s">
        <v>27</v>
      </c>
      <c r="H1388" s="11" t="n">
        <v>27</v>
      </c>
      <c r="I1388" s="11" t="s">
        <v>416</v>
      </c>
      <c r="J1388" s="14"/>
      <c r="K1388" s="14" t="n">
        <v>30</v>
      </c>
      <c r="L1388" s="16"/>
      <c r="M1388" s="27" t="n">
        <f aca="false">J1388+(K1388/20)+(L1388/240)</f>
        <v>1.5</v>
      </c>
      <c r="N1388" s="17" t="s">
        <v>66</v>
      </c>
      <c r="O1388" s="11"/>
      <c r="P1388" s="28"/>
      <c r="Q1388" s="28" t="n">
        <f aca="false">P1388*$M1388</f>
        <v>0</v>
      </c>
      <c r="R1388" s="28"/>
      <c r="S1388" s="28" t="n">
        <f aca="false">R1388*$M1388</f>
        <v>0</v>
      </c>
      <c r="T1388" s="28"/>
      <c r="U1388" s="28" t="n">
        <f aca="false">T1388*$M1388</f>
        <v>0</v>
      </c>
      <c r="V1388" s="28"/>
      <c r="W1388" s="28" t="n">
        <f aca="false">V1388*$M1388</f>
        <v>0</v>
      </c>
      <c r="X1388" s="28"/>
      <c r="Y1388" s="28" t="n">
        <f aca="false">X1388*$M1388</f>
        <v>0</v>
      </c>
      <c r="Z1388" s="28"/>
      <c r="AA1388" s="28" t="n">
        <f aca="false">Z1388*$M1388</f>
        <v>0</v>
      </c>
      <c r="AB1388" s="28"/>
      <c r="AC1388" s="28" t="n">
        <f aca="false">AB1388*$M1388</f>
        <v>0</v>
      </c>
      <c r="AD1388" s="28"/>
      <c r="AE1388" s="28" t="n">
        <f aca="false">AD1388*$M1388</f>
        <v>0</v>
      </c>
      <c r="AF1388" s="28"/>
      <c r="AG1388" s="28" t="n">
        <f aca="false">AF1388*$M1388</f>
        <v>0</v>
      </c>
      <c r="AH1388" s="28" t="n">
        <v>75870</v>
      </c>
      <c r="AI1388" s="28" t="n">
        <v>113805</v>
      </c>
      <c r="AJ1388" s="28"/>
      <c r="AK1388" s="28" t="n">
        <f aca="false">AJ1388*$M1388</f>
        <v>0</v>
      </c>
      <c r="AL1388" s="28"/>
      <c r="AM1388" s="28" t="n">
        <f aca="false">AL1388*$M1388</f>
        <v>0</v>
      </c>
      <c r="AN1388" s="28"/>
      <c r="AO1388" s="28" t="n">
        <f aca="false">AN1388*$M1388</f>
        <v>0</v>
      </c>
      <c r="AP1388" s="28"/>
      <c r="AQ1388" s="28" t="n">
        <f aca="false">AP1388*$M1388</f>
        <v>0</v>
      </c>
      <c r="AR1388" s="28"/>
      <c r="AS1388" s="28" t="n">
        <f aca="false">AR1388*$M1388</f>
        <v>0</v>
      </c>
      <c r="AT1388" s="28"/>
      <c r="AU1388" s="28" t="n">
        <f aca="false">AT1388*$M1388</f>
        <v>0</v>
      </c>
      <c r="AV1388" s="28"/>
      <c r="AW1388" s="28" t="n">
        <f aca="false">AV1388*$M1388</f>
        <v>0</v>
      </c>
      <c r="AX1388" s="28"/>
      <c r="AY1388" s="28" t="n">
        <f aca="false">AX1388*$M1388</f>
        <v>0</v>
      </c>
      <c r="AZ1388" s="30" t="n">
        <v>75870</v>
      </c>
      <c r="BA1388" s="11" t="n">
        <v>113805</v>
      </c>
      <c r="BB1388" s="31" t="n">
        <f aca="false">SUM(Q1388,S1388,U1388,W1388,Y1388,AA1388,AC1388,AE1388,AG1388,AI1388,AK1388,AM1388,AO1388,AQ1388,AS1388,AU1388,AW1388,AY1388)</f>
        <v>113805</v>
      </c>
      <c r="BC1388" s="28" t="n">
        <f aca="false">BA1388-BB1388</f>
        <v>0</v>
      </c>
      <c r="BD1388" s="32" t="n">
        <f aca="false">SUM(P1388,R1388,T1388,V1388,X1388,Z1388,AB1388,AD1388,AF1388,AH1388,AJ1388,AL1388,AN1388,AP1388,AR1388,AT1388,AV1388,AX1388)</f>
        <v>75870</v>
      </c>
      <c r="BE1388" s="33" t="n">
        <f aca="false">AZ1388-BD1388</f>
        <v>0</v>
      </c>
      <c r="BF1388" s="34" t="n">
        <f aca="false">BD1388*M1388</f>
        <v>113805</v>
      </c>
      <c r="BG1388" s="35" t="n">
        <f aca="false">BA1388-BF1388</f>
        <v>0</v>
      </c>
      <c r="BH1388" s="19" t="str">
        <f aca="false">IF(BG1388=0,"",IF(BG1388&lt;&gt;BA1388,"erreur de calcul",IF(BD1388&lt;&gt;0,"pas de prix",IF(M1388&lt;&gt; 0,"pas de quantité","pas de prix, ni de quantité"))))</f>
        <v/>
      </c>
      <c r="BI1388" s="19"/>
    </row>
    <row r="1389" customFormat="false" ht="15" hidden="false" customHeight="false" outlineLevel="0" collapsed="false">
      <c r="A1389" s="0" t="n">
        <v>6</v>
      </c>
      <c r="B1389" s="8" t="s">
        <v>24</v>
      </c>
      <c r="C1389" s="9" t="s">
        <v>25</v>
      </c>
      <c r="D1389" s="9" t="s">
        <v>26</v>
      </c>
      <c r="E1389" s="10" t="n">
        <v>1789</v>
      </c>
      <c r="F1389" s="9" t="s">
        <v>27</v>
      </c>
      <c r="G1389" s="9" t="s">
        <v>27</v>
      </c>
      <c r="H1389" s="11" t="n">
        <v>27</v>
      </c>
      <c r="I1389" s="11" t="s">
        <v>417</v>
      </c>
      <c r="J1389" s="14" t="n">
        <v>3</v>
      </c>
      <c r="K1389" s="14"/>
      <c r="L1389" s="16"/>
      <c r="M1389" s="27" t="n">
        <f aca="false">J1389+(K1389/20)+(L1389/240)</f>
        <v>3</v>
      </c>
      <c r="N1389" s="17" t="s">
        <v>66</v>
      </c>
      <c r="O1389" s="11"/>
      <c r="P1389" s="28"/>
      <c r="Q1389" s="28" t="n">
        <f aca="false">P1389*$M1389</f>
        <v>0</v>
      </c>
      <c r="R1389" s="28"/>
      <c r="S1389" s="28" t="n">
        <f aca="false">R1389*$M1389</f>
        <v>0</v>
      </c>
      <c r="T1389" s="28"/>
      <c r="U1389" s="28" t="n">
        <f aca="false">T1389*$M1389</f>
        <v>0</v>
      </c>
      <c r="V1389" s="28"/>
      <c r="W1389" s="28" t="n">
        <f aca="false">V1389*$M1389</f>
        <v>0</v>
      </c>
      <c r="X1389" s="28"/>
      <c r="Y1389" s="28" t="n">
        <f aca="false">X1389*$M1389</f>
        <v>0</v>
      </c>
      <c r="Z1389" s="28"/>
      <c r="AA1389" s="28" t="n">
        <f aca="false">Z1389*$M1389</f>
        <v>0</v>
      </c>
      <c r="AB1389" s="28"/>
      <c r="AC1389" s="28" t="n">
        <f aca="false">AB1389*$M1389</f>
        <v>0</v>
      </c>
      <c r="AD1389" s="28"/>
      <c r="AE1389" s="28" t="n">
        <f aca="false">AD1389*$M1389</f>
        <v>0</v>
      </c>
      <c r="AF1389" s="28"/>
      <c r="AG1389" s="28" t="n">
        <f aca="false">AF1389*$M1389</f>
        <v>0</v>
      </c>
      <c r="AH1389" s="28" t="n">
        <v>121588</v>
      </c>
      <c r="AI1389" s="28" t="n">
        <v>364764</v>
      </c>
      <c r="AJ1389" s="28"/>
      <c r="AK1389" s="28" t="n">
        <f aca="false">AJ1389*$M1389</f>
        <v>0</v>
      </c>
      <c r="AL1389" s="28"/>
      <c r="AM1389" s="28" t="n">
        <f aca="false">AL1389*$M1389</f>
        <v>0</v>
      </c>
      <c r="AN1389" s="28"/>
      <c r="AO1389" s="28" t="n">
        <f aca="false">AN1389*$M1389</f>
        <v>0</v>
      </c>
      <c r="AP1389" s="28"/>
      <c r="AQ1389" s="28" t="n">
        <f aca="false">AP1389*$M1389</f>
        <v>0</v>
      </c>
      <c r="AR1389" s="28"/>
      <c r="AS1389" s="28" t="n">
        <f aca="false">AR1389*$M1389</f>
        <v>0</v>
      </c>
      <c r="AT1389" s="28"/>
      <c r="AU1389" s="28" t="n">
        <f aca="false">AT1389*$M1389</f>
        <v>0</v>
      </c>
      <c r="AV1389" s="28"/>
      <c r="AW1389" s="28" t="n">
        <f aca="false">AV1389*$M1389</f>
        <v>0</v>
      </c>
      <c r="AX1389" s="28"/>
      <c r="AY1389" s="28" t="n">
        <f aca="false">AX1389*$M1389</f>
        <v>0</v>
      </c>
      <c r="AZ1389" s="30" t="n">
        <v>121588</v>
      </c>
      <c r="BA1389" s="11" t="n">
        <v>364764</v>
      </c>
      <c r="BB1389" s="31" t="n">
        <f aca="false">SUM(Q1389,S1389,U1389,W1389,Y1389,AA1389,AC1389,AE1389,AG1389,AI1389,AK1389,AM1389,AO1389,AQ1389,AS1389,AU1389,AW1389,AY1389)</f>
        <v>364764</v>
      </c>
      <c r="BC1389" s="28" t="n">
        <f aca="false">BA1389-BB1389</f>
        <v>0</v>
      </c>
      <c r="BD1389" s="32" t="n">
        <f aca="false">SUM(P1389,R1389,T1389,V1389,X1389,Z1389,AB1389,AD1389,AF1389,AH1389,AJ1389,AL1389,AN1389,AP1389,AR1389,AT1389,AV1389,AX1389)</f>
        <v>121588</v>
      </c>
      <c r="BE1389" s="33" t="n">
        <f aca="false">AZ1389-BD1389</f>
        <v>0</v>
      </c>
      <c r="BF1389" s="34" t="n">
        <f aca="false">BD1389*M1389</f>
        <v>364764</v>
      </c>
      <c r="BG1389" s="35" t="n">
        <f aca="false">BA1389-BF1389</f>
        <v>0</v>
      </c>
      <c r="BH1389" s="19" t="str">
        <f aca="false">IF(BG1389=0,"",IF(BG1389&lt;&gt;BA1389,"erreur de calcul",IF(BD1389&lt;&gt;0,"pas de prix",IF(M1389&lt;&gt; 0,"pas de quantité","pas de prix, ni de quantité"))))</f>
        <v/>
      </c>
      <c r="BI1389" s="19"/>
    </row>
    <row r="1390" customFormat="false" ht="15" hidden="false" customHeight="false" outlineLevel="0" collapsed="false">
      <c r="A1390" s="0" t="n">
        <v>7</v>
      </c>
      <c r="B1390" s="8" t="s">
        <v>24</v>
      </c>
      <c r="C1390" s="9" t="s">
        <v>25</v>
      </c>
      <c r="D1390" s="9" t="s">
        <v>26</v>
      </c>
      <c r="E1390" s="10" t="n">
        <v>1789</v>
      </c>
      <c r="F1390" s="9" t="s">
        <v>27</v>
      </c>
      <c r="G1390" s="9" t="s">
        <v>27</v>
      </c>
      <c r="H1390" s="11" t="n">
        <v>27</v>
      </c>
      <c r="I1390" s="11" t="s">
        <v>418</v>
      </c>
      <c r="J1390" s="14"/>
      <c r="K1390" s="14" t="n">
        <v>24</v>
      </c>
      <c r="L1390" s="16"/>
      <c r="M1390" s="27" t="n">
        <f aca="false">J1390+(K1390/20)+(L1390/240)</f>
        <v>1.2</v>
      </c>
      <c r="N1390" s="17" t="s">
        <v>66</v>
      </c>
      <c r="O1390" s="11"/>
      <c r="P1390" s="28"/>
      <c r="Q1390" s="28" t="n">
        <f aca="false">P1390*$M1390</f>
        <v>0</v>
      </c>
      <c r="R1390" s="28"/>
      <c r="S1390" s="28" t="n">
        <f aca="false">R1390*$M1390</f>
        <v>0</v>
      </c>
      <c r="T1390" s="28"/>
      <c r="U1390" s="28" t="n">
        <f aca="false">T1390*$M1390</f>
        <v>0</v>
      </c>
      <c r="V1390" s="28"/>
      <c r="W1390" s="28" t="n">
        <f aca="false">V1390*$M1390</f>
        <v>0</v>
      </c>
      <c r="X1390" s="28"/>
      <c r="Y1390" s="28" t="n">
        <f aca="false">X1390*$M1390</f>
        <v>0</v>
      </c>
      <c r="Z1390" s="28"/>
      <c r="AA1390" s="28" t="n">
        <f aca="false">Z1390*$M1390</f>
        <v>0</v>
      </c>
      <c r="AB1390" s="28"/>
      <c r="AC1390" s="28" t="n">
        <f aca="false">AB1390*$M1390</f>
        <v>0</v>
      </c>
      <c r="AD1390" s="28"/>
      <c r="AE1390" s="28" t="n">
        <f aca="false">AD1390*$M1390</f>
        <v>0</v>
      </c>
      <c r="AF1390" s="28"/>
      <c r="AG1390" s="28" t="n">
        <f aca="false">AF1390*$M1390</f>
        <v>0</v>
      </c>
      <c r="AH1390" s="28" t="n">
        <v>50204</v>
      </c>
      <c r="AI1390" s="28" t="n">
        <v>60245</v>
      </c>
      <c r="AJ1390" s="28"/>
      <c r="AK1390" s="28" t="n">
        <f aca="false">AJ1390*$M1390</f>
        <v>0</v>
      </c>
      <c r="AL1390" s="28"/>
      <c r="AM1390" s="28" t="n">
        <f aca="false">AL1390*$M1390</f>
        <v>0</v>
      </c>
      <c r="AN1390" s="28"/>
      <c r="AO1390" s="28" t="n">
        <f aca="false">AN1390*$M1390</f>
        <v>0</v>
      </c>
      <c r="AP1390" s="28"/>
      <c r="AQ1390" s="28" t="n">
        <f aca="false">AP1390*$M1390</f>
        <v>0</v>
      </c>
      <c r="AR1390" s="28"/>
      <c r="AS1390" s="28" t="n">
        <f aca="false">AR1390*$M1390</f>
        <v>0</v>
      </c>
      <c r="AT1390" s="28"/>
      <c r="AU1390" s="28" t="n">
        <f aca="false">AT1390*$M1390</f>
        <v>0</v>
      </c>
      <c r="AV1390" s="28"/>
      <c r="AW1390" s="28" t="n">
        <f aca="false">AV1390*$M1390</f>
        <v>0</v>
      </c>
      <c r="AX1390" s="28"/>
      <c r="AY1390" s="28" t="n">
        <f aca="false">AX1390*$M1390</f>
        <v>0</v>
      </c>
      <c r="AZ1390" s="30" t="n">
        <v>50204</v>
      </c>
      <c r="BA1390" s="11" t="n">
        <v>60245</v>
      </c>
      <c r="BB1390" s="31" t="n">
        <f aca="false">SUM(Q1390,S1390,U1390,W1390,Y1390,AA1390,AC1390,AE1390,AG1390,AI1390,AK1390,AM1390,AO1390,AQ1390,AS1390,AU1390,AW1390,AY1390)</f>
        <v>60245</v>
      </c>
      <c r="BC1390" s="28" t="n">
        <f aca="false">BA1390-BB1390</f>
        <v>0</v>
      </c>
      <c r="BD1390" s="32" t="n">
        <f aca="false">SUM(P1390,R1390,T1390,V1390,X1390,Z1390,AB1390,AD1390,AF1390,AH1390,AJ1390,AL1390,AN1390,AP1390,AR1390,AT1390,AV1390,AX1390)</f>
        <v>50204</v>
      </c>
      <c r="BE1390" s="33" t="n">
        <f aca="false">AZ1390-BD1390</f>
        <v>0</v>
      </c>
      <c r="BF1390" s="34" t="n">
        <f aca="false">BD1390*M1390</f>
        <v>60244.8</v>
      </c>
      <c r="BG1390" s="35" t="n">
        <f aca="false">BA1390-BF1390</f>
        <v>0.200000000004366</v>
      </c>
      <c r="BH1390" s="19" t="str">
        <f aca="false">IF(BG1390=0,"",IF(BG1390&lt;&gt;BA1390,"erreur de calcul",IF(BD1390&lt;&gt;0,"pas de prix",IF(M1390&lt;&gt; 0,"pas de quantité","pas de prix, ni de quantité"))))</f>
        <v>erreur de calcul</v>
      </c>
      <c r="BI1390" s="19"/>
    </row>
    <row r="1391" customFormat="false" ht="15" hidden="false" customHeight="false" outlineLevel="0" collapsed="false">
      <c r="A1391" s="0" t="n">
        <v>8</v>
      </c>
      <c r="B1391" s="8" t="s">
        <v>24</v>
      </c>
      <c r="C1391" s="9" t="s">
        <v>25</v>
      </c>
      <c r="D1391" s="9" t="s">
        <v>26</v>
      </c>
      <c r="E1391" s="10" t="n">
        <v>1789</v>
      </c>
      <c r="F1391" s="9" t="s">
        <v>27</v>
      </c>
      <c r="G1391" s="9" t="s">
        <v>27</v>
      </c>
      <c r="H1391" s="11" t="n">
        <v>27</v>
      </c>
      <c r="I1391" s="11" t="s">
        <v>419</v>
      </c>
      <c r="J1391" s="14" t="n">
        <v>40</v>
      </c>
      <c r="K1391" s="14"/>
      <c r="L1391" s="16"/>
      <c r="M1391" s="27" t="n">
        <f aca="false">J1391+(K1391/20)+(L1391/240)</f>
        <v>40</v>
      </c>
      <c r="N1391" s="17" t="s">
        <v>66</v>
      </c>
      <c r="O1391" s="11" t="s">
        <v>98</v>
      </c>
      <c r="P1391" s="28"/>
      <c r="Q1391" s="28" t="n">
        <f aca="false">P1391*$M1391</f>
        <v>0</v>
      </c>
      <c r="R1391" s="28"/>
      <c r="S1391" s="28" t="n">
        <f aca="false">R1391*$M1391</f>
        <v>0</v>
      </c>
      <c r="T1391" s="28"/>
      <c r="U1391" s="28" t="n">
        <f aca="false">T1391*$M1391</f>
        <v>0</v>
      </c>
      <c r="V1391" s="28"/>
      <c r="W1391" s="28" t="n">
        <f aca="false">V1391*$M1391</f>
        <v>0</v>
      </c>
      <c r="X1391" s="28"/>
      <c r="Y1391" s="28" t="n">
        <f aca="false">X1391*$M1391</f>
        <v>0</v>
      </c>
      <c r="Z1391" s="28"/>
      <c r="AA1391" s="28" t="n">
        <f aca="false">Z1391*$M1391</f>
        <v>0</v>
      </c>
      <c r="AB1391" s="28"/>
      <c r="AC1391" s="28" t="n">
        <f aca="false">AB1391*$M1391</f>
        <v>0</v>
      </c>
      <c r="AD1391" s="28"/>
      <c r="AE1391" s="28" t="n">
        <f aca="false">AD1391*$M1391</f>
        <v>0</v>
      </c>
      <c r="AF1391" s="28"/>
      <c r="AG1391" s="28" t="n">
        <f aca="false">AF1391*$M1391</f>
        <v>0</v>
      </c>
      <c r="AH1391" s="28"/>
      <c r="AI1391" s="28" t="n">
        <f aca="false">AH1391*$M1391</f>
        <v>0</v>
      </c>
      <c r="AJ1391" s="28"/>
      <c r="AK1391" s="28" t="n">
        <f aca="false">AJ1391*$M1391</f>
        <v>0</v>
      </c>
      <c r="AL1391" s="28"/>
      <c r="AM1391" s="28" t="n">
        <f aca="false">AL1391*$M1391</f>
        <v>0</v>
      </c>
      <c r="AN1391" s="28"/>
      <c r="AO1391" s="28" t="n">
        <f aca="false">AN1391*$M1391</f>
        <v>0</v>
      </c>
      <c r="AP1391" s="28"/>
      <c r="AQ1391" s="28" t="n">
        <f aca="false">AP1391*$M1391</f>
        <v>0</v>
      </c>
      <c r="AR1391" s="28"/>
      <c r="AS1391" s="28" t="n">
        <f aca="false">AR1391*$M1391</f>
        <v>0</v>
      </c>
      <c r="AT1391" s="28"/>
      <c r="AU1391" s="28" t="n">
        <f aca="false">AT1391*$M1391</f>
        <v>0</v>
      </c>
      <c r="AV1391" s="28"/>
      <c r="AW1391" s="28" t="n">
        <f aca="false">AV1391*$M1391</f>
        <v>0</v>
      </c>
      <c r="AX1391" s="28"/>
      <c r="AY1391" s="28" t="n">
        <f aca="false">AX1391*$M1391</f>
        <v>0</v>
      </c>
      <c r="AZ1391" s="30"/>
      <c r="BA1391" s="11"/>
      <c r="BB1391" s="31" t="n">
        <f aca="false">SUM(Q1391,S1391,U1391,W1391,Y1391,AA1391,AC1391,AE1391,AG1391,AI1391,AK1391,AM1391,AO1391,AQ1391,AS1391,AU1391,AW1391,AY1391)</f>
        <v>0</v>
      </c>
      <c r="BC1391" s="28" t="n">
        <f aca="false">BA1391-BB1391</f>
        <v>0</v>
      </c>
      <c r="BD1391" s="32" t="n">
        <f aca="false">SUM(P1391,R1391,T1391,V1391,X1391,Z1391,AB1391,AD1391,AF1391,AH1391,AJ1391,AL1391,AN1391,AP1391,AR1391,AT1391,AV1391,AX1391)</f>
        <v>0</v>
      </c>
      <c r="BE1391" s="33" t="n">
        <f aca="false">AZ1391-BD1391</f>
        <v>0</v>
      </c>
      <c r="BF1391" s="34" t="n">
        <f aca="false">BD1391*M1391</f>
        <v>0</v>
      </c>
      <c r="BG1391" s="35" t="n">
        <f aca="false">BA1391-BF1391</f>
        <v>0</v>
      </c>
      <c r="BH1391" s="19" t="str">
        <f aca="false">IF(BG1391=0,"",IF(BG1391&lt;&gt;BA1391,"erreur de calcul",IF(BD1391&lt;&gt;0,"pas de prix",IF(M1391&lt;&gt; 0,"pas de quantité","pas de prix, ni de quantité"))))</f>
        <v/>
      </c>
      <c r="BI1391" s="19"/>
    </row>
    <row r="1392" customFormat="false" ht="15" hidden="false" customHeight="false" outlineLevel="0" collapsed="false">
      <c r="A1392" s="0" t="n">
        <v>9</v>
      </c>
      <c r="B1392" s="8" t="s">
        <v>24</v>
      </c>
      <c r="C1392" s="9" t="s">
        <v>25</v>
      </c>
      <c r="D1392" s="9" t="s">
        <v>26</v>
      </c>
      <c r="E1392" s="10" t="n">
        <v>1789</v>
      </c>
      <c r="F1392" s="9" t="s">
        <v>27</v>
      </c>
      <c r="G1392" s="9" t="s">
        <v>27</v>
      </c>
      <c r="H1392" s="11" t="n">
        <v>27</v>
      </c>
      <c r="I1392" s="11" t="s">
        <v>420</v>
      </c>
      <c r="J1392" s="14" t="n">
        <v>9</v>
      </c>
      <c r="K1392" s="14"/>
      <c r="L1392" s="16"/>
      <c r="M1392" s="27" t="n">
        <f aca="false">J1392+(K1392/20)+(L1392/240)</f>
        <v>9</v>
      </c>
      <c r="N1392" s="17" t="s">
        <v>81</v>
      </c>
      <c r="O1392" s="11" t="s">
        <v>98</v>
      </c>
      <c r="P1392" s="28"/>
      <c r="Q1392" s="28" t="n">
        <f aca="false">P1392*$M1392</f>
        <v>0</v>
      </c>
      <c r="R1392" s="28"/>
      <c r="S1392" s="28" t="n">
        <f aca="false">R1392*$M1392</f>
        <v>0</v>
      </c>
      <c r="T1392" s="28"/>
      <c r="U1392" s="28" t="n">
        <f aca="false">T1392*$M1392</f>
        <v>0</v>
      </c>
      <c r="V1392" s="28"/>
      <c r="W1392" s="28" t="n">
        <f aca="false">V1392*$M1392</f>
        <v>0</v>
      </c>
      <c r="X1392" s="28"/>
      <c r="Y1392" s="28" t="n">
        <f aca="false">X1392*$M1392</f>
        <v>0</v>
      </c>
      <c r="Z1392" s="28"/>
      <c r="AA1392" s="28" t="n">
        <f aca="false">Z1392*$M1392</f>
        <v>0</v>
      </c>
      <c r="AB1392" s="28"/>
      <c r="AC1392" s="28" t="n">
        <f aca="false">AB1392*$M1392</f>
        <v>0</v>
      </c>
      <c r="AD1392" s="28"/>
      <c r="AE1392" s="28" t="n">
        <f aca="false">AD1392*$M1392</f>
        <v>0</v>
      </c>
      <c r="AF1392" s="28"/>
      <c r="AG1392" s="28" t="n">
        <f aca="false">AF1392*$M1392</f>
        <v>0</v>
      </c>
      <c r="AH1392" s="28"/>
      <c r="AI1392" s="28" t="n">
        <f aca="false">AH1392*$M1392</f>
        <v>0</v>
      </c>
      <c r="AJ1392" s="28"/>
      <c r="AK1392" s="28" t="n">
        <f aca="false">AJ1392*$M1392</f>
        <v>0</v>
      </c>
      <c r="AL1392" s="28"/>
      <c r="AM1392" s="28" t="n">
        <f aca="false">AL1392*$M1392</f>
        <v>0</v>
      </c>
      <c r="AN1392" s="28"/>
      <c r="AO1392" s="28" t="n">
        <f aca="false">AN1392*$M1392</f>
        <v>0</v>
      </c>
      <c r="AP1392" s="28"/>
      <c r="AQ1392" s="28" t="n">
        <f aca="false">AP1392*$M1392</f>
        <v>0</v>
      </c>
      <c r="AR1392" s="28"/>
      <c r="AS1392" s="28" t="n">
        <f aca="false">AR1392*$M1392</f>
        <v>0</v>
      </c>
      <c r="AT1392" s="28"/>
      <c r="AU1392" s="28" t="n">
        <f aca="false">AT1392*$M1392</f>
        <v>0</v>
      </c>
      <c r="AV1392" s="28"/>
      <c r="AW1392" s="28" t="n">
        <f aca="false">AV1392*$M1392</f>
        <v>0</v>
      </c>
      <c r="AX1392" s="28"/>
      <c r="AY1392" s="28" t="n">
        <f aca="false">AX1392*$M1392</f>
        <v>0</v>
      </c>
      <c r="AZ1392" s="30"/>
      <c r="BA1392" s="11"/>
      <c r="BB1392" s="31" t="n">
        <f aca="false">SUM(Q1392,S1392,U1392,W1392,Y1392,AA1392,AC1392,AE1392,AG1392,AI1392,AK1392,AM1392,AO1392,AQ1392,AS1392,AU1392,AW1392,AY1392)</f>
        <v>0</v>
      </c>
      <c r="BC1392" s="28" t="n">
        <f aca="false">BA1392-BB1392</f>
        <v>0</v>
      </c>
      <c r="BD1392" s="32" t="n">
        <f aca="false">SUM(P1392,R1392,T1392,V1392,X1392,Z1392,AB1392,AD1392,AF1392,AH1392,AJ1392,AL1392,AN1392,AP1392,AR1392,AT1392,AV1392,AX1392)</f>
        <v>0</v>
      </c>
      <c r="BE1392" s="33" t="n">
        <f aca="false">AZ1392-BD1392</f>
        <v>0</v>
      </c>
      <c r="BF1392" s="34" t="n">
        <f aca="false">BD1392*M1392</f>
        <v>0</v>
      </c>
      <c r="BG1392" s="35" t="n">
        <f aca="false">BA1392-BF1392</f>
        <v>0</v>
      </c>
      <c r="BH1392" s="19" t="str">
        <f aca="false">IF(BG1392=0,"",IF(BG1392&lt;&gt;BA1392,"erreur de calcul",IF(BD1392&lt;&gt;0,"pas de prix",IF(M1392&lt;&gt; 0,"pas de quantité","pas de prix, ni de quantité"))))</f>
        <v/>
      </c>
      <c r="BI1392" s="19"/>
    </row>
    <row r="1393" customFormat="false" ht="15" hidden="false" customHeight="false" outlineLevel="0" collapsed="false">
      <c r="A1393" s="0" t="n">
        <v>10</v>
      </c>
      <c r="B1393" s="8" t="s">
        <v>24</v>
      </c>
      <c r="C1393" s="9" t="s">
        <v>25</v>
      </c>
      <c r="D1393" s="9" t="s">
        <v>26</v>
      </c>
      <c r="E1393" s="10" t="n">
        <v>1789</v>
      </c>
      <c r="F1393" s="9" t="s">
        <v>27</v>
      </c>
      <c r="G1393" s="9" t="s">
        <v>27</v>
      </c>
      <c r="H1393" s="11" t="n">
        <v>27</v>
      </c>
      <c r="I1393" s="11" t="s">
        <v>421</v>
      </c>
      <c r="J1393" s="14" t="n">
        <v>220</v>
      </c>
      <c r="K1393" s="14"/>
      <c r="L1393" s="16"/>
      <c r="M1393" s="27" t="n">
        <f aca="false">J1393+(K1393/20)+(L1393/240)</f>
        <v>220</v>
      </c>
      <c r="N1393" s="17" t="s">
        <v>64</v>
      </c>
      <c r="O1393" s="11" t="s">
        <v>277</v>
      </c>
      <c r="P1393" s="28" t="n">
        <f aca="false">245/100</f>
        <v>2.45</v>
      </c>
      <c r="Q1393" s="28" t="n">
        <v>539</v>
      </c>
      <c r="R1393" s="28"/>
      <c r="S1393" s="28" t="n">
        <f aca="false">R1393*$M1393</f>
        <v>0</v>
      </c>
      <c r="T1393" s="28" t="n">
        <f aca="false">40119/100</f>
        <v>401.19</v>
      </c>
      <c r="U1393" s="28" t="n">
        <v>88262</v>
      </c>
      <c r="V1393" s="28" t="n">
        <f aca="false">14285/100</f>
        <v>142.85</v>
      </c>
      <c r="W1393" s="28" t="n">
        <v>31427</v>
      </c>
      <c r="X1393" s="28" t="n">
        <f aca="false">62608/100</f>
        <v>626.08</v>
      </c>
      <c r="Y1393" s="28" t="n">
        <v>137738</v>
      </c>
      <c r="Z1393" s="28" t="n">
        <f aca="false">523/100</f>
        <v>5.23</v>
      </c>
      <c r="AA1393" s="28" t="n">
        <v>1151</v>
      </c>
      <c r="AB1393" s="28" t="n">
        <f aca="false">56/100</f>
        <v>0.56</v>
      </c>
      <c r="AC1393" s="28" t="n">
        <v>123</v>
      </c>
      <c r="AD1393" s="28"/>
      <c r="AE1393" s="28" t="n">
        <f aca="false">AD1393*$M1393</f>
        <v>0</v>
      </c>
      <c r="AF1393" s="28"/>
      <c r="AG1393" s="28" t="n">
        <f aca="false">AF1393*$M1393</f>
        <v>0</v>
      </c>
      <c r="AH1393" s="28"/>
      <c r="AI1393" s="28" t="n">
        <f aca="false">AH1393*$M1393</f>
        <v>0</v>
      </c>
      <c r="AJ1393" s="28" t="n">
        <f aca="false">3845/100</f>
        <v>38.45</v>
      </c>
      <c r="AK1393" s="28" t="n">
        <v>8459</v>
      </c>
      <c r="AL1393" s="28" t="n">
        <f aca="false">26510/100</f>
        <v>265.1</v>
      </c>
      <c r="AM1393" s="28" t="n">
        <v>58322</v>
      </c>
      <c r="AN1393" s="28" t="n">
        <f aca="false">330/100</f>
        <v>3.3</v>
      </c>
      <c r="AO1393" s="28" t="n">
        <v>726</v>
      </c>
      <c r="AP1393" s="28"/>
      <c r="AQ1393" s="28" t="n">
        <f aca="false">AP1393*$M1393</f>
        <v>0</v>
      </c>
      <c r="AR1393" s="28"/>
      <c r="AS1393" s="28" t="n">
        <f aca="false">AR1393*$M1393</f>
        <v>0</v>
      </c>
      <c r="AT1393" s="28"/>
      <c r="AU1393" s="28" t="n">
        <f aca="false">AT1393*$M1393</f>
        <v>0</v>
      </c>
      <c r="AV1393" s="28" t="n">
        <f aca="false">1487/100</f>
        <v>14.87</v>
      </c>
      <c r="AW1393" s="28" t="n">
        <v>3271</v>
      </c>
      <c r="AX1393" s="28"/>
      <c r="AY1393" s="28" t="n">
        <f aca="false">AX1393*$M1393</f>
        <v>0</v>
      </c>
      <c r="AZ1393" s="30" t="n">
        <f aca="false">150008/100</f>
        <v>1500.08</v>
      </c>
      <c r="BA1393" s="11" t="n">
        <v>330018</v>
      </c>
      <c r="BB1393" s="31" t="n">
        <f aca="false">SUM(Q1393,S1393,U1393,W1393,Y1393,AA1393,AC1393,AE1393,AG1393,AI1393,AK1393,AM1393,AO1393,AQ1393,AS1393,AU1393,AW1393,AY1393)</f>
        <v>330018</v>
      </c>
      <c r="BC1393" s="28" t="n">
        <f aca="false">BA1393-BB1393</f>
        <v>0</v>
      </c>
      <c r="BD1393" s="32" t="n">
        <f aca="false">SUM(P1393,R1393,T1393,V1393,X1393,Z1393,AB1393,AD1393,AF1393,AH1393,AJ1393,AL1393,AN1393,AP1393,AR1393,AT1393,AV1393,AX1393)</f>
        <v>1500.08</v>
      </c>
      <c r="BE1393" s="33" t="n">
        <f aca="false">AZ1393-BD1393</f>
        <v>0</v>
      </c>
      <c r="BF1393" s="34" t="n">
        <f aca="false">BD1393*M1393</f>
        <v>330017.6</v>
      </c>
      <c r="BG1393" s="35" t="n">
        <f aca="false">BA1393-BF1393</f>
        <v>0.399999999965075</v>
      </c>
      <c r="BH1393" s="19" t="str">
        <f aca="false">IF(BG1393=0,"",IF(BG1393&lt;&gt;BA1393,"erreur de calcul",IF(BD1393&lt;&gt;0,"pas de prix",IF(M1393&lt;&gt; 0,"pas de quantité","pas de prix, ni de quantité"))))</f>
        <v>erreur de calcul</v>
      </c>
      <c r="BI1393" s="19"/>
    </row>
    <row r="1394" customFormat="false" ht="15" hidden="false" customHeight="false" outlineLevel="0" collapsed="false">
      <c r="A1394" s="0" t="n">
        <v>11</v>
      </c>
      <c r="B1394" s="8" t="s">
        <v>24</v>
      </c>
      <c r="C1394" s="9" t="s">
        <v>25</v>
      </c>
      <c r="D1394" s="9" t="s">
        <v>26</v>
      </c>
      <c r="E1394" s="10" t="n">
        <v>1789</v>
      </c>
      <c r="F1394" s="9" t="s">
        <v>27</v>
      </c>
      <c r="G1394" s="9" t="s">
        <v>27</v>
      </c>
      <c r="H1394" s="11" t="n">
        <v>27</v>
      </c>
      <c r="I1394" s="11" t="s">
        <v>422</v>
      </c>
      <c r="J1394" s="14" t="n">
        <v>35</v>
      </c>
      <c r="K1394" s="14"/>
      <c r="L1394" s="16"/>
      <c r="M1394" s="27" t="n">
        <f aca="false">J1394+(K1394/20)+(L1394/240)</f>
        <v>35</v>
      </c>
      <c r="N1394" s="17" t="s">
        <v>64</v>
      </c>
      <c r="O1394" s="11"/>
      <c r="P1394" s="28"/>
      <c r="Q1394" s="28" t="n">
        <f aca="false">P1394*$M1394</f>
        <v>0</v>
      </c>
      <c r="R1394" s="28"/>
      <c r="S1394" s="28" t="n">
        <f aca="false">R1394*$M1394</f>
        <v>0</v>
      </c>
      <c r="T1394" s="28"/>
      <c r="U1394" s="28" t="n">
        <f aca="false">T1394*$M1394</f>
        <v>0</v>
      </c>
      <c r="V1394" s="28"/>
      <c r="W1394" s="28" t="n">
        <f aca="false">V1394*$M1394</f>
        <v>0</v>
      </c>
      <c r="X1394" s="28" t="n">
        <f aca="false">9982/100</f>
        <v>99.82</v>
      </c>
      <c r="Y1394" s="28" t="n">
        <v>3494</v>
      </c>
      <c r="Z1394" s="28"/>
      <c r="AA1394" s="28" t="n">
        <f aca="false">Z1394*$M1394</f>
        <v>0</v>
      </c>
      <c r="AB1394" s="28"/>
      <c r="AC1394" s="28" t="n">
        <f aca="false">AB1394*$M1394</f>
        <v>0</v>
      </c>
      <c r="AD1394" s="28"/>
      <c r="AE1394" s="28" t="n">
        <f aca="false">AD1394*$M1394</f>
        <v>0</v>
      </c>
      <c r="AF1394" s="28"/>
      <c r="AG1394" s="28" t="n">
        <f aca="false">AF1394*$M1394</f>
        <v>0</v>
      </c>
      <c r="AH1394" s="28"/>
      <c r="AI1394" s="28" t="n">
        <f aca="false">AH1394*$M1394</f>
        <v>0</v>
      </c>
      <c r="AJ1394" s="28" t="n">
        <f aca="false">28200/100</f>
        <v>282</v>
      </c>
      <c r="AK1394" s="28" t="n">
        <v>9870</v>
      </c>
      <c r="AL1394" s="28" t="n">
        <f aca="false">163472/100</f>
        <v>1634.72</v>
      </c>
      <c r="AM1394" s="28" t="n">
        <v>57215</v>
      </c>
      <c r="AN1394" s="28"/>
      <c r="AO1394" s="28" t="n">
        <f aca="false">AN1394*$M1394</f>
        <v>0</v>
      </c>
      <c r="AP1394" s="28"/>
      <c r="AQ1394" s="28" t="n">
        <f aca="false">AP1394*$M1394</f>
        <v>0</v>
      </c>
      <c r="AR1394" s="28"/>
      <c r="AS1394" s="28" t="n">
        <f aca="false">AR1394*$M1394</f>
        <v>0</v>
      </c>
      <c r="AT1394" s="28"/>
      <c r="AU1394" s="28" t="n">
        <f aca="false">AT1394*$M1394</f>
        <v>0</v>
      </c>
      <c r="AV1394" s="28" t="n">
        <f aca="false">49250/100</f>
        <v>492.5</v>
      </c>
      <c r="AW1394" s="28" t="n">
        <v>17237</v>
      </c>
      <c r="AX1394" s="28"/>
      <c r="AY1394" s="28" t="n">
        <f aca="false">AX1394*$M1394</f>
        <v>0</v>
      </c>
      <c r="AZ1394" s="30" t="n">
        <f aca="false">250904/100</f>
        <v>2509.04</v>
      </c>
      <c r="BA1394" s="11" t="n">
        <v>87816</v>
      </c>
      <c r="BB1394" s="31" t="n">
        <f aca="false">SUM(Q1394,S1394,U1394,W1394,Y1394,AA1394,AC1394,AE1394,AG1394,AI1394,AK1394,AM1394,AO1394,AQ1394,AS1394,AU1394,AW1394,AY1394)</f>
        <v>87816</v>
      </c>
      <c r="BC1394" s="28" t="n">
        <f aca="false">BA1394-BB1394</f>
        <v>0</v>
      </c>
      <c r="BD1394" s="32" t="n">
        <f aca="false">SUM(P1394,R1394,T1394,V1394,X1394,Z1394,AB1394,AD1394,AF1394,AH1394,AJ1394,AL1394,AN1394,AP1394,AR1394,AT1394,AV1394,AX1394)</f>
        <v>2509.04</v>
      </c>
      <c r="BE1394" s="33" t="n">
        <f aca="false">AZ1394-BD1394</f>
        <v>0</v>
      </c>
      <c r="BF1394" s="34" t="n">
        <f aca="false">BD1394*M1394</f>
        <v>87816.4</v>
      </c>
      <c r="BG1394" s="35" t="n">
        <f aca="false">BA1394-BF1394</f>
        <v>-0.400000000008731</v>
      </c>
      <c r="BH1394" s="19" t="str">
        <f aca="false">IF(BG1394=0,"",IF(BG1394&lt;&gt;BA1394,"erreur de calcul",IF(BD1394&lt;&gt;0,"pas de prix",IF(M1394&lt;&gt; 0,"pas de quantité","pas de prix, ni de quantité"))))</f>
        <v>erreur de calcul</v>
      </c>
      <c r="BI1394" s="19"/>
    </row>
    <row r="1395" customFormat="false" ht="15" hidden="false" customHeight="false" outlineLevel="0" collapsed="false">
      <c r="A1395" s="0" t="n">
        <v>12</v>
      </c>
      <c r="B1395" s="8" t="s">
        <v>24</v>
      </c>
      <c r="C1395" s="9" t="s">
        <v>25</v>
      </c>
      <c r="D1395" s="9" t="s">
        <v>26</v>
      </c>
      <c r="E1395" s="10" t="n">
        <v>1789</v>
      </c>
      <c r="F1395" s="9" t="s">
        <v>27</v>
      </c>
      <c r="G1395" s="9" t="s">
        <v>27</v>
      </c>
      <c r="H1395" s="11" t="n">
        <v>27</v>
      </c>
      <c r="I1395" s="11" t="s">
        <v>423</v>
      </c>
      <c r="J1395" s="14" t="n">
        <v>75</v>
      </c>
      <c r="K1395" s="14"/>
      <c r="L1395" s="16"/>
      <c r="M1395" s="27" t="n">
        <f aca="false">J1395+(K1395/20)+(L1395/240)</f>
        <v>75</v>
      </c>
      <c r="N1395" s="17" t="s">
        <v>64</v>
      </c>
      <c r="O1395" s="11"/>
      <c r="P1395" s="28"/>
      <c r="Q1395" s="28" t="n">
        <f aca="false">P1395*$M1395</f>
        <v>0</v>
      </c>
      <c r="R1395" s="28"/>
      <c r="S1395" s="28" t="n">
        <f aca="false">R1395*$M1395</f>
        <v>0</v>
      </c>
      <c r="T1395" s="28"/>
      <c r="U1395" s="28" t="n">
        <f aca="false">T1395*$M1395</f>
        <v>0</v>
      </c>
      <c r="V1395" s="28" t="n">
        <f aca="false">1030/100</f>
        <v>10.3</v>
      </c>
      <c r="W1395" s="28" t="n">
        <v>772</v>
      </c>
      <c r="X1395" s="28"/>
      <c r="Y1395" s="28" t="n">
        <f aca="false">X1395*$M1395</f>
        <v>0</v>
      </c>
      <c r="Z1395" s="28"/>
      <c r="AA1395" s="28" t="n">
        <f aca="false">Z1395*$M1395</f>
        <v>0</v>
      </c>
      <c r="AB1395" s="28"/>
      <c r="AC1395" s="28" t="n">
        <f aca="false">AB1395*$M1395</f>
        <v>0</v>
      </c>
      <c r="AD1395" s="28"/>
      <c r="AE1395" s="28" t="n">
        <f aca="false">AD1395*$M1395</f>
        <v>0</v>
      </c>
      <c r="AF1395" s="28"/>
      <c r="AG1395" s="28" t="n">
        <f aca="false">AF1395*$M1395</f>
        <v>0</v>
      </c>
      <c r="AH1395" s="28"/>
      <c r="AI1395" s="28" t="n">
        <f aca="false">AH1395*$M1395</f>
        <v>0</v>
      </c>
      <c r="AJ1395" s="28"/>
      <c r="AK1395" s="28" t="n">
        <f aca="false">AJ1395*$M1395</f>
        <v>0</v>
      </c>
      <c r="AL1395" s="28"/>
      <c r="AM1395" s="28" t="n">
        <f aca="false">AL1395*$M1395</f>
        <v>0</v>
      </c>
      <c r="AN1395" s="28"/>
      <c r="AO1395" s="28" t="n">
        <f aca="false">AN1395*$M1395</f>
        <v>0</v>
      </c>
      <c r="AP1395" s="28"/>
      <c r="AQ1395" s="28" t="n">
        <f aca="false">AP1395*$M1395</f>
        <v>0</v>
      </c>
      <c r="AR1395" s="28"/>
      <c r="AS1395" s="28" t="n">
        <f aca="false">AR1395*$M1395</f>
        <v>0</v>
      </c>
      <c r="AT1395" s="28"/>
      <c r="AU1395" s="28" t="n">
        <f aca="false">AT1395*$M1395</f>
        <v>0</v>
      </c>
      <c r="AV1395" s="28"/>
      <c r="AW1395" s="28" t="n">
        <f aca="false">AV1395*$M1395</f>
        <v>0</v>
      </c>
      <c r="AX1395" s="28"/>
      <c r="AY1395" s="28" t="n">
        <f aca="false">AX1395*$M1395</f>
        <v>0</v>
      </c>
      <c r="AZ1395" s="30" t="n">
        <f aca="false">1030/100</f>
        <v>10.3</v>
      </c>
      <c r="BA1395" s="11" t="n">
        <v>772</v>
      </c>
      <c r="BB1395" s="31" t="n">
        <f aca="false">SUM(Q1395,S1395,U1395,W1395,Y1395,AA1395,AC1395,AE1395,AG1395,AI1395,AK1395,AM1395,AO1395,AQ1395,AS1395,AU1395,AW1395,AY1395)</f>
        <v>772</v>
      </c>
      <c r="BC1395" s="28" t="n">
        <f aca="false">BA1395-BB1395</f>
        <v>0</v>
      </c>
      <c r="BD1395" s="32" t="n">
        <f aca="false">SUM(P1395,R1395,T1395,V1395,X1395,Z1395,AB1395,AD1395,AF1395,AH1395,AJ1395,AL1395,AN1395,AP1395,AR1395,AT1395,AV1395,AX1395)</f>
        <v>10.3</v>
      </c>
      <c r="BE1395" s="33" t="n">
        <f aca="false">AZ1395-BD1395</f>
        <v>0</v>
      </c>
      <c r="BF1395" s="34" t="n">
        <f aca="false">BD1395*M1395</f>
        <v>772.5</v>
      </c>
      <c r="BG1395" s="35" t="n">
        <f aca="false">BA1395-BF1395</f>
        <v>-0.5</v>
      </c>
      <c r="BH1395" s="19" t="str">
        <f aca="false">IF(BG1395=0,"",IF(BG1395&lt;&gt;BA1395,"erreur de calcul",IF(BD1395&lt;&gt;0,"pas de prix",IF(M1395&lt;&gt; 0,"pas de quantité","pas de prix, ni de quantité"))))</f>
        <v>erreur de calcul</v>
      </c>
      <c r="BI1395" s="19"/>
    </row>
    <row r="1396" customFormat="false" ht="15" hidden="false" customHeight="false" outlineLevel="0" collapsed="false">
      <c r="A1396" s="0" t="n">
        <v>13</v>
      </c>
      <c r="B1396" s="8" t="s">
        <v>24</v>
      </c>
      <c r="C1396" s="9" t="s">
        <v>25</v>
      </c>
      <c r="D1396" s="9" t="s">
        <v>26</v>
      </c>
      <c r="E1396" s="10" t="n">
        <v>1789</v>
      </c>
      <c r="F1396" s="9" t="s">
        <v>27</v>
      </c>
      <c r="G1396" s="9" t="s">
        <v>27</v>
      </c>
      <c r="H1396" s="11" t="n">
        <v>27</v>
      </c>
      <c r="I1396" s="11" t="s">
        <v>424</v>
      </c>
      <c r="J1396" s="14" t="n">
        <v>6</v>
      </c>
      <c r="K1396" s="14"/>
      <c r="L1396" s="16"/>
      <c r="M1396" s="27" t="n">
        <f aca="false">J1396+(K1396/20)+(L1396/240)</f>
        <v>6</v>
      </c>
      <c r="N1396" s="17" t="s">
        <v>64</v>
      </c>
      <c r="O1396" s="11" t="s">
        <v>277</v>
      </c>
      <c r="P1396" s="28"/>
      <c r="Q1396" s="28" t="n">
        <f aca="false">P1396*$M1396</f>
        <v>0</v>
      </c>
      <c r="R1396" s="28"/>
      <c r="S1396" s="28" t="n">
        <f aca="false">R1396*$M1396</f>
        <v>0</v>
      </c>
      <c r="T1396" s="28"/>
      <c r="U1396" s="28" t="n">
        <f aca="false">T1396*$M1396</f>
        <v>0</v>
      </c>
      <c r="V1396" s="28"/>
      <c r="W1396" s="28" t="n">
        <f aca="false">V1396*$M1396</f>
        <v>0</v>
      </c>
      <c r="X1396" s="28"/>
      <c r="Y1396" s="28" t="n">
        <f aca="false">X1396*$M1396</f>
        <v>0</v>
      </c>
      <c r="Z1396" s="28"/>
      <c r="AA1396" s="28" t="n">
        <f aca="false">Z1396*$M1396</f>
        <v>0</v>
      </c>
      <c r="AB1396" s="28"/>
      <c r="AC1396" s="28" t="n">
        <f aca="false">AB1396*$M1396</f>
        <v>0</v>
      </c>
      <c r="AD1396" s="28"/>
      <c r="AE1396" s="28" t="n">
        <f aca="false">AD1396*$M1396</f>
        <v>0</v>
      </c>
      <c r="AF1396" s="28"/>
      <c r="AG1396" s="28" t="n">
        <f aca="false">AF1396*$M1396</f>
        <v>0</v>
      </c>
      <c r="AH1396" s="28" t="n">
        <f aca="false">9050/100</f>
        <v>90.5</v>
      </c>
      <c r="AI1396" s="28" t="n">
        <v>543</v>
      </c>
      <c r="AJ1396" s="28"/>
      <c r="AK1396" s="28" t="n">
        <f aca="false">AJ1396*$M1396</f>
        <v>0</v>
      </c>
      <c r="AL1396" s="28" t="n">
        <f aca="false">48717/100</f>
        <v>487.17</v>
      </c>
      <c r="AM1396" s="28" t="n">
        <v>2923</v>
      </c>
      <c r="AN1396" s="28"/>
      <c r="AO1396" s="28" t="n">
        <f aca="false">AN1396*$M1396</f>
        <v>0</v>
      </c>
      <c r="AP1396" s="28"/>
      <c r="AQ1396" s="28" t="n">
        <f aca="false">AP1396*$M1396</f>
        <v>0</v>
      </c>
      <c r="AR1396" s="28"/>
      <c r="AS1396" s="28" t="n">
        <f aca="false">AR1396*$M1396</f>
        <v>0</v>
      </c>
      <c r="AT1396" s="28"/>
      <c r="AU1396" s="28" t="n">
        <f aca="false">AT1396*$M1396</f>
        <v>0</v>
      </c>
      <c r="AV1396" s="28"/>
      <c r="AW1396" s="28" t="n">
        <f aca="false">AV1396*$M1396</f>
        <v>0</v>
      </c>
      <c r="AX1396" s="28"/>
      <c r="AY1396" s="28" t="n">
        <f aca="false">AX1396*$M1396</f>
        <v>0</v>
      </c>
      <c r="AZ1396" s="30" t="n">
        <f aca="false">57767/100</f>
        <v>577.67</v>
      </c>
      <c r="BA1396" s="11" t="n">
        <v>3466</v>
      </c>
      <c r="BB1396" s="31" t="n">
        <f aca="false">SUM(Q1396,S1396,U1396,W1396,Y1396,AA1396,AC1396,AE1396,AG1396,AI1396,AK1396,AM1396,AO1396,AQ1396,AS1396,AU1396,AW1396,AY1396)</f>
        <v>3466</v>
      </c>
      <c r="BC1396" s="28" t="n">
        <f aca="false">BA1396-BB1396</f>
        <v>0</v>
      </c>
      <c r="BD1396" s="32" t="n">
        <f aca="false">SUM(P1396,R1396,T1396,V1396,X1396,Z1396,AB1396,AD1396,AF1396,AH1396,AJ1396,AL1396,AN1396,AP1396,AR1396,AT1396,AV1396,AX1396)</f>
        <v>577.67</v>
      </c>
      <c r="BE1396" s="33" t="n">
        <f aca="false">AZ1396-BD1396</f>
        <v>0</v>
      </c>
      <c r="BF1396" s="34" t="n">
        <f aca="false">BD1396*M1396</f>
        <v>3466.02</v>
      </c>
      <c r="BG1396" s="35" t="n">
        <f aca="false">BA1396-BF1396</f>
        <v>-0.0200000000004366</v>
      </c>
      <c r="BH1396" s="19" t="str">
        <f aca="false">IF(BG1396=0,"",IF(BG1396&lt;&gt;BA1396,"erreur de calcul",IF(BD1396&lt;&gt;0,"pas de prix",IF(M1396&lt;&gt; 0,"pas de quantité","pas de prix, ni de quantité"))))</f>
        <v>erreur de calcul</v>
      </c>
      <c r="BI1396" s="19"/>
    </row>
    <row r="1397" customFormat="false" ht="15" hidden="false" customHeight="false" outlineLevel="0" collapsed="false">
      <c r="A1397" s="0" t="n">
        <v>14</v>
      </c>
      <c r="B1397" s="8" t="s">
        <v>24</v>
      </c>
      <c r="C1397" s="9" t="s">
        <v>25</v>
      </c>
      <c r="D1397" s="9" t="s">
        <v>26</v>
      </c>
      <c r="E1397" s="10" t="n">
        <v>1789</v>
      </c>
      <c r="F1397" s="9" t="s">
        <v>27</v>
      </c>
      <c r="G1397" s="9" t="s">
        <v>27</v>
      </c>
      <c r="H1397" s="11" t="n">
        <v>27</v>
      </c>
      <c r="I1397" s="11" t="s">
        <v>425</v>
      </c>
      <c r="J1397" s="14" t="n">
        <v>25</v>
      </c>
      <c r="K1397" s="14"/>
      <c r="L1397" s="16"/>
      <c r="M1397" s="27" t="n">
        <f aca="false">J1397+(K1397/20)+(L1397/240)</f>
        <v>25</v>
      </c>
      <c r="N1397" s="17" t="s">
        <v>64</v>
      </c>
      <c r="O1397" s="11"/>
      <c r="P1397" s="28"/>
      <c r="Q1397" s="28" t="n">
        <f aca="false">P1397*$M1397</f>
        <v>0</v>
      </c>
      <c r="R1397" s="28"/>
      <c r="S1397" s="28" t="n">
        <f aca="false">R1397*$M1397</f>
        <v>0</v>
      </c>
      <c r="T1397" s="28" t="n">
        <f aca="false">10*288*0.02+114*0.02</f>
        <v>59.88</v>
      </c>
      <c r="U1397" s="28" t="n">
        <v>1497</v>
      </c>
      <c r="V1397" s="28"/>
      <c r="W1397" s="28" t="n">
        <f aca="false">V1397*$M1397</f>
        <v>0</v>
      </c>
      <c r="X1397" s="28"/>
      <c r="Y1397" s="28" t="n">
        <f aca="false">X1397*$M1397</f>
        <v>0</v>
      </c>
      <c r="Z1397" s="28"/>
      <c r="AA1397" s="28" t="n">
        <f aca="false">Z1397*$M1397</f>
        <v>0</v>
      </c>
      <c r="AB1397" s="28"/>
      <c r="AC1397" s="28" t="n">
        <f aca="false">AB1397*$M1397</f>
        <v>0</v>
      </c>
      <c r="AD1397" s="28"/>
      <c r="AE1397" s="28" t="n">
        <f aca="false">AD1397*$M1397</f>
        <v>0</v>
      </c>
      <c r="AF1397" s="28"/>
      <c r="AG1397" s="28" t="n">
        <f aca="false">AF1397*$M1397</f>
        <v>0</v>
      </c>
      <c r="AH1397" s="28"/>
      <c r="AI1397" s="28" t="n">
        <f aca="false">AH1397*$M1397</f>
        <v>0</v>
      </c>
      <c r="AJ1397" s="28"/>
      <c r="AK1397" s="28" t="n">
        <f aca="false">AJ1397*$M1397</f>
        <v>0</v>
      </c>
      <c r="AL1397" s="28"/>
      <c r="AM1397" s="28" t="n">
        <f aca="false">AL1397*$M1397</f>
        <v>0</v>
      </c>
      <c r="AN1397" s="28"/>
      <c r="AO1397" s="28" t="n">
        <f aca="false">AN1397*$M1397</f>
        <v>0</v>
      </c>
      <c r="AP1397" s="28"/>
      <c r="AQ1397" s="28" t="n">
        <f aca="false">AP1397*$M1397</f>
        <v>0</v>
      </c>
      <c r="AR1397" s="28"/>
      <c r="AS1397" s="28" t="n">
        <f aca="false">AR1397*$M1397</f>
        <v>0</v>
      </c>
      <c r="AT1397" s="28"/>
      <c r="AU1397" s="28" t="n">
        <f aca="false">AT1397*$M1397</f>
        <v>0</v>
      </c>
      <c r="AV1397" s="28"/>
      <c r="AW1397" s="28" t="n">
        <f aca="false">AV1397*$M1397</f>
        <v>0</v>
      </c>
      <c r="AX1397" s="28"/>
      <c r="AY1397" s="28" t="n">
        <f aca="false">AX1397*$M1397</f>
        <v>0</v>
      </c>
      <c r="AZ1397" s="30" t="n">
        <f aca="false">10*288*0.02+114*0.02</f>
        <v>59.88</v>
      </c>
      <c r="BA1397" s="11" t="n">
        <v>1497</v>
      </c>
      <c r="BB1397" s="31" t="n">
        <f aca="false">SUM(Q1397,S1397,U1397,W1397,Y1397,AA1397,AC1397,AE1397,AG1397,AI1397,AK1397,AM1397,AO1397,AQ1397,AS1397,AU1397,AW1397,AY1397)</f>
        <v>1497</v>
      </c>
      <c r="BC1397" s="28" t="n">
        <f aca="false">BA1397-BB1397</f>
        <v>0</v>
      </c>
      <c r="BD1397" s="32" t="n">
        <f aca="false">SUM(P1397,R1397,T1397,V1397,X1397,Z1397,AB1397,AD1397,AF1397,AH1397,AJ1397,AL1397,AN1397,AP1397,AR1397,AT1397,AV1397,AX1397)</f>
        <v>59.88</v>
      </c>
      <c r="BE1397" s="33" t="n">
        <f aca="false">AZ1397-BD1397</f>
        <v>0</v>
      </c>
      <c r="BF1397" s="34" t="n">
        <f aca="false">BD1397*M1397</f>
        <v>1497</v>
      </c>
      <c r="BG1397" s="35" t="n">
        <f aca="false">BA1397-BF1397</f>
        <v>0</v>
      </c>
      <c r="BH1397" s="19" t="str">
        <f aca="false">IF(BG1397=0,"",IF(BG1397&lt;&gt;BA1397,"erreur de calcul",IF(BD1397&lt;&gt;0,"pas de prix",IF(M1397&lt;&gt; 0,"pas de quantité","pas de prix, ni de quantité"))))</f>
        <v/>
      </c>
      <c r="BI1397" s="19"/>
    </row>
    <row r="1398" customFormat="false" ht="15" hidden="false" customHeight="false" outlineLevel="0" collapsed="false">
      <c r="A1398" s="0" t="n">
        <v>15</v>
      </c>
      <c r="B1398" s="8" t="s">
        <v>24</v>
      </c>
      <c r="C1398" s="9" t="s">
        <v>25</v>
      </c>
      <c r="D1398" s="9" t="s">
        <v>26</v>
      </c>
      <c r="E1398" s="10" t="n">
        <v>1789</v>
      </c>
      <c r="F1398" s="9" t="s">
        <v>27</v>
      </c>
      <c r="G1398" s="9" t="s">
        <v>27</v>
      </c>
      <c r="H1398" s="11" t="n">
        <v>27</v>
      </c>
      <c r="I1398" s="11" t="s">
        <v>426</v>
      </c>
      <c r="J1398" s="14" t="n">
        <v>40</v>
      </c>
      <c r="K1398" s="14"/>
      <c r="L1398" s="16"/>
      <c r="M1398" s="27" t="n">
        <f aca="false">J1398+(K1398/20)+(L1398/240)</f>
        <v>40</v>
      </c>
      <c r="N1398" s="17" t="s">
        <v>64</v>
      </c>
      <c r="O1398" s="11"/>
      <c r="P1398" s="28"/>
      <c r="Q1398" s="28" t="n">
        <f aca="false">P1398*$M1398</f>
        <v>0</v>
      </c>
      <c r="R1398" s="28"/>
      <c r="S1398" s="28" t="n">
        <f aca="false">R1398*$M1398</f>
        <v>0</v>
      </c>
      <c r="T1398" s="28"/>
      <c r="U1398" s="28" t="n">
        <f aca="false">T1398*$M1398</f>
        <v>0</v>
      </c>
      <c r="V1398" s="28"/>
      <c r="W1398" s="28" t="n">
        <f aca="false">V1398*$M1398</f>
        <v>0</v>
      </c>
      <c r="X1398" s="28"/>
      <c r="Y1398" s="28" t="n">
        <f aca="false">X1398*$M1398</f>
        <v>0</v>
      </c>
      <c r="Z1398" s="28"/>
      <c r="AA1398" s="28" t="n">
        <f aca="false">Z1398*$M1398</f>
        <v>0</v>
      </c>
      <c r="AB1398" s="28"/>
      <c r="AC1398" s="28" t="n">
        <f aca="false">AB1398*$M1398</f>
        <v>0</v>
      </c>
      <c r="AD1398" s="28"/>
      <c r="AE1398" s="28" t="n">
        <f aca="false">AD1398*$M1398</f>
        <v>0</v>
      </c>
      <c r="AF1398" s="28"/>
      <c r="AG1398" s="28" t="n">
        <f aca="false">AF1398*$M1398</f>
        <v>0</v>
      </c>
      <c r="AH1398" s="28" t="n">
        <f aca="false">1*288*0.02+59*0.02</f>
        <v>6.94</v>
      </c>
      <c r="AI1398" s="28" t="n">
        <v>278</v>
      </c>
      <c r="AJ1398" s="28"/>
      <c r="AK1398" s="28" t="n">
        <f aca="false">AJ1398*$M1398</f>
        <v>0</v>
      </c>
      <c r="AL1398" s="28"/>
      <c r="AM1398" s="28" t="n">
        <f aca="false">AL1398*$M1398</f>
        <v>0</v>
      </c>
      <c r="AN1398" s="28"/>
      <c r="AO1398" s="28" t="n">
        <f aca="false">AN1398*$M1398</f>
        <v>0</v>
      </c>
      <c r="AP1398" s="28"/>
      <c r="AQ1398" s="28" t="n">
        <f aca="false">AP1398*$M1398</f>
        <v>0</v>
      </c>
      <c r="AR1398" s="28"/>
      <c r="AS1398" s="28" t="n">
        <f aca="false">AR1398*$M1398</f>
        <v>0</v>
      </c>
      <c r="AT1398" s="28"/>
      <c r="AU1398" s="28" t="n">
        <f aca="false">AT1398*$M1398</f>
        <v>0</v>
      </c>
      <c r="AV1398" s="28"/>
      <c r="AW1398" s="28" t="n">
        <f aca="false">AV1398*$M1398</f>
        <v>0</v>
      </c>
      <c r="AX1398" s="28"/>
      <c r="AY1398" s="28" t="n">
        <f aca="false">AX1398*$M1398</f>
        <v>0</v>
      </c>
      <c r="AZ1398" s="30" t="n">
        <f aca="false">1*288*0.02+59*0.02</f>
        <v>6.94</v>
      </c>
      <c r="BA1398" s="11" t="n">
        <v>278</v>
      </c>
      <c r="BB1398" s="31" t="n">
        <f aca="false">SUM(Q1398,S1398,U1398,W1398,Y1398,AA1398,AC1398,AE1398,AG1398,AI1398,AK1398,AM1398,AO1398,AQ1398,AS1398,AU1398,AW1398,AY1398)</f>
        <v>278</v>
      </c>
      <c r="BC1398" s="28" t="n">
        <f aca="false">BA1398-BB1398</f>
        <v>0</v>
      </c>
      <c r="BD1398" s="32" t="n">
        <f aca="false">SUM(P1398,R1398,T1398,V1398,X1398,Z1398,AB1398,AD1398,AF1398,AH1398,AJ1398,AL1398,AN1398,AP1398,AR1398,AT1398,AV1398,AX1398)</f>
        <v>6.94</v>
      </c>
      <c r="BE1398" s="33" t="n">
        <f aca="false">AZ1398-BD1398</f>
        <v>0</v>
      </c>
      <c r="BF1398" s="34" t="n">
        <f aca="false">BD1398*M1398</f>
        <v>277.6</v>
      </c>
      <c r="BG1398" s="35" t="n">
        <f aca="false">BA1398-BF1398</f>
        <v>0.400000000000034</v>
      </c>
      <c r="BH1398" s="19" t="str">
        <f aca="false">IF(BG1398=0,"",IF(BG1398&lt;&gt;BA1398,"erreur de calcul",IF(BD1398&lt;&gt;0,"pas de prix",IF(M1398&lt;&gt; 0,"pas de quantité","pas de prix, ni de quantité"))))</f>
        <v>erreur de calcul</v>
      </c>
      <c r="BI1398" s="19"/>
    </row>
    <row r="1399" customFormat="false" ht="15" hidden="false" customHeight="false" outlineLevel="0" collapsed="false">
      <c r="A1399" s="0" t="n">
        <v>16</v>
      </c>
      <c r="B1399" s="8" t="s">
        <v>24</v>
      </c>
      <c r="C1399" s="9" t="s">
        <v>25</v>
      </c>
      <c r="D1399" s="9" t="s">
        <v>26</v>
      </c>
      <c r="E1399" s="10" t="n">
        <v>1789</v>
      </c>
      <c r="F1399" s="9" t="s">
        <v>27</v>
      </c>
      <c r="G1399" s="9" t="s">
        <v>27</v>
      </c>
      <c r="H1399" s="11" t="n">
        <v>27</v>
      </c>
      <c r="I1399" s="11" t="s">
        <v>427</v>
      </c>
      <c r="J1399" s="14" t="n">
        <v>32</v>
      </c>
      <c r="K1399" s="14"/>
      <c r="L1399" s="16"/>
      <c r="M1399" s="27" t="n">
        <f aca="false">J1399+(K1399/20)+(L1399/240)</f>
        <v>32</v>
      </c>
      <c r="N1399" s="17" t="s">
        <v>64</v>
      </c>
      <c r="O1399" s="11"/>
      <c r="P1399" s="28" t="n">
        <f aca="false">33*288*0.02+179*0.02</f>
        <v>193.66</v>
      </c>
      <c r="Q1399" s="28" t="n">
        <v>6197</v>
      </c>
      <c r="R1399" s="28"/>
      <c r="S1399" s="28" t="n">
        <f aca="false">R1399*$M1399</f>
        <v>0</v>
      </c>
      <c r="T1399" s="28"/>
      <c r="U1399" s="28" t="n">
        <f aca="false">T1399*$M1399</f>
        <v>0</v>
      </c>
      <c r="V1399" s="28"/>
      <c r="W1399" s="28" t="n">
        <f aca="false">V1399*$M1399</f>
        <v>0</v>
      </c>
      <c r="X1399" s="28"/>
      <c r="Y1399" s="28" t="n">
        <f aca="false">X1399*$M1399</f>
        <v>0</v>
      </c>
      <c r="Z1399" s="28"/>
      <c r="AA1399" s="28" t="n">
        <f aca="false">Z1399*$M1399</f>
        <v>0</v>
      </c>
      <c r="AB1399" s="28"/>
      <c r="AC1399" s="28" t="n">
        <f aca="false">AB1399*$M1399</f>
        <v>0</v>
      </c>
      <c r="AD1399" s="28"/>
      <c r="AE1399" s="28" t="n">
        <f aca="false">AD1399*$M1399</f>
        <v>0</v>
      </c>
      <c r="AF1399" s="28"/>
      <c r="AG1399" s="28" t="n">
        <f aca="false">AF1399*$M1399</f>
        <v>0</v>
      </c>
      <c r="AH1399" s="28"/>
      <c r="AI1399" s="28" t="n">
        <f aca="false">AH1399*$M1399</f>
        <v>0</v>
      </c>
      <c r="AJ1399" s="28"/>
      <c r="AK1399" s="28" t="n">
        <f aca="false">AJ1399*$M1399</f>
        <v>0</v>
      </c>
      <c r="AL1399" s="28"/>
      <c r="AM1399" s="28" t="n">
        <f aca="false">AL1399*$M1399</f>
        <v>0</v>
      </c>
      <c r="AN1399" s="28"/>
      <c r="AO1399" s="28" t="n">
        <f aca="false">AN1399*$M1399</f>
        <v>0</v>
      </c>
      <c r="AP1399" s="28"/>
      <c r="AQ1399" s="28" t="n">
        <f aca="false">AP1399*$M1399</f>
        <v>0</v>
      </c>
      <c r="AR1399" s="28"/>
      <c r="AS1399" s="28" t="n">
        <f aca="false">AR1399*$M1399</f>
        <v>0</v>
      </c>
      <c r="AT1399" s="28"/>
      <c r="AU1399" s="28" t="n">
        <f aca="false">AT1399*$M1399</f>
        <v>0</v>
      </c>
      <c r="AV1399" s="28"/>
      <c r="AW1399" s="28" t="n">
        <f aca="false">AV1399*$M1399</f>
        <v>0</v>
      </c>
      <c r="AX1399" s="28"/>
      <c r="AY1399" s="28" t="n">
        <f aca="false">AX1399*$M1399</f>
        <v>0</v>
      </c>
      <c r="AZ1399" s="30" t="n">
        <f aca="false">33*288*0.02+179*0.02</f>
        <v>193.66</v>
      </c>
      <c r="BA1399" s="11" t="n">
        <v>6197</v>
      </c>
      <c r="BB1399" s="31" t="n">
        <f aca="false">SUM(Q1399,S1399,U1399,W1399,Y1399,AA1399,AC1399,AE1399,AG1399,AI1399,AK1399,AM1399,AO1399,AQ1399,AS1399,AU1399,AW1399,AY1399)</f>
        <v>6197</v>
      </c>
      <c r="BC1399" s="28" t="n">
        <f aca="false">BA1399-BB1399</f>
        <v>0</v>
      </c>
      <c r="BD1399" s="32" t="n">
        <f aca="false">SUM(P1399,R1399,T1399,V1399,X1399,Z1399,AB1399,AD1399,AF1399,AH1399,AJ1399,AL1399,AN1399,AP1399,AR1399,AT1399,AV1399,AX1399)</f>
        <v>193.66</v>
      </c>
      <c r="BE1399" s="33" t="n">
        <f aca="false">AZ1399-BD1399</f>
        <v>0</v>
      </c>
      <c r="BF1399" s="34" t="n">
        <f aca="false">BD1399*M1399</f>
        <v>6197.12</v>
      </c>
      <c r="BG1399" s="35" t="n">
        <f aca="false">BA1399-BF1399</f>
        <v>-0.1200000000008</v>
      </c>
      <c r="BH1399" s="19" t="str">
        <f aca="false">IF(BG1399=0,"",IF(BG1399&lt;&gt;BA1399,"erreur de calcul",IF(BD1399&lt;&gt;0,"pas de prix",IF(M1399&lt;&gt; 0,"pas de quantité","pas de prix, ni de quantité"))))</f>
        <v>erreur de calcul</v>
      </c>
      <c r="BI1399" s="19"/>
    </row>
    <row r="1400" customFormat="false" ht="15" hidden="false" customHeight="false" outlineLevel="0" collapsed="false">
      <c r="A1400" s="0" t="n">
        <v>17</v>
      </c>
      <c r="B1400" s="8" t="s">
        <v>24</v>
      </c>
      <c r="C1400" s="9" t="s">
        <v>25</v>
      </c>
      <c r="D1400" s="9" t="s">
        <v>26</v>
      </c>
      <c r="E1400" s="10" t="n">
        <v>1789</v>
      </c>
      <c r="F1400" s="9" t="s">
        <v>27</v>
      </c>
      <c r="G1400" s="9" t="s">
        <v>27</v>
      </c>
      <c r="H1400" s="11" t="n">
        <v>27</v>
      </c>
      <c r="I1400" s="11" t="s">
        <v>428</v>
      </c>
      <c r="J1400" s="14"/>
      <c r="K1400" s="14" t="n">
        <v>12</v>
      </c>
      <c r="L1400" s="16"/>
      <c r="M1400" s="27" t="n">
        <f aca="false">J1400+(K1400/20)+(L1400/240)</f>
        <v>0.6</v>
      </c>
      <c r="N1400" s="17" t="s">
        <v>429</v>
      </c>
      <c r="O1400" s="11"/>
      <c r="P1400" s="28" t="n">
        <f aca="false">620*288+173</f>
        <v>178733</v>
      </c>
      <c r="Q1400" s="28" t="n">
        <v>107240</v>
      </c>
      <c r="R1400" s="28"/>
      <c r="S1400" s="28" t="n">
        <f aca="false">R1400*$M1400</f>
        <v>0</v>
      </c>
      <c r="T1400" s="28"/>
      <c r="U1400" s="28" t="n">
        <f aca="false">T1400*$M1400</f>
        <v>0</v>
      </c>
      <c r="V1400" s="28" t="n">
        <f aca="false">4*288+179</f>
        <v>1331</v>
      </c>
      <c r="W1400" s="28" t="n">
        <v>799</v>
      </c>
      <c r="X1400" s="28"/>
      <c r="Y1400" s="28" t="n">
        <f aca="false">X1400*$M1400</f>
        <v>0</v>
      </c>
      <c r="Z1400" s="28"/>
      <c r="AA1400" s="28" t="n">
        <f aca="false">Z1400*$M1400</f>
        <v>0</v>
      </c>
      <c r="AB1400" s="28"/>
      <c r="AC1400" s="28" t="n">
        <f aca="false">AB1400*$M1400</f>
        <v>0</v>
      </c>
      <c r="AD1400" s="28"/>
      <c r="AE1400" s="28" t="n">
        <f aca="false">AD1400*$M1400</f>
        <v>0</v>
      </c>
      <c r="AF1400" s="28"/>
      <c r="AG1400" s="28" t="n">
        <f aca="false">AF1400*$M1400</f>
        <v>0</v>
      </c>
      <c r="AH1400" s="28" t="n">
        <f aca="false">12*288+227</f>
        <v>3683</v>
      </c>
      <c r="AI1400" s="28" t="n">
        <v>2210</v>
      </c>
      <c r="AJ1400" s="28"/>
      <c r="AK1400" s="28" t="n">
        <f aca="false">AJ1400*$M1400</f>
        <v>0</v>
      </c>
      <c r="AL1400" s="28"/>
      <c r="AM1400" s="28" t="n">
        <f aca="false">AL1400*$M1400</f>
        <v>0</v>
      </c>
      <c r="AN1400" s="28"/>
      <c r="AO1400" s="28" t="n">
        <f aca="false">AN1400*$M1400</f>
        <v>0</v>
      </c>
      <c r="AP1400" s="28"/>
      <c r="AQ1400" s="28" t="n">
        <f aca="false">AP1400*$M1400</f>
        <v>0</v>
      </c>
      <c r="AR1400" s="28"/>
      <c r="AS1400" s="28" t="n">
        <f aca="false">AR1400*$M1400</f>
        <v>0</v>
      </c>
      <c r="AT1400" s="28"/>
      <c r="AU1400" s="28" t="n">
        <f aca="false">AT1400*$M1400</f>
        <v>0</v>
      </c>
      <c r="AV1400" s="28"/>
      <c r="AW1400" s="28" t="n">
        <f aca="false">AV1400*$M1400</f>
        <v>0</v>
      </c>
      <c r="AX1400" s="28"/>
      <c r="AY1400" s="28" t="n">
        <f aca="false">AX1400*$M1400</f>
        <v>0</v>
      </c>
      <c r="AZ1400" s="30" t="n">
        <f aca="false">638*288+3</f>
        <v>183747</v>
      </c>
      <c r="BA1400" s="11" t="n">
        <v>110249</v>
      </c>
      <c r="BB1400" s="31" t="n">
        <f aca="false">SUM(Q1400,S1400,U1400,W1400,Y1400,AA1400,AC1400,AE1400,AG1400,AI1400,AK1400,AM1400,AO1400,AQ1400,AS1400,AU1400,AW1400,AY1400)</f>
        <v>110249</v>
      </c>
      <c r="BC1400" s="28" t="n">
        <f aca="false">BA1400-BB1400</f>
        <v>0</v>
      </c>
      <c r="BD1400" s="32" t="n">
        <f aca="false">SUM(P1400,R1400,T1400,V1400,X1400,Z1400,AB1400,AD1400,AF1400,AH1400,AJ1400,AL1400,AN1400,AP1400,AR1400,AT1400,AV1400,AX1400)</f>
        <v>183747</v>
      </c>
      <c r="BE1400" s="33" t="n">
        <f aca="false">AZ1400-BD1400</f>
        <v>0</v>
      </c>
      <c r="BF1400" s="34" t="n">
        <f aca="false">BD1400*M1400</f>
        <v>110248.2</v>
      </c>
      <c r="BG1400" s="35" t="n">
        <f aca="false">BA1400-BF1400</f>
        <v>0.80000000000291</v>
      </c>
      <c r="BH1400" s="19" t="str">
        <f aca="false">IF(BG1400=0,"",IF(BG1400&lt;&gt;BA1400,"erreur de calcul",IF(BD1400&lt;&gt;0,"pas de prix",IF(M1400&lt;&gt; 0,"pas de quantité","pas de prix, ni de quantité"))))</f>
        <v>erreur de calcul</v>
      </c>
      <c r="BI1400" s="19"/>
    </row>
    <row r="1401" customFormat="false" ht="15" hidden="false" customHeight="false" outlineLevel="0" collapsed="false">
      <c r="A1401" s="0" t="n">
        <v>18</v>
      </c>
      <c r="B1401" s="8" t="s">
        <v>24</v>
      </c>
      <c r="C1401" s="9" t="s">
        <v>25</v>
      </c>
      <c r="D1401" s="9" t="s">
        <v>26</v>
      </c>
      <c r="E1401" s="10" t="n">
        <v>1789</v>
      </c>
      <c r="F1401" s="9" t="s">
        <v>27</v>
      </c>
      <c r="G1401" s="9" t="s">
        <v>27</v>
      </c>
      <c r="H1401" s="11" t="n">
        <v>27</v>
      </c>
      <c r="I1401" s="11" t="s">
        <v>430</v>
      </c>
      <c r="J1401" s="14" t="n">
        <v>30</v>
      </c>
      <c r="K1401" s="14"/>
      <c r="L1401" s="16"/>
      <c r="M1401" s="27" t="n">
        <f aca="false">J1401+(K1401/20)+(L1401/240)</f>
        <v>30</v>
      </c>
      <c r="N1401" s="17" t="s">
        <v>64</v>
      </c>
      <c r="O1401" s="11" t="s">
        <v>77</v>
      </c>
      <c r="P1401" s="28"/>
      <c r="Q1401" s="28" t="n">
        <f aca="false">P1401*$M1401</f>
        <v>0</v>
      </c>
      <c r="R1401" s="28"/>
      <c r="S1401" s="28" t="n">
        <f aca="false">R1401*$M1401</f>
        <v>0</v>
      </c>
      <c r="T1401" s="28" t="n">
        <f aca="false">3*288*0.02+162*0.02</f>
        <v>20.52</v>
      </c>
      <c r="U1401" s="28" t="n">
        <v>616</v>
      </c>
      <c r="V1401" s="28"/>
      <c r="W1401" s="28" t="n">
        <f aca="false">V1401*$M1401</f>
        <v>0</v>
      </c>
      <c r="X1401" s="28" t="n">
        <f aca="false">4*288*0.02+17*0.02</f>
        <v>23.38</v>
      </c>
      <c r="Y1401" s="28" t="n">
        <v>702</v>
      </c>
      <c r="Z1401" s="28" t="n">
        <f aca="false">3*288*0.02+169*0.02</f>
        <v>20.66</v>
      </c>
      <c r="AA1401" s="28" t="n">
        <v>620</v>
      </c>
      <c r="AB1401" s="28" t="n">
        <f aca="false">10*288*0.02+224*0.02</f>
        <v>62.08</v>
      </c>
      <c r="AC1401" s="28" t="n">
        <v>1863</v>
      </c>
      <c r="AD1401" s="28"/>
      <c r="AE1401" s="28" t="n">
        <f aca="false">AD1401*$M1401</f>
        <v>0</v>
      </c>
      <c r="AF1401" s="28"/>
      <c r="AG1401" s="28" t="n">
        <f aca="false">AF1401*$M1401</f>
        <v>0</v>
      </c>
      <c r="AH1401" s="28" t="n">
        <f aca="false">200*0.02</f>
        <v>4</v>
      </c>
      <c r="AI1401" s="28" t="n">
        <v>120</v>
      </c>
      <c r="AJ1401" s="28"/>
      <c r="AK1401" s="28" t="n">
        <f aca="false">AJ1401*$M1401</f>
        <v>0</v>
      </c>
      <c r="AL1401" s="28"/>
      <c r="AM1401" s="28" t="n">
        <f aca="false">AL1401*$M1401</f>
        <v>0</v>
      </c>
      <c r="AN1401" s="28"/>
      <c r="AO1401" s="28" t="n">
        <f aca="false">AN1401*$M1401</f>
        <v>0</v>
      </c>
      <c r="AP1401" s="28"/>
      <c r="AQ1401" s="28" t="n">
        <f aca="false">AP1401*$M1401</f>
        <v>0</v>
      </c>
      <c r="AR1401" s="28"/>
      <c r="AS1401" s="28" t="n">
        <f aca="false">AR1401*$M1401</f>
        <v>0</v>
      </c>
      <c r="AT1401" s="28"/>
      <c r="AU1401" s="28" t="n">
        <f aca="false">AT1401*$M1401</f>
        <v>0</v>
      </c>
      <c r="AV1401" s="28"/>
      <c r="AW1401" s="28" t="n">
        <f aca="false">AV1401*$M1401</f>
        <v>0</v>
      </c>
      <c r="AX1401" s="28"/>
      <c r="AY1401" s="28" t="n">
        <f aca="false">AX1401*$M1401</f>
        <v>0</v>
      </c>
      <c r="AZ1401" s="30" t="n">
        <f aca="false">22*288*0.02+196*0.02</f>
        <v>130.64</v>
      </c>
      <c r="BA1401" s="11" t="n">
        <v>3921</v>
      </c>
      <c r="BB1401" s="31" t="n">
        <f aca="false">SUM(Q1401,S1401,U1401,W1401,Y1401,AA1401,AC1401,AE1401,AG1401,AI1401,AK1401,AM1401,AO1401,AQ1401,AS1401,AU1401,AW1401,AY1401)</f>
        <v>3921</v>
      </c>
      <c r="BC1401" s="28" t="n">
        <f aca="false">BA1401-BB1401</f>
        <v>0</v>
      </c>
      <c r="BD1401" s="32" t="n">
        <f aca="false">SUM(P1401,R1401,T1401,V1401,X1401,Z1401,AB1401,AD1401,AF1401,AH1401,AJ1401,AL1401,AN1401,AP1401,AR1401,AT1401,AV1401,AX1401)</f>
        <v>130.64</v>
      </c>
      <c r="BE1401" s="33" t="n">
        <f aca="false">AZ1401-BD1401</f>
        <v>0</v>
      </c>
      <c r="BF1401" s="34" t="n">
        <f aca="false">BD1401*M1401</f>
        <v>3919.2</v>
      </c>
      <c r="BG1401" s="35" t="n">
        <f aca="false">BA1401-BF1401</f>
        <v>1.80000000000018</v>
      </c>
      <c r="BH1401" s="19" t="str">
        <f aca="false">IF(BG1401=0,"",IF(BG1401&lt;&gt;BA1401,"erreur de calcul",IF(BD1401&lt;&gt;0,"pas de prix",IF(M1401&lt;&gt; 0,"pas de quantité","pas de prix, ni de quantité"))))</f>
        <v>erreur de calcul</v>
      </c>
      <c r="BI1401" s="19"/>
    </row>
    <row r="1402" customFormat="false" ht="15" hidden="false" customHeight="false" outlineLevel="0" collapsed="false">
      <c r="A1402" s="0" t="n">
        <v>19</v>
      </c>
      <c r="B1402" s="8" t="s">
        <v>24</v>
      </c>
      <c r="C1402" s="9" t="s">
        <v>25</v>
      </c>
      <c r="D1402" s="9" t="s">
        <v>26</v>
      </c>
      <c r="E1402" s="10" t="n">
        <v>1789</v>
      </c>
      <c r="F1402" s="9" t="s">
        <v>27</v>
      </c>
      <c r="G1402" s="9" t="s">
        <v>27</v>
      </c>
      <c r="H1402" s="11" t="n">
        <v>27</v>
      </c>
      <c r="I1402" s="11" t="s">
        <v>431</v>
      </c>
      <c r="J1402" s="14" t="n">
        <v>10</v>
      </c>
      <c r="K1402" s="14"/>
      <c r="L1402" s="16"/>
      <c r="M1402" s="27" t="n">
        <f aca="false">J1402+(K1402/20)+(L1402/240)</f>
        <v>10</v>
      </c>
      <c r="N1402" s="17" t="s">
        <v>432</v>
      </c>
      <c r="O1402" s="11" t="s">
        <v>109</v>
      </c>
      <c r="P1402" s="28" t="n">
        <f aca="false">105*(288/62.5)+135/62.5</f>
        <v>486</v>
      </c>
      <c r="Q1402" s="28" t="n">
        <v>4860</v>
      </c>
      <c r="R1402" s="28"/>
      <c r="S1402" s="28" t="n">
        <f aca="false">R1402*$M1402</f>
        <v>0</v>
      </c>
      <c r="T1402" s="28" t="n">
        <f aca="false">8*(288/62.5)+196/62.5</f>
        <v>40</v>
      </c>
      <c r="U1402" s="28" t="n">
        <v>400</v>
      </c>
      <c r="V1402" s="28"/>
      <c r="W1402" s="28" t="n">
        <f aca="false">V1402*$M1402</f>
        <v>0</v>
      </c>
      <c r="X1402" s="28"/>
      <c r="Y1402" s="28" t="n">
        <f aca="false">X1402*$M1402</f>
        <v>0</v>
      </c>
      <c r="Z1402" s="28"/>
      <c r="AA1402" s="28" t="n">
        <f aca="false">Z1402*$M1402</f>
        <v>0</v>
      </c>
      <c r="AB1402" s="28"/>
      <c r="AC1402" s="28" t="n">
        <f aca="false">AB1402*$M1402</f>
        <v>0</v>
      </c>
      <c r="AD1402" s="28"/>
      <c r="AE1402" s="28" t="n">
        <f aca="false">AD1402*$M1402</f>
        <v>0</v>
      </c>
      <c r="AF1402" s="28"/>
      <c r="AG1402" s="28" t="n">
        <f aca="false">AF1402*$M1402</f>
        <v>0</v>
      </c>
      <c r="AH1402" s="28"/>
      <c r="AI1402" s="28" t="n">
        <f aca="false">AH1402*$M1402</f>
        <v>0</v>
      </c>
      <c r="AJ1402" s="28"/>
      <c r="AK1402" s="28" t="n">
        <f aca="false">AJ1402*$M1402</f>
        <v>0</v>
      </c>
      <c r="AL1402" s="28"/>
      <c r="AM1402" s="28" t="n">
        <f aca="false">AL1402*$M1402</f>
        <v>0</v>
      </c>
      <c r="AN1402" s="28"/>
      <c r="AO1402" s="28" t="n">
        <f aca="false">AN1402*$M1402</f>
        <v>0</v>
      </c>
      <c r="AP1402" s="28"/>
      <c r="AQ1402" s="28" t="n">
        <f aca="false">AP1402*$M1402</f>
        <v>0</v>
      </c>
      <c r="AR1402" s="28"/>
      <c r="AS1402" s="28" t="n">
        <f aca="false">AR1402*$M1402</f>
        <v>0</v>
      </c>
      <c r="AT1402" s="28"/>
      <c r="AU1402" s="28" t="n">
        <f aca="false">AT1402*$M1402</f>
        <v>0</v>
      </c>
      <c r="AV1402" s="28"/>
      <c r="AW1402" s="28" t="n">
        <f aca="false">AV1402*$M1402</f>
        <v>0</v>
      </c>
      <c r="AX1402" s="28"/>
      <c r="AY1402" s="28" t="n">
        <f aca="false">AX1402*$M1402</f>
        <v>0</v>
      </c>
      <c r="AZ1402" s="30" t="n">
        <f aca="false">114*(288/62.5)+43/62.5</f>
        <v>526</v>
      </c>
      <c r="BA1402" s="11" t="n">
        <v>5260</v>
      </c>
      <c r="BB1402" s="31" t="n">
        <f aca="false">SUM(Q1402,S1402,U1402,W1402,Y1402,AA1402,AC1402,AE1402,AG1402,AI1402,AK1402,AM1402,AO1402,AQ1402,AS1402,AU1402,AW1402,AY1402)</f>
        <v>5260</v>
      </c>
      <c r="BC1402" s="28" t="n">
        <f aca="false">BA1402-BB1402</f>
        <v>0</v>
      </c>
      <c r="BD1402" s="32" t="n">
        <f aca="false">SUM(P1402,R1402,T1402,V1402,X1402,Z1402,AB1402,AD1402,AF1402,AH1402,AJ1402,AL1402,AN1402,AP1402,AR1402,AT1402,AV1402,AX1402)</f>
        <v>526</v>
      </c>
      <c r="BE1402" s="33" t="n">
        <f aca="false">AZ1402-BD1402</f>
        <v>0</v>
      </c>
      <c r="BF1402" s="34" t="n">
        <f aca="false">BD1402*M1402</f>
        <v>5260</v>
      </c>
      <c r="BG1402" s="35" t="n">
        <f aca="false">BA1402-BF1402</f>
        <v>0</v>
      </c>
      <c r="BH1402" s="19" t="str">
        <f aca="false">IF(BG1402=0,"",IF(BG1402&lt;&gt;BA1402,"erreur de calcul",IF(BD1402&lt;&gt;0,"pas de prix",IF(M1402&lt;&gt; 0,"pas de quantité","pas de prix, ni de quantité"))))</f>
        <v/>
      </c>
      <c r="BI1402" s="19"/>
    </row>
    <row r="1403" customFormat="false" ht="15" hidden="false" customHeight="false" outlineLevel="0" collapsed="false">
      <c r="A1403" s="0" t="n">
        <v>20</v>
      </c>
      <c r="B1403" s="8" t="s">
        <v>24</v>
      </c>
      <c r="C1403" s="9" t="s">
        <v>25</v>
      </c>
      <c r="D1403" s="9" t="s">
        <v>26</v>
      </c>
      <c r="E1403" s="10" t="n">
        <v>1789</v>
      </c>
      <c r="F1403" s="9" t="s">
        <v>27</v>
      </c>
      <c r="G1403" s="9" t="s">
        <v>27</v>
      </c>
      <c r="H1403" s="11" t="n">
        <v>27</v>
      </c>
      <c r="I1403" s="11" t="s">
        <v>433</v>
      </c>
      <c r="J1403" s="14"/>
      <c r="K1403" s="14" t="n">
        <v>14</v>
      </c>
      <c r="L1403" s="16"/>
      <c r="M1403" s="27" t="n">
        <f aca="false">J1403+(K1403/20)+(L1403/240)</f>
        <v>0.7</v>
      </c>
      <c r="N1403" s="17" t="s">
        <v>429</v>
      </c>
      <c r="O1403" s="11"/>
      <c r="P1403" s="28" t="n">
        <f aca="false">103*288+190</f>
        <v>29854</v>
      </c>
      <c r="Q1403" s="28" t="n">
        <v>20898</v>
      </c>
      <c r="R1403" s="28"/>
      <c r="S1403" s="28" t="n">
        <f aca="false">R1403*$M1403</f>
        <v>0</v>
      </c>
      <c r="T1403" s="28"/>
      <c r="U1403" s="28" t="n">
        <f aca="false">T1403*$M1403</f>
        <v>0</v>
      </c>
      <c r="V1403" s="28"/>
      <c r="W1403" s="28" t="n">
        <f aca="false">V1403*$M1403</f>
        <v>0</v>
      </c>
      <c r="X1403" s="28"/>
      <c r="Y1403" s="28" t="n">
        <f aca="false">X1403*$M1403</f>
        <v>0</v>
      </c>
      <c r="Z1403" s="28"/>
      <c r="AA1403" s="28" t="n">
        <f aca="false">Z1403*$M1403</f>
        <v>0</v>
      </c>
      <c r="AB1403" s="28"/>
      <c r="AC1403" s="28" t="n">
        <f aca="false">AB1403*$M1403</f>
        <v>0</v>
      </c>
      <c r="AD1403" s="28"/>
      <c r="AE1403" s="28" t="n">
        <f aca="false">AD1403*$M1403</f>
        <v>0</v>
      </c>
      <c r="AF1403" s="28"/>
      <c r="AG1403" s="28" t="n">
        <f aca="false">AF1403*$M1403</f>
        <v>0</v>
      </c>
      <c r="AH1403" s="28"/>
      <c r="AI1403" s="28" t="n">
        <f aca="false">AH1403*$M1403</f>
        <v>0</v>
      </c>
      <c r="AJ1403" s="28"/>
      <c r="AK1403" s="28" t="n">
        <f aca="false">AJ1403*$M1403</f>
        <v>0</v>
      </c>
      <c r="AL1403" s="28"/>
      <c r="AM1403" s="28" t="n">
        <f aca="false">AL1403*$M1403</f>
        <v>0</v>
      </c>
      <c r="AN1403" s="28"/>
      <c r="AO1403" s="28" t="n">
        <f aca="false">AN1403*$M1403</f>
        <v>0</v>
      </c>
      <c r="AP1403" s="28"/>
      <c r="AQ1403" s="28" t="n">
        <f aca="false">AP1403*$M1403</f>
        <v>0</v>
      </c>
      <c r="AR1403" s="28"/>
      <c r="AS1403" s="28" t="n">
        <f aca="false">AR1403*$M1403</f>
        <v>0</v>
      </c>
      <c r="AT1403" s="28"/>
      <c r="AU1403" s="28" t="n">
        <f aca="false">AT1403*$M1403</f>
        <v>0</v>
      </c>
      <c r="AV1403" s="28"/>
      <c r="AW1403" s="28" t="n">
        <f aca="false">AV1403*$M1403</f>
        <v>0</v>
      </c>
      <c r="AX1403" s="28"/>
      <c r="AY1403" s="28" t="n">
        <f aca="false">AX1403*$M1403</f>
        <v>0</v>
      </c>
      <c r="AZ1403" s="30" t="n">
        <f aca="false">103*288+190</f>
        <v>29854</v>
      </c>
      <c r="BA1403" s="11" t="n">
        <v>20898</v>
      </c>
      <c r="BB1403" s="31" t="n">
        <f aca="false">SUM(Q1403,S1403,U1403,W1403,Y1403,AA1403,AC1403,AE1403,AG1403,AI1403,AK1403,AM1403,AO1403,AQ1403,AS1403,AU1403,AW1403,AY1403)</f>
        <v>20898</v>
      </c>
      <c r="BC1403" s="28" t="n">
        <f aca="false">BA1403-BB1403</f>
        <v>0</v>
      </c>
      <c r="BD1403" s="32" t="n">
        <f aca="false">SUM(P1403,R1403,T1403,V1403,X1403,Z1403,AB1403,AD1403,AF1403,AH1403,AJ1403,AL1403,AN1403,AP1403,AR1403,AT1403,AV1403,AX1403)</f>
        <v>29854</v>
      </c>
      <c r="BE1403" s="33" t="n">
        <f aca="false">AZ1403-BD1403</f>
        <v>0</v>
      </c>
      <c r="BF1403" s="34" t="n">
        <f aca="false">BD1403*M1403</f>
        <v>20897.8</v>
      </c>
      <c r="BG1403" s="35" t="n">
        <f aca="false">BA1403-BF1403</f>
        <v>0.200000000000728</v>
      </c>
      <c r="BH1403" s="19" t="str">
        <f aca="false">IF(BG1403=0,"",IF(BG1403&lt;&gt;BA1403,"erreur de calcul",IF(BD1403&lt;&gt;0,"pas de prix",IF(M1403&lt;&gt; 0,"pas de quantité","pas de prix, ni de quantité"))))</f>
        <v>erreur de calcul</v>
      </c>
      <c r="BI1403" s="19"/>
    </row>
    <row r="1404" customFormat="false" ht="15" hidden="false" customHeight="false" outlineLevel="0" collapsed="false">
      <c r="A1404" s="0" t="n">
        <v>21</v>
      </c>
      <c r="B1404" s="8" t="s">
        <v>24</v>
      </c>
      <c r="C1404" s="9" t="s">
        <v>25</v>
      </c>
      <c r="D1404" s="9" t="s">
        <v>26</v>
      </c>
      <c r="E1404" s="10" t="n">
        <v>1789</v>
      </c>
      <c r="F1404" s="9" t="s">
        <v>27</v>
      </c>
      <c r="G1404" s="9" t="s">
        <v>27</v>
      </c>
      <c r="H1404" s="11" t="n">
        <v>27</v>
      </c>
      <c r="I1404" s="11" t="s">
        <v>434</v>
      </c>
      <c r="J1404" s="14"/>
      <c r="K1404" s="14" t="n">
        <v>5</v>
      </c>
      <c r="L1404" s="16"/>
      <c r="M1404" s="27" t="n">
        <f aca="false">J1404+(K1404/20)+(L1404/240)</f>
        <v>0.25</v>
      </c>
      <c r="N1404" s="17" t="s">
        <v>79</v>
      </c>
      <c r="O1404" s="11"/>
      <c r="P1404" s="28" t="n">
        <v>300402</v>
      </c>
      <c r="Q1404" s="28" t="n">
        <v>75100</v>
      </c>
      <c r="R1404" s="28"/>
      <c r="S1404" s="28" t="n">
        <f aca="false">R1404*$M1404</f>
        <v>0</v>
      </c>
      <c r="T1404" s="28"/>
      <c r="U1404" s="28" t="n">
        <f aca="false">T1404*$M1404</f>
        <v>0</v>
      </c>
      <c r="V1404" s="28" t="n">
        <v>448</v>
      </c>
      <c r="W1404" s="28" t="n">
        <v>112</v>
      </c>
      <c r="X1404" s="28"/>
      <c r="Y1404" s="28" t="n">
        <f aca="false">X1404*$M1404</f>
        <v>0</v>
      </c>
      <c r="Z1404" s="28"/>
      <c r="AA1404" s="28" t="n">
        <f aca="false">Z1404*$M1404</f>
        <v>0</v>
      </c>
      <c r="AB1404" s="28"/>
      <c r="AC1404" s="28" t="n">
        <f aca="false">AB1404*$M1404</f>
        <v>0</v>
      </c>
      <c r="AD1404" s="28"/>
      <c r="AE1404" s="28" t="n">
        <f aca="false">AD1404*$M1404</f>
        <v>0</v>
      </c>
      <c r="AF1404" s="28"/>
      <c r="AG1404" s="28" t="n">
        <f aca="false">AF1404*$M1404</f>
        <v>0</v>
      </c>
      <c r="AH1404" s="28"/>
      <c r="AI1404" s="28" t="n">
        <f aca="false">AH1404*$M1404</f>
        <v>0</v>
      </c>
      <c r="AJ1404" s="28"/>
      <c r="AK1404" s="28" t="n">
        <f aca="false">AJ1404*$M1404</f>
        <v>0</v>
      </c>
      <c r="AL1404" s="28"/>
      <c r="AM1404" s="28" t="n">
        <f aca="false">AL1404*$M1404</f>
        <v>0</v>
      </c>
      <c r="AN1404" s="28"/>
      <c r="AO1404" s="28" t="n">
        <f aca="false">AN1404*$M1404</f>
        <v>0</v>
      </c>
      <c r="AP1404" s="28"/>
      <c r="AQ1404" s="28" t="n">
        <f aca="false">AP1404*$M1404</f>
        <v>0</v>
      </c>
      <c r="AR1404" s="28"/>
      <c r="AS1404" s="28" t="n">
        <f aca="false">AR1404*$M1404</f>
        <v>0</v>
      </c>
      <c r="AT1404" s="28"/>
      <c r="AU1404" s="28" t="n">
        <f aca="false">AT1404*$M1404</f>
        <v>0</v>
      </c>
      <c r="AV1404" s="28"/>
      <c r="AW1404" s="28" t="n">
        <f aca="false">AV1404*$M1404</f>
        <v>0</v>
      </c>
      <c r="AX1404" s="28"/>
      <c r="AY1404" s="28" t="n">
        <f aca="false">AX1404*$M1404</f>
        <v>0</v>
      </c>
      <c r="AZ1404" s="30" t="n">
        <v>300850</v>
      </c>
      <c r="BA1404" s="11" t="n">
        <v>75212</v>
      </c>
      <c r="BB1404" s="31" t="n">
        <f aca="false">SUM(Q1404,S1404,U1404,W1404,Y1404,AA1404,AC1404,AE1404,AG1404,AI1404,AK1404,AM1404,AO1404,AQ1404,AS1404,AU1404,AW1404,AY1404)</f>
        <v>75212</v>
      </c>
      <c r="BC1404" s="28" t="n">
        <f aca="false">BA1404-BB1404</f>
        <v>0</v>
      </c>
      <c r="BD1404" s="32" t="n">
        <f aca="false">SUM(P1404,R1404,T1404,V1404,X1404,Z1404,AB1404,AD1404,AF1404,AH1404,AJ1404,AL1404,AN1404,AP1404,AR1404,AT1404,AV1404,AX1404)</f>
        <v>300850</v>
      </c>
      <c r="BE1404" s="33" t="n">
        <f aca="false">AZ1404-BD1404</f>
        <v>0</v>
      </c>
      <c r="BF1404" s="34" t="n">
        <f aca="false">BD1404*M1404</f>
        <v>75212.5</v>
      </c>
      <c r="BG1404" s="35" t="n">
        <f aca="false">BA1404-BF1404</f>
        <v>-0.5</v>
      </c>
      <c r="BH1404" s="19" t="str">
        <f aca="false">IF(BG1404=0,"",IF(BG1404&lt;&gt;BA1404,"erreur de calcul",IF(BD1404&lt;&gt;0,"pas de prix",IF(M1404&lt;&gt; 0,"pas de quantité","pas de prix, ni de quantité"))))</f>
        <v>erreur de calcul</v>
      </c>
      <c r="BI1404" s="19"/>
    </row>
    <row r="1405" customFormat="false" ht="78.4" hidden="false" customHeight="true" outlineLevel="0" collapsed="false">
      <c r="A1405" s="0" t="s">
        <v>31</v>
      </c>
      <c r="B1405" s="2" t="s">
        <v>0</v>
      </c>
      <c r="C1405" s="2" t="s">
        <v>1</v>
      </c>
      <c r="D1405" s="2" t="s">
        <v>2</v>
      </c>
      <c r="E1405" s="2" t="s">
        <v>3</v>
      </c>
      <c r="F1405" s="2" t="s">
        <v>4</v>
      </c>
      <c r="G1405" s="2" t="s">
        <v>5</v>
      </c>
      <c r="H1405" s="2" t="s">
        <v>6</v>
      </c>
      <c r="I1405" s="3" t="s">
        <v>7</v>
      </c>
      <c r="J1405" s="5" t="s">
        <v>12</v>
      </c>
      <c r="K1405" s="5" t="s">
        <v>13</v>
      </c>
      <c r="L1405" s="5" t="s">
        <v>14</v>
      </c>
      <c r="M1405" s="7" t="s">
        <v>15</v>
      </c>
      <c r="N1405" s="6" t="s">
        <v>32</v>
      </c>
      <c r="O1405" s="6" t="s">
        <v>33</v>
      </c>
      <c r="P1405" s="6" t="s">
        <v>34</v>
      </c>
      <c r="Q1405" s="6"/>
      <c r="R1405" s="6" t="s">
        <v>35</v>
      </c>
      <c r="S1405" s="6"/>
      <c r="T1405" s="6" t="s">
        <v>36</v>
      </c>
      <c r="U1405" s="6"/>
      <c r="V1405" s="6" t="s">
        <v>37</v>
      </c>
      <c r="W1405" s="6"/>
      <c r="X1405" s="6" t="s">
        <v>38</v>
      </c>
      <c r="Y1405" s="6"/>
      <c r="Z1405" s="6" t="s">
        <v>39</v>
      </c>
      <c r="AA1405" s="6"/>
      <c r="AB1405" s="6" t="s">
        <v>40</v>
      </c>
      <c r="AC1405" s="6"/>
      <c r="AD1405" s="6" t="s">
        <v>41</v>
      </c>
      <c r="AE1405" s="6"/>
      <c r="AF1405" s="6" t="s">
        <v>42</v>
      </c>
      <c r="AG1405" s="6"/>
      <c r="AH1405" s="6" t="s">
        <v>43</v>
      </c>
      <c r="AI1405" s="6"/>
      <c r="AJ1405" s="6" t="s">
        <v>44</v>
      </c>
      <c r="AK1405" s="6"/>
      <c r="AL1405" s="6" t="s">
        <v>45</v>
      </c>
      <c r="AM1405" s="6"/>
      <c r="AN1405" s="6" t="s">
        <v>46</v>
      </c>
      <c r="AO1405" s="6"/>
      <c r="AP1405" s="6" t="s">
        <v>47</v>
      </c>
      <c r="AQ1405" s="6"/>
      <c r="AR1405" s="6" t="s">
        <v>48</v>
      </c>
      <c r="AS1405" s="6"/>
      <c r="AT1405" s="6" t="s">
        <v>49</v>
      </c>
      <c r="AU1405" s="6"/>
      <c r="AV1405" s="6" t="s">
        <v>50</v>
      </c>
      <c r="AW1405" s="6"/>
      <c r="AX1405" s="6" t="s">
        <v>51</v>
      </c>
      <c r="AY1405" s="6"/>
      <c r="AZ1405" s="6" t="s">
        <v>52</v>
      </c>
      <c r="BA1405" s="6"/>
      <c r="BB1405" s="6"/>
      <c r="BC1405" s="6"/>
      <c r="BD1405" s="6" t="s">
        <v>53</v>
      </c>
      <c r="BE1405" s="6" t="s">
        <v>54</v>
      </c>
      <c r="BF1405" s="6" t="s">
        <v>55</v>
      </c>
      <c r="BG1405" s="6" t="s">
        <v>56</v>
      </c>
      <c r="BH1405" s="6" t="s">
        <v>57</v>
      </c>
      <c r="BI1405" s="6" t="s">
        <v>23</v>
      </c>
    </row>
    <row r="1406" customFormat="false" ht="15" hidden="false" customHeight="false" outlineLevel="0" collapsed="false">
      <c r="B1406" s="20"/>
      <c r="C1406" s="20"/>
      <c r="D1406" s="20"/>
      <c r="E1406" s="21"/>
      <c r="F1406" s="20"/>
      <c r="G1406" s="20"/>
      <c r="H1406" s="20"/>
      <c r="I1406" s="22"/>
      <c r="J1406" s="23"/>
      <c r="K1406" s="23"/>
      <c r="L1406" s="24"/>
      <c r="M1406" s="25"/>
      <c r="N1406" s="25"/>
      <c r="O1406" s="26" t="s">
        <v>58</v>
      </c>
      <c r="P1406" s="25" t="s">
        <v>59</v>
      </c>
      <c r="Q1406" s="25" t="s">
        <v>60</v>
      </c>
      <c r="R1406" s="25" t="s">
        <v>59</v>
      </c>
      <c r="S1406" s="25" t="s">
        <v>60</v>
      </c>
      <c r="T1406" s="25" t="s">
        <v>59</v>
      </c>
      <c r="U1406" s="25" t="s">
        <v>60</v>
      </c>
      <c r="V1406" s="25" t="s">
        <v>59</v>
      </c>
      <c r="W1406" s="25" t="s">
        <v>60</v>
      </c>
      <c r="X1406" s="25" t="s">
        <v>59</v>
      </c>
      <c r="Y1406" s="25" t="s">
        <v>60</v>
      </c>
      <c r="Z1406" s="25" t="s">
        <v>59</v>
      </c>
      <c r="AA1406" s="25" t="s">
        <v>60</v>
      </c>
      <c r="AB1406" s="25" t="s">
        <v>59</v>
      </c>
      <c r="AC1406" s="25" t="s">
        <v>60</v>
      </c>
      <c r="AD1406" s="25" t="s">
        <v>59</v>
      </c>
      <c r="AE1406" s="25" t="s">
        <v>60</v>
      </c>
      <c r="AF1406" s="25" t="s">
        <v>59</v>
      </c>
      <c r="AG1406" s="25" t="s">
        <v>60</v>
      </c>
      <c r="AH1406" s="25" t="s">
        <v>59</v>
      </c>
      <c r="AI1406" s="25" t="s">
        <v>60</v>
      </c>
      <c r="AJ1406" s="25" t="s">
        <v>59</v>
      </c>
      <c r="AK1406" s="25" t="s">
        <v>60</v>
      </c>
      <c r="AL1406" s="25" t="s">
        <v>59</v>
      </c>
      <c r="AM1406" s="25" t="s">
        <v>60</v>
      </c>
      <c r="AN1406" s="25" t="s">
        <v>59</v>
      </c>
      <c r="AO1406" s="25" t="s">
        <v>60</v>
      </c>
      <c r="AP1406" s="25" t="s">
        <v>59</v>
      </c>
      <c r="AQ1406" s="25" t="s">
        <v>60</v>
      </c>
      <c r="AR1406" s="25" t="s">
        <v>59</v>
      </c>
      <c r="AS1406" s="25" t="s">
        <v>60</v>
      </c>
      <c r="AT1406" s="25" t="s">
        <v>59</v>
      </c>
      <c r="AU1406" s="25" t="s">
        <v>60</v>
      </c>
      <c r="AV1406" s="25" t="s">
        <v>59</v>
      </c>
      <c r="AW1406" s="25" t="s">
        <v>60</v>
      </c>
      <c r="AX1406" s="25" t="s">
        <v>59</v>
      </c>
      <c r="AY1406" s="25" t="s">
        <v>60</v>
      </c>
      <c r="AZ1406" s="25" t="s">
        <v>59</v>
      </c>
      <c r="BA1406" s="25" t="s">
        <v>60</v>
      </c>
      <c r="BB1406" s="25" t="s">
        <v>61</v>
      </c>
      <c r="BC1406" s="25" t="s">
        <v>62</v>
      </c>
      <c r="BD1406" s="20"/>
      <c r="BE1406" s="20"/>
      <c r="BF1406" s="20"/>
      <c r="BG1406" s="20"/>
      <c r="BH1406" s="20"/>
      <c r="BI1406" s="20"/>
    </row>
    <row r="1407" customFormat="false" ht="15" hidden="false" customHeight="false" outlineLevel="0" collapsed="false">
      <c r="A1407" s="0" t="n">
        <v>1</v>
      </c>
      <c r="B1407" s="8" t="s">
        <v>24</v>
      </c>
      <c r="C1407" s="9" t="s">
        <v>25</v>
      </c>
      <c r="D1407" s="9" t="s">
        <v>26</v>
      </c>
      <c r="E1407" s="10" t="n">
        <v>1789</v>
      </c>
      <c r="F1407" s="9" t="s">
        <v>27</v>
      </c>
      <c r="G1407" s="9" t="s">
        <v>27</v>
      </c>
      <c r="H1407" s="11" t="n">
        <v>18</v>
      </c>
      <c r="I1407" s="11" t="s">
        <v>63</v>
      </c>
      <c r="J1407" s="14" t="n">
        <v>27</v>
      </c>
      <c r="K1407" s="14"/>
      <c r="L1407" s="16"/>
      <c r="M1407" s="27" t="n">
        <f aca="false">J1407+(K1407/20)+(L1407/240)</f>
        <v>27</v>
      </c>
      <c r="N1407" s="17" t="s">
        <v>64</v>
      </c>
      <c r="O1407" s="11"/>
      <c r="P1407" s="28"/>
      <c r="Q1407" s="28" t="n">
        <f aca="false">P1407*$M1407</f>
        <v>0</v>
      </c>
      <c r="R1407" s="28"/>
      <c r="S1407" s="28" t="n">
        <f aca="false">R1407*$M1407</f>
        <v>0</v>
      </c>
      <c r="T1407" s="28"/>
      <c r="U1407" s="28" t="n">
        <f aca="false">T1407*$M1407</f>
        <v>0</v>
      </c>
      <c r="V1407" s="28" t="n">
        <f aca="false">700/100</f>
        <v>7</v>
      </c>
      <c r="W1407" s="28" t="n">
        <v>189</v>
      </c>
      <c r="X1407" s="29"/>
      <c r="Y1407" s="28" t="n">
        <v>9506</v>
      </c>
      <c r="Z1407" s="28"/>
      <c r="AA1407" s="28" t="n">
        <f aca="false">Z1407*$M1407</f>
        <v>0</v>
      </c>
      <c r="AB1407" s="28"/>
      <c r="AC1407" s="28" t="n">
        <f aca="false">AB1407*$M1407</f>
        <v>0</v>
      </c>
      <c r="AD1407" s="28"/>
      <c r="AE1407" s="28" t="n">
        <f aca="false">AD1407*$M1407</f>
        <v>0</v>
      </c>
      <c r="AF1407" s="28"/>
      <c r="AG1407" s="28" t="n">
        <f aca="false">AF1407*$M1407</f>
        <v>0</v>
      </c>
      <c r="AH1407" s="28"/>
      <c r="AI1407" s="28" t="n">
        <f aca="false">AH1407*$M1407</f>
        <v>0</v>
      </c>
      <c r="AJ1407" s="28" t="n">
        <f aca="false">72509/100</f>
        <v>725.09</v>
      </c>
      <c r="AK1407" s="28" t="n">
        <v>19577</v>
      </c>
      <c r="AL1407" s="28"/>
      <c r="AM1407" s="28" t="n">
        <f aca="false">AL1407*$M1407</f>
        <v>0</v>
      </c>
      <c r="AN1407" s="28"/>
      <c r="AO1407" s="28" t="n">
        <f aca="false">AN1407*$M1407</f>
        <v>0</v>
      </c>
      <c r="AP1407" s="28"/>
      <c r="AQ1407" s="28" t="n">
        <f aca="false">AP1407*$M1407</f>
        <v>0</v>
      </c>
      <c r="AR1407" s="28" t="n">
        <f aca="false">36750/100</f>
        <v>367.5</v>
      </c>
      <c r="AS1407" s="28" t="n">
        <v>9922</v>
      </c>
      <c r="AT1407" s="28"/>
      <c r="AU1407" s="28" t="n">
        <f aca="false">AT1407*$M1407</f>
        <v>0</v>
      </c>
      <c r="AV1407" s="28"/>
      <c r="AW1407" s="28" t="n">
        <f aca="false">AV1407*$M1407</f>
        <v>0</v>
      </c>
      <c r="AX1407" s="28"/>
      <c r="AY1407" s="28" t="n">
        <f aca="false">AX1407*$M1407</f>
        <v>0</v>
      </c>
      <c r="AZ1407" s="30" t="n">
        <f aca="false">145166/100</f>
        <v>1451.66</v>
      </c>
      <c r="BA1407" s="11" t="n">
        <v>39194</v>
      </c>
      <c r="BB1407" s="31" t="n">
        <f aca="false">SUM(Q1407,S1407,U1407,W1407,Y1407,AA1407,AC1407,AE1407,AG1407,AI1407,AK1407,AM1407,AO1407,AQ1407,AS1407,AU1407,AW1407,AY1407)</f>
        <v>39194</v>
      </c>
      <c r="BC1407" s="28" t="n">
        <f aca="false">BA1407-BB1407</f>
        <v>0</v>
      </c>
      <c r="BD1407" s="32" t="n">
        <f aca="false">SUM(P1407,R1407,T1407,V1407,X1407,Z1407,AB1407,AD1407,AF1407,AH1407,AJ1407,AL1407,AN1407,AP1407,AR1407,AT1407,AV1407,AX1407)</f>
        <v>1099.59</v>
      </c>
      <c r="BE1407" s="33" t="n">
        <f aca="false">AZ1407-BD1407</f>
        <v>352.07</v>
      </c>
      <c r="BF1407" s="34" t="n">
        <f aca="false">BD1407*M1407</f>
        <v>29688.93</v>
      </c>
      <c r="BG1407" s="35" t="n">
        <f aca="false">BA1407-BF1407</f>
        <v>9505.07</v>
      </c>
      <c r="BH1407" s="19" t="str">
        <f aca="false">IF(BG1407=0,"",IF(BG1407&lt;&gt;BA1407,"erreur de calcul",IF(BD1407&lt;&gt;0,"pas de prix",IF(M1407&lt;&gt; 0,"pas de quantité","pas de prix, ni de quantité"))))</f>
        <v>erreur de calcul</v>
      </c>
      <c r="BI1407" s="19"/>
    </row>
    <row r="1408" customFormat="false" ht="15" hidden="false" customHeight="false" outlineLevel="0" collapsed="false">
      <c r="A1408" s="0" t="n">
        <v>2</v>
      </c>
      <c r="B1408" s="8" t="s">
        <v>24</v>
      </c>
      <c r="C1408" s="9" t="s">
        <v>25</v>
      </c>
      <c r="D1408" s="9" t="s">
        <v>26</v>
      </c>
      <c r="E1408" s="10" t="n">
        <v>1789</v>
      </c>
      <c r="F1408" s="9" t="s">
        <v>27</v>
      </c>
      <c r="G1408" s="9" t="s">
        <v>27</v>
      </c>
      <c r="H1408" s="11" t="n">
        <v>18</v>
      </c>
      <c r="I1408" s="11" t="s">
        <v>65</v>
      </c>
      <c r="J1408" s="14"/>
      <c r="K1408" s="14" t="n">
        <v>20</v>
      </c>
      <c r="L1408" s="16"/>
      <c r="M1408" s="27" t="n">
        <f aca="false">J1408+(K1408/20)+(L1408/240)</f>
        <v>1</v>
      </c>
      <c r="N1408" s="17" t="s">
        <v>66</v>
      </c>
      <c r="O1408" s="11"/>
      <c r="P1408" s="28"/>
      <c r="Q1408" s="28" t="n">
        <f aca="false">P1408*$M1408</f>
        <v>0</v>
      </c>
      <c r="R1408" s="28"/>
      <c r="S1408" s="28" t="n">
        <f aca="false">R1408*$M1408</f>
        <v>0</v>
      </c>
      <c r="T1408" s="28"/>
      <c r="U1408" s="28" t="n">
        <f aca="false">T1408*$M1408</f>
        <v>0</v>
      </c>
      <c r="V1408" s="28" t="n">
        <v>2365</v>
      </c>
      <c r="W1408" s="28" t="n">
        <v>2365</v>
      </c>
      <c r="X1408" s="29" t="n">
        <v>234</v>
      </c>
      <c r="Y1408" s="28" t="n">
        <v>234</v>
      </c>
      <c r="Z1408" s="28"/>
      <c r="AA1408" s="28" t="n">
        <f aca="false">Z1408*$M1408</f>
        <v>0</v>
      </c>
      <c r="AB1408" s="28" t="n">
        <v>17776</v>
      </c>
      <c r="AC1408" s="28" t="n">
        <v>17776</v>
      </c>
      <c r="AD1408" s="28"/>
      <c r="AE1408" s="28" t="n">
        <f aca="false">AD1408*$M1408</f>
        <v>0</v>
      </c>
      <c r="AF1408" s="28"/>
      <c r="AG1408" s="28" t="n">
        <f aca="false">AF1408*$M1408</f>
        <v>0</v>
      </c>
      <c r="AH1408" s="28"/>
      <c r="AI1408" s="28" t="n">
        <f aca="false">AH1408*$M1408</f>
        <v>0</v>
      </c>
      <c r="AJ1408" s="28"/>
      <c r="AK1408" s="28" t="n">
        <f aca="false">AJ1408*$M1408</f>
        <v>0</v>
      </c>
      <c r="AL1408" s="28"/>
      <c r="AM1408" s="28" t="n">
        <f aca="false">AL1408*$M1408</f>
        <v>0</v>
      </c>
      <c r="AN1408" s="28"/>
      <c r="AO1408" s="28" t="n">
        <f aca="false">AN1408*$M1408</f>
        <v>0</v>
      </c>
      <c r="AP1408" s="28"/>
      <c r="AQ1408" s="28" t="n">
        <f aca="false">AP1408*$M1408</f>
        <v>0</v>
      </c>
      <c r="AR1408" s="28"/>
      <c r="AS1408" s="28" t="n">
        <f aca="false">AR1408*$M1408</f>
        <v>0</v>
      </c>
      <c r="AT1408" s="28"/>
      <c r="AU1408" s="28" t="n">
        <f aca="false">AT1408*$M1408</f>
        <v>0</v>
      </c>
      <c r="AV1408" s="28"/>
      <c r="AW1408" s="28" t="n">
        <f aca="false">AV1408*$M1408</f>
        <v>0</v>
      </c>
      <c r="AX1408" s="28"/>
      <c r="AY1408" s="28" t="n">
        <f aca="false">AX1408*$M1408</f>
        <v>0</v>
      </c>
      <c r="AZ1408" s="30" t="n">
        <v>20375</v>
      </c>
      <c r="BA1408" s="11" t="n">
        <v>20375</v>
      </c>
      <c r="BB1408" s="31" t="n">
        <f aca="false">SUM(Q1408,S1408,U1408,W1408,Y1408,AA1408,AC1408,AE1408,AG1408,AI1408,AK1408,AM1408,AO1408,AQ1408,AS1408,AU1408,AW1408,AY1408)</f>
        <v>20375</v>
      </c>
      <c r="BC1408" s="28" t="n">
        <f aca="false">BA1408-BB1408</f>
        <v>0</v>
      </c>
      <c r="BD1408" s="32" t="n">
        <f aca="false">SUM(P1408,R1408,T1408,V1408,X1408,Z1408,AB1408,AD1408,AF1408,AH1408,AJ1408,AL1408,AN1408,AP1408,AR1408,AT1408,AV1408,AX1408)</f>
        <v>20375</v>
      </c>
      <c r="BE1408" s="33" t="n">
        <f aca="false">AZ1408-BD1408</f>
        <v>0</v>
      </c>
      <c r="BF1408" s="34" t="n">
        <f aca="false">BD1408*M1408</f>
        <v>20375</v>
      </c>
      <c r="BG1408" s="35" t="n">
        <f aca="false">BA1408-BF1408</f>
        <v>0</v>
      </c>
      <c r="BH1408" s="19" t="str">
        <f aca="false">IF(BG1408=0,"",IF(BG1408&lt;&gt;BA1408,"erreur de calcul",IF(BD1408&lt;&gt;0,"pas de prix",IF(M1408&lt;&gt; 0,"pas de quantité","pas de prix, ni de quantité"))))</f>
        <v/>
      </c>
      <c r="BI1408" s="19"/>
    </row>
    <row r="1409" customFormat="false" ht="15" hidden="false" customHeight="false" outlineLevel="0" collapsed="false">
      <c r="A1409" s="0" t="n">
        <v>3</v>
      </c>
      <c r="B1409" s="8" t="s">
        <v>24</v>
      </c>
      <c r="C1409" s="9" t="s">
        <v>25</v>
      </c>
      <c r="D1409" s="9" t="s">
        <v>26</v>
      </c>
      <c r="E1409" s="10" t="n">
        <v>1789</v>
      </c>
      <c r="F1409" s="9" t="s">
        <v>27</v>
      </c>
      <c r="G1409" s="9" t="s">
        <v>27</v>
      </c>
      <c r="H1409" s="11" t="n">
        <v>18</v>
      </c>
      <c r="I1409" s="11" t="s">
        <v>67</v>
      </c>
      <c r="J1409" s="14" t="n">
        <v>56</v>
      </c>
      <c r="K1409" s="14"/>
      <c r="L1409" s="16"/>
      <c r="M1409" s="27" t="n">
        <f aca="false">J1409+(K1409/20)+(L1409/240)</f>
        <v>56</v>
      </c>
      <c r="N1409" s="17" t="s">
        <v>64</v>
      </c>
      <c r="O1409" s="11"/>
      <c r="P1409" s="28" t="n">
        <f aca="false">27159/100</f>
        <v>271.59</v>
      </c>
      <c r="Q1409" s="28" t="n">
        <v>15209</v>
      </c>
      <c r="R1409" s="28"/>
      <c r="S1409" s="28" t="n">
        <f aca="false">R1409*$M1409</f>
        <v>0</v>
      </c>
      <c r="T1409" s="28" t="n">
        <f aca="false">1044/100</f>
        <v>10.44</v>
      </c>
      <c r="U1409" s="28" t="n">
        <v>585</v>
      </c>
      <c r="V1409" s="28" t="n">
        <f aca="false">1838/100</f>
        <v>18.38</v>
      </c>
      <c r="W1409" s="36" t="n">
        <v>4557</v>
      </c>
      <c r="X1409" s="29"/>
      <c r="Y1409" s="28" t="n">
        <v>2566</v>
      </c>
      <c r="Z1409" s="28"/>
      <c r="AA1409" s="28" t="n">
        <f aca="false">Z1409*$M1409</f>
        <v>0</v>
      </c>
      <c r="AB1409" s="28" t="n">
        <f aca="false">17833/100</f>
        <v>178.33</v>
      </c>
      <c r="AC1409" s="28" t="n">
        <v>9986</v>
      </c>
      <c r="AD1409" s="28"/>
      <c r="AE1409" s="28" t="n">
        <f aca="false">AD1409*$M1409</f>
        <v>0</v>
      </c>
      <c r="AF1409" s="28" t="n">
        <f aca="false">30595/100</f>
        <v>305.95</v>
      </c>
      <c r="AG1409" s="28" t="n">
        <v>17133</v>
      </c>
      <c r="AH1409" s="28"/>
      <c r="AI1409" s="28" t="n">
        <f aca="false">AH1409*$M1409</f>
        <v>0</v>
      </c>
      <c r="AJ1409" s="28"/>
      <c r="AK1409" s="28" t="n">
        <f aca="false">AJ1409*$M1409</f>
        <v>0</v>
      </c>
      <c r="AL1409" s="28"/>
      <c r="AM1409" s="28" t="n">
        <f aca="false">AL1409*$M1409</f>
        <v>0</v>
      </c>
      <c r="AN1409" s="28"/>
      <c r="AO1409" s="28" t="n">
        <f aca="false">AN1409*$M1409</f>
        <v>0</v>
      </c>
      <c r="AP1409" s="28"/>
      <c r="AQ1409" s="28" t="n">
        <f aca="false">AP1409*$M1409</f>
        <v>0</v>
      </c>
      <c r="AR1409" s="28"/>
      <c r="AS1409" s="28" t="n">
        <f aca="false">AR1409*$M1409</f>
        <v>0</v>
      </c>
      <c r="AT1409" s="28"/>
      <c r="AU1409" s="28" t="n">
        <f aca="false">AT1409*$M1409</f>
        <v>0</v>
      </c>
      <c r="AV1409" s="28"/>
      <c r="AW1409" s="28" t="n">
        <f aca="false">AV1409*$M1409</f>
        <v>0</v>
      </c>
      <c r="AX1409" s="28"/>
      <c r="AY1409" s="28" t="n">
        <f aca="false">AX1409*$M1409</f>
        <v>0</v>
      </c>
      <c r="AZ1409" s="30" t="n">
        <f aca="false">83051/100</f>
        <v>830.51</v>
      </c>
      <c r="BA1409" s="11" t="n">
        <v>50036</v>
      </c>
      <c r="BB1409" s="31" t="n">
        <f aca="false">SUM(Q1409,S1409,U1409,W1409,Y1409,AA1409,AC1409,AE1409,AG1409,AI1409,AK1409,AM1409,AO1409,AQ1409,AS1409,AU1409,AW1409,AY1409)</f>
        <v>50036</v>
      </c>
      <c r="BC1409" s="28" t="n">
        <f aca="false">BA1409-BB1409</f>
        <v>0</v>
      </c>
      <c r="BD1409" s="32" t="n">
        <f aca="false">SUM(P1409,R1409,T1409,V1409,X1409,Z1409,AB1409,AD1409,AF1409,AH1409,AJ1409,AL1409,AN1409,AP1409,AR1409,AT1409,AV1409,AX1409)</f>
        <v>784.69</v>
      </c>
      <c r="BE1409" s="33" t="n">
        <f aca="false">AZ1409-BD1409</f>
        <v>45.8199999999999</v>
      </c>
      <c r="BF1409" s="34" t="n">
        <f aca="false">BD1409*M1409</f>
        <v>43942.64</v>
      </c>
      <c r="BG1409" s="35" t="n">
        <f aca="false">BA1409-BF1409</f>
        <v>6093.36</v>
      </c>
      <c r="BH1409" s="19" t="str">
        <f aca="false">IF(BG1409=0,"",IF(BG1409&lt;&gt;BA1409,"erreur de calcul",IF(BD1409&lt;&gt;0,"pas de prix",IF(M1409&lt;&gt; 0,"pas de quantité","pas de prix, ni de quantité"))))</f>
        <v>erreur de calcul</v>
      </c>
      <c r="BI1409" s="19"/>
    </row>
    <row r="1410" customFormat="false" ht="15" hidden="false" customHeight="false" outlineLevel="0" collapsed="false">
      <c r="A1410" s="0" t="n">
        <v>4</v>
      </c>
      <c r="B1410" s="8" t="s">
        <v>24</v>
      </c>
      <c r="C1410" s="9" t="s">
        <v>25</v>
      </c>
      <c r="D1410" s="9" t="s">
        <v>26</v>
      </c>
      <c r="E1410" s="10" t="n">
        <v>1789</v>
      </c>
      <c r="F1410" s="9" t="s">
        <v>27</v>
      </c>
      <c r="G1410" s="9" t="s">
        <v>27</v>
      </c>
      <c r="H1410" s="11" t="n">
        <v>18</v>
      </c>
      <c r="I1410" s="11" t="s">
        <v>68</v>
      </c>
      <c r="J1410" s="14"/>
      <c r="K1410" s="14" t="n">
        <v>30</v>
      </c>
      <c r="L1410" s="16"/>
      <c r="M1410" s="27" t="n">
        <f aca="false">J1410+(K1410/20)+(L1410/240)</f>
        <v>1.5</v>
      </c>
      <c r="N1410" s="17" t="s">
        <v>69</v>
      </c>
      <c r="O1410" s="11"/>
      <c r="P1410" s="28" t="n">
        <v>5460</v>
      </c>
      <c r="Q1410" s="28" t="n">
        <v>8190</v>
      </c>
      <c r="R1410" s="28"/>
      <c r="S1410" s="28" t="n">
        <f aca="false">R1410*$M1410</f>
        <v>0</v>
      </c>
      <c r="T1410" s="28"/>
      <c r="U1410" s="28" t="n">
        <f aca="false">T1410*$M1410</f>
        <v>0</v>
      </c>
      <c r="V1410" s="28" t="n">
        <v>1061</v>
      </c>
      <c r="W1410" s="28" t="n">
        <v>1591</v>
      </c>
      <c r="X1410" s="29"/>
      <c r="Y1410" s="28" t="n">
        <v>5766</v>
      </c>
      <c r="Z1410" s="28"/>
      <c r="AA1410" s="28" t="n">
        <f aca="false">Z1410*$M1410</f>
        <v>0</v>
      </c>
      <c r="AB1410" s="28"/>
      <c r="AC1410" s="28" t="n">
        <f aca="false">AB1410*$M1410</f>
        <v>0</v>
      </c>
      <c r="AD1410" s="28"/>
      <c r="AE1410" s="28" t="n">
        <f aca="false">AD1410*$M1410</f>
        <v>0</v>
      </c>
      <c r="AF1410" s="28"/>
      <c r="AG1410" s="28" t="n">
        <f aca="false">AF1410*$M1410</f>
        <v>0</v>
      </c>
      <c r="AH1410" s="28"/>
      <c r="AI1410" s="28" t="n">
        <f aca="false">AH1410*$M1410</f>
        <v>0</v>
      </c>
      <c r="AJ1410" s="28"/>
      <c r="AK1410" s="28" t="n">
        <f aca="false">AJ1410*$M1410</f>
        <v>0</v>
      </c>
      <c r="AL1410" s="28"/>
      <c r="AM1410" s="28" t="n">
        <f aca="false">AL1410*$M1410</f>
        <v>0</v>
      </c>
      <c r="AN1410" s="28"/>
      <c r="AO1410" s="28" t="n">
        <f aca="false">AN1410*$M1410</f>
        <v>0</v>
      </c>
      <c r="AP1410" s="28"/>
      <c r="AQ1410" s="28" t="n">
        <f aca="false">AP1410*$M1410</f>
        <v>0</v>
      </c>
      <c r="AR1410" s="28"/>
      <c r="AS1410" s="28" t="n">
        <f aca="false">AR1410*$M1410</f>
        <v>0</v>
      </c>
      <c r="AT1410" s="28"/>
      <c r="AU1410" s="28" t="n">
        <f aca="false">AT1410*$M1410</f>
        <v>0</v>
      </c>
      <c r="AV1410" s="28"/>
      <c r="AW1410" s="28" t="n">
        <f aca="false">AV1410*$M1410</f>
        <v>0</v>
      </c>
      <c r="AX1410" s="28"/>
      <c r="AY1410" s="28" t="n">
        <f aca="false">AX1410*$M1410</f>
        <v>0</v>
      </c>
      <c r="AZ1410" s="30" t="n">
        <v>10365</v>
      </c>
      <c r="BA1410" s="11" t="n">
        <v>15547</v>
      </c>
      <c r="BB1410" s="31" t="n">
        <f aca="false">SUM(Q1410,S1410,U1410,W1410,Y1410,AA1410,AC1410,AE1410,AG1410,AI1410,AK1410,AM1410,AO1410,AQ1410,AS1410,AU1410,AW1410,AY1410)</f>
        <v>15547</v>
      </c>
      <c r="BC1410" s="28" t="n">
        <f aca="false">BA1410-BB1410</f>
        <v>0</v>
      </c>
      <c r="BD1410" s="32" t="n">
        <f aca="false">SUM(P1410,R1410,T1410,V1410,X1410,Z1410,AB1410,AD1410,AF1410,AH1410,AJ1410,AL1410,AN1410,AP1410,AR1410,AT1410,AV1410,AX1410)</f>
        <v>6521</v>
      </c>
      <c r="BE1410" s="33" t="n">
        <f aca="false">AZ1410-BD1410</f>
        <v>3844</v>
      </c>
      <c r="BF1410" s="34" t="n">
        <f aca="false">BD1410*M1410</f>
        <v>9781.5</v>
      </c>
      <c r="BG1410" s="35" t="n">
        <f aca="false">BA1410-BF1410</f>
        <v>5765.5</v>
      </c>
      <c r="BH1410" s="19" t="str">
        <f aca="false">IF(BG1410=0,"",IF(BG1410&lt;&gt;BA1410,"erreur de calcul",IF(BD1410&lt;&gt;0,"pas de prix",IF(M1410&lt;&gt; 0,"pas de quantité","pas de prix, ni de quantité"))))</f>
        <v>erreur de calcul</v>
      </c>
      <c r="BI1410" s="19"/>
    </row>
    <row r="1411" customFormat="false" ht="15" hidden="false" customHeight="false" outlineLevel="0" collapsed="false">
      <c r="A1411" s="0" t="n">
        <v>5</v>
      </c>
      <c r="B1411" s="8" t="s">
        <v>24</v>
      </c>
      <c r="C1411" s="9" t="s">
        <v>25</v>
      </c>
      <c r="D1411" s="9" t="s">
        <v>26</v>
      </c>
      <c r="E1411" s="10" t="n">
        <v>1789</v>
      </c>
      <c r="F1411" s="9" t="s">
        <v>27</v>
      </c>
      <c r="G1411" s="9" t="s">
        <v>27</v>
      </c>
      <c r="H1411" s="11" t="n">
        <v>18</v>
      </c>
      <c r="I1411" s="11" t="s">
        <v>70</v>
      </c>
      <c r="J1411" s="14" t="n">
        <v>190</v>
      </c>
      <c r="K1411" s="14"/>
      <c r="L1411" s="16"/>
      <c r="M1411" s="27" t="n">
        <f aca="false">J1411+(K1411/20)+(L1411/240)</f>
        <v>190</v>
      </c>
      <c r="N1411" s="17" t="s">
        <v>64</v>
      </c>
      <c r="O1411" s="11"/>
      <c r="P1411" s="28"/>
      <c r="Q1411" s="28" t="n">
        <f aca="false">P1411*$M1411</f>
        <v>0</v>
      </c>
      <c r="R1411" s="28" t="n">
        <f aca="false">22283/100</f>
        <v>222.83</v>
      </c>
      <c r="S1411" s="28" t="n">
        <v>42338</v>
      </c>
      <c r="T1411" s="28" t="n">
        <f aca="false">1289/100</f>
        <v>12.89</v>
      </c>
      <c r="U1411" s="28" t="n">
        <v>2449</v>
      </c>
      <c r="V1411" s="28"/>
      <c r="W1411" s="28" t="n">
        <f aca="false">V1411*$M1411</f>
        <v>0</v>
      </c>
      <c r="X1411" s="29"/>
      <c r="Y1411" s="28" t="n">
        <f aca="false">X1411*$M1411</f>
        <v>0</v>
      </c>
      <c r="Z1411" s="28"/>
      <c r="AA1411" s="28" t="n">
        <f aca="false">Z1411*$M1411</f>
        <v>0</v>
      </c>
      <c r="AB1411" s="28"/>
      <c r="AC1411" s="28" t="n">
        <f aca="false">AB1411*$M1411</f>
        <v>0</v>
      </c>
      <c r="AD1411" s="28"/>
      <c r="AE1411" s="28" t="n">
        <f aca="false">AD1411*$M1411</f>
        <v>0</v>
      </c>
      <c r="AF1411" s="28"/>
      <c r="AG1411" s="28" t="n">
        <f aca="false">AF1411*$M1411</f>
        <v>0</v>
      </c>
      <c r="AH1411" s="28"/>
      <c r="AI1411" s="28" t="n">
        <f aca="false">AH1411*$M1411</f>
        <v>0</v>
      </c>
      <c r="AJ1411" s="28"/>
      <c r="AK1411" s="28" t="n">
        <f aca="false">AJ1411*$M1411</f>
        <v>0</v>
      </c>
      <c r="AL1411" s="28"/>
      <c r="AM1411" s="28" t="n">
        <f aca="false">AL1411*$M1411</f>
        <v>0</v>
      </c>
      <c r="AN1411" s="28"/>
      <c r="AO1411" s="28" t="n">
        <f aca="false">AN1411*$M1411</f>
        <v>0</v>
      </c>
      <c r="AP1411" s="28"/>
      <c r="AQ1411" s="28" t="n">
        <f aca="false">AP1411*$M1411</f>
        <v>0</v>
      </c>
      <c r="AR1411" s="28"/>
      <c r="AS1411" s="28" t="n">
        <f aca="false">AR1411*$M1411</f>
        <v>0</v>
      </c>
      <c r="AT1411" s="28"/>
      <c r="AU1411" s="28" t="n">
        <f aca="false">AT1411*$M1411</f>
        <v>0</v>
      </c>
      <c r="AV1411" s="28"/>
      <c r="AW1411" s="28" t="n">
        <f aca="false">AV1411*$M1411</f>
        <v>0</v>
      </c>
      <c r="AX1411" s="28"/>
      <c r="AY1411" s="28" t="n">
        <f aca="false">AX1411*$M1411</f>
        <v>0</v>
      </c>
      <c r="AZ1411" s="30" t="n">
        <f aca="false">23572/100</f>
        <v>235.72</v>
      </c>
      <c r="BA1411" s="11" t="n">
        <v>44787</v>
      </c>
      <c r="BB1411" s="31" t="n">
        <f aca="false">SUM(Q1411,S1411,U1411,W1411,Y1411,AA1411,AC1411,AE1411,AG1411,AI1411,AK1411,AM1411,AO1411,AQ1411,AS1411,AU1411,AW1411,AY1411)</f>
        <v>44787</v>
      </c>
      <c r="BC1411" s="28" t="n">
        <f aca="false">BA1411-BB1411</f>
        <v>0</v>
      </c>
      <c r="BD1411" s="32" t="n">
        <f aca="false">SUM(P1411,R1411,T1411,V1411,X1411,Z1411,AB1411,AD1411,AF1411,AH1411,AJ1411,AL1411,AN1411,AP1411,AR1411,AT1411,AV1411,AX1411)</f>
        <v>235.72</v>
      </c>
      <c r="BE1411" s="33" t="n">
        <f aca="false">AZ1411-BD1411</f>
        <v>0</v>
      </c>
      <c r="BF1411" s="34" t="n">
        <f aca="false">BD1411*M1411</f>
        <v>44786.8</v>
      </c>
      <c r="BG1411" s="35" t="n">
        <f aca="false">BA1411-BF1411</f>
        <v>0.19999999999709</v>
      </c>
      <c r="BH1411" s="19" t="str">
        <f aca="false">IF(BG1411=0,"",IF(BG1411&lt;&gt;BA1411,"erreur de calcul",IF(BD1411&lt;&gt;0,"pas de prix",IF(M1411&lt;&gt; 0,"pas de quantité","pas de prix, ni de quantité"))))</f>
        <v>erreur de calcul</v>
      </c>
      <c r="BI1411" s="19"/>
    </row>
    <row r="1412" customFormat="false" ht="15" hidden="false" customHeight="false" outlineLevel="0" collapsed="false">
      <c r="A1412" s="0" t="n">
        <v>6</v>
      </c>
      <c r="B1412" s="8" t="s">
        <v>24</v>
      </c>
      <c r="C1412" s="9" t="s">
        <v>25</v>
      </c>
      <c r="D1412" s="9" t="s">
        <v>26</v>
      </c>
      <c r="E1412" s="10" t="n">
        <v>1789</v>
      </c>
      <c r="F1412" s="9" t="s">
        <v>27</v>
      </c>
      <c r="G1412" s="9" t="s">
        <v>27</v>
      </c>
      <c r="H1412" s="11" t="n">
        <v>18</v>
      </c>
      <c r="I1412" s="11" t="s">
        <v>71</v>
      </c>
      <c r="J1412" s="14" t="n">
        <v>60</v>
      </c>
      <c r="K1412" s="14"/>
      <c r="L1412" s="16"/>
      <c r="M1412" s="27" t="n">
        <f aca="false">J1412+(K1412/20)+(L1412/240)</f>
        <v>60</v>
      </c>
      <c r="N1412" s="17" t="s">
        <v>64</v>
      </c>
      <c r="O1412" s="11"/>
      <c r="P1412" s="28" t="n">
        <f aca="false">674/100</f>
        <v>6.74</v>
      </c>
      <c r="Q1412" s="28" t="n">
        <v>404</v>
      </c>
      <c r="R1412" s="28"/>
      <c r="S1412" s="28" t="n">
        <f aca="false">R1412*$M1412</f>
        <v>0</v>
      </c>
      <c r="T1412" s="28"/>
      <c r="U1412" s="28" t="n">
        <f aca="false">T1412*$M1412</f>
        <v>0</v>
      </c>
      <c r="V1412" s="28"/>
      <c r="W1412" s="28" t="n">
        <f aca="false">V1412*$M1412</f>
        <v>0</v>
      </c>
      <c r="X1412" s="29"/>
      <c r="Y1412" s="28" t="n">
        <f aca="false">X1412*$M1412</f>
        <v>0</v>
      </c>
      <c r="Z1412" s="28"/>
      <c r="AA1412" s="28" t="n">
        <f aca="false">Z1412*$M1412</f>
        <v>0</v>
      </c>
      <c r="AB1412" s="28"/>
      <c r="AC1412" s="28" t="n">
        <f aca="false">AB1412*$M1412</f>
        <v>0</v>
      </c>
      <c r="AD1412" s="28"/>
      <c r="AE1412" s="28" t="n">
        <f aca="false">AD1412*$M1412</f>
        <v>0</v>
      </c>
      <c r="AF1412" s="28"/>
      <c r="AG1412" s="28" t="n">
        <f aca="false">AF1412*$M1412</f>
        <v>0</v>
      </c>
      <c r="AH1412" s="28"/>
      <c r="AI1412" s="28" t="n">
        <f aca="false">AH1412*$M1412</f>
        <v>0</v>
      </c>
      <c r="AJ1412" s="28" t="n">
        <f aca="false">1133/100</f>
        <v>11.33</v>
      </c>
      <c r="AK1412" s="28" t="n">
        <v>680</v>
      </c>
      <c r="AL1412" s="28" t="n">
        <f aca="false">3140/100</f>
        <v>31.4</v>
      </c>
      <c r="AM1412" s="28" t="n">
        <v>1884</v>
      </c>
      <c r="AN1412" s="28"/>
      <c r="AO1412" s="28" t="n">
        <f aca="false">AN1412*$M1412</f>
        <v>0</v>
      </c>
      <c r="AP1412" s="28"/>
      <c r="AQ1412" s="28" t="n">
        <f aca="false">AP1412*$M1412</f>
        <v>0</v>
      </c>
      <c r="AR1412" s="28"/>
      <c r="AS1412" s="28" t="n">
        <f aca="false">AR1412*$M1412</f>
        <v>0</v>
      </c>
      <c r="AT1412" s="28"/>
      <c r="AU1412" s="28" t="n">
        <f aca="false">AT1412*$M1412</f>
        <v>0</v>
      </c>
      <c r="AV1412" s="28"/>
      <c r="AW1412" s="28" t="n">
        <f aca="false">AV1412*$M1412</f>
        <v>0</v>
      </c>
      <c r="AX1412" s="28"/>
      <c r="AY1412" s="28" t="n">
        <f aca="false">AX1412*$M1412</f>
        <v>0</v>
      </c>
      <c r="AZ1412" s="30" t="n">
        <f aca="false">4947/100</f>
        <v>49.47</v>
      </c>
      <c r="BA1412" s="11" t="n">
        <v>2968</v>
      </c>
      <c r="BB1412" s="31" t="n">
        <f aca="false">SUM(Q1412,S1412,U1412,W1412,Y1412,AA1412,AC1412,AE1412,AG1412,AI1412,AK1412,AM1412,AO1412,AQ1412,AS1412,AU1412,AW1412,AY1412)</f>
        <v>2968</v>
      </c>
      <c r="BC1412" s="28" t="n">
        <f aca="false">BA1412-BB1412</f>
        <v>0</v>
      </c>
      <c r="BD1412" s="32" t="n">
        <f aca="false">SUM(P1412,R1412,T1412,V1412,X1412,Z1412,AB1412,AD1412,AF1412,AH1412,AJ1412,AL1412,AN1412,AP1412,AR1412,AT1412,AV1412,AX1412)</f>
        <v>49.47</v>
      </c>
      <c r="BE1412" s="33" t="n">
        <f aca="false">AZ1412-BD1412</f>
        <v>0</v>
      </c>
      <c r="BF1412" s="34" t="n">
        <f aca="false">BD1412*M1412</f>
        <v>2968.2</v>
      </c>
      <c r="BG1412" s="35" t="n">
        <f aca="false">BA1412-BF1412</f>
        <v>-0.199999999999818</v>
      </c>
      <c r="BH1412" s="19" t="str">
        <f aca="false">IF(BG1412=0,"",IF(BG1412&lt;&gt;BA1412,"erreur de calcul",IF(BD1412&lt;&gt;0,"pas de prix",IF(M1412&lt;&gt; 0,"pas de quantité","pas de prix, ni de quantité"))))</f>
        <v>erreur de calcul</v>
      </c>
      <c r="BI1412" s="19"/>
    </row>
    <row r="1413" customFormat="false" ht="15" hidden="false" customHeight="false" outlineLevel="0" collapsed="false">
      <c r="A1413" s="0" t="n">
        <v>7</v>
      </c>
      <c r="B1413" s="8" t="s">
        <v>24</v>
      </c>
      <c r="C1413" s="9" t="s">
        <v>25</v>
      </c>
      <c r="D1413" s="9" t="s">
        <v>26</v>
      </c>
      <c r="E1413" s="10" t="n">
        <v>1789</v>
      </c>
      <c r="F1413" s="9" t="s">
        <v>27</v>
      </c>
      <c r="G1413" s="9" t="s">
        <v>27</v>
      </c>
      <c r="H1413" s="11" t="n">
        <v>18</v>
      </c>
      <c r="I1413" s="11" t="s">
        <v>72</v>
      </c>
      <c r="J1413" s="14" t="n">
        <v>15</v>
      </c>
      <c r="K1413" s="14"/>
      <c r="L1413" s="16"/>
      <c r="M1413" s="27" t="n">
        <f aca="false">J1413+(K1413/20)+(L1413/240)</f>
        <v>15</v>
      </c>
      <c r="N1413" s="17" t="s">
        <v>64</v>
      </c>
      <c r="O1413" s="11"/>
      <c r="P1413" s="28"/>
      <c r="Q1413" s="28" t="n">
        <f aca="false">P1413*$M1413</f>
        <v>0</v>
      </c>
      <c r="R1413" s="28"/>
      <c r="S1413" s="28" t="n">
        <f aca="false">R1413*$M1413</f>
        <v>0</v>
      </c>
      <c r="T1413" s="28"/>
      <c r="U1413" s="28" t="n">
        <f aca="false">T1413*$M1413</f>
        <v>0</v>
      </c>
      <c r="V1413" s="28"/>
      <c r="W1413" s="28" t="n">
        <f aca="false">V1413*$M1413</f>
        <v>0</v>
      </c>
      <c r="X1413" s="29"/>
      <c r="Y1413" s="28" t="n">
        <f aca="false">X1413*$M1413</f>
        <v>0</v>
      </c>
      <c r="Z1413" s="28"/>
      <c r="AA1413" s="28" t="n">
        <f aca="false">Z1413*$M1413</f>
        <v>0</v>
      </c>
      <c r="AB1413" s="28"/>
      <c r="AC1413" s="28" t="n">
        <f aca="false">AB1413*$M1413</f>
        <v>0</v>
      </c>
      <c r="AD1413" s="28"/>
      <c r="AE1413" s="28" t="n">
        <f aca="false">AD1413*$M1413</f>
        <v>0</v>
      </c>
      <c r="AF1413" s="28"/>
      <c r="AG1413" s="28" t="n">
        <f aca="false">AF1413*$M1413</f>
        <v>0</v>
      </c>
      <c r="AH1413" s="28"/>
      <c r="AI1413" s="28" t="n">
        <f aca="false">AH1413*$M1413</f>
        <v>0</v>
      </c>
      <c r="AJ1413" s="28" t="n">
        <f aca="false">119*288*0.02+88*0.02</f>
        <v>687.2</v>
      </c>
      <c r="AK1413" s="28" t="n">
        <v>10308</v>
      </c>
      <c r="AL1413" s="28"/>
      <c r="AM1413" s="28" t="n">
        <f aca="false">AL1413*$M1413</f>
        <v>0</v>
      </c>
      <c r="AN1413" s="28"/>
      <c r="AO1413" s="28" t="n">
        <f aca="false">AN1413*$M1413</f>
        <v>0</v>
      </c>
      <c r="AP1413" s="28"/>
      <c r="AQ1413" s="28" t="n">
        <f aca="false">AP1413*$M1413</f>
        <v>0</v>
      </c>
      <c r="AR1413" s="28"/>
      <c r="AS1413" s="28" t="n">
        <f aca="false">AR1413*$M1413</f>
        <v>0</v>
      </c>
      <c r="AT1413" s="28"/>
      <c r="AU1413" s="28" t="n">
        <f aca="false">AT1413*$M1413</f>
        <v>0</v>
      </c>
      <c r="AV1413" s="28"/>
      <c r="AW1413" s="28" t="n">
        <f aca="false">AV1413*$M1413</f>
        <v>0</v>
      </c>
      <c r="AX1413" s="28"/>
      <c r="AY1413" s="28" t="n">
        <f aca="false">AX1413*$M1413</f>
        <v>0</v>
      </c>
      <c r="AZ1413" s="30" t="n">
        <f aca="false">119*288*0.02+88*0.02</f>
        <v>687.2</v>
      </c>
      <c r="BA1413" s="11" t="n">
        <v>10308</v>
      </c>
      <c r="BB1413" s="31" t="n">
        <f aca="false">SUM(Q1413,S1413,U1413,W1413,Y1413,AA1413,AC1413,AE1413,AG1413,AI1413,AK1413,AM1413,AO1413,AQ1413,AS1413,AU1413,AW1413,AY1413)</f>
        <v>10308</v>
      </c>
      <c r="BC1413" s="28" t="n">
        <f aca="false">BA1413-BB1413</f>
        <v>0</v>
      </c>
      <c r="BD1413" s="32" t="n">
        <f aca="false">SUM(P1413,R1413,T1413,V1413,X1413,Z1413,AB1413,AD1413,AF1413,AH1413,AJ1413,AL1413,AN1413,AP1413,AR1413,AT1413,AV1413,AX1413)</f>
        <v>687.2</v>
      </c>
      <c r="BE1413" s="33" t="n">
        <f aca="false">AZ1413-BD1413</f>
        <v>0</v>
      </c>
      <c r="BF1413" s="34" t="n">
        <f aca="false">BD1413*M1413</f>
        <v>10308</v>
      </c>
      <c r="BG1413" s="35" t="n">
        <f aca="false">BA1413-BF1413</f>
        <v>0</v>
      </c>
      <c r="BH1413" s="19" t="str">
        <f aca="false">IF(BG1413=0,"",IF(BG1413&lt;&gt;BA1413,"erreur de calcul",IF(BD1413&lt;&gt;0,"pas de prix",IF(M1413&lt;&gt; 0,"pas de quantité","pas de prix, ni de quantité"))))</f>
        <v/>
      </c>
      <c r="BI1413" s="19"/>
    </row>
    <row r="1414" customFormat="false" ht="15" hidden="false" customHeight="false" outlineLevel="0" collapsed="false">
      <c r="A1414" s="0" t="n">
        <v>8</v>
      </c>
      <c r="B1414" s="8" t="s">
        <v>24</v>
      </c>
      <c r="C1414" s="9" t="s">
        <v>25</v>
      </c>
      <c r="D1414" s="9" t="s">
        <v>26</v>
      </c>
      <c r="E1414" s="10" t="n">
        <v>1789</v>
      </c>
      <c r="F1414" s="9" t="s">
        <v>27</v>
      </c>
      <c r="G1414" s="9" t="s">
        <v>27</v>
      </c>
      <c r="H1414" s="11" t="n">
        <v>18</v>
      </c>
      <c r="I1414" s="11" t="s">
        <v>73</v>
      </c>
      <c r="J1414" s="14"/>
      <c r="K1414" s="14"/>
      <c r="L1414" s="16"/>
      <c r="M1414" s="27" t="n">
        <f aca="false">J1414+(K1414/20)+(L1414/240)</f>
        <v>0</v>
      </c>
      <c r="N1414" s="17"/>
      <c r="O1414" s="11"/>
      <c r="P1414" s="28"/>
      <c r="Q1414" s="28" t="n">
        <f aca="false">P1414*$M1414</f>
        <v>0</v>
      </c>
      <c r="R1414" s="28"/>
      <c r="S1414" s="28" t="n">
        <f aca="false">R1414*$M1414</f>
        <v>0</v>
      </c>
      <c r="T1414" s="28"/>
      <c r="U1414" s="28" t="n">
        <v>3356</v>
      </c>
      <c r="V1414" s="28"/>
      <c r="W1414" s="28" t="n">
        <v>1444</v>
      </c>
      <c r="X1414" s="29"/>
      <c r="Y1414" s="28" t="n">
        <f aca="false">X1414*$M1414</f>
        <v>0</v>
      </c>
      <c r="Z1414" s="28"/>
      <c r="AA1414" s="28" t="n">
        <f aca="false">Z1414*$M1414</f>
        <v>0</v>
      </c>
      <c r="AB1414" s="28"/>
      <c r="AC1414" s="28" t="n">
        <f aca="false">AB1414*$M1414</f>
        <v>0</v>
      </c>
      <c r="AD1414" s="28"/>
      <c r="AE1414" s="28" t="n">
        <f aca="false">AD1414*$M1414</f>
        <v>0</v>
      </c>
      <c r="AF1414" s="28"/>
      <c r="AG1414" s="28" t="n">
        <f aca="false">AF1414*$M1414</f>
        <v>0</v>
      </c>
      <c r="AH1414" s="28"/>
      <c r="AI1414" s="28" t="n">
        <f aca="false">AH1414*$M1414</f>
        <v>0</v>
      </c>
      <c r="AJ1414" s="28"/>
      <c r="AK1414" s="28" t="n">
        <f aca="false">AJ1414*$M1414</f>
        <v>0</v>
      </c>
      <c r="AL1414" s="28"/>
      <c r="AM1414" s="28" t="n">
        <f aca="false">AL1414*$M1414</f>
        <v>0</v>
      </c>
      <c r="AN1414" s="28"/>
      <c r="AO1414" s="28" t="n">
        <f aca="false">AN1414*$M1414</f>
        <v>0</v>
      </c>
      <c r="AP1414" s="28"/>
      <c r="AQ1414" s="28" t="n">
        <f aca="false">AP1414*$M1414</f>
        <v>0</v>
      </c>
      <c r="AR1414" s="28"/>
      <c r="AS1414" s="28" t="n">
        <f aca="false">AR1414*$M1414</f>
        <v>0</v>
      </c>
      <c r="AT1414" s="28"/>
      <c r="AU1414" s="28" t="n">
        <f aca="false">AT1414*$M1414</f>
        <v>0</v>
      </c>
      <c r="AV1414" s="28"/>
      <c r="AW1414" s="28" t="n">
        <f aca="false">AV1414*$M1414</f>
        <v>0</v>
      </c>
      <c r="AX1414" s="28"/>
      <c r="AY1414" s="28" t="n">
        <f aca="false">AX1414*$M1414</f>
        <v>0</v>
      </c>
      <c r="AZ1414" s="30"/>
      <c r="BA1414" s="11" t="n">
        <v>4800</v>
      </c>
      <c r="BB1414" s="31" t="n">
        <f aca="false">SUM(Q1414,S1414,U1414,W1414,Y1414,AA1414,AC1414,AE1414,AG1414,AI1414,AK1414,AM1414,AO1414,AQ1414,AS1414,AU1414,AW1414,AY1414)</f>
        <v>4800</v>
      </c>
      <c r="BC1414" s="28" t="n">
        <f aca="false">BA1414-BB1414</f>
        <v>0</v>
      </c>
      <c r="BD1414" s="32" t="n">
        <f aca="false">SUM(P1414,R1414,T1414,V1414,X1414,Z1414,AB1414,AD1414,AF1414,AH1414,AJ1414,AL1414,AN1414,AP1414,AR1414,AT1414,AV1414,AX1414)</f>
        <v>0</v>
      </c>
      <c r="BE1414" s="33" t="n">
        <f aca="false">AZ1414-BD1414</f>
        <v>0</v>
      </c>
      <c r="BF1414" s="34" t="n">
        <f aca="false">BD1414*M1414</f>
        <v>0</v>
      </c>
      <c r="BG1414" s="35" t="n">
        <f aca="false">BA1414-BF1414</f>
        <v>4800</v>
      </c>
      <c r="BH1414" s="19" t="str">
        <f aca="false">IF(BG1414=0,"",IF(BG1414&lt;&gt;BA1414,"erreur de calcul",IF(BD1414&lt;&gt;0,"pas de prix",IF(M1414&lt;&gt; 0,"pas de quantité","pas de prix, ni de quantité"))))</f>
        <v>pas de prix, ni de quantité</v>
      </c>
      <c r="BI1414" s="19"/>
    </row>
    <row r="1415" customFormat="false" ht="15" hidden="false" customHeight="false" outlineLevel="0" collapsed="false">
      <c r="A1415" s="0" t="n">
        <v>9</v>
      </c>
      <c r="B1415" s="8" t="s">
        <v>24</v>
      </c>
      <c r="C1415" s="9" t="s">
        <v>25</v>
      </c>
      <c r="D1415" s="9" t="s">
        <v>26</v>
      </c>
      <c r="E1415" s="10" t="n">
        <v>1789</v>
      </c>
      <c r="F1415" s="9" t="s">
        <v>27</v>
      </c>
      <c r="G1415" s="9" t="s">
        <v>27</v>
      </c>
      <c r="H1415" s="11" t="n">
        <v>18</v>
      </c>
      <c r="I1415" s="11" t="s">
        <v>74</v>
      </c>
      <c r="J1415" s="14"/>
      <c r="K1415" s="14"/>
      <c r="L1415" s="16"/>
      <c r="M1415" s="27" t="n">
        <f aca="false">J1415+(K1415/20)+(L1415/240)</f>
        <v>0</v>
      </c>
      <c r="N1415" s="17" t="s">
        <v>66</v>
      </c>
      <c r="O1415" s="11"/>
      <c r="P1415" s="28"/>
      <c r="Q1415" s="28" t="n">
        <f aca="false">P1415*$M1415</f>
        <v>0</v>
      </c>
      <c r="R1415" s="28"/>
      <c r="S1415" s="28" t="n">
        <f aca="false">R1415*$M1415</f>
        <v>0</v>
      </c>
      <c r="T1415" s="28"/>
      <c r="U1415" s="28" t="n">
        <f aca="false">T1415*$M1415</f>
        <v>0</v>
      </c>
      <c r="V1415" s="28"/>
      <c r="W1415" s="28" t="n">
        <f aca="false">V1415*$M1415</f>
        <v>0</v>
      </c>
      <c r="X1415" s="29"/>
      <c r="Y1415" s="28"/>
      <c r="Z1415" s="28"/>
      <c r="AA1415" s="28" t="n">
        <f aca="false">Z1415*$M1415</f>
        <v>0</v>
      </c>
      <c r="AB1415" s="28"/>
      <c r="AC1415" s="28" t="n">
        <f aca="false">AB1415*$M1415</f>
        <v>0</v>
      </c>
      <c r="AD1415" s="28"/>
      <c r="AE1415" s="28" t="n">
        <f aca="false">AD1415*$M1415</f>
        <v>0</v>
      </c>
      <c r="AF1415" s="28"/>
      <c r="AG1415" s="28" t="n">
        <f aca="false">AF1415*$M1415</f>
        <v>0</v>
      </c>
      <c r="AH1415" s="28" t="n">
        <v>45346</v>
      </c>
      <c r="AI1415" s="28" t="n">
        <v>3174</v>
      </c>
      <c r="AJ1415" s="28"/>
      <c r="AK1415" s="28" t="n">
        <f aca="false">AJ1415*$M1415</f>
        <v>0</v>
      </c>
      <c r="AL1415" s="28"/>
      <c r="AM1415" s="28" t="n">
        <f aca="false">AL1415*$M1415</f>
        <v>0</v>
      </c>
      <c r="AN1415" s="28"/>
      <c r="AO1415" s="28" t="n">
        <f aca="false">AN1415*$M1415</f>
        <v>0</v>
      </c>
      <c r="AP1415" s="28"/>
      <c r="AQ1415" s="28" t="n">
        <f aca="false">AP1415*$M1415</f>
        <v>0</v>
      </c>
      <c r="AR1415" s="28"/>
      <c r="AS1415" s="28" t="n">
        <f aca="false">AR1415*$M1415</f>
        <v>0</v>
      </c>
      <c r="AT1415" s="28"/>
      <c r="AU1415" s="28" t="n">
        <f aca="false">AT1415*$M1415</f>
        <v>0</v>
      </c>
      <c r="AV1415" s="28"/>
      <c r="AW1415" s="28" t="n">
        <f aca="false">AV1415*$M1415</f>
        <v>0</v>
      </c>
      <c r="AX1415" s="28"/>
      <c r="AY1415" s="28" t="n">
        <f aca="false">AX1415*$M1415</f>
        <v>0</v>
      </c>
      <c r="AZ1415" s="30" t="n">
        <v>45346</v>
      </c>
      <c r="BA1415" s="11" t="n">
        <v>3174</v>
      </c>
      <c r="BB1415" s="31" t="n">
        <f aca="false">SUM(Q1415,S1415,U1415,W1415,Y1415,AA1415,AC1415,AE1415,AG1415,AI1415,AK1415,AM1415,AO1415,AQ1415,AS1415,AU1415,AW1415,AY1415)</f>
        <v>3174</v>
      </c>
      <c r="BC1415" s="28" t="n">
        <f aca="false">BA1415-BB1415</f>
        <v>0</v>
      </c>
      <c r="BD1415" s="32" t="n">
        <f aca="false">SUM(P1415,R1415,T1415,V1415,X1415,Z1415,AB1415,AD1415,AF1415,AH1415,AJ1415,AL1415,AN1415,AP1415,AR1415,AT1415,AV1415,AX1415)</f>
        <v>45346</v>
      </c>
      <c r="BE1415" s="33" t="n">
        <f aca="false">AZ1415-BD1415</f>
        <v>0</v>
      </c>
      <c r="BF1415" s="34" t="n">
        <f aca="false">BD1415*M1415</f>
        <v>0</v>
      </c>
      <c r="BG1415" s="35" t="n">
        <f aca="false">BA1415-BF1415</f>
        <v>3174</v>
      </c>
      <c r="BH1415" s="19" t="str">
        <f aca="false">IF(BG1415=0,"",IF(BG1415&lt;&gt;BA1415,"erreur de calcul",IF(BD1415&lt;&gt;0,"pas de prix",IF(M1415&lt;&gt; 0,"pas de quantité","pas de prix, ni de quantité"))))</f>
        <v>pas de prix</v>
      </c>
      <c r="BI1415" s="19" t="s">
        <v>75</v>
      </c>
    </row>
    <row r="1416" customFormat="false" ht="15" hidden="false" customHeight="false" outlineLevel="0" collapsed="false">
      <c r="A1416" s="0" t="n">
        <v>10</v>
      </c>
      <c r="B1416" s="8" t="s">
        <v>24</v>
      </c>
      <c r="C1416" s="9" t="s">
        <v>25</v>
      </c>
      <c r="D1416" s="9" t="s">
        <v>26</v>
      </c>
      <c r="E1416" s="10" t="n">
        <v>1789</v>
      </c>
      <c r="F1416" s="9" t="s">
        <v>27</v>
      </c>
      <c r="G1416" s="9" t="s">
        <v>27</v>
      </c>
      <c r="H1416" s="11" t="n">
        <v>18</v>
      </c>
      <c r="I1416" s="11" t="s">
        <v>76</v>
      </c>
      <c r="J1416" s="14"/>
      <c r="K1416" s="14" t="n">
        <v>20</v>
      </c>
      <c r="L1416" s="16"/>
      <c r="M1416" s="27" t="n">
        <f aca="false">J1416+(K1416/20)+(L1416/240)</f>
        <v>1</v>
      </c>
      <c r="N1416" s="17" t="s">
        <v>64</v>
      </c>
      <c r="O1416" s="11" t="s">
        <v>77</v>
      </c>
      <c r="P1416" s="28" t="n">
        <f aca="false">66667/100</f>
        <v>666.67</v>
      </c>
      <c r="Q1416" s="28" t="n">
        <v>667</v>
      </c>
      <c r="R1416" s="28"/>
      <c r="S1416" s="28" t="n">
        <f aca="false">R1416*$M1416</f>
        <v>0</v>
      </c>
      <c r="T1416" s="28"/>
      <c r="U1416" s="28" t="n">
        <f aca="false">T1416*$M1416</f>
        <v>0</v>
      </c>
      <c r="V1416" s="28" t="n">
        <f aca="false">281532/100</f>
        <v>2815.32</v>
      </c>
      <c r="W1416" s="28" t="n">
        <v>2815</v>
      </c>
      <c r="X1416" s="29" t="n">
        <f aca="false">366667/100</f>
        <v>3666.67</v>
      </c>
      <c r="Y1416" s="28" t="n">
        <v>3666</v>
      </c>
      <c r="Z1416" s="28" t="n">
        <f aca="false">33334/100</f>
        <v>333.34</v>
      </c>
      <c r="AA1416" s="28" t="n">
        <v>333</v>
      </c>
      <c r="AB1416" s="28"/>
      <c r="AC1416" s="28" t="n">
        <f aca="false">AB1416*$M1416</f>
        <v>0</v>
      </c>
      <c r="AD1416" s="28"/>
      <c r="AE1416" s="28" t="n">
        <f aca="false">AD1416*$M1416</f>
        <v>0</v>
      </c>
      <c r="AF1416" s="28"/>
      <c r="AG1416" s="28" t="n">
        <f aca="false">AF1416*$M1416</f>
        <v>0</v>
      </c>
      <c r="AH1416" s="28"/>
      <c r="AI1416" s="28" t="n">
        <f aca="false">AH1416*$M1416</f>
        <v>0</v>
      </c>
      <c r="AJ1416" s="28"/>
      <c r="AK1416" s="28" t="n">
        <f aca="false">AJ1416*$M1416</f>
        <v>0</v>
      </c>
      <c r="AL1416" s="28"/>
      <c r="AM1416" s="28" t="n">
        <f aca="false">AL1416*$M1416</f>
        <v>0</v>
      </c>
      <c r="AN1416" s="28"/>
      <c r="AO1416" s="28" t="n">
        <f aca="false">AN1416*$M1416</f>
        <v>0</v>
      </c>
      <c r="AP1416" s="28"/>
      <c r="AQ1416" s="28" t="n">
        <f aca="false">AP1416*$M1416</f>
        <v>0</v>
      </c>
      <c r="AR1416" s="28"/>
      <c r="AS1416" s="28" t="n">
        <f aca="false">AR1416*$M1416</f>
        <v>0</v>
      </c>
      <c r="AT1416" s="28"/>
      <c r="AU1416" s="28" t="n">
        <f aca="false">AT1416*$M1416</f>
        <v>0</v>
      </c>
      <c r="AV1416" s="28"/>
      <c r="AW1416" s="28" t="n">
        <f aca="false">AV1416*$M1416</f>
        <v>0</v>
      </c>
      <c r="AX1416" s="28"/>
      <c r="AY1416" s="28" t="n">
        <f aca="false">AX1416*$M1416</f>
        <v>0</v>
      </c>
      <c r="AZ1416" s="30" t="n">
        <f aca="false">748200/100</f>
        <v>7482</v>
      </c>
      <c r="BA1416" s="11" t="n">
        <v>7481</v>
      </c>
      <c r="BB1416" s="31" t="n">
        <f aca="false">SUM(Q1416,S1416,U1416,W1416,Y1416,AA1416,AC1416,AE1416,AG1416,AI1416,AK1416,AM1416,AO1416,AQ1416,AS1416,AU1416,AW1416,AY1416)</f>
        <v>7481</v>
      </c>
      <c r="BC1416" s="28" t="n">
        <f aca="false">BA1416-BB1416</f>
        <v>0</v>
      </c>
      <c r="BD1416" s="32" t="n">
        <f aca="false">SUM(P1416,R1416,T1416,V1416,X1416,Z1416,AB1416,AD1416,AF1416,AH1416,AJ1416,AL1416,AN1416,AP1416,AR1416,AT1416,AV1416,AX1416)</f>
        <v>7482</v>
      </c>
      <c r="BE1416" s="33" t="n">
        <f aca="false">AZ1416-BD1416</f>
        <v>0</v>
      </c>
      <c r="BF1416" s="34" t="n">
        <f aca="false">BD1416*M1416</f>
        <v>7482</v>
      </c>
      <c r="BG1416" s="35" t="n">
        <f aca="false">BA1416-BF1416</f>
        <v>-1</v>
      </c>
      <c r="BH1416" s="19" t="str">
        <f aca="false">IF(BG1416=0,"",IF(BG1416&lt;&gt;BA1416,"erreur de calcul",IF(BD1416&lt;&gt;0,"pas de prix",IF(M1416&lt;&gt; 0,"pas de quantité","pas de prix, ni de quantité"))))</f>
        <v>erreur de calcul</v>
      </c>
      <c r="BI1416" s="19"/>
    </row>
    <row r="1417" customFormat="false" ht="15" hidden="false" customHeight="false" outlineLevel="0" collapsed="false">
      <c r="A1417" s="0" t="n">
        <v>11</v>
      </c>
      <c r="B1417" s="8" t="s">
        <v>24</v>
      </c>
      <c r="C1417" s="9" t="s">
        <v>25</v>
      </c>
      <c r="D1417" s="9" t="s">
        <v>26</v>
      </c>
      <c r="E1417" s="10" t="n">
        <v>1789</v>
      </c>
      <c r="F1417" s="9" t="s">
        <v>27</v>
      </c>
      <c r="G1417" s="9" t="s">
        <v>27</v>
      </c>
      <c r="H1417" s="11" t="n">
        <v>18</v>
      </c>
      <c r="I1417" s="11" t="s">
        <v>78</v>
      </c>
      <c r="J1417" s="14"/>
      <c r="K1417" s="14" t="n">
        <v>50</v>
      </c>
      <c r="L1417" s="16"/>
      <c r="M1417" s="27" t="n">
        <f aca="false">J1417+(K1417/20)+(L1417/240)</f>
        <v>2.5</v>
      </c>
      <c r="N1417" s="17" t="s">
        <v>79</v>
      </c>
      <c r="O1417" s="11"/>
      <c r="P1417" s="28"/>
      <c r="Q1417" s="28" t="n">
        <f aca="false">P1417*$M1417</f>
        <v>0</v>
      </c>
      <c r="R1417" s="28"/>
      <c r="S1417" s="28" t="n">
        <f aca="false">R1417*$M1417</f>
        <v>0</v>
      </c>
      <c r="T1417" s="28"/>
      <c r="U1417" s="28" t="n">
        <f aca="false">T1417*$M1417</f>
        <v>0</v>
      </c>
      <c r="V1417" s="28" t="n">
        <v>61807</v>
      </c>
      <c r="W1417" s="28" t="n">
        <v>154517</v>
      </c>
      <c r="X1417" s="29"/>
      <c r="Y1417" s="28" t="n">
        <f aca="false">X1417*$M1417</f>
        <v>0</v>
      </c>
      <c r="Z1417" s="28"/>
      <c r="AA1417" s="28" t="n">
        <f aca="false">Z1417*$M1417</f>
        <v>0</v>
      </c>
      <c r="AB1417" s="28" t="n">
        <v>43640</v>
      </c>
      <c r="AC1417" s="28" t="n">
        <v>109100</v>
      </c>
      <c r="AD1417" s="28"/>
      <c r="AE1417" s="28" t="n">
        <f aca="false">AD1417*$M1417</f>
        <v>0</v>
      </c>
      <c r="AF1417" s="28"/>
      <c r="AG1417" s="28" t="n">
        <f aca="false">AF1417*$M1417</f>
        <v>0</v>
      </c>
      <c r="AH1417" s="28"/>
      <c r="AI1417" s="28" t="n">
        <f aca="false">AH1417*$M1417</f>
        <v>0</v>
      </c>
      <c r="AJ1417" s="28"/>
      <c r="AK1417" s="28" t="n">
        <f aca="false">AJ1417*$M1417</f>
        <v>0</v>
      </c>
      <c r="AL1417" s="28"/>
      <c r="AM1417" s="28" t="n">
        <f aca="false">AL1417*$M1417</f>
        <v>0</v>
      </c>
      <c r="AN1417" s="28"/>
      <c r="AO1417" s="28" t="n">
        <f aca="false">AN1417*$M1417</f>
        <v>0</v>
      </c>
      <c r="AP1417" s="28"/>
      <c r="AQ1417" s="28" t="n">
        <f aca="false">AP1417*$M1417</f>
        <v>0</v>
      </c>
      <c r="AR1417" s="28"/>
      <c r="AS1417" s="28" t="n">
        <f aca="false">AR1417*$M1417</f>
        <v>0</v>
      </c>
      <c r="AT1417" s="28"/>
      <c r="AU1417" s="28" t="n">
        <f aca="false">AT1417*$M1417</f>
        <v>0</v>
      </c>
      <c r="AV1417" s="28"/>
      <c r="AW1417" s="28" t="n">
        <f aca="false">AV1417*$M1417</f>
        <v>0</v>
      </c>
      <c r="AX1417" s="28"/>
      <c r="AY1417" s="28" t="n">
        <f aca="false">AX1417*$M1417</f>
        <v>0</v>
      </c>
      <c r="AZ1417" s="30" t="n">
        <v>105447</v>
      </c>
      <c r="BA1417" s="11" t="n">
        <v>263617</v>
      </c>
      <c r="BB1417" s="31" t="n">
        <f aca="false">SUM(Q1417,S1417,U1417,W1417,Y1417,AA1417,AC1417,AE1417,AG1417,AI1417,AK1417,AM1417,AO1417,AQ1417,AS1417,AU1417,AW1417,AY1417)</f>
        <v>263617</v>
      </c>
      <c r="BC1417" s="28" t="n">
        <f aca="false">BA1417-BB1417</f>
        <v>0</v>
      </c>
      <c r="BD1417" s="32" t="n">
        <f aca="false">SUM(P1417,R1417,T1417,V1417,X1417,Z1417,AB1417,AD1417,AF1417,AH1417,AJ1417,AL1417,AN1417,AP1417,AR1417,AT1417,AV1417,AX1417)</f>
        <v>105447</v>
      </c>
      <c r="BE1417" s="33" t="n">
        <f aca="false">AZ1417-BD1417</f>
        <v>0</v>
      </c>
      <c r="BF1417" s="34" t="n">
        <f aca="false">BD1417*M1417</f>
        <v>263617.5</v>
      </c>
      <c r="BG1417" s="35" t="n">
        <f aca="false">BA1417-BF1417</f>
        <v>-0.5</v>
      </c>
      <c r="BH1417" s="19" t="str">
        <f aca="false">IF(BG1417=0,"",IF(BG1417&lt;&gt;BA1417,"erreur de calcul",IF(BD1417&lt;&gt;0,"pas de prix",IF(M1417&lt;&gt; 0,"pas de quantité","pas de prix, ni de quantité"))))</f>
        <v>erreur de calcul</v>
      </c>
      <c r="BI1417" s="19"/>
    </row>
    <row r="1418" customFormat="false" ht="15" hidden="false" customHeight="false" outlineLevel="0" collapsed="false">
      <c r="A1418" s="0" t="n">
        <v>12</v>
      </c>
      <c r="B1418" s="8" t="s">
        <v>24</v>
      </c>
      <c r="C1418" s="9" t="s">
        <v>25</v>
      </c>
      <c r="D1418" s="9" t="s">
        <v>26</v>
      </c>
      <c r="E1418" s="10" t="n">
        <v>1789</v>
      </c>
      <c r="F1418" s="9" t="s">
        <v>27</v>
      </c>
      <c r="G1418" s="9" t="s">
        <v>27</v>
      </c>
      <c r="H1418" s="11" t="n">
        <v>18</v>
      </c>
      <c r="I1418" s="11" t="s">
        <v>80</v>
      </c>
      <c r="J1418" s="14"/>
      <c r="K1418" s="14" t="n">
        <v>4</v>
      </c>
      <c r="L1418" s="16"/>
      <c r="M1418" s="27" t="n">
        <f aca="false">J1418+(K1418/20)+(L1418/240)</f>
        <v>0.2</v>
      </c>
      <c r="N1418" s="17" t="s">
        <v>81</v>
      </c>
      <c r="O1418" s="11"/>
      <c r="P1418" s="28"/>
      <c r="Q1418" s="28" t="n">
        <f aca="false">P1418*$M1418</f>
        <v>0</v>
      </c>
      <c r="R1418" s="28"/>
      <c r="S1418" s="28" t="n">
        <f aca="false">R1418*$M1418</f>
        <v>0</v>
      </c>
      <c r="T1418" s="28"/>
      <c r="U1418" s="28" t="n">
        <f aca="false">T1418*$M1418</f>
        <v>0</v>
      </c>
      <c r="V1418" s="28" t="n">
        <v>5800</v>
      </c>
      <c r="W1418" s="28" t="n">
        <v>1160</v>
      </c>
      <c r="X1418" s="29"/>
      <c r="Y1418" s="28" t="n">
        <v>1069</v>
      </c>
      <c r="Z1418" s="28"/>
      <c r="AA1418" s="28" t="n">
        <f aca="false">Z1418*$M1418</f>
        <v>0</v>
      </c>
      <c r="AB1418" s="28"/>
      <c r="AC1418" s="28" t="n">
        <f aca="false">AB1418*$M1418</f>
        <v>0</v>
      </c>
      <c r="AD1418" s="28"/>
      <c r="AE1418" s="28" t="n">
        <f aca="false">AD1418*$M1418</f>
        <v>0</v>
      </c>
      <c r="AF1418" s="28"/>
      <c r="AG1418" s="28" t="n">
        <f aca="false">AF1418*$M1418</f>
        <v>0</v>
      </c>
      <c r="AH1418" s="28"/>
      <c r="AI1418" s="28" t="n">
        <f aca="false">AH1418*$M1418</f>
        <v>0</v>
      </c>
      <c r="AJ1418" s="28"/>
      <c r="AK1418" s="28" t="n">
        <f aca="false">AJ1418*$M1418</f>
        <v>0</v>
      </c>
      <c r="AL1418" s="28"/>
      <c r="AM1418" s="28" t="n">
        <f aca="false">AL1418*$M1418</f>
        <v>0</v>
      </c>
      <c r="AN1418" s="28"/>
      <c r="AO1418" s="28" t="n">
        <f aca="false">AN1418*$M1418</f>
        <v>0</v>
      </c>
      <c r="AP1418" s="28"/>
      <c r="AQ1418" s="28" t="n">
        <f aca="false">AP1418*$M1418</f>
        <v>0</v>
      </c>
      <c r="AR1418" s="28"/>
      <c r="AS1418" s="28" t="n">
        <f aca="false">AR1418*$M1418</f>
        <v>0</v>
      </c>
      <c r="AT1418" s="28"/>
      <c r="AU1418" s="28" t="n">
        <f aca="false">AT1418*$M1418</f>
        <v>0</v>
      </c>
      <c r="AV1418" s="28"/>
      <c r="AW1418" s="28" t="n">
        <f aca="false">AV1418*$M1418</f>
        <v>0</v>
      </c>
      <c r="AX1418" s="28"/>
      <c r="AY1418" s="28" t="n">
        <f aca="false">AX1418*$M1418</f>
        <v>0</v>
      </c>
      <c r="AZ1418" s="30" t="n">
        <v>11144</v>
      </c>
      <c r="BA1418" s="11" t="n">
        <v>2229</v>
      </c>
      <c r="BB1418" s="31" t="n">
        <f aca="false">SUM(Q1418,S1418,U1418,W1418,Y1418,AA1418,AC1418,AE1418,AG1418,AI1418,AK1418,AM1418,AO1418,AQ1418,AS1418,AU1418,AW1418,AY1418)</f>
        <v>2229</v>
      </c>
      <c r="BC1418" s="28" t="n">
        <f aca="false">BA1418-BB1418</f>
        <v>0</v>
      </c>
      <c r="BD1418" s="32" t="n">
        <f aca="false">SUM(P1418,R1418,T1418,V1418,X1418,Z1418,AB1418,AD1418,AF1418,AH1418,AJ1418,AL1418,AN1418,AP1418,AR1418,AT1418,AV1418,AX1418)</f>
        <v>5800</v>
      </c>
      <c r="BE1418" s="33" t="n">
        <f aca="false">AZ1418-BD1418</f>
        <v>5344</v>
      </c>
      <c r="BF1418" s="34" t="n">
        <f aca="false">BD1418*M1418</f>
        <v>1160</v>
      </c>
      <c r="BG1418" s="35" t="n">
        <f aca="false">BA1418-BF1418</f>
        <v>1069</v>
      </c>
      <c r="BH1418" s="19" t="str">
        <f aca="false">IF(BG1418=0,"",IF(BG1418&lt;&gt;BA1418,"erreur de calcul",IF(BD1418&lt;&gt;0,"pas de prix",IF(M1418&lt;&gt; 0,"pas de quantité","pas de prix, ni de quantité"))))</f>
        <v>erreur de calcul</v>
      </c>
      <c r="BI1418" s="19"/>
    </row>
    <row r="1419" customFormat="false" ht="15" hidden="false" customHeight="false" outlineLevel="0" collapsed="false">
      <c r="A1419" s="0" t="n">
        <v>13</v>
      </c>
      <c r="B1419" s="8" t="s">
        <v>24</v>
      </c>
      <c r="C1419" s="9" t="s">
        <v>25</v>
      </c>
      <c r="D1419" s="9" t="s">
        <v>26</v>
      </c>
      <c r="E1419" s="10" t="n">
        <v>1789</v>
      </c>
      <c r="F1419" s="9" t="s">
        <v>27</v>
      </c>
      <c r="G1419" s="9" t="s">
        <v>27</v>
      </c>
      <c r="H1419" s="11" t="n">
        <v>18</v>
      </c>
      <c r="I1419" s="11" t="s">
        <v>82</v>
      </c>
      <c r="J1419" s="14" t="n">
        <v>17</v>
      </c>
      <c r="K1419" s="14"/>
      <c r="L1419" s="16"/>
      <c r="M1419" s="27" t="n">
        <f aca="false">J1419+(K1419/20)+(L1419/240)</f>
        <v>17</v>
      </c>
      <c r="N1419" s="17" t="s">
        <v>69</v>
      </c>
      <c r="O1419" s="11"/>
      <c r="P1419" s="28"/>
      <c r="Q1419" s="28" t="n">
        <f aca="false">P1419*$M1419</f>
        <v>0</v>
      </c>
      <c r="R1419" s="28"/>
      <c r="S1419" s="28" t="n">
        <f aca="false">R1419*$M1419</f>
        <v>0</v>
      </c>
      <c r="T1419" s="28"/>
      <c r="U1419" s="28" t="n">
        <f aca="false">T1419*$M1419</f>
        <v>0</v>
      </c>
      <c r="V1419" s="28" t="n">
        <v>600</v>
      </c>
      <c r="W1419" s="28" t="n">
        <v>10200</v>
      </c>
      <c r="X1419" s="29"/>
      <c r="Y1419" s="28" t="n">
        <f aca="false">X1419*$M1419</f>
        <v>0</v>
      </c>
      <c r="Z1419" s="28"/>
      <c r="AA1419" s="28" t="n">
        <f aca="false">Z1419*$M1419</f>
        <v>0</v>
      </c>
      <c r="AB1419" s="28"/>
      <c r="AC1419" s="28" t="n">
        <f aca="false">AB1419*$M1419</f>
        <v>0</v>
      </c>
      <c r="AD1419" s="28"/>
      <c r="AE1419" s="28" t="n">
        <f aca="false">AD1419*$M1419</f>
        <v>0</v>
      </c>
      <c r="AF1419" s="28"/>
      <c r="AG1419" s="28" t="n">
        <f aca="false">AF1419*$M1419</f>
        <v>0</v>
      </c>
      <c r="AH1419" s="28"/>
      <c r="AI1419" s="28" t="n">
        <f aca="false">AH1419*$M1419</f>
        <v>0</v>
      </c>
      <c r="AJ1419" s="28"/>
      <c r="AK1419" s="28" t="n">
        <f aca="false">AJ1419*$M1419</f>
        <v>0</v>
      </c>
      <c r="AL1419" s="28"/>
      <c r="AM1419" s="28" t="n">
        <f aca="false">AL1419*$M1419</f>
        <v>0</v>
      </c>
      <c r="AN1419" s="28"/>
      <c r="AO1419" s="28" t="n">
        <f aca="false">AN1419*$M1419</f>
        <v>0</v>
      </c>
      <c r="AP1419" s="28"/>
      <c r="AQ1419" s="28" t="n">
        <f aca="false">AP1419*$M1419</f>
        <v>0</v>
      </c>
      <c r="AR1419" s="28"/>
      <c r="AS1419" s="28" t="n">
        <f aca="false">AR1419*$M1419</f>
        <v>0</v>
      </c>
      <c r="AT1419" s="28"/>
      <c r="AU1419" s="28" t="n">
        <f aca="false">AT1419*$M1419</f>
        <v>0</v>
      </c>
      <c r="AV1419" s="28"/>
      <c r="AW1419" s="28" t="n">
        <f aca="false">AV1419*$M1419</f>
        <v>0</v>
      </c>
      <c r="AX1419" s="28"/>
      <c r="AY1419" s="28" t="n">
        <f aca="false">AX1419*$M1419</f>
        <v>0</v>
      </c>
      <c r="AZ1419" s="30" t="n">
        <v>600</v>
      </c>
      <c r="BA1419" s="11" t="n">
        <v>10200</v>
      </c>
      <c r="BB1419" s="31" t="n">
        <f aca="false">SUM(Q1419,S1419,U1419,W1419,Y1419,AA1419,AC1419,AE1419,AG1419,AI1419,AK1419,AM1419,AO1419,AQ1419,AS1419,AU1419,AW1419,AY1419)</f>
        <v>10200</v>
      </c>
      <c r="BC1419" s="28" t="n">
        <f aca="false">BA1419-BB1419</f>
        <v>0</v>
      </c>
      <c r="BD1419" s="32" t="n">
        <f aca="false">SUM(P1419,R1419,T1419,V1419,X1419,Z1419,AB1419,AD1419,AF1419,AH1419,AJ1419,AL1419,AN1419,AP1419,AR1419,AT1419,AV1419,AX1419)</f>
        <v>600</v>
      </c>
      <c r="BE1419" s="33" t="n">
        <f aca="false">AZ1419-BD1419</f>
        <v>0</v>
      </c>
      <c r="BF1419" s="34" t="n">
        <f aca="false">BD1419*M1419</f>
        <v>10200</v>
      </c>
      <c r="BG1419" s="35" t="n">
        <f aca="false">BA1419-BF1419</f>
        <v>0</v>
      </c>
      <c r="BH1419" s="19" t="str">
        <f aca="false">IF(BG1419=0,"",IF(BG1419&lt;&gt;BA1419,"erreur de calcul",IF(BD1419&lt;&gt;0,"pas de prix",IF(M1419&lt;&gt; 0,"pas de quantité","pas de prix, ni de quantité"))))</f>
        <v/>
      </c>
      <c r="BI1419" s="19"/>
    </row>
    <row r="1420" customFormat="false" ht="15" hidden="false" customHeight="false" outlineLevel="0" collapsed="false">
      <c r="A1420" s="0" t="n">
        <v>14</v>
      </c>
      <c r="B1420" s="8" t="s">
        <v>24</v>
      </c>
      <c r="C1420" s="9" t="s">
        <v>25</v>
      </c>
      <c r="D1420" s="9" t="s">
        <v>26</v>
      </c>
      <c r="E1420" s="10" t="n">
        <v>1789</v>
      </c>
      <c r="F1420" s="9" t="s">
        <v>27</v>
      </c>
      <c r="G1420" s="9" t="s">
        <v>27</v>
      </c>
      <c r="H1420" s="11" t="n">
        <v>18</v>
      </c>
      <c r="I1420" s="11" t="s">
        <v>83</v>
      </c>
      <c r="J1420" s="14" t="n">
        <v>20</v>
      </c>
      <c r="K1420" s="14"/>
      <c r="L1420" s="16"/>
      <c r="M1420" s="27" t="n">
        <f aca="false">J1420+(K1420/20)+(L1420/240)</f>
        <v>20</v>
      </c>
      <c r="N1420" s="17" t="s">
        <v>81</v>
      </c>
      <c r="O1420" s="11"/>
      <c r="P1420" s="28"/>
      <c r="Q1420" s="28" t="n">
        <f aca="false">P1420*$M1420</f>
        <v>0</v>
      </c>
      <c r="R1420" s="28"/>
      <c r="S1420" s="28" t="n">
        <f aca="false">R1420*$M1420</f>
        <v>0</v>
      </c>
      <c r="T1420" s="28"/>
      <c r="U1420" s="28" t="n">
        <f aca="false">T1420*$M1420</f>
        <v>0</v>
      </c>
      <c r="V1420" s="28"/>
      <c r="W1420" s="28" t="n">
        <f aca="false">V1420*$M1420</f>
        <v>0</v>
      </c>
      <c r="X1420" s="29"/>
      <c r="Y1420" s="28" t="n">
        <f aca="false">X1420*$M1420</f>
        <v>0</v>
      </c>
      <c r="Z1420" s="28" t="n">
        <v>460</v>
      </c>
      <c r="AA1420" s="28" t="n">
        <v>9200</v>
      </c>
      <c r="AB1420" s="28"/>
      <c r="AC1420" s="28" t="n">
        <f aca="false">AB1420*$M1420</f>
        <v>0</v>
      </c>
      <c r="AD1420" s="28"/>
      <c r="AE1420" s="28" t="n">
        <f aca="false">AD1420*$M1420</f>
        <v>0</v>
      </c>
      <c r="AF1420" s="28"/>
      <c r="AG1420" s="28" t="n">
        <f aca="false">AF1420*$M1420</f>
        <v>0</v>
      </c>
      <c r="AH1420" s="28"/>
      <c r="AI1420" s="28" t="n">
        <f aca="false">AH1420*$M1420</f>
        <v>0</v>
      </c>
      <c r="AJ1420" s="28"/>
      <c r="AK1420" s="28" t="n">
        <f aca="false">AJ1420*$M1420</f>
        <v>0</v>
      </c>
      <c r="AL1420" s="28"/>
      <c r="AM1420" s="28" t="n">
        <f aca="false">AL1420*$M1420</f>
        <v>0</v>
      </c>
      <c r="AN1420" s="28"/>
      <c r="AO1420" s="28" t="n">
        <f aca="false">AN1420*$M1420</f>
        <v>0</v>
      </c>
      <c r="AP1420" s="28"/>
      <c r="AQ1420" s="28" t="n">
        <f aca="false">AP1420*$M1420</f>
        <v>0</v>
      </c>
      <c r="AR1420" s="28"/>
      <c r="AS1420" s="28" t="n">
        <f aca="false">AR1420*$M1420</f>
        <v>0</v>
      </c>
      <c r="AT1420" s="28"/>
      <c r="AU1420" s="28" t="n">
        <f aca="false">AT1420*$M1420</f>
        <v>0</v>
      </c>
      <c r="AV1420" s="28"/>
      <c r="AW1420" s="28" t="n">
        <f aca="false">AV1420*$M1420</f>
        <v>0</v>
      </c>
      <c r="AX1420" s="28"/>
      <c r="AY1420" s="28" t="n">
        <f aca="false">AX1420*$M1420</f>
        <v>0</v>
      </c>
      <c r="AZ1420" s="30" t="n">
        <v>460</v>
      </c>
      <c r="BA1420" s="11" t="n">
        <v>9200</v>
      </c>
      <c r="BB1420" s="31" t="n">
        <f aca="false">SUM(Q1420,S1420,U1420,W1420,Y1420,AA1420,AC1420,AE1420,AG1420,AI1420,AK1420,AM1420,AO1420,AQ1420,AS1420,AU1420,AW1420,AY1420)</f>
        <v>9200</v>
      </c>
      <c r="BC1420" s="28" t="n">
        <f aca="false">BA1420-BB1420</f>
        <v>0</v>
      </c>
      <c r="BD1420" s="32" t="n">
        <f aca="false">SUM(P1420,R1420,T1420,V1420,X1420,Z1420,AB1420,AD1420,AF1420,AH1420,AJ1420,AL1420,AN1420,AP1420,AR1420,AT1420,AV1420,AX1420)</f>
        <v>460</v>
      </c>
      <c r="BE1420" s="33" t="n">
        <f aca="false">AZ1420-BD1420</f>
        <v>0</v>
      </c>
      <c r="BF1420" s="34" t="n">
        <f aca="false">BD1420*M1420</f>
        <v>9200</v>
      </c>
      <c r="BG1420" s="35" t="n">
        <f aca="false">BA1420-BF1420</f>
        <v>0</v>
      </c>
      <c r="BH1420" s="19" t="str">
        <f aca="false">IF(BG1420=0,"",IF(BG1420&lt;&gt;BA1420,"erreur de calcul",IF(BD1420&lt;&gt;0,"pas de prix",IF(M1420&lt;&gt; 0,"pas de quantité","pas de prix, ni de quantité"))))</f>
        <v/>
      </c>
      <c r="BI1420" s="19"/>
    </row>
    <row r="1421" customFormat="false" ht="15" hidden="false" customHeight="false" outlineLevel="0" collapsed="false">
      <c r="A1421" s="0" t="n">
        <v>15</v>
      </c>
      <c r="B1421" s="8" t="s">
        <v>24</v>
      </c>
      <c r="C1421" s="9" t="s">
        <v>25</v>
      </c>
      <c r="D1421" s="9" t="s">
        <v>26</v>
      </c>
      <c r="E1421" s="10" t="n">
        <v>1789</v>
      </c>
      <c r="F1421" s="9" t="s">
        <v>27</v>
      </c>
      <c r="G1421" s="9" t="s">
        <v>27</v>
      </c>
      <c r="H1421" s="11" t="n">
        <v>18</v>
      </c>
      <c r="I1421" s="11" t="s">
        <v>84</v>
      </c>
      <c r="J1421" s="14" t="n">
        <v>16</v>
      </c>
      <c r="K1421" s="14"/>
      <c r="L1421" s="16"/>
      <c r="M1421" s="27" t="n">
        <f aca="false">J1421+(K1421/20)+(L1421/240)</f>
        <v>16</v>
      </c>
      <c r="N1421" s="17" t="s">
        <v>85</v>
      </c>
      <c r="O1421" s="11"/>
      <c r="P1421" s="28"/>
      <c r="Q1421" s="28" t="n">
        <f aca="false">P1421*$M1421</f>
        <v>0</v>
      </c>
      <c r="R1421" s="28"/>
      <c r="S1421" s="28" t="n">
        <f aca="false">R1421*$M1421</f>
        <v>0</v>
      </c>
      <c r="T1421" s="28" t="n">
        <f aca="false">1600/100</f>
        <v>16</v>
      </c>
      <c r="U1421" s="28" t="n">
        <v>256</v>
      </c>
      <c r="V1421" s="28" t="n">
        <f aca="false">227136/100</f>
        <v>2271.36</v>
      </c>
      <c r="W1421" s="28" t="n">
        <v>36342</v>
      </c>
      <c r="X1421" s="29"/>
      <c r="Y1421" s="28" t="n">
        <v>304</v>
      </c>
      <c r="Z1421" s="28" t="n">
        <f aca="false">6850/100</f>
        <v>68.5</v>
      </c>
      <c r="AA1421" s="28" t="n">
        <v>1096</v>
      </c>
      <c r="AB1421" s="28" t="n">
        <f aca="false">204300/100</f>
        <v>2043</v>
      </c>
      <c r="AC1421" s="28" t="n">
        <v>32688</v>
      </c>
      <c r="AD1421" s="28" t="n">
        <f aca="false">9750/100</f>
        <v>97.5</v>
      </c>
      <c r="AE1421" s="28" t="n">
        <v>1560</v>
      </c>
      <c r="AF1421" s="28"/>
      <c r="AG1421" s="28" t="n">
        <f aca="false">AF1421*$M1421</f>
        <v>0</v>
      </c>
      <c r="AH1421" s="28"/>
      <c r="AI1421" s="28" t="n">
        <f aca="false">AH1421*$M1421</f>
        <v>0</v>
      </c>
      <c r="AJ1421" s="28" t="n">
        <f aca="false">1414/100</f>
        <v>14.14</v>
      </c>
      <c r="AK1421" s="28" t="n">
        <v>226</v>
      </c>
      <c r="AL1421" s="28" t="n">
        <f aca="false">29500/100</f>
        <v>295</v>
      </c>
      <c r="AM1421" s="28" t="n">
        <v>4720</v>
      </c>
      <c r="AN1421" s="28"/>
      <c r="AO1421" s="28" t="n">
        <f aca="false">AN1421*$M1421</f>
        <v>0</v>
      </c>
      <c r="AP1421" s="28" t="n">
        <f aca="false">1520/100</f>
        <v>15.2</v>
      </c>
      <c r="AQ1421" s="28" t="n">
        <v>243</v>
      </c>
      <c r="AR1421" s="28"/>
      <c r="AS1421" s="28" t="n">
        <f aca="false">AR1421*$M1421</f>
        <v>0</v>
      </c>
      <c r="AT1421" s="28" t="n">
        <f aca="false">2100/100</f>
        <v>21</v>
      </c>
      <c r="AU1421" s="28" t="n">
        <v>336</v>
      </c>
      <c r="AV1421" s="28" t="n">
        <f aca="false">1320/100</f>
        <v>13.2</v>
      </c>
      <c r="AW1421" s="28" t="n">
        <v>211</v>
      </c>
      <c r="AX1421" s="28" t="n">
        <f aca="false">177746/100</f>
        <v>1777.46</v>
      </c>
      <c r="AY1421" s="28" t="n">
        <v>28439</v>
      </c>
      <c r="AZ1421" s="30" t="n">
        <f aca="false">665136/100</f>
        <v>6651.36</v>
      </c>
      <c r="BA1421" s="11" t="n">
        <v>106421</v>
      </c>
      <c r="BB1421" s="31" t="n">
        <f aca="false">SUM(Q1421,S1421,U1421,W1421,Y1421,AA1421,AC1421,AE1421,AG1421,AI1421,AK1421,AM1421,AO1421,AQ1421,AS1421,AU1421,AW1421,AY1421)</f>
        <v>106421</v>
      </c>
      <c r="BC1421" s="28" t="n">
        <f aca="false">BA1421-BB1421</f>
        <v>0</v>
      </c>
      <c r="BD1421" s="32" t="n">
        <f aca="false">SUM(P1421,R1421,T1421,V1421,X1421,Z1421,AB1421,AD1421,AF1421,AH1421,AJ1421,AL1421,AN1421,AP1421,AR1421,AT1421,AV1421,AX1421)</f>
        <v>6632.36</v>
      </c>
      <c r="BE1421" s="33" t="n">
        <f aca="false">AZ1421-BD1421</f>
        <v>18.9999999999991</v>
      </c>
      <c r="BF1421" s="34" t="n">
        <f aca="false">BD1421*M1421</f>
        <v>106117.76</v>
      </c>
      <c r="BG1421" s="35" t="n">
        <f aca="false">BA1421-BF1421</f>
        <v>303.239999999991</v>
      </c>
      <c r="BH1421" s="19" t="str">
        <f aca="false">IF(BG1421=0,"",IF(BG1421&lt;&gt;BA1421,"erreur de calcul",IF(BD1421&lt;&gt;0,"pas de prix",IF(M1421&lt;&gt; 0,"pas de quantité","pas de prix, ni de quantité"))))</f>
        <v>erreur de calcul</v>
      </c>
      <c r="BI1421" s="19"/>
    </row>
    <row r="1422" customFormat="false" ht="15" hidden="false" customHeight="false" outlineLevel="0" collapsed="false">
      <c r="A1422" s="0" t="n">
        <v>16</v>
      </c>
      <c r="B1422" s="8" t="s">
        <v>24</v>
      </c>
      <c r="C1422" s="9" t="s">
        <v>25</v>
      </c>
      <c r="D1422" s="9" t="s">
        <v>26</v>
      </c>
      <c r="E1422" s="10" t="n">
        <v>1789</v>
      </c>
      <c r="F1422" s="9" t="s">
        <v>27</v>
      </c>
      <c r="G1422" s="9" t="s">
        <v>27</v>
      </c>
      <c r="H1422" s="11" t="n">
        <v>18</v>
      </c>
      <c r="I1422" s="11" t="s">
        <v>86</v>
      </c>
      <c r="J1422" s="14" t="n">
        <v>55</v>
      </c>
      <c r="K1422" s="14"/>
      <c r="L1422" s="16"/>
      <c r="M1422" s="27" t="n">
        <f aca="false">J1422+(K1422/20)+(L1422/240)</f>
        <v>55</v>
      </c>
      <c r="N1422" s="17" t="s">
        <v>81</v>
      </c>
      <c r="O1422" s="11"/>
      <c r="P1422" s="28"/>
      <c r="Q1422" s="28" t="n">
        <f aca="false">P1422*$M1422</f>
        <v>0</v>
      </c>
      <c r="R1422" s="28"/>
      <c r="S1422" s="28" t="n">
        <f aca="false">R1422*$M1422</f>
        <v>0</v>
      </c>
      <c r="T1422" s="28"/>
      <c r="U1422" s="28" t="n">
        <f aca="false">T1422*$M1422</f>
        <v>0</v>
      </c>
      <c r="V1422" s="28"/>
      <c r="W1422" s="28" t="n">
        <f aca="false">V1422*$M1422</f>
        <v>0</v>
      </c>
      <c r="X1422" s="29"/>
      <c r="Y1422" s="28" t="n">
        <f aca="false">X1422*$M1422</f>
        <v>0</v>
      </c>
      <c r="Z1422" s="28"/>
      <c r="AA1422" s="28" t="n">
        <f aca="false">Z1422*$M1422</f>
        <v>0</v>
      </c>
      <c r="AB1422" s="28"/>
      <c r="AC1422" s="28" t="n">
        <f aca="false">AB1422*$M1422</f>
        <v>0</v>
      </c>
      <c r="AD1422" s="28"/>
      <c r="AE1422" s="28" t="n">
        <f aca="false">AD1422*$M1422</f>
        <v>0</v>
      </c>
      <c r="AF1422" s="28"/>
      <c r="AG1422" s="28" t="n">
        <f aca="false">AF1422*$M1422</f>
        <v>0</v>
      </c>
      <c r="AH1422" s="28"/>
      <c r="AI1422" s="28" t="n">
        <f aca="false">AH1422*$M1422</f>
        <v>0</v>
      </c>
      <c r="AJ1422" s="28"/>
      <c r="AK1422" s="28" t="n">
        <f aca="false">AJ1422*$M1422</f>
        <v>0</v>
      </c>
      <c r="AL1422" s="28"/>
      <c r="AM1422" s="28" t="n">
        <f aca="false">AL1422*$M1422</f>
        <v>0</v>
      </c>
      <c r="AN1422" s="28"/>
      <c r="AO1422" s="28" t="n">
        <f aca="false">AN1422*$M1422</f>
        <v>0</v>
      </c>
      <c r="AP1422" s="28"/>
      <c r="AQ1422" s="28" t="n">
        <f aca="false">AP1422*$M1422</f>
        <v>0</v>
      </c>
      <c r="AR1422" s="28"/>
      <c r="AS1422" s="28" t="n">
        <f aca="false">AR1422*$M1422</f>
        <v>0</v>
      </c>
      <c r="AT1422" s="28" t="n">
        <v>319</v>
      </c>
      <c r="AU1422" s="28" t="n">
        <v>17545</v>
      </c>
      <c r="AV1422" s="28"/>
      <c r="AW1422" s="28" t="n">
        <f aca="false">AV1422*$M1422</f>
        <v>0</v>
      </c>
      <c r="AX1422" s="28"/>
      <c r="AY1422" s="28" t="n">
        <f aca="false">AX1422*$M1422</f>
        <v>0</v>
      </c>
      <c r="AZ1422" s="30" t="n">
        <v>319</v>
      </c>
      <c r="BA1422" s="11" t="n">
        <v>17545</v>
      </c>
      <c r="BB1422" s="31" t="n">
        <f aca="false">SUM(Q1422,S1422,U1422,W1422,Y1422,AA1422,AC1422,AE1422,AG1422,AI1422,AK1422,AM1422,AO1422,AQ1422,AS1422,AU1422,AW1422,AY1422)</f>
        <v>17545</v>
      </c>
      <c r="BC1422" s="28" t="n">
        <f aca="false">BA1422-BB1422</f>
        <v>0</v>
      </c>
      <c r="BD1422" s="32" t="n">
        <f aca="false">SUM(P1422,R1422,T1422,V1422,X1422,Z1422,AB1422,AD1422,AF1422,AH1422,AJ1422,AL1422,AN1422,AP1422,AR1422,AT1422,AV1422,AX1422)</f>
        <v>319</v>
      </c>
      <c r="BE1422" s="33" t="n">
        <f aca="false">AZ1422-BD1422</f>
        <v>0</v>
      </c>
      <c r="BF1422" s="34" t="n">
        <f aca="false">BD1422*M1422</f>
        <v>17545</v>
      </c>
      <c r="BG1422" s="35" t="n">
        <f aca="false">BA1422-BF1422</f>
        <v>0</v>
      </c>
      <c r="BH1422" s="19" t="str">
        <f aca="false">IF(BG1422=0,"",IF(BG1422&lt;&gt;BA1422,"erreur de calcul",IF(BD1422&lt;&gt;0,"pas de prix",IF(M1422&lt;&gt; 0,"pas de quantité","pas de prix, ni de quantité"))))</f>
        <v/>
      </c>
      <c r="BI1422" s="19"/>
    </row>
    <row r="1423" customFormat="false" ht="15" hidden="false" customHeight="false" outlineLevel="0" collapsed="false">
      <c r="A1423" s="0" t="n">
        <v>17</v>
      </c>
      <c r="B1423" s="8" t="s">
        <v>24</v>
      </c>
      <c r="C1423" s="9" t="s">
        <v>25</v>
      </c>
      <c r="D1423" s="9" t="s">
        <v>26</v>
      </c>
      <c r="E1423" s="10" t="n">
        <v>1789</v>
      </c>
      <c r="F1423" s="9" t="s">
        <v>27</v>
      </c>
      <c r="G1423" s="9" t="s">
        <v>27</v>
      </c>
      <c r="H1423" s="11" t="n">
        <v>18</v>
      </c>
      <c r="I1423" s="11" t="s">
        <v>87</v>
      </c>
      <c r="J1423" s="14" t="n">
        <v>6</v>
      </c>
      <c r="K1423" s="14"/>
      <c r="L1423" s="16"/>
      <c r="M1423" s="27" t="n">
        <f aca="false">J1423+(K1423/20)+(L1423/240)</f>
        <v>6</v>
      </c>
      <c r="N1423" s="17" t="s">
        <v>69</v>
      </c>
      <c r="O1423" s="11" t="s">
        <v>77</v>
      </c>
      <c r="P1423" s="28"/>
      <c r="Q1423" s="28" t="n">
        <f aca="false">P1423*$M1423</f>
        <v>0</v>
      </c>
      <c r="R1423" s="28" t="n">
        <v>63</v>
      </c>
      <c r="S1423" s="28" t="n">
        <v>378</v>
      </c>
      <c r="T1423" s="28" t="n">
        <v>2406</v>
      </c>
      <c r="U1423" s="28" t="n">
        <v>14436</v>
      </c>
      <c r="V1423" s="28" t="n">
        <v>222</v>
      </c>
      <c r="W1423" s="28" t="n">
        <v>1332</v>
      </c>
      <c r="X1423" s="29"/>
      <c r="Y1423" s="28" t="n">
        <f aca="false">X1423*$M1423</f>
        <v>0</v>
      </c>
      <c r="Z1423" s="28"/>
      <c r="AA1423" s="28" t="n">
        <f aca="false">Z1423*$M1423</f>
        <v>0</v>
      </c>
      <c r="AB1423" s="28"/>
      <c r="AC1423" s="28" t="n">
        <f aca="false">AB1423*$M1423</f>
        <v>0</v>
      </c>
      <c r="AD1423" s="28" t="n">
        <v>330</v>
      </c>
      <c r="AE1423" s="28" t="n">
        <v>1980</v>
      </c>
      <c r="AF1423" s="28"/>
      <c r="AG1423" s="28" t="n">
        <f aca="false">AF1423*$M1423</f>
        <v>0</v>
      </c>
      <c r="AH1423" s="28"/>
      <c r="AI1423" s="28" t="n">
        <f aca="false">AH1423*$M1423</f>
        <v>0</v>
      </c>
      <c r="AJ1423" s="28"/>
      <c r="AK1423" s="28" t="n">
        <f aca="false">AJ1423*$M1423</f>
        <v>0</v>
      </c>
      <c r="AL1423" s="28"/>
      <c r="AM1423" s="28" t="n">
        <f aca="false">AL1423*$M1423</f>
        <v>0</v>
      </c>
      <c r="AN1423" s="28"/>
      <c r="AO1423" s="28" t="n">
        <f aca="false">AN1423*$M1423</f>
        <v>0</v>
      </c>
      <c r="AP1423" s="28"/>
      <c r="AQ1423" s="28" t="n">
        <f aca="false">AP1423*$M1423</f>
        <v>0</v>
      </c>
      <c r="AR1423" s="28"/>
      <c r="AS1423" s="28" t="n">
        <f aca="false">AR1423*$M1423</f>
        <v>0</v>
      </c>
      <c r="AT1423" s="28"/>
      <c r="AU1423" s="28" t="n">
        <f aca="false">AT1423*$M1423</f>
        <v>0</v>
      </c>
      <c r="AV1423" s="28"/>
      <c r="AW1423" s="28" t="n">
        <f aca="false">AV1423*$M1423</f>
        <v>0</v>
      </c>
      <c r="AX1423" s="28"/>
      <c r="AY1423" s="28" t="n">
        <f aca="false">AX1423*$M1423</f>
        <v>0</v>
      </c>
      <c r="AZ1423" s="30" t="n">
        <v>3021</v>
      </c>
      <c r="BA1423" s="11" t="n">
        <v>18126</v>
      </c>
      <c r="BB1423" s="31" t="n">
        <f aca="false">SUM(Q1423,S1423,U1423,W1423,Y1423,AA1423,AC1423,AE1423,AG1423,AI1423,AK1423,AM1423,AO1423,AQ1423,AS1423,AU1423,AW1423,AY1423)</f>
        <v>18126</v>
      </c>
      <c r="BC1423" s="28" t="n">
        <f aca="false">BA1423-BB1423</f>
        <v>0</v>
      </c>
      <c r="BD1423" s="32" t="n">
        <f aca="false">SUM(P1423,R1423,T1423,V1423,X1423,Z1423,AB1423,AD1423,AF1423,AH1423,AJ1423,AL1423,AN1423,AP1423,AR1423,AT1423,AV1423,AX1423)</f>
        <v>3021</v>
      </c>
      <c r="BE1423" s="33" t="n">
        <f aca="false">AZ1423-BD1423</f>
        <v>0</v>
      </c>
      <c r="BF1423" s="34" t="n">
        <f aca="false">BD1423*M1423</f>
        <v>18126</v>
      </c>
      <c r="BG1423" s="35" t="n">
        <f aca="false">BA1423-BF1423</f>
        <v>0</v>
      </c>
      <c r="BH1423" s="19" t="str">
        <f aca="false">IF(BG1423=0,"",IF(BG1423&lt;&gt;BA1423,"erreur de calcul",IF(BD1423&lt;&gt;0,"pas de prix",IF(M1423&lt;&gt; 0,"pas de quantité","pas de prix, ni de quantité"))))</f>
        <v/>
      </c>
      <c r="BI1423" s="19"/>
    </row>
    <row r="1424" customFormat="false" ht="15" hidden="false" customHeight="false" outlineLevel="0" collapsed="false">
      <c r="A1424" s="0" t="n">
        <v>18</v>
      </c>
      <c r="B1424" s="8" t="s">
        <v>24</v>
      </c>
      <c r="C1424" s="9" t="s">
        <v>25</v>
      </c>
      <c r="D1424" s="9" t="s">
        <v>26</v>
      </c>
      <c r="E1424" s="10" t="n">
        <v>1789</v>
      </c>
      <c r="F1424" s="9" t="s">
        <v>27</v>
      </c>
      <c r="G1424" s="9" t="s">
        <v>27</v>
      </c>
      <c r="H1424" s="11" t="n">
        <v>18</v>
      </c>
      <c r="I1424" s="11" t="s">
        <v>88</v>
      </c>
      <c r="J1424" s="14" t="n">
        <v>26</v>
      </c>
      <c r="K1424" s="14"/>
      <c r="L1424" s="16"/>
      <c r="M1424" s="27" t="n">
        <f aca="false">J1424+(K1424/20)+(L1424/240)</f>
        <v>26</v>
      </c>
      <c r="N1424" s="17" t="s">
        <v>69</v>
      </c>
      <c r="O1424" s="11"/>
      <c r="P1424" s="28"/>
      <c r="Q1424" s="28" t="n">
        <f aca="false">P1424*$M1424</f>
        <v>0</v>
      </c>
      <c r="R1424" s="28"/>
      <c r="S1424" s="28" t="n">
        <f aca="false">R1424*$M1424</f>
        <v>0</v>
      </c>
      <c r="T1424" s="28"/>
      <c r="U1424" s="28" t="n">
        <f aca="false">T1424*$M1424</f>
        <v>0</v>
      </c>
      <c r="V1424" s="28"/>
      <c r="W1424" s="28" t="n">
        <f aca="false">V1424*$M1424</f>
        <v>0</v>
      </c>
      <c r="X1424" s="29"/>
      <c r="Y1424" s="28" t="n">
        <f aca="false">X1424*$M1424</f>
        <v>0</v>
      </c>
      <c r="Z1424" s="28"/>
      <c r="AA1424" s="28" t="n">
        <f aca="false">Z1424*$M1424</f>
        <v>0</v>
      </c>
      <c r="AB1424" s="28"/>
      <c r="AC1424" s="28" t="n">
        <f aca="false">AB1424*$M1424</f>
        <v>0</v>
      </c>
      <c r="AD1424" s="28"/>
      <c r="AE1424" s="28" t="n">
        <f aca="false">AD1424*$M1424</f>
        <v>0</v>
      </c>
      <c r="AF1424" s="28"/>
      <c r="AG1424" s="28" t="n">
        <f aca="false">AF1424*$M1424</f>
        <v>0</v>
      </c>
      <c r="AH1424" s="28"/>
      <c r="AI1424" s="28" t="n">
        <f aca="false">AH1424*$M1424</f>
        <v>0</v>
      </c>
      <c r="AJ1424" s="28"/>
      <c r="AK1424" s="28" t="n">
        <f aca="false">AJ1424*$M1424</f>
        <v>0</v>
      </c>
      <c r="AL1424" s="28" t="n">
        <v>150</v>
      </c>
      <c r="AM1424" s="28" t="n">
        <v>3900</v>
      </c>
      <c r="AN1424" s="28"/>
      <c r="AO1424" s="28" t="n">
        <f aca="false">AN1424*$M1424</f>
        <v>0</v>
      </c>
      <c r="AP1424" s="28" t="n">
        <v>4140</v>
      </c>
      <c r="AQ1424" s="28" t="n">
        <v>107640</v>
      </c>
      <c r="AR1424" s="28" t="n">
        <v>6957</v>
      </c>
      <c r="AS1424" s="28" t="n">
        <v>180882</v>
      </c>
      <c r="AT1424" s="28" t="n">
        <v>171</v>
      </c>
      <c r="AU1424" s="28" t="n">
        <v>4446</v>
      </c>
      <c r="AV1424" s="28" t="n">
        <v>838</v>
      </c>
      <c r="AW1424" s="28" t="n">
        <v>21788</v>
      </c>
      <c r="AX1424" s="28" t="n">
        <v>35</v>
      </c>
      <c r="AY1424" s="28" t="n">
        <v>910</v>
      </c>
      <c r="AZ1424" s="30" t="n">
        <v>12291</v>
      </c>
      <c r="BA1424" s="11" t="n">
        <v>319566</v>
      </c>
      <c r="BB1424" s="31" t="n">
        <f aca="false">SUM(Q1424,S1424,U1424,W1424,Y1424,AA1424,AC1424,AE1424,AG1424,AI1424,AK1424,AM1424,AO1424,AQ1424,AS1424,AU1424,AW1424,AY1424)</f>
        <v>319566</v>
      </c>
      <c r="BC1424" s="28" t="n">
        <f aca="false">BA1424-BB1424</f>
        <v>0</v>
      </c>
      <c r="BD1424" s="32" t="n">
        <f aca="false">SUM(P1424,R1424,T1424,V1424,X1424,Z1424,AB1424,AD1424,AF1424,AH1424,AJ1424,AL1424,AN1424,AP1424,AR1424,AT1424,AV1424,AX1424)</f>
        <v>12291</v>
      </c>
      <c r="BE1424" s="33" t="n">
        <f aca="false">AZ1424-BD1424</f>
        <v>0</v>
      </c>
      <c r="BF1424" s="34" t="n">
        <f aca="false">BD1424*M1424</f>
        <v>319566</v>
      </c>
      <c r="BG1424" s="35" t="n">
        <f aca="false">BA1424-BF1424</f>
        <v>0</v>
      </c>
      <c r="BH1424" s="19" t="str">
        <f aca="false">IF(BG1424=0,"",IF(BG1424&lt;&gt;BA1424,"erreur de calcul",IF(BD1424&lt;&gt;0,"pas de prix",IF(M1424&lt;&gt; 0,"pas de quantité","pas de prix, ni de quantité"))))</f>
        <v/>
      </c>
      <c r="BI1424" s="19"/>
    </row>
    <row r="1425" customFormat="false" ht="15" hidden="false" customHeight="false" outlineLevel="0" collapsed="false">
      <c r="A1425" s="0" t="n">
        <v>19</v>
      </c>
      <c r="B1425" s="8" t="s">
        <v>24</v>
      </c>
      <c r="C1425" s="9" t="s">
        <v>25</v>
      </c>
      <c r="D1425" s="9" t="s">
        <v>26</v>
      </c>
      <c r="E1425" s="10" t="n">
        <v>1789</v>
      </c>
      <c r="F1425" s="9" t="s">
        <v>27</v>
      </c>
      <c r="G1425" s="9" t="s">
        <v>27</v>
      </c>
      <c r="H1425" s="11" t="n">
        <v>18</v>
      </c>
      <c r="I1425" s="11" t="s">
        <v>89</v>
      </c>
      <c r="J1425" s="14" t="n">
        <v>7</v>
      </c>
      <c r="K1425" s="14"/>
      <c r="L1425" s="16"/>
      <c r="M1425" s="27" t="n">
        <f aca="false">J1425+(K1425/20)+(L1425/240)</f>
        <v>7</v>
      </c>
      <c r="N1425" s="17" t="s">
        <v>81</v>
      </c>
      <c r="O1425" s="11" t="s">
        <v>77</v>
      </c>
      <c r="P1425" s="28"/>
      <c r="Q1425" s="28" t="n">
        <f aca="false">P1425*$M1425</f>
        <v>0</v>
      </c>
      <c r="R1425" s="28"/>
      <c r="S1425" s="28" t="n">
        <f aca="false">R1425*$M1425</f>
        <v>0</v>
      </c>
      <c r="T1425" s="28"/>
      <c r="U1425" s="28" t="n">
        <f aca="false">T1425*$M1425</f>
        <v>0</v>
      </c>
      <c r="V1425" s="28"/>
      <c r="W1425" s="28" t="n">
        <f aca="false">V1425*$M1425</f>
        <v>0</v>
      </c>
      <c r="X1425" s="29"/>
      <c r="Y1425" s="28" t="n">
        <f aca="false">X1425*$M1425</f>
        <v>0</v>
      </c>
      <c r="Z1425" s="28"/>
      <c r="AA1425" s="28" t="n">
        <f aca="false">Z1425*$M1425</f>
        <v>0</v>
      </c>
      <c r="AB1425" s="28"/>
      <c r="AC1425" s="28" t="n">
        <f aca="false">AB1425*$M1425</f>
        <v>0</v>
      </c>
      <c r="AD1425" s="28"/>
      <c r="AE1425" s="28" t="n">
        <f aca="false">AD1425*$M1425</f>
        <v>0</v>
      </c>
      <c r="AF1425" s="28"/>
      <c r="AG1425" s="28" t="n">
        <f aca="false">AF1425*$M1425</f>
        <v>0</v>
      </c>
      <c r="AH1425" s="28"/>
      <c r="AI1425" s="28" t="n">
        <f aca="false">AH1425*$M1425</f>
        <v>0</v>
      </c>
      <c r="AJ1425" s="28"/>
      <c r="AK1425" s="28" t="n">
        <f aca="false">AJ1425*$M1425</f>
        <v>0</v>
      </c>
      <c r="AL1425" s="28"/>
      <c r="AM1425" s="28" t="n">
        <f aca="false">AL1425*$M1425</f>
        <v>0</v>
      </c>
      <c r="AN1425" s="28"/>
      <c r="AO1425" s="28" t="n">
        <f aca="false">AN1425*$M1425</f>
        <v>0</v>
      </c>
      <c r="AP1425" s="38" t="n">
        <v>1763</v>
      </c>
      <c r="AQ1425" s="28" t="n">
        <v>42312</v>
      </c>
      <c r="AR1425" s="28"/>
      <c r="AS1425" s="28" t="n">
        <f aca="false">AR1425*$M1425</f>
        <v>0</v>
      </c>
      <c r="AT1425" s="28"/>
      <c r="AU1425" s="28" t="n">
        <f aca="false">AT1425*$M1425</f>
        <v>0</v>
      </c>
      <c r="AV1425" s="38" t="n">
        <v>377</v>
      </c>
      <c r="AW1425" s="28" t="n">
        <v>9425</v>
      </c>
      <c r="AX1425" s="28"/>
      <c r="AY1425" s="28" t="n">
        <f aca="false">AX1425*$M1425</f>
        <v>0</v>
      </c>
      <c r="AZ1425" s="30" t="n">
        <v>2140</v>
      </c>
      <c r="BA1425" s="11" t="n">
        <v>51737</v>
      </c>
      <c r="BB1425" s="31" t="n">
        <f aca="false">SUM(Q1425,S1425,U1425,W1425,Y1425,AA1425,AC1425,AE1425,AG1425,AI1425,AK1425,AM1425,AO1425,AQ1425,AS1425,AU1425,AW1425,AY1425)</f>
        <v>51737</v>
      </c>
      <c r="BC1425" s="28" t="n">
        <f aca="false">BA1425-BB1425</f>
        <v>0</v>
      </c>
      <c r="BD1425" s="32" t="n">
        <f aca="false">SUM(P1425,R1425,T1425,V1425,X1425,Z1425,AB1425,AD1425,AF1425,AH1425,AJ1425,AL1425,AN1425,AP1425,AR1425,AT1425,AV1425,AX1425)</f>
        <v>2140</v>
      </c>
      <c r="BE1425" s="33" t="n">
        <f aca="false">AZ1425-BD1425</f>
        <v>0</v>
      </c>
      <c r="BF1425" s="34" t="n">
        <f aca="false">BD1425*M1425</f>
        <v>14980</v>
      </c>
      <c r="BG1425" s="35" t="n">
        <f aca="false">BA1425-BF1425</f>
        <v>36757</v>
      </c>
      <c r="BH1425" s="19" t="str">
        <f aca="false">IF(BG1425=0,"",IF(BG1425&lt;&gt;BA1425,"erreur de calcul",IF(BD1425&lt;&gt;0,"pas de prix",IF(M1425&lt;&gt; 0,"pas de quantité","pas de prix, ni de quantité"))))</f>
        <v>erreur de calcul</v>
      </c>
      <c r="BI1425" s="19" t="s">
        <v>90</v>
      </c>
    </row>
    <row r="1426" customFormat="false" ht="15" hidden="false" customHeight="false" outlineLevel="0" collapsed="false">
      <c r="A1426" s="0" t="n">
        <v>20</v>
      </c>
      <c r="B1426" s="8" t="s">
        <v>24</v>
      </c>
      <c r="C1426" s="9" t="s">
        <v>25</v>
      </c>
      <c r="D1426" s="9" t="s">
        <v>26</v>
      </c>
      <c r="E1426" s="10" t="n">
        <v>1789</v>
      </c>
      <c r="F1426" s="9" t="s">
        <v>27</v>
      </c>
      <c r="G1426" s="9" t="s">
        <v>27</v>
      </c>
      <c r="H1426" s="11" t="n">
        <v>18</v>
      </c>
      <c r="I1426" s="11" t="s">
        <v>91</v>
      </c>
      <c r="J1426" s="14" t="n">
        <v>30</v>
      </c>
      <c r="K1426" s="14"/>
      <c r="L1426" s="16"/>
      <c r="M1426" s="27" t="n">
        <f aca="false">J1426+(K1426/20)+(L1426/240)</f>
        <v>30</v>
      </c>
      <c r="N1426" s="17" t="s">
        <v>64</v>
      </c>
      <c r="O1426" s="11"/>
      <c r="P1426" s="28"/>
      <c r="Q1426" s="28" t="n">
        <f aca="false">P1426*$M1426</f>
        <v>0</v>
      </c>
      <c r="R1426" s="28"/>
      <c r="S1426" s="28" t="n">
        <f aca="false">R1426*$M1426</f>
        <v>0</v>
      </c>
      <c r="T1426" s="28"/>
      <c r="U1426" s="28" t="n">
        <f aca="false">T1426*$M1426</f>
        <v>0</v>
      </c>
      <c r="V1426" s="28" t="n">
        <f aca="false">12300/100</f>
        <v>123</v>
      </c>
      <c r="W1426" s="28" t="n">
        <v>3690</v>
      </c>
      <c r="X1426" s="29"/>
      <c r="Y1426" s="28" t="n">
        <f aca="false">X1426*$M1426</f>
        <v>0</v>
      </c>
      <c r="Z1426" s="28"/>
      <c r="AA1426" s="28" t="n">
        <f aca="false">Z1426*$M1426</f>
        <v>0</v>
      </c>
      <c r="AB1426" s="28" t="n">
        <f aca="false">16277/100</f>
        <v>162.77</v>
      </c>
      <c r="AC1426" s="28" t="n">
        <v>4883</v>
      </c>
      <c r="AD1426" s="28"/>
      <c r="AE1426" s="28" t="n">
        <f aca="false">AD1426*$M1426</f>
        <v>0</v>
      </c>
      <c r="AF1426" s="28"/>
      <c r="AG1426" s="28" t="n">
        <f aca="false">AF1426*$M1426</f>
        <v>0</v>
      </c>
      <c r="AH1426" s="28"/>
      <c r="AI1426" s="28" t="n">
        <f aca="false">AH1426*$M1426</f>
        <v>0</v>
      </c>
      <c r="AJ1426" s="28"/>
      <c r="AK1426" s="28" t="n">
        <f aca="false">AJ1426*$M1426</f>
        <v>0</v>
      </c>
      <c r="AL1426" s="28"/>
      <c r="AM1426" s="28" t="n">
        <f aca="false">AL1426*$M1426</f>
        <v>0</v>
      </c>
      <c r="AN1426" s="28"/>
      <c r="AO1426" s="28" t="n">
        <f aca="false">AN1426*$M1426</f>
        <v>0</v>
      </c>
      <c r="AP1426" s="28"/>
      <c r="AQ1426" s="28" t="n">
        <f aca="false">AP1426*$M1426</f>
        <v>0</v>
      </c>
      <c r="AR1426" s="28"/>
      <c r="AS1426" s="28" t="n">
        <f aca="false">AR1426*$M1426</f>
        <v>0</v>
      </c>
      <c r="AT1426" s="28"/>
      <c r="AU1426" s="28" t="n">
        <f aca="false">AT1426*$M1426</f>
        <v>0</v>
      </c>
      <c r="AV1426" s="28"/>
      <c r="AW1426" s="28" t="n">
        <f aca="false">AV1426*$M1426</f>
        <v>0</v>
      </c>
      <c r="AX1426" s="28"/>
      <c r="AY1426" s="28" t="n">
        <f aca="false">AX1426*$M1426</f>
        <v>0</v>
      </c>
      <c r="AZ1426" s="30" t="n">
        <f aca="false">28577/100</f>
        <v>285.77</v>
      </c>
      <c r="BA1426" s="11" t="n">
        <v>8573</v>
      </c>
      <c r="BB1426" s="31" t="n">
        <f aca="false">SUM(Q1426,S1426,U1426,W1426,Y1426,AA1426,AC1426,AE1426,AG1426,AI1426,AK1426,AM1426,AO1426,AQ1426,AS1426,AU1426,AW1426,AY1426)</f>
        <v>8573</v>
      </c>
      <c r="BC1426" s="28" t="n">
        <f aca="false">BA1426-BB1426</f>
        <v>0</v>
      </c>
      <c r="BD1426" s="32" t="n">
        <f aca="false">SUM(P1426,R1426,T1426,V1426,X1426,Z1426,AB1426,AD1426,AF1426,AH1426,AJ1426,AL1426,AN1426,AP1426,AR1426,AT1426,AV1426,AX1426)</f>
        <v>285.77</v>
      </c>
      <c r="BE1426" s="33" t="n">
        <f aca="false">AZ1426-BD1426</f>
        <v>0</v>
      </c>
      <c r="BF1426" s="34" t="n">
        <f aca="false">BD1426*M1426</f>
        <v>8573.1</v>
      </c>
      <c r="BG1426" s="35" t="n">
        <f aca="false">BA1426-BF1426</f>
        <v>-0.0999999999985448</v>
      </c>
      <c r="BH1426" s="19" t="str">
        <f aca="false">IF(BG1426=0,"",IF(BG1426&lt;&gt;BA1426,"erreur de calcul",IF(BD1426&lt;&gt;0,"pas de prix",IF(M1426&lt;&gt; 0,"pas de quantité","pas de prix, ni de quantité"))))</f>
        <v>erreur de calcul</v>
      </c>
      <c r="BI1426" s="19"/>
    </row>
    <row r="1427" customFormat="false" ht="15" hidden="false" customHeight="false" outlineLevel="0" collapsed="false">
      <c r="A1427" s="0" t="n">
        <v>21</v>
      </c>
      <c r="B1427" s="8" t="s">
        <v>24</v>
      </c>
      <c r="C1427" s="9" t="s">
        <v>25</v>
      </c>
      <c r="D1427" s="9" t="s">
        <v>26</v>
      </c>
      <c r="E1427" s="10" t="n">
        <v>1789</v>
      </c>
      <c r="F1427" s="9" t="s">
        <v>27</v>
      </c>
      <c r="G1427" s="9" t="s">
        <v>27</v>
      </c>
      <c r="H1427" s="11" t="n">
        <v>18</v>
      </c>
      <c r="I1427" s="11" t="s">
        <v>92</v>
      </c>
      <c r="J1427" s="14"/>
      <c r="K1427" s="14" t="n">
        <v>25</v>
      </c>
      <c r="L1427" s="16"/>
      <c r="M1427" s="27" t="n">
        <f aca="false">J1427+(K1427/20)+(L1427/240)</f>
        <v>1.25</v>
      </c>
      <c r="N1427" s="17" t="s">
        <v>81</v>
      </c>
      <c r="O1427" s="11"/>
      <c r="P1427" s="28"/>
      <c r="Q1427" s="28" t="n">
        <f aca="false">P1427*$M1427</f>
        <v>0</v>
      </c>
      <c r="R1427" s="28"/>
      <c r="S1427" s="28" t="n">
        <f aca="false">R1427*$M1427</f>
        <v>0</v>
      </c>
      <c r="T1427" s="28"/>
      <c r="U1427" s="28" t="n">
        <f aca="false">T1427*$M1427</f>
        <v>0</v>
      </c>
      <c r="V1427" s="28" t="n">
        <v>17192</v>
      </c>
      <c r="W1427" s="28" t="n">
        <v>21490</v>
      </c>
      <c r="X1427" s="29"/>
      <c r="Y1427" s="28" t="n">
        <f aca="false">X1427*$M1427</f>
        <v>0</v>
      </c>
      <c r="Z1427" s="28"/>
      <c r="AA1427" s="28" t="n">
        <f aca="false">Z1427*$M1427</f>
        <v>0</v>
      </c>
      <c r="AB1427" s="28"/>
      <c r="AC1427" s="28" t="n">
        <f aca="false">AB1427*$M1427</f>
        <v>0</v>
      </c>
      <c r="AD1427" s="28"/>
      <c r="AE1427" s="28" t="n">
        <f aca="false">AD1427*$M1427</f>
        <v>0</v>
      </c>
      <c r="AF1427" s="28"/>
      <c r="AG1427" s="28" t="n">
        <f aca="false">AF1427*$M1427</f>
        <v>0</v>
      </c>
      <c r="AH1427" s="28"/>
      <c r="AI1427" s="28" t="n">
        <f aca="false">AH1427*$M1427</f>
        <v>0</v>
      </c>
      <c r="AJ1427" s="28"/>
      <c r="AK1427" s="28" t="n">
        <f aca="false">AJ1427*$M1427</f>
        <v>0</v>
      </c>
      <c r="AL1427" s="28"/>
      <c r="AM1427" s="28" t="n">
        <f aca="false">AL1427*$M1427</f>
        <v>0</v>
      </c>
      <c r="AN1427" s="28"/>
      <c r="AO1427" s="28" t="n">
        <f aca="false">AN1427*$M1427</f>
        <v>0</v>
      </c>
      <c r="AP1427" s="28"/>
      <c r="AQ1427" s="28" t="n">
        <f aca="false">AP1427*$M1427</f>
        <v>0</v>
      </c>
      <c r="AR1427" s="28"/>
      <c r="AS1427" s="28" t="n">
        <f aca="false">AR1427*$M1427</f>
        <v>0</v>
      </c>
      <c r="AT1427" s="28"/>
      <c r="AU1427" s="28" t="n">
        <f aca="false">AT1427*$M1427</f>
        <v>0</v>
      </c>
      <c r="AV1427" s="28"/>
      <c r="AW1427" s="28" t="n">
        <f aca="false">AV1427*$M1427</f>
        <v>0</v>
      </c>
      <c r="AX1427" s="28"/>
      <c r="AY1427" s="28" t="n">
        <f aca="false">AX1427*$M1427</f>
        <v>0</v>
      </c>
      <c r="AZ1427" s="30" t="n">
        <v>17192</v>
      </c>
      <c r="BA1427" s="11" t="n">
        <v>21490</v>
      </c>
      <c r="BB1427" s="31" t="n">
        <f aca="false">SUM(Q1427,S1427,U1427,W1427,Y1427,AA1427,AC1427,AE1427,AG1427,AI1427,AK1427,AM1427,AO1427,AQ1427,AS1427,AU1427,AW1427,AY1427)</f>
        <v>21490</v>
      </c>
      <c r="BC1427" s="28" t="n">
        <f aca="false">BA1427-BB1427</f>
        <v>0</v>
      </c>
      <c r="BD1427" s="32" t="n">
        <f aca="false">SUM(P1427,R1427,T1427,V1427,X1427,Z1427,AB1427,AD1427,AF1427,AH1427,AJ1427,AL1427,AN1427,AP1427,AR1427,AT1427,AV1427,AX1427)</f>
        <v>17192</v>
      </c>
      <c r="BE1427" s="33" t="n">
        <f aca="false">AZ1427-BD1427</f>
        <v>0</v>
      </c>
      <c r="BF1427" s="34" t="n">
        <f aca="false">BD1427*M1427</f>
        <v>21490</v>
      </c>
      <c r="BG1427" s="35" t="n">
        <f aca="false">BA1427-BF1427</f>
        <v>0</v>
      </c>
      <c r="BH1427" s="19" t="str">
        <f aca="false">IF(BG1427=0,"",IF(BG1427&lt;&gt;BA1427,"erreur de calcul",IF(BD1427&lt;&gt;0,"pas de prix",IF(M1427&lt;&gt; 0,"pas de quantité","pas de prix, ni de quantité"))))</f>
        <v/>
      </c>
      <c r="BI1427" s="19"/>
    </row>
    <row r="1428" customFormat="false" ht="15" hidden="false" customHeight="false" outlineLevel="0" collapsed="false">
      <c r="A1428" s="0" t="n">
        <v>22</v>
      </c>
      <c r="B1428" s="8" t="s">
        <v>24</v>
      </c>
      <c r="C1428" s="9" t="s">
        <v>25</v>
      </c>
      <c r="D1428" s="9" t="s">
        <v>26</v>
      </c>
      <c r="E1428" s="10" t="n">
        <v>1789</v>
      </c>
      <c r="F1428" s="9" t="s">
        <v>27</v>
      </c>
      <c r="G1428" s="9" t="s">
        <v>27</v>
      </c>
      <c r="H1428" s="11" t="n">
        <v>18</v>
      </c>
      <c r="I1428" s="11" t="s">
        <v>93</v>
      </c>
      <c r="J1428" s="14" t="n">
        <v>4</v>
      </c>
      <c r="K1428" s="14"/>
      <c r="L1428" s="16"/>
      <c r="M1428" s="27" t="n">
        <f aca="false">J1428+(K1428/20)+(L1428/240)</f>
        <v>4</v>
      </c>
      <c r="N1428" s="17" t="s">
        <v>94</v>
      </c>
      <c r="O1428" s="11"/>
      <c r="P1428" s="28"/>
      <c r="Q1428" s="28" t="n">
        <f aca="false">P1428*$M1428</f>
        <v>0</v>
      </c>
      <c r="R1428" s="28"/>
      <c r="S1428" s="28" t="n">
        <f aca="false">R1428*$M1428</f>
        <v>0</v>
      </c>
      <c r="T1428" s="28"/>
      <c r="U1428" s="28" t="n">
        <f aca="false">T1428*$M1428</f>
        <v>0</v>
      </c>
      <c r="V1428" s="28"/>
      <c r="W1428" s="28" t="n">
        <f aca="false">V1428*$M1428</f>
        <v>0</v>
      </c>
      <c r="X1428" s="29"/>
      <c r="Y1428" s="28" t="n">
        <f aca="false">X1428*$M1428</f>
        <v>0</v>
      </c>
      <c r="Z1428" s="28"/>
      <c r="AA1428" s="28" t="n">
        <f aca="false">Z1428*$M1428</f>
        <v>0</v>
      </c>
      <c r="AB1428" s="28"/>
      <c r="AC1428" s="28" t="n">
        <f aca="false">AB1428*$M1428</f>
        <v>0</v>
      </c>
      <c r="AD1428" s="28" t="n">
        <v>900</v>
      </c>
      <c r="AE1428" s="28" t="n">
        <v>3600</v>
      </c>
      <c r="AF1428" s="28"/>
      <c r="AG1428" s="28" t="n">
        <f aca="false">AF1428*$M1428</f>
        <v>0</v>
      </c>
      <c r="AH1428" s="28"/>
      <c r="AI1428" s="28" t="n">
        <f aca="false">AH1428*$M1428</f>
        <v>0</v>
      </c>
      <c r="AJ1428" s="28"/>
      <c r="AK1428" s="28" t="n">
        <f aca="false">AJ1428*$M1428</f>
        <v>0</v>
      </c>
      <c r="AL1428" s="28"/>
      <c r="AM1428" s="28" t="n">
        <f aca="false">AL1428*$M1428</f>
        <v>0</v>
      </c>
      <c r="AN1428" s="28"/>
      <c r="AO1428" s="28" t="n">
        <f aca="false">AN1428*$M1428</f>
        <v>0</v>
      </c>
      <c r="AP1428" s="28" t="n">
        <v>36</v>
      </c>
      <c r="AQ1428" s="28" t="n">
        <v>144</v>
      </c>
      <c r="AR1428" s="28"/>
      <c r="AS1428" s="28" t="n">
        <f aca="false">AR1428*$M1428</f>
        <v>0</v>
      </c>
      <c r="AT1428" s="28"/>
      <c r="AU1428" s="28" t="n">
        <f aca="false">AT1428*$M1428</f>
        <v>0</v>
      </c>
      <c r="AV1428" s="28"/>
      <c r="AW1428" s="28" t="n">
        <f aca="false">AV1428*$M1428</f>
        <v>0</v>
      </c>
      <c r="AX1428" s="28"/>
      <c r="AY1428" s="28" t="n">
        <f aca="false">AX1428*$M1428</f>
        <v>0</v>
      </c>
      <c r="AZ1428" s="30" t="n">
        <v>936</v>
      </c>
      <c r="BA1428" s="11" t="n">
        <v>3744</v>
      </c>
      <c r="BB1428" s="31" t="n">
        <f aca="false">SUM(Q1428,S1428,U1428,W1428,Y1428,AA1428,AC1428,AE1428,AG1428,AI1428,AK1428,AM1428,AO1428,AQ1428,AS1428,AU1428,AW1428,AY1428)</f>
        <v>3744</v>
      </c>
      <c r="BC1428" s="28" t="n">
        <f aca="false">BA1428-BB1428</f>
        <v>0</v>
      </c>
      <c r="BD1428" s="32" t="n">
        <f aca="false">SUM(P1428,R1428,T1428,V1428,X1428,Z1428,AB1428,AD1428,AF1428,AH1428,AJ1428,AL1428,AN1428,AP1428,AR1428,AT1428,AV1428,AX1428)</f>
        <v>936</v>
      </c>
      <c r="BE1428" s="33" t="n">
        <f aca="false">AZ1428-BD1428</f>
        <v>0</v>
      </c>
      <c r="BF1428" s="34" t="n">
        <f aca="false">BD1428*M1428</f>
        <v>3744</v>
      </c>
      <c r="BG1428" s="35" t="n">
        <f aca="false">BA1428-BF1428</f>
        <v>0</v>
      </c>
      <c r="BH1428" s="19" t="str">
        <f aca="false">IF(BG1428=0,"",IF(BG1428&lt;&gt;BA1428,"erreur de calcul",IF(BD1428&lt;&gt;0,"pas de prix",IF(M1428&lt;&gt; 0,"pas de quantité","pas de prix, ni de quantité"))))</f>
        <v/>
      </c>
      <c r="BI1428" s="19"/>
    </row>
    <row r="1429" customFormat="false" ht="15" hidden="false" customHeight="false" outlineLevel="0" collapsed="false">
      <c r="A1429" s="0" t="n">
        <v>23</v>
      </c>
      <c r="B1429" s="8" t="s">
        <v>24</v>
      </c>
      <c r="C1429" s="9" t="s">
        <v>25</v>
      </c>
      <c r="D1429" s="9" t="s">
        <v>26</v>
      </c>
      <c r="E1429" s="10" t="n">
        <v>1789</v>
      </c>
      <c r="F1429" s="9" t="s">
        <v>27</v>
      </c>
      <c r="G1429" s="9" t="s">
        <v>27</v>
      </c>
      <c r="H1429" s="11" t="n">
        <v>18</v>
      </c>
      <c r="I1429" s="11" t="s">
        <v>95</v>
      </c>
      <c r="J1429" s="14" t="n">
        <v>40</v>
      </c>
      <c r="K1429" s="14"/>
      <c r="L1429" s="16"/>
      <c r="M1429" s="27" t="n">
        <f aca="false">J1429+(K1429/20)+(L1429/240)</f>
        <v>40</v>
      </c>
      <c r="N1429" s="17" t="s">
        <v>64</v>
      </c>
      <c r="O1429" s="11"/>
      <c r="P1429" s="28" t="n">
        <f aca="false">16000/100</f>
        <v>160</v>
      </c>
      <c r="Q1429" s="28" t="n">
        <v>6400</v>
      </c>
      <c r="R1429" s="28"/>
      <c r="S1429" s="28" t="n">
        <f aca="false">R1429*$M1429</f>
        <v>0</v>
      </c>
      <c r="T1429" s="28"/>
      <c r="U1429" s="28" t="n">
        <f aca="false">T1429*$M1429</f>
        <v>0</v>
      </c>
      <c r="V1429" s="28"/>
      <c r="W1429" s="28" t="n">
        <f aca="false">V1429*$M1429</f>
        <v>0</v>
      </c>
      <c r="X1429" s="29"/>
      <c r="Y1429" s="28" t="n">
        <f aca="false">X1429*$M1429</f>
        <v>0</v>
      </c>
      <c r="Z1429" s="28"/>
      <c r="AA1429" s="28" t="n">
        <f aca="false">Z1429*$M1429</f>
        <v>0</v>
      </c>
      <c r="AB1429" s="28"/>
      <c r="AC1429" s="28" t="n">
        <f aca="false">AB1429*$M1429</f>
        <v>0</v>
      </c>
      <c r="AD1429" s="28"/>
      <c r="AE1429" s="28" t="n">
        <f aca="false">AD1429*$M1429</f>
        <v>0</v>
      </c>
      <c r="AF1429" s="28"/>
      <c r="AG1429" s="28" t="n">
        <f aca="false">AF1429*$M1429</f>
        <v>0</v>
      </c>
      <c r="AH1429" s="28"/>
      <c r="AI1429" s="28" t="n">
        <f aca="false">AH1429*$M1429</f>
        <v>0</v>
      </c>
      <c r="AJ1429" s="28"/>
      <c r="AK1429" s="28" t="n">
        <f aca="false">AJ1429*$M1429</f>
        <v>0</v>
      </c>
      <c r="AL1429" s="28"/>
      <c r="AM1429" s="28" t="n">
        <f aca="false">AL1429*$M1429</f>
        <v>0</v>
      </c>
      <c r="AN1429" s="28"/>
      <c r="AO1429" s="28" t="n">
        <f aca="false">AN1429*$M1429</f>
        <v>0</v>
      </c>
      <c r="AP1429" s="28"/>
      <c r="AQ1429" s="28" t="n">
        <f aca="false">AP1429*$M1429</f>
        <v>0</v>
      </c>
      <c r="AR1429" s="28"/>
      <c r="AS1429" s="28" t="n">
        <f aca="false">AR1429*$M1429</f>
        <v>0</v>
      </c>
      <c r="AT1429" s="28"/>
      <c r="AU1429" s="28" t="n">
        <f aca="false">AT1429*$M1429</f>
        <v>0</v>
      </c>
      <c r="AV1429" s="28"/>
      <c r="AW1429" s="28" t="n">
        <f aca="false">AV1429*$M1429</f>
        <v>0</v>
      </c>
      <c r="AX1429" s="28"/>
      <c r="AY1429" s="28" t="n">
        <f aca="false">AX1429*$M1429</f>
        <v>0</v>
      </c>
      <c r="AZ1429" s="30" t="n">
        <f aca="false">16000/100</f>
        <v>160</v>
      </c>
      <c r="BA1429" s="11" t="n">
        <v>6400</v>
      </c>
      <c r="BB1429" s="31" t="n">
        <f aca="false">SUM(Q1429,S1429,U1429,W1429,Y1429,AA1429,AC1429,AE1429,AG1429,AI1429,AK1429,AM1429,AO1429,AQ1429,AS1429,AU1429,AW1429,AY1429)</f>
        <v>6400</v>
      </c>
      <c r="BC1429" s="28" t="n">
        <f aca="false">BA1429-BB1429</f>
        <v>0</v>
      </c>
      <c r="BD1429" s="32" t="n">
        <f aca="false">SUM(P1429,R1429,T1429,V1429,X1429,Z1429,AB1429,AD1429,AF1429,AH1429,AJ1429,AL1429,AN1429,AP1429,AR1429,AT1429,AV1429,AX1429)</f>
        <v>160</v>
      </c>
      <c r="BE1429" s="33" t="n">
        <f aca="false">AZ1429-BD1429</f>
        <v>0</v>
      </c>
      <c r="BF1429" s="34" t="n">
        <f aca="false">BD1429*M1429</f>
        <v>6400</v>
      </c>
      <c r="BG1429" s="35" t="n">
        <f aca="false">BA1429-BF1429</f>
        <v>0</v>
      </c>
      <c r="BH1429" s="19" t="str">
        <f aca="false">IF(BG1429=0,"",IF(BG1429&lt;&gt;BA1429,"erreur de calcul",IF(BD1429&lt;&gt;0,"pas de prix",IF(M1429&lt;&gt; 0,"pas de quantité","pas de prix, ni de quantité"))))</f>
        <v/>
      </c>
      <c r="BI1429" s="19"/>
    </row>
    <row r="1430" customFormat="false" ht="15" hidden="false" customHeight="false" outlineLevel="0" collapsed="false">
      <c r="A1430" s="0" t="n">
        <v>24</v>
      </c>
      <c r="B1430" s="8" t="s">
        <v>24</v>
      </c>
      <c r="C1430" s="9" t="s">
        <v>25</v>
      </c>
      <c r="D1430" s="9" t="s">
        <v>26</v>
      </c>
      <c r="E1430" s="10" t="n">
        <v>1789</v>
      </c>
      <c r="F1430" s="9" t="s">
        <v>27</v>
      </c>
      <c r="G1430" s="9" t="s">
        <v>27</v>
      </c>
      <c r="H1430" s="11" t="n">
        <v>18</v>
      </c>
      <c r="I1430" s="11" t="s">
        <v>96</v>
      </c>
      <c r="J1430" s="14" t="n">
        <v>25</v>
      </c>
      <c r="K1430" s="14"/>
      <c r="L1430" s="16"/>
      <c r="M1430" s="27" t="n">
        <f aca="false">J1430+(K1430/20)+(L1430/240)</f>
        <v>25</v>
      </c>
      <c r="N1430" s="17" t="s">
        <v>64</v>
      </c>
      <c r="O1430" s="11"/>
      <c r="P1430" s="28" t="n">
        <f aca="false">968306/100</f>
        <v>9683.06</v>
      </c>
      <c r="Q1430" s="28" t="n">
        <v>242076</v>
      </c>
      <c r="R1430" s="28"/>
      <c r="S1430" s="28" t="n">
        <f aca="false">R1430*$M1430</f>
        <v>0</v>
      </c>
      <c r="T1430" s="28"/>
      <c r="U1430" s="28" t="n">
        <f aca="false">T1430*$M1430</f>
        <v>0</v>
      </c>
      <c r="V1430" s="28" t="n">
        <f aca="false">39234/100</f>
        <v>392.34</v>
      </c>
      <c r="W1430" s="28" t="n">
        <v>9808</v>
      </c>
      <c r="X1430" s="29"/>
      <c r="Y1430" s="28" t="n">
        <v>3410</v>
      </c>
      <c r="Z1430" s="28"/>
      <c r="AA1430" s="28" t="n">
        <f aca="false">Z1430*$M1430</f>
        <v>0</v>
      </c>
      <c r="AB1430" s="28"/>
      <c r="AC1430" s="28" t="n">
        <f aca="false">AB1430*$M1430</f>
        <v>0</v>
      </c>
      <c r="AD1430" s="28"/>
      <c r="AE1430" s="28" t="n">
        <f aca="false">AD1430*$M1430</f>
        <v>0</v>
      </c>
      <c r="AF1430" s="28"/>
      <c r="AG1430" s="28" t="n">
        <f aca="false">AF1430*$M1430</f>
        <v>0</v>
      </c>
      <c r="AH1430" s="28"/>
      <c r="AI1430" s="28" t="n">
        <f aca="false">AH1430*$M1430</f>
        <v>0</v>
      </c>
      <c r="AJ1430" s="28" t="n">
        <f aca="false">2665/100</f>
        <v>26.65</v>
      </c>
      <c r="AK1430" s="28" t="n">
        <v>666</v>
      </c>
      <c r="AL1430" s="28"/>
      <c r="AM1430" s="28" t="n">
        <f aca="false">AL1430*$M1430</f>
        <v>0</v>
      </c>
      <c r="AN1430" s="28"/>
      <c r="AO1430" s="28" t="n">
        <f aca="false">AN1430*$M1430</f>
        <v>0</v>
      </c>
      <c r="AP1430" s="28"/>
      <c r="AQ1430" s="28" t="n">
        <f aca="false">AP1430*$M1430</f>
        <v>0</v>
      </c>
      <c r="AR1430" s="28"/>
      <c r="AS1430" s="28" t="n">
        <f aca="false">AR1430*$M1430</f>
        <v>0</v>
      </c>
      <c r="AT1430" s="28"/>
      <c r="AU1430" s="28" t="n">
        <f aca="false">AT1430*$M1430</f>
        <v>0</v>
      </c>
      <c r="AV1430" s="28"/>
      <c r="AW1430" s="28" t="n">
        <f aca="false">AV1430*$M1430</f>
        <v>0</v>
      </c>
      <c r="AX1430" s="28" t="n">
        <f aca="false">118115/100</f>
        <v>1181.15</v>
      </c>
      <c r="AY1430" s="28" t="n">
        <v>29529</v>
      </c>
      <c r="AZ1430" s="30" t="n">
        <f aca="false">1141960/100</f>
        <v>11419.6</v>
      </c>
      <c r="BA1430" s="11" t="n">
        <v>285489</v>
      </c>
      <c r="BB1430" s="31" t="n">
        <f aca="false">SUM(Q1430,S1430,U1430,W1430,Y1430,AA1430,AC1430,AE1430,AG1430,AI1430,AK1430,AM1430,AO1430,AQ1430,AS1430,AU1430,AW1430,AY1430)</f>
        <v>285489</v>
      </c>
      <c r="BC1430" s="28" t="n">
        <f aca="false">BA1430-BB1430</f>
        <v>0</v>
      </c>
      <c r="BD1430" s="32" t="n">
        <f aca="false">SUM(P1430,R1430,T1430,V1430,X1430,Z1430,AB1430,AD1430,AF1430,AH1430,AJ1430,AL1430,AN1430,AP1430,AR1430,AT1430,AV1430,AX1430)</f>
        <v>11283.2</v>
      </c>
      <c r="BE1430" s="33" t="n">
        <f aca="false">AZ1430-BD1430</f>
        <v>136.400000000001</v>
      </c>
      <c r="BF1430" s="34" t="n">
        <f aca="false">BD1430*M1430</f>
        <v>282080</v>
      </c>
      <c r="BG1430" s="35" t="n">
        <f aca="false">BA1430-BF1430</f>
        <v>3409</v>
      </c>
      <c r="BH1430" s="19" t="str">
        <f aca="false">IF(BG1430=0,"",IF(BG1430&lt;&gt;BA1430,"erreur de calcul",IF(BD1430&lt;&gt;0,"pas de prix",IF(M1430&lt;&gt; 0,"pas de quantité","pas de prix, ni de quantité"))))</f>
        <v>erreur de calcul</v>
      </c>
      <c r="BI1430" s="19"/>
    </row>
    <row r="1431" customFormat="false" ht="15" hidden="false" customHeight="false" outlineLevel="0" collapsed="false">
      <c r="A1431" s="0" t="n">
        <v>25</v>
      </c>
      <c r="B1431" s="8" t="s">
        <v>24</v>
      </c>
      <c r="C1431" s="9" t="s">
        <v>25</v>
      </c>
      <c r="D1431" s="9" t="s">
        <v>26</v>
      </c>
      <c r="E1431" s="10" t="n">
        <v>1789</v>
      </c>
      <c r="F1431" s="9" t="s">
        <v>27</v>
      </c>
      <c r="G1431" s="9" t="s">
        <v>27</v>
      </c>
      <c r="H1431" s="11" t="n">
        <v>18</v>
      </c>
      <c r="I1431" s="11" t="s">
        <v>97</v>
      </c>
      <c r="J1431" s="14" t="n">
        <v>30</v>
      </c>
      <c r="K1431" s="14"/>
      <c r="L1431" s="16"/>
      <c r="M1431" s="27" t="n">
        <f aca="false">J1431+(K1431/20)+(L1431/240)</f>
        <v>30</v>
      </c>
      <c r="N1431" s="17" t="s">
        <v>64</v>
      </c>
      <c r="O1431" s="11" t="s">
        <v>98</v>
      </c>
      <c r="P1431" s="28"/>
      <c r="Q1431" s="28" t="n">
        <f aca="false">P1431*$M1431</f>
        <v>0</v>
      </c>
      <c r="R1431" s="28"/>
      <c r="S1431" s="28" t="n">
        <f aca="false">R1431*$M1431</f>
        <v>0</v>
      </c>
      <c r="T1431" s="28"/>
      <c r="U1431" s="28" t="n">
        <f aca="false">T1431*$M1431</f>
        <v>0</v>
      </c>
      <c r="V1431" s="28"/>
      <c r="W1431" s="28" t="n">
        <f aca="false">V1431*$M1431</f>
        <v>0</v>
      </c>
      <c r="X1431" s="29"/>
      <c r="Y1431" s="28" t="n">
        <f aca="false">X1431*$M1431</f>
        <v>0</v>
      </c>
      <c r="Z1431" s="28"/>
      <c r="AA1431" s="28" t="n">
        <f aca="false">Z1431*$M1431</f>
        <v>0</v>
      </c>
      <c r="AB1431" s="28"/>
      <c r="AC1431" s="28" t="n">
        <f aca="false">AB1431*$M1431</f>
        <v>0</v>
      </c>
      <c r="AD1431" s="28"/>
      <c r="AE1431" s="28" t="n">
        <f aca="false">AD1431*$M1431</f>
        <v>0</v>
      </c>
      <c r="AF1431" s="28"/>
      <c r="AG1431" s="28" t="n">
        <f aca="false">AF1431*$M1431</f>
        <v>0</v>
      </c>
      <c r="AH1431" s="28"/>
      <c r="AI1431" s="28" t="n">
        <f aca="false">AH1431*$M1431</f>
        <v>0</v>
      </c>
      <c r="AJ1431" s="28"/>
      <c r="AK1431" s="28" t="n">
        <f aca="false">AJ1431*$M1431</f>
        <v>0</v>
      </c>
      <c r="AL1431" s="28"/>
      <c r="AM1431" s="28" t="n">
        <f aca="false">AL1431*$M1431</f>
        <v>0</v>
      </c>
      <c r="AN1431" s="28"/>
      <c r="AO1431" s="28" t="n">
        <f aca="false">AN1431*$M1431</f>
        <v>0</v>
      </c>
      <c r="AP1431" s="28"/>
      <c r="AQ1431" s="28" t="n">
        <f aca="false">AP1431*$M1431</f>
        <v>0</v>
      </c>
      <c r="AR1431" s="28"/>
      <c r="AS1431" s="28" t="n">
        <f aca="false">AR1431*$M1431</f>
        <v>0</v>
      </c>
      <c r="AT1431" s="28"/>
      <c r="AU1431" s="28" t="n">
        <f aca="false">AT1431*$M1431</f>
        <v>0</v>
      </c>
      <c r="AV1431" s="28"/>
      <c r="AW1431" s="28" t="n">
        <f aca="false">AV1431*$M1431</f>
        <v>0</v>
      </c>
      <c r="AX1431" s="28"/>
      <c r="AY1431" s="28" t="n">
        <f aca="false">AX1431*$M1431</f>
        <v>0</v>
      </c>
      <c r="AZ1431" s="30"/>
      <c r="BA1431" s="11"/>
      <c r="BB1431" s="31" t="n">
        <f aca="false">SUM(Q1431,S1431,U1431,W1431,Y1431,AA1431,AC1431,AE1431,AG1431,AI1431,AK1431,AM1431,AO1431,AQ1431,AS1431,AU1431,AW1431,AY1431)</f>
        <v>0</v>
      </c>
      <c r="BC1431" s="28" t="n">
        <f aca="false">BA1431-BB1431</f>
        <v>0</v>
      </c>
      <c r="BD1431" s="32" t="n">
        <f aca="false">SUM(P1431,R1431,T1431,V1431,X1431,Z1431,AB1431,AD1431,AF1431,AH1431,AJ1431,AL1431,AN1431,AP1431,AR1431,AT1431,AV1431,AX1431)</f>
        <v>0</v>
      </c>
      <c r="BE1431" s="33" t="n">
        <f aca="false">AZ1431-BD1431</f>
        <v>0</v>
      </c>
      <c r="BF1431" s="34" t="n">
        <f aca="false">BD1431*M1431</f>
        <v>0</v>
      </c>
      <c r="BG1431" s="35" t="n">
        <f aca="false">BA1431-BF1431</f>
        <v>0</v>
      </c>
      <c r="BH1431" s="19" t="str">
        <f aca="false">IF(BG1431=0,"",IF(BG1431&lt;&gt;BA1431,"erreur de calcul",IF(BD1431&lt;&gt;0,"pas de prix",IF(M1431&lt;&gt; 0,"pas de quantité","pas de prix, ni de quantité"))))</f>
        <v/>
      </c>
      <c r="BI1431" s="19"/>
    </row>
    <row r="1432" customFormat="false" ht="15" hidden="false" customHeight="false" outlineLevel="0" collapsed="false">
      <c r="A1432" s="0" t="n">
        <v>26</v>
      </c>
      <c r="B1432" s="8" t="s">
        <v>24</v>
      </c>
      <c r="C1432" s="9" t="s">
        <v>25</v>
      </c>
      <c r="D1432" s="9" t="s">
        <v>26</v>
      </c>
      <c r="E1432" s="10" t="n">
        <v>1789</v>
      </c>
      <c r="F1432" s="9" t="s">
        <v>27</v>
      </c>
      <c r="G1432" s="9" t="s">
        <v>27</v>
      </c>
      <c r="H1432" s="11" t="n">
        <v>18</v>
      </c>
      <c r="I1432" s="11" t="s">
        <v>99</v>
      </c>
      <c r="J1432" s="14" t="n">
        <v>12</v>
      </c>
      <c r="K1432" s="14"/>
      <c r="L1432" s="16"/>
      <c r="M1432" s="27" t="n">
        <f aca="false">J1432+(K1432/20)+(L1432/240)</f>
        <v>12</v>
      </c>
      <c r="N1432" s="17" t="s">
        <v>64</v>
      </c>
      <c r="O1432" s="11"/>
      <c r="P1432" s="28" t="n">
        <f aca="false">7077/100</f>
        <v>70.77</v>
      </c>
      <c r="Q1432" s="28" t="n">
        <v>849</v>
      </c>
      <c r="R1432" s="28"/>
      <c r="S1432" s="28" t="n">
        <f aca="false">R1432*$M1432</f>
        <v>0</v>
      </c>
      <c r="T1432" s="28"/>
      <c r="U1432" s="28" t="n">
        <f aca="false">T1432*$M1432</f>
        <v>0</v>
      </c>
      <c r="V1432" s="28"/>
      <c r="W1432" s="28" t="n">
        <f aca="false">V1432*$M1432</f>
        <v>0</v>
      </c>
      <c r="X1432" s="29"/>
      <c r="Y1432" s="28" t="n">
        <v>866</v>
      </c>
      <c r="Z1432" s="28"/>
      <c r="AA1432" s="28" t="n">
        <f aca="false">Z1432*$M1432</f>
        <v>0</v>
      </c>
      <c r="AB1432" s="28"/>
      <c r="AC1432" s="28" t="n">
        <f aca="false">AB1432*$M1432</f>
        <v>0</v>
      </c>
      <c r="AD1432" s="28"/>
      <c r="AE1432" s="28" t="n">
        <f aca="false">AD1432*$M1432</f>
        <v>0</v>
      </c>
      <c r="AF1432" s="28"/>
      <c r="AG1432" s="28" t="n">
        <f aca="false">AF1432*$M1432</f>
        <v>0</v>
      </c>
      <c r="AH1432" s="28"/>
      <c r="AI1432" s="28" t="n">
        <f aca="false">AH1432*$M1432</f>
        <v>0</v>
      </c>
      <c r="AJ1432" s="28"/>
      <c r="AK1432" s="28" t="n">
        <f aca="false">AJ1432*$M1432</f>
        <v>0</v>
      </c>
      <c r="AL1432" s="28"/>
      <c r="AM1432" s="28" t="n">
        <f aca="false">AL1432*$M1432</f>
        <v>0</v>
      </c>
      <c r="AN1432" s="28"/>
      <c r="AO1432" s="28" t="n">
        <f aca="false">AN1432*$M1432</f>
        <v>0</v>
      </c>
      <c r="AP1432" s="28"/>
      <c r="AQ1432" s="28" t="n">
        <f aca="false">AP1432*$M1432</f>
        <v>0</v>
      </c>
      <c r="AR1432" s="28"/>
      <c r="AS1432" s="28" t="n">
        <f aca="false">AR1432*$M1432</f>
        <v>0</v>
      </c>
      <c r="AT1432" s="28"/>
      <c r="AU1432" s="28" t="n">
        <f aca="false">AT1432*$M1432</f>
        <v>0</v>
      </c>
      <c r="AV1432" s="28"/>
      <c r="AW1432" s="28" t="n">
        <f aca="false">AV1432*$M1432</f>
        <v>0</v>
      </c>
      <c r="AX1432" s="28"/>
      <c r="AY1432" s="28" t="n">
        <f aca="false">AX1432*$M1432</f>
        <v>0</v>
      </c>
      <c r="AZ1432" s="30" t="n">
        <f aca="false">14294/100</f>
        <v>142.94</v>
      </c>
      <c r="BA1432" s="11" t="n">
        <v>1715</v>
      </c>
      <c r="BB1432" s="31" t="n">
        <f aca="false">SUM(Q1432,S1432,U1432,W1432,Y1432,AA1432,AC1432,AE1432,AG1432,AI1432,AK1432,AM1432,AO1432,AQ1432,AS1432,AU1432,AW1432,AY1432)</f>
        <v>1715</v>
      </c>
      <c r="BC1432" s="28" t="n">
        <f aca="false">BA1432-BB1432</f>
        <v>0</v>
      </c>
      <c r="BD1432" s="32" t="n">
        <f aca="false">SUM(P1432,R1432,T1432,V1432,X1432,Z1432,AB1432,AD1432,AF1432,AH1432,AJ1432,AL1432,AN1432,AP1432,AR1432,AT1432,AV1432,AX1432)</f>
        <v>70.77</v>
      </c>
      <c r="BE1432" s="33" t="n">
        <f aca="false">AZ1432-BD1432</f>
        <v>72.17</v>
      </c>
      <c r="BF1432" s="34" t="n">
        <f aca="false">BD1432*M1432</f>
        <v>849.24</v>
      </c>
      <c r="BG1432" s="35" t="n">
        <f aca="false">BA1432-BF1432</f>
        <v>865.76</v>
      </c>
      <c r="BH1432" s="19" t="str">
        <f aca="false">IF(BG1432=0,"",IF(BG1432&lt;&gt;BA1432,"erreur de calcul",IF(BD1432&lt;&gt;0,"pas de prix",IF(M1432&lt;&gt; 0,"pas de quantité","pas de prix, ni de quantité"))))</f>
        <v>erreur de calcul</v>
      </c>
      <c r="BI1432" s="19"/>
    </row>
    <row r="1433" customFormat="false" ht="15" hidden="false" customHeight="false" outlineLevel="0" collapsed="false">
      <c r="A1433" s="0" t="n">
        <v>27</v>
      </c>
      <c r="B1433" s="8" t="s">
        <v>24</v>
      </c>
      <c r="C1433" s="9" t="s">
        <v>25</v>
      </c>
      <c r="D1433" s="9" t="s">
        <v>26</v>
      </c>
      <c r="E1433" s="10" t="n">
        <v>1789</v>
      </c>
      <c r="F1433" s="9" t="s">
        <v>27</v>
      </c>
      <c r="G1433" s="9" t="s">
        <v>27</v>
      </c>
      <c r="H1433" s="11" t="n">
        <v>18</v>
      </c>
      <c r="I1433" s="11" t="s">
        <v>100</v>
      </c>
      <c r="J1433" s="14" t="n">
        <v>13</v>
      </c>
      <c r="K1433" s="14"/>
      <c r="L1433" s="16"/>
      <c r="M1433" s="27" t="n">
        <f aca="false">J1433+(K1433/20)+(L1433/240)</f>
        <v>13</v>
      </c>
      <c r="N1433" s="17" t="s">
        <v>64</v>
      </c>
      <c r="O1433" s="11"/>
      <c r="P1433" s="28"/>
      <c r="Q1433" s="28" t="n">
        <f aca="false">P1433*$M1433</f>
        <v>0</v>
      </c>
      <c r="R1433" s="28"/>
      <c r="S1433" s="28" t="n">
        <f aca="false">R1433*$M1433</f>
        <v>0</v>
      </c>
      <c r="T1433" s="28"/>
      <c r="U1433" s="28" t="n">
        <f aca="false">T1433*$M1433</f>
        <v>0</v>
      </c>
      <c r="V1433" s="28"/>
      <c r="W1433" s="28" t="n">
        <f aca="false">V1433*$M1433</f>
        <v>0</v>
      </c>
      <c r="X1433" s="29"/>
      <c r="Y1433" s="28" t="n">
        <f aca="false">X1433*$M1433</f>
        <v>0</v>
      </c>
      <c r="Z1433" s="28"/>
      <c r="AA1433" s="28" t="n">
        <f aca="false">Z1433*$M1433</f>
        <v>0</v>
      </c>
      <c r="AB1433" s="28"/>
      <c r="AC1433" s="28" t="n">
        <f aca="false">AB1433*$M1433</f>
        <v>0</v>
      </c>
      <c r="AD1433" s="28"/>
      <c r="AE1433" s="28" t="n">
        <f aca="false">AD1433*$M1433</f>
        <v>0</v>
      </c>
      <c r="AF1433" s="28"/>
      <c r="AG1433" s="28" t="n">
        <f aca="false">AF1433*$M1433</f>
        <v>0</v>
      </c>
      <c r="AH1433" s="28" t="n">
        <f aca="false">7819/100</f>
        <v>78.19</v>
      </c>
      <c r="AI1433" s="28" t="n">
        <v>1016</v>
      </c>
      <c r="AJ1433" s="28" t="n">
        <f aca="false">10382/100</f>
        <v>103.82</v>
      </c>
      <c r="AK1433" s="28" t="n">
        <v>1350</v>
      </c>
      <c r="AL1433" s="28"/>
      <c r="AM1433" s="28" t="n">
        <f aca="false">AL1433*$M1433</f>
        <v>0</v>
      </c>
      <c r="AN1433" s="28"/>
      <c r="AO1433" s="28" t="n">
        <f aca="false">AN1433*$M1433</f>
        <v>0</v>
      </c>
      <c r="AP1433" s="28"/>
      <c r="AQ1433" s="28" t="n">
        <f aca="false">AP1433*$M1433</f>
        <v>0</v>
      </c>
      <c r="AR1433" s="28"/>
      <c r="AS1433" s="28" t="n">
        <f aca="false">AR1433*$M1433</f>
        <v>0</v>
      </c>
      <c r="AT1433" s="28"/>
      <c r="AU1433" s="28" t="n">
        <f aca="false">AT1433*$M1433</f>
        <v>0</v>
      </c>
      <c r="AV1433" s="28"/>
      <c r="AW1433" s="28" t="n">
        <f aca="false">AV1433*$M1433</f>
        <v>0</v>
      </c>
      <c r="AX1433" s="28"/>
      <c r="AY1433" s="28" t="n">
        <f aca="false">AX1433*$M1433</f>
        <v>0</v>
      </c>
      <c r="AZ1433" s="30" t="n">
        <f aca="false">18201/100</f>
        <v>182.01</v>
      </c>
      <c r="BA1433" s="11" t="n">
        <v>2366</v>
      </c>
      <c r="BB1433" s="31" t="n">
        <f aca="false">SUM(Q1433,S1433,U1433,W1433,Y1433,AA1433,AC1433,AE1433,AG1433,AI1433,AK1433,AM1433,AO1433,AQ1433,AS1433,AU1433,AW1433,AY1433)</f>
        <v>2366</v>
      </c>
      <c r="BC1433" s="28" t="n">
        <f aca="false">BA1433-BB1433</f>
        <v>0</v>
      </c>
      <c r="BD1433" s="32" t="n">
        <f aca="false">SUM(P1433,R1433,T1433,V1433,X1433,Z1433,AB1433,AD1433,AF1433,AH1433,AJ1433,AL1433,AN1433,AP1433,AR1433,AT1433,AV1433,AX1433)</f>
        <v>182.01</v>
      </c>
      <c r="BE1433" s="33" t="n">
        <f aca="false">AZ1433-BD1433</f>
        <v>0</v>
      </c>
      <c r="BF1433" s="34" t="n">
        <f aca="false">BD1433*M1433</f>
        <v>2366.13</v>
      </c>
      <c r="BG1433" s="35" t="n">
        <f aca="false">BA1433-BF1433</f>
        <v>-0.130000000000109</v>
      </c>
      <c r="BH1433" s="19" t="str">
        <f aca="false">IF(BG1433=0,"",IF(BG1433&lt;&gt;BA1433,"erreur de calcul",IF(BD1433&lt;&gt;0,"pas de prix",IF(M1433&lt;&gt; 0,"pas de quantité","pas de prix, ni de quantité"))))</f>
        <v>erreur de calcul</v>
      </c>
      <c r="BI1433" s="19"/>
    </row>
    <row r="1434" customFormat="false" ht="15" hidden="false" customHeight="false" outlineLevel="0" collapsed="false">
      <c r="A1434" s="0" t="n">
        <v>28</v>
      </c>
      <c r="B1434" s="8" t="s">
        <v>24</v>
      </c>
      <c r="C1434" s="9" t="s">
        <v>25</v>
      </c>
      <c r="D1434" s="9" t="s">
        <v>26</v>
      </c>
      <c r="E1434" s="10" t="n">
        <v>1789</v>
      </c>
      <c r="F1434" s="9" t="s">
        <v>27</v>
      </c>
      <c r="G1434" s="9" t="s">
        <v>27</v>
      </c>
      <c r="H1434" s="11" t="n">
        <v>18</v>
      </c>
      <c r="I1434" s="11" t="s">
        <v>101</v>
      </c>
      <c r="J1434" s="14" t="n">
        <v>35</v>
      </c>
      <c r="K1434" s="14"/>
      <c r="L1434" s="16"/>
      <c r="M1434" s="27" t="n">
        <f aca="false">J1434+(K1434/20)+(L1434/240)</f>
        <v>35</v>
      </c>
      <c r="N1434" s="17" t="s">
        <v>64</v>
      </c>
      <c r="O1434" s="11"/>
      <c r="P1434" s="28"/>
      <c r="Q1434" s="28" t="n">
        <f aca="false">P1434*$M1434</f>
        <v>0</v>
      </c>
      <c r="R1434" s="28"/>
      <c r="S1434" s="28" t="n">
        <f aca="false">R1434*$M1434</f>
        <v>0</v>
      </c>
      <c r="T1434" s="28"/>
      <c r="U1434" s="28" t="n">
        <f aca="false">T1434*$M1434</f>
        <v>0</v>
      </c>
      <c r="V1434" s="28"/>
      <c r="W1434" s="28" t="n">
        <f aca="false">V1434*$M1434</f>
        <v>0</v>
      </c>
      <c r="X1434" s="29"/>
      <c r="Y1434" s="28" t="n">
        <f aca="false">X1434*$M1434</f>
        <v>0</v>
      </c>
      <c r="Z1434" s="28"/>
      <c r="AA1434" s="28" t="n">
        <f aca="false">Z1434*$M1434</f>
        <v>0</v>
      </c>
      <c r="AB1434" s="28"/>
      <c r="AC1434" s="28" t="n">
        <f aca="false">AB1434*$M1434</f>
        <v>0</v>
      </c>
      <c r="AD1434" s="28"/>
      <c r="AE1434" s="28" t="n">
        <f aca="false">AD1434*$M1434</f>
        <v>0</v>
      </c>
      <c r="AF1434" s="28"/>
      <c r="AG1434" s="28" t="n">
        <f aca="false">AF1434*$M1434</f>
        <v>0</v>
      </c>
      <c r="AH1434" s="28"/>
      <c r="AI1434" s="28" t="n">
        <f aca="false">AH1434*$M1434</f>
        <v>0</v>
      </c>
      <c r="AJ1434" s="28" t="n">
        <f aca="false">65277/100</f>
        <v>652.77</v>
      </c>
      <c r="AK1434" s="28" t="n">
        <v>22847</v>
      </c>
      <c r="AL1434" s="28"/>
      <c r="AM1434" s="28" t="n">
        <f aca="false">AL1434*$M1434</f>
        <v>0</v>
      </c>
      <c r="AN1434" s="28"/>
      <c r="AO1434" s="28" t="n">
        <f aca="false">AN1434*$M1434</f>
        <v>0</v>
      </c>
      <c r="AP1434" s="28"/>
      <c r="AQ1434" s="28" t="n">
        <f aca="false">AP1434*$M1434</f>
        <v>0</v>
      </c>
      <c r="AR1434" s="28"/>
      <c r="AS1434" s="28" t="n">
        <f aca="false">AR1434*$M1434</f>
        <v>0</v>
      </c>
      <c r="AT1434" s="28"/>
      <c r="AU1434" s="28" t="n">
        <f aca="false">AT1434*$M1434</f>
        <v>0</v>
      </c>
      <c r="AV1434" s="28"/>
      <c r="AW1434" s="28" t="n">
        <f aca="false">AV1434*$M1434</f>
        <v>0</v>
      </c>
      <c r="AX1434" s="28"/>
      <c r="AY1434" s="28" t="n">
        <f aca="false">AX1434*$M1434</f>
        <v>0</v>
      </c>
      <c r="AZ1434" s="30" t="n">
        <f aca="false">65277/100</f>
        <v>652.77</v>
      </c>
      <c r="BA1434" s="11" t="n">
        <v>22847</v>
      </c>
      <c r="BB1434" s="31" t="n">
        <f aca="false">SUM(Q1434,S1434,U1434,W1434,Y1434,AA1434,AC1434,AE1434,AG1434,AI1434,AK1434,AM1434,AO1434,AQ1434,AS1434,AU1434,AW1434,AY1434)</f>
        <v>22847</v>
      </c>
      <c r="BC1434" s="28" t="n">
        <f aca="false">BA1434-BB1434</f>
        <v>0</v>
      </c>
      <c r="BD1434" s="32" t="n">
        <f aca="false">SUM(P1434,R1434,T1434,V1434,X1434,Z1434,AB1434,AD1434,AF1434,AH1434,AJ1434,AL1434,AN1434,AP1434,AR1434,AT1434,AV1434,AX1434)</f>
        <v>652.77</v>
      </c>
      <c r="BE1434" s="33" t="n">
        <f aca="false">AZ1434-BD1434</f>
        <v>0</v>
      </c>
      <c r="BF1434" s="34" t="n">
        <f aca="false">BD1434*M1434</f>
        <v>22846.95</v>
      </c>
      <c r="BG1434" s="35" t="n">
        <f aca="false">BA1434-BF1434</f>
        <v>0.0499999999992724</v>
      </c>
      <c r="BH1434" s="19" t="str">
        <f aca="false">IF(BG1434=0,"",IF(BG1434&lt;&gt;BA1434,"erreur de calcul",IF(BD1434&lt;&gt;0,"pas de prix",IF(M1434&lt;&gt; 0,"pas de quantité","pas de prix, ni de quantité"))))</f>
        <v>erreur de calcul</v>
      </c>
      <c r="BI1434" s="19"/>
    </row>
    <row r="1435" customFormat="false" ht="16.65" hidden="false" customHeight="false" outlineLevel="0" collapsed="false">
      <c r="A1435" s="0" t="n">
        <v>29</v>
      </c>
      <c r="B1435" s="8" t="s">
        <v>24</v>
      </c>
      <c r="C1435" s="9" t="s">
        <v>25</v>
      </c>
      <c r="D1435" s="9" t="s">
        <v>26</v>
      </c>
      <c r="E1435" s="10" t="n">
        <v>1789</v>
      </c>
      <c r="F1435" s="9" t="s">
        <v>27</v>
      </c>
      <c r="G1435" s="9" t="s">
        <v>27</v>
      </c>
      <c r="H1435" s="11" t="n">
        <v>18</v>
      </c>
      <c r="I1435" s="11" t="s">
        <v>102</v>
      </c>
      <c r="J1435" s="14" t="n">
        <v>47</v>
      </c>
      <c r="K1435" s="14"/>
      <c r="L1435" s="16"/>
      <c r="M1435" s="27" t="n">
        <f aca="false">J1435+(K1435/20)+(L1435/240)</f>
        <v>47</v>
      </c>
      <c r="N1435" s="17" t="s">
        <v>64</v>
      </c>
      <c r="O1435" s="11"/>
      <c r="P1435" s="28" t="n">
        <f aca="false">8467/100</f>
        <v>84.67</v>
      </c>
      <c r="Q1435" s="28" t="n">
        <v>3979</v>
      </c>
      <c r="R1435" s="28"/>
      <c r="S1435" s="28" t="n">
        <f aca="false">R1435*$M1435</f>
        <v>0</v>
      </c>
      <c r="T1435" s="28"/>
      <c r="U1435" s="28" t="n">
        <f aca="false">T1435*$M1435</f>
        <v>0</v>
      </c>
      <c r="V1435" s="28"/>
      <c r="W1435" s="28" t="n">
        <f aca="false">V1435*$M1435</f>
        <v>0</v>
      </c>
      <c r="X1435" s="29"/>
      <c r="Y1435" s="28" t="n">
        <f aca="false">X1435*$M1435</f>
        <v>0</v>
      </c>
      <c r="Z1435" s="28"/>
      <c r="AA1435" s="28" t="n">
        <f aca="false">Z1435*$M1435</f>
        <v>0</v>
      </c>
      <c r="AB1435" s="28"/>
      <c r="AC1435" s="28" t="n">
        <f aca="false">AB1435*$M1435</f>
        <v>0</v>
      </c>
      <c r="AD1435" s="28"/>
      <c r="AE1435" s="28" t="n">
        <f aca="false">AD1435*$M1435</f>
        <v>0</v>
      </c>
      <c r="AF1435" s="28"/>
      <c r="AG1435" s="28" t="n">
        <f aca="false">AF1435*$M1435</f>
        <v>0</v>
      </c>
      <c r="AH1435" s="28"/>
      <c r="AI1435" s="28" t="n">
        <f aca="false">AH1435*$M1435</f>
        <v>0</v>
      </c>
      <c r="AJ1435" s="28"/>
      <c r="AK1435" s="28" t="n">
        <f aca="false">AJ1435*$M1435</f>
        <v>0</v>
      </c>
      <c r="AL1435" s="28"/>
      <c r="AM1435" s="28" t="n">
        <f aca="false">AL1435*$M1435</f>
        <v>0</v>
      </c>
      <c r="AN1435" s="28"/>
      <c r="AO1435" s="28" t="n">
        <f aca="false">AN1435*$M1435</f>
        <v>0</v>
      </c>
      <c r="AP1435" s="28"/>
      <c r="AQ1435" s="28" t="n">
        <f aca="false">AP1435*$M1435</f>
        <v>0</v>
      </c>
      <c r="AR1435" s="28"/>
      <c r="AS1435" s="28" t="n">
        <f aca="false">AR1435*$M1435</f>
        <v>0</v>
      </c>
      <c r="AT1435" s="28"/>
      <c r="AU1435" s="28" t="n">
        <f aca="false">AT1435*$M1435</f>
        <v>0</v>
      </c>
      <c r="AV1435" s="28"/>
      <c r="AW1435" s="28" t="n">
        <f aca="false">AV1435*$M1435</f>
        <v>0</v>
      </c>
      <c r="AX1435" s="28"/>
      <c r="AY1435" s="28" t="n">
        <f aca="false">AX1435*$M1435</f>
        <v>0</v>
      </c>
      <c r="AZ1435" s="30" t="n">
        <f aca="false">8467/100</f>
        <v>84.67</v>
      </c>
      <c r="BA1435" s="11" t="n">
        <v>3979</v>
      </c>
      <c r="BB1435" s="31" t="n">
        <f aca="false">SUM(Q1435,S1435,U1435,W1435,Y1435,AA1435,AC1435,AE1435,AG1435,AI1435,AK1435,AM1435,AO1435,AQ1435,AS1435,AU1435,AW1435,AY1435)</f>
        <v>3979</v>
      </c>
      <c r="BC1435" s="28" t="n">
        <f aca="false">BA1435-BB1435</f>
        <v>0</v>
      </c>
      <c r="BD1435" s="32" t="n">
        <f aca="false">SUM(P1435,R1435,T1435,V1435,X1435,Z1435,AB1435,AD1435,AF1435,AH1435,AJ1435,AL1435,AN1435,AP1435,AR1435,AT1435,AV1435,AX1435)</f>
        <v>84.67</v>
      </c>
      <c r="BE1435" s="33" t="n">
        <f aca="false">AZ1435-BD1435</f>
        <v>0</v>
      </c>
      <c r="BF1435" s="34" t="n">
        <f aca="false">BD1435*M1435</f>
        <v>3979.49</v>
      </c>
      <c r="BG1435" s="35" t="n">
        <f aca="false">BA1435-BF1435</f>
        <v>-0.490000000000237</v>
      </c>
      <c r="BH1435" s="19" t="str">
        <f aca="false">IF(BG1435=0,"",IF(BG1435&lt;&gt;BA1435,"erreur de calcul",IF(BD1435&lt;&gt;0,"pas de prix",IF(M1435&lt;&gt; 0,"pas de quantité","pas de prix, ni de quantité"))))</f>
        <v>erreur de calcul</v>
      </c>
      <c r="BI1435" s="19"/>
    </row>
    <row r="1436" customFormat="false" ht="15" hidden="false" customHeight="false" outlineLevel="0" collapsed="false">
      <c r="A1436" s="0" t="n">
        <v>30</v>
      </c>
      <c r="B1436" s="8" t="s">
        <v>24</v>
      </c>
      <c r="C1436" s="9" t="s">
        <v>25</v>
      </c>
      <c r="D1436" s="9" t="s">
        <v>26</v>
      </c>
      <c r="E1436" s="10" t="n">
        <v>1789</v>
      </c>
      <c r="F1436" s="9" t="s">
        <v>27</v>
      </c>
      <c r="G1436" s="9" t="s">
        <v>27</v>
      </c>
      <c r="H1436" s="11" t="n">
        <v>18</v>
      </c>
      <c r="I1436" s="11" t="s">
        <v>103</v>
      </c>
      <c r="J1436" s="14" t="n">
        <v>475</v>
      </c>
      <c r="K1436" s="14"/>
      <c r="L1436" s="16"/>
      <c r="M1436" s="27" t="n">
        <f aca="false">J1436+(K1436/20)+(L1436/240)</f>
        <v>475</v>
      </c>
      <c r="N1436" s="17" t="s">
        <v>64</v>
      </c>
      <c r="O1436" s="11"/>
      <c r="P1436" s="28"/>
      <c r="Q1436" s="28" t="n">
        <f aca="false">P1436*$M1436</f>
        <v>0</v>
      </c>
      <c r="R1436" s="28"/>
      <c r="S1436" s="28" t="n">
        <f aca="false">R1436*$M1436</f>
        <v>0</v>
      </c>
      <c r="T1436" s="28" t="n">
        <f aca="false">1746/100</f>
        <v>17.46</v>
      </c>
      <c r="U1436" s="28" t="n">
        <v>8293</v>
      </c>
      <c r="V1436" s="28"/>
      <c r="W1436" s="28" t="n">
        <f aca="false">V1436*$M1436</f>
        <v>0</v>
      </c>
      <c r="X1436" s="29"/>
      <c r="Y1436" s="28" t="n">
        <f aca="false">X1436*$M1436</f>
        <v>0</v>
      </c>
      <c r="Z1436" s="28"/>
      <c r="AA1436" s="28" t="n">
        <f aca="false">Z1436*$M1436</f>
        <v>0</v>
      </c>
      <c r="AB1436" s="28"/>
      <c r="AC1436" s="28" t="n">
        <f aca="false">AB1436*$M1436</f>
        <v>0</v>
      </c>
      <c r="AD1436" s="28"/>
      <c r="AE1436" s="28" t="n">
        <f aca="false">AD1436*$M1436</f>
        <v>0</v>
      </c>
      <c r="AF1436" s="28"/>
      <c r="AG1436" s="28" t="n">
        <f aca="false">AF1436*$M1436</f>
        <v>0</v>
      </c>
      <c r="AH1436" s="28" t="n">
        <f aca="false">1667/100</f>
        <v>16.67</v>
      </c>
      <c r="AI1436" s="28" t="n">
        <v>7918</v>
      </c>
      <c r="AJ1436" s="28"/>
      <c r="AK1436" s="28" t="n">
        <f aca="false">AJ1436*$M1436</f>
        <v>0</v>
      </c>
      <c r="AL1436" s="28"/>
      <c r="AM1436" s="28" t="n">
        <f aca="false">AL1436*$M1436</f>
        <v>0</v>
      </c>
      <c r="AN1436" s="28"/>
      <c r="AO1436" s="28" t="n">
        <f aca="false">AN1436*$M1436</f>
        <v>0</v>
      </c>
      <c r="AP1436" s="28"/>
      <c r="AQ1436" s="28" t="n">
        <f aca="false">AP1436*$M1436</f>
        <v>0</v>
      </c>
      <c r="AR1436" s="28"/>
      <c r="AS1436" s="28" t="n">
        <f aca="false">AR1436*$M1436</f>
        <v>0</v>
      </c>
      <c r="AT1436" s="28"/>
      <c r="AU1436" s="28" t="n">
        <f aca="false">AT1436*$M1436</f>
        <v>0</v>
      </c>
      <c r="AV1436" s="28"/>
      <c r="AW1436" s="28" t="n">
        <f aca="false">AV1436*$M1436</f>
        <v>0</v>
      </c>
      <c r="AX1436" s="28"/>
      <c r="AY1436" s="28" t="n">
        <f aca="false">AX1436*$M1436</f>
        <v>0</v>
      </c>
      <c r="AZ1436" s="30" t="n">
        <f aca="false">3413/100</f>
        <v>34.13</v>
      </c>
      <c r="BA1436" s="11" t="n">
        <v>16211</v>
      </c>
      <c r="BB1436" s="31" t="n">
        <f aca="false">SUM(Q1436,S1436,U1436,W1436,Y1436,AA1436,AC1436,AE1436,AG1436,AI1436,AK1436,AM1436,AO1436,AQ1436,AS1436,AU1436,AW1436,AY1436)</f>
        <v>16211</v>
      </c>
      <c r="BC1436" s="28" t="n">
        <f aca="false">BA1436-BB1436</f>
        <v>0</v>
      </c>
      <c r="BD1436" s="32" t="n">
        <f aca="false">SUM(P1436,R1436,T1436,V1436,X1436,Z1436,AB1436,AD1436,AF1436,AH1436,AJ1436,AL1436,AN1436,AP1436,AR1436,AT1436,AV1436,AX1436)</f>
        <v>34.13</v>
      </c>
      <c r="BE1436" s="33" t="n">
        <f aca="false">AZ1436-BD1436</f>
        <v>0</v>
      </c>
      <c r="BF1436" s="34" t="n">
        <f aca="false">BD1436*M1436</f>
        <v>16211.75</v>
      </c>
      <c r="BG1436" s="35" t="n">
        <f aca="false">BA1436-BF1436</f>
        <v>-0.750000000001819</v>
      </c>
      <c r="BH1436" s="19" t="str">
        <f aca="false">IF(BG1436=0,"",IF(BG1436&lt;&gt;BA1436,"erreur de calcul",IF(BD1436&lt;&gt;0,"pas de prix",IF(M1436&lt;&gt; 0,"pas de quantité","pas de prix, ni de quantité"))))</f>
        <v>erreur de calcul</v>
      </c>
      <c r="BI1436" s="19"/>
    </row>
    <row r="1437" customFormat="false" ht="15" hidden="false" customHeight="false" outlineLevel="0" collapsed="false">
      <c r="A1437" s="0" t="n">
        <v>31</v>
      </c>
      <c r="B1437" s="8" t="s">
        <v>24</v>
      </c>
      <c r="C1437" s="9" t="s">
        <v>25</v>
      </c>
      <c r="D1437" s="9" t="s">
        <v>26</v>
      </c>
      <c r="E1437" s="10" t="n">
        <v>1789</v>
      </c>
      <c r="F1437" s="9" t="s">
        <v>27</v>
      </c>
      <c r="G1437" s="9" t="s">
        <v>27</v>
      </c>
      <c r="H1437" s="11" t="n">
        <v>18</v>
      </c>
      <c r="I1437" s="11" t="s">
        <v>104</v>
      </c>
      <c r="J1437" s="14" t="n">
        <v>310</v>
      </c>
      <c r="K1437" s="14"/>
      <c r="L1437" s="16"/>
      <c r="M1437" s="27" t="n">
        <f aca="false">J1437+(K1437/20)+(L1437/240)</f>
        <v>310</v>
      </c>
      <c r="N1437" s="17" t="s">
        <v>64</v>
      </c>
      <c r="O1437" s="11"/>
      <c r="P1437" s="28"/>
      <c r="Q1437" s="28" t="n">
        <f aca="false">P1437*$M1437</f>
        <v>0</v>
      </c>
      <c r="R1437" s="28"/>
      <c r="S1437" s="28" t="n">
        <f aca="false">R1437*$M1437</f>
        <v>0</v>
      </c>
      <c r="T1437" s="28" t="n">
        <f aca="false">1087/100</f>
        <v>10.87</v>
      </c>
      <c r="U1437" s="28" t="n">
        <v>3370</v>
      </c>
      <c r="V1437" s="28" t="n">
        <f aca="false">285/100</f>
        <v>2.85</v>
      </c>
      <c r="W1437" s="28" t="n">
        <v>883</v>
      </c>
      <c r="X1437" s="29"/>
      <c r="Y1437" s="28" t="n">
        <f aca="false">X1437*$M1437</f>
        <v>0</v>
      </c>
      <c r="Z1437" s="28"/>
      <c r="AA1437" s="28" t="n">
        <f aca="false">Z1437*$M1437</f>
        <v>0</v>
      </c>
      <c r="AB1437" s="28"/>
      <c r="AC1437" s="28" t="n">
        <f aca="false">AB1437*$M1437</f>
        <v>0</v>
      </c>
      <c r="AD1437" s="28"/>
      <c r="AE1437" s="28" t="n">
        <f aca="false">AD1437*$M1437</f>
        <v>0</v>
      </c>
      <c r="AF1437" s="28"/>
      <c r="AG1437" s="28" t="n">
        <f aca="false">AF1437*$M1437</f>
        <v>0</v>
      </c>
      <c r="AH1437" s="28"/>
      <c r="AI1437" s="28" t="n">
        <f aca="false">AH1437*$M1437</f>
        <v>0</v>
      </c>
      <c r="AJ1437" s="28"/>
      <c r="AK1437" s="28" t="n">
        <f aca="false">AJ1437*$M1437</f>
        <v>0</v>
      </c>
      <c r="AL1437" s="28"/>
      <c r="AM1437" s="28" t="n">
        <f aca="false">AL1437*$M1437</f>
        <v>0</v>
      </c>
      <c r="AN1437" s="28"/>
      <c r="AO1437" s="28" t="n">
        <f aca="false">AN1437*$M1437</f>
        <v>0</v>
      </c>
      <c r="AP1437" s="28"/>
      <c r="AQ1437" s="28" t="n">
        <f aca="false">AP1437*$M1437</f>
        <v>0</v>
      </c>
      <c r="AR1437" s="28"/>
      <c r="AS1437" s="28" t="n">
        <f aca="false">AR1437*$M1437</f>
        <v>0</v>
      </c>
      <c r="AT1437" s="28"/>
      <c r="AU1437" s="28" t="n">
        <f aca="false">AT1437*$M1437</f>
        <v>0</v>
      </c>
      <c r="AV1437" s="28"/>
      <c r="AW1437" s="28" t="n">
        <f aca="false">AV1437*$M1437</f>
        <v>0</v>
      </c>
      <c r="AX1437" s="28"/>
      <c r="AY1437" s="28" t="n">
        <f aca="false">AX1437*$M1437</f>
        <v>0</v>
      </c>
      <c r="AZ1437" s="30" t="n">
        <f aca="false">1372/100</f>
        <v>13.72</v>
      </c>
      <c r="BA1437" s="11" t="n">
        <v>4253</v>
      </c>
      <c r="BB1437" s="31" t="n">
        <f aca="false">SUM(Q1437,S1437,U1437,W1437,Y1437,AA1437,AC1437,AE1437,AG1437,AI1437,AK1437,AM1437,AO1437,AQ1437,AS1437,AU1437,AW1437,AY1437)</f>
        <v>4253</v>
      </c>
      <c r="BC1437" s="28" t="n">
        <f aca="false">BA1437-BB1437</f>
        <v>0</v>
      </c>
      <c r="BD1437" s="32" t="n">
        <f aca="false">SUM(P1437,R1437,T1437,V1437,X1437,Z1437,AB1437,AD1437,AF1437,AH1437,AJ1437,AL1437,AN1437,AP1437,AR1437,AT1437,AV1437,AX1437)</f>
        <v>13.72</v>
      </c>
      <c r="BE1437" s="33" t="n">
        <f aca="false">AZ1437-BD1437</f>
        <v>0</v>
      </c>
      <c r="BF1437" s="34" t="n">
        <f aca="false">BD1437*M1437</f>
        <v>4253.2</v>
      </c>
      <c r="BG1437" s="35" t="n">
        <f aca="false">BA1437-BF1437</f>
        <v>-0.199999999999818</v>
      </c>
      <c r="BH1437" s="19" t="str">
        <f aca="false">IF(BG1437=0,"",IF(BG1437&lt;&gt;BA1437,"erreur de calcul",IF(BD1437&lt;&gt;0,"pas de prix",IF(M1437&lt;&gt; 0,"pas de quantité","pas de prix, ni de quantité"))))</f>
        <v>erreur de calcul</v>
      </c>
      <c r="BI1437" s="19"/>
    </row>
    <row r="1438" customFormat="false" ht="15" hidden="false" customHeight="false" outlineLevel="0" collapsed="false">
      <c r="A1438" s="0" t="n">
        <v>32</v>
      </c>
      <c r="B1438" s="8" t="s">
        <v>24</v>
      </c>
      <c r="C1438" s="9" t="s">
        <v>25</v>
      </c>
      <c r="D1438" s="9" t="s">
        <v>26</v>
      </c>
      <c r="E1438" s="10" t="n">
        <v>1789</v>
      </c>
      <c r="F1438" s="9" t="s">
        <v>27</v>
      </c>
      <c r="G1438" s="9" t="s">
        <v>27</v>
      </c>
      <c r="H1438" s="11" t="n">
        <v>18</v>
      </c>
      <c r="I1438" s="11" t="s">
        <v>105</v>
      </c>
      <c r="J1438" s="14" t="n">
        <v>570</v>
      </c>
      <c r="K1438" s="14"/>
      <c r="L1438" s="16"/>
      <c r="M1438" s="27" t="n">
        <f aca="false">J1438+(K1438/20)+(L1438/240)</f>
        <v>570</v>
      </c>
      <c r="N1438" s="17" t="s">
        <v>64</v>
      </c>
      <c r="O1438" s="11"/>
      <c r="P1438" s="28"/>
      <c r="Q1438" s="28" t="n">
        <f aca="false">P1438*$M1438</f>
        <v>0</v>
      </c>
      <c r="R1438" s="28"/>
      <c r="S1438" s="28" t="n">
        <f aca="false">R1438*$M1438</f>
        <v>0</v>
      </c>
      <c r="T1438" s="28" t="n">
        <f aca="false">7423/100</f>
        <v>74.23</v>
      </c>
      <c r="U1438" s="28" t="n">
        <v>42311</v>
      </c>
      <c r="V1438" s="28" t="n">
        <f aca="false">798/100</f>
        <v>7.98</v>
      </c>
      <c r="W1438" s="28" t="n">
        <v>4549</v>
      </c>
      <c r="X1438" s="29" t="n">
        <f aca="false">2068/100</f>
        <v>20.68</v>
      </c>
      <c r="Y1438" s="28" t="n">
        <v>8368</v>
      </c>
      <c r="Z1438" s="28"/>
      <c r="AA1438" s="28" t="n">
        <f aca="false">Z1438*$M1438</f>
        <v>0</v>
      </c>
      <c r="AB1438" s="28" t="n">
        <f aca="false">226/100</f>
        <v>2.26</v>
      </c>
      <c r="AC1438" s="28" t="n">
        <v>1288</v>
      </c>
      <c r="AD1438" s="28"/>
      <c r="AE1438" s="28" t="n">
        <f aca="false">AD1438*$M1438</f>
        <v>0</v>
      </c>
      <c r="AF1438" s="28"/>
      <c r="AG1438" s="28" t="n">
        <f aca="false">AF1438*$M1438</f>
        <v>0</v>
      </c>
      <c r="AH1438" s="28"/>
      <c r="AI1438" s="28" t="n">
        <f aca="false">AH1438*$M1438</f>
        <v>0</v>
      </c>
      <c r="AJ1438" s="28"/>
      <c r="AK1438" s="28" t="n">
        <f aca="false">AJ1438*$M1438</f>
        <v>0</v>
      </c>
      <c r="AL1438" s="28"/>
      <c r="AM1438" s="28" t="n">
        <f aca="false">AL1438*$M1438</f>
        <v>0</v>
      </c>
      <c r="AN1438" s="28"/>
      <c r="AO1438" s="28" t="n">
        <f aca="false">AN1438*$M1438</f>
        <v>0</v>
      </c>
      <c r="AP1438" s="28"/>
      <c r="AQ1438" s="28" t="n">
        <f aca="false">AP1438*$M1438</f>
        <v>0</v>
      </c>
      <c r="AR1438" s="28"/>
      <c r="AS1438" s="28" t="n">
        <f aca="false">AR1438*$M1438</f>
        <v>0</v>
      </c>
      <c r="AT1438" s="28"/>
      <c r="AU1438" s="28" t="n">
        <f aca="false">AT1438*$M1438</f>
        <v>0</v>
      </c>
      <c r="AV1438" s="28"/>
      <c r="AW1438" s="28" t="n">
        <f aca="false">AV1438*$M1438</f>
        <v>0</v>
      </c>
      <c r="AX1438" s="28"/>
      <c r="AY1438" s="28" t="n">
        <f aca="false">AX1438*$M1438</f>
        <v>0</v>
      </c>
      <c r="AZ1438" s="30" t="n">
        <f aca="false">10515/100</f>
        <v>105.15</v>
      </c>
      <c r="BA1438" s="11" t="n">
        <v>56516</v>
      </c>
      <c r="BB1438" s="31" t="n">
        <f aca="false">SUM(Q1438,S1438,U1438,W1438,Y1438,AA1438,AC1438,AE1438,AG1438,AI1438,AK1438,AM1438,AO1438,AQ1438,AS1438,AU1438,AW1438,AY1438)</f>
        <v>56516</v>
      </c>
      <c r="BC1438" s="28" t="n">
        <f aca="false">BA1438-BB1438</f>
        <v>0</v>
      </c>
      <c r="BD1438" s="32" t="n">
        <f aca="false">SUM(P1438,R1438,T1438,V1438,X1438,Z1438,AB1438,AD1438,AF1438,AH1438,AJ1438,AL1438,AN1438,AP1438,AR1438,AT1438,AV1438,AX1438)</f>
        <v>105.15</v>
      </c>
      <c r="BE1438" s="33" t="n">
        <f aca="false">AZ1438-BD1438</f>
        <v>0</v>
      </c>
      <c r="BF1438" s="34" t="n">
        <f aca="false">BD1438*M1438</f>
        <v>59935.5</v>
      </c>
      <c r="BG1438" s="35" t="n">
        <f aca="false">BA1438-BF1438</f>
        <v>-3419.5</v>
      </c>
      <c r="BH1438" s="19" t="str">
        <f aca="false">IF(BG1438=0,"",IF(BG1438&lt;&gt;BA1438,"erreur de calcul",IF(BD1438&lt;&gt;0,"pas de prix",IF(M1438&lt;&gt; 0,"pas de quantité","pas de prix, ni de quantité"))))</f>
        <v>erreur de calcul</v>
      </c>
      <c r="BI1438" s="19"/>
    </row>
    <row r="1439" customFormat="false" ht="15" hidden="false" customHeight="false" outlineLevel="0" collapsed="false">
      <c r="A1439" s="0" t="n">
        <v>33</v>
      </c>
      <c r="B1439" s="8" t="s">
        <v>24</v>
      </c>
      <c r="C1439" s="9" t="s">
        <v>25</v>
      </c>
      <c r="D1439" s="9" t="s">
        <v>26</v>
      </c>
      <c r="E1439" s="10" t="n">
        <v>1789</v>
      </c>
      <c r="F1439" s="9" t="s">
        <v>27</v>
      </c>
      <c r="G1439" s="9" t="s">
        <v>27</v>
      </c>
      <c r="H1439" s="11" t="n">
        <v>18</v>
      </c>
      <c r="I1439" s="11" t="s">
        <v>106</v>
      </c>
      <c r="J1439" s="14"/>
      <c r="K1439" s="14" t="n">
        <v>40</v>
      </c>
      <c r="L1439" s="16"/>
      <c r="M1439" s="27" t="n">
        <f aca="false">J1439+(K1439/20)+(L1439/240)</f>
        <v>2</v>
      </c>
      <c r="N1439" s="17" t="s">
        <v>66</v>
      </c>
      <c r="O1439" s="11"/>
      <c r="P1439" s="28"/>
      <c r="Q1439" s="28" t="n">
        <f aca="false">P1439*$M1439</f>
        <v>0</v>
      </c>
      <c r="R1439" s="28"/>
      <c r="S1439" s="28" t="n">
        <f aca="false">R1439*$M1439</f>
        <v>0</v>
      </c>
      <c r="T1439" s="28"/>
      <c r="U1439" s="28" t="n">
        <f aca="false">T1439*$M1439</f>
        <v>0</v>
      </c>
      <c r="V1439" s="28" t="n">
        <v>892</v>
      </c>
      <c r="W1439" s="28" t="n">
        <v>1784</v>
      </c>
      <c r="X1439" s="29"/>
      <c r="Y1439" s="28" t="n">
        <f aca="false">X1439*$M1439</f>
        <v>0</v>
      </c>
      <c r="Z1439" s="28"/>
      <c r="AA1439" s="28" t="n">
        <f aca="false">Z1439*$M1439</f>
        <v>0</v>
      </c>
      <c r="AB1439" s="28"/>
      <c r="AC1439" s="28" t="n">
        <f aca="false">AB1439*$M1439</f>
        <v>0</v>
      </c>
      <c r="AD1439" s="28"/>
      <c r="AE1439" s="28" t="n">
        <f aca="false">AD1439*$M1439</f>
        <v>0</v>
      </c>
      <c r="AF1439" s="28"/>
      <c r="AG1439" s="28" t="n">
        <f aca="false">AF1439*$M1439</f>
        <v>0</v>
      </c>
      <c r="AH1439" s="28" t="n">
        <v>1961</v>
      </c>
      <c r="AI1439" s="28" t="n">
        <v>3922</v>
      </c>
      <c r="AJ1439" s="28"/>
      <c r="AK1439" s="28" t="n">
        <f aca="false">AJ1439*$M1439</f>
        <v>0</v>
      </c>
      <c r="AL1439" s="28"/>
      <c r="AM1439" s="28" t="n">
        <f aca="false">AL1439*$M1439</f>
        <v>0</v>
      </c>
      <c r="AN1439" s="28"/>
      <c r="AO1439" s="28" t="n">
        <f aca="false">AN1439*$M1439</f>
        <v>0</v>
      </c>
      <c r="AP1439" s="28"/>
      <c r="AQ1439" s="28" t="n">
        <f aca="false">AP1439*$M1439</f>
        <v>0</v>
      </c>
      <c r="AR1439" s="28"/>
      <c r="AS1439" s="28" t="n">
        <f aca="false">AR1439*$M1439</f>
        <v>0</v>
      </c>
      <c r="AT1439" s="28"/>
      <c r="AU1439" s="28" t="n">
        <f aca="false">AT1439*$M1439</f>
        <v>0</v>
      </c>
      <c r="AV1439" s="28"/>
      <c r="AW1439" s="28" t="n">
        <f aca="false">AV1439*$M1439</f>
        <v>0</v>
      </c>
      <c r="AX1439" s="28"/>
      <c r="AY1439" s="28" t="n">
        <f aca="false">AX1439*$M1439</f>
        <v>0</v>
      </c>
      <c r="AZ1439" s="30" t="n">
        <v>2853</v>
      </c>
      <c r="BA1439" s="11" t="n">
        <v>5706</v>
      </c>
      <c r="BB1439" s="31" t="n">
        <f aca="false">SUM(Q1439,S1439,U1439,W1439,Y1439,AA1439,AC1439,AE1439,AG1439,AI1439,AK1439,AM1439,AO1439,AQ1439,AS1439,AU1439,AW1439,AY1439)</f>
        <v>5706</v>
      </c>
      <c r="BC1439" s="28" t="n">
        <f aca="false">BA1439-BB1439</f>
        <v>0</v>
      </c>
      <c r="BD1439" s="32" t="n">
        <f aca="false">SUM(P1439,R1439,T1439,V1439,X1439,Z1439,AB1439,AD1439,AF1439,AH1439,AJ1439,AL1439,AN1439,AP1439,AR1439,AT1439,AV1439,AX1439)</f>
        <v>2853</v>
      </c>
      <c r="BE1439" s="33" t="n">
        <f aca="false">AZ1439-BD1439</f>
        <v>0</v>
      </c>
      <c r="BF1439" s="34" t="n">
        <f aca="false">BD1439*M1439</f>
        <v>5706</v>
      </c>
      <c r="BG1439" s="35" t="n">
        <f aca="false">BA1439-BF1439</f>
        <v>0</v>
      </c>
      <c r="BH1439" s="19" t="str">
        <f aca="false">IF(BG1439=0,"",IF(BG1439&lt;&gt;BA1439,"erreur de calcul",IF(BD1439&lt;&gt;0,"pas de prix",IF(M1439&lt;&gt; 0,"pas de quantité","pas de prix, ni de quantité"))))</f>
        <v/>
      </c>
      <c r="BI1439" s="19"/>
    </row>
    <row r="1440" customFormat="false" ht="15" hidden="false" customHeight="false" outlineLevel="0" collapsed="false">
      <c r="A1440" s="0" t="n">
        <v>34</v>
      </c>
      <c r="B1440" s="8" t="s">
        <v>24</v>
      </c>
      <c r="C1440" s="9" t="s">
        <v>25</v>
      </c>
      <c r="D1440" s="9" t="s">
        <v>26</v>
      </c>
      <c r="E1440" s="10" t="n">
        <v>1789</v>
      </c>
      <c r="F1440" s="9" t="s">
        <v>27</v>
      </c>
      <c r="G1440" s="9" t="s">
        <v>27</v>
      </c>
      <c r="H1440" s="11" t="n">
        <v>18</v>
      </c>
      <c r="I1440" s="11" t="s">
        <v>107</v>
      </c>
      <c r="J1440" s="14" t="n">
        <v>180</v>
      </c>
      <c r="K1440" s="14"/>
      <c r="L1440" s="16"/>
      <c r="M1440" s="27" t="n">
        <f aca="false">J1440+(K1440/20)+(L1440/240)</f>
        <v>180</v>
      </c>
      <c r="N1440" s="17" t="s">
        <v>64</v>
      </c>
      <c r="O1440" s="11"/>
      <c r="P1440" s="28"/>
      <c r="Q1440" s="28" t="n">
        <f aca="false">P1440*$M1440</f>
        <v>0</v>
      </c>
      <c r="R1440" s="28"/>
      <c r="S1440" s="28" t="n">
        <f aca="false">R1440*$M1440</f>
        <v>0</v>
      </c>
      <c r="T1440" s="28"/>
      <c r="U1440" s="28" t="n">
        <f aca="false">T1440*$M1440</f>
        <v>0</v>
      </c>
      <c r="V1440" s="28"/>
      <c r="W1440" s="28" t="n">
        <f aca="false">V1440*$M1440</f>
        <v>0</v>
      </c>
      <c r="X1440" s="29"/>
      <c r="Y1440" s="28" t="n">
        <f aca="false">X1440*$M1440</f>
        <v>0</v>
      </c>
      <c r="Z1440" s="28"/>
      <c r="AA1440" s="28" t="n">
        <f aca="false">Z1440*$M1440</f>
        <v>0</v>
      </c>
      <c r="AB1440" s="28"/>
      <c r="AC1440" s="28" t="n">
        <f aca="false">AB1440*$M1440</f>
        <v>0</v>
      </c>
      <c r="AD1440" s="28"/>
      <c r="AE1440" s="28" t="n">
        <f aca="false">AD1440*$M1440</f>
        <v>0</v>
      </c>
      <c r="AF1440" s="28"/>
      <c r="AG1440" s="28" t="n">
        <f aca="false">AF1440*$M1440</f>
        <v>0</v>
      </c>
      <c r="AH1440" s="28" t="n">
        <f aca="false">28680/100</f>
        <v>286.8</v>
      </c>
      <c r="AI1440" s="28" t="n">
        <v>51624</v>
      </c>
      <c r="AJ1440" s="28"/>
      <c r="AK1440" s="28" t="n">
        <f aca="false">AJ1440*$M1440</f>
        <v>0</v>
      </c>
      <c r="AL1440" s="28"/>
      <c r="AM1440" s="28" t="n">
        <f aca="false">AL1440*$M1440</f>
        <v>0</v>
      </c>
      <c r="AN1440" s="28"/>
      <c r="AO1440" s="28" t="n">
        <f aca="false">AN1440*$M1440</f>
        <v>0</v>
      </c>
      <c r="AP1440" s="28"/>
      <c r="AQ1440" s="28" t="n">
        <f aca="false">AP1440*$M1440</f>
        <v>0</v>
      </c>
      <c r="AR1440" s="28"/>
      <c r="AS1440" s="28" t="n">
        <f aca="false">AR1440*$M1440</f>
        <v>0</v>
      </c>
      <c r="AT1440" s="28"/>
      <c r="AU1440" s="28" t="n">
        <f aca="false">AT1440*$M1440</f>
        <v>0</v>
      </c>
      <c r="AV1440" s="28"/>
      <c r="AW1440" s="28" t="n">
        <f aca="false">AV1440*$M1440</f>
        <v>0</v>
      </c>
      <c r="AX1440" s="28"/>
      <c r="AY1440" s="28" t="n">
        <f aca="false">AX1440*$M1440</f>
        <v>0</v>
      </c>
      <c r="AZ1440" s="30" t="n">
        <f aca="false">28680/100</f>
        <v>286.8</v>
      </c>
      <c r="BA1440" s="11" t="n">
        <v>51624</v>
      </c>
      <c r="BB1440" s="31" t="n">
        <f aca="false">SUM(Q1440,S1440,U1440,W1440,Y1440,AA1440,AC1440,AE1440,AG1440,AI1440,AK1440,AM1440,AO1440,AQ1440,AS1440,AU1440,AW1440,AY1440)</f>
        <v>51624</v>
      </c>
      <c r="BC1440" s="28" t="n">
        <f aca="false">BA1440-BB1440</f>
        <v>0</v>
      </c>
      <c r="BD1440" s="32" t="n">
        <f aca="false">SUM(P1440,R1440,T1440,V1440,X1440,Z1440,AB1440,AD1440,AF1440,AH1440,AJ1440,AL1440,AN1440,AP1440,AR1440,AT1440,AV1440,AX1440)</f>
        <v>286.8</v>
      </c>
      <c r="BE1440" s="33" t="n">
        <f aca="false">AZ1440-BD1440</f>
        <v>0</v>
      </c>
      <c r="BF1440" s="34" t="n">
        <f aca="false">BD1440*M1440</f>
        <v>51624</v>
      </c>
      <c r="BG1440" s="35" t="n">
        <f aca="false">BA1440-BF1440</f>
        <v>0</v>
      </c>
      <c r="BH1440" s="19" t="str">
        <f aca="false">IF(BG1440=0,"",IF(BG1440&lt;&gt;BA1440,"erreur de calcul",IF(BD1440&lt;&gt;0,"pas de prix",IF(M1440&lt;&gt; 0,"pas de quantité","pas de prix, ni de quantité"))))</f>
        <v/>
      </c>
      <c r="BI1440" s="19"/>
    </row>
    <row r="1441" customFormat="false" ht="15" hidden="false" customHeight="false" outlineLevel="0" collapsed="false">
      <c r="A1441" s="0" t="n">
        <v>35</v>
      </c>
      <c r="B1441" s="8" t="s">
        <v>24</v>
      </c>
      <c r="C1441" s="9" t="s">
        <v>25</v>
      </c>
      <c r="D1441" s="9" t="s">
        <v>26</v>
      </c>
      <c r="E1441" s="10" t="n">
        <v>1789</v>
      </c>
      <c r="F1441" s="9" t="s">
        <v>27</v>
      </c>
      <c r="G1441" s="9" t="s">
        <v>27</v>
      </c>
      <c r="H1441" s="11" t="n">
        <v>18</v>
      </c>
      <c r="I1441" s="11" t="s">
        <v>108</v>
      </c>
      <c r="J1441" s="14" t="n">
        <v>11</v>
      </c>
      <c r="K1441" s="14"/>
      <c r="L1441" s="16"/>
      <c r="M1441" s="27" t="n">
        <f aca="false">J1441+(K1441/20)+(L1441/240)</f>
        <v>11</v>
      </c>
      <c r="N1441" s="17" t="s">
        <v>64</v>
      </c>
      <c r="O1441" s="11" t="s">
        <v>109</v>
      </c>
      <c r="P1441" s="28"/>
      <c r="Q1441" s="28" t="n">
        <f aca="false">P1441*$M1441</f>
        <v>0</v>
      </c>
      <c r="R1441" s="28"/>
      <c r="S1441" s="28" t="n">
        <f aca="false">R1441*$M1441</f>
        <v>0</v>
      </c>
      <c r="T1441" s="28"/>
      <c r="U1441" s="28" t="n">
        <f aca="false">T1441*$M1441</f>
        <v>0</v>
      </c>
      <c r="V1441" s="28"/>
      <c r="W1441" s="28" t="n">
        <f aca="false">V1441*$M1441</f>
        <v>0</v>
      </c>
      <c r="X1441" s="29"/>
      <c r="Y1441" s="28" t="n">
        <f aca="false">X1441*$M1441</f>
        <v>0</v>
      </c>
      <c r="Z1441" s="28"/>
      <c r="AA1441" s="28" t="n">
        <f aca="false">Z1441*$M1441</f>
        <v>0</v>
      </c>
      <c r="AB1441" s="28"/>
      <c r="AC1441" s="28" t="n">
        <f aca="false">AB1441*$M1441</f>
        <v>0</v>
      </c>
      <c r="AD1441" s="28"/>
      <c r="AE1441" s="28" t="n">
        <f aca="false">AD1441*$M1441</f>
        <v>0</v>
      </c>
      <c r="AF1441" s="28"/>
      <c r="AG1441" s="28" t="n">
        <f aca="false">AF1441*$M1441</f>
        <v>0</v>
      </c>
      <c r="AH1441" s="28"/>
      <c r="AI1441" s="28" t="n">
        <f aca="false">AH1441*$M1441</f>
        <v>0</v>
      </c>
      <c r="AJ1441" s="28" t="n">
        <f aca="false">1784/100</f>
        <v>17.84</v>
      </c>
      <c r="AK1441" s="28" t="n">
        <v>196</v>
      </c>
      <c r="AL1441" s="28" t="n">
        <f aca="false">7942/100</f>
        <v>79.42</v>
      </c>
      <c r="AM1441" s="28" t="n">
        <v>874</v>
      </c>
      <c r="AN1441" s="28"/>
      <c r="AO1441" s="28" t="n">
        <f aca="false">AN1441*$M1441</f>
        <v>0</v>
      </c>
      <c r="AP1441" s="28" t="n">
        <f aca="false">13980/100</f>
        <v>139.8</v>
      </c>
      <c r="AQ1441" s="28" t="n">
        <v>1538</v>
      </c>
      <c r="AR1441" s="28" t="n">
        <f aca="false">96390/100</f>
        <v>963.9</v>
      </c>
      <c r="AS1441" s="28" t="n">
        <v>10603</v>
      </c>
      <c r="AT1441" s="28"/>
      <c r="AU1441" s="28" t="n">
        <f aca="false">AT1441*$M1441</f>
        <v>0</v>
      </c>
      <c r="AV1441" s="28"/>
      <c r="AW1441" s="28" t="n">
        <f aca="false">AV1441*$M1441</f>
        <v>0</v>
      </c>
      <c r="AX1441" s="28"/>
      <c r="AY1441" s="28" t="n">
        <f aca="false">AX1441*$M1441</f>
        <v>0</v>
      </c>
      <c r="AZ1441" s="30" t="n">
        <f aca="false">120096/100</f>
        <v>1200.96</v>
      </c>
      <c r="BA1441" s="11" t="n">
        <v>13211</v>
      </c>
      <c r="BB1441" s="31" t="n">
        <f aca="false">SUM(Q1441,S1441,U1441,W1441,Y1441,AA1441,AC1441,AE1441,AG1441,AI1441,AK1441,AM1441,AO1441,AQ1441,AS1441,AU1441,AW1441,AY1441)</f>
        <v>13211</v>
      </c>
      <c r="BC1441" s="28" t="n">
        <f aca="false">BA1441-BB1441</f>
        <v>0</v>
      </c>
      <c r="BD1441" s="32" t="n">
        <f aca="false">SUM(P1441,R1441,T1441,V1441,X1441,Z1441,AB1441,AD1441,AF1441,AH1441,AJ1441,AL1441,AN1441,AP1441,AR1441,AT1441,AV1441,AX1441)</f>
        <v>1200.96</v>
      </c>
      <c r="BE1441" s="33" t="n">
        <f aca="false">AZ1441-BD1441</f>
        <v>0</v>
      </c>
      <c r="BF1441" s="34" t="n">
        <f aca="false">BD1441*M1441</f>
        <v>13210.56</v>
      </c>
      <c r="BG1441" s="35" t="n">
        <f aca="false">BA1441-BF1441</f>
        <v>0.43999999999869</v>
      </c>
      <c r="BH1441" s="19" t="str">
        <f aca="false">IF(BG1441=0,"",IF(BG1441&lt;&gt;BA1441,"erreur de calcul",IF(BD1441&lt;&gt;0,"pas de prix",IF(M1441&lt;&gt; 0,"pas de quantité","pas de prix, ni de quantité"))))</f>
        <v>erreur de calcul</v>
      </c>
      <c r="BI1441" s="19"/>
    </row>
    <row r="1442" customFormat="false" ht="15" hidden="false" customHeight="false" outlineLevel="0" collapsed="false">
      <c r="A1442" s="0" t="n">
        <v>36</v>
      </c>
      <c r="B1442" s="8" t="s">
        <v>24</v>
      </c>
      <c r="C1442" s="9" t="s">
        <v>25</v>
      </c>
      <c r="D1442" s="9" t="s">
        <v>26</v>
      </c>
      <c r="E1442" s="10" t="n">
        <v>1789</v>
      </c>
      <c r="F1442" s="9" t="s">
        <v>27</v>
      </c>
      <c r="G1442" s="9" t="s">
        <v>27</v>
      </c>
      <c r="H1442" s="11" t="n">
        <v>18</v>
      </c>
      <c r="I1442" s="11" t="s">
        <v>110</v>
      </c>
      <c r="J1442" s="14" t="n">
        <v>12</v>
      </c>
      <c r="K1442" s="14"/>
      <c r="L1442" s="16"/>
      <c r="M1442" s="27" t="n">
        <f aca="false">J1442+(K1442/20)+(L1442/240)</f>
        <v>12</v>
      </c>
      <c r="N1442" s="17" t="s">
        <v>64</v>
      </c>
      <c r="O1442" s="11" t="s">
        <v>109</v>
      </c>
      <c r="P1442" s="28" t="n">
        <f aca="false">30663/100</f>
        <v>306.63</v>
      </c>
      <c r="Q1442" s="28" t="n">
        <v>3679</v>
      </c>
      <c r="R1442" s="28"/>
      <c r="S1442" s="28" t="n">
        <f aca="false">R1442*$M1442</f>
        <v>0</v>
      </c>
      <c r="T1442" s="28"/>
      <c r="U1442" s="28" t="n">
        <f aca="false">T1442*$M1442</f>
        <v>0</v>
      </c>
      <c r="V1442" s="28"/>
      <c r="W1442" s="28" t="n">
        <f aca="false">V1442*$M1442</f>
        <v>0</v>
      </c>
      <c r="X1442" s="29"/>
      <c r="Y1442" s="28" t="n">
        <f aca="false">X1442*$M1442</f>
        <v>0</v>
      </c>
      <c r="Z1442" s="28"/>
      <c r="AA1442" s="28" t="n">
        <f aca="false">Z1442*$M1442</f>
        <v>0</v>
      </c>
      <c r="AB1442" s="28"/>
      <c r="AC1442" s="28" t="n">
        <f aca="false">AB1442*$M1442</f>
        <v>0</v>
      </c>
      <c r="AD1442" s="28"/>
      <c r="AE1442" s="28" t="n">
        <f aca="false">AD1442*$M1442</f>
        <v>0</v>
      </c>
      <c r="AF1442" s="28"/>
      <c r="AG1442" s="28" t="n">
        <f aca="false">AF1442*$M1442</f>
        <v>0</v>
      </c>
      <c r="AH1442" s="28"/>
      <c r="AI1442" s="28" t="n">
        <f aca="false">AH1442*$M1442</f>
        <v>0</v>
      </c>
      <c r="AJ1442" s="28"/>
      <c r="AK1442" s="28" t="n">
        <f aca="false">AJ1442*$M1442</f>
        <v>0</v>
      </c>
      <c r="AL1442" s="28" t="n">
        <f aca="false">114207/100</f>
        <v>1142.07</v>
      </c>
      <c r="AM1442" s="28" t="n">
        <v>13705</v>
      </c>
      <c r="AN1442" s="28" t="n">
        <f aca="false">2100/100</f>
        <v>21</v>
      </c>
      <c r="AO1442" s="28" t="n">
        <v>252</v>
      </c>
      <c r="AP1442" s="28" t="n">
        <f aca="false">16107/100</f>
        <v>161.07</v>
      </c>
      <c r="AQ1442" s="28" t="n">
        <v>1933</v>
      </c>
      <c r="AR1442" s="28" t="n">
        <f aca="false">553069/100</f>
        <v>5530.69</v>
      </c>
      <c r="AS1442" s="28" t="n">
        <v>66368</v>
      </c>
      <c r="AT1442" s="28" t="n">
        <f aca="false">6160/100</f>
        <v>61.6</v>
      </c>
      <c r="AU1442" s="28" t="n">
        <v>739</v>
      </c>
      <c r="AV1442" s="28" t="n">
        <f aca="false">2640/100</f>
        <v>26.4</v>
      </c>
      <c r="AW1442" s="28" t="n">
        <v>317</v>
      </c>
      <c r="AX1442" s="28" t="n">
        <f aca="false">8767/100</f>
        <v>87.67</v>
      </c>
      <c r="AY1442" s="36" t="n">
        <v>1085</v>
      </c>
      <c r="AZ1442" s="30" t="n">
        <f aca="false">733753/100</f>
        <v>7337.53</v>
      </c>
      <c r="BA1442" s="11" t="n">
        <v>88078</v>
      </c>
      <c r="BB1442" s="31" t="n">
        <f aca="false">SUM(Q1442,S1442,U1442,W1442,Y1442,AA1442,AC1442,AE1442,AG1442,AI1442,AK1442,AM1442,AO1442,AQ1442,AS1442,AU1442,AW1442,AY1442)</f>
        <v>88078</v>
      </c>
      <c r="BC1442" s="28" t="n">
        <f aca="false">BA1442-BB1442</f>
        <v>0</v>
      </c>
      <c r="BD1442" s="32" t="n">
        <f aca="false">SUM(P1442,R1442,T1442,V1442,X1442,Z1442,AB1442,AD1442,AF1442,AH1442,AJ1442,AL1442,AN1442,AP1442,AR1442,AT1442,AV1442,AX1442)</f>
        <v>7337.13</v>
      </c>
      <c r="BE1442" s="33" t="n">
        <f aca="false">AZ1442-BD1442</f>
        <v>0.400000000000546</v>
      </c>
      <c r="BF1442" s="34" t="n">
        <f aca="false">BD1442*M1442</f>
        <v>88045.56</v>
      </c>
      <c r="BG1442" s="35" t="n">
        <f aca="false">BA1442-BF1442</f>
        <v>32.4400000000023</v>
      </c>
      <c r="BH1442" s="19" t="str">
        <f aca="false">IF(BG1442=0,"",IF(BG1442&lt;&gt;BA1442,"erreur de calcul",IF(BD1442&lt;&gt;0,"pas de prix",IF(M1442&lt;&gt; 0,"pas de quantité","pas de prix, ni de quantité"))))</f>
        <v>erreur de calcul</v>
      </c>
      <c r="BI1442" s="19"/>
    </row>
    <row r="1443" customFormat="false" ht="15" hidden="false" customHeight="false" outlineLevel="0" collapsed="false">
      <c r="A1443" s="0" t="n">
        <v>37</v>
      </c>
      <c r="B1443" s="8" t="s">
        <v>24</v>
      </c>
      <c r="C1443" s="9" t="s">
        <v>25</v>
      </c>
      <c r="D1443" s="9" t="s">
        <v>26</v>
      </c>
      <c r="E1443" s="10" t="n">
        <v>1789</v>
      </c>
      <c r="F1443" s="9" t="s">
        <v>27</v>
      </c>
      <c r="G1443" s="9" t="s">
        <v>27</v>
      </c>
      <c r="H1443" s="11" t="n">
        <v>18</v>
      </c>
      <c r="I1443" s="11" t="s">
        <v>111</v>
      </c>
      <c r="J1443" s="14" t="n">
        <v>10</v>
      </c>
      <c r="K1443" s="14"/>
      <c r="L1443" s="16"/>
      <c r="M1443" s="27" t="n">
        <f aca="false">J1443+(K1443/20)+(L1443/240)</f>
        <v>10</v>
      </c>
      <c r="N1443" s="17" t="s">
        <v>64</v>
      </c>
      <c r="O1443" s="11"/>
      <c r="P1443" s="28"/>
      <c r="Q1443" s="28" t="n">
        <f aca="false">P1443*$M1443</f>
        <v>0</v>
      </c>
      <c r="R1443" s="28"/>
      <c r="S1443" s="28" t="n">
        <f aca="false">R1443*$M1443</f>
        <v>0</v>
      </c>
      <c r="T1443" s="28"/>
      <c r="U1443" s="28" t="n">
        <f aca="false">T1443*$M1443</f>
        <v>0</v>
      </c>
      <c r="V1443" s="28"/>
      <c r="W1443" s="28" t="n">
        <f aca="false">V1443*$M1443</f>
        <v>0</v>
      </c>
      <c r="X1443" s="29"/>
      <c r="Y1443" s="28" t="n">
        <f aca="false">X1443*$M1443</f>
        <v>0</v>
      </c>
      <c r="Z1443" s="28"/>
      <c r="AA1443" s="28" t="n">
        <f aca="false">Z1443*$M1443</f>
        <v>0</v>
      </c>
      <c r="AB1443" s="28"/>
      <c r="AC1443" s="28" t="n">
        <f aca="false">AB1443*$M1443</f>
        <v>0</v>
      </c>
      <c r="AD1443" s="28"/>
      <c r="AE1443" s="28" t="n">
        <f aca="false">AD1443*$M1443</f>
        <v>0</v>
      </c>
      <c r="AF1443" s="28"/>
      <c r="AG1443" s="28" t="n">
        <f aca="false">AF1443*$M1443</f>
        <v>0</v>
      </c>
      <c r="AH1443" s="28"/>
      <c r="AI1443" s="28" t="n">
        <f aca="false">AH1443*$M1443</f>
        <v>0</v>
      </c>
      <c r="AJ1443" s="28"/>
      <c r="AK1443" s="28" t="n">
        <f aca="false">AJ1443*$M1443</f>
        <v>0</v>
      </c>
      <c r="AL1443" s="28"/>
      <c r="AM1443" s="28" t="n">
        <f aca="false">AL1443*$M1443</f>
        <v>0</v>
      </c>
      <c r="AN1443" s="28"/>
      <c r="AO1443" s="28" t="n">
        <f aca="false">AN1443*$M1443</f>
        <v>0</v>
      </c>
      <c r="AP1443" s="28"/>
      <c r="AQ1443" s="28" t="n">
        <f aca="false">AP1443*$M1443</f>
        <v>0</v>
      </c>
      <c r="AR1443" s="28"/>
      <c r="AS1443" s="28" t="n">
        <f aca="false">AR1443*$M1443</f>
        <v>0</v>
      </c>
      <c r="AT1443" s="28"/>
      <c r="AU1443" s="28" t="n">
        <f aca="false">AT1443*$M1443</f>
        <v>0</v>
      </c>
      <c r="AV1443" s="28"/>
      <c r="AW1443" s="28" t="n">
        <f aca="false">AV1443*$M1443</f>
        <v>0</v>
      </c>
      <c r="AX1443" s="28" t="n">
        <f aca="false">16133/100</f>
        <v>161.33</v>
      </c>
      <c r="AY1443" s="28" t="n">
        <v>1613</v>
      </c>
      <c r="AZ1443" s="30"/>
      <c r="BA1443" s="11" t="n">
        <v>1613</v>
      </c>
      <c r="BB1443" s="31" t="n">
        <f aca="false">SUM(Q1443,S1443,U1443,W1443,Y1443,AA1443,AC1443,AE1443,AG1443,AI1443,AK1443,AM1443,AO1443,AQ1443,AS1443,AU1443,AW1443,AY1443)</f>
        <v>1613</v>
      </c>
      <c r="BC1443" s="28" t="n">
        <f aca="false">BA1443-BB1443</f>
        <v>0</v>
      </c>
      <c r="BD1443" s="32" t="n">
        <f aca="false">SUM(P1443,R1443,T1443,V1443,X1443,Z1443,AB1443,AD1443,AF1443,AH1443,AJ1443,AL1443,AN1443,AP1443,AR1443,AT1443,AV1443,AX1443)</f>
        <v>161.33</v>
      </c>
      <c r="BE1443" s="33" t="n">
        <f aca="false">AZ1443-BD1443</f>
        <v>-161.33</v>
      </c>
      <c r="BF1443" s="34" t="n">
        <f aca="false">BD1443*M1443</f>
        <v>1613.3</v>
      </c>
      <c r="BG1443" s="35" t="n">
        <f aca="false">BA1443-BF1443</f>
        <v>-0.300000000000182</v>
      </c>
      <c r="BH1443" s="19" t="str">
        <f aca="false">IF(BG1443=0,"",IF(BG1443&lt;&gt;BA1443,"erreur de calcul",IF(BD1443&lt;&gt;0,"pas de prix",IF(M1443&lt;&gt; 0,"pas de quantité","pas de prix, ni de quantité"))))</f>
        <v>erreur de calcul</v>
      </c>
      <c r="BI1443" s="19"/>
    </row>
    <row r="1444" customFormat="false" ht="15" hidden="false" customHeight="false" outlineLevel="0" collapsed="false">
      <c r="A1444" s="0" t="n">
        <v>38</v>
      </c>
      <c r="B1444" s="8" t="s">
        <v>24</v>
      </c>
      <c r="C1444" s="9" t="s">
        <v>25</v>
      </c>
      <c r="D1444" s="9" t="s">
        <v>26</v>
      </c>
      <c r="E1444" s="10" t="n">
        <v>1789</v>
      </c>
      <c r="F1444" s="9" t="s">
        <v>27</v>
      </c>
      <c r="G1444" s="9" t="s">
        <v>27</v>
      </c>
      <c r="H1444" s="11" t="n">
        <v>18</v>
      </c>
      <c r="I1444" s="11" t="s">
        <v>112</v>
      </c>
      <c r="J1444" s="14" t="n">
        <v>100</v>
      </c>
      <c r="K1444" s="14"/>
      <c r="L1444" s="16"/>
      <c r="M1444" s="27" t="n">
        <f aca="false">J1444+(K1444/20)+(L1444/240)</f>
        <v>100</v>
      </c>
      <c r="N1444" s="17" t="s">
        <v>64</v>
      </c>
      <c r="O1444" s="11"/>
      <c r="P1444" s="28" t="n">
        <f aca="false">69730/100</f>
        <v>697.3</v>
      </c>
      <c r="Q1444" s="28" t="n">
        <v>69730</v>
      </c>
      <c r="R1444" s="28"/>
      <c r="S1444" s="28" t="n">
        <f aca="false">R1444*$M1444</f>
        <v>0</v>
      </c>
      <c r="T1444" s="28"/>
      <c r="U1444" s="28" t="n">
        <f aca="false">T1444*$M1444</f>
        <v>0</v>
      </c>
      <c r="V1444" s="28"/>
      <c r="W1444" s="28" t="n">
        <f aca="false">V1444*$M1444</f>
        <v>0</v>
      </c>
      <c r="X1444" s="29"/>
      <c r="Y1444" s="28" t="n">
        <f aca="false">X1444*$M1444</f>
        <v>0</v>
      </c>
      <c r="Z1444" s="28"/>
      <c r="AA1444" s="28" t="n">
        <f aca="false">Z1444*$M1444</f>
        <v>0</v>
      </c>
      <c r="AB1444" s="28"/>
      <c r="AC1444" s="28" t="n">
        <f aca="false">AB1444*$M1444</f>
        <v>0</v>
      </c>
      <c r="AD1444" s="28"/>
      <c r="AE1444" s="28" t="n">
        <f aca="false">AD1444*$M1444</f>
        <v>0</v>
      </c>
      <c r="AF1444" s="28"/>
      <c r="AG1444" s="28" t="n">
        <f aca="false">AF1444*$M1444</f>
        <v>0</v>
      </c>
      <c r="AH1444" s="28"/>
      <c r="AI1444" s="28" t="n">
        <f aca="false">AH1444*$M1444</f>
        <v>0</v>
      </c>
      <c r="AJ1444" s="28"/>
      <c r="AK1444" s="28" t="n">
        <f aca="false">AJ1444*$M1444</f>
        <v>0</v>
      </c>
      <c r="AL1444" s="28"/>
      <c r="AM1444" s="28" t="n">
        <f aca="false">AL1444*$M1444</f>
        <v>0</v>
      </c>
      <c r="AN1444" s="28"/>
      <c r="AO1444" s="28" t="n">
        <f aca="false">AN1444*$M1444</f>
        <v>0</v>
      </c>
      <c r="AP1444" s="28"/>
      <c r="AQ1444" s="28" t="n">
        <f aca="false">AP1444*$M1444</f>
        <v>0</v>
      </c>
      <c r="AR1444" s="28"/>
      <c r="AS1444" s="28" t="n">
        <f aca="false">AR1444*$M1444</f>
        <v>0</v>
      </c>
      <c r="AT1444" s="28"/>
      <c r="AU1444" s="28" t="n">
        <f aca="false">AT1444*$M1444</f>
        <v>0</v>
      </c>
      <c r="AV1444" s="28"/>
      <c r="AW1444" s="28" t="n">
        <f aca="false">AV1444*$M1444</f>
        <v>0</v>
      </c>
      <c r="AX1444" s="28"/>
      <c r="AY1444" s="28" t="n">
        <f aca="false">AX1444*$M1444</f>
        <v>0</v>
      </c>
      <c r="AZ1444" s="30" t="n">
        <f aca="false">69730/100</f>
        <v>697.3</v>
      </c>
      <c r="BA1444" s="11" t="n">
        <v>69730</v>
      </c>
      <c r="BB1444" s="31" t="n">
        <f aca="false">SUM(Q1444,S1444,U1444,W1444,Y1444,AA1444,AC1444,AE1444,AG1444,AI1444,AK1444,AM1444,AO1444,AQ1444,AS1444,AU1444,AW1444,AY1444)</f>
        <v>69730</v>
      </c>
      <c r="BC1444" s="28" t="n">
        <f aca="false">BA1444-BB1444</f>
        <v>0</v>
      </c>
      <c r="BD1444" s="32" t="n">
        <f aca="false">SUM(P1444,R1444,T1444,V1444,X1444,Z1444,AB1444,AD1444,AF1444,AH1444,AJ1444,AL1444,AN1444,AP1444,AR1444,AT1444,AV1444,AX1444)</f>
        <v>697.3</v>
      </c>
      <c r="BE1444" s="33" t="n">
        <f aca="false">AZ1444-BD1444</f>
        <v>0</v>
      </c>
      <c r="BF1444" s="34" t="n">
        <f aca="false">BD1444*M1444</f>
        <v>69730</v>
      </c>
      <c r="BG1444" s="35" t="n">
        <f aca="false">BA1444-BF1444</f>
        <v>0</v>
      </c>
      <c r="BH1444" s="19" t="str">
        <f aca="false">IF(BG1444=0,"",IF(BG1444&lt;&gt;BA1444,"erreur de calcul",IF(BD1444&lt;&gt;0,"pas de prix",IF(M1444&lt;&gt; 0,"pas de quantité","pas de prix, ni de quantité"))))</f>
        <v/>
      </c>
      <c r="BI1444" s="19" t="s">
        <v>113</v>
      </c>
    </row>
    <row r="1445" customFormat="false" ht="15" hidden="false" customHeight="false" outlineLevel="0" collapsed="false">
      <c r="A1445" s="0" t="n">
        <v>39</v>
      </c>
      <c r="B1445" s="8" t="s">
        <v>24</v>
      </c>
      <c r="C1445" s="9" t="s">
        <v>25</v>
      </c>
      <c r="D1445" s="9" t="s">
        <v>26</v>
      </c>
      <c r="E1445" s="10" t="n">
        <v>1789</v>
      </c>
      <c r="F1445" s="9" t="s">
        <v>27</v>
      </c>
      <c r="G1445" s="9" t="s">
        <v>27</v>
      </c>
      <c r="H1445" s="11" t="n">
        <v>18</v>
      </c>
      <c r="I1445" s="11" t="s">
        <v>112</v>
      </c>
      <c r="J1445" s="14" t="n">
        <v>50</v>
      </c>
      <c r="K1445" s="14"/>
      <c r="L1445" s="16"/>
      <c r="M1445" s="27" t="n">
        <f aca="false">J1445+(K1445/20)+(L1445/240)</f>
        <v>50</v>
      </c>
      <c r="N1445" s="17" t="s">
        <v>64</v>
      </c>
      <c r="O1445" s="11"/>
      <c r="P1445" s="28"/>
      <c r="Q1445" s="28" t="n">
        <f aca="false">P1445*$M1445</f>
        <v>0</v>
      </c>
      <c r="R1445" s="28"/>
      <c r="S1445" s="28" t="n">
        <f aca="false">R1445*$M1445</f>
        <v>0</v>
      </c>
      <c r="T1445" s="28"/>
      <c r="U1445" s="28" t="n">
        <f aca="false">T1445*$M1445</f>
        <v>0</v>
      </c>
      <c r="V1445" s="28" t="n">
        <f aca="false">38043/100</f>
        <v>380.43</v>
      </c>
      <c r="W1445" s="28" t="n">
        <v>19021</v>
      </c>
      <c r="X1445" s="29" t="n">
        <f aca="false">10658/100</f>
        <v>106.58</v>
      </c>
      <c r="Y1445" s="28" t="n">
        <v>5329</v>
      </c>
      <c r="Z1445" s="28"/>
      <c r="AA1445" s="28" t="n">
        <f aca="false">Z1445*$M1445</f>
        <v>0</v>
      </c>
      <c r="AB1445" s="28"/>
      <c r="AC1445" s="28" t="n">
        <f aca="false">AB1445*$M1445</f>
        <v>0</v>
      </c>
      <c r="AD1445" s="28"/>
      <c r="AE1445" s="28" t="n">
        <f aca="false">AD1445*$M1445</f>
        <v>0</v>
      </c>
      <c r="AF1445" s="28"/>
      <c r="AG1445" s="28" t="n">
        <f aca="false">AF1445*$M1445</f>
        <v>0</v>
      </c>
      <c r="AH1445" s="28"/>
      <c r="AI1445" s="28" t="n">
        <f aca="false">AH1445*$M1445</f>
        <v>0</v>
      </c>
      <c r="AJ1445" s="28" t="n">
        <f aca="false">39321/100</f>
        <v>393.21</v>
      </c>
      <c r="AK1445" s="28" t="n">
        <v>19660</v>
      </c>
      <c r="AL1445" s="28"/>
      <c r="AM1445" s="28" t="n">
        <f aca="false">AL1445*$M1445</f>
        <v>0</v>
      </c>
      <c r="AN1445" s="28"/>
      <c r="AO1445" s="28" t="n">
        <f aca="false">AN1445*$M1445</f>
        <v>0</v>
      </c>
      <c r="AP1445" s="28"/>
      <c r="AQ1445" s="28" t="n">
        <f aca="false">AP1445*$M1445</f>
        <v>0</v>
      </c>
      <c r="AR1445" s="28"/>
      <c r="AS1445" s="28" t="n">
        <f aca="false">AR1445*$M1445</f>
        <v>0</v>
      </c>
      <c r="AT1445" s="28"/>
      <c r="AU1445" s="28" t="n">
        <f aca="false">AT1445*$M1445</f>
        <v>0</v>
      </c>
      <c r="AV1445" s="28"/>
      <c r="AW1445" s="28" t="n">
        <f aca="false">AV1445*$M1445</f>
        <v>0</v>
      </c>
      <c r="AX1445" s="28"/>
      <c r="AY1445" s="28" t="n">
        <f aca="false">AX1445*$M1445</f>
        <v>0</v>
      </c>
      <c r="AZ1445" s="30" t="n">
        <f aca="false">88022/100</f>
        <v>880.22</v>
      </c>
      <c r="BA1445" s="11" t="n">
        <v>44010</v>
      </c>
      <c r="BB1445" s="31" t="n">
        <f aca="false">SUM(Q1445,S1445,U1445,W1445,Y1445,AA1445,AC1445,AE1445,AG1445,AI1445,AK1445,AM1445,AO1445,AQ1445,AS1445,AU1445,AW1445,AY1445)</f>
        <v>44010</v>
      </c>
      <c r="BC1445" s="28" t="n">
        <f aca="false">BA1445-BB1445</f>
        <v>0</v>
      </c>
      <c r="BD1445" s="32" t="n">
        <f aca="false">SUM(P1445,R1445,T1445,V1445,X1445,Z1445,AB1445,AD1445,AF1445,AH1445,AJ1445,AL1445,AN1445,AP1445,AR1445,AT1445,AV1445,AX1445)</f>
        <v>880.22</v>
      </c>
      <c r="BE1445" s="33" t="n">
        <f aca="false">AZ1445-BD1445</f>
        <v>0</v>
      </c>
      <c r="BF1445" s="34" t="n">
        <f aca="false">BD1445*M1445</f>
        <v>44011</v>
      </c>
      <c r="BG1445" s="35" t="n">
        <f aca="false">BA1445-BF1445</f>
        <v>-1</v>
      </c>
      <c r="BH1445" s="19" t="str">
        <f aca="false">IF(BG1445=0,"",IF(BG1445&lt;&gt;BA1445,"erreur de calcul",IF(BD1445&lt;&gt;0,"pas de prix",IF(M1445&lt;&gt; 0,"pas de quantité","pas de prix, ni de quantité"))))</f>
        <v>erreur de calcul</v>
      </c>
      <c r="BI1445" s="19" t="s">
        <v>114</v>
      </c>
    </row>
    <row r="1446" customFormat="false" ht="15" hidden="false" customHeight="false" outlineLevel="0" collapsed="false">
      <c r="A1446" s="0" t="n">
        <v>40</v>
      </c>
      <c r="B1446" s="8" t="s">
        <v>24</v>
      </c>
      <c r="C1446" s="9" t="s">
        <v>25</v>
      </c>
      <c r="D1446" s="9" t="s">
        <v>26</v>
      </c>
      <c r="E1446" s="10" t="n">
        <v>1789</v>
      </c>
      <c r="F1446" s="9" t="s">
        <v>27</v>
      </c>
      <c r="G1446" s="9" t="s">
        <v>27</v>
      </c>
      <c r="H1446" s="11" t="n">
        <v>18</v>
      </c>
      <c r="I1446" s="11" t="s">
        <v>115</v>
      </c>
      <c r="J1446" s="14"/>
      <c r="K1446" s="14" t="n">
        <v>28</v>
      </c>
      <c r="L1446" s="16"/>
      <c r="M1446" s="27" t="n">
        <f aca="false">J1446+(K1446/20)+(L1446/240)</f>
        <v>1.4</v>
      </c>
      <c r="N1446" s="17" t="s">
        <v>66</v>
      </c>
      <c r="O1446" s="11" t="s">
        <v>98</v>
      </c>
      <c r="P1446" s="28"/>
      <c r="Q1446" s="28" t="n">
        <f aca="false">P1446*$M1446</f>
        <v>0</v>
      </c>
      <c r="R1446" s="28"/>
      <c r="S1446" s="28" t="n">
        <f aca="false">R1446*$M1446</f>
        <v>0</v>
      </c>
      <c r="T1446" s="28" t="n">
        <v>426</v>
      </c>
      <c r="U1446" s="28" t="n">
        <v>596</v>
      </c>
      <c r="V1446" s="28"/>
      <c r="W1446" s="28" t="n">
        <f aca="false">V1446*$M1446</f>
        <v>0</v>
      </c>
      <c r="X1446" s="29"/>
      <c r="Y1446" s="28" t="n">
        <f aca="false">X1446*$M1446</f>
        <v>0</v>
      </c>
      <c r="Z1446" s="28"/>
      <c r="AA1446" s="28" t="n">
        <f aca="false">Z1446*$M1446</f>
        <v>0</v>
      </c>
      <c r="AB1446" s="28"/>
      <c r="AC1446" s="28" t="n">
        <f aca="false">AB1446*$M1446</f>
        <v>0</v>
      </c>
      <c r="AD1446" s="28"/>
      <c r="AE1446" s="28" t="n">
        <f aca="false">AD1446*$M1446</f>
        <v>0</v>
      </c>
      <c r="AF1446" s="28"/>
      <c r="AG1446" s="28" t="n">
        <f aca="false">AF1446*$M1446</f>
        <v>0</v>
      </c>
      <c r="AH1446" s="28"/>
      <c r="AI1446" s="28" t="n">
        <f aca="false">AH1446*$M1446</f>
        <v>0</v>
      </c>
      <c r="AJ1446" s="28" t="n">
        <v>142</v>
      </c>
      <c r="AK1446" s="28" t="n">
        <v>199</v>
      </c>
      <c r="AL1446" s="28"/>
      <c r="AM1446" s="28" t="n">
        <f aca="false">AL1446*$M1446</f>
        <v>0</v>
      </c>
      <c r="AN1446" s="28"/>
      <c r="AO1446" s="28" t="n">
        <f aca="false">AN1446*$M1446</f>
        <v>0</v>
      </c>
      <c r="AP1446" s="28"/>
      <c r="AQ1446" s="28" t="n">
        <f aca="false">AP1446*$M1446</f>
        <v>0</v>
      </c>
      <c r="AR1446" s="28"/>
      <c r="AS1446" s="28" t="n">
        <f aca="false">AR1446*$M1446</f>
        <v>0</v>
      </c>
      <c r="AT1446" s="28"/>
      <c r="AU1446" s="28" t="n">
        <f aca="false">AT1446*$M1446</f>
        <v>0</v>
      </c>
      <c r="AV1446" s="28"/>
      <c r="AW1446" s="28" t="n">
        <f aca="false">AV1446*$M1446</f>
        <v>0</v>
      </c>
      <c r="AX1446" s="28"/>
      <c r="AY1446" s="28" t="n">
        <f aca="false">AX1446*$M1446</f>
        <v>0</v>
      </c>
      <c r="AZ1446" s="30" t="n">
        <v>568</v>
      </c>
      <c r="BA1446" s="11" t="n">
        <v>795</v>
      </c>
      <c r="BB1446" s="31" t="n">
        <f aca="false">SUM(Q1446,S1446,U1446,W1446,Y1446,AA1446,AC1446,AE1446,AG1446,AI1446,AK1446,AM1446,AO1446,AQ1446,AS1446,AU1446,AW1446,AY1446)</f>
        <v>795</v>
      </c>
      <c r="BC1446" s="28" t="n">
        <f aca="false">BA1446-BB1446</f>
        <v>0</v>
      </c>
      <c r="BD1446" s="32" t="n">
        <f aca="false">SUM(P1446,R1446,T1446,V1446,X1446,Z1446,AB1446,AD1446,AF1446,AH1446,AJ1446,AL1446,AN1446,AP1446,AR1446,AT1446,AV1446,AX1446)</f>
        <v>568</v>
      </c>
      <c r="BE1446" s="33" t="n">
        <f aca="false">AZ1446-BD1446</f>
        <v>0</v>
      </c>
      <c r="BF1446" s="34" t="n">
        <f aca="false">BD1446*M1446</f>
        <v>795.2</v>
      </c>
      <c r="BG1446" s="35" t="n">
        <f aca="false">BA1446-BF1446</f>
        <v>-0.199999999999932</v>
      </c>
      <c r="BH1446" s="19" t="str">
        <f aca="false">IF(BG1446=0,"",IF(BG1446&lt;&gt;BA1446,"erreur de calcul",IF(BD1446&lt;&gt;0,"pas de prix",IF(M1446&lt;&gt; 0,"pas de quantité","pas de prix, ni de quantité"))))</f>
        <v>erreur de calcul</v>
      </c>
      <c r="BI1446" s="19"/>
    </row>
    <row r="1447" customFormat="false" ht="15" hidden="false" customHeight="false" outlineLevel="0" collapsed="false">
      <c r="A1447" s="0" t="n">
        <v>41</v>
      </c>
      <c r="B1447" s="8" t="s">
        <v>24</v>
      </c>
      <c r="C1447" s="9" t="s">
        <v>25</v>
      </c>
      <c r="D1447" s="9" t="s">
        <v>26</v>
      </c>
      <c r="E1447" s="10" t="n">
        <v>1789</v>
      </c>
      <c r="F1447" s="9" t="s">
        <v>27</v>
      </c>
      <c r="G1447" s="9" t="s">
        <v>27</v>
      </c>
      <c r="H1447" s="11" t="n">
        <v>18</v>
      </c>
      <c r="I1447" s="11" t="s">
        <v>116</v>
      </c>
      <c r="J1447" s="14"/>
      <c r="K1447" s="14" t="n">
        <v>40</v>
      </c>
      <c r="L1447" s="16"/>
      <c r="M1447" s="27" t="n">
        <f aca="false">J1447+(K1447/20)+(L1447/240)</f>
        <v>2</v>
      </c>
      <c r="N1447" s="17" t="s">
        <v>66</v>
      </c>
      <c r="O1447" s="11"/>
      <c r="P1447" s="28"/>
      <c r="Q1447" s="28" t="n">
        <f aca="false">P1447*$M1447</f>
        <v>0</v>
      </c>
      <c r="R1447" s="28"/>
      <c r="S1447" s="28" t="n">
        <f aca="false">R1447*$M1447</f>
        <v>0</v>
      </c>
      <c r="T1447" s="28"/>
      <c r="U1447" s="28" t="n">
        <f aca="false">T1447*$M1447</f>
        <v>0</v>
      </c>
      <c r="V1447" s="28"/>
      <c r="W1447" s="28" t="n">
        <f aca="false">V1447*$M1447</f>
        <v>0</v>
      </c>
      <c r="X1447" s="29"/>
      <c r="Y1447" s="28" t="n">
        <f aca="false">X1447*$M1447</f>
        <v>0</v>
      </c>
      <c r="Z1447" s="28"/>
      <c r="AA1447" s="28" t="n">
        <f aca="false">Z1447*$M1447</f>
        <v>0</v>
      </c>
      <c r="AB1447" s="28"/>
      <c r="AC1447" s="28" t="n">
        <f aca="false">AB1447*$M1447</f>
        <v>0</v>
      </c>
      <c r="AD1447" s="28"/>
      <c r="AE1447" s="28" t="n">
        <f aca="false">AD1447*$M1447</f>
        <v>0</v>
      </c>
      <c r="AF1447" s="28"/>
      <c r="AG1447" s="28" t="n">
        <f aca="false">AF1447*$M1447</f>
        <v>0</v>
      </c>
      <c r="AH1447" s="28" t="n">
        <v>232710</v>
      </c>
      <c r="AI1447" s="28" t="n">
        <v>465420</v>
      </c>
      <c r="AJ1447" s="28"/>
      <c r="AK1447" s="28" t="n">
        <f aca="false">AJ1447*$M1447</f>
        <v>0</v>
      </c>
      <c r="AL1447" s="28"/>
      <c r="AM1447" s="28" t="n">
        <f aca="false">AL1447*$M1447</f>
        <v>0</v>
      </c>
      <c r="AN1447" s="28"/>
      <c r="AO1447" s="28" t="n">
        <f aca="false">AN1447*$M1447</f>
        <v>0</v>
      </c>
      <c r="AP1447" s="28"/>
      <c r="AQ1447" s="28" t="n">
        <f aca="false">AP1447*$M1447</f>
        <v>0</v>
      </c>
      <c r="AR1447" s="28"/>
      <c r="AS1447" s="28" t="n">
        <f aca="false">AR1447*$M1447</f>
        <v>0</v>
      </c>
      <c r="AT1447" s="28"/>
      <c r="AU1447" s="28" t="n">
        <f aca="false">AT1447*$M1447</f>
        <v>0</v>
      </c>
      <c r="AV1447" s="28"/>
      <c r="AW1447" s="28" t="n">
        <f aca="false">AV1447*$M1447</f>
        <v>0</v>
      </c>
      <c r="AX1447" s="28"/>
      <c r="AY1447" s="28" t="n">
        <f aca="false">AX1447*$M1447</f>
        <v>0</v>
      </c>
      <c r="AZ1447" s="30" t="n">
        <v>232710</v>
      </c>
      <c r="BA1447" s="11" t="n">
        <v>465420</v>
      </c>
      <c r="BB1447" s="31" t="n">
        <f aca="false">SUM(Q1447,S1447,U1447,W1447,Y1447,AA1447,AC1447,AE1447,AG1447,AI1447,AK1447,AM1447,AO1447,AQ1447,AS1447,AU1447,AW1447,AY1447)</f>
        <v>465420</v>
      </c>
      <c r="BC1447" s="28" t="n">
        <f aca="false">BA1447-BB1447</f>
        <v>0</v>
      </c>
      <c r="BD1447" s="32" t="n">
        <f aca="false">SUM(P1447,R1447,T1447,V1447,X1447,Z1447,AB1447,AD1447,AF1447,AH1447,AJ1447,AL1447,AN1447,AP1447,AR1447,AT1447,AV1447,AX1447)</f>
        <v>232710</v>
      </c>
      <c r="BE1447" s="33" t="n">
        <f aca="false">AZ1447-BD1447</f>
        <v>0</v>
      </c>
      <c r="BF1447" s="34" t="n">
        <f aca="false">BD1447*M1447</f>
        <v>465420</v>
      </c>
      <c r="BG1447" s="35" t="n">
        <f aca="false">BA1447-BF1447</f>
        <v>0</v>
      </c>
      <c r="BH1447" s="19" t="str">
        <f aca="false">IF(BG1447=0,"",IF(BG1447&lt;&gt;BA1447,"erreur de calcul",IF(BD1447&lt;&gt;0,"pas de prix",IF(M1447&lt;&gt; 0,"pas de quantité","pas de prix, ni de quantité"))))</f>
        <v/>
      </c>
      <c r="BI1447" s="19"/>
    </row>
    <row r="1448" customFormat="false" ht="15" hidden="false" customHeight="false" outlineLevel="0" collapsed="false">
      <c r="A1448" s="0" t="n">
        <v>1</v>
      </c>
      <c r="B1448" s="8" t="s">
        <v>24</v>
      </c>
      <c r="C1448" s="9" t="s">
        <v>25</v>
      </c>
      <c r="D1448" s="9" t="s">
        <v>26</v>
      </c>
      <c r="E1448" s="10" t="n">
        <v>1789</v>
      </c>
      <c r="F1448" s="9" t="s">
        <v>27</v>
      </c>
      <c r="G1448" s="9" t="s">
        <v>27</v>
      </c>
      <c r="H1448" s="11" t="n">
        <v>20</v>
      </c>
      <c r="I1448" s="11" t="s">
        <v>117</v>
      </c>
      <c r="J1448" s="14" t="n">
        <v>10</v>
      </c>
      <c r="K1448" s="14"/>
      <c r="L1448" s="16"/>
      <c r="M1448" s="27" t="n">
        <f aca="false">J1448+(K1448/20)+(L1448/240)</f>
        <v>10</v>
      </c>
      <c r="N1448" s="17" t="s">
        <v>64</v>
      </c>
      <c r="O1448" s="11"/>
      <c r="P1448" s="28" t="n">
        <f aca="false">2120/100</f>
        <v>21.2</v>
      </c>
      <c r="Q1448" s="28" t="n">
        <v>212</v>
      </c>
      <c r="R1448" s="28"/>
      <c r="S1448" s="28" t="n">
        <f aca="false">R1448*$M1448</f>
        <v>0</v>
      </c>
      <c r="T1448" s="28" t="n">
        <f aca="false">4184/100</f>
        <v>41.84</v>
      </c>
      <c r="U1448" s="28" t="n">
        <v>418</v>
      </c>
      <c r="V1448" s="28"/>
      <c r="W1448" s="28" t="n">
        <f aca="false">V1448*$M1448</f>
        <v>0</v>
      </c>
      <c r="X1448" s="28"/>
      <c r="Y1448" s="28" t="n">
        <f aca="false">X1448*$M1448</f>
        <v>0</v>
      </c>
      <c r="Z1448" s="28" t="n">
        <f aca="false">4467/100</f>
        <v>44.67</v>
      </c>
      <c r="AA1448" s="28" t="n">
        <v>447</v>
      </c>
      <c r="AB1448" s="28"/>
      <c r="AC1448" s="28" t="n">
        <f aca="false">AB1448*$M1448</f>
        <v>0</v>
      </c>
      <c r="AD1448" s="28"/>
      <c r="AE1448" s="28" t="n">
        <f aca="false">AD1448*$M1448</f>
        <v>0</v>
      </c>
      <c r="AF1448" s="28"/>
      <c r="AG1448" s="28" t="n">
        <f aca="false">AF1448*$M1448</f>
        <v>0</v>
      </c>
      <c r="AH1448" s="28" t="n">
        <f aca="false">37604/100</f>
        <v>376.04</v>
      </c>
      <c r="AI1448" s="28" t="n">
        <v>3760</v>
      </c>
      <c r="AJ1448" s="28"/>
      <c r="AK1448" s="28" t="n">
        <f aca="false">AJ1448*$M1448</f>
        <v>0</v>
      </c>
      <c r="AL1448" s="28"/>
      <c r="AM1448" s="28" t="n">
        <f aca="false">AL1448*$M1448</f>
        <v>0</v>
      </c>
      <c r="AN1448" s="28"/>
      <c r="AO1448" s="28" t="n">
        <f aca="false">AN1448*$M1448</f>
        <v>0</v>
      </c>
      <c r="AP1448" s="28"/>
      <c r="AQ1448" s="28" t="n">
        <f aca="false">AP1448*$M1448</f>
        <v>0</v>
      </c>
      <c r="AR1448" s="28"/>
      <c r="AS1448" s="28" t="n">
        <f aca="false">AR1448*$M1448</f>
        <v>0</v>
      </c>
      <c r="AT1448" s="28"/>
      <c r="AU1448" s="28" t="n">
        <f aca="false">AT1448*$M1448</f>
        <v>0</v>
      </c>
      <c r="AV1448" s="28"/>
      <c r="AW1448" s="28" t="n">
        <f aca="false">AV1448*$M1448</f>
        <v>0</v>
      </c>
      <c r="AX1448" s="28"/>
      <c r="AY1448" s="28" t="n">
        <f aca="false">AX1448*$M1448</f>
        <v>0</v>
      </c>
      <c r="AZ1448" s="30" t="n">
        <f aca="false">46255/100</f>
        <v>462.55</v>
      </c>
      <c r="BA1448" s="11" t="n">
        <v>4837</v>
      </c>
      <c r="BB1448" s="31" t="n">
        <f aca="false">SUM(Q1448,S1448,U1448,W1448,Y1448,AA1448,AC1448,AE1448,AG1448,AI1448,AK1448,AM1448,AO1448,AQ1448,AS1448,AU1448,AW1448,AY1448)</f>
        <v>4837</v>
      </c>
      <c r="BC1448" s="28" t="n">
        <f aca="false">BA1448-BB1448</f>
        <v>0</v>
      </c>
      <c r="BD1448" s="32" t="n">
        <f aca="false">SUM(P1448,R1448,T1448,V1448,X1448,Z1448,AB1448,AD1448,AF1448,AH1448,AJ1448,AL1448,AN1448,AP1448,AR1448,AT1448,AV1448,AX1448)</f>
        <v>483.75</v>
      </c>
      <c r="BE1448" s="33" t="n">
        <f aca="false">AZ1448-BD1448</f>
        <v>-21.2</v>
      </c>
      <c r="BF1448" s="34" t="n">
        <f aca="false">BD1448*M1448</f>
        <v>4837.5</v>
      </c>
      <c r="BG1448" s="35" t="n">
        <f aca="false">BA1448-BF1448</f>
        <v>-0.50000000000091</v>
      </c>
      <c r="BH1448" s="19" t="str">
        <f aca="false">IF(BG1448=0,"",IF(BG1448&lt;&gt;BA1448,"erreur de calcul",IF(BD1448&lt;&gt;0,"pas de prix",IF(M1448&lt;&gt; 0,"pas de quantité","pas de prix, ni de quantité"))))</f>
        <v>erreur de calcul</v>
      </c>
      <c r="BI1448" s="19"/>
    </row>
    <row r="1449" customFormat="false" ht="15" hidden="false" customHeight="false" outlineLevel="0" collapsed="false">
      <c r="A1449" s="0" t="n">
        <v>2</v>
      </c>
      <c r="B1449" s="8" t="s">
        <v>24</v>
      </c>
      <c r="C1449" s="9" t="s">
        <v>25</v>
      </c>
      <c r="D1449" s="9" t="s">
        <v>26</v>
      </c>
      <c r="E1449" s="10" t="n">
        <v>1789</v>
      </c>
      <c r="F1449" s="9" t="s">
        <v>27</v>
      </c>
      <c r="G1449" s="9" t="s">
        <v>27</v>
      </c>
      <c r="H1449" s="11" t="n">
        <v>20</v>
      </c>
      <c r="I1449" s="11" t="s">
        <v>118</v>
      </c>
      <c r="J1449" s="14" t="n">
        <v>10</v>
      </c>
      <c r="K1449" s="14"/>
      <c r="L1449" s="16"/>
      <c r="M1449" s="27" t="n">
        <f aca="false">J1449+(K1449/20)+(L1449/240)</f>
        <v>10</v>
      </c>
      <c r="N1449" s="17" t="s">
        <v>64</v>
      </c>
      <c r="O1449" s="11"/>
      <c r="P1449" s="28" t="n">
        <f aca="false">6450193/100</f>
        <v>64501.93</v>
      </c>
      <c r="Q1449" s="28" t="n">
        <v>645019</v>
      </c>
      <c r="R1449" s="28"/>
      <c r="S1449" s="28" t="n">
        <f aca="false">R1449*$M1449</f>
        <v>0</v>
      </c>
      <c r="T1449" s="28"/>
      <c r="U1449" s="28" t="n">
        <f aca="false">T1449*$M1449</f>
        <v>0</v>
      </c>
      <c r="V1449" s="28"/>
      <c r="W1449" s="28" t="n">
        <f aca="false">V1449*$M1449</f>
        <v>0</v>
      </c>
      <c r="X1449" s="28"/>
      <c r="Y1449" s="28" t="n">
        <f aca="false">X1449*$M1449</f>
        <v>0</v>
      </c>
      <c r="Z1449" s="28"/>
      <c r="AA1449" s="28" t="n">
        <f aca="false">Z1449*$M1449</f>
        <v>0</v>
      </c>
      <c r="AB1449" s="28" t="n">
        <f aca="false">601547/100</f>
        <v>6015.47</v>
      </c>
      <c r="AC1449" s="28" t="n">
        <v>60155</v>
      </c>
      <c r="AD1449" s="28"/>
      <c r="AE1449" s="28" t="n">
        <f aca="false">AD1449*$M1449</f>
        <v>0</v>
      </c>
      <c r="AF1449" s="28" t="n">
        <f aca="false">727551/100</f>
        <v>7275.51</v>
      </c>
      <c r="AG1449" s="28" t="n">
        <v>72755</v>
      </c>
      <c r="AH1449" s="28" t="n">
        <f aca="false">52982/100</f>
        <v>529.82</v>
      </c>
      <c r="AI1449" s="28" t="n">
        <v>5299</v>
      </c>
      <c r="AJ1449" s="28"/>
      <c r="AK1449" s="28" t="n">
        <f aca="false">AJ1449*$M1449</f>
        <v>0</v>
      </c>
      <c r="AL1449" s="28"/>
      <c r="AM1449" s="28" t="n">
        <f aca="false">AL1449*$M1449</f>
        <v>0</v>
      </c>
      <c r="AN1449" s="28"/>
      <c r="AO1449" s="28" t="n">
        <f aca="false">AN1449*$M1449</f>
        <v>0</v>
      </c>
      <c r="AP1449" s="28"/>
      <c r="AQ1449" s="28" t="n">
        <f aca="false">AP1449*$M1449</f>
        <v>0</v>
      </c>
      <c r="AR1449" s="28"/>
      <c r="AS1449" s="28" t="n">
        <f aca="false">AR1449*$M1449</f>
        <v>0</v>
      </c>
      <c r="AT1449" s="28"/>
      <c r="AU1449" s="28" t="n">
        <f aca="false">AT1449*$M1449</f>
        <v>0</v>
      </c>
      <c r="AV1449" s="28"/>
      <c r="AW1449" s="28" t="n">
        <f aca="false">AV1449*$M1449</f>
        <v>0</v>
      </c>
      <c r="AX1449" s="28"/>
      <c r="AY1449" s="28" t="n">
        <f aca="false">AX1449*$M1449</f>
        <v>0</v>
      </c>
      <c r="AZ1449" s="30" t="n">
        <f aca="false">7832273/100</f>
        <v>78322.73</v>
      </c>
      <c r="BA1449" s="11" t="n">
        <v>783228</v>
      </c>
      <c r="BB1449" s="31" t="n">
        <f aca="false">SUM(Q1449,S1449,U1449,W1449,Y1449,AA1449,AC1449,AE1449,AG1449,AI1449,AK1449,AM1449,AO1449,AQ1449,AS1449,AU1449,AW1449,AY1449)</f>
        <v>783228</v>
      </c>
      <c r="BC1449" s="28" t="n">
        <f aca="false">BA1449-BB1449</f>
        <v>0</v>
      </c>
      <c r="BD1449" s="32" t="n">
        <f aca="false">SUM(P1449,R1449,T1449,V1449,X1449,Z1449,AB1449,AD1449,AF1449,AH1449,AJ1449,AL1449,AN1449,AP1449,AR1449,AT1449,AV1449,AX1449)</f>
        <v>78322.73</v>
      </c>
      <c r="BE1449" s="33" t="n">
        <f aca="false">AZ1449-BD1449</f>
        <v>0</v>
      </c>
      <c r="BF1449" s="34" t="n">
        <f aca="false">BD1449*M1449</f>
        <v>783227.3</v>
      </c>
      <c r="BG1449" s="35" t="n">
        <f aca="false">BA1449-BF1449</f>
        <v>0.700000000069849</v>
      </c>
      <c r="BH1449" s="19" t="str">
        <f aca="false">IF(BG1449=0,"",IF(BG1449&lt;&gt;BA1449,"erreur de calcul",IF(BD1449&lt;&gt;0,"pas de prix",IF(M1449&lt;&gt; 0,"pas de quantité","pas de prix, ni de quantité"))))</f>
        <v>erreur de calcul</v>
      </c>
      <c r="BI1449" s="19"/>
    </row>
    <row r="1450" customFormat="false" ht="15" hidden="false" customHeight="false" outlineLevel="0" collapsed="false">
      <c r="A1450" s="0" t="n">
        <v>3</v>
      </c>
      <c r="B1450" s="8" t="s">
        <v>24</v>
      </c>
      <c r="C1450" s="9" t="s">
        <v>25</v>
      </c>
      <c r="D1450" s="9" t="s">
        <v>26</v>
      </c>
      <c r="E1450" s="10" t="n">
        <v>1789</v>
      </c>
      <c r="F1450" s="9" t="s">
        <v>27</v>
      </c>
      <c r="G1450" s="9" t="s">
        <v>27</v>
      </c>
      <c r="H1450" s="11" t="n">
        <v>20</v>
      </c>
      <c r="I1450" s="11" t="s">
        <v>119</v>
      </c>
      <c r="J1450" s="14" t="n">
        <v>10</v>
      </c>
      <c r="K1450" s="14"/>
      <c r="L1450" s="16"/>
      <c r="M1450" s="27" t="n">
        <f aca="false">J1450+(K1450/20)+(L1450/240)</f>
        <v>10</v>
      </c>
      <c r="N1450" s="17" t="s">
        <v>64</v>
      </c>
      <c r="O1450" s="11"/>
      <c r="P1450" s="28" t="n">
        <f aca="false">2617064/100</f>
        <v>26170.64</v>
      </c>
      <c r="Q1450" s="28" t="n">
        <v>261706</v>
      </c>
      <c r="R1450" s="28"/>
      <c r="S1450" s="28" t="n">
        <f aca="false">R1450*$M1450</f>
        <v>0</v>
      </c>
      <c r="T1450" s="28" t="n">
        <f aca="false">251959/100</f>
        <v>2519.59</v>
      </c>
      <c r="U1450" s="28" t="n">
        <v>25196</v>
      </c>
      <c r="V1450" s="28"/>
      <c r="W1450" s="28" t="n">
        <f aca="false">V1450*$M1450</f>
        <v>0</v>
      </c>
      <c r="X1450" s="28"/>
      <c r="Y1450" s="28" t="n">
        <f aca="false">X1450*$M1450</f>
        <v>0</v>
      </c>
      <c r="Z1450" s="28"/>
      <c r="AA1450" s="28" t="n">
        <f aca="false">Z1450*$M1450</f>
        <v>0</v>
      </c>
      <c r="AB1450" s="28"/>
      <c r="AC1450" s="28" t="n">
        <f aca="false">AB1450*$M1450</f>
        <v>0</v>
      </c>
      <c r="AD1450" s="28"/>
      <c r="AE1450" s="28" t="n">
        <f aca="false">AD1450*$M1450</f>
        <v>0</v>
      </c>
      <c r="AF1450" s="28"/>
      <c r="AG1450" s="28" t="n">
        <f aca="false">AF1450*$M1450</f>
        <v>0</v>
      </c>
      <c r="AH1450" s="28"/>
      <c r="AI1450" s="28" t="n">
        <f aca="false">AH1450*$M1450</f>
        <v>0</v>
      </c>
      <c r="AJ1450" s="28"/>
      <c r="AK1450" s="28" t="n">
        <f aca="false">AJ1450*$M1450</f>
        <v>0</v>
      </c>
      <c r="AL1450" s="28"/>
      <c r="AM1450" s="28" t="n">
        <f aca="false">AL1450*$M1450</f>
        <v>0</v>
      </c>
      <c r="AN1450" s="28"/>
      <c r="AO1450" s="28" t="n">
        <f aca="false">AN1450*$M1450</f>
        <v>0</v>
      </c>
      <c r="AP1450" s="28"/>
      <c r="AQ1450" s="28" t="n">
        <f aca="false">AP1450*$M1450</f>
        <v>0</v>
      </c>
      <c r="AR1450" s="28"/>
      <c r="AS1450" s="28" t="n">
        <f aca="false">AR1450*$M1450</f>
        <v>0</v>
      </c>
      <c r="AT1450" s="28"/>
      <c r="AU1450" s="28" t="n">
        <f aca="false">AT1450*$M1450</f>
        <v>0</v>
      </c>
      <c r="AV1450" s="28"/>
      <c r="AW1450" s="28" t="n">
        <f aca="false">AV1450*$M1450</f>
        <v>0</v>
      </c>
      <c r="AX1450" s="28"/>
      <c r="AY1450" s="28" t="n">
        <f aca="false">AX1450*$M1450</f>
        <v>0</v>
      </c>
      <c r="AZ1450" s="30" t="n">
        <f aca="false">2869023/100</f>
        <v>28690.23</v>
      </c>
      <c r="BA1450" s="11" t="n">
        <v>286902</v>
      </c>
      <c r="BB1450" s="31" t="n">
        <f aca="false">SUM(Q1450,S1450,U1450,W1450,Y1450,AA1450,AC1450,AE1450,AG1450,AI1450,AK1450,AM1450,AO1450,AQ1450,AS1450,AU1450,AW1450,AY1450)</f>
        <v>286902</v>
      </c>
      <c r="BC1450" s="28" t="n">
        <f aca="false">BA1450-BB1450</f>
        <v>0</v>
      </c>
      <c r="BD1450" s="32" t="n">
        <f aca="false">SUM(P1450,R1450,T1450,V1450,X1450,Z1450,AB1450,AD1450,AF1450,AH1450,AJ1450,AL1450,AN1450,AP1450,AR1450,AT1450,AV1450,AX1450)</f>
        <v>28690.23</v>
      </c>
      <c r="BE1450" s="33" t="n">
        <f aca="false">AZ1450-BD1450</f>
        <v>0</v>
      </c>
      <c r="BF1450" s="34" t="n">
        <f aca="false">BD1450*M1450</f>
        <v>286902.3</v>
      </c>
      <c r="BG1450" s="35" t="n">
        <f aca="false">BA1450-BF1450</f>
        <v>-0.299999999988358</v>
      </c>
      <c r="BH1450" s="19" t="str">
        <f aca="false">IF(BG1450=0,"",IF(BG1450&lt;&gt;BA1450,"erreur de calcul",IF(BD1450&lt;&gt;0,"pas de prix",IF(M1450&lt;&gt; 0,"pas de quantité","pas de prix, ni de quantité"))))</f>
        <v>erreur de calcul</v>
      </c>
      <c r="BI1450" s="19"/>
    </row>
    <row r="1451" customFormat="false" ht="16.65" hidden="false" customHeight="false" outlineLevel="0" collapsed="false">
      <c r="A1451" s="0" t="n">
        <v>4</v>
      </c>
      <c r="B1451" s="8" t="s">
        <v>24</v>
      </c>
      <c r="C1451" s="9" t="s">
        <v>25</v>
      </c>
      <c r="D1451" s="9" t="s">
        <v>26</v>
      </c>
      <c r="E1451" s="10" t="n">
        <v>1789</v>
      </c>
      <c r="F1451" s="9" t="s">
        <v>27</v>
      </c>
      <c r="G1451" s="9" t="s">
        <v>27</v>
      </c>
      <c r="H1451" s="11" t="n">
        <v>20</v>
      </c>
      <c r="I1451" s="11" t="s">
        <v>120</v>
      </c>
      <c r="J1451" s="14" t="n">
        <v>12</v>
      </c>
      <c r="K1451" s="14"/>
      <c r="L1451" s="16"/>
      <c r="M1451" s="27" t="n">
        <f aca="false">J1451+(K1451/20)+(L1451/240)</f>
        <v>12</v>
      </c>
      <c r="N1451" s="17" t="s">
        <v>64</v>
      </c>
      <c r="O1451" s="11" t="s">
        <v>77</v>
      </c>
      <c r="P1451" s="28"/>
      <c r="Q1451" s="28" t="n">
        <f aca="false">P1451*$M1451</f>
        <v>0</v>
      </c>
      <c r="R1451" s="28"/>
      <c r="S1451" s="28" t="n">
        <f aca="false">R1451*$M1451</f>
        <v>0</v>
      </c>
      <c r="T1451" s="28"/>
      <c r="U1451" s="28" t="n">
        <f aca="false">T1451*$M1451</f>
        <v>0</v>
      </c>
      <c r="V1451" s="28" t="n">
        <f aca="false">15268/100</f>
        <v>152.68</v>
      </c>
      <c r="W1451" s="28" t="n">
        <v>1832</v>
      </c>
      <c r="X1451" s="28"/>
      <c r="Y1451" s="28" t="n">
        <f aca="false">X1451*$M1451</f>
        <v>0</v>
      </c>
      <c r="Z1451" s="28"/>
      <c r="AA1451" s="28" t="n">
        <f aca="false">Z1451*$M1451</f>
        <v>0</v>
      </c>
      <c r="AB1451" s="28"/>
      <c r="AC1451" s="28" t="n">
        <f aca="false">AB1451*$M1451</f>
        <v>0</v>
      </c>
      <c r="AD1451" s="28"/>
      <c r="AE1451" s="28" t="n">
        <f aca="false">AD1451*$M1451</f>
        <v>0</v>
      </c>
      <c r="AF1451" s="28"/>
      <c r="AG1451" s="28" t="n">
        <f aca="false">AF1451*$M1451</f>
        <v>0</v>
      </c>
      <c r="AH1451" s="28" t="n">
        <f aca="false">26667/100</f>
        <v>266.67</v>
      </c>
      <c r="AI1451" s="28" t="n">
        <v>3200</v>
      </c>
      <c r="AJ1451" s="28"/>
      <c r="AK1451" s="28" t="n">
        <f aca="false">AJ1451*$M1451</f>
        <v>0</v>
      </c>
      <c r="AL1451" s="28"/>
      <c r="AM1451" s="28" t="n">
        <f aca="false">AL1451*$M1451</f>
        <v>0</v>
      </c>
      <c r="AN1451" s="28"/>
      <c r="AO1451" s="28" t="n">
        <f aca="false">AN1451*$M1451</f>
        <v>0</v>
      </c>
      <c r="AP1451" s="28"/>
      <c r="AQ1451" s="28" t="n">
        <f aca="false">AP1451*$M1451</f>
        <v>0</v>
      </c>
      <c r="AR1451" s="28"/>
      <c r="AS1451" s="28" t="n">
        <f aca="false">AR1451*$M1451</f>
        <v>0</v>
      </c>
      <c r="AT1451" s="28"/>
      <c r="AU1451" s="28" t="n">
        <f aca="false">AT1451*$M1451</f>
        <v>0</v>
      </c>
      <c r="AV1451" s="28"/>
      <c r="AW1451" s="28" t="n">
        <f aca="false">AV1451*$M1451</f>
        <v>0</v>
      </c>
      <c r="AX1451" s="28"/>
      <c r="AY1451" s="28" t="n">
        <f aca="false">AX1451*$M1451</f>
        <v>0</v>
      </c>
      <c r="AZ1451" s="30" t="n">
        <f aca="false">41935/100</f>
        <v>419.35</v>
      </c>
      <c r="BA1451" s="11" t="n">
        <v>5032</v>
      </c>
      <c r="BB1451" s="31" t="n">
        <f aca="false">SUM(Q1451,S1451,U1451,W1451,Y1451,AA1451,AC1451,AE1451,AG1451,AI1451,AK1451,AM1451,AO1451,AQ1451,AS1451,AU1451,AW1451,AY1451)</f>
        <v>5032</v>
      </c>
      <c r="BC1451" s="28" t="n">
        <f aca="false">BA1451-BB1451</f>
        <v>0</v>
      </c>
      <c r="BD1451" s="32" t="n">
        <f aca="false">SUM(P1451,R1451,T1451,V1451,X1451,Z1451,AB1451,AD1451,AF1451,AH1451,AJ1451,AL1451,AN1451,AP1451,AR1451,AT1451,AV1451,AX1451)</f>
        <v>419.35</v>
      </c>
      <c r="BE1451" s="33" t="n">
        <f aca="false">AZ1451-BD1451</f>
        <v>0</v>
      </c>
      <c r="BF1451" s="34" t="n">
        <f aca="false">BD1451*M1451</f>
        <v>5032.2</v>
      </c>
      <c r="BG1451" s="35" t="n">
        <f aca="false">BA1451-BF1451</f>
        <v>-0.200000000000728</v>
      </c>
      <c r="BH1451" s="19" t="str">
        <f aca="false">IF(BG1451=0,"",IF(BG1451&lt;&gt;BA1451,"erreur de calcul",IF(BD1451&lt;&gt;0,"pas de prix",IF(M1451&lt;&gt; 0,"pas de quantité","pas de prix, ni de quantité"))))</f>
        <v>erreur de calcul</v>
      </c>
      <c r="BI1451" s="19"/>
    </row>
    <row r="1452" customFormat="false" ht="15" hidden="false" customHeight="false" outlineLevel="0" collapsed="false">
      <c r="A1452" s="0" t="n">
        <v>5</v>
      </c>
      <c r="B1452" s="8" t="s">
        <v>24</v>
      </c>
      <c r="C1452" s="9" t="s">
        <v>25</v>
      </c>
      <c r="D1452" s="9" t="s">
        <v>26</v>
      </c>
      <c r="E1452" s="10" t="n">
        <v>1789</v>
      </c>
      <c r="F1452" s="9" t="s">
        <v>27</v>
      </c>
      <c r="G1452" s="9" t="s">
        <v>27</v>
      </c>
      <c r="H1452" s="11" t="n">
        <v>20</v>
      </c>
      <c r="I1452" s="11" t="s">
        <v>121</v>
      </c>
      <c r="J1452" s="14" t="n">
        <v>28</v>
      </c>
      <c r="K1452" s="14"/>
      <c r="L1452" s="16"/>
      <c r="M1452" s="27" t="n">
        <f aca="false">J1452+(K1452/20)+(L1452/240)</f>
        <v>28</v>
      </c>
      <c r="N1452" s="17" t="s">
        <v>64</v>
      </c>
      <c r="O1452" s="11"/>
      <c r="P1452" s="28"/>
      <c r="Q1452" s="28" t="n">
        <f aca="false">P1452*$M1452</f>
        <v>0</v>
      </c>
      <c r="R1452" s="28"/>
      <c r="S1452" s="28" t="n">
        <f aca="false">R1452*$M1452</f>
        <v>0</v>
      </c>
      <c r="T1452" s="28"/>
      <c r="U1452" s="28" t="n">
        <f aca="false">T1452*$M1452</f>
        <v>0</v>
      </c>
      <c r="V1452" s="28"/>
      <c r="W1452" s="28" t="n">
        <f aca="false">V1452*$M1452</f>
        <v>0</v>
      </c>
      <c r="X1452" s="28" t="n">
        <f aca="false">187504/100</f>
        <v>1875.04</v>
      </c>
      <c r="Y1452" s="28" t="n">
        <v>52501</v>
      </c>
      <c r="Z1452" s="28" t="n">
        <f aca="false">1041667/100</f>
        <v>10416.67</v>
      </c>
      <c r="AA1452" s="28" t="n">
        <v>291667</v>
      </c>
      <c r="AB1452" s="28"/>
      <c r="AC1452" s="28" t="n">
        <f aca="false">AB1452*$M1452</f>
        <v>0</v>
      </c>
      <c r="AD1452" s="28"/>
      <c r="AE1452" s="28" t="n">
        <f aca="false">AD1452*$M1452</f>
        <v>0</v>
      </c>
      <c r="AF1452" s="28"/>
      <c r="AG1452" s="28" t="n">
        <f aca="false">AF1452*$M1452</f>
        <v>0</v>
      </c>
      <c r="AH1452" s="28"/>
      <c r="AI1452" s="28" t="n">
        <f aca="false">AH1452*$M1452</f>
        <v>0</v>
      </c>
      <c r="AJ1452" s="28"/>
      <c r="AK1452" s="28" t="n">
        <f aca="false">AJ1452*$M1452</f>
        <v>0</v>
      </c>
      <c r="AL1452" s="28"/>
      <c r="AM1452" s="28" t="n">
        <f aca="false">AL1452*$M1452</f>
        <v>0</v>
      </c>
      <c r="AN1452" s="28"/>
      <c r="AO1452" s="28" t="n">
        <f aca="false">AN1452*$M1452</f>
        <v>0</v>
      </c>
      <c r="AP1452" s="28"/>
      <c r="AQ1452" s="28" t="n">
        <f aca="false">AP1452*$M1452</f>
        <v>0</v>
      </c>
      <c r="AR1452" s="28"/>
      <c r="AS1452" s="28" t="n">
        <f aca="false">AR1452*$M1452</f>
        <v>0</v>
      </c>
      <c r="AT1452" s="28"/>
      <c r="AU1452" s="28" t="n">
        <f aca="false">AT1452*$M1452</f>
        <v>0</v>
      </c>
      <c r="AV1452" s="28"/>
      <c r="AW1452" s="28" t="n">
        <f aca="false">AV1452*$M1452</f>
        <v>0</v>
      </c>
      <c r="AX1452" s="28"/>
      <c r="AY1452" s="28" t="n">
        <f aca="false">AX1452*$M1452</f>
        <v>0</v>
      </c>
      <c r="AZ1452" s="30" t="n">
        <f aca="false">1229171/100</f>
        <v>12291.71</v>
      </c>
      <c r="BA1452" s="11" t="n">
        <v>344168</v>
      </c>
      <c r="BB1452" s="31" t="n">
        <f aca="false">SUM(Q1452,S1452,U1452,W1452,Y1452,AA1452,AC1452,AE1452,AG1452,AI1452,AK1452,AM1452,AO1452,AQ1452,AS1452,AU1452,AW1452,AY1452)</f>
        <v>344168</v>
      </c>
      <c r="BC1452" s="28" t="n">
        <f aca="false">BA1452-BB1452</f>
        <v>0</v>
      </c>
      <c r="BD1452" s="32" t="n">
        <f aca="false">SUM(P1452,R1452,T1452,V1452,X1452,Z1452,AB1452,AD1452,AF1452,AH1452,AJ1452,AL1452,AN1452,AP1452,AR1452,AT1452,AV1452,AX1452)</f>
        <v>12291.71</v>
      </c>
      <c r="BE1452" s="33" t="n">
        <f aca="false">AZ1452-BD1452</f>
        <v>0</v>
      </c>
      <c r="BF1452" s="34" t="n">
        <f aca="false">BD1452*M1452</f>
        <v>344167.88</v>
      </c>
      <c r="BG1452" s="35" t="n">
        <f aca="false">BA1452-BF1452</f>
        <v>0.119999999995343</v>
      </c>
      <c r="BH1452" s="19" t="str">
        <f aca="false">IF(BG1452=0,"",IF(BG1452&lt;&gt;BA1452,"erreur de calcul",IF(BD1452&lt;&gt;0,"pas de prix",IF(M1452&lt;&gt; 0,"pas de quantité","pas de prix, ni de quantité"))))</f>
        <v>erreur de calcul</v>
      </c>
      <c r="BI1452" s="19"/>
    </row>
    <row r="1453" customFormat="false" ht="15" hidden="false" customHeight="false" outlineLevel="0" collapsed="false">
      <c r="A1453" s="0" t="n">
        <v>6</v>
      </c>
      <c r="B1453" s="8" t="s">
        <v>24</v>
      </c>
      <c r="C1453" s="9" t="s">
        <v>25</v>
      </c>
      <c r="D1453" s="9" t="s">
        <v>26</v>
      </c>
      <c r="E1453" s="10" t="n">
        <v>1789</v>
      </c>
      <c r="F1453" s="9" t="s">
        <v>27</v>
      </c>
      <c r="G1453" s="9" t="s">
        <v>27</v>
      </c>
      <c r="H1453" s="11" t="n">
        <v>20</v>
      </c>
      <c r="I1453" s="11" t="s">
        <v>122</v>
      </c>
      <c r="J1453" s="14" t="n">
        <v>16</v>
      </c>
      <c r="K1453" s="14"/>
      <c r="L1453" s="16"/>
      <c r="M1453" s="27" t="n">
        <f aca="false">J1453+(K1453/20)+(L1453/240)</f>
        <v>16</v>
      </c>
      <c r="N1453" s="17" t="s">
        <v>64</v>
      </c>
      <c r="O1453" s="11"/>
      <c r="P1453" s="28" t="n">
        <f aca="false">1774951/100</f>
        <v>17749.51</v>
      </c>
      <c r="Q1453" s="28" t="n">
        <v>283992</v>
      </c>
      <c r="R1453" s="28"/>
      <c r="S1453" s="28" t="n">
        <f aca="false">R1453*$M1453</f>
        <v>0</v>
      </c>
      <c r="T1453" s="28"/>
      <c r="U1453" s="28" t="n">
        <f aca="false">T1453*$M1453</f>
        <v>0</v>
      </c>
      <c r="V1453" s="28" t="n">
        <f aca="false">20834/100</f>
        <v>208.34</v>
      </c>
      <c r="W1453" s="28" t="n">
        <v>3333</v>
      </c>
      <c r="X1453" s="28" t="n">
        <f aca="false">85901/100</f>
        <v>859.01</v>
      </c>
      <c r="Y1453" s="28" t="n">
        <v>13744</v>
      </c>
      <c r="Z1453" s="28"/>
      <c r="AA1453" s="28" t="n">
        <f aca="false">Z1453*$M1453</f>
        <v>0</v>
      </c>
      <c r="AB1453" s="28" t="n">
        <f aca="false">6847841/100</f>
        <v>68478.41</v>
      </c>
      <c r="AC1453" s="28" t="n">
        <v>1095654</v>
      </c>
      <c r="AD1453" s="28"/>
      <c r="AE1453" s="28" t="n">
        <f aca="false">AD1453*$M1453</f>
        <v>0</v>
      </c>
      <c r="AF1453" s="28"/>
      <c r="AG1453" s="28" t="n">
        <f aca="false">AF1453*$M1453</f>
        <v>0</v>
      </c>
      <c r="AH1453" s="28" t="n">
        <f aca="false">50417/100</f>
        <v>504.17</v>
      </c>
      <c r="AI1453" s="28" t="n">
        <v>8067</v>
      </c>
      <c r="AJ1453" s="28"/>
      <c r="AK1453" s="28" t="n">
        <f aca="false">AJ1453*$M1453</f>
        <v>0</v>
      </c>
      <c r="AL1453" s="28"/>
      <c r="AM1453" s="28" t="n">
        <f aca="false">AL1453*$M1453</f>
        <v>0</v>
      </c>
      <c r="AN1453" s="28"/>
      <c r="AO1453" s="28" t="n">
        <f aca="false">AN1453*$M1453</f>
        <v>0</v>
      </c>
      <c r="AP1453" s="28"/>
      <c r="AQ1453" s="28" t="n">
        <f aca="false">AP1453*$M1453</f>
        <v>0</v>
      </c>
      <c r="AR1453" s="28"/>
      <c r="AS1453" s="28" t="n">
        <f aca="false">AR1453*$M1453</f>
        <v>0</v>
      </c>
      <c r="AT1453" s="28"/>
      <c r="AU1453" s="28" t="n">
        <f aca="false">AT1453*$M1453</f>
        <v>0</v>
      </c>
      <c r="AV1453" s="28"/>
      <c r="AW1453" s="28" t="n">
        <f aca="false">AV1453*$M1453</f>
        <v>0</v>
      </c>
      <c r="AX1453" s="28"/>
      <c r="AY1453" s="28" t="n">
        <f aca="false">AX1453*$M1453</f>
        <v>0</v>
      </c>
      <c r="AZ1453" s="30" t="n">
        <f aca="false">8779944/100</f>
        <v>87799.44</v>
      </c>
      <c r="BA1453" s="11" t="n">
        <v>1404790</v>
      </c>
      <c r="BB1453" s="31" t="n">
        <f aca="false">SUM(Q1453,S1453,U1453,W1453,Y1453,AA1453,AC1453,AE1453,AG1453,AI1453,AK1453,AM1453,AO1453,AQ1453,AS1453,AU1453,AW1453,AY1453)</f>
        <v>1404790</v>
      </c>
      <c r="BC1453" s="28" t="n">
        <f aca="false">BA1453-BB1453</f>
        <v>0</v>
      </c>
      <c r="BD1453" s="32" t="n">
        <f aca="false">SUM(P1453,R1453,T1453,V1453,X1453,Z1453,AB1453,AD1453,AF1453,AH1453,AJ1453,AL1453,AN1453,AP1453,AR1453,AT1453,AV1453,AX1453)</f>
        <v>87799.44</v>
      </c>
      <c r="BE1453" s="33" t="n">
        <f aca="false">AZ1453-BD1453</f>
        <v>0</v>
      </c>
      <c r="BF1453" s="34" t="n">
        <f aca="false">BD1453*M1453</f>
        <v>1404791.04</v>
      </c>
      <c r="BG1453" s="35" t="n">
        <f aca="false">BA1453-BF1453</f>
        <v>-1.03999999980442</v>
      </c>
      <c r="BH1453" s="19" t="str">
        <f aca="false">IF(BG1453=0,"",IF(BG1453&lt;&gt;BA1453,"erreur de calcul",IF(BD1453&lt;&gt;0,"pas de prix",IF(M1453&lt;&gt; 0,"pas de quantité","pas de prix, ni de quantité"))))</f>
        <v>erreur de calcul</v>
      </c>
      <c r="BI1453" s="19"/>
    </row>
    <row r="1454" customFormat="false" ht="15" hidden="false" customHeight="false" outlineLevel="0" collapsed="false">
      <c r="A1454" s="0" t="n">
        <v>7</v>
      </c>
      <c r="B1454" s="8" t="s">
        <v>24</v>
      </c>
      <c r="C1454" s="9" t="s">
        <v>25</v>
      </c>
      <c r="D1454" s="9" t="s">
        <v>26</v>
      </c>
      <c r="E1454" s="10" t="n">
        <v>1789</v>
      </c>
      <c r="F1454" s="9" t="s">
        <v>27</v>
      </c>
      <c r="G1454" s="9" t="s">
        <v>27</v>
      </c>
      <c r="H1454" s="11" t="n">
        <v>20</v>
      </c>
      <c r="I1454" s="11" t="s">
        <v>123</v>
      </c>
      <c r="J1454" s="14" t="n">
        <v>12</v>
      </c>
      <c r="K1454" s="14"/>
      <c r="L1454" s="16"/>
      <c r="M1454" s="27" t="n">
        <f aca="false">J1454+(K1454/20)+(L1454/240)</f>
        <v>12</v>
      </c>
      <c r="N1454" s="17" t="s">
        <v>64</v>
      </c>
      <c r="O1454" s="11"/>
      <c r="P1454" s="28"/>
      <c r="Q1454" s="28" t="n">
        <f aca="false">P1454*$M1454</f>
        <v>0</v>
      </c>
      <c r="R1454" s="28"/>
      <c r="S1454" s="28" t="n">
        <f aca="false">R1454*$M1454</f>
        <v>0</v>
      </c>
      <c r="T1454" s="28"/>
      <c r="U1454" s="28" t="n">
        <f aca="false">T1454*$M1454</f>
        <v>0</v>
      </c>
      <c r="V1454" s="28"/>
      <c r="W1454" s="28" t="n">
        <f aca="false">V1454*$M1454</f>
        <v>0</v>
      </c>
      <c r="X1454" s="28"/>
      <c r="Y1454" s="28" t="n">
        <f aca="false">X1454*$M1454</f>
        <v>0</v>
      </c>
      <c r="Z1454" s="28"/>
      <c r="AA1454" s="28" t="n">
        <f aca="false">Z1454*$M1454</f>
        <v>0</v>
      </c>
      <c r="AB1454" s="28"/>
      <c r="AC1454" s="28" t="n">
        <f aca="false">AB1454*$M1454</f>
        <v>0</v>
      </c>
      <c r="AD1454" s="28"/>
      <c r="AE1454" s="28" t="n">
        <f aca="false">AD1454*$M1454</f>
        <v>0</v>
      </c>
      <c r="AF1454" s="28"/>
      <c r="AG1454" s="28" t="n">
        <f aca="false">AF1454*$M1454</f>
        <v>0</v>
      </c>
      <c r="AH1454" s="28" t="n">
        <f aca="false">5697511/100</f>
        <v>56975.11</v>
      </c>
      <c r="AI1454" s="28" t="n">
        <v>683701</v>
      </c>
      <c r="AJ1454" s="28"/>
      <c r="AK1454" s="28" t="n">
        <f aca="false">AJ1454*$M1454</f>
        <v>0</v>
      </c>
      <c r="AL1454" s="28"/>
      <c r="AM1454" s="28" t="n">
        <f aca="false">AL1454*$M1454</f>
        <v>0</v>
      </c>
      <c r="AN1454" s="28"/>
      <c r="AO1454" s="28" t="n">
        <f aca="false">AN1454*$M1454</f>
        <v>0</v>
      </c>
      <c r="AP1454" s="28"/>
      <c r="AQ1454" s="28" t="n">
        <f aca="false">AP1454*$M1454</f>
        <v>0</v>
      </c>
      <c r="AR1454" s="28"/>
      <c r="AS1454" s="28" t="n">
        <f aca="false">AR1454*$M1454</f>
        <v>0</v>
      </c>
      <c r="AT1454" s="28"/>
      <c r="AU1454" s="28" t="n">
        <f aca="false">AT1454*$M1454</f>
        <v>0</v>
      </c>
      <c r="AV1454" s="28"/>
      <c r="AW1454" s="28" t="n">
        <f aca="false">AV1454*$M1454</f>
        <v>0</v>
      </c>
      <c r="AX1454" s="28"/>
      <c r="AY1454" s="28" t="n">
        <f aca="false">AX1454*$M1454</f>
        <v>0</v>
      </c>
      <c r="AZ1454" s="30" t="n">
        <f aca="false">5697511/100</f>
        <v>56975.11</v>
      </c>
      <c r="BA1454" s="11" t="n">
        <v>683701</v>
      </c>
      <c r="BB1454" s="31" t="n">
        <f aca="false">SUM(Q1454,S1454,U1454,W1454,Y1454,AA1454,AC1454,AE1454,AG1454,AI1454,AK1454,AM1454,AO1454,AQ1454,AS1454,AU1454,AW1454,AY1454)</f>
        <v>683701</v>
      </c>
      <c r="BC1454" s="28" t="n">
        <f aca="false">BA1454-BB1454</f>
        <v>0</v>
      </c>
      <c r="BD1454" s="32" t="n">
        <f aca="false">SUM(P1454,R1454,T1454,V1454,X1454,Z1454,AB1454,AD1454,AF1454,AH1454,AJ1454,AL1454,AN1454,AP1454,AR1454,AT1454,AV1454,AX1454)</f>
        <v>56975.11</v>
      </c>
      <c r="BE1454" s="33" t="n">
        <f aca="false">AZ1454-BD1454</f>
        <v>0</v>
      </c>
      <c r="BF1454" s="34" t="n">
        <f aca="false">BD1454*M1454</f>
        <v>683701.32</v>
      </c>
      <c r="BG1454" s="35" t="n">
        <f aca="false">BA1454-BF1454</f>
        <v>-0.320000000065193</v>
      </c>
      <c r="BH1454" s="19" t="str">
        <f aca="false">IF(BG1454=0,"",IF(BG1454&lt;&gt;BA1454,"erreur de calcul",IF(BD1454&lt;&gt;0,"pas de prix",IF(M1454&lt;&gt; 0,"pas de quantité","pas de prix, ni de quantité"))))</f>
        <v>erreur de calcul</v>
      </c>
      <c r="BI1454" s="19"/>
    </row>
    <row r="1455" customFormat="false" ht="15" hidden="false" customHeight="false" outlineLevel="0" collapsed="false">
      <c r="A1455" s="0" t="n">
        <v>8</v>
      </c>
      <c r="B1455" s="8" t="s">
        <v>24</v>
      </c>
      <c r="C1455" s="9" t="s">
        <v>25</v>
      </c>
      <c r="D1455" s="9" t="s">
        <v>26</v>
      </c>
      <c r="E1455" s="10" t="n">
        <v>1789</v>
      </c>
      <c r="F1455" s="9" t="s">
        <v>27</v>
      </c>
      <c r="G1455" s="9" t="s">
        <v>27</v>
      </c>
      <c r="H1455" s="11" t="n">
        <v>20</v>
      </c>
      <c r="I1455" s="11" t="s">
        <v>124</v>
      </c>
      <c r="J1455" s="14" t="n">
        <v>34</v>
      </c>
      <c r="K1455" s="14"/>
      <c r="L1455" s="16"/>
      <c r="M1455" s="27" t="n">
        <f aca="false">J1455+(K1455/20)+(L1455/240)</f>
        <v>34</v>
      </c>
      <c r="N1455" s="17" t="s">
        <v>64</v>
      </c>
      <c r="O1455" s="11"/>
      <c r="P1455" s="28"/>
      <c r="Q1455" s="28" t="n">
        <f aca="false">P1455*$M1455</f>
        <v>0</v>
      </c>
      <c r="R1455" s="28"/>
      <c r="S1455" s="28" t="n">
        <f aca="false">R1455*$M1455</f>
        <v>0</v>
      </c>
      <c r="T1455" s="28" t="n">
        <f aca="false">528/100</f>
        <v>5.28</v>
      </c>
      <c r="U1455" s="28" t="n">
        <v>179</v>
      </c>
      <c r="V1455" s="28"/>
      <c r="W1455" s="28" t="n">
        <f aca="false">V1455*$M1455</f>
        <v>0</v>
      </c>
      <c r="X1455" s="28" t="n">
        <f aca="false">1014/100</f>
        <v>10.14</v>
      </c>
      <c r="Y1455" s="36" t="n">
        <v>243</v>
      </c>
      <c r="Z1455" s="28"/>
      <c r="AA1455" s="28" t="n">
        <f aca="false">Z1455*$M1455</f>
        <v>0</v>
      </c>
      <c r="AB1455" s="28"/>
      <c r="AC1455" s="28" t="n">
        <f aca="false">AB1455*$M1455</f>
        <v>0</v>
      </c>
      <c r="AD1455" s="28"/>
      <c r="AE1455" s="28" t="n">
        <f aca="false">AD1455*$M1455</f>
        <v>0</v>
      </c>
      <c r="AF1455" s="28"/>
      <c r="AG1455" s="28" t="n">
        <f aca="false">AF1455*$M1455</f>
        <v>0</v>
      </c>
      <c r="AH1455" s="28"/>
      <c r="AI1455" s="28" t="n">
        <f aca="false">AH1455*$M1455</f>
        <v>0</v>
      </c>
      <c r="AJ1455" s="28" t="n">
        <f aca="false">1917/100</f>
        <v>19.17</v>
      </c>
      <c r="AK1455" s="28" t="n">
        <v>652</v>
      </c>
      <c r="AL1455" s="28"/>
      <c r="AM1455" s="28" t="n">
        <f aca="false">AL1455*$M1455</f>
        <v>0</v>
      </c>
      <c r="AN1455" s="28"/>
      <c r="AO1455" s="28" t="n">
        <f aca="false">AN1455*$M1455</f>
        <v>0</v>
      </c>
      <c r="AP1455" s="28"/>
      <c r="AQ1455" s="28" t="n">
        <f aca="false">AP1455*$M1455</f>
        <v>0</v>
      </c>
      <c r="AR1455" s="28"/>
      <c r="AS1455" s="28" t="n">
        <f aca="false">AR1455*$M1455</f>
        <v>0</v>
      </c>
      <c r="AT1455" s="28"/>
      <c r="AU1455" s="28" t="n">
        <f aca="false">AT1455*$M1455</f>
        <v>0</v>
      </c>
      <c r="AV1455" s="28"/>
      <c r="AW1455" s="28" t="n">
        <f aca="false">AV1455*$M1455</f>
        <v>0</v>
      </c>
      <c r="AX1455" s="28"/>
      <c r="AY1455" s="28" t="n">
        <f aca="false">AX1455*$M1455</f>
        <v>0</v>
      </c>
      <c r="AZ1455" s="30" t="n">
        <f aca="false">3459/100</f>
        <v>34.59</v>
      </c>
      <c r="BA1455" s="11" t="n">
        <v>1074</v>
      </c>
      <c r="BB1455" s="31" t="n">
        <f aca="false">SUM(Q1455,S1455,U1455,W1455,Y1455,AA1455,AC1455,AE1455,AG1455,AI1455,AK1455,AM1455,AO1455,AQ1455,AS1455,AU1455,AW1455,AY1455)</f>
        <v>1074</v>
      </c>
      <c r="BC1455" s="28" t="n">
        <f aca="false">BA1455-BB1455</f>
        <v>0</v>
      </c>
      <c r="BD1455" s="32" t="n">
        <f aca="false">SUM(P1455,R1455,T1455,V1455,X1455,Z1455,AB1455,AD1455,AF1455,AH1455,AJ1455,AL1455,AN1455,AP1455,AR1455,AT1455,AV1455,AX1455)</f>
        <v>34.59</v>
      </c>
      <c r="BE1455" s="33" t="n">
        <f aca="false">AZ1455-BD1455</f>
        <v>0</v>
      </c>
      <c r="BF1455" s="34" t="n">
        <f aca="false">BD1455*M1455</f>
        <v>1176.06</v>
      </c>
      <c r="BG1455" s="35" t="n">
        <f aca="false">BA1455-BF1455</f>
        <v>-102.06</v>
      </c>
      <c r="BH1455" s="19" t="str">
        <f aca="false">IF(BG1455=0,"",IF(BG1455&lt;&gt;BA1455,"erreur de calcul",IF(BD1455&lt;&gt;0,"pas de prix",IF(M1455&lt;&gt; 0,"pas de quantité","pas de prix, ni de quantité"))))</f>
        <v>erreur de calcul</v>
      </c>
      <c r="BI1455" s="19"/>
    </row>
    <row r="1456" customFormat="false" ht="15" hidden="false" customHeight="false" outlineLevel="0" collapsed="false">
      <c r="A1456" s="0" t="n">
        <v>9</v>
      </c>
      <c r="B1456" s="8" t="s">
        <v>24</v>
      </c>
      <c r="C1456" s="9" t="s">
        <v>25</v>
      </c>
      <c r="D1456" s="9" t="s">
        <v>26</v>
      </c>
      <c r="E1456" s="10" t="n">
        <v>1789</v>
      </c>
      <c r="F1456" s="9" t="s">
        <v>27</v>
      </c>
      <c r="G1456" s="9" t="s">
        <v>27</v>
      </c>
      <c r="H1456" s="11" t="n">
        <v>20</v>
      </c>
      <c r="I1456" s="11" t="s">
        <v>125</v>
      </c>
      <c r="J1456" s="14" t="n">
        <v>30</v>
      </c>
      <c r="K1456" s="14"/>
      <c r="L1456" s="16"/>
      <c r="M1456" s="27" t="n">
        <f aca="false">J1456+(K1456/20)+(L1456/240)</f>
        <v>30</v>
      </c>
      <c r="N1456" s="17" t="s">
        <v>64</v>
      </c>
      <c r="O1456" s="11"/>
      <c r="P1456" s="28" t="n">
        <f aca="false">31476/100</f>
        <v>314.76</v>
      </c>
      <c r="Q1456" s="28" t="n">
        <v>9443</v>
      </c>
      <c r="R1456" s="28"/>
      <c r="S1456" s="28" t="n">
        <f aca="false">R1456*$M1456</f>
        <v>0</v>
      </c>
      <c r="T1456" s="28"/>
      <c r="U1456" s="28" t="n">
        <f aca="false">T1456*$M1456</f>
        <v>0</v>
      </c>
      <c r="V1456" s="28"/>
      <c r="W1456" s="28" t="n">
        <f aca="false">V1456*$M1456</f>
        <v>0</v>
      </c>
      <c r="X1456" s="28" t="n">
        <f aca="false">2320/100</f>
        <v>23.2</v>
      </c>
      <c r="Y1456" s="28" t="n">
        <v>696</v>
      </c>
      <c r="Z1456" s="28"/>
      <c r="AA1456" s="28" t="n">
        <f aca="false">Z1456*$M1456</f>
        <v>0</v>
      </c>
      <c r="AB1456" s="28"/>
      <c r="AC1456" s="28" t="n">
        <f aca="false">AB1456*$M1456</f>
        <v>0</v>
      </c>
      <c r="AD1456" s="28"/>
      <c r="AE1456" s="28" t="n">
        <f aca="false">AD1456*$M1456</f>
        <v>0</v>
      </c>
      <c r="AF1456" s="28"/>
      <c r="AG1456" s="28" t="n">
        <f aca="false">AF1456*$M1456</f>
        <v>0</v>
      </c>
      <c r="AH1456" s="28"/>
      <c r="AI1456" s="28" t="n">
        <f aca="false">AH1456*$M1456</f>
        <v>0</v>
      </c>
      <c r="AJ1456" s="28"/>
      <c r="AK1456" s="28" t="n">
        <f aca="false">AJ1456*$M1456</f>
        <v>0</v>
      </c>
      <c r="AL1456" s="28"/>
      <c r="AM1456" s="28" t="n">
        <f aca="false">AL1456*$M1456</f>
        <v>0</v>
      </c>
      <c r="AN1456" s="28"/>
      <c r="AO1456" s="28" t="n">
        <f aca="false">AN1456*$M1456</f>
        <v>0</v>
      </c>
      <c r="AP1456" s="28" t="n">
        <f aca="false">5100/100</f>
        <v>51</v>
      </c>
      <c r="AQ1456" s="28" t="n">
        <v>1530</v>
      </c>
      <c r="AR1456" s="28"/>
      <c r="AS1456" s="28" t="n">
        <f aca="false">AR1456*$M1456</f>
        <v>0</v>
      </c>
      <c r="AT1456" s="28"/>
      <c r="AU1456" s="28" t="n">
        <f aca="false">AT1456*$M1456</f>
        <v>0</v>
      </c>
      <c r="AV1456" s="28"/>
      <c r="AW1456" s="28" t="n">
        <f aca="false">AV1456*$M1456</f>
        <v>0</v>
      </c>
      <c r="AX1456" s="28" t="n">
        <f aca="false">26345/100</f>
        <v>263.45</v>
      </c>
      <c r="AY1456" s="28" t="n">
        <v>7903</v>
      </c>
      <c r="AZ1456" s="30" t="n">
        <f aca="false">65241/100</f>
        <v>652.41</v>
      </c>
      <c r="BA1456" s="11" t="n">
        <v>19572</v>
      </c>
      <c r="BB1456" s="31" t="n">
        <f aca="false">SUM(Q1456,S1456,U1456,W1456,Y1456,AA1456,AC1456,AE1456,AG1456,AI1456,AK1456,AM1456,AO1456,AQ1456,AS1456,AU1456,AW1456,AY1456)</f>
        <v>19572</v>
      </c>
      <c r="BC1456" s="28" t="n">
        <f aca="false">BA1456-BB1456</f>
        <v>0</v>
      </c>
      <c r="BD1456" s="32" t="n">
        <f aca="false">SUM(P1456,R1456,T1456,V1456,X1456,Z1456,AB1456,AD1456,AF1456,AH1456,AJ1456,AL1456,AN1456,AP1456,AR1456,AT1456,AV1456,AX1456)</f>
        <v>652.41</v>
      </c>
      <c r="BE1456" s="33" t="n">
        <f aca="false">AZ1456-BD1456</f>
        <v>0</v>
      </c>
      <c r="BF1456" s="34" t="n">
        <f aca="false">BD1456*M1456</f>
        <v>19572.3</v>
      </c>
      <c r="BG1456" s="35" t="n">
        <f aca="false">BA1456-BF1456</f>
        <v>-0.299999999999272</v>
      </c>
      <c r="BH1456" s="19" t="str">
        <f aca="false">IF(BG1456=0,"",IF(BG1456&lt;&gt;BA1456,"erreur de calcul",IF(BD1456&lt;&gt;0,"pas de prix",IF(M1456&lt;&gt; 0,"pas de quantité","pas de prix, ni de quantité"))))</f>
        <v>erreur de calcul</v>
      </c>
      <c r="BI1456" s="19"/>
    </row>
    <row r="1457" customFormat="false" ht="15" hidden="false" customHeight="false" outlineLevel="0" collapsed="false">
      <c r="A1457" s="0" t="n">
        <v>10</v>
      </c>
      <c r="B1457" s="8" t="s">
        <v>24</v>
      </c>
      <c r="C1457" s="9" t="s">
        <v>25</v>
      </c>
      <c r="D1457" s="9" t="s">
        <v>26</v>
      </c>
      <c r="E1457" s="10" t="n">
        <v>1789</v>
      </c>
      <c r="F1457" s="9" t="s">
        <v>27</v>
      </c>
      <c r="G1457" s="9" t="s">
        <v>27</v>
      </c>
      <c r="H1457" s="11" t="n">
        <v>20</v>
      </c>
      <c r="I1457" s="11" t="s">
        <v>126</v>
      </c>
      <c r="J1457" s="14" t="n">
        <v>75</v>
      </c>
      <c r="K1457" s="14"/>
      <c r="L1457" s="16"/>
      <c r="M1457" s="27" t="n">
        <f aca="false">J1457+(K1457/20)+(L1457/240)</f>
        <v>75</v>
      </c>
      <c r="N1457" s="17" t="s">
        <v>64</v>
      </c>
      <c r="O1457" s="11"/>
      <c r="P1457" s="28"/>
      <c r="Q1457" s="28" t="n">
        <f aca="false">P1457*$M1457</f>
        <v>0</v>
      </c>
      <c r="R1457" s="28"/>
      <c r="S1457" s="28" t="n">
        <f aca="false">R1457*$M1457</f>
        <v>0</v>
      </c>
      <c r="T1457" s="28"/>
      <c r="U1457" s="28" t="n">
        <f aca="false">T1457*$M1457</f>
        <v>0</v>
      </c>
      <c r="V1457" s="28" t="n">
        <f aca="false">223/100</f>
        <v>2.23</v>
      </c>
      <c r="W1457" s="28" t="n">
        <v>167</v>
      </c>
      <c r="X1457" s="28" t="n">
        <f aca="false">2897/100</f>
        <v>28.97</v>
      </c>
      <c r="Y1457" s="28" t="n">
        <v>2173</v>
      </c>
      <c r="Z1457" s="28"/>
      <c r="AA1457" s="28" t="n">
        <f aca="false">Z1457*$M1457</f>
        <v>0</v>
      </c>
      <c r="AB1457" s="28"/>
      <c r="AC1457" s="28" t="n">
        <f aca="false">AB1457*$M1457</f>
        <v>0</v>
      </c>
      <c r="AD1457" s="28"/>
      <c r="AE1457" s="28" t="n">
        <f aca="false">AD1457*$M1457</f>
        <v>0</v>
      </c>
      <c r="AF1457" s="28"/>
      <c r="AG1457" s="28" t="n">
        <f aca="false">AF1457*$M1457</f>
        <v>0</v>
      </c>
      <c r="AH1457" s="28"/>
      <c r="AI1457" s="28" t="n">
        <f aca="false">AH1457*$M1457</f>
        <v>0</v>
      </c>
      <c r="AJ1457" s="28"/>
      <c r="AK1457" s="28" t="n">
        <f aca="false">AJ1457*$M1457</f>
        <v>0</v>
      </c>
      <c r="AL1457" s="28"/>
      <c r="AM1457" s="28" t="n">
        <f aca="false">AL1457*$M1457</f>
        <v>0</v>
      </c>
      <c r="AN1457" s="28"/>
      <c r="AO1457" s="28" t="n">
        <f aca="false">AN1457*$M1457</f>
        <v>0</v>
      </c>
      <c r="AP1457" s="28"/>
      <c r="AQ1457" s="28" t="n">
        <f aca="false">AP1457*$M1457</f>
        <v>0</v>
      </c>
      <c r="AR1457" s="28"/>
      <c r="AS1457" s="28" t="n">
        <f aca="false">AR1457*$M1457</f>
        <v>0</v>
      </c>
      <c r="AT1457" s="28"/>
      <c r="AU1457" s="28" t="n">
        <f aca="false">AT1457*$M1457</f>
        <v>0</v>
      </c>
      <c r="AV1457" s="28"/>
      <c r="AW1457" s="28" t="n">
        <f aca="false">AV1457*$M1457</f>
        <v>0</v>
      </c>
      <c r="AX1457" s="28"/>
      <c r="AY1457" s="28" t="n">
        <f aca="false">AX1457*$M1457</f>
        <v>0</v>
      </c>
      <c r="AZ1457" s="30" t="n">
        <f aca="false">3120/100</f>
        <v>31.2</v>
      </c>
      <c r="BA1457" s="11" t="n">
        <v>2340</v>
      </c>
      <c r="BB1457" s="31" t="n">
        <f aca="false">SUM(Q1457,S1457,U1457,W1457,Y1457,AA1457,AC1457,AE1457,AG1457,AI1457,AK1457,AM1457,AO1457,AQ1457,AS1457,AU1457,AW1457,AY1457)</f>
        <v>2340</v>
      </c>
      <c r="BC1457" s="28" t="n">
        <f aca="false">BA1457-BB1457</f>
        <v>0</v>
      </c>
      <c r="BD1457" s="32" t="n">
        <f aca="false">SUM(P1457,R1457,T1457,V1457,X1457,Z1457,AB1457,AD1457,AF1457,AH1457,AJ1457,AL1457,AN1457,AP1457,AR1457,AT1457,AV1457,AX1457)</f>
        <v>31.2</v>
      </c>
      <c r="BE1457" s="33" t="n">
        <f aca="false">AZ1457-BD1457</f>
        <v>0</v>
      </c>
      <c r="BF1457" s="34" t="n">
        <f aca="false">BD1457*M1457</f>
        <v>2340</v>
      </c>
      <c r="BG1457" s="35" t="n">
        <f aca="false">BA1457-BF1457</f>
        <v>0</v>
      </c>
      <c r="BH1457" s="19" t="str">
        <f aca="false">IF(BG1457=0,"",IF(BG1457&lt;&gt;BA1457,"erreur de calcul",IF(BD1457&lt;&gt;0,"pas de prix",IF(M1457&lt;&gt; 0,"pas de quantité","pas de prix, ni de quantité"))))</f>
        <v/>
      </c>
      <c r="BI1457" s="19"/>
    </row>
    <row r="1458" customFormat="false" ht="15" hidden="false" customHeight="false" outlineLevel="0" collapsed="false">
      <c r="A1458" s="0" t="n">
        <v>11</v>
      </c>
      <c r="B1458" s="8" t="s">
        <v>24</v>
      </c>
      <c r="C1458" s="9" t="s">
        <v>25</v>
      </c>
      <c r="D1458" s="9" t="s">
        <v>26</v>
      </c>
      <c r="E1458" s="10" t="n">
        <v>1789</v>
      </c>
      <c r="F1458" s="9" t="s">
        <v>27</v>
      </c>
      <c r="G1458" s="9" t="s">
        <v>27</v>
      </c>
      <c r="H1458" s="11" t="n">
        <v>20</v>
      </c>
      <c r="I1458" s="11" t="s">
        <v>127</v>
      </c>
      <c r="J1458" s="14" t="n">
        <v>75</v>
      </c>
      <c r="K1458" s="14"/>
      <c r="L1458" s="16"/>
      <c r="M1458" s="27" t="n">
        <f aca="false">J1458+(K1458/20)+(L1458/240)</f>
        <v>75</v>
      </c>
      <c r="N1458" s="17" t="s">
        <v>64</v>
      </c>
      <c r="O1458" s="11"/>
      <c r="P1458" s="28"/>
      <c r="Q1458" s="28" t="n">
        <f aca="false">P1458*$M1458</f>
        <v>0</v>
      </c>
      <c r="R1458" s="28"/>
      <c r="S1458" s="28" t="n">
        <f aca="false">R1458*$M1458</f>
        <v>0</v>
      </c>
      <c r="T1458" s="28" t="n">
        <f aca="false">5807/100</f>
        <v>58.07</v>
      </c>
      <c r="U1458" s="28" t="n">
        <v>4355</v>
      </c>
      <c r="V1458" s="28"/>
      <c r="W1458" s="28" t="n">
        <f aca="false">V1458*$M1458</f>
        <v>0</v>
      </c>
      <c r="X1458" s="28"/>
      <c r="Y1458" s="28" t="n">
        <f aca="false">X1458*$M1458</f>
        <v>0</v>
      </c>
      <c r="Z1458" s="28"/>
      <c r="AA1458" s="28" t="n">
        <f aca="false">Z1458*$M1458</f>
        <v>0</v>
      </c>
      <c r="AB1458" s="28"/>
      <c r="AC1458" s="28" t="n">
        <f aca="false">AB1458*$M1458</f>
        <v>0</v>
      </c>
      <c r="AD1458" s="28"/>
      <c r="AE1458" s="28" t="n">
        <f aca="false">AD1458*$M1458</f>
        <v>0</v>
      </c>
      <c r="AF1458" s="28"/>
      <c r="AG1458" s="28" t="n">
        <f aca="false">AF1458*$M1458</f>
        <v>0</v>
      </c>
      <c r="AH1458" s="28"/>
      <c r="AI1458" s="28" t="n">
        <f aca="false">AH1458*$M1458</f>
        <v>0</v>
      </c>
      <c r="AJ1458" s="28"/>
      <c r="AK1458" s="28" t="n">
        <f aca="false">AJ1458*$M1458</f>
        <v>0</v>
      </c>
      <c r="AL1458" s="28"/>
      <c r="AM1458" s="28" t="n">
        <f aca="false">AL1458*$M1458</f>
        <v>0</v>
      </c>
      <c r="AN1458" s="28"/>
      <c r="AO1458" s="28" t="n">
        <f aca="false">AN1458*$M1458</f>
        <v>0</v>
      </c>
      <c r="AP1458" s="28"/>
      <c r="AQ1458" s="28" t="n">
        <f aca="false">AP1458*$M1458</f>
        <v>0</v>
      </c>
      <c r="AR1458" s="28"/>
      <c r="AS1458" s="28" t="n">
        <f aca="false">AR1458*$M1458</f>
        <v>0</v>
      </c>
      <c r="AT1458" s="28"/>
      <c r="AU1458" s="28" t="n">
        <f aca="false">AT1458*$M1458</f>
        <v>0</v>
      </c>
      <c r="AV1458" s="28"/>
      <c r="AW1458" s="28" t="n">
        <f aca="false">AV1458*$M1458</f>
        <v>0</v>
      </c>
      <c r="AX1458" s="28"/>
      <c r="AY1458" s="28" t="n">
        <f aca="false">AX1458*$M1458</f>
        <v>0</v>
      </c>
      <c r="AZ1458" s="30" t="n">
        <f aca="false">5807/100</f>
        <v>58.07</v>
      </c>
      <c r="BA1458" s="11" t="n">
        <v>4355</v>
      </c>
      <c r="BB1458" s="31" t="n">
        <f aca="false">SUM(Q1458,S1458,U1458,W1458,Y1458,AA1458,AC1458,AE1458,AG1458,AI1458,AK1458,AM1458,AO1458,AQ1458,AS1458,AU1458,AW1458,AY1458)</f>
        <v>4355</v>
      </c>
      <c r="BC1458" s="28" t="n">
        <f aca="false">BA1458-BB1458</f>
        <v>0</v>
      </c>
      <c r="BD1458" s="32" t="n">
        <f aca="false">SUM(P1458,R1458,T1458,V1458,X1458,Z1458,AB1458,AD1458,AF1458,AH1458,AJ1458,AL1458,AN1458,AP1458,AR1458,AT1458,AV1458,AX1458)</f>
        <v>58.07</v>
      </c>
      <c r="BE1458" s="33" t="n">
        <f aca="false">AZ1458-BD1458</f>
        <v>0</v>
      </c>
      <c r="BF1458" s="34" t="n">
        <f aca="false">BD1458*M1458</f>
        <v>4355.25</v>
      </c>
      <c r="BG1458" s="35" t="n">
        <f aca="false">BA1458-BF1458</f>
        <v>-0.25</v>
      </c>
      <c r="BH1458" s="19" t="str">
        <f aca="false">IF(BG1458=0,"",IF(BG1458&lt;&gt;BA1458,"erreur de calcul",IF(BD1458&lt;&gt;0,"pas de prix",IF(M1458&lt;&gt; 0,"pas de quantité","pas de prix, ni de quantité"))))</f>
        <v>erreur de calcul</v>
      </c>
      <c r="BI1458" s="19"/>
    </row>
    <row r="1459" customFormat="false" ht="15" hidden="false" customHeight="false" outlineLevel="0" collapsed="false">
      <c r="A1459" s="0" t="n">
        <v>12</v>
      </c>
      <c r="B1459" s="8" t="s">
        <v>24</v>
      </c>
      <c r="C1459" s="9" t="s">
        <v>25</v>
      </c>
      <c r="D1459" s="9" t="s">
        <v>26</v>
      </c>
      <c r="E1459" s="10" t="n">
        <v>1789</v>
      </c>
      <c r="F1459" s="9" t="s">
        <v>27</v>
      </c>
      <c r="G1459" s="9" t="s">
        <v>27</v>
      </c>
      <c r="H1459" s="11" t="n">
        <v>20</v>
      </c>
      <c r="I1459" s="11" t="s">
        <v>128</v>
      </c>
      <c r="J1459" s="14" t="n">
        <v>42</v>
      </c>
      <c r="K1459" s="14"/>
      <c r="L1459" s="16"/>
      <c r="M1459" s="27" t="n">
        <f aca="false">J1459+(K1459/20)+(L1459/240)</f>
        <v>42</v>
      </c>
      <c r="N1459" s="17" t="s">
        <v>64</v>
      </c>
      <c r="O1459" s="11"/>
      <c r="P1459" s="28"/>
      <c r="Q1459" s="28" t="n">
        <f aca="false">P1459*$M1459</f>
        <v>0</v>
      </c>
      <c r="R1459" s="28"/>
      <c r="S1459" s="28" t="n">
        <f aca="false">R1459*$M1459</f>
        <v>0</v>
      </c>
      <c r="T1459" s="28" t="n">
        <f aca="false">347073/100</f>
        <v>3470.73</v>
      </c>
      <c r="U1459" s="28" t="n">
        <v>145771</v>
      </c>
      <c r="V1459" s="28" t="n">
        <f aca="false">188616/100</f>
        <v>1886.16</v>
      </c>
      <c r="W1459" s="28" t="n">
        <v>79219</v>
      </c>
      <c r="X1459" s="28" t="n">
        <f aca="false">518894/100</f>
        <v>5188.94</v>
      </c>
      <c r="Y1459" s="28" t="n">
        <v>217935</v>
      </c>
      <c r="Z1459" s="28" t="n">
        <f aca="false">965148/100</f>
        <v>9651.48</v>
      </c>
      <c r="AA1459" s="28" t="n">
        <v>405362</v>
      </c>
      <c r="AB1459" s="28" t="n">
        <f aca="false">759238/100</f>
        <v>7592.38</v>
      </c>
      <c r="AC1459" s="28" t="n">
        <v>318880</v>
      </c>
      <c r="AD1459" s="28" t="n">
        <f aca="false">254167/100</f>
        <v>2541.67</v>
      </c>
      <c r="AE1459" s="28" t="n">
        <v>106750</v>
      </c>
      <c r="AF1459" s="28"/>
      <c r="AG1459" s="28" t="n">
        <f aca="false">AF1459*$M1459</f>
        <v>0</v>
      </c>
      <c r="AH1459" s="28"/>
      <c r="AI1459" s="28" t="n">
        <f aca="false">AH1459*$M1459</f>
        <v>0</v>
      </c>
      <c r="AJ1459" s="28"/>
      <c r="AK1459" s="28" t="n">
        <f aca="false">AJ1459*$M1459</f>
        <v>0</v>
      </c>
      <c r="AL1459" s="28" t="n">
        <f aca="false">73551/100</f>
        <v>735.51</v>
      </c>
      <c r="AM1459" s="28" t="n">
        <v>30891</v>
      </c>
      <c r="AN1459" s="28"/>
      <c r="AO1459" s="28" t="n">
        <f aca="false">AN1459*$M1459</f>
        <v>0</v>
      </c>
      <c r="AP1459" s="28" t="n">
        <f aca="false">45836/100</f>
        <v>458.36</v>
      </c>
      <c r="AQ1459" s="28" t="n">
        <v>19251</v>
      </c>
      <c r="AR1459" s="28"/>
      <c r="AS1459" s="28" t="n">
        <f aca="false">AR1459*$M1459</f>
        <v>0</v>
      </c>
      <c r="AT1459" s="28"/>
      <c r="AU1459" s="28" t="n">
        <f aca="false">AT1459*$M1459</f>
        <v>0</v>
      </c>
      <c r="AV1459" s="28" t="n">
        <f aca="false">566574/100</f>
        <v>5665.74</v>
      </c>
      <c r="AW1459" s="28" t="n">
        <v>237961</v>
      </c>
      <c r="AX1459" s="28"/>
      <c r="AY1459" s="28" t="n">
        <f aca="false">AX1459*$M1459</f>
        <v>0</v>
      </c>
      <c r="AZ1459" s="30" t="n">
        <f aca="false">3719097/100</f>
        <v>37190.97</v>
      </c>
      <c r="BA1459" s="11" t="n">
        <v>1562020</v>
      </c>
      <c r="BB1459" s="31" t="n">
        <f aca="false">SUM(Q1459,S1459,U1459,W1459,Y1459,AA1459,AC1459,AE1459,AG1459,AI1459,AK1459,AM1459,AO1459,AQ1459,AS1459,AU1459,AW1459,AY1459)</f>
        <v>1562020</v>
      </c>
      <c r="BC1459" s="28" t="n">
        <f aca="false">BA1459-BB1459</f>
        <v>0</v>
      </c>
      <c r="BD1459" s="32" t="n">
        <f aca="false">SUM(P1459,R1459,T1459,V1459,X1459,Z1459,AB1459,AD1459,AF1459,AH1459,AJ1459,AL1459,AN1459,AP1459,AR1459,AT1459,AV1459,AX1459)</f>
        <v>37190.97</v>
      </c>
      <c r="BE1459" s="33" t="n">
        <f aca="false">AZ1459-BD1459</f>
        <v>0</v>
      </c>
      <c r="BF1459" s="34" t="n">
        <f aca="false">BD1459*M1459</f>
        <v>1562020.74</v>
      </c>
      <c r="BG1459" s="35" t="n">
        <f aca="false">BA1459-BF1459</f>
        <v>-0.739999999990687</v>
      </c>
      <c r="BH1459" s="19" t="str">
        <f aca="false">IF(BG1459=0,"",IF(BG1459&lt;&gt;BA1459,"erreur de calcul",IF(BD1459&lt;&gt;0,"pas de prix",IF(M1459&lt;&gt; 0,"pas de quantité","pas de prix, ni de quantité"))))</f>
        <v>erreur de calcul</v>
      </c>
      <c r="BI1459" s="19"/>
    </row>
    <row r="1460" customFormat="false" ht="15" hidden="false" customHeight="false" outlineLevel="0" collapsed="false">
      <c r="A1460" s="0" t="n">
        <v>13</v>
      </c>
      <c r="B1460" s="8" t="s">
        <v>24</v>
      </c>
      <c r="C1460" s="9" t="s">
        <v>25</v>
      </c>
      <c r="D1460" s="9" t="s">
        <v>26</v>
      </c>
      <c r="E1460" s="10" t="n">
        <v>1789</v>
      </c>
      <c r="F1460" s="9" t="s">
        <v>27</v>
      </c>
      <c r="G1460" s="9" t="s">
        <v>27</v>
      </c>
      <c r="H1460" s="11" t="n">
        <v>20</v>
      </c>
      <c r="I1460" s="11" t="s">
        <v>129</v>
      </c>
      <c r="J1460" s="14" t="n">
        <v>75</v>
      </c>
      <c r="K1460" s="14"/>
      <c r="L1460" s="16"/>
      <c r="M1460" s="27" t="n">
        <f aca="false">J1460+(K1460/20)+(L1460/240)</f>
        <v>75</v>
      </c>
      <c r="N1460" s="17" t="s">
        <v>64</v>
      </c>
      <c r="O1460" s="11"/>
      <c r="P1460" s="28"/>
      <c r="Q1460" s="28" t="n">
        <f aca="false">P1460*$M1460</f>
        <v>0</v>
      </c>
      <c r="R1460" s="28"/>
      <c r="S1460" s="28" t="n">
        <f aca="false">R1460*$M1460</f>
        <v>0</v>
      </c>
      <c r="T1460" s="28"/>
      <c r="U1460" s="28" t="n">
        <f aca="false">T1460*$M1460</f>
        <v>0</v>
      </c>
      <c r="V1460" s="28" t="n">
        <f aca="false">3418/100</f>
        <v>34.18</v>
      </c>
      <c r="W1460" s="28" t="n">
        <v>2563</v>
      </c>
      <c r="X1460" s="28" t="n">
        <f aca="false">3755/100</f>
        <v>37.55</v>
      </c>
      <c r="Y1460" s="28" t="n">
        <v>2817</v>
      </c>
      <c r="Z1460" s="28"/>
      <c r="AA1460" s="28" t="n">
        <f aca="false">Z1460*$M1460</f>
        <v>0</v>
      </c>
      <c r="AB1460" s="28" t="n">
        <f aca="false">75529/100</f>
        <v>755.29</v>
      </c>
      <c r="AC1460" s="28" t="n">
        <v>56647</v>
      </c>
      <c r="AD1460" s="28"/>
      <c r="AE1460" s="28" t="n">
        <f aca="false">AD1460*$M1460</f>
        <v>0</v>
      </c>
      <c r="AF1460" s="28"/>
      <c r="AG1460" s="28" t="n">
        <f aca="false">AF1460*$M1460</f>
        <v>0</v>
      </c>
      <c r="AH1460" s="28"/>
      <c r="AI1460" s="28" t="n">
        <f aca="false">AH1460*$M1460</f>
        <v>0</v>
      </c>
      <c r="AJ1460" s="28"/>
      <c r="AK1460" s="28" t="n">
        <f aca="false">AJ1460*$M1460</f>
        <v>0</v>
      </c>
      <c r="AL1460" s="28"/>
      <c r="AM1460" s="28" t="n">
        <f aca="false">AL1460*$M1460</f>
        <v>0</v>
      </c>
      <c r="AN1460" s="28"/>
      <c r="AO1460" s="28" t="n">
        <f aca="false">AN1460*$M1460</f>
        <v>0</v>
      </c>
      <c r="AP1460" s="28"/>
      <c r="AQ1460" s="28" t="n">
        <f aca="false">AP1460*$M1460</f>
        <v>0</v>
      </c>
      <c r="AR1460" s="28"/>
      <c r="AS1460" s="28" t="n">
        <f aca="false">AR1460*$M1460</f>
        <v>0</v>
      </c>
      <c r="AT1460" s="28"/>
      <c r="AU1460" s="28" t="n">
        <f aca="false">AT1460*$M1460</f>
        <v>0</v>
      </c>
      <c r="AV1460" s="28"/>
      <c r="AW1460" s="28" t="n">
        <f aca="false">AV1460*$M1460</f>
        <v>0</v>
      </c>
      <c r="AX1460" s="28"/>
      <c r="AY1460" s="28" t="n">
        <f aca="false">AX1460*$M1460</f>
        <v>0</v>
      </c>
      <c r="AZ1460" s="30" t="n">
        <f aca="false">82702/100</f>
        <v>827.02</v>
      </c>
      <c r="BA1460" s="11" t="n">
        <v>62027</v>
      </c>
      <c r="BB1460" s="31" t="n">
        <f aca="false">SUM(Q1460,S1460,U1460,W1460,Y1460,AA1460,AC1460,AE1460,AG1460,AI1460,AK1460,AM1460,AO1460,AQ1460,AS1460,AU1460,AW1460,AY1460)</f>
        <v>62027</v>
      </c>
      <c r="BC1460" s="28" t="n">
        <f aca="false">BA1460-BB1460</f>
        <v>0</v>
      </c>
      <c r="BD1460" s="32" t="n">
        <f aca="false">SUM(P1460,R1460,T1460,V1460,X1460,Z1460,AB1460,AD1460,AF1460,AH1460,AJ1460,AL1460,AN1460,AP1460,AR1460,AT1460,AV1460,AX1460)</f>
        <v>827.02</v>
      </c>
      <c r="BE1460" s="33" t="n">
        <f aca="false">AZ1460-BD1460</f>
        <v>0</v>
      </c>
      <c r="BF1460" s="34" t="n">
        <f aca="false">BD1460*M1460</f>
        <v>62026.5</v>
      </c>
      <c r="BG1460" s="35" t="n">
        <f aca="false">BA1460-BF1460</f>
        <v>0.500000000007276</v>
      </c>
      <c r="BH1460" s="19" t="str">
        <f aca="false">IF(BG1460=0,"",IF(BG1460&lt;&gt;BA1460,"erreur de calcul",IF(BD1460&lt;&gt;0,"pas de prix",IF(M1460&lt;&gt; 0,"pas de quantité","pas de prix, ni de quantité"))))</f>
        <v>erreur de calcul</v>
      </c>
      <c r="BI1460" s="19"/>
    </row>
    <row r="1461" customFormat="false" ht="15" hidden="false" customHeight="false" outlineLevel="0" collapsed="false">
      <c r="A1461" s="0" t="n">
        <v>14</v>
      </c>
      <c r="B1461" s="8" t="s">
        <v>24</v>
      </c>
      <c r="C1461" s="9" t="s">
        <v>25</v>
      </c>
      <c r="D1461" s="9" t="s">
        <v>26</v>
      </c>
      <c r="E1461" s="10" t="n">
        <v>1789</v>
      </c>
      <c r="F1461" s="9" t="s">
        <v>27</v>
      </c>
      <c r="G1461" s="9" t="s">
        <v>27</v>
      </c>
      <c r="H1461" s="11" t="n">
        <v>20</v>
      </c>
      <c r="I1461" s="11" t="s">
        <v>130</v>
      </c>
      <c r="J1461" s="14" t="n">
        <v>170</v>
      </c>
      <c r="K1461" s="14"/>
      <c r="L1461" s="16"/>
      <c r="M1461" s="27" t="n">
        <f aca="false">J1461+(K1461/20)+(L1461/240)</f>
        <v>170</v>
      </c>
      <c r="N1461" s="17" t="s">
        <v>64</v>
      </c>
      <c r="O1461" s="11"/>
      <c r="P1461" s="28"/>
      <c r="Q1461" s="28" t="n">
        <f aca="false">P1461*$M1461</f>
        <v>0</v>
      </c>
      <c r="R1461" s="28"/>
      <c r="S1461" s="28" t="n">
        <f aca="false">R1461*$M1461</f>
        <v>0</v>
      </c>
      <c r="T1461" s="28" t="n">
        <f aca="false">488/100</f>
        <v>4.88</v>
      </c>
      <c r="U1461" s="28" t="n">
        <v>830</v>
      </c>
      <c r="V1461" s="28"/>
      <c r="W1461" s="28" t="n">
        <f aca="false">V1461*$M1461</f>
        <v>0</v>
      </c>
      <c r="X1461" s="28" t="n">
        <f aca="false">8480/100</f>
        <v>84.8</v>
      </c>
      <c r="Y1461" s="28" t="n">
        <v>14416</v>
      </c>
      <c r="Z1461" s="28"/>
      <c r="AA1461" s="28" t="n">
        <f aca="false">Z1461*$M1461</f>
        <v>0</v>
      </c>
      <c r="AB1461" s="28" t="n">
        <f aca="false">291/100</f>
        <v>2.91</v>
      </c>
      <c r="AC1461" s="28" t="n">
        <v>495</v>
      </c>
      <c r="AD1461" s="28"/>
      <c r="AE1461" s="28" t="n">
        <f aca="false">AD1461*$M1461</f>
        <v>0</v>
      </c>
      <c r="AF1461" s="28"/>
      <c r="AG1461" s="28" t="n">
        <f aca="false">AF1461*$M1461</f>
        <v>0</v>
      </c>
      <c r="AH1461" s="28"/>
      <c r="AI1461" s="28" t="n">
        <f aca="false">AH1461*$M1461</f>
        <v>0</v>
      </c>
      <c r="AJ1461" s="28"/>
      <c r="AK1461" s="28" t="n">
        <f aca="false">AJ1461*$M1461</f>
        <v>0</v>
      </c>
      <c r="AL1461" s="28"/>
      <c r="AM1461" s="28" t="n">
        <f aca="false">AL1461*$M1461</f>
        <v>0</v>
      </c>
      <c r="AN1461" s="28"/>
      <c r="AO1461" s="28" t="n">
        <f aca="false">AN1461*$M1461</f>
        <v>0</v>
      </c>
      <c r="AP1461" s="28"/>
      <c r="AQ1461" s="28" t="n">
        <f aca="false">AP1461*$M1461</f>
        <v>0</v>
      </c>
      <c r="AR1461" s="28"/>
      <c r="AS1461" s="28" t="n">
        <f aca="false">AR1461*$M1461</f>
        <v>0</v>
      </c>
      <c r="AT1461" s="28"/>
      <c r="AU1461" s="28" t="n">
        <f aca="false">AT1461*$M1461</f>
        <v>0</v>
      </c>
      <c r="AV1461" s="28"/>
      <c r="AW1461" s="28" t="n">
        <f aca="false">AV1461*$M1461</f>
        <v>0</v>
      </c>
      <c r="AX1461" s="28"/>
      <c r="AY1461" s="28" t="n">
        <f aca="false">AX1461*$M1461</f>
        <v>0</v>
      </c>
      <c r="AZ1461" s="30" t="n">
        <f aca="false">9259/100</f>
        <v>92.59</v>
      </c>
      <c r="BA1461" s="11" t="n">
        <v>15741</v>
      </c>
      <c r="BB1461" s="31" t="n">
        <f aca="false">SUM(Q1461,S1461,U1461,W1461,Y1461,AA1461,AC1461,AE1461,AG1461,AI1461,AK1461,AM1461,AO1461,AQ1461,AS1461,AU1461,AW1461,AY1461)</f>
        <v>15741</v>
      </c>
      <c r="BC1461" s="28" t="n">
        <f aca="false">BA1461-BB1461</f>
        <v>0</v>
      </c>
      <c r="BD1461" s="32" t="n">
        <f aca="false">SUM(P1461,R1461,T1461,V1461,X1461,Z1461,AB1461,AD1461,AF1461,AH1461,AJ1461,AL1461,AN1461,AP1461,AR1461,AT1461,AV1461,AX1461)</f>
        <v>92.59</v>
      </c>
      <c r="BE1461" s="33" t="n">
        <f aca="false">AZ1461-BD1461</f>
        <v>0</v>
      </c>
      <c r="BF1461" s="34" t="n">
        <f aca="false">BD1461*M1461</f>
        <v>15740.3</v>
      </c>
      <c r="BG1461" s="35" t="n">
        <f aca="false">BA1461-BF1461</f>
        <v>0.700000000002547</v>
      </c>
      <c r="BH1461" s="19" t="str">
        <f aca="false">IF(BG1461=0,"",IF(BG1461&lt;&gt;BA1461,"erreur de calcul",IF(BD1461&lt;&gt;0,"pas de prix",IF(M1461&lt;&gt; 0,"pas de quantité","pas de prix, ni de quantité"))))</f>
        <v>erreur de calcul</v>
      </c>
      <c r="BI1461" s="19"/>
    </row>
    <row r="1462" customFormat="false" ht="15" hidden="false" customHeight="false" outlineLevel="0" collapsed="false">
      <c r="A1462" s="0" t="n">
        <v>15</v>
      </c>
      <c r="B1462" s="8" t="s">
        <v>24</v>
      </c>
      <c r="C1462" s="9" t="s">
        <v>25</v>
      </c>
      <c r="D1462" s="9" t="s">
        <v>26</v>
      </c>
      <c r="E1462" s="10" t="n">
        <v>1789</v>
      </c>
      <c r="F1462" s="9" t="s">
        <v>27</v>
      </c>
      <c r="G1462" s="9" t="s">
        <v>27</v>
      </c>
      <c r="H1462" s="11" t="n">
        <v>20</v>
      </c>
      <c r="I1462" s="11" t="s">
        <v>131</v>
      </c>
      <c r="J1462" s="14"/>
      <c r="K1462" s="14" t="n">
        <v>55</v>
      </c>
      <c r="L1462" s="16"/>
      <c r="M1462" s="27" t="n">
        <f aca="false">J1462+(K1462/20)+(L1462/240)</f>
        <v>2.75</v>
      </c>
      <c r="N1462" s="17" t="s">
        <v>64</v>
      </c>
      <c r="O1462" s="11"/>
      <c r="P1462" s="28"/>
      <c r="Q1462" s="28" t="n">
        <f aca="false">P1462*$M1462</f>
        <v>0</v>
      </c>
      <c r="R1462" s="28"/>
      <c r="S1462" s="28" t="n">
        <f aca="false">R1462*$M1462</f>
        <v>0</v>
      </c>
      <c r="T1462" s="28"/>
      <c r="U1462" s="28" t="n">
        <f aca="false">T1462*$M1462</f>
        <v>0</v>
      </c>
      <c r="V1462" s="28"/>
      <c r="W1462" s="28" t="n">
        <f aca="false">V1462*$M1462</f>
        <v>0</v>
      </c>
      <c r="X1462" s="28" t="n">
        <f aca="false">3875617/100</f>
        <v>38756.17</v>
      </c>
      <c r="Y1462" s="28" t="n">
        <v>106579</v>
      </c>
      <c r="Z1462" s="28" t="n">
        <f aca="false">62500/100</f>
        <v>625</v>
      </c>
      <c r="AA1462" s="28" t="n">
        <v>1719</v>
      </c>
      <c r="AB1462" s="28" t="n">
        <f aca="false">360000/100</f>
        <v>3600</v>
      </c>
      <c r="AC1462" s="28" t="n">
        <v>9900</v>
      </c>
      <c r="AD1462" s="28"/>
      <c r="AE1462" s="28" t="n">
        <f aca="false">AD1462*$M1462</f>
        <v>0</v>
      </c>
      <c r="AF1462" s="28"/>
      <c r="AG1462" s="28" t="n">
        <f aca="false">AF1462*$M1462</f>
        <v>0</v>
      </c>
      <c r="AH1462" s="28"/>
      <c r="AI1462" s="28" t="n">
        <f aca="false">AH1462*$M1462</f>
        <v>0</v>
      </c>
      <c r="AJ1462" s="28"/>
      <c r="AK1462" s="28" t="n">
        <f aca="false">AJ1462*$M1462</f>
        <v>0</v>
      </c>
      <c r="AL1462" s="28"/>
      <c r="AM1462" s="28" t="n">
        <f aca="false">AL1462*$M1462</f>
        <v>0</v>
      </c>
      <c r="AN1462" s="28"/>
      <c r="AO1462" s="28" t="n">
        <f aca="false">AN1462*$M1462</f>
        <v>0</v>
      </c>
      <c r="AP1462" s="28"/>
      <c r="AQ1462" s="28" t="n">
        <f aca="false">AP1462*$M1462</f>
        <v>0</v>
      </c>
      <c r="AR1462" s="28"/>
      <c r="AS1462" s="28" t="n">
        <f aca="false">AR1462*$M1462</f>
        <v>0</v>
      </c>
      <c r="AT1462" s="28"/>
      <c r="AU1462" s="28" t="n">
        <f aca="false">AT1462*$M1462</f>
        <v>0</v>
      </c>
      <c r="AV1462" s="28"/>
      <c r="AW1462" s="28" t="n">
        <f aca="false">AV1462*$M1462</f>
        <v>0</v>
      </c>
      <c r="AX1462" s="28"/>
      <c r="AY1462" s="28" t="n">
        <f aca="false">AX1462*$M1462</f>
        <v>0</v>
      </c>
      <c r="AZ1462" s="30" t="n">
        <f aca="false">4298117/100</f>
        <v>42981.17</v>
      </c>
      <c r="BA1462" s="11" t="n">
        <v>118198</v>
      </c>
      <c r="BB1462" s="31" t="n">
        <f aca="false">SUM(Q1462,S1462,U1462,W1462,Y1462,AA1462,AC1462,AE1462,AG1462,AI1462,AK1462,AM1462,AO1462,AQ1462,AS1462,AU1462,AW1462,AY1462)</f>
        <v>118198</v>
      </c>
      <c r="BC1462" s="28" t="n">
        <f aca="false">BA1462-BB1462</f>
        <v>0</v>
      </c>
      <c r="BD1462" s="32" t="n">
        <f aca="false">SUM(P1462,R1462,T1462,V1462,X1462,Z1462,AB1462,AD1462,AF1462,AH1462,AJ1462,AL1462,AN1462,AP1462,AR1462,AT1462,AV1462,AX1462)</f>
        <v>42981.17</v>
      </c>
      <c r="BE1462" s="33" t="n">
        <f aca="false">AZ1462-BD1462</f>
        <v>0</v>
      </c>
      <c r="BF1462" s="34" t="n">
        <f aca="false">BD1462*M1462</f>
        <v>118198.2175</v>
      </c>
      <c r="BG1462" s="35" t="n">
        <f aca="false">BA1462-BF1462</f>
        <v>-0.217499999998836</v>
      </c>
      <c r="BH1462" s="19" t="str">
        <f aca="false">IF(BG1462=0,"",IF(BG1462&lt;&gt;BA1462,"erreur de calcul",IF(BD1462&lt;&gt;0,"pas de prix",IF(M1462&lt;&gt; 0,"pas de quantité","pas de prix, ni de quantité"))))</f>
        <v>erreur de calcul</v>
      </c>
      <c r="BI1462" s="19"/>
    </row>
    <row r="1463" customFormat="false" ht="15" hidden="false" customHeight="false" outlineLevel="0" collapsed="false">
      <c r="A1463" s="0" t="n">
        <v>16</v>
      </c>
      <c r="B1463" s="8" t="s">
        <v>24</v>
      </c>
      <c r="C1463" s="9" t="s">
        <v>25</v>
      </c>
      <c r="D1463" s="9" t="s">
        <v>26</v>
      </c>
      <c r="E1463" s="10" t="n">
        <v>1789</v>
      </c>
      <c r="F1463" s="9" t="s">
        <v>27</v>
      </c>
      <c r="G1463" s="9" t="s">
        <v>27</v>
      </c>
      <c r="H1463" s="11" t="n">
        <v>20</v>
      </c>
      <c r="I1463" s="11" t="s">
        <v>132</v>
      </c>
      <c r="J1463" s="14"/>
      <c r="K1463" s="14" t="n">
        <v>50</v>
      </c>
      <c r="L1463" s="16"/>
      <c r="M1463" s="27" t="n">
        <f aca="false">J1463+(K1463/20)+(L1463/240)</f>
        <v>2.5</v>
      </c>
      <c r="N1463" s="17" t="s">
        <v>64</v>
      </c>
      <c r="O1463" s="11"/>
      <c r="P1463" s="28"/>
      <c r="Q1463" s="28" t="n">
        <f aca="false">P1463*$M1463</f>
        <v>0</v>
      </c>
      <c r="R1463" s="28"/>
      <c r="S1463" s="28" t="n">
        <f aca="false">R1463*$M1463</f>
        <v>0</v>
      </c>
      <c r="T1463" s="28"/>
      <c r="U1463" s="28" t="n">
        <f aca="false">T1463*$M1463</f>
        <v>0</v>
      </c>
      <c r="V1463" s="28" t="n">
        <f aca="false">25000/100</f>
        <v>250</v>
      </c>
      <c r="W1463" s="28" t="n">
        <v>625</v>
      </c>
      <c r="X1463" s="28" t="n">
        <f aca="false">9335/100</f>
        <v>93.35</v>
      </c>
      <c r="Y1463" s="28" t="n">
        <v>233</v>
      </c>
      <c r="Z1463" s="28"/>
      <c r="AA1463" s="28" t="n">
        <f aca="false">Z1463*$M1463</f>
        <v>0</v>
      </c>
      <c r="AB1463" s="28"/>
      <c r="AC1463" s="28" t="n">
        <f aca="false">AB1463*$M1463</f>
        <v>0</v>
      </c>
      <c r="AD1463" s="28"/>
      <c r="AE1463" s="28" t="n">
        <f aca="false">AD1463*$M1463</f>
        <v>0</v>
      </c>
      <c r="AF1463" s="28"/>
      <c r="AG1463" s="28" t="n">
        <f aca="false">AF1463*$M1463</f>
        <v>0</v>
      </c>
      <c r="AH1463" s="28"/>
      <c r="AI1463" s="28" t="n">
        <f aca="false">AH1463*$M1463</f>
        <v>0</v>
      </c>
      <c r="AJ1463" s="28"/>
      <c r="AK1463" s="28" t="n">
        <f aca="false">AJ1463*$M1463</f>
        <v>0</v>
      </c>
      <c r="AL1463" s="28"/>
      <c r="AM1463" s="28" t="n">
        <f aca="false">AL1463*$M1463</f>
        <v>0</v>
      </c>
      <c r="AN1463" s="28"/>
      <c r="AO1463" s="28" t="n">
        <f aca="false">AN1463*$M1463</f>
        <v>0</v>
      </c>
      <c r="AP1463" s="28"/>
      <c r="AQ1463" s="28" t="n">
        <f aca="false">AP1463*$M1463</f>
        <v>0</v>
      </c>
      <c r="AR1463" s="28"/>
      <c r="AS1463" s="28" t="n">
        <f aca="false">AR1463*$M1463</f>
        <v>0</v>
      </c>
      <c r="AT1463" s="28"/>
      <c r="AU1463" s="28" t="n">
        <f aca="false">AT1463*$M1463</f>
        <v>0</v>
      </c>
      <c r="AV1463" s="28"/>
      <c r="AW1463" s="28" t="n">
        <f aca="false">AV1463*$M1463</f>
        <v>0</v>
      </c>
      <c r="AX1463" s="28"/>
      <c r="AY1463" s="28" t="n">
        <f aca="false">AX1463*$M1463</f>
        <v>0</v>
      </c>
      <c r="AZ1463" s="30" t="n">
        <f aca="false">34335/100</f>
        <v>343.35</v>
      </c>
      <c r="BA1463" s="11" t="n">
        <v>858</v>
      </c>
      <c r="BB1463" s="31" t="n">
        <f aca="false">SUM(Q1463,S1463,U1463,W1463,Y1463,AA1463,AC1463,AE1463,AG1463,AI1463,AK1463,AM1463,AO1463,AQ1463,AS1463,AU1463,AW1463,AY1463)</f>
        <v>858</v>
      </c>
      <c r="BC1463" s="28" t="n">
        <f aca="false">BA1463-BB1463</f>
        <v>0</v>
      </c>
      <c r="BD1463" s="32" t="n">
        <f aca="false">SUM(P1463,R1463,T1463,V1463,X1463,Z1463,AB1463,AD1463,AF1463,AH1463,AJ1463,AL1463,AN1463,AP1463,AR1463,AT1463,AV1463,AX1463)</f>
        <v>343.35</v>
      </c>
      <c r="BE1463" s="33" t="n">
        <f aca="false">AZ1463-BD1463</f>
        <v>0</v>
      </c>
      <c r="BF1463" s="34" t="n">
        <f aca="false">BD1463*M1463</f>
        <v>858.375</v>
      </c>
      <c r="BG1463" s="35" t="n">
        <f aca="false">BA1463-BF1463</f>
        <v>-0.375</v>
      </c>
      <c r="BH1463" s="19" t="str">
        <f aca="false">IF(BG1463=0,"",IF(BG1463&lt;&gt;BA1463,"erreur de calcul",IF(BD1463&lt;&gt;0,"pas de prix",IF(M1463&lt;&gt; 0,"pas de quantité","pas de prix, ni de quantité"))))</f>
        <v>erreur de calcul</v>
      </c>
      <c r="BI1463" s="19"/>
    </row>
    <row r="1464" customFormat="false" ht="15" hidden="false" customHeight="false" outlineLevel="0" collapsed="false">
      <c r="A1464" s="0" t="n">
        <v>17</v>
      </c>
      <c r="B1464" s="8" t="s">
        <v>24</v>
      </c>
      <c r="C1464" s="9" t="s">
        <v>25</v>
      </c>
      <c r="D1464" s="9" t="s">
        <v>26</v>
      </c>
      <c r="E1464" s="10" t="n">
        <v>1789</v>
      </c>
      <c r="F1464" s="9" t="s">
        <v>27</v>
      </c>
      <c r="G1464" s="9" t="s">
        <v>27</v>
      </c>
      <c r="H1464" s="11" t="n">
        <v>20</v>
      </c>
      <c r="I1464" s="11" t="s">
        <v>133</v>
      </c>
      <c r="J1464" s="14" t="n">
        <v>175</v>
      </c>
      <c r="K1464" s="14"/>
      <c r="L1464" s="16"/>
      <c r="M1464" s="27" t="n">
        <f aca="false">J1464+(K1464/20)+(L1464/240)</f>
        <v>175</v>
      </c>
      <c r="N1464" s="17" t="s">
        <v>64</v>
      </c>
      <c r="O1464" s="11"/>
      <c r="P1464" s="28" t="n">
        <f aca="false">84/100</f>
        <v>0.84</v>
      </c>
      <c r="Q1464" s="28" t="n">
        <v>147</v>
      </c>
      <c r="R1464" s="28"/>
      <c r="S1464" s="28" t="n">
        <f aca="false">R1464*$M1464</f>
        <v>0</v>
      </c>
      <c r="T1464" s="28"/>
      <c r="U1464" s="28" t="n">
        <f aca="false">T1464*$M1464</f>
        <v>0</v>
      </c>
      <c r="V1464" s="28" t="n">
        <f aca="false">124/100</f>
        <v>1.24</v>
      </c>
      <c r="W1464" s="28" t="n">
        <v>217</v>
      </c>
      <c r="X1464" s="28" t="n">
        <f aca="false">6034/100</f>
        <v>60.34</v>
      </c>
      <c r="Y1464" s="28" t="n">
        <v>10559</v>
      </c>
      <c r="Z1464" s="28" t="n">
        <f aca="false">147/100</f>
        <v>1.47</v>
      </c>
      <c r="AA1464" s="28" t="n">
        <v>257</v>
      </c>
      <c r="AB1464" s="28" t="n">
        <f aca="false">195/100</f>
        <v>1.95</v>
      </c>
      <c r="AC1464" s="28" t="n">
        <v>341</v>
      </c>
      <c r="AD1464" s="28"/>
      <c r="AE1464" s="28" t="n">
        <f aca="false">AD1464*$M1464</f>
        <v>0</v>
      </c>
      <c r="AF1464" s="28"/>
      <c r="AG1464" s="28" t="n">
        <f aca="false">AF1464*$M1464</f>
        <v>0</v>
      </c>
      <c r="AH1464" s="28"/>
      <c r="AI1464" s="28" t="n">
        <f aca="false">AH1464*$M1464</f>
        <v>0</v>
      </c>
      <c r="AJ1464" s="28"/>
      <c r="AK1464" s="28" t="n">
        <f aca="false">AJ1464*$M1464</f>
        <v>0</v>
      </c>
      <c r="AL1464" s="28"/>
      <c r="AM1464" s="28" t="n">
        <f aca="false">AL1464*$M1464</f>
        <v>0</v>
      </c>
      <c r="AN1464" s="28"/>
      <c r="AO1464" s="28" t="n">
        <f aca="false">AN1464*$M1464</f>
        <v>0</v>
      </c>
      <c r="AP1464" s="28"/>
      <c r="AQ1464" s="28" t="n">
        <f aca="false">AP1464*$M1464</f>
        <v>0</v>
      </c>
      <c r="AR1464" s="28"/>
      <c r="AS1464" s="28" t="n">
        <f aca="false">AR1464*$M1464</f>
        <v>0</v>
      </c>
      <c r="AT1464" s="28"/>
      <c r="AU1464" s="28" t="n">
        <f aca="false">AT1464*$M1464</f>
        <v>0</v>
      </c>
      <c r="AV1464" s="28"/>
      <c r="AW1464" s="28" t="n">
        <f aca="false">AV1464*$M1464</f>
        <v>0</v>
      </c>
      <c r="AX1464" s="28"/>
      <c r="AY1464" s="28" t="n">
        <f aca="false">AX1464*$M1464</f>
        <v>0</v>
      </c>
      <c r="AZ1464" s="30" t="n">
        <f aca="false">6584/100</f>
        <v>65.84</v>
      </c>
      <c r="BA1464" s="11" t="n">
        <v>11521</v>
      </c>
      <c r="BB1464" s="31" t="n">
        <f aca="false">SUM(Q1464,S1464,U1464,W1464,Y1464,AA1464,AC1464,AE1464,AG1464,AI1464,AK1464,AM1464,AO1464,AQ1464,AS1464,AU1464,AW1464,AY1464)</f>
        <v>11521</v>
      </c>
      <c r="BC1464" s="28" t="n">
        <f aca="false">BA1464-BB1464</f>
        <v>0</v>
      </c>
      <c r="BD1464" s="32" t="n">
        <f aca="false">SUM(P1464,R1464,T1464,V1464,X1464,Z1464,AB1464,AD1464,AF1464,AH1464,AJ1464,AL1464,AN1464,AP1464,AR1464,AT1464,AV1464,AX1464)</f>
        <v>65.84</v>
      </c>
      <c r="BE1464" s="33" t="n">
        <f aca="false">AZ1464-BD1464</f>
        <v>0</v>
      </c>
      <c r="BF1464" s="34" t="n">
        <f aca="false">BD1464*M1464</f>
        <v>11522</v>
      </c>
      <c r="BG1464" s="35" t="n">
        <f aca="false">BA1464-BF1464</f>
        <v>-1</v>
      </c>
      <c r="BH1464" s="19" t="str">
        <f aca="false">IF(BG1464=0,"",IF(BG1464&lt;&gt;BA1464,"erreur de calcul",IF(BD1464&lt;&gt;0,"pas de prix",IF(M1464&lt;&gt; 0,"pas de quantité","pas de prix, ni de quantité"))))</f>
        <v>erreur de calcul</v>
      </c>
      <c r="BI1464" s="19"/>
    </row>
    <row r="1465" customFormat="false" ht="15" hidden="false" customHeight="false" outlineLevel="0" collapsed="false">
      <c r="A1465" s="0" t="n">
        <v>18</v>
      </c>
      <c r="B1465" s="8" t="s">
        <v>24</v>
      </c>
      <c r="C1465" s="9" t="s">
        <v>25</v>
      </c>
      <c r="D1465" s="9" t="s">
        <v>26</v>
      </c>
      <c r="E1465" s="10" t="n">
        <v>1789</v>
      </c>
      <c r="F1465" s="9" t="s">
        <v>27</v>
      </c>
      <c r="G1465" s="9" t="s">
        <v>27</v>
      </c>
      <c r="H1465" s="11" t="n">
        <v>20</v>
      </c>
      <c r="I1465" s="11" t="s">
        <v>134</v>
      </c>
      <c r="J1465" s="14" t="n">
        <v>210</v>
      </c>
      <c r="K1465" s="14"/>
      <c r="L1465" s="16"/>
      <c r="M1465" s="27" t="n">
        <f aca="false">J1465+(K1465/20)+(L1465/240)</f>
        <v>210</v>
      </c>
      <c r="N1465" s="17" t="s">
        <v>64</v>
      </c>
      <c r="O1465" s="11"/>
      <c r="P1465" s="28"/>
      <c r="Q1465" s="28" t="n">
        <f aca="false">P1465*$M1465</f>
        <v>0</v>
      </c>
      <c r="R1465" s="28"/>
      <c r="S1465" s="28" t="n">
        <f aca="false">R1465*$M1465</f>
        <v>0</v>
      </c>
      <c r="T1465" s="28"/>
      <c r="U1465" s="28" t="n">
        <f aca="false">T1465*$M1465</f>
        <v>0</v>
      </c>
      <c r="V1465" s="28" t="n">
        <f aca="false">869/100</f>
        <v>8.69</v>
      </c>
      <c r="W1465" s="28" t="n">
        <v>1825</v>
      </c>
      <c r="X1465" s="28"/>
      <c r="Y1465" s="28" t="n">
        <f aca="false">X1465*$M1465</f>
        <v>0</v>
      </c>
      <c r="Z1465" s="28"/>
      <c r="AA1465" s="28" t="n">
        <f aca="false">Z1465*$M1465</f>
        <v>0</v>
      </c>
      <c r="AB1465" s="28"/>
      <c r="AC1465" s="28" t="n">
        <f aca="false">AB1465*$M1465</f>
        <v>0</v>
      </c>
      <c r="AD1465" s="28"/>
      <c r="AE1465" s="28" t="n">
        <f aca="false">AD1465*$M1465</f>
        <v>0</v>
      </c>
      <c r="AF1465" s="28"/>
      <c r="AG1465" s="28" t="n">
        <f aca="false">AF1465*$M1465</f>
        <v>0</v>
      </c>
      <c r="AH1465" s="28"/>
      <c r="AI1465" s="28" t="n">
        <f aca="false">AH1465*$M1465</f>
        <v>0</v>
      </c>
      <c r="AJ1465" s="28"/>
      <c r="AK1465" s="28" t="n">
        <f aca="false">AJ1465*$M1465</f>
        <v>0</v>
      </c>
      <c r="AL1465" s="28"/>
      <c r="AM1465" s="28" t="n">
        <f aca="false">AL1465*$M1465</f>
        <v>0</v>
      </c>
      <c r="AN1465" s="28"/>
      <c r="AO1465" s="28" t="n">
        <f aca="false">AN1465*$M1465</f>
        <v>0</v>
      </c>
      <c r="AP1465" s="28"/>
      <c r="AQ1465" s="28" t="n">
        <f aca="false">AP1465*$M1465</f>
        <v>0</v>
      </c>
      <c r="AR1465" s="28"/>
      <c r="AS1465" s="28" t="n">
        <f aca="false">AR1465*$M1465</f>
        <v>0</v>
      </c>
      <c r="AT1465" s="28"/>
      <c r="AU1465" s="28" t="n">
        <f aca="false">AT1465*$M1465</f>
        <v>0</v>
      </c>
      <c r="AV1465" s="28"/>
      <c r="AW1465" s="28" t="n">
        <f aca="false">AV1465*$M1465</f>
        <v>0</v>
      </c>
      <c r="AX1465" s="28"/>
      <c r="AY1465" s="28" t="n">
        <f aca="false">AX1465*$M1465</f>
        <v>0</v>
      </c>
      <c r="AZ1465" s="30" t="n">
        <f aca="false">869/100</f>
        <v>8.69</v>
      </c>
      <c r="BA1465" s="11" t="n">
        <v>1825</v>
      </c>
      <c r="BB1465" s="31" t="n">
        <f aca="false">SUM(Q1465,S1465,U1465,W1465,Y1465,AA1465,AC1465,AE1465,AG1465,AI1465,AK1465,AM1465,AO1465,AQ1465,AS1465,AU1465,AW1465,AY1465)</f>
        <v>1825</v>
      </c>
      <c r="BC1465" s="28" t="n">
        <f aca="false">BA1465-BB1465</f>
        <v>0</v>
      </c>
      <c r="BD1465" s="32" t="n">
        <f aca="false">SUM(P1465,R1465,T1465,V1465,X1465,Z1465,AB1465,AD1465,AF1465,AH1465,AJ1465,AL1465,AN1465,AP1465,AR1465,AT1465,AV1465,AX1465)</f>
        <v>8.69</v>
      </c>
      <c r="BE1465" s="33" t="n">
        <f aca="false">AZ1465-BD1465</f>
        <v>0</v>
      </c>
      <c r="BF1465" s="34" t="n">
        <f aca="false">BD1465*M1465</f>
        <v>1824.9</v>
      </c>
      <c r="BG1465" s="35" t="n">
        <f aca="false">BA1465-BF1465</f>
        <v>0.100000000000136</v>
      </c>
      <c r="BH1465" s="19" t="str">
        <f aca="false">IF(BG1465=0,"",IF(BG1465&lt;&gt;BA1465,"erreur de calcul",IF(BD1465&lt;&gt;0,"pas de prix",IF(M1465&lt;&gt; 0,"pas de quantité","pas de prix, ni de quantité"))))</f>
        <v>erreur de calcul</v>
      </c>
      <c r="BI1465" s="19"/>
    </row>
    <row r="1466" customFormat="false" ht="15" hidden="false" customHeight="false" outlineLevel="0" collapsed="false">
      <c r="A1466" s="0" t="n">
        <v>19</v>
      </c>
      <c r="B1466" s="8" t="s">
        <v>24</v>
      </c>
      <c r="C1466" s="9" t="s">
        <v>25</v>
      </c>
      <c r="D1466" s="9" t="s">
        <v>26</v>
      </c>
      <c r="E1466" s="10" t="n">
        <v>1789</v>
      </c>
      <c r="F1466" s="9" t="s">
        <v>27</v>
      </c>
      <c r="G1466" s="9" t="s">
        <v>27</v>
      </c>
      <c r="H1466" s="11" t="n">
        <v>20</v>
      </c>
      <c r="I1466" s="11" t="s">
        <v>135</v>
      </c>
      <c r="J1466" s="14" t="n">
        <v>170</v>
      </c>
      <c r="K1466" s="14"/>
      <c r="L1466" s="16"/>
      <c r="M1466" s="27" t="n">
        <f aca="false">J1466+(K1466/20)+(L1466/240)</f>
        <v>170</v>
      </c>
      <c r="N1466" s="17" t="s">
        <v>64</v>
      </c>
      <c r="O1466" s="11" t="s">
        <v>77</v>
      </c>
      <c r="P1466" s="28"/>
      <c r="Q1466" s="28" t="n">
        <f aca="false">P1466*$M1466</f>
        <v>0</v>
      </c>
      <c r="R1466" s="28"/>
      <c r="S1466" s="28" t="n">
        <f aca="false">R1466*$M1466</f>
        <v>0</v>
      </c>
      <c r="T1466" s="28"/>
      <c r="U1466" s="28" t="n">
        <f aca="false">T1466*$M1466</f>
        <v>0</v>
      </c>
      <c r="V1466" s="28"/>
      <c r="W1466" s="28" t="n">
        <f aca="false">V1466*$M1466</f>
        <v>0</v>
      </c>
      <c r="X1466" s="28"/>
      <c r="Y1466" s="28" t="n">
        <f aca="false">X1466*$M1466</f>
        <v>0</v>
      </c>
      <c r="Z1466" s="28"/>
      <c r="AA1466" s="28" t="n">
        <f aca="false">Z1466*$M1466</f>
        <v>0</v>
      </c>
      <c r="AB1466" s="28"/>
      <c r="AC1466" s="28" t="n">
        <f aca="false">AB1466*$M1466</f>
        <v>0</v>
      </c>
      <c r="AD1466" s="28"/>
      <c r="AE1466" s="28" t="n">
        <f aca="false">AD1466*$M1466</f>
        <v>0</v>
      </c>
      <c r="AF1466" s="28" t="n">
        <f aca="false">229459/100</f>
        <v>2294.59</v>
      </c>
      <c r="AG1466" s="28" t="n">
        <v>390080</v>
      </c>
      <c r="AH1466" s="28" t="n">
        <f aca="false">202301/100</f>
        <v>2023.01</v>
      </c>
      <c r="AI1466" s="28" t="n">
        <v>343912</v>
      </c>
      <c r="AJ1466" s="28"/>
      <c r="AK1466" s="28" t="n">
        <f aca="false">AJ1466*$M1466</f>
        <v>0</v>
      </c>
      <c r="AL1466" s="28"/>
      <c r="AM1466" s="28" t="n">
        <f aca="false">AL1466*$M1466</f>
        <v>0</v>
      </c>
      <c r="AN1466" s="28"/>
      <c r="AO1466" s="28" t="n">
        <f aca="false">AN1466*$M1466</f>
        <v>0</v>
      </c>
      <c r="AP1466" s="28"/>
      <c r="AQ1466" s="28" t="n">
        <f aca="false">AP1466*$M1466</f>
        <v>0</v>
      </c>
      <c r="AR1466" s="28"/>
      <c r="AS1466" s="28" t="n">
        <f aca="false">AR1466*$M1466</f>
        <v>0</v>
      </c>
      <c r="AT1466" s="28"/>
      <c r="AU1466" s="28" t="n">
        <f aca="false">AT1466*$M1466</f>
        <v>0</v>
      </c>
      <c r="AV1466" s="28"/>
      <c r="AW1466" s="28" t="n">
        <f aca="false">AV1466*$M1466</f>
        <v>0</v>
      </c>
      <c r="AX1466" s="28" t="n">
        <f aca="false">2736/100</f>
        <v>27.36</v>
      </c>
      <c r="AY1466" s="28" t="n">
        <v>4651</v>
      </c>
      <c r="AZ1466" s="30" t="n">
        <f aca="false">434496/100</f>
        <v>4344.96</v>
      </c>
      <c r="BA1466" s="11" t="n">
        <v>738643</v>
      </c>
      <c r="BB1466" s="31" t="n">
        <f aca="false">SUM(Q1466,S1466,U1466,W1466,Y1466,AA1466,AC1466,AE1466,AG1466,AI1466,AK1466,AM1466,AO1466,AQ1466,AS1466,AU1466,AW1466,AY1466)</f>
        <v>738643</v>
      </c>
      <c r="BC1466" s="28" t="n">
        <f aca="false">BA1466-BB1466</f>
        <v>0</v>
      </c>
      <c r="BD1466" s="32" t="n">
        <f aca="false">SUM(P1466,R1466,T1466,V1466,X1466,Z1466,AB1466,AD1466,AF1466,AH1466,AJ1466,AL1466,AN1466,AP1466,AR1466,AT1466,AV1466,AX1466)</f>
        <v>4344.96</v>
      </c>
      <c r="BE1466" s="33" t="n">
        <f aca="false">AZ1466-BD1466</f>
        <v>0</v>
      </c>
      <c r="BF1466" s="34" t="n">
        <f aca="false">BD1466*M1466</f>
        <v>738643.2</v>
      </c>
      <c r="BG1466" s="35" t="n">
        <f aca="false">BA1466-BF1466</f>
        <v>-0.199999999953434</v>
      </c>
      <c r="BH1466" s="19" t="str">
        <f aca="false">IF(BG1466=0,"",IF(BG1466&lt;&gt;BA1466,"erreur de calcul",IF(BD1466&lt;&gt;0,"pas de prix",IF(M1466&lt;&gt; 0,"pas de quantité","pas de prix, ni de quantité"))))</f>
        <v>erreur de calcul</v>
      </c>
      <c r="BI1466" s="19"/>
    </row>
    <row r="1467" customFormat="false" ht="15" hidden="false" customHeight="false" outlineLevel="0" collapsed="false">
      <c r="A1467" s="0" t="n">
        <v>20</v>
      </c>
      <c r="B1467" s="8" t="s">
        <v>24</v>
      </c>
      <c r="C1467" s="9" t="s">
        <v>25</v>
      </c>
      <c r="D1467" s="9" t="s">
        <v>26</v>
      </c>
      <c r="E1467" s="10" t="n">
        <v>1789</v>
      </c>
      <c r="F1467" s="9" t="s">
        <v>27</v>
      </c>
      <c r="G1467" s="9" t="s">
        <v>27</v>
      </c>
      <c r="H1467" s="11" t="n">
        <v>20</v>
      </c>
      <c r="I1467" s="11" t="s">
        <v>136</v>
      </c>
      <c r="J1467" s="14" t="n">
        <v>41</v>
      </c>
      <c r="K1467" s="14"/>
      <c r="L1467" s="16"/>
      <c r="M1467" s="27" t="n">
        <f aca="false">J1467+(K1467/20)+(L1467/240)</f>
        <v>41</v>
      </c>
      <c r="N1467" s="17" t="s">
        <v>64</v>
      </c>
      <c r="O1467" s="11"/>
      <c r="P1467" s="28" t="n">
        <f aca="false">1210/100</f>
        <v>12.1</v>
      </c>
      <c r="Q1467" s="28" t="n">
        <v>496</v>
      </c>
      <c r="R1467" s="28"/>
      <c r="S1467" s="28" t="n">
        <f aca="false">R1467*$M1467</f>
        <v>0</v>
      </c>
      <c r="T1467" s="28"/>
      <c r="U1467" s="28" t="n">
        <f aca="false">T1467*$M1467</f>
        <v>0</v>
      </c>
      <c r="V1467" s="28"/>
      <c r="W1467" s="28" t="n">
        <f aca="false">V1467*$M1467</f>
        <v>0</v>
      </c>
      <c r="X1467" s="28"/>
      <c r="Y1467" s="28" t="n">
        <f aca="false">X1467*$M1467</f>
        <v>0</v>
      </c>
      <c r="Z1467" s="28"/>
      <c r="AA1467" s="28" t="n">
        <f aca="false">Z1467*$M1467</f>
        <v>0</v>
      </c>
      <c r="AB1467" s="28"/>
      <c r="AC1467" s="28" t="n">
        <f aca="false">AB1467*$M1467</f>
        <v>0</v>
      </c>
      <c r="AD1467" s="28"/>
      <c r="AE1467" s="28" t="n">
        <f aca="false">AD1467*$M1467</f>
        <v>0</v>
      </c>
      <c r="AF1467" s="28"/>
      <c r="AG1467" s="28" t="n">
        <f aca="false">AF1467*$M1467</f>
        <v>0</v>
      </c>
      <c r="AH1467" s="28"/>
      <c r="AI1467" s="28" t="n">
        <f aca="false">AH1467*$M1467</f>
        <v>0</v>
      </c>
      <c r="AJ1467" s="28" t="n">
        <f aca="false">85034/100</f>
        <v>850.34</v>
      </c>
      <c r="AK1467" s="28" t="n">
        <v>34864</v>
      </c>
      <c r="AL1467" s="28" t="n">
        <f aca="false">1024/100</f>
        <v>10.24</v>
      </c>
      <c r="AM1467" s="28" t="n">
        <v>420</v>
      </c>
      <c r="AN1467" s="28"/>
      <c r="AO1467" s="28" t="n">
        <f aca="false">AN1467*$M1467</f>
        <v>0</v>
      </c>
      <c r="AP1467" s="28"/>
      <c r="AQ1467" s="28" t="n">
        <f aca="false">AP1467*$M1467</f>
        <v>0</v>
      </c>
      <c r="AR1467" s="28"/>
      <c r="AS1467" s="28" t="n">
        <f aca="false">AR1467*$M1467</f>
        <v>0</v>
      </c>
      <c r="AT1467" s="28"/>
      <c r="AU1467" s="28" t="n">
        <f aca="false">AT1467*$M1467</f>
        <v>0</v>
      </c>
      <c r="AV1467" s="28"/>
      <c r="AW1467" s="28" t="n">
        <f aca="false">AV1467*$M1467</f>
        <v>0</v>
      </c>
      <c r="AX1467" s="28"/>
      <c r="AY1467" s="28" t="n">
        <f aca="false">AX1467*$M1467</f>
        <v>0</v>
      </c>
      <c r="AZ1467" s="30" t="n">
        <f aca="false">87268/100</f>
        <v>872.68</v>
      </c>
      <c r="BA1467" s="11" t="n">
        <v>35780</v>
      </c>
      <c r="BB1467" s="31" t="n">
        <f aca="false">SUM(Q1467,S1467,U1467,W1467,Y1467,AA1467,AC1467,AE1467,AG1467,AI1467,AK1467,AM1467,AO1467,AQ1467,AS1467,AU1467,AW1467,AY1467)</f>
        <v>35780</v>
      </c>
      <c r="BC1467" s="28" t="n">
        <f aca="false">BA1467-BB1467</f>
        <v>0</v>
      </c>
      <c r="BD1467" s="32" t="n">
        <f aca="false">SUM(P1467,R1467,T1467,V1467,X1467,Z1467,AB1467,AD1467,AF1467,AH1467,AJ1467,AL1467,AN1467,AP1467,AR1467,AT1467,AV1467,AX1467)</f>
        <v>872.68</v>
      </c>
      <c r="BE1467" s="33" t="n">
        <f aca="false">AZ1467-BD1467</f>
        <v>0</v>
      </c>
      <c r="BF1467" s="34" t="n">
        <f aca="false">BD1467*M1467</f>
        <v>35779.88</v>
      </c>
      <c r="BG1467" s="35" t="n">
        <f aca="false">BA1467-BF1467</f>
        <v>0.119999999995343</v>
      </c>
      <c r="BH1467" s="19" t="str">
        <f aca="false">IF(BG1467=0,"",IF(BG1467&lt;&gt;BA1467,"erreur de calcul",IF(BD1467&lt;&gt;0,"pas de prix",IF(M1467&lt;&gt; 0,"pas de quantité","pas de prix, ni de quantité"))))</f>
        <v>erreur de calcul</v>
      </c>
      <c r="BI1467" s="19"/>
    </row>
    <row r="1468" customFormat="false" ht="15" hidden="false" customHeight="false" outlineLevel="0" collapsed="false">
      <c r="A1468" s="0" t="n">
        <v>21</v>
      </c>
      <c r="B1468" s="8" t="s">
        <v>24</v>
      </c>
      <c r="C1468" s="9" t="s">
        <v>25</v>
      </c>
      <c r="D1468" s="9" t="s">
        <v>26</v>
      </c>
      <c r="E1468" s="10" t="n">
        <v>1789</v>
      </c>
      <c r="F1468" s="9" t="s">
        <v>27</v>
      </c>
      <c r="G1468" s="9" t="s">
        <v>27</v>
      </c>
      <c r="H1468" s="11" t="n">
        <v>20</v>
      </c>
      <c r="I1468" s="11" t="s">
        <v>137</v>
      </c>
      <c r="J1468" s="14"/>
      <c r="K1468" s="14"/>
      <c r="L1468" s="16"/>
      <c r="M1468" s="27" t="n">
        <f aca="false">J1468+(K1468/20)+(L1468/240)</f>
        <v>0</v>
      </c>
      <c r="N1468" s="39" t="s">
        <v>138</v>
      </c>
      <c r="O1468" s="11"/>
      <c r="P1468" s="28" t="n">
        <v>337</v>
      </c>
      <c r="Q1468" s="28" t="n">
        <v>6250</v>
      </c>
      <c r="R1468" s="28"/>
      <c r="S1468" s="28" t="n">
        <f aca="false">R1468*$M1468</f>
        <v>0</v>
      </c>
      <c r="T1468" s="28"/>
      <c r="U1468" s="28" t="n">
        <f aca="false">T1468*$M1468</f>
        <v>0</v>
      </c>
      <c r="V1468" s="28" t="n">
        <v>760</v>
      </c>
      <c r="W1468" s="28" t="n">
        <v>18259</v>
      </c>
      <c r="X1468" s="28"/>
      <c r="Y1468" s="28" t="n">
        <f aca="false">X1468*$M1468</f>
        <v>0</v>
      </c>
      <c r="Z1468" s="28"/>
      <c r="AA1468" s="28" t="n">
        <f aca="false">Z1468*$M1468</f>
        <v>0</v>
      </c>
      <c r="AB1468" s="28"/>
      <c r="AC1468" s="28" t="n">
        <f aca="false">AB1468*$M1468</f>
        <v>0</v>
      </c>
      <c r="AD1468" s="28"/>
      <c r="AE1468" s="28" t="n">
        <f aca="false">AD1468*$M1468</f>
        <v>0</v>
      </c>
      <c r="AF1468" s="28"/>
      <c r="AG1468" s="28" t="n">
        <f aca="false">AF1468*$M1468</f>
        <v>0</v>
      </c>
      <c r="AH1468" s="28"/>
      <c r="AI1468" s="28" t="n">
        <f aca="false">AH1468*$M1468</f>
        <v>0</v>
      </c>
      <c r="AJ1468" s="28"/>
      <c r="AK1468" s="28" t="n">
        <f aca="false">AJ1468*$M1468</f>
        <v>0</v>
      </c>
      <c r="AL1468" s="28"/>
      <c r="AM1468" s="28" t="n">
        <f aca="false">AL1468*$M1468</f>
        <v>0</v>
      </c>
      <c r="AN1468" s="28"/>
      <c r="AO1468" s="28" t="n">
        <f aca="false">AN1468*$M1468</f>
        <v>0</v>
      </c>
      <c r="AP1468" s="28"/>
      <c r="AQ1468" s="28" t="n">
        <f aca="false">AP1468*$M1468</f>
        <v>0</v>
      </c>
      <c r="AR1468" s="28"/>
      <c r="AS1468" s="28" t="n">
        <f aca="false">AR1468*$M1468</f>
        <v>0</v>
      </c>
      <c r="AT1468" s="28"/>
      <c r="AU1468" s="28" t="n">
        <f aca="false">AT1468*$M1468</f>
        <v>0</v>
      </c>
      <c r="AV1468" s="28"/>
      <c r="AW1468" s="28" t="n">
        <f aca="false">AV1468*$M1468</f>
        <v>0</v>
      </c>
      <c r="AX1468" s="28"/>
      <c r="AY1468" s="28" t="n">
        <f aca="false">AX1468*$M1468</f>
        <v>0</v>
      </c>
      <c r="AZ1468" s="30" t="n">
        <f aca="false">1097</f>
        <v>1097</v>
      </c>
      <c r="BA1468" s="11" t="n">
        <v>24509</v>
      </c>
      <c r="BB1468" s="31" t="n">
        <f aca="false">SUM(Q1468,S1468,U1468,W1468,Y1468,AA1468,AC1468,AE1468,AG1468,AI1468,AK1468,AM1468,AO1468,AQ1468,AS1468,AU1468,AW1468,AY1468)</f>
        <v>24509</v>
      </c>
      <c r="BC1468" s="28" t="n">
        <f aca="false">BA1468-BB1468</f>
        <v>0</v>
      </c>
      <c r="BD1468" s="32" t="n">
        <f aca="false">SUM(P1468,R1468,T1468,V1468,X1468,Z1468,AB1468,AD1468,AF1468,AH1468,AJ1468,AL1468,AN1468,AP1468,AR1468,AT1468,AV1468,AX1468)</f>
        <v>1097</v>
      </c>
      <c r="BE1468" s="33" t="n">
        <f aca="false">AZ1468-BD1468</f>
        <v>0</v>
      </c>
      <c r="BF1468" s="34" t="n">
        <f aca="false">BD1468*M1468</f>
        <v>0</v>
      </c>
      <c r="BG1468" s="35" t="n">
        <f aca="false">BA1468-BF1468</f>
        <v>24509</v>
      </c>
      <c r="BH1468" s="19" t="str">
        <f aca="false">IF(BG1468=0,"",IF(BG1468&lt;&gt;BA1468,"erreur de calcul",IF(BD1468&lt;&gt;0,"pas de prix",IF(M1468&lt;&gt; 0,"pas de quantité","pas de prix, ni de quantité"))))</f>
        <v>pas de prix</v>
      </c>
      <c r="BI1468" s="19" t="s">
        <v>139</v>
      </c>
    </row>
    <row r="1469" customFormat="false" ht="15" hidden="false" customHeight="false" outlineLevel="0" collapsed="false">
      <c r="A1469" s="0" t="n">
        <v>22</v>
      </c>
      <c r="B1469" s="8" t="s">
        <v>24</v>
      </c>
      <c r="C1469" s="9" t="s">
        <v>25</v>
      </c>
      <c r="D1469" s="9" t="s">
        <v>26</v>
      </c>
      <c r="E1469" s="10" t="n">
        <v>1789</v>
      </c>
      <c r="F1469" s="9" t="s">
        <v>27</v>
      </c>
      <c r="G1469" s="9" t="s">
        <v>27</v>
      </c>
      <c r="H1469" s="11" t="n">
        <v>20</v>
      </c>
      <c r="I1469" s="11" t="s">
        <v>140</v>
      </c>
      <c r="J1469" s="14" t="n">
        <v>28</v>
      </c>
      <c r="K1469" s="14"/>
      <c r="L1469" s="16"/>
      <c r="M1469" s="27" t="n">
        <f aca="false">J1469+(K1469/20)+(L1469/240)</f>
        <v>28</v>
      </c>
      <c r="N1469" s="17" t="s">
        <v>64</v>
      </c>
      <c r="O1469" s="11"/>
      <c r="P1469" s="28"/>
      <c r="Q1469" s="28" t="n">
        <f aca="false">P1469*$M1469</f>
        <v>0</v>
      </c>
      <c r="R1469" s="28"/>
      <c r="S1469" s="28" t="n">
        <f aca="false">R1469*$M1469</f>
        <v>0</v>
      </c>
      <c r="T1469" s="28"/>
      <c r="U1469" s="28" t="n">
        <f aca="false">T1469*$M1469</f>
        <v>0</v>
      </c>
      <c r="V1469" s="28"/>
      <c r="W1469" s="28" t="n">
        <f aca="false">V1469*$M1469</f>
        <v>0</v>
      </c>
      <c r="X1469" s="28" t="n">
        <f aca="false">2572/100</f>
        <v>25.72</v>
      </c>
      <c r="Y1469" s="28" t="n">
        <v>720</v>
      </c>
      <c r="Z1469" s="28"/>
      <c r="AA1469" s="28" t="n">
        <f aca="false">Z1469*$M1469</f>
        <v>0</v>
      </c>
      <c r="AB1469" s="28"/>
      <c r="AC1469" s="28" t="n">
        <f aca="false">AB1469*$M1469</f>
        <v>0</v>
      </c>
      <c r="AD1469" s="28"/>
      <c r="AE1469" s="28" t="n">
        <f aca="false">AD1469*$M1469</f>
        <v>0</v>
      </c>
      <c r="AF1469" s="28" t="n">
        <f aca="false">3367/100</f>
        <v>33.67</v>
      </c>
      <c r="AG1469" s="36" t="n">
        <v>915</v>
      </c>
      <c r="AH1469" s="28"/>
      <c r="AI1469" s="28" t="n">
        <f aca="false">AH1469*$M1469</f>
        <v>0</v>
      </c>
      <c r="AJ1469" s="28"/>
      <c r="AK1469" s="28" t="n">
        <f aca="false">AJ1469*$M1469</f>
        <v>0</v>
      </c>
      <c r="AL1469" s="28"/>
      <c r="AM1469" s="28" t="n">
        <f aca="false">AL1469*$M1469</f>
        <v>0</v>
      </c>
      <c r="AN1469" s="28"/>
      <c r="AO1469" s="28" t="n">
        <f aca="false">AN1469*$M1469</f>
        <v>0</v>
      </c>
      <c r="AP1469" s="28"/>
      <c r="AQ1469" s="28" t="n">
        <f aca="false">AP1469*$M1469</f>
        <v>0</v>
      </c>
      <c r="AR1469" s="28"/>
      <c r="AS1469" s="28" t="n">
        <f aca="false">AR1469*$M1469</f>
        <v>0</v>
      </c>
      <c r="AT1469" s="28"/>
      <c r="AU1469" s="28" t="n">
        <f aca="false">AT1469*$M1469</f>
        <v>0</v>
      </c>
      <c r="AV1469" s="28"/>
      <c r="AW1469" s="28" t="n">
        <f aca="false">AV1469*$M1469</f>
        <v>0</v>
      </c>
      <c r="AX1469" s="28"/>
      <c r="AY1469" s="28" t="n">
        <f aca="false">AX1469*$M1469</f>
        <v>0</v>
      </c>
      <c r="AZ1469" s="30" t="n">
        <f aca="false">5939/100</f>
        <v>59.39</v>
      </c>
      <c r="BA1469" s="11" t="n">
        <v>1635</v>
      </c>
      <c r="BB1469" s="31" t="n">
        <f aca="false">SUM(Q1469,S1469,U1469,W1469,Y1469,AA1469,AC1469,AE1469,AG1469,AI1469,AK1469,AM1469,AO1469,AQ1469,AS1469,AU1469,AW1469,AY1469)</f>
        <v>1635</v>
      </c>
      <c r="BC1469" s="28" t="n">
        <f aca="false">BA1469-BB1469</f>
        <v>0</v>
      </c>
      <c r="BD1469" s="32" t="n">
        <f aca="false">SUM(P1469,R1469,T1469,V1469,X1469,Z1469,AB1469,AD1469,AF1469,AH1469,AJ1469,AL1469,AN1469,AP1469,AR1469,AT1469,AV1469,AX1469)</f>
        <v>59.39</v>
      </c>
      <c r="BE1469" s="33" t="n">
        <f aca="false">AZ1469-BD1469</f>
        <v>0</v>
      </c>
      <c r="BF1469" s="34" t="n">
        <f aca="false">BD1469*M1469</f>
        <v>1662.92</v>
      </c>
      <c r="BG1469" s="35" t="n">
        <f aca="false">BA1469-BF1469</f>
        <v>-27.9200000000001</v>
      </c>
      <c r="BH1469" s="19" t="str">
        <f aca="false">IF(BG1469=0,"",IF(BG1469&lt;&gt;BA1469,"erreur de calcul",IF(BD1469&lt;&gt;0,"pas de prix",IF(M1469&lt;&gt; 0,"pas de quantité","pas de prix, ni de quantité"))))</f>
        <v>erreur de calcul</v>
      </c>
      <c r="BI1469" s="19"/>
    </row>
    <row r="1470" customFormat="false" ht="15" hidden="false" customHeight="false" outlineLevel="0" collapsed="false">
      <c r="A1470" s="0" t="n">
        <v>23</v>
      </c>
      <c r="B1470" s="8" t="s">
        <v>24</v>
      </c>
      <c r="C1470" s="9" t="s">
        <v>25</v>
      </c>
      <c r="D1470" s="9" t="s">
        <v>26</v>
      </c>
      <c r="E1470" s="10" t="n">
        <v>1789</v>
      </c>
      <c r="F1470" s="9" t="s">
        <v>27</v>
      </c>
      <c r="G1470" s="9" t="s">
        <v>27</v>
      </c>
      <c r="H1470" s="11" t="n">
        <v>20</v>
      </c>
      <c r="I1470" s="11" t="s">
        <v>141</v>
      </c>
      <c r="J1470" s="14" t="n">
        <v>50</v>
      </c>
      <c r="K1470" s="14"/>
      <c r="L1470" s="16"/>
      <c r="M1470" s="27" t="n">
        <f aca="false">J1470+(K1470/20)+(L1470/240)</f>
        <v>50</v>
      </c>
      <c r="N1470" s="17" t="s">
        <v>64</v>
      </c>
      <c r="O1470" s="11"/>
      <c r="P1470" s="28" t="n">
        <f aca="false">79168/100</f>
        <v>791.68</v>
      </c>
      <c r="Q1470" s="28" t="n">
        <v>39584</v>
      </c>
      <c r="R1470" s="28"/>
      <c r="S1470" s="28" t="n">
        <f aca="false">R1470*$M1470</f>
        <v>0</v>
      </c>
      <c r="T1470" s="28" t="n">
        <f aca="false">18545/100</f>
        <v>185.45</v>
      </c>
      <c r="U1470" s="28" t="n">
        <v>9272</v>
      </c>
      <c r="V1470" s="28" t="n">
        <f aca="false">10784/100</f>
        <v>107.84</v>
      </c>
      <c r="W1470" s="28" t="n">
        <v>5392</v>
      </c>
      <c r="X1470" s="28" t="n">
        <f aca="false">22033/100</f>
        <v>220.33</v>
      </c>
      <c r="Y1470" s="28" t="n">
        <v>11016</v>
      </c>
      <c r="Z1470" s="28" t="n">
        <f aca="false">4478/100</f>
        <v>44.78</v>
      </c>
      <c r="AA1470" s="28" t="n">
        <v>2239</v>
      </c>
      <c r="AB1470" s="28" t="n">
        <f aca="false">8901/100</f>
        <v>89.01</v>
      </c>
      <c r="AC1470" s="28" t="n">
        <v>4450</v>
      </c>
      <c r="AD1470" s="28"/>
      <c r="AE1470" s="28" t="n">
        <f aca="false">AD1470*$M1470</f>
        <v>0</v>
      </c>
      <c r="AF1470" s="28"/>
      <c r="AG1470" s="28" t="n">
        <f aca="false">AF1470*$M1470</f>
        <v>0</v>
      </c>
      <c r="AH1470" s="28"/>
      <c r="AI1470" s="28" t="n">
        <f aca="false">AH1470*$M1470</f>
        <v>0</v>
      </c>
      <c r="AJ1470" s="28" t="n">
        <f aca="false">2917/100</f>
        <v>29.17</v>
      </c>
      <c r="AK1470" s="28" t="n">
        <v>1458</v>
      </c>
      <c r="AL1470" s="28"/>
      <c r="AM1470" s="28" t="n">
        <f aca="false">AL1470*$M1470</f>
        <v>0</v>
      </c>
      <c r="AN1470" s="28"/>
      <c r="AO1470" s="28" t="n">
        <f aca="false">AN1470*$M1470</f>
        <v>0</v>
      </c>
      <c r="AP1470" s="28"/>
      <c r="AQ1470" s="28" t="n">
        <f aca="false">AP1470*$M1470</f>
        <v>0</v>
      </c>
      <c r="AR1470" s="28"/>
      <c r="AS1470" s="28" t="n">
        <f aca="false">AR1470*$M1470</f>
        <v>0</v>
      </c>
      <c r="AT1470" s="28"/>
      <c r="AU1470" s="28" t="n">
        <f aca="false">AT1470*$M1470</f>
        <v>0</v>
      </c>
      <c r="AV1470" s="28" t="n">
        <f aca="false">6667/100</f>
        <v>66.67</v>
      </c>
      <c r="AW1470" s="28" t="n">
        <v>3333</v>
      </c>
      <c r="AX1470" s="28"/>
      <c r="AY1470" s="28" t="n">
        <f aca="false">AX1470*$M1470</f>
        <v>0</v>
      </c>
      <c r="AZ1470" s="30" t="n">
        <f aca="false">153493/100</f>
        <v>1534.93</v>
      </c>
      <c r="BA1470" s="11" t="n">
        <v>76744</v>
      </c>
      <c r="BB1470" s="31" t="n">
        <f aca="false">SUM(Q1470,S1470,U1470,W1470,Y1470,AA1470,AC1470,AE1470,AG1470,AI1470,AK1470,AM1470,AO1470,AQ1470,AS1470,AU1470,AW1470,AY1470)</f>
        <v>76744</v>
      </c>
      <c r="BC1470" s="28" t="n">
        <f aca="false">BA1470-BB1470</f>
        <v>0</v>
      </c>
      <c r="BD1470" s="32" t="n">
        <f aca="false">SUM(P1470,R1470,T1470,V1470,X1470,Z1470,AB1470,AD1470,AF1470,AH1470,AJ1470,AL1470,AN1470,AP1470,AR1470,AT1470,AV1470,AX1470)</f>
        <v>1534.93</v>
      </c>
      <c r="BE1470" s="33" t="n">
        <f aca="false">AZ1470-BD1470</f>
        <v>0</v>
      </c>
      <c r="BF1470" s="34" t="n">
        <f aca="false">BD1470*M1470</f>
        <v>76746.5</v>
      </c>
      <c r="BG1470" s="35" t="n">
        <f aca="false">BA1470-BF1470</f>
        <v>-2.49999999998545</v>
      </c>
      <c r="BH1470" s="19" t="str">
        <f aca="false">IF(BG1470=0,"",IF(BG1470&lt;&gt;BA1470,"erreur de calcul",IF(BD1470&lt;&gt;0,"pas de prix",IF(M1470&lt;&gt; 0,"pas de quantité","pas de prix, ni de quantité"))))</f>
        <v>erreur de calcul</v>
      </c>
      <c r="BI1470" s="19"/>
    </row>
    <row r="1471" customFormat="false" ht="15" hidden="false" customHeight="false" outlineLevel="0" collapsed="false">
      <c r="A1471" s="0" t="n">
        <v>24</v>
      </c>
      <c r="B1471" s="8" t="s">
        <v>24</v>
      </c>
      <c r="C1471" s="9" t="s">
        <v>25</v>
      </c>
      <c r="D1471" s="9" t="s">
        <v>26</v>
      </c>
      <c r="E1471" s="10" t="n">
        <v>1789</v>
      </c>
      <c r="F1471" s="9" t="s">
        <v>27</v>
      </c>
      <c r="G1471" s="9" t="s">
        <v>27</v>
      </c>
      <c r="H1471" s="11" t="n">
        <v>20</v>
      </c>
      <c r="I1471" s="11" t="s">
        <v>142</v>
      </c>
      <c r="J1471" s="14" t="n">
        <v>12</v>
      </c>
      <c r="K1471" s="14"/>
      <c r="L1471" s="16"/>
      <c r="M1471" s="27" t="n">
        <f aca="false">J1471+(K1471/20)+(L1471/240)</f>
        <v>12</v>
      </c>
      <c r="N1471" s="17" t="s">
        <v>66</v>
      </c>
      <c r="O1471" s="11"/>
      <c r="P1471" s="28"/>
      <c r="Q1471" s="28" t="n">
        <f aca="false">P1471*$M1471</f>
        <v>0</v>
      </c>
      <c r="R1471" s="28"/>
      <c r="S1471" s="28" t="n">
        <f aca="false">R1471*$M1471</f>
        <v>0</v>
      </c>
      <c r="T1471" s="28"/>
      <c r="U1471" s="28" t="n">
        <f aca="false">T1471*$M1471</f>
        <v>0</v>
      </c>
      <c r="V1471" s="28"/>
      <c r="W1471" s="28" t="n">
        <f aca="false">V1471*$M1471</f>
        <v>0</v>
      </c>
      <c r="X1471" s="28"/>
      <c r="Y1471" s="28" t="n">
        <f aca="false">X1471*$M1471</f>
        <v>0</v>
      </c>
      <c r="Z1471" s="28" t="n">
        <v>21</v>
      </c>
      <c r="AA1471" s="28" t="n">
        <v>252</v>
      </c>
      <c r="AB1471" s="28" t="n">
        <v>672</v>
      </c>
      <c r="AC1471" s="28" t="n">
        <v>8064</v>
      </c>
      <c r="AD1471" s="28"/>
      <c r="AE1471" s="28" t="n">
        <f aca="false">AD1471*$M1471</f>
        <v>0</v>
      </c>
      <c r="AF1471" s="28"/>
      <c r="AG1471" s="28" t="n">
        <f aca="false">AF1471*$M1471</f>
        <v>0</v>
      </c>
      <c r="AH1471" s="28"/>
      <c r="AI1471" s="28" t="n">
        <f aca="false">AH1471*$M1471</f>
        <v>0</v>
      </c>
      <c r="AJ1471" s="28"/>
      <c r="AK1471" s="28" t="n">
        <f aca="false">AJ1471*$M1471</f>
        <v>0</v>
      </c>
      <c r="AL1471" s="28"/>
      <c r="AM1471" s="28" t="n">
        <f aca="false">AL1471*$M1471</f>
        <v>0</v>
      </c>
      <c r="AN1471" s="28"/>
      <c r="AO1471" s="28" t="n">
        <f aca="false">AN1471*$M1471</f>
        <v>0</v>
      </c>
      <c r="AP1471" s="28"/>
      <c r="AQ1471" s="28" t="n">
        <f aca="false">AP1471*$M1471</f>
        <v>0</v>
      </c>
      <c r="AR1471" s="28"/>
      <c r="AS1471" s="28" t="n">
        <f aca="false">AR1471*$M1471</f>
        <v>0</v>
      </c>
      <c r="AT1471" s="28"/>
      <c r="AU1471" s="28" t="n">
        <f aca="false">AT1471*$M1471</f>
        <v>0</v>
      </c>
      <c r="AV1471" s="28"/>
      <c r="AW1471" s="28" t="n">
        <f aca="false">AV1471*$M1471</f>
        <v>0</v>
      </c>
      <c r="AX1471" s="28"/>
      <c r="AY1471" s="28" t="n">
        <f aca="false">AX1471*$M1471</f>
        <v>0</v>
      </c>
      <c r="AZ1471" s="30" t="n">
        <v>693</v>
      </c>
      <c r="BA1471" s="11" t="n">
        <v>8316</v>
      </c>
      <c r="BB1471" s="31" t="n">
        <f aca="false">SUM(Q1471,S1471,U1471,W1471,Y1471,AA1471,AC1471,AE1471,AG1471,AI1471,AK1471,AM1471,AO1471,AQ1471,AS1471,AU1471,AW1471,AY1471)</f>
        <v>8316</v>
      </c>
      <c r="BC1471" s="28" t="n">
        <f aca="false">BA1471-BB1471</f>
        <v>0</v>
      </c>
      <c r="BD1471" s="32" t="n">
        <f aca="false">SUM(P1471,R1471,T1471,V1471,X1471,Z1471,AB1471,AD1471,AF1471,AH1471,AJ1471,AL1471,AN1471,AP1471,AR1471,AT1471,AV1471,AX1471)</f>
        <v>693</v>
      </c>
      <c r="BE1471" s="33" t="n">
        <f aca="false">AZ1471-BD1471</f>
        <v>0</v>
      </c>
      <c r="BF1471" s="34" t="n">
        <f aca="false">BD1471*M1471</f>
        <v>8316</v>
      </c>
      <c r="BG1471" s="35" t="n">
        <f aca="false">BA1471-BF1471</f>
        <v>0</v>
      </c>
      <c r="BH1471" s="19" t="str">
        <f aca="false">IF(BG1471=0,"",IF(BG1471&lt;&gt;BA1471,"erreur de calcul",IF(BD1471&lt;&gt;0,"pas de prix",IF(M1471&lt;&gt; 0,"pas de quantité","pas de prix, ni de quantité"))))</f>
        <v/>
      </c>
      <c r="BI1471" s="19"/>
    </row>
    <row r="1472" customFormat="false" ht="15" hidden="false" customHeight="false" outlineLevel="0" collapsed="false">
      <c r="A1472" s="0" t="n">
        <v>25</v>
      </c>
      <c r="B1472" s="8" t="s">
        <v>24</v>
      </c>
      <c r="C1472" s="9" t="s">
        <v>25</v>
      </c>
      <c r="D1472" s="9" t="s">
        <v>26</v>
      </c>
      <c r="E1472" s="10" t="n">
        <v>1789</v>
      </c>
      <c r="F1472" s="9" t="s">
        <v>27</v>
      </c>
      <c r="G1472" s="9" t="s">
        <v>27</v>
      </c>
      <c r="H1472" s="11" t="n">
        <v>20</v>
      </c>
      <c r="I1472" s="11" t="s">
        <v>143</v>
      </c>
      <c r="J1472" s="14" t="n">
        <v>8</v>
      </c>
      <c r="K1472" s="14"/>
      <c r="L1472" s="16"/>
      <c r="M1472" s="27" t="n">
        <f aca="false">J1472+(K1472/20)+(L1472/240)</f>
        <v>8</v>
      </c>
      <c r="N1472" s="17" t="s">
        <v>85</v>
      </c>
      <c r="O1472" s="11"/>
      <c r="P1472" s="28" t="n">
        <f aca="false">74969/100</f>
        <v>749.69</v>
      </c>
      <c r="Q1472" s="28" t="n">
        <v>5997</v>
      </c>
      <c r="R1472" s="28"/>
      <c r="S1472" s="28" t="n">
        <f aca="false">R1472*$M1472</f>
        <v>0</v>
      </c>
      <c r="T1472" s="28" t="n">
        <f aca="false">58256/100</f>
        <v>582.56</v>
      </c>
      <c r="U1472" s="28" t="n">
        <v>4660</v>
      </c>
      <c r="V1472" s="28" t="n">
        <f aca="false">14450/100</f>
        <v>144.5</v>
      </c>
      <c r="W1472" s="28" t="n">
        <v>1156</v>
      </c>
      <c r="X1472" s="28" t="n">
        <f aca="false">4397/100</f>
        <v>43.97</v>
      </c>
      <c r="Y1472" s="28" t="n">
        <v>352</v>
      </c>
      <c r="Z1472" s="28"/>
      <c r="AA1472" s="28" t="n">
        <f aca="false">Z1472*$M1472</f>
        <v>0</v>
      </c>
      <c r="AB1472" s="28" t="n">
        <f aca="false">6400/100</f>
        <v>64</v>
      </c>
      <c r="AC1472" s="28" t="n">
        <v>512</v>
      </c>
      <c r="AD1472" s="28" t="n">
        <f aca="false">19450/100</f>
        <v>194.5</v>
      </c>
      <c r="AE1472" s="28" t="n">
        <v>1556</v>
      </c>
      <c r="AF1472" s="28" t="n">
        <f aca="false">2496/100</f>
        <v>24.96</v>
      </c>
      <c r="AG1472" s="28" t="n">
        <v>200</v>
      </c>
      <c r="AH1472" s="28"/>
      <c r="AI1472" s="28" t="n">
        <f aca="false">AH1472*$M1472</f>
        <v>0</v>
      </c>
      <c r="AJ1472" s="28"/>
      <c r="AK1472" s="28" t="n">
        <f aca="false">AJ1472*$M1472</f>
        <v>0</v>
      </c>
      <c r="AL1472" s="28"/>
      <c r="AM1472" s="28" t="n">
        <f aca="false">AL1472*$M1472</f>
        <v>0</v>
      </c>
      <c r="AN1472" s="28"/>
      <c r="AO1472" s="28" t="n">
        <f aca="false">AN1472*$M1472</f>
        <v>0</v>
      </c>
      <c r="AP1472" s="28"/>
      <c r="AQ1472" s="28" t="n">
        <f aca="false">AP1472*$M1472</f>
        <v>0</v>
      </c>
      <c r="AR1472" s="28"/>
      <c r="AS1472" s="28" t="n">
        <f aca="false">AR1472*$M1472</f>
        <v>0</v>
      </c>
      <c r="AT1472" s="28"/>
      <c r="AU1472" s="28" t="n">
        <f aca="false">AT1472*$M1472</f>
        <v>0</v>
      </c>
      <c r="AV1472" s="28"/>
      <c r="AW1472" s="28" t="n">
        <f aca="false">AV1472*$M1472</f>
        <v>0</v>
      </c>
      <c r="AX1472" s="28"/>
      <c r="AY1472" s="28" t="n">
        <f aca="false">AX1472*$M1472</f>
        <v>0</v>
      </c>
      <c r="AZ1472" s="30" t="n">
        <f aca="false">180418/100</f>
        <v>1804.18</v>
      </c>
      <c r="BA1472" s="11" t="n">
        <v>14433</v>
      </c>
      <c r="BB1472" s="31" t="n">
        <f aca="false">SUM(Q1472,S1472,U1472,W1472,Y1472,AA1472,AC1472,AE1472,AG1472,AI1472,AK1472,AM1472,AO1472,AQ1472,AS1472,AU1472,AW1472,AY1472)</f>
        <v>14433</v>
      </c>
      <c r="BC1472" s="28" t="n">
        <f aca="false">BA1472-BB1472</f>
        <v>0</v>
      </c>
      <c r="BD1472" s="32" t="n">
        <f aca="false">SUM(P1472,R1472,T1472,V1472,X1472,Z1472,AB1472,AD1472,AF1472,AH1472,AJ1472,AL1472,AN1472,AP1472,AR1472,AT1472,AV1472,AX1472)</f>
        <v>1804.18</v>
      </c>
      <c r="BE1472" s="33" t="n">
        <f aca="false">AZ1472-BD1472</f>
        <v>0</v>
      </c>
      <c r="BF1472" s="34" t="n">
        <f aca="false">BD1472*M1472</f>
        <v>14433.44</v>
      </c>
      <c r="BG1472" s="35" t="n">
        <f aca="false">BA1472-BF1472</f>
        <v>-0.440000000000509</v>
      </c>
      <c r="BH1472" s="19" t="str">
        <f aca="false">IF(BG1472=0,"",IF(BG1472&lt;&gt;BA1472,"erreur de calcul",IF(BD1472&lt;&gt;0,"pas de prix",IF(M1472&lt;&gt; 0,"pas de quantité","pas de prix, ni de quantité"))))</f>
        <v>erreur de calcul</v>
      </c>
      <c r="BI1472" s="19"/>
    </row>
    <row r="1473" customFormat="false" ht="15" hidden="false" customHeight="false" outlineLevel="0" collapsed="false">
      <c r="A1473" s="0" t="n">
        <v>26</v>
      </c>
      <c r="B1473" s="8" t="s">
        <v>24</v>
      </c>
      <c r="C1473" s="9" t="s">
        <v>25</v>
      </c>
      <c r="D1473" s="9" t="s">
        <v>26</v>
      </c>
      <c r="E1473" s="10" t="n">
        <v>1789</v>
      </c>
      <c r="F1473" s="9" t="s">
        <v>27</v>
      </c>
      <c r="G1473" s="9" t="s">
        <v>27</v>
      </c>
      <c r="H1473" s="11" t="n">
        <v>20</v>
      </c>
      <c r="I1473" s="11" t="s">
        <v>144</v>
      </c>
      <c r="J1473" s="14" t="n">
        <v>3</v>
      </c>
      <c r="K1473" s="14"/>
      <c r="L1473" s="16"/>
      <c r="M1473" s="27" t="n">
        <f aca="false">J1473+(K1473/20)+(L1473/240)</f>
        <v>3</v>
      </c>
      <c r="N1473" s="17" t="s">
        <v>66</v>
      </c>
      <c r="O1473" s="11"/>
      <c r="P1473" s="28"/>
      <c r="Q1473" s="28" t="n">
        <f aca="false">P1473*$M1473</f>
        <v>0</v>
      </c>
      <c r="R1473" s="28"/>
      <c r="S1473" s="28" t="n">
        <f aca="false">R1473*$M1473</f>
        <v>0</v>
      </c>
      <c r="T1473" s="28" t="n">
        <v>24347</v>
      </c>
      <c r="U1473" s="28" t="n">
        <v>73041</v>
      </c>
      <c r="V1473" s="28" t="n">
        <v>2300</v>
      </c>
      <c r="W1473" s="28" t="n">
        <v>6900</v>
      </c>
      <c r="X1473" s="28" t="n">
        <v>152</v>
      </c>
      <c r="Y1473" s="28" t="n">
        <v>456</v>
      </c>
      <c r="Z1473" s="28"/>
      <c r="AA1473" s="28" t="n">
        <f aca="false">Z1473*$M1473</f>
        <v>0</v>
      </c>
      <c r="AB1473" s="28" t="n">
        <v>53940</v>
      </c>
      <c r="AC1473" s="28" t="n">
        <v>161820</v>
      </c>
      <c r="AD1473" s="28"/>
      <c r="AE1473" s="28" t="n">
        <f aca="false">AD1473*$M1473</f>
        <v>0</v>
      </c>
      <c r="AF1473" s="28"/>
      <c r="AG1473" s="28" t="n">
        <f aca="false">AF1473*$M1473</f>
        <v>0</v>
      </c>
      <c r="AH1473" s="28" t="n">
        <v>1668909</v>
      </c>
      <c r="AI1473" s="28" t="n">
        <v>5006727</v>
      </c>
      <c r="AJ1473" s="28"/>
      <c r="AK1473" s="28" t="n">
        <f aca="false">AJ1473*$M1473</f>
        <v>0</v>
      </c>
      <c r="AL1473" s="28"/>
      <c r="AM1473" s="28" t="n">
        <f aca="false">AL1473*$M1473</f>
        <v>0</v>
      </c>
      <c r="AN1473" s="28" t="n">
        <v>165</v>
      </c>
      <c r="AO1473" s="28" t="n">
        <v>495</v>
      </c>
      <c r="AP1473" s="28"/>
      <c r="AQ1473" s="28" t="n">
        <f aca="false">AP1473*$M1473</f>
        <v>0</v>
      </c>
      <c r="AR1473" s="28"/>
      <c r="AS1473" s="28" t="n">
        <f aca="false">AR1473*$M1473</f>
        <v>0</v>
      </c>
      <c r="AT1473" s="28"/>
      <c r="AU1473" s="28" t="n">
        <f aca="false">AT1473*$M1473</f>
        <v>0</v>
      </c>
      <c r="AV1473" s="28"/>
      <c r="AW1473" s="28" t="n">
        <f aca="false">AV1473*$M1473</f>
        <v>0</v>
      </c>
      <c r="AX1473" s="28"/>
      <c r="AY1473" s="28" t="n">
        <f aca="false">AX1473*$M1473</f>
        <v>0</v>
      </c>
      <c r="AZ1473" s="30" t="n">
        <v>1736540</v>
      </c>
      <c r="BA1473" s="11" t="n">
        <v>5249439</v>
      </c>
      <c r="BB1473" s="31" t="n">
        <f aca="false">SUM(Q1473,S1473,U1473,W1473,Y1473,AA1473,AC1473,AE1473,AG1473,AI1473,AK1473,AM1473,AO1473,AQ1473,AS1473,AU1473,AW1473,AY1473)</f>
        <v>5249439</v>
      </c>
      <c r="BC1473" s="28" t="n">
        <f aca="false">BA1473-BB1473</f>
        <v>0</v>
      </c>
      <c r="BD1473" s="32" t="n">
        <f aca="false">SUM(P1473,R1473,T1473,V1473,X1473,Z1473,AB1473,AD1473,AF1473,AH1473,AJ1473,AL1473,AN1473,AP1473,AR1473,AT1473,AV1473,AX1473)</f>
        <v>1749813</v>
      </c>
      <c r="BE1473" s="33" t="n">
        <f aca="false">AZ1473-BD1473</f>
        <v>-13273</v>
      </c>
      <c r="BF1473" s="34" t="n">
        <f aca="false">BD1473*M1473</f>
        <v>5249439</v>
      </c>
      <c r="BG1473" s="35" t="n">
        <f aca="false">BA1473-BF1473</f>
        <v>0</v>
      </c>
      <c r="BH1473" s="19" t="str">
        <f aca="false">IF(BG1473=0,"",IF(BG1473&lt;&gt;BA1473,"erreur de calcul",IF(BD1473&lt;&gt;0,"pas de prix",IF(M1473&lt;&gt; 0,"pas de quantité","pas de prix, ni de quantité"))))</f>
        <v/>
      </c>
      <c r="BI1473" s="19"/>
    </row>
    <row r="1474" customFormat="false" ht="15" hidden="false" customHeight="false" outlineLevel="0" collapsed="false">
      <c r="A1474" s="0" t="n">
        <v>27</v>
      </c>
      <c r="B1474" s="8" t="s">
        <v>24</v>
      </c>
      <c r="C1474" s="9" t="s">
        <v>25</v>
      </c>
      <c r="D1474" s="9" t="s">
        <v>26</v>
      </c>
      <c r="E1474" s="10" t="n">
        <v>1789</v>
      </c>
      <c r="F1474" s="9" t="s">
        <v>27</v>
      </c>
      <c r="G1474" s="9" t="s">
        <v>27</v>
      </c>
      <c r="H1474" s="11" t="n">
        <v>20</v>
      </c>
      <c r="I1474" s="11" t="s">
        <v>145</v>
      </c>
      <c r="J1474" s="14" t="n">
        <v>4</v>
      </c>
      <c r="K1474" s="14" t="n">
        <v>18</v>
      </c>
      <c r="L1474" s="16"/>
      <c r="M1474" s="27" t="n">
        <f aca="false">J1474+(K1474/20)+(L1474/240)</f>
        <v>4.9</v>
      </c>
      <c r="N1474" s="17" t="s">
        <v>66</v>
      </c>
      <c r="O1474" s="11"/>
      <c r="P1474" s="28"/>
      <c r="Q1474" s="28" t="n">
        <f aca="false">P1474*$M1474</f>
        <v>0</v>
      </c>
      <c r="R1474" s="28"/>
      <c r="S1474" s="28" t="n">
        <f aca="false">R1474*$M1474</f>
        <v>0</v>
      </c>
      <c r="T1474" s="28"/>
      <c r="U1474" s="28" t="n">
        <f aca="false">T1474*$M1474</f>
        <v>0</v>
      </c>
      <c r="V1474" s="28"/>
      <c r="W1474" s="28" t="n">
        <f aca="false">V1474*$M1474</f>
        <v>0</v>
      </c>
      <c r="X1474" s="28"/>
      <c r="Y1474" s="28" t="n">
        <f aca="false">X1474*$M1474</f>
        <v>0</v>
      </c>
      <c r="Z1474" s="28"/>
      <c r="AA1474" s="28" t="n">
        <f aca="false">Z1474*$M1474</f>
        <v>0</v>
      </c>
      <c r="AB1474" s="28"/>
      <c r="AC1474" s="28" t="n">
        <f aca="false">AB1474*$M1474</f>
        <v>0</v>
      </c>
      <c r="AD1474" s="28"/>
      <c r="AE1474" s="28" t="n">
        <f aca="false">AD1474*$M1474</f>
        <v>0</v>
      </c>
      <c r="AF1474" s="28"/>
      <c r="AG1474" s="28" t="n">
        <f aca="false">AF1474*$M1474</f>
        <v>0</v>
      </c>
      <c r="AH1474" s="28" t="n">
        <v>14916</v>
      </c>
      <c r="AI1474" s="28" t="n">
        <v>73088</v>
      </c>
      <c r="AJ1474" s="28"/>
      <c r="AK1474" s="28" t="n">
        <f aca="false">AJ1474*$M1474</f>
        <v>0</v>
      </c>
      <c r="AL1474" s="28"/>
      <c r="AM1474" s="28" t="n">
        <f aca="false">AL1474*$M1474</f>
        <v>0</v>
      </c>
      <c r="AN1474" s="28"/>
      <c r="AO1474" s="28" t="n">
        <f aca="false">AN1474*$M1474</f>
        <v>0</v>
      </c>
      <c r="AP1474" s="28"/>
      <c r="AQ1474" s="28" t="n">
        <f aca="false">AP1474*$M1474</f>
        <v>0</v>
      </c>
      <c r="AR1474" s="28"/>
      <c r="AS1474" s="28" t="n">
        <f aca="false">AR1474*$M1474</f>
        <v>0</v>
      </c>
      <c r="AT1474" s="28"/>
      <c r="AU1474" s="28" t="n">
        <f aca="false">AT1474*$M1474</f>
        <v>0</v>
      </c>
      <c r="AV1474" s="28"/>
      <c r="AW1474" s="28" t="n">
        <f aca="false">AV1474*$M1474</f>
        <v>0</v>
      </c>
      <c r="AX1474" s="28"/>
      <c r="AY1474" s="28" t="n">
        <f aca="false">AX1474*$M1474</f>
        <v>0</v>
      </c>
      <c r="AZ1474" s="30" t="n">
        <v>14916</v>
      </c>
      <c r="BA1474" s="11" t="n">
        <v>73088</v>
      </c>
      <c r="BB1474" s="31" t="n">
        <f aca="false">SUM(Q1474,S1474,U1474,W1474,Y1474,AA1474,AC1474,AE1474,AG1474,AI1474,AK1474,AM1474,AO1474,AQ1474,AS1474,AU1474,AW1474,AY1474)</f>
        <v>73088</v>
      </c>
      <c r="BC1474" s="28" t="n">
        <f aca="false">BA1474-BB1474</f>
        <v>0</v>
      </c>
      <c r="BD1474" s="32" t="n">
        <f aca="false">SUM(P1474,R1474,T1474,V1474,X1474,Z1474,AB1474,AD1474,AF1474,AH1474,AJ1474,AL1474,AN1474,AP1474,AR1474,AT1474,AV1474,AX1474)</f>
        <v>14916</v>
      </c>
      <c r="BE1474" s="33" t="n">
        <f aca="false">AZ1474-BD1474</f>
        <v>0</v>
      </c>
      <c r="BF1474" s="34" t="n">
        <f aca="false">BD1474*M1474</f>
        <v>73088.4</v>
      </c>
      <c r="BG1474" s="35" t="n">
        <f aca="false">BA1474-BF1474</f>
        <v>-0.400000000008731</v>
      </c>
      <c r="BH1474" s="19" t="str">
        <f aca="false">IF(BG1474=0,"",IF(BG1474&lt;&gt;BA1474,"erreur de calcul",IF(BD1474&lt;&gt;0,"pas de prix",IF(M1474&lt;&gt; 0,"pas de quantité","pas de prix, ni de quantité"))))</f>
        <v>erreur de calcul</v>
      </c>
      <c r="BI1474" s="19"/>
    </row>
    <row r="1475" customFormat="false" ht="15" hidden="false" customHeight="false" outlineLevel="0" collapsed="false">
      <c r="A1475" s="0" t="n">
        <v>28</v>
      </c>
      <c r="B1475" s="8" t="s">
        <v>24</v>
      </c>
      <c r="C1475" s="9" t="s">
        <v>25</v>
      </c>
      <c r="D1475" s="9" t="s">
        <v>26</v>
      </c>
      <c r="E1475" s="10" t="n">
        <v>1789</v>
      </c>
      <c r="F1475" s="9" t="s">
        <v>27</v>
      </c>
      <c r="G1475" s="9" t="s">
        <v>27</v>
      </c>
      <c r="H1475" s="11" t="n">
        <v>20</v>
      </c>
      <c r="I1475" s="11" t="s">
        <v>146</v>
      </c>
      <c r="J1475" s="14" t="n">
        <v>126</v>
      </c>
      <c r="K1475" s="14"/>
      <c r="L1475" s="16"/>
      <c r="M1475" s="27"/>
      <c r="N1475" s="17" t="s">
        <v>66</v>
      </c>
      <c r="O1475" s="11" t="s">
        <v>98</v>
      </c>
      <c r="P1475" s="28"/>
      <c r="Q1475" s="28" t="n">
        <f aca="false">P1475*$M1475</f>
        <v>0</v>
      </c>
      <c r="R1475" s="28" t="n">
        <v>82676</v>
      </c>
      <c r="S1475" s="28" t="n">
        <v>28572</v>
      </c>
      <c r="T1475" s="28"/>
      <c r="U1475" s="28" t="n">
        <f aca="false">T1475*$M1475</f>
        <v>0</v>
      </c>
      <c r="V1475" s="28"/>
      <c r="W1475" s="28" t="n">
        <f aca="false">V1475*$M1475</f>
        <v>0</v>
      </c>
      <c r="X1475" s="28"/>
      <c r="Y1475" s="28" t="n">
        <f aca="false">X1475*$M1475</f>
        <v>0</v>
      </c>
      <c r="Z1475" s="28"/>
      <c r="AA1475" s="28" t="n">
        <f aca="false">Z1475*$M1475</f>
        <v>0</v>
      </c>
      <c r="AB1475" s="28"/>
      <c r="AC1475" s="28" t="n">
        <f aca="false">AB1475*$M1475</f>
        <v>0</v>
      </c>
      <c r="AD1475" s="28"/>
      <c r="AE1475" s="28" t="n">
        <f aca="false">AD1475*$M1475</f>
        <v>0</v>
      </c>
      <c r="AF1475" s="28"/>
      <c r="AG1475" s="28" t="n">
        <f aca="false">AF1475*$M1475</f>
        <v>0</v>
      </c>
      <c r="AH1475" s="28" t="n">
        <v>6408925</v>
      </c>
      <c r="AI1475" s="28" t="n">
        <v>8075245</v>
      </c>
      <c r="AJ1475" s="28"/>
      <c r="AK1475" s="28" t="n">
        <f aca="false">AJ1475*$M1475</f>
        <v>0</v>
      </c>
      <c r="AL1475" s="28"/>
      <c r="AM1475" s="28" t="n">
        <f aca="false">AL1475*$M1475</f>
        <v>0</v>
      </c>
      <c r="AN1475" s="28"/>
      <c r="AO1475" s="28" t="n">
        <f aca="false">AN1475*$M1475</f>
        <v>0</v>
      </c>
      <c r="AP1475" s="28"/>
      <c r="AQ1475" s="28" t="n">
        <f aca="false">AP1475*$M1475</f>
        <v>0</v>
      </c>
      <c r="AR1475" s="28"/>
      <c r="AS1475" s="28" t="n">
        <f aca="false">AR1475*$M1475</f>
        <v>0</v>
      </c>
      <c r="AT1475" s="28"/>
      <c r="AU1475" s="28" t="n">
        <f aca="false">AT1475*$M1475</f>
        <v>0</v>
      </c>
      <c r="AV1475" s="28"/>
      <c r="AW1475" s="28" t="n">
        <f aca="false">AV1475*$M1475</f>
        <v>0</v>
      </c>
      <c r="AX1475" s="28"/>
      <c r="AY1475" s="28" t="n">
        <f aca="false">AX1475*$M1475</f>
        <v>0</v>
      </c>
      <c r="AZ1475" s="11" t="n">
        <v>6431601</v>
      </c>
      <c r="BA1475" s="11" t="n">
        <v>8103817</v>
      </c>
      <c r="BB1475" s="31" t="n">
        <f aca="false">SUM(Q1475,S1475,U1475,W1475,Y1475,AA1475,AC1475,AE1475,AG1475,AI1475,AK1475,AM1475,AO1475,AQ1475,AS1475,AU1475,AW1475,AY1475)</f>
        <v>8103817</v>
      </c>
      <c r="BC1475" s="28" t="n">
        <f aca="false">BA1475-BB1475</f>
        <v>0</v>
      </c>
      <c r="BD1475" s="32" t="n">
        <f aca="false">SUM(P1475,R1475,T1475,V1475,X1475,Z1475,AB1475,AD1475,AF1475,AH1475,AJ1475,AL1475,AN1475,AP1475,AR1475,AT1475,AV1475,AX1475)</f>
        <v>6491601</v>
      </c>
      <c r="BE1475" s="33" t="n">
        <f aca="false">AZ1475-BD1475</f>
        <v>-60000</v>
      </c>
      <c r="BF1475" s="34" t="n">
        <f aca="false">BD1475*M1475</f>
        <v>0</v>
      </c>
      <c r="BG1475" s="35" t="n">
        <f aca="false">BA1475-BF1475</f>
        <v>8103817</v>
      </c>
      <c r="BH1475" s="19" t="str">
        <f aca="false">IF(BG1475=0,"",IF(BG1475&lt;&gt;BA1475,"erreur de calcul",IF(BD1475&lt;&gt;0,"pas de prix",IF(M1475&lt;&gt; 0,"pas de quantité","pas de prix, ni de quantité"))))</f>
        <v>pas de prix</v>
      </c>
      <c r="BI1475" s="19" t="s">
        <v>147</v>
      </c>
    </row>
    <row r="1476" customFormat="false" ht="15" hidden="false" customHeight="false" outlineLevel="0" collapsed="false">
      <c r="A1476" s="0" t="n">
        <v>29</v>
      </c>
      <c r="B1476" s="8" t="s">
        <v>24</v>
      </c>
      <c r="C1476" s="9" t="s">
        <v>25</v>
      </c>
      <c r="D1476" s="9" t="s">
        <v>26</v>
      </c>
      <c r="E1476" s="10" t="n">
        <v>1789</v>
      </c>
      <c r="F1476" s="9" t="s">
        <v>27</v>
      </c>
      <c r="G1476" s="9" t="s">
        <v>27</v>
      </c>
      <c r="H1476" s="11" t="n">
        <v>20</v>
      </c>
      <c r="I1476" s="11" t="s">
        <v>148</v>
      </c>
      <c r="J1476" s="14"/>
      <c r="K1476" s="14" t="n">
        <v>20</v>
      </c>
      <c r="L1476" s="16"/>
      <c r="M1476" s="27" t="n">
        <f aca="false">J1476+(K1476/20)+(L1476/240)</f>
        <v>1</v>
      </c>
      <c r="N1476" s="17" t="s">
        <v>66</v>
      </c>
      <c r="O1476" s="11"/>
      <c r="P1476" s="28"/>
      <c r="Q1476" s="28" t="n">
        <f aca="false">P1476*$M1476</f>
        <v>0</v>
      </c>
      <c r="R1476" s="28"/>
      <c r="S1476" s="28" t="n">
        <f aca="false">R1476*$M1476</f>
        <v>0</v>
      </c>
      <c r="T1476" s="28" t="n">
        <v>392</v>
      </c>
      <c r="U1476" s="28" t="n">
        <v>392</v>
      </c>
      <c r="V1476" s="28"/>
      <c r="W1476" s="28" t="n">
        <f aca="false">V1476*$M1476</f>
        <v>0</v>
      </c>
      <c r="X1476" s="28"/>
      <c r="Y1476" s="28" t="n">
        <f aca="false">X1476*$M1476</f>
        <v>0</v>
      </c>
      <c r="Z1476" s="28"/>
      <c r="AA1476" s="28" t="n">
        <f aca="false">Z1476*$M1476</f>
        <v>0</v>
      </c>
      <c r="AB1476" s="28" t="n">
        <v>7596</v>
      </c>
      <c r="AC1476" s="28" t="n">
        <v>7596</v>
      </c>
      <c r="AD1476" s="28"/>
      <c r="AE1476" s="28" t="n">
        <f aca="false">AD1476*$M1476</f>
        <v>0</v>
      </c>
      <c r="AF1476" s="28"/>
      <c r="AG1476" s="28" t="n">
        <f aca="false">AF1476*$M1476</f>
        <v>0</v>
      </c>
      <c r="AH1476" s="28"/>
      <c r="AI1476" s="28" t="n">
        <f aca="false">AH1476*$M1476</f>
        <v>0</v>
      </c>
      <c r="AJ1476" s="28"/>
      <c r="AK1476" s="28" t="n">
        <f aca="false">AJ1476*$M1476</f>
        <v>0</v>
      </c>
      <c r="AL1476" s="28"/>
      <c r="AM1476" s="28" t="n">
        <f aca="false">AL1476*$M1476</f>
        <v>0</v>
      </c>
      <c r="AN1476" s="28"/>
      <c r="AO1476" s="28" t="n">
        <f aca="false">AN1476*$M1476</f>
        <v>0</v>
      </c>
      <c r="AP1476" s="28"/>
      <c r="AQ1476" s="28" t="n">
        <f aca="false">AP1476*$M1476</f>
        <v>0</v>
      </c>
      <c r="AR1476" s="28"/>
      <c r="AS1476" s="28" t="n">
        <f aca="false">AR1476*$M1476</f>
        <v>0</v>
      </c>
      <c r="AT1476" s="28"/>
      <c r="AU1476" s="28" t="n">
        <f aca="false">AT1476*$M1476</f>
        <v>0</v>
      </c>
      <c r="AV1476" s="28"/>
      <c r="AW1476" s="28" t="n">
        <f aca="false">AV1476*$M1476</f>
        <v>0</v>
      </c>
      <c r="AX1476" s="28"/>
      <c r="AY1476" s="28" t="n">
        <f aca="false">AX1476*$M1476</f>
        <v>0</v>
      </c>
      <c r="AZ1476" s="30" t="n">
        <v>7988</v>
      </c>
      <c r="BA1476" s="11" t="n">
        <v>7988</v>
      </c>
      <c r="BB1476" s="31" t="n">
        <f aca="false">SUM(Q1476,S1476,U1476,W1476,Y1476,AA1476,AC1476,AE1476,AG1476,AI1476,AK1476,AM1476,AO1476,AQ1476,AS1476,AU1476,AW1476,AY1476)</f>
        <v>7988</v>
      </c>
      <c r="BC1476" s="28" t="n">
        <f aca="false">BA1476-BB1476</f>
        <v>0</v>
      </c>
      <c r="BD1476" s="32" t="n">
        <f aca="false">SUM(P1476,R1476,T1476,V1476,X1476,Z1476,AB1476,AD1476,AF1476,AH1476,AJ1476,AL1476,AN1476,AP1476,AR1476,AT1476,AV1476,AX1476)</f>
        <v>7988</v>
      </c>
      <c r="BE1476" s="33" t="n">
        <f aca="false">AZ1476-BD1476</f>
        <v>0</v>
      </c>
      <c r="BF1476" s="34" t="n">
        <f aca="false">BD1476*M1476</f>
        <v>7988</v>
      </c>
      <c r="BG1476" s="35" t="n">
        <f aca="false">BA1476-BF1476</f>
        <v>0</v>
      </c>
      <c r="BH1476" s="19" t="str">
        <f aca="false">IF(BG1476=0,"",IF(BG1476&lt;&gt;BA1476,"erreur de calcul",IF(BD1476&lt;&gt;0,"pas de prix",IF(M1476&lt;&gt; 0,"pas de quantité","pas de prix, ni de quantité"))))</f>
        <v/>
      </c>
      <c r="BI1476" s="19"/>
    </row>
    <row r="1477" customFormat="false" ht="15" hidden="false" customHeight="false" outlineLevel="0" collapsed="false">
      <c r="A1477" s="0" t="n">
        <v>30</v>
      </c>
      <c r="B1477" s="8" t="s">
        <v>24</v>
      </c>
      <c r="C1477" s="9" t="s">
        <v>25</v>
      </c>
      <c r="D1477" s="9" t="s">
        <v>26</v>
      </c>
      <c r="E1477" s="10" t="n">
        <v>1789</v>
      </c>
      <c r="F1477" s="9" t="s">
        <v>27</v>
      </c>
      <c r="G1477" s="9" t="s">
        <v>27</v>
      </c>
      <c r="H1477" s="11" t="n">
        <v>20</v>
      </c>
      <c r="I1477" s="11" t="s">
        <v>149</v>
      </c>
      <c r="J1477" s="14" t="n">
        <v>70</v>
      </c>
      <c r="K1477" s="14"/>
      <c r="L1477" s="16"/>
      <c r="M1477" s="27" t="n">
        <f aca="false">J1477+(K1477/20)+(L1477/240)</f>
        <v>70</v>
      </c>
      <c r="N1477" s="17" t="s">
        <v>64</v>
      </c>
      <c r="O1477" s="11"/>
      <c r="P1477" s="28"/>
      <c r="Q1477" s="28" t="n">
        <f aca="false">P1477*$M1477</f>
        <v>0</v>
      </c>
      <c r="R1477" s="28"/>
      <c r="S1477" s="28" t="n">
        <f aca="false">R1477*$M1477</f>
        <v>0</v>
      </c>
      <c r="T1477" s="28"/>
      <c r="U1477" s="28" t="n">
        <f aca="false">T1477*$M1477</f>
        <v>0</v>
      </c>
      <c r="V1477" s="28"/>
      <c r="W1477" s="28" t="n">
        <f aca="false">V1477*$M1477</f>
        <v>0</v>
      </c>
      <c r="X1477" s="28" t="n">
        <f aca="false">1904/100</f>
        <v>19.04</v>
      </c>
      <c r="Y1477" s="28" t="n">
        <v>1333</v>
      </c>
      <c r="Z1477" s="28"/>
      <c r="AA1477" s="28" t="n">
        <f aca="false">Z1477*$M1477</f>
        <v>0</v>
      </c>
      <c r="AB1477" s="28" t="n">
        <f aca="false">51370/100</f>
        <v>513.7</v>
      </c>
      <c r="AC1477" s="28" t="n">
        <v>35959</v>
      </c>
      <c r="AD1477" s="28"/>
      <c r="AE1477" s="28" t="n">
        <f aca="false">AD1477*$M1477</f>
        <v>0</v>
      </c>
      <c r="AF1477" s="28" t="n">
        <f aca="false">8872/100</f>
        <v>88.72</v>
      </c>
      <c r="AG1477" s="28" t="n">
        <v>6210</v>
      </c>
      <c r="AH1477" s="28" t="n">
        <f aca="false">14751/100</f>
        <v>147.51</v>
      </c>
      <c r="AI1477" s="28" t="n">
        <v>10326</v>
      </c>
      <c r="AJ1477" s="28"/>
      <c r="AK1477" s="28" t="n">
        <f aca="false">AJ1477*$M1477</f>
        <v>0</v>
      </c>
      <c r="AL1477" s="28"/>
      <c r="AM1477" s="28" t="n">
        <f aca="false">AL1477*$M1477</f>
        <v>0</v>
      </c>
      <c r="AN1477" s="28"/>
      <c r="AO1477" s="28" t="n">
        <f aca="false">AN1477*$M1477</f>
        <v>0</v>
      </c>
      <c r="AP1477" s="28"/>
      <c r="AQ1477" s="28" t="n">
        <f aca="false">AP1477*$M1477</f>
        <v>0</v>
      </c>
      <c r="AR1477" s="28"/>
      <c r="AS1477" s="28" t="n">
        <f aca="false">AR1477*$M1477</f>
        <v>0</v>
      </c>
      <c r="AT1477" s="28"/>
      <c r="AU1477" s="28" t="n">
        <f aca="false">AT1477*$M1477</f>
        <v>0</v>
      </c>
      <c r="AV1477" s="28"/>
      <c r="AW1477" s="28" t="n">
        <f aca="false">AV1477*$M1477</f>
        <v>0</v>
      </c>
      <c r="AX1477" s="28"/>
      <c r="AY1477" s="28" t="n">
        <f aca="false">AX1477*$M1477</f>
        <v>0</v>
      </c>
      <c r="AZ1477" s="30" t="n">
        <f aca="false">76897/100</f>
        <v>768.97</v>
      </c>
      <c r="BA1477" s="11" t="n">
        <v>53828</v>
      </c>
      <c r="BB1477" s="31" t="n">
        <f aca="false">SUM(Q1477,S1477,U1477,W1477,Y1477,AA1477,AC1477,AE1477,AG1477,AI1477,AK1477,AM1477,AO1477,AQ1477,AS1477,AU1477,AW1477,AY1477)</f>
        <v>53828</v>
      </c>
      <c r="BC1477" s="28" t="n">
        <f aca="false">BA1477-BB1477</f>
        <v>0</v>
      </c>
      <c r="BD1477" s="32" t="n">
        <f aca="false">SUM(P1477,R1477,T1477,V1477,X1477,Z1477,AB1477,AD1477,AF1477,AH1477,AJ1477,AL1477,AN1477,AP1477,AR1477,AT1477,AV1477,AX1477)</f>
        <v>768.97</v>
      </c>
      <c r="BE1477" s="33" t="n">
        <f aca="false">AZ1477-BD1477</f>
        <v>0</v>
      </c>
      <c r="BF1477" s="34" t="n">
        <f aca="false">BD1477*M1477</f>
        <v>53827.9</v>
      </c>
      <c r="BG1477" s="35" t="n">
        <f aca="false">BA1477-BF1477</f>
        <v>0.0999999999985448</v>
      </c>
      <c r="BH1477" s="19" t="str">
        <f aca="false">IF(BG1477=0,"",IF(BG1477&lt;&gt;BA1477,"erreur de calcul",IF(BD1477&lt;&gt;0,"pas de prix",IF(M1477&lt;&gt; 0,"pas de quantité","pas de prix, ni de quantité"))))</f>
        <v>erreur de calcul</v>
      </c>
      <c r="BI1477" s="19"/>
    </row>
    <row r="1478" customFormat="false" ht="15" hidden="false" customHeight="false" outlineLevel="0" collapsed="false">
      <c r="A1478" s="0" t="n">
        <v>31</v>
      </c>
      <c r="B1478" s="8" t="s">
        <v>24</v>
      </c>
      <c r="C1478" s="9" t="s">
        <v>25</v>
      </c>
      <c r="D1478" s="9" t="s">
        <v>26</v>
      </c>
      <c r="E1478" s="10" t="n">
        <v>1789</v>
      </c>
      <c r="F1478" s="9" t="s">
        <v>27</v>
      </c>
      <c r="G1478" s="9" t="s">
        <v>27</v>
      </c>
      <c r="H1478" s="11" t="n">
        <v>20</v>
      </c>
      <c r="I1478" s="11" t="s">
        <v>150</v>
      </c>
      <c r="J1478" s="14" t="n">
        <v>70</v>
      </c>
      <c r="K1478" s="14"/>
      <c r="L1478" s="16"/>
      <c r="M1478" s="27" t="n">
        <f aca="false">J1478+(K1478/20)+(L1478/240)</f>
        <v>70</v>
      </c>
      <c r="N1478" s="17" t="s">
        <v>64</v>
      </c>
      <c r="O1478" s="11" t="s">
        <v>77</v>
      </c>
      <c r="P1478" s="28"/>
      <c r="Q1478" s="28" t="n">
        <f aca="false">P1478*$M1478</f>
        <v>0</v>
      </c>
      <c r="R1478" s="28"/>
      <c r="S1478" s="28" t="n">
        <f aca="false">R1478*$M1478</f>
        <v>0</v>
      </c>
      <c r="T1478" s="28"/>
      <c r="U1478" s="28" t="n">
        <f aca="false">T1478*$M1478</f>
        <v>0</v>
      </c>
      <c r="V1478" s="28"/>
      <c r="W1478" s="28" t="n">
        <f aca="false">V1478*$M1478</f>
        <v>0</v>
      </c>
      <c r="X1478" s="28"/>
      <c r="Y1478" s="28" t="n">
        <f aca="false">X1478*$M1478</f>
        <v>0</v>
      </c>
      <c r="Z1478" s="28"/>
      <c r="AA1478" s="28" t="n">
        <f aca="false">Z1478*$M1478</f>
        <v>0</v>
      </c>
      <c r="AB1478" s="28"/>
      <c r="AC1478" s="28" t="n">
        <f aca="false">AB1478*$M1478</f>
        <v>0</v>
      </c>
      <c r="AD1478" s="28"/>
      <c r="AE1478" s="28" t="n">
        <f aca="false">AD1478*$M1478</f>
        <v>0</v>
      </c>
      <c r="AF1478" s="28"/>
      <c r="AG1478" s="28" t="n">
        <f aca="false">AF1478*$M1478</f>
        <v>0</v>
      </c>
      <c r="AH1478" s="28"/>
      <c r="AI1478" s="28" t="n">
        <f aca="false">AH1478*$M1478</f>
        <v>0</v>
      </c>
      <c r="AJ1478" s="28"/>
      <c r="AK1478" s="28" t="n">
        <f aca="false">AJ1478*$M1478</f>
        <v>0</v>
      </c>
      <c r="AL1478" s="28"/>
      <c r="AM1478" s="28" t="n">
        <f aca="false">AL1478*$M1478</f>
        <v>0</v>
      </c>
      <c r="AN1478" s="28"/>
      <c r="AO1478" s="28" t="n">
        <f aca="false">AN1478*$M1478</f>
        <v>0</v>
      </c>
      <c r="AP1478" s="28"/>
      <c r="AQ1478" s="28" t="n">
        <f aca="false">AP1478*$M1478</f>
        <v>0</v>
      </c>
      <c r="AR1478" s="28"/>
      <c r="AS1478" s="28" t="n">
        <f aca="false">AR1478*$M1478</f>
        <v>0</v>
      </c>
      <c r="AT1478" s="28"/>
      <c r="AU1478" s="28" t="n">
        <f aca="false">AT1478*$M1478</f>
        <v>0</v>
      </c>
      <c r="AV1478" s="28"/>
      <c r="AW1478" s="28" t="n">
        <f aca="false">AV1478*$M1478</f>
        <v>0</v>
      </c>
      <c r="AX1478" s="28"/>
      <c r="AY1478" s="28" t="n">
        <f aca="false">AX1478*$M1478</f>
        <v>0</v>
      </c>
      <c r="AZ1478" s="30"/>
      <c r="BA1478" s="11"/>
      <c r="BB1478" s="31" t="n">
        <f aca="false">SUM(Q1478,S1478,U1478,W1478,Y1478,AA1478,AC1478,AE1478,AG1478,AI1478,AK1478,AM1478,AO1478,AQ1478,AS1478,AU1478,AW1478,AY1478)</f>
        <v>0</v>
      </c>
      <c r="BC1478" s="28" t="n">
        <f aca="false">BA1478-BB1478</f>
        <v>0</v>
      </c>
      <c r="BD1478" s="32" t="n">
        <f aca="false">SUM(P1478,R1478,T1478,V1478,X1478,Z1478,AB1478,AD1478,AF1478,AH1478,AJ1478,AL1478,AN1478,AP1478,AR1478,AT1478,AV1478,AX1478)</f>
        <v>0</v>
      </c>
      <c r="BE1478" s="33" t="n">
        <f aca="false">AZ1478-BD1478</f>
        <v>0</v>
      </c>
      <c r="BF1478" s="34" t="n">
        <f aca="false">BD1478*M1478</f>
        <v>0</v>
      </c>
      <c r="BG1478" s="35" t="n">
        <f aca="false">BA1478-BF1478</f>
        <v>0</v>
      </c>
      <c r="BH1478" s="19" t="str">
        <f aca="false">IF(BG1478=0,"",IF(BG1478&lt;&gt;BA1478,"erreur de calcul",IF(BD1478&lt;&gt;0,"pas de prix",IF(M1478&lt;&gt; 0,"pas de quantité","pas de prix, ni de quantité"))))</f>
        <v/>
      </c>
      <c r="BI1478" s="19"/>
    </row>
    <row r="1479" customFormat="false" ht="15" hidden="false" customHeight="false" outlineLevel="0" collapsed="false">
      <c r="A1479" s="0" t="n">
        <v>32</v>
      </c>
      <c r="B1479" s="8" t="s">
        <v>24</v>
      </c>
      <c r="C1479" s="9" t="s">
        <v>25</v>
      </c>
      <c r="D1479" s="9" t="s">
        <v>26</v>
      </c>
      <c r="E1479" s="10" t="n">
        <v>1789</v>
      </c>
      <c r="F1479" s="9" t="s">
        <v>27</v>
      </c>
      <c r="G1479" s="9" t="s">
        <v>27</v>
      </c>
      <c r="H1479" s="11" t="n">
        <v>20</v>
      </c>
      <c r="I1479" s="11" t="s">
        <v>150</v>
      </c>
      <c r="J1479" s="14" t="n">
        <v>70</v>
      </c>
      <c r="K1479" s="14"/>
      <c r="L1479" s="16"/>
      <c r="M1479" s="27" t="n">
        <f aca="false">J1479+(K1479/20)+(L1479/240)</f>
        <v>70</v>
      </c>
      <c r="N1479" s="17" t="s">
        <v>64</v>
      </c>
      <c r="O1479" s="11" t="s">
        <v>98</v>
      </c>
      <c r="P1479" s="28" t="n">
        <f aca="false">382028/100</f>
        <v>3820.28</v>
      </c>
      <c r="Q1479" s="28" t="n">
        <v>267420</v>
      </c>
      <c r="R1479" s="28" t="n">
        <f aca="false">131361/100</f>
        <v>1313.61</v>
      </c>
      <c r="S1479" s="28" t="n">
        <v>91953</v>
      </c>
      <c r="T1479" s="28" t="n">
        <f aca="false">8856/100</f>
        <v>88.56</v>
      </c>
      <c r="U1479" s="28" t="n">
        <v>6199</v>
      </c>
      <c r="V1479" s="28" t="n">
        <f aca="false">171125/100</f>
        <v>1711.25</v>
      </c>
      <c r="W1479" s="28" t="n">
        <v>119787</v>
      </c>
      <c r="X1479" s="28" t="n">
        <f aca="false">24259/100</f>
        <v>242.59</v>
      </c>
      <c r="Y1479" s="28" t="n">
        <v>16981</v>
      </c>
      <c r="Z1479" s="28"/>
      <c r="AA1479" s="28" t="n">
        <f aca="false">Z1479*$M1479</f>
        <v>0</v>
      </c>
      <c r="AB1479" s="28" t="n">
        <f aca="false">33694/100</f>
        <v>336.94</v>
      </c>
      <c r="AC1479" s="28" t="n">
        <v>23586</v>
      </c>
      <c r="AD1479" s="28" t="n">
        <f aca="false">89734/100</f>
        <v>897.34</v>
      </c>
      <c r="AE1479" s="28" t="n">
        <v>62814</v>
      </c>
      <c r="AF1479" s="28" t="n">
        <f aca="false">1955727/100</f>
        <v>19557.27</v>
      </c>
      <c r="AG1479" s="28" t="n">
        <v>1369009</v>
      </c>
      <c r="AH1479" s="28" t="n">
        <f aca="false">11740/100</f>
        <v>117.4</v>
      </c>
      <c r="AI1479" s="28" t="n">
        <v>8218</v>
      </c>
      <c r="AJ1479" s="28"/>
      <c r="AK1479" s="28" t="n">
        <f aca="false">AJ1479*$M1479</f>
        <v>0</v>
      </c>
      <c r="AL1479" s="28"/>
      <c r="AM1479" s="28" t="n">
        <f aca="false">AL1479*$M1479</f>
        <v>0</v>
      </c>
      <c r="AN1479" s="28"/>
      <c r="AO1479" s="28" t="n">
        <f aca="false">AN1479*$M1479</f>
        <v>0</v>
      </c>
      <c r="AP1479" s="28"/>
      <c r="AQ1479" s="28" t="n">
        <f aca="false">AP1479*$M1479</f>
        <v>0</v>
      </c>
      <c r="AR1479" s="28"/>
      <c r="AS1479" s="28" t="n">
        <f aca="false">AR1479*$M1479</f>
        <v>0</v>
      </c>
      <c r="AT1479" s="28"/>
      <c r="AU1479" s="28" t="n">
        <f aca="false">AT1479*$M1479</f>
        <v>0</v>
      </c>
      <c r="AV1479" s="28" t="n">
        <f aca="false">15000/100</f>
        <v>150</v>
      </c>
      <c r="AW1479" s="28" t="n">
        <v>10500</v>
      </c>
      <c r="AX1479" s="28"/>
      <c r="AY1479" s="28" t="n">
        <f aca="false">AX1479*$M1479</f>
        <v>0</v>
      </c>
      <c r="AZ1479" s="30" t="n">
        <f aca="false">2823524/100</f>
        <v>28235.24</v>
      </c>
      <c r="BA1479" s="11" t="n">
        <v>1976467</v>
      </c>
      <c r="BB1479" s="31" t="n">
        <f aca="false">SUM(Q1479,S1479,U1479,W1479,Y1479,AA1479,AC1479,AE1479,AG1479,AI1479,AK1479,AM1479,AO1479,AQ1479,AS1479,AU1479,AW1479,AY1479)</f>
        <v>1976467</v>
      </c>
      <c r="BC1479" s="28" t="n">
        <f aca="false">BA1479-BB1479</f>
        <v>0</v>
      </c>
      <c r="BD1479" s="32" t="n">
        <f aca="false">SUM(P1479,R1479,T1479,V1479,X1479,Z1479,AB1479,AD1479,AF1479,AH1479,AJ1479,AL1479,AN1479,AP1479,AR1479,AT1479,AV1479,AX1479)</f>
        <v>28235.24</v>
      </c>
      <c r="BE1479" s="33" t="n">
        <f aca="false">AZ1479-BD1479</f>
        <v>0</v>
      </c>
      <c r="BF1479" s="34" t="n">
        <f aca="false">BD1479*M1479</f>
        <v>1976466.8</v>
      </c>
      <c r="BG1479" s="35" t="n">
        <f aca="false">BA1479-BF1479</f>
        <v>0.199999999953434</v>
      </c>
      <c r="BH1479" s="19" t="str">
        <f aca="false">IF(BG1479=0,"",IF(BG1479&lt;&gt;BA1479,"erreur de calcul",IF(BD1479&lt;&gt;0,"pas de prix",IF(M1479&lt;&gt; 0,"pas de quantité","pas de prix, ni de quantité"))))</f>
        <v>erreur de calcul</v>
      </c>
      <c r="BI1479" s="19"/>
    </row>
    <row r="1480" customFormat="false" ht="15" hidden="false" customHeight="false" outlineLevel="0" collapsed="false">
      <c r="A1480" s="0" t="n">
        <v>33</v>
      </c>
      <c r="B1480" s="8" t="s">
        <v>24</v>
      </c>
      <c r="C1480" s="9" t="s">
        <v>25</v>
      </c>
      <c r="D1480" s="9" t="s">
        <v>26</v>
      </c>
      <c r="E1480" s="10" t="n">
        <v>1789</v>
      </c>
      <c r="F1480" s="9" t="s">
        <v>27</v>
      </c>
      <c r="G1480" s="9" t="s">
        <v>27</v>
      </c>
      <c r="H1480" s="11" t="n">
        <v>20</v>
      </c>
      <c r="I1480" s="11" t="s">
        <v>151</v>
      </c>
      <c r="J1480" s="14" t="n">
        <v>150</v>
      </c>
      <c r="K1480" s="14"/>
      <c r="L1480" s="16"/>
      <c r="M1480" s="27" t="n">
        <f aca="false">J1480+(K1480/20)+(L1480/240)</f>
        <v>150</v>
      </c>
      <c r="N1480" s="17" t="s">
        <v>64</v>
      </c>
      <c r="O1480" s="11"/>
      <c r="P1480" s="28"/>
      <c r="Q1480" s="28" t="n">
        <f aca="false">P1480*$M1480</f>
        <v>0</v>
      </c>
      <c r="R1480" s="28"/>
      <c r="S1480" s="28" t="n">
        <f aca="false">R1480*$M1480</f>
        <v>0</v>
      </c>
      <c r="T1480" s="28"/>
      <c r="U1480" s="28" t="n">
        <f aca="false">T1480*$M1480</f>
        <v>0</v>
      </c>
      <c r="V1480" s="28"/>
      <c r="W1480" s="28" t="n">
        <f aca="false">V1480*$M1480</f>
        <v>0</v>
      </c>
      <c r="X1480" s="28"/>
      <c r="Y1480" s="28" t="n">
        <f aca="false">X1480*$M1480</f>
        <v>0</v>
      </c>
      <c r="Z1480" s="28"/>
      <c r="AA1480" s="28" t="n">
        <f aca="false">Z1480*$M1480</f>
        <v>0</v>
      </c>
      <c r="AB1480" s="28"/>
      <c r="AC1480" s="28" t="n">
        <f aca="false">AB1480*$M1480</f>
        <v>0</v>
      </c>
      <c r="AD1480" s="28"/>
      <c r="AE1480" s="28" t="n">
        <f aca="false">AD1480*$M1480</f>
        <v>0</v>
      </c>
      <c r="AF1480" s="28"/>
      <c r="AG1480" s="28" t="n">
        <f aca="false">AF1480*$M1480</f>
        <v>0</v>
      </c>
      <c r="AH1480" s="28"/>
      <c r="AI1480" s="28" t="n">
        <f aca="false">AH1480*$M1480</f>
        <v>0</v>
      </c>
      <c r="AJ1480" s="28"/>
      <c r="AK1480" s="28" t="n">
        <f aca="false">AJ1480*$M1480</f>
        <v>0</v>
      </c>
      <c r="AL1480" s="28" t="n">
        <f aca="false">118785/100</f>
        <v>1187.85</v>
      </c>
      <c r="AM1480" s="28" t="n">
        <v>178177</v>
      </c>
      <c r="AN1480" s="28"/>
      <c r="AO1480" s="28" t="n">
        <f aca="false">AN1480*$M1480</f>
        <v>0</v>
      </c>
      <c r="AP1480" s="28"/>
      <c r="AQ1480" s="28" t="n">
        <f aca="false">AP1480*$M1480</f>
        <v>0</v>
      </c>
      <c r="AR1480" s="28"/>
      <c r="AS1480" s="28" t="n">
        <f aca="false">AR1480*$M1480</f>
        <v>0</v>
      </c>
      <c r="AT1480" s="28"/>
      <c r="AU1480" s="28" t="n">
        <f aca="false">AT1480*$M1480</f>
        <v>0</v>
      </c>
      <c r="AV1480" s="28"/>
      <c r="AW1480" s="28" t="n">
        <f aca="false">AV1480*$M1480</f>
        <v>0</v>
      </c>
      <c r="AX1480" s="28"/>
      <c r="AY1480" s="28" t="n">
        <f aca="false">AX1480*$M1480</f>
        <v>0</v>
      </c>
      <c r="AZ1480" s="30" t="n">
        <f aca="false">118785/100</f>
        <v>1187.85</v>
      </c>
      <c r="BA1480" s="11" t="n">
        <v>178177</v>
      </c>
      <c r="BB1480" s="31" t="n">
        <f aca="false">SUM(Q1480,S1480,U1480,W1480,Y1480,AA1480,AC1480,AE1480,AG1480,AI1480,AK1480,AM1480,AO1480,AQ1480,AS1480,AU1480,AW1480,AY1480)</f>
        <v>178177</v>
      </c>
      <c r="BC1480" s="28" t="n">
        <f aca="false">BA1480-BB1480</f>
        <v>0</v>
      </c>
      <c r="BD1480" s="32" t="n">
        <f aca="false">SUM(P1480,R1480,T1480,V1480,X1480,Z1480,AB1480,AD1480,AF1480,AH1480,AJ1480,AL1480,AN1480,AP1480,AR1480,AT1480,AV1480,AX1480)</f>
        <v>1187.85</v>
      </c>
      <c r="BE1480" s="33" t="n">
        <f aca="false">AZ1480-BD1480</f>
        <v>0</v>
      </c>
      <c r="BF1480" s="34" t="n">
        <f aca="false">BD1480*M1480</f>
        <v>178177.5</v>
      </c>
      <c r="BG1480" s="35" t="n">
        <f aca="false">BA1480-BF1480</f>
        <v>-0.5</v>
      </c>
      <c r="BH1480" s="19" t="str">
        <f aca="false">IF(BG1480=0,"",IF(BG1480&lt;&gt;BA1480,"erreur de calcul",IF(BD1480&lt;&gt;0,"pas de prix",IF(M1480&lt;&gt; 0,"pas de quantité","pas de prix, ni de quantité"))))</f>
        <v>erreur de calcul</v>
      </c>
      <c r="BI1480" s="19"/>
    </row>
    <row r="1481" customFormat="false" ht="15" hidden="false" customHeight="false" outlineLevel="0" collapsed="false">
      <c r="A1481" s="0" t="n">
        <v>34</v>
      </c>
      <c r="B1481" s="8" t="s">
        <v>24</v>
      </c>
      <c r="C1481" s="9" t="s">
        <v>25</v>
      </c>
      <c r="D1481" s="9" t="s">
        <v>26</v>
      </c>
      <c r="E1481" s="10" t="n">
        <v>1789</v>
      </c>
      <c r="F1481" s="9" t="s">
        <v>27</v>
      </c>
      <c r="G1481" s="9" t="s">
        <v>27</v>
      </c>
      <c r="H1481" s="11" t="n">
        <v>20</v>
      </c>
      <c r="I1481" s="11" t="s">
        <v>152</v>
      </c>
      <c r="J1481" s="14" t="n">
        <v>80</v>
      </c>
      <c r="K1481" s="14"/>
      <c r="L1481" s="16"/>
      <c r="M1481" s="27" t="n">
        <f aca="false">J1481+(K1481/20)+(L1481/240)</f>
        <v>80</v>
      </c>
      <c r="N1481" s="17" t="s">
        <v>64</v>
      </c>
      <c r="O1481" s="11"/>
      <c r="P1481" s="28"/>
      <c r="Q1481" s="28" t="n">
        <f aca="false">P1481*$M1481</f>
        <v>0</v>
      </c>
      <c r="R1481" s="28"/>
      <c r="S1481" s="28" t="n">
        <f aca="false">R1481*$M1481</f>
        <v>0</v>
      </c>
      <c r="T1481" s="28"/>
      <c r="U1481" s="28" t="n">
        <f aca="false">T1481*$M1481</f>
        <v>0</v>
      </c>
      <c r="V1481" s="28"/>
      <c r="W1481" s="28" t="n">
        <f aca="false">V1481*$M1481</f>
        <v>0</v>
      </c>
      <c r="X1481" s="28"/>
      <c r="Y1481" s="28" t="n">
        <f aca="false">X1481*$M1481</f>
        <v>0</v>
      </c>
      <c r="Z1481" s="28"/>
      <c r="AA1481" s="28" t="n">
        <f aca="false">Z1481*$M1481</f>
        <v>0</v>
      </c>
      <c r="AB1481" s="28" t="n">
        <f aca="false">3142/100</f>
        <v>31.42</v>
      </c>
      <c r="AC1481" s="28" t="n">
        <v>2514</v>
      </c>
      <c r="AD1481" s="28"/>
      <c r="AE1481" s="28" t="n">
        <f aca="false">AD1481*$M1481</f>
        <v>0</v>
      </c>
      <c r="AF1481" s="28" t="n">
        <f aca="false">4868/100</f>
        <v>48.68</v>
      </c>
      <c r="AG1481" s="36" t="n">
        <v>3874</v>
      </c>
      <c r="AH1481" s="28" t="n">
        <f aca="false">1541601/100</f>
        <v>15416.01</v>
      </c>
      <c r="AI1481" s="28" t="n">
        <v>1233281</v>
      </c>
      <c r="AJ1481" s="28"/>
      <c r="AK1481" s="28" t="n">
        <f aca="false">AJ1481*$M1481</f>
        <v>0</v>
      </c>
      <c r="AL1481" s="28"/>
      <c r="AM1481" s="28" t="n">
        <f aca="false">AL1481*$M1481</f>
        <v>0</v>
      </c>
      <c r="AN1481" s="28"/>
      <c r="AO1481" s="28" t="n">
        <f aca="false">AN1481*$M1481</f>
        <v>0</v>
      </c>
      <c r="AP1481" s="28"/>
      <c r="AQ1481" s="28" t="n">
        <f aca="false">AP1481*$M1481</f>
        <v>0</v>
      </c>
      <c r="AR1481" s="28"/>
      <c r="AS1481" s="28" t="n">
        <f aca="false">AR1481*$M1481</f>
        <v>0</v>
      </c>
      <c r="AT1481" s="28"/>
      <c r="AU1481" s="28" t="n">
        <f aca="false">AT1481*$M1481</f>
        <v>0</v>
      </c>
      <c r="AV1481" s="28"/>
      <c r="AW1481" s="28" t="n">
        <f aca="false">AV1481*$M1481</f>
        <v>0</v>
      </c>
      <c r="AX1481" s="28"/>
      <c r="AY1481" s="28" t="n">
        <f aca="false">AX1481*$M1481</f>
        <v>0</v>
      </c>
      <c r="AZ1481" s="30" t="n">
        <f aca="false">1549611/100</f>
        <v>15496.11</v>
      </c>
      <c r="BA1481" s="11" t="n">
        <v>1239669</v>
      </c>
      <c r="BB1481" s="31" t="n">
        <f aca="false">SUM(Q1481,S1481,U1481,W1481,Y1481,AA1481,AC1481,AE1481,AG1481,AI1481,AK1481,AM1481,AO1481,AQ1481,AS1481,AU1481,AW1481,AY1481)</f>
        <v>1239669</v>
      </c>
      <c r="BC1481" s="28" t="n">
        <f aca="false">BA1481-BB1481</f>
        <v>0</v>
      </c>
      <c r="BD1481" s="32" t="n">
        <f aca="false">SUM(P1481,R1481,T1481,V1481,X1481,Z1481,AB1481,AD1481,AF1481,AH1481,AJ1481,AL1481,AN1481,AP1481,AR1481,AT1481,AV1481,AX1481)</f>
        <v>15496.11</v>
      </c>
      <c r="BE1481" s="33" t="n">
        <f aca="false">AZ1481-BD1481</f>
        <v>0</v>
      </c>
      <c r="BF1481" s="34" t="n">
        <f aca="false">BD1481*M1481</f>
        <v>1239688.8</v>
      </c>
      <c r="BG1481" s="35" t="n">
        <f aca="false">BA1481-BF1481</f>
        <v>-19.8000000000466</v>
      </c>
      <c r="BH1481" s="19" t="str">
        <f aca="false">IF(BG1481=0,"",IF(BG1481&lt;&gt;BA1481,"erreur de calcul",IF(BD1481&lt;&gt;0,"pas de prix",IF(M1481&lt;&gt; 0,"pas de quantité","pas de prix, ni de quantité"))))</f>
        <v>erreur de calcul</v>
      </c>
      <c r="BI1481" s="19"/>
    </row>
    <row r="1482" customFormat="false" ht="15" hidden="false" customHeight="false" outlineLevel="0" collapsed="false">
      <c r="A1482" s="0" t="n">
        <v>35</v>
      </c>
      <c r="B1482" s="8" t="s">
        <v>24</v>
      </c>
      <c r="C1482" s="9" t="s">
        <v>25</v>
      </c>
      <c r="D1482" s="9" t="s">
        <v>26</v>
      </c>
      <c r="E1482" s="10" t="n">
        <v>1789</v>
      </c>
      <c r="F1482" s="9" t="s">
        <v>27</v>
      </c>
      <c r="G1482" s="9" t="s">
        <v>27</v>
      </c>
      <c r="H1482" s="11" t="n">
        <v>20</v>
      </c>
      <c r="I1482" s="11" t="s">
        <v>153</v>
      </c>
      <c r="J1482" s="14" t="n">
        <v>148</v>
      </c>
      <c r="K1482" s="14"/>
      <c r="L1482" s="16"/>
      <c r="M1482" s="27" t="n">
        <f aca="false">J1482+(K1482/20)+(L1482/240)</f>
        <v>148</v>
      </c>
      <c r="N1482" s="17" t="s">
        <v>64</v>
      </c>
      <c r="O1482" s="11"/>
      <c r="P1482" s="28"/>
      <c r="Q1482" s="28" t="n">
        <f aca="false">P1482*$M1482</f>
        <v>0</v>
      </c>
      <c r="R1482" s="28"/>
      <c r="S1482" s="28" t="n">
        <f aca="false">R1482*$M1482</f>
        <v>0</v>
      </c>
      <c r="T1482" s="28"/>
      <c r="U1482" s="28" t="n">
        <f aca="false">T1482*$M1482</f>
        <v>0</v>
      </c>
      <c r="V1482" s="28"/>
      <c r="W1482" s="28" t="n">
        <f aca="false">V1482*$M1482</f>
        <v>0</v>
      </c>
      <c r="X1482" s="28"/>
      <c r="Y1482" s="28" t="n">
        <f aca="false">X1482*$M1482</f>
        <v>0</v>
      </c>
      <c r="Z1482" s="28"/>
      <c r="AA1482" s="28" t="n">
        <f aca="false">Z1482*$M1482</f>
        <v>0</v>
      </c>
      <c r="AB1482" s="28"/>
      <c r="AC1482" s="28" t="n">
        <f aca="false">AB1482*$M1482</f>
        <v>0</v>
      </c>
      <c r="AD1482" s="28"/>
      <c r="AE1482" s="28" t="n">
        <f aca="false">AD1482*$M1482</f>
        <v>0</v>
      </c>
      <c r="AF1482" s="28"/>
      <c r="AG1482" s="28" t="n">
        <f aca="false">AF1482*$M1482</f>
        <v>0</v>
      </c>
      <c r="AH1482" s="28"/>
      <c r="AI1482" s="28" t="n">
        <f aca="false">AH1482*$M1482</f>
        <v>0</v>
      </c>
      <c r="AJ1482" s="28" t="n">
        <f aca="false">1472/100</f>
        <v>14.72</v>
      </c>
      <c r="AK1482" s="28" t="n">
        <v>2178</v>
      </c>
      <c r="AL1482" s="28"/>
      <c r="AM1482" s="28" t="n">
        <f aca="false">AL1482*$M1482</f>
        <v>0</v>
      </c>
      <c r="AN1482" s="28"/>
      <c r="AO1482" s="28" t="n">
        <f aca="false">AN1482*$M1482</f>
        <v>0</v>
      </c>
      <c r="AP1482" s="28"/>
      <c r="AQ1482" s="28" t="n">
        <f aca="false">AP1482*$M1482</f>
        <v>0</v>
      </c>
      <c r="AR1482" s="28"/>
      <c r="AS1482" s="28" t="n">
        <f aca="false">AR1482*$M1482</f>
        <v>0</v>
      </c>
      <c r="AT1482" s="28"/>
      <c r="AU1482" s="28" t="n">
        <f aca="false">AT1482*$M1482</f>
        <v>0</v>
      </c>
      <c r="AV1482" s="28"/>
      <c r="AW1482" s="28" t="n">
        <f aca="false">AV1482*$M1482</f>
        <v>0</v>
      </c>
      <c r="AX1482" s="28"/>
      <c r="AY1482" s="28" t="n">
        <f aca="false">AX1482*$M1482</f>
        <v>0</v>
      </c>
      <c r="AZ1482" s="30" t="n">
        <f aca="false">1472/100</f>
        <v>14.72</v>
      </c>
      <c r="BA1482" s="11" t="n">
        <v>2178</v>
      </c>
      <c r="BB1482" s="31" t="n">
        <f aca="false">SUM(Q1482,S1482,U1482,W1482,Y1482,AA1482,AC1482,AE1482,AG1482,AI1482,AK1482,AM1482,AO1482,AQ1482,AS1482,AU1482,AW1482,AY1482)</f>
        <v>2178</v>
      </c>
      <c r="BC1482" s="28" t="n">
        <f aca="false">BA1482-BB1482</f>
        <v>0</v>
      </c>
      <c r="BD1482" s="32" t="n">
        <f aca="false">SUM(P1482,R1482,T1482,V1482,X1482,Z1482,AB1482,AD1482,AF1482,AH1482,AJ1482,AL1482,AN1482,AP1482,AR1482,AT1482,AV1482,AX1482)</f>
        <v>14.72</v>
      </c>
      <c r="BE1482" s="33" t="n">
        <f aca="false">AZ1482-BD1482</f>
        <v>0</v>
      </c>
      <c r="BF1482" s="34" t="n">
        <f aca="false">BD1482*M1482</f>
        <v>2178.56</v>
      </c>
      <c r="BG1482" s="35" t="n">
        <f aca="false">BA1482-BF1482</f>
        <v>-0.559999999999945</v>
      </c>
      <c r="BH1482" s="19" t="str">
        <f aca="false">IF(BG1482=0,"",IF(BG1482&lt;&gt;BA1482,"erreur de calcul",IF(BD1482&lt;&gt;0,"pas de prix",IF(M1482&lt;&gt; 0,"pas de quantité","pas de prix, ni de quantité"))))</f>
        <v>erreur de calcul</v>
      </c>
      <c r="BI1482" s="19"/>
    </row>
    <row r="1483" customFormat="false" ht="15" hidden="false" customHeight="false" outlineLevel="0" collapsed="false">
      <c r="A1483" s="0" t="n">
        <v>36</v>
      </c>
      <c r="B1483" s="8" t="s">
        <v>24</v>
      </c>
      <c r="C1483" s="9" t="s">
        <v>25</v>
      </c>
      <c r="D1483" s="9" t="s">
        <v>26</v>
      </c>
      <c r="E1483" s="10" t="n">
        <v>1789</v>
      </c>
      <c r="F1483" s="9" t="s">
        <v>27</v>
      </c>
      <c r="G1483" s="9" t="s">
        <v>27</v>
      </c>
      <c r="H1483" s="11" t="n">
        <v>20</v>
      </c>
      <c r="I1483" s="11" t="s">
        <v>154</v>
      </c>
      <c r="J1483" s="14" t="n">
        <v>75</v>
      </c>
      <c r="K1483" s="14"/>
      <c r="L1483" s="16"/>
      <c r="M1483" s="27" t="n">
        <f aca="false">J1483+(K1483/20)+(L1483/240)</f>
        <v>75</v>
      </c>
      <c r="N1483" s="17" t="s">
        <v>64</v>
      </c>
      <c r="O1483" s="11"/>
      <c r="P1483" s="28"/>
      <c r="Q1483" s="28" t="n">
        <f aca="false">P1483*$M1483</f>
        <v>0</v>
      </c>
      <c r="R1483" s="28"/>
      <c r="S1483" s="28" t="n">
        <f aca="false">R1483*$M1483</f>
        <v>0</v>
      </c>
      <c r="T1483" s="28" t="n">
        <f aca="false">627/100</f>
        <v>6.27</v>
      </c>
      <c r="U1483" s="28" t="n">
        <v>470</v>
      </c>
      <c r="V1483" s="28"/>
      <c r="W1483" s="28" t="n">
        <f aca="false">V1483*$M1483</f>
        <v>0</v>
      </c>
      <c r="X1483" s="28"/>
      <c r="Y1483" s="28" t="n">
        <f aca="false">X1483*$M1483</f>
        <v>0</v>
      </c>
      <c r="Z1483" s="28"/>
      <c r="AA1483" s="28" t="n">
        <f aca="false">Z1483*$M1483</f>
        <v>0</v>
      </c>
      <c r="AB1483" s="28"/>
      <c r="AC1483" s="28" t="n">
        <f aca="false">AB1483*$M1483</f>
        <v>0</v>
      </c>
      <c r="AD1483" s="28"/>
      <c r="AE1483" s="28" t="n">
        <f aca="false">AD1483*$M1483</f>
        <v>0</v>
      </c>
      <c r="AF1483" s="28"/>
      <c r="AG1483" s="28" t="n">
        <f aca="false">AF1483*$M1483</f>
        <v>0</v>
      </c>
      <c r="AH1483" s="28"/>
      <c r="AI1483" s="28" t="n">
        <f aca="false">AH1483*$M1483</f>
        <v>0</v>
      </c>
      <c r="AJ1483" s="28"/>
      <c r="AK1483" s="28" t="n">
        <f aca="false">AJ1483*$M1483</f>
        <v>0</v>
      </c>
      <c r="AL1483" s="28"/>
      <c r="AM1483" s="28" t="n">
        <f aca="false">AL1483*$M1483</f>
        <v>0</v>
      </c>
      <c r="AN1483" s="28"/>
      <c r="AO1483" s="28" t="n">
        <f aca="false">AN1483*$M1483</f>
        <v>0</v>
      </c>
      <c r="AP1483" s="28"/>
      <c r="AQ1483" s="28" t="n">
        <f aca="false">AP1483*$M1483</f>
        <v>0</v>
      </c>
      <c r="AR1483" s="28"/>
      <c r="AS1483" s="28" t="n">
        <f aca="false">AR1483*$M1483</f>
        <v>0</v>
      </c>
      <c r="AT1483" s="28"/>
      <c r="AU1483" s="28" t="n">
        <f aca="false">AT1483*$M1483</f>
        <v>0</v>
      </c>
      <c r="AV1483" s="28"/>
      <c r="AW1483" s="28" t="n">
        <f aca="false">AV1483*$M1483</f>
        <v>0</v>
      </c>
      <c r="AX1483" s="28"/>
      <c r="AY1483" s="28" t="n">
        <f aca="false">AX1483*$M1483</f>
        <v>0</v>
      </c>
      <c r="AZ1483" s="30" t="n">
        <f aca="false">627/100</f>
        <v>6.27</v>
      </c>
      <c r="BA1483" s="11" t="n">
        <v>470</v>
      </c>
      <c r="BB1483" s="31" t="n">
        <f aca="false">SUM(Q1483,S1483,U1483,W1483,Y1483,AA1483,AC1483,AE1483,AG1483,AI1483,AK1483,AM1483,AO1483,AQ1483,AS1483,AU1483,AW1483,AY1483)</f>
        <v>470</v>
      </c>
      <c r="BC1483" s="28" t="n">
        <f aca="false">BA1483-BB1483</f>
        <v>0</v>
      </c>
      <c r="BD1483" s="32" t="n">
        <f aca="false">SUM(P1483,R1483,T1483,V1483,X1483,Z1483,AB1483,AD1483,AF1483,AH1483,AJ1483,AL1483,AN1483,AP1483,AR1483,AT1483,AV1483,AX1483)</f>
        <v>6.27</v>
      </c>
      <c r="BE1483" s="33" t="n">
        <f aca="false">AZ1483-BD1483</f>
        <v>0</v>
      </c>
      <c r="BF1483" s="34" t="n">
        <f aca="false">BD1483*M1483</f>
        <v>470.25</v>
      </c>
      <c r="BG1483" s="35" t="n">
        <f aca="false">BA1483-BF1483</f>
        <v>-0.249999999999943</v>
      </c>
      <c r="BH1483" s="19" t="str">
        <f aca="false">IF(BG1483=0,"",IF(BG1483&lt;&gt;BA1483,"erreur de calcul",IF(BD1483&lt;&gt;0,"pas de prix",IF(M1483&lt;&gt; 0,"pas de quantité","pas de prix, ni de quantité"))))</f>
        <v>erreur de calcul</v>
      </c>
      <c r="BI1483" s="19"/>
    </row>
    <row r="1484" customFormat="false" ht="15" hidden="false" customHeight="false" outlineLevel="0" collapsed="false">
      <c r="A1484" s="0" t="n">
        <v>1</v>
      </c>
      <c r="B1484" s="8" t="s">
        <v>24</v>
      </c>
      <c r="C1484" s="9" t="s">
        <v>25</v>
      </c>
      <c r="D1484" s="9" t="s">
        <v>26</v>
      </c>
      <c r="E1484" s="10" t="n">
        <v>1789</v>
      </c>
      <c r="F1484" s="9" t="s">
        <v>27</v>
      </c>
      <c r="G1484" s="9" t="s">
        <v>27</v>
      </c>
      <c r="H1484" s="11" t="n">
        <v>21</v>
      </c>
      <c r="I1484" s="11" t="s">
        <v>155</v>
      </c>
      <c r="J1484" s="14" t="n">
        <v>60</v>
      </c>
      <c r="K1484" s="14"/>
      <c r="L1484" s="16"/>
      <c r="M1484" s="27" t="n">
        <f aca="false">J1484+(K1484/20)+(L1484/240)</f>
        <v>60</v>
      </c>
      <c r="N1484" s="17" t="s">
        <v>66</v>
      </c>
      <c r="O1484" s="11"/>
      <c r="P1484" s="28"/>
      <c r="Q1484" s="28" t="n">
        <f aca="false">P1484*$M1484</f>
        <v>0</v>
      </c>
      <c r="R1484" s="28"/>
      <c r="S1484" s="28" t="n">
        <f aca="false">R1484*$M1484</f>
        <v>0</v>
      </c>
      <c r="T1484" s="28"/>
      <c r="U1484" s="28" t="n">
        <f aca="false">T1484*$M1484</f>
        <v>0</v>
      </c>
      <c r="V1484" s="28" t="n">
        <v>10</v>
      </c>
      <c r="W1484" s="28" t="n">
        <v>600</v>
      </c>
      <c r="X1484" s="28"/>
      <c r="Y1484" s="28" t="n">
        <f aca="false">X1484*$M1484</f>
        <v>0</v>
      </c>
      <c r="Z1484" s="28"/>
      <c r="AA1484" s="28" t="n">
        <f aca="false">Z1484*$M1484</f>
        <v>0</v>
      </c>
      <c r="AB1484" s="28"/>
      <c r="AC1484" s="28" t="n">
        <f aca="false">AB1484*$M1484</f>
        <v>0</v>
      </c>
      <c r="AD1484" s="28"/>
      <c r="AE1484" s="28" t="n">
        <f aca="false">AD1484*$M1484</f>
        <v>0</v>
      </c>
      <c r="AF1484" s="28"/>
      <c r="AG1484" s="28" t="n">
        <f aca="false">AF1484*$M1484</f>
        <v>0</v>
      </c>
      <c r="AH1484" s="28"/>
      <c r="AI1484" s="28" t="n">
        <f aca="false">AH1484*$M1484</f>
        <v>0</v>
      </c>
      <c r="AJ1484" s="28"/>
      <c r="AK1484" s="28" t="n">
        <f aca="false">AJ1484*$M1484</f>
        <v>0</v>
      </c>
      <c r="AL1484" s="28"/>
      <c r="AM1484" s="28" t="n">
        <f aca="false">AL1484*$M1484</f>
        <v>0</v>
      </c>
      <c r="AN1484" s="28"/>
      <c r="AO1484" s="28" t="n">
        <f aca="false">AN1484*$M1484</f>
        <v>0</v>
      </c>
      <c r="AP1484" s="28"/>
      <c r="AQ1484" s="28" t="n">
        <f aca="false">AP1484*$M1484</f>
        <v>0</v>
      </c>
      <c r="AR1484" s="28"/>
      <c r="AS1484" s="28" t="n">
        <f aca="false">AR1484*$M1484</f>
        <v>0</v>
      </c>
      <c r="AT1484" s="28"/>
      <c r="AU1484" s="28" t="n">
        <f aca="false">AT1484*$M1484</f>
        <v>0</v>
      </c>
      <c r="AV1484" s="28"/>
      <c r="AW1484" s="28" t="n">
        <f aca="false">AV1484*$M1484</f>
        <v>0</v>
      </c>
      <c r="AX1484" s="28"/>
      <c r="AY1484" s="28" t="n">
        <f aca="false">AX1484*$M1484</f>
        <v>0</v>
      </c>
      <c r="AZ1484" s="30" t="n">
        <v>10</v>
      </c>
      <c r="BA1484" s="11" t="n">
        <v>600</v>
      </c>
      <c r="BB1484" s="31" t="n">
        <f aca="false">SUM(Q1484,S1484,U1484,W1484,Y1484,AA1484,AC1484,AE1484,AG1484,AI1484,AK1484,AM1484,AO1484,AQ1484,AS1484,AU1484,AW1484,AY1484)</f>
        <v>600</v>
      </c>
      <c r="BC1484" s="28" t="n">
        <f aca="false">BA1484-BB1484</f>
        <v>0</v>
      </c>
      <c r="BD1484" s="32" t="n">
        <f aca="false">SUM(P1484,R1484,T1484,V1484,X1484,Z1484,AB1484,AD1484,AF1484,AH1484,AJ1484,AL1484,AN1484,AP1484,AR1484,AT1484,AV1484,AX1484)</f>
        <v>10</v>
      </c>
      <c r="BE1484" s="33" t="n">
        <f aca="false">AZ1484-BD1484</f>
        <v>0</v>
      </c>
      <c r="BF1484" s="34" t="n">
        <f aca="false">BD1484*M1484</f>
        <v>600</v>
      </c>
      <c r="BG1484" s="35" t="n">
        <f aca="false">BA1484-BF1484</f>
        <v>0</v>
      </c>
      <c r="BH1484" s="19" t="str">
        <f aca="false">IF(BG1484=0,"",IF(BG1484&lt;&gt;BA1484,"erreur de calcul",IF(BD1484&lt;&gt;0,"pas de prix",IF(M1484&lt;&gt; 0,"pas de quantité","pas de prix, ni de quantité"))))</f>
        <v/>
      </c>
      <c r="BI1484" s="19"/>
    </row>
    <row r="1485" customFormat="false" ht="15" hidden="false" customHeight="false" outlineLevel="0" collapsed="false">
      <c r="A1485" s="0" t="n">
        <v>2</v>
      </c>
      <c r="B1485" s="8" t="s">
        <v>24</v>
      </c>
      <c r="C1485" s="9" t="s">
        <v>25</v>
      </c>
      <c r="D1485" s="9" t="s">
        <v>26</v>
      </c>
      <c r="E1485" s="10" t="n">
        <v>1789</v>
      </c>
      <c r="F1485" s="9" t="s">
        <v>27</v>
      </c>
      <c r="G1485" s="9" t="s">
        <v>27</v>
      </c>
      <c r="H1485" s="11" t="n">
        <v>21</v>
      </c>
      <c r="I1485" s="11" t="s">
        <v>156</v>
      </c>
      <c r="J1485" s="14"/>
      <c r="K1485" s="14"/>
      <c r="L1485" s="16"/>
      <c r="M1485" s="27" t="n">
        <f aca="false">J1485+(K1485/20)+(L1485/240)</f>
        <v>0</v>
      </c>
      <c r="N1485" s="17"/>
      <c r="O1485" s="11"/>
      <c r="P1485" s="28"/>
      <c r="Q1485" s="28" t="n">
        <v>304</v>
      </c>
      <c r="R1485" s="28"/>
      <c r="S1485" s="28" t="n">
        <f aca="false">R1485*$M1485</f>
        <v>0</v>
      </c>
      <c r="T1485" s="28"/>
      <c r="U1485" s="28" t="n">
        <f aca="false">T1485*$M1485</f>
        <v>0</v>
      </c>
      <c r="V1485" s="28"/>
      <c r="W1485" s="28" t="n">
        <f aca="false">V1485*$M1485</f>
        <v>0</v>
      </c>
      <c r="X1485" s="28"/>
      <c r="Y1485" s="28" t="n">
        <v>270</v>
      </c>
      <c r="Z1485" s="28"/>
      <c r="AA1485" s="28" t="n">
        <f aca="false">Z1485*$M1485</f>
        <v>0</v>
      </c>
      <c r="AB1485" s="28"/>
      <c r="AC1485" s="28" t="n">
        <f aca="false">AB1485*$M1485</f>
        <v>0</v>
      </c>
      <c r="AD1485" s="28"/>
      <c r="AE1485" s="28" t="n">
        <v>175</v>
      </c>
      <c r="AF1485" s="28"/>
      <c r="AG1485" s="28" t="n">
        <f aca="false">AF1485*$M1485</f>
        <v>0</v>
      </c>
      <c r="AH1485" s="28"/>
      <c r="AI1485" s="28" t="n">
        <f aca="false">AH1485*$M1485</f>
        <v>0</v>
      </c>
      <c r="AJ1485" s="28"/>
      <c r="AK1485" s="28" t="n">
        <v>240</v>
      </c>
      <c r="AL1485" s="28"/>
      <c r="AM1485" s="28" t="n">
        <v>808</v>
      </c>
      <c r="AN1485" s="28"/>
      <c r="AO1485" s="28" t="n">
        <f aca="false">AN1485*$M1485</f>
        <v>0</v>
      </c>
      <c r="AP1485" s="28"/>
      <c r="AQ1485" s="28" t="n">
        <f aca="false">AP1485*$M1485</f>
        <v>0</v>
      </c>
      <c r="AR1485" s="28"/>
      <c r="AS1485" s="28" t="n">
        <f aca="false">AR1485*$M1485</f>
        <v>0</v>
      </c>
      <c r="AT1485" s="28"/>
      <c r="AU1485" s="28" t="n">
        <f aca="false">AT1485*$M1485</f>
        <v>0</v>
      </c>
      <c r="AV1485" s="28"/>
      <c r="AW1485" s="28" t="n">
        <f aca="false">AV1485*$M1485</f>
        <v>0</v>
      </c>
      <c r="AX1485" s="28"/>
      <c r="AY1485" s="28" t="n">
        <f aca="false">AX1485*$M1485</f>
        <v>0</v>
      </c>
      <c r="AZ1485" s="30"/>
      <c r="BA1485" s="11" t="n">
        <v>1797</v>
      </c>
      <c r="BB1485" s="31" t="n">
        <f aca="false">SUM(Q1485,S1485,U1485,W1485,Y1485,AA1485,AC1485,AE1485,AG1485,AI1485,AK1485,AM1485,AO1485,AQ1485,AS1485,AU1485,AW1485,AY1485)</f>
        <v>1797</v>
      </c>
      <c r="BC1485" s="28" t="n">
        <f aca="false">BA1485-BB1485</f>
        <v>0</v>
      </c>
      <c r="BD1485" s="32" t="n">
        <f aca="false">SUM(P1485,R1485,T1485,V1485,X1485,Z1485,AB1485,AD1485,AF1485,AH1485,AJ1485,AL1485,AN1485,AP1485,AR1485,AT1485,AV1485,AX1485)</f>
        <v>0</v>
      </c>
      <c r="BE1485" s="33" t="n">
        <f aca="false">AZ1485-BD1485</f>
        <v>0</v>
      </c>
      <c r="BF1485" s="34" t="n">
        <f aca="false">BD1485*M1485</f>
        <v>0</v>
      </c>
      <c r="BG1485" s="35" t="n">
        <f aca="false">BA1485-BF1485</f>
        <v>1797</v>
      </c>
      <c r="BH1485" s="19" t="str">
        <f aca="false">IF(BG1485=0,"",IF(BG1485&lt;&gt;BA1485,"erreur de calcul",IF(BD1485&lt;&gt;0,"pas de prix",IF(M1485&lt;&gt; 0,"pas de quantité","pas de prix, ni de quantité"))))</f>
        <v>pas de prix, ni de quantité</v>
      </c>
      <c r="BI1485" s="19"/>
    </row>
    <row r="1486" customFormat="false" ht="15" hidden="false" customHeight="false" outlineLevel="0" collapsed="false">
      <c r="A1486" s="0" t="n">
        <v>3</v>
      </c>
      <c r="B1486" s="8" t="s">
        <v>24</v>
      </c>
      <c r="C1486" s="9" t="s">
        <v>25</v>
      </c>
      <c r="D1486" s="9" t="s">
        <v>26</v>
      </c>
      <c r="E1486" s="10" t="n">
        <v>1789</v>
      </c>
      <c r="F1486" s="9" t="s">
        <v>27</v>
      </c>
      <c r="G1486" s="9" t="s">
        <v>27</v>
      </c>
      <c r="H1486" s="11" t="n">
        <v>21</v>
      </c>
      <c r="I1486" s="11" t="s">
        <v>156</v>
      </c>
      <c r="J1486" s="14" t="n">
        <v>175</v>
      </c>
      <c r="K1486" s="14"/>
      <c r="L1486" s="16"/>
      <c r="M1486" s="27" t="n">
        <f aca="false">J1486+(K1486/20)+(L1486/240)</f>
        <v>175</v>
      </c>
      <c r="N1486" s="17" t="s">
        <v>64</v>
      </c>
      <c r="O1486" s="11" t="s">
        <v>98</v>
      </c>
      <c r="P1486" s="28" t="n">
        <f aca="false">3429/100</f>
        <v>34.29</v>
      </c>
      <c r="Q1486" s="28" t="n">
        <v>6001</v>
      </c>
      <c r="R1486" s="28"/>
      <c r="S1486" s="28" t="n">
        <f aca="false">R1486*$M1486</f>
        <v>0</v>
      </c>
      <c r="T1486" s="28" t="n">
        <f aca="false">5135/100</f>
        <v>51.35</v>
      </c>
      <c r="U1486" s="28" t="n">
        <v>8986</v>
      </c>
      <c r="V1486" s="28" t="n">
        <f aca="false">33716/100</f>
        <v>337.16</v>
      </c>
      <c r="W1486" s="28" t="n">
        <v>59003</v>
      </c>
      <c r="X1486" s="28" t="n">
        <f aca="false">14982/100</f>
        <v>149.82</v>
      </c>
      <c r="Y1486" s="28" t="n">
        <v>26218</v>
      </c>
      <c r="Z1486" s="28"/>
      <c r="AA1486" s="28" t="n">
        <f aca="false">Z1486*$M1486</f>
        <v>0</v>
      </c>
      <c r="AB1486" s="28"/>
      <c r="AC1486" s="28" t="n">
        <f aca="false">AB1486*$M1486</f>
        <v>0</v>
      </c>
      <c r="AD1486" s="28"/>
      <c r="AE1486" s="28" t="n">
        <f aca="false">AD1486*$M1486</f>
        <v>0</v>
      </c>
      <c r="AF1486" s="28" t="n">
        <f aca="false">439/100</f>
        <v>4.39</v>
      </c>
      <c r="AG1486" s="28" t="n">
        <v>768</v>
      </c>
      <c r="AH1486" s="28" t="n">
        <f aca="false">163722/100</f>
        <v>1637.22</v>
      </c>
      <c r="AI1486" s="28" t="n">
        <v>286513</v>
      </c>
      <c r="AJ1486" s="28" t="n">
        <f aca="false">17649/100</f>
        <v>176.49</v>
      </c>
      <c r="AK1486" s="28" t="n">
        <v>30886</v>
      </c>
      <c r="AL1486" s="28" t="n">
        <f aca="false">6852/100</f>
        <v>68.52</v>
      </c>
      <c r="AM1486" s="28" t="n">
        <v>11991</v>
      </c>
      <c r="AN1486" s="28"/>
      <c r="AO1486" s="28" t="n">
        <f aca="false">AN1486*$M1486</f>
        <v>0</v>
      </c>
      <c r="AP1486" s="28"/>
      <c r="AQ1486" s="28" t="n">
        <f aca="false">AP1486*$M1486</f>
        <v>0</v>
      </c>
      <c r="AR1486" s="28"/>
      <c r="AS1486" s="28" t="n">
        <f aca="false">AR1486*$M1486</f>
        <v>0</v>
      </c>
      <c r="AT1486" s="28"/>
      <c r="AU1486" s="28" t="n">
        <f aca="false">AT1486*$M1486</f>
        <v>0</v>
      </c>
      <c r="AV1486" s="28"/>
      <c r="AW1486" s="28" t="n">
        <f aca="false">AV1486*$M1486</f>
        <v>0</v>
      </c>
      <c r="AX1486" s="28"/>
      <c r="AY1486" s="28" t="n">
        <f aca="false">AX1486*$M1486</f>
        <v>0</v>
      </c>
      <c r="AZ1486" s="30" t="n">
        <f aca="false">245924/100</f>
        <v>2459.24</v>
      </c>
      <c r="BA1486" s="11" t="n">
        <v>430366</v>
      </c>
      <c r="BB1486" s="31" t="n">
        <f aca="false">SUM(Q1486,S1486,U1486,W1486,Y1486,AA1486,AC1486,AE1486,AG1486,AI1486,AK1486,AM1486,AO1486,AQ1486,AS1486,AU1486,AW1486,AY1486)</f>
        <v>430366</v>
      </c>
      <c r="BC1486" s="28" t="n">
        <f aca="false">BA1486-BB1486</f>
        <v>0</v>
      </c>
      <c r="BD1486" s="32" t="n">
        <f aca="false">SUM(P1486,R1486,T1486,V1486,X1486,Z1486,AB1486,AD1486,AF1486,AH1486,AJ1486,AL1486,AN1486,AP1486,AR1486,AT1486,AV1486,AX1486)</f>
        <v>2459.24</v>
      </c>
      <c r="BE1486" s="33" t="n">
        <f aca="false">AZ1486-BD1486</f>
        <v>0</v>
      </c>
      <c r="BF1486" s="34" t="n">
        <f aca="false">BD1486*M1486</f>
        <v>430367</v>
      </c>
      <c r="BG1486" s="35" t="n">
        <f aca="false">BA1486-BF1486</f>
        <v>-0.999999999941792</v>
      </c>
      <c r="BH1486" s="19" t="str">
        <f aca="false">IF(BG1486=0,"",IF(BG1486&lt;&gt;BA1486,"erreur de calcul",IF(BD1486&lt;&gt;0,"pas de prix",IF(M1486&lt;&gt; 0,"pas de quantité","pas de prix, ni de quantité"))))</f>
        <v>erreur de calcul</v>
      </c>
      <c r="BI1486" s="19"/>
    </row>
    <row r="1487" customFormat="false" ht="15" hidden="false" customHeight="false" outlineLevel="0" collapsed="false">
      <c r="A1487" s="0" t="n">
        <v>4</v>
      </c>
      <c r="B1487" s="8" t="s">
        <v>24</v>
      </c>
      <c r="C1487" s="9" t="s">
        <v>25</v>
      </c>
      <c r="D1487" s="9" t="s">
        <v>26</v>
      </c>
      <c r="E1487" s="10" t="n">
        <v>1789</v>
      </c>
      <c r="F1487" s="9" t="s">
        <v>27</v>
      </c>
      <c r="G1487" s="9" t="s">
        <v>27</v>
      </c>
      <c r="H1487" s="11" t="n">
        <v>21</v>
      </c>
      <c r="I1487" s="11" t="s">
        <v>157</v>
      </c>
      <c r="J1487" s="14" t="n">
        <v>240</v>
      </c>
      <c r="K1487" s="14"/>
      <c r="L1487" s="16"/>
      <c r="M1487" s="27" t="n">
        <f aca="false">J1487+(K1487/20)+(L1487/240)</f>
        <v>240</v>
      </c>
      <c r="N1487" s="17" t="s">
        <v>64</v>
      </c>
      <c r="O1487" s="11"/>
      <c r="P1487" s="28"/>
      <c r="Q1487" s="28" t="n">
        <f aca="false">P1487*$M1487</f>
        <v>0</v>
      </c>
      <c r="R1487" s="28"/>
      <c r="S1487" s="28" t="n">
        <f aca="false">R1487*$M1487</f>
        <v>0</v>
      </c>
      <c r="T1487" s="28"/>
      <c r="U1487" s="28" t="n">
        <f aca="false">T1487*$M1487</f>
        <v>0</v>
      </c>
      <c r="V1487" s="28"/>
      <c r="W1487" s="28" t="n">
        <f aca="false">V1487*$M1487</f>
        <v>0</v>
      </c>
      <c r="X1487" s="28"/>
      <c r="Y1487" s="28" t="n">
        <f aca="false">X1487*$M1487</f>
        <v>0</v>
      </c>
      <c r="Z1487" s="28"/>
      <c r="AA1487" s="28" t="n">
        <f aca="false">Z1487*$M1487</f>
        <v>0</v>
      </c>
      <c r="AB1487" s="28"/>
      <c r="AC1487" s="28" t="n">
        <f aca="false">AB1487*$M1487</f>
        <v>0</v>
      </c>
      <c r="AD1487" s="28"/>
      <c r="AE1487" s="28" t="n">
        <f aca="false">AD1487*$M1487</f>
        <v>0</v>
      </c>
      <c r="AF1487" s="28"/>
      <c r="AG1487" s="28" t="n">
        <f aca="false">AF1487*$M1487</f>
        <v>0</v>
      </c>
      <c r="AH1487" s="28"/>
      <c r="AI1487" s="28" t="n">
        <f aca="false">AH1487*$M1487</f>
        <v>0</v>
      </c>
      <c r="AJ1487" s="28" t="n">
        <f aca="false">290/100</f>
        <v>2.9</v>
      </c>
      <c r="AK1487" s="36" t="n">
        <v>2208</v>
      </c>
      <c r="AL1487" s="28"/>
      <c r="AM1487" s="28" t="n">
        <f aca="false">AL1487*$M1487</f>
        <v>0</v>
      </c>
      <c r="AN1487" s="28"/>
      <c r="AO1487" s="28" t="n">
        <f aca="false">AN1487*$M1487</f>
        <v>0</v>
      </c>
      <c r="AP1487" s="28"/>
      <c r="AQ1487" s="28" t="n">
        <f aca="false">AP1487*$M1487</f>
        <v>0</v>
      </c>
      <c r="AR1487" s="28"/>
      <c r="AS1487" s="28" t="n">
        <f aca="false">AR1487*$M1487</f>
        <v>0</v>
      </c>
      <c r="AT1487" s="28"/>
      <c r="AU1487" s="28" t="n">
        <f aca="false">AT1487*$M1487</f>
        <v>0</v>
      </c>
      <c r="AV1487" s="28"/>
      <c r="AW1487" s="28" t="n">
        <f aca="false">AV1487*$M1487</f>
        <v>0</v>
      </c>
      <c r="AX1487" s="28"/>
      <c r="AY1487" s="28" t="n">
        <f aca="false">AX1487*$M1487</f>
        <v>0</v>
      </c>
      <c r="AZ1487" s="30" t="n">
        <f aca="false">290/100</f>
        <v>2.9</v>
      </c>
      <c r="BA1487" s="11" t="n">
        <v>2208</v>
      </c>
      <c r="BB1487" s="31" t="n">
        <f aca="false">SUM(Q1487,S1487,U1487,W1487,Y1487,AA1487,AC1487,AE1487,AG1487,AI1487,AK1487,AM1487,AO1487,AQ1487,AS1487,AU1487,AW1487,AY1487)</f>
        <v>2208</v>
      </c>
      <c r="BC1487" s="28" t="n">
        <f aca="false">BA1487-BB1487</f>
        <v>0</v>
      </c>
      <c r="BD1487" s="32" t="n">
        <f aca="false">SUM(P1487,R1487,T1487,V1487,X1487,Z1487,AB1487,AD1487,AF1487,AH1487,AJ1487,AL1487,AN1487,AP1487,AR1487,AT1487,AV1487,AX1487)</f>
        <v>2.9</v>
      </c>
      <c r="BE1487" s="33" t="n">
        <f aca="false">AZ1487-BD1487</f>
        <v>0</v>
      </c>
      <c r="BF1487" s="34" t="n">
        <f aca="false">BD1487*M1487</f>
        <v>696</v>
      </c>
      <c r="BG1487" s="35" t="n">
        <f aca="false">BA1487-BF1487</f>
        <v>1512</v>
      </c>
      <c r="BH1487" s="19" t="str">
        <f aca="false">IF(BG1487=0,"",IF(BG1487&lt;&gt;BA1487,"erreur de calcul",IF(BD1487&lt;&gt;0,"pas de prix",IF(M1487&lt;&gt; 0,"pas de quantité","pas de prix, ni de quantité"))))</f>
        <v>erreur de calcul</v>
      </c>
      <c r="BI1487" s="19"/>
    </row>
    <row r="1488" customFormat="false" ht="15" hidden="false" customHeight="false" outlineLevel="0" collapsed="false">
      <c r="A1488" s="0" t="n">
        <v>5</v>
      </c>
      <c r="B1488" s="8" t="s">
        <v>24</v>
      </c>
      <c r="C1488" s="9" t="s">
        <v>25</v>
      </c>
      <c r="D1488" s="9" t="s">
        <v>26</v>
      </c>
      <c r="E1488" s="10" t="n">
        <v>1789</v>
      </c>
      <c r="F1488" s="9" t="s">
        <v>27</v>
      </c>
      <c r="G1488" s="9" t="s">
        <v>27</v>
      </c>
      <c r="H1488" s="11" t="n">
        <v>21</v>
      </c>
      <c r="I1488" s="11" t="s">
        <v>158</v>
      </c>
      <c r="J1488" s="14" t="n">
        <v>115</v>
      </c>
      <c r="K1488" s="14"/>
      <c r="L1488" s="16"/>
      <c r="M1488" s="27" t="n">
        <f aca="false">J1488+(K1488/20)+(L1488/240)</f>
        <v>115</v>
      </c>
      <c r="N1488" s="17" t="s">
        <v>64</v>
      </c>
      <c r="O1488" s="11"/>
      <c r="P1488" s="28"/>
      <c r="Q1488" s="28" t="n">
        <f aca="false">P1488*$M1488</f>
        <v>0</v>
      </c>
      <c r="R1488" s="28"/>
      <c r="S1488" s="28" t="n">
        <f aca="false">R1488*$M1488</f>
        <v>0</v>
      </c>
      <c r="T1488" s="28"/>
      <c r="U1488" s="28" t="n">
        <f aca="false">T1488*$M1488</f>
        <v>0</v>
      </c>
      <c r="V1488" s="28"/>
      <c r="W1488" s="28" t="n">
        <f aca="false">V1488*$M1488</f>
        <v>0</v>
      </c>
      <c r="X1488" s="28"/>
      <c r="Y1488" s="28" t="n">
        <f aca="false">X1488*$M1488</f>
        <v>0</v>
      </c>
      <c r="Z1488" s="28"/>
      <c r="AA1488" s="28" t="n">
        <f aca="false">Z1488*$M1488</f>
        <v>0</v>
      </c>
      <c r="AB1488" s="28"/>
      <c r="AC1488" s="28" t="n">
        <f aca="false">AB1488*$M1488</f>
        <v>0</v>
      </c>
      <c r="AD1488" s="28"/>
      <c r="AE1488" s="28" t="n">
        <f aca="false">AD1488*$M1488</f>
        <v>0</v>
      </c>
      <c r="AF1488" s="28"/>
      <c r="AG1488" s="28" t="n">
        <f aca="false">AF1488*$M1488</f>
        <v>0</v>
      </c>
      <c r="AH1488" s="28" t="n">
        <f aca="false">491552/100</f>
        <v>4915.52</v>
      </c>
      <c r="AI1488" s="28" t="n">
        <v>565285</v>
      </c>
      <c r="AJ1488" s="28"/>
      <c r="AK1488" s="28" t="n">
        <f aca="false">AJ1488*$M1488</f>
        <v>0</v>
      </c>
      <c r="AL1488" s="28"/>
      <c r="AM1488" s="28" t="n">
        <f aca="false">AL1488*$M1488</f>
        <v>0</v>
      </c>
      <c r="AN1488" s="28"/>
      <c r="AO1488" s="28" t="n">
        <f aca="false">AN1488*$M1488</f>
        <v>0</v>
      </c>
      <c r="AP1488" s="28"/>
      <c r="AQ1488" s="28" t="n">
        <f aca="false">AP1488*$M1488</f>
        <v>0</v>
      </c>
      <c r="AR1488" s="28"/>
      <c r="AS1488" s="28" t="n">
        <f aca="false">AR1488*$M1488</f>
        <v>0</v>
      </c>
      <c r="AT1488" s="28"/>
      <c r="AU1488" s="28" t="n">
        <f aca="false">AT1488*$M1488</f>
        <v>0</v>
      </c>
      <c r="AV1488" s="28"/>
      <c r="AW1488" s="28" t="n">
        <f aca="false">AV1488*$M1488</f>
        <v>0</v>
      </c>
      <c r="AX1488" s="28"/>
      <c r="AY1488" s="28" t="n">
        <f aca="false">AX1488*$M1488</f>
        <v>0</v>
      </c>
      <c r="AZ1488" s="30" t="n">
        <f aca="false">491552/100</f>
        <v>4915.52</v>
      </c>
      <c r="BA1488" s="11" t="n">
        <v>565285</v>
      </c>
      <c r="BB1488" s="31" t="n">
        <f aca="false">SUM(Q1488,S1488,U1488,W1488,Y1488,AA1488,AC1488,AE1488,AG1488,AI1488,AK1488,AM1488,AO1488,AQ1488,AS1488,AU1488,AW1488,AY1488)</f>
        <v>565285</v>
      </c>
      <c r="BC1488" s="28" t="n">
        <f aca="false">BA1488-BB1488</f>
        <v>0</v>
      </c>
      <c r="BD1488" s="32" t="n">
        <f aca="false">SUM(P1488,R1488,T1488,V1488,X1488,Z1488,AB1488,AD1488,AF1488,AH1488,AJ1488,AL1488,AN1488,AP1488,AR1488,AT1488,AV1488,AX1488)</f>
        <v>4915.52</v>
      </c>
      <c r="BE1488" s="33" t="n">
        <f aca="false">AZ1488-BD1488</f>
        <v>0</v>
      </c>
      <c r="BF1488" s="34" t="n">
        <f aca="false">BD1488*M1488</f>
        <v>565284.8</v>
      </c>
      <c r="BG1488" s="35" t="n">
        <f aca="false">BA1488-BF1488</f>
        <v>0.199999999953434</v>
      </c>
      <c r="BH1488" s="19" t="str">
        <f aca="false">IF(BG1488=0,"",IF(BG1488&lt;&gt;BA1488,"erreur de calcul",IF(BD1488&lt;&gt;0,"pas de prix",IF(M1488&lt;&gt; 0,"pas de quantité","pas de prix, ni de quantité"))))</f>
        <v>erreur de calcul</v>
      </c>
      <c r="BI1488" s="19"/>
    </row>
    <row r="1489" customFormat="false" ht="15" hidden="false" customHeight="false" outlineLevel="0" collapsed="false">
      <c r="A1489" s="0" t="n">
        <v>6</v>
      </c>
      <c r="B1489" s="8" t="s">
        <v>24</v>
      </c>
      <c r="C1489" s="9" t="s">
        <v>25</v>
      </c>
      <c r="D1489" s="9" t="s">
        <v>26</v>
      </c>
      <c r="E1489" s="10" t="n">
        <v>1789</v>
      </c>
      <c r="F1489" s="9" t="s">
        <v>27</v>
      </c>
      <c r="G1489" s="9" t="s">
        <v>27</v>
      </c>
      <c r="H1489" s="11" t="n">
        <v>21</v>
      </c>
      <c r="I1489" s="11" t="s">
        <v>159</v>
      </c>
      <c r="J1489" s="14" t="n">
        <v>240</v>
      </c>
      <c r="K1489" s="14"/>
      <c r="L1489" s="16"/>
      <c r="M1489" s="27" t="n">
        <f aca="false">J1489+(K1489/20)+(L1489/240)</f>
        <v>240</v>
      </c>
      <c r="N1489" s="17" t="s">
        <v>64</v>
      </c>
      <c r="O1489" s="11"/>
      <c r="P1489" s="28"/>
      <c r="Q1489" s="28" t="n">
        <f aca="false">P1489*$M1489</f>
        <v>0</v>
      </c>
      <c r="R1489" s="28"/>
      <c r="S1489" s="28" t="n">
        <f aca="false">R1489*$M1489</f>
        <v>0</v>
      </c>
      <c r="T1489" s="28"/>
      <c r="U1489" s="28" t="n">
        <f aca="false">T1489*$M1489</f>
        <v>0</v>
      </c>
      <c r="V1489" s="28"/>
      <c r="W1489" s="28" t="n">
        <f aca="false">V1489*$M1489</f>
        <v>0</v>
      </c>
      <c r="X1489" s="28"/>
      <c r="Y1489" s="28" t="n">
        <f aca="false">X1489*$M1489</f>
        <v>0</v>
      </c>
      <c r="Z1489" s="28"/>
      <c r="AA1489" s="28" t="n">
        <f aca="false">Z1489*$M1489</f>
        <v>0</v>
      </c>
      <c r="AB1489" s="28"/>
      <c r="AC1489" s="28" t="n">
        <f aca="false">AB1489*$M1489</f>
        <v>0</v>
      </c>
      <c r="AD1489" s="28"/>
      <c r="AE1489" s="28" t="n">
        <f aca="false">AD1489*$M1489</f>
        <v>0</v>
      </c>
      <c r="AF1489" s="28"/>
      <c r="AG1489" s="28" t="n">
        <f aca="false">AF1489*$M1489</f>
        <v>0</v>
      </c>
      <c r="AH1489" s="28" t="n">
        <f aca="false">46293/100</f>
        <v>462.93</v>
      </c>
      <c r="AI1489" s="28" t="n">
        <v>111103</v>
      </c>
      <c r="AJ1489" s="28"/>
      <c r="AK1489" s="28" t="n">
        <f aca="false">AJ1489*$M1489</f>
        <v>0</v>
      </c>
      <c r="AL1489" s="28"/>
      <c r="AM1489" s="28" t="n">
        <f aca="false">AL1489*$M1489</f>
        <v>0</v>
      </c>
      <c r="AN1489" s="28"/>
      <c r="AO1489" s="28" t="n">
        <f aca="false">AN1489*$M1489</f>
        <v>0</v>
      </c>
      <c r="AP1489" s="28"/>
      <c r="AQ1489" s="28" t="n">
        <f aca="false">AP1489*$M1489</f>
        <v>0</v>
      </c>
      <c r="AR1489" s="28"/>
      <c r="AS1489" s="28" t="n">
        <f aca="false">AR1489*$M1489</f>
        <v>0</v>
      </c>
      <c r="AT1489" s="28"/>
      <c r="AU1489" s="28" t="n">
        <f aca="false">AT1489*$M1489</f>
        <v>0</v>
      </c>
      <c r="AV1489" s="28"/>
      <c r="AW1489" s="28" t="n">
        <f aca="false">AV1489*$M1489</f>
        <v>0</v>
      </c>
      <c r="AX1489" s="28"/>
      <c r="AY1489" s="28" t="n">
        <f aca="false">AX1489*$M1489</f>
        <v>0</v>
      </c>
      <c r="AZ1489" s="30" t="n">
        <f aca="false">46293/100</f>
        <v>462.93</v>
      </c>
      <c r="BA1489" s="11" t="n">
        <v>111103</v>
      </c>
      <c r="BB1489" s="31" t="n">
        <f aca="false">SUM(Q1489,S1489,U1489,W1489,Y1489,AA1489,AC1489,AE1489,AG1489,AI1489,AK1489,AM1489,AO1489,AQ1489,AS1489,AU1489,AW1489,AY1489)</f>
        <v>111103</v>
      </c>
      <c r="BC1489" s="28" t="n">
        <f aca="false">BA1489-BB1489</f>
        <v>0</v>
      </c>
      <c r="BD1489" s="32" t="n">
        <f aca="false">SUM(P1489,R1489,T1489,V1489,X1489,Z1489,AB1489,AD1489,AF1489,AH1489,AJ1489,AL1489,AN1489,AP1489,AR1489,AT1489,AV1489,AX1489)</f>
        <v>462.93</v>
      </c>
      <c r="BE1489" s="33" t="n">
        <f aca="false">AZ1489-BD1489</f>
        <v>0</v>
      </c>
      <c r="BF1489" s="34" t="n">
        <f aca="false">BD1489*M1489</f>
        <v>111103.2</v>
      </c>
      <c r="BG1489" s="35" t="n">
        <f aca="false">BA1489-BF1489</f>
        <v>-0.19999999999709</v>
      </c>
      <c r="BH1489" s="19" t="str">
        <f aca="false">IF(BG1489=0,"",IF(BG1489&lt;&gt;BA1489,"erreur de calcul",IF(BD1489&lt;&gt;0,"pas de prix",IF(M1489&lt;&gt; 0,"pas de quantité","pas de prix, ni de quantité"))))</f>
        <v>erreur de calcul</v>
      </c>
      <c r="BI1489" s="19"/>
    </row>
    <row r="1490" customFormat="false" ht="15" hidden="false" customHeight="false" outlineLevel="0" collapsed="false">
      <c r="A1490" s="0" t="n">
        <v>7</v>
      </c>
      <c r="B1490" s="8" t="s">
        <v>24</v>
      </c>
      <c r="C1490" s="9" t="s">
        <v>25</v>
      </c>
      <c r="D1490" s="9" t="s">
        <v>26</v>
      </c>
      <c r="E1490" s="10" t="n">
        <v>1789</v>
      </c>
      <c r="F1490" s="9" t="s">
        <v>27</v>
      </c>
      <c r="G1490" s="9" t="s">
        <v>27</v>
      </c>
      <c r="H1490" s="11" t="n">
        <v>21</v>
      </c>
      <c r="I1490" s="11" t="s">
        <v>160</v>
      </c>
      <c r="J1490" s="14" t="n">
        <v>70</v>
      </c>
      <c r="K1490" s="14"/>
      <c r="L1490" s="16"/>
      <c r="M1490" s="27" t="n">
        <f aca="false">J1490+(K1490/20)+(L1490/240)</f>
        <v>70</v>
      </c>
      <c r="N1490" s="17" t="s">
        <v>64</v>
      </c>
      <c r="O1490" s="11"/>
      <c r="P1490" s="28"/>
      <c r="Q1490" s="28" t="n">
        <f aca="false">P1490*$M1490</f>
        <v>0</v>
      </c>
      <c r="R1490" s="28"/>
      <c r="S1490" s="28" t="n">
        <f aca="false">R1490*$M1490</f>
        <v>0</v>
      </c>
      <c r="T1490" s="28"/>
      <c r="U1490" s="28" t="n">
        <f aca="false">T1490*$M1490</f>
        <v>0</v>
      </c>
      <c r="V1490" s="28"/>
      <c r="W1490" s="28" t="n">
        <f aca="false">V1490*$M1490</f>
        <v>0</v>
      </c>
      <c r="X1490" s="28"/>
      <c r="Y1490" s="28" t="n">
        <f aca="false">X1490*$M1490</f>
        <v>0</v>
      </c>
      <c r="Z1490" s="28"/>
      <c r="AA1490" s="28" t="n">
        <f aca="false">Z1490*$M1490</f>
        <v>0</v>
      </c>
      <c r="AB1490" s="28"/>
      <c r="AC1490" s="28" t="n">
        <f aca="false">AB1490*$M1490</f>
        <v>0</v>
      </c>
      <c r="AD1490" s="28"/>
      <c r="AE1490" s="28" t="n">
        <f aca="false">AD1490*$M1490</f>
        <v>0</v>
      </c>
      <c r="AF1490" s="28" t="n">
        <f aca="false">125849/100</f>
        <v>1258.49</v>
      </c>
      <c r="AG1490" s="28" t="n">
        <v>88094</v>
      </c>
      <c r="AH1490" s="28"/>
      <c r="AI1490" s="28" t="n">
        <f aca="false">AH1490*$M1490</f>
        <v>0</v>
      </c>
      <c r="AJ1490" s="28"/>
      <c r="AK1490" s="28" t="n">
        <f aca="false">AJ1490*$M1490</f>
        <v>0</v>
      </c>
      <c r="AL1490" s="28"/>
      <c r="AM1490" s="28" t="n">
        <f aca="false">AL1490*$M1490</f>
        <v>0</v>
      </c>
      <c r="AN1490" s="28"/>
      <c r="AO1490" s="28" t="n">
        <f aca="false">AN1490*$M1490</f>
        <v>0</v>
      </c>
      <c r="AP1490" s="28"/>
      <c r="AQ1490" s="28" t="n">
        <f aca="false">AP1490*$M1490</f>
        <v>0</v>
      </c>
      <c r="AR1490" s="28"/>
      <c r="AS1490" s="28" t="n">
        <f aca="false">AR1490*$M1490</f>
        <v>0</v>
      </c>
      <c r="AT1490" s="28"/>
      <c r="AU1490" s="28" t="n">
        <f aca="false">AT1490*$M1490</f>
        <v>0</v>
      </c>
      <c r="AV1490" s="28"/>
      <c r="AW1490" s="28" t="n">
        <f aca="false">AV1490*$M1490</f>
        <v>0</v>
      </c>
      <c r="AX1490" s="28"/>
      <c r="AY1490" s="28" t="n">
        <f aca="false">AX1490*$M1490</f>
        <v>0</v>
      </c>
      <c r="AZ1490" s="30" t="n">
        <f aca="false">125849/100</f>
        <v>1258.49</v>
      </c>
      <c r="BA1490" s="11" t="n">
        <v>88094</v>
      </c>
      <c r="BB1490" s="31" t="n">
        <f aca="false">SUM(Q1490,S1490,U1490,W1490,Y1490,AA1490,AC1490,AE1490,AG1490,AI1490,AK1490,AM1490,AO1490,AQ1490,AS1490,AU1490,AW1490,AY1490)</f>
        <v>88094</v>
      </c>
      <c r="BC1490" s="28" t="n">
        <f aca="false">BA1490-BB1490</f>
        <v>0</v>
      </c>
      <c r="BD1490" s="32" t="n">
        <f aca="false">SUM(P1490,R1490,T1490,V1490,X1490,Z1490,AB1490,AD1490,AF1490,AH1490,AJ1490,AL1490,AN1490,AP1490,AR1490,AT1490,AV1490,AX1490)</f>
        <v>1258.49</v>
      </c>
      <c r="BE1490" s="33" t="n">
        <f aca="false">AZ1490-BD1490</f>
        <v>0</v>
      </c>
      <c r="BF1490" s="34" t="n">
        <f aca="false">BD1490*M1490</f>
        <v>88094.3</v>
      </c>
      <c r="BG1490" s="35" t="n">
        <f aca="false">BA1490-BF1490</f>
        <v>-0.30000000000291</v>
      </c>
      <c r="BH1490" s="19" t="str">
        <f aca="false">IF(BG1490=0,"",IF(BG1490&lt;&gt;BA1490,"erreur de calcul",IF(BD1490&lt;&gt;0,"pas de prix",IF(M1490&lt;&gt; 0,"pas de quantité","pas de prix, ni de quantité"))))</f>
        <v>erreur de calcul</v>
      </c>
      <c r="BI1490" s="19"/>
    </row>
    <row r="1491" customFormat="false" ht="15" hidden="false" customHeight="false" outlineLevel="0" collapsed="false">
      <c r="A1491" s="0" t="n">
        <v>8</v>
      </c>
      <c r="B1491" s="8" t="s">
        <v>24</v>
      </c>
      <c r="C1491" s="9" t="s">
        <v>25</v>
      </c>
      <c r="D1491" s="9" t="s">
        <v>26</v>
      </c>
      <c r="E1491" s="10" t="n">
        <v>1789</v>
      </c>
      <c r="F1491" s="9" t="s">
        <v>27</v>
      </c>
      <c r="G1491" s="9" t="s">
        <v>27</v>
      </c>
      <c r="H1491" s="11" t="n">
        <v>21</v>
      </c>
      <c r="I1491" s="11" t="s">
        <v>161</v>
      </c>
      <c r="J1491" s="14" t="n">
        <v>50</v>
      </c>
      <c r="K1491" s="14"/>
      <c r="L1491" s="16"/>
      <c r="M1491" s="27" t="n">
        <f aca="false">J1491+(K1491/20)+(L1491/240)</f>
        <v>50</v>
      </c>
      <c r="N1491" s="17" t="s">
        <v>64</v>
      </c>
      <c r="O1491" s="11"/>
      <c r="P1491" s="28"/>
      <c r="Q1491" s="28" t="n">
        <f aca="false">P1491*$M1491</f>
        <v>0</v>
      </c>
      <c r="R1491" s="28"/>
      <c r="S1491" s="28" t="n">
        <f aca="false">R1491*$M1491</f>
        <v>0</v>
      </c>
      <c r="T1491" s="28"/>
      <c r="U1491" s="28" t="n">
        <f aca="false">T1491*$M1491</f>
        <v>0</v>
      </c>
      <c r="V1491" s="28" t="n">
        <f aca="false">18055/100</f>
        <v>180.55</v>
      </c>
      <c r="W1491" s="28" t="n">
        <v>9027</v>
      </c>
      <c r="X1491" s="28" t="n">
        <f aca="false">17880/100</f>
        <v>178.8</v>
      </c>
      <c r="Y1491" s="28" t="n">
        <v>8940</v>
      </c>
      <c r="Z1491" s="28"/>
      <c r="AA1491" s="28" t="n">
        <f aca="false">Z1491*$M1491</f>
        <v>0</v>
      </c>
      <c r="AB1491" s="28" t="n">
        <f aca="false">104483/100</f>
        <v>1044.83</v>
      </c>
      <c r="AC1491" s="28" t="n">
        <v>52241</v>
      </c>
      <c r="AD1491" s="28"/>
      <c r="AE1491" s="28" t="n">
        <f aca="false">AD1491*$M1491</f>
        <v>0</v>
      </c>
      <c r="AF1491" s="28"/>
      <c r="AG1491" s="28" t="n">
        <f aca="false">AF1491*$M1491</f>
        <v>0</v>
      </c>
      <c r="AH1491" s="28"/>
      <c r="AI1491" s="28" t="n">
        <f aca="false">AH1491*$M1491</f>
        <v>0</v>
      </c>
      <c r="AJ1491" s="28"/>
      <c r="AK1491" s="28" t="n">
        <f aca="false">AJ1491*$M1491</f>
        <v>0</v>
      </c>
      <c r="AL1491" s="28"/>
      <c r="AM1491" s="28" t="n">
        <f aca="false">AL1491*$M1491</f>
        <v>0</v>
      </c>
      <c r="AN1491" s="28"/>
      <c r="AO1491" s="28" t="n">
        <f aca="false">AN1491*$M1491</f>
        <v>0</v>
      </c>
      <c r="AP1491" s="28"/>
      <c r="AQ1491" s="28" t="n">
        <f aca="false">AP1491*$M1491</f>
        <v>0</v>
      </c>
      <c r="AR1491" s="28"/>
      <c r="AS1491" s="28" t="n">
        <f aca="false">AR1491*$M1491</f>
        <v>0</v>
      </c>
      <c r="AT1491" s="28"/>
      <c r="AU1491" s="28" t="n">
        <f aca="false">AT1491*$M1491</f>
        <v>0</v>
      </c>
      <c r="AV1491" s="28"/>
      <c r="AW1491" s="28" t="n">
        <f aca="false">AV1491*$M1491</f>
        <v>0</v>
      </c>
      <c r="AX1491" s="28"/>
      <c r="AY1491" s="28" t="n">
        <f aca="false">AX1491*$M1491</f>
        <v>0</v>
      </c>
      <c r="AZ1491" s="30" t="n">
        <f aca="false">140418/100</f>
        <v>1404.18</v>
      </c>
      <c r="BA1491" s="11" t="n">
        <v>70208</v>
      </c>
      <c r="BB1491" s="31" t="n">
        <f aca="false">SUM(Q1491,S1491,U1491,W1491,Y1491,AA1491,AC1491,AE1491,AG1491,AI1491,AK1491,AM1491,AO1491,AQ1491,AS1491,AU1491,AW1491,AY1491)</f>
        <v>70208</v>
      </c>
      <c r="BC1491" s="28" t="n">
        <f aca="false">BA1491-BB1491</f>
        <v>0</v>
      </c>
      <c r="BD1491" s="32" t="n">
        <f aca="false">SUM(P1491,R1491,T1491,V1491,X1491,Z1491,AB1491,AD1491,AF1491,AH1491,AJ1491,AL1491,AN1491,AP1491,AR1491,AT1491,AV1491,AX1491)</f>
        <v>1404.18</v>
      </c>
      <c r="BE1491" s="33" t="n">
        <f aca="false">AZ1491-BD1491</f>
        <v>0</v>
      </c>
      <c r="BF1491" s="34" t="n">
        <f aca="false">BD1491*M1491</f>
        <v>70209</v>
      </c>
      <c r="BG1491" s="35" t="n">
        <f aca="false">BA1491-BF1491</f>
        <v>-0.999999999985448</v>
      </c>
      <c r="BH1491" s="19" t="str">
        <f aca="false">IF(BG1491=0,"",IF(BG1491&lt;&gt;BA1491,"erreur de calcul",IF(BD1491&lt;&gt;0,"pas de prix",IF(M1491&lt;&gt; 0,"pas de quantité","pas de prix, ni de quantité"))))</f>
        <v>erreur de calcul</v>
      </c>
      <c r="BI1491" s="19"/>
    </row>
    <row r="1492" customFormat="false" ht="15" hidden="false" customHeight="false" outlineLevel="0" collapsed="false">
      <c r="A1492" s="0" t="n">
        <v>9</v>
      </c>
      <c r="B1492" s="8" t="s">
        <v>24</v>
      </c>
      <c r="C1492" s="9" t="s">
        <v>25</v>
      </c>
      <c r="D1492" s="9" t="s">
        <v>26</v>
      </c>
      <c r="E1492" s="10" t="n">
        <v>1789</v>
      </c>
      <c r="F1492" s="9" t="s">
        <v>27</v>
      </c>
      <c r="G1492" s="9" t="s">
        <v>27</v>
      </c>
      <c r="H1492" s="11" t="n">
        <v>21</v>
      </c>
      <c r="I1492" s="11" t="s">
        <v>162</v>
      </c>
      <c r="J1492" s="14" t="n">
        <v>250</v>
      </c>
      <c r="K1492" s="14"/>
      <c r="L1492" s="16"/>
      <c r="M1492" s="27" t="n">
        <f aca="false">J1492+(K1492/20)+(L1492/240)</f>
        <v>250</v>
      </c>
      <c r="N1492" s="17" t="s">
        <v>64</v>
      </c>
      <c r="O1492" s="11"/>
      <c r="P1492" s="28"/>
      <c r="Q1492" s="28" t="n">
        <f aca="false">P1492*$M1492</f>
        <v>0</v>
      </c>
      <c r="R1492" s="28"/>
      <c r="S1492" s="28" t="n">
        <f aca="false">R1492*$M1492</f>
        <v>0</v>
      </c>
      <c r="T1492" s="28"/>
      <c r="U1492" s="28" t="n">
        <f aca="false">T1492*$M1492</f>
        <v>0</v>
      </c>
      <c r="V1492" s="28"/>
      <c r="W1492" s="28" t="n">
        <f aca="false">V1492*$M1492</f>
        <v>0</v>
      </c>
      <c r="X1492" s="28"/>
      <c r="Y1492" s="28" t="n">
        <f aca="false">X1492*$M1492</f>
        <v>0</v>
      </c>
      <c r="Z1492" s="28"/>
      <c r="AA1492" s="28" t="n">
        <f aca="false">Z1492*$M1492</f>
        <v>0</v>
      </c>
      <c r="AB1492" s="28"/>
      <c r="AC1492" s="28" t="n">
        <f aca="false">AB1492*$M1492</f>
        <v>0</v>
      </c>
      <c r="AD1492" s="28"/>
      <c r="AE1492" s="28" t="n">
        <f aca="false">AD1492*$M1492</f>
        <v>0</v>
      </c>
      <c r="AF1492" s="28"/>
      <c r="AG1492" s="28" t="n">
        <f aca="false">AF1492*$M1492</f>
        <v>0</v>
      </c>
      <c r="AH1492" s="28" t="n">
        <f aca="false">2306/100</f>
        <v>23.06</v>
      </c>
      <c r="AI1492" s="36" t="n">
        <v>5073</v>
      </c>
      <c r="AJ1492" s="28"/>
      <c r="AK1492" s="28" t="n">
        <f aca="false">AJ1492*$M1492</f>
        <v>0</v>
      </c>
      <c r="AL1492" s="28"/>
      <c r="AM1492" s="28" t="n">
        <f aca="false">AL1492*$M1492</f>
        <v>0</v>
      </c>
      <c r="AN1492" s="28"/>
      <c r="AO1492" s="28" t="n">
        <f aca="false">AN1492*$M1492</f>
        <v>0</v>
      </c>
      <c r="AP1492" s="28"/>
      <c r="AQ1492" s="28" t="n">
        <f aca="false">AP1492*$M1492</f>
        <v>0</v>
      </c>
      <c r="AR1492" s="28"/>
      <c r="AS1492" s="28" t="n">
        <f aca="false">AR1492*$M1492</f>
        <v>0</v>
      </c>
      <c r="AT1492" s="28"/>
      <c r="AU1492" s="28" t="n">
        <f aca="false">AT1492*$M1492</f>
        <v>0</v>
      </c>
      <c r="AV1492" s="28"/>
      <c r="AW1492" s="28" t="n">
        <f aca="false">AV1492*$M1492</f>
        <v>0</v>
      </c>
      <c r="AX1492" s="28"/>
      <c r="AY1492" s="28" t="n">
        <f aca="false">AX1492*$M1492</f>
        <v>0</v>
      </c>
      <c r="AZ1492" s="30" t="n">
        <f aca="false">2306/100</f>
        <v>23.06</v>
      </c>
      <c r="BA1492" s="11" t="n">
        <v>5073</v>
      </c>
      <c r="BB1492" s="31" t="n">
        <f aca="false">SUM(Q1492,S1492,U1492,W1492,Y1492,AA1492,AC1492,AE1492,AG1492,AI1492,AK1492,AM1492,AO1492,AQ1492,AS1492,AU1492,AW1492,AY1492)</f>
        <v>5073</v>
      </c>
      <c r="BC1492" s="28" t="n">
        <f aca="false">BA1492-BB1492</f>
        <v>0</v>
      </c>
      <c r="BD1492" s="32" t="n">
        <f aca="false">SUM(P1492,R1492,T1492,V1492,X1492,Z1492,AB1492,AD1492,AF1492,AH1492,AJ1492,AL1492,AN1492,AP1492,AR1492,AT1492,AV1492,AX1492)</f>
        <v>23.06</v>
      </c>
      <c r="BE1492" s="33" t="n">
        <f aca="false">AZ1492-BD1492</f>
        <v>0</v>
      </c>
      <c r="BF1492" s="34" t="n">
        <f aca="false">BD1492*M1492</f>
        <v>5765</v>
      </c>
      <c r="BG1492" s="35" t="n">
        <f aca="false">BA1492-BF1492</f>
        <v>-692</v>
      </c>
      <c r="BH1492" s="19" t="str">
        <f aca="false">IF(BG1492=0,"",IF(BG1492&lt;&gt;BA1492,"erreur de calcul",IF(BD1492&lt;&gt;0,"pas de prix",IF(M1492&lt;&gt; 0,"pas de quantité","pas de prix, ni de quantité"))))</f>
        <v>erreur de calcul</v>
      </c>
      <c r="BI1492" s="19"/>
    </row>
    <row r="1493" customFormat="false" ht="15" hidden="false" customHeight="false" outlineLevel="0" collapsed="false">
      <c r="A1493" s="0" t="n">
        <v>10</v>
      </c>
      <c r="B1493" s="8" t="s">
        <v>24</v>
      </c>
      <c r="C1493" s="9" t="s">
        <v>25</v>
      </c>
      <c r="D1493" s="9" t="s">
        <v>26</v>
      </c>
      <c r="E1493" s="10" t="n">
        <v>1789</v>
      </c>
      <c r="F1493" s="9" t="s">
        <v>27</v>
      </c>
      <c r="G1493" s="9" t="s">
        <v>27</v>
      </c>
      <c r="H1493" s="11" t="n">
        <v>21</v>
      </c>
      <c r="I1493" s="11" t="s">
        <v>163</v>
      </c>
      <c r="J1493" s="14"/>
      <c r="K1493" s="14"/>
      <c r="L1493" s="16"/>
      <c r="M1493" s="27" t="n">
        <f aca="false">J1493+(K1493/20)+(L1493/240)</f>
        <v>0</v>
      </c>
      <c r="N1493" s="17"/>
      <c r="O1493" s="11"/>
      <c r="P1493" s="28"/>
      <c r="Q1493" s="28" t="n">
        <v>1571</v>
      </c>
      <c r="R1493" s="28"/>
      <c r="S1493" s="28" t="n">
        <f aca="false">R1493*$M1493</f>
        <v>0</v>
      </c>
      <c r="T1493" s="28"/>
      <c r="U1493" s="28" t="n">
        <v>182</v>
      </c>
      <c r="V1493" s="28"/>
      <c r="W1493" s="28" t="n">
        <v>1801</v>
      </c>
      <c r="X1493" s="28"/>
      <c r="Y1493" s="28" t="n">
        <v>214</v>
      </c>
      <c r="Z1493" s="28"/>
      <c r="AA1493" s="28" t="n">
        <f aca="false">Z1493*$M1493</f>
        <v>0</v>
      </c>
      <c r="AB1493" s="28"/>
      <c r="AC1493" s="28" t="n">
        <v>401</v>
      </c>
      <c r="AD1493" s="28"/>
      <c r="AE1493" s="28" t="n">
        <f aca="false">AD1493*$M1493</f>
        <v>0</v>
      </c>
      <c r="AF1493" s="28"/>
      <c r="AG1493" s="28" t="n">
        <f aca="false">AF1493*$M1493</f>
        <v>0</v>
      </c>
      <c r="AH1493" s="28"/>
      <c r="AI1493" s="28" t="n">
        <f aca="false">AH1493*$M1493</f>
        <v>0</v>
      </c>
      <c r="AJ1493" s="28"/>
      <c r="AK1493" s="28" t="n">
        <v>760</v>
      </c>
      <c r="AL1493" s="28"/>
      <c r="AM1493" s="28" t="n">
        <f aca="false">AL1493*$M1493</f>
        <v>0</v>
      </c>
      <c r="AN1493" s="28"/>
      <c r="AO1493" s="28" t="n">
        <f aca="false">AN1493*$M1493</f>
        <v>0</v>
      </c>
      <c r="AP1493" s="28"/>
      <c r="AQ1493" s="28" t="n">
        <f aca="false">AP1493*$M1493</f>
        <v>0</v>
      </c>
      <c r="AR1493" s="28"/>
      <c r="AS1493" s="28" t="n">
        <f aca="false">AR1493*$M1493</f>
        <v>0</v>
      </c>
      <c r="AT1493" s="28"/>
      <c r="AU1493" s="28" t="n">
        <f aca="false">AT1493*$M1493</f>
        <v>0</v>
      </c>
      <c r="AV1493" s="28"/>
      <c r="AW1493" s="28" t="n">
        <f aca="false">AV1493*$M1493</f>
        <v>0</v>
      </c>
      <c r="AX1493" s="28"/>
      <c r="AY1493" s="28" t="n">
        <f aca="false">AX1493*$M1493</f>
        <v>0</v>
      </c>
      <c r="AZ1493" s="30"/>
      <c r="BA1493" s="11" t="n">
        <v>4929</v>
      </c>
      <c r="BB1493" s="31" t="n">
        <f aca="false">SUM(Q1493,S1493,U1493,W1493,Y1493,AA1493,AC1493,AE1493,AG1493,AI1493,AK1493,AM1493,AO1493,AQ1493,AS1493,AU1493,AW1493,AY1493)</f>
        <v>4929</v>
      </c>
      <c r="BC1493" s="28" t="n">
        <f aca="false">BA1493-BB1493</f>
        <v>0</v>
      </c>
      <c r="BD1493" s="32" t="n">
        <f aca="false">SUM(P1493,R1493,T1493,V1493,X1493,Z1493,AB1493,AD1493,AF1493,AH1493,AJ1493,AL1493,AN1493,AP1493,AR1493,AT1493,AV1493,AX1493)</f>
        <v>0</v>
      </c>
      <c r="BE1493" s="33" t="n">
        <f aca="false">AZ1493-BD1493</f>
        <v>0</v>
      </c>
      <c r="BF1493" s="34" t="n">
        <f aca="false">BD1493*M1493</f>
        <v>0</v>
      </c>
      <c r="BG1493" s="35" t="n">
        <f aca="false">BA1493-BF1493</f>
        <v>4929</v>
      </c>
      <c r="BH1493" s="19" t="str">
        <f aca="false">IF(BG1493=0,"",IF(BG1493&lt;&gt;BA1493,"erreur de calcul",IF(BD1493&lt;&gt;0,"pas de prix",IF(M1493&lt;&gt; 0,"pas de quantité","pas de prix, ni de quantité"))))</f>
        <v>pas de prix, ni de quantité</v>
      </c>
      <c r="BI1493" s="19"/>
    </row>
    <row r="1494" customFormat="false" ht="15" hidden="false" customHeight="false" outlineLevel="0" collapsed="false">
      <c r="A1494" s="0" t="n">
        <v>11</v>
      </c>
      <c r="B1494" s="8" t="s">
        <v>24</v>
      </c>
      <c r="C1494" s="9" t="s">
        <v>25</v>
      </c>
      <c r="D1494" s="9" t="s">
        <v>26</v>
      </c>
      <c r="E1494" s="10" t="n">
        <v>1789</v>
      </c>
      <c r="F1494" s="9" t="s">
        <v>27</v>
      </c>
      <c r="G1494" s="9" t="s">
        <v>27</v>
      </c>
      <c r="H1494" s="11" t="n">
        <v>21</v>
      </c>
      <c r="I1494" s="11" t="s">
        <v>164</v>
      </c>
      <c r="J1494" s="14" t="n">
        <v>580</v>
      </c>
      <c r="K1494" s="14"/>
      <c r="L1494" s="16"/>
      <c r="M1494" s="27" t="n">
        <f aca="false">J1494+(K1494/20)+(L1494/240)</f>
        <v>580</v>
      </c>
      <c r="N1494" s="17" t="s">
        <v>64</v>
      </c>
      <c r="O1494" s="11"/>
      <c r="P1494" s="28" t="n">
        <f aca="false">294/100</f>
        <v>2.94</v>
      </c>
      <c r="Q1494" s="28" t="n">
        <v>1705</v>
      </c>
      <c r="R1494" s="28"/>
      <c r="S1494" s="28" t="n">
        <f aca="false">R1494*$M1494</f>
        <v>0</v>
      </c>
      <c r="T1494" s="28"/>
      <c r="U1494" s="28" t="n">
        <f aca="false">T1494*$M1494</f>
        <v>0</v>
      </c>
      <c r="V1494" s="28"/>
      <c r="W1494" s="28" t="n">
        <f aca="false">V1494*$M1494</f>
        <v>0</v>
      </c>
      <c r="X1494" s="28"/>
      <c r="Y1494" s="28" t="n">
        <f aca="false">X1494*$M1494</f>
        <v>0</v>
      </c>
      <c r="Z1494" s="28"/>
      <c r="AA1494" s="28" t="n">
        <f aca="false">Z1494*$M1494</f>
        <v>0</v>
      </c>
      <c r="AB1494" s="28"/>
      <c r="AC1494" s="28" t="n">
        <f aca="false">AB1494*$M1494</f>
        <v>0</v>
      </c>
      <c r="AD1494" s="28"/>
      <c r="AE1494" s="28" t="n">
        <f aca="false">AD1494*$M1494</f>
        <v>0</v>
      </c>
      <c r="AF1494" s="28"/>
      <c r="AG1494" s="28" t="n">
        <f aca="false">AF1494*$M1494</f>
        <v>0</v>
      </c>
      <c r="AH1494" s="28"/>
      <c r="AI1494" s="28" t="n">
        <f aca="false">AH1494*$M1494</f>
        <v>0</v>
      </c>
      <c r="AJ1494" s="28"/>
      <c r="AK1494" s="28" t="n">
        <f aca="false">AJ1494*$M1494</f>
        <v>0</v>
      </c>
      <c r="AL1494" s="28"/>
      <c r="AM1494" s="28" t="n">
        <f aca="false">AL1494*$M1494</f>
        <v>0</v>
      </c>
      <c r="AN1494" s="28"/>
      <c r="AO1494" s="28" t="n">
        <f aca="false">AN1494*$M1494</f>
        <v>0</v>
      </c>
      <c r="AP1494" s="28"/>
      <c r="AQ1494" s="28" t="n">
        <f aca="false">AP1494*$M1494</f>
        <v>0</v>
      </c>
      <c r="AR1494" s="28"/>
      <c r="AS1494" s="28" t="n">
        <f aca="false">AR1494*$M1494</f>
        <v>0</v>
      </c>
      <c r="AT1494" s="28"/>
      <c r="AU1494" s="28" t="n">
        <f aca="false">AT1494*$M1494</f>
        <v>0</v>
      </c>
      <c r="AV1494" s="28"/>
      <c r="AW1494" s="28" t="n">
        <f aca="false">AV1494*$M1494</f>
        <v>0</v>
      </c>
      <c r="AX1494" s="28"/>
      <c r="AY1494" s="28" t="n">
        <f aca="false">AX1494*$M1494</f>
        <v>0</v>
      </c>
      <c r="AZ1494" s="30" t="n">
        <f aca="false">294/100</f>
        <v>2.94</v>
      </c>
      <c r="BA1494" s="11" t="n">
        <v>1705</v>
      </c>
      <c r="BB1494" s="31" t="n">
        <f aca="false">SUM(Q1494,S1494,U1494,W1494,Y1494,AA1494,AC1494,AE1494,AG1494,AI1494,AK1494,AM1494,AO1494,AQ1494,AS1494,AU1494,AW1494,AY1494)</f>
        <v>1705</v>
      </c>
      <c r="BC1494" s="28" t="n">
        <f aca="false">BA1494-BB1494</f>
        <v>0</v>
      </c>
      <c r="BD1494" s="32" t="n">
        <f aca="false">SUM(P1494,R1494,T1494,V1494,X1494,Z1494,AB1494,AD1494,AF1494,AH1494,AJ1494,AL1494,AN1494,AP1494,AR1494,AT1494,AV1494,AX1494)</f>
        <v>2.94</v>
      </c>
      <c r="BE1494" s="33" t="n">
        <f aca="false">AZ1494-BD1494</f>
        <v>0</v>
      </c>
      <c r="BF1494" s="34" t="n">
        <f aca="false">BD1494*M1494</f>
        <v>1705.2</v>
      </c>
      <c r="BG1494" s="35" t="n">
        <f aca="false">BA1494-BF1494</f>
        <v>-0.200000000000045</v>
      </c>
      <c r="BH1494" s="19" t="str">
        <f aca="false">IF(BG1494=0,"",IF(BG1494&lt;&gt;BA1494,"erreur de calcul",IF(BD1494&lt;&gt;0,"pas de prix",IF(M1494&lt;&gt; 0,"pas de quantité","pas de prix, ni de quantité"))))</f>
        <v>erreur de calcul</v>
      </c>
      <c r="BI1494" s="19"/>
    </row>
    <row r="1495" customFormat="false" ht="15" hidden="false" customHeight="false" outlineLevel="0" collapsed="false">
      <c r="A1495" s="0" t="n">
        <v>12</v>
      </c>
      <c r="B1495" s="8" t="s">
        <v>24</v>
      </c>
      <c r="C1495" s="9" t="s">
        <v>25</v>
      </c>
      <c r="D1495" s="9" t="s">
        <v>26</v>
      </c>
      <c r="E1495" s="10" t="n">
        <v>1789</v>
      </c>
      <c r="F1495" s="9" t="s">
        <v>27</v>
      </c>
      <c r="G1495" s="9" t="s">
        <v>27</v>
      </c>
      <c r="H1495" s="11" t="n">
        <v>21</v>
      </c>
      <c r="I1495" s="11" t="s">
        <v>165</v>
      </c>
      <c r="J1495" s="14" t="n">
        <v>180</v>
      </c>
      <c r="K1495" s="14"/>
      <c r="L1495" s="16"/>
      <c r="M1495" s="27" t="n">
        <f aca="false">J1495+(K1495/20)+(L1495/240)</f>
        <v>180</v>
      </c>
      <c r="N1495" s="17" t="s">
        <v>64</v>
      </c>
      <c r="O1495" s="11"/>
      <c r="P1495" s="28"/>
      <c r="Q1495" s="28" t="n">
        <f aca="false">P1495*$M1495</f>
        <v>0</v>
      </c>
      <c r="R1495" s="28"/>
      <c r="S1495" s="28" t="n">
        <f aca="false">R1495*$M1495</f>
        <v>0</v>
      </c>
      <c r="T1495" s="28"/>
      <c r="U1495" s="28" t="n">
        <f aca="false">T1495*$M1495</f>
        <v>0</v>
      </c>
      <c r="V1495" s="28"/>
      <c r="W1495" s="28" t="n">
        <f aca="false">V1495*$M1495</f>
        <v>0</v>
      </c>
      <c r="X1495" s="28"/>
      <c r="Y1495" s="28" t="n">
        <f aca="false">X1495*$M1495</f>
        <v>0</v>
      </c>
      <c r="Z1495" s="28"/>
      <c r="AA1495" s="28" t="n">
        <f aca="false">Z1495*$M1495</f>
        <v>0</v>
      </c>
      <c r="AB1495" s="28"/>
      <c r="AC1495" s="28" t="n">
        <f aca="false">AB1495*$M1495</f>
        <v>0</v>
      </c>
      <c r="AD1495" s="28"/>
      <c r="AE1495" s="28" t="n">
        <f aca="false">AD1495*$M1495</f>
        <v>0</v>
      </c>
      <c r="AF1495" s="28"/>
      <c r="AG1495" s="28" t="n">
        <f aca="false">AF1495*$M1495</f>
        <v>0</v>
      </c>
      <c r="AH1495" s="28"/>
      <c r="AI1495" s="28" t="n">
        <f aca="false">AH1495*$M1495</f>
        <v>0</v>
      </c>
      <c r="AJ1495" s="28"/>
      <c r="AK1495" s="28" t="n">
        <f aca="false">AJ1495*$M1495</f>
        <v>0</v>
      </c>
      <c r="AL1495" s="28"/>
      <c r="AM1495" s="28" t="n">
        <f aca="false">AL1495*$M1495</f>
        <v>0</v>
      </c>
      <c r="AN1495" s="28" t="n">
        <f aca="false">13754/100</f>
        <v>137.54</v>
      </c>
      <c r="AO1495" s="28" t="n">
        <v>24757</v>
      </c>
      <c r="AP1495" s="28"/>
      <c r="AQ1495" s="28" t="n">
        <f aca="false">AP1495*$M1495</f>
        <v>0</v>
      </c>
      <c r="AR1495" s="28"/>
      <c r="AS1495" s="28" t="n">
        <f aca="false">AR1495*$M1495</f>
        <v>0</v>
      </c>
      <c r="AT1495" s="28"/>
      <c r="AU1495" s="28" t="n">
        <f aca="false">AT1495*$M1495</f>
        <v>0</v>
      </c>
      <c r="AV1495" s="28"/>
      <c r="AW1495" s="28" t="n">
        <f aca="false">AV1495*$M1495</f>
        <v>0</v>
      </c>
      <c r="AX1495" s="28"/>
      <c r="AY1495" s="28" t="n">
        <f aca="false">AX1495*$M1495</f>
        <v>0</v>
      </c>
      <c r="AZ1495" s="30" t="n">
        <f aca="false">17360/100</f>
        <v>173.6</v>
      </c>
      <c r="BA1495" s="11" t="n">
        <v>24757</v>
      </c>
      <c r="BB1495" s="31" t="n">
        <f aca="false">SUM(Q1495,S1495,U1495,W1495,Y1495,AA1495,AC1495,AE1495,AG1495,AI1495,AK1495,AM1495,AO1495,AQ1495,AS1495,AU1495,AW1495,AY1495)</f>
        <v>24757</v>
      </c>
      <c r="BC1495" s="28" t="n">
        <f aca="false">BA1495-BB1495</f>
        <v>0</v>
      </c>
      <c r="BD1495" s="32" t="n">
        <f aca="false">SUM(P1495,R1495,T1495,V1495,X1495,Z1495,AB1495,AD1495,AF1495,AH1495,AJ1495,AL1495,AN1495,AP1495,AR1495,AT1495,AV1495,AX1495)</f>
        <v>137.54</v>
      </c>
      <c r="BE1495" s="33" t="n">
        <f aca="false">AZ1495-BD1495</f>
        <v>36.06</v>
      </c>
      <c r="BF1495" s="34" t="n">
        <f aca="false">BD1495*M1495</f>
        <v>24757.2</v>
      </c>
      <c r="BG1495" s="35" t="n">
        <f aca="false">BA1495-BF1495</f>
        <v>-0.19999999999709</v>
      </c>
      <c r="BH1495" s="19" t="str">
        <f aca="false">IF(BG1495=0,"",IF(BG1495&lt;&gt;BA1495,"erreur de calcul",IF(BD1495&lt;&gt;0,"pas de prix",IF(M1495&lt;&gt; 0,"pas de quantité","pas de prix, ni de quantité"))))</f>
        <v>erreur de calcul</v>
      </c>
      <c r="BI1495" s="19"/>
    </row>
    <row r="1496" customFormat="false" ht="15" hidden="false" customHeight="false" outlineLevel="0" collapsed="false">
      <c r="A1496" s="0" t="n">
        <v>13</v>
      </c>
      <c r="B1496" s="8" t="s">
        <v>24</v>
      </c>
      <c r="C1496" s="9" t="s">
        <v>25</v>
      </c>
      <c r="D1496" s="9" t="s">
        <v>26</v>
      </c>
      <c r="E1496" s="10" t="n">
        <v>1789</v>
      </c>
      <c r="F1496" s="9" t="s">
        <v>27</v>
      </c>
      <c r="G1496" s="9" t="s">
        <v>27</v>
      </c>
      <c r="H1496" s="11" t="n">
        <v>21</v>
      </c>
      <c r="I1496" s="11" t="s">
        <v>166</v>
      </c>
      <c r="J1496" s="14" t="n">
        <v>90</v>
      </c>
      <c r="K1496" s="14"/>
      <c r="L1496" s="16"/>
      <c r="M1496" s="27" t="n">
        <f aca="false">J1496+(K1496/20)+(L1496/240)</f>
        <v>90</v>
      </c>
      <c r="N1496" s="17" t="s">
        <v>64</v>
      </c>
      <c r="O1496" s="11"/>
      <c r="P1496" s="28" t="n">
        <f aca="false">3606/100</f>
        <v>36.06</v>
      </c>
      <c r="Q1496" s="28" t="n">
        <v>3245</v>
      </c>
      <c r="R1496" s="28"/>
      <c r="S1496" s="28" t="n">
        <f aca="false">R1496*$M1496</f>
        <v>0</v>
      </c>
      <c r="T1496" s="28"/>
      <c r="U1496" s="28" t="n">
        <f aca="false">T1496*$M1496</f>
        <v>0</v>
      </c>
      <c r="V1496" s="28"/>
      <c r="W1496" s="28" t="n">
        <f aca="false">V1496*$M1496</f>
        <v>0</v>
      </c>
      <c r="X1496" s="28"/>
      <c r="Y1496" s="28" t="n">
        <f aca="false">X1496*$M1496</f>
        <v>0</v>
      </c>
      <c r="Z1496" s="28"/>
      <c r="AA1496" s="28" t="n">
        <f aca="false">Z1496*$M1496</f>
        <v>0</v>
      </c>
      <c r="AB1496" s="28"/>
      <c r="AC1496" s="28" t="n">
        <f aca="false">AB1496*$M1496</f>
        <v>0</v>
      </c>
      <c r="AD1496" s="28"/>
      <c r="AE1496" s="28" t="n">
        <f aca="false">AD1496*$M1496</f>
        <v>0</v>
      </c>
      <c r="AF1496" s="28"/>
      <c r="AG1496" s="28" t="n">
        <f aca="false">AF1496*$M1496</f>
        <v>0</v>
      </c>
      <c r="AH1496" s="28"/>
      <c r="AI1496" s="28" t="n">
        <f aca="false">AH1496*$M1496</f>
        <v>0</v>
      </c>
      <c r="AJ1496" s="28"/>
      <c r="AK1496" s="28" t="n">
        <f aca="false">AJ1496*$M1496</f>
        <v>0</v>
      </c>
      <c r="AL1496" s="28"/>
      <c r="AM1496" s="28" t="n">
        <f aca="false">AL1496*$M1496</f>
        <v>0</v>
      </c>
      <c r="AN1496" s="28"/>
      <c r="AO1496" s="28" t="n">
        <f aca="false">AN1496*$M1496</f>
        <v>0</v>
      </c>
      <c r="AP1496" s="28"/>
      <c r="AQ1496" s="28" t="n">
        <f aca="false">AP1496*$M1496</f>
        <v>0</v>
      </c>
      <c r="AR1496" s="28"/>
      <c r="AS1496" s="28" t="n">
        <f aca="false">AR1496*$M1496</f>
        <v>0</v>
      </c>
      <c r="AT1496" s="28"/>
      <c r="AU1496" s="28" t="n">
        <f aca="false">AT1496*$M1496</f>
        <v>0</v>
      </c>
      <c r="AV1496" s="28"/>
      <c r="AW1496" s="28" t="n">
        <f aca="false">AV1496*$M1496</f>
        <v>0</v>
      </c>
      <c r="AX1496" s="28"/>
      <c r="AY1496" s="28" t="n">
        <f aca="false">AX1496*$M1496</f>
        <v>0</v>
      </c>
      <c r="AZ1496" s="30" t="n">
        <f aca="false">3606/100</f>
        <v>36.06</v>
      </c>
      <c r="BA1496" s="11" t="n">
        <v>3245</v>
      </c>
      <c r="BB1496" s="31" t="n">
        <f aca="false">SUM(Q1496,S1496,U1496,W1496,Y1496,AA1496,AC1496,AE1496,AG1496,AI1496,AK1496,AM1496,AO1496,AQ1496,AS1496,AU1496,AW1496,AY1496)</f>
        <v>3245</v>
      </c>
      <c r="BC1496" s="28" t="n">
        <f aca="false">BA1496-BB1496</f>
        <v>0</v>
      </c>
      <c r="BD1496" s="32" t="n">
        <f aca="false">SUM(P1496,R1496,T1496,V1496,X1496,Z1496,AB1496,AD1496,AF1496,AH1496,AJ1496,AL1496,AN1496,AP1496,AR1496,AT1496,AV1496,AX1496)</f>
        <v>36.06</v>
      </c>
      <c r="BE1496" s="33" t="n">
        <f aca="false">AZ1496-BD1496</f>
        <v>0</v>
      </c>
      <c r="BF1496" s="34" t="n">
        <f aca="false">BD1496*M1496</f>
        <v>3245.4</v>
      </c>
      <c r="BG1496" s="35" t="n">
        <f aca="false">BA1496-BF1496</f>
        <v>-0.400000000000091</v>
      </c>
      <c r="BH1496" s="19" t="str">
        <f aca="false">IF(BG1496=0,"",IF(BG1496&lt;&gt;BA1496,"erreur de calcul",IF(BD1496&lt;&gt;0,"pas de prix",IF(M1496&lt;&gt; 0,"pas de quantité","pas de prix, ni de quantité"))))</f>
        <v>erreur de calcul</v>
      </c>
      <c r="BI1496" s="19"/>
    </row>
    <row r="1497" customFormat="false" ht="15" hidden="false" customHeight="false" outlineLevel="0" collapsed="false">
      <c r="A1497" s="0" t="n">
        <v>14</v>
      </c>
      <c r="B1497" s="8" t="s">
        <v>24</v>
      </c>
      <c r="C1497" s="9" t="s">
        <v>25</v>
      </c>
      <c r="D1497" s="9" t="s">
        <v>26</v>
      </c>
      <c r="E1497" s="10" t="n">
        <v>1789</v>
      </c>
      <c r="F1497" s="9" t="s">
        <v>27</v>
      </c>
      <c r="G1497" s="9" t="s">
        <v>27</v>
      </c>
      <c r="H1497" s="11" t="n">
        <v>21</v>
      </c>
      <c r="I1497" s="11" t="s">
        <v>167</v>
      </c>
      <c r="J1497" s="14" t="n">
        <v>60</v>
      </c>
      <c r="K1497" s="14"/>
      <c r="L1497" s="16"/>
      <c r="M1497" s="27" t="n">
        <f aca="false">J1497+(K1497/20)+(L1497/240)</f>
        <v>60</v>
      </c>
      <c r="N1497" s="17" t="s">
        <v>64</v>
      </c>
      <c r="O1497" s="11"/>
      <c r="P1497" s="28" t="n">
        <f aca="false">19377/100</f>
        <v>193.77</v>
      </c>
      <c r="Q1497" s="28" t="n">
        <v>11626</v>
      </c>
      <c r="R1497" s="28"/>
      <c r="S1497" s="28" t="n">
        <f aca="false">R1497*$M1497</f>
        <v>0</v>
      </c>
      <c r="T1497" s="28"/>
      <c r="U1497" s="28" t="n">
        <f aca="false">T1497*$M1497</f>
        <v>0</v>
      </c>
      <c r="V1497" s="28"/>
      <c r="W1497" s="28" t="n">
        <f aca="false">V1497*$M1497</f>
        <v>0</v>
      </c>
      <c r="X1497" s="28"/>
      <c r="Y1497" s="28" t="n">
        <f aca="false">X1497*$M1497</f>
        <v>0</v>
      </c>
      <c r="Z1497" s="28"/>
      <c r="AA1497" s="28" t="n">
        <f aca="false">Z1497*$M1497</f>
        <v>0</v>
      </c>
      <c r="AB1497" s="28"/>
      <c r="AC1497" s="28" t="n">
        <f aca="false">AB1497*$M1497</f>
        <v>0</v>
      </c>
      <c r="AD1497" s="28"/>
      <c r="AE1497" s="28" t="n">
        <f aca="false">AD1497*$M1497</f>
        <v>0</v>
      </c>
      <c r="AF1497" s="28"/>
      <c r="AG1497" s="28" t="n">
        <f aca="false">AF1497*$M1497</f>
        <v>0</v>
      </c>
      <c r="AH1497" s="28"/>
      <c r="AI1497" s="28" t="n">
        <f aca="false">AH1497*$M1497</f>
        <v>0</v>
      </c>
      <c r="AJ1497" s="28"/>
      <c r="AK1497" s="28" t="n">
        <f aca="false">AJ1497*$M1497</f>
        <v>0</v>
      </c>
      <c r="AL1497" s="28"/>
      <c r="AM1497" s="28" t="n">
        <f aca="false">AL1497*$M1497</f>
        <v>0</v>
      </c>
      <c r="AN1497" s="28"/>
      <c r="AO1497" s="28" t="n">
        <f aca="false">AN1497*$M1497</f>
        <v>0</v>
      </c>
      <c r="AP1497" s="28"/>
      <c r="AQ1497" s="28" t="n">
        <f aca="false">AP1497*$M1497</f>
        <v>0</v>
      </c>
      <c r="AR1497" s="28"/>
      <c r="AS1497" s="28" t="n">
        <f aca="false">AR1497*$M1497</f>
        <v>0</v>
      </c>
      <c r="AT1497" s="28"/>
      <c r="AU1497" s="28" t="n">
        <f aca="false">AT1497*$M1497</f>
        <v>0</v>
      </c>
      <c r="AV1497" s="28"/>
      <c r="AW1497" s="28" t="n">
        <f aca="false">AV1497*$M1497</f>
        <v>0</v>
      </c>
      <c r="AX1497" s="28"/>
      <c r="AY1497" s="28" t="n">
        <f aca="false">AX1497*$M1497</f>
        <v>0</v>
      </c>
      <c r="AZ1497" s="30" t="n">
        <f aca="false">19377/100</f>
        <v>193.77</v>
      </c>
      <c r="BA1497" s="11" t="n">
        <v>11626</v>
      </c>
      <c r="BB1497" s="31" t="n">
        <f aca="false">SUM(Q1497,S1497,U1497,W1497,Y1497,AA1497,AC1497,AE1497,AG1497,AI1497,AK1497,AM1497,AO1497,AQ1497,AS1497,AU1497,AW1497,AY1497)</f>
        <v>11626</v>
      </c>
      <c r="BC1497" s="28" t="n">
        <f aca="false">BA1497-BB1497</f>
        <v>0</v>
      </c>
      <c r="BD1497" s="32" t="n">
        <f aca="false">SUM(P1497,R1497,T1497,V1497,X1497,Z1497,AB1497,AD1497,AF1497,AH1497,AJ1497,AL1497,AN1497,AP1497,AR1497,AT1497,AV1497,AX1497)</f>
        <v>193.77</v>
      </c>
      <c r="BE1497" s="33" t="n">
        <f aca="false">AZ1497-BD1497</f>
        <v>0</v>
      </c>
      <c r="BF1497" s="34" t="n">
        <f aca="false">BD1497*M1497</f>
        <v>11626.2</v>
      </c>
      <c r="BG1497" s="35" t="n">
        <f aca="false">BA1497-BF1497</f>
        <v>-0.200000000000728</v>
      </c>
      <c r="BH1497" s="19" t="str">
        <f aca="false">IF(BG1497=0,"",IF(BG1497&lt;&gt;BA1497,"erreur de calcul",IF(BD1497&lt;&gt;0,"pas de prix",IF(M1497&lt;&gt; 0,"pas de quantité","pas de prix, ni de quantité"))))</f>
        <v>erreur de calcul</v>
      </c>
      <c r="BI1497" s="19"/>
    </row>
    <row r="1498" customFormat="false" ht="15" hidden="false" customHeight="false" outlineLevel="0" collapsed="false">
      <c r="A1498" s="0" t="n">
        <v>15</v>
      </c>
      <c r="B1498" s="8" t="s">
        <v>24</v>
      </c>
      <c r="C1498" s="9" t="s">
        <v>25</v>
      </c>
      <c r="D1498" s="9" t="s">
        <v>26</v>
      </c>
      <c r="E1498" s="10" t="n">
        <v>1789</v>
      </c>
      <c r="F1498" s="9" t="s">
        <v>27</v>
      </c>
      <c r="G1498" s="9" t="s">
        <v>27</v>
      </c>
      <c r="H1498" s="11" t="n">
        <v>21</v>
      </c>
      <c r="I1498" s="11" t="s">
        <v>168</v>
      </c>
      <c r="J1498" s="14" t="n">
        <v>345</v>
      </c>
      <c r="K1498" s="14"/>
      <c r="L1498" s="16"/>
      <c r="M1498" s="27" t="n">
        <f aca="false">J1498+(K1498/20)+(L1498/240)</f>
        <v>345</v>
      </c>
      <c r="N1498" s="17" t="s">
        <v>64</v>
      </c>
      <c r="O1498" s="11"/>
      <c r="P1498" s="28" t="n">
        <f aca="false">617/100</f>
        <v>6.17</v>
      </c>
      <c r="Q1498" s="28" t="n">
        <v>2129</v>
      </c>
      <c r="R1498" s="28"/>
      <c r="S1498" s="28" t="n">
        <f aca="false">R1498*$M1498</f>
        <v>0</v>
      </c>
      <c r="T1498" s="28"/>
      <c r="U1498" s="28" t="n">
        <f aca="false">T1498*$M1498</f>
        <v>0</v>
      </c>
      <c r="V1498" s="28"/>
      <c r="W1498" s="28" t="n">
        <f aca="false">V1498*$M1498</f>
        <v>0</v>
      </c>
      <c r="X1498" s="28"/>
      <c r="Y1498" s="28" t="n">
        <f aca="false">X1498*$M1498</f>
        <v>0</v>
      </c>
      <c r="Z1498" s="28"/>
      <c r="AA1498" s="28" t="n">
        <f aca="false">Z1498*$M1498</f>
        <v>0</v>
      </c>
      <c r="AB1498" s="28" t="n">
        <f aca="false">1270/100</f>
        <v>12.7</v>
      </c>
      <c r="AC1498" s="28" t="n">
        <v>4381</v>
      </c>
      <c r="AD1498" s="28"/>
      <c r="AE1498" s="28" t="n">
        <f aca="false">AD1498*$M1498</f>
        <v>0</v>
      </c>
      <c r="AF1498" s="28"/>
      <c r="AG1498" s="28" t="n">
        <f aca="false">AF1498*$M1498</f>
        <v>0</v>
      </c>
      <c r="AH1498" s="28"/>
      <c r="AI1498" s="28" t="n">
        <f aca="false">AH1498*$M1498</f>
        <v>0</v>
      </c>
      <c r="AJ1498" s="28"/>
      <c r="AK1498" s="28" t="n">
        <f aca="false">AJ1498*$M1498</f>
        <v>0</v>
      </c>
      <c r="AL1498" s="28"/>
      <c r="AM1498" s="28" t="n">
        <f aca="false">AL1498*$M1498</f>
        <v>0</v>
      </c>
      <c r="AN1498" s="28"/>
      <c r="AO1498" s="28" t="n">
        <f aca="false">AN1498*$M1498</f>
        <v>0</v>
      </c>
      <c r="AP1498" s="28"/>
      <c r="AQ1498" s="28" t="n">
        <f aca="false">AP1498*$M1498</f>
        <v>0</v>
      </c>
      <c r="AR1498" s="28"/>
      <c r="AS1498" s="28" t="n">
        <f aca="false">AR1498*$M1498</f>
        <v>0</v>
      </c>
      <c r="AT1498" s="28"/>
      <c r="AU1498" s="28" t="n">
        <f aca="false">AT1498*$M1498</f>
        <v>0</v>
      </c>
      <c r="AV1498" s="28"/>
      <c r="AW1498" s="28" t="n">
        <f aca="false">AV1498*$M1498</f>
        <v>0</v>
      </c>
      <c r="AX1498" s="28"/>
      <c r="AY1498" s="28" t="n">
        <f aca="false">AX1498*$M1498</f>
        <v>0</v>
      </c>
      <c r="AZ1498" s="30" t="n">
        <f aca="false">1887/100</f>
        <v>18.87</v>
      </c>
      <c r="BA1498" s="11" t="n">
        <v>6510</v>
      </c>
      <c r="BB1498" s="31" t="n">
        <f aca="false">SUM(Q1498,S1498,U1498,W1498,Y1498,AA1498,AC1498,AE1498,AG1498,AI1498,AK1498,AM1498,AO1498,AQ1498,AS1498,AU1498,AW1498,AY1498)</f>
        <v>6510</v>
      </c>
      <c r="BC1498" s="28" t="n">
        <f aca="false">BA1498-BB1498</f>
        <v>0</v>
      </c>
      <c r="BD1498" s="32" t="n">
        <f aca="false">SUM(P1498,R1498,T1498,V1498,X1498,Z1498,AB1498,AD1498,AF1498,AH1498,AJ1498,AL1498,AN1498,AP1498,AR1498,AT1498,AV1498,AX1498)</f>
        <v>18.87</v>
      </c>
      <c r="BE1498" s="33" t="n">
        <f aca="false">AZ1498-BD1498</f>
        <v>0</v>
      </c>
      <c r="BF1498" s="34" t="n">
        <f aca="false">BD1498*M1498</f>
        <v>6510.15</v>
      </c>
      <c r="BG1498" s="35" t="n">
        <f aca="false">BA1498-BF1498</f>
        <v>-0.149999999998727</v>
      </c>
      <c r="BH1498" s="19" t="str">
        <f aca="false">IF(BG1498=0,"",IF(BG1498&lt;&gt;BA1498,"erreur de calcul",IF(BD1498&lt;&gt;0,"pas de prix",IF(M1498&lt;&gt; 0,"pas de quantité","pas de prix, ni de quantité"))))</f>
        <v>erreur de calcul</v>
      </c>
      <c r="BI1498" s="19"/>
    </row>
    <row r="1499" customFormat="false" ht="15" hidden="false" customHeight="false" outlineLevel="0" collapsed="false">
      <c r="A1499" s="0" t="n">
        <v>16</v>
      </c>
      <c r="B1499" s="8" t="s">
        <v>24</v>
      </c>
      <c r="C1499" s="9" t="s">
        <v>25</v>
      </c>
      <c r="D1499" s="9" t="s">
        <v>26</v>
      </c>
      <c r="E1499" s="10" t="n">
        <v>1789</v>
      </c>
      <c r="F1499" s="9" t="s">
        <v>27</v>
      </c>
      <c r="G1499" s="9" t="s">
        <v>27</v>
      </c>
      <c r="H1499" s="11" t="n">
        <v>21</v>
      </c>
      <c r="I1499" s="11" t="s">
        <v>169</v>
      </c>
      <c r="J1499" s="14" t="n">
        <v>6</v>
      </c>
      <c r="K1499" s="14"/>
      <c r="L1499" s="16"/>
      <c r="M1499" s="27" t="n">
        <f aca="false">J1499+(K1499/20)+(L1499/240)</f>
        <v>6</v>
      </c>
      <c r="N1499" s="17" t="s">
        <v>64</v>
      </c>
      <c r="O1499" s="11"/>
      <c r="P1499" s="28"/>
      <c r="Q1499" s="28" t="n">
        <f aca="false">P1499*$M1499</f>
        <v>0</v>
      </c>
      <c r="R1499" s="28"/>
      <c r="S1499" s="28" t="n">
        <f aca="false">R1499*$M1499</f>
        <v>0</v>
      </c>
      <c r="T1499" s="28"/>
      <c r="U1499" s="28" t="n">
        <f aca="false">T1499*$M1499</f>
        <v>0</v>
      </c>
      <c r="V1499" s="28" t="n">
        <f aca="false">39752/100</f>
        <v>397.52</v>
      </c>
      <c r="W1499" s="28" t="n">
        <v>2385</v>
      </c>
      <c r="X1499" s="28"/>
      <c r="Y1499" s="28" t="n">
        <f aca="false">X1499*$M1499</f>
        <v>0</v>
      </c>
      <c r="Z1499" s="28"/>
      <c r="AA1499" s="28" t="n">
        <f aca="false">Z1499*$M1499</f>
        <v>0</v>
      </c>
      <c r="AB1499" s="28"/>
      <c r="AC1499" s="28" t="n">
        <f aca="false">AB1499*$M1499</f>
        <v>0</v>
      </c>
      <c r="AD1499" s="28"/>
      <c r="AE1499" s="28" t="n">
        <f aca="false">AD1499*$M1499</f>
        <v>0</v>
      </c>
      <c r="AF1499" s="28"/>
      <c r="AG1499" s="28" t="n">
        <f aca="false">AF1499*$M1499</f>
        <v>0</v>
      </c>
      <c r="AH1499" s="28"/>
      <c r="AI1499" s="28" t="n">
        <f aca="false">AH1499*$M1499</f>
        <v>0</v>
      </c>
      <c r="AJ1499" s="28"/>
      <c r="AK1499" s="28" t="n">
        <f aca="false">AJ1499*$M1499</f>
        <v>0</v>
      </c>
      <c r="AL1499" s="28"/>
      <c r="AM1499" s="28" t="n">
        <f aca="false">AL1499*$M1499</f>
        <v>0</v>
      </c>
      <c r="AN1499" s="28"/>
      <c r="AO1499" s="28" t="n">
        <f aca="false">AN1499*$M1499</f>
        <v>0</v>
      </c>
      <c r="AP1499" s="28"/>
      <c r="AQ1499" s="28" t="n">
        <f aca="false">AP1499*$M1499</f>
        <v>0</v>
      </c>
      <c r="AR1499" s="28"/>
      <c r="AS1499" s="28" t="n">
        <f aca="false">AR1499*$M1499</f>
        <v>0</v>
      </c>
      <c r="AT1499" s="28"/>
      <c r="AU1499" s="28" t="n">
        <f aca="false">AT1499*$M1499</f>
        <v>0</v>
      </c>
      <c r="AV1499" s="28"/>
      <c r="AW1499" s="28" t="n">
        <f aca="false">AV1499*$M1499</f>
        <v>0</v>
      </c>
      <c r="AX1499" s="28"/>
      <c r="AY1499" s="28" t="n">
        <f aca="false">AX1499*$M1499</f>
        <v>0</v>
      </c>
      <c r="AZ1499" s="30" t="n">
        <f aca="false">39752/100</f>
        <v>397.52</v>
      </c>
      <c r="BA1499" s="11" t="n">
        <v>2385</v>
      </c>
      <c r="BB1499" s="31" t="n">
        <f aca="false">SUM(Q1499,S1499,U1499,W1499,Y1499,AA1499,AC1499,AE1499,AG1499,AI1499,AK1499,AM1499,AO1499,AQ1499,AS1499,AU1499,AW1499,AY1499)</f>
        <v>2385</v>
      </c>
      <c r="BC1499" s="28" t="n">
        <f aca="false">BA1499-BB1499</f>
        <v>0</v>
      </c>
      <c r="BD1499" s="32" t="n">
        <f aca="false">SUM(P1499,R1499,T1499,V1499,X1499,Z1499,AB1499,AD1499,AF1499,AH1499,AJ1499,AL1499,AN1499,AP1499,AR1499,AT1499,AV1499,AX1499)</f>
        <v>397.52</v>
      </c>
      <c r="BE1499" s="33" t="n">
        <f aca="false">AZ1499-BD1499</f>
        <v>0</v>
      </c>
      <c r="BF1499" s="34" t="n">
        <f aca="false">BD1499*M1499</f>
        <v>2385.12</v>
      </c>
      <c r="BG1499" s="35" t="n">
        <f aca="false">BA1499-BF1499</f>
        <v>-0.119999999999891</v>
      </c>
      <c r="BH1499" s="19" t="str">
        <f aca="false">IF(BG1499=0,"",IF(BG1499&lt;&gt;BA1499,"erreur de calcul",IF(BD1499&lt;&gt;0,"pas de prix",IF(M1499&lt;&gt; 0,"pas de quantité","pas de prix, ni de quantité"))))</f>
        <v>erreur de calcul</v>
      </c>
      <c r="BI1499" s="19"/>
    </row>
    <row r="1500" customFormat="false" ht="15" hidden="false" customHeight="false" outlineLevel="0" collapsed="false">
      <c r="A1500" s="0" t="n">
        <v>17</v>
      </c>
      <c r="B1500" s="8" t="s">
        <v>24</v>
      </c>
      <c r="C1500" s="9" t="s">
        <v>25</v>
      </c>
      <c r="D1500" s="9" t="s">
        <v>26</v>
      </c>
      <c r="E1500" s="10" t="n">
        <v>1789</v>
      </c>
      <c r="F1500" s="9" t="s">
        <v>27</v>
      </c>
      <c r="G1500" s="9" t="s">
        <v>27</v>
      </c>
      <c r="H1500" s="11" t="n">
        <v>21</v>
      </c>
      <c r="I1500" s="11" t="s">
        <v>170</v>
      </c>
      <c r="J1500" s="14" t="n">
        <v>90</v>
      </c>
      <c r="K1500" s="14"/>
      <c r="L1500" s="16"/>
      <c r="M1500" s="27" t="n">
        <f aca="false">J1500+(K1500/20)+(L1500/240)</f>
        <v>90</v>
      </c>
      <c r="N1500" s="17" t="s">
        <v>64</v>
      </c>
      <c r="O1500" s="11"/>
      <c r="P1500" s="28"/>
      <c r="Q1500" s="28" t="n">
        <f aca="false">P1500*$M1500</f>
        <v>0</v>
      </c>
      <c r="R1500" s="28"/>
      <c r="S1500" s="28" t="n">
        <f aca="false">R1500*$M1500</f>
        <v>0</v>
      </c>
      <c r="T1500" s="28"/>
      <c r="U1500" s="28" t="n">
        <f aca="false">T1500*$M1500</f>
        <v>0</v>
      </c>
      <c r="V1500" s="28"/>
      <c r="W1500" s="28" t="n">
        <f aca="false">V1500*$M1500</f>
        <v>0</v>
      </c>
      <c r="X1500" s="28" t="n">
        <f aca="false">3136/100</f>
        <v>31.36</v>
      </c>
      <c r="Y1500" s="28" t="n">
        <v>2822</v>
      </c>
      <c r="Z1500" s="28"/>
      <c r="AA1500" s="28" t="n">
        <f aca="false">Z1500*$M1500</f>
        <v>0</v>
      </c>
      <c r="AB1500" s="28"/>
      <c r="AC1500" s="28" t="n">
        <f aca="false">AB1500*$M1500</f>
        <v>0</v>
      </c>
      <c r="AD1500" s="28"/>
      <c r="AE1500" s="28" t="n">
        <f aca="false">AD1500*$M1500</f>
        <v>0</v>
      </c>
      <c r="AF1500" s="28"/>
      <c r="AG1500" s="28" t="n">
        <f aca="false">AF1500*$M1500</f>
        <v>0</v>
      </c>
      <c r="AH1500" s="28"/>
      <c r="AI1500" s="28" t="n">
        <f aca="false">AH1500*$M1500</f>
        <v>0</v>
      </c>
      <c r="AJ1500" s="28"/>
      <c r="AK1500" s="28" t="n">
        <f aca="false">AJ1500*$M1500</f>
        <v>0</v>
      </c>
      <c r="AL1500" s="28"/>
      <c r="AM1500" s="28" t="n">
        <f aca="false">AL1500*$M1500</f>
        <v>0</v>
      </c>
      <c r="AN1500" s="28"/>
      <c r="AO1500" s="28" t="n">
        <f aca="false">AN1500*$M1500</f>
        <v>0</v>
      </c>
      <c r="AP1500" s="28"/>
      <c r="AQ1500" s="28" t="n">
        <f aca="false">AP1500*$M1500</f>
        <v>0</v>
      </c>
      <c r="AR1500" s="28"/>
      <c r="AS1500" s="28" t="n">
        <f aca="false">AR1500*$M1500</f>
        <v>0</v>
      </c>
      <c r="AT1500" s="28"/>
      <c r="AU1500" s="28" t="n">
        <f aca="false">AT1500*$M1500</f>
        <v>0</v>
      </c>
      <c r="AV1500" s="28"/>
      <c r="AW1500" s="28" t="n">
        <f aca="false">AV1500*$M1500</f>
        <v>0</v>
      </c>
      <c r="AX1500" s="28"/>
      <c r="AY1500" s="28" t="n">
        <f aca="false">AX1500*$M1500</f>
        <v>0</v>
      </c>
      <c r="AZ1500" s="30" t="n">
        <f aca="false">3136/100</f>
        <v>31.36</v>
      </c>
      <c r="BA1500" s="11" t="n">
        <v>2822</v>
      </c>
      <c r="BB1500" s="31" t="n">
        <f aca="false">SUM(Q1500,S1500,U1500,W1500,Y1500,AA1500,AC1500,AE1500,AG1500,AI1500,AK1500,AM1500,AO1500,AQ1500,AS1500,AU1500,AW1500,AY1500)</f>
        <v>2822</v>
      </c>
      <c r="BC1500" s="28" t="n">
        <f aca="false">BA1500-BB1500</f>
        <v>0</v>
      </c>
      <c r="BD1500" s="32" t="n">
        <f aca="false">SUM(P1500,R1500,T1500,V1500,X1500,Z1500,AB1500,AD1500,AF1500,AH1500,AJ1500,AL1500,AN1500,AP1500,AR1500,AT1500,AV1500,AX1500)</f>
        <v>31.36</v>
      </c>
      <c r="BE1500" s="33" t="n">
        <f aca="false">AZ1500-BD1500</f>
        <v>0</v>
      </c>
      <c r="BF1500" s="34" t="n">
        <f aca="false">BD1500*M1500</f>
        <v>2822.4</v>
      </c>
      <c r="BG1500" s="35" t="n">
        <f aca="false">BA1500-BF1500</f>
        <v>-0.400000000000091</v>
      </c>
      <c r="BH1500" s="19" t="str">
        <f aca="false">IF(BG1500=0,"",IF(BG1500&lt;&gt;BA1500,"erreur de calcul",IF(BD1500&lt;&gt;0,"pas de prix",IF(M1500&lt;&gt; 0,"pas de quantité","pas de prix, ni de quantité"))))</f>
        <v>erreur de calcul</v>
      </c>
      <c r="BI1500" s="19"/>
    </row>
    <row r="1501" customFormat="false" ht="15" hidden="false" customHeight="false" outlineLevel="0" collapsed="false">
      <c r="A1501" s="0" t="n">
        <v>18</v>
      </c>
      <c r="B1501" s="8" t="s">
        <v>24</v>
      </c>
      <c r="C1501" s="9" t="s">
        <v>25</v>
      </c>
      <c r="D1501" s="9" t="s">
        <v>26</v>
      </c>
      <c r="E1501" s="10" t="n">
        <v>1789</v>
      </c>
      <c r="F1501" s="9" t="s">
        <v>27</v>
      </c>
      <c r="G1501" s="9" t="s">
        <v>27</v>
      </c>
      <c r="H1501" s="11" t="n">
        <v>21</v>
      </c>
      <c r="I1501" s="11" t="s">
        <v>171</v>
      </c>
      <c r="J1501" s="14" t="n">
        <v>90</v>
      </c>
      <c r="K1501" s="14"/>
      <c r="L1501" s="16"/>
      <c r="M1501" s="27" t="n">
        <f aca="false">J1501+(K1501/20)+(L1501/240)</f>
        <v>90</v>
      </c>
      <c r="N1501" s="17" t="s">
        <v>64</v>
      </c>
      <c r="O1501" s="11"/>
      <c r="P1501" s="28"/>
      <c r="Q1501" s="28" t="n">
        <f aca="false">P1501*$M1501</f>
        <v>0</v>
      </c>
      <c r="R1501" s="28"/>
      <c r="S1501" s="28" t="n">
        <f aca="false">R1501*$M1501</f>
        <v>0</v>
      </c>
      <c r="T1501" s="28"/>
      <c r="U1501" s="28" t="n">
        <f aca="false">T1501*$M1501</f>
        <v>0</v>
      </c>
      <c r="V1501" s="28"/>
      <c r="W1501" s="28" t="n">
        <f aca="false">V1501*$M1501</f>
        <v>0</v>
      </c>
      <c r="X1501" s="28"/>
      <c r="Y1501" s="28" t="n">
        <f aca="false">X1501*$M1501</f>
        <v>0</v>
      </c>
      <c r="Z1501" s="28"/>
      <c r="AA1501" s="28" t="n">
        <f aca="false">Z1501*$M1501</f>
        <v>0</v>
      </c>
      <c r="AB1501" s="28"/>
      <c r="AC1501" s="28" t="n">
        <f aca="false">AB1501*$M1501</f>
        <v>0</v>
      </c>
      <c r="AD1501" s="28"/>
      <c r="AE1501" s="28" t="n">
        <f aca="false">AD1501*$M1501</f>
        <v>0</v>
      </c>
      <c r="AF1501" s="28"/>
      <c r="AG1501" s="28" t="n">
        <f aca="false">AF1501*$M1501</f>
        <v>0</v>
      </c>
      <c r="AH1501" s="28" t="n">
        <f aca="false">5337/100</f>
        <v>53.37</v>
      </c>
      <c r="AI1501" s="28" t="n">
        <v>4803</v>
      </c>
      <c r="AJ1501" s="28"/>
      <c r="AK1501" s="28" t="n">
        <f aca="false">AJ1501*$M1501</f>
        <v>0</v>
      </c>
      <c r="AL1501" s="28"/>
      <c r="AM1501" s="28" t="n">
        <f aca="false">AL1501*$M1501</f>
        <v>0</v>
      </c>
      <c r="AN1501" s="28"/>
      <c r="AO1501" s="28" t="n">
        <f aca="false">AN1501*$M1501</f>
        <v>0</v>
      </c>
      <c r="AP1501" s="28"/>
      <c r="AQ1501" s="28" t="n">
        <f aca="false">AP1501*$M1501</f>
        <v>0</v>
      </c>
      <c r="AR1501" s="28"/>
      <c r="AS1501" s="28" t="n">
        <f aca="false">AR1501*$M1501</f>
        <v>0</v>
      </c>
      <c r="AT1501" s="28"/>
      <c r="AU1501" s="28" t="n">
        <f aca="false">AT1501*$M1501</f>
        <v>0</v>
      </c>
      <c r="AV1501" s="28"/>
      <c r="AW1501" s="28" t="n">
        <f aca="false">AV1501*$M1501</f>
        <v>0</v>
      </c>
      <c r="AX1501" s="28"/>
      <c r="AY1501" s="28" t="n">
        <f aca="false">AX1501*$M1501</f>
        <v>0</v>
      </c>
      <c r="AZ1501" s="30" t="n">
        <f aca="false">5337/100</f>
        <v>53.37</v>
      </c>
      <c r="BA1501" s="11" t="n">
        <v>4803</v>
      </c>
      <c r="BB1501" s="31" t="n">
        <f aca="false">SUM(Q1501,S1501,U1501,W1501,Y1501,AA1501,AC1501,AE1501,AG1501,AI1501,AK1501,AM1501,AO1501,AQ1501,AS1501,AU1501,AW1501,AY1501)</f>
        <v>4803</v>
      </c>
      <c r="BC1501" s="28" t="n">
        <f aca="false">BA1501-BB1501</f>
        <v>0</v>
      </c>
      <c r="BD1501" s="32" t="n">
        <f aca="false">SUM(P1501,R1501,T1501,V1501,X1501,Z1501,AB1501,AD1501,AF1501,AH1501,AJ1501,AL1501,AN1501,AP1501,AR1501,AT1501,AV1501,AX1501)</f>
        <v>53.37</v>
      </c>
      <c r="BE1501" s="33" t="n">
        <f aca="false">AZ1501-BD1501</f>
        <v>0</v>
      </c>
      <c r="BF1501" s="34" t="n">
        <f aca="false">BD1501*M1501</f>
        <v>4803.3</v>
      </c>
      <c r="BG1501" s="35" t="n">
        <f aca="false">BA1501-BF1501</f>
        <v>-0.300000000000182</v>
      </c>
      <c r="BH1501" s="19" t="str">
        <f aca="false">IF(BG1501=0,"",IF(BG1501&lt;&gt;BA1501,"erreur de calcul",IF(BD1501&lt;&gt;0,"pas de prix",IF(M1501&lt;&gt; 0,"pas de quantité","pas de prix, ni de quantité"))))</f>
        <v>erreur de calcul</v>
      </c>
      <c r="BI1501" s="19"/>
    </row>
    <row r="1502" customFormat="false" ht="15" hidden="false" customHeight="false" outlineLevel="0" collapsed="false">
      <c r="A1502" s="0" t="n">
        <v>19</v>
      </c>
      <c r="B1502" s="8" t="s">
        <v>24</v>
      </c>
      <c r="C1502" s="9" t="s">
        <v>25</v>
      </c>
      <c r="D1502" s="9" t="s">
        <v>26</v>
      </c>
      <c r="E1502" s="10" t="n">
        <v>1789</v>
      </c>
      <c r="F1502" s="9" t="s">
        <v>27</v>
      </c>
      <c r="G1502" s="9" t="s">
        <v>27</v>
      </c>
      <c r="H1502" s="11" t="n">
        <v>21</v>
      </c>
      <c r="I1502" s="11" t="s">
        <v>172</v>
      </c>
      <c r="J1502" s="14" t="n">
        <v>15</v>
      </c>
      <c r="K1502" s="14"/>
      <c r="L1502" s="16"/>
      <c r="M1502" s="27" t="n">
        <f aca="false">J1502+(K1502/20)+(L1502/240)</f>
        <v>15</v>
      </c>
      <c r="N1502" s="17" t="s">
        <v>64</v>
      </c>
      <c r="O1502" s="11" t="s">
        <v>77</v>
      </c>
      <c r="P1502" s="28"/>
      <c r="Q1502" s="28" t="n">
        <f aca="false">P1502*$M1502</f>
        <v>0</v>
      </c>
      <c r="R1502" s="28"/>
      <c r="S1502" s="28" t="n">
        <f aca="false">R1502*$M1502</f>
        <v>0</v>
      </c>
      <c r="T1502" s="28"/>
      <c r="U1502" s="28" t="n">
        <f aca="false">T1502*$M1502</f>
        <v>0</v>
      </c>
      <c r="V1502" s="28"/>
      <c r="W1502" s="28" t="n">
        <f aca="false">V1502*$M1502</f>
        <v>0</v>
      </c>
      <c r="X1502" s="28"/>
      <c r="Y1502" s="28" t="n">
        <f aca="false">X1502*$M1502</f>
        <v>0</v>
      </c>
      <c r="Z1502" s="28"/>
      <c r="AA1502" s="28" t="n">
        <f aca="false">Z1502*$M1502</f>
        <v>0</v>
      </c>
      <c r="AB1502" s="28"/>
      <c r="AC1502" s="28" t="n">
        <f aca="false">AB1502*$M1502</f>
        <v>0</v>
      </c>
      <c r="AD1502" s="28"/>
      <c r="AE1502" s="28" t="n">
        <f aca="false">AD1502*$M1502</f>
        <v>0</v>
      </c>
      <c r="AF1502" s="28"/>
      <c r="AG1502" s="28" t="n">
        <f aca="false">AF1502*$M1502</f>
        <v>0</v>
      </c>
      <c r="AH1502" s="28"/>
      <c r="AI1502" s="28" t="n">
        <f aca="false">AH1502*$M1502</f>
        <v>0</v>
      </c>
      <c r="AJ1502" s="28"/>
      <c r="AK1502" s="28" t="n">
        <f aca="false">AJ1502*$M1502</f>
        <v>0</v>
      </c>
      <c r="AL1502" s="28"/>
      <c r="AM1502" s="28" t="n">
        <f aca="false">AL1502*$M1502</f>
        <v>0</v>
      </c>
      <c r="AN1502" s="28"/>
      <c r="AO1502" s="28" t="n">
        <f aca="false">AN1502*$M1502</f>
        <v>0</v>
      </c>
      <c r="AP1502" s="28"/>
      <c r="AQ1502" s="28" t="n">
        <f aca="false">AP1502*$M1502</f>
        <v>0</v>
      </c>
      <c r="AR1502" s="28"/>
      <c r="AS1502" s="28" t="n">
        <f aca="false">AR1502*$M1502</f>
        <v>0</v>
      </c>
      <c r="AT1502" s="28"/>
      <c r="AU1502" s="28" t="n">
        <f aca="false">AT1502*$M1502</f>
        <v>0</v>
      </c>
      <c r="AV1502" s="28"/>
      <c r="AW1502" s="28" t="n">
        <f aca="false">AV1502*$M1502</f>
        <v>0</v>
      </c>
      <c r="AX1502" s="28"/>
      <c r="AY1502" s="28" t="n">
        <f aca="false">AX1502*$M1502</f>
        <v>0</v>
      </c>
      <c r="AZ1502" s="30"/>
      <c r="BA1502" s="11"/>
      <c r="BB1502" s="31" t="n">
        <f aca="false">SUM(Q1502,S1502,U1502,W1502,Y1502,AA1502,AC1502,AE1502,AG1502,AI1502,AK1502,AM1502,AO1502,AQ1502,AS1502,AU1502,AW1502,AY1502)</f>
        <v>0</v>
      </c>
      <c r="BC1502" s="28" t="n">
        <f aca="false">BA1502-BB1502</f>
        <v>0</v>
      </c>
      <c r="BD1502" s="32" t="n">
        <f aca="false">SUM(P1502,R1502,T1502,V1502,X1502,Z1502,AB1502,AD1502,AF1502,AH1502,AJ1502,AL1502,AN1502,AP1502,AR1502,AT1502,AV1502,AX1502)</f>
        <v>0</v>
      </c>
      <c r="BE1502" s="33" t="n">
        <f aca="false">AZ1502-BD1502</f>
        <v>0</v>
      </c>
      <c r="BF1502" s="34" t="n">
        <f aca="false">BD1502*M1502</f>
        <v>0</v>
      </c>
      <c r="BG1502" s="35" t="n">
        <f aca="false">BA1502-BF1502</f>
        <v>0</v>
      </c>
      <c r="BH1502" s="19" t="str">
        <f aca="false">IF(BG1502=0,"",IF(BG1502&lt;&gt;BA1502,"erreur de calcul",IF(BD1502&lt;&gt;0,"pas de prix",IF(M1502&lt;&gt; 0,"pas de quantité","pas de prix, ni de quantité"))))</f>
        <v/>
      </c>
      <c r="BI1502" s="19"/>
    </row>
    <row r="1503" customFormat="false" ht="15" hidden="false" customHeight="false" outlineLevel="0" collapsed="false">
      <c r="A1503" s="0" t="n">
        <v>20</v>
      </c>
      <c r="B1503" s="8" t="s">
        <v>24</v>
      </c>
      <c r="C1503" s="9" t="s">
        <v>25</v>
      </c>
      <c r="D1503" s="9" t="s">
        <v>26</v>
      </c>
      <c r="E1503" s="10" t="n">
        <v>1789</v>
      </c>
      <c r="F1503" s="9" t="s">
        <v>27</v>
      </c>
      <c r="G1503" s="9" t="s">
        <v>27</v>
      </c>
      <c r="H1503" s="11" t="n">
        <v>21</v>
      </c>
      <c r="I1503" s="11" t="s">
        <v>173</v>
      </c>
      <c r="J1503" s="14" t="n">
        <v>36</v>
      </c>
      <c r="K1503" s="14"/>
      <c r="L1503" s="16"/>
      <c r="M1503" s="27" t="n">
        <f aca="false">J1503+(K1503/20)+(L1503/240)</f>
        <v>36</v>
      </c>
      <c r="N1503" s="17" t="s">
        <v>64</v>
      </c>
      <c r="O1503" s="11"/>
      <c r="P1503" s="28"/>
      <c r="Q1503" s="28" t="n">
        <f aca="false">P1503*$M1503</f>
        <v>0</v>
      </c>
      <c r="R1503" s="28"/>
      <c r="S1503" s="28" t="n">
        <f aca="false">R1503*$M1503</f>
        <v>0</v>
      </c>
      <c r="T1503" s="28"/>
      <c r="U1503" s="28" t="n">
        <f aca="false">T1503*$M1503</f>
        <v>0</v>
      </c>
      <c r="V1503" s="28"/>
      <c r="W1503" s="28" t="n">
        <f aca="false">V1503*$M1503</f>
        <v>0</v>
      </c>
      <c r="X1503" s="28"/>
      <c r="Y1503" s="28" t="n">
        <f aca="false">X1503*$M1503</f>
        <v>0</v>
      </c>
      <c r="Z1503" s="28"/>
      <c r="AA1503" s="28" t="n">
        <f aca="false">Z1503*$M1503</f>
        <v>0</v>
      </c>
      <c r="AB1503" s="28" t="n">
        <f aca="false">80722/100</f>
        <v>807.22</v>
      </c>
      <c r="AC1503" s="28" t="n">
        <v>29060</v>
      </c>
      <c r="AD1503" s="28"/>
      <c r="AE1503" s="28" t="n">
        <f aca="false">AD1503*$M1503</f>
        <v>0</v>
      </c>
      <c r="AF1503" s="28"/>
      <c r="AG1503" s="28" t="n">
        <f aca="false">AF1503*$M1503</f>
        <v>0</v>
      </c>
      <c r="AH1503" s="28"/>
      <c r="AI1503" s="28" t="n">
        <f aca="false">AH1503*$M1503</f>
        <v>0</v>
      </c>
      <c r="AJ1503" s="28"/>
      <c r="AK1503" s="28" t="n">
        <f aca="false">AJ1503*$M1503</f>
        <v>0</v>
      </c>
      <c r="AL1503" s="28"/>
      <c r="AM1503" s="28" t="n">
        <f aca="false">AL1503*$M1503</f>
        <v>0</v>
      </c>
      <c r="AN1503" s="28"/>
      <c r="AO1503" s="28" t="n">
        <f aca="false">AN1503*$M1503</f>
        <v>0</v>
      </c>
      <c r="AP1503" s="28"/>
      <c r="AQ1503" s="28" t="n">
        <f aca="false">AP1503*$M1503</f>
        <v>0</v>
      </c>
      <c r="AR1503" s="28"/>
      <c r="AS1503" s="28" t="n">
        <f aca="false">AR1503*$M1503</f>
        <v>0</v>
      </c>
      <c r="AT1503" s="28"/>
      <c r="AU1503" s="28" t="n">
        <f aca="false">AT1503*$M1503</f>
        <v>0</v>
      </c>
      <c r="AV1503" s="28"/>
      <c r="AW1503" s="28" t="n">
        <f aca="false">AV1503*$M1503</f>
        <v>0</v>
      </c>
      <c r="AX1503" s="28"/>
      <c r="AY1503" s="28" t="n">
        <f aca="false">AX1503*$M1503</f>
        <v>0</v>
      </c>
      <c r="AZ1503" s="30" t="n">
        <f aca="false">80722/100</f>
        <v>807.22</v>
      </c>
      <c r="BA1503" s="11" t="n">
        <v>29060</v>
      </c>
      <c r="BB1503" s="31" t="n">
        <f aca="false">SUM(Q1503,S1503,U1503,W1503,Y1503,AA1503,AC1503,AE1503,AG1503,AI1503,AK1503,AM1503,AO1503,AQ1503,AS1503,AU1503,AW1503,AY1503)</f>
        <v>29060</v>
      </c>
      <c r="BC1503" s="28" t="n">
        <f aca="false">BA1503-BB1503</f>
        <v>0</v>
      </c>
      <c r="BD1503" s="32" t="n">
        <f aca="false">SUM(P1503,R1503,T1503,V1503,X1503,Z1503,AB1503,AD1503,AF1503,AH1503,AJ1503,AL1503,AN1503,AP1503,AR1503,AT1503,AV1503,AX1503)</f>
        <v>807.22</v>
      </c>
      <c r="BE1503" s="33" t="n">
        <f aca="false">AZ1503-BD1503</f>
        <v>0</v>
      </c>
      <c r="BF1503" s="34" t="n">
        <f aca="false">BD1503*M1503</f>
        <v>29059.92</v>
      </c>
      <c r="BG1503" s="35" t="n">
        <f aca="false">BA1503-BF1503</f>
        <v>0.0799999999981083</v>
      </c>
      <c r="BH1503" s="19" t="str">
        <f aca="false">IF(BG1503=0,"",IF(BG1503&lt;&gt;BA1503,"erreur de calcul",IF(BD1503&lt;&gt;0,"pas de prix",IF(M1503&lt;&gt; 0,"pas de quantité","pas de prix, ni de quantité"))))</f>
        <v>erreur de calcul</v>
      </c>
      <c r="BI1503" s="19"/>
    </row>
    <row r="1504" customFormat="false" ht="15" hidden="false" customHeight="false" outlineLevel="0" collapsed="false">
      <c r="A1504" s="0" t="n">
        <v>21</v>
      </c>
      <c r="B1504" s="8" t="s">
        <v>24</v>
      </c>
      <c r="C1504" s="9" t="s">
        <v>25</v>
      </c>
      <c r="D1504" s="9" t="s">
        <v>26</v>
      </c>
      <c r="E1504" s="10" t="n">
        <v>1789</v>
      </c>
      <c r="F1504" s="9" t="s">
        <v>27</v>
      </c>
      <c r="G1504" s="9" t="s">
        <v>27</v>
      </c>
      <c r="H1504" s="11" t="n">
        <v>21</v>
      </c>
      <c r="I1504" s="11" t="s">
        <v>174</v>
      </c>
      <c r="J1504" s="14" t="n">
        <v>31</v>
      </c>
      <c r="K1504" s="14"/>
      <c r="L1504" s="16"/>
      <c r="M1504" s="27" t="n">
        <f aca="false">J1504+(K1504/20)+(L1504/240)</f>
        <v>31</v>
      </c>
      <c r="N1504" s="17" t="s">
        <v>64</v>
      </c>
      <c r="O1504" s="11"/>
      <c r="P1504" s="28"/>
      <c r="Q1504" s="28" t="n">
        <f aca="false">P1504*$M1504</f>
        <v>0</v>
      </c>
      <c r="R1504" s="28"/>
      <c r="S1504" s="28" t="n">
        <f aca="false">R1504*$M1504</f>
        <v>0</v>
      </c>
      <c r="T1504" s="28"/>
      <c r="U1504" s="28" t="n">
        <f aca="false">T1504*$M1504</f>
        <v>0</v>
      </c>
      <c r="V1504" s="28"/>
      <c r="W1504" s="28" t="n">
        <f aca="false">V1504*$M1504</f>
        <v>0</v>
      </c>
      <c r="X1504" s="28"/>
      <c r="Y1504" s="28" t="n">
        <f aca="false">X1504*$M1504</f>
        <v>0</v>
      </c>
      <c r="Z1504" s="28"/>
      <c r="AA1504" s="28" t="n">
        <f aca="false">Z1504*$M1504</f>
        <v>0</v>
      </c>
      <c r="AB1504" s="28"/>
      <c r="AC1504" s="28" t="n">
        <f aca="false">AB1504*$M1504</f>
        <v>0</v>
      </c>
      <c r="AD1504" s="28"/>
      <c r="AE1504" s="28" t="n">
        <f aca="false">AD1504*$M1504</f>
        <v>0</v>
      </c>
      <c r="AF1504" s="28" t="n">
        <f aca="false">4599/100</f>
        <v>45.99</v>
      </c>
      <c r="AG1504" s="28" t="n">
        <v>1426</v>
      </c>
      <c r="AH1504" s="28" t="n">
        <f aca="false">12691/100</f>
        <v>126.91</v>
      </c>
      <c r="AI1504" s="28" t="n">
        <v>3934</v>
      </c>
      <c r="AJ1504" s="28"/>
      <c r="AK1504" s="28" t="n">
        <f aca="false">AJ1504*$M1504</f>
        <v>0</v>
      </c>
      <c r="AL1504" s="28"/>
      <c r="AM1504" s="28" t="n">
        <f aca="false">AL1504*$M1504</f>
        <v>0</v>
      </c>
      <c r="AN1504" s="28"/>
      <c r="AO1504" s="28" t="n">
        <f aca="false">AN1504*$M1504</f>
        <v>0</v>
      </c>
      <c r="AP1504" s="28"/>
      <c r="AQ1504" s="28" t="n">
        <f aca="false">AP1504*$M1504</f>
        <v>0</v>
      </c>
      <c r="AR1504" s="28"/>
      <c r="AS1504" s="28" t="n">
        <f aca="false">AR1504*$M1504</f>
        <v>0</v>
      </c>
      <c r="AT1504" s="28"/>
      <c r="AU1504" s="28" t="n">
        <f aca="false">AT1504*$M1504</f>
        <v>0</v>
      </c>
      <c r="AV1504" s="28"/>
      <c r="AW1504" s="28" t="n">
        <f aca="false">AV1504*$M1504</f>
        <v>0</v>
      </c>
      <c r="AX1504" s="28"/>
      <c r="AY1504" s="28" t="n">
        <f aca="false">AX1504*$M1504</f>
        <v>0</v>
      </c>
      <c r="AZ1504" s="30" t="n">
        <f aca="false">17290/100</f>
        <v>172.9</v>
      </c>
      <c r="BA1504" s="11" t="n">
        <v>5360</v>
      </c>
      <c r="BB1504" s="31" t="n">
        <f aca="false">SUM(Q1504,S1504,U1504,W1504,Y1504,AA1504,AC1504,AE1504,AG1504,AI1504,AK1504,AM1504,AO1504,AQ1504,AS1504,AU1504,AW1504,AY1504)</f>
        <v>5360</v>
      </c>
      <c r="BC1504" s="28" t="n">
        <f aca="false">BA1504-BB1504</f>
        <v>0</v>
      </c>
      <c r="BD1504" s="32" t="n">
        <f aca="false">SUM(P1504,R1504,T1504,V1504,X1504,Z1504,AB1504,AD1504,AF1504,AH1504,AJ1504,AL1504,AN1504,AP1504,AR1504,AT1504,AV1504,AX1504)</f>
        <v>172.9</v>
      </c>
      <c r="BE1504" s="33" t="n">
        <f aca="false">AZ1504-BD1504</f>
        <v>0</v>
      </c>
      <c r="BF1504" s="34" t="n">
        <f aca="false">BD1504*M1504</f>
        <v>5359.9</v>
      </c>
      <c r="BG1504" s="35" t="n">
        <f aca="false">BA1504-BF1504</f>
        <v>0.0999999999994543</v>
      </c>
      <c r="BH1504" s="19" t="str">
        <f aca="false">IF(BG1504=0,"",IF(BG1504&lt;&gt;BA1504,"erreur de calcul",IF(BD1504&lt;&gt;0,"pas de prix",IF(M1504&lt;&gt; 0,"pas de quantité","pas de prix, ni de quantité"))))</f>
        <v>erreur de calcul</v>
      </c>
      <c r="BI1504" s="19"/>
    </row>
    <row r="1505" customFormat="false" ht="15" hidden="false" customHeight="false" outlineLevel="0" collapsed="false">
      <c r="A1505" s="0" t="n">
        <v>22</v>
      </c>
      <c r="B1505" s="8" t="s">
        <v>24</v>
      </c>
      <c r="C1505" s="9" t="s">
        <v>25</v>
      </c>
      <c r="D1505" s="9" t="s">
        <v>26</v>
      </c>
      <c r="E1505" s="10" t="n">
        <v>1789</v>
      </c>
      <c r="F1505" s="9" t="s">
        <v>27</v>
      </c>
      <c r="G1505" s="9" t="s">
        <v>27</v>
      </c>
      <c r="H1505" s="11" t="n">
        <v>21</v>
      </c>
      <c r="I1505" s="11" t="s">
        <v>175</v>
      </c>
      <c r="J1505" s="14" t="n">
        <v>120</v>
      </c>
      <c r="K1505" s="14"/>
      <c r="L1505" s="16"/>
      <c r="M1505" s="27" t="n">
        <f aca="false">J1505+(K1505/20)+(L1505/240)</f>
        <v>120</v>
      </c>
      <c r="N1505" s="17" t="s">
        <v>64</v>
      </c>
      <c r="O1505" s="11"/>
      <c r="P1505" s="28"/>
      <c r="Q1505" s="28" t="n">
        <f aca="false">P1505*$M1505</f>
        <v>0</v>
      </c>
      <c r="R1505" s="28"/>
      <c r="S1505" s="28" t="n">
        <f aca="false">R1505*$M1505</f>
        <v>0</v>
      </c>
      <c r="T1505" s="28"/>
      <c r="U1505" s="28" t="n">
        <f aca="false">T1505*$M1505</f>
        <v>0</v>
      </c>
      <c r="V1505" s="28" t="n">
        <f aca="false">2364/100</f>
        <v>23.64</v>
      </c>
      <c r="W1505" s="28" t="n">
        <v>2837</v>
      </c>
      <c r="X1505" s="28"/>
      <c r="Y1505" s="28" t="n">
        <f aca="false">X1505*$M1505</f>
        <v>0</v>
      </c>
      <c r="Z1505" s="28"/>
      <c r="AA1505" s="28" t="n">
        <f aca="false">Z1505*$M1505</f>
        <v>0</v>
      </c>
      <c r="AB1505" s="28"/>
      <c r="AC1505" s="28" t="n">
        <f aca="false">AB1505*$M1505</f>
        <v>0</v>
      </c>
      <c r="AD1505" s="28"/>
      <c r="AE1505" s="28" t="n">
        <f aca="false">AD1505*$M1505</f>
        <v>0</v>
      </c>
      <c r="AF1505" s="28"/>
      <c r="AG1505" s="28" t="n">
        <f aca="false">AF1505*$M1505</f>
        <v>0</v>
      </c>
      <c r="AH1505" s="28"/>
      <c r="AI1505" s="28" t="n">
        <f aca="false">AH1505*$M1505</f>
        <v>0</v>
      </c>
      <c r="AJ1505" s="28"/>
      <c r="AK1505" s="28" t="n">
        <f aca="false">AJ1505*$M1505</f>
        <v>0</v>
      </c>
      <c r="AL1505" s="28"/>
      <c r="AM1505" s="28" t="n">
        <f aca="false">AL1505*$M1505</f>
        <v>0</v>
      </c>
      <c r="AN1505" s="28"/>
      <c r="AO1505" s="28" t="n">
        <f aca="false">AN1505*$M1505</f>
        <v>0</v>
      </c>
      <c r="AP1505" s="28"/>
      <c r="AQ1505" s="28" t="n">
        <f aca="false">AP1505*$M1505</f>
        <v>0</v>
      </c>
      <c r="AR1505" s="28"/>
      <c r="AS1505" s="28" t="n">
        <f aca="false">AR1505*$M1505</f>
        <v>0</v>
      </c>
      <c r="AT1505" s="28"/>
      <c r="AU1505" s="28" t="n">
        <f aca="false">AT1505*$M1505</f>
        <v>0</v>
      </c>
      <c r="AV1505" s="28"/>
      <c r="AW1505" s="28" t="n">
        <f aca="false">AV1505*$M1505</f>
        <v>0</v>
      </c>
      <c r="AX1505" s="28"/>
      <c r="AY1505" s="28" t="n">
        <f aca="false">AX1505*$M1505</f>
        <v>0</v>
      </c>
      <c r="AZ1505" s="30" t="n">
        <f aca="false">2364/100</f>
        <v>23.64</v>
      </c>
      <c r="BA1505" s="11" t="n">
        <v>2837</v>
      </c>
      <c r="BB1505" s="31" t="n">
        <f aca="false">SUM(Q1505,S1505,U1505,W1505,Y1505,AA1505,AC1505,AE1505,AG1505,AI1505,AK1505,AM1505,AO1505,AQ1505,AS1505,AU1505,AW1505,AY1505)</f>
        <v>2837</v>
      </c>
      <c r="BC1505" s="28" t="n">
        <f aca="false">BA1505-BB1505</f>
        <v>0</v>
      </c>
      <c r="BD1505" s="32" t="n">
        <f aca="false">SUM(P1505,R1505,T1505,V1505,X1505,Z1505,AB1505,AD1505,AF1505,AH1505,AJ1505,AL1505,AN1505,AP1505,AR1505,AT1505,AV1505,AX1505)</f>
        <v>23.64</v>
      </c>
      <c r="BE1505" s="33" t="n">
        <f aca="false">AZ1505-BD1505</f>
        <v>0</v>
      </c>
      <c r="BF1505" s="34" t="n">
        <f aca="false">BD1505*M1505</f>
        <v>2836.8</v>
      </c>
      <c r="BG1505" s="35" t="n">
        <f aca="false">BA1505-BF1505</f>
        <v>0.199999999999818</v>
      </c>
      <c r="BH1505" s="19" t="str">
        <f aca="false">IF(BG1505=0,"",IF(BG1505&lt;&gt;BA1505,"erreur de calcul",IF(BD1505&lt;&gt;0,"pas de prix",IF(M1505&lt;&gt; 0,"pas de quantité","pas de prix, ni de quantité"))))</f>
        <v>erreur de calcul</v>
      </c>
      <c r="BI1505" s="19"/>
    </row>
    <row r="1506" customFormat="false" ht="15" hidden="false" customHeight="false" outlineLevel="0" collapsed="false">
      <c r="A1506" s="0" t="n">
        <v>23</v>
      </c>
      <c r="B1506" s="8" t="s">
        <v>24</v>
      </c>
      <c r="C1506" s="9" t="s">
        <v>25</v>
      </c>
      <c r="D1506" s="9" t="s">
        <v>26</v>
      </c>
      <c r="E1506" s="10" t="n">
        <v>1789</v>
      </c>
      <c r="F1506" s="9" t="s">
        <v>27</v>
      </c>
      <c r="G1506" s="9" t="s">
        <v>27</v>
      </c>
      <c r="H1506" s="11" t="n">
        <v>21</v>
      </c>
      <c r="I1506" s="11" t="s">
        <v>176</v>
      </c>
      <c r="J1506" s="14" t="n">
        <v>170</v>
      </c>
      <c r="K1506" s="14"/>
      <c r="L1506" s="16"/>
      <c r="M1506" s="27" t="n">
        <f aca="false">J1506+(K1506/20)+(L1506/240)</f>
        <v>170</v>
      </c>
      <c r="N1506" s="17" t="s">
        <v>64</v>
      </c>
      <c r="O1506" s="11"/>
      <c r="P1506" s="28" t="n">
        <f aca="false">9760/100</f>
        <v>97.6</v>
      </c>
      <c r="Q1506" s="28" t="n">
        <v>16592</v>
      </c>
      <c r="R1506" s="28"/>
      <c r="S1506" s="28" t="n">
        <f aca="false">R1506*$M1506</f>
        <v>0</v>
      </c>
      <c r="T1506" s="28"/>
      <c r="U1506" s="28" t="n">
        <f aca="false">T1506*$M1506</f>
        <v>0</v>
      </c>
      <c r="V1506" s="28"/>
      <c r="W1506" s="28" t="n">
        <f aca="false">V1506*$M1506</f>
        <v>0</v>
      </c>
      <c r="X1506" s="28" t="n">
        <f aca="false">1589/100</f>
        <v>15.89</v>
      </c>
      <c r="Y1506" s="28" t="n">
        <v>2701</v>
      </c>
      <c r="Z1506" s="28"/>
      <c r="AA1506" s="28" t="n">
        <f aca="false">Z1506*$M1506</f>
        <v>0</v>
      </c>
      <c r="AB1506" s="28"/>
      <c r="AC1506" s="28" t="n">
        <f aca="false">AB1506*$M1506</f>
        <v>0</v>
      </c>
      <c r="AD1506" s="28"/>
      <c r="AE1506" s="28" t="n">
        <f aca="false">AD1506*$M1506</f>
        <v>0</v>
      </c>
      <c r="AF1506" s="28"/>
      <c r="AG1506" s="28" t="n">
        <f aca="false">AF1506*$M1506</f>
        <v>0</v>
      </c>
      <c r="AH1506" s="28"/>
      <c r="AI1506" s="28" t="n">
        <f aca="false">AH1506*$M1506</f>
        <v>0</v>
      </c>
      <c r="AJ1506" s="28"/>
      <c r="AK1506" s="28" t="n">
        <f aca="false">AJ1506*$M1506</f>
        <v>0</v>
      </c>
      <c r="AL1506" s="28"/>
      <c r="AM1506" s="28" t="n">
        <f aca="false">AL1506*$M1506</f>
        <v>0</v>
      </c>
      <c r="AN1506" s="28"/>
      <c r="AO1506" s="28" t="n">
        <f aca="false">AN1506*$M1506</f>
        <v>0</v>
      </c>
      <c r="AP1506" s="28"/>
      <c r="AQ1506" s="28" t="n">
        <f aca="false">AP1506*$M1506</f>
        <v>0</v>
      </c>
      <c r="AR1506" s="28"/>
      <c r="AS1506" s="28" t="n">
        <f aca="false">AR1506*$M1506</f>
        <v>0</v>
      </c>
      <c r="AT1506" s="28"/>
      <c r="AU1506" s="28" t="n">
        <f aca="false">AT1506*$M1506</f>
        <v>0</v>
      </c>
      <c r="AV1506" s="28"/>
      <c r="AW1506" s="28" t="n">
        <f aca="false">AV1506*$M1506</f>
        <v>0</v>
      </c>
      <c r="AX1506" s="28"/>
      <c r="AY1506" s="28" t="n">
        <f aca="false">AX1506*$M1506</f>
        <v>0</v>
      </c>
      <c r="AZ1506" s="30" t="n">
        <f aca="false">11349/100</f>
        <v>113.49</v>
      </c>
      <c r="BA1506" s="11" t="n">
        <v>19293</v>
      </c>
      <c r="BB1506" s="31" t="n">
        <f aca="false">SUM(Q1506,S1506,U1506,W1506,Y1506,AA1506,AC1506,AE1506,AG1506,AI1506,AK1506,AM1506,AO1506,AQ1506,AS1506,AU1506,AW1506,AY1506)</f>
        <v>19293</v>
      </c>
      <c r="BC1506" s="28" t="n">
        <f aca="false">BA1506-BB1506</f>
        <v>0</v>
      </c>
      <c r="BD1506" s="32" t="n">
        <f aca="false">SUM(P1506,R1506,T1506,V1506,X1506,Z1506,AB1506,AD1506,AF1506,AH1506,AJ1506,AL1506,AN1506,AP1506,AR1506,AT1506,AV1506,AX1506)</f>
        <v>113.49</v>
      </c>
      <c r="BE1506" s="33" t="n">
        <f aca="false">AZ1506-BD1506</f>
        <v>0</v>
      </c>
      <c r="BF1506" s="34" t="n">
        <f aca="false">BD1506*M1506</f>
        <v>19293.3</v>
      </c>
      <c r="BG1506" s="35" t="n">
        <f aca="false">BA1506-BF1506</f>
        <v>-0.299999999999272</v>
      </c>
      <c r="BH1506" s="19" t="str">
        <f aca="false">IF(BG1506=0,"",IF(BG1506&lt;&gt;BA1506,"erreur de calcul",IF(BD1506&lt;&gt;0,"pas de prix",IF(M1506&lt;&gt; 0,"pas de quantité","pas de prix, ni de quantité"))))</f>
        <v>erreur de calcul</v>
      </c>
      <c r="BI1506" s="19"/>
    </row>
    <row r="1507" customFormat="false" ht="15" hidden="false" customHeight="false" outlineLevel="0" collapsed="false">
      <c r="A1507" s="0" t="n">
        <v>24</v>
      </c>
      <c r="B1507" s="8" t="s">
        <v>24</v>
      </c>
      <c r="C1507" s="9" t="s">
        <v>25</v>
      </c>
      <c r="D1507" s="9" t="s">
        <v>26</v>
      </c>
      <c r="E1507" s="10" t="n">
        <v>1789</v>
      </c>
      <c r="F1507" s="9" t="s">
        <v>27</v>
      </c>
      <c r="G1507" s="9" t="s">
        <v>27</v>
      </c>
      <c r="H1507" s="11" t="n">
        <v>21</v>
      </c>
      <c r="I1507" s="11" t="s">
        <v>177</v>
      </c>
      <c r="J1507" s="14" t="n">
        <v>9</v>
      </c>
      <c r="K1507" s="14"/>
      <c r="L1507" s="16"/>
      <c r="M1507" s="27" t="n">
        <f aca="false">J1507+(K1507/20)+(L1507/240)</f>
        <v>9</v>
      </c>
      <c r="N1507" s="17" t="s">
        <v>66</v>
      </c>
      <c r="O1507" s="11"/>
      <c r="P1507" s="28"/>
      <c r="Q1507" s="28" t="n">
        <f aca="false">P1507*$M1507</f>
        <v>0</v>
      </c>
      <c r="R1507" s="28" t="n">
        <v>349</v>
      </c>
      <c r="S1507" s="28" t="n">
        <v>3141</v>
      </c>
      <c r="T1507" s="28"/>
      <c r="U1507" s="28" t="n">
        <f aca="false">T1507*$M1507</f>
        <v>0</v>
      </c>
      <c r="V1507" s="28" t="n">
        <v>315</v>
      </c>
      <c r="W1507" s="28" t="n">
        <v>2835</v>
      </c>
      <c r="X1507" s="28" t="n">
        <v>733</v>
      </c>
      <c r="Y1507" s="28" t="n">
        <v>6597</v>
      </c>
      <c r="Z1507" s="28"/>
      <c r="AA1507" s="28" t="n">
        <f aca="false">Z1507*$M1507</f>
        <v>0</v>
      </c>
      <c r="AB1507" s="28" t="n">
        <v>162</v>
      </c>
      <c r="AC1507" s="28" t="n">
        <v>1458</v>
      </c>
      <c r="AD1507" s="28"/>
      <c r="AE1507" s="28" t="n">
        <f aca="false">AD1507*$M1507</f>
        <v>0</v>
      </c>
      <c r="AF1507" s="28"/>
      <c r="AG1507" s="28" t="n">
        <f aca="false">AF1507*$M1507</f>
        <v>0</v>
      </c>
      <c r="AH1507" s="28"/>
      <c r="AI1507" s="28" t="n">
        <f aca="false">AH1507*$M1507</f>
        <v>0</v>
      </c>
      <c r="AJ1507" s="28"/>
      <c r="AK1507" s="28" t="n">
        <f aca="false">AJ1507*$M1507</f>
        <v>0</v>
      </c>
      <c r="AL1507" s="28"/>
      <c r="AM1507" s="28" t="n">
        <f aca="false">AL1507*$M1507</f>
        <v>0</v>
      </c>
      <c r="AN1507" s="28"/>
      <c r="AO1507" s="28" t="n">
        <f aca="false">AN1507*$M1507</f>
        <v>0</v>
      </c>
      <c r="AP1507" s="28"/>
      <c r="AQ1507" s="28" t="n">
        <f aca="false">AP1507*$M1507</f>
        <v>0</v>
      </c>
      <c r="AR1507" s="28"/>
      <c r="AS1507" s="28" t="n">
        <f aca="false">AR1507*$M1507</f>
        <v>0</v>
      </c>
      <c r="AT1507" s="28"/>
      <c r="AU1507" s="28" t="n">
        <f aca="false">AT1507*$M1507</f>
        <v>0</v>
      </c>
      <c r="AV1507" s="28"/>
      <c r="AW1507" s="28" t="n">
        <f aca="false">AV1507*$M1507</f>
        <v>0</v>
      </c>
      <c r="AX1507" s="28"/>
      <c r="AY1507" s="28" t="n">
        <f aca="false">AX1507*$M1507</f>
        <v>0</v>
      </c>
      <c r="AZ1507" s="30" t="n">
        <f aca="false">1559</f>
        <v>1559</v>
      </c>
      <c r="BA1507" s="11" t="n">
        <v>14031</v>
      </c>
      <c r="BB1507" s="31" t="n">
        <f aca="false">SUM(Q1507,S1507,U1507,W1507,Y1507,AA1507,AC1507,AE1507,AG1507,AI1507,AK1507,AM1507,AO1507,AQ1507,AS1507,AU1507,AW1507,AY1507)</f>
        <v>14031</v>
      </c>
      <c r="BC1507" s="28" t="n">
        <f aca="false">BA1507-BB1507</f>
        <v>0</v>
      </c>
      <c r="BD1507" s="32" t="n">
        <f aca="false">SUM(P1507,R1507,T1507,V1507,X1507,Z1507,AB1507,AD1507,AF1507,AH1507,AJ1507,AL1507,AN1507,AP1507,AR1507,AT1507,AV1507,AX1507)</f>
        <v>1559</v>
      </c>
      <c r="BE1507" s="33" t="n">
        <f aca="false">AZ1507-BD1507</f>
        <v>0</v>
      </c>
      <c r="BF1507" s="34" t="n">
        <f aca="false">BD1507*M1507</f>
        <v>14031</v>
      </c>
      <c r="BG1507" s="35" t="n">
        <f aca="false">BA1507-BF1507</f>
        <v>0</v>
      </c>
      <c r="BH1507" s="19" t="str">
        <f aca="false">IF(BG1507=0,"",IF(BG1507&lt;&gt;BA1507,"erreur de calcul",IF(BD1507&lt;&gt;0,"pas de prix",IF(M1507&lt;&gt; 0,"pas de quantité","pas de prix, ni de quantité"))))</f>
        <v/>
      </c>
      <c r="BI1507" s="19"/>
    </row>
    <row r="1508" customFormat="false" ht="15" hidden="false" customHeight="false" outlineLevel="0" collapsed="false">
      <c r="A1508" s="0" t="n">
        <v>25</v>
      </c>
      <c r="B1508" s="8" t="s">
        <v>24</v>
      </c>
      <c r="C1508" s="9" t="s">
        <v>25</v>
      </c>
      <c r="D1508" s="9" t="s">
        <v>26</v>
      </c>
      <c r="E1508" s="10" t="n">
        <v>1789</v>
      </c>
      <c r="F1508" s="9" t="s">
        <v>27</v>
      </c>
      <c r="G1508" s="9" t="s">
        <v>27</v>
      </c>
      <c r="H1508" s="11" t="n">
        <v>21</v>
      </c>
      <c r="I1508" s="11" t="s">
        <v>178</v>
      </c>
      <c r="J1508" s="14" t="n">
        <v>125</v>
      </c>
      <c r="K1508" s="14"/>
      <c r="L1508" s="16"/>
      <c r="M1508" s="27" t="n">
        <f aca="false">J1508+(K1508/20)+(L1508/240)</f>
        <v>125</v>
      </c>
      <c r="N1508" s="17" t="s">
        <v>64</v>
      </c>
      <c r="O1508" s="11"/>
      <c r="P1508" s="28"/>
      <c r="Q1508" s="28" t="n">
        <f aca="false">P1508*$M1508</f>
        <v>0</v>
      </c>
      <c r="R1508" s="28"/>
      <c r="S1508" s="28" t="n">
        <f aca="false">R1508*$M1508</f>
        <v>0</v>
      </c>
      <c r="T1508" s="28"/>
      <c r="U1508" s="28" t="n">
        <f aca="false">T1508*$M1508</f>
        <v>0</v>
      </c>
      <c r="V1508" s="28" t="n">
        <f aca="false">10764/100</f>
        <v>107.64</v>
      </c>
      <c r="W1508" s="28" t="n">
        <v>13455</v>
      </c>
      <c r="X1508" s="28" t="n">
        <f aca="false">13215/100</f>
        <v>132.15</v>
      </c>
      <c r="Y1508" s="28" t="n">
        <v>16519</v>
      </c>
      <c r="Z1508" s="28"/>
      <c r="AA1508" s="28" t="n">
        <f aca="false">Z1508*$M1508</f>
        <v>0</v>
      </c>
      <c r="AB1508" s="28" t="n">
        <f aca="false">188461/100</f>
        <v>1884.61</v>
      </c>
      <c r="AC1508" s="28" t="n">
        <v>235576</v>
      </c>
      <c r="AD1508" s="28"/>
      <c r="AE1508" s="28" t="n">
        <f aca="false">AD1508*$M1508</f>
        <v>0</v>
      </c>
      <c r="AF1508" s="28"/>
      <c r="AG1508" s="28" t="n">
        <f aca="false">AF1508*$M1508</f>
        <v>0</v>
      </c>
      <c r="AH1508" s="28"/>
      <c r="AI1508" s="28" t="n">
        <f aca="false">AH1508*$M1508</f>
        <v>0</v>
      </c>
      <c r="AJ1508" s="28"/>
      <c r="AK1508" s="28" t="n">
        <f aca="false">AJ1508*$M1508</f>
        <v>0</v>
      </c>
      <c r="AL1508" s="28"/>
      <c r="AM1508" s="28" t="n">
        <f aca="false">AL1508*$M1508</f>
        <v>0</v>
      </c>
      <c r="AN1508" s="28"/>
      <c r="AO1508" s="28" t="n">
        <f aca="false">AN1508*$M1508</f>
        <v>0</v>
      </c>
      <c r="AP1508" s="28"/>
      <c r="AQ1508" s="28" t="n">
        <f aca="false">AP1508*$M1508</f>
        <v>0</v>
      </c>
      <c r="AR1508" s="28"/>
      <c r="AS1508" s="28" t="n">
        <f aca="false">AR1508*$M1508</f>
        <v>0</v>
      </c>
      <c r="AT1508" s="28"/>
      <c r="AU1508" s="28" t="n">
        <f aca="false">AT1508*$M1508</f>
        <v>0</v>
      </c>
      <c r="AV1508" s="28"/>
      <c r="AW1508" s="28" t="n">
        <f aca="false">AV1508*$M1508</f>
        <v>0</v>
      </c>
      <c r="AX1508" s="28"/>
      <c r="AY1508" s="28" t="n">
        <f aca="false">AX1508*$M1508</f>
        <v>0</v>
      </c>
      <c r="AZ1508" s="30" t="n">
        <f aca="false">212440/100</f>
        <v>2124.4</v>
      </c>
      <c r="BA1508" s="11" t="n">
        <v>265550</v>
      </c>
      <c r="BB1508" s="31" t="n">
        <f aca="false">SUM(Q1508,S1508,U1508,W1508,Y1508,AA1508,AC1508,AE1508,AG1508,AI1508,AK1508,AM1508,AO1508,AQ1508,AS1508,AU1508,AW1508,AY1508)</f>
        <v>265550</v>
      </c>
      <c r="BC1508" s="28" t="n">
        <f aca="false">BA1508-BB1508</f>
        <v>0</v>
      </c>
      <c r="BD1508" s="32" t="n">
        <f aca="false">SUM(P1508,R1508,T1508,V1508,X1508,Z1508,AB1508,AD1508,AF1508,AH1508,AJ1508,AL1508,AN1508,AP1508,AR1508,AT1508,AV1508,AX1508)</f>
        <v>2124.4</v>
      </c>
      <c r="BE1508" s="33" t="n">
        <f aca="false">AZ1508-BD1508</f>
        <v>0</v>
      </c>
      <c r="BF1508" s="34" t="n">
        <f aca="false">BD1508*M1508</f>
        <v>265550</v>
      </c>
      <c r="BG1508" s="35" t="n">
        <f aca="false">BA1508-BF1508</f>
        <v>0</v>
      </c>
      <c r="BH1508" s="19" t="str">
        <f aca="false">IF(BG1508=0,"",IF(BG1508&lt;&gt;BA1508,"erreur de calcul",IF(BD1508&lt;&gt;0,"pas de prix",IF(M1508&lt;&gt; 0,"pas de quantité","pas de prix, ni de quantité"))))</f>
        <v/>
      </c>
      <c r="BI1508" s="19"/>
    </row>
    <row r="1509" customFormat="false" ht="15" hidden="false" customHeight="false" outlineLevel="0" collapsed="false">
      <c r="A1509" s="0" t="n">
        <v>26</v>
      </c>
      <c r="B1509" s="8" t="s">
        <v>24</v>
      </c>
      <c r="C1509" s="9" t="s">
        <v>25</v>
      </c>
      <c r="D1509" s="9" t="s">
        <v>26</v>
      </c>
      <c r="E1509" s="10" t="n">
        <v>1789</v>
      </c>
      <c r="F1509" s="9" t="s">
        <v>27</v>
      </c>
      <c r="G1509" s="9" t="s">
        <v>27</v>
      </c>
      <c r="H1509" s="11" t="n">
        <v>21</v>
      </c>
      <c r="I1509" s="11" t="s">
        <v>179</v>
      </c>
      <c r="J1509" s="14" t="n">
        <v>7</v>
      </c>
      <c r="K1509" s="14"/>
      <c r="L1509" s="16"/>
      <c r="M1509" s="27" t="n">
        <f aca="false">J1509+(K1509/20)+(L1509/240)</f>
        <v>7</v>
      </c>
      <c r="N1509" s="17" t="s">
        <v>66</v>
      </c>
      <c r="O1509" s="11"/>
      <c r="P1509" s="28" t="n">
        <v>8441</v>
      </c>
      <c r="Q1509" s="28" t="n">
        <v>59087</v>
      </c>
      <c r="R1509" s="28"/>
      <c r="S1509" s="28" t="n">
        <f aca="false">R1509*$M1509</f>
        <v>0</v>
      </c>
      <c r="T1509" s="28"/>
      <c r="U1509" s="28" t="n">
        <f aca="false">T1509*$M1509</f>
        <v>0</v>
      </c>
      <c r="V1509" s="28"/>
      <c r="W1509" s="28" t="n">
        <f aca="false">V1509*$M1509</f>
        <v>0</v>
      </c>
      <c r="X1509" s="28"/>
      <c r="Y1509" s="28" t="n">
        <f aca="false">X1509*$M1509</f>
        <v>0</v>
      </c>
      <c r="Z1509" s="28" t="n">
        <v>357</v>
      </c>
      <c r="AA1509" s="28" t="n">
        <v>2499</v>
      </c>
      <c r="AB1509" s="28"/>
      <c r="AC1509" s="28" t="n">
        <f aca="false">AB1509*$M1509</f>
        <v>0</v>
      </c>
      <c r="AD1509" s="28"/>
      <c r="AE1509" s="28" t="n">
        <f aca="false">AD1509*$M1509</f>
        <v>0</v>
      </c>
      <c r="AF1509" s="28"/>
      <c r="AG1509" s="28" t="n">
        <f aca="false">AF1509*$M1509</f>
        <v>0</v>
      </c>
      <c r="AH1509" s="28"/>
      <c r="AI1509" s="28" t="n">
        <f aca="false">AH1509*$M1509</f>
        <v>0</v>
      </c>
      <c r="AJ1509" s="28"/>
      <c r="AK1509" s="28" t="n">
        <f aca="false">AJ1509*$M1509</f>
        <v>0</v>
      </c>
      <c r="AL1509" s="28"/>
      <c r="AM1509" s="28" t="n">
        <f aca="false">AL1509*$M1509</f>
        <v>0</v>
      </c>
      <c r="AN1509" s="28"/>
      <c r="AO1509" s="28" t="n">
        <f aca="false">AN1509*$M1509</f>
        <v>0</v>
      </c>
      <c r="AP1509" s="28"/>
      <c r="AQ1509" s="28" t="n">
        <f aca="false">AP1509*$M1509</f>
        <v>0</v>
      </c>
      <c r="AR1509" s="28"/>
      <c r="AS1509" s="28" t="n">
        <f aca="false">AR1509*$M1509</f>
        <v>0</v>
      </c>
      <c r="AT1509" s="28"/>
      <c r="AU1509" s="28" t="n">
        <f aca="false">AT1509*$M1509</f>
        <v>0</v>
      </c>
      <c r="AV1509" s="28"/>
      <c r="AW1509" s="28" t="n">
        <f aca="false">AV1509*$M1509</f>
        <v>0</v>
      </c>
      <c r="AX1509" s="28"/>
      <c r="AY1509" s="28" t="n">
        <f aca="false">AX1509*$M1509</f>
        <v>0</v>
      </c>
      <c r="AZ1509" s="30" t="n">
        <v>8798</v>
      </c>
      <c r="BA1509" s="11" t="n">
        <v>61586</v>
      </c>
      <c r="BB1509" s="31" t="n">
        <f aca="false">SUM(Q1509,S1509,U1509,W1509,Y1509,AA1509,AC1509,AE1509,AG1509,AI1509,AK1509,AM1509,AO1509,AQ1509,AS1509,AU1509,AW1509,AY1509)</f>
        <v>61586</v>
      </c>
      <c r="BC1509" s="28" t="n">
        <f aca="false">BA1509-BB1509</f>
        <v>0</v>
      </c>
      <c r="BD1509" s="32" t="n">
        <f aca="false">SUM(P1509,R1509,T1509,V1509,X1509,Z1509,AB1509,AD1509,AF1509,AH1509,AJ1509,AL1509,AN1509,AP1509,AR1509,AT1509,AV1509,AX1509)</f>
        <v>8798</v>
      </c>
      <c r="BE1509" s="33" t="n">
        <f aca="false">AZ1509-BD1509</f>
        <v>0</v>
      </c>
      <c r="BF1509" s="34" t="n">
        <f aca="false">BD1509*M1509</f>
        <v>61586</v>
      </c>
      <c r="BG1509" s="35" t="n">
        <f aca="false">BA1509-BF1509</f>
        <v>0</v>
      </c>
      <c r="BH1509" s="19" t="str">
        <f aca="false">IF(BG1509=0,"",IF(BG1509&lt;&gt;BA1509,"erreur de calcul",IF(BD1509&lt;&gt;0,"pas de prix",IF(M1509&lt;&gt; 0,"pas de quantité","pas de prix, ni de quantité"))))</f>
        <v/>
      </c>
      <c r="BI1509" s="19"/>
    </row>
    <row r="1510" customFormat="false" ht="15" hidden="false" customHeight="false" outlineLevel="0" collapsed="false">
      <c r="A1510" s="0" t="n">
        <v>27</v>
      </c>
      <c r="B1510" s="8" t="s">
        <v>24</v>
      </c>
      <c r="C1510" s="9" t="s">
        <v>25</v>
      </c>
      <c r="D1510" s="9" t="s">
        <v>26</v>
      </c>
      <c r="E1510" s="10" t="n">
        <v>1789</v>
      </c>
      <c r="F1510" s="9" t="s">
        <v>27</v>
      </c>
      <c r="G1510" s="9" t="s">
        <v>27</v>
      </c>
      <c r="H1510" s="11" t="n">
        <v>21</v>
      </c>
      <c r="I1510" s="11" t="s">
        <v>180</v>
      </c>
      <c r="J1510" s="14" t="n">
        <v>9</v>
      </c>
      <c r="K1510" s="14"/>
      <c r="L1510" s="16"/>
      <c r="M1510" s="27" t="n">
        <f aca="false">J1510+(K1510/20)+(L1510/240)</f>
        <v>9</v>
      </c>
      <c r="N1510" s="17" t="s">
        <v>64</v>
      </c>
      <c r="O1510" s="11"/>
      <c r="P1510" s="28" t="n">
        <f aca="false">22662/100</f>
        <v>226.62</v>
      </c>
      <c r="Q1510" s="28" t="n">
        <v>2039</v>
      </c>
      <c r="R1510" s="28"/>
      <c r="S1510" s="28" t="n">
        <f aca="false">R1510*$M1510</f>
        <v>0</v>
      </c>
      <c r="T1510" s="28"/>
      <c r="U1510" s="28" t="n">
        <f aca="false">T1510*$M1510</f>
        <v>0</v>
      </c>
      <c r="V1510" s="28"/>
      <c r="W1510" s="28" t="n">
        <f aca="false">V1510*$M1510</f>
        <v>0</v>
      </c>
      <c r="X1510" s="28"/>
      <c r="Y1510" s="28" t="n">
        <f aca="false">X1510*$M1510</f>
        <v>0</v>
      </c>
      <c r="Z1510" s="28"/>
      <c r="AA1510" s="28" t="n">
        <f aca="false">Z1510*$M1510</f>
        <v>0</v>
      </c>
      <c r="AB1510" s="28"/>
      <c r="AC1510" s="28" t="n">
        <f aca="false">AB1510*$M1510</f>
        <v>0</v>
      </c>
      <c r="AD1510" s="28"/>
      <c r="AE1510" s="28" t="n">
        <f aca="false">AD1510*$M1510</f>
        <v>0</v>
      </c>
      <c r="AF1510" s="28"/>
      <c r="AG1510" s="28" t="n">
        <f aca="false">AF1510*$M1510</f>
        <v>0</v>
      </c>
      <c r="AH1510" s="28"/>
      <c r="AI1510" s="28" t="n">
        <f aca="false">AH1510*$M1510</f>
        <v>0</v>
      </c>
      <c r="AJ1510" s="28"/>
      <c r="AK1510" s="28" t="n">
        <f aca="false">AJ1510*$M1510</f>
        <v>0</v>
      </c>
      <c r="AL1510" s="28"/>
      <c r="AM1510" s="28" t="n">
        <f aca="false">AL1510*$M1510</f>
        <v>0</v>
      </c>
      <c r="AN1510" s="28"/>
      <c r="AO1510" s="28" t="n">
        <f aca="false">AN1510*$M1510</f>
        <v>0</v>
      </c>
      <c r="AP1510" s="28"/>
      <c r="AQ1510" s="28" t="n">
        <f aca="false">AP1510*$M1510</f>
        <v>0</v>
      </c>
      <c r="AR1510" s="28"/>
      <c r="AS1510" s="28" t="n">
        <f aca="false">AR1510*$M1510</f>
        <v>0</v>
      </c>
      <c r="AT1510" s="28"/>
      <c r="AU1510" s="28" t="n">
        <f aca="false">AT1510*$M1510</f>
        <v>0</v>
      </c>
      <c r="AV1510" s="28"/>
      <c r="AW1510" s="28" t="n">
        <f aca="false">AV1510*$M1510</f>
        <v>0</v>
      </c>
      <c r="AX1510" s="28"/>
      <c r="AY1510" s="28" t="n">
        <f aca="false">AX1510*$M1510</f>
        <v>0</v>
      </c>
      <c r="AZ1510" s="30" t="n">
        <f aca="false">22662/100</f>
        <v>226.62</v>
      </c>
      <c r="BA1510" s="11" t="n">
        <v>2039</v>
      </c>
      <c r="BB1510" s="31" t="n">
        <f aca="false">SUM(Q1510,S1510,U1510,W1510,Y1510,AA1510,AC1510,AE1510,AG1510,AI1510,AK1510,AM1510,AO1510,AQ1510,AS1510,AU1510,AW1510,AY1510)</f>
        <v>2039</v>
      </c>
      <c r="BC1510" s="28" t="n">
        <f aca="false">BA1510-BB1510</f>
        <v>0</v>
      </c>
      <c r="BD1510" s="32" t="n">
        <f aca="false">SUM(P1510,R1510,T1510,V1510,X1510,Z1510,AB1510,AD1510,AF1510,AH1510,AJ1510,AL1510,AN1510,AP1510,AR1510,AT1510,AV1510,AX1510)</f>
        <v>226.62</v>
      </c>
      <c r="BE1510" s="33" t="n">
        <f aca="false">AZ1510-BD1510</f>
        <v>0</v>
      </c>
      <c r="BF1510" s="34" t="n">
        <f aca="false">BD1510*M1510</f>
        <v>2039.58</v>
      </c>
      <c r="BG1510" s="35" t="n">
        <f aca="false">BA1510-BF1510</f>
        <v>-0.579999999999927</v>
      </c>
      <c r="BH1510" s="19" t="str">
        <f aca="false">IF(BG1510=0,"",IF(BG1510&lt;&gt;BA1510,"erreur de calcul",IF(BD1510&lt;&gt;0,"pas de prix",IF(M1510&lt;&gt; 0,"pas de quantité","pas de prix, ni de quantité"))))</f>
        <v>erreur de calcul</v>
      </c>
      <c r="BI1510" s="19"/>
    </row>
    <row r="1511" customFormat="false" ht="15" hidden="false" customHeight="false" outlineLevel="0" collapsed="false">
      <c r="A1511" s="0" t="n">
        <v>28</v>
      </c>
      <c r="B1511" s="8" t="s">
        <v>24</v>
      </c>
      <c r="C1511" s="9" t="s">
        <v>25</v>
      </c>
      <c r="D1511" s="9" t="s">
        <v>26</v>
      </c>
      <c r="E1511" s="10" t="n">
        <v>1789</v>
      </c>
      <c r="F1511" s="9" t="s">
        <v>27</v>
      </c>
      <c r="G1511" s="9" t="s">
        <v>27</v>
      </c>
      <c r="H1511" s="11" t="n">
        <v>21</v>
      </c>
      <c r="I1511" s="11" t="s">
        <v>181</v>
      </c>
      <c r="J1511" s="14" t="n">
        <v>8</v>
      </c>
      <c r="K1511" s="14" t="n">
        <v>10</v>
      </c>
      <c r="L1511" s="16"/>
      <c r="M1511" s="27" t="n">
        <f aca="false">J1511+(K1511/20)+(L1511/240)</f>
        <v>8.5</v>
      </c>
      <c r="N1511" s="17" t="s">
        <v>66</v>
      </c>
      <c r="O1511" s="11"/>
      <c r="P1511" s="28" t="n">
        <v>1770</v>
      </c>
      <c r="Q1511" s="28" t="n">
        <v>15045</v>
      </c>
      <c r="R1511" s="28"/>
      <c r="S1511" s="28" t="n">
        <f aca="false">R1511*$M1511</f>
        <v>0</v>
      </c>
      <c r="T1511" s="28"/>
      <c r="U1511" s="28" t="n">
        <f aca="false">T1511*$M1511</f>
        <v>0</v>
      </c>
      <c r="V1511" s="28"/>
      <c r="W1511" s="28" t="n">
        <f aca="false">V1511*$M1511</f>
        <v>0</v>
      </c>
      <c r="X1511" s="28"/>
      <c r="Y1511" s="28" t="n">
        <f aca="false">X1511*$M1511</f>
        <v>0</v>
      </c>
      <c r="Z1511" s="28"/>
      <c r="AA1511" s="28" t="n">
        <f aca="false">Z1511*$M1511</f>
        <v>0</v>
      </c>
      <c r="AB1511" s="28"/>
      <c r="AC1511" s="28" t="n">
        <f aca="false">AB1511*$M1511</f>
        <v>0</v>
      </c>
      <c r="AD1511" s="28"/>
      <c r="AE1511" s="28" t="n">
        <f aca="false">AD1511*$M1511</f>
        <v>0</v>
      </c>
      <c r="AF1511" s="28"/>
      <c r="AG1511" s="28" t="n">
        <f aca="false">AF1511*$M1511</f>
        <v>0</v>
      </c>
      <c r="AH1511" s="28" t="n">
        <v>323</v>
      </c>
      <c r="AI1511" s="28" t="n">
        <v>2745</v>
      </c>
      <c r="AJ1511" s="28"/>
      <c r="AK1511" s="28" t="n">
        <f aca="false">AJ1511*$M1511</f>
        <v>0</v>
      </c>
      <c r="AL1511" s="28"/>
      <c r="AM1511" s="28" t="n">
        <f aca="false">AL1511*$M1511</f>
        <v>0</v>
      </c>
      <c r="AN1511" s="28"/>
      <c r="AO1511" s="28" t="n">
        <f aca="false">AN1511*$M1511</f>
        <v>0</v>
      </c>
      <c r="AP1511" s="28"/>
      <c r="AQ1511" s="28" t="n">
        <f aca="false">AP1511*$M1511</f>
        <v>0</v>
      </c>
      <c r="AR1511" s="28"/>
      <c r="AS1511" s="28" t="n">
        <f aca="false">AR1511*$M1511</f>
        <v>0</v>
      </c>
      <c r="AT1511" s="28"/>
      <c r="AU1511" s="28" t="n">
        <f aca="false">AT1511*$M1511</f>
        <v>0</v>
      </c>
      <c r="AV1511" s="28"/>
      <c r="AW1511" s="28" t="n">
        <f aca="false">AV1511*$M1511</f>
        <v>0</v>
      </c>
      <c r="AX1511" s="28"/>
      <c r="AY1511" s="28" t="n">
        <f aca="false">AX1511*$M1511</f>
        <v>0</v>
      </c>
      <c r="AZ1511" s="30" t="n">
        <v>2093</v>
      </c>
      <c r="BA1511" s="11" t="n">
        <v>17790</v>
      </c>
      <c r="BB1511" s="31" t="n">
        <f aca="false">SUM(Q1511,S1511,U1511,W1511,Y1511,AA1511,AC1511,AE1511,AG1511,AI1511,AK1511,AM1511,AO1511,AQ1511,AS1511,AU1511,AW1511,AY1511)</f>
        <v>17790</v>
      </c>
      <c r="BC1511" s="28" t="n">
        <f aca="false">BA1511-BB1511</f>
        <v>0</v>
      </c>
      <c r="BD1511" s="32" t="n">
        <f aca="false">SUM(P1511,R1511,T1511,V1511,X1511,Z1511,AB1511,AD1511,AF1511,AH1511,AJ1511,AL1511,AN1511,AP1511,AR1511,AT1511,AV1511,AX1511)</f>
        <v>2093</v>
      </c>
      <c r="BE1511" s="33" t="n">
        <f aca="false">AZ1511-BD1511</f>
        <v>0</v>
      </c>
      <c r="BF1511" s="34" t="n">
        <f aca="false">BD1511*M1511</f>
        <v>17790.5</v>
      </c>
      <c r="BG1511" s="35" t="n">
        <f aca="false">BA1511-BF1511</f>
        <v>-0.5</v>
      </c>
      <c r="BH1511" s="19" t="str">
        <f aca="false">IF(BG1511=0,"",IF(BG1511&lt;&gt;BA1511,"erreur de calcul",IF(BD1511&lt;&gt;0,"pas de prix",IF(M1511&lt;&gt; 0,"pas de quantité","pas de prix, ni de quantité"))))</f>
        <v>erreur de calcul</v>
      </c>
      <c r="BI1511" s="19"/>
    </row>
    <row r="1512" customFormat="false" ht="15" hidden="false" customHeight="false" outlineLevel="0" collapsed="false">
      <c r="A1512" s="0" t="n">
        <v>29</v>
      </c>
      <c r="B1512" s="8" t="s">
        <v>24</v>
      </c>
      <c r="C1512" s="9" t="s">
        <v>25</v>
      </c>
      <c r="D1512" s="9" t="s">
        <v>26</v>
      </c>
      <c r="E1512" s="10" t="n">
        <v>1789</v>
      </c>
      <c r="F1512" s="9" t="s">
        <v>27</v>
      </c>
      <c r="G1512" s="9" t="s">
        <v>27</v>
      </c>
      <c r="H1512" s="11" t="n">
        <v>21</v>
      </c>
      <c r="I1512" s="11" t="s">
        <v>182</v>
      </c>
      <c r="J1512" s="14" t="n">
        <v>24</v>
      </c>
      <c r="K1512" s="14"/>
      <c r="L1512" s="16"/>
      <c r="M1512" s="27" t="n">
        <f aca="false">J1512+(K1512/20)+(L1512/240)</f>
        <v>24</v>
      </c>
      <c r="N1512" s="17" t="s">
        <v>66</v>
      </c>
      <c r="O1512" s="11"/>
      <c r="P1512" s="28" t="n">
        <v>478</v>
      </c>
      <c r="Q1512" s="28" t="n">
        <v>11472</v>
      </c>
      <c r="R1512" s="28"/>
      <c r="S1512" s="28" t="n">
        <f aca="false">R1512*$M1512</f>
        <v>0</v>
      </c>
      <c r="T1512" s="28" t="n">
        <v>38</v>
      </c>
      <c r="U1512" s="28" t="n">
        <v>912</v>
      </c>
      <c r="V1512" s="28"/>
      <c r="W1512" s="28" t="n">
        <f aca="false">V1512*$M1512</f>
        <v>0</v>
      </c>
      <c r="X1512" s="28"/>
      <c r="Y1512" s="28" t="n">
        <f aca="false">X1512*$M1512</f>
        <v>0</v>
      </c>
      <c r="Z1512" s="28"/>
      <c r="AA1512" s="28" t="n">
        <f aca="false">Z1512*$M1512</f>
        <v>0</v>
      </c>
      <c r="AB1512" s="28"/>
      <c r="AC1512" s="28" t="n">
        <f aca="false">AB1512*$M1512</f>
        <v>0</v>
      </c>
      <c r="AD1512" s="28"/>
      <c r="AE1512" s="28" t="n">
        <f aca="false">AD1512*$M1512</f>
        <v>0</v>
      </c>
      <c r="AF1512" s="28"/>
      <c r="AG1512" s="28" t="n">
        <f aca="false">AF1512*$M1512</f>
        <v>0</v>
      </c>
      <c r="AH1512" s="28"/>
      <c r="AI1512" s="28" t="n">
        <f aca="false">AH1512*$M1512</f>
        <v>0</v>
      </c>
      <c r="AJ1512" s="28"/>
      <c r="AK1512" s="28" t="n">
        <f aca="false">AJ1512*$M1512</f>
        <v>0</v>
      </c>
      <c r="AL1512" s="28"/>
      <c r="AM1512" s="28" t="n">
        <f aca="false">AL1512*$M1512</f>
        <v>0</v>
      </c>
      <c r="AN1512" s="28"/>
      <c r="AO1512" s="28" t="n">
        <f aca="false">AN1512*$M1512</f>
        <v>0</v>
      </c>
      <c r="AP1512" s="28"/>
      <c r="AQ1512" s="28" t="n">
        <f aca="false">AP1512*$M1512</f>
        <v>0</v>
      </c>
      <c r="AR1512" s="28"/>
      <c r="AS1512" s="28" t="n">
        <f aca="false">AR1512*$M1512</f>
        <v>0</v>
      </c>
      <c r="AT1512" s="28"/>
      <c r="AU1512" s="28" t="n">
        <f aca="false">AT1512*$M1512</f>
        <v>0</v>
      </c>
      <c r="AV1512" s="28"/>
      <c r="AW1512" s="28" t="n">
        <f aca="false">AV1512*$M1512</f>
        <v>0</v>
      </c>
      <c r="AX1512" s="28"/>
      <c r="AY1512" s="28" t="n">
        <f aca="false">AX1512*$M1512</f>
        <v>0</v>
      </c>
      <c r="AZ1512" s="30" t="n">
        <v>516</v>
      </c>
      <c r="BA1512" s="11" t="n">
        <v>12384</v>
      </c>
      <c r="BB1512" s="31" t="n">
        <f aca="false">SUM(Q1512,S1512,U1512,W1512,Y1512,AA1512,AC1512,AE1512,AG1512,AI1512,AK1512,AM1512,AO1512,AQ1512,AS1512,AU1512,AW1512,AY1512)</f>
        <v>12384</v>
      </c>
      <c r="BC1512" s="28" t="n">
        <f aca="false">BA1512-BB1512</f>
        <v>0</v>
      </c>
      <c r="BD1512" s="32" t="n">
        <f aca="false">SUM(P1512,R1512,T1512,V1512,X1512,Z1512,AB1512,AD1512,AF1512,AH1512,AJ1512,AL1512,AN1512,AP1512,AR1512,AT1512,AV1512,AX1512)</f>
        <v>516</v>
      </c>
      <c r="BE1512" s="33" t="n">
        <f aca="false">AZ1512-BD1512</f>
        <v>0</v>
      </c>
      <c r="BF1512" s="34" t="n">
        <f aca="false">BD1512*M1512</f>
        <v>12384</v>
      </c>
      <c r="BG1512" s="35" t="n">
        <f aca="false">BA1512-BF1512</f>
        <v>0</v>
      </c>
      <c r="BH1512" s="19" t="str">
        <f aca="false">IF(BG1512=0,"",IF(BG1512&lt;&gt;BA1512,"erreur de calcul",IF(BD1512&lt;&gt;0,"pas de prix",IF(M1512&lt;&gt; 0,"pas de quantité","pas de prix, ni de quantité"))))</f>
        <v/>
      </c>
      <c r="BI1512" s="19"/>
    </row>
    <row r="1513" customFormat="false" ht="15" hidden="false" customHeight="false" outlineLevel="0" collapsed="false">
      <c r="A1513" s="0" t="n">
        <v>30</v>
      </c>
      <c r="B1513" s="8" t="s">
        <v>24</v>
      </c>
      <c r="C1513" s="9" t="s">
        <v>25</v>
      </c>
      <c r="D1513" s="9" t="s">
        <v>26</v>
      </c>
      <c r="E1513" s="10" t="n">
        <v>1789</v>
      </c>
      <c r="F1513" s="9" t="s">
        <v>27</v>
      </c>
      <c r="G1513" s="9" t="s">
        <v>27</v>
      </c>
      <c r="H1513" s="11" t="n">
        <v>21</v>
      </c>
      <c r="I1513" s="11" t="s">
        <v>183</v>
      </c>
      <c r="J1513" s="14" t="n">
        <v>240</v>
      </c>
      <c r="K1513" s="14"/>
      <c r="L1513" s="16"/>
      <c r="M1513" s="27" t="n">
        <f aca="false">J1513+(K1513/20)+(L1513/240)</f>
        <v>240</v>
      </c>
      <c r="N1513" s="17" t="s">
        <v>64</v>
      </c>
      <c r="O1513" s="11"/>
      <c r="P1513" s="28" t="n">
        <f aca="false">52196/100</f>
        <v>521.96</v>
      </c>
      <c r="Q1513" s="28" t="n">
        <v>125270</v>
      </c>
      <c r="R1513" s="28" t="n">
        <f aca="false">29767/100</f>
        <v>297.67</v>
      </c>
      <c r="S1513" s="28" t="n">
        <v>71441</v>
      </c>
      <c r="T1513" s="28"/>
      <c r="U1513" s="28" t="n">
        <f aca="false">T1513*$M1513</f>
        <v>0</v>
      </c>
      <c r="V1513" s="28"/>
      <c r="W1513" s="28" t="n">
        <f aca="false">V1513*$M1513</f>
        <v>0</v>
      </c>
      <c r="X1513" s="28"/>
      <c r="Y1513" s="28" t="n">
        <f aca="false">X1513*$M1513</f>
        <v>0</v>
      </c>
      <c r="Z1513" s="28"/>
      <c r="AA1513" s="28" t="n">
        <f aca="false">Z1513*$M1513</f>
        <v>0</v>
      </c>
      <c r="AB1513" s="28"/>
      <c r="AC1513" s="28" t="n">
        <f aca="false">AB1513*$M1513</f>
        <v>0</v>
      </c>
      <c r="AD1513" s="28"/>
      <c r="AE1513" s="28" t="n">
        <f aca="false">AD1513*$M1513</f>
        <v>0</v>
      </c>
      <c r="AF1513" s="28"/>
      <c r="AG1513" s="28" t="n">
        <f aca="false">AF1513*$M1513</f>
        <v>0</v>
      </c>
      <c r="AH1513" s="28"/>
      <c r="AI1513" s="28" t="n">
        <f aca="false">AH1513*$M1513</f>
        <v>0</v>
      </c>
      <c r="AJ1513" s="28"/>
      <c r="AK1513" s="28" t="n">
        <f aca="false">AJ1513*$M1513</f>
        <v>0</v>
      </c>
      <c r="AL1513" s="28"/>
      <c r="AM1513" s="28" t="n">
        <f aca="false">AL1513*$M1513</f>
        <v>0</v>
      </c>
      <c r="AN1513" s="28"/>
      <c r="AO1513" s="28" t="n">
        <f aca="false">AN1513*$M1513</f>
        <v>0</v>
      </c>
      <c r="AP1513" s="28"/>
      <c r="AQ1513" s="28" t="n">
        <f aca="false">AP1513*$M1513</f>
        <v>0</v>
      </c>
      <c r="AR1513" s="28"/>
      <c r="AS1513" s="28" t="n">
        <f aca="false">AR1513*$M1513</f>
        <v>0</v>
      </c>
      <c r="AT1513" s="28"/>
      <c r="AU1513" s="28" t="n">
        <f aca="false">AT1513*$M1513</f>
        <v>0</v>
      </c>
      <c r="AV1513" s="28"/>
      <c r="AW1513" s="28" t="n">
        <f aca="false">AV1513*$M1513</f>
        <v>0</v>
      </c>
      <c r="AX1513" s="28"/>
      <c r="AY1513" s="28" t="n">
        <f aca="false">AX1513*$M1513</f>
        <v>0</v>
      </c>
      <c r="AZ1513" s="30" t="n">
        <f aca="false">81963/100</f>
        <v>819.63</v>
      </c>
      <c r="BA1513" s="11" t="n">
        <v>196711</v>
      </c>
      <c r="BB1513" s="31" t="n">
        <f aca="false">SUM(Q1513,S1513,U1513,W1513,Y1513,AA1513,AC1513,AE1513,AG1513,AI1513,AK1513,AM1513,AO1513,AQ1513,AS1513,AU1513,AW1513,AY1513)</f>
        <v>196711</v>
      </c>
      <c r="BC1513" s="28" t="n">
        <f aca="false">BA1513-BB1513</f>
        <v>0</v>
      </c>
      <c r="BD1513" s="32" t="n">
        <f aca="false">SUM(P1513,R1513,T1513,V1513,X1513,Z1513,AB1513,AD1513,AF1513,AH1513,AJ1513,AL1513,AN1513,AP1513,AR1513,AT1513,AV1513,AX1513)</f>
        <v>819.63</v>
      </c>
      <c r="BE1513" s="33" t="n">
        <f aca="false">AZ1513-BD1513</f>
        <v>0</v>
      </c>
      <c r="BF1513" s="34" t="n">
        <f aca="false">BD1513*M1513</f>
        <v>196711.2</v>
      </c>
      <c r="BG1513" s="35" t="n">
        <f aca="false">BA1513-BF1513</f>
        <v>-0.200000000011642</v>
      </c>
      <c r="BH1513" s="19" t="str">
        <f aca="false">IF(BG1513=0,"",IF(BG1513&lt;&gt;BA1513,"erreur de calcul",IF(BD1513&lt;&gt;0,"pas de prix",IF(M1513&lt;&gt; 0,"pas de quantité","pas de prix, ni de quantité"))))</f>
        <v>erreur de calcul</v>
      </c>
      <c r="BI1513" s="19"/>
    </row>
    <row r="1514" customFormat="false" ht="15" hidden="false" customHeight="false" outlineLevel="0" collapsed="false">
      <c r="A1514" s="0" t="n">
        <v>31</v>
      </c>
      <c r="B1514" s="8" t="s">
        <v>24</v>
      </c>
      <c r="C1514" s="9" t="s">
        <v>25</v>
      </c>
      <c r="D1514" s="9" t="s">
        <v>26</v>
      </c>
      <c r="E1514" s="10" t="n">
        <v>1789</v>
      </c>
      <c r="F1514" s="9" t="s">
        <v>27</v>
      </c>
      <c r="G1514" s="9" t="s">
        <v>27</v>
      </c>
      <c r="H1514" s="11" t="n">
        <v>21</v>
      </c>
      <c r="I1514" s="11" t="s">
        <v>184</v>
      </c>
      <c r="J1514" s="14" t="n">
        <v>13</v>
      </c>
      <c r="K1514" s="14"/>
      <c r="L1514" s="16"/>
      <c r="M1514" s="27" t="n">
        <f aca="false">J1514+(K1514/20)+(L1514/240)</f>
        <v>13</v>
      </c>
      <c r="N1514" s="17" t="s">
        <v>66</v>
      </c>
      <c r="O1514" s="11"/>
      <c r="P1514" s="28"/>
      <c r="Q1514" s="28" t="n">
        <f aca="false">P1514*$M1514</f>
        <v>0</v>
      </c>
      <c r="R1514" s="28"/>
      <c r="S1514" s="28" t="n">
        <f aca="false">R1514*$M1514</f>
        <v>0</v>
      </c>
      <c r="T1514" s="28"/>
      <c r="U1514" s="28" t="n">
        <f aca="false">T1514*$M1514</f>
        <v>0</v>
      </c>
      <c r="V1514" s="28"/>
      <c r="W1514" s="28" t="n">
        <f aca="false">V1514*$M1514</f>
        <v>0</v>
      </c>
      <c r="X1514" s="28"/>
      <c r="Y1514" s="28" t="n">
        <f aca="false">X1514*$M1514</f>
        <v>0</v>
      </c>
      <c r="Z1514" s="28"/>
      <c r="AA1514" s="28" t="n">
        <f aca="false">Z1514*$M1514</f>
        <v>0</v>
      </c>
      <c r="AB1514" s="28"/>
      <c r="AC1514" s="28" t="n">
        <f aca="false">AB1514*$M1514</f>
        <v>0</v>
      </c>
      <c r="AD1514" s="28"/>
      <c r="AE1514" s="28" t="n">
        <f aca="false">AD1514*$M1514</f>
        <v>0</v>
      </c>
      <c r="AF1514" s="28"/>
      <c r="AG1514" s="28" t="n">
        <f aca="false">AF1514*$M1514</f>
        <v>0</v>
      </c>
      <c r="AH1514" s="28" t="n">
        <v>354</v>
      </c>
      <c r="AI1514" s="28" t="n">
        <v>4602</v>
      </c>
      <c r="AJ1514" s="28"/>
      <c r="AK1514" s="28" t="n">
        <f aca="false">AJ1514*$M1514</f>
        <v>0</v>
      </c>
      <c r="AL1514" s="28"/>
      <c r="AM1514" s="28" t="n">
        <f aca="false">AL1514*$M1514</f>
        <v>0</v>
      </c>
      <c r="AN1514" s="28"/>
      <c r="AO1514" s="28" t="n">
        <f aca="false">AN1514*$M1514</f>
        <v>0</v>
      </c>
      <c r="AP1514" s="28"/>
      <c r="AQ1514" s="28" t="n">
        <f aca="false">AP1514*$M1514</f>
        <v>0</v>
      </c>
      <c r="AR1514" s="28"/>
      <c r="AS1514" s="28" t="n">
        <f aca="false">AR1514*$M1514</f>
        <v>0</v>
      </c>
      <c r="AT1514" s="28"/>
      <c r="AU1514" s="28" t="n">
        <f aca="false">AT1514*$M1514</f>
        <v>0</v>
      </c>
      <c r="AV1514" s="28"/>
      <c r="AW1514" s="28" t="n">
        <f aca="false">AV1514*$M1514</f>
        <v>0</v>
      </c>
      <c r="AX1514" s="28"/>
      <c r="AY1514" s="28" t="n">
        <f aca="false">AX1514*$M1514</f>
        <v>0</v>
      </c>
      <c r="AZ1514" s="30" t="n">
        <v>354</v>
      </c>
      <c r="BA1514" s="11" t="n">
        <v>4602</v>
      </c>
      <c r="BB1514" s="31" t="n">
        <f aca="false">SUM(Q1514,S1514,U1514,W1514,Y1514,AA1514,AC1514,AE1514,AG1514,AI1514,AK1514,AM1514,AO1514,AQ1514,AS1514,AU1514,AW1514,AY1514)</f>
        <v>4602</v>
      </c>
      <c r="BC1514" s="28" t="n">
        <f aca="false">BA1514-BB1514</f>
        <v>0</v>
      </c>
      <c r="BD1514" s="32" t="n">
        <f aca="false">SUM(P1514,R1514,T1514,V1514,X1514,Z1514,AB1514,AD1514,AF1514,AH1514,AJ1514,AL1514,AN1514,AP1514,AR1514,AT1514,AV1514,AX1514)</f>
        <v>354</v>
      </c>
      <c r="BE1514" s="33" t="n">
        <f aca="false">AZ1514-BD1514</f>
        <v>0</v>
      </c>
      <c r="BF1514" s="34" t="n">
        <f aca="false">BD1514*M1514</f>
        <v>4602</v>
      </c>
      <c r="BG1514" s="35" t="n">
        <f aca="false">BA1514-BF1514</f>
        <v>0</v>
      </c>
      <c r="BH1514" s="19" t="str">
        <f aca="false">IF(BG1514=0,"",IF(BG1514&lt;&gt;BA1514,"erreur de calcul",IF(BD1514&lt;&gt;0,"pas de prix",IF(M1514&lt;&gt; 0,"pas de quantité","pas de prix, ni de quantité"))))</f>
        <v/>
      </c>
      <c r="BI1514" s="19"/>
    </row>
    <row r="1515" customFormat="false" ht="15" hidden="false" customHeight="false" outlineLevel="0" collapsed="false">
      <c r="A1515" s="0" t="n">
        <v>32</v>
      </c>
      <c r="B1515" s="8" t="s">
        <v>24</v>
      </c>
      <c r="C1515" s="9" t="s">
        <v>25</v>
      </c>
      <c r="D1515" s="9" t="s">
        <v>26</v>
      </c>
      <c r="E1515" s="10" t="n">
        <v>1789</v>
      </c>
      <c r="F1515" s="9" t="s">
        <v>27</v>
      </c>
      <c r="G1515" s="9" t="s">
        <v>27</v>
      </c>
      <c r="H1515" s="11" t="n">
        <v>21</v>
      </c>
      <c r="I1515" s="11" t="s">
        <v>185</v>
      </c>
      <c r="J1515" s="14" t="n">
        <v>245</v>
      </c>
      <c r="K1515" s="14"/>
      <c r="L1515" s="16"/>
      <c r="M1515" s="27" t="n">
        <f aca="false">J1515+(K1515/20)+(L1515/240)</f>
        <v>245</v>
      </c>
      <c r="N1515" s="17" t="s">
        <v>64</v>
      </c>
      <c r="O1515" s="11"/>
      <c r="P1515" s="28"/>
      <c r="Q1515" s="28" t="n">
        <f aca="false">P1515*$M1515</f>
        <v>0</v>
      </c>
      <c r="R1515" s="28"/>
      <c r="S1515" s="28" t="n">
        <f aca="false">R1515*$M1515</f>
        <v>0</v>
      </c>
      <c r="T1515" s="28"/>
      <c r="U1515" s="28" t="n">
        <f aca="false">T1515*$M1515</f>
        <v>0</v>
      </c>
      <c r="V1515" s="28" t="n">
        <f aca="false">720/100</f>
        <v>7.2</v>
      </c>
      <c r="W1515" s="28" t="n">
        <v>1764</v>
      </c>
      <c r="X1515" s="28" t="n">
        <f aca="false">40366/100</f>
        <v>403.66</v>
      </c>
      <c r="Y1515" s="28" t="n">
        <v>98897</v>
      </c>
      <c r="Z1515" s="28"/>
      <c r="AA1515" s="28" t="n">
        <f aca="false">Z1515*$M1515</f>
        <v>0</v>
      </c>
      <c r="AB1515" s="28"/>
      <c r="AC1515" s="28" t="n">
        <f aca="false">AB1515*$M1515</f>
        <v>0</v>
      </c>
      <c r="AD1515" s="28"/>
      <c r="AE1515" s="28" t="n">
        <f aca="false">AD1515*$M1515</f>
        <v>0</v>
      </c>
      <c r="AF1515" s="28"/>
      <c r="AG1515" s="28" t="n">
        <f aca="false">AF1515*$M1515</f>
        <v>0</v>
      </c>
      <c r="AH1515" s="28" t="n">
        <f aca="false">83243/100</f>
        <v>832.43</v>
      </c>
      <c r="AI1515" s="28" t="n">
        <v>203945</v>
      </c>
      <c r="AJ1515" s="28"/>
      <c r="AK1515" s="28" t="n">
        <f aca="false">AJ1515*$M1515</f>
        <v>0</v>
      </c>
      <c r="AL1515" s="28"/>
      <c r="AM1515" s="28" t="n">
        <f aca="false">AL1515*$M1515</f>
        <v>0</v>
      </c>
      <c r="AN1515" s="28"/>
      <c r="AO1515" s="28" t="n">
        <f aca="false">AN1515*$M1515</f>
        <v>0</v>
      </c>
      <c r="AP1515" s="28"/>
      <c r="AQ1515" s="28" t="n">
        <f aca="false">AP1515*$M1515</f>
        <v>0</v>
      </c>
      <c r="AR1515" s="28"/>
      <c r="AS1515" s="28" t="n">
        <f aca="false">AR1515*$M1515</f>
        <v>0</v>
      </c>
      <c r="AT1515" s="28"/>
      <c r="AU1515" s="28" t="n">
        <f aca="false">AT1515*$M1515</f>
        <v>0</v>
      </c>
      <c r="AV1515" s="28"/>
      <c r="AW1515" s="28" t="n">
        <f aca="false">AV1515*$M1515</f>
        <v>0</v>
      </c>
      <c r="AX1515" s="28"/>
      <c r="AY1515" s="28" t="n">
        <f aca="false">AX1515*$M1515</f>
        <v>0</v>
      </c>
      <c r="AZ1515" s="30" t="n">
        <f aca="false">124329/100</f>
        <v>1243.29</v>
      </c>
      <c r="BA1515" s="11" t="n">
        <v>304606</v>
      </c>
      <c r="BB1515" s="31" t="n">
        <f aca="false">SUM(Q1515,S1515,U1515,W1515,Y1515,AA1515,AC1515,AE1515,AG1515,AI1515,AK1515,AM1515,AO1515,AQ1515,AS1515,AU1515,AW1515,AY1515)</f>
        <v>304606</v>
      </c>
      <c r="BC1515" s="28" t="n">
        <f aca="false">BA1515-BB1515</f>
        <v>0</v>
      </c>
      <c r="BD1515" s="32" t="n">
        <f aca="false">SUM(P1515,R1515,T1515,V1515,X1515,Z1515,AB1515,AD1515,AF1515,AH1515,AJ1515,AL1515,AN1515,AP1515,AR1515,AT1515,AV1515,AX1515)</f>
        <v>1243.29</v>
      </c>
      <c r="BE1515" s="33" t="n">
        <f aca="false">AZ1515-BD1515</f>
        <v>0</v>
      </c>
      <c r="BF1515" s="34" t="n">
        <f aca="false">BD1515*M1515</f>
        <v>304606.05</v>
      </c>
      <c r="BG1515" s="35" t="n">
        <f aca="false">BA1515-BF1515</f>
        <v>-0.0499999999883585</v>
      </c>
      <c r="BH1515" s="19" t="str">
        <f aca="false">IF(BG1515=0,"",IF(BG1515&lt;&gt;BA1515,"erreur de calcul",IF(BD1515&lt;&gt;0,"pas de prix",IF(M1515&lt;&gt; 0,"pas de quantité","pas de prix, ni de quantité"))))</f>
        <v>erreur de calcul</v>
      </c>
      <c r="BI1515" s="19"/>
    </row>
    <row r="1516" customFormat="false" ht="15" hidden="false" customHeight="false" outlineLevel="0" collapsed="false">
      <c r="A1516" s="0" t="n">
        <v>33</v>
      </c>
      <c r="B1516" s="8" t="s">
        <v>24</v>
      </c>
      <c r="C1516" s="9" t="s">
        <v>25</v>
      </c>
      <c r="D1516" s="9" t="s">
        <v>26</v>
      </c>
      <c r="E1516" s="10" t="n">
        <v>1789</v>
      </c>
      <c r="F1516" s="9" t="s">
        <v>27</v>
      </c>
      <c r="G1516" s="9" t="s">
        <v>27</v>
      </c>
      <c r="H1516" s="11" t="n">
        <v>21</v>
      </c>
      <c r="I1516" s="11" t="s">
        <v>186</v>
      </c>
      <c r="J1516" s="14" t="n">
        <v>240</v>
      </c>
      <c r="K1516" s="14"/>
      <c r="L1516" s="16"/>
      <c r="M1516" s="27" t="n">
        <f aca="false">J1516+(K1516/20)+(L1516/240)</f>
        <v>240</v>
      </c>
      <c r="N1516" s="17" t="s">
        <v>64</v>
      </c>
      <c r="O1516" s="11"/>
      <c r="P1516" s="28"/>
      <c r="Q1516" s="28" t="n">
        <f aca="false">P1516*$M1516</f>
        <v>0</v>
      </c>
      <c r="R1516" s="28"/>
      <c r="S1516" s="28" t="n">
        <f aca="false">R1516*$M1516</f>
        <v>0</v>
      </c>
      <c r="T1516" s="28"/>
      <c r="U1516" s="28" t="n">
        <f aca="false">T1516*$M1516</f>
        <v>0</v>
      </c>
      <c r="V1516" s="28"/>
      <c r="W1516" s="28" t="n">
        <f aca="false">V1516*$M1516</f>
        <v>0</v>
      </c>
      <c r="X1516" s="28"/>
      <c r="Y1516" s="28" t="n">
        <f aca="false">X1516*$M1516</f>
        <v>0</v>
      </c>
      <c r="Z1516" s="28"/>
      <c r="AA1516" s="28" t="n">
        <f aca="false">Z1516*$M1516</f>
        <v>0</v>
      </c>
      <c r="AB1516" s="28"/>
      <c r="AC1516" s="28" t="n">
        <f aca="false">AB1516*$M1516</f>
        <v>0</v>
      </c>
      <c r="AD1516" s="28"/>
      <c r="AE1516" s="28" t="n">
        <f aca="false">AD1516*$M1516</f>
        <v>0</v>
      </c>
      <c r="AF1516" s="28"/>
      <c r="AG1516" s="28" t="n">
        <f aca="false">AF1516*$M1516</f>
        <v>0</v>
      </c>
      <c r="AH1516" s="28" t="n">
        <f aca="false">803/100</f>
        <v>8.03</v>
      </c>
      <c r="AI1516" s="28" t="n">
        <v>1927</v>
      </c>
      <c r="AJ1516" s="28"/>
      <c r="AK1516" s="28" t="n">
        <f aca="false">AJ1516*$M1516</f>
        <v>0</v>
      </c>
      <c r="AL1516" s="28"/>
      <c r="AM1516" s="28" t="n">
        <f aca="false">AL1516*$M1516</f>
        <v>0</v>
      </c>
      <c r="AN1516" s="28"/>
      <c r="AO1516" s="28" t="n">
        <f aca="false">AN1516*$M1516</f>
        <v>0</v>
      </c>
      <c r="AP1516" s="28"/>
      <c r="AQ1516" s="28" t="n">
        <f aca="false">AP1516*$M1516</f>
        <v>0</v>
      </c>
      <c r="AR1516" s="28"/>
      <c r="AS1516" s="28" t="n">
        <f aca="false">AR1516*$M1516</f>
        <v>0</v>
      </c>
      <c r="AT1516" s="28"/>
      <c r="AU1516" s="28" t="n">
        <f aca="false">AT1516*$M1516</f>
        <v>0</v>
      </c>
      <c r="AV1516" s="28"/>
      <c r="AW1516" s="28" t="n">
        <f aca="false">AV1516*$M1516</f>
        <v>0</v>
      </c>
      <c r="AX1516" s="28"/>
      <c r="AY1516" s="28" t="n">
        <f aca="false">AX1516*$M1516</f>
        <v>0</v>
      </c>
      <c r="AZ1516" s="30" t="n">
        <f aca="false">803/100</f>
        <v>8.03</v>
      </c>
      <c r="BA1516" s="11" t="n">
        <v>1927</v>
      </c>
      <c r="BB1516" s="31" t="n">
        <f aca="false">SUM(Q1516,S1516,U1516,W1516,Y1516,AA1516,AC1516,AE1516,AG1516,AI1516,AK1516,AM1516,AO1516,AQ1516,AS1516,AU1516,AW1516,AY1516)</f>
        <v>1927</v>
      </c>
      <c r="BC1516" s="28" t="n">
        <f aca="false">BA1516-BB1516</f>
        <v>0</v>
      </c>
      <c r="BD1516" s="32" t="n">
        <f aca="false">SUM(P1516,R1516,T1516,V1516,X1516,Z1516,AB1516,AD1516,AF1516,AH1516,AJ1516,AL1516,AN1516,AP1516,AR1516,AT1516,AV1516,AX1516)</f>
        <v>8.03</v>
      </c>
      <c r="BE1516" s="33" t="n">
        <f aca="false">AZ1516-BD1516</f>
        <v>0</v>
      </c>
      <c r="BF1516" s="34" t="n">
        <f aca="false">BD1516*M1516</f>
        <v>1927.2</v>
      </c>
      <c r="BG1516" s="35" t="n">
        <f aca="false">BA1516-BF1516</f>
        <v>-0.199999999999818</v>
      </c>
      <c r="BH1516" s="19" t="str">
        <f aca="false">IF(BG1516=0,"",IF(BG1516&lt;&gt;BA1516,"erreur de calcul",IF(BD1516&lt;&gt;0,"pas de prix",IF(M1516&lt;&gt; 0,"pas de quantité","pas de prix, ni de quantité"))))</f>
        <v>erreur de calcul</v>
      </c>
      <c r="BI1516" s="19"/>
    </row>
    <row r="1517" customFormat="false" ht="15" hidden="false" customHeight="false" outlineLevel="0" collapsed="false">
      <c r="A1517" s="0" t="n">
        <v>34</v>
      </c>
      <c r="B1517" s="8" t="s">
        <v>24</v>
      </c>
      <c r="C1517" s="9" t="s">
        <v>25</v>
      </c>
      <c r="D1517" s="9" t="s">
        <v>26</v>
      </c>
      <c r="E1517" s="10" t="n">
        <v>1789</v>
      </c>
      <c r="F1517" s="9" t="s">
        <v>27</v>
      </c>
      <c r="G1517" s="9" t="s">
        <v>27</v>
      </c>
      <c r="H1517" s="11" t="n">
        <v>21</v>
      </c>
      <c r="I1517" s="11" t="s">
        <v>187</v>
      </c>
      <c r="J1517" s="14" t="n">
        <v>45</v>
      </c>
      <c r="K1517" s="14"/>
      <c r="L1517" s="16"/>
      <c r="M1517" s="27" t="n">
        <f aca="false">J1517+(K1517/20)+(L1517/240)</f>
        <v>45</v>
      </c>
      <c r="N1517" s="17" t="s">
        <v>64</v>
      </c>
      <c r="O1517" s="11"/>
      <c r="P1517" s="28" t="n">
        <f aca="false">8827/100</f>
        <v>88.27</v>
      </c>
      <c r="Q1517" s="28" t="n">
        <v>3972</v>
      </c>
      <c r="R1517" s="28"/>
      <c r="S1517" s="28" t="n">
        <f aca="false">R1517*$M1517</f>
        <v>0</v>
      </c>
      <c r="T1517" s="28"/>
      <c r="U1517" s="28" t="n">
        <f aca="false">T1517*$M1517</f>
        <v>0</v>
      </c>
      <c r="V1517" s="28" t="n">
        <f aca="false">8951/100</f>
        <v>89.51</v>
      </c>
      <c r="W1517" s="28" t="n">
        <v>4028</v>
      </c>
      <c r="X1517" s="28" t="n">
        <f aca="false">49106/100</f>
        <v>491.06</v>
      </c>
      <c r="Y1517" s="28" t="n">
        <v>22098</v>
      </c>
      <c r="Z1517" s="28"/>
      <c r="AA1517" s="28" t="n">
        <f aca="false">Z1517*$M1517</f>
        <v>0</v>
      </c>
      <c r="AB1517" s="28" t="n">
        <f aca="false">313412/100</f>
        <v>3134.12</v>
      </c>
      <c r="AC1517" s="28" t="n">
        <v>141035</v>
      </c>
      <c r="AD1517" s="28"/>
      <c r="AE1517" s="28" t="n">
        <f aca="false">AD1517*$M1517</f>
        <v>0</v>
      </c>
      <c r="AF1517" s="28"/>
      <c r="AG1517" s="28" t="n">
        <f aca="false">AF1517*$M1517</f>
        <v>0</v>
      </c>
      <c r="AH1517" s="28"/>
      <c r="AI1517" s="28" t="n">
        <f aca="false">AH1517*$M1517</f>
        <v>0</v>
      </c>
      <c r="AJ1517" s="28"/>
      <c r="AK1517" s="28" t="n">
        <f aca="false">AJ1517*$M1517</f>
        <v>0</v>
      </c>
      <c r="AL1517" s="28"/>
      <c r="AM1517" s="28" t="n">
        <f aca="false">AL1517*$M1517</f>
        <v>0</v>
      </c>
      <c r="AN1517" s="28"/>
      <c r="AO1517" s="28" t="n">
        <f aca="false">AN1517*$M1517</f>
        <v>0</v>
      </c>
      <c r="AP1517" s="28"/>
      <c r="AQ1517" s="28" t="n">
        <f aca="false">AP1517*$M1517</f>
        <v>0</v>
      </c>
      <c r="AR1517" s="28"/>
      <c r="AS1517" s="28" t="n">
        <f aca="false">AR1517*$M1517</f>
        <v>0</v>
      </c>
      <c r="AT1517" s="28"/>
      <c r="AU1517" s="28" t="n">
        <f aca="false">AT1517*$M1517</f>
        <v>0</v>
      </c>
      <c r="AV1517" s="28"/>
      <c r="AW1517" s="28" t="n">
        <f aca="false">AV1517*$M1517</f>
        <v>0</v>
      </c>
      <c r="AX1517" s="28"/>
      <c r="AY1517" s="28" t="n">
        <f aca="false">AX1517*$M1517</f>
        <v>0</v>
      </c>
      <c r="AZ1517" s="30" t="n">
        <f aca="false">380296/100</f>
        <v>3802.96</v>
      </c>
      <c r="BA1517" s="11" t="n">
        <v>171133</v>
      </c>
      <c r="BB1517" s="31" t="n">
        <f aca="false">SUM(Q1517,S1517,U1517,W1517,Y1517,AA1517,AC1517,AE1517,AG1517,AI1517,AK1517,AM1517,AO1517,AQ1517,AS1517,AU1517,AW1517,AY1517)</f>
        <v>171133</v>
      </c>
      <c r="BC1517" s="28" t="n">
        <f aca="false">BA1517-BB1517</f>
        <v>0</v>
      </c>
      <c r="BD1517" s="32" t="n">
        <f aca="false">SUM(P1517,R1517,T1517,V1517,X1517,Z1517,AB1517,AD1517,AF1517,AH1517,AJ1517,AL1517,AN1517,AP1517,AR1517,AT1517,AV1517,AX1517)</f>
        <v>3802.96</v>
      </c>
      <c r="BE1517" s="33" t="n">
        <f aca="false">AZ1517-BD1517</f>
        <v>0</v>
      </c>
      <c r="BF1517" s="34" t="n">
        <f aca="false">BD1517*M1517</f>
        <v>171133.2</v>
      </c>
      <c r="BG1517" s="35" t="n">
        <f aca="false">BA1517-BF1517</f>
        <v>-0.200000000011642</v>
      </c>
      <c r="BH1517" s="19" t="str">
        <f aca="false">IF(BG1517=0,"",IF(BG1517&lt;&gt;BA1517,"erreur de calcul",IF(BD1517&lt;&gt;0,"pas de prix",IF(M1517&lt;&gt; 0,"pas de quantité","pas de prix, ni de quantité"))))</f>
        <v>erreur de calcul</v>
      </c>
      <c r="BI1517" s="19"/>
    </row>
    <row r="1518" customFormat="false" ht="15" hidden="false" customHeight="false" outlineLevel="0" collapsed="false">
      <c r="A1518" s="0" t="n">
        <v>35</v>
      </c>
      <c r="B1518" s="8" t="s">
        <v>24</v>
      </c>
      <c r="C1518" s="9" t="s">
        <v>25</v>
      </c>
      <c r="D1518" s="9" t="s">
        <v>26</v>
      </c>
      <c r="E1518" s="10" t="n">
        <v>1789</v>
      </c>
      <c r="F1518" s="9" t="s">
        <v>27</v>
      </c>
      <c r="G1518" s="9" t="s">
        <v>27</v>
      </c>
      <c r="H1518" s="11" t="n">
        <v>21</v>
      </c>
      <c r="I1518" s="11" t="s">
        <v>188</v>
      </c>
      <c r="J1518" s="14" t="n">
        <v>60</v>
      </c>
      <c r="K1518" s="14"/>
      <c r="L1518" s="16"/>
      <c r="M1518" s="27" t="n">
        <f aca="false">J1518+(K1518/20)+(L1518/240)</f>
        <v>60</v>
      </c>
      <c r="N1518" s="17" t="s">
        <v>64</v>
      </c>
      <c r="O1518" s="11"/>
      <c r="P1518" s="28"/>
      <c r="Q1518" s="28" t="n">
        <f aca="false">P1518*$M1518</f>
        <v>0</v>
      </c>
      <c r="R1518" s="28"/>
      <c r="S1518" s="28" t="n">
        <f aca="false">R1518*$M1518</f>
        <v>0</v>
      </c>
      <c r="T1518" s="28"/>
      <c r="U1518" s="28" t="n">
        <f aca="false">T1518*$M1518</f>
        <v>0</v>
      </c>
      <c r="V1518" s="28"/>
      <c r="W1518" s="28" t="n">
        <f aca="false">V1518*$M1518</f>
        <v>0</v>
      </c>
      <c r="X1518" s="28"/>
      <c r="Y1518" s="28" t="n">
        <f aca="false">X1518*$M1518</f>
        <v>0</v>
      </c>
      <c r="Z1518" s="28"/>
      <c r="AA1518" s="28" t="n">
        <f aca="false">Z1518*$M1518</f>
        <v>0</v>
      </c>
      <c r="AB1518" s="28"/>
      <c r="AC1518" s="28" t="n">
        <f aca="false">AB1518*$M1518</f>
        <v>0</v>
      </c>
      <c r="AD1518" s="28"/>
      <c r="AE1518" s="28" t="n">
        <f aca="false">AD1518*$M1518</f>
        <v>0</v>
      </c>
      <c r="AF1518" s="28"/>
      <c r="AG1518" s="28" t="n">
        <f aca="false">AF1518*$M1518</f>
        <v>0</v>
      </c>
      <c r="AH1518" s="28" t="n">
        <f aca="false">6391/100</f>
        <v>63.91</v>
      </c>
      <c r="AI1518" s="28" t="n">
        <v>3835</v>
      </c>
      <c r="AJ1518" s="28"/>
      <c r="AK1518" s="28" t="n">
        <f aca="false">AJ1518*$M1518</f>
        <v>0</v>
      </c>
      <c r="AL1518" s="28"/>
      <c r="AM1518" s="28" t="n">
        <f aca="false">AL1518*$M1518</f>
        <v>0</v>
      </c>
      <c r="AN1518" s="28"/>
      <c r="AO1518" s="28" t="n">
        <f aca="false">AN1518*$M1518</f>
        <v>0</v>
      </c>
      <c r="AP1518" s="28"/>
      <c r="AQ1518" s="28" t="n">
        <f aca="false">AP1518*$M1518</f>
        <v>0</v>
      </c>
      <c r="AR1518" s="28"/>
      <c r="AS1518" s="28" t="n">
        <f aca="false">AR1518*$M1518</f>
        <v>0</v>
      </c>
      <c r="AT1518" s="28"/>
      <c r="AU1518" s="28" t="n">
        <f aca="false">AT1518*$M1518</f>
        <v>0</v>
      </c>
      <c r="AV1518" s="28"/>
      <c r="AW1518" s="28" t="n">
        <f aca="false">AV1518*$M1518</f>
        <v>0</v>
      </c>
      <c r="AX1518" s="28"/>
      <c r="AY1518" s="28" t="n">
        <f aca="false">AX1518*$M1518</f>
        <v>0</v>
      </c>
      <c r="AZ1518" s="30" t="n">
        <f aca="false">6391/100</f>
        <v>63.91</v>
      </c>
      <c r="BA1518" s="11" t="n">
        <v>3835</v>
      </c>
      <c r="BB1518" s="31" t="n">
        <f aca="false">SUM(Q1518,S1518,U1518,W1518,Y1518,AA1518,AC1518,AE1518,AG1518,AI1518,AK1518,AM1518,AO1518,AQ1518,AS1518,AU1518,AW1518,AY1518)</f>
        <v>3835</v>
      </c>
      <c r="BC1518" s="28" t="n">
        <f aca="false">BA1518-BB1518</f>
        <v>0</v>
      </c>
      <c r="BD1518" s="32" t="n">
        <f aca="false">SUM(P1518,R1518,T1518,V1518,X1518,Z1518,AB1518,AD1518,AF1518,AH1518,AJ1518,AL1518,AN1518,AP1518,AR1518,AT1518,AV1518,AX1518)</f>
        <v>63.91</v>
      </c>
      <c r="BE1518" s="33" t="n">
        <f aca="false">AZ1518-BD1518</f>
        <v>0</v>
      </c>
      <c r="BF1518" s="34" t="n">
        <f aca="false">BD1518*M1518</f>
        <v>3834.6</v>
      </c>
      <c r="BG1518" s="35" t="n">
        <f aca="false">BA1518-BF1518</f>
        <v>0.400000000000091</v>
      </c>
      <c r="BH1518" s="19" t="str">
        <f aca="false">IF(BG1518=0,"",IF(BG1518&lt;&gt;BA1518,"erreur de calcul",IF(BD1518&lt;&gt;0,"pas de prix",IF(M1518&lt;&gt; 0,"pas de quantité","pas de prix, ni de quantité"))))</f>
        <v>erreur de calcul</v>
      </c>
      <c r="BI1518" s="19"/>
    </row>
    <row r="1519" customFormat="false" ht="15" hidden="false" customHeight="false" outlineLevel="0" collapsed="false">
      <c r="A1519" s="0" t="n">
        <v>36</v>
      </c>
      <c r="B1519" s="8" t="s">
        <v>24</v>
      </c>
      <c r="C1519" s="9" t="s">
        <v>25</v>
      </c>
      <c r="D1519" s="9" t="s">
        <v>26</v>
      </c>
      <c r="E1519" s="10" t="n">
        <v>1789</v>
      </c>
      <c r="F1519" s="9" t="s">
        <v>27</v>
      </c>
      <c r="G1519" s="9" t="s">
        <v>27</v>
      </c>
      <c r="H1519" s="11" t="n">
        <v>21</v>
      </c>
      <c r="I1519" s="11" t="s">
        <v>189</v>
      </c>
      <c r="J1519" s="14" t="n">
        <v>30</v>
      </c>
      <c r="K1519" s="14"/>
      <c r="L1519" s="16"/>
      <c r="M1519" s="27" t="n">
        <f aca="false">J1519+(K1519/20)+(L1519/240)</f>
        <v>30</v>
      </c>
      <c r="N1519" s="17" t="s">
        <v>66</v>
      </c>
      <c r="O1519" s="11"/>
      <c r="P1519" s="28"/>
      <c r="Q1519" s="28" t="n">
        <f aca="false">P1519*$M1519</f>
        <v>0</v>
      </c>
      <c r="R1519" s="28"/>
      <c r="S1519" s="28" t="n">
        <f aca="false">R1519*$M1519</f>
        <v>0</v>
      </c>
      <c r="T1519" s="28"/>
      <c r="U1519" s="28" t="n">
        <f aca="false">T1519*$M1519</f>
        <v>0</v>
      </c>
      <c r="V1519" s="28" t="n">
        <v>146</v>
      </c>
      <c r="W1519" s="28" t="n">
        <v>4380</v>
      </c>
      <c r="X1519" s="28"/>
      <c r="Y1519" s="28" t="n">
        <f aca="false">X1519*$M1519</f>
        <v>0</v>
      </c>
      <c r="Z1519" s="28"/>
      <c r="AA1519" s="28" t="n">
        <f aca="false">Z1519*$M1519</f>
        <v>0</v>
      </c>
      <c r="AB1519" s="28"/>
      <c r="AC1519" s="28" t="n">
        <f aca="false">AB1519*$M1519</f>
        <v>0</v>
      </c>
      <c r="AD1519" s="28"/>
      <c r="AE1519" s="28" t="n">
        <f aca="false">AD1519*$M1519</f>
        <v>0</v>
      </c>
      <c r="AF1519" s="28"/>
      <c r="AG1519" s="28" t="n">
        <f aca="false">AF1519*$M1519</f>
        <v>0</v>
      </c>
      <c r="AH1519" s="28"/>
      <c r="AI1519" s="28" t="n">
        <f aca="false">AH1519*$M1519</f>
        <v>0</v>
      </c>
      <c r="AJ1519" s="28"/>
      <c r="AK1519" s="28" t="n">
        <f aca="false">AJ1519*$M1519</f>
        <v>0</v>
      </c>
      <c r="AL1519" s="28"/>
      <c r="AM1519" s="28" t="n">
        <f aca="false">AL1519*$M1519</f>
        <v>0</v>
      </c>
      <c r="AN1519" s="28"/>
      <c r="AO1519" s="28" t="n">
        <f aca="false">AN1519*$M1519</f>
        <v>0</v>
      </c>
      <c r="AP1519" s="28"/>
      <c r="AQ1519" s="28" t="n">
        <f aca="false">AP1519*$M1519</f>
        <v>0</v>
      </c>
      <c r="AR1519" s="28"/>
      <c r="AS1519" s="28" t="n">
        <f aca="false">AR1519*$M1519</f>
        <v>0</v>
      </c>
      <c r="AT1519" s="28"/>
      <c r="AU1519" s="28" t="n">
        <f aca="false">AT1519*$M1519</f>
        <v>0</v>
      </c>
      <c r="AV1519" s="28"/>
      <c r="AW1519" s="28" t="n">
        <f aca="false">AV1519*$M1519</f>
        <v>0</v>
      </c>
      <c r="AX1519" s="28"/>
      <c r="AY1519" s="28" t="n">
        <f aca="false">AX1519*$M1519</f>
        <v>0</v>
      </c>
      <c r="AZ1519" s="30" t="n">
        <v>146</v>
      </c>
      <c r="BA1519" s="11" t="n">
        <v>4380</v>
      </c>
      <c r="BB1519" s="31" t="n">
        <f aca="false">SUM(Q1519,S1519,U1519,W1519,Y1519,AA1519,AC1519,AE1519,AG1519,AI1519,AK1519,AM1519,AO1519,AQ1519,AS1519,AU1519,AW1519,AY1519)</f>
        <v>4380</v>
      </c>
      <c r="BC1519" s="28" t="n">
        <f aca="false">BA1519-BB1519</f>
        <v>0</v>
      </c>
      <c r="BD1519" s="32" t="n">
        <f aca="false">SUM(P1519,R1519,T1519,V1519,X1519,Z1519,AB1519,AD1519,AF1519,AH1519,AJ1519,AL1519,AN1519,AP1519,AR1519,AT1519,AV1519,AX1519)</f>
        <v>146</v>
      </c>
      <c r="BE1519" s="33" t="n">
        <f aca="false">AZ1519-BD1519</f>
        <v>0</v>
      </c>
      <c r="BF1519" s="34" t="n">
        <f aca="false">BD1519*M1519</f>
        <v>4380</v>
      </c>
      <c r="BG1519" s="35" t="n">
        <f aca="false">BA1519-BF1519</f>
        <v>0</v>
      </c>
      <c r="BH1519" s="19" t="str">
        <f aca="false">IF(BG1519=0,"",IF(BG1519&lt;&gt;BA1519,"erreur de calcul",IF(BD1519&lt;&gt;0,"pas de prix",IF(M1519&lt;&gt; 0,"pas de quantité","pas de prix, ni de quantité"))))</f>
        <v/>
      </c>
      <c r="BI1519" s="19"/>
    </row>
    <row r="1520" customFormat="false" ht="15" hidden="false" customHeight="false" outlineLevel="0" collapsed="false">
      <c r="A1520" s="0" t="n">
        <v>37</v>
      </c>
      <c r="B1520" s="8" t="s">
        <v>24</v>
      </c>
      <c r="C1520" s="9" t="s">
        <v>25</v>
      </c>
      <c r="D1520" s="9" t="s">
        <v>26</v>
      </c>
      <c r="E1520" s="10" t="n">
        <v>1789</v>
      </c>
      <c r="F1520" s="9" t="s">
        <v>27</v>
      </c>
      <c r="G1520" s="9" t="s">
        <v>27</v>
      </c>
      <c r="H1520" s="11" t="n">
        <v>21</v>
      </c>
      <c r="I1520" s="11" t="s">
        <v>190</v>
      </c>
      <c r="J1520" s="14" t="n">
        <v>3</v>
      </c>
      <c r="K1520" s="14"/>
      <c r="L1520" s="16"/>
      <c r="M1520" s="27" t="n">
        <f aca="false">J1520+(K1520/20)+(L1520/240)</f>
        <v>3</v>
      </c>
      <c r="N1520" s="17" t="s">
        <v>66</v>
      </c>
      <c r="O1520" s="11"/>
      <c r="P1520" s="28"/>
      <c r="Q1520" s="28" t="n">
        <f aca="false">P1520*$M1520</f>
        <v>0</v>
      </c>
      <c r="R1520" s="28"/>
      <c r="S1520" s="28" t="n">
        <f aca="false">R1520*$M1520</f>
        <v>0</v>
      </c>
      <c r="T1520" s="28"/>
      <c r="U1520" s="28" t="n">
        <f aca="false">T1520*$M1520</f>
        <v>0</v>
      </c>
      <c r="V1520" s="28" t="n">
        <v>284</v>
      </c>
      <c r="W1520" s="28" t="n">
        <v>852</v>
      </c>
      <c r="X1520" s="28" t="n">
        <v>8028</v>
      </c>
      <c r="Y1520" s="28" t="n">
        <v>24084</v>
      </c>
      <c r="Z1520" s="28"/>
      <c r="AA1520" s="28" t="n">
        <f aca="false">Z1520*$M1520</f>
        <v>0</v>
      </c>
      <c r="AB1520" s="28"/>
      <c r="AC1520" s="28" t="n">
        <f aca="false">AB1520*$M1520</f>
        <v>0</v>
      </c>
      <c r="AD1520" s="28"/>
      <c r="AE1520" s="28" t="n">
        <f aca="false">AD1520*$M1520</f>
        <v>0</v>
      </c>
      <c r="AF1520" s="28"/>
      <c r="AG1520" s="28" t="n">
        <f aca="false">AF1520*$M1520</f>
        <v>0</v>
      </c>
      <c r="AH1520" s="28"/>
      <c r="AI1520" s="28" t="n">
        <f aca="false">AH1520*$M1520</f>
        <v>0</v>
      </c>
      <c r="AJ1520" s="28"/>
      <c r="AK1520" s="28" t="n">
        <f aca="false">AJ1520*$M1520</f>
        <v>0</v>
      </c>
      <c r="AL1520" s="28" t="n">
        <v>2127</v>
      </c>
      <c r="AM1520" s="28" t="n">
        <v>6381</v>
      </c>
      <c r="AN1520" s="28"/>
      <c r="AO1520" s="28" t="n">
        <f aca="false">AN1520*$M1520</f>
        <v>0</v>
      </c>
      <c r="AP1520" s="28"/>
      <c r="AQ1520" s="28" t="n">
        <f aca="false">AP1520*$M1520</f>
        <v>0</v>
      </c>
      <c r="AR1520" s="28"/>
      <c r="AS1520" s="28" t="n">
        <f aca="false">AR1520*$M1520</f>
        <v>0</v>
      </c>
      <c r="AT1520" s="28"/>
      <c r="AU1520" s="28" t="n">
        <f aca="false">AT1520*$M1520</f>
        <v>0</v>
      </c>
      <c r="AV1520" s="28"/>
      <c r="AW1520" s="28" t="n">
        <f aca="false">AV1520*$M1520</f>
        <v>0</v>
      </c>
      <c r="AX1520" s="28"/>
      <c r="AY1520" s="28" t="n">
        <f aca="false">AX1520*$M1520</f>
        <v>0</v>
      </c>
      <c r="AZ1520" s="30" t="n">
        <v>10439</v>
      </c>
      <c r="BA1520" s="11" t="n">
        <v>31317</v>
      </c>
      <c r="BB1520" s="31" t="n">
        <f aca="false">SUM(Q1520,S1520,U1520,W1520,Y1520,AA1520,AC1520,AE1520,AG1520,AI1520,AK1520,AM1520,AO1520,AQ1520,AS1520,AU1520,AW1520,AY1520)</f>
        <v>31317</v>
      </c>
      <c r="BC1520" s="28" t="n">
        <f aca="false">BA1520-BB1520</f>
        <v>0</v>
      </c>
      <c r="BD1520" s="32" t="n">
        <f aca="false">SUM(P1520,R1520,T1520,V1520,X1520,Z1520,AB1520,AD1520,AF1520,AH1520,AJ1520,AL1520,AN1520,AP1520,AR1520,AT1520,AV1520,AX1520)</f>
        <v>10439</v>
      </c>
      <c r="BE1520" s="33" t="n">
        <f aca="false">AZ1520-BD1520</f>
        <v>0</v>
      </c>
      <c r="BF1520" s="34" t="n">
        <f aca="false">BD1520*M1520</f>
        <v>31317</v>
      </c>
      <c r="BG1520" s="35" t="n">
        <f aca="false">BA1520-BF1520</f>
        <v>0</v>
      </c>
      <c r="BH1520" s="19" t="str">
        <f aca="false">IF(BG1520=0,"",IF(BG1520&lt;&gt;BA1520,"erreur de calcul",IF(BD1520&lt;&gt;0,"pas de prix",IF(M1520&lt;&gt; 0,"pas de quantité","pas de prix, ni de quantité"))))</f>
        <v/>
      </c>
      <c r="BI1520" s="19"/>
    </row>
    <row r="1521" customFormat="false" ht="15" hidden="false" customHeight="false" outlineLevel="0" collapsed="false">
      <c r="A1521" s="0" t="n">
        <v>38</v>
      </c>
      <c r="B1521" s="8" t="s">
        <v>24</v>
      </c>
      <c r="C1521" s="9" t="s">
        <v>25</v>
      </c>
      <c r="D1521" s="9" t="s">
        <v>26</v>
      </c>
      <c r="E1521" s="10" t="n">
        <v>1789</v>
      </c>
      <c r="F1521" s="9" t="s">
        <v>27</v>
      </c>
      <c r="G1521" s="9" t="s">
        <v>27</v>
      </c>
      <c r="H1521" s="11" t="n">
        <v>21</v>
      </c>
      <c r="I1521" s="11" t="s">
        <v>191</v>
      </c>
      <c r="J1521" s="14" t="n">
        <v>25</v>
      </c>
      <c r="K1521" s="14"/>
      <c r="L1521" s="16"/>
      <c r="M1521" s="27" t="n">
        <f aca="false">J1521+(K1521/20)+(L1521/240)</f>
        <v>25</v>
      </c>
      <c r="N1521" s="17" t="s">
        <v>64</v>
      </c>
      <c r="O1521" s="11"/>
      <c r="P1521" s="28"/>
      <c r="Q1521" s="28" t="n">
        <f aca="false">P1521*$M1521</f>
        <v>0</v>
      </c>
      <c r="R1521" s="28"/>
      <c r="S1521" s="28" t="n">
        <f aca="false">R1521*$M1521</f>
        <v>0</v>
      </c>
      <c r="T1521" s="28"/>
      <c r="U1521" s="28" t="n">
        <f aca="false">T1521*$M1521</f>
        <v>0</v>
      </c>
      <c r="V1521" s="28"/>
      <c r="W1521" s="28" t="n">
        <f aca="false">V1521*$M1521</f>
        <v>0</v>
      </c>
      <c r="X1521" s="28" t="n">
        <f aca="false">5034/100</f>
        <v>50.34</v>
      </c>
      <c r="Y1521" s="28" t="n">
        <v>1258</v>
      </c>
      <c r="Z1521" s="28"/>
      <c r="AA1521" s="28" t="n">
        <f aca="false">Z1521*$M1521</f>
        <v>0</v>
      </c>
      <c r="AB1521" s="28"/>
      <c r="AC1521" s="28" t="n">
        <f aca="false">AB1521*$M1521</f>
        <v>0</v>
      </c>
      <c r="AD1521" s="28"/>
      <c r="AE1521" s="28" t="n">
        <f aca="false">AD1521*$M1521</f>
        <v>0</v>
      </c>
      <c r="AF1521" s="28"/>
      <c r="AG1521" s="28" t="n">
        <f aca="false">AF1521*$M1521</f>
        <v>0</v>
      </c>
      <c r="AH1521" s="28"/>
      <c r="AI1521" s="28" t="n">
        <f aca="false">AH1521*$M1521</f>
        <v>0</v>
      </c>
      <c r="AJ1521" s="28" t="n">
        <f aca="false">1375/100</f>
        <v>13.75</v>
      </c>
      <c r="AK1521" s="28" t="n">
        <v>344</v>
      </c>
      <c r="AL1521" s="28" t="n">
        <f aca="false">6710/100</f>
        <v>67.1</v>
      </c>
      <c r="AM1521" s="28" t="n">
        <v>1677</v>
      </c>
      <c r="AN1521" s="28"/>
      <c r="AO1521" s="28" t="n">
        <f aca="false">AN1521*$M1521</f>
        <v>0</v>
      </c>
      <c r="AP1521" s="28"/>
      <c r="AQ1521" s="28" t="n">
        <f aca="false">AP1521*$M1521</f>
        <v>0</v>
      </c>
      <c r="AR1521" s="28"/>
      <c r="AS1521" s="28" t="n">
        <f aca="false">AR1521*$M1521</f>
        <v>0</v>
      </c>
      <c r="AT1521" s="28"/>
      <c r="AU1521" s="28" t="n">
        <f aca="false">AT1521*$M1521</f>
        <v>0</v>
      </c>
      <c r="AV1521" s="28"/>
      <c r="AW1521" s="28" t="n">
        <f aca="false">AV1521*$M1521</f>
        <v>0</v>
      </c>
      <c r="AX1521" s="28"/>
      <c r="AY1521" s="28" t="n">
        <f aca="false">AX1521*$M1521</f>
        <v>0</v>
      </c>
      <c r="AZ1521" s="30" t="n">
        <f aca="false">13119/100</f>
        <v>131.19</v>
      </c>
      <c r="BA1521" s="11" t="n">
        <v>3279</v>
      </c>
      <c r="BB1521" s="31" t="n">
        <f aca="false">SUM(Q1521,S1521,U1521,W1521,Y1521,AA1521,AC1521,AE1521,AG1521,AI1521,AK1521,AM1521,AO1521,AQ1521,AS1521,AU1521,AW1521,AY1521)</f>
        <v>3279</v>
      </c>
      <c r="BC1521" s="28" t="n">
        <f aca="false">BA1521-BB1521</f>
        <v>0</v>
      </c>
      <c r="BD1521" s="32" t="n">
        <f aca="false">SUM(P1521,R1521,T1521,V1521,X1521,Z1521,AB1521,AD1521,AF1521,AH1521,AJ1521,AL1521,AN1521,AP1521,AR1521,AT1521,AV1521,AX1521)</f>
        <v>131.19</v>
      </c>
      <c r="BE1521" s="33" t="n">
        <f aca="false">AZ1521-BD1521</f>
        <v>0</v>
      </c>
      <c r="BF1521" s="34" t="n">
        <f aca="false">BD1521*M1521</f>
        <v>3279.75</v>
      </c>
      <c r="BG1521" s="35" t="n">
        <f aca="false">BA1521-BF1521</f>
        <v>-0.75</v>
      </c>
      <c r="BH1521" s="19" t="str">
        <f aca="false">IF(BG1521=0,"",IF(BG1521&lt;&gt;BA1521,"erreur de calcul",IF(BD1521&lt;&gt;0,"pas de prix",IF(M1521&lt;&gt; 0,"pas de quantité","pas de prix, ni de quantité"))))</f>
        <v>erreur de calcul</v>
      </c>
      <c r="BI1521" s="19"/>
    </row>
    <row r="1522" customFormat="false" ht="15" hidden="false" customHeight="false" outlineLevel="0" collapsed="false">
      <c r="A1522" s="0" t="n">
        <v>39</v>
      </c>
      <c r="B1522" s="8" t="s">
        <v>24</v>
      </c>
      <c r="C1522" s="9" t="s">
        <v>25</v>
      </c>
      <c r="D1522" s="9" t="s">
        <v>26</v>
      </c>
      <c r="E1522" s="10" t="n">
        <v>1789</v>
      </c>
      <c r="F1522" s="9" t="s">
        <v>27</v>
      </c>
      <c r="G1522" s="9" t="s">
        <v>27</v>
      </c>
      <c r="H1522" s="11" t="n">
        <v>21</v>
      </c>
      <c r="I1522" s="11" t="s">
        <v>192</v>
      </c>
      <c r="J1522" s="14" t="n">
        <v>25</v>
      </c>
      <c r="K1522" s="14"/>
      <c r="L1522" s="16"/>
      <c r="M1522" s="27" t="n">
        <f aca="false">J1522+(K1522/20)+(L1522/240)</f>
        <v>25</v>
      </c>
      <c r="N1522" s="17" t="s">
        <v>64</v>
      </c>
      <c r="O1522" s="11"/>
      <c r="P1522" s="28"/>
      <c r="Q1522" s="28" t="n">
        <f aca="false">P1522*$M1522</f>
        <v>0</v>
      </c>
      <c r="R1522" s="28"/>
      <c r="S1522" s="28" t="n">
        <f aca="false">R1522*$M1522</f>
        <v>0</v>
      </c>
      <c r="T1522" s="28"/>
      <c r="U1522" s="28" t="n">
        <f aca="false">T1522*$M1522</f>
        <v>0</v>
      </c>
      <c r="V1522" s="28"/>
      <c r="W1522" s="28" t="n">
        <f aca="false">V1522*$M1522</f>
        <v>0</v>
      </c>
      <c r="X1522" s="28" t="n">
        <f aca="false">5561/100</f>
        <v>55.61</v>
      </c>
      <c r="Y1522" s="28" t="n">
        <v>1390</v>
      </c>
      <c r="Z1522" s="28"/>
      <c r="AA1522" s="28" t="n">
        <f aca="false">Z1522*$M1522</f>
        <v>0</v>
      </c>
      <c r="AB1522" s="28"/>
      <c r="AC1522" s="28" t="n">
        <f aca="false">AB1522*$M1522</f>
        <v>0</v>
      </c>
      <c r="AD1522" s="28"/>
      <c r="AE1522" s="28" t="n">
        <f aca="false">AD1522*$M1522</f>
        <v>0</v>
      </c>
      <c r="AF1522" s="28"/>
      <c r="AG1522" s="28" t="n">
        <f aca="false">AF1522*$M1522</f>
        <v>0</v>
      </c>
      <c r="AH1522" s="28"/>
      <c r="AI1522" s="28" t="n">
        <f aca="false">AH1522*$M1522</f>
        <v>0</v>
      </c>
      <c r="AJ1522" s="28"/>
      <c r="AK1522" s="28" t="n">
        <f aca="false">AJ1522*$M1522</f>
        <v>0</v>
      </c>
      <c r="AL1522" s="28"/>
      <c r="AM1522" s="28" t="n">
        <f aca="false">AL1522*$M1522</f>
        <v>0</v>
      </c>
      <c r="AN1522" s="28"/>
      <c r="AO1522" s="28" t="n">
        <f aca="false">AN1522*$M1522</f>
        <v>0</v>
      </c>
      <c r="AP1522" s="28"/>
      <c r="AQ1522" s="28" t="n">
        <f aca="false">AP1522*$M1522</f>
        <v>0</v>
      </c>
      <c r="AR1522" s="28"/>
      <c r="AS1522" s="28" t="n">
        <f aca="false">AR1522*$M1522</f>
        <v>0</v>
      </c>
      <c r="AT1522" s="28"/>
      <c r="AU1522" s="28" t="n">
        <f aca="false">AT1522*$M1522</f>
        <v>0</v>
      </c>
      <c r="AV1522" s="28"/>
      <c r="AW1522" s="28" t="n">
        <f aca="false">AV1522*$M1522</f>
        <v>0</v>
      </c>
      <c r="AX1522" s="28"/>
      <c r="AY1522" s="28" t="n">
        <f aca="false">AX1522*$M1522</f>
        <v>0</v>
      </c>
      <c r="AZ1522" s="30" t="n">
        <f aca="false">5561/100</f>
        <v>55.61</v>
      </c>
      <c r="BA1522" s="11" t="n">
        <v>1390</v>
      </c>
      <c r="BB1522" s="31" t="n">
        <f aca="false">SUM(Q1522,S1522,U1522,W1522,Y1522,AA1522,AC1522,AE1522,AG1522,AI1522,AK1522,AM1522,AO1522,AQ1522,AS1522,AU1522,AW1522,AY1522)</f>
        <v>1390</v>
      </c>
      <c r="BC1522" s="28" t="n">
        <f aca="false">BA1522-BB1522</f>
        <v>0</v>
      </c>
      <c r="BD1522" s="32" t="n">
        <f aca="false">SUM(P1522,R1522,T1522,V1522,X1522,Z1522,AB1522,AD1522,AF1522,AH1522,AJ1522,AL1522,AN1522,AP1522,AR1522,AT1522,AV1522,AX1522)</f>
        <v>55.61</v>
      </c>
      <c r="BE1522" s="33" t="n">
        <f aca="false">AZ1522-BD1522</f>
        <v>0</v>
      </c>
      <c r="BF1522" s="34" t="n">
        <f aca="false">BD1522*M1522</f>
        <v>1390.25</v>
      </c>
      <c r="BG1522" s="35" t="n">
        <f aca="false">BA1522-BF1522</f>
        <v>-0.25</v>
      </c>
      <c r="BH1522" s="19" t="str">
        <f aca="false">IF(BG1522=0,"",IF(BG1522&lt;&gt;BA1522,"erreur de calcul",IF(BD1522&lt;&gt;0,"pas de prix",IF(M1522&lt;&gt; 0,"pas de quantité","pas de prix, ni de quantité"))))</f>
        <v>erreur de calcul</v>
      </c>
      <c r="BI1522" s="19"/>
    </row>
    <row r="1523" customFormat="false" ht="15" hidden="false" customHeight="false" outlineLevel="0" collapsed="false">
      <c r="A1523" s="0" t="n">
        <v>40</v>
      </c>
      <c r="B1523" s="8" t="s">
        <v>24</v>
      </c>
      <c r="C1523" s="9" t="s">
        <v>25</v>
      </c>
      <c r="D1523" s="9" t="s">
        <v>26</v>
      </c>
      <c r="E1523" s="10" t="n">
        <v>1789</v>
      </c>
      <c r="F1523" s="9" t="s">
        <v>27</v>
      </c>
      <c r="G1523" s="9" t="s">
        <v>27</v>
      </c>
      <c r="H1523" s="11" t="n">
        <v>21</v>
      </c>
      <c r="I1523" s="11" t="s">
        <v>193</v>
      </c>
      <c r="J1523" s="14" t="n">
        <v>168</v>
      </c>
      <c r="K1523" s="14"/>
      <c r="L1523" s="16"/>
      <c r="M1523" s="27" t="n">
        <f aca="false">J1523+(K1523/20)+(L1523/240)</f>
        <v>168</v>
      </c>
      <c r="N1523" s="17" t="s">
        <v>64</v>
      </c>
      <c r="O1523" s="11"/>
      <c r="P1523" s="28"/>
      <c r="Q1523" s="28" t="n">
        <f aca="false">P1523*$M1523</f>
        <v>0</v>
      </c>
      <c r="R1523" s="28"/>
      <c r="S1523" s="28" t="n">
        <f aca="false">R1523*$M1523</f>
        <v>0</v>
      </c>
      <c r="T1523" s="28"/>
      <c r="U1523" s="28" t="n">
        <f aca="false">T1523*$M1523</f>
        <v>0</v>
      </c>
      <c r="V1523" s="28"/>
      <c r="W1523" s="28" t="n">
        <f aca="false">V1523*$M1523</f>
        <v>0</v>
      </c>
      <c r="X1523" s="28"/>
      <c r="Y1523" s="28" t="n">
        <f aca="false">X1523*$M1523</f>
        <v>0</v>
      </c>
      <c r="Z1523" s="28"/>
      <c r="AA1523" s="28" t="n">
        <f aca="false">Z1523*$M1523</f>
        <v>0</v>
      </c>
      <c r="AB1523" s="28"/>
      <c r="AC1523" s="28" t="n">
        <f aca="false">AB1523*$M1523</f>
        <v>0</v>
      </c>
      <c r="AD1523" s="28"/>
      <c r="AE1523" s="28" t="n">
        <f aca="false">AD1523*$M1523</f>
        <v>0</v>
      </c>
      <c r="AF1523" s="28"/>
      <c r="AG1523" s="28" t="n">
        <f aca="false">AF1523*$M1523</f>
        <v>0</v>
      </c>
      <c r="AH1523" s="28" t="n">
        <f aca="false">14590/100</f>
        <v>145.9</v>
      </c>
      <c r="AI1523" s="28" t="n">
        <v>24511</v>
      </c>
      <c r="AJ1523" s="28"/>
      <c r="AK1523" s="28" t="n">
        <f aca="false">AJ1523*$M1523</f>
        <v>0</v>
      </c>
      <c r="AL1523" s="28"/>
      <c r="AM1523" s="28" t="n">
        <f aca="false">AL1523*$M1523</f>
        <v>0</v>
      </c>
      <c r="AN1523" s="28"/>
      <c r="AO1523" s="28" t="n">
        <f aca="false">AN1523*$M1523</f>
        <v>0</v>
      </c>
      <c r="AP1523" s="28"/>
      <c r="AQ1523" s="28" t="n">
        <f aca="false">AP1523*$M1523</f>
        <v>0</v>
      </c>
      <c r="AR1523" s="28"/>
      <c r="AS1523" s="28" t="n">
        <f aca="false">AR1523*$M1523</f>
        <v>0</v>
      </c>
      <c r="AT1523" s="28"/>
      <c r="AU1523" s="28" t="n">
        <f aca="false">AT1523*$M1523</f>
        <v>0</v>
      </c>
      <c r="AV1523" s="28"/>
      <c r="AW1523" s="28" t="n">
        <f aca="false">AV1523*$M1523</f>
        <v>0</v>
      </c>
      <c r="AX1523" s="28"/>
      <c r="AY1523" s="28" t="n">
        <f aca="false">AX1523*$M1523</f>
        <v>0</v>
      </c>
      <c r="AZ1523" s="30" t="n">
        <f aca="false">14590/100</f>
        <v>145.9</v>
      </c>
      <c r="BA1523" s="11" t="n">
        <v>24511</v>
      </c>
      <c r="BB1523" s="31" t="n">
        <f aca="false">SUM(Q1523,S1523,U1523,W1523,Y1523,AA1523,AC1523,AE1523,AG1523,AI1523,AK1523,AM1523,AO1523,AQ1523,AS1523,AU1523,AW1523,AY1523)</f>
        <v>24511</v>
      </c>
      <c r="BC1523" s="28" t="n">
        <f aca="false">BA1523-BB1523</f>
        <v>0</v>
      </c>
      <c r="BD1523" s="32" t="n">
        <f aca="false">SUM(P1523,R1523,T1523,V1523,X1523,Z1523,AB1523,AD1523,AF1523,AH1523,AJ1523,AL1523,AN1523,AP1523,AR1523,AT1523,AV1523,AX1523)</f>
        <v>145.9</v>
      </c>
      <c r="BE1523" s="33" t="n">
        <f aca="false">AZ1523-BD1523</f>
        <v>0</v>
      </c>
      <c r="BF1523" s="34" t="n">
        <f aca="false">BD1523*M1523</f>
        <v>24511.2</v>
      </c>
      <c r="BG1523" s="35" t="n">
        <f aca="false">BA1523-BF1523</f>
        <v>-0.200000000000728</v>
      </c>
      <c r="BH1523" s="19" t="str">
        <f aca="false">IF(BG1523=0,"",IF(BG1523&lt;&gt;BA1523,"erreur de calcul",IF(BD1523&lt;&gt;0,"pas de prix",IF(M1523&lt;&gt; 0,"pas de quantité","pas de prix, ni de quantité"))))</f>
        <v>erreur de calcul</v>
      </c>
      <c r="BI1523" s="19"/>
    </row>
    <row r="1524" customFormat="false" ht="15" hidden="false" customHeight="false" outlineLevel="0" collapsed="false">
      <c r="A1524" s="0" t="n">
        <v>41</v>
      </c>
      <c r="B1524" s="8" t="s">
        <v>24</v>
      </c>
      <c r="C1524" s="9" t="s">
        <v>25</v>
      </c>
      <c r="D1524" s="9" t="s">
        <v>26</v>
      </c>
      <c r="E1524" s="10" t="n">
        <v>1789</v>
      </c>
      <c r="F1524" s="9" t="s">
        <v>27</v>
      </c>
      <c r="G1524" s="9" t="s">
        <v>27</v>
      </c>
      <c r="H1524" s="11" t="n">
        <v>21</v>
      </c>
      <c r="I1524" s="11" t="s">
        <v>194</v>
      </c>
      <c r="J1524" s="14" t="n">
        <v>120</v>
      </c>
      <c r="K1524" s="14"/>
      <c r="L1524" s="16"/>
      <c r="M1524" s="27" t="n">
        <f aca="false">J1524+(K1524/20)+(L1524/240)</f>
        <v>120</v>
      </c>
      <c r="N1524" s="17" t="s">
        <v>64</v>
      </c>
      <c r="O1524" s="11"/>
      <c r="P1524" s="28"/>
      <c r="Q1524" s="28" t="n">
        <f aca="false">P1524*$M1524</f>
        <v>0</v>
      </c>
      <c r="R1524" s="28"/>
      <c r="S1524" s="28" t="n">
        <f aca="false">R1524*$M1524</f>
        <v>0</v>
      </c>
      <c r="T1524" s="28"/>
      <c r="U1524" s="28" t="n">
        <f aca="false">T1524*$M1524</f>
        <v>0</v>
      </c>
      <c r="V1524" s="28"/>
      <c r="W1524" s="28" t="n">
        <f aca="false">V1524*$M1524</f>
        <v>0</v>
      </c>
      <c r="X1524" s="28"/>
      <c r="Y1524" s="28" t="n">
        <f aca="false">X1524*$M1524</f>
        <v>0</v>
      </c>
      <c r="Z1524" s="28"/>
      <c r="AA1524" s="28" t="n">
        <f aca="false">Z1524*$M1524</f>
        <v>0</v>
      </c>
      <c r="AB1524" s="28" t="n">
        <f aca="false">6930/100</f>
        <v>69.3</v>
      </c>
      <c r="AC1524" s="28" t="n">
        <v>8316</v>
      </c>
      <c r="AD1524" s="28"/>
      <c r="AE1524" s="28" t="n">
        <f aca="false">AD1524*$M1524</f>
        <v>0</v>
      </c>
      <c r="AF1524" s="28"/>
      <c r="AG1524" s="28" t="n">
        <f aca="false">AF1524*$M1524</f>
        <v>0</v>
      </c>
      <c r="AH1524" s="28"/>
      <c r="AI1524" s="28" t="n">
        <f aca="false">AH1524*$M1524</f>
        <v>0</v>
      </c>
      <c r="AJ1524" s="28"/>
      <c r="AK1524" s="28" t="n">
        <f aca="false">AJ1524*$M1524</f>
        <v>0</v>
      </c>
      <c r="AL1524" s="28"/>
      <c r="AM1524" s="28" t="n">
        <f aca="false">AL1524*$M1524</f>
        <v>0</v>
      </c>
      <c r="AN1524" s="28"/>
      <c r="AO1524" s="28" t="n">
        <f aca="false">AN1524*$M1524</f>
        <v>0</v>
      </c>
      <c r="AP1524" s="28"/>
      <c r="AQ1524" s="28" t="n">
        <f aca="false">AP1524*$M1524</f>
        <v>0</v>
      </c>
      <c r="AR1524" s="28"/>
      <c r="AS1524" s="28" t="n">
        <f aca="false">AR1524*$M1524</f>
        <v>0</v>
      </c>
      <c r="AT1524" s="28"/>
      <c r="AU1524" s="28" t="n">
        <f aca="false">AT1524*$M1524</f>
        <v>0</v>
      </c>
      <c r="AV1524" s="28"/>
      <c r="AW1524" s="28" t="n">
        <f aca="false">AV1524*$M1524</f>
        <v>0</v>
      </c>
      <c r="AX1524" s="28"/>
      <c r="AY1524" s="28" t="n">
        <f aca="false">AX1524*$M1524</f>
        <v>0</v>
      </c>
      <c r="AZ1524" s="30" t="n">
        <f aca="false">6930/100</f>
        <v>69.3</v>
      </c>
      <c r="BA1524" s="11" t="n">
        <v>8316</v>
      </c>
      <c r="BB1524" s="31" t="n">
        <f aca="false">SUM(Q1524,S1524,U1524,W1524,Y1524,AA1524,AC1524,AE1524,AG1524,AI1524,AK1524,AM1524,AO1524,AQ1524,AS1524,AU1524,AW1524,AY1524)</f>
        <v>8316</v>
      </c>
      <c r="BC1524" s="28" t="n">
        <f aca="false">BA1524-BB1524</f>
        <v>0</v>
      </c>
      <c r="BD1524" s="32" t="n">
        <f aca="false">SUM(P1524,R1524,T1524,V1524,X1524,Z1524,AB1524,AD1524,AF1524,AH1524,AJ1524,AL1524,AN1524,AP1524,AR1524,AT1524,AV1524,AX1524)</f>
        <v>69.3</v>
      </c>
      <c r="BE1524" s="33" t="n">
        <f aca="false">AZ1524-BD1524</f>
        <v>0</v>
      </c>
      <c r="BF1524" s="34" t="n">
        <f aca="false">BD1524*M1524</f>
        <v>8316</v>
      </c>
      <c r="BG1524" s="35" t="n">
        <f aca="false">BA1524-BF1524</f>
        <v>0</v>
      </c>
      <c r="BH1524" s="19" t="str">
        <f aca="false">IF(BG1524=0,"",IF(BG1524&lt;&gt;BA1524,"erreur de calcul",IF(BD1524&lt;&gt;0,"pas de prix",IF(M1524&lt;&gt; 0,"pas de quantité","pas de prix, ni de quantité"))))</f>
        <v/>
      </c>
      <c r="BI1524" s="19"/>
    </row>
    <row r="1525" customFormat="false" ht="16.65" hidden="false" customHeight="false" outlineLevel="0" collapsed="false">
      <c r="A1525" s="0" t="n">
        <v>42</v>
      </c>
      <c r="B1525" s="8" t="s">
        <v>24</v>
      </c>
      <c r="C1525" s="9" t="s">
        <v>25</v>
      </c>
      <c r="D1525" s="9" t="s">
        <v>26</v>
      </c>
      <c r="E1525" s="10" t="n">
        <v>1789</v>
      </c>
      <c r="F1525" s="9" t="s">
        <v>27</v>
      </c>
      <c r="G1525" s="9" t="s">
        <v>27</v>
      </c>
      <c r="H1525" s="11" t="n">
        <v>21</v>
      </c>
      <c r="I1525" s="11" t="s">
        <v>195</v>
      </c>
      <c r="J1525" s="14" t="n">
        <v>70</v>
      </c>
      <c r="K1525" s="14"/>
      <c r="L1525" s="16"/>
      <c r="M1525" s="27" t="n">
        <f aca="false">J1525+(K1525/20)+(L1525/240)</f>
        <v>70</v>
      </c>
      <c r="N1525" s="17" t="s">
        <v>64</v>
      </c>
      <c r="O1525" s="11"/>
      <c r="P1525" s="28"/>
      <c r="Q1525" s="28" t="n">
        <f aca="false">P1525*$M1525</f>
        <v>0</v>
      </c>
      <c r="R1525" s="28"/>
      <c r="S1525" s="28" t="n">
        <f aca="false">R1525*$M1525</f>
        <v>0</v>
      </c>
      <c r="T1525" s="28"/>
      <c r="U1525" s="28" t="n">
        <f aca="false">T1525*$M1525</f>
        <v>0</v>
      </c>
      <c r="V1525" s="28"/>
      <c r="W1525" s="28" t="n">
        <f aca="false">V1525*$M1525</f>
        <v>0</v>
      </c>
      <c r="X1525" s="28"/>
      <c r="Y1525" s="28" t="n">
        <f aca="false">X1525*$M1525</f>
        <v>0</v>
      </c>
      <c r="Z1525" s="28"/>
      <c r="AA1525" s="28" t="n">
        <f aca="false">Z1525*$M1525</f>
        <v>0</v>
      </c>
      <c r="AB1525" s="28"/>
      <c r="AC1525" s="28" t="n">
        <f aca="false">AB1525*$M1525</f>
        <v>0</v>
      </c>
      <c r="AD1525" s="28"/>
      <c r="AE1525" s="28" t="n">
        <f aca="false">AD1525*$M1525</f>
        <v>0</v>
      </c>
      <c r="AF1525" s="28"/>
      <c r="AG1525" s="28" t="n">
        <f aca="false">AF1525*$M1525</f>
        <v>0</v>
      </c>
      <c r="AH1525" s="28"/>
      <c r="AI1525" s="28" t="n">
        <f aca="false">AH1525*$M1525</f>
        <v>0</v>
      </c>
      <c r="AJ1525" s="28"/>
      <c r="AK1525" s="28" t="n">
        <f aca="false">AJ1525*$M1525</f>
        <v>0</v>
      </c>
      <c r="AL1525" s="28"/>
      <c r="AM1525" s="28" t="n">
        <f aca="false">AL1525*$M1525</f>
        <v>0</v>
      </c>
      <c r="AN1525" s="28" t="n">
        <f aca="false">13200/100</f>
        <v>132</v>
      </c>
      <c r="AO1525" s="28" t="n">
        <v>9240</v>
      </c>
      <c r="AP1525" s="28"/>
      <c r="AQ1525" s="28" t="n">
        <f aca="false">AP1525*$M1525</f>
        <v>0</v>
      </c>
      <c r="AR1525" s="28"/>
      <c r="AS1525" s="28" t="n">
        <f aca="false">AR1525*$M1525</f>
        <v>0</v>
      </c>
      <c r="AT1525" s="28"/>
      <c r="AU1525" s="28" t="n">
        <f aca="false">AT1525*$M1525</f>
        <v>0</v>
      </c>
      <c r="AV1525" s="28"/>
      <c r="AW1525" s="28" t="n">
        <f aca="false">AV1525*$M1525</f>
        <v>0</v>
      </c>
      <c r="AX1525" s="28"/>
      <c r="AY1525" s="28" t="n">
        <f aca="false">AX1525*$M1525</f>
        <v>0</v>
      </c>
      <c r="AZ1525" s="30" t="n">
        <f aca="false">13200/100</f>
        <v>132</v>
      </c>
      <c r="BA1525" s="11" t="n">
        <v>9240</v>
      </c>
      <c r="BB1525" s="31" t="n">
        <f aca="false">SUM(Q1525,S1525,U1525,W1525,Y1525,AA1525,AC1525,AE1525,AG1525,AI1525,AK1525,AM1525,AO1525,AQ1525,AS1525,AU1525,AW1525,AY1525)</f>
        <v>9240</v>
      </c>
      <c r="BC1525" s="28" t="n">
        <f aca="false">BA1525-BB1525</f>
        <v>0</v>
      </c>
      <c r="BD1525" s="32" t="n">
        <f aca="false">SUM(P1525,R1525,T1525,V1525,X1525,Z1525,AB1525,AD1525,AF1525,AH1525,AJ1525,AL1525,AN1525,AP1525,AR1525,AT1525,AV1525,AX1525)</f>
        <v>132</v>
      </c>
      <c r="BE1525" s="33" t="n">
        <f aca="false">AZ1525-BD1525</f>
        <v>0</v>
      </c>
      <c r="BF1525" s="34" t="n">
        <f aca="false">BD1525*M1525</f>
        <v>9240</v>
      </c>
      <c r="BG1525" s="35" t="n">
        <f aca="false">BA1525-BF1525</f>
        <v>0</v>
      </c>
      <c r="BH1525" s="19" t="str">
        <f aca="false">IF(BG1525=0,"",IF(BG1525&lt;&gt;BA1525,"erreur de calcul",IF(BD1525&lt;&gt;0,"pas de prix",IF(M1525&lt;&gt; 0,"pas de quantité","pas de prix, ni de quantité"))))</f>
        <v/>
      </c>
      <c r="BI1525" s="19"/>
    </row>
    <row r="1526" customFormat="false" ht="15" hidden="false" customHeight="false" outlineLevel="0" collapsed="false">
      <c r="A1526" s="0" t="n">
        <v>43</v>
      </c>
      <c r="B1526" s="8" t="s">
        <v>24</v>
      </c>
      <c r="C1526" s="9" t="s">
        <v>25</v>
      </c>
      <c r="D1526" s="9" t="s">
        <v>26</v>
      </c>
      <c r="E1526" s="10" t="n">
        <v>1789</v>
      </c>
      <c r="F1526" s="9" t="s">
        <v>27</v>
      </c>
      <c r="G1526" s="9" t="s">
        <v>27</v>
      </c>
      <c r="H1526" s="11" t="n">
        <v>21</v>
      </c>
      <c r="I1526" s="11" t="s">
        <v>196</v>
      </c>
      <c r="J1526" s="14" t="n">
        <v>65</v>
      </c>
      <c r="K1526" s="14"/>
      <c r="L1526" s="16"/>
      <c r="M1526" s="27" t="n">
        <f aca="false">J1526+(K1526/20)+(L1526/240)</f>
        <v>65</v>
      </c>
      <c r="N1526" s="17" t="s">
        <v>64</v>
      </c>
      <c r="O1526" s="11"/>
      <c r="P1526" s="28"/>
      <c r="Q1526" s="28" t="n">
        <f aca="false">P1526*$M1526</f>
        <v>0</v>
      </c>
      <c r="R1526" s="28"/>
      <c r="S1526" s="28" t="n">
        <f aca="false">R1526*$M1526</f>
        <v>0</v>
      </c>
      <c r="T1526" s="28"/>
      <c r="U1526" s="28" t="n">
        <f aca="false">T1526*$M1526</f>
        <v>0</v>
      </c>
      <c r="V1526" s="28"/>
      <c r="W1526" s="28" t="n">
        <f aca="false">V1526*$M1526</f>
        <v>0</v>
      </c>
      <c r="X1526" s="28" t="n">
        <f aca="false">44247/100</f>
        <v>442.47</v>
      </c>
      <c r="Y1526" s="28" t="n">
        <v>28760</v>
      </c>
      <c r="Z1526" s="28" t="n">
        <f aca="false">1906/100</f>
        <v>19.06</v>
      </c>
      <c r="AA1526" s="28" t="n">
        <v>1239</v>
      </c>
      <c r="AB1526" s="28"/>
      <c r="AC1526" s="28" t="n">
        <f aca="false">AB1526*$M1526</f>
        <v>0</v>
      </c>
      <c r="AD1526" s="28"/>
      <c r="AE1526" s="28" t="n">
        <f aca="false">AD1526*$M1526</f>
        <v>0</v>
      </c>
      <c r="AF1526" s="28"/>
      <c r="AG1526" s="28" t="n">
        <f aca="false">AF1526*$M1526</f>
        <v>0</v>
      </c>
      <c r="AH1526" s="28"/>
      <c r="AI1526" s="28" t="n">
        <f aca="false">AH1526*$M1526</f>
        <v>0</v>
      </c>
      <c r="AJ1526" s="28" t="n">
        <f aca="false">625/100</f>
        <v>6.25</v>
      </c>
      <c r="AK1526" s="28" t="n">
        <v>406</v>
      </c>
      <c r="AL1526" s="28"/>
      <c r="AM1526" s="28" t="n">
        <f aca="false">AL1526*$M1526</f>
        <v>0</v>
      </c>
      <c r="AN1526" s="28"/>
      <c r="AO1526" s="28" t="n">
        <f aca="false">AN1526*$M1526</f>
        <v>0</v>
      </c>
      <c r="AP1526" s="28"/>
      <c r="AQ1526" s="28" t="n">
        <f aca="false">AP1526*$M1526</f>
        <v>0</v>
      </c>
      <c r="AR1526" s="28"/>
      <c r="AS1526" s="28" t="n">
        <f aca="false">AR1526*$M1526</f>
        <v>0</v>
      </c>
      <c r="AT1526" s="28"/>
      <c r="AU1526" s="28" t="n">
        <f aca="false">AT1526*$M1526</f>
        <v>0</v>
      </c>
      <c r="AV1526" s="28"/>
      <c r="AW1526" s="28" t="n">
        <f aca="false">AV1526*$M1526</f>
        <v>0</v>
      </c>
      <c r="AX1526" s="28"/>
      <c r="AY1526" s="28" t="n">
        <f aca="false">AX1526*$M1526</f>
        <v>0</v>
      </c>
      <c r="AZ1526" s="30" t="n">
        <f aca="false">46778/100</f>
        <v>467.78</v>
      </c>
      <c r="BA1526" s="11" t="n">
        <v>30405</v>
      </c>
      <c r="BB1526" s="31" t="n">
        <f aca="false">SUM(Q1526,S1526,U1526,W1526,Y1526,AA1526,AC1526,AE1526,AG1526,AI1526,AK1526,AM1526,AO1526,AQ1526,AS1526,AU1526,AW1526,AY1526)</f>
        <v>30405</v>
      </c>
      <c r="BC1526" s="28" t="n">
        <f aca="false">BA1526-BB1526</f>
        <v>0</v>
      </c>
      <c r="BD1526" s="32" t="n">
        <f aca="false">SUM(P1526,R1526,T1526,V1526,X1526,Z1526,AB1526,AD1526,AF1526,AH1526,AJ1526,AL1526,AN1526,AP1526,AR1526,AT1526,AV1526,AX1526)</f>
        <v>467.78</v>
      </c>
      <c r="BE1526" s="33" t="n">
        <f aca="false">AZ1526-BD1526</f>
        <v>0</v>
      </c>
      <c r="BF1526" s="34" t="n">
        <f aca="false">BD1526*M1526</f>
        <v>30405.7</v>
      </c>
      <c r="BG1526" s="35" t="n">
        <f aca="false">BA1526-BF1526</f>
        <v>-0.700000000000728</v>
      </c>
      <c r="BH1526" s="19" t="str">
        <f aca="false">IF(BG1526=0,"",IF(BG1526&lt;&gt;BA1526,"erreur de calcul",IF(BD1526&lt;&gt;0,"pas de prix",IF(M1526&lt;&gt; 0,"pas de quantité","pas de prix, ni de quantité"))))</f>
        <v>erreur de calcul</v>
      </c>
      <c r="BI1526" s="19"/>
    </row>
    <row r="1527" customFormat="false" ht="15" hidden="false" customHeight="false" outlineLevel="0" collapsed="false">
      <c r="A1527" s="0" t="n">
        <v>44</v>
      </c>
      <c r="B1527" s="8" t="s">
        <v>24</v>
      </c>
      <c r="C1527" s="9" t="s">
        <v>25</v>
      </c>
      <c r="D1527" s="9" t="s">
        <v>26</v>
      </c>
      <c r="E1527" s="10" t="n">
        <v>1789</v>
      </c>
      <c r="F1527" s="9" t="s">
        <v>27</v>
      </c>
      <c r="G1527" s="9" t="s">
        <v>27</v>
      </c>
      <c r="H1527" s="11" t="n">
        <v>21</v>
      </c>
      <c r="I1527" s="11" t="s">
        <v>197</v>
      </c>
      <c r="J1527" s="14" t="n">
        <v>70</v>
      </c>
      <c r="K1527" s="14"/>
      <c r="L1527" s="16"/>
      <c r="M1527" s="27" t="n">
        <f aca="false">J1527+(K1527/20)+(L1527/240)</f>
        <v>70</v>
      </c>
      <c r="N1527" s="17" t="s">
        <v>64</v>
      </c>
      <c r="O1527" s="11"/>
      <c r="P1527" s="28"/>
      <c r="Q1527" s="28" t="n">
        <f aca="false">P1527*$M1527</f>
        <v>0</v>
      </c>
      <c r="R1527" s="28"/>
      <c r="S1527" s="28" t="n">
        <f aca="false">R1527*$M1527</f>
        <v>0</v>
      </c>
      <c r="T1527" s="28"/>
      <c r="U1527" s="28" t="n">
        <f aca="false">T1527*$M1527</f>
        <v>0</v>
      </c>
      <c r="V1527" s="28"/>
      <c r="W1527" s="28" t="n">
        <f aca="false">V1527*$M1527</f>
        <v>0</v>
      </c>
      <c r="X1527" s="28"/>
      <c r="Y1527" s="28" t="n">
        <f aca="false">X1527*$M1527</f>
        <v>0</v>
      </c>
      <c r="Z1527" s="28"/>
      <c r="AA1527" s="28" t="n">
        <f aca="false">Z1527*$M1527</f>
        <v>0</v>
      </c>
      <c r="AB1527" s="28"/>
      <c r="AC1527" s="28" t="n">
        <f aca="false">AB1527*$M1527</f>
        <v>0</v>
      </c>
      <c r="AD1527" s="28"/>
      <c r="AE1527" s="28" t="n">
        <f aca="false">AD1527*$M1527</f>
        <v>0</v>
      </c>
      <c r="AF1527" s="28"/>
      <c r="AG1527" s="28" t="n">
        <f aca="false">AF1527*$M1527</f>
        <v>0</v>
      </c>
      <c r="AH1527" s="28" t="n">
        <f aca="false">156436/100</f>
        <v>1564.36</v>
      </c>
      <c r="AI1527" s="28" t="n">
        <v>109505</v>
      </c>
      <c r="AJ1527" s="28"/>
      <c r="AK1527" s="28" t="n">
        <f aca="false">AJ1527*$M1527</f>
        <v>0</v>
      </c>
      <c r="AL1527" s="28"/>
      <c r="AM1527" s="28" t="n">
        <f aca="false">AL1527*$M1527</f>
        <v>0</v>
      </c>
      <c r="AN1527" s="28"/>
      <c r="AO1527" s="28" t="n">
        <f aca="false">AN1527*$M1527</f>
        <v>0</v>
      </c>
      <c r="AP1527" s="28"/>
      <c r="AQ1527" s="28" t="n">
        <f aca="false">AP1527*$M1527</f>
        <v>0</v>
      </c>
      <c r="AR1527" s="28"/>
      <c r="AS1527" s="28" t="n">
        <f aca="false">AR1527*$M1527</f>
        <v>0</v>
      </c>
      <c r="AT1527" s="28"/>
      <c r="AU1527" s="28" t="n">
        <f aca="false">AT1527*$M1527</f>
        <v>0</v>
      </c>
      <c r="AV1527" s="28"/>
      <c r="AW1527" s="28" t="n">
        <f aca="false">AV1527*$M1527</f>
        <v>0</v>
      </c>
      <c r="AX1527" s="28"/>
      <c r="AY1527" s="28" t="n">
        <f aca="false">AX1527*$M1527</f>
        <v>0</v>
      </c>
      <c r="AZ1527" s="30" t="n">
        <f aca="false">156436/100</f>
        <v>1564.36</v>
      </c>
      <c r="BA1527" s="11" t="n">
        <v>109505</v>
      </c>
      <c r="BB1527" s="31" t="n">
        <f aca="false">SUM(Q1527,S1527,U1527,W1527,Y1527,AA1527,AC1527,AE1527,AG1527,AI1527,AK1527,AM1527,AO1527,AQ1527,AS1527,AU1527,AW1527,AY1527)</f>
        <v>109505</v>
      </c>
      <c r="BC1527" s="28" t="n">
        <f aca="false">BA1527-BB1527</f>
        <v>0</v>
      </c>
      <c r="BD1527" s="32" t="n">
        <f aca="false">SUM(P1527,R1527,T1527,V1527,X1527,Z1527,AB1527,AD1527,AF1527,AH1527,AJ1527,AL1527,AN1527,AP1527,AR1527,AT1527,AV1527,AX1527)</f>
        <v>1564.36</v>
      </c>
      <c r="BE1527" s="33" t="n">
        <f aca="false">AZ1527-BD1527</f>
        <v>0</v>
      </c>
      <c r="BF1527" s="34" t="n">
        <f aca="false">BD1527*M1527</f>
        <v>109505.2</v>
      </c>
      <c r="BG1527" s="35" t="n">
        <f aca="false">BA1527-BF1527</f>
        <v>-0.19999999999709</v>
      </c>
      <c r="BH1527" s="19" t="str">
        <f aca="false">IF(BG1527=0,"",IF(BG1527&lt;&gt;BA1527,"erreur de calcul",IF(BD1527&lt;&gt;0,"pas de prix",IF(M1527&lt;&gt; 0,"pas de quantité","pas de prix, ni de quantité"))))</f>
        <v>erreur de calcul</v>
      </c>
      <c r="BI1527" s="19"/>
    </row>
    <row r="1528" customFormat="false" ht="15" hidden="false" customHeight="false" outlineLevel="0" collapsed="false">
      <c r="A1528" s="0" t="n">
        <v>45</v>
      </c>
      <c r="B1528" s="8" t="s">
        <v>24</v>
      </c>
      <c r="C1528" s="9" t="s">
        <v>25</v>
      </c>
      <c r="D1528" s="9" t="s">
        <v>26</v>
      </c>
      <c r="E1528" s="10" t="n">
        <v>1789</v>
      </c>
      <c r="F1528" s="9" t="s">
        <v>27</v>
      </c>
      <c r="G1528" s="9" t="s">
        <v>27</v>
      </c>
      <c r="H1528" s="11" t="n">
        <v>21</v>
      </c>
      <c r="I1528" s="11" t="s">
        <v>198</v>
      </c>
      <c r="J1528" s="14"/>
      <c r="K1528" s="14"/>
      <c r="L1528" s="16"/>
      <c r="M1528" s="27" t="n">
        <f aca="false">J1528+(K1528/20)+(L1528/240)</f>
        <v>0</v>
      </c>
      <c r="N1528" s="17"/>
      <c r="O1528" s="11" t="s">
        <v>98</v>
      </c>
      <c r="P1528" s="28"/>
      <c r="Q1528" s="28" t="n">
        <v>387</v>
      </c>
      <c r="R1528" s="28"/>
      <c r="S1528" s="28" t="n">
        <f aca="false">R1528*$M1528</f>
        <v>0</v>
      </c>
      <c r="T1528" s="28"/>
      <c r="U1528" s="28" t="n">
        <v>2349</v>
      </c>
      <c r="V1528" s="28"/>
      <c r="W1528" s="28" t="n">
        <v>978</v>
      </c>
      <c r="X1528" s="28"/>
      <c r="Y1528" s="28" t="n">
        <f aca="false">X1528*$M1528</f>
        <v>0</v>
      </c>
      <c r="Z1528" s="28"/>
      <c r="AA1528" s="28" t="n">
        <f aca="false">Z1528*$M1528</f>
        <v>0</v>
      </c>
      <c r="AB1528" s="28"/>
      <c r="AC1528" s="28" t="n">
        <v>328</v>
      </c>
      <c r="AD1528" s="28"/>
      <c r="AE1528" s="28" t="n">
        <f aca="false">AD1528*$M1528</f>
        <v>0</v>
      </c>
      <c r="AF1528" s="28"/>
      <c r="AG1528" s="28" t="n">
        <f aca="false">AF1528*$M1528</f>
        <v>0</v>
      </c>
      <c r="AH1528" s="28"/>
      <c r="AI1528" s="28" t="n">
        <v>878</v>
      </c>
      <c r="AJ1528" s="28"/>
      <c r="AK1528" s="28" t="n">
        <v>1546</v>
      </c>
      <c r="AL1528" s="28"/>
      <c r="AM1528" s="28" t="n">
        <f aca="false">AL1528*$M1528</f>
        <v>0</v>
      </c>
      <c r="AN1528" s="28"/>
      <c r="AO1528" s="28" t="n">
        <f aca="false">AN1528*$M1528</f>
        <v>0</v>
      </c>
      <c r="AP1528" s="28"/>
      <c r="AQ1528" s="28" t="n">
        <f aca="false">AP1528*$M1528</f>
        <v>0</v>
      </c>
      <c r="AR1528" s="28"/>
      <c r="AS1528" s="28" t="n">
        <f aca="false">AR1528*$M1528</f>
        <v>0</v>
      </c>
      <c r="AT1528" s="28"/>
      <c r="AU1528" s="28" t="n">
        <f aca="false">AT1528*$M1528</f>
        <v>0</v>
      </c>
      <c r="AV1528" s="28"/>
      <c r="AW1528" s="28" t="n">
        <f aca="false">AV1528*$M1528</f>
        <v>0</v>
      </c>
      <c r="AX1528" s="28"/>
      <c r="AY1528" s="28" t="n">
        <f aca="false">AX1528*$M1528</f>
        <v>0</v>
      </c>
      <c r="AZ1528" s="30"/>
      <c r="BA1528" s="11" t="n">
        <v>6466</v>
      </c>
      <c r="BB1528" s="31" t="n">
        <f aca="false">SUM(Q1528,S1528,U1528,W1528,Y1528,AA1528,AC1528,AE1528,AG1528,AI1528,AK1528,AM1528,AO1528,AQ1528,AS1528,AU1528,AW1528,AY1528)</f>
        <v>6466</v>
      </c>
      <c r="BC1528" s="28" t="n">
        <f aca="false">BA1528-BB1528</f>
        <v>0</v>
      </c>
      <c r="BD1528" s="32" t="n">
        <f aca="false">SUM(P1528,R1528,T1528,V1528,X1528,Z1528,AB1528,AD1528,AF1528,AH1528,AJ1528,AL1528,AN1528,AP1528,AR1528,AT1528,AV1528,AX1528)</f>
        <v>0</v>
      </c>
      <c r="BE1528" s="33" t="n">
        <f aca="false">AZ1528-BD1528</f>
        <v>0</v>
      </c>
      <c r="BF1528" s="34" t="n">
        <f aca="false">BD1528*M1528</f>
        <v>0</v>
      </c>
      <c r="BG1528" s="35" t="n">
        <f aca="false">BA1528-BF1528</f>
        <v>6466</v>
      </c>
      <c r="BH1528" s="19" t="str">
        <f aca="false">IF(BG1528=0,"",IF(BG1528&lt;&gt;BA1528,"erreur de calcul",IF(BD1528&lt;&gt;0,"pas de prix",IF(M1528&lt;&gt; 0,"pas de quantité","pas de prix, ni de quantité"))))</f>
        <v>pas de prix, ni de quantité</v>
      </c>
      <c r="BI1528" s="19"/>
    </row>
    <row r="1529" customFormat="false" ht="15" hidden="false" customHeight="false" outlineLevel="0" collapsed="false">
      <c r="A1529" s="0" t="n">
        <v>46</v>
      </c>
      <c r="B1529" s="8" t="s">
        <v>24</v>
      </c>
      <c r="C1529" s="9" t="s">
        <v>25</v>
      </c>
      <c r="D1529" s="9" t="s">
        <v>26</v>
      </c>
      <c r="E1529" s="10" t="n">
        <v>1789</v>
      </c>
      <c r="F1529" s="9" t="s">
        <v>27</v>
      </c>
      <c r="G1529" s="9" t="s">
        <v>27</v>
      </c>
      <c r="H1529" s="11" t="n">
        <v>21</v>
      </c>
      <c r="I1529" s="11" t="s">
        <v>199</v>
      </c>
      <c r="J1529" s="14" t="n">
        <v>27</v>
      </c>
      <c r="K1529" s="14"/>
      <c r="L1529" s="16"/>
      <c r="M1529" s="27" t="n">
        <f aca="false">J1529+(K1529/20)+(L1529/240)</f>
        <v>27</v>
      </c>
      <c r="N1529" s="17" t="s">
        <v>64</v>
      </c>
      <c r="O1529" s="11"/>
      <c r="P1529" s="28" t="n">
        <f aca="false">108627/100</f>
        <v>1086.27</v>
      </c>
      <c r="Q1529" s="28" t="n">
        <v>29329</v>
      </c>
      <c r="R1529" s="28"/>
      <c r="S1529" s="28" t="n">
        <f aca="false">R1529*$M1529</f>
        <v>0</v>
      </c>
      <c r="T1529" s="28"/>
      <c r="U1529" s="28" t="n">
        <f aca="false">T1529*$M1529</f>
        <v>0</v>
      </c>
      <c r="V1529" s="28"/>
      <c r="W1529" s="28" t="n">
        <f aca="false">V1529*$M1529</f>
        <v>0</v>
      </c>
      <c r="X1529" s="28"/>
      <c r="Y1529" s="28" t="n">
        <f aca="false">X1529*$M1529</f>
        <v>0</v>
      </c>
      <c r="Z1529" s="28" t="n">
        <f aca="false">535243/100</f>
        <v>5352.43</v>
      </c>
      <c r="AA1529" s="28" t="n">
        <v>144516</v>
      </c>
      <c r="AB1529" s="28"/>
      <c r="AC1529" s="28" t="n">
        <f aca="false">AB1529*$M1529</f>
        <v>0</v>
      </c>
      <c r="AD1529" s="28" t="n">
        <f aca="false">75759/100</f>
        <v>757.59</v>
      </c>
      <c r="AE1529" s="28" t="n">
        <v>20455</v>
      </c>
      <c r="AF1529" s="28"/>
      <c r="AG1529" s="28" t="n">
        <f aca="false">AF1529*$M1529</f>
        <v>0</v>
      </c>
      <c r="AH1529" s="28" t="n">
        <f aca="false">77800/100</f>
        <v>778</v>
      </c>
      <c r="AI1529" s="36" t="n">
        <v>21016</v>
      </c>
      <c r="AJ1529" s="28" t="n">
        <f aca="false">28078/100</f>
        <v>280.78</v>
      </c>
      <c r="AK1529" s="28" t="n">
        <v>7581</v>
      </c>
      <c r="AL1529" s="28" t="n">
        <f aca="false">15417/100</f>
        <v>154.17</v>
      </c>
      <c r="AM1529" s="28" t="n">
        <v>4162</v>
      </c>
      <c r="AN1529" s="28"/>
      <c r="AO1529" s="28" t="n">
        <f aca="false">AN1529*$M1529</f>
        <v>0</v>
      </c>
      <c r="AP1529" s="28"/>
      <c r="AQ1529" s="28" t="n">
        <f aca="false">AP1529*$M1529</f>
        <v>0</v>
      </c>
      <c r="AR1529" s="28"/>
      <c r="AS1529" s="28" t="n">
        <f aca="false">AR1529*$M1529</f>
        <v>0</v>
      </c>
      <c r="AT1529" s="28"/>
      <c r="AU1529" s="28" t="n">
        <f aca="false">AT1529*$M1529</f>
        <v>0</v>
      </c>
      <c r="AV1529" s="28"/>
      <c r="AW1529" s="28" t="n">
        <f aca="false">AV1529*$M1529</f>
        <v>0</v>
      </c>
      <c r="AX1529" s="28"/>
      <c r="AY1529" s="28" t="n">
        <f aca="false">AX1529*$M1529</f>
        <v>0</v>
      </c>
      <c r="AZ1529" s="30" t="n">
        <f aca="false">840924/100</f>
        <v>8409.24</v>
      </c>
      <c r="BA1529" s="11" t="n">
        <v>227059</v>
      </c>
      <c r="BB1529" s="31" t="n">
        <f aca="false">SUM(Q1529,S1529,U1529,W1529,Y1529,AA1529,AC1529,AE1529,AG1529,AI1529,AK1529,AM1529,AO1529,AQ1529,AS1529,AU1529,AW1529,AY1529)</f>
        <v>227059</v>
      </c>
      <c r="BC1529" s="28" t="n">
        <f aca="false">BA1529-BB1529</f>
        <v>0</v>
      </c>
      <c r="BD1529" s="32" t="n">
        <f aca="false">SUM(P1529,R1529,T1529,V1529,X1529,Z1529,AB1529,AD1529,AF1529,AH1529,AJ1529,AL1529,AN1529,AP1529,AR1529,AT1529,AV1529,AX1529)</f>
        <v>8409.24</v>
      </c>
      <c r="BE1529" s="33" t="n">
        <f aca="false">AZ1529-BD1529</f>
        <v>0</v>
      </c>
      <c r="BF1529" s="34" t="n">
        <f aca="false">BD1529*M1529</f>
        <v>227049.48</v>
      </c>
      <c r="BG1529" s="35" t="n">
        <f aca="false">BA1529-BF1529</f>
        <v>9.52000000001863</v>
      </c>
      <c r="BH1529" s="19" t="str">
        <f aca="false">IF(BG1529=0,"",IF(BG1529&lt;&gt;BA1529,"erreur de calcul",IF(BD1529&lt;&gt;0,"pas de prix",IF(M1529&lt;&gt; 0,"pas de quantité","pas de prix, ni de quantité"))))</f>
        <v>erreur de calcul</v>
      </c>
      <c r="BI1529" s="19"/>
    </row>
    <row r="1530" customFormat="false" ht="15" hidden="false" customHeight="false" outlineLevel="0" collapsed="false">
      <c r="A1530" s="0" t="n">
        <v>47</v>
      </c>
      <c r="B1530" s="8" t="s">
        <v>24</v>
      </c>
      <c r="C1530" s="9" t="s">
        <v>25</v>
      </c>
      <c r="D1530" s="9" t="s">
        <v>26</v>
      </c>
      <c r="E1530" s="10" t="n">
        <v>1789</v>
      </c>
      <c r="F1530" s="9" t="s">
        <v>27</v>
      </c>
      <c r="G1530" s="9" t="s">
        <v>27</v>
      </c>
      <c r="H1530" s="11" t="n">
        <v>21</v>
      </c>
      <c r="I1530" s="11" t="s">
        <v>200</v>
      </c>
      <c r="J1530" s="14" t="n">
        <v>25</v>
      </c>
      <c r="K1530" s="14"/>
      <c r="L1530" s="16"/>
      <c r="M1530" s="27" t="n">
        <f aca="false">J1530+(K1530/20)+(L1530/240)</f>
        <v>25</v>
      </c>
      <c r="N1530" s="17" t="s">
        <v>64</v>
      </c>
      <c r="O1530" s="11"/>
      <c r="P1530" s="28"/>
      <c r="Q1530" s="28" t="n">
        <f aca="false">P1530*$M1530</f>
        <v>0</v>
      </c>
      <c r="R1530" s="28"/>
      <c r="S1530" s="28" t="n">
        <f aca="false">R1530*$M1530</f>
        <v>0</v>
      </c>
      <c r="T1530" s="28" t="n">
        <f aca="false">56427/100</f>
        <v>564.27</v>
      </c>
      <c r="U1530" s="28" t="n">
        <v>14107</v>
      </c>
      <c r="V1530" s="28"/>
      <c r="W1530" s="28" t="n">
        <f aca="false">V1530*$M1530</f>
        <v>0</v>
      </c>
      <c r="X1530" s="28" t="n">
        <f aca="false">98758/100</f>
        <v>987.58</v>
      </c>
      <c r="Y1530" s="28" t="n">
        <v>24689</v>
      </c>
      <c r="Z1530" s="28"/>
      <c r="AA1530" s="28" t="n">
        <f aca="false">Z1530*$M1530</f>
        <v>0</v>
      </c>
      <c r="AB1530" s="28"/>
      <c r="AC1530" s="28" t="n">
        <f aca="false">AB1530*$M1530</f>
        <v>0</v>
      </c>
      <c r="AD1530" s="28"/>
      <c r="AE1530" s="28" t="n">
        <f aca="false">AD1530*$M1530</f>
        <v>0</v>
      </c>
      <c r="AF1530" s="28"/>
      <c r="AG1530" s="28" t="n">
        <f aca="false">AF1530*$M1530</f>
        <v>0</v>
      </c>
      <c r="AH1530" s="28"/>
      <c r="AI1530" s="28" t="n">
        <f aca="false">AH1530*$M1530</f>
        <v>0</v>
      </c>
      <c r="AJ1530" s="28"/>
      <c r="AK1530" s="28" t="n">
        <f aca="false">AJ1530*$M1530</f>
        <v>0</v>
      </c>
      <c r="AL1530" s="28"/>
      <c r="AM1530" s="28" t="n">
        <f aca="false">AL1530*$M1530</f>
        <v>0</v>
      </c>
      <c r="AN1530" s="28"/>
      <c r="AO1530" s="28" t="n">
        <f aca="false">AN1530*$M1530</f>
        <v>0</v>
      </c>
      <c r="AP1530" s="28"/>
      <c r="AQ1530" s="28" t="n">
        <f aca="false">AP1530*$M1530</f>
        <v>0</v>
      </c>
      <c r="AR1530" s="28"/>
      <c r="AS1530" s="28" t="n">
        <f aca="false">AR1530*$M1530</f>
        <v>0</v>
      </c>
      <c r="AT1530" s="28"/>
      <c r="AU1530" s="28" t="n">
        <f aca="false">AT1530*$M1530</f>
        <v>0</v>
      </c>
      <c r="AV1530" s="28"/>
      <c r="AW1530" s="28" t="n">
        <f aca="false">AV1530*$M1530</f>
        <v>0</v>
      </c>
      <c r="AX1530" s="28"/>
      <c r="AY1530" s="28" t="n">
        <f aca="false">AX1530*$M1530</f>
        <v>0</v>
      </c>
      <c r="AZ1530" s="30" t="n">
        <f aca="false">155115/100</f>
        <v>1551.15</v>
      </c>
      <c r="BA1530" s="11" t="n">
        <v>38796</v>
      </c>
      <c r="BB1530" s="31" t="n">
        <f aca="false">SUM(Q1530,S1530,U1530,W1530,Y1530,AA1530,AC1530,AE1530,AG1530,AI1530,AK1530,AM1530,AO1530,AQ1530,AS1530,AU1530,AW1530,AY1530)</f>
        <v>38796</v>
      </c>
      <c r="BC1530" s="28" t="n">
        <f aca="false">BA1530-BB1530</f>
        <v>0</v>
      </c>
      <c r="BD1530" s="32" t="n">
        <f aca="false">SUM(P1530,R1530,T1530,V1530,X1530,Z1530,AB1530,AD1530,AF1530,AH1530,AJ1530,AL1530,AN1530,AP1530,AR1530,AT1530,AV1530,AX1530)</f>
        <v>1551.85</v>
      </c>
      <c r="BE1530" s="33" t="n">
        <f aca="false">AZ1530-BD1530</f>
        <v>-0.699999999999818</v>
      </c>
      <c r="BF1530" s="34" t="n">
        <f aca="false">BD1530*M1530</f>
        <v>38796.25</v>
      </c>
      <c r="BG1530" s="35" t="n">
        <f aca="false">BA1530-BF1530</f>
        <v>-0.25</v>
      </c>
      <c r="BH1530" s="19" t="str">
        <f aca="false">IF(BG1530=0,"",IF(BG1530&lt;&gt;BA1530,"erreur de calcul",IF(BD1530&lt;&gt;0,"pas de prix",IF(M1530&lt;&gt; 0,"pas de quantité","pas de prix, ni de quantité"))))</f>
        <v>erreur de calcul</v>
      </c>
      <c r="BI1530" s="19"/>
    </row>
    <row r="1531" customFormat="false" ht="15" hidden="false" customHeight="false" outlineLevel="0" collapsed="false">
      <c r="A1531" s="0" t="n">
        <v>48</v>
      </c>
      <c r="B1531" s="8" t="s">
        <v>24</v>
      </c>
      <c r="C1531" s="9" t="s">
        <v>25</v>
      </c>
      <c r="D1531" s="9" t="s">
        <v>26</v>
      </c>
      <c r="E1531" s="10" t="n">
        <v>1789</v>
      </c>
      <c r="F1531" s="9" t="s">
        <v>27</v>
      </c>
      <c r="G1531" s="9" t="s">
        <v>27</v>
      </c>
      <c r="H1531" s="11" t="n">
        <v>21</v>
      </c>
      <c r="I1531" s="11" t="s">
        <v>201</v>
      </c>
      <c r="J1531" s="14"/>
      <c r="K1531" s="14" t="n">
        <v>15</v>
      </c>
      <c r="L1531" s="16"/>
      <c r="M1531" s="27" t="n">
        <f aca="false">J1531+(K1531/20)+(L1531/240)</f>
        <v>0.75</v>
      </c>
      <c r="N1531" s="17" t="s">
        <v>66</v>
      </c>
      <c r="O1531" s="11"/>
      <c r="P1531" s="28"/>
      <c r="Q1531" s="28" t="n">
        <f aca="false">P1531*$M1531</f>
        <v>0</v>
      </c>
      <c r="R1531" s="28"/>
      <c r="S1531" s="28" t="n">
        <f aca="false">R1531*$M1531</f>
        <v>0</v>
      </c>
      <c r="T1531" s="28"/>
      <c r="U1531" s="28" t="n">
        <f aca="false">T1531*$M1531</f>
        <v>0</v>
      </c>
      <c r="V1531" s="28"/>
      <c r="W1531" s="28" t="n">
        <f aca="false">V1531*$M1531</f>
        <v>0</v>
      </c>
      <c r="X1531" s="28"/>
      <c r="Y1531" s="28" t="n">
        <f aca="false">X1531*$M1531</f>
        <v>0</v>
      </c>
      <c r="Z1531" s="28"/>
      <c r="AA1531" s="28" t="n">
        <f aca="false">Z1531*$M1531</f>
        <v>0</v>
      </c>
      <c r="AB1531" s="28"/>
      <c r="AC1531" s="28" t="n">
        <f aca="false">AB1531*$M1531</f>
        <v>0</v>
      </c>
      <c r="AD1531" s="28"/>
      <c r="AE1531" s="28" t="n">
        <f aca="false">AD1531*$M1531</f>
        <v>0</v>
      </c>
      <c r="AF1531" s="28"/>
      <c r="AG1531" s="28" t="n">
        <f aca="false">AF1531*$M1531</f>
        <v>0</v>
      </c>
      <c r="AH1531" s="28"/>
      <c r="AI1531" s="28" t="n">
        <f aca="false">AH1531*$M1531</f>
        <v>0</v>
      </c>
      <c r="AJ1531" s="28" t="n">
        <v>6171</v>
      </c>
      <c r="AK1531" s="28" t="n">
        <v>4628</v>
      </c>
      <c r="AL1531" s="28"/>
      <c r="AM1531" s="28" t="n">
        <f aca="false">AL1531*$M1531</f>
        <v>0</v>
      </c>
      <c r="AN1531" s="28"/>
      <c r="AO1531" s="28" t="n">
        <f aca="false">AN1531*$M1531</f>
        <v>0</v>
      </c>
      <c r="AP1531" s="28"/>
      <c r="AQ1531" s="28" t="n">
        <f aca="false">AP1531*$M1531</f>
        <v>0</v>
      </c>
      <c r="AR1531" s="28"/>
      <c r="AS1531" s="28" t="n">
        <f aca="false">AR1531*$M1531</f>
        <v>0</v>
      </c>
      <c r="AT1531" s="28"/>
      <c r="AU1531" s="28" t="n">
        <f aca="false">AT1531*$M1531</f>
        <v>0</v>
      </c>
      <c r="AV1531" s="28"/>
      <c r="AW1531" s="28" t="n">
        <f aca="false">AV1531*$M1531</f>
        <v>0</v>
      </c>
      <c r="AX1531" s="28"/>
      <c r="AY1531" s="28" t="n">
        <f aca="false">AX1531*$M1531</f>
        <v>0</v>
      </c>
      <c r="AZ1531" s="30" t="n">
        <v>6171</v>
      </c>
      <c r="BA1531" s="11" t="n">
        <v>4628</v>
      </c>
      <c r="BB1531" s="31" t="n">
        <f aca="false">SUM(Q1531,S1531,U1531,W1531,Y1531,AA1531,AC1531,AE1531,AG1531,AI1531,AK1531,AM1531,AO1531,AQ1531,AS1531,AU1531,AW1531,AY1531)</f>
        <v>4628</v>
      </c>
      <c r="BC1531" s="28" t="n">
        <f aca="false">BA1531-BB1531</f>
        <v>0</v>
      </c>
      <c r="BD1531" s="32" t="n">
        <f aca="false">SUM(P1531,R1531,T1531,V1531,X1531,Z1531,AB1531,AD1531,AF1531,AH1531,AJ1531,AL1531,AN1531,AP1531,AR1531,AT1531,AV1531,AX1531)</f>
        <v>6171</v>
      </c>
      <c r="BE1531" s="33" t="n">
        <f aca="false">AZ1531-BD1531</f>
        <v>0</v>
      </c>
      <c r="BF1531" s="34" t="n">
        <f aca="false">BD1531*M1531</f>
        <v>4628.25</v>
      </c>
      <c r="BG1531" s="35" t="n">
        <f aca="false">BA1531-BF1531</f>
        <v>-0.25</v>
      </c>
      <c r="BH1531" s="19" t="str">
        <f aca="false">IF(BG1531=0,"",IF(BG1531&lt;&gt;BA1531,"erreur de calcul",IF(BD1531&lt;&gt;0,"pas de prix",IF(M1531&lt;&gt; 0,"pas de quantité","pas de prix, ni de quantité"))))</f>
        <v>erreur de calcul</v>
      </c>
      <c r="BI1531" s="19"/>
    </row>
    <row r="1532" customFormat="false" ht="15" hidden="false" customHeight="false" outlineLevel="0" collapsed="false">
      <c r="A1532" s="0" t="n">
        <v>1</v>
      </c>
      <c r="B1532" s="8" t="s">
        <v>24</v>
      </c>
      <c r="C1532" s="9" t="s">
        <v>25</v>
      </c>
      <c r="D1532" s="9" t="s">
        <v>26</v>
      </c>
      <c r="E1532" s="10" t="n">
        <v>1789</v>
      </c>
      <c r="F1532" s="9" t="s">
        <v>27</v>
      </c>
      <c r="G1532" s="9" t="s">
        <v>27</v>
      </c>
      <c r="H1532" s="11" t="n">
        <v>22</v>
      </c>
      <c r="I1532" s="11" t="s">
        <v>202</v>
      </c>
      <c r="J1532" s="14" t="n">
        <v>10</v>
      </c>
      <c r="K1532" s="14"/>
      <c r="L1532" s="16"/>
      <c r="M1532" s="27" t="n">
        <f aca="false">J1532+(K1532/20)+(L1532/240)</f>
        <v>10</v>
      </c>
      <c r="N1532" s="17" t="s">
        <v>64</v>
      </c>
      <c r="O1532" s="11"/>
      <c r="P1532" s="28" t="n">
        <f aca="false">36147/100</f>
        <v>361.47</v>
      </c>
      <c r="Q1532" s="28" t="n">
        <v>3615</v>
      </c>
      <c r="R1532" s="28"/>
      <c r="S1532" s="28" t="n">
        <f aca="false">R1532*$M1532</f>
        <v>0</v>
      </c>
      <c r="T1532" s="28"/>
      <c r="U1532" s="28" t="n">
        <f aca="false">T1532*$M1532</f>
        <v>0</v>
      </c>
      <c r="V1532" s="28"/>
      <c r="W1532" s="28" t="n">
        <f aca="false">V1532*$M1532</f>
        <v>0</v>
      </c>
      <c r="X1532" s="28"/>
      <c r="Y1532" s="28" t="n">
        <f aca="false">X1532*$M1532</f>
        <v>0</v>
      </c>
      <c r="Z1532" s="28"/>
      <c r="AA1532" s="28" t="n">
        <f aca="false">Z1532*$M1532</f>
        <v>0</v>
      </c>
      <c r="AB1532" s="28" t="n">
        <f aca="false">14437/100</f>
        <v>144.37</v>
      </c>
      <c r="AC1532" s="28" t="n">
        <v>1444</v>
      </c>
      <c r="AD1532" s="28"/>
      <c r="AE1532" s="28" t="n">
        <f aca="false">AD1532*$M1532</f>
        <v>0</v>
      </c>
      <c r="AF1532" s="28"/>
      <c r="AG1532" s="28" t="n">
        <f aca="false">AF1532*$M1532</f>
        <v>0</v>
      </c>
      <c r="AH1532" s="28"/>
      <c r="AI1532" s="28" t="n">
        <f aca="false">AH1532*$M1532</f>
        <v>0</v>
      </c>
      <c r="AJ1532" s="28" t="n">
        <f aca="false">36351/100</f>
        <v>363.51</v>
      </c>
      <c r="AK1532" s="28" t="n">
        <v>3635</v>
      </c>
      <c r="AL1532" s="28"/>
      <c r="AM1532" s="28" t="n">
        <f aca="false">AL1532*$M1532</f>
        <v>0</v>
      </c>
      <c r="AN1532" s="28"/>
      <c r="AO1532" s="28" t="n">
        <f aca="false">AN1532*$M1532</f>
        <v>0</v>
      </c>
      <c r="AP1532" s="28"/>
      <c r="AQ1532" s="28" t="n">
        <f aca="false">AP1532*$M1532</f>
        <v>0</v>
      </c>
      <c r="AR1532" s="28" t="n">
        <f aca="false">25120/100</f>
        <v>251.2</v>
      </c>
      <c r="AS1532" s="28" t="n">
        <v>2512</v>
      </c>
      <c r="AT1532" s="28"/>
      <c r="AU1532" s="28" t="n">
        <f aca="false">AT1532*$M1532</f>
        <v>0</v>
      </c>
      <c r="AV1532" s="28"/>
      <c r="AW1532" s="28" t="n">
        <f aca="false">AV1532*$M1532</f>
        <v>0</v>
      </c>
      <c r="AX1532" s="28"/>
      <c r="AY1532" s="28" t="n">
        <f aca="false">AX1532*$M1532</f>
        <v>0</v>
      </c>
      <c r="AZ1532" s="30" t="n">
        <f aca="false">112055/100</f>
        <v>1120.55</v>
      </c>
      <c r="BA1532" s="11" t="n">
        <v>11206</v>
      </c>
      <c r="BB1532" s="31" t="n">
        <f aca="false">SUM(Q1532,S1532,U1532,W1532,Y1532,AA1532,AC1532,AE1532,AG1532,AI1532,AK1532,AM1532,AO1532,AQ1532,AS1532,AU1532,AW1532,AY1532)</f>
        <v>11206</v>
      </c>
      <c r="BC1532" s="28" t="n">
        <f aca="false">BA1532-BB1532</f>
        <v>0</v>
      </c>
      <c r="BD1532" s="32" t="n">
        <f aca="false">SUM(P1532,R1532,T1532,V1532,X1532,Z1532,AB1532,AD1532,AF1532,AH1532,AJ1532,AL1532,AN1532,AP1532,AR1532,AT1532,AV1532,AX1532)</f>
        <v>1120.55</v>
      </c>
      <c r="BE1532" s="33" t="n">
        <f aca="false">AZ1532-BD1532</f>
        <v>0</v>
      </c>
      <c r="BF1532" s="34" t="n">
        <f aca="false">BD1532*M1532</f>
        <v>11205.5</v>
      </c>
      <c r="BG1532" s="35" t="n">
        <f aca="false">BA1532-BF1532</f>
        <v>0.499999999998181</v>
      </c>
      <c r="BH1532" s="19" t="str">
        <f aca="false">IF(BG1532=0,"",IF(BG1532&lt;&gt;BA1532,"erreur de calcul",IF(BD1532&lt;&gt;0,"pas de prix",IF(M1532&lt;&gt; 0,"pas de quantité","pas de prix, ni de quantité"))))</f>
        <v>erreur de calcul</v>
      </c>
      <c r="BI1532" s="19"/>
    </row>
    <row r="1533" customFormat="false" ht="15" hidden="false" customHeight="false" outlineLevel="0" collapsed="false">
      <c r="A1533" s="0" t="n">
        <v>2</v>
      </c>
      <c r="B1533" s="8" t="s">
        <v>24</v>
      </c>
      <c r="C1533" s="9" t="s">
        <v>25</v>
      </c>
      <c r="D1533" s="9" t="s">
        <v>26</v>
      </c>
      <c r="E1533" s="10" t="n">
        <v>1789</v>
      </c>
      <c r="F1533" s="9" t="s">
        <v>27</v>
      </c>
      <c r="G1533" s="9" t="s">
        <v>27</v>
      </c>
      <c r="H1533" s="11" t="n">
        <v>22</v>
      </c>
      <c r="I1533" s="11" t="s">
        <v>203</v>
      </c>
      <c r="J1533" s="14" t="n">
        <v>20</v>
      </c>
      <c r="K1533" s="14"/>
      <c r="L1533" s="16"/>
      <c r="M1533" s="27" t="n">
        <f aca="false">J1533+(K1533/20)+(L1533/240)</f>
        <v>20</v>
      </c>
      <c r="N1533" s="17" t="s">
        <v>64</v>
      </c>
      <c r="O1533" s="11"/>
      <c r="P1533" s="28"/>
      <c r="Q1533" s="28" t="n">
        <f aca="false">P1533*$M1533</f>
        <v>0</v>
      </c>
      <c r="R1533" s="28"/>
      <c r="S1533" s="28" t="n">
        <f aca="false">R1533*$M1533</f>
        <v>0</v>
      </c>
      <c r="T1533" s="28"/>
      <c r="U1533" s="28" t="n">
        <f aca="false">T1533*$M1533</f>
        <v>0</v>
      </c>
      <c r="V1533" s="28"/>
      <c r="W1533" s="28" t="n">
        <f aca="false">V1533*$M1533</f>
        <v>0</v>
      </c>
      <c r="X1533" s="28"/>
      <c r="Y1533" s="28" t="n">
        <f aca="false">X1533*$M1533</f>
        <v>0</v>
      </c>
      <c r="Z1533" s="28"/>
      <c r="AA1533" s="28" t="n">
        <f aca="false">Z1533*$M1533</f>
        <v>0</v>
      </c>
      <c r="AB1533" s="28"/>
      <c r="AC1533" s="28" t="n">
        <f aca="false">AB1533*$M1533</f>
        <v>0</v>
      </c>
      <c r="AD1533" s="28"/>
      <c r="AE1533" s="28" t="n">
        <f aca="false">AD1533*$M1533</f>
        <v>0</v>
      </c>
      <c r="AF1533" s="28"/>
      <c r="AG1533" s="28" t="n">
        <f aca="false">AF1533*$M1533</f>
        <v>0</v>
      </c>
      <c r="AH1533" s="28"/>
      <c r="AI1533" s="28" t="n">
        <f aca="false">AH1533*$M1533</f>
        <v>0</v>
      </c>
      <c r="AJ1533" s="28" t="n">
        <f aca="false">109254/100</f>
        <v>1092.54</v>
      </c>
      <c r="AK1533" s="28" t="n">
        <v>21851</v>
      </c>
      <c r="AL1533" s="28"/>
      <c r="AM1533" s="28" t="n">
        <f aca="false">AL1533*$M1533</f>
        <v>0</v>
      </c>
      <c r="AN1533" s="28"/>
      <c r="AO1533" s="28" t="n">
        <f aca="false">AN1533*$M1533</f>
        <v>0</v>
      </c>
      <c r="AP1533" s="28"/>
      <c r="AQ1533" s="28" t="n">
        <f aca="false">AP1533*$M1533</f>
        <v>0</v>
      </c>
      <c r="AR1533" s="28"/>
      <c r="AS1533" s="28" t="n">
        <f aca="false">AR1533*$M1533</f>
        <v>0</v>
      </c>
      <c r="AT1533" s="28"/>
      <c r="AU1533" s="28" t="n">
        <f aca="false">AT1533*$M1533</f>
        <v>0</v>
      </c>
      <c r="AV1533" s="28"/>
      <c r="AW1533" s="28" t="n">
        <f aca="false">AV1533*$M1533</f>
        <v>0</v>
      </c>
      <c r="AX1533" s="28"/>
      <c r="AY1533" s="28" t="n">
        <f aca="false">AX1533*$M1533</f>
        <v>0</v>
      </c>
      <c r="AZ1533" s="30" t="n">
        <f aca="false">109254/100</f>
        <v>1092.54</v>
      </c>
      <c r="BA1533" s="11" t="n">
        <v>21851</v>
      </c>
      <c r="BB1533" s="31" t="n">
        <f aca="false">SUM(Q1533,S1533,U1533,W1533,Y1533,AA1533,AC1533,AE1533,AG1533,AI1533,AK1533,AM1533,AO1533,AQ1533,AS1533,AU1533,AW1533,AY1533)</f>
        <v>21851</v>
      </c>
      <c r="BC1533" s="28" t="n">
        <f aca="false">BA1533-BB1533</f>
        <v>0</v>
      </c>
      <c r="BD1533" s="32" t="n">
        <f aca="false">SUM(P1533,R1533,T1533,V1533,X1533,Z1533,AB1533,AD1533,AF1533,AH1533,AJ1533,AL1533,AN1533,AP1533,AR1533,AT1533,AV1533,AX1533)</f>
        <v>1092.54</v>
      </c>
      <c r="BE1533" s="33" t="n">
        <f aca="false">AZ1533-BD1533</f>
        <v>0</v>
      </c>
      <c r="BF1533" s="34" t="n">
        <f aca="false">BD1533*M1533</f>
        <v>21850.8</v>
      </c>
      <c r="BG1533" s="35" t="n">
        <f aca="false">BA1533-BF1533</f>
        <v>0.200000000000728</v>
      </c>
      <c r="BH1533" s="19" t="str">
        <f aca="false">IF(BG1533=0,"",IF(BG1533&lt;&gt;BA1533,"erreur de calcul",IF(BD1533&lt;&gt;0,"pas de prix",IF(M1533&lt;&gt; 0,"pas de quantité","pas de prix, ni de quantité"))))</f>
        <v>erreur de calcul</v>
      </c>
      <c r="BI1533" s="19"/>
    </row>
    <row r="1534" customFormat="false" ht="15" hidden="false" customHeight="false" outlineLevel="0" collapsed="false">
      <c r="A1534" s="0" t="n">
        <v>3</v>
      </c>
      <c r="B1534" s="8" t="s">
        <v>24</v>
      </c>
      <c r="C1534" s="9" t="s">
        <v>25</v>
      </c>
      <c r="D1534" s="9" t="s">
        <v>26</v>
      </c>
      <c r="E1534" s="10" t="n">
        <v>1789</v>
      </c>
      <c r="F1534" s="9" t="s">
        <v>27</v>
      </c>
      <c r="G1534" s="9" t="s">
        <v>27</v>
      </c>
      <c r="H1534" s="11" t="n">
        <v>22</v>
      </c>
      <c r="I1534" s="11" t="s">
        <v>204</v>
      </c>
      <c r="J1534" s="14" t="n">
        <v>20</v>
      </c>
      <c r="K1534" s="14"/>
      <c r="L1534" s="16"/>
      <c r="M1534" s="27" t="n">
        <f aca="false">J1534+(K1534/20)+(L1534/240)</f>
        <v>20</v>
      </c>
      <c r="N1534" s="17" t="s">
        <v>66</v>
      </c>
      <c r="O1534" s="11"/>
      <c r="P1534" s="28" t="n">
        <v>106125</v>
      </c>
      <c r="Q1534" s="36" t="n">
        <v>2162500</v>
      </c>
      <c r="R1534" s="28"/>
      <c r="S1534" s="28" t="n">
        <f aca="false">R1534*$M1534</f>
        <v>0</v>
      </c>
      <c r="T1534" s="28"/>
      <c r="U1534" s="28" t="n">
        <f aca="false">T1534*$M1534</f>
        <v>0</v>
      </c>
      <c r="V1534" s="28"/>
      <c r="W1534" s="28" t="n">
        <f aca="false">V1534*$M1534</f>
        <v>0</v>
      </c>
      <c r="X1534" s="28"/>
      <c r="Y1534" s="28" t="n">
        <f aca="false">X1534*$M1534</f>
        <v>0</v>
      </c>
      <c r="Z1534" s="28"/>
      <c r="AA1534" s="28" t="n">
        <f aca="false">Z1534*$M1534</f>
        <v>0</v>
      </c>
      <c r="AB1534" s="28"/>
      <c r="AC1534" s="28" t="n">
        <f aca="false">AB1534*$M1534</f>
        <v>0</v>
      </c>
      <c r="AD1534" s="28"/>
      <c r="AE1534" s="28" t="n">
        <f aca="false">AD1534*$M1534</f>
        <v>0</v>
      </c>
      <c r="AF1534" s="28"/>
      <c r="AG1534" s="28" t="n">
        <f aca="false">AF1534*$M1534</f>
        <v>0</v>
      </c>
      <c r="AH1534" s="28"/>
      <c r="AI1534" s="28" t="n">
        <f aca="false">AH1534*$M1534</f>
        <v>0</v>
      </c>
      <c r="AJ1534" s="28"/>
      <c r="AK1534" s="28" t="n">
        <f aca="false">AJ1534*$M1534</f>
        <v>0</v>
      </c>
      <c r="AL1534" s="28"/>
      <c r="AM1534" s="28" t="n">
        <f aca="false">AL1534*$M1534</f>
        <v>0</v>
      </c>
      <c r="AN1534" s="28"/>
      <c r="AO1534" s="28" t="n">
        <f aca="false">AN1534*$M1534</f>
        <v>0</v>
      </c>
      <c r="AP1534" s="28"/>
      <c r="AQ1534" s="28" t="n">
        <f aca="false">AP1534*$M1534</f>
        <v>0</v>
      </c>
      <c r="AR1534" s="28"/>
      <c r="AS1534" s="28" t="n">
        <f aca="false">AR1534*$M1534</f>
        <v>0</v>
      </c>
      <c r="AT1534" s="28"/>
      <c r="AU1534" s="28" t="n">
        <f aca="false">AT1534*$M1534</f>
        <v>0</v>
      </c>
      <c r="AV1534" s="28"/>
      <c r="AW1534" s="28" t="n">
        <f aca="false">AV1534*$M1534</f>
        <v>0</v>
      </c>
      <c r="AX1534" s="28"/>
      <c r="AY1534" s="28" t="n">
        <f aca="false">AX1534*$M1534</f>
        <v>0</v>
      </c>
      <c r="AZ1534" s="30" t="n">
        <v>108125</v>
      </c>
      <c r="BA1534" s="11" t="n">
        <v>2162500</v>
      </c>
      <c r="BB1534" s="31" t="n">
        <f aca="false">SUM(Q1534,S1534,U1534,W1534,Y1534,AA1534,AC1534,AE1534,AG1534,AI1534,AK1534,AM1534,AO1534,AQ1534,AS1534,AU1534,AW1534,AY1534)</f>
        <v>2162500</v>
      </c>
      <c r="BC1534" s="28" t="n">
        <f aca="false">BA1534-BB1534</f>
        <v>0</v>
      </c>
      <c r="BD1534" s="32" t="n">
        <f aca="false">SUM(P1534,R1534,T1534,V1534,X1534,Z1534,AB1534,AD1534,AF1534,AH1534,AJ1534,AL1534,AN1534,AP1534,AR1534,AT1534,AV1534,AX1534)</f>
        <v>106125</v>
      </c>
      <c r="BE1534" s="33" t="n">
        <f aca="false">AZ1534-BD1534</f>
        <v>2000</v>
      </c>
      <c r="BF1534" s="34" t="n">
        <f aca="false">BD1534*M1534</f>
        <v>2122500</v>
      </c>
      <c r="BG1534" s="35" t="n">
        <f aca="false">BA1534-BF1534</f>
        <v>40000</v>
      </c>
      <c r="BH1534" s="19" t="str">
        <f aca="false">IF(BG1534=0,"",IF(BG1534&lt;&gt;BA1534,"erreur de calcul",IF(BD1534&lt;&gt;0,"pas de prix",IF(M1534&lt;&gt; 0,"pas de quantité","pas de prix, ni de quantité"))))</f>
        <v>erreur de calcul</v>
      </c>
      <c r="BI1534" s="19"/>
    </row>
    <row r="1535" customFormat="false" ht="15" hidden="false" customHeight="false" outlineLevel="0" collapsed="false">
      <c r="A1535" s="0" t="n">
        <v>4</v>
      </c>
      <c r="B1535" s="8" t="s">
        <v>24</v>
      </c>
      <c r="C1535" s="9" t="s">
        <v>25</v>
      </c>
      <c r="D1535" s="9" t="s">
        <v>26</v>
      </c>
      <c r="E1535" s="10" t="n">
        <v>1789</v>
      </c>
      <c r="F1535" s="9" t="s">
        <v>27</v>
      </c>
      <c r="G1535" s="9" t="s">
        <v>27</v>
      </c>
      <c r="H1535" s="11" t="n">
        <v>22</v>
      </c>
      <c r="I1535" s="11" t="s">
        <v>205</v>
      </c>
      <c r="J1535" s="14" t="n">
        <v>15</v>
      </c>
      <c r="K1535" s="14"/>
      <c r="L1535" s="16"/>
      <c r="M1535" s="27" t="n">
        <f aca="false">J1535+(K1535/20)+(L1535/240)</f>
        <v>15</v>
      </c>
      <c r="N1535" s="17" t="s">
        <v>64</v>
      </c>
      <c r="O1535" s="11"/>
      <c r="P1535" s="28"/>
      <c r="Q1535" s="28" t="n">
        <f aca="false">P1535*$M1535</f>
        <v>0</v>
      </c>
      <c r="R1535" s="28"/>
      <c r="S1535" s="28" t="n">
        <f aca="false">R1535*$M1535</f>
        <v>0</v>
      </c>
      <c r="T1535" s="28"/>
      <c r="U1535" s="28" t="n">
        <f aca="false">T1535*$M1535</f>
        <v>0</v>
      </c>
      <c r="V1535" s="28"/>
      <c r="W1535" s="28" t="n">
        <f aca="false">V1535*$M1535</f>
        <v>0</v>
      </c>
      <c r="X1535" s="28" t="n">
        <f aca="false">27897/100</f>
        <v>278.97</v>
      </c>
      <c r="Y1535" s="28" t="n">
        <v>4184</v>
      </c>
      <c r="Z1535" s="28"/>
      <c r="AA1535" s="28" t="n">
        <f aca="false">Z1535*$M1535</f>
        <v>0</v>
      </c>
      <c r="AB1535" s="28"/>
      <c r="AC1535" s="28" t="n">
        <f aca="false">AB1535*$M1535</f>
        <v>0</v>
      </c>
      <c r="AD1535" s="28"/>
      <c r="AE1535" s="28" t="n">
        <f aca="false">AD1535*$M1535</f>
        <v>0</v>
      </c>
      <c r="AF1535" s="28"/>
      <c r="AG1535" s="28" t="n">
        <f aca="false">AF1535*$M1535</f>
        <v>0</v>
      </c>
      <c r="AH1535" s="28"/>
      <c r="AI1535" s="28" t="n">
        <f aca="false">AH1535*$M1535</f>
        <v>0</v>
      </c>
      <c r="AJ1535" s="28" t="n">
        <f aca="false">63734/100</f>
        <v>637.34</v>
      </c>
      <c r="AK1535" s="28" t="n">
        <v>9560</v>
      </c>
      <c r="AL1535" s="28"/>
      <c r="AM1535" s="28" t="n">
        <f aca="false">AL1535*$M1535</f>
        <v>0</v>
      </c>
      <c r="AN1535" s="28"/>
      <c r="AO1535" s="28" t="n">
        <f aca="false">AN1535*$M1535</f>
        <v>0</v>
      </c>
      <c r="AP1535" s="28"/>
      <c r="AQ1535" s="28" t="n">
        <f aca="false">AP1535*$M1535</f>
        <v>0</v>
      </c>
      <c r="AR1535" s="28"/>
      <c r="AS1535" s="28" t="n">
        <f aca="false">AR1535*$M1535</f>
        <v>0</v>
      </c>
      <c r="AT1535" s="28"/>
      <c r="AU1535" s="28" t="n">
        <f aca="false">AT1535*$M1535</f>
        <v>0</v>
      </c>
      <c r="AV1535" s="28"/>
      <c r="AW1535" s="28" t="n">
        <f aca="false">AV1535*$M1535</f>
        <v>0</v>
      </c>
      <c r="AX1535" s="28"/>
      <c r="AY1535" s="28" t="n">
        <f aca="false">AX1535*$M1535</f>
        <v>0</v>
      </c>
      <c r="AZ1535" s="30" t="n">
        <f aca="false">91631/100</f>
        <v>916.31</v>
      </c>
      <c r="BA1535" s="11" t="n">
        <v>13744</v>
      </c>
      <c r="BB1535" s="31" t="n">
        <f aca="false">SUM(Q1535,S1535,U1535,W1535,Y1535,AA1535,AC1535,AE1535,AG1535,AI1535,AK1535,AM1535,AO1535,AQ1535,AS1535,AU1535,AW1535,AY1535)</f>
        <v>13744</v>
      </c>
      <c r="BC1535" s="28" t="n">
        <f aca="false">BA1535-BB1535</f>
        <v>0</v>
      </c>
      <c r="BD1535" s="32" t="n">
        <f aca="false">SUM(P1535,R1535,T1535,V1535,X1535,Z1535,AB1535,AD1535,AF1535,AH1535,AJ1535,AL1535,AN1535,AP1535,AR1535,AT1535,AV1535,AX1535)</f>
        <v>916.31</v>
      </c>
      <c r="BE1535" s="33" t="n">
        <f aca="false">AZ1535-BD1535</f>
        <v>0</v>
      </c>
      <c r="BF1535" s="34" t="n">
        <f aca="false">BD1535*M1535</f>
        <v>13744.65</v>
      </c>
      <c r="BG1535" s="35" t="n">
        <f aca="false">BA1535-BF1535</f>
        <v>-0.650000000001455</v>
      </c>
      <c r="BH1535" s="19" t="str">
        <f aca="false">IF(BG1535=0,"",IF(BG1535&lt;&gt;BA1535,"erreur de calcul",IF(BD1535&lt;&gt;0,"pas de prix",IF(M1535&lt;&gt; 0,"pas de quantité","pas de prix, ni de quantité"))))</f>
        <v>erreur de calcul</v>
      </c>
      <c r="BI1535" s="19"/>
    </row>
    <row r="1536" customFormat="false" ht="15" hidden="false" customHeight="false" outlineLevel="0" collapsed="false">
      <c r="A1536" s="0" t="n">
        <v>5</v>
      </c>
      <c r="B1536" s="8" t="s">
        <v>24</v>
      </c>
      <c r="C1536" s="9" t="s">
        <v>25</v>
      </c>
      <c r="D1536" s="9" t="s">
        <v>26</v>
      </c>
      <c r="E1536" s="10" t="n">
        <v>1789</v>
      </c>
      <c r="F1536" s="9" t="s">
        <v>27</v>
      </c>
      <c r="G1536" s="9" t="s">
        <v>27</v>
      </c>
      <c r="H1536" s="11" t="n">
        <v>22</v>
      </c>
      <c r="I1536" s="11" t="s">
        <v>206</v>
      </c>
      <c r="J1536" s="14" t="n">
        <v>30</v>
      </c>
      <c r="K1536" s="14"/>
      <c r="L1536" s="16"/>
      <c r="M1536" s="27" t="n">
        <f aca="false">J1536+(K1536/20)+(L1536/240)</f>
        <v>30</v>
      </c>
      <c r="N1536" s="17" t="s">
        <v>64</v>
      </c>
      <c r="O1536" s="11"/>
      <c r="P1536" s="28" t="n">
        <f aca="false">8334/100</f>
        <v>83.34</v>
      </c>
      <c r="Q1536" s="28" t="n">
        <v>2500</v>
      </c>
      <c r="R1536" s="28"/>
      <c r="S1536" s="28" t="n">
        <f aca="false">R1536*$M1536</f>
        <v>0</v>
      </c>
      <c r="T1536" s="28"/>
      <c r="U1536" s="28" t="n">
        <f aca="false">T1536*$M1536</f>
        <v>0</v>
      </c>
      <c r="V1536" s="28"/>
      <c r="W1536" s="28" t="n">
        <f aca="false">V1536*$M1536</f>
        <v>0</v>
      </c>
      <c r="X1536" s="28"/>
      <c r="Y1536" s="28" t="n">
        <f aca="false">X1536*$M1536</f>
        <v>0</v>
      </c>
      <c r="Z1536" s="28"/>
      <c r="AA1536" s="28" t="n">
        <f aca="false">Z1536*$M1536</f>
        <v>0</v>
      </c>
      <c r="AB1536" s="28"/>
      <c r="AC1536" s="28" t="n">
        <f aca="false">AB1536*$M1536</f>
        <v>0</v>
      </c>
      <c r="AD1536" s="28"/>
      <c r="AE1536" s="28" t="n">
        <f aca="false">AD1536*$M1536</f>
        <v>0</v>
      </c>
      <c r="AF1536" s="28"/>
      <c r="AG1536" s="28" t="n">
        <f aca="false">AF1536*$M1536</f>
        <v>0</v>
      </c>
      <c r="AH1536" s="28"/>
      <c r="AI1536" s="28" t="n">
        <f aca="false">AH1536*$M1536</f>
        <v>0</v>
      </c>
      <c r="AJ1536" s="28"/>
      <c r="AK1536" s="28" t="n">
        <f aca="false">AJ1536*$M1536</f>
        <v>0</v>
      </c>
      <c r="AL1536" s="28"/>
      <c r="AM1536" s="28" t="n">
        <f aca="false">AL1536*$M1536</f>
        <v>0</v>
      </c>
      <c r="AN1536" s="28"/>
      <c r="AO1536" s="28" t="n">
        <f aca="false">AN1536*$M1536</f>
        <v>0</v>
      </c>
      <c r="AP1536" s="28"/>
      <c r="AQ1536" s="28" t="n">
        <f aca="false">AP1536*$M1536</f>
        <v>0</v>
      </c>
      <c r="AR1536" s="28"/>
      <c r="AS1536" s="28" t="n">
        <f aca="false">AR1536*$M1536</f>
        <v>0</v>
      </c>
      <c r="AT1536" s="28"/>
      <c r="AU1536" s="28" t="n">
        <f aca="false">AT1536*$M1536</f>
        <v>0</v>
      </c>
      <c r="AV1536" s="28"/>
      <c r="AW1536" s="28" t="n">
        <f aca="false">AV1536*$M1536</f>
        <v>0</v>
      </c>
      <c r="AX1536" s="28"/>
      <c r="AY1536" s="28" t="n">
        <f aca="false">AX1536*$M1536</f>
        <v>0</v>
      </c>
      <c r="AZ1536" s="30" t="n">
        <f aca="false">8334/100</f>
        <v>83.34</v>
      </c>
      <c r="BA1536" s="11" t="n">
        <v>2500</v>
      </c>
      <c r="BB1536" s="31" t="n">
        <f aca="false">SUM(Q1536,S1536,U1536,W1536,Y1536,AA1536,AC1536,AE1536,AG1536,AI1536,AK1536,AM1536,AO1536,AQ1536,AS1536,AU1536,AW1536,AY1536)</f>
        <v>2500</v>
      </c>
      <c r="BC1536" s="28" t="n">
        <f aca="false">BA1536-BB1536</f>
        <v>0</v>
      </c>
      <c r="BD1536" s="32" t="n">
        <f aca="false">SUM(P1536,R1536,T1536,V1536,X1536,Z1536,AB1536,AD1536,AF1536,AH1536,AJ1536,AL1536,AN1536,AP1536,AR1536,AT1536,AV1536,AX1536)</f>
        <v>83.34</v>
      </c>
      <c r="BE1536" s="33" t="n">
        <f aca="false">AZ1536-BD1536</f>
        <v>0</v>
      </c>
      <c r="BF1536" s="34" t="n">
        <f aca="false">BD1536*M1536</f>
        <v>2500.2</v>
      </c>
      <c r="BG1536" s="35" t="n">
        <f aca="false">BA1536-BF1536</f>
        <v>-0.200000000000273</v>
      </c>
      <c r="BH1536" s="19" t="str">
        <f aca="false">IF(BG1536=0,"",IF(BG1536&lt;&gt;BA1536,"erreur de calcul",IF(BD1536&lt;&gt;0,"pas de prix",IF(M1536&lt;&gt; 0,"pas de quantité","pas de prix, ni de quantité"))))</f>
        <v>erreur de calcul</v>
      </c>
      <c r="BI1536" s="19"/>
    </row>
    <row r="1537" customFormat="false" ht="15" hidden="false" customHeight="false" outlineLevel="0" collapsed="false">
      <c r="A1537" s="0" t="n">
        <v>6</v>
      </c>
      <c r="B1537" s="8" t="s">
        <v>24</v>
      </c>
      <c r="C1537" s="9" t="s">
        <v>25</v>
      </c>
      <c r="D1537" s="9" t="s">
        <v>26</v>
      </c>
      <c r="E1537" s="10" t="n">
        <v>1789</v>
      </c>
      <c r="F1537" s="9" t="s">
        <v>27</v>
      </c>
      <c r="G1537" s="9" t="s">
        <v>27</v>
      </c>
      <c r="H1537" s="11" t="n">
        <v>22</v>
      </c>
      <c r="I1537" s="11" t="s">
        <v>207</v>
      </c>
      <c r="J1537" s="14"/>
      <c r="K1537" s="14" t="n">
        <v>20</v>
      </c>
      <c r="L1537" s="16"/>
      <c r="M1537" s="27" t="n">
        <f aca="false">J1537+(K1537/20)+(L1537/240)</f>
        <v>1</v>
      </c>
      <c r="N1537" s="17" t="s">
        <v>66</v>
      </c>
      <c r="O1537" s="11"/>
      <c r="P1537" s="28"/>
      <c r="Q1537" s="28" t="n">
        <f aca="false">P1537*$M1537</f>
        <v>0</v>
      </c>
      <c r="R1537" s="28"/>
      <c r="S1537" s="28" t="n">
        <f aca="false">R1537*$M1537</f>
        <v>0</v>
      </c>
      <c r="T1537" s="28"/>
      <c r="U1537" s="28" t="n">
        <f aca="false">T1537*$M1537</f>
        <v>0</v>
      </c>
      <c r="V1537" s="28" t="n">
        <v>33010</v>
      </c>
      <c r="W1537" s="28" t="n">
        <v>33010</v>
      </c>
      <c r="X1537" s="28" t="n">
        <v>292003</v>
      </c>
      <c r="Y1537" s="28" t="n">
        <v>292003</v>
      </c>
      <c r="Z1537" s="28" t="n">
        <v>15558</v>
      </c>
      <c r="AA1537" s="28" t="n">
        <v>15558</v>
      </c>
      <c r="AB1537" s="28" t="n">
        <v>80515</v>
      </c>
      <c r="AC1537" s="28" t="n">
        <v>80515</v>
      </c>
      <c r="AD1537" s="28"/>
      <c r="AE1537" s="28" t="n">
        <f aca="false">AD1537*$M1537</f>
        <v>0</v>
      </c>
      <c r="AF1537" s="28"/>
      <c r="AG1537" s="28" t="n">
        <f aca="false">AF1537*$M1537</f>
        <v>0</v>
      </c>
      <c r="AH1537" s="28" t="n">
        <v>515373</v>
      </c>
      <c r="AI1537" s="28" t="n">
        <v>515373</v>
      </c>
      <c r="AJ1537" s="28"/>
      <c r="AK1537" s="28" t="n">
        <f aca="false">AJ1537*$M1537</f>
        <v>0</v>
      </c>
      <c r="AL1537" s="28" t="n">
        <v>3480</v>
      </c>
      <c r="AM1537" s="28" t="n">
        <v>3480</v>
      </c>
      <c r="AN1537" s="28"/>
      <c r="AO1537" s="28" t="n">
        <f aca="false">AN1537*$M1537</f>
        <v>0</v>
      </c>
      <c r="AP1537" s="28"/>
      <c r="AQ1537" s="28" t="n">
        <f aca="false">AP1537*$M1537</f>
        <v>0</v>
      </c>
      <c r="AR1537" s="28"/>
      <c r="AS1537" s="28" t="n">
        <f aca="false">AR1537*$M1537</f>
        <v>0</v>
      </c>
      <c r="AT1537" s="28"/>
      <c r="AU1537" s="28" t="n">
        <f aca="false">AT1537*$M1537</f>
        <v>0</v>
      </c>
      <c r="AV1537" s="28"/>
      <c r="AW1537" s="28" t="n">
        <f aca="false">AV1537*$M1537</f>
        <v>0</v>
      </c>
      <c r="AX1537" s="28"/>
      <c r="AY1537" s="28" t="n">
        <f aca="false">AX1537*$M1537</f>
        <v>0</v>
      </c>
      <c r="AZ1537" s="30" t="n">
        <v>939939</v>
      </c>
      <c r="BA1537" s="11" t="n">
        <v>939939</v>
      </c>
      <c r="BB1537" s="31" t="n">
        <f aca="false">SUM(Q1537,S1537,U1537,W1537,Y1537,AA1537,AC1537,AE1537,AG1537,AI1537,AK1537,AM1537,AO1537,AQ1537,AS1537,AU1537,AW1537,AY1537)</f>
        <v>939939</v>
      </c>
      <c r="BC1537" s="28" t="n">
        <f aca="false">BA1537-BB1537</f>
        <v>0</v>
      </c>
      <c r="BD1537" s="32" t="n">
        <f aca="false">SUM(P1537,R1537,T1537,V1537,X1537,Z1537,AB1537,AD1537,AF1537,AH1537,AJ1537,AL1537,AN1537,AP1537,AR1537,AT1537,AV1537,AX1537)</f>
        <v>939939</v>
      </c>
      <c r="BE1537" s="33" t="n">
        <f aca="false">AZ1537-BD1537</f>
        <v>0</v>
      </c>
      <c r="BF1537" s="34" t="n">
        <f aca="false">BD1537*M1537</f>
        <v>939939</v>
      </c>
      <c r="BG1537" s="35" t="n">
        <f aca="false">BA1537-BF1537</f>
        <v>0</v>
      </c>
      <c r="BH1537" s="19" t="str">
        <f aca="false">IF(BG1537=0,"",IF(BG1537&lt;&gt;BA1537,"erreur de calcul",IF(BD1537&lt;&gt;0,"pas de prix",IF(M1537&lt;&gt; 0,"pas de quantité","pas de prix, ni de quantité"))))</f>
        <v/>
      </c>
      <c r="BI1537" s="19"/>
    </row>
    <row r="1538" customFormat="false" ht="15" hidden="false" customHeight="false" outlineLevel="0" collapsed="false">
      <c r="A1538" s="0" t="n">
        <v>7</v>
      </c>
      <c r="B1538" s="8" t="s">
        <v>24</v>
      </c>
      <c r="C1538" s="9" t="s">
        <v>25</v>
      </c>
      <c r="D1538" s="9" t="s">
        <v>26</v>
      </c>
      <c r="E1538" s="10" t="n">
        <v>1789</v>
      </c>
      <c r="F1538" s="9" t="s">
        <v>27</v>
      </c>
      <c r="G1538" s="9" t="s">
        <v>27</v>
      </c>
      <c r="H1538" s="11" t="n">
        <v>22</v>
      </c>
      <c r="I1538" s="11" t="s">
        <v>208</v>
      </c>
      <c r="J1538" s="14" t="n">
        <v>60</v>
      </c>
      <c r="K1538" s="14"/>
      <c r="L1538" s="16"/>
      <c r="M1538" s="27" t="n">
        <f aca="false">J1538+(K1538/20)+(L1538/240)</f>
        <v>60</v>
      </c>
      <c r="N1538" s="17" t="s">
        <v>64</v>
      </c>
      <c r="O1538" s="11"/>
      <c r="P1538" s="28"/>
      <c r="Q1538" s="28" t="n">
        <f aca="false">P1538*$M1538</f>
        <v>0</v>
      </c>
      <c r="R1538" s="28"/>
      <c r="S1538" s="28" t="n">
        <f aca="false">R1538*$M1538</f>
        <v>0</v>
      </c>
      <c r="T1538" s="28"/>
      <c r="U1538" s="28" t="n">
        <f aca="false">T1538*$M1538</f>
        <v>0</v>
      </c>
      <c r="V1538" s="28"/>
      <c r="W1538" s="28" t="n">
        <f aca="false">V1538*$M1538</f>
        <v>0</v>
      </c>
      <c r="X1538" s="28"/>
      <c r="Y1538" s="28" t="n">
        <f aca="false">X1538*$M1538</f>
        <v>0</v>
      </c>
      <c r="Z1538" s="28"/>
      <c r="AA1538" s="28" t="n">
        <f aca="false">Z1538*$M1538</f>
        <v>0</v>
      </c>
      <c r="AB1538" s="28"/>
      <c r="AC1538" s="28" t="n">
        <f aca="false">AB1538*$M1538</f>
        <v>0</v>
      </c>
      <c r="AD1538" s="28"/>
      <c r="AE1538" s="28" t="n">
        <f aca="false">AD1538*$M1538</f>
        <v>0</v>
      </c>
      <c r="AF1538" s="28"/>
      <c r="AG1538" s="28" t="n">
        <f aca="false">AF1538*$M1538</f>
        <v>0</v>
      </c>
      <c r="AH1538" s="28"/>
      <c r="AI1538" s="28" t="n">
        <f aca="false">AH1538*$M1538</f>
        <v>0</v>
      </c>
      <c r="AJ1538" s="28" t="n">
        <f aca="false">28692/100</f>
        <v>286.92</v>
      </c>
      <c r="AK1538" s="28" t="n">
        <v>17215</v>
      </c>
      <c r="AL1538" s="28"/>
      <c r="AM1538" s="28" t="n">
        <f aca="false">AL1538*$M1538</f>
        <v>0</v>
      </c>
      <c r="AN1538" s="28"/>
      <c r="AO1538" s="28" t="n">
        <f aca="false">AN1538*$M1538</f>
        <v>0</v>
      </c>
      <c r="AP1538" s="28"/>
      <c r="AQ1538" s="28" t="n">
        <f aca="false">AP1538*$M1538</f>
        <v>0</v>
      </c>
      <c r="AR1538" s="28"/>
      <c r="AS1538" s="28" t="n">
        <f aca="false">AR1538*$M1538</f>
        <v>0</v>
      </c>
      <c r="AT1538" s="28"/>
      <c r="AU1538" s="28" t="n">
        <f aca="false">AT1538*$M1538</f>
        <v>0</v>
      </c>
      <c r="AV1538" s="28"/>
      <c r="AW1538" s="28" t="n">
        <f aca="false">AV1538*$M1538</f>
        <v>0</v>
      </c>
      <c r="AX1538" s="28"/>
      <c r="AY1538" s="28" t="n">
        <f aca="false">AX1538*$M1538</f>
        <v>0</v>
      </c>
      <c r="AZ1538" s="30" t="n">
        <f aca="false">28692/100</f>
        <v>286.92</v>
      </c>
      <c r="BA1538" s="11" t="n">
        <v>17215</v>
      </c>
      <c r="BB1538" s="31" t="n">
        <f aca="false">SUM(Q1538,S1538,U1538,W1538,Y1538,AA1538,AC1538,AE1538,AG1538,AI1538,AK1538,AM1538,AO1538,AQ1538,AS1538,AU1538,AW1538,AY1538)</f>
        <v>17215</v>
      </c>
      <c r="BC1538" s="28" t="n">
        <f aca="false">BA1538-BB1538</f>
        <v>0</v>
      </c>
      <c r="BD1538" s="32" t="n">
        <f aca="false">SUM(P1538,R1538,T1538,V1538,X1538,Z1538,AB1538,AD1538,AF1538,AH1538,AJ1538,AL1538,AN1538,AP1538,AR1538,AT1538,AV1538,AX1538)</f>
        <v>286.92</v>
      </c>
      <c r="BE1538" s="33" t="n">
        <f aca="false">AZ1538-BD1538</f>
        <v>0</v>
      </c>
      <c r="BF1538" s="34" t="n">
        <f aca="false">BD1538*M1538</f>
        <v>17215.2</v>
      </c>
      <c r="BG1538" s="35" t="n">
        <f aca="false">BA1538-BF1538</f>
        <v>-0.200000000000728</v>
      </c>
      <c r="BH1538" s="19" t="str">
        <f aca="false">IF(BG1538=0,"",IF(BG1538&lt;&gt;BA1538,"erreur de calcul",IF(BD1538&lt;&gt;0,"pas de prix",IF(M1538&lt;&gt; 0,"pas de quantité","pas de prix, ni de quantité"))))</f>
        <v>erreur de calcul</v>
      </c>
      <c r="BI1538" s="19"/>
    </row>
    <row r="1539" customFormat="false" ht="15" hidden="false" customHeight="false" outlineLevel="0" collapsed="false">
      <c r="A1539" s="0" t="n">
        <v>8</v>
      </c>
      <c r="B1539" s="8" t="s">
        <v>24</v>
      </c>
      <c r="C1539" s="9" t="s">
        <v>25</v>
      </c>
      <c r="D1539" s="9" t="s">
        <v>26</v>
      </c>
      <c r="E1539" s="10" t="n">
        <v>1789</v>
      </c>
      <c r="F1539" s="9" t="s">
        <v>27</v>
      </c>
      <c r="G1539" s="9" t="s">
        <v>27</v>
      </c>
      <c r="H1539" s="11" t="n">
        <v>22</v>
      </c>
      <c r="I1539" s="11" t="s">
        <v>209</v>
      </c>
      <c r="J1539" s="14" t="n">
        <v>26</v>
      </c>
      <c r="K1539" s="14"/>
      <c r="L1539" s="16"/>
      <c r="M1539" s="27" t="n">
        <f aca="false">J1539+(K1539/20)+(L1539/240)</f>
        <v>26</v>
      </c>
      <c r="N1539" s="17" t="s">
        <v>64</v>
      </c>
      <c r="O1539" s="11"/>
      <c r="P1539" s="28" t="n">
        <f aca="false">9675/100</f>
        <v>96.75</v>
      </c>
      <c r="Q1539" s="28" t="n">
        <v>2515</v>
      </c>
      <c r="R1539" s="28"/>
      <c r="S1539" s="28" t="n">
        <f aca="false">R1539*$M1539</f>
        <v>0</v>
      </c>
      <c r="T1539" s="28"/>
      <c r="U1539" s="28" t="n">
        <f aca="false">T1539*$M1539</f>
        <v>0</v>
      </c>
      <c r="V1539" s="28"/>
      <c r="W1539" s="28" t="n">
        <f aca="false">V1539*$M1539</f>
        <v>0</v>
      </c>
      <c r="X1539" s="28"/>
      <c r="Y1539" s="28" t="n">
        <f aca="false">X1539*$M1539</f>
        <v>0</v>
      </c>
      <c r="Z1539" s="28"/>
      <c r="AA1539" s="28" t="n">
        <f aca="false">Z1539*$M1539</f>
        <v>0</v>
      </c>
      <c r="AB1539" s="28"/>
      <c r="AC1539" s="28" t="n">
        <f aca="false">AB1539*$M1539</f>
        <v>0</v>
      </c>
      <c r="AD1539" s="28"/>
      <c r="AE1539" s="28" t="n">
        <f aca="false">AD1539*$M1539</f>
        <v>0</v>
      </c>
      <c r="AF1539" s="28"/>
      <c r="AG1539" s="28" t="n">
        <f aca="false">AF1539*$M1539</f>
        <v>0</v>
      </c>
      <c r="AH1539" s="28"/>
      <c r="AI1539" s="28" t="n">
        <f aca="false">AH1539*$M1539</f>
        <v>0</v>
      </c>
      <c r="AJ1539" s="28"/>
      <c r="AK1539" s="28" t="n">
        <f aca="false">AJ1539*$M1539</f>
        <v>0</v>
      </c>
      <c r="AL1539" s="28"/>
      <c r="AM1539" s="28" t="n">
        <f aca="false">AL1539*$M1539</f>
        <v>0</v>
      </c>
      <c r="AN1539" s="28"/>
      <c r="AO1539" s="28" t="n">
        <f aca="false">AN1539*$M1539</f>
        <v>0</v>
      </c>
      <c r="AP1539" s="28"/>
      <c r="AQ1539" s="28" t="n">
        <f aca="false">AP1539*$M1539</f>
        <v>0</v>
      </c>
      <c r="AR1539" s="28"/>
      <c r="AS1539" s="28" t="n">
        <f aca="false">AR1539*$M1539</f>
        <v>0</v>
      </c>
      <c r="AT1539" s="28"/>
      <c r="AU1539" s="28" t="n">
        <f aca="false">AT1539*$M1539</f>
        <v>0</v>
      </c>
      <c r="AV1539" s="28"/>
      <c r="AW1539" s="28" t="n">
        <f aca="false">AV1539*$M1539</f>
        <v>0</v>
      </c>
      <c r="AX1539" s="28"/>
      <c r="AY1539" s="28" t="n">
        <f aca="false">AX1539*$M1539</f>
        <v>0</v>
      </c>
      <c r="AZ1539" s="30" t="n">
        <f aca="false">9675/100</f>
        <v>96.75</v>
      </c>
      <c r="BA1539" s="11" t="n">
        <v>2515</v>
      </c>
      <c r="BB1539" s="31" t="n">
        <f aca="false">SUM(Q1539,S1539,U1539,W1539,Y1539,AA1539,AC1539,AE1539,AG1539,AI1539,AK1539,AM1539,AO1539,AQ1539,AS1539,AU1539,AW1539,AY1539)</f>
        <v>2515</v>
      </c>
      <c r="BC1539" s="28" t="n">
        <f aca="false">BA1539-BB1539</f>
        <v>0</v>
      </c>
      <c r="BD1539" s="32" t="n">
        <f aca="false">SUM(P1539,R1539,T1539,V1539,X1539,Z1539,AB1539,AD1539,AF1539,AH1539,AJ1539,AL1539,AN1539,AP1539,AR1539,AT1539,AV1539,AX1539)</f>
        <v>96.75</v>
      </c>
      <c r="BE1539" s="33" t="n">
        <f aca="false">AZ1539-BD1539</f>
        <v>0</v>
      </c>
      <c r="BF1539" s="34" t="n">
        <f aca="false">BD1539*M1539</f>
        <v>2515.5</v>
      </c>
      <c r="BG1539" s="35" t="n">
        <f aca="false">BA1539-BF1539</f>
        <v>-0.5</v>
      </c>
      <c r="BH1539" s="19" t="str">
        <f aca="false">IF(BG1539=0,"",IF(BG1539&lt;&gt;BA1539,"erreur de calcul",IF(BD1539&lt;&gt;0,"pas de prix",IF(M1539&lt;&gt; 0,"pas de quantité","pas de prix, ni de quantité"))))</f>
        <v>erreur de calcul</v>
      </c>
      <c r="BI1539" s="19"/>
    </row>
    <row r="1540" customFormat="false" ht="15" hidden="false" customHeight="false" outlineLevel="0" collapsed="false">
      <c r="A1540" s="0" t="n">
        <v>9</v>
      </c>
      <c r="B1540" s="8" t="s">
        <v>24</v>
      </c>
      <c r="C1540" s="9" t="s">
        <v>25</v>
      </c>
      <c r="D1540" s="9" t="s">
        <v>26</v>
      </c>
      <c r="E1540" s="10" t="n">
        <v>1789</v>
      </c>
      <c r="F1540" s="9" t="s">
        <v>27</v>
      </c>
      <c r="G1540" s="9" t="s">
        <v>27</v>
      </c>
      <c r="H1540" s="11" t="n">
        <v>22</v>
      </c>
      <c r="I1540" s="11" t="s">
        <v>210</v>
      </c>
      <c r="J1540" s="14" t="n">
        <v>8</v>
      </c>
      <c r="K1540" s="14" t="n">
        <v>15</v>
      </c>
      <c r="L1540" s="16"/>
      <c r="M1540" s="27" t="n">
        <f aca="false">J1540+(K1540/20)+(L1540/240)</f>
        <v>8.75</v>
      </c>
      <c r="N1540" s="17" t="s">
        <v>66</v>
      </c>
      <c r="O1540" s="11"/>
      <c r="P1540" s="28"/>
      <c r="Q1540" s="28" t="n">
        <f aca="false">P1540*$M1540</f>
        <v>0</v>
      </c>
      <c r="R1540" s="28"/>
      <c r="S1540" s="28" t="n">
        <f aca="false">R1540*$M1540</f>
        <v>0</v>
      </c>
      <c r="T1540" s="28" t="n">
        <v>2562</v>
      </c>
      <c r="U1540" s="36" t="n">
        <v>21777</v>
      </c>
      <c r="V1540" s="28" t="n">
        <v>127</v>
      </c>
      <c r="W1540" s="28" t="n">
        <v>1111</v>
      </c>
      <c r="X1540" s="28" t="n">
        <v>1945</v>
      </c>
      <c r="Y1540" s="28" t="n">
        <v>17018</v>
      </c>
      <c r="Z1540" s="28"/>
      <c r="AA1540" s="28" t="n">
        <f aca="false">Z1540*$M1540</f>
        <v>0</v>
      </c>
      <c r="AB1540" s="28"/>
      <c r="AC1540" s="28" t="n">
        <f aca="false">AB1540*$M1540</f>
        <v>0</v>
      </c>
      <c r="AD1540" s="28"/>
      <c r="AE1540" s="28" t="n">
        <f aca="false">AD1540*$M1540</f>
        <v>0</v>
      </c>
      <c r="AF1540" s="28"/>
      <c r="AG1540" s="28" t="n">
        <f aca="false">AF1540*$M1540</f>
        <v>0</v>
      </c>
      <c r="AH1540" s="28"/>
      <c r="AI1540" s="28" t="n">
        <f aca="false">AH1540*$M1540</f>
        <v>0</v>
      </c>
      <c r="AJ1540" s="28" t="n">
        <v>3538</v>
      </c>
      <c r="AK1540" s="36" t="n">
        <v>30073</v>
      </c>
      <c r="AL1540" s="28"/>
      <c r="AM1540" s="28" t="n">
        <f aca="false">AL1540*$M1540</f>
        <v>0</v>
      </c>
      <c r="AN1540" s="28"/>
      <c r="AO1540" s="28" t="n">
        <f aca="false">AN1540*$M1540</f>
        <v>0</v>
      </c>
      <c r="AP1540" s="28"/>
      <c r="AQ1540" s="28" t="n">
        <f aca="false">AP1540*$M1540</f>
        <v>0</v>
      </c>
      <c r="AR1540" s="28"/>
      <c r="AS1540" s="28" t="n">
        <f aca="false">AR1540*$M1540</f>
        <v>0</v>
      </c>
      <c r="AT1540" s="28"/>
      <c r="AU1540" s="28" t="n">
        <f aca="false">AT1540*$M1540</f>
        <v>0</v>
      </c>
      <c r="AV1540" s="28"/>
      <c r="AW1540" s="28" t="n">
        <f aca="false">AV1540*$M1540</f>
        <v>0</v>
      </c>
      <c r="AX1540" s="28" t="n">
        <v>11559</v>
      </c>
      <c r="AY1540" s="28" t="n">
        <v>101141</v>
      </c>
      <c r="AZ1540" s="30" t="n">
        <v>19731</v>
      </c>
      <c r="BA1540" s="11" t="n">
        <v>171120</v>
      </c>
      <c r="BB1540" s="31" t="n">
        <f aca="false">SUM(Q1540,S1540,U1540,W1540,Y1540,AA1540,AC1540,AE1540,AG1540,AI1540,AK1540,AM1540,AO1540,AQ1540,AS1540,AU1540,AW1540,AY1540)</f>
        <v>171120</v>
      </c>
      <c r="BC1540" s="28" t="n">
        <f aca="false">BA1540-BB1540</f>
        <v>0</v>
      </c>
      <c r="BD1540" s="32" t="n">
        <f aca="false">SUM(P1540,R1540,T1540,V1540,X1540,Z1540,AB1540,AD1540,AF1540,AH1540,AJ1540,AL1540,AN1540,AP1540,AR1540,AT1540,AV1540,AX1540)</f>
        <v>19731</v>
      </c>
      <c r="BE1540" s="33" t="n">
        <f aca="false">AZ1540-BD1540</f>
        <v>0</v>
      </c>
      <c r="BF1540" s="34" t="n">
        <f aca="false">BD1540*M1540</f>
        <v>172646.25</v>
      </c>
      <c r="BG1540" s="35" t="n">
        <f aca="false">BA1540-BF1540</f>
        <v>-1526.25</v>
      </c>
      <c r="BH1540" s="19" t="str">
        <f aca="false">IF(BG1540=0,"",IF(BG1540&lt;&gt;BA1540,"erreur de calcul",IF(BD1540&lt;&gt;0,"pas de prix",IF(M1540&lt;&gt; 0,"pas de quantité","pas de prix, ni de quantité"))))</f>
        <v>erreur de calcul</v>
      </c>
      <c r="BI1540" s="19"/>
    </row>
    <row r="1541" customFormat="false" ht="15" hidden="false" customHeight="false" outlineLevel="0" collapsed="false">
      <c r="A1541" s="0" t="n">
        <v>10</v>
      </c>
      <c r="B1541" s="8" t="s">
        <v>24</v>
      </c>
      <c r="C1541" s="9" t="s">
        <v>25</v>
      </c>
      <c r="D1541" s="9" t="s">
        <v>26</v>
      </c>
      <c r="E1541" s="10" t="n">
        <v>1789</v>
      </c>
      <c r="F1541" s="9" t="s">
        <v>27</v>
      </c>
      <c r="G1541" s="9" t="s">
        <v>27</v>
      </c>
      <c r="H1541" s="11" t="n">
        <v>22</v>
      </c>
      <c r="I1541" s="11" t="s">
        <v>211</v>
      </c>
      <c r="J1541" s="14" t="n">
        <v>11</v>
      </c>
      <c r="K1541" s="14"/>
      <c r="L1541" s="16"/>
      <c r="M1541" s="27" t="n">
        <f aca="false">J1541+(K1541/20)+(L1541/240)</f>
        <v>11</v>
      </c>
      <c r="N1541" s="17" t="s">
        <v>66</v>
      </c>
      <c r="O1541" s="11"/>
      <c r="P1541" s="28" t="n">
        <v>95190</v>
      </c>
      <c r="Q1541" s="28" t="n">
        <v>1047090</v>
      </c>
      <c r="R1541" s="28"/>
      <c r="S1541" s="28" t="n">
        <f aca="false">R1541*$M1541</f>
        <v>0</v>
      </c>
      <c r="T1541" s="28"/>
      <c r="U1541" s="28" t="n">
        <f aca="false">T1541*$M1541</f>
        <v>0</v>
      </c>
      <c r="V1541" s="28"/>
      <c r="W1541" s="28" t="n">
        <f aca="false">V1541*$M1541</f>
        <v>0</v>
      </c>
      <c r="X1541" s="28"/>
      <c r="Y1541" s="28" t="n">
        <f aca="false">X1541*$M1541</f>
        <v>0</v>
      </c>
      <c r="Z1541" s="28"/>
      <c r="AA1541" s="28" t="n">
        <f aca="false">Z1541*$M1541</f>
        <v>0</v>
      </c>
      <c r="AB1541" s="28"/>
      <c r="AC1541" s="28" t="n">
        <f aca="false">AB1541*$M1541</f>
        <v>0</v>
      </c>
      <c r="AD1541" s="28"/>
      <c r="AE1541" s="28" t="n">
        <f aca="false">AD1541*$M1541</f>
        <v>0</v>
      </c>
      <c r="AF1541" s="28"/>
      <c r="AG1541" s="28" t="n">
        <f aca="false">AF1541*$M1541</f>
        <v>0</v>
      </c>
      <c r="AH1541" s="28"/>
      <c r="AI1541" s="28" t="n">
        <f aca="false">AH1541*$M1541</f>
        <v>0</v>
      </c>
      <c r="AJ1541" s="28"/>
      <c r="AK1541" s="28" t="n">
        <f aca="false">AJ1541*$M1541</f>
        <v>0</v>
      </c>
      <c r="AL1541" s="28"/>
      <c r="AM1541" s="28" t="n">
        <f aca="false">AL1541*$M1541</f>
        <v>0</v>
      </c>
      <c r="AN1541" s="28"/>
      <c r="AO1541" s="28" t="n">
        <f aca="false">AN1541*$M1541</f>
        <v>0</v>
      </c>
      <c r="AP1541" s="28"/>
      <c r="AQ1541" s="28" t="n">
        <f aca="false">AP1541*$M1541</f>
        <v>0</v>
      </c>
      <c r="AR1541" s="28"/>
      <c r="AS1541" s="28" t="n">
        <f aca="false">AR1541*$M1541</f>
        <v>0</v>
      </c>
      <c r="AT1541" s="28"/>
      <c r="AU1541" s="28" t="n">
        <f aca="false">AT1541*$M1541</f>
        <v>0</v>
      </c>
      <c r="AV1541" s="28"/>
      <c r="AW1541" s="28" t="n">
        <f aca="false">AV1541*$M1541</f>
        <v>0</v>
      </c>
      <c r="AX1541" s="28"/>
      <c r="AY1541" s="28" t="n">
        <f aca="false">AX1541*$M1541</f>
        <v>0</v>
      </c>
      <c r="AZ1541" s="30" t="n">
        <v>95190</v>
      </c>
      <c r="BA1541" s="11" t="n">
        <v>1047090</v>
      </c>
      <c r="BB1541" s="31" t="n">
        <f aca="false">SUM(Q1541,S1541,U1541,W1541,Y1541,AA1541,AC1541,AE1541,AG1541,AI1541,AK1541,AM1541,AO1541,AQ1541,AS1541,AU1541,AW1541,AY1541)</f>
        <v>1047090</v>
      </c>
      <c r="BC1541" s="28" t="n">
        <f aca="false">BA1541-BB1541</f>
        <v>0</v>
      </c>
      <c r="BD1541" s="32" t="n">
        <f aca="false">SUM(P1541,R1541,T1541,V1541,X1541,Z1541,AB1541,AD1541,AF1541,AH1541,AJ1541,AL1541,AN1541,AP1541,AR1541,AT1541,AV1541,AX1541)</f>
        <v>95190</v>
      </c>
      <c r="BE1541" s="33" t="n">
        <f aca="false">AZ1541-BD1541</f>
        <v>0</v>
      </c>
      <c r="BF1541" s="34" t="n">
        <f aca="false">BD1541*M1541</f>
        <v>1047090</v>
      </c>
      <c r="BG1541" s="35" t="n">
        <f aca="false">BA1541-BF1541</f>
        <v>0</v>
      </c>
      <c r="BH1541" s="19" t="str">
        <f aca="false">IF(BG1541=0,"",IF(BG1541&lt;&gt;BA1541,"erreur de calcul",IF(BD1541&lt;&gt;0,"pas de prix",IF(M1541&lt;&gt; 0,"pas de quantité","pas de prix, ni de quantité"))))</f>
        <v/>
      </c>
      <c r="BI1541" s="19"/>
    </row>
    <row r="1542" customFormat="false" ht="17.15" hidden="false" customHeight="false" outlineLevel="0" collapsed="false">
      <c r="A1542" s="0" t="n">
        <v>11</v>
      </c>
      <c r="B1542" s="8" t="s">
        <v>24</v>
      </c>
      <c r="C1542" s="9" t="s">
        <v>25</v>
      </c>
      <c r="D1542" s="9" t="s">
        <v>26</v>
      </c>
      <c r="E1542" s="10" t="n">
        <v>1789</v>
      </c>
      <c r="F1542" s="9" t="s">
        <v>27</v>
      </c>
      <c r="G1542" s="9" t="s">
        <v>27</v>
      </c>
      <c r="H1542" s="11" t="n">
        <v>22</v>
      </c>
      <c r="I1542" s="40" t="s">
        <v>212</v>
      </c>
      <c r="J1542" s="14" t="n">
        <v>75</v>
      </c>
      <c r="K1542" s="14"/>
      <c r="L1542" s="16"/>
      <c r="M1542" s="27" t="n">
        <f aca="false">J1542+(K1542/20)+(L1542/240)</f>
        <v>75</v>
      </c>
      <c r="N1542" s="17" t="s">
        <v>64</v>
      </c>
      <c r="O1542" s="11"/>
      <c r="P1542" s="28"/>
      <c r="Q1542" s="28" t="n">
        <f aca="false">P1542*$M1542</f>
        <v>0</v>
      </c>
      <c r="R1542" s="28"/>
      <c r="S1542" s="28" t="n">
        <f aca="false">R1542*$M1542</f>
        <v>0</v>
      </c>
      <c r="T1542" s="28"/>
      <c r="U1542" s="28" t="n">
        <f aca="false">T1542*$M1542</f>
        <v>0</v>
      </c>
      <c r="V1542" s="28"/>
      <c r="W1542" s="28" t="n">
        <f aca="false">V1542*$M1542</f>
        <v>0</v>
      </c>
      <c r="X1542" s="28"/>
      <c r="Y1542" s="28" t="n">
        <f aca="false">X1542*$M1542</f>
        <v>0</v>
      </c>
      <c r="Z1542" s="28"/>
      <c r="AA1542" s="28" t="n">
        <f aca="false">Z1542*$M1542</f>
        <v>0</v>
      </c>
      <c r="AB1542" s="28"/>
      <c r="AC1542" s="28" t="n">
        <f aca="false">AB1542*$M1542</f>
        <v>0</v>
      </c>
      <c r="AD1542" s="28"/>
      <c r="AE1542" s="28" t="n">
        <f aca="false">AD1542*$M1542</f>
        <v>0</v>
      </c>
      <c r="AF1542" s="28"/>
      <c r="AG1542" s="28" t="n">
        <f aca="false">AF1542*$M1542</f>
        <v>0</v>
      </c>
      <c r="AH1542" s="28"/>
      <c r="AI1542" s="28" t="n">
        <f aca="false">AH1542*$M1542</f>
        <v>0</v>
      </c>
      <c r="AJ1542" s="28" t="n">
        <f aca="false">2372/100</f>
        <v>23.72</v>
      </c>
      <c r="AK1542" s="28" t="n">
        <v>1779</v>
      </c>
      <c r="AL1542" s="28"/>
      <c r="AM1542" s="28" t="n">
        <f aca="false">AL1542*$M1542</f>
        <v>0</v>
      </c>
      <c r="AN1542" s="28"/>
      <c r="AO1542" s="28" t="n">
        <f aca="false">AN1542*$M1542</f>
        <v>0</v>
      </c>
      <c r="AP1542" s="28"/>
      <c r="AQ1542" s="28" t="n">
        <f aca="false">AP1542*$M1542</f>
        <v>0</v>
      </c>
      <c r="AR1542" s="28"/>
      <c r="AS1542" s="28" t="n">
        <f aca="false">AR1542*$M1542</f>
        <v>0</v>
      </c>
      <c r="AT1542" s="28"/>
      <c r="AU1542" s="28" t="n">
        <f aca="false">AT1542*$M1542</f>
        <v>0</v>
      </c>
      <c r="AV1542" s="28"/>
      <c r="AW1542" s="28" t="n">
        <f aca="false">AV1542*$M1542</f>
        <v>0</v>
      </c>
      <c r="AX1542" s="28"/>
      <c r="AY1542" s="28" t="n">
        <f aca="false">AX1542*$M1542</f>
        <v>0</v>
      </c>
      <c r="AZ1542" s="30" t="n">
        <f aca="false">2372/100</f>
        <v>23.72</v>
      </c>
      <c r="BA1542" s="11" t="n">
        <v>1779</v>
      </c>
      <c r="BB1542" s="31" t="n">
        <f aca="false">SUM(Q1542,S1542,U1542,W1542,Y1542,AA1542,AC1542,AE1542,AG1542,AI1542,AK1542,AM1542,AO1542,AQ1542,AS1542,AU1542,AW1542,AY1542)</f>
        <v>1779</v>
      </c>
      <c r="BC1542" s="28" t="n">
        <f aca="false">BA1542-BB1542</f>
        <v>0</v>
      </c>
      <c r="BD1542" s="32" t="n">
        <f aca="false">SUM(P1542,R1542,T1542,V1542,X1542,Z1542,AB1542,AD1542,AF1542,AH1542,AJ1542,AL1542,AN1542,AP1542,AR1542,AT1542,AV1542,AX1542)</f>
        <v>23.72</v>
      </c>
      <c r="BE1542" s="33" t="n">
        <f aca="false">AZ1542-BD1542</f>
        <v>0</v>
      </c>
      <c r="BF1542" s="34" t="n">
        <f aca="false">BD1542*M1542</f>
        <v>1779</v>
      </c>
      <c r="BG1542" s="35" t="n">
        <f aca="false">BA1542-BF1542</f>
        <v>0</v>
      </c>
      <c r="BH1542" s="19" t="str">
        <f aca="false">IF(BG1542=0,"",IF(BG1542&lt;&gt;BA1542,"erreur de calcul",IF(BD1542&lt;&gt;0,"pas de prix",IF(M1542&lt;&gt; 0,"pas de quantité","pas de prix, ni de quantité"))))</f>
        <v/>
      </c>
      <c r="BI1542" s="19"/>
    </row>
    <row r="1543" customFormat="false" ht="15" hidden="false" customHeight="false" outlineLevel="0" collapsed="false">
      <c r="A1543" s="0" t="n">
        <v>12</v>
      </c>
      <c r="B1543" s="8" t="s">
        <v>24</v>
      </c>
      <c r="C1543" s="9" t="s">
        <v>25</v>
      </c>
      <c r="D1543" s="9" t="s">
        <v>26</v>
      </c>
      <c r="E1543" s="10" t="n">
        <v>1789</v>
      </c>
      <c r="F1543" s="9" t="s">
        <v>27</v>
      </c>
      <c r="G1543" s="9" t="s">
        <v>27</v>
      </c>
      <c r="H1543" s="11" t="n">
        <v>22</v>
      </c>
      <c r="I1543" s="11" t="s">
        <v>213</v>
      </c>
      <c r="J1543" s="14" t="n">
        <v>31</v>
      </c>
      <c r="K1543" s="14"/>
      <c r="L1543" s="16"/>
      <c r="M1543" s="27" t="n">
        <f aca="false">J1543+(K1543/20)+(L1543/240)</f>
        <v>31</v>
      </c>
      <c r="N1543" s="17" t="s">
        <v>64</v>
      </c>
      <c r="O1543" s="11"/>
      <c r="P1543" s="28"/>
      <c r="Q1543" s="28" t="n">
        <f aca="false">P1543*$M1543</f>
        <v>0</v>
      </c>
      <c r="R1543" s="28"/>
      <c r="S1543" s="28" t="n">
        <f aca="false">R1543*$M1543</f>
        <v>0</v>
      </c>
      <c r="T1543" s="28"/>
      <c r="U1543" s="28" t="n">
        <f aca="false">T1543*$M1543</f>
        <v>0</v>
      </c>
      <c r="V1543" s="28"/>
      <c r="W1543" s="28" t="n">
        <f aca="false">V1543*$M1543</f>
        <v>0</v>
      </c>
      <c r="X1543" s="28" t="n">
        <f aca="false">18202/100</f>
        <v>182.02</v>
      </c>
      <c r="Y1543" s="28" t="n">
        <v>5643</v>
      </c>
      <c r="Z1543" s="28"/>
      <c r="AA1543" s="28" t="n">
        <f aca="false">Z1543*$M1543</f>
        <v>0</v>
      </c>
      <c r="AB1543" s="28"/>
      <c r="AC1543" s="28" t="n">
        <f aca="false">AB1543*$M1543</f>
        <v>0</v>
      </c>
      <c r="AD1543" s="28"/>
      <c r="AE1543" s="28" t="n">
        <f aca="false">AD1543*$M1543</f>
        <v>0</v>
      </c>
      <c r="AF1543" s="28"/>
      <c r="AG1543" s="28" t="n">
        <f aca="false">AF1543*$M1543</f>
        <v>0</v>
      </c>
      <c r="AH1543" s="28"/>
      <c r="AI1543" s="28" t="n">
        <f aca="false">AH1543*$M1543</f>
        <v>0</v>
      </c>
      <c r="AJ1543" s="28"/>
      <c r="AK1543" s="28" t="n">
        <f aca="false">AJ1543*$M1543</f>
        <v>0</v>
      </c>
      <c r="AL1543" s="28"/>
      <c r="AM1543" s="28" t="n">
        <f aca="false">AL1543*$M1543</f>
        <v>0</v>
      </c>
      <c r="AN1543" s="28"/>
      <c r="AO1543" s="28" t="n">
        <f aca="false">AN1543*$M1543</f>
        <v>0</v>
      </c>
      <c r="AP1543" s="28"/>
      <c r="AQ1543" s="28" t="n">
        <f aca="false">AP1543*$M1543</f>
        <v>0</v>
      </c>
      <c r="AR1543" s="28"/>
      <c r="AS1543" s="28" t="n">
        <f aca="false">AR1543*$M1543</f>
        <v>0</v>
      </c>
      <c r="AT1543" s="28"/>
      <c r="AU1543" s="28" t="n">
        <f aca="false">AT1543*$M1543</f>
        <v>0</v>
      </c>
      <c r="AV1543" s="28"/>
      <c r="AW1543" s="28" t="n">
        <f aca="false">AV1543*$M1543</f>
        <v>0</v>
      </c>
      <c r="AX1543" s="28"/>
      <c r="AY1543" s="28" t="n">
        <f aca="false">AX1543*$M1543</f>
        <v>0</v>
      </c>
      <c r="AZ1543" s="30" t="n">
        <f aca="false">18202/100</f>
        <v>182.02</v>
      </c>
      <c r="BA1543" s="11" t="n">
        <v>5643</v>
      </c>
      <c r="BB1543" s="31" t="n">
        <f aca="false">SUM(Q1543,S1543,U1543,W1543,Y1543,AA1543,AC1543,AE1543,AG1543,AI1543,AK1543,AM1543,AO1543,AQ1543,AS1543,AU1543,AW1543,AY1543)</f>
        <v>5643</v>
      </c>
      <c r="BC1543" s="28" t="n">
        <f aca="false">BA1543-BB1543</f>
        <v>0</v>
      </c>
      <c r="BD1543" s="32" t="n">
        <f aca="false">SUM(P1543,R1543,T1543,V1543,X1543,Z1543,AB1543,AD1543,AF1543,AH1543,AJ1543,AL1543,AN1543,AP1543,AR1543,AT1543,AV1543,AX1543)</f>
        <v>182.02</v>
      </c>
      <c r="BE1543" s="33" t="n">
        <f aca="false">AZ1543-BD1543</f>
        <v>0</v>
      </c>
      <c r="BF1543" s="34" t="n">
        <f aca="false">BD1543*M1543</f>
        <v>5642.62</v>
      </c>
      <c r="BG1543" s="35" t="n">
        <f aca="false">BA1543-BF1543</f>
        <v>0.380000000000109</v>
      </c>
      <c r="BH1543" s="19" t="str">
        <f aca="false">IF(BG1543=0,"",IF(BG1543&lt;&gt;BA1543,"erreur de calcul",IF(BD1543&lt;&gt;0,"pas de prix",IF(M1543&lt;&gt; 0,"pas de quantité","pas de prix, ni de quantité"))))</f>
        <v>erreur de calcul</v>
      </c>
      <c r="BI1543" s="19"/>
    </row>
    <row r="1544" customFormat="false" ht="15" hidden="false" customHeight="false" outlineLevel="0" collapsed="false">
      <c r="A1544" s="0" t="n">
        <v>13</v>
      </c>
      <c r="B1544" s="8" t="s">
        <v>24</v>
      </c>
      <c r="C1544" s="9" t="s">
        <v>25</v>
      </c>
      <c r="D1544" s="9" t="s">
        <v>26</v>
      </c>
      <c r="E1544" s="10" t="n">
        <v>1789</v>
      </c>
      <c r="F1544" s="9" t="s">
        <v>27</v>
      </c>
      <c r="G1544" s="9" t="s">
        <v>27</v>
      </c>
      <c r="H1544" s="11" t="n">
        <v>22</v>
      </c>
      <c r="I1544" s="11" t="s">
        <v>214</v>
      </c>
      <c r="J1544" s="14"/>
      <c r="K1544" s="14" t="n">
        <v>20</v>
      </c>
      <c r="L1544" s="16"/>
      <c r="M1544" s="27" t="n">
        <f aca="false">J1544+(K1544/20)+(L1544/240)</f>
        <v>1</v>
      </c>
      <c r="N1544" s="17" t="s">
        <v>66</v>
      </c>
      <c r="O1544" s="11"/>
      <c r="P1544" s="28"/>
      <c r="Q1544" s="28" t="n">
        <f aca="false">P1544*$M1544</f>
        <v>0</v>
      </c>
      <c r="R1544" s="28"/>
      <c r="S1544" s="28" t="n">
        <f aca="false">R1544*$M1544</f>
        <v>0</v>
      </c>
      <c r="T1544" s="28"/>
      <c r="U1544" s="28" t="n">
        <f aca="false">T1544*$M1544</f>
        <v>0</v>
      </c>
      <c r="V1544" s="28"/>
      <c r="W1544" s="28" t="n">
        <f aca="false">V1544*$M1544</f>
        <v>0</v>
      </c>
      <c r="X1544" s="28"/>
      <c r="Y1544" s="28" t="n">
        <f aca="false">X1544*$M1544</f>
        <v>0</v>
      </c>
      <c r="Z1544" s="28"/>
      <c r="AA1544" s="28" t="n">
        <f aca="false">Z1544*$M1544</f>
        <v>0</v>
      </c>
      <c r="AB1544" s="28"/>
      <c r="AC1544" s="28" t="n">
        <f aca="false">AB1544*$M1544</f>
        <v>0</v>
      </c>
      <c r="AD1544" s="28" t="n">
        <v>2831</v>
      </c>
      <c r="AE1544" s="28" t="n">
        <v>2831</v>
      </c>
      <c r="AF1544" s="28"/>
      <c r="AG1544" s="28" t="n">
        <f aca="false">AF1544*$M1544</f>
        <v>0</v>
      </c>
      <c r="AH1544" s="28"/>
      <c r="AI1544" s="28" t="n">
        <f aca="false">AH1544*$M1544</f>
        <v>0</v>
      </c>
      <c r="AJ1544" s="28"/>
      <c r="AK1544" s="28" t="n">
        <f aca="false">AJ1544*$M1544</f>
        <v>0</v>
      </c>
      <c r="AL1544" s="28"/>
      <c r="AM1544" s="28" t="n">
        <f aca="false">AL1544*$M1544</f>
        <v>0</v>
      </c>
      <c r="AN1544" s="28"/>
      <c r="AO1544" s="28" t="n">
        <f aca="false">AN1544*$M1544</f>
        <v>0</v>
      </c>
      <c r="AP1544" s="28"/>
      <c r="AQ1544" s="28" t="n">
        <f aca="false">AP1544*$M1544</f>
        <v>0</v>
      </c>
      <c r="AR1544" s="28"/>
      <c r="AS1544" s="28" t="n">
        <f aca="false">AR1544*$M1544</f>
        <v>0</v>
      </c>
      <c r="AT1544" s="28"/>
      <c r="AU1544" s="28" t="n">
        <f aca="false">AT1544*$M1544</f>
        <v>0</v>
      </c>
      <c r="AV1544" s="28"/>
      <c r="AW1544" s="28" t="n">
        <f aca="false">AV1544*$M1544</f>
        <v>0</v>
      </c>
      <c r="AX1544" s="28"/>
      <c r="AY1544" s="28" t="n">
        <f aca="false">AX1544*$M1544</f>
        <v>0</v>
      </c>
      <c r="AZ1544" s="30" t="n">
        <v>2831</v>
      </c>
      <c r="BA1544" s="11" t="n">
        <v>2831</v>
      </c>
      <c r="BB1544" s="31" t="n">
        <f aca="false">SUM(Q1544,S1544,U1544,W1544,Y1544,AA1544,AC1544,AE1544,AG1544,AI1544,AK1544,AM1544,AO1544,AQ1544,AS1544,AU1544,AW1544,AY1544)</f>
        <v>2831</v>
      </c>
      <c r="BC1544" s="28" t="n">
        <f aca="false">BA1544-BB1544</f>
        <v>0</v>
      </c>
      <c r="BD1544" s="32" t="n">
        <f aca="false">SUM(P1544,R1544,T1544,V1544,X1544,Z1544,AB1544,AD1544,AF1544,AH1544,AJ1544,AL1544,AN1544,AP1544,AR1544,AT1544,AV1544,AX1544)</f>
        <v>2831</v>
      </c>
      <c r="BE1544" s="33" t="n">
        <f aca="false">AZ1544-BD1544</f>
        <v>0</v>
      </c>
      <c r="BF1544" s="34" t="n">
        <f aca="false">BD1544*M1544</f>
        <v>2831</v>
      </c>
      <c r="BG1544" s="35" t="n">
        <f aca="false">BA1544-BF1544</f>
        <v>0</v>
      </c>
      <c r="BH1544" s="19" t="str">
        <f aca="false">IF(BG1544=0,"",IF(BG1544&lt;&gt;BA1544,"erreur de calcul",IF(BD1544&lt;&gt;0,"pas de prix",IF(M1544&lt;&gt; 0,"pas de quantité","pas de prix, ni de quantité"))))</f>
        <v/>
      </c>
      <c r="BI1544" s="19"/>
    </row>
    <row r="1545" customFormat="false" ht="15" hidden="false" customHeight="false" outlineLevel="0" collapsed="false">
      <c r="A1545" s="0" t="n">
        <v>14</v>
      </c>
      <c r="B1545" s="8" t="s">
        <v>24</v>
      </c>
      <c r="C1545" s="9" t="s">
        <v>25</v>
      </c>
      <c r="D1545" s="9" t="s">
        <v>26</v>
      </c>
      <c r="E1545" s="10" t="n">
        <v>1789</v>
      </c>
      <c r="F1545" s="9" t="s">
        <v>27</v>
      </c>
      <c r="G1545" s="9" t="s">
        <v>27</v>
      </c>
      <c r="H1545" s="11" t="n">
        <v>22</v>
      </c>
      <c r="I1545" s="11" t="s">
        <v>215</v>
      </c>
      <c r="J1545" s="14" t="n">
        <v>36</v>
      </c>
      <c r="K1545" s="14"/>
      <c r="L1545" s="16"/>
      <c r="M1545" s="27" t="n">
        <f aca="false">J1545+(K1545/20)+(L1545/240)</f>
        <v>36</v>
      </c>
      <c r="N1545" s="17" t="s">
        <v>64</v>
      </c>
      <c r="O1545" s="11"/>
      <c r="P1545" s="28"/>
      <c r="Q1545" s="28" t="n">
        <f aca="false">P1545*$M1545</f>
        <v>0</v>
      </c>
      <c r="R1545" s="28"/>
      <c r="S1545" s="28" t="n">
        <f aca="false">R1545*$M1545</f>
        <v>0</v>
      </c>
      <c r="T1545" s="28"/>
      <c r="U1545" s="28" t="n">
        <f aca="false">T1545*$M1545</f>
        <v>0</v>
      </c>
      <c r="V1545" s="28"/>
      <c r="W1545" s="28" t="n">
        <f aca="false">V1545*$M1545</f>
        <v>0</v>
      </c>
      <c r="X1545" s="28"/>
      <c r="Y1545" s="28" t="n">
        <f aca="false">X1545*$M1545</f>
        <v>0</v>
      </c>
      <c r="Z1545" s="28"/>
      <c r="AA1545" s="28" t="n">
        <f aca="false">Z1545*$M1545</f>
        <v>0</v>
      </c>
      <c r="AB1545" s="28"/>
      <c r="AC1545" s="28" t="n">
        <f aca="false">AB1545*$M1545</f>
        <v>0</v>
      </c>
      <c r="AD1545" s="28"/>
      <c r="AE1545" s="28" t="n">
        <f aca="false">AD1545*$M1545</f>
        <v>0</v>
      </c>
      <c r="AF1545" s="28" t="n">
        <f aca="false">92472/100</f>
        <v>924.72</v>
      </c>
      <c r="AG1545" s="28" t="n">
        <v>33290</v>
      </c>
      <c r="AH1545" s="28" t="n">
        <f aca="false">490633/100</f>
        <v>4906.33</v>
      </c>
      <c r="AI1545" s="28" t="n">
        <v>176628</v>
      </c>
      <c r="AJ1545" s="28"/>
      <c r="AK1545" s="28" t="n">
        <f aca="false">AJ1545*$M1545</f>
        <v>0</v>
      </c>
      <c r="AL1545" s="28"/>
      <c r="AM1545" s="28" t="n">
        <f aca="false">AL1545*$M1545</f>
        <v>0</v>
      </c>
      <c r="AN1545" s="28"/>
      <c r="AO1545" s="28" t="n">
        <f aca="false">AN1545*$M1545</f>
        <v>0</v>
      </c>
      <c r="AP1545" s="28"/>
      <c r="AQ1545" s="28" t="n">
        <f aca="false">AP1545*$M1545</f>
        <v>0</v>
      </c>
      <c r="AR1545" s="28"/>
      <c r="AS1545" s="28" t="n">
        <f aca="false">AR1545*$M1545</f>
        <v>0</v>
      </c>
      <c r="AT1545" s="28"/>
      <c r="AU1545" s="28" t="n">
        <f aca="false">AT1545*$M1545</f>
        <v>0</v>
      </c>
      <c r="AV1545" s="28"/>
      <c r="AW1545" s="28" t="n">
        <f aca="false">AV1545*$M1545</f>
        <v>0</v>
      </c>
      <c r="AX1545" s="28"/>
      <c r="AY1545" s="28" t="n">
        <f aca="false">AX1545*$M1545</f>
        <v>0</v>
      </c>
      <c r="AZ1545" s="30" t="n">
        <f aca="false">583105/100</f>
        <v>5831.05</v>
      </c>
      <c r="BA1545" s="11" t="n">
        <v>209918</v>
      </c>
      <c r="BB1545" s="31" t="n">
        <f aca="false">SUM(Q1545,S1545,U1545,W1545,Y1545,AA1545,AC1545,AE1545,AG1545,AI1545,AK1545,AM1545,AO1545,AQ1545,AS1545,AU1545,AW1545,AY1545)</f>
        <v>209918</v>
      </c>
      <c r="BC1545" s="28" t="n">
        <f aca="false">BA1545-BB1545</f>
        <v>0</v>
      </c>
      <c r="BD1545" s="32" t="n">
        <f aca="false">SUM(P1545,R1545,T1545,V1545,X1545,Z1545,AB1545,AD1545,AF1545,AH1545,AJ1545,AL1545,AN1545,AP1545,AR1545,AT1545,AV1545,AX1545)</f>
        <v>5831.05</v>
      </c>
      <c r="BE1545" s="33" t="n">
        <f aca="false">AZ1545-BD1545</f>
        <v>0</v>
      </c>
      <c r="BF1545" s="34" t="n">
        <f aca="false">BD1545*M1545</f>
        <v>209917.8</v>
      </c>
      <c r="BG1545" s="35" t="n">
        <f aca="false">BA1545-BF1545</f>
        <v>0.199999999982538</v>
      </c>
      <c r="BH1545" s="19" t="str">
        <f aca="false">IF(BG1545=0,"",IF(BG1545&lt;&gt;BA1545,"erreur de calcul",IF(BD1545&lt;&gt;0,"pas de prix",IF(M1545&lt;&gt; 0,"pas de quantité","pas de prix, ni de quantité"))))</f>
        <v>erreur de calcul</v>
      </c>
      <c r="BI1545" s="19"/>
    </row>
    <row r="1546" customFormat="false" ht="15" hidden="false" customHeight="false" outlineLevel="0" collapsed="false">
      <c r="A1546" s="0" t="n">
        <v>15</v>
      </c>
      <c r="B1546" s="8" t="s">
        <v>24</v>
      </c>
      <c r="C1546" s="9" t="s">
        <v>25</v>
      </c>
      <c r="D1546" s="9" t="s">
        <v>26</v>
      </c>
      <c r="E1546" s="10" t="n">
        <v>1789</v>
      </c>
      <c r="F1546" s="9" t="s">
        <v>27</v>
      </c>
      <c r="G1546" s="9" t="s">
        <v>27</v>
      </c>
      <c r="H1546" s="11" t="n">
        <v>22</v>
      </c>
      <c r="I1546" s="11" t="s">
        <v>216</v>
      </c>
      <c r="J1546" s="14"/>
      <c r="K1546" s="14" t="n">
        <v>22</v>
      </c>
      <c r="L1546" s="16"/>
      <c r="M1546" s="27" t="n">
        <f aca="false">J1546+(K1546/20)+(L1546/240)</f>
        <v>1.1</v>
      </c>
      <c r="N1546" s="17" t="s">
        <v>66</v>
      </c>
      <c r="O1546" s="11"/>
      <c r="P1546" s="28"/>
      <c r="Q1546" s="28" t="n">
        <f aca="false">P1546*$M1546</f>
        <v>0</v>
      </c>
      <c r="R1546" s="28"/>
      <c r="S1546" s="28" t="n">
        <f aca="false">R1546*$M1546</f>
        <v>0</v>
      </c>
      <c r="T1546" s="28" t="n">
        <v>2875</v>
      </c>
      <c r="U1546" s="28" t="n">
        <v>3162</v>
      </c>
      <c r="V1546" s="28"/>
      <c r="W1546" s="28" t="n">
        <f aca="false">V1546*$M1546</f>
        <v>0</v>
      </c>
      <c r="X1546" s="28"/>
      <c r="Y1546" s="28" t="n">
        <f aca="false">X1546*$M1546</f>
        <v>0</v>
      </c>
      <c r="Z1546" s="28"/>
      <c r="AA1546" s="28" t="n">
        <f aca="false">Z1546*$M1546</f>
        <v>0</v>
      </c>
      <c r="AB1546" s="28"/>
      <c r="AC1546" s="28" t="n">
        <f aca="false">AB1546*$M1546</f>
        <v>0</v>
      </c>
      <c r="AD1546" s="28"/>
      <c r="AE1546" s="28" t="n">
        <f aca="false">AD1546*$M1546</f>
        <v>0</v>
      </c>
      <c r="AF1546" s="28"/>
      <c r="AG1546" s="28" t="n">
        <f aca="false">AF1546*$M1546</f>
        <v>0</v>
      </c>
      <c r="AH1546" s="28"/>
      <c r="AI1546" s="28" t="n">
        <f aca="false">AH1546*$M1546</f>
        <v>0</v>
      </c>
      <c r="AJ1546" s="28"/>
      <c r="AK1546" s="28" t="n">
        <f aca="false">AJ1546*$M1546</f>
        <v>0</v>
      </c>
      <c r="AL1546" s="28"/>
      <c r="AM1546" s="28" t="n">
        <f aca="false">AL1546*$M1546</f>
        <v>0</v>
      </c>
      <c r="AN1546" s="28"/>
      <c r="AO1546" s="28" t="n">
        <f aca="false">AN1546*$M1546</f>
        <v>0</v>
      </c>
      <c r="AP1546" s="28"/>
      <c r="AQ1546" s="28" t="n">
        <f aca="false">AP1546*$M1546</f>
        <v>0</v>
      </c>
      <c r="AR1546" s="28"/>
      <c r="AS1546" s="28" t="n">
        <f aca="false">AR1546*$M1546</f>
        <v>0</v>
      </c>
      <c r="AT1546" s="28"/>
      <c r="AU1546" s="28" t="n">
        <f aca="false">AT1546*$M1546</f>
        <v>0</v>
      </c>
      <c r="AV1546" s="28"/>
      <c r="AW1546" s="28" t="n">
        <f aca="false">AV1546*$M1546</f>
        <v>0</v>
      </c>
      <c r="AX1546" s="28"/>
      <c r="AY1546" s="28" t="n">
        <f aca="false">AX1546*$M1546</f>
        <v>0</v>
      </c>
      <c r="AZ1546" s="30" t="n">
        <v>2875</v>
      </c>
      <c r="BA1546" s="11" t="n">
        <v>3162</v>
      </c>
      <c r="BB1546" s="31" t="n">
        <f aca="false">SUM(Q1546,S1546,U1546,W1546,Y1546,AA1546,AC1546,AE1546,AG1546,AI1546,AK1546,AM1546,AO1546,AQ1546,AS1546,AU1546,AW1546,AY1546)</f>
        <v>3162</v>
      </c>
      <c r="BC1546" s="28" t="n">
        <f aca="false">BA1546-BB1546</f>
        <v>0</v>
      </c>
      <c r="BD1546" s="32" t="n">
        <f aca="false">SUM(P1546,R1546,T1546,V1546,X1546,Z1546,AB1546,AD1546,AF1546,AH1546,AJ1546,AL1546,AN1546,AP1546,AR1546,AT1546,AV1546,AX1546)</f>
        <v>2875</v>
      </c>
      <c r="BE1546" s="33" t="n">
        <f aca="false">AZ1546-BD1546</f>
        <v>0</v>
      </c>
      <c r="BF1546" s="34" t="n">
        <f aca="false">BD1546*M1546</f>
        <v>3162.5</v>
      </c>
      <c r="BG1546" s="35" t="n">
        <f aca="false">BA1546-BF1546</f>
        <v>-0.500000000000455</v>
      </c>
      <c r="BH1546" s="19" t="str">
        <f aca="false">IF(BG1546=0,"",IF(BG1546&lt;&gt;BA1546,"erreur de calcul",IF(BD1546&lt;&gt;0,"pas de prix",IF(M1546&lt;&gt; 0,"pas de quantité","pas de prix, ni de quantité"))))</f>
        <v>erreur de calcul</v>
      </c>
      <c r="BI1546" s="19"/>
    </row>
    <row r="1547" customFormat="false" ht="15" hidden="false" customHeight="false" outlineLevel="0" collapsed="false">
      <c r="A1547" s="0" t="n">
        <v>16</v>
      </c>
      <c r="B1547" s="8" t="s">
        <v>24</v>
      </c>
      <c r="C1547" s="9" t="s">
        <v>25</v>
      </c>
      <c r="D1547" s="9" t="s">
        <v>26</v>
      </c>
      <c r="E1547" s="10" t="n">
        <v>1789</v>
      </c>
      <c r="F1547" s="9" t="s">
        <v>27</v>
      </c>
      <c r="G1547" s="9" t="s">
        <v>27</v>
      </c>
      <c r="H1547" s="11" t="n">
        <v>22</v>
      </c>
      <c r="I1547" s="11" t="s">
        <v>217</v>
      </c>
      <c r="J1547" s="14" t="n">
        <v>90</v>
      </c>
      <c r="K1547" s="14"/>
      <c r="L1547" s="16"/>
      <c r="M1547" s="27" t="n">
        <f aca="false">J1547+(K1547/20)+(L1547/240)</f>
        <v>90</v>
      </c>
      <c r="N1547" s="17" t="s">
        <v>64</v>
      </c>
      <c r="O1547" s="11"/>
      <c r="P1547" s="28"/>
      <c r="Q1547" s="28" t="n">
        <f aca="false">P1547*$M1547</f>
        <v>0</v>
      </c>
      <c r="R1547" s="28"/>
      <c r="S1547" s="28" t="n">
        <f aca="false">R1547*$M1547</f>
        <v>0</v>
      </c>
      <c r="T1547" s="28"/>
      <c r="U1547" s="28" t="n">
        <f aca="false">T1547*$M1547</f>
        <v>0</v>
      </c>
      <c r="V1547" s="28"/>
      <c r="W1547" s="28" t="n">
        <f aca="false">V1547*$M1547</f>
        <v>0</v>
      </c>
      <c r="X1547" s="28" t="n">
        <f aca="false">2440/100</f>
        <v>24.4</v>
      </c>
      <c r="Y1547" s="28" t="n">
        <v>2196</v>
      </c>
      <c r="Z1547" s="28"/>
      <c r="AA1547" s="28" t="n">
        <f aca="false">Z1547*$M1547</f>
        <v>0</v>
      </c>
      <c r="AB1547" s="28"/>
      <c r="AC1547" s="28" t="n">
        <f aca="false">AB1547*$M1547</f>
        <v>0</v>
      </c>
      <c r="AD1547" s="28"/>
      <c r="AE1547" s="28" t="n">
        <f aca="false">AD1547*$M1547</f>
        <v>0</v>
      </c>
      <c r="AF1547" s="28"/>
      <c r="AG1547" s="28" t="n">
        <f aca="false">AF1547*$M1547</f>
        <v>0</v>
      </c>
      <c r="AH1547" s="28" t="n">
        <f aca="false">524577/100</f>
        <v>5245.77</v>
      </c>
      <c r="AI1547" s="28" t="n">
        <v>472116</v>
      </c>
      <c r="AJ1547" s="28"/>
      <c r="AK1547" s="28" t="n">
        <f aca="false">AJ1547*$M1547</f>
        <v>0</v>
      </c>
      <c r="AL1547" s="28"/>
      <c r="AM1547" s="28" t="n">
        <f aca="false">AL1547*$M1547</f>
        <v>0</v>
      </c>
      <c r="AN1547" s="28"/>
      <c r="AO1547" s="28" t="n">
        <f aca="false">AN1547*$M1547</f>
        <v>0</v>
      </c>
      <c r="AP1547" s="28"/>
      <c r="AQ1547" s="28" t="n">
        <f aca="false">AP1547*$M1547</f>
        <v>0</v>
      </c>
      <c r="AR1547" s="28"/>
      <c r="AS1547" s="28" t="n">
        <f aca="false">AR1547*$M1547</f>
        <v>0</v>
      </c>
      <c r="AT1547" s="28"/>
      <c r="AU1547" s="28" t="n">
        <f aca="false">AT1547*$M1547</f>
        <v>0</v>
      </c>
      <c r="AV1547" s="28"/>
      <c r="AW1547" s="28" t="n">
        <f aca="false">AV1547*$M1547</f>
        <v>0</v>
      </c>
      <c r="AX1547" s="28"/>
      <c r="AY1547" s="28" t="n">
        <f aca="false">AX1547*$M1547</f>
        <v>0</v>
      </c>
      <c r="AZ1547" s="30" t="n">
        <f aca="false">526980/100</f>
        <v>5269.8</v>
      </c>
      <c r="BA1547" s="11" t="n">
        <v>474312</v>
      </c>
      <c r="BB1547" s="31" t="n">
        <f aca="false">SUM(Q1547,S1547,U1547,W1547,Y1547,AA1547,AC1547,AE1547,AG1547,AI1547,AK1547,AM1547,AO1547,AQ1547,AS1547,AU1547,AW1547,AY1547)</f>
        <v>474312</v>
      </c>
      <c r="BC1547" s="28" t="n">
        <f aca="false">BA1547-BB1547</f>
        <v>0</v>
      </c>
      <c r="BD1547" s="32" t="n">
        <f aca="false">SUM(P1547,R1547,T1547,V1547,X1547,Z1547,AB1547,AD1547,AF1547,AH1547,AJ1547,AL1547,AN1547,AP1547,AR1547,AT1547,AV1547,AX1547)</f>
        <v>5270.17</v>
      </c>
      <c r="BE1547" s="33" t="n">
        <f aca="false">AZ1547-BD1547</f>
        <v>-0.369999999999891</v>
      </c>
      <c r="BF1547" s="34" t="n">
        <f aca="false">BD1547*M1547</f>
        <v>474315.3</v>
      </c>
      <c r="BG1547" s="35" t="n">
        <f aca="false">BA1547-BF1547</f>
        <v>-3.29999999998836</v>
      </c>
      <c r="BH1547" s="19" t="str">
        <f aca="false">IF(BG1547=0,"",IF(BG1547&lt;&gt;BA1547,"erreur de calcul",IF(BD1547&lt;&gt;0,"pas de prix",IF(M1547&lt;&gt; 0,"pas de quantité","pas de prix, ni de quantité"))))</f>
        <v>erreur de calcul</v>
      </c>
      <c r="BI1547" s="19"/>
    </row>
    <row r="1548" customFormat="false" ht="15" hidden="false" customHeight="false" outlineLevel="0" collapsed="false">
      <c r="A1548" s="0" t="n">
        <v>17</v>
      </c>
      <c r="B1548" s="8" t="s">
        <v>24</v>
      </c>
      <c r="C1548" s="9" t="s">
        <v>25</v>
      </c>
      <c r="D1548" s="9" t="s">
        <v>26</v>
      </c>
      <c r="E1548" s="10" t="n">
        <v>1789</v>
      </c>
      <c r="F1548" s="9" t="s">
        <v>27</v>
      </c>
      <c r="G1548" s="9" t="s">
        <v>27</v>
      </c>
      <c r="H1548" s="11" t="n">
        <v>22</v>
      </c>
      <c r="I1548" s="11" t="s">
        <v>218</v>
      </c>
      <c r="J1548" s="14" t="n">
        <v>15</v>
      </c>
      <c r="K1548" s="14"/>
      <c r="L1548" s="16"/>
      <c r="M1548" s="27" t="n">
        <f aca="false">J1548+(K1548/20)+(L1548/240)</f>
        <v>15</v>
      </c>
      <c r="N1548" s="17" t="s">
        <v>64</v>
      </c>
      <c r="O1548" s="11"/>
      <c r="P1548" s="28" t="n">
        <f aca="false">12250/100</f>
        <v>122.5</v>
      </c>
      <c r="Q1548" s="28" t="n">
        <v>1837</v>
      </c>
      <c r="R1548" s="28"/>
      <c r="S1548" s="28" t="n">
        <f aca="false">R1548*$M1548</f>
        <v>0</v>
      </c>
      <c r="T1548" s="28"/>
      <c r="U1548" s="28" t="n">
        <f aca="false">T1548*$M1548</f>
        <v>0</v>
      </c>
      <c r="V1548" s="28" t="n">
        <f aca="false">118493/100</f>
        <v>1184.93</v>
      </c>
      <c r="W1548" s="28" t="n">
        <v>17774</v>
      </c>
      <c r="X1548" s="28" t="n">
        <f aca="false">16835/100</f>
        <v>168.35</v>
      </c>
      <c r="Y1548" s="28" t="n">
        <v>2525</v>
      </c>
      <c r="Z1548" s="28"/>
      <c r="AA1548" s="28" t="n">
        <f aca="false">Z1548*$M1548</f>
        <v>0</v>
      </c>
      <c r="AB1548" s="28" t="n">
        <f aca="false">268622/100</f>
        <v>2686.22</v>
      </c>
      <c r="AC1548" s="28" t="n">
        <v>40293</v>
      </c>
      <c r="AD1548" s="28"/>
      <c r="AE1548" s="28" t="n">
        <f aca="false">AD1548*$M1548</f>
        <v>0</v>
      </c>
      <c r="AF1548" s="28"/>
      <c r="AG1548" s="28" t="n">
        <f aca="false">AF1548*$M1548</f>
        <v>0</v>
      </c>
      <c r="AH1548" s="28" t="n">
        <f aca="false">70164/100</f>
        <v>701.64</v>
      </c>
      <c r="AI1548" s="28" t="n">
        <v>10524</v>
      </c>
      <c r="AJ1548" s="28"/>
      <c r="AK1548" s="28" t="n">
        <f aca="false">AJ1548*$M1548</f>
        <v>0</v>
      </c>
      <c r="AL1548" s="28"/>
      <c r="AM1548" s="28" t="n">
        <f aca="false">AL1548*$M1548</f>
        <v>0</v>
      </c>
      <c r="AN1548" s="28"/>
      <c r="AO1548" s="28" t="n">
        <f aca="false">AN1548*$M1548</f>
        <v>0</v>
      </c>
      <c r="AP1548" s="28"/>
      <c r="AQ1548" s="28" t="n">
        <f aca="false">AP1548*$M1548</f>
        <v>0</v>
      </c>
      <c r="AR1548" s="28"/>
      <c r="AS1548" s="28" t="n">
        <f aca="false">AR1548*$M1548</f>
        <v>0</v>
      </c>
      <c r="AT1548" s="28"/>
      <c r="AU1548" s="28" t="n">
        <f aca="false">AT1548*$M1548</f>
        <v>0</v>
      </c>
      <c r="AV1548" s="28"/>
      <c r="AW1548" s="28" t="n">
        <f aca="false">AV1548*$M1548</f>
        <v>0</v>
      </c>
      <c r="AX1548" s="28"/>
      <c r="AY1548" s="28" t="n">
        <f aca="false">AX1548*$M1548</f>
        <v>0</v>
      </c>
      <c r="AZ1548" s="30" t="n">
        <f aca="false">486364/100</f>
        <v>4863.64</v>
      </c>
      <c r="BA1548" s="11" t="n">
        <v>72953</v>
      </c>
      <c r="BB1548" s="31" t="n">
        <f aca="false">SUM(Q1548,S1548,U1548,W1548,Y1548,AA1548,AC1548,AE1548,AG1548,AI1548,AK1548,AM1548,AO1548,AQ1548,AS1548,AU1548,AW1548,AY1548)</f>
        <v>72953</v>
      </c>
      <c r="BC1548" s="28" t="n">
        <f aca="false">BA1548-BB1548</f>
        <v>0</v>
      </c>
      <c r="BD1548" s="32" t="n">
        <f aca="false">SUM(P1548,R1548,T1548,V1548,X1548,Z1548,AB1548,AD1548,AF1548,AH1548,AJ1548,AL1548,AN1548,AP1548,AR1548,AT1548,AV1548,AX1548)</f>
        <v>4863.64</v>
      </c>
      <c r="BE1548" s="33" t="n">
        <f aca="false">AZ1548-BD1548</f>
        <v>0</v>
      </c>
      <c r="BF1548" s="34" t="n">
        <f aca="false">BD1548*M1548</f>
        <v>72954.6</v>
      </c>
      <c r="BG1548" s="35" t="n">
        <f aca="false">BA1548-BF1548</f>
        <v>-1.59999999999127</v>
      </c>
      <c r="BH1548" s="19" t="str">
        <f aca="false">IF(BG1548=0,"",IF(BG1548&lt;&gt;BA1548,"erreur de calcul",IF(BD1548&lt;&gt;0,"pas de prix",IF(M1548&lt;&gt; 0,"pas de quantité","pas de prix, ni de quantité"))))</f>
        <v>erreur de calcul</v>
      </c>
      <c r="BI1548" s="19"/>
    </row>
    <row r="1549" customFormat="false" ht="15" hidden="false" customHeight="false" outlineLevel="0" collapsed="false">
      <c r="A1549" s="0" t="n">
        <v>18</v>
      </c>
      <c r="B1549" s="8" t="s">
        <v>24</v>
      </c>
      <c r="C1549" s="9" t="s">
        <v>25</v>
      </c>
      <c r="D1549" s="9" t="s">
        <v>26</v>
      </c>
      <c r="E1549" s="10" t="n">
        <v>1789</v>
      </c>
      <c r="F1549" s="9" t="s">
        <v>27</v>
      </c>
      <c r="G1549" s="9" t="s">
        <v>27</v>
      </c>
      <c r="H1549" s="11" t="n">
        <v>22</v>
      </c>
      <c r="I1549" s="11" t="s">
        <v>219</v>
      </c>
      <c r="J1549" s="14" t="n">
        <v>12</v>
      </c>
      <c r="K1549" s="14"/>
      <c r="L1549" s="16"/>
      <c r="M1549" s="27" t="n">
        <f aca="false">J1549+(K1549/20)+(L1549/240)</f>
        <v>12</v>
      </c>
      <c r="N1549" s="17" t="s">
        <v>64</v>
      </c>
      <c r="O1549" s="11"/>
      <c r="P1549" s="28"/>
      <c r="Q1549" s="28" t="n">
        <f aca="false">P1549*$M1549</f>
        <v>0</v>
      </c>
      <c r="R1549" s="28"/>
      <c r="S1549" s="28" t="n">
        <f aca="false">R1549*$M1549</f>
        <v>0</v>
      </c>
      <c r="T1549" s="28"/>
      <c r="U1549" s="28" t="n">
        <f aca="false">T1549*$M1549</f>
        <v>0</v>
      </c>
      <c r="V1549" s="28" t="n">
        <f aca="false">26072/100</f>
        <v>260.72</v>
      </c>
      <c r="W1549" s="28" t="n">
        <v>3129</v>
      </c>
      <c r="X1549" s="28" t="n">
        <f aca="false">16340/100</f>
        <v>163.4</v>
      </c>
      <c r="Y1549" s="28" t="n">
        <v>1961</v>
      </c>
      <c r="Z1549" s="28"/>
      <c r="AA1549" s="28" t="n">
        <f aca="false">Z1549*$M1549</f>
        <v>0</v>
      </c>
      <c r="AB1549" s="28" t="n">
        <f aca="false">76351/100</f>
        <v>763.51</v>
      </c>
      <c r="AC1549" s="28" t="n">
        <v>9162</v>
      </c>
      <c r="AD1549" s="28"/>
      <c r="AE1549" s="28" t="n">
        <f aca="false">AD1549*$M1549</f>
        <v>0</v>
      </c>
      <c r="AF1549" s="28"/>
      <c r="AG1549" s="28" t="n">
        <f aca="false">AF1549*$M1549</f>
        <v>0</v>
      </c>
      <c r="AH1549" s="28"/>
      <c r="AI1549" s="28" t="n">
        <f aca="false">AH1549*$M1549</f>
        <v>0</v>
      </c>
      <c r="AJ1549" s="28"/>
      <c r="AK1549" s="28" t="n">
        <f aca="false">AJ1549*$M1549</f>
        <v>0</v>
      </c>
      <c r="AL1549" s="28"/>
      <c r="AM1549" s="28" t="n">
        <f aca="false">AL1549*$M1549</f>
        <v>0</v>
      </c>
      <c r="AN1549" s="28"/>
      <c r="AO1549" s="28" t="n">
        <f aca="false">AN1549*$M1549</f>
        <v>0</v>
      </c>
      <c r="AP1549" s="28"/>
      <c r="AQ1549" s="28" t="n">
        <f aca="false">AP1549*$M1549</f>
        <v>0</v>
      </c>
      <c r="AR1549" s="28"/>
      <c r="AS1549" s="28" t="n">
        <f aca="false">AR1549*$M1549</f>
        <v>0</v>
      </c>
      <c r="AT1549" s="28"/>
      <c r="AU1549" s="28" t="n">
        <f aca="false">AT1549*$M1549</f>
        <v>0</v>
      </c>
      <c r="AV1549" s="28"/>
      <c r="AW1549" s="28" t="n">
        <f aca="false">AV1549*$M1549</f>
        <v>0</v>
      </c>
      <c r="AX1549" s="28"/>
      <c r="AY1549" s="28" t="n">
        <f aca="false">AX1549*$M1549</f>
        <v>0</v>
      </c>
      <c r="AZ1549" s="30" t="n">
        <f aca="false">118763/100</f>
        <v>1187.63</v>
      </c>
      <c r="BA1549" s="11" t="n">
        <v>14252</v>
      </c>
      <c r="BB1549" s="31" t="n">
        <f aca="false">SUM(Q1549,S1549,U1549,W1549,Y1549,AA1549,AC1549,AE1549,AG1549,AI1549,AK1549,AM1549,AO1549,AQ1549,AS1549,AU1549,AW1549,AY1549)</f>
        <v>14252</v>
      </c>
      <c r="BC1549" s="28" t="n">
        <f aca="false">BA1549-BB1549</f>
        <v>0</v>
      </c>
      <c r="BD1549" s="32" t="n">
        <f aca="false">SUM(P1549,R1549,T1549,V1549,X1549,Z1549,AB1549,AD1549,AF1549,AH1549,AJ1549,AL1549,AN1549,AP1549,AR1549,AT1549,AV1549,AX1549)</f>
        <v>1187.63</v>
      </c>
      <c r="BE1549" s="33" t="n">
        <f aca="false">AZ1549-BD1549</f>
        <v>0</v>
      </c>
      <c r="BF1549" s="34" t="n">
        <f aca="false">BD1549*M1549</f>
        <v>14251.56</v>
      </c>
      <c r="BG1549" s="35" t="n">
        <f aca="false">BA1549-BF1549</f>
        <v>0.43999999999869</v>
      </c>
      <c r="BH1549" s="19" t="str">
        <f aca="false">IF(BG1549=0,"",IF(BG1549&lt;&gt;BA1549,"erreur de calcul",IF(BD1549&lt;&gt;0,"pas de prix",IF(M1549&lt;&gt; 0,"pas de quantité","pas de prix, ni de quantité"))))</f>
        <v>erreur de calcul</v>
      </c>
      <c r="BI1549" s="19"/>
    </row>
    <row r="1550" customFormat="false" ht="15" hidden="false" customHeight="false" outlineLevel="0" collapsed="false">
      <c r="A1550" s="0" t="n">
        <v>19</v>
      </c>
      <c r="B1550" s="8" t="s">
        <v>24</v>
      </c>
      <c r="C1550" s="9" t="s">
        <v>25</v>
      </c>
      <c r="D1550" s="9" t="s">
        <v>26</v>
      </c>
      <c r="E1550" s="10" t="n">
        <v>1789</v>
      </c>
      <c r="F1550" s="9" t="s">
        <v>27</v>
      </c>
      <c r="G1550" s="9" t="s">
        <v>27</v>
      </c>
      <c r="H1550" s="11" t="n">
        <v>22</v>
      </c>
      <c r="I1550" s="11" t="s">
        <v>220</v>
      </c>
      <c r="J1550" s="14" t="n">
        <v>8</v>
      </c>
      <c r="K1550" s="14"/>
      <c r="L1550" s="16"/>
      <c r="M1550" s="27" t="n">
        <f aca="false">J1550+(K1550/20)+(L1550/240)</f>
        <v>8</v>
      </c>
      <c r="N1550" s="17" t="s">
        <v>66</v>
      </c>
      <c r="O1550" s="11"/>
      <c r="P1550" s="28" t="n">
        <v>3798</v>
      </c>
      <c r="Q1550" s="28" t="n">
        <v>30384</v>
      </c>
      <c r="R1550" s="28"/>
      <c r="S1550" s="28" t="n">
        <f aca="false">R1550*$M1550</f>
        <v>0</v>
      </c>
      <c r="T1550" s="28"/>
      <c r="U1550" s="28" t="n">
        <f aca="false">T1550*$M1550</f>
        <v>0</v>
      </c>
      <c r="V1550" s="28"/>
      <c r="W1550" s="28" t="n">
        <f aca="false">V1550*$M1550</f>
        <v>0</v>
      </c>
      <c r="X1550" s="28"/>
      <c r="Y1550" s="28" t="n">
        <f aca="false">X1550*$M1550</f>
        <v>0</v>
      </c>
      <c r="Z1550" s="28"/>
      <c r="AA1550" s="28" t="n">
        <f aca="false">Z1550*$M1550</f>
        <v>0</v>
      </c>
      <c r="AB1550" s="28"/>
      <c r="AC1550" s="28" t="n">
        <f aca="false">AB1550*$M1550</f>
        <v>0</v>
      </c>
      <c r="AD1550" s="28"/>
      <c r="AE1550" s="28" t="n">
        <f aca="false">AD1550*$M1550</f>
        <v>0</v>
      </c>
      <c r="AF1550" s="28"/>
      <c r="AG1550" s="28" t="n">
        <f aca="false">AF1550*$M1550</f>
        <v>0</v>
      </c>
      <c r="AH1550" s="28" t="n">
        <v>322</v>
      </c>
      <c r="AI1550" s="28" t="n">
        <v>2576</v>
      </c>
      <c r="AJ1550" s="28"/>
      <c r="AK1550" s="28" t="n">
        <f aca="false">AJ1550*$M1550</f>
        <v>0</v>
      </c>
      <c r="AL1550" s="28"/>
      <c r="AM1550" s="28" t="n">
        <f aca="false">AL1550*$M1550</f>
        <v>0</v>
      </c>
      <c r="AN1550" s="28"/>
      <c r="AO1550" s="28" t="n">
        <f aca="false">AN1550*$M1550</f>
        <v>0</v>
      </c>
      <c r="AP1550" s="28"/>
      <c r="AQ1550" s="28" t="n">
        <f aca="false">AP1550*$M1550</f>
        <v>0</v>
      </c>
      <c r="AR1550" s="28"/>
      <c r="AS1550" s="28" t="n">
        <f aca="false">AR1550*$M1550</f>
        <v>0</v>
      </c>
      <c r="AT1550" s="28"/>
      <c r="AU1550" s="28" t="n">
        <f aca="false">AT1550*$M1550</f>
        <v>0</v>
      </c>
      <c r="AV1550" s="28"/>
      <c r="AW1550" s="28" t="n">
        <f aca="false">AV1550*$M1550</f>
        <v>0</v>
      </c>
      <c r="AX1550" s="28"/>
      <c r="AY1550" s="28" t="n">
        <f aca="false">AX1550*$M1550</f>
        <v>0</v>
      </c>
      <c r="AZ1550" s="30" t="n">
        <v>4120</v>
      </c>
      <c r="BA1550" s="11" t="n">
        <v>32960</v>
      </c>
      <c r="BB1550" s="31" t="n">
        <f aca="false">SUM(Q1550,S1550,U1550,W1550,Y1550,AA1550,AC1550,AE1550,AG1550,AI1550,AK1550,AM1550,AO1550,AQ1550,AS1550,AU1550,AW1550,AY1550)</f>
        <v>32960</v>
      </c>
      <c r="BC1550" s="28" t="n">
        <f aca="false">BA1550-BB1550</f>
        <v>0</v>
      </c>
      <c r="BD1550" s="32" t="n">
        <f aca="false">SUM(P1550,R1550,T1550,V1550,X1550,Z1550,AB1550,AD1550,AF1550,AH1550,AJ1550,AL1550,AN1550,AP1550,AR1550,AT1550,AV1550,AX1550)</f>
        <v>4120</v>
      </c>
      <c r="BE1550" s="33" t="n">
        <f aca="false">AZ1550-BD1550</f>
        <v>0</v>
      </c>
      <c r="BF1550" s="34" t="n">
        <f aca="false">BD1550*M1550</f>
        <v>32960</v>
      </c>
      <c r="BG1550" s="35" t="n">
        <f aca="false">BA1550-BF1550</f>
        <v>0</v>
      </c>
      <c r="BH1550" s="19" t="str">
        <f aca="false">IF(BG1550=0,"",IF(BG1550&lt;&gt;BA1550,"erreur de calcul",IF(BD1550&lt;&gt;0,"pas de prix",IF(M1550&lt;&gt; 0,"pas de quantité","pas de prix, ni de quantité"))))</f>
        <v/>
      </c>
      <c r="BI1550" s="19"/>
    </row>
    <row r="1551" customFormat="false" ht="15" hidden="false" customHeight="false" outlineLevel="0" collapsed="false">
      <c r="A1551" s="0" t="n">
        <v>20</v>
      </c>
      <c r="B1551" s="8" t="s">
        <v>24</v>
      </c>
      <c r="C1551" s="9" t="s">
        <v>25</v>
      </c>
      <c r="D1551" s="9" t="s">
        <v>26</v>
      </c>
      <c r="E1551" s="10" t="n">
        <v>1789</v>
      </c>
      <c r="F1551" s="9" t="s">
        <v>27</v>
      </c>
      <c r="G1551" s="9" t="s">
        <v>27</v>
      </c>
      <c r="H1551" s="11" t="n">
        <v>22</v>
      </c>
      <c r="I1551" s="11" t="s">
        <v>221</v>
      </c>
      <c r="J1551" s="14"/>
      <c r="K1551" s="14" t="n">
        <v>20</v>
      </c>
      <c r="L1551" s="16"/>
      <c r="M1551" s="27" t="n">
        <f aca="false">J1551+(K1551/20)+(L1551/240)</f>
        <v>1</v>
      </c>
      <c r="N1551" s="17" t="s">
        <v>66</v>
      </c>
      <c r="O1551" s="11"/>
      <c r="P1551" s="28" t="n">
        <v>1353</v>
      </c>
      <c r="Q1551" s="28" t="n">
        <v>1353</v>
      </c>
      <c r="R1551" s="28"/>
      <c r="S1551" s="28" t="n">
        <f aca="false">R1551*$M1551</f>
        <v>0</v>
      </c>
      <c r="T1551" s="28"/>
      <c r="U1551" s="28" t="n">
        <f aca="false">T1551*$M1551</f>
        <v>0</v>
      </c>
      <c r="V1551" s="28"/>
      <c r="W1551" s="28" t="n">
        <f aca="false">V1551*$M1551</f>
        <v>0</v>
      </c>
      <c r="X1551" s="28"/>
      <c r="Y1551" s="28" t="n">
        <f aca="false">X1551*$M1551</f>
        <v>0</v>
      </c>
      <c r="Z1551" s="28"/>
      <c r="AA1551" s="28" t="n">
        <f aca="false">Z1551*$M1551</f>
        <v>0</v>
      </c>
      <c r="AB1551" s="28"/>
      <c r="AC1551" s="28" t="n">
        <f aca="false">AB1551*$M1551</f>
        <v>0</v>
      </c>
      <c r="AD1551" s="28"/>
      <c r="AE1551" s="28" t="n">
        <f aca="false">AD1551*$M1551</f>
        <v>0</v>
      </c>
      <c r="AF1551" s="28"/>
      <c r="AG1551" s="28" t="n">
        <f aca="false">AF1551*$M1551</f>
        <v>0</v>
      </c>
      <c r="AH1551" s="28"/>
      <c r="AI1551" s="28" t="n">
        <f aca="false">AH1551*$M1551</f>
        <v>0</v>
      </c>
      <c r="AJ1551" s="28"/>
      <c r="AK1551" s="28" t="n">
        <f aca="false">AJ1551*$M1551</f>
        <v>0</v>
      </c>
      <c r="AL1551" s="28"/>
      <c r="AM1551" s="28" t="n">
        <f aca="false">AL1551*$M1551</f>
        <v>0</v>
      </c>
      <c r="AN1551" s="28"/>
      <c r="AO1551" s="28" t="n">
        <f aca="false">AN1551*$M1551</f>
        <v>0</v>
      </c>
      <c r="AP1551" s="28"/>
      <c r="AQ1551" s="28" t="n">
        <f aca="false">AP1551*$M1551</f>
        <v>0</v>
      </c>
      <c r="AR1551" s="28"/>
      <c r="AS1551" s="28" t="n">
        <f aca="false">AR1551*$M1551</f>
        <v>0</v>
      </c>
      <c r="AT1551" s="28"/>
      <c r="AU1551" s="28" t="n">
        <f aca="false">AT1551*$M1551</f>
        <v>0</v>
      </c>
      <c r="AV1551" s="28"/>
      <c r="AW1551" s="28" t="n">
        <f aca="false">AV1551*$M1551</f>
        <v>0</v>
      </c>
      <c r="AX1551" s="28"/>
      <c r="AY1551" s="28" t="n">
        <f aca="false">AX1551*$M1551</f>
        <v>0</v>
      </c>
      <c r="AZ1551" s="30" t="n">
        <v>1353</v>
      </c>
      <c r="BA1551" s="11" t="n">
        <v>1353</v>
      </c>
      <c r="BB1551" s="31" t="n">
        <f aca="false">SUM(Q1551,S1551,U1551,W1551,Y1551,AA1551,AC1551,AE1551,AG1551,AI1551,AK1551,AM1551,AO1551,AQ1551,AS1551,AU1551,AW1551,AY1551)</f>
        <v>1353</v>
      </c>
      <c r="BC1551" s="28" t="n">
        <f aca="false">BA1551-BB1551</f>
        <v>0</v>
      </c>
      <c r="BD1551" s="32" t="n">
        <f aca="false">SUM(P1551,R1551,T1551,V1551,X1551,Z1551,AB1551,AD1551,AF1551,AH1551,AJ1551,AL1551,AN1551,AP1551,AR1551,AT1551,AV1551,AX1551)</f>
        <v>1353</v>
      </c>
      <c r="BE1551" s="33" t="n">
        <f aca="false">AZ1551-BD1551</f>
        <v>0</v>
      </c>
      <c r="BF1551" s="34" t="n">
        <f aca="false">BD1551*M1551</f>
        <v>1353</v>
      </c>
      <c r="BG1551" s="35" t="n">
        <f aca="false">BA1551-BF1551</f>
        <v>0</v>
      </c>
      <c r="BH1551" s="19" t="str">
        <f aca="false">IF(BG1551=0,"",IF(BG1551&lt;&gt;BA1551,"erreur de calcul",IF(BD1551&lt;&gt;0,"pas de prix",IF(M1551&lt;&gt; 0,"pas de quantité","pas de prix, ni de quantité"))))</f>
        <v/>
      </c>
      <c r="BI1551" s="19"/>
    </row>
    <row r="1552" customFormat="false" ht="15" hidden="false" customHeight="false" outlineLevel="0" collapsed="false">
      <c r="A1552" s="0" t="n">
        <v>21</v>
      </c>
      <c r="B1552" s="8" t="s">
        <v>24</v>
      </c>
      <c r="C1552" s="9" t="s">
        <v>25</v>
      </c>
      <c r="D1552" s="9" t="s">
        <v>26</v>
      </c>
      <c r="E1552" s="10" t="n">
        <v>1789</v>
      </c>
      <c r="F1552" s="9" t="s">
        <v>27</v>
      </c>
      <c r="G1552" s="9" t="s">
        <v>27</v>
      </c>
      <c r="H1552" s="11" t="n">
        <v>22</v>
      </c>
      <c r="I1552" s="11" t="s">
        <v>222</v>
      </c>
      <c r="J1552" s="14" t="n">
        <v>85</v>
      </c>
      <c r="K1552" s="14"/>
      <c r="L1552" s="16"/>
      <c r="M1552" s="27" t="n">
        <f aca="false">J1552+(K1552/20)+(L1552/240)</f>
        <v>85</v>
      </c>
      <c r="N1552" s="17" t="s">
        <v>64</v>
      </c>
      <c r="O1552" s="11"/>
      <c r="P1552" s="28"/>
      <c r="Q1552" s="28" t="n">
        <f aca="false">P1552*$M1552</f>
        <v>0</v>
      </c>
      <c r="R1552" s="28"/>
      <c r="S1552" s="28" t="n">
        <f aca="false">R1552*$M1552</f>
        <v>0</v>
      </c>
      <c r="T1552" s="28" t="n">
        <f aca="false">10813/100</f>
        <v>108.13</v>
      </c>
      <c r="U1552" s="28" t="n">
        <v>9191</v>
      </c>
      <c r="V1552" s="28" t="n">
        <f aca="false">43400/100</f>
        <v>434</v>
      </c>
      <c r="W1552" s="28" t="n">
        <v>36890</v>
      </c>
      <c r="X1552" s="28" t="n">
        <f aca="false">702/100</f>
        <v>7.02</v>
      </c>
      <c r="Y1552" s="28" t="n">
        <v>597</v>
      </c>
      <c r="Z1552" s="28"/>
      <c r="AA1552" s="28" t="n">
        <f aca="false">Z1552*$M1552</f>
        <v>0</v>
      </c>
      <c r="AB1552" s="28" t="n">
        <f aca="false">171/100</f>
        <v>1.71</v>
      </c>
      <c r="AC1552" s="28" t="n">
        <v>145</v>
      </c>
      <c r="AD1552" s="28"/>
      <c r="AE1552" s="28" t="n">
        <f aca="false">AD1552*$M1552</f>
        <v>0</v>
      </c>
      <c r="AF1552" s="28"/>
      <c r="AG1552" s="28" t="n">
        <f aca="false">AF1552*$M1552</f>
        <v>0</v>
      </c>
      <c r="AH1552" s="28" t="n">
        <f aca="false">17388/100</f>
        <v>173.88</v>
      </c>
      <c r="AI1552" s="28" t="n">
        <v>14780</v>
      </c>
      <c r="AJ1552" s="28"/>
      <c r="AK1552" s="28" t="n">
        <f aca="false">AJ1552*$M1552</f>
        <v>0</v>
      </c>
      <c r="AL1552" s="28"/>
      <c r="AM1552" s="28" t="n">
        <f aca="false">AL1552*$M1552</f>
        <v>0</v>
      </c>
      <c r="AN1552" s="28"/>
      <c r="AO1552" s="28" t="n">
        <f aca="false">AN1552*$M1552</f>
        <v>0</v>
      </c>
      <c r="AP1552" s="28"/>
      <c r="AQ1552" s="28" t="n">
        <f aca="false">AP1552*$M1552</f>
        <v>0</v>
      </c>
      <c r="AR1552" s="28"/>
      <c r="AS1552" s="28" t="n">
        <f aca="false">AR1552*$M1552</f>
        <v>0</v>
      </c>
      <c r="AT1552" s="28"/>
      <c r="AU1552" s="28" t="n">
        <f aca="false">AT1552*$M1552</f>
        <v>0</v>
      </c>
      <c r="AV1552" s="28"/>
      <c r="AW1552" s="28" t="n">
        <f aca="false">AV1552*$M1552</f>
        <v>0</v>
      </c>
      <c r="AX1552" s="28"/>
      <c r="AY1552" s="28" t="n">
        <f aca="false">AX1552*$M1552</f>
        <v>0</v>
      </c>
      <c r="AZ1552" s="30" t="n">
        <f aca="false">72474/100</f>
        <v>724.74</v>
      </c>
      <c r="BA1552" s="11" t="n">
        <v>61603</v>
      </c>
      <c r="BB1552" s="31" t="n">
        <f aca="false">SUM(Q1552,S1552,U1552,W1552,Y1552,AA1552,AC1552,AE1552,AG1552,AI1552,AK1552,AM1552,AO1552,AQ1552,AS1552,AU1552,AW1552,AY1552)</f>
        <v>61603</v>
      </c>
      <c r="BC1552" s="28" t="n">
        <f aca="false">BA1552-BB1552</f>
        <v>0</v>
      </c>
      <c r="BD1552" s="32" t="n">
        <f aca="false">SUM(P1552,R1552,T1552,V1552,X1552,Z1552,AB1552,AD1552,AF1552,AH1552,AJ1552,AL1552,AN1552,AP1552,AR1552,AT1552,AV1552,AX1552)</f>
        <v>724.74</v>
      </c>
      <c r="BE1552" s="33" t="n">
        <f aca="false">AZ1552-BD1552</f>
        <v>0</v>
      </c>
      <c r="BF1552" s="34" t="n">
        <f aca="false">BD1552*M1552</f>
        <v>61602.9</v>
      </c>
      <c r="BG1552" s="35" t="n">
        <f aca="false">BA1552-BF1552</f>
        <v>0.0999999999985448</v>
      </c>
      <c r="BH1552" s="19" t="str">
        <f aca="false">IF(BG1552=0,"",IF(BG1552&lt;&gt;BA1552,"erreur de calcul",IF(BD1552&lt;&gt;0,"pas de prix",IF(M1552&lt;&gt; 0,"pas de quantité","pas de prix, ni de quantité"))))</f>
        <v>erreur de calcul</v>
      </c>
      <c r="BI1552" s="19"/>
    </row>
    <row r="1553" customFormat="false" ht="15" hidden="false" customHeight="false" outlineLevel="0" collapsed="false">
      <c r="A1553" s="0" t="n">
        <v>22</v>
      </c>
      <c r="B1553" s="8" t="s">
        <v>24</v>
      </c>
      <c r="C1553" s="9" t="s">
        <v>25</v>
      </c>
      <c r="D1553" s="9" t="s">
        <v>26</v>
      </c>
      <c r="E1553" s="10" t="n">
        <v>1789</v>
      </c>
      <c r="F1553" s="9" t="s">
        <v>27</v>
      </c>
      <c r="G1553" s="9" t="s">
        <v>27</v>
      </c>
      <c r="H1553" s="11" t="n">
        <v>22</v>
      </c>
      <c r="I1553" s="11" t="s">
        <v>223</v>
      </c>
      <c r="J1553" s="14" t="n">
        <v>150</v>
      </c>
      <c r="K1553" s="14"/>
      <c r="L1553" s="16"/>
      <c r="M1553" s="27" t="n">
        <f aca="false">J1553+(K1553/20)+(L1553/240)</f>
        <v>150</v>
      </c>
      <c r="N1553" s="17" t="s">
        <v>64</v>
      </c>
      <c r="O1553" s="11"/>
      <c r="P1553" s="28"/>
      <c r="Q1553" s="28" t="n">
        <f aca="false">P1553*$M1553</f>
        <v>0</v>
      </c>
      <c r="R1553" s="28"/>
      <c r="S1553" s="28" t="n">
        <f aca="false">R1553*$M1553</f>
        <v>0</v>
      </c>
      <c r="T1553" s="28"/>
      <c r="U1553" s="28" t="n">
        <f aca="false">T1553*$M1553</f>
        <v>0</v>
      </c>
      <c r="V1553" s="28" t="n">
        <f aca="false">1415/100</f>
        <v>14.15</v>
      </c>
      <c r="W1553" s="28" t="n">
        <v>2122</v>
      </c>
      <c r="X1553" s="28"/>
      <c r="Y1553" s="28" t="n">
        <f aca="false">X1553*$M1553</f>
        <v>0</v>
      </c>
      <c r="Z1553" s="28"/>
      <c r="AA1553" s="28" t="n">
        <f aca="false">Z1553*$M1553</f>
        <v>0</v>
      </c>
      <c r="AB1553" s="28" t="n">
        <f aca="false">1806/100</f>
        <v>18.06</v>
      </c>
      <c r="AC1553" s="28" t="n">
        <v>2709</v>
      </c>
      <c r="AD1553" s="28"/>
      <c r="AE1553" s="28" t="n">
        <f aca="false">AD1553*$M1553</f>
        <v>0</v>
      </c>
      <c r="AF1553" s="28"/>
      <c r="AG1553" s="28" t="n">
        <f aca="false">AF1553*$M1553</f>
        <v>0</v>
      </c>
      <c r="AH1553" s="28"/>
      <c r="AI1553" s="28" t="n">
        <f aca="false">AH1553*$M1553</f>
        <v>0</v>
      </c>
      <c r="AJ1553" s="28"/>
      <c r="AK1553" s="28" t="n">
        <f aca="false">AJ1553*$M1553</f>
        <v>0</v>
      </c>
      <c r="AL1553" s="28"/>
      <c r="AM1553" s="28" t="n">
        <f aca="false">AL1553*$M1553</f>
        <v>0</v>
      </c>
      <c r="AN1553" s="28"/>
      <c r="AO1553" s="28" t="n">
        <f aca="false">AN1553*$M1553</f>
        <v>0</v>
      </c>
      <c r="AP1553" s="28"/>
      <c r="AQ1553" s="28" t="n">
        <f aca="false">AP1553*$M1553</f>
        <v>0</v>
      </c>
      <c r="AR1553" s="28"/>
      <c r="AS1553" s="28" t="n">
        <f aca="false">AR1553*$M1553</f>
        <v>0</v>
      </c>
      <c r="AT1553" s="28"/>
      <c r="AU1553" s="28" t="n">
        <f aca="false">AT1553*$M1553</f>
        <v>0</v>
      </c>
      <c r="AV1553" s="28"/>
      <c r="AW1553" s="28" t="n">
        <f aca="false">AV1553*$M1553</f>
        <v>0</v>
      </c>
      <c r="AX1553" s="28"/>
      <c r="AY1553" s="28" t="n">
        <f aca="false">AX1553*$M1553</f>
        <v>0</v>
      </c>
      <c r="AZ1553" s="30" t="n">
        <f aca="false">3221/100</f>
        <v>32.21</v>
      </c>
      <c r="BA1553" s="11" t="n">
        <v>4831</v>
      </c>
      <c r="BB1553" s="31" t="n">
        <f aca="false">SUM(Q1553,S1553,U1553,W1553,Y1553,AA1553,AC1553,AE1553,AG1553,AI1553,AK1553,AM1553,AO1553,AQ1553,AS1553,AU1553,AW1553,AY1553)</f>
        <v>4831</v>
      </c>
      <c r="BC1553" s="28" t="n">
        <f aca="false">BA1553-BB1553</f>
        <v>0</v>
      </c>
      <c r="BD1553" s="32" t="n">
        <f aca="false">SUM(P1553,R1553,T1553,V1553,X1553,Z1553,AB1553,AD1553,AF1553,AH1553,AJ1553,AL1553,AN1553,AP1553,AR1553,AT1553,AV1553,AX1553)</f>
        <v>32.21</v>
      </c>
      <c r="BE1553" s="33" t="n">
        <f aca="false">AZ1553-BD1553</f>
        <v>0</v>
      </c>
      <c r="BF1553" s="34" t="n">
        <f aca="false">BD1553*M1553</f>
        <v>4831.5</v>
      </c>
      <c r="BG1553" s="35" t="n">
        <f aca="false">BA1553-BF1553</f>
        <v>-0.5</v>
      </c>
      <c r="BH1553" s="19" t="str">
        <f aca="false">IF(BG1553=0,"",IF(BG1553&lt;&gt;BA1553,"erreur de calcul",IF(BD1553&lt;&gt;0,"pas de prix",IF(M1553&lt;&gt; 0,"pas de quantité","pas de prix, ni de quantité"))))</f>
        <v>erreur de calcul</v>
      </c>
      <c r="BI1553" s="19"/>
    </row>
    <row r="1554" customFormat="false" ht="15" hidden="false" customHeight="false" outlineLevel="0" collapsed="false">
      <c r="A1554" s="0" t="n">
        <v>23</v>
      </c>
      <c r="B1554" s="8" t="s">
        <v>24</v>
      </c>
      <c r="C1554" s="9" t="s">
        <v>25</v>
      </c>
      <c r="D1554" s="9" t="s">
        <v>26</v>
      </c>
      <c r="E1554" s="10" t="n">
        <v>1789</v>
      </c>
      <c r="F1554" s="9" t="s">
        <v>27</v>
      </c>
      <c r="G1554" s="9" t="s">
        <v>27</v>
      </c>
      <c r="H1554" s="11" t="n">
        <v>22</v>
      </c>
      <c r="I1554" s="11" t="s">
        <v>224</v>
      </c>
      <c r="J1554" s="14"/>
      <c r="K1554" s="14"/>
      <c r="L1554" s="16"/>
      <c r="M1554" s="27" t="n">
        <f aca="false">J1554+(K1554/20)+(L1554/240)</f>
        <v>0</v>
      </c>
      <c r="N1554" s="17" t="s">
        <v>225</v>
      </c>
      <c r="O1554" s="11"/>
      <c r="P1554" s="28" t="n">
        <f aca="false">2+121/288</f>
        <v>2.42013888888889</v>
      </c>
      <c r="Q1554" s="28" t="n">
        <v>275</v>
      </c>
      <c r="R1554" s="28"/>
      <c r="S1554" s="28" t="n">
        <f aca="false">R1554*$M1554</f>
        <v>0</v>
      </c>
      <c r="T1554" s="28"/>
      <c r="U1554" s="28" t="n">
        <f aca="false">T1554*$M1554</f>
        <v>0</v>
      </c>
      <c r="V1554" s="28"/>
      <c r="W1554" s="28" t="n">
        <f aca="false">V1554*$M1554</f>
        <v>0</v>
      </c>
      <c r="X1554" s="28"/>
      <c r="Y1554" s="28" t="n">
        <f aca="false">X1554*$M1554</f>
        <v>0</v>
      </c>
      <c r="Z1554" s="28"/>
      <c r="AA1554" s="28" t="n">
        <f aca="false">Z1554*$M1554</f>
        <v>0</v>
      </c>
      <c r="AB1554" s="28"/>
      <c r="AC1554" s="28" t="n">
        <f aca="false">AB1554*$M1554</f>
        <v>0</v>
      </c>
      <c r="AD1554" s="28"/>
      <c r="AE1554" s="28" t="n">
        <f aca="false">AD1554*$M1554</f>
        <v>0</v>
      </c>
      <c r="AF1554" s="28"/>
      <c r="AG1554" s="28" t="n">
        <f aca="false">AF1554*$M1554</f>
        <v>0</v>
      </c>
      <c r="AH1554" s="28"/>
      <c r="AI1554" s="28" t="n">
        <f aca="false">AH1554*$M1554</f>
        <v>0</v>
      </c>
      <c r="AJ1554" s="28"/>
      <c r="AK1554" s="28" t="n">
        <f aca="false">AJ1554*$M1554</f>
        <v>0</v>
      </c>
      <c r="AL1554" s="28"/>
      <c r="AM1554" s="28" t="n">
        <f aca="false">AL1554*$M1554</f>
        <v>0</v>
      </c>
      <c r="AN1554" s="28"/>
      <c r="AO1554" s="28" t="n">
        <f aca="false">AN1554*$M1554</f>
        <v>0</v>
      </c>
      <c r="AP1554" s="28"/>
      <c r="AQ1554" s="28" t="n">
        <f aca="false">AP1554*$M1554</f>
        <v>0</v>
      </c>
      <c r="AR1554" s="28"/>
      <c r="AS1554" s="28" t="n">
        <f aca="false">AR1554*$M1554</f>
        <v>0</v>
      </c>
      <c r="AT1554" s="28"/>
      <c r="AU1554" s="28" t="n">
        <f aca="false">AT1554*$M1554</f>
        <v>0</v>
      </c>
      <c r="AV1554" s="28"/>
      <c r="AW1554" s="28" t="n">
        <f aca="false">AV1554*$M1554</f>
        <v>0</v>
      </c>
      <c r="AX1554" s="28"/>
      <c r="AY1554" s="28" t="n">
        <f aca="false">AX1554*$M1554</f>
        <v>0</v>
      </c>
      <c r="AZ1554" s="30" t="n">
        <f aca="false">2+121/288</f>
        <v>2.42013888888889</v>
      </c>
      <c r="BA1554" s="11" t="n">
        <v>275</v>
      </c>
      <c r="BB1554" s="31" t="n">
        <f aca="false">SUM(Q1554,S1554,U1554,W1554,Y1554,AA1554,AC1554,AE1554,AG1554,AI1554,AK1554,AM1554,AO1554,AQ1554,AS1554,AU1554,AW1554,AY1554)</f>
        <v>275</v>
      </c>
      <c r="BC1554" s="28" t="n">
        <f aca="false">BA1554-BB1554</f>
        <v>0</v>
      </c>
      <c r="BD1554" s="32" t="n">
        <f aca="false">SUM(P1554,R1554,T1554,V1554,X1554,Z1554,AB1554,AD1554,AF1554,AH1554,AJ1554,AL1554,AN1554,AP1554,AR1554,AT1554,AV1554,AX1554)</f>
        <v>2.42013888888889</v>
      </c>
      <c r="BE1554" s="33" t="n">
        <f aca="false">AZ1554-BD1554</f>
        <v>0</v>
      </c>
      <c r="BF1554" s="34" t="n">
        <f aca="false">BD1554*M1554</f>
        <v>0</v>
      </c>
      <c r="BG1554" s="35" t="n">
        <f aca="false">BA1554-BF1554</f>
        <v>275</v>
      </c>
      <c r="BH1554" s="19" t="str">
        <f aca="false">IF(BG1554=0,"",IF(BG1554&lt;&gt;BA1554,"erreur de calcul",IF(BD1554&lt;&gt;0,"pas de prix",IF(M1554&lt;&gt; 0,"pas de quantité","pas de prix, ni de quantité"))))</f>
        <v>pas de prix</v>
      </c>
      <c r="BI1554" s="19" t="s">
        <v>226</v>
      </c>
    </row>
    <row r="1555" customFormat="false" ht="15" hidden="false" customHeight="false" outlineLevel="0" collapsed="false">
      <c r="A1555" s="0" t="n">
        <v>24</v>
      </c>
      <c r="B1555" s="8" t="s">
        <v>24</v>
      </c>
      <c r="C1555" s="9" t="s">
        <v>25</v>
      </c>
      <c r="D1555" s="9" t="s">
        <v>26</v>
      </c>
      <c r="E1555" s="10" t="n">
        <v>1789</v>
      </c>
      <c r="F1555" s="9" t="s">
        <v>27</v>
      </c>
      <c r="G1555" s="9" t="s">
        <v>27</v>
      </c>
      <c r="H1555" s="11" t="n">
        <v>22</v>
      </c>
      <c r="I1555" s="11" t="s">
        <v>227</v>
      </c>
      <c r="J1555" s="14" t="n">
        <v>8</v>
      </c>
      <c r="K1555" s="14"/>
      <c r="L1555" s="16"/>
      <c r="M1555" s="27" t="n">
        <f aca="false">J1555+(K1555/20)+(L1555/240)</f>
        <v>8</v>
      </c>
      <c r="N1555" s="17" t="s">
        <v>64</v>
      </c>
      <c r="O1555" s="11" t="s">
        <v>77</v>
      </c>
      <c r="P1555" s="28" t="n">
        <f aca="false">267216/100</f>
        <v>2672.16</v>
      </c>
      <c r="Q1555" s="28" t="n">
        <v>21377</v>
      </c>
      <c r="R1555" s="28"/>
      <c r="S1555" s="28" t="n">
        <f aca="false">R1555*$M1555</f>
        <v>0</v>
      </c>
      <c r="T1555" s="28"/>
      <c r="U1555" s="28" t="n">
        <f aca="false">T1555*$M1555</f>
        <v>0</v>
      </c>
      <c r="V1555" s="28"/>
      <c r="W1555" s="28" t="n">
        <f aca="false">V1555*$M1555</f>
        <v>0</v>
      </c>
      <c r="X1555" s="28"/>
      <c r="Y1555" s="28" t="n">
        <f aca="false">X1555*$M1555</f>
        <v>0</v>
      </c>
      <c r="Z1555" s="28"/>
      <c r="AA1555" s="28" t="n">
        <f aca="false">Z1555*$M1555</f>
        <v>0</v>
      </c>
      <c r="AB1555" s="28" t="n">
        <f aca="false">3334/100</f>
        <v>33.34</v>
      </c>
      <c r="AC1555" s="28" t="n">
        <v>267</v>
      </c>
      <c r="AD1555" s="28"/>
      <c r="AE1555" s="28" t="n">
        <f aca="false">AD1555*$M1555</f>
        <v>0</v>
      </c>
      <c r="AF1555" s="28"/>
      <c r="AG1555" s="28" t="n">
        <f aca="false">AF1555*$M1555</f>
        <v>0</v>
      </c>
      <c r="AH1555" s="28"/>
      <c r="AI1555" s="28" t="n">
        <f aca="false">AH1555*$M1555</f>
        <v>0</v>
      </c>
      <c r="AJ1555" s="28"/>
      <c r="AK1555" s="28" t="n">
        <f aca="false">AJ1555*$M1555</f>
        <v>0</v>
      </c>
      <c r="AL1555" s="28"/>
      <c r="AM1555" s="28" t="n">
        <f aca="false">AL1555*$M1555</f>
        <v>0</v>
      </c>
      <c r="AN1555" s="28"/>
      <c r="AO1555" s="28" t="n">
        <f aca="false">AN1555*$M1555</f>
        <v>0</v>
      </c>
      <c r="AP1555" s="28"/>
      <c r="AQ1555" s="28" t="n">
        <f aca="false">AP1555*$M1555</f>
        <v>0</v>
      </c>
      <c r="AR1555" s="28"/>
      <c r="AS1555" s="28" t="n">
        <f aca="false">AR1555*$M1555</f>
        <v>0</v>
      </c>
      <c r="AT1555" s="28"/>
      <c r="AU1555" s="28" t="n">
        <f aca="false">AT1555*$M1555</f>
        <v>0</v>
      </c>
      <c r="AV1555" s="28"/>
      <c r="AW1555" s="28" t="n">
        <f aca="false">AV1555*$M1555</f>
        <v>0</v>
      </c>
      <c r="AX1555" s="28"/>
      <c r="AY1555" s="28" t="n">
        <f aca="false">AX1555*$M1555</f>
        <v>0</v>
      </c>
      <c r="AZ1555" s="30" t="n">
        <f aca="false">270550/100</f>
        <v>2705.5</v>
      </c>
      <c r="BA1555" s="11" t="n">
        <v>21644</v>
      </c>
      <c r="BB1555" s="31" t="n">
        <f aca="false">SUM(Q1555,S1555,U1555,W1555,Y1555,AA1555,AC1555,AE1555,AG1555,AI1555,AK1555,AM1555,AO1555,AQ1555,AS1555,AU1555,AW1555,AY1555)</f>
        <v>21644</v>
      </c>
      <c r="BC1555" s="28" t="n">
        <f aca="false">BA1555-BB1555</f>
        <v>0</v>
      </c>
      <c r="BD1555" s="32" t="n">
        <f aca="false">SUM(P1555,R1555,T1555,V1555,X1555,Z1555,AB1555,AD1555,AF1555,AH1555,AJ1555,AL1555,AN1555,AP1555,AR1555,AT1555,AV1555,AX1555)</f>
        <v>2705.5</v>
      </c>
      <c r="BE1555" s="33" t="n">
        <f aca="false">AZ1555-BD1555</f>
        <v>0</v>
      </c>
      <c r="BF1555" s="34" t="n">
        <f aca="false">BD1555*M1555</f>
        <v>21644</v>
      </c>
      <c r="BG1555" s="35" t="n">
        <f aca="false">BA1555-BF1555</f>
        <v>0</v>
      </c>
      <c r="BH1555" s="19" t="str">
        <f aca="false">IF(BG1555=0,"",IF(BG1555&lt;&gt;BA1555,"erreur de calcul",IF(BD1555&lt;&gt;0,"pas de prix",IF(M1555&lt;&gt; 0,"pas de quantité","pas de prix, ni de quantité"))))</f>
        <v/>
      </c>
      <c r="BI1555" s="19"/>
    </row>
    <row r="1556" customFormat="false" ht="15" hidden="false" customHeight="false" outlineLevel="0" collapsed="false">
      <c r="A1556" s="0" t="n">
        <v>25</v>
      </c>
      <c r="B1556" s="8" t="s">
        <v>24</v>
      </c>
      <c r="C1556" s="9" t="s">
        <v>25</v>
      </c>
      <c r="D1556" s="9" t="s">
        <v>26</v>
      </c>
      <c r="E1556" s="10" t="n">
        <v>1789</v>
      </c>
      <c r="F1556" s="9" t="s">
        <v>27</v>
      </c>
      <c r="G1556" s="9" t="s">
        <v>27</v>
      </c>
      <c r="H1556" s="11" t="n">
        <v>22</v>
      </c>
      <c r="I1556" s="11" t="s">
        <v>228</v>
      </c>
      <c r="J1556" s="14" t="n">
        <v>11</v>
      </c>
      <c r="K1556" s="14"/>
      <c r="L1556" s="16"/>
      <c r="M1556" s="27" t="n">
        <f aca="false">J1556+(K1556/20)+(L1556/240)</f>
        <v>11</v>
      </c>
      <c r="N1556" s="17" t="s">
        <v>66</v>
      </c>
      <c r="O1556" s="11"/>
      <c r="P1556" s="28"/>
      <c r="Q1556" s="28" t="n">
        <f aca="false">P1556*$M1556</f>
        <v>0</v>
      </c>
      <c r="R1556" s="28" t="n">
        <v>2017</v>
      </c>
      <c r="S1556" s="28" t="n">
        <v>22187</v>
      </c>
      <c r="T1556" s="28"/>
      <c r="U1556" s="28" t="n">
        <f aca="false">T1556*$M1556</f>
        <v>0</v>
      </c>
      <c r="V1556" s="28"/>
      <c r="W1556" s="28" t="n">
        <f aca="false">V1556*$M1556</f>
        <v>0</v>
      </c>
      <c r="X1556" s="28" t="n">
        <v>3804</v>
      </c>
      <c r="Y1556" s="28" t="n">
        <v>41844</v>
      </c>
      <c r="Z1556" s="28"/>
      <c r="AA1556" s="28" t="n">
        <f aca="false">Z1556*$M1556</f>
        <v>0</v>
      </c>
      <c r="AB1556" s="28"/>
      <c r="AC1556" s="28" t="n">
        <f aca="false">AB1556*$M1556</f>
        <v>0</v>
      </c>
      <c r="AD1556" s="28"/>
      <c r="AE1556" s="28" t="n">
        <f aca="false">AD1556*$M1556</f>
        <v>0</v>
      </c>
      <c r="AF1556" s="28"/>
      <c r="AG1556" s="28" t="n">
        <f aca="false">AF1556*$M1556</f>
        <v>0</v>
      </c>
      <c r="AH1556" s="28" t="n">
        <v>117</v>
      </c>
      <c r="AI1556" s="28" t="n">
        <v>1287</v>
      </c>
      <c r="AJ1556" s="28" t="n">
        <v>8694</v>
      </c>
      <c r="AK1556" s="28" t="n">
        <v>95634</v>
      </c>
      <c r="AL1556" s="28"/>
      <c r="AM1556" s="28" t="n">
        <f aca="false">AL1556*$M1556</f>
        <v>0</v>
      </c>
      <c r="AN1556" s="28" t="n">
        <v>5697</v>
      </c>
      <c r="AO1556" s="28" t="n">
        <v>62667</v>
      </c>
      <c r="AP1556" s="28"/>
      <c r="AQ1556" s="28" t="n">
        <f aca="false">AP1556*$M1556</f>
        <v>0</v>
      </c>
      <c r="AR1556" s="28"/>
      <c r="AS1556" s="28" t="n">
        <f aca="false">AR1556*$M1556</f>
        <v>0</v>
      </c>
      <c r="AT1556" s="28"/>
      <c r="AU1556" s="28" t="n">
        <f aca="false">AT1556*$M1556</f>
        <v>0</v>
      </c>
      <c r="AV1556" s="28"/>
      <c r="AW1556" s="28" t="n">
        <f aca="false">AV1556*$M1556</f>
        <v>0</v>
      </c>
      <c r="AX1556" s="28"/>
      <c r="AY1556" s="28" t="n">
        <f aca="false">AX1556*$M1556</f>
        <v>0</v>
      </c>
      <c r="AZ1556" s="30" t="n">
        <v>20329</v>
      </c>
      <c r="BA1556" s="11" t="n">
        <v>223619</v>
      </c>
      <c r="BB1556" s="31" t="n">
        <f aca="false">SUM(Q1556,S1556,U1556,W1556,Y1556,AA1556,AC1556,AE1556,AG1556,AI1556,AK1556,AM1556,AO1556,AQ1556,AS1556,AU1556,AW1556,AY1556)</f>
        <v>223619</v>
      </c>
      <c r="BC1556" s="28" t="n">
        <f aca="false">BA1556-BB1556</f>
        <v>0</v>
      </c>
      <c r="BD1556" s="32" t="n">
        <f aca="false">SUM(P1556,R1556,T1556,V1556,X1556,Z1556,AB1556,AD1556,AF1556,AH1556,AJ1556,AL1556,AN1556,AP1556,AR1556,AT1556,AV1556,AX1556)</f>
        <v>20329</v>
      </c>
      <c r="BE1556" s="33" t="n">
        <f aca="false">AZ1556-BD1556</f>
        <v>0</v>
      </c>
      <c r="BF1556" s="34" t="n">
        <f aca="false">BD1556*M1556</f>
        <v>223619</v>
      </c>
      <c r="BG1556" s="35" t="n">
        <f aca="false">BA1556-BF1556</f>
        <v>0</v>
      </c>
      <c r="BH1556" s="19" t="str">
        <f aca="false">IF(BG1556=0,"",IF(BG1556&lt;&gt;BA1556,"erreur de calcul",IF(BD1556&lt;&gt;0,"pas de prix",IF(M1556&lt;&gt; 0,"pas de quantité","pas de prix, ni de quantité"))))</f>
        <v/>
      </c>
      <c r="BI1556" s="19"/>
    </row>
    <row r="1557" customFormat="false" ht="15" hidden="false" customHeight="false" outlineLevel="0" collapsed="false">
      <c r="A1557" s="0" t="n">
        <v>26</v>
      </c>
      <c r="B1557" s="8" t="s">
        <v>24</v>
      </c>
      <c r="C1557" s="9" t="s">
        <v>25</v>
      </c>
      <c r="D1557" s="9" t="s">
        <v>26</v>
      </c>
      <c r="E1557" s="10" t="n">
        <v>1789</v>
      </c>
      <c r="F1557" s="9" t="s">
        <v>27</v>
      </c>
      <c r="G1557" s="9" t="s">
        <v>27</v>
      </c>
      <c r="H1557" s="11" t="n">
        <v>22</v>
      </c>
      <c r="I1557" s="11" t="s">
        <v>229</v>
      </c>
      <c r="J1557" s="14" t="n">
        <v>5</v>
      </c>
      <c r="K1557" s="14"/>
      <c r="L1557" s="16"/>
      <c r="M1557" s="27" t="n">
        <f aca="false">J1557+(K1557/20)+(L1557/240)</f>
        <v>5</v>
      </c>
      <c r="N1557" s="17" t="s">
        <v>66</v>
      </c>
      <c r="O1557" s="11"/>
      <c r="P1557" s="28"/>
      <c r="Q1557" s="28" t="n">
        <f aca="false">P1557*$M1557</f>
        <v>0</v>
      </c>
      <c r="R1557" s="28" t="n">
        <v>4117</v>
      </c>
      <c r="S1557" s="28" t="n">
        <v>20585</v>
      </c>
      <c r="T1557" s="28"/>
      <c r="U1557" s="28" t="n">
        <f aca="false">T1557*$M1557</f>
        <v>0</v>
      </c>
      <c r="V1557" s="28"/>
      <c r="W1557" s="28" t="n">
        <f aca="false">V1557*$M1557</f>
        <v>0</v>
      </c>
      <c r="X1557" s="28"/>
      <c r="Y1557" s="28" t="n">
        <f aca="false">X1557*$M1557</f>
        <v>0</v>
      </c>
      <c r="Z1557" s="28"/>
      <c r="AA1557" s="28" t="n">
        <f aca="false">Z1557*$M1557</f>
        <v>0</v>
      </c>
      <c r="AB1557" s="28"/>
      <c r="AC1557" s="28" t="n">
        <f aca="false">AB1557*$M1557</f>
        <v>0</v>
      </c>
      <c r="AD1557" s="28"/>
      <c r="AE1557" s="28" t="n">
        <f aca="false">AD1557*$M1557</f>
        <v>0</v>
      </c>
      <c r="AF1557" s="28"/>
      <c r="AG1557" s="28" t="n">
        <f aca="false">AF1557*$M1557</f>
        <v>0</v>
      </c>
      <c r="AH1557" s="28"/>
      <c r="AI1557" s="28" t="n">
        <f aca="false">AH1557*$M1557</f>
        <v>0</v>
      </c>
      <c r="AJ1557" s="28"/>
      <c r="AK1557" s="28" t="n">
        <f aca="false">AJ1557*$M1557</f>
        <v>0</v>
      </c>
      <c r="AL1557" s="28"/>
      <c r="AM1557" s="28" t="n">
        <f aca="false">AL1557*$M1557</f>
        <v>0</v>
      </c>
      <c r="AN1557" s="28"/>
      <c r="AO1557" s="28" t="n">
        <f aca="false">AN1557*$M1557</f>
        <v>0</v>
      </c>
      <c r="AP1557" s="28"/>
      <c r="AQ1557" s="28" t="n">
        <f aca="false">AP1557*$M1557</f>
        <v>0</v>
      </c>
      <c r="AR1557" s="28"/>
      <c r="AS1557" s="28" t="n">
        <f aca="false">AR1557*$M1557</f>
        <v>0</v>
      </c>
      <c r="AT1557" s="28"/>
      <c r="AU1557" s="28" t="n">
        <f aca="false">AT1557*$M1557</f>
        <v>0</v>
      </c>
      <c r="AV1557" s="28"/>
      <c r="AW1557" s="28" t="n">
        <f aca="false">AV1557*$M1557</f>
        <v>0</v>
      </c>
      <c r="AX1557" s="28"/>
      <c r="AY1557" s="28" t="n">
        <f aca="false">AX1557*$M1557</f>
        <v>0</v>
      </c>
      <c r="AZ1557" s="30" t="n">
        <v>4117</v>
      </c>
      <c r="BA1557" s="11" t="n">
        <v>20585</v>
      </c>
      <c r="BB1557" s="31" t="n">
        <f aca="false">SUM(Q1557,S1557,U1557,W1557,Y1557,AA1557,AC1557,AE1557,AG1557,AI1557,AK1557,AM1557,AO1557,AQ1557,AS1557,AU1557,AW1557,AY1557)</f>
        <v>20585</v>
      </c>
      <c r="BC1557" s="28" t="n">
        <f aca="false">BA1557-BB1557</f>
        <v>0</v>
      </c>
      <c r="BD1557" s="32" t="n">
        <f aca="false">SUM(P1557,R1557,T1557,V1557,X1557,Z1557,AB1557,AD1557,AF1557,AH1557,AJ1557,AL1557,AN1557,AP1557,AR1557,AT1557,AV1557,AX1557)</f>
        <v>4117</v>
      </c>
      <c r="BE1557" s="33" t="n">
        <f aca="false">AZ1557-BD1557</f>
        <v>0</v>
      </c>
      <c r="BF1557" s="34" t="n">
        <f aca="false">BD1557*M1557</f>
        <v>20585</v>
      </c>
      <c r="BG1557" s="35" t="n">
        <f aca="false">BA1557-BF1557</f>
        <v>0</v>
      </c>
      <c r="BH1557" s="19" t="str">
        <f aca="false">IF(BG1557=0,"",IF(BG1557&lt;&gt;BA1557,"erreur de calcul",IF(BD1557&lt;&gt;0,"pas de prix",IF(M1557&lt;&gt; 0,"pas de quantité","pas de prix, ni de quantité"))))</f>
        <v/>
      </c>
      <c r="BI1557" s="19"/>
    </row>
    <row r="1558" customFormat="false" ht="15" hidden="false" customHeight="false" outlineLevel="0" collapsed="false">
      <c r="A1558" s="0" t="n">
        <v>27</v>
      </c>
      <c r="B1558" s="8" t="s">
        <v>24</v>
      </c>
      <c r="C1558" s="9" t="s">
        <v>25</v>
      </c>
      <c r="D1558" s="9" t="s">
        <v>26</v>
      </c>
      <c r="E1558" s="10" t="n">
        <v>1789</v>
      </c>
      <c r="F1558" s="9" t="s">
        <v>27</v>
      </c>
      <c r="G1558" s="9" t="s">
        <v>27</v>
      </c>
      <c r="H1558" s="11" t="n">
        <v>22</v>
      </c>
      <c r="I1558" s="11" t="s">
        <v>230</v>
      </c>
      <c r="J1558" s="14" t="n">
        <v>11</v>
      </c>
      <c r="K1558" s="14"/>
      <c r="L1558" s="16"/>
      <c r="M1558" s="27" t="n">
        <f aca="false">J1558+(K1558/20)+(L1558/240)</f>
        <v>11</v>
      </c>
      <c r="N1558" s="17" t="s">
        <v>66</v>
      </c>
      <c r="O1558" s="11"/>
      <c r="P1558" s="28"/>
      <c r="Q1558" s="28" t="n">
        <f aca="false">P1558*$M1558</f>
        <v>0</v>
      </c>
      <c r="R1558" s="28"/>
      <c r="S1558" s="28" t="n">
        <f aca="false">R1558*$M1558</f>
        <v>0</v>
      </c>
      <c r="T1558" s="28"/>
      <c r="U1558" s="28" t="n">
        <f aca="false">T1558*$M1558</f>
        <v>0</v>
      </c>
      <c r="V1558" s="28"/>
      <c r="W1558" s="28" t="n">
        <f aca="false">V1558*$M1558</f>
        <v>0</v>
      </c>
      <c r="X1558" s="28"/>
      <c r="Y1558" s="28" t="n">
        <f aca="false">X1558*$M1558</f>
        <v>0</v>
      </c>
      <c r="Z1558" s="28"/>
      <c r="AA1558" s="28" t="n">
        <f aca="false">Z1558*$M1558</f>
        <v>0</v>
      </c>
      <c r="AB1558" s="28"/>
      <c r="AC1558" s="28" t="n">
        <f aca="false">AB1558*$M1558</f>
        <v>0</v>
      </c>
      <c r="AD1558" s="28"/>
      <c r="AE1558" s="28" t="n">
        <f aca="false">AD1558*$M1558</f>
        <v>0</v>
      </c>
      <c r="AF1558" s="28"/>
      <c r="AG1558" s="28" t="n">
        <f aca="false">AF1558*$M1558</f>
        <v>0</v>
      </c>
      <c r="AH1558" s="28"/>
      <c r="AI1558" s="28" t="n">
        <f aca="false">AH1558*$M1558</f>
        <v>0</v>
      </c>
      <c r="AJ1558" s="28" t="n">
        <v>34854</v>
      </c>
      <c r="AK1558" s="28" t="n">
        <v>383394</v>
      </c>
      <c r="AL1558" s="28"/>
      <c r="AM1558" s="28" t="n">
        <f aca="false">AL1558*$M1558</f>
        <v>0</v>
      </c>
      <c r="AN1558" s="28"/>
      <c r="AO1558" s="28" t="n">
        <f aca="false">AN1558*$M1558</f>
        <v>0</v>
      </c>
      <c r="AP1558" s="28"/>
      <c r="AQ1558" s="28" t="n">
        <f aca="false">AP1558*$M1558</f>
        <v>0</v>
      </c>
      <c r="AR1558" s="28"/>
      <c r="AS1558" s="28" t="n">
        <f aca="false">AR1558*$M1558</f>
        <v>0</v>
      </c>
      <c r="AT1558" s="28"/>
      <c r="AU1558" s="28" t="n">
        <f aca="false">AT1558*$M1558</f>
        <v>0</v>
      </c>
      <c r="AV1558" s="28"/>
      <c r="AW1558" s="28" t="n">
        <f aca="false">AV1558*$M1558</f>
        <v>0</v>
      </c>
      <c r="AX1558" s="28"/>
      <c r="AY1558" s="28" t="n">
        <f aca="false">AX1558*$M1558</f>
        <v>0</v>
      </c>
      <c r="AZ1558" s="30" t="n">
        <v>34854</v>
      </c>
      <c r="BA1558" s="11" t="n">
        <v>383394</v>
      </c>
      <c r="BB1558" s="31" t="n">
        <f aca="false">SUM(Q1558,S1558,U1558,W1558,Y1558,AA1558,AC1558,AE1558,AG1558,AI1558,AK1558,AM1558,AO1558,AQ1558,AS1558,AU1558,AW1558,AY1558)</f>
        <v>383394</v>
      </c>
      <c r="BC1558" s="28" t="n">
        <f aca="false">BA1558-BB1558</f>
        <v>0</v>
      </c>
      <c r="BD1558" s="32" t="n">
        <f aca="false">SUM(P1558,R1558,T1558,V1558,X1558,Z1558,AB1558,AD1558,AF1558,AH1558,AJ1558,AL1558,AN1558,AP1558,AR1558,AT1558,AV1558,AX1558)</f>
        <v>34854</v>
      </c>
      <c r="BE1558" s="33" t="n">
        <f aca="false">AZ1558-BD1558</f>
        <v>0</v>
      </c>
      <c r="BF1558" s="34" t="n">
        <f aca="false">BD1558*M1558</f>
        <v>383394</v>
      </c>
      <c r="BG1558" s="35" t="n">
        <f aca="false">BA1558-BF1558</f>
        <v>0</v>
      </c>
      <c r="BH1558" s="19" t="str">
        <f aca="false">IF(BG1558=0,"",IF(BG1558&lt;&gt;BA1558,"erreur de calcul",IF(BD1558&lt;&gt;0,"pas de prix",IF(M1558&lt;&gt; 0,"pas de quantité","pas de prix, ni de quantité"))))</f>
        <v/>
      </c>
      <c r="BI1558" s="19"/>
    </row>
    <row r="1559" customFormat="false" ht="15" hidden="false" customHeight="false" outlineLevel="0" collapsed="false">
      <c r="A1559" s="0" t="n">
        <v>28</v>
      </c>
      <c r="B1559" s="8" t="s">
        <v>24</v>
      </c>
      <c r="C1559" s="9" t="s">
        <v>25</v>
      </c>
      <c r="D1559" s="9" t="s">
        <v>26</v>
      </c>
      <c r="E1559" s="10" t="n">
        <v>1789</v>
      </c>
      <c r="F1559" s="9" t="s">
        <v>27</v>
      </c>
      <c r="G1559" s="9" t="s">
        <v>27</v>
      </c>
      <c r="H1559" s="11" t="n">
        <v>22</v>
      </c>
      <c r="I1559" s="11" t="s">
        <v>231</v>
      </c>
      <c r="J1559" s="14" t="n">
        <v>18</v>
      </c>
      <c r="K1559" s="14"/>
      <c r="L1559" s="16"/>
      <c r="M1559" s="27" t="n">
        <f aca="false">J1559+(K1559/20)+(L1559/240)</f>
        <v>18</v>
      </c>
      <c r="N1559" s="17" t="s">
        <v>66</v>
      </c>
      <c r="O1559" s="11"/>
      <c r="P1559" s="28"/>
      <c r="Q1559" s="28" t="n">
        <f aca="false">P1559*$M1559</f>
        <v>0</v>
      </c>
      <c r="R1559" s="28"/>
      <c r="S1559" s="28" t="n">
        <f aca="false">R1559*$M1559</f>
        <v>0</v>
      </c>
      <c r="T1559" s="28"/>
      <c r="U1559" s="28" t="n">
        <f aca="false">T1559*$M1559</f>
        <v>0</v>
      </c>
      <c r="V1559" s="28"/>
      <c r="W1559" s="28" t="n">
        <f aca="false">V1559*$M1559</f>
        <v>0</v>
      </c>
      <c r="X1559" s="28"/>
      <c r="Y1559" s="28" t="n">
        <f aca="false">X1559*$M1559</f>
        <v>0</v>
      </c>
      <c r="Z1559" s="28"/>
      <c r="AA1559" s="28" t="n">
        <f aca="false">Z1559*$M1559</f>
        <v>0</v>
      </c>
      <c r="AB1559" s="28"/>
      <c r="AC1559" s="28" t="n">
        <f aca="false">AB1559*$M1559</f>
        <v>0</v>
      </c>
      <c r="AD1559" s="28"/>
      <c r="AE1559" s="28" t="n">
        <f aca="false">AD1559*$M1559</f>
        <v>0</v>
      </c>
      <c r="AF1559" s="28"/>
      <c r="AG1559" s="28" t="n">
        <f aca="false">AF1559*$M1559</f>
        <v>0</v>
      </c>
      <c r="AH1559" s="28"/>
      <c r="AI1559" s="28" t="n">
        <f aca="false">AH1559*$M1559</f>
        <v>0</v>
      </c>
      <c r="AJ1559" s="28" t="n">
        <v>623</v>
      </c>
      <c r="AK1559" s="28" t="n">
        <v>11214</v>
      </c>
      <c r="AL1559" s="28"/>
      <c r="AM1559" s="28" t="n">
        <f aca="false">AL1559*$M1559</f>
        <v>0</v>
      </c>
      <c r="AN1559" s="28"/>
      <c r="AO1559" s="28" t="n">
        <f aca="false">AN1559*$M1559</f>
        <v>0</v>
      </c>
      <c r="AP1559" s="28"/>
      <c r="AQ1559" s="28" t="n">
        <f aca="false">AP1559*$M1559</f>
        <v>0</v>
      </c>
      <c r="AR1559" s="28"/>
      <c r="AS1559" s="28" t="n">
        <f aca="false">AR1559*$M1559</f>
        <v>0</v>
      </c>
      <c r="AT1559" s="28"/>
      <c r="AU1559" s="28" t="n">
        <f aca="false">AT1559*$M1559</f>
        <v>0</v>
      </c>
      <c r="AV1559" s="28"/>
      <c r="AW1559" s="28" t="n">
        <f aca="false">AV1559*$M1559</f>
        <v>0</v>
      </c>
      <c r="AX1559" s="28"/>
      <c r="AY1559" s="28" t="n">
        <f aca="false">AX1559*$M1559</f>
        <v>0</v>
      </c>
      <c r="AZ1559" s="30" t="n">
        <v>623</v>
      </c>
      <c r="BA1559" s="11" t="n">
        <v>11214</v>
      </c>
      <c r="BB1559" s="31" t="n">
        <f aca="false">SUM(Q1559,S1559,U1559,W1559,Y1559,AA1559,AC1559,AE1559,AG1559,AI1559,AK1559,AM1559,AO1559,AQ1559,AS1559,AU1559,AW1559,AY1559)</f>
        <v>11214</v>
      </c>
      <c r="BC1559" s="28" t="n">
        <f aca="false">BA1559-BB1559</f>
        <v>0</v>
      </c>
      <c r="BD1559" s="32" t="n">
        <f aca="false">SUM(P1559,R1559,T1559,V1559,X1559,Z1559,AB1559,AD1559,AF1559,AH1559,AJ1559,AL1559,AN1559,AP1559,AR1559,AT1559,AV1559,AX1559)</f>
        <v>623</v>
      </c>
      <c r="BE1559" s="33" t="n">
        <f aca="false">AZ1559-BD1559</f>
        <v>0</v>
      </c>
      <c r="BF1559" s="34" t="n">
        <f aca="false">BD1559*M1559</f>
        <v>11214</v>
      </c>
      <c r="BG1559" s="35" t="n">
        <f aca="false">BA1559-BF1559</f>
        <v>0</v>
      </c>
      <c r="BH1559" s="19" t="str">
        <f aca="false">IF(BG1559=0,"",IF(BG1559&lt;&gt;BA1559,"erreur de calcul",IF(BD1559&lt;&gt;0,"pas de prix",IF(M1559&lt;&gt; 0,"pas de quantité","pas de prix, ni de quantité"))))</f>
        <v/>
      </c>
      <c r="BI1559" s="19"/>
    </row>
    <row r="1560" customFormat="false" ht="15" hidden="false" customHeight="false" outlineLevel="0" collapsed="false">
      <c r="A1560" s="0" t="n">
        <v>29</v>
      </c>
      <c r="B1560" s="8" t="s">
        <v>24</v>
      </c>
      <c r="C1560" s="9" t="s">
        <v>25</v>
      </c>
      <c r="D1560" s="9" t="s">
        <v>26</v>
      </c>
      <c r="E1560" s="10" t="n">
        <v>1789</v>
      </c>
      <c r="F1560" s="9" t="s">
        <v>27</v>
      </c>
      <c r="G1560" s="9" t="s">
        <v>27</v>
      </c>
      <c r="H1560" s="11" t="n">
        <v>22</v>
      </c>
      <c r="I1560" s="11" t="s">
        <v>232</v>
      </c>
      <c r="J1560" s="14" t="n">
        <v>66</v>
      </c>
      <c r="K1560" s="14"/>
      <c r="L1560" s="16"/>
      <c r="M1560" s="27" t="n">
        <f aca="false">J1560+(K1560/20)+(L1560/240)</f>
        <v>66</v>
      </c>
      <c r="N1560" s="17" t="s">
        <v>64</v>
      </c>
      <c r="O1560" s="11"/>
      <c r="P1560" s="28"/>
      <c r="Q1560" s="28" t="n">
        <f aca="false">P1560*$M1560</f>
        <v>0</v>
      </c>
      <c r="R1560" s="28" t="n">
        <f aca="false">4580/100</f>
        <v>45.8</v>
      </c>
      <c r="S1560" s="28" t="n">
        <v>3023</v>
      </c>
      <c r="T1560" s="28"/>
      <c r="U1560" s="28" t="n">
        <f aca="false">T1560*$M1560</f>
        <v>0</v>
      </c>
      <c r="V1560" s="28"/>
      <c r="W1560" s="28" t="n">
        <f aca="false">V1560*$M1560</f>
        <v>0</v>
      </c>
      <c r="X1560" s="28"/>
      <c r="Y1560" s="28" t="n">
        <f aca="false">X1560*$M1560</f>
        <v>0</v>
      </c>
      <c r="Z1560" s="28"/>
      <c r="AA1560" s="28" t="n">
        <f aca="false">Z1560*$M1560</f>
        <v>0</v>
      </c>
      <c r="AB1560" s="28"/>
      <c r="AC1560" s="28" t="n">
        <f aca="false">AB1560*$M1560</f>
        <v>0</v>
      </c>
      <c r="AD1560" s="28"/>
      <c r="AE1560" s="28" t="n">
        <f aca="false">AD1560*$M1560</f>
        <v>0</v>
      </c>
      <c r="AF1560" s="28"/>
      <c r="AG1560" s="28" t="n">
        <f aca="false">AF1560*$M1560</f>
        <v>0</v>
      </c>
      <c r="AH1560" s="28"/>
      <c r="AI1560" s="28" t="n">
        <f aca="false">AH1560*$M1560</f>
        <v>0</v>
      </c>
      <c r="AJ1560" s="28"/>
      <c r="AK1560" s="28" t="n">
        <f aca="false">AJ1560*$M1560</f>
        <v>0</v>
      </c>
      <c r="AL1560" s="28"/>
      <c r="AM1560" s="28" t="n">
        <f aca="false">AL1560*$M1560</f>
        <v>0</v>
      </c>
      <c r="AN1560" s="28"/>
      <c r="AO1560" s="28" t="n">
        <f aca="false">AN1560*$M1560</f>
        <v>0</v>
      </c>
      <c r="AP1560" s="28"/>
      <c r="AQ1560" s="28" t="n">
        <f aca="false">AP1560*$M1560</f>
        <v>0</v>
      </c>
      <c r="AR1560" s="28"/>
      <c r="AS1560" s="28" t="n">
        <f aca="false">AR1560*$M1560</f>
        <v>0</v>
      </c>
      <c r="AT1560" s="28"/>
      <c r="AU1560" s="28" t="n">
        <f aca="false">AT1560*$M1560</f>
        <v>0</v>
      </c>
      <c r="AV1560" s="28"/>
      <c r="AW1560" s="28" t="n">
        <f aca="false">AV1560*$M1560</f>
        <v>0</v>
      </c>
      <c r="AX1560" s="28"/>
      <c r="AY1560" s="28" t="n">
        <f aca="false">AX1560*$M1560</f>
        <v>0</v>
      </c>
      <c r="AZ1560" s="30" t="n">
        <f aca="false">4580/100</f>
        <v>45.8</v>
      </c>
      <c r="BA1560" s="11" t="n">
        <v>3023</v>
      </c>
      <c r="BB1560" s="31" t="n">
        <f aca="false">SUM(Q1560,S1560,U1560,W1560,Y1560,AA1560,AC1560,AE1560,AG1560,AI1560,AK1560,AM1560,AO1560,AQ1560,AS1560,AU1560,AW1560,AY1560)</f>
        <v>3023</v>
      </c>
      <c r="BC1560" s="28" t="n">
        <f aca="false">BA1560-BB1560</f>
        <v>0</v>
      </c>
      <c r="BD1560" s="32" t="n">
        <f aca="false">SUM(P1560,R1560,T1560,V1560,X1560,Z1560,AB1560,AD1560,AF1560,AH1560,AJ1560,AL1560,AN1560,AP1560,AR1560,AT1560,AV1560,AX1560)</f>
        <v>45.8</v>
      </c>
      <c r="BE1560" s="33" t="n">
        <f aca="false">AZ1560-BD1560</f>
        <v>0</v>
      </c>
      <c r="BF1560" s="34" t="n">
        <f aca="false">BD1560*M1560</f>
        <v>3022.8</v>
      </c>
      <c r="BG1560" s="35" t="n">
        <f aca="false">BA1560-BF1560</f>
        <v>0.200000000000273</v>
      </c>
      <c r="BH1560" s="19" t="str">
        <f aca="false">IF(BG1560=0,"",IF(BG1560&lt;&gt;BA1560,"erreur de calcul",IF(BD1560&lt;&gt;0,"pas de prix",IF(M1560&lt;&gt; 0,"pas de quantité","pas de prix, ni de quantité"))))</f>
        <v>erreur de calcul</v>
      </c>
      <c r="BI1560" s="19"/>
    </row>
    <row r="1561" customFormat="false" ht="15" hidden="false" customHeight="false" outlineLevel="0" collapsed="false">
      <c r="A1561" s="0" t="n">
        <v>30</v>
      </c>
      <c r="B1561" s="8" t="s">
        <v>24</v>
      </c>
      <c r="C1561" s="9" t="s">
        <v>25</v>
      </c>
      <c r="D1561" s="9" t="s">
        <v>26</v>
      </c>
      <c r="E1561" s="10" t="n">
        <v>1789</v>
      </c>
      <c r="F1561" s="9" t="s">
        <v>27</v>
      </c>
      <c r="G1561" s="9" t="s">
        <v>27</v>
      </c>
      <c r="H1561" s="11" t="n">
        <v>22</v>
      </c>
      <c r="I1561" s="11" t="s">
        <v>233</v>
      </c>
      <c r="J1561" s="14" t="n">
        <v>155</v>
      </c>
      <c r="K1561" s="14"/>
      <c r="L1561" s="16"/>
      <c r="M1561" s="27" t="n">
        <f aca="false">J1561+(K1561/20)+(L1561/240)</f>
        <v>155</v>
      </c>
      <c r="N1561" s="17" t="s">
        <v>64</v>
      </c>
      <c r="O1561" s="11"/>
      <c r="P1561" s="28" t="n">
        <f aca="false">27574/100</f>
        <v>275.74</v>
      </c>
      <c r="Q1561" s="28" t="n">
        <v>42740</v>
      </c>
      <c r="R1561" s="28" t="n">
        <f aca="false">7820/100</f>
        <v>78.2</v>
      </c>
      <c r="S1561" s="28" t="n">
        <v>12121</v>
      </c>
      <c r="T1561" s="28"/>
      <c r="U1561" s="28" t="n">
        <f aca="false">T1561*$M1561</f>
        <v>0</v>
      </c>
      <c r="V1561" s="28" t="n">
        <f aca="false">37316/100</f>
        <v>373.16</v>
      </c>
      <c r="W1561" s="28" t="n">
        <v>57840</v>
      </c>
      <c r="X1561" s="28" t="n">
        <f aca="false">1394/100</f>
        <v>13.94</v>
      </c>
      <c r="Y1561" s="28" t="n">
        <v>2161</v>
      </c>
      <c r="Z1561" s="28"/>
      <c r="AA1561" s="28" t="n">
        <f aca="false">Z1561*$M1561</f>
        <v>0</v>
      </c>
      <c r="AB1561" s="28"/>
      <c r="AC1561" s="28" t="n">
        <f aca="false">AB1561*$M1561</f>
        <v>0</v>
      </c>
      <c r="AD1561" s="28"/>
      <c r="AE1561" s="28" t="n">
        <f aca="false">AD1561*$M1561</f>
        <v>0</v>
      </c>
      <c r="AF1561" s="28"/>
      <c r="AG1561" s="28" t="n">
        <f aca="false">AF1561*$M1561</f>
        <v>0</v>
      </c>
      <c r="AH1561" s="28"/>
      <c r="AI1561" s="28" t="n">
        <f aca="false">AH1561*$M1561</f>
        <v>0</v>
      </c>
      <c r="AJ1561" s="28" t="n">
        <f aca="false">158255/100</f>
        <v>1582.55</v>
      </c>
      <c r="AK1561" s="28" t="n">
        <v>245295</v>
      </c>
      <c r="AL1561" s="28"/>
      <c r="AM1561" s="28" t="n">
        <f aca="false">AL1561*$M1561</f>
        <v>0</v>
      </c>
      <c r="AN1561" s="28" t="n">
        <f aca="false">417945/100</f>
        <v>4179.45</v>
      </c>
      <c r="AO1561" s="28" t="n">
        <v>647815</v>
      </c>
      <c r="AP1561" s="28"/>
      <c r="AQ1561" s="28" t="n">
        <f aca="false">AP1561*$M1561</f>
        <v>0</v>
      </c>
      <c r="AR1561" s="28"/>
      <c r="AS1561" s="28" t="n">
        <f aca="false">AR1561*$M1561</f>
        <v>0</v>
      </c>
      <c r="AT1561" s="28"/>
      <c r="AU1561" s="28" t="n">
        <f aca="false">AT1561*$M1561</f>
        <v>0</v>
      </c>
      <c r="AV1561" s="28"/>
      <c r="AW1561" s="28" t="n">
        <f aca="false">AV1561*$M1561</f>
        <v>0</v>
      </c>
      <c r="AX1561" s="28"/>
      <c r="AY1561" s="28" t="n">
        <f aca="false">AX1561*$M1561</f>
        <v>0</v>
      </c>
      <c r="AZ1561" s="30" t="n">
        <f aca="false">650304/100</f>
        <v>6503.04</v>
      </c>
      <c r="BA1561" s="11" t="n">
        <v>1007972</v>
      </c>
      <c r="BB1561" s="31" t="n">
        <f aca="false">SUM(Q1561,S1561,U1561,W1561,Y1561,AA1561,AC1561,AE1561,AG1561,AI1561,AK1561,AM1561,AO1561,AQ1561,AS1561,AU1561,AW1561,AY1561)</f>
        <v>1007972</v>
      </c>
      <c r="BC1561" s="28" t="n">
        <f aca="false">BA1561-BB1561</f>
        <v>0</v>
      </c>
      <c r="BD1561" s="32" t="n">
        <f aca="false">SUM(P1561,R1561,T1561,V1561,X1561,Z1561,AB1561,AD1561,AF1561,AH1561,AJ1561,AL1561,AN1561,AP1561,AR1561,AT1561,AV1561,AX1561)</f>
        <v>6503.04</v>
      </c>
      <c r="BE1561" s="33" t="n">
        <f aca="false">AZ1561-BD1561</f>
        <v>0</v>
      </c>
      <c r="BF1561" s="34" t="n">
        <f aca="false">BD1561*M1561</f>
        <v>1007971.2</v>
      </c>
      <c r="BG1561" s="35" t="n">
        <f aca="false">BA1561-BF1561</f>
        <v>0.800000000162981</v>
      </c>
      <c r="BH1561" s="19" t="str">
        <f aca="false">IF(BG1561=0,"",IF(BG1561&lt;&gt;BA1561,"erreur de calcul",IF(BD1561&lt;&gt;0,"pas de prix",IF(M1561&lt;&gt; 0,"pas de quantité","pas de prix, ni de quantité"))))</f>
        <v>erreur de calcul</v>
      </c>
      <c r="BI1561" s="19"/>
    </row>
    <row r="1562" customFormat="false" ht="15" hidden="false" customHeight="false" outlineLevel="0" collapsed="false">
      <c r="A1562" s="0" t="n">
        <v>31</v>
      </c>
      <c r="B1562" s="8" t="s">
        <v>24</v>
      </c>
      <c r="C1562" s="9" t="s">
        <v>25</v>
      </c>
      <c r="D1562" s="9" t="s">
        <v>26</v>
      </c>
      <c r="E1562" s="10" t="n">
        <v>1789</v>
      </c>
      <c r="F1562" s="9" t="s">
        <v>27</v>
      </c>
      <c r="G1562" s="9" t="s">
        <v>27</v>
      </c>
      <c r="H1562" s="11" t="n">
        <v>22</v>
      </c>
      <c r="I1562" s="11" t="s">
        <v>234</v>
      </c>
      <c r="J1562" s="14" t="n">
        <v>110</v>
      </c>
      <c r="K1562" s="14"/>
      <c r="L1562" s="16"/>
      <c r="M1562" s="27" t="n">
        <f aca="false">J1562+(K1562/20)+(L1562/240)</f>
        <v>110</v>
      </c>
      <c r="N1562" s="17" t="s">
        <v>64</v>
      </c>
      <c r="O1562" s="11"/>
      <c r="P1562" s="28" t="n">
        <f aca="false">73942/100</f>
        <v>739.42</v>
      </c>
      <c r="Q1562" s="28" t="n">
        <v>81336</v>
      </c>
      <c r="R1562" s="28"/>
      <c r="S1562" s="28" t="n">
        <f aca="false">R1562*$M1562</f>
        <v>0</v>
      </c>
      <c r="T1562" s="28"/>
      <c r="U1562" s="28" t="n">
        <f aca="false">T1562*$M1562</f>
        <v>0</v>
      </c>
      <c r="V1562" s="28"/>
      <c r="W1562" s="28" t="n">
        <f aca="false">V1562*$M1562</f>
        <v>0</v>
      </c>
      <c r="X1562" s="28"/>
      <c r="Y1562" s="28" t="n">
        <f aca="false">X1562*$M1562</f>
        <v>0</v>
      </c>
      <c r="Z1562" s="28"/>
      <c r="AA1562" s="28" t="n">
        <f aca="false">Z1562*$M1562</f>
        <v>0</v>
      </c>
      <c r="AB1562" s="28"/>
      <c r="AC1562" s="28" t="n">
        <f aca="false">AB1562*$M1562</f>
        <v>0</v>
      </c>
      <c r="AD1562" s="28"/>
      <c r="AE1562" s="28" t="n">
        <f aca="false">AD1562*$M1562</f>
        <v>0</v>
      </c>
      <c r="AF1562" s="28"/>
      <c r="AG1562" s="28" t="n">
        <f aca="false">AF1562*$M1562</f>
        <v>0</v>
      </c>
      <c r="AH1562" s="28"/>
      <c r="AI1562" s="28" t="n">
        <f aca="false">AH1562*$M1562</f>
        <v>0</v>
      </c>
      <c r="AJ1562" s="28"/>
      <c r="AK1562" s="28" t="n">
        <f aca="false">AJ1562*$M1562</f>
        <v>0</v>
      </c>
      <c r="AL1562" s="28"/>
      <c r="AM1562" s="28" t="n">
        <f aca="false">AL1562*$M1562</f>
        <v>0</v>
      </c>
      <c r="AN1562" s="28"/>
      <c r="AO1562" s="28" t="n">
        <f aca="false">AN1562*$M1562</f>
        <v>0</v>
      </c>
      <c r="AP1562" s="28"/>
      <c r="AQ1562" s="28" t="n">
        <f aca="false">AP1562*$M1562</f>
        <v>0</v>
      </c>
      <c r="AR1562" s="28"/>
      <c r="AS1562" s="28" t="n">
        <f aca="false">AR1562*$M1562</f>
        <v>0</v>
      </c>
      <c r="AT1562" s="28"/>
      <c r="AU1562" s="28" t="n">
        <f aca="false">AT1562*$M1562</f>
        <v>0</v>
      </c>
      <c r="AV1562" s="28"/>
      <c r="AW1562" s="28" t="n">
        <f aca="false">AV1562*$M1562</f>
        <v>0</v>
      </c>
      <c r="AX1562" s="28"/>
      <c r="AY1562" s="28" t="n">
        <f aca="false">AX1562*$M1562</f>
        <v>0</v>
      </c>
      <c r="AZ1562" s="30" t="n">
        <f aca="false">73942/100</f>
        <v>739.42</v>
      </c>
      <c r="BA1562" s="11" t="n">
        <v>81336</v>
      </c>
      <c r="BB1562" s="31" t="n">
        <f aca="false">SUM(Q1562,S1562,U1562,W1562,Y1562,AA1562,AC1562,AE1562,AG1562,AI1562,AK1562,AM1562,AO1562,AQ1562,AS1562,AU1562,AW1562,AY1562)</f>
        <v>81336</v>
      </c>
      <c r="BC1562" s="28" t="n">
        <f aca="false">BA1562-BB1562</f>
        <v>0</v>
      </c>
      <c r="BD1562" s="32" t="n">
        <f aca="false">SUM(P1562,R1562,T1562,V1562,X1562,Z1562,AB1562,AD1562,AF1562,AH1562,AJ1562,AL1562,AN1562,AP1562,AR1562,AT1562,AV1562,AX1562)</f>
        <v>739.42</v>
      </c>
      <c r="BE1562" s="33" t="n">
        <f aca="false">AZ1562-BD1562</f>
        <v>0</v>
      </c>
      <c r="BF1562" s="34" t="n">
        <f aca="false">BD1562*M1562</f>
        <v>81336.2</v>
      </c>
      <c r="BG1562" s="35" t="n">
        <f aca="false">BA1562-BF1562</f>
        <v>-0.19999999999709</v>
      </c>
      <c r="BH1562" s="19" t="str">
        <f aca="false">IF(BG1562=0,"",IF(BG1562&lt;&gt;BA1562,"erreur de calcul",IF(BD1562&lt;&gt;0,"pas de prix",IF(M1562&lt;&gt; 0,"pas de quantité","pas de prix, ni de quantité"))))</f>
        <v>erreur de calcul</v>
      </c>
      <c r="BI1562" s="19"/>
    </row>
    <row r="1563" customFormat="false" ht="15" hidden="false" customHeight="false" outlineLevel="0" collapsed="false">
      <c r="A1563" s="0" t="n">
        <v>32</v>
      </c>
      <c r="B1563" s="8" t="s">
        <v>24</v>
      </c>
      <c r="C1563" s="9" t="s">
        <v>25</v>
      </c>
      <c r="D1563" s="9" t="s">
        <v>26</v>
      </c>
      <c r="E1563" s="10" t="n">
        <v>1789</v>
      </c>
      <c r="F1563" s="9" t="s">
        <v>27</v>
      </c>
      <c r="G1563" s="9" t="s">
        <v>27</v>
      </c>
      <c r="H1563" s="11" t="n">
        <v>22</v>
      </c>
      <c r="I1563" s="11" t="s">
        <v>235</v>
      </c>
      <c r="J1563" s="14" t="n">
        <v>60</v>
      </c>
      <c r="K1563" s="14"/>
      <c r="L1563" s="16"/>
      <c r="M1563" s="27" t="n">
        <f aca="false">J1563+(K1563/20)+(L1563/240)</f>
        <v>60</v>
      </c>
      <c r="N1563" s="17" t="s">
        <v>64</v>
      </c>
      <c r="O1563" s="11"/>
      <c r="P1563" s="28"/>
      <c r="Q1563" s="28" t="n">
        <f aca="false">P1563*$M1563</f>
        <v>0</v>
      </c>
      <c r="R1563" s="28"/>
      <c r="S1563" s="28" t="n">
        <f aca="false">R1563*$M1563</f>
        <v>0</v>
      </c>
      <c r="T1563" s="28"/>
      <c r="U1563" s="28" t="n">
        <f aca="false">T1563*$M1563</f>
        <v>0</v>
      </c>
      <c r="V1563" s="28" t="n">
        <f aca="false">232/100</f>
        <v>2.32</v>
      </c>
      <c r="W1563" s="28" t="n">
        <v>139</v>
      </c>
      <c r="X1563" s="28" t="n">
        <f aca="false">5603/100</f>
        <v>56.03</v>
      </c>
      <c r="Y1563" s="28" t="n">
        <v>3362</v>
      </c>
      <c r="Z1563" s="28"/>
      <c r="AA1563" s="28" t="n">
        <f aca="false">Z1563*$M1563</f>
        <v>0</v>
      </c>
      <c r="AB1563" s="28" t="n">
        <f aca="false">1410/100</f>
        <v>14.1</v>
      </c>
      <c r="AC1563" s="28" t="n">
        <v>846</v>
      </c>
      <c r="AD1563" s="28"/>
      <c r="AE1563" s="28" t="n">
        <f aca="false">AD1563*$M1563</f>
        <v>0</v>
      </c>
      <c r="AF1563" s="28" t="n">
        <f aca="false">162899/100</f>
        <v>1628.99</v>
      </c>
      <c r="AG1563" s="28" t="n">
        <v>97739</v>
      </c>
      <c r="AH1563" s="28" t="n">
        <f aca="false">6506/100</f>
        <v>65.06</v>
      </c>
      <c r="AI1563" s="28" t="n">
        <v>3904</v>
      </c>
      <c r="AJ1563" s="28"/>
      <c r="AK1563" s="28" t="n">
        <f aca="false">AJ1563*$M1563</f>
        <v>0</v>
      </c>
      <c r="AL1563" s="28"/>
      <c r="AM1563" s="28" t="n">
        <f aca="false">AL1563*$M1563</f>
        <v>0</v>
      </c>
      <c r="AN1563" s="28"/>
      <c r="AO1563" s="28" t="n">
        <f aca="false">AN1563*$M1563</f>
        <v>0</v>
      </c>
      <c r="AP1563" s="28"/>
      <c r="AQ1563" s="28" t="n">
        <f aca="false">AP1563*$M1563</f>
        <v>0</v>
      </c>
      <c r="AR1563" s="28"/>
      <c r="AS1563" s="28" t="n">
        <f aca="false">AR1563*$M1563</f>
        <v>0</v>
      </c>
      <c r="AT1563" s="28"/>
      <c r="AU1563" s="28" t="n">
        <f aca="false">AT1563*$M1563</f>
        <v>0</v>
      </c>
      <c r="AV1563" s="28"/>
      <c r="AW1563" s="28" t="n">
        <f aca="false">AV1563*$M1563</f>
        <v>0</v>
      </c>
      <c r="AX1563" s="28"/>
      <c r="AY1563" s="28" t="n">
        <f aca="false">AX1563*$M1563</f>
        <v>0</v>
      </c>
      <c r="AZ1563" s="30" t="n">
        <f aca="false">176650/100</f>
        <v>1766.5</v>
      </c>
      <c r="BA1563" s="11" t="n">
        <v>105990</v>
      </c>
      <c r="BB1563" s="31" t="n">
        <f aca="false">SUM(Q1563,S1563,U1563,W1563,Y1563,AA1563,AC1563,AE1563,AG1563,AI1563,AK1563,AM1563,AO1563,AQ1563,AS1563,AU1563,AW1563,AY1563)</f>
        <v>105990</v>
      </c>
      <c r="BC1563" s="28" t="n">
        <f aca="false">BA1563-BB1563</f>
        <v>0</v>
      </c>
      <c r="BD1563" s="32" t="n">
        <f aca="false">SUM(P1563,R1563,T1563,V1563,X1563,Z1563,AB1563,AD1563,AF1563,AH1563,AJ1563,AL1563,AN1563,AP1563,AR1563,AT1563,AV1563,AX1563)</f>
        <v>1766.5</v>
      </c>
      <c r="BE1563" s="33" t="n">
        <f aca="false">AZ1563-BD1563</f>
        <v>0</v>
      </c>
      <c r="BF1563" s="34" t="n">
        <f aca="false">BD1563*M1563</f>
        <v>105990</v>
      </c>
      <c r="BG1563" s="35" t="n">
        <f aca="false">BA1563-BF1563</f>
        <v>0</v>
      </c>
      <c r="BH1563" s="19" t="str">
        <f aca="false">IF(BG1563=0,"",IF(BG1563&lt;&gt;BA1563,"erreur de calcul",IF(BD1563&lt;&gt;0,"pas de prix",IF(M1563&lt;&gt; 0,"pas de quantité","pas de prix, ni de quantité"))))</f>
        <v/>
      </c>
      <c r="BI1563" s="19"/>
    </row>
    <row r="1564" customFormat="false" ht="15" hidden="false" customHeight="false" outlineLevel="0" collapsed="false">
      <c r="A1564" s="0" t="n">
        <v>33</v>
      </c>
      <c r="B1564" s="8" t="s">
        <v>24</v>
      </c>
      <c r="C1564" s="9" t="s">
        <v>25</v>
      </c>
      <c r="D1564" s="9" t="s">
        <v>26</v>
      </c>
      <c r="E1564" s="10" t="n">
        <v>1789</v>
      </c>
      <c r="F1564" s="9" t="s">
        <v>27</v>
      </c>
      <c r="G1564" s="9" t="s">
        <v>27</v>
      </c>
      <c r="H1564" s="11" t="n">
        <v>22</v>
      </c>
      <c r="I1564" s="11" t="s">
        <v>236</v>
      </c>
      <c r="J1564" s="14" t="n">
        <v>710</v>
      </c>
      <c r="K1564" s="14"/>
      <c r="L1564" s="16"/>
      <c r="M1564" s="27" t="n">
        <f aca="false">J1564+(K1564/20)+(L1564/240)</f>
        <v>710</v>
      </c>
      <c r="N1564" s="17" t="s">
        <v>64</v>
      </c>
      <c r="O1564" s="11"/>
      <c r="P1564" s="28"/>
      <c r="Q1564" s="28" t="n">
        <f aca="false">P1564*$M1564</f>
        <v>0</v>
      </c>
      <c r="R1564" s="28"/>
      <c r="S1564" s="28" t="n">
        <f aca="false">R1564*$M1564</f>
        <v>0</v>
      </c>
      <c r="T1564" s="28" t="n">
        <f aca="false">108/100</f>
        <v>1.08</v>
      </c>
      <c r="U1564" s="28" t="n">
        <v>767</v>
      </c>
      <c r="V1564" s="28" t="n">
        <f aca="false">1190/100</f>
        <v>11.9</v>
      </c>
      <c r="W1564" s="28" t="n">
        <v>8449</v>
      </c>
      <c r="X1564" s="28" t="n">
        <f aca="false">487/100</f>
        <v>4.87</v>
      </c>
      <c r="Y1564" s="28" t="n">
        <v>3458</v>
      </c>
      <c r="Z1564" s="28"/>
      <c r="AA1564" s="28" t="n">
        <f aca="false">Z1564*$M1564</f>
        <v>0</v>
      </c>
      <c r="AB1564" s="28" t="n">
        <f aca="false">9170/100</f>
        <v>91.7</v>
      </c>
      <c r="AC1564" s="28" t="n">
        <v>65107</v>
      </c>
      <c r="AD1564" s="28" t="n">
        <f aca="false">531/100</f>
        <v>5.31</v>
      </c>
      <c r="AE1564" s="28" t="n">
        <v>3770</v>
      </c>
      <c r="AF1564" s="28"/>
      <c r="AG1564" s="28" t="n">
        <f aca="false">AF1564*$M1564</f>
        <v>0</v>
      </c>
      <c r="AH1564" s="28"/>
      <c r="AI1564" s="28" t="n">
        <f aca="false">AH1564*$M1564</f>
        <v>0</v>
      </c>
      <c r="AJ1564" s="28"/>
      <c r="AK1564" s="28" t="n">
        <f aca="false">AJ1564*$M1564</f>
        <v>0</v>
      </c>
      <c r="AL1564" s="28"/>
      <c r="AM1564" s="28" t="n">
        <f aca="false">AL1564*$M1564</f>
        <v>0</v>
      </c>
      <c r="AN1564" s="28"/>
      <c r="AO1564" s="28" t="n">
        <f aca="false">AN1564*$M1564</f>
        <v>0</v>
      </c>
      <c r="AP1564" s="28"/>
      <c r="AQ1564" s="28" t="n">
        <f aca="false">AP1564*$M1564</f>
        <v>0</v>
      </c>
      <c r="AR1564" s="28"/>
      <c r="AS1564" s="28" t="n">
        <f aca="false">AR1564*$M1564</f>
        <v>0</v>
      </c>
      <c r="AT1564" s="28"/>
      <c r="AU1564" s="28" t="n">
        <f aca="false">AT1564*$M1564</f>
        <v>0</v>
      </c>
      <c r="AV1564" s="28"/>
      <c r="AW1564" s="28" t="n">
        <f aca="false">AV1564*$M1564</f>
        <v>0</v>
      </c>
      <c r="AX1564" s="28"/>
      <c r="AY1564" s="28" t="n">
        <f aca="false">AX1564*$M1564</f>
        <v>0</v>
      </c>
      <c r="AZ1564" s="30" t="n">
        <f aca="false">11486/100</f>
        <v>114.86</v>
      </c>
      <c r="BA1564" s="11" t="n">
        <v>81551</v>
      </c>
      <c r="BB1564" s="31" t="n">
        <f aca="false">SUM(Q1564,S1564,U1564,W1564,Y1564,AA1564,AC1564,AE1564,AG1564,AI1564,AK1564,AM1564,AO1564,AQ1564,AS1564,AU1564,AW1564,AY1564)</f>
        <v>81551</v>
      </c>
      <c r="BC1564" s="28" t="n">
        <f aca="false">BA1564-BB1564</f>
        <v>0</v>
      </c>
      <c r="BD1564" s="32" t="n">
        <f aca="false">SUM(P1564,R1564,T1564,V1564,X1564,Z1564,AB1564,AD1564,AF1564,AH1564,AJ1564,AL1564,AN1564,AP1564,AR1564,AT1564,AV1564,AX1564)</f>
        <v>114.86</v>
      </c>
      <c r="BE1564" s="33" t="n">
        <f aca="false">AZ1564-BD1564</f>
        <v>0</v>
      </c>
      <c r="BF1564" s="34" t="n">
        <f aca="false">BD1564*M1564</f>
        <v>81550.6</v>
      </c>
      <c r="BG1564" s="35" t="n">
        <f aca="false">BA1564-BF1564</f>
        <v>0.399999999994179</v>
      </c>
      <c r="BH1564" s="19" t="str">
        <f aca="false">IF(BG1564=0,"",IF(BG1564&lt;&gt;BA1564,"erreur de calcul",IF(BD1564&lt;&gt;0,"pas de prix",IF(M1564&lt;&gt; 0,"pas de quantité","pas de prix, ni de quantité"))))</f>
        <v>erreur de calcul</v>
      </c>
      <c r="BI1564" s="19"/>
    </row>
    <row r="1565" customFormat="false" ht="15" hidden="false" customHeight="false" outlineLevel="0" collapsed="false">
      <c r="A1565" s="0" t="n">
        <v>34</v>
      </c>
      <c r="B1565" s="8" t="s">
        <v>24</v>
      </c>
      <c r="C1565" s="9" t="s">
        <v>25</v>
      </c>
      <c r="D1565" s="9" t="s">
        <v>26</v>
      </c>
      <c r="E1565" s="10" t="n">
        <v>1789</v>
      </c>
      <c r="F1565" s="9" t="s">
        <v>27</v>
      </c>
      <c r="G1565" s="9" t="s">
        <v>27</v>
      </c>
      <c r="H1565" s="11" t="n">
        <v>22</v>
      </c>
      <c r="I1565" s="11" t="s">
        <v>237</v>
      </c>
      <c r="J1565" s="14" t="n">
        <v>91</v>
      </c>
      <c r="K1565" s="14"/>
      <c r="L1565" s="16"/>
      <c r="M1565" s="27" t="n">
        <f aca="false">J1565+(K1565/20)+(L1565/240)</f>
        <v>91</v>
      </c>
      <c r="N1565" s="17" t="s">
        <v>64</v>
      </c>
      <c r="O1565" s="11"/>
      <c r="P1565" s="28"/>
      <c r="Q1565" s="28" t="n">
        <f aca="false">P1565*$M1565</f>
        <v>0</v>
      </c>
      <c r="R1565" s="28"/>
      <c r="S1565" s="28" t="n">
        <f aca="false">R1565*$M1565</f>
        <v>0</v>
      </c>
      <c r="T1565" s="28"/>
      <c r="U1565" s="28" t="n">
        <f aca="false">T1565*$M1565</f>
        <v>0</v>
      </c>
      <c r="V1565" s="28" t="n">
        <f aca="false">3384/100</f>
        <v>33.84</v>
      </c>
      <c r="W1565" s="28" t="n">
        <v>3079</v>
      </c>
      <c r="X1565" s="28" t="n">
        <f aca="false">18105/100</f>
        <v>181.05</v>
      </c>
      <c r="Y1565" s="28" t="n">
        <v>16475</v>
      </c>
      <c r="Z1565" s="28"/>
      <c r="AA1565" s="28" t="n">
        <f aca="false">Z1565*$M1565</f>
        <v>0</v>
      </c>
      <c r="AB1565" s="28"/>
      <c r="AC1565" s="28" t="n">
        <f aca="false">AB1565*$M1565</f>
        <v>0</v>
      </c>
      <c r="AD1565" s="28"/>
      <c r="AE1565" s="28" t="n">
        <f aca="false">AD1565*$M1565</f>
        <v>0</v>
      </c>
      <c r="AF1565" s="28"/>
      <c r="AG1565" s="28" t="n">
        <f aca="false">AF1565*$M1565</f>
        <v>0</v>
      </c>
      <c r="AH1565" s="28"/>
      <c r="AI1565" s="28" t="n">
        <f aca="false">AH1565*$M1565</f>
        <v>0</v>
      </c>
      <c r="AJ1565" s="28"/>
      <c r="AK1565" s="28" t="n">
        <f aca="false">AJ1565*$M1565</f>
        <v>0</v>
      </c>
      <c r="AL1565" s="28"/>
      <c r="AM1565" s="28" t="n">
        <f aca="false">AL1565*$M1565</f>
        <v>0</v>
      </c>
      <c r="AN1565" s="28"/>
      <c r="AO1565" s="28" t="n">
        <f aca="false">AN1565*$M1565</f>
        <v>0</v>
      </c>
      <c r="AP1565" s="28"/>
      <c r="AQ1565" s="28" t="n">
        <f aca="false">AP1565*$M1565</f>
        <v>0</v>
      </c>
      <c r="AR1565" s="28"/>
      <c r="AS1565" s="28" t="n">
        <f aca="false">AR1565*$M1565</f>
        <v>0</v>
      </c>
      <c r="AT1565" s="28"/>
      <c r="AU1565" s="28" t="n">
        <f aca="false">AT1565*$M1565</f>
        <v>0</v>
      </c>
      <c r="AV1565" s="28"/>
      <c r="AW1565" s="28" t="n">
        <f aca="false">AV1565*$M1565</f>
        <v>0</v>
      </c>
      <c r="AX1565" s="28"/>
      <c r="AY1565" s="28" t="n">
        <f aca="false">AX1565*$M1565</f>
        <v>0</v>
      </c>
      <c r="AZ1565" s="30" t="n">
        <f aca="false">21489/100</f>
        <v>214.89</v>
      </c>
      <c r="BA1565" s="11" t="n">
        <v>19554</v>
      </c>
      <c r="BB1565" s="31" t="n">
        <f aca="false">SUM(Q1565,S1565,U1565,W1565,Y1565,AA1565,AC1565,AE1565,AG1565,AI1565,AK1565,AM1565,AO1565,AQ1565,AS1565,AU1565,AW1565,AY1565)</f>
        <v>19554</v>
      </c>
      <c r="BC1565" s="28" t="n">
        <f aca="false">BA1565-BB1565</f>
        <v>0</v>
      </c>
      <c r="BD1565" s="32" t="n">
        <f aca="false">SUM(P1565,R1565,T1565,V1565,X1565,Z1565,AB1565,AD1565,AF1565,AH1565,AJ1565,AL1565,AN1565,AP1565,AR1565,AT1565,AV1565,AX1565)</f>
        <v>214.89</v>
      </c>
      <c r="BE1565" s="33" t="n">
        <f aca="false">AZ1565-BD1565</f>
        <v>0</v>
      </c>
      <c r="BF1565" s="34" t="n">
        <f aca="false">BD1565*M1565</f>
        <v>19554.99</v>
      </c>
      <c r="BG1565" s="35" t="n">
        <f aca="false">BA1565-BF1565</f>
        <v>-0.990000000001601</v>
      </c>
      <c r="BH1565" s="19" t="str">
        <f aca="false">IF(BG1565=0,"",IF(BG1565&lt;&gt;BA1565,"erreur de calcul",IF(BD1565&lt;&gt;0,"pas de prix",IF(M1565&lt;&gt; 0,"pas de quantité","pas de prix, ni de quantité"))))</f>
        <v>erreur de calcul</v>
      </c>
      <c r="BI1565" s="19"/>
    </row>
    <row r="1566" customFormat="false" ht="15" hidden="false" customHeight="false" outlineLevel="0" collapsed="false">
      <c r="A1566" s="0" t="n">
        <v>35</v>
      </c>
      <c r="B1566" s="8" t="s">
        <v>24</v>
      </c>
      <c r="C1566" s="9" t="s">
        <v>25</v>
      </c>
      <c r="D1566" s="9" t="s">
        <v>26</v>
      </c>
      <c r="E1566" s="10" t="n">
        <v>1789</v>
      </c>
      <c r="F1566" s="9" t="s">
        <v>27</v>
      </c>
      <c r="G1566" s="9" t="s">
        <v>27</v>
      </c>
      <c r="H1566" s="11" t="n">
        <v>22</v>
      </c>
      <c r="I1566" s="11" t="s">
        <v>238</v>
      </c>
      <c r="J1566" s="14" t="n">
        <v>40</v>
      </c>
      <c r="K1566" s="14"/>
      <c r="L1566" s="16"/>
      <c r="M1566" s="27" t="n">
        <f aca="false">J1566+(K1566/20)+(L1566/240)</f>
        <v>40</v>
      </c>
      <c r="N1566" s="17" t="s">
        <v>66</v>
      </c>
      <c r="O1566" s="11"/>
      <c r="P1566" s="28" t="n">
        <v>150</v>
      </c>
      <c r="Q1566" s="28" t="n">
        <v>6000</v>
      </c>
      <c r="R1566" s="28"/>
      <c r="S1566" s="28" t="n">
        <f aca="false">R1566*$M1566</f>
        <v>0</v>
      </c>
      <c r="T1566" s="28" t="n">
        <v>467</v>
      </c>
      <c r="U1566" s="28" t="n">
        <v>18680</v>
      </c>
      <c r="V1566" s="28" t="n">
        <v>1124</v>
      </c>
      <c r="W1566" s="28" t="n">
        <v>44960</v>
      </c>
      <c r="X1566" s="28" t="n">
        <v>591</v>
      </c>
      <c r="Y1566" s="28" t="n">
        <v>23640</v>
      </c>
      <c r="Z1566" s="28"/>
      <c r="AA1566" s="28" t="n">
        <f aca="false">Z1566*$M1566</f>
        <v>0</v>
      </c>
      <c r="AB1566" s="28" t="n">
        <v>554</v>
      </c>
      <c r="AC1566" s="28" t="n">
        <v>22160</v>
      </c>
      <c r="AD1566" s="28"/>
      <c r="AE1566" s="28" t="n">
        <f aca="false">AD1566*$M1566</f>
        <v>0</v>
      </c>
      <c r="AF1566" s="28"/>
      <c r="AG1566" s="28" t="n">
        <f aca="false">AF1566*$M1566</f>
        <v>0</v>
      </c>
      <c r="AH1566" s="28" t="n">
        <v>1109</v>
      </c>
      <c r="AI1566" s="28" t="n">
        <v>44360</v>
      </c>
      <c r="AJ1566" s="28"/>
      <c r="AK1566" s="28" t="n">
        <f aca="false">AJ1566*$M1566</f>
        <v>0</v>
      </c>
      <c r="AL1566" s="28"/>
      <c r="AM1566" s="28" t="n">
        <f aca="false">AL1566*$M1566</f>
        <v>0</v>
      </c>
      <c r="AN1566" s="28"/>
      <c r="AO1566" s="28" t="n">
        <f aca="false">AN1566*$M1566</f>
        <v>0</v>
      </c>
      <c r="AP1566" s="28"/>
      <c r="AQ1566" s="28" t="n">
        <f aca="false">AP1566*$M1566</f>
        <v>0</v>
      </c>
      <c r="AR1566" s="28"/>
      <c r="AS1566" s="28" t="n">
        <f aca="false">AR1566*$M1566</f>
        <v>0</v>
      </c>
      <c r="AT1566" s="28"/>
      <c r="AU1566" s="28" t="n">
        <f aca="false">AT1566*$M1566</f>
        <v>0</v>
      </c>
      <c r="AV1566" s="28"/>
      <c r="AW1566" s="28" t="n">
        <f aca="false">AV1566*$M1566</f>
        <v>0</v>
      </c>
      <c r="AX1566" s="28"/>
      <c r="AY1566" s="28" t="n">
        <f aca="false">AX1566*$M1566</f>
        <v>0</v>
      </c>
      <c r="AZ1566" s="30" t="n">
        <v>3995</v>
      </c>
      <c r="BA1566" s="11" t="n">
        <v>159800</v>
      </c>
      <c r="BB1566" s="31" t="n">
        <f aca="false">SUM(Q1566,S1566,U1566,W1566,Y1566,AA1566,AC1566,AE1566,AG1566,AI1566,AK1566,AM1566,AO1566,AQ1566,AS1566,AU1566,AW1566,AY1566)</f>
        <v>159800</v>
      </c>
      <c r="BC1566" s="28" t="n">
        <f aca="false">BA1566-BB1566</f>
        <v>0</v>
      </c>
      <c r="BD1566" s="32" t="n">
        <f aca="false">SUM(P1566,R1566,T1566,V1566,X1566,Z1566,AB1566,AD1566,AF1566,AH1566,AJ1566,AL1566,AN1566,AP1566,AR1566,AT1566,AV1566,AX1566)</f>
        <v>3995</v>
      </c>
      <c r="BE1566" s="33" t="n">
        <f aca="false">AZ1566-BD1566</f>
        <v>0</v>
      </c>
      <c r="BF1566" s="34" t="n">
        <f aca="false">BD1566*M1566</f>
        <v>159800</v>
      </c>
      <c r="BG1566" s="35" t="n">
        <f aca="false">BA1566-BF1566</f>
        <v>0</v>
      </c>
      <c r="BH1566" s="19" t="str">
        <f aca="false">IF(BG1566=0,"",IF(BG1566&lt;&gt;BA1566,"erreur de calcul",IF(BD1566&lt;&gt;0,"pas de prix",IF(M1566&lt;&gt; 0,"pas de quantité","pas de prix, ni de quantité"))))</f>
        <v/>
      </c>
      <c r="BI1566" s="19"/>
    </row>
    <row r="1567" customFormat="false" ht="15" hidden="false" customHeight="false" outlineLevel="0" collapsed="false">
      <c r="A1567" s="0" t="n">
        <v>36</v>
      </c>
      <c r="B1567" s="8" t="s">
        <v>24</v>
      </c>
      <c r="C1567" s="9" t="s">
        <v>25</v>
      </c>
      <c r="D1567" s="9" t="s">
        <v>26</v>
      </c>
      <c r="E1567" s="10" t="n">
        <v>1789</v>
      </c>
      <c r="F1567" s="9" t="s">
        <v>27</v>
      </c>
      <c r="G1567" s="9" t="s">
        <v>27</v>
      </c>
      <c r="H1567" s="11" t="n">
        <v>22</v>
      </c>
      <c r="I1567" s="11" t="s">
        <v>239</v>
      </c>
      <c r="J1567" s="14" t="n">
        <v>48</v>
      </c>
      <c r="K1567" s="14"/>
      <c r="L1567" s="16"/>
      <c r="M1567" s="27" t="n">
        <f aca="false">J1567+(K1567/20)+(L1567/240)</f>
        <v>48</v>
      </c>
      <c r="N1567" s="17" t="s">
        <v>66</v>
      </c>
      <c r="O1567" s="11"/>
      <c r="P1567" s="28"/>
      <c r="Q1567" s="28" t="n">
        <f aca="false">P1567*$M1567</f>
        <v>0</v>
      </c>
      <c r="R1567" s="28"/>
      <c r="S1567" s="28" t="n">
        <f aca="false">R1567*$M1567</f>
        <v>0</v>
      </c>
      <c r="T1567" s="28" t="n">
        <v>690</v>
      </c>
      <c r="U1567" s="28" t="n">
        <v>33120</v>
      </c>
      <c r="V1567" s="28" t="n">
        <v>3577</v>
      </c>
      <c r="W1567" s="28" t="n">
        <v>171696</v>
      </c>
      <c r="X1567" s="28"/>
      <c r="Y1567" s="28" t="n">
        <f aca="false">X1567*$M1567</f>
        <v>0</v>
      </c>
      <c r="Z1567" s="28"/>
      <c r="AA1567" s="28" t="n">
        <f aca="false">Z1567*$M1567</f>
        <v>0</v>
      </c>
      <c r="AB1567" s="28"/>
      <c r="AC1567" s="28" t="n">
        <f aca="false">AB1567*$M1567</f>
        <v>0</v>
      </c>
      <c r="AD1567" s="28"/>
      <c r="AE1567" s="28" t="n">
        <f aca="false">AD1567*$M1567</f>
        <v>0</v>
      </c>
      <c r="AF1567" s="28"/>
      <c r="AG1567" s="28" t="n">
        <f aca="false">AF1567*$M1567</f>
        <v>0</v>
      </c>
      <c r="AH1567" s="28"/>
      <c r="AI1567" s="28" t="n">
        <f aca="false">AH1567*$M1567</f>
        <v>0</v>
      </c>
      <c r="AJ1567" s="28"/>
      <c r="AK1567" s="28" t="n">
        <f aca="false">AJ1567*$M1567</f>
        <v>0</v>
      </c>
      <c r="AL1567" s="28"/>
      <c r="AM1567" s="28" t="n">
        <f aca="false">AL1567*$M1567</f>
        <v>0</v>
      </c>
      <c r="AN1567" s="28"/>
      <c r="AO1567" s="28" t="n">
        <f aca="false">AN1567*$M1567</f>
        <v>0</v>
      </c>
      <c r="AP1567" s="28"/>
      <c r="AQ1567" s="28" t="n">
        <f aca="false">AP1567*$M1567</f>
        <v>0</v>
      </c>
      <c r="AR1567" s="28"/>
      <c r="AS1567" s="28" t="n">
        <f aca="false">AR1567*$M1567</f>
        <v>0</v>
      </c>
      <c r="AT1567" s="28"/>
      <c r="AU1567" s="28" t="n">
        <f aca="false">AT1567*$M1567</f>
        <v>0</v>
      </c>
      <c r="AV1567" s="28"/>
      <c r="AW1567" s="28" t="n">
        <f aca="false">AV1567*$M1567</f>
        <v>0</v>
      </c>
      <c r="AX1567" s="28"/>
      <c r="AY1567" s="28" t="n">
        <f aca="false">AX1567*$M1567</f>
        <v>0</v>
      </c>
      <c r="AZ1567" s="30" t="n">
        <v>4267</v>
      </c>
      <c r="BA1567" s="11" t="n">
        <v>204816</v>
      </c>
      <c r="BB1567" s="31" t="n">
        <f aca="false">SUM(Q1567,S1567,U1567,W1567,Y1567,AA1567,AC1567,AE1567,AG1567,AI1567,AK1567,AM1567,AO1567,AQ1567,AS1567,AU1567,AW1567,AY1567)</f>
        <v>204816</v>
      </c>
      <c r="BC1567" s="28" t="n">
        <f aca="false">BA1567-BB1567</f>
        <v>0</v>
      </c>
      <c r="BD1567" s="32" t="n">
        <f aca="false">SUM(P1567,R1567,T1567,V1567,X1567,Z1567,AB1567,AD1567,AF1567,AH1567,AJ1567,AL1567,AN1567,AP1567,AR1567,AT1567,AV1567,AX1567)</f>
        <v>4267</v>
      </c>
      <c r="BE1567" s="33" t="n">
        <f aca="false">AZ1567-BD1567</f>
        <v>0</v>
      </c>
      <c r="BF1567" s="34" t="n">
        <f aca="false">BD1567*M1567</f>
        <v>204816</v>
      </c>
      <c r="BG1567" s="35" t="n">
        <f aca="false">BA1567-BF1567</f>
        <v>0</v>
      </c>
      <c r="BH1567" s="19" t="str">
        <f aca="false">IF(BG1567=0,"",IF(BG1567&lt;&gt;BA1567,"erreur de calcul",IF(BD1567&lt;&gt;0,"pas de prix",IF(M1567&lt;&gt; 0,"pas de quantité","pas de prix, ni de quantité"))))</f>
        <v/>
      </c>
      <c r="BI1567" s="19"/>
    </row>
    <row r="1568" customFormat="false" ht="15" hidden="false" customHeight="false" outlineLevel="0" collapsed="false">
      <c r="A1568" s="0" t="n">
        <v>37</v>
      </c>
      <c r="B1568" s="8" t="s">
        <v>24</v>
      </c>
      <c r="C1568" s="9" t="s">
        <v>25</v>
      </c>
      <c r="D1568" s="9" t="s">
        <v>26</v>
      </c>
      <c r="E1568" s="10" t="n">
        <v>1789</v>
      </c>
      <c r="F1568" s="9" t="s">
        <v>27</v>
      </c>
      <c r="G1568" s="9" t="s">
        <v>27</v>
      </c>
      <c r="H1568" s="11" t="n">
        <v>22</v>
      </c>
      <c r="I1568" s="11" t="s">
        <v>240</v>
      </c>
      <c r="J1568" s="14" t="n">
        <v>30</v>
      </c>
      <c r="K1568" s="14"/>
      <c r="L1568" s="16"/>
      <c r="M1568" s="27" t="n">
        <f aca="false">J1568+(K1568/20)+(L1568/240)</f>
        <v>30</v>
      </c>
      <c r="N1568" s="17" t="s">
        <v>66</v>
      </c>
      <c r="O1568" s="11"/>
      <c r="P1568" s="28"/>
      <c r="Q1568" s="28" t="n">
        <f aca="false">P1568*$M1568</f>
        <v>0</v>
      </c>
      <c r="R1568" s="28"/>
      <c r="S1568" s="28" t="n">
        <f aca="false">R1568*$M1568</f>
        <v>0</v>
      </c>
      <c r="T1568" s="28"/>
      <c r="U1568" s="28" t="n">
        <f aca="false">T1568*$M1568</f>
        <v>0</v>
      </c>
      <c r="V1568" s="28"/>
      <c r="W1568" s="28" t="n">
        <f aca="false">V1568*$M1568</f>
        <v>0</v>
      </c>
      <c r="X1568" s="28"/>
      <c r="Y1568" s="28" t="n">
        <f aca="false">X1568*$M1568</f>
        <v>0</v>
      </c>
      <c r="Z1568" s="28"/>
      <c r="AA1568" s="28" t="n">
        <f aca="false">Z1568*$M1568</f>
        <v>0</v>
      </c>
      <c r="AB1568" s="28"/>
      <c r="AC1568" s="28" t="n">
        <f aca="false">AB1568*$M1568</f>
        <v>0</v>
      </c>
      <c r="AD1568" s="28"/>
      <c r="AE1568" s="28" t="n">
        <f aca="false">AD1568*$M1568</f>
        <v>0</v>
      </c>
      <c r="AF1568" s="28"/>
      <c r="AG1568" s="28" t="n">
        <f aca="false">AF1568*$M1568</f>
        <v>0</v>
      </c>
      <c r="AH1568" s="28" t="n">
        <v>4770</v>
      </c>
      <c r="AI1568" s="28" t="n">
        <v>143100</v>
      </c>
      <c r="AJ1568" s="28"/>
      <c r="AK1568" s="28" t="n">
        <f aca="false">AJ1568*$M1568</f>
        <v>0</v>
      </c>
      <c r="AL1568" s="28"/>
      <c r="AM1568" s="28" t="n">
        <f aca="false">AL1568*$M1568</f>
        <v>0</v>
      </c>
      <c r="AN1568" s="28"/>
      <c r="AO1568" s="28" t="n">
        <f aca="false">AN1568*$M1568</f>
        <v>0</v>
      </c>
      <c r="AP1568" s="28"/>
      <c r="AQ1568" s="28" t="n">
        <f aca="false">AP1568*$M1568</f>
        <v>0</v>
      </c>
      <c r="AR1568" s="28"/>
      <c r="AS1568" s="28" t="n">
        <f aca="false">AR1568*$M1568</f>
        <v>0</v>
      </c>
      <c r="AT1568" s="28"/>
      <c r="AU1568" s="28" t="n">
        <f aca="false">AT1568*$M1568</f>
        <v>0</v>
      </c>
      <c r="AV1568" s="28"/>
      <c r="AW1568" s="28" t="n">
        <f aca="false">AV1568*$M1568</f>
        <v>0</v>
      </c>
      <c r="AX1568" s="28"/>
      <c r="AY1568" s="28" t="n">
        <f aca="false">AX1568*$M1568</f>
        <v>0</v>
      </c>
      <c r="AZ1568" s="30" t="n">
        <v>4770</v>
      </c>
      <c r="BA1568" s="11" t="n">
        <v>143100</v>
      </c>
      <c r="BB1568" s="31" t="n">
        <f aca="false">SUM(Q1568,S1568,U1568,W1568,Y1568,AA1568,AC1568,AE1568,AG1568,AI1568,AK1568,AM1568,AO1568,AQ1568,AS1568,AU1568,AW1568,AY1568)</f>
        <v>143100</v>
      </c>
      <c r="BC1568" s="28" t="n">
        <f aca="false">BA1568-BB1568</f>
        <v>0</v>
      </c>
      <c r="BD1568" s="32" t="n">
        <f aca="false">SUM(P1568,R1568,T1568,V1568,X1568,Z1568,AB1568,AD1568,AF1568,AH1568,AJ1568,AL1568,AN1568,AP1568,AR1568,AT1568,AV1568,AX1568)</f>
        <v>4770</v>
      </c>
      <c r="BE1568" s="33" t="n">
        <f aca="false">AZ1568-BD1568</f>
        <v>0</v>
      </c>
      <c r="BF1568" s="34" t="n">
        <f aca="false">BD1568*M1568</f>
        <v>143100</v>
      </c>
      <c r="BG1568" s="35" t="n">
        <f aca="false">BA1568-BF1568</f>
        <v>0</v>
      </c>
      <c r="BH1568" s="19" t="str">
        <f aca="false">IF(BG1568=0,"",IF(BG1568&lt;&gt;BA1568,"erreur de calcul",IF(BD1568&lt;&gt;0,"pas de prix",IF(M1568&lt;&gt; 0,"pas de quantité","pas de prix, ni de quantité"))))</f>
        <v/>
      </c>
      <c r="BI1568" s="19"/>
    </row>
    <row r="1569" customFormat="false" ht="15" hidden="false" customHeight="false" outlineLevel="0" collapsed="false">
      <c r="A1569" s="0" t="n">
        <v>38</v>
      </c>
      <c r="B1569" s="8" t="s">
        <v>24</v>
      </c>
      <c r="C1569" s="9" t="s">
        <v>25</v>
      </c>
      <c r="D1569" s="9" t="s">
        <v>26</v>
      </c>
      <c r="E1569" s="10" t="n">
        <v>1789</v>
      </c>
      <c r="F1569" s="9" t="s">
        <v>27</v>
      </c>
      <c r="G1569" s="9" t="s">
        <v>27</v>
      </c>
      <c r="H1569" s="11" t="n">
        <v>22</v>
      </c>
      <c r="I1569" s="11" t="s">
        <v>241</v>
      </c>
      <c r="J1569" s="14" t="n">
        <v>24</v>
      </c>
      <c r="K1569" s="14"/>
      <c r="L1569" s="16"/>
      <c r="M1569" s="27" t="n">
        <f aca="false">J1569+(K1569/20)+(L1569/240)</f>
        <v>24</v>
      </c>
      <c r="N1569" s="17" t="s">
        <v>64</v>
      </c>
      <c r="O1569" s="11"/>
      <c r="P1569" s="28" t="n">
        <f aca="false">188958/100</f>
        <v>1889.58</v>
      </c>
      <c r="Q1569" s="28" t="n">
        <v>45350</v>
      </c>
      <c r="R1569" s="28"/>
      <c r="S1569" s="28" t="n">
        <f aca="false">R1569*$M1569</f>
        <v>0</v>
      </c>
      <c r="T1569" s="28"/>
      <c r="U1569" s="28" t="n">
        <f aca="false">T1569*$M1569</f>
        <v>0</v>
      </c>
      <c r="V1569" s="28" t="n">
        <f aca="false">10567/100</f>
        <v>105.67</v>
      </c>
      <c r="W1569" s="28" t="n">
        <v>2536</v>
      </c>
      <c r="X1569" s="28" t="n">
        <f aca="false">9467/100</f>
        <v>94.67</v>
      </c>
      <c r="Y1569" s="28" t="n">
        <v>2272</v>
      </c>
      <c r="Z1569" s="28"/>
      <c r="AA1569" s="28" t="n">
        <f aca="false">Z1569*$M1569</f>
        <v>0</v>
      </c>
      <c r="AB1569" s="28"/>
      <c r="AC1569" s="28" t="n">
        <f aca="false">AB1569*$M1569</f>
        <v>0</v>
      </c>
      <c r="AD1569" s="28"/>
      <c r="AE1569" s="28" t="n">
        <f aca="false">AD1569*$M1569</f>
        <v>0</v>
      </c>
      <c r="AF1569" s="28"/>
      <c r="AG1569" s="28" t="n">
        <f aca="false">AF1569*$M1569</f>
        <v>0</v>
      </c>
      <c r="AH1569" s="28"/>
      <c r="AI1569" s="28" t="n">
        <f aca="false">AH1569*$M1569</f>
        <v>0</v>
      </c>
      <c r="AJ1569" s="28"/>
      <c r="AK1569" s="28" t="n">
        <f aca="false">AJ1569*$M1569</f>
        <v>0</v>
      </c>
      <c r="AL1569" s="28"/>
      <c r="AM1569" s="28" t="n">
        <f aca="false">AL1569*$M1569</f>
        <v>0</v>
      </c>
      <c r="AN1569" s="28"/>
      <c r="AO1569" s="28" t="n">
        <f aca="false">AN1569*$M1569</f>
        <v>0</v>
      </c>
      <c r="AP1569" s="28"/>
      <c r="AQ1569" s="28" t="n">
        <f aca="false">AP1569*$M1569</f>
        <v>0</v>
      </c>
      <c r="AR1569" s="28"/>
      <c r="AS1569" s="28" t="n">
        <f aca="false">AR1569*$M1569</f>
        <v>0</v>
      </c>
      <c r="AT1569" s="28"/>
      <c r="AU1569" s="28" t="n">
        <f aca="false">AT1569*$M1569</f>
        <v>0</v>
      </c>
      <c r="AV1569" s="28"/>
      <c r="AW1569" s="28" t="n">
        <f aca="false">AV1569*$M1569</f>
        <v>0</v>
      </c>
      <c r="AX1569" s="28" t="n">
        <f aca="false">328659/100</f>
        <v>3286.59</v>
      </c>
      <c r="AY1569" s="28" t="n">
        <v>78878</v>
      </c>
      <c r="AZ1569" s="30" t="n">
        <f aca="false">537651/100</f>
        <v>5376.51</v>
      </c>
      <c r="BA1569" s="11" t="n">
        <v>129036</v>
      </c>
      <c r="BB1569" s="31" t="n">
        <f aca="false">SUM(Q1569,S1569,U1569,W1569,Y1569,AA1569,AC1569,AE1569,AG1569,AI1569,AK1569,AM1569,AO1569,AQ1569,AS1569,AU1569,AW1569,AY1569)</f>
        <v>129036</v>
      </c>
      <c r="BC1569" s="28" t="n">
        <f aca="false">BA1569-BB1569</f>
        <v>0</v>
      </c>
      <c r="BD1569" s="32" t="n">
        <f aca="false">SUM(P1569,R1569,T1569,V1569,X1569,Z1569,AB1569,AD1569,AF1569,AH1569,AJ1569,AL1569,AN1569,AP1569,AR1569,AT1569,AV1569,AX1569)</f>
        <v>5376.51</v>
      </c>
      <c r="BE1569" s="33" t="n">
        <f aca="false">AZ1569-BD1569</f>
        <v>0</v>
      </c>
      <c r="BF1569" s="34" t="n">
        <f aca="false">BD1569*M1569</f>
        <v>129036.24</v>
      </c>
      <c r="BG1569" s="35" t="n">
        <f aca="false">BA1569-BF1569</f>
        <v>-0.240000000005239</v>
      </c>
      <c r="BH1569" s="19" t="str">
        <f aca="false">IF(BG1569=0,"",IF(BG1569&lt;&gt;BA1569,"erreur de calcul",IF(BD1569&lt;&gt;0,"pas de prix",IF(M1569&lt;&gt; 0,"pas de quantité","pas de prix, ni de quantité"))))</f>
        <v>erreur de calcul</v>
      </c>
      <c r="BI1569" s="19"/>
    </row>
    <row r="1570" customFormat="false" ht="15" hidden="false" customHeight="false" outlineLevel="0" collapsed="false">
      <c r="A1570" s="0" t="n">
        <v>39</v>
      </c>
      <c r="B1570" s="8" t="s">
        <v>24</v>
      </c>
      <c r="C1570" s="9" t="s">
        <v>25</v>
      </c>
      <c r="D1570" s="9" t="s">
        <v>26</v>
      </c>
      <c r="E1570" s="10" t="n">
        <v>1789</v>
      </c>
      <c r="F1570" s="9" t="s">
        <v>27</v>
      </c>
      <c r="G1570" s="9" t="s">
        <v>27</v>
      </c>
      <c r="H1570" s="11" t="n">
        <v>22</v>
      </c>
      <c r="I1570" s="11" t="s">
        <v>242</v>
      </c>
      <c r="J1570" s="14" t="n">
        <v>41</v>
      </c>
      <c r="K1570" s="14"/>
      <c r="L1570" s="16"/>
      <c r="M1570" s="27" t="n">
        <f aca="false">J1570+(K1570/20)+(L1570/240)</f>
        <v>41</v>
      </c>
      <c r="N1570" s="17" t="s">
        <v>64</v>
      </c>
      <c r="O1570" s="11"/>
      <c r="P1570" s="28"/>
      <c r="Q1570" s="28" t="n">
        <f aca="false">P1570*$M1570</f>
        <v>0</v>
      </c>
      <c r="R1570" s="28"/>
      <c r="S1570" s="28" t="n">
        <f aca="false">R1570*$M1570</f>
        <v>0</v>
      </c>
      <c r="T1570" s="28" t="n">
        <f aca="false">441/100</f>
        <v>4.41</v>
      </c>
      <c r="U1570" s="28" t="n">
        <v>181</v>
      </c>
      <c r="V1570" s="28"/>
      <c r="W1570" s="28" t="n">
        <f aca="false">V1570*$M1570</f>
        <v>0</v>
      </c>
      <c r="X1570" s="28"/>
      <c r="Y1570" s="28" t="n">
        <f aca="false">X1570*$M1570</f>
        <v>0</v>
      </c>
      <c r="Z1570" s="28"/>
      <c r="AA1570" s="28" t="n">
        <f aca="false">Z1570*$M1570</f>
        <v>0</v>
      </c>
      <c r="AB1570" s="28"/>
      <c r="AC1570" s="28" t="n">
        <f aca="false">AB1570*$M1570</f>
        <v>0</v>
      </c>
      <c r="AD1570" s="28"/>
      <c r="AE1570" s="28" t="n">
        <f aca="false">AD1570*$M1570</f>
        <v>0</v>
      </c>
      <c r="AF1570" s="28"/>
      <c r="AG1570" s="28" t="n">
        <f aca="false">AF1570*$M1570</f>
        <v>0</v>
      </c>
      <c r="AH1570" s="28"/>
      <c r="AI1570" s="28" t="n">
        <f aca="false">AH1570*$M1570</f>
        <v>0</v>
      </c>
      <c r="AJ1570" s="28"/>
      <c r="AK1570" s="28" t="n">
        <f aca="false">AJ1570*$M1570</f>
        <v>0</v>
      </c>
      <c r="AL1570" s="28"/>
      <c r="AM1570" s="28" t="n">
        <f aca="false">AL1570*$M1570</f>
        <v>0</v>
      </c>
      <c r="AN1570" s="28"/>
      <c r="AO1570" s="28" t="n">
        <f aca="false">AN1570*$M1570</f>
        <v>0</v>
      </c>
      <c r="AP1570" s="28"/>
      <c r="AQ1570" s="28" t="n">
        <f aca="false">AP1570*$M1570</f>
        <v>0</v>
      </c>
      <c r="AR1570" s="28"/>
      <c r="AS1570" s="28" t="n">
        <f aca="false">AR1570*$M1570</f>
        <v>0</v>
      </c>
      <c r="AT1570" s="28"/>
      <c r="AU1570" s="28" t="n">
        <f aca="false">AT1570*$M1570</f>
        <v>0</v>
      </c>
      <c r="AV1570" s="28"/>
      <c r="AW1570" s="28" t="n">
        <f aca="false">AV1570*$M1570</f>
        <v>0</v>
      </c>
      <c r="AX1570" s="28"/>
      <c r="AY1570" s="28" t="n">
        <f aca="false">AX1570*$M1570</f>
        <v>0</v>
      </c>
      <c r="AZ1570" s="30" t="n">
        <f aca="false">441/100</f>
        <v>4.41</v>
      </c>
      <c r="BA1570" s="11" t="n">
        <v>181</v>
      </c>
      <c r="BB1570" s="31" t="n">
        <f aca="false">SUM(Q1570,S1570,U1570,W1570,Y1570,AA1570,AC1570,AE1570,AG1570,AI1570,AK1570,AM1570,AO1570,AQ1570,AS1570,AU1570,AW1570,AY1570)</f>
        <v>181</v>
      </c>
      <c r="BC1570" s="28" t="n">
        <f aca="false">BA1570-BB1570</f>
        <v>0</v>
      </c>
      <c r="BD1570" s="32" t="n">
        <f aca="false">SUM(P1570,R1570,T1570,V1570,X1570,Z1570,AB1570,AD1570,AF1570,AH1570,AJ1570,AL1570,AN1570,AP1570,AR1570,AT1570,AV1570,AX1570)</f>
        <v>4.41</v>
      </c>
      <c r="BE1570" s="33" t="n">
        <f aca="false">AZ1570-BD1570</f>
        <v>0</v>
      </c>
      <c r="BF1570" s="34" t="n">
        <f aca="false">BD1570*M1570</f>
        <v>180.81</v>
      </c>
      <c r="BG1570" s="35" t="n">
        <f aca="false">BA1570-BF1570</f>
        <v>0.189999999999998</v>
      </c>
      <c r="BH1570" s="19" t="str">
        <f aca="false">IF(BG1570=0,"",IF(BG1570&lt;&gt;BA1570,"erreur de calcul",IF(BD1570&lt;&gt;0,"pas de prix",IF(M1570&lt;&gt; 0,"pas de quantité","pas de prix, ni de quantité"))))</f>
        <v>erreur de calcul</v>
      </c>
      <c r="BI1570" s="19"/>
    </row>
    <row r="1571" customFormat="false" ht="15" hidden="false" customHeight="false" outlineLevel="0" collapsed="false">
      <c r="A1571" s="0" t="n">
        <v>1</v>
      </c>
      <c r="B1571" s="8" t="s">
        <v>24</v>
      </c>
      <c r="C1571" s="9" t="s">
        <v>25</v>
      </c>
      <c r="D1571" s="9" t="s">
        <v>26</v>
      </c>
      <c r="E1571" s="10" t="n">
        <v>1789</v>
      </c>
      <c r="F1571" s="9" t="s">
        <v>27</v>
      </c>
      <c r="G1571" s="9" t="s">
        <v>27</v>
      </c>
      <c r="H1571" s="11" t="n">
        <v>23</v>
      </c>
      <c r="I1571" s="11" t="s">
        <v>243</v>
      </c>
      <c r="J1571" s="14"/>
      <c r="K1571" s="14"/>
      <c r="L1571" s="16"/>
      <c r="M1571" s="27" t="n">
        <f aca="false">J1571+(K1571/20)+(L1571/240)</f>
        <v>0</v>
      </c>
      <c r="N1571" s="17"/>
      <c r="O1571" s="11"/>
      <c r="P1571" s="28"/>
      <c r="Q1571" s="28" t="n">
        <f aca="false">P1571*$M1571</f>
        <v>0</v>
      </c>
      <c r="R1571" s="28"/>
      <c r="S1571" s="28" t="n">
        <f aca="false">R1571*$M1571</f>
        <v>0</v>
      </c>
      <c r="T1571" s="28"/>
      <c r="U1571" s="28" t="n">
        <f aca="false">T1571*$M1571</f>
        <v>0</v>
      </c>
      <c r="V1571" s="28"/>
      <c r="W1571" s="28" t="n">
        <v>100</v>
      </c>
      <c r="X1571" s="28"/>
      <c r="Y1571" s="28" t="n">
        <v>563</v>
      </c>
      <c r="Z1571" s="28"/>
      <c r="AA1571" s="28" t="n">
        <f aca="false">Z1571*$M1571</f>
        <v>0</v>
      </c>
      <c r="AB1571" s="28"/>
      <c r="AC1571" s="28" t="n">
        <f aca="false">AB1571*$M1571</f>
        <v>0</v>
      </c>
      <c r="AD1571" s="28"/>
      <c r="AE1571" s="28" t="n">
        <f aca="false">AD1571*$M1571</f>
        <v>0</v>
      </c>
      <c r="AF1571" s="28"/>
      <c r="AG1571" s="28" t="n">
        <f aca="false">AF1571*$M1571</f>
        <v>0</v>
      </c>
      <c r="AH1571" s="28"/>
      <c r="AI1571" s="28" t="n">
        <f aca="false">AH1571*$M1571</f>
        <v>0</v>
      </c>
      <c r="AJ1571" s="28"/>
      <c r="AK1571" s="28" t="n">
        <v>1015</v>
      </c>
      <c r="AL1571" s="28"/>
      <c r="AM1571" s="28" t="n">
        <f aca="false">AL1571*$M1571</f>
        <v>0</v>
      </c>
      <c r="AN1571" s="28"/>
      <c r="AO1571" s="28" t="n">
        <f aca="false">AN1571*$M1571</f>
        <v>0</v>
      </c>
      <c r="AP1571" s="28"/>
      <c r="AQ1571" s="28" t="n">
        <f aca="false">AP1571*$M1571</f>
        <v>0</v>
      </c>
      <c r="AR1571" s="28"/>
      <c r="AS1571" s="28" t="n">
        <f aca="false">AR1571*$M1571</f>
        <v>0</v>
      </c>
      <c r="AT1571" s="28"/>
      <c r="AU1571" s="28" t="n">
        <f aca="false">AT1571*$M1571</f>
        <v>0</v>
      </c>
      <c r="AV1571" s="28"/>
      <c r="AW1571" s="28" t="n">
        <f aca="false">AV1571*$M1571</f>
        <v>0</v>
      </c>
      <c r="AX1571" s="28"/>
      <c r="AY1571" s="28" t="n">
        <f aca="false">AX1571*$M1571</f>
        <v>0</v>
      </c>
      <c r="AZ1571" s="30"/>
      <c r="BA1571" s="11" t="n">
        <v>1678</v>
      </c>
      <c r="BB1571" s="31" t="n">
        <f aca="false">SUM(Q1571,S1571,U1571,W1571,Y1571,AA1571,AC1571,AE1571,AG1571,AI1571,AK1571,AM1571,AO1571,AQ1571,AS1571,AU1571,AW1571,AY1571)</f>
        <v>1678</v>
      </c>
      <c r="BC1571" s="28" t="n">
        <f aca="false">BA1571-BB1571</f>
        <v>0</v>
      </c>
      <c r="BD1571" s="32" t="n">
        <f aca="false">SUM(P1571,R1571,T1571,V1571,X1571,Z1571,AB1571,AD1571,AF1571,AH1571,AJ1571,AL1571,AN1571,AP1571,AR1571,AT1571,AV1571,AX1571)</f>
        <v>0</v>
      </c>
      <c r="BE1571" s="33" t="n">
        <f aca="false">AZ1571-BD1571</f>
        <v>0</v>
      </c>
      <c r="BF1571" s="34" t="n">
        <f aca="false">BD1571*M1571</f>
        <v>0</v>
      </c>
      <c r="BG1571" s="35" t="n">
        <f aca="false">BA1571-BF1571</f>
        <v>1678</v>
      </c>
      <c r="BH1571" s="19" t="str">
        <f aca="false">IF(BG1571=0,"",IF(BG1571&lt;&gt;BA1571,"erreur de calcul",IF(BD1571&lt;&gt;0,"pas de prix",IF(M1571&lt;&gt; 0,"pas de quantité","pas de prix, ni de quantité"))))</f>
        <v>pas de prix, ni de quantité</v>
      </c>
      <c r="BI1571" s="19"/>
    </row>
    <row r="1572" customFormat="false" ht="15" hidden="false" customHeight="false" outlineLevel="0" collapsed="false">
      <c r="A1572" s="0" t="n">
        <v>2</v>
      </c>
      <c r="B1572" s="8" t="s">
        <v>24</v>
      </c>
      <c r="C1572" s="9" t="s">
        <v>25</v>
      </c>
      <c r="D1572" s="9" t="s">
        <v>26</v>
      </c>
      <c r="E1572" s="10" t="n">
        <v>1789</v>
      </c>
      <c r="F1572" s="9" t="s">
        <v>27</v>
      </c>
      <c r="G1572" s="9" t="s">
        <v>27</v>
      </c>
      <c r="H1572" s="11" t="n">
        <v>23</v>
      </c>
      <c r="I1572" s="11" t="s">
        <v>244</v>
      </c>
      <c r="J1572" s="14" t="n">
        <v>22</v>
      </c>
      <c r="K1572" s="14"/>
      <c r="L1572" s="16"/>
      <c r="M1572" s="27" t="n">
        <f aca="false">J1572+(K1572/20)+(L1572/240)</f>
        <v>22</v>
      </c>
      <c r="N1572" s="17" t="s">
        <v>64</v>
      </c>
      <c r="O1572" s="11"/>
      <c r="P1572" s="28"/>
      <c r="Q1572" s="28" t="n">
        <f aca="false">P1572*$M1572</f>
        <v>0</v>
      </c>
      <c r="R1572" s="28"/>
      <c r="S1572" s="28" t="n">
        <f aca="false">R1572*$M1572</f>
        <v>0</v>
      </c>
      <c r="T1572" s="28"/>
      <c r="U1572" s="28" t="n">
        <f aca="false">T1572*$M1572</f>
        <v>0</v>
      </c>
      <c r="V1572" s="28" t="n">
        <f aca="false">15346/100</f>
        <v>153.46</v>
      </c>
      <c r="W1572" s="28" t="n">
        <v>3376</v>
      </c>
      <c r="X1572" s="28"/>
      <c r="Y1572" s="28" t="n">
        <f aca="false">X1572*$M1572</f>
        <v>0</v>
      </c>
      <c r="Z1572" s="28"/>
      <c r="AA1572" s="28" t="n">
        <f aca="false">Z1572*$M1572</f>
        <v>0</v>
      </c>
      <c r="AB1572" s="28"/>
      <c r="AC1572" s="28" t="n">
        <f aca="false">AB1572*$M1572</f>
        <v>0</v>
      </c>
      <c r="AD1572" s="28"/>
      <c r="AE1572" s="28" t="n">
        <f aca="false">AD1572*$M1572</f>
        <v>0</v>
      </c>
      <c r="AF1572" s="28"/>
      <c r="AG1572" s="28" t="n">
        <f aca="false">AF1572*$M1572</f>
        <v>0</v>
      </c>
      <c r="AH1572" s="28"/>
      <c r="AI1572" s="28" t="n">
        <f aca="false">AH1572*$M1572</f>
        <v>0</v>
      </c>
      <c r="AJ1572" s="28" t="n">
        <f aca="false">9084/100</f>
        <v>90.84</v>
      </c>
      <c r="AK1572" s="28" t="n">
        <v>1998</v>
      </c>
      <c r="AL1572" s="28" t="n">
        <f aca="false">8917/100</f>
        <v>89.17</v>
      </c>
      <c r="AM1572" s="28" t="n">
        <v>1962</v>
      </c>
      <c r="AN1572" s="28"/>
      <c r="AO1572" s="28" t="n">
        <f aca="false">AN1572*$M1572</f>
        <v>0</v>
      </c>
      <c r="AP1572" s="28"/>
      <c r="AQ1572" s="28" t="n">
        <f aca="false">AP1572*$M1572</f>
        <v>0</v>
      </c>
      <c r="AR1572" s="28"/>
      <c r="AS1572" s="28" t="n">
        <f aca="false">AR1572*$M1572</f>
        <v>0</v>
      </c>
      <c r="AT1572" s="28"/>
      <c r="AU1572" s="28" t="n">
        <f aca="false">AT1572*$M1572</f>
        <v>0</v>
      </c>
      <c r="AV1572" s="28"/>
      <c r="AW1572" s="28" t="n">
        <f aca="false">AV1572*$M1572</f>
        <v>0</v>
      </c>
      <c r="AX1572" s="28"/>
      <c r="AY1572" s="28" t="n">
        <f aca="false">AX1572*$M1572</f>
        <v>0</v>
      </c>
      <c r="AZ1572" s="30" t="n">
        <f aca="false">3347/100</f>
        <v>33.47</v>
      </c>
      <c r="BA1572" s="11" t="n">
        <v>7336</v>
      </c>
      <c r="BB1572" s="31" t="n">
        <f aca="false">SUM(Q1572,S1572,U1572,W1572,Y1572,AA1572,AC1572,AE1572,AG1572,AI1572,AK1572,AM1572,AO1572,AQ1572,AS1572,AU1572,AW1572,AY1572)</f>
        <v>7336</v>
      </c>
      <c r="BC1572" s="28" t="n">
        <f aca="false">BA1572-BB1572</f>
        <v>0</v>
      </c>
      <c r="BD1572" s="32" t="n">
        <f aca="false">SUM(P1572,R1572,T1572,V1572,X1572,Z1572,AB1572,AD1572,AF1572,AH1572,AJ1572,AL1572,AN1572,AP1572,AR1572,AT1572,AV1572,AX1572)</f>
        <v>333.47</v>
      </c>
      <c r="BE1572" s="33" t="n">
        <f aca="false">AZ1572-BD1572</f>
        <v>-300</v>
      </c>
      <c r="BF1572" s="34" t="n">
        <f aca="false">BD1572*M1572</f>
        <v>7336.34</v>
      </c>
      <c r="BG1572" s="35" t="n">
        <f aca="false">BA1572-BF1572</f>
        <v>-0.340000000000146</v>
      </c>
      <c r="BH1572" s="19" t="str">
        <f aca="false">IF(BG1572=0,"",IF(BG1572&lt;&gt;BA1572,"erreur de calcul",IF(BD1572&lt;&gt;0,"pas de prix",IF(M1572&lt;&gt; 0,"pas de quantité","pas de prix, ni de quantité"))))</f>
        <v>erreur de calcul</v>
      </c>
      <c r="BI1572" s="19"/>
    </row>
    <row r="1573" customFormat="false" ht="15" hidden="false" customHeight="false" outlineLevel="0" collapsed="false">
      <c r="A1573" s="0" t="n">
        <v>3</v>
      </c>
      <c r="B1573" s="8" t="s">
        <v>24</v>
      </c>
      <c r="C1573" s="9" t="s">
        <v>25</v>
      </c>
      <c r="D1573" s="9" t="s">
        <v>26</v>
      </c>
      <c r="E1573" s="10" t="n">
        <v>1789</v>
      </c>
      <c r="F1573" s="9" t="s">
        <v>27</v>
      </c>
      <c r="G1573" s="9" t="s">
        <v>27</v>
      </c>
      <c r="H1573" s="11" t="n">
        <v>23</v>
      </c>
      <c r="I1573" s="11" t="s">
        <v>245</v>
      </c>
      <c r="J1573" s="14" t="n">
        <v>28</v>
      </c>
      <c r="K1573" s="14"/>
      <c r="L1573" s="16"/>
      <c r="M1573" s="27" t="n">
        <f aca="false">J1573+(K1573/20)+(L1573/240)</f>
        <v>28</v>
      </c>
      <c r="N1573" s="17" t="s">
        <v>64</v>
      </c>
      <c r="O1573" s="11"/>
      <c r="P1573" s="28"/>
      <c r="Q1573" s="28" t="n">
        <f aca="false">P1573*$M1573</f>
        <v>0</v>
      </c>
      <c r="R1573" s="28"/>
      <c r="S1573" s="28" t="n">
        <f aca="false">R1573*$M1573</f>
        <v>0</v>
      </c>
      <c r="T1573" s="28"/>
      <c r="U1573" s="28" t="n">
        <f aca="false">T1573*$M1573</f>
        <v>0</v>
      </c>
      <c r="V1573" s="28" t="n">
        <f aca="false">61654/100</f>
        <v>616.54</v>
      </c>
      <c r="W1573" s="28" t="n">
        <v>17263</v>
      </c>
      <c r="X1573" s="28"/>
      <c r="Y1573" s="28" t="n">
        <f aca="false">X1573*$M1573</f>
        <v>0</v>
      </c>
      <c r="Z1573" s="28"/>
      <c r="AA1573" s="28" t="n">
        <f aca="false">Z1573*$M1573</f>
        <v>0</v>
      </c>
      <c r="AB1573" s="28"/>
      <c r="AC1573" s="28" t="n">
        <f aca="false">AB1573*$M1573</f>
        <v>0</v>
      </c>
      <c r="AD1573" s="28"/>
      <c r="AE1573" s="28" t="n">
        <f aca="false">AD1573*$M1573</f>
        <v>0</v>
      </c>
      <c r="AF1573" s="28"/>
      <c r="AG1573" s="28" t="n">
        <f aca="false">AF1573*$M1573</f>
        <v>0</v>
      </c>
      <c r="AH1573" s="28"/>
      <c r="AI1573" s="28" t="n">
        <f aca="false">AH1573*$M1573</f>
        <v>0</v>
      </c>
      <c r="AJ1573" s="28"/>
      <c r="AK1573" s="28" t="n">
        <f aca="false">AJ1573*$M1573</f>
        <v>0</v>
      </c>
      <c r="AL1573" s="28" t="n">
        <f aca="false">6250/100</f>
        <v>62.5</v>
      </c>
      <c r="AM1573" s="28" t="n">
        <v>1750</v>
      </c>
      <c r="AN1573" s="28"/>
      <c r="AO1573" s="28" t="n">
        <f aca="false">AN1573*$M1573</f>
        <v>0</v>
      </c>
      <c r="AP1573" s="28"/>
      <c r="AQ1573" s="28" t="n">
        <f aca="false">AP1573*$M1573</f>
        <v>0</v>
      </c>
      <c r="AR1573" s="28"/>
      <c r="AS1573" s="28" t="n">
        <f aca="false">AR1573*$M1573</f>
        <v>0</v>
      </c>
      <c r="AT1573" s="28"/>
      <c r="AU1573" s="28" t="n">
        <f aca="false">AT1573*$M1573</f>
        <v>0</v>
      </c>
      <c r="AV1573" s="28"/>
      <c r="AW1573" s="28" t="n">
        <f aca="false">AV1573*$M1573</f>
        <v>0</v>
      </c>
      <c r="AX1573" s="28"/>
      <c r="AY1573" s="28" t="n">
        <f aca="false">AX1573*$M1573</f>
        <v>0</v>
      </c>
      <c r="AZ1573" s="30" t="n">
        <f aca="false">67904/100</f>
        <v>679.04</v>
      </c>
      <c r="BA1573" s="11" t="n">
        <v>19013</v>
      </c>
      <c r="BB1573" s="31" t="n">
        <f aca="false">SUM(Q1573,S1573,U1573,W1573,Y1573,AA1573,AC1573,AE1573,AG1573,AI1573,AK1573,AM1573,AO1573,AQ1573,AS1573,AU1573,AW1573,AY1573)</f>
        <v>19013</v>
      </c>
      <c r="BC1573" s="28" t="n">
        <f aca="false">BA1573-BB1573</f>
        <v>0</v>
      </c>
      <c r="BD1573" s="32" t="n">
        <f aca="false">SUM(P1573,R1573,T1573,V1573,X1573,Z1573,AB1573,AD1573,AF1573,AH1573,AJ1573,AL1573,AN1573,AP1573,AR1573,AT1573,AV1573,AX1573)</f>
        <v>679.04</v>
      </c>
      <c r="BE1573" s="33" t="n">
        <f aca="false">AZ1573-BD1573</f>
        <v>0</v>
      </c>
      <c r="BF1573" s="34" t="n">
        <f aca="false">BD1573*M1573</f>
        <v>19013.12</v>
      </c>
      <c r="BG1573" s="35" t="n">
        <f aca="false">BA1573-BF1573</f>
        <v>-0.119999999998981</v>
      </c>
      <c r="BH1573" s="19" t="str">
        <f aca="false">IF(BG1573=0,"",IF(BG1573&lt;&gt;BA1573,"erreur de calcul",IF(BD1573&lt;&gt;0,"pas de prix",IF(M1573&lt;&gt; 0,"pas de quantité","pas de prix, ni de quantité"))))</f>
        <v>erreur de calcul</v>
      </c>
      <c r="BI1573" s="19"/>
    </row>
    <row r="1574" customFormat="false" ht="15" hidden="false" customHeight="false" outlineLevel="0" collapsed="false">
      <c r="A1574" s="0" t="n">
        <v>4</v>
      </c>
      <c r="B1574" s="8" t="s">
        <v>24</v>
      </c>
      <c r="C1574" s="9" t="s">
        <v>25</v>
      </c>
      <c r="D1574" s="9" t="s">
        <v>26</v>
      </c>
      <c r="E1574" s="10" t="n">
        <v>1789</v>
      </c>
      <c r="F1574" s="9" t="s">
        <v>27</v>
      </c>
      <c r="G1574" s="9" t="s">
        <v>27</v>
      </c>
      <c r="H1574" s="11" t="n">
        <v>23</v>
      </c>
      <c r="I1574" s="11" t="s">
        <v>246</v>
      </c>
      <c r="J1574" s="14" t="n">
        <v>17</v>
      </c>
      <c r="K1574" s="14"/>
      <c r="L1574" s="16"/>
      <c r="M1574" s="27" t="n">
        <f aca="false">J1574+(K1574/20)+(L1574/240)</f>
        <v>17</v>
      </c>
      <c r="N1574" s="17" t="s">
        <v>64</v>
      </c>
      <c r="O1574" s="11"/>
      <c r="P1574" s="28"/>
      <c r="Q1574" s="28" t="n">
        <f aca="false">P1574*$M1574</f>
        <v>0</v>
      </c>
      <c r="R1574" s="28"/>
      <c r="S1574" s="28" t="n">
        <f aca="false">R1574*$M1574</f>
        <v>0</v>
      </c>
      <c r="T1574" s="28" t="n">
        <f aca="false">25000/100</f>
        <v>250</v>
      </c>
      <c r="U1574" s="28" t="n">
        <v>4250</v>
      </c>
      <c r="V1574" s="28" t="n">
        <f aca="false">78153/100</f>
        <v>781.53</v>
      </c>
      <c r="W1574" s="28" t="n">
        <v>13286</v>
      </c>
      <c r="X1574" s="28"/>
      <c r="Y1574" s="28" t="n">
        <f aca="false">X1574*$M1574</f>
        <v>0</v>
      </c>
      <c r="Z1574" s="28"/>
      <c r="AA1574" s="28" t="n">
        <f aca="false">Z1574*$M1574</f>
        <v>0</v>
      </c>
      <c r="AB1574" s="28"/>
      <c r="AC1574" s="28" t="n">
        <f aca="false">AB1574*$M1574</f>
        <v>0</v>
      </c>
      <c r="AD1574" s="28"/>
      <c r="AE1574" s="28" t="n">
        <f aca="false">AD1574*$M1574</f>
        <v>0</v>
      </c>
      <c r="AF1574" s="28"/>
      <c r="AG1574" s="28" t="n">
        <f aca="false">AF1574*$M1574</f>
        <v>0</v>
      </c>
      <c r="AH1574" s="28"/>
      <c r="AI1574" s="28" t="n">
        <f aca="false">AH1574*$M1574</f>
        <v>0</v>
      </c>
      <c r="AJ1574" s="28" t="n">
        <f aca="false">113774/100</f>
        <v>1137.74</v>
      </c>
      <c r="AK1574" s="28" t="n">
        <v>19341</v>
      </c>
      <c r="AL1574" s="28" t="n">
        <f aca="false">749547/100</f>
        <v>7495.47</v>
      </c>
      <c r="AM1574" s="28" t="n">
        <v>127423</v>
      </c>
      <c r="AN1574" s="28"/>
      <c r="AO1574" s="28" t="n">
        <f aca="false">AN1574*$M1574</f>
        <v>0</v>
      </c>
      <c r="AP1574" s="28" t="n">
        <f aca="false">578251/100</f>
        <v>5782.51</v>
      </c>
      <c r="AQ1574" s="28" t="n">
        <v>98303</v>
      </c>
      <c r="AR1574" s="28" t="n">
        <f aca="false">9141217/100</f>
        <v>91412.17</v>
      </c>
      <c r="AS1574" s="28" t="n">
        <v>1554007</v>
      </c>
      <c r="AT1574" s="28"/>
      <c r="AU1574" s="28" t="n">
        <f aca="false">AT1574*$M1574</f>
        <v>0</v>
      </c>
      <c r="AV1574" s="28" t="n">
        <f aca="false">314570/100</f>
        <v>3145.7</v>
      </c>
      <c r="AW1574" s="28" t="n">
        <v>53477</v>
      </c>
      <c r="AX1574" s="28"/>
      <c r="AY1574" s="28" t="n">
        <f aca="false">AX1574*$M1574</f>
        <v>0</v>
      </c>
      <c r="AZ1574" s="30" t="n">
        <f aca="false">11004767/100</f>
        <v>110047.67</v>
      </c>
      <c r="BA1574" s="11" t="n">
        <v>1870087</v>
      </c>
      <c r="BB1574" s="31" t="n">
        <f aca="false">SUM(Q1574,S1574,U1574,W1574,Y1574,AA1574,AC1574,AE1574,AG1574,AI1574,AK1574,AM1574,AO1574,AQ1574,AS1574,AU1574,AW1574,AY1574)</f>
        <v>1870087</v>
      </c>
      <c r="BC1574" s="28" t="n">
        <f aca="false">BA1574-BB1574</f>
        <v>0</v>
      </c>
      <c r="BD1574" s="32" t="n">
        <f aca="false">SUM(P1574,R1574,T1574,V1574,X1574,Z1574,AB1574,AD1574,AF1574,AH1574,AJ1574,AL1574,AN1574,AP1574,AR1574,AT1574,AV1574,AX1574)</f>
        <v>110005.12</v>
      </c>
      <c r="BE1574" s="33" t="n">
        <f aca="false">AZ1574-BD1574</f>
        <v>42.5500000000029</v>
      </c>
      <c r="BF1574" s="34" t="n">
        <f aca="false">BD1574*M1574</f>
        <v>1870087.04</v>
      </c>
      <c r="BG1574" s="35" t="n">
        <f aca="false">BA1574-BF1574</f>
        <v>-0.0400000000372529</v>
      </c>
      <c r="BH1574" s="19" t="str">
        <f aca="false">IF(BG1574=0,"",IF(BG1574&lt;&gt;BA1574,"erreur de calcul",IF(BD1574&lt;&gt;0,"pas de prix",IF(M1574&lt;&gt; 0,"pas de quantité","pas de prix, ni de quantité"))))</f>
        <v>erreur de calcul</v>
      </c>
      <c r="BI1574" s="19"/>
    </row>
    <row r="1575" customFormat="false" ht="15" hidden="false" customHeight="false" outlineLevel="0" collapsed="false">
      <c r="A1575" s="0" t="n">
        <v>5</v>
      </c>
      <c r="B1575" s="8" t="s">
        <v>24</v>
      </c>
      <c r="C1575" s="9" t="s">
        <v>25</v>
      </c>
      <c r="D1575" s="9" t="s">
        <v>26</v>
      </c>
      <c r="E1575" s="10" t="n">
        <v>1789</v>
      </c>
      <c r="F1575" s="9" t="s">
        <v>27</v>
      </c>
      <c r="G1575" s="9" t="s">
        <v>27</v>
      </c>
      <c r="H1575" s="11" t="n">
        <v>23</v>
      </c>
      <c r="I1575" s="11" t="s">
        <v>247</v>
      </c>
      <c r="J1575" s="14" t="n">
        <v>60</v>
      </c>
      <c r="K1575" s="14"/>
      <c r="L1575" s="16"/>
      <c r="M1575" s="27" t="n">
        <f aca="false">J1575+(K1575/20)+(L1575/240)</f>
        <v>60</v>
      </c>
      <c r="N1575" s="17" t="s">
        <v>64</v>
      </c>
      <c r="O1575" s="11"/>
      <c r="P1575" s="28" t="n">
        <f aca="false">17500/100</f>
        <v>175</v>
      </c>
      <c r="Q1575" s="28" t="n">
        <v>10500</v>
      </c>
      <c r="R1575" s="28"/>
      <c r="S1575" s="28" t="n">
        <f aca="false">R1575*$M1575</f>
        <v>0</v>
      </c>
      <c r="T1575" s="28"/>
      <c r="U1575" s="28" t="n">
        <f aca="false">T1575*$M1575</f>
        <v>0</v>
      </c>
      <c r="V1575" s="28"/>
      <c r="W1575" s="28" t="n">
        <f aca="false">V1575*$M1575</f>
        <v>0</v>
      </c>
      <c r="X1575" s="28"/>
      <c r="Y1575" s="28" t="n">
        <f aca="false">X1575*$M1575</f>
        <v>0</v>
      </c>
      <c r="Z1575" s="28"/>
      <c r="AA1575" s="28" t="n">
        <f aca="false">Z1575*$M1575</f>
        <v>0</v>
      </c>
      <c r="AB1575" s="28"/>
      <c r="AC1575" s="28" t="n">
        <f aca="false">AB1575*$M1575</f>
        <v>0</v>
      </c>
      <c r="AD1575" s="28"/>
      <c r="AE1575" s="28" t="n">
        <f aca="false">AD1575*$M1575</f>
        <v>0</v>
      </c>
      <c r="AF1575" s="28"/>
      <c r="AG1575" s="28" t="n">
        <f aca="false">AF1575*$M1575</f>
        <v>0</v>
      </c>
      <c r="AH1575" s="28"/>
      <c r="AI1575" s="28" t="n">
        <f aca="false">AH1575*$M1575</f>
        <v>0</v>
      </c>
      <c r="AJ1575" s="28"/>
      <c r="AK1575" s="28" t="n">
        <f aca="false">AJ1575*$M1575</f>
        <v>0</v>
      </c>
      <c r="AL1575" s="28" t="n">
        <f aca="false">107571/100</f>
        <v>1075.71</v>
      </c>
      <c r="AM1575" s="28" t="n">
        <v>64543</v>
      </c>
      <c r="AN1575" s="28"/>
      <c r="AO1575" s="28" t="n">
        <f aca="false">AN1575*$M1575</f>
        <v>0</v>
      </c>
      <c r="AP1575" s="28"/>
      <c r="AQ1575" s="28" t="n">
        <f aca="false">AP1575*$M1575</f>
        <v>0</v>
      </c>
      <c r="AR1575" s="28"/>
      <c r="AS1575" s="28" t="n">
        <f aca="false">AR1575*$M1575</f>
        <v>0</v>
      </c>
      <c r="AT1575" s="28"/>
      <c r="AU1575" s="28" t="n">
        <f aca="false">AT1575*$M1575</f>
        <v>0</v>
      </c>
      <c r="AV1575" s="28"/>
      <c r="AW1575" s="28" t="n">
        <f aca="false">AV1575*$M1575</f>
        <v>0</v>
      </c>
      <c r="AX1575" s="28"/>
      <c r="AY1575" s="28" t="n">
        <f aca="false">AX1575*$M1575</f>
        <v>0</v>
      </c>
      <c r="AZ1575" s="30" t="n">
        <f aca="false">125071/100</f>
        <v>1250.71</v>
      </c>
      <c r="BA1575" s="11" t="n">
        <v>75043</v>
      </c>
      <c r="BB1575" s="31" t="n">
        <f aca="false">SUM(Q1575,S1575,U1575,W1575,Y1575,AA1575,AC1575,AE1575,AG1575,AI1575,AK1575,AM1575,AO1575,AQ1575,AS1575,AU1575,AW1575,AY1575)</f>
        <v>75043</v>
      </c>
      <c r="BC1575" s="28" t="n">
        <f aca="false">BA1575-BB1575</f>
        <v>0</v>
      </c>
      <c r="BD1575" s="32" t="n">
        <f aca="false">SUM(P1575,R1575,T1575,V1575,X1575,Z1575,AB1575,AD1575,AF1575,AH1575,AJ1575,AL1575,AN1575,AP1575,AR1575,AT1575,AV1575,AX1575)</f>
        <v>1250.71</v>
      </c>
      <c r="BE1575" s="33" t="n">
        <f aca="false">AZ1575-BD1575</f>
        <v>0</v>
      </c>
      <c r="BF1575" s="34" t="n">
        <f aca="false">BD1575*M1575</f>
        <v>75042.6</v>
      </c>
      <c r="BG1575" s="35" t="n">
        <f aca="false">BA1575-BF1575</f>
        <v>0.399999999994179</v>
      </c>
      <c r="BH1575" s="19" t="str">
        <f aca="false">IF(BG1575=0,"",IF(BG1575&lt;&gt;BA1575,"erreur de calcul",IF(BD1575&lt;&gt;0,"pas de prix",IF(M1575&lt;&gt; 0,"pas de quantité","pas de prix, ni de quantité"))))</f>
        <v>erreur de calcul</v>
      </c>
      <c r="BI1575" s="19"/>
    </row>
    <row r="1576" customFormat="false" ht="15" hidden="false" customHeight="false" outlineLevel="0" collapsed="false">
      <c r="A1576" s="0" t="n">
        <v>6</v>
      </c>
      <c r="B1576" s="8" t="s">
        <v>24</v>
      </c>
      <c r="C1576" s="9" t="s">
        <v>25</v>
      </c>
      <c r="D1576" s="9" t="s">
        <v>26</v>
      </c>
      <c r="E1576" s="10" t="n">
        <v>1789</v>
      </c>
      <c r="F1576" s="9" t="s">
        <v>27</v>
      </c>
      <c r="G1576" s="9" t="s">
        <v>27</v>
      </c>
      <c r="H1576" s="11" t="n">
        <v>23</v>
      </c>
      <c r="I1576" s="11" t="s">
        <v>248</v>
      </c>
      <c r="J1576" s="14" t="n">
        <v>30</v>
      </c>
      <c r="K1576" s="14"/>
      <c r="L1576" s="16"/>
      <c r="M1576" s="27" t="n">
        <f aca="false">J1576+(K1576/20)+(L1576/240)</f>
        <v>30</v>
      </c>
      <c r="N1576" s="17" t="s">
        <v>64</v>
      </c>
      <c r="O1576" s="11"/>
      <c r="P1576" s="28"/>
      <c r="Q1576" s="28" t="n">
        <f aca="false">P1576*$M1576</f>
        <v>0</v>
      </c>
      <c r="R1576" s="28"/>
      <c r="S1576" s="28" t="n">
        <f aca="false">R1576*$M1576</f>
        <v>0</v>
      </c>
      <c r="T1576" s="28"/>
      <c r="U1576" s="28" t="n">
        <f aca="false">T1576*$M1576</f>
        <v>0</v>
      </c>
      <c r="V1576" s="28" t="n">
        <f aca="false">8491/100</f>
        <v>84.91</v>
      </c>
      <c r="W1576" s="28" t="n">
        <v>2547</v>
      </c>
      <c r="X1576" s="28"/>
      <c r="Y1576" s="28" t="n">
        <f aca="false">X1576*$M1576</f>
        <v>0</v>
      </c>
      <c r="Z1576" s="28"/>
      <c r="AA1576" s="28" t="n">
        <f aca="false">Z1576*$M1576</f>
        <v>0</v>
      </c>
      <c r="AB1576" s="28"/>
      <c r="AC1576" s="28" t="n">
        <f aca="false">AB1576*$M1576</f>
        <v>0</v>
      </c>
      <c r="AD1576" s="28"/>
      <c r="AE1576" s="28" t="n">
        <f aca="false">AD1576*$M1576</f>
        <v>0</v>
      </c>
      <c r="AF1576" s="28"/>
      <c r="AG1576" s="28" t="n">
        <f aca="false">AF1576*$M1576</f>
        <v>0</v>
      </c>
      <c r="AH1576" s="28"/>
      <c r="AI1576" s="28" t="n">
        <f aca="false">AH1576*$M1576</f>
        <v>0</v>
      </c>
      <c r="AJ1576" s="28"/>
      <c r="AK1576" s="28" t="n">
        <f aca="false">AJ1576*$M1576</f>
        <v>0</v>
      </c>
      <c r="AL1576" s="28"/>
      <c r="AM1576" s="28" t="n">
        <f aca="false">AL1576*$M1576</f>
        <v>0</v>
      </c>
      <c r="AN1576" s="28"/>
      <c r="AO1576" s="28" t="n">
        <f aca="false">AN1576*$M1576</f>
        <v>0</v>
      </c>
      <c r="AP1576" s="28"/>
      <c r="AQ1576" s="28" t="n">
        <f aca="false">AP1576*$M1576</f>
        <v>0</v>
      </c>
      <c r="AR1576" s="28"/>
      <c r="AS1576" s="28" t="n">
        <f aca="false">AR1576*$M1576</f>
        <v>0</v>
      </c>
      <c r="AT1576" s="28"/>
      <c r="AU1576" s="28" t="n">
        <f aca="false">AT1576*$M1576</f>
        <v>0</v>
      </c>
      <c r="AV1576" s="28"/>
      <c r="AW1576" s="28" t="n">
        <f aca="false">AV1576*$M1576</f>
        <v>0</v>
      </c>
      <c r="AX1576" s="28"/>
      <c r="AY1576" s="28" t="n">
        <f aca="false">AX1576*$M1576</f>
        <v>0</v>
      </c>
      <c r="AZ1576" s="30" t="n">
        <f aca="false">8491/100</f>
        <v>84.91</v>
      </c>
      <c r="BA1576" s="11" t="n">
        <v>2547</v>
      </c>
      <c r="BB1576" s="31" t="n">
        <f aca="false">SUM(Q1576,S1576,U1576,W1576,Y1576,AA1576,AC1576,AE1576,AG1576,AI1576,AK1576,AM1576,AO1576,AQ1576,AS1576,AU1576,AW1576,AY1576)</f>
        <v>2547</v>
      </c>
      <c r="BC1576" s="28" t="n">
        <f aca="false">BA1576-BB1576</f>
        <v>0</v>
      </c>
      <c r="BD1576" s="32" t="n">
        <f aca="false">SUM(P1576,R1576,T1576,V1576,X1576,Z1576,AB1576,AD1576,AF1576,AH1576,AJ1576,AL1576,AN1576,AP1576,AR1576,AT1576,AV1576,AX1576)</f>
        <v>84.91</v>
      </c>
      <c r="BE1576" s="33" t="n">
        <f aca="false">AZ1576-BD1576</f>
        <v>0</v>
      </c>
      <c r="BF1576" s="34" t="n">
        <f aca="false">BD1576*M1576</f>
        <v>2547.3</v>
      </c>
      <c r="BG1576" s="35" t="n">
        <f aca="false">BA1576-BF1576</f>
        <v>-0.299999999999727</v>
      </c>
      <c r="BH1576" s="19" t="str">
        <f aca="false">IF(BG1576=0,"",IF(BG1576&lt;&gt;BA1576,"erreur de calcul",IF(BD1576&lt;&gt;0,"pas de prix",IF(M1576&lt;&gt; 0,"pas de quantité","pas de prix, ni de quantité"))))</f>
        <v>erreur de calcul</v>
      </c>
      <c r="BI1576" s="19"/>
    </row>
    <row r="1577" customFormat="false" ht="15" hidden="false" customHeight="false" outlineLevel="0" collapsed="false">
      <c r="A1577" s="0" t="n">
        <v>7</v>
      </c>
      <c r="B1577" s="8" t="s">
        <v>24</v>
      </c>
      <c r="C1577" s="9" t="s">
        <v>25</v>
      </c>
      <c r="D1577" s="9" t="s">
        <v>26</v>
      </c>
      <c r="E1577" s="10" t="n">
        <v>1789</v>
      </c>
      <c r="F1577" s="9" t="s">
        <v>27</v>
      </c>
      <c r="G1577" s="9" t="s">
        <v>27</v>
      </c>
      <c r="H1577" s="11" t="n">
        <v>23</v>
      </c>
      <c r="I1577" s="11" t="s">
        <v>249</v>
      </c>
      <c r="J1577" s="14" t="n">
        <v>27</v>
      </c>
      <c r="K1577" s="14"/>
      <c r="L1577" s="16"/>
      <c r="M1577" s="27" t="n">
        <f aca="false">J1577+(K1577/20)+(L1577/240)</f>
        <v>27</v>
      </c>
      <c r="N1577" s="17" t="s">
        <v>64</v>
      </c>
      <c r="O1577" s="11"/>
      <c r="P1577" s="28"/>
      <c r="Q1577" s="28" t="n">
        <f aca="false">P1577*$M1577</f>
        <v>0</v>
      </c>
      <c r="R1577" s="28"/>
      <c r="S1577" s="28" t="n">
        <f aca="false">R1577*$M1577</f>
        <v>0</v>
      </c>
      <c r="T1577" s="28"/>
      <c r="U1577" s="28" t="n">
        <f aca="false">T1577*$M1577</f>
        <v>0</v>
      </c>
      <c r="V1577" s="28"/>
      <c r="W1577" s="28" t="n">
        <f aca="false">V1577*$M1577</f>
        <v>0</v>
      </c>
      <c r="X1577" s="28"/>
      <c r="Y1577" s="28" t="n">
        <f aca="false">X1577*$M1577</f>
        <v>0</v>
      </c>
      <c r="Z1577" s="28"/>
      <c r="AA1577" s="28" t="n">
        <f aca="false">Z1577*$M1577</f>
        <v>0</v>
      </c>
      <c r="AB1577" s="28"/>
      <c r="AC1577" s="28" t="n">
        <f aca="false">AB1577*$M1577</f>
        <v>0</v>
      </c>
      <c r="AD1577" s="28"/>
      <c r="AE1577" s="28" t="n">
        <f aca="false">AD1577*$M1577</f>
        <v>0</v>
      </c>
      <c r="AF1577" s="28"/>
      <c r="AG1577" s="28" t="n">
        <f aca="false">AF1577*$M1577</f>
        <v>0</v>
      </c>
      <c r="AH1577" s="28"/>
      <c r="AI1577" s="28" t="n">
        <f aca="false">AH1577*$M1577</f>
        <v>0</v>
      </c>
      <c r="AJ1577" s="28" t="n">
        <f aca="false">168254/100</f>
        <v>1682.54</v>
      </c>
      <c r="AK1577" s="28" t="n">
        <v>45428</v>
      </c>
      <c r="AL1577" s="28"/>
      <c r="AM1577" s="28" t="n">
        <f aca="false">AL1577*$M1577</f>
        <v>0</v>
      </c>
      <c r="AN1577" s="28"/>
      <c r="AO1577" s="28" t="n">
        <f aca="false">AN1577*$M1577</f>
        <v>0</v>
      </c>
      <c r="AP1577" s="28"/>
      <c r="AQ1577" s="28" t="n">
        <f aca="false">AP1577*$M1577</f>
        <v>0</v>
      </c>
      <c r="AR1577" s="28"/>
      <c r="AS1577" s="28" t="n">
        <f aca="false">AR1577*$M1577</f>
        <v>0</v>
      </c>
      <c r="AT1577" s="28"/>
      <c r="AU1577" s="28" t="n">
        <f aca="false">AT1577*$M1577</f>
        <v>0</v>
      </c>
      <c r="AV1577" s="28"/>
      <c r="AW1577" s="28" t="n">
        <f aca="false">AV1577*$M1577</f>
        <v>0</v>
      </c>
      <c r="AX1577" s="28"/>
      <c r="AY1577" s="28" t="n">
        <f aca="false">AX1577*$M1577</f>
        <v>0</v>
      </c>
      <c r="AZ1577" s="30" t="n">
        <f aca="false">168254/100</f>
        <v>1682.54</v>
      </c>
      <c r="BA1577" s="11" t="n">
        <v>45428</v>
      </c>
      <c r="BB1577" s="31" t="n">
        <f aca="false">SUM(Q1577,S1577,U1577,W1577,Y1577,AA1577,AC1577,AE1577,AG1577,AI1577,AK1577,AM1577,AO1577,AQ1577,AS1577,AU1577,AW1577,AY1577)</f>
        <v>45428</v>
      </c>
      <c r="BC1577" s="28" t="n">
        <f aca="false">BA1577-BB1577</f>
        <v>0</v>
      </c>
      <c r="BD1577" s="32" t="n">
        <f aca="false">SUM(P1577,R1577,T1577,V1577,X1577,Z1577,AB1577,AD1577,AF1577,AH1577,AJ1577,AL1577,AN1577,AP1577,AR1577,AT1577,AV1577,AX1577)</f>
        <v>1682.54</v>
      </c>
      <c r="BE1577" s="33" t="n">
        <f aca="false">AZ1577-BD1577</f>
        <v>0</v>
      </c>
      <c r="BF1577" s="34" t="n">
        <f aca="false">BD1577*M1577</f>
        <v>45428.58</v>
      </c>
      <c r="BG1577" s="35" t="n">
        <f aca="false">BA1577-BF1577</f>
        <v>-0.580000000001746</v>
      </c>
      <c r="BH1577" s="19" t="str">
        <f aca="false">IF(BG1577=0,"",IF(BG1577&lt;&gt;BA1577,"erreur de calcul",IF(BD1577&lt;&gt;0,"pas de prix",IF(M1577&lt;&gt; 0,"pas de quantité","pas de prix, ni de quantité"))))</f>
        <v>erreur de calcul</v>
      </c>
      <c r="BI1577" s="19"/>
    </row>
    <row r="1578" customFormat="false" ht="15" hidden="false" customHeight="false" outlineLevel="0" collapsed="false">
      <c r="A1578" s="0" t="n">
        <v>8</v>
      </c>
      <c r="B1578" s="8" t="s">
        <v>24</v>
      </c>
      <c r="C1578" s="9" t="s">
        <v>25</v>
      </c>
      <c r="D1578" s="9" t="s">
        <v>26</v>
      </c>
      <c r="E1578" s="10" t="n">
        <v>1789</v>
      </c>
      <c r="F1578" s="9" t="s">
        <v>27</v>
      </c>
      <c r="G1578" s="9" t="s">
        <v>27</v>
      </c>
      <c r="H1578" s="11" t="n">
        <v>23</v>
      </c>
      <c r="I1578" s="11" t="s">
        <v>250</v>
      </c>
      <c r="J1578" s="14" t="n">
        <v>27</v>
      </c>
      <c r="K1578" s="14"/>
      <c r="L1578" s="16"/>
      <c r="M1578" s="27" t="n">
        <f aca="false">J1578+(K1578/20)+(L1578/240)</f>
        <v>27</v>
      </c>
      <c r="N1578" s="17" t="s">
        <v>64</v>
      </c>
      <c r="O1578" s="11"/>
      <c r="P1578" s="28"/>
      <c r="Q1578" s="28" t="n">
        <f aca="false">P1578*$M1578</f>
        <v>0</v>
      </c>
      <c r="R1578" s="28"/>
      <c r="S1578" s="28" t="n">
        <f aca="false">R1578*$M1578</f>
        <v>0</v>
      </c>
      <c r="T1578" s="28"/>
      <c r="U1578" s="28" t="n">
        <f aca="false">T1578*$M1578</f>
        <v>0</v>
      </c>
      <c r="V1578" s="28"/>
      <c r="W1578" s="28" t="n">
        <f aca="false">V1578*$M1578</f>
        <v>0</v>
      </c>
      <c r="X1578" s="28"/>
      <c r="Y1578" s="28" t="n">
        <f aca="false">X1578*$M1578</f>
        <v>0</v>
      </c>
      <c r="Z1578" s="28"/>
      <c r="AA1578" s="28" t="n">
        <f aca="false">Z1578*$M1578</f>
        <v>0</v>
      </c>
      <c r="AB1578" s="28"/>
      <c r="AC1578" s="28" t="n">
        <f aca="false">AB1578*$M1578</f>
        <v>0</v>
      </c>
      <c r="AD1578" s="28"/>
      <c r="AE1578" s="28" t="n">
        <f aca="false">AD1578*$M1578</f>
        <v>0</v>
      </c>
      <c r="AF1578" s="28"/>
      <c r="AG1578" s="28" t="n">
        <f aca="false">AF1578*$M1578</f>
        <v>0</v>
      </c>
      <c r="AH1578" s="28"/>
      <c r="AI1578" s="28" t="n">
        <f aca="false">AH1578*$M1578</f>
        <v>0</v>
      </c>
      <c r="AJ1578" s="28"/>
      <c r="AK1578" s="28" t="n">
        <f aca="false">AJ1578*$M1578</f>
        <v>0</v>
      </c>
      <c r="AL1578" s="28" t="n">
        <f aca="false">4108/100</f>
        <v>41.08</v>
      </c>
      <c r="AM1578" s="28" t="n">
        <v>1109</v>
      </c>
      <c r="AN1578" s="28"/>
      <c r="AO1578" s="28" t="n">
        <f aca="false">AN1578*$M1578</f>
        <v>0</v>
      </c>
      <c r="AP1578" s="28"/>
      <c r="AQ1578" s="28" t="n">
        <f aca="false">AP1578*$M1578</f>
        <v>0</v>
      </c>
      <c r="AR1578" s="28" t="n">
        <f aca="false">37084/100</f>
        <v>370.84</v>
      </c>
      <c r="AS1578" s="36" t="n">
        <v>9963</v>
      </c>
      <c r="AT1578" s="28"/>
      <c r="AU1578" s="28" t="n">
        <f aca="false">AT1578*$M1578</f>
        <v>0</v>
      </c>
      <c r="AV1578" s="28"/>
      <c r="AW1578" s="28" t="n">
        <f aca="false">AV1578*$M1578</f>
        <v>0</v>
      </c>
      <c r="AX1578" s="28"/>
      <c r="AY1578" s="28" t="n">
        <f aca="false">AX1578*$M1578</f>
        <v>0</v>
      </c>
      <c r="AZ1578" s="30" t="n">
        <f aca="false">41192/100</f>
        <v>411.92</v>
      </c>
      <c r="BA1578" s="11" t="n">
        <v>11072</v>
      </c>
      <c r="BB1578" s="31" t="n">
        <f aca="false">SUM(Q1578,S1578,U1578,W1578,Y1578,AA1578,AC1578,AE1578,AG1578,AI1578,AK1578,AM1578,AO1578,AQ1578,AS1578,AU1578,AW1578,AY1578)</f>
        <v>11072</v>
      </c>
      <c r="BC1578" s="28" t="n">
        <f aca="false">BA1578-BB1578</f>
        <v>0</v>
      </c>
      <c r="BD1578" s="32" t="n">
        <f aca="false">SUM(P1578,R1578,T1578,V1578,X1578,Z1578,AB1578,AD1578,AF1578,AH1578,AJ1578,AL1578,AN1578,AP1578,AR1578,AT1578,AV1578,AX1578)</f>
        <v>411.92</v>
      </c>
      <c r="BE1578" s="33" t="n">
        <f aca="false">AZ1578-BD1578</f>
        <v>0</v>
      </c>
      <c r="BF1578" s="34" t="n">
        <f aca="false">BD1578*M1578</f>
        <v>11121.84</v>
      </c>
      <c r="BG1578" s="35" t="n">
        <f aca="false">BA1578-BF1578</f>
        <v>-49.8399999999983</v>
      </c>
      <c r="BH1578" s="19" t="str">
        <f aca="false">IF(BG1578=0,"",IF(BG1578&lt;&gt;BA1578,"erreur de calcul",IF(BD1578&lt;&gt;0,"pas de prix",IF(M1578&lt;&gt; 0,"pas de quantité","pas de prix, ni de quantité"))))</f>
        <v>erreur de calcul</v>
      </c>
      <c r="BI1578" s="19"/>
    </row>
    <row r="1579" customFormat="false" ht="15" hidden="false" customHeight="false" outlineLevel="0" collapsed="false">
      <c r="A1579" s="0" t="n">
        <v>9</v>
      </c>
      <c r="B1579" s="8" t="s">
        <v>24</v>
      </c>
      <c r="C1579" s="9" t="s">
        <v>25</v>
      </c>
      <c r="D1579" s="9" t="s">
        <v>26</v>
      </c>
      <c r="E1579" s="10" t="n">
        <v>1789</v>
      </c>
      <c r="F1579" s="9" t="s">
        <v>27</v>
      </c>
      <c r="G1579" s="9" t="s">
        <v>27</v>
      </c>
      <c r="H1579" s="11" t="n">
        <v>23</v>
      </c>
      <c r="I1579" s="11" t="s">
        <v>251</v>
      </c>
      <c r="J1579" s="14" t="n">
        <v>6</v>
      </c>
      <c r="K1579" s="14"/>
      <c r="L1579" s="16"/>
      <c r="M1579" s="27" t="n">
        <f aca="false">J1579+(K1579/20)+(L1579/240)</f>
        <v>6</v>
      </c>
      <c r="N1579" s="17" t="s">
        <v>64</v>
      </c>
      <c r="O1579" s="11"/>
      <c r="P1579" s="28"/>
      <c r="Q1579" s="28" t="n">
        <f aca="false">P1579*$M1579</f>
        <v>0</v>
      </c>
      <c r="R1579" s="28"/>
      <c r="S1579" s="28" t="n">
        <f aca="false">R1579*$M1579</f>
        <v>0</v>
      </c>
      <c r="T1579" s="28"/>
      <c r="U1579" s="28" t="n">
        <f aca="false">T1579*$M1579</f>
        <v>0</v>
      </c>
      <c r="V1579" s="28"/>
      <c r="W1579" s="28" t="n">
        <f aca="false">V1579*$M1579</f>
        <v>0</v>
      </c>
      <c r="X1579" s="28"/>
      <c r="Y1579" s="28" t="n">
        <f aca="false">X1579*$M1579</f>
        <v>0</v>
      </c>
      <c r="Z1579" s="28"/>
      <c r="AA1579" s="28" t="n">
        <f aca="false">Z1579*$M1579</f>
        <v>0</v>
      </c>
      <c r="AB1579" s="28"/>
      <c r="AC1579" s="28" t="n">
        <f aca="false">AB1579*$M1579</f>
        <v>0</v>
      </c>
      <c r="AD1579" s="28"/>
      <c r="AE1579" s="28" t="n">
        <f aca="false">AD1579*$M1579</f>
        <v>0</v>
      </c>
      <c r="AF1579" s="28"/>
      <c r="AG1579" s="28" t="n">
        <f aca="false">AF1579*$M1579</f>
        <v>0</v>
      </c>
      <c r="AH1579" s="28"/>
      <c r="AI1579" s="28" t="n">
        <f aca="false">AH1579*$M1579</f>
        <v>0</v>
      </c>
      <c r="AJ1579" s="28"/>
      <c r="AK1579" s="28" t="n">
        <f aca="false">AJ1579*$M1579</f>
        <v>0</v>
      </c>
      <c r="AL1579" s="28"/>
      <c r="AM1579" s="28" t="n">
        <f aca="false">AL1579*$M1579</f>
        <v>0</v>
      </c>
      <c r="AN1579" s="28"/>
      <c r="AO1579" s="28" t="n">
        <f aca="false">AN1579*$M1579</f>
        <v>0</v>
      </c>
      <c r="AP1579" s="28"/>
      <c r="AQ1579" s="28" t="n">
        <f aca="false">AP1579*$M1579</f>
        <v>0</v>
      </c>
      <c r="AR1579" s="28"/>
      <c r="AS1579" s="28" t="n">
        <f aca="false">AR1579*$M1579</f>
        <v>0</v>
      </c>
      <c r="AT1579" s="28"/>
      <c r="AU1579" s="28" t="n">
        <f aca="false">AT1579*$M1579</f>
        <v>0</v>
      </c>
      <c r="AV1579" s="28"/>
      <c r="AW1579" s="28" t="n">
        <f aca="false">AV1579*$M1579</f>
        <v>0</v>
      </c>
      <c r="AX1579" s="28"/>
      <c r="AY1579" s="28" t="n">
        <f aca="false">AX1579*$M1579</f>
        <v>0</v>
      </c>
      <c r="AZ1579" s="30"/>
      <c r="BA1579" s="11"/>
      <c r="BB1579" s="31" t="n">
        <f aca="false">SUM(Q1579,S1579,U1579,W1579,Y1579,AA1579,AC1579,AE1579,AG1579,AI1579,AK1579,AM1579,AO1579,AQ1579,AS1579,AU1579,AW1579,AY1579)</f>
        <v>0</v>
      </c>
      <c r="BC1579" s="28" t="n">
        <f aca="false">BA1579-BB1579</f>
        <v>0</v>
      </c>
      <c r="BD1579" s="32" t="n">
        <f aca="false">SUM(P1579,R1579,T1579,V1579,X1579,Z1579,AB1579,AD1579,AF1579,AH1579,AJ1579,AL1579,AN1579,AP1579,AR1579,AT1579,AV1579,AX1579)</f>
        <v>0</v>
      </c>
      <c r="BE1579" s="33" t="n">
        <f aca="false">AZ1579-BD1579</f>
        <v>0</v>
      </c>
      <c r="BF1579" s="34" t="n">
        <f aca="false">BD1579*M1579</f>
        <v>0</v>
      </c>
      <c r="BG1579" s="35" t="n">
        <f aca="false">BA1579-BF1579</f>
        <v>0</v>
      </c>
      <c r="BH1579" s="19" t="str">
        <f aca="false">IF(BG1579=0,"",IF(BG1579&lt;&gt;BA1579,"erreur de calcul",IF(BD1579&lt;&gt;0,"pas de prix",IF(M1579&lt;&gt; 0,"pas de quantité","pas de prix, ni de quantité"))))</f>
        <v/>
      </c>
      <c r="BI1579" s="19"/>
    </row>
    <row r="1580" customFormat="false" ht="15" hidden="false" customHeight="false" outlineLevel="0" collapsed="false">
      <c r="A1580" s="0" t="n">
        <v>10</v>
      </c>
      <c r="B1580" s="8" t="s">
        <v>24</v>
      </c>
      <c r="C1580" s="9" t="s">
        <v>25</v>
      </c>
      <c r="D1580" s="9" t="s">
        <v>26</v>
      </c>
      <c r="E1580" s="10" t="n">
        <v>1789</v>
      </c>
      <c r="F1580" s="9" t="s">
        <v>27</v>
      </c>
      <c r="G1580" s="9" t="s">
        <v>27</v>
      </c>
      <c r="H1580" s="11" t="n">
        <v>23</v>
      </c>
      <c r="I1580" s="11" t="s">
        <v>252</v>
      </c>
      <c r="J1580" s="14" t="n">
        <v>240</v>
      </c>
      <c r="K1580" s="14"/>
      <c r="L1580" s="16"/>
      <c r="M1580" s="27" t="n">
        <f aca="false">J1580+(K1580/20)+(L1580/240)</f>
        <v>240</v>
      </c>
      <c r="N1580" s="17" t="s">
        <v>64</v>
      </c>
      <c r="O1580" s="11"/>
      <c r="P1580" s="28"/>
      <c r="Q1580" s="28" t="n">
        <f aca="false">P1580*$M1580</f>
        <v>0</v>
      </c>
      <c r="R1580" s="28"/>
      <c r="S1580" s="28" t="n">
        <f aca="false">R1580*$M1580</f>
        <v>0</v>
      </c>
      <c r="T1580" s="28" t="n">
        <f aca="false">4204/100</f>
        <v>42.04</v>
      </c>
      <c r="U1580" s="28" t="n">
        <v>10090</v>
      </c>
      <c r="V1580" s="28" t="n">
        <f aca="false">2799/100</f>
        <v>27.99</v>
      </c>
      <c r="W1580" s="28" t="n">
        <v>6718</v>
      </c>
      <c r="X1580" s="28" t="n">
        <f aca="false">2536/100</f>
        <v>25.36</v>
      </c>
      <c r="Y1580" s="28" t="n">
        <v>6086</v>
      </c>
      <c r="Z1580" s="28" t="n">
        <f aca="false">3393/100</f>
        <v>33.93</v>
      </c>
      <c r="AA1580" s="28" t="n">
        <v>8143</v>
      </c>
      <c r="AB1580" s="28" t="n">
        <f aca="false">242/100</f>
        <v>2.42</v>
      </c>
      <c r="AC1580" s="28" t="n">
        <v>581</v>
      </c>
      <c r="AD1580" s="28"/>
      <c r="AE1580" s="28" t="n">
        <f aca="false">AD1580*$M1580</f>
        <v>0</v>
      </c>
      <c r="AF1580" s="28"/>
      <c r="AG1580" s="28" t="n">
        <f aca="false">AF1580*$M1580</f>
        <v>0</v>
      </c>
      <c r="AH1580" s="28"/>
      <c r="AI1580" s="28" t="n">
        <f aca="false">AH1580*$M1580</f>
        <v>0</v>
      </c>
      <c r="AJ1580" s="28"/>
      <c r="AK1580" s="28" t="n">
        <f aca="false">AJ1580*$M1580</f>
        <v>0</v>
      </c>
      <c r="AL1580" s="28"/>
      <c r="AM1580" s="28" t="n">
        <f aca="false">AL1580*$M1580</f>
        <v>0</v>
      </c>
      <c r="AN1580" s="28"/>
      <c r="AO1580" s="28" t="n">
        <f aca="false">AN1580*$M1580</f>
        <v>0</v>
      </c>
      <c r="AP1580" s="28"/>
      <c r="AQ1580" s="28" t="n">
        <f aca="false">AP1580*$M1580</f>
        <v>0</v>
      </c>
      <c r="AR1580" s="28"/>
      <c r="AS1580" s="28" t="n">
        <f aca="false">AR1580*$M1580</f>
        <v>0</v>
      </c>
      <c r="AT1580" s="28"/>
      <c r="AU1580" s="28" t="n">
        <f aca="false">AT1580*$M1580</f>
        <v>0</v>
      </c>
      <c r="AV1580" s="28"/>
      <c r="AW1580" s="28" t="n">
        <f aca="false">AV1580*$M1580</f>
        <v>0</v>
      </c>
      <c r="AX1580" s="28"/>
      <c r="AY1580" s="28" t="n">
        <f aca="false">AX1580*$M1580</f>
        <v>0</v>
      </c>
      <c r="AZ1580" s="30" t="n">
        <f aca="false">13174/100</f>
        <v>131.74</v>
      </c>
      <c r="BA1580" s="11" t="n">
        <v>31618</v>
      </c>
      <c r="BB1580" s="31" t="n">
        <f aca="false">SUM(Q1580,S1580,U1580,W1580,Y1580,AA1580,AC1580,AE1580,AG1580,AI1580,AK1580,AM1580,AO1580,AQ1580,AS1580,AU1580,AW1580,AY1580)</f>
        <v>31618</v>
      </c>
      <c r="BC1580" s="28" t="n">
        <f aca="false">BA1580-BB1580</f>
        <v>0</v>
      </c>
      <c r="BD1580" s="32" t="n">
        <f aca="false">SUM(P1580,R1580,T1580,V1580,X1580,Z1580,AB1580,AD1580,AF1580,AH1580,AJ1580,AL1580,AN1580,AP1580,AR1580,AT1580,AV1580,AX1580)</f>
        <v>131.74</v>
      </c>
      <c r="BE1580" s="33" t="n">
        <f aca="false">AZ1580-BD1580</f>
        <v>0</v>
      </c>
      <c r="BF1580" s="34" t="n">
        <f aca="false">BD1580*M1580</f>
        <v>31617.6</v>
      </c>
      <c r="BG1580" s="35" t="n">
        <f aca="false">BA1580-BF1580</f>
        <v>0.399999999997817</v>
      </c>
      <c r="BH1580" s="19" t="str">
        <f aca="false">IF(BG1580=0,"",IF(BG1580&lt;&gt;BA1580,"erreur de calcul",IF(BD1580&lt;&gt;0,"pas de prix",IF(M1580&lt;&gt; 0,"pas de quantité","pas de prix, ni de quantité"))))</f>
        <v>erreur de calcul</v>
      </c>
      <c r="BI1580" s="19"/>
    </row>
    <row r="1581" customFormat="false" ht="15" hidden="false" customHeight="false" outlineLevel="0" collapsed="false">
      <c r="A1581" s="0" t="n">
        <v>11</v>
      </c>
      <c r="B1581" s="8" t="s">
        <v>24</v>
      </c>
      <c r="C1581" s="9" t="s">
        <v>25</v>
      </c>
      <c r="D1581" s="9" t="s">
        <v>26</v>
      </c>
      <c r="E1581" s="10" t="n">
        <v>1789</v>
      </c>
      <c r="F1581" s="9" t="s">
        <v>27</v>
      </c>
      <c r="G1581" s="9" t="s">
        <v>27</v>
      </c>
      <c r="H1581" s="11" t="n">
        <v>23</v>
      </c>
      <c r="I1581" s="11" t="s">
        <v>253</v>
      </c>
      <c r="J1581" s="14" t="n">
        <v>190</v>
      </c>
      <c r="K1581" s="14"/>
      <c r="L1581" s="16"/>
      <c r="M1581" s="27" t="n">
        <f aca="false">J1581+(K1581/20)+(L1581/240)</f>
        <v>190</v>
      </c>
      <c r="N1581" s="17" t="s">
        <v>64</v>
      </c>
      <c r="O1581" s="11"/>
      <c r="P1581" s="28"/>
      <c r="Q1581" s="28" t="n">
        <f aca="false">P1581*$M1581</f>
        <v>0</v>
      </c>
      <c r="R1581" s="28"/>
      <c r="S1581" s="28" t="n">
        <f aca="false">R1581*$M1581</f>
        <v>0</v>
      </c>
      <c r="T1581" s="28"/>
      <c r="U1581" s="28" t="n">
        <f aca="false">T1581*$M1581</f>
        <v>0</v>
      </c>
      <c r="V1581" s="28" t="n">
        <f aca="false">14963/100</f>
        <v>149.63</v>
      </c>
      <c r="W1581" s="36" t="n">
        <v>28420</v>
      </c>
      <c r="X1581" s="28"/>
      <c r="Y1581" s="28" t="n">
        <f aca="false">X1581*$M1581</f>
        <v>0</v>
      </c>
      <c r="Z1581" s="28"/>
      <c r="AA1581" s="28" t="n">
        <f aca="false">Z1581*$M1581</f>
        <v>0</v>
      </c>
      <c r="AB1581" s="28"/>
      <c r="AC1581" s="28" t="n">
        <f aca="false">AB1581*$M1581</f>
        <v>0</v>
      </c>
      <c r="AD1581" s="28"/>
      <c r="AE1581" s="28" t="n">
        <f aca="false">AD1581*$M1581</f>
        <v>0</v>
      </c>
      <c r="AF1581" s="28"/>
      <c r="AG1581" s="28" t="n">
        <f aca="false">AF1581*$M1581</f>
        <v>0</v>
      </c>
      <c r="AH1581" s="28"/>
      <c r="AI1581" s="28" t="n">
        <f aca="false">AH1581*$M1581</f>
        <v>0</v>
      </c>
      <c r="AJ1581" s="28"/>
      <c r="AK1581" s="28" t="n">
        <f aca="false">AJ1581*$M1581</f>
        <v>0</v>
      </c>
      <c r="AL1581" s="28"/>
      <c r="AM1581" s="28" t="n">
        <f aca="false">AL1581*$M1581</f>
        <v>0</v>
      </c>
      <c r="AN1581" s="28"/>
      <c r="AO1581" s="28" t="n">
        <f aca="false">AN1581*$M1581</f>
        <v>0</v>
      </c>
      <c r="AP1581" s="28"/>
      <c r="AQ1581" s="28" t="n">
        <f aca="false">AP1581*$M1581</f>
        <v>0</v>
      </c>
      <c r="AR1581" s="28"/>
      <c r="AS1581" s="28" t="n">
        <f aca="false">AR1581*$M1581</f>
        <v>0</v>
      </c>
      <c r="AT1581" s="28"/>
      <c r="AU1581" s="28" t="n">
        <f aca="false">AT1581*$M1581</f>
        <v>0</v>
      </c>
      <c r="AV1581" s="28"/>
      <c r="AW1581" s="28" t="n">
        <f aca="false">AV1581*$M1581</f>
        <v>0</v>
      </c>
      <c r="AX1581" s="28"/>
      <c r="AY1581" s="28" t="n">
        <f aca="false">AX1581*$M1581</f>
        <v>0</v>
      </c>
      <c r="AZ1581" s="30" t="n">
        <f aca="false">14963/100</f>
        <v>149.63</v>
      </c>
      <c r="BA1581" s="11" t="n">
        <v>28420</v>
      </c>
      <c r="BB1581" s="31" t="n">
        <f aca="false">SUM(Q1581,S1581,U1581,W1581,Y1581,AA1581,AC1581,AE1581,AG1581,AI1581,AK1581,AM1581,AO1581,AQ1581,AS1581,AU1581,AW1581,AY1581)</f>
        <v>28420</v>
      </c>
      <c r="BC1581" s="28" t="n">
        <f aca="false">BA1581-BB1581</f>
        <v>0</v>
      </c>
      <c r="BD1581" s="32" t="n">
        <f aca="false">SUM(P1581,R1581,T1581,V1581,X1581,Z1581,AB1581,AD1581,AF1581,AH1581,AJ1581,AL1581,AN1581,AP1581,AR1581,AT1581,AV1581,AX1581)</f>
        <v>149.63</v>
      </c>
      <c r="BE1581" s="33" t="n">
        <f aca="false">AZ1581-BD1581</f>
        <v>0</v>
      </c>
      <c r="BF1581" s="34" t="n">
        <f aca="false">BD1581*M1581</f>
        <v>28429.7</v>
      </c>
      <c r="BG1581" s="35" t="n">
        <f aca="false">BA1581-BF1581</f>
        <v>-9.70000000000073</v>
      </c>
      <c r="BH1581" s="19" t="str">
        <f aca="false">IF(BG1581=0,"",IF(BG1581&lt;&gt;BA1581,"erreur de calcul",IF(BD1581&lt;&gt;0,"pas de prix",IF(M1581&lt;&gt; 0,"pas de quantité","pas de prix, ni de quantité"))))</f>
        <v>erreur de calcul</v>
      </c>
      <c r="BI1581" s="19"/>
    </row>
    <row r="1582" customFormat="false" ht="15" hidden="false" customHeight="false" outlineLevel="0" collapsed="false">
      <c r="A1582" s="0" t="n">
        <v>12</v>
      </c>
      <c r="B1582" s="8" t="s">
        <v>24</v>
      </c>
      <c r="C1582" s="9" t="s">
        <v>25</v>
      </c>
      <c r="D1582" s="9" t="s">
        <v>26</v>
      </c>
      <c r="E1582" s="10" t="n">
        <v>1789</v>
      </c>
      <c r="F1582" s="9" t="s">
        <v>27</v>
      </c>
      <c r="G1582" s="9" t="s">
        <v>27</v>
      </c>
      <c r="H1582" s="11" t="n">
        <v>23</v>
      </c>
      <c r="I1582" s="11" t="s">
        <v>254</v>
      </c>
      <c r="J1582" s="14" t="n">
        <v>14</v>
      </c>
      <c r="K1582" s="14"/>
      <c r="L1582" s="16"/>
      <c r="M1582" s="27" t="n">
        <f aca="false">J1582+(K1582/20)+(L1582/240)</f>
        <v>14</v>
      </c>
      <c r="N1582" s="17" t="s">
        <v>64</v>
      </c>
      <c r="O1582" s="11"/>
      <c r="P1582" s="28"/>
      <c r="Q1582" s="28" t="n">
        <f aca="false">P1582*$M1582</f>
        <v>0</v>
      </c>
      <c r="R1582" s="28"/>
      <c r="S1582" s="28" t="n">
        <f aca="false">R1582*$M1582</f>
        <v>0</v>
      </c>
      <c r="T1582" s="28"/>
      <c r="U1582" s="28" t="n">
        <f aca="false">T1582*$M1582</f>
        <v>0</v>
      </c>
      <c r="V1582" s="28"/>
      <c r="W1582" s="28" t="n">
        <f aca="false">V1582*$M1582</f>
        <v>0</v>
      </c>
      <c r="X1582" s="28" t="n">
        <f aca="false">445483/100</f>
        <v>4454.83</v>
      </c>
      <c r="Y1582" s="28" t="n">
        <v>62368</v>
      </c>
      <c r="Z1582" s="28"/>
      <c r="AA1582" s="28" t="n">
        <f aca="false">Z1582*$M1582</f>
        <v>0</v>
      </c>
      <c r="AB1582" s="28"/>
      <c r="AC1582" s="28" t="n">
        <f aca="false">AB1582*$M1582</f>
        <v>0</v>
      </c>
      <c r="AD1582" s="28"/>
      <c r="AE1582" s="28" t="n">
        <f aca="false">AD1582*$M1582</f>
        <v>0</v>
      </c>
      <c r="AF1582" s="28"/>
      <c r="AG1582" s="28" t="n">
        <f aca="false">AF1582*$M1582</f>
        <v>0</v>
      </c>
      <c r="AH1582" s="28"/>
      <c r="AI1582" s="28" t="n">
        <f aca="false">AH1582*$M1582</f>
        <v>0</v>
      </c>
      <c r="AJ1582" s="28"/>
      <c r="AK1582" s="28" t="n">
        <f aca="false">AJ1582*$M1582</f>
        <v>0</v>
      </c>
      <c r="AL1582" s="28"/>
      <c r="AM1582" s="28" t="n">
        <f aca="false">AL1582*$M1582</f>
        <v>0</v>
      </c>
      <c r="AN1582" s="28"/>
      <c r="AO1582" s="28" t="n">
        <f aca="false">AN1582*$M1582</f>
        <v>0</v>
      </c>
      <c r="AP1582" s="28"/>
      <c r="AQ1582" s="28" t="n">
        <f aca="false">AP1582*$M1582</f>
        <v>0</v>
      </c>
      <c r="AR1582" s="28"/>
      <c r="AS1582" s="28" t="n">
        <f aca="false">AR1582*$M1582</f>
        <v>0</v>
      </c>
      <c r="AT1582" s="28"/>
      <c r="AU1582" s="28" t="n">
        <f aca="false">AT1582*$M1582</f>
        <v>0</v>
      </c>
      <c r="AV1582" s="28"/>
      <c r="AW1582" s="28" t="n">
        <f aca="false">AV1582*$M1582</f>
        <v>0</v>
      </c>
      <c r="AX1582" s="28"/>
      <c r="AY1582" s="28" t="n">
        <f aca="false">AX1582*$M1582</f>
        <v>0</v>
      </c>
      <c r="AZ1582" s="30" t="n">
        <f aca="false">445483/100</f>
        <v>4454.83</v>
      </c>
      <c r="BA1582" s="11" t="n">
        <v>62368</v>
      </c>
      <c r="BB1582" s="31" t="n">
        <f aca="false">SUM(Q1582,S1582,U1582,W1582,Y1582,AA1582,AC1582,AE1582,AG1582,AI1582,AK1582,AM1582,AO1582,AQ1582,AS1582,AU1582,AW1582,AY1582)</f>
        <v>62368</v>
      </c>
      <c r="BC1582" s="28" t="n">
        <f aca="false">BA1582-BB1582</f>
        <v>0</v>
      </c>
      <c r="BD1582" s="32" t="n">
        <f aca="false">SUM(P1582,R1582,T1582,V1582,X1582,Z1582,AB1582,AD1582,AF1582,AH1582,AJ1582,AL1582,AN1582,AP1582,AR1582,AT1582,AV1582,AX1582)</f>
        <v>4454.83</v>
      </c>
      <c r="BE1582" s="33" t="n">
        <f aca="false">AZ1582-BD1582</f>
        <v>0</v>
      </c>
      <c r="BF1582" s="34" t="n">
        <f aca="false">BD1582*M1582</f>
        <v>62367.62</v>
      </c>
      <c r="BG1582" s="35" t="n">
        <f aca="false">BA1582-BF1582</f>
        <v>0.380000000004657</v>
      </c>
      <c r="BH1582" s="19" t="str">
        <f aca="false">IF(BG1582=0,"",IF(BG1582&lt;&gt;BA1582,"erreur de calcul",IF(BD1582&lt;&gt;0,"pas de prix",IF(M1582&lt;&gt; 0,"pas de quantité","pas de prix, ni de quantité"))))</f>
        <v>erreur de calcul</v>
      </c>
      <c r="BI1582" s="19"/>
    </row>
    <row r="1583" customFormat="false" ht="15" hidden="false" customHeight="false" outlineLevel="0" collapsed="false">
      <c r="A1583" s="0" t="n">
        <v>13</v>
      </c>
      <c r="B1583" s="8" t="s">
        <v>24</v>
      </c>
      <c r="C1583" s="9" t="s">
        <v>25</v>
      </c>
      <c r="D1583" s="9" t="s">
        <v>26</v>
      </c>
      <c r="E1583" s="10" t="n">
        <v>1789</v>
      </c>
      <c r="F1583" s="9" t="s">
        <v>27</v>
      </c>
      <c r="G1583" s="9" t="s">
        <v>27</v>
      </c>
      <c r="H1583" s="11" t="n">
        <v>23</v>
      </c>
      <c r="I1583" s="11" t="s">
        <v>255</v>
      </c>
      <c r="J1583" s="14" t="n">
        <v>6</v>
      </c>
      <c r="K1583" s="14"/>
      <c r="L1583" s="16"/>
      <c r="M1583" s="27" t="n">
        <f aca="false">J1583+(K1583/20)+(L1583/240)</f>
        <v>6</v>
      </c>
      <c r="N1583" s="17" t="s">
        <v>64</v>
      </c>
      <c r="O1583" s="11"/>
      <c r="P1583" s="28"/>
      <c r="Q1583" s="28" t="n">
        <f aca="false">P1583*$M1583</f>
        <v>0</v>
      </c>
      <c r="R1583" s="28"/>
      <c r="S1583" s="28" t="n">
        <f aca="false">R1583*$M1583</f>
        <v>0</v>
      </c>
      <c r="T1583" s="28"/>
      <c r="U1583" s="28" t="n">
        <f aca="false">T1583*$M1583</f>
        <v>0</v>
      </c>
      <c r="V1583" s="28" t="n">
        <f aca="false">8263/100</f>
        <v>82.63</v>
      </c>
      <c r="W1583" s="28" t="n">
        <v>496</v>
      </c>
      <c r="X1583" s="28"/>
      <c r="Y1583" s="28" t="n">
        <f aca="false">X1583*$M1583</f>
        <v>0</v>
      </c>
      <c r="Z1583" s="28" t="n">
        <f aca="false">62695/100</f>
        <v>626.95</v>
      </c>
      <c r="AA1583" s="28" t="n">
        <v>3762</v>
      </c>
      <c r="AB1583" s="28"/>
      <c r="AC1583" s="28" t="n">
        <f aca="false">AB1583*$M1583</f>
        <v>0</v>
      </c>
      <c r="AD1583" s="28"/>
      <c r="AE1583" s="28" t="n">
        <f aca="false">AD1583*$M1583</f>
        <v>0</v>
      </c>
      <c r="AF1583" s="28"/>
      <c r="AG1583" s="28" t="n">
        <f aca="false">AF1583*$M1583</f>
        <v>0</v>
      </c>
      <c r="AH1583" s="28"/>
      <c r="AI1583" s="28" t="n">
        <f aca="false">AH1583*$M1583</f>
        <v>0</v>
      </c>
      <c r="AJ1583" s="28"/>
      <c r="AK1583" s="28" t="n">
        <f aca="false">AJ1583*$M1583</f>
        <v>0</v>
      </c>
      <c r="AL1583" s="28"/>
      <c r="AM1583" s="28" t="n">
        <f aca="false">AL1583*$M1583</f>
        <v>0</v>
      </c>
      <c r="AN1583" s="28"/>
      <c r="AO1583" s="28" t="n">
        <f aca="false">AN1583*$M1583</f>
        <v>0</v>
      </c>
      <c r="AP1583" s="28"/>
      <c r="AQ1583" s="28" t="n">
        <f aca="false">AP1583*$M1583</f>
        <v>0</v>
      </c>
      <c r="AR1583" s="28"/>
      <c r="AS1583" s="28" t="n">
        <f aca="false">AR1583*$M1583</f>
        <v>0</v>
      </c>
      <c r="AT1583" s="28"/>
      <c r="AU1583" s="28" t="n">
        <f aca="false">AT1583*$M1583</f>
        <v>0</v>
      </c>
      <c r="AV1583" s="28"/>
      <c r="AW1583" s="28" t="n">
        <f aca="false">AV1583*$M1583</f>
        <v>0</v>
      </c>
      <c r="AX1583" s="28"/>
      <c r="AY1583" s="28" t="n">
        <f aca="false">AX1583*$M1583</f>
        <v>0</v>
      </c>
      <c r="AZ1583" s="30" t="n">
        <f aca="false">70958/100</f>
        <v>709.58</v>
      </c>
      <c r="BA1583" s="11" t="n">
        <v>4258</v>
      </c>
      <c r="BB1583" s="31" t="n">
        <f aca="false">SUM(Q1583,S1583,U1583,W1583,Y1583,AA1583,AC1583,AE1583,AG1583,AI1583,AK1583,AM1583,AO1583,AQ1583,AS1583,AU1583,AW1583,AY1583)</f>
        <v>4258</v>
      </c>
      <c r="BC1583" s="28" t="n">
        <f aca="false">BA1583-BB1583</f>
        <v>0</v>
      </c>
      <c r="BD1583" s="32" t="n">
        <f aca="false">SUM(P1583,R1583,T1583,V1583,X1583,Z1583,AB1583,AD1583,AF1583,AH1583,AJ1583,AL1583,AN1583,AP1583,AR1583,AT1583,AV1583,AX1583)</f>
        <v>709.58</v>
      </c>
      <c r="BE1583" s="33" t="n">
        <f aca="false">AZ1583-BD1583</f>
        <v>0</v>
      </c>
      <c r="BF1583" s="34" t="n">
        <f aca="false">BD1583*M1583</f>
        <v>4257.48</v>
      </c>
      <c r="BG1583" s="35" t="n">
        <f aca="false">BA1583-BF1583</f>
        <v>0.519999999999527</v>
      </c>
      <c r="BH1583" s="19" t="str">
        <f aca="false">IF(BG1583=0,"",IF(BG1583&lt;&gt;BA1583,"erreur de calcul",IF(BD1583&lt;&gt;0,"pas de prix",IF(M1583&lt;&gt; 0,"pas de quantité","pas de prix, ni de quantité"))))</f>
        <v>erreur de calcul</v>
      </c>
      <c r="BI1583" s="19"/>
    </row>
    <row r="1584" customFormat="false" ht="15" hidden="false" customHeight="false" outlineLevel="0" collapsed="false">
      <c r="A1584" s="0" t="n">
        <v>14</v>
      </c>
      <c r="B1584" s="8" t="s">
        <v>24</v>
      </c>
      <c r="C1584" s="9" t="s">
        <v>25</v>
      </c>
      <c r="D1584" s="9" t="s">
        <v>26</v>
      </c>
      <c r="E1584" s="10" t="n">
        <v>1789</v>
      </c>
      <c r="F1584" s="9" t="s">
        <v>27</v>
      </c>
      <c r="G1584" s="9" t="s">
        <v>27</v>
      </c>
      <c r="H1584" s="11" t="n">
        <v>23</v>
      </c>
      <c r="I1584" s="11" t="s">
        <v>256</v>
      </c>
      <c r="J1584" s="14" t="n">
        <v>30</v>
      </c>
      <c r="K1584" s="14"/>
      <c r="L1584" s="16"/>
      <c r="M1584" s="27" t="n">
        <f aca="false">J1584+(K1584/20)+(L1584/240)</f>
        <v>30</v>
      </c>
      <c r="N1584" s="17" t="s">
        <v>64</v>
      </c>
      <c r="O1584" s="11"/>
      <c r="P1584" s="28" t="n">
        <f aca="false">1584/100</f>
        <v>15.84</v>
      </c>
      <c r="Q1584" s="28" t="n">
        <v>475</v>
      </c>
      <c r="R1584" s="28"/>
      <c r="S1584" s="28" t="n">
        <f aca="false">R1584*$M1584</f>
        <v>0</v>
      </c>
      <c r="T1584" s="28" t="n">
        <f aca="false">78834/100</f>
        <v>788.34</v>
      </c>
      <c r="U1584" s="28" t="n">
        <v>23650</v>
      </c>
      <c r="V1584" s="28"/>
      <c r="W1584" s="28" t="n">
        <f aca="false">V1584*$M1584</f>
        <v>0</v>
      </c>
      <c r="X1584" s="28"/>
      <c r="Y1584" s="28" t="n">
        <f aca="false">X1584*$M1584</f>
        <v>0</v>
      </c>
      <c r="Z1584" s="28"/>
      <c r="AA1584" s="28" t="n">
        <f aca="false">Z1584*$M1584</f>
        <v>0</v>
      </c>
      <c r="AB1584" s="28"/>
      <c r="AC1584" s="28" t="n">
        <f aca="false">AB1584*$M1584</f>
        <v>0</v>
      </c>
      <c r="AD1584" s="28"/>
      <c r="AE1584" s="28" t="n">
        <f aca="false">AD1584*$M1584</f>
        <v>0</v>
      </c>
      <c r="AF1584" s="28"/>
      <c r="AG1584" s="28" t="n">
        <f aca="false">AF1584*$M1584</f>
        <v>0</v>
      </c>
      <c r="AH1584" s="28"/>
      <c r="AI1584" s="28" t="n">
        <f aca="false">AH1584*$M1584</f>
        <v>0</v>
      </c>
      <c r="AJ1584" s="28"/>
      <c r="AK1584" s="28" t="n">
        <f aca="false">AJ1584*$M1584</f>
        <v>0</v>
      </c>
      <c r="AL1584" s="28"/>
      <c r="AM1584" s="28" t="n">
        <f aca="false">AL1584*$M1584</f>
        <v>0</v>
      </c>
      <c r="AN1584" s="28"/>
      <c r="AO1584" s="28" t="n">
        <f aca="false">AN1584*$M1584</f>
        <v>0</v>
      </c>
      <c r="AP1584" s="28"/>
      <c r="AQ1584" s="28" t="n">
        <f aca="false">AP1584*$M1584</f>
        <v>0</v>
      </c>
      <c r="AR1584" s="28"/>
      <c r="AS1584" s="28" t="n">
        <f aca="false">AR1584*$M1584</f>
        <v>0</v>
      </c>
      <c r="AT1584" s="28"/>
      <c r="AU1584" s="28" t="n">
        <f aca="false">AT1584*$M1584</f>
        <v>0</v>
      </c>
      <c r="AV1584" s="28"/>
      <c r="AW1584" s="28" t="n">
        <f aca="false">AV1584*$M1584</f>
        <v>0</v>
      </c>
      <c r="AX1584" s="28"/>
      <c r="AY1584" s="28" t="n">
        <f aca="false">AX1584*$M1584</f>
        <v>0</v>
      </c>
      <c r="AZ1584" s="30" t="n">
        <f aca="false">80418/100</f>
        <v>804.18</v>
      </c>
      <c r="BA1584" s="11" t="n">
        <v>24125</v>
      </c>
      <c r="BB1584" s="31" t="n">
        <f aca="false">SUM(Q1584,S1584,U1584,W1584,Y1584,AA1584,AC1584,AE1584,AG1584,AI1584,AK1584,AM1584,AO1584,AQ1584,AS1584,AU1584,AW1584,AY1584)</f>
        <v>24125</v>
      </c>
      <c r="BC1584" s="28" t="n">
        <f aca="false">BA1584-BB1584</f>
        <v>0</v>
      </c>
      <c r="BD1584" s="32" t="n">
        <f aca="false">SUM(P1584,R1584,T1584,V1584,X1584,Z1584,AB1584,AD1584,AF1584,AH1584,AJ1584,AL1584,AN1584,AP1584,AR1584,AT1584,AV1584,AX1584)</f>
        <v>804.18</v>
      </c>
      <c r="BE1584" s="33" t="n">
        <f aca="false">AZ1584-BD1584</f>
        <v>0</v>
      </c>
      <c r="BF1584" s="34" t="n">
        <f aca="false">BD1584*M1584</f>
        <v>24125.4</v>
      </c>
      <c r="BG1584" s="35" t="n">
        <f aca="false">BA1584-BF1584</f>
        <v>-0.400000000001455</v>
      </c>
      <c r="BH1584" s="19" t="str">
        <f aca="false">IF(BG1584=0,"",IF(BG1584&lt;&gt;BA1584,"erreur de calcul",IF(BD1584&lt;&gt;0,"pas de prix",IF(M1584&lt;&gt; 0,"pas de quantité","pas de prix, ni de quantité"))))</f>
        <v>erreur de calcul</v>
      </c>
      <c r="BI1584" s="19"/>
    </row>
    <row r="1585" customFormat="false" ht="15" hidden="false" customHeight="false" outlineLevel="0" collapsed="false">
      <c r="A1585" s="0" t="n">
        <v>15</v>
      </c>
      <c r="B1585" s="8" t="s">
        <v>24</v>
      </c>
      <c r="C1585" s="9" t="s">
        <v>25</v>
      </c>
      <c r="D1585" s="9" t="s">
        <v>26</v>
      </c>
      <c r="E1585" s="10" t="n">
        <v>1789</v>
      </c>
      <c r="F1585" s="9" t="s">
        <v>27</v>
      </c>
      <c r="G1585" s="9" t="s">
        <v>27</v>
      </c>
      <c r="H1585" s="11" t="n">
        <v>23</v>
      </c>
      <c r="I1585" s="11" t="s">
        <v>257</v>
      </c>
      <c r="J1585" s="14" t="n">
        <v>40</v>
      </c>
      <c r="K1585" s="14"/>
      <c r="L1585" s="16"/>
      <c r="M1585" s="27" t="n">
        <f aca="false">J1585+(K1585/20)+(L1585/240)</f>
        <v>40</v>
      </c>
      <c r="N1585" s="17" t="s">
        <v>64</v>
      </c>
      <c r="O1585" s="11"/>
      <c r="P1585" s="28"/>
      <c r="Q1585" s="28" t="n">
        <f aca="false">P1585*$M1585</f>
        <v>0</v>
      </c>
      <c r="R1585" s="28"/>
      <c r="S1585" s="28" t="n">
        <f aca="false">R1585*$M1585</f>
        <v>0</v>
      </c>
      <c r="T1585" s="28"/>
      <c r="U1585" s="28" t="n">
        <f aca="false">T1585*$M1585</f>
        <v>0</v>
      </c>
      <c r="V1585" s="28"/>
      <c r="W1585" s="28" t="n">
        <f aca="false">V1585*$M1585</f>
        <v>0</v>
      </c>
      <c r="X1585" s="28"/>
      <c r="Y1585" s="28" t="n">
        <f aca="false">X1585*$M1585</f>
        <v>0</v>
      </c>
      <c r="Z1585" s="28"/>
      <c r="AA1585" s="28" t="n">
        <f aca="false">Z1585*$M1585</f>
        <v>0</v>
      </c>
      <c r="AB1585" s="28"/>
      <c r="AC1585" s="28" t="n">
        <f aca="false">AB1585*$M1585</f>
        <v>0</v>
      </c>
      <c r="AD1585" s="28"/>
      <c r="AE1585" s="28" t="n">
        <f aca="false">AD1585*$M1585</f>
        <v>0</v>
      </c>
      <c r="AF1585" s="28"/>
      <c r="AG1585" s="28" t="n">
        <f aca="false">AF1585*$M1585</f>
        <v>0</v>
      </c>
      <c r="AH1585" s="28"/>
      <c r="AI1585" s="28" t="n">
        <f aca="false">AH1585*$M1585</f>
        <v>0</v>
      </c>
      <c r="AJ1585" s="28" t="n">
        <f aca="false">784564/100</f>
        <v>7845.64</v>
      </c>
      <c r="AK1585" s="28" t="n">
        <v>313826</v>
      </c>
      <c r="AL1585" s="28" t="n">
        <f aca="false">33500/100</f>
        <v>335</v>
      </c>
      <c r="AM1585" s="28" t="n">
        <v>13400</v>
      </c>
      <c r="AN1585" s="28"/>
      <c r="AO1585" s="28" t="n">
        <f aca="false">AN1585*$M1585</f>
        <v>0</v>
      </c>
      <c r="AP1585" s="28"/>
      <c r="AQ1585" s="28" t="n">
        <f aca="false">AP1585*$M1585</f>
        <v>0</v>
      </c>
      <c r="AR1585" s="28"/>
      <c r="AS1585" s="28" t="n">
        <f aca="false">AR1585*$M1585</f>
        <v>0</v>
      </c>
      <c r="AT1585" s="28"/>
      <c r="AU1585" s="28" t="n">
        <f aca="false">AT1585*$M1585</f>
        <v>0</v>
      </c>
      <c r="AV1585" s="28"/>
      <c r="AW1585" s="28" t="n">
        <f aca="false">AV1585*$M1585</f>
        <v>0</v>
      </c>
      <c r="AX1585" s="28"/>
      <c r="AY1585" s="28" t="n">
        <f aca="false">AX1585*$M1585</f>
        <v>0</v>
      </c>
      <c r="AZ1585" s="30" t="n">
        <f aca="false">818064/100</f>
        <v>8180.64</v>
      </c>
      <c r="BA1585" s="11" t="n">
        <v>327226</v>
      </c>
      <c r="BB1585" s="31" t="n">
        <f aca="false">SUM(Q1585,S1585,U1585,W1585,Y1585,AA1585,AC1585,AE1585,AG1585,AI1585,AK1585,AM1585,AO1585,AQ1585,AS1585,AU1585,AW1585,AY1585)</f>
        <v>327226</v>
      </c>
      <c r="BC1585" s="28" t="n">
        <f aca="false">BA1585-BB1585</f>
        <v>0</v>
      </c>
      <c r="BD1585" s="32" t="n">
        <f aca="false">SUM(P1585,R1585,T1585,V1585,X1585,Z1585,AB1585,AD1585,AF1585,AH1585,AJ1585,AL1585,AN1585,AP1585,AR1585,AT1585,AV1585,AX1585)</f>
        <v>8180.64</v>
      </c>
      <c r="BE1585" s="33" t="n">
        <f aca="false">AZ1585-BD1585</f>
        <v>0</v>
      </c>
      <c r="BF1585" s="34" t="n">
        <f aca="false">BD1585*M1585</f>
        <v>327225.6</v>
      </c>
      <c r="BG1585" s="35" t="n">
        <f aca="false">BA1585-BF1585</f>
        <v>0.399999999965075</v>
      </c>
      <c r="BH1585" s="19" t="str">
        <f aca="false">IF(BG1585=0,"",IF(BG1585&lt;&gt;BA1585,"erreur de calcul",IF(BD1585&lt;&gt;0,"pas de prix",IF(M1585&lt;&gt; 0,"pas de quantité","pas de prix, ni de quantité"))))</f>
        <v>erreur de calcul</v>
      </c>
      <c r="BI1585" s="19"/>
    </row>
    <row r="1586" customFormat="false" ht="15" hidden="false" customHeight="false" outlineLevel="0" collapsed="false">
      <c r="A1586" s="0" t="n">
        <v>16</v>
      </c>
      <c r="B1586" s="8" t="s">
        <v>24</v>
      </c>
      <c r="C1586" s="9" t="s">
        <v>25</v>
      </c>
      <c r="D1586" s="9" t="s">
        <v>26</v>
      </c>
      <c r="E1586" s="10" t="n">
        <v>1789</v>
      </c>
      <c r="F1586" s="9" t="s">
        <v>27</v>
      </c>
      <c r="G1586" s="9" t="s">
        <v>27</v>
      </c>
      <c r="H1586" s="11" t="n">
        <v>23</v>
      </c>
      <c r="I1586" s="11" t="s">
        <v>258</v>
      </c>
      <c r="J1586" s="14" t="n">
        <v>75</v>
      </c>
      <c r="K1586" s="14"/>
      <c r="L1586" s="16"/>
      <c r="M1586" s="27" t="n">
        <f aca="false">J1586+(K1586/20)+(L1586/240)</f>
        <v>75</v>
      </c>
      <c r="N1586" s="17" t="s">
        <v>64</v>
      </c>
      <c r="O1586" s="11"/>
      <c r="P1586" s="28"/>
      <c r="Q1586" s="28" t="n">
        <f aca="false">P1586*$M1586</f>
        <v>0</v>
      </c>
      <c r="R1586" s="28"/>
      <c r="S1586" s="28" t="n">
        <f aca="false">R1586*$M1586</f>
        <v>0</v>
      </c>
      <c r="T1586" s="28" t="n">
        <f aca="false">1000/100</f>
        <v>10</v>
      </c>
      <c r="U1586" s="28" t="n">
        <v>750</v>
      </c>
      <c r="V1586" s="28" t="n">
        <f aca="false">17232/100</f>
        <v>172.32</v>
      </c>
      <c r="W1586" s="28" t="n">
        <v>12924</v>
      </c>
      <c r="X1586" s="28" t="n">
        <f aca="false">942/100</f>
        <v>9.42</v>
      </c>
      <c r="Y1586" s="28" t="n">
        <v>706</v>
      </c>
      <c r="Z1586" s="28"/>
      <c r="AA1586" s="28" t="n">
        <f aca="false">Z1586*$M1586</f>
        <v>0</v>
      </c>
      <c r="AB1586" s="28" t="n">
        <f aca="false">415/100</f>
        <v>4.15</v>
      </c>
      <c r="AC1586" s="28" t="n">
        <v>311</v>
      </c>
      <c r="AD1586" s="28"/>
      <c r="AE1586" s="28" t="n">
        <f aca="false">AD1586*$M1586</f>
        <v>0</v>
      </c>
      <c r="AF1586" s="28"/>
      <c r="AG1586" s="28" t="n">
        <f aca="false">AF1586*$M1586</f>
        <v>0</v>
      </c>
      <c r="AH1586" s="28"/>
      <c r="AI1586" s="28" t="n">
        <f aca="false">AH1586*$M1586</f>
        <v>0</v>
      </c>
      <c r="AJ1586" s="28"/>
      <c r="AK1586" s="28" t="n">
        <f aca="false">AJ1586*$M1586</f>
        <v>0</v>
      </c>
      <c r="AL1586" s="28"/>
      <c r="AM1586" s="28" t="n">
        <f aca="false">AL1586*$M1586</f>
        <v>0</v>
      </c>
      <c r="AN1586" s="28"/>
      <c r="AO1586" s="28" t="n">
        <f aca="false">AN1586*$M1586</f>
        <v>0</v>
      </c>
      <c r="AP1586" s="28"/>
      <c r="AQ1586" s="28" t="n">
        <f aca="false">AP1586*$M1586</f>
        <v>0</v>
      </c>
      <c r="AR1586" s="28"/>
      <c r="AS1586" s="28" t="n">
        <f aca="false">AR1586*$M1586</f>
        <v>0</v>
      </c>
      <c r="AT1586" s="28"/>
      <c r="AU1586" s="28" t="n">
        <f aca="false">AT1586*$M1586</f>
        <v>0</v>
      </c>
      <c r="AV1586" s="28"/>
      <c r="AW1586" s="28" t="n">
        <f aca="false">AV1586*$M1586</f>
        <v>0</v>
      </c>
      <c r="AX1586" s="28"/>
      <c r="AY1586" s="28" t="n">
        <f aca="false">AX1586*$M1586</f>
        <v>0</v>
      </c>
      <c r="AZ1586" s="30" t="n">
        <f aca="false">19589/100</f>
        <v>195.89</v>
      </c>
      <c r="BA1586" s="11" t="n">
        <v>14691</v>
      </c>
      <c r="BB1586" s="31" t="n">
        <f aca="false">SUM(Q1586,S1586,U1586,W1586,Y1586,AA1586,AC1586,AE1586,AG1586,AI1586,AK1586,AM1586,AO1586,AQ1586,AS1586,AU1586,AW1586,AY1586)</f>
        <v>14691</v>
      </c>
      <c r="BC1586" s="28" t="n">
        <f aca="false">BA1586-BB1586</f>
        <v>0</v>
      </c>
      <c r="BD1586" s="32" t="n">
        <f aca="false">SUM(P1586,R1586,T1586,V1586,X1586,Z1586,AB1586,AD1586,AF1586,AH1586,AJ1586,AL1586,AN1586,AP1586,AR1586,AT1586,AV1586,AX1586)</f>
        <v>195.89</v>
      </c>
      <c r="BE1586" s="33" t="n">
        <f aca="false">AZ1586-BD1586</f>
        <v>0</v>
      </c>
      <c r="BF1586" s="34" t="n">
        <f aca="false">BD1586*M1586</f>
        <v>14691.75</v>
      </c>
      <c r="BG1586" s="35" t="n">
        <f aca="false">BA1586-BF1586</f>
        <v>-0.749999999998181</v>
      </c>
      <c r="BH1586" s="19" t="str">
        <f aca="false">IF(BG1586=0,"",IF(BG1586&lt;&gt;BA1586,"erreur de calcul",IF(BD1586&lt;&gt;0,"pas de prix",IF(M1586&lt;&gt; 0,"pas de quantité","pas de prix, ni de quantité"))))</f>
        <v>erreur de calcul</v>
      </c>
      <c r="BI1586" s="19"/>
    </row>
    <row r="1587" customFormat="false" ht="15" hidden="false" customHeight="false" outlineLevel="0" collapsed="false">
      <c r="A1587" s="0" t="n">
        <v>17</v>
      </c>
      <c r="B1587" s="8" t="s">
        <v>24</v>
      </c>
      <c r="C1587" s="9" t="s">
        <v>25</v>
      </c>
      <c r="D1587" s="9" t="s">
        <v>26</v>
      </c>
      <c r="E1587" s="10" t="n">
        <v>1789</v>
      </c>
      <c r="F1587" s="9" t="s">
        <v>27</v>
      </c>
      <c r="G1587" s="9" t="s">
        <v>27</v>
      </c>
      <c r="H1587" s="11" t="n">
        <v>23</v>
      </c>
      <c r="I1587" s="11" t="s">
        <v>259</v>
      </c>
      <c r="J1587" s="14"/>
      <c r="K1587" s="14"/>
      <c r="L1587" s="16"/>
      <c r="M1587" s="27" t="n">
        <f aca="false">J1587+(K1587/20)+(L1587/240)</f>
        <v>0</v>
      </c>
      <c r="N1587" s="17"/>
      <c r="O1587" s="11"/>
      <c r="P1587" s="28"/>
      <c r="Q1587" s="28" t="n">
        <v>957</v>
      </c>
      <c r="R1587" s="28"/>
      <c r="S1587" s="28" t="n">
        <f aca="false">R1587*$M1587</f>
        <v>0</v>
      </c>
      <c r="T1587" s="28"/>
      <c r="U1587" s="28" t="n">
        <v>354</v>
      </c>
      <c r="V1587" s="28"/>
      <c r="W1587" s="28" t="n">
        <v>398</v>
      </c>
      <c r="X1587" s="28"/>
      <c r="Y1587" s="28" t="n">
        <v>685</v>
      </c>
      <c r="Z1587" s="28"/>
      <c r="AA1587" s="28" t="n">
        <v>120</v>
      </c>
      <c r="AB1587" s="28"/>
      <c r="AC1587" s="28" t="n">
        <v>2994</v>
      </c>
      <c r="AD1587" s="28"/>
      <c r="AE1587" s="28" t="n">
        <f aca="false">AD1587*$M1587</f>
        <v>0</v>
      </c>
      <c r="AF1587" s="28"/>
      <c r="AG1587" s="28" t="n">
        <f aca="false">AF1587*$M1587</f>
        <v>0</v>
      </c>
      <c r="AH1587" s="28"/>
      <c r="AI1587" s="28" t="n">
        <v>144</v>
      </c>
      <c r="AJ1587" s="28"/>
      <c r="AK1587" s="28" t="n">
        <f aca="false">AJ1587*$M1587</f>
        <v>0</v>
      </c>
      <c r="AL1587" s="28"/>
      <c r="AM1587" s="28" t="n">
        <f aca="false">AL1587*$M1587</f>
        <v>0</v>
      </c>
      <c r="AN1587" s="28"/>
      <c r="AO1587" s="28" t="n">
        <f aca="false">AN1587*$M1587</f>
        <v>0</v>
      </c>
      <c r="AP1587" s="28"/>
      <c r="AQ1587" s="28" t="n">
        <f aca="false">AP1587*$M1587</f>
        <v>0</v>
      </c>
      <c r="AR1587" s="28"/>
      <c r="AS1587" s="28" t="n">
        <f aca="false">AR1587*$M1587</f>
        <v>0</v>
      </c>
      <c r="AT1587" s="28"/>
      <c r="AU1587" s="28" t="n">
        <f aca="false">AT1587*$M1587</f>
        <v>0</v>
      </c>
      <c r="AV1587" s="28"/>
      <c r="AW1587" s="28" t="n">
        <f aca="false">AV1587*$M1587</f>
        <v>0</v>
      </c>
      <c r="AX1587" s="28"/>
      <c r="AY1587" s="28" t="n">
        <f aca="false">AX1587*$M1587</f>
        <v>0</v>
      </c>
      <c r="AZ1587" s="30"/>
      <c r="BA1587" s="11" t="n">
        <v>5652</v>
      </c>
      <c r="BB1587" s="31" t="n">
        <f aca="false">SUM(Q1587,S1587,U1587,W1587,Y1587,AA1587,AC1587,AE1587,AG1587,AI1587,AK1587,AM1587,AO1587,AQ1587,AS1587,AU1587,AW1587,AY1587)</f>
        <v>5652</v>
      </c>
      <c r="BC1587" s="28" t="n">
        <f aca="false">BA1587-BB1587</f>
        <v>0</v>
      </c>
      <c r="BD1587" s="32" t="n">
        <f aca="false">SUM(P1587,R1587,T1587,V1587,X1587,Z1587,AB1587,AD1587,AF1587,AH1587,AJ1587,AL1587,AN1587,AP1587,AR1587,AT1587,AV1587,AX1587)</f>
        <v>0</v>
      </c>
      <c r="BE1587" s="33" t="n">
        <f aca="false">AZ1587-BD1587</f>
        <v>0</v>
      </c>
      <c r="BF1587" s="34" t="n">
        <f aca="false">BD1587*M1587</f>
        <v>0</v>
      </c>
      <c r="BG1587" s="35" t="n">
        <f aca="false">BA1587-BF1587</f>
        <v>5652</v>
      </c>
      <c r="BH1587" s="19" t="str">
        <f aca="false">IF(BG1587=0,"",IF(BG1587&lt;&gt;BA1587,"erreur de calcul",IF(BD1587&lt;&gt;0,"pas de prix",IF(M1587&lt;&gt; 0,"pas de quantité","pas de prix, ni de quantité"))))</f>
        <v>pas de prix, ni de quantité</v>
      </c>
      <c r="BI1587" s="19"/>
    </row>
    <row r="1588" customFormat="false" ht="15" hidden="false" customHeight="false" outlineLevel="0" collapsed="false">
      <c r="A1588" s="0" t="n">
        <v>18</v>
      </c>
      <c r="B1588" s="8" t="s">
        <v>24</v>
      </c>
      <c r="C1588" s="9" t="s">
        <v>25</v>
      </c>
      <c r="D1588" s="9" t="s">
        <v>26</v>
      </c>
      <c r="E1588" s="10" t="n">
        <v>1789</v>
      </c>
      <c r="F1588" s="9" t="s">
        <v>27</v>
      </c>
      <c r="G1588" s="9" t="s">
        <v>27</v>
      </c>
      <c r="H1588" s="11" t="n">
        <v>23</v>
      </c>
      <c r="I1588" s="11" t="s">
        <v>260</v>
      </c>
      <c r="J1588" s="14" t="n">
        <v>88</v>
      </c>
      <c r="K1588" s="14"/>
      <c r="L1588" s="16"/>
      <c r="M1588" s="27" t="n">
        <f aca="false">J1588+(K1588/20)+(L1588/240)</f>
        <v>88</v>
      </c>
      <c r="N1588" s="17" t="s">
        <v>64</v>
      </c>
      <c r="O1588" s="11"/>
      <c r="P1588" s="28"/>
      <c r="Q1588" s="28" t="n">
        <f aca="false">P1588*$M1588</f>
        <v>0</v>
      </c>
      <c r="R1588" s="28"/>
      <c r="S1588" s="28" t="n">
        <f aca="false">R1588*$M1588</f>
        <v>0</v>
      </c>
      <c r="T1588" s="28"/>
      <c r="U1588" s="28" t="n">
        <f aca="false">T1588*$M1588</f>
        <v>0</v>
      </c>
      <c r="V1588" s="28" t="n">
        <f aca="false">21004/100</f>
        <v>210.04</v>
      </c>
      <c r="W1588" s="28" t="n">
        <v>18483</v>
      </c>
      <c r="X1588" s="28"/>
      <c r="Y1588" s="28" t="n">
        <f aca="false">X1588*$M1588</f>
        <v>0</v>
      </c>
      <c r="Z1588" s="28"/>
      <c r="AA1588" s="28" t="n">
        <f aca="false">Z1588*$M1588</f>
        <v>0</v>
      </c>
      <c r="AB1588" s="28"/>
      <c r="AC1588" s="28" t="n">
        <f aca="false">AB1588*$M1588</f>
        <v>0</v>
      </c>
      <c r="AD1588" s="28"/>
      <c r="AE1588" s="28" t="n">
        <f aca="false">AD1588*$M1588</f>
        <v>0</v>
      </c>
      <c r="AF1588" s="28"/>
      <c r="AG1588" s="28" t="n">
        <f aca="false">AF1588*$M1588</f>
        <v>0</v>
      </c>
      <c r="AH1588" s="28"/>
      <c r="AI1588" s="28" t="n">
        <f aca="false">AH1588*$M1588</f>
        <v>0</v>
      </c>
      <c r="AJ1588" s="28"/>
      <c r="AK1588" s="28" t="n">
        <f aca="false">AJ1588*$M1588</f>
        <v>0</v>
      </c>
      <c r="AL1588" s="28"/>
      <c r="AM1588" s="28" t="n">
        <f aca="false">AL1588*$M1588</f>
        <v>0</v>
      </c>
      <c r="AN1588" s="28"/>
      <c r="AO1588" s="28" t="n">
        <f aca="false">AN1588*$M1588</f>
        <v>0</v>
      </c>
      <c r="AP1588" s="28"/>
      <c r="AQ1588" s="28" t="n">
        <f aca="false">AP1588*$M1588</f>
        <v>0</v>
      </c>
      <c r="AR1588" s="28"/>
      <c r="AS1588" s="28" t="n">
        <f aca="false">AR1588*$M1588</f>
        <v>0</v>
      </c>
      <c r="AT1588" s="28"/>
      <c r="AU1588" s="28" t="n">
        <f aca="false">AT1588*$M1588</f>
        <v>0</v>
      </c>
      <c r="AV1588" s="28"/>
      <c r="AW1588" s="28" t="n">
        <f aca="false">AV1588*$M1588</f>
        <v>0</v>
      </c>
      <c r="AX1588" s="28"/>
      <c r="AY1588" s="28" t="n">
        <f aca="false">AX1588*$M1588</f>
        <v>0</v>
      </c>
      <c r="AZ1588" s="30" t="n">
        <f aca="false">21004/100</f>
        <v>210.04</v>
      </c>
      <c r="BA1588" s="11" t="n">
        <v>18483</v>
      </c>
      <c r="BB1588" s="31" t="n">
        <f aca="false">SUM(Q1588,S1588,U1588,W1588,Y1588,AA1588,AC1588,AE1588,AG1588,AI1588,AK1588,AM1588,AO1588,AQ1588,AS1588,AU1588,AW1588,AY1588)</f>
        <v>18483</v>
      </c>
      <c r="BC1588" s="28" t="n">
        <f aca="false">BA1588-BB1588</f>
        <v>0</v>
      </c>
      <c r="BD1588" s="32" t="n">
        <f aca="false">SUM(P1588,R1588,T1588,V1588,X1588,Z1588,AB1588,AD1588,AF1588,AH1588,AJ1588,AL1588,AN1588,AP1588,AR1588,AT1588,AV1588,AX1588)</f>
        <v>210.04</v>
      </c>
      <c r="BE1588" s="33" t="n">
        <f aca="false">AZ1588-BD1588</f>
        <v>0</v>
      </c>
      <c r="BF1588" s="34" t="n">
        <f aca="false">BD1588*M1588</f>
        <v>18483.52</v>
      </c>
      <c r="BG1588" s="35" t="n">
        <f aca="false">BA1588-BF1588</f>
        <v>-0.520000000000437</v>
      </c>
      <c r="BH1588" s="19" t="str">
        <f aca="false">IF(BG1588=0,"",IF(BG1588&lt;&gt;BA1588,"erreur de calcul",IF(BD1588&lt;&gt;0,"pas de prix",IF(M1588&lt;&gt; 0,"pas de quantité","pas de prix, ni de quantité"))))</f>
        <v>erreur de calcul</v>
      </c>
      <c r="BI1588" s="19"/>
    </row>
    <row r="1589" customFormat="false" ht="15" hidden="false" customHeight="false" outlineLevel="0" collapsed="false">
      <c r="A1589" s="0" t="n">
        <v>19</v>
      </c>
      <c r="B1589" s="8" t="s">
        <v>24</v>
      </c>
      <c r="C1589" s="9" t="s">
        <v>25</v>
      </c>
      <c r="D1589" s="9" t="s">
        <v>26</v>
      </c>
      <c r="E1589" s="10" t="n">
        <v>1789</v>
      </c>
      <c r="F1589" s="9" t="s">
        <v>27</v>
      </c>
      <c r="G1589" s="9" t="s">
        <v>27</v>
      </c>
      <c r="H1589" s="11" t="n">
        <v>23</v>
      </c>
      <c r="I1589" s="11" t="s">
        <v>261</v>
      </c>
      <c r="J1589" s="14" t="n">
        <v>35</v>
      </c>
      <c r="K1589" s="14"/>
      <c r="L1589" s="16"/>
      <c r="M1589" s="27" t="n">
        <f aca="false">J1589+(K1589/20)+(L1589/240)</f>
        <v>35</v>
      </c>
      <c r="N1589" s="17" t="s">
        <v>64</v>
      </c>
      <c r="O1589" s="11"/>
      <c r="P1589" s="28" t="n">
        <f aca="false">2877/100</f>
        <v>28.77</v>
      </c>
      <c r="Q1589" s="28" t="n">
        <v>1007</v>
      </c>
      <c r="R1589" s="28"/>
      <c r="S1589" s="28" t="n">
        <f aca="false">R1589*$M1589</f>
        <v>0</v>
      </c>
      <c r="T1589" s="28"/>
      <c r="U1589" s="28" t="n">
        <f aca="false">T1589*$M1589</f>
        <v>0</v>
      </c>
      <c r="V1589" s="28"/>
      <c r="W1589" s="28" t="n">
        <f aca="false">V1589*$M1589</f>
        <v>0</v>
      </c>
      <c r="X1589" s="28"/>
      <c r="Y1589" s="28" t="n">
        <f aca="false">X1589*$M1589</f>
        <v>0</v>
      </c>
      <c r="Z1589" s="28"/>
      <c r="AA1589" s="28" t="n">
        <f aca="false">Z1589*$M1589</f>
        <v>0</v>
      </c>
      <c r="AB1589" s="28"/>
      <c r="AC1589" s="28" t="n">
        <f aca="false">AB1589*$M1589</f>
        <v>0</v>
      </c>
      <c r="AD1589" s="28"/>
      <c r="AE1589" s="28" t="n">
        <f aca="false">AD1589*$M1589</f>
        <v>0</v>
      </c>
      <c r="AF1589" s="28"/>
      <c r="AG1589" s="28" t="n">
        <f aca="false">AF1589*$M1589</f>
        <v>0</v>
      </c>
      <c r="AH1589" s="28"/>
      <c r="AI1589" s="28" t="n">
        <f aca="false">AH1589*$M1589</f>
        <v>0</v>
      </c>
      <c r="AJ1589" s="28"/>
      <c r="AK1589" s="28" t="n">
        <f aca="false">AJ1589*$M1589</f>
        <v>0</v>
      </c>
      <c r="AL1589" s="28"/>
      <c r="AM1589" s="28" t="n">
        <f aca="false">AL1589*$M1589</f>
        <v>0</v>
      </c>
      <c r="AN1589" s="28"/>
      <c r="AO1589" s="28" t="n">
        <f aca="false">AN1589*$M1589</f>
        <v>0</v>
      </c>
      <c r="AP1589" s="28"/>
      <c r="AQ1589" s="28" t="n">
        <f aca="false">AP1589*$M1589</f>
        <v>0</v>
      </c>
      <c r="AR1589" s="28"/>
      <c r="AS1589" s="28" t="n">
        <f aca="false">AR1589*$M1589</f>
        <v>0</v>
      </c>
      <c r="AT1589" s="28"/>
      <c r="AU1589" s="28" t="n">
        <f aca="false">AT1589*$M1589</f>
        <v>0</v>
      </c>
      <c r="AV1589" s="28"/>
      <c r="AW1589" s="28" t="n">
        <f aca="false">AV1589*$M1589</f>
        <v>0</v>
      </c>
      <c r="AX1589" s="28"/>
      <c r="AY1589" s="28" t="n">
        <f aca="false">AX1589*$M1589</f>
        <v>0</v>
      </c>
      <c r="AZ1589" s="30" t="n">
        <f aca="false">2877/100</f>
        <v>28.77</v>
      </c>
      <c r="BA1589" s="11" t="n">
        <v>1007</v>
      </c>
      <c r="BB1589" s="31" t="n">
        <f aca="false">SUM(Q1589,S1589,U1589,W1589,Y1589,AA1589,AC1589,AE1589,AG1589,AI1589,AK1589,AM1589,AO1589,AQ1589,AS1589,AU1589,AW1589,AY1589)</f>
        <v>1007</v>
      </c>
      <c r="BC1589" s="28" t="n">
        <f aca="false">BA1589-BB1589</f>
        <v>0</v>
      </c>
      <c r="BD1589" s="32" t="n">
        <f aca="false">SUM(P1589,R1589,T1589,V1589,X1589,Z1589,AB1589,AD1589,AF1589,AH1589,AJ1589,AL1589,AN1589,AP1589,AR1589,AT1589,AV1589,AX1589)</f>
        <v>28.77</v>
      </c>
      <c r="BE1589" s="33" t="n">
        <f aca="false">AZ1589-BD1589</f>
        <v>0</v>
      </c>
      <c r="BF1589" s="34" t="n">
        <f aca="false">BD1589*M1589</f>
        <v>1006.95</v>
      </c>
      <c r="BG1589" s="35" t="n">
        <f aca="false">BA1589-BF1589</f>
        <v>0.0500000000000682</v>
      </c>
      <c r="BH1589" s="19" t="str">
        <f aca="false">IF(BG1589=0,"",IF(BG1589&lt;&gt;BA1589,"erreur de calcul",IF(BD1589&lt;&gt;0,"pas de prix",IF(M1589&lt;&gt; 0,"pas de quantité","pas de prix, ni de quantité"))))</f>
        <v>erreur de calcul</v>
      </c>
      <c r="BI1589" s="19"/>
    </row>
    <row r="1590" customFormat="false" ht="15" hidden="false" customHeight="false" outlineLevel="0" collapsed="false">
      <c r="A1590" s="0" t="n">
        <v>20</v>
      </c>
      <c r="B1590" s="8" t="s">
        <v>24</v>
      </c>
      <c r="C1590" s="9" t="s">
        <v>25</v>
      </c>
      <c r="D1590" s="9" t="s">
        <v>26</v>
      </c>
      <c r="E1590" s="10" t="n">
        <v>1789</v>
      </c>
      <c r="F1590" s="9" t="s">
        <v>27</v>
      </c>
      <c r="G1590" s="9" t="s">
        <v>27</v>
      </c>
      <c r="H1590" s="11" t="n">
        <v>23</v>
      </c>
      <c r="I1590" s="11" t="s">
        <v>262</v>
      </c>
      <c r="J1590" s="14" t="n">
        <v>40</v>
      </c>
      <c r="K1590" s="14"/>
      <c r="L1590" s="16"/>
      <c r="M1590" s="27" t="n">
        <f aca="false">J1590+(K1590/20)+(L1590/240)</f>
        <v>40</v>
      </c>
      <c r="N1590" s="17" t="s">
        <v>64</v>
      </c>
      <c r="O1590" s="11"/>
      <c r="P1590" s="28"/>
      <c r="Q1590" s="28" t="n">
        <f aca="false">P1590*$M1590</f>
        <v>0</v>
      </c>
      <c r="R1590" s="28"/>
      <c r="S1590" s="28" t="n">
        <f aca="false">R1590*$M1590</f>
        <v>0</v>
      </c>
      <c r="T1590" s="28"/>
      <c r="U1590" s="28" t="n">
        <f aca="false">T1590*$M1590</f>
        <v>0</v>
      </c>
      <c r="V1590" s="28"/>
      <c r="W1590" s="28" t="n">
        <f aca="false">V1590*$M1590</f>
        <v>0</v>
      </c>
      <c r="X1590" s="28"/>
      <c r="Y1590" s="28" t="n">
        <f aca="false">X1590*$M1590</f>
        <v>0</v>
      </c>
      <c r="Z1590" s="28"/>
      <c r="AA1590" s="28" t="n">
        <f aca="false">Z1590*$M1590</f>
        <v>0</v>
      </c>
      <c r="AB1590" s="28"/>
      <c r="AC1590" s="28" t="n">
        <f aca="false">AB1590*$M1590</f>
        <v>0</v>
      </c>
      <c r="AD1590" s="28"/>
      <c r="AE1590" s="28" t="n">
        <f aca="false">AD1590*$M1590</f>
        <v>0</v>
      </c>
      <c r="AF1590" s="28" t="n">
        <f aca="false">108620/100</f>
        <v>1086.2</v>
      </c>
      <c r="AG1590" s="28" t="n">
        <v>43448</v>
      </c>
      <c r="AH1590" s="28"/>
      <c r="AI1590" s="28" t="n">
        <f aca="false">AH1590*$M1590</f>
        <v>0</v>
      </c>
      <c r="AJ1590" s="28"/>
      <c r="AK1590" s="28" t="n">
        <f aca="false">AJ1590*$M1590</f>
        <v>0</v>
      </c>
      <c r="AL1590" s="28"/>
      <c r="AM1590" s="28" t="n">
        <f aca="false">AL1590*$M1590</f>
        <v>0</v>
      </c>
      <c r="AN1590" s="28"/>
      <c r="AO1590" s="28" t="n">
        <f aca="false">AN1590*$M1590</f>
        <v>0</v>
      </c>
      <c r="AP1590" s="28"/>
      <c r="AQ1590" s="28" t="n">
        <f aca="false">AP1590*$M1590</f>
        <v>0</v>
      </c>
      <c r="AR1590" s="28"/>
      <c r="AS1590" s="28" t="n">
        <f aca="false">AR1590*$M1590</f>
        <v>0</v>
      </c>
      <c r="AT1590" s="28"/>
      <c r="AU1590" s="28" t="n">
        <f aca="false">AT1590*$M1590</f>
        <v>0</v>
      </c>
      <c r="AV1590" s="28"/>
      <c r="AW1590" s="28" t="n">
        <f aca="false">AV1590*$M1590</f>
        <v>0</v>
      </c>
      <c r="AX1590" s="28"/>
      <c r="AY1590" s="28" t="n">
        <f aca="false">AX1590*$M1590</f>
        <v>0</v>
      </c>
      <c r="AZ1590" s="30" t="n">
        <f aca="false">108620/100</f>
        <v>1086.2</v>
      </c>
      <c r="BA1590" s="11" t="n">
        <v>43448</v>
      </c>
      <c r="BB1590" s="31" t="n">
        <f aca="false">SUM(Q1590,S1590,U1590,W1590,Y1590,AA1590,AC1590,AE1590,AG1590,AI1590,AK1590,AM1590,AO1590,AQ1590,AS1590,AU1590,AW1590,AY1590)</f>
        <v>43448</v>
      </c>
      <c r="BC1590" s="28" t="n">
        <f aca="false">BA1590-BB1590</f>
        <v>0</v>
      </c>
      <c r="BD1590" s="32" t="n">
        <f aca="false">SUM(P1590,R1590,T1590,V1590,X1590,Z1590,AB1590,AD1590,AF1590,AH1590,AJ1590,AL1590,AN1590,AP1590,AR1590,AT1590,AV1590,AX1590)</f>
        <v>1086.2</v>
      </c>
      <c r="BE1590" s="33" t="n">
        <f aca="false">AZ1590-BD1590</f>
        <v>0</v>
      </c>
      <c r="BF1590" s="34" t="n">
        <f aca="false">BD1590*M1590</f>
        <v>43448</v>
      </c>
      <c r="BG1590" s="35" t="n">
        <f aca="false">BA1590-BF1590</f>
        <v>0</v>
      </c>
      <c r="BH1590" s="19" t="str">
        <f aca="false">IF(BG1590=0,"",IF(BG1590&lt;&gt;BA1590,"erreur de calcul",IF(BD1590&lt;&gt;0,"pas de prix",IF(M1590&lt;&gt; 0,"pas de quantité","pas de prix, ni de quantité"))))</f>
        <v/>
      </c>
      <c r="BI1590" s="19"/>
    </row>
    <row r="1591" customFormat="false" ht="15" hidden="false" customHeight="false" outlineLevel="0" collapsed="false">
      <c r="A1591" s="0" t="n">
        <v>21</v>
      </c>
      <c r="B1591" s="8" t="s">
        <v>24</v>
      </c>
      <c r="C1591" s="9" t="s">
        <v>25</v>
      </c>
      <c r="D1591" s="9" t="s">
        <v>26</v>
      </c>
      <c r="E1591" s="10" t="n">
        <v>1789</v>
      </c>
      <c r="F1591" s="9" t="s">
        <v>27</v>
      </c>
      <c r="G1591" s="9" t="s">
        <v>27</v>
      </c>
      <c r="H1591" s="11" t="n">
        <v>23</v>
      </c>
      <c r="I1591" s="11" t="s">
        <v>263</v>
      </c>
      <c r="J1591" s="14" t="n">
        <v>12</v>
      </c>
      <c r="K1591" s="14"/>
      <c r="L1591" s="16"/>
      <c r="M1591" s="27" t="n">
        <f aca="false">J1591+(K1591/20)+(L1591/240)</f>
        <v>12</v>
      </c>
      <c r="N1591" s="17" t="s">
        <v>64</v>
      </c>
      <c r="O1591" s="11"/>
      <c r="P1591" s="28"/>
      <c r="Q1591" s="28" t="n">
        <f aca="false">P1591*$M1591</f>
        <v>0</v>
      </c>
      <c r="R1591" s="28"/>
      <c r="S1591" s="28" t="n">
        <f aca="false">R1591*$M1591</f>
        <v>0</v>
      </c>
      <c r="T1591" s="28"/>
      <c r="U1591" s="28" t="n">
        <f aca="false">T1591*$M1591</f>
        <v>0</v>
      </c>
      <c r="V1591" s="28"/>
      <c r="W1591" s="28" t="n">
        <f aca="false">V1591*$M1591</f>
        <v>0</v>
      </c>
      <c r="X1591" s="28"/>
      <c r="Y1591" s="28" t="n">
        <f aca="false">X1591*$M1591</f>
        <v>0</v>
      </c>
      <c r="Z1591" s="28"/>
      <c r="AA1591" s="28" t="n">
        <f aca="false">Z1591*$M1591</f>
        <v>0</v>
      </c>
      <c r="AB1591" s="28" t="n">
        <f aca="false">485726/100</f>
        <v>4857.26</v>
      </c>
      <c r="AC1591" s="28" t="n">
        <v>58287</v>
      </c>
      <c r="AD1591" s="28"/>
      <c r="AE1591" s="28" t="n">
        <f aca="false">AD1591*$M1591</f>
        <v>0</v>
      </c>
      <c r="AF1591" s="28"/>
      <c r="AG1591" s="28" t="n">
        <f aca="false">AF1591*$M1591</f>
        <v>0</v>
      </c>
      <c r="AH1591" s="28" t="n">
        <f aca="false">259291/100</f>
        <v>2592.91</v>
      </c>
      <c r="AI1591" s="28" t="n">
        <v>31115</v>
      </c>
      <c r="AJ1591" s="28"/>
      <c r="AK1591" s="28" t="n">
        <f aca="false">AJ1591*$M1591</f>
        <v>0</v>
      </c>
      <c r="AL1591" s="28"/>
      <c r="AM1591" s="28" t="n">
        <f aca="false">AL1591*$M1591</f>
        <v>0</v>
      </c>
      <c r="AN1591" s="28"/>
      <c r="AO1591" s="28" t="n">
        <f aca="false">AN1591*$M1591</f>
        <v>0</v>
      </c>
      <c r="AP1591" s="28"/>
      <c r="AQ1591" s="28" t="n">
        <f aca="false">AP1591*$M1591</f>
        <v>0</v>
      </c>
      <c r="AR1591" s="28"/>
      <c r="AS1591" s="28" t="n">
        <f aca="false">AR1591*$M1591</f>
        <v>0</v>
      </c>
      <c r="AT1591" s="28"/>
      <c r="AU1591" s="28" t="n">
        <f aca="false">AT1591*$M1591</f>
        <v>0</v>
      </c>
      <c r="AV1591" s="28"/>
      <c r="AW1591" s="28" t="n">
        <f aca="false">AV1591*$M1591</f>
        <v>0</v>
      </c>
      <c r="AX1591" s="28"/>
      <c r="AY1591" s="28" t="n">
        <f aca="false">AX1591*$M1591</f>
        <v>0</v>
      </c>
      <c r="AZ1591" s="30" t="n">
        <f aca="false">745017/100</f>
        <v>7450.17</v>
      </c>
      <c r="BA1591" s="11" t="n">
        <v>89402</v>
      </c>
      <c r="BB1591" s="31" t="n">
        <f aca="false">SUM(Q1591,S1591,U1591,W1591,Y1591,AA1591,AC1591,AE1591,AG1591,AI1591,AK1591,AM1591,AO1591,AQ1591,AS1591,AU1591,AW1591,AY1591)</f>
        <v>89402</v>
      </c>
      <c r="BC1591" s="28" t="n">
        <f aca="false">BA1591-BB1591</f>
        <v>0</v>
      </c>
      <c r="BD1591" s="32" t="n">
        <f aca="false">SUM(P1591,R1591,T1591,V1591,X1591,Z1591,AB1591,AD1591,AF1591,AH1591,AJ1591,AL1591,AN1591,AP1591,AR1591,AT1591,AV1591,AX1591)</f>
        <v>7450.17</v>
      </c>
      <c r="BE1591" s="33" t="n">
        <f aca="false">AZ1591-BD1591</f>
        <v>0</v>
      </c>
      <c r="BF1591" s="34" t="n">
        <f aca="false">BD1591*M1591</f>
        <v>89402.04</v>
      </c>
      <c r="BG1591" s="35" t="n">
        <f aca="false">BA1591-BF1591</f>
        <v>-0.0400000000081491</v>
      </c>
      <c r="BH1591" s="19" t="str">
        <f aca="false">IF(BG1591=0,"",IF(BG1591&lt;&gt;BA1591,"erreur de calcul",IF(BD1591&lt;&gt;0,"pas de prix",IF(M1591&lt;&gt; 0,"pas de quantité","pas de prix, ni de quantité"))))</f>
        <v>erreur de calcul</v>
      </c>
      <c r="BI1591" s="19"/>
    </row>
    <row r="1592" customFormat="false" ht="15" hidden="false" customHeight="false" outlineLevel="0" collapsed="false">
      <c r="A1592" s="0" t="n">
        <v>22</v>
      </c>
      <c r="B1592" s="8" t="s">
        <v>24</v>
      </c>
      <c r="C1592" s="9" t="s">
        <v>25</v>
      </c>
      <c r="D1592" s="9" t="s">
        <v>26</v>
      </c>
      <c r="E1592" s="10" t="n">
        <v>1789</v>
      </c>
      <c r="F1592" s="9" t="s">
        <v>27</v>
      </c>
      <c r="G1592" s="9" t="s">
        <v>27</v>
      </c>
      <c r="H1592" s="11" t="n">
        <v>23</v>
      </c>
      <c r="I1592" s="11" t="s">
        <v>264</v>
      </c>
      <c r="J1592" s="14" t="n">
        <v>15</v>
      </c>
      <c r="K1592" s="14"/>
      <c r="L1592" s="16"/>
      <c r="M1592" s="27" t="n">
        <f aca="false">J1592+(K1592/20)+(L1592/240)</f>
        <v>15</v>
      </c>
      <c r="N1592" s="17" t="s">
        <v>64</v>
      </c>
      <c r="O1592" s="11"/>
      <c r="P1592" s="28"/>
      <c r="Q1592" s="28" t="n">
        <f aca="false">P1592*$M1592</f>
        <v>0</v>
      </c>
      <c r="R1592" s="28"/>
      <c r="S1592" s="28" t="n">
        <f aca="false">R1592*$M1592</f>
        <v>0</v>
      </c>
      <c r="T1592" s="28"/>
      <c r="U1592" s="28" t="n">
        <f aca="false">T1592*$M1592</f>
        <v>0</v>
      </c>
      <c r="V1592" s="28"/>
      <c r="W1592" s="28" t="n">
        <f aca="false">V1592*$M1592</f>
        <v>0</v>
      </c>
      <c r="X1592" s="28" t="n">
        <f aca="false">65502/100</f>
        <v>655.02</v>
      </c>
      <c r="Y1592" s="28" t="n">
        <v>9825</v>
      </c>
      <c r="Z1592" s="28"/>
      <c r="AA1592" s="28" t="n">
        <f aca="false">Z1592*$M1592</f>
        <v>0</v>
      </c>
      <c r="AB1592" s="28" t="n">
        <f aca="false">207046/100</f>
        <v>2070.46</v>
      </c>
      <c r="AC1592" s="28" t="n">
        <v>31057</v>
      </c>
      <c r="AD1592" s="28"/>
      <c r="AE1592" s="28" t="n">
        <f aca="false">AD1592*$M1592</f>
        <v>0</v>
      </c>
      <c r="AF1592" s="28"/>
      <c r="AG1592" s="28" t="n">
        <f aca="false">AF1592*$M1592</f>
        <v>0</v>
      </c>
      <c r="AH1592" s="28" t="n">
        <f aca="false">11048/100</f>
        <v>110.48</v>
      </c>
      <c r="AI1592" s="28" t="n">
        <v>1657</v>
      </c>
      <c r="AJ1592" s="28"/>
      <c r="AK1592" s="28" t="n">
        <f aca="false">AJ1592*$M1592</f>
        <v>0</v>
      </c>
      <c r="AL1592" s="28"/>
      <c r="AM1592" s="28" t="n">
        <f aca="false">AL1592*$M1592</f>
        <v>0</v>
      </c>
      <c r="AN1592" s="28"/>
      <c r="AO1592" s="28" t="n">
        <f aca="false">AN1592*$M1592</f>
        <v>0</v>
      </c>
      <c r="AP1592" s="28"/>
      <c r="AQ1592" s="28" t="n">
        <f aca="false">AP1592*$M1592</f>
        <v>0</v>
      </c>
      <c r="AR1592" s="28"/>
      <c r="AS1592" s="28" t="n">
        <f aca="false">AR1592*$M1592</f>
        <v>0</v>
      </c>
      <c r="AT1592" s="28"/>
      <c r="AU1592" s="28" t="n">
        <f aca="false">AT1592*$M1592</f>
        <v>0</v>
      </c>
      <c r="AV1592" s="28"/>
      <c r="AW1592" s="28" t="n">
        <f aca="false">AV1592*$M1592</f>
        <v>0</v>
      </c>
      <c r="AX1592" s="28"/>
      <c r="AY1592" s="28" t="n">
        <f aca="false">AX1592*$M1592</f>
        <v>0</v>
      </c>
      <c r="AZ1592" s="30" t="n">
        <f aca="false">283596/100</f>
        <v>2835.96</v>
      </c>
      <c r="BA1592" s="11" t="n">
        <v>42539</v>
      </c>
      <c r="BB1592" s="31" t="n">
        <f aca="false">SUM(Q1592,S1592,U1592,W1592,Y1592,AA1592,AC1592,AE1592,AG1592,AI1592,AK1592,AM1592,AO1592,AQ1592,AS1592,AU1592,AW1592,AY1592)</f>
        <v>42539</v>
      </c>
      <c r="BC1592" s="28" t="n">
        <f aca="false">BA1592-BB1592</f>
        <v>0</v>
      </c>
      <c r="BD1592" s="32" t="n">
        <f aca="false">SUM(P1592,R1592,T1592,V1592,X1592,Z1592,AB1592,AD1592,AF1592,AH1592,AJ1592,AL1592,AN1592,AP1592,AR1592,AT1592,AV1592,AX1592)</f>
        <v>2835.96</v>
      </c>
      <c r="BE1592" s="33" t="n">
        <f aca="false">AZ1592-BD1592</f>
        <v>0</v>
      </c>
      <c r="BF1592" s="34" t="n">
        <f aca="false">BD1592*M1592</f>
        <v>42539.4</v>
      </c>
      <c r="BG1592" s="35" t="n">
        <f aca="false">BA1592-BF1592</f>
        <v>-0.400000000001455</v>
      </c>
      <c r="BH1592" s="19" t="str">
        <f aca="false">IF(BG1592=0,"",IF(BG1592&lt;&gt;BA1592,"erreur de calcul",IF(BD1592&lt;&gt;0,"pas de prix",IF(M1592&lt;&gt; 0,"pas de quantité","pas de prix, ni de quantité"))))</f>
        <v>erreur de calcul</v>
      </c>
      <c r="BI1592" s="19"/>
    </row>
    <row r="1593" customFormat="false" ht="15" hidden="false" customHeight="false" outlineLevel="0" collapsed="false">
      <c r="A1593" s="0" t="n">
        <v>23</v>
      </c>
      <c r="B1593" s="8" t="s">
        <v>24</v>
      </c>
      <c r="C1593" s="9" t="s">
        <v>25</v>
      </c>
      <c r="D1593" s="9" t="s">
        <v>26</v>
      </c>
      <c r="E1593" s="10" t="n">
        <v>1789</v>
      </c>
      <c r="F1593" s="9" t="s">
        <v>27</v>
      </c>
      <c r="G1593" s="9" t="s">
        <v>27</v>
      </c>
      <c r="H1593" s="11" t="n">
        <v>23</v>
      </c>
      <c r="I1593" s="11" t="s">
        <v>265</v>
      </c>
      <c r="J1593" s="14"/>
      <c r="K1593" s="14" t="n">
        <v>40</v>
      </c>
      <c r="L1593" s="16"/>
      <c r="M1593" s="27" t="n">
        <f aca="false">J1593+(K1593/20)+(L1593/240)</f>
        <v>2</v>
      </c>
      <c r="N1593" s="17" t="s">
        <v>66</v>
      </c>
      <c r="O1593" s="11"/>
      <c r="P1593" s="28"/>
      <c r="Q1593" s="28" t="n">
        <f aca="false">P1593*$M1593</f>
        <v>0</v>
      </c>
      <c r="R1593" s="28"/>
      <c r="S1593" s="28" t="n">
        <f aca="false">R1593*$M1593</f>
        <v>0</v>
      </c>
      <c r="T1593" s="28"/>
      <c r="U1593" s="28" t="n">
        <f aca="false">T1593*$M1593</f>
        <v>0</v>
      </c>
      <c r="V1593" s="28" t="n">
        <v>6275</v>
      </c>
      <c r="W1593" s="28" t="n">
        <v>12550</v>
      </c>
      <c r="X1593" s="28" t="n">
        <v>8662</v>
      </c>
      <c r="Y1593" s="28" t="n">
        <v>17324</v>
      </c>
      <c r="Z1593" s="28"/>
      <c r="AA1593" s="28" t="n">
        <f aca="false">Z1593*$M1593</f>
        <v>0</v>
      </c>
      <c r="AB1593" s="28" t="n">
        <v>2196</v>
      </c>
      <c r="AC1593" s="28" t="n">
        <v>4392</v>
      </c>
      <c r="AD1593" s="28"/>
      <c r="AE1593" s="28" t="n">
        <f aca="false">AD1593*$M1593</f>
        <v>0</v>
      </c>
      <c r="AF1593" s="28"/>
      <c r="AG1593" s="28" t="n">
        <f aca="false">AF1593*$M1593</f>
        <v>0</v>
      </c>
      <c r="AH1593" s="28"/>
      <c r="AI1593" s="28" t="n">
        <f aca="false">AH1593*$M1593</f>
        <v>0</v>
      </c>
      <c r="AJ1593" s="28"/>
      <c r="AK1593" s="28" t="n">
        <f aca="false">AJ1593*$M1593</f>
        <v>0</v>
      </c>
      <c r="AL1593" s="28"/>
      <c r="AM1593" s="28" t="n">
        <f aca="false">AL1593*$M1593</f>
        <v>0</v>
      </c>
      <c r="AN1593" s="28"/>
      <c r="AO1593" s="28" t="n">
        <f aca="false">AN1593*$M1593</f>
        <v>0</v>
      </c>
      <c r="AP1593" s="28"/>
      <c r="AQ1593" s="28" t="n">
        <f aca="false">AP1593*$M1593</f>
        <v>0</v>
      </c>
      <c r="AR1593" s="28"/>
      <c r="AS1593" s="28" t="n">
        <f aca="false">AR1593*$M1593</f>
        <v>0</v>
      </c>
      <c r="AT1593" s="28"/>
      <c r="AU1593" s="28" t="n">
        <f aca="false">AT1593*$M1593</f>
        <v>0</v>
      </c>
      <c r="AV1593" s="28"/>
      <c r="AW1593" s="28" t="n">
        <f aca="false">AV1593*$M1593</f>
        <v>0</v>
      </c>
      <c r="AX1593" s="28"/>
      <c r="AY1593" s="28" t="n">
        <f aca="false">AX1593*$M1593</f>
        <v>0</v>
      </c>
      <c r="AZ1593" s="30" t="n">
        <v>17133</v>
      </c>
      <c r="BA1593" s="11" t="n">
        <v>34266</v>
      </c>
      <c r="BB1593" s="31" t="n">
        <f aca="false">SUM(Q1593,S1593,U1593,W1593,Y1593,AA1593,AC1593,AE1593,AG1593,AI1593,AK1593,AM1593,AO1593,AQ1593,AS1593,AU1593,AW1593,AY1593)</f>
        <v>34266</v>
      </c>
      <c r="BC1593" s="28" t="n">
        <f aca="false">BA1593-BB1593</f>
        <v>0</v>
      </c>
      <c r="BD1593" s="32" t="n">
        <f aca="false">SUM(P1593,R1593,T1593,V1593,X1593,Z1593,AB1593,AD1593,AF1593,AH1593,AJ1593,AL1593,AN1593,AP1593,AR1593,AT1593,AV1593,AX1593)</f>
        <v>17133</v>
      </c>
      <c r="BE1593" s="33" t="n">
        <f aca="false">AZ1593-BD1593</f>
        <v>0</v>
      </c>
      <c r="BF1593" s="34" t="n">
        <f aca="false">BD1593*M1593</f>
        <v>34266</v>
      </c>
      <c r="BG1593" s="35" t="n">
        <f aca="false">BA1593-BF1593</f>
        <v>0</v>
      </c>
      <c r="BH1593" s="19" t="str">
        <f aca="false">IF(BG1593=0,"",IF(BG1593&lt;&gt;BA1593,"erreur de calcul",IF(BD1593&lt;&gt;0,"pas de prix",IF(M1593&lt;&gt; 0,"pas de quantité","pas de prix, ni de quantité"))))</f>
        <v/>
      </c>
      <c r="BI1593" s="19"/>
    </row>
    <row r="1594" customFormat="false" ht="15" hidden="false" customHeight="false" outlineLevel="0" collapsed="false">
      <c r="A1594" s="0" t="n">
        <v>24</v>
      </c>
      <c r="B1594" s="8" t="s">
        <v>24</v>
      </c>
      <c r="C1594" s="9" t="s">
        <v>25</v>
      </c>
      <c r="D1594" s="9" t="s">
        <v>26</v>
      </c>
      <c r="E1594" s="10" t="n">
        <v>1789</v>
      </c>
      <c r="F1594" s="9" t="s">
        <v>27</v>
      </c>
      <c r="G1594" s="9" t="s">
        <v>27</v>
      </c>
      <c r="H1594" s="11" t="n">
        <v>23</v>
      </c>
      <c r="I1594" s="11" t="s">
        <v>266</v>
      </c>
      <c r="J1594" s="14" t="n">
        <v>17</v>
      </c>
      <c r="K1594" s="14" t="n">
        <v>10</v>
      </c>
      <c r="L1594" s="16"/>
      <c r="M1594" s="27" t="n">
        <f aca="false">J1594+(K1594/20)+(L1594/240)</f>
        <v>17.5</v>
      </c>
      <c r="N1594" s="17" t="s">
        <v>64</v>
      </c>
      <c r="O1594" s="11"/>
      <c r="P1594" s="28" t="n">
        <f aca="false">147621/100</f>
        <v>1476.21</v>
      </c>
      <c r="Q1594" s="28" t="n">
        <v>25834</v>
      </c>
      <c r="R1594" s="28"/>
      <c r="S1594" s="28" t="n">
        <f aca="false">R1594*$M1594</f>
        <v>0</v>
      </c>
      <c r="T1594" s="28"/>
      <c r="U1594" s="28" t="n">
        <f aca="false">T1594*$M1594</f>
        <v>0</v>
      </c>
      <c r="V1594" s="28"/>
      <c r="W1594" s="28" t="n">
        <f aca="false">V1594*$M1594</f>
        <v>0</v>
      </c>
      <c r="X1594" s="28" t="n">
        <f aca="false">7220/100</f>
        <v>72.2</v>
      </c>
      <c r="Y1594" s="28" t="n">
        <v>1263</v>
      </c>
      <c r="Z1594" s="28"/>
      <c r="AA1594" s="28" t="n">
        <f aca="false">Z1594*$M1594</f>
        <v>0</v>
      </c>
      <c r="AB1594" s="28" t="n">
        <f aca="false">524444/100</f>
        <v>5244.44</v>
      </c>
      <c r="AC1594" s="36" t="n">
        <v>91767</v>
      </c>
      <c r="AD1594" s="28"/>
      <c r="AE1594" s="28" t="n">
        <f aca="false">AD1594*$M1594</f>
        <v>0</v>
      </c>
      <c r="AF1594" s="28"/>
      <c r="AG1594" s="28" t="n">
        <f aca="false">AF1594*$M1594</f>
        <v>0</v>
      </c>
      <c r="AH1594" s="28" t="n">
        <f aca="false">124394/100</f>
        <v>1243.94</v>
      </c>
      <c r="AI1594" s="28" t="n">
        <v>21769</v>
      </c>
      <c r="AJ1594" s="28"/>
      <c r="AK1594" s="28" t="n">
        <f aca="false">AJ1594*$M1594</f>
        <v>0</v>
      </c>
      <c r="AL1594" s="28"/>
      <c r="AM1594" s="28" t="n">
        <f aca="false">AL1594*$M1594</f>
        <v>0</v>
      </c>
      <c r="AN1594" s="28"/>
      <c r="AO1594" s="28" t="n">
        <f aca="false">AN1594*$M1594</f>
        <v>0</v>
      </c>
      <c r="AP1594" s="28"/>
      <c r="AQ1594" s="28" t="n">
        <f aca="false">AP1594*$M1594</f>
        <v>0</v>
      </c>
      <c r="AR1594" s="28"/>
      <c r="AS1594" s="28" t="n">
        <f aca="false">AR1594*$M1594</f>
        <v>0</v>
      </c>
      <c r="AT1594" s="28"/>
      <c r="AU1594" s="28" t="n">
        <f aca="false">AT1594*$M1594</f>
        <v>0</v>
      </c>
      <c r="AV1594" s="28"/>
      <c r="AW1594" s="28" t="n">
        <f aca="false">AV1594*$M1594</f>
        <v>0</v>
      </c>
      <c r="AX1594" s="28"/>
      <c r="AY1594" s="28" t="n">
        <f aca="false">AX1594*$M1594</f>
        <v>0</v>
      </c>
      <c r="AZ1594" s="30" t="n">
        <f aca="false">803679/100</f>
        <v>8036.79</v>
      </c>
      <c r="BA1594" s="11" t="n">
        <v>140633</v>
      </c>
      <c r="BB1594" s="31" t="n">
        <f aca="false">SUM(Q1594,S1594,U1594,W1594,Y1594,AA1594,AC1594,AE1594,AG1594,AI1594,AK1594,AM1594,AO1594,AQ1594,AS1594,AU1594,AW1594,AY1594)</f>
        <v>140633</v>
      </c>
      <c r="BC1594" s="28" t="n">
        <f aca="false">BA1594-BB1594</f>
        <v>0</v>
      </c>
      <c r="BD1594" s="32" t="n">
        <f aca="false">SUM(P1594,R1594,T1594,V1594,X1594,Z1594,AB1594,AD1594,AF1594,AH1594,AJ1594,AL1594,AN1594,AP1594,AR1594,AT1594,AV1594,AX1594)</f>
        <v>8036.79</v>
      </c>
      <c r="BE1594" s="33" t="n">
        <f aca="false">AZ1594-BD1594</f>
        <v>0</v>
      </c>
      <c r="BF1594" s="34" t="n">
        <f aca="false">BD1594*M1594</f>
        <v>140643.825</v>
      </c>
      <c r="BG1594" s="35" t="n">
        <f aca="false">BA1594-BF1594</f>
        <v>-10.8249999999825</v>
      </c>
      <c r="BH1594" s="19" t="str">
        <f aca="false">IF(BG1594=0,"",IF(BG1594&lt;&gt;BA1594,"erreur de calcul",IF(BD1594&lt;&gt;0,"pas de prix",IF(M1594&lt;&gt; 0,"pas de quantité","pas de prix, ni de quantité"))))</f>
        <v>erreur de calcul</v>
      </c>
      <c r="BI1594" s="19"/>
    </row>
    <row r="1595" customFormat="false" ht="15" hidden="false" customHeight="false" outlineLevel="0" collapsed="false">
      <c r="A1595" s="0" t="n">
        <v>25</v>
      </c>
      <c r="B1595" s="8" t="s">
        <v>24</v>
      </c>
      <c r="C1595" s="9" t="s">
        <v>25</v>
      </c>
      <c r="D1595" s="9" t="s">
        <v>26</v>
      </c>
      <c r="E1595" s="10" t="n">
        <v>1789</v>
      </c>
      <c r="F1595" s="9" t="s">
        <v>27</v>
      </c>
      <c r="G1595" s="9" t="s">
        <v>27</v>
      </c>
      <c r="H1595" s="11" t="n">
        <v>23</v>
      </c>
      <c r="I1595" s="11" t="s">
        <v>267</v>
      </c>
      <c r="J1595" s="14" t="n">
        <v>25</v>
      </c>
      <c r="K1595" s="14"/>
      <c r="L1595" s="16"/>
      <c r="M1595" s="27" t="n">
        <f aca="false">J1595+(K1595/20)+(L1595/240)</f>
        <v>25</v>
      </c>
      <c r="N1595" s="17" t="s">
        <v>64</v>
      </c>
      <c r="O1595" s="11"/>
      <c r="P1595" s="28"/>
      <c r="Q1595" s="28" t="n">
        <f aca="false">P1595*$M1595</f>
        <v>0</v>
      </c>
      <c r="R1595" s="28"/>
      <c r="S1595" s="28" t="n">
        <f aca="false">R1595*$M1595</f>
        <v>0</v>
      </c>
      <c r="T1595" s="28"/>
      <c r="U1595" s="28" t="n">
        <f aca="false">T1595*$M1595</f>
        <v>0</v>
      </c>
      <c r="V1595" s="28"/>
      <c r="W1595" s="28" t="n">
        <f aca="false">V1595*$M1595</f>
        <v>0</v>
      </c>
      <c r="X1595" s="28"/>
      <c r="Y1595" s="28" t="n">
        <f aca="false">X1595*$M1595</f>
        <v>0</v>
      </c>
      <c r="Z1595" s="28"/>
      <c r="AA1595" s="28" t="n">
        <f aca="false">Z1595*$M1595</f>
        <v>0</v>
      </c>
      <c r="AB1595" s="28" t="n">
        <f aca="false">136004/100</f>
        <v>1360.04</v>
      </c>
      <c r="AC1595" s="28" t="n">
        <v>34001</v>
      </c>
      <c r="AD1595" s="28"/>
      <c r="AE1595" s="28" t="n">
        <f aca="false">AD1595*$M1595</f>
        <v>0</v>
      </c>
      <c r="AF1595" s="28"/>
      <c r="AG1595" s="28" t="n">
        <f aca="false">AF1595*$M1595</f>
        <v>0</v>
      </c>
      <c r="AH1595" s="28" t="n">
        <f aca="false">173052/100</f>
        <v>1730.52</v>
      </c>
      <c r="AI1595" s="28" t="n">
        <v>43263</v>
      </c>
      <c r="AJ1595" s="28"/>
      <c r="AK1595" s="28" t="n">
        <f aca="false">AJ1595*$M1595</f>
        <v>0</v>
      </c>
      <c r="AL1595" s="28"/>
      <c r="AM1595" s="28" t="n">
        <f aca="false">AL1595*$M1595</f>
        <v>0</v>
      </c>
      <c r="AN1595" s="28"/>
      <c r="AO1595" s="28" t="n">
        <f aca="false">AN1595*$M1595</f>
        <v>0</v>
      </c>
      <c r="AP1595" s="28"/>
      <c r="AQ1595" s="28" t="n">
        <f aca="false">AP1595*$M1595</f>
        <v>0</v>
      </c>
      <c r="AR1595" s="28"/>
      <c r="AS1595" s="28" t="n">
        <f aca="false">AR1595*$M1595</f>
        <v>0</v>
      </c>
      <c r="AT1595" s="28"/>
      <c r="AU1595" s="28" t="n">
        <f aca="false">AT1595*$M1595</f>
        <v>0</v>
      </c>
      <c r="AV1595" s="28"/>
      <c r="AW1595" s="28" t="n">
        <f aca="false">AV1595*$M1595</f>
        <v>0</v>
      </c>
      <c r="AX1595" s="28"/>
      <c r="AY1595" s="28" t="n">
        <f aca="false">AX1595*$M1595</f>
        <v>0</v>
      </c>
      <c r="AZ1595" s="30" t="n">
        <f aca="false">309056/100</f>
        <v>3090.56</v>
      </c>
      <c r="BA1595" s="11" t="n">
        <v>77264</v>
      </c>
      <c r="BB1595" s="31" t="n">
        <f aca="false">SUM(Q1595,S1595,U1595,W1595,Y1595,AA1595,AC1595,AE1595,AG1595,AI1595,AK1595,AM1595,AO1595,AQ1595,AS1595,AU1595,AW1595,AY1595)</f>
        <v>77264</v>
      </c>
      <c r="BC1595" s="28" t="n">
        <f aca="false">BA1595-BB1595</f>
        <v>0</v>
      </c>
      <c r="BD1595" s="32" t="n">
        <f aca="false">SUM(P1595,R1595,T1595,V1595,X1595,Z1595,AB1595,AD1595,AF1595,AH1595,AJ1595,AL1595,AN1595,AP1595,AR1595,AT1595,AV1595,AX1595)</f>
        <v>3090.56</v>
      </c>
      <c r="BE1595" s="33" t="n">
        <f aca="false">AZ1595-BD1595</f>
        <v>0</v>
      </c>
      <c r="BF1595" s="34" t="n">
        <f aca="false">BD1595*M1595</f>
        <v>77264</v>
      </c>
      <c r="BG1595" s="35" t="n">
        <f aca="false">BA1595-BF1595</f>
        <v>0</v>
      </c>
      <c r="BH1595" s="19" t="str">
        <f aca="false">IF(BG1595=0,"",IF(BG1595&lt;&gt;BA1595,"erreur de calcul",IF(BD1595&lt;&gt;0,"pas de prix",IF(M1595&lt;&gt; 0,"pas de quantité","pas de prix, ni de quantité"))))</f>
        <v/>
      </c>
      <c r="BI1595" s="19"/>
    </row>
    <row r="1596" customFormat="false" ht="15" hidden="false" customHeight="false" outlineLevel="0" collapsed="false">
      <c r="A1596" s="0" t="n">
        <v>26</v>
      </c>
      <c r="B1596" s="8" t="s">
        <v>24</v>
      </c>
      <c r="C1596" s="9" t="s">
        <v>25</v>
      </c>
      <c r="D1596" s="9" t="s">
        <v>26</v>
      </c>
      <c r="E1596" s="10" t="n">
        <v>1789</v>
      </c>
      <c r="F1596" s="9" t="s">
        <v>27</v>
      </c>
      <c r="G1596" s="9" t="s">
        <v>27</v>
      </c>
      <c r="H1596" s="11" t="n">
        <v>23</v>
      </c>
      <c r="I1596" s="11" t="s">
        <v>268</v>
      </c>
      <c r="J1596" s="14" t="n">
        <v>8</v>
      </c>
      <c r="K1596" s="14"/>
      <c r="L1596" s="16"/>
      <c r="M1596" s="27" t="n">
        <f aca="false">J1596+(K1596/20)+(L1596/240)</f>
        <v>8</v>
      </c>
      <c r="N1596" s="17" t="s">
        <v>64</v>
      </c>
      <c r="O1596" s="11"/>
      <c r="P1596" s="28"/>
      <c r="Q1596" s="28" t="n">
        <f aca="false">P1596*$M1596</f>
        <v>0</v>
      </c>
      <c r="R1596" s="28"/>
      <c r="S1596" s="28" t="n">
        <f aca="false">R1596*$M1596</f>
        <v>0</v>
      </c>
      <c r="T1596" s="28" t="n">
        <f aca="false">260752/100</f>
        <v>2607.52</v>
      </c>
      <c r="U1596" s="28" t="n">
        <v>20860</v>
      </c>
      <c r="V1596" s="28" t="n">
        <f aca="false">170453/100</f>
        <v>1704.53</v>
      </c>
      <c r="W1596" s="28" t="n">
        <v>13636</v>
      </c>
      <c r="X1596" s="28"/>
      <c r="Y1596" s="28" t="n">
        <f aca="false">X1596*$M1596</f>
        <v>0</v>
      </c>
      <c r="Z1596" s="28"/>
      <c r="AA1596" s="28" t="n">
        <f aca="false">Z1596*$M1596</f>
        <v>0</v>
      </c>
      <c r="AB1596" s="28"/>
      <c r="AC1596" s="28" t="n">
        <f aca="false">AB1596*$M1596</f>
        <v>0</v>
      </c>
      <c r="AD1596" s="28"/>
      <c r="AE1596" s="28" t="n">
        <f aca="false">AD1596*$M1596</f>
        <v>0</v>
      </c>
      <c r="AF1596" s="28"/>
      <c r="AG1596" s="28" t="n">
        <f aca="false">AF1596*$M1596</f>
        <v>0</v>
      </c>
      <c r="AH1596" s="28"/>
      <c r="AI1596" s="28" t="n">
        <f aca="false">AH1596*$M1596</f>
        <v>0</v>
      </c>
      <c r="AJ1596" s="28"/>
      <c r="AK1596" s="28" t="n">
        <f aca="false">AJ1596*$M1596</f>
        <v>0</v>
      </c>
      <c r="AL1596" s="28"/>
      <c r="AM1596" s="28" t="n">
        <f aca="false">AL1596*$M1596</f>
        <v>0</v>
      </c>
      <c r="AN1596" s="28"/>
      <c r="AO1596" s="28" t="n">
        <f aca="false">AN1596*$M1596</f>
        <v>0</v>
      </c>
      <c r="AP1596" s="28"/>
      <c r="AQ1596" s="28" t="n">
        <f aca="false">AP1596*$M1596</f>
        <v>0</v>
      </c>
      <c r="AR1596" s="28"/>
      <c r="AS1596" s="28" t="n">
        <f aca="false">AR1596*$M1596</f>
        <v>0</v>
      </c>
      <c r="AT1596" s="28"/>
      <c r="AU1596" s="28" t="n">
        <f aca="false">AT1596*$M1596</f>
        <v>0</v>
      </c>
      <c r="AV1596" s="28"/>
      <c r="AW1596" s="28" t="n">
        <f aca="false">AV1596*$M1596</f>
        <v>0</v>
      </c>
      <c r="AX1596" s="28"/>
      <c r="AY1596" s="28" t="n">
        <f aca="false">AX1596*$M1596</f>
        <v>0</v>
      </c>
      <c r="AZ1596" s="30" t="n">
        <f aca="false">431205/100</f>
        <v>4312.05</v>
      </c>
      <c r="BA1596" s="11" t="n">
        <v>34496</v>
      </c>
      <c r="BB1596" s="31" t="n">
        <f aca="false">SUM(Q1596,S1596,U1596,W1596,Y1596,AA1596,AC1596,AE1596,AG1596,AI1596,AK1596,AM1596,AO1596,AQ1596,AS1596,AU1596,AW1596,AY1596)</f>
        <v>34496</v>
      </c>
      <c r="BC1596" s="28" t="n">
        <f aca="false">BA1596-BB1596</f>
        <v>0</v>
      </c>
      <c r="BD1596" s="32" t="n">
        <f aca="false">SUM(P1596,R1596,T1596,V1596,X1596,Z1596,AB1596,AD1596,AF1596,AH1596,AJ1596,AL1596,AN1596,AP1596,AR1596,AT1596,AV1596,AX1596)</f>
        <v>4312.05</v>
      </c>
      <c r="BE1596" s="33" t="n">
        <f aca="false">AZ1596-BD1596</f>
        <v>0</v>
      </c>
      <c r="BF1596" s="34" t="n">
        <f aca="false">BD1596*M1596</f>
        <v>34496.4</v>
      </c>
      <c r="BG1596" s="35" t="n">
        <f aca="false">BA1596-BF1596</f>
        <v>-0.400000000001455</v>
      </c>
      <c r="BH1596" s="19" t="str">
        <f aca="false">IF(BG1596=0,"",IF(BG1596&lt;&gt;BA1596,"erreur de calcul",IF(BD1596&lt;&gt;0,"pas de prix",IF(M1596&lt;&gt; 0,"pas de quantité","pas de prix, ni de quantité"))))</f>
        <v>erreur de calcul</v>
      </c>
      <c r="BI1596" s="19"/>
    </row>
    <row r="1597" customFormat="false" ht="15" hidden="false" customHeight="false" outlineLevel="0" collapsed="false">
      <c r="A1597" s="0" t="n">
        <v>27</v>
      </c>
      <c r="B1597" s="8" t="s">
        <v>24</v>
      </c>
      <c r="C1597" s="9" t="s">
        <v>25</v>
      </c>
      <c r="D1597" s="9" t="s">
        <v>26</v>
      </c>
      <c r="E1597" s="10" t="n">
        <v>1789</v>
      </c>
      <c r="F1597" s="9" t="s">
        <v>27</v>
      </c>
      <c r="G1597" s="9" t="s">
        <v>27</v>
      </c>
      <c r="H1597" s="11" t="n">
        <v>23</v>
      </c>
      <c r="I1597" s="11" t="s">
        <v>269</v>
      </c>
      <c r="J1597" s="14"/>
      <c r="K1597" s="14" t="n">
        <v>50</v>
      </c>
      <c r="L1597" s="16"/>
      <c r="M1597" s="27" t="n">
        <f aca="false">J1597+(K1597/20)+(L1597/240)</f>
        <v>2.5</v>
      </c>
      <c r="N1597" s="17" t="s">
        <v>85</v>
      </c>
      <c r="O1597" s="11"/>
      <c r="P1597" s="28"/>
      <c r="Q1597" s="28" t="n">
        <f aca="false">P1597*$M1597</f>
        <v>0</v>
      </c>
      <c r="R1597" s="28"/>
      <c r="S1597" s="28" t="n">
        <f aca="false">R1597*$M1597</f>
        <v>0</v>
      </c>
      <c r="T1597" s="28" t="n">
        <f aca="false">221150/100</f>
        <v>2211.5</v>
      </c>
      <c r="U1597" s="28" t="n">
        <v>5529</v>
      </c>
      <c r="V1597" s="28" t="n">
        <f aca="false">3922156/100</f>
        <v>39221.56</v>
      </c>
      <c r="W1597" s="28" t="n">
        <v>98054</v>
      </c>
      <c r="X1597" s="28"/>
      <c r="Y1597" s="28" t="n">
        <f aca="false">X1597*$M1597</f>
        <v>0</v>
      </c>
      <c r="Z1597" s="28"/>
      <c r="AA1597" s="28" t="n">
        <f aca="false">Z1597*$M1597</f>
        <v>0</v>
      </c>
      <c r="AB1597" s="28" t="n">
        <f aca="false">297900/100</f>
        <v>2979</v>
      </c>
      <c r="AC1597" s="28" t="n">
        <v>7447</v>
      </c>
      <c r="AD1597" s="28"/>
      <c r="AE1597" s="28" t="n">
        <f aca="false">AD1597*$M1597</f>
        <v>0</v>
      </c>
      <c r="AF1597" s="28"/>
      <c r="AG1597" s="28" t="n">
        <f aca="false">AF1597*$M1597</f>
        <v>0</v>
      </c>
      <c r="AH1597" s="28"/>
      <c r="AI1597" s="28" t="n">
        <f aca="false">AH1597*$M1597</f>
        <v>0</v>
      </c>
      <c r="AJ1597" s="28"/>
      <c r="AK1597" s="28" t="n">
        <f aca="false">AJ1597*$M1597</f>
        <v>0</v>
      </c>
      <c r="AL1597" s="28"/>
      <c r="AM1597" s="28" t="n">
        <f aca="false">AL1597*$M1597</f>
        <v>0</v>
      </c>
      <c r="AN1597" s="28"/>
      <c r="AO1597" s="28" t="n">
        <f aca="false">AN1597*$M1597</f>
        <v>0</v>
      </c>
      <c r="AP1597" s="28"/>
      <c r="AQ1597" s="28" t="n">
        <f aca="false">AP1597*$M1597</f>
        <v>0</v>
      </c>
      <c r="AR1597" s="28"/>
      <c r="AS1597" s="28" t="n">
        <f aca="false">AR1597*$M1597</f>
        <v>0</v>
      </c>
      <c r="AT1597" s="28"/>
      <c r="AU1597" s="28" t="n">
        <f aca="false">AT1597*$M1597</f>
        <v>0</v>
      </c>
      <c r="AV1597" s="28"/>
      <c r="AW1597" s="28" t="n">
        <f aca="false">AV1597*$M1597</f>
        <v>0</v>
      </c>
      <c r="AX1597" s="28"/>
      <c r="AY1597" s="28" t="n">
        <f aca="false">AX1597*$M1597</f>
        <v>0</v>
      </c>
      <c r="AZ1597" s="30" t="n">
        <f aca="false">4441206/100</f>
        <v>44412.06</v>
      </c>
      <c r="BA1597" s="11" t="n">
        <v>111030</v>
      </c>
      <c r="BB1597" s="31" t="n">
        <f aca="false">SUM(Q1597,S1597,U1597,W1597,Y1597,AA1597,AC1597,AE1597,AG1597,AI1597,AK1597,AM1597,AO1597,AQ1597,AS1597,AU1597,AW1597,AY1597)</f>
        <v>111030</v>
      </c>
      <c r="BC1597" s="28" t="n">
        <f aca="false">BA1597-BB1597</f>
        <v>0</v>
      </c>
      <c r="BD1597" s="32" t="n">
        <f aca="false">SUM(P1597,R1597,T1597,V1597,X1597,Z1597,AB1597,AD1597,AF1597,AH1597,AJ1597,AL1597,AN1597,AP1597,AR1597,AT1597,AV1597,AX1597)</f>
        <v>44412.06</v>
      </c>
      <c r="BE1597" s="33" t="n">
        <f aca="false">AZ1597-BD1597</f>
        <v>0</v>
      </c>
      <c r="BF1597" s="34" t="n">
        <f aca="false">BD1597*M1597</f>
        <v>111030.15</v>
      </c>
      <c r="BG1597" s="35" t="n">
        <f aca="false">BA1597-BF1597</f>
        <v>-0.149999999994179</v>
      </c>
      <c r="BH1597" s="19" t="str">
        <f aca="false">IF(BG1597=0,"",IF(BG1597&lt;&gt;BA1597,"erreur de calcul",IF(BD1597&lt;&gt;0,"pas de prix",IF(M1597&lt;&gt; 0,"pas de quantité","pas de prix, ni de quantité"))))</f>
        <v>erreur de calcul</v>
      </c>
      <c r="BI1597" s="19"/>
    </row>
    <row r="1598" customFormat="false" ht="15" hidden="false" customHeight="false" outlineLevel="0" collapsed="false">
      <c r="A1598" s="0" t="n">
        <v>28</v>
      </c>
      <c r="B1598" s="8" t="s">
        <v>24</v>
      </c>
      <c r="C1598" s="9" t="s">
        <v>25</v>
      </c>
      <c r="D1598" s="9" t="s">
        <v>26</v>
      </c>
      <c r="E1598" s="10" t="n">
        <v>1789</v>
      </c>
      <c r="F1598" s="9" t="s">
        <v>27</v>
      </c>
      <c r="G1598" s="9" t="s">
        <v>27</v>
      </c>
      <c r="H1598" s="11" t="n">
        <v>23</v>
      </c>
      <c r="I1598" s="11" t="s">
        <v>270</v>
      </c>
      <c r="J1598" s="14" t="n">
        <v>5</v>
      </c>
      <c r="K1598" s="14"/>
      <c r="L1598" s="16"/>
      <c r="M1598" s="27" t="n">
        <f aca="false">J1598+(K1598/20)+(L1598/240)</f>
        <v>5</v>
      </c>
      <c r="N1598" s="17" t="s">
        <v>85</v>
      </c>
      <c r="O1598" s="11"/>
      <c r="P1598" s="28" t="n">
        <f aca="false">328200/100</f>
        <v>3282</v>
      </c>
      <c r="Q1598" s="28" t="n">
        <v>16410</v>
      </c>
      <c r="R1598" s="28"/>
      <c r="S1598" s="28" t="n">
        <f aca="false">R1598*$M1598</f>
        <v>0</v>
      </c>
      <c r="T1598" s="28" t="n">
        <f aca="false">667000/100</f>
        <v>6670</v>
      </c>
      <c r="U1598" s="36" t="n">
        <v>33360</v>
      </c>
      <c r="V1598" s="28" t="n">
        <f aca="false">506800/100</f>
        <v>5068</v>
      </c>
      <c r="W1598" s="28" t="n">
        <v>25340</v>
      </c>
      <c r="X1598" s="28"/>
      <c r="Y1598" s="28" t="n">
        <f aca="false">X1598*$M1598</f>
        <v>0</v>
      </c>
      <c r="Z1598" s="28"/>
      <c r="AA1598" s="28" t="n">
        <f aca="false">Z1598*$M1598</f>
        <v>0</v>
      </c>
      <c r="AB1598" s="28"/>
      <c r="AC1598" s="28" t="n">
        <f aca="false">AB1598*$M1598</f>
        <v>0</v>
      </c>
      <c r="AD1598" s="28"/>
      <c r="AE1598" s="28" t="n">
        <f aca="false">AD1598*$M1598</f>
        <v>0</v>
      </c>
      <c r="AF1598" s="28"/>
      <c r="AG1598" s="28" t="n">
        <f aca="false">AF1598*$M1598</f>
        <v>0</v>
      </c>
      <c r="AH1598" s="28" t="n">
        <f aca="false">320500/100</f>
        <v>3205</v>
      </c>
      <c r="AI1598" s="28" t="n">
        <v>16025</v>
      </c>
      <c r="AJ1598" s="28"/>
      <c r="AK1598" s="28" t="n">
        <f aca="false">AJ1598*$M1598</f>
        <v>0</v>
      </c>
      <c r="AL1598" s="28"/>
      <c r="AM1598" s="28" t="n">
        <f aca="false">AL1598*$M1598</f>
        <v>0</v>
      </c>
      <c r="AN1598" s="28"/>
      <c r="AO1598" s="28" t="n">
        <f aca="false">AN1598*$M1598</f>
        <v>0</v>
      </c>
      <c r="AP1598" s="28"/>
      <c r="AQ1598" s="28" t="n">
        <f aca="false">AP1598*$M1598</f>
        <v>0</v>
      </c>
      <c r="AR1598" s="28"/>
      <c r="AS1598" s="28" t="n">
        <f aca="false">AR1598*$M1598</f>
        <v>0</v>
      </c>
      <c r="AT1598" s="28"/>
      <c r="AU1598" s="28" t="n">
        <f aca="false">AT1598*$M1598</f>
        <v>0</v>
      </c>
      <c r="AV1598" s="28"/>
      <c r="AW1598" s="28" t="n">
        <f aca="false">AV1598*$M1598</f>
        <v>0</v>
      </c>
      <c r="AX1598" s="28"/>
      <c r="AY1598" s="28" t="n">
        <f aca="false">AX1598*$M1598</f>
        <v>0</v>
      </c>
      <c r="AZ1598" s="30" t="n">
        <f aca="false">1822500/100</f>
        <v>18225</v>
      </c>
      <c r="BA1598" s="11" t="n">
        <v>91135</v>
      </c>
      <c r="BB1598" s="31" t="n">
        <f aca="false">SUM(Q1598,S1598,U1598,W1598,Y1598,AA1598,AC1598,AE1598,AG1598,AI1598,AK1598,AM1598,AO1598,AQ1598,AS1598,AU1598,AW1598,AY1598)</f>
        <v>91135</v>
      </c>
      <c r="BC1598" s="28" t="n">
        <f aca="false">BA1598-BB1598</f>
        <v>0</v>
      </c>
      <c r="BD1598" s="32" t="n">
        <f aca="false">SUM(P1598,R1598,T1598,V1598,X1598,Z1598,AB1598,AD1598,AF1598,AH1598,AJ1598,AL1598,AN1598,AP1598,AR1598,AT1598,AV1598,AX1598)</f>
        <v>18225</v>
      </c>
      <c r="BE1598" s="33" t="n">
        <f aca="false">AZ1598-BD1598</f>
        <v>0</v>
      </c>
      <c r="BF1598" s="34" t="n">
        <f aca="false">BD1598*M1598</f>
        <v>91125</v>
      </c>
      <c r="BG1598" s="35" t="n">
        <f aca="false">BA1598-BF1598</f>
        <v>10</v>
      </c>
      <c r="BH1598" s="19" t="str">
        <f aca="false">IF(BG1598=0,"",IF(BG1598&lt;&gt;BA1598,"erreur de calcul",IF(BD1598&lt;&gt;0,"pas de prix",IF(M1598&lt;&gt; 0,"pas de quantité","pas de prix, ni de quantité"))))</f>
        <v>erreur de calcul</v>
      </c>
      <c r="BI1598" s="19"/>
    </row>
    <row r="1599" customFormat="false" ht="15" hidden="false" customHeight="false" outlineLevel="0" collapsed="false">
      <c r="A1599" s="0" t="n">
        <v>29</v>
      </c>
      <c r="B1599" s="8" t="s">
        <v>24</v>
      </c>
      <c r="C1599" s="9" t="s">
        <v>25</v>
      </c>
      <c r="D1599" s="9" t="s">
        <v>26</v>
      </c>
      <c r="E1599" s="10" t="n">
        <v>1789</v>
      </c>
      <c r="F1599" s="9" t="s">
        <v>27</v>
      </c>
      <c r="G1599" s="9" t="s">
        <v>27</v>
      </c>
      <c r="H1599" s="11" t="n">
        <v>23</v>
      </c>
      <c r="I1599" s="11" t="s">
        <v>271</v>
      </c>
      <c r="J1599" s="14" t="n">
        <v>7</v>
      </c>
      <c r="K1599" s="14" t="n">
        <v>10</v>
      </c>
      <c r="L1599" s="16"/>
      <c r="M1599" s="27" t="n">
        <f aca="false">J1599+(K1599/20)+(L1599/240)</f>
        <v>7.5</v>
      </c>
      <c r="N1599" s="17" t="s">
        <v>64</v>
      </c>
      <c r="O1599" s="11"/>
      <c r="P1599" s="28"/>
      <c r="Q1599" s="28" t="n">
        <f aca="false">P1599*$M1599</f>
        <v>0</v>
      </c>
      <c r="R1599" s="28"/>
      <c r="S1599" s="28" t="n">
        <f aca="false">R1599*$M1599</f>
        <v>0</v>
      </c>
      <c r="T1599" s="28"/>
      <c r="U1599" s="28" t="n">
        <f aca="false">T1599*$M1599</f>
        <v>0</v>
      </c>
      <c r="V1599" s="28" t="n">
        <f aca="false">191888/100</f>
        <v>1918.88</v>
      </c>
      <c r="W1599" s="28" t="n">
        <v>14392</v>
      </c>
      <c r="X1599" s="28"/>
      <c r="Y1599" s="28" t="n">
        <f aca="false">X1599*$M1599</f>
        <v>0</v>
      </c>
      <c r="Z1599" s="28"/>
      <c r="AA1599" s="28" t="n">
        <f aca="false">Z1599*$M1599</f>
        <v>0</v>
      </c>
      <c r="AB1599" s="28"/>
      <c r="AC1599" s="28" t="n">
        <f aca="false">AB1599*$M1599</f>
        <v>0</v>
      </c>
      <c r="AD1599" s="28"/>
      <c r="AE1599" s="28" t="n">
        <f aca="false">AD1599*$M1599</f>
        <v>0</v>
      </c>
      <c r="AF1599" s="28"/>
      <c r="AG1599" s="28" t="n">
        <f aca="false">AF1599*$M1599</f>
        <v>0</v>
      </c>
      <c r="AH1599" s="28"/>
      <c r="AI1599" s="28" t="n">
        <f aca="false">AH1599*$M1599</f>
        <v>0</v>
      </c>
      <c r="AJ1599" s="28"/>
      <c r="AK1599" s="28" t="n">
        <f aca="false">AJ1599*$M1599</f>
        <v>0</v>
      </c>
      <c r="AL1599" s="28"/>
      <c r="AM1599" s="28" t="n">
        <f aca="false">AL1599*$M1599</f>
        <v>0</v>
      </c>
      <c r="AN1599" s="28"/>
      <c r="AO1599" s="28" t="n">
        <f aca="false">AN1599*$M1599</f>
        <v>0</v>
      </c>
      <c r="AP1599" s="28"/>
      <c r="AQ1599" s="28" t="n">
        <f aca="false">AP1599*$M1599</f>
        <v>0</v>
      </c>
      <c r="AR1599" s="28"/>
      <c r="AS1599" s="28" t="n">
        <f aca="false">AR1599*$M1599</f>
        <v>0</v>
      </c>
      <c r="AT1599" s="28"/>
      <c r="AU1599" s="28" t="n">
        <f aca="false">AT1599*$M1599</f>
        <v>0</v>
      </c>
      <c r="AV1599" s="28"/>
      <c r="AW1599" s="28" t="n">
        <f aca="false">AV1599*$M1599</f>
        <v>0</v>
      </c>
      <c r="AX1599" s="28"/>
      <c r="AY1599" s="28" t="n">
        <f aca="false">AX1599*$M1599</f>
        <v>0</v>
      </c>
      <c r="AZ1599" s="30" t="n">
        <f aca="false">191888/100</f>
        <v>1918.88</v>
      </c>
      <c r="BA1599" s="11" t="n">
        <v>14392</v>
      </c>
      <c r="BB1599" s="31" t="n">
        <f aca="false">SUM(Q1599,S1599,U1599,W1599,Y1599,AA1599,AC1599,AE1599,AG1599,AI1599,AK1599,AM1599,AO1599,AQ1599,AS1599,AU1599,AW1599,AY1599)</f>
        <v>14392</v>
      </c>
      <c r="BC1599" s="28" t="n">
        <f aca="false">BA1599-BB1599</f>
        <v>0</v>
      </c>
      <c r="BD1599" s="32" t="n">
        <f aca="false">SUM(P1599,R1599,T1599,V1599,X1599,Z1599,AB1599,AD1599,AF1599,AH1599,AJ1599,AL1599,AN1599,AP1599,AR1599,AT1599,AV1599,AX1599)</f>
        <v>1918.88</v>
      </c>
      <c r="BE1599" s="33" t="n">
        <f aca="false">AZ1599-BD1599</f>
        <v>0</v>
      </c>
      <c r="BF1599" s="34" t="n">
        <f aca="false">BD1599*M1599</f>
        <v>14391.6</v>
      </c>
      <c r="BG1599" s="35" t="n">
        <f aca="false">BA1599-BF1599</f>
        <v>0.399999999999636</v>
      </c>
      <c r="BH1599" s="19" t="str">
        <f aca="false">IF(BG1599=0,"",IF(BG1599&lt;&gt;BA1599,"erreur de calcul",IF(BD1599&lt;&gt;0,"pas de prix",IF(M1599&lt;&gt; 0,"pas de quantité","pas de prix, ni de quantité"))))</f>
        <v>erreur de calcul</v>
      </c>
      <c r="BI1599" s="19"/>
    </row>
    <row r="1600" customFormat="false" ht="15" hidden="false" customHeight="false" outlineLevel="0" collapsed="false">
      <c r="A1600" s="0" t="n">
        <v>30</v>
      </c>
      <c r="B1600" s="8" t="s">
        <v>24</v>
      </c>
      <c r="C1600" s="9" t="s">
        <v>25</v>
      </c>
      <c r="D1600" s="9" t="s">
        <v>26</v>
      </c>
      <c r="E1600" s="10" t="n">
        <v>1789</v>
      </c>
      <c r="F1600" s="9" t="s">
        <v>27</v>
      </c>
      <c r="G1600" s="9" t="s">
        <v>27</v>
      </c>
      <c r="H1600" s="11" t="n">
        <v>23</v>
      </c>
      <c r="I1600" s="11" t="s">
        <v>272</v>
      </c>
      <c r="J1600" s="14" t="n">
        <v>6</v>
      </c>
      <c r="K1600" s="14"/>
      <c r="L1600" s="16"/>
      <c r="M1600" s="27" t="n">
        <f aca="false">J1600+(K1600/20)+(L1600/240)</f>
        <v>6</v>
      </c>
      <c r="N1600" s="17" t="s">
        <v>64</v>
      </c>
      <c r="O1600" s="11"/>
      <c r="P1600" s="28"/>
      <c r="Q1600" s="28" t="n">
        <f aca="false">P1600*$M1600</f>
        <v>0</v>
      </c>
      <c r="R1600" s="28"/>
      <c r="S1600" s="28" t="n">
        <f aca="false">R1600*$M1600</f>
        <v>0</v>
      </c>
      <c r="T1600" s="28" t="n">
        <f aca="false">26711/100</f>
        <v>267.11</v>
      </c>
      <c r="U1600" s="28" t="n">
        <v>1603</v>
      </c>
      <c r="V1600" s="28" t="n">
        <f aca="false">790699/100</f>
        <v>7906.99</v>
      </c>
      <c r="W1600" s="28" t="n">
        <v>47442</v>
      </c>
      <c r="X1600" s="28" t="n">
        <f aca="false">50169/100</f>
        <v>501.69</v>
      </c>
      <c r="Y1600" s="28" t="n">
        <v>3010</v>
      </c>
      <c r="Z1600" s="28"/>
      <c r="AA1600" s="28" t="n">
        <f aca="false">Z1600*$M1600</f>
        <v>0</v>
      </c>
      <c r="AB1600" s="28"/>
      <c r="AC1600" s="28" t="n">
        <f aca="false">AB1600*$M1600</f>
        <v>0</v>
      </c>
      <c r="AD1600" s="28"/>
      <c r="AE1600" s="28" t="n">
        <f aca="false">AD1600*$M1600</f>
        <v>0</v>
      </c>
      <c r="AF1600" s="28"/>
      <c r="AG1600" s="28" t="n">
        <f aca="false">AF1600*$M1600</f>
        <v>0</v>
      </c>
      <c r="AH1600" s="28"/>
      <c r="AI1600" s="28" t="n">
        <f aca="false">AH1600*$M1600</f>
        <v>0</v>
      </c>
      <c r="AJ1600" s="28"/>
      <c r="AK1600" s="28" t="n">
        <f aca="false">AJ1600*$M1600</f>
        <v>0</v>
      </c>
      <c r="AL1600" s="28"/>
      <c r="AM1600" s="28" t="n">
        <f aca="false">AL1600*$M1600</f>
        <v>0</v>
      </c>
      <c r="AN1600" s="28"/>
      <c r="AO1600" s="28" t="n">
        <f aca="false">AN1600*$M1600</f>
        <v>0</v>
      </c>
      <c r="AP1600" s="28"/>
      <c r="AQ1600" s="28" t="n">
        <f aca="false">AP1600*$M1600</f>
        <v>0</v>
      </c>
      <c r="AR1600" s="28"/>
      <c r="AS1600" s="28" t="n">
        <f aca="false">AR1600*$M1600</f>
        <v>0</v>
      </c>
      <c r="AT1600" s="28"/>
      <c r="AU1600" s="28" t="n">
        <f aca="false">AT1600*$M1600</f>
        <v>0</v>
      </c>
      <c r="AV1600" s="28"/>
      <c r="AW1600" s="28" t="n">
        <f aca="false">AV1600*$M1600</f>
        <v>0</v>
      </c>
      <c r="AX1600" s="28"/>
      <c r="AY1600" s="28" t="n">
        <f aca="false">AX1600*$M1600</f>
        <v>0</v>
      </c>
      <c r="AZ1600" s="30" t="n">
        <f aca="false">867559/100</f>
        <v>8675.59</v>
      </c>
      <c r="BA1600" s="11" t="n">
        <v>52055</v>
      </c>
      <c r="BB1600" s="31" t="n">
        <f aca="false">SUM(Q1600,S1600,U1600,W1600,Y1600,AA1600,AC1600,AE1600,AG1600,AI1600,AK1600,AM1600,AO1600,AQ1600,AS1600,AU1600,AW1600,AY1600)</f>
        <v>52055</v>
      </c>
      <c r="BC1600" s="28" t="n">
        <f aca="false">BA1600-BB1600</f>
        <v>0</v>
      </c>
      <c r="BD1600" s="32" t="n">
        <f aca="false">SUM(P1600,R1600,T1600,V1600,X1600,Z1600,AB1600,AD1600,AF1600,AH1600,AJ1600,AL1600,AN1600,AP1600,AR1600,AT1600,AV1600,AX1600)</f>
        <v>8675.79</v>
      </c>
      <c r="BE1600" s="33" t="n">
        <f aca="false">AZ1600-BD1600</f>
        <v>-0.200000000000728</v>
      </c>
      <c r="BF1600" s="34" t="n">
        <f aca="false">BD1600*M1600</f>
        <v>52054.74</v>
      </c>
      <c r="BG1600" s="35" t="n">
        <f aca="false">BA1600-BF1600</f>
        <v>0.259999999994761</v>
      </c>
      <c r="BH1600" s="19" t="str">
        <f aca="false">IF(BG1600=0,"",IF(BG1600&lt;&gt;BA1600,"erreur de calcul",IF(BD1600&lt;&gt;0,"pas de prix",IF(M1600&lt;&gt; 0,"pas de quantité","pas de prix, ni de quantité"))))</f>
        <v>erreur de calcul</v>
      </c>
      <c r="BI1600" s="19"/>
    </row>
    <row r="1601" customFormat="false" ht="15" hidden="false" customHeight="false" outlineLevel="0" collapsed="false">
      <c r="A1601" s="0" t="n">
        <v>31</v>
      </c>
      <c r="B1601" s="8" t="s">
        <v>24</v>
      </c>
      <c r="C1601" s="9" t="s">
        <v>25</v>
      </c>
      <c r="D1601" s="9" t="s">
        <v>26</v>
      </c>
      <c r="E1601" s="10" t="n">
        <v>1789</v>
      </c>
      <c r="F1601" s="9" t="s">
        <v>27</v>
      </c>
      <c r="G1601" s="9" t="s">
        <v>27</v>
      </c>
      <c r="H1601" s="11" t="n">
        <v>23</v>
      </c>
      <c r="I1601" s="11" t="s">
        <v>273</v>
      </c>
      <c r="J1601" s="14" t="n">
        <v>8</v>
      </c>
      <c r="K1601" s="14"/>
      <c r="L1601" s="16"/>
      <c r="M1601" s="27" t="n">
        <f aca="false">J1601+(K1601/20)+(L1601/240)</f>
        <v>8</v>
      </c>
      <c r="N1601" s="17" t="s">
        <v>81</v>
      </c>
      <c r="O1601" s="11"/>
      <c r="P1601" s="28" t="n">
        <v>27</v>
      </c>
      <c r="Q1601" s="28" t="n">
        <v>216</v>
      </c>
      <c r="R1601" s="28"/>
      <c r="S1601" s="28" t="n">
        <f aca="false">R1601*$M1601</f>
        <v>0</v>
      </c>
      <c r="T1601" s="28"/>
      <c r="U1601" s="28" t="n">
        <f aca="false">T1601*$M1601</f>
        <v>0</v>
      </c>
      <c r="V1601" s="28" t="n">
        <v>40</v>
      </c>
      <c r="W1601" s="28" t="n">
        <v>320</v>
      </c>
      <c r="X1601" s="28"/>
      <c r="Y1601" s="28" t="n">
        <f aca="false">X1601*$M1601</f>
        <v>0</v>
      </c>
      <c r="Z1601" s="28"/>
      <c r="AA1601" s="28" t="n">
        <f aca="false">Z1601*$M1601</f>
        <v>0</v>
      </c>
      <c r="AB1601" s="28" t="n">
        <v>164</v>
      </c>
      <c r="AC1601" s="28" t="n">
        <v>1312</v>
      </c>
      <c r="AD1601" s="28"/>
      <c r="AE1601" s="28" t="n">
        <f aca="false">AD1601*$M1601</f>
        <v>0</v>
      </c>
      <c r="AF1601" s="28" t="n">
        <v>263</v>
      </c>
      <c r="AG1601" s="28" t="n">
        <v>2104</v>
      </c>
      <c r="AH1601" s="28"/>
      <c r="AI1601" s="28" t="n">
        <f aca="false">AH1601*$M1601</f>
        <v>0</v>
      </c>
      <c r="AJ1601" s="28"/>
      <c r="AK1601" s="28" t="n">
        <f aca="false">AJ1601*$M1601</f>
        <v>0</v>
      </c>
      <c r="AL1601" s="28"/>
      <c r="AM1601" s="28" t="n">
        <f aca="false">AL1601*$M1601</f>
        <v>0</v>
      </c>
      <c r="AN1601" s="28"/>
      <c r="AO1601" s="28" t="n">
        <f aca="false">AN1601*$M1601</f>
        <v>0</v>
      </c>
      <c r="AP1601" s="28" t="n">
        <v>278</v>
      </c>
      <c r="AQ1601" s="28" t="n">
        <v>2224</v>
      </c>
      <c r="AR1601" s="28"/>
      <c r="AS1601" s="28" t="n">
        <f aca="false">AR1601*$M1601</f>
        <v>0</v>
      </c>
      <c r="AT1601" s="28"/>
      <c r="AU1601" s="28" t="n">
        <f aca="false">AT1601*$M1601</f>
        <v>0</v>
      </c>
      <c r="AV1601" s="28"/>
      <c r="AW1601" s="28" t="n">
        <f aca="false">AV1601*$M1601</f>
        <v>0</v>
      </c>
      <c r="AX1601" s="28"/>
      <c r="AY1601" s="28" t="n">
        <f aca="false">AX1601*$M1601</f>
        <v>0</v>
      </c>
      <c r="AZ1601" s="30" t="n">
        <v>772</v>
      </c>
      <c r="BA1601" s="11" t="n">
        <v>6176</v>
      </c>
      <c r="BB1601" s="31" t="n">
        <f aca="false">SUM(Q1601,S1601,U1601,W1601,Y1601,AA1601,AC1601,AE1601,AG1601,AI1601,AK1601,AM1601,AO1601,AQ1601,AS1601,AU1601,AW1601,AY1601)</f>
        <v>6176</v>
      </c>
      <c r="BC1601" s="28" t="n">
        <f aca="false">BA1601-BB1601</f>
        <v>0</v>
      </c>
      <c r="BD1601" s="32" t="n">
        <f aca="false">SUM(P1601,R1601,T1601,V1601,X1601,Z1601,AB1601,AD1601,AF1601,AH1601,AJ1601,AL1601,AN1601,AP1601,AR1601,AT1601,AV1601,AX1601)</f>
        <v>772</v>
      </c>
      <c r="BE1601" s="33" t="n">
        <f aca="false">AZ1601-BD1601</f>
        <v>0</v>
      </c>
      <c r="BF1601" s="34" t="n">
        <f aca="false">BD1601*M1601</f>
        <v>6176</v>
      </c>
      <c r="BG1601" s="35" t="n">
        <f aca="false">BA1601-BF1601</f>
        <v>0</v>
      </c>
      <c r="BH1601" s="19" t="str">
        <f aca="false">IF(BG1601=0,"",IF(BG1601&lt;&gt;BA1601,"erreur de calcul",IF(BD1601&lt;&gt;0,"pas de prix",IF(M1601&lt;&gt; 0,"pas de quantité","pas de prix, ni de quantité"))))</f>
        <v/>
      </c>
      <c r="BI1601" s="19"/>
    </row>
    <row r="1602" customFormat="false" ht="15" hidden="false" customHeight="false" outlineLevel="0" collapsed="false">
      <c r="A1602" s="0" t="n">
        <v>32</v>
      </c>
      <c r="B1602" s="8" t="s">
        <v>24</v>
      </c>
      <c r="C1602" s="9" t="s">
        <v>25</v>
      </c>
      <c r="D1602" s="9" t="s">
        <v>26</v>
      </c>
      <c r="E1602" s="10" t="n">
        <v>1789</v>
      </c>
      <c r="F1602" s="9" t="s">
        <v>27</v>
      </c>
      <c r="G1602" s="9" t="s">
        <v>27</v>
      </c>
      <c r="H1602" s="11" t="n">
        <v>23</v>
      </c>
      <c r="I1602" s="11" t="s">
        <v>274</v>
      </c>
      <c r="J1602" s="14" t="n">
        <v>17</v>
      </c>
      <c r="K1602" s="14"/>
      <c r="L1602" s="16"/>
      <c r="M1602" s="27" t="n">
        <f aca="false">J1602+(K1602/20)+(L1602/240)</f>
        <v>17</v>
      </c>
      <c r="N1602" s="17" t="s">
        <v>275</v>
      </c>
      <c r="O1602" s="11"/>
      <c r="P1602" s="28" t="n">
        <v>200</v>
      </c>
      <c r="Q1602" s="28" t="n">
        <v>3400</v>
      </c>
      <c r="R1602" s="28"/>
      <c r="S1602" s="28" t="n">
        <f aca="false">R1602*$M1602</f>
        <v>0</v>
      </c>
      <c r="T1602" s="28"/>
      <c r="U1602" s="28" t="n">
        <f aca="false">T1602*$M1602</f>
        <v>0</v>
      </c>
      <c r="V1602" s="28"/>
      <c r="W1602" s="28" t="n">
        <f aca="false">V1602*$M1602</f>
        <v>0</v>
      </c>
      <c r="X1602" s="28" t="n">
        <v>145</v>
      </c>
      <c r="Y1602" s="28" t="n">
        <v>2465</v>
      </c>
      <c r="Z1602" s="28"/>
      <c r="AA1602" s="28" t="n">
        <f aca="false">Z1602*$M1602</f>
        <v>0</v>
      </c>
      <c r="AB1602" s="28"/>
      <c r="AC1602" s="28" t="n">
        <f aca="false">AB1602*$M1602</f>
        <v>0</v>
      </c>
      <c r="AD1602" s="28"/>
      <c r="AE1602" s="28" t="n">
        <f aca="false">AD1602*$M1602</f>
        <v>0</v>
      </c>
      <c r="AF1602" s="28"/>
      <c r="AG1602" s="28" t="n">
        <f aca="false">AF1602*$M1602</f>
        <v>0</v>
      </c>
      <c r="AH1602" s="28"/>
      <c r="AI1602" s="28" t="n">
        <f aca="false">AH1602*$M1602</f>
        <v>0</v>
      </c>
      <c r="AJ1602" s="28"/>
      <c r="AK1602" s="28" t="n">
        <f aca="false">AJ1602*$M1602</f>
        <v>0</v>
      </c>
      <c r="AL1602" s="28" t="n">
        <v>12</v>
      </c>
      <c r="AM1602" s="28" t="n">
        <v>204</v>
      </c>
      <c r="AN1602" s="28"/>
      <c r="AO1602" s="28" t="n">
        <f aca="false">AN1602*$M1602</f>
        <v>0</v>
      </c>
      <c r="AP1602" s="28"/>
      <c r="AQ1602" s="28" t="n">
        <f aca="false">AP1602*$M1602</f>
        <v>0</v>
      </c>
      <c r="AR1602" s="28"/>
      <c r="AS1602" s="28" t="n">
        <f aca="false">AR1602*$M1602</f>
        <v>0</v>
      </c>
      <c r="AT1602" s="28"/>
      <c r="AU1602" s="28" t="n">
        <f aca="false">AT1602*$M1602</f>
        <v>0</v>
      </c>
      <c r="AV1602" s="28"/>
      <c r="AW1602" s="28" t="n">
        <f aca="false">AV1602*$M1602</f>
        <v>0</v>
      </c>
      <c r="AX1602" s="28"/>
      <c r="AY1602" s="28" t="n">
        <f aca="false">AX1602*$M1602</f>
        <v>0</v>
      </c>
      <c r="AZ1602" s="30" t="n">
        <v>357</v>
      </c>
      <c r="BA1602" s="11" t="n">
        <v>6069</v>
      </c>
      <c r="BB1602" s="31" t="n">
        <f aca="false">SUM(Q1602,S1602,U1602,W1602,Y1602,AA1602,AC1602,AE1602,AG1602,AI1602,AK1602,AM1602,AO1602,AQ1602,AS1602,AU1602,AW1602,AY1602)</f>
        <v>6069</v>
      </c>
      <c r="BC1602" s="28" t="n">
        <f aca="false">BA1602-BB1602</f>
        <v>0</v>
      </c>
      <c r="BD1602" s="32" t="n">
        <f aca="false">SUM(P1602,R1602,T1602,V1602,X1602,Z1602,AB1602,AD1602,AF1602,AH1602,AJ1602,AL1602,AN1602,AP1602,AR1602,AT1602,AV1602,AX1602)</f>
        <v>357</v>
      </c>
      <c r="BE1602" s="33" t="n">
        <f aca="false">AZ1602-BD1602</f>
        <v>0</v>
      </c>
      <c r="BF1602" s="34" t="n">
        <f aca="false">BD1602*M1602</f>
        <v>6069</v>
      </c>
      <c r="BG1602" s="35" t="n">
        <f aca="false">BA1602-BF1602</f>
        <v>0</v>
      </c>
      <c r="BH1602" s="19" t="str">
        <f aca="false">IF(BG1602=0,"",IF(BG1602&lt;&gt;BA1602,"erreur de calcul",IF(BD1602&lt;&gt;0,"pas de prix",IF(M1602&lt;&gt; 0,"pas de quantité","pas de prix, ni de quantité"))))</f>
        <v/>
      </c>
      <c r="BI1602" s="19" t="s">
        <v>275</v>
      </c>
    </row>
    <row r="1603" customFormat="false" ht="15" hidden="false" customHeight="false" outlineLevel="0" collapsed="false">
      <c r="A1603" s="0" t="n">
        <v>33</v>
      </c>
      <c r="B1603" s="8" t="s">
        <v>24</v>
      </c>
      <c r="C1603" s="9" t="s">
        <v>25</v>
      </c>
      <c r="D1603" s="9" t="s">
        <v>26</v>
      </c>
      <c r="E1603" s="10" t="n">
        <v>1789</v>
      </c>
      <c r="F1603" s="9" t="s">
        <v>27</v>
      </c>
      <c r="G1603" s="9" t="s">
        <v>27</v>
      </c>
      <c r="H1603" s="11" t="n">
        <v>23</v>
      </c>
      <c r="I1603" s="11" t="s">
        <v>276</v>
      </c>
      <c r="J1603" s="14" t="n">
        <v>36</v>
      </c>
      <c r="K1603" s="14"/>
      <c r="L1603" s="16"/>
      <c r="M1603" s="27" t="n">
        <f aca="false">J1603+(K1603/20)+(L1603/240)</f>
        <v>36</v>
      </c>
      <c r="N1603" s="17" t="s">
        <v>275</v>
      </c>
      <c r="O1603" s="11" t="s">
        <v>277</v>
      </c>
      <c r="P1603" s="28"/>
      <c r="Q1603" s="28" t="n">
        <f aca="false">P1603*$M1603</f>
        <v>0</v>
      </c>
      <c r="R1603" s="28"/>
      <c r="S1603" s="28" t="n">
        <f aca="false">R1603*$M1603</f>
        <v>0</v>
      </c>
      <c r="T1603" s="28"/>
      <c r="U1603" s="28" t="n">
        <f aca="false">T1603*$M1603</f>
        <v>0</v>
      </c>
      <c r="V1603" s="28"/>
      <c r="W1603" s="28" t="n">
        <f aca="false">V1603*$M1603</f>
        <v>0</v>
      </c>
      <c r="X1603" s="28"/>
      <c r="Y1603" s="28" t="n">
        <f aca="false">X1603*$M1603</f>
        <v>0</v>
      </c>
      <c r="Z1603" s="28"/>
      <c r="AA1603" s="28" t="n">
        <f aca="false">Z1603*$M1603</f>
        <v>0</v>
      </c>
      <c r="AB1603" s="28"/>
      <c r="AC1603" s="28" t="n">
        <f aca="false">AB1603*$M1603</f>
        <v>0</v>
      </c>
      <c r="AD1603" s="28"/>
      <c r="AE1603" s="28" t="n">
        <f aca="false">AD1603*$M1603</f>
        <v>0</v>
      </c>
      <c r="AF1603" s="28"/>
      <c r="AG1603" s="28" t="n">
        <f aca="false">AF1603*$M1603</f>
        <v>0</v>
      </c>
      <c r="AH1603" s="28"/>
      <c r="AI1603" s="28" t="n">
        <f aca="false">AH1603*$M1603</f>
        <v>0</v>
      </c>
      <c r="AJ1603" s="28"/>
      <c r="AK1603" s="28" t="n">
        <f aca="false">AJ1603*$M1603</f>
        <v>0</v>
      </c>
      <c r="AL1603" s="28"/>
      <c r="AM1603" s="28" t="n">
        <f aca="false">AL1603*$M1603</f>
        <v>0</v>
      </c>
      <c r="AN1603" s="28"/>
      <c r="AO1603" s="28" t="n">
        <f aca="false">AN1603*$M1603</f>
        <v>0</v>
      </c>
      <c r="AP1603" s="28"/>
      <c r="AQ1603" s="28" t="n">
        <f aca="false">AP1603*$M1603</f>
        <v>0</v>
      </c>
      <c r="AR1603" s="28"/>
      <c r="AS1603" s="28" t="n">
        <f aca="false">AR1603*$M1603</f>
        <v>0</v>
      </c>
      <c r="AT1603" s="28"/>
      <c r="AU1603" s="28" t="n">
        <f aca="false">AT1603*$M1603</f>
        <v>0</v>
      </c>
      <c r="AV1603" s="28"/>
      <c r="AW1603" s="28" t="n">
        <f aca="false">AV1603*$M1603</f>
        <v>0</v>
      </c>
      <c r="AX1603" s="28"/>
      <c r="AY1603" s="28" t="n">
        <f aca="false">AX1603*$M1603</f>
        <v>0</v>
      </c>
      <c r="AZ1603" s="30"/>
      <c r="BA1603" s="11"/>
      <c r="BB1603" s="31" t="n">
        <f aca="false">SUM(Q1603,S1603,U1603,W1603,Y1603,AA1603,AC1603,AE1603,AG1603,AI1603,AK1603,AM1603,AO1603,AQ1603,AS1603,AU1603,AW1603,AY1603)</f>
        <v>0</v>
      </c>
      <c r="BC1603" s="28" t="n">
        <f aca="false">BA1603-BB1603</f>
        <v>0</v>
      </c>
      <c r="BD1603" s="32" t="n">
        <f aca="false">SUM(P1603,R1603,T1603,V1603,X1603,Z1603,AB1603,AD1603,AF1603,AH1603,AJ1603,AL1603,AN1603,AP1603,AR1603,AT1603,AV1603,AX1603)</f>
        <v>0</v>
      </c>
      <c r="BE1603" s="33" t="n">
        <f aca="false">AZ1603-BD1603</f>
        <v>0</v>
      </c>
      <c r="BF1603" s="34" t="n">
        <f aca="false">BD1603*M1603</f>
        <v>0</v>
      </c>
      <c r="BG1603" s="35" t="n">
        <f aca="false">BA1603-BF1603</f>
        <v>0</v>
      </c>
      <c r="BH1603" s="19" t="str">
        <f aca="false">IF(BG1603=0,"",IF(BG1603&lt;&gt;BA1603,"erreur de calcul",IF(BD1603&lt;&gt;0,"pas de prix",IF(M1603&lt;&gt; 0,"pas de quantité","pas de prix, ni de quantité"))))</f>
        <v/>
      </c>
      <c r="BI1603" s="19" t="s">
        <v>275</v>
      </c>
    </row>
    <row r="1604" customFormat="false" ht="15" hidden="false" customHeight="false" outlineLevel="0" collapsed="false">
      <c r="A1604" s="0" t="n">
        <v>34</v>
      </c>
      <c r="B1604" s="8" t="s">
        <v>24</v>
      </c>
      <c r="C1604" s="9" t="s">
        <v>25</v>
      </c>
      <c r="D1604" s="9" t="s">
        <v>26</v>
      </c>
      <c r="E1604" s="10" t="n">
        <v>1789</v>
      </c>
      <c r="F1604" s="9" t="s">
        <v>27</v>
      </c>
      <c r="G1604" s="9" t="s">
        <v>27</v>
      </c>
      <c r="H1604" s="11" t="n">
        <v>23</v>
      </c>
      <c r="I1604" s="11" t="s">
        <v>276</v>
      </c>
      <c r="J1604" s="14" t="n">
        <v>36</v>
      </c>
      <c r="K1604" s="14"/>
      <c r="L1604" s="16"/>
      <c r="M1604" s="27" t="n">
        <f aca="false">J1604+(K1604/20)+(L1604/240)</f>
        <v>36</v>
      </c>
      <c r="N1604" s="17" t="s">
        <v>275</v>
      </c>
      <c r="O1604" s="11" t="s">
        <v>77</v>
      </c>
      <c r="P1604" s="28" t="n">
        <v>7250</v>
      </c>
      <c r="Q1604" s="28" t="n">
        <v>261000</v>
      </c>
      <c r="R1604" s="28"/>
      <c r="S1604" s="28" t="n">
        <f aca="false">R1604*$M1604</f>
        <v>0</v>
      </c>
      <c r="T1604" s="28" t="n">
        <v>38389</v>
      </c>
      <c r="U1604" s="28" t="n">
        <v>1382004</v>
      </c>
      <c r="V1604" s="28" t="n">
        <v>19350</v>
      </c>
      <c r="W1604" s="28" t="n">
        <v>696600</v>
      </c>
      <c r="X1604" s="28" t="n">
        <v>25392</v>
      </c>
      <c r="Y1604" s="28" t="n">
        <v>914112</v>
      </c>
      <c r="Z1604" s="28" t="n">
        <v>31863</v>
      </c>
      <c r="AA1604" s="28" t="n">
        <v>1147068</v>
      </c>
      <c r="AB1604" s="28" t="n">
        <v>149064</v>
      </c>
      <c r="AC1604" s="28" t="n">
        <v>5366304</v>
      </c>
      <c r="AD1604" s="28" t="n">
        <v>1270</v>
      </c>
      <c r="AE1604" s="28" t="n">
        <v>45720</v>
      </c>
      <c r="AF1604" s="28" t="n">
        <v>54784</v>
      </c>
      <c r="AG1604" s="28" t="n">
        <v>1972224</v>
      </c>
      <c r="AH1604" s="28" t="n">
        <v>1200</v>
      </c>
      <c r="AI1604" s="28" t="n">
        <v>43200</v>
      </c>
      <c r="AJ1604" s="28" t="n">
        <v>10055</v>
      </c>
      <c r="AK1604" s="28" t="n">
        <v>361980</v>
      </c>
      <c r="AL1604" s="28"/>
      <c r="AM1604" s="28" t="n">
        <f aca="false">AL1604*$M1604</f>
        <v>0</v>
      </c>
      <c r="AN1604" s="28"/>
      <c r="AO1604" s="28" t="n">
        <f aca="false">AN1604*$M1604</f>
        <v>0</v>
      </c>
      <c r="AP1604" s="28" t="n">
        <v>220</v>
      </c>
      <c r="AQ1604" s="28" t="n">
        <f aca="false">AP1604*$M1604</f>
        <v>7920</v>
      </c>
      <c r="AR1604" s="28"/>
      <c r="AS1604" s="28" t="n">
        <f aca="false">AR1604*$M1604</f>
        <v>0</v>
      </c>
      <c r="AT1604" s="28"/>
      <c r="AU1604" s="28" t="n">
        <f aca="false">AT1604*$M1604</f>
        <v>0</v>
      </c>
      <c r="AV1604" s="28" t="n">
        <v>100</v>
      </c>
      <c r="AW1604" s="28" t="n">
        <v>3600</v>
      </c>
      <c r="AX1604" s="28" t="n">
        <v>9241</v>
      </c>
      <c r="AY1604" s="28" t="n">
        <v>332676</v>
      </c>
      <c r="AZ1604" s="30" t="n">
        <v>348178</v>
      </c>
      <c r="BA1604" s="11" t="n">
        <v>12534408</v>
      </c>
      <c r="BB1604" s="31" t="n">
        <f aca="false">SUM(Q1604,S1604,U1604,W1604,Y1604,AA1604,AC1604,AE1604,AG1604,AI1604,AK1604,AM1604,AO1604,AQ1604,AS1604,AU1604,AW1604,AY1604)</f>
        <v>12534408</v>
      </c>
      <c r="BC1604" s="28" t="n">
        <f aca="false">BA1604-BB1604</f>
        <v>0</v>
      </c>
      <c r="BD1604" s="32" t="n">
        <f aca="false">SUM(P1604,R1604,T1604,V1604,X1604,Z1604,AB1604,AD1604,AF1604,AH1604,AJ1604,AL1604,AN1604,AP1604,AR1604,AT1604,AV1604,AX1604)</f>
        <v>348178</v>
      </c>
      <c r="BE1604" s="33" t="n">
        <f aca="false">AZ1604-BD1604</f>
        <v>0</v>
      </c>
      <c r="BF1604" s="34" t="n">
        <f aca="false">BD1604*M1604</f>
        <v>12534408</v>
      </c>
      <c r="BG1604" s="35" t="n">
        <f aca="false">BA1604-BF1604</f>
        <v>0</v>
      </c>
      <c r="BH1604" s="19" t="str">
        <f aca="false">IF(BG1604=0,"",IF(BG1604&lt;&gt;BA1604,"erreur de calcul",IF(BD1604&lt;&gt;0,"pas de prix",IF(M1604&lt;&gt; 0,"pas de quantité","pas de prix, ni de quantité"))))</f>
        <v/>
      </c>
      <c r="BI1604" s="19"/>
    </row>
    <row r="1605" customFormat="false" ht="15" hidden="false" customHeight="false" outlineLevel="0" collapsed="false">
      <c r="A1605" s="0" t="n">
        <v>35</v>
      </c>
      <c r="B1605" s="8" t="s">
        <v>24</v>
      </c>
      <c r="C1605" s="9" t="s">
        <v>25</v>
      </c>
      <c r="D1605" s="9" t="s">
        <v>26</v>
      </c>
      <c r="E1605" s="10" t="n">
        <v>1789</v>
      </c>
      <c r="F1605" s="9" t="s">
        <v>27</v>
      </c>
      <c r="G1605" s="9" t="s">
        <v>27</v>
      </c>
      <c r="H1605" s="11" t="n">
        <v>23</v>
      </c>
      <c r="I1605" s="11" t="s">
        <v>278</v>
      </c>
      <c r="J1605" s="14" t="n">
        <v>12</v>
      </c>
      <c r="K1605" s="14"/>
      <c r="L1605" s="16"/>
      <c r="M1605" s="27" t="n">
        <f aca="false">J1605+(K1605/20)+(L1605/240)</f>
        <v>12</v>
      </c>
      <c r="N1605" s="17" t="s">
        <v>64</v>
      </c>
      <c r="O1605" s="11" t="s">
        <v>77</v>
      </c>
      <c r="P1605" s="28" t="n">
        <f aca="false">351312/100</f>
        <v>3513.12</v>
      </c>
      <c r="Q1605" s="28" t="n">
        <v>42157</v>
      </c>
      <c r="R1605" s="28"/>
      <c r="S1605" s="28" t="n">
        <f aca="false">R1605*$M1605</f>
        <v>0</v>
      </c>
      <c r="T1605" s="28" t="n">
        <f aca="false">52251/100</f>
        <v>522.51</v>
      </c>
      <c r="U1605" s="28" t="n">
        <v>6270</v>
      </c>
      <c r="V1605" s="28" t="n">
        <f aca="false">2393/100</f>
        <v>23.93</v>
      </c>
      <c r="W1605" s="28" t="n">
        <v>287</v>
      </c>
      <c r="X1605" s="28" t="n">
        <f aca="false">44842/100</f>
        <v>448.42</v>
      </c>
      <c r="Y1605" s="28" t="n">
        <v>5381</v>
      </c>
      <c r="Z1605" s="28"/>
      <c r="AA1605" s="28" t="n">
        <f aca="false">Z1605*$M1605</f>
        <v>0</v>
      </c>
      <c r="AB1605" s="28"/>
      <c r="AC1605" s="28" t="n">
        <f aca="false">AB1605*$M1605</f>
        <v>0</v>
      </c>
      <c r="AD1605" s="28"/>
      <c r="AE1605" s="28" t="n">
        <f aca="false">AD1605*$M1605</f>
        <v>0</v>
      </c>
      <c r="AF1605" s="28" t="n">
        <f aca="false">164167/100</f>
        <v>1641.67</v>
      </c>
      <c r="AG1605" s="28" t="n">
        <v>19700</v>
      </c>
      <c r="AH1605" s="28"/>
      <c r="AI1605" s="28" t="n">
        <f aca="false">AH1605*$M1605</f>
        <v>0</v>
      </c>
      <c r="AJ1605" s="28"/>
      <c r="AK1605" s="28" t="n">
        <f aca="false">AJ1605*$M1605</f>
        <v>0</v>
      </c>
      <c r="AL1605" s="28"/>
      <c r="AM1605" s="28" t="n">
        <f aca="false">AL1605*$M1605</f>
        <v>0</v>
      </c>
      <c r="AN1605" s="28"/>
      <c r="AO1605" s="28" t="n">
        <f aca="false">AN1605*$M1605</f>
        <v>0</v>
      </c>
      <c r="AP1605" s="28"/>
      <c r="AQ1605" s="28" t="n">
        <f aca="false">AP1605*$M1605</f>
        <v>0</v>
      </c>
      <c r="AR1605" s="28"/>
      <c r="AS1605" s="28" t="n">
        <f aca="false">AR1605*$M1605</f>
        <v>0</v>
      </c>
      <c r="AT1605" s="28"/>
      <c r="AU1605" s="28" t="n">
        <f aca="false">AT1605*$M1605</f>
        <v>0</v>
      </c>
      <c r="AV1605" s="28"/>
      <c r="AW1605" s="28" t="n">
        <f aca="false">AV1605*$M1605</f>
        <v>0</v>
      </c>
      <c r="AX1605" s="28" t="n">
        <f aca="false">25000/100</f>
        <v>250</v>
      </c>
      <c r="AY1605" s="28" t="n">
        <v>3000</v>
      </c>
      <c r="AZ1605" s="30"/>
      <c r="BA1605" s="11" t="n">
        <v>76795</v>
      </c>
      <c r="BB1605" s="31" t="n">
        <f aca="false">SUM(Q1605,S1605,U1605,W1605,Y1605,AA1605,AC1605,AE1605,AG1605,AI1605,AK1605,AM1605,AO1605,AQ1605,AS1605,AU1605,AW1605,AY1605)</f>
        <v>76795</v>
      </c>
      <c r="BC1605" s="28" t="n">
        <f aca="false">BA1605-BB1605</f>
        <v>0</v>
      </c>
      <c r="BD1605" s="32" t="n">
        <f aca="false">SUM(P1605,R1605,T1605,V1605,X1605,Z1605,AB1605,AD1605,AF1605,AH1605,AJ1605,AL1605,AN1605,AP1605,AR1605,AT1605,AV1605,AX1605)</f>
        <v>6399.65</v>
      </c>
      <c r="BE1605" s="33" t="n">
        <f aca="false">AZ1605-BD1605</f>
        <v>-6399.65</v>
      </c>
      <c r="BF1605" s="34" t="n">
        <f aca="false">BD1605*M1605</f>
        <v>76795.8</v>
      </c>
      <c r="BG1605" s="35" t="n">
        <f aca="false">BA1605-BF1605</f>
        <v>-0.799999999988359</v>
      </c>
      <c r="BH1605" s="19" t="str">
        <f aca="false">IF(BG1605=0,"",IF(BG1605&lt;&gt;BA1605,"erreur de calcul",IF(BD1605&lt;&gt;0,"pas de prix",IF(M1605&lt;&gt; 0,"pas de quantité","pas de prix, ni de quantité"))))</f>
        <v>erreur de calcul</v>
      </c>
      <c r="BI1605" s="19"/>
    </row>
    <row r="1606" customFormat="false" ht="15" hidden="false" customHeight="false" outlineLevel="0" collapsed="false">
      <c r="A1606" s="0" t="n">
        <v>36</v>
      </c>
      <c r="B1606" s="8" t="s">
        <v>24</v>
      </c>
      <c r="C1606" s="9" t="s">
        <v>25</v>
      </c>
      <c r="D1606" s="9" t="s">
        <v>26</v>
      </c>
      <c r="E1606" s="10" t="n">
        <v>1789</v>
      </c>
      <c r="F1606" s="9" t="s">
        <v>27</v>
      </c>
      <c r="G1606" s="9" t="s">
        <v>27</v>
      </c>
      <c r="H1606" s="11" t="n">
        <v>23</v>
      </c>
      <c r="I1606" s="11" t="s">
        <v>279</v>
      </c>
      <c r="J1606" s="14" t="n">
        <v>18</v>
      </c>
      <c r="K1606" s="14"/>
      <c r="L1606" s="16"/>
      <c r="M1606" s="27" t="n">
        <f aca="false">J1606+(K1606/20)+(L1606/240)</f>
        <v>18</v>
      </c>
      <c r="N1606" s="17" t="s">
        <v>275</v>
      </c>
      <c r="O1606" s="11"/>
      <c r="P1606" s="28"/>
      <c r="Q1606" s="28" t="n">
        <f aca="false">P1606*$M1606</f>
        <v>0</v>
      </c>
      <c r="R1606" s="28"/>
      <c r="S1606" s="28" t="n">
        <f aca="false">R1606*$M1606</f>
        <v>0</v>
      </c>
      <c r="T1606" s="28" t="n">
        <v>100</v>
      </c>
      <c r="U1606" s="28" t="n">
        <v>1800</v>
      </c>
      <c r="V1606" s="28"/>
      <c r="W1606" s="28" t="n">
        <f aca="false">V1606*$M1606</f>
        <v>0</v>
      </c>
      <c r="X1606" s="28"/>
      <c r="Y1606" s="28" t="n">
        <f aca="false">X1606*$M1606</f>
        <v>0</v>
      </c>
      <c r="Z1606" s="28"/>
      <c r="AA1606" s="28" t="n">
        <f aca="false">Z1606*$M1606</f>
        <v>0</v>
      </c>
      <c r="AB1606" s="28" t="n">
        <v>1936</v>
      </c>
      <c r="AC1606" s="28" t="n">
        <v>34848</v>
      </c>
      <c r="AD1606" s="28"/>
      <c r="AE1606" s="28" t="n">
        <f aca="false">AD1606*$M1606</f>
        <v>0</v>
      </c>
      <c r="AF1606" s="28" t="n">
        <v>600</v>
      </c>
      <c r="AG1606" s="28" t="n">
        <v>10800</v>
      </c>
      <c r="AH1606" s="28"/>
      <c r="AI1606" s="28" t="n">
        <f aca="false">AH1606*$M1606</f>
        <v>0</v>
      </c>
      <c r="AJ1606" s="28"/>
      <c r="AK1606" s="28" t="n">
        <f aca="false">AJ1606*$M1606</f>
        <v>0</v>
      </c>
      <c r="AL1606" s="28" t="n">
        <v>12</v>
      </c>
      <c r="AM1606" s="28" t="n">
        <v>216</v>
      </c>
      <c r="AN1606" s="28"/>
      <c r="AO1606" s="28" t="n">
        <f aca="false">AN1606*$M1606</f>
        <v>0</v>
      </c>
      <c r="AP1606" s="28" t="n">
        <v>12</v>
      </c>
      <c r="AQ1606" s="28" t="n">
        <v>216</v>
      </c>
      <c r="AR1606" s="28"/>
      <c r="AS1606" s="28" t="n">
        <f aca="false">AR1606*$M1606</f>
        <v>0</v>
      </c>
      <c r="AT1606" s="28"/>
      <c r="AU1606" s="28" t="n">
        <f aca="false">AT1606*$M1606</f>
        <v>0</v>
      </c>
      <c r="AV1606" s="28"/>
      <c r="AW1606" s="28" t="n">
        <f aca="false">AV1606*$M1606</f>
        <v>0</v>
      </c>
      <c r="AX1606" s="28"/>
      <c r="AY1606" s="28" t="n">
        <f aca="false">AX1606*$M1606</f>
        <v>0</v>
      </c>
      <c r="AZ1606" s="30" t="n">
        <v>2660</v>
      </c>
      <c r="BA1606" s="11" t="n">
        <v>47880</v>
      </c>
      <c r="BB1606" s="31" t="n">
        <f aca="false">SUM(Q1606,S1606,U1606,W1606,Y1606,AA1606,AC1606,AE1606,AG1606,AI1606,AK1606,AM1606,AO1606,AQ1606,AS1606,AU1606,AW1606,AY1606)</f>
        <v>47880</v>
      </c>
      <c r="BC1606" s="28" t="n">
        <f aca="false">BA1606-BB1606</f>
        <v>0</v>
      </c>
      <c r="BD1606" s="32" t="n">
        <f aca="false">SUM(P1606,R1606,T1606,V1606,X1606,Z1606,AB1606,AD1606,AF1606,AH1606,AJ1606,AL1606,AN1606,AP1606,AR1606,AT1606,AV1606,AX1606)</f>
        <v>2660</v>
      </c>
      <c r="BE1606" s="33" t="n">
        <f aca="false">AZ1606-BD1606</f>
        <v>0</v>
      </c>
      <c r="BF1606" s="34" t="n">
        <f aca="false">BD1606*M1606</f>
        <v>47880</v>
      </c>
      <c r="BG1606" s="35" t="n">
        <f aca="false">BA1606-BF1606</f>
        <v>0</v>
      </c>
      <c r="BH1606" s="19" t="str">
        <f aca="false">IF(BG1606=0,"",IF(BG1606&lt;&gt;BA1606,"erreur de calcul",IF(BD1606&lt;&gt;0,"pas de prix",IF(M1606&lt;&gt; 0,"pas de quantité","pas de prix, ni de quantité"))))</f>
        <v/>
      </c>
      <c r="BI1606" s="19"/>
    </row>
    <row r="1607" customFormat="false" ht="15" hidden="false" customHeight="false" outlineLevel="0" collapsed="false">
      <c r="A1607" s="0" t="n">
        <v>37</v>
      </c>
      <c r="B1607" s="8" t="s">
        <v>24</v>
      </c>
      <c r="C1607" s="9" t="s">
        <v>25</v>
      </c>
      <c r="D1607" s="9" t="s">
        <v>26</v>
      </c>
      <c r="E1607" s="10" t="n">
        <v>1789</v>
      </c>
      <c r="F1607" s="9" t="s">
        <v>27</v>
      </c>
      <c r="G1607" s="9" t="s">
        <v>27</v>
      </c>
      <c r="H1607" s="11" t="n">
        <v>23</v>
      </c>
      <c r="I1607" s="11" t="s">
        <v>280</v>
      </c>
      <c r="J1607" s="14" t="n">
        <v>25</v>
      </c>
      <c r="K1607" s="14"/>
      <c r="L1607" s="16"/>
      <c r="M1607" s="27" t="n">
        <f aca="false">J1607+(K1607/20)+(L1607/240)</f>
        <v>25</v>
      </c>
      <c r="N1607" s="17" t="s">
        <v>64</v>
      </c>
      <c r="O1607" s="11"/>
      <c r="P1607" s="28"/>
      <c r="Q1607" s="28" t="n">
        <f aca="false">P1607*$M1607</f>
        <v>0</v>
      </c>
      <c r="R1607" s="28"/>
      <c r="S1607" s="28" t="n">
        <f aca="false">R1607*$M1607</f>
        <v>0</v>
      </c>
      <c r="T1607" s="28" t="n">
        <f aca="false">1664501/100</f>
        <v>16645.01</v>
      </c>
      <c r="U1607" s="28" t="n">
        <v>416125</v>
      </c>
      <c r="V1607" s="28" t="n">
        <f aca="false">2171980/100</f>
        <v>21719.8</v>
      </c>
      <c r="W1607" s="28" t="n">
        <v>542995</v>
      </c>
      <c r="X1607" s="28" t="n">
        <f aca="false">11567/100</f>
        <v>115.67</v>
      </c>
      <c r="Y1607" s="28" t="n">
        <v>2892</v>
      </c>
      <c r="Z1607" s="28" t="n">
        <f aca="false">985/100</f>
        <v>9.85</v>
      </c>
      <c r="AA1607" s="28" t="n">
        <v>246</v>
      </c>
      <c r="AB1607" s="28" t="n">
        <f aca="false">399494/100</f>
        <v>3994.94</v>
      </c>
      <c r="AC1607" s="28" t="n">
        <v>99873</v>
      </c>
      <c r="AD1607" s="28"/>
      <c r="AE1607" s="28" t="n">
        <f aca="false">AD1607*$M1607</f>
        <v>0</v>
      </c>
      <c r="AF1607" s="28"/>
      <c r="AG1607" s="28" t="n">
        <f aca="false">AF1607*$M1607</f>
        <v>0</v>
      </c>
      <c r="AH1607" s="28"/>
      <c r="AI1607" s="28" t="n">
        <f aca="false">AH1607*$M1607</f>
        <v>0</v>
      </c>
      <c r="AJ1607" s="28"/>
      <c r="AK1607" s="28" t="n">
        <f aca="false">AJ1607*$M1607</f>
        <v>0</v>
      </c>
      <c r="AL1607" s="28"/>
      <c r="AM1607" s="28" t="n">
        <f aca="false">AL1607*$M1607</f>
        <v>0</v>
      </c>
      <c r="AN1607" s="28"/>
      <c r="AO1607" s="28" t="n">
        <f aca="false">AN1607*$M1607</f>
        <v>0</v>
      </c>
      <c r="AP1607" s="28"/>
      <c r="AQ1607" s="28" t="n">
        <f aca="false">AP1607*$M1607</f>
        <v>0</v>
      </c>
      <c r="AR1607" s="28"/>
      <c r="AS1607" s="28" t="n">
        <f aca="false">AR1607*$M1607</f>
        <v>0</v>
      </c>
      <c r="AT1607" s="28"/>
      <c r="AU1607" s="28" t="n">
        <f aca="false">AT1607*$M1607</f>
        <v>0</v>
      </c>
      <c r="AV1607" s="28"/>
      <c r="AW1607" s="28" t="n">
        <f aca="false">AV1607*$M1607</f>
        <v>0</v>
      </c>
      <c r="AX1607" s="28" t="n">
        <f aca="false">57000/100</f>
        <v>570</v>
      </c>
      <c r="AY1607" s="28" t="n">
        <v>14250</v>
      </c>
      <c r="AZ1607" s="30" t="n">
        <f aca="false">4305527/100</f>
        <v>43055.27</v>
      </c>
      <c r="BA1607" s="11" t="n">
        <v>1076381</v>
      </c>
      <c r="BB1607" s="31" t="n">
        <f aca="false">SUM(Q1607,S1607,U1607,W1607,Y1607,AA1607,AC1607,AE1607,AG1607,AI1607,AK1607,AM1607,AO1607,AQ1607,AS1607,AU1607,AW1607,AY1607)</f>
        <v>1076381</v>
      </c>
      <c r="BC1607" s="28" t="n">
        <f aca="false">BA1607-BB1607</f>
        <v>0</v>
      </c>
      <c r="BD1607" s="32" t="n">
        <f aca="false">SUM(P1607,R1607,T1607,V1607,X1607,Z1607,AB1607,AD1607,AF1607,AH1607,AJ1607,AL1607,AN1607,AP1607,AR1607,AT1607,AV1607,AX1607)</f>
        <v>43055.27</v>
      </c>
      <c r="BE1607" s="33" t="n">
        <f aca="false">AZ1607-BD1607</f>
        <v>0</v>
      </c>
      <c r="BF1607" s="34" t="n">
        <f aca="false">BD1607*M1607</f>
        <v>1076381.75</v>
      </c>
      <c r="BG1607" s="35" t="n">
        <f aca="false">BA1607-BF1607</f>
        <v>-0.75</v>
      </c>
      <c r="BH1607" s="19" t="str">
        <f aca="false">IF(BG1607=0,"",IF(BG1607&lt;&gt;BA1607,"erreur de calcul",IF(BD1607&lt;&gt;0,"pas de prix",IF(M1607&lt;&gt; 0,"pas de quantité","pas de prix, ni de quantité"))))</f>
        <v>erreur de calcul</v>
      </c>
      <c r="BI1607" s="19"/>
    </row>
    <row r="1608" customFormat="false" ht="15" hidden="false" customHeight="false" outlineLevel="0" collapsed="false">
      <c r="A1608" s="0" t="n">
        <v>38</v>
      </c>
      <c r="B1608" s="8" t="s">
        <v>24</v>
      </c>
      <c r="C1608" s="9" t="s">
        <v>25</v>
      </c>
      <c r="D1608" s="9" t="s">
        <v>26</v>
      </c>
      <c r="E1608" s="10" t="n">
        <v>1789</v>
      </c>
      <c r="F1608" s="9" t="s">
        <v>27</v>
      </c>
      <c r="G1608" s="9" t="s">
        <v>27</v>
      </c>
      <c r="H1608" s="11" t="n">
        <v>23</v>
      </c>
      <c r="I1608" s="11" t="s">
        <v>281</v>
      </c>
      <c r="J1608" s="14" t="n">
        <v>18</v>
      </c>
      <c r="K1608" s="14"/>
      <c r="L1608" s="16"/>
      <c r="M1608" s="27" t="n">
        <f aca="false">J1608+(K1608/20)+(L1608/240)</f>
        <v>18</v>
      </c>
      <c r="N1608" s="17" t="s">
        <v>275</v>
      </c>
      <c r="O1608" s="11"/>
      <c r="P1608" s="28"/>
      <c r="Q1608" s="28" t="n">
        <f aca="false">P1608*$M1608</f>
        <v>0</v>
      </c>
      <c r="R1608" s="28"/>
      <c r="S1608" s="28" t="n">
        <f aca="false">R1608*$M1608</f>
        <v>0</v>
      </c>
      <c r="T1608" s="28" t="n">
        <v>537</v>
      </c>
      <c r="U1608" s="28" t="n">
        <v>9666</v>
      </c>
      <c r="V1608" s="28"/>
      <c r="W1608" s="28" t="n">
        <f aca="false">V1608*$M1608</f>
        <v>0</v>
      </c>
      <c r="X1608" s="28"/>
      <c r="Y1608" s="28" t="n">
        <f aca="false">X1608*$M1608</f>
        <v>0</v>
      </c>
      <c r="Z1608" s="28"/>
      <c r="AA1608" s="28" t="n">
        <f aca="false">Z1608*$M1608</f>
        <v>0</v>
      </c>
      <c r="AB1608" s="28"/>
      <c r="AC1608" s="28" t="n">
        <f aca="false">AB1608*$M1608</f>
        <v>0</v>
      </c>
      <c r="AD1608" s="28"/>
      <c r="AE1608" s="28" t="n">
        <f aca="false">AD1608*$M1608</f>
        <v>0</v>
      </c>
      <c r="AF1608" s="28"/>
      <c r="AG1608" s="28" t="n">
        <f aca="false">AF1608*$M1608</f>
        <v>0</v>
      </c>
      <c r="AH1608" s="28"/>
      <c r="AI1608" s="28" t="n">
        <f aca="false">AH1608*$M1608</f>
        <v>0</v>
      </c>
      <c r="AJ1608" s="28"/>
      <c r="AK1608" s="28" t="n">
        <f aca="false">AJ1608*$M1608</f>
        <v>0</v>
      </c>
      <c r="AL1608" s="28"/>
      <c r="AM1608" s="28" t="n">
        <f aca="false">AL1608*$M1608</f>
        <v>0</v>
      </c>
      <c r="AN1608" s="28"/>
      <c r="AO1608" s="28" t="n">
        <f aca="false">AN1608*$M1608</f>
        <v>0</v>
      </c>
      <c r="AP1608" s="28"/>
      <c r="AQ1608" s="28" t="n">
        <f aca="false">AP1608*$M1608</f>
        <v>0</v>
      </c>
      <c r="AR1608" s="28"/>
      <c r="AS1608" s="28" t="n">
        <f aca="false">AR1608*$M1608</f>
        <v>0</v>
      </c>
      <c r="AT1608" s="28"/>
      <c r="AU1608" s="28" t="n">
        <f aca="false">AT1608*$M1608</f>
        <v>0</v>
      </c>
      <c r="AV1608" s="28" t="n">
        <v>1700</v>
      </c>
      <c r="AW1608" s="36" t="n">
        <v>33600</v>
      </c>
      <c r="AX1608" s="28"/>
      <c r="AY1608" s="28" t="n">
        <f aca="false">AX1608*$M1608</f>
        <v>0</v>
      </c>
      <c r="AZ1608" s="30" t="n">
        <v>2237</v>
      </c>
      <c r="BA1608" s="11" t="n">
        <v>43266</v>
      </c>
      <c r="BB1608" s="31" t="n">
        <f aca="false">SUM(Q1608,S1608,U1608,W1608,Y1608,AA1608,AC1608,AE1608,AG1608,AI1608,AK1608,AM1608,AO1608,AQ1608,AS1608,AU1608,AW1608,AY1608)</f>
        <v>43266</v>
      </c>
      <c r="BC1608" s="28" t="n">
        <f aca="false">BA1608-BB1608</f>
        <v>0</v>
      </c>
      <c r="BD1608" s="32" t="n">
        <f aca="false">SUM(P1608,R1608,T1608,V1608,X1608,Z1608,AB1608,AD1608,AF1608,AH1608,AJ1608,AL1608,AN1608,AP1608,AR1608,AT1608,AV1608,AX1608)</f>
        <v>2237</v>
      </c>
      <c r="BE1608" s="33" t="n">
        <f aca="false">AZ1608-BD1608</f>
        <v>0</v>
      </c>
      <c r="BF1608" s="34" t="n">
        <f aca="false">BD1608*M1608</f>
        <v>40266</v>
      </c>
      <c r="BG1608" s="35" t="n">
        <f aca="false">BA1608-BF1608</f>
        <v>3000</v>
      </c>
      <c r="BH1608" s="19" t="str">
        <f aca="false">IF(BG1608=0,"",IF(BG1608&lt;&gt;BA1608,"erreur de calcul",IF(BD1608&lt;&gt;0,"pas de prix",IF(M1608&lt;&gt; 0,"pas de quantité","pas de prix, ni de quantité"))))</f>
        <v>erreur de calcul</v>
      </c>
      <c r="BI1608" s="19"/>
    </row>
    <row r="1609" customFormat="false" ht="15" hidden="false" customHeight="false" outlineLevel="0" collapsed="false">
      <c r="A1609" s="0" t="n">
        <v>39</v>
      </c>
      <c r="B1609" s="8" t="s">
        <v>24</v>
      </c>
      <c r="C1609" s="9" t="s">
        <v>25</v>
      </c>
      <c r="D1609" s="9" t="s">
        <v>26</v>
      </c>
      <c r="E1609" s="10" t="n">
        <v>1789</v>
      </c>
      <c r="F1609" s="9" t="s">
        <v>27</v>
      </c>
      <c r="G1609" s="9" t="s">
        <v>27</v>
      </c>
      <c r="H1609" s="11" t="n">
        <v>23</v>
      </c>
      <c r="I1609" s="11" t="s">
        <v>282</v>
      </c>
      <c r="J1609" s="14"/>
      <c r="K1609" s="14"/>
      <c r="L1609" s="16"/>
      <c r="M1609" s="27" t="n">
        <f aca="false">J1609+(K1609/20)+(L1609/240)</f>
        <v>0</v>
      </c>
      <c r="N1609" s="17"/>
      <c r="O1609" s="11"/>
      <c r="P1609" s="28"/>
      <c r="Q1609" s="28" t="n">
        <f aca="false">P1609*$M1609</f>
        <v>0</v>
      </c>
      <c r="R1609" s="28"/>
      <c r="S1609" s="28" t="n">
        <f aca="false">R1609*$M1609</f>
        <v>0</v>
      </c>
      <c r="T1609" s="28"/>
      <c r="U1609" s="28" t="n">
        <v>1962</v>
      </c>
      <c r="V1609" s="28"/>
      <c r="W1609" s="28" t="n">
        <v>148</v>
      </c>
      <c r="X1609" s="28"/>
      <c r="Y1609" s="28" t="n">
        <v>221</v>
      </c>
      <c r="Z1609" s="28"/>
      <c r="AA1609" s="28" t="n">
        <f aca="false">Z1609*$M1609</f>
        <v>0</v>
      </c>
      <c r="AB1609" s="28"/>
      <c r="AC1609" s="28" t="n">
        <v>725</v>
      </c>
      <c r="AD1609" s="28"/>
      <c r="AE1609" s="28" t="n">
        <f aca="false">AD1609*$M1609</f>
        <v>0</v>
      </c>
      <c r="AF1609" s="28"/>
      <c r="AG1609" s="28" t="n">
        <v>414</v>
      </c>
      <c r="AH1609" s="28"/>
      <c r="AI1609" s="28" t="n">
        <f aca="false">AH1609*$M1609</f>
        <v>0</v>
      </c>
      <c r="AJ1609" s="28"/>
      <c r="AK1609" s="28" t="n">
        <f aca="false">AJ1609*$M1609</f>
        <v>0</v>
      </c>
      <c r="AL1609" s="28"/>
      <c r="AM1609" s="28" t="n">
        <f aca="false">AL1609*$M1609</f>
        <v>0</v>
      </c>
      <c r="AN1609" s="28"/>
      <c r="AO1609" s="28" t="n">
        <f aca="false">AN1609*$M1609</f>
        <v>0</v>
      </c>
      <c r="AP1609" s="28"/>
      <c r="AQ1609" s="28" t="n">
        <f aca="false">AP1609*$M1609</f>
        <v>0</v>
      </c>
      <c r="AR1609" s="28"/>
      <c r="AS1609" s="28" t="n">
        <f aca="false">AR1609*$M1609</f>
        <v>0</v>
      </c>
      <c r="AT1609" s="28"/>
      <c r="AU1609" s="28" t="n">
        <v>276</v>
      </c>
      <c r="AV1609" s="28"/>
      <c r="AW1609" s="28" t="n">
        <f aca="false">AV1609*$M1609</f>
        <v>0</v>
      </c>
      <c r="AX1609" s="28"/>
      <c r="AY1609" s="28" t="n">
        <f aca="false">AX1609*$M1609</f>
        <v>0</v>
      </c>
      <c r="AZ1609" s="30"/>
      <c r="BA1609" s="11" t="n">
        <v>3746</v>
      </c>
      <c r="BB1609" s="31" t="n">
        <f aca="false">SUM(Q1609,S1609,U1609,W1609,Y1609,AA1609,AC1609,AE1609,AG1609,AI1609,AK1609,AM1609,AO1609,AQ1609,AS1609,AU1609,AW1609,AY1609)</f>
        <v>3746</v>
      </c>
      <c r="BC1609" s="28" t="n">
        <f aca="false">BA1609-BB1609</f>
        <v>0</v>
      </c>
      <c r="BD1609" s="32" t="n">
        <f aca="false">SUM(P1609,R1609,T1609,V1609,X1609,Z1609,AB1609,AD1609,AF1609,AH1609,AJ1609,AL1609,AN1609,AP1609,AR1609,AT1609,AV1609,AX1609)</f>
        <v>0</v>
      </c>
      <c r="BE1609" s="33" t="n">
        <f aca="false">AZ1609-BD1609</f>
        <v>0</v>
      </c>
      <c r="BF1609" s="34" t="n">
        <f aca="false">BD1609*M1609</f>
        <v>0</v>
      </c>
      <c r="BG1609" s="35" t="n">
        <f aca="false">BA1609-BF1609</f>
        <v>3746</v>
      </c>
      <c r="BH1609" s="19" t="str">
        <f aca="false">IF(BG1609=0,"",IF(BG1609&lt;&gt;BA1609,"erreur de calcul",IF(BD1609&lt;&gt;0,"pas de prix",IF(M1609&lt;&gt; 0,"pas de quantité","pas de prix, ni de quantité"))))</f>
        <v>pas de prix, ni de quantité</v>
      </c>
      <c r="BI1609" s="19"/>
    </row>
    <row r="1610" customFormat="false" ht="15" hidden="false" customHeight="false" outlineLevel="0" collapsed="false">
      <c r="A1610" s="0" t="n">
        <v>40</v>
      </c>
      <c r="B1610" s="8" t="s">
        <v>24</v>
      </c>
      <c r="C1610" s="9" t="s">
        <v>25</v>
      </c>
      <c r="D1610" s="9" t="s">
        <v>26</v>
      </c>
      <c r="E1610" s="10" t="n">
        <v>1789</v>
      </c>
      <c r="F1610" s="9" t="s">
        <v>27</v>
      </c>
      <c r="G1610" s="9" t="s">
        <v>27</v>
      </c>
      <c r="H1610" s="11" t="n">
        <v>23</v>
      </c>
      <c r="I1610" s="11" t="s">
        <v>283</v>
      </c>
      <c r="J1610" s="14" t="n">
        <v>25</v>
      </c>
      <c r="K1610" s="14"/>
      <c r="L1610" s="16"/>
      <c r="M1610" s="27" t="n">
        <f aca="false">J1610+(K1610/20)+(L1610/240)</f>
        <v>25</v>
      </c>
      <c r="N1610" s="17" t="s">
        <v>64</v>
      </c>
      <c r="O1610" s="11"/>
      <c r="P1610" s="28" t="n">
        <f aca="false">12568/100</f>
        <v>125.68</v>
      </c>
      <c r="Q1610" s="28" t="n">
        <v>3142</v>
      </c>
      <c r="R1610" s="28"/>
      <c r="S1610" s="28" t="n">
        <f aca="false">R1610*$M1610</f>
        <v>0</v>
      </c>
      <c r="T1610" s="28"/>
      <c r="U1610" s="28" t="n">
        <f aca="false">T1610*$M1610</f>
        <v>0</v>
      </c>
      <c r="V1610" s="28"/>
      <c r="W1610" s="28" t="n">
        <f aca="false">V1610*$M1610</f>
        <v>0</v>
      </c>
      <c r="X1610" s="28"/>
      <c r="Y1610" s="28" t="n">
        <f aca="false">X1610*$M1610</f>
        <v>0</v>
      </c>
      <c r="Z1610" s="28"/>
      <c r="AA1610" s="28" t="n">
        <f aca="false">Z1610*$M1610</f>
        <v>0</v>
      </c>
      <c r="AB1610" s="28"/>
      <c r="AC1610" s="28" t="n">
        <f aca="false">AB1610*$M1610</f>
        <v>0</v>
      </c>
      <c r="AD1610" s="28"/>
      <c r="AE1610" s="28" t="n">
        <f aca="false">AD1610*$M1610</f>
        <v>0</v>
      </c>
      <c r="AF1610" s="28"/>
      <c r="AG1610" s="28" t="n">
        <f aca="false">AF1610*$M1610</f>
        <v>0</v>
      </c>
      <c r="AH1610" s="28" t="n">
        <f aca="false">5355/100</f>
        <v>53.55</v>
      </c>
      <c r="AI1610" s="28" t="n">
        <v>1339</v>
      </c>
      <c r="AJ1610" s="28"/>
      <c r="AK1610" s="28" t="n">
        <f aca="false">AJ1610*$M1610</f>
        <v>0</v>
      </c>
      <c r="AL1610" s="28"/>
      <c r="AM1610" s="28" t="n">
        <f aca="false">AL1610*$M1610</f>
        <v>0</v>
      </c>
      <c r="AN1610" s="28"/>
      <c r="AO1610" s="28" t="n">
        <f aca="false">AN1610*$M1610</f>
        <v>0</v>
      </c>
      <c r="AP1610" s="28"/>
      <c r="AQ1610" s="28" t="n">
        <f aca="false">AP1610*$M1610</f>
        <v>0</v>
      </c>
      <c r="AR1610" s="28"/>
      <c r="AS1610" s="28" t="n">
        <f aca="false">AR1610*$M1610</f>
        <v>0</v>
      </c>
      <c r="AT1610" s="28"/>
      <c r="AU1610" s="28" t="n">
        <f aca="false">AT1610*$M1610</f>
        <v>0</v>
      </c>
      <c r="AV1610" s="28"/>
      <c r="AW1610" s="28" t="n">
        <f aca="false">AV1610*$M1610</f>
        <v>0</v>
      </c>
      <c r="AX1610" s="28"/>
      <c r="AY1610" s="28" t="n">
        <f aca="false">AX1610*$M1610</f>
        <v>0</v>
      </c>
      <c r="AZ1610" s="30" t="n">
        <f aca="false">17923/100</f>
        <v>179.23</v>
      </c>
      <c r="BA1610" s="11" t="n">
        <v>4481</v>
      </c>
      <c r="BB1610" s="31" t="n">
        <f aca="false">SUM(Q1610,S1610,U1610,W1610,Y1610,AA1610,AC1610,AE1610,AG1610,AI1610,AK1610,AM1610,AO1610,AQ1610,AS1610,AU1610,AW1610,AY1610)</f>
        <v>4481</v>
      </c>
      <c r="BC1610" s="28" t="n">
        <f aca="false">BA1610-BB1610</f>
        <v>0</v>
      </c>
      <c r="BD1610" s="32" t="n">
        <f aca="false">SUM(P1610,R1610,T1610,V1610,X1610,Z1610,AB1610,AD1610,AF1610,AH1610,AJ1610,AL1610,AN1610,AP1610,AR1610,AT1610,AV1610,AX1610)</f>
        <v>179.23</v>
      </c>
      <c r="BE1610" s="33" t="n">
        <f aca="false">AZ1610-BD1610</f>
        <v>0</v>
      </c>
      <c r="BF1610" s="34" t="n">
        <f aca="false">BD1610*M1610</f>
        <v>4480.75</v>
      </c>
      <c r="BG1610" s="35" t="n">
        <f aca="false">BA1610-BF1610</f>
        <v>0.25</v>
      </c>
      <c r="BH1610" s="19" t="str">
        <f aca="false">IF(BG1610=0,"",IF(BG1610&lt;&gt;BA1610,"erreur de calcul",IF(BD1610&lt;&gt;0,"pas de prix",IF(M1610&lt;&gt; 0,"pas de quantité","pas de prix, ni de quantité"))))</f>
        <v>erreur de calcul</v>
      </c>
      <c r="BI1610" s="19"/>
    </row>
    <row r="1611" customFormat="false" ht="15" hidden="false" customHeight="false" outlineLevel="0" collapsed="false">
      <c r="A1611" s="0" t="n">
        <v>41</v>
      </c>
      <c r="B1611" s="8" t="s">
        <v>24</v>
      </c>
      <c r="C1611" s="9" t="s">
        <v>25</v>
      </c>
      <c r="D1611" s="9" t="s">
        <v>26</v>
      </c>
      <c r="E1611" s="10" t="n">
        <v>1789</v>
      </c>
      <c r="F1611" s="9" t="s">
        <v>27</v>
      </c>
      <c r="G1611" s="9" t="s">
        <v>27</v>
      </c>
      <c r="H1611" s="11" t="n">
        <v>23</v>
      </c>
      <c r="I1611" s="11" t="s">
        <v>284</v>
      </c>
      <c r="J1611" s="14" t="n">
        <v>17</v>
      </c>
      <c r="K1611" s="14"/>
      <c r="L1611" s="16"/>
      <c r="M1611" s="27" t="n">
        <f aca="false">J1611+(K1611/20)+(L1611/240)</f>
        <v>17</v>
      </c>
      <c r="N1611" s="17" t="s">
        <v>64</v>
      </c>
      <c r="O1611" s="11"/>
      <c r="P1611" s="28" t="n">
        <f aca="false">56873/100</f>
        <v>568.73</v>
      </c>
      <c r="Q1611" s="36" t="n">
        <v>3981</v>
      </c>
      <c r="R1611" s="28"/>
      <c r="S1611" s="28" t="n">
        <f aca="false">R1611*$M1611</f>
        <v>0</v>
      </c>
      <c r="T1611" s="28"/>
      <c r="U1611" s="28" t="n">
        <f aca="false">T1611*$M1611</f>
        <v>0</v>
      </c>
      <c r="V1611" s="28"/>
      <c r="W1611" s="28" t="n">
        <f aca="false">V1611*$M1611</f>
        <v>0</v>
      </c>
      <c r="X1611" s="28"/>
      <c r="Y1611" s="28" t="n">
        <f aca="false">X1611*$M1611</f>
        <v>0</v>
      </c>
      <c r="Z1611" s="28"/>
      <c r="AA1611" s="28" t="n">
        <f aca="false">Z1611*$M1611</f>
        <v>0</v>
      </c>
      <c r="AB1611" s="28"/>
      <c r="AC1611" s="28" t="n">
        <f aca="false">AB1611*$M1611</f>
        <v>0</v>
      </c>
      <c r="AD1611" s="28"/>
      <c r="AE1611" s="28" t="n">
        <f aca="false">AD1611*$M1611</f>
        <v>0</v>
      </c>
      <c r="AF1611" s="28"/>
      <c r="AG1611" s="28" t="n">
        <f aca="false">AF1611*$M1611</f>
        <v>0</v>
      </c>
      <c r="AH1611" s="28"/>
      <c r="AI1611" s="28" t="n">
        <f aca="false">AH1611*$M1611</f>
        <v>0</v>
      </c>
      <c r="AJ1611" s="28" t="n">
        <f aca="false">19651/100</f>
        <v>196.51</v>
      </c>
      <c r="AK1611" s="28" t="n">
        <v>3341</v>
      </c>
      <c r="AL1611" s="28"/>
      <c r="AM1611" s="28" t="n">
        <f aca="false">AL1611*$M1611</f>
        <v>0</v>
      </c>
      <c r="AN1611" s="28"/>
      <c r="AO1611" s="28" t="n">
        <f aca="false">AN1611*$M1611</f>
        <v>0</v>
      </c>
      <c r="AP1611" s="28"/>
      <c r="AQ1611" s="28" t="n">
        <f aca="false">AP1611*$M1611</f>
        <v>0</v>
      </c>
      <c r="AR1611" s="28"/>
      <c r="AS1611" s="28" t="n">
        <f aca="false">AR1611*$M1611</f>
        <v>0</v>
      </c>
      <c r="AT1611" s="28"/>
      <c r="AU1611" s="28" t="n">
        <f aca="false">AT1611*$M1611</f>
        <v>0</v>
      </c>
      <c r="AV1611" s="28"/>
      <c r="AW1611" s="28" t="n">
        <f aca="false">AV1611*$M1611</f>
        <v>0</v>
      </c>
      <c r="AX1611" s="28"/>
      <c r="AY1611" s="28" t="n">
        <f aca="false">AX1611*$M1611</f>
        <v>0</v>
      </c>
      <c r="AZ1611" s="30" t="n">
        <f aca="false">76524/100</f>
        <v>765.24</v>
      </c>
      <c r="BA1611" s="11" t="n">
        <v>7322</v>
      </c>
      <c r="BB1611" s="31" t="n">
        <f aca="false">SUM(Q1611,S1611,U1611,W1611,Y1611,AA1611,AC1611,AE1611,AG1611,AI1611,AK1611,AM1611,AO1611,AQ1611,AS1611,AU1611,AW1611,AY1611)</f>
        <v>7322</v>
      </c>
      <c r="BC1611" s="28" t="n">
        <f aca="false">BA1611-BB1611</f>
        <v>0</v>
      </c>
      <c r="BD1611" s="32" t="n">
        <f aca="false">SUM(P1611,R1611,T1611,V1611,X1611,Z1611,AB1611,AD1611,AF1611,AH1611,AJ1611,AL1611,AN1611,AP1611,AR1611,AT1611,AV1611,AX1611)</f>
        <v>765.24</v>
      </c>
      <c r="BE1611" s="33" t="n">
        <f aca="false">AZ1611-BD1611</f>
        <v>0</v>
      </c>
      <c r="BF1611" s="34" t="n">
        <f aca="false">BD1611*M1611</f>
        <v>13009.08</v>
      </c>
      <c r="BG1611" s="35" t="n">
        <f aca="false">BA1611-BF1611</f>
        <v>-5687.08</v>
      </c>
      <c r="BH1611" s="19" t="str">
        <f aca="false">IF(BG1611=0,"",IF(BG1611&lt;&gt;BA1611,"erreur de calcul",IF(BD1611&lt;&gt;0,"pas de prix",IF(M1611&lt;&gt; 0,"pas de quantité","pas de prix, ni de quantité"))))</f>
        <v>erreur de calcul</v>
      </c>
      <c r="BI1611" s="19"/>
    </row>
    <row r="1612" customFormat="false" ht="15" hidden="false" customHeight="false" outlineLevel="0" collapsed="false">
      <c r="A1612" s="0" t="n">
        <v>42</v>
      </c>
      <c r="B1612" s="8" t="s">
        <v>24</v>
      </c>
      <c r="C1612" s="9" t="s">
        <v>25</v>
      </c>
      <c r="D1612" s="9" t="s">
        <v>26</v>
      </c>
      <c r="E1612" s="10" t="n">
        <v>1789</v>
      </c>
      <c r="F1612" s="9" t="s">
        <v>27</v>
      </c>
      <c r="G1612" s="9" t="s">
        <v>27</v>
      </c>
      <c r="H1612" s="11" t="n">
        <v>23</v>
      </c>
      <c r="I1612" s="11" t="s">
        <v>285</v>
      </c>
      <c r="J1612" s="14" t="n">
        <v>15</v>
      </c>
      <c r="K1612" s="14"/>
      <c r="L1612" s="16"/>
      <c r="M1612" s="27" t="n">
        <f aca="false">J1612+(K1612/20)+(L1612/240)</f>
        <v>15</v>
      </c>
      <c r="N1612" s="17" t="s">
        <v>64</v>
      </c>
      <c r="O1612" s="11"/>
      <c r="P1612" s="28" t="n">
        <f aca="false">10520/100</f>
        <v>105.2</v>
      </c>
      <c r="Q1612" s="28" t="n">
        <v>1578</v>
      </c>
      <c r="R1612" s="28"/>
      <c r="S1612" s="28" t="n">
        <f aca="false">R1612*$M1612</f>
        <v>0</v>
      </c>
      <c r="T1612" s="28"/>
      <c r="U1612" s="28" t="n">
        <f aca="false">T1612*$M1612</f>
        <v>0</v>
      </c>
      <c r="V1612" s="28"/>
      <c r="W1612" s="28" t="n">
        <f aca="false">V1612*$M1612</f>
        <v>0</v>
      </c>
      <c r="X1612" s="28" t="n">
        <f aca="false">39052/100</f>
        <v>390.52</v>
      </c>
      <c r="Y1612" s="28" t="n">
        <v>5858</v>
      </c>
      <c r="Z1612" s="28"/>
      <c r="AA1612" s="28" t="n">
        <f aca="false">Z1612*$M1612</f>
        <v>0</v>
      </c>
      <c r="AB1612" s="28" t="n">
        <f aca="false">101189/100</f>
        <v>1011.89</v>
      </c>
      <c r="AC1612" s="28" t="n">
        <v>15178</v>
      </c>
      <c r="AD1612" s="28"/>
      <c r="AE1612" s="28" t="n">
        <f aca="false">AD1612*$M1612</f>
        <v>0</v>
      </c>
      <c r="AF1612" s="28" t="n">
        <f aca="false">48408/100</f>
        <v>484.08</v>
      </c>
      <c r="AG1612" s="28" t="n">
        <v>7261</v>
      </c>
      <c r="AH1612" s="28" t="n">
        <f aca="false">17847/100</f>
        <v>178.47</v>
      </c>
      <c r="AI1612" s="28" t="n">
        <v>2677</v>
      </c>
      <c r="AJ1612" s="28"/>
      <c r="AK1612" s="28" t="n">
        <f aca="false">AJ1612*$M1612</f>
        <v>0</v>
      </c>
      <c r="AL1612" s="28"/>
      <c r="AM1612" s="28" t="n">
        <f aca="false">AL1612*$M1612</f>
        <v>0</v>
      </c>
      <c r="AN1612" s="28"/>
      <c r="AO1612" s="28" t="n">
        <f aca="false">AN1612*$M1612</f>
        <v>0</v>
      </c>
      <c r="AP1612" s="28"/>
      <c r="AQ1612" s="28" t="n">
        <f aca="false">AP1612*$M1612</f>
        <v>0</v>
      </c>
      <c r="AR1612" s="28"/>
      <c r="AS1612" s="28" t="n">
        <f aca="false">AR1612*$M1612</f>
        <v>0</v>
      </c>
      <c r="AT1612" s="28"/>
      <c r="AU1612" s="28" t="n">
        <f aca="false">AT1612*$M1612</f>
        <v>0</v>
      </c>
      <c r="AV1612" s="28"/>
      <c r="AW1612" s="28" t="n">
        <f aca="false">AV1612*$M1612</f>
        <v>0</v>
      </c>
      <c r="AX1612" s="28"/>
      <c r="AY1612" s="28" t="n">
        <f aca="false">AX1612*$M1612</f>
        <v>0</v>
      </c>
      <c r="AZ1612" s="30" t="n">
        <f aca="false">217016/100</f>
        <v>2170.16</v>
      </c>
      <c r="BA1612" s="11" t="n">
        <v>32552</v>
      </c>
      <c r="BB1612" s="31" t="n">
        <f aca="false">SUM(Q1612,S1612,U1612,W1612,Y1612,AA1612,AC1612,AE1612,AG1612,AI1612,AK1612,AM1612,AO1612,AQ1612,AS1612,AU1612,AW1612,AY1612)</f>
        <v>32552</v>
      </c>
      <c r="BC1612" s="28" t="n">
        <f aca="false">BA1612-BB1612</f>
        <v>0</v>
      </c>
      <c r="BD1612" s="32" t="n">
        <f aca="false">SUM(P1612,R1612,T1612,V1612,X1612,Z1612,AB1612,AD1612,AF1612,AH1612,AJ1612,AL1612,AN1612,AP1612,AR1612,AT1612,AV1612,AX1612)</f>
        <v>2170.16</v>
      </c>
      <c r="BE1612" s="33" t="n">
        <f aca="false">AZ1612-BD1612</f>
        <v>0</v>
      </c>
      <c r="BF1612" s="34" t="n">
        <f aca="false">BD1612*M1612</f>
        <v>32552.4</v>
      </c>
      <c r="BG1612" s="35" t="n">
        <f aca="false">BA1612-BF1612</f>
        <v>-0.399999999997817</v>
      </c>
      <c r="BH1612" s="19" t="str">
        <f aca="false">IF(BG1612=0,"",IF(BG1612&lt;&gt;BA1612,"erreur de calcul",IF(BD1612&lt;&gt;0,"pas de prix",IF(M1612&lt;&gt; 0,"pas de quantité","pas de prix, ni de quantité"))))</f>
        <v>erreur de calcul</v>
      </c>
      <c r="BI1612" s="19"/>
    </row>
    <row r="1613" customFormat="false" ht="15" hidden="false" customHeight="false" outlineLevel="0" collapsed="false">
      <c r="A1613" s="0" t="n">
        <v>43</v>
      </c>
      <c r="B1613" s="8" t="s">
        <v>24</v>
      </c>
      <c r="C1613" s="9" t="s">
        <v>25</v>
      </c>
      <c r="D1613" s="9" t="s">
        <v>26</v>
      </c>
      <c r="E1613" s="10" t="n">
        <v>1789</v>
      </c>
      <c r="F1613" s="9" t="s">
        <v>27</v>
      </c>
      <c r="G1613" s="9" t="s">
        <v>27</v>
      </c>
      <c r="H1613" s="11" t="n">
        <v>23</v>
      </c>
      <c r="I1613" s="11" t="s">
        <v>286</v>
      </c>
      <c r="J1613" s="14" t="n">
        <v>20</v>
      </c>
      <c r="K1613" s="14"/>
      <c r="L1613" s="16"/>
      <c r="M1613" s="27" t="n">
        <f aca="false">J1613+(K1613/20)+(L1613/240)</f>
        <v>20</v>
      </c>
      <c r="N1613" s="17" t="s">
        <v>64</v>
      </c>
      <c r="O1613" s="11"/>
      <c r="P1613" s="28"/>
      <c r="Q1613" s="28" t="n">
        <f aca="false">P1613*$M1613</f>
        <v>0</v>
      </c>
      <c r="R1613" s="28"/>
      <c r="S1613" s="28" t="n">
        <f aca="false">R1613*$M1613</f>
        <v>0</v>
      </c>
      <c r="T1613" s="28"/>
      <c r="U1613" s="28" t="n">
        <f aca="false">T1613*$M1613</f>
        <v>0</v>
      </c>
      <c r="V1613" s="28"/>
      <c r="W1613" s="28" t="n">
        <f aca="false">V1613*$M1613</f>
        <v>0</v>
      </c>
      <c r="X1613" s="28"/>
      <c r="Y1613" s="28" t="n">
        <f aca="false">X1613*$M1613</f>
        <v>0</v>
      </c>
      <c r="Z1613" s="28"/>
      <c r="AA1613" s="28" t="n">
        <f aca="false">Z1613*$M1613</f>
        <v>0</v>
      </c>
      <c r="AB1613" s="28" t="n">
        <f aca="false">8852/100</f>
        <v>88.52</v>
      </c>
      <c r="AC1613" s="28" t="n">
        <v>1770</v>
      </c>
      <c r="AD1613" s="28"/>
      <c r="AE1613" s="28" t="n">
        <f aca="false">AD1613*$M1613</f>
        <v>0</v>
      </c>
      <c r="AF1613" s="28"/>
      <c r="AG1613" s="28" t="n">
        <f aca="false">AF1613*$M1613</f>
        <v>0</v>
      </c>
      <c r="AH1613" s="28"/>
      <c r="AI1613" s="28" t="n">
        <f aca="false">AH1613*$M1613</f>
        <v>0</v>
      </c>
      <c r="AJ1613" s="28"/>
      <c r="AK1613" s="28" t="n">
        <f aca="false">AJ1613*$M1613</f>
        <v>0</v>
      </c>
      <c r="AL1613" s="28"/>
      <c r="AM1613" s="28" t="n">
        <f aca="false">AL1613*$M1613</f>
        <v>0</v>
      </c>
      <c r="AN1613" s="28"/>
      <c r="AO1613" s="28" t="n">
        <f aca="false">AN1613*$M1613</f>
        <v>0</v>
      </c>
      <c r="AP1613" s="28"/>
      <c r="AQ1613" s="28" t="n">
        <f aca="false">AP1613*$M1613</f>
        <v>0</v>
      </c>
      <c r="AR1613" s="28"/>
      <c r="AS1613" s="28" t="n">
        <f aca="false">AR1613*$M1613</f>
        <v>0</v>
      </c>
      <c r="AT1613" s="28"/>
      <c r="AU1613" s="28" t="n">
        <f aca="false">AT1613*$M1613</f>
        <v>0</v>
      </c>
      <c r="AV1613" s="28"/>
      <c r="AW1613" s="28" t="n">
        <f aca="false">AV1613*$M1613</f>
        <v>0</v>
      </c>
      <c r="AX1613" s="28"/>
      <c r="AY1613" s="28" t="n">
        <f aca="false">AX1613*$M1613</f>
        <v>0</v>
      </c>
      <c r="AZ1613" s="30" t="n">
        <f aca="false">8852/100</f>
        <v>88.52</v>
      </c>
      <c r="BA1613" s="11" t="n">
        <v>1770</v>
      </c>
      <c r="BB1613" s="31" t="n">
        <f aca="false">SUM(Q1613,S1613,U1613,W1613,Y1613,AA1613,AC1613,AE1613,AG1613,AI1613,AK1613,AM1613,AO1613,AQ1613,AS1613,AU1613,AW1613,AY1613)</f>
        <v>1770</v>
      </c>
      <c r="BC1613" s="28" t="n">
        <f aca="false">BA1613-BB1613</f>
        <v>0</v>
      </c>
      <c r="BD1613" s="32" t="n">
        <f aca="false">SUM(P1613,R1613,T1613,V1613,X1613,Z1613,AB1613,AD1613,AF1613,AH1613,AJ1613,AL1613,AN1613,AP1613,AR1613,AT1613,AV1613,AX1613)</f>
        <v>88.52</v>
      </c>
      <c r="BE1613" s="33" t="n">
        <f aca="false">AZ1613-BD1613</f>
        <v>0</v>
      </c>
      <c r="BF1613" s="34" t="n">
        <f aca="false">BD1613*M1613</f>
        <v>1770.4</v>
      </c>
      <c r="BG1613" s="35" t="n">
        <f aca="false">BA1613-BF1613</f>
        <v>-0.399999999999864</v>
      </c>
      <c r="BH1613" s="19" t="str">
        <f aca="false">IF(BG1613=0,"",IF(BG1613&lt;&gt;BA1613,"erreur de calcul",IF(BD1613&lt;&gt;0,"pas de prix",IF(M1613&lt;&gt; 0,"pas de quantité","pas de prix, ni de quantité"))))</f>
        <v>erreur de calcul</v>
      </c>
      <c r="BI1613" s="19"/>
    </row>
    <row r="1614" customFormat="false" ht="15" hidden="false" customHeight="false" outlineLevel="0" collapsed="false">
      <c r="A1614" s="0" t="n">
        <v>44</v>
      </c>
      <c r="B1614" s="8" t="s">
        <v>24</v>
      </c>
      <c r="C1614" s="9" t="s">
        <v>25</v>
      </c>
      <c r="D1614" s="9" t="s">
        <v>26</v>
      </c>
      <c r="E1614" s="10" t="n">
        <v>1789</v>
      </c>
      <c r="F1614" s="9" t="s">
        <v>27</v>
      </c>
      <c r="G1614" s="9" t="s">
        <v>27</v>
      </c>
      <c r="H1614" s="11" t="n">
        <v>23</v>
      </c>
      <c r="I1614" s="11" t="s">
        <v>287</v>
      </c>
      <c r="J1614" s="14" t="n">
        <v>25</v>
      </c>
      <c r="K1614" s="14"/>
      <c r="L1614" s="16"/>
      <c r="M1614" s="27" t="n">
        <f aca="false">J1614+(K1614/20)+(L1614/240)</f>
        <v>25</v>
      </c>
      <c r="N1614" s="17" t="s">
        <v>64</v>
      </c>
      <c r="O1614" s="11" t="s">
        <v>77</v>
      </c>
      <c r="P1614" s="28" t="n">
        <f aca="false">13782/100</f>
        <v>137.82</v>
      </c>
      <c r="Q1614" s="28" t="n">
        <v>3445</v>
      </c>
      <c r="R1614" s="28"/>
      <c r="S1614" s="28" t="n">
        <f aca="false">R1614*$M1614</f>
        <v>0</v>
      </c>
      <c r="T1614" s="28"/>
      <c r="U1614" s="28" t="n">
        <f aca="false">T1614*$M1614</f>
        <v>0</v>
      </c>
      <c r="V1614" s="28" t="n">
        <f aca="false">4293/100</f>
        <v>42.93</v>
      </c>
      <c r="W1614" s="28" t="n">
        <v>1073</v>
      </c>
      <c r="X1614" s="28"/>
      <c r="Y1614" s="28" t="n">
        <f aca="false">X1614*$M1614</f>
        <v>0</v>
      </c>
      <c r="Z1614" s="28"/>
      <c r="AA1614" s="28" t="n">
        <f aca="false">Z1614*$M1614</f>
        <v>0</v>
      </c>
      <c r="AB1614" s="28"/>
      <c r="AC1614" s="28" t="n">
        <f aca="false">AB1614*$M1614</f>
        <v>0</v>
      </c>
      <c r="AD1614" s="28"/>
      <c r="AE1614" s="28" t="n">
        <f aca="false">AD1614*$M1614</f>
        <v>0</v>
      </c>
      <c r="AF1614" s="28"/>
      <c r="AG1614" s="28" t="n">
        <f aca="false">AF1614*$M1614</f>
        <v>0</v>
      </c>
      <c r="AH1614" s="28"/>
      <c r="AI1614" s="28" t="n">
        <f aca="false">AH1614*$M1614</f>
        <v>0</v>
      </c>
      <c r="AJ1614" s="28"/>
      <c r="AK1614" s="28" t="n">
        <f aca="false">AJ1614*$M1614</f>
        <v>0</v>
      </c>
      <c r="AL1614" s="28"/>
      <c r="AM1614" s="28" t="n">
        <f aca="false">AL1614*$M1614</f>
        <v>0</v>
      </c>
      <c r="AN1614" s="28"/>
      <c r="AO1614" s="28" t="n">
        <f aca="false">AN1614*$M1614</f>
        <v>0</v>
      </c>
      <c r="AP1614" s="28"/>
      <c r="AQ1614" s="28" t="n">
        <f aca="false">AP1614*$M1614</f>
        <v>0</v>
      </c>
      <c r="AR1614" s="28"/>
      <c r="AS1614" s="28" t="n">
        <f aca="false">AR1614*$M1614</f>
        <v>0</v>
      </c>
      <c r="AT1614" s="28"/>
      <c r="AU1614" s="28" t="n">
        <f aca="false">AT1614*$M1614</f>
        <v>0</v>
      </c>
      <c r="AV1614" s="28"/>
      <c r="AW1614" s="28" t="n">
        <f aca="false">AV1614*$M1614</f>
        <v>0</v>
      </c>
      <c r="AX1614" s="28"/>
      <c r="AY1614" s="28" t="n">
        <f aca="false">AX1614*$M1614</f>
        <v>0</v>
      </c>
      <c r="AZ1614" s="30" t="n">
        <f aca="false">18075/100</f>
        <v>180.75</v>
      </c>
      <c r="BA1614" s="11" t="n">
        <v>4518</v>
      </c>
      <c r="BB1614" s="31" t="n">
        <f aca="false">SUM(Q1614,S1614,U1614,W1614,Y1614,AA1614,AC1614,AE1614,AG1614,AI1614,AK1614,AM1614,AO1614,AQ1614,AS1614,AU1614,AW1614,AY1614)</f>
        <v>4518</v>
      </c>
      <c r="BC1614" s="28" t="n">
        <f aca="false">BA1614-BB1614</f>
        <v>0</v>
      </c>
      <c r="BD1614" s="32" t="n">
        <f aca="false">SUM(P1614,R1614,T1614,V1614,X1614,Z1614,AB1614,AD1614,AF1614,AH1614,AJ1614,AL1614,AN1614,AP1614,AR1614,AT1614,AV1614,AX1614)</f>
        <v>180.75</v>
      </c>
      <c r="BE1614" s="33" t="n">
        <f aca="false">AZ1614-BD1614</f>
        <v>0</v>
      </c>
      <c r="BF1614" s="34" t="n">
        <f aca="false">BD1614*M1614</f>
        <v>4518.75</v>
      </c>
      <c r="BG1614" s="35" t="n">
        <f aca="false">BA1614-BF1614</f>
        <v>-0.75</v>
      </c>
      <c r="BH1614" s="19" t="str">
        <f aca="false">IF(BG1614=0,"",IF(BG1614&lt;&gt;BA1614,"erreur de calcul",IF(BD1614&lt;&gt;0,"pas de prix",IF(M1614&lt;&gt; 0,"pas de quantité","pas de prix, ni de quantité"))))</f>
        <v>erreur de calcul</v>
      </c>
      <c r="BI1614" s="19"/>
    </row>
    <row r="1615" customFormat="false" ht="15" hidden="false" customHeight="false" outlineLevel="0" collapsed="false">
      <c r="A1615" s="0" t="n">
        <v>1</v>
      </c>
      <c r="B1615" s="8" t="s">
        <v>24</v>
      </c>
      <c r="C1615" s="9" t="s">
        <v>25</v>
      </c>
      <c r="D1615" s="9" t="s">
        <v>26</v>
      </c>
      <c r="E1615" s="10" t="n">
        <v>1789</v>
      </c>
      <c r="F1615" s="9" t="s">
        <v>27</v>
      </c>
      <c r="G1615" s="9" t="s">
        <v>27</v>
      </c>
      <c r="H1615" s="11" t="n">
        <v>24</v>
      </c>
      <c r="I1615" s="11" t="s">
        <v>288</v>
      </c>
      <c r="J1615" s="14" t="n">
        <v>250</v>
      </c>
      <c r="K1615" s="14"/>
      <c r="L1615" s="16"/>
      <c r="M1615" s="27" t="n">
        <f aca="false">J1615+(K1615/20)+(L1615/240)</f>
        <v>250</v>
      </c>
      <c r="N1615" s="17" t="s">
        <v>64</v>
      </c>
      <c r="O1615" s="11"/>
      <c r="P1615" s="28"/>
      <c r="Q1615" s="28" t="n">
        <f aca="false">P1615*$M1615</f>
        <v>0</v>
      </c>
      <c r="R1615" s="28"/>
      <c r="S1615" s="28" t="n">
        <f aca="false">R1615*$M1615</f>
        <v>0</v>
      </c>
      <c r="T1615" s="28"/>
      <c r="U1615" s="28" t="n">
        <f aca="false">T1615*$M1615</f>
        <v>0</v>
      </c>
      <c r="V1615" s="28"/>
      <c r="W1615" s="28" t="n">
        <f aca="false">V1615*$M1615</f>
        <v>0</v>
      </c>
      <c r="X1615" s="28"/>
      <c r="Y1615" s="28" t="n">
        <f aca="false">X1615*$M1615</f>
        <v>0</v>
      </c>
      <c r="Z1615" s="28"/>
      <c r="AA1615" s="28" t="n">
        <f aca="false">Z1615*$M1615</f>
        <v>0</v>
      </c>
      <c r="AB1615" s="28"/>
      <c r="AC1615" s="28" t="n">
        <f aca="false">AB1615*$M1615</f>
        <v>0</v>
      </c>
      <c r="AD1615" s="28"/>
      <c r="AE1615" s="28" t="n">
        <f aca="false">AD1615*$M1615</f>
        <v>0</v>
      </c>
      <c r="AF1615" s="28"/>
      <c r="AG1615" s="28" t="n">
        <f aca="false">AF1615*$M1615</f>
        <v>0</v>
      </c>
      <c r="AH1615" s="28" t="n">
        <f aca="false">5374/100</f>
        <v>53.74</v>
      </c>
      <c r="AI1615" s="28" t="n">
        <v>13435</v>
      </c>
      <c r="AJ1615" s="28"/>
      <c r="AK1615" s="28" t="n">
        <f aca="false">AJ1615*$M1615</f>
        <v>0</v>
      </c>
      <c r="AL1615" s="28"/>
      <c r="AM1615" s="28" t="n">
        <f aca="false">AL1615*$M1615</f>
        <v>0</v>
      </c>
      <c r="AN1615" s="28"/>
      <c r="AO1615" s="28" t="n">
        <f aca="false">AN1615*$M1615</f>
        <v>0</v>
      </c>
      <c r="AP1615" s="28"/>
      <c r="AQ1615" s="28" t="n">
        <f aca="false">AP1615*$M1615</f>
        <v>0</v>
      </c>
      <c r="AR1615" s="28"/>
      <c r="AS1615" s="28" t="n">
        <f aca="false">AR1615*$M1615</f>
        <v>0</v>
      </c>
      <c r="AT1615" s="28"/>
      <c r="AU1615" s="28" t="n">
        <f aca="false">AT1615*$M1615</f>
        <v>0</v>
      </c>
      <c r="AV1615" s="28"/>
      <c r="AW1615" s="28" t="n">
        <f aca="false">AV1615*$M1615</f>
        <v>0</v>
      </c>
      <c r="AX1615" s="28"/>
      <c r="AY1615" s="28" t="n">
        <f aca="false">AX1615*$M1615</f>
        <v>0</v>
      </c>
      <c r="AZ1615" s="30" t="n">
        <f aca="false">5374/100</f>
        <v>53.74</v>
      </c>
      <c r="BA1615" s="11" t="n">
        <v>13435</v>
      </c>
      <c r="BB1615" s="31" t="n">
        <f aca="false">SUM(Q1615,S1615,U1615,W1615,Y1615,AA1615,AC1615,AE1615,AG1615,AI1615,AK1615,AM1615,AO1615,AQ1615,AS1615,AU1615,AW1615,AY1615)</f>
        <v>13435</v>
      </c>
      <c r="BC1615" s="28" t="n">
        <f aca="false">BA1615-BB1615</f>
        <v>0</v>
      </c>
      <c r="BD1615" s="32" t="n">
        <f aca="false">SUM(P1615,R1615,T1615,V1615,X1615,Z1615,AB1615,AD1615,AF1615,AH1615,AJ1615,AL1615,AN1615,AP1615,AR1615,AT1615,AV1615,AX1615)</f>
        <v>53.74</v>
      </c>
      <c r="BE1615" s="33" t="n">
        <f aca="false">AZ1615-BD1615</f>
        <v>0</v>
      </c>
      <c r="BF1615" s="34" t="n">
        <f aca="false">BD1615*M1615</f>
        <v>13435</v>
      </c>
      <c r="BG1615" s="35" t="n">
        <f aca="false">BA1615-BF1615</f>
        <v>0</v>
      </c>
      <c r="BH1615" s="19" t="str">
        <f aca="false">IF(BG1615=0,"",IF(BG1615&lt;&gt;BA1615,"erreur de calcul",IF(BD1615&lt;&gt;0,"pas de prix",IF(M1615&lt;&gt; 0,"pas de quantité","pas de prix, ni de quantité"))))</f>
        <v/>
      </c>
      <c r="BI1615" s="19"/>
    </row>
    <row r="1616" customFormat="false" ht="15" hidden="false" customHeight="false" outlineLevel="0" collapsed="false">
      <c r="A1616" s="0" t="n">
        <v>2</v>
      </c>
      <c r="B1616" s="8" t="s">
        <v>24</v>
      </c>
      <c r="C1616" s="9" t="s">
        <v>25</v>
      </c>
      <c r="D1616" s="9" t="s">
        <v>26</v>
      </c>
      <c r="E1616" s="10" t="n">
        <v>1789</v>
      </c>
      <c r="F1616" s="9" t="s">
        <v>27</v>
      </c>
      <c r="G1616" s="9" t="s">
        <v>27</v>
      </c>
      <c r="H1616" s="11" t="n">
        <v>24</v>
      </c>
      <c r="I1616" s="11" t="s">
        <v>289</v>
      </c>
      <c r="J1616" s="14" t="n">
        <v>3</v>
      </c>
      <c r="K1616" s="14"/>
      <c r="L1616" s="16"/>
      <c r="M1616" s="27" t="n">
        <f aca="false">J1616+(K1616/20)+(L1616/240)</f>
        <v>3</v>
      </c>
      <c r="N1616" s="17" t="s">
        <v>66</v>
      </c>
      <c r="O1616" s="11"/>
      <c r="P1616" s="28"/>
      <c r="Q1616" s="28" t="n">
        <f aca="false">P1616*$M1616</f>
        <v>0</v>
      </c>
      <c r="R1616" s="28"/>
      <c r="S1616" s="28" t="n">
        <f aca="false">R1616*$M1616</f>
        <v>0</v>
      </c>
      <c r="T1616" s="28"/>
      <c r="U1616" s="28" t="n">
        <f aca="false">T1616*$M1616</f>
        <v>0</v>
      </c>
      <c r="V1616" s="28"/>
      <c r="W1616" s="28" t="n">
        <f aca="false">V1616*$M1616</f>
        <v>0</v>
      </c>
      <c r="X1616" s="28"/>
      <c r="Y1616" s="28" t="n">
        <f aca="false">X1616*$M1616</f>
        <v>0</v>
      </c>
      <c r="Z1616" s="28"/>
      <c r="AA1616" s="28" t="n">
        <f aca="false">Z1616*$M1616</f>
        <v>0</v>
      </c>
      <c r="AB1616" s="28"/>
      <c r="AC1616" s="28" t="n">
        <f aca="false">AB1616*$M1616</f>
        <v>0</v>
      </c>
      <c r="AD1616" s="28"/>
      <c r="AE1616" s="28" t="n">
        <f aca="false">AD1616*$M1616</f>
        <v>0</v>
      </c>
      <c r="AF1616" s="28"/>
      <c r="AG1616" s="28" t="n">
        <f aca="false">AF1616*$M1616</f>
        <v>0</v>
      </c>
      <c r="AH1616" s="28" t="n">
        <v>261</v>
      </c>
      <c r="AI1616" s="28" t="n">
        <v>783</v>
      </c>
      <c r="AJ1616" s="28"/>
      <c r="AK1616" s="28" t="n">
        <f aca="false">AJ1616*$M1616</f>
        <v>0</v>
      </c>
      <c r="AL1616" s="28"/>
      <c r="AM1616" s="28" t="n">
        <f aca="false">AL1616*$M1616</f>
        <v>0</v>
      </c>
      <c r="AN1616" s="28"/>
      <c r="AO1616" s="28" t="n">
        <f aca="false">AN1616*$M1616</f>
        <v>0</v>
      </c>
      <c r="AP1616" s="28"/>
      <c r="AQ1616" s="28" t="n">
        <f aca="false">AP1616*$M1616</f>
        <v>0</v>
      </c>
      <c r="AR1616" s="28"/>
      <c r="AS1616" s="28" t="n">
        <f aca="false">AR1616*$M1616</f>
        <v>0</v>
      </c>
      <c r="AT1616" s="28"/>
      <c r="AU1616" s="28" t="n">
        <f aca="false">AT1616*$M1616</f>
        <v>0</v>
      </c>
      <c r="AV1616" s="28"/>
      <c r="AW1616" s="28" t="n">
        <f aca="false">AV1616*$M1616</f>
        <v>0</v>
      </c>
      <c r="AX1616" s="28"/>
      <c r="AY1616" s="28" t="n">
        <f aca="false">AX1616*$M1616</f>
        <v>0</v>
      </c>
      <c r="AZ1616" s="30" t="n">
        <v>261</v>
      </c>
      <c r="BA1616" s="11" t="n">
        <v>783</v>
      </c>
      <c r="BB1616" s="31" t="n">
        <f aca="false">SUM(Q1616,S1616,U1616,W1616,Y1616,AA1616,AC1616,AE1616,AG1616,AI1616,AK1616,AM1616,AO1616,AQ1616,AS1616,AU1616,AW1616,AY1616)</f>
        <v>783</v>
      </c>
      <c r="BC1616" s="28" t="n">
        <f aca="false">BA1616-BB1616</f>
        <v>0</v>
      </c>
      <c r="BD1616" s="32" t="n">
        <f aca="false">SUM(P1616,R1616,T1616,V1616,X1616,Z1616,AB1616,AD1616,AF1616,AH1616,AJ1616,AL1616,AN1616,AP1616,AR1616,AT1616,AV1616,AX1616)</f>
        <v>261</v>
      </c>
      <c r="BE1616" s="33" t="n">
        <f aca="false">AZ1616-BD1616</f>
        <v>0</v>
      </c>
      <c r="BF1616" s="34" t="n">
        <f aca="false">BD1616*M1616</f>
        <v>783</v>
      </c>
      <c r="BG1616" s="35" t="n">
        <f aca="false">BA1616-BF1616</f>
        <v>0</v>
      </c>
      <c r="BH1616" s="19" t="str">
        <f aca="false">IF(BG1616=0,"",IF(BG1616&lt;&gt;BA1616,"erreur de calcul",IF(BD1616&lt;&gt;0,"pas de prix",IF(M1616&lt;&gt; 0,"pas de quantité","pas de prix, ni de quantité"))))</f>
        <v/>
      </c>
      <c r="BI1616" s="19"/>
    </row>
    <row r="1617" customFormat="false" ht="15" hidden="false" customHeight="false" outlineLevel="0" collapsed="false">
      <c r="A1617" s="0" t="n">
        <v>3</v>
      </c>
      <c r="B1617" s="8" t="s">
        <v>24</v>
      </c>
      <c r="C1617" s="9" t="s">
        <v>25</v>
      </c>
      <c r="D1617" s="9" t="s">
        <v>26</v>
      </c>
      <c r="E1617" s="10" t="n">
        <v>1789</v>
      </c>
      <c r="F1617" s="9" t="s">
        <v>27</v>
      </c>
      <c r="G1617" s="9" t="s">
        <v>27</v>
      </c>
      <c r="H1617" s="11" t="n">
        <v>24</v>
      </c>
      <c r="I1617" s="11" t="s">
        <v>290</v>
      </c>
      <c r="J1617" s="14" t="n">
        <v>5</v>
      </c>
      <c r="K1617" s="14"/>
      <c r="L1617" s="16"/>
      <c r="M1617" s="27" t="n">
        <f aca="false">J1617+(K1617/20)+(L1617/240)</f>
        <v>5</v>
      </c>
      <c r="N1617" s="17" t="s">
        <v>66</v>
      </c>
      <c r="O1617" s="11"/>
      <c r="P1617" s="28"/>
      <c r="Q1617" s="28" t="n">
        <f aca="false">P1617*$M1617</f>
        <v>0</v>
      </c>
      <c r="R1617" s="28"/>
      <c r="S1617" s="28" t="n">
        <f aca="false">R1617*$M1617</f>
        <v>0</v>
      </c>
      <c r="T1617" s="28"/>
      <c r="U1617" s="28" t="n">
        <v>4765</v>
      </c>
      <c r="V1617" s="28"/>
      <c r="W1617" s="28" t="n">
        <f aca="false">V1617*$M1617</f>
        <v>0</v>
      </c>
      <c r="X1617" s="28"/>
      <c r="Y1617" s="28" t="n">
        <f aca="false">X1617*$M1617</f>
        <v>0</v>
      </c>
      <c r="Z1617" s="28"/>
      <c r="AA1617" s="28" t="n">
        <f aca="false">Z1617*$M1617</f>
        <v>0</v>
      </c>
      <c r="AB1617" s="28"/>
      <c r="AC1617" s="28" t="n">
        <f aca="false">AB1617*$M1617</f>
        <v>0</v>
      </c>
      <c r="AD1617" s="28"/>
      <c r="AE1617" s="28" t="n">
        <f aca="false">AD1617*$M1617</f>
        <v>0</v>
      </c>
      <c r="AF1617" s="28"/>
      <c r="AG1617" s="28" t="n">
        <f aca="false">AF1617*$M1617</f>
        <v>0</v>
      </c>
      <c r="AH1617" s="28"/>
      <c r="AI1617" s="28" t="n">
        <f aca="false">AH1617*$M1617</f>
        <v>0</v>
      </c>
      <c r="AJ1617" s="28"/>
      <c r="AK1617" s="28" t="n">
        <f aca="false">AJ1617*$M1617</f>
        <v>0</v>
      </c>
      <c r="AL1617" s="28"/>
      <c r="AM1617" s="28" t="n">
        <f aca="false">AL1617*$M1617</f>
        <v>0</v>
      </c>
      <c r="AN1617" s="28"/>
      <c r="AO1617" s="28" t="n">
        <f aca="false">AN1617*$M1617</f>
        <v>0</v>
      </c>
      <c r="AP1617" s="28"/>
      <c r="AQ1617" s="28" t="n">
        <f aca="false">AP1617*$M1617</f>
        <v>0</v>
      </c>
      <c r="AR1617" s="28"/>
      <c r="AS1617" s="28" t="n">
        <f aca="false">AR1617*$M1617</f>
        <v>0</v>
      </c>
      <c r="AT1617" s="28"/>
      <c r="AU1617" s="28" t="n">
        <f aca="false">AT1617*$M1617</f>
        <v>0</v>
      </c>
      <c r="AV1617" s="28"/>
      <c r="AW1617" s="28" t="n">
        <f aca="false">AV1617*$M1617</f>
        <v>0</v>
      </c>
      <c r="AX1617" s="28"/>
      <c r="AY1617" s="28" t="n">
        <f aca="false">AX1617*$M1617</f>
        <v>0</v>
      </c>
      <c r="AZ1617" s="30"/>
      <c r="BA1617" s="11" t="n">
        <v>4765</v>
      </c>
      <c r="BB1617" s="31" t="n">
        <f aca="false">SUM(Q1617,S1617,U1617,W1617,Y1617,AA1617,AC1617,AE1617,AG1617,AI1617,AK1617,AM1617,AO1617,AQ1617,AS1617,AU1617,AW1617,AY1617)</f>
        <v>4765</v>
      </c>
      <c r="BC1617" s="28" t="n">
        <f aca="false">BA1617-BB1617</f>
        <v>0</v>
      </c>
      <c r="BD1617" s="32" t="n">
        <f aca="false">SUM(P1617,R1617,T1617,V1617,X1617,Z1617,AB1617,AD1617,AF1617,AH1617,AJ1617,AL1617,AN1617,AP1617,AR1617,AT1617,AV1617,AX1617)</f>
        <v>0</v>
      </c>
      <c r="BE1617" s="33" t="n">
        <f aca="false">AZ1617-BD1617</f>
        <v>0</v>
      </c>
      <c r="BF1617" s="34" t="n">
        <f aca="false">BD1617*M1617</f>
        <v>0</v>
      </c>
      <c r="BG1617" s="35" t="n">
        <f aca="false">BA1617-BF1617</f>
        <v>4765</v>
      </c>
      <c r="BH1617" s="19" t="str">
        <f aca="false">IF(BG1617=0,"",IF(BG1617&lt;&gt;BA1617,"erreur de calcul",IF(BD1617&lt;&gt;0,"pas de prix",IF(M1617&lt;&gt; 0,"pas de quantité","pas de prix, ni de quantité"))))</f>
        <v>pas de quantité</v>
      </c>
      <c r="BI1617" s="19"/>
    </row>
    <row r="1618" customFormat="false" ht="15" hidden="false" customHeight="false" outlineLevel="0" collapsed="false">
      <c r="A1618" s="0" t="n">
        <v>4</v>
      </c>
      <c r="B1618" s="8" t="s">
        <v>24</v>
      </c>
      <c r="C1618" s="9" t="s">
        <v>25</v>
      </c>
      <c r="D1618" s="9" t="s">
        <v>26</v>
      </c>
      <c r="E1618" s="10" t="n">
        <v>1789</v>
      </c>
      <c r="F1618" s="9" t="s">
        <v>27</v>
      </c>
      <c r="G1618" s="9" t="s">
        <v>27</v>
      </c>
      <c r="H1618" s="11" t="n">
        <v>24</v>
      </c>
      <c r="I1618" s="11" t="s">
        <v>291</v>
      </c>
      <c r="J1618" s="14" t="n">
        <v>36</v>
      </c>
      <c r="K1618" s="14"/>
      <c r="L1618" s="16"/>
      <c r="M1618" s="27" t="n">
        <f aca="false">J1618+(K1618/20)+(L1618/240)</f>
        <v>36</v>
      </c>
      <c r="N1618" s="17" t="s">
        <v>66</v>
      </c>
      <c r="O1618" s="11"/>
      <c r="P1618" s="28"/>
      <c r="Q1618" s="28" t="n">
        <f aca="false">P1618*$M1618</f>
        <v>0</v>
      </c>
      <c r="R1618" s="28"/>
      <c r="S1618" s="28" t="n">
        <f aca="false">R1618*$M1618</f>
        <v>0</v>
      </c>
      <c r="T1618" s="28"/>
      <c r="U1618" s="28" t="n">
        <f aca="false">T1618*$M1618</f>
        <v>0</v>
      </c>
      <c r="V1618" s="28"/>
      <c r="W1618" s="28" t="n">
        <f aca="false">V1618*$M1618</f>
        <v>0</v>
      </c>
      <c r="X1618" s="28"/>
      <c r="Y1618" s="28" t="n">
        <f aca="false">X1618*$M1618</f>
        <v>0</v>
      </c>
      <c r="Z1618" s="28"/>
      <c r="AA1618" s="28" t="n">
        <f aca="false">Z1618*$M1618</f>
        <v>0</v>
      </c>
      <c r="AB1618" s="28"/>
      <c r="AC1618" s="28" t="n">
        <f aca="false">AB1618*$M1618</f>
        <v>0</v>
      </c>
      <c r="AD1618" s="28"/>
      <c r="AE1618" s="28" t="n">
        <f aca="false">AD1618*$M1618</f>
        <v>0</v>
      </c>
      <c r="AF1618" s="28"/>
      <c r="AG1618" s="28" t="n">
        <f aca="false">AF1618*$M1618</f>
        <v>0</v>
      </c>
      <c r="AH1618" s="28"/>
      <c r="AI1618" s="28" t="n">
        <f aca="false">AH1618*$M1618</f>
        <v>0</v>
      </c>
      <c r="AJ1618" s="28" t="n">
        <v>387</v>
      </c>
      <c r="AK1618" s="28" t="n">
        <v>13932</v>
      </c>
      <c r="AL1618" s="28"/>
      <c r="AM1618" s="28" t="n">
        <f aca="false">AL1618*$M1618</f>
        <v>0</v>
      </c>
      <c r="AN1618" s="28"/>
      <c r="AO1618" s="28" t="n">
        <f aca="false">AN1618*$M1618</f>
        <v>0</v>
      </c>
      <c r="AP1618" s="28"/>
      <c r="AQ1618" s="28" t="n">
        <f aca="false">AP1618*$M1618</f>
        <v>0</v>
      </c>
      <c r="AR1618" s="28"/>
      <c r="AS1618" s="28" t="n">
        <f aca="false">AR1618*$M1618</f>
        <v>0</v>
      </c>
      <c r="AT1618" s="28"/>
      <c r="AU1618" s="28" t="n">
        <f aca="false">AT1618*$M1618</f>
        <v>0</v>
      </c>
      <c r="AV1618" s="28"/>
      <c r="AW1618" s="28" t="n">
        <f aca="false">AV1618*$M1618</f>
        <v>0</v>
      </c>
      <c r="AX1618" s="28"/>
      <c r="AY1618" s="28" t="n">
        <f aca="false">AX1618*$M1618</f>
        <v>0</v>
      </c>
      <c r="AZ1618" s="30" t="n">
        <v>387</v>
      </c>
      <c r="BA1618" s="11" t="n">
        <v>13932</v>
      </c>
      <c r="BB1618" s="31" t="n">
        <f aca="false">SUM(Q1618,S1618,U1618,W1618,Y1618,AA1618,AC1618,AE1618,AG1618,AI1618,AK1618,AM1618,AO1618,AQ1618,AS1618,AU1618,AW1618,AY1618)</f>
        <v>13932</v>
      </c>
      <c r="BC1618" s="28" t="n">
        <f aca="false">BA1618-BB1618</f>
        <v>0</v>
      </c>
      <c r="BD1618" s="32" t="n">
        <f aca="false">SUM(P1618,R1618,T1618,V1618,X1618,Z1618,AB1618,AD1618,AF1618,AH1618,AJ1618,AL1618,AN1618,AP1618,AR1618,AT1618,AV1618,AX1618)</f>
        <v>387</v>
      </c>
      <c r="BE1618" s="33" t="n">
        <f aca="false">AZ1618-BD1618</f>
        <v>0</v>
      </c>
      <c r="BF1618" s="34" t="n">
        <f aca="false">BD1618*M1618</f>
        <v>13932</v>
      </c>
      <c r="BG1618" s="35" t="n">
        <f aca="false">BA1618-BF1618</f>
        <v>0</v>
      </c>
      <c r="BH1618" s="19" t="str">
        <f aca="false">IF(BG1618=0,"",IF(BG1618&lt;&gt;BA1618,"erreur de calcul",IF(BD1618&lt;&gt;0,"pas de prix",IF(M1618&lt;&gt; 0,"pas de quantité","pas de prix, ni de quantité"))))</f>
        <v/>
      </c>
      <c r="BI1618" s="19"/>
    </row>
    <row r="1619" customFormat="false" ht="15" hidden="false" customHeight="false" outlineLevel="0" collapsed="false">
      <c r="A1619" s="0" t="n">
        <v>5</v>
      </c>
      <c r="B1619" s="8" t="s">
        <v>24</v>
      </c>
      <c r="C1619" s="9" t="s">
        <v>25</v>
      </c>
      <c r="D1619" s="9" t="s">
        <v>26</v>
      </c>
      <c r="E1619" s="10" t="n">
        <v>1789</v>
      </c>
      <c r="F1619" s="9" t="s">
        <v>27</v>
      </c>
      <c r="G1619" s="9" t="s">
        <v>27</v>
      </c>
      <c r="H1619" s="11" t="n">
        <v>24</v>
      </c>
      <c r="I1619" s="11" t="s">
        <v>292</v>
      </c>
      <c r="J1619" s="14" t="n">
        <v>40</v>
      </c>
      <c r="K1619" s="14"/>
      <c r="L1619" s="16"/>
      <c r="M1619" s="27" t="n">
        <f aca="false">J1619+(K1619/20)+(L1619/240)</f>
        <v>40</v>
      </c>
      <c r="N1619" s="17" t="s">
        <v>64</v>
      </c>
      <c r="O1619" s="11" t="s">
        <v>277</v>
      </c>
      <c r="P1619" s="28"/>
      <c r="Q1619" s="28" t="n">
        <f aca="false">P1619*$M1619</f>
        <v>0</v>
      </c>
      <c r="R1619" s="28"/>
      <c r="S1619" s="28" t="n">
        <f aca="false">R1619*$M1619</f>
        <v>0</v>
      </c>
      <c r="T1619" s="28" t="n">
        <f aca="false">5917/100</f>
        <v>59.17</v>
      </c>
      <c r="U1619" s="28" t="n">
        <v>2367</v>
      </c>
      <c r="V1619" s="28" t="n">
        <f aca="false">12510/100</f>
        <v>125.1</v>
      </c>
      <c r="W1619" s="28" t="n">
        <f aca="false">V1619*$M1619</f>
        <v>5004</v>
      </c>
      <c r="X1619" s="28"/>
      <c r="Y1619" s="28" t="n">
        <f aca="false">X1619*$M1619</f>
        <v>0</v>
      </c>
      <c r="Z1619" s="28"/>
      <c r="AA1619" s="28" t="n">
        <f aca="false">Z1619*$M1619</f>
        <v>0</v>
      </c>
      <c r="AB1619" s="28" t="n">
        <f aca="false">50338/100</f>
        <v>503.38</v>
      </c>
      <c r="AC1619" s="28" t="n">
        <v>20135</v>
      </c>
      <c r="AD1619" s="28"/>
      <c r="AE1619" s="28" t="n">
        <f aca="false">AD1619*$M1619</f>
        <v>0</v>
      </c>
      <c r="AF1619" s="28"/>
      <c r="AG1619" s="28" t="n">
        <f aca="false">AF1619*$M1619</f>
        <v>0</v>
      </c>
      <c r="AH1619" s="28" t="n">
        <f aca="false">440/100</f>
        <v>4.4</v>
      </c>
      <c r="AI1619" s="28" t="n">
        <v>176</v>
      </c>
      <c r="AJ1619" s="28" t="n">
        <f aca="false">18094/100</f>
        <v>180.94</v>
      </c>
      <c r="AK1619" s="28" t="n">
        <v>7238</v>
      </c>
      <c r="AL1619" s="28"/>
      <c r="AM1619" s="28" t="n">
        <f aca="false">AL1619*$M1619</f>
        <v>0</v>
      </c>
      <c r="AN1619" s="28"/>
      <c r="AO1619" s="28" t="n">
        <f aca="false">AN1619*$M1619</f>
        <v>0</v>
      </c>
      <c r="AP1619" s="28"/>
      <c r="AQ1619" s="28" t="n">
        <f aca="false">AP1619*$M1619</f>
        <v>0</v>
      </c>
      <c r="AR1619" s="28"/>
      <c r="AS1619" s="28" t="n">
        <f aca="false">AR1619*$M1619</f>
        <v>0</v>
      </c>
      <c r="AT1619" s="28"/>
      <c r="AU1619" s="28" t="n">
        <f aca="false">AT1619*$M1619</f>
        <v>0</v>
      </c>
      <c r="AV1619" s="28"/>
      <c r="AW1619" s="28" t="n">
        <f aca="false">AV1619*$M1619</f>
        <v>0</v>
      </c>
      <c r="AX1619" s="28"/>
      <c r="AY1619" s="28" t="n">
        <f aca="false">AX1619*$M1619</f>
        <v>0</v>
      </c>
      <c r="AZ1619" s="30" t="n">
        <f aca="false">87279/100</f>
        <v>872.79</v>
      </c>
      <c r="BA1619" s="11" t="n">
        <v>34920</v>
      </c>
      <c r="BB1619" s="31" t="n">
        <f aca="false">SUM(Q1619,S1619,U1619,W1619,Y1619,AA1619,AC1619,AE1619,AG1619,AI1619,AK1619,AM1619,AO1619,AQ1619,AS1619,AU1619,AW1619,AY1619)</f>
        <v>34920</v>
      </c>
      <c r="BC1619" s="28" t="n">
        <f aca="false">BA1619-BB1619</f>
        <v>0</v>
      </c>
      <c r="BD1619" s="32" t="n">
        <f aca="false">SUM(P1619,R1619,T1619,V1619,X1619,Z1619,AB1619,AD1619,AF1619,AH1619,AJ1619,AL1619,AN1619,AP1619,AR1619,AT1619,AV1619,AX1619)</f>
        <v>872.99</v>
      </c>
      <c r="BE1619" s="33" t="n">
        <f aca="false">AZ1619-BD1619</f>
        <v>-0.200000000000045</v>
      </c>
      <c r="BF1619" s="34" t="n">
        <f aca="false">BD1619*M1619</f>
        <v>34919.6</v>
      </c>
      <c r="BG1619" s="35" t="n">
        <f aca="false">BA1619-BF1619</f>
        <v>0.400000000001455</v>
      </c>
      <c r="BH1619" s="19" t="str">
        <f aca="false">IF(BG1619=0,"",IF(BG1619&lt;&gt;BA1619,"erreur de calcul",IF(BD1619&lt;&gt;0,"pas de prix",IF(M1619&lt;&gt; 0,"pas de quantité","pas de prix, ni de quantité"))))</f>
        <v>erreur de calcul</v>
      </c>
      <c r="BI1619" s="19"/>
    </row>
    <row r="1620" customFormat="false" ht="15" hidden="false" customHeight="false" outlineLevel="0" collapsed="false">
      <c r="A1620" s="0" t="n">
        <v>6</v>
      </c>
      <c r="B1620" s="8" t="s">
        <v>24</v>
      </c>
      <c r="C1620" s="9" t="s">
        <v>25</v>
      </c>
      <c r="D1620" s="9" t="s">
        <v>26</v>
      </c>
      <c r="E1620" s="10" t="n">
        <v>1789</v>
      </c>
      <c r="F1620" s="9" t="s">
        <v>27</v>
      </c>
      <c r="G1620" s="9" t="s">
        <v>27</v>
      </c>
      <c r="H1620" s="11" t="n">
        <v>24</v>
      </c>
      <c r="I1620" s="11" t="s">
        <v>293</v>
      </c>
      <c r="J1620" s="14" t="n">
        <v>72</v>
      </c>
      <c r="K1620" s="14"/>
      <c r="L1620" s="16"/>
      <c r="M1620" s="27" t="n">
        <f aca="false">J1620+(K1620/20)+(L1620/240)</f>
        <v>72</v>
      </c>
      <c r="N1620" s="17" t="s">
        <v>294</v>
      </c>
      <c r="O1620" s="11"/>
      <c r="P1620" s="28" t="n">
        <v>16096</v>
      </c>
      <c r="Q1620" s="28" t="n">
        <v>1158912</v>
      </c>
      <c r="R1620" s="28"/>
      <c r="S1620" s="28" t="n">
        <f aca="false">R1620*$M1620</f>
        <v>0</v>
      </c>
      <c r="T1620" s="28" t="n">
        <v>6580</v>
      </c>
      <c r="U1620" s="28" t="n">
        <v>473760</v>
      </c>
      <c r="V1620" s="28" t="n">
        <v>21336</v>
      </c>
      <c r="W1620" s="28" t="n">
        <v>1536192</v>
      </c>
      <c r="X1620" s="28" t="n">
        <v>905</v>
      </c>
      <c r="Y1620" s="28" t="n">
        <v>65160</v>
      </c>
      <c r="Z1620" s="28" t="n">
        <v>250</v>
      </c>
      <c r="AA1620" s="28" t="n">
        <v>18000</v>
      </c>
      <c r="AB1620" s="28" t="n">
        <v>155034</v>
      </c>
      <c r="AC1620" s="28" t="n">
        <v>11162448</v>
      </c>
      <c r="AD1620" s="28"/>
      <c r="AE1620" s="28" t="n">
        <f aca="false">AD1620*$M1620</f>
        <v>0</v>
      </c>
      <c r="AF1620" s="28" t="n">
        <v>18739</v>
      </c>
      <c r="AG1620" s="28" t="n">
        <v>1349208</v>
      </c>
      <c r="AH1620" s="28" t="n">
        <v>44032</v>
      </c>
      <c r="AI1620" s="28" t="n">
        <v>3170304</v>
      </c>
      <c r="AJ1620" s="28"/>
      <c r="AK1620" s="28" t="n">
        <f aca="false">AJ1620*$M1620</f>
        <v>0</v>
      </c>
      <c r="AL1620" s="28"/>
      <c r="AM1620" s="28" t="n">
        <f aca="false">AL1620*$M1620</f>
        <v>0</v>
      </c>
      <c r="AN1620" s="28"/>
      <c r="AO1620" s="28" t="n">
        <f aca="false">AN1620*$M1620</f>
        <v>0</v>
      </c>
      <c r="AP1620" s="28"/>
      <c r="AQ1620" s="28" t="n">
        <f aca="false">AP1620*$M1620</f>
        <v>0</v>
      </c>
      <c r="AR1620" s="28"/>
      <c r="AS1620" s="28" t="n">
        <f aca="false">AR1620*$M1620</f>
        <v>0</v>
      </c>
      <c r="AT1620" s="28"/>
      <c r="AU1620" s="28" t="n">
        <f aca="false">AT1620*$M1620</f>
        <v>0</v>
      </c>
      <c r="AV1620" s="28"/>
      <c r="AW1620" s="28" t="n">
        <f aca="false">AV1620*$M1620</f>
        <v>0</v>
      </c>
      <c r="AX1620" s="28"/>
      <c r="AY1620" s="28" t="n">
        <f aca="false">AX1620*$M1620</f>
        <v>0</v>
      </c>
      <c r="AZ1620" s="30" t="n">
        <v>262972</v>
      </c>
      <c r="BA1620" s="11" t="n">
        <v>18933984</v>
      </c>
      <c r="BB1620" s="31" t="n">
        <f aca="false">SUM(Q1620,S1620,U1620,W1620,Y1620,AA1620,AC1620,AE1620,AG1620,AI1620,AK1620,AM1620,AO1620,AQ1620,AS1620,AU1620,AW1620,AY1620)</f>
        <v>18933984</v>
      </c>
      <c r="BC1620" s="28" t="n">
        <f aca="false">BA1620-BB1620</f>
        <v>0</v>
      </c>
      <c r="BD1620" s="32" t="n">
        <f aca="false">SUM(P1620,R1620,T1620,V1620,X1620,Z1620,AB1620,AD1620,AF1620,AH1620,AJ1620,AL1620,AN1620,AP1620,AR1620,AT1620,AV1620,AX1620)</f>
        <v>262972</v>
      </c>
      <c r="BE1620" s="33" t="n">
        <f aca="false">AZ1620-BD1620</f>
        <v>0</v>
      </c>
      <c r="BF1620" s="34" t="n">
        <f aca="false">BD1620*M1620</f>
        <v>18933984</v>
      </c>
      <c r="BG1620" s="35" t="n">
        <f aca="false">BA1620-BF1620</f>
        <v>0</v>
      </c>
      <c r="BH1620" s="19" t="str">
        <f aca="false">IF(BG1620=0,"",IF(BG1620&lt;&gt;BA1620,"erreur de calcul",IF(BD1620&lt;&gt;0,"pas de prix",IF(M1620&lt;&gt; 0,"pas de quantité","pas de prix, ni de quantité"))))</f>
        <v/>
      </c>
      <c r="BI1620" s="19" t="s">
        <v>295</v>
      </c>
    </row>
    <row r="1621" customFormat="false" ht="15" hidden="false" customHeight="false" outlineLevel="0" collapsed="false">
      <c r="A1621" s="0" t="n">
        <v>7</v>
      </c>
      <c r="B1621" s="8" t="s">
        <v>24</v>
      </c>
      <c r="C1621" s="9" t="s">
        <v>25</v>
      </c>
      <c r="D1621" s="9" t="s">
        <v>26</v>
      </c>
      <c r="E1621" s="10" t="n">
        <v>1789</v>
      </c>
      <c r="F1621" s="9" t="s">
        <v>27</v>
      </c>
      <c r="G1621" s="9" t="s">
        <v>27</v>
      </c>
      <c r="H1621" s="11" t="n">
        <v>24</v>
      </c>
      <c r="I1621" s="11" t="s">
        <v>296</v>
      </c>
      <c r="J1621" s="14" t="n">
        <v>35</v>
      </c>
      <c r="K1621" s="14"/>
      <c r="L1621" s="16"/>
      <c r="M1621" s="27" t="n">
        <f aca="false">J1621+(K1621/20)+(L1621/240)</f>
        <v>35</v>
      </c>
      <c r="N1621" s="17" t="s">
        <v>64</v>
      </c>
      <c r="O1621" s="11" t="s">
        <v>98</v>
      </c>
      <c r="P1621" s="28"/>
      <c r="Q1621" s="28" t="n">
        <f aca="false">P1621*$M1621</f>
        <v>0</v>
      </c>
      <c r="R1621" s="28"/>
      <c r="S1621" s="28" t="n">
        <f aca="false">R1621*$M1621</f>
        <v>0</v>
      </c>
      <c r="T1621" s="28"/>
      <c r="U1621" s="28" t="n">
        <f aca="false">T1621*$M1621</f>
        <v>0</v>
      </c>
      <c r="V1621" s="28"/>
      <c r="W1621" s="28" t="n">
        <f aca="false">V1621*$M1621</f>
        <v>0</v>
      </c>
      <c r="X1621" s="28"/>
      <c r="Y1621" s="28" t="n">
        <f aca="false">X1621*$M1621</f>
        <v>0</v>
      </c>
      <c r="Z1621" s="28"/>
      <c r="AA1621" s="28" t="n">
        <f aca="false">Z1621*$M1621</f>
        <v>0</v>
      </c>
      <c r="AB1621" s="28"/>
      <c r="AC1621" s="28" t="n">
        <f aca="false">AB1621*$M1621</f>
        <v>0</v>
      </c>
      <c r="AD1621" s="28"/>
      <c r="AE1621" s="28" t="n">
        <f aca="false">AD1621*$M1621</f>
        <v>0</v>
      </c>
      <c r="AF1621" s="28"/>
      <c r="AG1621" s="28" t="n">
        <f aca="false">AF1621*$M1621</f>
        <v>0</v>
      </c>
      <c r="AH1621" s="28"/>
      <c r="AI1621" s="28" t="n">
        <f aca="false">AH1621*$M1621</f>
        <v>0</v>
      </c>
      <c r="AJ1621" s="28"/>
      <c r="AK1621" s="28" t="n">
        <f aca="false">AJ1621*$M1621</f>
        <v>0</v>
      </c>
      <c r="AL1621" s="28"/>
      <c r="AM1621" s="28" t="n">
        <f aca="false">AL1621*$M1621</f>
        <v>0</v>
      </c>
      <c r="AN1621" s="28"/>
      <c r="AO1621" s="28" t="n">
        <f aca="false">AN1621*$M1621</f>
        <v>0</v>
      </c>
      <c r="AP1621" s="28"/>
      <c r="AQ1621" s="28" t="n">
        <f aca="false">AP1621*$M1621</f>
        <v>0</v>
      </c>
      <c r="AR1621" s="28"/>
      <c r="AS1621" s="28" t="n">
        <f aca="false">AR1621*$M1621</f>
        <v>0</v>
      </c>
      <c r="AT1621" s="28"/>
      <c r="AU1621" s="28" t="n">
        <f aca="false">AT1621*$M1621</f>
        <v>0</v>
      </c>
      <c r="AV1621" s="28"/>
      <c r="AW1621" s="28" t="n">
        <f aca="false">AV1621*$M1621</f>
        <v>0</v>
      </c>
      <c r="AX1621" s="28"/>
      <c r="AY1621" s="28" t="n">
        <f aca="false">AX1621*$M1621</f>
        <v>0</v>
      </c>
      <c r="AZ1621" s="30"/>
      <c r="BA1621" s="11"/>
      <c r="BB1621" s="31" t="n">
        <f aca="false">SUM(Q1621,S1621,U1621,W1621,Y1621,AA1621,AC1621,AE1621,AG1621,AI1621,AK1621,AM1621,AO1621,AQ1621,AS1621,AU1621,AW1621,AY1621)</f>
        <v>0</v>
      </c>
      <c r="BC1621" s="28" t="n">
        <f aca="false">BA1621-BB1621</f>
        <v>0</v>
      </c>
      <c r="BD1621" s="32" t="n">
        <f aca="false">SUM(P1621,R1621,T1621,V1621,X1621,Z1621,AB1621,AD1621,AF1621,AH1621,AJ1621,AL1621,AN1621,AP1621,AR1621,AT1621,AV1621,AX1621)</f>
        <v>0</v>
      </c>
      <c r="BE1621" s="33" t="n">
        <f aca="false">AZ1621-BD1621</f>
        <v>0</v>
      </c>
      <c r="BF1621" s="34" t="n">
        <f aca="false">BD1621*M1621</f>
        <v>0</v>
      </c>
      <c r="BG1621" s="35" t="n">
        <f aca="false">BA1621-BF1621</f>
        <v>0</v>
      </c>
      <c r="BH1621" s="19" t="str">
        <f aca="false">IF(BG1621=0,"",IF(BG1621&lt;&gt;BA1621,"erreur de calcul",IF(BD1621&lt;&gt;0,"pas de prix",IF(M1621&lt;&gt; 0,"pas de quantité","pas de prix, ni de quantité"))))</f>
        <v/>
      </c>
      <c r="BI1621" s="19"/>
    </row>
    <row r="1622" customFormat="false" ht="15" hidden="false" customHeight="false" outlineLevel="0" collapsed="false">
      <c r="A1622" s="0" t="n">
        <v>8</v>
      </c>
      <c r="B1622" s="8" t="s">
        <v>24</v>
      </c>
      <c r="C1622" s="9" t="s">
        <v>25</v>
      </c>
      <c r="D1622" s="9" t="s">
        <v>26</v>
      </c>
      <c r="E1622" s="10" t="n">
        <v>1789</v>
      </c>
      <c r="F1622" s="9" t="s">
        <v>27</v>
      </c>
      <c r="G1622" s="9" t="s">
        <v>27</v>
      </c>
      <c r="H1622" s="11" t="n">
        <v>24</v>
      </c>
      <c r="I1622" s="11" t="s">
        <v>297</v>
      </c>
      <c r="J1622" s="14" t="n">
        <v>45</v>
      </c>
      <c r="K1622" s="14"/>
      <c r="L1622" s="16"/>
      <c r="M1622" s="27" t="n">
        <f aca="false">J1622+(K1622/20)+(L1622/240)</f>
        <v>45</v>
      </c>
      <c r="N1622" s="17" t="s">
        <v>64</v>
      </c>
      <c r="O1622" s="11"/>
      <c r="P1622" s="28"/>
      <c r="Q1622" s="28" t="n">
        <f aca="false">P1622*$M1622</f>
        <v>0</v>
      </c>
      <c r="R1622" s="28"/>
      <c r="S1622" s="28" t="n">
        <f aca="false">R1622*$M1622</f>
        <v>0</v>
      </c>
      <c r="T1622" s="28"/>
      <c r="U1622" s="28" t="n">
        <f aca="false">T1622*$M1622</f>
        <v>0</v>
      </c>
      <c r="V1622" s="28"/>
      <c r="W1622" s="28" t="n">
        <f aca="false">V1622*$M1622</f>
        <v>0</v>
      </c>
      <c r="X1622" s="28"/>
      <c r="Y1622" s="28" t="n">
        <f aca="false">X1622*$M1622</f>
        <v>0</v>
      </c>
      <c r="Z1622" s="28"/>
      <c r="AA1622" s="28" t="n">
        <f aca="false">Z1622*$M1622</f>
        <v>0</v>
      </c>
      <c r="AB1622" s="28"/>
      <c r="AC1622" s="28" t="n">
        <f aca="false">AB1622*$M1622</f>
        <v>0</v>
      </c>
      <c r="AD1622" s="28"/>
      <c r="AE1622" s="28" t="n">
        <f aca="false">AD1622*$M1622</f>
        <v>0</v>
      </c>
      <c r="AF1622" s="28"/>
      <c r="AG1622" s="28" t="n">
        <f aca="false">AF1622*$M1622</f>
        <v>0</v>
      </c>
      <c r="AH1622" s="28"/>
      <c r="AI1622" s="28" t="n">
        <f aca="false">AH1622*$M1622</f>
        <v>0</v>
      </c>
      <c r="AJ1622" s="28"/>
      <c r="AK1622" s="28" t="n">
        <f aca="false">AJ1622*$M1622</f>
        <v>0</v>
      </c>
      <c r="AL1622" s="28"/>
      <c r="AM1622" s="28" t="n">
        <f aca="false">AL1622*$M1622</f>
        <v>0</v>
      </c>
      <c r="AN1622" s="28"/>
      <c r="AO1622" s="28" t="n">
        <f aca="false">AN1622*$M1622</f>
        <v>0</v>
      </c>
      <c r="AP1622" s="28"/>
      <c r="AQ1622" s="28" t="n">
        <f aca="false">AP1622*$M1622</f>
        <v>0</v>
      </c>
      <c r="AR1622" s="28"/>
      <c r="AS1622" s="28" t="n">
        <f aca="false">AR1622*$M1622</f>
        <v>0</v>
      </c>
      <c r="AT1622" s="28"/>
      <c r="AU1622" s="28" t="n">
        <f aca="false">AT1622*$M1622</f>
        <v>0</v>
      </c>
      <c r="AV1622" s="28"/>
      <c r="AW1622" s="28" t="n">
        <f aca="false">AV1622*$M1622</f>
        <v>0</v>
      </c>
      <c r="AX1622" s="28" t="n">
        <f aca="false">44459/100</f>
        <v>444.59</v>
      </c>
      <c r="AY1622" s="28" t="n">
        <v>20006</v>
      </c>
      <c r="AZ1622" s="30" t="n">
        <f aca="false">44459/100</f>
        <v>444.59</v>
      </c>
      <c r="BA1622" s="11" t="n">
        <v>20006</v>
      </c>
      <c r="BB1622" s="31" t="n">
        <f aca="false">SUM(Q1622,S1622,U1622,W1622,Y1622,AA1622,AC1622,AE1622,AG1622,AI1622,AK1622,AM1622,AO1622,AQ1622,AS1622,AU1622,AW1622,AY1622)</f>
        <v>20006</v>
      </c>
      <c r="BC1622" s="28" t="n">
        <f aca="false">BA1622-BB1622</f>
        <v>0</v>
      </c>
      <c r="BD1622" s="32" t="n">
        <f aca="false">SUM(P1622,R1622,T1622,V1622,X1622,Z1622,AB1622,AD1622,AF1622,AH1622,AJ1622,AL1622,AN1622,AP1622,AR1622,AT1622,AV1622,AX1622)</f>
        <v>444.59</v>
      </c>
      <c r="BE1622" s="33" t="n">
        <f aca="false">AZ1622-BD1622</f>
        <v>0</v>
      </c>
      <c r="BF1622" s="34" t="n">
        <f aca="false">BD1622*M1622</f>
        <v>20006.55</v>
      </c>
      <c r="BG1622" s="35" t="n">
        <f aca="false">BA1622-BF1622</f>
        <v>-0.549999999999272</v>
      </c>
      <c r="BH1622" s="19" t="str">
        <f aca="false">IF(BG1622=0,"",IF(BG1622&lt;&gt;BA1622,"erreur de calcul",IF(BD1622&lt;&gt;0,"pas de prix",IF(M1622&lt;&gt; 0,"pas de quantité","pas de prix, ni de quantité"))))</f>
        <v>erreur de calcul</v>
      </c>
      <c r="BI1622" s="19"/>
    </row>
    <row r="1623" customFormat="false" ht="15" hidden="false" customHeight="false" outlineLevel="0" collapsed="false">
      <c r="A1623" s="0" t="n">
        <v>9</v>
      </c>
      <c r="B1623" s="8" t="s">
        <v>24</v>
      </c>
      <c r="C1623" s="9" t="s">
        <v>25</v>
      </c>
      <c r="D1623" s="9" t="s">
        <v>26</v>
      </c>
      <c r="E1623" s="10" t="n">
        <v>1789</v>
      </c>
      <c r="F1623" s="9" t="s">
        <v>27</v>
      </c>
      <c r="G1623" s="9" t="s">
        <v>27</v>
      </c>
      <c r="H1623" s="11" t="n">
        <v>24</v>
      </c>
      <c r="I1623" s="11" t="s">
        <v>298</v>
      </c>
      <c r="J1623" s="14" t="n">
        <v>550</v>
      </c>
      <c r="K1623" s="14"/>
      <c r="L1623" s="16"/>
      <c r="M1623" s="27" t="n">
        <f aca="false">J1623+(K1623/20)+(L1623/240)</f>
        <v>550</v>
      </c>
      <c r="N1623" s="17" t="s">
        <v>64</v>
      </c>
      <c r="O1623" s="11"/>
      <c r="P1623" s="28"/>
      <c r="Q1623" s="28" t="n">
        <f aca="false">P1623*$M1623</f>
        <v>0</v>
      </c>
      <c r="R1623" s="28"/>
      <c r="S1623" s="28" t="n">
        <f aca="false">R1623*$M1623</f>
        <v>0</v>
      </c>
      <c r="T1623" s="28"/>
      <c r="U1623" s="28" t="n">
        <f aca="false">T1623*$M1623</f>
        <v>0</v>
      </c>
      <c r="V1623" s="28"/>
      <c r="W1623" s="28" t="n">
        <f aca="false">V1623*$M1623</f>
        <v>0</v>
      </c>
      <c r="X1623" s="28"/>
      <c r="Y1623" s="28" t="n">
        <f aca="false">X1623*$M1623</f>
        <v>0</v>
      </c>
      <c r="Z1623" s="28"/>
      <c r="AA1623" s="28" t="n">
        <f aca="false">Z1623*$M1623</f>
        <v>0</v>
      </c>
      <c r="AB1623" s="28"/>
      <c r="AC1623" s="28" t="n">
        <f aca="false">AB1623*$M1623</f>
        <v>0</v>
      </c>
      <c r="AD1623" s="28"/>
      <c r="AE1623" s="28" t="n">
        <f aca="false">AD1623*$M1623</f>
        <v>0</v>
      </c>
      <c r="AF1623" s="28" t="n">
        <f aca="false">200/100</f>
        <v>2</v>
      </c>
      <c r="AG1623" s="28" t="n">
        <v>1100</v>
      </c>
      <c r="AH1623" s="28"/>
      <c r="AI1623" s="28" t="n">
        <f aca="false">AH1623*$M1623</f>
        <v>0</v>
      </c>
      <c r="AJ1623" s="28"/>
      <c r="AK1623" s="28" t="n">
        <f aca="false">AJ1623*$M1623</f>
        <v>0</v>
      </c>
      <c r="AL1623" s="28"/>
      <c r="AM1623" s="28" t="n">
        <f aca="false">AL1623*$M1623</f>
        <v>0</v>
      </c>
      <c r="AN1623" s="28"/>
      <c r="AO1623" s="28" t="n">
        <f aca="false">AN1623*$M1623</f>
        <v>0</v>
      </c>
      <c r="AP1623" s="28"/>
      <c r="AQ1623" s="28" t="n">
        <f aca="false">AP1623*$M1623</f>
        <v>0</v>
      </c>
      <c r="AR1623" s="28"/>
      <c r="AS1623" s="28" t="n">
        <f aca="false">AR1623*$M1623</f>
        <v>0</v>
      </c>
      <c r="AT1623" s="28"/>
      <c r="AU1623" s="28" t="n">
        <f aca="false">AT1623*$M1623</f>
        <v>0</v>
      </c>
      <c r="AV1623" s="28"/>
      <c r="AW1623" s="28" t="n">
        <f aca="false">AV1623*$M1623</f>
        <v>0</v>
      </c>
      <c r="AX1623" s="28"/>
      <c r="AY1623" s="28" t="n">
        <f aca="false">AX1623*$M1623</f>
        <v>0</v>
      </c>
      <c r="AZ1623" s="30" t="n">
        <f aca="false">200/100</f>
        <v>2</v>
      </c>
      <c r="BA1623" s="11" t="n">
        <v>1100</v>
      </c>
      <c r="BB1623" s="31" t="n">
        <f aca="false">SUM(Q1623,S1623,U1623,W1623,Y1623,AA1623,AC1623,AE1623,AG1623,AI1623,AK1623,AM1623,AO1623,AQ1623,AS1623,AU1623,AW1623,AY1623)</f>
        <v>1100</v>
      </c>
      <c r="BC1623" s="28" t="n">
        <f aca="false">BA1623-BB1623</f>
        <v>0</v>
      </c>
      <c r="BD1623" s="32" t="n">
        <f aca="false">SUM(P1623,R1623,T1623,V1623,X1623,Z1623,AB1623,AD1623,AF1623,AH1623,AJ1623,AL1623,AN1623,AP1623,AR1623,AT1623,AV1623,AX1623)</f>
        <v>2</v>
      </c>
      <c r="BE1623" s="33" t="n">
        <f aca="false">AZ1623-BD1623</f>
        <v>0</v>
      </c>
      <c r="BF1623" s="34" t="n">
        <f aca="false">BD1623*M1623</f>
        <v>1100</v>
      </c>
      <c r="BG1623" s="35" t="n">
        <f aca="false">BA1623-BF1623</f>
        <v>0</v>
      </c>
      <c r="BH1623" s="19" t="str">
        <f aca="false">IF(BG1623=0,"",IF(BG1623&lt;&gt;BA1623,"erreur de calcul",IF(BD1623&lt;&gt;0,"pas de prix",IF(M1623&lt;&gt; 0,"pas de quantité","pas de prix, ni de quantité"))))</f>
        <v/>
      </c>
      <c r="BI1623" s="19"/>
    </row>
    <row r="1624" customFormat="false" ht="15" hidden="false" customHeight="false" outlineLevel="0" collapsed="false">
      <c r="A1624" s="0" t="n">
        <v>10</v>
      </c>
      <c r="B1624" s="8" t="s">
        <v>24</v>
      </c>
      <c r="C1624" s="9" t="s">
        <v>25</v>
      </c>
      <c r="D1624" s="9" t="s">
        <v>26</v>
      </c>
      <c r="E1624" s="10" t="n">
        <v>1789</v>
      </c>
      <c r="F1624" s="9" t="s">
        <v>27</v>
      </c>
      <c r="G1624" s="9" t="s">
        <v>27</v>
      </c>
      <c r="H1624" s="11" t="n">
        <v>24</v>
      </c>
      <c r="I1624" s="11" t="s">
        <v>299</v>
      </c>
      <c r="J1624" s="14" t="n">
        <v>16</v>
      </c>
      <c r="K1624" s="14"/>
      <c r="L1624" s="16"/>
      <c r="M1624" s="27" t="n">
        <f aca="false">J1624+(K1624/20)+(L1624/240)</f>
        <v>16</v>
      </c>
      <c r="N1624" s="17" t="s">
        <v>64</v>
      </c>
      <c r="O1624" s="11"/>
      <c r="P1624" s="28" t="n">
        <f aca="false">20*288*0.02+252*0.02</f>
        <v>120.24</v>
      </c>
      <c r="Q1624" s="28" t="n">
        <v>1924</v>
      </c>
      <c r="R1624" s="28"/>
      <c r="S1624" s="28" t="n">
        <f aca="false">R1624*$M1624</f>
        <v>0</v>
      </c>
      <c r="T1624" s="28"/>
      <c r="U1624" s="28" t="n">
        <f aca="false">T1624*$M1624</f>
        <v>0</v>
      </c>
      <c r="V1624" s="28" t="n">
        <f aca="false">16*288*0.02+15*0.02</f>
        <v>92.46</v>
      </c>
      <c r="W1624" s="28" t="n">
        <v>1479</v>
      </c>
      <c r="X1624" s="28" t="n">
        <f aca="false">25*288*0.02+152*0.02</f>
        <v>147.04</v>
      </c>
      <c r="Y1624" s="28" t="n">
        <v>2353</v>
      </c>
      <c r="Z1624" s="28"/>
      <c r="AA1624" s="28" t="n">
        <f aca="false">Z1624*$M1624</f>
        <v>0</v>
      </c>
      <c r="AB1624" s="28" t="n">
        <f aca="false">127*288*0.02+236*0.02</f>
        <v>736.24</v>
      </c>
      <c r="AC1624" s="28" t="n">
        <v>11780</v>
      </c>
      <c r="AD1624" s="28"/>
      <c r="AE1624" s="28" t="n">
        <f aca="false">AD1624*$M1624</f>
        <v>0</v>
      </c>
      <c r="AF1624" s="28"/>
      <c r="AG1624" s="28" t="n">
        <f aca="false">AF1624*$M1624</f>
        <v>0</v>
      </c>
      <c r="AH1624" s="28"/>
      <c r="AI1624" s="28" t="n">
        <f aca="false">AH1624*$M1624</f>
        <v>0</v>
      </c>
      <c r="AJ1624" s="28"/>
      <c r="AK1624" s="28" t="n">
        <f aca="false">AJ1624*$M1624</f>
        <v>0</v>
      </c>
      <c r="AL1624" s="28"/>
      <c r="AM1624" s="28" t="n">
        <f aca="false">AL1624*$M1624</f>
        <v>0</v>
      </c>
      <c r="AN1624" s="28"/>
      <c r="AO1624" s="28" t="n">
        <f aca="false">AN1624*$M1624</f>
        <v>0</v>
      </c>
      <c r="AP1624" s="28"/>
      <c r="AQ1624" s="28" t="n">
        <f aca="false">AP1624*$M1624</f>
        <v>0</v>
      </c>
      <c r="AR1624" s="28"/>
      <c r="AS1624" s="28" t="n">
        <f aca="false">AR1624*$M1624</f>
        <v>0</v>
      </c>
      <c r="AT1624" s="28"/>
      <c r="AU1624" s="28" t="n">
        <f aca="false">AT1624*$M1624</f>
        <v>0</v>
      </c>
      <c r="AV1624" s="28"/>
      <c r="AW1624" s="28" t="n">
        <f aca="false">AV1624*$M1624</f>
        <v>0</v>
      </c>
      <c r="AX1624" s="28"/>
      <c r="AY1624" s="28" t="n">
        <f aca="false">AX1624*$M1624</f>
        <v>0</v>
      </c>
      <c r="AZ1624" s="30" t="n">
        <f aca="false">190*288*0.02+82*0.02</f>
        <v>1096.04</v>
      </c>
      <c r="BA1624" s="11" t="n">
        <v>17536</v>
      </c>
      <c r="BB1624" s="31" t="n">
        <f aca="false">SUM(Q1624,S1624,U1624,W1624,Y1624,AA1624,AC1624,AE1624,AG1624,AI1624,AK1624,AM1624,AO1624,AQ1624,AS1624,AU1624,AW1624,AY1624)</f>
        <v>17536</v>
      </c>
      <c r="BC1624" s="28" t="n">
        <f aca="false">BA1624-BB1624</f>
        <v>0</v>
      </c>
      <c r="BD1624" s="32" t="n">
        <f aca="false">SUM(P1624,R1624,T1624,V1624,X1624,Z1624,AB1624,AD1624,AF1624,AH1624,AJ1624,AL1624,AN1624,AP1624,AR1624,AT1624,AV1624,AX1624)</f>
        <v>1095.98</v>
      </c>
      <c r="BE1624" s="33" t="n">
        <f aca="false">AZ1624-BD1624</f>
        <v>0.0600000000001728</v>
      </c>
      <c r="BF1624" s="34" t="n">
        <f aca="false">BD1624*M1624</f>
        <v>17535.68</v>
      </c>
      <c r="BG1624" s="35" t="n">
        <f aca="false">BA1624-BF1624</f>
        <v>0.319999999999709</v>
      </c>
      <c r="BH1624" s="19" t="str">
        <f aca="false">IF(BG1624=0,"",IF(BG1624&lt;&gt;BA1624,"erreur de calcul",IF(BD1624&lt;&gt;0,"pas de prix",IF(M1624&lt;&gt; 0,"pas de quantité","pas de prix, ni de quantité"))))</f>
        <v>erreur de calcul</v>
      </c>
      <c r="BI1624" s="19"/>
    </row>
    <row r="1625" customFormat="false" ht="15" hidden="false" customHeight="false" outlineLevel="0" collapsed="false">
      <c r="A1625" s="0" t="n">
        <v>11</v>
      </c>
      <c r="B1625" s="8" t="s">
        <v>24</v>
      </c>
      <c r="C1625" s="9" t="s">
        <v>25</v>
      </c>
      <c r="D1625" s="9" t="s">
        <v>26</v>
      </c>
      <c r="E1625" s="10" t="n">
        <v>1789</v>
      </c>
      <c r="F1625" s="9" t="s">
        <v>27</v>
      </c>
      <c r="G1625" s="9" t="s">
        <v>27</v>
      </c>
      <c r="H1625" s="11" t="n">
        <v>24</v>
      </c>
      <c r="I1625" s="11" t="s">
        <v>300</v>
      </c>
      <c r="J1625" s="14" t="n">
        <v>360</v>
      </c>
      <c r="K1625" s="14"/>
      <c r="L1625" s="16"/>
      <c r="M1625" s="27" t="n">
        <f aca="false">J1625+(K1625/20)+(L1625/240)</f>
        <v>360</v>
      </c>
      <c r="N1625" s="17" t="s">
        <v>64</v>
      </c>
      <c r="O1625" s="11"/>
      <c r="P1625" s="28"/>
      <c r="Q1625" s="28" t="n">
        <f aca="false">P1625*$M1625</f>
        <v>0</v>
      </c>
      <c r="R1625" s="28"/>
      <c r="S1625" s="28" t="n">
        <f aca="false">R1625*$M1625</f>
        <v>0</v>
      </c>
      <c r="T1625" s="28"/>
      <c r="U1625" s="28" t="n">
        <f aca="false">T1625*$M1625</f>
        <v>0</v>
      </c>
      <c r="V1625" s="28"/>
      <c r="W1625" s="28" t="n">
        <f aca="false">V1625*$M1625</f>
        <v>0</v>
      </c>
      <c r="X1625" s="28"/>
      <c r="Y1625" s="28" t="n">
        <f aca="false">X1625*$M1625</f>
        <v>0</v>
      </c>
      <c r="Z1625" s="28"/>
      <c r="AA1625" s="28" t="n">
        <f aca="false">Z1625*$M1625</f>
        <v>0</v>
      </c>
      <c r="AB1625" s="28"/>
      <c r="AC1625" s="28" t="n">
        <f aca="false">AB1625*$M1625</f>
        <v>0</v>
      </c>
      <c r="AD1625" s="28"/>
      <c r="AE1625" s="28" t="n">
        <f aca="false">AD1625*$M1625</f>
        <v>0</v>
      </c>
      <c r="AF1625" s="28"/>
      <c r="AG1625" s="28" t="n">
        <f aca="false">AF1625*$M1625</f>
        <v>0</v>
      </c>
      <c r="AH1625" s="28" t="n">
        <f aca="false">371073/100</f>
        <v>3710.73</v>
      </c>
      <c r="AI1625" s="28" t="n">
        <v>1335863</v>
      </c>
      <c r="AJ1625" s="28"/>
      <c r="AK1625" s="28" t="n">
        <f aca="false">AJ1625*$M1625</f>
        <v>0</v>
      </c>
      <c r="AL1625" s="28"/>
      <c r="AM1625" s="28" t="n">
        <f aca="false">AL1625*$M1625</f>
        <v>0</v>
      </c>
      <c r="AN1625" s="28"/>
      <c r="AO1625" s="28" t="n">
        <f aca="false">AN1625*$M1625</f>
        <v>0</v>
      </c>
      <c r="AP1625" s="28"/>
      <c r="AQ1625" s="28" t="n">
        <f aca="false">AP1625*$M1625</f>
        <v>0</v>
      </c>
      <c r="AR1625" s="28"/>
      <c r="AS1625" s="28" t="n">
        <f aca="false">AR1625*$M1625</f>
        <v>0</v>
      </c>
      <c r="AT1625" s="28"/>
      <c r="AU1625" s="28" t="n">
        <f aca="false">AT1625*$M1625</f>
        <v>0</v>
      </c>
      <c r="AV1625" s="28"/>
      <c r="AW1625" s="28" t="n">
        <f aca="false">AV1625*$M1625</f>
        <v>0</v>
      </c>
      <c r="AX1625" s="28"/>
      <c r="AY1625" s="28" t="n">
        <f aca="false">AX1625*$M1625</f>
        <v>0</v>
      </c>
      <c r="AZ1625" s="30" t="n">
        <f aca="false">371073/100</f>
        <v>3710.73</v>
      </c>
      <c r="BA1625" s="11" t="n">
        <v>1335863</v>
      </c>
      <c r="BB1625" s="31" t="n">
        <f aca="false">SUM(Q1625,S1625,U1625,W1625,Y1625,AA1625,AC1625,AE1625,AG1625,AI1625,AK1625,AM1625,AO1625,AQ1625,AS1625,AU1625,AW1625,AY1625)</f>
        <v>1335863</v>
      </c>
      <c r="BC1625" s="28" t="n">
        <f aca="false">BA1625-BB1625</f>
        <v>0</v>
      </c>
      <c r="BD1625" s="32" t="n">
        <f aca="false">SUM(P1625,R1625,T1625,V1625,X1625,Z1625,AB1625,AD1625,AF1625,AH1625,AJ1625,AL1625,AN1625,AP1625,AR1625,AT1625,AV1625,AX1625)</f>
        <v>3710.73</v>
      </c>
      <c r="BE1625" s="33" t="n">
        <f aca="false">AZ1625-BD1625</f>
        <v>0</v>
      </c>
      <c r="BF1625" s="34" t="n">
        <f aca="false">BD1625*M1625</f>
        <v>1335862.8</v>
      </c>
      <c r="BG1625" s="35" t="n">
        <f aca="false">BA1625-BF1625</f>
        <v>0.199999999953434</v>
      </c>
      <c r="BH1625" s="19" t="str">
        <f aca="false">IF(BG1625=0,"",IF(BG1625&lt;&gt;BA1625,"erreur de calcul",IF(BD1625&lt;&gt;0,"pas de prix",IF(M1625&lt;&gt; 0,"pas de quantité","pas de prix, ni de quantité"))))</f>
        <v>erreur de calcul</v>
      </c>
      <c r="BI1625" s="19"/>
    </row>
    <row r="1626" customFormat="false" ht="15" hidden="false" customHeight="false" outlineLevel="0" collapsed="false">
      <c r="A1626" s="0" t="n">
        <v>12</v>
      </c>
      <c r="B1626" s="8" t="s">
        <v>24</v>
      </c>
      <c r="C1626" s="9" t="s">
        <v>25</v>
      </c>
      <c r="D1626" s="9" t="s">
        <v>26</v>
      </c>
      <c r="E1626" s="10" t="n">
        <v>1789</v>
      </c>
      <c r="F1626" s="9" t="s">
        <v>27</v>
      </c>
      <c r="G1626" s="9" t="s">
        <v>27</v>
      </c>
      <c r="H1626" s="11" t="n">
        <v>24</v>
      </c>
      <c r="I1626" s="11" t="s">
        <v>301</v>
      </c>
      <c r="J1626" s="14" t="n">
        <v>3</v>
      </c>
      <c r="K1626" s="14"/>
      <c r="L1626" s="16"/>
      <c r="M1626" s="27" t="n">
        <f aca="false">J1626+(K1626/20)+(L1626/240)</f>
        <v>3</v>
      </c>
      <c r="N1626" s="17" t="s">
        <v>66</v>
      </c>
      <c r="O1626" s="11"/>
      <c r="P1626" s="28"/>
      <c r="Q1626" s="28" t="n">
        <f aca="false">P1626*$M1626</f>
        <v>0</v>
      </c>
      <c r="R1626" s="28"/>
      <c r="S1626" s="28" t="n">
        <f aca="false">R1626*$M1626</f>
        <v>0</v>
      </c>
      <c r="T1626" s="28"/>
      <c r="U1626" s="28" t="n">
        <f aca="false">T1626*$M1626</f>
        <v>0</v>
      </c>
      <c r="V1626" s="28"/>
      <c r="W1626" s="28" t="n">
        <f aca="false">V1626*$M1626</f>
        <v>0</v>
      </c>
      <c r="X1626" s="28"/>
      <c r="Y1626" s="28" t="n">
        <f aca="false">X1626*$M1626</f>
        <v>0</v>
      </c>
      <c r="Z1626" s="28"/>
      <c r="AA1626" s="28" t="n">
        <f aca="false">Z1626*$M1626</f>
        <v>0</v>
      </c>
      <c r="AB1626" s="28"/>
      <c r="AC1626" s="28" t="n">
        <f aca="false">AB1626*$M1626</f>
        <v>0</v>
      </c>
      <c r="AD1626" s="28"/>
      <c r="AE1626" s="28" t="n">
        <f aca="false">AD1626*$M1626</f>
        <v>0</v>
      </c>
      <c r="AF1626" s="28"/>
      <c r="AG1626" s="28" t="n">
        <f aca="false">AF1626*$M1626</f>
        <v>0</v>
      </c>
      <c r="AH1626" s="28" t="n">
        <v>19281</v>
      </c>
      <c r="AI1626" s="28" t="n">
        <v>57843</v>
      </c>
      <c r="AJ1626" s="28"/>
      <c r="AK1626" s="28" t="n">
        <f aca="false">AJ1626*$M1626</f>
        <v>0</v>
      </c>
      <c r="AL1626" s="28"/>
      <c r="AM1626" s="28" t="n">
        <f aca="false">AL1626*$M1626</f>
        <v>0</v>
      </c>
      <c r="AN1626" s="28"/>
      <c r="AO1626" s="28" t="n">
        <f aca="false">AN1626*$M1626</f>
        <v>0</v>
      </c>
      <c r="AP1626" s="28"/>
      <c r="AQ1626" s="28" t="n">
        <f aca="false">AP1626*$M1626</f>
        <v>0</v>
      </c>
      <c r="AR1626" s="28"/>
      <c r="AS1626" s="28" t="n">
        <f aca="false">AR1626*$M1626</f>
        <v>0</v>
      </c>
      <c r="AT1626" s="28"/>
      <c r="AU1626" s="28" t="n">
        <f aca="false">AT1626*$M1626</f>
        <v>0</v>
      </c>
      <c r="AV1626" s="28"/>
      <c r="AW1626" s="28" t="n">
        <f aca="false">AV1626*$M1626</f>
        <v>0</v>
      </c>
      <c r="AX1626" s="28"/>
      <c r="AY1626" s="28" t="n">
        <f aca="false">AX1626*$M1626</f>
        <v>0</v>
      </c>
      <c r="AZ1626" s="30" t="n">
        <v>19281</v>
      </c>
      <c r="BA1626" s="11" t="n">
        <v>57843</v>
      </c>
      <c r="BB1626" s="31" t="n">
        <f aca="false">SUM(Q1626,S1626,U1626,W1626,Y1626,AA1626,AC1626,AE1626,AG1626,AI1626,AK1626,AM1626,AO1626,AQ1626,AS1626,AU1626,AW1626,AY1626)</f>
        <v>57843</v>
      </c>
      <c r="BC1626" s="28" t="n">
        <f aca="false">BA1626-BB1626</f>
        <v>0</v>
      </c>
      <c r="BD1626" s="32" t="n">
        <f aca="false">SUM(P1626,R1626,T1626,V1626,X1626,Z1626,AB1626,AD1626,AF1626,AH1626,AJ1626,AL1626,AN1626,AP1626,AR1626,AT1626,AV1626,AX1626)</f>
        <v>19281</v>
      </c>
      <c r="BE1626" s="33" t="n">
        <f aca="false">AZ1626-BD1626</f>
        <v>0</v>
      </c>
      <c r="BF1626" s="34" t="n">
        <f aca="false">BD1626*M1626</f>
        <v>57843</v>
      </c>
      <c r="BG1626" s="35" t="n">
        <f aca="false">BA1626-BF1626</f>
        <v>0</v>
      </c>
      <c r="BH1626" s="19" t="str">
        <f aca="false">IF(BG1626=0,"",IF(BG1626&lt;&gt;BA1626,"erreur de calcul",IF(BD1626&lt;&gt;0,"pas de prix",IF(M1626&lt;&gt; 0,"pas de quantité","pas de prix, ni de quantité"))))</f>
        <v/>
      </c>
      <c r="BI1626" s="19"/>
    </row>
    <row r="1627" customFormat="false" ht="15" hidden="false" customHeight="false" outlineLevel="0" collapsed="false">
      <c r="A1627" s="0" t="n">
        <v>13</v>
      </c>
      <c r="B1627" s="8" t="s">
        <v>24</v>
      </c>
      <c r="C1627" s="9" t="s">
        <v>25</v>
      </c>
      <c r="D1627" s="9" t="s">
        <v>26</v>
      </c>
      <c r="E1627" s="10" t="n">
        <v>1789</v>
      </c>
      <c r="F1627" s="9" t="s">
        <v>27</v>
      </c>
      <c r="G1627" s="9" t="s">
        <v>27</v>
      </c>
      <c r="H1627" s="11" t="n">
        <v>24</v>
      </c>
      <c r="I1627" s="11" t="s">
        <v>302</v>
      </c>
      <c r="J1627" s="14" t="n">
        <v>112</v>
      </c>
      <c r="K1627" s="14"/>
      <c r="L1627" s="16"/>
      <c r="M1627" s="27" t="n">
        <f aca="false">J1627+(K1627/20)+(L1627/240)</f>
        <v>112</v>
      </c>
      <c r="N1627" s="17" t="s">
        <v>64</v>
      </c>
      <c r="O1627" s="11"/>
      <c r="P1627" s="28" t="n">
        <f aca="false">99503/100</f>
        <v>995.03</v>
      </c>
      <c r="Q1627" s="28" t="n">
        <v>111443</v>
      </c>
      <c r="R1627" s="28"/>
      <c r="S1627" s="28" t="n">
        <f aca="false">R1627*$M1627</f>
        <v>0</v>
      </c>
      <c r="T1627" s="28" t="n">
        <f aca="false">8445/100</f>
        <v>84.45</v>
      </c>
      <c r="U1627" s="28" t="n">
        <v>9458</v>
      </c>
      <c r="V1627" s="28" t="n">
        <f aca="false">2517/100</f>
        <v>25.17</v>
      </c>
      <c r="W1627" s="28" t="n">
        <v>2819</v>
      </c>
      <c r="X1627" s="28" t="n">
        <f aca="false">4729/100</f>
        <v>47.29</v>
      </c>
      <c r="Y1627" s="28" t="n">
        <v>5296</v>
      </c>
      <c r="Z1627" s="28" t="n">
        <f aca="false">198115/100</f>
        <v>1981.15</v>
      </c>
      <c r="AA1627" s="28" t="n">
        <v>221889</v>
      </c>
      <c r="AB1627" s="28"/>
      <c r="AC1627" s="28" t="n">
        <f aca="false">AB1627*$M1627</f>
        <v>0</v>
      </c>
      <c r="AD1627" s="28"/>
      <c r="AE1627" s="28" t="n">
        <f aca="false">AD1627*$M1627</f>
        <v>0</v>
      </c>
      <c r="AF1627" s="28" t="n">
        <f aca="false">67420/100</f>
        <v>674.2</v>
      </c>
      <c r="AG1627" s="28" t="n">
        <v>75510</v>
      </c>
      <c r="AH1627" s="28" t="n">
        <f aca="false">415806/100</f>
        <v>4158.06</v>
      </c>
      <c r="AI1627" s="28" t="n">
        <v>465703</v>
      </c>
      <c r="AJ1627" s="28"/>
      <c r="AK1627" s="28" t="n">
        <f aca="false">AJ1627*$M1627</f>
        <v>0</v>
      </c>
      <c r="AL1627" s="28" t="n">
        <f aca="false">324/100</f>
        <v>3.24</v>
      </c>
      <c r="AM1627" s="28" t="n">
        <v>363</v>
      </c>
      <c r="AN1627" s="28"/>
      <c r="AO1627" s="28" t="n">
        <f aca="false">AN1627*$M1627</f>
        <v>0</v>
      </c>
      <c r="AP1627" s="28"/>
      <c r="AQ1627" s="28" t="n">
        <f aca="false">AP1627*$M1627</f>
        <v>0</v>
      </c>
      <c r="AR1627" s="28"/>
      <c r="AS1627" s="28" t="n">
        <f aca="false">AR1627*$M1627</f>
        <v>0</v>
      </c>
      <c r="AT1627" s="28"/>
      <c r="AU1627" s="28" t="n">
        <f aca="false">AT1627*$M1627</f>
        <v>0</v>
      </c>
      <c r="AV1627" s="28"/>
      <c r="AW1627" s="28" t="n">
        <f aca="false">AV1627*$M1627</f>
        <v>0</v>
      </c>
      <c r="AX1627" s="28"/>
      <c r="AY1627" s="28" t="n">
        <f aca="false">AX1627*$M1627</f>
        <v>0</v>
      </c>
      <c r="AZ1627" s="30" t="n">
        <f aca="false">796859/100</f>
        <v>7968.59</v>
      </c>
      <c r="BA1627" s="11" t="n">
        <v>892481</v>
      </c>
      <c r="BB1627" s="31" t="n">
        <f aca="false">SUM(Q1627,S1627,U1627,W1627,Y1627,AA1627,AC1627,AE1627,AG1627,AI1627,AK1627,AM1627,AO1627,AQ1627,AS1627,AU1627,AW1627,AY1627)</f>
        <v>892481</v>
      </c>
      <c r="BC1627" s="28" t="n">
        <f aca="false">BA1627-BB1627</f>
        <v>0</v>
      </c>
      <c r="BD1627" s="32" t="n">
        <f aca="false">SUM(P1627,R1627,T1627,V1627,X1627,Z1627,AB1627,AD1627,AF1627,AH1627,AJ1627,AL1627,AN1627,AP1627,AR1627,AT1627,AV1627,AX1627)</f>
        <v>7968.59</v>
      </c>
      <c r="BE1627" s="33" t="n">
        <f aca="false">AZ1627-BD1627</f>
        <v>0</v>
      </c>
      <c r="BF1627" s="34" t="n">
        <f aca="false">BD1627*M1627</f>
        <v>892482.08</v>
      </c>
      <c r="BG1627" s="35" t="n">
        <f aca="false">BA1627-BF1627</f>
        <v>-1.07999999995809</v>
      </c>
      <c r="BH1627" s="19" t="str">
        <f aca="false">IF(BG1627=0,"",IF(BG1627&lt;&gt;BA1627,"erreur de calcul",IF(BD1627&lt;&gt;0,"pas de prix",IF(M1627&lt;&gt; 0,"pas de quantité","pas de prix, ni de quantité"))))</f>
        <v>erreur de calcul</v>
      </c>
      <c r="BI1627" s="19"/>
    </row>
    <row r="1628" customFormat="false" ht="15" hidden="false" customHeight="false" outlineLevel="0" collapsed="false">
      <c r="A1628" s="0" t="n">
        <v>14</v>
      </c>
      <c r="B1628" s="8" t="s">
        <v>24</v>
      </c>
      <c r="C1628" s="9" t="s">
        <v>25</v>
      </c>
      <c r="D1628" s="9" t="s">
        <v>26</v>
      </c>
      <c r="E1628" s="10" t="n">
        <v>1789</v>
      </c>
      <c r="F1628" s="9" t="s">
        <v>27</v>
      </c>
      <c r="G1628" s="9" t="s">
        <v>27</v>
      </c>
      <c r="H1628" s="11" t="n">
        <v>24</v>
      </c>
      <c r="I1628" s="11" t="s">
        <v>303</v>
      </c>
      <c r="J1628" s="14" t="n">
        <v>50</v>
      </c>
      <c r="K1628" s="14"/>
      <c r="L1628" s="16"/>
      <c r="M1628" s="27" t="n">
        <f aca="false">J1628+(K1628/20)+(L1628/240)</f>
        <v>50</v>
      </c>
      <c r="N1628" s="17" t="s">
        <v>64</v>
      </c>
      <c r="O1628" s="11"/>
      <c r="P1628" s="28"/>
      <c r="Q1628" s="28" t="n">
        <f aca="false">P1628*$M1628</f>
        <v>0</v>
      </c>
      <c r="R1628" s="28"/>
      <c r="S1628" s="28" t="n">
        <f aca="false">R1628*$M1628</f>
        <v>0</v>
      </c>
      <c r="T1628" s="28"/>
      <c r="U1628" s="28" t="n">
        <f aca="false">T1628*$M1628</f>
        <v>0</v>
      </c>
      <c r="V1628" s="28"/>
      <c r="W1628" s="28" t="n">
        <f aca="false">V1628*$M1628</f>
        <v>0</v>
      </c>
      <c r="X1628" s="28"/>
      <c r="Y1628" s="28" t="n">
        <f aca="false">X1628*$M1628</f>
        <v>0</v>
      </c>
      <c r="Z1628" s="28"/>
      <c r="AA1628" s="28" t="n">
        <f aca="false">Z1628*$M1628</f>
        <v>0</v>
      </c>
      <c r="AB1628" s="28"/>
      <c r="AC1628" s="28" t="n">
        <f aca="false">AB1628*$M1628</f>
        <v>0</v>
      </c>
      <c r="AD1628" s="28"/>
      <c r="AE1628" s="28" t="n">
        <f aca="false">AD1628*$M1628</f>
        <v>0</v>
      </c>
      <c r="AF1628" s="28" t="n">
        <f aca="false">208461/100</f>
        <v>2084.61</v>
      </c>
      <c r="AG1628" s="28" t="n">
        <v>104230</v>
      </c>
      <c r="AH1628" s="28" t="n">
        <f aca="false">757624/100</f>
        <v>7576.24</v>
      </c>
      <c r="AI1628" s="28" t="n">
        <v>378812</v>
      </c>
      <c r="AJ1628" s="28"/>
      <c r="AK1628" s="28" t="n">
        <f aca="false">AJ1628*$M1628</f>
        <v>0</v>
      </c>
      <c r="AL1628" s="28"/>
      <c r="AM1628" s="28" t="n">
        <f aca="false">AL1628*$M1628</f>
        <v>0</v>
      </c>
      <c r="AN1628" s="28"/>
      <c r="AO1628" s="28" t="n">
        <f aca="false">AN1628*$M1628</f>
        <v>0</v>
      </c>
      <c r="AP1628" s="28"/>
      <c r="AQ1628" s="28" t="n">
        <f aca="false">AP1628*$M1628</f>
        <v>0</v>
      </c>
      <c r="AR1628" s="28"/>
      <c r="AS1628" s="28" t="n">
        <f aca="false">AR1628*$M1628</f>
        <v>0</v>
      </c>
      <c r="AT1628" s="28"/>
      <c r="AU1628" s="28" t="n">
        <f aca="false">AT1628*$M1628</f>
        <v>0</v>
      </c>
      <c r="AV1628" s="28"/>
      <c r="AW1628" s="28" t="n">
        <f aca="false">AV1628*$M1628</f>
        <v>0</v>
      </c>
      <c r="AX1628" s="28"/>
      <c r="AY1628" s="28" t="n">
        <f aca="false">AX1628*$M1628</f>
        <v>0</v>
      </c>
      <c r="AZ1628" s="30" t="n">
        <f aca="false">966085/100</f>
        <v>9660.85</v>
      </c>
      <c r="BA1628" s="11" t="n">
        <v>483042</v>
      </c>
      <c r="BB1628" s="31" t="n">
        <f aca="false">SUM(Q1628,S1628,U1628,W1628,Y1628,AA1628,AC1628,AE1628,AG1628,AI1628,AK1628,AM1628,AO1628,AQ1628,AS1628,AU1628,AW1628,AY1628)</f>
        <v>483042</v>
      </c>
      <c r="BC1628" s="28" t="n">
        <f aca="false">BA1628-BB1628</f>
        <v>0</v>
      </c>
      <c r="BD1628" s="32" t="n">
        <f aca="false">SUM(P1628,R1628,T1628,V1628,X1628,Z1628,AB1628,AD1628,AF1628,AH1628,AJ1628,AL1628,AN1628,AP1628,AR1628,AT1628,AV1628,AX1628)</f>
        <v>9660.85</v>
      </c>
      <c r="BE1628" s="33" t="n">
        <f aca="false">AZ1628-BD1628</f>
        <v>0</v>
      </c>
      <c r="BF1628" s="34" t="n">
        <f aca="false">BD1628*M1628</f>
        <v>483042.5</v>
      </c>
      <c r="BG1628" s="35" t="n">
        <f aca="false">BA1628-BF1628</f>
        <v>-0.5</v>
      </c>
      <c r="BH1628" s="19" t="str">
        <f aca="false">IF(BG1628=0,"",IF(BG1628&lt;&gt;BA1628,"erreur de calcul",IF(BD1628&lt;&gt;0,"pas de prix",IF(M1628&lt;&gt; 0,"pas de quantité","pas de prix, ni de quantité"))))</f>
        <v>erreur de calcul</v>
      </c>
      <c r="BI1628" s="19"/>
    </row>
    <row r="1629" customFormat="false" ht="15" hidden="false" customHeight="false" outlineLevel="0" collapsed="false">
      <c r="A1629" s="0" t="n">
        <v>15</v>
      </c>
      <c r="B1629" s="8" t="s">
        <v>24</v>
      </c>
      <c r="C1629" s="9" t="s">
        <v>25</v>
      </c>
      <c r="D1629" s="9" t="s">
        <v>26</v>
      </c>
      <c r="E1629" s="10" t="n">
        <v>1789</v>
      </c>
      <c r="F1629" s="9" t="s">
        <v>27</v>
      </c>
      <c r="G1629" s="9" t="s">
        <v>27</v>
      </c>
      <c r="H1629" s="11" t="n">
        <v>24</v>
      </c>
      <c r="I1629" s="11" t="s">
        <v>304</v>
      </c>
      <c r="J1629" s="14" t="n">
        <v>340</v>
      </c>
      <c r="K1629" s="14"/>
      <c r="L1629" s="16"/>
      <c r="M1629" s="27" t="n">
        <f aca="false">J1629+(K1629/20)+(L1629/240)</f>
        <v>340</v>
      </c>
      <c r="N1629" s="17" t="s">
        <v>64</v>
      </c>
      <c r="O1629" s="11"/>
      <c r="P1629" s="28"/>
      <c r="Q1629" s="28" t="n">
        <f aca="false">P1629*$M1629</f>
        <v>0</v>
      </c>
      <c r="R1629" s="28"/>
      <c r="S1629" s="28" t="n">
        <f aca="false">R1629*$M1629</f>
        <v>0</v>
      </c>
      <c r="T1629" s="28"/>
      <c r="U1629" s="28" t="n">
        <f aca="false">T1629*$M1629</f>
        <v>0</v>
      </c>
      <c r="V1629" s="28"/>
      <c r="W1629" s="28" t="n">
        <f aca="false">V1629*$M1629</f>
        <v>0</v>
      </c>
      <c r="X1629" s="28"/>
      <c r="Y1629" s="28" t="n">
        <f aca="false">X1629*$M1629</f>
        <v>0</v>
      </c>
      <c r="Z1629" s="28"/>
      <c r="AA1629" s="28" t="n">
        <f aca="false">Z1629*$M1629</f>
        <v>0</v>
      </c>
      <c r="AB1629" s="28" t="n">
        <f aca="false">339883/100</f>
        <v>3398.83</v>
      </c>
      <c r="AC1629" s="28" t="n">
        <v>1155602</v>
      </c>
      <c r="AD1629" s="28"/>
      <c r="AE1629" s="28" t="n">
        <f aca="false">AD1629*$M1629</f>
        <v>0</v>
      </c>
      <c r="AF1629" s="28"/>
      <c r="AG1629" s="28" t="n">
        <f aca="false">AF1629*$M1629</f>
        <v>0</v>
      </c>
      <c r="AH1629" s="28"/>
      <c r="AI1629" s="28" t="n">
        <f aca="false">AH1629*$M1629</f>
        <v>0</v>
      </c>
      <c r="AJ1629" s="28"/>
      <c r="AK1629" s="28" t="n">
        <f aca="false">AJ1629*$M1629</f>
        <v>0</v>
      </c>
      <c r="AL1629" s="28"/>
      <c r="AM1629" s="28" t="n">
        <f aca="false">AL1629*$M1629</f>
        <v>0</v>
      </c>
      <c r="AN1629" s="28"/>
      <c r="AO1629" s="28" t="n">
        <f aca="false">AN1629*$M1629</f>
        <v>0</v>
      </c>
      <c r="AP1629" s="28"/>
      <c r="AQ1629" s="28" t="n">
        <f aca="false">AP1629*$M1629</f>
        <v>0</v>
      </c>
      <c r="AR1629" s="28"/>
      <c r="AS1629" s="28" t="n">
        <f aca="false">AR1629*$M1629</f>
        <v>0</v>
      </c>
      <c r="AT1629" s="28"/>
      <c r="AU1629" s="28" t="n">
        <f aca="false">AT1629*$M1629</f>
        <v>0</v>
      </c>
      <c r="AV1629" s="28"/>
      <c r="AW1629" s="28" t="n">
        <f aca="false">AV1629*$M1629</f>
        <v>0</v>
      </c>
      <c r="AX1629" s="28"/>
      <c r="AY1629" s="28" t="n">
        <f aca="false">AX1629*$M1629</f>
        <v>0</v>
      </c>
      <c r="AZ1629" s="30" t="n">
        <f aca="false">339883/100</f>
        <v>3398.83</v>
      </c>
      <c r="BA1629" s="11" t="n">
        <v>1155602</v>
      </c>
      <c r="BB1629" s="31" t="n">
        <f aca="false">SUM(Q1629,S1629,U1629,W1629,Y1629,AA1629,AC1629,AE1629,AG1629,AI1629,AK1629,AM1629,AO1629,AQ1629,AS1629,AU1629,AW1629,AY1629)</f>
        <v>1155602</v>
      </c>
      <c r="BC1629" s="28" t="n">
        <f aca="false">BA1629-BB1629</f>
        <v>0</v>
      </c>
      <c r="BD1629" s="32" t="n">
        <f aca="false">SUM(P1629,R1629,T1629,V1629,X1629,Z1629,AB1629,AD1629,AF1629,AH1629,AJ1629,AL1629,AN1629,AP1629,AR1629,AT1629,AV1629,AX1629)</f>
        <v>3398.83</v>
      </c>
      <c r="BE1629" s="33" t="n">
        <f aca="false">AZ1629-BD1629</f>
        <v>0</v>
      </c>
      <c r="BF1629" s="34" t="n">
        <f aca="false">BD1629*M1629</f>
        <v>1155602.2</v>
      </c>
      <c r="BG1629" s="35" t="n">
        <f aca="false">BA1629-BF1629</f>
        <v>-0.199999999953434</v>
      </c>
      <c r="BH1629" s="19" t="str">
        <f aca="false">IF(BG1629=0,"",IF(BG1629&lt;&gt;BA1629,"erreur de calcul",IF(BD1629&lt;&gt;0,"pas de prix",IF(M1629&lt;&gt; 0,"pas de quantité","pas de prix, ni de quantité"))))</f>
        <v>erreur de calcul</v>
      </c>
      <c r="BI1629" s="19"/>
    </row>
    <row r="1630" customFormat="false" ht="15" hidden="false" customHeight="false" outlineLevel="0" collapsed="false">
      <c r="A1630" s="0" t="n">
        <v>16</v>
      </c>
      <c r="B1630" s="8" t="s">
        <v>24</v>
      </c>
      <c r="C1630" s="9" t="s">
        <v>25</v>
      </c>
      <c r="D1630" s="9" t="s">
        <v>26</v>
      </c>
      <c r="E1630" s="10" t="n">
        <v>1789</v>
      </c>
      <c r="F1630" s="9" t="s">
        <v>27</v>
      </c>
      <c r="G1630" s="9" t="s">
        <v>27</v>
      </c>
      <c r="H1630" s="11" t="n">
        <v>24</v>
      </c>
      <c r="I1630" s="11" t="s">
        <v>305</v>
      </c>
      <c r="J1630" s="14" t="n">
        <v>235</v>
      </c>
      <c r="K1630" s="14"/>
      <c r="L1630" s="16"/>
      <c r="M1630" s="27" t="n">
        <f aca="false">J1630+(K1630/20)+(L1630/240)</f>
        <v>235</v>
      </c>
      <c r="N1630" s="17" t="s">
        <v>64</v>
      </c>
      <c r="O1630" s="11"/>
      <c r="P1630" s="28" t="n">
        <f aca="false">34642/100</f>
        <v>346.42</v>
      </c>
      <c r="Q1630" s="28" t="n">
        <v>81409</v>
      </c>
      <c r="R1630" s="28"/>
      <c r="S1630" s="28" t="n">
        <f aca="false">R1630*$M1630</f>
        <v>0</v>
      </c>
      <c r="T1630" s="28"/>
      <c r="U1630" s="28" t="n">
        <f aca="false">T1630*$M1630</f>
        <v>0</v>
      </c>
      <c r="V1630" s="28"/>
      <c r="W1630" s="28" t="n">
        <f aca="false">V1630*$M1630</f>
        <v>0</v>
      </c>
      <c r="X1630" s="28"/>
      <c r="Y1630" s="28" t="n">
        <f aca="false">X1630*$M1630</f>
        <v>0</v>
      </c>
      <c r="Z1630" s="28"/>
      <c r="AA1630" s="28" t="n">
        <f aca="false">Z1630*$M1630</f>
        <v>0</v>
      </c>
      <c r="AB1630" s="28"/>
      <c r="AC1630" s="28" t="n">
        <f aca="false">AB1630*$M1630</f>
        <v>0</v>
      </c>
      <c r="AD1630" s="28"/>
      <c r="AE1630" s="28" t="n">
        <f aca="false">AD1630*$M1630</f>
        <v>0</v>
      </c>
      <c r="AF1630" s="28"/>
      <c r="AG1630" s="28" t="n">
        <f aca="false">AF1630*$M1630</f>
        <v>0</v>
      </c>
      <c r="AH1630" s="28"/>
      <c r="AI1630" s="28" t="n">
        <f aca="false">AH1630*$M1630</f>
        <v>0</v>
      </c>
      <c r="AJ1630" s="28"/>
      <c r="AK1630" s="28" t="n">
        <f aca="false">AJ1630*$M1630</f>
        <v>0</v>
      </c>
      <c r="AL1630" s="28"/>
      <c r="AM1630" s="28" t="n">
        <f aca="false">AL1630*$M1630</f>
        <v>0</v>
      </c>
      <c r="AN1630" s="28"/>
      <c r="AO1630" s="28" t="n">
        <f aca="false">AN1630*$M1630</f>
        <v>0</v>
      </c>
      <c r="AP1630" s="28"/>
      <c r="AQ1630" s="28" t="n">
        <f aca="false">AP1630*$M1630</f>
        <v>0</v>
      </c>
      <c r="AR1630" s="28"/>
      <c r="AS1630" s="28" t="n">
        <f aca="false">AR1630*$M1630</f>
        <v>0</v>
      </c>
      <c r="AT1630" s="28"/>
      <c r="AU1630" s="28" t="n">
        <f aca="false">AT1630*$M1630</f>
        <v>0</v>
      </c>
      <c r="AV1630" s="28"/>
      <c r="AW1630" s="28" t="n">
        <f aca="false">AV1630*$M1630</f>
        <v>0</v>
      </c>
      <c r="AX1630" s="28"/>
      <c r="AY1630" s="28" t="n">
        <f aca="false">AX1630*$M1630</f>
        <v>0</v>
      </c>
      <c r="AZ1630" s="30" t="n">
        <f aca="false">34642/100</f>
        <v>346.42</v>
      </c>
      <c r="BA1630" s="11" t="n">
        <v>81409</v>
      </c>
      <c r="BB1630" s="31" t="n">
        <f aca="false">SUM(Q1630,S1630,U1630,W1630,Y1630,AA1630,AC1630,AE1630,AG1630,AI1630,AK1630,AM1630,AO1630,AQ1630,AS1630,AU1630,AW1630,AY1630)</f>
        <v>81409</v>
      </c>
      <c r="BC1630" s="28" t="n">
        <f aca="false">BA1630-BB1630</f>
        <v>0</v>
      </c>
      <c r="BD1630" s="32" t="n">
        <f aca="false">SUM(P1630,R1630,T1630,V1630,X1630,Z1630,AB1630,AD1630,AF1630,AH1630,AJ1630,AL1630,AN1630,AP1630,AR1630,AT1630,AV1630,AX1630)</f>
        <v>346.42</v>
      </c>
      <c r="BE1630" s="33" t="n">
        <f aca="false">AZ1630-BD1630</f>
        <v>0</v>
      </c>
      <c r="BF1630" s="34" t="n">
        <f aca="false">BD1630*M1630</f>
        <v>81408.7</v>
      </c>
      <c r="BG1630" s="35" t="n">
        <f aca="false">BA1630-BF1630</f>
        <v>0.30000000000291</v>
      </c>
      <c r="BH1630" s="19" t="str">
        <f aca="false">IF(BG1630=0,"",IF(BG1630&lt;&gt;BA1630,"erreur de calcul",IF(BD1630&lt;&gt;0,"pas de prix",IF(M1630&lt;&gt; 0,"pas de quantité","pas de prix, ni de quantité"))))</f>
        <v>erreur de calcul</v>
      </c>
      <c r="BI1630" s="19"/>
    </row>
    <row r="1631" customFormat="false" ht="15" hidden="false" customHeight="false" outlineLevel="0" collapsed="false">
      <c r="A1631" s="0" t="n">
        <v>17</v>
      </c>
      <c r="B1631" s="8" t="s">
        <v>24</v>
      </c>
      <c r="C1631" s="9" t="s">
        <v>25</v>
      </c>
      <c r="D1631" s="9" t="s">
        <v>26</v>
      </c>
      <c r="E1631" s="10" t="n">
        <v>1789</v>
      </c>
      <c r="F1631" s="9" t="s">
        <v>27</v>
      </c>
      <c r="G1631" s="9" t="s">
        <v>27</v>
      </c>
      <c r="H1631" s="11" t="n">
        <v>24</v>
      </c>
      <c r="I1631" s="11" t="s">
        <v>306</v>
      </c>
      <c r="J1631" s="14" t="n">
        <v>71</v>
      </c>
      <c r="K1631" s="14"/>
      <c r="L1631" s="16"/>
      <c r="M1631" s="27" t="n">
        <f aca="false">J1631+(K1631/20)+(L1631/240)</f>
        <v>71</v>
      </c>
      <c r="N1631" s="17" t="s">
        <v>64</v>
      </c>
      <c r="O1631" s="11"/>
      <c r="P1631" s="28"/>
      <c r="Q1631" s="28" t="n">
        <f aca="false">P1631*$M1631</f>
        <v>0</v>
      </c>
      <c r="R1631" s="28"/>
      <c r="S1631" s="28" t="n">
        <f aca="false">R1631*$M1631</f>
        <v>0</v>
      </c>
      <c r="T1631" s="28" t="n">
        <f aca="false">12674/100</f>
        <v>126.74</v>
      </c>
      <c r="U1631" s="28" t="n">
        <v>8998</v>
      </c>
      <c r="V1631" s="28"/>
      <c r="W1631" s="28" t="n">
        <f aca="false">V1631*$M1631</f>
        <v>0</v>
      </c>
      <c r="X1631" s="28"/>
      <c r="Y1631" s="28" t="n">
        <f aca="false">X1631*$M1631</f>
        <v>0</v>
      </c>
      <c r="Z1631" s="28"/>
      <c r="AA1631" s="28" t="n">
        <f aca="false">Z1631*$M1631</f>
        <v>0</v>
      </c>
      <c r="AB1631" s="28"/>
      <c r="AC1631" s="28" t="n">
        <f aca="false">AB1631*$M1631</f>
        <v>0</v>
      </c>
      <c r="AD1631" s="28" t="n">
        <f aca="false">4283/100</f>
        <v>42.83</v>
      </c>
      <c r="AE1631" s="28" t="n">
        <v>3041</v>
      </c>
      <c r="AF1631" s="28" t="n">
        <f aca="false">2978140/100</f>
        <v>29781.4</v>
      </c>
      <c r="AG1631" s="28" t="n">
        <v>2114479</v>
      </c>
      <c r="AH1631" s="28" t="n">
        <f aca="false">4119032/100</f>
        <v>41190.32</v>
      </c>
      <c r="AI1631" s="28" t="n">
        <v>2924512</v>
      </c>
      <c r="AJ1631" s="28"/>
      <c r="AK1631" s="28" t="n">
        <f aca="false">AJ1631*$M1631</f>
        <v>0</v>
      </c>
      <c r="AL1631" s="28"/>
      <c r="AM1631" s="28" t="n">
        <f aca="false">AL1631*$M1631</f>
        <v>0</v>
      </c>
      <c r="AN1631" s="28"/>
      <c r="AO1631" s="28" t="n">
        <f aca="false">AN1631*$M1631</f>
        <v>0</v>
      </c>
      <c r="AP1631" s="28"/>
      <c r="AQ1631" s="28" t="n">
        <f aca="false">AP1631*$M1631</f>
        <v>0</v>
      </c>
      <c r="AR1631" s="28"/>
      <c r="AS1631" s="28" t="n">
        <f aca="false">AR1631*$M1631</f>
        <v>0</v>
      </c>
      <c r="AT1631" s="28"/>
      <c r="AU1631" s="28" t="n">
        <f aca="false">AT1631*$M1631</f>
        <v>0</v>
      </c>
      <c r="AV1631" s="28"/>
      <c r="AW1631" s="28" t="n">
        <f aca="false">AV1631*$M1631</f>
        <v>0</v>
      </c>
      <c r="AX1631" s="28"/>
      <c r="AY1631" s="28" t="n">
        <f aca="false">AX1631*$M1631</f>
        <v>0</v>
      </c>
      <c r="AZ1631" s="30" t="n">
        <f aca="false">7114129/100</f>
        <v>71141.29</v>
      </c>
      <c r="BA1631" s="11" t="n">
        <v>5051030</v>
      </c>
      <c r="BB1631" s="31" t="n">
        <f aca="false">SUM(Q1631,S1631,U1631,W1631,Y1631,AA1631,AC1631,AE1631,AG1631,AI1631,AK1631,AM1631,AO1631,AQ1631,AS1631,AU1631,AW1631,AY1631)</f>
        <v>5051030</v>
      </c>
      <c r="BC1631" s="28" t="n">
        <f aca="false">BA1631-BB1631</f>
        <v>0</v>
      </c>
      <c r="BD1631" s="32" t="n">
        <f aca="false">SUM(P1631,R1631,T1631,V1631,X1631,Z1631,AB1631,AD1631,AF1631,AH1631,AJ1631,AL1631,AN1631,AP1631,AR1631,AT1631,AV1631,AX1631)</f>
        <v>71141.29</v>
      </c>
      <c r="BE1631" s="33" t="n">
        <f aca="false">AZ1631-BD1631</f>
        <v>0</v>
      </c>
      <c r="BF1631" s="34" t="n">
        <f aca="false">BD1631*M1631</f>
        <v>5051031.59</v>
      </c>
      <c r="BG1631" s="35" t="n">
        <f aca="false">BA1631-BF1631</f>
        <v>-1.59000000078231</v>
      </c>
      <c r="BH1631" s="19" t="str">
        <f aca="false">IF(BG1631=0,"",IF(BG1631&lt;&gt;BA1631,"erreur de calcul",IF(BD1631&lt;&gt;0,"pas de prix",IF(M1631&lt;&gt; 0,"pas de quantité","pas de prix, ni de quantité"))))</f>
        <v>erreur de calcul</v>
      </c>
      <c r="BI1631" s="19"/>
    </row>
    <row r="1632" customFormat="false" ht="15" hidden="false" customHeight="false" outlineLevel="0" collapsed="false">
      <c r="A1632" s="0" t="n">
        <v>18</v>
      </c>
      <c r="B1632" s="8" t="s">
        <v>24</v>
      </c>
      <c r="C1632" s="9" t="s">
        <v>25</v>
      </c>
      <c r="D1632" s="9" t="s">
        <v>26</v>
      </c>
      <c r="E1632" s="10" t="n">
        <v>1789</v>
      </c>
      <c r="F1632" s="9" t="s">
        <v>27</v>
      </c>
      <c r="G1632" s="9" t="s">
        <v>27</v>
      </c>
      <c r="H1632" s="11" t="n">
        <v>24</v>
      </c>
      <c r="I1632" s="11" t="s">
        <v>307</v>
      </c>
      <c r="J1632" s="14" t="n">
        <v>45</v>
      </c>
      <c r="K1632" s="14"/>
      <c r="L1632" s="16"/>
      <c r="M1632" s="27" t="n">
        <f aca="false">J1632+(K1632/20)+(L1632/240)</f>
        <v>45</v>
      </c>
      <c r="N1632" s="17" t="s">
        <v>64</v>
      </c>
      <c r="O1632" s="11"/>
      <c r="P1632" s="28"/>
      <c r="Q1632" s="28" t="n">
        <f aca="false">P1632*$M1632</f>
        <v>0</v>
      </c>
      <c r="R1632" s="28"/>
      <c r="S1632" s="28" t="n">
        <f aca="false">R1632*$M1632</f>
        <v>0</v>
      </c>
      <c r="T1632" s="28"/>
      <c r="U1632" s="28" t="n">
        <f aca="false">T1632*$M1632</f>
        <v>0</v>
      </c>
      <c r="V1632" s="28"/>
      <c r="W1632" s="28" t="n">
        <f aca="false">V1632*$M1632</f>
        <v>0</v>
      </c>
      <c r="X1632" s="28"/>
      <c r="Y1632" s="28" t="n">
        <f aca="false">X1632*$M1632</f>
        <v>0</v>
      </c>
      <c r="Z1632" s="28"/>
      <c r="AA1632" s="28" t="n">
        <f aca="false">Z1632*$M1632</f>
        <v>0</v>
      </c>
      <c r="AB1632" s="28"/>
      <c r="AC1632" s="28" t="n">
        <f aca="false">AB1632*$M1632</f>
        <v>0</v>
      </c>
      <c r="AD1632" s="28"/>
      <c r="AE1632" s="28" t="n">
        <f aca="false">AD1632*$M1632</f>
        <v>0</v>
      </c>
      <c r="AF1632" s="28"/>
      <c r="AG1632" s="28" t="n">
        <f aca="false">AF1632*$M1632</f>
        <v>0</v>
      </c>
      <c r="AH1632" s="28"/>
      <c r="AI1632" s="28" t="n">
        <f aca="false">AH1632*$M1632</f>
        <v>0</v>
      </c>
      <c r="AJ1632" s="28"/>
      <c r="AK1632" s="28" t="n">
        <f aca="false">AJ1632*$M1632</f>
        <v>0</v>
      </c>
      <c r="AL1632" s="28" t="n">
        <f aca="false">971/100</f>
        <v>9.71</v>
      </c>
      <c r="AM1632" s="28" t="n">
        <v>437</v>
      </c>
      <c r="AN1632" s="28"/>
      <c r="AO1632" s="28" t="n">
        <f aca="false">AN1632*$M1632</f>
        <v>0</v>
      </c>
      <c r="AP1632" s="28"/>
      <c r="AQ1632" s="28" t="n">
        <f aca="false">AP1632*$M1632</f>
        <v>0</v>
      </c>
      <c r="AR1632" s="28"/>
      <c r="AS1632" s="28" t="n">
        <f aca="false">AR1632*$M1632</f>
        <v>0</v>
      </c>
      <c r="AT1632" s="28"/>
      <c r="AU1632" s="28" t="n">
        <f aca="false">AT1632*$M1632</f>
        <v>0</v>
      </c>
      <c r="AV1632" s="28"/>
      <c r="AW1632" s="28" t="n">
        <f aca="false">AV1632*$M1632</f>
        <v>0</v>
      </c>
      <c r="AX1632" s="28"/>
      <c r="AY1632" s="28" t="n">
        <f aca="false">AX1632*$M1632</f>
        <v>0</v>
      </c>
      <c r="AZ1632" s="30" t="n">
        <f aca="false">971/100</f>
        <v>9.71</v>
      </c>
      <c r="BA1632" s="11" t="n">
        <v>437</v>
      </c>
      <c r="BB1632" s="31" t="n">
        <f aca="false">SUM(Q1632,S1632,U1632,W1632,Y1632,AA1632,AC1632,AE1632,AG1632,AI1632,AK1632,AM1632,AO1632,AQ1632,AS1632,AU1632,AW1632,AY1632)</f>
        <v>437</v>
      </c>
      <c r="BC1632" s="28" t="n">
        <f aca="false">BA1632-BB1632</f>
        <v>0</v>
      </c>
      <c r="BD1632" s="32" t="n">
        <f aca="false">SUM(P1632,R1632,T1632,V1632,X1632,Z1632,AB1632,AD1632,AF1632,AH1632,AJ1632,AL1632,AN1632,AP1632,AR1632,AT1632,AV1632,AX1632)</f>
        <v>9.71</v>
      </c>
      <c r="BE1632" s="33" t="n">
        <f aca="false">AZ1632-BD1632</f>
        <v>0</v>
      </c>
      <c r="BF1632" s="34" t="n">
        <f aca="false">BD1632*M1632</f>
        <v>436.95</v>
      </c>
      <c r="BG1632" s="35" t="n">
        <f aca="false">BA1632-BF1632</f>
        <v>0.0499999999999545</v>
      </c>
      <c r="BH1632" s="19" t="str">
        <f aca="false">IF(BG1632=0,"",IF(BG1632&lt;&gt;BA1632,"erreur de calcul",IF(BD1632&lt;&gt;0,"pas de prix",IF(M1632&lt;&gt; 0,"pas de quantité","pas de prix, ni de quantité"))))</f>
        <v>erreur de calcul</v>
      </c>
      <c r="BI1632" s="19"/>
    </row>
    <row r="1633" customFormat="false" ht="15" hidden="false" customHeight="false" outlineLevel="0" collapsed="false">
      <c r="A1633" s="0" t="n">
        <v>19</v>
      </c>
      <c r="B1633" s="8" t="s">
        <v>24</v>
      </c>
      <c r="C1633" s="9" t="s">
        <v>25</v>
      </c>
      <c r="D1633" s="9" t="s">
        <v>26</v>
      </c>
      <c r="E1633" s="10" t="n">
        <v>1789</v>
      </c>
      <c r="F1633" s="9" t="s">
        <v>27</v>
      </c>
      <c r="G1633" s="9" t="s">
        <v>27</v>
      </c>
      <c r="H1633" s="11" t="n">
        <v>24</v>
      </c>
      <c r="I1633" s="11" t="s">
        <v>308</v>
      </c>
      <c r="J1633" s="14" t="n">
        <v>240</v>
      </c>
      <c r="K1633" s="14"/>
      <c r="L1633" s="16"/>
      <c r="M1633" s="27" t="n">
        <f aca="false">J1633+(K1633/20)+(L1633/240)</f>
        <v>240</v>
      </c>
      <c r="N1633" s="17" t="s">
        <v>64</v>
      </c>
      <c r="O1633" s="11"/>
      <c r="P1633" s="28"/>
      <c r="Q1633" s="28" t="n">
        <f aca="false">P1633*$M1633</f>
        <v>0</v>
      </c>
      <c r="R1633" s="28"/>
      <c r="S1633" s="28" t="n">
        <f aca="false">R1633*$M1633</f>
        <v>0</v>
      </c>
      <c r="T1633" s="28"/>
      <c r="U1633" s="28" t="n">
        <f aca="false">T1633*$M1633</f>
        <v>0</v>
      </c>
      <c r="V1633" s="28"/>
      <c r="W1633" s="28" t="n">
        <f aca="false">V1633*$M1633</f>
        <v>0</v>
      </c>
      <c r="X1633" s="28"/>
      <c r="Y1633" s="28" t="n">
        <f aca="false">X1633*$M1633</f>
        <v>0</v>
      </c>
      <c r="Z1633" s="28"/>
      <c r="AA1633" s="28" t="n">
        <f aca="false">Z1633*$M1633</f>
        <v>0</v>
      </c>
      <c r="AB1633" s="28"/>
      <c r="AC1633" s="28" t="n">
        <f aca="false">AB1633*$M1633</f>
        <v>0</v>
      </c>
      <c r="AD1633" s="28"/>
      <c r="AE1633" s="28" t="n">
        <f aca="false">AD1633*$M1633</f>
        <v>0</v>
      </c>
      <c r="AF1633" s="28"/>
      <c r="AG1633" s="28" t="n">
        <f aca="false">AF1633*$M1633</f>
        <v>0</v>
      </c>
      <c r="AH1633" s="28"/>
      <c r="AI1633" s="28" t="n">
        <f aca="false">AH1633*$M1633</f>
        <v>0</v>
      </c>
      <c r="AJ1633" s="28" t="n">
        <f aca="false">2173/100</f>
        <v>21.73</v>
      </c>
      <c r="AK1633" s="28" t="n">
        <v>5215</v>
      </c>
      <c r="AL1633" s="28"/>
      <c r="AM1633" s="28" t="n">
        <f aca="false">AL1633*$M1633</f>
        <v>0</v>
      </c>
      <c r="AN1633" s="28"/>
      <c r="AO1633" s="28" t="n">
        <f aca="false">AN1633*$M1633</f>
        <v>0</v>
      </c>
      <c r="AP1633" s="28"/>
      <c r="AQ1633" s="28" t="n">
        <f aca="false">AP1633*$M1633</f>
        <v>0</v>
      </c>
      <c r="AR1633" s="28"/>
      <c r="AS1633" s="28" t="n">
        <f aca="false">AR1633*$M1633</f>
        <v>0</v>
      </c>
      <c r="AT1633" s="28"/>
      <c r="AU1633" s="28" t="n">
        <f aca="false">AT1633*$M1633</f>
        <v>0</v>
      </c>
      <c r="AV1633" s="28"/>
      <c r="AW1633" s="28" t="n">
        <f aca="false">AV1633*$M1633</f>
        <v>0</v>
      </c>
      <c r="AX1633" s="28"/>
      <c r="AY1633" s="28" t="n">
        <f aca="false">AX1633*$M1633</f>
        <v>0</v>
      </c>
      <c r="AZ1633" s="30" t="n">
        <f aca="false">2173/100</f>
        <v>21.73</v>
      </c>
      <c r="BA1633" s="11" t="n">
        <v>5215</v>
      </c>
      <c r="BB1633" s="31" t="n">
        <f aca="false">SUM(Q1633,S1633,U1633,W1633,Y1633,AA1633,AC1633,AE1633,AG1633,AI1633,AK1633,AM1633,AO1633,AQ1633,AS1633,AU1633,AW1633,AY1633)</f>
        <v>5215</v>
      </c>
      <c r="BC1633" s="28" t="n">
        <f aca="false">BA1633-BB1633</f>
        <v>0</v>
      </c>
      <c r="BD1633" s="32" t="n">
        <f aca="false">SUM(P1633,R1633,T1633,V1633,X1633,Z1633,AB1633,AD1633,AF1633,AH1633,AJ1633,AL1633,AN1633,AP1633,AR1633,AT1633,AV1633,AX1633)</f>
        <v>21.73</v>
      </c>
      <c r="BE1633" s="33" t="n">
        <f aca="false">AZ1633-BD1633</f>
        <v>0</v>
      </c>
      <c r="BF1633" s="34" t="n">
        <f aca="false">BD1633*M1633</f>
        <v>5215.2</v>
      </c>
      <c r="BG1633" s="35" t="n">
        <f aca="false">BA1633-BF1633</f>
        <v>-0.199999999999818</v>
      </c>
      <c r="BH1633" s="19" t="str">
        <f aca="false">IF(BG1633=0,"",IF(BG1633&lt;&gt;BA1633,"erreur de calcul",IF(BD1633&lt;&gt;0,"pas de prix",IF(M1633&lt;&gt; 0,"pas de quantité","pas de prix, ni de quantité"))))</f>
        <v>erreur de calcul</v>
      </c>
      <c r="BI1633" s="19"/>
    </row>
    <row r="1634" customFormat="false" ht="15" hidden="false" customHeight="false" outlineLevel="0" collapsed="false">
      <c r="A1634" s="0" t="n">
        <v>20</v>
      </c>
      <c r="B1634" s="8" t="s">
        <v>24</v>
      </c>
      <c r="C1634" s="9" t="s">
        <v>25</v>
      </c>
      <c r="D1634" s="9" t="s">
        <v>26</v>
      </c>
      <c r="E1634" s="10" t="n">
        <v>1789</v>
      </c>
      <c r="F1634" s="9" t="s">
        <v>27</v>
      </c>
      <c r="G1634" s="9" t="s">
        <v>27</v>
      </c>
      <c r="H1634" s="11" t="n">
        <v>24</v>
      </c>
      <c r="I1634" s="11" t="s">
        <v>309</v>
      </c>
      <c r="J1634" s="14"/>
      <c r="K1634" s="14"/>
      <c r="L1634" s="16"/>
      <c r="M1634" s="27" t="n">
        <f aca="false">J1634+(K1634/20)+(L1634/240)</f>
        <v>0</v>
      </c>
      <c r="N1634" s="17"/>
      <c r="O1634" s="11"/>
      <c r="P1634" s="28"/>
      <c r="Q1634" s="28" t="n">
        <f aca="false">P1634*$M1634</f>
        <v>0</v>
      </c>
      <c r="R1634" s="28"/>
      <c r="S1634" s="28" t="n">
        <f aca="false">R1634*$M1634</f>
        <v>0</v>
      </c>
      <c r="T1634" s="28"/>
      <c r="U1634" s="28" t="n">
        <v>195</v>
      </c>
      <c r="V1634" s="28"/>
      <c r="W1634" s="28" t="n">
        <v>640</v>
      </c>
      <c r="X1634" s="28"/>
      <c r="Y1634" s="28" t="n">
        <f aca="false">X1634*$M1634</f>
        <v>0</v>
      </c>
      <c r="Z1634" s="28"/>
      <c r="AA1634" s="28" t="n">
        <f aca="false">Z1634*$M1634</f>
        <v>0</v>
      </c>
      <c r="AB1634" s="28"/>
      <c r="AC1634" s="28" t="n">
        <f aca="false">AB1634*$M1634</f>
        <v>0</v>
      </c>
      <c r="AD1634" s="28"/>
      <c r="AE1634" s="28" t="n">
        <f aca="false">AD1634*$M1634</f>
        <v>0</v>
      </c>
      <c r="AF1634" s="28"/>
      <c r="AG1634" s="28" t="n">
        <f aca="false">AF1634*$M1634</f>
        <v>0</v>
      </c>
      <c r="AH1634" s="28"/>
      <c r="AI1634" s="28" t="n">
        <v>121</v>
      </c>
      <c r="AJ1634" s="28"/>
      <c r="AK1634" s="28" t="n">
        <v>412</v>
      </c>
      <c r="AL1634" s="28"/>
      <c r="AM1634" s="28" t="n">
        <f aca="false">AL1634*$M1634</f>
        <v>0</v>
      </c>
      <c r="AN1634" s="28"/>
      <c r="AO1634" s="28" t="n">
        <f aca="false">AN1634*$M1634</f>
        <v>0</v>
      </c>
      <c r="AP1634" s="28"/>
      <c r="AQ1634" s="28" t="n">
        <f aca="false">AP1634*$M1634</f>
        <v>0</v>
      </c>
      <c r="AR1634" s="28"/>
      <c r="AS1634" s="28" t="n">
        <f aca="false">AR1634*$M1634</f>
        <v>0</v>
      </c>
      <c r="AT1634" s="28"/>
      <c r="AU1634" s="28" t="n">
        <f aca="false">AT1634*$M1634</f>
        <v>0</v>
      </c>
      <c r="AV1634" s="28"/>
      <c r="AW1634" s="28" t="n">
        <f aca="false">AV1634*$M1634</f>
        <v>0</v>
      </c>
      <c r="AX1634" s="28"/>
      <c r="AY1634" s="28" t="n">
        <f aca="false">AX1634*$M1634</f>
        <v>0</v>
      </c>
      <c r="AZ1634" s="30"/>
      <c r="BA1634" s="11" t="n">
        <v>1368</v>
      </c>
      <c r="BB1634" s="31" t="n">
        <f aca="false">SUM(Q1634,S1634,U1634,W1634,Y1634,AA1634,AC1634,AE1634,AG1634,AI1634,AK1634,AM1634,AO1634,AQ1634,AS1634,AU1634,AW1634,AY1634)</f>
        <v>1368</v>
      </c>
      <c r="BC1634" s="28" t="n">
        <f aca="false">BA1634-BB1634</f>
        <v>0</v>
      </c>
      <c r="BD1634" s="32" t="n">
        <f aca="false">SUM(P1634,R1634,T1634,V1634,X1634,Z1634,AB1634,AD1634,AF1634,AH1634,AJ1634,AL1634,AN1634,AP1634,AR1634,AT1634,AV1634,AX1634)</f>
        <v>0</v>
      </c>
      <c r="BE1634" s="33" t="n">
        <f aca="false">AZ1634-BD1634</f>
        <v>0</v>
      </c>
      <c r="BF1634" s="34" t="n">
        <f aca="false">BD1634*M1634</f>
        <v>0</v>
      </c>
      <c r="BG1634" s="35" t="n">
        <f aca="false">BA1634-BF1634</f>
        <v>1368</v>
      </c>
      <c r="BH1634" s="19" t="str">
        <f aca="false">IF(BG1634=0,"",IF(BG1634&lt;&gt;BA1634,"erreur de calcul",IF(BD1634&lt;&gt;0,"pas de prix",IF(M1634&lt;&gt; 0,"pas de quantité","pas de prix, ni de quantité"))))</f>
        <v>pas de prix, ni de quantité</v>
      </c>
      <c r="BI1634" s="19"/>
    </row>
    <row r="1635" customFormat="false" ht="15" hidden="false" customHeight="false" outlineLevel="0" collapsed="false">
      <c r="A1635" s="0" t="n">
        <v>21</v>
      </c>
      <c r="B1635" s="8" t="s">
        <v>24</v>
      </c>
      <c r="C1635" s="9" t="s">
        <v>25</v>
      </c>
      <c r="D1635" s="9" t="s">
        <v>26</v>
      </c>
      <c r="E1635" s="10" t="n">
        <v>1789</v>
      </c>
      <c r="F1635" s="9" t="s">
        <v>27</v>
      </c>
      <c r="G1635" s="9" t="s">
        <v>27</v>
      </c>
      <c r="H1635" s="11" t="n">
        <v>24</v>
      </c>
      <c r="I1635" s="11" t="s">
        <v>310</v>
      </c>
      <c r="J1635" s="14"/>
      <c r="K1635" s="14" t="n">
        <v>3</v>
      </c>
      <c r="L1635" s="16"/>
      <c r="M1635" s="27" t="n">
        <f aca="false">J1635+(K1635/20)+(L1635/240)</f>
        <v>0.15</v>
      </c>
      <c r="N1635" s="17" t="s">
        <v>311</v>
      </c>
      <c r="O1635" s="11"/>
      <c r="P1635" s="28"/>
      <c r="Q1635" s="28" t="n">
        <f aca="false">P1635*$M1635</f>
        <v>0</v>
      </c>
      <c r="R1635" s="28"/>
      <c r="S1635" s="28" t="n">
        <f aca="false">R1635*$M1635</f>
        <v>0</v>
      </c>
      <c r="T1635" s="28"/>
      <c r="U1635" s="28" t="n">
        <f aca="false">T1635*$M1635</f>
        <v>0</v>
      </c>
      <c r="V1635" s="28" t="n">
        <v>32065</v>
      </c>
      <c r="W1635" s="28" t="n">
        <v>4810</v>
      </c>
      <c r="X1635" s="28" t="n">
        <v>20652</v>
      </c>
      <c r="Y1635" s="28" t="n">
        <v>3098</v>
      </c>
      <c r="Z1635" s="28"/>
      <c r="AA1635" s="28" t="n">
        <f aca="false">Z1635*$M1635</f>
        <v>0</v>
      </c>
      <c r="AB1635" s="28"/>
      <c r="AC1635" s="28" t="n">
        <f aca="false">AB1635*$M1635</f>
        <v>0</v>
      </c>
      <c r="AD1635" s="28"/>
      <c r="AE1635" s="28" t="n">
        <f aca="false">AD1635*$M1635</f>
        <v>0</v>
      </c>
      <c r="AF1635" s="28"/>
      <c r="AG1635" s="28" t="n">
        <f aca="false">AF1635*$M1635</f>
        <v>0</v>
      </c>
      <c r="AH1635" s="28"/>
      <c r="AI1635" s="28" t="n">
        <f aca="false">AH1635*$M1635</f>
        <v>0</v>
      </c>
      <c r="AJ1635" s="28"/>
      <c r="AK1635" s="28" t="n">
        <f aca="false">AJ1635*$M1635</f>
        <v>0</v>
      </c>
      <c r="AL1635" s="28"/>
      <c r="AM1635" s="28" t="n">
        <f aca="false">AL1635*$M1635</f>
        <v>0</v>
      </c>
      <c r="AN1635" s="28"/>
      <c r="AO1635" s="28" t="n">
        <f aca="false">AN1635*$M1635</f>
        <v>0</v>
      </c>
      <c r="AP1635" s="28"/>
      <c r="AQ1635" s="28" t="n">
        <f aca="false">AP1635*$M1635</f>
        <v>0</v>
      </c>
      <c r="AR1635" s="28"/>
      <c r="AS1635" s="28" t="n">
        <f aca="false">AR1635*$M1635</f>
        <v>0</v>
      </c>
      <c r="AT1635" s="28"/>
      <c r="AU1635" s="28" t="n">
        <f aca="false">AT1635*$M1635</f>
        <v>0</v>
      </c>
      <c r="AV1635" s="28"/>
      <c r="AW1635" s="28" t="n">
        <f aca="false">AV1635*$M1635</f>
        <v>0</v>
      </c>
      <c r="AX1635" s="28"/>
      <c r="AY1635" s="28" t="n">
        <f aca="false">AX1635*$M1635</f>
        <v>0</v>
      </c>
      <c r="AZ1635" s="30" t="n">
        <v>52717</v>
      </c>
      <c r="BA1635" s="11" t="n">
        <v>7908</v>
      </c>
      <c r="BB1635" s="31" t="n">
        <f aca="false">SUM(Q1635,S1635,U1635,W1635,Y1635,AA1635,AC1635,AE1635,AG1635,AI1635,AK1635,AM1635,AO1635,AQ1635,AS1635,AU1635,AW1635,AY1635)</f>
        <v>7908</v>
      </c>
      <c r="BC1635" s="28" t="n">
        <f aca="false">BA1635-BB1635</f>
        <v>0</v>
      </c>
      <c r="BD1635" s="32" t="n">
        <f aca="false">SUM(P1635,R1635,T1635,V1635,X1635,Z1635,AB1635,AD1635,AF1635,AH1635,AJ1635,AL1635,AN1635,AP1635,AR1635,AT1635,AV1635,AX1635)</f>
        <v>52717</v>
      </c>
      <c r="BE1635" s="33" t="n">
        <f aca="false">AZ1635-BD1635</f>
        <v>0</v>
      </c>
      <c r="BF1635" s="34" t="n">
        <f aca="false">BD1635*M1635</f>
        <v>7907.55</v>
      </c>
      <c r="BG1635" s="35" t="n">
        <f aca="false">BA1635-BF1635</f>
        <v>0.450000000000728</v>
      </c>
      <c r="BH1635" s="19" t="str">
        <f aca="false">IF(BG1635=0,"",IF(BG1635&lt;&gt;BA1635,"erreur de calcul",IF(BD1635&lt;&gt;0,"pas de prix",IF(M1635&lt;&gt; 0,"pas de quantité","pas de prix, ni de quantité"))))</f>
        <v>erreur de calcul</v>
      </c>
      <c r="BI1635" s="19"/>
    </row>
    <row r="1636" customFormat="false" ht="15" hidden="false" customHeight="false" outlineLevel="0" collapsed="false">
      <c r="A1636" s="0" t="n">
        <v>22</v>
      </c>
      <c r="B1636" s="8" t="s">
        <v>24</v>
      </c>
      <c r="C1636" s="9" t="s">
        <v>25</v>
      </c>
      <c r="D1636" s="9" t="s">
        <v>26</v>
      </c>
      <c r="E1636" s="10" t="n">
        <v>1789</v>
      </c>
      <c r="F1636" s="9" t="s">
        <v>27</v>
      </c>
      <c r="G1636" s="9" t="s">
        <v>27</v>
      </c>
      <c r="H1636" s="11" t="n">
        <v>24</v>
      </c>
      <c r="I1636" s="11" t="s">
        <v>312</v>
      </c>
      <c r="J1636" s="14" t="n">
        <v>15</v>
      </c>
      <c r="K1636" s="14"/>
      <c r="L1636" s="16"/>
      <c r="M1636" s="27" t="n">
        <f aca="false">J1636+(K1636/20)+(L1636/240)</f>
        <v>15</v>
      </c>
      <c r="N1636" s="17" t="s">
        <v>275</v>
      </c>
      <c r="O1636" s="11"/>
      <c r="P1636" s="28"/>
      <c r="Q1636" s="28" t="n">
        <f aca="false">P1636*$M1636</f>
        <v>0</v>
      </c>
      <c r="R1636" s="28"/>
      <c r="S1636" s="28" t="n">
        <f aca="false">R1636*$M1636</f>
        <v>0</v>
      </c>
      <c r="T1636" s="28" t="n">
        <v>1479</v>
      </c>
      <c r="U1636" s="28" t="n">
        <v>22185</v>
      </c>
      <c r="V1636" s="28" t="n">
        <v>1500</v>
      </c>
      <c r="W1636" s="28" t="n">
        <v>22500</v>
      </c>
      <c r="X1636" s="28" t="n">
        <v>300</v>
      </c>
      <c r="Y1636" s="28" t="n">
        <v>4500</v>
      </c>
      <c r="Z1636" s="28" t="n">
        <v>168</v>
      </c>
      <c r="AA1636" s="28" t="n">
        <v>2520</v>
      </c>
      <c r="AB1636" s="28" t="n">
        <v>14570</v>
      </c>
      <c r="AC1636" s="28" t="n">
        <v>218550</v>
      </c>
      <c r="AD1636" s="28"/>
      <c r="AE1636" s="28" t="n">
        <f aca="false">AD1636*$M1636</f>
        <v>0</v>
      </c>
      <c r="AF1636" s="28" t="n">
        <v>5748</v>
      </c>
      <c r="AG1636" s="28" t="n">
        <v>86220</v>
      </c>
      <c r="AH1636" s="28"/>
      <c r="AI1636" s="28" t="n">
        <f aca="false">AH1636*$M1636</f>
        <v>0</v>
      </c>
      <c r="AJ1636" s="28" t="n">
        <v>710</v>
      </c>
      <c r="AK1636" s="28" t="n">
        <v>10650</v>
      </c>
      <c r="AL1636" s="28" t="n">
        <v>600</v>
      </c>
      <c r="AM1636" s="28" t="n">
        <v>9000</v>
      </c>
      <c r="AN1636" s="28"/>
      <c r="AO1636" s="28" t="n">
        <f aca="false">AN1636*$M1636</f>
        <v>0</v>
      </c>
      <c r="AP1636" s="28" t="n">
        <v>1200</v>
      </c>
      <c r="AQ1636" s="28" t="n">
        <v>18000</v>
      </c>
      <c r="AR1636" s="28"/>
      <c r="AS1636" s="28" t="n">
        <f aca="false">AR1636*$M1636</f>
        <v>0</v>
      </c>
      <c r="AT1636" s="28"/>
      <c r="AU1636" s="28" t="n">
        <f aca="false">AT1636*$M1636</f>
        <v>0</v>
      </c>
      <c r="AV1636" s="28"/>
      <c r="AW1636" s="28" t="n">
        <f aca="false">AV1636*$M1636</f>
        <v>0</v>
      </c>
      <c r="AX1636" s="28"/>
      <c r="AY1636" s="28" t="n">
        <f aca="false">AX1636*$M1636</f>
        <v>0</v>
      </c>
      <c r="AZ1636" s="30" t="n">
        <v>26275</v>
      </c>
      <c r="BA1636" s="11" t="n">
        <v>394125</v>
      </c>
      <c r="BB1636" s="31" t="n">
        <f aca="false">SUM(Q1636,S1636,U1636,W1636,Y1636,AA1636,AC1636,AE1636,AG1636,AI1636,AK1636,AM1636,AO1636,AQ1636,AS1636,AU1636,AW1636,AY1636)</f>
        <v>394125</v>
      </c>
      <c r="BC1636" s="28" t="n">
        <f aca="false">BA1636-BB1636</f>
        <v>0</v>
      </c>
      <c r="BD1636" s="32" t="n">
        <f aca="false">SUM(P1636,R1636,T1636,V1636,X1636,Z1636,AB1636,AD1636,AF1636,AH1636,AJ1636,AL1636,AN1636,AP1636,AR1636,AT1636,AV1636,AX1636)</f>
        <v>26275</v>
      </c>
      <c r="BE1636" s="33" t="n">
        <f aca="false">AZ1636-BD1636</f>
        <v>0</v>
      </c>
      <c r="BF1636" s="34" t="n">
        <f aca="false">BD1636*M1636</f>
        <v>394125</v>
      </c>
      <c r="BG1636" s="35" t="n">
        <f aca="false">BA1636-BF1636</f>
        <v>0</v>
      </c>
      <c r="BH1636" s="19" t="str">
        <f aca="false">IF(BG1636=0,"",IF(BG1636&lt;&gt;BA1636,"erreur de calcul",IF(BD1636&lt;&gt;0,"pas de prix",IF(M1636&lt;&gt; 0,"pas de quantité","pas de prix, ni de quantité"))))</f>
        <v/>
      </c>
      <c r="BI1636" s="19"/>
    </row>
    <row r="1637" customFormat="false" ht="15" hidden="false" customHeight="false" outlineLevel="0" collapsed="false">
      <c r="A1637" s="0" t="n">
        <v>23</v>
      </c>
      <c r="B1637" s="8" t="s">
        <v>24</v>
      </c>
      <c r="C1637" s="9" t="s">
        <v>25</v>
      </c>
      <c r="D1637" s="9" t="s">
        <v>26</v>
      </c>
      <c r="E1637" s="10" t="n">
        <v>1789</v>
      </c>
      <c r="F1637" s="9" t="s">
        <v>27</v>
      </c>
      <c r="G1637" s="9" t="s">
        <v>27</v>
      </c>
      <c r="H1637" s="11" t="n">
        <v>24</v>
      </c>
      <c r="I1637" s="11" t="s">
        <v>313</v>
      </c>
      <c r="J1637" s="14" t="n">
        <v>9</v>
      </c>
      <c r="K1637" s="14"/>
      <c r="L1637" s="16"/>
      <c r="M1637" s="27" t="n">
        <f aca="false">J1637+(K1637/20)+(L1637/240)</f>
        <v>9</v>
      </c>
      <c r="N1637" s="17" t="s">
        <v>64</v>
      </c>
      <c r="O1637" s="11"/>
      <c r="P1637" s="28"/>
      <c r="Q1637" s="28" t="n">
        <f aca="false">P1637*$M1637</f>
        <v>0</v>
      </c>
      <c r="R1637" s="28"/>
      <c r="S1637" s="28" t="n">
        <f aca="false">R1637*$M1637</f>
        <v>0</v>
      </c>
      <c r="T1637" s="28"/>
      <c r="U1637" s="28" t="n">
        <f aca="false">T1637*$M1637</f>
        <v>0</v>
      </c>
      <c r="V1637" s="28" t="n">
        <f aca="false">145504/100</f>
        <v>1455.04</v>
      </c>
      <c r="W1637" s="28" t="n">
        <v>13095</v>
      </c>
      <c r="X1637" s="28" t="n">
        <f aca="false">58504/100</f>
        <v>585.04</v>
      </c>
      <c r="Y1637" s="28" t="n">
        <v>5265</v>
      </c>
      <c r="Z1637" s="28" t="n">
        <f aca="false">17027/100</f>
        <v>170.27</v>
      </c>
      <c r="AA1637" s="28" t="n">
        <v>1532</v>
      </c>
      <c r="AB1637" s="28" t="n">
        <f aca="false">84396/100</f>
        <v>843.96</v>
      </c>
      <c r="AC1637" s="28" t="n">
        <v>7596</v>
      </c>
      <c r="AD1637" s="28"/>
      <c r="AE1637" s="28" t="n">
        <f aca="false">AD1637*$M1637</f>
        <v>0</v>
      </c>
      <c r="AF1637" s="28" t="n">
        <f aca="false">14807/100</f>
        <v>148.07</v>
      </c>
      <c r="AG1637" s="28" t="n">
        <v>1333</v>
      </c>
      <c r="AH1637" s="28"/>
      <c r="AI1637" s="28" t="n">
        <f aca="false">AH1637*$M1637</f>
        <v>0</v>
      </c>
      <c r="AJ1637" s="28"/>
      <c r="AK1637" s="28" t="n">
        <f aca="false">AJ1637*$M1637</f>
        <v>0</v>
      </c>
      <c r="AL1637" s="28"/>
      <c r="AM1637" s="28" t="n">
        <f aca="false">AL1637*$M1637</f>
        <v>0</v>
      </c>
      <c r="AN1637" s="28"/>
      <c r="AO1637" s="28" t="n">
        <f aca="false">AN1637*$M1637</f>
        <v>0</v>
      </c>
      <c r="AP1637" s="28"/>
      <c r="AQ1637" s="28" t="n">
        <f aca="false">AP1637*$M1637</f>
        <v>0</v>
      </c>
      <c r="AR1637" s="28"/>
      <c r="AS1637" s="28" t="n">
        <f aca="false">AR1637*$M1637</f>
        <v>0</v>
      </c>
      <c r="AT1637" s="28"/>
      <c r="AU1637" s="28" t="n">
        <f aca="false">AT1637*$M1637</f>
        <v>0</v>
      </c>
      <c r="AV1637" s="28"/>
      <c r="AW1637" s="28" t="n">
        <f aca="false">AV1637*$M1637</f>
        <v>0</v>
      </c>
      <c r="AX1637" s="28"/>
      <c r="AY1637" s="28" t="n">
        <f aca="false">AX1637*$M1637</f>
        <v>0</v>
      </c>
      <c r="AZ1637" s="30" t="n">
        <f aca="false">320238/100</f>
        <v>3202.38</v>
      </c>
      <c r="BA1637" s="11" t="n">
        <v>28821</v>
      </c>
      <c r="BB1637" s="31" t="n">
        <f aca="false">SUM(Q1637,S1637,U1637,W1637,Y1637,AA1637,AC1637,AE1637,AG1637,AI1637,AK1637,AM1637,AO1637,AQ1637,AS1637,AU1637,AW1637,AY1637)</f>
        <v>28821</v>
      </c>
      <c r="BC1637" s="28" t="n">
        <f aca="false">BA1637-BB1637</f>
        <v>0</v>
      </c>
      <c r="BD1637" s="32" t="n">
        <f aca="false">SUM(P1637,R1637,T1637,V1637,X1637,Z1637,AB1637,AD1637,AF1637,AH1637,AJ1637,AL1637,AN1637,AP1637,AR1637,AT1637,AV1637,AX1637)</f>
        <v>3202.38</v>
      </c>
      <c r="BE1637" s="33" t="n">
        <f aca="false">AZ1637-BD1637</f>
        <v>0</v>
      </c>
      <c r="BF1637" s="34" t="n">
        <f aca="false">BD1637*M1637</f>
        <v>28821.42</v>
      </c>
      <c r="BG1637" s="35" t="n">
        <f aca="false">BA1637-BF1637</f>
        <v>-0.420000000001892</v>
      </c>
      <c r="BH1637" s="19" t="str">
        <f aca="false">IF(BG1637=0,"",IF(BG1637&lt;&gt;BA1637,"erreur de calcul",IF(BD1637&lt;&gt;0,"pas de prix",IF(M1637&lt;&gt; 0,"pas de quantité","pas de prix, ni de quantité"))))</f>
        <v>erreur de calcul</v>
      </c>
      <c r="BI1637" s="19"/>
    </row>
    <row r="1638" customFormat="false" ht="15" hidden="false" customHeight="false" outlineLevel="0" collapsed="false">
      <c r="A1638" s="0" t="n">
        <v>24</v>
      </c>
      <c r="B1638" s="8" t="s">
        <v>24</v>
      </c>
      <c r="C1638" s="9" t="s">
        <v>25</v>
      </c>
      <c r="D1638" s="9" t="s">
        <v>26</v>
      </c>
      <c r="E1638" s="10" t="n">
        <v>1789</v>
      </c>
      <c r="F1638" s="9" t="s">
        <v>27</v>
      </c>
      <c r="G1638" s="9" t="s">
        <v>27</v>
      </c>
      <c r="H1638" s="11" t="n">
        <v>24</v>
      </c>
      <c r="I1638" s="11" t="s">
        <v>314</v>
      </c>
      <c r="J1638" s="14"/>
      <c r="K1638" s="14" t="n">
        <v>4</v>
      </c>
      <c r="L1638" s="16"/>
      <c r="M1638" s="27" t="n">
        <f aca="false">J1638+(K1638/20)+(L1638/240)</f>
        <v>0.2</v>
      </c>
      <c r="N1638" s="17" t="s">
        <v>311</v>
      </c>
      <c r="O1638" s="11"/>
      <c r="P1638" s="28"/>
      <c r="Q1638" s="28" t="n">
        <f aca="false">P1638*$M1638</f>
        <v>0</v>
      </c>
      <c r="R1638" s="28"/>
      <c r="S1638" s="28" t="n">
        <f aca="false">R1638*$M1638</f>
        <v>0</v>
      </c>
      <c r="T1638" s="28"/>
      <c r="U1638" s="28" t="n">
        <f aca="false">T1638*$M1638</f>
        <v>0</v>
      </c>
      <c r="V1638" s="28" t="n">
        <v>5800</v>
      </c>
      <c r="W1638" s="28" t="n">
        <v>1160</v>
      </c>
      <c r="X1638" s="28"/>
      <c r="Y1638" s="28" t="n">
        <f aca="false">X1638*$M1638</f>
        <v>0</v>
      </c>
      <c r="Z1638" s="28"/>
      <c r="AA1638" s="28" t="n">
        <f aca="false">Z1638*$M1638</f>
        <v>0</v>
      </c>
      <c r="AB1638" s="28"/>
      <c r="AC1638" s="28" t="n">
        <f aca="false">AB1638*$M1638</f>
        <v>0</v>
      </c>
      <c r="AD1638" s="28"/>
      <c r="AE1638" s="28" t="n">
        <f aca="false">AD1638*$M1638</f>
        <v>0</v>
      </c>
      <c r="AF1638" s="28"/>
      <c r="AG1638" s="28" t="n">
        <f aca="false">AF1638*$M1638</f>
        <v>0</v>
      </c>
      <c r="AH1638" s="28"/>
      <c r="AI1638" s="28" t="n">
        <f aca="false">AH1638*$M1638</f>
        <v>0</v>
      </c>
      <c r="AJ1638" s="28"/>
      <c r="AK1638" s="28" t="n">
        <f aca="false">AJ1638*$M1638</f>
        <v>0</v>
      </c>
      <c r="AL1638" s="28"/>
      <c r="AM1638" s="28" t="n">
        <f aca="false">AL1638*$M1638</f>
        <v>0</v>
      </c>
      <c r="AN1638" s="28"/>
      <c r="AO1638" s="28" t="n">
        <f aca="false">AN1638*$M1638</f>
        <v>0</v>
      </c>
      <c r="AP1638" s="28"/>
      <c r="AQ1638" s="28" t="n">
        <f aca="false">AP1638*$M1638</f>
        <v>0</v>
      </c>
      <c r="AR1638" s="28"/>
      <c r="AS1638" s="28" t="n">
        <f aca="false">AR1638*$M1638</f>
        <v>0</v>
      </c>
      <c r="AT1638" s="28"/>
      <c r="AU1638" s="28" t="n">
        <f aca="false">AT1638*$M1638</f>
        <v>0</v>
      </c>
      <c r="AV1638" s="28"/>
      <c r="AW1638" s="28" t="n">
        <f aca="false">AV1638*$M1638</f>
        <v>0</v>
      </c>
      <c r="AX1638" s="28"/>
      <c r="AY1638" s="28" t="n">
        <f aca="false">AX1638*$M1638</f>
        <v>0</v>
      </c>
      <c r="AZ1638" s="30" t="n">
        <v>5800</v>
      </c>
      <c r="BA1638" s="11" t="n">
        <v>1160</v>
      </c>
      <c r="BB1638" s="31" t="n">
        <f aca="false">SUM(Q1638,S1638,U1638,W1638,Y1638,AA1638,AC1638,AE1638,AG1638,AI1638,AK1638,AM1638,AO1638,AQ1638,AS1638,AU1638,AW1638,AY1638)</f>
        <v>1160</v>
      </c>
      <c r="BC1638" s="28" t="n">
        <f aca="false">BA1638-BB1638</f>
        <v>0</v>
      </c>
      <c r="BD1638" s="32" t="n">
        <f aca="false">SUM(P1638,R1638,T1638,V1638,X1638,Z1638,AB1638,AD1638,AF1638,AH1638,AJ1638,AL1638,AN1638,AP1638,AR1638,AT1638,AV1638,AX1638)</f>
        <v>5800</v>
      </c>
      <c r="BE1638" s="33" t="n">
        <f aca="false">AZ1638-BD1638</f>
        <v>0</v>
      </c>
      <c r="BF1638" s="34" t="n">
        <f aca="false">BD1638*M1638</f>
        <v>1160</v>
      </c>
      <c r="BG1638" s="35" t="n">
        <f aca="false">BA1638-BF1638</f>
        <v>0</v>
      </c>
      <c r="BH1638" s="19" t="str">
        <f aca="false">IF(BG1638=0,"",IF(BG1638&lt;&gt;BA1638,"erreur de calcul",IF(BD1638&lt;&gt;0,"pas de prix",IF(M1638&lt;&gt; 0,"pas de quantité","pas de prix, ni de quantité"))))</f>
        <v/>
      </c>
      <c r="BI1638" s="19"/>
    </row>
    <row r="1639" customFormat="false" ht="15" hidden="false" customHeight="false" outlineLevel="0" collapsed="false">
      <c r="A1639" s="0" t="n">
        <v>25</v>
      </c>
      <c r="B1639" s="8" t="s">
        <v>24</v>
      </c>
      <c r="C1639" s="9" t="s">
        <v>25</v>
      </c>
      <c r="D1639" s="9" t="s">
        <v>26</v>
      </c>
      <c r="E1639" s="10" t="n">
        <v>1789</v>
      </c>
      <c r="F1639" s="9" t="s">
        <v>27</v>
      </c>
      <c r="G1639" s="9" t="s">
        <v>27</v>
      </c>
      <c r="H1639" s="11" t="n">
        <v>24</v>
      </c>
      <c r="I1639" s="11" t="s">
        <v>315</v>
      </c>
      <c r="J1639" s="14" t="n">
        <v>10</v>
      </c>
      <c r="K1639" s="14"/>
      <c r="L1639" s="16"/>
      <c r="M1639" s="27" t="n">
        <f aca="false">J1639+(K1639/20)+(L1639/240)</f>
        <v>10</v>
      </c>
      <c r="N1639" s="17" t="s">
        <v>64</v>
      </c>
      <c r="O1639" s="11"/>
      <c r="P1639" s="28"/>
      <c r="Q1639" s="28" t="n">
        <f aca="false">P1639*$M1639</f>
        <v>0</v>
      </c>
      <c r="R1639" s="28"/>
      <c r="S1639" s="28" t="n">
        <f aca="false">R1639*$M1639</f>
        <v>0</v>
      </c>
      <c r="T1639" s="28"/>
      <c r="U1639" s="28" t="n">
        <f aca="false">T1639*$M1639</f>
        <v>0</v>
      </c>
      <c r="V1639" s="28"/>
      <c r="W1639" s="28" t="n">
        <f aca="false">V1639*$M1639</f>
        <v>0</v>
      </c>
      <c r="X1639" s="28"/>
      <c r="Y1639" s="28" t="n">
        <f aca="false">X1639*$M1639</f>
        <v>0</v>
      </c>
      <c r="Z1639" s="28"/>
      <c r="AA1639" s="28" t="n">
        <f aca="false">Z1639*$M1639</f>
        <v>0</v>
      </c>
      <c r="AB1639" s="28"/>
      <c r="AC1639" s="28" t="n">
        <f aca="false">AB1639*$M1639</f>
        <v>0</v>
      </c>
      <c r="AD1639" s="28"/>
      <c r="AE1639" s="28" t="n">
        <f aca="false">AD1639*$M1639</f>
        <v>0</v>
      </c>
      <c r="AF1639" s="28"/>
      <c r="AG1639" s="28" t="n">
        <f aca="false">AF1639*$M1639</f>
        <v>0</v>
      </c>
      <c r="AH1639" s="28"/>
      <c r="AI1639" s="28" t="n">
        <f aca="false">AH1639*$M1639</f>
        <v>0</v>
      </c>
      <c r="AJ1639" s="28" t="n">
        <f aca="false">13584/100</f>
        <v>135.84</v>
      </c>
      <c r="AK1639" s="28" t="n">
        <v>1358</v>
      </c>
      <c r="AL1639" s="28"/>
      <c r="AM1639" s="28" t="n">
        <f aca="false">AL1639*$M1639</f>
        <v>0</v>
      </c>
      <c r="AN1639" s="28"/>
      <c r="AO1639" s="28" t="n">
        <f aca="false">AN1639*$M1639</f>
        <v>0</v>
      </c>
      <c r="AP1639" s="28"/>
      <c r="AQ1639" s="28" t="n">
        <f aca="false">AP1639*$M1639</f>
        <v>0</v>
      </c>
      <c r="AR1639" s="28"/>
      <c r="AS1639" s="28" t="n">
        <f aca="false">AR1639*$M1639</f>
        <v>0</v>
      </c>
      <c r="AT1639" s="28"/>
      <c r="AU1639" s="28" t="n">
        <f aca="false">AT1639*$M1639</f>
        <v>0</v>
      </c>
      <c r="AV1639" s="28"/>
      <c r="AW1639" s="28" t="n">
        <f aca="false">AV1639*$M1639</f>
        <v>0</v>
      </c>
      <c r="AX1639" s="28"/>
      <c r="AY1639" s="28" t="n">
        <f aca="false">AX1639*$M1639</f>
        <v>0</v>
      </c>
      <c r="AZ1639" s="30" t="n">
        <f aca="false">13584/100</f>
        <v>135.84</v>
      </c>
      <c r="BA1639" s="11" t="n">
        <v>1358</v>
      </c>
      <c r="BB1639" s="31" t="n">
        <f aca="false">SUM(Q1639,S1639,U1639,W1639,Y1639,AA1639,AC1639,AE1639,AG1639,AI1639,AK1639,AM1639,AO1639,AQ1639,AS1639,AU1639,AW1639,AY1639)</f>
        <v>1358</v>
      </c>
      <c r="BC1639" s="28" t="n">
        <f aca="false">BA1639-BB1639</f>
        <v>0</v>
      </c>
      <c r="BD1639" s="32" t="n">
        <f aca="false">SUM(P1639,R1639,T1639,V1639,X1639,Z1639,AB1639,AD1639,AF1639,AH1639,AJ1639,AL1639,AN1639,AP1639,AR1639,AT1639,AV1639,AX1639)</f>
        <v>135.84</v>
      </c>
      <c r="BE1639" s="33" t="n">
        <f aca="false">AZ1639-BD1639</f>
        <v>0</v>
      </c>
      <c r="BF1639" s="34" t="n">
        <f aca="false">BD1639*M1639</f>
        <v>1358.4</v>
      </c>
      <c r="BG1639" s="35" t="n">
        <f aca="false">BA1639-BF1639</f>
        <v>-0.400000000000091</v>
      </c>
      <c r="BH1639" s="19" t="str">
        <f aca="false">IF(BG1639=0,"",IF(BG1639&lt;&gt;BA1639,"erreur de calcul",IF(BD1639&lt;&gt;0,"pas de prix",IF(M1639&lt;&gt; 0,"pas de quantité","pas de prix, ni de quantité"))))</f>
        <v>erreur de calcul</v>
      </c>
      <c r="BI1639" s="19"/>
    </row>
    <row r="1640" customFormat="false" ht="15" hidden="false" customHeight="false" outlineLevel="0" collapsed="false">
      <c r="A1640" s="0" t="n">
        <v>26</v>
      </c>
      <c r="B1640" s="8" t="s">
        <v>24</v>
      </c>
      <c r="C1640" s="9" t="s">
        <v>25</v>
      </c>
      <c r="D1640" s="9" t="s">
        <v>26</v>
      </c>
      <c r="E1640" s="10" t="n">
        <v>1789</v>
      </c>
      <c r="F1640" s="9" t="s">
        <v>27</v>
      </c>
      <c r="G1640" s="9" t="s">
        <v>27</v>
      </c>
      <c r="H1640" s="11" t="n">
        <v>24</v>
      </c>
      <c r="I1640" s="11" t="s">
        <v>316</v>
      </c>
      <c r="J1640" s="14" t="n">
        <v>12</v>
      </c>
      <c r="K1640" s="14"/>
      <c r="L1640" s="16"/>
      <c r="M1640" s="27" t="n">
        <f aca="false">J1640+(K1640/20)+(L1640/240)</f>
        <v>12</v>
      </c>
      <c r="N1640" s="17" t="s">
        <v>64</v>
      </c>
      <c r="O1640" s="11"/>
      <c r="P1640" s="28" t="n">
        <f aca="false">8690/100</f>
        <v>86.9</v>
      </c>
      <c r="Q1640" s="28" t="n">
        <v>1043</v>
      </c>
      <c r="R1640" s="28"/>
      <c r="S1640" s="28" t="n">
        <f aca="false">R1640*$M1640</f>
        <v>0</v>
      </c>
      <c r="T1640" s="28"/>
      <c r="U1640" s="28" t="n">
        <f aca="false">T1640*$M1640</f>
        <v>0</v>
      </c>
      <c r="V1640" s="28"/>
      <c r="W1640" s="28" t="n">
        <f aca="false">V1640*$M1640</f>
        <v>0</v>
      </c>
      <c r="X1640" s="28" t="n">
        <f aca="false">10000/100</f>
        <v>100</v>
      </c>
      <c r="Y1640" s="28" t="n">
        <v>1200</v>
      </c>
      <c r="Z1640" s="28"/>
      <c r="AA1640" s="28" t="n">
        <f aca="false">Z1640*$M1640</f>
        <v>0</v>
      </c>
      <c r="AB1640" s="28"/>
      <c r="AC1640" s="28" t="n">
        <f aca="false">AB1640*$M1640</f>
        <v>0</v>
      </c>
      <c r="AD1640" s="28"/>
      <c r="AE1640" s="28" t="n">
        <f aca="false">AD1640*$M1640</f>
        <v>0</v>
      </c>
      <c r="AF1640" s="28"/>
      <c r="AG1640" s="28" t="n">
        <f aca="false">AF1640*$M1640</f>
        <v>0</v>
      </c>
      <c r="AH1640" s="28"/>
      <c r="AI1640" s="28" t="n">
        <f aca="false">AH1640*$M1640</f>
        <v>0</v>
      </c>
      <c r="AJ1640" s="28"/>
      <c r="AK1640" s="28" t="n">
        <f aca="false">AJ1640*$M1640</f>
        <v>0</v>
      </c>
      <c r="AL1640" s="28"/>
      <c r="AM1640" s="28" t="n">
        <f aca="false">AL1640*$M1640</f>
        <v>0</v>
      </c>
      <c r="AN1640" s="28"/>
      <c r="AO1640" s="28" t="n">
        <f aca="false">AN1640*$M1640</f>
        <v>0</v>
      </c>
      <c r="AP1640" s="28"/>
      <c r="AQ1640" s="28" t="n">
        <f aca="false">AP1640*$M1640</f>
        <v>0</v>
      </c>
      <c r="AR1640" s="28"/>
      <c r="AS1640" s="28" t="n">
        <f aca="false">AR1640*$M1640</f>
        <v>0</v>
      </c>
      <c r="AT1640" s="28"/>
      <c r="AU1640" s="28" t="n">
        <f aca="false">AT1640*$M1640</f>
        <v>0</v>
      </c>
      <c r="AV1640" s="28"/>
      <c r="AW1640" s="28" t="n">
        <f aca="false">AV1640*$M1640</f>
        <v>0</v>
      </c>
      <c r="AX1640" s="28"/>
      <c r="AY1640" s="28" t="n">
        <f aca="false">AX1640*$M1640</f>
        <v>0</v>
      </c>
      <c r="AZ1640" s="30" t="n">
        <f aca="false">18690/100</f>
        <v>186.9</v>
      </c>
      <c r="BA1640" s="11" t="n">
        <v>2243</v>
      </c>
      <c r="BB1640" s="31" t="n">
        <f aca="false">SUM(Q1640,S1640,U1640,W1640,Y1640,AA1640,AC1640,AE1640,AG1640,AI1640,AK1640,AM1640,AO1640,AQ1640,AS1640,AU1640,AW1640,AY1640)</f>
        <v>2243</v>
      </c>
      <c r="BC1640" s="28" t="n">
        <f aca="false">BA1640-BB1640</f>
        <v>0</v>
      </c>
      <c r="BD1640" s="32" t="n">
        <f aca="false">SUM(P1640,R1640,T1640,V1640,X1640,Z1640,AB1640,AD1640,AF1640,AH1640,AJ1640,AL1640,AN1640,AP1640,AR1640,AT1640,AV1640,AX1640)</f>
        <v>186.9</v>
      </c>
      <c r="BE1640" s="33" t="n">
        <f aca="false">AZ1640-BD1640</f>
        <v>0</v>
      </c>
      <c r="BF1640" s="34" t="n">
        <f aca="false">BD1640*M1640</f>
        <v>2242.8</v>
      </c>
      <c r="BG1640" s="35" t="n">
        <f aca="false">BA1640-BF1640</f>
        <v>0.199999999999818</v>
      </c>
      <c r="BH1640" s="19" t="str">
        <f aca="false">IF(BG1640=0,"",IF(BG1640&lt;&gt;BA1640,"erreur de calcul",IF(BD1640&lt;&gt;0,"pas de prix",IF(M1640&lt;&gt; 0,"pas de quantité","pas de prix, ni de quantité"))))</f>
        <v>erreur de calcul</v>
      </c>
      <c r="BI1640" s="19"/>
    </row>
    <row r="1641" customFormat="false" ht="15" hidden="false" customHeight="false" outlineLevel="0" collapsed="false">
      <c r="A1641" s="0" t="n">
        <v>27</v>
      </c>
      <c r="B1641" s="8" t="s">
        <v>24</v>
      </c>
      <c r="C1641" s="9" t="s">
        <v>25</v>
      </c>
      <c r="D1641" s="9" t="s">
        <v>26</v>
      </c>
      <c r="E1641" s="10" t="n">
        <v>1789</v>
      </c>
      <c r="F1641" s="9" t="s">
        <v>27</v>
      </c>
      <c r="G1641" s="9" t="s">
        <v>27</v>
      </c>
      <c r="H1641" s="11" t="n">
        <v>24</v>
      </c>
      <c r="I1641" s="11" t="s">
        <v>317</v>
      </c>
      <c r="J1641" s="14" t="n">
        <v>2</v>
      </c>
      <c r="K1641" s="14"/>
      <c r="L1641" s="16"/>
      <c r="M1641" s="27" t="n">
        <f aca="false">J1641+(K1641/20)+(L1641/240)</f>
        <v>2</v>
      </c>
      <c r="N1641" s="17" t="s">
        <v>64</v>
      </c>
      <c r="O1641" s="11"/>
      <c r="P1641" s="28"/>
      <c r="Q1641" s="28" t="n">
        <f aca="false">P1641*$M1641</f>
        <v>0</v>
      </c>
      <c r="R1641" s="28"/>
      <c r="S1641" s="28" t="n">
        <f aca="false">R1641*$M1641</f>
        <v>0</v>
      </c>
      <c r="T1641" s="28"/>
      <c r="U1641" s="28" t="n">
        <f aca="false">T1641*$M1641</f>
        <v>0</v>
      </c>
      <c r="V1641" s="28"/>
      <c r="W1641" s="28" t="n">
        <f aca="false">V1641*$M1641</f>
        <v>0</v>
      </c>
      <c r="X1641" s="28"/>
      <c r="Y1641" s="28" t="n">
        <f aca="false">X1641*$M1641</f>
        <v>0</v>
      </c>
      <c r="Z1641" s="28"/>
      <c r="AA1641" s="28" t="n">
        <f aca="false">Z1641*$M1641</f>
        <v>0</v>
      </c>
      <c r="AB1641" s="28" t="n">
        <f aca="false">15417/100</f>
        <v>154.17</v>
      </c>
      <c r="AC1641" s="28" t="n">
        <v>308</v>
      </c>
      <c r="AD1641" s="28"/>
      <c r="AE1641" s="28" t="n">
        <f aca="false">AD1641*$M1641</f>
        <v>0</v>
      </c>
      <c r="AF1641" s="28"/>
      <c r="AG1641" s="28" t="n">
        <f aca="false">AF1641*$M1641</f>
        <v>0</v>
      </c>
      <c r="AH1641" s="28"/>
      <c r="AI1641" s="28" t="n">
        <f aca="false">AH1641*$M1641</f>
        <v>0</v>
      </c>
      <c r="AJ1641" s="28"/>
      <c r="AK1641" s="28" t="n">
        <f aca="false">AJ1641*$M1641</f>
        <v>0</v>
      </c>
      <c r="AL1641" s="28"/>
      <c r="AM1641" s="28" t="n">
        <f aca="false">AL1641*$M1641</f>
        <v>0</v>
      </c>
      <c r="AN1641" s="28"/>
      <c r="AO1641" s="28" t="n">
        <f aca="false">AN1641*$M1641</f>
        <v>0</v>
      </c>
      <c r="AP1641" s="28"/>
      <c r="AQ1641" s="28" t="n">
        <f aca="false">AP1641*$M1641</f>
        <v>0</v>
      </c>
      <c r="AR1641" s="28"/>
      <c r="AS1641" s="28" t="n">
        <f aca="false">AR1641*$M1641</f>
        <v>0</v>
      </c>
      <c r="AT1641" s="28"/>
      <c r="AU1641" s="28" t="n">
        <f aca="false">AT1641*$M1641</f>
        <v>0</v>
      </c>
      <c r="AV1641" s="28"/>
      <c r="AW1641" s="28" t="n">
        <f aca="false">AV1641*$M1641</f>
        <v>0</v>
      </c>
      <c r="AX1641" s="28"/>
      <c r="AY1641" s="28" t="n">
        <f aca="false">AX1641*$M1641</f>
        <v>0</v>
      </c>
      <c r="AZ1641" s="30" t="n">
        <f aca="false">15417/100</f>
        <v>154.17</v>
      </c>
      <c r="BA1641" s="11" t="n">
        <v>308</v>
      </c>
      <c r="BB1641" s="31" t="n">
        <f aca="false">SUM(Q1641,S1641,U1641,W1641,Y1641,AA1641,AC1641,AE1641,AG1641,AI1641,AK1641,AM1641,AO1641,AQ1641,AS1641,AU1641,AW1641,AY1641)</f>
        <v>308</v>
      </c>
      <c r="BC1641" s="28" t="n">
        <f aca="false">BA1641-BB1641</f>
        <v>0</v>
      </c>
      <c r="BD1641" s="32" t="n">
        <f aca="false">SUM(P1641,R1641,T1641,V1641,X1641,Z1641,AB1641,AD1641,AF1641,AH1641,AJ1641,AL1641,AN1641,AP1641,AR1641,AT1641,AV1641,AX1641)</f>
        <v>154.17</v>
      </c>
      <c r="BE1641" s="33" t="n">
        <f aca="false">AZ1641-BD1641</f>
        <v>0</v>
      </c>
      <c r="BF1641" s="34" t="n">
        <f aca="false">BD1641*M1641</f>
        <v>308.34</v>
      </c>
      <c r="BG1641" s="35" t="n">
        <f aca="false">BA1641-BF1641</f>
        <v>-0.339999999999975</v>
      </c>
      <c r="BH1641" s="19" t="str">
        <f aca="false">IF(BG1641=0,"",IF(BG1641&lt;&gt;BA1641,"erreur de calcul",IF(BD1641&lt;&gt;0,"pas de prix",IF(M1641&lt;&gt; 0,"pas de quantité","pas de prix, ni de quantité"))))</f>
        <v>erreur de calcul</v>
      </c>
      <c r="BI1641" s="19"/>
    </row>
    <row r="1642" customFormat="false" ht="15" hidden="false" customHeight="false" outlineLevel="0" collapsed="false">
      <c r="A1642" s="0" t="n">
        <v>28</v>
      </c>
      <c r="B1642" s="8" t="s">
        <v>24</v>
      </c>
      <c r="C1642" s="9" t="s">
        <v>25</v>
      </c>
      <c r="D1642" s="9" t="s">
        <v>26</v>
      </c>
      <c r="E1642" s="10" t="n">
        <v>1789</v>
      </c>
      <c r="F1642" s="9" t="s">
        <v>27</v>
      </c>
      <c r="G1642" s="9" t="s">
        <v>27</v>
      </c>
      <c r="H1642" s="11" t="n">
        <v>24</v>
      </c>
      <c r="I1642" s="11" t="s">
        <v>318</v>
      </c>
      <c r="J1642" s="14" t="n">
        <v>30</v>
      </c>
      <c r="K1642" s="14"/>
      <c r="L1642" s="16"/>
      <c r="M1642" s="27" t="n">
        <f aca="false">J1642+(K1642/20)+(L1642/240)</f>
        <v>30</v>
      </c>
      <c r="N1642" s="17" t="s">
        <v>64</v>
      </c>
      <c r="O1642" s="11"/>
      <c r="P1642" s="28" t="n">
        <f aca="false">55459/100</f>
        <v>554.59</v>
      </c>
      <c r="Q1642" s="28" t="n">
        <v>16638</v>
      </c>
      <c r="R1642" s="28"/>
      <c r="S1642" s="28" t="n">
        <f aca="false">R1642*$M1642</f>
        <v>0</v>
      </c>
      <c r="T1642" s="28"/>
      <c r="U1642" s="28" t="n">
        <f aca="false">T1642*$M1642</f>
        <v>0</v>
      </c>
      <c r="V1642" s="28"/>
      <c r="W1642" s="28" t="n">
        <f aca="false">V1642*$M1642</f>
        <v>0</v>
      </c>
      <c r="X1642" s="28"/>
      <c r="Y1642" s="28" t="n">
        <f aca="false">X1642*$M1642</f>
        <v>0</v>
      </c>
      <c r="Z1642" s="28"/>
      <c r="AA1642" s="28" t="n">
        <f aca="false">Z1642*$M1642</f>
        <v>0</v>
      </c>
      <c r="AB1642" s="28"/>
      <c r="AC1642" s="28" t="n">
        <f aca="false">AB1642*$M1642</f>
        <v>0</v>
      </c>
      <c r="AD1642" s="28"/>
      <c r="AE1642" s="28" t="n">
        <f aca="false">AD1642*$M1642</f>
        <v>0</v>
      </c>
      <c r="AF1642" s="28"/>
      <c r="AG1642" s="28" t="n">
        <f aca="false">AF1642*$M1642</f>
        <v>0</v>
      </c>
      <c r="AH1642" s="28"/>
      <c r="AI1642" s="28" t="n">
        <f aca="false">AH1642*$M1642</f>
        <v>0</v>
      </c>
      <c r="AJ1642" s="28"/>
      <c r="AK1642" s="28" t="n">
        <f aca="false">AJ1642*$M1642</f>
        <v>0</v>
      </c>
      <c r="AL1642" s="28"/>
      <c r="AM1642" s="28" t="n">
        <f aca="false">AL1642*$M1642</f>
        <v>0</v>
      </c>
      <c r="AN1642" s="28"/>
      <c r="AO1642" s="28" t="n">
        <f aca="false">AN1642*$M1642</f>
        <v>0</v>
      </c>
      <c r="AP1642" s="28"/>
      <c r="AQ1642" s="28" t="n">
        <f aca="false">AP1642*$M1642</f>
        <v>0</v>
      </c>
      <c r="AR1642" s="28"/>
      <c r="AS1642" s="28" t="n">
        <f aca="false">AR1642*$M1642</f>
        <v>0</v>
      </c>
      <c r="AT1642" s="28"/>
      <c r="AU1642" s="28" t="n">
        <f aca="false">AT1642*$M1642</f>
        <v>0</v>
      </c>
      <c r="AV1642" s="28"/>
      <c r="AW1642" s="28" t="n">
        <f aca="false">AV1642*$M1642</f>
        <v>0</v>
      </c>
      <c r="AX1642" s="28"/>
      <c r="AY1642" s="28" t="n">
        <f aca="false">AX1642*$M1642</f>
        <v>0</v>
      </c>
      <c r="AZ1642" s="30" t="n">
        <f aca="false">55459/100</f>
        <v>554.59</v>
      </c>
      <c r="BA1642" s="11" t="n">
        <v>16638</v>
      </c>
      <c r="BB1642" s="31" t="n">
        <f aca="false">SUM(Q1642,S1642,U1642,W1642,Y1642,AA1642,AC1642,AE1642,AG1642,AI1642,AK1642,AM1642,AO1642,AQ1642,AS1642,AU1642,AW1642,AY1642)</f>
        <v>16638</v>
      </c>
      <c r="BC1642" s="28" t="n">
        <f aca="false">BA1642-BB1642</f>
        <v>0</v>
      </c>
      <c r="BD1642" s="32" t="n">
        <f aca="false">SUM(P1642,R1642,T1642,V1642,X1642,Z1642,AB1642,AD1642,AF1642,AH1642,AJ1642,AL1642,AN1642,AP1642,AR1642,AT1642,AV1642,AX1642)</f>
        <v>554.59</v>
      </c>
      <c r="BE1642" s="33" t="n">
        <f aca="false">AZ1642-BD1642</f>
        <v>0</v>
      </c>
      <c r="BF1642" s="34" t="n">
        <f aca="false">BD1642*M1642</f>
        <v>16637.7</v>
      </c>
      <c r="BG1642" s="35" t="n">
        <f aca="false">BA1642-BF1642</f>
        <v>0.299999999999272</v>
      </c>
      <c r="BH1642" s="19" t="str">
        <f aca="false">IF(BG1642=0,"",IF(BG1642&lt;&gt;BA1642,"erreur de calcul",IF(BD1642&lt;&gt;0,"pas de prix",IF(M1642&lt;&gt; 0,"pas de quantité","pas de prix, ni de quantité"))))</f>
        <v>erreur de calcul</v>
      </c>
      <c r="BI1642" s="19"/>
    </row>
    <row r="1643" customFormat="false" ht="15" hidden="false" customHeight="false" outlineLevel="0" collapsed="false">
      <c r="A1643" s="0" t="n">
        <v>29</v>
      </c>
      <c r="B1643" s="8" t="s">
        <v>24</v>
      </c>
      <c r="C1643" s="9" t="s">
        <v>25</v>
      </c>
      <c r="D1643" s="9" t="s">
        <v>26</v>
      </c>
      <c r="E1643" s="10" t="n">
        <v>1789</v>
      </c>
      <c r="F1643" s="9" t="s">
        <v>27</v>
      </c>
      <c r="G1643" s="9" t="s">
        <v>27</v>
      </c>
      <c r="H1643" s="11" t="n">
        <v>24</v>
      </c>
      <c r="I1643" s="11" t="s">
        <v>319</v>
      </c>
      <c r="J1643" s="14" t="n">
        <v>10</v>
      </c>
      <c r="K1643" s="14"/>
      <c r="L1643" s="16"/>
      <c r="M1643" s="27" t="n">
        <f aca="false">J1643+(K1643/20)+(L1643/240)</f>
        <v>10</v>
      </c>
      <c r="N1643" s="17" t="s">
        <v>64</v>
      </c>
      <c r="O1643" s="11"/>
      <c r="P1643" s="28" t="n">
        <f aca="false">48819/100</f>
        <v>488.19</v>
      </c>
      <c r="Q1643" s="28" t="n">
        <v>4882</v>
      </c>
      <c r="R1643" s="28"/>
      <c r="S1643" s="28" t="n">
        <f aca="false">R1643*$M1643</f>
        <v>0</v>
      </c>
      <c r="T1643" s="28" t="n">
        <f aca="false">2500/100</f>
        <v>25</v>
      </c>
      <c r="U1643" s="28" t="n">
        <v>250</v>
      </c>
      <c r="V1643" s="28"/>
      <c r="W1643" s="28" t="n">
        <f aca="false">V1643*$M1643</f>
        <v>0</v>
      </c>
      <c r="X1643" s="28" t="n">
        <f aca="false">6667/100</f>
        <v>66.67</v>
      </c>
      <c r="Y1643" s="28" t="n">
        <v>667</v>
      </c>
      <c r="Z1643" s="28"/>
      <c r="AA1643" s="28" t="n">
        <f aca="false">Z1643*$M1643</f>
        <v>0</v>
      </c>
      <c r="AB1643" s="28"/>
      <c r="AC1643" s="28" t="n">
        <f aca="false">AB1643*$M1643</f>
        <v>0</v>
      </c>
      <c r="AD1643" s="28"/>
      <c r="AE1643" s="28" t="n">
        <f aca="false">AD1643*$M1643</f>
        <v>0</v>
      </c>
      <c r="AF1643" s="28"/>
      <c r="AG1643" s="28" t="n">
        <f aca="false">AF1643*$M1643</f>
        <v>0</v>
      </c>
      <c r="AH1643" s="28"/>
      <c r="AI1643" s="28" t="n">
        <f aca="false">AH1643*$M1643</f>
        <v>0</v>
      </c>
      <c r="AJ1643" s="28"/>
      <c r="AK1643" s="28" t="n">
        <f aca="false">AJ1643*$M1643</f>
        <v>0</v>
      </c>
      <c r="AL1643" s="28"/>
      <c r="AM1643" s="28" t="n">
        <f aca="false">AL1643*$M1643</f>
        <v>0</v>
      </c>
      <c r="AN1643" s="28"/>
      <c r="AO1643" s="28" t="n">
        <f aca="false">AN1643*$M1643</f>
        <v>0</v>
      </c>
      <c r="AP1643" s="28"/>
      <c r="AQ1643" s="28" t="n">
        <f aca="false">AP1643*$M1643</f>
        <v>0</v>
      </c>
      <c r="AR1643" s="28"/>
      <c r="AS1643" s="28" t="n">
        <f aca="false">AR1643*$M1643</f>
        <v>0</v>
      </c>
      <c r="AT1643" s="28"/>
      <c r="AU1643" s="28" t="n">
        <f aca="false">AT1643*$M1643</f>
        <v>0</v>
      </c>
      <c r="AV1643" s="28"/>
      <c r="AW1643" s="28" t="n">
        <f aca="false">AV1643*$M1643</f>
        <v>0</v>
      </c>
      <c r="AX1643" s="28"/>
      <c r="AY1643" s="28" t="n">
        <f aca="false">AX1643*$M1643</f>
        <v>0</v>
      </c>
      <c r="AZ1643" s="30" t="n">
        <f aca="false">57986/100</f>
        <v>579.86</v>
      </c>
      <c r="BA1643" s="11" t="n">
        <v>5799</v>
      </c>
      <c r="BB1643" s="31" t="n">
        <f aca="false">SUM(Q1643,S1643,U1643,W1643,Y1643,AA1643,AC1643,AE1643,AG1643,AI1643,AK1643,AM1643,AO1643,AQ1643,AS1643,AU1643,AW1643,AY1643)</f>
        <v>5799</v>
      </c>
      <c r="BC1643" s="28" t="n">
        <f aca="false">BA1643-BB1643</f>
        <v>0</v>
      </c>
      <c r="BD1643" s="32" t="n">
        <f aca="false">SUM(P1643,R1643,T1643,V1643,X1643,Z1643,AB1643,AD1643,AF1643,AH1643,AJ1643,AL1643,AN1643,AP1643,AR1643,AT1643,AV1643,AX1643)</f>
        <v>579.86</v>
      </c>
      <c r="BE1643" s="33" t="n">
        <f aca="false">AZ1643-BD1643</f>
        <v>0</v>
      </c>
      <c r="BF1643" s="34" t="n">
        <f aca="false">BD1643*M1643</f>
        <v>5798.6</v>
      </c>
      <c r="BG1643" s="35" t="n">
        <f aca="false">BA1643-BF1643</f>
        <v>0.399999999999636</v>
      </c>
      <c r="BH1643" s="19" t="str">
        <f aca="false">IF(BG1643=0,"",IF(BG1643&lt;&gt;BA1643,"erreur de calcul",IF(BD1643&lt;&gt;0,"pas de prix",IF(M1643&lt;&gt; 0,"pas de quantité","pas de prix, ni de quantité"))))</f>
        <v>erreur de calcul</v>
      </c>
      <c r="BI1643" s="19"/>
    </row>
    <row r="1644" customFormat="false" ht="15" hidden="false" customHeight="false" outlineLevel="0" collapsed="false">
      <c r="A1644" s="0" t="n">
        <v>30</v>
      </c>
      <c r="B1644" s="8" t="s">
        <v>24</v>
      </c>
      <c r="C1644" s="9" t="s">
        <v>25</v>
      </c>
      <c r="D1644" s="9" t="s">
        <v>26</v>
      </c>
      <c r="E1644" s="10" t="n">
        <v>1789</v>
      </c>
      <c r="F1644" s="9" t="s">
        <v>27</v>
      </c>
      <c r="G1644" s="9" t="s">
        <v>27</v>
      </c>
      <c r="H1644" s="11" t="n">
        <v>24</v>
      </c>
      <c r="I1644" s="11" t="s">
        <v>320</v>
      </c>
      <c r="J1644" s="14" t="n">
        <v>90</v>
      </c>
      <c r="K1644" s="14"/>
      <c r="L1644" s="16"/>
      <c r="M1644" s="27" t="n">
        <f aca="false">J1644+(K1644/20)+(L1644/240)</f>
        <v>90</v>
      </c>
      <c r="N1644" s="17" t="s">
        <v>64</v>
      </c>
      <c r="O1644" s="11"/>
      <c r="P1644" s="28"/>
      <c r="Q1644" s="28" t="n">
        <f aca="false">P1644*$M1644</f>
        <v>0</v>
      </c>
      <c r="R1644" s="28"/>
      <c r="S1644" s="28" t="n">
        <f aca="false">R1644*$M1644</f>
        <v>0</v>
      </c>
      <c r="T1644" s="28"/>
      <c r="U1644" s="28" t="n">
        <f aca="false">T1644*$M1644</f>
        <v>0</v>
      </c>
      <c r="V1644" s="28"/>
      <c r="W1644" s="28" t="n">
        <f aca="false">V1644*$M1644</f>
        <v>0</v>
      </c>
      <c r="X1644" s="28"/>
      <c r="Y1644" s="28" t="n">
        <f aca="false">X1644*$M1644</f>
        <v>0</v>
      </c>
      <c r="Z1644" s="28"/>
      <c r="AA1644" s="28" t="n">
        <f aca="false">Z1644*$M1644</f>
        <v>0</v>
      </c>
      <c r="AB1644" s="28"/>
      <c r="AC1644" s="28" t="n">
        <f aca="false">AB1644*$M1644</f>
        <v>0</v>
      </c>
      <c r="AD1644" s="28"/>
      <c r="AE1644" s="28" t="n">
        <f aca="false">AD1644*$M1644</f>
        <v>0</v>
      </c>
      <c r="AF1644" s="28"/>
      <c r="AG1644" s="28" t="n">
        <f aca="false">AF1644*$M1644</f>
        <v>0</v>
      </c>
      <c r="AH1644" s="28"/>
      <c r="AI1644" s="28" t="n">
        <f aca="false">AH1644*$M1644</f>
        <v>0</v>
      </c>
      <c r="AJ1644" s="28"/>
      <c r="AK1644" s="28" t="n">
        <f aca="false">AJ1644*$M1644</f>
        <v>0</v>
      </c>
      <c r="AL1644" s="28" t="n">
        <f aca="false">2950/100</f>
        <v>29.5</v>
      </c>
      <c r="AM1644" s="28" t="n">
        <v>2655</v>
      </c>
      <c r="AN1644" s="28"/>
      <c r="AO1644" s="28" t="n">
        <f aca="false">AN1644*$M1644</f>
        <v>0</v>
      </c>
      <c r="AP1644" s="28"/>
      <c r="AQ1644" s="28" t="n">
        <f aca="false">AP1644*$M1644</f>
        <v>0</v>
      </c>
      <c r="AR1644" s="28"/>
      <c r="AS1644" s="28" t="n">
        <f aca="false">AR1644*$M1644</f>
        <v>0</v>
      </c>
      <c r="AT1644" s="28"/>
      <c r="AU1644" s="28" t="n">
        <f aca="false">AT1644*$M1644</f>
        <v>0</v>
      </c>
      <c r="AV1644" s="28"/>
      <c r="AW1644" s="28" t="n">
        <f aca="false">AV1644*$M1644</f>
        <v>0</v>
      </c>
      <c r="AX1644" s="28"/>
      <c r="AY1644" s="28" t="n">
        <f aca="false">AX1644*$M1644</f>
        <v>0</v>
      </c>
      <c r="AZ1644" s="30" t="n">
        <f aca="false">2950/100</f>
        <v>29.5</v>
      </c>
      <c r="BA1644" s="11" t="n">
        <v>2655</v>
      </c>
      <c r="BB1644" s="31" t="n">
        <f aca="false">SUM(Q1644,S1644,U1644,W1644,Y1644,AA1644,AC1644,AE1644,AG1644,AI1644,AK1644,AM1644,AO1644,AQ1644,AS1644,AU1644,AW1644,AY1644)</f>
        <v>2655</v>
      </c>
      <c r="BC1644" s="28" t="n">
        <f aca="false">BA1644-BB1644</f>
        <v>0</v>
      </c>
      <c r="BD1644" s="32" t="n">
        <f aca="false">SUM(P1644,R1644,T1644,V1644,X1644,Z1644,AB1644,AD1644,AF1644,AH1644,AJ1644,AL1644,AN1644,AP1644,AR1644,AT1644,AV1644,AX1644)</f>
        <v>29.5</v>
      </c>
      <c r="BE1644" s="33" t="n">
        <f aca="false">AZ1644-BD1644</f>
        <v>0</v>
      </c>
      <c r="BF1644" s="34" t="n">
        <f aca="false">BD1644*M1644</f>
        <v>2655</v>
      </c>
      <c r="BG1644" s="35" t="n">
        <f aca="false">BA1644-BF1644</f>
        <v>0</v>
      </c>
      <c r="BH1644" s="19" t="str">
        <f aca="false">IF(BG1644=0,"",IF(BG1644&lt;&gt;BA1644,"erreur de calcul",IF(BD1644&lt;&gt;0,"pas de prix",IF(M1644&lt;&gt; 0,"pas de quantité","pas de prix, ni de quantité"))))</f>
        <v/>
      </c>
      <c r="BI1644" s="19"/>
    </row>
    <row r="1645" customFormat="false" ht="15" hidden="false" customHeight="false" outlineLevel="0" collapsed="false">
      <c r="A1645" s="0" t="n">
        <v>31</v>
      </c>
      <c r="B1645" s="8" t="s">
        <v>24</v>
      </c>
      <c r="C1645" s="9" t="s">
        <v>25</v>
      </c>
      <c r="D1645" s="9" t="s">
        <v>26</v>
      </c>
      <c r="E1645" s="10" t="n">
        <v>1789</v>
      </c>
      <c r="F1645" s="9" t="s">
        <v>27</v>
      </c>
      <c r="G1645" s="9" t="s">
        <v>27</v>
      </c>
      <c r="H1645" s="11" t="n">
        <v>24</v>
      </c>
      <c r="I1645" s="11" t="s">
        <v>321</v>
      </c>
      <c r="J1645" s="14" t="n">
        <v>50</v>
      </c>
      <c r="K1645" s="14"/>
      <c r="L1645" s="16"/>
      <c r="M1645" s="27" t="n">
        <f aca="false">J1645+(K1645/20)+(L1645/240)</f>
        <v>50</v>
      </c>
      <c r="N1645" s="17" t="s">
        <v>64</v>
      </c>
      <c r="O1645" s="11" t="s">
        <v>277</v>
      </c>
      <c r="P1645" s="28"/>
      <c r="Q1645" s="28" t="n">
        <f aca="false">P1645*$M1645</f>
        <v>0</v>
      </c>
      <c r="R1645" s="28"/>
      <c r="S1645" s="28" t="n">
        <f aca="false">R1645*$M1645</f>
        <v>0</v>
      </c>
      <c r="T1645" s="28" t="n">
        <f aca="false">2*288*0.02+153*0.02</f>
        <v>14.58</v>
      </c>
      <c r="U1645" s="28" t="n">
        <v>729</v>
      </c>
      <c r="V1645" s="28" t="n">
        <f aca="false">2*288*0.02+118*0.02</f>
        <v>13.88</v>
      </c>
      <c r="W1645" s="28" t="n">
        <v>694</v>
      </c>
      <c r="X1645" s="28" t="n">
        <f aca="false">25*288*0.02+103*0.02</f>
        <v>146.06</v>
      </c>
      <c r="Y1645" s="28" t="n">
        <v>7303</v>
      </c>
      <c r="Z1645" s="28"/>
      <c r="AA1645" s="28" t="n">
        <f aca="false">Z1645*$M1645</f>
        <v>0</v>
      </c>
      <c r="AB1645" s="28" t="n">
        <f aca="false">1*288*0.02+74*0.02</f>
        <v>7.24</v>
      </c>
      <c r="AC1645" s="28" t="n">
        <v>362</v>
      </c>
      <c r="AD1645" s="28" t="n">
        <f aca="false">276*0.02</f>
        <v>5.52</v>
      </c>
      <c r="AE1645" s="28" t="n">
        <v>276</v>
      </c>
      <c r="AF1645" s="28"/>
      <c r="AG1645" s="28" t="n">
        <f aca="false">AF1645*$M1645</f>
        <v>0</v>
      </c>
      <c r="AH1645" s="28" t="n">
        <f aca="false">1*288*0.02+75*0.02</f>
        <v>7.26</v>
      </c>
      <c r="AI1645" s="28" t="n">
        <v>363</v>
      </c>
      <c r="AJ1645" s="28" t="n">
        <f aca="false">2*288*0.02+176*0.02</f>
        <v>15.04</v>
      </c>
      <c r="AK1645" s="28" t="n">
        <v>752</v>
      </c>
      <c r="AL1645" s="28"/>
      <c r="AM1645" s="28" t="n">
        <f aca="false">AL1645*$M1645</f>
        <v>0</v>
      </c>
      <c r="AN1645" s="28"/>
      <c r="AO1645" s="28" t="n">
        <f aca="false">AN1645*$M1645</f>
        <v>0</v>
      </c>
      <c r="AP1645" s="28"/>
      <c r="AQ1645" s="28" t="n">
        <f aca="false">AP1645*$M1645</f>
        <v>0</v>
      </c>
      <c r="AR1645" s="28"/>
      <c r="AS1645" s="28" t="n">
        <f aca="false">AR1645*$M1645</f>
        <v>0</v>
      </c>
      <c r="AT1645" s="28"/>
      <c r="AU1645" s="28" t="n">
        <f aca="false">AT1645*$M1645</f>
        <v>0</v>
      </c>
      <c r="AV1645" s="28"/>
      <c r="AW1645" s="28" t="n">
        <f aca="false">AV1645*$M1645</f>
        <v>0</v>
      </c>
      <c r="AX1645" s="28"/>
      <c r="AY1645" s="28" t="n">
        <f aca="false">AX1645*$M1645</f>
        <v>0</v>
      </c>
      <c r="AZ1645" s="30" t="n">
        <f aca="false">36*288*0.02+111*0.02</f>
        <v>209.58</v>
      </c>
      <c r="BA1645" s="11" t="n">
        <v>10479</v>
      </c>
      <c r="BB1645" s="31" t="n">
        <f aca="false">SUM(Q1645,S1645,U1645,W1645,Y1645,AA1645,AC1645,AE1645,AG1645,AI1645,AK1645,AM1645,AO1645,AQ1645,AS1645,AU1645,AW1645,AY1645)</f>
        <v>10479</v>
      </c>
      <c r="BC1645" s="28" t="n">
        <f aca="false">BA1645-BB1645</f>
        <v>0</v>
      </c>
      <c r="BD1645" s="32" t="n">
        <f aca="false">SUM(P1645,R1645,T1645,V1645,X1645,Z1645,AB1645,AD1645,AF1645,AH1645,AJ1645,AL1645,AN1645,AP1645,AR1645,AT1645,AV1645,AX1645)</f>
        <v>209.58</v>
      </c>
      <c r="BE1645" s="33" t="n">
        <f aca="false">AZ1645-BD1645</f>
        <v>0</v>
      </c>
      <c r="BF1645" s="34" t="n">
        <f aca="false">BD1645*M1645</f>
        <v>10479</v>
      </c>
      <c r="BG1645" s="35" t="n">
        <f aca="false">BA1645-BF1645</f>
        <v>0</v>
      </c>
      <c r="BH1645" s="19" t="str">
        <f aca="false">IF(BG1645=0,"",IF(BG1645&lt;&gt;BA1645,"erreur de calcul",IF(BD1645&lt;&gt;0,"pas de prix",IF(M1645&lt;&gt; 0,"pas de quantité","pas de prix, ni de quantité"))))</f>
        <v/>
      </c>
      <c r="BI1645" s="19"/>
    </row>
    <row r="1646" customFormat="false" ht="15" hidden="false" customHeight="false" outlineLevel="0" collapsed="false">
      <c r="A1646" s="0" t="n">
        <v>32</v>
      </c>
      <c r="B1646" s="8" t="s">
        <v>24</v>
      </c>
      <c r="C1646" s="9" t="s">
        <v>25</v>
      </c>
      <c r="D1646" s="9" t="s">
        <v>26</v>
      </c>
      <c r="E1646" s="10" t="n">
        <v>1789</v>
      </c>
      <c r="F1646" s="9" t="s">
        <v>27</v>
      </c>
      <c r="G1646" s="9" t="s">
        <v>27</v>
      </c>
      <c r="H1646" s="11" t="n">
        <v>24</v>
      </c>
      <c r="I1646" s="11" t="s">
        <v>322</v>
      </c>
      <c r="J1646" s="14" t="n">
        <v>70</v>
      </c>
      <c r="K1646" s="14"/>
      <c r="L1646" s="16"/>
      <c r="M1646" s="27" t="n">
        <f aca="false">J1646+(K1646/20)+(L1646/240)</f>
        <v>70</v>
      </c>
      <c r="N1646" s="17" t="s">
        <v>64</v>
      </c>
      <c r="O1646" s="11"/>
      <c r="P1646" s="28"/>
      <c r="Q1646" s="28" t="n">
        <f aca="false">P1646*$M1646</f>
        <v>0</v>
      </c>
      <c r="R1646" s="28"/>
      <c r="S1646" s="28" t="n">
        <f aca="false">R1646*$M1646</f>
        <v>0</v>
      </c>
      <c r="T1646" s="28"/>
      <c r="U1646" s="28" t="n">
        <f aca="false">T1646*$M1646</f>
        <v>0</v>
      </c>
      <c r="V1646" s="28"/>
      <c r="W1646" s="28" t="n">
        <f aca="false">V1646*$M1646</f>
        <v>0</v>
      </c>
      <c r="X1646" s="28" t="n">
        <f aca="false">2*288*0.02+217*0.02</f>
        <v>15.86</v>
      </c>
      <c r="Y1646" s="28" t="n">
        <v>1111</v>
      </c>
      <c r="Z1646" s="28"/>
      <c r="AA1646" s="28" t="n">
        <f aca="false">Z1646*$M1646</f>
        <v>0</v>
      </c>
      <c r="AB1646" s="28"/>
      <c r="AC1646" s="28" t="n">
        <f aca="false">AB1646*$M1646</f>
        <v>0</v>
      </c>
      <c r="AD1646" s="28"/>
      <c r="AE1646" s="28" t="n">
        <f aca="false">AD1646*$M1646</f>
        <v>0</v>
      </c>
      <c r="AF1646" s="28"/>
      <c r="AG1646" s="28" t="n">
        <f aca="false">AF1646*$M1646</f>
        <v>0</v>
      </c>
      <c r="AH1646" s="28"/>
      <c r="AI1646" s="28" t="n">
        <f aca="false">AH1646*$M1646</f>
        <v>0</v>
      </c>
      <c r="AJ1646" s="28"/>
      <c r="AK1646" s="28" t="n">
        <f aca="false">AJ1646*$M1646</f>
        <v>0</v>
      </c>
      <c r="AL1646" s="28"/>
      <c r="AM1646" s="28" t="n">
        <f aca="false">AL1646*$M1646</f>
        <v>0</v>
      </c>
      <c r="AN1646" s="28"/>
      <c r="AO1646" s="28" t="n">
        <f aca="false">AN1646*$M1646</f>
        <v>0</v>
      </c>
      <c r="AP1646" s="28"/>
      <c r="AQ1646" s="28" t="n">
        <f aca="false">AP1646*$M1646</f>
        <v>0</v>
      </c>
      <c r="AR1646" s="28"/>
      <c r="AS1646" s="28" t="n">
        <f aca="false">AR1646*$M1646</f>
        <v>0</v>
      </c>
      <c r="AT1646" s="28"/>
      <c r="AU1646" s="28" t="n">
        <f aca="false">AT1646*$M1646</f>
        <v>0</v>
      </c>
      <c r="AV1646" s="28"/>
      <c r="AW1646" s="28" t="n">
        <f aca="false">AV1646*$M1646</f>
        <v>0</v>
      </c>
      <c r="AX1646" s="28"/>
      <c r="AY1646" s="28" t="n">
        <f aca="false">AX1646*$M1646</f>
        <v>0</v>
      </c>
      <c r="AZ1646" s="30" t="n">
        <f aca="false">2*288*0.02+217*0.02</f>
        <v>15.86</v>
      </c>
      <c r="BA1646" s="11" t="n">
        <v>1111</v>
      </c>
      <c r="BB1646" s="31" t="n">
        <f aca="false">SUM(Q1646,S1646,U1646,W1646,Y1646,AA1646,AC1646,AE1646,AG1646,AI1646,AK1646,AM1646,AO1646,AQ1646,AS1646,AU1646,AW1646,AY1646)</f>
        <v>1111</v>
      </c>
      <c r="BC1646" s="28" t="n">
        <f aca="false">BA1646-BB1646</f>
        <v>0</v>
      </c>
      <c r="BD1646" s="32" t="n">
        <f aca="false">SUM(P1646,R1646,T1646,V1646,X1646,Z1646,AB1646,AD1646,AF1646,AH1646,AJ1646,AL1646,AN1646,AP1646,AR1646,AT1646,AV1646,AX1646)</f>
        <v>15.86</v>
      </c>
      <c r="BE1646" s="33" t="n">
        <f aca="false">AZ1646-BD1646</f>
        <v>0</v>
      </c>
      <c r="BF1646" s="34" t="n">
        <f aca="false">BD1646*M1646</f>
        <v>1110.2</v>
      </c>
      <c r="BG1646" s="35" t="n">
        <f aca="false">BA1646-BF1646</f>
        <v>0.799999999999955</v>
      </c>
      <c r="BH1646" s="19" t="str">
        <f aca="false">IF(BG1646=0,"",IF(BG1646&lt;&gt;BA1646,"erreur de calcul",IF(BD1646&lt;&gt;0,"pas de prix",IF(M1646&lt;&gt; 0,"pas de quantité","pas de prix, ni de quantité"))))</f>
        <v>erreur de calcul</v>
      </c>
      <c r="BI1646" s="19"/>
    </row>
    <row r="1647" customFormat="false" ht="15" hidden="false" customHeight="false" outlineLevel="0" collapsed="false">
      <c r="A1647" s="0" t="n">
        <v>33</v>
      </c>
      <c r="B1647" s="8" t="s">
        <v>24</v>
      </c>
      <c r="C1647" s="9" t="s">
        <v>25</v>
      </c>
      <c r="D1647" s="9" t="s">
        <v>26</v>
      </c>
      <c r="E1647" s="10" t="n">
        <v>1789</v>
      </c>
      <c r="F1647" s="9" t="s">
        <v>27</v>
      </c>
      <c r="G1647" s="9" t="s">
        <v>27</v>
      </c>
      <c r="H1647" s="11" t="n">
        <v>24</v>
      </c>
      <c r="I1647" s="11" t="s">
        <v>323</v>
      </c>
      <c r="J1647" s="14"/>
      <c r="K1647" s="14" t="n">
        <v>40</v>
      </c>
      <c r="L1647" s="16"/>
      <c r="M1647" s="27" t="n">
        <f aca="false">J1647+(K1647/20)+(L1647/240)</f>
        <v>2</v>
      </c>
      <c r="N1647" s="17" t="s">
        <v>66</v>
      </c>
      <c r="O1647" s="11"/>
      <c r="P1647" s="28" t="n">
        <v>780</v>
      </c>
      <c r="Q1647" s="28" t="n">
        <v>1560</v>
      </c>
      <c r="R1647" s="28"/>
      <c r="S1647" s="28" t="n">
        <f aca="false">R1647*$M1647</f>
        <v>0</v>
      </c>
      <c r="T1647" s="28" t="n">
        <v>1552</v>
      </c>
      <c r="U1647" s="28" t="n">
        <v>3104</v>
      </c>
      <c r="V1647" s="28" t="n">
        <v>1051</v>
      </c>
      <c r="W1647" s="28" t="n">
        <v>2102</v>
      </c>
      <c r="X1647" s="28" t="n">
        <v>1486</v>
      </c>
      <c r="Y1647" s="28" t="n">
        <v>2972</v>
      </c>
      <c r="Z1647" s="28" t="n">
        <v>847</v>
      </c>
      <c r="AA1647" s="28" t="n">
        <v>1694</v>
      </c>
      <c r="AB1647" s="28" t="n">
        <v>114</v>
      </c>
      <c r="AC1647" s="28" t="n">
        <v>228</v>
      </c>
      <c r="AD1647" s="28" t="n">
        <v>407</v>
      </c>
      <c r="AE1647" s="28" t="n">
        <v>814</v>
      </c>
      <c r="AF1647" s="28"/>
      <c r="AG1647" s="28" t="n">
        <f aca="false">AF1647*$M1647</f>
        <v>0</v>
      </c>
      <c r="AH1647" s="28"/>
      <c r="AI1647" s="28" t="n">
        <f aca="false">AH1647*$M1647</f>
        <v>0</v>
      </c>
      <c r="AJ1647" s="28" t="n">
        <v>1297</v>
      </c>
      <c r="AK1647" s="28" t="n">
        <v>2594</v>
      </c>
      <c r="AL1647" s="28"/>
      <c r="AM1647" s="28" t="n">
        <f aca="false">AL1647*$M1647</f>
        <v>0</v>
      </c>
      <c r="AN1647" s="28"/>
      <c r="AO1647" s="28" t="n">
        <f aca="false">AN1647*$M1647</f>
        <v>0</v>
      </c>
      <c r="AP1647" s="28"/>
      <c r="AQ1647" s="28" t="n">
        <f aca="false">AP1647*$M1647</f>
        <v>0</v>
      </c>
      <c r="AR1647" s="28"/>
      <c r="AS1647" s="28" t="n">
        <f aca="false">AR1647*$M1647</f>
        <v>0</v>
      </c>
      <c r="AT1647" s="28"/>
      <c r="AU1647" s="28" t="n">
        <f aca="false">AT1647*$M1647</f>
        <v>0</v>
      </c>
      <c r="AV1647" s="28"/>
      <c r="AW1647" s="28" t="n">
        <f aca="false">AV1647*$M1647</f>
        <v>0</v>
      </c>
      <c r="AX1647" s="28"/>
      <c r="AY1647" s="28" t="n">
        <f aca="false">AX1647*$M1647</f>
        <v>0</v>
      </c>
      <c r="AZ1647" s="30" t="n">
        <v>7534</v>
      </c>
      <c r="BA1647" s="11" t="n">
        <v>15068</v>
      </c>
      <c r="BB1647" s="31" t="n">
        <f aca="false">SUM(Q1647,S1647,U1647,W1647,Y1647,AA1647,AC1647,AE1647,AG1647,AI1647,AK1647,AM1647,AO1647,AQ1647,AS1647,AU1647,AW1647,AY1647)</f>
        <v>15068</v>
      </c>
      <c r="BC1647" s="28" t="n">
        <f aca="false">BA1647-BB1647</f>
        <v>0</v>
      </c>
      <c r="BD1647" s="32" t="n">
        <f aca="false">SUM(P1647,R1647,T1647,V1647,X1647,Z1647,AB1647,AD1647,AF1647,AH1647,AJ1647,AL1647,AN1647,AP1647,AR1647,AT1647,AV1647,AX1647)</f>
        <v>7534</v>
      </c>
      <c r="BE1647" s="33" t="n">
        <f aca="false">AZ1647-BD1647</f>
        <v>0</v>
      </c>
      <c r="BF1647" s="34" t="n">
        <f aca="false">BD1647*M1647</f>
        <v>15068</v>
      </c>
      <c r="BG1647" s="35" t="n">
        <f aca="false">BA1647-BF1647</f>
        <v>0</v>
      </c>
      <c r="BH1647" s="19" t="str">
        <f aca="false">IF(BG1647=0,"",IF(BG1647&lt;&gt;BA1647,"erreur de calcul",IF(BD1647&lt;&gt;0,"pas de prix",IF(M1647&lt;&gt; 0,"pas de quantité","pas de prix, ni de quantité"))))</f>
        <v/>
      </c>
      <c r="BI1647" s="19"/>
    </row>
    <row r="1648" customFormat="false" ht="15" hidden="false" customHeight="false" outlineLevel="0" collapsed="false">
      <c r="A1648" s="0" t="n">
        <v>34</v>
      </c>
      <c r="B1648" s="8" t="s">
        <v>24</v>
      </c>
      <c r="C1648" s="9" t="s">
        <v>25</v>
      </c>
      <c r="D1648" s="9" t="s">
        <v>26</v>
      </c>
      <c r="E1648" s="10" t="n">
        <v>1789</v>
      </c>
      <c r="F1648" s="9" t="s">
        <v>27</v>
      </c>
      <c r="G1648" s="9" t="s">
        <v>27</v>
      </c>
      <c r="H1648" s="11" t="n">
        <v>24</v>
      </c>
      <c r="I1648" s="11" t="s">
        <v>324</v>
      </c>
      <c r="J1648" s="14" t="n">
        <v>15</v>
      </c>
      <c r="K1648" s="14"/>
      <c r="L1648" s="16"/>
      <c r="M1648" s="27" t="n">
        <f aca="false">J1648+(K1648/20)+(L1648/240)</f>
        <v>15</v>
      </c>
      <c r="N1648" s="17" t="s">
        <v>64</v>
      </c>
      <c r="O1648" s="11"/>
      <c r="P1648" s="28" t="n">
        <f aca="false">6834/100</f>
        <v>68.34</v>
      </c>
      <c r="Q1648" s="28" t="n">
        <v>1025</v>
      </c>
      <c r="R1648" s="28"/>
      <c r="S1648" s="28" t="n">
        <f aca="false">R1648*$M1648</f>
        <v>0</v>
      </c>
      <c r="T1648" s="28" t="n">
        <f aca="false">834/100</f>
        <v>8.34</v>
      </c>
      <c r="U1648" s="28" t="n">
        <v>125</v>
      </c>
      <c r="V1648" s="28" t="n">
        <f aca="false">197372/100</f>
        <v>1973.72</v>
      </c>
      <c r="W1648" s="28" t="n">
        <v>29606</v>
      </c>
      <c r="X1648" s="28" t="n">
        <f aca="false">2334702/100</f>
        <v>23347.02</v>
      </c>
      <c r="Y1648" s="28" t="n">
        <v>350205</v>
      </c>
      <c r="Z1648" s="28"/>
      <c r="AA1648" s="28" t="n">
        <f aca="false">Z1648*$M1648</f>
        <v>0</v>
      </c>
      <c r="AB1648" s="28" t="n">
        <f aca="false">1417/100</f>
        <v>14.17</v>
      </c>
      <c r="AC1648" s="28" t="n">
        <v>212</v>
      </c>
      <c r="AD1648" s="28"/>
      <c r="AE1648" s="28" t="n">
        <f aca="false">AD1648*$M1648</f>
        <v>0</v>
      </c>
      <c r="AF1648" s="28"/>
      <c r="AG1648" s="28" t="n">
        <f aca="false">AF1648*$M1648</f>
        <v>0</v>
      </c>
      <c r="AH1648" s="28"/>
      <c r="AI1648" s="28" t="n">
        <f aca="false">AH1648*$M1648</f>
        <v>0</v>
      </c>
      <c r="AJ1648" s="28"/>
      <c r="AK1648" s="28" t="n">
        <f aca="false">AJ1648*$M1648</f>
        <v>0</v>
      </c>
      <c r="AL1648" s="28"/>
      <c r="AM1648" s="28" t="n">
        <f aca="false">AL1648*$M1648</f>
        <v>0</v>
      </c>
      <c r="AN1648" s="28"/>
      <c r="AO1648" s="28" t="n">
        <f aca="false">AN1648*$M1648</f>
        <v>0</v>
      </c>
      <c r="AP1648" s="28"/>
      <c r="AQ1648" s="28" t="n">
        <f aca="false">AP1648*$M1648</f>
        <v>0</v>
      </c>
      <c r="AR1648" s="28"/>
      <c r="AS1648" s="28" t="n">
        <f aca="false">AR1648*$M1648</f>
        <v>0</v>
      </c>
      <c r="AT1648" s="28"/>
      <c r="AU1648" s="28" t="n">
        <f aca="false">AT1648*$M1648</f>
        <v>0</v>
      </c>
      <c r="AV1648" s="28"/>
      <c r="AW1648" s="28" t="n">
        <f aca="false">AV1648*$M1648</f>
        <v>0</v>
      </c>
      <c r="AX1648" s="28"/>
      <c r="AY1648" s="28" t="n">
        <f aca="false">AX1648*$M1648</f>
        <v>0</v>
      </c>
      <c r="AZ1648" s="30" t="n">
        <f aca="false">2541159/100</f>
        <v>25411.59</v>
      </c>
      <c r="BA1648" s="11" t="n">
        <v>381173</v>
      </c>
      <c r="BB1648" s="31" t="n">
        <f aca="false">SUM(Q1648,S1648,U1648,W1648,Y1648,AA1648,AC1648,AE1648,AG1648,AI1648,AK1648,AM1648,AO1648,AQ1648,AS1648,AU1648,AW1648,AY1648)</f>
        <v>381173</v>
      </c>
      <c r="BC1648" s="28" t="n">
        <f aca="false">BA1648-BB1648</f>
        <v>0</v>
      </c>
      <c r="BD1648" s="32" t="n">
        <f aca="false">SUM(P1648,R1648,T1648,V1648,X1648,Z1648,AB1648,AD1648,AF1648,AH1648,AJ1648,AL1648,AN1648,AP1648,AR1648,AT1648,AV1648,AX1648)</f>
        <v>25411.59</v>
      </c>
      <c r="BE1648" s="33" t="n">
        <f aca="false">AZ1648-BD1648</f>
        <v>0</v>
      </c>
      <c r="BF1648" s="34" t="n">
        <f aca="false">BD1648*M1648</f>
        <v>381173.85</v>
      </c>
      <c r="BG1648" s="35" t="n">
        <f aca="false">BA1648-BF1648</f>
        <v>-0.849999999976717</v>
      </c>
      <c r="BH1648" s="19" t="str">
        <f aca="false">IF(BG1648=0,"",IF(BG1648&lt;&gt;BA1648,"erreur de calcul",IF(BD1648&lt;&gt;0,"pas de prix",IF(M1648&lt;&gt; 0,"pas de quantité","pas de prix, ni de quantité"))))</f>
        <v>erreur de calcul</v>
      </c>
      <c r="BI1648" s="19"/>
    </row>
    <row r="1649" customFormat="false" ht="15" hidden="false" customHeight="false" outlineLevel="0" collapsed="false">
      <c r="A1649" s="0" t="n">
        <v>35</v>
      </c>
      <c r="B1649" s="8" t="s">
        <v>24</v>
      </c>
      <c r="C1649" s="9" t="s">
        <v>25</v>
      </c>
      <c r="D1649" s="9" t="s">
        <v>26</v>
      </c>
      <c r="E1649" s="10" t="n">
        <v>1789</v>
      </c>
      <c r="F1649" s="9" t="s">
        <v>27</v>
      </c>
      <c r="G1649" s="9" t="s">
        <v>27</v>
      </c>
      <c r="H1649" s="11" t="n">
        <v>24</v>
      </c>
      <c r="I1649" s="11" t="s">
        <v>325</v>
      </c>
      <c r="J1649" s="14" t="n">
        <v>25</v>
      </c>
      <c r="K1649" s="14"/>
      <c r="L1649" s="16"/>
      <c r="M1649" s="27" t="n">
        <f aca="false">J1649+(K1649/20)+(L1649/240)</f>
        <v>25</v>
      </c>
      <c r="N1649" s="17" t="s">
        <v>64</v>
      </c>
      <c r="O1649" s="11"/>
      <c r="P1649" s="28"/>
      <c r="Q1649" s="28" t="n">
        <f aca="false">P1649*$M1649</f>
        <v>0</v>
      </c>
      <c r="R1649" s="28"/>
      <c r="S1649" s="28" t="n">
        <f aca="false">R1649*$M1649</f>
        <v>0</v>
      </c>
      <c r="T1649" s="28"/>
      <c r="U1649" s="28" t="n">
        <f aca="false">T1649*$M1649</f>
        <v>0</v>
      </c>
      <c r="V1649" s="28"/>
      <c r="W1649" s="28" t="n">
        <f aca="false">V1649*$M1649</f>
        <v>0</v>
      </c>
      <c r="X1649" s="28" t="n">
        <f aca="false">4971/100</f>
        <v>49.71</v>
      </c>
      <c r="Y1649" s="28" t="n">
        <v>1243</v>
      </c>
      <c r="Z1649" s="28" t="n">
        <f aca="false">14812/100</f>
        <v>148.12</v>
      </c>
      <c r="AA1649" s="28" t="n">
        <v>3703</v>
      </c>
      <c r="AB1649" s="28"/>
      <c r="AC1649" s="28" t="n">
        <f aca="false">AB1649*$M1649</f>
        <v>0</v>
      </c>
      <c r="AD1649" s="28"/>
      <c r="AE1649" s="28" t="n">
        <f aca="false">AD1649*$M1649</f>
        <v>0</v>
      </c>
      <c r="AF1649" s="28"/>
      <c r="AG1649" s="28" t="n">
        <f aca="false">AF1649*$M1649</f>
        <v>0</v>
      </c>
      <c r="AH1649" s="28"/>
      <c r="AI1649" s="28" t="n">
        <f aca="false">AH1649*$M1649</f>
        <v>0</v>
      </c>
      <c r="AJ1649" s="28"/>
      <c r="AK1649" s="28" t="n">
        <f aca="false">AJ1649*$M1649</f>
        <v>0</v>
      </c>
      <c r="AL1649" s="28"/>
      <c r="AM1649" s="28" t="n">
        <f aca="false">AL1649*$M1649</f>
        <v>0</v>
      </c>
      <c r="AN1649" s="28"/>
      <c r="AO1649" s="28" t="n">
        <f aca="false">AN1649*$M1649</f>
        <v>0</v>
      </c>
      <c r="AP1649" s="28"/>
      <c r="AQ1649" s="28" t="n">
        <f aca="false">AP1649*$M1649</f>
        <v>0</v>
      </c>
      <c r="AR1649" s="28"/>
      <c r="AS1649" s="28" t="n">
        <f aca="false">AR1649*$M1649</f>
        <v>0</v>
      </c>
      <c r="AT1649" s="28"/>
      <c r="AU1649" s="28" t="n">
        <f aca="false">AT1649*$M1649</f>
        <v>0</v>
      </c>
      <c r="AV1649" s="28"/>
      <c r="AW1649" s="28" t="n">
        <f aca="false">AV1649*$M1649</f>
        <v>0</v>
      </c>
      <c r="AX1649" s="28"/>
      <c r="AY1649" s="28" t="n">
        <f aca="false">AX1649*$M1649</f>
        <v>0</v>
      </c>
      <c r="AZ1649" s="30" t="n">
        <f aca="false">19783/100</f>
        <v>197.83</v>
      </c>
      <c r="BA1649" s="11" t="n">
        <v>4946</v>
      </c>
      <c r="BB1649" s="31" t="n">
        <f aca="false">SUM(Q1649,S1649,U1649,W1649,Y1649,AA1649,AC1649,AE1649,AG1649,AI1649,AK1649,AM1649,AO1649,AQ1649,AS1649,AU1649,AW1649,AY1649)</f>
        <v>4946</v>
      </c>
      <c r="BC1649" s="28" t="n">
        <f aca="false">BA1649-BB1649</f>
        <v>0</v>
      </c>
      <c r="BD1649" s="32" t="n">
        <f aca="false">SUM(P1649,R1649,T1649,V1649,X1649,Z1649,AB1649,AD1649,AF1649,AH1649,AJ1649,AL1649,AN1649,AP1649,AR1649,AT1649,AV1649,AX1649)</f>
        <v>197.83</v>
      </c>
      <c r="BE1649" s="33" t="n">
        <f aca="false">AZ1649-BD1649</f>
        <v>0</v>
      </c>
      <c r="BF1649" s="34" t="n">
        <f aca="false">BD1649*M1649</f>
        <v>4945.75</v>
      </c>
      <c r="BG1649" s="35" t="n">
        <f aca="false">BA1649-BF1649</f>
        <v>0.25</v>
      </c>
      <c r="BH1649" s="19" t="str">
        <f aca="false">IF(BG1649=0,"",IF(BG1649&lt;&gt;BA1649,"erreur de calcul",IF(BD1649&lt;&gt;0,"pas de prix",IF(M1649&lt;&gt; 0,"pas de quantité","pas de prix, ni de quantité"))))</f>
        <v>erreur de calcul</v>
      </c>
      <c r="BI1649" s="19"/>
    </row>
    <row r="1650" customFormat="false" ht="15" hidden="false" customHeight="false" outlineLevel="0" collapsed="false">
      <c r="A1650" s="0" t="n">
        <v>36</v>
      </c>
      <c r="B1650" s="8" t="s">
        <v>24</v>
      </c>
      <c r="C1650" s="9" t="s">
        <v>25</v>
      </c>
      <c r="D1650" s="9" t="s">
        <v>26</v>
      </c>
      <c r="E1650" s="10" t="n">
        <v>1789</v>
      </c>
      <c r="F1650" s="9" t="s">
        <v>27</v>
      </c>
      <c r="G1650" s="9" t="s">
        <v>27</v>
      </c>
      <c r="H1650" s="11" t="n">
        <v>24</v>
      </c>
      <c r="I1650" s="11" t="s">
        <v>326</v>
      </c>
      <c r="J1650" s="14"/>
      <c r="K1650" s="14"/>
      <c r="L1650" s="16"/>
      <c r="M1650" s="27" t="n">
        <f aca="false">J1650+(K1650/20)+(L1650/240)</f>
        <v>0</v>
      </c>
      <c r="N1650" s="17"/>
      <c r="O1650" s="11" t="s">
        <v>77</v>
      </c>
      <c r="P1650" s="28"/>
      <c r="Q1650" s="28" t="n">
        <v>84</v>
      </c>
      <c r="R1650" s="28"/>
      <c r="S1650" s="28" t="n">
        <v>80</v>
      </c>
      <c r="T1650" s="28"/>
      <c r="U1650" s="28" t="n">
        <v>115</v>
      </c>
      <c r="V1650" s="28"/>
      <c r="W1650" s="28" t="n">
        <f aca="false">V1650*$M1650</f>
        <v>0</v>
      </c>
      <c r="X1650" s="28"/>
      <c r="Y1650" s="28" t="n">
        <v>82</v>
      </c>
      <c r="Z1650" s="28"/>
      <c r="AA1650" s="28" t="n">
        <v>32</v>
      </c>
      <c r="AB1650" s="28"/>
      <c r="AC1650" s="28" t="n">
        <v>82</v>
      </c>
      <c r="AD1650" s="28"/>
      <c r="AE1650" s="28" t="n">
        <f aca="false">AD1650*$M1650</f>
        <v>0</v>
      </c>
      <c r="AF1650" s="28"/>
      <c r="AG1650" s="28" t="n">
        <v>129</v>
      </c>
      <c r="AH1650" s="28"/>
      <c r="AI1650" s="28" t="n">
        <f aca="false">AH1650*$M1650</f>
        <v>0</v>
      </c>
      <c r="AJ1650" s="28"/>
      <c r="AK1650" s="28" t="n">
        <v>79</v>
      </c>
      <c r="AL1650" s="28"/>
      <c r="AM1650" s="28" t="n">
        <v>106</v>
      </c>
      <c r="AN1650" s="28"/>
      <c r="AO1650" s="28" t="n">
        <f aca="false">AN1650*$M1650</f>
        <v>0</v>
      </c>
      <c r="AP1650" s="28"/>
      <c r="AQ1650" s="28" t="n">
        <f aca="false">AP1650*$M1650</f>
        <v>0</v>
      </c>
      <c r="AR1650" s="28"/>
      <c r="AS1650" s="28" t="n">
        <f aca="false">AR1650*$M1650</f>
        <v>0</v>
      </c>
      <c r="AT1650" s="28"/>
      <c r="AU1650" s="28" t="n">
        <f aca="false">AT1650*$M1650</f>
        <v>0</v>
      </c>
      <c r="AV1650" s="28"/>
      <c r="AW1650" s="28" t="n">
        <f aca="false">AV1650*$M1650</f>
        <v>0</v>
      </c>
      <c r="AX1650" s="28"/>
      <c r="AY1650" s="28" t="n">
        <f aca="false">AX1650*$M1650</f>
        <v>0</v>
      </c>
      <c r="AZ1650" s="30"/>
      <c r="BA1650" s="11" t="n">
        <v>789</v>
      </c>
      <c r="BB1650" s="31" t="n">
        <f aca="false">SUM(Q1650,S1650,U1650,W1650,Y1650,AA1650,AC1650,AE1650,AG1650,AI1650,AK1650,AM1650,AO1650,AQ1650,AS1650,AU1650,AW1650,AY1650)</f>
        <v>789</v>
      </c>
      <c r="BC1650" s="28" t="n">
        <f aca="false">BA1650-BB1650</f>
        <v>0</v>
      </c>
      <c r="BD1650" s="32" t="n">
        <f aca="false">SUM(P1650,R1650,T1650,V1650,X1650,Z1650,AB1650,AD1650,AF1650,AH1650,AJ1650,AL1650,AN1650,AP1650,AR1650,AT1650,AV1650,AX1650)</f>
        <v>0</v>
      </c>
      <c r="BE1650" s="33" t="n">
        <f aca="false">AZ1650-BD1650</f>
        <v>0</v>
      </c>
      <c r="BF1650" s="34" t="n">
        <f aca="false">BD1650*M1650</f>
        <v>0</v>
      </c>
      <c r="BG1650" s="35" t="n">
        <f aca="false">BA1650-BF1650</f>
        <v>789</v>
      </c>
      <c r="BH1650" s="19" t="str">
        <f aca="false">IF(BG1650=0,"",IF(BG1650&lt;&gt;BA1650,"erreur de calcul",IF(BD1650&lt;&gt;0,"pas de prix",IF(M1650&lt;&gt; 0,"pas de quantité","pas de prix, ni de quantité"))))</f>
        <v>pas de prix, ni de quantité</v>
      </c>
      <c r="BI1650" s="19"/>
    </row>
    <row r="1651" customFormat="false" ht="15" hidden="false" customHeight="false" outlineLevel="0" collapsed="false">
      <c r="A1651" s="0" t="n">
        <v>37</v>
      </c>
      <c r="B1651" s="8" t="s">
        <v>24</v>
      </c>
      <c r="C1651" s="9" t="s">
        <v>25</v>
      </c>
      <c r="D1651" s="9" t="s">
        <v>26</v>
      </c>
      <c r="E1651" s="10" t="n">
        <v>1789</v>
      </c>
      <c r="F1651" s="9" t="s">
        <v>27</v>
      </c>
      <c r="G1651" s="9" t="s">
        <v>27</v>
      </c>
      <c r="H1651" s="11" t="n">
        <v>24</v>
      </c>
      <c r="I1651" s="11" t="s">
        <v>327</v>
      </c>
      <c r="J1651" s="14"/>
      <c r="K1651" s="14" t="n">
        <v>20</v>
      </c>
      <c r="L1651" s="16"/>
      <c r="M1651" s="27" t="n">
        <f aca="false">J1651+(K1651/20)+(L1651/240)</f>
        <v>1</v>
      </c>
      <c r="N1651" s="17" t="s">
        <v>66</v>
      </c>
      <c r="O1651" s="11"/>
      <c r="P1651" s="28"/>
      <c r="Q1651" s="28" t="n">
        <f aca="false">P1651*$M1651</f>
        <v>0</v>
      </c>
      <c r="R1651" s="28"/>
      <c r="S1651" s="28" t="n">
        <f aca="false">R1651*$M1651</f>
        <v>0</v>
      </c>
      <c r="T1651" s="28"/>
      <c r="U1651" s="28" t="n">
        <f aca="false">T1651*$M1651</f>
        <v>0</v>
      </c>
      <c r="V1651" s="28" t="n">
        <v>1705</v>
      </c>
      <c r="W1651" s="28" t="n">
        <v>1705</v>
      </c>
      <c r="X1651" s="28"/>
      <c r="Y1651" s="28" t="n">
        <f aca="false">X1651*$M1651</f>
        <v>0</v>
      </c>
      <c r="Z1651" s="28"/>
      <c r="AA1651" s="28" t="n">
        <f aca="false">Z1651*$M1651</f>
        <v>0</v>
      </c>
      <c r="AB1651" s="28" t="n">
        <v>226</v>
      </c>
      <c r="AC1651" s="28" t="n">
        <v>226</v>
      </c>
      <c r="AD1651" s="28"/>
      <c r="AE1651" s="28" t="n">
        <f aca="false">AD1651*$M1651</f>
        <v>0</v>
      </c>
      <c r="AF1651" s="28"/>
      <c r="AG1651" s="28" t="n">
        <f aca="false">AF1651*$M1651</f>
        <v>0</v>
      </c>
      <c r="AH1651" s="28"/>
      <c r="AI1651" s="28" t="n">
        <f aca="false">AH1651*$M1651</f>
        <v>0</v>
      </c>
      <c r="AJ1651" s="28"/>
      <c r="AK1651" s="28" t="n">
        <f aca="false">AJ1651*$M1651</f>
        <v>0</v>
      </c>
      <c r="AL1651" s="28"/>
      <c r="AM1651" s="28" t="n">
        <f aca="false">AL1651*$M1651</f>
        <v>0</v>
      </c>
      <c r="AN1651" s="28"/>
      <c r="AO1651" s="28" t="n">
        <f aca="false">AN1651*$M1651</f>
        <v>0</v>
      </c>
      <c r="AP1651" s="28"/>
      <c r="AQ1651" s="28" t="n">
        <f aca="false">AP1651*$M1651</f>
        <v>0</v>
      </c>
      <c r="AR1651" s="28"/>
      <c r="AS1651" s="28" t="n">
        <f aca="false">AR1651*$M1651</f>
        <v>0</v>
      </c>
      <c r="AT1651" s="28"/>
      <c r="AU1651" s="28" t="n">
        <f aca="false">AT1651*$M1651</f>
        <v>0</v>
      </c>
      <c r="AV1651" s="28"/>
      <c r="AW1651" s="28" t="n">
        <f aca="false">AV1651*$M1651</f>
        <v>0</v>
      </c>
      <c r="AX1651" s="28"/>
      <c r="AY1651" s="28" t="n">
        <f aca="false">AX1651*$M1651</f>
        <v>0</v>
      </c>
      <c r="AZ1651" s="30" t="n">
        <v>1931</v>
      </c>
      <c r="BA1651" s="11" t="n">
        <v>1931</v>
      </c>
      <c r="BB1651" s="31" t="n">
        <f aca="false">SUM(Q1651,S1651,U1651,W1651,Y1651,AA1651,AC1651,AE1651,AG1651,AI1651,AK1651,AM1651,AO1651,AQ1651,AS1651,AU1651,AW1651,AY1651)</f>
        <v>1931</v>
      </c>
      <c r="BC1651" s="28" t="n">
        <f aca="false">BA1651-BB1651</f>
        <v>0</v>
      </c>
      <c r="BD1651" s="32" t="n">
        <f aca="false">SUM(P1651,R1651,T1651,V1651,X1651,Z1651,AB1651,AD1651,AF1651,AH1651,AJ1651,AL1651,AN1651,AP1651,AR1651,AT1651,AV1651,AX1651)</f>
        <v>1931</v>
      </c>
      <c r="BE1651" s="33" t="n">
        <f aca="false">AZ1651-BD1651</f>
        <v>0</v>
      </c>
      <c r="BF1651" s="34" t="n">
        <f aca="false">BD1651*M1651</f>
        <v>1931</v>
      </c>
      <c r="BG1651" s="35" t="n">
        <f aca="false">BA1651-BF1651</f>
        <v>0</v>
      </c>
      <c r="BH1651" s="19" t="str">
        <f aca="false">IF(BG1651=0,"",IF(BG1651&lt;&gt;BA1651,"erreur de calcul",IF(BD1651&lt;&gt;0,"pas de prix",IF(M1651&lt;&gt; 0,"pas de quantité","pas de prix, ni de quantité"))))</f>
        <v/>
      </c>
      <c r="BI1651" s="19"/>
    </row>
    <row r="1652" customFormat="false" ht="15" hidden="false" customHeight="false" outlineLevel="0" collapsed="false">
      <c r="A1652" s="0" t="n">
        <v>38</v>
      </c>
      <c r="B1652" s="8" t="s">
        <v>24</v>
      </c>
      <c r="C1652" s="9" t="s">
        <v>25</v>
      </c>
      <c r="D1652" s="9" t="s">
        <v>26</v>
      </c>
      <c r="E1652" s="10" t="n">
        <v>1789</v>
      </c>
      <c r="F1652" s="9" t="s">
        <v>27</v>
      </c>
      <c r="G1652" s="9" t="s">
        <v>27</v>
      </c>
      <c r="H1652" s="11" t="n">
        <v>24</v>
      </c>
      <c r="I1652" s="11" t="s">
        <v>328</v>
      </c>
      <c r="J1652" s="14" t="n">
        <v>208</v>
      </c>
      <c r="K1652" s="14"/>
      <c r="L1652" s="16"/>
      <c r="M1652" s="27" t="n">
        <f aca="false">J1652+(K1652/20)+(L1652/240)</f>
        <v>208</v>
      </c>
      <c r="N1652" s="17" t="s">
        <v>64</v>
      </c>
      <c r="O1652" s="11" t="s">
        <v>277</v>
      </c>
      <c r="P1652" s="28"/>
      <c r="Q1652" s="28" t="n">
        <f aca="false">P1652*$M1652</f>
        <v>0</v>
      </c>
      <c r="R1652" s="28"/>
      <c r="S1652" s="28" t="n">
        <f aca="false">R1652*$M1652</f>
        <v>0</v>
      </c>
      <c r="T1652" s="28" t="n">
        <f aca="false">536/100</f>
        <v>5.36</v>
      </c>
      <c r="U1652" s="28" t="n">
        <v>1115</v>
      </c>
      <c r="V1652" s="28" t="n">
        <f aca="false">1983/100</f>
        <v>19.83</v>
      </c>
      <c r="W1652" s="28" t="n">
        <v>4125</v>
      </c>
      <c r="X1652" s="28" t="n">
        <f aca="false">37641/100</f>
        <v>376.41</v>
      </c>
      <c r="Y1652" s="28" t="n">
        <v>78293</v>
      </c>
      <c r="Z1652" s="28" t="n">
        <f aca="false">1281/100</f>
        <v>12.81</v>
      </c>
      <c r="AA1652" s="28" t="n">
        <v>2664</v>
      </c>
      <c r="AB1652" s="28"/>
      <c r="AC1652" s="28" t="n">
        <f aca="false">AB1652*$M1652</f>
        <v>0</v>
      </c>
      <c r="AD1652" s="28"/>
      <c r="AE1652" s="28" t="n">
        <f aca="false">AD1652*$M1652</f>
        <v>0</v>
      </c>
      <c r="AF1652" s="28"/>
      <c r="AG1652" s="28" t="n">
        <f aca="false">AF1652*$M1652</f>
        <v>0</v>
      </c>
      <c r="AH1652" s="28"/>
      <c r="AI1652" s="28" t="n">
        <f aca="false">AH1652*$M1652</f>
        <v>0</v>
      </c>
      <c r="AJ1652" s="28" t="n">
        <f aca="false">20789/100</f>
        <v>207.89</v>
      </c>
      <c r="AK1652" s="28" t="n">
        <v>43241</v>
      </c>
      <c r="AL1652" s="28" t="n">
        <f aca="false">2470/100</f>
        <v>24.7</v>
      </c>
      <c r="AM1652" s="28" t="n">
        <v>5138</v>
      </c>
      <c r="AN1652" s="28"/>
      <c r="AO1652" s="28" t="n">
        <f aca="false">AN1652*$M1652</f>
        <v>0</v>
      </c>
      <c r="AP1652" s="28"/>
      <c r="AQ1652" s="28" t="n">
        <f aca="false">AP1652*$M1652</f>
        <v>0</v>
      </c>
      <c r="AR1652" s="28"/>
      <c r="AS1652" s="28" t="n">
        <f aca="false">AR1652*$M1652</f>
        <v>0</v>
      </c>
      <c r="AT1652" s="28"/>
      <c r="AU1652" s="28" t="n">
        <f aca="false">AT1652*$M1652</f>
        <v>0</v>
      </c>
      <c r="AV1652" s="28"/>
      <c r="AW1652" s="28" t="n">
        <f aca="false">AV1652*$M1652</f>
        <v>0</v>
      </c>
      <c r="AX1652" s="28"/>
      <c r="AY1652" s="28" t="n">
        <f aca="false">AX1652*$M1652</f>
        <v>0</v>
      </c>
      <c r="AZ1652" s="30" t="n">
        <f aca="false">64700/100</f>
        <v>647</v>
      </c>
      <c r="BA1652" s="11" t="n">
        <v>134576</v>
      </c>
      <c r="BB1652" s="31" t="n">
        <f aca="false">SUM(Q1652,S1652,U1652,W1652,Y1652,AA1652,AC1652,AE1652,AG1652,AI1652,AK1652,AM1652,AO1652,AQ1652,AS1652,AU1652,AW1652,AY1652)</f>
        <v>134576</v>
      </c>
      <c r="BC1652" s="28" t="n">
        <f aca="false">BA1652-BB1652</f>
        <v>0</v>
      </c>
      <c r="BD1652" s="32" t="n">
        <f aca="false">SUM(P1652,R1652,T1652,V1652,X1652,Z1652,AB1652,AD1652,AF1652,AH1652,AJ1652,AL1652,AN1652,AP1652,AR1652,AT1652,AV1652,AX1652)</f>
        <v>647</v>
      </c>
      <c r="BE1652" s="33" t="n">
        <f aca="false">AZ1652-BD1652</f>
        <v>0</v>
      </c>
      <c r="BF1652" s="34" t="n">
        <f aca="false">BD1652*M1652</f>
        <v>134576</v>
      </c>
      <c r="BG1652" s="35" t="n">
        <f aca="false">BA1652-BF1652</f>
        <v>0</v>
      </c>
      <c r="BH1652" s="19" t="str">
        <f aca="false">IF(BG1652=0,"",IF(BG1652&lt;&gt;BA1652,"erreur de calcul",IF(BD1652&lt;&gt;0,"pas de prix",IF(M1652&lt;&gt; 0,"pas de quantité","pas de prix, ni de quantité"))))</f>
        <v/>
      </c>
      <c r="BI1652" s="19"/>
    </row>
    <row r="1653" customFormat="false" ht="15" hidden="false" customHeight="false" outlineLevel="0" collapsed="false">
      <c r="A1653" s="0" t="n">
        <v>1</v>
      </c>
      <c r="B1653" s="8" t="s">
        <v>24</v>
      </c>
      <c r="C1653" s="9" t="s">
        <v>25</v>
      </c>
      <c r="D1653" s="9" t="s">
        <v>26</v>
      </c>
      <c r="E1653" s="10" t="n">
        <v>1789</v>
      </c>
      <c r="F1653" s="9" t="s">
        <v>27</v>
      </c>
      <c r="G1653" s="9" t="s">
        <v>27</v>
      </c>
      <c r="H1653" s="11" t="n">
        <v>25</v>
      </c>
      <c r="I1653" s="11" t="s">
        <v>329</v>
      </c>
      <c r="J1653" s="14" t="n">
        <v>30</v>
      </c>
      <c r="K1653" s="14"/>
      <c r="L1653" s="16"/>
      <c r="M1653" s="27" t="n">
        <f aca="false">J1653+(K1653/20)+(L1653/240)</f>
        <v>30</v>
      </c>
      <c r="N1653" s="17" t="s">
        <v>64</v>
      </c>
      <c r="O1653" s="11"/>
      <c r="P1653" s="28" t="n">
        <f aca="false">888/100</f>
        <v>8.88</v>
      </c>
      <c r="Q1653" s="28" t="n">
        <v>266</v>
      </c>
      <c r="R1653" s="28"/>
      <c r="S1653" s="28" t="n">
        <f aca="false">R1653*$M1653</f>
        <v>0</v>
      </c>
      <c r="T1653" s="28" t="n">
        <f aca="false">1151/100</f>
        <v>11.51</v>
      </c>
      <c r="U1653" s="28" t="n">
        <v>345</v>
      </c>
      <c r="V1653" s="28"/>
      <c r="W1653" s="28" t="n">
        <f aca="false">V1653*$M1653</f>
        <v>0</v>
      </c>
      <c r="X1653" s="28"/>
      <c r="Y1653" s="28" t="n">
        <f aca="false">X1653*$M1653</f>
        <v>0</v>
      </c>
      <c r="Z1653" s="28"/>
      <c r="AA1653" s="28" t="n">
        <f aca="false">Z1653*$M1653</f>
        <v>0</v>
      </c>
      <c r="AB1653" s="28"/>
      <c r="AC1653" s="28" t="n">
        <f aca="false">AB1653*$M1653</f>
        <v>0</v>
      </c>
      <c r="AD1653" s="28"/>
      <c r="AE1653" s="28" t="n">
        <f aca="false">AD1653*$M1653</f>
        <v>0</v>
      </c>
      <c r="AF1653" s="28"/>
      <c r="AG1653" s="28" t="n">
        <f aca="false">AF1653*$M1653</f>
        <v>0</v>
      </c>
      <c r="AH1653" s="28"/>
      <c r="AI1653" s="28" t="n">
        <f aca="false">AH1653*$M1653</f>
        <v>0</v>
      </c>
      <c r="AJ1653" s="28"/>
      <c r="AK1653" s="28" t="n">
        <f aca="false">AJ1653*$M1653</f>
        <v>0</v>
      </c>
      <c r="AL1653" s="28"/>
      <c r="AM1653" s="28" t="n">
        <f aca="false">AL1653*$M1653</f>
        <v>0</v>
      </c>
      <c r="AN1653" s="28"/>
      <c r="AO1653" s="28" t="n">
        <f aca="false">AN1653*$M1653</f>
        <v>0</v>
      </c>
      <c r="AP1653" s="28"/>
      <c r="AQ1653" s="28" t="n">
        <f aca="false">AP1653*$M1653</f>
        <v>0</v>
      </c>
      <c r="AR1653" s="28"/>
      <c r="AS1653" s="28" t="n">
        <f aca="false">AR1653*$M1653</f>
        <v>0</v>
      </c>
      <c r="AT1653" s="28"/>
      <c r="AU1653" s="28" t="n">
        <f aca="false">AT1653*$M1653</f>
        <v>0</v>
      </c>
      <c r="AV1653" s="28"/>
      <c r="AW1653" s="28" t="n">
        <f aca="false">AV1653*$M1653</f>
        <v>0</v>
      </c>
      <c r="AX1653" s="28"/>
      <c r="AY1653" s="28" t="n">
        <f aca="false">AX1653*$M1653</f>
        <v>0</v>
      </c>
      <c r="AZ1653" s="30" t="n">
        <f aca="false">2039/100</f>
        <v>20.39</v>
      </c>
      <c r="BA1653" s="11" t="n">
        <v>611</v>
      </c>
      <c r="BB1653" s="31" t="n">
        <f aca="false">SUM(Q1653,S1653,U1653,W1653,Y1653,AA1653,AC1653,AE1653,AG1653,AI1653,AK1653,AM1653,AO1653,AQ1653,AS1653,AU1653,AW1653,AY1653)</f>
        <v>611</v>
      </c>
      <c r="BC1653" s="28" t="n">
        <f aca="false">BA1653-BB1653</f>
        <v>0</v>
      </c>
      <c r="BD1653" s="32" t="n">
        <f aca="false">SUM(P1653,R1653,T1653,V1653,X1653,Z1653,AB1653,AD1653,AF1653,AH1653,AJ1653,AL1653,AN1653,AP1653,AR1653,AT1653,AV1653,AX1653)</f>
        <v>20.39</v>
      </c>
      <c r="BE1653" s="33" t="n">
        <f aca="false">AZ1653-BD1653</f>
        <v>0</v>
      </c>
      <c r="BF1653" s="34" t="n">
        <f aca="false">BD1653*M1653</f>
        <v>611.7</v>
      </c>
      <c r="BG1653" s="35" t="n">
        <f aca="false">BA1653-BF1653</f>
        <v>-0.700000000000046</v>
      </c>
      <c r="BH1653" s="19" t="str">
        <f aca="false">IF(BG1653=0,"",IF(BG1653&lt;&gt;BA1653,"erreur de calcul",IF(BD1653&lt;&gt;0,"pas de prix",IF(M1653&lt;&gt; 0,"pas de quantité","pas de prix, ni de quantité"))))</f>
        <v>erreur de calcul</v>
      </c>
      <c r="BI1653" s="19"/>
    </row>
    <row r="1654" customFormat="false" ht="15" hidden="false" customHeight="false" outlineLevel="0" collapsed="false">
      <c r="A1654" s="0" t="n">
        <v>2</v>
      </c>
      <c r="B1654" s="8" t="s">
        <v>24</v>
      </c>
      <c r="C1654" s="9" t="s">
        <v>25</v>
      </c>
      <c r="D1654" s="9" t="s">
        <v>26</v>
      </c>
      <c r="E1654" s="10" t="n">
        <v>1789</v>
      </c>
      <c r="F1654" s="9" t="s">
        <v>27</v>
      </c>
      <c r="G1654" s="9" t="s">
        <v>27</v>
      </c>
      <c r="H1654" s="11" t="n">
        <v>25</v>
      </c>
      <c r="I1654" s="11" t="s">
        <v>330</v>
      </c>
      <c r="J1654" s="14"/>
      <c r="K1654" s="14" t="n">
        <v>20</v>
      </c>
      <c r="L1654" s="16"/>
      <c r="M1654" s="27" t="n">
        <f aca="false">J1654+(K1654/20)+(L1654/240)</f>
        <v>1</v>
      </c>
      <c r="N1654" s="17" t="s">
        <v>66</v>
      </c>
      <c r="O1654" s="11"/>
      <c r="P1654" s="28"/>
      <c r="Q1654" s="28" t="n">
        <f aca="false">P1654*$M1654</f>
        <v>0</v>
      </c>
      <c r="R1654" s="28"/>
      <c r="S1654" s="28" t="n">
        <f aca="false">R1654*$M1654</f>
        <v>0</v>
      </c>
      <c r="T1654" s="28"/>
      <c r="U1654" s="28" t="n">
        <f aca="false">T1654*$M1654</f>
        <v>0</v>
      </c>
      <c r="V1654" s="28"/>
      <c r="W1654" s="28" t="n">
        <f aca="false">V1654*$M1654</f>
        <v>0</v>
      </c>
      <c r="X1654" s="28"/>
      <c r="Y1654" s="28" t="n">
        <f aca="false">X1654*$M1654</f>
        <v>0</v>
      </c>
      <c r="Z1654" s="28"/>
      <c r="AA1654" s="28" t="n">
        <f aca="false">Z1654*$M1654</f>
        <v>0</v>
      </c>
      <c r="AB1654" s="28"/>
      <c r="AC1654" s="28" t="n">
        <f aca="false">AB1654*$M1654</f>
        <v>0</v>
      </c>
      <c r="AD1654" s="28"/>
      <c r="AE1654" s="28" t="n">
        <f aca="false">AD1654*$M1654</f>
        <v>0</v>
      </c>
      <c r="AF1654" s="28"/>
      <c r="AG1654" s="28" t="n">
        <f aca="false">AF1654*$M1654</f>
        <v>0</v>
      </c>
      <c r="AH1654" s="28"/>
      <c r="AI1654" s="28" t="n">
        <f aca="false">AH1654*$M1654</f>
        <v>0</v>
      </c>
      <c r="AJ1654" s="28" t="n">
        <v>4241</v>
      </c>
      <c r="AK1654" s="28" t="n">
        <v>4241</v>
      </c>
      <c r="AL1654" s="28"/>
      <c r="AM1654" s="28" t="n">
        <f aca="false">AL1654*$M1654</f>
        <v>0</v>
      </c>
      <c r="AN1654" s="28"/>
      <c r="AO1654" s="28" t="n">
        <f aca="false">AN1654*$M1654</f>
        <v>0</v>
      </c>
      <c r="AP1654" s="28"/>
      <c r="AQ1654" s="28" t="n">
        <f aca="false">AP1654*$M1654</f>
        <v>0</v>
      </c>
      <c r="AR1654" s="28"/>
      <c r="AS1654" s="28" t="n">
        <f aca="false">AR1654*$M1654</f>
        <v>0</v>
      </c>
      <c r="AT1654" s="28"/>
      <c r="AU1654" s="28" t="n">
        <f aca="false">AT1654*$M1654</f>
        <v>0</v>
      </c>
      <c r="AV1654" s="28"/>
      <c r="AW1654" s="28" t="n">
        <f aca="false">AV1654*$M1654</f>
        <v>0</v>
      </c>
      <c r="AX1654" s="28"/>
      <c r="AY1654" s="28" t="n">
        <f aca="false">AX1654*$M1654</f>
        <v>0</v>
      </c>
      <c r="AZ1654" s="30" t="n">
        <v>4241</v>
      </c>
      <c r="BA1654" s="11" t="n">
        <v>4241</v>
      </c>
      <c r="BB1654" s="31" t="n">
        <f aca="false">SUM(Q1654,S1654,U1654,W1654,Y1654,AA1654,AC1654,AE1654,AG1654,AI1654,AK1654,AM1654,AO1654,AQ1654,AS1654,AU1654,AW1654,AY1654)</f>
        <v>4241</v>
      </c>
      <c r="BC1654" s="28" t="n">
        <f aca="false">BA1654-BB1654</f>
        <v>0</v>
      </c>
      <c r="BD1654" s="32" t="n">
        <f aca="false">SUM(P1654,R1654,T1654,V1654,X1654,Z1654,AB1654,AD1654,AF1654,AH1654,AJ1654,AL1654,AN1654,AP1654,AR1654,AT1654,AV1654,AX1654)</f>
        <v>4241</v>
      </c>
      <c r="BE1654" s="33" t="n">
        <f aca="false">AZ1654-BD1654</f>
        <v>0</v>
      </c>
      <c r="BF1654" s="34" t="n">
        <f aca="false">BD1654*M1654</f>
        <v>4241</v>
      </c>
      <c r="BG1654" s="35" t="n">
        <f aca="false">BA1654-BF1654</f>
        <v>0</v>
      </c>
      <c r="BH1654" s="19" t="str">
        <f aca="false">IF(BG1654=0,"",IF(BG1654&lt;&gt;BA1654,"erreur de calcul",IF(BD1654&lt;&gt;0,"pas de prix",IF(M1654&lt;&gt; 0,"pas de quantité","pas de prix, ni de quantité"))))</f>
        <v/>
      </c>
      <c r="BI1654" s="19"/>
    </row>
    <row r="1655" customFormat="false" ht="15" hidden="false" customHeight="false" outlineLevel="0" collapsed="false">
      <c r="A1655" s="0" t="n">
        <v>3</v>
      </c>
      <c r="B1655" s="8" t="s">
        <v>24</v>
      </c>
      <c r="C1655" s="9" t="s">
        <v>25</v>
      </c>
      <c r="D1655" s="9" t="s">
        <v>26</v>
      </c>
      <c r="E1655" s="10" t="n">
        <v>1789</v>
      </c>
      <c r="F1655" s="9" t="s">
        <v>27</v>
      </c>
      <c r="G1655" s="9" t="s">
        <v>27</v>
      </c>
      <c r="H1655" s="11" t="n">
        <v>25</v>
      </c>
      <c r="I1655" s="11" t="s">
        <v>331</v>
      </c>
      <c r="J1655" s="14" t="n">
        <v>18</v>
      </c>
      <c r="K1655" s="14"/>
      <c r="L1655" s="16"/>
      <c r="M1655" s="27" t="n">
        <f aca="false">J1655+(K1655/20)+(L1655/240)</f>
        <v>18</v>
      </c>
      <c r="N1655" s="17" t="s">
        <v>66</v>
      </c>
      <c r="O1655" s="11" t="s">
        <v>98</v>
      </c>
      <c r="P1655" s="28"/>
      <c r="Q1655" s="28" t="n">
        <f aca="false">P1655*$M1655</f>
        <v>0</v>
      </c>
      <c r="R1655" s="28"/>
      <c r="S1655" s="28" t="n">
        <f aca="false">R1655*$M1655</f>
        <v>0</v>
      </c>
      <c r="T1655" s="28"/>
      <c r="U1655" s="28" t="n">
        <f aca="false">T1655*$M1655</f>
        <v>0</v>
      </c>
      <c r="V1655" s="28"/>
      <c r="W1655" s="28" t="n">
        <f aca="false">V1655*$M1655</f>
        <v>0</v>
      </c>
      <c r="X1655" s="28"/>
      <c r="Y1655" s="28" t="n">
        <f aca="false">X1655*$M1655</f>
        <v>0</v>
      </c>
      <c r="Z1655" s="28"/>
      <c r="AA1655" s="28" t="n">
        <f aca="false">Z1655*$M1655</f>
        <v>0</v>
      </c>
      <c r="AB1655" s="28"/>
      <c r="AC1655" s="28" t="n">
        <f aca="false">AB1655*$M1655</f>
        <v>0</v>
      </c>
      <c r="AD1655" s="28"/>
      <c r="AE1655" s="28" t="n">
        <f aca="false">AD1655*$M1655</f>
        <v>0</v>
      </c>
      <c r="AF1655" s="28"/>
      <c r="AG1655" s="28" t="n">
        <f aca="false">AF1655*$M1655</f>
        <v>0</v>
      </c>
      <c r="AH1655" s="28"/>
      <c r="AI1655" s="28" t="n">
        <f aca="false">AH1655*$M1655</f>
        <v>0</v>
      </c>
      <c r="AJ1655" s="28"/>
      <c r="AK1655" s="28" t="n">
        <f aca="false">AJ1655*$M1655</f>
        <v>0</v>
      </c>
      <c r="AL1655" s="28"/>
      <c r="AM1655" s="28" t="n">
        <f aca="false">AL1655*$M1655</f>
        <v>0</v>
      </c>
      <c r="AN1655" s="28"/>
      <c r="AO1655" s="28" t="n">
        <f aca="false">AN1655*$M1655</f>
        <v>0</v>
      </c>
      <c r="AP1655" s="28"/>
      <c r="AQ1655" s="28" t="n">
        <f aca="false">AP1655*$M1655</f>
        <v>0</v>
      </c>
      <c r="AR1655" s="28"/>
      <c r="AS1655" s="28" t="n">
        <f aca="false">AR1655*$M1655</f>
        <v>0</v>
      </c>
      <c r="AT1655" s="28"/>
      <c r="AU1655" s="28" t="n">
        <f aca="false">AT1655*$M1655</f>
        <v>0</v>
      </c>
      <c r="AV1655" s="28"/>
      <c r="AW1655" s="28" t="n">
        <f aca="false">AV1655*$M1655</f>
        <v>0</v>
      </c>
      <c r="AX1655" s="28"/>
      <c r="AY1655" s="28" t="n">
        <f aca="false">AX1655*$M1655</f>
        <v>0</v>
      </c>
      <c r="AZ1655" s="30"/>
      <c r="BA1655" s="11"/>
      <c r="BB1655" s="31" t="n">
        <f aca="false">SUM(Q1655,S1655,U1655,W1655,Y1655,AA1655,AC1655,AE1655,AG1655,AI1655,AK1655,AM1655,AO1655,AQ1655,AS1655,AU1655,AW1655,AY1655)</f>
        <v>0</v>
      </c>
      <c r="BC1655" s="28" t="n">
        <f aca="false">BA1655-BB1655</f>
        <v>0</v>
      </c>
      <c r="BD1655" s="32" t="n">
        <f aca="false">SUM(P1655,R1655,T1655,V1655,X1655,Z1655,AB1655,AD1655,AF1655,AH1655,AJ1655,AL1655,AN1655,AP1655,AR1655,AT1655,AV1655,AX1655)</f>
        <v>0</v>
      </c>
      <c r="BE1655" s="33" t="n">
        <f aca="false">AZ1655-BD1655</f>
        <v>0</v>
      </c>
      <c r="BF1655" s="34" t="n">
        <f aca="false">BD1655*M1655</f>
        <v>0</v>
      </c>
      <c r="BG1655" s="35" t="n">
        <f aca="false">BA1655-BF1655</f>
        <v>0</v>
      </c>
      <c r="BH1655" s="19" t="str">
        <f aca="false">IF(BG1655=0,"",IF(BG1655&lt;&gt;BA1655,"erreur de calcul",IF(BD1655&lt;&gt;0,"pas de prix",IF(M1655&lt;&gt; 0,"pas de quantité","pas de prix, ni de quantité"))))</f>
        <v/>
      </c>
      <c r="BI1655" s="19"/>
    </row>
    <row r="1656" customFormat="false" ht="15" hidden="false" customHeight="false" outlineLevel="0" collapsed="false">
      <c r="A1656" s="0" t="n">
        <v>4</v>
      </c>
      <c r="B1656" s="8" t="s">
        <v>24</v>
      </c>
      <c r="C1656" s="9" t="s">
        <v>25</v>
      </c>
      <c r="D1656" s="9" t="s">
        <v>26</v>
      </c>
      <c r="E1656" s="10" t="n">
        <v>1789</v>
      </c>
      <c r="F1656" s="9" t="s">
        <v>27</v>
      </c>
      <c r="G1656" s="9" t="s">
        <v>27</v>
      </c>
      <c r="H1656" s="11" t="n">
        <v>25</v>
      </c>
      <c r="I1656" s="11" t="s">
        <v>332</v>
      </c>
      <c r="J1656" s="14" t="n">
        <v>18</v>
      </c>
      <c r="K1656" s="14"/>
      <c r="L1656" s="16"/>
      <c r="M1656" s="27" t="n">
        <f aca="false">J1656+(K1656/20)+(L1656/240)</f>
        <v>18</v>
      </c>
      <c r="N1656" s="17" t="s">
        <v>66</v>
      </c>
      <c r="O1656" s="11" t="s">
        <v>98</v>
      </c>
      <c r="P1656" s="28"/>
      <c r="Q1656" s="28" t="n">
        <f aca="false">P1656*$M1656</f>
        <v>0</v>
      </c>
      <c r="R1656" s="28"/>
      <c r="S1656" s="28" t="n">
        <f aca="false">R1656*$M1656</f>
        <v>0</v>
      </c>
      <c r="T1656" s="28"/>
      <c r="U1656" s="28" t="n">
        <f aca="false">T1656*$M1656</f>
        <v>0</v>
      </c>
      <c r="V1656" s="28"/>
      <c r="W1656" s="28" t="n">
        <f aca="false">V1656*$M1656</f>
        <v>0</v>
      </c>
      <c r="X1656" s="28"/>
      <c r="Y1656" s="28" t="n">
        <f aca="false">X1656*$M1656</f>
        <v>0</v>
      </c>
      <c r="Z1656" s="28"/>
      <c r="AA1656" s="28" t="n">
        <f aca="false">Z1656*$M1656</f>
        <v>0</v>
      </c>
      <c r="AB1656" s="28"/>
      <c r="AC1656" s="28" t="n">
        <f aca="false">AB1656*$M1656</f>
        <v>0</v>
      </c>
      <c r="AD1656" s="28"/>
      <c r="AE1656" s="28" t="n">
        <f aca="false">AD1656*$M1656</f>
        <v>0</v>
      </c>
      <c r="AF1656" s="28"/>
      <c r="AG1656" s="28" t="n">
        <f aca="false">AF1656*$M1656</f>
        <v>0</v>
      </c>
      <c r="AH1656" s="28"/>
      <c r="AI1656" s="28" t="n">
        <f aca="false">AH1656*$M1656</f>
        <v>0</v>
      </c>
      <c r="AJ1656" s="28"/>
      <c r="AK1656" s="28" t="n">
        <f aca="false">AJ1656*$M1656</f>
        <v>0</v>
      </c>
      <c r="AL1656" s="28"/>
      <c r="AM1656" s="28" t="n">
        <f aca="false">AL1656*$M1656</f>
        <v>0</v>
      </c>
      <c r="AN1656" s="28"/>
      <c r="AO1656" s="28" t="n">
        <f aca="false">AN1656*$M1656</f>
        <v>0</v>
      </c>
      <c r="AP1656" s="28"/>
      <c r="AQ1656" s="28" t="n">
        <f aca="false">AP1656*$M1656</f>
        <v>0</v>
      </c>
      <c r="AR1656" s="28"/>
      <c r="AS1656" s="28" t="n">
        <f aca="false">AR1656*$M1656</f>
        <v>0</v>
      </c>
      <c r="AT1656" s="28"/>
      <c r="AU1656" s="28" t="n">
        <f aca="false">AT1656*$M1656</f>
        <v>0</v>
      </c>
      <c r="AV1656" s="28"/>
      <c r="AW1656" s="28" t="n">
        <f aca="false">AV1656*$M1656</f>
        <v>0</v>
      </c>
      <c r="AX1656" s="28"/>
      <c r="AY1656" s="28" t="n">
        <f aca="false">AX1656*$M1656</f>
        <v>0</v>
      </c>
      <c r="AZ1656" s="30"/>
      <c r="BA1656" s="11"/>
      <c r="BB1656" s="31" t="n">
        <f aca="false">SUM(Q1656,S1656,U1656,W1656,Y1656,AA1656,AC1656,AE1656,AG1656,AI1656,AK1656,AM1656,AO1656,AQ1656,AS1656,AU1656,AW1656,AY1656)</f>
        <v>0</v>
      </c>
      <c r="BC1656" s="28" t="n">
        <f aca="false">BA1656-BB1656</f>
        <v>0</v>
      </c>
      <c r="BD1656" s="32" t="n">
        <f aca="false">SUM(P1656,R1656,T1656,V1656,X1656,Z1656,AB1656,AD1656,AF1656,AH1656,AJ1656,AL1656,AN1656,AP1656,AR1656,AT1656,AV1656,AX1656)</f>
        <v>0</v>
      </c>
      <c r="BE1656" s="33" t="n">
        <f aca="false">AZ1656-BD1656</f>
        <v>0</v>
      </c>
      <c r="BF1656" s="34" t="n">
        <f aca="false">BD1656*M1656</f>
        <v>0</v>
      </c>
      <c r="BG1656" s="35" t="n">
        <f aca="false">BA1656-BF1656</f>
        <v>0</v>
      </c>
      <c r="BH1656" s="19" t="str">
        <f aca="false">IF(BG1656=0,"",IF(BG1656&lt;&gt;BA1656,"erreur de calcul",IF(BD1656&lt;&gt;0,"pas de prix",IF(M1656&lt;&gt; 0,"pas de quantité","pas de prix, ni de quantité"))))</f>
        <v/>
      </c>
      <c r="BI1656" s="19"/>
    </row>
    <row r="1657" customFormat="false" ht="15" hidden="false" customHeight="false" outlineLevel="0" collapsed="false">
      <c r="A1657" s="0" t="n">
        <v>5</v>
      </c>
      <c r="B1657" s="8" t="s">
        <v>24</v>
      </c>
      <c r="C1657" s="9" t="s">
        <v>25</v>
      </c>
      <c r="D1657" s="9" t="s">
        <v>26</v>
      </c>
      <c r="E1657" s="10" t="n">
        <v>1789</v>
      </c>
      <c r="F1657" s="9" t="s">
        <v>27</v>
      </c>
      <c r="G1657" s="9" t="s">
        <v>27</v>
      </c>
      <c r="H1657" s="11" t="n">
        <v>25</v>
      </c>
      <c r="I1657" s="11" t="s">
        <v>333</v>
      </c>
      <c r="J1657" s="14" t="n">
        <v>44</v>
      </c>
      <c r="K1657" s="14"/>
      <c r="L1657" s="16"/>
      <c r="M1657" s="27" t="n">
        <f aca="false">J1657+(K1657/20)+(L1657/240)</f>
        <v>44</v>
      </c>
      <c r="N1657" s="17" t="s">
        <v>66</v>
      </c>
      <c r="O1657" s="11"/>
      <c r="P1657" s="28" t="n">
        <v>1391</v>
      </c>
      <c r="Q1657" s="28" t="n">
        <v>61204</v>
      </c>
      <c r="R1657" s="28"/>
      <c r="S1657" s="28" t="n">
        <f aca="false">R1657*$M1657</f>
        <v>0</v>
      </c>
      <c r="T1657" s="28"/>
      <c r="U1657" s="28" t="n">
        <f aca="false">T1657*$M1657</f>
        <v>0</v>
      </c>
      <c r="V1657" s="28"/>
      <c r="W1657" s="28" t="n">
        <f aca="false">V1657*$M1657</f>
        <v>0</v>
      </c>
      <c r="X1657" s="28"/>
      <c r="Y1657" s="28" t="n">
        <f aca="false">X1657*$M1657</f>
        <v>0</v>
      </c>
      <c r="Z1657" s="28"/>
      <c r="AA1657" s="28" t="n">
        <f aca="false">Z1657*$M1657</f>
        <v>0</v>
      </c>
      <c r="AB1657" s="28"/>
      <c r="AC1657" s="28" t="n">
        <f aca="false">AB1657*$M1657</f>
        <v>0</v>
      </c>
      <c r="AD1657" s="28"/>
      <c r="AE1657" s="28" t="n">
        <f aca="false">AD1657*$M1657</f>
        <v>0</v>
      </c>
      <c r="AF1657" s="28"/>
      <c r="AG1657" s="28" t="n">
        <f aca="false">AF1657*$M1657</f>
        <v>0</v>
      </c>
      <c r="AH1657" s="28"/>
      <c r="AI1657" s="28" t="n">
        <f aca="false">AH1657*$M1657</f>
        <v>0</v>
      </c>
      <c r="AJ1657" s="28"/>
      <c r="AK1657" s="28" t="n">
        <f aca="false">AJ1657*$M1657</f>
        <v>0</v>
      </c>
      <c r="AL1657" s="28"/>
      <c r="AM1657" s="28" t="n">
        <f aca="false">AL1657*$M1657</f>
        <v>0</v>
      </c>
      <c r="AN1657" s="28"/>
      <c r="AO1657" s="28" t="n">
        <f aca="false">AN1657*$M1657</f>
        <v>0</v>
      </c>
      <c r="AP1657" s="28"/>
      <c r="AQ1657" s="28" t="n">
        <f aca="false">AP1657*$M1657</f>
        <v>0</v>
      </c>
      <c r="AR1657" s="28"/>
      <c r="AS1657" s="28" t="n">
        <f aca="false">AR1657*$M1657</f>
        <v>0</v>
      </c>
      <c r="AT1657" s="28"/>
      <c r="AU1657" s="28" t="n">
        <f aca="false">AT1657*$M1657</f>
        <v>0</v>
      </c>
      <c r="AV1657" s="28"/>
      <c r="AW1657" s="28" t="n">
        <f aca="false">AV1657*$M1657</f>
        <v>0</v>
      </c>
      <c r="AX1657" s="28"/>
      <c r="AY1657" s="28" t="n">
        <f aca="false">AX1657*$M1657</f>
        <v>0</v>
      </c>
      <c r="AZ1657" s="30" t="n">
        <v>1391</v>
      </c>
      <c r="BA1657" s="11" t="n">
        <v>61204</v>
      </c>
      <c r="BB1657" s="31" t="n">
        <f aca="false">SUM(Q1657,S1657,U1657,W1657,Y1657,AA1657,AC1657,AE1657,AG1657,AI1657,AK1657,AM1657,AO1657,AQ1657,AS1657,AU1657,AW1657,AY1657)</f>
        <v>61204</v>
      </c>
      <c r="BC1657" s="28" t="n">
        <f aca="false">BA1657-BB1657</f>
        <v>0</v>
      </c>
      <c r="BD1657" s="32" t="n">
        <f aca="false">SUM(P1657,R1657,T1657,V1657,X1657,Z1657,AB1657,AD1657,AF1657,AH1657,AJ1657,AL1657,AN1657,AP1657,AR1657,AT1657,AV1657,AX1657)</f>
        <v>1391</v>
      </c>
      <c r="BE1657" s="33" t="n">
        <f aca="false">AZ1657-BD1657</f>
        <v>0</v>
      </c>
      <c r="BF1657" s="34" t="n">
        <f aca="false">BD1657*M1657</f>
        <v>61204</v>
      </c>
      <c r="BG1657" s="35" t="n">
        <f aca="false">BA1657-BF1657</f>
        <v>0</v>
      </c>
      <c r="BH1657" s="19" t="str">
        <f aca="false">IF(BG1657=0,"",IF(BG1657&lt;&gt;BA1657,"erreur de calcul",IF(BD1657&lt;&gt;0,"pas de prix",IF(M1657&lt;&gt; 0,"pas de quantité","pas de prix, ni de quantité"))))</f>
        <v/>
      </c>
      <c r="BI1657" s="19"/>
    </row>
    <row r="1658" customFormat="false" ht="15" hidden="false" customHeight="false" outlineLevel="0" collapsed="false">
      <c r="A1658" s="0" t="n">
        <v>6</v>
      </c>
      <c r="B1658" s="8" t="s">
        <v>24</v>
      </c>
      <c r="C1658" s="9" t="s">
        <v>25</v>
      </c>
      <c r="D1658" s="9" t="s">
        <v>26</v>
      </c>
      <c r="E1658" s="10" t="n">
        <v>1789</v>
      </c>
      <c r="F1658" s="9" t="s">
        <v>27</v>
      </c>
      <c r="G1658" s="9" t="s">
        <v>27</v>
      </c>
      <c r="H1658" s="11" t="n">
        <v>25</v>
      </c>
      <c r="I1658" s="11" t="s">
        <v>334</v>
      </c>
      <c r="J1658" s="14" t="n">
        <v>12</v>
      </c>
      <c r="K1658" s="14"/>
      <c r="L1658" s="16"/>
      <c r="M1658" s="27" t="n">
        <f aca="false">J1658+(K1658/20)+(L1658/240)</f>
        <v>12</v>
      </c>
      <c r="N1658" s="17" t="s">
        <v>64</v>
      </c>
      <c r="O1658" s="11"/>
      <c r="P1658" s="28"/>
      <c r="Q1658" s="28" t="n">
        <f aca="false">P1658*$M1658</f>
        <v>0</v>
      </c>
      <c r="R1658" s="28"/>
      <c r="S1658" s="28" t="n">
        <f aca="false">R1658*$M1658</f>
        <v>0</v>
      </c>
      <c r="T1658" s="28"/>
      <c r="U1658" s="28" t="n">
        <f aca="false">T1658*$M1658</f>
        <v>0</v>
      </c>
      <c r="V1658" s="28"/>
      <c r="W1658" s="28" t="n">
        <f aca="false">V1658*$M1658</f>
        <v>0</v>
      </c>
      <c r="X1658" s="28" t="n">
        <f aca="false">1111/100</f>
        <v>11.11</v>
      </c>
      <c r="Y1658" s="28" t="n">
        <v>133</v>
      </c>
      <c r="Z1658" s="28"/>
      <c r="AA1658" s="28" t="n">
        <f aca="false">Z1658*$M1658</f>
        <v>0</v>
      </c>
      <c r="AB1658" s="28"/>
      <c r="AC1658" s="28" t="n">
        <f aca="false">AB1658*$M1658</f>
        <v>0</v>
      </c>
      <c r="AD1658" s="28"/>
      <c r="AE1658" s="28" t="n">
        <f aca="false">AD1658*$M1658</f>
        <v>0</v>
      </c>
      <c r="AF1658" s="28"/>
      <c r="AG1658" s="28" t="n">
        <f aca="false">AF1658*$M1658</f>
        <v>0</v>
      </c>
      <c r="AH1658" s="28"/>
      <c r="AI1658" s="28" t="n">
        <f aca="false">AH1658*$M1658</f>
        <v>0</v>
      </c>
      <c r="AJ1658" s="28"/>
      <c r="AK1658" s="28" t="n">
        <f aca="false">AJ1658*$M1658</f>
        <v>0</v>
      </c>
      <c r="AL1658" s="28"/>
      <c r="AM1658" s="28" t="n">
        <f aca="false">AL1658*$M1658</f>
        <v>0</v>
      </c>
      <c r="AN1658" s="28"/>
      <c r="AO1658" s="28" t="n">
        <f aca="false">AN1658*$M1658</f>
        <v>0</v>
      </c>
      <c r="AP1658" s="28"/>
      <c r="AQ1658" s="28" t="n">
        <f aca="false">AP1658*$M1658</f>
        <v>0</v>
      </c>
      <c r="AR1658" s="28"/>
      <c r="AS1658" s="28" t="n">
        <f aca="false">AR1658*$M1658</f>
        <v>0</v>
      </c>
      <c r="AT1658" s="28"/>
      <c r="AU1658" s="28" t="n">
        <f aca="false">AT1658*$M1658</f>
        <v>0</v>
      </c>
      <c r="AV1658" s="28"/>
      <c r="AW1658" s="28" t="n">
        <f aca="false">AV1658*$M1658</f>
        <v>0</v>
      </c>
      <c r="AX1658" s="28"/>
      <c r="AY1658" s="28" t="n">
        <f aca="false">AX1658*$M1658</f>
        <v>0</v>
      </c>
      <c r="AZ1658" s="30" t="n">
        <f aca="false">1111/100</f>
        <v>11.11</v>
      </c>
      <c r="BA1658" s="11" t="n">
        <v>133</v>
      </c>
      <c r="BB1658" s="31" t="n">
        <f aca="false">SUM(Q1658,S1658,U1658,W1658,Y1658,AA1658,AC1658,AE1658,AG1658,AI1658,AK1658,AM1658,AO1658,AQ1658,AS1658,AU1658,AW1658,AY1658)</f>
        <v>133</v>
      </c>
      <c r="BC1658" s="28" t="n">
        <f aca="false">BA1658-BB1658</f>
        <v>0</v>
      </c>
      <c r="BD1658" s="32" t="n">
        <f aca="false">SUM(P1658,R1658,T1658,V1658,X1658,Z1658,AB1658,AD1658,AF1658,AH1658,AJ1658,AL1658,AN1658,AP1658,AR1658,AT1658,AV1658,AX1658)</f>
        <v>11.11</v>
      </c>
      <c r="BE1658" s="33" t="n">
        <f aca="false">AZ1658-BD1658</f>
        <v>0</v>
      </c>
      <c r="BF1658" s="34" t="n">
        <f aca="false">BD1658*M1658</f>
        <v>133.32</v>
      </c>
      <c r="BG1658" s="35" t="n">
        <f aca="false">BA1658-BF1658</f>
        <v>-0.319999999999993</v>
      </c>
      <c r="BH1658" s="19" t="str">
        <f aca="false">IF(BG1658=0,"",IF(BG1658&lt;&gt;BA1658,"erreur de calcul",IF(BD1658&lt;&gt;0,"pas de prix",IF(M1658&lt;&gt; 0,"pas de quantité","pas de prix, ni de quantité"))))</f>
        <v>erreur de calcul</v>
      </c>
      <c r="BI1658" s="19"/>
    </row>
    <row r="1659" customFormat="false" ht="16.65" hidden="false" customHeight="false" outlineLevel="0" collapsed="false">
      <c r="A1659" s="0" t="n">
        <v>7</v>
      </c>
      <c r="B1659" s="8" t="s">
        <v>24</v>
      </c>
      <c r="C1659" s="9" t="s">
        <v>25</v>
      </c>
      <c r="D1659" s="9" t="s">
        <v>26</v>
      </c>
      <c r="E1659" s="10" t="n">
        <v>1789</v>
      </c>
      <c r="F1659" s="9" t="s">
        <v>27</v>
      </c>
      <c r="G1659" s="9" t="s">
        <v>27</v>
      </c>
      <c r="H1659" s="11" t="n">
        <v>25</v>
      </c>
      <c r="I1659" s="11" t="s">
        <v>335</v>
      </c>
      <c r="J1659" s="14" t="n">
        <v>4</v>
      </c>
      <c r="K1659" s="14" t="n">
        <v>10</v>
      </c>
      <c r="L1659" s="16"/>
      <c r="M1659" s="27" t="n">
        <f aca="false">J1659+(K1659/20)+(L1659/240)</f>
        <v>4.5</v>
      </c>
      <c r="N1659" s="17" t="s">
        <v>64</v>
      </c>
      <c r="O1659" s="11" t="s">
        <v>77</v>
      </c>
      <c r="P1659" s="28" t="n">
        <f aca="false">8366/100</f>
        <v>83.66</v>
      </c>
      <c r="Q1659" s="28" t="n">
        <v>376</v>
      </c>
      <c r="R1659" s="28"/>
      <c r="S1659" s="28" t="n">
        <f aca="false">R1659*$M1659</f>
        <v>0</v>
      </c>
      <c r="T1659" s="28"/>
      <c r="U1659" s="28" t="n">
        <f aca="false">T1659*$M1659</f>
        <v>0</v>
      </c>
      <c r="V1659" s="28"/>
      <c r="W1659" s="28" t="n">
        <f aca="false">V1659*$M1659</f>
        <v>0</v>
      </c>
      <c r="X1659" s="28"/>
      <c r="Y1659" s="28" t="n">
        <f aca="false">X1659*$M1659</f>
        <v>0</v>
      </c>
      <c r="Z1659" s="28"/>
      <c r="AA1659" s="28" t="n">
        <f aca="false">Z1659*$M1659</f>
        <v>0</v>
      </c>
      <c r="AB1659" s="28"/>
      <c r="AC1659" s="28" t="n">
        <f aca="false">AB1659*$M1659</f>
        <v>0</v>
      </c>
      <c r="AD1659" s="28"/>
      <c r="AE1659" s="28" t="n">
        <f aca="false">AD1659*$M1659</f>
        <v>0</v>
      </c>
      <c r="AF1659" s="28"/>
      <c r="AG1659" s="28" t="n">
        <f aca="false">AF1659*$M1659</f>
        <v>0</v>
      </c>
      <c r="AH1659" s="28"/>
      <c r="AI1659" s="28" t="n">
        <f aca="false">AH1659*$M1659</f>
        <v>0</v>
      </c>
      <c r="AJ1659" s="28"/>
      <c r="AK1659" s="28" t="n">
        <f aca="false">AJ1659*$M1659</f>
        <v>0</v>
      </c>
      <c r="AL1659" s="28"/>
      <c r="AM1659" s="28" t="n">
        <f aca="false">AL1659*$M1659</f>
        <v>0</v>
      </c>
      <c r="AN1659" s="28"/>
      <c r="AO1659" s="28" t="n">
        <f aca="false">AN1659*$M1659</f>
        <v>0</v>
      </c>
      <c r="AP1659" s="28"/>
      <c r="AQ1659" s="28" t="n">
        <f aca="false">AP1659*$M1659</f>
        <v>0</v>
      </c>
      <c r="AR1659" s="28"/>
      <c r="AS1659" s="28" t="n">
        <f aca="false">AR1659*$M1659</f>
        <v>0</v>
      </c>
      <c r="AT1659" s="28"/>
      <c r="AU1659" s="28" t="n">
        <f aca="false">AT1659*$M1659</f>
        <v>0</v>
      </c>
      <c r="AV1659" s="28"/>
      <c r="AW1659" s="28" t="n">
        <f aca="false">AV1659*$M1659</f>
        <v>0</v>
      </c>
      <c r="AX1659" s="28"/>
      <c r="AY1659" s="28" t="n">
        <f aca="false">AX1659*$M1659</f>
        <v>0</v>
      </c>
      <c r="AZ1659" s="30" t="n">
        <f aca="false">8366/100</f>
        <v>83.66</v>
      </c>
      <c r="BA1659" s="11" t="n">
        <v>376</v>
      </c>
      <c r="BB1659" s="31" t="n">
        <f aca="false">SUM(Q1659,S1659,U1659,W1659,Y1659,AA1659,AC1659,AE1659,AG1659,AI1659,AK1659,AM1659,AO1659,AQ1659,AS1659,AU1659,AW1659,AY1659)</f>
        <v>376</v>
      </c>
      <c r="BC1659" s="28" t="n">
        <f aca="false">BA1659-BB1659</f>
        <v>0</v>
      </c>
      <c r="BD1659" s="32" t="n">
        <f aca="false">SUM(P1659,R1659,T1659,V1659,X1659,Z1659,AB1659,AD1659,AF1659,AH1659,AJ1659,AL1659,AN1659,AP1659,AR1659,AT1659,AV1659,AX1659)</f>
        <v>83.66</v>
      </c>
      <c r="BE1659" s="33" t="n">
        <f aca="false">AZ1659-BD1659</f>
        <v>0</v>
      </c>
      <c r="BF1659" s="34" t="n">
        <f aca="false">BD1659*M1659</f>
        <v>376.47</v>
      </c>
      <c r="BG1659" s="35" t="n">
        <f aca="false">BA1659-BF1659</f>
        <v>-0.46999999999997</v>
      </c>
      <c r="BH1659" s="19" t="str">
        <f aca="false">IF(BG1659=0,"",IF(BG1659&lt;&gt;BA1659,"erreur de calcul",IF(BD1659&lt;&gt;0,"pas de prix",IF(M1659&lt;&gt; 0,"pas de quantité","pas de prix, ni de quantité"))))</f>
        <v>erreur de calcul</v>
      </c>
      <c r="BI1659" s="19"/>
    </row>
    <row r="1660" customFormat="false" ht="15" hidden="false" customHeight="false" outlineLevel="0" collapsed="false">
      <c r="A1660" s="0" t="n">
        <v>8</v>
      </c>
      <c r="B1660" s="8" t="s">
        <v>24</v>
      </c>
      <c r="C1660" s="9" t="s">
        <v>25</v>
      </c>
      <c r="D1660" s="9" t="s">
        <v>26</v>
      </c>
      <c r="E1660" s="10" t="n">
        <v>1789</v>
      </c>
      <c r="F1660" s="9" t="s">
        <v>27</v>
      </c>
      <c r="G1660" s="9" t="s">
        <v>27</v>
      </c>
      <c r="H1660" s="11" t="n">
        <v>25</v>
      </c>
      <c r="I1660" s="11" t="s">
        <v>336</v>
      </c>
      <c r="J1660" s="14" t="n">
        <v>64</v>
      </c>
      <c r="K1660" s="14"/>
      <c r="L1660" s="16"/>
      <c r="M1660" s="27" t="n">
        <f aca="false">J1660+(K1660/20)+(L1660/240)</f>
        <v>64</v>
      </c>
      <c r="N1660" s="17" t="s">
        <v>337</v>
      </c>
      <c r="O1660" s="11"/>
      <c r="P1660" s="28"/>
      <c r="Q1660" s="28" t="n">
        <f aca="false">P1660*$M1660</f>
        <v>0</v>
      </c>
      <c r="R1660" s="28"/>
      <c r="S1660" s="28" t="n">
        <f aca="false">R1660*$M1660</f>
        <v>0</v>
      </c>
      <c r="T1660" s="28" t="n">
        <v>42</v>
      </c>
      <c r="U1660" s="28" t="n">
        <v>2688</v>
      </c>
      <c r="V1660" s="28"/>
      <c r="W1660" s="28" t="n">
        <f aca="false">V1660*$M1660</f>
        <v>0</v>
      </c>
      <c r="X1660" s="28"/>
      <c r="Y1660" s="28" t="n">
        <f aca="false">X1660*$M1660</f>
        <v>0</v>
      </c>
      <c r="Z1660" s="28"/>
      <c r="AA1660" s="28" t="n">
        <f aca="false">Z1660*$M1660</f>
        <v>0</v>
      </c>
      <c r="AB1660" s="28" t="n">
        <v>66</v>
      </c>
      <c r="AC1660" s="28" t="n">
        <v>4224</v>
      </c>
      <c r="AD1660" s="28"/>
      <c r="AE1660" s="28" t="n">
        <f aca="false">AD1660*$M1660</f>
        <v>0</v>
      </c>
      <c r="AF1660" s="28"/>
      <c r="AG1660" s="28" t="n">
        <f aca="false">AF1660*$M1660</f>
        <v>0</v>
      </c>
      <c r="AH1660" s="28"/>
      <c r="AI1660" s="28" t="n">
        <f aca="false">AH1660*$M1660</f>
        <v>0</v>
      </c>
      <c r="AJ1660" s="28"/>
      <c r="AK1660" s="28" t="n">
        <f aca="false">AJ1660*$M1660</f>
        <v>0</v>
      </c>
      <c r="AL1660" s="28"/>
      <c r="AM1660" s="28" t="n">
        <f aca="false">AL1660*$M1660</f>
        <v>0</v>
      </c>
      <c r="AN1660" s="28"/>
      <c r="AO1660" s="28" t="n">
        <f aca="false">AN1660*$M1660</f>
        <v>0</v>
      </c>
      <c r="AP1660" s="28"/>
      <c r="AQ1660" s="28" t="n">
        <f aca="false">AP1660*$M1660</f>
        <v>0</v>
      </c>
      <c r="AR1660" s="28"/>
      <c r="AS1660" s="28" t="n">
        <f aca="false">AR1660*$M1660</f>
        <v>0</v>
      </c>
      <c r="AT1660" s="28"/>
      <c r="AU1660" s="28" t="n">
        <f aca="false">AT1660*$M1660</f>
        <v>0</v>
      </c>
      <c r="AV1660" s="28"/>
      <c r="AW1660" s="28" t="n">
        <f aca="false">AV1660*$M1660</f>
        <v>0</v>
      </c>
      <c r="AX1660" s="28"/>
      <c r="AY1660" s="28" t="n">
        <f aca="false">AX1660*$M1660</f>
        <v>0</v>
      </c>
      <c r="AZ1660" s="30" t="n">
        <v>108</v>
      </c>
      <c r="BA1660" s="11" t="n">
        <v>6912</v>
      </c>
      <c r="BB1660" s="31" t="n">
        <f aca="false">SUM(Q1660,S1660,U1660,W1660,Y1660,AA1660,AC1660,AE1660,AG1660,AI1660,AK1660,AM1660,AO1660,AQ1660,AS1660,AU1660,AW1660,AY1660)</f>
        <v>6912</v>
      </c>
      <c r="BC1660" s="28" t="n">
        <f aca="false">BA1660-BB1660</f>
        <v>0</v>
      </c>
      <c r="BD1660" s="32" t="n">
        <f aca="false">SUM(P1660,R1660,T1660,V1660,X1660,Z1660,AB1660,AD1660,AF1660,AH1660,AJ1660,AL1660,AN1660,AP1660,AR1660,AT1660,AV1660,AX1660)</f>
        <v>108</v>
      </c>
      <c r="BE1660" s="33" t="n">
        <f aca="false">AZ1660-BD1660</f>
        <v>0</v>
      </c>
      <c r="BF1660" s="34" t="n">
        <f aca="false">BD1660*M1660</f>
        <v>6912</v>
      </c>
      <c r="BG1660" s="35" t="n">
        <f aca="false">BA1660-BF1660</f>
        <v>0</v>
      </c>
      <c r="BH1660" s="19" t="str">
        <f aca="false">IF(BG1660=0,"",IF(BG1660&lt;&gt;BA1660,"erreur de calcul",IF(BD1660&lt;&gt;0,"pas de prix",IF(M1660&lt;&gt; 0,"pas de quantité","pas de prix, ni de quantité"))))</f>
        <v/>
      </c>
      <c r="BI1660" s="19"/>
    </row>
    <row r="1661" customFormat="false" ht="15" hidden="false" customHeight="false" outlineLevel="0" collapsed="false">
      <c r="A1661" s="0" t="n">
        <v>9</v>
      </c>
      <c r="B1661" s="8" t="s">
        <v>24</v>
      </c>
      <c r="C1661" s="9" t="s">
        <v>25</v>
      </c>
      <c r="D1661" s="9" t="s">
        <v>26</v>
      </c>
      <c r="E1661" s="10" t="n">
        <v>1789</v>
      </c>
      <c r="F1661" s="9" t="s">
        <v>27</v>
      </c>
      <c r="G1661" s="9" t="s">
        <v>27</v>
      </c>
      <c r="H1661" s="11" t="n">
        <v>25</v>
      </c>
      <c r="I1661" s="11" t="s">
        <v>338</v>
      </c>
      <c r="J1661" s="14"/>
      <c r="K1661" s="14"/>
      <c r="L1661" s="16"/>
      <c r="M1661" s="27" t="n">
        <f aca="false">J1661+(K1661/20)+(L1661/240)</f>
        <v>0</v>
      </c>
      <c r="N1661" s="17"/>
      <c r="O1661" s="11"/>
      <c r="P1661" s="28"/>
      <c r="Q1661" s="28" t="n">
        <f aca="false">P1661*$M1661</f>
        <v>0</v>
      </c>
      <c r="R1661" s="28"/>
      <c r="S1661" s="28" t="n">
        <f aca="false">R1661*$M1661</f>
        <v>0</v>
      </c>
      <c r="T1661" s="28"/>
      <c r="U1661" s="28" t="n">
        <v>135</v>
      </c>
      <c r="V1661" s="28"/>
      <c r="W1661" s="28" t="n">
        <v>642</v>
      </c>
      <c r="X1661" s="28"/>
      <c r="Y1661" s="28" t="n">
        <f aca="false">X1661*$M1661</f>
        <v>0</v>
      </c>
      <c r="Z1661" s="28"/>
      <c r="AA1661" s="28" t="n">
        <f aca="false">Z1661*$M1661</f>
        <v>0</v>
      </c>
      <c r="AB1661" s="28"/>
      <c r="AC1661" s="28" t="n">
        <f aca="false">AB1661*$M1661</f>
        <v>0</v>
      </c>
      <c r="AD1661" s="28"/>
      <c r="AE1661" s="28" t="n">
        <f aca="false">AD1661*$M1661</f>
        <v>0</v>
      </c>
      <c r="AF1661" s="28"/>
      <c r="AG1661" s="28" t="n">
        <f aca="false">AF1661*$M1661</f>
        <v>0</v>
      </c>
      <c r="AH1661" s="28"/>
      <c r="AI1661" s="28" t="n">
        <f aca="false">AH1661*$M1661</f>
        <v>0</v>
      </c>
      <c r="AJ1661" s="28"/>
      <c r="AK1661" s="28" t="n">
        <v>375</v>
      </c>
      <c r="AL1661" s="28"/>
      <c r="AM1661" s="28" t="n">
        <f aca="false">AL1661*$M1661</f>
        <v>0</v>
      </c>
      <c r="AN1661" s="28"/>
      <c r="AO1661" s="28" t="n">
        <f aca="false">AN1661*$M1661</f>
        <v>0</v>
      </c>
      <c r="AP1661" s="28"/>
      <c r="AQ1661" s="28" t="n">
        <f aca="false">AP1661*$M1661</f>
        <v>0</v>
      </c>
      <c r="AR1661" s="28"/>
      <c r="AS1661" s="28" t="n">
        <f aca="false">AR1661*$M1661</f>
        <v>0</v>
      </c>
      <c r="AT1661" s="28"/>
      <c r="AU1661" s="28" t="n">
        <f aca="false">AT1661*$M1661</f>
        <v>0</v>
      </c>
      <c r="AV1661" s="28"/>
      <c r="AW1661" s="28" t="n">
        <v>765</v>
      </c>
      <c r="AX1661" s="28"/>
      <c r="AY1661" s="28" t="n">
        <f aca="false">AX1661*$M1661</f>
        <v>0</v>
      </c>
      <c r="AZ1661" s="30"/>
      <c r="BA1661" s="11" t="n">
        <v>1917</v>
      </c>
      <c r="BB1661" s="31" t="n">
        <f aca="false">SUM(Q1661,S1661,U1661,W1661,Y1661,AA1661,AC1661,AE1661,AG1661,AI1661,AK1661,AM1661,AO1661,AQ1661,AS1661,AU1661,AW1661,AY1661)</f>
        <v>1917</v>
      </c>
      <c r="BC1661" s="28" t="n">
        <f aca="false">BA1661-BB1661</f>
        <v>0</v>
      </c>
      <c r="BD1661" s="32" t="n">
        <f aca="false">SUM(P1661,R1661,T1661,V1661,X1661,Z1661,AB1661,AD1661,AF1661,AH1661,AJ1661,AL1661,AN1661,AP1661,AR1661,AT1661,AV1661,AX1661)</f>
        <v>0</v>
      </c>
      <c r="BE1661" s="33" t="n">
        <f aca="false">AZ1661-BD1661</f>
        <v>0</v>
      </c>
      <c r="BF1661" s="34" t="n">
        <f aca="false">BD1661*M1661</f>
        <v>0</v>
      </c>
      <c r="BG1661" s="35" t="n">
        <f aca="false">BA1661-BF1661</f>
        <v>1917</v>
      </c>
      <c r="BH1661" s="19" t="str">
        <f aca="false">IF(BG1661=0,"",IF(BG1661&lt;&gt;BA1661,"erreur de calcul",IF(BD1661&lt;&gt;0,"pas de prix",IF(M1661&lt;&gt; 0,"pas de quantité","pas de prix, ni de quantité"))))</f>
        <v>pas de prix, ni de quantité</v>
      </c>
      <c r="BI1661" s="19"/>
    </row>
    <row r="1662" customFormat="false" ht="15" hidden="false" customHeight="false" outlineLevel="0" collapsed="false">
      <c r="A1662" s="0" t="n">
        <v>10</v>
      </c>
      <c r="B1662" s="8" t="s">
        <v>24</v>
      </c>
      <c r="C1662" s="9" t="s">
        <v>25</v>
      </c>
      <c r="D1662" s="9" t="s">
        <v>26</v>
      </c>
      <c r="E1662" s="10" t="n">
        <v>1789</v>
      </c>
      <c r="F1662" s="9" t="s">
        <v>27</v>
      </c>
      <c r="G1662" s="9" t="s">
        <v>27</v>
      </c>
      <c r="H1662" s="11" t="n">
        <v>25</v>
      </c>
      <c r="I1662" s="11" t="s">
        <v>339</v>
      </c>
      <c r="J1662" s="14" t="n">
        <v>7</v>
      </c>
      <c r="K1662" s="14"/>
      <c r="L1662" s="16"/>
      <c r="M1662" s="27" t="n">
        <f aca="false">J1662+(K1662/20)+(L1662/240)</f>
        <v>7</v>
      </c>
      <c r="N1662" s="17" t="s">
        <v>69</v>
      </c>
      <c r="O1662" s="11"/>
      <c r="P1662" s="28"/>
      <c r="Q1662" s="28" t="n">
        <f aca="false">P1662*$M1662</f>
        <v>0</v>
      </c>
      <c r="R1662" s="28"/>
      <c r="S1662" s="28" t="n">
        <f aca="false">R1662*$M1662</f>
        <v>0</v>
      </c>
      <c r="T1662" s="28"/>
      <c r="U1662" s="28" t="n">
        <f aca="false">T1662*$M1662</f>
        <v>0</v>
      </c>
      <c r="V1662" s="28" t="n">
        <v>554</v>
      </c>
      <c r="W1662" s="28" t="n">
        <v>3878</v>
      </c>
      <c r="X1662" s="28"/>
      <c r="Y1662" s="28" t="n">
        <f aca="false">X1662*$M1662</f>
        <v>0</v>
      </c>
      <c r="Z1662" s="28"/>
      <c r="AA1662" s="28" t="n">
        <f aca="false">Z1662*$M1662</f>
        <v>0</v>
      </c>
      <c r="AB1662" s="28"/>
      <c r="AC1662" s="28" t="n">
        <f aca="false">AB1662*$M1662</f>
        <v>0</v>
      </c>
      <c r="AD1662" s="28"/>
      <c r="AE1662" s="28" t="n">
        <f aca="false">AD1662*$M1662</f>
        <v>0</v>
      </c>
      <c r="AF1662" s="28"/>
      <c r="AG1662" s="28" t="n">
        <f aca="false">AF1662*$M1662</f>
        <v>0</v>
      </c>
      <c r="AH1662" s="28"/>
      <c r="AI1662" s="28" t="n">
        <f aca="false">AH1662*$M1662</f>
        <v>0</v>
      </c>
      <c r="AJ1662" s="28"/>
      <c r="AK1662" s="28" t="n">
        <f aca="false">AJ1662*$M1662</f>
        <v>0</v>
      </c>
      <c r="AL1662" s="28"/>
      <c r="AM1662" s="28" t="n">
        <f aca="false">AL1662*$M1662</f>
        <v>0</v>
      </c>
      <c r="AN1662" s="28"/>
      <c r="AO1662" s="28" t="n">
        <f aca="false">AN1662*$M1662</f>
        <v>0</v>
      </c>
      <c r="AP1662" s="28"/>
      <c r="AQ1662" s="28" t="n">
        <f aca="false">AP1662*$M1662</f>
        <v>0</v>
      </c>
      <c r="AR1662" s="28"/>
      <c r="AS1662" s="28" t="n">
        <f aca="false">AR1662*$M1662</f>
        <v>0</v>
      </c>
      <c r="AT1662" s="28"/>
      <c r="AU1662" s="28" t="n">
        <f aca="false">AT1662*$M1662</f>
        <v>0</v>
      </c>
      <c r="AV1662" s="28"/>
      <c r="AW1662" s="28" t="n">
        <f aca="false">AV1662*$M1662</f>
        <v>0</v>
      </c>
      <c r="AX1662" s="28"/>
      <c r="AY1662" s="28" t="n">
        <f aca="false">AX1662*$M1662</f>
        <v>0</v>
      </c>
      <c r="AZ1662" s="30" t="n">
        <v>554</v>
      </c>
      <c r="BA1662" s="11" t="n">
        <v>3878</v>
      </c>
      <c r="BB1662" s="31" t="n">
        <f aca="false">SUM(Q1662,S1662,U1662,W1662,Y1662,AA1662,AC1662,AE1662,AG1662,AI1662,AK1662,AM1662,AO1662,AQ1662,AS1662,AU1662,AW1662,AY1662)</f>
        <v>3878</v>
      </c>
      <c r="BC1662" s="28" t="n">
        <f aca="false">BA1662-BB1662</f>
        <v>0</v>
      </c>
      <c r="BD1662" s="32" t="n">
        <f aca="false">SUM(P1662,R1662,T1662,V1662,X1662,Z1662,AB1662,AD1662,AF1662,AH1662,AJ1662,AL1662,AN1662,AP1662,AR1662,AT1662,AV1662,AX1662)</f>
        <v>554</v>
      </c>
      <c r="BE1662" s="33" t="n">
        <f aca="false">AZ1662-BD1662</f>
        <v>0</v>
      </c>
      <c r="BF1662" s="34" t="n">
        <f aca="false">BD1662*M1662</f>
        <v>3878</v>
      </c>
      <c r="BG1662" s="35" t="n">
        <f aca="false">BA1662-BF1662</f>
        <v>0</v>
      </c>
      <c r="BH1662" s="19" t="str">
        <f aca="false">IF(BG1662=0,"",IF(BG1662&lt;&gt;BA1662,"erreur de calcul",IF(BD1662&lt;&gt;0,"pas de prix",IF(M1662&lt;&gt; 0,"pas de quantité","pas de prix, ni de quantité"))))</f>
        <v/>
      </c>
      <c r="BI1662" s="19"/>
    </row>
    <row r="1663" customFormat="false" ht="15" hidden="false" customHeight="false" outlineLevel="0" collapsed="false">
      <c r="A1663" s="0" t="n">
        <v>11</v>
      </c>
      <c r="B1663" s="8" t="s">
        <v>24</v>
      </c>
      <c r="C1663" s="9" t="s">
        <v>25</v>
      </c>
      <c r="D1663" s="9" t="s">
        <v>26</v>
      </c>
      <c r="E1663" s="10" t="n">
        <v>1789</v>
      </c>
      <c r="F1663" s="9" t="s">
        <v>27</v>
      </c>
      <c r="G1663" s="9" t="s">
        <v>27</v>
      </c>
      <c r="H1663" s="11" t="n">
        <v>25</v>
      </c>
      <c r="I1663" s="11" t="s">
        <v>340</v>
      </c>
      <c r="J1663" s="14" t="n">
        <v>15</v>
      </c>
      <c r="K1663" s="14"/>
      <c r="L1663" s="16"/>
      <c r="M1663" s="27" t="n">
        <f aca="false">J1663+(K1663/20)+(L1663/240)</f>
        <v>15</v>
      </c>
      <c r="N1663" s="17" t="s">
        <v>64</v>
      </c>
      <c r="O1663" s="11"/>
      <c r="P1663" s="28" t="n">
        <f aca="false">470959/100</f>
        <v>4709.59</v>
      </c>
      <c r="Q1663" s="28" t="n">
        <v>70644</v>
      </c>
      <c r="R1663" s="28"/>
      <c r="S1663" s="28" t="n">
        <f aca="false">R1663*$M1663</f>
        <v>0</v>
      </c>
      <c r="T1663" s="28"/>
      <c r="U1663" s="28" t="n">
        <f aca="false">T1663*$M1663</f>
        <v>0</v>
      </c>
      <c r="V1663" s="28"/>
      <c r="W1663" s="28" t="n">
        <f aca="false">V1663*$M1663</f>
        <v>0</v>
      </c>
      <c r="X1663" s="28"/>
      <c r="Y1663" s="28" t="n">
        <f aca="false">X1663*$M1663</f>
        <v>0</v>
      </c>
      <c r="Z1663" s="28"/>
      <c r="AA1663" s="28" t="n">
        <f aca="false">Z1663*$M1663</f>
        <v>0</v>
      </c>
      <c r="AB1663" s="28" t="n">
        <f aca="false">50000/100</f>
        <v>500</v>
      </c>
      <c r="AC1663" s="28" t="n">
        <v>7500</v>
      </c>
      <c r="AD1663" s="28"/>
      <c r="AE1663" s="28" t="n">
        <f aca="false">AD1663*$M1663</f>
        <v>0</v>
      </c>
      <c r="AF1663" s="28" t="n">
        <f aca="false">15584/100</f>
        <v>155.84</v>
      </c>
      <c r="AG1663" s="28" t="n">
        <v>2338</v>
      </c>
      <c r="AH1663" s="28"/>
      <c r="AI1663" s="28" t="n">
        <f aca="false">AH1663*$M1663</f>
        <v>0</v>
      </c>
      <c r="AJ1663" s="28"/>
      <c r="AK1663" s="28" t="n">
        <f aca="false">AJ1663*$M1663</f>
        <v>0</v>
      </c>
      <c r="AL1663" s="28"/>
      <c r="AM1663" s="28" t="n">
        <f aca="false">AL1663*$M1663</f>
        <v>0</v>
      </c>
      <c r="AN1663" s="28"/>
      <c r="AO1663" s="28" t="n">
        <f aca="false">AN1663*$M1663</f>
        <v>0</v>
      </c>
      <c r="AP1663" s="28"/>
      <c r="AQ1663" s="28" t="n">
        <f aca="false">AP1663*$M1663</f>
        <v>0</v>
      </c>
      <c r="AR1663" s="28"/>
      <c r="AS1663" s="28" t="n">
        <f aca="false">AR1663*$M1663</f>
        <v>0</v>
      </c>
      <c r="AT1663" s="28"/>
      <c r="AU1663" s="28" t="n">
        <f aca="false">AT1663*$M1663</f>
        <v>0</v>
      </c>
      <c r="AV1663" s="28"/>
      <c r="AW1663" s="28" t="n">
        <f aca="false">AV1663*$M1663</f>
        <v>0</v>
      </c>
      <c r="AX1663" s="28"/>
      <c r="AY1663" s="28" t="n">
        <f aca="false">AX1663*$M1663</f>
        <v>0</v>
      </c>
      <c r="AZ1663" s="30" t="n">
        <f aca="false">535959/100</f>
        <v>5359.59</v>
      </c>
      <c r="BA1663" s="11" t="n">
        <v>80482</v>
      </c>
      <c r="BB1663" s="31" t="n">
        <f aca="false">SUM(Q1663,S1663,U1663,W1663,Y1663,AA1663,AC1663,AE1663,AG1663,AI1663,AK1663,AM1663,AO1663,AQ1663,AS1663,AU1663,AW1663,AY1663)</f>
        <v>80482</v>
      </c>
      <c r="BC1663" s="28" t="n">
        <f aca="false">BA1663-BB1663</f>
        <v>0</v>
      </c>
      <c r="BD1663" s="32" t="n">
        <f aca="false">SUM(P1663,R1663,T1663,V1663,X1663,Z1663,AB1663,AD1663,AF1663,AH1663,AJ1663,AL1663,AN1663,AP1663,AR1663,AT1663,AV1663,AX1663)</f>
        <v>5365.43</v>
      </c>
      <c r="BE1663" s="33" t="n">
        <f aca="false">AZ1663-BD1663</f>
        <v>-5.84000000000015</v>
      </c>
      <c r="BF1663" s="34" t="n">
        <f aca="false">BD1663*M1663</f>
        <v>80481.45</v>
      </c>
      <c r="BG1663" s="35" t="n">
        <f aca="false">BA1663-BF1663</f>
        <v>0.549999999988359</v>
      </c>
      <c r="BH1663" s="19" t="str">
        <f aca="false">IF(BG1663=0,"",IF(BG1663&lt;&gt;BA1663,"erreur de calcul",IF(BD1663&lt;&gt;0,"pas de prix",IF(M1663&lt;&gt; 0,"pas de quantité","pas de prix, ni de quantité"))))</f>
        <v>erreur de calcul</v>
      </c>
      <c r="BI1663" s="19"/>
    </row>
    <row r="1664" customFormat="false" ht="15" hidden="false" customHeight="false" outlineLevel="0" collapsed="false">
      <c r="A1664" s="0" t="n">
        <v>12</v>
      </c>
      <c r="B1664" s="8" t="s">
        <v>24</v>
      </c>
      <c r="C1664" s="9" t="s">
        <v>25</v>
      </c>
      <c r="D1664" s="9" t="s">
        <v>26</v>
      </c>
      <c r="E1664" s="10" t="n">
        <v>1789</v>
      </c>
      <c r="F1664" s="9" t="s">
        <v>27</v>
      </c>
      <c r="G1664" s="9" t="s">
        <v>27</v>
      </c>
      <c r="H1664" s="11" t="n">
        <v>25</v>
      </c>
      <c r="I1664" s="11" t="s">
        <v>341</v>
      </c>
      <c r="J1664" s="14" t="n">
        <v>75</v>
      </c>
      <c r="K1664" s="14"/>
      <c r="L1664" s="16"/>
      <c r="M1664" s="27" t="n">
        <f aca="false">J1664+(K1664/20)+(L1664/240)</f>
        <v>75</v>
      </c>
      <c r="N1664" s="17" t="s">
        <v>85</v>
      </c>
      <c r="O1664" s="11"/>
      <c r="P1664" s="28"/>
      <c r="Q1664" s="28" t="n">
        <f aca="false">P1664*$M1664</f>
        <v>0</v>
      </c>
      <c r="R1664" s="28"/>
      <c r="S1664" s="28" t="n">
        <f aca="false">R1664*$M1664</f>
        <v>0</v>
      </c>
      <c r="T1664" s="28"/>
      <c r="U1664" s="28" t="n">
        <f aca="false">T1664*$M1664</f>
        <v>0</v>
      </c>
      <c r="V1664" s="28"/>
      <c r="W1664" s="28" t="n">
        <f aca="false">V1664*$M1664</f>
        <v>0</v>
      </c>
      <c r="X1664" s="28"/>
      <c r="Y1664" s="28" t="n">
        <f aca="false">X1664*$M1664</f>
        <v>0</v>
      </c>
      <c r="Z1664" s="28"/>
      <c r="AA1664" s="28" t="n">
        <f aca="false">Z1664*$M1664</f>
        <v>0</v>
      </c>
      <c r="AB1664" s="28"/>
      <c r="AC1664" s="28" t="n">
        <f aca="false">AB1664*$M1664</f>
        <v>0</v>
      </c>
      <c r="AD1664" s="28"/>
      <c r="AE1664" s="28" t="n">
        <f aca="false">AD1664*$M1664</f>
        <v>0</v>
      </c>
      <c r="AF1664" s="28"/>
      <c r="AG1664" s="28" t="n">
        <f aca="false">AF1664*$M1664</f>
        <v>0</v>
      </c>
      <c r="AH1664" s="28"/>
      <c r="AI1664" s="28" t="n">
        <f aca="false">AH1664*$M1664</f>
        <v>0</v>
      </c>
      <c r="AJ1664" s="28"/>
      <c r="AK1664" s="28" t="n">
        <f aca="false">AJ1664*$M1664</f>
        <v>0</v>
      </c>
      <c r="AL1664" s="28" t="n">
        <f aca="false">2584/100</f>
        <v>25.84</v>
      </c>
      <c r="AM1664" s="28" t="n">
        <v>1938</v>
      </c>
      <c r="AN1664" s="28"/>
      <c r="AO1664" s="28" t="n">
        <f aca="false">AN1664*$M1664</f>
        <v>0</v>
      </c>
      <c r="AP1664" s="28"/>
      <c r="AQ1664" s="28" t="n">
        <f aca="false">AP1664*$M1664</f>
        <v>0</v>
      </c>
      <c r="AR1664" s="28"/>
      <c r="AS1664" s="28" t="n">
        <f aca="false">AR1664*$M1664</f>
        <v>0</v>
      </c>
      <c r="AT1664" s="28"/>
      <c r="AU1664" s="28" t="n">
        <f aca="false">AT1664*$M1664</f>
        <v>0</v>
      </c>
      <c r="AV1664" s="28"/>
      <c r="AW1664" s="28" t="n">
        <f aca="false">AV1664*$M1664</f>
        <v>0</v>
      </c>
      <c r="AX1664" s="28"/>
      <c r="AY1664" s="28" t="n">
        <f aca="false">AX1664*$M1664</f>
        <v>0</v>
      </c>
      <c r="AZ1664" s="30" t="n">
        <f aca="false">2584/100</f>
        <v>25.84</v>
      </c>
      <c r="BA1664" s="11" t="n">
        <v>1938</v>
      </c>
      <c r="BB1664" s="31" t="n">
        <f aca="false">SUM(Q1664,S1664,U1664,W1664,Y1664,AA1664,AC1664,AE1664,AG1664,AI1664,AK1664,AM1664,AO1664,AQ1664,AS1664,AU1664,AW1664,AY1664)</f>
        <v>1938</v>
      </c>
      <c r="BC1664" s="28" t="n">
        <f aca="false">BA1664-BB1664</f>
        <v>0</v>
      </c>
      <c r="BD1664" s="32" t="n">
        <f aca="false">SUM(P1664,R1664,T1664,V1664,X1664,Z1664,AB1664,AD1664,AF1664,AH1664,AJ1664,AL1664,AN1664,AP1664,AR1664,AT1664,AV1664,AX1664)</f>
        <v>25.84</v>
      </c>
      <c r="BE1664" s="33" t="n">
        <f aca="false">AZ1664-BD1664</f>
        <v>0</v>
      </c>
      <c r="BF1664" s="34" t="n">
        <f aca="false">BD1664*M1664</f>
        <v>1938</v>
      </c>
      <c r="BG1664" s="35" t="n">
        <f aca="false">BA1664-BF1664</f>
        <v>0</v>
      </c>
      <c r="BH1664" s="19" t="str">
        <f aca="false">IF(BG1664=0,"",IF(BG1664&lt;&gt;BA1664,"erreur de calcul",IF(BD1664&lt;&gt;0,"pas de prix",IF(M1664&lt;&gt; 0,"pas de quantité","pas de prix, ni de quantité"))))</f>
        <v/>
      </c>
      <c r="BI1664" s="19"/>
    </row>
    <row r="1665" customFormat="false" ht="15" hidden="false" customHeight="false" outlineLevel="0" collapsed="false">
      <c r="A1665" s="0" t="n">
        <v>13</v>
      </c>
      <c r="B1665" s="8" t="s">
        <v>24</v>
      </c>
      <c r="C1665" s="9" t="s">
        <v>25</v>
      </c>
      <c r="D1665" s="9" t="s">
        <v>26</v>
      </c>
      <c r="E1665" s="10" t="n">
        <v>1789</v>
      </c>
      <c r="F1665" s="9" t="s">
        <v>27</v>
      </c>
      <c r="G1665" s="9" t="s">
        <v>27</v>
      </c>
      <c r="H1665" s="11" t="n">
        <v>25</v>
      </c>
      <c r="I1665" s="11" t="s">
        <v>342</v>
      </c>
      <c r="J1665" s="14" t="n">
        <v>10</v>
      </c>
      <c r="K1665" s="14"/>
      <c r="L1665" s="16"/>
      <c r="M1665" s="27" t="n">
        <f aca="false">J1665+(K1665/20)+(L1665/240)</f>
        <v>10</v>
      </c>
      <c r="N1665" s="17" t="s">
        <v>66</v>
      </c>
      <c r="O1665" s="11"/>
      <c r="P1665" s="28"/>
      <c r="Q1665" s="28" t="n">
        <f aca="false">P1665*$M1665</f>
        <v>0</v>
      </c>
      <c r="R1665" s="28" t="n">
        <v>827</v>
      </c>
      <c r="S1665" s="28" t="n">
        <v>8270</v>
      </c>
      <c r="T1665" s="28"/>
      <c r="U1665" s="28" t="n">
        <f aca="false">T1665*$M1665</f>
        <v>0</v>
      </c>
      <c r="V1665" s="28"/>
      <c r="W1665" s="28" t="n">
        <f aca="false">V1665*$M1665</f>
        <v>0</v>
      </c>
      <c r="X1665" s="28"/>
      <c r="Y1665" s="28" t="n">
        <f aca="false">X1665*$M1665</f>
        <v>0</v>
      </c>
      <c r="Z1665" s="28"/>
      <c r="AA1665" s="28" t="n">
        <f aca="false">Z1665*$M1665</f>
        <v>0</v>
      </c>
      <c r="AB1665" s="28"/>
      <c r="AC1665" s="28" t="n">
        <f aca="false">AB1665*$M1665</f>
        <v>0</v>
      </c>
      <c r="AD1665" s="28"/>
      <c r="AE1665" s="28" t="n">
        <f aca="false">AD1665*$M1665</f>
        <v>0</v>
      </c>
      <c r="AF1665" s="28"/>
      <c r="AG1665" s="28" t="n">
        <f aca="false">AF1665*$M1665</f>
        <v>0</v>
      </c>
      <c r="AH1665" s="28"/>
      <c r="AI1665" s="28" t="n">
        <f aca="false">AH1665*$M1665</f>
        <v>0</v>
      </c>
      <c r="AJ1665" s="28"/>
      <c r="AK1665" s="28" t="n">
        <f aca="false">AJ1665*$M1665</f>
        <v>0</v>
      </c>
      <c r="AL1665" s="28"/>
      <c r="AM1665" s="28" t="n">
        <f aca="false">AL1665*$M1665</f>
        <v>0</v>
      </c>
      <c r="AN1665" s="28"/>
      <c r="AO1665" s="28" t="n">
        <f aca="false">AN1665*$M1665</f>
        <v>0</v>
      </c>
      <c r="AP1665" s="28"/>
      <c r="AQ1665" s="28" t="n">
        <f aca="false">AP1665*$M1665</f>
        <v>0</v>
      </c>
      <c r="AR1665" s="28"/>
      <c r="AS1665" s="28" t="n">
        <f aca="false">AR1665*$M1665</f>
        <v>0</v>
      </c>
      <c r="AT1665" s="28"/>
      <c r="AU1665" s="28" t="n">
        <f aca="false">AT1665*$M1665</f>
        <v>0</v>
      </c>
      <c r="AV1665" s="28"/>
      <c r="AW1665" s="28" t="n">
        <f aca="false">AV1665*$M1665</f>
        <v>0</v>
      </c>
      <c r="AX1665" s="28"/>
      <c r="AY1665" s="28" t="n">
        <f aca="false">AX1665*$M1665</f>
        <v>0</v>
      </c>
      <c r="AZ1665" s="30" t="n">
        <v>827</v>
      </c>
      <c r="BA1665" s="11" t="n">
        <v>8270</v>
      </c>
      <c r="BB1665" s="31" t="n">
        <f aca="false">SUM(Q1665,S1665,U1665,W1665,Y1665,AA1665,AC1665,AE1665,AG1665,AI1665,AK1665,AM1665,AO1665,AQ1665,AS1665,AU1665,AW1665,AY1665)</f>
        <v>8270</v>
      </c>
      <c r="BC1665" s="28" t="n">
        <f aca="false">BA1665-BB1665</f>
        <v>0</v>
      </c>
      <c r="BD1665" s="32" t="n">
        <f aca="false">SUM(P1665,R1665,T1665,V1665,X1665,Z1665,AB1665,AD1665,AF1665,AH1665,AJ1665,AL1665,AN1665,AP1665,AR1665,AT1665,AV1665,AX1665)</f>
        <v>827</v>
      </c>
      <c r="BE1665" s="33" t="n">
        <f aca="false">AZ1665-BD1665</f>
        <v>0</v>
      </c>
      <c r="BF1665" s="34" t="n">
        <f aca="false">BD1665*M1665</f>
        <v>8270</v>
      </c>
      <c r="BG1665" s="35" t="n">
        <f aca="false">BA1665-BF1665</f>
        <v>0</v>
      </c>
      <c r="BH1665" s="19" t="str">
        <f aca="false">IF(BG1665=0,"",IF(BG1665&lt;&gt;BA1665,"erreur de calcul",IF(BD1665&lt;&gt;0,"pas de prix",IF(M1665&lt;&gt; 0,"pas de quantité","pas de prix, ni de quantité"))))</f>
        <v/>
      </c>
      <c r="BI1665" s="19"/>
    </row>
    <row r="1666" customFormat="false" ht="15" hidden="false" customHeight="false" outlineLevel="0" collapsed="false">
      <c r="A1666" s="0" t="n">
        <v>14</v>
      </c>
      <c r="B1666" s="8" t="s">
        <v>24</v>
      </c>
      <c r="C1666" s="9" t="s">
        <v>25</v>
      </c>
      <c r="D1666" s="9" t="s">
        <v>26</v>
      </c>
      <c r="E1666" s="10" t="n">
        <v>1789</v>
      </c>
      <c r="F1666" s="9" t="s">
        <v>27</v>
      </c>
      <c r="G1666" s="9" t="s">
        <v>27</v>
      </c>
      <c r="H1666" s="11" t="n">
        <v>25</v>
      </c>
      <c r="I1666" s="11" t="s">
        <v>343</v>
      </c>
      <c r="J1666" s="14" t="n">
        <v>4</v>
      </c>
      <c r="K1666" s="14"/>
      <c r="L1666" s="16"/>
      <c r="M1666" s="27" t="n">
        <f aca="false">J1666+(K1666/20)+(L1666/240)</f>
        <v>4</v>
      </c>
      <c r="N1666" s="17" t="s">
        <v>69</v>
      </c>
      <c r="O1666" s="11"/>
      <c r="P1666" s="28"/>
      <c r="Q1666" s="28" t="n">
        <f aca="false">P1666*$M1666</f>
        <v>0</v>
      </c>
      <c r="R1666" s="28"/>
      <c r="S1666" s="28" t="n">
        <f aca="false">R1666*$M1666</f>
        <v>0</v>
      </c>
      <c r="T1666" s="28"/>
      <c r="U1666" s="28" t="n">
        <f aca="false">T1666*$M1666</f>
        <v>0</v>
      </c>
      <c r="V1666" s="28" t="n">
        <v>2198</v>
      </c>
      <c r="W1666" s="28" t="n">
        <v>8792</v>
      </c>
      <c r="X1666" s="28"/>
      <c r="Y1666" s="28" t="n">
        <f aca="false">X1666*$M1666</f>
        <v>0</v>
      </c>
      <c r="Z1666" s="28"/>
      <c r="AA1666" s="28" t="n">
        <f aca="false">Z1666*$M1666</f>
        <v>0</v>
      </c>
      <c r="AB1666" s="28"/>
      <c r="AC1666" s="28" t="n">
        <f aca="false">AB1666*$M1666</f>
        <v>0</v>
      </c>
      <c r="AD1666" s="28"/>
      <c r="AE1666" s="28" t="n">
        <f aca="false">AD1666*$M1666</f>
        <v>0</v>
      </c>
      <c r="AF1666" s="28"/>
      <c r="AG1666" s="28" t="n">
        <f aca="false">AF1666*$M1666</f>
        <v>0</v>
      </c>
      <c r="AH1666" s="28"/>
      <c r="AI1666" s="28" t="n">
        <f aca="false">AH1666*$M1666</f>
        <v>0</v>
      </c>
      <c r="AJ1666" s="28"/>
      <c r="AK1666" s="28" t="n">
        <f aca="false">AJ1666*$M1666</f>
        <v>0</v>
      </c>
      <c r="AL1666" s="28"/>
      <c r="AM1666" s="28" t="n">
        <f aca="false">AL1666*$M1666</f>
        <v>0</v>
      </c>
      <c r="AN1666" s="28"/>
      <c r="AO1666" s="28" t="n">
        <f aca="false">AN1666*$M1666</f>
        <v>0</v>
      </c>
      <c r="AP1666" s="28"/>
      <c r="AQ1666" s="28" t="n">
        <f aca="false">AP1666*$M1666</f>
        <v>0</v>
      </c>
      <c r="AR1666" s="28"/>
      <c r="AS1666" s="28" t="n">
        <f aca="false">AR1666*$M1666</f>
        <v>0</v>
      </c>
      <c r="AT1666" s="28"/>
      <c r="AU1666" s="28" t="n">
        <f aca="false">AT1666*$M1666</f>
        <v>0</v>
      </c>
      <c r="AV1666" s="28"/>
      <c r="AW1666" s="28" t="n">
        <f aca="false">AV1666*$M1666</f>
        <v>0</v>
      </c>
      <c r="AX1666" s="28"/>
      <c r="AY1666" s="28" t="n">
        <f aca="false">AX1666*$M1666</f>
        <v>0</v>
      </c>
      <c r="AZ1666" s="30" t="n">
        <v>2198</v>
      </c>
      <c r="BA1666" s="11" t="n">
        <v>8792</v>
      </c>
      <c r="BB1666" s="31" t="n">
        <f aca="false">SUM(Q1666,S1666,U1666,W1666,Y1666,AA1666,AC1666,AE1666,AG1666,AI1666,AK1666,AM1666,AO1666,AQ1666,AS1666,AU1666,AW1666,AY1666)</f>
        <v>8792</v>
      </c>
      <c r="BC1666" s="28" t="n">
        <f aca="false">BA1666-BB1666</f>
        <v>0</v>
      </c>
      <c r="BD1666" s="32" t="n">
        <f aca="false">SUM(P1666,R1666,T1666,V1666,X1666,Z1666,AB1666,AD1666,AF1666,AH1666,AJ1666,AL1666,AN1666,AP1666,AR1666,AT1666,AV1666,AX1666)</f>
        <v>2198</v>
      </c>
      <c r="BE1666" s="33" t="n">
        <f aca="false">AZ1666-BD1666</f>
        <v>0</v>
      </c>
      <c r="BF1666" s="34" t="n">
        <f aca="false">BD1666*M1666</f>
        <v>8792</v>
      </c>
      <c r="BG1666" s="35" t="n">
        <f aca="false">BA1666-BF1666</f>
        <v>0</v>
      </c>
      <c r="BH1666" s="19" t="str">
        <f aca="false">IF(BG1666=0,"",IF(BG1666&lt;&gt;BA1666,"erreur de calcul",IF(BD1666&lt;&gt;0,"pas de prix",IF(M1666&lt;&gt; 0,"pas de quantité","pas de prix, ni de quantité"))))</f>
        <v/>
      </c>
      <c r="BI1666" s="19"/>
    </row>
    <row r="1667" customFormat="false" ht="15" hidden="false" customHeight="false" outlineLevel="0" collapsed="false">
      <c r="A1667" s="0" t="n">
        <v>15</v>
      </c>
      <c r="B1667" s="8" t="s">
        <v>24</v>
      </c>
      <c r="C1667" s="9" t="s">
        <v>25</v>
      </c>
      <c r="D1667" s="9" t="s">
        <v>26</v>
      </c>
      <c r="E1667" s="10" t="n">
        <v>1789</v>
      </c>
      <c r="F1667" s="9" t="s">
        <v>27</v>
      </c>
      <c r="G1667" s="9" t="s">
        <v>27</v>
      </c>
      <c r="H1667" s="11" t="n">
        <v>25</v>
      </c>
      <c r="I1667" s="11" t="s">
        <v>344</v>
      </c>
      <c r="J1667" s="14" t="n">
        <v>2000</v>
      </c>
      <c r="K1667" s="14"/>
      <c r="L1667" s="16"/>
      <c r="M1667" s="27" t="n">
        <f aca="false">J1667+(K1667/20)+(L1667/240)</f>
        <v>2000</v>
      </c>
      <c r="N1667" s="17" t="s">
        <v>64</v>
      </c>
      <c r="O1667" s="11" t="s">
        <v>277</v>
      </c>
      <c r="P1667" s="28"/>
      <c r="Q1667" s="28" t="n">
        <f aca="false">P1667*$M1667</f>
        <v>0</v>
      </c>
      <c r="R1667" s="28"/>
      <c r="S1667" s="28" t="n">
        <f aca="false">R1667*$M1667</f>
        <v>0</v>
      </c>
      <c r="T1667" s="28"/>
      <c r="U1667" s="28" t="n">
        <f aca="false">T1667*$M1667</f>
        <v>0</v>
      </c>
      <c r="V1667" s="28"/>
      <c r="W1667" s="28" t="n">
        <f aca="false">V1667*$M1667</f>
        <v>0</v>
      </c>
      <c r="X1667" s="28"/>
      <c r="Y1667" s="28" t="n">
        <f aca="false">X1667*$M1667</f>
        <v>0</v>
      </c>
      <c r="Z1667" s="28"/>
      <c r="AA1667" s="28" t="n">
        <f aca="false">Z1667*$M1667</f>
        <v>0</v>
      </c>
      <c r="AB1667" s="28"/>
      <c r="AC1667" s="28" t="n">
        <f aca="false">AB1667*$M1667</f>
        <v>0</v>
      </c>
      <c r="AD1667" s="28"/>
      <c r="AE1667" s="28" t="n">
        <f aca="false">AD1667*$M1667</f>
        <v>0</v>
      </c>
      <c r="AF1667" s="28"/>
      <c r="AG1667" s="28" t="n">
        <f aca="false">AF1667*$M1667</f>
        <v>0</v>
      </c>
      <c r="AH1667" s="28"/>
      <c r="AI1667" s="28" t="n">
        <f aca="false">AH1667*$M1667</f>
        <v>0</v>
      </c>
      <c r="AJ1667" s="28"/>
      <c r="AK1667" s="28" t="n">
        <f aca="false">AJ1667*$M1667</f>
        <v>0</v>
      </c>
      <c r="AL1667" s="28"/>
      <c r="AM1667" s="28" t="n">
        <f aca="false">AL1667*$M1667</f>
        <v>0</v>
      </c>
      <c r="AN1667" s="28"/>
      <c r="AO1667" s="28" t="n">
        <f aca="false">AN1667*$M1667</f>
        <v>0</v>
      </c>
      <c r="AP1667" s="28"/>
      <c r="AQ1667" s="28" t="n">
        <f aca="false">AP1667*$M1667</f>
        <v>0</v>
      </c>
      <c r="AR1667" s="28"/>
      <c r="AS1667" s="28" t="n">
        <f aca="false">AR1667*$M1667</f>
        <v>0</v>
      </c>
      <c r="AT1667" s="28"/>
      <c r="AU1667" s="28" t="n">
        <f aca="false">AT1667*$M1667</f>
        <v>0</v>
      </c>
      <c r="AV1667" s="28"/>
      <c r="AW1667" s="28" t="n">
        <f aca="false">AV1667*$M1667</f>
        <v>0</v>
      </c>
      <c r="AX1667" s="28"/>
      <c r="AY1667" s="28" t="n">
        <f aca="false">AX1667*$M1667</f>
        <v>0</v>
      </c>
      <c r="AZ1667" s="30"/>
      <c r="BA1667" s="11"/>
      <c r="BB1667" s="31" t="n">
        <f aca="false">SUM(Q1667,S1667,U1667,W1667,Y1667,AA1667,AC1667,AE1667,AG1667,AI1667,AK1667,AM1667,AO1667,AQ1667,AS1667,AU1667,AW1667,AY1667)</f>
        <v>0</v>
      </c>
      <c r="BC1667" s="28" t="n">
        <f aca="false">BA1667-BB1667</f>
        <v>0</v>
      </c>
      <c r="BD1667" s="32" t="n">
        <f aca="false">SUM(P1667,R1667,T1667,V1667,X1667,Z1667,AB1667,AD1667,AF1667,AH1667,AJ1667,AL1667,AN1667,AP1667,AR1667,AT1667,AV1667,AX1667)</f>
        <v>0</v>
      </c>
      <c r="BE1667" s="33" t="n">
        <f aca="false">AZ1667-BD1667</f>
        <v>0</v>
      </c>
      <c r="BF1667" s="34" t="n">
        <f aca="false">BD1667*M1667</f>
        <v>0</v>
      </c>
      <c r="BG1667" s="35" t="n">
        <f aca="false">BA1667-BF1667</f>
        <v>0</v>
      </c>
      <c r="BH1667" s="19" t="str">
        <f aca="false">IF(BG1667=0,"",IF(BG1667&lt;&gt;BA1667,"erreur de calcul",IF(BD1667&lt;&gt;0,"pas de prix",IF(M1667&lt;&gt; 0,"pas de quantité","pas de prix, ni de quantité"))))</f>
        <v/>
      </c>
      <c r="BI1667" s="19"/>
    </row>
    <row r="1668" customFormat="false" ht="15" hidden="false" customHeight="false" outlineLevel="0" collapsed="false">
      <c r="A1668" s="0" t="n">
        <v>16</v>
      </c>
      <c r="B1668" s="8" t="s">
        <v>24</v>
      </c>
      <c r="C1668" s="9" t="s">
        <v>25</v>
      </c>
      <c r="D1668" s="9" t="s">
        <v>26</v>
      </c>
      <c r="E1668" s="10" t="n">
        <v>1789</v>
      </c>
      <c r="F1668" s="9" t="s">
        <v>27</v>
      </c>
      <c r="G1668" s="9" t="s">
        <v>27</v>
      </c>
      <c r="H1668" s="11" t="n">
        <v>25</v>
      </c>
      <c r="I1668" s="11" t="s">
        <v>344</v>
      </c>
      <c r="J1668" s="14" t="n">
        <v>2000</v>
      </c>
      <c r="K1668" s="14"/>
      <c r="L1668" s="16"/>
      <c r="M1668" s="27" t="n">
        <f aca="false">J1668+(K1668/20)+(L1668/240)</f>
        <v>2000</v>
      </c>
      <c r="N1668" s="17" t="s">
        <v>64</v>
      </c>
      <c r="O1668" s="11" t="s">
        <v>98</v>
      </c>
      <c r="P1668" s="28"/>
      <c r="Q1668" s="28" t="n">
        <f aca="false">P1668*$M1668</f>
        <v>0</v>
      </c>
      <c r="R1668" s="28"/>
      <c r="S1668" s="28" t="n">
        <f aca="false">R1668*$M1668</f>
        <v>0</v>
      </c>
      <c r="T1668" s="28"/>
      <c r="U1668" s="28" t="n">
        <f aca="false">T1668*$M1668</f>
        <v>0</v>
      </c>
      <c r="V1668" s="28"/>
      <c r="W1668" s="28" t="n">
        <f aca="false">V1668*$M1668</f>
        <v>0</v>
      </c>
      <c r="X1668" s="28" t="n">
        <f aca="false">607/100</f>
        <v>6.07</v>
      </c>
      <c r="Y1668" s="28" t="n">
        <f aca="false">X1668*$M1668</f>
        <v>12140</v>
      </c>
      <c r="Z1668" s="28"/>
      <c r="AA1668" s="28" t="n">
        <f aca="false">Z1668*$M1668</f>
        <v>0</v>
      </c>
      <c r="AB1668" s="28"/>
      <c r="AC1668" s="28" t="n">
        <f aca="false">AB1668*$M1668</f>
        <v>0</v>
      </c>
      <c r="AD1668" s="28"/>
      <c r="AE1668" s="28" t="n">
        <f aca="false">AD1668*$M1668</f>
        <v>0</v>
      </c>
      <c r="AF1668" s="28"/>
      <c r="AG1668" s="28" t="n">
        <f aca="false">AF1668*$M1668</f>
        <v>0</v>
      </c>
      <c r="AH1668" s="28"/>
      <c r="AI1668" s="28" t="n">
        <f aca="false">AH1668*$M1668</f>
        <v>0</v>
      </c>
      <c r="AJ1668" s="28"/>
      <c r="AK1668" s="28" t="n">
        <f aca="false">AJ1668*$M1668</f>
        <v>0</v>
      </c>
      <c r="AL1668" s="28" t="n">
        <f aca="false">145/100</f>
        <v>1.45</v>
      </c>
      <c r="AM1668" s="28" t="n">
        <f aca="false">AL1668*$M1668</f>
        <v>2900</v>
      </c>
      <c r="AN1668" s="28" t="n">
        <f aca="false">3865/100</f>
        <v>38.65</v>
      </c>
      <c r="AO1668" s="28" t="n">
        <v>77300</v>
      </c>
      <c r="AP1668" s="28"/>
      <c r="AQ1668" s="28" t="n">
        <f aca="false">AP1668*$M1668</f>
        <v>0</v>
      </c>
      <c r="AR1668" s="28"/>
      <c r="AS1668" s="28" t="n">
        <f aca="false">AR1668*$M1668</f>
        <v>0</v>
      </c>
      <c r="AT1668" s="28"/>
      <c r="AU1668" s="28" t="n">
        <f aca="false">AT1668*$M1668</f>
        <v>0</v>
      </c>
      <c r="AV1668" s="28"/>
      <c r="AW1668" s="28" t="n">
        <f aca="false">AV1668*$M1668</f>
        <v>0</v>
      </c>
      <c r="AX1668" s="28"/>
      <c r="AY1668" s="28" t="n">
        <f aca="false">AX1668*$M1668</f>
        <v>0</v>
      </c>
      <c r="AZ1668" s="30" t="n">
        <f aca="false">4617/100</f>
        <v>46.17</v>
      </c>
      <c r="BA1668" s="11" t="n">
        <v>92340</v>
      </c>
      <c r="BB1668" s="31" t="n">
        <f aca="false">SUM(Q1668,S1668,U1668,W1668,Y1668,AA1668,AC1668,AE1668,AG1668,AI1668,AK1668,AM1668,AO1668,AQ1668,AS1668,AU1668,AW1668,AY1668)</f>
        <v>92340</v>
      </c>
      <c r="BC1668" s="28" t="n">
        <f aca="false">BA1668-BB1668</f>
        <v>0</v>
      </c>
      <c r="BD1668" s="32" t="n">
        <f aca="false">SUM(P1668,R1668,T1668,V1668,X1668,Z1668,AB1668,AD1668,AF1668,AH1668,AJ1668,AL1668,AN1668,AP1668,AR1668,AT1668,AV1668,AX1668)</f>
        <v>46.17</v>
      </c>
      <c r="BE1668" s="33" t="n">
        <f aca="false">AZ1668-BD1668</f>
        <v>0</v>
      </c>
      <c r="BF1668" s="34" t="n">
        <f aca="false">BD1668*M1668</f>
        <v>92340</v>
      </c>
      <c r="BG1668" s="35" t="n">
        <f aca="false">BA1668-BF1668</f>
        <v>0</v>
      </c>
      <c r="BH1668" s="19" t="str">
        <f aca="false">IF(BG1668=0,"",IF(BG1668&lt;&gt;BA1668,"erreur de calcul",IF(BD1668&lt;&gt;0,"pas de prix",IF(M1668&lt;&gt; 0,"pas de quantité","pas de prix, ni de quantité"))))</f>
        <v/>
      </c>
      <c r="BI1668" s="19"/>
    </row>
    <row r="1669" customFormat="false" ht="15" hidden="false" customHeight="false" outlineLevel="0" collapsed="false">
      <c r="A1669" s="0" t="n">
        <v>17</v>
      </c>
      <c r="B1669" s="8" t="s">
        <v>24</v>
      </c>
      <c r="C1669" s="9" t="s">
        <v>25</v>
      </c>
      <c r="D1669" s="9" t="s">
        <v>26</v>
      </c>
      <c r="E1669" s="10" t="n">
        <v>1789</v>
      </c>
      <c r="F1669" s="9" t="s">
        <v>27</v>
      </c>
      <c r="G1669" s="9" t="s">
        <v>27</v>
      </c>
      <c r="H1669" s="11" t="n">
        <v>25</v>
      </c>
      <c r="I1669" s="11" t="s">
        <v>345</v>
      </c>
      <c r="J1669" s="14"/>
      <c r="K1669" s="14" t="n">
        <v>12</v>
      </c>
      <c r="L1669" s="16"/>
      <c r="M1669" s="27" t="n">
        <f aca="false">J1669+(K1669/20)+(L1669/240)</f>
        <v>0.6</v>
      </c>
      <c r="N1669" s="17" t="s">
        <v>66</v>
      </c>
      <c r="O1669" s="11"/>
      <c r="P1669" s="28"/>
      <c r="Q1669" s="28" t="n">
        <f aca="false">P1669*$M1669</f>
        <v>0</v>
      </c>
      <c r="R1669" s="28"/>
      <c r="S1669" s="28" t="n">
        <f aca="false">R1669*$M1669</f>
        <v>0</v>
      </c>
      <c r="T1669" s="28"/>
      <c r="U1669" s="28" t="n">
        <f aca="false">T1669*$M1669</f>
        <v>0</v>
      </c>
      <c r="V1669" s="28"/>
      <c r="W1669" s="28" t="n">
        <f aca="false">V1669*$M1669</f>
        <v>0</v>
      </c>
      <c r="X1669" s="28"/>
      <c r="Y1669" s="28" t="n">
        <f aca="false">X1669*$M1669</f>
        <v>0</v>
      </c>
      <c r="Z1669" s="28"/>
      <c r="AA1669" s="28" t="n">
        <f aca="false">Z1669*$M1669</f>
        <v>0</v>
      </c>
      <c r="AB1669" s="28"/>
      <c r="AC1669" s="28" t="n">
        <f aca="false">AB1669*$M1669</f>
        <v>0</v>
      </c>
      <c r="AD1669" s="28"/>
      <c r="AE1669" s="28" t="n">
        <f aca="false">AD1669*$M1669</f>
        <v>0</v>
      </c>
      <c r="AF1669" s="28"/>
      <c r="AG1669" s="28" t="n">
        <f aca="false">AF1669*$M1669</f>
        <v>0</v>
      </c>
      <c r="AH1669" s="28"/>
      <c r="AI1669" s="28" t="n">
        <f aca="false">AH1669*$M1669</f>
        <v>0</v>
      </c>
      <c r="AJ1669" s="28" t="n">
        <v>41194</v>
      </c>
      <c r="AK1669" s="28" t="n">
        <v>24716</v>
      </c>
      <c r="AL1669" s="28"/>
      <c r="AM1669" s="28" t="n">
        <f aca="false">AL1669*$M1669</f>
        <v>0</v>
      </c>
      <c r="AN1669" s="28"/>
      <c r="AO1669" s="28" t="n">
        <f aca="false">AN1669*$M1669</f>
        <v>0</v>
      </c>
      <c r="AP1669" s="28"/>
      <c r="AQ1669" s="28" t="n">
        <f aca="false">AP1669*$M1669</f>
        <v>0</v>
      </c>
      <c r="AR1669" s="28"/>
      <c r="AS1669" s="28" t="n">
        <f aca="false">AR1669*$M1669</f>
        <v>0</v>
      </c>
      <c r="AT1669" s="28"/>
      <c r="AU1669" s="28" t="n">
        <f aca="false">AT1669*$M1669</f>
        <v>0</v>
      </c>
      <c r="AV1669" s="28"/>
      <c r="AW1669" s="28" t="n">
        <f aca="false">AV1669*$M1669</f>
        <v>0</v>
      </c>
      <c r="AX1669" s="28"/>
      <c r="AY1669" s="28" t="n">
        <f aca="false">AX1669*$M1669</f>
        <v>0</v>
      </c>
      <c r="AZ1669" s="30" t="n">
        <v>41194</v>
      </c>
      <c r="BA1669" s="11" t="n">
        <v>24716</v>
      </c>
      <c r="BB1669" s="31" t="n">
        <f aca="false">SUM(Q1669,S1669,U1669,W1669,Y1669,AA1669,AC1669,AE1669,AG1669,AI1669,AK1669,AM1669,AO1669,AQ1669,AS1669,AU1669,AW1669,AY1669)</f>
        <v>24716</v>
      </c>
      <c r="BC1669" s="28" t="n">
        <f aca="false">BA1669-BB1669</f>
        <v>0</v>
      </c>
      <c r="BD1669" s="32" t="n">
        <f aca="false">SUM(P1669,R1669,T1669,V1669,X1669,Z1669,AB1669,AD1669,AF1669,AH1669,AJ1669,AL1669,AN1669,AP1669,AR1669,AT1669,AV1669,AX1669)</f>
        <v>41194</v>
      </c>
      <c r="BE1669" s="33" t="n">
        <f aca="false">AZ1669-BD1669</f>
        <v>0</v>
      </c>
      <c r="BF1669" s="34" t="n">
        <f aca="false">BD1669*M1669</f>
        <v>24716.4</v>
      </c>
      <c r="BG1669" s="35" t="n">
        <f aca="false">BA1669-BF1669</f>
        <v>-0.399999999997817</v>
      </c>
      <c r="BH1669" s="19" t="str">
        <f aca="false">IF(BG1669=0,"",IF(BG1669&lt;&gt;BA1669,"erreur de calcul",IF(BD1669&lt;&gt;0,"pas de prix",IF(M1669&lt;&gt; 0,"pas de quantité","pas de prix, ni de quantité"))))</f>
        <v>erreur de calcul</v>
      </c>
      <c r="BI1669" s="19"/>
    </row>
    <row r="1670" customFormat="false" ht="15" hidden="false" customHeight="false" outlineLevel="0" collapsed="false">
      <c r="A1670" s="0" t="n">
        <v>18</v>
      </c>
      <c r="B1670" s="8" t="s">
        <v>24</v>
      </c>
      <c r="C1670" s="9" t="s">
        <v>25</v>
      </c>
      <c r="D1670" s="9" t="s">
        <v>26</v>
      </c>
      <c r="E1670" s="10" t="n">
        <v>1789</v>
      </c>
      <c r="F1670" s="9" t="s">
        <v>27</v>
      </c>
      <c r="G1670" s="9" t="s">
        <v>27</v>
      </c>
      <c r="H1670" s="11" t="n">
        <v>25</v>
      </c>
      <c r="I1670" s="11" t="s">
        <v>346</v>
      </c>
      <c r="J1670" s="14"/>
      <c r="K1670" s="14" t="n">
        <v>50</v>
      </c>
      <c r="L1670" s="16"/>
      <c r="M1670" s="27" t="n">
        <f aca="false">J1670+(K1670/20)+(L1670/240)</f>
        <v>2.5</v>
      </c>
      <c r="N1670" s="17" t="s">
        <v>85</v>
      </c>
      <c r="O1670" s="11"/>
      <c r="P1670" s="28" t="n">
        <f aca="false">371167/100</f>
        <v>3711.67</v>
      </c>
      <c r="Q1670" s="28" t="n">
        <v>9279</v>
      </c>
      <c r="R1670" s="28"/>
      <c r="S1670" s="28" t="n">
        <f aca="false">R1670*$M1670</f>
        <v>0</v>
      </c>
      <c r="T1670" s="28"/>
      <c r="U1670" s="28" t="n">
        <f aca="false">T1670*$M1670</f>
        <v>0</v>
      </c>
      <c r="V1670" s="28"/>
      <c r="W1670" s="28" t="n">
        <f aca="false">V1670*$M1670</f>
        <v>0</v>
      </c>
      <c r="X1670" s="28"/>
      <c r="Y1670" s="28" t="n">
        <f aca="false">X1670*$M1670</f>
        <v>0</v>
      </c>
      <c r="Z1670" s="28"/>
      <c r="AA1670" s="28" t="n">
        <f aca="false">Z1670*$M1670</f>
        <v>0</v>
      </c>
      <c r="AB1670" s="28"/>
      <c r="AC1670" s="28" t="n">
        <f aca="false">AB1670*$M1670</f>
        <v>0</v>
      </c>
      <c r="AD1670" s="28"/>
      <c r="AE1670" s="28" t="n">
        <f aca="false">AD1670*$M1670</f>
        <v>0</v>
      </c>
      <c r="AF1670" s="28"/>
      <c r="AG1670" s="28" t="n">
        <f aca="false">AF1670*$M1670</f>
        <v>0</v>
      </c>
      <c r="AH1670" s="28"/>
      <c r="AI1670" s="28" t="n">
        <f aca="false">AH1670*$M1670</f>
        <v>0</v>
      </c>
      <c r="AJ1670" s="28"/>
      <c r="AK1670" s="28" t="n">
        <f aca="false">AJ1670*$M1670</f>
        <v>0</v>
      </c>
      <c r="AL1670" s="28"/>
      <c r="AM1670" s="28" t="n">
        <f aca="false">AL1670*$M1670</f>
        <v>0</v>
      </c>
      <c r="AN1670" s="28"/>
      <c r="AO1670" s="28" t="n">
        <f aca="false">AN1670*$M1670</f>
        <v>0</v>
      </c>
      <c r="AP1670" s="28"/>
      <c r="AQ1670" s="28" t="n">
        <f aca="false">AP1670*$M1670</f>
        <v>0</v>
      </c>
      <c r="AR1670" s="28"/>
      <c r="AS1670" s="28" t="n">
        <f aca="false">AR1670*$M1670</f>
        <v>0</v>
      </c>
      <c r="AT1670" s="28"/>
      <c r="AU1670" s="28" t="n">
        <f aca="false">AT1670*$M1670</f>
        <v>0</v>
      </c>
      <c r="AV1670" s="28"/>
      <c r="AW1670" s="28" t="n">
        <f aca="false">AV1670*$M1670</f>
        <v>0</v>
      </c>
      <c r="AX1670" s="28"/>
      <c r="AY1670" s="28" t="n">
        <f aca="false">AX1670*$M1670</f>
        <v>0</v>
      </c>
      <c r="AZ1670" s="30" t="n">
        <f aca="false">371167/100</f>
        <v>3711.67</v>
      </c>
      <c r="BA1670" s="11" t="n">
        <v>9279</v>
      </c>
      <c r="BB1670" s="31" t="n">
        <f aca="false">SUM(Q1670,S1670,U1670,W1670,Y1670,AA1670,AC1670,AE1670,AG1670,AI1670,AK1670,AM1670,AO1670,AQ1670,AS1670,AU1670,AW1670,AY1670)</f>
        <v>9279</v>
      </c>
      <c r="BC1670" s="28" t="n">
        <f aca="false">BA1670-BB1670</f>
        <v>0</v>
      </c>
      <c r="BD1670" s="32" t="n">
        <f aca="false">SUM(P1670,R1670,T1670,V1670,X1670,Z1670,AB1670,AD1670,AF1670,AH1670,AJ1670,AL1670,AN1670,AP1670,AR1670,AT1670,AV1670,AX1670)</f>
        <v>3711.67</v>
      </c>
      <c r="BE1670" s="33" t="n">
        <f aca="false">AZ1670-BD1670</f>
        <v>0</v>
      </c>
      <c r="BF1670" s="34" t="n">
        <f aca="false">BD1670*M1670</f>
        <v>9279.175</v>
      </c>
      <c r="BG1670" s="35" t="n">
        <f aca="false">BA1670-BF1670</f>
        <v>-0.174999999999272</v>
      </c>
      <c r="BH1670" s="19" t="str">
        <f aca="false">IF(BG1670=0,"",IF(BG1670&lt;&gt;BA1670,"erreur de calcul",IF(BD1670&lt;&gt;0,"pas de prix",IF(M1670&lt;&gt; 0,"pas de quantité","pas de prix, ni de quantité"))))</f>
        <v>erreur de calcul</v>
      </c>
      <c r="BI1670" s="19"/>
    </row>
    <row r="1671" customFormat="false" ht="16.65" hidden="false" customHeight="false" outlineLevel="0" collapsed="false">
      <c r="A1671" s="0" t="n">
        <v>19</v>
      </c>
      <c r="B1671" s="8" t="s">
        <v>24</v>
      </c>
      <c r="C1671" s="9" t="s">
        <v>25</v>
      </c>
      <c r="D1671" s="9" t="s">
        <v>26</v>
      </c>
      <c r="E1671" s="10" t="n">
        <v>1789</v>
      </c>
      <c r="F1671" s="9" t="s">
        <v>27</v>
      </c>
      <c r="G1671" s="9" t="s">
        <v>27</v>
      </c>
      <c r="H1671" s="11" t="n">
        <v>25</v>
      </c>
      <c r="I1671" s="11" t="s">
        <v>347</v>
      </c>
      <c r="J1671" s="14" t="n">
        <v>60</v>
      </c>
      <c r="K1671" s="14"/>
      <c r="L1671" s="16"/>
      <c r="M1671" s="27" t="n">
        <f aca="false">J1671+(K1671/20)+(L1671/240)</f>
        <v>60</v>
      </c>
      <c r="N1671" s="17" t="s">
        <v>64</v>
      </c>
      <c r="O1671" s="11"/>
      <c r="P1671" s="28"/>
      <c r="Q1671" s="28" t="n">
        <f aca="false">P1671*$M1671</f>
        <v>0</v>
      </c>
      <c r="R1671" s="28"/>
      <c r="S1671" s="28" t="n">
        <f aca="false">R1671*$M1671</f>
        <v>0</v>
      </c>
      <c r="T1671" s="28"/>
      <c r="U1671" s="28" t="n">
        <f aca="false">T1671*$M1671</f>
        <v>0</v>
      </c>
      <c r="V1671" s="28" t="n">
        <f aca="false">4151/100</f>
        <v>41.51</v>
      </c>
      <c r="W1671" s="28" t="n">
        <v>2491</v>
      </c>
      <c r="X1671" s="28" t="n">
        <f aca="false">13344/100</f>
        <v>133.44</v>
      </c>
      <c r="Y1671" s="28" t="n">
        <v>8006</v>
      </c>
      <c r="Z1671" s="28" t="n">
        <f aca="false">3323/100</f>
        <v>33.23</v>
      </c>
      <c r="AA1671" s="28" t="n">
        <v>1994</v>
      </c>
      <c r="AB1671" s="28"/>
      <c r="AC1671" s="28" t="n">
        <f aca="false">AB1671*$M1671</f>
        <v>0</v>
      </c>
      <c r="AD1671" s="28" t="n">
        <f aca="false">15268/100</f>
        <v>152.68</v>
      </c>
      <c r="AE1671" s="28" t="n">
        <v>9161</v>
      </c>
      <c r="AF1671" s="28"/>
      <c r="AG1671" s="28" t="n">
        <f aca="false">AF1671*$M1671</f>
        <v>0</v>
      </c>
      <c r="AH1671" s="28"/>
      <c r="AI1671" s="28" t="n">
        <f aca="false">AH1671*$M1671</f>
        <v>0</v>
      </c>
      <c r="AJ1671" s="28"/>
      <c r="AK1671" s="28" t="n">
        <f aca="false">AJ1671*$M1671</f>
        <v>0</v>
      </c>
      <c r="AL1671" s="28"/>
      <c r="AM1671" s="28" t="n">
        <f aca="false">AL1671*$M1671</f>
        <v>0</v>
      </c>
      <c r="AN1671" s="28"/>
      <c r="AO1671" s="28" t="n">
        <f aca="false">AN1671*$M1671</f>
        <v>0</v>
      </c>
      <c r="AP1671" s="28"/>
      <c r="AQ1671" s="28" t="n">
        <f aca="false">AP1671*$M1671</f>
        <v>0</v>
      </c>
      <c r="AR1671" s="28"/>
      <c r="AS1671" s="28" t="n">
        <f aca="false">AR1671*$M1671</f>
        <v>0</v>
      </c>
      <c r="AT1671" s="28"/>
      <c r="AU1671" s="28" t="n">
        <f aca="false">AT1671*$M1671</f>
        <v>0</v>
      </c>
      <c r="AV1671" s="28"/>
      <c r="AW1671" s="28" t="n">
        <f aca="false">AV1671*$M1671</f>
        <v>0</v>
      </c>
      <c r="AX1671" s="28"/>
      <c r="AY1671" s="28" t="n">
        <f aca="false">AX1671*$M1671</f>
        <v>0</v>
      </c>
      <c r="AZ1671" s="30" t="n">
        <f aca="false">32763/100</f>
        <v>327.63</v>
      </c>
      <c r="BA1671" s="11" t="n">
        <v>21652</v>
      </c>
      <c r="BB1671" s="31" t="n">
        <f aca="false">SUM(Q1671,S1671,U1671,W1671,Y1671,AA1671,AC1671,AE1671,AG1671,AI1671,AK1671,AM1671,AO1671,AQ1671,AS1671,AU1671,AW1671,AY1671)</f>
        <v>21652</v>
      </c>
      <c r="BC1671" s="28" t="n">
        <f aca="false">BA1671-BB1671</f>
        <v>0</v>
      </c>
      <c r="BD1671" s="32" t="n">
        <f aca="false">SUM(P1671,R1671,T1671,V1671,X1671,Z1671,AB1671,AD1671,AF1671,AH1671,AJ1671,AL1671,AN1671,AP1671,AR1671,AT1671,AV1671,AX1671)</f>
        <v>360.86</v>
      </c>
      <c r="BE1671" s="33" t="n">
        <f aca="false">AZ1671-BD1671</f>
        <v>-33.23</v>
      </c>
      <c r="BF1671" s="34" t="n">
        <f aca="false">BD1671*M1671</f>
        <v>21651.6</v>
      </c>
      <c r="BG1671" s="35" t="n">
        <f aca="false">BA1671-BF1671</f>
        <v>0.399999999997817</v>
      </c>
      <c r="BH1671" s="19" t="str">
        <f aca="false">IF(BG1671=0,"",IF(BG1671&lt;&gt;BA1671,"erreur de calcul",IF(BD1671&lt;&gt;0,"pas de prix",IF(M1671&lt;&gt; 0,"pas de quantité","pas de prix, ni de quantité"))))</f>
        <v>erreur de calcul</v>
      </c>
      <c r="BI1671" s="19"/>
    </row>
    <row r="1672" customFormat="false" ht="15" hidden="false" customHeight="false" outlineLevel="0" collapsed="false">
      <c r="A1672" s="0" t="n">
        <v>20</v>
      </c>
      <c r="B1672" s="8" t="s">
        <v>24</v>
      </c>
      <c r="C1672" s="9" t="s">
        <v>25</v>
      </c>
      <c r="D1672" s="9" t="s">
        <v>26</v>
      </c>
      <c r="E1672" s="10" t="n">
        <v>1789</v>
      </c>
      <c r="F1672" s="9" t="s">
        <v>27</v>
      </c>
      <c r="G1672" s="9" t="s">
        <v>27</v>
      </c>
      <c r="H1672" s="11" t="n">
        <v>25</v>
      </c>
      <c r="I1672" s="11" t="s">
        <v>348</v>
      </c>
      <c r="J1672" s="14" t="n">
        <v>9</v>
      </c>
      <c r="K1672" s="14"/>
      <c r="L1672" s="16"/>
      <c r="M1672" s="27" t="n">
        <f aca="false">J1672+(K1672/20)+(L1672/240)</f>
        <v>9</v>
      </c>
      <c r="N1672" s="17" t="s">
        <v>349</v>
      </c>
      <c r="O1672" s="11"/>
      <c r="P1672" s="28"/>
      <c r="Q1672" s="28" t="n">
        <f aca="false">P1672*$M1672</f>
        <v>0</v>
      </c>
      <c r="R1672" s="28"/>
      <c r="S1672" s="28" t="n">
        <f aca="false">R1672*$M1672</f>
        <v>0</v>
      </c>
      <c r="T1672" s="28"/>
      <c r="U1672" s="28" t="n">
        <f aca="false">T1672*$M1672</f>
        <v>0</v>
      </c>
      <c r="V1672" s="28" t="n">
        <v>545</v>
      </c>
      <c r="W1672" s="28" t="n">
        <v>4905</v>
      </c>
      <c r="X1672" s="28"/>
      <c r="Y1672" s="28" t="n">
        <f aca="false">X1672*$M1672</f>
        <v>0</v>
      </c>
      <c r="Z1672" s="28"/>
      <c r="AA1672" s="28" t="n">
        <f aca="false">Z1672*$M1672</f>
        <v>0</v>
      </c>
      <c r="AB1672" s="28"/>
      <c r="AC1672" s="28" t="n">
        <f aca="false">AB1672*$M1672</f>
        <v>0</v>
      </c>
      <c r="AD1672" s="28"/>
      <c r="AE1672" s="28" t="n">
        <f aca="false">AD1672*$M1672</f>
        <v>0</v>
      </c>
      <c r="AF1672" s="28"/>
      <c r="AG1672" s="28" t="n">
        <f aca="false">AF1672*$M1672</f>
        <v>0</v>
      </c>
      <c r="AH1672" s="28"/>
      <c r="AI1672" s="28" t="n">
        <f aca="false">AH1672*$M1672</f>
        <v>0</v>
      </c>
      <c r="AJ1672" s="28" t="n">
        <v>592</v>
      </c>
      <c r="AK1672" s="28" t="n">
        <v>5328</v>
      </c>
      <c r="AL1672" s="28"/>
      <c r="AM1672" s="28" t="n">
        <f aca="false">AL1672*$M1672</f>
        <v>0</v>
      </c>
      <c r="AN1672" s="28"/>
      <c r="AO1672" s="28" t="n">
        <f aca="false">AN1672*$M1672</f>
        <v>0</v>
      </c>
      <c r="AP1672" s="28"/>
      <c r="AQ1672" s="28" t="n">
        <f aca="false">AP1672*$M1672</f>
        <v>0</v>
      </c>
      <c r="AR1672" s="28"/>
      <c r="AS1672" s="28" t="n">
        <f aca="false">AR1672*$M1672</f>
        <v>0</v>
      </c>
      <c r="AT1672" s="28"/>
      <c r="AU1672" s="28" t="n">
        <f aca="false">AT1672*$M1672</f>
        <v>0</v>
      </c>
      <c r="AV1672" s="28"/>
      <c r="AW1672" s="28" t="n">
        <f aca="false">AV1672*$M1672</f>
        <v>0</v>
      </c>
      <c r="AX1672" s="28"/>
      <c r="AY1672" s="28" t="n">
        <f aca="false">AX1672*$M1672</f>
        <v>0</v>
      </c>
      <c r="AZ1672" s="30" t="n">
        <v>1137</v>
      </c>
      <c r="BA1672" s="11" t="n">
        <v>10233</v>
      </c>
      <c r="BB1672" s="31" t="n">
        <f aca="false">SUM(Q1672,S1672,U1672,W1672,Y1672,AA1672,AC1672,AE1672,AG1672,AI1672,AK1672,AM1672,AO1672,AQ1672,AS1672,AU1672,AW1672,AY1672)</f>
        <v>10233</v>
      </c>
      <c r="BC1672" s="28" t="n">
        <f aca="false">BA1672-BB1672</f>
        <v>0</v>
      </c>
      <c r="BD1672" s="32" t="n">
        <f aca="false">SUM(P1672,R1672,T1672,V1672,X1672,Z1672,AB1672,AD1672,AF1672,AH1672,AJ1672,AL1672,AN1672,AP1672,AR1672,AT1672,AV1672,AX1672)</f>
        <v>1137</v>
      </c>
      <c r="BE1672" s="33" t="n">
        <f aca="false">AZ1672-BD1672</f>
        <v>0</v>
      </c>
      <c r="BF1672" s="34" t="n">
        <f aca="false">BD1672*M1672</f>
        <v>10233</v>
      </c>
      <c r="BG1672" s="35" t="n">
        <f aca="false">BA1672-BF1672</f>
        <v>0</v>
      </c>
      <c r="BH1672" s="19" t="str">
        <f aca="false">IF(BG1672=0,"",IF(BG1672&lt;&gt;BA1672,"erreur de calcul",IF(BD1672&lt;&gt;0,"pas de prix",IF(M1672&lt;&gt; 0,"pas de quantité","pas de prix, ni de quantité"))))</f>
        <v/>
      </c>
      <c r="BI1672" s="19"/>
    </row>
    <row r="1673" customFormat="false" ht="15" hidden="false" customHeight="false" outlineLevel="0" collapsed="false">
      <c r="A1673" s="0" t="n">
        <v>21</v>
      </c>
      <c r="B1673" s="8" t="s">
        <v>24</v>
      </c>
      <c r="C1673" s="9" t="s">
        <v>25</v>
      </c>
      <c r="D1673" s="9" t="s">
        <v>26</v>
      </c>
      <c r="E1673" s="10" t="n">
        <v>1789</v>
      </c>
      <c r="F1673" s="9" t="s">
        <v>27</v>
      </c>
      <c r="G1673" s="9" t="s">
        <v>27</v>
      </c>
      <c r="H1673" s="11" t="n">
        <v>25</v>
      </c>
      <c r="I1673" s="11" t="s">
        <v>350</v>
      </c>
      <c r="J1673" s="14"/>
      <c r="K1673" s="14" t="n">
        <v>40</v>
      </c>
      <c r="L1673" s="16"/>
      <c r="M1673" s="27" t="n">
        <f aca="false">J1673+(K1673/20)+(L1673/240)</f>
        <v>2</v>
      </c>
      <c r="N1673" s="17" t="s">
        <v>349</v>
      </c>
      <c r="O1673" s="11"/>
      <c r="P1673" s="28"/>
      <c r="Q1673" s="28" t="n">
        <f aca="false">P1673*$M1673</f>
        <v>0</v>
      </c>
      <c r="R1673" s="28"/>
      <c r="S1673" s="28" t="n">
        <f aca="false">R1673*$M1673</f>
        <v>0</v>
      </c>
      <c r="T1673" s="28"/>
      <c r="U1673" s="28" t="n">
        <f aca="false">T1673*$M1673</f>
        <v>0</v>
      </c>
      <c r="V1673" s="28" t="n">
        <v>2688</v>
      </c>
      <c r="W1673" s="28" t="n">
        <v>5376</v>
      </c>
      <c r="X1673" s="28" t="n">
        <v>775</v>
      </c>
      <c r="Y1673" s="28" t="n">
        <v>1550</v>
      </c>
      <c r="Z1673" s="28"/>
      <c r="AA1673" s="28" t="n">
        <f aca="false">Z1673*$M1673</f>
        <v>0</v>
      </c>
      <c r="AB1673" s="28"/>
      <c r="AC1673" s="28" t="n">
        <f aca="false">AB1673*$M1673</f>
        <v>0</v>
      </c>
      <c r="AD1673" s="28"/>
      <c r="AE1673" s="28" t="n">
        <f aca="false">AD1673*$M1673</f>
        <v>0</v>
      </c>
      <c r="AF1673" s="28"/>
      <c r="AG1673" s="28" t="n">
        <f aca="false">AF1673*$M1673</f>
        <v>0</v>
      </c>
      <c r="AH1673" s="28"/>
      <c r="AI1673" s="28" t="n">
        <f aca="false">AH1673*$M1673</f>
        <v>0</v>
      </c>
      <c r="AJ1673" s="28"/>
      <c r="AK1673" s="28" t="n">
        <f aca="false">AJ1673*$M1673</f>
        <v>0</v>
      </c>
      <c r="AL1673" s="28"/>
      <c r="AM1673" s="28" t="n">
        <f aca="false">AL1673*$M1673</f>
        <v>0</v>
      </c>
      <c r="AN1673" s="28"/>
      <c r="AO1673" s="28" t="n">
        <f aca="false">AN1673*$M1673</f>
        <v>0</v>
      </c>
      <c r="AP1673" s="28"/>
      <c r="AQ1673" s="28" t="n">
        <f aca="false">AP1673*$M1673</f>
        <v>0</v>
      </c>
      <c r="AR1673" s="28"/>
      <c r="AS1673" s="28" t="n">
        <f aca="false">AR1673*$M1673</f>
        <v>0</v>
      </c>
      <c r="AT1673" s="28"/>
      <c r="AU1673" s="28" t="n">
        <f aca="false">AT1673*$M1673</f>
        <v>0</v>
      </c>
      <c r="AV1673" s="28"/>
      <c r="AW1673" s="28" t="n">
        <f aca="false">AV1673*$M1673</f>
        <v>0</v>
      </c>
      <c r="AX1673" s="28"/>
      <c r="AY1673" s="28" t="n">
        <f aca="false">AX1673*$M1673</f>
        <v>0</v>
      </c>
      <c r="AZ1673" s="30" t="n">
        <v>3463</v>
      </c>
      <c r="BA1673" s="11" t="n">
        <v>6926</v>
      </c>
      <c r="BB1673" s="31" t="n">
        <f aca="false">SUM(Q1673,S1673,U1673,W1673,Y1673,AA1673,AC1673,AE1673,AG1673,AI1673,AK1673,AM1673,AO1673,AQ1673,AS1673,AU1673,AW1673,AY1673)</f>
        <v>6926</v>
      </c>
      <c r="BC1673" s="28" t="n">
        <f aca="false">BA1673-BB1673</f>
        <v>0</v>
      </c>
      <c r="BD1673" s="32" t="n">
        <f aca="false">SUM(P1673,R1673,T1673,V1673,X1673,Z1673,AB1673,AD1673,AF1673,AH1673,AJ1673,AL1673,AN1673,AP1673,AR1673,AT1673,AV1673,AX1673)</f>
        <v>3463</v>
      </c>
      <c r="BE1673" s="33" t="n">
        <f aca="false">AZ1673-BD1673</f>
        <v>0</v>
      </c>
      <c r="BF1673" s="34" t="n">
        <f aca="false">BD1673*M1673</f>
        <v>6926</v>
      </c>
      <c r="BG1673" s="35" t="n">
        <f aca="false">BA1673-BF1673</f>
        <v>0</v>
      </c>
      <c r="BH1673" s="19" t="str">
        <f aca="false">IF(BG1673=0,"",IF(BG1673&lt;&gt;BA1673,"erreur de calcul",IF(BD1673&lt;&gt;0,"pas de prix",IF(M1673&lt;&gt; 0,"pas de quantité","pas de prix, ni de quantité"))))</f>
        <v/>
      </c>
      <c r="BI1673" s="19"/>
    </row>
    <row r="1674" customFormat="false" ht="15" hidden="false" customHeight="false" outlineLevel="0" collapsed="false">
      <c r="A1674" s="0" t="n">
        <v>22</v>
      </c>
      <c r="B1674" s="8" t="s">
        <v>24</v>
      </c>
      <c r="C1674" s="9" t="s">
        <v>25</v>
      </c>
      <c r="D1674" s="9" t="s">
        <v>26</v>
      </c>
      <c r="E1674" s="10" t="n">
        <v>1789</v>
      </c>
      <c r="F1674" s="9" t="s">
        <v>27</v>
      </c>
      <c r="G1674" s="9" t="s">
        <v>27</v>
      </c>
      <c r="H1674" s="11" t="n">
        <v>25</v>
      </c>
      <c r="I1674" s="11" t="s">
        <v>351</v>
      </c>
      <c r="J1674" s="14" t="n">
        <v>60</v>
      </c>
      <c r="K1674" s="14"/>
      <c r="L1674" s="16"/>
      <c r="M1674" s="27" t="n">
        <f aca="false">J1674+(K1674/20)+(L1674/240)</f>
        <v>60</v>
      </c>
      <c r="N1674" s="17" t="s">
        <v>69</v>
      </c>
      <c r="O1674" s="11"/>
      <c r="P1674" s="28"/>
      <c r="Q1674" s="28" t="n">
        <f aca="false">P1674*$M1674</f>
        <v>0</v>
      </c>
      <c r="R1674" s="28"/>
      <c r="S1674" s="28" t="n">
        <f aca="false">R1674*$M1674</f>
        <v>0</v>
      </c>
      <c r="T1674" s="28" t="n">
        <v>20</v>
      </c>
      <c r="U1674" s="28" t="n">
        <v>1200</v>
      </c>
      <c r="V1674" s="28" t="n">
        <v>82</v>
      </c>
      <c r="W1674" s="28" t="n">
        <v>4920</v>
      </c>
      <c r="X1674" s="28"/>
      <c r="Y1674" s="28" t="n">
        <f aca="false">X1674*$M1674</f>
        <v>0</v>
      </c>
      <c r="Z1674" s="28"/>
      <c r="AA1674" s="28" t="n">
        <f aca="false">Z1674*$M1674</f>
        <v>0</v>
      </c>
      <c r="AB1674" s="28"/>
      <c r="AC1674" s="28" t="n">
        <f aca="false">AB1674*$M1674</f>
        <v>0</v>
      </c>
      <c r="AD1674" s="28"/>
      <c r="AE1674" s="28" t="n">
        <f aca="false">AD1674*$M1674</f>
        <v>0</v>
      </c>
      <c r="AF1674" s="28"/>
      <c r="AG1674" s="28" t="n">
        <f aca="false">AF1674*$M1674</f>
        <v>0</v>
      </c>
      <c r="AH1674" s="28"/>
      <c r="AI1674" s="28" t="n">
        <f aca="false">AH1674*$M1674</f>
        <v>0</v>
      </c>
      <c r="AJ1674" s="28"/>
      <c r="AK1674" s="28" t="n">
        <f aca="false">AJ1674*$M1674</f>
        <v>0</v>
      </c>
      <c r="AL1674" s="28"/>
      <c r="AM1674" s="28" t="n">
        <f aca="false">AL1674*$M1674</f>
        <v>0</v>
      </c>
      <c r="AN1674" s="28"/>
      <c r="AO1674" s="28" t="n">
        <f aca="false">AN1674*$M1674</f>
        <v>0</v>
      </c>
      <c r="AP1674" s="28"/>
      <c r="AQ1674" s="28" t="n">
        <f aca="false">AP1674*$M1674</f>
        <v>0</v>
      </c>
      <c r="AR1674" s="28"/>
      <c r="AS1674" s="28" t="n">
        <f aca="false">AR1674*$M1674</f>
        <v>0</v>
      </c>
      <c r="AT1674" s="28"/>
      <c r="AU1674" s="28" t="n">
        <f aca="false">AT1674*$M1674</f>
        <v>0</v>
      </c>
      <c r="AV1674" s="28"/>
      <c r="AW1674" s="28" t="n">
        <f aca="false">AV1674*$M1674</f>
        <v>0</v>
      </c>
      <c r="AX1674" s="28"/>
      <c r="AY1674" s="28" t="n">
        <f aca="false">AX1674*$M1674</f>
        <v>0</v>
      </c>
      <c r="AZ1674" s="30" t="n">
        <v>102</v>
      </c>
      <c r="BA1674" s="11" t="n">
        <v>6120</v>
      </c>
      <c r="BB1674" s="31" t="n">
        <f aca="false">SUM(Q1674,S1674,U1674,W1674,Y1674,AA1674,AC1674,AE1674,AG1674,AI1674,AK1674,AM1674,AO1674,AQ1674,AS1674,AU1674,AW1674,AY1674)</f>
        <v>6120</v>
      </c>
      <c r="BC1674" s="28" t="n">
        <f aca="false">BA1674-BB1674</f>
        <v>0</v>
      </c>
      <c r="BD1674" s="32" t="n">
        <f aca="false">SUM(P1674,R1674,T1674,V1674,X1674,Z1674,AB1674,AD1674,AF1674,AH1674,AJ1674,AL1674,AN1674,AP1674,AR1674,AT1674,AV1674,AX1674)</f>
        <v>102</v>
      </c>
      <c r="BE1674" s="33" t="n">
        <f aca="false">AZ1674-BD1674</f>
        <v>0</v>
      </c>
      <c r="BF1674" s="34" t="n">
        <f aca="false">BD1674*M1674</f>
        <v>6120</v>
      </c>
      <c r="BG1674" s="35" t="n">
        <f aca="false">BA1674-BF1674</f>
        <v>0</v>
      </c>
      <c r="BH1674" s="19" t="str">
        <f aca="false">IF(BG1674=0,"",IF(BG1674&lt;&gt;BA1674,"erreur de calcul",IF(BD1674&lt;&gt;0,"pas de prix",IF(M1674&lt;&gt; 0,"pas de quantité","pas de prix, ni de quantité"))))</f>
        <v/>
      </c>
      <c r="BI1674" s="19"/>
    </row>
    <row r="1675" customFormat="false" ht="15" hidden="false" customHeight="false" outlineLevel="0" collapsed="false">
      <c r="A1675" s="0" t="n">
        <v>23</v>
      </c>
      <c r="B1675" s="8" t="s">
        <v>24</v>
      </c>
      <c r="C1675" s="9" t="s">
        <v>25</v>
      </c>
      <c r="D1675" s="9" t="s">
        <v>26</v>
      </c>
      <c r="E1675" s="10" t="n">
        <v>1789</v>
      </c>
      <c r="F1675" s="9" t="s">
        <v>27</v>
      </c>
      <c r="G1675" s="9" t="s">
        <v>27</v>
      </c>
      <c r="H1675" s="11" t="n">
        <v>25</v>
      </c>
      <c r="I1675" s="11" t="s">
        <v>352</v>
      </c>
      <c r="J1675" s="14" t="n">
        <v>150</v>
      </c>
      <c r="K1675" s="14"/>
      <c r="L1675" s="16"/>
      <c r="M1675" s="27" t="n">
        <f aca="false">J1675+(K1675/20)+(L1675/240)</f>
        <v>150</v>
      </c>
      <c r="N1675" s="17" t="s">
        <v>64</v>
      </c>
      <c r="O1675" s="11"/>
      <c r="P1675" s="28" t="n">
        <f aca="false">274/100</f>
        <v>2.74</v>
      </c>
      <c r="Q1675" s="28" t="n">
        <v>411</v>
      </c>
      <c r="R1675" s="28"/>
      <c r="S1675" s="28" t="n">
        <f aca="false">R1675*$M1675</f>
        <v>0</v>
      </c>
      <c r="T1675" s="28" t="n">
        <f aca="false">3042/100</f>
        <v>30.42</v>
      </c>
      <c r="U1675" s="28" t="n">
        <v>4563</v>
      </c>
      <c r="V1675" s="28"/>
      <c r="W1675" s="28" t="n">
        <f aca="false">V1675*$M1675</f>
        <v>0</v>
      </c>
      <c r="X1675" s="28"/>
      <c r="Y1675" s="28" t="n">
        <f aca="false">X1675*$M1675</f>
        <v>0</v>
      </c>
      <c r="Z1675" s="28"/>
      <c r="AA1675" s="28" t="n">
        <f aca="false">Z1675*$M1675</f>
        <v>0</v>
      </c>
      <c r="AB1675" s="28" t="n">
        <f aca="false">92/100</f>
        <v>0.92</v>
      </c>
      <c r="AC1675" s="28" t="n">
        <v>138</v>
      </c>
      <c r="AD1675" s="28"/>
      <c r="AE1675" s="28" t="n">
        <f aca="false">AD1675*$M1675</f>
        <v>0</v>
      </c>
      <c r="AF1675" s="28"/>
      <c r="AG1675" s="28" t="n">
        <f aca="false">AF1675*$M1675</f>
        <v>0</v>
      </c>
      <c r="AH1675" s="28"/>
      <c r="AI1675" s="28" t="n">
        <f aca="false">AH1675*$M1675</f>
        <v>0</v>
      </c>
      <c r="AJ1675" s="28"/>
      <c r="AK1675" s="28" t="n">
        <f aca="false">AJ1675*$M1675</f>
        <v>0</v>
      </c>
      <c r="AL1675" s="28"/>
      <c r="AM1675" s="28" t="n">
        <f aca="false">AL1675*$M1675</f>
        <v>0</v>
      </c>
      <c r="AN1675" s="28"/>
      <c r="AO1675" s="28" t="n">
        <f aca="false">AN1675*$M1675</f>
        <v>0</v>
      </c>
      <c r="AP1675" s="28"/>
      <c r="AQ1675" s="28" t="n">
        <f aca="false">AP1675*$M1675</f>
        <v>0</v>
      </c>
      <c r="AR1675" s="28"/>
      <c r="AS1675" s="28" t="n">
        <f aca="false">AR1675*$M1675</f>
        <v>0</v>
      </c>
      <c r="AT1675" s="28"/>
      <c r="AU1675" s="28" t="n">
        <f aca="false">AT1675*$M1675</f>
        <v>0</v>
      </c>
      <c r="AV1675" s="28"/>
      <c r="AW1675" s="28" t="n">
        <f aca="false">AV1675*$M1675</f>
        <v>0</v>
      </c>
      <c r="AX1675" s="28"/>
      <c r="AY1675" s="28" t="n">
        <f aca="false">AX1675*$M1675</f>
        <v>0</v>
      </c>
      <c r="AZ1675" s="30" t="n">
        <f aca="false">3408/100</f>
        <v>34.08</v>
      </c>
      <c r="BA1675" s="11" t="n">
        <v>5112</v>
      </c>
      <c r="BB1675" s="31" t="n">
        <f aca="false">SUM(Q1675,S1675,U1675,W1675,Y1675,AA1675,AC1675,AE1675,AG1675,AI1675,AK1675,AM1675,AO1675,AQ1675,AS1675,AU1675,AW1675,AY1675)</f>
        <v>5112</v>
      </c>
      <c r="BC1675" s="28" t="n">
        <f aca="false">BA1675-BB1675</f>
        <v>0</v>
      </c>
      <c r="BD1675" s="32" t="n">
        <f aca="false">SUM(P1675,R1675,T1675,V1675,X1675,Z1675,AB1675,AD1675,AF1675,AH1675,AJ1675,AL1675,AN1675,AP1675,AR1675,AT1675,AV1675,AX1675)</f>
        <v>34.08</v>
      </c>
      <c r="BE1675" s="33" t="n">
        <f aca="false">AZ1675-BD1675</f>
        <v>0</v>
      </c>
      <c r="BF1675" s="34" t="n">
        <f aca="false">BD1675*M1675</f>
        <v>5112</v>
      </c>
      <c r="BG1675" s="35" t="n">
        <f aca="false">BA1675-BF1675</f>
        <v>0</v>
      </c>
      <c r="BH1675" s="19" t="str">
        <f aca="false">IF(BG1675=0,"",IF(BG1675&lt;&gt;BA1675,"erreur de calcul",IF(BD1675&lt;&gt;0,"pas de prix",IF(M1675&lt;&gt; 0,"pas de quantité","pas de prix, ni de quantité"))))</f>
        <v/>
      </c>
      <c r="BI1675" s="19"/>
    </row>
    <row r="1676" customFormat="false" ht="15" hidden="false" customHeight="false" outlineLevel="0" collapsed="false">
      <c r="A1676" s="0" t="n">
        <v>24</v>
      </c>
      <c r="B1676" s="8" t="s">
        <v>24</v>
      </c>
      <c r="C1676" s="9" t="s">
        <v>25</v>
      </c>
      <c r="D1676" s="9" t="s">
        <v>26</v>
      </c>
      <c r="E1676" s="10" t="n">
        <v>1789</v>
      </c>
      <c r="F1676" s="9" t="s">
        <v>27</v>
      </c>
      <c r="G1676" s="9" t="s">
        <v>27</v>
      </c>
      <c r="H1676" s="11" t="n">
        <v>25</v>
      </c>
      <c r="I1676" s="11" t="s">
        <v>353</v>
      </c>
      <c r="J1676" s="14" t="n">
        <v>40</v>
      </c>
      <c r="K1676" s="14"/>
      <c r="L1676" s="16"/>
      <c r="M1676" s="27" t="n">
        <f aca="false">J1676+(K1676/20)+(L1676/240)</f>
        <v>40</v>
      </c>
      <c r="N1676" s="17" t="s">
        <v>64</v>
      </c>
      <c r="O1676" s="11"/>
      <c r="P1676" s="28"/>
      <c r="Q1676" s="28" t="n">
        <f aca="false">P1676*$M1676</f>
        <v>0</v>
      </c>
      <c r="R1676" s="28"/>
      <c r="S1676" s="28" t="n">
        <f aca="false">R1676*$M1676</f>
        <v>0</v>
      </c>
      <c r="T1676" s="28"/>
      <c r="U1676" s="28" t="n">
        <f aca="false">T1676*$M1676</f>
        <v>0</v>
      </c>
      <c r="V1676" s="28" t="n">
        <f aca="false">4960/100</f>
        <v>49.6</v>
      </c>
      <c r="W1676" s="28" t="n">
        <v>1984</v>
      </c>
      <c r="X1676" s="28" t="n">
        <f aca="false">394/100</f>
        <v>3.94</v>
      </c>
      <c r="Y1676" s="28" t="n">
        <v>158</v>
      </c>
      <c r="Z1676" s="28"/>
      <c r="AA1676" s="28" t="n">
        <f aca="false">Z1676*$M1676</f>
        <v>0</v>
      </c>
      <c r="AB1676" s="28"/>
      <c r="AC1676" s="28" t="n">
        <f aca="false">AB1676*$M1676</f>
        <v>0</v>
      </c>
      <c r="AD1676" s="28"/>
      <c r="AE1676" s="28" t="n">
        <f aca="false">AD1676*$M1676</f>
        <v>0</v>
      </c>
      <c r="AF1676" s="28"/>
      <c r="AG1676" s="28" t="n">
        <f aca="false">AF1676*$M1676</f>
        <v>0</v>
      </c>
      <c r="AH1676" s="28"/>
      <c r="AI1676" s="28" t="n">
        <f aca="false">AH1676*$M1676</f>
        <v>0</v>
      </c>
      <c r="AJ1676" s="28"/>
      <c r="AK1676" s="28" t="n">
        <f aca="false">AJ1676*$M1676</f>
        <v>0</v>
      </c>
      <c r="AL1676" s="28"/>
      <c r="AM1676" s="28" t="n">
        <f aca="false">AL1676*$M1676</f>
        <v>0</v>
      </c>
      <c r="AN1676" s="28"/>
      <c r="AO1676" s="28" t="n">
        <f aca="false">AN1676*$M1676</f>
        <v>0</v>
      </c>
      <c r="AP1676" s="28"/>
      <c r="AQ1676" s="28" t="n">
        <f aca="false">AP1676*$M1676</f>
        <v>0</v>
      </c>
      <c r="AR1676" s="28"/>
      <c r="AS1676" s="28" t="n">
        <f aca="false">AR1676*$M1676</f>
        <v>0</v>
      </c>
      <c r="AT1676" s="28"/>
      <c r="AU1676" s="28" t="n">
        <f aca="false">AT1676*$M1676</f>
        <v>0</v>
      </c>
      <c r="AV1676" s="28"/>
      <c r="AW1676" s="28" t="n">
        <f aca="false">AV1676*$M1676</f>
        <v>0</v>
      </c>
      <c r="AX1676" s="28"/>
      <c r="AY1676" s="28" t="n">
        <f aca="false">AX1676*$M1676</f>
        <v>0</v>
      </c>
      <c r="AZ1676" s="30" t="n">
        <f aca="false">5354/100</f>
        <v>53.54</v>
      </c>
      <c r="BA1676" s="11" t="n">
        <v>2142</v>
      </c>
      <c r="BB1676" s="31" t="n">
        <f aca="false">SUM(Q1676,S1676,U1676,W1676,Y1676,AA1676,AC1676,AE1676,AG1676,AI1676,AK1676,AM1676,AO1676,AQ1676,AS1676,AU1676,AW1676,AY1676)</f>
        <v>2142</v>
      </c>
      <c r="BC1676" s="28" t="n">
        <f aca="false">BA1676-BB1676</f>
        <v>0</v>
      </c>
      <c r="BD1676" s="32" t="n">
        <f aca="false">SUM(P1676,R1676,T1676,V1676,X1676,Z1676,AB1676,AD1676,AF1676,AH1676,AJ1676,AL1676,AN1676,AP1676,AR1676,AT1676,AV1676,AX1676)</f>
        <v>53.54</v>
      </c>
      <c r="BE1676" s="33" t="n">
        <f aca="false">AZ1676-BD1676</f>
        <v>0</v>
      </c>
      <c r="BF1676" s="34" t="n">
        <f aca="false">BD1676*M1676</f>
        <v>2141.6</v>
      </c>
      <c r="BG1676" s="35" t="n">
        <f aca="false">BA1676-BF1676</f>
        <v>0.400000000000091</v>
      </c>
      <c r="BH1676" s="19" t="str">
        <f aca="false">IF(BG1676=0,"",IF(BG1676&lt;&gt;BA1676,"erreur de calcul",IF(BD1676&lt;&gt;0,"pas de prix",IF(M1676&lt;&gt; 0,"pas de quantité","pas de prix, ni de quantité"))))</f>
        <v>erreur de calcul</v>
      </c>
      <c r="BI1676" s="19"/>
    </row>
    <row r="1677" customFormat="false" ht="15" hidden="false" customHeight="false" outlineLevel="0" collapsed="false">
      <c r="A1677" s="0" t="n">
        <v>25</v>
      </c>
      <c r="B1677" s="8" t="s">
        <v>24</v>
      </c>
      <c r="C1677" s="9" t="s">
        <v>25</v>
      </c>
      <c r="D1677" s="9" t="s">
        <v>26</v>
      </c>
      <c r="E1677" s="10" t="n">
        <v>1789</v>
      </c>
      <c r="F1677" s="9" t="s">
        <v>27</v>
      </c>
      <c r="G1677" s="9" t="s">
        <v>27</v>
      </c>
      <c r="H1677" s="11" t="n">
        <v>25</v>
      </c>
      <c r="I1677" s="11" t="s">
        <v>354</v>
      </c>
      <c r="J1677" s="14" t="n">
        <v>200</v>
      </c>
      <c r="K1677" s="14"/>
      <c r="L1677" s="16"/>
      <c r="M1677" s="27" t="n">
        <f aca="false">J1677+(K1677/20)+(L1677/240)</f>
        <v>200</v>
      </c>
      <c r="N1677" s="17" t="s">
        <v>64</v>
      </c>
      <c r="O1677" s="11"/>
      <c r="P1677" s="28"/>
      <c r="Q1677" s="28" t="n">
        <f aca="false">P1677*$M1677</f>
        <v>0</v>
      </c>
      <c r="R1677" s="28"/>
      <c r="S1677" s="28" t="n">
        <f aca="false">R1677*$M1677</f>
        <v>0</v>
      </c>
      <c r="T1677" s="28" t="n">
        <f aca="false">4367/100</f>
        <v>43.67</v>
      </c>
      <c r="U1677" s="28" t="n">
        <v>8734</v>
      </c>
      <c r="V1677" s="28" t="n">
        <f aca="false">346/100</f>
        <v>3.46</v>
      </c>
      <c r="W1677" s="28" t="n">
        <v>692</v>
      </c>
      <c r="X1677" s="28"/>
      <c r="Y1677" s="28" t="n">
        <f aca="false">X1677*$M1677</f>
        <v>0</v>
      </c>
      <c r="Z1677" s="28"/>
      <c r="AA1677" s="28" t="n">
        <f aca="false">Z1677*$M1677</f>
        <v>0</v>
      </c>
      <c r="AB1677" s="28"/>
      <c r="AC1677" s="28" t="n">
        <f aca="false">AB1677*$M1677</f>
        <v>0</v>
      </c>
      <c r="AD1677" s="28"/>
      <c r="AE1677" s="28" t="n">
        <f aca="false">AD1677*$M1677</f>
        <v>0</v>
      </c>
      <c r="AF1677" s="28"/>
      <c r="AG1677" s="28" t="n">
        <f aca="false">AF1677*$M1677</f>
        <v>0</v>
      </c>
      <c r="AH1677" s="28"/>
      <c r="AI1677" s="28" t="n">
        <f aca="false">AH1677*$M1677</f>
        <v>0</v>
      </c>
      <c r="AJ1677" s="28"/>
      <c r="AK1677" s="28" t="n">
        <f aca="false">AJ1677*$M1677</f>
        <v>0</v>
      </c>
      <c r="AL1677" s="28"/>
      <c r="AM1677" s="28" t="n">
        <f aca="false">AL1677*$M1677</f>
        <v>0</v>
      </c>
      <c r="AN1677" s="28"/>
      <c r="AO1677" s="28" t="n">
        <f aca="false">AN1677*$M1677</f>
        <v>0</v>
      </c>
      <c r="AP1677" s="28"/>
      <c r="AQ1677" s="28" t="n">
        <f aca="false">AP1677*$M1677</f>
        <v>0</v>
      </c>
      <c r="AR1677" s="28"/>
      <c r="AS1677" s="28" t="n">
        <f aca="false">AR1677*$M1677</f>
        <v>0</v>
      </c>
      <c r="AT1677" s="28"/>
      <c r="AU1677" s="28" t="n">
        <f aca="false">AT1677*$M1677</f>
        <v>0</v>
      </c>
      <c r="AV1677" s="28"/>
      <c r="AW1677" s="28" t="n">
        <f aca="false">AV1677*$M1677</f>
        <v>0</v>
      </c>
      <c r="AX1677" s="28"/>
      <c r="AY1677" s="28" t="n">
        <f aca="false">AX1677*$M1677</f>
        <v>0</v>
      </c>
      <c r="AZ1677" s="30" t="n">
        <f aca="false">4713/100</f>
        <v>47.13</v>
      </c>
      <c r="BA1677" s="11" t="n">
        <v>9426</v>
      </c>
      <c r="BB1677" s="31" t="n">
        <f aca="false">SUM(Q1677,S1677,U1677,W1677,Y1677,AA1677,AC1677,AE1677,AG1677,AI1677,AK1677,AM1677,AO1677,AQ1677,AS1677,AU1677,AW1677,AY1677)</f>
        <v>9426</v>
      </c>
      <c r="BC1677" s="28" t="n">
        <f aca="false">BA1677-BB1677</f>
        <v>0</v>
      </c>
      <c r="BD1677" s="32" t="n">
        <f aca="false">SUM(P1677,R1677,T1677,V1677,X1677,Z1677,AB1677,AD1677,AF1677,AH1677,AJ1677,AL1677,AN1677,AP1677,AR1677,AT1677,AV1677,AX1677)</f>
        <v>47.13</v>
      </c>
      <c r="BE1677" s="33" t="n">
        <f aca="false">AZ1677-BD1677</f>
        <v>0</v>
      </c>
      <c r="BF1677" s="34" t="n">
        <f aca="false">BD1677*M1677</f>
        <v>9426</v>
      </c>
      <c r="BG1677" s="35" t="n">
        <f aca="false">BA1677-BF1677</f>
        <v>0</v>
      </c>
      <c r="BH1677" s="19" t="str">
        <f aca="false">IF(BG1677=0,"",IF(BG1677&lt;&gt;BA1677,"erreur de calcul",IF(BD1677&lt;&gt;0,"pas de prix",IF(M1677&lt;&gt; 0,"pas de quantité","pas de prix, ni de quantité"))))</f>
        <v/>
      </c>
      <c r="BI1677" s="19"/>
    </row>
    <row r="1678" customFormat="false" ht="15" hidden="false" customHeight="false" outlineLevel="0" collapsed="false">
      <c r="A1678" s="0" t="n">
        <v>26</v>
      </c>
      <c r="B1678" s="8" t="s">
        <v>24</v>
      </c>
      <c r="C1678" s="9" t="s">
        <v>25</v>
      </c>
      <c r="D1678" s="9" t="s">
        <v>26</v>
      </c>
      <c r="E1678" s="10" t="n">
        <v>1789</v>
      </c>
      <c r="F1678" s="9" t="s">
        <v>27</v>
      </c>
      <c r="G1678" s="9" t="s">
        <v>27</v>
      </c>
      <c r="H1678" s="11" t="n">
        <v>25</v>
      </c>
      <c r="I1678" s="11" t="s">
        <v>355</v>
      </c>
      <c r="J1678" s="14" t="n">
        <v>200</v>
      </c>
      <c r="K1678" s="14"/>
      <c r="L1678" s="16"/>
      <c r="M1678" s="27" t="n">
        <f aca="false">J1678+(K1678/20)+(L1678/240)</f>
        <v>200</v>
      </c>
      <c r="N1678" s="17" t="s">
        <v>64</v>
      </c>
      <c r="O1678" s="11"/>
      <c r="P1678" s="28"/>
      <c r="Q1678" s="28" t="n">
        <f aca="false">P1678*$M1678</f>
        <v>0</v>
      </c>
      <c r="R1678" s="28"/>
      <c r="S1678" s="28" t="n">
        <f aca="false">R1678*$M1678</f>
        <v>0</v>
      </c>
      <c r="T1678" s="28" t="n">
        <f aca="false">2471/100</f>
        <v>24.71</v>
      </c>
      <c r="U1678" s="28" t="n">
        <v>4942</v>
      </c>
      <c r="V1678" s="28"/>
      <c r="W1678" s="28" t="n">
        <f aca="false">V1678*$M1678</f>
        <v>0</v>
      </c>
      <c r="X1678" s="28"/>
      <c r="Y1678" s="28" t="n">
        <f aca="false">X1678*$M1678</f>
        <v>0</v>
      </c>
      <c r="Z1678" s="28"/>
      <c r="AA1678" s="28" t="n">
        <f aca="false">Z1678*$M1678</f>
        <v>0</v>
      </c>
      <c r="AB1678" s="28"/>
      <c r="AC1678" s="28" t="n">
        <f aca="false">AB1678*$M1678</f>
        <v>0</v>
      </c>
      <c r="AD1678" s="28"/>
      <c r="AE1678" s="28" t="n">
        <f aca="false">AD1678*$M1678</f>
        <v>0</v>
      </c>
      <c r="AF1678" s="28"/>
      <c r="AG1678" s="28" t="n">
        <f aca="false">AF1678*$M1678</f>
        <v>0</v>
      </c>
      <c r="AH1678" s="28"/>
      <c r="AI1678" s="28" t="n">
        <f aca="false">AH1678*$M1678</f>
        <v>0</v>
      </c>
      <c r="AJ1678" s="28"/>
      <c r="AK1678" s="28" t="n">
        <f aca="false">AJ1678*$M1678</f>
        <v>0</v>
      </c>
      <c r="AL1678" s="28"/>
      <c r="AM1678" s="28" t="n">
        <f aca="false">AL1678*$M1678</f>
        <v>0</v>
      </c>
      <c r="AN1678" s="28"/>
      <c r="AO1678" s="28" t="n">
        <f aca="false">AN1678*$M1678</f>
        <v>0</v>
      </c>
      <c r="AP1678" s="28"/>
      <c r="AQ1678" s="28" t="n">
        <f aca="false">AP1678*$M1678</f>
        <v>0</v>
      </c>
      <c r="AR1678" s="28"/>
      <c r="AS1678" s="28" t="n">
        <f aca="false">AR1678*$M1678</f>
        <v>0</v>
      </c>
      <c r="AT1678" s="28"/>
      <c r="AU1678" s="28" t="n">
        <f aca="false">AT1678*$M1678</f>
        <v>0</v>
      </c>
      <c r="AV1678" s="28"/>
      <c r="AW1678" s="28" t="n">
        <f aca="false">AV1678*$M1678</f>
        <v>0</v>
      </c>
      <c r="AX1678" s="28"/>
      <c r="AY1678" s="28" t="n">
        <f aca="false">AX1678*$M1678</f>
        <v>0</v>
      </c>
      <c r="AZ1678" s="30" t="n">
        <f aca="false">2471/100</f>
        <v>24.71</v>
      </c>
      <c r="BA1678" s="11" t="n">
        <v>4942</v>
      </c>
      <c r="BB1678" s="31" t="n">
        <f aca="false">SUM(Q1678,S1678,U1678,W1678,Y1678,AA1678,AC1678,AE1678,AG1678,AI1678,AK1678,AM1678,AO1678,AQ1678,AS1678,AU1678,AW1678,AY1678)</f>
        <v>4942</v>
      </c>
      <c r="BC1678" s="28" t="n">
        <f aca="false">BA1678-BB1678</f>
        <v>0</v>
      </c>
      <c r="BD1678" s="32" t="n">
        <f aca="false">SUM(P1678,R1678,T1678,V1678,X1678,Z1678,AB1678,AD1678,AF1678,AH1678,AJ1678,AL1678,AN1678,AP1678,AR1678,AT1678,AV1678,AX1678)</f>
        <v>24.71</v>
      </c>
      <c r="BE1678" s="33" t="n">
        <f aca="false">AZ1678-BD1678</f>
        <v>0</v>
      </c>
      <c r="BF1678" s="34" t="n">
        <f aca="false">BD1678*M1678</f>
        <v>4942</v>
      </c>
      <c r="BG1678" s="35" t="n">
        <f aca="false">BA1678-BF1678</f>
        <v>0</v>
      </c>
      <c r="BH1678" s="19" t="str">
        <f aca="false">IF(BG1678=0,"",IF(BG1678&lt;&gt;BA1678,"erreur de calcul",IF(BD1678&lt;&gt;0,"pas de prix",IF(M1678&lt;&gt; 0,"pas de quantité","pas de prix, ni de quantité"))))</f>
        <v/>
      </c>
      <c r="BI1678" s="19"/>
    </row>
    <row r="1679" customFormat="false" ht="15" hidden="false" customHeight="false" outlineLevel="0" collapsed="false">
      <c r="A1679" s="0" t="n">
        <v>27</v>
      </c>
      <c r="B1679" s="8" t="s">
        <v>24</v>
      </c>
      <c r="C1679" s="9" t="s">
        <v>25</v>
      </c>
      <c r="D1679" s="9" t="s">
        <v>26</v>
      </c>
      <c r="E1679" s="10" t="n">
        <v>1789</v>
      </c>
      <c r="F1679" s="9" t="s">
        <v>27</v>
      </c>
      <c r="G1679" s="9" t="s">
        <v>27</v>
      </c>
      <c r="H1679" s="11" t="n">
        <v>25</v>
      </c>
      <c r="I1679" s="11" t="s">
        <v>356</v>
      </c>
      <c r="J1679" s="14" t="n">
        <v>120</v>
      </c>
      <c r="K1679" s="14"/>
      <c r="L1679" s="16"/>
      <c r="M1679" s="27" t="n">
        <f aca="false">J1679+(K1679/20)+(L1679/240)</f>
        <v>120</v>
      </c>
      <c r="N1679" s="17" t="s">
        <v>64</v>
      </c>
      <c r="O1679" s="11"/>
      <c r="P1679" s="28"/>
      <c r="Q1679" s="28" t="n">
        <f aca="false">P1679*$M1679</f>
        <v>0</v>
      </c>
      <c r="R1679" s="28"/>
      <c r="S1679" s="28" t="n">
        <f aca="false">R1679*$M1679</f>
        <v>0</v>
      </c>
      <c r="T1679" s="28"/>
      <c r="U1679" s="28" t="n">
        <f aca="false">T1679*$M1679</f>
        <v>0</v>
      </c>
      <c r="V1679" s="28"/>
      <c r="W1679" s="28" t="n">
        <f aca="false">V1679*$M1679</f>
        <v>0</v>
      </c>
      <c r="X1679" s="28"/>
      <c r="Y1679" s="28" t="n">
        <f aca="false">X1679*$M1679</f>
        <v>0</v>
      </c>
      <c r="Z1679" s="28"/>
      <c r="AA1679" s="28" t="n">
        <f aca="false">Z1679*$M1679</f>
        <v>0</v>
      </c>
      <c r="AB1679" s="28"/>
      <c r="AC1679" s="28" t="n">
        <f aca="false">AB1679*$M1679</f>
        <v>0</v>
      </c>
      <c r="AD1679" s="28"/>
      <c r="AE1679" s="28" t="n">
        <f aca="false">AD1679*$M1679</f>
        <v>0</v>
      </c>
      <c r="AF1679" s="28"/>
      <c r="AG1679" s="28" t="n">
        <f aca="false">AF1679*$M1679</f>
        <v>0</v>
      </c>
      <c r="AH1679" s="28"/>
      <c r="AI1679" s="28" t="n">
        <f aca="false">AH1679*$M1679</f>
        <v>0</v>
      </c>
      <c r="AJ1679" s="28"/>
      <c r="AK1679" s="28" t="n">
        <f aca="false">AJ1679*$M1679</f>
        <v>0</v>
      </c>
      <c r="AL1679" s="28"/>
      <c r="AM1679" s="28" t="n">
        <f aca="false">AL1679*$M1679</f>
        <v>0</v>
      </c>
      <c r="AN1679" s="28" t="n">
        <f aca="false">407/100</f>
        <v>4.07</v>
      </c>
      <c r="AO1679" s="28" t="n">
        <v>488</v>
      </c>
      <c r="AP1679" s="28"/>
      <c r="AQ1679" s="28" t="n">
        <f aca="false">AP1679*$M1679</f>
        <v>0</v>
      </c>
      <c r="AR1679" s="28"/>
      <c r="AS1679" s="28" t="n">
        <f aca="false">AR1679*$M1679</f>
        <v>0</v>
      </c>
      <c r="AT1679" s="28"/>
      <c r="AU1679" s="28" t="n">
        <f aca="false">AT1679*$M1679</f>
        <v>0</v>
      </c>
      <c r="AV1679" s="28"/>
      <c r="AW1679" s="28" t="n">
        <f aca="false">AV1679*$M1679</f>
        <v>0</v>
      </c>
      <c r="AX1679" s="28"/>
      <c r="AY1679" s="28" t="n">
        <f aca="false">AX1679*$M1679</f>
        <v>0</v>
      </c>
      <c r="AZ1679" s="30" t="n">
        <f aca="false">407/100</f>
        <v>4.07</v>
      </c>
      <c r="BA1679" s="11" t="n">
        <v>488</v>
      </c>
      <c r="BB1679" s="31" t="n">
        <f aca="false">SUM(Q1679,S1679,U1679,W1679,Y1679,AA1679,AC1679,AE1679,AG1679,AI1679,AK1679,AM1679,AO1679,AQ1679,AS1679,AU1679,AW1679,AY1679)</f>
        <v>488</v>
      </c>
      <c r="BC1679" s="28" t="n">
        <f aca="false">BA1679-BB1679</f>
        <v>0</v>
      </c>
      <c r="BD1679" s="32" t="n">
        <f aca="false">SUM(P1679,R1679,T1679,V1679,X1679,Z1679,AB1679,AD1679,AF1679,AH1679,AJ1679,AL1679,AN1679,AP1679,AR1679,AT1679,AV1679,AX1679)</f>
        <v>4.07</v>
      </c>
      <c r="BE1679" s="33" t="n">
        <f aca="false">AZ1679-BD1679</f>
        <v>0</v>
      </c>
      <c r="BF1679" s="34" t="n">
        <f aca="false">BD1679*M1679</f>
        <v>488.4</v>
      </c>
      <c r="BG1679" s="35" t="n">
        <f aca="false">BA1679-BF1679</f>
        <v>-0.400000000000034</v>
      </c>
      <c r="BH1679" s="19" t="str">
        <f aca="false">IF(BG1679=0,"",IF(BG1679&lt;&gt;BA1679,"erreur de calcul",IF(BD1679&lt;&gt;0,"pas de prix",IF(M1679&lt;&gt; 0,"pas de quantité","pas de prix, ni de quantité"))))</f>
        <v>erreur de calcul</v>
      </c>
      <c r="BI1679" s="19"/>
    </row>
    <row r="1680" customFormat="false" ht="15" hidden="false" customHeight="false" outlineLevel="0" collapsed="false">
      <c r="A1680" s="0" t="n">
        <v>28</v>
      </c>
      <c r="B1680" s="8" t="s">
        <v>24</v>
      </c>
      <c r="C1680" s="9" t="s">
        <v>25</v>
      </c>
      <c r="D1680" s="9" t="s">
        <v>26</v>
      </c>
      <c r="E1680" s="10" t="n">
        <v>1789</v>
      </c>
      <c r="F1680" s="9" t="s">
        <v>27</v>
      </c>
      <c r="G1680" s="9" t="s">
        <v>27</v>
      </c>
      <c r="H1680" s="11" t="n">
        <v>25</v>
      </c>
      <c r="I1680" s="11" t="s">
        <v>357</v>
      </c>
      <c r="J1680" s="14" t="n">
        <v>30</v>
      </c>
      <c r="K1680" s="14"/>
      <c r="L1680" s="16"/>
      <c r="M1680" s="27" t="n">
        <f aca="false">J1680+(K1680/20)+(L1680/240)</f>
        <v>30</v>
      </c>
      <c r="N1680" s="17" t="s">
        <v>64</v>
      </c>
      <c r="O1680" s="11"/>
      <c r="P1680" s="28"/>
      <c r="Q1680" s="28" t="n">
        <f aca="false">P1680*$M1680</f>
        <v>0</v>
      </c>
      <c r="R1680" s="28"/>
      <c r="S1680" s="28" t="n">
        <f aca="false">R1680*$M1680</f>
        <v>0</v>
      </c>
      <c r="T1680" s="28" t="n">
        <f aca="false">8903/100</f>
        <v>89.03</v>
      </c>
      <c r="U1680" s="28" t="n">
        <v>2671</v>
      </c>
      <c r="V1680" s="28" t="n">
        <f aca="false">2591/100</f>
        <v>25.91</v>
      </c>
      <c r="W1680" s="28" t="n">
        <v>777</v>
      </c>
      <c r="X1680" s="28"/>
      <c r="Y1680" s="28" t="n">
        <f aca="false">X1680*$M1680</f>
        <v>0</v>
      </c>
      <c r="Z1680" s="28" t="n">
        <f aca="false">17041/100</f>
        <v>170.41</v>
      </c>
      <c r="AA1680" s="28" t="n">
        <v>5112</v>
      </c>
      <c r="AB1680" s="28" t="n">
        <f aca="false">42963/100</f>
        <v>429.63</v>
      </c>
      <c r="AC1680" s="28" t="n">
        <v>12889</v>
      </c>
      <c r="AD1680" s="28"/>
      <c r="AE1680" s="28" t="n">
        <f aca="false">AD1680*$M1680</f>
        <v>0</v>
      </c>
      <c r="AF1680" s="28" t="n">
        <f aca="false">138369/100</f>
        <v>1383.69</v>
      </c>
      <c r="AG1680" s="28" t="n">
        <v>41511</v>
      </c>
      <c r="AH1680" s="28"/>
      <c r="AI1680" s="28" t="n">
        <f aca="false">AH1680*$M1680</f>
        <v>0</v>
      </c>
      <c r="AJ1680" s="28"/>
      <c r="AK1680" s="28" t="n">
        <f aca="false">AJ1680*$M1680</f>
        <v>0</v>
      </c>
      <c r="AL1680" s="28"/>
      <c r="AM1680" s="28" t="n">
        <f aca="false">AL1680*$M1680</f>
        <v>0</v>
      </c>
      <c r="AN1680" s="28"/>
      <c r="AO1680" s="28" t="n">
        <f aca="false">AN1680*$M1680</f>
        <v>0</v>
      </c>
      <c r="AP1680" s="28"/>
      <c r="AQ1680" s="28" t="n">
        <f aca="false">AP1680*$M1680</f>
        <v>0</v>
      </c>
      <c r="AR1680" s="28"/>
      <c r="AS1680" s="28" t="n">
        <f aca="false">AR1680*$M1680</f>
        <v>0</v>
      </c>
      <c r="AT1680" s="28"/>
      <c r="AU1680" s="28" t="n">
        <f aca="false">AT1680*$M1680</f>
        <v>0</v>
      </c>
      <c r="AV1680" s="28"/>
      <c r="AW1680" s="28" t="n">
        <f aca="false">AV1680*$M1680</f>
        <v>0</v>
      </c>
      <c r="AX1680" s="28"/>
      <c r="AY1680" s="28" t="n">
        <f aca="false">AX1680*$M1680</f>
        <v>0</v>
      </c>
      <c r="AZ1680" s="30" t="n">
        <f aca="false">209867/100</f>
        <v>2098.67</v>
      </c>
      <c r="BA1680" s="11" t="n">
        <v>62960</v>
      </c>
      <c r="BB1680" s="31" t="n">
        <f aca="false">SUM(Q1680,S1680,U1680,W1680,Y1680,AA1680,AC1680,AE1680,AG1680,AI1680,AK1680,AM1680,AO1680,AQ1680,AS1680,AU1680,AW1680,AY1680)</f>
        <v>62960</v>
      </c>
      <c r="BC1680" s="28" t="n">
        <f aca="false">BA1680-BB1680</f>
        <v>0</v>
      </c>
      <c r="BD1680" s="32" t="n">
        <f aca="false">SUM(P1680,R1680,T1680,V1680,X1680,Z1680,AB1680,AD1680,AF1680,AH1680,AJ1680,AL1680,AN1680,AP1680,AR1680,AT1680,AV1680,AX1680)</f>
        <v>2098.67</v>
      </c>
      <c r="BE1680" s="33" t="n">
        <f aca="false">AZ1680-BD1680</f>
        <v>0</v>
      </c>
      <c r="BF1680" s="34" t="n">
        <f aca="false">BD1680*M1680</f>
        <v>62960.1</v>
      </c>
      <c r="BG1680" s="35" t="n">
        <f aca="false">BA1680-BF1680</f>
        <v>-0.100000000013097</v>
      </c>
      <c r="BH1680" s="19" t="str">
        <f aca="false">IF(BG1680=0,"",IF(BG1680&lt;&gt;BA1680,"erreur de calcul",IF(BD1680&lt;&gt;0,"pas de prix",IF(M1680&lt;&gt; 0,"pas de quantité","pas de prix, ni de quantité"))))</f>
        <v>erreur de calcul</v>
      </c>
      <c r="BI1680" s="19"/>
    </row>
    <row r="1681" customFormat="false" ht="15" hidden="false" customHeight="false" outlineLevel="0" collapsed="false">
      <c r="A1681" s="0" t="n">
        <v>29</v>
      </c>
      <c r="B1681" s="8" t="s">
        <v>24</v>
      </c>
      <c r="C1681" s="9" t="s">
        <v>25</v>
      </c>
      <c r="D1681" s="9" t="s">
        <v>26</v>
      </c>
      <c r="E1681" s="10" t="n">
        <v>1789</v>
      </c>
      <c r="F1681" s="9" t="s">
        <v>27</v>
      </c>
      <c r="G1681" s="9" t="s">
        <v>27</v>
      </c>
      <c r="H1681" s="11" t="n">
        <v>25</v>
      </c>
      <c r="I1681" s="11" t="s">
        <v>358</v>
      </c>
      <c r="J1681" s="14" t="n">
        <v>35</v>
      </c>
      <c r="K1681" s="14"/>
      <c r="L1681" s="16"/>
      <c r="M1681" s="27" t="n">
        <f aca="false">J1681+(K1681/20)+(L1681/240)</f>
        <v>35</v>
      </c>
      <c r="N1681" s="17" t="s">
        <v>64</v>
      </c>
      <c r="O1681" s="11"/>
      <c r="P1681" s="28"/>
      <c r="Q1681" s="28" t="n">
        <f aca="false">P1681*$M1681</f>
        <v>0</v>
      </c>
      <c r="R1681" s="28"/>
      <c r="S1681" s="28" t="n">
        <f aca="false">R1681*$M1681</f>
        <v>0</v>
      </c>
      <c r="T1681" s="28" t="n">
        <f aca="false">62095/100</f>
        <v>620.95</v>
      </c>
      <c r="U1681" s="28" t="n">
        <v>21733</v>
      </c>
      <c r="V1681" s="28" t="n">
        <f aca="false">257918/100</f>
        <v>2579.18</v>
      </c>
      <c r="W1681" s="28" t="n">
        <v>90271</v>
      </c>
      <c r="X1681" s="28" t="n">
        <f aca="false">10723/100</f>
        <v>107.23</v>
      </c>
      <c r="Y1681" s="28" t="n">
        <v>3753</v>
      </c>
      <c r="Z1681" s="28" t="n">
        <f aca="false">21191/100</f>
        <v>211.91</v>
      </c>
      <c r="AA1681" s="28" t="n">
        <v>7417</v>
      </c>
      <c r="AB1681" s="28" t="n">
        <f aca="false">308781/100</f>
        <v>3087.81</v>
      </c>
      <c r="AC1681" s="28" t="n">
        <v>108073</v>
      </c>
      <c r="AD1681" s="28"/>
      <c r="AE1681" s="28" t="n">
        <f aca="false">AD1681*$M1681</f>
        <v>0</v>
      </c>
      <c r="AF1681" s="28" t="n">
        <f aca="false">5225/100</f>
        <v>52.25</v>
      </c>
      <c r="AG1681" s="28" t="n">
        <v>1829</v>
      </c>
      <c r="AH1681" s="28"/>
      <c r="AI1681" s="28" t="n">
        <f aca="false">AH1681*$M1681</f>
        <v>0</v>
      </c>
      <c r="AJ1681" s="28"/>
      <c r="AK1681" s="28" t="n">
        <f aca="false">AJ1681*$M1681</f>
        <v>0</v>
      </c>
      <c r="AL1681" s="28"/>
      <c r="AM1681" s="28" t="n">
        <f aca="false">AL1681*$M1681</f>
        <v>0</v>
      </c>
      <c r="AN1681" s="28"/>
      <c r="AO1681" s="28" t="n">
        <f aca="false">AN1681*$M1681</f>
        <v>0</v>
      </c>
      <c r="AP1681" s="28"/>
      <c r="AQ1681" s="28" t="n">
        <f aca="false">AP1681*$M1681</f>
        <v>0</v>
      </c>
      <c r="AR1681" s="28"/>
      <c r="AS1681" s="28" t="n">
        <f aca="false">AR1681*$M1681</f>
        <v>0</v>
      </c>
      <c r="AT1681" s="28"/>
      <c r="AU1681" s="28" t="n">
        <f aca="false">AT1681*$M1681</f>
        <v>0</v>
      </c>
      <c r="AV1681" s="28"/>
      <c r="AW1681" s="28" t="n">
        <f aca="false">AV1681*$M1681</f>
        <v>0</v>
      </c>
      <c r="AX1681" s="28"/>
      <c r="AY1681" s="28" t="n">
        <f aca="false">AX1681*$M1681</f>
        <v>0</v>
      </c>
      <c r="AZ1681" s="30" t="n">
        <f aca="false">665933/100</f>
        <v>6659.33</v>
      </c>
      <c r="BA1681" s="11" t="n">
        <v>233076</v>
      </c>
      <c r="BB1681" s="31" t="n">
        <f aca="false">SUM(Q1681,S1681,U1681,W1681,Y1681,AA1681,AC1681,AE1681,AG1681,AI1681,AK1681,AM1681,AO1681,AQ1681,AS1681,AU1681,AW1681,AY1681)</f>
        <v>233076</v>
      </c>
      <c r="BC1681" s="28" t="n">
        <f aca="false">BA1681-BB1681</f>
        <v>0</v>
      </c>
      <c r="BD1681" s="32" t="n">
        <f aca="false">SUM(P1681,R1681,T1681,V1681,X1681,Z1681,AB1681,AD1681,AF1681,AH1681,AJ1681,AL1681,AN1681,AP1681,AR1681,AT1681,AV1681,AX1681)</f>
        <v>6659.33</v>
      </c>
      <c r="BE1681" s="33" t="n">
        <f aca="false">AZ1681-BD1681</f>
        <v>0</v>
      </c>
      <c r="BF1681" s="34" t="n">
        <f aca="false">BD1681*M1681</f>
        <v>233076.55</v>
      </c>
      <c r="BG1681" s="35" t="n">
        <f aca="false">BA1681-BF1681</f>
        <v>-0.549999999959255</v>
      </c>
      <c r="BH1681" s="19" t="str">
        <f aca="false">IF(BG1681=0,"",IF(BG1681&lt;&gt;BA1681,"erreur de calcul",IF(BD1681&lt;&gt;0,"pas de prix",IF(M1681&lt;&gt; 0,"pas de quantité","pas de prix, ni de quantité"))))</f>
        <v>erreur de calcul</v>
      </c>
      <c r="BI1681" s="19"/>
    </row>
    <row r="1682" customFormat="false" ht="15" hidden="false" customHeight="false" outlineLevel="0" collapsed="false">
      <c r="A1682" s="0" t="n">
        <v>30</v>
      </c>
      <c r="B1682" s="8" t="s">
        <v>24</v>
      </c>
      <c r="C1682" s="9" t="s">
        <v>25</v>
      </c>
      <c r="D1682" s="9" t="s">
        <v>26</v>
      </c>
      <c r="E1682" s="10" t="n">
        <v>1789</v>
      </c>
      <c r="F1682" s="9" t="s">
        <v>27</v>
      </c>
      <c r="G1682" s="9" t="s">
        <v>27</v>
      </c>
      <c r="H1682" s="11" t="n">
        <v>25</v>
      </c>
      <c r="I1682" s="11" t="s">
        <v>359</v>
      </c>
      <c r="J1682" s="14"/>
      <c r="K1682" s="14"/>
      <c r="L1682" s="16"/>
      <c r="M1682" s="27" t="n">
        <f aca="false">J1682+(K1682/20)+(L1682/240)</f>
        <v>0</v>
      </c>
      <c r="N1682" s="17"/>
      <c r="O1682" s="11" t="s">
        <v>109</v>
      </c>
      <c r="P1682" s="28"/>
      <c r="Q1682" s="28" t="n">
        <f aca="false">P1682*$M1682</f>
        <v>0</v>
      </c>
      <c r="R1682" s="28"/>
      <c r="S1682" s="28" t="n">
        <f aca="false">R1682*$M1682</f>
        <v>0</v>
      </c>
      <c r="T1682" s="28"/>
      <c r="U1682" s="28" t="n">
        <f aca="false">T1682*$M1682</f>
        <v>0</v>
      </c>
      <c r="V1682" s="28"/>
      <c r="W1682" s="28" t="n">
        <f aca="false">V1682*$M1682</f>
        <v>0</v>
      </c>
      <c r="X1682" s="28"/>
      <c r="Y1682" s="28" t="n">
        <f aca="false">X1682*$M1682</f>
        <v>0</v>
      </c>
      <c r="Z1682" s="28"/>
      <c r="AA1682" s="28" t="n">
        <f aca="false">Z1682*$M1682</f>
        <v>0</v>
      </c>
      <c r="AB1682" s="28"/>
      <c r="AC1682" s="28" t="n">
        <f aca="false">AB1682*$M1682</f>
        <v>0</v>
      </c>
      <c r="AD1682" s="28"/>
      <c r="AE1682" s="28" t="n">
        <f aca="false">AD1682*$M1682</f>
        <v>0</v>
      </c>
      <c r="AF1682" s="28"/>
      <c r="AG1682" s="28" t="n">
        <f aca="false">AF1682*$M1682</f>
        <v>0</v>
      </c>
      <c r="AH1682" s="28"/>
      <c r="AI1682" s="28" t="n">
        <f aca="false">AH1682*$M1682</f>
        <v>0</v>
      </c>
      <c r="AJ1682" s="28"/>
      <c r="AK1682" s="28" t="n">
        <f aca="false">AJ1682*$M1682</f>
        <v>0</v>
      </c>
      <c r="AL1682" s="28"/>
      <c r="AM1682" s="28" t="n">
        <f aca="false">AL1682*$M1682</f>
        <v>0</v>
      </c>
      <c r="AN1682" s="28"/>
      <c r="AO1682" s="28" t="n">
        <f aca="false">AN1682*$M1682</f>
        <v>0</v>
      </c>
      <c r="AP1682" s="28"/>
      <c r="AQ1682" s="28" t="n">
        <f aca="false">AP1682*$M1682</f>
        <v>0</v>
      </c>
      <c r="AR1682" s="28"/>
      <c r="AS1682" s="28" t="n">
        <f aca="false">AR1682*$M1682</f>
        <v>0</v>
      </c>
      <c r="AT1682" s="28"/>
      <c r="AU1682" s="28" t="n">
        <f aca="false">AT1682*$M1682</f>
        <v>0</v>
      </c>
      <c r="AV1682" s="28"/>
      <c r="AW1682" s="28" t="n">
        <f aca="false">AV1682*$M1682</f>
        <v>0</v>
      </c>
      <c r="AX1682" s="28"/>
      <c r="AY1682" s="28" t="n">
        <f aca="false">AX1682*$M1682</f>
        <v>0</v>
      </c>
      <c r="AZ1682" s="30"/>
      <c r="BA1682" s="11"/>
      <c r="BB1682" s="31" t="n">
        <f aca="false">SUM(Q1682,S1682,U1682,W1682,Y1682,AA1682,AC1682,AE1682,AG1682,AI1682,AK1682,AM1682,AO1682,AQ1682,AS1682,AU1682,AW1682,AY1682)</f>
        <v>0</v>
      </c>
      <c r="BC1682" s="28" t="n">
        <f aca="false">BA1682-BB1682</f>
        <v>0</v>
      </c>
      <c r="BD1682" s="32" t="n">
        <f aca="false">SUM(P1682,R1682,T1682,V1682,X1682,Z1682,AB1682,AD1682,AF1682,AH1682,AJ1682,AL1682,AN1682,AP1682,AR1682,AT1682,AV1682,AX1682)</f>
        <v>0</v>
      </c>
      <c r="BE1682" s="33" t="n">
        <f aca="false">AZ1682-BD1682</f>
        <v>0</v>
      </c>
      <c r="BF1682" s="34" t="n">
        <f aca="false">BD1682*M1682</f>
        <v>0</v>
      </c>
      <c r="BG1682" s="35" t="n">
        <f aca="false">BA1682-BF1682</f>
        <v>0</v>
      </c>
      <c r="BH1682" s="19" t="str">
        <f aca="false">IF(BG1682=0,"",IF(BG1682&lt;&gt;BA1682,"erreur de calcul",IF(BD1682&lt;&gt;0,"pas de prix",IF(M1682&lt;&gt; 0,"pas de quantité","pas de prix, ni de quantité"))))</f>
        <v/>
      </c>
      <c r="BI1682" s="19"/>
    </row>
    <row r="1683" customFormat="false" ht="15" hidden="false" customHeight="false" outlineLevel="0" collapsed="false">
      <c r="A1683" s="0" t="n">
        <v>31</v>
      </c>
      <c r="B1683" s="8" t="s">
        <v>24</v>
      </c>
      <c r="C1683" s="9" t="s">
        <v>25</v>
      </c>
      <c r="D1683" s="9" t="s">
        <v>26</v>
      </c>
      <c r="E1683" s="10" t="n">
        <v>1789</v>
      </c>
      <c r="F1683" s="9" t="s">
        <v>27</v>
      </c>
      <c r="G1683" s="9" t="s">
        <v>27</v>
      </c>
      <c r="H1683" s="11" t="n">
        <v>25</v>
      </c>
      <c r="I1683" s="11" t="s">
        <v>359</v>
      </c>
      <c r="J1683" s="14"/>
      <c r="K1683" s="14"/>
      <c r="L1683" s="16"/>
      <c r="M1683" s="27" t="n">
        <f aca="false">J1683+(K1683/20)+(L1683/240)</f>
        <v>0</v>
      </c>
      <c r="N1683" s="17"/>
      <c r="O1683" s="11" t="s">
        <v>277</v>
      </c>
      <c r="P1683" s="28"/>
      <c r="Q1683" s="28" t="n">
        <f aca="false">P1683*$M1683</f>
        <v>0</v>
      </c>
      <c r="R1683" s="28"/>
      <c r="S1683" s="28" t="n">
        <f aca="false">R1683*$M1683</f>
        <v>0</v>
      </c>
      <c r="T1683" s="28"/>
      <c r="U1683" s="28" t="n">
        <f aca="false">T1683*$M1683</f>
        <v>0</v>
      </c>
      <c r="V1683" s="28"/>
      <c r="W1683" s="28" t="n">
        <f aca="false">V1683*$M1683</f>
        <v>0</v>
      </c>
      <c r="X1683" s="28"/>
      <c r="Y1683" s="28" t="n">
        <v>1361</v>
      </c>
      <c r="Z1683" s="28"/>
      <c r="AA1683" s="28" t="n">
        <f aca="false">Z1683*$M1683</f>
        <v>0</v>
      </c>
      <c r="AB1683" s="28"/>
      <c r="AC1683" s="28" t="n">
        <v>1182</v>
      </c>
      <c r="AD1683" s="28"/>
      <c r="AE1683" s="28" t="n">
        <v>649</v>
      </c>
      <c r="AF1683" s="28"/>
      <c r="AG1683" s="28" t="n">
        <f aca="false">AF1683*$M1683</f>
        <v>0</v>
      </c>
      <c r="AH1683" s="28"/>
      <c r="AI1683" s="28" t="n">
        <v>862</v>
      </c>
      <c r="AJ1683" s="28"/>
      <c r="AK1683" s="28" t="n">
        <f aca="false">AJ1683*$M1683</f>
        <v>0</v>
      </c>
      <c r="AL1683" s="28"/>
      <c r="AM1683" s="28" t="n">
        <f aca="false">AL1683*$M1683</f>
        <v>0</v>
      </c>
      <c r="AN1683" s="28"/>
      <c r="AO1683" s="28" t="n">
        <f aca="false">AN1683*$M1683</f>
        <v>0</v>
      </c>
      <c r="AP1683" s="28"/>
      <c r="AQ1683" s="28" t="n">
        <f aca="false">AP1683*$M1683</f>
        <v>0</v>
      </c>
      <c r="AR1683" s="28"/>
      <c r="AS1683" s="28" t="n">
        <f aca="false">AR1683*$M1683</f>
        <v>0</v>
      </c>
      <c r="AT1683" s="28"/>
      <c r="AU1683" s="28" t="n">
        <f aca="false">AT1683*$M1683</f>
        <v>0</v>
      </c>
      <c r="AV1683" s="28"/>
      <c r="AW1683" s="28" t="n">
        <f aca="false">AV1683*$M1683</f>
        <v>0</v>
      </c>
      <c r="AX1683" s="28"/>
      <c r="AY1683" s="28" t="n">
        <f aca="false">AX1683*$M1683</f>
        <v>0</v>
      </c>
      <c r="AZ1683" s="30"/>
      <c r="BA1683" s="11" t="n">
        <v>4054</v>
      </c>
      <c r="BB1683" s="31" t="n">
        <f aca="false">SUM(Q1683,S1683,U1683,W1683,Y1683,AA1683,AC1683,AE1683,AG1683,AI1683,AK1683,AM1683,AO1683,AQ1683,AS1683,AU1683,AW1683,AY1683)</f>
        <v>4054</v>
      </c>
      <c r="BC1683" s="28" t="n">
        <f aca="false">BA1683-BB1683</f>
        <v>0</v>
      </c>
      <c r="BD1683" s="32" t="n">
        <f aca="false">SUM(P1683,R1683,T1683,V1683,X1683,Z1683,AB1683,AD1683,AF1683,AH1683,AJ1683,AL1683,AN1683,AP1683,AR1683,AT1683,AV1683,AX1683)</f>
        <v>0</v>
      </c>
      <c r="BE1683" s="33" t="n">
        <f aca="false">AZ1683-BD1683</f>
        <v>0</v>
      </c>
      <c r="BF1683" s="34" t="n">
        <f aca="false">BD1683*M1683</f>
        <v>0</v>
      </c>
      <c r="BG1683" s="35" t="n">
        <f aca="false">BA1683-BF1683</f>
        <v>4054</v>
      </c>
      <c r="BH1683" s="19" t="str">
        <f aca="false">IF(BG1683=0,"",IF(BG1683&lt;&gt;BA1683,"erreur de calcul",IF(BD1683&lt;&gt;0,"pas de prix",IF(M1683&lt;&gt; 0,"pas de quantité","pas de prix, ni de quantité"))))</f>
        <v>pas de prix, ni de quantité</v>
      </c>
      <c r="BI1683" s="19"/>
    </row>
    <row r="1684" customFormat="false" ht="15" hidden="false" customHeight="false" outlineLevel="0" collapsed="false">
      <c r="A1684" s="0" t="n">
        <v>32</v>
      </c>
      <c r="B1684" s="8" t="s">
        <v>24</v>
      </c>
      <c r="C1684" s="9" t="s">
        <v>25</v>
      </c>
      <c r="D1684" s="9" t="s">
        <v>26</v>
      </c>
      <c r="E1684" s="10" t="n">
        <v>1789</v>
      </c>
      <c r="F1684" s="9" t="s">
        <v>27</v>
      </c>
      <c r="G1684" s="9" t="s">
        <v>27</v>
      </c>
      <c r="H1684" s="11" t="n">
        <v>25</v>
      </c>
      <c r="I1684" s="11" t="s">
        <v>360</v>
      </c>
      <c r="J1684" s="14" t="n">
        <v>66</v>
      </c>
      <c r="K1684" s="14"/>
      <c r="L1684" s="16"/>
      <c r="M1684" s="27" t="n">
        <f aca="false">J1684+(K1684/20)+(L1684/240)</f>
        <v>66</v>
      </c>
      <c r="N1684" s="17" t="s">
        <v>64</v>
      </c>
      <c r="O1684" s="11"/>
      <c r="P1684" s="28"/>
      <c r="Q1684" s="28" t="n">
        <f aca="false">P1684*$M1684</f>
        <v>0</v>
      </c>
      <c r="R1684" s="28"/>
      <c r="S1684" s="28" t="n">
        <f aca="false">R1684*$M1684</f>
        <v>0</v>
      </c>
      <c r="T1684" s="28"/>
      <c r="U1684" s="28" t="n">
        <f aca="false">T1684*$M1684</f>
        <v>0</v>
      </c>
      <c r="V1684" s="28"/>
      <c r="W1684" s="28" t="n">
        <f aca="false">V1684*$M1684</f>
        <v>0</v>
      </c>
      <c r="X1684" s="28"/>
      <c r="Y1684" s="28" t="n">
        <f aca="false">X1684*$M1684</f>
        <v>0</v>
      </c>
      <c r="Z1684" s="28"/>
      <c r="AA1684" s="28" t="n">
        <f aca="false">Z1684*$M1684</f>
        <v>0</v>
      </c>
      <c r="AB1684" s="28"/>
      <c r="AC1684" s="28" t="n">
        <f aca="false">AB1684*$M1684</f>
        <v>0</v>
      </c>
      <c r="AD1684" s="28"/>
      <c r="AE1684" s="28" t="n">
        <f aca="false">AD1684*$M1684</f>
        <v>0</v>
      </c>
      <c r="AF1684" s="28"/>
      <c r="AG1684" s="28" t="n">
        <f aca="false">AF1684*$M1684</f>
        <v>0</v>
      </c>
      <c r="AH1684" s="28" t="n">
        <f aca="false">75475/100</f>
        <v>754.75</v>
      </c>
      <c r="AI1684" s="28" t="n">
        <v>49813</v>
      </c>
      <c r="AJ1684" s="28"/>
      <c r="AK1684" s="28" t="n">
        <f aca="false">AJ1684*$M1684</f>
        <v>0</v>
      </c>
      <c r="AL1684" s="28"/>
      <c r="AM1684" s="28" t="n">
        <f aca="false">AL1684*$M1684</f>
        <v>0</v>
      </c>
      <c r="AN1684" s="28"/>
      <c r="AO1684" s="28" t="n">
        <f aca="false">AN1684*$M1684</f>
        <v>0</v>
      </c>
      <c r="AP1684" s="28"/>
      <c r="AQ1684" s="28" t="n">
        <f aca="false">AP1684*$M1684</f>
        <v>0</v>
      </c>
      <c r="AR1684" s="28"/>
      <c r="AS1684" s="28" t="n">
        <f aca="false">AR1684*$M1684</f>
        <v>0</v>
      </c>
      <c r="AT1684" s="28"/>
      <c r="AU1684" s="28" t="n">
        <f aca="false">AT1684*$M1684</f>
        <v>0</v>
      </c>
      <c r="AV1684" s="28"/>
      <c r="AW1684" s="28" t="n">
        <f aca="false">AV1684*$M1684</f>
        <v>0</v>
      </c>
      <c r="AX1684" s="28"/>
      <c r="AY1684" s="28" t="n">
        <f aca="false">AX1684*$M1684</f>
        <v>0</v>
      </c>
      <c r="AZ1684" s="30" t="n">
        <f aca="false">75475/100</f>
        <v>754.75</v>
      </c>
      <c r="BA1684" s="11" t="n">
        <v>49813</v>
      </c>
      <c r="BB1684" s="31" t="n">
        <f aca="false">SUM(Q1684,S1684,U1684,W1684,Y1684,AA1684,AC1684,AE1684,AG1684,AI1684,AK1684,AM1684,AO1684,AQ1684,AS1684,AU1684,AW1684,AY1684)</f>
        <v>49813</v>
      </c>
      <c r="BC1684" s="28" t="n">
        <f aca="false">BA1684-BB1684</f>
        <v>0</v>
      </c>
      <c r="BD1684" s="32" t="n">
        <f aca="false">SUM(P1684,R1684,T1684,V1684,X1684,Z1684,AB1684,AD1684,AF1684,AH1684,AJ1684,AL1684,AN1684,AP1684,AR1684,AT1684,AV1684,AX1684)</f>
        <v>754.75</v>
      </c>
      <c r="BE1684" s="33" t="n">
        <f aca="false">AZ1684-BD1684</f>
        <v>0</v>
      </c>
      <c r="BF1684" s="34" t="n">
        <f aca="false">BD1684*M1684</f>
        <v>49813.5</v>
      </c>
      <c r="BG1684" s="35" t="n">
        <f aca="false">BA1684-BF1684</f>
        <v>-0.5</v>
      </c>
      <c r="BH1684" s="19" t="str">
        <f aca="false">IF(BG1684=0,"",IF(BG1684&lt;&gt;BA1684,"erreur de calcul",IF(BD1684&lt;&gt;0,"pas de prix",IF(M1684&lt;&gt; 0,"pas de quantité","pas de prix, ni de quantité"))))</f>
        <v>erreur de calcul</v>
      </c>
      <c r="BI1684" s="19"/>
    </row>
    <row r="1685" customFormat="false" ht="15" hidden="false" customHeight="false" outlineLevel="0" collapsed="false">
      <c r="A1685" s="0" t="n">
        <v>33</v>
      </c>
      <c r="B1685" s="8" t="s">
        <v>24</v>
      </c>
      <c r="C1685" s="9" t="s">
        <v>25</v>
      </c>
      <c r="D1685" s="9" t="s">
        <v>26</v>
      </c>
      <c r="E1685" s="10" t="n">
        <v>1789</v>
      </c>
      <c r="F1685" s="9" t="s">
        <v>27</v>
      </c>
      <c r="G1685" s="9" t="s">
        <v>27</v>
      </c>
      <c r="H1685" s="11" t="n">
        <v>25</v>
      </c>
      <c r="I1685" s="11" t="s">
        <v>361</v>
      </c>
      <c r="J1685" s="14" t="n">
        <v>175</v>
      </c>
      <c r="K1685" s="14"/>
      <c r="L1685" s="16"/>
      <c r="M1685" s="27" t="n">
        <f aca="false">J1685+(K1685/20)+(L1685/240)</f>
        <v>175</v>
      </c>
      <c r="N1685" s="17" t="s">
        <v>64</v>
      </c>
      <c r="O1685" s="11" t="s">
        <v>77</v>
      </c>
      <c r="P1685" s="28" t="n">
        <f aca="false">1514/100</f>
        <v>15.14</v>
      </c>
      <c r="Q1685" s="28" t="n">
        <v>2649</v>
      </c>
      <c r="R1685" s="28"/>
      <c r="S1685" s="28" t="n">
        <f aca="false">R1685*$M1685</f>
        <v>0</v>
      </c>
      <c r="T1685" s="28" t="n">
        <f aca="false">170926/100</f>
        <v>1709.26</v>
      </c>
      <c r="U1685" s="28" t="n">
        <v>299120</v>
      </c>
      <c r="V1685" s="28" t="n">
        <f aca="false">16985/100</f>
        <v>169.85</v>
      </c>
      <c r="W1685" s="28" t="n">
        <v>29724</v>
      </c>
      <c r="X1685" s="28" t="n">
        <f aca="false">4530/100</f>
        <v>45.3</v>
      </c>
      <c r="Y1685" s="28" t="n">
        <v>7927</v>
      </c>
      <c r="Z1685" s="28"/>
      <c r="AA1685" s="28" t="n">
        <f aca="false">Z1685*$M1685</f>
        <v>0</v>
      </c>
      <c r="AB1685" s="28" t="n">
        <f aca="false">33770/100</f>
        <v>337.7</v>
      </c>
      <c r="AC1685" s="28" t="n">
        <v>59097</v>
      </c>
      <c r="AD1685" s="28"/>
      <c r="AE1685" s="28" t="n">
        <f aca="false">AD1685*$M1685</f>
        <v>0</v>
      </c>
      <c r="AF1685" s="28" t="n">
        <f aca="false">4712/100</f>
        <v>47.12</v>
      </c>
      <c r="AG1685" s="28" t="n">
        <v>8246</v>
      </c>
      <c r="AH1685" s="28" t="n">
        <f aca="false">55822/100</f>
        <v>558.22</v>
      </c>
      <c r="AI1685" s="28" t="n">
        <v>97688</v>
      </c>
      <c r="AJ1685" s="28"/>
      <c r="AK1685" s="28" t="n">
        <f aca="false">AJ1685*$M1685</f>
        <v>0</v>
      </c>
      <c r="AL1685" s="28"/>
      <c r="AM1685" s="28" t="n">
        <f aca="false">AL1685*$M1685</f>
        <v>0</v>
      </c>
      <c r="AN1685" s="28"/>
      <c r="AO1685" s="28" t="n">
        <f aca="false">AN1685*$M1685</f>
        <v>0</v>
      </c>
      <c r="AP1685" s="28"/>
      <c r="AQ1685" s="28" t="n">
        <f aca="false">AP1685*$M1685</f>
        <v>0</v>
      </c>
      <c r="AR1685" s="28"/>
      <c r="AS1685" s="28" t="n">
        <f aca="false">AR1685*$M1685</f>
        <v>0</v>
      </c>
      <c r="AT1685" s="28"/>
      <c r="AU1685" s="28" t="n">
        <f aca="false">AT1685*$M1685</f>
        <v>0</v>
      </c>
      <c r="AV1685" s="28"/>
      <c r="AW1685" s="28" t="n">
        <f aca="false">AV1685*$M1685</f>
        <v>0</v>
      </c>
      <c r="AX1685" s="28"/>
      <c r="AY1685" s="28" t="n">
        <f aca="false">AX1685*$M1685</f>
        <v>0</v>
      </c>
      <c r="AZ1685" s="30" t="n">
        <f aca="false">288259/100</f>
        <v>2882.59</v>
      </c>
      <c r="BA1685" s="11" t="n">
        <v>504451</v>
      </c>
      <c r="BB1685" s="31" t="n">
        <f aca="false">SUM(Q1685,S1685,U1685,W1685,Y1685,AA1685,AC1685,AE1685,AG1685,AI1685,AK1685,AM1685,AO1685,AQ1685,AS1685,AU1685,AW1685,AY1685)</f>
        <v>504451</v>
      </c>
      <c r="BC1685" s="28" t="n">
        <f aca="false">BA1685-BB1685</f>
        <v>0</v>
      </c>
      <c r="BD1685" s="32" t="n">
        <f aca="false">SUM(P1685,R1685,T1685,V1685,X1685,Z1685,AB1685,AD1685,AF1685,AH1685,AJ1685,AL1685,AN1685,AP1685,AR1685,AT1685,AV1685,AX1685)</f>
        <v>2882.59</v>
      </c>
      <c r="BE1685" s="33" t="n">
        <f aca="false">AZ1685-BD1685</f>
        <v>0</v>
      </c>
      <c r="BF1685" s="34" t="n">
        <f aca="false">BD1685*M1685</f>
        <v>504453.25</v>
      </c>
      <c r="BG1685" s="35" t="n">
        <f aca="false">BA1685-BF1685</f>
        <v>-2.24999999994179</v>
      </c>
      <c r="BH1685" s="19" t="str">
        <f aca="false">IF(BG1685=0,"",IF(BG1685&lt;&gt;BA1685,"erreur de calcul",IF(BD1685&lt;&gt;0,"pas de prix",IF(M1685&lt;&gt; 0,"pas de quantité","pas de prix, ni de quantité"))))</f>
        <v>erreur de calcul</v>
      </c>
      <c r="BI1685" s="19"/>
    </row>
    <row r="1686" customFormat="false" ht="15" hidden="false" customHeight="false" outlineLevel="0" collapsed="false">
      <c r="A1686" s="0" t="n">
        <v>34</v>
      </c>
      <c r="B1686" s="8" t="s">
        <v>24</v>
      </c>
      <c r="C1686" s="9" t="s">
        <v>25</v>
      </c>
      <c r="D1686" s="9" t="s">
        <v>26</v>
      </c>
      <c r="E1686" s="10" t="n">
        <v>1789</v>
      </c>
      <c r="F1686" s="9" t="s">
        <v>27</v>
      </c>
      <c r="G1686" s="9" t="s">
        <v>27</v>
      </c>
      <c r="H1686" s="11" t="n">
        <v>25</v>
      </c>
      <c r="I1686" s="11" t="s">
        <v>362</v>
      </c>
      <c r="J1686" s="14" t="n">
        <v>150</v>
      </c>
      <c r="K1686" s="14"/>
      <c r="L1686" s="16"/>
      <c r="M1686" s="27" t="n">
        <f aca="false">J1686+(K1686/20)+(L1686/240)</f>
        <v>150</v>
      </c>
      <c r="N1686" s="17" t="s">
        <v>64</v>
      </c>
      <c r="O1686" s="11"/>
      <c r="P1686" s="28"/>
      <c r="Q1686" s="28" t="n">
        <f aca="false">P1686*$M1686</f>
        <v>0</v>
      </c>
      <c r="R1686" s="28"/>
      <c r="S1686" s="28" t="n">
        <f aca="false">R1686*$M1686</f>
        <v>0</v>
      </c>
      <c r="T1686" s="28" t="n">
        <f aca="false">1842/100</f>
        <v>18.42</v>
      </c>
      <c r="U1686" s="28" t="n">
        <v>2763</v>
      </c>
      <c r="V1686" s="28" t="n">
        <f aca="false">684/100</f>
        <v>6.84</v>
      </c>
      <c r="W1686" s="28" t="n">
        <v>1026</v>
      </c>
      <c r="X1686" s="28"/>
      <c r="Y1686" s="28" t="n">
        <f aca="false">X1686*$M1686</f>
        <v>0</v>
      </c>
      <c r="Z1686" s="28"/>
      <c r="AA1686" s="28" t="n">
        <f aca="false">Z1686*$M1686</f>
        <v>0</v>
      </c>
      <c r="AB1686" s="28"/>
      <c r="AC1686" s="28" t="n">
        <f aca="false">AB1686*$M1686</f>
        <v>0</v>
      </c>
      <c r="AD1686" s="28"/>
      <c r="AE1686" s="28" t="n">
        <f aca="false">AD1686*$M1686</f>
        <v>0</v>
      </c>
      <c r="AF1686" s="28"/>
      <c r="AG1686" s="28" t="n">
        <f aca="false">AF1686*$M1686</f>
        <v>0</v>
      </c>
      <c r="AH1686" s="28"/>
      <c r="AI1686" s="28" t="n">
        <f aca="false">AH1686*$M1686</f>
        <v>0</v>
      </c>
      <c r="AJ1686" s="28"/>
      <c r="AK1686" s="28" t="n">
        <f aca="false">AJ1686*$M1686</f>
        <v>0</v>
      </c>
      <c r="AL1686" s="28"/>
      <c r="AM1686" s="28" t="n">
        <f aca="false">AL1686*$M1686</f>
        <v>0</v>
      </c>
      <c r="AN1686" s="28"/>
      <c r="AO1686" s="28" t="n">
        <f aca="false">AN1686*$M1686</f>
        <v>0</v>
      </c>
      <c r="AP1686" s="28"/>
      <c r="AQ1686" s="28" t="n">
        <f aca="false">AP1686*$M1686</f>
        <v>0</v>
      </c>
      <c r="AR1686" s="28"/>
      <c r="AS1686" s="28" t="n">
        <f aca="false">AR1686*$M1686</f>
        <v>0</v>
      </c>
      <c r="AT1686" s="28"/>
      <c r="AU1686" s="28" t="n">
        <f aca="false">AT1686*$M1686</f>
        <v>0</v>
      </c>
      <c r="AV1686" s="28"/>
      <c r="AW1686" s="28" t="n">
        <f aca="false">AV1686*$M1686</f>
        <v>0</v>
      </c>
      <c r="AX1686" s="28"/>
      <c r="AY1686" s="28" t="n">
        <f aca="false">AX1686*$M1686</f>
        <v>0</v>
      </c>
      <c r="AZ1686" s="30" t="n">
        <f aca="false">2526/100</f>
        <v>25.26</v>
      </c>
      <c r="BA1686" s="11" t="n">
        <v>3789</v>
      </c>
      <c r="BB1686" s="31" t="n">
        <f aca="false">SUM(Q1686,S1686,U1686,W1686,Y1686,AA1686,AC1686,AE1686,AG1686,AI1686,AK1686,AM1686,AO1686,AQ1686,AS1686,AU1686,AW1686,AY1686)</f>
        <v>3789</v>
      </c>
      <c r="BC1686" s="28" t="n">
        <f aca="false">BA1686-BB1686</f>
        <v>0</v>
      </c>
      <c r="BD1686" s="32" t="n">
        <f aca="false">SUM(P1686,R1686,T1686,V1686,X1686,Z1686,AB1686,AD1686,AF1686,AH1686,AJ1686,AL1686,AN1686,AP1686,AR1686,AT1686,AV1686,AX1686)</f>
        <v>25.26</v>
      </c>
      <c r="BE1686" s="33" t="n">
        <f aca="false">AZ1686-BD1686</f>
        <v>0</v>
      </c>
      <c r="BF1686" s="34" t="n">
        <f aca="false">BD1686*M1686</f>
        <v>3789</v>
      </c>
      <c r="BG1686" s="35" t="n">
        <f aca="false">BA1686-BF1686</f>
        <v>0</v>
      </c>
      <c r="BH1686" s="19" t="str">
        <f aca="false">IF(BG1686=0,"",IF(BG1686&lt;&gt;BA1686,"erreur de calcul",IF(BD1686&lt;&gt;0,"pas de prix",IF(M1686&lt;&gt; 0,"pas de quantité","pas de prix, ni de quantité"))))</f>
        <v/>
      </c>
      <c r="BI1686" s="19"/>
    </row>
    <row r="1687" customFormat="false" ht="15" hidden="false" customHeight="false" outlineLevel="0" collapsed="false">
      <c r="A1687" s="0" t="n">
        <v>35</v>
      </c>
      <c r="B1687" s="8" t="s">
        <v>24</v>
      </c>
      <c r="C1687" s="9" t="s">
        <v>25</v>
      </c>
      <c r="D1687" s="9" t="s">
        <v>26</v>
      </c>
      <c r="E1687" s="10" t="n">
        <v>1789</v>
      </c>
      <c r="F1687" s="9" t="s">
        <v>27</v>
      </c>
      <c r="G1687" s="9" t="s">
        <v>27</v>
      </c>
      <c r="H1687" s="11" t="n">
        <v>25</v>
      </c>
      <c r="I1687" s="11" t="s">
        <v>363</v>
      </c>
      <c r="J1687" s="14" t="n">
        <v>150</v>
      </c>
      <c r="K1687" s="14"/>
      <c r="L1687" s="16"/>
      <c r="M1687" s="27" t="n">
        <f aca="false">J1687+(K1687/20)+(L1687/240)</f>
        <v>150</v>
      </c>
      <c r="N1687" s="17" t="s">
        <v>64</v>
      </c>
      <c r="O1687" s="11" t="s">
        <v>77</v>
      </c>
      <c r="P1687" s="28"/>
      <c r="Q1687" s="28" t="n">
        <f aca="false">P1687*$M1687</f>
        <v>0</v>
      </c>
      <c r="R1687" s="28"/>
      <c r="S1687" s="28" t="n">
        <f aca="false">R1687*$M1687</f>
        <v>0</v>
      </c>
      <c r="T1687" s="28"/>
      <c r="U1687" s="28" t="n">
        <f aca="false">T1687*$M1687</f>
        <v>0</v>
      </c>
      <c r="V1687" s="28" t="n">
        <f aca="false">1501/100</f>
        <v>15.01</v>
      </c>
      <c r="W1687" s="28" t="n">
        <v>2251</v>
      </c>
      <c r="X1687" s="28"/>
      <c r="Y1687" s="28" t="n">
        <f aca="false">X1687*$M1687</f>
        <v>0</v>
      </c>
      <c r="Z1687" s="28" t="n">
        <f aca="false">6420/100</f>
        <v>64.2</v>
      </c>
      <c r="AA1687" s="28" t="n">
        <v>9630</v>
      </c>
      <c r="AB1687" s="28"/>
      <c r="AC1687" s="28" t="n">
        <f aca="false">AB1687*$M1687</f>
        <v>0</v>
      </c>
      <c r="AD1687" s="28"/>
      <c r="AE1687" s="28" t="n">
        <f aca="false">AD1687*$M1687</f>
        <v>0</v>
      </c>
      <c r="AF1687" s="28"/>
      <c r="AG1687" s="28" t="n">
        <f aca="false">AF1687*$M1687</f>
        <v>0</v>
      </c>
      <c r="AH1687" s="28" t="n">
        <f aca="false">138039/100</f>
        <v>1380.39</v>
      </c>
      <c r="AI1687" s="28" t="n">
        <v>207058</v>
      </c>
      <c r="AJ1687" s="28"/>
      <c r="AK1687" s="28" t="n">
        <f aca="false">AJ1687*$M1687</f>
        <v>0</v>
      </c>
      <c r="AL1687" s="28" t="n">
        <f aca="false">917/100</f>
        <v>9.17</v>
      </c>
      <c r="AM1687" s="28" t="n">
        <v>1375</v>
      </c>
      <c r="AN1687" s="28"/>
      <c r="AO1687" s="28" t="n">
        <f aca="false">AN1687*$M1687</f>
        <v>0</v>
      </c>
      <c r="AP1687" s="28"/>
      <c r="AQ1687" s="28" t="n">
        <f aca="false">AP1687*$M1687</f>
        <v>0</v>
      </c>
      <c r="AR1687" s="28"/>
      <c r="AS1687" s="28" t="n">
        <f aca="false">AR1687*$M1687</f>
        <v>0</v>
      </c>
      <c r="AT1687" s="28"/>
      <c r="AU1687" s="28" t="n">
        <f aca="false">AT1687*$M1687</f>
        <v>0</v>
      </c>
      <c r="AV1687" s="28"/>
      <c r="AW1687" s="28" t="n">
        <f aca="false">AV1687*$M1687</f>
        <v>0</v>
      </c>
      <c r="AX1687" s="28"/>
      <c r="AY1687" s="28" t="n">
        <f aca="false">AX1687*$M1687</f>
        <v>0</v>
      </c>
      <c r="AZ1687" s="30" t="n">
        <f aca="false">146877/100</f>
        <v>1468.77</v>
      </c>
      <c r="BA1687" s="11" t="n">
        <v>220314</v>
      </c>
      <c r="BB1687" s="31" t="n">
        <f aca="false">SUM(Q1687,S1687,U1687,W1687,Y1687,AA1687,AC1687,AE1687,AG1687,AI1687,AK1687,AM1687,AO1687,AQ1687,AS1687,AU1687,AW1687,AY1687)</f>
        <v>220314</v>
      </c>
      <c r="BC1687" s="28" t="n">
        <f aca="false">BA1687-BB1687</f>
        <v>0</v>
      </c>
      <c r="BD1687" s="32" t="n">
        <f aca="false">SUM(P1687,R1687,T1687,V1687,X1687,Z1687,AB1687,AD1687,AF1687,AH1687,AJ1687,AL1687,AN1687,AP1687,AR1687,AT1687,AV1687,AX1687)</f>
        <v>1468.77</v>
      </c>
      <c r="BE1687" s="33" t="n">
        <f aca="false">AZ1687-BD1687</f>
        <v>0</v>
      </c>
      <c r="BF1687" s="34" t="n">
        <f aca="false">BD1687*M1687</f>
        <v>220315.5</v>
      </c>
      <c r="BG1687" s="35" t="n">
        <f aca="false">BA1687-BF1687</f>
        <v>-1.5000000000291</v>
      </c>
      <c r="BH1687" s="19" t="str">
        <f aca="false">IF(BG1687=0,"",IF(BG1687&lt;&gt;BA1687,"erreur de calcul",IF(BD1687&lt;&gt;0,"pas de prix",IF(M1687&lt;&gt; 0,"pas de quantité","pas de prix, ni de quantité"))))</f>
        <v>erreur de calcul</v>
      </c>
      <c r="BI1687" s="19"/>
    </row>
    <row r="1688" customFormat="false" ht="15" hidden="false" customHeight="false" outlineLevel="0" collapsed="false">
      <c r="A1688" s="0" t="n">
        <v>36</v>
      </c>
      <c r="B1688" s="8" t="s">
        <v>24</v>
      </c>
      <c r="C1688" s="9" t="s">
        <v>25</v>
      </c>
      <c r="D1688" s="9" t="s">
        <v>26</v>
      </c>
      <c r="E1688" s="10" t="n">
        <v>1789</v>
      </c>
      <c r="F1688" s="9" t="s">
        <v>27</v>
      </c>
      <c r="G1688" s="9" t="s">
        <v>27</v>
      </c>
      <c r="H1688" s="11" t="n">
        <v>25</v>
      </c>
      <c r="I1688" s="11" t="s">
        <v>364</v>
      </c>
      <c r="J1688" s="14" t="n">
        <v>122</v>
      </c>
      <c r="K1688" s="14"/>
      <c r="L1688" s="16"/>
      <c r="M1688" s="27" t="n">
        <f aca="false">J1688+(K1688/20)+(L1688/240)</f>
        <v>122</v>
      </c>
      <c r="N1688" s="17" t="s">
        <v>64</v>
      </c>
      <c r="O1688" s="11" t="s">
        <v>77</v>
      </c>
      <c r="P1688" s="28" t="n">
        <f aca="false">2402/100</f>
        <v>24.02</v>
      </c>
      <c r="Q1688" s="28" t="n">
        <v>2930</v>
      </c>
      <c r="R1688" s="28"/>
      <c r="S1688" s="28" t="n">
        <f aca="false">R1688*$M1688</f>
        <v>0</v>
      </c>
      <c r="T1688" s="28" t="n">
        <f aca="false">3566/100</f>
        <v>35.66</v>
      </c>
      <c r="U1688" s="36" t="n">
        <v>4550</v>
      </c>
      <c r="V1688" s="28" t="n">
        <f aca="false">917/100</f>
        <v>9.17</v>
      </c>
      <c r="W1688" s="28" t="n">
        <v>1119</v>
      </c>
      <c r="X1688" s="28"/>
      <c r="Y1688" s="28" t="n">
        <f aca="false">X1688*$M1688</f>
        <v>0</v>
      </c>
      <c r="Z1688" s="28"/>
      <c r="AA1688" s="28" t="n">
        <f aca="false">Z1688*$M1688</f>
        <v>0</v>
      </c>
      <c r="AB1688" s="28" t="n">
        <f aca="false">28087/100</f>
        <v>280.87</v>
      </c>
      <c r="AC1688" s="28" t="n">
        <v>34266</v>
      </c>
      <c r="AD1688" s="28" t="n">
        <f aca="false">1505/100</f>
        <v>15.05</v>
      </c>
      <c r="AE1688" s="28" t="n">
        <v>1836</v>
      </c>
      <c r="AF1688" s="28"/>
      <c r="AG1688" s="28" t="n">
        <f aca="false">AF1688*$M1688</f>
        <v>0</v>
      </c>
      <c r="AH1688" s="28" t="n">
        <f aca="false">15314/100</f>
        <v>153.14</v>
      </c>
      <c r="AI1688" s="28" t="n">
        <v>18683</v>
      </c>
      <c r="AJ1688" s="28"/>
      <c r="AK1688" s="28" t="n">
        <f aca="false">AJ1688*$M1688</f>
        <v>0</v>
      </c>
      <c r="AL1688" s="28"/>
      <c r="AM1688" s="28" t="n">
        <f aca="false">AL1688*$M1688</f>
        <v>0</v>
      </c>
      <c r="AN1688" s="28"/>
      <c r="AO1688" s="28" t="n">
        <f aca="false">AN1688*$M1688</f>
        <v>0</v>
      </c>
      <c r="AP1688" s="28"/>
      <c r="AQ1688" s="28" t="n">
        <f aca="false">AP1688*$M1688</f>
        <v>0</v>
      </c>
      <c r="AR1688" s="28"/>
      <c r="AS1688" s="28" t="n">
        <f aca="false">AR1688*$M1688</f>
        <v>0</v>
      </c>
      <c r="AT1688" s="28"/>
      <c r="AU1688" s="28" t="n">
        <f aca="false">AT1688*$M1688</f>
        <v>0</v>
      </c>
      <c r="AV1688" s="28"/>
      <c r="AW1688" s="28" t="n">
        <f aca="false">AV1688*$M1688</f>
        <v>0</v>
      </c>
      <c r="AX1688" s="28"/>
      <c r="AY1688" s="28" t="n">
        <f aca="false">AX1688*$M1688</f>
        <v>0</v>
      </c>
      <c r="AZ1688" s="30" t="n">
        <f aca="false">51791/100</f>
        <v>517.91</v>
      </c>
      <c r="BA1688" s="11" t="n">
        <v>63384</v>
      </c>
      <c r="BB1688" s="31" t="n">
        <f aca="false">SUM(Q1688,S1688,U1688,W1688,Y1688,AA1688,AC1688,AE1688,AG1688,AI1688,AK1688,AM1688,AO1688,AQ1688,AS1688,AU1688,AW1688,AY1688)</f>
        <v>63384</v>
      </c>
      <c r="BC1688" s="28" t="n">
        <f aca="false">BA1688-BB1688</f>
        <v>0</v>
      </c>
      <c r="BD1688" s="32" t="n">
        <f aca="false">SUM(P1688,R1688,T1688,V1688,X1688,Z1688,AB1688,AD1688,AF1688,AH1688,AJ1688,AL1688,AN1688,AP1688,AR1688,AT1688,AV1688,AX1688)</f>
        <v>517.91</v>
      </c>
      <c r="BE1688" s="33" t="n">
        <f aca="false">AZ1688-BD1688</f>
        <v>0</v>
      </c>
      <c r="BF1688" s="34" t="n">
        <f aca="false">BD1688*M1688</f>
        <v>63185.02</v>
      </c>
      <c r="BG1688" s="35" t="n">
        <f aca="false">BA1688-BF1688</f>
        <v>198.980000000003</v>
      </c>
      <c r="BH1688" s="19" t="str">
        <f aca="false">IF(BG1688=0,"",IF(BG1688&lt;&gt;BA1688,"erreur de calcul",IF(BD1688&lt;&gt;0,"pas de prix",IF(M1688&lt;&gt; 0,"pas de quantité","pas de prix, ni de quantité"))))</f>
        <v>erreur de calcul</v>
      </c>
      <c r="BI1688" s="19"/>
    </row>
    <row r="1689" customFormat="false" ht="15" hidden="false" customHeight="false" outlineLevel="0" collapsed="false">
      <c r="A1689" s="0" t="n">
        <v>37</v>
      </c>
      <c r="B1689" s="8" t="s">
        <v>24</v>
      </c>
      <c r="C1689" s="9" t="s">
        <v>25</v>
      </c>
      <c r="D1689" s="9" t="s">
        <v>26</v>
      </c>
      <c r="E1689" s="10" t="n">
        <v>1789</v>
      </c>
      <c r="F1689" s="9" t="s">
        <v>27</v>
      </c>
      <c r="G1689" s="9" t="s">
        <v>27</v>
      </c>
      <c r="H1689" s="11" t="n">
        <v>25</v>
      </c>
      <c r="I1689" s="11" t="s">
        <v>365</v>
      </c>
      <c r="J1689" s="14" t="n">
        <v>107</v>
      </c>
      <c r="K1689" s="14"/>
      <c r="L1689" s="16"/>
      <c r="M1689" s="27" t="n">
        <f aca="false">J1689+(K1689/20)+(L1689/240)</f>
        <v>107</v>
      </c>
      <c r="N1689" s="17" t="s">
        <v>64</v>
      </c>
      <c r="O1689" s="11" t="s">
        <v>77</v>
      </c>
      <c r="P1689" s="28"/>
      <c r="Q1689" s="28" t="n">
        <f aca="false">P1689*$M1689</f>
        <v>0</v>
      </c>
      <c r="R1689" s="28"/>
      <c r="S1689" s="28" t="n">
        <f aca="false">R1689*$M1689</f>
        <v>0</v>
      </c>
      <c r="T1689" s="28" t="n">
        <f aca="false">1834/100</f>
        <v>18.34</v>
      </c>
      <c r="U1689" s="28" t="n">
        <v>1962</v>
      </c>
      <c r="V1689" s="28"/>
      <c r="W1689" s="28" t="n">
        <f aca="false">V1689*$M1689</f>
        <v>0</v>
      </c>
      <c r="X1689" s="28"/>
      <c r="Y1689" s="28" t="n">
        <f aca="false">X1689*$M1689</f>
        <v>0</v>
      </c>
      <c r="Z1689" s="28"/>
      <c r="AA1689" s="28" t="n">
        <f aca="false">Z1689*$M1689</f>
        <v>0</v>
      </c>
      <c r="AB1689" s="28"/>
      <c r="AC1689" s="28" t="n">
        <f aca="false">AB1689*$M1689</f>
        <v>0</v>
      </c>
      <c r="AD1689" s="28"/>
      <c r="AE1689" s="28" t="n">
        <f aca="false">AD1689*$M1689</f>
        <v>0</v>
      </c>
      <c r="AF1689" s="28" t="n">
        <f aca="false">5202/100</f>
        <v>52.02</v>
      </c>
      <c r="AG1689" s="28" t="n">
        <v>5566</v>
      </c>
      <c r="AH1689" s="28"/>
      <c r="AI1689" s="28" t="n">
        <f aca="false">AH1689*$M1689</f>
        <v>0</v>
      </c>
      <c r="AJ1689" s="28" t="n">
        <f aca="false">3209/100</f>
        <v>32.09</v>
      </c>
      <c r="AK1689" s="28" t="n">
        <v>3434</v>
      </c>
      <c r="AL1689" s="28" t="n">
        <f aca="false">80682/100</f>
        <v>806.82</v>
      </c>
      <c r="AM1689" s="28" t="n">
        <v>86329</v>
      </c>
      <c r="AN1689" s="28"/>
      <c r="AO1689" s="28" t="n">
        <f aca="false">AN1689*$M1689</f>
        <v>0</v>
      </c>
      <c r="AP1689" s="28"/>
      <c r="AQ1689" s="28" t="n">
        <f aca="false">AP1689*$M1689</f>
        <v>0</v>
      </c>
      <c r="AR1689" s="28"/>
      <c r="AS1689" s="28" t="n">
        <f aca="false">AR1689*$M1689</f>
        <v>0</v>
      </c>
      <c r="AT1689" s="28"/>
      <c r="AU1689" s="28" t="n">
        <f aca="false">AT1689*$M1689</f>
        <v>0</v>
      </c>
      <c r="AV1689" s="28"/>
      <c r="AW1689" s="28" t="n">
        <f aca="false">AV1689*$M1689</f>
        <v>0</v>
      </c>
      <c r="AX1689" s="28"/>
      <c r="AY1689" s="28" t="n">
        <f aca="false">AX1689*$M1689</f>
        <v>0</v>
      </c>
      <c r="AZ1689" s="30" t="n">
        <f aca="false">90927/100</f>
        <v>909.27</v>
      </c>
      <c r="BA1689" s="11" t="n">
        <v>97291</v>
      </c>
      <c r="BB1689" s="31" t="n">
        <f aca="false">SUM(Q1689,S1689,U1689,W1689,Y1689,AA1689,AC1689,AE1689,AG1689,AI1689,AK1689,AM1689,AO1689,AQ1689,AS1689,AU1689,AW1689,AY1689)</f>
        <v>97291</v>
      </c>
      <c r="BC1689" s="28" t="n">
        <f aca="false">BA1689-BB1689</f>
        <v>0</v>
      </c>
      <c r="BD1689" s="32" t="n">
        <f aca="false">SUM(P1689,R1689,T1689,V1689,X1689,Z1689,AB1689,AD1689,AF1689,AH1689,AJ1689,AL1689,AN1689,AP1689,AR1689,AT1689,AV1689,AX1689)</f>
        <v>909.27</v>
      </c>
      <c r="BE1689" s="33" t="n">
        <f aca="false">AZ1689-BD1689</f>
        <v>0</v>
      </c>
      <c r="BF1689" s="34" t="n">
        <f aca="false">BD1689*M1689</f>
        <v>97291.89</v>
      </c>
      <c r="BG1689" s="35" t="n">
        <f aca="false">BA1689-BF1689</f>
        <v>-0.89000000001397</v>
      </c>
      <c r="BH1689" s="19" t="str">
        <f aca="false">IF(BG1689=0,"",IF(BG1689&lt;&gt;BA1689,"erreur de calcul",IF(BD1689&lt;&gt;0,"pas de prix",IF(M1689&lt;&gt; 0,"pas de quantité","pas de prix, ni de quantité"))))</f>
        <v>erreur de calcul</v>
      </c>
      <c r="BI1689" s="19"/>
    </row>
    <row r="1690" customFormat="false" ht="15" hidden="false" customHeight="false" outlineLevel="0" collapsed="false">
      <c r="A1690" s="0" t="n">
        <v>38</v>
      </c>
      <c r="B1690" s="8" t="s">
        <v>24</v>
      </c>
      <c r="C1690" s="9" t="s">
        <v>25</v>
      </c>
      <c r="D1690" s="9" t="s">
        <v>26</v>
      </c>
      <c r="E1690" s="10" t="n">
        <v>1789</v>
      </c>
      <c r="F1690" s="9" t="s">
        <v>27</v>
      </c>
      <c r="G1690" s="9" t="s">
        <v>27</v>
      </c>
      <c r="H1690" s="11" t="n">
        <v>25</v>
      </c>
      <c r="I1690" s="11" t="s">
        <v>366</v>
      </c>
      <c r="J1690" s="14"/>
      <c r="K1690" s="14"/>
      <c r="L1690" s="16"/>
      <c r="M1690" s="27" t="n">
        <f aca="false">J1690+(K1690/20)+(L1690/240)</f>
        <v>0</v>
      </c>
      <c r="N1690" s="17" t="s">
        <v>66</v>
      </c>
      <c r="O1690" s="11"/>
      <c r="P1690" s="28"/>
      <c r="Q1690" s="28" t="n">
        <f aca="false">P1690*$M1690</f>
        <v>0</v>
      </c>
      <c r="R1690" s="28"/>
      <c r="S1690" s="28" t="n">
        <f aca="false">R1690*$M1690</f>
        <v>0</v>
      </c>
      <c r="T1690" s="28"/>
      <c r="U1690" s="28" t="n">
        <f aca="false">T1690*$M1690</f>
        <v>0</v>
      </c>
      <c r="V1690" s="28" t="n">
        <v>797</v>
      </c>
      <c r="W1690" s="28" t="n">
        <v>720</v>
      </c>
      <c r="X1690" s="28"/>
      <c r="Y1690" s="28" t="n">
        <f aca="false">X1690*$M1690</f>
        <v>0</v>
      </c>
      <c r="Z1690" s="28"/>
      <c r="AA1690" s="28" t="n">
        <f aca="false">Z1690*$M1690</f>
        <v>0</v>
      </c>
      <c r="AB1690" s="28"/>
      <c r="AC1690" s="28" t="n">
        <f aca="false">AB1690*$M1690</f>
        <v>0</v>
      </c>
      <c r="AD1690" s="28"/>
      <c r="AE1690" s="28" t="n">
        <f aca="false">AD1690*$M1690</f>
        <v>0</v>
      </c>
      <c r="AF1690" s="28"/>
      <c r="AG1690" s="28" t="n">
        <f aca="false">AF1690*$M1690</f>
        <v>0</v>
      </c>
      <c r="AH1690" s="28"/>
      <c r="AI1690" s="28" t="n">
        <f aca="false">AH1690*$M1690</f>
        <v>0</v>
      </c>
      <c r="AJ1690" s="28"/>
      <c r="AK1690" s="28" t="n">
        <f aca="false">AJ1690*$M1690</f>
        <v>0</v>
      </c>
      <c r="AL1690" s="28"/>
      <c r="AM1690" s="28" t="n">
        <f aca="false">AL1690*$M1690</f>
        <v>0</v>
      </c>
      <c r="AN1690" s="28"/>
      <c r="AO1690" s="28" t="n">
        <f aca="false">AN1690*$M1690</f>
        <v>0</v>
      </c>
      <c r="AP1690" s="28"/>
      <c r="AQ1690" s="28" t="n">
        <f aca="false">AP1690*$M1690</f>
        <v>0</v>
      </c>
      <c r="AR1690" s="28"/>
      <c r="AS1690" s="28" t="n">
        <f aca="false">AR1690*$M1690</f>
        <v>0</v>
      </c>
      <c r="AT1690" s="28"/>
      <c r="AU1690" s="28" t="n">
        <f aca="false">AT1690*$M1690</f>
        <v>0</v>
      </c>
      <c r="AV1690" s="28"/>
      <c r="AW1690" s="28" t="n">
        <f aca="false">AV1690*$M1690</f>
        <v>0</v>
      </c>
      <c r="AX1690" s="28"/>
      <c r="AY1690" s="28" t="n">
        <f aca="false">AX1690*$M1690</f>
        <v>0</v>
      </c>
      <c r="AZ1690" s="30" t="n">
        <v>797</v>
      </c>
      <c r="BA1690" s="11" t="n">
        <v>720</v>
      </c>
      <c r="BB1690" s="31" t="n">
        <f aca="false">SUM(Q1690,S1690,U1690,W1690,Y1690,AA1690,AC1690,AE1690,AG1690,AI1690,AK1690,AM1690,AO1690,AQ1690,AS1690,AU1690,AW1690,AY1690)</f>
        <v>720</v>
      </c>
      <c r="BC1690" s="28" t="n">
        <f aca="false">BA1690-BB1690</f>
        <v>0</v>
      </c>
      <c r="BD1690" s="32" t="n">
        <f aca="false">SUM(P1690,R1690,T1690,V1690,X1690,Z1690,AB1690,AD1690,AF1690,AH1690,AJ1690,AL1690,AN1690,AP1690,AR1690,AT1690,AV1690,AX1690)</f>
        <v>797</v>
      </c>
      <c r="BE1690" s="33" t="n">
        <f aca="false">AZ1690-BD1690</f>
        <v>0</v>
      </c>
      <c r="BF1690" s="34" t="n">
        <f aca="false">BD1690*M1690</f>
        <v>0</v>
      </c>
      <c r="BG1690" s="35" t="n">
        <f aca="false">BA1690-BF1690</f>
        <v>720</v>
      </c>
      <c r="BH1690" s="19" t="str">
        <f aca="false">IF(BG1690=0,"",IF(BG1690&lt;&gt;BA1690,"erreur de calcul",IF(BD1690&lt;&gt;0,"pas de prix",IF(M1690&lt;&gt; 0,"pas de quantité","pas de prix, ni de quantité"))))</f>
        <v>pas de prix</v>
      </c>
      <c r="BI1690" s="19" t="s">
        <v>367</v>
      </c>
    </row>
    <row r="1691" customFormat="false" ht="15" hidden="false" customHeight="false" outlineLevel="0" collapsed="false">
      <c r="A1691" s="0" t="n">
        <v>39</v>
      </c>
      <c r="B1691" s="8" t="s">
        <v>24</v>
      </c>
      <c r="C1691" s="9" t="s">
        <v>25</v>
      </c>
      <c r="D1691" s="9" t="s">
        <v>26</v>
      </c>
      <c r="E1691" s="10" t="n">
        <v>1789</v>
      </c>
      <c r="F1691" s="9" t="s">
        <v>27</v>
      </c>
      <c r="G1691" s="9" t="s">
        <v>27</v>
      </c>
      <c r="H1691" s="11" t="n">
        <v>25</v>
      </c>
      <c r="I1691" s="11" t="s">
        <v>368</v>
      </c>
      <c r="J1691" s="14" t="n">
        <v>4</v>
      </c>
      <c r="K1691" s="14"/>
      <c r="L1691" s="16"/>
      <c r="M1691" s="27" t="n">
        <f aca="false">J1691+(K1691/20)+(L1691/240)</f>
        <v>4</v>
      </c>
      <c r="N1691" s="17" t="s">
        <v>64</v>
      </c>
      <c r="O1691" s="11"/>
      <c r="P1691" s="28"/>
      <c r="Q1691" s="28" t="n">
        <f aca="false">P1691*$M1691</f>
        <v>0</v>
      </c>
      <c r="R1691" s="28"/>
      <c r="S1691" s="28" t="n">
        <f aca="false">R1691*$M1691</f>
        <v>0</v>
      </c>
      <c r="T1691" s="28"/>
      <c r="U1691" s="28" t="n">
        <f aca="false">T1691*$M1691</f>
        <v>0</v>
      </c>
      <c r="V1691" s="28" t="n">
        <f aca="false">23693/100</f>
        <v>236.93</v>
      </c>
      <c r="W1691" s="28" t="n">
        <v>948</v>
      </c>
      <c r="X1691" s="28"/>
      <c r="Y1691" s="28" t="n">
        <f aca="false">X1691*$M1691</f>
        <v>0</v>
      </c>
      <c r="Z1691" s="28"/>
      <c r="AA1691" s="28" t="n">
        <f aca="false">Z1691*$M1691</f>
        <v>0</v>
      </c>
      <c r="AB1691" s="28"/>
      <c r="AC1691" s="28" t="n">
        <f aca="false">AB1691*$M1691</f>
        <v>0</v>
      </c>
      <c r="AD1691" s="28"/>
      <c r="AE1691" s="28" t="n">
        <f aca="false">AD1691*$M1691</f>
        <v>0</v>
      </c>
      <c r="AF1691" s="28"/>
      <c r="AG1691" s="28" t="n">
        <f aca="false">AF1691*$M1691</f>
        <v>0</v>
      </c>
      <c r="AH1691" s="28"/>
      <c r="AI1691" s="28" t="n">
        <f aca="false">AH1691*$M1691</f>
        <v>0</v>
      </c>
      <c r="AJ1691" s="28"/>
      <c r="AK1691" s="28" t="n">
        <f aca="false">AJ1691*$M1691</f>
        <v>0</v>
      </c>
      <c r="AL1691" s="28"/>
      <c r="AM1691" s="28" t="n">
        <f aca="false">AL1691*$M1691</f>
        <v>0</v>
      </c>
      <c r="AN1691" s="28"/>
      <c r="AO1691" s="28" t="n">
        <f aca="false">AN1691*$M1691</f>
        <v>0</v>
      </c>
      <c r="AP1691" s="28"/>
      <c r="AQ1691" s="28" t="n">
        <f aca="false">AP1691*$M1691</f>
        <v>0</v>
      </c>
      <c r="AR1691" s="28"/>
      <c r="AS1691" s="28" t="n">
        <f aca="false">AR1691*$M1691</f>
        <v>0</v>
      </c>
      <c r="AT1691" s="28"/>
      <c r="AU1691" s="28" t="n">
        <f aca="false">AT1691*$M1691</f>
        <v>0</v>
      </c>
      <c r="AV1691" s="28"/>
      <c r="AW1691" s="28" t="n">
        <f aca="false">AV1691*$M1691</f>
        <v>0</v>
      </c>
      <c r="AX1691" s="28"/>
      <c r="AY1691" s="28" t="n">
        <f aca="false">AX1691*$M1691</f>
        <v>0</v>
      </c>
      <c r="AZ1691" s="30" t="n">
        <f aca="false">23693/100</f>
        <v>236.93</v>
      </c>
      <c r="BA1691" s="11" t="n">
        <v>948</v>
      </c>
      <c r="BB1691" s="31" t="n">
        <f aca="false">SUM(Q1691,S1691,U1691,W1691,Y1691,AA1691,AC1691,AE1691,AG1691,AI1691,AK1691,AM1691,AO1691,AQ1691,AS1691,AU1691,AW1691,AY1691)</f>
        <v>948</v>
      </c>
      <c r="BC1691" s="28" t="n">
        <f aca="false">BA1691-BB1691</f>
        <v>0</v>
      </c>
      <c r="BD1691" s="32" t="n">
        <f aca="false">SUM(P1691,R1691,T1691,V1691,X1691,Z1691,AB1691,AD1691,AF1691,AH1691,AJ1691,AL1691,AN1691,AP1691,AR1691,AT1691,AV1691,AX1691)</f>
        <v>236.93</v>
      </c>
      <c r="BE1691" s="33" t="n">
        <f aca="false">AZ1691-BD1691</f>
        <v>0</v>
      </c>
      <c r="BF1691" s="34" t="n">
        <f aca="false">BD1691*M1691</f>
        <v>947.72</v>
      </c>
      <c r="BG1691" s="35" t="n">
        <f aca="false">BA1691-BF1691</f>
        <v>0.279999999999973</v>
      </c>
      <c r="BH1691" s="19" t="str">
        <f aca="false">IF(BG1691=0,"",IF(BG1691&lt;&gt;BA1691,"erreur de calcul",IF(BD1691&lt;&gt;0,"pas de prix",IF(M1691&lt;&gt; 0,"pas de quantité","pas de prix, ni de quantité"))))</f>
        <v>erreur de calcul</v>
      </c>
      <c r="BI1691" s="19"/>
    </row>
    <row r="1692" customFormat="false" ht="15" hidden="false" customHeight="false" outlineLevel="0" collapsed="false">
      <c r="A1692" s="0" t="n">
        <v>40</v>
      </c>
      <c r="B1692" s="8" t="s">
        <v>24</v>
      </c>
      <c r="C1692" s="9" t="s">
        <v>25</v>
      </c>
      <c r="D1692" s="9" t="s">
        <v>26</v>
      </c>
      <c r="E1692" s="10" t="n">
        <v>1789</v>
      </c>
      <c r="F1692" s="9" t="s">
        <v>27</v>
      </c>
      <c r="G1692" s="9" t="s">
        <v>27</v>
      </c>
      <c r="H1692" s="11" t="n">
        <v>25</v>
      </c>
      <c r="I1692" s="11" t="s">
        <v>369</v>
      </c>
      <c r="J1692" s="14" t="n">
        <v>92</v>
      </c>
      <c r="K1692" s="14"/>
      <c r="L1692" s="16"/>
      <c r="M1692" s="27" t="n">
        <f aca="false">J1692+(K1692/20)+(L1692/240)</f>
        <v>92</v>
      </c>
      <c r="N1692" s="17" t="s">
        <v>64</v>
      </c>
      <c r="O1692" s="11"/>
      <c r="P1692" s="28"/>
      <c r="Q1692" s="28" t="n">
        <f aca="false">P1692*$M1692</f>
        <v>0</v>
      </c>
      <c r="R1692" s="28"/>
      <c r="S1692" s="28" t="n">
        <f aca="false">R1692*$M1692</f>
        <v>0</v>
      </c>
      <c r="T1692" s="28"/>
      <c r="U1692" s="28" t="n">
        <f aca="false">T1692*$M1692</f>
        <v>0</v>
      </c>
      <c r="V1692" s="28" t="n">
        <f aca="false">82878/100</f>
        <v>828.78</v>
      </c>
      <c r="W1692" s="28" t="n">
        <v>76248</v>
      </c>
      <c r="X1692" s="28" t="n">
        <f aca="false">44264/100</f>
        <v>442.64</v>
      </c>
      <c r="Y1692" s="36" t="n">
        <v>41023</v>
      </c>
      <c r="Z1692" s="28"/>
      <c r="AA1692" s="28" t="n">
        <f aca="false">Z1692*$M1692</f>
        <v>0</v>
      </c>
      <c r="AB1692" s="28"/>
      <c r="AC1692" s="28" t="n">
        <f aca="false">AB1692*$M1692</f>
        <v>0</v>
      </c>
      <c r="AD1692" s="28"/>
      <c r="AE1692" s="28" t="n">
        <f aca="false">AD1692*$M1692</f>
        <v>0</v>
      </c>
      <c r="AF1692" s="28"/>
      <c r="AG1692" s="28" t="n">
        <f aca="false">AF1692*$M1692</f>
        <v>0</v>
      </c>
      <c r="AH1692" s="28"/>
      <c r="AI1692" s="28" t="n">
        <f aca="false">AH1692*$M1692</f>
        <v>0</v>
      </c>
      <c r="AJ1692" s="28"/>
      <c r="AK1692" s="28" t="n">
        <f aca="false">AJ1692*$M1692</f>
        <v>0</v>
      </c>
      <c r="AL1692" s="28"/>
      <c r="AM1692" s="28" t="n">
        <f aca="false">AL1692*$M1692</f>
        <v>0</v>
      </c>
      <c r="AN1692" s="28"/>
      <c r="AO1692" s="28" t="n">
        <f aca="false">AN1692*$M1692</f>
        <v>0</v>
      </c>
      <c r="AP1692" s="28"/>
      <c r="AQ1692" s="28" t="n">
        <f aca="false">AP1692*$M1692</f>
        <v>0</v>
      </c>
      <c r="AR1692" s="28"/>
      <c r="AS1692" s="28" t="n">
        <f aca="false">AR1692*$M1692</f>
        <v>0</v>
      </c>
      <c r="AT1692" s="28"/>
      <c r="AU1692" s="28" t="n">
        <f aca="false">AT1692*$M1692</f>
        <v>0</v>
      </c>
      <c r="AV1692" s="28"/>
      <c r="AW1692" s="28" t="n">
        <f aca="false">AV1692*$M1692</f>
        <v>0</v>
      </c>
      <c r="AX1692" s="28"/>
      <c r="AY1692" s="28" t="n">
        <f aca="false">AX1692*$M1692</f>
        <v>0</v>
      </c>
      <c r="AZ1692" s="30" t="n">
        <f aca="false">127142/100</f>
        <v>1271.42</v>
      </c>
      <c r="BA1692" s="11" t="n">
        <v>117271</v>
      </c>
      <c r="BB1692" s="31" t="n">
        <f aca="false">SUM(Q1692,S1692,U1692,W1692,Y1692,AA1692,AC1692,AE1692,AG1692,AI1692,AK1692,AM1692,AO1692,AQ1692,AS1692,AU1692,AW1692,AY1692)</f>
        <v>117271</v>
      </c>
      <c r="BC1692" s="28" t="n">
        <f aca="false">BA1692-BB1692</f>
        <v>0</v>
      </c>
      <c r="BD1692" s="32" t="n">
        <f aca="false">SUM(P1692,R1692,T1692,V1692,X1692,Z1692,AB1692,AD1692,AF1692,AH1692,AJ1692,AL1692,AN1692,AP1692,AR1692,AT1692,AV1692,AX1692)</f>
        <v>1271.42</v>
      </c>
      <c r="BE1692" s="33" t="n">
        <f aca="false">AZ1692-BD1692</f>
        <v>0</v>
      </c>
      <c r="BF1692" s="34" t="n">
        <f aca="false">BD1692*M1692</f>
        <v>116970.64</v>
      </c>
      <c r="BG1692" s="35" t="n">
        <f aca="false">BA1692-BF1692</f>
        <v>300.359999999986</v>
      </c>
      <c r="BH1692" s="19" t="str">
        <f aca="false">IF(BG1692=0,"",IF(BG1692&lt;&gt;BA1692,"erreur de calcul",IF(BD1692&lt;&gt;0,"pas de prix",IF(M1692&lt;&gt; 0,"pas de quantité","pas de prix, ni de quantité"))))</f>
        <v>erreur de calcul</v>
      </c>
      <c r="BI1692" s="19"/>
    </row>
    <row r="1693" customFormat="false" ht="15" hidden="false" customHeight="false" outlineLevel="0" collapsed="false">
      <c r="A1693" s="0" t="n">
        <v>41</v>
      </c>
      <c r="B1693" s="8" t="s">
        <v>24</v>
      </c>
      <c r="C1693" s="9" t="s">
        <v>25</v>
      </c>
      <c r="D1693" s="9" t="s">
        <v>26</v>
      </c>
      <c r="E1693" s="10" t="n">
        <v>1789</v>
      </c>
      <c r="F1693" s="9" t="s">
        <v>27</v>
      </c>
      <c r="G1693" s="9" t="s">
        <v>27</v>
      </c>
      <c r="H1693" s="11" t="n">
        <v>25</v>
      </c>
      <c r="I1693" s="11" t="s">
        <v>370</v>
      </c>
      <c r="J1693" s="14" t="n">
        <v>12</v>
      </c>
      <c r="K1693" s="14"/>
      <c r="L1693" s="16"/>
      <c r="M1693" s="27" t="n">
        <f aca="false">J1693+(K1693/20)+(L1693/240)</f>
        <v>12</v>
      </c>
      <c r="N1693" s="17" t="s">
        <v>64</v>
      </c>
      <c r="O1693" s="11"/>
      <c r="P1693" s="28"/>
      <c r="Q1693" s="28" t="n">
        <f aca="false">P1693*$M1693</f>
        <v>0</v>
      </c>
      <c r="R1693" s="28"/>
      <c r="S1693" s="28" t="n">
        <f aca="false">R1693*$M1693</f>
        <v>0</v>
      </c>
      <c r="T1693" s="28"/>
      <c r="U1693" s="28" t="n">
        <f aca="false">T1693*$M1693</f>
        <v>0</v>
      </c>
      <c r="V1693" s="28"/>
      <c r="W1693" s="28" t="n">
        <f aca="false">V1693*$M1693</f>
        <v>0</v>
      </c>
      <c r="X1693" s="28"/>
      <c r="Y1693" s="28" t="n">
        <f aca="false">X1693*$M1693</f>
        <v>0</v>
      </c>
      <c r="Z1693" s="28"/>
      <c r="AA1693" s="28" t="n">
        <f aca="false">Z1693*$M1693</f>
        <v>0</v>
      </c>
      <c r="AB1693" s="28"/>
      <c r="AC1693" s="28" t="n">
        <f aca="false">AB1693*$M1693</f>
        <v>0</v>
      </c>
      <c r="AD1693" s="28"/>
      <c r="AE1693" s="28" t="n">
        <f aca="false">AD1693*$M1693</f>
        <v>0</v>
      </c>
      <c r="AF1693" s="28"/>
      <c r="AG1693" s="28" t="n">
        <f aca="false">AF1693*$M1693</f>
        <v>0</v>
      </c>
      <c r="AH1693" s="28" t="n">
        <f aca="false">12168/100</f>
        <v>121.68</v>
      </c>
      <c r="AI1693" s="28" t="n">
        <v>1460</v>
      </c>
      <c r="AJ1693" s="28"/>
      <c r="AK1693" s="28" t="n">
        <f aca="false">AJ1693*$M1693</f>
        <v>0</v>
      </c>
      <c r="AL1693" s="28"/>
      <c r="AM1693" s="28" t="n">
        <f aca="false">AL1693*$M1693</f>
        <v>0</v>
      </c>
      <c r="AN1693" s="28"/>
      <c r="AO1693" s="28" t="n">
        <f aca="false">AN1693*$M1693</f>
        <v>0</v>
      </c>
      <c r="AP1693" s="28"/>
      <c r="AQ1693" s="28" t="n">
        <f aca="false">AP1693*$M1693</f>
        <v>0</v>
      </c>
      <c r="AR1693" s="28"/>
      <c r="AS1693" s="28" t="n">
        <f aca="false">AR1693*$M1693</f>
        <v>0</v>
      </c>
      <c r="AT1693" s="28"/>
      <c r="AU1693" s="28" t="n">
        <f aca="false">AT1693*$M1693</f>
        <v>0</v>
      </c>
      <c r="AV1693" s="28"/>
      <c r="AW1693" s="28" t="n">
        <f aca="false">AV1693*$M1693</f>
        <v>0</v>
      </c>
      <c r="AX1693" s="28"/>
      <c r="AY1693" s="28" t="n">
        <f aca="false">AX1693*$M1693</f>
        <v>0</v>
      </c>
      <c r="AZ1693" s="30" t="n">
        <f aca="false">12168/100</f>
        <v>121.68</v>
      </c>
      <c r="BA1693" s="11" t="n">
        <v>1460</v>
      </c>
      <c r="BB1693" s="31" t="n">
        <f aca="false">SUM(Q1693,S1693,U1693,W1693,Y1693,AA1693,AC1693,AE1693,AG1693,AI1693,AK1693,AM1693,AO1693,AQ1693,AS1693,AU1693,AW1693,AY1693)</f>
        <v>1460</v>
      </c>
      <c r="BC1693" s="28" t="n">
        <f aca="false">BA1693-BB1693</f>
        <v>0</v>
      </c>
      <c r="BD1693" s="32" t="n">
        <f aca="false">SUM(P1693,R1693,T1693,V1693,X1693,Z1693,AB1693,AD1693,AF1693,AH1693,AJ1693,AL1693,AN1693,AP1693,AR1693,AT1693,AV1693,AX1693)</f>
        <v>121.68</v>
      </c>
      <c r="BE1693" s="33" t="n">
        <f aca="false">AZ1693-BD1693</f>
        <v>0</v>
      </c>
      <c r="BF1693" s="34" t="n">
        <f aca="false">BD1693*M1693</f>
        <v>1460.16</v>
      </c>
      <c r="BG1693" s="35" t="n">
        <f aca="false">BA1693-BF1693</f>
        <v>-0.160000000000082</v>
      </c>
      <c r="BH1693" s="19" t="str">
        <f aca="false">IF(BG1693=0,"",IF(BG1693&lt;&gt;BA1693,"erreur de calcul",IF(BD1693&lt;&gt;0,"pas de prix",IF(M1693&lt;&gt; 0,"pas de quantité","pas de prix, ni de quantité"))))</f>
        <v>erreur de calcul</v>
      </c>
      <c r="BI1693" s="19"/>
    </row>
    <row r="1694" customFormat="false" ht="15" hidden="false" customHeight="false" outlineLevel="0" collapsed="false">
      <c r="A1694" s="0" t="n">
        <v>42</v>
      </c>
      <c r="B1694" s="8" t="s">
        <v>24</v>
      </c>
      <c r="C1694" s="9" t="s">
        <v>25</v>
      </c>
      <c r="D1694" s="9" t="s">
        <v>26</v>
      </c>
      <c r="E1694" s="10" t="n">
        <v>1789</v>
      </c>
      <c r="F1694" s="9" t="s">
        <v>27</v>
      </c>
      <c r="G1694" s="9" t="s">
        <v>27</v>
      </c>
      <c r="H1694" s="11" t="n">
        <v>25</v>
      </c>
      <c r="I1694" s="11" t="s">
        <v>371</v>
      </c>
      <c r="J1694" s="14" t="n">
        <v>7</v>
      </c>
      <c r="K1694" s="14"/>
      <c r="L1694" s="16"/>
      <c r="M1694" s="27" t="n">
        <f aca="false">J1694+(K1694/20)+(L1694/240)</f>
        <v>7</v>
      </c>
      <c r="N1694" s="17" t="s">
        <v>64</v>
      </c>
      <c r="O1694" s="11"/>
      <c r="P1694" s="28"/>
      <c r="Q1694" s="28" t="n">
        <f aca="false">P1694*$M1694</f>
        <v>0</v>
      </c>
      <c r="R1694" s="28"/>
      <c r="S1694" s="28" t="n">
        <f aca="false">R1694*$M1694</f>
        <v>0</v>
      </c>
      <c r="T1694" s="28"/>
      <c r="U1694" s="28" t="n">
        <f aca="false">T1694*$M1694</f>
        <v>0</v>
      </c>
      <c r="V1694" s="28"/>
      <c r="W1694" s="28" t="n">
        <f aca="false">V1694*$M1694</f>
        <v>0</v>
      </c>
      <c r="X1694" s="28"/>
      <c r="Y1694" s="28" t="n">
        <f aca="false">X1694*$M1694</f>
        <v>0</v>
      </c>
      <c r="Z1694" s="28"/>
      <c r="AA1694" s="28" t="n">
        <f aca="false">Z1694*$M1694</f>
        <v>0</v>
      </c>
      <c r="AB1694" s="28" t="n">
        <f aca="false">58003/100</f>
        <v>580.03</v>
      </c>
      <c r="AC1694" s="28" t="n">
        <v>4060</v>
      </c>
      <c r="AD1694" s="28"/>
      <c r="AE1694" s="28" t="n">
        <f aca="false">AD1694*$M1694</f>
        <v>0</v>
      </c>
      <c r="AF1694" s="28"/>
      <c r="AG1694" s="28" t="n">
        <f aca="false">AF1694*$M1694</f>
        <v>0</v>
      </c>
      <c r="AH1694" s="28"/>
      <c r="AI1694" s="28" t="n">
        <f aca="false">AH1694*$M1694</f>
        <v>0</v>
      </c>
      <c r="AJ1694" s="28"/>
      <c r="AK1694" s="28" t="n">
        <f aca="false">AJ1694*$M1694</f>
        <v>0</v>
      </c>
      <c r="AL1694" s="28"/>
      <c r="AM1694" s="28" t="n">
        <f aca="false">AL1694*$M1694</f>
        <v>0</v>
      </c>
      <c r="AN1694" s="28"/>
      <c r="AO1694" s="28" t="n">
        <f aca="false">AN1694*$M1694</f>
        <v>0</v>
      </c>
      <c r="AP1694" s="28"/>
      <c r="AQ1694" s="28" t="n">
        <f aca="false">AP1694*$M1694</f>
        <v>0</v>
      </c>
      <c r="AR1694" s="28"/>
      <c r="AS1694" s="28" t="n">
        <f aca="false">AR1694*$M1694</f>
        <v>0</v>
      </c>
      <c r="AT1694" s="28"/>
      <c r="AU1694" s="28" t="n">
        <f aca="false">AT1694*$M1694</f>
        <v>0</v>
      </c>
      <c r="AV1694" s="28"/>
      <c r="AW1694" s="28" t="n">
        <f aca="false">AV1694*$M1694</f>
        <v>0</v>
      </c>
      <c r="AX1694" s="28"/>
      <c r="AY1694" s="28" t="n">
        <f aca="false">AX1694*$M1694</f>
        <v>0</v>
      </c>
      <c r="AZ1694" s="30" t="n">
        <f aca="false">58003/100</f>
        <v>580.03</v>
      </c>
      <c r="BA1694" s="11" t="n">
        <v>4060</v>
      </c>
      <c r="BB1694" s="31" t="n">
        <f aca="false">SUM(Q1694,S1694,U1694,W1694,Y1694,AA1694,AC1694,AE1694,AG1694,AI1694,AK1694,AM1694,AO1694,AQ1694,AS1694,AU1694,AW1694,AY1694)</f>
        <v>4060</v>
      </c>
      <c r="BC1694" s="28" t="n">
        <f aca="false">BA1694-BB1694</f>
        <v>0</v>
      </c>
      <c r="BD1694" s="32" t="n">
        <f aca="false">SUM(P1694,R1694,T1694,V1694,X1694,Z1694,AB1694,AD1694,AF1694,AH1694,AJ1694,AL1694,AN1694,AP1694,AR1694,AT1694,AV1694,AX1694)</f>
        <v>580.03</v>
      </c>
      <c r="BE1694" s="33" t="n">
        <f aca="false">AZ1694-BD1694</f>
        <v>0</v>
      </c>
      <c r="BF1694" s="34" t="n">
        <f aca="false">BD1694*M1694</f>
        <v>4060.21</v>
      </c>
      <c r="BG1694" s="35" t="n">
        <f aca="false">BA1694-BF1694</f>
        <v>-0.210000000000036</v>
      </c>
      <c r="BH1694" s="19" t="str">
        <f aca="false">IF(BG1694=0,"",IF(BG1694&lt;&gt;BA1694,"erreur de calcul",IF(BD1694&lt;&gt;0,"pas de prix",IF(M1694&lt;&gt; 0,"pas de quantité","pas de prix, ni de quantité"))))</f>
        <v>erreur de calcul</v>
      </c>
      <c r="BI1694" s="19"/>
    </row>
    <row r="1695" customFormat="false" ht="15" hidden="false" customHeight="false" outlineLevel="0" collapsed="false">
      <c r="A1695" s="0" t="n">
        <v>1</v>
      </c>
      <c r="B1695" s="8" t="s">
        <v>24</v>
      </c>
      <c r="C1695" s="9" t="s">
        <v>25</v>
      </c>
      <c r="D1695" s="9" t="s">
        <v>26</v>
      </c>
      <c r="E1695" s="10" t="n">
        <v>1789</v>
      </c>
      <c r="F1695" s="9" t="s">
        <v>27</v>
      </c>
      <c r="G1695" s="9" t="s">
        <v>27</v>
      </c>
      <c r="H1695" s="11" t="n">
        <v>26</v>
      </c>
      <c r="I1695" s="11" t="s">
        <v>372</v>
      </c>
      <c r="J1695" s="14" t="n">
        <v>30</v>
      </c>
      <c r="K1695" s="14"/>
      <c r="L1695" s="16"/>
      <c r="M1695" s="27" t="n">
        <f aca="false">J1695+(K1695/20)+(L1695/240)</f>
        <v>30</v>
      </c>
      <c r="N1695" s="17" t="s">
        <v>64</v>
      </c>
      <c r="O1695" s="11"/>
      <c r="P1695" s="28"/>
      <c r="Q1695" s="28" t="n">
        <f aca="false">P1695*$M1695</f>
        <v>0</v>
      </c>
      <c r="R1695" s="28"/>
      <c r="S1695" s="28" t="n">
        <f aca="false">R1695*$M1695</f>
        <v>0</v>
      </c>
      <c r="T1695" s="28"/>
      <c r="U1695" s="28" t="n">
        <f aca="false">T1695*$M1695</f>
        <v>0</v>
      </c>
      <c r="V1695" s="28" t="n">
        <f aca="false">1500/100</f>
        <v>15</v>
      </c>
      <c r="W1695" s="28" t="n">
        <v>450</v>
      </c>
      <c r="X1695" s="28"/>
      <c r="Y1695" s="28" t="n">
        <f aca="false">X1695*$M1695</f>
        <v>0</v>
      </c>
      <c r="Z1695" s="28"/>
      <c r="AA1695" s="28" t="n">
        <f aca="false">Z1695*$M1695</f>
        <v>0</v>
      </c>
      <c r="AB1695" s="28"/>
      <c r="AC1695" s="28" t="n">
        <f aca="false">AB1695*$M1695</f>
        <v>0</v>
      </c>
      <c r="AD1695" s="28"/>
      <c r="AE1695" s="28" t="n">
        <f aca="false">AD1695*$M1695</f>
        <v>0</v>
      </c>
      <c r="AF1695" s="28"/>
      <c r="AG1695" s="28" t="n">
        <f aca="false">AF1695*$M1695</f>
        <v>0</v>
      </c>
      <c r="AH1695" s="28"/>
      <c r="AI1695" s="28" t="n">
        <f aca="false">AH1695*$M1695</f>
        <v>0</v>
      </c>
      <c r="AJ1695" s="28"/>
      <c r="AK1695" s="28" t="n">
        <f aca="false">AJ1695*$M1695</f>
        <v>0</v>
      </c>
      <c r="AL1695" s="28"/>
      <c r="AM1695" s="28" t="n">
        <f aca="false">AL1695*$M1695</f>
        <v>0</v>
      </c>
      <c r="AN1695" s="28"/>
      <c r="AO1695" s="28" t="n">
        <f aca="false">AN1695*$M1695</f>
        <v>0</v>
      </c>
      <c r="AP1695" s="28"/>
      <c r="AQ1695" s="28" t="n">
        <f aca="false">AP1695*$M1695</f>
        <v>0</v>
      </c>
      <c r="AR1695" s="28"/>
      <c r="AS1695" s="28" t="n">
        <f aca="false">AR1695*$M1695</f>
        <v>0</v>
      </c>
      <c r="AT1695" s="28"/>
      <c r="AU1695" s="28" t="n">
        <f aca="false">AT1695*$M1695</f>
        <v>0</v>
      </c>
      <c r="AV1695" s="28"/>
      <c r="AW1695" s="28" t="n">
        <f aca="false">AV1695*$M1695</f>
        <v>0</v>
      </c>
      <c r="AX1695" s="28"/>
      <c r="AY1695" s="28" t="n">
        <f aca="false">AX1695*$M1695</f>
        <v>0</v>
      </c>
      <c r="AZ1695" s="30" t="n">
        <f aca="false">1500/100</f>
        <v>15</v>
      </c>
      <c r="BA1695" s="11" t="n">
        <v>450</v>
      </c>
      <c r="BB1695" s="31" t="n">
        <f aca="false">SUM(Q1695,S1695,U1695,W1695,Y1695,AA1695,AC1695,AE1695,AG1695,AI1695,AK1695,AM1695,AO1695,AQ1695,AS1695,AU1695,AW1695,AY1695)</f>
        <v>450</v>
      </c>
      <c r="BC1695" s="28" t="n">
        <f aca="false">BA1695-BB1695</f>
        <v>0</v>
      </c>
      <c r="BD1695" s="32" t="n">
        <f aca="false">SUM(P1695,R1695,T1695,V1695,X1695,Z1695,AB1695,AD1695,AF1695,AH1695,AJ1695,AL1695,AN1695,AP1695,AR1695,AT1695,AV1695,AX1695)</f>
        <v>15</v>
      </c>
      <c r="BE1695" s="33" t="n">
        <f aca="false">AZ1695-BD1695</f>
        <v>0</v>
      </c>
      <c r="BF1695" s="34" t="n">
        <f aca="false">BD1695*M1695</f>
        <v>450</v>
      </c>
      <c r="BG1695" s="35" t="n">
        <f aca="false">BA1695-BF1695</f>
        <v>0</v>
      </c>
      <c r="BH1695" s="19" t="str">
        <f aca="false">IF(BG1695=0,"",IF(BG1695&lt;&gt;BA1695,"erreur de calcul",IF(BD1695&lt;&gt;0,"pas de prix",IF(M1695&lt;&gt; 0,"pas de quantité","pas de prix, ni de quantité"))))</f>
        <v/>
      </c>
      <c r="BI1695" s="19"/>
    </row>
    <row r="1696" customFormat="false" ht="15" hidden="false" customHeight="false" outlineLevel="0" collapsed="false">
      <c r="A1696" s="0" t="n">
        <v>2</v>
      </c>
      <c r="B1696" s="8" t="s">
        <v>24</v>
      </c>
      <c r="C1696" s="9" t="s">
        <v>25</v>
      </c>
      <c r="D1696" s="9" t="s">
        <v>26</v>
      </c>
      <c r="E1696" s="10" t="n">
        <v>1789</v>
      </c>
      <c r="F1696" s="9" t="s">
        <v>27</v>
      </c>
      <c r="G1696" s="9" t="s">
        <v>27</v>
      </c>
      <c r="H1696" s="11" t="n">
        <v>26</v>
      </c>
      <c r="I1696" s="11" t="s">
        <v>373</v>
      </c>
      <c r="J1696" s="14" t="n">
        <v>25</v>
      </c>
      <c r="K1696" s="14"/>
      <c r="L1696" s="16"/>
      <c r="M1696" s="27" t="n">
        <f aca="false">J1696+(K1696/20)+(L1696/240)</f>
        <v>25</v>
      </c>
      <c r="N1696" s="17" t="s">
        <v>64</v>
      </c>
      <c r="O1696" s="11"/>
      <c r="P1696" s="28"/>
      <c r="Q1696" s="28" t="n">
        <f aca="false">P1696*$M1696</f>
        <v>0</v>
      </c>
      <c r="R1696" s="28"/>
      <c r="S1696" s="28" t="n">
        <f aca="false">R1696*$M1696</f>
        <v>0</v>
      </c>
      <c r="T1696" s="28" t="n">
        <f aca="false">34168/100</f>
        <v>341.68</v>
      </c>
      <c r="U1696" s="28" t="n">
        <v>8542</v>
      </c>
      <c r="V1696" s="28" t="n">
        <f aca="false">128249/100</f>
        <v>1282.49</v>
      </c>
      <c r="W1696" s="28" t="n">
        <v>32062</v>
      </c>
      <c r="X1696" s="28" t="n">
        <f aca="false">21365/100</f>
        <v>213.65</v>
      </c>
      <c r="Y1696" s="28" t="n">
        <v>5341</v>
      </c>
      <c r="Z1696" s="28"/>
      <c r="AA1696" s="28" t="n">
        <f aca="false">Z1696*$M1696</f>
        <v>0</v>
      </c>
      <c r="AB1696" s="28"/>
      <c r="AC1696" s="28" t="n">
        <f aca="false">AB1696*$M1696</f>
        <v>0</v>
      </c>
      <c r="AD1696" s="28"/>
      <c r="AE1696" s="28" t="n">
        <f aca="false">AD1696*$M1696</f>
        <v>0</v>
      </c>
      <c r="AF1696" s="28"/>
      <c r="AG1696" s="28" t="n">
        <f aca="false">AF1696*$M1696</f>
        <v>0</v>
      </c>
      <c r="AH1696" s="28"/>
      <c r="AI1696" s="28" t="n">
        <f aca="false">AH1696*$M1696</f>
        <v>0</v>
      </c>
      <c r="AJ1696" s="28" t="n">
        <f aca="false">155251/100</f>
        <v>1552.51</v>
      </c>
      <c r="AK1696" s="28" t="n">
        <v>38813</v>
      </c>
      <c r="AL1696" s="28" t="n">
        <f aca="false">185000/100</f>
        <v>1850</v>
      </c>
      <c r="AM1696" s="28" t="n">
        <v>46250</v>
      </c>
      <c r="AN1696" s="28"/>
      <c r="AO1696" s="28" t="n">
        <f aca="false">AN1696*$M1696</f>
        <v>0</v>
      </c>
      <c r="AP1696" s="28"/>
      <c r="AQ1696" s="28" t="n">
        <f aca="false">AP1696*$M1696</f>
        <v>0</v>
      </c>
      <c r="AR1696" s="28"/>
      <c r="AS1696" s="28" t="n">
        <f aca="false">AR1696*$M1696</f>
        <v>0</v>
      </c>
      <c r="AT1696" s="28"/>
      <c r="AU1696" s="28" t="n">
        <f aca="false">AT1696*$M1696</f>
        <v>0</v>
      </c>
      <c r="AV1696" s="28"/>
      <c r="AW1696" s="28" t="n">
        <f aca="false">AV1696*$M1696</f>
        <v>0</v>
      </c>
      <c r="AX1696" s="28"/>
      <c r="AY1696" s="28" t="n">
        <f aca="false">AX1696*$M1696</f>
        <v>0</v>
      </c>
      <c r="AZ1696" s="30" t="n">
        <f aca="false">524033/100</f>
        <v>5240.33</v>
      </c>
      <c r="BA1696" s="11" t="n">
        <v>131008</v>
      </c>
      <c r="BB1696" s="31" t="n">
        <f aca="false">SUM(Q1696,S1696,U1696,W1696,Y1696,AA1696,AC1696,AE1696,AG1696,AI1696,AK1696,AM1696,AO1696,AQ1696,AS1696,AU1696,AW1696,AY1696)</f>
        <v>131008</v>
      </c>
      <c r="BC1696" s="28" t="n">
        <f aca="false">BA1696-BB1696</f>
        <v>0</v>
      </c>
      <c r="BD1696" s="32" t="n">
        <f aca="false">SUM(P1696,R1696,T1696,V1696,X1696,Z1696,AB1696,AD1696,AF1696,AH1696,AJ1696,AL1696,AN1696,AP1696,AR1696,AT1696,AV1696,AX1696)</f>
        <v>5240.33</v>
      </c>
      <c r="BE1696" s="33" t="n">
        <f aca="false">AZ1696-BD1696</f>
        <v>0</v>
      </c>
      <c r="BF1696" s="34" t="n">
        <f aca="false">BD1696*M1696</f>
        <v>131008.25</v>
      </c>
      <c r="BG1696" s="35" t="n">
        <f aca="false">BA1696-BF1696</f>
        <v>-0.250000000014552</v>
      </c>
      <c r="BH1696" s="19" t="str">
        <f aca="false">IF(BG1696=0,"",IF(BG1696&lt;&gt;BA1696,"erreur de calcul",IF(BD1696&lt;&gt;0,"pas de prix",IF(M1696&lt;&gt; 0,"pas de quantité","pas de prix, ni de quantité"))))</f>
        <v>erreur de calcul</v>
      </c>
      <c r="BI1696" s="19"/>
    </row>
    <row r="1697" customFormat="false" ht="15" hidden="false" customHeight="false" outlineLevel="0" collapsed="false">
      <c r="A1697" s="0" t="n">
        <v>3</v>
      </c>
      <c r="B1697" s="8" t="s">
        <v>24</v>
      </c>
      <c r="C1697" s="9" t="s">
        <v>25</v>
      </c>
      <c r="D1697" s="9" t="s">
        <v>26</v>
      </c>
      <c r="E1697" s="10" t="n">
        <v>1789</v>
      </c>
      <c r="F1697" s="9" t="s">
        <v>27</v>
      </c>
      <c r="G1697" s="9" t="s">
        <v>27</v>
      </c>
      <c r="H1697" s="11" t="n">
        <v>26</v>
      </c>
      <c r="I1697" s="11" t="s">
        <v>374</v>
      </c>
      <c r="J1697" s="14" t="n">
        <v>70</v>
      </c>
      <c r="K1697" s="14"/>
      <c r="L1697" s="16"/>
      <c r="M1697" s="27" t="n">
        <f aca="false">J1697+(K1697/20)+(L1697/240)</f>
        <v>70</v>
      </c>
      <c r="N1697" s="17" t="s">
        <v>64</v>
      </c>
      <c r="O1697" s="11"/>
      <c r="P1697" s="28"/>
      <c r="Q1697" s="28" t="n">
        <f aca="false">P1697*$M1697</f>
        <v>0</v>
      </c>
      <c r="R1697" s="28"/>
      <c r="S1697" s="28" t="n">
        <f aca="false">R1697*$M1697</f>
        <v>0</v>
      </c>
      <c r="T1697" s="28"/>
      <c r="U1697" s="28" t="n">
        <f aca="false">T1697*$M1697</f>
        <v>0</v>
      </c>
      <c r="V1697" s="28" t="n">
        <f aca="false">4560/100</f>
        <v>45.6</v>
      </c>
      <c r="W1697" s="28" t="n">
        <v>3192</v>
      </c>
      <c r="X1697" s="28" t="n">
        <f aca="false">1115/100</f>
        <v>11.15</v>
      </c>
      <c r="Y1697" s="28" t="n">
        <v>780</v>
      </c>
      <c r="Z1697" s="28"/>
      <c r="AA1697" s="28" t="n">
        <f aca="false">Z1697*$M1697</f>
        <v>0</v>
      </c>
      <c r="AB1697" s="28" t="n">
        <f aca="false">9431/100</f>
        <v>94.31</v>
      </c>
      <c r="AC1697" s="28" t="n">
        <v>6602</v>
      </c>
      <c r="AD1697" s="28"/>
      <c r="AE1697" s="28" t="n">
        <f aca="false">AD1697*$M1697</f>
        <v>0</v>
      </c>
      <c r="AF1697" s="28"/>
      <c r="AG1697" s="28" t="n">
        <f aca="false">AF1697*$M1697</f>
        <v>0</v>
      </c>
      <c r="AH1697" s="28"/>
      <c r="AI1697" s="28" t="n">
        <f aca="false">AH1697*$M1697</f>
        <v>0</v>
      </c>
      <c r="AJ1697" s="28"/>
      <c r="AK1697" s="28" t="n">
        <f aca="false">AJ1697*$M1697</f>
        <v>0</v>
      </c>
      <c r="AL1697" s="28"/>
      <c r="AM1697" s="28" t="n">
        <f aca="false">AL1697*$M1697</f>
        <v>0</v>
      </c>
      <c r="AN1697" s="28"/>
      <c r="AO1697" s="28" t="n">
        <f aca="false">AN1697*$M1697</f>
        <v>0</v>
      </c>
      <c r="AP1697" s="28"/>
      <c r="AQ1697" s="28" t="n">
        <f aca="false">AP1697*$M1697</f>
        <v>0</v>
      </c>
      <c r="AR1697" s="28"/>
      <c r="AS1697" s="28" t="n">
        <f aca="false">AR1697*$M1697</f>
        <v>0</v>
      </c>
      <c r="AT1697" s="28"/>
      <c r="AU1697" s="28" t="n">
        <f aca="false">AT1697*$M1697</f>
        <v>0</v>
      </c>
      <c r="AV1697" s="28"/>
      <c r="AW1697" s="28" t="n">
        <f aca="false">AV1697*$M1697</f>
        <v>0</v>
      </c>
      <c r="AX1697" s="28"/>
      <c r="AY1697" s="28" t="n">
        <f aca="false">AX1697*$M1697</f>
        <v>0</v>
      </c>
      <c r="AZ1697" s="30" t="n">
        <f aca="false">15106/100</f>
        <v>151.06</v>
      </c>
      <c r="BA1697" s="11" t="n">
        <v>10574</v>
      </c>
      <c r="BB1697" s="31" t="n">
        <f aca="false">SUM(Q1697,S1697,U1697,W1697,Y1697,AA1697,AC1697,AE1697,AG1697,AI1697,AK1697,AM1697,AO1697,AQ1697,AS1697,AU1697,AW1697,AY1697)</f>
        <v>10574</v>
      </c>
      <c r="BC1697" s="28" t="n">
        <f aca="false">BA1697-BB1697</f>
        <v>0</v>
      </c>
      <c r="BD1697" s="32" t="n">
        <f aca="false">SUM(P1697,R1697,T1697,V1697,X1697,Z1697,AB1697,AD1697,AF1697,AH1697,AJ1697,AL1697,AN1697,AP1697,AR1697,AT1697,AV1697,AX1697)</f>
        <v>151.06</v>
      </c>
      <c r="BE1697" s="33" t="n">
        <f aca="false">AZ1697-BD1697</f>
        <v>0</v>
      </c>
      <c r="BF1697" s="34" t="n">
        <f aca="false">BD1697*M1697</f>
        <v>10574.2</v>
      </c>
      <c r="BG1697" s="35" t="n">
        <f aca="false">BA1697-BF1697</f>
        <v>-0.200000000000728</v>
      </c>
      <c r="BH1697" s="19" t="str">
        <f aca="false">IF(BG1697=0,"",IF(BG1697&lt;&gt;BA1697,"erreur de calcul",IF(BD1697&lt;&gt;0,"pas de prix",IF(M1697&lt;&gt; 0,"pas de quantité","pas de prix, ni de quantité"))))</f>
        <v>erreur de calcul</v>
      </c>
      <c r="BI1697" s="19"/>
    </row>
    <row r="1698" customFormat="false" ht="15" hidden="false" customHeight="false" outlineLevel="0" collapsed="false">
      <c r="A1698" s="0" t="n">
        <v>4</v>
      </c>
      <c r="B1698" s="8" t="s">
        <v>24</v>
      </c>
      <c r="C1698" s="9" t="s">
        <v>25</v>
      </c>
      <c r="D1698" s="9" t="s">
        <v>26</v>
      </c>
      <c r="E1698" s="10" t="n">
        <v>1789</v>
      </c>
      <c r="F1698" s="9" t="s">
        <v>27</v>
      </c>
      <c r="G1698" s="9" t="s">
        <v>27</v>
      </c>
      <c r="H1698" s="11" t="n">
        <v>26</v>
      </c>
      <c r="I1698" s="11" t="s">
        <v>375</v>
      </c>
      <c r="J1698" s="14" t="n">
        <v>245</v>
      </c>
      <c r="K1698" s="14"/>
      <c r="L1698" s="16"/>
      <c r="M1698" s="27" t="n">
        <f aca="false">J1698+(K1698/20)+(L1698/240)</f>
        <v>245</v>
      </c>
      <c r="N1698" s="17" t="s">
        <v>64</v>
      </c>
      <c r="O1698" s="11"/>
      <c r="P1698" s="28"/>
      <c r="Q1698" s="28" t="n">
        <f aca="false">P1698*$M1698</f>
        <v>0</v>
      </c>
      <c r="R1698" s="28"/>
      <c r="S1698" s="28" t="n">
        <f aca="false">R1698*$M1698</f>
        <v>0</v>
      </c>
      <c r="T1698" s="28"/>
      <c r="U1698" s="28" t="n">
        <f aca="false">T1698*$M1698</f>
        <v>0</v>
      </c>
      <c r="V1698" s="28"/>
      <c r="W1698" s="28" t="n">
        <f aca="false">V1698*$M1698</f>
        <v>0</v>
      </c>
      <c r="X1698" s="28"/>
      <c r="Y1698" s="28" t="n">
        <f aca="false">X1698*$M1698</f>
        <v>0</v>
      </c>
      <c r="Z1698" s="28"/>
      <c r="AA1698" s="28" t="n">
        <f aca="false">Z1698*$M1698</f>
        <v>0</v>
      </c>
      <c r="AB1698" s="28"/>
      <c r="AC1698" s="28" t="n">
        <f aca="false">AB1698*$M1698</f>
        <v>0</v>
      </c>
      <c r="AD1698" s="28"/>
      <c r="AE1698" s="28" t="n">
        <f aca="false">AD1698*$M1698</f>
        <v>0</v>
      </c>
      <c r="AF1698" s="28"/>
      <c r="AG1698" s="28" t="n">
        <f aca="false">AF1698*$M1698</f>
        <v>0</v>
      </c>
      <c r="AH1698" s="28" t="n">
        <f aca="false">751/100</f>
        <v>7.51</v>
      </c>
      <c r="AI1698" s="28" t="n">
        <v>1840</v>
      </c>
      <c r="AJ1698" s="28"/>
      <c r="AK1698" s="28" t="n">
        <f aca="false">AJ1698*$M1698</f>
        <v>0</v>
      </c>
      <c r="AL1698" s="28"/>
      <c r="AM1698" s="28" t="n">
        <f aca="false">AL1698*$M1698</f>
        <v>0</v>
      </c>
      <c r="AN1698" s="28"/>
      <c r="AO1698" s="28" t="n">
        <f aca="false">AN1698*$M1698</f>
        <v>0</v>
      </c>
      <c r="AP1698" s="28"/>
      <c r="AQ1698" s="28" t="n">
        <f aca="false">AP1698*$M1698</f>
        <v>0</v>
      </c>
      <c r="AR1698" s="28"/>
      <c r="AS1698" s="28" t="n">
        <f aca="false">AR1698*$M1698</f>
        <v>0</v>
      </c>
      <c r="AT1698" s="28"/>
      <c r="AU1698" s="28" t="n">
        <f aca="false">AT1698*$M1698</f>
        <v>0</v>
      </c>
      <c r="AV1698" s="28"/>
      <c r="AW1698" s="28" t="n">
        <f aca="false">AV1698*$M1698</f>
        <v>0</v>
      </c>
      <c r="AX1698" s="28"/>
      <c r="AY1698" s="28" t="n">
        <f aca="false">AX1698*$M1698</f>
        <v>0</v>
      </c>
      <c r="AZ1698" s="30" t="n">
        <f aca="false">751/100</f>
        <v>7.51</v>
      </c>
      <c r="BA1698" s="11" t="n">
        <v>1840</v>
      </c>
      <c r="BB1698" s="31" t="n">
        <f aca="false">SUM(Q1698,S1698,U1698,W1698,Y1698,AA1698,AC1698,AE1698,AG1698,AI1698,AK1698,AM1698,AO1698,AQ1698,AS1698,AU1698,AW1698,AY1698)</f>
        <v>1840</v>
      </c>
      <c r="BC1698" s="28" t="n">
        <f aca="false">BA1698-BB1698</f>
        <v>0</v>
      </c>
      <c r="BD1698" s="32" t="n">
        <f aca="false">SUM(P1698,R1698,T1698,V1698,X1698,Z1698,AB1698,AD1698,AF1698,AH1698,AJ1698,AL1698,AN1698,AP1698,AR1698,AT1698,AV1698,AX1698)</f>
        <v>7.51</v>
      </c>
      <c r="BE1698" s="33" t="n">
        <f aca="false">AZ1698-BD1698</f>
        <v>0</v>
      </c>
      <c r="BF1698" s="34" t="n">
        <f aca="false">BD1698*M1698</f>
        <v>1839.95</v>
      </c>
      <c r="BG1698" s="35" t="n">
        <f aca="false">BA1698-BF1698</f>
        <v>0.0499999999999545</v>
      </c>
      <c r="BH1698" s="19" t="str">
        <f aca="false">IF(BG1698=0,"",IF(BG1698&lt;&gt;BA1698,"erreur de calcul",IF(BD1698&lt;&gt;0,"pas de prix",IF(M1698&lt;&gt; 0,"pas de quantité","pas de prix, ni de quantité"))))</f>
        <v>erreur de calcul</v>
      </c>
      <c r="BI1698" s="19"/>
    </row>
    <row r="1699" customFormat="false" ht="15" hidden="false" customHeight="false" outlineLevel="0" collapsed="false">
      <c r="A1699" s="0" t="n">
        <v>5</v>
      </c>
      <c r="B1699" s="8" t="s">
        <v>24</v>
      </c>
      <c r="C1699" s="9" t="s">
        <v>25</v>
      </c>
      <c r="D1699" s="9" t="s">
        <v>26</v>
      </c>
      <c r="E1699" s="10" t="n">
        <v>1789</v>
      </c>
      <c r="F1699" s="9" t="s">
        <v>27</v>
      </c>
      <c r="G1699" s="9" t="s">
        <v>27</v>
      </c>
      <c r="H1699" s="11" t="n">
        <v>26</v>
      </c>
      <c r="I1699" s="11" t="s">
        <v>376</v>
      </c>
      <c r="J1699" s="14" t="n">
        <v>550</v>
      </c>
      <c r="K1699" s="14"/>
      <c r="L1699" s="16"/>
      <c r="M1699" s="27" t="n">
        <f aca="false">J1699+(K1699/20)+(L1699/240)</f>
        <v>550</v>
      </c>
      <c r="N1699" s="17" t="s">
        <v>64</v>
      </c>
      <c r="O1699" s="11"/>
      <c r="P1699" s="28"/>
      <c r="Q1699" s="28" t="n">
        <f aca="false">P1699*$M1699</f>
        <v>0</v>
      </c>
      <c r="R1699" s="28"/>
      <c r="S1699" s="28" t="n">
        <f aca="false">R1699*$M1699</f>
        <v>0</v>
      </c>
      <c r="T1699" s="28"/>
      <c r="U1699" s="28" t="n">
        <f aca="false">T1699*$M1699</f>
        <v>0</v>
      </c>
      <c r="V1699" s="28"/>
      <c r="W1699" s="28" t="n">
        <f aca="false">V1699*$M1699</f>
        <v>0</v>
      </c>
      <c r="X1699" s="28"/>
      <c r="Y1699" s="28" t="n">
        <f aca="false">X1699*$M1699</f>
        <v>0</v>
      </c>
      <c r="Z1699" s="28"/>
      <c r="AA1699" s="28" t="n">
        <f aca="false">Z1699*$M1699</f>
        <v>0</v>
      </c>
      <c r="AB1699" s="28"/>
      <c r="AC1699" s="28" t="n">
        <f aca="false">AB1699*$M1699</f>
        <v>0</v>
      </c>
      <c r="AD1699" s="28"/>
      <c r="AE1699" s="28" t="n">
        <f aca="false">AD1699*$M1699</f>
        <v>0</v>
      </c>
      <c r="AF1699" s="28"/>
      <c r="AG1699" s="28" t="n">
        <f aca="false">AF1699*$M1699</f>
        <v>0</v>
      </c>
      <c r="AH1699" s="28" t="n">
        <f aca="false">215551/100</f>
        <v>2155.51</v>
      </c>
      <c r="AI1699" s="28" t="n">
        <v>1185530</v>
      </c>
      <c r="AJ1699" s="28"/>
      <c r="AK1699" s="28" t="n">
        <f aca="false">AJ1699*$M1699</f>
        <v>0</v>
      </c>
      <c r="AL1699" s="28"/>
      <c r="AM1699" s="28" t="n">
        <f aca="false">AL1699*$M1699</f>
        <v>0</v>
      </c>
      <c r="AN1699" s="28"/>
      <c r="AO1699" s="28" t="n">
        <f aca="false">AN1699*$M1699</f>
        <v>0</v>
      </c>
      <c r="AP1699" s="28"/>
      <c r="AQ1699" s="28" t="n">
        <f aca="false">AP1699*$M1699</f>
        <v>0</v>
      </c>
      <c r="AR1699" s="28"/>
      <c r="AS1699" s="28" t="n">
        <f aca="false">AR1699*$M1699</f>
        <v>0</v>
      </c>
      <c r="AT1699" s="28"/>
      <c r="AU1699" s="28" t="n">
        <f aca="false">AT1699*$M1699</f>
        <v>0</v>
      </c>
      <c r="AV1699" s="28"/>
      <c r="AW1699" s="28" t="n">
        <f aca="false">AV1699*$M1699</f>
        <v>0</v>
      </c>
      <c r="AX1699" s="28"/>
      <c r="AY1699" s="28" t="n">
        <f aca="false">AX1699*$M1699</f>
        <v>0</v>
      </c>
      <c r="AZ1699" s="30" t="n">
        <f aca="false">215551/100</f>
        <v>2155.51</v>
      </c>
      <c r="BA1699" s="11" t="n">
        <v>1185530</v>
      </c>
      <c r="BB1699" s="31" t="n">
        <f aca="false">SUM(Q1699,S1699,U1699,W1699,Y1699,AA1699,AC1699,AE1699,AG1699,AI1699,AK1699,AM1699,AO1699,AQ1699,AS1699,AU1699,AW1699,AY1699)</f>
        <v>1185530</v>
      </c>
      <c r="BC1699" s="28" t="n">
        <f aca="false">BA1699-BB1699</f>
        <v>0</v>
      </c>
      <c r="BD1699" s="32" t="n">
        <f aca="false">SUM(P1699,R1699,T1699,V1699,X1699,Z1699,AB1699,AD1699,AF1699,AH1699,AJ1699,AL1699,AN1699,AP1699,AR1699,AT1699,AV1699,AX1699)</f>
        <v>2155.51</v>
      </c>
      <c r="BE1699" s="33" t="n">
        <f aca="false">AZ1699-BD1699</f>
        <v>0</v>
      </c>
      <c r="BF1699" s="34" t="n">
        <f aca="false">BD1699*M1699</f>
        <v>1185530.5</v>
      </c>
      <c r="BG1699" s="35" t="n">
        <f aca="false">BA1699-BF1699</f>
        <v>-0.500000000232831</v>
      </c>
      <c r="BH1699" s="19" t="str">
        <f aca="false">IF(BG1699=0,"",IF(BG1699&lt;&gt;BA1699,"erreur de calcul",IF(BD1699&lt;&gt;0,"pas de prix",IF(M1699&lt;&gt; 0,"pas de quantité","pas de prix, ni de quantité"))))</f>
        <v>erreur de calcul</v>
      </c>
      <c r="BI1699" s="19"/>
    </row>
    <row r="1700" customFormat="false" ht="15" hidden="false" customHeight="false" outlineLevel="0" collapsed="false">
      <c r="A1700" s="0" t="n">
        <v>6</v>
      </c>
      <c r="B1700" s="8" t="s">
        <v>24</v>
      </c>
      <c r="C1700" s="9" t="s">
        <v>25</v>
      </c>
      <c r="D1700" s="9" t="s">
        <v>26</v>
      </c>
      <c r="E1700" s="10" t="n">
        <v>1789</v>
      </c>
      <c r="F1700" s="9" t="s">
        <v>27</v>
      </c>
      <c r="G1700" s="9" t="s">
        <v>27</v>
      </c>
      <c r="H1700" s="11" t="n">
        <v>26</v>
      </c>
      <c r="I1700" s="11" t="s">
        <v>377</v>
      </c>
      <c r="J1700" s="14"/>
      <c r="K1700" s="14"/>
      <c r="L1700" s="16"/>
      <c r="M1700" s="27" t="n">
        <f aca="false">J1700+(K1700/20)+(L1700/240)</f>
        <v>0</v>
      </c>
      <c r="N1700" s="17"/>
      <c r="O1700" s="11"/>
      <c r="P1700" s="28"/>
      <c r="Q1700" s="28" t="n">
        <f aca="false">P1700*$M1700</f>
        <v>0</v>
      </c>
      <c r="R1700" s="28"/>
      <c r="S1700" s="28" t="n">
        <f aca="false">R1700*$M1700</f>
        <v>0</v>
      </c>
      <c r="T1700" s="28"/>
      <c r="U1700" s="28" t="n">
        <v>517</v>
      </c>
      <c r="V1700" s="28"/>
      <c r="W1700" s="28" t="n">
        <v>1243</v>
      </c>
      <c r="X1700" s="28"/>
      <c r="Y1700" s="28" t="n">
        <f aca="false">X1700*$M1700</f>
        <v>0</v>
      </c>
      <c r="Z1700" s="28"/>
      <c r="AA1700" s="28" t="n">
        <f aca="false">Z1700*$M1700</f>
        <v>0</v>
      </c>
      <c r="AB1700" s="28"/>
      <c r="AC1700" s="28" t="n">
        <v>694</v>
      </c>
      <c r="AD1700" s="28"/>
      <c r="AE1700" s="28" t="n">
        <f aca="false">AD1700*$M1700</f>
        <v>0</v>
      </c>
      <c r="AF1700" s="28"/>
      <c r="AG1700" s="28" t="n">
        <f aca="false">AF1700*$M1700</f>
        <v>0</v>
      </c>
      <c r="AH1700" s="28"/>
      <c r="AI1700" s="28" t="n">
        <f aca="false">AH1700*$M1700</f>
        <v>0</v>
      </c>
      <c r="AJ1700" s="28"/>
      <c r="AK1700" s="28" t="n">
        <v>664</v>
      </c>
      <c r="AL1700" s="28"/>
      <c r="AM1700" s="28" t="n">
        <v>161</v>
      </c>
      <c r="AN1700" s="28"/>
      <c r="AO1700" s="28" t="n">
        <f aca="false">AN1700*$M1700</f>
        <v>0</v>
      </c>
      <c r="AP1700" s="28"/>
      <c r="AQ1700" s="28" t="n">
        <f aca="false">AP1700*$M1700</f>
        <v>0</v>
      </c>
      <c r="AR1700" s="28"/>
      <c r="AS1700" s="28" t="n">
        <f aca="false">AR1700*$M1700</f>
        <v>0</v>
      </c>
      <c r="AT1700" s="28"/>
      <c r="AU1700" s="28" t="n">
        <f aca="false">AT1700*$M1700</f>
        <v>0</v>
      </c>
      <c r="AV1700" s="28"/>
      <c r="AW1700" s="28" t="n">
        <f aca="false">AV1700*$M1700</f>
        <v>0</v>
      </c>
      <c r="AX1700" s="28"/>
      <c r="AY1700" s="28" t="n">
        <f aca="false">AX1700*$M1700</f>
        <v>0</v>
      </c>
      <c r="AZ1700" s="30"/>
      <c r="BA1700" s="11" t="n">
        <v>3279</v>
      </c>
      <c r="BB1700" s="31" t="n">
        <f aca="false">SUM(Q1700,S1700,U1700,W1700,Y1700,AA1700,AC1700,AE1700,AG1700,AI1700,AK1700,AM1700,AO1700,AQ1700,AS1700,AU1700,AW1700,AY1700)</f>
        <v>3279</v>
      </c>
      <c r="BC1700" s="28" t="n">
        <f aca="false">BA1700-BB1700</f>
        <v>0</v>
      </c>
      <c r="BD1700" s="32" t="n">
        <f aca="false">SUM(P1700,R1700,T1700,V1700,X1700,Z1700,AB1700,AD1700,AF1700,AH1700,AJ1700,AL1700,AN1700,AP1700,AR1700,AT1700,AV1700,AX1700)</f>
        <v>0</v>
      </c>
      <c r="BE1700" s="33" t="n">
        <f aca="false">AZ1700-BD1700</f>
        <v>0</v>
      </c>
      <c r="BF1700" s="34" t="n">
        <f aca="false">BD1700*M1700</f>
        <v>0</v>
      </c>
      <c r="BG1700" s="35" t="n">
        <f aca="false">BA1700-BF1700</f>
        <v>3279</v>
      </c>
      <c r="BH1700" s="19" t="str">
        <f aca="false">IF(BG1700=0,"",IF(BG1700&lt;&gt;BA1700,"erreur de calcul",IF(BD1700&lt;&gt;0,"pas de prix",IF(M1700&lt;&gt; 0,"pas de quantité","pas de prix, ni de quantité"))))</f>
        <v>pas de prix, ni de quantité</v>
      </c>
      <c r="BI1700" s="19"/>
    </row>
    <row r="1701" customFormat="false" ht="15" hidden="false" customHeight="false" outlineLevel="0" collapsed="false">
      <c r="A1701" s="0" t="n">
        <v>7</v>
      </c>
      <c r="B1701" s="8" t="s">
        <v>24</v>
      </c>
      <c r="C1701" s="9" t="s">
        <v>25</v>
      </c>
      <c r="D1701" s="9" t="s">
        <v>26</v>
      </c>
      <c r="E1701" s="10" t="n">
        <v>1789</v>
      </c>
      <c r="F1701" s="9" t="s">
        <v>27</v>
      </c>
      <c r="G1701" s="9" t="s">
        <v>27</v>
      </c>
      <c r="H1701" s="11" t="n">
        <v>26</v>
      </c>
      <c r="I1701" s="11" t="s">
        <v>378</v>
      </c>
      <c r="J1701" s="14" t="n">
        <v>27</v>
      </c>
      <c r="K1701" s="14"/>
      <c r="L1701" s="16"/>
      <c r="M1701" s="27" t="n">
        <f aca="false">J1701+(K1701/20)+(L1701/240)</f>
        <v>27</v>
      </c>
      <c r="N1701" s="17" t="s">
        <v>379</v>
      </c>
      <c r="O1701" s="11" t="s">
        <v>98</v>
      </c>
      <c r="P1701" s="28"/>
      <c r="Q1701" s="28" t="n">
        <f aca="false">P1701*$M1701</f>
        <v>0</v>
      </c>
      <c r="R1701" s="28"/>
      <c r="S1701" s="28" t="n">
        <f aca="false">R1701*$M1701</f>
        <v>0</v>
      </c>
      <c r="T1701" s="28"/>
      <c r="U1701" s="28" t="n">
        <f aca="false">T1701*$M1701</f>
        <v>0</v>
      </c>
      <c r="V1701" s="28"/>
      <c r="W1701" s="28" t="n">
        <f aca="false">V1701*$M1701</f>
        <v>0</v>
      </c>
      <c r="X1701" s="28"/>
      <c r="Y1701" s="28" t="n">
        <f aca="false">X1701*$M1701</f>
        <v>0</v>
      </c>
      <c r="Z1701" s="28"/>
      <c r="AA1701" s="28" t="n">
        <f aca="false">Z1701*$M1701</f>
        <v>0</v>
      </c>
      <c r="AB1701" s="28"/>
      <c r="AC1701" s="28" t="n">
        <f aca="false">AB1701*$M1701</f>
        <v>0</v>
      </c>
      <c r="AD1701" s="28"/>
      <c r="AE1701" s="28" t="n">
        <f aca="false">AD1701*$M1701</f>
        <v>0</v>
      </c>
      <c r="AF1701" s="28"/>
      <c r="AG1701" s="28" t="n">
        <f aca="false">AF1701*$M1701</f>
        <v>0</v>
      </c>
      <c r="AH1701" s="28"/>
      <c r="AI1701" s="28" t="n">
        <f aca="false">AH1701*$M1701</f>
        <v>0</v>
      </c>
      <c r="AJ1701" s="28"/>
      <c r="AK1701" s="28" t="n">
        <f aca="false">AJ1701*$M1701</f>
        <v>0</v>
      </c>
      <c r="AL1701" s="28"/>
      <c r="AM1701" s="28" t="n">
        <f aca="false">AL1701*$M1701</f>
        <v>0</v>
      </c>
      <c r="AN1701" s="28"/>
      <c r="AO1701" s="28" t="n">
        <f aca="false">AN1701*$M1701</f>
        <v>0</v>
      </c>
      <c r="AP1701" s="28"/>
      <c r="AQ1701" s="28" t="n">
        <f aca="false">AP1701*$M1701</f>
        <v>0</v>
      </c>
      <c r="AR1701" s="28"/>
      <c r="AS1701" s="28" t="n">
        <f aca="false">AR1701*$M1701</f>
        <v>0</v>
      </c>
      <c r="AT1701" s="28"/>
      <c r="AU1701" s="28" t="n">
        <f aca="false">AT1701*$M1701</f>
        <v>0</v>
      </c>
      <c r="AV1701" s="28"/>
      <c r="AW1701" s="28" t="n">
        <f aca="false">AV1701*$M1701</f>
        <v>0</v>
      </c>
      <c r="AX1701" s="28"/>
      <c r="AY1701" s="28" t="n">
        <f aca="false">AX1701*$M1701</f>
        <v>0</v>
      </c>
      <c r="AZ1701" s="30"/>
      <c r="BA1701" s="11"/>
      <c r="BB1701" s="31" t="n">
        <f aca="false">SUM(Q1701,S1701,U1701,W1701,Y1701,AA1701,AC1701,AE1701,AG1701,AI1701,AK1701,AM1701,AO1701,AQ1701,AS1701,AU1701,AW1701,AY1701)</f>
        <v>0</v>
      </c>
      <c r="BC1701" s="28" t="n">
        <f aca="false">BA1701-BB1701</f>
        <v>0</v>
      </c>
      <c r="BD1701" s="32" t="n">
        <f aca="false">SUM(P1701,R1701,T1701,V1701,X1701,Z1701,AB1701,AD1701,AF1701,AH1701,AJ1701,AL1701,AN1701,AP1701,AR1701,AT1701,AV1701,AX1701)</f>
        <v>0</v>
      </c>
      <c r="BE1701" s="33" t="n">
        <f aca="false">AZ1701-BD1701</f>
        <v>0</v>
      </c>
      <c r="BF1701" s="34" t="n">
        <f aca="false">BD1701*M1701</f>
        <v>0</v>
      </c>
      <c r="BG1701" s="35" t="n">
        <f aca="false">BA1701-BF1701</f>
        <v>0</v>
      </c>
      <c r="BH1701" s="19" t="str">
        <f aca="false">IF(BG1701=0,"",IF(BG1701&lt;&gt;BA1701,"erreur de calcul",IF(BD1701&lt;&gt;0,"pas de prix",IF(M1701&lt;&gt; 0,"pas de quantité","pas de prix, ni de quantité"))))</f>
        <v/>
      </c>
      <c r="BI1701" s="19"/>
    </row>
    <row r="1702" customFormat="false" ht="15" hidden="false" customHeight="false" outlineLevel="0" collapsed="false">
      <c r="A1702" s="0" t="n">
        <v>8</v>
      </c>
      <c r="B1702" s="8" t="s">
        <v>24</v>
      </c>
      <c r="C1702" s="9" t="s">
        <v>25</v>
      </c>
      <c r="D1702" s="9" t="s">
        <v>26</v>
      </c>
      <c r="E1702" s="10" t="n">
        <v>1789</v>
      </c>
      <c r="F1702" s="9" t="s">
        <v>27</v>
      </c>
      <c r="G1702" s="9" t="s">
        <v>27</v>
      </c>
      <c r="H1702" s="11" t="n">
        <v>26</v>
      </c>
      <c r="I1702" s="11" t="s">
        <v>380</v>
      </c>
      <c r="J1702" s="14" t="n">
        <v>30</v>
      </c>
      <c r="K1702" s="14"/>
      <c r="L1702" s="16"/>
      <c r="M1702" s="27" t="n">
        <f aca="false">J1702+(K1702/20)+(L1702/240)</f>
        <v>30</v>
      </c>
      <c r="N1702" s="17" t="s">
        <v>64</v>
      </c>
      <c r="O1702" s="11"/>
      <c r="P1702" s="28"/>
      <c r="Q1702" s="28" t="n">
        <f aca="false">P1702*$M1702</f>
        <v>0</v>
      </c>
      <c r="R1702" s="28"/>
      <c r="S1702" s="28" t="n">
        <f aca="false">R1702*$M1702</f>
        <v>0</v>
      </c>
      <c r="T1702" s="28"/>
      <c r="U1702" s="28" t="n">
        <f aca="false">T1702*$M1702</f>
        <v>0</v>
      </c>
      <c r="V1702" s="28"/>
      <c r="W1702" s="28" t="n">
        <f aca="false">V1702*$M1702</f>
        <v>0</v>
      </c>
      <c r="X1702" s="28"/>
      <c r="Y1702" s="28" t="n">
        <f aca="false">X1702*$M1702</f>
        <v>0</v>
      </c>
      <c r="Z1702" s="28"/>
      <c r="AA1702" s="28" t="n">
        <f aca="false">Z1702*$M1702</f>
        <v>0</v>
      </c>
      <c r="AB1702" s="28"/>
      <c r="AC1702" s="28" t="n">
        <f aca="false">AB1702*$M1702</f>
        <v>0</v>
      </c>
      <c r="AD1702" s="28"/>
      <c r="AE1702" s="28" t="n">
        <f aca="false">AD1702*$M1702</f>
        <v>0</v>
      </c>
      <c r="AF1702" s="28"/>
      <c r="AG1702" s="28" t="n">
        <f aca="false">AF1702*$M1702</f>
        <v>0</v>
      </c>
      <c r="AH1702" s="28"/>
      <c r="AI1702" s="28" t="n">
        <f aca="false">AH1702*$M1702</f>
        <v>0</v>
      </c>
      <c r="AJ1702" s="28"/>
      <c r="AK1702" s="28" t="n">
        <f aca="false">AJ1702*$M1702</f>
        <v>0</v>
      </c>
      <c r="AL1702" s="28"/>
      <c r="AM1702" s="28" t="n">
        <f aca="false">AL1702*$M1702</f>
        <v>0</v>
      </c>
      <c r="AN1702" s="28"/>
      <c r="AO1702" s="28" t="n">
        <f aca="false">AN1702*$M1702</f>
        <v>0</v>
      </c>
      <c r="AP1702" s="28"/>
      <c r="AQ1702" s="28" t="n">
        <f aca="false">AP1702*$M1702</f>
        <v>0</v>
      </c>
      <c r="AR1702" s="28"/>
      <c r="AS1702" s="28" t="n">
        <f aca="false">AR1702*$M1702</f>
        <v>0</v>
      </c>
      <c r="AT1702" s="28"/>
      <c r="AU1702" s="28" t="n">
        <f aca="false">AT1702*$M1702</f>
        <v>0</v>
      </c>
      <c r="AV1702" s="28" t="n">
        <f aca="false">5417/100</f>
        <v>54.17</v>
      </c>
      <c r="AW1702" s="28" t="n">
        <v>1625</v>
      </c>
      <c r="AX1702" s="28"/>
      <c r="AY1702" s="28" t="n">
        <f aca="false">AX1702*$M1702</f>
        <v>0</v>
      </c>
      <c r="AZ1702" s="30"/>
      <c r="BA1702" s="11" t="n">
        <v>1625</v>
      </c>
      <c r="BB1702" s="31" t="n">
        <f aca="false">SUM(Q1702,S1702,U1702,W1702,Y1702,AA1702,AC1702,AE1702,AG1702,AI1702,AK1702,AM1702,AO1702,AQ1702,AS1702,AU1702,AW1702,AY1702)</f>
        <v>1625</v>
      </c>
      <c r="BC1702" s="28" t="n">
        <f aca="false">BA1702-BB1702</f>
        <v>0</v>
      </c>
      <c r="BD1702" s="32" t="n">
        <f aca="false">SUM(P1702,R1702,T1702,V1702,X1702,Z1702,AB1702,AD1702,AF1702,AH1702,AJ1702,AL1702,AN1702,AP1702,AR1702,AT1702,AV1702,AX1702)</f>
        <v>54.17</v>
      </c>
      <c r="BE1702" s="33" t="n">
        <f aca="false">AZ1702-BD1702</f>
        <v>-54.17</v>
      </c>
      <c r="BF1702" s="34" t="n">
        <f aca="false">BD1702*M1702</f>
        <v>1625.1</v>
      </c>
      <c r="BG1702" s="35" t="n">
        <f aca="false">BA1702-BF1702</f>
        <v>-0.100000000000136</v>
      </c>
      <c r="BH1702" s="19" t="str">
        <f aca="false">IF(BG1702=0,"",IF(BG1702&lt;&gt;BA1702,"erreur de calcul",IF(BD1702&lt;&gt;0,"pas de prix",IF(M1702&lt;&gt; 0,"pas de quantité","pas de prix, ni de quantité"))))</f>
        <v>erreur de calcul</v>
      </c>
      <c r="BI1702" s="19"/>
    </row>
    <row r="1703" customFormat="false" ht="15" hidden="false" customHeight="false" outlineLevel="0" collapsed="false">
      <c r="A1703" s="0" t="n">
        <v>9</v>
      </c>
      <c r="B1703" s="8" t="s">
        <v>24</v>
      </c>
      <c r="C1703" s="9" t="s">
        <v>25</v>
      </c>
      <c r="D1703" s="9" t="s">
        <v>26</v>
      </c>
      <c r="E1703" s="10" t="n">
        <v>1789</v>
      </c>
      <c r="F1703" s="9" t="s">
        <v>27</v>
      </c>
      <c r="G1703" s="9" t="s">
        <v>27</v>
      </c>
      <c r="H1703" s="11" t="n">
        <v>26</v>
      </c>
      <c r="I1703" s="11" t="s">
        <v>381</v>
      </c>
      <c r="J1703" s="14" t="n">
        <v>6</v>
      </c>
      <c r="K1703" s="14"/>
      <c r="L1703" s="16"/>
      <c r="M1703" s="27" t="n">
        <f aca="false">J1703+(K1703/20)+(L1703/240)</f>
        <v>6</v>
      </c>
      <c r="N1703" s="17" t="s">
        <v>379</v>
      </c>
      <c r="O1703" s="11" t="s">
        <v>98</v>
      </c>
      <c r="P1703" s="28"/>
      <c r="Q1703" s="28" t="n">
        <f aca="false">P1703*$M1703</f>
        <v>0</v>
      </c>
      <c r="R1703" s="28"/>
      <c r="S1703" s="28" t="n">
        <f aca="false">R1703*$M1703</f>
        <v>0</v>
      </c>
      <c r="T1703" s="28"/>
      <c r="U1703" s="28" t="n">
        <f aca="false">T1703*$M1703</f>
        <v>0</v>
      </c>
      <c r="V1703" s="28"/>
      <c r="W1703" s="28" t="n">
        <f aca="false">V1703*$M1703</f>
        <v>0</v>
      </c>
      <c r="X1703" s="28"/>
      <c r="Y1703" s="28" t="n">
        <f aca="false">X1703*$M1703</f>
        <v>0</v>
      </c>
      <c r="Z1703" s="28"/>
      <c r="AA1703" s="28" t="n">
        <f aca="false">Z1703*$M1703</f>
        <v>0</v>
      </c>
      <c r="AB1703" s="28"/>
      <c r="AC1703" s="28" t="n">
        <f aca="false">AB1703*$M1703</f>
        <v>0</v>
      </c>
      <c r="AD1703" s="28"/>
      <c r="AE1703" s="28" t="n">
        <f aca="false">AD1703*$M1703</f>
        <v>0</v>
      </c>
      <c r="AF1703" s="28"/>
      <c r="AG1703" s="28" t="n">
        <f aca="false">AF1703*$M1703</f>
        <v>0</v>
      </c>
      <c r="AH1703" s="28"/>
      <c r="AI1703" s="28" t="n">
        <f aca="false">AH1703*$M1703</f>
        <v>0</v>
      </c>
      <c r="AJ1703" s="28"/>
      <c r="AK1703" s="28" t="n">
        <f aca="false">AJ1703*$M1703</f>
        <v>0</v>
      </c>
      <c r="AL1703" s="28"/>
      <c r="AM1703" s="28" t="n">
        <f aca="false">AL1703*$M1703</f>
        <v>0</v>
      </c>
      <c r="AN1703" s="28"/>
      <c r="AO1703" s="28" t="n">
        <f aca="false">AN1703*$M1703</f>
        <v>0</v>
      </c>
      <c r="AP1703" s="28"/>
      <c r="AQ1703" s="28" t="n">
        <f aca="false">AP1703*$M1703</f>
        <v>0</v>
      </c>
      <c r="AR1703" s="28"/>
      <c r="AS1703" s="28" t="n">
        <f aca="false">AR1703*$M1703</f>
        <v>0</v>
      </c>
      <c r="AT1703" s="28"/>
      <c r="AU1703" s="28" t="n">
        <f aca="false">AT1703*$M1703</f>
        <v>0</v>
      </c>
      <c r="AV1703" s="28"/>
      <c r="AW1703" s="28" t="n">
        <f aca="false">AV1703*$M1703</f>
        <v>0</v>
      </c>
      <c r="AX1703" s="28"/>
      <c r="AY1703" s="28" t="n">
        <f aca="false">AX1703*$M1703</f>
        <v>0</v>
      </c>
      <c r="AZ1703" s="30"/>
      <c r="BA1703" s="11"/>
      <c r="BB1703" s="31" t="n">
        <f aca="false">SUM(Q1703,S1703,U1703,W1703,Y1703,AA1703,AC1703,AE1703,AG1703,AI1703,AK1703,AM1703,AO1703,AQ1703,AS1703,AU1703,AW1703,AY1703)</f>
        <v>0</v>
      </c>
      <c r="BC1703" s="28" t="n">
        <f aca="false">BA1703-BB1703</f>
        <v>0</v>
      </c>
      <c r="BD1703" s="32" t="n">
        <f aca="false">SUM(P1703,R1703,T1703,V1703,X1703,Z1703,AB1703,AD1703,AF1703,AH1703,AJ1703,AL1703,AN1703,AP1703,AR1703,AT1703,AV1703,AX1703)</f>
        <v>0</v>
      </c>
      <c r="BE1703" s="33" t="n">
        <f aca="false">AZ1703-BD1703</f>
        <v>0</v>
      </c>
      <c r="BF1703" s="34" t="n">
        <f aca="false">BD1703*M1703</f>
        <v>0</v>
      </c>
      <c r="BG1703" s="35" t="n">
        <f aca="false">BA1703-BF1703</f>
        <v>0</v>
      </c>
      <c r="BH1703" s="19" t="str">
        <f aca="false">IF(BG1703=0,"",IF(BG1703&lt;&gt;BA1703,"erreur de calcul",IF(BD1703&lt;&gt;0,"pas de prix",IF(M1703&lt;&gt; 0,"pas de quantité","pas de prix, ni de quantité"))))</f>
        <v/>
      </c>
      <c r="BI1703" s="19"/>
    </row>
    <row r="1704" customFormat="false" ht="15" hidden="false" customHeight="false" outlineLevel="0" collapsed="false">
      <c r="A1704" s="0" t="n">
        <v>10</v>
      </c>
      <c r="B1704" s="8" t="s">
        <v>24</v>
      </c>
      <c r="C1704" s="9" t="s">
        <v>25</v>
      </c>
      <c r="D1704" s="9" t="s">
        <v>26</v>
      </c>
      <c r="E1704" s="10" t="n">
        <v>1789</v>
      </c>
      <c r="F1704" s="9" t="s">
        <v>27</v>
      </c>
      <c r="G1704" s="9" t="s">
        <v>27</v>
      </c>
      <c r="H1704" s="11" t="n">
        <v>26</v>
      </c>
      <c r="I1704" s="11" t="s">
        <v>381</v>
      </c>
      <c r="J1704" s="14" t="n">
        <v>40</v>
      </c>
      <c r="K1704" s="14"/>
      <c r="L1704" s="16"/>
      <c r="M1704" s="27" t="n">
        <f aca="false">J1704+(K1704/20)+(L1704/240)</f>
        <v>40</v>
      </c>
      <c r="N1704" s="17" t="s">
        <v>382</v>
      </c>
      <c r="O1704" s="11" t="s">
        <v>98</v>
      </c>
      <c r="P1704" s="28"/>
      <c r="Q1704" s="28" t="n">
        <f aca="false">P1704*$M1704</f>
        <v>0</v>
      </c>
      <c r="R1704" s="28"/>
      <c r="S1704" s="28" t="n">
        <f aca="false">R1704*$M1704</f>
        <v>0</v>
      </c>
      <c r="T1704" s="28"/>
      <c r="U1704" s="28" t="n">
        <f aca="false">T1704*$M1704</f>
        <v>0</v>
      </c>
      <c r="V1704" s="28"/>
      <c r="W1704" s="28" t="n">
        <f aca="false">V1704*$M1704</f>
        <v>0</v>
      </c>
      <c r="X1704" s="28"/>
      <c r="Y1704" s="28" t="n">
        <f aca="false">X1704*$M1704</f>
        <v>0</v>
      </c>
      <c r="Z1704" s="28"/>
      <c r="AA1704" s="28" t="n">
        <f aca="false">Z1704*$M1704</f>
        <v>0</v>
      </c>
      <c r="AB1704" s="28"/>
      <c r="AC1704" s="28" t="n">
        <f aca="false">AB1704*$M1704</f>
        <v>0</v>
      </c>
      <c r="AD1704" s="28"/>
      <c r="AE1704" s="28" t="n">
        <f aca="false">AD1704*$M1704</f>
        <v>0</v>
      </c>
      <c r="AF1704" s="28"/>
      <c r="AG1704" s="28" t="n">
        <f aca="false">AF1704*$M1704</f>
        <v>0</v>
      </c>
      <c r="AH1704" s="28"/>
      <c r="AI1704" s="28" t="n">
        <f aca="false">AH1704*$M1704</f>
        <v>0</v>
      </c>
      <c r="AJ1704" s="28"/>
      <c r="AK1704" s="28" t="n">
        <f aca="false">AJ1704*$M1704</f>
        <v>0</v>
      </c>
      <c r="AL1704" s="28"/>
      <c r="AM1704" s="28" t="n">
        <f aca="false">AL1704*$M1704</f>
        <v>0</v>
      </c>
      <c r="AN1704" s="28"/>
      <c r="AO1704" s="28" t="n">
        <f aca="false">AN1704*$M1704</f>
        <v>0</v>
      </c>
      <c r="AP1704" s="28"/>
      <c r="AQ1704" s="28" t="n">
        <f aca="false">AP1704*$M1704</f>
        <v>0</v>
      </c>
      <c r="AR1704" s="28"/>
      <c r="AS1704" s="28" t="n">
        <f aca="false">AR1704*$M1704</f>
        <v>0</v>
      </c>
      <c r="AT1704" s="28"/>
      <c r="AU1704" s="28" t="n">
        <f aca="false">AT1704*$M1704</f>
        <v>0</v>
      </c>
      <c r="AV1704" s="28"/>
      <c r="AW1704" s="28" t="n">
        <f aca="false">AV1704*$M1704</f>
        <v>0</v>
      </c>
      <c r="AX1704" s="28"/>
      <c r="AY1704" s="28" t="n">
        <f aca="false">AX1704*$M1704</f>
        <v>0</v>
      </c>
      <c r="AZ1704" s="30"/>
      <c r="BA1704" s="11"/>
      <c r="BB1704" s="31" t="n">
        <f aca="false">SUM(Q1704,S1704,U1704,W1704,Y1704,AA1704,AC1704,AE1704,AG1704,AI1704,AK1704,AM1704,AO1704,AQ1704,AS1704,AU1704,AW1704,AY1704)</f>
        <v>0</v>
      </c>
      <c r="BC1704" s="28" t="n">
        <f aca="false">BA1704-BB1704</f>
        <v>0</v>
      </c>
      <c r="BD1704" s="32" t="n">
        <f aca="false">SUM(P1704,R1704,T1704,V1704,X1704,Z1704,AB1704,AD1704,AF1704,AH1704,AJ1704,AL1704,AN1704,AP1704,AR1704,AT1704,AV1704,AX1704)</f>
        <v>0</v>
      </c>
      <c r="BE1704" s="33" t="n">
        <f aca="false">AZ1704-BD1704</f>
        <v>0</v>
      </c>
      <c r="BF1704" s="34" t="n">
        <f aca="false">BD1704*M1704</f>
        <v>0</v>
      </c>
      <c r="BG1704" s="35" t="n">
        <f aca="false">BA1704-BF1704</f>
        <v>0</v>
      </c>
      <c r="BH1704" s="19" t="str">
        <f aca="false">IF(BG1704=0,"",IF(BG1704&lt;&gt;BA1704,"erreur de calcul",IF(BD1704&lt;&gt;0,"pas de prix",IF(M1704&lt;&gt; 0,"pas de quantité","pas de prix, ni de quantité"))))</f>
        <v/>
      </c>
      <c r="BI1704" s="19"/>
    </row>
    <row r="1705" customFormat="false" ht="15" hidden="false" customHeight="false" outlineLevel="0" collapsed="false">
      <c r="A1705" s="0" t="n">
        <v>11</v>
      </c>
      <c r="B1705" s="8" t="s">
        <v>24</v>
      </c>
      <c r="C1705" s="9" t="s">
        <v>25</v>
      </c>
      <c r="D1705" s="9" t="s">
        <v>26</v>
      </c>
      <c r="E1705" s="10" t="n">
        <v>1789</v>
      </c>
      <c r="F1705" s="9" t="s">
        <v>27</v>
      </c>
      <c r="G1705" s="9" t="s">
        <v>27</v>
      </c>
      <c r="H1705" s="11" t="n">
        <v>26</v>
      </c>
      <c r="I1705" s="11" t="s">
        <v>383</v>
      </c>
      <c r="J1705" s="14" t="n">
        <v>50</v>
      </c>
      <c r="K1705" s="14"/>
      <c r="L1705" s="16"/>
      <c r="M1705" s="27" t="n">
        <f aca="false">J1705+(K1705/20)+(L1705/240)</f>
        <v>50</v>
      </c>
      <c r="N1705" s="17" t="s">
        <v>64</v>
      </c>
      <c r="O1705" s="11"/>
      <c r="P1705" s="28" t="n">
        <f aca="false">54967/100</f>
        <v>549.67</v>
      </c>
      <c r="Q1705" s="28" t="n">
        <v>27483</v>
      </c>
      <c r="R1705" s="28"/>
      <c r="S1705" s="28" t="n">
        <f aca="false">R1705*$M1705</f>
        <v>0</v>
      </c>
      <c r="T1705" s="28" t="n">
        <f aca="false">74693/100</f>
        <v>746.93</v>
      </c>
      <c r="U1705" s="28" t="n">
        <v>37346</v>
      </c>
      <c r="V1705" s="28" t="n">
        <f aca="false">161729/100</f>
        <v>1617.29</v>
      </c>
      <c r="W1705" s="28" t="n">
        <v>80864</v>
      </c>
      <c r="X1705" s="28" t="n">
        <f aca="false">106689/100</f>
        <v>1066.89</v>
      </c>
      <c r="Y1705" s="28" t="n">
        <v>53344</v>
      </c>
      <c r="Z1705" s="28"/>
      <c r="AA1705" s="28" t="n">
        <f aca="false">Z1705*$M1705</f>
        <v>0</v>
      </c>
      <c r="AB1705" s="28"/>
      <c r="AC1705" s="28" t="n">
        <f aca="false">AB1705*$M1705</f>
        <v>0</v>
      </c>
      <c r="AD1705" s="28"/>
      <c r="AE1705" s="28" t="n">
        <f aca="false">AD1705*$M1705</f>
        <v>0</v>
      </c>
      <c r="AF1705" s="28"/>
      <c r="AG1705" s="28" t="n">
        <f aca="false">AF1705*$M1705</f>
        <v>0</v>
      </c>
      <c r="AH1705" s="28"/>
      <c r="AI1705" s="28" t="n">
        <f aca="false">AH1705*$M1705</f>
        <v>0</v>
      </c>
      <c r="AJ1705" s="28"/>
      <c r="AK1705" s="28" t="n">
        <f aca="false">AJ1705*$M1705</f>
        <v>0</v>
      </c>
      <c r="AL1705" s="28"/>
      <c r="AM1705" s="28" t="n">
        <f aca="false">AL1705*$M1705</f>
        <v>0</v>
      </c>
      <c r="AN1705" s="28"/>
      <c r="AO1705" s="28" t="n">
        <f aca="false">AN1705*$M1705</f>
        <v>0</v>
      </c>
      <c r="AP1705" s="28"/>
      <c r="AQ1705" s="28" t="n">
        <f aca="false">AP1705*$M1705</f>
        <v>0</v>
      </c>
      <c r="AR1705" s="28"/>
      <c r="AS1705" s="28" t="n">
        <f aca="false">AR1705*$M1705</f>
        <v>0</v>
      </c>
      <c r="AT1705" s="28"/>
      <c r="AU1705" s="28" t="n">
        <f aca="false">AT1705*$M1705</f>
        <v>0</v>
      </c>
      <c r="AV1705" s="28"/>
      <c r="AW1705" s="28" t="n">
        <f aca="false">AV1705*$M1705</f>
        <v>0</v>
      </c>
      <c r="AX1705" s="28"/>
      <c r="AY1705" s="28" t="n">
        <f aca="false">AX1705*$M1705</f>
        <v>0</v>
      </c>
      <c r="AZ1705" s="30" t="n">
        <f aca="false">398078/100</f>
        <v>3980.78</v>
      </c>
      <c r="BA1705" s="11" t="n">
        <v>199037</v>
      </c>
      <c r="BB1705" s="31" t="n">
        <f aca="false">SUM(Q1705,S1705,U1705,W1705,Y1705,AA1705,AC1705,AE1705,AG1705,AI1705,AK1705,AM1705,AO1705,AQ1705,AS1705,AU1705,AW1705,AY1705)</f>
        <v>199037</v>
      </c>
      <c r="BC1705" s="28" t="n">
        <f aca="false">BA1705-BB1705</f>
        <v>0</v>
      </c>
      <c r="BD1705" s="32" t="n">
        <f aca="false">SUM(P1705,R1705,T1705,V1705,X1705,Z1705,AB1705,AD1705,AF1705,AH1705,AJ1705,AL1705,AN1705,AP1705,AR1705,AT1705,AV1705,AX1705)</f>
        <v>3980.78</v>
      </c>
      <c r="BE1705" s="33" t="n">
        <f aca="false">AZ1705-BD1705</f>
        <v>0</v>
      </c>
      <c r="BF1705" s="34" t="n">
        <f aca="false">BD1705*M1705</f>
        <v>199039</v>
      </c>
      <c r="BG1705" s="35" t="n">
        <f aca="false">BA1705-BF1705</f>
        <v>-2</v>
      </c>
      <c r="BH1705" s="19" t="str">
        <f aca="false">IF(BG1705=0,"",IF(BG1705&lt;&gt;BA1705,"erreur de calcul",IF(BD1705&lt;&gt;0,"pas de prix",IF(M1705&lt;&gt; 0,"pas de quantité","pas de prix, ni de quantité"))))</f>
        <v>erreur de calcul</v>
      </c>
      <c r="BI1705" s="19"/>
    </row>
    <row r="1706" customFormat="false" ht="15" hidden="false" customHeight="false" outlineLevel="0" collapsed="false">
      <c r="A1706" s="0" t="n">
        <v>12</v>
      </c>
      <c r="B1706" s="8" t="s">
        <v>24</v>
      </c>
      <c r="C1706" s="9" t="s">
        <v>25</v>
      </c>
      <c r="D1706" s="9" t="s">
        <v>26</v>
      </c>
      <c r="E1706" s="10" t="n">
        <v>1789</v>
      </c>
      <c r="F1706" s="9" t="s">
        <v>27</v>
      </c>
      <c r="G1706" s="9" t="s">
        <v>27</v>
      </c>
      <c r="H1706" s="11" t="n">
        <v>26</v>
      </c>
      <c r="I1706" s="11" t="s">
        <v>384</v>
      </c>
      <c r="J1706" s="14" t="n">
        <v>27</v>
      </c>
      <c r="K1706" s="14"/>
      <c r="L1706" s="16"/>
      <c r="M1706" s="27" t="n">
        <f aca="false">J1706+(K1706/20)+(L1706/240)</f>
        <v>27</v>
      </c>
      <c r="N1706" s="17" t="s">
        <v>64</v>
      </c>
      <c r="O1706" s="11"/>
      <c r="P1706" s="28"/>
      <c r="Q1706" s="28" t="n">
        <f aca="false">P1706*$M1706</f>
        <v>0</v>
      </c>
      <c r="R1706" s="28"/>
      <c r="S1706" s="28" t="n">
        <f aca="false">R1706*$M1706</f>
        <v>0</v>
      </c>
      <c r="T1706" s="28"/>
      <c r="U1706" s="28" t="n">
        <f aca="false">T1706*$M1706</f>
        <v>0</v>
      </c>
      <c r="V1706" s="28"/>
      <c r="W1706" s="28" t="n">
        <f aca="false">V1706*$M1706</f>
        <v>0</v>
      </c>
      <c r="X1706" s="28" t="n">
        <f aca="false">13334/100</f>
        <v>133.34</v>
      </c>
      <c r="Y1706" s="28" t="n">
        <v>3600</v>
      </c>
      <c r="Z1706" s="28"/>
      <c r="AA1706" s="28" t="n">
        <f aca="false">Z1706*$M1706</f>
        <v>0</v>
      </c>
      <c r="AB1706" s="28"/>
      <c r="AC1706" s="28" t="n">
        <f aca="false">AB1706*$M1706</f>
        <v>0</v>
      </c>
      <c r="AD1706" s="28"/>
      <c r="AE1706" s="28" t="n">
        <f aca="false">AD1706*$M1706</f>
        <v>0</v>
      </c>
      <c r="AF1706" s="28"/>
      <c r="AG1706" s="28" t="n">
        <f aca="false">AF1706*$M1706</f>
        <v>0</v>
      </c>
      <c r="AH1706" s="28"/>
      <c r="AI1706" s="28" t="n">
        <f aca="false">AH1706*$M1706</f>
        <v>0</v>
      </c>
      <c r="AJ1706" s="28"/>
      <c r="AK1706" s="28" t="n">
        <f aca="false">AJ1706*$M1706</f>
        <v>0</v>
      </c>
      <c r="AL1706" s="28"/>
      <c r="AM1706" s="28" t="n">
        <f aca="false">AL1706*$M1706</f>
        <v>0</v>
      </c>
      <c r="AN1706" s="28"/>
      <c r="AO1706" s="28" t="n">
        <f aca="false">AN1706*$M1706</f>
        <v>0</v>
      </c>
      <c r="AP1706" s="28"/>
      <c r="AQ1706" s="28" t="n">
        <f aca="false">AP1706*$M1706</f>
        <v>0</v>
      </c>
      <c r="AR1706" s="28"/>
      <c r="AS1706" s="28" t="n">
        <f aca="false">AR1706*$M1706</f>
        <v>0</v>
      </c>
      <c r="AT1706" s="28"/>
      <c r="AU1706" s="28" t="n">
        <f aca="false">AT1706*$M1706</f>
        <v>0</v>
      </c>
      <c r="AV1706" s="28"/>
      <c r="AW1706" s="28" t="n">
        <f aca="false">AV1706*$M1706</f>
        <v>0</v>
      </c>
      <c r="AX1706" s="28"/>
      <c r="AY1706" s="28" t="n">
        <f aca="false">AX1706*$M1706</f>
        <v>0</v>
      </c>
      <c r="AZ1706" s="30" t="n">
        <f aca="false">13334/100</f>
        <v>133.34</v>
      </c>
      <c r="BA1706" s="11" t="n">
        <v>3600</v>
      </c>
      <c r="BB1706" s="31" t="n">
        <f aca="false">SUM(Q1706,S1706,U1706,W1706,Y1706,AA1706,AC1706,AE1706,AG1706,AI1706,AK1706,AM1706,AO1706,AQ1706,AS1706,AU1706,AW1706,AY1706)</f>
        <v>3600</v>
      </c>
      <c r="BC1706" s="28" t="n">
        <f aca="false">BA1706-BB1706</f>
        <v>0</v>
      </c>
      <c r="BD1706" s="32" t="n">
        <f aca="false">SUM(P1706,R1706,T1706,V1706,X1706,Z1706,AB1706,AD1706,AF1706,AH1706,AJ1706,AL1706,AN1706,AP1706,AR1706,AT1706,AV1706,AX1706)</f>
        <v>133.34</v>
      </c>
      <c r="BE1706" s="33" t="n">
        <f aca="false">AZ1706-BD1706</f>
        <v>0</v>
      </c>
      <c r="BF1706" s="34" t="n">
        <f aca="false">BD1706*M1706</f>
        <v>3600.18</v>
      </c>
      <c r="BG1706" s="35" t="n">
        <f aca="false">BA1706-BF1706</f>
        <v>-0.180000000000291</v>
      </c>
      <c r="BH1706" s="19" t="str">
        <f aca="false">IF(BG1706=0,"",IF(BG1706&lt;&gt;BA1706,"erreur de calcul",IF(BD1706&lt;&gt;0,"pas de prix",IF(M1706&lt;&gt; 0,"pas de quantité","pas de prix, ni de quantité"))))</f>
        <v>erreur de calcul</v>
      </c>
      <c r="BI1706" s="19"/>
    </row>
    <row r="1707" customFormat="false" ht="15" hidden="false" customHeight="false" outlineLevel="0" collapsed="false">
      <c r="A1707" s="0" t="n">
        <v>13</v>
      </c>
      <c r="B1707" s="8" t="s">
        <v>24</v>
      </c>
      <c r="C1707" s="9" t="s">
        <v>25</v>
      </c>
      <c r="D1707" s="9" t="s">
        <v>26</v>
      </c>
      <c r="E1707" s="10" t="n">
        <v>1789</v>
      </c>
      <c r="F1707" s="9" t="s">
        <v>27</v>
      </c>
      <c r="G1707" s="9" t="s">
        <v>27</v>
      </c>
      <c r="H1707" s="11" t="n">
        <v>26</v>
      </c>
      <c r="I1707" s="11" t="s">
        <v>385</v>
      </c>
      <c r="J1707" s="14" t="n">
        <v>40</v>
      </c>
      <c r="K1707" s="14"/>
      <c r="L1707" s="16"/>
      <c r="M1707" s="27" t="n">
        <f aca="false">J1707+(K1707/20)+(L1707/240)</f>
        <v>40</v>
      </c>
      <c r="N1707" s="17" t="s">
        <v>64</v>
      </c>
      <c r="O1707" s="11"/>
      <c r="P1707" s="28"/>
      <c r="Q1707" s="28" t="n">
        <f aca="false">P1707*$M1707</f>
        <v>0</v>
      </c>
      <c r="R1707" s="28"/>
      <c r="S1707" s="28" t="n">
        <f aca="false">R1707*$M1707</f>
        <v>0</v>
      </c>
      <c r="T1707" s="28" t="n">
        <f aca="false">13801/100</f>
        <v>138.01</v>
      </c>
      <c r="U1707" s="28" t="n">
        <v>5520</v>
      </c>
      <c r="V1707" s="28"/>
      <c r="W1707" s="28" t="n">
        <f aca="false">V1707*$M1707</f>
        <v>0</v>
      </c>
      <c r="X1707" s="28"/>
      <c r="Y1707" s="28" t="n">
        <f aca="false">X1707*$M1707</f>
        <v>0</v>
      </c>
      <c r="Z1707" s="28"/>
      <c r="AA1707" s="28" t="n">
        <f aca="false">Z1707*$M1707</f>
        <v>0</v>
      </c>
      <c r="AB1707" s="28"/>
      <c r="AC1707" s="28" t="n">
        <f aca="false">AB1707*$M1707</f>
        <v>0</v>
      </c>
      <c r="AD1707" s="28"/>
      <c r="AE1707" s="28" t="n">
        <f aca="false">AD1707*$M1707</f>
        <v>0</v>
      </c>
      <c r="AF1707" s="28"/>
      <c r="AG1707" s="28" t="n">
        <f aca="false">AF1707*$M1707</f>
        <v>0</v>
      </c>
      <c r="AH1707" s="28"/>
      <c r="AI1707" s="28" t="n">
        <f aca="false">AH1707*$M1707</f>
        <v>0</v>
      </c>
      <c r="AJ1707" s="28"/>
      <c r="AK1707" s="28" t="n">
        <f aca="false">AJ1707*$M1707</f>
        <v>0</v>
      </c>
      <c r="AL1707" s="28"/>
      <c r="AM1707" s="28" t="n">
        <f aca="false">AL1707*$M1707</f>
        <v>0</v>
      </c>
      <c r="AN1707" s="28"/>
      <c r="AO1707" s="28" t="n">
        <f aca="false">AN1707*$M1707</f>
        <v>0</v>
      </c>
      <c r="AP1707" s="28"/>
      <c r="AQ1707" s="28" t="n">
        <f aca="false">AP1707*$M1707</f>
        <v>0</v>
      </c>
      <c r="AR1707" s="28"/>
      <c r="AS1707" s="28" t="n">
        <f aca="false">AR1707*$M1707</f>
        <v>0</v>
      </c>
      <c r="AT1707" s="28"/>
      <c r="AU1707" s="28" t="n">
        <f aca="false">AT1707*$M1707</f>
        <v>0</v>
      </c>
      <c r="AV1707" s="28"/>
      <c r="AW1707" s="28" t="n">
        <f aca="false">AV1707*$M1707</f>
        <v>0</v>
      </c>
      <c r="AX1707" s="28"/>
      <c r="AY1707" s="28" t="n">
        <f aca="false">AX1707*$M1707</f>
        <v>0</v>
      </c>
      <c r="AZ1707" s="30" t="n">
        <f aca="false">13801/100</f>
        <v>138.01</v>
      </c>
      <c r="BA1707" s="11" t="n">
        <v>5520</v>
      </c>
      <c r="BB1707" s="31" t="n">
        <f aca="false">SUM(Q1707,S1707,U1707,W1707,Y1707,AA1707,AC1707,AE1707,AG1707,AI1707,AK1707,AM1707,AO1707,AQ1707,AS1707,AU1707,AW1707,AY1707)</f>
        <v>5520</v>
      </c>
      <c r="BC1707" s="28" t="n">
        <f aca="false">BA1707-BB1707</f>
        <v>0</v>
      </c>
      <c r="BD1707" s="32" t="n">
        <f aca="false">SUM(P1707,R1707,T1707,V1707,X1707,Z1707,AB1707,AD1707,AF1707,AH1707,AJ1707,AL1707,AN1707,AP1707,AR1707,AT1707,AV1707,AX1707)</f>
        <v>138.01</v>
      </c>
      <c r="BE1707" s="33" t="n">
        <f aca="false">AZ1707-BD1707</f>
        <v>0</v>
      </c>
      <c r="BF1707" s="34" t="n">
        <f aca="false">BD1707*M1707</f>
        <v>5520.4</v>
      </c>
      <c r="BG1707" s="35" t="n">
        <f aca="false">BA1707-BF1707</f>
        <v>-0.399999999999636</v>
      </c>
      <c r="BH1707" s="19" t="str">
        <f aca="false">IF(BG1707=0,"",IF(BG1707&lt;&gt;BA1707,"erreur de calcul",IF(BD1707&lt;&gt;0,"pas de prix",IF(M1707&lt;&gt; 0,"pas de quantité","pas de prix, ni de quantité"))))</f>
        <v>erreur de calcul</v>
      </c>
      <c r="BI1707" s="19"/>
    </row>
    <row r="1708" customFormat="false" ht="15" hidden="false" customHeight="false" outlineLevel="0" collapsed="false">
      <c r="A1708" s="0" t="n">
        <v>14</v>
      </c>
      <c r="B1708" s="8" t="s">
        <v>24</v>
      </c>
      <c r="C1708" s="9" t="s">
        <v>25</v>
      </c>
      <c r="D1708" s="9" t="s">
        <v>26</v>
      </c>
      <c r="E1708" s="10" t="n">
        <v>1789</v>
      </c>
      <c r="F1708" s="9" t="s">
        <v>27</v>
      </c>
      <c r="G1708" s="9" t="s">
        <v>27</v>
      </c>
      <c r="H1708" s="11" t="n">
        <v>26</v>
      </c>
      <c r="I1708" s="11" t="s">
        <v>386</v>
      </c>
      <c r="J1708" s="14" t="n">
        <v>10</v>
      </c>
      <c r="K1708" s="14"/>
      <c r="L1708" s="16"/>
      <c r="M1708" s="27" t="n">
        <f aca="false">J1708+(K1708/20)+(L1708/240)</f>
        <v>10</v>
      </c>
      <c r="N1708" s="17" t="s">
        <v>387</v>
      </c>
      <c r="O1708" s="11" t="s">
        <v>77</v>
      </c>
      <c r="P1708" s="28" t="n">
        <v>30740</v>
      </c>
      <c r="Q1708" s="28" t="n">
        <v>307400</v>
      </c>
      <c r="R1708" s="28"/>
      <c r="S1708" s="28" t="n">
        <f aca="false">R1708*$M1708</f>
        <v>0</v>
      </c>
      <c r="T1708" s="28" t="n">
        <v>1357</v>
      </c>
      <c r="U1708" s="28" t="n">
        <v>13570</v>
      </c>
      <c r="V1708" s="28" t="n">
        <v>115</v>
      </c>
      <c r="W1708" s="28" t="n">
        <v>1150</v>
      </c>
      <c r="X1708" s="28"/>
      <c r="Y1708" s="28" t="n">
        <f aca="false">X1708*$M1708</f>
        <v>0</v>
      </c>
      <c r="Z1708" s="28"/>
      <c r="AA1708" s="28" t="n">
        <f aca="false">Z1708*$M1708</f>
        <v>0</v>
      </c>
      <c r="AB1708" s="28"/>
      <c r="AC1708" s="28" t="n">
        <f aca="false">AB1708*$M1708</f>
        <v>0</v>
      </c>
      <c r="AD1708" s="28"/>
      <c r="AE1708" s="28" t="n">
        <f aca="false">AD1708*$M1708</f>
        <v>0</v>
      </c>
      <c r="AF1708" s="28"/>
      <c r="AG1708" s="28" t="n">
        <f aca="false">AF1708*$M1708</f>
        <v>0</v>
      </c>
      <c r="AH1708" s="28"/>
      <c r="AI1708" s="28" t="n">
        <f aca="false">AH1708*$M1708</f>
        <v>0</v>
      </c>
      <c r="AJ1708" s="28"/>
      <c r="AK1708" s="28" t="n">
        <f aca="false">AJ1708*$M1708</f>
        <v>0</v>
      </c>
      <c r="AL1708" s="28"/>
      <c r="AM1708" s="28" t="n">
        <f aca="false">AL1708*$M1708</f>
        <v>0</v>
      </c>
      <c r="AN1708" s="28"/>
      <c r="AO1708" s="28" t="n">
        <f aca="false">AN1708*$M1708</f>
        <v>0</v>
      </c>
      <c r="AP1708" s="28"/>
      <c r="AQ1708" s="28" t="n">
        <f aca="false">AP1708*$M1708</f>
        <v>0</v>
      </c>
      <c r="AR1708" s="28"/>
      <c r="AS1708" s="28" t="n">
        <f aca="false">AR1708*$M1708</f>
        <v>0</v>
      </c>
      <c r="AT1708" s="28"/>
      <c r="AU1708" s="28" t="n">
        <f aca="false">AT1708*$M1708</f>
        <v>0</v>
      </c>
      <c r="AV1708" s="28"/>
      <c r="AW1708" s="28" t="n">
        <f aca="false">AV1708*$M1708</f>
        <v>0</v>
      </c>
      <c r="AX1708" s="28"/>
      <c r="AY1708" s="28" t="n">
        <f aca="false">AX1708*$M1708</f>
        <v>0</v>
      </c>
      <c r="AZ1708" s="30" t="n">
        <f aca="false">32212/100</f>
        <v>322.12</v>
      </c>
      <c r="BA1708" s="11" t="n">
        <v>322120</v>
      </c>
      <c r="BB1708" s="31" t="n">
        <f aca="false">SUM(Q1708,S1708,U1708,W1708,Y1708,AA1708,AC1708,AE1708,AG1708,AI1708,AK1708,AM1708,AO1708,AQ1708,AS1708,AU1708,AW1708,AY1708)</f>
        <v>322120</v>
      </c>
      <c r="BC1708" s="28" t="n">
        <f aca="false">BA1708-BB1708</f>
        <v>0</v>
      </c>
      <c r="BD1708" s="32" t="n">
        <f aca="false">SUM(P1708,R1708,T1708,V1708,X1708,Z1708,AB1708,AD1708,AF1708,AH1708,AJ1708,AL1708,AN1708,AP1708,AR1708,AT1708,AV1708,AX1708)</f>
        <v>32212</v>
      </c>
      <c r="BE1708" s="33" t="n">
        <f aca="false">AZ1708-BD1708</f>
        <v>-31889.88</v>
      </c>
      <c r="BF1708" s="34" t="n">
        <f aca="false">BD1708*M1708</f>
        <v>322120</v>
      </c>
      <c r="BG1708" s="35" t="n">
        <f aca="false">BA1708-BF1708</f>
        <v>0</v>
      </c>
      <c r="BH1708" s="19" t="str">
        <f aca="false">IF(BG1708=0,"",IF(BG1708&lt;&gt;BA1708,"erreur de calcul",IF(BD1708&lt;&gt;0,"pas de prix",IF(M1708&lt;&gt; 0,"pas de quantité","pas de prix, ni de quantité"))))</f>
        <v/>
      </c>
      <c r="BI1708" s="19"/>
    </row>
    <row r="1709" customFormat="false" ht="15" hidden="false" customHeight="false" outlineLevel="0" collapsed="false">
      <c r="A1709" s="0" t="n">
        <v>15</v>
      </c>
      <c r="B1709" s="8" t="s">
        <v>24</v>
      </c>
      <c r="C1709" s="9" t="s">
        <v>25</v>
      </c>
      <c r="D1709" s="9" t="s">
        <v>26</v>
      </c>
      <c r="E1709" s="10" t="n">
        <v>1789</v>
      </c>
      <c r="F1709" s="9" t="s">
        <v>27</v>
      </c>
      <c r="G1709" s="9" t="s">
        <v>27</v>
      </c>
      <c r="H1709" s="11" t="n">
        <v>26</v>
      </c>
      <c r="I1709" s="11" t="s">
        <v>385</v>
      </c>
      <c r="J1709" s="14" t="n">
        <v>60</v>
      </c>
      <c r="K1709" s="14"/>
      <c r="L1709" s="16"/>
      <c r="M1709" s="27" t="n">
        <f aca="false">J1709+(K1709/20)+(L1709/240)</f>
        <v>60</v>
      </c>
      <c r="N1709" s="17" t="s">
        <v>64</v>
      </c>
      <c r="O1709" s="11"/>
      <c r="P1709" s="28"/>
      <c r="Q1709" s="28" t="n">
        <f aca="false">P1709*$M1709</f>
        <v>0</v>
      </c>
      <c r="R1709" s="28"/>
      <c r="S1709" s="28" t="n">
        <f aca="false">R1709*$M1709</f>
        <v>0</v>
      </c>
      <c r="T1709" s="28" t="n">
        <f aca="false">204759/100</f>
        <v>2047.59</v>
      </c>
      <c r="U1709" s="28" t="n">
        <v>122855</v>
      </c>
      <c r="V1709" s="28"/>
      <c r="W1709" s="28" t="n">
        <f aca="false">V1709*$M1709</f>
        <v>0</v>
      </c>
      <c r="X1709" s="28"/>
      <c r="Y1709" s="28" t="n">
        <f aca="false">X1709*$M1709</f>
        <v>0</v>
      </c>
      <c r="Z1709" s="28"/>
      <c r="AA1709" s="28" t="n">
        <f aca="false">Z1709*$M1709</f>
        <v>0</v>
      </c>
      <c r="AB1709" s="28"/>
      <c r="AC1709" s="28" t="n">
        <f aca="false">AB1709*$M1709</f>
        <v>0</v>
      </c>
      <c r="AD1709" s="28"/>
      <c r="AE1709" s="28" t="n">
        <f aca="false">AD1709*$M1709</f>
        <v>0</v>
      </c>
      <c r="AF1709" s="28"/>
      <c r="AG1709" s="28" t="n">
        <f aca="false">AF1709*$M1709</f>
        <v>0</v>
      </c>
      <c r="AH1709" s="28"/>
      <c r="AI1709" s="28" t="n">
        <f aca="false">AH1709*$M1709</f>
        <v>0</v>
      </c>
      <c r="AJ1709" s="28"/>
      <c r="AK1709" s="28" t="n">
        <f aca="false">AJ1709*$M1709</f>
        <v>0</v>
      </c>
      <c r="AL1709" s="28"/>
      <c r="AM1709" s="28" t="n">
        <f aca="false">AL1709*$M1709</f>
        <v>0</v>
      </c>
      <c r="AN1709" s="28"/>
      <c r="AO1709" s="28" t="n">
        <f aca="false">AN1709*$M1709</f>
        <v>0</v>
      </c>
      <c r="AP1709" s="28"/>
      <c r="AQ1709" s="28" t="n">
        <f aca="false">AP1709*$M1709</f>
        <v>0</v>
      </c>
      <c r="AR1709" s="28"/>
      <c r="AS1709" s="28" t="n">
        <f aca="false">AR1709*$M1709</f>
        <v>0</v>
      </c>
      <c r="AT1709" s="28"/>
      <c r="AU1709" s="28" t="n">
        <f aca="false">AT1709*$M1709</f>
        <v>0</v>
      </c>
      <c r="AV1709" s="28"/>
      <c r="AW1709" s="28" t="n">
        <f aca="false">AV1709*$M1709</f>
        <v>0</v>
      </c>
      <c r="AX1709" s="28"/>
      <c r="AY1709" s="28" t="n">
        <f aca="false">AX1709*$M1709</f>
        <v>0</v>
      </c>
      <c r="AZ1709" s="30" t="n">
        <f aca="false">204759/100</f>
        <v>2047.59</v>
      </c>
      <c r="BA1709" s="11" t="n">
        <v>122855</v>
      </c>
      <c r="BB1709" s="31" t="n">
        <f aca="false">SUM(Q1709,S1709,U1709,W1709,Y1709,AA1709,AC1709,AE1709,AG1709,AI1709,AK1709,AM1709,AO1709,AQ1709,AS1709,AU1709,AW1709,AY1709)</f>
        <v>122855</v>
      </c>
      <c r="BC1709" s="28" t="n">
        <f aca="false">BA1709-BB1709</f>
        <v>0</v>
      </c>
      <c r="BD1709" s="32" t="n">
        <f aca="false">SUM(P1709,R1709,T1709,V1709,X1709,Z1709,AB1709,AD1709,AF1709,AH1709,AJ1709,AL1709,AN1709,AP1709,AR1709,AT1709,AV1709,AX1709)</f>
        <v>2047.59</v>
      </c>
      <c r="BE1709" s="33" t="n">
        <f aca="false">AZ1709-BD1709</f>
        <v>0</v>
      </c>
      <c r="BF1709" s="34" t="n">
        <f aca="false">BD1709*M1709</f>
        <v>122855.4</v>
      </c>
      <c r="BG1709" s="35" t="n">
        <f aca="false">BA1709-BF1709</f>
        <v>-0.399999999994179</v>
      </c>
      <c r="BH1709" s="19" t="str">
        <f aca="false">IF(BG1709=0,"",IF(BG1709&lt;&gt;BA1709,"erreur de calcul",IF(BD1709&lt;&gt;0,"pas de prix",IF(M1709&lt;&gt; 0,"pas de quantité","pas de prix, ni de quantité"))))</f>
        <v>erreur de calcul</v>
      </c>
      <c r="BI1709" s="19"/>
    </row>
    <row r="1710" customFormat="false" ht="15" hidden="false" customHeight="false" outlineLevel="0" collapsed="false">
      <c r="A1710" s="0" t="n">
        <v>16</v>
      </c>
      <c r="B1710" s="8" t="s">
        <v>24</v>
      </c>
      <c r="C1710" s="9" t="s">
        <v>25</v>
      </c>
      <c r="D1710" s="9" t="s">
        <v>26</v>
      </c>
      <c r="E1710" s="10" t="n">
        <v>1789</v>
      </c>
      <c r="F1710" s="9" t="s">
        <v>27</v>
      </c>
      <c r="G1710" s="9" t="s">
        <v>27</v>
      </c>
      <c r="H1710" s="11" t="n">
        <v>26</v>
      </c>
      <c r="I1710" s="11" t="s">
        <v>388</v>
      </c>
      <c r="J1710" s="14" t="n">
        <v>4</v>
      </c>
      <c r="K1710" s="14" t="n">
        <v>10</v>
      </c>
      <c r="L1710" s="16"/>
      <c r="M1710" s="27" t="n">
        <f aca="false">J1710+(K1710/20)+(L1710/240)</f>
        <v>4.5</v>
      </c>
      <c r="N1710" s="17" t="s">
        <v>66</v>
      </c>
      <c r="O1710" s="11"/>
      <c r="P1710" s="28" t="n">
        <v>20973</v>
      </c>
      <c r="Q1710" s="28" t="n">
        <v>94378</v>
      </c>
      <c r="R1710" s="28"/>
      <c r="S1710" s="28" t="n">
        <f aca="false">R1710*$M1710</f>
        <v>0</v>
      </c>
      <c r="T1710" s="28"/>
      <c r="U1710" s="28" t="n">
        <f aca="false">T1710*$M1710</f>
        <v>0</v>
      </c>
      <c r="V1710" s="28"/>
      <c r="W1710" s="28" t="n">
        <f aca="false">V1710*$M1710</f>
        <v>0</v>
      </c>
      <c r="X1710" s="28"/>
      <c r="Y1710" s="28" t="n">
        <f aca="false">X1710*$M1710</f>
        <v>0</v>
      </c>
      <c r="Z1710" s="28"/>
      <c r="AA1710" s="28" t="n">
        <f aca="false">Z1710*$M1710</f>
        <v>0</v>
      </c>
      <c r="AB1710" s="28"/>
      <c r="AC1710" s="28" t="n">
        <f aca="false">AB1710*$M1710</f>
        <v>0</v>
      </c>
      <c r="AD1710" s="28"/>
      <c r="AE1710" s="28" t="n">
        <f aca="false">AD1710*$M1710</f>
        <v>0</v>
      </c>
      <c r="AF1710" s="28"/>
      <c r="AG1710" s="28" t="n">
        <f aca="false">AF1710*$M1710</f>
        <v>0</v>
      </c>
      <c r="AH1710" s="28"/>
      <c r="AI1710" s="28" t="n">
        <f aca="false">AH1710*$M1710</f>
        <v>0</v>
      </c>
      <c r="AJ1710" s="28"/>
      <c r="AK1710" s="28" t="n">
        <f aca="false">AJ1710*$M1710</f>
        <v>0</v>
      </c>
      <c r="AL1710" s="28"/>
      <c r="AM1710" s="28" t="n">
        <f aca="false">AL1710*$M1710</f>
        <v>0</v>
      </c>
      <c r="AN1710" s="28"/>
      <c r="AO1710" s="28" t="n">
        <f aca="false">AN1710*$M1710</f>
        <v>0</v>
      </c>
      <c r="AP1710" s="28"/>
      <c r="AQ1710" s="28" t="n">
        <f aca="false">AP1710*$M1710</f>
        <v>0</v>
      </c>
      <c r="AR1710" s="28"/>
      <c r="AS1710" s="28" t="n">
        <f aca="false">AR1710*$M1710</f>
        <v>0</v>
      </c>
      <c r="AT1710" s="28"/>
      <c r="AU1710" s="28" t="n">
        <f aca="false">AT1710*$M1710</f>
        <v>0</v>
      </c>
      <c r="AV1710" s="28"/>
      <c r="AW1710" s="28" t="n">
        <f aca="false">AV1710*$M1710</f>
        <v>0</v>
      </c>
      <c r="AX1710" s="28"/>
      <c r="AY1710" s="28" t="n">
        <f aca="false">AX1710*$M1710</f>
        <v>0</v>
      </c>
      <c r="AZ1710" s="30" t="n">
        <v>20973</v>
      </c>
      <c r="BA1710" s="11" t="n">
        <v>94378</v>
      </c>
      <c r="BB1710" s="31" t="n">
        <f aca="false">SUM(Q1710,S1710,U1710,W1710,Y1710,AA1710,AC1710,AE1710,AG1710,AI1710,AK1710,AM1710,AO1710,AQ1710,AS1710,AU1710,AW1710,AY1710)</f>
        <v>94378</v>
      </c>
      <c r="BC1710" s="28" t="n">
        <f aca="false">BA1710-BB1710</f>
        <v>0</v>
      </c>
      <c r="BD1710" s="32" t="n">
        <f aca="false">SUM(P1710,R1710,T1710,V1710,X1710,Z1710,AB1710,AD1710,AF1710,AH1710,AJ1710,AL1710,AN1710,AP1710,AR1710,AT1710,AV1710,AX1710)</f>
        <v>20973</v>
      </c>
      <c r="BE1710" s="33" t="n">
        <f aca="false">AZ1710-BD1710</f>
        <v>0</v>
      </c>
      <c r="BF1710" s="34" t="n">
        <f aca="false">BD1710*M1710</f>
        <v>94378.5</v>
      </c>
      <c r="BG1710" s="35" t="n">
        <f aca="false">BA1710-BF1710</f>
        <v>-0.5</v>
      </c>
      <c r="BH1710" s="19" t="str">
        <f aca="false">IF(BG1710=0,"",IF(BG1710&lt;&gt;BA1710,"erreur de calcul",IF(BD1710&lt;&gt;0,"pas de prix",IF(M1710&lt;&gt; 0,"pas de quantité","pas de prix, ni de quantité"))))</f>
        <v>erreur de calcul</v>
      </c>
      <c r="BI1710" s="19"/>
    </row>
    <row r="1711" customFormat="false" ht="15" hidden="false" customHeight="false" outlineLevel="0" collapsed="false">
      <c r="A1711" s="0" t="n">
        <v>17</v>
      </c>
      <c r="B1711" s="8" t="s">
        <v>24</v>
      </c>
      <c r="C1711" s="9" t="s">
        <v>25</v>
      </c>
      <c r="D1711" s="9" t="s">
        <v>26</v>
      </c>
      <c r="E1711" s="10" t="n">
        <v>1789</v>
      </c>
      <c r="F1711" s="9" t="s">
        <v>27</v>
      </c>
      <c r="G1711" s="9" t="s">
        <v>27</v>
      </c>
      <c r="H1711" s="11" t="n">
        <v>26</v>
      </c>
      <c r="I1711" s="11" t="s">
        <v>389</v>
      </c>
      <c r="J1711" s="14"/>
      <c r="K1711" s="14"/>
      <c r="L1711" s="16"/>
      <c r="M1711" s="27" t="n">
        <f aca="false">J1711+(K1711/20)+(L1711/240)</f>
        <v>0</v>
      </c>
      <c r="N1711" s="17"/>
      <c r="O1711" s="11" t="s">
        <v>277</v>
      </c>
      <c r="P1711" s="28"/>
      <c r="Q1711" s="28" t="n">
        <f aca="false">P1711*$M1711</f>
        <v>0</v>
      </c>
      <c r="R1711" s="28"/>
      <c r="S1711" s="28" t="n">
        <f aca="false">R1711*$M1711</f>
        <v>0</v>
      </c>
      <c r="T1711" s="28"/>
      <c r="U1711" s="28" t="n">
        <v>189</v>
      </c>
      <c r="V1711" s="28"/>
      <c r="W1711" s="28" t="n">
        <v>540</v>
      </c>
      <c r="X1711" s="28"/>
      <c r="Y1711" s="28" t="n">
        <f aca="false">X1711*$M1711</f>
        <v>0</v>
      </c>
      <c r="Z1711" s="28"/>
      <c r="AA1711" s="28" t="n">
        <f aca="false">Z1711*$M1711</f>
        <v>0</v>
      </c>
      <c r="AB1711" s="28"/>
      <c r="AC1711" s="28" t="n">
        <f aca="false">AB1711*$M1711</f>
        <v>0</v>
      </c>
      <c r="AD1711" s="28"/>
      <c r="AE1711" s="28" t="n">
        <f aca="false">AD1711*$M1711</f>
        <v>0</v>
      </c>
      <c r="AF1711" s="28"/>
      <c r="AG1711" s="28" t="n">
        <f aca="false">AF1711*$M1711</f>
        <v>0</v>
      </c>
      <c r="AH1711" s="28"/>
      <c r="AI1711" s="28" t="n">
        <f aca="false">AH1711*$M1711</f>
        <v>0</v>
      </c>
      <c r="AJ1711" s="28"/>
      <c r="AK1711" s="28" t="n">
        <v>317</v>
      </c>
      <c r="AL1711" s="28"/>
      <c r="AM1711" s="28" t="n">
        <f aca="false">AL1711*$M1711</f>
        <v>0</v>
      </c>
      <c r="AN1711" s="28"/>
      <c r="AO1711" s="28" t="n">
        <f aca="false">AN1711*$M1711</f>
        <v>0</v>
      </c>
      <c r="AP1711" s="28"/>
      <c r="AQ1711" s="28" t="n">
        <f aca="false">AP1711*$M1711</f>
        <v>0</v>
      </c>
      <c r="AR1711" s="28"/>
      <c r="AS1711" s="28" t="n">
        <f aca="false">AR1711*$M1711</f>
        <v>0</v>
      </c>
      <c r="AT1711" s="28"/>
      <c r="AU1711" s="28" t="n">
        <f aca="false">AT1711*$M1711</f>
        <v>0</v>
      </c>
      <c r="AV1711" s="28"/>
      <c r="AW1711" s="28" t="n">
        <f aca="false">AV1711*$M1711</f>
        <v>0</v>
      </c>
      <c r="AX1711" s="28"/>
      <c r="AY1711" s="28" t="n">
        <f aca="false">AX1711*$M1711</f>
        <v>0</v>
      </c>
      <c r="AZ1711" s="30"/>
      <c r="BA1711" s="11" t="n">
        <v>1046</v>
      </c>
      <c r="BB1711" s="31" t="n">
        <f aca="false">SUM(Q1711,S1711,U1711,W1711,Y1711,AA1711,AC1711,AE1711,AG1711,AI1711,AK1711,AM1711,AO1711,AQ1711,AS1711,AU1711,AW1711,AY1711)</f>
        <v>1046</v>
      </c>
      <c r="BC1711" s="28" t="n">
        <f aca="false">BA1711-BB1711</f>
        <v>0</v>
      </c>
      <c r="BD1711" s="32" t="n">
        <f aca="false">SUM(P1711,R1711,T1711,V1711,X1711,Z1711,AB1711,AD1711,AF1711,AH1711,AJ1711,AL1711,AN1711,AP1711,AR1711,AT1711,AV1711,AX1711)</f>
        <v>0</v>
      </c>
      <c r="BE1711" s="33" t="n">
        <f aca="false">AZ1711-BD1711</f>
        <v>0</v>
      </c>
      <c r="BF1711" s="34" t="n">
        <f aca="false">BD1711*M1711</f>
        <v>0</v>
      </c>
      <c r="BG1711" s="35" t="n">
        <f aca="false">BA1711-BF1711</f>
        <v>1046</v>
      </c>
      <c r="BH1711" s="19" t="str">
        <f aca="false">IF(BG1711=0,"",IF(BG1711&lt;&gt;BA1711,"erreur de calcul",IF(BD1711&lt;&gt;0,"pas de prix",IF(M1711&lt;&gt; 0,"pas de quantité","pas de prix, ni de quantité"))))</f>
        <v>pas de prix, ni de quantité</v>
      </c>
      <c r="BI1711" s="19"/>
    </row>
    <row r="1712" customFormat="false" ht="15" hidden="false" customHeight="false" outlineLevel="0" collapsed="false">
      <c r="A1712" s="0" t="n">
        <v>18</v>
      </c>
      <c r="B1712" s="8" t="s">
        <v>24</v>
      </c>
      <c r="C1712" s="9" t="s">
        <v>25</v>
      </c>
      <c r="D1712" s="9" t="s">
        <v>26</v>
      </c>
      <c r="E1712" s="10" t="n">
        <v>1789</v>
      </c>
      <c r="F1712" s="9" t="s">
        <v>27</v>
      </c>
      <c r="G1712" s="9" t="s">
        <v>27</v>
      </c>
      <c r="H1712" s="11" t="n">
        <v>26</v>
      </c>
      <c r="I1712" s="11" t="s">
        <v>389</v>
      </c>
      <c r="J1712" s="14" t="n">
        <v>90</v>
      </c>
      <c r="K1712" s="14"/>
      <c r="L1712" s="16"/>
      <c r="M1712" s="27" t="n">
        <f aca="false">J1712+(K1712/20)+(L1712/240)</f>
        <v>90</v>
      </c>
      <c r="N1712" s="17" t="s">
        <v>64</v>
      </c>
      <c r="O1712" s="11"/>
      <c r="P1712" s="28"/>
      <c r="Q1712" s="28" t="n">
        <f aca="false">P1712*$M1712</f>
        <v>0</v>
      </c>
      <c r="R1712" s="28"/>
      <c r="S1712" s="28" t="n">
        <f aca="false">R1712*$M1712</f>
        <v>0</v>
      </c>
      <c r="T1712" s="28"/>
      <c r="U1712" s="28" t="n">
        <f aca="false">T1712*$M1712</f>
        <v>0</v>
      </c>
      <c r="V1712" s="28" t="n">
        <f aca="false">6341/100</f>
        <v>63.41</v>
      </c>
      <c r="W1712" s="28" t="n">
        <v>5707</v>
      </c>
      <c r="X1712" s="28" t="n">
        <f aca="false">10903/100</f>
        <v>109.03</v>
      </c>
      <c r="Y1712" s="28" t="n">
        <v>9813</v>
      </c>
      <c r="Z1712" s="28"/>
      <c r="AA1712" s="28" t="n">
        <f aca="false">Z1712*$M1712</f>
        <v>0</v>
      </c>
      <c r="AB1712" s="28"/>
      <c r="AC1712" s="28" t="n">
        <f aca="false">AB1712*$M1712</f>
        <v>0</v>
      </c>
      <c r="AD1712" s="28"/>
      <c r="AE1712" s="28" t="n">
        <f aca="false">AD1712*$M1712</f>
        <v>0</v>
      </c>
      <c r="AF1712" s="28"/>
      <c r="AG1712" s="28" t="n">
        <f aca="false">AF1712*$M1712</f>
        <v>0</v>
      </c>
      <c r="AH1712" s="28"/>
      <c r="AI1712" s="28" t="n">
        <f aca="false">AH1712*$M1712</f>
        <v>0</v>
      </c>
      <c r="AJ1712" s="28" t="n">
        <f aca="false">127232/100</f>
        <v>1272.32</v>
      </c>
      <c r="AK1712" s="28" t="n">
        <v>114509</v>
      </c>
      <c r="AL1712" s="28" t="n">
        <f aca="false">1835/100</f>
        <v>18.35</v>
      </c>
      <c r="AM1712" s="28" t="n">
        <v>1651</v>
      </c>
      <c r="AN1712" s="28"/>
      <c r="AO1712" s="28" t="n">
        <f aca="false">AN1712*$M1712</f>
        <v>0</v>
      </c>
      <c r="AP1712" s="28"/>
      <c r="AQ1712" s="28" t="n">
        <f aca="false">AP1712*$M1712</f>
        <v>0</v>
      </c>
      <c r="AR1712" s="28"/>
      <c r="AS1712" s="28" t="n">
        <f aca="false">AR1712*$M1712</f>
        <v>0</v>
      </c>
      <c r="AT1712" s="28"/>
      <c r="AU1712" s="28" t="n">
        <f aca="false">AT1712*$M1712</f>
        <v>0</v>
      </c>
      <c r="AV1712" s="28"/>
      <c r="AW1712" s="28" t="n">
        <f aca="false">AV1712*$M1712</f>
        <v>0</v>
      </c>
      <c r="AX1712" s="28"/>
      <c r="AY1712" s="28" t="n">
        <f aca="false">AX1712*$M1712</f>
        <v>0</v>
      </c>
      <c r="AZ1712" s="30" t="n">
        <f aca="false">146311/100</f>
        <v>1463.11</v>
      </c>
      <c r="BA1712" s="11" t="n">
        <v>131680</v>
      </c>
      <c r="BB1712" s="31" t="n">
        <f aca="false">SUM(Q1712,S1712,U1712,W1712,Y1712,AA1712,AC1712,AE1712,AG1712,AI1712,AK1712,AM1712,AO1712,AQ1712,AS1712,AU1712,AW1712,AY1712)</f>
        <v>131680</v>
      </c>
      <c r="BC1712" s="28" t="n">
        <f aca="false">BA1712-BB1712</f>
        <v>0</v>
      </c>
      <c r="BD1712" s="32" t="n">
        <f aca="false">SUM(P1712,R1712,T1712,V1712,X1712,Z1712,AB1712,AD1712,AF1712,AH1712,AJ1712,AL1712,AN1712,AP1712,AR1712,AT1712,AV1712,AX1712)</f>
        <v>1463.11</v>
      </c>
      <c r="BE1712" s="33" t="n">
        <f aca="false">AZ1712-BD1712</f>
        <v>0</v>
      </c>
      <c r="BF1712" s="34" t="n">
        <f aca="false">BD1712*M1712</f>
        <v>131679.9</v>
      </c>
      <c r="BG1712" s="35" t="n">
        <f aca="false">BA1712-BF1712</f>
        <v>0.100000000005821</v>
      </c>
      <c r="BH1712" s="19" t="str">
        <f aca="false">IF(BG1712=0,"",IF(BG1712&lt;&gt;BA1712,"erreur de calcul",IF(BD1712&lt;&gt;0,"pas de prix",IF(M1712&lt;&gt; 0,"pas de quantité","pas de prix, ni de quantité"))))</f>
        <v>erreur de calcul</v>
      </c>
      <c r="BI1712" s="19"/>
    </row>
    <row r="1713" customFormat="false" ht="15" hidden="false" customHeight="false" outlineLevel="0" collapsed="false">
      <c r="A1713" s="0" t="n">
        <v>19</v>
      </c>
      <c r="B1713" s="8" t="s">
        <v>24</v>
      </c>
      <c r="C1713" s="9" t="s">
        <v>25</v>
      </c>
      <c r="D1713" s="9" t="s">
        <v>26</v>
      </c>
      <c r="E1713" s="10" t="n">
        <v>1789</v>
      </c>
      <c r="F1713" s="9" t="s">
        <v>27</v>
      </c>
      <c r="G1713" s="9" t="s">
        <v>27</v>
      </c>
      <c r="H1713" s="11" t="n">
        <v>26</v>
      </c>
      <c r="I1713" s="11" t="s">
        <v>390</v>
      </c>
      <c r="J1713" s="14" t="n">
        <v>25</v>
      </c>
      <c r="K1713" s="14"/>
      <c r="L1713" s="16"/>
      <c r="M1713" s="27" t="n">
        <f aca="false">J1713+(K1713/20)+(L1713/240)</f>
        <v>25</v>
      </c>
      <c r="N1713" s="17" t="s">
        <v>64</v>
      </c>
      <c r="O1713" s="11" t="s">
        <v>277</v>
      </c>
      <c r="P1713" s="28"/>
      <c r="Q1713" s="28" t="n">
        <f aca="false">P1713*$M1713</f>
        <v>0</v>
      </c>
      <c r="R1713" s="28"/>
      <c r="S1713" s="28" t="n">
        <f aca="false">R1713*$M1713</f>
        <v>0</v>
      </c>
      <c r="T1713" s="28"/>
      <c r="U1713" s="28" t="n">
        <f aca="false">T1713*$M1713</f>
        <v>0</v>
      </c>
      <c r="V1713" s="28"/>
      <c r="W1713" s="28" t="n">
        <f aca="false">V1713*$M1713</f>
        <v>0</v>
      </c>
      <c r="X1713" s="28"/>
      <c r="Y1713" s="28" t="n">
        <f aca="false">X1713*$M1713</f>
        <v>0</v>
      </c>
      <c r="Z1713" s="28"/>
      <c r="AA1713" s="28" t="n">
        <f aca="false">Z1713*$M1713</f>
        <v>0</v>
      </c>
      <c r="AB1713" s="28"/>
      <c r="AC1713" s="28" t="n">
        <f aca="false">AB1713*$M1713</f>
        <v>0</v>
      </c>
      <c r="AD1713" s="28"/>
      <c r="AE1713" s="28" t="n">
        <f aca="false">AD1713*$M1713</f>
        <v>0</v>
      </c>
      <c r="AF1713" s="28"/>
      <c r="AG1713" s="28" t="n">
        <f aca="false">AF1713*$M1713</f>
        <v>0</v>
      </c>
      <c r="AH1713" s="28"/>
      <c r="AI1713" s="28" t="n">
        <f aca="false">AH1713*$M1713</f>
        <v>0</v>
      </c>
      <c r="AJ1713" s="28"/>
      <c r="AK1713" s="28" t="n">
        <f aca="false">AJ1713*$M1713</f>
        <v>0</v>
      </c>
      <c r="AL1713" s="28"/>
      <c r="AM1713" s="28" t="n">
        <f aca="false">AL1713*$M1713</f>
        <v>0</v>
      </c>
      <c r="AN1713" s="28"/>
      <c r="AO1713" s="28" t="n">
        <f aca="false">AN1713*$M1713</f>
        <v>0</v>
      </c>
      <c r="AP1713" s="28"/>
      <c r="AQ1713" s="28" t="n">
        <f aca="false">AP1713*$M1713</f>
        <v>0</v>
      </c>
      <c r="AR1713" s="28"/>
      <c r="AS1713" s="28" t="n">
        <f aca="false">AR1713*$M1713</f>
        <v>0</v>
      </c>
      <c r="AT1713" s="28"/>
      <c r="AU1713" s="28" t="n">
        <f aca="false">AT1713*$M1713</f>
        <v>0</v>
      </c>
      <c r="AV1713" s="28"/>
      <c r="AW1713" s="28" t="n">
        <f aca="false">AV1713*$M1713</f>
        <v>0</v>
      </c>
      <c r="AX1713" s="28"/>
      <c r="AY1713" s="28" t="n">
        <f aca="false">AX1713*$M1713</f>
        <v>0</v>
      </c>
      <c r="AZ1713" s="30"/>
      <c r="BA1713" s="11"/>
      <c r="BB1713" s="31" t="n">
        <f aca="false">SUM(Q1713,S1713,U1713,W1713,Y1713,AA1713,AC1713,AE1713,AG1713,AI1713,AK1713,AM1713,AO1713,AQ1713,AS1713,AU1713,AW1713,AY1713)</f>
        <v>0</v>
      </c>
      <c r="BC1713" s="28" t="n">
        <f aca="false">BA1713-BB1713</f>
        <v>0</v>
      </c>
      <c r="BD1713" s="32" t="n">
        <f aca="false">SUM(P1713,R1713,T1713,V1713,X1713,Z1713,AB1713,AD1713,AF1713,AH1713,AJ1713,AL1713,AN1713,AP1713,AR1713,AT1713,AV1713,AX1713)</f>
        <v>0</v>
      </c>
      <c r="BE1713" s="33" t="n">
        <f aca="false">AZ1713-BD1713</f>
        <v>0</v>
      </c>
      <c r="BF1713" s="34" t="n">
        <f aca="false">BD1713*M1713</f>
        <v>0</v>
      </c>
      <c r="BG1713" s="35" t="n">
        <f aca="false">BA1713-BF1713</f>
        <v>0</v>
      </c>
      <c r="BH1713" s="19" t="str">
        <f aca="false">IF(BG1713=0,"",IF(BG1713&lt;&gt;BA1713,"erreur de calcul",IF(BD1713&lt;&gt;0,"pas de prix",IF(M1713&lt;&gt; 0,"pas de quantité","pas de prix, ni de quantité"))))</f>
        <v/>
      </c>
      <c r="BI1713" s="19"/>
    </row>
    <row r="1714" customFormat="false" ht="15" hidden="false" customHeight="false" outlineLevel="0" collapsed="false">
      <c r="A1714" s="0" t="n">
        <v>20</v>
      </c>
      <c r="B1714" s="8" t="s">
        <v>24</v>
      </c>
      <c r="C1714" s="9" t="s">
        <v>25</v>
      </c>
      <c r="D1714" s="9" t="s">
        <v>26</v>
      </c>
      <c r="E1714" s="10" t="n">
        <v>1789</v>
      </c>
      <c r="F1714" s="9" t="s">
        <v>27</v>
      </c>
      <c r="G1714" s="9" t="s">
        <v>27</v>
      </c>
      <c r="H1714" s="11" t="n">
        <v>26</v>
      </c>
      <c r="I1714" s="11" t="s">
        <v>391</v>
      </c>
      <c r="J1714" s="14" t="n">
        <v>35</v>
      </c>
      <c r="K1714" s="14"/>
      <c r="L1714" s="16"/>
      <c r="M1714" s="27" t="n">
        <f aca="false">J1714+(K1714/20)+(L1714/240)</f>
        <v>35</v>
      </c>
      <c r="N1714" s="17" t="s">
        <v>64</v>
      </c>
      <c r="O1714" s="11"/>
      <c r="P1714" s="28"/>
      <c r="Q1714" s="28" t="n">
        <f aca="false">P1714*$M1714</f>
        <v>0</v>
      </c>
      <c r="R1714" s="28"/>
      <c r="S1714" s="28" t="n">
        <f aca="false">R1714*$M1714</f>
        <v>0</v>
      </c>
      <c r="T1714" s="28"/>
      <c r="U1714" s="28" t="n">
        <f aca="false">T1714*$M1714</f>
        <v>0</v>
      </c>
      <c r="V1714" s="28"/>
      <c r="W1714" s="28" t="n">
        <f aca="false">V1714*$M1714</f>
        <v>0</v>
      </c>
      <c r="X1714" s="28"/>
      <c r="Y1714" s="28" t="n">
        <f aca="false">X1714*$M1714</f>
        <v>0</v>
      </c>
      <c r="Z1714" s="28"/>
      <c r="AA1714" s="28" t="n">
        <f aca="false">Z1714*$M1714</f>
        <v>0</v>
      </c>
      <c r="AB1714" s="28"/>
      <c r="AC1714" s="28" t="n">
        <f aca="false">AB1714*$M1714</f>
        <v>0</v>
      </c>
      <c r="AD1714" s="28"/>
      <c r="AE1714" s="28" t="n">
        <f aca="false">AD1714*$M1714</f>
        <v>0</v>
      </c>
      <c r="AF1714" s="28"/>
      <c r="AG1714" s="28" t="n">
        <f aca="false">AF1714*$M1714</f>
        <v>0</v>
      </c>
      <c r="AH1714" s="28"/>
      <c r="AI1714" s="28" t="n">
        <f aca="false">AH1714*$M1714</f>
        <v>0</v>
      </c>
      <c r="AJ1714" s="28" t="n">
        <f aca="false">3950/100</f>
        <v>39.5</v>
      </c>
      <c r="AK1714" s="28" t="n">
        <v>1382</v>
      </c>
      <c r="AL1714" s="28"/>
      <c r="AM1714" s="28" t="n">
        <f aca="false">AL1714*$M1714</f>
        <v>0</v>
      </c>
      <c r="AN1714" s="28"/>
      <c r="AO1714" s="28" t="n">
        <f aca="false">AN1714*$M1714</f>
        <v>0</v>
      </c>
      <c r="AP1714" s="28"/>
      <c r="AQ1714" s="28" t="n">
        <f aca="false">AP1714*$M1714</f>
        <v>0</v>
      </c>
      <c r="AR1714" s="28"/>
      <c r="AS1714" s="28" t="n">
        <f aca="false">AR1714*$M1714</f>
        <v>0</v>
      </c>
      <c r="AT1714" s="28"/>
      <c r="AU1714" s="28" t="n">
        <f aca="false">AT1714*$M1714</f>
        <v>0</v>
      </c>
      <c r="AV1714" s="28"/>
      <c r="AW1714" s="28" t="n">
        <f aca="false">AV1714*$M1714</f>
        <v>0</v>
      </c>
      <c r="AX1714" s="28"/>
      <c r="AY1714" s="28" t="n">
        <f aca="false">AX1714*$M1714</f>
        <v>0</v>
      </c>
      <c r="AZ1714" s="30" t="n">
        <f aca="false">3950/100</f>
        <v>39.5</v>
      </c>
      <c r="BA1714" s="11" t="n">
        <v>1382</v>
      </c>
      <c r="BB1714" s="31" t="n">
        <f aca="false">SUM(Q1714,S1714,U1714,W1714,Y1714,AA1714,AC1714,AE1714,AG1714,AI1714,AK1714,AM1714,AO1714,AQ1714,AS1714,AU1714,AW1714,AY1714)</f>
        <v>1382</v>
      </c>
      <c r="BC1714" s="28" t="n">
        <f aca="false">BA1714-BB1714</f>
        <v>0</v>
      </c>
      <c r="BD1714" s="32" t="n">
        <f aca="false">SUM(P1714,R1714,T1714,V1714,X1714,Z1714,AB1714,AD1714,AF1714,AH1714,AJ1714,AL1714,AN1714,AP1714,AR1714,AT1714,AV1714,AX1714)</f>
        <v>39.5</v>
      </c>
      <c r="BE1714" s="33" t="n">
        <f aca="false">AZ1714-BD1714</f>
        <v>0</v>
      </c>
      <c r="BF1714" s="34" t="n">
        <f aca="false">BD1714*M1714</f>
        <v>1382.5</v>
      </c>
      <c r="BG1714" s="35" t="n">
        <f aca="false">BA1714-BF1714</f>
        <v>-0.5</v>
      </c>
      <c r="BH1714" s="19" t="str">
        <f aca="false">IF(BG1714=0,"",IF(BG1714&lt;&gt;BA1714,"erreur de calcul",IF(BD1714&lt;&gt;0,"pas de prix",IF(M1714&lt;&gt; 0,"pas de quantité","pas de prix, ni de quantité"))))</f>
        <v>erreur de calcul</v>
      </c>
      <c r="BI1714" s="19"/>
    </row>
    <row r="1715" customFormat="false" ht="15" hidden="false" customHeight="false" outlineLevel="0" collapsed="false">
      <c r="A1715" s="0" t="n">
        <v>21</v>
      </c>
      <c r="B1715" s="8" t="s">
        <v>24</v>
      </c>
      <c r="C1715" s="9" t="s">
        <v>25</v>
      </c>
      <c r="D1715" s="9" t="s">
        <v>26</v>
      </c>
      <c r="E1715" s="10" t="n">
        <v>1789</v>
      </c>
      <c r="F1715" s="9" t="s">
        <v>27</v>
      </c>
      <c r="G1715" s="9" t="s">
        <v>27</v>
      </c>
      <c r="H1715" s="11" t="n">
        <v>26</v>
      </c>
      <c r="I1715" s="11" t="s">
        <v>392</v>
      </c>
      <c r="J1715" s="14" t="n">
        <v>60</v>
      </c>
      <c r="K1715" s="14"/>
      <c r="L1715" s="16"/>
      <c r="M1715" s="27" t="n">
        <f aca="false">J1715+(K1715/20)+(L1715/240)</f>
        <v>60</v>
      </c>
      <c r="N1715" s="17" t="s">
        <v>64</v>
      </c>
      <c r="O1715" s="11"/>
      <c r="P1715" s="28"/>
      <c r="Q1715" s="28" t="n">
        <f aca="false">P1715*$M1715</f>
        <v>0</v>
      </c>
      <c r="R1715" s="28"/>
      <c r="S1715" s="28" t="n">
        <f aca="false">R1715*$M1715</f>
        <v>0</v>
      </c>
      <c r="T1715" s="28"/>
      <c r="U1715" s="28" t="n">
        <f aca="false">T1715*$M1715</f>
        <v>0</v>
      </c>
      <c r="V1715" s="28"/>
      <c r="W1715" s="28" t="n">
        <f aca="false">V1715*$M1715</f>
        <v>0</v>
      </c>
      <c r="X1715" s="28" t="n">
        <f aca="false">12306/100</f>
        <v>123.06</v>
      </c>
      <c r="Y1715" s="28" t="n">
        <v>7384</v>
      </c>
      <c r="Z1715" s="28"/>
      <c r="AA1715" s="28" t="n">
        <f aca="false">Z1715*$M1715</f>
        <v>0</v>
      </c>
      <c r="AB1715" s="28"/>
      <c r="AC1715" s="28" t="n">
        <f aca="false">AB1715*$M1715</f>
        <v>0</v>
      </c>
      <c r="AD1715" s="28"/>
      <c r="AE1715" s="28" t="n">
        <f aca="false">AD1715*$M1715</f>
        <v>0</v>
      </c>
      <c r="AF1715" s="28"/>
      <c r="AG1715" s="28" t="n">
        <f aca="false">AF1715*$M1715</f>
        <v>0</v>
      </c>
      <c r="AH1715" s="28"/>
      <c r="AI1715" s="28" t="n">
        <f aca="false">AH1715*$M1715</f>
        <v>0</v>
      </c>
      <c r="AJ1715" s="28" t="n">
        <f aca="false">2557/100</f>
        <v>25.57</v>
      </c>
      <c r="AK1715" s="28" t="n">
        <v>1534</v>
      </c>
      <c r="AL1715" s="28"/>
      <c r="AM1715" s="28" t="n">
        <f aca="false">AL1715*$M1715</f>
        <v>0</v>
      </c>
      <c r="AN1715" s="28"/>
      <c r="AO1715" s="28" t="n">
        <f aca="false">AN1715*$M1715</f>
        <v>0</v>
      </c>
      <c r="AP1715" s="28"/>
      <c r="AQ1715" s="28" t="n">
        <f aca="false">AP1715*$M1715</f>
        <v>0</v>
      </c>
      <c r="AR1715" s="28" t="n">
        <f aca="false">7204/100</f>
        <v>72.04</v>
      </c>
      <c r="AS1715" s="28" t="n">
        <v>4322</v>
      </c>
      <c r="AT1715" s="28"/>
      <c r="AU1715" s="28" t="n">
        <f aca="false">AT1715*$M1715</f>
        <v>0</v>
      </c>
      <c r="AV1715" s="28"/>
      <c r="AW1715" s="28" t="n">
        <f aca="false">AV1715*$M1715</f>
        <v>0</v>
      </c>
      <c r="AX1715" s="28"/>
      <c r="AY1715" s="28" t="n">
        <f aca="false">AX1715*$M1715</f>
        <v>0</v>
      </c>
      <c r="AZ1715" s="30" t="n">
        <f aca="false">22067/100</f>
        <v>220.67</v>
      </c>
      <c r="BA1715" s="11" t="n">
        <v>13240</v>
      </c>
      <c r="BB1715" s="31" t="n">
        <f aca="false">SUM(Q1715,S1715,U1715,W1715,Y1715,AA1715,AC1715,AE1715,AG1715,AI1715,AK1715,AM1715,AO1715,AQ1715,AS1715,AU1715,AW1715,AY1715)</f>
        <v>13240</v>
      </c>
      <c r="BC1715" s="28" t="n">
        <f aca="false">BA1715-BB1715</f>
        <v>0</v>
      </c>
      <c r="BD1715" s="32" t="n">
        <f aca="false">SUM(P1715,R1715,T1715,V1715,X1715,Z1715,AB1715,AD1715,AF1715,AH1715,AJ1715,AL1715,AN1715,AP1715,AR1715,AT1715,AV1715,AX1715)</f>
        <v>220.67</v>
      </c>
      <c r="BE1715" s="33" t="n">
        <f aca="false">AZ1715-BD1715</f>
        <v>0</v>
      </c>
      <c r="BF1715" s="34" t="n">
        <f aca="false">BD1715*M1715</f>
        <v>13240.2</v>
      </c>
      <c r="BG1715" s="35" t="n">
        <f aca="false">BA1715-BF1715</f>
        <v>-0.200000000000728</v>
      </c>
      <c r="BH1715" s="19" t="str">
        <f aca="false">IF(BG1715=0,"",IF(BG1715&lt;&gt;BA1715,"erreur de calcul",IF(BD1715&lt;&gt;0,"pas de prix",IF(M1715&lt;&gt; 0,"pas de quantité","pas de prix, ni de quantité"))))</f>
        <v>erreur de calcul</v>
      </c>
      <c r="BI1715" s="19"/>
    </row>
    <row r="1716" customFormat="false" ht="15" hidden="false" customHeight="false" outlineLevel="0" collapsed="false">
      <c r="A1716" s="0" t="n">
        <v>22</v>
      </c>
      <c r="B1716" s="8" t="s">
        <v>24</v>
      </c>
      <c r="C1716" s="9" t="s">
        <v>25</v>
      </c>
      <c r="D1716" s="9" t="s">
        <v>26</v>
      </c>
      <c r="E1716" s="10" t="n">
        <v>1789</v>
      </c>
      <c r="F1716" s="9" t="s">
        <v>27</v>
      </c>
      <c r="G1716" s="9" t="s">
        <v>27</v>
      </c>
      <c r="H1716" s="11" t="n">
        <v>26</v>
      </c>
      <c r="I1716" s="11" t="s">
        <v>393</v>
      </c>
      <c r="J1716" s="14" t="n">
        <v>120</v>
      </c>
      <c r="K1716" s="14"/>
      <c r="L1716" s="16"/>
      <c r="M1716" s="27" t="n">
        <f aca="false">J1716+(K1716/20)+(L1716/240)</f>
        <v>120</v>
      </c>
      <c r="N1716" s="17" t="s">
        <v>64</v>
      </c>
      <c r="O1716" s="11"/>
      <c r="P1716" s="28"/>
      <c r="Q1716" s="28" t="n">
        <f aca="false">P1716*$M1716</f>
        <v>0</v>
      </c>
      <c r="R1716" s="28"/>
      <c r="S1716" s="28" t="n">
        <f aca="false">R1716*$M1716</f>
        <v>0</v>
      </c>
      <c r="T1716" s="28"/>
      <c r="U1716" s="28" t="n">
        <f aca="false">T1716*$M1716</f>
        <v>0</v>
      </c>
      <c r="V1716" s="28"/>
      <c r="W1716" s="28" t="n">
        <f aca="false">V1716*$M1716</f>
        <v>0</v>
      </c>
      <c r="X1716" s="28"/>
      <c r="Y1716" s="28" t="n">
        <f aca="false">X1716*$M1716</f>
        <v>0</v>
      </c>
      <c r="Z1716" s="28"/>
      <c r="AA1716" s="28" t="n">
        <f aca="false">Z1716*$M1716</f>
        <v>0</v>
      </c>
      <c r="AB1716" s="28"/>
      <c r="AC1716" s="28" t="n">
        <f aca="false">AB1716*$M1716</f>
        <v>0</v>
      </c>
      <c r="AD1716" s="28"/>
      <c r="AE1716" s="28" t="n">
        <f aca="false">AD1716*$M1716</f>
        <v>0</v>
      </c>
      <c r="AF1716" s="28"/>
      <c r="AG1716" s="28" t="n">
        <f aca="false">AF1716*$M1716</f>
        <v>0</v>
      </c>
      <c r="AH1716" s="28" t="n">
        <f aca="false">1810/100</f>
        <v>18.1</v>
      </c>
      <c r="AI1716" s="28" t="n">
        <v>2172</v>
      </c>
      <c r="AJ1716" s="28"/>
      <c r="AK1716" s="28" t="n">
        <f aca="false">AJ1716*$M1716</f>
        <v>0</v>
      </c>
      <c r="AL1716" s="28"/>
      <c r="AM1716" s="28" t="n">
        <f aca="false">AL1716*$M1716</f>
        <v>0</v>
      </c>
      <c r="AN1716" s="28"/>
      <c r="AO1716" s="28" t="n">
        <f aca="false">AN1716*$M1716</f>
        <v>0</v>
      </c>
      <c r="AP1716" s="28"/>
      <c r="AQ1716" s="28" t="n">
        <f aca="false">AP1716*$M1716</f>
        <v>0</v>
      </c>
      <c r="AR1716" s="28"/>
      <c r="AS1716" s="28" t="n">
        <f aca="false">AR1716*$M1716</f>
        <v>0</v>
      </c>
      <c r="AT1716" s="28"/>
      <c r="AU1716" s="28" t="n">
        <f aca="false">AT1716*$M1716</f>
        <v>0</v>
      </c>
      <c r="AV1716" s="28"/>
      <c r="AW1716" s="28" t="n">
        <f aca="false">AV1716*$M1716</f>
        <v>0</v>
      </c>
      <c r="AX1716" s="28"/>
      <c r="AY1716" s="28" t="n">
        <f aca="false">AX1716*$M1716</f>
        <v>0</v>
      </c>
      <c r="AZ1716" s="30" t="n">
        <f aca="false">1810/100</f>
        <v>18.1</v>
      </c>
      <c r="BA1716" s="11" t="n">
        <v>2172</v>
      </c>
      <c r="BB1716" s="31" t="n">
        <f aca="false">SUM(Q1716,S1716,U1716,W1716,Y1716,AA1716,AC1716,AE1716,AG1716,AI1716,AK1716,AM1716,AO1716,AQ1716,AS1716,AU1716,AW1716,AY1716)</f>
        <v>2172</v>
      </c>
      <c r="BC1716" s="28" t="n">
        <f aca="false">BA1716-BB1716</f>
        <v>0</v>
      </c>
      <c r="BD1716" s="32" t="n">
        <f aca="false">SUM(P1716,R1716,T1716,V1716,X1716,Z1716,AB1716,AD1716,AF1716,AH1716,AJ1716,AL1716,AN1716,AP1716,AR1716,AT1716,AV1716,AX1716)</f>
        <v>18.1</v>
      </c>
      <c r="BE1716" s="33" t="n">
        <f aca="false">AZ1716-BD1716</f>
        <v>0</v>
      </c>
      <c r="BF1716" s="34" t="n">
        <f aca="false">BD1716*M1716</f>
        <v>2172</v>
      </c>
      <c r="BG1716" s="35" t="n">
        <f aca="false">BA1716-BF1716</f>
        <v>0</v>
      </c>
      <c r="BH1716" s="19" t="str">
        <f aca="false">IF(BG1716=0,"",IF(BG1716&lt;&gt;BA1716,"erreur de calcul",IF(BD1716&lt;&gt;0,"pas de prix",IF(M1716&lt;&gt; 0,"pas de quantité","pas de prix, ni de quantité"))))</f>
        <v/>
      </c>
      <c r="BI1716" s="19"/>
    </row>
    <row r="1717" customFormat="false" ht="15" hidden="false" customHeight="false" outlineLevel="0" collapsed="false">
      <c r="A1717" s="0" t="n">
        <v>23</v>
      </c>
      <c r="B1717" s="8" t="s">
        <v>24</v>
      </c>
      <c r="C1717" s="9" t="s">
        <v>25</v>
      </c>
      <c r="D1717" s="9" t="s">
        <v>26</v>
      </c>
      <c r="E1717" s="10" t="n">
        <v>1789</v>
      </c>
      <c r="F1717" s="9" t="s">
        <v>27</v>
      </c>
      <c r="G1717" s="9" t="s">
        <v>27</v>
      </c>
      <c r="H1717" s="11" t="n">
        <v>26</v>
      </c>
      <c r="I1717" s="41" t="s">
        <v>394</v>
      </c>
      <c r="J1717" s="14" t="n">
        <v>7</v>
      </c>
      <c r="K1717" s="14"/>
      <c r="L1717" s="16"/>
      <c r="M1717" s="27" t="n">
        <f aca="false">J1717+(K1717/20)+(L1717/240)</f>
        <v>7</v>
      </c>
      <c r="N1717" s="17" t="s">
        <v>64</v>
      </c>
      <c r="O1717" s="11"/>
      <c r="P1717" s="28" t="n">
        <f aca="false">11428/100</f>
        <v>114.28</v>
      </c>
      <c r="Q1717" s="28" t="n">
        <v>800</v>
      </c>
      <c r="R1717" s="28"/>
      <c r="S1717" s="28" t="n">
        <f aca="false">R1717*$M1717</f>
        <v>0</v>
      </c>
      <c r="T1717" s="28" t="n">
        <f aca="false">2084/100</f>
        <v>20.84</v>
      </c>
      <c r="U1717" s="36" t="n">
        <v>246</v>
      </c>
      <c r="V1717" s="28"/>
      <c r="W1717" s="28" t="n">
        <f aca="false">V1717*$M1717</f>
        <v>0</v>
      </c>
      <c r="X1717" s="28"/>
      <c r="Y1717" s="28" t="n">
        <f aca="false">X1717*$M1717</f>
        <v>0</v>
      </c>
      <c r="Z1717" s="28"/>
      <c r="AA1717" s="28" t="n">
        <f aca="false">Z1717*$M1717</f>
        <v>0</v>
      </c>
      <c r="AB1717" s="28"/>
      <c r="AC1717" s="28" t="n">
        <f aca="false">AB1717*$M1717</f>
        <v>0</v>
      </c>
      <c r="AD1717" s="28"/>
      <c r="AE1717" s="28" t="n">
        <f aca="false">AD1717*$M1717</f>
        <v>0</v>
      </c>
      <c r="AF1717" s="28" t="n">
        <f aca="false">6709/100</f>
        <v>67.09</v>
      </c>
      <c r="AG1717" s="28" t="n">
        <v>470</v>
      </c>
      <c r="AH1717" s="28"/>
      <c r="AI1717" s="28" t="n">
        <f aca="false">AH1717*$M1717</f>
        <v>0</v>
      </c>
      <c r="AJ1717" s="28"/>
      <c r="AK1717" s="28" t="n">
        <f aca="false">AJ1717*$M1717</f>
        <v>0</v>
      </c>
      <c r="AL1717" s="28"/>
      <c r="AM1717" s="28" t="n">
        <f aca="false">AL1717*$M1717</f>
        <v>0</v>
      </c>
      <c r="AN1717" s="28"/>
      <c r="AO1717" s="28" t="n">
        <f aca="false">AN1717*$M1717</f>
        <v>0</v>
      </c>
      <c r="AP1717" s="28"/>
      <c r="AQ1717" s="28" t="n">
        <f aca="false">AP1717*$M1717</f>
        <v>0</v>
      </c>
      <c r="AR1717" s="28"/>
      <c r="AS1717" s="28" t="n">
        <f aca="false">AR1717*$M1717</f>
        <v>0</v>
      </c>
      <c r="AT1717" s="28"/>
      <c r="AU1717" s="28" t="n">
        <f aca="false">AT1717*$M1717</f>
        <v>0</v>
      </c>
      <c r="AV1717" s="28"/>
      <c r="AW1717" s="28" t="n">
        <f aca="false">AV1717*$M1717</f>
        <v>0</v>
      </c>
      <c r="AX1717" s="28"/>
      <c r="AY1717" s="28" t="n">
        <f aca="false">AX1717*$M1717</f>
        <v>0</v>
      </c>
      <c r="AZ1717" s="30" t="n">
        <f aca="false">20221/100</f>
        <v>202.21</v>
      </c>
      <c r="BA1717" s="11" t="n">
        <v>1516</v>
      </c>
      <c r="BB1717" s="31" t="n">
        <f aca="false">SUM(Q1717,S1717,U1717,W1717,Y1717,AA1717,AC1717,AE1717,AG1717,AI1717,AK1717,AM1717,AO1717,AQ1717,AS1717,AU1717,AW1717,AY1717)</f>
        <v>1516</v>
      </c>
      <c r="BC1717" s="28" t="n">
        <f aca="false">BA1717-BB1717</f>
        <v>0</v>
      </c>
      <c r="BD1717" s="32" t="n">
        <f aca="false">SUM(P1717,R1717,T1717,V1717,X1717,Z1717,AB1717,AD1717,AF1717,AH1717,AJ1717,AL1717,AN1717,AP1717,AR1717,AT1717,AV1717,AX1717)</f>
        <v>202.21</v>
      </c>
      <c r="BE1717" s="33" t="n">
        <f aca="false">AZ1717-BD1717</f>
        <v>0</v>
      </c>
      <c r="BF1717" s="34" t="n">
        <f aca="false">BD1717*M1717</f>
        <v>1415.47</v>
      </c>
      <c r="BG1717" s="35" t="n">
        <f aca="false">BA1717-BF1717</f>
        <v>100.53</v>
      </c>
      <c r="BH1717" s="19" t="str">
        <f aca="false">IF(BG1717=0,"",IF(BG1717&lt;&gt;BA1717,"erreur de calcul",IF(BD1717&lt;&gt;0,"pas de prix",IF(M1717&lt;&gt; 0,"pas de quantité","pas de prix, ni de quantité"))))</f>
        <v>erreur de calcul</v>
      </c>
      <c r="BI1717" s="19"/>
    </row>
    <row r="1718" customFormat="false" ht="15" hidden="false" customHeight="false" outlineLevel="0" collapsed="false">
      <c r="A1718" s="0" t="n">
        <v>24</v>
      </c>
      <c r="B1718" s="8" t="s">
        <v>24</v>
      </c>
      <c r="C1718" s="9" t="s">
        <v>25</v>
      </c>
      <c r="D1718" s="9" t="s">
        <v>26</v>
      </c>
      <c r="E1718" s="10" t="n">
        <v>1789</v>
      </c>
      <c r="F1718" s="9" t="s">
        <v>27</v>
      </c>
      <c r="G1718" s="9" t="s">
        <v>27</v>
      </c>
      <c r="H1718" s="11" t="n">
        <v>26</v>
      </c>
      <c r="I1718" s="11" t="s">
        <v>395</v>
      </c>
      <c r="J1718" s="14" t="n">
        <v>40</v>
      </c>
      <c r="K1718" s="14"/>
      <c r="L1718" s="16"/>
      <c r="M1718" s="27" t="n">
        <f aca="false">J1718+(K1718/20)+(L1718/240)</f>
        <v>40</v>
      </c>
      <c r="N1718" s="17" t="s">
        <v>66</v>
      </c>
      <c r="O1718" s="11"/>
      <c r="P1718" s="28"/>
      <c r="Q1718" s="28" t="n">
        <f aca="false">P1718*$M1718</f>
        <v>0</v>
      </c>
      <c r="R1718" s="28"/>
      <c r="S1718" s="28" t="n">
        <f aca="false">R1718*$M1718</f>
        <v>0</v>
      </c>
      <c r="T1718" s="28" t="n">
        <v>2339</v>
      </c>
      <c r="U1718" s="28" t="n">
        <v>93560</v>
      </c>
      <c r="V1718" s="28" t="n">
        <v>38</v>
      </c>
      <c r="W1718" s="28" t="n">
        <v>1520</v>
      </c>
      <c r="X1718" s="28"/>
      <c r="Y1718" s="28" t="n">
        <f aca="false">X1718*$M1718</f>
        <v>0</v>
      </c>
      <c r="Z1718" s="28"/>
      <c r="AA1718" s="28" t="n">
        <f aca="false">Z1718*$M1718</f>
        <v>0</v>
      </c>
      <c r="AB1718" s="28"/>
      <c r="AC1718" s="28" t="n">
        <f aca="false">AB1718*$M1718</f>
        <v>0</v>
      </c>
      <c r="AD1718" s="28"/>
      <c r="AE1718" s="28" t="n">
        <f aca="false">AD1718*$M1718</f>
        <v>0</v>
      </c>
      <c r="AF1718" s="28"/>
      <c r="AG1718" s="28" t="n">
        <f aca="false">AF1718*$M1718</f>
        <v>0</v>
      </c>
      <c r="AH1718" s="28"/>
      <c r="AI1718" s="28" t="n">
        <f aca="false">AH1718*$M1718</f>
        <v>0</v>
      </c>
      <c r="AJ1718" s="28"/>
      <c r="AK1718" s="28" t="n">
        <f aca="false">AJ1718*$M1718</f>
        <v>0</v>
      </c>
      <c r="AL1718" s="28"/>
      <c r="AM1718" s="28" t="n">
        <f aca="false">AL1718*$M1718</f>
        <v>0</v>
      </c>
      <c r="AN1718" s="28"/>
      <c r="AO1718" s="28" t="n">
        <f aca="false">AN1718*$M1718</f>
        <v>0</v>
      </c>
      <c r="AP1718" s="28"/>
      <c r="AQ1718" s="28" t="n">
        <f aca="false">AP1718*$M1718</f>
        <v>0</v>
      </c>
      <c r="AR1718" s="28"/>
      <c r="AS1718" s="28" t="n">
        <f aca="false">AR1718*$M1718</f>
        <v>0</v>
      </c>
      <c r="AT1718" s="28"/>
      <c r="AU1718" s="28" t="n">
        <f aca="false">AT1718*$M1718</f>
        <v>0</v>
      </c>
      <c r="AV1718" s="28"/>
      <c r="AW1718" s="28" t="n">
        <f aca="false">AV1718*$M1718</f>
        <v>0</v>
      </c>
      <c r="AX1718" s="28"/>
      <c r="AY1718" s="28" t="n">
        <f aca="false">AX1718*$M1718</f>
        <v>0</v>
      </c>
      <c r="AZ1718" s="30" t="n">
        <v>2377</v>
      </c>
      <c r="BA1718" s="11" t="n">
        <v>95080</v>
      </c>
      <c r="BB1718" s="31" t="n">
        <f aca="false">SUM(Q1718,S1718,U1718,W1718,Y1718,AA1718,AC1718,AE1718,AG1718,AI1718,AK1718,AM1718,AO1718,AQ1718,AS1718,AU1718,AW1718,AY1718)</f>
        <v>95080</v>
      </c>
      <c r="BC1718" s="28" t="n">
        <f aca="false">BA1718-BB1718</f>
        <v>0</v>
      </c>
      <c r="BD1718" s="32" t="n">
        <f aca="false">SUM(P1718,R1718,T1718,V1718,X1718,Z1718,AB1718,AD1718,AF1718,AH1718,AJ1718,AL1718,AN1718,AP1718,AR1718,AT1718,AV1718,AX1718)</f>
        <v>2377</v>
      </c>
      <c r="BE1718" s="33" t="n">
        <f aca="false">AZ1718-BD1718</f>
        <v>0</v>
      </c>
      <c r="BF1718" s="34" t="n">
        <f aca="false">BD1718*M1718</f>
        <v>95080</v>
      </c>
      <c r="BG1718" s="35" t="n">
        <f aca="false">BA1718-BF1718</f>
        <v>0</v>
      </c>
      <c r="BH1718" s="19" t="str">
        <f aca="false">IF(BG1718=0,"",IF(BG1718&lt;&gt;BA1718,"erreur de calcul",IF(BD1718&lt;&gt;0,"pas de prix",IF(M1718&lt;&gt; 0,"pas de quantité","pas de prix, ni de quantité"))))</f>
        <v/>
      </c>
      <c r="BI1718" s="19"/>
    </row>
    <row r="1719" customFormat="false" ht="15" hidden="false" customHeight="false" outlineLevel="0" collapsed="false">
      <c r="A1719" s="0" t="n">
        <v>25</v>
      </c>
      <c r="B1719" s="8" t="s">
        <v>24</v>
      </c>
      <c r="C1719" s="9" t="s">
        <v>25</v>
      </c>
      <c r="D1719" s="9" t="s">
        <v>26</v>
      </c>
      <c r="E1719" s="10" t="n">
        <v>1789</v>
      </c>
      <c r="F1719" s="9" t="s">
        <v>27</v>
      </c>
      <c r="G1719" s="9" t="s">
        <v>27</v>
      </c>
      <c r="H1719" s="11" t="n">
        <v>26</v>
      </c>
      <c r="I1719" s="11" t="s">
        <v>396</v>
      </c>
      <c r="J1719" s="14" t="n">
        <v>2</v>
      </c>
      <c r="K1719" s="14" t="n">
        <v>10</v>
      </c>
      <c r="L1719" s="16"/>
      <c r="M1719" s="27" t="n">
        <f aca="false">J1719+(K1719/20)+(L1719/240)</f>
        <v>2.5</v>
      </c>
      <c r="N1719" s="17" t="s">
        <v>66</v>
      </c>
      <c r="O1719" s="11"/>
      <c r="P1719" s="28"/>
      <c r="Q1719" s="28" t="n">
        <f aca="false">P1719*$M1719</f>
        <v>0</v>
      </c>
      <c r="R1719" s="28"/>
      <c r="S1719" s="28" t="n">
        <f aca="false">R1719*$M1719</f>
        <v>0</v>
      </c>
      <c r="T1719" s="28"/>
      <c r="U1719" s="28" t="n">
        <f aca="false">T1719*$M1719</f>
        <v>0</v>
      </c>
      <c r="V1719" s="28"/>
      <c r="W1719" s="28" t="n">
        <f aca="false">V1719*$M1719</f>
        <v>0</v>
      </c>
      <c r="X1719" s="28"/>
      <c r="Y1719" s="28" t="n">
        <f aca="false">X1719*$M1719</f>
        <v>0</v>
      </c>
      <c r="Z1719" s="28"/>
      <c r="AA1719" s="28" t="n">
        <f aca="false">Z1719*$M1719</f>
        <v>0</v>
      </c>
      <c r="AB1719" s="28"/>
      <c r="AC1719" s="28" t="n">
        <f aca="false">AB1719*$M1719</f>
        <v>0</v>
      </c>
      <c r="AD1719" s="28"/>
      <c r="AE1719" s="28" t="n">
        <f aca="false">AD1719*$M1719</f>
        <v>0</v>
      </c>
      <c r="AF1719" s="28"/>
      <c r="AG1719" s="28" t="n">
        <f aca="false">AF1719*$M1719</f>
        <v>0</v>
      </c>
      <c r="AH1719" s="28"/>
      <c r="AI1719" s="28" t="n">
        <f aca="false">AH1719*$M1719</f>
        <v>0</v>
      </c>
      <c r="AJ1719" s="28" t="n">
        <v>7127</v>
      </c>
      <c r="AK1719" s="28" t="n">
        <v>17817</v>
      </c>
      <c r="AL1719" s="28"/>
      <c r="AM1719" s="28" t="n">
        <f aca="false">AL1719*$M1719</f>
        <v>0</v>
      </c>
      <c r="AN1719" s="28"/>
      <c r="AO1719" s="28" t="n">
        <f aca="false">AN1719*$M1719</f>
        <v>0</v>
      </c>
      <c r="AP1719" s="28"/>
      <c r="AQ1719" s="28" t="n">
        <f aca="false">AP1719*$M1719</f>
        <v>0</v>
      </c>
      <c r="AR1719" s="28"/>
      <c r="AS1719" s="28" t="n">
        <f aca="false">AR1719*$M1719</f>
        <v>0</v>
      </c>
      <c r="AT1719" s="28"/>
      <c r="AU1719" s="28" t="n">
        <f aca="false">AT1719*$M1719</f>
        <v>0</v>
      </c>
      <c r="AV1719" s="28"/>
      <c r="AW1719" s="28" t="n">
        <f aca="false">AV1719*$M1719</f>
        <v>0</v>
      </c>
      <c r="AX1719" s="28"/>
      <c r="AY1719" s="28" t="n">
        <f aca="false">AX1719*$M1719</f>
        <v>0</v>
      </c>
      <c r="AZ1719" s="30" t="n">
        <v>7127</v>
      </c>
      <c r="BA1719" s="11" t="n">
        <v>17817</v>
      </c>
      <c r="BB1719" s="31" t="n">
        <f aca="false">SUM(Q1719,S1719,U1719,W1719,Y1719,AA1719,AC1719,AE1719,AG1719,AI1719,AK1719,AM1719,AO1719,AQ1719,AS1719,AU1719,AW1719,AY1719)</f>
        <v>17817</v>
      </c>
      <c r="BC1719" s="28" t="n">
        <f aca="false">BA1719-BB1719</f>
        <v>0</v>
      </c>
      <c r="BD1719" s="32" t="n">
        <f aca="false">SUM(P1719,R1719,T1719,V1719,X1719,Z1719,AB1719,AD1719,AF1719,AH1719,AJ1719,AL1719,AN1719,AP1719,AR1719,AT1719,AV1719,AX1719)</f>
        <v>7127</v>
      </c>
      <c r="BE1719" s="33" t="n">
        <f aca="false">AZ1719-BD1719</f>
        <v>0</v>
      </c>
      <c r="BF1719" s="34" t="n">
        <f aca="false">BD1719*M1719</f>
        <v>17817.5</v>
      </c>
      <c r="BG1719" s="35" t="n">
        <f aca="false">BA1719-BF1719</f>
        <v>-0.5</v>
      </c>
      <c r="BH1719" s="19" t="str">
        <f aca="false">IF(BG1719=0,"",IF(BG1719&lt;&gt;BA1719,"erreur de calcul",IF(BD1719&lt;&gt;0,"pas de prix",IF(M1719&lt;&gt; 0,"pas de quantité","pas de prix, ni de quantité"))))</f>
        <v>erreur de calcul</v>
      </c>
      <c r="BI1719" s="19"/>
    </row>
    <row r="1720" customFormat="false" ht="15" hidden="false" customHeight="false" outlineLevel="0" collapsed="false">
      <c r="A1720" s="0" t="n">
        <v>26</v>
      </c>
      <c r="B1720" s="8" t="s">
        <v>24</v>
      </c>
      <c r="C1720" s="9" t="s">
        <v>25</v>
      </c>
      <c r="D1720" s="9" t="s">
        <v>26</v>
      </c>
      <c r="E1720" s="10" t="n">
        <v>1789</v>
      </c>
      <c r="F1720" s="9" t="s">
        <v>27</v>
      </c>
      <c r="G1720" s="9" t="s">
        <v>27</v>
      </c>
      <c r="H1720" s="11" t="n">
        <v>26</v>
      </c>
      <c r="I1720" s="11" t="s">
        <v>397</v>
      </c>
      <c r="J1720" s="14" t="n">
        <v>6</v>
      </c>
      <c r="K1720" s="14" t="n">
        <v>10</v>
      </c>
      <c r="L1720" s="16"/>
      <c r="M1720" s="27" t="n">
        <f aca="false">J1720+(K1720/20)+(L1720/240)</f>
        <v>6.5</v>
      </c>
      <c r="N1720" s="17" t="s">
        <v>64</v>
      </c>
      <c r="O1720" s="11"/>
      <c r="P1720" s="28"/>
      <c r="Q1720" s="28" t="n">
        <f aca="false">P1720*$M1720</f>
        <v>0</v>
      </c>
      <c r="R1720" s="28"/>
      <c r="S1720" s="28" t="n">
        <f aca="false">R1720*$M1720</f>
        <v>0</v>
      </c>
      <c r="T1720" s="28"/>
      <c r="U1720" s="28" t="n">
        <f aca="false">T1720*$M1720</f>
        <v>0</v>
      </c>
      <c r="V1720" s="28"/>
      <c r="W1720" s="28" t="n">
        <f aca="false">V1720*$M1720</f>
        <v>0</v>
      </c>
      <c r="X1720" s="28" t="n">
        <f aca="false">22000/100</f>
        <v>220</v>
      </c>
      <c r="Y1720" s="28" t="n">
        <v>1430</v>
      </c>
      <c r="Z1720" s="28"/>
      <c r="AA1720" s="28" t="n">
        <f aca="false">Z1720*$M1720</f>
        <v>0</v>
      </c>
      <c r="AB1720" s="28" t="n">
        <f aca="false">3575715/100</f>
        <v>35757.15</v>
      </c>
      <c r="AC1720" s="36" t="n">
        <v>214543</v>
      </c>
      <c r="AD1720" s="28"/>
      <c r="AE1720" s="28" t="n">
        <f aca="false">AD1720*$M1720</f>
        <v>0</v>
      </c>
      <c r="AF1720" s="28"/>
      <c r="AG1720" s="28" t="n">
        <f aca="false">AF1720*$M1720</f>
        <v>0</v>
      </c>
      <c r="AH1720" s="28"/>
      <c r="AI1720" s="28" t="n">
        <f aca="false">AH1720*$M1720</f>
        <v>0</v>
      </c>
      <c r="AJ1720" s="28"/>
      <c r="AK1720" s="28" t="n">
        <f aca="false">AJ1720*$M1720</f>
        <v>0</v>
      </c>
      <c r="AL1720" s="28"/>
      <c r="AM1720" s="28" t="n">
        <f aca="false">AL1720*$M1720</f>
        <v>0</v>
      </c>
      <c r="AN1720" s="28"/>
      <c r="AO1720" s="28" t="n">
        <f aca="false">AN1720*$M1720</f>
        <v>0</v>
      </c>
      <c r="AP1720" s="28"/>
      <c r="AQ1720" s="28" t="n">
        <f aca="false">AP1720*$M1720</f>
        <v>0</v>
      </c>
      <c r="AR1720" s="28"/>
      <c r="AS1720" s="28" t="n">
        <f aca="false">AR1720*$M1720</f>
        <v>0</v>
      </c>
      <c r="AT1720" s="28"/>
      <c r="AU1720" s="28" t="n">
        <f aca="false">AT1720*$M1720</f>
        <v>0</v>
      </c>
      <c r="AV1720" s="28"/>
      <c r="AW1720" s="28" t="n">
        <f aca="false">AV1720*$M1720</f>
        <v>0</v>
      </c>
      <c r="AX1720" s="28"/>
      <c r="AY1720" s="28" t="n">
        <f aca="false">AX1720*$M1720</f>
        <v>0</v>
      </c>
      <c r="AZ1720" s="30" t="n">
        <f aca="false">3597715/100</f>
        <v>35977.15</v>
      </c>
      <c r="BA1720" s="11" t="n">
        <v>215973</v>
      </c>
      <c r="BB1720" s="31" t="n">
        <f aca="false">SUM(Q1720,S1720,U1720,W1720,Y1720,AA1720,AC1720,AE1720,AG1720,AI1720,AK1720,AM1720,AO1720,AQ1720,AS1720,AU1720,AW1720,AY1720)</f>
        <v>215973</v>
      </c>
      <c r="BC1720" s="28" t="n">
        <f aca="false">BA1720-BB1720</f>
        <v>0</v>
      </c>
      <c r="BD1720" s="32" t="n">
        <f aca="false">SUM(P1720,R1720,T1720,V1720,X1720,Z1720,AB1720,AD1720,AF1720,AH1720,AJ1720,AL1720,AN1720,AP1720,AR1720,AT1720,AV1720,AX1720)</f>
        <v>35977.15</v>
      </c>
      <c r="BE1720" s="33" t="n">
        <f aca="false">AZ1720-BD1720</f>
        <v>0</v>
      </c>
      <c r="BF1720" s="34" t="n">
        <f aca="false">BD1720*M1720</f>
        <v>233851.475</v>
      </c>
      <c r="BG1720" s="35" t="n">
        <f aca="false">BA1720-BF1720</f>
        <v>-17878.475</v>
      </c>
      <c r="BH1720" s="19" t="str">
        <f aca="false">IF(BG1720=0,"",IF(BG1720&lt;&gt;BA1720,"erreur de calcul",IF(BD1720&lt;&gt;0,"pas de prix",IF(M1720&lt;&gt; 0,"pas de quantité","pas de prix, ni de quantité"))))</f>
        <v>erreur de calcul</v>
      </c>
      <c r="BI1720" s="19"/>
    </row>
    <row r="1721" customFormat="false" ht="15" hidden="false" customHeight="false" outlineLevel="0" collapsed="false">
      <c r="A1721" s="0" t="n">
        <v>27</v>
      </c>
      <c r="B1721" s="8" t="s">
        <v>24</v>
      </c>
      <c r="C1721" s="9" t="s">
        <v>25</v>
      </c>
      <c r="D1721" s="9" t="s">
        <v>26</v>
      </c>
      <c r="E1721" s="10" t="n">
        <v>1789</v>
      </c>
      <c r="F1721" s="9" t="s">
        <v>27</v>
      </c>
      <c r="G1721" s="9" t="s">
        <v>27</v>
      </c>
      <c r="H1721" s="11" t="n">
        <v>26</v>
      </c>
      <c r="I1721" s="11" t="s">
        <v>398</v>
      </c>
      <c r="J1721" s="14" t="n">
        <v>11</v>
      </c>
      <c r="K1721" s="14"/>
      <c r="L1721" s="16"/>
      <c r="M1721" s="27" t="n">
        <f aca="false">J1721+(K1721/20)+(L1721/240)</f>
        <v>11</v>
      </c>
      <c r="N1721" s="17" t="s">
        <v>64</v>
      </c>
      <c r="O1721" s="11"/>
      <c r="P1721" s="28" t="n">
        <f aca="false">166667/100</f>
        <v>1666.67</v>
      </c>
      <c r="Q1721" s="28" t="n">
        <v>18333</v>
      </c>
      <c r="R1721" s="28"/>
      <c r="S1721" s="28" t="n">
        <f aca="false">R1721*$M1721</f>
        <v>0</v>
      </c>
      <c r="T1721" s="28"/>
      <c r="U1721" s="28" t="n">
        <f aca="false">T1721*$M1721</f>
        <v>0</v>
      </c>
      <c r="V1721" s="28"/>
      <c r="W1721" s="28" t="n">
        <f aca="false">V1721*$M1721</f>
        <v>0</v>
      </c>
      <c r="X1721" s="28"/>
      <c r="Y1721" s="28" t="n">
        <f aca="false">X1721*$M1721</f>
        <v>0</v>
      </c>
      <c r="Z1721" s="28"/>
      <c r="AA1721" s="28" t="n">
        <f aca="false">Z1721*$M1721</f>
        <v>0</v>
      </c>
      <c r="AB1721" s="28" t="n">
        <f aca="false">3312/100</f>
        <v>33.12</v>
      </c>
      <c r="AC1721" s="28" t="n">
        <v>364</v>
      </c>
      <c r="AD1721" s="28"/>
      <c r="AE1721" s="28" t="n">
        <f aca="false">AD1721*$M1721</f>
        <v>0</v>
      </c>
      <c r="AF1721" s="28"/>
      <c r="AG1721" s="28" t="n">
        <f aca="false">AF1721*$M1721</f>
        <v>0</v>
      </c>
      <c r="AH1721" s="28"/>
      <c r="AI1721" s="28" t="n">
        <f aca="false">AH1721*$M1721</f>
        <v>0</v>
      </c>
      <c r="AJ1721" s="28"/>
      <c r="AK1721" s="28" t="n">
        <f aca="false">AJ1721*$M1721</f>
        <v>0</v>
      </c>
      <c r="AL1721" s="28"/>
      <c r="AM1721" s="28" t="n">
        <f aca="false">AL1721*$M1721</f>
        <v>0</v>
      </c>
      <c r="AN1721" s="28"/>
      <c r="AO1721" s="28" t="n">
        <f aca="false">AN1721*$M1721</f>
        <v>0</v>
      </c>
      <c r="AP1721" s="28"/>
      <c r="AQ1721" s="28" t="n">
        <f aca="false">AP1721*$M1721</f>
        <v>0</v>
      </c>
      <c r="AR1721" s="28"/>
      <c r="AS1721" s="28" t="n">
        <f aca="false">AR1721*$M1721</f>
        <v>0</v>
      </c>
      <c r="AT1721" s="28"/>
      <c r="AU1721" s="28" t="n">
        <f aca="false">AT1721*$M1721</f>
        <v>0</v>
      </c>
      <c r="AV1721" s="28"/>
      <c r="AW1721" s="28" t="n">
        <f aca="false">AV1721*$M1721</f>
        <v>0</v>
      </c>
      <c r="AX1721" s="28"/>
      <c r="AY1721" s="28" t="n">
        <f aca="false">AX1721*$M1721</f>
        <v>0</v>
      </c>
      <c r="AZ1721" s="30" t="n">
        <f aca="false">169979/100</f>
        <v>1699.79</v>
      </c>
      <c r="BA1721" s="11" t="n">
        <v>18697</v>
      </c>
      <c r="BB1721" s="31" t="n">
        <f aca="false">SUM(Q1721,S1721,U1721,W1721,Y1721,AA1721,AC1721,AE1721,AG1721,AI1721,AK1721,AM1721,AO1721,AQ1721,AS1721,AU1721,AW1721,AY1721)</f>
        <v>18697</v>
      </c>
      <c r="BC1721" s="28" t="n">
        <f aca="false">BA1721-BB1721</f>
        <v>0</v>
      </c>
      <c r="BD1721" s="32" t="n">
        <f aca="false">SUM(P1721,R1721,T1721,V1721,X1721,Z1721,AB1721,AD1721,AF1721,AH1721,AJ1721,AL1721,AN1721,AP1721,AR1721,AT1721,AV1721,AX1721)</f>
        <v>1699.79</v>
      </c>
      <c r="BE1721" s="33" t="n">
        <f aca="false">AZ1721-BD1721</f>
        <v>0</v>
      </c>
      <c r="BF1721" s="34" t="n">
        <f aca="false">BD1721*M1721</f>
        <v>18697.69</v>
      </c>
      <c r="BG1721" s="35" t="n">
        <f aca="false">BA1721-BF1721</f>
        <v>-0.68999999999869</v>
      </c>
      <c r="BH1721" s="19" t="str">
        <f aca="false">IF(BG1721=0,"",IF(BG1721&lt;&gt;BA1721,"erreur de calcul",IF(BD1721&lt;&gt;0,"pas de prix",IF(M1721&lt;&gt; 0,"pas de quantité","pas de prix, ni de quantité"))))</f>
        <v>erreur de calcul</v>
      </c>
      <c r="BI1721" s="19"/>
    </row>
    <row r="1722" customFormat="false" ht="15" hidden="false" customHeight="false" outlineLevel="0" collapsed="false">
      <c r="A1722" s="0" t="n">
        <v>28</v>
      </c>
      <c r="B1722" s="8" t="s">
        <v>24</v>
      </c>
      <c r="C1722" s="9" t="s">
        <v>25</v>
      </c>
      <c r="D1722" s="9" t="s">
        <v>26</v>
      </c>
      <c r="E1722" s="10" t="n">
        <v>1789</v>
      </c>
      <c r="F1722" s="9" t="s">
        <v>27</v>
      </c>
      <c r="G1722" s="9" t="s">
        <v>27</v>
      </c>
      <c r="H1722" s="11" t="n">
        <v>26</v>
      </c>
      <c r="I1722" s="11" t="s">
        <v>399</v>
      </c>
      <c r="J1722" s="14" t="n">
        <v>18</v>
      </c>
      <c r="K1722" s="14"/>
      <c r="L1722" s="16"/>
      <c r="M1722" s="27" t="n">
        <f aca="false">J1722+(K1722/20)+(L1722/240)</f>
        <v>18</v>
      </c>
      <c r="N1722" s="17" t="s">
        <v>66</v>
      </c>
      <c r="O1722" s="11"/>
      <c r="P1722" s="28"/>
      <c r="Q1722" s="28" t="n">
        <f aca="false">P1722*$M1722</f>
        <v>0</v>
      </c>
      <c r="R1722" s="28"/>
      <c r="S1722" s="28" t="n">
        <f aca="false">R1722*$M1722</f>
        <v>0</v>
      </c>
      <c r="T1722" s="28"/>
      <c r="U1722" s="28" t="n">
        <f aca="false">T1722*$M1722</f>
        <v>0</v>
      </c>
      <c r="V1722" s="28"/>
      <c r="W1722" s="28" t="n">
        <f aca="false">V1722*$M1722</f>
        <v>0</v>
      </c>
      <c r="X1722" s="28"/>
      <c r="Y1722" s="28" t="n">
        <f aca="false">X1722*$M1722</f>
        <v>0</v>
      </c>
      <c r="Z1722" s="28"/>
      <c r="AA1722" s="28" t="n">
        <f aca="false">Z1722*$M1722</f>
        <v>0</v>
      </c>
      <c r="AB1722" s="28"/>
      <c r="AC1722" s="28" t="n">
        <f aca="false">AB1722*$M1722</f>
        <v>0</v>
      </c>
      <c r="AD1722" s="28"/>
      <c r="AE1722" s="28" t="n">
        <f aca="false">AD1722*$M1722</f>
        <v>0</v>
      </c>
      <c r="AF1722" s="28"/>
      <c r="AG1722" s="28" t="n">
        <f aca="false">AF1722*$M1722</f>
        <v>0</v>
      </c>
      <c r="AH1722" s="28" t="n">
        <v>72036</v>
      </c>
      <c r="AI1722" s="28" t="n">
        <v>1296648</v>
      </c>
      <c r="AJ1722" s="28"/>
      <c r="AK1722" s="28" t="n">
        <f aca="false">AJ1722*$M1722</f>
        <v>0</v>
      </c>
      <c r="AL1722" s="28"/>
      <c r="AM1722" s="28" t="n">
        <f aca="false">AL1722*$M1722</f>
        <v>0</v>
      </c>
      <c r="AN1722" s="28"/>
      <c r="AO1722" s="28" t="n">
        <f aca="false">AN1722*$M1722</f>
        <v>0</v>
      </c>
      <c r="AP1722" s="28"/>
      <c r="AQ1722" s="28" t="n">
        <f aca="false">AP1722*$M1722</f>
        <v>0</v>
      </c>
      <c r="AR1722" s="28"/>
      <c r="AS1722" s="28" t="n">
        <f aca="false">AR1722*$M1722</f>
        <v>0</v>
      </c>
      <c r="AT1722" s="28"/>
      <c r="AU1722" s="28" t="n">
        <f aca="false">AT1722*$M1722</f>
        <v>0</v>
      </c>
      <c r="AV1722" s="28"/>
      <c r="AW1722" s="28" t="n">
        <f aca="false">AV1722*$M1722</f>
        <v>0</v>
      </c>
      <c r="AX1722" s="28"/>
      <c r="AY1722" s="28" t="n">
        <f aca="false">AX1722*$M1722</f>
        <v>0</v>
      </c>
      <c r="AZ1722" s="30" t="n">
        <v>72036</v>
      </c>
      <c r="BA1722" s="11" t="n">
        <v>1296648</v>
      </c>
      <c r="BB1722" s="31" t="n">
        <f aca="false">SUM(Q1722,S1722,U1722,W1722,Y1722,AA1722,AC1722,AE1722,AG1722,AI1722,AK1722,AM1722,AO1722,AQ1722,AS1722,AU1722,AW1722,AY1722)</f>
        <v>1296648</v>
      </c>
      <c r="BC1722" s="28" t="n">
        <f aca="false">BA1722-BB1722</f>
        <v>0</v>
      </c>
      <c r="BD1722" s="32" t="n">
        <f aca="false">SUM(P1722,R1722,T1722,V1722,X1722,Z1722,AB1722,AD1722,AF1722,AH1722,AJ1722,AL1722,AN1722,AP1722,AR1722,AT1722,AV1722,AX1722)</f>
        <v>72036</v>
      </c>
      <c r="BE1722" s="33" t="n">
        <f aca="false">AZ1722-BD1722</f>
        <v>0</v>
      </c>
      <c r="BF1722" s="34" t="n">
        <f aca="false">BD1722*M1722</f>
        <v>1296648</v>
      </c>
      <c r="BG1722" s="35" t="n">
        <f aca="false">BA1722-BF1722</f>
        <v>0</v>
      </c>
      <c r="BH1722" s="19" t="str">
        <f aca="false">IF(BG1722=0,"",IF(BG1722&lt;&gt;BA1722,"erreur de calcul",IF(BD1722&lt;&gt;0,"pas de prix",IF(M1722&lt;&gt; 0,"pas de quantité","pas de prix, ni de quantité"))))</f>
        <v/>
      </c>
      <c r="BI1722" s="19"/>
    </row>
    <row r="1723" customFormat="false" ht="15" hidden="false" customHeight="false" outlineLevel="0" collapsed="false">
      <c r="A1723" s="0" t="n">
        <v>29</v>
      </c>
      <c r="B1723" s="8" t="s">
        <v>24</v>
      </c>
      <c r="C1723" s="9" t="s">
        <v>25</v>
      </c>
      <c r="D1723" s="9" t="s">
        <v>26</v>
      </c>
      <c r="E1723" s="10" t="n">
        <v>1789</v>
      </c>
      <c r="F1723" s="9" t="s">
        <v>27</v>
      </c>
      <c r="G1723" s="9" t="s">
        <v>27</v>
      </c>
      <c r="H1723" s="11" t="n">
        <v>26</v>
      </c>
      <c r="I1723" s="11" t="s">
        <v>400</v>
      </c>
      <c r="J1723" s="14" t="n">
        <v>19</v>
      </c>
      <c r="K1723" s="14"/>
      <c r="L1723" s="16"/>
      <c r="M1723" s="27" t="n">
        <f aca="false">J1723+(K1723/20)+(L1723/240)</f>
        <v>19</v>
      </c>
      <c r="N1723" s="17" t="s">
        <v>66</v>
      </c>
      <c r="O1723" s="11"/>
      <c r="P1723" s="28"/>
      <c r="Q1723" s="28" t="n">
        <f aca="false">P1723*$M1723</f>
        <v>0</v>
      </c>
      <c r="R1723" s="28"/>
      <c r="S1723" s="28" t="n">
        <f aca="false">R1723*$M1723</f>
        <v>0</v>
      </c>
      <c r="T1723" s="28"/>
      <c r="U1723" s="28" t="n">
        <f aca="false">T1723*$M1723</f>
        <v>0</v>
      </c>
      <c r="V1723" s="28"/>
      <c r="W1723" s="28" t="n">
        <f aca="false">V1723*$M1723</f>
        <v>0</v>
      </c>
      <c r="X1723" s="28"/>
      <c r="Y1723" s="28" t="n">
        <f aca="false">X1723*$M1723</f>
        <v>0</v>
      </c>
      <c r="Z1723" s="28"/>
      <c r="AA1723" s="28" t="n">
        <f aca="false">Z1723*$M1723</f>
        <v>0</v>
      </c>
      <c r="AB1723" s="28" t="n">
        <v>1176</v>
      </c>
      <c r="AC1723" s="28" t="n">
        <v>22344</v>
      </c>
      <c r="AD1723" s="28"/>
      <c r="AE1723" s="28" t="n">
        <f aca="false">AD1723*$M1723</f>
        <v>0</v>
      </c>
      <c r="AF1723" s="28"/>
      <c r="AG1723" s="28" t="n">
        <f aca="false">AF1723*$M1723</f>
        <v>0</v>
      </c>
      <c r="AH1723" s="28"/>
      <c r="AI1723" s="28" t="n">
        <f aca="false">AH1723*$M1723</f>
        <v>0</v>
      </c>
      <c r="AJ1723" s="28"/>
      <c r="AK1723" s="28" t="n">
        <f aca="false">AJ1723*$M1723</f>
        <v>0</v>
      </c>
      <c r="AL1723" s="28"/>
      <c r="AM1723" s="28" t="n">
        <f aca="false">AL1723*$M1723</f>
        <v>0</v>
      </c>
      <c r="AN1723" s="28"/>
      <c r="AO1723" s="28" t="n">
        <f aca="false">AN1723*$M1723</f>
        <v>0</v>
      </c>
      <c r="AP1723" s="28"/>
      <c r="AQ1723" s="28" t="n">
        <f aca="false">AP1723*$M1723</f>
        <v>0</v>
      </c>
      <c r="AR1723" s="28"/>
      <c r="AS1723" s="28" t="n">
        <f aca="false">AR1723*$M1723</f>
        <v>0</v>
      </c>
      <c r="AT1723" s="28"/>
      <c r="AU1723" s="28" t="n">
        <f aca="false">AT1723*$M1723</f>
        <v>0</v>
      </c>
      <c r="AV1723" s="28"/>
      <c r="AW1723" s="28" t="n">
        <f aca="false">AV1723*$M1723</f>
        <v>0</v>
      </c>
      <c r="AX1723" s="28"/>
      <c r="AY1723" s="28" t="n">
        <f aca="false">AX1723*$M1723</f>
        <v>0</v>
      </c>
      <c r="AZ1723" s="30" t="n">
        <v>1176</v>
      </c>
      <c r="BA1723" s="11" t="n">
        <v>22344</v>
      </c>
      <c r="BB1723" s="31" t="n">
        <f aca="false">SUM(Q1723,S1723,U1723,W1723,Y1723,AA1723,AC1723,AE1723,AG1723,AI1723,AK1723,AM1723,AO1723,AQ1723,AS1723,AU1723,AW1723,AY1723)</f>
        <v>22344</v>
      </c>
      <c r="BC1723" s="28" t="n">
        <f aca="false">BA1723-BB1723</f>
        <v>0</v>
      </c>
      <c r="BD1723" s="32" t="n">
        <f aca="false">SUM(P1723,R1723,T1723,V1723,X1723,Z1723,AB1723,AD1723,AF1723,AH1723,AJ1723,AL1723,AN1723,AP1723,AR1723,AT1723,AV1723,AX1723)</f>
        <v>1176</v>
      </c>
      <c r="BE1723" s="33" t="n">
        <f aca="false">AZ1723-BD1723</f>
        <v>0</v>
      </c>
      <c r="BF1723" s="34" t="n">
        <f aca="false">BD1723*M1723</f>
        <v>22344</v>
      </c>
      <c r="BG1723" s="35" t="n">
        <f aca="false">BA1723-BF1723</f>
        <v>0</v>
      </c>
      <c r="BH1723" s="19" t="str">
        <f aca="false">IF(BG1723=0,"",IF(BG1723&lt;&gt;BA1723,"erreur de calcul",IF(BD1723&lt;&gt;0,"pas de prix",IF(M1723&lt;&gt; 0,"pas de quantité","pas de prix, ni de quantité"))))</f>
        <v/>
      </c>
      <c r="BI1723" s="19"/>
    </row>
    <row r="1724" customFormat="false" ht="15" hidden="false" customHeight="false" outlineLevel="0" collapsed="false">
      <c r="A1724" s="0" t="n">
        <v>30</v>
      </c>
      <c r="B1724" s="8" t="s">
        <v>24</v>
      </c>
      <c r="C1724" s="9" t="s">
        <v>25</v>
      </c>
      <c r="D1724" s="9" t="s">
        <v>26</v>
      </c>
      <c r="E1724" s="10" t="n">
        <v>1789</v>
      </c>
      <c r="F1724" s="9" t="s">
        <v>27</v>
      </c>
      <c r="G1724" s="9" t="s">
        <v>27</v>
      </c>
      <c r="H1724" s="11" t="n">
        <v>26</v>
      </c>
      <c r="I1724" s="11" t="s">
        <v>401</v>
      </c>
      <c r="J1724" s="14" t="n">
        <v>20</v>
      </c>
      <c r="K1724" s="14"/>
      <c r="L1724" s="16"/>
      <c r="M1724" s="27" t="n">
        <f aca="false">J1724+(K1724/20)+(L1724/240)</f>
        <v>20</v>
      </c>
      <c r="N1724" s="17" t="s">
        <v>66</v>
      </c>
      <c r="O1724" s="11"/>
      <c r="P1724" s="28"/>
      <c r="Q1724" s="28" t="n">
        <f aca="false">P1724*$M1724</f>
        <v>0</v>
      </c>
      <c r="R1724" s="28"/>
      <c r="S1724" s="28" t="n">
        <f aca="false">R1724*$M1724</f>
        <v>0</v>
      </c>
      <c r="T1724" s="28" t="n">
        <v>7478</v>
      </c>
      <c r="U1724" s="28" t="n">
        <v>149560</v>
      </c>
      <c r="V1724" s="28" t="n">
        <v>3386</v>
      </c>
      <c r="W1724" s="36" t="n">
        <v>66720</v>
      </c>
      <c r="X1724" s="28" t="n">
        <v>2233</v>
      </c>
      <c r="Y1724" s="28" t="n">
        <v>44660</v>
      </c>
      <c r="Z1724" s="28" t="n">
        <v>867</v>
      </c>
      <c r="AA1724" s="28" t="n">
        <v>17340</v>
      </c>
      <c r="AB1724" s="28" t="n">
        <v>32380</v>
      </c>
      <c r="AC1724" s="28" t="n">
        <v>647600</v>
      </c>
      <c r="AD1724" s="28"/>
      <c r="AE1724" s="28" t="n">
        <f aca="false">AD1724*$M1724</f>
        <v>0</v>
      </c>
      <c r="AF1724" s="28"/>
      <c r="AG1724" s="28" t="n">
        <f aca="false">AF1724*$M1724</f>
        <v>0</v>
      </c>
      <c r="AH1724" s="28" t="n">
        <v>12038</v>
      </c>
      <c r="AI1724" s="28" t="n">
        <v>240760</v>
      </c>
      <c r="AJ1724" s="28"/>
      <c r="AK1724" s="28" t="n">
        <f aca="false">AJ1724*$M1724</f>
        <v>0</v>
      </c>
      <c r="AL1724" s="28"/>
      <c r="AM1724" s="28" t="n">
        <f aca="false">AL1724*$M1724</f>
        <v>0</v>
      </c>
      <c r="AN1724" s="28"/>
      <c r="AO1724" s="28" t="n">
        <f aca="false">AN1724*$M1724</f>
        <v>0</v>
      </c>
      <c r="AP1724" s="28"/>
      <c r="AQ1724" s="28" t="n">
        <f aca="false">AP1724*$M1724</f>
        <v>0</v>
      </c>
      <c r="AR1724" s="28"/>
      <c r="AS1724" s="28" t="n">
        <f aca="false">AR1724*$M1724</f>
        <v>0</v>
      </c>
      <c r="AT1724" s="28"/>
      <c r="AU1724" s="28" t="n">
        <f aca="false">AT1724*$M1724</f>
        <v>0</v>
      </c>
      <c r="AV1724" s="28"/>
      <c r="AW1724" s="28" t="n">
        <f aca="false">AV1724*$M1724</f>
        <v>0</v>
      </c>
      <c r="AX1724" s="28"/>
      <c r="AY1724" s="28" t="n">
        <f aca="false">AX1724*$M1724</f>
        <v>0</v>
      </c>
      <c r="AZ1724" s="30" t="n">
        <v>58382</v>
      </c>
      <c r="BA1724" s="11" t="n">
        <v>1166640</v>
      </c>
      <c r="BB1724" s="31" t="n">
        <f aca="false">SUM(Q1724,S1724,U1724,W1724,Y1724,AA1724,AC1724,AE1724,AG1724,AI1724,AK1724,AM1724,AO1724,AQ1724,AS1724,AU1724,AW1724,AY1724)</f>
        <v>1166640</v>
      </c>
      <c r="BC1724" s="28" t="n">
        <f aca="false">BA1724-BB1724</f>
        <v>0</v>
      </c>
      <c r="BD1724" s="32" t="n">
        <f aca="false">SUM(P1724,R1724,T1724,V1724,X1724,Z1724,AB1724,AD1724,AF1724,AH1724,AJ1724,AL1724,AN1724,AP1724,AR1724,AT1724,AV1724,AX1724)</f>
        <v>58382</v>
      </c>
      <c r="BE1724" s="33" t="n">
        <f aca="false">AZ1724-BD1724</f>
        <v>0</v>
      </c>
      <c r="BF1724" s="34" t="n">
        <f aca="false">BD1724*M1724</f>
        <v>1167640</v>
      </c>
      <c r="BG1724" s="35" t="n">
        <f aca="false">BA1724-BF1724</f>
        <v>-1000</v>
      </c>
      <c r="BH1724" s="19" t="str">
        <f aca="false">IF(BG1724=0,"",IF(BG1724&lt;&gt;BA1724,"erreur de calcul",IF(BD1724&lt;&gt;0,"pas de prix",IF(M1724&lt;&gt; 0,"pas de quantité","pas de prix, ni de quantité"))))</f>
        <v>erreur de calcul</v>
      </c>
      <c r="BI1724" s="19"/>
    </row>
    <row r="1725" customFormat="false" ht="15" hidden="false" customHeight="false" outlineLevel="0" collapsed="false">
      <c r="A1725" s="0" t="n">
        <v>31</v>
      </c>
      <c r="B1725" s="8" t="s">
        <v>24</v>
      </c>
      <c r="C1725" s="9" t="s">
        <v>25</v>
      </c>
      <c r="D1725" s="9" t="s">
        <v>26</v>
      </c>
      <c r="E1725" s="10" t="n">
        <v>1789</v>
      </c>
      <c r="F1725" s="9" t="s">
        <v>27</v>
      </c>
      <c r="G1725" s="9" t="s">
        <v>27</v>
      </c>
      <c r="H1725" s="11" t="n">
        <v>26</v>
      </c>
      <c r="I1725" s="11" t="s">
        <v>402</v>
      </c>
      <c r="J1725" s="14" t="n">
        <v>17</v>
      </c>
      <c r="K1725" s="14"/>
      <c r="L1725" s="16"/>
      <c r="M1725" s="27" t="n">
        <f aca="false">J1725+(K1725/20)+(L1725/240)</f>
        <v>17</v>
      </c>
      <c r="N1725" s="17" t="s">
        <v>66</v>
      </c>
      <c r="O1725" s="11"/>
      <c r="P1725" s="28"/>
      <c r="Q1725" s="28" t="n">
        <f aca="false">P1725*$M1725</f>
        <v>0</v>
      </c>
      <c r="R1725" s="28"/>
      <c r="S1725" s="28" t="n">
        <f aca="false">R1725*$M1725</f>
        <v>0</v>
      </c>
      <c r="T1725" s="28" t="n">
        <v>126481</v>
      </c>
      <c r="U1725" s="28" t="n">
        <v>2150177</v>
      </c>
      <c r="V1725" s="28"/>
      <c r="W1725" s="28" t="n">
        <f aca="false">V1725*$M1725</f>
        <v>0</v>
      </c>
      <c r="X1725" s="28"/>
      <c r="Y1725" s="28" t="n">
        <f aca="false">X1725*$M1725</f>
        <v>0</v>
      </c>
      <c r="Z1725" s="28"/>
      <c r="AA1725" s="28" t="n">
        <f aca="false">Z1725*$M1725</f>
        <v>0</v>
      </c>
      <c r="AB1725" s="28"/>
      <c r="AC1725" s="28" t="n">
        <f aca="false">AB1725*$M1725</f>
        <v>0</v>
      </c>
      <c r="AD1725" s="28"/>
      <c r="AE1725" s="28" t="n">
        <f aca="false">AD1725*$M1725</f>
        <v>0</v>
      </c>
      <c r="AF1725" s="28"/>
      <c r="AG1725" s="28" t="n">
        <f aca="false">AF1725*$M1725</f>
        <v>0</v>
      </c>
      <c r="AH1725" s="28"/>
      <c r="AI1725" s="28" t="n">
        <f aca="false">AH1725*$M1725</f>
        <v>0</v>
      </c>
      <c r="AJ1725" s="28"/>
      <c r="AK1725" s="28" t="n">
        <f aca="false">AJ1725*$M1725</f>
        <v>0</v>
      </c>
      <c r="AL1725" s="28"/>
      <c r="AM1725" s="28" t="n">
        <f aca="false">AL1725*$M1725</f>
        <v>0</v>
      </c>
      <c r="AN1725" s="28"/>
      <c r="AO1725" s="28" t="n">
        <f aca="false">AN1725*$M1725</f>
        <v>0</v>
      </c>
      <c r="AP1725" s="28"/>
      <c r="AQ1725" s="28" t="n">
        <f aca="false">AP1725*$M1725</f>
        <v>0</v>
      </c>
      <c r="AR1725" s="28"/>
      <c r="AS1725" s="28" t="n">
        <f aca="false">AR1725*$M1725</f>
        <v>0</v>
      </c>
      <c r="AT1725" s="28"/>
      <c r="AU1725" s="28" t="n">
        <f aca="false">AT1725*$M1725</f>
        <v>0</v>
      </c>
      <c r="AV1725" s="28"/>
      <c r="AW1725" s="28" t="n">
        <f aca="false">AV1725*$M1725</f>
        <v>0</v>
      </c>
      <c r="AX1725" s="28"/>
      <c r="AY1725" s="28" t="n">
        <f aca="false">AX1725*$M1725</f>
        <v>0</v>
      </c>
      <c r="AZ1725" s="30" t="n">
        <v>126481</v>
      </c>
      <c r="BA1725" s="11" t="n">
        <v>2150177</v>
      </c>
      <c r="BB1725" s="31" t="n">
        <f aca="false">SUM(Q1725,S1725,U1725,W1725,Y1725,AA1725,AC1725,AE1725,AG1725,AI1725,AK1725,AM1725,AO1725,AQ1725,AS1725,AU1725,AW1725,AY1725)</f>
        <v>2150177</v>
      </c>
      <c r="BC1725" s="28" t="n">
        <f aca="false">BA1725-BB1725</f>
        <v>0</v>
      </c>
      <c r="BD1725" s="32" t="n">
        <f aca="false">SUM(P1725,R1725,T1725,V1725,X1725,Z1725,AB1725,AD1725,AF1725,AH1725,AJ1725,AL1725,AN1725,AP1725,AR1725,AT1725,AV1725,AX1725)</f>
        <v>126481</v>
      </c>
      <c r="BE1725" s="33" t="n">
        <f aca="false">AZ1725-BD1725</f>
        <v>0</v>
      </c>
      <c r="BF1725" s="34" t="n">
        <f aca="false">BD1725*M1725</f>
        <v>2150177</v>
      </c>
      <c r="BG1725" s="35" t="n">
        <f aca="false">BA1725-BF1725</f>
        <v>0</v>
      </c>
      <c r="BH1725" s="19" t="str">
        <f aca="false">IF(BG1725=0,"",IF(BG1725&lt;&gt;BA1725,"erreur de calcul",IF(BD1725&lt;&gt;0,"pas de prix",IF(M1725&lt;&gt; 0,"pas de quantité","pas de prix, ni de quantité"))))</f>
        <v/>
      </c>
      <c r="BI1725" s="19"/>
    </row>
    <row r="1726" customFormat="false" ht="15" hidden="false" customHeight="false" outlineLevel="0" collapsed="false">
      <c r="A1726" s="0" t="n">
        <v>32</v>
      </c>
      <c r="B1726" s="8" t="s">
        <v>24</v>
      </c>
      <c r="C1726" s="9" t="s">
        <v>25</v>
      </c>
      <c r="D1726" s="9" t="s">
        <v>26</v>
      </c>
      <c r="E1726" s="10" t="n">
        <v>1789</v>
      </c>
      <c r="F1726" s="9" t="s">
        <v>27</v>
      </c>
      <c r="G1726" s="9" t="s">
        <v>27</v>
      </c>
      <c r="H1726" s="11" t="n">
        <v>26</v>
      </c>
      <c r="I1726" s="11" t="s">
        <v>403</v>
      </c>
      <c r="J1726" s="14" t="n">
        <v>28</v>
      </c>
      <c r="K1726" s="14"/>
      <c r="L1726" s="16"/>
      <c r="M1726" s="27" t="n">
        <f aca="false">J1726+(K1726/20)+(L1726/240)</f>
        <v>28</v>
      </c>
      <c r="N1726" s="17" t="s">
        <v>66</v>
      </c>
      <c r="O1726" s="11"/>
      <c r="P1726" s="28"/>
      <c r="Q1726" s="28" t="n">
        <f aca="false">P1726*$M1726</f>
        <v>0</v>
      </c>
      <c r="R1726" s="28"/>
      <c r="S1726" s="28" t="n">
        <f aca="false">R1726*$M1726</f>
        <v>0</v>
      </c>
      <c r="T1726" s="28"/>
      <c r="U1726" s="28" t="n">
        <f aca="false">T1726*$M1726</f>
        <v>0</v>
      </c>
      <c r="V1726" s="28" t="n">
        <v>1923</v>
      </c>
      <c r="W1726" s="28" t="n">
        <v>53844</v>
      </c>
      <c r="X1726" s="28" t="n">
        <v>7280</v>
      </c>
      <c r="Y1726" s="36" t="n">
        <v>203860</v>
      </c>
      <c r="Z1726" s="28"/>
      <c r="AA1726" s="28" t="n">
        <f aca="false">Z1726*$M1726</f>
        <v>0</v>
      </c>
      <c r="AB1726" s="28" t="n">
        <v>128803</v>
      </c>
      <c r="AC1726" s="28" t="n">
        <v>3606484</v>
      </c>
      <c r="AD1726" s="28"/>
      <c r="AE1726" s="28" t="n">
        <f aca="false">AD1726*$M1726</f>
        <v>0</v>
      </c>
      <c r="AF1726" s="28"/>
      <c r="AG1726" s="28" t="n">
        <f aca="false">AF1726*$M1726</f>
        <v>0</v>
      </c>
      <c r="AH1726" s="28"/>
      <c r="AI1726" s="28" t="n">
        <f aca="false">AH1726*$M1726</f>
        <v>0</v>
      </c>
      <c r="AJ1726" s="28"/>
      <c r="AK1726" s="28" t="n">
        <f aca="false">AJ1726*$M1726</f>
        <v>0</v>
      </c>
      <c r="AL1726" s="28"/>
      <c r="AM1726" s="28" t="n">
        <f aca="false">AL1726*$M1726</f>
        <v>0</v>
      </c>
      <c r="AN1726" s="28"/>
      <c r="AO1726" s="28" t="n">
        <f aca="false">AN1726*$M1726</f>
        <v>0</v>
      </c>
      <c r="AP1726" s="28"/>
      <c r="AQ1726" s="28" t="n">
        <f aca="false">AP1726*$M1726</f>
        <v>0</v>
      </c>
      <c r="AR1726" s="28"/>
      <c r="AS1726" s="28" t="n">
        <f aca="false">AR1726*$M1726</f>
        <v>0</v>
      </c>
      <c r="AT1726" s="28"/>
      <c r="AU1726" s="28" t="n">
        <f aca="false">AT1726*$M1726</f>
        <v>0</v>
      </c>
      <c r="AV1726" s="28"/>
      <c r="AW1726" s="28" t="n">
        <f aca="false">AV1726*$M1726</f>
        <v>0</v>
      </c>
      <c r="AX1726" s="28"/>
      <c r="AY1726" s="28" t="n">
        <f aca="false">AX1726*$M1726</f>
        <v>0</v>
      </c>
      <c r="AZ1726" s="30" t="n">
        <v>138006</v>
      </c>
      <c r="BA1726" s="11" t="n">
        <v>3864188</v>
      </c>
      <c r="BB1726" s="31" t="n">
        <f aca="false">SUM(Q1726,S1726,U1726,W1726,Y1726,AA1726,AC1726,AE1726,AG1726,AI1726,AK1726,AM1726,AO1726,AQ1726,AS1726,AU1726,AW1726,AY1726)</f>
        <v>3864188</v>
      </c>
      <c r="BC1726" s="28" t="n">
        <f aca="false">BA1726-BB1726</f>
        <v>0</v>
      </c>
      <c r="BD1726" s="32" t="n">
        <f aca="false">SUM(P1726,R1726,T1726,V1726,X1726,Z1726,AB1726,AD1726,AF1726,AH1726,AJ1726,AL1726,AN1726,AP1726,AR1726,AT1726,AV1726,AX1726)</f>
        <v>138006</v>
      </c>
      <c r="BE1726" s="33" t="n">
        <f aca="false">AZ1726-BD1726</f>
        <v>0</v>
      </c>
      <c r="BF1726" s="34" t="n">
        <f aca="false">BD1726*M1726</f>
        <v>3864168</v>
      </c>
      <c r="BG1726" s="35" t="n">
        <f aca="false">BA1726-BF1726</f>
        <v>20</v>
      </c>
      <c r="BH1726" s="19" t="str">
        <f aca="false">IF(BG1726=0,"",IF(BG1726&lt;&gt;BA1726,"erreur de calcul",IF(BD1726&lt;&gt;0,"pas de prix",IF(M1726&lt;&gt; 0,"pas de quantité","pas de prix, ni de quantité"))))</f>
        <v>erreur de calcul</v>
      </c>
      <c r="BI1726" s="19"/>
    </row>
    <row r="1727" customFormat="false" ht="15" hidden="false" customHeight="false" outlineLevel="0" collapsed="false">
      <c r="A1727" s="0" t="n">
        <v>33</v>
      </c>
      <c r="B1727" s="8" t="s">
        <v>24</v>
      </c>
      <c r="C1727" s="9" t="s">
        <v>25</v>
      </c>
      <c r="D1727" s="9" t="s">
        <v>26</v>
      </c>
      <c r="E1727" s="10" t="n">
        <v>1789</v>
      </c>
      <c r="F1727" s="9" t="s">
        <v>27</v>
      </c>
      <c r="G1727" s="9" t="s">
        <v>27</v>
      </c>
      <c r="H1727" s="11" t="n">
        <v>26</v>
      </c>
      <c r="I1727" s="11" t="s">
        <v>404</v>
      </c>
      <c r="J1727" s="14"/>
      <c r="K1727" s="14" t="n">
        <v>30</v>
      </c>
      <c r="L1727" s="16"/>
      <c r="M1727" s="27" t="n">
        <f aca="false">J1727+(K1727/20)+(L1727/240)</f>
        <v>1.5</v>
      </c>
      <c r="N1727" s="17" t="s">
        <v>66</v>
      </c>
      <c r="O1727" s="11"/>
      <c r="P1727" s="28"/>
      <c r="Q1727" s="28" t="n">
        <f aca="false">P1727*$M1727</f>
        <v>0</v>
      </c>
      <c r="R1727" s="28"/>
      <c r="S1727" s="28" t="n">
        <f aca="false">R1727*$M1727</f>
        <v>0</v>
      </c>
      <c r="T1727" s="28" t="n">
        <v>11245</v>
      </c>
      <c r="U1727" s="28" t="n">
        <v>16867</v>
      </c>
      <c r="V1727" s="28"/>
      <c r="W1727" s="28" t="n">
        <f aca="false">V1727*$M1727</f>
        <v>0</v>
      </c>
      <c r="X1727" s="28"/>
      <c r="Y1727" s="28" t="n">
        <f aca="false">X1727*$M1727</f>
        <v>0</v>
      </c>
      <c r="Z1727" s="28"/>
      <c r="AA1727" s="28" t="n">
        <f aca="false">Z1727*$M1727</f>
        <v>0</v>
      </c>
      <c r="AB1727" s="28"/>
      <c r="AC1727" s="28" t="n">
        <f aca="false">AB1727*$M1727</f>
        <v>0</v>
      </c>
      <c r="AD1727" s="28"/>
      <c r="AE1727" s="28" t="n">
        <f aca="false">AD1727*$M1727</f>
        <v>0</v>
      </c>
      <c r="AF1727" s="28"/>
      <c r="AG1727" s="28" t="n">
        <f aca="false">AF1727*$M1727</f>
        <v>0</v>
      </c>
      <c r="AH1727" s="28"/>
      <c r="AI1727" s="28" t="n">
        <f aca="false">AH1727*$M1727</f>
        <v>0</v>
      </c>
      <c r="AJ1727" s="28"/>
      <c r="AK1727" s="28" t="n">
        <f aca="false">AJ1727*$M1727</f>
        <v>0</v>
      </c>
      <c r="AL1727" s="28"/>
      <c r="AM1727" s="28" t="n">
        <f aca="false">AL1727*$M1727</f>
        <v>0</v>
      </c>
      <c r="AN1727" s="28"/>
      <c r="AO1727" s="28" t="n">
        <f aca="false">AN1727*$M1727</f>
        <v>0</v>
      </c>
      <c r="AP1727" s="28"/>
      <c r="AQ1727" s="28" t="n">
        <f aca="false">AP1727*$M1727</f>
        <v>0</v>
      </c>
      <c r="AR1727" s="28"/>
      <c r="AS1727" s="28" t="n">
        <f aca="false">AR1727*$M1727</f>
        <v>0</v>
      </c>
      <c r="AT1727" s="28"/>
      <c r="AU1727" s="28" t="n">
        <f aca="false">AT1727*$M1727</f>
        <v>0</v>
      </c>
      <c r="AV1727" s="28"/>
      <c r="AW1727" s="28" t="n">
        <f aca="false">AV1727*$M1727</f>
        <v>0</v>
      </c>
      <c r="AX1727" s="28"/>
      <c r="AY1727" s="28" t="n">
        <f aca="false">AX1727*$M1727</f>
        <v>0</v>
      </c>
      <c r="AZ1727" s="30" t="n">
        <v>11245</v>
      </c>
      <c r="BA1727" s="11" t="n">
        <v>16867</v>
      </c>
      <c r="BB1727" s="31" t="n">
        <f aca="false">SUM(Q1727,S1727,U1727,W1727,Y1727,AA1727,AC1727,AE1727,AG1727,AI1727,AK1727,AM1727,AO1727,AQ1727,AS1727,AU1727,AW1727,AY1727)</f>
        <v>16867</v>
      </c>
      <c r="BC1727" s="28" t="n">
        <f aca="false">BA1727-BB1727</f>
        <v>0</v>
      </c>
      <c r="BD1727" s="32" t="n">
        <f aca="false">SUM(P1727,R1727,T1727,V1727,X1727,Z1727,AB1727,AD1727,AF1727,AH1727,AJ1727,AL1727,AN1727,AP1727,AR1727,AT1727,AV1727,AX1727)</f>
        <v>11245</v>
      </c>
      <c r="BE1727" s="33" t="n">
        <f aca="false">AZ1727-BD1727</f>
        <v>0</v>
      </c>
      <c r="BF1727" s="34" t="n">
        <f aca="false">BD1727*M1727</f>
        <v>16867.5</v>
      </c>
      <c r="BG1727" s="35" t="n">
        <f aca="false">BA1727-BF1727</f>
        <v>-0.5</v>
      </c>
      <c r="BH1727" s="19" t="str">
        <f aca="false">IF(BG1727=0,"",IF(BG1727&lt;&gt;BA1727,"erreur de calcul",IF(BD1727&lt;&gt;0,"pas de prix",IF(M1727&lt;&gt; 0,"pas de quantité","pas de prix, ni de quantité"))))</f>
        <v>erreur de calcul</v>
      </c>
      <c r="BI1727" s="19"/>
    </row>
    <row r="1728" customFormat="false" ht="15" hidden="false" customHeight="false" outlineLevel="0" collapsed="false">
      <c r="A1728" s="0" t="n">
        <v>34</v>
      </c>
      <c r="B1728" s="8" t="s">
        <v>24</v>
      </c>
      <c r="C1728" s="9" t="s">
        <v>25</v>
      </c>
      <c r="D1728" s="9" t="s">
        <v>26</v>
      </c>
      <c r="E1728" s="10" t="n">
        <v>1789</v>
      </c>
      <c r="F1728" s="9" t="s">
        <v>27</v>
      </c>
      <c r="G1728" s="9" t="s">
        <v>27</v>
      </c>
      <c r="H1728" s="11" t="n">
        <v>26</v>
      </c>
      <c r="I1728" s="11" t="s">
        <v>405</v>
      </c>
      <c r="J1728" s="14"/>
      <c r="K1728" s="14" t="n">
        <v>40</v>
      </c>
      <c r="L1728" s="16"/>
      <c r="M1728" s="27" t="n">
        <f aca="false">J1728+(K1728/20)+(L1728/240)</f>
        <v>2</v>
      </c>
      <c r="N1728" s="17" t="s">
        <v>66</v>
      </c>
      <c r="O1728" s="11"/>
      <c r="P1728" s="28"/>
      <c r="Q1728" s="28" t="n">
        <f aca="false">P1728*$M1728</f>
        <v>0</v>
      </c>
      <c r="R1728" s="28"/>
      <c r="S1728" s="28" t="n">
        <f aca="false">R1728*$M1728</f>
        <v>0</v>
      </c>
      <c r="T1728" s="28"/>
      <c r="U1728" s="28" t="n">
        <f aca="false">T1728*$M1728</f>
        <v>0</v>
      </c>
      <c r="V1728" s="28"/>
      <c r="W1728" s="28" t="n">
        <f aca="false">V1728*$M1728</f>
        <v>0</v>
      </c>
      <c r="X1728" s="28"/>
      <c r="Y1728" s="28" t="n">
        <f aca="false">X1728*$M1728</f>
        <v>0</v>
      </c>
      <c r="Z1728" s="28"/>
      <c r="AA1728" s="28" t="n">
        <f aca="false">Z1728*$M1728</f>
        <v>0</v>
      </c>
      <c r="AB1728" s="28"/>
      <c r="AC1728" s="28" t="n">
        <f aca="false">AB1728*$M1728</f>
        <v>0</v>
      </c>
      <c r="AD1728" s="28"/>
      <c r="AE1728" s="28" t="n">
        <f aca="false">AD1728*$M1728</f>
        <v>0</v>
      </c>
      <c r="AF1728" s="28"/>
      <c r="AG1728" s="28" t="n">
        <f aca="false">AF1728*$M1728</f>
        <v>0</v>
      </c>
      <c r="AH1728" s="28" t="n">
        <v>9380</v>
      </c>
      <c r="AI1728" s="28" t="n">
        <v>18760</v>
      </c>
      <c r="AJ1728" s="28"/>
      <c r="AK1728" s="28" t="n">
        <f aca="false">AJ1728*$M1728</f>
        <v>0</v>
      </c>
      <c r="AL1728" s="28"/>
      <c r="AM1728" s="28" t="n">
        <f aca="false">AL1728*$M1728</f>
        <v>0</v>
      </c>
      <c r="AN1728" s="28"/>
      <c r="AO1728" s="28" t="n">
        <f aca="false">AN1728*$M1728</f>
        <v>0</v>
      </c>
      <c r="AP1728" s="28"/>
      <c r="AQ1728" s="28" t="n">
        <f aca="false">AP1728*$M1728</f>
        <v>0</v>
      </c>
      <c r="AR1728" s="28"/>
      <c r="AS1728" s="28" t="n">
        <f aca="false">AR1728*$M1728</f>
        <v>0</v>
      </c>
      <c r="AT1728" s="28"/>
      <c r="AU1728" s="28" t="n">
        <f aca="false">AT1728*$M1728</f>
        <v>0</v>
      </c>
      <c r="AV1728" s="28"/>
      <c r="AW1728" s="28" t="n">
        <f aca="false">AV1728*$M1728</f>
        <v>0</v>
      </c>
      <c r="AX1728" s="28"/>
      <c r="AY1728" s="28" t="n">
        <f aca="false">AX1728*$M1728</f>
        <v>0</v>
      </c>
      <c r="AZ1728" s="30" t="n">
        <v>9380</v>
      </c>
      <c r="BA1728" s="11" t="n">
        <v>18760</v>
      </c>
      <c r="BB1728" s="31" t="n">
        <f aca="false">SUM(Q1728,S1728,U1728,W1728,Y1728,AA1728,AC1728,AE1728,AG1728,AI1728,AK1728,AM1728,AO1728,AQ1728,AS1728,AU1728,AW1728,AY1728)</f>
        <v>18760</v>
      </c>
      <c r="BC1728" s="28" t="n">
        <f aca="false">BA1728-BB1728</f>
        <v>0</v>
      </c>
      <c r="BD1728" s="32" t="n">
        <f aca="false">SUM(P1728,R1728,T1728,V1728,X1728,Z1728,AB1728,AD1728,AF1728,AH1728,AJ1728,AL1728,AN1728,AP1728,AR1728,AT1728,AV1728,AX1728)</f>
        <v>9380</v>
      </c>
      <c r="BE1728" s="33" t="n">
        <f aca="false">AZ1728-BD1728</f>
        <v>0</v>
      </c>
      <c r="BF1728" s="34" t="n">
        <f aca="false">BD1728*M1728</f>
        <v>18760</v>
      </c>
      <c r="BG1728" s="35" t="n">
        <f aca="false">BA1728-BF1728</f>
        <v>0</v>
      </c>
      <c r="BH1728" s="19" t="str">
        <f aca="false">IF(BG1728=0,"",IF(BG1728&lt;&gt;BA1728,"erreur de calcul",IF(BD1728&lt;&gt;0,"pas de prix",IF(M1728&lt;&gt; 0,"pas de quantité","pas de prix, ni de quantité"))))</f>
        <v/>
      </c>
      <c r="BI1728" s="19"/>
    </row>
    <row r="1729" customFormat="false" ht="15" hidden="false" customHeight="false" outlineLevel="0" collapsed="false">
      <c r="A1729" s="0" t="n">
        <v>35</v>
      </c>
      <c r="B1729" s="8" t="s">
        <v>24</v>
      </c>
      <c r="C1729" s="9" t="s">
        <v>25</v>
      </c>
      <c r="D1729" s="9" t="s">
        <v>26</v>
      </c>
      <c r="E1729" s="10" t="n">
        <v>1789</v>
      </c>
      <c r="F1729" s="9" t="s">
        <v>27</v>
      </c>
      <c r="G1729" s="9" t="s">
        <v>27</v>
      </c>
      <c r="H1729" s="11" t="n">
        <v>26</v>
      </c>
      <c r="I1729" s="11" t="s">
        <v>406</v>
      </c>
      <c r="J1729" s="14" t="n">
        <v>55</v>
      </c>
      <c r="K1729" s="14"/>
      <c r="L1729" s="16"/>
      <c r="M1729" s="27" t="n">
        <f aca="false">J1729+(K1729/20)+(L1729/240)</f>
        <v>55</v>
      </c>
      <c r="N1729" s="17" t="s">
        <v>64</v>
      </c>
      <c r="O1729" s="11"/>
      <c r="P1729" s="28" t="n">
        <f aca="false">634/100</f>
        <v>6.34</v>
      </c>
      <c r="Q1729" s="28" t="n">
        <v>349</v>
      </c>
      <c r="R1729" s="28"/>
      <c r="S1729" s="28" t="n">
        <f aca="false">R1729*$M1729</f>
        <v>0</v>
      </c>
      <c r="T1729" s="28" t="n">
        <f aca="false">2450/100</f>
        <v>24.5</v>
      </c>
      <c r="U1729" s="28" t="n">
        <v>1347</v>
      </c>
      <c r="V1729" s="28" t="n">
        <f aca="false">9685/100</f>
        <v>96.85</v>
      </c>
      <c r="W1729" s="28" t="n">
        <v>5327</v>
      </c>
      <c r="X1729" s="28"/>
      <c r="Y1729" s="28" t="n">
        <f aca="false">X1729*$M1729</f>
        <v>0</v>
      </c>
      <c r="Z1729" s="28"/>
      <c r="AA1729" s="28" t="n">
        <f aca="false">Z1729*$M1729</f>
        <v>0</v>
      </c>
      <c r="AB1729" s="28"/>
      <c r="AC1729" s="28" t="n">
        <f aca="false">AB1729*$M1729</f>
        <v>0</v>
      </c>
      <c r="AD1729" s="28"/>
      <c r="AE1729" s="28" t="n">
        <f aca="false">AD1729*$M1729</f>
        <v>0</v>
      </c>
      <c r="AF1729" s="28"/>
      <c r="AG1729" s="28" t="n">
        <f aca="false">AF1729*$M1729</f>
        <v>0</v>
      </c>
      <c r="AH1729" s="28"/>
      <c r="AI1729" s="28" t="n">
        <f aca="false">AH1729*$M1729</f>
        <v>0</v>
      </c>
      <c r="AJ1729" s="28"/>
      <c r="AK1729" s="28" t="n">
        <f aca="false">AJ1729*$M1729</f>
        <v>0</v>
      </c>
      <c r="AL1729" s="28"/>
      <c r="AM1729" s="28" t="n">
        <f aca="false">AL1729*$M1729</f>
        <v>0</v>
      </c>
      <c r="AN1729" s="28"/>
      <c r="AO1729" s="28" t="n">
        <f aca="false">AN1729*$M1729</f>
        <v>0</v>
      </c>
      <c r="AP1729" s="28"/>
      <c r="AQ1729" s="28" t="n">
        <f aca="false">AP1729*$M1729</f>
        <v>0</v>
      </c>
      <c r="AR1729" s="28"/>
      <c r="AS1729" s="28" t="n">
        <f aca="false">AR1729*$M1729</f>
        <v>0</v>
      </c>
      <c r="AT1729" s="28"/>
      <c r="AU1729" s="28" t="n">
        <f aca="false">AT1729*$M1729</f>
        <v>0</v>
      </c>
      <c r="AV1729" s="28"/>
      <c r="AW1729" s="28" t="n">
        <f aca="false">AV1729*$M1729</f>
        <v>0</v>
      </c>
      <c r="AX1729" s="28"/>
      <c r="AY1729" s="28" t="n">
        <f aca="false">AX1729*$M1729</f>
        <v>0</v>
      </c>
      <c r="AZ1729" s="30" t="n">
        <f aca="false">12769/100</f>
        <v>127.69</v>
      </c>
      <c r="BA1729" s="11" t="n">
        <v>7023</v>
      </c>
      <c r="BB1729" s="31" t="n">
        <f aca="false">SUM(Q1729,S1729,U1729,W1729,Y1729,AA1729,AC1729,AE1729,AG1729,AI1729,AK1729,AM1729,AO1729,AQ1729,AS1729,AU1729,AW1729,AY1729)</f>
        <v>7023</v>
      </c>
      <c r="BC1729" s="28" t="n">
        <f aca="false">BA1729-BB1729</f>
        <v>0</v>
      </c>
      <c r="BD1729" s="32" t="n">
        <f aca="false">SUM(P1729,R1729,T1729,V1729,X1729,Z1729,AB1729,AD1729,AF1729,AH1729,AJ1729,AL1729,AN1729,AP1729,AR1729,AT1729,AV1729,AX1729)</f>
        <v>127.69</v>
      </c>
      <c r="BE1729" s="33" t="n">
        <f aca="false">AZ1729-BD1729</f>
        <v>0</v>
      </c>
      <c r="BF1729" s="34" t="n">
        <f aca="false">BD1729*M1729</f>
        <v>7022.95</v>
      </c>
      <c r="BG1729" s="35" t="n">
        <f aca="false">BA1729-BF1729</f>
        <v>0.0500000000001819</v>
      </c>
      <c r="BH1729" s="19" t="str">
        <f aca="false">IF(BG1729=0,"",IF(BG1729&lt;&gt;BA1729,"erreur de calcul",IF(BD1729&lt;&gt;0,"pas de prix",IF(M1729&lt;&gt; 0,"pas de quantité","pas de prix, ni de quantité"))))</f>
        <v>erreur de calcul</v>
      </c>
      <c r="BI1729" s="19"/>
    </row>
    <row r="1730" customFormat="false" ht="15" hidden="false" customHeight="false" outlineLevel="0" collapsed="false">
      <c r="A1730" s="0" t="n">
        <v>36</v>
      </c>
      <c r="B1730" s="8" t="s">
        <v>24</v>
      </c>
      <c r="C1730" s="9" t="s">
        <v>25</v>
      </c>
      <c r="D1730" s="9" t="s">
        <v>26</v>
      </c>
      <c r="E1730" s="10" t="n">
        <v>1789</v>
      </c>
      <c r="F1730" s="9" t="s">
        <v>27</v>
      </c>
      <c r="G1730" s="9" t="s">
        <v>27</v>
      </c>
      <c r="H1730" s="11" t="n">
        <v>26</v>
      </c>
      <c r="I1730" s="11" t="s">
        <v>407</v>
      </c>
      <c r="J1730" s="14" t="n">
        <v>44</v>
      </c>
      <c r="K1730" s="14"/>
      <c r="L1730" s="16"/>
      <c r="M1730" s="27" t="n">
        <f aca="false">J1730+(K1730/20)+(L1730/240)</f>
        <v>44</v>
      </c>
      <c r="N1730" s="17" t="s">
        <v>64</v>
      </c>
      <c r="O1730" s="11" t="s">
        <v>77</v>
      </c>
      <c r="P1730" s="28" t="n">
        <f aca="false">68669/100</f>
        <v>686.69</v>
      </c>
      <c r="Q1730" s="28" t="n">
        <v>30214</v>
      </c>
      <c r="R1730" s="28"/>
      <c r="S1730" s="28" t="n">
        <f aca="false">R1730*$M1730</f>
        <v>0</v>
      </c>
      <c r="T1730" s="28" t="n">
        <f aca="false">7101/100</f>
        <v>71.01</v>
      </c>
      <c r="U1730" s="28" t="n">
        <v>3124</v>
      </c>
      <c r="V1730" s="28" t="n">
        <f aca="false">27549/100</f>
        <v>275.49</v>
      </c>
      <c r="W1730" s="28" t="n">
        <v>12121</v>
      </c>
      <c r="X1730" s="28" t="n">
        <f aca="false">947914/100</f>
        <v>9479.14</v>
      </c>
      <c r="Y1730" s="28" t="n">
        <v>417082</v>
      </c>
      <c r="Z1730" s="28" t="n">
        <f aca="false">183606/100</f>
        <v>1836.06</v>
      </c>
      <c r="AA1730" s="28" t="n">
        <v>80787</v>
      </c>
      <c r="AB1730" s="28" t="n">
        <f aca="false">36047/100</f>
        <v>360.47</v>
      </c>
      <c r="AC1730" s="28" t="n">
        <v>15861</v>
      </c>
      <c r="AD1730" s="28" t="n">
        <f aca="false">12322/100</f>
        <v>123.22</v>
      </c>
      <c r="AE1730" s="28" t="n">
        <v>5422</v>
      </c>
      <c r="AF1730" s="28"/>
      <c r="AG1730" s="28" t="n">
        <f aca="false">AF1730*$M1730</f>
        <v>0</v>
      </c>
      <c r="AH1730" s="28" t="n">
        <f aca="false">3318/100</f>
        <v>33.18</v>
      </c>
      <c r="AI1730" s="28" t="n">
        <v>1460</v>
      </c>
      <c r="AJ1730" s="28"/>
      <c r="AK1730" s="28" t="n">
        <f aca="false">AJ1730*$M1730</f>
        <v>0</v>
      </c>
      <c r="AL1730" s="28" t="n">
        <f aca="false">28260/100</f>
        <v>282.6</v>
      </c>
      <c r="AM1730" s="28" t="n">
        <v>12434</v>
      </c>
      <c r="AN1730" s="28"/>
      <c r="AO1730" s="28" t="n">
        <f aca="false">AN1730*$M1730</f>
        <v>0</v>
      </c>
      <c r="AP1730" s="28"/>
      <c r="AQ1730" s="28" t="n">
        <f aca="false">AP1730*$M1730</f>
        <v>0</v>
      </c>
      <c r="AR1730" s="28"/>
      <c r="AS1730" s="28" t="n">
        <f aca="false">AR1730*$M1730</f>
        <v>0</v>
      </c>
      <c r="AT1730" s="28"/>
      <c r="AU1730" s="28" t="n">
        <f aca="false">AT1730*$M1730</f>
        <v>0</v>
      </c>
      <c r="AV1730" s="28"/>
      <c r="AW1730" s="28" t="n">
        <f aca="false">AV1730*$M1730</f>
        <v>0</v>
      </c>
      <c r="AX1730" s="28"/>
      <c r="AY1730" s="28" t="n">
        <f aca="false">AX1730*$M1730</f>
        <v>0</v>
      </c>
      <c r="AZ1730" s="30" t="n">
        <f aca="false">1314786/100</f>
        <v>13147.86</v>
      </c>
      <c r="BA1730" s="11" t="n">
        <v>578505</v>
      </c>
      <c r="BB1730" s="31" t="n">
        <f aca="false">SUM(Q1730,S1730,U1730,W1730,Y1730,AA1730,AC1730,AE1730,AG1730,AI1730,AK1730,AM1730,AO1730,AQ1730,AS1730,AU1730,AW1730,AY1730)</f>
        <v>578505</v>
      </c>
      <c r="BC1730" s="28" t="n">
        <f aca="false">BA1730-BB1730</f>
        <v>0</v>
      </c>
      <c r="BD1730" s="32" t="n">
        <f aca="false">SUM(P1730,R1730,T1730,V1730,X1730,Z1730,AB1730,AD1730,AF1730,AH1730,AJ1730,AL1730,AN1730,AP1730,AR1730,AT1730,AV1730,AX1730)</f>
        <v>13147.86</v>
      </c>
      <c r="BE1730" s="33" t="n">
        <f aca="false">AZ1730-BD1730</f>
        <v>0</v>
      </c>
      <c r="BF1730" s="34" t="n">
        <f aca="false">BD1730*M1730</f>
        <v>578505.84</v>
      </c>
      <c r="BG1730" s="35" t="n">
        <f aca="false">BA1730-BF1730</f>
        <v>-0.839999999967404</v>
      </c>
      <c r="BH1730" s="19" t="str">
        <f aca="false">IF(BG1730=0,"",IF(BG1730&lt;&gt;BA1730,"erreur de calcul",IF(BD1730&lt;&gt;0,"pas de prix",IF(M1730&lt;&gt; 0,"pas de quantité","pas de prix, ni de quantité"))))</f>
        <v>erreur de calcul</v>
      </c>
      <c r="BI1730" s="19"/>
    </row>
    <row r="1731" customFormat="false" ht="15" hidden="false" customHeight="false" outlineLevel="0" collapsed="false">
      <c r="A1731" s="0" t="n">
        <v>37</v>
      </c>
      <c r="B1731" s="8" t="s">
        <v>24</v>
      </c>
      <c r="C1731" s="9" t="s">
        <v>25</v>
      </c>
      <c r="D1731" s="9" t="s">
        <v>26</v>
      </c>
      <c r="E1731" s="10" t="n">
        <v>1789</v>
      </c>
      <c r="F1731" s="9" t="s">
        <v>27</v>
      </c>
      <c r="G1731" s="9" t="s">
        <v>27</v>
      </c>
      <c r="H1731" s="11" t="n">
        <v>26</v>
      </c>
      <c r="I1731" s="11" t="s">
        <v>408</v>
      </c>
      <c r="J1731" s="14" t="n">
        <v>40</v>
      </c>
      <c r="K1731" s="14"/>
      <c r="L1731" s="16"/>
      <c r="M1731" s="27" t="n">
        <f aca="false">J1731+(K1731/20)+(L1731/240)</f>
        <v>40</v>
      </c>
      <c r="N1731" s="17" t="s">
        <v>64</v>
      </c>
      <c r="O1731" s="11"/>
      <c r="P1731" s="28"/>
      <c r="Q1731" s="28" t="n">
        <f aca="false">P1731*$M1731</f>
        <v>0</v>
      </c>
      <c r="R1731" s="28"/>
      <c r="S1731" s="28" t="n">
        <f aca="false">R1731*$M1731</f>
        <v>0</v>
      </c>
      <c r="T1731" s="28"/>
      <c r="U1731" s="28" t="n">
        <f aca="false">T1731*$M1731</f>
        <v>0</v>
      </c>
      <c r="V1731" s="28" t="n">
        <f aca="false">4827/100</f>
        <v>48.27</v>
      </c>
      <c r="W1731" s="28" t="n">
        <v>1931</v>
      </c>
      <c r="X1731" s="28"/>
      <c r="Y1731" s="28" t="n">
        <f aca="false">X1731*$M1731</f>
        <v>0</v>
      </c>
      <c r="Z1731" s="28"/>
      <c r="AA1731" s="28" t="n">
        <f aca="false">Z1731*$M1731</f>
        <v>0</v>
      </c>
      <c r="AB1731" s="28"/>
      <c r="AC1731" s="28" t="n">
        <f aca="false">AB1731*$M1731</f>
        <v>0</v>
      </c>
      <c r="AD1731" s="28"/>
      <c r="AE1731" s="28" t="n">
        <f aca="false">AD1731*$M1731</f>
        <v>0</v>
      </c>
      <c r="AF1731" s="28"/>
      <c r="AG1731" s="28" t="n">
        <f aca="false">AF1731*$M1731</f>
        <v>0</v>
      </c>
      <c r="AH1731" s="28"/>
      <c r="AI1731" s="28" t="n">
        <f aca="false">AH1731*$M1731</f>
        <v>0</v>
      </c>
      <c r="AJ1731" s="28"/>
      <c r="AK1731" s="28" t="n">
        <f aca="false">AJ1731*$M1731</f>
        <v>0</v>
      </c>
      <c r="AL1731" s="28"/>
      <c r="AM1731" s="28" t="n">
        <f aca="false">AL1731*$M1731</f>
        <v>0</v>
      </c>
      <c r="AN1731" s="28"/>
      <c r="AO1731" s="28" t="n">
        <f aca="false">AN1731*$M1731</f>
        <v>0</v>
      </c>
      <c r="AP1731" s="28"/>
      <c r="AQ1731" s="28" t="n">
        <f aca="false">AP1731*$M1731</f>
        <v>0</v>
      </c>
      <c r="AR1731" s="28"/>
      <c r="AS1731" s="28" t="n">
        <f aca="false">AR1731*$M1731</f>
        <v>0</v>
      </c>
      <c r="AT1731" s="28"/>
      <c r="AU1731" s="28" t="n">
        <f aca="false">AT1731*$M1731</f>
        <v>0</v>
      </c>
      <c r="AV1731" s="28"/>
      <c r="AW1731" s="28" t="n">
        <f aca="false">AV1731*$M1731</f>
        <v>0</v>
      </c>
      <c r="AX1731" s="28" t="n">
        <f aca="false">835109/100</f>
        <v>8351.09</v>
      </c>
      <c r="AY1731" s="28" t="n">
        <v>334044</v>
      </c>
      <c r="AZ1731" s="30" t="n">
        <f aca="false">839936/100</f>
        <v>8399.36</v>
      </c>
      <c r="BA1731" s="11" t="n">
        <v>335975</v>
      </c>
      <c r="BB1731" s="31" t="n">
        <f aca="false">SUM(Q1731,S1731,U1731,W1731,Y1731,AA1731,AC1731,AE1731,AG1731,AI1731,AK1731,AM1731,AO1731,AQ1731,AS1731,AU1731,AW1731,AY1731)</f>
        <v>335975</v>
      </c>
      <c r="BC1731" s="28" t="n">
        <f aca="false">BA1731-BB1731</f>
        <v>0</v>
      </c>
      <c r="BD1731" s="32" t="n">
        <f aca="false">SUM(P1731,R1731,T1731,V1731,X1731,Z1731,AB1731,AD1731,AF1731,AH1731,AJ1731,AL1731,AN1731,AP1731,AR1731,AT1731,AV1731,AX1731)</f>
        <v>8399.36</v>
      </c>
      <c r="BE1731" s="33" t="n">
        <f aca="false">AZ1731-BD1731</f>
        <v>0</v>
      </c>
      <c r="BF1731" s="34" t="n">
        <f aca="false">BD1731*M1731</f>
        <v>335974.4</v>
      </c>
      <c r="BG1731" s="35" t="n">
        <f aca="false">BA1731-BF1731</f>
        <v>0.599999999976717</v>
      </c>
      <c r="BH1731" s="19" t="str">
        <f aca="false">IF(BG1731=0,"",IF(BG1731&lt;&gt;BA1731,"erreur de calcul",IF(BD1731&lt;&gt;0,"pas de prix",IF(M1731&lt;&gt; 0,"pas de quantité","pas de prix, ni de quantité"))))</f>
        <v>erreur de calcul</v>
      </c>
      <c r="BI1731" s="19"/>
    </row>
    <row r="1732" customFormat="false" ht="16.65" hidden="false" customHeight="false" outlineLevel="0" collapsed="false">
      <c r="A1732" s="0" t="n">
        <v>38</v>
      </c>
      <c r="B1732" s="8" t="s">
        <v>24</v>
      </c>
      <c r="C1732" s="9" t="s">
        <v>25</v>
      </c>
      <c r="D1732" s="9" t="s">
        <v>26</v>
      </c>
      <c r="E1732" s="10" t="n">
        <v>1789</v>
      </c>
      <c r="F1732" s="9" t="s">
        <v>27</v>
      </c>
      <c r="G1732" s="9" t="s">
        <v>27</v>
      </c>
      <c r="H1732" s="11" t="n">
        <v>26</v>
      </c>
      <c r="I1732" s="11" t="s">
        <v>409</v>
      </c>
      <c r="J1732" s="14"/>
      <c r="K1732" s="14" t="n">
        <v>13</v>
      </c>
      <c r="L1732" s="16"/>
      <c r="M1732" s="27" t="n">
        <f aca="false">J1732+(K1732/20)+(L1732/240)</f>
        <v>0.65</v>
      </c>
      <c r="N1732" s="17" t="s">
        <v>64</v>
      </c>
      <c r="O1732" s="11"/>
      <c r="P1732" s="28"/>
      <c r="Q1732" s="28" t="n">
        <f aca="false">P1732*$M1732</f>
        <v>0</v>
      </c>
      <c r="R1732" s="28"/>
      <c r="S1732" s="28" t="n">
        <f aca="false">R1732*$M1732</f>
        <v>0</v>
      </c>
      <c r="T1732" s="28"/>
      <c r="U1732" s="28" t="n">
        <f aca="false">T1732*$M1732</f>
        <v>0</v>
      </c>
      <c r="V1732" s="28"/>
      <c r="W1732" s="28" t="n">
        <f aca="false">V1732*$M1732</f>
        <v>0</v>
      </c>
      <c r="X1732" s="28"/>
      <c r="Y1732" s="28" t="n">
        <f aca="false">X1732*$M1732</f>
        <v>0</v>
      </c>
      <c r="Z1732" s="28" t="n">
        <f aca="false">2471002/100</f>
        <v>24710.02</v>
      </c>
      <c r="AA1732" s="28" t="n">
        <v>16061</v>
      </c>
      <c r="AB1732" s="28"/>
      <c r="AC1732" s="28" t="n">
        <f aca="false">AB1732*$M1732</f>
        <v>0</v>
      </c>
      <c r="AD1732" s="28"/>
      <c r="AE1732" s="28" t="n">
        <f aca="false">AD1732*$M1732</f>
        <v>0</v>
      </c>
      <c r="AF1732" s="28"/>
      <c r="AG1732" s="28" t="n">
        <f aca="false">AF1732*$M1732</f>
        <v>0</v>
      </c>
      <c r="AH1732" s="28"/>
      <c r="AI1732" s="28" t="n">
        <f aca="false">AH1732*$M1732</f>
        <v>0</v>
      </c>
      <c r="AJ1732" s="28"/>
      <c r="AK1732" s="28" t="n">
        <f aca="false">AJ1732*$M1732</f>
        <v>0</v>
      </c>
      <c r="AL1732" s="28"/>
      <c r="AM1732" s="28" t="n">
        <f aca="false">AL1732*$M1732</f>
        <v>0</v>
      </c>
      <c r="AN1732" s="28"/>
      <c r="AO1732" s="28" t="n">
        <f aca="false">AN1732*$M1732</f>
        <v>0</v>
      </c>
      <c r="AP1732" s="28"/>
      <c r="AQ1732" s="28" t="n">
        <f aca="false">AP1732*$M1732</f>
        <v>0</v>
      </c>
      <c r="AR1732" s="28"/>
      <c r="AS1732" s="28" t="n">
        <f aca="false">AR1732*$M1732</f>
        <v>0</v>
      </c>
      <c r="AT1732" s="28"/>
      <c r="AU1732" s="28" t="n">
        <f aca="false">AT1732*$M1732</f>
        <v>0</v>
      </c>
      <c r="AV1732" s="28"/>
      <c r="AW1732" s="28" t="n">
        <f aca="false">AV1732*$M1732</f>
        <v>0</v>
      </c>
      <c r="AX1732" s="28"/>
      <c r="AY1732" s="28" t="n">
        <f aca="false">AX1732*$M1732</f>
        <v>0</v>
      </c>
      <c r="AZ1732" s="30" t="n">
        <f aca="false">2471002</f>
        <v>2471002</v>
      </c>
      <c r="BA1732" s="11" t="n">
        <v>16061</v>
      </c>
      <c r="BB1732" s="31" t="n">
        <f aca="false">SUM(Q1732,S1732,U1732,W1732,Y1732,AA1732,AC1732,AE1732,AG1732,AI1732,AK1732,AM1732,AO1732,AQ1732,AS1732,AU1732,AW1732,AY1732)</f>
        <v>16061</v>
      </c>
      <c r="BC1732" s="28" t="n">
        <f aca="false">BA1732-BB1732</f>
        <v>0</v>
      </c>
      <c r="BD1732" s="32" t="n">
        <f aca="false">SUM(P1732,R1732,T1732,V1732,X1732,Z1732,AB1732,AD1732,AF1732,AH1732,AJ1732,AL1732,AN1732,AP1732,AR1732,AT1732,AV1732,AX1732)</f>
        <v>24710.02</v>
      </c>
      <c r="BE1732" s="33" t="n">
        <f aca="false">AZ1732-BD1732</f>
        <v>2446291.98</v>
      </c>
      <c r="BF1732" s="34" t="n">
        <f aca="false">BD1732*M1732</f>
        <v>16061.513</v>
      </c>
      <c r="BG1732" s="35" t="n">
        <f aca="false">BA1732-BF1732</f>
        <v>-0.513000000000829</v>
      </c>
      <c r="BH1732" s="19" t="str">
        <f aca="false">IF(BG1732=0,"",IF(BG1732&lt;&gt;BA1732,"erreur de calcul",IF(BD1732&lt;&gt;0,"pas de prix",IF(M1732&lt;&gt; 0,"pas de quantité","pas de prix, ni de quantité"))))</f>
        <v>erreur de calcul</v>
      </c>
      <c r="BI1732" s="19"/>
    </row>
    <row r="1733" customFormat="false" ht="15" hidden="false" customHeight="false" outlineLevel="0" collapsed="false">
      <c r="A1733" s="0" t="n">
        <v>39</v>
      </c>
      <c r="B1733" s="8" t="s">
        <v>24</v>
      </c>
      <c r="C1733" s="9" t="s">
        <v>25</v>
      </c>
      <c r="D1733" s="9" t="s">
        <v>26</v>
      </c>
      <c r="E1733" s="10" t="n">
        <v>1789</v>
      </c>
      <c r="F1733" s="9" t="s">
        <v>27</v>
      </c>
      <c r="G1733" s="9" t="s">
        <v>27</v>
      </c>
      <c r="H1733" s="11" t="n">
        <v>26</v>
      </c>
      <c r="I1733" s="11" t="s">
        <v>410</v>
      </c>
      <c r="J1733" s="14" t="n">
        <v>10</v>
      </c>
      <c r="K1733" s="14"/>
      <c r="L1733" s="16"/>
      <c r="M1733" s="27" t="n">
        <f aca="false">J1733+(K1733/20)+(L1733/240)</f>
        <v>10</v>
      </c>
      <c r="N1733" s="17" t="s">
        <v>64</v>
      </c>
      <c r="O1733" s="11"/>
      <c r="P1733" s="28"/>
      <c r="Q1733" s="28" t="n">
        <f aca="false">P1733*$M1733</f>
        <v>0</v>
      </c>
      <c r="R1733" s="28"/>
      <c r="S1733" s="28" t="n">
        <f aca="false">R1733*$M1733</f>
        <v>0</v>
      </c>
      <c r="T1733" s="28"/>
      <c r="U1733" s="28" t="n">
        <f aca="false">T1733*$M1733</f>
        <v>0</v>
      </c>
      <c r="V1733" s="28"/>
      <c r="W1733" s="28" t="n">
        <f aca="false">V1733*$M1733</f>
        <v>0</v>
      </c>
      <c r="X1733" s="28" t="n">
        <f aca="false">2481/100</f>
        <v>24.81</v>
      </c>
      <c r="Y1733" s="28" t="n">
        <v>248</v>
      </c>
      <c r="Z1733" s="28"/>
      <c r="AA1733" s="28" t="n">
        <f aca="false">Z1733*$M1733</f>
        <v>0</v>
      </c>
      <c r="AB1733" s="28"/>
      <c r="AC1733" s="28" t="n">
        <f aca="false">AB1733*$M1733</f>
        <v>0</v>
      </c>
      <c r="AD1733" s="28"/>
      <c r="AE1733" s="28" t="n">
        <f aca="false">AD1733*$M1733</f>
        <v>0</v>
      </c>
      <c r="AF1733" s="28"/>
      <c r="AG1733" s="28" t="n">
        <f aca="false">AF1733*$M1733</f>
        <v>0</v>
      </c>
      <c r="AH1733" s="28"/>
      <c r="AI1733" s="28" t="n">
        <f aca="false">AH1733*$M1733</f>
        <v>0</v>
      </c>
      <c r="AJ1733" s="28"/>
      <c r="AK1733" s="28" t="n">
        <f aca="false">AJ1733*$M1733</f>
        <v>0</v>
      </c>
      <c r="AL1733" s="28"/>
      <c r="AM1733" s="28" t="n">
        <f aca="false">AL1733*$M1733</f>
        <v>0</v>
      </c>
      <c r="AN1733" s="28"/>
      <c r="AO1733" s="28" t="n">
        <f aca="false">AN1733*$M1733</f>
        <v>0</v>
      </c>
      <c r="AP1733" s="28"/>
      <c r="AQ1733" s="28" t="n">
        <f aca="false">AP1733*$M1733</f>
        <v>0</v>
      </c>
      <c r="AR1733" s="28"/>
      <c r="AS1733" s="28" t="n">
        <f aca="false">AR1733*$M1733</f>
        <v>0</v>
      </c>
      <c r="AT1733" s="28"/>
      <c r="AU1733" s="28" t="n">
        <f aca="false">AT1733*$M1733</f>
        <v>0</v>
      </c>
      <c r="AV1733" s="28"/>
      <c r="AW1733" s="28" t="n">
        <f aca="false">AV1733*$M1733</f>
        <v>0</v>
      </c>
      <c r="AX1733" s="28"/>
      <c r="AY1733" s="28" t="n">
        <f aca="false">AX1733*$M1733</f>
        <v>0</v>
      </c>
      <c r="AZ1733" s="30" t="n">
        <f aca="false">2481/100</f>
        <v>24.81</v>
      </c>
      <c r="BA1733" s="11" t="n">
        <v>248</v>
      </c>
      <c r="BB1733" s="31" t="n">
        <f aca="false">SUM(Q1733,S1733,U1733,W1733,Y1733,AA1733,AC1733,AE1733,AG1733,AI1733,AK1733,AM1733,AO1733,AQ1733,AS1733,AU1733,AW1733,AY1733)</f>
        <v>248</v>
      </c>
      <c r="BC1733" s="28" t="n">
        <f aca="false">BA1733-BB1733</f>
        <v>0</v>
      </c>
      <c r="BD1733" s="32" t="n">
        <f aca="false">SUM(P1733,R1733,T1733,V1733,X1733,Z1733,AB1733,AD1733,AF1733,AH1733,AJ1733,AL1733,AN1733,AP1733,AR1733,AT1733,AV1733,AX1733)</f>
        <v>24.81</v>
      </c>
      <c r="BE1733" s="33" t="n">
        <f aca="false">AZ1733-BD1733</f>
        <v>0</v>
      </c>
      <c r="BF1733" s="34" t="n">
        <f aca="false">BD1733*M1733</f>
        <v>248.1</v>
      </c>
      <c r="BG1733" s="35" t="n">
        <f aca="false">BA1733-BF1733</f>
        <v>-0.0999999999999943</v>
      </c>
      <c r="BH1733" s="19" t="str">
        <f aca="false">IF(BG1733=0,"",IF(BG1733&lt;&gt;BA1733,"erreur de calcul",IF(BD1733&lt;&gt;0,"pas de prix",IF(M1733&lt;&gt; 0,"pas de quantité","pas de prix, ni de quantité"))))</f>
        <v>erreur de calcul</v>
      </c>
      <c r="BI1733" s="19"/>
    </row>
    <row r="1734" customFormat="false" ht="15" hidden="false" customHeight="false" outlineLevel="0" collapsed="false">
      <c r="A1734" s="0" t="n">
        <v>40</v>
      </c>
      <c r="B1734" s="8" t="s">
        <v>24</v>
      </c>
      <c r="C1734" s="9" t="s">
        <v>25</v>
      </c>
      <c r="D1734" s="9" t="s">
        <v>26</v>
      </c>
      <c r="E1734" s="10" t="n">
        <v>1789</v>
      </c>
      <c r="F1734" s="9" t="s">
        <v>27</v>
      </c>
      <c r="G1734" s="9" t="s">
        <v>27</v>
      </c>
      <c r="H1734" s="11" t="n">
        <v>26</v>
      </c>
      <c r="I1734" s="11" t="s">
        <v>411</v>
      </c>
      <c r="J1734" s="14" t="n">
        <v>5</v>
      </c>
      <c r="K1734" s="14"/>
      <c r="L1734" s="16"/>
      <c r="M1734" s="27" t="n">
        <f aca="false">J1734+(K1734/20)+(L1734/240)</f>
        <v>5</v>
      </c>
      <c r="N1734" s="17" t="s">
        <v>66</v>
      </c>
      <c r="O1734" s="11" t="s">
        <v>98</v>
      </c>
      <c r="P1734" s="28"/>
      <c r="Q1734" s="28" t="n">
        <f aca="false">P1734*$M1734</f>
        <v>0</v>
      </c>
      <c r="R1734" s="28"/>
      <c r="S1734" s="28" t="n">
        <f aca="false">R1734*$M1734</f>
        <v>0</v>
      </c>
      <c r="T1734" s="28"/>
      <c r="U1734" s="28" t="n">
        <f aca="false">T1734*$M1734</f>
        <v>0</v>
      </c>
      <c r="V1734" s="28"/>
      <c r="W1734" s="28" t="n">
        <f aca="false">V1734*$M1734</f>
        <v>0</v>
      </c>
      <c r="X1734" s="28"/>
      <c r="Y1734" s="28" t="n">
        <f aca="false">X1734*$M1734</f>
        <v>0</v>
      </c>
      <c r="Z1734" s="28"/>
      <c r="AA1734" s="28" t="n">
        <f aca="false">Z1734*$M1734</f>
        <v>0</v>
      </c>
      <c r="AB1734" s="28"/>
      <c r="AC1734" s="28" t="n">
        <f aca="false">AB1734*$M1734</f>
        <v>0</v>
      </c>
      <c r="AD1734" s="28"/>
      <c r="AE1734" s="28" t="n">
        <f aca="false">AD1734*$M1734</f>
        <v>0</v>
      </c>
      <c r="AF1734" s="28" t="n">
        <v>22</v>
      </c>
      <c r="AG1734" s="28" t="n">
        <v>110</v>
      </c>
      <c r="AH1734" s="28" t="n">
        <v>2657</v>
      </c>
      <c r="AI1734" s="28" t="n">
        <v>13285</v>
      </c>
      <c r="AJ1734" s="28"/>
      <c r="AK1734" s="28" t="n">
        <f aca="false">AJ1734*$M1734</f>
        <v>0</v>
      </c>
      <c r="AL1734" s="28"/>
      <c r="AM1734" s="28" t="n">
        <f aca="false">AL1734*$M1734</f>
        <v>0</v>
      </c>
      <c r="AN1734" s="28"/>
      <c r="AO1734" s="28" t="n">
        <f aca="false">AN1734*$M1734</f>
        <v>0</v>
      </c>
      <c r="AP1734" s="28"/>
      <c r="AQ1734" s="28" t="n">
        <f aca="false">AP1734*$M1734</f>
        <v>0</v>
      </c>
      <c r="AR1734" s="28"/>
      <c r="AS1734" s="28" t="n">
        <f aca="false">AR1734*$M1734</f>
        <v>0</v>
      </c>
      <c r="AT1734" s="28"/>
      <c r="AU1734" s="28" t="n">
        <f aca="false">AT1734*$M1734</f>
        <v>0</v>
      </c>
      <c r="AV1734" s="28"/>
      <c r="AW1734" s="28" t="n">
        <f aca="false">AV1734*$M1734</f>
        <v>0</v>
      </c>
      <c r="AX1734" s="28"/>
      <c r="AY1734" s="28" t="n">
        <f aca="false">AX1734*$M1734</f>
        <v>0</v>
      </c>
      <c r="AZ1734" s="30" t="n">
        <v>2679</v>
      </c>
      <c r="BA1734" s="11" t="n">
        <v>13395</v>
      </c>
      <c r="BB1734" s="31" t="n">
        <f aca="false">SUM(Q1734,S1734,U1734,W1734,Y1734,AA1734,AC1734,AE1734,AG1734,AI1734,AK1734,AM1734,AO1734,AQ1734,AS1734,AU1734,AW1734,AY1734)</f>
        <v>13395</v>
      </c>
      <c r="BC1734" s="28" t="n">
        <f aca="false">BA1734-BB1734</f>
        <v>0</v>
      </c>
      <c r="BD1734" s="32" t="n">
        <f aca="false">SUM(P1734,R1734,T1734,V1734,X1734,Z1734,AB1734,AD1734,AF1734,AH1734,AJ1734,AL1734,AN1734,AP1734,AR1734,AT1734,AV1734,AX1734)</f>
        <v>2679</v>
      </c>
      <c r="BE1734" s="33" t="n">
        <f aca="false">AZ1734-BD1734</f>
        <v>0</v>
      </c>
      <c r="BF1734" s="34" t="n">
        <f aca="false">BD1734*M1734</f>
        <v>13395</v>
      </c>
      <c r="BG1734" s="35" t="n">
        <f aca="false">BA1734-BF1734</f>
        <v>0</v>
      </c>
      <c r="BH1734" s="19" t="str">
        <f aca="false">IF(BG1734=0,"",IF(BG1734&lt;&gt;BA1734,"erreur de calcul",IF(BD1734&lt;&gt;0,"pas de prix",IF(M1734&lt;&gt; 0,"pas de quantité","pas de prix, ni de quantité"))))</f>
        <v/>
      </c>
      <c r="BI1734" s="19"/>
    </row>
    <row r="1735" customFormat="false" ht="15" hidden="false" customHeight="false" outlineLevel="0" collapsed="false">
      <c r="A1735" s="0" t="n">
        <v>1</v>
      </c>
      <c r="B1735" s="8" t="s">
        <v>24</v>
      </c>
      <c r="C1735" s="9" t="s">
        <v>25</v>
      </c>
      <c r="D1735" s="9" t="s">
        <v>26</v>
      </c>
      <c r="E1735" s="10" t="n">
        <v>1789</v>
      </c>
      <c r="F1735" s="9" t="s">
        <v>27</v>
      </c>
      <c r="G1735" s="9" t="s">
        <v>27</v>
      </c>
      <c r="H1735" s="11" t="n">
        <v>27</v>
      </c>
      <c r="I1735" s="11" t="s">
        <v>412</v>
      </c>
      <c r="J1735" s="14" t="n">
        <v>7</v>
      </c>
      <c r="K1735" s="14" t="n">
        <v>10</v>
      </c>
      <c r="L1735" s="16"/>
      <c r="M1735" s="27" t="n">
        <f aca="false">J1735+(K1735/20)+(L1735/240)</f>
        <v>7.5</v>
      </c>
      <c r="N1735" s="17" t="s">
        <v>64</v>
      </c>
      <c r="O1735" s="11"/>
      <c r="P1735" s="28" t="n">
        <f aca="false">16667/100</f>
        <v>166.67</v>
      </c>
      <c r="Q1735" s="28" t="n">
        <v>1250</v>
      </c>
      <c r="R1735" s="28"/>
      <c r="S1735" s="28" t="n">
        <f aca="false">R1735*$M1735</f>
        <v>0</v>
      </c>
      <c r="T1735" s="28"/>
      <c r="U1735" s="28" t="n">
        <f aca="false">T1735*$M1735</f>
        <v>0</v>
      </c>
      <c r="V1735" s="28" t="n">
        <f aca="false">407887/100</f>
        <v>4078.87</v>
      </c>
      <c r="W1735" s="28" t="n">
        <v>30591</v>
      </c>
      <c r="X1735" s="28" t="n">
        <f aca="false">4444/100</f>
        <v>44.44</v>
      </c>
      <c r="Y1735" s="28" t="n">
        <v>333</v>
      </c>
      <c r="Z1735" s="28" t="n">
        <f aca="false">16084/100</f>
        <v>160.84</v>
      </c>
      <c r="AA1735" s="28" t="n">
        <v>1206</v>
      </c>
      <c r="AB1735" s="28" t="n">
        <f aca="false">20834/100</f>
        <v>208.34</v>
      </c>
      <c r="AC1735" s="28" t="n">
        <v>1562</v>
      </c>
      <c r="AD1735" s="28"/>
      <c r="AE1735" s="28" t="n">
        <f aca="false">AD1735*$M1735</f>
        <v>0</v>
      </c>
      <c r="AF1735" s="28"/>
      <c r="AG1735" s="28" t="n">
        <f aca="false">AF1735*$M1735</f>
        <v>0</v>
      </c>
      <c r="AH1735" s="28"/>
      <c r="AI1735" s="28" t="n">
        <f aca="false">AH1735*$M1735</f>
        <v>0</v>
      </c>
      <c r="AJ1735" s="28"/>
      <c r="AK1735" s="28" t="n">
        <f aca="false">AJ1735*$M1735</f>
        <v>0</v>
      </c>
      <c r="AL1735" s="28"/>
      <c r="AM1735" s="28" t="n">
        <f aca="false">AL1735*$M1735</f>
        <v>0</v>
      </c>
      <c r="AN1735" s="28"/>
      <c r="AO1735" s="28" t="n">
        <f aca="false">AN1735*$M1735</f>
        <v>0</v>
      </c>
      <c r="AP1735" s="28"/>
      <c r="AQ1735" s="28" t="n">
        <f aca="false">AP1735*$M1735</f>
        <v>0</v>
      </c>
      <c r="AR1735" s="28"/>
      <c r="AS1735" s="28" t="n">
        <f aca="false">AR1735*$M1735</f>
        <v>0</v>
      </c>
      <c r="AT1735" s="28"/>
      <c r="AU1735" s="28" t="n">
        <f aca="false">AT1735*$M1735</f>
        <v>0</v>
      </c>
      <c r="AV1735" s="28"/>
      <c r="AW1735" s="28" t="n">
        <f aca="false">AV1735*$M1735</f>
        <v>0</v>
      </c>
      <c r="AX1735" s="28"/>
      <c r="AY1735" s="28" t="n">
        <f aca="false">AX1735*$M1735</f>
        <v>0</v>
      </c>
      <c r="AZ1735" s="30" t="n">
        <f aca="false">465916/100</f>
        <v>4659.16</v>
      </c>
      <c r="BA1735" s="11" t="n">
        <v>34942</v>
      </c>
      <c r="BB1735" s="31" t="n">
        <f aca="false">SUM(Q1735,S1735,U1735,W1735,Y1735,AA1735,AC1735,AE1735,AG1735,AI1735,AK1735,AM1735,AO1735,AQ1735,AS1735,AU1735,AW1735,AY1735)</f>
        <v>34942</v>
      </c>
      <c r="BC1735" s="28" t="n">
        <f aca="false">BA1735-BB1735</f>
        <v>0</v>
      </c>
      <c r="BD1735" s="32" t="n">
        <f aca="false">SUM(P1735,R1735,T1735,V1735,X1735,Z1735,AB1735,AD1735,AF1735,AH1735,AJ1735,AL1735,AN1735,AP1735,AR1735,AT1735,AV1735,AX1735)</f>
        <v>4659.16</v>
      </c>
      <c r="BE1735" s="33" t="n">
        <f aca="false">AZ1735-BD1735</f>
        <v>0</v>
      </c>
      <c r="BF1735" s="34" t="n">
        <f aca="false">BD1735*M1735</f>
        <v>34943.7</v>
      </c>
      <c r="BG1735" s="35" t="n">
        <f aca="false">BA1735-BF1735</f>
        <v>-1.69999999999709</v>
      </c>
      <c r="BH1735" s="19" t="str">
        <f aca="false">IF(BG1735=0,"",IF(BG1735&lt;&gt;BA1735,"erreur de calcul",IF(BD1735&lt;&gt;0,"pas de prix",IF(M1735&lt;&gt; 0,"pas de quantité","pas de prix, ni de quantité"))))</f>
        <v>erreur de calcul</v>
      </c>
      <c r="BI1735" s="19"/>
    </row>
    <row r="1736" customFormat="false" ht="15" hidden="false" customHeight="false" outlineLevel="0" collapsed="false">
      <c r="A1736" s="0" t="n">
        <v>2</v>
      </c>
      <c r="B1736" s="8" t="s">
        <v>24</v>
      </c>
      <c r="C1736" s="9" t="s">
        <v>25</v>
      </c>
      <c r="D1736" s="9" t="s">
        <v>26</v>
      </c>
      <c r="E1736" s="10" t="n">
        <v>1789</v>
      </c>
      <c r="F1736" s="9" t="s">
        <v>27</v>
      </c>
      <c r="G1736" s="9" t="s">
        <v>27</v>
      </c>
      <c r="H1736" s="11" t="n">
        <v>27</v>
      </c>
      <c r="I1736" s="11" t="s">
        <v>413</v>
      </c>
      <c r="J1736" s="14" t="n">
        <v>3</v>
      </c>
      <c r="K1736" s="14"/>
      <c r="L1736" s="16"/>
      <c r="M1736" s="27" t="n">
        <f aca="false">J1736+(K1736/20)+(L1736/240)</f>
        <v>3</v>
      </c>
      <c r="N1736" s="17" t="s">
        <v>66</v>
      </c>
      <c r="O1736" s="11"/>
      <c r="P1736" s="28"/>
      <c r="Q1736" s="28" t="n">
        <f aca="false">P1736*$M1736</f>
        <v>0</v>
      </c>
      <c r="R1736" s="28"/>
      <c r="S1736" s="28" t="n">
        <f aca="false">R1736*$M1736</f>
        <v>0</v>
      </c>
      <c r="T1736" s="28"/>
      <c r="U1736" s="28" t="n">
        <f aca="false">T1736*$M1736</f>
        <v>0</v>
      </c>
      <c r="V1736" s="28"/>
      <c r="W1736" s="28" t="n">
        <f aca="false">V1736*$M1736</f>
        <v>0</v>
      </c>
      <c r="X1736" s="28"/>
      <c r="Y1736" s="28" t="n">
        <f aca="false">X1736*$M1736</f>
        <v>0</v>
      </c>
      <c r="Z1736" s="28"/>
      <c r="AA1736" s="28" t="n">
        <f aca="false">Z1736*$M1736</f>
        <v>0</v>
      </c>
      <c r="AB1736" s="28"/>
      <c r="AC1736" s="28" t="n">
        <f aca="false">AB1736*$M1736</f>
        <v>0</v>
      </c>
      <c r="AD1736" s="28"/>
      <c r="AE1736" s="28" t="n">
        <f aca="false">AD1736*$M1736</f>
        <v>0</v>
      </c>
      <c r="AF1736" s="28"/>
      <c r="AG1736" s="28" t="n">
        <f aca="false">AF1736*$M1736</f>
        <v>0</v>
      </c>
      <c r="AH1736" s="28" t="n">
        <v>58272</v>
      </c>
      <c r="AI1736" s="28" t="n">
        <v>174816</v>
      </c>
      <c r="AJ1736" s="28"/>
      <c r="AK1736" s="28" t="n">
        <f aca="false">AJ1736*$M1736</f>
        <v>0</v>
      </c>
      <c r="AL1736" s="28"/>
      <c r="AM1736" s="28" t="n">
        <f aca="false">AL1736*$M1736</f>
        <v>0</v>
      </c>
      <c r="AN1736" s="28"/>
      <c r="AO1736" s="28" t="n">
        <f aca="false">AN1736*$M1736</f>
        <v>0</v>
      </c>
      <c r="AP1736" s="28"/>
      <c r="AQ1736" s="28" t="n">
        <f aca="false">AP1736*$M1736</f>
        <v>0</v>
      </c>
      <c r="AR1736" s="28"/>
      <c r="AS1736" s="28" t="n">
        <f aca="false">AR1736*$M1736</f>
        <v>0</v>
      </c>
      <c r="AT1736" s="28"/>
      <c r="AU1736" s="28" t="n">
        <f aca="false">AT1736*$M1736</f>
        <v>0</v>
      </c>
      <c r="AV1736" s="28"/>
      <c r="AW1736" s="28" t="n">
        <f aca="false">AV1736*$M1736</f>
        <v>0</v>
      </c>
      <c r="AX1736" s="28"/>
      <c r="AY1736" s="28" t="n">
        <f aca="false">AX1736*$M1736</f>
        <v>0</v>
      </c>
      <c r="AZ1736" s="30" t="n">
        <f aca="false">58272</f>
        <v>58272</v>
      </c>
      <c r="BA1736" s="11" t="n">
        <v>174816</v>
      </c>
      <c r="BB1736" s="31" t="n">
        <f aca="false">SUM(Q1736,S1736,U1736,W1736,Y1736,AA1736,AC1736,AE1736,AG1736,AI1736,AK1736,AM1736,AO1736,AQ1736,AS1736,AU1736,AW1736,AY1736)</f>
        <v>174816</v>
      </c>
      <c r="BC1736" s="28" t="n">
        <f aca="false">BA1736-BB1736</f>
        <v>0</v>
      </c>
      <c r="BD1736" s="32" t="n">
        <f aca="false">SUM(P1736,R1736,T1736,V1736,X1736,Z1736,AB1736,AD1736,AF1736,AH1736,AJ1736,AL1736,AN1736,AP1736,AR1736,AT1736,AV1736,AX1736)</f>
        <v>58272</v>
      </c>
      <c r="BE1736" s="33" t="n">
        <f aca="false">AZ1736-BD1736</f>
        <v>0</v>
      </c>
      <c r="BF1736" s="34" t="n">
        <f aca="false">BD1736*M1736</f>
        <v>174816</v>
      </c>
      <c r="BG1736" s="35" t="n">
        <f aca="false">BA1736-BF1736</f>
        <v>0</v>
      </c>
      <c r="BH1736" s="19" t="str">
        <f aca="false">IF(BG1736=0,"",IF(BG1736&lt;&gt;BA1736,"erreur de calcul",IF(BD1736&lt;&gt;0,"pas de prix",IF(M1736&lt;&gt; 0,"pas de quantité","pas de prix, ni de quantité"))))</f>
        <v/>
      </c>
      <c r="BI1736" s="19"/>
    </row>
    <row r="1737" customFormat="false" ht="15" hidden="false" customHeight="false" outlineLevel="0" collapsed="false">
      <c r="A1737" s="0" t="n">
        <v>3</v>
      </c>
      <c r="B1737" s="8" t="s">
        <v>24</v>
      </c>
      <c r="C1737" s="9" t="s">
        <v>25</v>
      </c>
      <c r="D1737" s="9" t="s">
        <v>26</v>
      </c>
      <c r="E1737" s="10" t="n">
        <v>1789</v>
      </c>
      <c r="F1737" s="9" t="s">
        <v>27</v>
      </c>
      <c r="G1737" s="9" t="s">
        <v>27</v>
      </c>
      <c r="H1737" s="11" t="n">
        <v>27</v>
      </c>
      <c r="I1737" s="11" t="s">
        <v>414</v>
      </c>
      <c r="J1737" s="14" t="n">
        <v>3</v>
      </c>
      <c r="K1737" s="14"/>
      <c r="L1737" s="16"/>
      <c r="M1737" s="27" t="n">
        <f aca="false">J1737+(K1737/20)+(L1737/240)</f>
        <v>3</v>
      </c>
      <c r="N1737" s="17" t="s">
        <v>66</v>
      </c>
      <c r="O1737" s="11" t="s">
        <v>98</v>
      </c>
      <c r="P1737" s="28"/>
      <c r="Q1737" s="28" t="n">
        <f aca="false">P1737*$M1737</f>
        <v>0</v>
      </c>
      <c r="R1737" s="28"/>
      <c r="S1737" s="28" t="n">
        <f aca="false">R1737*$M1737</f>
        <v>0</v>
      </c>
      <c r="T1737" s="28"/>
      <c r="U1737" s="28" t="n">
        <f aca="false">T1737*$M1737</f>
        <v>0</v>
      </c>
      <c r="V1737" s="28"/>
      <c r="W1737" s="28" t="n">
        <f aca="false">V1737*$M1737</f>
        <v>0</v>
      </c>
      <c r="X1737" s="28"/>
      <c r="Y1737" s="28" t="n">
        <f aca="false">X1737*$M1737</f>
        <v>0</v>
      </c>
      <c r="Z1737" s="28"/>
      <c r="AA1737" s="28" t="n">
        <f aca="false">Z1737*$M1737</f>
        <v>0</v>
      </c>
      <c r="AB1737" s="28"/>
      <c r="AC1737" s="28" t="n">
        <f aca="false">AB1737*$M1737</f>
        <v>0</v>
      </c>
      <c r="AD1737" s="28"/>
      <c r="AE1737" s="28" t="n">
        <f aca="false">AD1737*$M1737</f>
        <v>0</v>
      </c>
      <c r="AF1737" s="28"/>
      <c r="AG1737" s="28" t="n">
        <f aca="false">AF1737*$M1737</f>
        <v>0</v>
      </c>
      <c r="AH1737" s="28" t="n">
        <v>110560</v>
      </c>
      <c r="AI1737" s="28" t="n">
        <v>331680</v>
      </c>
      <c r="AJ1737" s="28"/>
      <c r="AK1737" s="28" t="n">
        <f aca="false">AJ1737*$M1737</f>
        <v>0</v>
      </c>
      <c r="AL1737" s="28"/>
      <c r="AM1737" s="28" t="n">
        <f aca="false">AL1737*$M1737</f>
        <v>0</v>
      </c>
      <c r="AN1737" s="28"/>
      <c r="AO1737" s="28" t="n">
        <f aca="false">AN1737*$M1737</f>
        <v>0</v>
      </c>
      <c r="AP1737" s="28"/>
      <c r="AQ1737" s="28" t="n">
        <f aca="false">AP1737*$M1737</f>
        <v>0</v>
      </c>
      <c r="AR1737" s="28"/>
      <c r="AS1737" s="28" t="n">
        <f aca="false">AR1737*$M1737</f>
        <v>0</v>
      </c>
      <c r="AT1737" s="28"/>
      <c r="AU1737" s="28" t="n">
        <f aca="false">AT1737*$M1737</f>
        <v>0</v>
      </c>
      <c r="AV1737" s="28"/>
      <c r="AW1737" s="28" t="n">
        <f aca="false">AV1737*$M1737</f>
        <v>0</v>
      </c>
      <c r="AX1737" s="28"/>
      <c r="AY1737" s="28" t="n">
        <f aca="false">AX1737*$M1737</f>
        <v>0</v>
      </c>
      <c r="AZ1737" s="30" t="n">
        <v>110560</v>
      </c>
      <c r="BA1737" s="11" t="n">
        <v>331680</v>
      </c>
      <c r="BB1737" s="31" t="n">
        <f aca="false">SUM(Q1737,S1737,U1737,W1737,Y1737,AA1737,AC1737,AE1737,AG1737,AI1737,AK1737,AM1737,AO1737,AQ1737,AS1737,AU1737,AW1737,AY1737)</f>
        <v>331680</v>
      </c>
      <c r="BC1737" s="28" t="n">
        <f aca="false">BA1737-BB1737</f>
        <v>0</v>
      </c>
      <c r="BD1737" s="32" t="n">
        <f aca="false">SUM(P1737,R1737,T1737,V1737,X1737,Z1737,AB1737,AD1737,AF1737,AH1737,AJ1737,AL1737,AN1737,AP1737,AR1737,AT1737,AV1737,AX1737)</f>
        <v>110560</v>
      </c>
      <c r="BE1737" s="33" t="n">
        <f aca="false">AZ1737-BD1737</f>
        <v>0</v>
      </c>
      <c r="BF1737" s="34" t="n">
        <f aca="false">BD1737*M1737</f>
        <v>331680</v>
      </c>
      <c r="BG1737" s="35" t="n">
        <f aca="false">BA1737-BF1737</f>
        <v>0</v>
      </c>
      <c r="BH1737" s="19" t="str">
        <f aca="false">IF(BG1737=0,"",IF(BG1737&lt;&gt;BA1737,"erreur de calcul",IF(BD1737&lt;&gt;0,"pas de prix",IF(M1737&lt;&gt; 0,"pas de quantité","pas de prix, ni de quantité"))))</f>
        <v/>
      </c>
      <c r="BI1737" s="19"/>
    </row>
    <row r="1738" customFormat="false" ht="15" hidden="false" customHeight="false" outlineLevel="0" collapsed="false">
      <c r="A1738" s="0" t="n">
        <v>4</v>
      </c>
      <c r="B1738" s="8" t="s">
        <v>24</v>
      </c>
      <c r="C1738" s="9" t="s">
        <v>25</v>
      </c>
      <c r="D1738" s="9" t="s">
        <v>26</v>
      </c>
      <c r="E1738" s="10" t="n">
        <v>1789</v>
      </c>
      <c r="F1738" s="9" t="s">
        <v>27</v>
      </c>
      <c r="G1738" s="9" t="s">
        <v>27</v>
      </c>
      <c r="H1738" s="11" t="n">
        <v>27</v>
      </c>
      <c r="I1738" s="11" t="s">
        <v>415</v>
      </c>
      <c r="J1738" s="14" t="n">
        <v>3</v>
      </c>
      <c r="K1738" s="14" t="n">
        <v>10</v>
      </c>
      <c r="L1738" s="16"/>
      <c r="M1738" s="27" t="n">
        <f aca="false">J1738+(K1738/20)+(L1738/240)</f>
        <v>3.5</v>
      </c>
      <c r="N1738" s="17" t="s">
        <v>66</v>
      </c>
      <c r="O1738" s="11" t="s">
        <v>98</v>
      </c>
      <c r="P1738" s="28"/>
      <c r="Q1738" s="28" t="n">
        <f aca="false">P1738*$M1738</f>
        <v>0</v>
      </c>
      <c r="R1738" s="28"/>
      <c r="S1738" s="28" t="n">
        <f aca="false">R1738*$M1738</f>
        <v>0</v>
      </c>
      <c r="T1738" s="28"/>
      <c r="U1738" s="28" t="n">
        <f aca="false">T1738*$M1738</f>
        <v>0</v>
      </c>
      <c r="V1738" s="28"/>
      <c r="W1738" s="28" t="n">
        <f aca="false">V1738*$M1738</f>
        <v>0</v>
      </c>
      <c r="X1738" s="28" t="n">
        <v>218</v>
      </c>
      <c r="Y1738" s="28" t="n">
        <v>763</v>
      </c>
      <c r="Z1738" s="28"/>
      <c r="AA1738" s="28" t="n">
        <f aca="false">Z1738*$M1738</f>
        <v>0</v>
      </c>
      <c r="AB1738" s="28"/>
      <c r="AC1738" s="28" t="n">
        <f aca="false">AB1738*$M1738</f>
        <v>0</v>
      </c>
      <c r="AD1738" s="28"/>
      <c r="AE1738" s="28" t="n">
        <f aca="false">AD1738*$M1738</f>
        <v>0</v>
      </c>
      <c r="AF1738" s="28"/>
      <c r="AG1738" s="28" t="n">
        <f aca="false">AF1738*$M1738</f>
        <v>0</v>
      </c>
      <c r="AH1738" s="28" t="n">
        <v>25905</v>
      </c>
      <c r="AI1738" s="28" t="n">
        <v>90667</v>
      </c>
      <c r="AJ1738" s="28"/>
      <c r="AK1738" s="28" t="n">
        <f aca="false">AJ1738*$M1738</f>
        <v>0</v>
      </c>
      <c r="AL1738" s="28"/>
      <c r="AM1738" s="28" t="n">
        <f aca="false">AL1738*$M1738</f>
        <v>0</v>
      </c>
      <c r="AN1738" s="28"/>
      <c r="AO1738" s="28" t="n">
        <f aca="false">AN1738*$M1738</f>
        <v>0</v>
      </c>
      <c r="AP1738" s="28"/>
      <c r="AQ1738" s="28" t="n">
        <f aca="false">AP1738*$M1738</f>
        <v>0</v>
      </c>
      <c r="AR1738" s="28"/>
      <c r="AS1738" s="28" t="n">
        <f aca="false">AR1738*$M1738</f>
        <v>0</v>
      </c>
      <c r="AT1738" s="28"/>
      <c r="AU1738" s="28" t="n">
        <f aca="false">AT1738*$M1738</f>
        <v>0</v>
      </c>
      <c r="AV1738" s="28"/>
      <c r="AW1738" s="28" t="n">
        <f aca="false">AV1738*$M1738</f>
        <v>0</v>
      </c>
      <c r="AX1738" s="28"/>
      <c r="AY1738" s="28" t="n">
        <f aca="false">AX1738*$M1738</f>
        <v>0</v>
      </c>
      <c r="AZ1738" s="30" t="n">
        <v>26123</v>
      </c>
      <c r="BA1738" s="11" t="n">
        <v>91430</v>
      </c>
      <c r="BB1738" s="31" t="n">
        <f aca="false">SUM(Q1738,S1738,U1738,W1738,Y1738,AA1738,AC1738,AE1738,AG1738,AI1738,AK1738,AM1738,AO1738,AQ1738,AS1738,AU1738,AW1738,AY1738)</f>
        <v>91430</v>
      </c>
      <c r="BC1738" s="28" t="n">
        <f aca="false">BA1738-BB1738</f>
        <v>0</v>
      </c>
      <c r="BD1738" s="32" t="n">
        <f aca="false">SUM(P1738,R1738,T1738,V1738,X1738,Z1738,AB1738,AD1738,AF1738,AH1738,AJ1738,AL1738,AN1738,AP1738,AR1738,AT1738,AV1738,AX1738)</f>
        <v>26123</v>
      </c>
      <c r="BE1738" s="33" t="n">
        <f aca="false">AZ1738-BD1738</f>
        <v>0</v>
      </c>
      <c r="BF1738" s="34" t="n">
        <f aca="false">BD1738*M1738</f>
        <v>91430.5</v>
      </c>
      <c r="BG1738" s="35" t="n">
        <f aca="false">BA1738-BF1738</f>
        <v>-0.5</v>
      </c>
      <c r="BH1738" s="19" t="str">
        <f aca="false">IF(BG1738=0,"",IF(BG1738&lt;&gt;BA1738,"erreur de calcul",IF(BD1738&lt;&gt;0,"pas de prix",IF(M1738&lt;&gt; 0,"pas de quantité","pas de prix, ni de quantité"))))</f>
        <v>erreur de calcul</v>
      </c>
      <c r="BI1738" s="19"/>
    </row>
    <row r="1739" customFormat="false" ht="15" hidden="false" customHeight="false" outlineLevel="0" collapsed="false">
      <c r="A1739" s="0" t="n">
        <v>5</v>
      </c>
      <c r="B1739" s="8" t="s">
        <v>24</v>
      </c>
      <c r="C1739" s="9" t="s">
        <v>25</v>
      </c>
      <c r="D1739" s="9" t="s">
        <v>26</v>
      </c>
      <c r="E1739" s="10" t="n">
        <v>1789</v>
      </c>
      <c r="F1739" s="9" t="s">
        <v>27</v>
      </c>
      <c r="G1739" s="9" t="s">
        <v>27</v>
      </c>
      <c r="H1739" s="11" t="n">
        <v>27</v>
      </c>
      <c r="I1739" s="11" t="s">
        <v>416</v>
      </c>
      <c r="J1739" s="14"/>
      <c r="K1739" s="14" t="n">
        <v>30</v>
      </c>
      <c r="L1739" s="16"/>
      <c r="M1739" s="27" t="n">
        <f aca="false">J1739+(K1739/20)+(L1739/240)</f>
        <v>1.5</v>
      </c>
      <c r="N1739" s="17" t="s">
        <v>66</v>
      </c>
      <c r="O1739" s="11"/>
      <c r="P1739" s="28"/>
      <c r="Q1739" s="28" t="n">
        <f aca="false">P1739*$M1739</f>
        <v>0</v>
      </c>
      <c r="R1739" s="28"/>
      <c r="S1739" s="28" t="n">
        <f aca="false">R1739*$M1739</f>
        <v>0</v>
      </c>
      <c r="T1739" s="28"/>
      <c r="U1739" s="28" t="n">
        <f aca="false">T1739*$M1739</f>
        <v>0</v>
      </c>
      <c r="V1739" s="28"/>
      <c r="W1739" s="28" t="n">
        <f aca="false">V1739*$M1739</f>
        <v>0</v>
      </c>
      <c r="X1739" s="28"/>
      <c r="Y1739" s="28" t="n">
        <f aca="false">X1739*$M1739</f>
        <v>0</v>
      </c>
      <c r="Z1739" s="28"/>
      <c r="AA1739" s="28" t="n">
        <f aca="false">Z1739*$M1739</f>
        <v>0</v>
      </c>
      <c r="AB1739" s="28"/>
      <c r="AC1739" s="28" t="n">
        <f aca="false">AB1739*$M1739</f>
        <v>0</v>
      </c>
      <c r="AD1739" s="28"/>
      <c r="AE1739" s="28" t="n">
        <f aca="false">AD1739*$M1739</f>
        <v>0</v>
      </c>
      <c r="AF1739" s="28"/>
      <c r="AG1739" s="28" t="n">
        <f aca="false">AF1739*$M1739</f>
        <v>0</v>
      </c>
      <c r="AH1739" s="28" t="n">
        <v>75870</v>
      </c>
      <c r="AI1739" s="28" t="n">
        <v>113805</v>
      </c>
      <c r="AJ1739" s="28"/>
      <c r="AK1739" s="28" t="n">
        <f aca="false">AJ1739*$M1739</f>
        <v>0</v>
      </c>
      <c r="AL1739" s="28"/>
      <c r="AM1739" s="28" t="n">
        <f aca="false">AL1739*$M1739</f>
        <v>0</v>
      </c>
      <c r="AN1739" s="28"/>
      <c r="AO1739" s="28" t="n">
        <f aca="false">AN1739*$M1739</f>
        <v>0</v>
      </c>
      <c r="AP1739" s="28"/>
      <c r="AQ1739" s="28" t="n">
        <f aca="false">AP1739*$M1739</f>
        <v>0</v>
      </c>
      <c r="AR1739" s="28"/>
      <c r="AS1739" s="28" t="n">
        <f aca="false">AR1739*$M1739</f>
        <v>0</v>
      </c>
      <c r="AT1739" s="28"/>
      <c r="AU1739" s="28" t="n">
        <f aca="false">AT1739*$M1739</f>
        <v>0</v>
      </c>
      <c r="AV1739" s="28"/>
      <c r="AW1739" s="28" t="n">
        <f aca="false">AV1739*$M1739</f>
        <v>0</v>
      </c>
      <c r="AX1739" s="28"/>
      <c r="AY1739" s="28" t="n">
        <f aca="false">AX1739*$M1739</f>
        <v>0</v>
      </c>
      <c r="AZ1739" s="30" t="n">
        <v>75870</v>
      </c>
      <c r="BA1739" s="11" t="n">
        <v>113805</v>
      </c>
      <c r="BB1739" s="31" t="n">
        <f aca="false">SUM(Q1739,S1739,U1739,W1739,Y1739,AA1739,AC1739,AE1739,AG1739,AI1739,AK1739,AM1739,AO1739,AQ1739,AS1739,AU1739,AW1739,AY1739)</f>
        <v>113805</v>
      </c>
      <c r="BC1739" s="28" t="n">
        <f aca="false">BA1739-BB1739</f>
        <v>0</v>
      </c>
      <c r="BD1739" s="32" t="n">
        <f aca="false">SUM(P1739,R1739,T1739,V1739,X1739,Z1739,AB1739,AD1739,AF1739,AH1739,AJ1739,AL1739,AN1739,AP1739,AR1739,AT1739,AV1739,AX1739)</f>
        <v>75870</v>
      </c>
      <c r="BE1739" s="33" t="n">
        <f aca="false">AZ1739-BD1739</f>
        <v>0</v>
      </c>
      <c r="BF1739" s="34" t="n">
        <f aca="false">BD1739*M1739</f>
        <v>113805</v>
      </c>
      <c r="BG1739" s="35" t="n">
        <f aca="false">BA1739-BF1739</f>
        <v>0</v>
      </c>
      <c r="BH1739" s="19" t="str">
        <f aca="false">IF(BG1739=0,"",IF(BG1739&lt;&gt;BA1739,"erreur de calcul",IF(BD1739&lt;&gt;0,"pas de prix",IF(M1739&lt;&gt; 0,"pas de quantité","pas de prix, ni de quantité"))))</f>
        <v/>
      </c>
      <c r="BI1739" s="19"/>
    </row>
    <row r="1740" customFormat="false" ht="15" hidden="false" customHeight="false" outlineLevel="0" collapsed="false">
      <c r="A1740" s="0" t="n">
        <v>6</v>
      </c>
      <c r="B1740" s="8" t="s">
        <v>24</v>
      </c>
      <c r="C1740" s="9" t="s">
        <v>25</v>
      </c>
      <c r="D1740" s="9" t="s">
        <v>26</v>
      </c>
      <c r="E1740" s="10" t="n">
        <v>1789</v>
      </c>
      <c r="F1740" s="9" t="s">
        <v>27</v>
      </c>
      <c r="G1740" s="9" t="s">
        <v>27</v>
      </c>
      <c r="H1740" s="11" t="n">
        <v>27</v>
      </c>
      <c r="I1740" s="11" t="s">
        <v>417</v>
      </c>
      <c r="J1740" s="14" t="n">
        <v>3</v>
      </c>
      <c r="K1740" s="14"/>
      <c r="L1740" s="16"/>
      <c r="M1740" s="27" t="n">
        <f aca="false">J1740+(K1740/20)+(L1740/240)</f>
        <v>3</v>
      </c>
      <c r="N1740" s="17" t="s">
        <v>66</v>
      </c>
      <c r="O1740" s="11"/>
      <c r="P1740" s="28"/>
      <c r="Q1740" s="28" t="n">
        <f aca="false">P1740*$M1740</f>
        <v>0</v>
      </c>
      <c r="R1740" s="28"/>
      <c r="S1740" s="28" t="n">
        <f aca="false">R1740*$M1740</f>
        <v>0</v>
      </c>
      <c r="T1740" s="28"/>
      <c r="U1740" s="28" t="n">
        <f aca="false">T1740*$M1740</f>
        <v>0</v>
      </c>
      <c r="V1740" s="28"/>
      <c r="W1740" s="28" t="n">
        <f aca="false">V1740*$M1740</f>
        <v>0</v>
      </c>
      <c r="X1740" s="28"/>
      <c r="Y1740" s="28" t="n">
        <f aca="false">X1740*$M1740</f>
        <v>0</v>
      </c>
      <c r="Z1740" s="28"/>
      <c r="AA1740" s="28" t="n">
        <f aca="false">Z1740*$M1740</f>
        <v>0</v>
      </c>
      <c r="AB1740" s="28"/>
      <c r="AC1740" s="28" t="n">
        <f aca="false">AB1740*$M1740</f>
        <v>0</v>
      </c>
      <c r="AD1740" s="28"/>
      <c r="AE1740" s="28" t="n">
        <f aca="false">AD1740*$M1740</f>
        <v>0</v>
      </c>
      <c r="AF1740" s="28"/>
      <c r="AG1740" s="28" t="n">
        <f aca="false">AF1740*$M1740</f>
        <v>0</v>
      </c>
      <c r="AH1740" s="28" t="n">
        <v>121588</v>
      </c>
      <c r="AI1740" s="28" t="n">
        <v>364764</v>
      </c>
      <c r="AJ1740" s="28"/>
      <c r="AK1740" s="28" t="n">
        <f aca="false">AJ1740*$M1740</f>
        <v>0</v>
      </c>
      <c r="AL1740" s="28"/>
      <c r="AM1740" s="28" t="n">
        <f aca="false">AL1740*$M1740</f>
        <v>0</v>
      </c>
      <c r="AN1740" s="28"/>
      <c r="AO1740" s="28" t="n">
        <f aca="false">AN1740*$M1740</f>
        <v>0</v>
      </c>
      <c r="AP1740" s="28"/>
      <c r="AQ1740" s="28" t="n">
        <f aca="false">AP1740*$M1740</f>
        <v>0</v>
      </c>
      <c r="AR1740" s="28"/>
      <c r="AS1740" s="28" t="n">
        <f aca="false">AR1740*$M1740</f>
        <v>0</v>
      </c>
      <c r="AT1740" s="28"/>
      <c r="AU1740" s="28" t="n">
        <f aca="false">AT1740*$M1740</f>
        <v>0</v>
      </c>
      <c r="AV1740" s="28"/>
      <c r="AW1740" s="28" t="n">
        <f aca="false">AV1740*$M1740</f>
        <v>0</v>
      </c>
      <c r="AX1740" s="28"/>
      <c r="AY1740" s="28" t="n">
        <f aca="false">AX1740*$M1740</f>
        <v>0</v>
      </c>
      <c r="AZ1740" s="30" t="n">
        <v>121588</v>
      </c>
      <c r="BA1740" s="11" t="n">
        <v>364764</v>
      </c>
      <c r="BB1740" s="31" t="n">
        <f aca="false">SUM(Q1740,S1740,U1740,W1740,Y1740,AA1740,AC1740,AE1740,AG1740,AI1740,AK1740,AM1740,AO1740,AQ1740,AS1740,AU1740,AW1740,AY1740)</f>
        <v>364764</v>
      </c>
      <c r="BC1740" s="28" t="n">
        <f aca="false">BA1740-BB1740</f>
        <v>0</v>
      </c>
      <c r="BD1740" s="32" t="n">
        <f aca="false">SUM(P1740,R1740,T1740,V1740,X1740,Z1740,AB1740,AD1740,AF1740,AH1740,AJ1740,AL1740,AN1740,AP1740,AR1740,AT1740,AV1740,AX1740)</f>
        <v>121588</v>
      </c>
      <c r="BE1740" s="33" t="n">
        <f aca="false">AZ1740-BD1740</f>
        <v>0</v>
      </c>
      <c r="BF1740" s="34" t="n">
        <f aca="false">BD1740*M1740</f>
        <v>364764</v>
      </c>
      <c r="BG1740" s="35" t="n">
        <f aca="false">BA1740-BF1740</f>
        <v>0</v>
      </c>
      <c r="BH1740" s="19" t="str">
        <f aca="false">IF(BG1740=0,"",IF(BG1740&lt;&gt;BA1740,"erreur de calcul",IF(BD1740&lt;&gt;0,"pas de prix",IF(M1740&lt;&gt; 0,"pas de quantité","pas de prix, ni de quantité"))))</f>
        <v/>
      </c>
      <c r="BI1740" s="19"/>
    </row>
    <row r="1741" customFormat="false" ht="15" hidden="false" customHeight="false" outlineLevel="0" collapsed="false">
      <c r="A1741" s="0" t="n">
        <v>7</v>
      </c>
      <c r="B1741" s="8" t="s">
        <v>24</v>
      </c>
      <c r="C1741" s="9" t="s">
        <v>25</v>
      </c>
      <c r="D1741" s="9" t="s">
        <v>26</v>
      </c>
      <c r="E1741" s="10" t="n">
        <v>1789</v>
      </c>
      <c r="F1741" s="9" t="s">
        <v>27</v>
      </c>
      <c r="G1741" s="9" t="s">
        <v>27</v>
      </c>
      <c r="H1741" s="11" t="n">
        <v>27</v>
      </c>
      <c r="I1741" s="11" t="s">
        <v>418</v>
      </c>
      <c r="J1741" s="14"/>
      <c r="K1741" s="14" t="n">
        <v>24</v>
      </c>
      <c r="L1741" s="16"/>
      <c r="M1741" s="27" t="n">
        <f aca="false">J1741+(K1741/20)+(L1741/240)</f>
        <v>1.2</v>
      </c>
      <c r="N1741" s="17" t="s">
        <v>66</v>
      </c>
      <c r="O1741" s="11"/>
      <c r="P1741" s="28"/>
      <c r="Q1741" s="28" t="n">
        <f aca="false">P1741*$M1741</f>
        <v>0</v>
      </c>
      <c r="R1741" s="28"/>
      <c r="S1741" s="28" t="n">
        <f aca="false">R1741*$M1741</f>
        <v>0</v>
      </c>
      <c r="T1741" s="28"/>
      <c r="U1741" s="28" t="n">
        <f aca="false">T1741*$M1741</f>
        <v>0</v>
      </c>
      <c r="V1741" s="28"/>
      <c r="W1741" s="28" t="n">
        <f aca="false">V1741*$M1741</f>
        <v>0</v>
      </c>
      <c r="X1741" s="28"/>
      <c r="Y1741" s="28" t="n">
        <f aca="false">X1741*$M1741</f>
        <v>0</v>
      </c>
      <c r="Z1741" s="28"/>
      <c r="AA1741" s="28" t="n">
        <f aca="false">Z1741*$M1741</f>
        <v>0</v>
      </c>
      <c r="AB1741" s="28"/>
      <c r="AC1741" s="28" t="n">
        <f aca="false">AB1741*$M1741</f>
        <v>0</v>
      </c>
      <c r="AD1741" s="28"/>
      <c r="AE1741" s="28" t="n">
        <f aca="false">AD1741*$M1741</f>
        <v>0</v>
      </c>
      <c r="AF1741" s="28"/>
      <c r="AG1741" s="28" t="n">
        <f aca="false">AF1741*$M1741</f>
        <v>0</v>
      </c>
      <c r="AH1741" s="28" t="n">
        <v>50204</v>
      </c>
      <c r="AI1741" s="28" t="n">
        <v>60245</v>
      </c>
      <c r="AJ1741" s="28"/>
      <c r="AK1741" s="28" t="n">
        <f aca="false">AJ1741*$M1741</f>
        <v>0</v>
      </c>
      <c r="AL1741" s="28"/>
      <c r="AM1741" s="28" t="n">
        <f aca="false">AL1741*$M1741</f>
        <v>0</v>
      </c>
      <c r="AN1741" s="28"/>
      <c r="AO1741" s="28" t="n">
        <f aca="false">AN1741*$M1741</f>
        <v>0</v>
      </c>
      <c r="AP1741" s="28"/>
      <c r="AQ1741" s="28" t="n">
        <f aca="false">AP1741*$M1741</f>
        <v>0</v>
      </c>
      <c r="AR1741" s="28"/>
      <c r="AS1741" s="28" t="n">
        <f aca="false">AR1741*$M1741</f>
        <v>0</v>
      </c>
      <c r="AT1741" s="28"/>
      <c r="AU1741" s="28" t="n">
        <f aca="false">AT1741*$M1741</f>
        <v>0</v>
      </c>
      <c r="AV1741" s="28"/>
      <c r="AW1741" s="28" t="n">
        <f aca="false">AV1741*$M1741</f>
        <v>0</v>
      </c>
      <c r="AX1741" s="28"/>
      <c r="AY1741" s="28" t="n">
        <f aca="false">AX1741*$M1741</f>
        <v>0</v>
      </c>
      <c r="AZ1741" s="30" t="n">
        <v>50204</v>
      </c>
      <c r="BA1741" s="11" t="n">
        <v>60245</v>
      </c>
      <c r="BB1741" s="31" t="n">
        <f aca="false">SUM(Q1741,S1741,U1741,W1741,Y1741,AA1741,AC1741,AE1741,AG1741,AI1741,AK1741,AM1741,AO1741,AQ1741,AS1741,AU1741,AW1741,AY1741)</f>
        <v>60245</v>
      </c>
      <c r="BC1741" s="28" t="n">
        <f aca="false">BA1741-BB1741</f>
        <v>0</v>
      </c>
      <c r="BD1741" s="32" t="n">
        <f aca="false">SUM(P1741,R1741,T1741,V1741,X1741,Z1741,AB1741,AD1741,AF1741,AH1741,AJ1741,AL1741,AN1741,AP1741,AR1741,AT1741,AV1741,AX1741)</f>
        <v>50204</v>
      </c>
      <c r="BE1741" s="33" t="n">
        <f aca="false">AZ1741-BD1741</f>
        <v>0</v>
      </c>
      <c r="BF1741" s="34" t="n">
        <f aca="false">BD1741*M1741</f>
        <v>60244.8</v>
      </c>
      <c r="BG1741" s="35" t="n">
        <f aca="false">BA1741-BF1741</f>
        <v>0.200000000004366</v>
      </c>
      <c r="BH1741" s="19" t="str">
        <f aca="false">IF(BG1741=0,"",IF(BG1741&lt;&gt;BA1741,"erreur de calcul",IF(BD1741&lt;&gt;0,"pas de prix",IF(M1741&lt;&gt; 0,"pas de quantité","pas de prix, ni de quantité"))))</f>
        <v>erreur de calcul</v>
      </c>
      <c r="BI1741" s="19"/>
    </row>
    <row r="1742" customFormat="false" ht="15" hidden="false" customHeight="false" outlineLevel="0" collapsed="false">
      <c r="A1742" s="0" t="n">
        <v>8</v>
      </c>
      <c r="B1742" s="8" t="s">
        <v>24</v>
      </c>
      <c r="C1742" s="9" t="s">
        <v>25</v>
      </c>
      <c r="D1742" s="9" t="s">
        <v>26</v>
      </c>
      <c r="E1742" s="10" t="n">
        <v>1789</v>
      </c>
      <c r="F1742" s="9" t="s">
        <v>27</v>
      </c>
      <c r="G1742" s="9" t="s">
        <v>27</v>
      </c>
      <c r="H1742" s="11" t="n">
        <v>27</v>
      </c>
      <c r="I1742" s="11" t="s">
        <v>419</v>
      </c>
      <c r="J1742" s="14" t="n">
        <v>40</v>
      </c>
      <c r="K1742" s="14"/>
      <c r="L1742" s="16"/>
      <c r="M1742" s="27" t="n">
        <f aca="false">J1742+(K1742/20)+(L1742/240)</f>
        <v>40</v>
      </c>
      <c r="N1742" s="17" t="s">
        <v>66</v>
      </c>
      <c r="O1742" s="11" t="s">
        <v>98</v>
      </c>
      <c r="P1742" s="28"/>
      <c r="Q1742" s="28" t="n">
        <f aca="false">P1742*$M1742</f>
        <v>0</v>
      </c>
      <c r="R1742" s="28"/>
      <c r="S1742" s="28" t="n">
        <f aca="false">R1742*$M1742</f>
        <v>0</v>
      </c>
      <c r="T1742" s="28"/>
      <c r="U1742" s="28" t="n">
        <f aca="false">T1742*$M1742</f>
        <v>0</v>
      </c>
      <c r="V1742" s="28"/>
      <c r="W1742" s="28" t="n">
        <f aca="false">V1742*$M1742</f>
        <v>0</v>
      </c>
      <c r="X1742" s="28"/>
      <c r="Y1742" s="28" t="n">
        <f aca="false">X1742*$M1742</f>
        <v>0</v>
      </c>
      <c r="Z1742" s="28"/>
      <c r="AA1742" s="28" t="n">
        <f aca="false">Z1742*$M1742</f>
        <v>0</v>
      </c>
      <c r="AB1742" s="28"/>
      <c r="AC1742" s="28" t="n">
        <f aca="false">AB1742*$M1742</f>
        <v>0</v>
      </c>
      <c r="AD1742" s="28"/>
      <c r="AE1742" s="28" t="n">
        <f aca="false">AD1742*$M1742</f>
        <v>0</v>
      </c>
      <c r="AF1742" s="28"/>
      <c r="AG1742" s="28" t="n">
        <f aca="false">AF1742*$M1742</f>
        <v>0</v>
      </c>
      <c r="AH1742" s="28"/>
      <c r="AI1742" s="28" t="n">
        <f aca="false">AH1742*$M1742</f>
        <v>0</v>
      </c>
      <c r="AJ1742" s="28"/>
      <c r="AK1742" s="28" t="n">
        <f aca="false">AJ1742*$M1742</f>
        <v>0</v>
      </c>
      <c r="AL1742" s="28"/>
      <c r="AM1742" s="28" t="n">
        <f aca="false">AL1742*$M1742</f>
        <v>0</v>
      </c>
      <c r="AN1742" s="28"/>
      <c r="AO1742" s="28" t="n">
        <f aca="false">AN1742*$M1742</f>
        <v>0</v>
      </c>
      <c r="AP1742" s="28"/>
      <c r="AQ1742" s="28" t="n">
        <f aca="false">AP1742*$M1742</f>
        <v>0</v>
      </c>
      <c r="AR1742" s="28"/>
      <c r="AS1742" s="28" t="n">
        <f aca="false">AR1742*$M1742</f>
        <v>0</v>
      </c>
      <c r="AT1742" s="28"/>
      <c r="AU1742" s="28" t="n">
        <f aca="false">AT1742*$M1742</f>
        <v>0</v>
      </c>
      <c r="AV1742" s="28"/>
      <c r="AW1742" s="28" t="n">
        <f aca="false">AV1742*$M1742</f>
        <v>0</v>
      </c>
      <c r="AX1742" s="28"/>
      <c r="AY1742" s="28" t="n">
        <f aca="false">AX1742*$M1742</f>
        <v>0</v>
      </c>
      <c r="AZ1742" s="30"/>
      <c r="BA1742" s="11"/>
      <c r="BB1742" s="31" t="n">
        <f aca="false">SUM(Q1742,S1742,U1742,W1742,Y1742,AA1742,AC1742,AE1742,AG1742,AI1742,AK1742,AM1742,AO1742,AQ1742,AS1742,AU1742,AW1742,AY1742)</f>
        <v>0</v>
      </c>
      <c r="BC1742" s="28" t="n">
        <f aca="false">BA1742-BB1742</f>
        <v>0</v>
      </c>
      <c r="BD1742" s="32" t="n">
        <f aca="false">SUM(P1742,R1742,T1742,V1742,X1742,Z1742,AB1742,AD1742,AF1742,AH1742,AJ1742,AL1742,AN1742,AP1742,AR1742,AT1742,AV1742,AX1742)</f>
        <v>0</v>
      </c>
      <c r="BE1742" s="33" t="n">
        <f aca="false">AZ1742-BD1742</f>
        <v>0</v>
      </c>
      <c r="BF1742" s="34" t="n">
        <f aca="false">BD1742*M1742</f>
        <v>0</v>
      </c>
      <c r="BG1742" s="35" t="n">
        <f aca="false">BA1742-BF1742</f>
        <v>0</v>
      </c>
      <c r="BH1742" s="19" t="str">
        <f aca="false">IF(BG1742=0,"",IF(BG1742&lt;&gt;BA1742,"erreur de calcul",IF(BD1742&lt;&gt;0,"pas de prix",IF(M1742&lt;&gt; 0,"pas de quantité","pas de prix, ni de quantité"))))</f>
        <v/>
      </c>
      <c r="BI1742" s="19"/>
    </row>
    <row r="1743" customFormat="false" ht="15" hidden="false" customHeight="false" outlineLevel="0" collapsed="false">
      <c r="A1743" s="0" t="n">
        <v>9</v>
      </c>
      <c r="B1743" s="8" t="s">
        <v>24</v>
      </c>
      <c r="C1743" s="9" t="s">
        <v>25</v>
      </c>
      <c r="D1743" s="9" t="s">
        <v>26</v>
      </c>
      <c r="E1743" s="10" t="n">
        <v>1789</v>
      </c>
      <c r="F1743" s="9" t="s">
        <v>27</v>
      </c>
      <c r="G1743" s="9" t="s">
        <v>27</v>
      </c>
      <c r="H1743" s="11" t="n">
        <v>27</v>
      </c>
      <c r="I1743" s="11" t="s">
        <v>420</v>
      </c>
      <c r="J1743" s="14" t="n">
        <v>9</v>
      </c>
      <c r="K1743" s="14"/>
      <c r="L1743" s="16"/>
      <c r="M1743" s="27" t="n">
        <f aca="false">J1743+(K1743/20)+(L1743/240)</f>
        <v>9</v>
      </c>
      <c r="N1743" s="17" t="s">
        <v>81</v>
      </c>
      <c r="O1743" s="11" t="s">
        <v>98</v>
      </c>
      <c r="P1743" s="28"/>
      <c r="Q1743" s="28" t="n">
        <f aca="false">P1743*$M1743</f>
        <v>0</v>
      </c>
      <c r="R1743" s="28"/>
      <c r="S1743" s="28" t="n">
        <f aca="false">R1743*$M1743</f>
        <v>0</v>
      </c>
      <c r="T1743" s="28"/>
      <c r="U1743" s="28" t="n">
        <f aca="false">T1743*$M1743</f>
        <v>0</v>
      </c>
      <c r="V1743" s="28"/>
      <c r="W1743" s="28" t="n">
        <f aca="false">V1743*$M1743</f>
        <v>0</v>
      </c>
      <c r="X1743" s="28"/>
      <c r="Y1743" s="28" t="n">
        <f aca="false">X1743*$M1743</f>
        <v>0</v>
      </c>
      <c r="Z1743" s="28"/>
      <c r="AA1743" s="28" t="n">
        <f aca="false">Z1743*$M1743</f>
        <v>0</v>
      </c>
      <c r="AB1743" s="28"/>
      <c r="AC1743" s="28" t="n">
        <f aca="false">AB1743*$M1743</f>
        <v>0</v>
      </c>
      <c r="AD1743" s="28"/>
      <c r="AE1743" s="28" t="n">
        <f aca="false">AD1743*$M1743</f>
        <v>0</v>
      </c>
      <c r="AF1743" s="28"/>
      <c r="AG1743" s="28" t="n">
        <f aca="false">AF1743*$M1743</f>
        <v>0</v>
      </c>
      <c r="AH1743" s="28"/>
      <c r="AI1743" s="28" t="n">
        <f aca="false">AH1743*$M1743</f>
        <v>0</v>
      </c>
      <c r="AJ1743" s="28"/>
      <c r="AK1743" s="28" t="n">
        <f aca="false">AJ1743*$M1743</f>
        <v>0</v>
      </c>
      <c r="AL1743" s="28"/>
      <c r="AM1743" s="28" t="n">
        <f aca="false">AL1743*$M1743</f>
        <v>0</v>
      </c>
      <c r="AN1743" s="28"/>
      <c r="AO1743" s="28" t="n">
        <f aca="false">AN1743*$M1743</f>
        <v>0</v>
      </c>
      <c r="AP1743" s="28"/>
      <c r="AQ1743" s="28" t="n">
        <f aca="false">AP1743*$M1743</f>
        <v>0</v>
      </c>
      <c r="AR1743" s="28"/>
      <c r="AS1743" s="28" t="n">
        <f aca="false">AR1743*$M1743</f>
        <v>0</v>
      </c>
      <c r="AT1743" s="28"/>
      <c r="AU1743" s="28" t="n">
        <f aca="false">AT1743*$M1743</f>
        <v>0</v>
      </c>
      <c r="AV1743" s="28"/>
      <c r="AW1743" s="28" t="n">
        <f aca="false">AV1743*$M1743</f>
        <v>0</v>
      </c>
      <c r="AX1743" s="28"/>
      <c r="AY1743" s="28" t="n">
        <f aca="false">AX1743*$M1743</f>
        <v>0</v>
      </c>
      <c r="AZ1743" s="30"/>
      <c r="BA1743" s="11"/>
      <c r="BB1743" s="31" t="n">
        <f aca="false">SUM(Q1743,S1743,U1743,W1743,Y1743,AA1743,AC1743,AE1743,AG1743,AI1743,AK1743,AM1743,AO1743,AQ1743,AS1743,AU1743,AW1743,AY1743)</f>
        <v>0</v>
      </c>
      <c r="BC1743" s="28" t="n">
        <f aca="false">BA1743-BB1743</f>
        <v>0</v>
      </c>
      <c r="BD1743" s="32" t="n">
        <f aca="false">SUM(P1743,R1743,T1743,V1743,X1743,Z1743,AB1743,AD1743,AF1743,AH1743,AJ1743,AL1743,AN1743,AP1743,AR1743,AT1743,AV1743,AX1743)</f>
        <v>0</v>
      </c>
      <c r="BE1743" s="33" t="n">
        <f aca="false">AZ1743-BD1743</f>
        <v>0</v>
      </c>
      <c r="BF1743" s="34" t="n">
        <f aca="false">BD1743*M1743</f>
        <v>0</v>
      </c>
      <c r="BG1743" s="35" t="n">
        <f aca="false">BA1743-BF1743</f>
        <v>0</v>
      </c>
      <c r="BH1743" s="19" t="str">
        <f aca="false">IF(BG1743=0,"",IF(BG1743&lt;&gt;BA1743,"erreur de calcul",IF(BD1743&lt;&gt;0,"pas de prix",IF(M1743&lt;&gt; 0,"pas de quantité","pas de prix, ni de quantité"))))</f>
        <v/>
      </c>
      <c r="BI1743" s="19"/>
    </row>
    <row r="1744" customFormat="false" ht="15" hidden="false" customHeight="false" outlineLevel="0" collapsed="false">
      <c r="A1744" s="0" t="n">
        <v>10</v>
      </c>
      <c r="B1744" s="8" t="s">
        <v>24</v>
      </c>
      <c r="C1744" s="9" t="s">
        <v>25</v>
      </c>
      <c r="D1744" s="9" t="s">
        <v>26</v>
      </c>
      <c r="E1744" s="10" t="n">
        <v>1789</v>
      </c>
      <c r="F1744" s="9" t="s">
        <v>27</v>
      </c>
      <c r="G1744" s="9" t="s">
        <v>27</v>
      </c>
      <c r="H1744" s="11" t="n">
        <v>27</v>
      </c>
      <c r="I1744" s="11" t="s">
        <v>421</v>
      </c>
      <c r="J1744" s="14" t="n">
        <v>220</v>
      </c>
      <c r="K1744" s="14"/>
      <c r="L1744" s="16"/>
      <c r="M1744" s="27" t="n">
        <f aca="false">J1744+(K1744/20)+(L1744/240)</f>
        <v>220</v>
      </c>
      <c r="N1744" s="17" t="s">
        <v>64</v>
      </c>
      <c r="O1744" s="11" t="s">
        <v>277</v>
      </c>
      <c r="P1744" s="28" t="n">
        <f aca="false">245/100</f>
        <v>2.45</v>
      </c>
      <c r="Q1744" s="28" t="n">
        <v>539</v>
      </c>
      <c r="R1744" s="28"/>
      <c r="S1744" s="28" t="n">
        <f aca="false">R1744*$M1744</f>
        <v>0</v>
      </c>
      <c r="T1744" s="28" t="n">
        <f aca="false">40119/100</f>
        <v>401.19</v>
      </c>
      <c r="U1744" s="28" t="n">
        <v>88262</v>
      </c>
      <c r="V1744" s="28" t="n">
        <f aca="false">14285/100</f>
        <v>142.85</v>
      </c>
      <c r="W1744" s="28" t="n">
        <v>31427</v>
      </c>
      <c r="X1744" s="28" t="n">
        <f aca="false">62608/100</f>
        <v>626.08</v>
      </c>
      <c r="Y1744" s="28" t="n">
        <v>137738</v>
      </c>
      <c r="Z1744" s="28" t="n">
        <f aca="false">523/100</f>
        <v>5.23</v>
      </c>
      <c r="AA1744" s="28" t="n">
        <v>1151</v>
      </c>
      <c r="AB1744" s="28" t="n">
        <f aca="false">56/100</f>
        <v>0.56</v>
      </c>
      <c r="AC1744" s="28" t="n">
        <v>123</v>
      </c>
      <c r="AD1744" s="28"/>
      <c r="AE1744" s="28" t="n">
        <f aca="false">AD1744*$M1744</f>
        <v>0</v>
      </c>
      <c r="AF1744" s="28"/>
      <c r="AG1744" s="28" t="n">
        <f aca="false">AF1744*$M1744</f>
        <v>0</v>
      </c>
      <c r="AH1744" s="28"/>
      <c r="AI1744" s="28" t="n">
        <f aca="false">AH1744*$M1744</f>
        <v>0</v>
      </c>
      <c r="AJ1744" s="28" t="n">
        <f aca="false">3845/100</f>
        <v>38.45</v>
      </c>
      <c r="AK1744" s="28" t="n">
        <v>8459</v>
      </c>
      <c r="AL1744" s="28" t="n">
        <f aca="false">26510/100</f>
        <v>265.1</v>
      </c>
      <c r="AM1744" s="28" t="n">
        <v>58322</v>
      </c>
      <c r="AN1744" s="28" t="n">
        <f aca="false">330/100</f>
        <v>3.3</v>
      </c>
      <c r="AO1744" s="28" t="n">
        <v>726</v>
      </c>
      <c r="AP1744" s="28"/>
      <c r="AQ1744" s="28" t="n">
        <f aca="false">AP1744*$M1744</f>
        <v>0</v>
      </c>
      <c r="AR1744" s="28"/>
      <c r="AS1744" s="28" t="n">
        <f aca="false">AR1744*$M1744</f>
        <v>0</v>
      </c>
      <c r="AT1744" s="28"/>
      <c r="AU1744" s="28" t="n">
        <f aca="false">AT1744*$M1744</f>
        <v>0</v>
      </c>
      <c r="AV1744" s="28" t="n">
        <f aca="false">1487/100</f>
        <v>14.87</v>
      </c>
      <c r="AW1744" s="28" t="n">
        <v>3271</v>
      </c>
      <c r="AX1744" s="28"/>
      <c r="AY1744" s="28" t="n">
        <f aca="false">AX1744*$M1744</f>
        <v>0</v>
      </c>
      <c r="AZ1744" s="30" t="n">
        <f aca="false">150008/100</f>
        <v>1500.08</v>
      </c>
      <c r="BA1744" s="11" t="n">
        <v>330018</v>
      </c>
      <c r="BB1744" s="31" t="n">
        <f aca="false">SUM(Q1744,S1744,U1744,W1744,Y1744,AA1744,AC1744,AE1744,AG1744,AI1744,AK1744,AM1744,AO1744,AQ1744,AS1744,AU1744,AW1744,AY1744)</f>
        <v>330018</v>
      </c>
      <c r="BC1744" s="28" t="n">
        <f aca="false">BA1744-BB1744</f>
        <v>0</v>
      </c>
      <c r="BD1744" s="32" t="n">
        <f aca="false">SUM(P1744,R1744,T1744,V1744,X1744,Z1744,AB1744,AD1744,AF1744,AH1744,AJ1744,AL1744,AN1744,AP1744,AR1744,AT1744,AV1744,AX1744)</f>
        <v>1500.08</v>
      </c>
      <c r="BE1744" s="33" t="n">
        <f aca="false">AZ1744-BD1744</f>
        <v>0</v>
      </c>
      <c r="BF1744" s="34" t="n">
        <f aca="false">BD1744*M1744</f>
        <v>330017.6</v>
      </c>
      <c r="BG1744" s="35" t="n">
        <f aca="false">BA1744-BF1744</f>
        <v>0.399999999965075</v>
      </c>
      <c r="BH1744" s="19" t="str">
        <f aca="false">IF(BG1744=0,"",IF(BG1744&lt;&gt;BA1744,"erreur de calcul",IF(BD1744&lt;&gt;0,"pas de prix",IF(M1744&lt;&gt; 0,"pas de quantité","pas de prix, ni de quantité"))))</f>
        <v>erreur de calcul</v>
      </c>
      <c r="BI1744" s="19"/>
    </row>
    <row r="1745" customFormat="false" ht="15" hidden="false" customHeight="false" outlineLevel="0" collapsed="false">
      <c r="A1745" s="0" t="n">
        <v>11</v>
      </c>
      <c r="B1745" s="8" t="s">
        <v>24</v>
      </c>
      <c r="C1745" s="9" t="s">
        <v>25</v>
      </c>
      <c r="D1745" s="9" t="s">
        <v>26</v>
      </c>
      <c r="E1745" s="10" t="n">
        <v>1789</v>
      </c>
      <c r="F1745" s="9" t="s">
        <v>27</v>
      </c>
      <c r="G1745" s="9" t="s">
        <v>27</v>
      </c>
      <c r="H1745" s="11" t="n">
        <v>27</v>
      </c>
      <c r="I1745" s="11" t="s">
        <v>422</v>
      </c>
      <c r="J1745" s="14" t="n">
        <v>35</v>
      </c>
      <c r="K1745" s="14"/>
      <c r="L1745" s="16"/>
      <c r="M1745" s="27" t="n">
        <f aca="false">J1745+(K1745/20)+(L1745/240)</f>
        <v>35</v>
      </c>
      <c r="N1745" s="17" t="s">
        <v>64</v>
      </c>
      <c r="O1745" s="11"/>
      <c r="P1745" s="28"/>
      <c r="Q1745" s="28" t="n">
        <f aca="false">P1745*$M1745</f>
        <v>0</v>
      </c>
      <c r="R1745" s="28"/>
      <c r="S1745" s="28" t="n">
        <f aca="false">R1745*$M1745</f>
        <v>0</v>
      </c>
      <c r="T1745" s="28"/>
      <c r="U1745" s="28" t="n">
        <f aca="false">T1745*$M1745</f>
        <v>0</v>
      </c>
      <c r="V1745" s="28"/>
      <c r="W1745" s="28" t="n">
        <f aca="false">V1745*$M1745</f>
        <v>0</v>
      </c>
      <c r="X1745" s="28" t="n">
        <f aca="false">9982/100</f>
        <v>99.82</v>
      </c>
      <c r="Y1745" s="28" t="n">
        <v>3494</v>
      </c>
      <c r="Z1745" s="28"/>
      <c r="AA1745" s="28" t="n">
        <f aca="false">Z1745*$M1745</f>
        <v>0</v>
      </c>
      <c r="AB1745" s="28"/>
      <c r="AC1745" s="28" t="n">
        <f aca="false">AB1745*$M1745</f>
        <v>0</v>
      </c>
      <c r="AD1745" s="28"/>
      <c r="AE1745" s="28" t="n">
        <f aca="false">AD1745*$M1745</f>
        <v>0</v>
      </c>
      <c r="AF1745" s="28"/>
      <c r="AG1745" s="28" t="n">
        <f aca="false">AF1745*$M1745</f>
        <v>0</v>
      </c>
      <c r="AH1745" s="28"/>
      <c r="AI1745" s="28" t="n">
        <f aca="false">AH1745*$M1745</f>
        <v>0</v>
      </c>
      <c r="AJ1745" s="28" t="n">
        <f aca="false">28200/100</f>
        <v>282</v>
      </c>
      <c r="AK1745" s="28" t="n">
        <v>9870</v>
      </c>
      <c r="AL1745" s="28" t="n">
        <f aca="false">163472/100</f>
        <v>1634.72</v>
      </c>
      <c r="AM1745" s="28" t="n">
        <v>57215</v>
      </c>
      <c r="AN1745" s="28"/>
      <c r="AO1745" s="28" t="n">
        <f aca="false">AN1745*$M1745</f>
        <v>0</v>
      </c>
      <c r="AP1745" s="28"/>
      <c r="AQ1745" s="28" t="n">
        <f aca="false">AP1745*$M1745</f>
        <v>0</v>
      </c>
      <c r="AR1745" s="28"/>
      <c r="AS1745" s="28" t="n">
        <f aca="false">AR1745*$M1745</f>
        <v>0</v>
      </c>
      <c r="AT1745" s="28"/>
      <c r="AU1745" s="28" t="n">
        <f aca="false">AT1745*$M1745</f>
        <v>0</v>
      </c>
      <c r="AV1745" s="28" t="n">
        <f aca="false">49250/100</f>
        <v>492.5</v>
      </c>
      <c r="AW1745" s="28" t="n">
        <v>17237</v>
      </c>
      <c r="AX1745" s="28"/>
      <c r="AY1745" s="28" t="n">
        <f aca="false">AX1745*$M1745</f>
        <v>0</v>
      </c>
      <c r="AZ1745" s="30" t="n">
        <f aca="false">250904/100</f>
        <v>2509.04</v>
      </c>
      <c r="BA1745" s="11" t="n">
        <v>87816</v>
      </c>
      <c r="BB1745" s="31" t="n">
        <f aca="false">SUM(Q1745,S1745,U1745,W1745,Y1745,AA1745,AC1745,AE1745,AG1745,AI1745,AK1745,AM1745,AO1745,AQ1745,AS1745,AU1745,AW1745,AY1745)</f>
        <v>87816</v>
      </c>
      <c r="BC1745" s="28" t="n">
        <f aca="false">BA1745-BB1745</f>
        <v>0</v>
      </c>
      <c r="BD1745" s="32" t="n">
        <f aca="false">SUM(P1745,R1745,T1745,V1745,X1745,Z1745,AB1745,AD1745,AF1745,AH1745,AJ1745,AL1745,AN1745,AP1745,AR1745,AT1745,AV1745,AX1745)</f>
        <v>2509.04</v>
      </c>
      <c r="BE1745" s="33" t="n">
        <f aca="false">AZ1745-BD1745</f>
        <v>0</v>
      </c>
      <c r="BF1745" s="34" t="n">
        <f aca="false">BD1745*M1745</f>
        <v>87816.4</v>
      </c>
      <c r="BG1745" s="35" t="n">
        <f aca="false">BA1745-BF1745</f>
        <v>-0.400000000008731</v>
      </c>
      <c r="BH1745" s="19" t="str">
        <f aca="false">IF(BG1745=0,"",IF(BG1745&lt;&gt;BA1745,"erreur de calcul",IF(BD1745&lt;&gt;0,"pas de prix",IF(M1745&lt;&gt; 0,"pas de quantité","pas de prix, ni de quantité"))))</f>
        <v>erreur de calcul</v>
      </c>
      <c r="BI1745" s="19"/>
    </row>
    <row r="1746" customFormat="false" ht="15" hidden="false" customHeight="false" outlineLevel="0" collapsed="false">
      <c r="A1746" s="0" t="n">
        <v>12</v>
      </c>
      <c r="B1746" s="8" t="s">
        <v>24</v>
      </c>
      <c r="C1746" s="9" t="s">
        <v>25</v>
      </c>
      <c r="D1746" s="9" t="s">
        <v>26</v>
      </c>
      <c r="E1746" s="10" t="n">
        <v>1789</v>
      </c>
      <c r="F1746" s="9" t="s">
        <v>27</v>
      </c>
      <c r="G1746" s="9" t="s">
        <v>27</v>
      </c>
      <c r="H1746" s="11" t="n">
        <v>27</v>
      </c>
      <c r="I1746" s="11" t="s">
        <v>423</v>
      </c>
      <c r="J1746" s="14" t="n">
        <v>75</v>
      </c>
      <c r="K1746" s="14"/>
      <c r="L1746" s="16"/>
      <c r="M1746" s="27" t="n">
        <f aca="false">J1746+(K1746/20)+(L1746/240)</f>
        <v>75</v>
      </c>
      <c r="N1746" s="17" t="s">
        <v>64</v>
      </c>
      <c r="O1746" s="11"/>
      <c r="P1746" s="28"/>
      <c r="Q1746" s="28" t="n">
        <f aca="false">P1746*$M1746</f>
        <v>0</v>
      </c>
      <c r="R1746" s="28"/>
      <c r="S1746" s="28" t="n">
        <f aca="false">R1746*$M1746</f>
        <v>0</v>
      </c>
      <c r="T1746" s="28"/>
      <c r="U1746" s="28" t="n">
        <f aca="false">T1746*$M1746</f>
        <v>0</v>
      </c>
      <c r="V1746" s="28" t="n">
        <f aca="false">1030/100</f>
        <v>10.3</v>
      </c>
      <c r="W1746" s="28" t="n">
        <v>772</v>
      </c>
      <c r="X1746" s="28"/>
      <c r="Y1746" s="28" t="n">
        <f aca="false">X1746*$M1746</f>
        <v>0</v>
      </c>
      <c r="Z1746" s="28"/>
      <c r="AA1746" s="28" t="n">
        <f aca="false">Z1746*$M1746</f>
        <v>0</v>
      </c>
      <c r="AB1746" s="28"/>
      <c r="AC1746" s="28" t="n">
        <f aca="false">AB1746*$M1746</f>
        <v>0</v>
      </c>
      <c r="AD1746" s="28"/>
      <c r="AE1746" s="28" t="n">
        <f aca="false">AD1746*$M1746</f>
        <v>0</v>
      </c>
      <c r="AF1746" s="28"/>
      <c r="AG1746" s="28" t="n">
        <f aca="false">AF1746*$M1746</f>
        <v>0</v>
      </c>
      <c r="AH1746" s="28"/>
      <c r="AI1746" s="28" t="n">
        <f aca="false">AH1746*$M1746</f>
        <v>0</v>
      </c>
      <c r="AJ1746" s="28"/>
      <c r="AK1746" s="28" t="n">
        <f aca="false">AJ1746*$M1746</f>
        <v>0</v>
      </c>
      <c r="AL1746" s="28"/>
      <c r="AM1746" s="28" t="n">
        <f aca="false">AL1746*$M1746</f>
        <v>0</v>
      </c>
      <c r="AN1746" s="28"/>
      <c r="AO1746" s="28" t="n">
        <f aca="false">AN1746*$M1746</f>
        <v>0</v>
      </c>
      <c r="AP1746" s="28"/>
      <c r="AQ1746" s="28" t="n">
        <f aca="false">AP1746*$M1746</f>
        <v>0</v>
      </c>
      <c r="AR1746" s="28"/>
      <c r="AS1746" s="28" t="n">
        <f aca="false">AR1746*$M1746</f>
        <v>0</v>
      </c>
      <c r="AT1746" s="28"/>
      <c r="AU1746" s="28" t="n">
        <f aca="false">AT1746*$M1746</f>
        <v>0</v>
      </c>
      <c r="AV1746" s="28"/>
      <c r="AW1746" s="28" t="n">
        <f aca="false">AV1746*$M1746</f>
        <v>0</v>
      </c>
      <c r="AX1746" s="28"/>
      <c r="AY1746" s="28" t="n">
        <f aca="false">AX1746*$M1746</f>
        <v>0</v>
      </c>
      <c r="AZ1746" s="30" t="n">
        <f aca="false">1030/100</f>
        <v>10.3</v>
      </c>
      <c r="BA1746" s="11" t="n">
        <v>772</v>
      </c>
      <c r="BB1746" s="31" t="n">
        <f aca="false">SUM(Q1746,S1746,U1746,W1746,Y1746,AA1746,AC1746,AE1746,AG1746,AI1746,AK1746,AM1746,AO1746,AQ1746,AS1746,AU1746,AW1746,AY1746)</f>
        <v>772</v>
      </c>
      <c r="BC1746" s="28" t="n">
        <f aca="false">BA1746-BB1746</f>
        <v>0</v>
      </c>
      <c r="BD1746" s="32" t="n">
        <f aca="false">SUM(P1746,R1746,T1746,V1746,X1746,Z1746,AB1746,AD1746,AF1746,AH1746,AJ1746,AL1746,AN1746,AP1746,AR1746,AT1746,AV1746,AX1746)</f>
        <v>10.3</v>
      </c>
      <c r="BE1746" s="33" t="n">
        <f aca="false">AZ1746-BD1746</f>
        <v>0</v>
      </c>
      <c r="BF1746" s="34" t="n">
        <f aca="false">BD1746*M1746</f>
        <v>772.5</v>
      </c>
      <c r="BG1746" s="35" t="n">
        <f aca="false">BA1746-BF1746</f>
        <v>-0.5</v>
      </c>
      <c r="BH1746" s="19" t="str">
        <f aca="false">IF(BG1746=0,"",IF(BG1746&lt;&gt;BA1746,"erreur de calcul",IF(BD1746&lt;&gt;0,"pas de prix",IF(M1746&lt;&gt; 0,"pas de quantité","pas de prix, ni de quantité"))))</f>
        <v>erreur de calcul</v>
      </c>
      <c r="BI1746" s="19"/>
    </row>
    <row r="1747" customFormat="false" ht="15" hidden="false" customHeight="false" outlineLevel="0" collapsed="false">
      <c r="A1747" s="0" t="n">
        <v>13</v>
      </c>
      <c r="B1747" s="8" t="s">
        <v>24</v>
      </c>
      <c r="C1747" s="9" t="s">
        <v>25</v>
      </c>
      <c r="D1747" s="9" t="s">
        <v>26</v>
      </c>
      <c r="E1747" s="10" t="n">
        <v>1789</v>
      </c>
      <c r="F1747" s="9" t="s">
        <v>27</v>
      </c>
      <c r="G1747" s="9" t="s">
        <v>27</v>
      </c>
      <c r="H1747" s="11" t="n">
        <v>27</v>
      </c>
      <c r="I1747" s="11" t="s">
        <v>424</v>
      </c>
      <c r="J1747" s="14" t="n">
        <v>6</v>
      </c>
      <c r="K1747" s="14"/>
      <c r="L1747" s="16"/>
      <c r="M1747" s="27" t="n">
        <f aca="false">J1747+(K1747/20)+(L1747/240)</f>
        <v>6</v>
      </c>
      <c r="N1747" s="17" t="s">
        <v>64</v>
      </c>
      <c r="O1747" s="11" t="s">
        <v>277</v>
      </c>
      <c r="P1747" s="28"/>
      <c r="Q1747" s="28" t="n">
        <f aca="false">P1747*$M1747</f>
        <v>0</v>
      </c>
      <c r="R1747" s="28"/>
      <c r="S1747" s="28" t="n">
        <f aca="false">R1747*$M1747</f>
        <v>0</v>
      </c>
      <c r="T1747" s="28"/>
      <c r="U1747" s="28" t="n">
        <f aca="false">T1747*$M1747</f>
        <v>0</v>
      </c>
      <c r="V1747" s="28"/>
      <c r="W1747" s="28" t="n">
        <f aca="false">V1747*$M1747</f>
        <v>0</v>
      </c>
      <c r="X1747" s="28"/>
      <c r="Y1747" s="28" t="n">
        <f aca="false">X1747*$M1747</f>
        <v>0</v>
      </c>
      <c r="Z1747" s="28"/>
      <c r="AA1747" s="28" t="n">
        <f aca="false">Z1747*$M1747</f>
        <v>0</v>
      </c>
      <c r="AB1747" s="28"/>
      <c r="AC1747" s="28" t="n">
        <f aca="false">AB1747*$M1747</f>
        <v>0</v>
      </c>
      <c r="AD1747" s="28"/>
      <c r="AE1747" s="28" t="n">
        <f aca="false">AD1747*$M1747</f>
        <v>0</v>
      </c>
      <c r="AF1747" s="28"/>
      <c r="AG1747" s="28" t="n">
        <f aca="false">AF1747*$M1747</f>
        <v>0</v>
      </c>
      <c r="AH1747" s="28" t="n">
        <f aca="false">9050/100</f>
        <v>90.5</v>
      </c>
      <c r="AI1747" s="28" t="n">
        <v>543</v>
      </c>
      <c r="AJ1747" s="28"/>
      <c r="AK1747" s="28" t="n">
        <f aca="false">AJ1747*$M1747</f>
        <v>0</v>
      </c>
      <c r="AL1747" s="28" t="n">
        <f aca="false">48717/100</f>
        <v>487.17</v>
      </c>
      <c r="AM1747" s="28" t="n">
        <v>2923</v>
      </c>
      <c r="AN1747" s="28"/>
      <c r="AO1747" s="28" t="n">
        <f aca="false">AN1747*$M1747</f>
        <v>0</v>
      </c>
      <c r="AP1747" s="28"/>
      <c r="AQ1747" s="28" t="n">
        <f aca="false">AP1747*$M1747</f>
        <v>0</v>
      </c>
      <c r="AR1747" s="28"/>
      <c r="AS1747" s="28" t="n">
        <f aca="false">AR1747*$M1747</f>
        <v>0</v>
      </c>
      <c r="AT1747" s="28"/>
      <c r="AU1747" s="28" t="n">
        <f aca="false">AT1747*$M1747</f>
        <v>0</v>
      </c>
      <c r="AV1747" s="28"/>
      <c r="AW1747" s="28" t="n">
        <f aca="false">AV1747*$M1747</f>
        <v>0</v>
      </c>
      <c r="AX1747" s="28"/>
      <c r="AY1747" s="28" t="n">
        <f aca="false">AX1747*$M1747</f>
        <v>0</v>
      </c>
      <c r="AZ1747" s="30" t="n">
        <f aca="false">57767/100</f>
        <v>577.67</v>
      </c>
      <c r="BA1747" s="11" t="n">
        <v>3466</v>
      </c>
      <c r="BB1747" s="31" t="n">
        <f aca="false">SUM(Q1747,S1747,U1747,W1747,Y1747,AA1747,AC1747,AE1747,AG1747,AI1747,AK1747,AM1747,AO1747,AQ1747,AS1747,AU1747,AW1747,AY1747)</f>
        <v>3466</v>
      </c>
      <c r="BC1747" s="28" t="n">
        <f aca="false">BA1747-BB1747</f>
        <v>0</v>
      </c>
      <c r="BD1747" s="32" t="n">
        <f aca="false">SUM(P1747,R1747,T1747,V1747,X1747,Z1747,AB1747,AD1747,AF1747,AH1747,AJ1747,AL1747,AN1747,AP1747,AR1747,AT1747,AV1747,AX1747)</f>
        <v>577.67</v>
      </c>
      <c r="BE1747" s="33" t="n">
        <f aca="false">AZ1747-BD1747</f>
        <v>0</v>
      </c>
      <c r="BF1747" s="34" t="n">
        <f aca="false">BD1747*M1747</f>
        <v>3466.02</v>
      </c>
      <c r="BG1747" s="35" t="n">
        <f aca="false">BA1747-BF1747</f>
        <v>-0.0200000000004366</v>
      </c>
      <c r="BH1747" s="19" t="str">
        <f aca="false">IF(BG1747=0,"",IF(BG1747&lt;&gt;BA1747,"erreur de calcul",IF(BD1747&lt;&gt;0,"pas de prix",IF(M1747&lt;&gt; 0,"pas de quantité","pas de prix, ni de quantité"))))</f>
        <v>erreur de calcul</v>
      </c>
      <c r="BI1747" s="19"/>
    </row>
    <row r="1748" customFormat="false" ht="15" hidden="false" customHeight="false" outlineLevel="0" collapsed="false">
      <c r="A1748" s="0" t="n">
        <v>14</v>
      </c>
      <c r="B1748" s="8" t="s">
        <v>24</v>
      </c>
      <c r="C1748" s="9" t="s">
        <v>25</v>
      </c>
      <c r="D1748" s="9" t="s">
        <v>26</v>
      </c>
      <c r="E1748" s="10" t="n">
        <v>1789</v>
      </c>
      <c r="F1748" s="9" t="s">
        <v>27</v>
      </c>
      <c r="G1748" s="9" t="s">
        <v>27</v>
      </c>
      <c r="H1748" s="11" t="n">
        <v>27</v>
      </c>
      <c r="I1748" s="11" t="s">
        <v>425</v>
      </c>
      <c r="J1748" s="14" t="n">
        <v>25</v>
      </c>
      <c r="K1748" s="14"/>
      <c r="L1748" s="16"/>
      <c r="M1748" s="27" t="n">
        <f aca="false">J1748+(K1748/20)+(L1748/240)</f>
        <v>25</v>
      </c>
      <c r="N1748" s="17" t="s">
        <v>64</v>
      </c>
      <c r="O1748" s="11"/>
      <c r="P1748" s="28"/>
      <c r="Q1748" s="28" t="n">
        <f aca="false">P1748*$M1748</f>
        <v>0</v>
      </c>
      <c r="R1748" s="28"/>
      <c r="S1748" s="28" t="n">
        <f aca="false">R1748*$M1748</f>
        <v>0</v>
      </c>
      <c r="T1748" s="28" t="n">
        <f aca="false">10*288*0.02+114*0.02</f>
        <v>59.88</v>
      </c>
      <c r="U1748" s="28" t="n">
        <v>1497</v>
      </c>
      <c r="V1748" s="28"/>
      <c r="W1748" s="28" t="n">
        <f aca="false">V1748*$M1748</f>
        <v>0</v>
      </c>
      <c r="X1748" s="28"/>
      <c r="Y1748" s="28" t="n">
        <f aca="false">X1748*$M1748</f>
        <v>0</v>
      </c>
      <c r="Z1748" s="28"/>
      <c r="AA1748" s="28" t="n">
        <f aca="false">Z1748*$M1748</f>
        <v>0</v>
      </c>
      <c r="AB1748" s="28"/>
      <c r="AC1748" s="28" t="n">
        <f aca="false">AB1748*$M1748</f>
        <v>0</v>
      </c>
      <c r="AD1748" s="28"/>
      <c r="AE1748" s="28" t="n">
        <f aca="false">AD1748*$M1748</f>
        <v>0</v>
      </c>
      <c r="AF1748" s="28"/>
      <c r="AG1748" s="28" t="n">
        <f aca="false">AF1748*$M1748</f>
        <v>0</v>
      </c>
      <c r="AH1748" s="28"/>
      <c r="AI1748" s="28" t="n">
        <f aca="false">AH1748*$M1748</f>
        <v>0</v>
      </c>
      <c r="AJ1748" s="28"/>
      <c r="AK1748" s="28" t="n">
        <f aca="false">AJ1748*$M1748</f>
        <v>0</v>
      </c>
      <c r="AL1748" s="28"/>
      <c r="AM1748" s="28" t="n">
        <f aca="false">AL1748*$M1748</f>
        <v>0</v>
      </c>
      <c r="AN1748" s="28"/>
      <c r="AO1748" s="28" t="n">
        <f aca="false">AN1748*$M1748</f>
        <v>0</v>
      </c>
      <c r="AP1748" s="28"/>
      <c r="AQ1748" s="28" t="n">
        <f aca="false">AP1748*$M1748</f>
        <v>0</v>
      </c>
      <c r="AR1748" s="28"/>
      <c r="AS1748" s="28" t="n">
        <f aca="false">AR1748*$M1748</f>
        <v>0</v>
      </c>
      <c r="AT1748" s="28"/>
      <c r="AU1748" s="28" t="n">
        <f aca="false">AT1748*$M1748</f>
        <v>0</v>
      </c>
      <c r="AV1748" s="28"/>
      <c r="AW1748" s="28" t="n">
        <f aca="false">AV1748*$M1748</f>
        <v>0</v>
      </c>
      <c r="AX1748" s="28"/>
      <c r="AY1748" s="28" t="n">
        <f aca="false">AX1748*$M1748</f>
        <v>0</v>
      </c>
      <c r="AZ1748" s="30" t="n">
        <f aca="false">10*288*0.02+114*0.02</f>
        <v>59.88</v>
      </c>
      <c r="BA1748" s="11" t="n">
        <v>1497</v>
      </c>
      <c r="BB1748" s="31" t="n">
        <f aca="false">SUM(Q1748,S1748,U1748,W1748,Y1748,AA1748,AC1748,AE1748,AG1748,AI1748,AK1748,AM1748,AO1748,AQ1748,AS1748,AU1748,AW1748,AY1748)</f>
        <v>1497</v>
      </c>
      <c r="BC1748" s="28" t="n">
        <f aca="false">BA1748-BB1748</f>
        <v>0</v>
      </c>
      <c r="BD1748" s="32" t="n">
        <f aca="false">SUM(P1748,R1748,T1748,V1748,X1748,Z1748,AB1748,AD1748,AF1748,AH1748,AJ1748,AL1748,AN1748,AP1748,AR1748,AT1748,AV1748,AX1748)</f>
        <v>59.88</v>
      </c>
      <c r="BE1748" s="33" t="n">
        <f aca="false">AZ1748-BD1748</f>
        <v>0</v>
      </c>
      <c r="BF1748" s="34" t="n">
        <f aca="false">BD1748*M1748</f>
        <v>1497</v>
      </c>
      <c r="BG1748" s="35" t="n">
        <f aca="false">BA1748-BF1748</f>
        <v>0</v>
      </c>
      <c r="BH1748" s="19" t="str">
        <f aca="false">IF(BG1748=0,"",IF(BG1748&lt;&gt;BA1748,"erreur de calcul",IF(BD1748&lt;&gt;0,"pas de prix",IF(M1748&lt;&gt; 0,"pas de quantité","pas de prix, ni de quantité"))))</f>
        <v/>
      </c>
      <c r="BI1748" s="19"/>
    </row>
    <row r="1749" customFormat="false" ht="15" hidden="false" customHeight="false" outlineLevel="0" collapsed="false">
      <c r="A1749" s="0" t="n">
        <v>15</v>
      </c>
      <c r="B1749" s="8" t="s">
        <v>24</v>
      </c>
      <c r="C1749" s="9" t="s">
        <v>25</v>
      </c>
      <c r="D1749" s="9" t="s">
        <v>26</v>
      </c>
      <c r="E1749" s="10" t="n">
        <v>1789</v>
      </c>
      <c r="F1749" s="9" t="s">
        <v>27</v>
      </c>
      <c r="G1749" s="9" t="s">
        <v>27</v>
      </c>
      <c r="H1749" s="11" t="n">
        <v>27</v>
      </c>
      <c r="I1749" s="11" t="s">
        <v>426</v>
      </c>
      <c r="J1749" s="14" t="n">
        <v>40</v>
      </c>
      <c r="K1749" s="14"/>
      <c r="L1749" s="16"/>
      <c r="M1749" s="27" t="n">
        <f aca="false">J1749+(K1749/20)+(L1749/240)</f>
        <v>40</v>
      </c>
      <c r="N1749" s="17" t="s">
        <v>64</v>
      </c>
      <c r="O1749" s="11"/>
      <c r="P1749" s="28"/>
      <c r="Q1749" s="28" t="n">
        <f aca="false">P1749*$M1749</f>
        <v>0</v>
      </c>
      <c r="R1749" s="28"/>
      <c r="S1749" s="28" t="n">
        <f aca="false">R1749*$M1749</f>
        <v>0</v>
      </c>
      <c r="T1749" s="28"/>
      <c r="U1749" s="28" t="n">
        <f aca="false">T1749*$M1749</f>
        <v>0</v>
      </c>
      <c r="V1749" s="28"/>
      <c r="W1749" s="28" t="n">
        <f aca="false">V1749*$M1749</f>
        <v>0</v>
      </c>
      <c r="X1749" s="28"/>
      <c r="Y1749" s="28" t="n">
        <f aca="false">X1749*$M1749</f>
        <v>0</v>
      </c>
      <c r="Z1749" s="28"/>
      <c r="AA1749" s="28" t="n">
        <f aca="false">Z1749*$M1749</f>
        <v>0</v>
      </c>
      <c r="AB1749" s="28"/>
      <c r="AC1749" s="28" t="n">
        <f aca="false">AB1749*$M1749</f>
        <v>0</v>
      </c>
      <c r="AD1749" s="28"/>
      <c r="AE1749" s="28" t="n">
        <f aca="false">AD1749*$M1749</f>
        <v>0</v>
      </c>
      <c r="AF1749" s="28"/>
      <c r="AG1749" s="28" t="n">
        <f aca="false">AF1749*$M1749</f>
        <v>0</v>
      </c>
      <c r="AH1749" s="28" t="n">
        <f aca="false">1*288*0.02+59*0.02</f>
        <v>6.94</v>
      </c>
      <c r="AI1749" s="28" t="n">
        <v>278</v>
      </c>
      <c r="AJ1749" s="28"/>
      <c r="AK1749" s="28" t="n">
        <f aca="false">AJ1749*$M1749</f>
        <v>0</v>
      </c>
      <c r="AL1749" s="28"/>
      <c r="AM1749" s="28" t="n">
        <f aca="false">AL1749*$M1749</f>
        <v>0</v>
      </c>
      <c r="AN1749" s="28"/>
      <c r="AO1749" s="28" t="n">
        <f aca="false">AN1749*$M1749</f>
        <v>0</v>
      </c>
      <c r="AP1749" s="28"/>
      <c r="AQ1749" s="28" t="n">
        <f aca="false">AP1749*$M1749</f>
        <v>0</v>
      </c>
      <c r="AR1749" s="28"/>
      <c r="AS1749" s="28" t="n">
        <f aca="false">AR1749*$M1749</f>
        <v>0</v>
      </c>
      <c r="AT1749" s="28"/>
      <c r="AU1749" s="28" t="n">
        <f aca="false">AT1749*$M1749</f>
        <v>0</v>
      </c>
      <c r="AV1749" s="28"/>
      <c r="AW1749" s="28" t="n">
        <f aca="false">AV1749*$M1749</f>
        <v>0</v>
      </c>
      <c r="AX1749" s="28"/>
      <c r="AY1749" s="28" t="n">
        <f aca="false">AX1749*$M1749</f>
        <v>0</v>
      </c>
      <c r="AZ1749" s="30" t="n">
        <f aca="false">1*288*0.02+59*0.02</f>
        <v>6.94</v>
      </c>
      <c r="BA1749" s="11" t="n">
        <v>278</v>
      </c>
      <c r="BB1749" s="31" t="n">
        <f aca="false">SUM(Q1749,S1749,U1749,W1749,Y1749,AA1749,AC1749,AE1749,AG1749,AI1749,AK1749,AM1749,AO1749,AQ1749,AS1749,AU1749,AW1749,AY1749)</f>
        <v>278</v>
      </c>
      <c r="BC1749" s="28" t="n">
        <f aca="false">BA1749-BB1749</f>
        <v>0</v>
      </c>
      <c r="BD1749" s="32" t="n">
        <f aca="false">SUM(P1749,R1749,T1749,V1749,X1749,Z1749,AB1749,AD1749,AF1749,AH1749,AJ1749,AL1749,AN1749,AP1749,AR1749,AT1749,AV1749,AX1749)</f>
        <v>6.94</v>
      </c>
      <c r="BE1749" s="33" t="n">
        <f aca="false">AZ1749-BD1749</f>
        <v>0</v>
      </c>
      <c r="BF1749" s="34" t="n">
        <f aca="false">BD1749*M1749</f>
        <v>277.6</v>
      </c>
      <c r="BG1749" s="35" t="n">
        <f aca="false">BA1749-BF1749</f>
        <v>0.400000000000034</v>
      </c>
      <c r="BH1749" s="19" t="str">
        <f aca="false">IF(BG1749=0,"",IF(BG1749&lt;&gt;BA1749,"erreur de calcul",IF(BD1749&lt;&gt;0,"pas de prix",IF(M1749&lt;&gt; 0,"pas de quantité","pas de prix, ni de quantité"))))</f>
        <v>erreur de calcul</v>
      </c>
      <c r="BI1749" s="19"/>
    </row>
    <row r="1750" customFormat="false" ht="15" hidden="false" customHeight="false" outlineLevel="0" collapsed="false">
      <c r="A1750" s="0" t="n">
        <v>16</v>
      </c>
      <c r="B1750" s="8" t="s">
        <v>24</v>
      </c>
      <c r="C1750" s="9" t="s">
        <v>25</v>
      </c>
      <c r="D1750" s="9" t="s">
        <v>26</v>
      </c>
      <c r="E1750" s="10" t="n">
        <v>1789</v>
      </c>
      <c r="F1750" s="9" t="s">
        <v>27</v>
      </c>
      <c r="G1750" s="9" t="s">
        <v>27</v>
      </c>
      <c r="H1750" s="11" t="n">
        <v>27</v>
      </c>
      <c r="I1750" s="11" t="s">
        <v>427</v>
      </c>
      <c r="J1750" s="14" t="n">
        <v>32</v>
      </c>
      <c r="K1750" s="14"/>
      <c r="L1750" s="16"/>
      <c r="M1750" s="27" t="n">
        <f aca="false">J1750+(K1750/20)+(L1750/240)</f>
        <v>32</v>
      </c>
      <c r="N1750" s="17" t="s">
        <v>64</v>
      </c>
      <c r="O1750" s="11"/>
      <c r="P1750" s="28" t="n">
        <f aca="false">33*288*0.02+179*0.02</f>
        <v>193.66</v>
      </c>
      <c r="Q1750" s="28" t="n">
        <v>6197</v>
      </c>
      <c r="R1750" s="28"/>
      <c r="S1750" s="28" t="n">
        <f aca="false">R1750*$M1750</f>
        <v>0</v>
      </c>
      <c r="T1750" s="28"/>
      <c r="U1750" s="28" t="n">
        <f aca="false">T1750*$M1750</f>
        <v>0</v>
      </c>
      <c r="V1750" s="28"/>
      <c r="W1750" s="28" t="n">
        <f aca="false">V1750*$M1750</f>
        <v>0</v>
      </c>
      <c r="X1750" s="28"/>
      <c r="Y1750" s="28" t="n">
        <f aca="false">X1750*$M1750</f>
        <v>0</v>
      </c>
      <c r="Z1750" s="28"/>
      <c r="AA1750" s="28" t="n">
        <f aca="false">Z1750*$M1750</f>
        <v>0</v>
      </c>
      <c r="AB1750" s="28"/>
      <c r="AC1750" s="28" t="n">
        <f aca="false">AB1750*$M1750</f>
        <v>0</v>
      </c>
      <c r="AD1750" s="28"/>
      <c r="AE1750" s="28" t="n">
        <f aca="false">AD1750*$M1750</f>
        <v>0</v>
      </c>
      <c r="AF1750" s="28"/>
      <c r="AG1750" s="28" t="n">
        <f aca="false">AF1750*$M1750</f>
        <v>0</v>
      </c>
      <c r="AH1750" s="28"/>
      <c r="AI1750" s="28" t="n">
        <f aca="false">AH1750*$M1750</f>
        <v>0</v>
      </c>
      <c r="AJ1750" s="28"/>
      <c r="AK1750" s="28" t="n">
        <f aca="false">AJ1750*$M1750</f>
        <v>0</v>
      </c>
      <c r="AL1750" s="28"/>
      <c r="AM1750" s="28" t="n">
        <f aca="false">AL1750*$M1750</f>
        <v>0</v>
      </c>
      <c r="AN1750" s="28"/>
      <c r="AO1750" s="28" t="n">
        <f aca="false">AN1750*$M1750</f>
        <v>0</v>
      </c>
      <c r="AP1750" s="28"/>
      <c r="AQ1750" s="28" t="n">
        <f aca="false">AP1750*$M1750</f>
        <v>0</v>
      </c>
      <c r="AR1750" s="28"/>
      <c r="AS1750" s="28" t="n">
        <f aca="false">AR1750*$M1750</f>
        <v>0</v>
      </c>
      <c r="AT1750" s="28"/>
      <c r="AU1750" s="28" t="n">
        <f aca="false">AT1750*$M1750</f>
        <v>0</v>
      </c>
      <c r="AV1750" s="28"/>
      <c r="AW1750" s="28" t="n">
        <f aca="false">AV1750*$M1750</f>
        <v>0</v>
      </c>
      <c r="AX1750" s="28"/>
      <c r="AY1750" s="28" t="n">
        <f aca="false">AX1750*$M1750</f>
        <v>0</v>
      </c>
      <c r="AZ1750" s="30" t="n">
        <f aca="false">33*288*0.02+179*0.02</f>
        <v>193.66</v>
      </c>
      <c r="BA1750" s="11" t="n">
        <v>6197</v>
      </c>
      <c r="BB1750" s="31" t="n">
        <f aca="false">SUM(Q1750,S1750,U1750,W1750,Y1750,AA1750,AC1750,AE1750,AG1750,AI1750,AK1750,AM1750,AO1750,AQ1750,AS1750,AU1750,AW1750,AY1750)</f>
        <v>6197</v>
      </c>
      <c r="BC1750" s="28" t="n">
        <f aca="false">BA1750-BB1750</f>
        <v>0</v>
      </c>
      <c r="BD1750" s="32" t="n">
        <f aca="false">SUM(P1750,R1750,T1750,V1750,X1750,Z1750,AB1750,AD1750,AF1750,AH1750,AJ1750,AL1750,AN1750,AP1750,AR1750,AT1750,AV1750,AX1750)</f>
        <v>193.66</v>
      </c>
      <c r="BE1750" s="33" t="n">
        <f aca="false">AZ1750-BD1750</f>
        <v>0</v>
      </c>
      <c r="BF1750" s="34" t="n">
        <f aca="false">BD1750*M1750</f>
        <v>6197.12</v>
      </c>
      <c r="BG1750" s="35" t="n">
        <f aca="false">BA1750-BF1750</f>
        <v>-0.1200000000008</v>
      </c>
      <c r="BH1750" s="19" t="str">
        <f aca="false">IF(BG1750=0,"",IF(BG1750&lt;&gt;BA1750,"erreur de calcul",IF(BD1750&lt;&gt;0,"pas de prix",IF(M1750&lt;&gt; 0,"pas de quantité","pas de prix, ni de quantité"))))</f>
        <v>erreur de calcul</v>
      </c>
      <c r="BI1750" s="19"/>
    </row>
    <row r="1751" customFormat="false" ht="15" hidden="false" customHeight="false" outlineLevel="0" collapsed="false">
      <c r="A1751" s="0" t="n">
        <v>17</v>
      </c>
      <c r="B1751" s="8" t="s">
        <v>24</v>
      </c>
      <c r="C1751" s="9" t="s">
        <v>25</v>
      </c>
      <c r="D1751" s="9" t="s">
        <v>26</v>
      </c>
      <c r="E1751" s="10" t="n">
        <v>1789</v>
      </c>
      <c r="F1751" s="9" t="s">
        <v>27</v>
      </c>
      <c r="G1751" s="9" t="s">
        <v>27</v>
      </c>
      <c r="H1751" s="11" t="n">
        <v>27</v>
      </c>
      <c r="I1751" s="11" t="s">
        <v>428</v>
      </c>
      <c r="J1751" s="14"/>
      <c r="K1751" s="14" t="n">
        <v>12</v>
      </c>
      <c r="L1751" s="16"/>
      <c r="M1751" s="27" t="n">
        <f aca="false">J1751+(K1751/20)+(L1751/240)</f>
        <v>0.6</v>
      </c>
      <c r="N1751" s="17" t="s">
        <v>429</v>
      </c>
      <c r="O1751" s="11"/>
      <c r="P1751" s="28" t="n">
        <f aca="false">620*288+173</f>
        <v>178733</v>
      </c>
      <c r="Q1751" s="28" t="n">
        <v>107240</v>
      </c>
      <c r="R1751" s="28"/>
      <c r="S1751" s="28" t="n">
        <f aca="false">R1751*$M1751</f>
        <v>0</v>
      </c>
      <c r="T1751" s="28"/>
      <c r="U1751" s="28" t="n">
        <f aca="false">T1751*$M1751</f>
        <v>0</v>
      </c>
      <c r="V1751" s="28" t="n">
        <f aca="false">4*288+179</f>
        <v>1331</v>
      </c>
      <c r="W1751" s="28" t="n">
        <v>799</v>
      </c>
      <c r="X1751" s="28"/>
      <c r="Y1751" s="28" t="n">
        <f aca="false">X1751*$M1751</f>
        <v>0</v>
      </c>
      <c r="Z1751" s="28"/>
      <c r="AA1751" s="28" t="n">
        <f aca="false">Z1751*$M1751</f>
        <v>0</v>
      </c>
      <c r="AB1751" s="28"/>
      <c r="AC1751" s="28" t="n">
        <f aca="false">AB1751*$M1751</f>
        <v>0</v>
      </c>
      <c r="AD1751" s="28"/>
      <c r="AE1751" s="28" t="n">
        <f aca="false">AD1751*$M1751</f>
        <v>0</v>
      </c>
      <c r="AF1751" s="28"/>
      <c r="AG1751" s="28" t="n">
        <f aca="false">AF1751*$M1751</f>
        <v>0</v>
      </c>
      <c r="AH1751" s="28" t="n">
        <f aca="false">12*288+227</f>
        <v>3683</v>
      </c>
      <c r="AI1751" s="28" t="n">
        <v>2210</v>
      </c>
      <c r="AJ1751" s="28"/>
      <c r="AK1751" s="28" t="n">
        <f aca="false">AJ1751*$M1751</f>
        <v>0</v>
      </c>
      <c r="AL1751" s="28"/>
      <c r="AM1751" s="28" t="n">
        <f aca="false">AL1751*$M1751</f>
        <v>0</v>
      </c>
      <c r="AN1751" s="28"/>
      <c r="AO1751" s="28" t="n">
        <f aca="false">AN1751*$M1751</f>
        <v>0</v>
      </c>
      <c r="AP1751" s="28"/>
      <c r="AQ1751" s="28" t="n">
        <f aca="false">AP1751*$M1751</f>
        <v>0</v>
      </c>
      <c r="AR1751" s="28"/>
      <c r="AS1751" s="28" t="n">
        <f aca="false">AR1751*$M1751</f>
        <v>0</v>
      </c>
      <c r="AT1751" s="28"/>
      <c r="AU1751" s="28" t="n">
        <f aca="false">AT1751*$M1751</f>
        <v>0</v>
      </c>
      <c r="AV1751" s="28"/>
      <c r="AW1751" s="28" t="n">
        <f aca="false">AV1751*$M1751</f>
        <v>0</v>
      </c>
      <c r="AX1751" s="28"/>
      <c r="AY1751" s="28" t="n">
        <f aca="false">AX1751*$M1751</f>
        <v>0</v>
      </c>
      <c r="AZ1751" s="30" t="n">
        <f aca="false">638*288+3</f>
        <v>183747</v>
      </c>
      <c r="BA1751" s="11" t="n">
        <v>110249</v>
      </c>
      <c r="BB1751" s="31" t="n">
        <f aca="false">SUM(Q1751,S1751,U1751,W1751,Y1751,AA1751,AC1751,AE1751,AG1751,AI1751,AK1751,AM1751,AO1751,AQ1751,AS1751,AU1751,AW1751,AY1751)</f>
        <v>110249</v>
      </c>
      <c r="BC1751" s="28" t="n">
        <f aca="false">BA1751-BB1751</f>
        <v>0</v>
      </c>
      <c r="BD1751" s="32" t="n">
        <f aca="false">SUM(P1751,R1751,T1751,V1751,X1751,Z1751,AB1751,AD1751,AF1751,AH1751,AJ1751,AL1751,AN1751,AP1751,AR1751,AT1751,AV1751,AX1751)</f>
        <v>183747</v>
      </c>
      <c r="BE1751" s="33" t="n">
        <f aca="false">AZ1751-BD1751</f>
        <v>0</v>
      </c>
      <c r="BF1751" s="34" t="n">
        <f aca="false">BD1751*M1751</f>
        <v>110248.2</v>
      </c>
      <c r="BG1751" s="35" t="n">
        <f aca="false">BA1751-BF1751</f>
        <v>0.80000000000291</v>
      </c>
      <c r="BH1751" s="19" t="str">
        <f aca="false">IF(BG1751=0,"",IF(BG1751&lt;&gt;BA1751,"erreur de calcul",IF(BD1751&lt;&gt;0,"pas de prix",IF(M1751&lt;&gt; 0,"pas de quantité","pas de prix, ni de quantité"))))</f>
        <v>erreur de calcul</v>
      </c>
      <c r="BI1751" s="19"/>
    </row>
    <row r="1752" customFormat="false" ht="15" hidden="false" customHeight="false" outlineLevel="0" collapsed="false">
      <c r="A1752" s="0" t="n">
        <v>18</v>
      </c>
      <c r="B1752" s="8" t="s">
        <v>24</v>
      </c>
      <c r="C1752" s="9" t="s">
        <v>25</v>
      </c>
      <c r="D1752" s="9" t="s">
        <v>26</v>
      </c>
      <c r="E1752" s="10" t="n">
        <v>1789</v>
      </c>
      <c r="F1752" s="9" t="s">
        <v>27</v>
      </c>
      <c r="G1752" s="9" t="s">
        <v>27</v>
      </c>
      <c r="H1752" s="11" t="n">
        <v>27</v>
      </c>
      <c r="I1752" s="11" t="s">
        <v>430</v>
      </c>
      <c r="J1752" s="14" t="n">
        <v>30</v>
      </c>
      <c r="K1752" s="14"/>
      <c r="L1752" s="16"/>
      <c r="M1752" s="27" t="n">
        <f aca="false">J1752+(K1752/20)+(L1752/240)</f>
        <v>30</v>
      </c>
      <c r="N1752" s="17" t="s">
        <v>64</v>
      </c>
      <c r="O1752" s="11" t="s">
        <v>77</v>
      </c>
      <c r="P1752" s="28"/>
      <c r="Q1752" s="28" t="n">
        <f aca="false">P1752*$M1752</f>
        <v>0</v>
      </c>
      <c r="R1752" s="28"/>
      <c r="S1752" s="28" t="n">
        <f aca="false">R1752*$M1752</f>
        <v>0</v>
      </c>
      <c r="T1752" s="28" t="n">
        <f aca="false">3*288*0.02+162*0.02</f>
        <v>20.52</v>
      </c>
      <c r="U1752" s="28" t="n">
        <v>616</v>
      </c>
      <c r="V1752" s="28"/>
      <c r="W1752" s="28" t="n">
        <f aca="false">V1752*$M1752</f>
        <v>0</v>
      </c>
      <c r="X1752" s="28" t="n">
        <f aca="false">4*288*0.02+17*0.02</f>
        <v>23.38</v>
      </c>
      <c r="Y1752" s="28" t="n">
        <v>702</v>
      </c>
      <c r="Z1752" s="28" t="n">
        <f aca="false">3*288*0.02+169*0.02</f>
        <v>20.66</v>
      </c>
      <c r="AA1752" s="28" t="n">
        <v>620</v>
      </c>
      <c r="AB1752" s="28" t="n">
        <f aca="false">10*288*0.02+224*0.02</f>
        <v>62.08</v>
      </c>
      <c r="AC1752" s="28" t="n">
        <v>1863</v>
      </c>
      <c r="AD1752" s="28"/>
      <c r="AE1752" s="28" t="n">
        <f aca="false">AD1752*$M1752</f>
        <v>0</v>
      </c>
      <c r="AF1752" s="28"/>
      <c r="AG1752" s="28" t="n">
        <f aca="false">AF1752*$M1752</f>
        <v>0</v>
      </c>
      <c r="AH1752" s="28" t="n">
        <f aca="false">200*0.02</f>
        <v>4</v>
      </c>
      <c r="AI1752" s="28" t="n">
        <v>120</v>
      </c>
      <c r="AJ1752" s="28"/>
      <c r="AK1752" s="28" t="n">
        <f aca="false">AJ1752*$M1752</f>
        <v>0</v>
      </c>
      <c r="AL1752" s="28"/>
      <c r="AM1752" s="28" t="n">
        <f aca="false">AL1752*$M1752</f>
        <v>0</v>
      </c>
      <c r="AN1752" s="28"/>
      <c r="AO1752" s="28" t="n">
        <f aca="false">AN1752*$M1752</f>
        <v>0</v>
      </c>
      <c r="AP1752" s="28"/>
      <c r="AQ1752" s="28" t="n">
        <f aca="false">AP1752*$M1752</f>
        <v>0</v>
      </c>
      <c r="AR1752" s="28"/>
      <c r="AS1752" s="28" t="n">
        <f aca="false">AR1752*$M1752</f>
        <v>0</v>
      </c>
      <c r="AT1752" s="28"/>
      <c r="AU1752" s="28" t="n">
        <f aca="false">AT1752*$M1752</f>
        <v>0</v>
      </c>
      <c r="AV1752" s="28"/>
      <c r="AW1752" s="28" t="n">
        <f aca="false">AV1752*$M1752</f>
        <v>0</v>
      </c>
      <c r="AX1752" s="28"/>
      <c r="AY1752" s="28" t="n">
        <f aca="false">AX1752*$M1752</f>
        <v>0</v>
      </c>
      <c r="AZ1752" s="30" t="n">
        <f aca="false">22*288*0.02+196*0.02</f>
        <v>130.64</v>
      </c>
      <c r="BA1752" s="11" t="n">
        <v>3921</v>
      </c>
      <c r="BB1752" s="31" t="n">
        <f aca="false">SUM(Q1752,S1752,U1752,W1752,Y1752,AA1752,AC1752,AE1752,AG1752,AI1752,AK1752,AM1752,AO1752,AQ1752,AS1752,AU1752,AW1752,AY1752)</f>
        <v>3921</v>
      </c>
      <c r="BC1752" s="28" t="n">
        <f aca="false">BA1752-BB1752</f>
        <v>0</v>
      </c>
      <c r="BD1752" s="32" t="n">
        <f aca="false">SUM(P1752,R1752,T1752,V1752,X1752,Z1752,AB1752,AD1752,AF1752,AH1752,AJ1752,AL1752,AN1752,AP1752,AR1752,AT1752,AV1752,AX1752)</f>
        <v>130.64</v>
      </c>
      <c r="BE1752" s="33" t="n">
        <f aca="false">AZ1752-BD1752</f>
        <v>0</v>
      </c>
      <c r="BF1752" s="34" t="n">
        <f aca="false">BD1752*M1752</f>
        <v>3919.2</v>
      </c>
      <c r="BG1752" s="35" t="n">
        <f aca="false">BA1752-BF1752</f>
        <v>1.80000000000018</v>
      </c>
      <c r="BH1752" s="19" t="str">
        <f aca="false">IF(BG1752=0,"",IF(BG1752&lt;&gt;BA1752,"erreur de calcul",IF(BD1752&lt;&gt;0,"pas de prix",IF(M1752&lt;&gt; 0,"pas de quantité","pas de prix, ni de quantité"))))</f>
        <v>erreur de calcul</v>
      </c>
      <c r="BI1752" s="19"/>
    </row>
    <row r="1753" customFormat="false" ht="15" hidden="false" customHeight="false" outlineLevel="0" collapsed="false">
      <c r="A1753" s="0" t="n">
        <v>19</v>
      </c>
      <c r="B1753" s="8" t="s">
        <v>24</v>
      </c>
      <c r="C1753" s="9" t="s">
        <v>25</v>
      </c>
      <c r="D1753" s="9" t="s">
        <v>26</v>
      </c>
      <c r="E1753" s="10" t="n">
        <v>1789</v>
      </c>
      <c r="F1753" s="9" t="s">
        <v>27</v>
      </c>
      <c r="G1753" s="9" t="s">
        <v>27</v>
      </c>
      <c r="H1753" s="11" t="n">
        <v>27</v>
      </c>
      <c r="I1753" s="11" t="s">
        <v>431</v>
      </c>
      <c r="J1753" s="14" t="n">
        <v>10</v>
      </c>
      <c r="K1753" s="14"/>
      <c r="L1753" s="16"/>
      <c r="M1753" s="27" t="n">
        <f aca="false">J1753+(K1753/20)+(L1753/240)</f>
        <v>10</v>
      </c>
      <c r="N1753" s="17" t="s">
        <v>432</v>
      </c>
      <c r="O1753" s="11" t="s">
        <v>109</v>
      </c>
      <c r="P1753" s="28" t="n">
        <f aca="false">105*(288/62.5)+135/62.5</f>
        <v>486</v>
      </c>
      <c r="Q1753" s="28" t="n">
        <v>4860</v>
      </c>
      <c r="R1753" s="28"/>
      <c r="S1753" s="28" t="n">
        <f aca="false">R1753*$M1753</f>
        <v>0</v>
      </c>
      <c r="T1753" s="28" t="n">
        <f aca="false">8*(288/62.5)+196/62.5</f>
        <v>40</v>
      </c>
      <c r="U1753" s="28" t="n">
        <v>400</v>
      </c>
      <c r="V1753" s="28"/>
      <c r="W1753" s="28" t="n">
        <f aca="false">V1753*$M1753</f>
        <v>0</v>
      </c>
      <c r="X1753" s="28"/>
      <c r="Y1753" s="28" t="n">
        <f aca="false">X1753*$M1753</f>
        <v>0</v>
      </c>
      <c r="Z1753" s="28"/>
      <c r="AA1753" s="28" t="n">
        <f aca="false">Z1753*$M1753</f>
        <v>0</v>
      </c>
      <c r="AB1753" s="28"/>
      <c r="AC1753" s="28" t="n">
        <f aca="false">AB1753*$M1753</f>
        <v>0</v>
      </c>
      <c r="AD1753" s="28"/>
      <c r="AE1753" s="28" t="n">
        <f aca="false">AD1753*$M1753</f>
        <v>0</v>
      </c>
      <c r="AF1753" s="28"/>
      <c r="AG1753" s="28" t="n">
        <f aca="false">AF1753*$M1753</f>
        <v>0</v>
      </c>
      <c r="AH1753" s="28"/>
      <c r="AI1753" s="28" t="n">
        <f aca="false">AH1753*$M1753</f>
        <v>0</v>
      </c>
      <c r="AJ1753" s="28"/>
      <c r="AK1753" s="28" t="n">
        <f aca="false">AJ1753*$M1753</f>
        <v>0</v>
      </c>
      <c r="AL1753" s="28"/>
      <c r="AM1753" s="28" t="n">
        <f aca="false">AL1753*$M1753</f>
        <v>0</v>
      </c>
      <c r="AN1753" s="28"/>
      <c r="AO1753" s="28" t="n">
        <f aca="false">AN1753*$M1753</f>
        <v>0</v>
      </c>
      <c r="AP1753" s="28"/>
      <c r="AQ1753" s="28" t="n">
        <f aca="false">AP1753*$M1753</f>
        <v>0</v>
      </c>
      <c r="AR1753" s="28"/>
      <c r="AS1753" s="28" t="n">
        <f aca="false">AR1753*$M1753</f>
        <v>0</v>
      </c>
      <c r="AT1753" s="28"/>
      <c r="AU1753" s="28" t="n">
        <f aca="false">AT1753*$M1753</f>
        <v>0</v>
      </c>
      <c r="AV1753" s="28"/>
      <c r="AW1753" s="28" t="n">
        <f aca="false">AV1753*$M1753</f>
        <v>0</v>
      </c>
      <c r="AX1753" s="28"/>
      <c r="AY1753" s="28" t="n">
        <f aca="false">AX1753*$M1753</f>
        <v>0</v>
      </c>
      <c r="AZ1753" s="30" t="n">
        <f aca="false">114*(288/62.5)+43/62.5</f>
        <v>526</v>
      </c>
      <c r="BA1753" s="11" t="n">
        <v>5260</v>
      </c>
      <c r="BB1753" s="31" t="n">
        <f aca="false">SUM(Q1753,S1753,U1753,W1753,Y1753,AA1753,AC1753,AE1753,AG1753,AI1753,AK1753,AM1753,AO1753,AQ1753,AS1753,AU1753,AW1753,AY1753)</f>
        <v>5260</v>
      </c>
      <c r="BC1753" s="28" t="n">
        <f aca="false">BA1753-BB1753</f>
        <v>0</v>
      </c>
      <c r="BD1753" s="32" t="n">
        <f aca="false">SUM(P1753,R1753,T1753,V1753,X1753,Z1753,AB1753,AD1753,AF1753,AH1753,AJ1753,AL1753,AN1753,AP1753,AR1753,AT1753,AV1753,AX1753)</f>
        <v>526</v>
      </c>
      <c r="BE1753" s="33" t="n">
        <f aca="false">AZ1753-BD1753</f>
        <v>0</v>
      </c>
      <c r="BF1753" s="34" t="n">
        <f aca="false">BD1753*M1753</f>
        <v>5260</v>
      </c>
      <c r="BG1753" s="35" t="n">
        <f aca="false">BA1753-BF1753</f>
        <v>0</v>
      </c>
      <c r="BH1753" s="19" t="str">
        <f aca="false">IF(BG1753=0,"",IF(BG1753&lt;&gt;BA1753,"erreur de calcul",IF(BD1753&lt;&gt;0,"pas de prix",IF(M1753&lt;&gt; 0,"pas de quantité","pas de prix, ni de quantité"))))</f>
        <v/>
      </c>
      <c r="BI1753" s="19"/>
    </row>
    <row r="1754" customFormat="false" ht="15" hidden="false" customHeight="false" outlineLevel="0" collapsed="false">
      <c r="A1754" s="0" t="n">
        <v>20</v>
      </c>
      <c r="B1754" s="8" t="s">
        <v>24</v>
      </c>
      <c r="C1754" s="9" t="s">
        <v>25</v>
      </c>
      <c r="D1754" s="9" t="s">
        <v>26</v>
      </c>
      <c r="E1754" s="10" t="n">
        <v>1789</v>
      </c>
      <c r="F1754" s="9" t="s">
        <v>27</v>
      </c>
      <c r="G1754" s="9" t="s">
        <v>27</v>
      </c>
      <c r="H1754" s="11" t="n">
        <v>27</v>
      </c>
      <c r="I1754" s="11" t="s">
        <v>433</v>
      </c>
      <c r="J1754" s="14"/>
      <c r="K1754" s="14" t="n">
        <v>14</v>
      </c>
      <c r="L1754" s="16"/>
      <c r="M1754" s="27" t="n">
        <f aca="false">J1754+(K1754/20)+(L1754/240)</f>
        <v>0.7</v>
      </c>
      <c r="N1754" s="17" t="s">
        <v>429</v>
      </c>
      <c r="O1754" s="11"/>
      <c r="P1754" s="28" t="n">
        <f aca="false">103*288+190</f>
        <v>29854</v>
      </c>
      <c r="Q1754" s="28" t="n">
        <v>20898</v>
      </c>
      <c r="R1754" s="28"/>
      <c r="S1754" s="28" t="n">
        <f aca="false">R1754*$M1754</f>
        <v>0</v>
      </c>
      <c r="T1754" s="28"/>
      <c r="U1754" s="28" t="n">
        <f aca="false">T1754*$M1754</f>
        <v>0</v>
      </c>
      <c r="V1754" s="28"/>
      <c r="W1754" s="28" t="n">
        <f aca="false">V1754*$M1754</f>
        <v>0</v>
      </c>
      <c r="X1754" s="28"/>
      <c r="Y1754" s="28" t="n">
        <f aca="false">X1754*$M1754</f>
        <v>0</v>
      </c>
      <c r="Z1754" s="28"/>
      <c r="AA1754" s="28" t="n">
        <f aca="false">Z1754*$M1754</f>
        <v>0</v>
      </c>
      <c r="AB1754" s="28"/>
      <c r="AC1754" s="28" t="n">
        <f aca="false">AB1754*$M1754</f>
        <v>0</v>
      </c>
      <c r="AD1754" s="28"/>
      <c r="AE1754" s="28" t="n">
        <f aca="false">AD1754*$M1754</f>
        <v>0</v>
      </c>
      <c r="AF1754" s="28"/>
      <c r="AG1754" s="28" t="n">
        <f aca="false">AF1754*$M1754</f>
        <v>0</v>
      </c>
      <c r="AH1754" s="28"/>
      <c r="AI1754" s="28" t="n">
        <f aca="false">AH1754*$M1754</f>
        <v>0</v>
      </c>
      <c r="AJ1754" s="28"/>
      <c r="AK1754" s="28" t="n">
        <f aca="false">AJ1754*$M1754</f>
        <v>0</v>
      </c>
      <c r="AL1754" s="28"/>
      <c r="AM1754" s="28" t="n">
        <f aca="false">AL1754*$M1754</f>
        <v>0</v>
      </c>
      <c r="AN1754" s="28"/>
      <c r="AO1754" s="28" t="n">
        <f aca="false">AN1754*$M1754</f>
        <v>0</v>
      </c>
      <c r="AP1754" s="28"/>
      <c r="AQ1754" s="28" t="n">
        <f aca="false">AP1754*$M1754</f>
        <v>0</v>
      </c>
      <c r="AR1754" s="28"/>
      <c r="AS1754" s="28" t="n">
        <f aca="false">AR1754*$M1754</f>
        <v>0</v>
      </c>
      <c r="AT1754" s="28"/>
      <c r="AU1754" s="28" t="n">
        <f aca="false">AT1754*$M1754</f>
        <v>0</v>
      </c>
      <c r="AV1754" s="28"/>
      <c r="AW1754" s="28" t="n">
        <f aca="false">AV1754*$M1754</f>
        <v>0</v>
      </c>
      <c r="AX1754" s="28"/>
      <c r="AY1754" s="28" t="n">
        <f aca="false">AX1754*$M1754</f>
        <v>0</v>
      </c>
      <c r="AZ1754" s="30" t="n">
        <f aca="false">103*288+190</f>
        <v>29854</v>
      </c>
      <c r="BA1754" s="11" t="n">
        <v>20898</v>
      </c>
      <c r="BB1754" s="31" t="n">
        <f aca="false">SUM(Q1754,S1754,U1754,W1754,Y1754,AA1754,AC1754,AE1754,AG1754,AI1754,AK1754,AM1754,AO1754,AQ1754,AS1754,AU1754,AW1754,AY1754)</f>
        <v>20898</v>
      </c>
      <c r="BC1754" s="28" t="n">
        <f aca="false">BA1754-BB1754</f>
        <v>0</v>
      </c>
      <c r="BD1754" s="32" t="n">
        <f aca="false">SUM(P1754,R1754,T1754,V1754,X1754,Z1754,AB1754,AD1754,AF1754,AH1754,AJ1754,AL1754,AN1754,AP1754,AR1754,AT1754,AV1754,AX1754)</f>
        <v>29854</v>
      </c>
      <c r="BE1754" s="33" t="n">
        <f aca="false">AZ1754-BD1754</f>
        <v>0</v>
      </c>
      <c r="BF1754" s="34" t="n">
        <f aca="false">BD1754*M1754</f>
        <v>20897.8</v>
      </c>
      <c r="BG1754" s="35" t="n">
        <f aca="false">BA1754-BF1754</f>
        <v>0.200000000000728</v>
      </c>
      <c r="BH1754" s="19" t="str">
        <f aca="false">IF(BG1754=0,"",IF(BG1754&lt;&gt;BA1754,"erreur de calcul",IF(BD1754&lt;&gt;0,"pas de prix",IF(M1754&lt;&gt; 0,"pas de quantité","pas de prix, ni de quantité"))))</f>
        <v>erreur de calcul</v>
      </c>
      <c r="BI1754" s="19"/>
    </row>
    <row r="1755" customFormat="false" ht="15" hidden="false" customHeight="false" outlineLevel="0" collapsed="false">
      <c r="A1755" s="0" t="n">
        <v>21</v>
      </c>
      <c r="B1755" s="8" t="s">
        <v>24</v>
      </c>
      <c r="C1755" s="9" t="s">
        <v>25</v>
      </c>
      <c r="D1755" s="9" t="s">
        <v>26</v>
      </c>
      <c r="E1755" s="10" t="n">
        <v>1789</v>
      </c>
      <c r="F1755" s="9" t="s">
        <v>27</v>
      </c>
      <c r="G1755" s="9" t="s">
        <v>27</v>
      </c>
      <c r="H1755" s="11" t="n">
        <v>27</v>
      </c>
      <c r="I1755" s="11" t="s">
        <v>434</v>
      </c>
      <c r="J1755" s="14"/>
      <c r="K1755" s="14" t="n">
        <v>5</v>
      </c>
      <c r="L1755" s="16"/>
      <c r="M1755" s="27" t="n">
        <f aca="false">J1755+(K1755/20)+(L1755/240)</f>
        <v>0.25</v>
      </c>
      <c r="N1755" s="17" t="s">
        <v>79</v>
      </c>
      <c r="O1755" s="11"/>
      <c r="P1755" s="28" t="n">
        <v>300402</v>
      </c>
      <c r="Q1755" s="28" t="n">
        <v>75100</v>
      </c>
      <c r="R1755" s="28"/>
      <c r="S1755" s="28" t="n">
        <f aca="false">R1755*$M1755</f>
        <v>0</v>
      </c>
      <c r="T1755" s="28"/>
      <c r="U1755" s="28" t="n">
        <f aca="false">T1755*$M1755</f>
        <v>0</v>
      </c>
      <c r="V1755" s="28" t="n">
        <v>448</v>
      </c>
      <c r="W1755" s="28" t="n">
        <v>112</v>
      </c>
      <c r="X1755" s="28"/>
      <c r="Y1755" s="28" t="n">
        <f aca="false">X1755*$M1755</f>
        <v>0</v>
      </c>
      <c r="Z1755" s="28"/>
      <c r="AA1755" s="28" t="n">
        <f aca="false">Z1755*$M1755</f>
        <v>0</v>
      </c>
      <c r="AB1755" s="28"/>
      <c r="AC1755" s="28" t="n">
        <f aca="false">AB1755*$M1755</f>
        <v>0</v>
      </c>
      <c r="AD1755" s="28"/>
      <c r="AE1755" s="28" t="n">
        <f aca="false">AD1755*$M1755</f>
        <v>0</v>
      </c>
      <c r="AF1755" s="28"/>
      <c r="AG1755" s="28" t="n">
        <f aca="false">AF1755*$M1755</f>
        <v>0</v>
      </c>
      <c r="AH1755" s="28"/>
      <c r="AI1755" s="28" t="n">
        <f aca="false">AH1755*$M1755</f>
        <v>0</v>
      </c>
      <c r="AJ1755" s="28"/>
      <c r="AK1755" s="28" t="n">
        <f aca="false">AJ1755*$M1755</f>
        <v>0</v>
      </c>
      <c r="AL1755" s="28"/>
      <c r="AM1755" s="28" t="n">
        <f aca="false">AL1755*$M1755</f>
        <v>0</v>
      </c>
      <c r="AN1755" s="28"/>
      <c r="AO1755" s="28" t="n">
        <f aca="false">AN1755*$M1755</f>
        <v>0</v>
      </c>
      <c r="AP1755" s="28"/>
      <c r="AQ1755" s="28" t="n">
        <f aca="false">AP1755*$M1755</f>
        <v>0</v>
      </c>
      <c r="AR1755" s="28"/>
      <c r="AS1755" s="28" t="n">
        <f aca="false">AR1755*$M1755</f>
        <v>0</v>
      </c>
      <c r="AT1755" s="28"/>
      <c r="AU1755" s="28" t="n">
        <f aca="false">AT1755*$M1755</f>
        <v>0</v>
      </c>
      <c r="AV1755" s="28"/>
      <c r="AW1755" s="28" t="n">
        <f aca="false">AV1755*$M1755</f>
        <v>0</v>
      </c>
      <c r="AX1755" s="28"/>
      <c r="AY1755" s="28" t="n">
        <f aca="false">AX1755*$M1755</f>
        <v>0</v>
      </c>
      <c r="AZ1755" s="30" t="n">
        <v>300850</v>
      </c>
      <c r="BA1755" s="11" t="n">
        <v>75212</v>
      </c>
      <c r="BB1755" s="31" t="n">
        <f aca="false">SUM(Q1755,S1755,U1755,W1755,Y1755,AA1755,AC1755,AE1755,AG1755,AI1755,AK1755,AM1755,AO1755,AQ1755,AS1755,AU1755,AW1755,AY1755)</f>
        <v>75212</v>
      </c>
      <c r="BC1755" s="28" t="n">
        <f aca="false">BA1755-BB1755</f>
        <v>0</v>
      </c>
      <c r="BD1755" s="32" t="n">
        <f aca="false">SUM(P1755,R1755,T1755,V1755,X1755,Z1755,AB1755,AD1755,AF1755,AH1755,AJ1755,AL1755,AN1755,AP1755,AR1755,AT1755,AV1755,AX1755)</f>
        <v>300850</v>
      </c>
      <c r="BE1755" s="33" t="n">
        <f aca="false">AZ1755-BD1755</f>
        <v>0</v>
      </c>
      <c r="BF1755" s="34" t="n">
        <f aca="false">BD1755*M1755</f>
        <v>75212.5</v>
      </c>
      <c r="BG1755" s="35" t="n">
        <f aca="false">BA1755-BF1755</f>
        <v>-0.5</v>
      </c>
      <c r="BH1755" s="19" t="str">
        <f aca="false">IF(BG1755=0,"",IF(BG1755&lt;&gt;BA1755,"erreur de calcul",IF(BD1755&lt;&gt;0,"pas de prix",IF(M1755&lt;&gt; 0,"pas de quantité","pas de prix, ni de quantité"))))</f>
        <v>erreur de calcul</v>
      </c>
      <c r="BI1755" s="19"/>
    </row>
    <row r="1756" customFormat="false" ht="78.4" hidden="false" customHeight="true" outlineLevel="0" collapsed="false">
      <c r="A1756" s="0" t="s">
        <v>31</v>
      </c>
      <c r="B1756" s="2" t="s">
        <v>0</v>
      </c>
      <c r="C1756" s="2" t="s">
        <v>1</v>
      </c>
      <c r="D1756" s="2" t="s">
        <v>2</v>
      </c>
      <c r="E1756" s="2" t="s">
        <v>3</v>
      </c>
      <c r="F1756" s="2" t="s">
        <v>4</v>
      </c>
      <c r="G1756" s="2" t="s">
        <v>5</v>
      </c>
      <c r="H1756" s="2" t="s">
        <v>6</v>
      </c>
      <c r="I1756" s="3" t="s">
        <v>7</v>
      </c>
      <c r="J1756" s="5" t="s">
        <v>12</v>
      </c>
      <c r="K1756" s="5" t="s">
        <v>13</v>
      </c>
      <c r="L1756" s="5" t="s">
        <v>14</v>
      </c>
      <c r="M1756" s="7" t="s">
        <v>15</v>
      </c>
      <c r="N1756" s="6" t="s">
        <v>32</v>
      </c>
      <c r="O1756" s="6" t="s">
        <v>33</v>
      </c>
      <c r="P1756" s="6" t="s">
        <v>34</v>
      </c>
      <c r="Q1756" s="6"/>
      <c r="R1756" s="6" t="s">
        <v>35</v>
      </c>
      <c r="S1756" s="6"/>
      <c r="T1756" s="6" t="s">
        <v>36</v>
      </c>
      <c r="U1756" s="6"/>
      <c r="V1756" s="6" t="s">
        <v>37</v>
      </c>
      <c r="W1756" s="6"/>
      <c r="X1756" s="6" t="s">
        <v>38</v>
      </c>
      <c r="Y1756" s="6"/>
      <c r="Z1756" s="6" t="s">
        <v>39</v>
      </c>
      <c r="AA1756" s="6"/>
      <c r="AB1756" s="6" t="s">
        <v>40</v>
      </c>
      <c r="AC1756" s="6"/>
      <c r="AD1756" s="6" t="s">
        <v>41</v>
      </c>
      <c r="AE1756" s="6"/>
      <c r="AF1756" s="6" t="s">
        <v>42</v>
      </c>
      <c r="AG1756" s="6"/>
      <c r="AH1756" s="6" t="s">
        <v>43</v>
      </c>
      <c r="AI1756" s="6"/>
      <c r="AJ1756" s="6" t="s">
        <v>44</v>
      </c>
      <c r="AK1756" s="6"/>
      <c r="AL1756" s="6" t="s">
        <v>45</v>
      </c>
      <c r="AM1756" s="6"/>
      <c r="AN1756" s="6" t="s">
        <v>46</v>
      </c>
      <c r="AO1756" s="6"/>
      <c r="AP1756" s="6" t="s">
        <v>47</v>
      </c>
      <c r="AQ1756" s="6"/>
      <c r="AR1756" s="6" t="s">
        <v>48</v>
      </c>
      <c r="AS1756" s="6"/>
      <c r="AT1756" s="6" t="s">
        <v>49</v>
      </c>
      <c r="AU1756" s="6"/>
      <c r="AV1756" s="6" t="s">
        <v>50</v>
      </c>
      <c r="AW1756" s="6"/>
      <c r="AX1756" s="6" t="s">
        <v>51</v>
      </c>
      <c r="AY1756" s="6"/>
      <c r="AZ1756" s="6" t="s">
        <v>52</v>
      </c>
      <c r="BA1756" s="6"/>
      <c r="BB1756" s="6"/>
      <c r="BC1756" s="6"/>
      <c r="BD1756" s="6" t="s">
        <v>53</v>
      </c>
      <c r="BE1756" s="6" t="s">
        <v>54</v>
      </c>
      <c r="BF1756" s="6" t="s">
        <v>55</v>
      </c>
      <c r="BG1756" s="6" t="s">
        <v>56</v>
      </c>
      <c r="BH1756" s="6" t="s">
        <v>57</v>
      </c>
      <c r="BI1756" s="6" t="s">
        <v>23</v>
      </c>
    </row>
    <row r="1757" customFormat="false" ht="15" hidden="false" customHeight="false" outlineLevel="0" collapsed="false">
      <c r="B1757" s="20"/>
      <c r="C1757" s="20"/>
      <c r="D1757" s="20"/>
      <c r="E1757" s="21"/>
      <c r="F1757" s="20"/>
      <c r="G1757" s="20"/>
      <c r="H1757" s="20"/>
      <c r="I1757" s="22"/>
      <c r="J1757" s="23"/>
      <c r="K1757" s="23"/>
      <c r="L1757" s="24"/>
      <c r="M1757" s="25"/>
      <c r="N1757" s="25"/>
      <c r="O1757" s="26" t="s">
        <v>58</v>
      </c>
      <c r="P1757" s="25" t="s">
        <v>59</v>
      </c>
      <c r="Q1757" s="25" t="s">
        <v>60</v>
      </c>
      <c r="R1757" s="25" t="s">
        <v>59</v>
      </c>
      <c r="S1757" s="25" t="s">
        <v>60</v>
      </c>
      <c r="T1757" s="25" t="s">
        <v>59</v>
      </c>
      <c r="U1757" s="25" t="s">
        <v>60</v>
      </c>
      <c r="V1757" s="25" t="s">
        <v>59</v>
      </c>
      <c r="W1757" s="25" t="s">
        <v>60</v>
      </c>
      <c r="X1757" s="25" t="s">
        <v>59</v>
      </c>
      <c r="Y1757" s="25" t="s">
        <v>60</v>
      </c>
      <c r="Z1757" s="25" t="s">
        <v>59</v>
      </c>
      <c r="AA1757" s="25" t="s">
        <v>60</v>
      </c>
      <c r="AB1757" s="25" t="s">
        <v>59</v>
      </c>
      <c r="AC1757" s="25" t="s">
        <v>60</v>
      </c>
      <c r="AD1757" s="25" t="s">
        <v>59</v>
      </c>
      <c r="AE1757" s="25" t="s">
        <v>60</v>
      </c>
      <c r="AF1757" s="25" t="s">
        <v>59</v>
      </c>
      <c r="AG1757" s="25" t="s">
        <v>60</v>
      </c>
      <c r="AH1757" s="25" t="s">
        <v>59</v>
      </c>
      <c r="AI1757" s="25" t="s">
        <v>60</v>
      </c>
      <c r="AJ1757" s="25" t="s">
        <v>59</v>
      </c>
      <c r="AK1757" s="25" t="s">
        <v>60</v>
      </c>
      <c r="AL1757" s="25" t="s">
        <v>59</v>
      </c>
      <c r="AM1757" s="25" t="s">
        <v>60</v>
      </c>
      <c r="AN1757" s="25" t="s">
        <v>59</v>
      </c>
      <c r="AO1757" s="25" t="s">
        <v>60</v>
      </c>
      <c r="AP1757" s="25" t="s">
        <v>59</v>
      </c>
      <c r="AQ1757" s="25" t="s">
        <v>60</v>
      </c>
      <c r="AR1757" s="25" t="s">
        <v>59</v>
      </c>
      <c r="AS1757" s="25" t="s">
        <v>60</v>
      </c>
      <c r="AT1757" s="25" t="s">
        <v>59</v>
      </c>
      <c r="AU1757" s="25" t="s">
        <v>60</v>
      </c>
      <c r="AV1757" s="25" t="s">
        <v>59</v>
      </c>
      <c r="AW1757" s="25" t="s">
        <v>60</v>
      </c>
      <c r="AX1757" s="25" t="s">
        <v>59</v>
      </c>
      <c r="AY1757" s="25" t="s">
        <v>60</v>
      </c>
      <c r="AZ1757" s="25" t="s">
        <v>59</v>
      </c>
      <c r="BA1757" s="25" t="s">
        <v>60</v>
      </c>
      <c r="BB1757" s="25" t="s">
        <v>61</v>
      </c>
      <c r="BC1757" s="25" t="s">
        <v>62</v>
      </c>
      <c r="BD1757" s="20"/>
      <c r="BE1757" s="20"/>
      <c r="BF1757" s="20"/>
      <c r="BG1757" s="20"/>
      <c r="BH1757" s="20"/>
      <c r="BI1757" s="20"/>
    </row>
    <row r="1758" customFormat="false" ht="15" hidden="false" customHeight="false" outlineLevel="0" collapsed="false">
      <c r="A1758" s="0" t="n">
        <v>1</v>
      </c>
      <c r="B1758" s="8" t="s">
        <v>24</v>
      </c>
      <c r="C1758" s="9" t="s">
        <v>25</v>
      </c>
      <c r="D1758" s="9" t="s">
        <v>26</v>
      </c>
      <c r="E1758" s="10" t="n">
        <v>1789</v>
      </c>
      <c r="F1758" s="9" t="s">
        <v>27</v>
      </c>
      <c r="G1758" s="9" t="s">
        <v>27</v>
      </c>
      <c r="H1758" s="11" t="n">
        <v>18</v>
      </c>
      <c r="I1758" s="11" t="s">
        <v>63</v>
      </c>
      <c r="J1758" s="14" t="n">
        <v>27</v>
      </c>
      <c r="K1758" s="14"/>
      <c r="L1758" s="16"/>
      <c r="M1758" s="27" t="n">
        <f aca="false">J1758+(K1758/20)+(L1758/240)</f>
        <v>27</v>
      </c>
      <c r="N1758" s="17" t="s">
        <v>64</v>
      </c>
      <c r="O1758" s="11"/>
      <c r="P1758" s="28"/>
      <c r="Q1758" s="28" t="n">
        <f aca="false">P1758*$M1758</f>
        <v>0</v>
      </c>
      <c r="R1758" s="28"/>
      <c r="S1758" s="28" t="n">
        <f aca="false">R1758*$M1758</f>
        <v>0</v>
      </c>
      <c r="T1758" s="28"/>
      <c r="U1758" s="28" t="n">
        <f aca="false">T1758*$M1758</f>
        <v>0</v>
      </c>
      <c r="V1758" s="28" t="n">
        <f aca="false">700/100</f>
        <v>7</v>
      </c>
      <c r="W1758" s="28" t="n">
        <v>189</v>
      </c>
      <c r="X1758" s="29"/>
      <c r="Y1758" s="28" t="n">
        <v>9506</v>
      </c>
      <c r="Z1758" s="28"/>
      <c r="AA1758" s="28" t="n">
        <f aca="false">Z1758*$M1758</f>
        <v>0</v>
      </c>
      <c r="AB1758" s="28"/>
      <c r="AC1758" s="28" t="n">
        <f aca="false">AB1758*$M1758</f>
        <v>0</v>
      </c>
      <c r="AD1758" s="28"/>
      <c r="AE1758" s="28" t="n">
        <f aca="false">AD1758*$M1758</f>
        <v>0</v>
      </c>
      <c r="AF1758" s="28"/>
      <c r="AG1758" s="28" t="n">
        <f aca="false">AF1758*$M1758</f>
        <v>0</v>
      </c>
      <c r="AH1758" s="28"/>
      <c r="AI1758" s="28" t="n">
        <f aca="false">AH1758*$M1758</f>
        <v>0</v>
      </c>
      <c r="AJ1758" s="28" t="n">
        <f aca="false">72509/100</f>
        <v>725.09</v>
      </c>
      <c r="AK1758" s="28" t="n">
        <v>19577</v>
      </c>
      <c r="AL1758" s="28"/>
      <c r="AM1758" s="28" t="n">
        <f aca="false">AL1758*$M1758</f>
        <v>0</v>
      </c>
      <c r="AN1758" s="28"/>
      <c r="AO1758" s="28" t="n">
        <f aca="false">AN1758*$M1758</f>
        <v>0</v>
      </c>
      <c r="AP1758" s="28"/>
      <c r="AQ1758" s="28" t="n">
        <f aca="false">AP1758*$M1758</f>
        <v>0</v>
      </c>
      <c r="AR1758" s="28" t="n">
        <f aca="false">36750/100</f>
        <v>367.5</v>
      </c>
      <c r="AS1758" s="28" t="n">
        <v>9922</v>
      </c>
      <c r="AT1758" s="28"/>
      <c r="AU1758" s="28" t="n">
        <f aca="false">AT1758*$M1758</f>
        <v>0</v>
      </c>
      <c r="AV1758" s="28"/>
      <c r="AW1758" s="28" t="n">
        <f aca="false">AV1758*$M1758</f>
        <v>0</v>
      </c>
      <c r="AX1758" s="28"/>
      <c r="AY1758" s="28" t="n">
        <f aca="false">AX1758*$M1758</f>
        <v>0</v>
      </c>
      <c r="AZ1758" s="30" t="n">
        <f aca="false">145166/100</f>
        <v>1451.66</v>
      </c>
      <c r="BA1758" s="11" t="n">
        <v>39194</v>
      </c>
      <c r="BB1758" s="31" t="n">
        <f aca="false">SUM(Q1758,S1758,U1758,W1758,Y1758,AA1758,AC1758,AE1758,AG1758,AI1758,AK1758,AM1758,AO1758,AQ1758,AS1758,AU1758,AW1758,AY1758)</f>
        <v>39194</v>
      </c>
      <c r="BC1758" s="28" t="n">
        <f aca="false">BA1758-BB1758</f>
        <v>0</v>
      </c>
      <c r="BD1758" s="32" t="n">
        <f aca="false">SUM(P1758,R1758,T1758,V1758,X1758,Z1758,AB1758,AD1758,AF1758,AH1758,AJ1758,AL1758,AN1758,AP1758,AR1758,AT1758,AV1758,AX1758)</f>
        <v>1099.59</v>
      </c>
      <c r="BE1758" s="33" t="n">
        <f aca="false">AZ1758-BD1758</f>
        <v>352.07</v>
      </c>
      <c r="BF1758" s="34" t="n">
        <f aca="false">BD1758*M1758</f>
        <v>29688.93</v>
      </c>
      <c r="BG1758" s="35" t="n">
        <f aca="false">BA1758-BF1758</f>
        <v>9505.07</v>
      </c>
      <c r="BH1758" s="19" t="str">
        <f aca="false">IF(BG1758=0,"",IF(BG1758&lt;&gt;BA1758,"erreur de calcul",IF(BD1758&lt;&gt;0,"pas de prix",IF(M1758&lt;&gt; 0,"pas de quantité","pas de prix, ni de quantité"))))</f>
        <v>erreur de calcul</v>
      </c>
      <c r="BI1758" s="19"/>
    </row>
    <row r="1759" customFormat="false" ht="15" hidden="false" customHeight="false" outlineLevel="0" collapsed="false">
      <c r="A1759" s="0" t="n">
        <v>2</v>
      </c>
      <c r="B1759" s="8" t="s">
        <v>24</v>
      </c>
      <c r="C1759" s="9" t="s">
        <v>25</v>
      </c>
      <c r="D1759" s="9" t="s">
        <v>26</v>
      </c>
      <c r="E1759" s="10" t="n">
        <v>1789</v>
      </c>
      <c r="F1759" s="9" t="s">
        <v>27</v>
      </c>
      <c r="G1759" s="9" t="s">
        <v>27</v>
      </c>
      <c r="H1759" s="11" t="n">
        <v>18</v>
      </c>
      <c r="I1759" s="11" t="s">
        <v>65</v>
      </c>
      <c r="J1759" s="14"/>
      <c r="K1759" s="14" t="n">
        <v>20</v>
      </c>
      <c r="L1759" s="16"/>
      <c r="M1759" s="27" t="n">
        <f aca="false">J1759+(K1759/20)+(L1759/240)</f>
        <v>1</v>
      </c>
      <c r="N1759" s="17" t="s">
        <v>66</v>
      </c>
      <c r="O1759" s="11"/>
      <c r="P1759" s="28"/>
      <c r="Q1759" s="28" t="n">
        <f aca="false">P1759*$M1759</f>
        <v>0</v>
      </c>
      <c r="R1759" s="28"/>
      <c r="S1759" s="28" t="n">
        <f aca="false">R1759*$M1759</f>
        <v>0</v>
      </c>
      <c r="T1759" s="28"/>
      <c r="U1759" s="28" t="n">
        <f aca="false">T1759*$M1759</f>
        <v>0</v>
      </c>
      <c r="V1759" s="28" t="n">
        <v>2365</v>
      </c>
      <c r="W1759" s="28" t="n">
        <v>2365</v>
      </c>
      <c r="X1759" s="29" t="n">
        <v>234</v>
      </c>
      <c r="Y1759" s="28" t="n">
        <v>234</v>
      </c>
      <c r="Z1759" s="28"/>
      <c r="AA1759" s="28" t="n">
        <f aca="false">Z1759*$M1759</f>
        <v>0</v>
      </c>
      <c r="AB1759" s="28" t="n">
        <v>17776</v>
      </c>
      <c r="AC1759" s="28" t="n">
        <v>17776</v>
      </c>
      <c r="AD1759" s="28"/>
      <c r="AE1759" s="28" t="n">
        <f aca="false">AD1759*$M1759</f>
        <v>0</v>
      </c>
      <c r="AF1759" s="28"/>
      <c r="AG1759" s="28" t="n">
        <f aca="false">AF1759*$M1759</f>
        <v>0</v>
      </c>
      <c r="AH1759" s="28"/>
      <c r="AI1759" s="28" t="n">
        <f aca="false">AH1759*$M1759</f>
        <v>0</v>
      </c>
      <c r="AJ1759" s="28"/>
      <c r="AK1759" s="28" t="n">
        <f aca="false">AJ1759*$M1759</f>
        <v>0</v>
      </c>
      <c r="AL1759" s="28"/>
      <c r="AM1759" s="28" t="n">
        <f aca="false">AL1759*$M1759</f>
        <v>0</v>
      </c>
      <c r="AN1759" s="28"/>
      <c r="AO1759" s="28" t="n">
        <f aca="false">AN1759*$M1759</f>
        <v>0</v>
      </c>
      <c r="AP1759" s="28"/>
      <c r="AQ1759" s="28" t="n">
        <f aca="false">AP1759*$M1759</f>
        <v>0</v>
      </c>
      <c r="AR1759" s="28"/>
      <c r="AS1759" s="28" t="n">
        <f aca="false">AR1759*$M1759</f>
        <v>0</v>
      </c>
      <c r="AT1759" s="28"/>
      <c r="AU1759" s="28" t="n">
        <f aca="false">AT1759*$M1759</f>
        <v>0</v>
      </c>
      <c r="AV1759" s="28"/>
      <c r="AW1759" s="28" t="n">
        <f aca="false">AV1759*$M1759</f>
        <v>0</v>
      </c>
      <c r="AX1759" s="28"/>
      <c r="AY1759" s="28" t="n">
        <f aca="false">AX1759*$M1759</f>
        <v>0</v>
      </c>
      <c r="AZ1759" s="30" t="n">
        <v>20375</v>
      </c>
      <c r="BA1759" s="11" t="n">
        <v>20375</v>
      </c>
      <c r="BB1759" s="31" t="n">
        <f aca="false">SUM(Q1759,S1759,U1759,W1759,Y1759,AA1759,AC1759,AE1759,AG1759,AI1759,AK1759,AM1759,AO1759,AQ1759,AS1759,AU1759,AW1759,AY1759)</f>
        <v>20375</v>
      </c>
      <c r="BC1759" s="28" t="n">
        <f aca="false">BA1759-BB1759</f>
        <v>0</v>
      </c>
      <c r="BD1759" s="32" t="n">
        <f aca="false">SUM(P1759,R1759,T1759,V1759,X1759,Z1759,AB1759,AD1759,AF1759,AH1759,AJ1759,AL1759,AN1759,AP1759,AR1759,AT1759,AV1759,AX1759)</f>
        <v>20375</v>
      </c>
      <c r="BE1759" s="33" t="n">
        <f aca="false">AZ1759-BD1759</f>
        <v>0</v>
      </c>
      <c r="BF1759" s="34" t="n">
        <f aca="false">BD1759*M1759</f>
        <v>20375</v>
      </c>
      <c r="BG1759" s="35" t="n">
        <f aca="false">BA1759-BF1759</f>
        <v>0</v>
      </c>
      <c r="BH1759" s="19" t="str">
        <f aca="false">IF(BG1759=0,"",IF(BG1759&lt;&gt;BA1759,"erreur de calcul",IF(BD1759&lt;&gt;0,"pas de prix",IF(M1759&lt;&gt; 0,"pas de quantité","pas de prix, ni de quantité"))))</f>
        <v/>
      </c>
      <c r="BI1759" s="19"/>
    </row>
    <row r="1760" customFormat="false" ht="15" hidden="false" customHeight="false" outlineLevel="0" collapsed="false">
      <c r="A1760" s="0" t="n">
        <v>3</v>
      </c>
      <c r="B1760" s="8" t="s">
        <v>24</v>
      </c>
      <c r="C1760" s="9" t="s">
        <v>25</v>
      </c>
      <c r="D1760" s="9" t="s">
        <v>26</v>
      </c>
      <c r="E1760" s="10" t="n">
        <v>1789</v>
      </c>
      <c r="F1760" s="9" t="s">
        <v>27</v>
      </c>
      <c r="G1760" s="9" t="s">
        <v>27</v>
      </c>
      <c r="H1760" s="11" t="n">
        <v>18</v>
      </c>
      <c r="I1760" s="11" t="s">
        <v>67</v>
      </c>
      <c r="J1760" s="14" t="n">
        <v>56</v>
      </c>
      <c r="K1760" s="14"/>
      <c r="L1760" s="16"/>
      <c r="M1760" s="27" t="n">
        <f aca="false">J1760+(K1760/20)+(L1760/240)</f>
        <v>56</v>
      </c>
      <c r="N1760" s="17" t="s">
        <v>64</v>
      </c>
      <c r="O1760" s="11"/>
      <c r="P1760" s="28" t="n">
        <f aca="false">27159/100</f>
        <v>271.59</v>
      </c>
      <c r="Q1760" s="28" t="n">
        <v>15209</v>
      </c>
      <c r="R1760" s="28"/>
      <c r="S1760" s="28" t="n">
        <f aca="false">R1760*$M1760</f>
        <v>0</v>
      </c>
      <c r="T1760" s="28" t="n">
        <f aca="false">1044/100</f>
        <v>10.44</v>
      </c>
      <c r="U1760" s="28" t="n">
        <v>585</v>
      </c>
      <c r="V1760" s="28" t="n">
        <f aca="false">1838/100</f>
        <v>18.38</v>
      </c>
      <c r="W1760" s="36" t="n">
        <v>4557</v>
      </c>
      <c r="X1760" s="29"/>
      <c r="Y1760" s="28" t="n">
        <v>2566</v>
      </c>
      <c r="Z1760" s="28"/>
      <c r="AA1760" s="28" t="n">
        <f aca="false">Z1760*$M1760</f>
        <v>0</v>
      </c>
      <c r="AB1760" s="28" t="n">
        <f aca="false">17833/100</f>
        <v>178.33</v>
      </c>
      <c r="AC1760" s="28" t="n">
        <v>9986</v>
      </c>
      <c r="AD1760" s="28"/>
      <c r="AE1760" s="28" t="n">
        <f aca="false">AD1760*$M1760</f>
        <v>0</v>
      </c>
      <c r="AF1760" s="28" t="n">
        <f aca="false">30595/100</f>
        <v>305.95</v>
      </c>
      <c r="AG1760" s="28" t="n">
        <v>17133</v>
      </c>
      <c r="AH1760" s="28"/>
      <c r="AI1760" s="28" t="n">
        <f aca="false">AH1760*$M1760</f>
        <v>0</v>
      </c>
      <c r="AJ1760" s="28"/>
      <c r="AK1760" s="28" t="n">
        <f aca="false">AJ1760*$M1760</f>
        <v>0</v>
      </c>
      <c r="AL1760" s="28"/>
      <c r="AM1760" s="28" t="n">
        <f aca="false">AL1760*$M1760</f>
        <v>0</v>
      </c>
      <c r="AN1760" s="28"/>
      <c r="AO1760" s="28" t="n">
        <f aca="false">AN1760*$M1760</f>
        <v>0</v>
      </c>
      <c r="AP1760" s="28"/>
      <c r="AQ1760" s="28" t="n">
        <f aca="false">AP1760*$M1760</f>
        <v>0</v>
      </c>
      <c r="AR1760" s="28"/>
      <c r="AS1760" s="28" t="n">
        <f aca="false">AR1760*$M1760</f>
        <v>0</v>
      </c>
      <c r="AT1760" s="28"/>
      <c r="AU1760" s="28" t="n">
        <f aca="false">AT1760*$M1760</f>
        <v>0</v>
      </c>
      <c r="AV1760" s="28"/>
      <c r="AW1760" s="28" t="n">
        <f aca="false">AV1760*$M1760</f>
        <v>0</v>
      </c>
      <c r="AX1760" s="28"/>
      <c r="AY1760" s="28" t="n">
        <f aca="false">AX1760*$M1760</f>
        <v>0</v>
      </c>
      <c r="AZ1760" s="30" t="n">
        <f aca="false">83051/100</f>
        <v>830.51</v>
      </c>
      <c r="BA1760" s="11" t="n">
        <v>50036</v>
      </c>
      <c r="BB1760" s="31" t="n">
        <f aca="false">SUM(Q1760,S1760,U1760,W1760,Y1760,AA1760,AC1760,AE1760,AG1760,AI1760,AK1760,AM1760,AO1760,AQ1760,AS1760,AU1760,AW1760,AY1760)</f>
        <v>50036</v>
      </c>
      <c r="BC1760" s="28" t="n">
        <f aca="false">BA1760-BB1760</f>
        <v>0</v>
      </c>
      <c r="BD1760" s="32" t="n">
        <f aca="false">SUM(P1760,R1760,T1760,V1760,X1760,Z1760,AB1760,AD1760,AF1760,AH1760,AJ1760,AL1760,AN1760,AP1760,AR1760,AT1760,AV1760,AX1760)</f>
        <v>784.69</v>
      </c>
      <c r="BE1760" s="33" t="n">
        <f aca="false">AZ1760-BD1760</f>
        <v>45.8199999999999</v>
      </c>
      <c r="BF1760" s="34" t="n">
        <f aca="false">BD1760*M1760</f>
        <v>43942.64</v>
      </c>
      <c r="BG1760" s="35" t="n">
        <f aca="false">BA1760-BF1760</f>
        <v>6093.36</v>
      </c>
      <c r="BH1760" s="19" t="str">
        <f aca="false">IF(BG1760=0,"",IF(BG1760&lt;&gt;BA1760,"erreur de calcul",IF(BD1760&lt;&gt;0,"pas de prix",IF(M1760&lt;&gt; 0,"pas de quantité","pas de prix, ni de quantité"))))</f>
        <v>erreur de calcul</v>
      </c>
      <c r="BI1760" s="19"/>
    </row>
    <row r="1761" customFormat="false" ht="15" hidden="false" customHeight="false" outlineLevel="0" collapsed="false">
      <c r="A1761" s="0" t="n">
        <v>4</v>
      </c>
      <c r="B1761" s="8" t="s">
        <v>24</v>
      </c>
      <c r="C1761" s="9" t="s">
        <v>25</v>
      </c>
      <c r="D1761" s="9" t="s">
        <v>26</v>
      </c>
      <c r="E1761" s="10" t="n">
        <v>1789</v>
      </c>
      <c r="F1761" s="9" t="s">
        <v>27</v>
      </c>
      <c r="G1761" s="9" t="s">
        <v>27</v>
      </c>
      <c r="H1761" s="11" t="n">
        <v>18</v>
      </c>
      <c r="I1761" s="11" t="s">
        <v>68</v>
      </c>
      <c r="J1761" s="14"/>
      <c r="K1761" s="14" t="n">
        <v>30</v>
      </c>
      <c r="L1761" s="16"/>
      <c r="M1761" s="27" t="n">
        <f aca="false">J1761+(K1761/20)+(L1761/240)</f>
        <v>1.5</v>
      </c>
      <c r="N1761" s="17" t="s">
        <v>69</v>
      </c>
      <c r="O1761" s="11"/>
      <c r="P1761" s="28" t="n">
        <v>5460</v>
      </c>
      <c r="Q1761" s="28" t="n">
        <v>8190</v>
      </c>
      <c r="R1761" s="28"/>
      <c r="S1761" s="28" t="n">
        <f aca="false">R1761*$M1761</f>
        <v>0</v>
      </c>
      <c r="T1761" s="28"/>
      <c r="U1761" s="28" t="n">
        <f aca="false">T1761*$M1761</f>
        <v>0</v>
      </c>
      <c r="V1761" s="28" t="n">
        <v>1061</v>
      </c>
      <c r="W1761" s="28" t="n">
        <v>1591</v>
      </c>
      <c r="X1761" s="29"/>
      <c r="Y1761" s="28" t="n">
        <v>5766</v>
      </c>
      <c r="Z1761" s="28"/>
      <c r="AA1761" s="28" t="n">
        <f aca="false">Z1761*$M1761</f>
        <v>0</v>
      </c>
      <c r="AB1761" s="28"/>
      <c r="AC1761" s="28" t="n">
        <f aca="false">AB1761*$M1761</f>
        <v>0</v>
      </c>
      <c r="AD1761" s="28"/>
      <c r="AE1761" s="28" t="n">
        <f aca="false">AD1761*$M1761</f>
        <v>0</v>
      </c>
      <c r="AF1761" s="28"/>
      <c r="AG1761" s="28" t="n">
        <f aca="false">AF1761*$M1761</f>
        <v>0</v>
      </c>
      <c r="AH1761" s="28"/>
      <c r="AI1761" s="28" t="n">
        <f aca="false">AH1761*$M1761</f>
        <v>0</v>
      </c>
      <c r="AJ1761" s="28"/>
      <c r="AK1761" s="28" t="n">
        <f aca="false">AJ1761*$M1761</f>
        <v>0</v>
      </c>
      <c r="AL1761" s="28"/>
      <c r="AM1761" s="28" t="n">
        <f aca="false">AL1761*$M1761</f>
        <v>0</v>
      </c>
      <c r="AN1761" s="28"/>
      <c r="AO1761" s="28" t="n">
        <f aca="false">AN1761*$M1761</f>
        <v>0</v>
      </c>
      <c r="AP1761" s="28"/>
      <c r="AQ1761" s="28" t="n">
        <f aca="false">AP1761*$M1761</f>
        <v>0</v>
      </c>
      <c r="AR1761" s="28"/>
      <c r="AS1761" s="28" t="n">
        <f aca="false">AR1761*$M1761</f>
        <v>0</v>
      </c>
      <c r="AT1761" s="28"/>
      <c r="AU1761" s="28" t="n">
        <f aca="false">AT1761*$M1761</f>
        <v>0</v>
      </c>
      <c r="AV1761" s="28"/>
      <c r="AW1761" s="28" t="n">
        <f aca="false">AV1761*$M1761</f>
        <v>0</v>
      </c>
      <c r="AX1761" s="28"/>
      <c r="AY1761" s="28" t="n">
        <f aca="false">AX1761*$M1761</f>
        <v>0</v>
      </c>
      <c r="AZ1761" s="30" t="n">
        <v>10365</v>
      </c>
      <c r="BA1761" s="11" t="n">
        <v>15547</v>
      </c>
      <c r="BB1761" s="31" t="n">
        <f aca="false">SUM(Q1761,S1761,U1761,W1761,Y1761,AA1761,AC1761,AE1761,AG1761,AI1761,AK1761,AM1761,AO1761,AQ1761,AS1761,AU1761,AW1761,AY1761)</f>
        <v>15547</v>
      </c>
      <c r="BC1761" s="28" t="n">
        <f aca="false">BA1761-BB1761</f>
        <v>0</v>
      </c>
      <c r="BD1761" s="32" t="n">
        <f aca="false">SUM(P1761,R1761,T1761,V1761,X1761,Z1761,AB1761,AD1761,AF1761,AH1761,AJ1761,AL1761,AN1761,AP1761,AR1761,AT1761,AV1761,AX1761)</f>
        <v>6521</v>
      </c>
      <c r="BE1761" s="33" t="n">
        <f aca="false">AZ1761-BD1761</f>
        <v>3844</v>
      </c>
      <c r="BF1761" s="34" t="n">
        <f aca="false">BD1761*M1761</f>
        <v>9781.5</v>
      </c>
      <c r="BG1761" s="35" t="n">
        <f aca="false">BA1761-BF1761</f>
        <v>5765.5</v>
      </c>
      <c r="BH1761" s="19" t="str">
        <f aca="false">IF(BG1761=0,"",IF(BG1761&lt;&gt;BA1761,"erreur de calcul",IF(BD1761&lt;&gt;0,"pas de prix",IF(M1761&lt;&gt; 0,"pas de quantité","pas de prix, ni de quantité"))))</f>
        <v>erreur de calcul</v>
      </c>
      <c r="BI1761" s="19"/>
    </row>
    <row r="1762" customFormat="false" ht="15" hidden="false" customHeight="false" outlineLevel="0" collapsed="false">
      <c r="A1762" s="0" t="n">
        <v>5</v>
      </c>
      <c r="B1762" s="8" t="s">
        <v>24</v>
      </c>
      <c r="C1762" s="9" t="s">
        <v>25</v>
      </c>
      <c r="D1762" s="9" t="s">
        <v>26</v>
      </c>
      <c r="E1762" s="10" t="n">
        <v>1789</v>
      </c>
      <c r="F1762" s="9" t="s">
        <v>27</v>
      </c>
      <c r="G1762" s="9" t="s">
        <v>27</v>
      </c>
      <c r="H1762" s="11" t="n">
        <v>18</v>
      </c>
      <c r="I1762" s="11" t="s">
        <v>70</v>
      </c>
      <c r="J1762" s="14" t="n">
        <v>190</v>
      </c>
      <c r="K1762" s="14"/>
      <c r="L1762" s="16"/>
      <c r="M1762" s="27" t="n">
        <f aca="false">J1762+(K1762/20)+(L1762/240)</f>
        <v>190</v>
      </c>
      <c r="N1762" s="17" t="s">
        <v>64</v>
      </c>
      <c r="O1762" s="11"/>
      <c r="P1762" s="28"/>
      <c r="Q1762" s="28" t="n">
        <f aca="false">P1762*$M1762</f>
        <v>0</v>
      </c>
      <c r="R1762" s="28" t="n">
        <f aca="false">22283/100</f>
        <v>222.83</v>
      </c>
      <c r="S1762" s="28" t="n">
        <v>42338</v>
      </c>
      <c r="T1762" s="28" t="n">
        <f aca="false">1289/100</f>
        <v>12.89</v>
      </c>
      <c r="U1762" s="28" t="n">
        <v>2449</v>
      </c>
      <c r="V1762" s="28"/>
      <c r="W1762" s="28" t="n">
        <f aca="false">V1762*$M1762</f>
        <v>0</v>
      </c>
      <c r="X1762" s="29"/>
      <c r="Y1762" s="28" t="n">
        <f aca="false">X1762*$M1762</f>
        <v>0</v>
      </c>
      <c r="Z1762" s="28"/>
      <c r="AA1762" s="28" t="n">
        <f aca="false">Z1762*$M1762</f>
        <v>0</v>
      </c>
      <c r="AB1762" s="28"/>
      <c r="AC1762" s="28" t="n">
        <f aca="false">AB1762*$M1762</f>
        <v>0</v>
      </c>
      <c r="AD1762" s="28"/>
      <c r="AE1762" s="28" t="n">
        <f aca="false">AD1762*$M1762</f>
        <v>0</v>
      </c>
      <c r="AF1762" s="28"/>
      <c r="AG1762" s="28" t="n">
        <f aca="false">AF1762*$M1762</f>
        <v>0</v>
      </c>
      <c r="AH1762" s="28"/>
      <c r="AI1762" s="28" t="n">
        <f aca="false">AH1762*$M1762</f>
        <v>0</v>
      </c>
      <c r="AJ1762" s="28"/>
      <c r="AK1762" s="28" t="n">
        <f aca="false">AJ1762*$M1762</f>
        <v>0</v>
      </c>
      <c r="AL1762" s="28"/>
      <c r="AM1762" s="28" t="n">
        <f aca="false">AL1762*$M1762</f>
        <v>0</v>
      </c>
      <c r="AN1762" s="28"/>
      <c r="AO1762" s="28" t="n">
        <f aca="false">AN1762*$M1762</f>
        <v>0</v>
      </c>
      <c r="AP1762" s="28"/>
      <c r="AQ1762" s="28" t="n">
        <f aca="false">AP1762*$M1762</f>
        <v>0</v>
      </c>
      <c r="AR1762" s="28"/>
      <c r="AS1762" s="28" t="n">
        <f aca="false">AR1762*$M1762</f>
        <v>0</v>
      </c>
      <c r="AT1762" s="28"/>
      <c r="AU1762" s="28" t="n">
        <f aca="false">AT1762*$M1762</f>
        <v>0</v>
      </c>
      <c r="AV1762" s="28"/>
      <c r="AW1762" s="28" t="n">
        <f aca="false">AV1762*$M1762</f>
        <v>0</v>
      </c>
      <c r="AX1762" s="28"/>
      <c r="AY1762" s="28" t="n">
        <f aca="false">AX1762*$M1762</f>
        <v>0</v>
      </c>
      <c r="AZ1762" s="30" t="n">
        <f aca="false">23572/100</f>
        <v>235.72</v>
      </c>
      <c r="BA1762" s="11" t="n">
        <v>44787</v>
      </c>
      <c r="BB1762" s="31" t="n">
        <f aca="false">SUM(Q1762,S1762,U1762,W1762,Y1762,AA1762,AC1762,AE1762,AG1762,AI1762,AK1762,AM1762,AO1762,AQ1762,AS1762,AU1762,AW1762,AY1762)</f>
        <v>44787</v>
      </c>
      <c r="BC1762" s="28" t="n">
        <f aca="false">BA1762-BB1762</f>
        <v>0</v>
      </c>
      <c r="BD1762" s="32" t="n">
        <f aca="false">SUM(P1762,R1762,T1762,V1762,X1762,Z1762,AB1762,AD1762,AF1762,AH1762,AJ1762,AL1762,AN1762,AP1762,AR1762,AT1762,AV1762,AX1762)</f>
        <v>235.72</v>
      </c>
      <c r="BE1762" s="33" t="n">
        <f aca="false">AZ1762-BD1762</f>
        <v>0</v>
      </c>
      <c r="BF1762" s="34" t="n">
        <f aca="false">BD1762*M1762</f>
        <v>44786.8</v>
      </c>
      <c r="BG1762" s="35" t="n">
        <f aca="false">BA1762-BF1762</f>
        <v>0.19999999999709</v>
      </c>
      <c r="BH1762" s="19" t="str">
        <f aca="false">IF(BG1762=0,"",IF(BG1762&lt;&gt;BA1762,"erreur de calcul",IF(BD1762&lt;&gt;0,"pas de prix",IF(M1762&lt;&gt; 0,"pas de quantité","pas de prix, ni de quantité"))))</f>
        <v>erreur de calcul</v>
      </c>
      <c r="BI1762" s="19"/>
    </row>
    <row r="1763" customFormat="false" ht="15" hidden="false" customHeight="false" outlineLevel="0" collapsed="false">
      <c r="A1763" s="0" t="n">
        <v>6</v>
      </c>
      <c r="B1763" s="8" t="s">
        <v>24</v>
      </c>
      <c r="C1763" s="9" t="s">
        <v>25</v>
      </c>
      <c r="D1763" s="9" t="s">
        <v>26</v>
      </c>
      <c r="E1763" s="10" t="n">
        <v>1789</v>
      </c>
      <c r="F1763" s="9" t="s">
        <v>27</v>
      </c>
      <c r="G1763" s="9" t="s">
        <v>27</v>
      </c>
      <c r="H1763" s="11" t="n">
        <v>18</v>
      </c>
      <c r="I1763" s="11" t="s">
        <v>71</v>
      </c>
      <c r="J1763" s="14" t="n">
        <v>60</v>
      </c>
      <c r="K1763" s="14"/>
      <c r="L1763" s="16"/>
      <c r="M1763" s="27" t="n">
        <f aca="false">J1763+(K1763/20)+(L1763/240)</f>
        <v>60</v>
      </c>
      <c r="N1763" s="17" t="s">
        <v>64</v>
      </c>
      <c r="O1763" s="11"/>
      <c r="P1763" s="28" t="n">
        <f aca="false">674/100</f>
        <v>6.74</v>
      </c>
      <c r="Q1763" s="28" t="n">
        <v>404</v>
      </c>
      <c r="R1763" s="28"/>
      <c r="S1763" s="28" t="n">
        <f aca="false">R1763*$M1763</f>
        <v>0</v>
      </c>
      <c r="T1763" s="28"/>
      <c r="U1763" s="28" t="n">
        <f aca="false">T1763*$M1763</f>
        <v>0</v>
      </c>
      <c r="V1763" s="28"/>
      <c r="W1763" s="28" t="n">
        <f aca="false">V1763*$M1763</f>
        <v>0</v>
      </c>
      <c r="X1763" s="29"/>
      <c r="Y1763" s="28" t="n">
        <f aca="false">X1763*$M1763</f>
        <v>0</v>
      </c>
      <c r="Z1763" s="28"/>
      <c r="AA1763" s="28" t="n">
        <f aca="false">Z1763*$M1763</f>
        <v>0</v>
      </c>
      <c r="AB1763" s="28"/>
      <c r="AC1763" s="28" t="n">
        <f aca="false">AB1763*$M1763</f>
        <v>0</v>
      </c>
      <c r="AD1763" s="28"/>
      <c r="AE1763" s="28" t="n">
        <f aca="false">AD1763*$M1763</f>
        <v>0</v>
      </c>
      <c r="AF1763" s="28"/>
      <c r="AG1763" s="28" t="n">
        <f aca="false">AF1763*$M1763</f>
        <v>0</v>
      </c>
      <c r="AH1763" s="28"/>
      <c r="AI1763" s="28" t="n">
        <f aca="false">AH1763*$M1763</f>
        <v>0</v>
      </c>
      <c r="AJ1763" s="28" t="n">
        <f aca="false">1133/100</f>
        <v>11.33</v>
      </c>
      <c r="AK1763" s="28" t="n">
        <v>680</v>
      </c>
      <c r="AL1763" s="28" t="n">
        <f aca="false">3140/100</f>
        <v>31.4</v>
      </c>
      <c r="AM1763" s="28" t="n">
        <v>1884</v>
      </c>
      <c r="AN1763" s="28"/>
      <c r="AO1763" s="28" t="n">
        <f aca="false">AN1763*$M1763</f>
        <v>0</v>
      </c>
      <c r="AP1763" s="28"/>
      <c r="AQ1763" s="28" t="n">
        <f aca="false">AP1763*$M1763</f>
        <v>0</v>
      </c>
      <c r="AR1763" s="28"/>
      <c r="AS1763" s="28" t="n">
        <f aca="false">AR1763*$M1763</f>
        <v>0</v>
      </c>
      <c r="AT1763" s="28"/>
      <c r="AU1763" s="28" t="n">
        <f aca="false">AT1763*$M1763</f>
        <v>0</v>
      </c>
      <c r="AV1763" s="28"/>
      <c r="AW1763" s="28" t="n">
        <f aca="false">AV1763*$M1763</f>
        <v>0</v>
      </c>
      <c r="AX1763" s="28"/>
      <c r="AY1763" s="28" t="n">
        <f aca="false">AX1763*$M1763</f>
        <v>0</v>
      </c>
      <c r="AZ1763" s="30" t="n">
        <f aca="false">4947/100</f>
        <v>49.47</v>
      </c>
      <c r="BA1763" s="11" t="n">
        <v>2968</v>
      </c>
      <c r="BB1763" s="31" t="n">
        <f aca="false">SUM(Q1763,S1763,U1763,W1763,Y1763,AA1763,AC1763,AE1763,AG1763,AI1763,AK1763,AM1763,AO1763,AQ1763,AS1763,AU1763,AW1763,AY1763)</f>
        <v>2968</v>
      </c>
      <c r="BC1763" s="28" t="n">
        <f aca="false">BA1763-BB1763</f>
        <v>0</v>
      </c>
      <c r="BD1763" s="32" t="n">
        <f aca="false">SUM(P1763,R1763,T1763,V1763,X1763,Z1763,AB1763,AD1763,AF1763,AH1763,AJ1763,AL1763,AN1763,AP1763,AR1763,AT1763,AV1763,AX1763)</f>
        <v>49.47</v>
      </c>
      <c r="BE1763" s="33" t="n">
        <f aca="false">AZ1763-BD1763</f>
        <v>0</v>
      </c>
      <c r="BF1763" s="34" t="n">
        <f aca="false">BD1763*M1763</f>
        <v>2968.2</v>
      </c>
      <c r="BG1763" s="35" t="n">
        <f aca="false">BA1763-BF1763</f>
        <v>-0.199999999999818</v>
      </c>
      <c r="BH1763" s="19" t="str">
        <f aca="false">IF(BG1763=0,"",IF(BG1763&lt;&gt;BA1763,"erreur de calcul",IF(BD1763&lt;&gt;0,"pas de prix",IF(M1763&lt;&gt; 0,"pas de quantité","pas de prix, ni de quantité"))))</f>
        <v>erreur de calcul</v>
      </c>
      <c r="BI1763" s="19"/>
    </row>
    <row r="1764" customFormat="false" ht="15" hidden="false" customHeight="false" outlineLevel="0" collapsed="false">
      <c r="A1764" s="0" t="n">
        <v>7</v>
      </c>
      <c r="B1764" s="8" t="s">
        <v>24</v>
      </c>
      <c r="C1764" s="9" t="s">
        <v>25</v>
      </c>
      <c r="D1764" s="9" t="s">
        <v>26</v>
      </c>
      <c r="E1764" s="10" t="n">
        <v>1789</v>
      </c>
      <c r="F1764" s="9" t="s">
        <v>27</v>
      </c>
      <c r="G1764" s="9" t="s">
        <v>27</v>
      </c>
      <c r="H1764" s="11" t="n">
        <v>18</v>
      </c>
      <c r="I1764" s="11" t="s">
        <v>72</v>
      </c>
      <c r="J1764" s="14" t="n">
        <v>15</v>
      </c>
      <c r="K1764" s="14"/>
      <c r="L1764" s="16"/>
      <c r="M1764" s="27" t="n">
        <f aca="false">J1764+(K1764/20)+(L1764/240)</f>
        <v>15</v>
      </c>
      <c r="N1764" s="17" t="s">
        <v>64</v>
      </c>
      <c r="O1764" s="11"/>
      <c r="P1764" s="28"/>
      <c r="Q1764" s="28" t="n">
        <f aca="false">P1764*$M1764</f>
        <v>0</v>
      </c>
      <c r="R1764" s="28"/>
      <c r="S1764" s="28" t="n">
        <f aca="false">R1764*$M1764</f>
        <v>0</v>
      </c>
      <c r="T1764" s="28"/>
      <c r="U1764" s="28" t="n">
        <f aca="false">T1764*$M1764</f>
        <v>0</v>
      </c>
      <c r="V1764" s="28"/>
      <c r="W1764" s="28" t="n">
        <f aca="false">V1764*$M1764</f>
        <v>0</v>
      </c>
      <c r="X1764" s="29"/>
      <c r="Y1764" s="28" t="n">
        <f aca="false">X1764*$M1764</f>
        <v>0</v>
      </c>
      <c r="Z1764" s="28"/>
      <c r="AA1764" s="28" t="n">
        <f aca="false">Z1764*$M1764</f>
        <v>0</v>
      </c>
      <c r="AB1764" s="28"/>
      <c r="AC1764" s="28" t="n">
        <f aca="false">AB1764*$M1764</f>
        <v>0</v>
      </c>
      <c r="AD1764" s="28"/>
      <c r="AE1764" s="28" t="n">
        <f aca="false">AD1764*$M1764</f>
        <v>0</v>
      </c>
      <c r="AF1764" s="28"/>
      <c r="AG1764" s="28" t="n">
        <f aca="false">AF1764*$M1764</f>
        <v>0</v>
      </c>
      <c r="AH1764" s="28"/>
      <c r="AI1764" s="28" t="n">
        <f aca="false">AH1764*$M1764</f>
        <v>0</v>
      </c>
      <c r="AJ1764" s="28" t="n">
        <f aca="false">119*288*0.02+88*0.02</f>
        <v>687.2</v>
      </c>
      <c r="AK1764" s="28" t="n">
        <v>10308</v>
      </c>
      <c r="AL1764" s="28"/>
      <c r="AM1764" s="28" t="n">
        <f aca="false">AL1764*$M1764</f>
        <v>0</v>
      </c>
      <c r="AN1764" s="28"/>
      <c r="AO1764" s="28" t="n">
        <f aca="false">AN1764*$M1764</f>
        <v>0</v>
      </c>
      <c r="AP1764" s="28"/>
      <c r="AQ1764" s="28" t="n">
        <f aca="false">AP1764*$M1764</f>
        <v>0</v>
      </c>
      <c r="AR1764" s="28"/>
      <c r="AS1764" s="28" t="n">
        <f aca="false">AR1764*$M1764</f>
        <v>0</v>
      </c>
      <c r="AT1764" s="28"/>
      <c r="AU1764" s="28" t="n">
        <f aca="false">AT1764*$M1764</f>
        <v>0</v>
      </c>
      <c r="AV1764" s="28"/>
      <c r="AW1764" s="28" t="n">
        <f aca="false">AV1764*$M1764</f>
        <v>0</v>
      </c>
      <c r="AX1764" s="28"/>
      <c r="AY1764" s="28" t="n">
        <f aca="false">AX1764*$M1764</f>
        <v>0</v>
      </c>
      <c r="AZ1764" s="30" t="n">
        <f aca="false">119*288*0.02+88*0.02</f>
        <v>687.2</v>
      </c>
      <c r="BA1764" s="11" t="n">
        <v>10308</v>
      </c>
      <c r="BB1764" s="31" t="n">
        <f aca="false">SUM(Q1764,S1764,U1764,W1764,Y1764,AA1764,AC1764,AE1764,AG1764,AI1764,AK1764,AM1764,AO1764,AQ1764,AS1764,AU1764,AW1764,AY1764)</f>
        <v>10308</v>
      </c>
      <c r="BC1764" s="28" t="n">
        <f aca="false">BA1764-BB1764</f>
        <v>0</v>
      </c>
      <c r="BD1764" s="32" t="n">
        <f aca="false">SUM(P1764,R1764,T1764,V1764,X1764,Z1764,AB1764,AD1764,AF1764,AH1764,AJ1764,AL1764,AN1764,AP1764,AR1764,AT1764,AV1764,AX1764)</f>
        <v>687.2</v>
      </c>
      <c r="BE1764" s="33" t="n">
        <f aca="false">AZ1764-BD1764</f>
        <v>0</v>
      </c>
      <c r="BF1764" s="34" t="n">
        <f aca="false">BD1764*M1764</f>
        <v>10308</v>
      </c>
      <c r="BG1764" s="35" t="n">
        <f aca="false">BA1764-BF1764</f>
        <v>0</v>
      </c>
      <c r="BH1764" s="19" t="str">
        <f aca="false">IF(BG1764=0,"",IF(BG1764&lt;&gt;BA1764,"erreur de calcul",IF(BD1764&lt;&gt;0,"pas de prix",IF(M1764&lt;&gt; 0,"pas de quantité","pas de prix, ni de quantité"))))</f>
        <v/>
      </c>
      <c r="BI1764" s="19"/>
    </row>
    <row r="1765" customFormat="false" ht="15" hidden="false" customHeight="false" outlineLevel="0" collapsed="false">
      <c r="A1765" s="0" t="n">
        <v>8</v>
      </c>
      <c r="B1765" s="8" t="s">
        <v>24</v>
      </c>
      <c r="C1765" s="9" t="s">
        <v>25</v>
      </c>
      <c r="D1765" s="9" t="s">
        <v>26</v>
      </c>
      <c r="E1765" s="10" t="n">
        <v>1789</v>
      </c>
      <c r="F1765" s="9" t="s">
        <v>27</v>
      </c>
      <c r="G1765" s="9" t="s">
        <v>27</v>
      </c>
      <c r="H1765" s="11" t="n">
        <v>18</v>
      </c>
      <c r="I1765" s="11" t="s">
        <v>73</v>
      </c>
      <c r="J1765" s="14"/>
      <c r="K1765" s="14"/>
      <c r="L1765" s="16"/>
      <c r="M1765" s="27" t="n">
        <f aca="false">J1765+(K1765/20)+(L1765/240)</f>
        <v>0</v>
      </c>
      <c r="N1765" s="17"/>
      <c r="O1765" s="11"/>
      <c r="P1765" s="28"/>
      <c r="Q1765" s="28" t="n">
        <f aca="false">P1765*$M1765</f>
        <v>0</v>
      </c>
      <c r="R1765" s="28"/>
      <c r="S1765" s="28" t="n">
        <f aca="false">R1765*$M1765</f>
        <v>0</v>
      </c>
      <c r="T1765" s="28"/>
      <c r="U1765" s="28" t="n">
        <v>3356</v>
      </c>
      <c r="V1765" s="28"/>
      <c r="W1765" s="28" t="n">
        <v>1444</v>
      </c>
      <c r="X1765" s="29"/>
      <c r="Y1765" s="28" t="n">
        <f aca="false">X1765*$M1765</f>
        <v>0</v>
      </c>
      <c r="Z1765" s="28"/>
      <c r="AA1765" s="28" t="n">
        <f aca="false">Z1765*$M1765</f>
        <v>0</v>
      </c>
      <c r="AB1765" s="28"/>
      <c r="AC1765" s="28" t="n">
        <f aca="false">AB1765*$M1765</f>
        <v>0</v>
      </c>
      <c r="AD1765" s="28"/>
      <c r="AE1765" s="28" t="n">
        <f aca="false">AD1765*$M1765</f>
        <v>0</v>
      </c>
      <c r="AF1765" s="28"/>
      <c r="AG1765" s="28" t="n">
        <f aca="false">AF1765*$M1765</f>
        <v>0</v>
      </c>
      <c r="AH1765" s="28"/>
      <c r="AI1765" s="28" t="n">
        <f aca="false">AH1765*$M1765</f>
        <v>0</v>
      </c>
      <c r="AJ1765" s="28"/>
      <c r="AK1765" s="28" t="n">
        <f aca="false">AJ1765*$M1765</f>
        <v>0</v>
      </c>
      <c r="AL1765" s="28"/>
      <c r="AM1765" s="28" t="n">
        <f aca="false">AL1765*$M1765</f>
        <v>0</v>
      </c>
      <c r="AN1765" s="28"/>
      <c r="AO1765" s="28" t="n">
        <f aca="false">AN1765*$M1765</f>
        <v>0</v>
      </c>
      <c r="AP1765" s="28"/>
      <c r="AQ1765" s="28" t="n">
        <f aca="false">AP1765*$M1765</f>
        <v>0</v>
      </c>
      <c r="AR1765" s="28"/>
      <c r="AS1765" s="28" t="n">
        <f aca="false">AR1765*$M1765</f>
        <v>0</v>
      </c>
      <c r="AT1765" s="28"/>
      <c r="AU1765" s="28" t="n">
        <f aca="false">AT1765*$M1765</f>
        <v>0</v>
      </c>
      <c r="AV1765" s="28"/>
      <c r="AW1765" s="28" t="n">
        <f aca="false">AV1765*$M1765</f>
        <v>0</v>
      </c>
      <c r="AX1765" s="28"/>
      <c r="AY1765" s="28" t="n">
        <f aca="false">AX1765*$M1765</f>
        <v>0</v>
      </c>
      <c r="AZ1765" s="30"/>
      <c r="BA1765" s="11" t="n">
        <v>4800</v>
      </c>
      <c r="BB1765" s="31" t="n">
        <f aca="false">SUM(Q1765,S1765,U1765,W1765,Y1765,AA1765,AC1765,AE1765,AG1765,AI1765,AK1765,AM1765,AO1765,AQ1765,AS1765,AU1765,AW1765,AY1765)</f>
        <v>4800</v>
      </c>
      <c r="BC1765" s="28" t="n">
        <f aca="false">BA1765-BB1765</f>
        <v>0</v>
      </c>
      <c r="BD1765" s="32" t="n">
        <f aca="false">SUM(P1765,R1765,T1765,V1765,X1765,Z1765,AB1765,AD1765,AF1765,AH1765,AJ1765,AL1765,AN1765,AP1765,AR1765,AT1765,AV1765,AX1765)</f>
        <v>0</v>
      </c>
      <c r="BE1765" s="33" t="n">
        <f aca="false">AZ1765-BD1765</f>
        <v>0</v>
      </c>
      <c r="BF1765" s="34" t="n">
        <f aca="false">BD1765*M1765</f>
        <v>0</v>
      </c>
      <c r="BG1765" s="35" t="n">
        <f aca="false">BA1765-BF1765</f>
        <v>4800</v>
      </c>
      <c r="BH1765" s="19" t="str">
        <f aca="false">IF(BG1765=0,"",IF(BG1765&lt;&gt;BA1765,"erreur de calcul",IF(BD1765&lt;&gt;0,"pas de prix",IF(M1765&lt;&gt; 0,"pas de quantité","pas de prix, ni de quantité"))))</f>
        <v>pas de prix, ni de quantité</v>
      </c>
      <c r="BI1765" s="19"/>
    </row>
    <row r="1766" customFormat="false" ht="15" hidden="false" customHeight="false" outlineLevel="0" collapsed="false">
      <c r="A1766" s="0" t="n">
        <v>9</v>
      </c>
      <c r="B1766" s="8" t="s">
        <v>24</v>
      </c>
      <c r="C1766" s="9" t="s">
        <v>25</v>
      </c>
      <c r="D1766" s="9" t="s">
        <v>26</v>
      </c>
      <c r="E1766" s="10" t="n">
        <v>1789</v>
      </c>
      <c r="F1766" s="9" t="s">
        <v>27</v>
      </c>
      <c r="G1766" s="9" t="s">
        <v>27</v>
      </c>
      <c r="H1766" s="11" t="n">
        <v>18</v>
      </c>
      <c r="I1766" s="11" t="s">
        <v>74</v>
      </c>
      <c r="J1766" s="14"/>
      <c r="K1766" s="14"/>
      <c r="L1766" s="16"/>
      <c r="M1766" s="27" t="n">
        <f aca="false">J1766+(K1766/20)+(L1766/240)</f>
        <v>0</v>
      </c>
      <c r="N1766" s="17" t="s">
        <v>66</v>
      </c>
      <c r="O1766" s="11"/>
      <c r="P1766" s="28"/>
      <c r="Q1766" s="28" t="n">
        <f aca="false">P1766*$M1766</f>
        <v>0</v>
      </c>
      <c r="R1766" s="28"/>
      <c r="S1766" s="28" t="n">
        <f aca="false">R1766*$M1766</f>
        <v>0</v>
      </c>
      <c r="T1766" s="28"/>
      <c r="U1766" s="28" t="n">
        <f aca="false">T1766*$M1766</f>
        <v>0</v>
      </c>
      <c r="V1766" s="28"/>
      <c r="W1766" s="28" t="n">
        <f aca="false">V1766*$M1766</f>
        <v>0</v>
      </c>
      <c r="X1766" s="29"/>
      <c r="Y1766" s="28"/>
      <c r="Z1766" s="28"/>
      <c r="AA1766" s="28" t="n">
        <f aca="false">Z1766*$M1766</f>
        <v>0</v>
      </c>
      <c r="AB1766" s="28"/>
      <c r="AC1766" s="28" t="n">
        <f aca="false">AB1766*$M1766</f>
        <v>0</v>
      </c>
      <c r="AD1766" s="28"/>
      <c r="AE1766" s="28" t="n">
        <f aca="false">AD1766*$M1766</f>
        <v>0</v>
      </c>
      <c r="AF1766" s="28"/>
      <c r="AG1766" s="28" t="n">
        <f aca="false">AF1766*$M1766</f>
        <v>0</v>
      </c>
      <c r="AH1766" s="28" t="n">
        <v>45346</v>
      </c>
      <c r="AI1766" s="28" t="n">
        <v>3174</v>
      </c>
      <c r="AJ1766" s="28"/>
      <c r="AK1766" s="28" t="n">
        <f aca="false">AJ1766*$M1766</f>
        <v>0</v>
      </c>
      <c r="AL1766" s="28"/>
      <c r="AM1766" s="28" t="n">
        <f aca="false">AL1766*$M1766</f>
        <v>0</v>
      </c>
      <c r="AN1766" s="28"/>
      <c r="AO1766" s="28" t="n">
        <f aca="false">AN1766*$M1766</f>
        <v>0</v>
      </c>
      <c r="AP1766" s="28"/>
      <c r="AQ1766" s="28" t="n">
        <f aca="false">AP1766*$M1766</f>
        <v>0</v>
      </c>
      <c r="AR1766" s="28"/>
      <c r="AS1766" s="28" t="n">
        <f aca="false">AR1766*$M1766</f>
        <v>0</v>
      </c>
      <c r="AT1766" s="28"/>
      <c r="AU1766" s="28" t="n">
        <f aca="false">AT1766*$M1766</f>
        <v>0</v>
      </c>
      <c r="AV1766" s="28"/>
      <c r="AW1766" s="28" t="n">
        <f aca="false">AV1766*$M1766</f>
        <v>0</v>
      </c>
      <c r="AX1766" s="28"/>
      <c r="AY1766" s="28" t="n">
        <f aca="false">AX1766*$M1766</f>
        <v>0</v>
      </c>
      <c r="AZ1766" s="30" t="n">
        <v>45346</v>
      </c>
      <c r="BA1766" s="11" t="n">
        <v>3174</v>
      </c>
      <c r="BB1766" s="31" t="n">
        <f aca="false">SUM(Q1766,S1766,U1766,W1766,Y1766,AA1766,AC1766,AE1766,AG1766,AI1766,AK1766,AM1766,AO1766,AQ1766,AS1766,AU1766,AW1766,AY1766)</f>
        <v>3174</v>
      </c>
      <c r="BC1766" s="28" t="n">
        <f aca="false">BA1766-BB1766</f>
        <v>0</v>
      </c>
      <c r="BD1766" s="32" t="n">
        <f aca="false">SUM(P1766,R1766,T1766,V1766,X1766,Z1766,AB1766,AD1766,AF1766,AH1766,AJ1766,AL1766,AN1766,AP1766,AR1766,AT1766,AV1766,AX1766)</f>
        <v>45346</v>
      </c>
      <c r="BE1766" s="33" t="n">
        <f aca="false">AZ1766-BD1766</f>
        <v>0</v>
      </c>
      <c r="BF1766" s="34" t="n">
        <f aca="false">BD1766*M1766</f>
        <v>0</v>
      </c>
      <c r="BG1766" s="35" t="n">
        <f aca="false">BA1766-BF1766</f>
        <v>3174</v>
      </c>
      <c r="BH1766" s="19" t="str">
        <f aca="false">IF(BG1766=0,"",IF(BG1766&lt;&gt;BA1766,"erreur de calcul",IF(BD1766&lt;&gt;0,"pas de prix",IF(M1766&lt;&gt; 0,"pas de quantité","pas de prix, ni de quantité"))))</f>
        <v>pas de prix</v>
      </c>
      <c r="BI1766" s="19" t="s">
        <v>75</v>
      </c>
    </row>
    <row r="1767" customFormat="false" ht="15" hidden="false" customHeight="false" outlineLevel="0" collapsed="false">
      <c r="A1767" s="0" t="n">
        <v>10</v>
      </c>
      <c r="B1767" s="8" t="s">
        <v>24</v>
      </c>
      <c r="C1767" s="9" t="s">
        <v>25</v>
      </c>
      <c r="D1767" s="9" t="s">
        <v>26</v>
      </c>
      <c r="E1767" s="10" t="n">
        <v>1789</v>
      </c>
      <c r="F1767" s="9" t="s">
        <v>27</v>
      </c>
      <c r="G1767" s="9" t="s">
        <v>27</v>
      </c>
      <c r="H1767" s="11" t="n">
        <v>18</v>
      </c>
      <c r="I1767" s="11" t="s">
        <v>76</v>
      </c>
      <c r="J1767" s="14"/>
      <c r="K1767" s="14" t="n">
        <v>20</v>
      </c>
      <c r="L1767" s="16"/>
      <c r="M1767" s="27" t="n">
        <f aca="false">J1767+(K1767/20)+(L1767/240)</f>
        <v>1</v>
      </c>
      <c r="N1767" s="17" t="s">
        <v>64</v>
      </c>
      <c r="O1767" s="11" t="s">
        <v>77</v>
      </c>
      <c r="P1767" s="28" t="n">
        <f aca="false">66667/100</f>
        <v>666.67</v>
      </c>
      <c r="Q1767" s="28" t="n">
        <v>667</v>
      </c>
      <c r="R1767" s="28"/>
      <c r="S1767" s="28" t="n">
        <f aca="false">R1767*$M1767</f>
        <v>0</v>
      </c>
      <c r="T1767" s="28"/>
      <c r="U1767" s="28" t="n">
        <f aca="false">T1767*$M1767</f>
        <v>0</v>
      </c>
      <c r="V1767" s="28" t="n">
        <f aca="false">281532/100</f>
        <v>2815.32</v>
      </c>
      <c r="W1767" s="28" t="n">
        <v>2815</v>
      </c>
      <c r="X1767" s="29" t="n">
        <f aca="false">366667/100</f>
        <v>3666.67</v>
      </c>
      <c r="Y1767" s="28" t="n">
        <v>3666</v>
      </c>
      <c r="Z1767" s="28" t="n">
        <f aca="false">33334/100</f>
        <v>333.34</v>
      </c>
      <c r="AA1767" s="28" t="n">
        <v>333</v>
      </c>
      <c r="AB1767" s="28"/>
      <c r="AC1767" s="28" t="n">
        <f aca="false">AB1767*$M1767</f>
        <v>0</v>
      </c>
      <c r="AD1767" s="28"/>
      <c r="AE1767" s="28" t="n">
        <f aca="false">AD1767*$M1767</f>
        <v>0</v>
      </c>
      <c r="AF1767" s="28"/>
      <c r="AG1767" s="28" t="n">
        <f aca="false">AF1767*$M1767</f>
        <v>0</v>
      </c>
      <c r="AH1767" s="28"/>
      <c r="AI1767" s="28" t="n">
        <f aca="false">AH1767*$M1767</f>
        <v>0</v>
      </c>
      <c r="AJ1767" s="28"/>
      <c r="AK1767" s="28" t="n">
        <f aca="false">AJ1767*$M1767</f>
        <v>0</v>
      </c>
      <c r="AL1767" s="28"/>
      <c r="AM1767" s="28" t="n">
        <f aca="false">AL1767*$M1767</f>
        <v>0</v>
      </c>
      <c r="AN1767" s="28"/>
      <c r="AO1767" s="28" t="n">
        <f aca="false">AN1767*$M1767</f>
        <v>0</v>
      </c>
      <c r="AP1767" s="28"/>
      <c r="AQ1767" s="28" t="n">
        <f aca="false">AP1767*$M1767</f>
        <v>0</v>
      </c>
      <c r="AR1767" s="28"/>
      <c r="AS1767" s="28" t="n">
        <f aca="false">AR1767*$M1767</f>
        <v>0</v>
      </c>
      <c r="AT1767" s="28"/>
      <c r="AU1767" s="28" t="n">
        <f aca="false">AT1767*$M1767</f>
        <v>0</v>
      </c>
      <c r="AV1767" s="28"/>
      <c r="AW1767" s="28" t="n">
        <f aca="false">AV1767*$M1767</f>
        <v>0</v>
      </c>
      <c r="AX1767" s="28"/>
      <c r="AY1767" s="28" t="n">
        <f aca="false">AX1767*$M1767</f>
        <v>0</v>
      </c>
      <c r="AZ1767" s="30" t="n">
        <f aca="false">748200/100</f>
        <v>7482</v>
      </c>
      <c r="BA1767" s="11" t="n">
        <v>7481</v>
      </c>
      <c r="BB1767" s="31" t="n">
        <f aca="false">SUM(Q1767,S1767,U1767,W1767,Y1767,AA1767,AC1767,AE1767,AG1767,AI1767,AK1767,AM1767,AO1767,AQ1767,AS1767,AU1767,AW1767,AY1767)</f>
        <v>7481</v>
      </c>
      <c r="BC1767" s="28" t="n">
        <f aca="false">BA1767-BB1767</f>
        <v>0</v>
      </c>
      <c r="BD1767" s="32" t="n">
        <f aca="false">SUM(P1767,R1767,T1767,V1767,X1767,Z1767,AB1767,AD1767,AF1767,AH1767,AJ1767,AL1767,AN1767,AP1767,AR1767,AT1767,AV1767,AX1767)</f>
        <v>7482</v>
      </c>
      <c r="BE1767" s="33" t="n">
        <f aca="false">AZ1767-BD1767</f>
        <v>0</v>
      </c>
      <c r="BF1767" s="34" t="n">
        <f aca="false">BD1767*M1767</f>
        <v>7482</v>
      </c>
      <c r="BG1767" s="35" t="n">
        <f aca="false">BA1767-BF1767</f>
        <v>-1</v>
      </c>
      <c r="BH1767" s="19" t="str">
        <f aca="false">IF(BG1767=0,"",IF(BG1767&lt;&gt;BA1767,"erreur de calcul",IF(BD1767&lt;&gt;0,"pas de prix",IF(M1767&lt;&gt; 0,"pas de quantité","pas de prix, ni de quantité"))))</f>
        <v>erreur de calcul</v>
      </c>
      <c r="BI1767" s="19"/>
    </row>
    <row r="1768" customFormat="false" ht="15" hidden="false" customHeight="false" outlineLevel="0" collapsed="false">
      <c r="A1768" s="0" t="n">
        <v>11</v>
      </c>
      <c r="B1768" s="8" t="s">
        <v>24</v>
      </c>
      <c r="C1768" s="9" t="s">
        <v>25</v>
      </c>
      <c r="D1768" s="9" t="s">
        <v>26</v>
      </c>
      <c r="E1768" s="10" t="n">
        <v>1789</v>
      </c>
      <c r="F1768" s="9" t="s">
        <v>27</v>
      </c>
      <c r="G1768" s="9" t="s">
        <v>27</v>
      </c>
      <c r="H1768" s="11" t="n">
        <v>18</v>
      </c>
      <c r="I1768" s="11" t="s">
        <v>78</v>
      </c>
      <c r="J1768" s="14"/>
      <c r="K1768" s="14" t="n">
        <v>50</v>
      </c>
      <c r="L1768" s="16"/>
      <c r="M1768" s="27" t="n">
        <f aca="false">J1768+(K1768/20)+(L1768/240)</f>
        <v>2.5</v>
      </c>
      <c r="N1768" s="17" t="s">
        <v>79</v>
      </c>
      <c r="O1768" s="11"/>
      <c r="P1768" s="28"/>
      <c r="Q1768" s="28" t="n">
        <f aca="false">P1768*$M1768</f>
        <v>0</v>
      </c>
      <c r="R1768" s="28"/>
      <c r="S1768" s="28" t="n">
        <f aca="false">R1768*$M1768</f>
        <v>0</v>
      </c>
      <c r="T1768" s="28"/>
      <c r="U1768" s="28" t="n">
        <f aca="false">T1768*$M1768</f>
        <v>0</v>
      </c>
      <c r="V1768" s="28" t="n">
        <v>61807</v>
      </c>
      <c r="W1768" s="28" t="n">
        <v>154517</v>
      </c>
      <c r="X1768" s="29"/>
      <c r="Y1768" s="28" t="n">
        <f aca="false">X1768*$M1768</f>
        <v>0</v>
      </c>
      <c r="Z1768" s="28"/>
      <c r="AA1768" s="28" t="n">
        <f aca="false">Z1768*$M1768</f>
        <v>0</v>
      </c>
      <c r="AB1768" s="28" t="n">
        <v>43640</v>
      </c>
      <c r="AC1768" s="28" t="n">
        <v>109100</v>
      </c>
      <c r="AD1768" s="28"/>
      <c r="AE1768" s="28" t="n">
        <f aca="false">AD1768*$M1768</f>
        <v>0</v>
      </c>
      <c r="AF1768" s="28"/>
      <c r="AG1768" s="28" t="n">
        <f aca="false">AF1768*$M1768</f>
        <v>0</v>
      </c>
      <c r="AH1768" s="28"/>
      <c r="AI1768" s="28" t="n">
        <f aca="false">AH1768*$M1768</f>
        <v>0</v>
      </c>
      <c r="AJ1768" s="28"/>
      <c r="AK1768" s="28" t="n">
        <f aca="false">AJ1768*$M1768</f>
        <v>0</v>
      </c>
      <c r="AL1768" s="28"/>
      <c r="AM1768" s="28" t="n">
        <f aca="false">AL1768*$M1768</f>
        <v>0</v>
      </c>
      <c r="AN1768" s="28"/>
      <c r="AO1768" s="28" t="n">
        <f aca="false">AN1768*$M1768</f>
        <v>0</v>
      </c>
      <c r="AP1768" s="28"/>
      <c r="AQ1768" s="28" t="n">
        <f aca="false">AP1768*$M1768</f>
        <v>0</v>
      </c>
      <c r="AR1768" s="28"/>
      <c r="AS1768" s="28" t="n">
        <f aca="false">AR1768*$M1768</f>
        <v>0</v>
      </c>
      <c r="AT1768" s="28"/>
      <c r="AU1768" s="28" t="n">
        <f aca="false">AT1768*$M1768</f>
        <v>0</v>
      </c>
      <c r="AV1768" s="28"/>
      <c r="AW1768" s="28" t="n">
        <f aca="false">AV1768*$M1768</f>
        <v>0</v>
      </c>
      <c r="AX1768" s="28"/>
      <c r="AY1768" s="28" t="n">
        <f aca="false">AX1768*$M1768</f>
        <v>0</v>
      </c>
      <c r="AZ1768" s="30" t="n">
        <v>105447</v>
      </c>
      <c r="BA1768" s="11" t="n">
        <v>263617</v>
      </c>
      <c r="BB1768" s="31" t="n">
        <f aca="false">SUM(Q1768,S1768,U1768,W1768,Y1768,AA1768,AC1768,AE1768,AG1768,AI1768,AK1768,AM1768,AO1768,AQ1768,AS1768,AU1768,AW1768,AY1768)</f>
        <v>263617</v>
      </c>
      <c r="BC1768" s="28" t="n">
        <f aca="false">BA1768-BB1768</f>
        <v>0</v>
      </c>
      <c r="BD1768" s="32" t="n">
        <f aca="false">SUM(P1768,R1768,T1768,V1768,X1768,Z1768,AB1768,AD1768,AF1768,AH1768,AJ1768,AL1768,AN1768,AP1768,AR1768,AT1768,AV1768,AX1768)</f>
        <v>105447</v>
      </c>
      <c r="BE1768" s="33" t="n">
        <f aca="false">AZ1768-BD1768</f>
        <v>0</v>
      </c>
      <c r="BF1768" s="34" t="n">
        <f aca="false">BD1768*M1768</f>
        <v>263617.5</v>
      </c>
      <c r="BG1768" s="35" t="n">
        <f aca="false">BA1768-BF1768</f>
        <v>-0.5</v>
      </c>
      <c r="BH1768" s="19" t="str">
        <f aca="false">IF(BG1768=0,"",IF(BG1768&lt;&gt;BA1768,"erreur de calcul",IF(BD1768&lt;&gt;0,"pas de prix",IF(M1768&lt;&gt; 0,"pas de quantité","pas de prix, ni de quantité"))))</f>
        <v>erreur de calcul</v>
      </c>
      <c r="BI1768" s="19"/>
    </row>
    <row r="1769" customFormat="false" ht="15" hidden="false" customHeight="false" outlineLevel="0" collapsed="false">
      <c r="A1769" s="0" t="n">
        <v>12</v>
      </c>
      <c r="B1769" s="8" t="s">
        <v>24</v>
      </c>
      <c r="C1769" s="9" t="s">
        <v>25</v>
      </c>
      <c r="D1769" s="9" t="s">
        <v>26</v>
      </c>
      <c r="E1769" s="10" t="n">
        <v>1789</v>
      </c>
      <c r="F1769" s="9" t="s">
        <v>27</v>
      </c>
      <c r="G1769" s="9" t="s">
        <v>27</v>
      </c>
      <c r="H1769" s="11" t="n">
        <v>18</v>
      </c>
      <c r="I1769" s="11" t="s">
        <v>80</v>
      </c>
      <c r="J1769" s="14"/>
      <c r="K1769" s="14" t="n">
        <v>4</v>
      </c>
      <c r="L1769" s="16"/>
      <c r="M1769" s="27" t="n">
        <f aca="false">J1769+(K1769/20)+(L1769/240)</f>
        <v>0.2</v>
      </c>
      <c r="N1769" s="17" t="s">
        <v>81</v>
      </c>
      <c r="O1769" s="11"/>
      <c r="P1769" s="28"/>
      <c r="Q1769" s="28" t="n">
        <f aca="false">P1769*$M1769</f>
        <v>0</v>
      </c>
      <c r="R1769" s="28"/>
      <c r="S1769" s="28" t="n">
        <f aca="false">R1769*$M1769</f>
        <v>0</v>
      </c>
      <c r="T1769" s="28"/>
      <c r="U1769" s="28" t="n">
        <f aca="false">T1769*$M1769</f>
        <v>0</v>
      </c>
      <c r="V1769" s="28" t="n">
        <v>5800</v>
      </c>
      <c r="W1769" s="28" t="n">
        <v>1160</v>
      </c>
      <c r="X1769" s="29"/>
      <c r="Y1769" s="28" t="n">
        <v>1069</v>
      </c>
      <c r="Z1769" s="28"/>
      <c r="AA1769" s="28" t="n">
        <f aca="false">Z1769*$M1769</f>
        <v>0</v>
      </c>
      <c r="AB1769" s="28"/>
      <c r="AC1769" s="28" t="n">
        <f aca="false">AB1769*$M1769</f>
        <v>0</v>
      </c>
      <c r="AD1769" s="28"/>
      <c r="AE1769" s="28" t="n">
        <f aca="false">AD1769*$M1769</f>
        <v>0</v>
      </c>
      <c r="AF1769" s="28"/>
      <c r="AG1769" s="28" t="n">
        <f aca="false">AF1769*$M1769</f>
        <v>0</v>
      </c>
      <c r="AH1769" s="28"/>
      <c r="AI1769" s="28" t="n">
        <f aca="false">AH1769*$M1769</f>
        <v>0</v>
      </c>
      <c r="AJ1769" s="28"/>
      <c r="AK1769" s="28" t="n">
        <f aca="false">AJ1769*$M1769</f>
        <v>0</v>
      </c>
      <c r="AL1769" s="28"/>
      <c r="AM1769" s="28" t="n">
        <f aca="false">AL1769*$M1769</f>
        <v>0</v>
      </c>
      <c r="AN1769" s="28"/>
      <c r="AO1769" s="28" t="n">
        <f aca="false">AN1769*$M1769</f>
        <v>0</v>
      </c>
      <c r="AP1769" s="28"/>
      <c r="AQ1769" s="28" t="n">
        <f aca="false">AP1769*$M1769</f>
        <v>0</v>
      </c>
      <c r="AR1769" s="28"/>
      <c r="AS1769" s="28" t="n">
        <f aca="false">AR1769*$M1769</f>
        <v>0</v>
      </c>
      <c r="AT1769" s="28"/>
      <c r="AU1769" s="28" t="n">
        <f aca="false">AT1769*$M1769</f>
        <v>0</v>
      </c>
      <c r="AV1769" s="28"/>
      <c r="AW1769" s="28" t="n">
        <f aca="false">AV1769*$M1769</f>
        <v>0</v>
      </c>
      <c r="AX1769" s="28"/>
      <c r="AY1769" s="28" t="n">
        <f aca="false">AX1769*$M1769</f>
        <v>0</v>
      </c>
      <c r="AZ1769" s="30" t="n">
        <v>11144</v>
      </c>
      <c r="BA1769" s="11" t="n">
        <v>2229</v>
      </c>
      <c r="BB1769" s="31" t="n">
        <f aca="false">SUM(Q1769,S1769,U1769,W1769,Y1769,AA1769,AC1769,AE1769,AG1769,AI1769,AK1769,AM1769,AO1769,AQ1769,AS1769,AU1769,AW1769,AY1769)</f>
        <v>2229</v>
      </c>
      <c r="BC1769" s="28" t="n">
        <f aca="false">BA1769-BB1769</f>
        <v>0</v>
      </c>
      <c r="BD1769" s="32" t="n">
        <f aca="false">SUM(P1769,R1769,T1769,V1769,X1769,Z1769,AB1769,AD1769,AF1769,AH1769,AJ1769,AL1769,AN1769,AP1769,AR1769,AT1769,AV1769,AX1769)</f>
        <v>5800</v>
      </c>
      <c r="BE1769" s="33" t="n">
        <f aca="false">AZ1769-BD1769</f>
        <v>5344</v>
      </c>
      <c r="BF1769" s="34" t="n">
        <f aca="false">BD1769*M1769</f>
        <v>1160</v>
      </c>
      <c r="BG1769" s="35" t="n">
        <f aca="false">BA1769-BF1769</f>
        <v>1069</v>
      </c>
      <c r="BH1769" s="19" t="str">
        <f aca="false">IF(BG1769=0,"",IF(BG1769&lt;&gt;BA1769,"erreur de calcul",IF(BD1769&lt;&gt;0,"pas de prix",IF(M1769&lt;&gt; 0,"pas de quantité","pas de prix, ni de quantité"))))</f>
        <v>erreur de calcul</v>
      </c>
      <c r="BI1769" s="19"/>
    </row>
    <row r="1770" customFormat="false" ht="15" hidden="false" customHeight="false" outlineLevel="0" collapsed="false">
      <c r="A1770" s="0" t="n">
        <v>13</v>
      </c>
      <c r="B1770" s="8" t="s">
        <v>24</v>
      </c>
      <c r="C1770" s="9" t="s">
        <v>25</v>
      </c>
      <c r="D1770" s="9" t="s">
        <v>26</v>
      </c>
      <c r="E1770" s="10" t="n">
        <v>1789</v>
      </c>
      <c r="F1770" s="9" t="s">
        <v>27</v>
      </c>
      <c r="G1770" s="9" t="s">
        <v>27</v>
      </c>
      <c r="H1770" s="11" t="n">
        <v>18</v>
      </c>
      <c r="I1770" s="11" t="s">
        <v>82</v>
      </c>
      <c r="J1770" s="14" t="n">
        <v>17</v>
      </c>
      <c r="K1770" s="14"/>
      <c r="L1770" s="16"/>
      <c r="M1770" s="27" t="n">
        <f aca="false">J1770+(K1770/20)+(L1770/240)</f>
        <v>17</v>
      </c>
      <c r="N1770" s="17" t="s">
        <v>69</v>
      </c>
      <c r="O1770" s="11"/>
      <c r="P1770" s="28"/>
      <c r="Q1770" s="28" t="n">
        <f aca="false">P1770*$M1770</f>
        <v>0</v>
      </c>
      <c r="R1770" s="28"/>
      <c r="S1770" s="28" t="n">
        <f aca="false">R1770*$M1770</f>
        <v>0</v>
      </c>
      <c r="T1770" s="28"/>
      <c r="U1770" s="28" t="n">
        <f aca="false">T1770*$M1770</f>
        <v>0</v>
      </c>
      <c r="V1770" s="28" t="n">
        <v>600</v>
      </c>
      <c r="W1770" s="28" t="n">
        <v>10200</v>
      </c>
      <c r="X1770" s="29"/>
      <c r="Y1770" s="28" t="n">
        <f aca="false">X1770*$M1770</f>
        <v>0</v>
      </c>
      <c r="Z1770" s="28"/>
      <c r="AA1770" s="28" t="n">
        <f aca="false">Z1770*$M1770</f>
        <v>0</v>
      </c>
      <c r="AB1770" s="28"/>
      <c r="AC1770" s="28" t="n">
        <f aca="false">AB1770*$M1770</f>
        <v>0</v>
      </c>
      <c r="AD1770" s="28"/>
      <c r="AE1770" s="28" t="n">
        <f aca="false">AD1770*$M1770</f>
        <v>0</v>
      </c>
      <c r="AF1770" s="28"/>
      <c r="AG1770" s="28" t="n">
        <f aca="false">AF1770*$M1770</f>
        <v>0</v>
      </c>
      <c r="AH1770" s="28"/>
      <c r="AI1770" s="28" t="n">
        <f aca="false">AH1770*$M1770</f>
        <v>0</v>
      </c>
      <c r="AJ1770" s="28"/>
      <c r="AK1770" s="28" t="n">
        <f aca="false">AJ1770*$M1770</f>
        <v>0</v>
      </c>
      <c r="AL1770" s="28"/>
      <c r="AM1770" s="28" t="n">
        <f aca="false">AL1770*$M1770</f>
        <v>0</v>
      </c>
      <c r="AN1770" s="28"/>
      <c r="AO1770" s="28" t="n">
        <f aca="false">AN1770*$M1770</f>
        <v>0</v>
      </c>
      <c r="AP1770" s="28"/>
      <c r="AQ1770" s="28" t="n">
        <f aca="false">AP1770*$M1770</f>
        <v>0</v>
      </c>
      <c r="AR1770" s="28"/>
      <c r="AS1770" s="28" t="n">
        <f aca="false">AR1770*$M1770</f>
        <v>0</v>
      </c>
      <c r="AT1770" s="28"/>
      <c r="AU1770" s="28" t="n">
        <f aca="false">AT1770*$M1770</f>
        <v>0</v>
      </c>
      <c r="AV1770" s="28"/>
      <c r="AW1770" s="28" t="n">
        <f aca="false">AV1770*$M1770</f>
        <v>0</v>
      </c>
      <c r="AX1770" s="28"/>
      <c r="AY1770" s="28" t="n">
        <f aca="false">AX1770*$M1770</f>
        <v>0</v>
      </c>
      <c r="AZ1770" s="30" t="n">
        <v>600</v>
      </c>
      <c r="BA1770" s="11" t="n">
        <v>10200</v>
      </c>
      <c r="BB1770" s="31" t="n">
        <f aca="false">SUM(Q1770,S1770,U1770,W1770,Y1770,AA1770,AC1770,AE1770,AG1770,AI1770,AK1770,AM1770,AO1770,AQ1770,AS1770,AU1770,AW1770,AY1770)</f>
        <v>10200</v>
      </c>
      <c r="BC1770" s="28" t="n">
        <f aca="false">BA1770-BB1770</f>
        <v>0</v>
      </c>
      <c r="BD1770" s="32" t="n">
        <f aca="false">SUM(P1770,R1770,T1770,V1770,X1770,Z1770,AB1770,AD1770,AF1770,AH1770,AJ1770,AL1770,AN1770,AP1770,AR1770,AT1770,AV1770,AX1770)</f>
        <v>600</v>
      </c>
      <c r="BE1770" s="33" t="n">
        <f aca="false">AZ1770-BD1770</f>
        <v>0</v>
      </c>
      <c r="BF1770" s="34" t="n">
        <f aca="false">BD1770*M1770</f>
        <v>10200</v>
      </c>
      <c r="BG1770" s="35" t="n">
        <f aca="false">BA1770-BF1770</f>
        <v>0</v>
      </c>
      <c r="BH1770" s="19" t="str">
        <f aca="false">IF(BG1770=0,"",IF(BG1770&lt;&gt;BA1770,"erreur de calcul",IF(BD1770&lt;&gt;0,"pas de prix",IF(M1770&lt;&gt; 0,"pas de quantité","pas de prix, ni de quantité"))))</f>
        <v/>
      </c>
      <c r="BI1770" s="19"/>
    </row>
    <row r="1771" customFormat="false" ht="15" hidden="false" customHeight="false" outlineLevel="0" collapsed="false">
      <c r="A1771" s="0" t="n">
        <v>14</v>
      </c>
      <c r="B1771" s="8" t="s">
        <v>24</v>
      </c>
      <c r="C1771" s="9" t="s">
        <v>25</v>
      </c>
      <c r="D1771" s="9" t="s">
        <v>26</v>
      </c>
      <c r="E1771" s="10" t="n">
        <v>1789</v>
      </c>
      <c r="F1771" s="9" t="s">
        <v>27</v>
      </c>
      <c r="G1771" s="9" t="s">
        <v>27</v>
      </c>
      <c r="H1771" s="11" t="n">
        <v>18</v>
      </c>
      <c r="I1771" s="11" t="s">
        <v>83</v>
      </c>
      <c r="J1771" s="14" t="n">
        <v>20</v>
      </c>
      <c r="K1771" s="14"/>
      <c r="L1771" s="16"/>
      <c r="M1771" s="27" t="n">
        <f aca="false">J1771+(K1771/20)+(L1771/240)</f>
        <v>20</v>
      </c>
      <c r="N1771" s="17" t="s">
        <v>81</v>
      </c>
      <c r="O1771" s="11"/>
      <c r="P1771" s="28"/>
      <c r="Q1771" s="28" t="n">
        <f aca="false">P1771*$M1771</f>
        <v>0</v>
      </c>
      <c r="R1771" s="28"/>
      <c r="S1771" s="28" t="n">
        <f aca="false">R1771*$M1771</f>
        <v>0</v>
      </c>
      <c r="T1771" s="28"/>
      <c r="U1771" s="28" t="n">
        <f aca="false">T1771*$M1771</f>
        <v>0</v>
      </c>
      <c r="V1771" s="28"/>
      <c r="W1771" s="28" t="n">
        <f aca="false">V1771*$M1771</f>
        <v>0</v>
      </c>
      <c r="X1771" s="29"/>
      <c r="Y1771" s="28" t="n">
        <f aca="false">X1771*$M1771</f>
        <v>0</v>
      </c>
      <c r="Z1771" s="28" t="n">
        <v>460</v>
      </c>
      <c r="AA1771" s="28" t="n">
        <v>9200</v>
      </c>
      <c r="AB1771" s="28"/>
      <c r="AC1771" s="28" t="n">
        <f aca="false">AB1771*$M1771</f>
        <v>0</v>
      </c>
      <c r="AD1771" s="28"/>
      <c r="AE1771" s="28" t="n">
        <f aca="false">AD1771*$M1771</f>
        <v>0</v>
      </c>
      <c r="AF1771" s="28"/>
      <c r="AG1771" s="28" t="n">
        <f aca="false">AF1771*$M1771</f>
        <v>0</v>
      </c>
      <c r="AH1771" s="28"/>
      <c r="AI1771" s="28" t="n">
        <f aca="false">AH1771*$M1771</f>
        <v>0</v>
      </c>
      <c r="AJ1771" s="28"/>
      <c r="AK1771" s="28" t="n">
        <f aca="false">AJ1771*$M1771</f>
        <v>0</v>
      </c>
      <c r="AL1771" s="28"/>
      <c r="AM1771" s="28" t="n">
        <f aca="false">AL1771*$M1771</f>
        <v>0</v>
      </c>
      <c r="AN1771" s="28"/>
      <c r="AO1771" s="28" t="n">
        <f aca="false">AN1771*$M1771</f>
        <v>0</v>
      </c>
      <c r="AP1771" s="28"/>
      <c r="AQ1771" s="28" t="n">
        <f aca="false">AP1771*$M1771</f>
        <v>0</v>
      </c>
      <c r="AR1771" s="28"/>
      <c r="AS1771" s="28" t="n">
        <f aca="false">AR1771*$M1771</f>
        <v>0</v>
      </c>
      <c r="AT1771" s="28"/>
      <c r="AU1771" s="28" t="n">
        <f aca="false">AT1771*$M1771</f>
        <v>0</v>
      </c>
      <c r="AV1771" s="28"/>
      <c r="AW1771" s="28" t="n">
        <f aca="false">AV1771*$M1771</f>
        <v>0</v>
      </c>
      <c r="AX1771" s="28"/>
      <c r="AY1771" s="28" t="n">
        <f aca="false">AX1771*$M1771</f>
        <v>0</v>
      </c>
      <c r="AZ1771" s="30" t="n">
        <v>460</v>
      </c>
      <c r="BA1771" s="11" t="n">
        <v>9200</v>
      </c>
      <c r="BB1771" s="31" t="n">
        <f aca="false">SUM(Q1771,S1771,U1771,W1771,Y1771,AA1771,AC1771,AE1771,AG1771,AI1771,AK1771,AM1771,AO1771,AQ1771,AS1771,AU1771,AW1771,AY1771)</f>
        <v>9200</v>
      </c>
      <c r="BC1771" s="28" t="n">
        <f aca="false">BA1771-BB1771</f>
        <v>0</v>
      </c>
      <c r="BD1771" s="32" t="n">
        <f aca="false">SUM(P1771,R1771,T1771,V1771,X1771,Z1771,AB1771,AD1771,AF1771,AH1771,AJ1771,AL1771,AN1771,AP1771,AR1771,AT1771,AV1771,AX1771)</f>
        <v>460</v>
      </c>
      <c r="BE1771" s="33" t="n">
        <f aca="false">AZ1771-BD1771</f>
        <v>0</v>
      </c>
      <c r="BF1771" s="34" t="n">
        <f aca="false">BD1771*M1771</f>
        <v>9200</v>
      </c>
      <c r="BG1771" s="35" t="n">
        <f aca="false">BA1771-BF1771</f>
        <v>0</v>
      </c>
      <c r="BH1771" s="19" t="str">
        <f aca="false">IF(BG1771=0,"",IF(BG1771&lt;&gt;BA1771,"erreur de calcul",IF(BD1771&lt;&gt;0,"pas de prix",IF(M1771&lt;&gt; 0,"pas de quantité","pas de prix, ni de quantité"))))</f>
        <v/>
      </c>
      <c r="BI1771" s="19"/>
    </row>
    <row r="1772" customFormat="false" ht="15" hidden="false" customHeight="false" outlineLevel="0" collapsed="false">
      <c r="A1772" s="0" t="n">
        <v>15</v>
      </c>
      <c r="B1772" s="8" t="s">
        <v>24</v>
      </c>
      <c r="C1772" s="9" t="s">
        <v>25</v>
      </c>
      <c r="D1772" s="9" t="s">
        <v>26</v>
      </c>
      <c r="E1772" s="10" t="n">
        <v>1789</v>
      </c>
      <c r="F1772" s="9" t="s">
        <v>27</v>
      </c>
      <c r="G1772" s="9" t="s">
        <v>27</v>
      </c>
      <c r="H1772" s="11" t="n">
        <v>18</v>
      </c>
      <c r="I1772" s="11" t="s">
        <v>84</v>
      </c>
      <c r="J1772" s="14" t="n">
        <v>16</v>
      </c>
      <c r="K1772" s="14"/>
      <c r="L1772" s="16"/>
      <c r="M1772" s="27" t="n">
        <f aca="false">J1772+(K1772/20)+(L1772/240)</f>
        <v>16</v>
      </c>
      <c r="N1772" s="17" t="s">
        <v>85</v>
      </c>
      <c r="O1772" s="11"/>
      <c r="P1772" s="28"/>
      <c r="Q1772" s="28" t="n">
        <f aca="false">P1772*$M1772</f>
        <v>0</v>
      </c>
      <c r="R1772" s="28"/>
      <c r="S1772" s="28" t="n">
        <f aca="false">R1772*$M1772</f>
        <v>0</v>
      </c>
      <c r="T1772" s="28" t="n">
        <f aca="false">1600/100</f>
        <v>16</v>
      </c>
      <c r="U1772" s="28" t="n">
        <v>256</v>
      </c>
      <c r="V1772" s="28" t="n">
        <f aca="false">227136/100</f>
        <v>2271.36</v>
      </c>
      <c r="W1772" s="28" t="n">
        <v>36342</v>
      </c>
      <c r="X1772" s="29"/>
      <c r="Y1772" s="28" t="n">
        <v>304</v>
      </c>
      <c r="Z1772" s="28" t="n">
        <f aca="false">6850/100</f>
        <v>68.5</v>
      </c>
      <c r="AA1772" s="28" t="n">
        <v>1096</v>
      </c>
      <c r="AB1772" s="28" t="n">
        <f aca="false">204300/100</f>
        <v>2043</v>
      </c>
      <c r="AC1772" s="28" t="n">
        <v>32688</v>
      </c>
      <c r="AD1772" s="28" t="n">
        <f aca="false">9750/100</f>
        <v>97.5</v>
      </c>
      <c r="AE1772" s="28" t="n">
        <v>1560</v>
      </c>
      <c r="AF1772" s="28"/>
      <c r="AG1772" s="28" t="n">
        <f aca="false">AF1772*$M1772</f>
        <v>0</v>
      </c>
      <c r="AH1772" s="28"/>
      <c r="AI1772" s="28" t="n">
        <f aca="false">AH1772*$M1772</f>
        <v>0</v>
      </c>
      <c r="AJ1772" s="28" t="n">
        <f aca="false">1414/100</f>
        <v>14.14</v>
      </c>
      <c r="AK1772" s="28" t="n">
        <v>226</v>
      </c>
      <c r="AL1772" s="28" t="n">
        <f aca="false">29500/100</f>
        <v>295</v>
      </c>
      <c r="AM1772" s="28" t="n">
        <v>4720</v>
      </c>
      <c r="AN1772" s="28"/>
      <c r="AO1772" s="28" t="n">
        <f aca="false">AN1772*$M1772</f>
        <v>0</v>
      </c>
      <c r="AP1772" s="28" t="n">
        <f aca="false">1520/100</f>
        <v>15.2</v>
      </c>
      <c r="AQ1772" s="28" t="n">
        <v>243</v>
      </c>
      <c r="AR1772" s="28"/>
      <c r="AS1772" s="28" t="n">
        <f aca="false">AR1772*$M1772</f>
        <v>0</v>
      </c>
      <c r="AT1772" s="28" t="n">
        <f aca="false">2100/100</f>
        <v>21</v>
      </c>
      <c r="AU1772" s="28" t="n">
        <v>336</v>
      </c>
      <c r="AV1772" s="28" t="n">
        <f aca="false">1320/100</f>
        <v>13.2</v>
      </c>
      <c r="AW1772" s="28" t="n">
        <v>211</v>
      </c>
      <c r="AX1772" s="28" t="n">
        <f aca="false">177746/100</f>
        <v>1777.46</v>
      </c>
      <c r="AY1772" s="28" t="n">
        <v>28439</v>
      </c>
      <c r="AZ1772" s="30" t="n">
        <f aca="false">665136/100</f>
        <v>6651.36</v>
      </c>
      <c r="BA1772" s="11" t="n">
        <v>106421</v>
      </c>
      <c r="BB1772" s="31" t="n">
        <f aca="false">SUM(Q1772,S1772,U1772,W1772,Y1772,AA1772,AC1772,AE1772,AG1772,AI1772,AK1772,AM1772,AO1772,AQ1772,AS1772,AU1772,AW1772,AY1772)</f>
        <v>106421</v>
      </c>
      <c r="BC1772" s="28" t="n">
        <f aca="false">BA1772-BB1772</f>
        <v>0</v>
      </c>
      <c r="BD1772" s="32" t="n">
        <f aca="false">SUM(P1772,R1772,T1772,V1772,X1772,Z1772,AB1772,AD1772,AF1772,AH1772,AJ1772,AL1772,AN1772,AP1772,AR1772,AT1772,AV1772,AX1772)</f>
        <v>6632.36</v>
      </c>
      <c r="BE1772" s="33" t="n">
        <f aca="false">AZ1772-BD1772</f>
        <v>18.9999999999991</v>
      </c>
      <c r="BF1772" s="34" t="n">
        <f aca="false">BD1772*M1772</f>
        <v>106117.76</v>
      </c>
      <c r="BG1772" s="35" t="n">
        <f aca="false">BA1772-BF1772</f>
        <v>303.239999999991</v>
      </c>
      <c r="BH1772" s="19" t="str">
        <f aca="false">IF(BG1772=0,"",IF(BG1772&lt;&gt;BA1772,"erreur de calcul",IF(BD1772&lt;&gt;0,"pas de prix",IF(M1772&lt;&gt; 0,"pas de quantité","pas de prix, ni de quantité"))))</f>
        <v>erreur de calcul</v>
      </c>
      <c r="BI1772" s="19"/>
    </row>
    <row r="1773" customFormat="false" ht="15" hidden="false" customHeight="false" outlineLevel="0" collapsed="false">
      <c r="A1773" s="0" t="n">
        <v>16</v>
      </c>
      <c r="B1773" s="8" t="s">
        <v>24</v>
      </c>
      <c r="C1773" s="9" t="s">
        <v>25</v>
      </c>
      <c r="D1773" s="9" t="s">
        <v>26</v>
      </c>
      <c r="E1773" s="10" t="n">
        <v>1789</v>
      </c>
      <c r="F1773" s="9" t="s">
        <v>27</v>
      </c>
      <c r="G1773" s="9" t="s">
        <v>27</v>
      </c>
      <c r="H1773" s="11" t="n">
        <v>18</v>
      </c>
      <c r="I1773" s="11" t="s">
        <v>86</v>
      </c>
      <c r="J1773" s="14" t="n">
        <v>55</v>
      </c>
      <c r="K1773" s="14"/>
      <c r="L1773" s="16"/>
      <c r="M1773" s="27" t="n">
        <f aca="false">J1773+(K1773/20)+(L1773/240)</f>
        <v>55</v>
      </c>
      <c r="N1773" s="17" t="s">
        <v>81</v>
      </c>
      <c r="O1773" s="11"/>
      <c r="P1773" s="28"/>
      <c r="Q1773" s="28" t="n">
        <f aca="false">P1773*$M1773</f>
        <v>0</v>
      </c>
      <c r="R1773" s="28"/>
      <c r="S1773" s="28" t="n">
        <f aca="false">R1773*$M1773</f>
        <v>0</v>
      </c>
      <c r="T1773" s="28"/>
      <c r="U1773" s="28" t="n">
        <f aca="false">T1773*$M1773</f>
        <v>0</v>
      </c>
      <c r="V1773" s="28"/>
      <c r="W1773" s="28" t="n">
        <f aca="false">V1773*$M1773</f>
        <v>0</v>
      </c>
      <c r="X1773" s="29"/>
      <c r="Y1773" s="28" t="n">
        <f aca="false">X1773*$M1773</f>
        <v>0</v>
      </c>
      <c r="Z1773" s="28"/>
      <c r="AA1773" s="28" t="n">
        <f aca="false">Z1773*$M1773</f>
        <v>0</v>
      </c>
      <c r="AB1773" s="28"/>
      <c r="AC1773" s="28" t="n">
        <f aca="false">AB1773*$M1773</f>
        <v>0</v>
      </c>
      <c r="AD1773" s="28"/>
      <c r="AE1773" s="28" t="n">
        <f aca="false">AD1773*$M1773</f>
        <v>0</v>
      </c>
      <c r="AF1773" s="28"/>
      <c r="AG1773" s="28" t="n">
        <f aca="false">AF1773*$M1773</f>
        <v>0</v>
      </c>
      <c r="AH1773" s="28"/>
      <c r="AI1773" s="28" t="n">
        <f aca="false">AH1773*$M1773</f>
        <v>0</v>
      </c>
      <c r="AJ1773" s="28"/>
      <c r="AK1773" s="28" t="n">
        <f aca="false">AJ1773*$M1773</f>
        <v>0</v>
      </c>
      <c r="AL1773" s="28"/>
      <c r="AM1773" s="28" t="n">
        <f aca="false">AL1773*$M1773</f>
        <v>0</v>
      </c>
      <c r="AN1773" s="28"/>
      <c r="AO1773" s="28" t="n">
        <f aca="false">AN1773*$M1773</f>
        <v>0</v>
      </c>
      <c r="AP1773" s="28"/>
      <c r="AQ1773" s="28" t="n">
        <f aca="false">AP1773*$M1773</f>
        <v>0</v>
      </c>
      <c r="AR1773" s="28"/>
      <c r="AS1773" s="28" t="n">
        <f aca="false">AR1773*$M1773</f>
        <v>0</v>
      </c>
      <c r="AT1773" s="28" t="n">
        <v>319</v>
      </c>
      <c r="AU1773" s="28" t="n">
        <v>17545</v>
      </c>
      <c r="AV1773" s="28"/>
      <c r="AW1773" s="28" t="n">
        <f aca="false">AV1773*$M1773</f>
        <v>0</v>
      </c>
      <c r="AX1773" s="28"/>
      <c r="AY1773" s="28" t="n">
        <f aca="false">AX1773*$M1773</f>
        <v>0</v>
      </c>
      <c r="AZ1773" s="30" t="n">
        <v>319</v>
      </c>
      <c r="BA1773" s="11" t="n">
        <v>17545</v>
      </c>
      <c r="BB1773" s="31" t="n">
        <f aca="false">SUM(Q1773,S1773,U1773,W1773,Y1773,AA1773,AC1773,AE1773,AG1773,AI1773,AK1773,AM1773,AO1773,AQ1773,AS1773,AU1773,AW1773,AY1773)</f>
        <v>17545</v>
      </c>
      <c r="BC1773" s="28" t="n">
        <f aca="false">BA1773-BB1773</f>
        <v>0</v>
      </c>
      <c r="BD1773" s="32" t="n">
        <f aca="false">SUM(P1773,R1773,T1773,V1773,X1773,Z1773,AB1773,AD1773,AF1773,AH1773,AJ1773,AL1773,AN1773,AP1773,AR1773,AT1773,AV1773,AX1773)</f>
        <v>319</v>
      </c>
      <c r="BE1773" s="33" t="n">
        <f aca="false">AZ1773-BD1773</f>
        <v>0</v>
      </c>
      <c r="BF1773" s="34" t="n">
        <f aca="false">BD1773*M1773</f>
        <v>17545</v>
      </c>
      <c r="BG1773" s="35" t="n">
        <f aca="false">BA1773-BF1773</f>
        <v>0</v>
      </c>
      <c r="BH1773" s="19" t="str">
        <f aca="false">IF(BG1773=0,"",IF(BG1773&lt;&gt;BA1773,"erreur de calcul",IF(BD1773&lt;&gt;0,"pas de prix",IF(M1773&lt;&gt; 0,"pas de quantité","pas de prix, ni de quantité"))))</f>
        <v/>
      </c>
      <c r="BI1773" s="19"/>
    </row>
    <row r="1774" customFormat="false" ht="15" hidden="false" customHeight="false" outlineLevel="0" collapsed="false">
      <c r="A1774" s="0" t="n">
        <v>17</v>
      </c>
      <c r="B1774" s="8" t="s">
        <v>24</v>
      </c>
      <c r="C1774" s="9" t="s">
        <v>25</v>
      </c>
      <c r="D1774" s="9" t="s">
        <v>26</v>
      </c>
      <c r="E1774" s="10" t="n">
        <v>1789</v>
      </c>
      <c r="F1774" s="9" t="s">
        <v>27</v>
      </c>
      <c r="G1774" s="9" t="s">
        <v>27</v>
      </c>
      <c r="H1774" s="11" t="n">
        <v>18</v>
      </c>
      <c r="I1774" s="11" t="s">
        <v>87</v>
      </c>
      <c r="J1774" s="14" t="n">
        <v>6</v>
      </c>
      <c r="K1774" s="14"/>
      <c r="L1774" s="16"/>
      <c r="M1774" s="27" t="n">
        <f aca="false">J1774+(K1774/20)+(L1774/240)</f>
        <v>6</v>
      </c>
      <c r="N1774" s="17" t="s">
        <v>69</v>
      </c>
      <c r="O1774" s="11" t="s">
        <v>77</v>
      </c>
      <c r="P1774" s="28"/>
      <c r="Q1774" s="28" t="n">
        <f aca="false">P1774*$M1774</f>
        <v>0</v>
      </c>
      <c r="R1774" s="28" t="n">
        <v>63</v>
      </c>
      <c r="S1774" s="28" t="n">
        <v>378</v>
      </c>
      <c r="T1774" s="28" t="n">
        <v>2406</v>
      </c>
      <c r="U1774" s="28" t="n">
        <v>14436</v>
      </c>
      <c r="V1774" s="28" t="n">
        <v>222</v>
      </c>
      <c r="W1774" s="28" t="n">
        <v>1332</v>
      </c>
      <c r="X1774" s="29"/>
      <c r="Y1774" s="28" t="n">
        <f aca="false">X1774*$M1774</f>
        <v>0</v>
      </c>
      <c r="Z1774" s="28"/>
      <c r="AA1774" s="28" t="n">
        <f aca="false">Z1774*$M1774</f>
        <v>0</v>
      </c>
      <c r="AB1774" s="28"/>
      <c r="AC1774" s="28" t="n">
        <f aca="false">AB1774*$M1774</f>
        <v>0</v>
      </c>
      <c r="AD1774" s="28" t="n">
        <v>330</v>
      </c>
      <c r="AE1774" s="28" t="n">
        <v>1980</v>
      </c>
      <c r="AF1774" s="28"/>
      <c r="AG1774" s="28" t="n">
        <f aca="false">AF1774*$M1774</f>
        <v>0</v>
      </c>
      <c r="AH1774" s="28"/>
      <c r="AI1774" s="28" t="n">
        <f aca="false">AH1774*$M1774</f>
        <v>0</v>
      </c>
      <c r="AJ1774" s="28"/>
      <c r="AK1774" s="28" t="n">
        <f aca="false">AJ1774*$M1774</f>
        <v>0</v>
      </c>
      <c r="AL1774" s="28"/>
      <c r="AM1774" s="28" t="n">
        <f aca="false">AL1774*$M1774</f>
        <v>0</v>
      </c>
      <c r="AN1774" s="28"/>
      <c r="AO1774" s="28" t="n">
        <f aca="false">AN1774*$M1774</f>
        <v>0</v>
      </c>
      <c r="AP1774" s="28"/>
      <c r="AQ1774" s="28" t="n">
        <f aca="false">AP1774*$M1774</f>
        <v>0</v>
      </c>
      <c r="AR1774" s="28"/>
      <c r="AS1774" s="28" t="n">
        <f aca="false">AR1774*$M1774</f>
        <v>0</v>
      </c>
      <c r="AT1774" s="28"/>
      <c r="AU1774" s="28" t="n">
        <f aca="false">AT1774*$M1774</f>
        <v>0</v>
      </c>
      <c r="AV1774" s="28"/>
      <c r="AW1774" s="28" t="n">
        <f aca="false">AV1774*$M1774</f>
        <v>0</v>
      </c>
      <c r="AX1774" s="28"/>
      <c r="AY1774" s="28" t="n">
        <f aca="false">AX1774*$M1774</f>
        <v>0</v>
      </c>
      <c r="AZ1774" s="30" t="n">
        <v>3021</v>
      </c>
      <c r="BA1774" s="11" t="n">
        <v>18126</v>
      </c>
      <c r="BB1774" s="31" t="n">
        <f aca="false">SUM(Q1774,S1774,U1774,W1774,Y1774,AA1774,AC1774,AE1774,AG1774,AI1774,AK1774,AM1774,AO1774,AQ1774,AS1774,AU1774,AW1774,AY1774)</f>
        <v>18126</v>
      </c>
      <c r="BC1774" s="28" t="n">
        <f aca="false">BA1774-BB1774</f>
        <v>0</v>
      </c>
      <c r="BD1774" s="32" t="n">
        <f aca="false">SUM(P1774,R1774,T1774,V1774,X1774,Z1774,AB1774,AD1774,AF1774,AH1774,AJ1774,AL1774,AN1774,AP1774,AR1774,AT1774,AV1774,AX1774)</f>
        <v>3021</v>
      </c>
      <c r="BE1774" s="33" t="n">
        <f aca="false">AZ1774-BD1774</f>
        <v>0</v>
      </c>
      <c r="BF1774" s="34" t="n">
        <f aca="false">BD1774*M1774</f>
        <v>18126</v>
      </c>
      <c r="BG1774" s="35" t="n">
        <f aca="false">BA1774-BF1774</f>
        <v>0</v>
      </c>
      <c r="BH1774" s="19" t="str">
        <f aca="false">IF(BG1774=0,"",IF(BG1774&lt;&gt;BA1774,"erreur de calcul",IF(BD1774&lt;&gt;0,"pas de prix",IF(M1774&lt;&gt; 0,"pas de quantité","pas de prix, ni de quantité"))))</f>
        <v/>
      </c>
      <c r="BI1774" s="19"/>
    </row>
    <row r="1775" customFormat="false" ht="15" hidden="false" customHeight="false" outlineLevel="0" collapsed="false">
      <c r="A1775" s="0" t="n">
        <v>18</v>
      </c>
      <c r="B1775" s="8" t="s">
        <v>24</v>
      </c>
      <c r="C1775" s="9" t="s">
        <v>25</v>
      </c>
      <c r="D1775" s="9" t="s">
        <v>26</v>
      </c>
      <c r="E1775" s="10" t="n">
        <v>1789</v>
      </c>
      <c r="F1775" s="9" t="s">
        <v>27</v>
      </c>
      <c r="G1775" s="9" t="s">
        <v>27</v>
      </c>
      <c r="H1775" s="11" t="n">
        <v>18</v>
      </c>
      <c r="I1775" s="11" t="s">
        <v>88</v>
      </c>
      <c r="J1775" s="14" t="n">
        <v>26</v>
      </c>
      <c r="K1775" s="14"/>
      <c r="L1775" s="16"/>
      <c r="M1775" s="27" t="n">
        <f aca="false">J1775+(K1775/20)+(L1775/240)</f>
        <v>26</v>
      </c>
      <c r="N1775" s="17" t="s">
        <v>69</v>
      </c>
      <c r="O1775" s="11"/>
      <c r="P1775" s="28"/>
      <c r="Q1775" s="28" t="n">
        <f aca="false">P1775*$M1775</f>
        <v>0</v>
      </c>
      <c r="R1775" s="28"/>
      <c r="S1775" s="28" t="n">
        <f aca="false">R1775*$M1775</f>
        <v>0</v>
      </c>
      <c r="T1775" s="28"/>
      <c r="U1775" s="28" t="n">
        <f aca="false">T1775*$M1775</f>
        <v>0</v>
      </c>
      <c r="V1775" s="28"/>
      <c r="W1775" s="28" t="n">
        <f aca="false">V1775*$M1775</f>
        <v>0</v>
      </c>
      <c r="X1775" s="29"/>
      <c r="Y1775" s="28" t="n">
        <f aca="false">X1775*$M1775</f>
        <v>0</v>
      </c>
      <c r="Z1775" s="28"/>
      <c r="AA1775" s="28" t="n">
        <f aca="false">Z1775*$M1775</f>
        <v>0</v>
      </c>
      <c r="AB1775" s="28"/>
      <c r="AC1775" s="28" t="n">
        <f aca="false">AB1775*$M1775</f>
        <v>0</v>
      </c>
      <c r="AD1775" s="28"/>
      <c r="AE1775" s="28" t="n">
        <f aca="false">AD1775*$M1775</f>
        <v>0</v>
      </c>
      <c r="AF1775" s="28"/>
      <c r="AG1775" s="28" t="n">
        <f aca="false">AF1775*$M1775</f>
        <v>0</v>
      </c>
      <c r="AH1775" s="28"/>
      <c r="AI1775" s="28" t="n">
        <f aca="false">AH1775*$M1775</f>
        <v>0</v>
      </c>
      <c r="AJ1775" s="28"/>
      <c r="AK1775" s="28" t="n">
        <f aca="false">AJ1775*$M1775</f>
        <v>0</v>
      </c>
      <c r="AL1775" s="28" t="n">
        <v>150</v>
      </c>
      <c r="AM1775" s="28" t="n">
        <v>3900</v>
      </c>
      <c r="AN1775" s="28"/>
      <c r="AO1775" s="28" t="n">
        <f aca="false">AN1775*$M1775</f>
        <v>0</v>
      </c>
      <c r="AP1775" s="28" t="n">
        <v>4140</v>
      </c>
      <c r="AQ1775" s="28" t="n">
        <v>107640</v>
      </c>
      <c r="AR1775" s="28" t="n">
        <v>6957</v>
      </c>
      <c r="AS1775" s="28" t="n">
        <v>180882</v>
      </c>
      <c r="AT1775" s="28" t="n">
        <v>171</v>
      </c>
      <c r="AU1775" s="28" t="n">
        <v>4446</v>
      </c>
      <c r="AV1775" s="28" t="n">
        <v>838</v>
      </c>
      <c r="AW1775" s="28" t="n">
        <v>21788</v>
      </c>
      <c r="AX1775" s="28" t="n">
        <v>35</v>
      </c>
      <c r="AY1775" s="28" t="n">
        <v>910</v>
      </c>
      <c r="AZ1775" s="30" t="n">
        <v>12291</v>
      </c>
      <c r="BA1775" s="11" t="n">
        <v>319566</v>
      </c>
      <c r="BB1775" s="31" t="n">
        <f aca="false">SUM(Q1775,S1775,U1775,W1775,Y1775,AA1775,AC1775,AE1775,AG1775,AI1775,AK1775,AM1775,AO1775,AQ1775,AS1775,AU1775,AW1775,AY1775)</f>
        <v>319566</v>
      </c>
      <c r="BC1775" s="28" t="n">
        <f aca="false">BA1775-BB1775</f>
        <v>0</v>
      </c>
      <c r="BD1775" s="32" t="n">
        <f aca="false">SUM(P1775,R1775,T1775,V1775,X1775,Z1775,AB1775,AD1775,AF1775,AH1775,AJ1775,AL1775,AN1775,AP1775,AR1775,AT1775,AV1775,AX1775)</f>
        <v>12291</v>
      </c>
      <c r="BE1775" s="33" t="n">
        <f aca="false">AZ1775-BD1775</f>
        <v>0</v>
      </c>
      <c r="BF1775" s="34" t="n">
        <f aca="false">BD1775*M1775</f>
        <v>319566</v>
      </c>
      <c r="BG1775" s="35" t="n">
        <f aca="false">BA1775-BF1775</f>
        <v>0</v>
      </c>
      <c r="BH1775" s="19" t="str">
        <f aca="false">IF(BG1775=0,"",IF(BG1775&lt;&gt;BA1775,"erreur de calcul",IF(BD1775&lt;&gt;0,"pas de prix",IF(M1775&lt;&gt; 0,"pas de quantité","pas de prix, ni de quantité"))))</f>
        <v/>
      </c>
      <c r="BI1775" s="19"/>
    </row>
    <row r="1776" customFormat="false" ht="15" hidden="false" customHeight="false" outlineLevel="0" collapsed="false">
      <c r="A1776" s="0" t="n">
        <v>19</v>
      </c>
      <c r="B1776" s="8" t="s">
        <v>24</v>
      </c>
      <c r="C1776" s="9" t="s">
        <v>25</v>
      </c>
      <c r="D1776" s="9" t="s">
        <v>26</v>
      </c>
      <c r="E1776" s="10" t="n">
        <v>1789</v>
      </c>
      <c r="F1776" s="9" t="s">
        <v>27</v>
      </c>
      <c r="G1776" s="9" t="s">
        <v>27</v>
      </c>
      <c r="H1776" s="11" t="n">
        <v>18</v>
      </c>
      <c r="I1776" s="11" t="s">
        <v>89</v>
      </c>
      <c r="J1776" s="14" t="n">
        <v>7</v>
      </c>
      <c r="K1776" s="14"/>
      <c r="L1776" s="16"/>
      <c r="M1776" s="27" t="n">
        <f aca="false">J1776+(K1776/20)+(L1776/240)</f>
        <v>7</v>
      </c>
      <c r="N1776" s="17" t="s">
        <v>81</v>
      </c>
      <c r="O1776" s="11" t="s">
        <v>77</v>
      </c>
      <c r="P1776" s="28"/>
      <c r="Q1776" s="28" t="n">
        <f aca="false">P1776*$M1776</f>
        <v>0</v>
      </c>
      <c r="R1776" s="28"/>
      <c r="S1776" s="28" t="n">
        <f aca="false">R1776*$M1776</f>
        <v>0</v>
      </c>
      <c r="T1776" s="28"/>
      <c r="U1776" s="28" t="n">
        <f aca="false">T1776*$M1776</f>
        <v>0</v>
      </c>
      <c r="V1776" s="28"/>
      <c r="W1776" s="28" t="n">
        <f aca="false">V1776*$M1776</f>
        <v>0</v>
      </c>
      <c r="X1776" s="29"/>
      <c r="Y1776" s="28" t="n">
        <f aca="false">X1776*$M1776</f>
        <v>0</v>
      </c>
      <c r="Z1776" s="28"/>
      <c r="AA1776" s="28" t="n">
        <f aca="false">Z1776*$M1776</f>
        <v>0</v>
      </c>
      <c r="AB1776" s="28"/>
      <c r="AC1776" s="28" t="n">
        <f aca="false">AB1776*$M1776</f>
        <v>0</v>
      </c>
      <c r="AD1776" s="28"/>
      <c r="AE1776" s="28" t="n">
        <f aca="false">AD1776*$M1776</f>
        <v>0</v>
      </c>
      <c r="AF1776" s="28"/>
      <c r="AG1776" s="28" t="n">
        <f aca="false">AF1776*$M1776</f>
        <v>0</v>
      </c>
      <c r="AH1776" s="28"/>
      <c r="AI1776" s="28" t="n">
        <f aca="false">AH1776*$M1776</f>
        <v>0</v>
      </c>
      <c r="AJ1776" s="28"/>
      <c r="AK1776" s="28" t="n">
        <f aca="false">AJ1776*$M1776</f>
        <v>0</v>
      </c>
      <c r="AL1776" s="28"/>
      <c r="AM1776" s="28" t="n">
        <f aca="false">AL1776*$M1776</f>
        <v>0</v>
      </c>
      <c r="AN1776" s="28"/>
      <c r="AO1776" s="28" t="n">
        <f aca="false">AN1776*$M1776</f>
        <v>0</v>
      </c>
      <c r="AP1776" s="38" t="n">
        <v>1763</v>
      </c>
      <c r="AQ1776" s="28" t="n">
        <v>42312</v>
      </c>
      <c r="AR1776" s="28"/>
      <c r="AS1776" s="28" t="n">
        <f aca="false">AR1776*$M1776</f>
        <v>0</v>
      </c>
      <c r="AT1776" s="28"/>
      <c r="AU1776" s="28" t="n">
        <f aca="false">AT1776*$M1776</f>
        <v>0</v>
      </c>
      <c r="AV1776" s="38" t="n">
        <v>377</v>
      </c>
      <c r="AW1776" s="28" t="n">
        <v>9425</v>
      </c>
      <c r="AX1776" s="28"/>
      <c r="AY1776" s="28" t="n">
        <f aca="false">AX1776*$M1776</f>
        <v>0</v>
      </c>
      <c r="AZ1776" s="30" t="n">
        <v>2140</v>
      </c>
      <c r="BA1776" s="11" t="n">
        <v>51737</v>
      </c>
      <c r="BB1776" s="31" t="n">
        <f aca="false">SUM(Q1776,S1776,U1776,W1776,Y1776,AA1776,AC1776,AE1776,AG1776,AI1776,AK1776,AM1776,AO1776,AQ1776,AS1776,AU1776,AW1776,AY1776)</f>
        <v>51737</v>
      </c>
      <c r="BC1776" s="28" t="n">
        <f aca="false">BA1776-BB1776</f>
        <v>0</v>
      </c>
      <c r="BD1776" s="32" t="n">
        <f aca="false">SUM(P1776,R1776,T1776,V1776,X1776,Z1776,AB1776,AD1776,AF1776,AH1776,AJ1776,AL1776,AN1776,AP1776,AR1776,AT1776,AV1776,AX1776)</f>
        <v>2140</v>
      </c>
      <c r="BE1776" s="33" t="n">
        <f aca="false">AZ1776-BD1776</f>
        <v>0</v>
      </c>
      <c r="BF1776" s="34" t="n">
        <f aca="false">BD1776*M1776</f>
        <v>14980</v>
      </c>
      <c r="BG1776" s="35" t="n">
        <f aca="false">BA1776-BF1776</f>
        <v>36757</v>
      </c>
      <c r="BH1776" s="19" t="str">
        <f aca="false">IF(BG1776=0,"",IF(BG1776&lt;&gt;BA1776,"erreur de calcul",IF(BD1776&lt;&gt;0,"pas de prix",IF(M1776&lt;&gt; 0,"pas de quantité","pas de prix, ni de quantité"))))</f>
        <v>erreur de calcul</v>
      </c>
      <c r="BI1776" s="19" t="s">
        <v>90</v>
      </c>
    </row>
    <row r="1777" customFormat="false" ht="15" hidden="false" customHeight="false" outlineLevel="0" collapsed="false">
      <c r="A1777" s="0" t="n">
        <v>20</v>
      </c>
      <c r="B1777" s="8" t="s">
        <v>24</v>
      </c>
      <c r="C1777" s="9" t="s">
        <v>25</v>
      </c>
      <c r="D1777" s="9" t="s">
        <v>26</v>
      </c>
      <c r="E1777" s="10" t="n">
        <v>1789</v>
      </c>
      <c r="F1777" s="9" t="s">
        <v>27</v>
      </c>
      <c r="G1777" s="9" t="s">
        <v>27</v>
      </c>
      <c r="H1777" s="11" t="n">
        <v>18</v>
      </c>
      <c r="I1777" s="11" t="s">
        <v>91</v>
      </c>
      <c r="J1777" s="14" t="n">
        <v>30</v>
      </c>
      <c r="K1777" s="14"/>
      <c r="L1777" s="16"/>
      <c r="M1777" s="27" t="n">
        <f aca="false">J1777+(K1777/20)+(L1777/240)</f>
        <v>30</v>
      </c>
      <c r="N1777" s="17" t="s">
        <v>64</v>
      </c>
      <c r="O1777" s="11"/>
      <c r="P1777" s="28"/>
      <c r="Q1777" s="28" t="n">
        <f aca="false">P1777*$M1777</f>
        <v>0</v>
      </c>
      <c r="R1777" s="28"/>
      <c r="S1777" s="28" t="n">
        <f aca="false">R1777*$M1777</f>
        <v>0</v>
      </c>
      <c r="T1777" s="28"/>
      <c r="U1777" s="28" t="n">
        <f aca="false">T1777*$M1777</f>
        <v>0</v>
      </c>
      <c r="V1777" s="28" t="n">
        <f aca="false">12300/100</f>
        <v>123</v>
      </c>
      <c r="W1777" s="28" t="n">
        <v>3690</v>
      </c>
      <c r="X1777" s="29"/>
      <c r="Y1777" s="28" t="n">
        <f aca="false">X1777*$M1777</f>
        <v>0</v>
      </c>
      <c r="Z1777" s="28"/>
      <c r="AA1777" s="28" t="n">
        <f aca="false">Z1777*$M1777</f>
        <v>0</v>
      </c>
      <c r="AB1777" s="28" t="n">
        <f aca="false">16277/100</f>
        <v>162.77</v>
      </c>
      <c r="AC1777" s="28" t="n">
        <v>4883</v>
      </c>
      <c r="AD1777" s="28"/>
      <c r="AE1777" s="28" t="n">
        <f aca="false">AD1777*$M1777</f>
        <v>0</v>
      </c>
      <c r="AF1777" s="28"/>
      <c r="AG1777" s="28" t="n">
        <f aca="false">AF1777*$M1777</f>
        <v>0</v>
      </c>
      <c r="AH1777" s="28"/>
      <c r="AI1777" s="28" t="n">
        <f aca="false">AH1777*$M1777</f>
        <v>0</v>
      </c>
      <c r="AJ1777" s="28"/>
      <c r="AK1777" s="28" t="n">
        <f aca="false">AJ1777*$M1777</f>
        <v>0</v>
      </c>
      <c r="AL1777" s="28"/>
      <c r="AM1777" s="28" t="n">
        <f aca="false">AL1777*$M1777</f>
        <v>0</v>
      </c>
      <c r="AN1777" s="28"/>
      <c r="AO1777" s="28" t="n">
        <f aca="false">AN1777*$M1777</f>
        <v>0</v>
      </c>
      <c r="AP1777" s="28"/>
      <c r="AQ1777" s="28" t="n">
        <f aca="false">AP1777*$M1777</f>
        <v>0</v>
      </c>
      <c r="AR1777" s="28"/>
      <c r="AS1777" s="28" t="n">
        <f aca="false">AR1777*$M1777</f>
        <v>0</v>
      </c>
      <c r="AT1777" s="28"/>
      <c r="AU1777" s="28" t="n">
        <f aca="false">AT1777*$M1777</f>
        <v>0</v>
      </c>
      <c r="AV1777" s="28"/>
      <c r="AW1777" s="28" t="n">
        <f aca="false">AV1777*$M1777</f>
        <v>0</v>
      </c>
      <c r="AX1777" s="28"/>
      <c r="AY1777" s="28" t="n">
        <f aca="false">AX1777*$M1777</f>
        <v>0</v>
      </c>
      <c r="AZ1777" s="30" t="n">
        <f aca="false">28577/100</f>
        <v>285.77</v>
      </c>
      <c r="BA1777" s="11" t="n">
        <v>8573</v>
      </c>
      <c r="BB1777" s="31" t="n">
        <f aca="false">SUM(Q1777,S1777,U1777,W1777,Y1777,AA1777,AC1777,AE1777,AG1777,AI1777,AK1777,AM1777,AO1777,AQ1777,AS1777,AU1777,AW1777,AY1777)</f>
        <v>8573</v>
      </c>
      <c r="BC1777" s="28" t="n">
        <f aca="false">BA1777-BB1777</f>
        <v>0</v>
      </c>
      <c r="BD1777" s="32" t="n">
        <f aca="false">SUM(P1777,R1777,T1777,V1777,X1777,Z1777,AB1777,AD1777,AF1777,AH1777,AJ1777,AL1777,AN1777,AP1777,AR1777,AT1777,AV1777,AX1777)</f>
        <v>285.77</v>
      </c>
      <c r="BE1777" s="33" t="n">
        <f aca="false">AZ1777-BD1777</f>
        <v>0</v>
      </c>
      <c r="BF1777" s="34" t="n">
        <f aca="false">BD1777*M1777</f>
        <v>8573.1</v>
      </c>
      <c r="BG1777" s="35" t="n">
        <f aca="false">BA1777-BF1777</f>
        <v>-0.0999999999985448</v>
      </c>
      <c r="BH1777" s="19" t="str">
        <f aca="false">IF(BG1777=0,"",IF(BG1777&lt;&gt;BA1777,"erreur de calcul",IF(BD1777&lt;&gt;0,"pas de prix",IF(M1777&lt;&gt; 0,"pas de quantité","pas de prix, ni de quantité"))))</f>
        <v>erreur de calcul</v>
      </c>
      <c r="BI1777" s="19"/>
    </row>
    <row r="1778" customFormat="false" ht="15" hidden="false" customHeight="false" outlineLevel="0" collapsed="false">
      <c r="A1778" s="0" t="n">
        <v>21</v>
      </c>
      <c r="B1778" s="8" t="s">
        <v>24</v>
      </c>
      <c r="C1778" s="9" t="s">
        <v>25</v>
      </c>
      <c r="D1778" s="9" t="s">
        <v>26</v>
      </c>
      <c r="E1778" s="10" t="n">
        <v>1789</v>
      </c>
      <c r="F1778" s="9" t="s">
        <v>27</v>
      </c>
      <c r="G1778" s="9" t="s">
        <v>27</v>
      </c>
      <c r="H1778" s="11" t="n">
        <v>18</v>
      </c>
      <c r="I1778" s="11" t="s">
        <v>92</v>
      </c>
      <c r="J1778" s="14"/>
      <c r="K1778" s="14" t="n">
        <v>25</v>
      </c>
      <c r="L1778" s="16"/>
      <c r="M1778" s="27" t="n">
        <f aca="false">J1778+(K1778/20)+(L1778/240)</f>
        <v>1.25</v>
      </c>
      <c r="N1778" s="17" t="s">
        <v>81</v>
      </c>
      <c r="O1778" s="11"/>
      <c r="P1778" s="28"/>
      <c r="Q1778" s="28" t="n">
        <f aca="false">P1778*$M1778</f>
        <v>0</v>
      </c>
      <c r="R1778" s="28"/>
      <c r="S1778" s="28" t="n">
        <f aca="false">R1778*$M1778</f>
        <v>0</v>
      </c>
      <c r="T1778" s="28"/>
      <c r="U1778" s="28" t="n">
        <f aca="false">T1778*$M1778</f>
        <v>0</v>
      </c>
      <c r="V1778" s="28" t="n">
        <v>17192</v>
      </c>
      <c r="W1778" s="28" t="n">
        <v>21490</v>
      </c>
      <c r="X1778" s="29"/>
      <c r="Y1778" s="28" t="n">
        <f aca="false">X1778*$M1778</f>
        <v>0</v>
      </c>
      <c r="Z1778" s="28"/>
      <c r="AA1778" s="28" t="n">
        <f aca="false">Z1778*$M1778</f>
        <v>0</v>
      </c>
      <c r="AB1778" s="28"/>
      <c r="AC1778" s="28" t="n">
        <f aca="false">AB1778*$M1778</f>
        <v>0</v>
      </c>
      <c r="AD1778" s="28"/>
      <c r="AE1778" s="28" t="n">
        <f aca="false">AD1778*$M1778</f>
        <v>0</v>
      </c>
      <c r="AF1778" s="28"/>
      <c r="AG1778" s="28" t="n">
        <f aca="false">AF1778*$M1778</f>
        <v>0</v>
      </c>
      <c r="AH1778" s="28"/>
      <c r="AI1778" s="28" t="n">
        <f aca="false">AH1778*$M1778</f>
        <v>0</v>
      </c>
      <c r="AJ1778" s="28"/>
      <c r="AK1778" s="28" t="n">
        <f aca="false">AJ1778*$M1778</f>
        <v>0</v>
      </c>
      <c r="AL1778" s="28"/>
      <c r="AM1778" s="28" t="n">
        <f aca="false">AL1778*$M1778</f>
        <v>0</v>
      </c>
      <c r="AN1778" s="28"/>
      <c r="AO1778" s="28" t="n">
        <f aca="false">AN1778*$M1778</f>
        <v>0</v>
      </c>
      <c r="AP1778" s="28"/>
      <c r="AQ1778" s="28" t="n">
        <f aca="false">AP1778*$M1778</f>
        <v>0</v>
      </c>
      <c r="AR1778" s="28"/>
      <c r="AS1778" s="28" t="n">
        <f aca="false">AR1778*$M1778</f>
        <v>0</v>
      </c>
      <c r="AT1778" s="28"/>
      <c r="AU1778" s="28" t="n">
        <f aca="false">AT1778*$M1778</f>
        <v>0</v>
      </c>
      <c r="AV1778" s="28"/>
      <c r="AW1778" s="28" t="n">
        <f aca="false">AV1778*$M1778</f>
        <v>0</v>
      </c>
      <c r="AX1778" s="28"/>
      <c r="AY1778" s="28" t="n">
        <f aca="false">AX1778*$M1778</f>
        <v>0</v>
      </c>
      <c r="AZ1778" s="30" t="n">
        <v>17192</v>
      </c>
      <c r="BA1778" s="11" t="n">
        <v>21490</v>
      </c>
      <c r="BB1778" s="31" t="n">
        <f aca="false">SUM(Q1778,S1778,U1778,W1778,Y1778,AA1778,AC1778,AE1778,AG1778,AI1778,AK1778,AM1778,AO1778,AQ1778,AS1778,AU1778,AW1778,AY1778)</f>
        <v>21490</v>
      </c>
      <c r="BC1778" s="28" t="n">
        <f aca="false">BA1778-BB1778</f>
        <v>0</v>
      </c>
      <c r="BD1778" s="32" t="n">
        <f aca="false">SUM(P1778,R1778,T1778,V1778,X1778,Z1778,AB1778,AD1778,AF1778,AH1778,AJ1778,AL1778,AN1778,AP1778,AR1778,AT1778,AV1778,AX1778)</f>
        <v>17192</v>
      </c>
      <c r="BE1778" s="33" t="n">
        <f aca="false">AZ1778-BD1778</f>
        <v>0</v>
      </c>
      <c r="BF1778" s="34" t="n">
        <f aca="false">BD1778*M1778</f>
        <v>21490</v>
      </c>
      <c r="BG1778" s="35" t="n">
        <f aca="false">BA1778-BF1778</f>
        <v>0</v>
      </c>
      <c r="BH1778" s="19" t="str">
        <f aca="false">IF(BG1778=0,"",IF(BG1778&lt;&gt;BA1778,"erreur de calcul",IF(BD1778&lt;&gt;0,"pas de prix",IF(M1778&lt;&gt; 0,"pas de quantité","pas de prix, ni de quantité"))))</f>
        <v/>
      </c>
      <c r="BI1778" s="19"/>
    </row>
    <row r="1779" customFormat="false" ht="15" hidden="false" customHeight="false" outlineLevel="0" collapsed="false">
      <c r="A1779" s="0" t="n">
        <v>22</v>
      </c>
      <c r="B1779" s="8" t="s">
        <v>24</v>
      </c>
      <c r="C1779" s="9" t="s">
        <v>25</v>
      </c>
      <c r="D1779" s="9" t="s">
        <v>26</v>
      </c>
      <c r="E1779" s="10" t="n">
        <v>1789</v>
      </c>
      <c r="F1779" s="9" t="s">
        <v>27</v>
      </c>
      <c r="G1779" s="9" t="s">
        <v>27</v>
      </c>
      <c r="H1779" s="11" t="n">
        <v>18</v>
      </c>
      <c r="I1779" s="11" t="s">
        <v>93</v>
      </c>
      <c r="J1779" s="14" t="n">
        <v>4</v>
      </c>
      <c r="K1779" s="14"/>
      <c r="L1779" s="16"/>
      <c r="M1779" s="27" t="n">
        <f aca="false">J1779+(K1779/20)+(L1779/240)</f>
        <v>4</v>
      </c>
      <c r="N1779" s="17" t="s">
        <v>94</v>
      </c>
      <c r="O1779" s="11"/>
      <c r="P1779" s="28"/>
      <c r="Q1779" s="28" t="n">
        <f aca="false">P1779*$M1779</f>
        <v>0</v>
      </c>
      <c r="R1779" s="28"/>
      <c r="S1779" s="28" t="n">
        <f aca="false">R1779*$M1779</f>
        <v>0</v>
      </c>
      <c r="T1779" s="28"/>
      <c r="U1779" s="28" t="n">
        <f aca="false">T1779*$M1779</f>
        <v>0</v>
      </c>
      <c r="V1779" s="28"/>
      <c r="W1779" s="28" t="n">
        <f aca="false">V1779*$M1779</f>
        <v>0</v>
      </c>
      <c r="X1779" s="29"/>
      <c r="Y1779" s="28" t="n">
        <f aca="false">X1779*$M1779</f>
        <v>0</v>
      </c>
      <c r="Z1779" s="28"/>
      <c r="AA1779" s="28" t="n">
        <f aca="false">Z1779*$M1779</f>
        <v>0</v>
      </c>
      <c r="AB1779" s="28"/>
      <c r="AC1779" s="28" t="n">
        <f aca="false">AB1779*$M1779</f>
        <v>0</v>
      </c>
      <c r="AD1779" s="28" t="n">
        <v>900</v>
      </c>
      <c r="AE1779" s="28" t="n">
        <v>3600</v>
      </c>
      <c r="AF1779" s="28"/>
      <c r="AG1779" s="28" t="n">
        <f aca="false">AF1779*$M1779</f>
        <v>0</v>
      </c>
      <c r="AH1779" s="28"/>
      <c r="AI1779" s="28" t="n">
        <f aca="false">AH1779*$M1779</f>
        <v>0</v>
      </c>
      <c r="AJ1779" s="28"/>
      <c r="AK1779" s="28" t="n">
        <f aca="false">AJ1779*$M1779</f>
        <v>0</v>
      </c>
      <c r="AL1779" s="28"/>
      <c r="AM1779" s="28" t="n">
        <f aca="false">AL1779*$M1779</f>
        <v>0</v>
      </c>
      <c r="AN1779" s="28"/>
      <c r="AO1779" s="28" t="n">
        <f aca="false">AN1779*$M1779</f>
        <v>0</v>
      </c>
      <c r="AP1779" s="28" t="n">
        <v>36</v>
      </c>
      <c r="AQ1779" s="28" t="n">
        <v>144</v>
      </c>
      <c r="AR1779" s="28"/>
      <c r="AS1779" s="28" t="n">
        <f aca="false">AR1779*$M1779</f>
        <v>0</v>
      </c>
      <c r="AT1779" s="28"/>
      <c r="AU1779" s="28" t="n">
        <f aca="false">AT1779*$M1779</f>
        <v>0</v>
      </c>
      <c r="AV1779" s="28"/>
      <c r="AW1779" s="28" t="n">
        <f aca="false">AV1779*$M1779</f>
        <v>0</v>
      </c>
      <c r="AX1779" s="28"/>
      <c r="AY1779" s="28" t="n">
        <f aca="false">AX1779*$M1779</f>
        <v>0</v>
      </c>
      <c r="AZ1779" s="30" t="n">
        <v>936</v>
      </c>
      <c r="BA1779" s="11" t="n">
        <v>3744</v>
      </c>
      <c r="BB1779" s="31" t="n">
        <f aca="false">SUM(Q1779,S1779,U1779,W1779,Y1779,AA1779,AC1779,AE1779,AG1779,AI1779,AK1779,AM1779,AO1779,AQ1779,AS1779,AU1779,AW1779,AY1779)</f>
        <v>3744</v>
      </c>
      <c r="BC1779" s="28" t="n">
        <f aca="false">BA1779-BB1779</f>
        <v>0</v>
      </c>
      <c r="BD1779" s="32" t="n">
        <f aca="false">SUM(P1779,R1779,T1779,V1779,X1779,Z1779,AB1779,AD1779,AF1779,AH1779,AJ1779,AL1779,AN1779,AP1779,AR1779,AT1779,AV1779,AX1779)</f>
        <v>936</v>
      </c>
      <c r="BE1779" s="33" t="n">
        <f aca="false">AZ1779-BD1779</f>
        <v>0</v>
      </c>
      <c r="BF1779" s="34" t="n">
        <f aca="false">BD1779*M1779</f>
        <v>3744</v>
      </c>
      <c r="BG1779" s="35" t="n">
        <f aca="false">BA1779-BF1779</f>
        <v>0</v>
      </c>
      <c r="BH1779" s="19" t="str">
        <f aca="false">IF(BG1779=0,"",IF(BG1779&lt;&gt;BA1779,"erreur de calcul",IF(BD1779&lt;&gt;0,"pas de prix",IF(M1779&lt;&gt; 0,"pas de quantité","pas de prix, ni de quantité"))))</f>
        <v/>
      </c>
      <c r="BI1779" s="19"/>
    </row>
    <row r="1780" customFormat="false" ht="15" hidden="false" customHeight="false" outlineLevel="0" collapsed="false">
      <c r="A1780" s="0" t="n">
        <v>23</v>
      </c>
      <c r="B1780" s="8" t="s">
        <v>24</v>
      </c>
      <c r="C1780" s="9" t="s">
        <v>25</v>
      </c>
      <c r="D1780" s="9" t="s">
        <v>26</v>
      </c>
      <c r="E1780" s="10" t="n">
        <v>1789</v>
      </c>
      <c r="F1780" s="9" t="s">
        <v>27</v>
      </c>
      <c r="G1780" s="9" t="s">
        <v>27</v>
      </c>
      <c r="H1780" s="11" t="n">
        <v>18</v>
      </c>
      <c r="I1780" s="11" t="s">
        <v>95</v>
      </c>
      <c r="J1780" s="14" t="n">
        <v>40</v>
      </c>
      <c r="K1780" s="14"/>
      <c r="L1780" s="16"/>
      <c r="M1780" s="27" t="n">
        <f aca="false">J1780+(K1780/20)+(L1780/240)</f>
        <v>40</v>
      </c>
      <c r="N1780" s="17" t="s">
        <v>64</v>
      </c>
      <c r="O1780" s="11"/>
      <c r="P1780" s="28" t="n">
        <f aca="false">16000/100</f>
        <v>160</v>
      </c>
      <c r="Q1780" s="28" t="n">
        <v>6400</v>
      </c>
      <c r="R1780" s="28"/>
      <c r="S1780" s="28" t="n">
        <f aca="false">R1780*$M1780</f>
        <v>0</v>
      </c>
      <c r="T1780" s="28"/>
      <c r="U1780" s="28" t="n">
        <f aca="false">T1780*$M1780</f>
        <v>0</v>
      </c>
      <c r="V1780" s="28"/>
      <c r="W1780" s="28" t="n">
        <f aca="false">V1780*$M1780</f>
        <v>0</v>
      </c>
      <c r="X1780" s="29"/>
      <c r="Y1780" s="28" t="n">
        <f aca="false">X1780*$M1780</f>
        <v>0</v>
      </c>
      <c r="Z1780" s="28"/>
      <c r="AA1780" s="28" t="n">
        <f aca="false">Z1780*$M1780</f>
        <v>0</v>
      </c>
      <c r="AB1780" s="28"/>
      <c r="AC1780" s="28" t="n">
        <f aca="false">AB1780*$M1780</f>
        <v>0</v>
      </c>
      <c r="AD1780" s="28"/>
      <c r="AE1780" s="28" t="n">
        <f aca="false">AD1780*$M1780</f>
        <v>0</v>
      </c>
      <c r="AF1780" s="28"/>
      <c r="AG1780" s="28" t="n">
        <f aca="false">AF1780*$M1780</f>
        <v>0</v>
      </c>
      <c r="AH1780" s="28"/>
      <c r="AI1780" s="28" t="n">
        <f aca="false">AH1780*$M1780</f>
        <v>0</v>
      </c>
      <c r="AJ1780" s="28"/>
      <c r="AK1780" s="28" t="n">
        <f aca="false">AJ1780*$M1780</f>
        <v>0</v>
      </c>
      <c r="AL1780" s="28"/>
      <c r="AM1780" s="28" t="n">
        <f aca="false">AL1780*$M1780</f>
        <v>0</v>
      </c>
      <c r="AN1780" s="28"/>
      <c r="AO1780" s="28" t="n">
        <f aca="false">AN1780*$M1780</f>
        <v>0</v>
      </c>
      <c r="AP1780" s="28"/>
      <c r="AQ1780" s="28" t="n">
        <f aca="false">AP1780*$M1780</f>
        <v>0</v>
      </c>
      <c r="AR1780" s="28"/>
      <c r="AS1780" s="28" t="n">
        <f aca="false">AR1780*$M1780</f>
        <v>0</v>
      </c>
      <c r="AT1780" s="28"/>
      <c r="AU1780" s="28" t="n">
        <f aca="false">AT1780*$M1780</f>
        <v>0</v>
      </c>
      <c r="AV1780" s="28"/>
      <c r="AW1780" s="28" t="n">
        <f aca="false">AV1780*$M1780</f>
        <v>0</v>
      </c>
      <c r="AX1780" s="28"/>
      <c r="AY1780" s="28" t="n">
        <f aca="false">AX1780*$M1780</f>
        <v>0</v>
      </c>
      <c r="AZ1780" s="30" t="n">
        <f aca="false">16000/100</f>
        <v>160</v>
      </c>
      <c r="BA1780" s="11" t="n">
        <v>6400</v>
      </c>
      <c r="BB1780" s="31" t="n">
        <f aca="false">SUM(Q1780,S1780,U1780,W1780,Y1780,AA1780,AC1780,AE1780,AG1780,AI1780,AK1780,AM1780,AO1780,AQ1780,AS1780,AU1780,AW1780,AY1780)</f>
        <v>6400</v>
      </c>
      <c r="BC1780" s="28" t="n">
        <f aca="false">BA1780-BB1780</f>
        <v>0</v>
      </c>
      <c r="BD1780" s="32" t="n">
        <f aca="false">SUM(P1780,R1780,T1780,V1780,X1780,Z1780,AB1780,AD1780,AF1780,AH1780,AJ1780,AL1780,AN1780,AP1780,AR1780,AT1780,AV1780,AX1780)</f>
        <v>160</v>
      </c>
      <c r="BE1780" s="33" t="n">
        <f aca="false">AZ1780-BD1780</f>
        <v>0</v>
      </c>
      <c r="BF1780" s="34" t="n">
        <f aca="false">BD1780*M1780</f>
        <v>6400</v>
      </c>
      <c r="BG1780" s="35" t="n">
        <f aca="false">BA1780-BF1780</f>
        <v>0</v>
      </c>
      <c r="BH1780" s="19" t="str">
        <f aca="false">IF(BG1780=0,"",IF(BG1780&lt;&gt;BA1780,"erreur de calcul",IF(BD1780&lt;&gt;0,"pas de prix",IF(M1780&lt;&gt; 0,"pas de quantité","pas de prix, ni de quantité"))))</f>
        <v/>
      </c>
      <c r="BI1780" s="19"/>
    </row>
    <row r="1781" customFormat="false" ht="15" hidden="false" customHeight="false" outlineLevel="0" collapsed="false">
      <c r="A1781" s="0" t="n">
        <v>24</v>
      </c>
      <c r="B1781" s="8" t="s">
        <v>24</v>
      </c>
      <c r="C1781" s="9" t="s">
        <v>25</v>
      </c>
      <c r="D1781" s="9" t="s">
        <v>26</v>
      </c>
      <c r="E1781" s="10" t="n">
        <v>1789</v>
      </c>
      <c r="F1781" s="9" t="s">
        <v>27</v>
      </c>
      <c r="G1781" s="9" t="s">
        <v>27</v>
      </c>
      <c r="H1781" s="11" t="n">
        <v>18</v>
      </c>
      <c r="I1781" s="11" t="s">
        <v>96</v>
      </c>
      <c r="J1781" s="14" t="n">
        <v>25</v>
      </c>
      <c r="K1781" s="14"/>
      <c r="L1781" s="16"/>
      <c r="M1781" s="27" t="n">
        <f aca="false">J1781+(K1781/20)+(L1781/240)</f>
        <v>25</v>
      </c>
      <c r="N1781" s="17" t="s">
        <v>64</v>
      </c>
      <c r="O1781" s="11"/>
      <c r="P1781" s="28" t="n">
        <f aca="false">968306/100</f>
        <v>9683.06</v>
      </c>
      <c r="Q1781" s="28" t="n">
        <v>242076</v>
      </c>
      <c r="R1781" s="28"/>
      <c r="S1781" s="28" t="n">
        <f aca="false">R1781*$M1781</f>
        <v>0</v>
      </c>
      <c r="T1781" s="28"/>
      <c r="U1781" s="28" t="n">
        <f aca="false">T1781*$M1781</f>
        <v>0</v>
      </c>
      <c r="V1781" s="28" t="n">
        <f aca="false">39234/100</f>
        <v>392.34</v>
      </c>
      <c r="W1781" s="28" t="n">
        <v>9808</v>
      </c>
      <c r="X1781" s="29"/>
      <c r="Y1781" s="28" t="n">
        <v>3410</v>
      </c>
      <c r="Z1781" s="28"/>
      <c r="AA1781" s="28" t="n">
        <f aca="false">Z1781*$M1781</f>
        <v>0</v>
      </c>
      <c r="AB1781" s="28"/>
      <c r="AC1781" s="28" t="n">
        <f aca="false">AB1781*$M1781</f>
        <v>0</v>
      </c>
      <c r="AD1781" s="28"/>
      <c r="AE1781" s="28" t="n">
        <f aca="false">AD1781*$M1781</f>
        <v>0</v>
      </c>
      <c r="AF1781" s="28"/>
      <c r="AG1781" s="28" t="n">
        <f aca="false">AF1781*$M1781</f>
        <v>0</v>
      </c>
      <c r="AH1781" s="28"/>
      <c r="AI1781" s="28" t="n">
        <f aca="false">AH1781*$M1781</f>
        <v>0</v>
      </c>
      <c r="AJ1781" s="28" t="n">
        <f aca="false">2665/100</f>
        <v>26.65</v>
      </c>
      <c r="AK1781" s="28" t="n">
        <v>666</v>
      </c>
      <c r="AL1781" s="28"/>
      <c r="AM1781" s="28" t="n">
        <f aca="false">AL1781*$M1781</f>
        <v>0</v>
      </c>
      <c r="AN1781" s="28"/>
      <c r="AO1781" s="28" t="n">
        <f aca="false">AN1781*$M1781</f>
        <v>0</v>
      </c>
      <c r="AP1781" s="28"/>
      <c r="AQ1781" s="28" t="n">
        <f aca="false">AP1781*$M1781</f>
        <v>0</v>
      </c>
      <c r="AR1781" s="28"/>
      <c r="AS1781" s="28" t="n">
        <f aca="false">AR1781*$M1781</f>
        <v>0</v>
      </c>
      <c r="AT1781" s="28"/>
      <c r="AU1781" s="28" t="n">
        <f aca="false">AT1781*$M1781</f>
        <v>0</v>
      </c>
      <c r="AV1781" s="28"/>
      <c r="AW1781" s="28" t="n">
        <f aca="false">AV1781*$M1781</f>
        <v>0</v>
      </c>
      <c r="AX1781" s="28" t="n">
        <f aca="false">118115/100</f>
        <v>1181.15</v>
      </c>
      <c r="AY1781" s="28" t="n">
        <v>29529</v>
      </c>
      <c r="AZ1781" s="30" t="n">
        <f aca="false">1141960/100</f>
        <v>11419.6</v>
      </c>
      <c r="BA1781" s="11" t="n">
        <v>285489</v>
      </c>
      <c r="BB1781" s="31" t="n">
        <f aca="false">SUM(Q1781,S1781,U1781,W1781,Y1781,AA1781,AC1781,AE1781,AG1781,AI1781,AK1781,AM1781,AO1781,AQ1781,AS1781,AU1781,AW1781,AY1781)</f>
        <v>285489</v>
      </c>
      <c r="BC1781" s="28" t="n">
        <f aca="false">BA1781-BB1781</f>
        <v>0</v>
      </c>
      <c r="BD1781" s="32" t="n">
        <f aca="false">SUM(P1781,R1781,T1781,V1781,X1781,Z1781,AB1781,AD1781,AF1781,AH1781,AJ1781,AL1781,AN1781,AP1781,AR1781,AT1781,AV1781,AX1781)</f>
        <v>11283.2</v>
      </c>
      <c r="BE1781" s="33" t="n">
        <f aca="false">AZ1781-BD1781</f>
        <v>136.400000000001</v>
      </c>
      <c r="BF1781" s="34" t="n">
        <f aca="false">BD1781*M1781</f>
        <v>282080</v>
      </c>
      <c r="BG1781" s="35" t="n">
        <f aca="false">BA1781-BF1781</f>
        <v>3409</v>
      </c>
      <c r="BH1781" s="19" t="str">
        <f aca="false">IF(BG1781=0,"",IF(BG1781&lt;&gt;BA1781,"erreur de calcul",IF(BD1781&lt;&gt;0,"pas de prix",IF(M1781&lt;&gt; 0,"pas de quantité","pas de prix, ni de quantité"))))</f>
        <v>erreur de calcul</v>
      </c>
      <c r="BI1781" s="19"/>
    </row>
    <row r="1782" customFormat="false" ht="15" hidden="false" customHeight="false" outlineLevel="0" collapsed="false">
      <c r="A1782" s="0" t="n">
        <v>25</v>
      </c>
      <c r="B1782" s="8" t="s">
        <v>24</v>
      </c>
      <c r="C1782" s="9" t="s">
        <v>25</v>
      </c>
      <c r="D1782" s="9" t="s">
        <v>26</v>
      </c>
      <c r="E1782" s="10" t="n">
        <v>1789</v>
      </c>
      <c r="F1782" s="9" t="s">
        <v>27</v>
      </c>
      <c r="G1782" s="9" t="s">
        <v>27</v>
      </c>
      <c r="H1782" s="11" t="n">
        <v>18</v>
      </c>
      <c r="I1782" s="11" t="s">
        <v>97</v>
      </c>
      <c r="J1782" s="14" t="n">
        <v>30</v>
      </c>
      <c r="K1782" s="14"/>
      <c r="L1782" s="16"/>
      <c r="M1782" s="27" t="n">
        <f aca="false">J1782+(K1782/20)+(L1782/240)</f>
        <v>30</v>
      </c>
      <c r="N1782" s="17" t="s">
        <v>64</v>
      </c>
      <c r="O1782" s="11" t="s">
        <v>98</v>
      </c>
      <c r="P1782" s="28"/>
      <c r="Q1782" s="28" t="n">
        <f aca="false">P1782*$M1782</f>
        <v>0</v>
      </c>
      <c r="R1782" s="28"/>
      <c r="S1782" s="28" t="n">
        <f aca="false">R1782*$M1782</f>
        <v>0</v>
      </c>
      <c r="T1782" s="28"/>
      <c r="U1782" s="28" t="n">
        <f aca="false">T1782*$M1782</f>
        <v>0</v>
      </c>
      <c r="V1782" s="28"/>
      <c r="W1782" s="28" t="n">
        <f aca="false">V1782*$M1782</f>
        <v>0</v>
      </c>
      <c r="X1782" s="29"/>
      <c r="Y1782" s="28" t="n">
        <f aca="false">X1782*$M1782</f>
        <v>0</v>
      </c>
      <c r="Z1782" s="28"/>
      <c r="AA1782" s="28" t="n">
        <f aca="false">Z1782*$M1782</f>
        <v>0</v>
      </c>
      <c r="AB1782" s="28"/>
      <c r="AC1782" s="28" t="n">
        <f aca="false">AB1782*$M1782</f>
        <v>0</v>
      </c>
      <c r="AD1782" s="28"/>
      <c r="AE1782" s="28" t="n">
        <f aca="false">AD1782*$M1782</f>
        <v>0</v>
      </c>
      <c r="AF1782" s="28"/>
      <c r="AG1782" s="28" t="n">
        <f aca="false">AF1782*$M1782</f>
        <v>0</v>
      </c>
      <c r="AH1782" s="28"/>
      <c r="AI1782" s="28" t="n">
        <f aca="false">AH1782*$M1782</f>
        <v>0</v>
      </c>
      <c r="AJ1782" s="28"/>
      <c r="AK1782" s="28" t="n">
        <f aca="false">AJ1782*$M1782</f>
        <v>0</v>
      </c>
      <c r="AL1782" s="28"/>
      <c r="AM1782" s="28" t="n">
        <f aca="false">AL1782*$M1782</f>
        <v>0</v>
      </c>
      <c r="AN1782" s="28"/>
      <c r="AO1782" s="28" t="n">
        <f aca="false">AN1782*$M1782</f>
        <v>0</v>
      </c>
      <c r="AP1782" s="28"/>
      <c r="AQ1782" s="28" t="n">
        <f aca="false">AP1782*$M1782</f>
        <v>0</v>
      </c>
      <c r="AR1782" s="28"/>
      <c r="AS1782" s="28" t="n">
        <f aca="false">AR1782*$M1782</f>
        <v>0</v>
      </c>
      <c r="AT1782" s="28"/>
      <c r="AU1782" s="28" t="n">
        <f aca="false">AT1782*$M1782</f>
        <v>0</v>
      </c>
      <c r="AV1782" s="28"/>
      <c r="AW1782" s="28" t="n">
        <f aca="false">AV1782*$M1782</f>
        <v>0</v>
      </c>
      <c r="AX1782" s="28"/>
      <c r="AY1782" s="28" t="n">
        <f aca="false">AX1782*$M1782</f>
        <v>0</v>
      </c>
      <c r="AZ1782" s="30"/>
      <c r="BA1782" s="11"/>
      <c r="BB1782" s="31" t="n">
        <f aca="false">SUM(Q1782,S1782,U1782,W1782,Y1782,AA1782,AC1782,AE1782,AG1782,AI1782,AK1782,AM1782,AO1782,AQ1782,AS1782,AU1782,AW1782,AY1782)</f>
        <v>0</v>
      </c>
      <c r="BC1782" s="28" t="n">
        <f aca="false">BA1782-BB1782</f>
        <v>0</v>
      </c>
      <c r="BD1782" s="32" t="n">
        <f aca="false">SUM(P1782,R1782,T1782,V1782,X1782,Z1782,AB1782,AD1782,AF1782,AH1782,AJ1782,AL1782,AN1782,AP1782,AR1782,AT1782,AV1782,AX1782)</f>
        <v>0</v>
      </c>
      <c r="BE1782" s="33" t="n">
        <f aca="false">AZ1782-BD1782</f>
        <v>0</v>
      </c>
      <c r="BF1782" s="34" t="n">
        <f aca="false">BD1782*M1782</f>
        <v>0</v>
      </c>
      <c r="BG1782" s="35" t="n">
        <f aca="false">BA1782-BF1782</f>
        <v>0</v>
      </c>
      <c r="BH1782" s="19" t="str">
        <f aca="false">IF(BG1782=0,"",IF(BG1782&lt;&gt;BA1782,"erreur de calcul",IF(BD1782&lt;&gt;0,"pas de prix",IF(M1782&lt;&gt; 0,"pas de quantité","pas de prix, ni de quantité"))))</f>
        <v/>
      </c>
      <c r="BI1782" s="19"/>
    </row>
    <row r="1783" customFormat="false" ht="15" hidden="false" customHeight="false" outlineLevel="0" collapsed="false">
      <c r="A1783" s="0" t="n">
        <v>26</v>
      </c>
      <c r="B1783" s="8" t="s">
        <v>24</v>
      </c>
      <c r="C1783" s="9" t="s">
        <v>25</v>
      </c>
      <c r="D1783" s="9" t="s">
        <v>26</v>
      </c>
      <c r="E1783" s="10" t="n">
        <v>1789</v>
      </c>
      <c r="F1783" s="9" t="s">
        <v>27</v>
      </c>
      <c r="G1783" s="9" t="s">
        <v>27</v>
      </c>
      <c r="H1783" s="11" t="n">
        <v>18</v>
      </c>
      <c r="I1783" s="11" t="s">
        <v>99</v>
      </c>
      <c r="J1783" s="14" t="n">
        <v>12</v>
      </c>
      <c r="K1783" s="14"/>
      <c r="L1783" s="16"/>
      <c r="M1783" s="27" t="n">
        <f aca="false">J1783+(K1783/20)+(L1783/240)</f>
        <v>12</v>
      </c>
      <c r="N1783" s="17" t="s">
        <v>64</v>
      </c>
      <c r="O1783" s="11"/>
      <c r="P1783" s="28" t="n">
        <f aca="false">7077/100</f>
        <v>70.77</v>
      </c>
      <c r="Q1783" s="28" t="n">
        <v>849</v>
      </c>
      <c r="R1783" s="28"/>
      <c r="S1783" s="28" t="n">
        <f aca="false">R1783*$M1783</f>
        <v>0</v>
      </c>
      <c r="T1783" s="28"/>
      <c r="U1783" s="28" t="n">
        <f aca="false">T1783*$M1783</f>
        <v>0</v>
      </c>
      <c r="V1783" s="28"/>
      <c r="W1783" s="28" t="n">
        <f aca="false">V1783*$M1783</f>
        <v>0</v>
      </c>
      <c r="X1783" s="29"/>
      <c r="Y1783" s="28" t="n">
        <v>866</v>
      </c>
      <c r="Z1783" s="28"/>
      <c r="AA1783" s="28" t="n">
        <f aca="false">Z1783*$M1783</f>
        <v>0</v>
      </c>
      <c r="AB1783" s="28"/>
      <c r="AC1783" s="28" t="n">
        <f aca="false">AB1783*$M1783</f>
        <v>0</v>
      </c>
      <c r="AD1783" s="28"/>
      <c r="AE1783" s="28" t="n">
        <f aca="false">AD1783*$M1783</f>
        <v>0</v>
      </c>
      <c r="AF1783" s="28"/>
      <c r="AG1783" s="28" t="n">
        <f aca="false">AF1783*$M1783</f>
        <v>0</v>
      </c>
      <c r="AH1783" s="28"/>
      <c r="AI1783" s="28" t="n">
        <f aca="false">AH1783*$M1783</f>
        <v>0</v>
      </c>
      <c r="AJ1783" s="28"/>
      <c r="AK1783" s="28" t="n">
        <f aca="false">AJ1783*$M1783</f>
        <v>0</v>
      </c>
      <c r="AL1783" s="28"/>
      <c r="AM1783" s="28" t="n">
        <f aca="false">AL1783*$M1783</f>
        <v>0</v>
      </c>
      <c r="AN1783" s="28"/>
      <c r="AO1783" s="28" t="n">
        <f aca="false">AN1783*$M1783</f>
        <v>0</v>
      </c>
      <c r="AP1783" s="28"/>
      <c r="AQ1783" s="28" t="n">
        <f aca="false">AP1783*$M1783</f>
        <v>0</v>
      </c>
      <c r="AR1783" s="28"/>
      <c r="AS1783" s="28" t="n">
        <f aca="false">AR1783*$M1783</f>
        <v>0</v>
      </c>
      <c r="AT1783" s="28"/>
      <c r="AU1783" s="28" t="n">
        <f aca="false">AT1783*$M1783</f>
        <v>0</v>
      </c>
      <c r="AV1783" s="28"/>
      <c r="AW1783" s="28" t="n">
        <f aca="false">AV1783*$M1783</f>
        <v>0</v>
      </c>
      <c r="AX1783" s="28"/>
      <c r="AY1783" s="28" t="n">
        <f aca="false">AX1783*$M1783</f>
        <v>0</v>
      </c>
      <c r="AZ1783" s="30" t="n">
        <f aca="false">14294/100</f>
        <v>142.94</v>
      </c>
      <c r="BA1783" s="11" t="n">
        <v>1715</v>
      </c>
      <c r="BB1783" s="31" t="n">
        <f aca="false">SUM(Q1783,S1783,U1783,W1783,Y1783,AA1783,AC1783,AE1783,AG1783,AI1783,AK1783,AM1783,AO1783,AQ1783,AS1783,AU1783,AW1783,AY1783)</f>
        <v>1715</v>
      </c>
      <c r="BC1783" s="28" t="n">
        <f aca="false">BA1783-BB1783</f>
        <v>0</v>
      </c>
      <c r="BD1783" s="32" t="n">
        <f aca="false">SUM(P1783,R1783,T1783,V1783,X1783,Z1783,AB1783,AD1783,AF1783,AH1783,AJ1783,AL1783,AN1783,AP1783,AR1783,AT1783,AV1783,AX1783)</f>
        <v>70.77</v>
      </c>
      <c r="BE1783" s="33" t="n">
        <f aca="false">AZ1783-BD1783</f>
        <v>72.17</v>
      </c>
      <c r="BF1783" s="34" t="n">
        <f aca="false">BD1783*M1783</f>
        <v>849.24</v>
      </c>
      <c r="BG1783" s="35" t="n">
        <f aca="false">BA1783-BF1783</f>
        <v>865.76</v>
      </c>
      <c r="BH1783" s="19" t="str">
        <f aca="false">IF(BG1783=0,"",IF(BG1783&lt;&gt;BA1783,"erreur de calcul",IF(BD1783&lt;&gt;0,"pas de prix",IF(M1783&lt;&gt; 0,"pas de quantité","pas de prix, ni de quantité"))))</f>
        <v>erreur de calcul</v>
      </c>
      <c r="BI1783" s="19"/>
    </row>
    <row r="1784" customFormat="false" ht="15" hidden="false" customHeight="false" outlineLevel="0" collapsed="false">
      <c r="A1784" s="0" t="n">
        <v>27</v>
      </c>
      <c r="B1784" s="8" t="s">
        <v>24</v>
      </c>
      <c r="C1784" s="9" t="s">
        <v>25</v>
      </c>
      <c r="D1784" s="9" t="s">
        <v>26</v>
      </c>
      <c r="E1784" s="10" t="n">
        <v>1789</v>
      </c>
      <c r="F1784" s="9" t="s">
        <v>27</v>
      </c>
      <c r="G1784" s="9" t="s">
        <v>27</v>
      </c>
      <c r="H1784" s="11" t="n">
        <v>18</v>
      </c>
      <c r="I1784" s="11" t="s">
        <v>100</v>
      </c>
      <c r="J1784" s="14" t="n">
        <v>13</v>
      </c>
      <c r="K1784" s="14"/>
      <c r="L1784" s="16"/>
      <c r="M1784" s="27" t="n">
        <f aca="false">J1784+(K1784/20)+(L1784/240)</f>
        <v>13</v>
      </c>
      <c r="N1784" s="17" t="s">
        <v>64</v>
      </c>
      <c r="O1784" s="11"/>
      <c r="P1784" s="28"/>
      <c r="Q1784" s="28" t="n">
        <f aca="false">P1784*$M1784</f>
        <v>0</v>
      </c>
      <c r="R1784" s="28"/>
      <c r="S1784" s="28" t="n">
        <f aca="false">R1784*$M1784</f>
        <v>0</v>
      </c>
      <c r="T1784" s="28"/>
      <c r="U1784" s="28" t="n">
        <f aca="false">T1784*$M1784</f>
        <v>0</v>
      </c>
      <c r="V1784" s="28"/>
      <c r="W1784" s="28" t="n">
        <f aca="false">V1784*$M1784</f>
        <v>0</v>
      </c>
      <c r="X1784" s="29"/>
      <c r="Y1784" s="28" t="n">
        <f aca="false">X1784*$M1784</f>
        <v>0</v>
      </c>
      <c r="Z1784" s="28"/>
      <c r="AA1784" s="28" t="n">
        <f aca="false">Z1784*$M1784</f>
        <v>0</v>
      </c>
      <c r="AB1784" s="28"/>
      <c r="AC1784" s="28" t="n">
        <f aca="false">AB1784*$M1784</f>
        <v>0</v>
      </c>
      <c r="AD1784" s="28"/>
      <c r="AE1784" s="28" t="n">
        <f aca="false">AD1784*$M1784</f>
        <v>0</v>
      </c>
      <c r="AF1784" s="28"/>
      <c r="AG1784" s="28" t="n">
        <f aca="false">AF1784*$M1784</f>
        <v>0</v>
      </c>
      <c r="AH1784" s="28" t="n">
        <f aca="false">7819/100</f>
        <v>78.19</v>
      </c>
      <c r="AI1784" s="28" t="n">
        <v>1016</v>
      </c>
      <c r="AJ1784" s="28" t="n">
        <f aca="false">10382/100</f>
        <v>103.82</v>
      </c>
      <c r="AK1784" s="28" t="n">
        <v>1350</v>
      </c>
      <c r="AL1784" s="28"/>
      <c r="AM1784" s="28" t="n">
        <f aca="false">AL1784*$M1784</f>
        <v>0</v>
      </c>
      <c r="AN1784" s="28"/>
      <c r="AO1784" s="28" t="n">
        <f aca="false">AN1784*$M1784</f>
        <v>0</v>
      </c>
      <c r="AP1784" s="28"/>
      <c r="AQ1784" s="28" t="n">
        <f aca="false">AP1784*$M1784</f>
        <v>0</v>
      </c>
      <c r="AR1784" s="28"/>
      <c r="AS1784" s="28" t="n">
        <f aca="false">AR1784*$M1784</f>
        <v>0</v>
      </c>
      <c r="AT1784" s="28"/>
      <c r="AU1784" s="28" t="n">
        <f aca="false">AT1784*$M1784</f>
        <v>0</v>
      </c>
      <c r="AV1784" s="28"/>
      <c r="AW1784" s="28" t="n">
        <f aca="false">AV1784*$M1784</f>
        <v>0</v>
      </c>
      <c r="AX1784" s="28"/>
      <c r="AY1784" s="28" t="n">
        <f aca="false">AX1784*$M1784</f>
        <v>0</v>
      </c>
      <c r="AZ1784" s="30" t="n">
        <f aca="false">18201/100</f>
        <v>182.01</v>
      </c>
      <c r="BA1784" s="11" t="n">
        <v>2366</v>
      </c>
      <c r="BB1784" s="31" t="n">
        <f aca="false">SUM(Q1784,S1784,U1784,W1784,Y1784,AA1784,AC1784,AE1784,AG1784,AI1784,AK1784,AM1784,AO1784,AQ1784,AS1784,AU1784,AW1784,AY1784)</f>
        <v>2366</v>
      </c>
      <c r="BC1784" s="28" t="n">
        <f aca="false">BA1784-BB1784</f>
        <v>0</v>
      </c>
      <c r="BD1784" s="32" t="n">
        <f aca="false">SUM(P1784,R1784,T1784,V1784,X1784,Z1784,AB1784,AD1784,AF1784,AH1784,AJ1784,AL1784,AN1784,AP1784,AR1784,AT1784,AV1784,AX1784)</f>
        <v>182.01</v>
      </c>
      <c r="BE1784" s="33" t="n">
        <f aca="false">AZ1784-BD1784</f>
        <v>0</v>
      </c>
      <c r="BF1784" s="34" t="n">
        <f aca="false">BD1784*M1784</f>
        <v>2366.13</v>
      </c>
      <c r="BG1784" s="35" t="n">
        <f aca="false">BA1784-BF1784</f>
        <v>-0.130000000000109</v>
      </c>
      <c r="BH1784" s="19" t="str">
        <f aca="false">IF(BG1784=0,"",IF(BG1784&lt;&gt;BA1784,"erreur de calcul",IF(BD1784&lt;&gt;0,"pas de prix",IF(M1784&lt;&gt; 0,"pas de quantité","pas de prix, ni de quantité"))))</f>
        <v>erreur de calcul</v>
      </c>
      <c r="BI1784" s="19"/>
    </row>
    <row r="1785" customFormat="false" ht="15" hidden="false" customHeight="false" outlineLevel="0" collapsed="false">
      <c r="A1785" s="0" t="n">
        <v>28</v>
      </c>
      <c r="B1785" s="8" t="s">
        <v>24</v>
      </c>
      <c r="C1785" s="9" t="s">
        <v>25</v>
      </c>
      <c r="D1785" s="9" t="s">
        <v>26</v>
      </c>
      <c r="E1785" s="10" t="n">
        <v>1789</v>
      </c>
      <c r="F1785" s="9" t="s">
        <v>27</v>
      </c>
      <c r="G1785" s="9" t="s">
        <v>27</v>
      </c>
      <c r="H1785" s="11" t="n">
        <v>18</v>
      </c>
      <c r="I1785" s="11" t="s">
        <v>101</v>
      </c>
      <c r="J1785" s="14" t="n">
        <v>35</v>
      </c>
      <c r="K1785" s="14"/>
      <c r="L1785" s="16"/>
      <c r="M1785" s="27" t="n">
        <f aca="false">J1785+(K1785/20)+(L1785/240)</f>
        <v>35</v>
      </c>
      <c r="N1785" s="17" t="s">
        <v>64</v>
      </c>
      <c r="O1785" s="11"/>
      <c r="P1785" s="28"/>
      <c r="Q1785" s="28" t="n">
        <f aca="false">P1785*$M1785</f>
        <v>0</v>
      </c>
      <c r="R1785" s="28"/>
      <c r="S1785" s="28" t="n">
        <f aca="false">R1785*$M1785</f>
        <v>0</v>
      </c>
      <c r="T1785" s="28"/>
      <c r="U1785" s="28" t="n">
        <f aca="false">T1785*$M1785</f>
        <v>0</v>
      </c>
      <c r="V1785" s="28"/>
      <c r="W1785" s="28" t="n">
        <f aca="false">V1785*$M1785</f>
        <v>0</v>
      </c>
      <c r="X1785" s="29"/>
      <c r="Y1785" s="28" t="n">
        <f aca="false">X1785*$M1785</f>
        <v>0</v>
      </c>
      <c r="Z1785" s="28"/>
      <c r="AA1785" s="28" t="n">
        <f aca="false">Z1785*$M1785</f>
        <v>0</v>
      </c>
      <c r="AB1785" s="28"/>
      <c r="AC1785" s="28" t="n">
        <f aca="false">AB1785*$M1785</f>
        <v>0</v>
      </c>
      <c r="AD1785" s="28"/>
      <c r="AE1785" s="28" t="n">
        <f aca="false">AD1785*$M1785</f>
        <v>0</v>
      </c>
      <c r="AF1785" s="28"/>
      <c r="AG1785" s="28" t="n">
        <f aca="false">AF1785*$M1785</f>
        <v>0</v>
      </c>
      <c r="AH1785" s="28"/>
      <c r="AI1785" s="28" t="n">
        <f aca="false">AH1785*$M1785</f>
        <v>0</v>
      </c>
      <c r="AJ1785" s="28" t="n">
        <f aca="false">65277/100</f>
        <v>652.77</v>
      </c>
      <c r="AK1785" s="28" t="n">
        <v>22847</v>
      </c>
      <c r="AL1785" s="28"/>
      <c r="AM1785" s="28" t="n">
        <f aca="false">AL1785*$M1785</f>
        <v>0</v>
      </c>
      <c r="AN1785" s="28"/>
      <c r="AO1785" s="28" t="n">
        <f aca="false">AN1785*$M1785</f>
        <v>0</v>
      </c>
      <c r="AP1785" s="28"/>
      <c r="AQ1785" s="28" t="n">
        <f aca="false">AP1785*$M1785</f>
        <v>0</v>
      </c>
      <c r="AR1785" s="28"/>
      <c r="AS1785" s="28" t="n">
        <f aca="false">AR1785*$M1785</f>
        <v>0</v>
      </c>
      <c r="AT1785" s="28"/>
      <c r="AU1785" s="28" t="n">
        <f aca="false">AT1785*$M1785</f>
        <v>0</v>
      </c>
      <c r="AV1785" s="28"/>
      <c r="AW1785" s="28" t="n">
        <f aca="false">AV1785*$M1785</f>
        <v>0</v>
      </c>
      <c r="AX1785" s="28"/>
      <c r="AY1785" s="28" t="n">
        <f aca="false">AX1785*$M1785</f>
        <v>0</v>
      </c>
      <c r="AZ1785" s="30" t="n">
        <f aca="false">65277/100</f>
        <v>652.77</v>
      </c>
      <c r="BA1785" s="11" t="n">
        <v>22847</v>
      </c>
      <c r="BB1785" s="31" t="n">
        <f aca="false">SUM(Q1785,S1785,U1785,W1785,Y1785,AA1785,AC1785,AE1785,AG1785,AI1785,AK1785,AM1785,AO1785,AQ1785,AS1785,AU1785,AW1785,AY1785)</f>
        <v>22847</v>
      </c>
      <c r="BC1785" s="28" t="n">
        <f aca="false">BA1785-BB1785</f>
        <v>0</v>
      </c>
      <c r="BD1785" s="32" t="n">
        <f aca="false">SUM(P1785,R1785,T1785,V1785,X1785,Z1785,AB1785,AD1785,AF1785,AH1785,AJ1785,AL1785,AN1785,AP1785,AR1785,AT1785,AV1785,AX1785)</f>
        <v>652.77</v>
      </c>
      <c r="BE1785" s="33" t="n">
        <f aca="false">AZ1785-BD1785</f>
        <v>0</v>
      </c>
      <c r="BF1785" s="34" t="n">
        <f aca="false">BD1785*M1785</f>
        <v>22846.95</v>
      </c>
      <c r="BG1785" s="35" t="n">
        <f aca="false">BA1785-BF1785</f>
        <v>0.0499999999992724</v>
      </c>
      <c r="BH1785" s="19" t="str">
        <f aca="false">IF(BG1785=0,"",IF(BG1785&lt;&gt;BA1785,"erreur de calcul",IF(BD1785&lt;&gt;0,"pas de prix",IF(M1785&lt;&gt; 0,"pas de quantité","pas de prix, ni de quantité"))))</f>
        <v>erreur de calcul</v>
      </c>
      <c r="BI1785" s="19"/>
    </row>
    <row r="1786" customFormat="false" ht="16.65" hidden="false" customHeight="false" outlineLevel="0" collapsed="false">
      <c r="A1786" s="0" t="n">
        <v>29</v>
      </c>
      <c r="B1786" s="8" t="s">
        <v>24</v>
      </c>
      <c r="C1786" s="9" t="s">
        <v>25</v>
      </c>
      <c r="D1786" s="9" t="s">
        <v>26</v>
      </c>
      <c r="E1786" s="10" t="n">
        <v>1789</v>
      </c>
      <c r="F1786" s="9" t="s">
        <v>27</v>
      </c>
      <c r="G1786" s="9" t="s">
        <v>27</v>
      </c>
      <c r="H1786" s="11" t="n">
        <v>18</v>
      </c>
      <c r="I1786" s="11" t="s">
        <v>102</v>
      </c>
      <c r="J1786" s="14" t="n">
        <v>47</v>
      </c>
      <c r="K1786" s="14"/>
      <c r="L1786" s="16"/>
      <c r="M1786" s="27" t="n">
        <f aca="false">J1786+(K1786/20)+(L1786/240)</f>
        <v>47</v>
      </c>
      <c r="N1786" s="17" t="s">
        <v>64</v>
      </c>
      <c r="O1786" s="11"/>
      <c r="P1786" s="28" t="n">
        <f aca="false">8467/100</f>
        <v>84.67</v>
      </c>
      <c r="Q1786" s="28" t="n">
        <v>3979</v>
      </c>
      <c r="R1786" s="28"/>
      <c r="S1786" s="28" t="n">
        <f aca="false">R1786*$M1786</f>
        <v>0</v>
      </c>
      <c r="T1786" s="28"/>
      <c r="U1786" s="28" t="n">
        <f aca="false">T1786*$M1786</f>
        <v>0</v>
      </c>
      <c r="V1786" s="28"/>
      <c r="W1786" s="28" t="n">
        <f aca="false">V1786*$M1786</f>
        <v>0</v>
      </c>
      <c r="X1786" s="29"/>
      <c r="Y1786" s="28" t="n">
        <f aca="false">X1786*$M1786</f>
        <v>0</v>
      </c>
      <c r="Z1786" s="28"/>
      <c r="AA1786" s="28" t="n">
        <f aca="false">Z1786*$M1786</f>
        <v>0</v>
      </c>
      <c r="AB1786" s="28"/>
      <c r="AC1786" s="28" t="n">
        <f aca="false">AB1786*$M1786</f>
        <v>0</v>
      </c>
      <c r="AD1786" s="28"/>
      <c r="AE1786" s="28" t="n">
        <f aca="false">AD1786*$M1786</f>
        <v>0</v>
      </c>
      <c r="AF1786" s="28"/>
      <c r="AG1786" s="28" t="n">
        <f aca="false">AF1786*$M1786</f>
        <v>0</v>
      </c>
      <c r="AH1786" s="28"/>
      <c r="AI1786" s="28" t="n">
        <f aca="false">AH1786*$M1786</f>
        <v>0</v>
      </c>
      <c r="AJ1786" s="28"/>
      <c r="AK1786" s="28" t="n">
        <f aca="false">AJ1786*$M1786</f>
        <v>0</v>
      </c>
      <c r="AL1786" s="28"/>
      <c r="AM1786" s="28" t="n">
        <f aca="false">AL1786*$M1786</f>
        <v>0</v>
      </c>
      <c r="AN1786" s="28"/>
      <c r="AO1786" s="28" t="n">
        <f aca="false">AN1786*$M1786</f>
        <v>0</v>
      </c>
      <c r="AP1786" s="28"/>
      <c r="AQ1786" s="28" t="n">
        <f aca="false">AP1786*$M1786</f>
        <v>0</v>
      </c>
      <c r="AR1786" s="28"/>
      <c r="AS1786" s="28" t="n">
        <f aca="false">AR1786*$M1786</f>
        <v>0</v>
      </c>
      <c r="AT1786" s="28"/>
      <c r="AU1786" s="28" t="n">
        <f aca="false">AT1786*$M1786</f>
        <v>0</v>
      </c>
      <c r="AV1786" s="28"/>
      <c r="AW1786" s="28" t="n">
        <f aca="false">AV1786*$M1786</f>
        <v>0</v>
      </c>
      <c r="AX1786" s="28"/>
      <c r="AY1786" s="28" t="n">
        <f aca="false">AX1786*$M1786</f>
        <v>0</v>
      </c>
      <c r="AZ1786" s="30" t="n">
        <f aca="false">8467/100</f>
        <v>84.67</v>
      </c>
      <c r="BA1786" s="11" t="n">
        <v>3979</v>
      </c>
      <c r="BB1786" s="31" t="n">
        <f aca="false">SUM(Q1786,S1786,U1786,W1786,Y1786,AA1786,AC1786,AE1786,AG1786,AI1786,AK1786,AM1786,AO1786,AQ1786,AS1786,AU1786,AW1786,AY1786)</f>
        <v>3979</v>
      </c>
      <c r="BC1786" s="28" t="n">
        <f aca="false">BA1786-BB1786</f>
        <v>0</v>
      </c>
      <c r="BD1786" s="32" t="n">
        <f aca="false">SUM(P1786,R1786,T1786,V1786,X1786,Z1786,AB1786,AD1786,AF1786,AH1786,AJ1786,AL1786,AN1786,AP1786,AR1786,AT1786,AV1786,AX1786)</f>
        <v>84.67</v>
      </c>
      <c r="BE1786" s="33" t="n">
        <f aca="false">AZ1786-BD1786</f>
        <v>0</v>
      </c>
      <c r="BF1786" s="34" t="n">
        <f aca="false">BD1786*M1786</f>
        <v>3979.49</v>
      </c>
      <c r="BG1786" s="35" t="n">
        <f aca="false">BA1786-BF1786</f>
        <v>-0.490000000000237</v>
      </c>
      <c r="BH1786" s="19" t="str">
        <f aca="false">IF(BG1786=0,"",IF(BG1786&lt;&gt;BA1786,"erreur de calcul",IF(BD1786&lt;&gt;0,"pas de prix",IF(M1786&lt;&gt; 0,"pas de quantité","pas de prix, ni de quantité"))))</f>
        <v>erreur de calcul</v>
      </c>
      <c r="BI1786" s="19"/>
    </row>
    <row r="1787" customFormat="false" ht="15" hidden="false" customHeight="false" outlineLevel="0" collapsed="false">
      <c r="A1787" s="0" t="n">
        <v>30</v>
      </c>
      <c r="B1787" s="8" t="s">
        <v>24</v>
      </c>
      <c r="C1787" s="9" t="s">
        <v>25</v>
      </c>
      <c r="D1787" s="9" t="s">
        <v>26</v>
      </c>
      <c r="E1787" s="10" t="n">
        <v>1789</v>
      </c>
      <c r="F1787" s="9" t="s">
        <v>27</v>
      </c>
      <c r="G1787" s="9" t="s">
        <v>27</v>
      </c>
      <c r="H1787" s="11" t="n">
        <v>18</v>
      </c>
      <c r="I1787" s="11" t="s">
        <v>103</v>
      </c>
      <c r="J1787" s="14" t="n">
        <v>475</v>
      </c>
      <c r="K1787" s="14"/>
      <c r="L1787" s="16"/>
      <c r="M1787" s="27" t="n">
        <f aca="false">J1787+(K1787/20)+(L1787/240)</f>
        <v>475</v>
      </c>
      <c r="N1787" s="17" t="s">
        <v>64</v>
      </c>
      <c r="O1787" s="11"/>
      <c r="P1787" s="28"/>
      <c r="Q1787" s="28" t="n">
        <f aca="false">P1787*$M1787</f>
        <v>0</v>
      </c>
      <c r="R1787" s="28"/>
      <c r="S1787" s="28" t="n">
        <f aca="false">R1787*$M1787</f>
        <v>0</v>
      </c>
      <c r="T1787" s="28" t="n">
        <f aca="false">1746/100</f>
        <v>17.46</v>
      </c>
      <c r="U1787" s="28" t="n">
        <v>8293</v>
      </c>
      <c r="V1787" s="28"/>
      <c r="W1787" s="28" t="n">
        <f aca="false">V1787*$M1787</f>
        <v>0</v>
      </c>
      <c r="X1787" s="29"/>
      <c r="Y1787" s="28" t="n">
        <f aca="false">X1787*$M1787</f>
        <v>0</v>
      </c>
      <c r="Z1787" s="28"/>
      <c r="AA1787" s="28" t="n">
        <f aca="false">Z1787*$M1787</f>
        <v>0</v>
      </c>
      <c r="AB1787" s="28"/>
      <c r="AC1787" s="28" t="n">
        <f aca="false">AB1787*$M1787</f>
        <v>0</v>
      </c>
      <c r="AD1787" s="28"/>
      <c r="AE1787" s="28" t="n">
        <f aca="false">AD1787*$M1787</f>
        <v>0</v>
      </c>
      <c r="AF1787" s="28"/>
      <c r="AG1787" s="28" t="n">
        <f aca="false">AF1787*$M1787</f>
        <v>0</v>
      </c>
      <c r="AH1787" s="28" t="n">
        <f aca="false">1667/100</f>
        <v>16.67</v>
      </c>
      <c r="AI1787" s="28" t="n">
        <v>7918</v>
      </c>
      <c r="AJ1787" s="28"/>
      <c r="AK1787" s="28" t="n">
        <f aca="false">AJ1787*$M1787</f>
        <v>0</v>
      </c>
      <c r="AL1787" s="28"/>
      <c r="AM1787" s="28" t="n">
        <f aca="false">AL1787*$M1787</f>
        <v>0</v>
      </c>
      <c r="AN1787" s="28"/>
      <c r="AO1787" s="28" t="n">
        <f aca="false">AN1787*$M1787</f>
        <v>0</v>
      </c>
      <c r="AP1787" s="28"/>
      <c r="AQ1787" s="28" t="n">
        <f aca="false">AP1787*$M1787</f>
        <v>0</v>
      </c>
      <c r="AR1787" s="28"/>
      <c r="AS1787" s="28" t="n">
        <f aca="false">AR1787*$M1787</f>
        <v>0</v>
      </c>
      <c r="AT1787" s="28"/>
      <c r="AU1787" s="28" t="n">
        <f aca="false">AT1787*$M1787</f>
        <v>0</v>
      </c>
      <c r="AV1787" s="28"/>
      <c r="AW1787" s="28" t="n">
        <f aca="false">AV1787*$M1787</f>
        <v>0</v>
      </c>
      <c r="AX1787" s="28"/>
      <c r="AY1787" s="28" t="n">
        <f aca="false">AX1787*$M1787</f>
        <v>0</v>
      </c>
      <c r="AZ1787" s="30" t="n">
        <f aca="false">3413/100</f>
        <v>34.13</v>
      </c>
      <c r="BA1787" s="11" t="n">
        <v>16211</v>
      </c>
      <c r="BB1787" s="31" t="n">
        <f aca="false">SUM(Q1787,S1787,U1787,W1787,Y1787,AA1787,AC1787,AE1787,AG1787,AI1787,AK1787,AM1787,AO1787,AQ1787,AS1787,AU1787,AW1787,AY1787)</f>
        <v>16211</v>
      </c>
      <c r="BC1787" s="28" t="n">
        <f aca="false">BA1787-BB1787</f>
        <v>0</v>
      </c>
      <c r="BD1787" s="32" t="n">
        <f aca="false">SUM(P1787,R1787,T1787,V1787,X1787,Z1787,AB1787,AD1787,AF1787,AH1787,AJ1787,AL1787,AN1787,AP1787,AR1787,AT1787,AV1787,AX1787)</f>
        <v>34.13</v>
      </c>
      <c r="BE1787" s="33" t="n">
        <f aca="false">AZ1787-BD1787</f>
        <v>0</v>
      </c>
      <c r="BF1787" s="34" t="n">
        <f aca="false">BD1787*M1787</f>
        <v>16211.75</v>
      </c>
      <c r="BG1787" s="35" t="n">
        <f aca="false">BA1787-BF1787</f>
        <v>-0.750000000001819</v>
      </c>
      <c r="BH1787" s="19" t="str">
        <f aca="false">IF(BG1787=0,"",IF(BG1787&lt;&gt;BA1787,"erreur de calcul",IF(BD1787&lt;&gt;0,"pas de prix",IF(M1787&lt;&gt; 0,"pas de quantité","pas de prix, ni de quantité"))))</f>
        <v>erreur de calcul</v>
      </c>
      <c r="BI1787" s="19"/>
    </row>
    <row r="1788" customFormat="false" ht="15" hidden="false" customHeight="false" outlineLevel="0" collapsed="false">
      <c r="A1788" s="0" t="n">
        <v>31</v>
      </c>
      <c r="B1788" s="8" t="s">
        <v>24</v>
      </c>
      <c r="C1788" s="9" t="s">
        <v>25</v>
      </c>
      <c r="D1788" s="9" t="s">
        <v>26</v>
      </c>
      <c r="E1788" s="10" t="n">
        <v>1789</v>
      </c>
      <c r="F1788" s="9" t="s">
        <v>27</v>
      </c>
      <c r="G1788" s="9" t="s">
        <v>27</v>
      </c>
      <c r="H1788" s="11" t="n">
        <v>18</v>
      </c>
      <c r="I1788" s="11" t="s">
        <v>104</v>
      </c>
      <c r="J1788" s="14" t="n">
        <v>310</v>
      </c>
      <c r="K1788" s="14"/>
      <c r="L1788" s="16"/>
      <c r="M1788" s="27" t="n">
        <f aca="false">J1788+(K1788/20)+(L1788/240)</f>
        <v>310</v>
      </c>
      <c r="N1788" s="17" t="s">
        <v>64</v>
      </c>
      <c r="O1788" s="11"/>
      <c r="P1788" s="28"/>
      <c r="Q1788" s="28" t="n">
        <f aca="false">P1788*$M1788</f>
        <v>0</v>
      </c>
      <c r="R1788" s="28"/>
      <c r="S1788" s="28" t="n">
        <f aca="false">R1788*$M1788</f>
        <v>0</v>
      </c>
      <c r="T1788" s="28" t="n">
        <f aca="false">1087/100</f>
        <v>10.87</v>
      </c>
      <c r="U1788" s="28" t="n">
        <v>3370</v>
      </c>
      <c r="V1788" s="28" t="n">
        <f aca="false">285/100</f>
        <v>2.85</v>
      </c>
      <c r="W1788" s="28" t="n">
        <v>883</v>
      </c>
      <c r="X1788" s="29"/>
      <c r="Y1788" s="28" t="n">
        <f aca="false">X1788*$M1788</f>
        <v>0</v>
      </c>
      <c r="Z1788" s="28"/>
      <c r="AA1788" s="28" t="n">
        <f aca="false">Z1788*$M1788</f>
        <v>0</v>
      </c>
      <c r="AB1788" s="28"/>
      <c r="AC1788" s="28" t="n">
        <f aca="false">AB1788*$M1788</f>
        <v>0</v>
      </c>
      <c r="AD1788" s="28"/>
      <c r="AE1788" s="28" t="n">
        <f aca="false">AD1788*$M1788</f>
        <v>0</v>
      </c>
      <c r="AF1788" s="28"/>
      <c r="AG1788" s="28" t="n">
        <f aca="false">AF1788*$M1788</f>
        <v>0</v>
      </c>
      <c r="AH1788" s="28"/>
      <c r="AI1788" s="28" t="n">
        <f aca="false">AH1788*$M1788</f>
        <v>0</v>
      </c>
      <c r="AJ1788" s="28"/>
      <c r="AK1788" s="28" t="n">
        <f aca="false">AJ1788*$M1788</f>
        <v>0</v>
      </c>
      <c r="AL1788" s="28"/>
      <c r="AM1788" s="28" t="n">
        <f aca="false">AL1788*$M1788</f>
        <v>0</v>
      </c>
      <c r="AN1788" s="28"/>
      <c r="AO1788" s="28" t="n">
        <f aca="false">AN1788*$M1788</f>
        <v>0</v>
      </c>
      <c r="AP1788" s="28"/>
      <c r="AQ1788" s="28" t="n">
        <f aca="false">AP1788*$M1788</f>
        <v>0</v>
      </c>
      <c r="AR1788" s="28"/>
      <c r="AS1788" s="28" t="n">
        <f aca="false">AR1788*$M1788</f>
        <v>0</v>
      </c>
      <c r="AT1788" s="28"/>
      <c r="AU1788" s="28" t="n">
        <f aca="false">AT1788*$M1788</f>
        <v>0</v>
      </c>
      <c r="AV1788" s="28"/>
      <c r="AW1788" s="28" t="n">
        <f aca="false">AV1788*$M1788</f>
        <v>0</v>
      </c>
      <c r="AX1788" s="28"/>
      <c r="AY1788" s="28" t="n">
        <f aca="false">AX1788*$M1788</f>
        <v>0</v>
      </c>
      <c r="AZ1788" s="30" t="n">
        <f aca="false">1372/100</f>
        <v>13.72</v>
      </c>
      <c r="BA1788" s="11" t="n">
        <v>4253</v>
      </c>
      <c r="BB1788" s="31" t="n">
        <f aca="false">SUM(Q1788,S1788,U1788,W1788,Y1788,AA1788,AC1788,AE1788,AG1788,AI1788,AK1788,AM1788,AO1788,AQ1788,AS1788,AU1788,AW1788,AY1788)</f>
        <v>4253</v>
      </c>
      <c r="BC1788" s="28" t="n">
        <f aca="false">BA1788-BB1788</f>
        <v>0</v>
      </c>
      <c r="BD1788" s="32" t="n">
        <f aca="false">SUM(P1788,R1788,T1788,V1788,X1788,Z1788,AB1788,AD1788,AF1788,AH1788,AJ1788,AL1788,AN1788,AP1788,AR1788,AT1788,AV1788,AX1788)</f>
        <v>13.72</v>
      </c>
      <c r="BE1788" s="33" t="n">
        <f aca="false">AZ1788-BD1788</f>
        <v>0</v>
      </c>
      <c r="BF1788" s="34" t="n">
        <f aca="false">BD1788*M1788</f>
        <v>4253.2</v>
      </c>
      <c r="BG1788" s="35" t="n">
        <f aca="false">BA1788-BF1788</f>
        <v>-0.199999999999818</v>
      </c>
      <c r="BH1788" s="19" t="str">
        <f aca="false">IF(BG1788=0,"",IF(BG1788&lt;&gt;BA1788,"erreur de calcul",IF(BD1788&lt;&gt;0,"pas de prix",IF(M1788&lt;&gt; 0,"pas de quantité","pas de prix, ni de quantité"))))</f>
        <v>erreur de calcul</v>
      </c>
      <c r="BI1788" s="19"/>
    </row>
    <row r="1789" customFormat="false" ht="15" hidden="false" customHeight="false" outlineLevel="0" collapsed="false">
      <c r="A1789" s="0" t="n">
        <v>32</v>
      </c>
      <c r="B1789" s="8" t="s">
        <v>24</v>
      </c>
      <c r="C1789" s="9" t="s">
        <v>25</v>
      </c>
      <c r="D1789" s="9" t="s">
        <v>26</v>
      </c>
      <c r="E1789" s="10" t="n">
        <v>1789</v>
      </c>
      <c r="F1789" s="9" t="s">
        <v>27</v>
      </c>
      <c r="G1789" s="9" t="s">
        <v>27</v>
      </c>
      <c r="H1789" s="11" t="n">
        <v>18</v>
      </c>
      <c r="I1789" s="11" t="s">
        <v>105</v>
      </c>
      <c r="J1789" s="14" t="n">
        <v>570</v>
      </c>
      <c r="K1789" s="14"/>
      <c r="L1789" s="16"/>
      <c r="M1789" s="27" t="n">
        <f aca="false">J1789+(K1789/20)+(L1789/240)</f>
        <v>570</v>
      </c>
      <c r="N1789" s="17" t="s">
        <v>64</v>
      </c>
      <c r="O1789" s="11"/>
      <c r="P1789" s="28"/>
      <c r="Q1789" s="28" t="n">
        <f aca="false">P1789*$M1789</f>
        <v>0</v>
      </c>
      <c r="R1789" s="28"/>
      <c r="S1789" s="28" t="n">
        <f aca="false">R1789*$M1789</f>
        <v>0</v>
      </c>
      <c r="T1789" s="28" t="n">
        <f aca="false">7423/100</f>
        <v>74.23</v>
      </c>
      <c r="U1789" s="28" t="n">
        <v>42311</v>
      </c>
      <c r="V1789" s="28" t="n">
        <f aca="false">798/100</f>
        <v>7.98</v>
      </c>
      <c r="W1789" s="28" t="n">
        <v>4549</v>
      </c>
      <c r="X1789" s="29" t="n">
        <f aca="false">2068/100</f>
        <v>20.68</v>
      </c>
      <c r="Y1789" s="28" t="n">
        <v>8368</v>
      </c>
      <c r="Z1789" s="28"/>
      <c r="AA1789" s="28" t="n">
        <f aca="false">Z1789*$M1789</f>
        <v>0</v>
      </c>
      <c r="AB1789" s="28" t="n">
        <f aca="false">226/100</f>
        <v>2.26</v>
      </c>
      <c r="AC1789" s="28" t="n">
        <v>1288</v>
      </c>
      <c r="AD1789" s="28"/>
      <c r="AE1789" s="28" t="n">
        <f aca="false">AD1789*$M1789</f>
        <v>0</v>
      </c>
      <c r="AF1789" s="28"/>
      <c r="AG1789" s="28" t="n">
        <f aca="false">AF1789*$M1789</f>
        <v>0</v>
      </c>
      <c r="AH1789" s="28"/>
      <c r="AI1789" s="28" t="n">
        <f aca="false">AH1789*$M1789</f>
        <v>0</v>
      </c>
      <c r="AJ1789" s="28"/>
      <c r="AK1789" s="28" t="n">
        <f aca="false">AJ1789*$M1789</f>
        <v>0</v>
      </c>
      <c r="AL1789" s="28"/>
      <c r="AM1789" s="28" t="n">
        <f aca="false">AL1789*$M1789</f>
        <v>0</v>
      </c>
      <c r="AN1789" s="28"/>
      <c r="AO1789" s="28" t="n">
        <f aca="false">AN1789*$M1789</f>
        <v>0</v>
      </c>
      <c r="AP1789" s="28"/>
      <c r="AQ1789" s="28" t="n">
        <f aca="false">AP1789*$M1789</f>
        <v>0</v>
      </c>
      <c r="AR1789" s="28"/>
      <c r="AS1789" s="28" t="n">
        <f aca="false">AR1789*$M1789</f>
        <v>0</v>
      </c>
      <c r="AT1789" s="28"/>
      <c r="AU1789" s="28" t="n">
        <f aca="false">AT1789*$M1789</f>
        <v>0</v>
      </c>
      <c r="AV1789" s="28"/>
      <c r="AW1789" s="28" t="n">
        <f aca="false">AV1789*$M1789</f>
        <v>0</v>
      </c>
      <c r="AX1789" s="28"/>
      <c r="AY1789" s="28" t="n">
        <f aca="false">AX1789*$M1789</f>
        <v>0</v>
      </c>
      <c r="AZ1789" s="30" t="n">
        <f aca="false">10515/100</f>
        <v>105.15</v>
      </c>
      <c r="BA1789" s="11" t="n">
        <v>56516</v>
      </c>
      <c r="BB1789" s="31" t="n">
        <f aca="false">SUM(Q1789,S1789,U1789,W1789,Y1789,AA1789,AC1789,AE1789,AG1789,AI1789,AK1789,AM1789,AO1789,AQ1789,AS1789,AU1789,AW1789,AY1789)</f>
        <v>56516</v>
      </c>
      <c r="BC1789" s="28" t="n">
        <f aca="false">BA1789-BB1789</f>
        <v>0</v>
      </c>
      <c r="BD1789" s="32" t="n">
        <f aca="false">SUM(P1789,R1789,T1789,V1789,X1789,Z1789,AB1789,AD1789,AF1789,AH1789,AJ1789,AL1789,AN1789,AP1789,AR1789,AT1789,AV1789,AX1789)</f>
        <v>105.15</v>
      </c>
      <c r="BE1789" s="33" t="n">
        <f aca="false">AZ1789-BD1789</f>
        <v>0</v>
      </c>
      <c r="BF1789" s="34" t="n">
        <f aca="false">BD1789*M1789</f>
        <v>59935.5</v>
      </c>
      <c r="BG1789" s="35" t="n">
        <f aca="false">BA1789-BF1789</f>
        <v>-3419.5</v>
      </c>
      <c r="BH1789" s="19" t="str">
        <f aca="false">IF(BG1789=0,"",IF(BG1789&lt;&gt;BA1789,"erreur de calcul",IF(BD1789&lt;&gt;0,"pas de prix",IF(M1789&lt;&gt; 0,"pas de quantité","pas de prix, ni de quantité"))))</f>
        <v>erreur de calcul</v>
      </c>
      <c r="BI1789" s="19"/>
    </row>
    <row r="1790" customFormat="false" ht="15" hidden="false" customHeight="false" outlineLevel="0" collapsed="false">
      <c r="A1790" s="0" t="n">
        <v>33</v>
      </c>
      <c r="B1790" s="8" t="s">
        <v>24</v>
      </c>
      <c r="C1790" s="9" t="s">
        <v>25</v>
      </c>
      <c r="D1790" s="9" t="s">
        <v>26</v>
      </c>
      <c r="E1790" s="10" t="n">
        <v>1789</v>
      </c>
      <c r="F1790" s="9" t="s">
        <v>27</v>
      </c>
      <c r="G1790" s="9" t="s">
        <v>27</v>
      </c>
      <c r="H1790" s="11" t="n">
        <v>18</v>
      </c>
      <c r="I1790" s="11" t="s">
        <v>106</v>
      </c>
      <c r="J1790" s="14"/>
      <c r="K1790" s="14" t="n">
        <v>40</v>
      </c>
      <c r="L1790" s="16"/>
      <c r="M1790" s="27" t="n">
        <f aca="false">J1790+(K1790/20)+(L1790/240)</f>
        <v>2</v>
      </c>
      <c r="N1790" s="17" t="s">
        <v>66</v>
      </c>
      <c r="O1790" s="11"/>
      <c r="P1790" s="28"/>
      <c r="Q1790" s="28" t="n">
        <f aca="false">P1790*$M1790</f>
        <v>0</v>
      </c>
      <c r="R1790" s="28"/>
      <c r="S1790" s="28" t="n">
        <f aca="false">R1790*$M1790</f>
        <v>0</v>
      </c>
      <c r="T1790" s="28"/>
      <c r="U1790" s="28" t="n">
        <f aca="false">T1790*$M1790</f>
        <v>0</v>
      </c>
      <c r="V1790" s="28" t="n">
        <v>892</v>
      </c>
      <c r="W1790" s="28" t="n">
        <v>1784</v>
      </c>
      <c r="X1790" s="29"/>
      <c r="Y1790" s="28" t="n">
        <f aca="false">X1790*$M1790</f>
        <v>0</v>
      </c>
      <c r="Z1790" s="28"/>
      <c r="AA1790" s="28" t="n">
        <f aca="false">Z1790*$M1790</f>
        <v>0</v>
      </c>
      <c r="AB1790" s="28"/>
      <c r="AC1790" s="28" t="n">
        <f aca="false">AB1790*$M1790</f>
        <v>0</v>
      </c>
      <c r="AD1790" s="28"/>
      <c r="AE1790" s="28" t="n">
        <f aca="false">AD1790*$M1790</f>
        <v>0</v>
      </c>
      <c r="AF1790" s="28"/>
      <c r="AG1790" s="28" t="n">
        <f aca="false">AF1790*$M1790</f>
        <v>0</v>
      </c>
      <c r="AH1790" s="28" t="n">
        <v>1961</v>
      </c>
      <c r="AI1790" s="28" t="n">
        <v>3922</v>
      </c>
      <c r="AJ1790" s="28"/>
      <c r="AK1790" s="28" t="n">
        <f aca="false">AJ1790*$M1790</f>
        <v>0</v>
      </c>
      <c r="AL1790" s="28"/>
      <c r="AM1790" s="28" t="n">
        <f aca="false">AL1790*$M1790</f>
        <v>0</v>
      </c>
      <c r="AN1790" s="28"/>
      <c r="AO1790" s="28" t="n">
        <f aca="false">AN1790*$M1790</f>
        <v>0</v>
      </c>
      <c r="AP1790" s="28"/>
      <c r="AQ1790" s="28" t="n">
        <f aca="false">AP1790*$M1790</f>
        <v>0</v>
      </c>
      <c r="AR1790" s="28"/>
      <c r="AS1790" s="28" t="n">
        <f aca="false">AR1790*$M1790</f>
        <v>0</v>
      </c>
      <c r="AT1790" s="28"/>
      <c r="AU1790" s="28" t="n">
        <f aca="false">AT1790*$M1790</f>
        <v>0</v>
      </c>
      <c r="AV1790" s="28"/>
      <c r="AW1790" s="28" t="n">
        <f aca="false">AV1790*$M1790</f>
        <v>0</v>
      </c>
      <c r="AX1790" s="28"/>
      <c r="AY1790" s="28" t="n">
        <f aca="false">AX1790*$M1790</f>
        <v>0</v>
      </c>
      <c r="AZ1790" s="30" t="n">
        <v>2853</v>
      </c>
      <c r="BA1790" s="11" t="n">
        <v>5706</v>
      </c>
      <c r="BB1790" s="31" t="n">
        <f aca="false">SUM(Q1790,S1790,U1790,W1790,Y1790,AA1790,AC1790,AE1790,AG1790,AI1790,AK1790,AM1790,AO1790,AQ1790,AS1790,AU1790,AW1790,AY1790)</f>
        <v>5706</v>
      </c>
      <c r="BC1790" s="28" t="n">
        <f aca="false">BA1790-BB1790</f>
        <v>0</v>
      </c>
      <c r="BD1790" s="32" t="n">
        <f aca="false">SUM(P1790,R1790,T1790,V1790,X1790,Z1790,AB1790,AD1790,AF1790,AH1790,AJ1790,AL1790,AN1790,AP1790,AR1790,AT1790,AV1790,AX1790)</f>
        <v>2853</v>
      </c>
      <c r="BE1790" s="33" t="n">
        <f aca="false">AZ1790-BD1790</f>
        <v>0</v>
      </c>
      <c r="BF1790" s="34" t="n">
        <f aca="false">BD1790*M1790</f>
        <v>5706</v>
      </c>
      <c r="BG1790" s="35" t="n">
        <f aca="false">BA1790-BF1790</f>
        <v>0</v>
      </c>
      <c r="BH1790" s="19" t="str">
        <f aca="false">IF(BG1790=0,"",IF(BG1790&lt;&gt;BA1790,"erreur de calcul",IF(BD1790&lt;&gt;0,"pas de prix",IF(M1790&lt;&gt; 0,"pas de quantité","pas de prix, ni de quantité"))))</f>
        <v/>
      </c>
      <c r="BI1790" s="19"/>
    </row>
    <row r="1791" customFormat="false" ht="15" hidden="false" customHeight="false" outlineLevel="0" collapsed="false">
      <c r="A1791" s="0" t="n">
        <v>34</v>
      </c>
      <c r="B1791" s="8" t="s">
        <v>24</v>
      </c>
      <c r="C1791" s="9" t="s">
        <v>25</v>
      </c>
      <c r="D1791" s="9" t="s">
        <v>26</v>
      </c>
      <c r="E1791" s="10" t="n">
        <v>1789</v>
      </c>
      <c r="F1791" s="9" t="s">
        <v>27</v>
      </c>
      <c r="G1791" s="9" t="s">
        <v>27</v>
      </c>
      <c r="H1791" s="11" t="n">
        <v>18</v>
      </c>
      <c r="I1791" s="11" t="s">
        <v>107</v>
      </c>
      <c r="J1791" s="14" t="n">
        <v>180</v>
      </c>
      <c r="K1791" s="14"/>
      <c r="L1791" s="16"/>
      <c r="M1791" s="27" t="n">
        <f aca="false">J1791+(K1791/20)+(L1791/240)</f>
        <v>180</v>
      </c>
      <c r="N1791" s="17" t="s">
        <v>64</v>
      </c>
      <c r="O1791" s="11"/>
      <c r="P1791" s="28"/>
      <c r="Q1791" s="28" t="n">
        <f aca="false">P1791*$M1791</f>
        <v>0</v>
      </c>
      <c r="R1791" s="28"/>
      <c r="S1791" s="28" t="n">
        <f aca="false">R1791*$M1791</f>
        <v>0</v>
      </c>
      <c r="T1791" s="28"/>
      <c r="U1791" s="28" t="n">
        <f aca="false">T1791*$M1791</f>
        <v>0</v>
      </c>
      <c r="V1791" s="28"/>
      <c r="W1791" s="28" t="n">
        <f aca="false">V1791*$M1791</f>
        <v>0</v>
      </c>
      <c r="X1791" s="29"/>
      <c r="Y1791" s="28" t="n">
        <f aca="false">X1791*$M1791</f>
        <v>0</v>
      </c>
      <c r="Z1791" s="28"/>
      <c r="AA1791" s="28" t="n">
        <f aca="false">Z1791*$M1791</f>
        <v>0</v>
      </c>
      <c r="AB1791" s="28"/>
      <c r="AC1791" s="28" t="n">
        <f aca="false">AB1791*$M1791</f>
        <v>0</v>
      </c>
      <c r="AD1791" s="28"/>
      <c r="AE1791" s="28" t="n">
        <f aca="false">AD1791*$M1791</f>
        <v>0</v>
      </c>
      <c r="AF1791" s="28"/>
      <c r="AG1791" s="28" t="n">
        <f aca="false">AF1791*$M1791</f>
        <v>0</v>
      </c>
      <c r="AH1791" s="28" t="n">
        <f aca="false">28680/100</f>
        <v>286.8</v>
      </c>
      <c r="AI1791" s="28" t="n">
        <v>51624</v>
      </c>
      <c r="AJ1791" s="28"/>
      <c r="AK1791" s="28" t="n">
        <f aca="false">AJ1791*$M1791</f>
        <v>0</v>
      </c>
      <c r="AL1791" s="28"/>
      <c r="AM1791" s="28" t="n">
        <f aca="false">AL1791*$M1791</f>
        <v>0</v>
      </c>
      <c r="AN1791" s="28"/>
      <c r="AO1791" s="28" t="n">
        <f aca="false">AN1791*$M1791</f>
        <v>0</v>
      </c>
      <c r="AP1791" s="28"/>
      <c r="AQ1791" s="28" t="n">
        <f aca="false">AP1791*$M1791</f>
        <v>0</v>
      </c>
      <c r="AR1791" s="28"/>
      <c r="AS1791" s="28" t="n">
        <f aca="false">AR1791*$M1791</f>
        <v>0</v>
      </c>
      <c r="AT1791" s="28"/>
      <c r="AU1791" s="28" t="n">
        <f aca="false">AT1791*$M1791</f>
        <v>0</v>
      </c>
      <c r="AV1791" s="28"/>
      <c r="AW1791" s="28" t="n">
        <f aca="false">AV1791*$M1791</f>
        <v>0</v>
      </c>
      <c r="AX1791" s="28"/>
      <c r="AY1791" s="28" t="n">
        <f aca="false">AX1791*$M1791</f>
        <v>0</v>
      </c>
      <c r="AZ1791" s="30" t="n">
        <f aca="false">28680/100</f>
        <v>286.8</v>
      </c>
      <c r="BA1791" s="11" t="n">
        <v>51624</v>
      </c>
      <c r="BB1791" s="31" t="n">
        <f aca="false">SUM(Q1791,S1791,U1791,W1791,Y1791,AA1791,AC1791,AE1791,AG1791,AI1791,AK1791,AM1791,AO1791,AQ1791,AS1791,AU1791,AW1791,AY1791)</f>
        <v>51624</v>
      </c>
      <c r="BC1791" s="28" t="n">
        <f aca="false">BA1791-BB1791</f>
        <v>0</v>
      </c>
      <c r="BD1791" s="32" t="n">
        <f aca="false">SUM(P1791,R1791,T1791,V1791,X1791,Z1791,AB1791,AD1791,AF1791,AH1791,AJ1791,AL1791,AN1791,AP1791,AR1791,AT1791,AV1791,AX1791)</f>
        <v>286.8</v>
      </c>
      <c r="BE1791" s="33" t="n">
        <f aca="false">AZ1791-BD1791</f>
        <v>0</v>
      </c>
      <c r="BF1791" s="34" t="n">
        <f aca="false">BD1791*M1791</f>
        <v>51624</v>
      </c>
      <c r="BG1791" s="35" t="n">
        <f aca="false">BA1791-BF1791</f>
        <v>0</v>
      </c>
      <c r="BH1791" s="19" t="str">
        <f aca="false">IF(BG1791=0,"",IF(BG1791&lt;&gt;BA1791,"erreur de calcul",IF(BD1791&lt;&gt;0,"pas de prix",IF(M1791&lt;&gt; 0,"pas de quantité","pas de prix, ni de quantité"))))</f>
        <v/>
      </c>
      <c r="BI1791" s="19"/>
    </row>
    <row r="1792" customFormat="false" ht="15" hidden="false" customHeight="false" outlineLevel="0" collapsed="false">
      <c r="A1792" s="0" t="n">
        <v>35</v>
      </c>
      <c r="B1792" s="8" t="s">
        <v>24</v>
      </c>
      <c r="C1792" s="9" t="s">
        <v>25</v>
      </c>
      <c r="D1792" s="9" t="s">
        <v>26</v>
      </c>
      <c r="E1792" s="10" t="n">
        <v>1789</v>
      </c>
      <c r="F1792" s="9" t="s">
        <v>27</v>
      </c>
      <c r="G1792" s="9" t="s">
        <v>27</v>
      </c>
      <c r="H1792" s="11" t="n">
        <v>18</v>
      </c>
      <c r="I1792" s="11" t="s">
        <v>108</v>
      </c>
      <c r="J1792" s="14" t="n">
        <v>11</v>
      </c>
      <c r="K1792" s="14"/>
      <c r="L1792" s="16"/>
      <c r="M1792" s="27" t="n">
        <f aca="false">J1792+(K1792/20)+(L1792/240)</f>
        <v>11</v>
      </c>
      <c r="N1792" s="17" t="s">
        <v>64</v>
      </c>
      <c r="O1792" s="11" t="s">
        <v>109</v>
      </c>
      <c r="P1792" s="28"/>
      <c r="Q1792" s="28" t="n">
        <f aca="false">P1792*$M1792</f>
        <v>0</v>
      </c>
      <c r="R1792" s="28"/>
      <c r="S1792" s="28" t="n">
        <f aca="false">R1792*$M1792</f>
        <v>0</v>
      </c>
      <c r="T1792" s="28"/>
      <c r="U1792" s="28" t="n">
        <f aca="false">T1792*$M1792</f>
        <v>0</v>
      </c>
      <c r="V1792" s="28"/>
      <c r="W1792" s="28" t="n">
        <f aca="false">V1792*$M1792</f>
        <v>0</v>
      </c>
      <c r="X1792" s="29"/>
      <c r="Y1792" s="28" t="n">
        <f aca="false">X1792*$M1792</f>
        <v>0</v>
      </c>
      <c r="Z1792" s="28"/>
      <c r="AA1792" s="28" t="n">
        <f aca="false">Z1792*$M1792</f>
        <v>0</v>
      </c>
      <c r="AB1792" s="28"/>
      <c r="AC1792" s="28" t="n">
        <f aca="false">AB1792*$M1792</f>
        <v>0</v>
      </c>
      <c r="AD1792" s="28"/>
      <c r="AE1792" s="28" t="n">
        <f aca="false">AD1792*$M1792</f>
        <v>0</v>
      </c>
      <c r="AF1792" s="28"/>
      <c r="AG1792" s="28" t="n">
        <f aca="false">AF1792*$M1792</f>
        <v>0</v>
      </c>
      <c r="AH1792" s="28"/>
      <c r="AI1792" s="28" t="n">
        <f aca="false">AH1792*$M1792</f>
        <v>0</v>
      </c>
      <c r="AJ1792" s="28" t="n">
        <f aca="false">1784/100</f>
        <v>17.84</v>
      </c>
      <c r="AK1792" s="28" t="n">
        <v>196</v>
      </c>
      <c r="AL1792" s="28" t="n">
        <f aca="false">7942/100</f>
        <v>79.42</v>
      </c>
      <c r="AM1792" s="28" t="n">
        <v>874</v>
      </c>
      <c r="AN1792" s="28"/>
      <c r="AO1792" s="28" t="n">
        <f aca="false">AN1792*$M1792</f>
        <v>0</v>
      </c>
      <c r="AP1792" s="28" t="n">
        <f aca="false">13980/100</f>
        <v>139.8</v>
      </c>
      <c r="AQ1792" s="28" t="n">
        <v>1538</v>
      </c>
      <c r="AR1792" s="28" t="n">
        <f aca="false">96390/100</f>
        <v>963.9</v>
      </c>
      <c r="AS1792" s="28" t="n">
        <v>10603</v>
      </c>
      <c r="AT1792" s="28"/>
      <c r="AU1792" s="28" t="n">
        <f aca="false">AT1792*$M1792</f>
        <v>0</v>
      </c>
      <c r="AV1792" s="28"/>
      <c r="AW1792" s="28" t="n">
        <f aca="false">AV1792*$M1792</f>
        <v>0</v>
      </c>
      <c r="AX1792" s="28"/>
      <c r="AY1792" s="28" t="n">
        <f aca="false">AX1792*$M1792</f>
        <v>0</v>
      </c>
      <c r="AZ1792" s="30" t="n">
        <f aca="false">120096/100</f>
        <v>1200.96</v>
      </c>
      <c r="BA1792" s="11" t="n">
        <v>13211</v>
      </c>
      <c r="BB1792" s="31" t="n">
        <f aca="false">SUM(Q1792,S1792,U1792,W1792,Y1792,AA1792,AC1792,AE1792,AG1792,AI1792,AK1792,AM1792,AO1792,AQ1792,AS1792,AU1792,AW1792,AY1792)</f>
        <v>13211</v>
      </c>
      <c r="BC1792" s="28" t="n">
        <f aca="false">BA1792-BB1792</f>
        <v>0</v>
      </c>
      <c r="BD1792" s="32" t="n">
        <f aca="false">SUM(P1792,R1792,T1792,V1792,X1792,Z1792,AB1792,AD1792,AF1792,AH1792,AJ1792,AL1792,AN1792,AP1792,AR1792,AT1792,AV1792,AX1792)</f>
        <v>1200.96</v>
      </c>
      <c r="BE1792" s="33" t="n">
        <f aca="false">AZ1792-BD1792</f>
        <v>0</v>
      </c>
      <c r="BF1792" s="34" t="n">
        <f aca="false">BD1792*M1792</f>
        <v>13210.56</v>
      </c>
      <c r="BG1792" s="35" t="n">
        <f aca="false">BA1792-BF1792</f>
        <v>0.43999999999869</v>
      </c>
      <c r="BH1792" s="19" t="str">
        <f aca="false">IF(BG1792=0,"",IF(BG1792&lt;&gt;BA1792,"erreur de calcul",IF(BD1792&lt;&gt;0,"pas de prix",IF(M1792&lt;&gt; 0,"pas de quantité","pas de prix, ni de quantité"))))</f>
        <v>erreur de calcul</v>
      </c>
      <c r="BI1792" s="19"/>
    </row>
    <row r="1793" customFormat="false" ht="15" hidden="false" customHeight="false" outlineLevel="0" collapsed="false">
      <c r="A1793" s="0" t="n">
        <v>36</v>
      </c>
      <c r="B1793" s="8" t="s">
        <v>24</v>
      </c>
      <c r="C1793" s="9" t="s">
        <v>25</v>
      </c>
      <c r="D1793" s="9" t="s">
        <v>26</v>
      </c>
      <c r="E1793" s="10" t="n">
        <v>1789</v>
      </c>
      <c r="F1793" s="9" t="s">
        <v>27</v>
      </c>
      <c r="G1793" s="9" t="s">
        <v>27</v>
      </c>
      <c r="H1793" s="11" t="n">
        <v>18</v>
      </c>
      <c r="I1793" s="11" t="s">
        <v>110</v>
      </c>
      <c r="J1793" s="14" t="n">
        <v>12</v>
      </c>
      <c r="K1793" s="14"/>
      <c r="L1793" s="16"/>
      <c r="M1793" s="27" t="n">
        <f aca="false">J1793+(K1793/20)+(L1793/240)</f>
        <v>12</v>
      </c>
      <c r="N1793" s="17" t="s">
        <v>64</v>
      </c>
      <c r="O1793" s="11" t="s">
        <v>109</v>
      </c>
      <c r="P1793" s="28" t="n">
        <f aca="false">30663/100</f>
        <v>306.63</v>
      </c>
      <c r="Q1793" s="28" t="n">
        <v>3679</v>
      </c>
      <c r="R1793" s="28"/>
      <c r="S1793" s="28" t="n">
        <f aca="false">R1793*$M1793</f>
        <v>0</v>
      </c>
      <c r="T1793" s="28"/>
      <c r="U1793" s="28" t="n">
        <f aca="false">T1793*$M1793</f>
        <v>0</v>
      </c>
      <c r="V1793" s="28"/>
      <c r="W1793" s="28" t="n">
        <f aca="false">V1793*$M1793</f>
        <v>0</v>
      </c>
      <c r="X1793" s="29"/>
      <c r="Y1793" s="28" t="n">
        <f aca="false">X1793*$M1793</f>
        <v>0</v>
      </c>
      <c r="Z1793" s="28"/>
      <c r="AA1793" s="28" t="n">
        <f aca="false">Z1793*$M1793</f>
        <v>0</v>
      </c>
      <c r="AB1793" s="28"/>
      <c r="AC1793" s="28" t="n">
        <f aca="false">AB1793*$M1793</f>
        <v>0</v>
      </c>
      <c r="AD1793" s="28"/>
      <c r="AE1793" s="28" t="n">
        <f aca="false">AD1793*$M1793</f>
        <v>0</v>
      </c>
      <c r="AF1793" s="28"/>
      <c r="AG1793" s="28" t="n">
        <f aca="false">AF1793*$M1793</f>
        <v>0</v>
      </c>
      <c r="AH1793" s="28"/>
      <c r="AI1793" s="28" t="n">
        <f aca="false">AH1793*$M1793</f>
        <v>0</v>
      </c>
      <c r="AJ1793" s="28"/>
      <c r="AK1793" s="28" t="n">
        <f aca="false">AJ1793*$M1793</f>
        <v>0</v>
      </c>
      <c r="AL1793" s="28" t="n">
        <f aca="false">114207/100</f>
        <v>1142.07</v>
      </c>
      <c r="AM1793" s="28" t="n">
        <v>13705</v>
      </c>
      <c r="AN1793" s="28" t="n">
        <f aca="false">2100/100</f>
        <v>21</v>
      </c>
      <c r="AO1793" s="28" t="n">
        <v>252</v>
      </c>
      <c r="AP1793" s="28" t="n">
        <f aca="false">16107/100</f>
        <v>161.07</v>
      </c>
      <c r="AQ1793" s="28" t="n">
        <v>1933</v>
      </c>
      <c r="AR1793" s="28" t="n">
        <f aca="false">553069/100</f>
        <v>5530.69</v>
      </c>
      <c r="AS1793" s="28" t="n">
        <v>66368</v>
      </c>
      <c r="AT1793" s="28" t="n">
        <f aca="false">6160/100</f>
        <v>61.6</v>
      </c>
      <c r="AU1793" s="28" t="n">
        <v>739</v>
      </c>
      <c r="AV1793" s="28" t="n">
        <f aca="false">2640/100</f>
        <v>26.4</v>
      </c>
      <c r="AW1793" s="28" t="n">
        <v>317</v>
      </c>
      <c r="AX1793" s="28" t="n">
        <f aca="false">8767/100</f>
        <v>87.67</v>
      </c>
      <c r="AY1793" s="36" t="n">
        <v>1085</v>
      </c>
      <c r="AZ1793" s="30" t="n">
        <f aca="false">733753/100</f>
        <v>7337.53</v>
      </c>
      <c r="BA1793" s="11" t="n">
        <v>88078</v>
      </c>
      <c r="BB1793" s="31" t="n">
        <f aca="false">SUM(Q1793,S1793,U1793,W1793,Y1793,AA1793,AC1793,AE1793,AG1793,AI1793,AK1793,AM1793,AO1793,AQ1793,AS1793,AU1793,AW1793,AY1793)</f>
        <v>88078</v>
      </c>
      <c r="BC1793" s="28" t="n">
        <f aca="false">BA1793-BB1793</f>
        <v>0</v>
      </c>
      <c r="BD1793" s="32" t="n">
        <f aca="false">SUM(P1793,R1793,T1793,V1793,X1793,Z1793,AB1793,AD1793,AF1793,AH1793,AJ1793,AL1793,AN1793,AP1793,AR1793,AT1793,AV1793,AX1793)</f>
        <v>7337.13</v>
      </c>
      <c r="BE1793" s="33" t="n">
        <f aca="false">AZ1793-BD1793</f>
        <v>0.400000000000546</v>
      </c>
      <c r="BF1793" s="34" t="n">
        <f aca="false">BD1793*M1793</f>
        <v>88045.56</v>
      </c>
      <c r="BG1793" s="35" t="n">
        <f aca="false">BA1793-BF1793</f>
        <v>32.4400000000023</v>
      </c>
      <c r="BH1793" s="19" t="str">
        <f aca="false">IF(BG1793=0,"",IF(BG1793&lt;&gt;BA1793,"erreur de calcul",IF(BD1793&lt;&gt;0,"pas de prix",IF(M1793&lt;&gt; 0,"pas de quantité","pas de prix, ni de quantité"))))</f>
        <v>erreur de calcul</v>
      </c>
      <c r="BI1793" s="19"/>
    </row>
    <row r="1794" customFormat="false" ht="15" hidden="false" customHeight="false" outlineLevel="0" collapsed="false">
      <c r="A1794" s="0" t="n">
        <v>37</v>
      </c>
      <c r="B1794" s="8" t="s">
        <v>24</v>
      </c>
      <c r="C1794" s="9" t="s">
        <v>25</v>
      </c>
      <c r="D1794" s="9" t="s">
        <v>26</v>
      </c>
      <c r="E1794" s="10" t="n">
        <v>1789</v>
      </c>
      <c r="F1794" s="9" t="s">
        <v>27</v>
      </c>
      <c r="G1794" s="9" t="s">
        <v>27</v>
      </c>
      <c r="H1794" s="11" t="n">
        <v>18</v>
      </c>
      <c r="I1794" s="11" t="s">
        <v>111</v>
      </c>
      <c r="J1794" s="14" t="n">
        <v>10</v>
      </c>
      <c r="K1794" s="14"/>
      <c r="L1794" s="16"/>
      <c r="M1794" s="27" t="n">
        <f aca="false">J1794+(K1794/20)+(L1794/240)</f>
        <v>10</v>
      </c>
      <c r="N1794" s="17" t="s">
        <v>64</v>
      </c>
      <c r="O1794" s="11"/>
      <c r="P1794" s="28"/>
      <c r="Q1794" s="28" t="n">
        <f aca="false">P1794*$M1794</f>
        <v>0</v>
      </c>
      <c r="R1794" s="28"/>
      <c r="S1794" s="28" t="n">
        <f aca="false">R1794*$M1794</f>
        <v>0</v>
      </c>
      <c r="T1794" s="28"/>
      <c r="U1794" s="28" t="n">
        <f aca="false">T1794*$M1794</f>
        <v>0</v>
      </c>
      <c r="V1794" s="28"/>
      <c r="W1794" s="28" t="n">
        <f aca="false">V1794*$M1794</f>
        <v>0</v>
      </c>
      <c r="X1794" s="29"/>
      <c r="Y1794" s="28" t="n">
        <f aca="false">X1794*$M1794</f>
        <v>0</v>
      </c>
      <c r="Z1794" s="28"/>
      <c r="AA1794" s="28" t="n">
        <f aca="false">Z1794*$M1794</f>
        <v>0</v>
      </c>
      <c r="AB1794" s="28"/>
      <c r="AC1794" s="28" t="n">
        <f aca="false">AB1794*$M1794</f>
        <v>0</v>
      </c>
      <c r="AD1794" s="28"/>
      <c r="AE1794" s="28" t="n">
        <f aca="false">AD1794*$M1794</f>
        <v>0</v>
      </c>
      <c r="AF1794" s="28"/>
      <c r="AG1794" s="28" t="n">
        <f aca="false">AF1794*$M1794</f>
        <v>0</v>
      </c>
      <c r="AH1794" s="28"/>
      <c r="AI1794" s="28" t="n">
        <f aca="false">AH1794*$M1794</f>
        <v>0</v>
      </c>
      <c r="AJ1794" s="28"/>
      <c r="AK1794" s="28" t="n">
        <f aca="false">AJ1794*$M1794</f>
        <v>0</v>
      </c>
      <c r="AL1794" s="28"/>
      <c r="AM1794" s="28" t="n">
        <f aca="false">AL1794*$M1794</f>
        <v>0</v>
      </c>
      <c r="AN1794" s="28"/>
      <c r="AO1794" s="28" t="n">
        <f aca="false">AN1794*$M1794</f>
        <v>0</v>
      </c>
      <c r="AP1794" s="28"/>
      <c r="AQ1794" s="28" t="n">
        <f aca="false">AP1794*$M1794</f>
        <v>0</v>
      </c>
      <c r="AR1794" s="28"/>
      <c r="AS1794" s="28" t="n">
        <f aca="false">AR1794*$M1794</f>
        <v>0</v>
      </c>
      <c r="AT1794" s="28"/>
      <c r="AU1794" s="28" t="n">
        <f aca="false">AT1794*$M1794</f>
        <v>0</v>
      </c>
      <c r="AV1794" s="28"/>
      <c r="AW1794" s="28" t="n">
        <f aca="false">AV1794*$M1794</f>
        <v>0</v>
      </c>
      <c r="AX1794" s="28" t="n">
        <f aca="false">16133/100</f>
        <v>161.33</v>
      </c>
      <c r="AY1794" s="28" t="n">
        <v>1613</v>
      </c>
      <c r="AZ1794" s="30"/>
      <c r="BA1794" s="11" t="n">
        <v>1613</v>
      </c>
      <c r="BB1794" s="31" t="n">
        <f aca="false">SUM(Q1794,S1794,U1794,W1794,Y1794,AA1794,AC1794,AE1794,AG1794,AI1794,AK1794,AM1794,AO1794,AQ1794,AS1794,AU1794,AW1794,AY1794)</f>
        <v>1613</v>
      </c>
      <c r="BC1794" s="28" t="n">
        <f aca="false">BA1794-BB1794</f>
        <v>0</v>
      </c>
      <c r="BD1794" s="32" t="n">
        <f aca="false">SUM(P1794,R1794,T1794,V1794,X1794,Z1794,AB1794,AD1794,AF1794,AH1794,AJ1794,AL1794,AN1794,AP1794,AR1794,AT1794,AV1794,AX1794)</f>
        <v>161.33</v>
      </c>
      <c r="BE1794" s="33" t="n">
        <f aca="false">AZ1794-BD1794</f>
        <v>-161.33</v>
      </c>
      <c r="BF1794" s="34" t="n">
        <f aca="false">BD1794*M1794</f>
        <v>1613.3</v>
      </c>
      <c r="BG1794" s="35" t="n">
        <f aca="false">BA1794-BF1794</f>
        <v>-0.300000000000182</v>
      </c>
      <c r="BH1794" s="19" t="str">
        <f aca="false">IF(BG1794=0,"",IF(BG1794&lt;&gt;BA1794,"erreur de calcul",IF(BD1794&lt;&gt;0,"pas de prix",IF(M1794&lt;&gt; 0,"pas de quantité","pas de prix, ni de quantité"))))</f>
        <v>erreur de calcul</v>
      </c>
      <c r="BI1794" s="19"/>
    </row>
    <row r="1795" customFormat="false" ht="15" hidden="false" customHeight="false" outlineLevel="0" collapsed="false">
      <c r="A1795" s="0" t="n">
        <v>38</v>
      </c>
      <c r="B1795" s="8" t="s">
        <v>24</v>
      </c>
      <c r="C1795" s="9" t="s">
        <v>25</v>
      </c>
      <c r="D1795" s="9" t="s">
        <v>26</v>
      </c>
      <c r="E1795" s="10" t="n">
        <v>1789</v>
      </c>
      <c r="F1795" s="9" t="s">
        <v>27</v>
      </c>
      <c r="G1795" s="9" t="s">
        <v>27</v>
      </c>
      <c r="H1795" s="11" t="n">
        <v>18</v>
      </c>
      <c r="I1795" s="11" t="s">
        <v>112</v>
      </c>
      <c r="J1795" s="14" t="n">
        <v>100</v>
      </c>
      <c r="K1795" s="14"/>
      <c r="L1795" s="16"/>
      <c r="M1795" s="27" t="n">
        <f aca="false">J1795+(K1795/20)+(L1795/240)</f>
        <v>100</v>
      </c>
      <c r="N1795" s="17" t="s">
        <v>64</v>
      </c>
      <c r="O1795" s="11"/>
      <c r="P1795" s="28" t="n">
        <f aca="false">69730/100</f>
        <v>697.3</v>
      </c>
      <c r="Q1795" s="28" t="n">
        <v>69730</v>
      </c>
      <c r="R1795" s="28"/>
      <c r="S1795" s="28" t="n">
        <f aca="false">R1795*$M1795</f>
        <v>0</v>
      </c>
      <c r="T1795" s="28"/>
      <c r="U1795" s="28" t="n">
        <f aca="false">T1795*$M1795</f>
        <v>0</v>
      </c>
      <c r="V1795" s="28"/>
      <c r="W1795" s="28" t="n">
        <f aca="false">V1795*$M1795</f>
        <v>0</v>
      </c>
      <c r="X1795" s="29"/>
      <c r="Y1795" s="28" t="n">
        <f aca="false">X1795*$M1795</f>
        <v>0</v>
      </c>
      <c r="Z1795" s="28"/>
      <c r="AA1795" s="28" t="n">
        <f aca="false">Z1795*$M1795</f>
        <v>0</v>
      </c>
      <c r="AB1795" s="28"/>
      <c r="AC1795" s="28" t="n">
        <f aca="false">AB1795*$M1795</f>
        <v>0</v>
      </c>
      <c r="AD1795" s="28"/>
      <c r="AE1795" s="28" t="n">
        <f aca="false">AD1795*$M1795</f>
        <v>0</v>
      </c>
      <c r="AF1795" s="28"/>
      <c r="AG1795" s="28" t="n">
        <f aca="false">AF1795*$M1795</f>
        <v>0</v>
      </c>
      <c r="AH1795" s="28"/>
      <c r="AI1795" s="28" t="n">
        <f aca="false">AH1795*$M1795</f>
        <v>0</v>
      </c>
      <c r="AJ1795" s="28"/>
      <c r="AK1795" s="28" t="n">
        <f aca="false">AJ1795*$M1795</f>
        <v>0</v>
      </c>
      <c r="AL1795" s="28"/>
      <c r="AM1795" s="28" t="n">
        <f aca="false">AL1795*$M1795</f>
        <v>0</v>
      </c>
      <c r="AN1795" s="28"/>
      <c r="AO1795" s="28" t="n">
        <f aca="false">AN1795*$M1795</f>
        <v>0</v>
      </c>
      <c r="AP1795" s="28"/>
      <c r="AQ1795" s="28" t="n">
        <f aca="false">AP1795*$M1795</f>
        <v>0</v>
      </c>
      <c r="AR1795" s="28"/>
      <c r="AS1795" s="28" t="n">
        <f aca="false">AR1795*$M1795</f>
        <v>0</v>
      </c>
      <c r="AT1795" s="28"/>
      <c r="AU1795" s="28" t="n">
        <f aca="false">AT1795*$M1795</f>
        <v>0</v>
      </c>
      <c r="AV1795" s="28"/>
      <c r="AW1795" s="28" t="n">
        <f aca="false">AV1795*$M1795</f>
        <v>0</v>
      </c>
      <c r="AX1795" s="28"/>
      <c r="AY1795" s="28" t="n">
        <f aca="false">AX1795*$M1795</f>
        <v>0</v>
      </c>
      <c r="AZ1795" s="30" t="n">
        <f aca="false">69730/100</f>
        <v>697.3</v>
      </c>
      <c r="BA1795" s="11" t="n">
        <v>69730</v>
      </c>
      <c r="BB1795" s="31" t="n">
        <f aca="false">SUM(Q1795,S1795,U1795,W1795,Y1795,AA1795,AC1795,AE1795,AG1795,AI1795,AK1795,AM1795,AO1795,AQ1795,AS1795,AU1795,AW1795,AY1795)</f>
        <v>69730</v>
      </c>
      <c r="BC1795" s="28" t="n">
        <f aca="false">BA1795-BB1795</f>
        <v>0</v>
      </c>
      <c r="BD1795" s="32" t="n">
        <f aca="false">SUM(P1795,R1795,T1795,V1795,X1795,Z1795,AB1795,AD1795,AF1795,AH1795,AJ1795,AL1795,AN1795,AP1795,AR1795,AT1795,AV1795,AX1795)</f>
        <v>697.3</v>
      </c>
      <c r="BE1795" s="33" t="n">
        <f aca="false">AZ1795-BD1795</f>
        <v>0</v>
      </c>
      <c r="BF1795" s="34" t="n">
        <f aca="false">BD1795*M1795</f>
        <v>69730</v>
      </c>
      <c r="BG1795" s="35" t="n">
        <f aca="false">BA1795-BF1795</f>
        <v>0</v>
      </c>
      <c r="BH1795" s="19" t="str">
        <f aca="false">IF(BG1795=0,"",IF(BG1795&lt;&gt;BA1795,"erreur de calcul",IF(BD1795&lt;&gt;0,"pas de prix",IF(M1795&lt;&gt; 0,"pas de quantité","pas de prix, ni de quantité"))))</f>
        <v/>
      </c>
      <c r="BI1795" s="19" t="s">
        <v>113</v>
      </c>
    </row>
    <row r="1796" customFormat="false" ht="15" hidden="false" customHeight="false" outlineLevel="0" collapsed="false">
      <c r="A1796" s="0" t="n">
        <v>39</v>
      </c>
      <c r="B1796" s="8" t="s">
        <v>24</v>
      </c>
      <c r="C1796" s="9" t="s">
        <v>25</v>
      </c>
      <c r="D1796" s="9" t="s">
        <v>26</v>
      </c>
      <c r="E1796" s="10" t="n">
        <v>1789</v>
      </c>
      <c r="F1796" s="9" t="s">
        <v>27</v>
      </c>
      <c r="G1796" s="9" t="s">
        <v>27</v>
      </c>
      <c r="H1796" s="11" t="n">
        <v>18</v>
      </c>
      <c r="I1796" s="11" t="s">
        <v>112</v>
      </c>
      <c r="J1796" s="14" t="n">
        <v>50</v>
      </c>
      <c r="K1796" s="14"/>
      <c r="L1796" s="16"/>
      <c r="M1796" s="27" t="n">
        <f aca="false">J1796+(K1796/20)+(L1796/240)</f>
        <v>50</v>
      </c>
      <c r="N1796" s="17" t="s">
        <v>64</v>
      </c>
      <c r="O1796" s="11"/>
      <c r="P1796" s="28"/>
      <c r="Q1796" s="28" t="n">
        <f aca="false">P1796*$M1796</f>
        <v>0</v>
      </c>
      <c r="R1796" s="28"/>
      <c r="S1796" s="28" t="n">
        <f aca="false">R1796*$M1796</f>
        <v>0</v>
      </c>
      <c r="T1796" s="28"/>
      <c r="U1796" s="28" t="n">
        <f aca="false">T1796*$M1796</f>
        <v>0</v>
      </c>
      <c r="V1796" s="28" t="n">
        <f aca="false">38043/100</f>
        <v>380.43</v>
      </c>
      <c r="W1796" s="28" t="n">
        <v>19021</v>
      </c>
      <c r="X1796" s="29" t="n">
        <f aca="false">10658/100</f>
        <v>106.58</v>
      </c>
      <c r="Y1796" s="28" t="n">
        <v>5329</v>
      </c>
      <c r="Z1796" s="28"/>
      <c r="AA1796" s="28" t="n">
        <f aca="false">Z1796*$M1796</f>
        <v>0</v>
      </c>
      <c r="AB1796" s="28"/>
      <c r="AC1796" s="28" t="n">
        <f aca="false">AB1796*$M1796</f>
        <v>0</v>
      </c>
      <c r="AD1796" s="28"/>
      <c r="AE1796" s="28" t="n">
        <f aca="false">AD1796*$M1796</f>
        <v>0</v>
      </c>
      <c r="AF1796" s="28"/>
      <c r="AG1796" s="28" t="n">
        <f aca="false">AF1796*$M1796</f>
        <v>0</v>
      </c>
      <c r="AH1796" s="28"/>
      <c r="AI1796" s="28" t="n">
        <f aca="false">AH1796*$M1796</f>
        <v>0</v>
      </c>
      <c r="AJ1796" s="28" t="n">
        <f aca="false">39321/100</f>
        <v>393.21</v>
      </c>
      <c r="AK1796" s="28" t="n">
        <v>19660</v>
      </c>
      <c r="AL1796" s="28"/>
      <c r="AM1796" s="28" t="n">
        <f aca="false">AL1796*$M1796</f>
        <v>0</v>
      </c>
      <c r="AN1796" s="28"/>
      <c r="AO1796" s="28" t="n">
        <f aca="false">AN1796*$M1796</f>
        <v>0</v>
      </c>
      <c r="AP1796" s="28"/>
      <c r="AQ1796" s="28" t="n">
        <f aca="false">AP1796*$M1796</f>
        <v>0</v>
      </c>
      <c r="AR1796" s="28"/>
      <c r="AS1796" s="28" t="n">
        <f aca="false">AR1796*$M1796</f>
        <v>0</v>
      </c>
      <c r="AT1796" s="28"/>
      <c r="AU1796" s="28" t="n">
        <f aca="false">AT1796*$M1796</f>
        <v>0</v>
      </c>
      <c r="AV1796" s="28"/>
      <c r="AW1796" s="28" t="n">
        <f aca="false">AV1796*$M1796</f>
        <v>0</v>
      </c>
      <c r="AX1796" s="28"/>
      <c r="AY1796" s="28" t="n">
        <f aca="false">AX1796*$M1796</f>
        <v>0</v>
      </c>
      <c r="AZ1796" s="30" t="n">
        <f aca="false">88022/100</f>
        <v>880.22</v>
      </c>
      <c r="BA1796" s="11" t="n">
        <v>44010</v>
      </c>
      <c r="BB1796" s="31" t="n">
        <f aca="false">SUM(Q1796,S1796,U1796,W1796,Y1796,AA1796,AC1796,AE1796,AG1796,AI1796,AK1796,AM1796,AO1796,AQ1796,AS1796,AU1796,AW1796,AY1796)</f>
        <v>44010</v>
      </c>
      <c r="BC1796" s="28" t="n">
        <f aca="false">BA1796-BB1796</f>
        <v>0</v>
      </c>
      <c r="BD1796" s="32" t="n">
        <f aca="false">SUM(P1796,R1796,T1796,V1796,X1796,Z1796,AB1796,AD1796,AF1796,AH1796,AJ1796,AL1796,AN1796,AP1796,AR1796,AT1796,AV1796,AX1796)</f>
        <v>880.22</v>
      </c>
      <c r="BE1796" s="33" t="n">
        <f aca="false">AZ1796-BD1796</f>
        <v>0</v>
      </c>
      <c r="BF1796" s="34" t="n">
        <f aca="false">BD1796*M1796</f>
        <v>44011</v>
      </c>
      <c r="BG1796" s="35" t="n">
        <f aca="false">BA1796-BF1796</f>
        <v>-1</v>
      </c>
      <c r="BH1796" s="19" t="str">
        <f aca="false">IF(BG1796=0,"",IF(BG1796&lt;&gt;BA1796,"erreur de calcul",IF(BD1796&lt;&gt;0,"pas de prix",IF(M1796&lt;&gt; 0,"pas de quantité","pas de prix, ni de quantité"))))</f>
        <v>erreur de calcul</v>
      </c>
      <c r="BI1796" s="19" t="s">
        <v>114</v>
      </c>
    </row>
    <row r="1797" customFormat="false" ht="15" hidden="false" customHeight="false" outlineLevel="0" collapsed="false">
      <c r="A1797" s="0" t="n">
        <v>40</v>
      </c>
      <c r="B1797" s="8" t="s">
        <v>24</v>
      </c>
      <c r="C1797" s="9" t="s">
        <v>25</v>
      </c>
      <c r="D1797" s="9" t="s">
        <v>26</v>
      </c>
      <c r="E1797" s="10" t="n">
        <v>1789</v>
      </c>
      <c r="F1797" s="9" t="s">
        <v>27</v>
      </c>
      <c r="G1797" s="9" t="s">
        <v>27</v>
      </c>
      <c r="H1797" s="11" t="n">
        <v>18</v>
      </c>
      <c r="I1797" s="11" t="s">
        <v>115</v>
      </c>
      <c r="J1797" s="14"/>
      <c r="K1797" s="14" t="n">
        <v>28</v>
      </c>
      <c r="L1797" s="16"/>
      <c r="M1797" s="27" t="n">
        <f aca="false">J1797+(K1797/20)+(L1797/240)</f>
        <v>1.4</v>
      </c>
      <c r="N1797" s="17" t="s">
        <v>66</v>
      </c>
      <c r="O1797" s="11" t="s">
        <v>98</v>
      </c>
      <c r="P1797" s="28"/>
      <c r="Q1797" s="28" t="n">
        <f aca="false">P1797*$M1797</f>
        <v>0</v>
      </c>
      <c r="R1797" s="28"/>
      <c r="S1797" s="28" t="n">
        <f aca="false">R1797*$M1797</f>
        <v>0</v>
      </c>
      <c r="T1797" s="28" t="n">
        <v>426</v>
      </c>
      <c r="U1797" s="28" t="n">
        <v>596</v>
      </c>
      <c r="V1797" s="28"/>
      <c r="W1797" s="28" t="n">
        <f aca="false">V1797*$M1797</f>
        <v>0</v>
      </c>
      <c r="X1797" s="29"/>
      <c r="Y1797" s="28" t="n">
        <f aca="false">X1797*$M1797</f>
        <v>0</v>
      </c>
      <c r="Z1797" s="28"/>
      <c r="AA1797" s="28" t="n">
        <f aca="false">Z1797*$M1797</f>
        <v>0</v>
      </c>
      <c r="AB1797" s="28"/>
      <c r="AC1797" s="28" t="n">
        <f aca="false">AB1797*$M1797</f>
        <v>0</v>
      </c>
      <c r="AD1797" s="28"/>
      <c r="AE1797" s="28" t="n">
        <f aca="false">AD1797*$M1797</f>
        <v>0</v>
      </c>
      <c r="AF1797" s="28"/>
      <c r="AG1797" s="28" t="n">
        <f aca="false">AF1797*$M1797</f>
        <v>0</v>
      </c>
      <c r="AH1797" s="28"/>
      <c r="AI1797" s="28" t="n">
        <f aca="false">AH1797*$M1797</f>
        <v>0</v>
      </c>
      <c r="AJ1797" s="28" t="n">
        <v>142</v>
      </c>
      <c r="AK1797" s="28" t="n">
        <v>199</v>
      </c>
      <c r="AL1797" s="28"/>
      <c r="AM1797" s="28" t="n">
        <f aca="false">AL1797*$M1797</f>
        <v>0</v>
      </c>
      <c r="AN1797" s="28"/>
      <c r="AO1797" s="28" t="n">
        <f aca="false">AN1797*$M1797</f>
        <v>0</v>
      </c>
      <c r="AP1797" s="28"/>
      <c r="AQ1797" s="28" t="n">
        <f aca="false">AP1797*$M1797</f>
        <v>0</v>
      </c>
      <c r="AR1797" s="28"/>
      <c r="AS1797" s="28" t="n">
        <f aca="false">AR1797*$M1797</f>
        <v>0</v>
      </c>
      <c r="AT1797" s="28"/>
      <c r="AU1797" s="28" t="n">
        <f aca="false">AT1797*$M1797</f>
        <v>0</v>
      </c>
      <c r="AV1797" s="28"/>
      <c r="AW1797" s="28" t="n">
        <f aca="false">AV1797*$M1797</f>
        <v>0</v>
      </c>
      <c r="AX1797" s="28"/>
      <c r="AY1797" s="28" t="n">
        <f aca="false">AX1797*$M1797</f>
        <v>0</v>
      </c>
      <c r="AZ1797" s="30" t="n">
        <v>568</v>
      </c>
      <c r="BA1797" s="11" t="n">
        <v>795</v>
      </c>
      <c r="BB1797" s="31" t="n">
        <f aca="false">SUM(Q1797,S1797,U1797,W1797,Y1797,AA1797,AC1797,AE1797,AG1797,AI1797,AK1797,AM1797,AO1797,AQ1797,AS1797,AU1797,AW1797,AY1797)</f>
        <v>795</v>
      </c>
      <c r="BC1797" s="28" t="n">
        <f aca="false">BA1797-BB1797</f>
        <v>0</v>
      </c>
      <c r="BD1797" s="32" t="n">
        <f aca="false">SUM(P1797,R1797,T1797,V1797,X1797,Z1797,AB1797,AD1797,AF1797,AH1797,AJ1797,AL1797,AN1797,AP1797,AR1797,AT1797,AV1797,AX1797)</f>
        <v>568</v>
      </c>
      <c r="BE1797" s="33" t="n">
        <f aca="false">AZ1797-BD1797</f>
        <v>0</v>
      </c>
      <c r="BF1797" s="34" t="n">
        <f aca="false">BD1797*M1797</f>
        <v>795.2</v>
      </c>
      <c r="BG1797" s="35" t="n">
        <f aca="false">BA1797-BF1797</f>
        <v>-0.199999999999932</v>
      </c>
      <c r="BH1797" s="19" t="str">
        <f aca="false">IF(BG1797=0,"",IF(BG1797&lt;&gt;BA1797,"erreur de calcul",IF(BD1797&lt;&gt;0,"pas de prix",IF(M1797&lt;&gt; 0,"pas de quantité","pas de prix, ni de quantité"))))</f>
        <v>erreur de calcul</v>
      </c>
      <c r="BI1797" s="19"/>
    </row>
    <row r="1798" customFormat="false" ht="15" hidden="false" customHeight="false" outlineLevel="0" collapsed="false">
      <c r="A1798" s="0" t="n">
        <v>41</v>
      </c>
      <c r="B1798" s="8" t="s">
        <v>24</v>
      </c>
      <c r="C1798" s="9" t="s">
        <v>25</v>
      </c>
      <c r="D1798" s="9" t="s">
        <v>26</v>
      </c>
      <c r="E1798" s="10" t="n">
        <v>1789</v>
      </c>
      <c r="F1798" s="9" t="s">
        <v>27</v>
      </c>
      <c r="G1798" s="9" t="s">
        <v>27</v>
      </c>
      <c r="H1798" s="11" t="n">
        <v>18</v>
      </c>
      <c r="I1798" s="11" t="s">
        <v>116</v>
      </c>
      <c r="J1798" s="14"/>
      <c r="K1798" s="14" t="n">
        <v>40</v>
      </c>
      <c r="L1798" s="16"/>
      <c r="M1798" s="27" t="n">
        <f aca="false">J1798+(K1798/20)+(L1798/240)</f>
        <v>2</v>
      </c>
      <c r="N1798" s="17" t="s">
        <v>66</v>
      </c>
      <c r="O1798" s="11"/>
      <c r="P1798" s="28"/>
      <c r="Q1798" s="28" t="n">
        <f aca="false">P1798*$M1798</f>
        <v>0</v>
      </c>
      <c r="R1798" s="28"/>
      <c r="S1798" s="28" t="n">
        <f aca="false">R1798*$M1798</f>
        <v>0</v>
      </c>
      <c r="T1798" s="28"/>
      <c r="U1798" s="28" t="n">
        <f aca="false">T1798*$M1798</f>
        <v>0</v>
      </c>
      <c r="V1798" s="28"/>
      <c r="W1798" s="28" t="n">
        <f aca="false">V1798*$M1798</f>
        <v>0</v>
      </c>
      <c r="X1798" s="29"/>
      <c r="Y1798" s="28" t="n">
        <f aca="false">X1798*$M1798</f>
        <v>0</v>
      </c>
      <c r="Z1798" s="28"/>
      <c r="AA1798" s="28" t="n">
        <f aca="false">Z1798*$M1798</f>
        <v>0</v>
      </c>
      <c r="AB1798" s="28"/>
      <c r="AC1798" s="28" t="n">
        <f aca="false">AB1798*$M1798</f>
        <v>0</v>
      </c>
      <c r="AD1798" s="28"/>
      <c r="AE1798" s="28" t="n">
        <f aca="false">AD1798*$M1798</f>
        <v>0</v>
      </c>
      <c r="AF1798" s="28"/>
      <c r="AG1798" s="28" t="n">
        <f aca="false">AF1798*$M1798</f>
        <v>0</v>
      </c>
      <c r="AH1798" s="28" t="n">
        <v>232710</v>
      </c>
      <c r="AI1798" s="28" t="n">
        <v>465420</v>
      </c>
      <c r="AJ1798" s="28"/>
      <c r="AK1798" s="28" t="n">
        <f aca="false">AJ1798*$M1798</f>
        <v>0</v>
      </c>
      <c r="AL1798" s="28"/>
      <c r="AM1798" s="28" t="n">
        <f aca="false">AL1798*$M1798</f>
        <v>0</v>
      </c>
      <c r="AN1798" s="28"/>
      <c r="AO1798" s="28" t="n">
        <f aca="false">AN1798*$M1798</f>
        <v>0</v>
      </c>
      <c r="AP1798" s="28"/>
      <c r="AQ1798" s="28" t="n">
        <f aca="false">AP1798*$M1798</f>
        <v>0</v>
      </c>
      <c r="AR1798" s="28"/>
      <c r="AS1798" s="28" t="n">
        <f aca="false">AR1798*$M1798</f>
        <v>0</v>
      </c>
      <c r="AT1798" s="28"/>
      <c r="AU1798" s="28" t="n">
        <f aca="false">AT1798*$M1798</f>
        <v>0</v>
      </c>
      <c r="AV1798" s="28"/>
      <c r="AW1798" s="28" t="n">
        <f aca="false">AV1798*$M1798</f>
        <v>0</v>
      </c>
      <c r="AX1798" s="28"/>
      <c r="AY1798" s="28" t="n">
        <f aca="false">AX1798*$M1798</f>
        <v>0</v>
      </c>
      <c r="AZ1798" s="30" t="n">
        <v>232710</v>
      </c>
      <c r="BA1798" s="11" t="n">
        <v>465420</v>
      </c>
      <c r="BB1798" s="31" t="n">
        <f aca="false">SUM(Q1798,S1798,U1798,W1798,Y1798,AA1798,AC1798,AE1798,AG1798,AI1798,AK1798,AM1798,AO1798,AQ1798,AS1798,AU1798,AW1798,AY1798)</f>
        <v>465420</v>
      </c>
      <c r="BC1798" s="28" t="n">
        <f aca="false">BA1798-BB1798</f>
        <v>0</v>
      </c>
      <c r="BD1798" s="32" t="n">
        <f aca="false">SUM(P1798,R1798,T1798,V1798,X1798,Z1798,AB1798,AD1798,AF1798,AH1798,AJ1798,AL1798,AN1798,AP1798,AR1798,AT1798,AV1798,AX1798)</f>
        <v>232710</v>
      </c>
      <c r="BE1798" s="33" t="n">
        <f aca="false">AZ1798-BD1798</f>
        <v>0</v>
      </c>
      <c r="BF1798" s="34" t="n">
        <f aca="false">BD1798*M1798</f>
        <v>465420</v>
      </c>
      <c r="BG1798" s="35" t="n">
        <f aca="false">BA1798-BF1798</f>
        <v>0</v>
      </c>
      <c r="BH1798" s="19" t="str">
        <f aca="false">IF(BG1798=0,"",IF(BG1798&lt;&gt;BA1798,"erreur de calcul",IF(BD1798&lt;&gt;0,"pas de prix",IF(M1798&lt;&gt; 0,"pas de quantité","pas de prix, ni de quantité"))))</f>
        <v/>
      </c>
      <c r="BI1798" s="19"/>
    </row>
    <row r="1799" customFormat="false" ht="15" hidden="false" customHeight="false" outlineLevel="0" collapsed="false">
      <c r="A1799" s="0" t="n">
        <v>1</v>
      </c>
      <c r="B1799" s="8" t="s">
        <v>24</v>
      </c>
      <c r="C1799" s="9" t="s">
        <v>25</v>
      </c>
      <c r="D1799" s="9" t="s">
        <v>26</v>
      </c>
      <c r="E1799" s="10" t="n">
        <v>1789</v>
      </c>
      <c r="F1799" s="9" t="s">
        <v>27</v>
      </c>
      <c r="G1799" s="9" t="s">
        <v>27</v>
      </c>
      <c r="H1799" s="11" t="n">
        <v>20</v>
      </c>
      <c r="I1799" s="11" t="s">
        <v>117</v>
      </c>
      <c r="J1799" s="14" t="n">
        <v>10</v>
      </c>
      <c r="K1799" s="14"/>
      <c r="L1799" s="16"/>
      <c r="M1799" s="27" t="n">
        <f aca="false">J1799+(K1799/20)+(L1799/240)</f>
        <v>10</v>
      </c>
      <c r="N1799" s="17" t="s">
        <v>64</v>
      </c>
      <c r="O1799" s="11"/>
      <c r="P1799" s="28" t="n">
        <f aca="false">2120/100</f>
        <v>21.2</v>
      </c>
      <c r="Q1799" s="28" t="n">
        <v>212</v>
      </c>
      <c r="R1799" s="28"/>
      <c r="S1799" s="28" t="n">
        <f aca="false">R1799*$M1799</f>
        <v>0</v>
      </c>
      <c r="T1799" s="28" t="n">
        <f aca="false">4184/100</f>
        <v>41.84</v>
      </c>
      <c r="U1799" s="28" t="n">
        <v>418</v>
      </c>
      <c r="V1799" s="28"/>
      <c r="W1799" s="28" t="n">
        <f aca="false">V1799*$M1799</f>
        <v>0</v>
      </c>
      <c r="X1799" s="28"/>
      <c r="Y1799" s="28" t="n">
        <f aca="false">X1799*$M1799</f>
        <v>0</v>
      </c>
      <c r="Z1799" s="28" t="n">
        <f aca="false">4467/100</f>
        <v>44.67</v>
      </c>
      <c r="AA1799" s="28" t="n">
        <v>447</v>
      </c>
      <c r="AB1799" s="28"/>
      <c r="AC1799" s="28" t="n">
        <f aca="false">AB1799*$M1799</f>
        <v>0</v>
      </c>
      <c r="AD1799" s="28"/>
      <c r="AE1799" s="28" t="n">
        <f aca="false">AD1799*$M1799</f>
        <v>0</v>
      </c>
      <c r="AF1799" s="28"/>
      <c r="AG1799" s="28" t="n">
        <f aca="false">AF1799*$M1799</f>
        <v>0</v>
      </c>
      <c r="AH1799" s="28" t="n">
        <f aca="false">37604/100</f>
        <v>376.04</v>
      </c>
      <c r="AI1799" s="28" t="n">
        <v>3760</v>
      </c>
      <c r="AJ1799" s="28"/>
      <c r="AK1799" s="28" t="n">
        <f aca="false">AJ1799*$M1799</f>
        <v>0</v>
      </c>
      <c r="AL1799" s="28"/>
      <c r="AM1799" s="28" t="n">
        <f aca="false">AL1799*$M1799</f>
        <v>0</v>
      </c>
      <c r="AN1799" s="28"/>
      <c r="AO1799" s="28" t="n">
        <f aca="false">AN1799*$M1799</f>
        <v>0</v>
      </c>
      <c r="AP1799" s="28"/>
      <c r="AQ1799" s="28" t="n">
        <f aca="false">AP1799*$M1799</f>
        <v>0</v>
      </c>
      <c r="AR1799" s="28"/>
      <c r="AS1799" s="28" t="n">
        <f aca="false">AR1799*$M1799</f>
        <v>0</v>
      </c>
      <c r="AT1799" s="28"/>
      <c r="AU1799" s="28" t="n">
        <f aca="false">AT1799*$M1799</f>
        <v>0</v>
      </c>
      <c r="AV1799" s="28"/>
      <c r="AW1799" s="28" t="n">
        <f aca="false">AV1799*$M1799</f>
        <v>0</v>
      </c>
      <c r="AX1799" s="28"/>
      <c r="AY1799" s="28" t="n">
        <f aca="false">AX1799*$M1799</f>
        <v>0</v>
      </c>
      <c r="AZ1799" s="30" t="n">
        <f aca="false">46255/100</f>
        <v>462.55</v>
      </c>
      <c r="BA1799" s="11" t="n">
        <v>4837</v>
      </c>
      <c r="BB1799" s="31" t="n">
        <f aca="false">SUM(Q1799,S1799,U1799,W1799,Y1799,AA1799,AC1799,AE1799,AG1799,AI1799,AK1799,AM1799,AO1799,AQ1799,AS1799,AU1799,AW1799,AY1799)</f>
        <v>4837</v>
      </c>
      <c r="BC1799" s="28" t="n">
        <f aca="false">BA1799-BB1799</f>
        <v>0</v>
      </c>
      <c r="BD1799" s="32" t="n">
        <f aca="false">SUM(P1799,R1799,T1799,V1799,X1799,Z1799,AB1799,AD1799,AF1799,AH1799,AJ1799,AL1799,AN1799,AP1799,AR1799,AT1799,AV1799,AX1799)</f>
        <v>483.75</v>
      </c>
      <c r="BE1799" s="33" t="n">
        <f aca="false">AZ1799-BD1799</f>
        <v>-21.2</v>
      </c>
      <c r="BF1799" s="34" t="n">
        <f aca="false">BD1799*M1799</f>
        <v>4837.5</v>
      </c>
      <c r="BG1799" s="35" t="n">
        <f aca="false">BA1799-BF1799</f>
        <v>-0.50000000000091</v>
      </c>
      <c r="BH1799" s="19" t="str">
        <f aca="false">IF(BG1799=0,"",IF(BG1799&lt;&gt;BA1799,"erreur de calcul",IF(BD1799&lt;&gt;0,"pas de prix",IF(M1799&lt;&gt; 0,"pas de quantité","pas de prix, ni de quantité"))))</f>
        <v>erreur de calcul</v>
      </c>
      <c r="BI1799" s="19"/>
    </row>
    <row r="1800" customFormat="false" ht="15" hidden="false" customHeight="false" outlineLevel="0" collapsed="false">
      <c r="A1800" s="0" t="n">
        <v>2</v>
      </c>
      <c r="B1800" s="8" t="s">
        <v>24</v>
      </c>
      <c r="C1800" s="9" t="s">
        <v>25</v>
      </c>
      <c r="D1800" s="9" t="s">
        <v>26</v>
      </c>
      <c r="E1800" s="10" t="n">
        <v>1789</v>
      </c>
      <c r="F1800" s="9" t="s">
        <v>27</v>
      </c>
      <c r="G1800" s="9" t="s">
        <v>27</v>
      </c>
      <c r="H1800" s="11" t="n">
        <v>20</v>
      </c>
      <c r="I1800" s="11" t="s">
        <v>118</v>
      </c>
      <c r="J1800" s="14" t="n">
        <v>10</v>
      </c>
      <c r="K1800" s="14"/>
      <c r="L1800" s="16"/>
      <c r="M1800" s="27" t="n">
        <f aca="false">J1800+(K1800/20)+(L1800/240)</f>
        <v>10</v>
      </c>
      <c r="N1800" s="17" t="s">
        <v>64</v>
      </c>
      <c r="O1800" s="11"/>
      <c r="P1800" s="28" t="n">
        <f aca="false">6450193/100</f>
        <v>64501.93</v>
      </c>
      <c r="Q1800" s="28" t="n">
        <v>645019</v>
      </c>
      <c r="R1800" s="28"/>
      <c r="S1800" s="28" t="n">
        <f aca="false">R1800*$M1800</f>
        <v>0</v>
      </c>
      <c r="T1800" s="28"/>
      <c r="U1800" s="28" t="n">
        <f aca="false">T1800*$M1800</f>
        <v>0</v>
      </c>
      <c r="V1800" s="28"/>
      <c r="W1800" s="28" t="n">
        <f aca="false">V1800*$M1800</f>
        <v>0</v>
      </c>
      <c r="X1800" s="28"/>
      <c r="Y1800" s="28" t="n">
        <f aca="false">X1800*$M1800</f>
        <v>0</v>
      </c>
      <c r="Z1800" s="28"/>
      <c r="AA1800" s="28" t="n">
        <f aca="false">Z1800*$M1800</f>
        <v>0</v>
      </c>
      <c r="AB1800" s="28" t="n">
        <f aca="false">601547/100</f>
        <v>6015.47</v>
      </c>
      <c r="AC1800" s="28" t="n">
        <v>60155</v>
      </c>
      <c r="AD1800" s="28"/>
      <c r="AE1800" s="28" t="n">
        <f aca="false">AD1800*$M1800</f>
        <v>0</v>
      </c>
      <c r="AF1800" s="28" t="n">
        <f aca="false">727551/100</f>
        <v>7275.51</v>
      </c>
      <c r="AG1800" s="28" t="n">
        <v>72755</v>
      </c>
      <c r="AH1800" s="28" t="n">
        <f aca="false">52982/100</f>
        <v>529.82</v>
      </c>
      <c r="AI1800" s="28" t="n">
        <v>5299</v>
      </c>
      <c r="AJ1800" s="28"/>
      <c r="AK1800" s="28" t="n">
        <f aca="false">AJ1800*$M1800</f>
        <v>0</v>
      </c>
      <c r="AL1800" s="28"/>
      <c r="AM1800" s="28" t="n">
        <f aca="false">AL1800*$M1800</f>
        <v>0</v>
      </c>
      <c r="AN1800" s="28"/>
      <c r="AO1800" s="28" t="n">
        <f aca="false">AN1800*$M1800</f>
        <v>0</v>
      </c>
      <c r="AP1800" s="28"/>
      <c r="AQ1800" s="28" t="n">
        <f aca="false">AP1800*$M1800</f>
        <v>0</v>
      </c>
      <c r="AR1800" s="28"/>
      <c r="AS1800" s="28" t="n">
        <f aca="false">AR1800*$M1800</f>
        <v>0</v>
      </c>
      <c r="AT1800" s="28"/>
      <c r="AU1800" s="28" t="n">
        <f aca="false">AT1800*$M1800</f>
        <v>0</v>
      </c>
      <c r="AV1800" s="28"/>
      <c r="AW1800" s="28" t="n">
        <f aca="false">AV1800*$M1800</f>
        <v>0</v>
      </c>
      <c r="AX1800" s="28"/>
      <c r="AY1800" s="28" t="n">
        <f aca="false">AX1800*$M1800</f>
        <v>0</v>
      </c>
      <c r="AZ1800" s="30" t="n">
        <f aca="false">7832273/100</f>
        <v>78322.73</v>
      </c>
      <c r="BA1800" s="11" t="n">
        <v>783228</v>
      </c>
      <c r="BB1800" s="31" t="n">
        <f aca="false">SUM(Q1800,S1800,U1800,W1800,Y1800,AA1800,AC1800,AE1800,AG1800,AI1800,AK1800,AM1800,AO1800,AQ1800,AS1800,AU1800,AW1800,AY1800)</f>
        <v>783228</v>
      </c>
      <c r="BC1800" s="28" t="n">
        <f aca="false">BA1800-BB1800</f>
        <v>0</v>
      </c>
      <c r="BD1800" s="32" t="n">
        <f aca="false">SUM(P1800,R1800,T1800,V1800,X1800,Z1800,AB1800,AD1800,AF1800,AH1800,AJ1800,AL1800,AN1800,AP1800,AR1800,AT1800,AV1800,AX1800)</f>
        <v>78322.73</v>
      </c>
      <c r="BE1800" s="33" t="n">
        <f aca="false">AZ1800-BD1800</f>
        <v>0</v>
      </c>
      <c r="BF1800" s="34" t="n">
        <f aca="false">BD1800*M1800</f>
        <v>783227.3</v>
      </c>
      <c r="BG1800" s="35" t="n">
        <f aca="false">BA1800-BF1800</f>
        <v>0.700000000069849</v>
      </c>
      <c r="BH1800" s="19" t="str">
        <f aca="false">IF(BG1800=0,"",IF(BG1800&lt;&gt;BA1800,"erreur de calcul",IF(BD1800&lt;&gt;0,"pas de prix",IF(M1800&lt;&gt; 0,"pas de quantité","pas de prix, ni de quantité"))))</f>
        <v>erreur de calcul</v>
      </c>
      <c r="BI1800" s="19"/>
    </row>
    <row r="1801" customFormat="false" ht="15" hidden="false" customHeight="false" outlineLevel="0" collapsed="false">
      <c r="A1801" s="0" t="n">
        <v>3</v>
      </c>
      <c r="B1801" s="8" t="s">
        <v>24</v>
      </c>
      <c r="C1801" s="9" t="s">
        <v>25</v>
      </c>
      <c r="D1801" s="9" t="s">
        <v>26</v>
      </c>
      <c r="E1801" s="10" t="n">
        <v>1789</v>
      </c>
      <c r="F1801" s="9" t="s">
        <v>27</v>
      </c>
      <c r="G1801" s="9" t="s">
        <v>27</v>
      </c>
      <c r="H1801" s="11" t="n">
        <v>20</v>
      </c>
      <c r="I1801" s="11" t="s">
        <v>119</v>
      </c>
      <c r="J1801" s="14" t="n">
        <v>10</v>
      </c>
      <c r="K1801" s="14"/>
      <c r="L1801" s="16"/>
      <c r="M1801" s="27" t="n">
        <f aca="false">J1801+(K1801/20)+(L1801/240)</f>
        <v>10</v>
      </c>
      <c r="N1801" s="17" t="s">
        <v>64</v>
      </c>
      <c r="O1801" s="11"/>
      <c r="P1801" s="28" t="n">
        <f aca="false">2617064/100</f>
        <v>26170.64</v>
      </c>
      <c r="Q1801" s="28" t="n">
        <v>261706</v>
      </c>
      <c r="R1801" s="28"/>
      <c r="S1801" s="28" t="n">
        <f aca="false">R1801*$M1801</f>
        <v>0</v>
      </c>
      <c r="T1801" s="28" t="n">
        <f aca="false">251959/100</f>
        <v>2519.59</v>
      </c>
      <c r="U1801" s="28" t="n">
        <v>25196</v>
      </c>
      <c r="V1801" s="28"/>
      <c r="W1801" s="28" t="n">
        <f aca="false">V1801*$M1801</f>
        <v>0</v>
      </c>
      <c r="X1801" s="28"/>
      <c r="Y1801" s="28" t="n">
        <f aca="false">X1801*$M1801</f>
        <v>0</v>
      </c>
      <c r="Z1801" s="28"/>
      <c r="AA1801" s="28" t="n">
        <f aca="false">Z1801*$M1801</f>
        <v>0</v>
      </c>
      <c r="AB1801" s="28"/>
      <c r="AC1801" s="28" t="n">
        <f aca="false">AB1801*$M1801</f>
        <v>0</v>
      </c>
      <c r="AD1801" s="28"/>
      <c r="AE1801" s="28" t="n">
        <f aca="false">AD1801*$M1801</f>
        <v>0</v>
      </c>
      <c r="AF1801" s="28"/>
      <c r="AG1801" s="28" t="n">
        <f aca="false">AF1801*$M1801</f>
        <v>0</v>
      </c>
      <c r="AH1801" s="28"/>
      <c r="AI1801" s="28" t="n">
        <f aca="false">AH1801*$M1801</f>
        <v>0</v>
      </c>
      <c r="AJ1801" s="28"/>
      <c r="AK1801" s="28" t="n">
        <f aca="false">AJ1801*$M1801</f>
        <v>0</v>
      </c>
      <c r="AL1801" s="28"/>
      <c r="AM1801" s="28" t="n">
        <f aca="false">AL1801*$M1801</f>
        <v>0</v>
      </c>
      <c r="AN1801" s="28"/>
      <c r="AO1801" s="28" t="n">
        <f aca="false">AN1801*$M1801</f>
        <v>0</v>
      </c>
      <c r="AP1801" s="28"/>
      <c r="AQ1801" s="28" t="n">
        <f aca="false">AP1801*$M1801</f>
        <v>0</v>
      </c>
      <c r="AR1801" s="28"/>
      <c r="AS1801" s="28" t="n">
        <f aca="false">AR1801*$M1801</f>
        <v>0</v>
      </c>
      <c r="AT1801" s="28"/>
      <c r="AU1801" s="28" t="n">
        <f aca="false">AT1801*$M1801</f>
        <v>0</v>
      </c>
      <c r="AV1801" s="28"/>
      <c r="AW1801" s="28" t="n">
        <f aca="false">AV1801*$M1801</f>
        <v>0</v>
      </c>
      <c r="AX1801" s="28"/>
      <c r="AY1801" s="28" t="n">
        <f aca="false">AX1801*$M1801</f>
        <v>0</v>
      </c>
      <c r="AZ1801" s="30" t="n">
        <f aca="false">2869023/100</f>
        <v>28690.23</v>
      </c>
      <c r="BA1801" s="11" t="n">
        <v>286902</v>
      </c>
      <c r="BB1801" s="31" t="n">
        <f aca="false">SUM(Q1801,S1801,U1801,W1801,Y1801,AA1801,AC1801,AE1801,AG1801,AI1801,AK1801,AM1801,AO1801,AQ1801,AS1801,AU1801,AW1801,AY1801)</f>
        <v>286902</v>
      </c>
      <c r="BC1801" s="28" t="n">
        <f aca="false">BA1801-BB1801</f>
        <v>0</v>
      </c>
      <c r="BD1801" s="32" t="n">
        <f aca="false">SUM(P1801,R1801,T1801,V1801,X1801,Z1801,AB1801,AD1801,AF1801,AH1801,AJ1801,AL1801,AN1801,AP1801,AR1801,AT1801,AV1801,AX1801)</f>
        <v>28690.23</v>
      </c>
      <c r="BE1801" s="33" t="n">
        <f aca="false">AZ1801-BD1801</f>
        <v>0</v>
      </c>
      <c r="BF1801" s="34" t="n">
        <f aca="false">BD1801*M1801</f>
        <v>286902.3</v>
      </c>
      <c r="BG1801" s="35" t="n">
        <f aca="false">BA1801-BF1801</f>
        <v>-0.299999999988358</v>
      </c>
      <c r="BH1801" s="19" t="str">
        <f aca="false">IF(BG1801=0,"",IF(BG1801&lt;&gt;BA1801,"erreur de calcul",IF(BD1801&lt;&gt;0,"pas de prix",IF(M1801&lt;&gt; 0,"pas de quantité","pas de prix, ni de quantité"))))</f>
        <v>erreur de calcul</v>
      </c>
      <c r="BI1801" s="19"/>
    </row>
    <row r="1802" customFormat="false" ht="16.65" hidden="false" customHeight="false" outlineLevel="0" collapsed="false">
      <c r="A1802" s="0" t="n">
        <v>4</v>
      </c>
      <c r="B1802" s="8" t="s">
        <v>24</v>
      </c>
      <c r="C1802" s="9" t="s">
        <v>25</v>
      </c>
      <c r="D1802" s="9" t="s">
        <v>26</v>
      </c>
      <c r="E1802" s="10" t="n">
        <v>1789</v>
      </c>
      <c r="F1802" s="9" t="s">
        <v>27</v>
      </c>
      <c r="G1802" s="9" t="s">
        <v>27</v>
      </c>
      <c r="H1802" s="11" t="n">
        <v>20</v>
      </c>
      <c r="I1802" s="11" t="s">
        <v>120</v>
      </c>
      <c r="J1802" s="14" t="n">
        <v>12</v>
      </c>
      <c r="K1802" s="14"/>
      <c r="L1802" s="16"/>
      <c r="M1802" s="27" t="n">
        <f aca="false">J1802+(K1802/20)+(L1802/240)</f>
        <v>12</v>
      </c>
      <c r="N1802" s="17" t="s">
        <v>64</v>
      </c>
      <c r="O1802" s="11" t="s">
        <v>77</v>
      </c>
      <c r="P1802" s="28"/>
      <c r="Q1802" s="28" t="n">
        <f aca="false">P1802*$M1802</f>
        <v>0</v>
      </c>
      <c r="R1802" s="28"/>
      <c r="S1802" s="28" t="n">
        <f aca="false">R1802*$M1802</f>
        <v>0</v>
      </c>
      <c r="T1802" s="28"/>
      <c r="U1802" s="28" t="n">
        <f aca="false">T1802*$M1802</f>
        <v>0</v>
      </c>
      <c r="V1802" s="28" t="n">
        <f aca="false">15268/100</f>
        <v>152.68</v>
      </c>
      <c r="W1802" s="28" t="n">
        <v>1832</v>
      </c>
      <c r="X1802" s="28"/>
      <c r="Y1802" s="28" t="n">
        <f aca="false">X1802*$M1802</f>
        <v>0</v>
      </c>
      <c r="Z1802" s="28"/>
      <c r="AA1802" s="28" t="n">
        <f aca="false">Z1802*$M1802</f>
        <v>0</v>
      </c>
      <c r="AB1802" s="28"/>
      <c r="AC1802" s="28" t="n">
        <f aca="false">AB1802*$M1802</f>
        <v>0</v>
      </c>
      <c r="AD1802" s="28"/>
      <c r="AE1802" s="28" t="n">
        <f aca="false">AD1802*$M1802</f>
        <v>0</v>
      </c>
      <c r="AF1802" s="28"/>
      <c r="AG1802" s="28" t="n">
        <f aca="false">AF1802*$M1802</f>
        <v>0</v>
      </c>
      <c r="AH1802" s="28" t="n">
        <f aca="false">26667/100</f>
        <v>266.67</v>
      </c>
      <c r="AI1802" s="28" t="n">
        <v>3200</v>
      </c>
      <c r="AJ1802" s="28"/>
      <c r="AK1802" s="28" t="n">
        <f aca="false">AJ1802*$M1802</f>
        <v>0</v>
      </c>
      <c r="AL1802" s="28"/>
      <c r="AM1802" s="28" t="n">
        <f aca="false">AL1802*$M1802</f>
        <v>0</v>
      </c>
      <c r="AN1802" s="28"/>
      <c r="AO1802" s="28" t="n">
        <f aca="false">AN1802*$M1802</f>
        <v>0</v>
      </c>
      <c r="AP1802" s="28"/>
      <c r="AQ1802" s="28" t="n">
        <f aca="false">AP1802*$M1802</f>
        <v>0</v>
      </c>
      <c r="AR1802" s="28"/>
      <c r="AS1802" s="28" t="n">
        <f aca="false">AR1802*$M1802</f>
        <v>0</v>
      </c>
      <c r="AT1802" s="28"/>
      <c r="AU1802" s="28" t="n">
        <f aca="false">AT1802*$M1802</f>
        <v>0</v>
      </c>
      <c r="AV1802" s="28"/>
      <c r="AW1802" s="28" t="n">
        <f aca="false">AV1802*$M1802</f>
        <v>0</v>
      </c>
      <c r="AX1802" s="28"/>
      <c r="AY1802" s="28" t="n">
        <f aca="false">AX1802*$M1802</f>
        <v>0</v>
      </c>
      <c r="AZ1802" s="30" t="n">
        <f aca="false">41935/100</f>
        <v>419.35</v>
      </c>
      <c r="BA1802" s="11" t="n">
        <v>5032</v>
      </c>
      <c r="BB1802" s="31" t="n">
        <f aca="false">SUM(Q1802,S1802,U1802,W1802,Y1802,AA1802,AC1802,AE1802,AG1802,AI1802,AK1802,AM1802,AO1802,AQ1802,AS1802,AU1802,AW1802,AY1802)</f>
        <v>5032</v>
      </c>
      <c r="BC1802" s="28" t="n">
        <f aca="false">BA1802-BB1802</f>
        <v>0</v>
      </c>
      <c r="BD1802" s="32" t="n">
        <f aca="false">SUM(P1802,R1802,T1802,V1802,X1802,Z1802,AB1802,AD1802,AF1802,AH1802,AJ1802,AL1802,AN1802,AP1802,AR1802,AT1802,AV1802,AX1802)</f>
        <v>419.35</v>
      </c>
      <c r="BE1802" s="33" t="n">
        <f aca="false">AZ1802-BD1802</f>
        <v>0</v>
      </c>
      <c r="BF1802" s="34" t="n">
        <f aca="false">BD1802*M1802</f>
        <v>5032.2</v>
      </c>
      <c r="BG1802" s="35" t="n">
        <f aca="false">BA1802-BF1802</f>
        <v>-0.200000000000728</v>
      </c>
      <c r="BH1802" s="19" t="str">
        <f aca="false">IF(BG1802=0,"",IF(BG1802&lt;&gt;BA1802,"erreur de calcul",IF(BD1802&lt;&gt;0,"pas de prix",IF(M1802&lt;&gt; 0,"pas de quantité","pas de prix, ni de quantité"))))</f>
        <v>erreur de calcul</v>
      </c>
      <c r="BI1802" s="19"/>
    </row>
    <row r="1803" customFormat="false" ht="15" hidden="false" customHeight="false" outlineLevel="0" collapsed="false">
      <c r="A1803" s="0" t="n">
        <v>5</v>
      </c>
      <c r="B1803" s="8" t="s">
        <v>24</v>
      </c>
      <c r="C1803" s="9" t="s">
        <v>25</v>
      </c>
      <c r="D1803" s="9" t="s">
        <v>26</v>
      </c>
      <c r="E1803" s="10" t="n">
        <v>1789</v>
      </c>
      <c r="F1803" s="9" t="s">
        <v>27</v>
      </c>
      <c r="G1803" s="9" t="s">
        <v>27</v>
      </c>
      <c r="H1803" s="11" t="n">
        <v>20</v>
      </c>
      <c r="I1803" s="11" t="s">
        <v>121</v>
      </c>
      <c r="J1803" s="14" t="n">
        <v>28</v>
      </c>
      <c r="K1803" s="14"/>
      <c r="L1803" s="16"/>
      <c r="M1803" s="27" t="n">
        <f aca="false">J1803+(K1803/20)+(L1803/240)</f>
        <v>28</v>
      </c>
      <c r="N1803" s="17" t="s">
        <v>64</v>
      </c>
      <c r="O1803" s="11"/>
      <c r="P1803" s="28"/>
      <c r="Q1803" s="28" t="n">
        <f aca="false">P1803*$M1803</f>
        <v>0</v>
      </c>
      <c r="R1803" s="28"/>
      <c r="S1803" s="28" t="n">
        <f aca="false">R1803*$M1803</f>
        <v>0</v>
      </c>
      <c r="T1803" s="28"/>
      <c r="U1803" s="28" t="n">
        <f aca="false">T1803*$M1803</f>
        <v>0</v>
      </c>
      <c r="V1803" s="28"/>
      <c r="W1803" s="28" t="n">
        <f aca="false">V1803*$M1803</f>
        <v>0</v>
      </c>
      <c r="X1803" s="28" t="n">
        <f aca="false">187504/100</f>
        <v>1875.04</v>
      </c>
      <c r="Y1803" s="28" t="n">
        <v>52501</v>
      </c>
      <c r="Z1803" s="28" t="n">
        <f aca="false">1041667/100</f>
        <v>10416.67</v>
      </c>
      <c r="AA1803" s="28" t="n">
        <v>291667</v>
      </c>
      <c r="AB1803" s="28"/>
      <c r="AC1803" s="28" t="n">
        <f aca="false">AB1803*$M1803</f>
        <v>0</v>
      </c>
      <c r="AD1803" s="28"/>
      <c r="AE1803" s="28" t="n">
        <f aca="false">AD1803*$M1803</f>
        <v>0</v>
      </c>
      <c r="AF1803" s="28"/>
      <c r="AG1803" s="28" t="n">
        <f aca="false">AF1803*$M1803</f>
        <v>0</v>
      </c>
      <c r="AH1803" s="28"/>
      <c r="AI1803" s="28" t="n">
        <f aca="false">AH1803*$M1803</f>
        <v>0</v>
      </c>
      <c r="AJ1803" s="28"/>
      <c r="AK1803" s="28" t="n">
        <f aca="false">AJ1803*$M1803</f>
        <v>0</v>
      </c>
      <c r="AL1803" s="28"/>
      <c r="AM1803" s="28" t="n">
        <f aca="false">AL1803*$M1803</f>
        <v>0</v>
      </c>
      <c r="AN1803" s="28"/>
      <c r="AO1803" s="28" t="n">
        <f aca="false">AN1803*$M1803</f>
        <v>0</v>
      </c>
      <c r="AP1803" s="28"/>
      <c r="AQ1803" s="28" t="n">
        <f aca="false">AP1803*$M1803</f>
        <v>0</v>
      </c>
      <c r="AR1803" s="28"/>
      <c r="AS1803" s="28" t="n">
        <f aca="false">AR1803*$M1803</f>
        <v>0</v>
      </c>
      <c r="AT1803" s="28"/>
      <c r="AU1803" s="28" t="n">
        <f aca="false">AT1803*$M1803</f>
        <v>0</v>
      </c>
      <c r="AV1803" s="28"/>
      <c r="AW1803" s="28" t="n">
        <f aca="false">AV1803*$M1803</f>
        <v>0</v>
      </c>
      <c r="AX1803" s="28"/>
      <c r="AY1803" s="28" t="n">
        <f aca="false">AX1803*$M1803</f>
        <v>0</v>
      </c>
      <c r="AZ1803" s="30" t="n">
        <f aca="false">1229171/100</f>
        <v>12291.71</v>
      </c>
      <c r="BA1803" s="11" t="n">
        <v>344168</v>
      </c>
      <c r="BB1803" s="31" t="n">
        <f aca="false">SUM(Q1803,S1803,U1803,W1803,Y1803,AA1803,AC1803,AE1803,AG1803,AI1803,AK1803,AM1803,AO1803,AQ1803,AS1803,AU1803,AW1803,AY1803)</f>
        <v>344168</v>
      </c>
      <c r="BC1803" s="28" t="n">
        <f aca="false">BA1803-BB1803</f>
        <v>0</v>
      </c>
      <c r="BD1803" s="32" t="n">
        <f aca="false">SUM(P1803,R1803,T1803,V1803,X1803,Z1803,AB1803,AD1803,AF1803,AH1803,AJ1803,AL1803,AN1803,AP1803,AR1803,AT1803,AV1803,AX1803)</f>
        <v>12291.71</v>
      </c>
      <c r="BE1803" s="33" t="n">
        <f aca="false">AZ1803-BD1803</f>
        <v>0</v>
      </c>
      <c r="BF1803" s="34" t="n">
        <f aca="false">BD1803*M1803</f>
        <v>344167.88</v>
      </c>
      <c r="BG1803" s="35" t="n">
        <f aca="false">BA1803-BF1803</f>
        <v>0.119999999995343</v>
      </c>
      <c r="BH1803" s="19" t="str">
        <f aca="false">IF(BG1803=0,"",IF(BG1803&lt;&gt;BA1803,"erreur de calcul",IF(BD1803&lt;&gt;0,"pas de prix",IF(M1803&lt;&gt; 0,"pas de quantité","pas de prix, ni de quantité"))))</f>
        <v>erreur de calcul</v>
      </c>
      <c r="BI1803" s="19"/>
    </row>
    <row r="1804" customFormat="false" ht="15" hidden="false" customHeight="false" outlineLevel="0" collapsed="false">
      <c r="A1804" s="0" t="n">
        <v>6</v>
      </c>
      <c r="B1804" s="8" t="s">
        <v>24</v>
      </c>
      <c r="C1804" s="9" t="s">
        <v>25</v>
      </c>
      <c r="D1804" s="9" t="s">
        <v>26</v>
      </c>
      <c r="E1804" s="10" t="n">
        <v>1789</v>
      </c>
      <c r="F1804" s="9" t="s">
        <v>27</v>
      </c>
      <c r="G1804" s="9" t="s">
        <v>27</v>
      </c>
      <c r="H1804" s="11" t="n">
        <v>20</v>
      </c>
      <c r="I1804" s="11" t="s">
        <v>122</v>
      </c>
      <c r="J1804" s="14" t="n">
        <v>16</v>
      </c>
      <c r="K1804" s="14"/>
      <c r="L1804" s="16"/>
      <c r="M1804" s="27" t="n">
        <f aca="false">J1804+(K1804/20)+(L1804/240)</f>
        <v>16</v>
      </c>
      <c r="N1804" s="17" t="s">
        <v>64</v>
      </c>
      <c r="O1804" s="11"/>
      <c r="P1804" s="28" t="n">
        <f aca="false">1774951/100</f>
        <v>17749.51</v>
      </c>
      <c r="Q1804" s="28" t="n">
        <v>283992</v>
      </c>
      <c r="R1804" s="28"/>
      <c r="S1804" s="28" t="n">
        <f aca="false">R1804*$M1804</f>
        <v>0</v>
      </c>
      <c r="T1804" s="28"/>
      <c r="U1804" s="28" t="n">
        <f aca="false">T1804*$M1804</f>
        <v>0</v>
      </c>
      <c r="V1804" s="28" t="n">
        <f aca="false">20834/100</f>
        <v>208.34</v>
      </c>
      <c r="W1804" s="28" t="n">
        <v>3333</v>
      </c>
      <c r="X1804" s="28" t="n">
        <f aca="false">85901/100</f>
        <v>859.01</v>
      </c>
      <c r="Y1804" s="28" t="n">
        <v>13744</v>
      </c>
      <c r="Z1804" s="28"/>
      <c r="AA1804" s="28" t="n">
        <f aca="false">Z1804*$M1804</f>
        <v>0</v>
      </c>
      <c r="AB1804" s="28" t="n">
        <f aca="false">6847841/100</f>
        <v>68478.41</v>
      </c>
      <c r="AC1804" s="28" t="n">
        <v>1095654</v>
      </c>
      <c r="AD1804" s="28"/>
      <c r="AE1804" s="28" t="n">
        <f aca="false">AD1804*$M1804</f>
        <v>0</v>
      </c>
      <c r="AF1804" s="28"/>
      <c r="AG1804" s="28" t="n">
        <f aca="false">AF1804*$M1804</f>
        <v>0</v>
      </c>
      <c r="AH1804" s="28" t="n">
        <f aca="false">50417/100</f>
        <v>504.17</v>
      </c>
      <c r="AI1804" s="28" t="n">
        <v>8067</v>
      </c>
      <c r="AJ1804" s="28"/>
      <c r="AK1804" s="28" t="n">
        <f aca="false">AJ1804*$M1804</f>
        <v>0</v>
      </c>
      <c r="AL1804" s="28"/>
      <c r="AM1804" s="28" t="n">
        <f aca="false">AL1804*$M1804</f>
        <v>0</v>
      </c>
      <c r="AN1804" s="28"/>
      <c r="AO1804" s="28" t="n">
        <f aca="false">AN1804*$M1804</f>
        <v>0</v>
      </c>
      <c r="AP1804" s="28"/>
      <c r="AQ1804" s="28" t="n">
        <f aca="false">AP1804*$M1804</f>
        <v>0</v>
      </c>
      <c r="AR1804" s="28"/>
      <c r="AS1804" s="28" t="n">
        <f aca="false">AR1804*$M1804</f>
        <v>0</v>
      </c>
      <c r="AT1804" s="28"/>
      <c r="AU1804" s="28" t="n">
        <f aca="false">AT1804*$M1804</f>
        <v>0</v>
      </c>
      <c r="AV1804" s="28"/>
      <c r="AW1804" s="28" t="n">
        <f aca="false">AV1804*$M1804</f>
        <v>0</v>
      </c>
      <c r="AX1804" s="28"/>
      <c r="AY1804" s="28" t="n">
        <f aca="false">AX1804*$M1804</f>
        <v>0</v>
      </c>
      <c r="AZ1804" s="30" t="n">
        <f aca="false">8779944/100</f>
        <v>87799.44</v>
      </c>
      <c r="BA1804" s="11" t="n">
        <v>1404790</v>
      </c>
      <c r="BB1804" s="31" t="n">
        <f aca="false">SUM(Q1804,S1804,U1804,W1804,Y1804,AA1804,AC1804,AE1804,AG1804,AI1804,AK1804,AM1804,AO1804,AQ1804,AS1804,AU1804,AW1804,AY1804)</f>
        <v>1404790</v>
      </c>
      <c r="BC1804" s="28" t="n">
        <f aca="false">BA1804-BB1804</f>
        <v>0</v>
      </c>
      <c r="BD1804" s="32" t="n">
        <f aca="false">SUM(P1804,R1804,T1804,V1804,X1804,Z1804,AB1804,AD1804,AF1804,AH1804,AJ1804,AL1804,AN1804,AP1804,AR1804,AT1804,AV1804,AX1804)</f>
        <v>87799.44</v>
      </c>
      <c r="BE1804" s="33" t="n">
        <f aca="false">AZ1804-BD1804</f>
        <v>0</v>
      </c>
      <c r="BF1804" s="34" t="n">
        <f aca="false">BD1804*M1804</f>
        <v>1404791.04</v>
      </c>
      <c r="BG1804" s="35" t="n">
        <f aca="false">BA1804-BF1804</f>
        <v>-1.03999999980442</v>
      </c>
      <c r="BH1804" s="19" t="str">
        <f aca="false">IF(BG1804=0,"",IF(BG1804&lt;&gt;BA1804,"erreur de calcul",IF(BD1804&lt;&gt;0,"pas de prix",IF(M1804&lt;&gt; 0,"pas de quantité","pas de prix, ni de quantité"))))</f>
        <v>erreur de calcul</v>
      </c>
      <c r="BI1804" s="19"/>
    </row>
    <row r="1805" customFormat="false" ht="15" hidden="false" customHeight="false" outlineLevel="0" collapsed="false">
      <c r="A1805" s="0" t="n">
        <v>7</v>
      </c>
      <c r="B1805" s="8" t="s">
        <v>24</v>
      </c>
      <c r="C1805" s="9" t="s">
        <v>25</v>
      </c>
      <c r="D1805" s="9" t="s">
        <v>26</v>
      </c>
      <c r="E1805" s="10" t="n">
        <v>1789</v>
      </c>
      <c r="F1805" s="9" t="s">
        <v>27</v>
      </c>
      <c r="G1805" s="9" t="s">
        <v>27</v>
      </c>
      <c r="H1805" s="11" t="n">
        <v>20</v>
      </c>
      <c r="I1805" s="11" t="s">
        <v>123</v>
      </c>
      <c r="J1805" s="14" t="n">
        <v>12</v>
      </c>
      <c r="K1805" s="14"/>
      <c r="L1805" s="16"/>
      <c r="M1805" s="27" t="n">
        <f aca="false">J1805+(K1805/20)+(L1805/240)</f>
        <v>12</v>
      </c>
      <c r="N1805" s="17" t="s">
        <v>64</v>
      </c>
      <c r="O1805" s="11"/>
      <c r="P1805" s="28"/>
      <c r="Q1805" s="28" t="n">
        <f aca="false">P1805*$M1805</f>
        <v>0</v>
      </c>
      <c r="R1805" s="28"/>
      <c r="S1805" s="28" t="n">
        <f aca="false">R1805*$M1805</f>
        <v>0</v>
      </c>
      <c r="T1805" s="28"/>
      <c r="U1805" s="28" t="n">
        <f aca="false">T1805*$M1805</f>
        <v>0</v>
      </c>
      <c r="V1805" s="28"/>
      <c r="W1805" s="28" t="n">
        <f aca="false">V1805*$M1805</f>
        <v>0</v>
      </c>
      <c r="X1805" s="28"/>
      <c r="Y1805" s="28" t="n">
        <f aca="false">X1805*$M1805</f>
        <v>0</v>
      </c>
      <c r="Z1805" s="28"/>
      <c r="AA1805" s="28" t="n">
        <f aca="false">Z1805*$M1805</f>
        <v>0</v>
      </c>
      <c r="AB1805" s="28"/>
      <c r="AC1805" s="28" t="n">
        <f aca="false">AB1805*$M1805</f>
        <v>0</v>
      </c>
      <c r="AD1805" s="28"/>
      <c r="AE1805" s="28" t="n">
        <f aca="false">AD1805*$M1805</f>
        <v>0</v>
      </c>
      <c r="AF1805" s="28"/>
      <c r="AG1805" s="28" t="n">
        <f aca="false">AF1805*$M1805</f>
        <v>0</v>
      </c>
      <c r="AH1805" s="28" t="n">
        <f aca="false">5697511/100</f>
        <v>56975.11</v>
      </c>
      <c r="AI1805" s="28" t="n">
        <v>683701</v>
      </c>
      <c r="AJ1805" s="28"/>
      <c r="AK1805" s="28" t="n">
        <f aca="false">AJ1805*$M1805</f>
        <v>0</v>
      </c>
      <c r="AL1805" s="28"/>
      <c r="AM1805" s="28" t="n">
        <f aca="false">AL1805*$M1805</f>
        <v>0</v>
      </c>
      <c r="AN1805" s="28"/>
      <c r="AO1805" s="28" t="n">
        <f aca="false">AN1805*$M1805</f>
        <v>0</v>
      </c>
      <c r="AP1805" s="28"/>
      <c r="AQ1805" s="28" t="n">
        <f aca="false">AP1805*$M1805</f>
        <v>0</v>
      </c>
      <c r="AR1805" s="28"/>
      <c r="AS1805" s="28" t="n">
        <f aca="false">AR1805*$M1805</f>
        <v>0</v>
      </c>
      <c r="AT1805" s="28"/>
      <c r="AU1805" s="28" t="n">
        <f aca="false">AT1805*$M1805</f>
        <v>0</v>
      </c>
      <c r="AV1805" s="28"/>
      <c r="AW1805" s="28" t="n">
        <f aca="false">AV1805*$M1805</f>
        <v>0</v>
      </c>
      <c r="AX1805" s="28"/>
      <c r="AY1805" s="28" t="n">
        <f aca="false">AX1805*$M1805</f>
        <v>0</v>
      </c>
      <c r="AZ1805" s="30" t="n">
        <f aca="false">5697511/100</f>
        <v>56975.11</v>
      </c>
      <c r="BA1805" s="11" t="n">
        <v>683701</v>
      </c>
      <c r="BB1805" s="31" t="n">
        <f aca="false">SUM(Q1805,S1805,U1805,W1805,Y1805,AA1805,AC1805,AE1805,AG1805,AI1805,AK1805,AM1805,AO1805,AQ1805,AS1805,AU1805,AW1805,AY1805)</f>
        <v>683701</v>
      </c>
      <c r="BC1805" s="28" t="n">
        <f aca="false">BA1805-BB1805</f>
        <v>0</v>
      </c>
      <c r="BD1805" s="32" t="n">
        <f aca="false">SUM(P1805,R1805,T1805,V1805,X1805,Z1805,AB1805,AD1805,AF1805,AH1805,AJ1805,AL1805,AN1805,AP1805,AR1805,AT1805,AV1805,AX1805)</f>
        <v>56975.11</v>
      </c>
      <c r="BE1805" s="33" t="n">
        <f aca="false">AZ1805-BD1805</f>
        <v>0</v>
      </c>
      <c r="BF1805" s="34" t="n">
        <f aca="false">BD1805*M1805</f>
        <v>683701.32</v>
      </c>
      <c r="BG1805" s="35" t="n">
        <f aca="false">BA1805-BF1805</f>
        <v>-0.320000000065193</v>
      </c>
      <c r="BH1805" s="19" t="str">
        <f aca="false">IF(BG1805=0,"",IF(BG1805&lt;&gt;BA1805,"erreur de calcul",IF(BD1805&lt;&gt;0,"pas de prix",IF(M1805&lt;&gt; 0,"pas de quantité","pas de prix, ni de quantité"))))</f>
        <v>erreur de calcul</v>
      </c>
      <c r="BI1805" s="19"/>
    </row>
    <row r="1806" customFormat="false" ht="15" hidden="false" customHeight="false" outlineLevel="0" collapsed="false">
      <c r="A1806" s="0" t="n">
        <v>8</v>
      </c>
      <c r="B1806" s="8" t="s">
        <v>24</v>
      </c>
      <c r="C1806" s="9" t="s">
        <v>25</v>
      </c>
      <c r="D1806" s="9" t="s">
        <v>26</v>
      </c>
      <c r="E1806" s="10" t="n">
        <v>1789</v>
      </c>
      <c r="F1806" s="9" t="s">
        <v>27</v>
      </c>
      <c r="G1806" s="9" t="s">
        <v>27</v>
      </c>
      <c r="H1806" s="11" t="n">
        <v>20</v>
      </c>
      <c r="I1806" s="11" t="s">
        <v>124</v>
      </c>
      <c r="J1806" s="14" t="n">
        <v>34</v>
      </c>
      <c r="K1806" s="14"/>
      <c r="L1806" s="16"/>
      <c r="M1806" s="27" t="n">
        <f aca="false">J1806+(K1806/20)+(L1806/240)</f>
        <v>34</v>
      </c>
      <c r="N1806" s="17" t="s">
        <v>64</v>
      </c>
      <c r="O1806" s="11"/>
      <c r="P1806" s="28"/>
      <c r="Q1806" s="28" t="n">
        <f aca="false">P1806*$M1806</f>
        <v>0</v>
      </c>
      <c r="R1806" s="28"/>
      <c r="S1806" s="28" t="n">
        <f aca="false">R1806*$M1806</f>
        <v>0</v>
      </c>
      <c r="T1806" s="28" t="n">
        <f aca="false">528/100</f>
        <v>5.28</v>
      </c>
      <c r="U1806" s="28" t="n">
        <v>179</v>
      </c>
      <c r="V1806" s="28"/>
      <c r="W1806" s="28" t="n">
        <f aca="false">V1806*$M1806</f>
        <v>0</v>
      </c>
      <c r="X1806" s="28" t="n">
        <f aca="false">1014/100</f>
        <v>10.14</v>
      </c>
      <c r="Y1806" s="36" t="n">
        <v>243</v>
      </c>
      <c r="Z1806" s="28"/>
      <c r="AA1806" s="28" t="n">
        <f aca="false">Z1806*$M1806</f>
        <v>0</v>
      </c>
      <c r="AB1806" s="28"/>
      <c r="AC1806" s="28" t="n">
        <f aca="false">AB1806*$M1806</f>
        <v>0</v>
      </c>
      <c r="AD1806" s="28"/>
      <c r="AE1806" s="28" t="n">
        <f aca="false">AD1806*$M1806</f>
        <v>0</v>
      </c>
      <c r="AF1806" s="28"/>
      <c r="AG1806" s="28" t="n">
        <f aca="false">AF1806*$M1806</f>
        <v>0</v>
      </c>
      <c r="AH1806" s="28"/>
      <c r="AI1806" s="28" t="n">
        <f aca="false">AH1806*$M1806</f>
        <v>0</v>
      </c>
      <c r="AJ1806" s="28" t="n">
        <f aca="false">1917/100</f>
        <v>19.17</v>
      </c>
      <c r="AK1806" s="28" t="n">
        <v>652</v>
      </c>
      <c r="AL1806" s="28"/>
      <c r="AM1806" s="28" t="n">
        <f aca="false">AL1806*$M1806</f>
        <v>0</v>
      </c>
      <c r="AN1806" s="28"/>
      <c r="AO1806" s="28" t="n">
        <f aca="false">AN1806*$M1806</f>
        <v>0</v>
      </c>
      <c r="AP1806" s="28"/>
      <c r="AQ1806" s="28" t="n">
        <f aca="false">AP1806*$M1806</f>
        <v>0</v>
      </c>
      <c r="AR1806" s="28"/>
      <c r="AS1806" s="28" t="n">
        <f aca="false">AR1806*$M1806</f>
        <v>0</v>
      </c>
      <c r="AT1806" s="28"/>
      <c r="AU1806" s="28" t="n">
        <f aca="false">AT1806*$M1806</f>
        <v>0</v>
      </c>
      <c r="AV1806" s="28"/>
      <c r="AW1806" s="28" t="n">
        <f aca="false">AV1806*$M1806</f>
        <v>0</v>
      </c>
      <c r="AX1806" s="28"/>
      <c r="AY1806" s="28" t="n">
        <f aca="false">AX1806*$M1806</f>
        <v>0</v>
      </c>
      <c r="AZ1806" s="30" t="n">
        <f aca="false">3459/100</f>
        <v>34.59</v>
      </c>
      <c r="BA1806" s="11" t="n">
        <v>1074</v>
      </c>
      <c r="BB1806" s="31" t="n">
        <f aca="false">SUM(Q1806,S1806,U1806,W1806,Y1806,AA1806,AC1806,AE1806,AG1806,AI1806,AK1806,AM1806,AO1806,AQ1806,AS1806,AU1806,AW1806,AY1806)</f>
        <v>1074</v>
      </c>
      <c r="BC1806" s="28" t="n">
        <f aca="false">BA1806-BB1806</f>
        <v>0</v>
      </c>
      <c r="BD1806" s="32" t="n">
        <f aca="false">SUM(P1806,R1806,T1806,V1806,X1806,Z1806,AB1806,AD1806,AF1806,AH1806,AJ1806,AL1806,AN1806,AP1806,AR1806,AT1806,AV1806,AX1806)</f>
        <v>34.59</v>
      </c>
      <c r="BE1806" s="33" t="n">
        <f aca="false">AZ1806-BD1806</f>
        <v>0</v>
      </c>
      <c r="BF1806" s="34" t="n">
        <f aca="false">BD1806*M1806</f>
        <v>1176.06</v>
      </c>
      <c r="BG1806" s="35" t="n">
        <f aca="false">BA1806-BF1806</f>
        <v>-102.06</v>
      </c>
      <c r="BH1806" s="19" t="str">
        <f aca="false">IF(BG1806=0,"",IF(BG1806&lt;&gt;BA1806,"erreur de calcul",IF(BD1806&lt;&gt;0,"pas de prix",IF(M1806&lt;&gt; 0,"pas de quantité","pas de prix, ni de quantité"))))</f>
        <v>erreur de calcul</v>
      </c>
      <c r="BI1806" s="19"/>
    </row>
    <row r="1807" customFormat="false" ht="15" hidden="false" customHeight="false" outlineLevel="0" collapsed="false">
      <c r="A1807" s="0" t="n">
        <v>9</v>
      </c>
      <c r="B1807" s="8" t="s">
        <v>24</v>
      </c>
      <c r="C1807" s="9" t="s">
        <v>25</v>
      </c>
      <c r="D1807" s="9" t="s">
        <v>26</v>
      </c>
      <c r="E1807" s="10" t="n">
        <v>1789</v>
      </c>
      <c r="F1807" s="9" t="s">
        <v>27</v>
      </c>
      <c r="G1807" s="9" t="s">
        <v>27</v>
      </c>
      <c r="H1807" s="11" t="n">
        <v>20</v>
      </c>
      <c r="I1807" s="11" t="s">
        <v>125</v>
      </c>
      <c r="J1807" s="14" t="n">
        <v>30</v>
      </c>
      <c r="K1807" s="14"/>
      <c r="L1807" s="16"/>
      <c r="M1807" s="27" t="n">
        <f aca="false">J1807+(K1807/20)+(L1807/240)</f>
        <v>30</v>
      </c>
      <c r="N1807" s="17" t="s">
        <v>64</v>
      </c>
      <c r="O1807" s="11"/>
      <c r="P1807" s="28" t="n">
        <f aca="false">31476/100</f>
        <v>314.76</v>
      </c>
      <c r="Q1807" s="28" t="n">
        <v>9443</v>
      </c>
      <c r="R1807" s="28"/>
      <c r="S1807" s="28" t="n">
        <f aca="false">R1807*$M1807</f>
        <v>0</v>
      </c>
      <c r="T1807" s="28"/>
      <c r="U1807" s="28" t="n">
        <f aca="false">T1807*$M1807</f>
        <v>0</v>
      </c>
      <c r="V1807" s="28"/>
      <c r="W1807" s="28" t="n">
        <f aca="false">V1807*$M1807</f>
        <v>0</v>
      </c>
      <c r="X1807" s="28" t="n">
        <f aca="false">2320/100</f>
        <v>23.2</v>
      </c>
      <c r="Y1807" s="28" t="n">
        <v>696</v>
      </c>
      <c r="Z1807" s="28"/>
      <c r="AA1807" s="28" t="n">
        <f aca="false">Z1807*$M1807</f>
        <v>0</v>
      </c>
      <c r="AB1807" s="28"/>
      <c r="AC1807" s="28" t="n">
        <f aca="false">AB1807*$M1807</f>
        <v>0</v>
      </c>
      <c r="AD1807" s="28"/>
      <c r="AE1807" s="28" t="n">
        <f aca="false">AD1807*$M1807</f>
        <v>0</v>
      </c>
      <c r="AF1807" s="28"/>
      <c r="AG1807" s="28" t="n">
        <f aca="false">AF1807*$M1807</f>
        <v>0</v>
      </c>
      <c r="AH1807" s="28"/>
      <c r="AI1807" s="28" t="n">
        <f aca="false">AH1807*$M1807</f>
        <v>0</v>
      </c>
      <c r="AJ1807" s="28"/>
      <c r="AK1807" s="28" t="n">
        <f aca="false">AJ1807*$M1807</f>
        <v>0</v>
      </c>
      <c r="AL1807" s="28"/>
      <c r="AM1807" s="28" t="n">
        <f aca="false">AL1807*$M1807</f>
        <v>0</v>
      </c>
      <c r="AN1807" s="28"/>
      <c r="AO1807" s="28" t="n">
        <f aca="false">AN1807*$M1807</f>
        <v>0</v>
      </c>
      <c r="AP1807" s="28" t="n">
        <f aca="false">5100/100</f>
        <v>51</v>
      </c>
      <c r="AQ1807" s="28" t="n">
        <v>1530</v>
      </c>
      <c r="AR1807" s="28"/>
      <c r="AS1807" s="28" t="n">
        <f aca="false">AR1807*$M1807</f>
        <v>0</v>
      </c>
      <c r="AT1807" s="28"/>
      <c r="AU1807" s="28" t="n">
        <f aca="false">AT1807*$M1807</f>
        <v>0</v>
      </c>
      <c r="AV1807" s="28"/>
      <c r="AW1807" s="28" t="n">
        <f aca="false">AV1807*$M1807</f>
        <v>0</v>
      </c>
      <c r="AX1807" s="28" t="n">
        <f aca="false">26345/100</f>
        <v>263.45</v>
      </c>
      <c r="AY1807" s="28" t="n">
        <v>7903</v>
      </c>
      <c r="AZ1807" s="30" t="n">
        <f aca="false">65241/100</f>
        <v>652.41</v>
      </c>
      <c r="BA1807" s="11" t="n">
        <v>19572</v>
      </c>
      <c r="BB1807" s="31" t="n">
        <f aca="false">SUM(Q1807,S1807,U1807,W1807,Y1807,AA1807,AC1807,AE1807,AG1807,AI1807,AK1807,AM1807,AO1807,AQ1807,AS1807,AU1807,AW1807,AY1807)</f>
        <v>19572</v>
      </c>
      <c r="BC1807" s="28" t="n">
        <f aca="false">BA1807-BB1807</f>
        <v>0</v>
      </c>
      <c r="BD1807" s="32" t="n">
        <f aca="false">SUM(P1807,R1807,T1807,V1807,X1807,Z1807,AB1807,AD1807,AF1807,AH1807,AJ1807,AL1807,AN1807,AP1807,AR1807,AT1807,AV1807,AX1807)</f>
        <v>652.41</v>
      </c>
      <c r="BE1807" s="33" t="n">
        <f aca="false">AZ1807-BD1807</f>
        <v>0</v>
      </c>
      <c r="BF1807" s="34" t="n">
        <f aca="false">BD1807*M1807</f>
        <v>19572.3</v>
      </c>
      <c r="BG1807" s="35" t="n">
        <f aca="false">BA1807-BF1807</f>
        <v>-0.299999999999272</v>
      </c>
      <c r="BH1807" s="19" t="str">
        <f aca="false">IF(BG1807=0,"",IF(BG1807&lt;&gt;BA1807,"erreur de calcul",IF(BD1807&lt;&gt;0,"pas de prix",IF(M1807&lt;&gt; 0,"pas de quantité","pas de prix, ni de quantité"))))</f>
        <v>erreur de calcul</v>
      </c>
      <c r="BI1807" s="19"/>
    </row>
    <row r="1808" customFormat="false" ht="15" hidden="false" customHeight="false" outlineLevel="0" collapsed="false">
      <c r="A1808" s="0" t="n">
        <v>10</v>
      </c>
      <c r="B1808" s="8" t="s">
        <v>24</v>
      </c>
      <c r="C1808" s="9" t="s">
        <v>25</v>
      </c>
      <c r="D1808" s="9" t="s">
        <v>26</v>
      </c>
      <c r="E1808" s="10" t="n">
        <v>1789</v>
      </c>
      <c r="F1808" s="9" t="s">
        <v>27</v>
      </c>
      <c r="G1808" s="9" t="s">
        <v>27</v>
      </c>
      <c r="H1808" s="11" t="n">
        <v>20</v>
      </c>
      <c r="I1808" s="11" t="s">
        <v>126</v>
      </c>
      <c r="J1808" s="14" t="n">
        <v>75</v>
      </c>
      <c r="K1808" s="14"/>
      <c r="L1808" s="16"/>
      <c r="M1808" s="27" t="n">
        <f aca="false">J1808+(K1808/20)+(L1808/240)</f>
        <v>75</v>
      </c>
      <c r="N1808" s="17" t="s">
        <v>64</v>
      </c>
      <c r="O1808" s="11"/>
      <c r="P1808" s="28"/>
      <c r="Q1808" s="28" t="n">
        <f aca="false">P1808*$M1808</f>
        <v>0</v>
      </c>
      <c r="R1808" s="28"/>
      <c r="S1808" s="28" t="n">
        <f aca="false">R1808*$M1808</f>
        <v>0</v>
      </c>
      <c r="T1808" s="28"/>
      <c r="U1808" s="28" t="n">
        <f aca="false">T1808*$M1808</f>
        <v>0</v>
      </c>
      <c r="V1808" s="28" t="n">
        <f aca="false">223/100</f>
        <v>2.23</v>
      </c>
      <c r="W1808" s="28" t="n">
        <v>167</v>
      </c>
      <c r="X1808" s="28" t="n">
        <f aca="false">2897/100</f>
        <v>28.97</v>
      </c>
      <c r="Y1808" s="28" t="n">
        <v>2173</v>
      </c>
      <c r="Z1808" s="28"/>
      <c r="AA1808" s="28" t="n">
        <f aca="false">Z1808*$M1808</f>
        <v>0</v>
      </c>
      <c r="AB1808" s="28"/>
      <c r="AC1808" s="28" t="n">
        <f aca="false">AB1808*$M1808</f>
        <v>0</v>
      </c>
      <c r="AD1808" s="28"/>
      <c r="AE1808" s="28" t="n">
        <f aca="false">AD1808*$M1808</f>
        <v>0</v>
      </c>
      <c r="AF1808" s="28"/>
      <c r="AG1808" s="28" t="n">
        <f aca="false">AF1808*$M1808</f>
        <v>0</v>
      </c>
      <c r="AH1808" s="28"/>
      <c r="AI1808" s="28" t="n">
        <f aca="false">AH1808*$M1808</f>
        <v>0</v>
      </c>
      <c r="AJ1808" s="28"/>
      <c r="AK1808" s="28" t="n">
        <f aca="false">AJ1808*$M1808</f>
        <v>0</v>
      </c>
      <c r="AL1808" s="28"/>
      <c r="AM1808" s="28" t="n">
        <f aca="false">AL1808*$M1808</f>
        <v>0</v>
      </c>
      <c r="AN1808" s="28"/>
      <c r="AO1808" s="28" t="n">
        <f aca="false">AN1808*$M1808</f>
        <v>0</v>
      </c>
      <c r="AP1808" s="28"/>
      <c r="AQ1808" s="28" t="n">
        <f aca="false">AP1808*$M1808</f>
        <v>0</v>
      </c>
      <c r="AR1808" s="28"/>
      <c r="AS1808" s="28" t="n">
        <f aca="false">AR1808*$M1808</f>
        <v>0</v>
      </c>
      <c r="AT1808" s="28"/>
      <c r="AU1808" s="28" t="n">
        <f aca="false">AT1808*$M1808</f>
        <v>0</v>
      </c>
      <c r="AV1808" s="28"/>
      <c r="AW1808" s="28" t="n">
        <f aca="false">AV1808*$M1808</f>
        <v>0</v>
      </c>
      <c r="AX1808" s="28"/>
      <c r="AY1808" s="28" t="n">
        <f aca="false">AX1808*$M1808</f>
        <v>0</v>
      </c>
      <c r="AZ1808" s="30" t="n">
        <f aca="false">3120/100</f>
        <v>31.2</v>
      </c>
      <c r="BA1808" s="11" t="n">
        <v>2340</v>
      </c>
      <c r="BB1808" s="31" t="n">
        <f aca="false">SUM(Q1808,S1808,U1808,W1808,Y1808,AA1808,AC1808,AE1808,AG1808,AI1808,AK1808,AM1808,AO1808,AQ1808,AS1808,AU1808,AW1808,AY1808)</f>
        <v>2340</v>
      </c>
      <c r="BC1808" s="28" t="n">
        <f aca="false">BA1808-BB1808</f>
        <v>0</v>
      </c>
      <c r="BD1808" s="32" t="n">
        <f aca="false">SUM(P1808,R1808,T1808,V1808,X1808,Z1808,AB1808,AD1808,AF1808,AH1808,AJ1808,AL1808,AN1808,AP1808,AR1808,AT1808,AV1808,AX1808)</f>
        <v>31.2</v>
      </c>
      <c r="BE1808" s="33" t="n">
        <f aca="false">AZ1808-BD1808</f>
        <v>0</v>
      </c>
      <c r="BF1808" s="34" t="n">
        <f aca="false">BD1808*M1808</f>
        <v>2340</v>
      </c>
      <c r="BG1808" s="35" t="n">
        <f aca="false">BA1808-BF1808</f>
        <v>0</v>
      </c>
      <c r="BH1808" s="19" t="str">
        <f aca="false">IF(BG1808=0,"",IF(BG1808&lt;&gt;BA1808,"erreur de calcul",IF(BD1808&lt;&gt;0,"pas de prix",IF(M1808&lt;&gt; 0,"pas de quantité","pas de prix, ni de quantité"))))</f>
        <v/>
      </c>
      <c r="BI1808" s="19"/>
    </row>
    <row r="1809" customFormat="false" ht="15" hidden="false" customHeight="false" outlineLevel="0" collapsed="false">
      <c r="A1809" s="0" t="n">
        <v>11</v>
      </c>
      <c r="B1809" s="8" t="s">
        <v>24</v>
      </c>
      <c r="C1809" s="9" t="s">
        <v>25</v>
      </c>
      <c r="D1809" s="9" t="s">
        <v>26</v>
      </c>
      <c r="E1809" s="10" t="n">
        <v>1789</v>
      </c>
      <c r="F1809" s="9" t="s">
        <v>27</v>
      </c>
      <c r="G1809" s="9" t="s">
        <v>27</v>
      </c>
      <c r="H1809" s="11" t="n">
        <v>20</v>
      </c>
      <c r="I1809" s="11" t="s">
        <v>127</v>
      </c>
      <c r="J1809" s="14" t="n">
        <v>75</v>
      </c>
      <c r="K1809" s="14"/>
      <c r="L1809" s="16"/>
      <c r="M1809" s="27" t="n">
        <f aca="false">J1809+(K1809/20)+(L1809/240)</f>
        <v>75</v>
      </c>
      <c r="N1809" s="17" t="s">
        <v>64</v>
      </c>
      <c r="O1809" s="11"/>
      <c r="P1809" s="28"/>
      <c r="Q1809" s="28" t="n">
        <f aca="false">P1809*$M1809</f>
        <v>0</v>
      </c>
      <c r="R1809" s="28"/>
      <c r="S1809" s="28" t="n">
        <f aca="false">R1809*$M1809</f>
        <v>0</v>
      </c>
      <c r="T1809" s="28" t="n">
        <f aca="false">5807/100</f>
        <v>58.07</v>
      </c>
      <c r="U1809" s="28" t="n">
        <v>4355</v>
      </c>
      <c r="V1809" s="28"/>
      <c r="W1809" s="28" t="n">
        <f aca="false">V1809*$M1809</f>
        <v>0</v>
      </c>
      <c r="X1809" s="28"/>
      <c r="Y1809" s="28" t="n">
        <f aca="false">X1809*$M1809</f>
        <v>0</v>
      </c>
      <c r="Z1809" s="28"/>
      <c r="AA1809" s="28" t="n">
        <f aca="false">Z1809*$M1809</f>
        <v>0</v>
      </c>
      <c r="AB1809" s="28"/>
      <c r="AC1809" s="28" t="n">
        <f aca="false">AB1809*$M1809</f>
        <v>0</v>
      </c>
      <c r="AD1809" s="28"/>
      <c r="AE1809" s="28" t="n">
        <f aca="false">AD1809*$M1809</f>
        <v>0</v>
      </c>
      <c r="AF1809" s="28"/>
      <c r="AG1809" s="28" t="n">
        <f aca="false">AF1809*$M1809</f>
        <v>0</v>
      </c>
      <c r="AH1809" s="28"/>
      <c r="AI1809" s="28" t="n">
        <f aca="false">AH1809*$M1809</f>
        <v>0</v>
      </c>
      <c r="AJ1809" s="28"/>
      <c r="AK1809" s="28" t="n">
        <f aca="false">AJ1809*$M1809</f>
        <v>0</v>
      </c>
      <c r="AL1809" s="28"/>
      <c r="AM1809" s="28" t="n">
        <f aca="false">AL1809*$M1809</f>
        <v>0</v>
      </c>
      <c r="AN1809" s="28"/>
      <c r="AO1809" s="28" t="n">
        <f aca="false">AN1809*$M1809</f>
        <v>0</v>
      </c>
      <c r="AP1809" s="28"/>
      <c r="AQ1809" s="28" t="n">
        <f aca="false">AP1809*$M1809</f>
        <v>0</v>
      </c>
      <c r="AR1809" s="28"/>
      <c r="AS1809" s="28" t="n">
        <f aca="false">AR1809*$M1809</f>
        <v>0</v>
      </c>
      <c r="AT1809" s="28"/>
      <c r="AU1809" s="28" t="n">
        <f aca="false">AT1809*$M1809</f>
        <v>0</v>
      </c>
      <c r="AV1809" s="28"/>
      <c r="AW1809" s="28" t="n">
        <f aca="false">AV1809*$M1809</f>
        <v>0</v>
      </c>
      <c r="AX1809" s="28"/>
      <c r="AY1809" s="28" t="n">
        <f aca="false">AX1809*$M1809</f>
        <v>0</v>
      </c>
      <c r="AZ1809" s="30" t="n">
        <f aca="false">5807/100</f>
        <v>58.07</v>
      </c>
      <c r="BA1809" s="11" t="n">
        <v>4355</v>
      </c>
      <c r="BB1809" s="31" t="n">
        <f aca="false">SUM(Q1809,S1809,U1809,W1809,Y1809,AA1809,AC1809,AE1809,AG1809,AI1809,AK1809,AM1809,AO1809,AQ1809,AS1809,AU1809,AW1809,AY1809)</f>
        <v>4355</v>
      </c>
      <c r="BC1809" s="28" t="n">
        <f aca="false">BA1809-BB1809</f>
        <v>0</v>
      </c>
      <c r="BD1809" s="32" t="n">
        <f aca="false">SUM(P1809,R1809,T1809,V1809,X1809,Z1809,AB1809,AD1809,AF1809,AH1809,AJ1809,AL1809,AN1809,AP1809,AR1809,AT1809,AV1809,AX1809)</f>
        <v>58.07</v>
      </c>
      <c r="BE1809" s="33" t="n">
        <f aca="false">AZ1809-BD1809</f>
        <v>0</v>
      </c>
      <c r="BF1809" s="34" t="n">
        <f aca="false">BD1809*M1809</f>
        <v>4355.25</v>
      </c>
      <c r="BG1809" s="35" t="n">
        <f aca="false">BA1809-BF1809</f>
        <v>-0.25</v>
      </c>
      <c r="BH1809" s="19" t="str">
        <f aca="false">IF(BG1809=0,"",IF(BG1809&lt;&gt;BA1809,"erreur de calcul",IF(BD1809&lt;&gt;0,"pas de prix",IF(M1809&lt;&gt; 0,"pas de quantité","pas de prix, ni de quantité"))))</f>
        <v>erreur de calcul</v>
      </c>
      <c r="BI1809" s="19"/>
    </row>
    <row r="1810" customFormat="false" ht="15" hidden="false" customHeight="false" outlineLevel="0" collapsed="false">
      <c r="A1810" s="0" t="n">
        <v>12</v>
      </c>
      <c r="B1810" s="8" t="s">
        <v>24</v>
      </c>
      <c r="C1810" s="9" t="s">
        <v>25</v>
      </c>
      <c r="D1810" s="9" t="s">
        <v>26</v>
      </c>
      <c r="E1810" s="10" t="n">
        <v>1789</v>
      </c>
      <c r="F1810" s="9" t="s">
        <v>27</v>
      </c>
      <c r="G1810" s="9" t="s">
        <v>27</v>
      </c>
      <c r="H1810" s="11" t="n">
        <v>20</v>
      </c>
      <c r="I1810" s="11" t="s">
        <v>128</v>
      </c>
      <c r="J1810" s="14" t="n">
        <v>42</v>
      </c>
      <c r="K1810" s="14"/>
      <c r="L1810" s="16"/>
      <c r="M1810" s="27" t="n">
        <f aca="false">J1810+(K1810/20)+(L1810/240)</f>
        <v>42</v>
      </c>
      <c r="N1810" s="17" t="s">
        <v>64</v>
      </c>
      <c r="O1810" s="11"/>
      <c r="P1810" s="28"/>
      <c r="Q1810" s="28" t="n">
        <f aca="false">P1810*$M1810</f>
        <v>0</v>
      </c>
      <c r="R1810" s="28"/>
      <c r="S1810" s="28" t="n">
        <f aca="false">R1810*$M1810</f>
        <v>0</v>
      </c>
      <c r="T1810" s="28" t="n">
        <f aca="false">347073/100</f>
        <v>3470.73</v>
      </c>
      <c r="U1810" s="28" t="n">
        <v>145771</v>
      </c>
      <c r="V1810" s="28" t="n">
        <f aca="false">188616/100</f>
        <v>1886.16</v>
      </c>
      <c r="W1810" s="28" t="n">
        <v>79219</v>
      </c>
      <c r="X1810" s="28" t="n">
        <f aca="false">518894/100</f>
        <v>5188.94</v>
      </c>
      <c r="Y1810" s="28" t="n">
        <v>217935</v>
      </c>
      <c r="Z1810" s="28" t="n">
        <f aca="false">965148/100</f>
        <v>9651.48</v>
      </c>
      <c r="AA1810" s="28" t="n">
        <v>405362</v>
      </c>
      <c r="AB1810" s="28" t="n">
        <f aca="false">759238/100</f>
        <v>7592.38</v>
      </c>
      <c r="AC1810" s="28" t="n">
        <v>318880</v>
      </c>
      <c r="AD1810" s="28" t="n">
        <f aca="false">254167/100</f>
        <v>2541.67</v>
      </c>
      <c r="AE1810" s="28" t="n">
        <v>106750</v>
      </c>
      <c r="AF1810" s="28"/>
      <c r="AG1810" s="28" t="n">
        <f aca="false">AF1810*$M1810</f>
        <v>0</v>
      </c>
      <c r="AH1810" s="28"/>
      <c r="AI1810" s="28" t="n">
        <f aca="false">AH1810*$M1810</f>
        <v>0</v>
      </c>
      <c r="AJ1810" s="28"/>
      <c r="AK1810" s="28" t="n">
        <f aca="false">AJ1810*$M1810</f>
        <v>0</v>
      </c>
      <c r="AL1810" s="28" t="n">
        <f aca="false">73551/100</f>
        <v>735.51</v>
      </c>
      <c r="AM1810" s="28" t="n">
        <v>30891</v>
      </c>
      <c r="AN1810" s="28"/>
      <c r="AO1810" s="28" t="n">
        <f aca="false">AN1810*$M1810</f>
        <v>0</v>
      </c>
      <c r="AP1810" s="28" t="n">
        <f aca="false">45836/100</f>
        <v>458.36</v>
      </c>
      <c r="AQ1810" s="28" t="n">
        <v>19251</v>
      </c>
      <c r="AR1810" s="28"/>
      <c r="AS1810" s="28" t="n">
        <f aca="false">AR1810*$M1810</f>
        <v>0</v>
      </c>
      <c r="AT1810" s="28"/>
      <c r="AU1810" s="28" t="n">
        <f aca="false">AT1810*$M1810</f>
        <v>0</v>
      </c>
      <c r="AV1810" s="28" t="n">
        <f aca="false">566574/100</f>
        <v>5665.74</v>
      </c>
      <c r="AW1810" s="28" t="n">
        <v>237961</v>
      </c>
      <c r="AX1810" s="28"/>
      <c r="AY1810" s="28" t="n">
        <f aca="false">AX1810*$M1810</f>
        <v>0</v>
      </c>
      <c r="AZ1810" s="30" t="n">
        <f aca="false">3719097/100</f>
        <v>37190.97</v>
      </c>
      <c r="BA1810" s="11" t="n">
        <v>1562020</v>
      </c>
      <c r="BB1810" s="31" t="n">
        <f aca="false">SUM(Q1810,S1810,U1810,W1810,Y1810,AA1810,AC1810,AE1810,AG1810,AI1810,AK1810,AM1810,AO1810,AQ1810,AS1810,AU1810,AW1810,AY1810)</f>
        <v>1562020</v>
      </c>
      <c r="BC1810" s="28" t="n">
        <f aca="false">BA1810-BB1810</f>
        <v>0</v>
      </c>
      <c r="BD1810" s="32" t="n">
        <f aca="false">SUM(P1810,R1810,T1810,V1810,X1810,Z1810,AB1810,AD1810,AF1810,AH1810,AJ1810,AL1810,AN1810,AP1810,AR1810,AT1810,AV1810,AX1810)</f>
        <v>37190.97</v>
      </c>
      <c r="BE1810" s="33" t="n">
        <f aca="false">AZ1810-BD1810</f>
        <v>0</v>
      </c>
      <c r="BF1810" s="34" t="n">
        <f aca="false">BD1810*M1810</f>
        <v>1562020.74</v>
      </c>
      <c r="BG1810" s="35" t="n">
        <f aca="false">BA1810-BF1810</f>
        <v>-0.739999999990687</v>
      </c>
      <c r="BH1810" s="19" t="str">
        <f aca="false">IF(BG1810=0,"",IF(BG1810&lt;&gt;BA1810,"erreur de calcul",IF(BD1810&lt;&gt;0,"pas de prix",IF(M1810&lt;&gt; 0,"pas de quantité","pas de prix, ni de quantité"))))</f>
        <v>erreur de calcul</v>
      </c>
      <c r="BI1810" s="19"/>
    </row>
    <row r="1811" customFormat="false" ht="15" hidden="false" customHeight="false" outlineLevel="0" collapsed="false">
      <c r="A1811" s="0" t="n">
        <v>13</v>
      </c>
      <c r="B1811" s="8" t="s">
        <v>24</v>
      </c>
      <c r="C1811" s="9" t="s">
        <v>25</v>
      </c>
      <c r="D1811" s="9" t="s">
        <v>26</v>
      </c>
      <c r="E1811" s="10" t="n">
        <v>1789</v>
      </c>
      <c r="F1811" s="9" t="s">
        <v>27</v>
      </c>
      <c r="G1811" s="9" t="s">
        <v>27</v>
      </c>
      <c r="H1811" s="11" t="n">
        <v>20</v>
      </c>
      <c r="I1811" s="11" t="s">
        <v>129</v>
      </c>
      <c r="J1811" s="14" t="n">
        <v>75</v>
      </c>
      <c r="K1811" s="14"/>
      <c r="L1811" s="16"/>
      <c r="M1811" s="27" t="n">
        <f aca="false">J1811+(K1811/20)+(L1811/240)</f>
        <v>75</v>
      </c>
      <c r="N1811" s="17" t="s">
        <v>64</v>
      </c>
      <c r="O1811" s="11"/>
      <c r="P1811" s="28"/>
      <c r="Q1811" s="28" t="n">
        <f aca="false">P1811*$M1811</f>
        <v>0</v>
      </c>
      <c r="R1811" s="28"/>
      <c r="S1811" s="28" t="n">
        <f aca="false">R1811*$M1811</f>
        <v>0</v>
      </c>
      <c r="T1811" s="28"/>
      <c r="U1811" s="28" t="n">
        <f aca="false">T1811*$M1811</f>
        <v>0</v>
      </c>
      <c r="V1811" s="28" t="n">
        <f aca="false">3418/100</f>
        <v>34.18</v>
      </c>
      <c r="W1811" s="28" t="n">
        <v>2563</v>
      </c>
      <c r="X1811" s="28" t="n">
        <f aca="false">3755/100</f>
        <v>37.55</v>
      </c>
      <c r="Y1811" s="28" t="n">
        <v>2817</v>
      </c>
      <c r="Z1811" s="28"/>
      <c r="AA1811" s="28" t="n">
        <f aca="false">Z1811*$M1811</f>
        <v>0</v>
      </c>
      <c r="AB1811" s="28" t="n">
        <f aca="false">75529/100</f>
        <v>755.29</v>
      </c>
      <c r="AC1811" s="28" t="n">
        <v>56647</v>
      </c>
      <c r="AD1811" s="28"/>
      <c r="AE1811" s="28" t="n">
        <f aca="false">AD1811*$M1811</f>
        <v>0</v>
      </c>
      <c r="AF1811" s="28"/>
      <c r="AG1811" s="28" t="n">
        <f aca="false">AF1811*$M1811</f>
        <v>0</v>
      </c>
      <c r="AH1811" s="28"/>
      <c r="AI1811" s="28" t="n">
        <f aca="false">AH1811*$M1811</f>
        <v>0</v>
      </c>
      <c r="AJ1811" s="28"/>
      <c r="AK1811" s="28" t="n">
        <f aca="false">AJ1811*$M1811</f>
        <v>0</v>
      </c>
      <c r="AL1811" s="28"/>
      <c r="AM1811" s="28" t="n">
        <f aca="false">AL1811*$M1811</f>
        <v>0</v>
      </c>
      <c r="AN1811" s="28"/>
      <c r="AO1811" s="28" t="n">
        <f aca="false">AN1811*$M1811</f>
        <v>0</v>
      </c>
      <c r="AP1811" s="28"/>
      <c r="AQ1811" s="28" t="n">
        <f aca="false">AP1811*$M1811</f>
        <v>0</v>
      </c>
      <c r="AR1811" s="28"/>
      <c r="AS1811" s="28" t="n">
        <f aca="false">AR1811*$M1811</f>
        <v>0</v>
      </c>
      <c r="AT1811" s="28"/>
      <c r="AU1811" s="28" t="n">
        <f aca="false">AT1811*$M1811</f>
        <v>0</v>
      </c>
      <c r="AV1811" s="28"/>
      <c r="AW1811" s="28" t="n">
        <f aca="false">AV1811*$M1811</f>
        <v>0</v>
      </c>
      <c r="AX1811" s="28"/>
      <c r="AY1811" s="28" t="n">
        <f aca="false">AX1811*$M1811</f>
        <v>0</v>
      </c>
      <c r="AZ1811" s="30" t="n">
        <f aca="false">82702/100</f>
        <v>827.02</v>
      </c>
      <c r="BA1811" s="11" t="n">
        <v>62027</v>
      </c>
      <c r="BB1811" s="31" t="n">
        <f aca="false">SUM(Q1811,S1811,U1811,W1811,Y1811,AA1811,AC1811,AE1811,AG1811,AI1811,AK1811,AM1811,AO1811,AQ1811,AS1811,AU1811,AW1811,AY1811)</f>
        <v>62027</v>
      </c>
      <c r="BC1811" s="28" t="n">
        <f aca="false">BA1811-BB1811</f>
        <v>0</v>
      </c>
      <c r="BD1811" s="32" t="n">
        <f aca="false">SUM(P1811,R1811,T1811,V1811,X1811,Z1811,AB1811,AD1811,AF1811,AH1811,AJ1811,AL1811,AN1811,AP1811,AR1811,AT1811,AV1811,AX1811)</f>
        <v>827.02</v>
      </c>
      <c r="BE1811" s="33" t="n">
        <f aca="false">AZ1811-BD1811</f>
        <v>0</v>
      </c>
      <c r="BF1811" s="34" t="n">
        <f aca="false">BD1811*M1811</f>
        <v>62026.5</v>
      </c>
      <c r="BG1811" s="35" t="n">
        <f aca="false">BA1811-BF1811</f>
        <v>0.500000000007276</v>
      </c>
      <c r="BH1811" s="19" t="str">
        <f aca="false">IF(BG1811=0,"",IF(BG1811&lt;&gt;BA1811,"erreur de calcul",IF(BD1811&lt;&gt;0,"pas de prix",IF(M1811&lt;&gt; 0,"pas de quantité","pas de prix, ni de quantité"))))</f>
        <v>erreur de calcul</v>
      </c>
      <c r="BI1811" s="19"/>
    </row>
    <row r="1812" customFormat="false" ht="15" hidden="false" customHeight="false" outlineLevel="0" collapsed="false">
      <c r="A1812" s="0" t="n">
        <v>14</v>
      </c>
      <c r="B1812" s="8" t="s">
        <v>24</v>
      </c>
      <c r="C1812" s="9" t="s">
        <v>25</v>
      </c>
      <c r="D1812" s="9" t="s">
        <v>26</v>
      </c>
      <c r="E1812" s="10" t="n">
        <v>1789</v>
      </c>
      <c r="F1812" s="9" t="s">
        <v>27</v>
      </c>
      <c r="G1812" s="9" t="s">
        <v>27</v>
      </c>
      <c r="H1812" s="11" t="n">
        <v>20</v>
      </c>
      <c r="I1812" s="11" t="s">
        <v>130</v>
      </c>
      <c r="J1812" s="14" t="n">
        <v>170</v>
      </c>
      <c r="K1812" s="14"/>
      <c r="L1812" s="16"/>
      <c r="M1812" s="27" t="n">
        <f aca="false">J1812+(K1812/20)+(L1812/240)</f>
        <v>170</v>
      </c>
      <c r="N1812" s="17" t="s">
        <v>64</v>
      </c>
      <c r="O1812" s="11"/>
      <c r="P1812" s="28"/>
      <c r="Q1812" s="28" t="n">
        <f aca="false">P1812*$M1812</f>
        <v>0</v>
      </c>
      <c r="R1812" s="28"/>
      <c r="S1812" s="28" t="n">
        <f aca="false">R1812*$M1812</f>
        <v>0</v>
      </c>
      <c r="T1812" s="28" t="n">
        <f aca="false">488/100</f>
        <v>4.88</v>
      </c>
      <c r="U1812" s="28" t="n">
        <v>830</v>
      </c>
      <c r="V1812" s="28"/>
      <c r="W1812" s="28" t="n">
        <f aca="false">V1812*$M1812</f>
        <v>0</v>
      </c>
      <c r="X1812" s="28" t="n">
        <f aca="false">8480/100</f>
        <v>84.8</v>
      </c>
      <c r="Y1812" s="28" t="n">
        <v>14416</v>
      </c>
      <c r="Z1812" s="28"/>
      <c r="AA1812" s="28" t="n">
        <f aca="false">Z1812*$M1812</f>
        <v>0</v>
      </c>
      <c r="AB1812" s="28" t="n">
        <f aca="false">291/100</f>
        <v>2.91</v>
      </c>
      <c r="AC1812" s="28" t="n">
        <v>495</v>
      </c>
      <c r="AD1812" s="28"/>
      <c r="AE1812" s="28" t="n">
        <f aca="false">AD1812*$M1812</f>
        <v>0</v>
      </c>
      <c r="AF1812" s="28"/>
      <c r="AG1812" s="28" t="n">
        <f aca="false">AF1812*$M1812</f>
        <v>0</v>
      </c>
      <c r="AH1812" s="28"/>
      <c r="AI1812" s="28" t="n">
        <f aca="false">AH1812*$M1812</f>
        <v>0</v>
      </c>
      <c r="AJ1812" s="28"/>
      <c r="AK1812" s="28" t="n">
        <f aca="false">AJ1812*$M1812</f>
        <v>0</v>
      </c>
      <c r="AL1812" s="28"/>
      <c r="AM1812" s="28" t="n">
        <f aca="false">AL1812*$M1812</f>
        <v>0</v>
      </c>
      <c r="AN1812" s="28"/>
      <c r="AO1812" s="28" t="n">
        <f aca="false">AN1812*$M1812</f>
        <v>0</v>
      </c>
      <c r="AP1812" s="28"/>
      <c r="AQ1812" s="28" t="n">
        <f aca="false">AP1812*$M1812</f>
        <v>0</v>
      </c>
      <c r="AR1812" s="28"/>
      <c r="AS1812" s="28" t="n">
        <f aca="false">AR1812*$M1812</f>
        <v>0</v>
      </c>
      <c r="AT1812" s="28"/>
      <c r="AU1812" s="28" t="n">
        <f aca="false">AT1812*$M1812</f>
        <v>0</v>
      </c>
      <c r="AV1812" s="28"/>
      <c r="AW1812" s="28" t="n">
        <f aca="false">AV1812*$M1812</f>
        <v>0</v>
      </c>
      <c r="AX1812" s="28"/>
      <c r="AY1812" s="28" t="n">
        <f aca="false">AX1812*$M1812</f>
        <v>0</v>
      </c>
      <c r="AZ1812" s="30" t="n">
        <f aca="false">9259/100</f>
        <v>92.59</v>
      </c>
      <c r="BA1812" s="11" t="n">
        <v>15741</v>
      </c>
      <c r="BB1812" s="31" t="n">
        <f aca="false">SUM(Q1812,S1812,U1812,W1812,Y1812,AA1812,AC1812,AE1812,AG1812,AI1812,AK1812,AM1812,AO1812,AQ1812,AS1812,AU1812,AW1812,AY1812)</f>
        <v>15741</v>
      </c>
      <c r="BC1812" s="28" t="n">
        <f aca="false">BA1812-BB1812</f>
        <v>0</v>
      </c>
      <c r="BD1812" s="32" t="n">
        <f aca="false">SUM(P1812,R1812,T1812,V1812,X1812,Z1812,AB1812,AD1812,AF1812,AH1812,AJ1812,AL1812,AN1812,AP1812,AR1812,AT1812,AV1812,AX1812)</f>
        <v>92.59</v>
      </c>
      <c r="BE1812" s="33" t="n">
        <f aca="false">AZ1812-BD1812</f>
        <v>0</v>
      </c>
      <c r="BF1812" s="34" t="n">
        <f aca="false">BD1812*M1812</f>
        <v>15740.3</v>
      </c>
      <c r="BG1812" s="35" t="n">
        <f aca="false">BA1812-BF1812</f>
        <v>0.700000000002547</v>
      </c>
      <c r="BH1812" s="19" t="str">
        <f aca="false">IF(BG1812=0,"",IF(BG1812&lt;&gt;BA1812,"erreur de calcul",IF(BD1812&lt;&gt;0,"pas de prix",IF(M1812&lt;&gt; 0,"pas de quantité","pas de prix, ni de quantité"))))</f>
        <v>erreur de calcul</v>
      </c>
      <c r="BI1812" s="19"/>
    </row>
    <row r="1813" customFormat="false" ht="15" hidden="false" customHeight="false" outlineLevel="0" collapsed="false">
      <c r="A1813" s="0" t="n">
        <v>15</v>
      </c>
      <c r="B1813" s="8" t="s">
        <v>24</v>
      </c>
      <c r="C1813" s="9" t="s">
        <v>25</v>
      </c>
      <c r="D1813" s="9" t="s">
        <v>26</v>
      </c>
      <c r="E1813" s="10" t="n">
        <v>1789</v>
      </c>
      <c r="F1813" s="9" t="s">
        <v>27</v>
      </c>
      <c r="G1813" s="9" t="s">
        <v>27</v>
      </c>
      <c r="H1813" s="11" t="n">
        <v>20</v>
      </c>
      <c r="I1813" s="11" t="s">
        <v>131</v>
      </c>
      <c r="J1813" s="14"/>
      <c r="K1813" s="14" t="n">
        <v>55</v>
      </c>
      <c r="L1813" s="16"/>
      <c r="M1813" s="27" t="n">
        <f aca="false">J1813+(K1813/20)+(L1813/240)</f>
        <v>2.75</v>
      </c>
      <c r="N1813" s="17" t="s">
        <v>64</v>
      </c>
      <c r="O1813" s="11"/>
      <c r="P1813" s="28"/>
      <c r="Q1813" s="28" t="n">
        <f aca="false">P1813*$M1813</f>
        <v>0</v>
      </c>
      <c r="R1813" s="28"/>
      <c r="S1813" s="28" t="n">
        <f aca="false">R1813*$M1813</f>
        <v>0</v>
      </c>
      <c r="T1813" s="28"/>
      <c r="U1813" s="28" t="n">
        <f aca="false">T1813*$M1813</f>
        <v>0</v>
      </c>
      <c r="V1813" s="28"/>
      <c r="W1813" s="28" t="n">
        <f aca="false">V1813*$M1813</f>
        <v>0</v>
      </c>
      <c r="X1813" s="28" t="n">
        <f aca="false">3875617/100</f>
        <v>38756.17</v>
      </c>
      <c r="Y1813" s="28" t="n">
        <v>106579</v>
      </c>
      <c r="Z1813" s="28" t="n">
        <f aca="false">62500/100</f>
        <v>625</v>
      </c>
      <c r="AA1813" s="28" t="n">
        <v>1719</v>
      </c>
      <c r="AB1813" s="28" t="n">
        <f aca="false">360000/100</f>
        <v>3600</v>
      </c>
      <c r="AC1813" s="28" t="n">
        <v>9900</v>
      </c>
      <c r="AD1813" s="28"/>
      <c r="AE1813" s="28" t="n">
        <f aca="false">AD1813*$M1813</f>
        <v>0</v>
      </c>
      <c r="AF1813" s="28"/>
      <c r="AG1813" s="28" t="n">
        <f aca="false">AF1813*$M1813</f>
        <v>0</v>
      </c>
      <c r="AH1813" s="28"/>
      <c r="AI1813" s="28" t="n">
        <f aca="false">AH1813*$M1813</f>
        <v>0</v>
      </c>
      <c r="AJ1813" s="28"/>
      <c r="AK1813" s="28" t="n">
        <f aca="false">AJ1813*$M1813</f>
        <v>0</v>
      </c>
      <c r="AL1813" s="28"/>
      <c r="AM1813" s="28" t="n">
        <f aca="false">AL1813*$M1813</f>
        <v>0</v>
      </c>
      <c r="AN1813" s="28"/>
      <c r="AO1813" s="28" t="n">
        <f aca="false">AN1813*$M1813</f>
        <v>0</v>
      </c>
      <c r="AP1813" s="28"/>
      <c r="AQ1813" s="28" t="n">
        <f aca="false">AP1813*$M1813</f>
        <v>0</v>
      </c>
      <c r="AR1813" s="28"/>
      <c r="AS1813" s="28" t="n">
        <f aca="false">AR1813*$M1813</f>
        <v>0</v>
      </c>
      <c r="AT1813" s="28"/>
      <c r="AU1813" s="28" t="n">
        <f aca="false">AT1813*$M1813</f>
        <v>0</v>
      </c>
      <c r="AV1813" s="28"/>
      <c r="AW1813" s="28" t="n">
        <f aca="false">AV1813*$M1813</f>
        <v>0</v>
      </c>
      <c r="AX1813" s="28"/>
      <c r="AY1813" s="28" t="n">
        <f aca="false">AX1813*$M1813</f>
        <v>0</v>
      </c>
      <c r="AZ1813" s="30" t="n">
        <f aca="false">4298117/100</f>
        <v>42981.17</v>
      </c>
      <c r="BA1813" s="11" t="n">
        <v>118198</v>
      </c>
      <c r="BB1813" s="31" t="n">
        <f aca="false">SUM(Q1813,S1813,U1813,W1813,Y1813,AA1813,AC1813,AE1813,AG1813,AI1813,AK1813,AM1813,AO1813,AQ1813,AS1813,AU1813,AW1813,AY1813)</f>
        <v>118198</v>
      </c>
      <c r="BC1813" s="28" t="n">
        <f aca="false">BA1813-BB1813</f>
        <v>0</v>
      </c>
      <c r="BD1813" s="32" t="n">
        <f aca="false">SUM(P1813,R1813,T1813,V1813,X1813,Z1813,AB1813,AD1813,AF1813,AH1813,AJ1813,AL1813,AN1813,AP1813,AR1813,AT1813,AV1813,AX1813)</f>
        <v>42981.17</v>
      </c>
      <c r="BE1813" s="33" t="n">
        <f aca="false">AZ1813-BD1813</f>
        <v>0</v>
      </c>
      <c r="BF1813" s="34" t="n">
        <f aca="false">BD1813*M1813</f>
        <v>118198.2175</v>
      </c>
      <c r="BG1813" s="35" t="n">
        <f aca="false">BA1813-BF1813</f>
        <v>-0.217499999998836</v>
      </c>
      <c r="BH1813" s="19" t="str">
        <f aca="false">IF(BG1813=0,"",IF(BG1813&lt;&gt;BA1813,"erreur de calcul",IF(BD1813&lt;&gt;0,"pas de prix",IF(M1813&lt;&gt; 0,"pas de quantité","pas de prix, ni de quantité"))))</f>
        <v>erreur de calcul</v>
      </c>
      <c r="BI1813" s="19"/>
    </row>
    <row r="1814" customFormat="false" ht="15" hidden="false" customHeight="false" outlineLevel="0" collapsed="false">
      <c r="A1814" s="0" t="n">
        <v>16</v>
      </c>
      <c r="B1814" s="8" t="s">
        <v>24</v>
      </c>
      <c r="C1814" s="9" t="s">
        <v>25</v>
      </c>
      <c r="D1814" s="9" t="s">
        <v>26</v>
      </c>
      <c r="E1814" s="10" t="n">
        <v>1789</v>
      </c>
      <c r="F1814" s="9" t="s">
        <v>27</v>
      </c>
      <c r="G1814" s="9" t="s">
        <v>27</v>
      </c>
      <c r="H1814" s="11" t="n">
        <v>20</v>
      </c>
      <c r="I1814" s="11" t="s">
        <v>132</v>
      </c>
      <c r="J1814" s="14"/>
      <c r="K1814" s="14" t="n">
        <v>50</v>
      </c>
      <c r="L1814" s="16"/>
      <c r="M1814" s="27" t="n">
        <f aca="false">J1814+(K1814/20)+(L1814/240)</f>
        <v>2.5</v>
      </c>
      <c r="N1814" s="17" t="s">
        <v>64</v>
      </c>
      <c r="O1814" s="11"/>
      <c r="P1814" s="28"/>
      <c r="Q1814" s="28" t="n">
        <f aca="false">P1814*$M1814</f>
        <v>0</v>
      </c>
      <c r="R1814" s="28"/>
      <c r="S1814" s="28" t="n">
        <f aca="false">R1814*$M1814</f>
        <v>0</v>
      </c>
      <c r="T1814" s="28"/>
      <c r="U1814" s="28" t="n">
        <f aca="false">T1814*$M1814</f>
        <v>0</v>
      </c>
      <c r="V1814" s="28" t="n">
        <f aca="false">25000/100</f>
        <v>250</v>
      </c>
      <c r="W1814" s="28" t="n">
        <v>625</v>
      </c>
      <c r="X1814" s="28" t="n">
        <f aca="false">9335/100</f>
        <v>93.35</v>
      </c>
      <c r="Y1814" s="28" t="n">
        <v>233</v>
      </c>
      <c r="Z1814" s="28"/>
      <c r="AA1814" s="28" t="n">
        <f aca="false">Z1814*$M1814</f>
        <v>0</v>
      </c>
      <c r="AB1814" s="28"/>
      <c r="AC1814" s="28" t="n">
        <f aca="false">AB1814*$M1814</f>
        <v>0</v>
      </c>
      <c r="AD1814" s="28"/>
      <c r="AE1814" s="28" t="n">
        <f aca="false">AD1814*$M1814</f>
        <v>0</v>
      </c>
      <c r="AF1814" s="28"/>
      <c r="AG1814" s="28" t="n">
        <f aca="false">AF1814*$M1814</f>
        <v>0</v>
      </c>
      <c r="AH1814" s="28"/>
      <c r="AI1814" s="28" t="n">
        <f aca="false">AH1814*$M1814</f>
        <v>0</v>
      </c>
      <c r="AJ1814" s="28"/>
      <c r="AK1814" s="28" t="n">
        <f aca="false">AJ1814*$M1814</f>
        <v>0</v>
      </c>
      <c r="AL1814" s="28"/>
      <c r="AM1814" s="28" t="n">
        <f aca="false">AL1814*$M1814</f>
        <v>0</v>
      </c>
      <c r="AN1814" s="28"/>
      <c r="AO1814" s="28" t="n">
        <f aca="false">AN1814*$M1814</f>
        <v>0</v>
      </c>
      <c r="AP1814" s="28"/>
      <c r="AQ1814" s="28" t="n">
        <f aca="false">AP1814*$M1814</f>
        <v>0</v>
      </c>
      <c r="AR1814" s="28"/>
      <c r="AS1814" s="28" t="n">
        <f aca="false">AR1814*$M1814</f>
        <v>0</v>
      </c>
      <c r="AT1814" s="28"/>
      <c r="AU1814" s="28" t="n">
        <f aca="false">AT1814*$M1814</f>
        <v>0</v>
      </c>
      <c r="AV1814" s="28"/>
      <c r="AW1814" s="28" t="n">
        <f aca="false">AV1814*$M1814</f>
        <v>0</v>
      </c>
      <c r="AX1814" s="28"/>
      <c r="AY1814" s="28" t="n">
        <f aca="false">AX1814*$M1814</f>
        <v>0</v>
      </c>
      <c r="AZ1814" s="30" t="n">
        <f aca="false">34335/100</f>
        <v>343.35</v>
      </c>
      <c r="BA1814" s="11" t="n">
        <v>858</v>
      </c>
      <c r="BB1814" s="31" t="n">
        <f aca="false">SUM(Q1814,S1814,U1814,W1814,Y1814,AA1814,AC1814,AE1814,AG1814,AI1814,AK1814,AM1814,AO1814,AQ1814,AS1814,AU1814,AW1814,AY1814)</f>
        <v>858</v>
      </c>
      <c r="BC1814" s="28" t="n">
        <f aca="false">BA1814-BB1814</f>
        <v>0</v>
      </c>
      <c r="BD1814" s="32" t="n">
        <f aca="false">SUM(P1814,R1814,T1814,V1814,X1814,Z1814,AB1814,AD1814,AF1814,AH1814,AJ1814,AL1814,AN1814,AP1814,AR1814,AT1814,AV1814,AX1814)</f>
        <v>343.35</v>
      </c>
      <c r="BE1814" s="33" t="n">
        <f aca="false">AZ1814-BD1814</f>
        <v>0</v>
      </c>
      <c r="BF1814" s="34" t="n">
        <f aca="false">BD1814*M1814</f>
        <v>858.375</v>
      </c>
      <c r="BG1814" s="35" t="n">
        <f aca="false">BA1814-BF1814</f>
        <v>-0.375</v>
      </c>
      <c r="BH1814" s="19" t="str">
        <f aca="false">IF(BG1814=0,"",IF(BG1814&lt;&gt;BA1814,"erreur de calcul",IF(BD1814&lt;&gt;0,"pas de prix",IF(M1814&lt;&gt; 0,"pas de quantité","pas de prix, ni de quantité"))))</f>
        <v>erreur de calcul</v>
      </c>
      <c r="BI1814" s="19"/>
    </row>
    <row r="1815" customFormat="false" ht="15" hidden="false" customHeight="false" outlineLevel="0" collapsed="false">
      <c r="A1815" s="0" t="n">
        <v>17</v>
      </c>
      <c r="B1815" s="8" t="s">
        <v>24</v>
      </c>
      <c r="C1815" s="9" t="s">
        <v>25</v>
      </c>
      <c r="D1815" s="9" t="s">
        <v>26</v>
      </c>
      <c r="E1815" s="10" t="n">
        <v>1789</v>
      </c>
      <c r="F1815" s="9" t="s">
        <v>27</v>
      </c>
      <c r="G1815" s="9" t="s">
        <v>27</v>
      </c>
      <c r="H1815" s="11" t="n">
        <v>20</v>
      </c>
      <c r="I1815" s="11" t="s">
        <v>133</v>
      </c>
      <c r="J1815" s="14" t="n">
        <v>175</v>
      </c>
      <c r="K1815" s="14"/>
      <c r="L1815" s="16"/>
      <c r="M1815" s="27" t="n">
        <f aca="false">J1815+(K1815/20)+(L1815/240)</f>
        <v>175</v>
      </c>
      <c r="N1815" s="17" t="s">
        <v>64</v>
      </c>
      <c r="O1815" s="11"/>
      <c r="P1815" s="28" t="n">
        <f aca="false">84/100</f>
        <v>0.84</v>
      </c>
      <c r="Q1815" s="28" t="n">
        <v>147</v>
      </c>
      <c r="R1815" s="28"/>
      <c r="S1815" s="28" t="n">
        <f aca="false">R1815*$M1815</f>
        <v>0</v>
      </c>
      <c r="T1815" s="28"/>
      <c r="U1815" s="28" t="n">
        <f aca="false">T1815*$M1815</f>
        <v>0</v>
      </c>
      <c r="V1815" s="28" t="n">
        <f aca="false">124/100</f>
        <v>1.24</v>
      </c>
      <c r="W1815" s="28" t="n">
        <v>217</v>
      </c>
      <c r="X1815" s="28" t="n">
        <f aca="false">6034/100</f>
        <v>60.34</v>
      </c>
      <c r="Y1815" s="28" t="n">
        <v>10559</v>
      </c>
      <c r="Z1815" s="28" t="n">
        <f aca="false">147/100</f>
        <v>1.47</v>
      </c>
      <c r="AA1815" s="28" t="n">
        <v>257</v>
      </c>
      <c r="AB1815" s="28" t="n">
        <f aca="false">195/100</f>
        <v>1.95</v>
      </c>
      <c r="AC1815" s="28" t="n">
        <v>341</v>
      </c>
      <c r="AD1815" s="28"/>
      <c r="AE1815" s="28" t="n">
        <f aca="false">AD1815*$M1815</f>
        <v>0</v>
      </c>
      <c r="AF1815" s="28"/>
      <c r="AG1815" s="28" t="n">
        <f aca="false">AF1815*$M1815</f>
        <v>0</v>
      </c>
      <c r="AH1815" s="28"/>
      <c r="AI1815" s="28" t="n">
        <f aca="false">AH1815*$M1815</f>
        <v>0</v>
      </c>
      <c r="AJ1815" s="28"/>
      <c r="AK1815" s="28" t="n">
        <f aca="false">AJ1815*$M1815</f>
        <v>0</v>
      </c>
      <c r="AL1815" s="28"/>
      <c r="AM1815" s="28" t="n">
        <f aca="false">AL1815*$M1815</f>
        <v>0</v>
      </c>
      <c r="AN1815" s="28"/>
      <c r="AO1815" s="28" t="n">
        <f aca="false">AN1815*$M1815</f>
        <v>0</v>
      </c>
      <c r="AP1815" s="28"/>
      <c r="AQ1815" s="28" t="n">
        <f aca="false">AP1815*$M1815</f>
        <v>0</v>
      </c>
      <c r="AR1815" s="28"/>
      <c r="AS1815" s="28" t="n">
        <f aca="false">AR1815*$M1815</f>
        <v>0</v>
      </c>
      <c r="AT1815" s="28"/>
      <c r="AU1815" s="28" t="n">
        <f aca="false">AT1815*$M1815</f>
        <v>0</v>
      </c>
      <c r="AV1815" s="28"/>
      <c r="AW1815" s="28" t="n">
        <f aca="false">AV1815*$M1815</f>
        <v>0</v>
      </c>
      <c r="AX1815" s="28"/>
      <c r="AY1815" s="28" t="n">
        <f aca="false">AX1815*$M1815</f>
        <v>0</v>
      </c>
      <c r="AZ1815" s="30" t="n">
        <f aca="false">6584/100</f>
        <v>65.84</v>
      </c>
      <c r="BA1815" s="11" t="n">
        <v>11521</v>
      </c>
      <c r="BB1815" s="31" t="n">
        <f aca="false">SUM(Q1815,S1815,U1815,W1815,Y1815,AA1815,AC1815,AE1815,AG1815,AI1815,AK1815,AM1815,AO1815,AQ1815,AS1815,AU1815,AW1815,AY1815)</f>
        <v>11521</v>
      </c>
      <c r="BC1815" s="28" t="n">
        <f aca="false">BA1815-BB1815</f>
        <v>0</v>
      </c>
      <c r="BD1815" s="32" t="n">
        <f aca="false">SUM(P1815,R1815,T1815,V1815,X1815,Z1815,AB1815,AD1815,AF1815,AH1815,AJ1815,AL1815,AN1815,AP1815,AR1815,AT1815,AV1815,AX1815)</f>
        <v>65.84</v>
      </c>
      <c r="BE1815" s="33" t="n">
        <f aca="false">AZ1815-BD1815</f>
        <v>0</v>
      </c>
      <c r="BF1815" s="34" t="n">
        <f aca="false">BD1815*M1815</f>
        <v>11522</v>
      </c>
      <c r="BG1815" s="35" t="n">
        <f aca="false">BA1815-BF1815</f>
        <v>-1</v>
      </c>
      <c r="BH1815" s="19" t="str">
        <f aca="false">IF(BG1815=0,"",IF(BG1815&lt;&gt;BA1815,"erreur de calcul",IF(BD1815&lt;&gt;0,"pas de prix",IF(M1815&lt;&gt; 0,"pas de quantité","pas de prix, ni de quantité"))))</f>
        <v>erreur de calcul</v>
      </c>
      <c r="BI1815" s="19"/>
    </row>
    <row r="1816" customFormat="false" ht="15" hidden="false" customHeight="false" outlineLevel="0" collapsed="false">
      <c r="A1816" s="0" t="n">
        <v>18</v>
      </c>
      <c r="B1816" s="8" t="s">
        <v>24</v>
      </c>
      <c r="C1816" s="9" t="s">
        <v>25</v>
      </c>
      <c r="D1816" s="9" t="s">
        <v>26</v>
      </c>
      <c r="E1816" s="10" t="n">
        <v>1789</v>
      </c>
      <c r="F1816" s="9" t="s">
        <v>27</v>
      </c>
      <c r="G1816" s="9" t="s">
        <v>27</v>
      </c>
      <c r="H1816" s="11" t="n">
        <v>20</v>
      </c>
      <c r="I1816" s="11" t="s">
        <v>134</v>
      </c>
      <c r="J1816" s="14" t="n">
        <v>210</v>
      </c>
      <c r="K1816" s="14"/>
      <c r="L1816" s="16"/>
      <c r="M1816" s="27" t="n">
        <f aca="false">J1816+(K1816/20)+(L1816/240)</f>
        <v>210</v>
      </c>
      <c r="N1816" s="17" t="s">
        <v>64</v>
      </c>
      <c r="O1816" s="11"/>
      <c r="P1816" s="28"/>
      <c r="Q1816" s="28" t="n">
        <f aca="false">P1816*$M1816</f>
        <v>0</v>
      </c>
      <c r="R1816" s="28"/>
      <c r="S1816" s="28" t="n">
        <f aca="false">R1816*$M1816</f>
        <v>0</v>
      </c>
      <c r="T1816" s="28"/>
      <c r="U1816" s="28" t="n">
        <f aca="false">T1816*$M1816</f>
        <v>0</v>
      </c>
      <c r="V1816" s="28" t="n">
        <f aca="false">869/100</f>
        <v>8.69</v>
      </c>
      <c r="W1816" s="28" t="n">
        <v>1825</v>
      </c>
      <c r="X1816" s="28"/>
      <c r="Y1816" s="28" t="n">
        <f aca="false">X1816*$M1816</f>
        <v>0</v>
      </c>
      <c r="Z1816" s="28"/>
      <c r="AA1816" s="28" t="n">
        <f aca="false">Z1816*$M1816</f>
        <v>0</v>
      </c>
      <c r="AB1816" s="28"/>
      <c r="AC1816" s="28" t="n">
        <f aca="false">AB1816*$M1816</f>
        <v>0</v>
      </c>
      <c r="AD1816" s="28"/>
      <c r="AE1816" s="28" t="n">
        <f aca="false">AD1816*$M1816</f>
        <v>0</v>
      </c>
      <c r="AF1816" s="28"/>
      <c r="AG1816" s="28" t="n">
        <f aca="false">AF1816*$M1816</f>
        <v>0</v>
      </c>
      <c r="AH1816" s="28"/>
      <c r="AI1816" s="28" t="n">
        <f aca="false">AH1816*$M1816</f>
        <v>0</v>
      </c>
      <c r="AJ1816" s="28"/>
      <c r="AK1816" s="28" t="n">
        <f aca="false">AJ1816*$M1816</f>
        <v>0</v>
      </c>
      <c r="AL1816" s="28"/>
      <c r="AM1816" s="28" t="n">
        <f aca="false">AL1816*$M1816</f>
        <v>0</v>
      </c>
      <c r="AN1816" s="28"/>
      <c r="AO1816" s="28" t="n">
        <f aca="false">AN1816*$M1816</f>
        <v>0</v>
      </c>
      <c r="AP1816" s="28"/>
      <c r="AQ1816" s="28" t="n">
        <f aca="false">AP1816*$M1816</f>
        <v>0</v>
      </c>
      <c r="AR1816" s="28"/>
      <c r="AS1816" s="28" t="n">
        <f aca="false">AR1816*$M1816</f>
        <v>0</v>
      </c>
      <c r="AT1816" s="28"/>
      <c r="AU1816" s="28" t="n">
        <f aca="false">AT1816*$M1816</f>
        <v>0</v>
      </c>
      <c r="AV1816" s="28"/>
      <c r="AW1816" s="28" t="n">
        <f aca="false">AV1816*$M1816</f>
        <v>0</v>
      </c>
      <c r="AX1816" s="28"/>
      <c r="AY1816" s="28" t="n">
        <f aca="false">AX1816*$M1816</f>
        <v>0</v>
      </c>
      <c r="AZ1816" s="30" t="n">
        <f aca="false">869/100</f>
        <v>8.69</v>
      </c>
      <c r="BA1816" s="11" t="n">
        <v>1825</v>
      </c>
      <c r="BB1816" s="31" t="n">
        <f aca="false">SUM(Q1816,S1816,U1816,W1816,Y1816,AA1816,AC1816,AE1816,AG1816,AI1816,AK1816,AM1816,AO1816,AQ1816,AS1816,AU1816,AW1816,AY1816)</f>
        <v>1825</v>
      </c>
      <c r="BC1816" s="28" t="n">
        <f aca="false">BA1816-BB1816</f>
        <v>0</v>
      </c>
      <c r="BD1816" s="32" t="n">
        <f aca="false">SUM(P1816,R1816,T1816,V1816,X1816,Z1816,AB1816,AD1816,AF1816,AH1816,AJ1816,AL1816,AN1816,AP1816,AR1816,AT1816,AV1816,AX1816)</f>
        <v>8.69</v>
      </c>
      <c r="BE1816" s="33" t="n">
        <f aca="false">AZ1816-BD1816</f>
        <v>0</v>
      </c>
      <c r="BF1816" s="34" t="n">
        <f aca="false">BD1816*M1816</f>
        <v>1824.9</v>
      </c>
      <c r="BG1816" s="35" t="n">
        <f aca="false">BA1816-BF1816</f>
        <v>0.100000000000136</v>
      </c>
      <c r="BH1816" s="19" t="str">
        <f aca="false">IF(BG1816=0,"",IF(BG1816&lt;&gt;BA1816,"erreur de calcul",IF(BD1816&lt;&gt;0,"pas de prix",IF(M1816&lt;&gt; 0,"pas de quantité","pas de prix, ni de quantité"))))</f>
        <v>erreur de calcul</v>
      </c>
      <c r="BI1816" s="19"/>
    </row>
    <row r="1817" customFormat="false" ht="15" hidden="false" customHeight="false" outlineLevel="0" collapsed="false">
      <c r="A1817" s="0" t="n">
        <v>19</v>
      </c>
      <c r="B1817" s="8" t="s">
        <v>24</v>
      </c>
      <c r="C1817" s="9" t="s">
        <v>25</v>
      </c>
      <c r="D1817" s="9" t="s">
        <v>26</v>
      </c>
      <c r="E1817" s="10" t="n">
        <v>1789</v>
      </c>
      <c r="F1817" s="9" t="s">
        <v>27</v>
      </c>
      <c r="G1817" s="9" t="s">
        <v>27</v>
      </c>
      <c r="H1817" s="11" t="n">
        <v>20</v>
      </c>
      <c r="I1817" s="11" t="s">
        <v>135</v>
      </c>
      <c r="J1817" s="14" t="n">
        <v>170</v>
      </c>
      <c r="K1817" s="14"/>
      <c r="L1817" s="16"/>
      <c r="M1817" s="27" t="n">
        <f aca="false">J1817+(K1817/20)+(L1817/240)</f>
        <v>170</v>
      </c>
      <c r="N1817" s="17" t="s">
        <v>64</v>
      </c>
      <c r="O1817" s="11" t="s">
        <v>77</v>
      </c>
      <c r="P1817" s="28"/>
      <c r="Q1817" s="28" t="n">
        <f aca="false">P1817*$M1817</f>
        <v>0</v>
      </c>
      <c r="R1817" s="28"/>
      <c r="S1817" s="28" t="n">
        <f aca="false">R1817*$M1817</f>
        <v>0</v>
      </c>
      <c r="T1817" s="28"/>
      <c r="U1817" s="28" t="n">
        <f aca="false">T1817*$M1817</f>
        <v>0</v>
      </c>
      <c r="V1817" s="28"/>
      <c r="W1817" s="28" t="n">
        <f aca="false">V1817*$M1817</f>
        <v>0</v>
      </c>
      <c r="X1817" s="28"/>
      <c r="Y1817" s="28" t="n">
        <f aca="false">X1817*$M1817</f>
        <v>0</v>
      </c>
      <c r="Z1817" s="28"/>
      <c r="AA1817" s="28" t="n">
        <f aca="false">Z1817*$M1817</f>
        <v>0</v>
      </c>
      <c r="AB1817" s="28"/>
      <c r="AC1817" s="28" t="n">
        <f aca="false">AB1817*$M1817</f>
        <v>0</v>
      </c>
      <c r="AD1817" s="28"/>
      <c r="AE1817" s="28" t="n">
        <f aca="false">AD1817*$M1817</f>
        <v>0</v>
      </c>
      <c r="AF1817" s="28" t="n">
        <f aca="false">229459/100</f>
        <v>2294.59</v>
      </c>
      <c r="AG1817" s="28" t="n">
        <v>390080</v>
      </c>
      <c r="AH1817" s="28" t="n">
        <f aca="false">202301/100</f>
        <v>2023.01</v>
      </c>
      <c r="AI1817" s="28" t="n">
        <v>343912</v>
      </c>
      <c r="AJ1817" s="28"/>
      <c r="AK1817" s="28" t="n">
        <f aca="false">AJ1817*$M1817</f>
        <v>0</v>
      </c>
      <c r="AL1817" s="28"/>
      <c r="AM1817" s="28" t="n">
        <f aca="false">AL1817*$M1817</f>
        <v>0</v>
      </c>
      <c r="AN1817" s="28"/>
      <c r="AO1817" s="28" t="n">
        <f aca="false">AN1817*$M1817</f>
        <v>0</v>
      </c>
      <c r="AP1817" s="28"/>
      <c r="AQ1817" s="28" t="n">
        <f aca="false">AP1817*$M1817</f>
        <v>0</v>
      </c>
      <c r="AR1817" s="28"/>
      <c r="AS1817" s="28" t="n">
        <f aca="false">AR1817*$M1817</f>
        <v>0</v>
      </c>
      <c r="AT1817" s="28"/>
      <c r="AU1817" s="28" t="n">
        <f aca="false">AT1817*$M1817</f>
        <v>0</v>
      </c>
      <c r="AV1817" s="28"/>
      <c r="AW1817" s="28" t="n">
        <f aca="false">AV1817*$M1817</f>
        <v>0</v>
      </c>
      <c r="AX1817" s="28" t="n">
        <f aca="false">2736/100</f>
        <v>27.36</v>
      </c>
      <c r="AY1817" s="28" t="n">
        <v>4651</v>
      </c>
      <c r="AZ1817" s="30" t="n">
        <f aca="false">434496/100</f>
        <v>4344.96</v>
      </c>
      <c r="BA1817" s="11" t="n">
        <v>738643</v>
      </c>
      <c r="BB1817" s="31" t="n">
        <f aca="false">SUM(Q1817,S1817,U1817,W1817,Y1817,AA1817,AC1817,AE1817,AG1817,AI1817,AK1817,AM1817,AO1817,AQ1817,AS1817,AU1817,AW1817,AY1817)</f>
        <v>738643</v>
      </c>
      <c r="BC1817" s="28" t="n">
        <f aca="false">BA1817-BB1817</f>
        <v>0</v>
      </c>
      <c r="BD1817" s="32" t="n">
        <f aca="false">SUM(P1817,R1817,T1817,V1817,X1817,Z1817,AB1817,AD1817,AF1817,AH1817,AJ1817,AL1817,AN1817,AP1817,AR1817,AT1817,AV1817,AX1817)</f>
        <v>4344.96</v>
      </c>
      <c r="BE1817" s="33" t="n">
        <f aca="false">AZ1817-BD1817</f>
        <v>0</v>
      </c>
      <c r="BF1817" s="34" t="n">
        <f aca="false">BD1817*M1817</f>
        <v>738643.2</v>
      </c>
      <c r="BG1817" s="35" t="n">
        <f aca="false">BA1817-BF1817</f>
        <v>-0.199999999953434</v>
      </c>
      <c r="BH1817" s="19" t="str">
        <f aca="false">IF(BG1817=0,"",IF(BG1817&lt;&gt;BA1817,"erreur de calcul",IF(BD1817&lt;&gt;0,"pas de prix",IF(M1817&lt;&gt; 0,"pas de quantité","pas de prix, ni de quantité"))))</f>
        <v>erreur de calcul</v>
      </c>
      <c r="BI1817" s="19"/>
    </row>
    <row r="1818" customFormat="false" ht="15" hidden="false" customHeight="false" outlineLevel="0" collapsed="false">
      <c r="A1818" s="0" t="n">
        <v>20</v>
      </c>
      <c r="B1818" s="8" t="s">
        <v>24</v>
      </c>
      <c r="C1818" s="9" t="s">
        <v>25</v>
      </c>
      <c r="D1818" s="9" t="s">
        <v>26</v>
      </c>
      <c r="E1818" s="10" t="n">
        <v>1789</v>
      </c>
      <c r="F1818" s="9" t="s">
        <v>27</v>
      </c>
      <c r="G1818" s="9" t="s">
        <v>27</v>
      </c>
      <c r="H1818" s="11" t="n">
        <v>20</v>
      </c>
      <c r="I1818" s="11" t="s">
        <v>136</v>
      </c>
      <c r="J1818" s="14" t="n">
        <v>41</v>
      </c>
      <c r="K1818" s="14"/>
      <c r="L1818" s="16"/>
      <c r="M1818" s="27" t="n">
        <f aca="false">J1818+(K1818/20)+(L1818/240)</f>
        <v>41</v>
      </c>
      <c r="N1818" s="17" t="s">
        <v>64</v>
      </c>
      <c r="O1818" s="11"/>
      <c r="P1818" s="28" t="n">
        <f aca="false">1210/100</f>
        <v>12.1</v>
      </c>
      <c r="Q1818" s="28" t="n">
        <v>496</v>
      </c>
      <c r="R1818" s="28"/>
      <c r="S1818" s="28" t="n">
        <f aca="false">R1818*$M1818</f>
        <v>0</v>
      </c>
      <c r="T1818" s="28"/>
      <c r="U1818" s="28" t="n">
        <f aca="false">T1818*$M1818</f>
        <v>0</v>
      </c>
      <c r="V1818" s="28"/>
      <c r="W1818" s="28" t="n">
        <f aca="false">V1818*$M1818</f>
        <v>0</v>
      </c>
      <c r="X1818" s="28"/>
      <c r="Y1818" s="28" t="n">
        <f aca="false">X1818*$M1818</f>
        <v>0</v>
      </c>
      <c r="Z1818" s="28"/>
      <c r="AA1818" s="28" t="n">
        <f aca="false">Z1818*$M1818</f>
        <v>0</v>
      </c>
      <c r="AB1818" s="28"/>
      <c r="AC1818" s="28" t="n">
        <f aca="false">AB1818*$M1818</f>
        <v>0</v>
      </c>
      <c r="AD1818" s="28"/>
      <c r="AE1818" s="28" t="n">
        <f aca="false">AD1818*$M1818</f>
        <v>0</v>
      </c>
      <c r="AF1818" s="28"/>
      <c r="AG1818" s="28" t="n">
        <f aca="false">AF1818*$M1818</f>
        <v>0</v>
      </c>
      <c r="AH1818" s="28"/>
      <c r="AI1818" s="28" t="n">
        <f aca="false">AH1818*$M1818</f>
        <v>0</v>
      </c>
      <c r="AJ1818" s="28" t="n">
        <f aca="false">85034/100</f>
        <v>850.34</v>
      </c>
      <c r="AK1818" s="28" t="n">
        <v>34864</v>
      </c>
      <c r="AL1818" s="28" t="n">
        <f aca="false">1024/100</f>
        <v>10.24</v>
      </c>
      <c r="AM1818" s="28" t="n">
        <v>420</v>
      </c>
      <c r="AN1818" s="28"/>
      <c r="AO1818" s="28" t="n">
        <f aca="false">AN1818*$M1818</f>
        <v>0</v>
      </c>
      <c r="AP1818" s="28"/>
      <c r="AQ1818" s="28" t="n">
        <f aca="false">AP1818*$M1818</f>
        <v>0</v>
      </c>
      <c r="AR1818" s="28"/>
      <c r="AS1818" s="28" t="n">
        <f aca="false">AR1818*$M1818</f>
        <v>0</v>
      </c>
      <c r="AT1818" s="28"/>
      <c r="AU1818" s="28" t="n">
        <f aca="false">AT1818*$M1818</f>
        <v>0</v>
      </c>
      <c r="AV1818" s="28"/>
      <c r="AW1818" s="28" t="n">
        <f aca="false">AV1818*$M1818</f>
        <v>0</v>
      </c>
      <c r="AX1818" s="28"/>
      <c r="AY1818" s="28" t="n">
        <f aca="false">AX1818*$M1818</f>
        <v>0</v>
      </c>
      <c r="AZ1818" s="30" t="n">
        <f aca="false">87268/100</f>
        <v>872.68</v>
      </c>
      <c r="BA1818" s="11" t="n">
        <v>35780</v>
      </c>
      <c r="BB1818" s="31" t="n">
        <f aca="false">SUM(Q1818,S1818,U1818,W1818,Y1818,AA1818,AC1818,AE1818,AG1818,AI1818,AK1818,AM1818,AO1818,AQ1818,AS1818,AU1818,AW1818,AY1818)</f>
        <v>35780</v>
      </c>
      <c r="BC1818" s="28" t="n">
        <f aca="false">BA1818-BB1818</f>
        <v>0</v>
      </c>
      <c r="BD1818" s="32" t="n">
        <f aca="false">SUM(P1818,R1818,T1818,V1818,X1818,Z1818,AB1818,AD1818,AF1818,AH1818,AJ1818,AL1818,AN1818,AP1818,AR1818,AT1818,AV1818,AX1818)</f>
        <v>872.68</v>
      </c>
      <c r="BE1818" s="33" t="n">
        <f aca="false">AZ1818-BD1818</f>
        <v>0</v>
      </c>
      <c r="BF1818" s="34" t="n">
        <f aca="false">BD1818*M1818</f>
        <v>35779.88</v>
      </c>
      <c r="BG1818" s="35" t="n">
        <f aca="false">BA1818-BF1818</f>
        <v>0.119999999995343</v>
      </c>
      <c r="BH1818" s="19" t="str">
        <f aca="false">IF(BG1818=0,"",IF(BG1818&lt;&gt;BA1818,"erreur de calcul",IF(BD1818&lt;&gt;0,"pas de prix",IF(M1818&lt;&gt; 0,"pas de quantité","pas de prix, ni de quantité"))))</f>
        <v>erreur de calcul</v>
      </c>
      <c r="BI1818" s="19"/>
    </row>
    <row r="1819" customFormat="false" ht="15" hidden="false" customHeight="false" outlineLevel="0" collapsed="false">
      <c r="A1819" s="0" t="n">
        <v>21</v>
      </c>
      <c r="B1819" s="8" t="s">
        <v>24</v>
      </c>
      <c r="C1819" s="9" t="s">
        <v>25</v>
      </c>
      <c r="D1819" s="9" t="s">
        <v>26</v>
      </c>
      <c r="E1819" s="10" t="n">
        <v>1789</v>
      </c>
      <c r="F1819" s="9" t="s">
        <v>27</v>
      </c>
      <c r="G1819" s="9" t="s">
        <v>27</v>
      </c>
      <c r="H1819" s="11" t="n">
        <v>20</v>
      </c>
      <c r="I1819" s="11" t="s">
        <v>137</v>
      </c>
      <c r="J1819" s="14"/>
      <c r="K1819" s="14"/>
      <c r="L1819" s="16"/>
      <c r="M1819" s="27" t="n">
        <f aca="false">J1819+(K1819/20)+(L1819/240)</f>
        <v>0</v>
      </c>
      <c r="N1819" s="39" t="s">
        <v>138</v>
      </c>
      <c r="O1819" s="11"/>
      <c r="P1819" s="28" t="n">
        <v>337</v>
      </c>
      <c r="Q1819" s="28" t="n">
        <v>6250</v>
      </c>
      <c r="R1819" s="28"/>
      <c r="S1819" s="28" t="n">
        <f aca="false">R1819*$M1819</f>
        <v>0</v>
      </c>
      <c r="T1819" s="28"/>
      <c r="U1819" s="28" t="n">
        <f aca="false">T1819*$M1819</f>
        <v>0</v>
      </c>
      <c r="V1819" s="28" t="n">
        <v>760</v>
      </c>
      <c r="W1819" s="28" t="n">
        <v>18259</v>
      </c>
      <c r="X1819" s="28"/>
      <c r="Y1819" s="28" t="n">
        <f aca="false">X1819*$M1819</f>
        <v>0</v>
      </c>
      <c r="Z1819" s="28"/>
      <c r="AA1819" s="28" t="n">
        <f aca="false">Z1819*$M1819</f>
        <v>0</v>
      </c>
      <c r="AB1819" s="28"/>
      <c r="AC1819" s="28" t="n">
        <f aca="false">AB1819*$M1819</f>
        <v>0</v>
      </c>
      <c r="AD1819" s="28"/>
      <c r="AE1819" s="28" t="n">
        <f aca="false">AD1819*$M1819</f>
        <v>0</v>
      </c>
      <c r="AF1819" s="28"/>
      <c r="AG1819" s="28" t="n">
        <f aca="false">AF1819*$M1819</f>
        <v>0</v>
      </c>
      <c r="AH1819" s="28"/>
      <c r="AI1819" s="28" t="n">
        <f aca="false">AH1819*$M1819</f>
        <v>0</v>
      </c>
      <c r="AJ1819" s="28"/>
      <c r="AK1819" s="28" t="n">
        <f aca="false">AJ1819*$M1819</f>
        <v>0</v>
      </c>
      <c r="AL1819" s="28"/>
      <c r="AM1819" s="28" t="n">
        <f aca="false">AL1819*$M1819</f>
        <v>0</v>
      </c>
      <c r="AN1819" s="28"/>
      <c r="AO1819" s="28" t="n">
        <f aca="false">AN1819*$M1819</f>
        <v>0</v>
      </c>
      <c r="AP1819" s="28"/>
      <c r="AQ1819" s="28" t="n">
        <f aca="false">AP1819*$M1819</f>
        <v>0</v>
      </c>
      <c r="AR1819" s="28"/>
      <c r="AS1819" s="28" t="n">
        <f aca="false">AR1819*$M1819</f>
        <v>0</v>
      </c>
      <c r="AT1819" s="28"/>
      <c r="AU1819" s="28" t="n">
        <f aca="false">AT1819*$M1819</f>
        <v>0</v>
      </c>
      <c r="AV1819" s="28"/>
      <c r="AW1819" s="28" t="n">
        <f aca="false">AV1819*$M1819</f>
        <v>0</v>
      </c>
      <c r="AX1819" s="28"/>
      <c r="AY1819" s="28" t="n">
        <f aca="false">AX1819*$M1819</f>
        <v>0</v>
      </c>
      <c r="AZ1819" s="30" t="n">
        <f aca="false">1097</f>
        <v>1097</v>
      </c>
      <c r="BA1819" s="11" t="n">
        <v>24509</v>
      </c>
      <c r="BB1819" s="31" t="n">
        <f aca="false">SUM(Q1819,S1819,U1819,W1819,Y1819,AA1819,AC1819,AE1819,AG1819,AI1819,AK1819,AM1819,AO1819,AQ1819,AS1819,AU1819,AW1819,AY1819)</f>
        <v>24509</v>
      </c>
      <c r="BC1819" s="28" t="n">
        <f aca="false">BA1819-BB1819</f>
        <v>0</v>
      </c>
      <c r="BD1819" s="32" t="n">
        <f aca="false">SUM(P1819,R1819,T1819,V1819,X1819,Z1819,AB1819,AD1819,AF1819,AH1819,AJ1819,AL1819,AN1819,AP1819,AR1819,AT1819,AV1819,AX1819)</f>
        <v>1097</v>
      </c>
      <c r="BE1819" s="33" t="n">
        <f aca="false">AZ1819-BD1819</f>
        <v>0</v>
      </c>
      <c r="BF1819" s="34" t="n">
        <f aca="false">BD1819*M1819</f>
        <v>0</v>
      </c>
      <c r="BG1819" s="35" t="n">
        <f aca="false">BA1819-BF1819</f>
        <v>24509</v>
      </c>
      <c r="BH1819" s="19" t="str">
        <f aca="false">IF(BG1819=0,"",IF(BG1819&lt;&gt;BA1819,"erreur de calcul",IF(BD1819&lt;&gt;0,"pas de prix",IF(M1819&lt;&gt; 0,"pas de quantité","pas de prix, ni de quantité"))))</f>
        <v>pas de prix</v>
      </c>
      <c r="BI1819" s="19" t="s">
        <v>139</v>
      </c>
    </row>
    <row r="1820" customFormat="false" ht="15" hidden="false" customHeight="false" outlineLevel="0" collapsed="false">
      <c r="A1820" s="0" t="n">
        <v>22</v>
      </c>
      <c r="B1820" s="8" t="s">
        <v>24</v>
      </c>
      <c r="C1820" s="9" t="s">
        <v>25</v>
      </c>
      <c r="D1820" s="9" t="s">
        <v>26</v>
      </c>
      <c r="E1820" s="10" t="n">
        <v>1789</v>
      </c>
      <c r="F1820" s="9" t="s">
        <v>27</v>
      </c>
      <c r="G1820" s="9" t="s">
        <v>27</v>
      </c>
      <c r="H1820" s="11" t="n">
        <v>20</v>
      </c>
      <c r="I1820" s="11" t="s">
        <v>140</v>
      </c>
      <c r="J1820" s="14" t="n">
        <v>28</v>
      </c>
      <c r="K1820" s="14"/>
      <c r="L1820" s="16"/>
      <c r="M1820" s="27" t="n">
        <f aca="false">J1820+(K1820/20)+(L1820/240)</f>
        <v>28</v>
      </c>
      <c r="N1820" s="17" t="s">
        <v>64</v>
      </c>
      <c r="O1820" s="11"/>
      <c r="P1820" s="28"/>
      <c r="Q1820" s="28" t="n">
        <f aca="false">P1820*$M1820</f>
        <v>0</v>
      </c>
      <c r="R1820" s="28"/>
      <c r="S1820" s="28" t="n">
        <f aca="false">R1820*$M1820</f>
        <v>0</v>
      </c>
      <c r="T1820" s="28"/>
      <c r="U1820" s="28" t="n">
        <f aca="false">T1820*$M1820</f>
        <v>0</v>
      </c>
      <c r="V1820" s="28"/>
      <c r="W1820" s="28" t="n">
        <f aca="false">V1820*$M1820</f>
        <v>0</v>
      </c>
      <c r="X1820" s="28" t="n">
        <f aca="false">2572/100</f>
        <v>25.72</v>
      </c>
      <c r="Y1820" s="28" t="n">
        <v>720</v>
      </c>
      <c r="Z1820" s="28"/>
      <c r="AA1820" s="28" t="n">
        <f aca="false">Z1820*$M1820</f>
        <v>0</v>
      </c>
      <c r="AB1820" s="28"/>
      <c r="AC1820" s="28" t="n">
        <f aca="false">AB1820*$M1820</f>
        <v>0</v>
      </c>
      <c r="AD1820" s="28"/>
      <c r="AE1820" s="28" t="n">
        <f aca="false">AD1820*$M1820</f>
        <v>0</v>
      </c>
      <c r="AF1820" s="28" t="n">
        <f aca="false">3367/100</f>
        <v>33.67</v>
      </c>
      <c r="AG1820" s="36" t="n">
        <v>915</v>
      </c>
      <c r="AH1820" s="28"/>
      <c r="AI1820" s="28" t="n">
        <f aca="false">AH1820*$M1820</f>
        <v>0</v>
      </c>
      <c r="AJ1820" s="28"/>
      <c r="AK1820" s="28" t="n">
        <f aca="false">AJ1820*$M1820</f>
        <v>0</v>
      </c>
      <c r="AL1820" s="28"/>
      <c r="AM1820" s="28" t="n">
        <f aca="false">AL1820*$M1820</f>
        <v>0</v>
      </c>
      <c r="AN1820" s="28"/>
      <c r="AO1820" s="28" t="n">
        <f aca="false">AN1820*$M1820</f>
        <v>0</v>
      </c>
      <c r="AP1820" s="28"/>
      <c r="AQ1820" s="28" t="n">
        <f aca="false">AP1820*$M1820</f>
        <v>0</v>
      </c>
      <c r="AR1820" s="28"/>
      <c r="AS1820" s="28" t="n">
        <f aca="false">AR1820*$M1820</f>
        <v>0</v>
      </c>
      <c r="AT1820" s="28"/>
      <c r="AU1820" s="28" t="n">
        <f aca="false">AT1820*$M1820</f>
        <v>0</v>
      </c>
      <c r="AV1820" s="28"/>
      <c r="AW1820" s="28" t="n">
        <f aca="false">AV1820*$M1820</f>
        <v>0</v>
      </c>
      <c r="AX1820" s="28"/>
      <c r="AY1820" s="28" t="n">
        <f aca="false">AX1820*$M1820</f>
        <v>0</v>
      </c>
      <c r="AZ1820" s="30" t="n">
        <f aca="false">5939/100</f>
        <v>59.39</v>
      </c>
      <c r="BA1820" s="11" t="n">
        <v>1635</v>
      </c>
      <c r="BB1820" s="31" t="n">
        <f aca="false">SUM(Q1820,S1820,U1820,W1820,Y1820,AA1820,AC1820,AE1820,AG1820,AI1820,AK1820,AM1820,AO1820,AQ1820,AS1820,AU1820,AW1820,AY1820)</f>
        <v>1635</v>
      </c>
      <c r="BC1820" s="28" t="n">
        <f aca="false">BA1820-BB1820</f>
        <v>0</v>
      </c>
      <c r="BD1820" s="32" t="n">
        <f aca="false">SUM(P1820,R1820,T1820,V1820,X1820,Z1820,AB1820,AD1820,AF1820,AH1820,AJ1820,AL1820,AN1820,AP1820,AR1820,AT1820,AV1820,AX1820)</f>
        <v>59.39</v>
      </c>
      <c r="BE1820" s="33" t="n">
        <f aca="false">AZ1820-BD1820</f>
        <v>0</v>
      </c>
      <c r="BF1820" s="34" t="n">
        <f aca="false">BD1820*M1820</f>
        <v>1662.92</v>
      </c>
      <c r="BG1820" s="35" t="n">
        <f aca="false">BA1820-BF1820</f>
        <v>-27.9200000000001</v>
      </c>
      <c r="BH1820" s="19" t="str">
        <f aca="false">IF(BG1820=0,"",IF(BG1820&lt;&gt;BA1820,"erreur de calcul",IF(BD1820&lt;&gt;0,"pas de prix",IF(M1820&lt;&gt; 0,"pas de quantité","pas de prix, ni de quantité"))))</f>
        <v>erreur de calcul</v>
      </c>
      <c r="BI1820" s="19"/>
    </row>
    <row r="1821" customFormat="false" ht="15" hidden="false" customHeight="false" outlineLevel="0" collapsed="false">
      <c r="A1821" s="0" t="n">
        <v>23</v>
      </c>
      <c r="B1821" s="8" t="s">
        <v>24</v>
      </c>
      <c r="C1821" s="9" t="s">
        <v>25</v>
      </c>
      <c r="D1821" s="9" t="s">
        <v>26</v>
      </c>
      <c r="E1821" s="10" t="n">
        <v>1789</v>
      </c>
      <c r="F1821" s="9" t="s">
        <v>27</v>
      </c>
      <c r="G1821" s="9" t="s">
        <v>27</v>
      </c>
      <c r="H1821" s="11" t="n">
        <v>20</v>
      </c>
      <c r="I1821" s="11" t="s">
        <v>141</v>
      </c>
      <c r="J1821" s="14" t="n">
        <v>50</v>
      </c>
      <c r="K1821" s="14"/>
      <c r="L1821" s="16"/>
      <c r="M1821" s="27" t="n">
        <f aca="false">J1821+(K1821/20)+(L1821/240)</f>
        <v>50</v>
      </c>
      <c r="N1821" s="17" t="s">
        <v>64</v>
      </c>
      <c r="O1821" s="11"/>
      <c r="P1821" s="28" t="n">
        <f aca="false">79168/100</f>
        <v>791.68</v>
      </c>
      <c r="Q1821" s="28" t="n">
        <v>39584</v>
      </c>
      <c r="R1821" s="28"/>
      <c r="S1821" s="28" t="n">
        <f aca="false">R1821*$M1821</f>
        <v>0</v>
      </c>
      <c r="T1821" s="28" t="n">
        <f aca="false">18545/100</f>
        <v>185.45</v>
      </c>
      <c r="U1821" s="28" t="n">
        <v>9272</v>
      </c>
      <c r="V1821" s="28" t="n">
        <f aca="false">10784/100</f>
        <v>107.84</v>
      </c>
      <c r="W1821" s="28" t="n">
        <v>5392</v>
      </c>
      <c r="X1821" s="28" t="n">
        <f aca="false">22033/100</f>
        <v>220.33</v>
      </c>
      <c r="Y1821" s="28" t="n">
        <v>11016</v>
      </c>
      <c r="Z1821" s="28" t="n">
        <f aca="false">4478/100</f>
        <v>44.78</v>
      </c>
      <c r="AA1821" s="28" t="n">
        <v>2239</v>
      </c>
      <c r="AB1821" s="28" t="n">
        <f aca="false">8901/100</f>
        <v>89.01</v>
      </c>
      <c r="AC1821" s="28" t="n">
        <v>4450</v>
      </c>
      <c r="AD1821" s="28"/>
      <c r="AE1821" s="28" t="n">
        <f aca="false">AD1821*$M1821</f>
        <v>0</v>
      </c>
      <c r="AF1821" s="28"/>
      <c r="AG1821" s="28" t="n">
        <f aca="false">AF1821*$M1821</f>
        <v>0</v>
      </c>
      <c r="AH1821" s="28"/>
      <c r="AI1821" s="28" t="n">
        <f aca="false">AH1821*$M1821</f>
        <v>0</v>
      </c>
      <c r="AJ1821" s="28" t="n">
        <f aca="false">2917/100</f>
        <v>29.17</v>
      </c>
      <c r="AK1821" s="28" t="n">
        <v>1458</v>
      </c>
      <c r="AL1821" s="28"/>
      <c r="AM1821" s="28" t="n">
        <f aca="false">AL1821*$M1821</f>
        <v>0</v>
      </c>
      <c r="AN1821" s="28"/>
      <c r="AO1821" s="28" t="n">
        <f aca="false">AN1821*$M1821</f>
        <v>0</v>
      </c>
      <c r="AP1821" s="28"/>
      <c r="AQ1821" s="28" t="n">
        <f aca="false">AP1821*$M1821</f>
        <v>0</v>
      </c>
      <c r="AR1821" s="28"/>
      <c r="AS1821" s="28" t="n">
        <f aca="false">AR1821*$M1821</f>
        <v>0</v>
      </c>
      <c r="AT1821" s="28"/>
      <c r="AU1821" s="28" t="n">
        <f aca="false">AT1821*$M1821</f>
        <v>0</v>
      </c>
      <c r="AV1821" s="28" t="n">
        <f aca="false">6667/100</f>
        <v>66.67</v>
      </c>
      <c r="AW1821" s="28" t="n">
        <v>3333</v>
      </c>
      <c r="AX1821" s="28"/>
      <c r="AY1821" s="28" t="n">
        <f aca="false">AX1821*$M1821</f>
        <v>0</v>
      </c>
      <c r="AZ1821" s="30" t="n">
        <f aca="false">153493/100</f>
        <v>1534.93</v>
      </c>
      <c r="BA1821" s="11" t="n">
        <v>76744</v>
      </c>
      <c r="BB1821" s="31" t="n">
        <f aca="false">SUM(Q1821,S1821,U1821,W1821,Y1821,AA1821,AC1821,AE1821,AG1821,AI1821,AK1821,AM1821,AO1821,AQ1821,AS1821,AU1821,AW1821,AY1821)</f>
        <v>76744</v>
      </c>
      <c r="BC1821" s="28" t="n">
        <f aca="false">BA1821-BB1821</f>
        <v>0</v>
      </c>
      <c r="BD1821" s="32" t="n">
        <f aca="false">SUM(P1821,R1821,T1821,V1821,X1821,Z1821,AB1821,AD1821,AF1821,AH1821,AJ1821,AL1821,AN1821,AP1821,AR1821,AT1821,AV1821,AX1821)</f>
        <v>1534.93</v>
      </c>
      <c r="BE1821" s="33" t="n">
        <f aca="false">AZ1821-BD1821</f>
        <v>0</v>
      </c>
      <c r="BF1821" s="34" t="n">
        <f aca="false">BD1821*M1821</f>
        <v>76746.5</v>
      </c>
      <c r="BG1821" s="35" t="n">
        <f aca="false">BA1821-BF1821</f>
        <v>-2.49999999998545</v>
      </c>
      <c r="BH1821" s="19" t="str">
        <f aca="false">IF(BG1821=0,"",IF(BG1821&lt;&gt;BA1821,"erreur de calcul",IF(BD1821&lt;&gt;0,"pas de prix",IF(M1821&lt;&gt; 0,"pas de quantité","pas de prix, ni de quantité"))))</f>
        <v>erreur de calcul</v>
      </c>
      <c r="BI1821" s="19"/>
    </row>
    <row r="1822" customFormat="false" ht="15" hidden="false" customHeight="false" outlineLevel="0" collapsed="false">
      <c r="A1822" s="0" t="n">
        <v>24</v>
      </c>
      <c r="B1822" s="8" t="s">
        <v>24</v>
      </c>
      <c r="C1822" s="9" t="s">
        <v>25</v>
      </c>
      <c r="D1822" s="9" t="s">
        <v>26</v>
      </c>
      <c r="E1822" s="10" t="n">
        <v>1789</v>
      </c>
      <c r="F1822" s="9" t="s">
        <v>27</v>
      </c>
      <c r="G1822" s="9" t="s">
        <v>27</v>
      </c>
      <c r="H1822" s="11" t="n">
        <v>20</v>
      </c>
      <c r="I1822" s="11" t="s">
        <v>142</v>
      </c>
      <c r="J1822" s="14" t="n">
        <v>12</v>
      </c>
      <c r="K1822" s="14"/>
      <c r="L1822" s="16"/>
      <c r="M1822" s="27" t="n">
        <f aca="false">J1822+(K1822/20)+(L1822/240)</f>
        <v>12</v>
      </c>
      <c r="N1822" s="17" t="s">
        <v>66</v>
      </c>
      <c r="O1822" s="11"/>
      <c r="P1822" s="28"/>
      <c r="Q1822" s="28" t="n">
        <f aca="false">P1822*$M1822</f>
        <v>0</v>
      </c>
      <c r="R1822" s="28"/>
      <c r="S1822" s="28" t="n">
        <f aca="false">R1822*$M1822</f>
        <v>0</v>
      </c>
      <c r="T1822" s="28"/>
      <c r="U1822" s="28" t="n">
        <f aca="false">T1822*$M1822</f>
        <v>0</v>
      </c>
      <c r="V1822" s="28"/>
      <c r="W1822" s="28" t="n">
        <f aca="false">V1822*$M1822</f>
        <v>0</v>
      </c>
      <c r="X1822" s="28"/>
      <c r="Y1822" s="28" t="n">
        <f aca="false">X1822*$M1822</f>
        <v>0</v>
      </c>
      <c r="Z1822" s="28" t="n">
        <v>21</v>
      </c>
      <c r="AA1822" s="28" t="n">
        <v>252</v>
      </c>
      <c r="AB1822" s="28" t="n">
        <v>672</v>
      </c>
      <c r="AC1822" s="28" t="n">
        <v>8064</v>
      </c>
      <c r="AD1822" s="28"/>
      <c r="AE1822" s="28" t="n">
        <f aca="false">AD1822*$M1822</f>
        <v>0</v>
      </c>
      <c r="AF1822" s="28"/>
      <c r="AG1822" s="28" t="n">
        <f aca="false">AF1822*$M1822</f>
        <v>0</v>
      </c>
      <c r="AH1822" s="28"/>
      <c r="AI1822" s="28" t="n">
        <f aca="false">AH1822*$M1822</f>
        <v>0</v>
      </c>
      <c r="AJ1822" s="28"/>
      <c r="AK1822" s="28" t="n">
        <f aca="false">AJ1822*$M1822</f>
        <v>0</v>
      </c>
      <c r="AL1822" s="28"/>
      <c r="AM1822" s="28" t="n">
        <f aca="false">AL1822*$M1822</f>
        <v>0</v>
      </c>
      <c r="AN1822" s="28"/>
      <c r="AO1822" s="28" t="n">
        <f aca="false">AN1822*$M1822</f>
        <v>0</v>
      </c>
      <c r="AP1822" s="28"/>
      <c r="AQ1822" s="28" t="n">
        <f aca="false">AP1822*$M1822</f>
        <v>0</v>
      </c>
      <c r="AR1822" s="28"/>
      <c r="AS1822" s="28" t="n">
        <f aca="false">AR1822*$M1822</f>
        <v>0</v>
      </c>
      <c r="AT1822" s="28"/>
      <c r="AU1822" s="28" t="n">
        <f aca="false">AT1822*$M1822</f>
        <v>0</v>
      </c>
      <c r="AV1822" s="28"/>
      <c r="AW1822" s="28" t="n">
        <f aca="false">AV1822*$M1822</f>
        <v>0</v>
      </c>
      <c r="AX1822" s="28"/>
      <c r="AY1822" s="28" t="n">
        <f aca="false">AX1822*$M1822</f>
        <v>0</v>
      </c>
      <c r="AZ1822" s="30" t="n">
        <v>693</v>
      </c>
      <c r="BA1822" s="11" t="n">
        <v>8316</v>
      </c>
      <c r="BB1822" s="31" t="n">
        <f aca="false">SUM(Q1822,S1822,U1822,W1822,Y1822,AA1822,AC1822,AE1822,AG1822,AI1822,AK1822,AM1822,AO1822,AQ1822,AS1822,AU1822,AW1822,AY1822)</f>
        <v>8316</v>
      </c>
      <c r="BC1822" s="28" t="n">
        <f aca="false">BA1822-BB1822</f>
        <v>0</v>
      </c>
      <c r="BD1822" s="32" t="n">
        <f aca="false">SUM(P1822,R1822,T1822,V1822,X1822,Z1822,AB1822,AD1822,AF1822,AH1822,AJ1822,AL1822,AN1822,AP1822,AR1822,AT1822,AV1822,AX1822)</f>
        <v>693</v>
      </c>
      <c r="BE1822" s="33" t="n">
        <f aca="false">AZ1822-BD1822</f>
        <v>0</v>
      </c>
      <c r="BF1822" s="34" t="n">
        <f aca="false">BD1822*M1822</f>
        <v>8316</v>
      </c>
      <c r="BG1822" s="35" t="n">
        <f aca="false">BA1822-BF1822</f>
        <v>0</v>
      </c>
      <c r="BH1822" s="19" t="str">
        <f aca="false">IF(BG1822=0,"",IF(BG1822&lt;&gt;BA1822,"erreur de calcul",IF(BD1822&lt;&gt;0,"pas de prix",IF(M1822&lt;&gt; 0,"pas de quantité","pas de prix, ni de quantité"))))</f>
        <v/>
      </c>
      <c r="BI1822" s="19"/>
    </row>
    <row r="1823" customFormat="false" ht="15" hidden="false" customHeight="false" outlineLevel="0" collapsed="false">
      <c r="A1823" s="0" t="n">
        <v>25</v>
      </c>
      <c r="B1823" s="8" t="s">
        <v>24</v>
      </c>
      <c r="C1823" s="9" t="s">
        <v>25</v>
      </c>
      <c r="D1823" s="9" t="s">
        <v>26</v>
      </c>
      <c r="E1823" s="10" t="n">
        <v>1789</v>
      </c>
      <c r="F1823" s="9" t="s">
        <v>27</v>
      </c>
      <c r="G1823" s="9" t="s">
        <v>27</v>
      </c>
      <c r="H1823" s="11" t="n">
        <v>20</v>
      </c>
      <c r="I1823" s="11" t="s">
        <v>143</v>
      </c>
      <c r="J1823" s="14" t="n">
        <v>8</v>
      </c>
      <c r="K1823" s="14"/>
      <c r="L1823" s="16"/>
      <c r="M1823" s="27" t="n">
        <f aca="false">J1823+(K1823/20)+(L1823/240)</f>
        <v>8</v>
      </c>
      <c r="N1823" s="17" t="s">
        <v>85</v>
      </c>
      <c r="O1823" s="11"/>
      <c r="P1823" s="28" t="n">
        <f aca="false">74969/100</f>
        <v>749.69</v>
      </c>
      <c r="Q1823" s="28" t="n">
        <v>5997</v>
      </c>
      <c r="R1823" s="28"/>
      <c r="S1823" s="28" t="n">
        <f aca="false">R1823*$M1823</f>
        <v>0</v>
      </c>
      <c r="T1823" s="28" t="n">
        <f aca="false">58256/100</f>
        <v>582.56</v>
      </c>
      <c r="U1823" s="28" t="n">
        <v>4660</v>
      </c>
      <c r="V1823" s="28" t="n">
        <f aca="false">14450/100</f>
        <v>144.5</v>
      </c>
      <c r="W1823" s="28" t="n">
        <v>1156</v>
      </c>
      <c r="X1823" s="28" t="n">
        <f aca="false">4397/100</f>
        <v>43.97</v>
      </c>
      <c r="Y1823" s="28" t="n">
        <v>352</v>
      </c>
      <c r="Z1823" s="28"/>
      <c r="AA1823" s="28" t="n">
        <f aca="false">Z1823*$M1823</f>
        <v>0</v>
      </c>
      <c r="AB1823" s="28" t="n">
        <f aca="false">6400/100</f>
        <v>64</v>
      </c>
      <c r="AC1823" s="28" t="n">
        <v>512</v>
      </c>
      <c r="AD1823" s="28" t="n">
        <f aca="false">19450/100</f>
        <v>194.5</v>
      </c>
      <c r="AE1823" s="28" t="n">
        <v>1556</v>
      </c>
      <c r="AF1823" s="28" t="n">
        <f aca="false">2496/100</f>
        <v>24.96</v>
      </c>
      <c r="AG1823" s="28" t="n">
        <v>200</v>
      </c>
      <c r="AH1823" s="28"/>
      <c r="AI1823" s="28" t="n">
        <f aca="false">AH1823*$M1823</f>
        <v>0</v>
      </c>
      <c r="AJ1823" s="28"/>
      <c r="AK1823" s="28" t="n">
        <f aca="false">AJ1823*$M1823</f>
        <v>0</v>
      </c>
      <c r="AL1823" s="28"/>
      <c r="AM1823" s="28" t="n">
        <f aca="false">AL1823*$M1823</f>
        <v>0</v>
      </c>
      <c r="AN1823" s="28"/>
      <c r="AO1823" s="28" t="n">
        <f aca="false">AN1823*$M1823</f>
        <v>0</v>
      </c>
      <c r="AP1823" s="28"/>
      <c r="AQ1823" s="28" t="n">
        <f aca="false">AP1823*$M1823</f>
        <v>0</v>
      </c>
      <c r="AR1823" s="28"/>
      <c r="AS1823" s="28" t="n">
        <f aca="false">AR1823*$M1823</f>
        <v>0</v>
      </c>
      <c r="AT1823" s="28"/>
      <c r="AU1823" s="28" t="n">
        <f aca="false">AT1823*$M1823</f>
        <v>0</v>
      </c>
      <c r="AV1823" s="28"/>
      <c r="AW1823" s="28" t="n">
        <f aca="false">AV1823*$M1823</f>
        <v>0</v>
      </c>
      <c r="AX1823" s="28"/>
      <c r="AY1823" s="28" t="n">
        <f aca="false">AX1823*$M1823</f>
        <v>0</v>
      </c>
      <c r="AZ1823" s="30" t="n">
        <f aca="false">180418/100</f>
        <v>1804.18</v>
      </c>
      <c r="BA1823" s="11" t="n">
        <v>14433</v>
      </c>
      <c r="BB1823" s="31" t="n">
        <f aca="false">SUM(Q1823,S1823,U1823,W1823,Y1823,AA1823,AC1823,AE1823,AG1823,AI1823,AK1823,AM1823,AO1823,AQ1823,AS1823,AU1823,AW1823,AY1823)</f>
        <v>14433</v>
      </c>
      <c r="BC1823" s="28" t="n">
        <f aca="false">BA1823-BB1823</f>
        <v>0</v>
      </c>
      <c r="BD1823" s="32" t="n">
        <f aca="false">SUM(P1823,R1823,T1823,V1823,X1823,Z1823,AB1823,AD1823,AF1823,AH1823,AJ1823,AL1823,AN1823,AP1823,AR1823,AT1823,AV1823,AX1823)</f>
        <v>1804.18</v>
      </c>
      <c r="BE1823" s="33" t="n">
        <f aca="false">AZ1823-BD1823</f>
        <v>0</v>
      </c>
      <c r="BF1823" s="34" t="n">
        <f aca="false">BD1823*M1823</f>
        <v>14433.44</v>
      </c>
      <c r="BG1823" s="35" t="n">
        <f aca="false">BA1823-BF1823</f>
        <v>-0.440000000000509</v>
      </c>
      <c r="BH1823" s="19" t="str">
        <f aca="false">IF(BG1823=0,"",IF(BG1823&lt;&gt;BA1823,"erreur de calcul",IF(BD1823&lt;&gt;0,"pas de prix",IF(M1823&lt;&gt; 0,"pas de quantité","pas de prix, ni de quantité"))))</f>
        <v>erreur de calcul</v>
      </c>
      <c r="BI1823" s="19"/>
    </row>
    <row r="1824" customFormat="false" ht="15" hidden="false" customHeight="false" outlineLevel="0" collapsed="false">
      <c r="A1824" s="0" t="n">
        <v>26</v>
      </c>
      <c r="B1824" s="8" t="s">
        <v>24</v>
      </c>
      <c r="C1824" s="9" t="s">
        <v>25</v>
      </c>
      <c r="D1824" s="9" t="s">
        <v>26</v>
      </c>
      <c r="E1824" s="10" t="n">
        <v>1789</v>
      </c>
      <c r="F1824" s="9" t="s">
        <v>27</v>
      </c>
      <c r="G1824" s="9" t="s">
        <v>27</v>
      </c>
      <c r="H1824" s="11" t="n">
        <v>20</v>
      </c>
      <c r="I1824" s="11" t="s">
        <v>144</v>
      </c>
      <c r="J1824" s="14" t="n">
        <v>3</v>
      </c>
      <c r="K1824" s="14"/>
      <c r="L1824" s="16"/>
      <c r="M1824" s="27" t="n">
        <f aca="false">J1824+(K1824/20)+(L1824/240)</f>
        <v>3</v>
      </c>
      <c r="N1824" s="17" t="s">
        <v>66</v>
      </c>
      <c r="O1824" s="11"/>
      <c r="P1824" s="28"/>
      <c r="Q1824" s="28" t="n">
        <f aca="false">P1824*$M1824</f>
        <v>0</v>
      </c>
      <c r="R1824" s="28"/>
      <c r="S1824" s="28" t="n">
        <f aca="false">R1824*$M1824</f>
        <v>0</v>
      </c>
      <c r="T1824" s="28" t="n">
        <v>24347</v>
      </c>
      <c r="U1824" s="28" t="n">
        <v>73041</v>
      </c>
      <c r="V1824" s="28" t="n">
        <v>2300</v>
      </c>
      <c r="W1824" s="28" t="n">
        <v>6900</v>
      </c>
      <c r="X1824" s="28" t="n">
        <v>152</v>
      </c>
      <c r="Y1824" s="28" t="n">
        <v>456</v>
      </c>
      <c r="Z1824" s="28"/>
      <c r="AA1824" s="28" t="n">
        <f aca="false">Z1824*$M1824</f>
        <v>0</v>
      </c>
      <c r="AB1824" s="28" t="n">
        <v>53940</v>
      </c>
      <c r="AC1824" s="28" t="n">
        <v>161820</v>
      </c>
      <c r="AD1824" s="28"/>
      <c r="AE1824" s="28" t="n">
        <f aca="false">AD1824*$M1824</f>
        <v>0</v>
      </c>
      <c r="AF1824" s="28"/>
      <c r="AG1824" s="28" t="n">
        <f aca="false">AF1824*$M1824</f>
        <v>0</v>
      </c>
      <c r="AH1824" s="28" t="n">
        <v>1668909</v>
      </c>
      <c r="AI1824" s="28" t="n">
        <v>5006727</v>
      </c>
      <c r="AJ1824" s="28"/>
      <c r="AK1824" s="28" t="n">
        <f aca="false">AJ1824*$M1824</f>
        <v>0</v>
      </c>
      <c r="AL1824" s="28"/>
      <c r="AM1824" s="28" t="n">
        <f aca="false">AL1824*$M1824</f>
        <v>0</v>
      </c>
      <c r="AN1824" s="28" t="n">
        <v>165</v>
      </c>
      <c r="AO1824" s="28" t="n">
        <v>495</v>
      </c>
      <c r="AP1824" s="28"/>
      <c r="AQ1824" s="28" t="n">
        <f aca="false">AP1824*$M1824</f>
        <v>0</v>
      </c>
      <c r="AR1824" s="28"/>
      <c r="AS1824" s="28" t="n">
        <f aca="false">AR1824*$M1824</f>
        <v>0</v>
      </c>
      <c r="AT1824" s="28"/>
      <c r="AU1824" s="28" t="n">
        <f aca="false">AT1824*$M1824</f>
        <v>0</v>
      </c>
      <c r="AV1824" s="28"/>
      <c r="AW1824" s="28" t="n">
        <f aca="false">AV1824*$M1824</f>
        <v>0</v>
      </c>
      <c r="AX1824" s="28"/>
      <c r="AY1824" s="28" t="n">
        <f aca="false">AX1824*$M1824</f>
        <v>0</v>
      </c>
      <c r="AZ1824" s="30" t="n">
        <v>1736540</v>
      </c>
      <c r="BA1824" s="11" t="n">
        <v>5249439</v>
      </c>
      <c r="BB1824" s="31" t="n">
        <f aca="false">SUM(Q1824,S1824,U1824,W1824,Y1824,AA1824,AC1824,AE1824,AG1824,AI1824,AK1824,AM1824,AO1824,AQ1824,AS1824,AU1824,AW1824,AY1824)</f>
        <v>5249439</v>
      </c>
      <c r="BC1824" s="28" t="n">
        <f aca="false">BA1824-BB1824</f>
        <v>0</v>
      </c>
      <c r="BD1824" s="32" t="n">
        <f aca="false">SUM(P1824,R1824,T1824,V1824,X1824,Z1824,AB1824,AD1824,AF1824,AH1824,AJ1824,AL1824,AN1824,AP1824,AR1824,AT1824,AV1824,AX1824)</f>
        <v>1749813</v>
      </c>
      <c r="BE1824" s="33" t="n">
        <f aca="false">AZ1824-BD1824</f>
        <v>-13273</v>
      </c>
      <c r="BF1824" s="34" t="n">
        <f aca="false">BD1824*M1824</f>
        <v>5249439</v>
      </c>
      <c r="BG1824" s="35" t="n">
        <f aca="false">BA1824-BF1824</f>
        <v>0</v>
      </c>
      <c r="BH1824" s="19" t="str">
        <f aca="false">IF(BG1824=0,"",IF(BG1824&lt;&gt;BA1824,"erreur de calcul",IF(BD1824&lt;&gt;0,"pas de prix",IF(M1824&lt;&gt; 0,"pas de quantité","pas de prix, ni de quantité"))))</f>
        <v/>
      </c>
      <c r="BI1824" s="19"/>
    </row>
    <row r="1825" customFormat="false" ht="15" hidden="false" customHeight="false" outlineLevel="0" collapsed="false">
      <c r="A1825" s="0" t="n">
        <v>27</v>
      </c>
      <c r="B1825" s="8" t="s">
        <v>24</v>
      </c>
      <c r="C1825" s="9" t="s">
        <v>25</v>
      </c>
      <c r="D1825" s="9" t="s">
        <v>26</v>
      </c>
      <c r="E1825" s="10" t="n">
        <v>1789</v>
      </c>
      <c r="F1825" s="9" t="s">
        <v>27</v>
      </c>
      <c r="G1825" s="9" t="s">
        <v>27</v>
      </c>
      <c r="H1825" s="11" t="n">
        <v>20</v>
      </c>
      <c r="I1825" s="11" t="s">
        <v>145</v>
      </c>
      <c r="J1825" s="14" t="n">
        <v>4</v>
      </c>
      <c r="K1825" s="14" t="n">
        <v>18</v>
      </c>
      <c r="L1825" s="16"/>
      <c r="M1825" s="27" t="n">
        <f aca="false">J1825+(K1825/20)+(L1825/240)</f>
        <v>4.9</v>
      </c>
      <c r="N1825" s="17" t="s">
        <v>66</v>
      </c>
      <c r="O1825" s="11"/>
      <c r="P1825" s="28"/>
      <c r="Q1825" s="28" t="n">
        <f aca="false">P1825*$M1825</f>
        <v>0</v>
      </c>
      <c r="R1825" s="28"/>
      <c r="S1825" s="28" t="n">
        <f aca="false">R1825*$M1825</f>
        <v>0</v>
      </c>
      <c r="T1825" s="28"/>
      <c r="U1825" s="28" t="n">
        <f aca="false">T1825*$M1825</f>
        <v>0</v>
      </c>
      <c r="V1825" s="28"/>
      <c r="W1825" s="28" t="n">
        <f aca="false">V1825*$M1825</f>
        <v>0</v>
      </c>
      <c r="X1825" s="28"/>
      <c r="Y1825" s="28" t="n">
        <f aca="false">X1825*$M1825</f>
        <v>0</v>
      </c>
      <c r="Z1825" s="28"/>
      <c r="AA1825" s="28" t="n">
        <f aca="false">Z1825*$M1825</f>
        <v>0</v>
      </c>
      <c r="AB1825" s="28"/>
      <c r="AC1825" s="28" t="n">
        <f aca="false">AB1825*$M1825</f>
        <v>0</v>
      </c>
      <c r="AD1825" s="28"/>
      <c r="AE1825" s="28" t="n">
        <f aca="false">AD1825*$M1825</f>
        <v>0</v>
      </c>
      <c r="AF1825" s="28"/>
      <c r="AG1825" s="28" t="n">
        <f aca="false">AF1825*$M1825</f>
        <v>0</v>
      </c>
      <c r="AH1825" s="28" t="n">
        <v>14916</v>
      </c>
      <c r="AI1825" s="28" t="n">
        <v>73088</v>
      </c>
      <c r="AJ1825" s="28"/>
      <c r="AK1825" s="28" t="n">
        <f aca="false">AJ1825*$M1825</f>
        <v>0</v>
      </c>
      <c r="AL1825" s="28"/>
      <c r="AM1825" s="28" t="n">
        <f aca="false">AL1825*$M1825</f>
        <v>0</v>
      </c>
      <c r="AN1825" s="28"/>
      <c r="AO1825" s="28" t="n">
        <f aca="false">AN1825*$M1825</f>
        <v>0</v>
      </c>
      <c r="AP1825" s="28"/>
      <c r="AQ1825" s="28" t="n">
        <f aca="false">AP1825*$M1825</f>
        <v>0</v>
      </c>
      <c r="AR1825" s="28"/>
      <c r="AS1825" s="28" t="n">
        <f aca="false">AR1825*$M1825</f>
        <v>0</v>
      </c>
      <c r="AT1825" s="28"/>
      <c r="AU1825" s="28" t="n">
        <f aca="false">AT1825*$M1825</f>
        <v>0</v>
      </c>
      <c r="AV1825" s="28"/>
      <c r="AW1825" s="28" t="n">
        <f aca="false">AV1825*$M1825</f>
        <v>0</v>
      </c>
      <c r="AX1825" s="28"/>
      <c r="AY1825" s="28" t="n">
        <f aca="false">AX1825*$M1825</f>
        <v>0</v>
      </c>
      <c r="AZ1825" s="30" t="n">
        <v>14916</v>
      </c>
      <c r="BA1825" s="11" t="n">
        <v>73088</v>
      </c>
      <c r="BB1825" s="31" t="n">
        <f aca="false">SUM(Q1825,S1825,U1825,W1825,Y1825,AA1825,AC1825,AE1825,AG1825,AI1825,AK1825,AM1825,AO1825,AQ1825,AS1825,AU1825,AW1825,AY1825)</f>
        <v>73088</v>
      </c>
      <c r="BC1825" s="28" t="n">
        <f aca="false">BA1825-BB1825</f>
        <v>0</v>
      </c>
      <c r="BD1825" s="32" t="n">
        <f aca="false">SUM(P1825,R1825,T1825,V1825,X1825,Z1825,AB1825,AD1825,AF1825,AH1825,AJ1825,AL1825,AN1825,AP1825,AR1825,AT1825,AV1825,AX1825)</f>
        <v>14916</v>
      </c>
      <c r="BE1825" s="33" t="n">
        <f aca="false">AZ1825-BD1825</f>
        <v>0</v>
      </c>
      <c r="BF1825" s="34" t="n">
        <f aca="false">BD1825*M1825</f>
        <v>73088.4</v>
      </c>
      <c r="BG1825" s="35" t="n">
        <f aca="false">BA1825-BF1825</f>
        <v>-0.400000000008731</v>
      </c>
      <c r="BH1825" s="19" t="str">
        <f aca="false">IF(BG1825=0,"",IF(BG1825&lt;&gt;BA1825,"erreur de calcul",IF(BD1825&lt;&gt;0,"pas de prix",IF(M1825&lt;&gt; 0,"pas de quantité","pas de prix, ni de quantité"))))</f>
        <v>erreur de calcul</v>
      </c>
      <c r="BI1825" s="19"/>
    </row>
    <row r="1826" customFormat="false" ht="15" hidden="false" customHeight="false" outlineLevel="0" collapsed="false">
      <c r="A1826" s="0" t="n">
        <v>28</v>
      </c>
      <c r="B1826" s="8" t="s">
        <v>24</v>
      </c>
      <c r="C1826" s="9" t="s">
        <v>25</v>
      </c>
      <c r="D1826" s="9" t="s">
        <v>26</v>
      </c>
      <c r="E1826" s="10" t="n">
        <v>1789</v>
      </c>
      <c r="F1826" s="9" t="s">
        <v>27</v>
      </c>
      <c r="G1826" s="9" t="s">
        <v>27</v>
      </c>
      <c r="H1826" s="11" t="n">
        <v>20</v>
      </c>
      <c r="I1826" s="11" t="s">
        <v>146</v>
      </c>
      <c r="J1826" s="14" t="n">
        <v>126</v>
      </c>
      <c r="K1826" s="14"/>
      <c r="L1826" s="16"/>
      <c r="M1826" s="27"/>
      <c r="N1826" s="17" t="s">
        <v>66</v>
      </c>
      <c r="O1826" s="11" t="s">
        <v>98</v>
      </c>
      <c r="P1826" s="28"/>
      <c r="Q1826" s="28" t="n">
        <f aca="false">P1826*$M1826</f>
        <v>0</v>
      </c>
      <c r="R1826" s="28" t="n">
        <v>82676</v>
      </c>
      <c r="S1826" s="28" t="n">
        <v>28572</v>
      </c>
      <c r="T1826" s="28"/>
      <c r="U1826" s="28" t="n">
        <f aca="false">T1826*$M1826</f>
        <v>0</v>
      </c>
      <c r="V1826" s="28"/>
      <c r="W1826" s="28" t="n">
        <f aca="false">V1826*$M1826</f>
        <v>0</v>
      </c>
      <c r="X1826" s="28"/>
      <c r="Y1826" s="28" t="n">
        <f aca="false">X1826*$M1826</f>
        <v>0</v>
      </c>
      <c r="Z1826" s="28"/>
      <c r="AA1826" s="28" t="n">
        <f aca="false">Z1826*$M1826</f>
        <v>0</v>
      </c>
      <c r="AB1826" s="28"/>
      <c r="AC1826" s="28" t="n">
        <f aca="false">AB1826*$M1826</f>
        <v>0</v>
      </c>
      <c r="AD1826" s="28"/>
      <c r="AE1826" s="28" t="n">
        <f aca="false">AD1826*$M1826</f>
        <v>0</v>
      </c>
      <c r="AF1826" s="28"/>
      <c r="AG1826" s="28" t="n">
        <f aca="false">AF1826*$M1826</f>
        <v>0</v>
      </c>
      <c r="AH1826" s="28" t="n">
        <v>6408925</v>
      </c>
      <c r="AI1826" s="28" t="n">
        <v>8075245</v>
      </c>
      <c r="AJ1826" s="28"/>
      <c r="AK1826" s="28" t="n">
        <f aca="false">AJ1826*$M1826</f>
        <v>0</v>
      </c>
      <c r="AL1826" s="28"/>
      <c r="AM1826" s="28" t="n">
        <f aca="false">AL1826*$M1826</f>
        <v>0</v>
      </c>
      <c r="AN1826" s="28"/>
      <c r="AO1826" s="28" t="n">
        <f aca="false">AN1826*$M1826</f>
        <v>0</v>
      </c>
      <c r="AP1826" s="28"/>
      <c r="AQ1826" s="28" t="n">
        <f aca="false">AP1826*$M1826</f>
        <v>0</v>
      </c>
      <c r="AR1826" s="28"/>
      <c r="AS1826" s="28" t="n">
        <f aca="false">AR1826*$M1826</f>
        <v>0</v>
      </c>
      <c r="AT1826" s="28"/>
      <c r="AU1826" s="28" t="n">
        <f aca="false">AT1826*$M1826</f>
        <v>0</v>
      </c>
      <c r="AV1826" s="28"/>
      <c r="AW1826" s="28" t="n">
        <f aca="false">AV1826*$M1826</f>
        <v>0</v>
      </c>
      <c r="AX1826" s="28"/>
      <c r="AY1826" s="28" t="n">
        <f aca="false">AX1826*$M1826</f>
        <v>0</v>
      </c>
      <c r="AZ1826" s="11" t="n">
        <v>6431601</v>
      </c>
      <c r="BA1826" s="11" t="n">
        <v>8103817</v>
      </c>
      <c r="BB1826" s="31" t="n">
        <f aca="false">SUM(Q1826,S1826,U1826,W1826,Y1826,AA1826,AC1826,AE1826,AG1826,AI1826,AK1826,AM1826,AO1826,AQ1826,AS1826,AU1826,AW1826,AY1826)</f>
        <v>8103817</v>
      </c>
      <c r="BC1826" s="28" t="n">
        <f aca="false">BA1826-BB1826</f>
        <v>0</v>
      </c>
      <c r="BD1826" s="32" t="n">
        <f aca="false">SUM(P1826,R1826,T1826,V1826,X1826,Z1826,AB1826,AD1826,AF1826,AH1826,AJ1826,AL1826,AN1826,AP1826,AR1826,AT1826,AV1826,AX1826)</f>
        <v>6491601</v>
      </c>
      <c r="BE1826" s="33" t="n">
        <f aca="false">AZ1826-BD1826</f>
        <v>-60000</v>
      </c>
      <c r="BF1826" s="34" t="n">
        <f aca="false">BD1826*M1826</f>
        <v>0</v>
      </c>
      <c r="BG1826" s="35" t="n">
        <f aca="false">BA1826-BF1826</f>
        <v>8103817</v>
      </c>
      <c r="BH1826" s="19" t="str">
        <f aca="false">IF(BG1826=0,"",IF(BG1826&lt;&gt;BA1826,"erreur de calcul",IF(BD1826&lt;&gt;0,"pas de prix",IF(M1826&lt;&gt; 0,"pas de quantité","pas de prix, ni de quantité"))))</f>
        <v>pas de prix</v>
      </c>
      <c r="BI1826" s="19" t="s">
        <v>147</v>
      </c>
    </row>
    <row r="1827" customFormat="false" ht="15" hidden="false" customHeight="false" outlineLevel="0" collapsed="false">
      <c r="A1827" s="0" t="n">
        <v>29</v>
      </c>
      <c r="B1827" s="8" t="s">
        <v>24</v>
      </c>
      <c r="C1827" s="9" t="s">
        <v>25</v>
      </c>
      <c r="D1827" s="9" t="s">
        <v>26</v>
      </c>
      <c r="E1827" s="10" t="n">
        <v>1789</v>
      </c>
      <c r="F1827" s="9" t="s">
        <v>27</v>
      </c>
      <c r="G1827" s="9" t="s">
        <v>27</v>
      </c>
      <c r="H1827" s="11" t="n">
        <v>20</v>
      </c>
      <c r="I1827" s="11" t="s">
        <v>148</v>
      </c>
      <c r="J1827" s="14"/>
      <c r="K1827" s="14" t="n">
        <v>20</v>
      </c>
      <c r="L1827" s="16"/>
      <c r="M1827" s="27" t="n">
        <f aca="false">J1827+(K1827/20)+(L1827/240)</f>
        <v>1</v>
      </c>
      <c r="N1827" s="17" t="s">
        <v>66</v>
      </c>
      <c r="O1827" s="11"/>
      <c r="P1827" s="28"/>
      <c r="Q1827" s="28" t="n">
        <f aca="false">P1827*$M1827</f>
        <v>0</v>
      </c>
      <c r="R1827" s="28"/>
      <c r="S1827" s="28" t="n">
        <f aca="false">R1827*$M1827</f>
        <v>0</v>
      </c>
      <c r="T1827" s="28" t="n">
        <v>392</v>
      </c>
      <c r="U1827" s="28" t="n">
        <v>392</v>
      </c>
      <c r="V1827" s="28"/>
      <c r="W1827" s="28" t="n">
        <f aca="false">V1827*$M1827</f>
        <v>0</v>
      </c>
      <c r="X1827" s="28"/>
      <c r="Y1827" s="28" t="n">
        <f aca="false">X1827*$M1827</f>
        <v>0</v>
      </c>
      <c r="Z1827" s="28"/>
      <c r="AA1827" s="28" t="n">
        <f aca="false">Z1827*$M1827</f>
        <v>0</v>
      </c>
      <c r="AB1827" s="28" t="n">
        <v>7596</v>
      </c>
      <c r="AC1827" s="28" t="n">
        <v>7596</v>
      </c>
      <c r="AD1827" s="28"/>
      <c r="AE1827" s="28" t="n">
        <f aca="false">AD1827*$M1827</f>
        <v>0</v>
      </c>
      <c r="AF1827" s="28"/>
      <c r="AG1827" s="28" t="n">
        <f aca="false">AF1827*$M1827</f>
        <v>0</v>
      </c>
      <c r="AH1827" s="28"/>
      <c r="AI1827" s="28" t="n">
        <f aca="false">AH1827*$M1827</f>
        <v>0</v>
      </c>
      <c r="AJ1827" s="28"/>
      <c r="AK1827" s="28" t="n">
        <f aca="false">AJ1827*$M1827</f>
        <v>0</v>
      </c>
      <c r="AL1827" s="28"/>
      <c r="AM1827" s="28" t="n">
        <f aca="false">AL1827*$M1827</f>
        <v>0</v>
      </c>
      <c r="AN1827" s="28"/>
      <c r="AO1827" s="28" t="n">
        <f aca="false">AN1827*$M1827</f>
        <v>0</v>
      </c>
      <c r="AP1827" s="28"/>
      <c r="AQ1827" s="28" t="n">
        <f aca="false">AP1827*$M1827</f>
        <v>0</v>
      </c>
      <c r="AR1827" s="28"/>
      <c r="AS1827" s="28" t="n">
        <f aca="false">AR1827*$M1827</f>
        <v>0</v>
      </c>
      <c r="AT1827" s="28"/>
      <c r="AU1827" s="28" t="n">
        <f aca="false">AT1827*$M1827</f>
        <v>0</v>
      </c>
      <c r="AV1827" s="28"/>
      <c r="AW1827" s="28" t="n">
        <f aca="false">AV1827*$M1827</f>
        <v>0</v>
      </c>
      <c r="AX1827" s="28"/>
      <c r="AY1827" s="28" t="n">
        <f aca="false">AX1827*$M1827</f>
        <v>0</v>
      </c>
      <c r="AZ1827" s="30" t="n">
        <v>7988</v>
      </c>
      <c r="BA1827" s="11" t="n">
        <v>7988</v>
      </c>
      <c r="BB1827" s="31" t="n">
        <f aca="false">SUM(Q1827,S1827,U1827,W1827,Y1827,AA1827,AC1827,AE1827,AG1827,AI1827,AK1827,AM1827,AO1827,AQ1827,AS1827,AU1827,AW1827,AY1827)</f>
        <v>7988</v>
      </c>
      <c r="BC1827" s="28" t="n">
        <f aca="false">BA1827-BB1827</f>
        <v>0</v>
      </c>
      <c r="BD1827" s="32" t="n">
        <f aca="false">SUM(P1827,R1827,T1827,V1827,X1827,Z1827,AB1827,AD1827,AF1827,AH1827,AJ1827,AL1827,AN1827,AP1827,AR1827,AT1827,AV1827,AX1827)</f>
        <v>7988</v>
      </c>
      <c r="BE1827" s="33" t="n">
        <f aca="false">AZ1827-BD1827</f>
        <v>0</v>
      </c>
      <c r="BF1827" s="34" t="n">
        <f aca="false">BD1827*M1827</f>
        <v>7988</v>
      </c>
      <c r="BG1827" s="35" t="n">
        <f aca="false">BA1827-BF1827</f>
        <v>0</v>
      </c>
      <c r="BH1827" s="19" t="str">
        <f aca="false">IF(BG1827=0,"",IF(BG1827&lt;&gt;BA1827,"erreur de calcul",IF(BD1827&lt;&gt;0,"pas de prix",IF(M1827&lt;&gt; 0,"pas de quantité","pas de prix, ni de quantité"))))</f>
        <v/>
      </c>
      <c r="BI1827" s="19"/>
    </row>
    <row r="1828" customFormat="false" ht="15" hidden="false" customHeight="false" outlineLevel="0" collapsed="false">
      <c r="A1828" s="0" t="n">
        <v>30</v>
      </c>
      <c r="B1828" s="8" t="s">
        <v>24</v>
      </c>
      <c r="C1828" s="9" t="s">
        <v>25</v>
      </c>
      <c r="D1828" s="9" t="s">
        <v>26</v>
      </c>
      <c r="E1828" s="10" t="n">
        <v>1789</v>
      </c>
      <c r="F1828" s="9" t="s">
        <v>27</v>
      </c>
      <c r="G1828" s="9" t="s">
        <v>27</v>
      </c>
      <c r="H1828" s="11" t="n">
        <v>20</v>
      </c>
      <c r="I1828" s="11" t="s">
        <v>149</v>
      </c>
      <c r="J1828" s="14" t="n">
        <v>70</v>
      </c>
      <c r="K1828" s="14"/>
      <c r="L1828" s="16"/>
      <c r="M1828" s="27" t="n">
        <f aca="false">J1828+(K1828/20)+(L1828/240)</f>
        <v>70</v>
      </c>
      <c r="N1828" s="17" t="s">
        <v>64</v>
      </c>
      <c r="O1828" s="11"/>
      <c r="P1828" s="28"/>
      <c r="Q1828" s="28" t="n">
        <f aca="false">P1828*$M1828</f>
        <v>0</v>
      </c>
      <c r="R1828" s="28"/>
      <c r="S1828" s="28" t="n">
        <f aca="false">R1828*$M1828</f>
        <v>0</v>
      </c>
      <c r="T1828" s="28"/>
      <c r="U1828" s="28" t="n">
        <f aca="false">T1828*$M1828</f>
        <v>0</v>
      </c>
      <c r="V1828" s="28"/>
      <c r="W1828" s="28" t="n">
        <f aca="false">V1828*$M1828</f>
        <v>0</v>
      </c>
      <c r="X1828" s="28" t="n">
        <f aca="false">1904/100</f>
        <v>19.04</v>
      </c>
      <c r="Y1828" s="28" t="n">
        <v>1333</v>
      </c>
      <c r="Z1828" s="28"/>
      <c r="AA1828" s="28" t="n">
        <f aca="false">Z1828*$M1828</f>
        <v>0</v>
      </c>
      <c r="AB1828" s="28" t="n">
        <f aca="false">51370/100</f>
        <v>513.7</v>
      </c>
      <c r="AC1828" s="28" t="n">
        <v>35959</v>
      </c>
      <c r="AD1828" s="28"/>
      <c r="AE1828" s="28" t="n">
        <f aca="false">AD1828*$M1828</f>
        <v>0</v>
      </c>
      <c r="AF1828" s="28" t="n">
        <f aca="false">8872/100</f>
        <v>88.72</v>
      </c>
      <c r="AG1828" s="28" t="n">
        <v>6210</v>
      </c>
      <c r="AH1828" s="28" t="n">
        <f aca="false">14751/100</f>
        <v>147.51</v>
      </c>
      <c r="AI1828" s="28" t="n">
        <v>10326</v>
      </c>
      <c r="AJ1828" s="28"/>
      <c r="AK1828" s="28" t="n">
        <f aca="false">AJ1828*$M1828</f>
        <v>0</v>
      </c>
      <c r="AL1828" s="28"/>
      <c r="AM1828" s="28" t="n">
        <f aca="false">AL1828*$M1828</f>
        <v>0</v>
      </c>
      <c r="AN1828" s="28"/>
      <c r="AO1828" s="28" t="n">
        <f aca="false">AN1828*$M1828</f>
        <v>0</v>
      </c>
      <c r="AP1828" s="28"/>
      <c r="AQ1828" s="28" t="n">
        <f aca="false">AP1828*$M1828</f>
        <v>0</v>
      </c>
      <c r="AR1828" s="28"/>
      <c r="AS1828" s="28" t="n">
        <f aca="false">AR1828*$M1828</f>
        <v>0</v>
      </c>
      <c r="AT1828" s="28"/>
      <c r="AU1828" s="28" t="n">
        <f aca="false">AT1828*$M1828</f>
        <v>0</v>
      </c>
      <c r="AV1828" s="28"/>
      <c r="AW1828" s="28" t="n">
        <f aca="false">AV1828*$M1828</f>
        <v>0</v>
      </c>
      <c r="AX1828" s="28"/>
      <c r="AY1828" s="28" t="n">
        <f aca="false">AX1828*$M1828</f>
        <v>0</v>
      </c>
      <c r="AZ1828" s="30" t="n">
        <f aca="false">76897/100</f>
        <v>768.97</v>
      </c>
      <c r="BA1828" s="11" t="n">
        <v>53828</v>
      </c>
      <c r="BB1828" s="31" t="n">
        <f aca="false">SUM(Q1828,S1828,U1828,W1828,Y1828,AA1828,AC1828,AE1828,AG1828,AI1828,AK1828,AM1828,AO1828,AQ1828,AS1828,AU1828,AW1828,AY1828)</f>
        <v>53828</v>
      </c>
      <c r="BC1828" s="28" t="n">
        <f aca="false">BA1828-BB1828</f>
        <v>0</v>
      </c>
      <c r="BD1828" s="32" t="n">
        <f aca="false">SUM(P1828,R1828,T1828,V1828,X1828,Z1828,AB1828,AD1828,AF1828,AH1828,AJ1828,AL1828,AN1828,AP1828,AR1828,AT1828,AV1828,AX1828)</f>
        <v>768.97</v>
      </c>
      <c r="BE1828" s="33" t="n">
        <f aca="false">AZ1828-BD1828</f>
        <v>0</v>
      </c>
      <c r="BF1828" s="34" t="n">
        <f aca="false">BD1828*M1828</f>
        <v>53827.9</v>
      </c>
      <c r="BG1828" s="35" t="n">
        <f aca="false">BA1828-BF1828</f>
        <v>0.0999999999985448</v>
      </c>
      <c r="BH1828" s="19" t="str">
        <f aca="false">IF(BG1828=0,"",IF(BG1828&lt;&gt;BA1828,"erreur de calcul",IF(BD1828&lt;&gt;0,"pas de prix",IF(M1828&lt;&gt; 0,"pas de quantité","pas de prix, ni de quantité"))))</f>
        <v>erreur de calcul</v>
      </c>
      <c r="BI1828" s="19"/>
    </row>
    <row r="1829" customFormat="false" ht="15" hidden="false" customHeight="false" outlineLevel="0" collapsed="false">
      <c r="A1829" s="0" t="n">
        <v>31</v>
      </c>
      <c r="B1829" s="8" t="s">
        <v>24</v>
      </c>
      <c r="C1829" s="9" t="s">
        <v>25</v>
      </c>
      <c r="D1829" s="9" t="s">
        <v>26</v>
      </c>
      <c r="E1829" s="10" t="n">
        <v>1789</v>
      </c>
      <c r="F1829" s="9" t="s">
        <v>27</v>
      </c>
      <c r="G1829" s="9" t="s">
        <v>27</v>
      </c>
      <c r="H1829" s="11" t="n">
        <v>20</v>
      </c>
      <c r="I1829" s="11" t="s">
        <v>150</v>
      </c>
      <c r="J1829" s="14" t="n">
        <v>70</v>
      </c>
      <c r="K1829" s="14"/>
      <c r="L1829" s="16"/>
      <c r="M1829" s="27" t="n">
        <f aca="false">J1829+(K1829/20)+(L1829/240)</f>
        <v>70</v>
      </c>
      <c r="N1829" s="17" t="s">
        <v>64</v>
      </c>
      <c r="O1829" s="11" t="s">
        <v>77</v>
      </c>
      <c r="P1829" s="28"/>
      <c r="Q1829" s="28" t="n">
        <f aca="false">P1829*$M1829</f>
        <v>0</v>
      </c>
      <c r="R1829" s="28"/>
      <c r="S1829" s="28" t="n">
        <f aca="false">R1829*$M1829</f>
        <v>0</v>
      </c>
      <c r="T1829" s="28"/>
      <c r="U1829" s="28" t="n">
        <f aca="false">T1829*$M1829</f>
        <v>0</v>
      </c>
      <c r="V1829" s="28"/>
      <c r="W1829" s="28" t="n">
        <f aca="false">V1829*$M1829</f>
        <v>0</v>
      </c>
      <c r="X1829" s="28"/>
      <c r="Y1829" s="28" t="n">
        <f aca="false">X1829*$M1829</f>
        <v>0</v>
      </c>
      <c r="Z1829" s="28"/>
      <c r="AA1829" s="28" t="n">
        <f aca="false">Z1829*$M1829</f>
        <v>0</v>
      </c>
      <c r="AB1829" s="28"/>
      <c r="AC1829" s="28" t="n">
        <f aca="false">AB1829*$M1829</f>
        <v>0</v>
      </c>
      <c r="AD1829" s="28"/>
      <c r="AE1829" s="28" t="n">
        <f aca="false">AD1829*$M1829</f>
        <v>0</v>
      </c>
      <c r="AF1829" s="28"/>
      <c r="AG1829" s="28" t="n">
        <f aca="false">AF1829*$M1829</f>
        <v>0</v>
      </c>
      <c r="AH1829" s="28"/>
      <c r="AI1829" s="28" t="n">
        <f aca="false">AH1829*$M1829</f>
        <v>0</v>
      </c>
      <c r="AJ1829" s="28"/>
      <c r="AK1829" s="28" t="n">
        <f aca="false">AJ1829*$M1829</f>
        <v>0</v>
      </c>
      <c r="AL1829" s="28"/>
      <c r="AM1829" s="28" t="n">
        <f aca="false">AL1829*$M1829</f>
        <v>0</v>
      </c>
      <c r="AN1829" s="28"/>
      <c r="AO1829" s="28" t="n">
        <f aca="false">AN1829*$M1829</f>
        <v>0</v>
      </c>
      <c r="AP1829" s="28"/>
      <c r="AQ1829" s="28" t="n">
        <f aca="false">AP1829*$M1829</f>
        <v>0</v>
      </c>
      <c r="AR1829" s="28"/>
      <c r="AS1829" s="28" t="n">
        <f aca="false">AR1829*$M1829</f>
        <v>0</v>
      </c>
      <c r="AT1829" s="28"/>
      <c r="AU1829" s="28" t="n">
        <f aca="false">AT1829*$M1829</f>
        <v>0</v>
      </c>
      <c r="AV1829" s="28"/>
      <c r="AW1829" s="28" t="n">
        <f aca="false">AV1829*$M1829</f>
        <v>0</v>
      </c>
      <c r="AX1829" s="28"/>
      <c r="AY1829" s="28" t="n">
        <f aca="false">AX1829*$M1829</f>
        <v>0</v>
      </c>
      <c r="AZ1829" s="30"/>
      <c r="BA1829" s="11"/>
      <c r="BB1829" s="31" t="n">
        <f aca="false">SUM(Q1829,S1829,U1829,W1829,Y1829,AA1829,AC1829,AE1829,AG1829,AI1829,AK1829,AM1829,AO1829,AQ1829,AS1829,AU1829,AW1829,AY1829)</f>
        <v>0</v>
      </c>
      <c r="BC1829" s="28" t="n">
        <f aca="false">BA1829-BB1829</f>
        <v>0</v>
      </c>
      <c r="BD1829" s="32" t="n">
        <f aca="false">SUM(P1829,R1829,T1829,V1829,X1829,Z1829,AB1829,AD1829,AF1829,AH1829,AJ1829,AL1829,AN1829,AP1829,AR1829,AT1829,AV1829,AX1829)</f>
        <v>0</v>
      </c>
      <c r="BE1829" s="33" t="n">
        <f aca="false">AZ1829-BD1829</f>
        <v>0</v>
      </c>
      <c r="BF1829" s="34" t="n">
        <f aca="false">BD1829*M1829</f>
        <v>0</v>
      </c>
      <c r="BG1829" s="35" t="n">
        <f aca="false">BA1829-BF1829</f>
        <v>0</v>
      </c>
      <c r="BH1829" s="19" t="str">
        <f aca="false">IF(BG1829=0,"",IF(BG1829&lt;&gt;BA1829,"erreur de calcul",IF(BD1829&lt;&gt;0,"pas de prix",IF(M1829&lt;&gt; 0,"pas de quantité","pas de prix, ni de quantité"))))</f>
        <v/>
      </c>
      <c r="BI1829" s="19"/>
    </row>
    <row r="1830" customFormat="false" ht="15" hidden="false" customHeight="false" outlineLevel="0" collapsed="false">
      <c r="A1830" s="0" t="n">
        <v>32</v>
      </c>
      <c r="B1830" s="8" t="s">
        <v>24</v>
      </c>
      <c r="C1830" s="9" t="s">
        <v>25</v>
      </c>
      <c r="D1830" s="9" t="s">
        <v>26</v>
      </c>
      <c r="E1830" s="10" t="n">
        <v>1789</v>
      </c>
      <c r="F1830" s="9" t="s">
        <v>27</v>
      </c>
      <c r="G1830" s="9" t="s">
        <v>27</v>
      </c>
      <c r="H1830" s="11" t="n">
        <v>20</v>
      </c>
      <c r="I1830" s="11" t="s">
        <v>150</v>
      </c>
      <c r="J1830" s="14" t="n">
        <v>70</v>
      </c>
      <c r="K1830" s="14"/>
      <c r="L1830" s="16"/>
      <c r="M1830" s="27" t="n">
        <f aca="false">J1830+(K1830/20)+(L1830/240)</f>
        <v>70</v>
      </c>
      <c r="N1830" s="17" t="s">
        <v>64</v>
      </c>
      <c r="O1830" s="11" t="s">
        <v>98</v>
      </c>
      <c r="P1830" s="28" t="n">
        <f aca="false">382028/100</f>
        <v>3820.28</v>
      </c>
      <c r="Q1830" s="28" t="n">
        <v>267420</v>
      </c>
      <c r="R1830" s="28" t="n">
        <f aca="false">131361/100</f>
        <v>1313.61</v>
      </c>
      <c r="S1830" s="28" t="n">
        <v>91953</v>
      </c>
      <c r="T1830" s="28" t="n">
        <f aca="false">8856/100</f>
        <v>88.56</v>
      </c>
      <c r="U1830" s="28" t="n">
        <v>6199</v>
      </c>
      <c r="V1830" s="28" t="n">
        <f aca="false">171125/100</f>
        <v>1711.25</v>
      </c>
      <c r="W1830" s="28" t="n">
        <v>119787</v>
      </c>
      <c r="X1830" s="28" t="n">
        <f aca="false">24259/100</f>
        <v>242.59</v>
      </c>
      <c r="Y1830" s="28" t="n">
        <v>16981</v>
      </c>
      <c r="Z1830" s="28"/>
      <c r="AA1830" s="28" t="n">
        <f aca="false">Z1830*$M1830</f>
        <v>0</v>
      </c>
      <c r="AB1830" s="28" t="n">
        <f aca="false">33694/100</f>
        <v>336.94</v>
      </c>
      <c r="AC1830" s="28" t="n">
        <v>23586</v>
      </c>
      <c r="AD1830" s="28" t="n">
        <f aca="false">89734/100</f>
        <v>897.34</v>
      </c>
      <c r="AE1830" s="28" t="n">
        <v>62814</v>
      </c>
      <c r="AF1830" s="28" t="n">
        <f aca="false">1955727/100</f>
        <v>19557.27</v>
      </c>
      <c r="AG1830" s="28" t="n">
        <v>1369009</v>
      </c>
      <c r="AH1830" s="28" t="n">
        <f aca="false">11740/100</f>
        <v>117.4</v>
      </c>
      <c r="AI1830" s="28" t="n">
        <v>8218</v>
      </c>
      <c r="AJ1830" s="28"/>
      <c r="AK1830" s="28" t="n">
        <f aca="false">AJ1830*$M1830</f>
        <v>0</v>
      </c>
      <c r="AL1830" s="28"/>
      <c r="AM1830" s="28" t="n">
        <f aca="false">AL1830*$M1830</f>
        <v>0</v>
      </c>
      <c r="AN1830" s="28"/>
      <c r="AO1830" s="28" t="n">
        <f aca="false">AN1830*$M1830</f>
        <v>0</v>
      </c>
      <c r="AP1830" s="28"/>
      <c r="AQ1830" s="28" t="n">
        <f aca="false">AP1830*$M1830</f>
        <v>0</v>
      </c>
      <c r="AR1830" s="28"/>
      <c r="AS1830" s="28" t="n">
        <f aca="false">AR1830*$M1830</f>
        <v>0</v>
      </c>
      <c r="AT1830" s="28"/>
      <c r="AU1830" s="28" t="n">
        <f aca="false">AT1830*$M1830</f>
        <v>0</v>
      </c>
      <c r="AV1830" s="28" t="n">
        <f aca="false">15000/100</f>
        <v>150</v>
      </c>
      <c r="AW1830" s="28" t="n">
        <v>10500</v>
      </c>
      <c r="AX1830" s="28"/>
      <c r="AY1830" s="28" t="n">
        <f aca="false">AX1830*$M1830</f>
        <v>0</v>
      </c>
      <c r="AZ1830" s="30" t="n">
        <f aca="false">2823524/100</f>
        <v>28235.24</v>
      </c>
      <c r="BA1830" s="11" t="n">
        <v>1976467</v>
      </c>
      <c r="BB1830" s="31" t="n">
        <f aca="false">SUM(Q1830,S1830,U1830,W1830,Y1830,AA1830,AC1830,AE1830,AG1830,AI1830,AK1830,AM1830,AO1830,AQ1830,AS1830,AU1830,AW1830,AY1830)</f>
        <v>1976467</v>
      </c>
      <c r="BC1830" s="28" t="n">
        <f aca="false">BA1830-BB1830</f>
        <v>0</v>
      </c>
      <c r="BD1830" s="32" t="n">
        <f aca="false">SUM(P1830,R1830,T1830,V1830,X1830,Z1830,AB1830,AD1830,AF1830,AH1830,AJ1830,AL1830,AN1830,AP1830,AR1830,AT1830,AV1830,AX1830)</f>
        <v>28235.24</v>
      </c>
      <c r="BE1830" s="33" t="n">
        <f aca="false">AZ1830-BD1830</f>
        <v>0</v>
      </c>
      <c r="BF1830" s="34" t="n">
        <f aca="false">BD1830*M1830</f>
        <v>1976466.8</v>
      </c>
      <c r="BG1830" s="35" t="n">
        <f aca="false">BA1830-BF1830</f>
        <v>0.199999999953434</v>
      </c>
      <c r="BH1830" s="19" t="str">
        <f aca="false">IF(BG1830=0,"",IF(BG1830&lt;&gt;BA1830,"erreur de calcul",IF(BD1830&lt;&gt;0,"pas de prix",IF(M1830&lt;&gt; 0,"pas de quantité","pas de prix, ni de quantité"))))</f>
        <v>erreur de calcul</v>
      </c>
      <c r="BI1830" s="19"/>
    </row>
    <row r="1831" customFormat="false" ht="15" hidden="false" customHeight="false" outlineLevel="0" collapsed="false">
      <c r="A1831" s="0" t="n">
        <v>33</v>
      </c>
      <c r="B1831" s="8" t="s">
        <v>24</v>
      </c>
      <c r="C1831" s="9" t="s">
        <v>25</v>
      </c>
      <c r="D1831" s="9" t="s">
        <v>26</v>
      </c>
      <c r="E1831" s="10" t="n">
        <v>1789</v>
      </c>
      <c r="F1831" s="9" t="s">
        <v>27</v>
      </c>
      <c r="G1831" s="9" t="s">
        <v>27</v>
      </c>
      <c r="H1831" s="11" t="n">
        <v>20</v>
      </c>
      <c r="I1831" s="11" t="s">
        <v>151</v>
      </c>
      <c r="J1831" s="14" t="n">
        <v>150</v>
      </c>
      <c r="K1831" s="14"/>
      <c r="L1831" s="16"/>
      <c r="M1831" s="27" t="n">
        <f aca="false">J1831+(K1831/20)+(L1831/240)</f>
        <v>150</v>
      </c>
      <c r="N1831" s="17" t="s">
        <v>64</v>
      </c>
      <c r="O1831" s="11"/>
      <c r="P1831" s="28"/>
      <c r="Q1831" s="28" t="n">
        <f aca="false">P1831*$M1831</f>
        <v>0</v>
      </c>
      <c r="R1831" s="28"/>
      <c r="S1831" s="28" t="n">
        <f aca="false">R1831*$M1831</f>
        <v>0</v>
      </c>
      <c r="T1831" s="28"/>
      <c r="U1831" s="28" t="n">
        <f aca="false">T1831*$M1831</f>
        <v>0</v>
      </c>
      <c r="V1831" s="28"/>
      <c r="W1831" s="28" t="n">
        <f aca="false">V1831*$M1831</f>
        <v>0</v>
      </c>
      <c r="X1831" s="28"/>
      <c r="Y1831" s="28" t="n">
        <f aca="false">X1831*$M1831</f>
        <v>0</v>
      </c>
      <c r="Z1831" s="28"/>
      <c r="AA1831" s="28" t="n">
        <f aca="false">Z1831*$M1831</f>
        <v>0</v>
      </c>
      <c r="AB1831" s="28"/>
      <c r="AC1831" s="28" t="n">
        <f aca="false">AB1831*$M1831</f>
        <v>0</v>
      </c>
      <c r="AD1831" s="28"/>
      <c r="AE1831" s="28" t="n">
        <f aca="false">AD1831*$M1831</f>
        <v>0</v>
      </c>
      <c r="AF1831" s="28"/>
      <c r="AG1831" s="28" t="n">
        <f aca="false">AF1831*$M1831</f>
        <v>0</v>
      </c>
      <c r="AH1831" s="28"/>
      <c r="AI1831" s="28" t="n">
        <f aca="false">AH1831*$M1831</f>
        <v>0</v>
      </c>
      <c r="AJ1831" s="28"/>
      <c r="AK1831" s="28" t="n">
        <f aca="false">AJ1831*$M1831</f>
        <v>0</v>
      </c>
      <c r="AL1831" s="28" t="n">
        <f aca="false">118785/100</f>
        <v>1187.85</v>
      </c>
      <c r="AM1831" s="28" t="n">
        <v>178177</v>
      </c>
      <c r="AN1831" s="28"/>
      <c r="AO1831" s="28" t="n">
        <f aca="false">AN1831*$M1831</f>
        <v>0</v>
      </c>
      <c r="AP1831" s="28"/>
      <c r="AQ1831" s="28" t="n">
        <f aca="false">AP1831*$M1831</f>
        <v>0</v>
      </c>
      <c r="AR1831" s="28"/>
      <c r="AS1831" s="28" t="n">
        <f aca="false">AR1831*$M1831</f>
        <v>0</v>
      </c>
      <c r="AT1831" s="28"/>
      <c r="AU1831" s="28" t="n">
        <f aca="false">AT1831*$M1831</f>
        <v>0</v>
      </c>
      <c r="AV1831" s="28"/>
      <c r="AW1831" s="28" t="n">
        <f aca="false">AV1831*$M1831</f>
        <v>0</v>
      </c>
      <c r="AX1831" s="28"/>
      <c r="AY1831" s="28" t="n">
        <f aca="false">AX1831*$M1831</f>
        <v>0</v>
      </c>
      <c r="AZ1831" s="30" t="n">
        <f aca="false">118785/100</f>
        <v>1187.85</v>
      </c>
      <c r="BA1831" s="11" t="n">
        <v>178177</v>
      </c>
      <c r="BB1831" s="31" t="n">
        <f aca="false">SUM(Q1831,S1831,U1831,W1831,Y1831,AA1831,AC1831,AE1831,AG1831,AI1831,AK1831,AM1831,AO1831,AQ1831,AS1831,AU1831,AW1831,AY1831)</f>
        <v>178177</v>
      </c>
      <c r="BC1831" s="28" t="n">
        <f aca="false">BA1831-BB1831</f>
        <v>0</v>
      </c>
      <c r="BD1831" s="32" t="n">
        <f aca="false">SUM(P1831,R1831,T1831,V1831,X1831,Z1831,AB1831,AD1831,AF1831,AH1831,AJ1831,AL1831,AN1831,AP1831,AR1831,AT1831,AV1831,AX1831)</f>
        <v>1187.85</v>
      </c>
      <c r="BE1831" s="33" t="n">
        <f aca="false">AZ1831-BD1831</f>
        <v>0</v>
      </c>
      <c r="BF1831" s="34" t="n">
        <f aca="false">BD1831*M1831</f>
        <v>178177.5</v>
      </c>
      <c r="BG1831" s="35" t="n">
        <f aca="false">BA1831-BF1831</f>
        <v>-0.5</v>
      </c>
      <c r="BH1831" s="19" t="str">
        <f aca="false">IF(BG1831=0,"",IF(BG1831&lt;&gt;BA1831,"erreur de calcul",IF(BD1831&lt;&gt;0,"pas de prix",IF(M1831&lt;&gt; 0,"pas de quantité","pas de prix, ni de quantité"))))</f>
        <v>erreur de calcul</v>
      </c>
      <c r="BI1831" s="19"/>
    </row>
    <row r="1832" customFormat="false" ht="15" hidden="false" customHeight="false" outlineLevel="0" collapsed="false">
      <c r="A1832" s="0" t="n">
        <v>34</v>
      </c>
      <c r="B1832" s="8" t="s">
        <v>24</v>
      </c>
      <c r="C1832" s="9" t="s">
        <v>25</v>
      </c>
      <c r="D1832" s="9" t="s">
        <v>26</v>
      </c>
      <c r="E1832" s="10" t="n">
        <v>1789</v>
      </c>
      <c r="F1832" s="9" t="s">
        <v>27</v>
      </c>
      <c r="G1832" s="9" t="s">
        <v>27</v>
      </c>
      <c r="H1832" s="11" t="n">
        <v>20</v>
      </c>
      <c r="I1832" s="11" t="s">
        <v>152</v>
      </c>
      <c r="J1832" s="14" t="n">
        <v>80</v>
      </c>
      <c r="K1832" s="14"/>
      <c r="L1832" s="16"/>
      <c r="M1832" s="27" t="n">
        <f aca="false">J1832+(K1832/20)+(L1832/240)</f>
        <v>80</v>
      </c>
      <c r="N1832" s="17" t="s">
        <v>64</v>
      </c>
      <c r="O1832" s="11"/>
      <c r="P1832" s="28"/>
      <c r="Q1832" s="28" t="n">
        <f aca="false">P1832*$M1832</f>
        <v>0</v>
      </c>
      <c r="R1832" s="28"/>
      <c r="S1832" s="28" t="n">
        <f aca="false">R1832*$M1832</f>
        <v>0</v>
      </c>
      <c r="T1832" s="28"/>
      <c r="U1832" s="28" t="n">
        <f aca="false">T1832*$M1832</f>
        <v>0</v>
      </c>
      <c r="V1832" s="28"/>
      <c r="W1832" s="28" t="n">
        <f aca="false">V1832*$M1832</f>
        <v>0</v>
      </c>
      <c r="X1832" s="28"/>
      <c r="Y1832" s="28" t="n">
        <f aca="false">X1832*$M1832</f>
        <v>0</v>
      </c>
      <c r="Z1832" s="28"/>
      <c r="AA1832" s="28" t="n">
        <f aca="false">Z1832*$M1832</f>
        <v>0</v>
      </c>
      <c r="AB1832" s="28" t="n">
        <f aca="false">3142/100</f>
        <v>31.42</v>
      </c>
      <c r="AC1832" s="28" t="n">
        <v>2514</v>
      </c>
      <c r="AD1832" s="28"/>
      <c r="AE1832" s="28" t="n">
        <f aca="false">AD1832*$M1832</f>
        <v>0</v>
      </c>
      <c r="AF1832" s="28" t="n">
        <f aca="false">4868/100</f>
        <v>48.68</v>
      </c>
      <c r="AG1832" s="36" t="n">
        <v>3874</v>
      </c>
      <c r="AH1832" s="28" t="n">
        <f aca="false">1541601/100</f>
        <v>15416.01</v>
      </c>
      <c r="AI1832" s="28" t="n">
        <v>1233281</v>
      </c>
      <c r="AJ1832" s="28"/>
      <c r="AK1832" s="28" t="n">
        <f aca="false">AJ1832*$M1832</f>
        <v>0</v>
      </c>
      <c r="AL1832" s="28"/>
      <c r="AM1832" s="28" t="n">
        <f aca="false">AL1832*$M1832</f>
        <v>0</v>
      </c>
      <c r="AN1832" s="28"/>
      <c r="AO1832" s="28" t="n">
        <f aca="false">AN1832*$M1832</f>
        <v>0</v>
      </c>
      <c r="AP1832" s="28"/>
      <c r="AQ1832" s="28" t="n">
        <f aca="false">AP1832*$M1832</f>
        <v>0</v>
      </c>
      <c r="AR1832" s="28"/>
      <c r="AS1832" s="28" t="n">
        <f aca="false">AR1832*$M1832</f>
        <v>0</v>
      </c>
      <c r="AT1832" s="28"/>
      <c r="AU1832" s="28" t="n">
        <f aca="false">AT1832*$M1832</f>
        <v>0</v>
      </c>
      <c r="AV1832" s="28"/>
      <c r="AW1832" s="28" t="n">
        <f aca="false">AV1832*$M1832</f>
        <v>0</v>
      </c>
      <c r="AX1832" s="28"/>
      <c r="AY1832" s="28" t="n">
        <f aca="false">AX1832*$M1832</f>
        <v>0</v>
      </c>
      <c r="AZ1832" s="30" t="n">
        <f aca="false">1549611/100</f>
        <v>15496.11</v>
      </c>
      <c r="BA1832" s="11" t="n">
        <v>1239669</v>
      </c>
      <c r="BB1832" s="31" t="n">
        <f aca="false">SUM(Q1832,S1832,U1832,W1832,Y1832,AA1832,AC1832,AE1832,AG1832,AI1832,AK1832,AM1832,AO1832,AQ1832,AS1832,AU1832,AW1832,AY1832)</f>
        <v>1239669</v>
      </c>
      <c r="BC1832" s="28" t="n">
        <f aca="false">BA1832-BB1832</f>
        <v>0</v>
      </c>
      <c r="BD1832" s="32" t="n">
        <f aca="false">SUM(P1832,R1832,T1832,V1832,X1832,Z1832,AB1832,AD1832,AF1832,AH1832,AJ1832,AL1832,AN1832,AP1832,AR1832,AT1832,AV1832,AX1832)</f>
        <v>15496.11</v>
      </c>
      <c r="BE1832" s="33" t="n">
        <f aca="false">AZ1832-BD1832</f>
        <v>0</v>
      </c>
      <c r="BF1832" s="34" t="n">
        <f aca="false">BD1832*M1832</f>
        <v>1239688.8</v>
      </c>
      <c r="BG1832" s="35" t="n">
        <f aca="false">BA1832-BF1832</f>
        <v>-19.8000000000466</v>
      </c>
      <c r="BH1832" s="19" t="str">
        <f aca="false">IF(BG1832=0,"",IF(BG1832&lt;&gt;BA1832,"erreur de calcul",IF(BD1832&lt;&gt;0,"pas de prix",IF(M1832&lt;&gt; 0,"pas de quantité","pas de prix, ni de quantité"))))</f>
        <v>erreur de calcul</v>
      </c>
      <c r="BI1832" s="19"/>
    </row>
    <row r="1833" customFormat="false" ht="15" hidden="false" customHeight="false" outlineLevel="0" collapsed="false">
      <c r="A1833" s="0" t="n">
        <v>35</v>
      </c>
      <c r="B1833" s="8" t="s">
        <v>24</v>
      </c>
      <c r="C1833" s="9" t="s">
        <v>25</v>
      </c>
      <c r="D1833" s="9" t="s">
        <v>26</v>
      </c>
      <c r="E1833" s="10" t="n">
        <v>1789</v>
      </c>
      <c r="F1833" s="9" t="s">
        <v>27</v>
      </c>
      <c r="G1833" s="9" t="s">
        <v>27</v>
      </c>
      <c r="H1833" s="11" t="n">
        <v>20</v>
      </c>
      <c r="I1833" s="11" t="s">
        <v>153</v>
      </c>
      <c r="J1833" s="14" t="n">
        <v>148</v>
      </c>
      <c r="K1833" s="14"/>
      <c r="L1833" s="16"/>
      <c r="M1833" s="27" t="n">
        <f aca="false">J1833+(K1833/20)+(L1833/240)</f>
        <v>148</v>
      </c>
      <c r="N1833" s="17" t="s">
        <v>64</v>
      </c>
      <c r="O1833" s="11"/>
      <c r="P1833" s="28"/>
      <c r="Q1833" s="28" t="n">
        <f aca="false">P1833*$M1833</f>
        <v>0</v>
      </c>
      <c r="R1833" s="28"/>
      <c r="S1833" s="28" t="n">
        <f aca="false">R1833*$M1833</f>
        <v>0</v>
      </c>
      <c r="T1833" s="28"/>
      <c r="U1833" s="28" t="n">
        <f aca="false">T1833*$M1833</f>
        <v>0</v>
      </c>
      <c r="V1833" s="28"/>
      <c r="W1833" s="28" t="n">
        <f aca="false">V1833*$M1833</f>
        <v>0</v>
      </c>
      <c r="X1833" s="28"/>
      <c r="Y1833" s="28" t="n">
        <f aca="false">X1833*$M1833</f>
        <v>0</v>
      </c>
      <c r="Z1833" s="28"/>
      <c r="AA1833" s="28" t="n">
        <f aca="false">Z1833*$M1833</f>
        <v>0</v>
      </c>
      <c r="AB1833" s="28"/>
      <c r="AC1833" s="28" t="n">
        <f aca="false">AB1833*$M1833</f>
        <v>0</v>
      </c>
      <c r="AD1833" s="28"/>
      <c r="AE1833" s="28" t="n">
        <f aca="false">AD1833*$M1833</f>
        <v>0</v>
      </c>
      <c r="AF1833" s="28"/>
      <c r="AG1833" s="28" t="n">
        <f aca="false">AF1833*$M1833</f>
        <v>0</v>
      </c>
      <c r="AH1833" s="28"/>
      <c r="AI1833" s="28" t="n">
        <f aca="false">AH1833*$M1833</f>
        <v>0</v>
      </c>
      <c r="AJ1833" s="28" t="n">
        <f aca="false">1472/100</f>
        <v>14.72</v>
      </c>
      <c r="AK1833" s="28" t="n">
        <v>2178</v>
      </c>
      <c r="AL1833" s="28"/>
      <c r="AM1833" s="28" t="n">
        <f aca="false">AL1833*$M1833</f>
        <v>0</v>
      </c>
      <c r="AN1833" s="28"/>
      <c r="AO1833" s="28" t="n">
        <f aca="false">AN1833*$M1833</f>
        <v>0</v>
      </c>
      <c r="AP1833" s="28"/>
      <c r="AQ1833" s="28" t="n">
        <f aca="false">AP1833*$M1833</f>
        <v>0</v>
      </c>
      <c r="AR1833" s="28"/>
      <c r="AS1833" s="28" t="n">
        <f aca="false">AR1833*$M1833</f>
        <v>0</v>
      </c>
      <c r="AT1833" s="28"/>
      <c r="AU1833" s="28" t="n">
        <f aca="false">AT1833*$M1833</f>
        <v>0</v>
      </c>
      <c r="AV1833" s="28"/>
      <c r="AW1833" s="28" t="n">
        <f aca="false">AV1833*$M1833</f>
        <v>0</v>
      </c>
      <c r="AX1833" s="28"/>
      <c r="AY1833" s="28" t="n">
        <f aca="false">AX1833*$M1833</f>
        <v>0</v>
      </c>
      <c r="AZ1833" s="30" t="n">
        <f aca="false">1472/100</f>
        <v>14.72</v>
      </c>
      <c r="BA1833" s="11" t="n">
        <v>2178</v>
      </c>
      <c r="BB1833" s="31" t="n">
        <f aca="false">SUM(Q1833,S1833,U1833,W1833,Y1833,AA1833,AC1833,AE1833,AG1833,AI1833,AK1833,AM1833,AO1833,AQ1833,AS1833,AU1833,AW1833,AY1833)</f>
        <v>2178</v>
      </c>
      <c r="BC1833" s="28" t="n">
        <f aca="false">BA1833-BB1833</f>
        <v>0</v>
      </c>
      <c r="BD1833" s="32" t="n">
        <f aca="false">SUM(P1833,R1833,T1833,V1833,X1833,Z1833,AB1833,AD1833,AF1833,AH1833,AJ1833,AL1833,AN1833,AP1833,AR1833,AT1833,AV1833,AX1833)</f>
        <v>14.72</v>
      </c>
      <c r="BE1833" s="33" t="n">
        <f aca="false">AZ1833-BD1833</f>
        <v>0</v>
      </c>
      <c r="BF1833" s="34" t="n">
        <f aca="false">BD1833*M1833</f>
        <v>2178.56</v>
      </c>
      <c r="BG1833" s="35" t="n">
        <f aca="false">BA1833-BF1833</f>
        <v>-0.559999999999945</v>
      </c>
      <c r="BH1833" s="19" t="str">
        <f aca="false">IF(BG1833=0,"",IF(BG1833&lt;&gt;BA1833,"erreur de calcul",IF(BD1833&lt;&gt;0,"pas de prix",IF(M1833&lt;&gt; 0,"pas de quantité","pas de prix, ni de quantité"))))</f>
        <v>erreur de calcul</v>
      </c>
      <c r="BI1833" s="19"/>
    </row>
    <row r="1834" customFormat="false" ht="15" hidden="false" customHeight="false" outlineLevel="0" collapsed="false">
      <c r="A1834" s="0" t="n">
        <v>36</v>
      </c>
      <c r="B1834" s="8" t="s">
        <v>24</v>
      </c>
      <c r="C1834" s="9" t="s">
        <v>25</v>
      </c>
      <c r="D1834" s="9" t="s">
        <v>26</v>
      </c>
      <c r="E1834" s="10" t="n">
        <v>1789</v>
      </c>
      <c r="F1834" s="9" t="s">
        <v>27</v>
      </c>
      <c r="G1834" s="9" t="s">
        <v>27</v>
      </c>
      <c r="H1834" s="11" t="n">
        <v>20</v>
      </c>
      <c r="I1834" s="11" t="s">
        <v>154</v>
      </c>
      <c r="J1834" s="14" t="n">
        <v>75</v>
      </c>
      <c r="K1834" s="14"/>
      <c r="L1834" s="16"/>
      <c r="M1834" s="27" t="n">
        <f aca="false">J1834+(K1834/20)+(L1834/240)</f>
        <v>75</v>
      </c>
      <c r="N1834" s="17" t="s">
        <v>64</v>
      </c>
      <c r="O1834" s="11"/>
      <c r="P1834" s="28"/>
      <c r="Q1834" s="28" t="n">
        <f aca="false">P1834*$M1834</f>
        <v>0</v>
      </c>
      <c r="R1834" s="28"/>
      <c r="S1834" s="28" t="n">
        <f aca="false">R1834*$M1834</f>
        <v>0</v>
      </c>
      <c r="T1834" s="28" t="n">
        <f aca="false">627/100</f>
        <v>6.27</v>
      </c>
      <c r="U1834" s="28" t="n">
        <v>470</v>
      </c>
      <c r="V1834" s="28"/>
      <c r="W1834" s="28" t="n">
        <f aca="false">V1834*$M1834</f>
        <v>0</v>
      </c>
      <c r="X1834" s="28"/>
      <c r="Y1834" s="28" t="n">
        <f aca="false">X1834*$M1834</f>
        <v>0</v>
      </c>
      <c r="Z1834" s="28"/>
      <c r="AA1834" s="28" t="n">
        <f aca="false">Z1834*$M1834</f>
        <v>0</v>
      </c>
      <c r="AB1834" s="28"/>
      <c r="AC1834" s="28" t="n">
        <f aca="false">AB1834*$M1834</f>
        <v>0</v>
      </c>
      <c r="AD1834" s="28"/>
      <c r="AE1834" s="28" t="n">
        <f aca="false">AD1834*$M1834</f>
        <v>0</v>
      </c>
      <c r="AF1834" s="28"/>
      <c r="AG1834" s="28" t="n">
        <f aca="false">AF1834*$M1834</f>
        <v>0</v>
      </c>
      <c r="AH1834" s="28"/>
      <c r="AI1834" s="28" t="n">
        <f aca="false">AH1834*$M1834</f>
        <v>0</v>
      </c>
      <c r="AJ1834" s="28"/>
      <c r="AK1834" s="28" t="n">
        <f aca="false">AJ1834*$M1834</f>
        <v>0</v>
      </c>
      <c r="AL1834" s="28"/>
      <c r="AM1834" s="28" t="n">
        <f aca="false">AL1834*$M1834</f>
        <v>0</v>
      </c>
      <c r="AN1834" s="28"/>
      <c r="AO1834" s="28" t="n">
        <f aca="false">AN1834*$M1834</f>
        <v>0</v>
      </c>
      <c r="AP1834" s="28"/>
      <c r="AQ1834" s="28" t="n">
        <f aca="false">AP1834*$M1834</f>
        <v>0</v>
      </c>
      <c r="AR1834" s="28"/>
      <c r="AS1834" s="28" t="n">
        <f aca="false">AR1834*$M1834</f>
        <v>0</v>
      </c>
      <c r="AT1834" s="28"/>
      <c r="AU1834" s="28" t="n">
        <f aca="false">AT1834*$M1834</f>
        <v>0</v>
      </c>
      <c r="AV1834" s="28"/>
      <c r="AW1834" s="28" t="n">
        <f aca="false">AV1834*$M1834</f>
        <v>0</v>
      </c>
      <c r="AX1834" s="28"/>
      <c r="AY1834" s="28" t="n">
        <f aca="false">AX1834*$M1834</f>
        <v>0</v>
      </c>
      <c r="AZ1834" s="30" t="n">
        <f aca="false">627/100</f>
        <v>6.27</v>
      </c>
      <c r="BA1834" s="11" t="n">
        <v>470</v>
      </c>
      <c r="BB1834" s="31" t="n">
        <f aca="false">SUM(Q1834,S1834,U1834,W1834,Y1834,AA1834,AC1834,AE1834,AG1834,AI1834,AK1834,AM1834,AO1834,AQ1834,AS1834,AU1834,AW1834,AY1834)</f>
        <v>470</v>
      </c>
      <c r="BC1834" s="28" t="n">
        <f aca="false">BA1834-BB1834</f>
        <v>0</v>
      </c>
      <c r="BD1834" s="32" t="n">
        <f aca="false">SUM(P1834,R1834,T1834,V1834,X1834,Z1834,AB1834,AD1834,AF1834,AH1834,AJ1834,AL1834,AN1834,AP1834,AR1834,AT1834,AV1834,AX1834)</f>
        <v>6.27</v>
      </c>
      <c r="BE1834" s="33" t="n">
        <f aca="false">AZ1834-BD1834</f>
        <v>0</v>
      </c>
      <c r="BF1834" s="34" t="n">
        <f aca="false">BD1834*M1834</f>
        <v>470.25</v>
      </c>
      <c r="BG1834" s="35" t="n">
        <f aca="false">BA1834-BF1834</f>
        <v>-0.249999999999943</v>
      </c>
      <c r="BH1834" s="19" t="str">
        <f aca="false">IF(BG1834=0,"",IF(BG1834&lt;&gt;BA1834,"erreur de calcul",IF(BD1834&lt;&gt;0,"pas de prix",IF(M1834&lt;&gt; 0,"pas de quantité","pas de prix, ni de quantité"))))</f>
        <v>erreur de calcul</v>
      </c>
      <c r="BI1834" s="19"/>
    </row>
    <row r="1835" customFormat="false" ht="15" hidden="false" customHeight="false" outlineLevel="0" collapsed="false">
      <c r="A1835" s="0" t="n">
        <v>1</v>
      </c>
      <c r="B1835" s="8" t="s">
        <v>24</v>
      </c>
      <c r="C1835" s="9" t="s">
        <v>25</v>
      </c>
      <c r="D1835" s="9" t="s">
        <v>26</v>
      </c>
      <c r="E1835" s="10" t="n">
        <v>1789</v>
      </c>
      <c r="F1835" s="9" t="s">
        <v>27</v>
      </c>
      <c r="G1835" s="9" t="s">
        <v>27</v>
      </c>
      <c r="H1835" s="11" t="n">
        <v>21</v>
      </c>
      <c r="I1835" s="11" t="s">
        <v>155</v>
      </c>
      <c r="J1835" s="14" t="n">
        <v>60</v>
      </c>
      <c r="K1835" s="14"/>
      <c r="L1835" s="16"/>
      <c r="M1835" s="27" t="n">
        <f aca="false">J1835+(K1835/20)+(L1835/240)</f>
        <v>60</v>
      </c>
      <c r="N1835" s="17" t="s">
        <v>66</v>
      </c>
      <c r="O1835" s="11"/>
      <c r="P1835" s="28"/>
      <c r="Q1835" s="28" t="n">
        <f aca="false">P1835*$M1835</f>
        <v>0</v>
      </c>
      <c r="R1835" s="28"/>
      <c r="S1835" s="28" t="n">
        <f aca="false">R1835*$M1835</f>
        <v>0</v>
      </c>
      <c r="T1835" s="28"/>
      <c r="U1835" s="28" t="n">
        <f aca="false">T1835*$M1835</f>
        <v>0</v>
      </c>
      <c r="V1835" s="28" t="n">
        <v>10</v>
      </c>
      <c r="W1835" s="28" t="n">
        <v>600</v>
      </c>
      <c r="X1835" s="28"/>
      <c r="Y1835" s="28" t="n">
        <f aca="false">X1835*$M1835</f>
        <v>0</v>
      </c>
      <c r="Z1835" s="28"/>
      <c r="AA1835" s="28" t="n">
        <f aca="false">Z1835*$M1835</f>
        <v>0</v>
      </c>
      <c r="AB1835" s="28"/>
      <c r="AC1835" s="28" t="n">
        <f aca="false">AB1835*$M1835</f>
        <v>0</v>
      </c>
      <c r="AD1835" s="28"/>
      <c r="AE1835" s="28" t="n">
        <f aca="false">AD1835*$M1835</f>
        <v>0</v>
      </c>
      <c r="AF1835" s="28"/>
      <c r="AG1835" s="28" t="n">
        <f aca="false">AF1835*$M1835</f>
        <v>0</v>
      </c>
      <c r="AH1835" s="28"/>
      <c r="AI1835" s="28" t="n">
        <f aca="false">AH1835*$M1835</f>
        <v>0</v>
      </c>
      <c r="AJ1835" s="28"/>
      <c r="AK1835" s="28" t="n">
        <f aca="false">AJ1835*$M1835</f>
        <v>0</v>
      </c>
      <c r="AL1835" s="28"/>
      <c r="AM1835" s="28" t="n">
        <f aca="false">AL1835*$M1835</f>
        <v>0</v>
      </c>
      <c r="AN1835" s="28"/>
      <c r="AO1835" s="28" t="n">
        <f aca="false">AN1835*$M1835</f>
        <v>0</v>
      </c>
      <c r="AP1835" s="28"/>
      <c r="AQ1835" s="28" t="n">
        <f aca="false">AP1835*$M1835</f>
        <v>0</v>
      </c>
      <c r="AR1835" s="28"/>
      <c r="AS1835" s="28" t="n">
        <f aca="false">AR1835*$M1835</f>
        <v>0</v>
      </c>
      <c r="AT1835" s="28"/>
      <c r="AU1835" s="28" t="n">
        <f aca="false">AT1835*$M1835</f>
        <v>0</v>
      </c>
      <c r="AV1835" s="28"/>
      <c r="AW1835" s="28" t="n">
        <f aca="false">AV1835*$M1835</f>
        <v>0</v>
      </c>
      <c r="AX1835" s="28"/>
      <c r="AY1835" s="28" t="n">
        <f aca="false">AX1835*$M1835</f>
        <v>0</v>
      </c>
      <c r="AZ1835" s="30" t="n">
        <v>10</v>
      </c>
      <c r="BA1835" s="11" t="n">
        <v>600</v>
      </c>
      <c r="BB1835" s="31" t="n">
        <f aca="false">SUM(Q1835,S1835,U1835,W1835,Y1835,AA1835,AC1835,AE1835,AG1835,AI1835,AK1835,AM1835,AO1835,AQ1835,AS1835,AU1835,AW1835,AY1835)</f>
        <v>600</v>
      </c>
      <c r="BC1835" s="28" t="n">
        <f aca="false">BA1835-BB1835</f>
        <v>0</v>
      </c>
      <c r="BD1835" s="32" t="n">
        <f aca="false">SUM(P1835,R1835,T1835,V1835,X1835,Z1835,AB1835,AD1835,AF1835,AH1835,AJ1835,AL1835,AN1835,AP1835,AR1835,AT1835,AV1835,AX1835)</f>
        <v>10</v>
      </c>
      <c r="BE1835" s="33" t="n">
        <f aca="false">AZ1835-BD1835</f>
        <v>0</v>
      </c>
      <c r="BF1835" s="34" t="n">
        <f aca="false">BD1835*M1835</f>
        <v>600</v>
      </c>
      <c r="BG1835" s="35" t="n">
        <f aca="false">BA1835-BF1835</f>
        <v>0</v>
      </c>
      <c r="BH1835" s="19" t="str">
        <f aca="false">IF(BG1835=0,"",IF(BG1835&lt;&gt;BA1835,"erreur de calcul",IF(BD1835&lt;&gt;0,"pas de prix",IF(M1835&lt;&gt; 0,"pas de quantité","pas de prix, ni de quantité"))))</f>
        <v/>
      </c>
      <c r="BI1835" s="19"/>
    </row>
    <row r="1836" customFormat="false" ht="15" hidden="false" customHeight="false" outlineLevel="0" collapsed="false">
      <c r="A1836" s="0" t="n">
        <v>2</v>
      </c>
      <c r="B1836" s="8" t="s">
        <v>24</v>
      </c>
      <c r="C1836" s="9" t="s">
        <v>25</v>
      </c>
      <c r="D1836" s="9" t="s">
        <v>26</v>
      </c>
      <c r="E1836" s="10" t="n">
        <v>1789</v>
      </c>
      <c r="F1836" s="9" t="s">
        <v>27</v>
      </c>
      <c r="G1836" s="9" t="s">
        <v>27</v>
      </c>
      <c r="H1836" s="11" t="n">
        <v>21</v>
      </c>
      <c r="I1836" s="11" t="s">
        <v>156</v>
      </c>
      <c r="J1836" s="14"/>
      <c r="K1836" s="14"/>
      <c r="L1836" s="16"/>
      <c r="M1836" s="27" t="n">
        <f aca="false">J1836+(K1836/20)+(L1836/240)</f>
        <v>0</v>
      </c>
      <c r="N1836" s="17"/>
      <c r="O1836" s="11"/>
      <c r="P1836" s="28"/>
      <c r="Q1836" s="28" t="n">
        <v>304</v>
      </c>
      <c r="R1836" s="28"/>
      <c r="S1836" s="28" t="n">
        <f aca="false">R1836*$M1836</f>
        <v>0</v>
      </c>
      <c r="T1836" s="28"/>
      <c r="U1836" s="28" t="n">
        <f aca="false">T1836*$M1836</f>
        <v>0</v>
      </c>
      <c r="V1836" s="28"/>
      <c r="W1836" s="28" t="n">
        <f aca="false">V1836*$M1836</f>
        <v>0</v>
      </c>
      <c r="X1836" s="28"/>
      <c r="Y1836" s="28" t="n">
        <v>270</v>
      </c>
      <c r="Z1836" s="28"/>
      <c r="AA1836" s="28" t="n">
        <f aca="false">Z1836*$M1836</f>
        <v>0</v>
      </c>
      <c r="AB1836" s="28"/>
      <c r="AC1836" s="28" t="n">
        <f aca="false">AB1836*$M1836</f>
        <v>0</v>
      </c>
      <c r="AD1836" s="28"/>
      <c r="AE1836" s="28" t="n">
        <v>175</v>
      </c>
      <c r="AF1836" s="28"/>
      <c r="AG1836" s="28" t="n">
        <f aca="false">AF1836*$M1836</f>
        <v>0</v>
      </c>
      <c r="AH1836" s="28"/>
      <c r="AI1836" s="28" t="n">
        <f aca="false">AH1836*$M1836</f>
        <v>0</v>
      </c>
      <c r="AJ1836" s="28"/>
      <c r="AK1836" s="28" t="n">
        <v>240</v>
      </c>
      <c r="AL1836" s="28"/>
      <c r="AM1836" s="28" t="n">
        <v>808</v>
      </c>
      <c r="AN1836" s="28"/>
      <c r="AO1836" s="28" t="n">
        <f aca="false">AN1836*$M1836</f>
        <v>0</v>
      </c>
      <c r="AP1836" s="28"/>
      <c r="AQ1836" s="28" t="n">
        <f aca="false">AP1836*$M1836</f>
        <v>0</v>
      </c>
      <c r="AR1836" s="28"/>
      <c r="AS1836" s="28" t="n">
        <f aca="false">AR1836*$M1836</f>
        <v>0</v>
      </c>
      <c r="AT1836" s="28"/>
      <c r="AU1836" s="28" t="n">
        <f aca="false">AT1836*$M1836</f>
        <v>0</v>
      </c>
      <c r="AV1836" s="28"/>
      <c r="AW1836" s="28" t="n">
        <f aca="false">AV1836*$M1836</f>
        <v>0</v>
      </c>
      <c r="AX1836" s="28"/>
      <c r="AY1836" s="28" t="n">
        <f aca="false">AX1836*$M1836</f>
        <v>0</v>
      </c>
      <c r="AZ1836" s="30"/>
      <c r="BA1836" s="11" t="n">
        <v>1797</v>
      </c>
      <c r="BB1836" s="31" t="n">
        <f aca="false">SUM(Q1836,S1836,U1836,W1836,Y1836,AA1836,AC1836,AE1836,AG1836,AI1836,AK1836,AM1836,AO1836,AQ1836,AS1836,AU1836,AW1836,AY1836)</f>
        <v>1797</v>
      </c>
      <c r="BC1836" s="28" t="n">
        <f aca="false">BA1836-BB1836</f>
        <v>0</v>
      </c>
      <c r="BD1836" s="32" t="n">
        <f aca="false">SUM(P1836,R1836,T1836,V1836,X1836,Z1836,AB1836,AD1836,AF1836,AH1836,AJ1836,AL1836,AN1836,AP1836,AR1836,AT1836,AV1836,AX1836)</f>
        <v>0</v>
      </c>
      <c r="BE1836" s="33" t="n">
        <f aca="false">AZ1836-BD1836</f>
        <v>0</v>
      </c>
      <c r="BF1836" s="34" t="n">
        <f aca="false">BD1836*M1836</f>
        <v>0</v>
      </c>
      <c r="BG1836" s="35" t="n">
        <f aca="false">BA1836-BF1836</f>
        <v>1797</v>
      </c>
      <c r="BH1836" s="19" t="str">
        <f aca="false">IF(BG1836=0,"",IF(BG1836&lt;&gt;BA1836,"erreur de calcul",IF(BD1836&lt;&gt;0,"pas de prix",IF(M1836&lt;&gt; 0,"pas de quantité","pas de prix, ni de quantité"))))</f>
        <v>pas de prix, ni de quantité</v>
      </c>
      <c r="BI1836" s="19"/>
    </row>
    <row r="1837" customFormat="false" ht="15" hidden="false" customHeight="false" outlineLevel="0" collapsed="false">
      <c r="A1837" s="0" t="n">
        <v>3</v>
      </c>
      <c r="B1837" s="8" t="s">
        <v>24</v>
      </c>
      <c r="C1837" s="9" t="s">
        <v>25</v>
      </c>
      <c r="D1837" s="9" t="s">
        <v>26</v>
      </c>
      <c r="E1837" s="10" t="n">
        <v>1789</v>
      </c>
      <c r="F1837" s="9" t="s">
        <v>27</v>
      </c>
      <c r="G1837" s="9" t="s">
        <v>27</v>
      </c>
      <c r="H1837" s="11" t="n">
        <v>21</v>
      </c>
      <c r="I1837" s="11" t="s">
        <v>156</v>
      </c>
      <c r="J1837" s="14" t="n">
        <v>175</v>
      </c>
      <c r="K1837" s="14"/>
      <c r="L1837" s="16"/>
      <c r="M1837" s="27" t="n">
        <f aca="false">J1837+(K1837/20)+(L1837/240)</f>
        <v>175</v>
      </c>
      <c r="N1837" s="17" t="s">
        <v>64</v>
      </c>
      <c r="O1837" s="11" t="s">
        <v>98</v>
      </c>
      <c r="P1837" s="28" t="n">
        <f aca="false">3429/100</f>
        <v>34.29</v>
      </c>
      <c r="Q1837" s="28" t="n">
        <v>6001</v>
      </c>
      <c r="R1837" s="28"/>
      <c r="S1837" s="28" t="n">
        <f aca="false">R1837*$M1837</f>
        <v>0</v>
      </c>
      <c r="T1837" s="28" t="n">
        <f aca="false">5135/100</f>
        <v>51.35</v>
      </c>
      <c r="U1837" s="28" t="n">
        <v>8986</v>
      </c>
      <c r="V1837" s="28" t="n">
        <f aca="false">33716/100</f>
        <v>337.16</v>
      </c>
      <c r="W1837" s="28" t="n">
        <v>59003</v>
      </c>
      <c r="X1837" s="28" t="n">
        <f aca="false">14982/100</f>
        <v>149.82</v>
      </c>
      <c r="Y1837" s="28" t="n">
        <v>26218</v>
      </c>
      <c r="Z1837" s="28"/>
      <c r="AA1837" s="28" t="n">
        <f aca="false">Z1837*$M1837</f>
        <v>0</v>
      </c>
      <c r="AB1837" s="28"/>
      <c r="AC1837" s="28" t="n">
        <f aca="false">AB1837*$M1837</f>
        <v>0</v>
      </c>
      <c r="AD1837" s="28"/>
      <c r="AE1837" s="28" t="n">
        <f aca="false">AD1837*$M1837</f>
        <v>0</v>
      </c>
      <c r="AF1837" s="28" t="n">
        <f aca="false">439/100</f>
        <v>4.39</v>
      </c>
      <c r="AG1837" s="28" t="n">
        <v>768</v>
      </c>
      <c r="AH1837" s="28" t="n">
        <f aca="false">163722/100</f>
        <v>1637.22</v>
      </c>
      <c r="AI1837" s="28" t="n">
        <v>286513</v>
      </c>
      <c r="AJ1837" s="28" t="n">
        <f aca="false">17649/100</f>
        <v>176.49</v>
      </c>
      <c r="AK1837" s="28" t="n">
        <v>30886</v>
      </c>
      <c r="AL1837" s="28" t="n">
        <f aca="false">6852/100</f>
        <v>68.52</v>
      </c>
      <c r="AM1837" s="28" t="n">
        <v>11991</v>
      </c>
      <c r="AN1837" s="28"/>
      <c r="AO1837" s="28" t="n">
        <f aca="false">AN1837*$M1837</f>
        <v>0</v>
      </c>
      <c r="AP1837" s="28"/>
      <c r="AQ1837" s="28" t="n">
        <f aca="false">AP1837*$M1837</f>
        <v>0</v>
      </c>
      <c r="AR1837" s="28"/>
      <c r="AS1837" s="28" t="n">
        <f aca="false">AR1837*$M1837</f>
        <v>0</v>
      </c>
      <c r="AT1837" s="28"/>
      <c r="AU1837" s="28" t="n">
        <f aca="false">AT1837*$M1837</f>
        <v>0</v>
      </c>
      <c r="AV1837" s="28"/>
      <c r="AW1837" s="28" t="n">
        <f aca="false">AV1837*$M1837</f>
        <v>0</v>
      </c>
      <c r="AX1837" s="28"/>
      <c r="AY1837" s="28" t="n">
        <f aca="false">AX1837*$M1837</f>
        <v>0</v>
      </c>
      <c r="AZ1837" s="30" t="n">
        <f aca="false">245924/100</f>
        <v>2459.24</v>
      </c>
      <c r="BA1837" s="11" t="n">
        <v>430366</v>
      </c>
      <c r="BB1837" s="31" t="n">
        <f aca="false">SUM(Q1837,S1837,U1837,W1837,Y1837,AA1837,AC1837,AE1837,AG1837,AI1837,AK1837,AM1837,AO1837,AQ1837,AS1837,AU1837,AW1837,AY1837)</f>
        <v>430366</v>
      </c>
      <c r="BC1837" s="28" t="n">
        <f aca="false">BA1837-BB1837</f>
        <v>0</v>
      </c>
      <c r="BD1837" s="32" t="n">
        <f aca="false">SUM(P1837,R1837,T1837,V1837,X1837,Z1837,AB1837,AD1837,AF1837,AH1837,AJ1837,AL1837,AN1837,AP1837,AR1837,AT1837,AV1837,AX1837)</f>
        <v>2459.24</v>
      </c>
      <c r="BE1837" s="33" t="n">
        <f aca="false">AZ1837-BD1837</f>
        <v>0</v>
      </c>
      <c r="BF1837" s="34" t="n">
        <f aca="false">BD1837*M1837</f>
        <v>430367</v>
      </c>
      <c r="BG1837" s="35" t="n">
        <f aca="false">BA1837-BF1837</f>
        <v>-0.999999999941792</v>
      </c>
      <c r="BH1837" s="19" t="str">
        <f aca="false">IF(BG1837=0,"",IF(BG1837&lt;&gt;BA1837,"erreur de calcul",IF(BD1837&lt;&gt;0,"pas de prix",IF(M1837&lt;&gt; 0,"pas de quantité","pas de prix, ni de quantité"))))</f>
        <v>erreur de calcul</v>
      </c>
      <c r="BI1837" s="19"/>
    </row>
    <row r="1838" customFormat="false" ht="15" hidden="false" customHeight="false" outlineLevel="0" collapsed="false">
      <c r="A1838" s="0" t="n">
        <v>4</v>
      </c>
      <c r="B1838" s="8" t="s">
        <v>24</v>
      </c>
      <c r="C1838" s="9" t="s">
        <v>25</v>
      </c>
      <c r="D1838" s="9" t="s">
        <v>26</v>
      </c>
      <c r="E1838" s="10" t="n">
        <v>1789</v>
      </c>
      <c r="F1838" s="9" t="s">
        <v>27</v>
      </c>
      <c r="G1838" s="9" t="s">
        <v>27</v>
      </c>
      <c r="H1838" s="11" t="n">
        <v>21</v>
      </c>
      <c r="I1838" s="11" t="s">
        <v>157</v>
      </c>
      <c r="J1838" s="14" t="n">
        <v>240</v>
      </c>
      <c r="K1838" s="14"/>
      <c r="L1838" s="16"/>
      <c r="M1838" s="27" t="n">
        <f aca="false">J1838+(K1838/20)+(L1838/240)</f>
        <v>240</v>
      </c>
      <c r="N1838" s="17" t="s">
        <v>64</v>
      </c>
      <c r="O1838" s="11"/>
      <c r="P1838" s="28"/>
      <c r="Q1838" s="28" t="n">
        <f aca="false">P1838*$M1838</f>
        <v>0</v>
      </c>
      <c r="R1838" s="28"/>
      <c r="S1838" s="28" t="n">
        <f aca="false">R1838*$M1838</f>
        <v>0</v>
      </c>
      <c r="T1838" s="28"/>
      <c r="U1838" s="28" t="n">
        <f aca="false">T1838*$M1838</f>
        <v>0</v>
      </c>
      <c r="V1838" s="28"/>
      <c r="W1838" s="28" t="n">
        <f aca="false">V1838*$M1838</f>
        <v>0</v>
      </c>
      <c r="X1838" s="28"/>
      <c r="Y1838" s="28" t="n">
        <f aca="false">X1838*$M1838</f>
        <v>0</v>
      </c>
      <c r="Z1838" s="28"/>
      <c r="AA1838" s="28" t="n">
        <f aca="false">Z1838*$M1838</f>
        <v>0</v>
      </c>
      <c r="AB1838" s="28"/>
      <c r="AC1838" s="28" t="n">
        <f aca="false">AB1838*$M1838</f>
        <v>0</v>
      </c>
      <c r="AD1838" s="28"/>
      <c r="AE1838" s="28" t="n">
        <f aca="false">AD1838*$M1838</f>
        <v>0</v>
      </c>
      <c r="AF1838" s="28"/>
      <c r="AG1838" s="28" t="n">
        <f aca="false">AF1838*$M1838</f>
        <v>0</v>
      </c>
      <c r="AH1838" s="28"/>
      <c r="AI1838" s="28" t="n">
        <f aca="false">AH1838*$M1838</f>
        <v>0</v>
      </c>
      <c r="AJ1838" s="28" t="n">
        <f aca="false">290/100</f>
        <v>2.9</v>
      </c>
      <c r="AK1838" s="36" t="n">
        <v>2208</v>
      </c>
      <c r="AL1838" s="28"/>
      <c r="AM1838" s="28" t="n">
        <f aca="false">AL1838*$M1838</f>
        <v>0</v>
      </c>
      <c r="AN1838" s="28"/>
      <c r="AO1838" s="28" t="n">
        <f aca="false">AN1838*$M1838</f>
        <v>0</v>
      </c>
      <c r="AP1838" s="28"/>
      <c r="AQ1838" s="28" t="n">
        <f aca="false">AP1838*$M1838</f>
        <v>0</v>
      </c>
      <c r="AR1838" s="28"/>
      <c r="AS1838" s="28" t="n">
        <f aca="false">AR1838*$M1838</f>
        <v>0</v>
      </c>
      <c r="AT1838" s="28"/>
      <c r="AU1838" s="28" t="n">
        <f aca="false">AT1838*$M1838</f>
        <v>0</v>
      </c>
      <c r="AV1838" s="28"/>
      <c r="AW1838" s="28" t="n">
        <f aca="false">AV1838*$M1838</f>
        <v>0</v>
      </c>
      <c r="AX1838" s="28"/>
      <c r="AY1838" s="28" t="n">
        <f aca="false">AX1838*$M1838</f>
        <v>0</v>
      </c>
      <c r="AZ1838" s="30" t="n">
        <f aca="false">290/100</f>
        <v>2.9</v>
      </c>
      <c r="BA1838" s="11" t="n">
        <v>2208</v>
      </c>
      <c r="BB1838" s="31" t="n">
        <f aca="false">SUM(Q1838,S1838,U1838,W1838,Y1838,AA1838,AC1838,AE1838,AG1838,AI1838,AK1838,AM1838,AO1838,AQ1838,AS1838,AU1838,AW1838,AY1838)</f>
        <v>2208</v>
      </c>
      <c r="BC1838" s="28" t="n">
        <f aca="false">BA1838-BB1838</f>
        <v>0</v>
      </c>
      <c r="BD1838" s="32" t="n">
        <f aca="false">SUM(P1838,R1838,T1838,V1838,X1838,Z1838,AB1838,AD1838,AF1838,AH1838,AJ1838,AL1838,AN1838,AP1838,AR1838,AT1838,AV1838,AX1838)</f>
        <v>2.9</v>
      </c>
      <c r="BE1838" s="33" t="n">
        <f aca="false">AZ1838-BD1838</f>
        <v>0</v>
      </c>
      <c r="BF1838" s="34" t="n">
        <f aca="false">BD1838*M1838</f>
        <v>696</v>
      </c>
      <c r="BG1838" s="35" t="n">
        <f aca="false">BA1838-BF1838</f>
        <v>1512</v>
      </c>
      <c r="BH1838" s="19" t="str">
        <f aca="false">IF(BG1838=0,"",IF(BG1838&lt;&gt;BA1838,"erreur de calcul",IF(BD1838&lt;&gt;0,"pas de prix",IF(M1838&lt;&gt; 0,"pas de quantité","pas de prix, ni de quantité"))))</f>
        <v>erreur de calcul</v>
      </c>
      <c r="BI1838" s="19"/>
    </row>
    <row r="1839" customFormat="false" ht="15" hidden="false" customHeight="false" outlineLevel="0" collapsed="false">
      <c r="A1839" s="0" t="n">
        <v>5</v>
      </c>
      <c r="B1839" s="8" t="s">
        <v>24</v>
      </c>
      <c r="C1839" s="9" t="s">
        <v>25</v>
      </c>
      <c r="D1839" s="9" t="s">
        <v>26</v>
      </c>
      <c r="E1839" s="10" t="n">
        <v>1789</v>
      </c>
      <c r="F1839" s="9" t="s">
        <v>27</v>
      </c>
      <c r="G1839" s="9" t="s">
        <v>27</v>
      </c>
      <c r="H1839" s="11" t="n">
        <v>21</v>
      </c>
      <c r="I1839" s="11" t="s">
        <v>158</v>
      </c>
      <c r="J1839" s="14" t="n">
        <v>115</v>
      </c>
      <c r="K1839" s="14"/>
      <c r="L1839" s="16"/>
      <c r="M1839" s="27" t="n">
        <f aca="false">J1839+(K1839/20)+(L1839/240)</f>
        <v>115</v>
      </c>
      <c r="N1839" s="17" t="s">
        <v>64</v>
      </c>
      <c r="O1839" s="11"/>
      <c r="P1839" s="28"/>
      <c r="Q1839" s="28" t="n">
        <f aca="false">P1839*$M1839</f>
        <v>0</v>
      </c>
      <c r="R1839" s="28"/>
      <c r="S1839" s="28" t="n">
        <f aca="false">R1839*$M1839</f>
        <v>0</v>
      </c>
      <c r="T1839" s="28"/>
      <c r="U1839" s="28" t="n">
        <f aca="false">T1839*$M1839</f>
        <v>0</v>
      </c>
      <c r="V1839" s="28"/>
      <c r="W1839" s="28" t="n">
        <f aca="false">V1839*$M1839</f>
        <v>0</v>
      </c>
      <c r="X1839" s="28"/>
      <c r="Y1839" s="28" t="n">
        <f aca="false">X1839*$M1839</f>
        <v>0</v>
      </c>
      <c r="Z1839" s="28"/>
      <c r="AA1839" s="28" t="n">
        <f aca="false">Z1839*$M1839</f>
        <v>0</v>
      </c>
      <c r="AB1839" s="28"/>
      <c r="AC1839" s="28" t="n">
        <f aca="false">AB1839*$M1839</f>
        <v>0</v>
      </c>
      <c r="AD1839" s="28"/>
      <c r="AE1839" s="28" t="n">
        <f aca="false">AD1839*$M1839</f>
        <v>0</v>
      </c>
      <c r="AF1839" s="28"/>
      <c r="AG1839" s="28" t="n">
        <f aca="false">AF1839*$M1839</f>
        <v>0</v>
      </c>
      <c r="AH1839" s="28" t="n">
        <f aca="false">491552/100</f>
        <v>4915.52</v>
      </c>
      <c r="AI1839" s="28" t="n">
        <v>565285</v>
      </c>
      <c r="AJ1839" s="28"/>
      <c r="AK1839" s="28" t="n">
        <f aca="false">AJ1839*$M1839</f>
        <v>0</v>
      </c>
      <c r="AL1839" s="28"/>
      <c r="AM1839" s="28" t="n">
        <f aca="false">AL1839*$M1839</f>
        <v>0</v>
      </c>
      <c r="AN1839" s="28"/>
      <c r="AO1839" s="28" t="n">
        <f aca="false">AN1839*$M1839</f>
        <v>0</v>
      </c>
      <c r="AP1839" s="28"/>
      <c r="AQ1839" s="28" t="n">
        <f aca="false">AP1839*$M1839</f>
        <v>0</v>
      </c>
      <c r="AR1839" s="28"/>
      <c r="AS1839" s="28" t="n">
        <f aca="false">AR1839*$M1839</f>
        <v>0</v>
      </c>
      <c r="AT1839" s="28"/>
      <c r="AU1839" s="28" t="n">
        <f aca="false">AT1839*$M1839</f>
        <v>0</v>
      </c>
      <c r="AV1839" s="28"/>
      <c r="AW1839" s="28" t="n">
        <f aca="false">AV1839*$M1839</f>
        <v>0</v>
      </c>
      <c r="AX1839" s="28"/>
      <c r="AY1839" s="28" t="n">
        <f aca="false">AX1839*$M1839</f>
        <v>0</v>
      </c>
      <c r="AZ1839" s="30" t="n">
        <f aca="false">491552/100</f>
        <v>4915.52</v>
      </c>
      <c r="BA1839" s="11" t="n">
        <v>565285</v>
      </c>
      <c r="BB1839" s="31" t="n">
        <f aca="false">SUM(Q1839,S1839,U1839,W1839,Y1839,AA1839,AC1839,AE1839,AG1839,AI1839,AK1839,AM1839,AO1839,AQ1839,AS1839,AU1839,AW1839,AY1839)</f>
        <v>565285</v>
      </c>
      <c r="BC1839" s="28" t="n">
        <f aca="false">BA1839-BB1839</f>
        <v>0</v>
      </c>
      <c r="BD1839" s="32" t="n">
        <f aca="false">SUM(P1839,R1839,T1839,V1839,X1839,Z1839,AB1839,AD1839,AF1839,AH1839,AJ1839,AL1839,AN1839,AP1839,AR1839,AT1839,AV1839,AX1839)</f>
        <v>4915.52</v>
      </c>
      <c r="BE1839" s="33" t="n">
        <f aca="false">AZ1839-BD1839</f>
        <v>0</v>
      </c>
      <c r="BF1839" s="34" t="n">
        <f aca="false">BD1839*M1839</f>
        <v>565284.8</v>
      </c>
      <c r="BG1839" s="35" t="n">
        <f aca="false">BA1839-BF1839</f>
        <v>0.199999999953434</v>
      </c>
      <c r="BH1839" s="19" t="str">
        <f aca="false">IF(BG1839=0,"",IF(BG1839&lt;&gt;BA1839,"erreur de calcul",IF(BD1839&lt;&gt;0,"pas de prix",IF(M1839&lt;&gt; 0,"pas de quantité","pas de prix, ni de quantité"))))</f>
        <v>erreur de calcul</v>
      </c>
      <c r="BI1839" s="19"/>
    </row>
    <row r="1840" customFormat="false" ht="15" hidden="false" customHeight="false" outlineLevel="0" collapsed="false">
      <c r="A1840" s="0" t="n">
        <v>6</v>
      </c>
      <c r="B1840" s="8" t="s">
        <v>24</v>
      </c>
      <c r="C1840" s="9" t="s">
        <v>25</v>
      </c>
      <c r="D1840" s="9" t="s">
        <v>26</v>
      </c>
      <c r="E1840" s="10" t="n">
        <v>1789</v>
      </c>
      <c r="F1840" s="9" t="s">
        <v>27</v>
      </c>
      <c r="G1840" s="9" t="s">
        <v>27</v>
      </c>
      <c r="H1840" s="11" t="n">
        <v>21</v>
      </c>
      <c r="I1840" s="11" t="s">
        <v>159</v>
      </c>
      <c r="J1840" s="14" t="n">
        <v>240</v>
      </c>
      <c r="K1840" s="14"/>
      <c r="L1840" s="16"/>
      <c r="M1840" s="27" t="n">
        <f aca="false">J1840+(K1840/20)+(L1840/240)</f>
        <v>240</v>
      </c>
      <c r="N1840" s="17" t="s">
        <v>64</v>
      </c>
      <c r="O1840" s="11"/>
      <c r="P1840" s="28"/>
      <c r="Q1840" s="28" t="n">
        <f aca="false">P1840*$M1840</f>
        <v>0</v>
      </c>
      <c r="R1840" s="28"/>
      <c r="S1840" s="28" t="n">
        <f aca="false">R1840*$M1840</f>
        <v>0</v>
      </c>
      <c r="T1840" s="28"/>
      <c r="U1840" s="28" t="n">
        <f aca="false">T1840*$M1840</f>
        <v>0</v>
      </c>
      <c r="V1840" s="28"/>
      <c r="W1840" s="28" t="n">
        <f aca="false">V1840*$M1840</f>
        <v>0</v>
      </c>
      <c r="X1840" s="28"/>
      <c r="Y1840" s="28" t="n">
        <f aca="false">X1840*$M1840</f>
        <v>0</v>
      </c>
      <c r="Z1840" s="28"/>
      <c r="AA1840" s="28" t="n">
        <f aca="false">Z1840*$M1840</f>
        <v>0</v>
      </c>
      <c r="AB1840" s="28"/>
      <c r="AC1840" s="28" t="n">
        <f aca="false">AB1840*$M1840</f>
        <v>0</v>
      </c>
      <c r="AD1840" s="28"/>
      <c r="AE1840" s="28" t="n">
        <f aca="false">AD1840*$M1840</f>
        <v>0</v>
      </c>
      <c r="AF1840" s="28"/>
      <c r="AG1840" s="28" t="n">
        <f aca="false">AF1840*$M1840</f>
        <v>0</v>
      </c>
      <c r="AH1840" s="28" t="n">
        <f aca="false">46293/100</f>
        <v>462.93</v>
      </c>
      <c r="AI1840" s="28" t="n">
        <v>111103</v>
      </c>
      <c r="AJ1840" s="28"/>
      <c r="AK1840" s="28" t="n">
        <f aca="false">AJ1840*$M1840</f>
        <v>0</v>
      </c>
      <c r="AL1840" s="28"/>
      <c r="AM1840" s="28" t="n">
        <f aca="false">AL1840*$M1840</f>
        <v>0</v>
      </c>
      <c r="AN1840" s="28"/>
      <c r="AO1840" s="28" t="n">
        <f aca="false">AN1840*$M1840</f>
        <v>0</v>
      </c>
      <c r="AP1840" s="28"/>
      <c r="AQ1840" s="28" t="n">
        <f aca="false">AP1840*$M1840</f>
        <v>0</v>
      </c>
      <c r="AR1840" s="28"/>
      <c r="AS1840" s="28" t="n">
        <f aca="false">AR1840*$M1840</f>
        <v>0</v>
      </c>
      <c r="AT1840" s="28"/>
      <c r="AU1840" s="28" t="n">
        <f aca="false">AT1840*$M1840</f>
        <v>0</v>
      </c>
      <c r="AV1840" s="28"/>
      <c r="AW1840" s="28" t="n">
        <f aca="false">AV1840*$M1840</f>
        <v>0</v>
      </c>
      <c r="AX1840" s="28"/>
      <c r="AY1840" s="28" t="n">
        <f aca="false">AX1840*$M1840</f>
        <v>0</v>
      </c>
      <c r="AZ1840" s="30" t="n">
        <f aca="false">46293/100</f>
        <v>462.93</v>
      </c>
      <c r="BA1840" s="11" t="n">
        <v>111103</v>
      </c>
      <c r="BB1840" s="31" t="n">
        <f aca="false">SUM(Q1840,S1840,U1840,W1840,Y1840,AA1840,AC1840,AE1840,AG1840,AI1840,AK1840,AM1840,AO1840,AQ1840,AS1840,AU1840,AW1840,AY1840)</f>
        <v>111103</v>
      </c>
      <c r="BC1840" s="28" t="n">
        <f aca="false">BA1840-BB1840</f>
        <v>0</v>
      </c>
      <c r="BD1840" s="32" t="n">
        <f aca="false">SUM(P1840,R1840,T1840,V1840,X1840,Z1840,AB1840,AD1840,AF1840,AH1840,AJ1840,AL1840,AN1840,AP1840,AR1840,AT1840,AV1840,AX1840)</f>
        <v>462.93</v>
      </c>
      <c r="BE1840" s="33" t="n">
        <f aca="false">AZ1840-BD1840</f>
        <v>0</v>
      </c>
      <c r="BF1840" s="34" t="n">
        <f aca="false">BD1840*M1840</f>
        <v>111103.2</v>
      </c>
      <c r="BG1840" s="35" t="n">
        <f aca="false">BA1840-BF1840</f>
        <v>-0.19999999999709</v>
      </c>
      <c r="BH1840" s="19" t="str">
        <f aca="false">IF(BG1840=0,"",IF(BG1840&lt;&gt;BA1840,"erreur de calcul",IF(BD1840&lt;&gt;0,"pas de prix",IF(M1840&lt;&gt; 0,"pas de quantité","pas de prix, ni de quantité"))))</f>
        <v>erreur de calcul</v>
      </c>
      <c r="BI1840" s="19"/>
    </row>
    <row r="1841" customFormat="false" ht="15" hidden="false" customHeight="false" outlineLevel="0" collapsed="false">
      <c r="A1841" s="0" t="n">
        <v>7</v>
      </c>
      <c r="B1841" s="8" t="s">
        <v>24</v>
      </c>
      <c r="C1841" s="9" t="s">
        <v>25</v>
      </c>
      <c r="D1841" s="9" t="s">
        <v>26</v>
      </c>
      <c r="E1841" s="10" t="n">
        <v>1789</v>
      </c>
      <c r="F1841" s="9" t="s">
        <v>27</v>
      </c>
      <c r="G1841" s="9" t="s">
        <v>27</v>
      </c>
      <c r="H1841" s="11" t="n">
        <v>21</v>
      </c>
      <c r="I1841" s="11" t="s">
        <v>160</v>
      </c>
      <c r="J1841" s="14" t="n">
        <v>70</v>
      </c>
      <c r="K1841" s="14"/>
      <c r="L1841" s="16"/>
      <c r="M1841" s="27" t="n">
        <f aca="false">J1841+(K1841/20)+(L1841/240)</f>
        <v>70</v>
      </c>
      <c r="N1841" s="17" t="s">
        <v>64</v>
      </c>
      <c r="O1841" s="11"/>
      <c r="P1841" s="28"/>
      <c r="Q1841" s="28" t="n">
        <f aca="false">P1841*$M1841</f>
        <v>0</v>
      </c>
      <c r="R1841" s="28"/>
      <c r="S1841" s="28" t="n">
        <f aca="false">R1841*$M1841</f>
        <v>0</v>
      </c>
      <c r="T1841" s="28"/>
      <c r="U1841" s="28" t="n">
        <f aca="false">T1841*$M1841</f>
        <v>0</v>
      </c>
      <c r="V1841" s="28"/>
      <c r="W1841" s="28" t="n">
        <f aca="false">V1841*$M1841</f>
        <v>0</v>
      </c>
      <c r="X1841" s="28"/>
      <c r="Y1841" s="28" t="n">
        <f aca="false">X1841*$M1841</f>
        <v>0</v>
      </c>
      <c r="Z1841" s="28"/>
      <c r="AA1841" s="28" t="n">
        <f aca="false">Z1841*$M1841</f>
        <v>0</v>
      </c>
      <c r="AB1841" s="28"/>
      <c r="AC1841" s="28" t="n">
        <f aca="false">AB1841*$M1841</f>
        <v>0</v>
      </c>
      <c r="AD1841" s="28"/>
      <c r="AE1841" s="28" t="n">
        <f aca="false">AD1841*$M1841</f>
        <v>0</v>
      </c>
      <c r="AF1841" s="28" t="n">
        <f aca="false">125849/100</f>
        <v>1258.49</v>
      </c>
      <c r="AG1841" s="28" t="n">
        <v>88094</v>
      </c>
      <c r="AH1841" s="28"/>
      <c r="AI1841" s="28" t="n">
        <f aca="false">AH1841*$M1841</f>
        <v>0</v>
      </c>
      <c r="AJ1841" s="28"/>
      <c r="AK1841" s="28" t="n">
        <f aca="false">AJ1841*$M1841</f>
        <v>0</v>
      </c>
      <c r="AL1841" s="28"/>
      <c r="AM1841" s="28" t="n">
        <f aca="false">AL1841*$M1841</f>
        <v>0</v>
      </c>
      <c r="AN1841" s="28"/>
      <c r="AO1841" s="28" t="n">
        <f aca="false">AN1841*$M1841</f>
        <v>0</v>
      </c>
      <c r="AP1841" s="28"/>
      <c r="AQ1841" s="28" t="n">
        <f aca="false">AP1841*$M1841</f>
        <v>0</v>
      </c>
      <c r="AR1841" s="28"/>
      <c r="AS1841" s="28" t="n">
        <f aca="false">AR1841*$M1841</f>
        <v>0</v>
      </c>
      <c r="AT1841" s="28"/>
      <c r="AU1841" s="28" t="n">
        <f aca="false">AT1841*$M1841</f>
        <v>0</v>
      </c>
      <c r="AV1841" s="28"/>
      <c r="AW1841" s="28" t="n">
        <f aca="false">AV1841*$M1841</f>
        <v>0</v>
      </c>
      <c r="AX1841" s="28"/>
      <c r="AY1841" s="28" t="n">
        <f aca="false">AX1841*$M1841</f>
        <v>0</v>
      </c>
      <c r="AZ1841" s="30" t="n">
        <f aca="false">125849/100</f>
        <v>1258.49</v>
      </c>
      <c r="BA1841" s="11" t="n">
        <v>88094</v>
      </c>
      <c r="BB1841" s="31" t="n">
        <f aca="false">SUM(Q1841,S1841,U1841,W1841,Y1841,AA1841,AC1841,AE1841,AG1841,AI1841,AK1841,AM1841,AO1841,AQ1841,AS1841,AU1841,AW1841,AY1841)</f>
        <v>88094</v>
      </c>
      <c r="BC1841" s="28" t="n">
        <f aca="false">BA1841-BB1841</f>
        <v>0</v>
      </c>
      <c r="BD1841" s="32" t="n">
        <f aca="false">SUM(P1841,R1841,T1841,V1841,X1841,Z1841,AB1841,AD1841,AF1841,AH1841,AJ1841,AL1841,AN1841,AP1841,AR1841,AT1841,AV1841,AX1841)</f>
        <v>1258.49</v>
      </c>
      <c r="BE1841" s="33" t="n">
        <f aca="false">AZ1841-BD1841</f>
        <v>0</v>
      </c>
      <c r="BF1841" s="34" t="n">
        <f aca="false">BD1841*M1841</f>
        <v>88094.3</v>
      </c>
      <c r="BG1841" s="35" t="n">
        <f aca="false">BA1841-BF1841</f>
        <v>-0.30000000000291</v>
      </c>
      <c r="BH1841" s="19" t="str">
        <f aca="false">IF(BG1841=0,"",IF(BG1841&lt;&gt;BA1841,"erreur de calcul",IF(BD1841&lt;&gt;0,"pas de prix",IF(M1841&lt;&gt; 0,"pas de quantité","pas de prix, ni de quantité"))))</f>
        <v>erreur de calcul</v>
      </c>
      <c r="BI1841" s="19"/>
    </row>
    <row r="1842" customFormat="false" ht="15" hidden="false" customHeight="false" outlineLevel="0" collapsed="false">
      <c r="A1842" s="0" t="n">
        <v>8</v>
      </c>
      <c r="B1842" s="8" t="s">
        <v>24</v>
      </c>
      <c r="C1842" s="9" t="s">
        <v>25</v>
      </c>
      <c r="D1842" s="9" t="s">
        <v>26</v>
      </c>
      <c r="E1842" s="10" t="n">
        <v>1789</v>
      </c>
      <c r="F1842" s="9" t="s">
        <v>27</v>
      </c>
      <c r="G1842" s="9" t="s">
        <v>27</v>
      </c>
      <c r="H1842" s="11" t="n">
        <v>21</v>
      </c>
      <c r="I1842" s="11" t="s">
        <v>161</v>
      </c>
      <c r="J1842" s="14" t="n">
        <v>50</v>
      </c>
      <c r="K1842" s="14"/>
      <c r="L1842" s="16"/>
      <c r="M1842" s="27" t="n">
        <f aca="false">J1842+(K1842/20)+(L1842/240)</f>
        <v>50</v>
      </c>
      <c r="N1842" s="17" t="s">
        <v>64</v>
      </c>
      <c r="O1842" s="11"/>
      <c r="P1842" s="28"/>
      <c r="Q1842" s="28" t="n">
        <f aca="false">P1842*$M1842</f>
        <v>0</v>
      </c>
      <c r="R1842" s="28"/>
      <c r="S1842" s="28" t="n">
        <f aca="false">R1842*$M1842</f>
        <v>0</v>
      </c>
      <c r="T1842" s="28"/>
      <c r="U1842" s="28" t="n">
        <f aca="false">T1842*$M1842</f>
        <v>0</v>
      </c>
      <c r="V1842" s="28" t="n">
        <f aca="false">18055/100</f>
        <v>180.55</v>
      </c>
      <c r="W1842" s="28" t="n">
        <v>9027</v>
      </c>
      <c r="X1842" s="28" t="n">
        <f aca="false">17880/100</f>
        <v>178.8</v>
      </c>
      <c r="Y1842" s="28" t="n">
        <v>8940</v>
      </c>
      <c r="Z1842" s="28"/>
      <c r="AA1842" s="28" t="n">
        <f aca="false">Z1842*$M1842</f>
        <v>0</v>
      </c>
      <c r="AB1842" s="28" t="n">
        <f aca="false">104483/100</f>
        <v>1044.83</v>
      </c>
      <c r="AC1842" s="28" t="n">
        <v>52241</v>
      </c>
      <c r="AD1842" s="28"/>
      <c r="AE1842" s="28" t="n">
        <f aca="false">AD1842*$M1842</f>
        <v>0</v>
      </c>
      <c r="AF1842" s="28"/>
      <c r="AG1842" s="28" t="n">
        <f aca="false">AF1842*$M1842</f>
        <v>0</v>
      </c>
      <c r="AH1842" s="28"/>
      <c r="AI1842" s="28" t="n">
        <f aca="false">AH1842*$M1842</f>
        <v>0</v>
      </c>
      <c r="AJ1842" s="28"/>
      <c r="AK1842" s="28" t="n">
        <f aca="false">AJ1842*$M1842</f>
        <v>0</v>
      </c>
      <c r="AL1842" s="28"/>
      <c r="AM1842" s="28" t="n">
        <f aca="false">AL1842*$M1842</f>
        <v>0</v>
      </c>
      <c r="AN1842" s="28"/>
      <c r="AO1842" s="28" t="n">
        <f aca="false">AN1842*$M1842</f>
        <v>0</v>
      </c>
      <c r="AP1842" s="28"/>
      <c r="AQ1842" s="28" t="n">
        <f aca="false">AP1842*$M1842</f>
        <v>0</v>
      </c>
      <c r="AR1842" s="28"/>
      <c r="AS1842" s="28" t="n">
        <f aca="false">AR1842*$M1842</f>
        <v>0</v>
      </c>
      <c r="AT1842" s="28"/>
      <c r="AU1842" s="28" t="n">
        <f aca="false">AT1842*$M1842</f>
        <v>0</v>
      </c>
      <c r="AV1842" s="28"/>
      <c r="AW1842" s="28" t="n">
        <f aca="false">AV1842*$M1842</f>
        <v>0</v>
      </c>
      <c r="AX1842" s="28"/>
      <c r="AY1842" s="28" t="n">
        <f aca="false">AX1842*$M1842</f>
        <v>0</v>
      </c>
      <c r="AZ1842" s="30" t="n">
        <f aca="false">140418/100</f>
        <v>1404.18</v>
      </c>
      <c r="BA1842" s="11" t="n">
        <v>70208</v>
      </c>
      <c r="BB1842" s="31" t="n">
        <f aca="false">SUM(Q1842,S1842,U1842,W1842,Y1842,AA1842,AC1842,AE1842,AG1842,AI1842,AK1842,AM1842,AO1842,AQ1842,AS1842,AU1842,AW1842,AY1842)</f>
        <v>70208</v>
      </c>
      <c r="BC1842" s="28" t="n">
        <f aca="false">BA1842-BB1842</f>
        <v>0</v>
      </c>
      <c r="BD1842" s="32" t="n">
        <f aca="false">SUM(P1842,R1842,T1842,V1842,X1842,Z1842,AB1842,AD1842,AF1842,AH1842,AJ1842,AL1842,AN1842,AP1842,AR1842,AT1842,AV1842,AX1842)</f>
        <v>1404.18</v>
      </c>
      <c r="BE1842" s="33" t="n">
        <f aca="false">AZ1842-BD1842</f>
        <v>0</v>
      </c>
      <c r="BF1842" s="34" t="n">
        <f aca="false">BD1842*M1842</f>
        <v>70209</v>
      </c>
      <c r="BG1842" s="35" t="n">
        <f aca="false">BA1842-BF1842</f>
        <v>-0.999999999985448</v>
      </c>
      <c r="BH1842" s="19" t="str">
        <f aca="false">IF(BG1842=0,"",IF(BG1842&lt;&gt;BA1842,"erreur de calcul",IF(BD1842&lt;&gt;0,"pas de prix",IF(M1842&lt;&gt; 0,"pas de quantité","pas de prix, ni de quantité"))))</f>
        <v>erreur de calcul</v>
      </c>
      <c r="BI1842" s="19"/>
    </row>
    <row r="1843" customFormat="false" ht="15" hidden="false" customHeight="false" outlineLevel="0" collapsed="false">
      <c r="A1843" s="0" t="n">
        <v>9</v>
      </c>
      <c r="B1843" s="8" t="s">
        <v>24</v>
      </c>
      <c r="C1843" s="9" t="s">
        <v>25</v>
      </c>
      <c r="D1843" s="9" t="s">
        <v>26</v>
      </c>
      <c r="E1843" s="10" t="n">
        <v>1789</v>
      </c>
      <c r="F1843" s="9" t="s">
        <v>27</v>
      </c>
      <c r="G1843" s="9" t="s">
        <v>27</v>
      </c>
      <c r="H1843" s="11" t="n">
        <v>21</v>
      </c>
      <c r="I1843" s="11" t="s">
        <v>162</v>
      </c>
      <c r="J1843" s="14" t="n">
        <v>250</v>
      </c>
      <c r="K1843" s="14"/>
      <c r="L1843" s="16"/>
      <c r="M1843" s="27" t="n">
        <f aca="false">J1843+(K1843/20)+(L1843/240)</f>
        <v>250</v>
      </c>
      <c r="N1843" s="17" t="s">
        <v>64</v>
      </c>
      <c r="O1843" s="11"/>
      <c r="P1843" s="28"/>
      <c r="Q1843" s="28" t="n">
        <f aca="false">P1843*$M1843</f>
        <v>0</v>
      </c>
      <c r="R1843" s="28"/>
      <c r="S1843" s="28" t="n">
        <f aca="false">R1843*$M1843</f>
        <v>0</v>
      </c>
      <c r="T1843" s="28"/>
      <c r="U1843" s="28" t="n">
        <f aca="false">T1843*$M1843</f>
        <v>0</v>
      </c>
      <c r="V1843" s="28"/>
      <c r="W1843" s="28" t="n">
        <f aca="false">V1843*$M1843</f>
        <v>0</v>
      </c>
      <c r="X1843" s="28"/>
      <c r="Y1843" s="28" t="n">
        <f aca="false">X1843*$M1843</f>
        <v>0</v>
      </c>
      <c r="Z1843" s="28"/>
      <c r="AA1843" s="28" t="n">
        <f aca="false">Z1843*$M1843</f>
        <v>0</v>
      </c>
      <c r="AB1843" s="28"/>
      <c r="AC1843" s="28" t="n">
        <f aca="false">AB1843*$M1843</f>
        <v>0</v>
      </c>
      <c r="AD1843" s="28"/>
      <c r="AE1843" s="28" t="n">
        <f aca="false">AD1843*$M1843</f>
        <v>0</v>
      </c>
      <c r="AF1843" s="28"/>
      <c r="AG1843" s="28" t="n">
        <f aca="false">AF1843*$M1843</f>
        <v>0</v>
      </c>
      <c r="AH1843" s="28" t="n">
        <f aca="false">2306/100</f>
        <v>23.06</v>
      </c>
      <c r="AI1843" s="36" t="n">
        <v>5073</v>
      </c>
      <c r="AJ1843" s="28"/>
      <c r="AK1843" s="28" t="n">
        <f aca="false">AJ1843*$M1843</f>
        <v>0</v>
      </c>
      <c r="AL1843" s="28"/>
      <c r="AM1843" s="28" t="n">
        <f aca="false">AL1843*$M1843</f>
        <v>0</v>
      </c>
      <c r="AN1843" s="28"/>
      <c r="AO1843" s="28" t="n">
        <f aca="false">AN1843*$M1843</f>
        <v>0</v>
      </c>
      <c r="AP1843" s="28"/>
      <c r="AQ1843" s="28" t="n">
        <f aca="false">AP1843*$M1843</f>
        <v>0</v>
      </c>
      <c r="AR1843" s="28"/>
      <c r="AS1843" s="28" t="n">
        <f aca="false">AR1843*$M1843</f>
        <v>0</v>
      </c>
      <c r="AT1843" s="28"/>
      <c r="AU1843" s="28" t="n">
        <f aca="false">AT1843*$M1843</f>
        <v>0</v>
      </c>
      <c r="AV1843" s="28"/>
      <c r="AW1843" s="28" t="n">
        <f aca="false">AV1843*$M1843</f>
        <v>0</v>
      </c>
      <c r="AX1843" s="28"/>
      <c r="AY1843" s="28" t="n">
        <f aca="false">AX1843*$M1843</f>
        <v>0</v>
      </c>
      <c r="AZ1843" s="30" t="n">
        <f aca="false">2306/100</f>
        <v>23.06</v>
      </c>
      <c r="BA1843" s="11" t="n">
        <v>5073</v>
      </c>
      <c r="BB1843" s="31" t="n">
        <f aca="false">SUM(Q1843,S1843,U1843,W1843,Y1843,AA1843,AC1843,AE1843,AG1843,AI1843,AK1843,AM1843,AO1843,AQ1843,AS1843,AU1843,AW1843,AY1843)</f>
        <v>5073</v>
      </c>
      <c r="BC1843" s="28" t="n">
        <f aca="false">BA1843-BB1843</f>
        <v>0</v>
      </c>
      <c r="BD1843" s="32" t="n">
        <f aca="false">SUM(P1843,R1843,T1843,V1843,X1843,Z1843,AB1843,AD1843,AF1843,AH1843,AJ1843,AL1843,AN1843,AP1843,AR1843,AT1843,AV1843,AX1843)</f>
        <v>23.06</v>
      </c>
      <c r="BE1843" s="33" t="n">
        <f aca="false">AZ1843-BD1843</f>
        <v>0</v>
      </c>
      <c r="BF1843" s="34" t="n">
        <f aca="false">BD1843*M1843</f>
        <v>5765</v>
      </c>
      <c r="BG1843" s="35" t="n">
        <f aca="false">BA1843-BF1843</f>
        <v>-692</v>
      </c>
      <c r="BH1843" s="19" t="str">
        <f aca="false">IF(BG1843=0,"",IF(BG1843&lt;&gt;BA1843,"erreur de calcul",IF(BD1843&lt;&gt;0,"pas de prix",IF(M1843&lt;&gt; 0,"pas de quantité","pas de prix, ni de quantité"))))</f>
        <v>erreur de calcul</v>
      </c>
      <c r="BI1843" s="19"/>
    </row>
    <row r="1844" customFormat="false" ht="15" hidden="false" customHeight="false" outlineLevel="0" collapsed="false">
      <c r="A1844" s="0" t="n">
        <v>10</v>
      </c>
      <c r="B1844" s="8" t="s">
        <v>24</v>
      </c>
      <c r="C1844" s="9" t="s">
        <v>25</v>
      </c>
      <c r="D1844" s="9" t="s">
        <v>26</v>
      </c>
      <c r="E1844" s="10" t="n">
        <v>1789</v>
      </c>
      <c r="F1844" s="9" t="s">
        <v>27</v>
      </c>
      <c r="G1844" s="9" t="s">
        <v>27</v>
      </c>
      <c r="H1844" s="11" t="n">
        <v>21</v>
      </c>
      <c r="I1844" s="11" t="s">
        <v>163</v>
      </c>
      <c r="J1844" s="14"/>
      <c r="K1844" s="14"/>
      <c r="L1844" s="16"/>
      <c r="M1844" s="27" t="n">
        <f aca="false">J1844+(K1844/20)+(L1844/240)</f>
        <v>0</v>
      </c>
      <c r="N1844" s="17"/>
      <c r="O1844" s="11"/>
      <c r="P1844" s="28"/>
      <c r="Q1844" s="28" t="n">
        <v>1571</v>
      </c>
      <c r="R1844" s="28"/>
      <c r="S1844" s="28" t="n">
        <f aca="false">R1844*$M1844</f>
        <v>0</v>
      </c>
      <c r="T1844" s="28"/>
      <c r="U1844" s="28" t="n">
        <v>182</v>
      </c>
      <c r="V1844" s="28"/>
      <c r="W1844" s="28" t="n">
        <v>1801</v>
      </c>
      <c r="X1844" s="28"/>
      <c r="Y1844" s="28" t="n">
        <v>214</v>
      </c>
      <c r="Z1844" s="28"/>
      <c r="AA1844" s="28" t="n">
        <f aca="false">Z1844*$M1844</f>
        <v>0</v>
      </c>
      <c r="AB1844" s="28"/>
      <c r="AC1844" s="28" t="n">
        <v>401</v>
      </c>
      <c r="AD1844" s="28"/>
      <c r="AE1844" s="28" t="n">
        <f aca="false">AD1844*$M1844</f>
        <v>0</v>
      </c>
      <c r="AF1844" s="28"/>
      <c r="AG1844" s="28" t="n">
        <f aca="false">AF1844*$M1844</f>
        <v>0</v>
      </c>
      <c r="AH1844" s="28"/>
      <c r="AI1844" s="28" t="n">
        <f aca="false">AH1844*$M1844</f>
        <v>0</v>
      </c>
      <c r="AJ1844" s="28"/>
      <c r="AK1844" s="28" t="n">
        <v>760</v>
      </c>
      <c r="AL1844" s="28"/>
      <c r="AM1844" s="28" t="n">
        <f aca="false">AL1844*$M1844</f>
        <v>0</v>
      </c>
      <c r="AN1844" s="28"/>
      <c r="AO1844" s="28" t="n">
        <f aca="false">AN1844*$M1844</f>
        <v>0</v>
      </c>
      <c r="AP1844" s="28"/>
      <c r="AQ1844" s="28" t="n">
        <f aca="false">AP1844*$M1844</f>
        <v>0</v>
      </c>
      <c r="AR1844" s="28"/>
      <c r="AS1844" s="28" t="n">
        <f aca="false">AR1844*$M1844</f>
        <v>0</v>
      </c>
      <c r="AT1844" s="28"/>
      <c r="AU1844" s="28" t="n">
        <f aca="false">AT1844*$M1844</f>
        <v>0</v>
      </c>
      <c r="AV1844" s="28"/>
      <c r="AW1844" s="28" t="n">
        <f aca="false">AV1844*$M1844</f>
        <v>0</v>
      </c>
      <c r="AX1844" s="28"/>
      <c r="AY1844" s="28" t="n">
        <f aca="false">AX1844*$M1844</f>
        <v>0</v>
      </c>
      <c r="AZ1844" s="30"/>
      <c r="BA1844" s="11" t="n">
        <v>4929</v>
      </c>
      <c r="BB1844" s="31" t="n">
        <f aca="false">SUM(Q1844,S1844,U1844,W1844,Y1844,AA1844,AC1844,AE1844,AG1844,AI1844,AK1844,AM1844,AO1844,AQ1844,AS1844,AU1844,AW1844,AY1844)</f>
        <v>4929</v>
      </c>
      <c r="BC1844" s="28" t="n">
        <f aca="false">BA1844-BB1844</f>
        <v>0</v>
      </c>
      <c r="BD1844" s="32" t="n">
        <f aca="false">SUM(P1844,R1844,T1844,V1844,X1844,Z1844,AB1844,AD1844,AF1844,AH1844,AJ1844,AL1844,AN1844,AP1844,AR1844,AT1844,AV1844,AX1844)</f>
        <v>0</v>
      </c>
      <c r="BE1844" s="33" t="n">
        <f aca="false">AZ1844-BD1844</f>
        <v>0</v>
      </c>
      <c r="BF1844" s="34" t="n">
        <f aca="false">BD1844*M1844</f>
        <v>0</v>
      </c>
      <c r="BG1844" s="35" t="n">
        <f aca="false">BA1844-BF1844</f>
        <v>4929</v>
      </c>
      <c r="BH1844" s="19" t="str">
        <f aca="false">IF(BG1844=0,"",IF(BG1844&lt;&gt;BA1844,"erreur de calcul",IF(BD1844&lt;&gt;0,"pas de prix",IF(M1844&lt;&gt; 0,"pas de quantité","pas de prix, ni de quantité"))))</f>
        <v>pas de prix, ni de quantité</v>
      </c>
      <c r="BI1844" s="19"/>
    </row>
    <row r="1845" customFormat="false" ht="15" hidden="false" customHeight="false" outlineLevel="0" collapsed="false">
      <c r="A1845" s="0" t="n">
        <v>11</v>
      </c>
      <c r="B1845" s="8" t="s">
        <v>24</v>
      </c>
      <c r="C1845" s="9" t="s">
        <v>25</v>
      </c>
      <c r="D1845" s="9" t="s">
        <v>26</v>
      </c>
      <c r="E1845" s="10" t="n">
        <v>1789</v>
      </c>
      <c r="F1845" s="9" t="s">
        <v>27</v>
      </c>
      <c r="G1845" s="9" t="s">
        <v>27</v>
      </c>
      <c r="H1845" s="11" t="n">
        <v>21</v>
      </c>
      <c r="I1845" s="11" t="s">
        <v>164</v>
      </c>
      <c r="J1845" s="14" t="n">
        <v>580</v>
      </c>
      <c r="K1845" s="14"/>
      <c r="L1845" s="16"/>
      <c r="M1845" s="27" t="n">
        <f aca="false">J1845+(K1845/20)+(L1845/240)</f>
        <v>580</v>
      </c>
      <c r="N1845" s="17" t="s">
        <v>64</v>
      </c>
      <c r="O1845" s="11"/>
      <c r="P1845" s="28" t="n">
        <f aca="false">294/100</f>
        <v>2.94</v>
      </c>
      <c r="Q1845" s="28" t="n">
        <v>1705</v>
      </c>
      <c r="R1845" s="28"/>
      <c r="S1845" s="28" t="n">
        <f aca="false">R1845*$M1845</f>
        <v>0</v>
      </c>
      <c r="T1845" s="28"/>
      <c r="U1845" s="28" t="n">
        <f aca="false">T1845*$M1845</f>
        <v>0</v>
      </c>
      <c r="V1845" s="28"/>
      <c r="W1845" s="28" t="n">
        <f aca="false">V1845*$M1845</f>
        <v>0</v>
      </c>
      <c r="X1845" s="28"/>
      <c r="Y1845" s="28" t="n">
        <f aca="false">X1845*$M1845</f>
        <v>0</v>
      </c>
      <c r="Z1845" s="28"/>
      <c r="AA1845" s="28" t="n">
        <f aca="false">Z1845*$M1845</f>
        <v>0</v>
      </c>
      <c r="AB1845" s="28"/>
      <c r="AC1845" s="28" t="n">
        <f aca="false">AB1845*$M1845</f>
        <v>0</v>
      </c>
      <c r="AD1845" s="28"/>
      <c r="AE1845" s="28" t="n">
        <f aca="false">AD1845*$M1845</f>
        <v>0</v>
      </c>
      <c r="AF1845" s="28"/>
      <c r="AG1845" s="28" t="n">
        <f aca="false">AF1845*$M1845</f>
        <v>0</v>
      </c>
      <c r="AH1845" s="28"/>
      <c r="AI1845" s="28" t="n">
        <f aca="false">AH1845*$M1845</f>
        <v>0</v>
      </c>
      <c r="AJ1845" s="28"/>
      <c r="AK1845" s="28" t="n">
        <f aca="false">AJ1845*$M1845</f>
        <v>0</v>
      </c>
      <c r="AL1845" s="28"/>
      <c r="AM1845" s="28" t="n">
        <f aca="false">AL1845*$M1845</f>
        <v>0</v>
      </c>
      <c r="AN1845" s="28"/>
      <c r="AO1845" s="28" t="n">
        <f aca="false">AN1845*$M1845</f>
        <v>0</v>
      </c>
      <c r="AP1845" s="28"/>
      <c r="AQ1845" s="28" t="n">
        <f aca="false">AP1845*$M1845</f>
        <v>0</v>
      </c>
      <c r="AR1845" s="28"/>
      <c r="AS1845" s="28" t="n">
        <f aca="false">AR1845*$M1845</f>
        <v>0</v>
      </c>
      <c r="AT1845" s="28"/>
      <c r="AU1845" s="28" t="n">
        <f aca="false">AT1845*$M1845</f>
        <v>0</v>
      </c>
      <c r="AV1845" s="28"/>
      <c r="AW1845" s="28" t="n">
        <f aca="false">AV1845*$M1845</f>
        <v>0</v>
      </c>
      <c r="AX1845" s="28"/>
      <c r="AY1845" s="28" t="n">
        <f aca="false">AX1845*$M1845</f>
        <v>0</v>
      </c>
      <c r="AZ1845" s="30" t="n">
        <f aca="false">294/100</f>
        <v>2.94</v>
      </c>
      <c r="BA1845" s="11" t="n">
        <v>1705</v>
      </c>
      <c r="BB1845" s="31" t="n">
        <f aca="false">SUM(Q1845,S1845,U1845,W1845,Y1845,AA1845,AC1845,AE1845,AG1845,AI1845,AK1845,AM1845,AO1845,AQ1845,AS1845,AU1845,AW1845,AY1845)</f>
        <v>1705</v>
      </c>
      <c r="BC1845" s="28" t="n">
        <f aca="false">BA1845-BB1845</f>
        <v>0</v>
      </c>
      <c r="BD1845" s="32" t="n">
        <f aca="false">SUM(P1845,R1845,T1845,V1845,X1845,Z1845,AB1845,AD1845,AF1845,AH1845,AJ1845,AL1845,AN1845,AP1845,AR1845,AT1845,AV1845,AX1845)</f>
        <v>2.94</v>
      </c>
      <c r="BE1845" s="33" t="n">
        <f aca="false">AZ1845-BD1845</f>
        <v>0</v>
      </c>
      <c r="BF1845" s="34" t="n">
        <f aca="false">BD1845*M1845</f>
        <v>1705.2</v>
      </c>
      <c r="BG1845" s="35" t="n">
        <f aca="false">BA1845-BF1845</f>
        <v>-0.200000000000045</v>
      </c>
      <c r="BH1845" s="19" t="str">
        <f aca="false">IF(BG1845=0,"",IF(BG1845&lt;&gt;BA1845,"erreur de calcul",IF(BD1845&lt;&gt;0,"pas de prix",IF(M1845&lt;&gt; 0,"pas de quantité","pas de prix, ni de quantité"))))</f>
        <v>erreur de calcul</v>
      </c>
      <c r="BI1845" s="19"/>
    </row>
    <row r="1846" customFormat="false" ht="15" hidden="false" customHeight="false" outlineLevel="0" collapsed="false">
      <c r="A1846" s="0" t="n">
        <v>12</v>
      </c>
      <c r="B1846" s="8" t="s">
        <v>24</v>
      </c>
      <c r="C1846" s="9" t="s">
        <v>25</v>
      </c>
      <c r="D1846" s="9" t="s">
        <v>26</v>
      </c>
      <c r="E1846" s="10" t="n">
        <v>1789</v>
      </c>
      <c r="F1846" s="9" t="s">
        <v>27</v>
      </c>
      <c r="G1846" s="9" t="s">
        <v>27</v>
      </c>
      <c r="H1846" s="11" t="n">
        <v>21</v>
      </c>
      <c r="I1846" s="11" t="s">
        <v>165</v>
      </c>
      <c r="J1846" s="14" t="n">
        <v>180</v>
      </c>
      <c r="K1846" s="14"/>
      <c r="L1846" s="16"/>
      <c r="M1846" s="27" t="n">
        <f aca="false">J1846+(K1846/20)+(L1846/240)</f>
        <v>180</v>
      </c>
      <c r="N1846" s="17" t="s">
        <v>64</v>
      </c>
      <c r="O1846" s="11"/>
      <c r="P1846" s="28"/>
      <c r="Q1846" s="28" t="n">
        <f aca="false">P1846*$M1846</f>
        <v>0</v>
      </c>
      <c r="R1846" s="28"/>
      <c r="S1846" s="28" t="n">
        <f aca="false">R1846*$M1846</f>
        <v>0</v>
      </c>
      <c r="T1846" s="28"/>
      <c r="U1846" s="28" t="n">
        <f aca="false">T1846*$M1846</f>
        <v>0</v>
      </c>
      <c r="V1846" s="28"/>
      <c r="W1846" s="28" t="n">
        <f aca="false">V1846*$M1846</f>
        <v>0</v>
      </c>
      <c r="X1846" s="28"/>
      <c r="Y1846" s="28" t="n">
        <f aca="false">X1846*$M1846</f>
        <v>0</v>
      </c>
      <c r="Z1846" s="28"/>
      <c r="AA1846" s="28" t="n">
        <f aca="false">Z1846*$M1846</f>
        <v>0</v>
      </c>
      <c r="AB1846" s="28"/>
      <c r="AC1846" s="28" t="n">
        <f aca="false">AB1846*$M1846</f>
        <v>0</v>
      </c>
      <c r="AD1846" s="28"/>
      <c r="AE1846" s="28" t="n">
        <f aca="false">AD1846*$M1846</f>
        <v>0</v>
      </c>
      <c r="AF1846" s="28"/>
      <c r="AG1846" s="28" t="n">
        <f aca="false">AF1846*$M1846</f>
        <v>0</v>
      </c>
      <c r="AH1846" s="28"/>
      <c r="AI1846" s="28" t="n">
        <f aca="false">AH1846*$M1846</f>
        <v>0</v>
      </c>
      <c r="AJ1846" s="28"/>
      <c r="AK1846" s="28" t="n">
        <f aca="false">AJ1846*$M1846</f>
        <v>0</v>
      </c>
      <c r="AL1846" s="28"/>
      <c r="AM1846" s="28" t="n">
        <f aca="false">AL1846*$M1846</f>
        <v>0</v>
      </c>
      <c r="AN1846" s="28" t="n">
        <f aca="false">13754/100</f>
        <v>137.54</v>
      </c>
      <c r="AO1846" s="28" t="n">
        <v>24757</v>
      </c>
      <c r="AP1846" s="28"/>
      <c r="AQ1846" s="28" t="n">
        <f aca="false">AP1846*$M1846</f>
        <v>0</v>
      </c>
      <c r="AR1846" s="28"/>
      <c r="AS1846" s="28" t="n">
        <f aca="false">AR1846*$M1846</f>
        <v>0</v>
      </c>
      <c r="AT1846" s="28"/>
      <c r="AU1846" s="28" t="n">
        <f aca="false">AT1846*$M1846</f>
        <v>0</v>
      </c>
      <c r="AV1846" s="28"/>
      <c r="AW1846" s="28" t="n">
        <f aca="false">AV1846*$M1846</f>
        <v>0</v>
      </c>
      <c r="AX1846" s="28"/>
      <c r="AY1846" s="28" t="n">
        <f aca="false">AX1846*$M1846</f>
        <v>0</v>
      </c>
      <c r="AZ1846" s="30" t="n">
        <f aca="false">17360/100</f>
        <v>173.6</v>
      </c>
      <c r="BA1846" s="11" t="n">
        <v>24757</v>
      </c>
      <c r="BB1846" s="31" t="n">
        <f aca="false">SUM(Q1846,S1846,U1846,W1846,Y1846,AA1846,AC1846,AE1846,AG1846,AI1846,AK1846,AM1846,AO1846,AQ1846,AS1846,AU1846,AW1846,AY1846)</f>
        <v>24757</v>
      </c>
      <c r="BC1846" s="28" t="n">
        <f aca="false">BA1846-BB1846</f>
        <v>0</v>
      </c>
      <c r="BD1846" s="32" t="n">
        <f aca="false">SUM(P1846,R1846,T1846,V1846,X1846,Z1846,AB1846,AD1846,AF1846,AH1846,AJ1846,AL1846,AN1846,AP1846,AR1846,AT1846,AV1846,AX1846)</f>
        <v>137.54</v>
      </c>
      <c r="BE1846" s="33" t="n">
        <f aca="false">AZ1846-BD1846</f>
        <v>36.06</v>
      </c>
      <c r="BF1846" s="34" t="n">
        <f aca="false">BD1846*M1846</f>
        <v>24757.2</v>
      </c>
      <c r="BG1846" s="35" t="n">
        <f aca="false">BA1846-BF1846</f>
        <v>-0.19999999999709</v>
      </c>
      <c r="BH1846" s="19" t="str">
        <f aca="false">IF(BG1846=0,"",IF(BG1846&lt;&gt;BA1846,"erreur de calcul",IF(BD1846&lt;&gt;0,"pas de prix",IF(M1846&lt;&gt; 0,"pas de quantité","pas de prix, ni de quantité"))))</f>
        <v>erreur de calcul</v>
      </c>
      <c r="BI1846" s="19"/>
    </row>
    <row r="1847" customFormat="false" ht="15" hidden="false" customHeight="false" outlineLevel="0" collapsed="false">
      <c r="A1847" s="0" t="n">
        <v>13</v>
      </c>
      <c r="B1847" s="8" t="s">
        <v>24</v>
      </c>
      <c r="C1847" s="9" t="s">
        <v>25</v>
      </c>
      <c r="D1847" s="9" t="s">
        <v>26</v>
      </c>
      <c r="E1847" s="10" t="n">
        <v>1789</v>
      </c>
      <c r="F1847" s="9" t="s">
        <v>27</v>
      </c>
      <c r="G1847" s="9" t="s">
        <v>27</v>
      </c>
      <c r="H1847" s="11" t="n">
        <v>21</v>
      </c>
      <c r="I1847" s="11" t="s">
        <v>166</v>
      </c>
      <c r="J1847" s="14" t="n">
        <v>90</v>
      </c>
      <c r="K1847" s="14"/>
      <c r="L1847" s="16"/>
      <c r="M1847" s="27" t="n">
        <f aca="false">J1847+(K1847/20)+(L1847/240)</f>
        <v>90</v>
      </c>
      <c r="N1847" s="17" t="s">
        <v>64</v>
      </c>
      <c r="O1847" s="11"/>
      <c r="P1847" s="28" t="n">
        <f aca="false">3606/100</f>
        <v>36.06</v>
      </c>
      <c r="Q1847" s="28" t="n">
        <v>3245</v>
      </c>
      <c r="R1847" s="28"/>
      <c r="S1847" s="28" t="n">
        <f aca="false">R1847*$M1847</f>
        <v>0</v>
      </c>
      <c r="T1847" s="28"/>
      <c r="U1847" s="28" t="n">
        <f aca="false">T1847*$M1847</f>
        <v>0</v>
      </c>
      <c r="V1847" s="28"/>
      <c r="W1847" s="28" t="n">
        <f aca="false">V1847*$M1847</f>
        <v>0</v>
      </c>
      <c r="X1847" s="28"/>
      <c r="Y1847" s="28" t="n">
        <f aca="false">X1847*$M1847</f>
        <v>0</v>
      </c>
      <c r="Z1847" s="28"/>
      <c r="AA1847" s="28" t="n">
        <f aca="false">Z1847*$M1847</f>
        <v>0</v>
      </c>
      <c r="AB1847" s="28"/>
      <c r="AC1847" s="28" t="n">
        <f aca="false">AB1847*$M1847</f>
        <v>0</v>
      </c>
      <c r="AD1847" s="28"/>
      <c r="AE1847" s="28" t="n">
        <f aca="false">AD1847*$M1847</f>
        <v>0</v>
      </c>
      <c r="AF1847" s="28"/>
      <c r="AG1847" s="28" t="n">
        <f aca="false">AF1847*$M1847</f>
        <v>0</v>
      </c>
      <c r="AH1847" s="28"/>
      <c r="AI1847" s="28" t="n">
        <f aca="false">AH1847*$M1847</f>
        <v>0</v>
      </c>
      <c r="AJ1847" s="28"/>
      <c r="AK1847" s="28" t="n">
        <f aca="false">AJ1847*$M1847</f>
        <v>0</v>
      </c>
      <c r="AL1847" s="28"/>
      <c r="AM1847" s="28" t="n">
        <f aca="false">AL1847*$M1847</f>
        <v>0</v>
      </c>
      <c r="AN1847" s="28"/>
      <c r="AO1847" s="28" t="n">
        <f aca="false">AN1847*$M1847</f>
        <v>0</v>
      </c>
      <c r="AP1847" s="28"/>
      <c r="AQ1847" s="28" t="n">
        <f aca="false">AP1847*$M1847</f>
        <v>0</v>
      </c>
      <c r="AR1847" s="28"/>
      <c r="AS1847" s="28" t="n">
        <f aca="false">AR1847*$M1847</f>
        <v>0</v>
      </c>
      <c r="AT1847" s="28"/>
      <c r="AU1847" s="28" t="n">
        <f aca="false">AT1847*$M1847</f>
        <v>0</v>
      </c>
      <c r="AV1847" s="28"/>
      <c r="AW1847" s="28" t="n">
        <f aca="false">AV1847*$M1847</f>
        <v>0</v>
      </c>
      <c r="AX1847" s="28"/>
      <c r="AY1847" s="28" t="n">
        <f aca="false">AX1847*$M1847</f>
        <v>0</v>
      </c>
      <c r="AZ1847" s="30" t="n">
        <f aca="false">3606/100</f>
        <v>36.06</v>
      </c>
      <c r="BA1847" s="11" t="n">
        <v>3245</v>
      </c>
      <c r="BB1847" s="31" t="n">
        <f aca="false">SUM(Q1847,S1847,U1847,W1847,Y1847,AA1847,AC1847,AE1847,AG1847,AI1847,AK1847,AM1847,AO1847,AQ1847,AS1847,AU1847,AW1847,AY1847)</f>
        <v>3245</v>
      </c>
      <c r="BC1847" s="28" t="n">
        <f aca="false">BA1847-BB1847</f>
        <v>0</v>
      </c>
      <c r="BD1847" s="32" t="n">
        <f aca="false">SUM(P1847,R1847,T1847,V1847,X1847,Z1847,AB1847,AD1847,AF1847,AH1847,AJ1847,AL1847,AN1847,AP1847,AR1847,AT1847,AV1847,AX1847)</f>
        <v>36.06</v>
      </c>
      <c r="BE1847" s="33" t="n">
        <f aca="false">AZ1847-BD1847</f>
        <v>0</v>
      </c>
      <c r="BF1847" s="34" t="n">
        <f aca="false">BD1847*M1847</f>
        <v>3245.4</v>
      </c>
      <c r="BG1847" s="35" t="n">
        <f aca="false">BA1847-BF1847</f>
        <v>-0.400000000000091</v>
      </c>
      <c r="BH1847" s="19" t="str">
        <f aca="false">IF(BG1847=0,"",IF(BG1847&lt;&gt;BA1847,"erreur de calcul",IF(BD1847&lt;&gt;0,"pas de prix",IF(M1847&lt;&gt; 0,"pas de quantité","pas de prix, ni de quantité"))))</f>
        <v>erreur de calcul</v>
      </c>
      <c r="BI1847" s="19"/>
    </row>
    <row r="1848" customFormat="false" ht="15" hidden="false" customHeight="false" outlineLevel="0" collapsed="false">
      <c r="A1848" s="0" t="n">
        <v>14</v>
      </c>
      <c r="B1848" s="8" t="s">
        <v>24</v>
      </c>
      <c r="C1848" s="9" t="s">
        <v>25</v>
      </c>
      <c r="D1848" s="9" t="s">
        <v>26</v>
      </c>
      <c r="E1848" s="10" t="n">
        <v>1789</v>
      </c>
      <c r="F1848" s="9" t="s">
        <v>27</v>
      </c>
      <c r="G1848" s="9" t="s">
        <v>27</v>
      </c>
      <c r="H1848" s="11" t="n">
        <v>21</v>
      </c>
      <c r="I1848" s="11" t="s">
        <v>167</v>
      </c>
      <c r="J1848" s="14" t="n">
        <v>60</v>
      </c>
      <c r="K1848" s="14"/>
      <c r="L1848" s="16"/>
      <c r="M1848" s="27" t="n">
        <f aca="false">J1848+(K1848/20)+(L1848/240)</f>
        <v>60</v>
      </c>
      <c r="N1848" s="17" t="s">
        <v>64</v>
      </c>
      <c r="O1848" s="11"/>
      <c r="P1848" s="28" t="n">
        <f aca="false">19377/100</f>
        <v>193.77</v>
      </c>
      <c r="Q1848" s="28" t="n">
        <v>11626</v>
      </c>
      <c r="R1848" s="28"/>
      <c r="S1848" s="28" t="n">
        <f aca="false">R1848*$M1848</f>
        <v>0</v>
      </c>
      <c r="T1848" s="28"/>
      <c r="U1848" s="28" t="n">
        <f aca="false">T1848*$M1848</f>
        <v>0</v>
      </c>
      <c r="V1848" s="28"/>
      <c r="W1848" s="28" t="n">
        <f aca="false">V1848*$M1848</f>
        <v>0</v>
      </c>
      <c r="X1848" s="28"/>
      <c r="Y1848" s="28" t="n">
        <f aca="false">X1848*$M1848</f>
        <v>0</v>
      </c>
      <c r="Z1848" s="28"/>
      <c r="AA1848" s="28" t="n">
        <f aca="false">Z1848*$M1848</f>
        <v>0</v>
      </c>
      <c r="AB1848" s="28"/>
      <c r="AC1848" s="28" t="n">
        <f aca="false">AB1848*$M1848</f>
        <v>0</v>
      </c>
      <c r="AD1848" s="28"/>
      <c r="AE1848" s="28" t="n">
        <f aca="false">AD1848*$M1848</f>
        <v>0</v>
      </c>
      <c r="AF1848" s="28"/>
      <c r="AG1848" s="28" t="n">
        <f aca="false">AF1848*$M1848</f>
        <v>0</v>
      </c>
      <c r="AH1848" s="28"/>
      <c r="AI1848" s="28" t="n">
        <f aca="false">AH1848*$M1848</f>
        <v>0</v>
      </c>
      <c r="AJ1848" s="28"/>
      <c r="AK1848" s="28" t="n">
        <f aca="false">AJ1848*$M1848</f>
        <v>0</v>
      </c>
      <c r="AL1848" s="28"/>
      <c r="AM1848" s="28" t="n">
        <f aca="false">AL1848*$M1848</f>
        <v>0</v>
      </c>
      <c r="AN1848" s="28"/>
      <c r="AO1848" s="28" t="n">
        <f aca="false">AN1848*$M1848</f>
        <v>0</v>
      </c>
      <c r="AP1848" s="28"/>
      <c r="AQ1848" s="28" t="n">
        <f aca="false">AP1848*$M1848</f>
        <v>0</v>
      </c>
      <c r="AR1848" s="28"/>
      <c r="AS1848" s="28" t="n">
        <f aca="false">AR1848*$M1848</f>
        <v>0</v>
      </c>
      <c r="AT1848" s="28"/>
      <c r="AU1848" s="28" t="n">
        <f aca="false">AT1848*$M1848</f>
        <v>0</v>
      </c>
      <c r="AV1848" s="28"/>
      <c r="AW1848" s="28" t="n">
        <f aca="false">AV1848*$M1848</f>
        <v>0</v>
      </c>
      <c r="AX1848" s="28"/>
      <c r="AY1848" s="28" t="n">
        <f aca="false">AX1848*$M1848</f>
        <v>0</v>
      </c>
      <c r="AZ1848" s="30" t="n">
        <f aca="false">19377/100</f>
        <v>193.77</v>
      </c>
      <c r="BA1848" s="11" t="n">
        <v>11626</v>
      </c>
      <c r="BB1848" s="31" t="n">
        <f aca="false">SUM(Q1848,S1848,U1848,W1848,Y1848,AA1848,AC1848,AE1848,AG1848,AI1848,AK1848,AM1848,AO1848,AQ1848,AS1848,AU1848,AW1848,AY1848)</f>
        <v>11626</v>
      </c>
      <c r="BC1848" s="28" t="n">
        <f aca="false">BA1848-BB1848</f>
        <v>0</v>
      </c>
      <c r="BD1848" s="32" t="n">
        <f aca="false">SUM(P1848,R1848,T1848,V1848,X1848,Z1848,AB1848,AD1848,AF1848,AH1848,AJ1848,AL1848,AN1848,AP1848,AR1848,AT1848,AV1848,AX1848)</f>
        <v>193.77</v>
      </c>
      <c r="BE1848" s="33" t="n">
        <f aca="false">AZ1848-BD1848</f>
        <v>0</v>
      </c>
      <c r="BF1848" s="34" t="n">
        <f aca="false">BD1848*M1848</f>
        <v>11626.2</v>
      </c>
      <c r="BG1848" s="35" t="n">
        <f aca="false">BA1848-BF1848</f>
        <v>-0.200000000000728</v>
      </c>
      <c r="BH1848" s="19" t="str">
        <f aca="false">IF(BG1848=0,"",IF(BG1848&lt;&gt;BA1848,"erreur de calcul",IF(BD1848&lt;&gt;0,"pas de prix",IF(M1848&lt;&gt; 0,"pas de quantité","pas de prix, ni de quantité"))))</f>
        <v>erreur de calcul</v>
      </c>
      <c r="BI1848" s="19"/>
    </row>
    <row r="1849" customFormat="false" ht="15" hidden="false" customHeight="false" outlineLevel="0" collapsed="false">
      <c r="A1849" s="0" t="n">
        <v>15</v>
      </c>
      <c r="B1849" s="8" t="s">
        <v>24</v>
      </c>
      <c r="C1849" s="9" t="s">
        <v>25</v>
      </c>
      <c r="D1849" s="9" t="s">
        <v>26</v>
      </c>
      <c r="E1849" s="10" t="n">
        <v>1789</v>
      </c>
      <c r="F1849" s="9" t="s">
        <v>27</v>
      </c>
      <c r="G1849" s="9" t="s">
        <v>27</v>
      </c>
      <c r="H1849" s="11" t="n">
        <v>21</v>
      </c>
      <c r="I1849" s="11" t="s">
        <v>168</v>
      </c>
      <c r="J1849" s="14" t="n">
        <v>345</v>
      </c>
      <c r="K1849" s="14"/>
      <c r="L1849" s="16"/>
      <c r="M1849" s="27" t="n">
        <f aca="false">J1849+(K1849/20)+(L1849/240)</f>
        <v>345</v>
      </c>
      <c r="N1849" s="17" t="s">
        <v>64</v>
      </c>
      <c r="O1849" s="11"/>
      <c r="P1849" s="28" t="n">
        <f aca="false">617/100</f>
        <v>6.17</v>
      </c>
      <c r="Q1849" s="28" t="n">
        <v>2129</v>
      </c>
      <c r="R1849" s="28"/>
      <c r="S1849" s="28" t="n">
        <f aca="false">R1849*$M1849</f>
        <v>0</v>
      </c>
      <c r="T1849" s="28"/>
      <c r="U1849" s="28" t="n">
        <f aca="false">T1849*$M1849</f>
        <v>0</v>
      </c>
      <c r="V1849" s="28"/>
      <c r="W1849" s="28" t="n">
        <f aca="false">V1849*$M1849</f>
        <v>0</v>
      </c>
      <c r="X1849" s="28"/>
      <c r="Y1849" s="28" t="n">
        <f aca="false">X1849*$M1849</f>
        <v>0</v>
      </c>
      <c r="Z1849" s="28"/>
      <c r="AA1849" s="28" t="n">
        <f aca="false">Z1849*$M1849</f>
        <v>0</v>
      </c>
      <c r="AB1849" s="28" t="n">
        <f aca="false">1270/100</f>
        <v>12.7</v>
      </c>
      <c r="AC1849" s="28" t="n">
        <v>4381</v>
      </c>
      <c r="AD1849" s="28"/>
      <c r="AE1849" s="28" t="n">
        <f aca="false">AD1849*$M1849</f>
        <v>0</v>
      </c>
      <c r="AF1849" s="28"/>
      <c r="AG1849" s="28" t="n">
        <f aca="false">AF1849*$M1849</f>
        <v>0</v>
      </c>
      <c r="AH1849" s="28"/>
      <c r="AI1849" s="28" t="n">
        <f aca="false">AH1849*$M1849</f>
        <v>0</v>
      </c>
      <c r="AJ1849" s="28"/>
      <c r="AK1849" s="28" t="n">
        <f aca="false">AJ1849*$M1849</f>
        <v>0</v>
      </c>
      <c r="AL1849" s="28"/>
      <c r="AM1849" s="28" t="n">
        <f aca="false">AL1849*$M1849</f>
        <v>0</v>
      </c>
      <c r="AN1849" s="28"/>
      <c r="AO1849" s="28" t="n">
        <f aca="false">AN1849*$M1849</f>
        <v>0</v>
      </c>
      <c r="AP1849" s="28"/>
      <c r="AQ1849" s="28" t="n">
        <f aca="false">AP1849*$M1849</f>
        <v>0</v>
      </c>
      <c r="AR1849" s="28"/>
      <c r="AS1849" s="28" t="n">
        <f aca="false">AR1849*$M1849</f>
        <v>0</v>
      </c>
      <c r="AT1849" s="28"/>
      <c r="AU1849" s="28" t="n">
        <f aca="false">AT1849*$M1849</f>
        <v>0</v>
      </c>
      <c r="AV1849" s="28"/>
      <c r="AW1849" s="28" t="n">
        <f aca="false">AV1849*$M1849</f>
        <v>0</v>
      </c>
      <c r="AX1849" s="28"/>
      <c r="AY1849" s="28" t="n">
        <f aca="false">AX1849*$M1849</f>
        <v>0</v>
      </c>
      <c r="AZ1849" s="30" t="n">
        <f aca="false">1887/100</f>
        <v>18.87</v>
      </c>
      <c r="BA1849" s="11" t="n">
        <v>6510</v>
      </c>
      <c r="BB1849" s="31" t="n">
        <f aca="false">SUM(Q1849,S1849,U1849,W1849,Y1849,AA1849,AC1849,AE1849,AG1849,AI1849,AK1849,AM1849,AO1849,AQ1849,AS1849,AU1849,AW1849,AY1849)</f>
        <v>6510</v>
      </c>
      <c r="BC1849" s="28" t="n">
        <f aca="false">BA1849-BB1849</f>
        <v>0</v>
      </c>
      <c r="BD1849" s="32" t="n">
        <f aca="false">SUM(P1849,R1849,T1849,V1849,X1849,Z1849,AB1849,AD1849,AF1849,AH1849,AJ1849,AL1849,AN1849,AP1849,AR1849,AT1849,AV1849,AX1849)</f>
        <v>18.87</v>
      </c>
      <c r="BE1849" s="33" t="n">
        <f aca="false">AZ1849-BD1849</f>
        <v>0</v>
      </c>
      <c r="BF1849" s="34" t="n">
        <f aca="false">BD1849*M1849</f>
        <v>6510.15</v>
      </c>
      <c r="BG1849" s="35" t="n">
        <f aca="false">BA1849-BF1849</f>
        <v>-0.149999999998727</v>
      </c>
      <c r="BH1849" s="19" t="str">
        <f aca="false">IF(BG1849=0,"",IF(BG1849&lt;&gt;BA1849,"erreur de calcul",IF(BD1849&lt;&gt;0,"pas de prix",IF(M1849&lt;&gt; 0,"pas de quantité","pas de prix, ni de quantité"))))</f>
        <v>erreur de calcul</v>
      </c>
      <c r="BI1849" s="19"/>
    </row>
    <row r="1850" customFormat="false" ht="15" hidden="false" customHeight="false" outlineLevel="0" collapsed="false">
      <c r="A1850" s="0" t="n">
        <v>16</v>
      </c>
      <c r="B1850" s="8" t="s">
        <v>24</v>
      </c>
      <c r="C1850" s="9" t="s">
        <v>25</v>
      </c>
      <c r="D1850" s="9" t="s">
        <v>26</v>
      </c>
      <c r="E1850" s="10" t="n">
        <v>1789</v>
      </c>
      <c r="F1850" s="9" t="s">
        <v>27</v>
      </c>
      <c r="G1850" s="9" t="s">
        <v>27</v>
      </c>
      <c r="H1850" s="11" t="n">
        <v>21</v>
      </c>
      <c r="I1850" s="11" t="s">
        <v>169</v>
      </c>
      <c r="J1850" s="14" t="n">
        <v>6</v>
      </c>
      <c r="K1850" s="14"/>
      <c r="L1850" s="16"/>
      <c r="M1850" s="27" t="n">
        <f aca="false">J1850+(K1850/20)+(L1850/240)</f>
        <v>6</v>
      </c>
      <c r="N1850" s="17" t="s">
        <v>64</v>
      </c>
      <c r="O1850" s="11"/>
      <c r="P1850" s="28"/>
      <c r="Q1850" s="28" t="n">
        <f aca="false">P1850*$M1850</f>
        <v>0</v>
      </c>
      <c r="R1850" s="28"/>
      <c r="S1850" s="28" t="n">
        <f aca="false">R1850*$M1850</f>
        <v>0</v>
      </c>
      <c r="T1850" s="28"/>
      <c r="U1850" s="28" t="n">
        <f aca="false">T1850*$M1850</f>
        <v>0</v>
      </c>
      <c r="V1850" s="28" t="n">
        <f aca="false">39752/100</f>
        <v>397.52</v>
      </c>
      <c r="W1850" s="28" t="n">
        <v>2385</v>
      </c>
      <c r="X1850" s="28"/>
      <c r="Y1850" s="28" t="n">
        <f aca="false">X1850*$M1850</f>
        <v>0</v>
      </c>
      <c r="Z1850" s="28"/>
      <c r="AA1850" s="28" t="n">
        <f aca="false">Z1850*$M1850</f>
        <v>0</v>
      </c>
      <c r="AB1850" s="28"/>
      <c r="AC1850" s="28" t="n">
        <f aca="false">AB1850*$M1850</f>
        <v>0</v>
      </c>
      <c r="AD1850" s="28"/>
      <c r="AE1850" s="28" t="n">
        <f aca="false">AD1850*$M1850</f>
        <v>0</v>
      </c>
      <c r="AF1850" s="28"/>
      <c r="AG1850" s="28" t="n">
        <f aca="false">AF1850*$M1850</f>
        <v>0</v>
      </c>
      <c r="AH1850" s="28"/>
      <c r="AI1850" s="28" t="n">
        <f aca="false">AH1850*$M1850</f>
        <v>0</v>
      </c>
      <c r="AJ1850" s="28"/>
      <c r="AK1850" s="28" t="n">
        <f aca="false">AJ1850*$M1850</f>
        <v>0</v>
      </c>
      <c r="AL1850" s="28"/>
      <c r="AM1850" s="28" t="n">
        <f aca="false">AL1850*$M1850</f>
        <v>0</v>
      </c>
      <c r="AN1850" s="28"/>
      <c r="AO1850" s="28" t="n">
        <f aca="false">AN1850*$M1850</f>
        <v>0</v>
      </c>
      <c r="AP1850" s="28"/>
      <c r="AQ1850" s="28" t="n">
        <f aca="false">AP1850*$M1850</f>
        <v>0</v>
      </c>
      <c r="AR1850" s="28"/>
      <c r="AS1850" s="28" t="n">
        <f aca="false">AR1850*$M1850</f>
        <v>0</v>
      </c>
      <c r="AT1850" s="28"/>
      <c r="AU1850" s="28" t="n">
        <f aca="false">AT1850*$M1850</f>
        <v>0</v>
      </c>
      <c r="AV1850" s="28"/>
      <c r="AW1850" s="28" t="n">
        <f aca="false">AV1850*$M1850</f>
        <v>0</v>
      </c>
      <c r="AX1850" s="28"/>
      <c r="AY1850" s="28" t="n">
        <f aca="false">AX1850*$M1850</f>
        <v>0</v>
      </c>
      <c r="AZ1850" s="30" t="n">
        <f aca="false">39752/100</f>
        <v>397.52</v>
      </c>
      <c r="BA1850" s="11" t="n">
        <v>2385</v>
      </c>
      <c r="BB1850" s="31" t="n">
        <f aca="false">SUM(Q1850,S1850,U1850,W1850,Y1850,AA1850,AC1850,AE1850,AG1850,AI1850,AK1850,AM1850,AO1850,AQ1850,AS1850,AU1850,AW1850,AY1850)</f>
        <v>2385</v>
      </c>
      <c r="BC1850" s="28" t="n">
        <f aca="false">BA1850-BB1850</f>
        <v>0</v>
      </c>
      <c r="BD1850" s="32" t="n">
        <f aca="false">SUM(P1850,R1850,T1850,V1850,X1850,Z1850,AB1850,AD1850,AF1850,AH1850,AJ1850,AL1850,AN1850,AP1850,AR1850,AT1850,AV1850,AX1850)</f>
        <v>397.52</v>
      </c>
      <c r="BE1850" s="33" t="n">
        <f aca="false">AZ1850-BD1850</f>
        <v>0</v>
      </c>
      <c r="BF1850" s="34" t="n">
        <f aca="false">BD1850*M1850</f>
        <v>2385.12</v>
      </c>
      <c r="BG1850" s="35" t="n">
        <f aca="false">BA1850-BF1850</f>
        <v>-0.119999999999891</v>
      </c>
      <c r="BH1850" s="19" t="str">
        <f aca="false">IF(BG1850=0,"",IF(BG1850&lt;&gt;BA1850,"erreur de calcul",IF(BD1850&lt;&gt;0,"pas de prix",IF(M1850&lt;&gt; 0,"pas de quantité","pas de prix, ni de quantité"))))</f>
        <v>erreur de calcul</v>
      </c>
      <c r="BI1850" s="19"/>
    </row>
    <row r="1851" customFormat="false" ht="15" hidden="false" customHeight="false" outlineLevel="0" collapsed="false">
      <c r="A1851" s="0" t="n">
        <v>17</v>
      </c>
      <c r="B1851" s="8" t="s">
        <v>24</v>
      </c>
      <c r="C1851" s="9" t="s">
        <v>25</v>
      </c>
      <c r="D1851" s="9" t="s">
        <v>26</v>
      </c>
      <c r="E1851" s="10" t="n">
        <v>1789</v>
      </c>
      <c r="F1851" s="9" t="s">
        <v>27</v>
      </c>
      <c r="G1851" s="9" t="s">
        <v>27</v>
      </c>
      <c r="H1851" s="11" t="n">
        <v>21</v>
      </c>
      <c r="I1851" s="11" t="s">
        <v>170</v>
      </c>
      <c r="J1851" s="14" t="n">
        <v>90</v>
      </c>
      <c r="K1851" s="14"/>
      <c r="L1851" s="16"/>
      <c r="M1851" s="27" t="n">
        <f aca="false">J1851+(K1851/20)+(L1851/240)</f>
        <v>90</v>
      </c>
      <c r="N1851" s="17" t="s">
        <v>64</v>
      </c>
      <c r="O1851" s="11"/>
      <c r="P1851" s="28"/>
      <c r="Q1851" s="28" t="n">
        <f aca="false">P1851*$M1851</f>
        <v>0</v>
      </c>
      <c r="R1851" s="28"/>
      <c r="S1851" s="28" t="n">
        <f aca="false">R1851*$M1851</f>
        <v>0</v>
      </c>
      <c r="T1851" s="28"/>
      <c r="U1851" s="28" t="n">
        <f aca="false">T1851*$M1851</f>
        <v>0</v>
      </c>
      <c r="V1851" s="28"/>
      <c r="W1851" s="28" t="n">
        <f aca="false">V1851*$M1851</f>
        <v>0</v>
      </c>
      <c r="X1851" s="28" t="n">
        <f aca="false">3136/100</f>
        <v>31.36</v>
      </c>
      <c r="Y1851" s="28" t="n">
        <v>2822</v>
      </c>
      <c r="Z1851" s="28"/>
      <c r="AA1851" s="28" t="n">
        <f aca="false">Z1851*$M1851</f>
        <v>0</v>
      </c>
      <c r="AB1851" s="28"/>
      <c r="AC1851" s="28" t="n">
        <f aca="false">AB1851*$M1851</f>
        <v>0</v>
      </c>
      <c r="AD1851" s="28"/>
      <c r="AE1851" s="28" t="n">
        <f aca="false">AD1851*$M1851</f>
        <v>0</v>
      </c>
      <c r="AF1851" s="28"/>
      <c r="AG1851" s="28" t="n">
        <f aca="false">AF1851*$M1851</f>
        <v>0</v>
      </c>
      <c r="AH1851" s="28"/>
      <c r="AI1851" s="28" t="n">
        <f aca="false">AH1851*$M1851</f>
        <v>0</v>
      </c>
      <c r="AJ1851" s="28"/>
      <c r="AK1851" s="28" t="n">
        <f aca="false">AJ1851*$M1851</f>
        <v>0</v>
      </c>
      <c r="AL1851" s="28"/>
      <c r="AM1851" s="28" t="n">
        <f aca="false">AL1851*$M1851</f>
        <v>0</v>
      </c>
      <c r="AN1851" s="28"/>
      <c r="AO1851" s="28" t="n">
        <f aca="false">AN1851*$M1851</f>
        <v>0</v>
      </c>
      <c r="AP1851" s="28"/>
      <c r="AQ1851" s="28" t="n">
        <f aca="false">AP1851*$M1851</f>
        <v>0</v>
      </c>
      <c r="AR1851" s="28"/>
      <c r="AS1851" s="28" t="n">
        <f aca="false">AR1851*$M1851</f>
        <v>0</v>
      </c>
      <c r="AT1851" s="28"/>
      <c r="AU1851" s="28" t="n">
        <f aca="false">AT1851*$M1851</f>
        <v>0</v>
      </c>
      <c r="AV1851" s="28"/>
      <c r="AW1851" s="28" t="n">
        <f aca="false">AV1851*$M1851</f>
        <v>0</v>
      </c>
      <c r="AX1851" s="28"/>
      <c r="AY1851" s="28" t="n">
        <f aca="false">AX1851*$M1851</f>
        <v>0</v>
      </c>
      <c r="AZ1851" s="30" t="n">
        <f aca="false">3136/100</f>
        <v>31.36</v>
      </c>
      <c r="BA1851" s="11" t="n">
        <v>2822</v>
      </c>
      <c r="BB1851" s="31" t="n">
        <f aca="false">SUM(Q1851,S1851,U1851,W1851,Y1851,AA1851,AC1851,AE1851,AG1851,AI1851,AK1851,AM1851,AO1851,AQ1851,AS1851,AU1851,AW1851,AY1851)</f>
        <v>2822</v>
      </c>
      <c r="BC1851" s="28" t="n">
        <f aca="false">BA1851-BB1851</f>
        <v>0</v>
      </c>
      <c r="BD1851" s="32" t="n">
        <f aca="false">SUM(P1851,R1851,T1851,V1851,X1851,Z1851,AB1851,AD1851,AF1851,AH1851,AJ1851,AL1851,AN1851,AP1851,AR1851,AT1851,AV1851,AX1851)</f>
        <v>31.36</v>
      </c>
      <c r="BE1851" s="33" t="n">
        <f aca="false">AZ1851-BD1851</f>
        <v>0</v>
      </c>
      <c r="BF1851" s="34" t="n">
        <f aca="false">BD1851*M1851</f>
        <v>2822.4</v>
      </c>
      <c r="BG1851" s="35" t="n">
        <f aca="false">BA1851-BF1851</f>
        <v>-0.400000000000091</v>
      </c>
      <c r="BH1851" s="19" t="str">
        <f aca="false">IF(BG1851=0,"",IF(BG1851&lt;&gt;BA1851,"erreur de calcul",IF(BD1851&lt;&gt;0,"pas de prix",IF(M1851&lt;&gt; 0,"pas de quantité","pas de prix, ni de quantité"))))</f>
        <v>erreur de calcul</v>
      </c>
      <c r="BI1851" s="19"/>
    </row>
    <row r="1852" customFormat="false" ht="15" hidden="false" customHeight="false" outlineLevel="0" collapsed="false">
      <c r="A1852" s="0" t="n">
        <v>18</v>
      </c>
      <c r="B1852" s="8" t="s">
        <v>24</v>
      </c>
      <c r="C1852" s="9" t="s">
        <v>25</v>
      </c>
      <c r="D1852" s="9" t="s">
        <v>26</v>
      </c>
      <c r="E1852" s="10" t="n">
        <v>1789</v>
      </c>
      <c r="F1852" s="9" t="s">
        <v>27</v>
      </c>
      <c r="G1852" s="9" t="s">
        <v>27</v>
      </c>
      <c r="H1852" s="11" t="n">
        <v>21</v>
      </c>
      <c r="I1852" s="11" t="s">
        <v>171</v>
      </c>
      <c r="J1852" s="14" t="n">
        <v>90</v>
      </c>
      <c r="K1852" s="14"/>
      <c r="L1852" s="16"/>
      <c r="M1852" s="27" t="n">
        <f aca="false">J1852+(K1852/20)+(L1852/240)</f>
        <v>90</v>
      </c>
      <c r="N1852" s="17" t="s">
        <v>64</v>
      </c>
      <c r="O1852" s="11"/>
      <c r="P1852" s="28"/>
      <c r="Q1852" s="28" t="n">
        <f aca="false">P1852*$M1852</f>
        <v>0</v>
      </c>
      <c r="R1852" s="28"/>
      <c r="S1852" s="28" t="n">
        <f aca="false">R1852*$M1852</f>
        <v>0</v>
      </c>
      <c r="T1852" s="28"/>
      <c r="U1852" s="28" t="n">
        <f aca="false">T1852*$M1852</f>
        <v>0</v>
      </c>
      <c r="V1852" s="28"/>
      <c r="W1852" s="28" t="n">
        <f aca="false">V1852*$M1852</f>
        <v>0</v>
      </c>
      <c r="X1852" s="28"/>
      <c r="Y1852" s="28" t="n">
        <f aca="false">X1852*$M1852</f>
        <v>0</v>
      </c>
      <c r="Z1852" s="28"/>
      <c r="AA1852" s="28" t="n">
        <f aca="false">Z1852*$M1852</f>
        <v>0</v>
      </c>
      <c r="AB1852" s="28"/>
      <c r="AC1852" s="28" t="n">
        <f aca="false">AB1852*$M1852</f>
        <v>0</v>
      </c>
      <c r="AD1852" s="28"/>
      <c r="AE1852" s="28" t="n">
        <f aca="false">AD1852*$M1852</f>
        <v>0</v>
      </c>
      <c r="AF1852" s="28"/>
      <c r="AG1852" s="28" t="n">
        <f aca="false">AF1852*$M1852</f>
        <v>0</v>
      </c>
      <c r="AH1852" s="28" t="n">
        <f aca="false">5337/100</f>
        <v>53.37</v>
      </c>
      <c r="AI1852" s="28" t="n">
        <v>4803</v>
      </c>
      <c r="AJ1852" s="28"/>
      <c r="AK1852" s="28" t="n">
        <f aca="false">AJ1852*$M1852</f>
        <v>0</v>
      </c>
      <c r="AL1852" s="28"/>
      <c r="AM1852" s="28" t="n">
        <f aca="false">AL1852*$M1852</f>
        <v>0</v>
      </c>
      <c r="AN1852" s="28"/>
      <c r="AO1852" s="28" t="n">
        <f aca="false">AN1852*$M1852</f>
        <v>0</v>
      </c>
      <c r="AP1852" s="28"/>
      <c r="AQ1852" s="28" t="n">
        <f aca="false">AP1852*$M1852</f>
        <v>0</v>
      </c>
      <c r="AR1852" s="28"/>
      <c r="AS1852" s="28" t="n">
        <f aca="false">AR1852*$M1852</f>
        <v>0</v>
      </c>
      <c r="AT1852" s="28"/>
      <c r="AU1852" s="28" t="n">
        <f aca="false">AT1852*$M1852</f>
        <v>0</v>
      </c>
      <c r="AV1852" s="28"/>
      <c r="AW1852" s="28" t="n">
        <f aca="false">AV1852*$M1852</f>
        <v>0</v>
      </c>
      <c r="AX1852" s="28"/>
      <c r="AY1852" s="28" t="n">
        <f aca="false">AX1852*$M1852</f>
        <v>0</v>
      </c>
      <c r="AZ1852" s="30" t="n">
        <f aca="false">5337/100</f>
        <v>53.37</v>
      </c>
      <c r="BA1852" s="11" t="n">
        <v>4803</v>
      </c>
      <c r="BB1852" s="31" t="n">
        <f aca="false">SUM(Q1852,S1852,U1852,W1852,Y1852,AA1852,AC1852,AE1852,AG1852,AI1852,AK1852,AM1852,AO1852,AQ1852,AS1852,AU1852,AW1852,AY1852)</f>
        <v>4803</v>
      </c>
      <c r="BC1852" s="28" t="n">
        <f aca="false">BA1852-BB1852</f>
        <v>0</v>
      </c>
      <c r="BD1852" s="32" t="n">
        <f aca="false">SUM(P1852,R1852,T1852,V1852,X1852,Z1852,AB1852,AD1852,AF1852,AH1852,AJ1852,AL1852,AN1852,AP1852,AR1852,AT1852,AV1852,AX1852)</f>
        <v>53.37</v>
      </c>
      <c r="BE1852" s="33" t="n">
        <f aca="false">AZ1852-BD1852</f>
        <v>0</v>
      </c>
      <c r="BF1852" s="34" t="n">
        <f aca="false">BD1852*M1852</f>
        <v>4803.3</v>
      </c>
      <c r="BG1852" s="35" t="n">
        <f aca="false">BA1852-BF1852</f>
        <v>-0.300000000000182</v>
      </c>
      <c r="BH1852" s="19" t="str">
        <f aca="false">IF(BG1852=0,"",IF(BG1852&lt;&gt;BA1852,"erreur de calcul",IF(BD1852&lt;&gt;0,"pas de prix",IF(M1852&lt;&gt; 0,"pas de quantité","pas de prix, ni de quantité"))))</f>
        <v>erreur de calcul</v>
      </c>
      <c r="BI1852" s="19"/>
    </row>
    <row r="1853" customFormat="false" ht="15" hidden="false" customHeight="false" outlineLevel="0" collapsed="false">
      <c r="A1853" s="0" t="n">
        <v>19</v>
      </c>
      <c r="B1853" s="8" t="s">
        <v>24</v>
      </c>
      <c r="C1853" s="9" t="s">
        <v>25</v>
      </c>
      <c r="D1853" s="9" t="s">
        <v>26</v>
      </c>
      <c r="E1853" s="10" t="n">
        <v>1789</v>
      </c>
      <c r="F1853" s="9" t="s">
        <v>27</v>
      </c>
      <c r="G1853" s="9" t="s">
        <v>27</v>
      </c>
      <c r="H1853" s="11" t="n">
        <v>21</v>
      </c>
      <c r="I1853" s="11" t="s">
        <v>172</v>
      </c>
      <c r="J1853" s="14" t="n">
        <v>15</v>
      </c>
      <c r="K1853" s="14"/>
      <c r="L1853" s="16"/>
      <c r="M1853" s="27" t="n">
        <f aca="false">J1853+(K1853/20)+(L1853/240)</f>
        <v>15</v>
      </c>
      <c r="N1853" s="17" t="s">
        <v>64</v>
      </c>
      <c r="O1853" s="11" t="s">
        <v>77</v>
      </c>
      <c r="P1853" s="28"/>
      <c r="Q1853" s="28" t="n">
        <f aca="false">P1853*$M1853</f>
        <v>0</v>
      </c>
      <c r="R1853" s="28"/>
      <c r="S1853" s="28" t="n">
        <f aca="false">R1853*$M1853</f>
        <v>0</v>
      </c>
      <c r="T1853" s="28"/>
      <c r="U1853" s="28" t="n">
        <f aca="false">T1853*$M1853</f>
        <v>0</v>
      </c>
      <c r="V1853" s="28"/>
      <c r="W1853" s="28" t="n">
        <f aca="false">V1853*$M1853</f>
        <v>0</v>
      </c>
      <c r="X1853" s="28"/>
      <c r="Y1853" s="28" t="n">
        <f aca="false">X1853*$M1853</f>
        <v>0</v>
      </c>
      <c r="Z1853" s="28"/>
      <c r="AA1853" s="28" t="n">
        <f aca="false">Z1853*$M1853</f>
        <v>0</v>
      </c>
      <c r="AB1853" s="28"/>
      <c r="AC1853" s="28" t="n">
        <f aca="false">AB1853*$M1853</f>
        <v>0</v>
      </c>
      <c r="AD1853" s="28"/>
      <c r="AE1853" s="28" t="n">
        <f aca="false">AD1853*$M1853</f>
        <v>0</v>
      </c>
      <c r="AF1853" s="28"/>
      <c r="AG1853" s="28" t="n">
        <f aca="false">AF1853*$M1853</f>
        <v>0</v>
      </c>
      <c r="AH1853" s="28"/>
      <c r="AI1853" s="28" t="n">
        <f aca="false">AH1853*$M1853</f>
        <v>0</v>
      </c>
      <c r="AJ1853" s="28"/>
      <c r="AK1853" s="28" t="n">
        <f aca="false">AJ1853*$M1853</f>
        <v>0</v>
      </c>
      <c r="AL1853" s="28"/>
      <c r="AM1853" s="28" t="n">
        <f aca="false">AL1853*$M1853</f>
        <v>0</v>
      </c>
      <c r="AN1853" s="28"/>
      <c r="AO1853" s="28" t="n">
        <f aca="false">AN1853*$M1853</f>
        <v>0</v>
      </c>
      <c r="AP1853" s="28"/>
      <c r="AQ1853" s="28" t="n">
        <f aca="false">AP1853*$M1853</f>
        <v>0</v>
      </c>
      <c r="AR1853" s="28"/>
      <c r="AS1853" s="28" t="n">
        <f aca="false">AR1853*$M1853</f>
        <v>0</v>
      </c>
      <c r="AT1853" s="28"/>
      <c r="AU1853" s="28" t="n">
        <f aca="false">AT1853*$M1853</f>
        <v>0</v>
      </c>
      <c r="AV1853" s="28"/>
      <c r="AW1853" s="28" t="n">
        <f aca="false">AV1853*$M1853</f>
        <v>0</v>
      </c>
      <c r="AX1853" s="28"/>
      <c r="AY1853" s="28" t="n">
        <f aca="false">AX1853*$M1853</f>
        <v>0</v>
      </c>
      <c r="AZ1853" s="30"/>
      <c r="BA1853" s="11"/>
      <c r="BB1853" s="31" t="n">
        <f aca="false">SUM(Q1853,S1853,U1853,W1853,Y1853,AA1853,AC1853,AE1853,AG1853,AI1853,AK1853,AM1853,AO1853,AQ1853,AS1853,AU1853,AW1853,AY1853)</f>
        <v>0</v>
      </c>
      <c r="BC1853" s="28" t="n">
        <f aca="false">BA1853-BB1853</f>
        <v>0</v>
      </c>
      <c r="BD1853" s="32" t="n">
        <f aca="false">SUM(P1853,R1853,T1853,V1853,X1853,Z1853,AB1853,AD1853,AF1853,AH1853,AJ1853,AL1853,AN1853,AP1853,AR1853,AT1853,AV1853,AX1853)</f>
        <v>0</v>
      </c>
      <c r="BE1853" s="33" t="n">
        <f aca="false">AZ1853-BD1853</f>
        <v>0</v>
      </c>
      <c r="BF1853" s="34" t="n">
        <f aca="false">BD1853*M1853</f>
        <v>0</v>
      </c>
      <c r="BG1853" s="35" t="n">
        <f aca="false">BA1853-BF1853</f>
        <v>0</v>
      </c>
      <c r="BH1853" s="19" t="str">
        <f aca="false">IF(BG1853=0,"",IF(BG1853&lt;&gt;BA1853,"erreur de calcul",IF(BD1853&lt;&gt;0,"pas de prix",IF(M1853&lt;&gt; 0,"pas de quantité","pas de prix, ni de quantité"))))</f>
        <v/>
      </c>
      <c r="BI1853" s="19"/>
    </row>
    <row r="1854" customFormat="false" ht="15" hidden="false" customHeight="false" outlineLevel="0" collapsed="false">
      <c r="A1854" s="0" t="n">
        <v>20</v>
      </c>
      <c r="B1854" s="8" t="s">
        <v>24</v>
      </c>
      <c r="C1854" s="9" t="s">
        <v>25</v>
      </c>
      <c r="D1854" s="9" t="s">
        <v>26</v>
      </c>
      <c r="E1854" s="10" t="n">
        <v>1789</v>
      </c>
      <c r="F1854" s="9" t="s">
        <v>27</v>
      </c>
      <c r="G1854" s="9" t="s">
        <v>27</v>
      </c>
      <c r="H1854" s="11" t="n">
        <v>21</v>
      </c>
      <c r="I1854" s="11" t="s">
        <v>173</v>
      </c>
      <c r="J1854" s="14" t="n">
        <v>36</v>
      </c>
      <c r="K1854" s="14"/>
      <c r="L1854" s="16"/>
      <c r="M1854" s="27" t="n">
        <f aca="false">J1854+(K1854/20)+(L1854/240)</f>
        <v>36</v>
      </c>
      <c r="N1854" s="17" t="s">
        <v>64</v>
      </c>
      <c r="O1854" s="11"/>
      <c r="P1854" s="28"/>
      <c r="Q1854" s="28" t="n">
        <f aca="false">P1854*$M1854</f>
        <v>0</v>
      </c>
      <c r="R1854" s="28"/>
      <c r="S1854" s="28" t="n">
        <f aca="false">R1854*$M1854</f>
        <v>0</v>
      </c>
      <c r="T1854" s="28"/>
      <c r="U1854" s="28" t="n">
        <f aca="false">T1854*$M1854</f>
        <v>0</v>
      </c>
      <c r="V1854" s="28"/>
      <c r="W1854" s="28" t="n">
        <f aca="false">V1854*$M1854</f>
        <v>0</v>
      </c>
      <c r="X1854" s="28"/>
      <c r="Y1854" s="28" t="n">
        <f aca="false">X1854*$M1854</f>
        <v>0</v>
      </c>
      <c r="Z1854" s="28"/>
      <c r="AA1854" s="28" t="n">
        <f aca="false">Z1854*$M1854</f>
        <v>0</v>
      </c>
      <c r="AB1854" s="28" t="n">
        <f aca="false">80722/100</f>
        <v>807.22</v>
      </c>
      <c r="AC1854" s="28" t="n">
        <v>29060</v>
      </c>
      <c r="AD1854" s="28"/>
      <c r="AE1854" s="28" t="n">
        <f aca="false">AD1854*$M1854</f>
        <v>0</v>
      </c>
      <c r="AF1854" s="28"/>
      <c r="AG1854" s="28" t="n">
        <f aca="false">AF1854*$M1854</f>
        <v>0</v>
      </c>
      <c r="AH1854" s="28"/>
      <c r="AI1854" s="28" t="n">
        <f aca="false">AH1854*$M1854</f>
        <v>0</v>
      </c>
      <c r="AJ1854" s="28"/>
      <c r="AK1854" s="28" t="n">
        <f aca="false">AJ1854*$M1854</f>
        <v>0</v>
      </c>
      <c r="AL1854" s="28"/>
      <c r="AM1854" s="28" t="n">
        <f aca="false">AL1854*$M1854</f>
        <v>0</v>
      </c>
      <c r="AN1854" s="28"/>
      <c r="AO1854" s="28" t="n">
        <f aca="false">AN1854*$M1854</f>
        <v>0</v>
      </c>
      <c r="AP1854" s="28"/>
      <c r="AQ1854" s="28" t="n">
        <f aca="false">AP1854*$M1854</f>
        <v>0</v>
      </c>
      <c r="AR1854" s="28"/>
      <c r="AS1854" s="28" t="n">
        <f aca="false">AR1854*$M1854</f>
        <v>0</v>
      </c>
      <c r="AT1854" s="28"/>
      <c r="AU1854" s="28" t="n">
        <f aca="false">AT1854*$M1854</f>
        <v>0</v>
      </c>
      <c r="AV1854" s="28"/>
      <c r="AW1854" s="28" t="n">
        <f aca="false">AV1854*$M1854</f>
        <v>0</v>
      </c>
      <c r="AX1854" s="28"/>
      <c r="AY1854" s="28" t="n">
        <f aca="false">AX1854*$M1854</f>
        <v>0</v>
      </c>
      <c r="AZ1854" s="30" t="n">
        <f aca="false">80722/100</f>
        <v>807.22</v>
      </c>
      <c r="BA1854" s="11" t="n">
        <v>29060</v>
      </c>
      <c r="BB1854" s="31" t="n">
        <f aca="false">SUM(Q1854,S1854,U1854,W1854,Y1854,AA1854,AC1854,AE1854,AG1854,AI1854,AK1854,AM1854,AO1854,AQ1854,AS1854,AU1854,AW1854,AY1854)</f>
        <v>29060</v>
      </c>
      <c r="BC1854" s="28" t="n">
        <f aca="false">BA1854-BB1854</f>
        <v>0</v>
      </c>
      <c r="BD1854" s="32" t="n">
        <f aca="false">SUM(P1854,R1854,T1854,V1854,X1854,Z1854,AB1854,AD1854,AF1854,AH1854,AJ1854,AL1854,AN1854,AP1854,AR1854,AT1854,AV1854,AX1854)</f>
        <v>807.22</v>
      </c>
      <c r="BE1854" s="33" t="n">
        <f aca="false">AZ1854-BD1854</f>
        <v>0</v>
      </c>
      <c r="BF1854" s="34" t="n">
        <f aca="false">BD1854*M1854</f>
        <v>29059.92</v>
      </c>
      <c r="BG1854" s="35" t="n">
        <f aca="false">BA1854-BF1854</f>
        <v>0.0799999999981083</v>
      </c>
      <c r="BH1854" s="19" t="str">
        <f aca="false">IF(BG1854=0,"",IF(BG1854&lt;&gt;BA1854,"erreur de calcul",IF(BD1854&lt;&gt;0,"pas de prix",IF(M1854&lt;&gt; 0,"pas de quantité","pas de prix, ni de quantité"))))</f>
        <v>erreur de calcul</v>
      </c>
      <c r="BI1854" s="19"/>
    </row>
    <row r="1855" customFormat="false" ht="15" hidden="false" customHeight="false" outlineLevel="0" collapsed="false">
      <c r="A1855" s="0" t="n">
        <v>21</v>
      </c>
      <c r="B1855" s="8" t="s">
        <v>24</v>
      </c>
      <c r="C1855" s="9" t="s">
        <v>25</v>
      </c>
      <c r="D1855" s="9" t="s">
        <v>26</v>
      </c>
      <c r="E1855" s="10" t="n">
        <v>1789</v>
      </c>
      <c r="F1855" s="9" t="s">
        <v>27</v>
      </c>
      <c r="G1855" s="9" t="s">
        <v>27</v>
      </c>
      <c r="H1855" s="11" t="n">
        <v>21</v>
      </c>
      <c r="I1855" s="11" t="s">
        <v>174</v>
      </c>
      <c r="J1855" s="14" t="n">
        <v>31</v>
      </c>
      <c r="K1855" s="14"/>
      <c r="L1855" s="16"/>
      <c r="M1855" s="27" t="n">
        <f aca="false">J1855+(K1855/20)+(L1855/240)</f>
        <v>31</v>
      </c>
      <c r="N1855" s="17" t="s">
        <v>64</v>
      </c>
      <c r="O1855" s="11"/>
      <c r="P1855" s="28"/>
      <c r="Q1855" s="28" t="n">
        <f aca="false">P1855*$M1855</f>
        <v>0</v>
      </c>
      <c r="R1855" s="28"/>
      <c r="S1855" s="28" t="n">
        <f aca="false">R1855*$M1855</f>
        <v>0</v>
      </c>
      <c r="T1855" s="28"/>
      <c r="U1855" s="28" t="n">
        <f aca="false">T1855*$M1855</f>
        <v>0</v>
      </c>
      <c r="V1855" s="28"/>
      <c r="W1855" s="28" t="n">
        <f aca="false">V1855*$M1855</f>
        <v>0</v>
      </c>
      <c r="X1855" s="28"/>
      <c r="Y1855" s="28" t="n">
        <f aca="false">X1855*$M1855</f>
        <v>0</v>
      </c>
      <c r="Z1855" s="28"/>
      <c r="AA1855" s="28" t="n">
        <f aca="false">Z1855*$M1855</f>
        <v>0</v>
      </c>
      <c r="AB1855" s="28"/>
      <c r="AC1855" s="28" t="n">
        <f aca="false">AB1855*$M1855</f>
        <v>0</v>
      </c>
      <c r="AD1855" s="28"/>
      <c r="AE1855" s="28" t="n">
        <f aca="false">AD1855*$M1855</f>
        <v>0</v>
      </c>
      <c r="AF1855" s="28" t="n">
        <f aca="false">4599/100</f>
        <v>45.99</v>
      </c>
      <c r="AG1855" s="28" t="n">
        <v>1426</v>
      </c>
      <c r="AH1855" s="28" t="n">
        <f aca="false">12691/100</f>
        <v>126.91</v>
      </c>
      <c r="AI1855" s="28" t="n">
        <v>3934</v>
      </c>
      <c r="AJ1855" s="28"/>
      <c r="AK1855" s="28" t="n">
        <f aca="false">AJ1855*$M1855</f>
        <v>0</v>
      </c>
      <c r="AL1855" s="28"/>
      <c r="AM1855" s="28" t="n">
        <f aca="false">AL1855*$M1855</f>
        <v>0</v>
      </c>
      <c r="AN1855" s="28"/>
      <c r="AO1855" s="28" t="n">
        <f aca="false">AN1855*$M1855</f>
        <v>0</v>
      </c>
      <c r="AP1855" s="28"/>
      <c r="AQ1855" s="28" t="n">
        <f aca="false">AP1855*$M1855</f>
        <v>0</v>
      </c>
      <c r="AR1855" s="28"/>
      <c r="AS1855" s="28" t="n">
        <f aca="false">AR1855*$M1855</f>
        <v>0</v>
      </c>
      <c r="AT1855" s="28"/>
      <c r="AU1855" s="28" t="n">
        <f aca="false">AT1855*$M1855</f>
        <v>0</v>
      </c>
      <c r="AV1855" s="28"/>
      <c r="AW1855" s="28" t="n">
        <f aca="false">AV1855*$M1855</f>
        <v>0</v>
      </c>
      <c r="AX1855" s="28"/>
      <c r="AY1855" s="28" t="n">
        <f aca="false">AX1855*$M1855</f>
        <v>0</v>
      </c>
      <c r="AZ1855" s="30" t="n">
        <f aca="false">17290/100</f>
        <v>172.9</v>
      </c>
      <c r="BA1855" s="11" t="n">
        <v>5360</v>
      </c>
      <c r="BB1855" s="31" t="n">
        <f aca="false">SUM(Q1855,S1855,U1855,W1855,Y1855,AA1855,AC1855,AE1855,AG1855,AI1855,AK1855,AM1855,AO1855,AQ1855,AS1855,AU1855,AW1855,AY1855)</f>
        <v>5360</v>
      </c>
      <c r="BC1855" s="28" t="n">
        <f aca="false">BA1855-BB1855</f>
        <v>0</v>
      </c>
      <c r="BD1855" s="32" t="n">
        <f aca="false">SUM(P1855,R1855,T1855,V1855,X1855,Z1855,AB1855,AD1855,AF1855,AH1855,AJ1855,AL1855,AN1855,AP1855,AR1855,AT1855,AV1855,AX1855)</f>
        <v>172.9</v>
      </c>
      <c r="BE1855" s="33" t="n">
        <f aca="false">AZ1855-BD1855</f>
        <v>0</v>
      </c>
      <c r="BF1855" s="34" t="n">
        <f aca="false">BD1855*M1855</f>
        <v>5359.9</v>
      </c>
      <c r="BG1855" s="35" t="n">
        <f aca="false">BA1855-BF1855</f>
        <v>0.0999999999994543</v>
      </c>
      <c r="BH1855" s="19" t="str">
        <f aca="false">IF(BG1855=0,"",IF(BG1855&lt;&gt;BA1855,"erreur de calcul",IF(BD1855&lt;&gt;0,"pas de prix",IF(M1855&lt;&gt; 0,"pas de quantité","pas de prix, ni de quantité"))))</f>
        <v>erreur de calcul</v>
      </c>
      <c r="BI1855" s="19"/>
    </row>
    <row r="1856" customFormat="false" ht="15" hidden="false" customHeight="false" outlineLevel="0" collapsed="false">
      <c r="A1856" s="0" t="n">
        <v>22</v>
      </c>
      <c r="B1856" s="8" t="s">
        <v>24</v>
      </c>
      <c r="C1856" s="9" t="s">
        <v>25</v>
      </c>
      <c r="D1856" s="9" t="s">
        <v>26</v>
      </c>
      <c r="E1856" s="10" t="n">
        <v>1789</v>
      </c>
      <c r="F1856" s="9" t="s">
        <v>27</v>
      </c>
      <c r="G1856" s="9" t="s">
        <v>27</v>
      </c>
      <c r="H1856" s="11" t="n">
        <v>21</v>
      </c>
      <c r="I1856" s="11" t="s">
        <v>175</v>
      </c>
      <c r="J1856" s="14" t="n">
        <v>120</v>
      </c>
      <c r="K1856" s="14"/>
      <c r="L1856" s="16"/>
      <c r="M1856" s="27" t="n">
        <f aca="false">J1856+(K1856/20)+(L1856/240)</f>
        <v>120</v>
      </c>
      <c r="N1856" s="17" t="s">
        <v>64</v>
      </c>
      <c r="O1856" s="11"/>
      <c r="P1856" s="28"/>
      <c r="Q1856" s="28" t="n">
        <f aca="false">P1856*$M1856</f>
        <v>0</v>
      </c>
      <c r="R1856" s="28"/>
      <c r="S1856" s="28" t="n">
        <f aca="false">R1856*$M1856</f>
        <v>0</v>
      </c>
      <c r="T1856" s="28"/>
      <c r="U1856" s="28" t="n">
        <f aca="false">T1856*$M1856</f>
        <v>0</v>
      </c>
      <c r="V1856" s="28" t="n">
        <f aca="false">2364/100</f>
        <v>23.64</v>
      </c>
      <c r="W1856" s="28" t="n">
        <v>2837</v>
      </c>
      <c r="X1856" s="28"/>
      <c r="Y1856" s="28" t="n">
        <f aca="false">X1856*$M1856</f>
        <v>0</v>
      </c>
      <c r="Z1856" s="28"/>
      <c r="AA1856" s="28" t="n">
        <f aca="false">Z1856*$M1856</f>
        <v>0</v>
      </c>
      <c r="AB1856" s="28"/>
      <c r="AC1856" s="28" t="n">
        <f aca="false">AB1856*$M1856</f>
        <v>0</v>
      </c>
      <c r="AD1856" s="28"/>
      <c r="AE1856" s="28" t="n">
        <f aca="false">AD1856*$M1856</f>
        <v>0</v>
      </c>
      <c r="AF1856" s="28"/>
      <c r="AG1856" s="28" t="n">
        <f aca="false">AF1856*$M1856</f>
        <v>0</v>
      </c>
      <c r="AH1856" s="28"/>
      <c r="AI1856" s="28" t="n">
        <f aca="false">AH1856*$M1856</f>
        <v>0</v>
      </c>
      <c r="AJ1856" s="28"/>
      <c r="AK1856" s="28" t="n">
        <f aca="false">AJ1856*$M1856</f>
        <v>0</v>
      </c>
      <c r="AL1856" s="28"/>
      <c r="AM1856" s="28" t="n">
        <f aca="false">AL1856*$M1856</f>
        <v>0</v>
      </c>
      <c r="AN1856" s="28"/>
      <c r="AO1856" s="28" t="n">
        <f aca="false">AN1856*$M1856</f>
        <v>0</v>
      </c>
      <c r="AP1856" s="28"/>
      <c r="AQ1856" s="28" t="n">
        <f aca="false">AP1856*$M1856</f>
        <v>0</v>
      </c>
      <c r="AR1856" s="28"/>
      <c r="AS1856" s="28" t="n">
        <f aca="false">AR1856*$M1856</f>
        <v>0</v>
      </c>
      <c r="AT1856" s="28"/>
      <c r="AU1856" s="28" t="n">
        <f aca="false">AT1856*$M1856</f>
        <v>0</v>
      </c>
      <c r="AV1856" s="28"/>
      <c r="AW1856" s="28" t="n">
        <f aca="false">AV1856*$M1856</f>
        <v>0</v>
      </c>
      <c r="AX1856" s="28"/>
      <c r="AY1856" s="28" t="n">
        <f aca="false">AX1856*$M1856</f>
        <v>0</v>
      </c>
      <c r="AZ1856" s="30" t="n">
        <f aca="false">2364/100</f>
        <v>23.64</v>
      </c>
      <c r="BA1856" s="11" t="n">
        <v>2837</v>
      </c>
      <c r="BB1856" s="31" t="n">
        <f aca="false">SUM(Q1856,S1856,U1856,W1856,Y1856,AA1856,AC1856,AE1856,AG1856,AI1856,AK1856,AM1856,AO1856,AQ1856,AS1856,AU1856,AW1856,AY1856)</f>
        <v>2837</v>
      </c>
      <c r="BC1856" s="28" t="n">
        <f aca="false">BA1856-BB1856</f>
        <v>0</v>
      </c>
      <c r="BD1856" s="32" t="n">
        <f aca="false">SUM(P1856,R1856,T1856,V1856,X1856,Z1856,AB1856,AD1856,AF1856,AH1856,AJ1856,AL1856,AN1856,AP1856,AR1856,AT1856,AV1856,AX1856)</f>
        <v>23.64</v>
      </c>
      <c r="BE1856" s="33" t="n">
        <f aca="false">AZ1856-BD1856</f>
        <v>0</v>
      </c>
      <c r="BF1856" s="34" t="n">
        <f aca="false">BD1856*M1856</f>
        <v>2836.8</v>
      </c>
      <c r="BG1856" s="35" t="n">
        <f aca="false">BA1856-BF1856</f>
        <v>0.199999999999818</v>
      </c>
      <c r="BH1856" s="19" t="str">
        <f aca="false">IF(BG1856=0,"",IF(BG1856&lt;&gt;BA1856,"erreur de calcul",IF(BD1856&lt;&gt;0,"pas de prix",IF(M1856&lt;&gt; 0,"pas de quantité","pas de prix, ni de quantité"))))</f>
        <v>erreur de calcul</v>
      </c>
      <c r="BI1856" s="19"/>
    </row>
    <row r="1857" customFormat="false" ht="15" hidden="false" customHeight="false" outlineLevel="0" collapsed="false">
      <c r="A1857" s="0" t="n">
        <v>23</v>
      </c>
      <c r="B1857" s="8" t="s">
        <v>24</v>
      </c>
      <c r="C1857" s="9" t="s">
        <v>25</v>
      </c>
      <c r="D1857" s="9" t="s">
        <v>26</v>
      </c>
      <c r="E1857" s="10" t="n">
        <v>1789</v>
      </c>
      <c r="F1857" s="9" t="s">
        <v>27</v>
      </c>
      <c r="G1857" s="9" t="s">
        <v>27</v>
      </c>
      <c r="H1857" s="11" t="n">
        <v>21</v>
      </c>
      <c r="I1857" s="11" t="s">
        <v>176</v>
      </c>
      <c r="J1857" s="14" t="n">
        <v>170</v>
      </c>
      <c r="K1857" s="14"/>
      <c r="L1857" s="16"/>
      <c r="M1857" s="27" t="n">
        <f aca="false">J1857+(K1857/20)+(L1857/240)</f>
        <v>170</v>
      </c>
      <c r="N1857" s="17" t="s">
        <v>64</v>
      </c>
      <c r="O1857" s="11"/>
      <c r="P1857" s="28" t="n">
        <f aca="false">9760/100</f>
        <v>97.6</v>
      </c>
      <c r="Q1857" s="28" t="n">
        <v>16592</v>
      </c>
      <c r="R1857" s="28"/>
      <c r="S1857" s="28" t="n">
        <f aca="false">R1857*$M1857</f>
        <v>0</v>
      </c>
      <c r="T1857" s="28"/>
      <c r="U1857" s="28" t="n">
        <f aca="false">T1857*$M1857</f>
        <v>0</v>
      </c>
      <c r="V1857" s="28"/>
      <c r="W1857" s="28" t="n">
        <f aca="false">V1857*$M1857</f>
        <v>0</v>
      </c>
      <c r="X1857" s="28" t="n">
        <f aca="false">1589/100</f>
        <v>15.89</v>
      </c>
      <c r="Y1857" s="28" t="n">
        <v>2701</v>
      </c>
      <c r="Z1857" s="28"/>
      <c r="AA1857" s="28" t="n">
        <f aca="false">Z1857*$M1857</f>
        <v>0</v>
      </c>
      <c r="AB1857" s="28"/>
      <c r="AC1857" s="28" t="n">
        <f aca="false">AB1857*$M1857</f>
        <v>0</v>
      </c>
      <c r="AD1857" s="28"/>
      <c r="AE1857" s="28" t="n">
        <f aca="false">AD1857*$M1857</f>
        <v>0</v>
      </c>
      <c r="AF1857" s="28"/>
      <c r="AG1857" s="28" t="n">
        <f aca="false">AF1857*$M1857</f>
        <v>0</v>
      </c>
      <c r="AH1857" s="28"/>
      <c r="AI1857" s="28" t="n">
        <f aca="false">AH1857*$M1857</f>
        <v>0</v>
      </c>
      <c r="AJ1857" s="28"/>
      <c r="AK1857" s="28" t="n">
        <f aca="false">AJ1857*$M1857</f>
        <v>0</v>
      </c>
      <c r="AL1857" s="28"/>
      <c r="AM1857" s="28" t="n">
        <f aca="false">AL1857*$M1857</f>
        <v>0</v>
      </c>
      <c r="AN1857" s="28"/>
      <c r="AO1857" s="28" t="n">
        <f aca="false">AN1857*$M1857</f>
        <v>0</v>
      </c>
      <c r="AP1857" s="28"/>
      <c r="AQ1857" s="28" t="n">
        <f aca="false">AP1857*$M1857</f>
        <v>0</v>
      </c>
      <c r="AR1857" s="28"/>
      <c r="AS1857" s="28" t="n">
        <f aca="false">AR1857*$M1857</f>
        <v>0</v>
      </c>
      <c r="AT1857" s="28"/>
      <c r="AU1857" s="28" t="n">
        <f aca="false">AT1857*$M1857</f>
        <v>0</v>
      </c>
      <c r="AV1857" s="28"/>
      <c r="AW1857" s="28" t="n">
        <f aca="false">AV1857*$M1857</f>
        <v>0</v>
      </c>
      <c r="AX1857" s="28"/>
      <c r="AY1857" s="28" t="n">
        <f aca="false">AX1857*$M1857</f>
        <v>0</v>
      </c>
      <c r="AZ1857" s="30" t="n">
        <f aca="false">11349/100</f>
        <v>113.49</v>
      </c>
      <c r="BA1857" s="11" t="n">
        <v>19293</v>
      </c>
      <c r="BB1857" s="31" t="n">
        <f aca="false">SUM(Q1857,S1857,U1857,W1857,Y1857,AA1857,AC1857,AE1857,AG1857,AI1857,AK1857,AM1857,AO1857,AQ1857,AS1857,AU1857,AW1857,AY1857)</f>
        <v>19293</v>
      </c>
      <c r="BC1857" s="28" t="n">
        <f aca="false">BA1857-BB1857</f>
        <v>0</v>
      </c>
      <c r="BD1857" s="32" t="n">
        <f aca="false">SUM(P1857,R1857,T1857,V1857,X1857,Z1857,AB1857,AD1857,AF1857,AH1857,AJ1857,AL1857,AN1857,AP1857,AR1857,AT1857,AV1857,AX1857)</f>
        <v>113.49</v>
      </c>
      <c r="BE1857" s="33" t="n">
        <f aca="false">AZ1857-BD1857</f>
        <v>0</v>
      </c>
      <c r="BF1857" s="34" t="n">
        <f aca="false">BD1857*M1857</f>
        <v>19293.3</v>
      </c>
      <c r="BG1857" s="35" t="n">
        <f aca="false">BA1857-BF1857</f>
        <v>-0.299999999999272</v>
      </c>
      <c r="BH1857" s="19" t="str">
        <f aca="false">IF(BG1857=0,"",IF(BG1857&lt;&gt;BA1857,"erreur de calcul",IF(BD1857&lt;&gt;0,"pas de prix",IF(M1857&lt;&gt; 0,"pas de quantité","pas de prix, ni de quantité"))))</f>
        <v>erreur de calcul</v>
      </c>
      <c r="BI1857" s="19"/>
    </row>
    <row r="1858" customFormat="false" ht="15" hidden="false" customHeight="false" outlineLevel="0" collapsed="false">
      <c r="A1858" s="0" t="n">
        <v>24</v>
      </c>
      <c r="B1858" s="8" t="s">
        <v>24</v>
      </c>
      <c r="C1858" s="9" t="s">
        <v>25</v>
      </c>
      <c r="D1858" s="9" t="s">
        <v>26</v>
      </c>
      <c r="E1858" s="10" t="n">
        <v>1789</v>
      </c>
      <c r="F1858" s="9" t="s">
        <v>27</v>
      </c>
      <c r="G1858" s="9" t="s">
        <v>27</v>
      </c>
      <c r="H1858" s="11" t="n">
        <v>21</v>
      </c>
      <c r="I1858" s="11" t="s">
        <v>177</v>
      </c>
      <c r="J1858" s="14" t="n">
        <v>9</v>
      </c>
      <c r="K1858" s="14"/>
      <c r="L1858" s="16"/>
      <c r="M1858" s="27" t="n">
        <f aca="false">J1858+(K1858/20)+(L1858/240)</f>
        <v>9</v>
      </c>
      <c r="N1858" s="17" t="s">
        <v>66</v>
      </c>
      <c r="O1858" s="11"/>
      <c r="P1858" s="28"/>
      <c r="Q1858" s="28" t="n">
        <f aca="false">P1858*$M1858</f>
        <v>0</v>
      </c>
      <c r="R1858" s="28" t="n">
        <v>349</v>
      </c>
      <c r="S1858" s="28" t="n">
        <v>3141</v>
      </c>
      <c r="T1858" s="28"/>
      <c r="U1858" s="28" t="n">
        <f aca="false">T1858*$M1858</f>
        <v>0</v>
      </c>
      <c r="V1858" s="28" t="n">
        <v>315</v>
      </c>
      <c r="W1858" s="28" t="n">
        <v>2835</v>
      </c>
      <c r="X1858" s="28" t="n">
        <v>733</v>
      </c>
      <c r="Y1858" s="28" t="n">
        <v>6597</v>
      </c>
      <c r="Z1858" s="28"/>
      <c r="AA1858" s="28" t="n">
        <f aca="false">Z1858*$M1858</f>
        <v>0</v>
      </c>
      <c r="AB1858" s="28" t="n">
        <v>162</v>
      </c>
      <c r="AC1858" s="28" t="n">
        <v>1458</v>
      </c>
      <c r="AD1858" s="28"/>
      <c r="AE1858" s="28" t="n">
        <f aca="false">AD1858*$M1858</f>
        <v>0</v>
      </c>
      <c r="AF1858" s="28"/>
      <c r="AG1858" s="28" t="n">
        <f aca="false">AF1858*$M1858</f>
        <v>0</v>
      </c>
      <c r="AH1858" s="28"/>
      <c r="AI1858" s="28" t="n">
        <f aca="false">AH1858*$M1858</f>
        <v>0</v>
      </c>
      <c r="AJ1858" s="28"/>
      <c r="AK1858" s="28" t="n">
        <f aca="false">AJ1858*$M1858</f>
        <v>0</v>
      </c>
      <c r="AL1858" s="28"/>
      <c r="AM1858" s="28" t="n">
        <f aca="false">AL1858*$M1858</f>
        <v>0</v>
      </c>
      <c r="AN1858" s="28"/>
      <c r="AO1858" s="28" t="n">
        <f aca="false">AN1858*$M1858</f>
        <v>0</v>
      </c>
      <c r="AP1858" s="28"/>
      <c r="AQ1858" s="28" t="n">
        <f aca="false">AP1858*$M1858</f>
        <v>0</v>
      </c>
      <c r="AR1858" s="28"/>
      <c r="AS1858" s="28" t="n">
        <f aca="false">AR1858*$M1858</f>
        <v>0</v>
      </c>
      <c r="AT1858" s="28"/>
      <c r="AU1858" s="28" t="n">
        <f aca="false">AT1858*$M1858</f>
        <v>0</v>
      </c>
      <c r="AV1858" s="28"/>
      <c r="AW1858" s="28" t="n">
        <f aca="false">AV1858*$M1858</f>
        <v>0</v>
      </c>
      <c r="AX1858" s="28"/>
      <c r="AY1858" s="28" t="n">
        <f aca="false">AX1858*$M1858</f>
        <v>0</v>
      </c>
      <c r="AZ1858" s="30" t="n">
        <f aca="false">1559</f>
        <v>1559</v>
      </c>
      <c r="BA1858" s="11" t="n">
        <v>14031</v>
      </c>
      <c r="BB1858" s="31" t="n">
        <f aca="false">SUM(Q1858,S1858,U1858,W1858,Y1858,AA1858,AC1858,AE1858,AG1858,AI1858,AK1858,AM1858,AO1858,AQ1858,AS1858,AU1858,AW1858,AY1858)</f>
        <v>14031</v>
      </c>
      <c r="BC1858" s="28" t="n">
        <f aca="false">BA1858-BB1858</f>
        <v>0</v>
      </c>
      <c r="BD1858" s="32" t="n">
        <f aca="false">SUM(P1858,R1858,T1858,V1858,X1858,Z1858,AB1858,AD1858,AF1858,AH1858,AJ1858,AL1858,AN1858,AP1858,AR1858,AT1858,AV1858,AX1858)</f>
        <v>1559</v>
      </c>
      <c r="BE1858" s="33" t="n">
        <f aca="false">AZ1858-BD1858</f>
        <v>0</v>
      </c>
      <c r="BF1858" s="34" t="n">
        <f aca="false">BD1858*M1858</f>
        <v>14031</v>
      </c>
      <c r="BG1858" s="35" t="n">
        <f aca="false">BA1858-BF1858</f>
        <v>0</v>
      </c>
      <c r="BH1858" s="19" t="str">
        <f aca="false">IF(BG1858=0,"",IF(BG1858&lt;&gt;BA1858,"erreur de calcul",IF(BD1858&lt;&gt;0,"pas de prix",IF(M1858&lt;&gt; 0,"pas de quantité","pas de prix, ni de quantité"))))</f>
        <v/>
      </c>
      <c r="BI1858" s="19"/>
    </row>
    <row r="1859" customFormat="false" ht="15" hidden="false" customHeight="false" outlineLevel="0" collapsed="false">
      <c r="A1859" s="0" t="n">
        <v>25</v>
      </c>
      <c r="B1859" s="8" t="s">
        <v>24</v>
      </c>
      <c r="C1859" s="9" t="s">
        <v>25</v>
      </c>
      <c r="D1859" s="9" t="s">
        <v>26</v>
      </c>
      <c r="E1859" s="10" t="n">
        <v>1789</v>
      </c>
      <c r="F1859" s="9" t="s">
        <v>27</v>
      </c>
      <c r="G1859" s="9" t="s">
        <v>27</v>
      </c>
      <c r="H1859" s="11" t="n">
        <v>21</v>
      </c>
      <c r="I1859" s="11" t="s">
        <v>178</v>
      </c>
      <c r="J1859" s="14" t="n">
        <v>125</v>
      </c>
      <c r="K1859" s="14"/>
      <c r="L1859" s="16"/>
      <c r="M1859" s="27" t="n">
        <f aca="false">J1859+(K1859/20)+(L1859/240)</f>
        <v>125</v>
      </c>
      <c r="N1859" s="17" t="s">
        <v>64</v>
      </c>
      <c r="O1859" s="11"/>
      <c r="P1859" s="28"/>
      <c r="Q1859" s="28" t="n">
        <f aca="false">P1859*$M1859</f>
        <v>0</v>
      </c>
      <c r="R1859" s="28"/>
      <c r="S1859" s="28" t="n">
        <f aca="false">R1859*$M1859</f>
        <v>0</v>
      </c>
      <c r="T1859" s="28"/>
      <c r="U1859" s="28" t="n">
        <f aca="false">T1859*$M1859</f>
        <v>0</v>
      </c>
      <c r="V1859" s="28" t="n">
        <f aca="false">10764/100</f>
        <v>107.64</v>
      </c>
      <c r="W1859" s="28" t="n">
        <v>13455</v>
      </c>
      <c r="X1859" s="28" t="n">
        <f aca="false">13215/100</f>
        <v>132.15</v>
      </c>
      <c r="Y1859" s="28" t="n">
        <v>16519</v>
      </c>
      <c r="Z1859" s="28"/>
      <c r="AA1859" s="28" t="n">
        <f aca="false">Z1859*$M1859</f>
        <v>0</v>
      </c>
      <c r="AB1859" s="28" t="n">
        <f aca="false">188461/100</f>
        <v>1884.61</v>
      </c>
      <c r="AC1859" s="28" t="n">
        <v>235576</v>
      </c>
      <c r="AD1859" s="28"/>
      <c r="AE1859" s="28" t="n">
        <f aca="false">AD1859*$M1859</f>
        <v>0</v>
      </c>
      <c r="AF1859" s="28"/>
      <c r="AG1859" s="28" t="n">
        <f aca="false">AF1859*$M1859</f>
        <v>0</v>
      </c>
      <c r="AH1859" s="28"/>
      <c r="AI1859" s="28" t="n">
        <f aca="false">AH1859*$M1859</f>
        <v>0</v>
      </c>
      <c r="AJ1859" s="28"/>
      <c r="AK1859" s="28" t="n">
        <f aca="false">AJ1859*$M1859</f>
        <v>0</v>
      </c>
      <c r="AL1859" s="28"/>
      <c r="AM1859" s="28" t="n">
        <f aca="false">AL1859*$M1859</f>
        <v>0</v>
      </c>
      <c r="AN1859" s="28"/>
      <c r="AO1859" s="28" t="n">
        <f aca="false">AN1859*$M1859</f>
        <v>0</v>
      </c>
      <c r="AP1859" s="28"/>
      <c r="AQ1859" s="28" t="n">
        <f aca="false">AP1859*$M1859</f>
        <v>0</v>
      </c>
      <c r="AR1859" s="28"/>
      <c r="AS1859" s="28" t="n">
        <f aca="false">AR1859*$M1859</f>
        <v>0</v>
      </c>
      <c r="AT1859" s="28"/>
      <c r="AU1859" s="28" t="n">
        <f aca="false">AT1859*$M1859</f>
        <v>0</v>
      </c>
      <c r="AV1859" s="28"/>
      <c r="AW1859" s="28" t="n">
        <f aca="false">AV1859*$M1859</f>
        <v>0</v>
      </c>
      <c r="AX1859" s="28"/>
      <c r="AY1859" s="28" t="n">
        <f aca="false">AX1859*$M1859</f>
        <v>0</v>
      </c>
      <c r="AZ1859" s="30" t="n">
        <f aca="false">212440/100</f>
        <v>2124.4</v>
      </c>
      <c r="BA1859" s="11" t="n">
        <v>265550</v>
      </c>
      <c r="BB1859" s="31" t="n">
        <f aca="false">SUM(Q1859,S1859,U1859,W1859,Y1859,AA1859,AC1859,AE1859,AG1859,AI1859,AK1859,AM1859,AO1859,AQ1859,AS1859,AU1859,AW1859,AY1859)</f>
        <v>265550</v>
      </c>
      <c r="BC1859" s="28" t="n">
        <f aca="false">BA1859-BB1859</f>
        <v>0</v>
      </c>
      <c r="BD1859" s="32" t="n">
        <f aca="false">SUM(P1859,R1859,T1859,V1859,X1859,Z1859,AB1859,AD1859,AF1859,AH1859,AJ1859,AL1859,AN1859,AP1859,AR1859,AT1859,AV1859,AX1859)</f>
        <v>2124.4</v>
      </c>
      <c r="BE1859" s="33" t="n">
        <f aca="false">AZ1859-BD1859</f>
        <v>0</v>
      </c>
      <c r="BF1859" s="34" t="n">
        <f aca="false">BD1859*M1859</f>
        <v>265550</v>
      </c>
      <c r="BG1859" s="35" t="n">
        <f aca="false">BA1859-BF1859</f>
        <v>0</v>
      </c>
      <c r="BH1859" s="19" t="str">
        <f aca="false">IF(BG1859=0,"",IF(BG1859&lt;&gt;BA1859,"erreur de calcul",IF(BD1859&lt;&gt;0,"pas de prix",IF(M1859&lt;&gt; 0,"pas de quantité","pas de prix, ni de quantité"))))</f>
        <v/>
      </c>
      <c r="BI1859" s="19"/>
    </row>
    <row r="1860" customFormat="false" ht="15" hidden="false" customHeight="false" outlineLevel="0" collapsed="false">
      <c r="A1860" s="0" t="n">
        <v>26</v>
      </c>
      <c r="B1860" s="8" t="s">
        <v>24</v>
      </c>
      <c r="C1860" s="9" t="s">
        <v>25</v>
      </c>
      <c r="D1860" s="9" t="s">
        <v>26</v>
      </c>
      <c r="E1860" s="10" t="n">
        <v>1789</v>
      </c>
      <c r="F1860" s="9" t="s">
        <v>27</v>
      </c>
      <c r="G1860" s="9" t="s">
        <v>27</v>
      </c>
      <c r="H1860" s="11" t="n">
        <v>21</v>
      </c>
      <c r="I1860" s="11" t="s">
        <v>179</v>
      </c>
      <c r="J1860" s="14" t="n">
        <v>7</v>
      </c>
      <c r="K1860" s="14"/>
      <c r="L1860" s="16"/>
      <c r="M1860" s="27" t="n">
        <f aca="false">J1860+(K1860/20)+(L1860/240)</f>
        <v>7</v>
      </c>
      <c r="N1860" s="17" t="s">
        <v>66</v>
      </c>
      <c r="O1860" s="11"/>
      <c r="P1860" s="28" t="n">
        <v>8441</v>
      </c>
      <c r="Q1860" s="28" t="n">
        <v>59087</v>
      </c>
      <c r="R1860" s="28"/>
      <c r="S1860" s="28" t="n">
        <f aca="false">R1860*$M1860</f>
        <v>0</v>
      </c>
      <c r="T1860" s="28"/>
      <c r="U1860" s="28" t="n">
        <f aca="false">T1860*$M1860</f>
        <v>0</v>
      </c>
      <c r="V1860" s="28"/>
      <c r="W1860" s="28" t="n">
        <f aca="false">V1860*$M1860</f>
        <v>0</v>
      </c>
      <c r="X1860" s="28"/>
      <c r="Y1860" s="28" t="n">
        <f aca="false">X1860*$M1860</f>
        <v>0</v>
      </c>
      <c r="Z1860" s="28" t="n">
        <v>357</v>
      </c>
      <c r="AA1860" s="28" t="n">
        <v>2499</v>
      </c>
      <c r="AB1860" s="28"/>
      <c r="AC1860" s="28" t="n">
        <f aca="false">AB1860*$M1860</f>
        <v>0</v>
      </c>
      <c r="AD1860" s="28"/>
      <c r="AE1860" s="28" t="n">
        <f aca="false">AD1860*$M1860</f>
        <v>0</v>
      </c>
      <c r="AF1860" s="28"/>
      <c r="AG1860" s="28" t="n">
        <f aca="false">AF1860*$M1860</f>
        <v>0</v>
      </c>
      <c r="AH1860" s="28"/>
      <c r="AI1860" s="28" t="n">
        <f aca="false">AH1860*$M1860</f>
        <v>0</v>
      </c>
      <c r="AJ1860" s="28"/>
      <c r="AK1860" s="28" t="n">
        <f aca="false">AJ1860*$M1860</f>
        <v>0</v>
      </c>
      <c r="AL1860" s="28"/>
      <c r="AM1860" s="28" t="n">
        <f aca="false">AL1860*$M1860</f>
        <v>0</v>
      </c>
      <c r="AN1860" s="28"/>
      <c r="AO1860" s="28" t="n">
        <f aca="false">AN1860*$M1860</f>
        <v>0</v>
      </c>
      <c r="AP1860" s="28"/>
      <c r="AQ1860" s="28" t="n">
        <f aca="false">AP1860*$M1860</f>
        <v>0</v>
      </c>
      <c r="AR1860" s="28"/>
      <c r="AS1860" s="28" t="n">
        <f aca="false">AR1860*$M1860</f>
        <v>0</v>
      </c>
      <c r="AT1860" s="28"/>
      <c r="AU1860" s="28" t="n">
        <f aca="false">AT1860*$M1860</f>
        <v>0</v>
      </c>
      <c r="AV1860" s="28"/>
      <c r="AW1860" s="28" t="n">
        <f aca="false">AV1860*$M1860</f>
        <v>0</v>
      </c>
      <c r="AX1860" s="28"/>
      <c r="AY1860" s="28" t="n">
        <f aca="false">AX1860*$M1860</f>
        <v>0</v>
      </c>
      <c r="AZ1860" s="30" t="n">
        <v>8798</v>
      </c>
      <c r="BA1860" s="11" t="n">
        <v>61586</v>
      </c>
      <c r="BB1860" s="31" t="n">
        <f aca="false">SUM(Q1860,S1860,U1860,W1860,Y1860,AA1860,AC1860,AE1860,AG1860,AI1860,AK1860,AM1860,AO1860,AQ1860,AS1860,AU1860,AW1860,AY1860)</f>
        <v>61586</v>
      </c>
      <c r="BC1860" s="28" t="n">
        <f aca="false">BA1860-BB1860</f>
        <v>0</v>
      </c>
      <c r="BD1860" s="32" t="n">
        <f aca="false">SUM(P1860,R1860,T1860,V1860,X1860,Z1860,AB1860,AD1860,AF1860,AH1860,AJ1860,AL1860,AN1860,AP1860,AR1860,AT1860,AV1860,AX1860)</f>
        <v>8798</v>
      </c>
      <c r="BE1860" s="33" t="n">
        <f aca="false">AZ1860-BD1860</f>
        <v>0</v>
      </c>
      <c r="BF1860" s="34" t="n">
        <f aca="false">BD1860*M1860</f>
        <v>61586</v>
      </c>
      <c r="BG1860" s="35" t="n">
        <f aca="false">BA1860-BF1860</f>
        <v>0</v>
      </c>
      <c r="BH1860" s="19" t="str">
        <f aca="false">IF(BG1860=0,"",IF(BG1860&lt;&gt;BA1860,"erreur de calcul",IF(BD1860&lt;&gt;0,"pas de prix",IF(M1860&lt;&gt; 0,"pas de quantité","pas de prix, ni de quantité"))))</f>
        <v/>
      </c>
      <c r="BI1860" s="19"/>
    </row>
    <row r="1861" customFormat="false" ht="15" hidden="false" customHeight="false" outlineLevel="0" collapsed="false">
      <c r="A1861" s="0" t="n">
        <v>27</v>
      </c>
      <c r="B1861" s="8" t="s">
        <v>24</v>
      </c>
      <c r="C1861" s="9" t="s">
        <v>25</v>
      </c>
      <c r="D1861" s="9" t="s">
        <v>26</v>
      </c>
      <c r="E1861" s="10" t="n">
        <v>1789</v>
      </c>
      <c r="F1861" s="9" t="s">
        <v>27</v>
      </c>
      <c r="G1861" s="9" t="s">
        <v>27</v>
      </c>
      <c r="H1861" s="11" t="n">
        <v>21</v>
      </c>
      <c r="I1861" s="11" t="s">
        <v>180</v>
      </c>
      <c r="J1861" s="14" t="n">
        <v>9</v>
      </c>
      <c r="K1861" s="14"/>
      <c r="L1861" s="16"/>
      <c r="M1861" s="27" t="n">
        <f aca="false">J1861+(K1861/20)+(L1861/240)</f>
        <v>9</v>
      </c>
      <c r="N1861" s="17" t="s">
        <v>64</v>
      </c>
      <c r="O1861" s="11"/>
      <c r="P1861" s="28" t="n">
        <f aca="false">22662/100</f>
        <v>226.62</v>
      </c>
      <c r="Q1861" s="28" t="n">
        <v>2039</v>
      </c>
      <c r="R1861" s="28"/>
      <c r="S1861" s="28" t="n">
        <f aca="false">R1861*$M1861</f>
        <v>0</v>
      </c>
      <c r="T1861" s="28"/>
      <c r="U1861" s="28" t="n">
        <f aca="false">T1861*$M1861</f>
        <v>0</v>
      </c>
      <c r="V1861" s="28"/>
      <c r="W1861" s="28" t="n">
        <f aca="false">V1861*$M1861</f>
        <v>0</v>
      </c>
      <c r="X1861" s="28"/>
      <c r="Y1861" s="28" t="n">
        <f aca="false">X1861*$M1861</f>
        <v>0</v>
      </c>
      <c r="Z1861" s="28"/>
      <c r="AA1861" s="28" t="n">
        <f aca="false">Z1861*$M1861</f>
        <v>0</v>
      </c>
      <c r="AB1861" s="28"/>
      <c r="AC1861" s="28" t="n">
        <f aca="false">AB1861*$M1861</f>
        <v>0</v>
      </c>
      <c r="AD1861" s="28"/>
      <c r="AE1861" s="28" t="n">
        <f aca="false">AD1861*$M1861</f>
        <v>0</v>
      </c>
      <c r="AF1861" s="28"/>
      <c r="AG1861" s="28" t="n">
        <f aca="false">AF1861*$M1861</f>
        <v>0</v>
      </c>
      <c r="AH1861" s="28"/>
      <c r="AI1861" s="28" t="n">
        <f aca="false">AH1861*$M1861</f>
        <v>0</v>
      </c>
      <c r="AJ1861" s="28"/>
      <c r="AK1861" s="28" t="n">
        <f aca="false">AJ1861*$M1861</f>
        <v>0</v>
      </c>
      <c r="AL1861" s="28"/>
      <c r="AM1861" s="28" t="n">
        <f aca="false">AL1861*$M1861</f>
        <v>0</v>
      </c>
      <c r="AN1861" s="28"/>
      <c r="AO1861" s="28" t="n">
        <f aca="false">AN1861*$M1861</f>
        <v>0</v>
      </c>
      <c r="AP1861" s="28"/>
      <c r="AQ1861" s="28" t="n">
        <f aca="false">AP1861*$M1861</f>
        <v>0</v>
      </c>
      <c r="AR1861" s="28"/>
      <c r="AS1861" s="28" t="n">
        <f aca="false">AR1861*$M1861</f>
        <v>0</v>
      </c>
      <c r="AT1861" s="28"/>
      <c r="AU1861" s="28" t="n">
        <f aca="false">AT1861*$M1861</f>
        <v>0</v>
      </c>
      <c r="AV1861" s="28"/>
      <c r="AW1861" s="28" t="n">
        <f aca="false">AV1861*$M1861</f>
        <v>0</v>
      </c>
      <c r="AX1861" s="28"/>
      <c r="AY1861" s="28" t="n">
        <f aca="false">AX1861*$M1861</f>
        <v>0</v>
      </c>
      <c r="AZ1861" s="30" t="n">
        <f aca="false">22662/100</f>
        <v>226.62</v>
      </c>
      <c r="BA1861" s="11" t="n">
        <v>2039</v>
      </c>
      <c r="BB1861" s="31" t="n">
        <f aca="false">SUM(Q1861,S1861,U1861,W1861,Y1861,AA1861,AC1861,AE1861,AG1861,AI1861,AK1861,AM1861,AO1861,AQ1861,AS1861,AU1861,AW1861,AY1861)</f>
        <v>2039</v>
      </c>
      <c r="BC1861" s="28" t="n">
        <f aca="false">BA1861-BB1861</f>
        <v>0</v>
      </c>
      <c r="BD1861" s="32" t="n">
        <f aca="false">SUM(P1861,R1861,T1861,V1861,X1861,Z1861,AB1861,AD1861,AF1861,AH1861,AJ1861,AL1861,AN1861,AP1861,AR1861,AT1861,AV1861,AX1861)</f>
        <v>226.62</v>
      </c>
      <c r="BE1861" s="33" t="n">
        <f aca="false">AZ1861-BD1861</f>
        <v>0</v>
      </c>
      <c r="BF1861" s="34" t="n">
        <f aca="false">BD1861*M1861</f>
        <v>2039.58</v>
      </c>
      <c r="BG1861" s="35" t="n">
        <f aca="false">BA1861-BF1861</f>
        <v>-0.579999999999927</v>
      </c>
      <c r="BH1861" s="19" t="str">
        <f aca="false">IF(BG1861=0,"",IF(BG1861&lt;&gt;BA1861,"erreur de calcul",IF(BD1861&lt;&gt;0,"pas de prix",IF(M1861&lt;&gt; 0,"pas de quantité","pas de prix, ni de quantité"))))</f>
        <v>erreur de calcul</v>
      </c>
      <c r="BI1861" s="19"/>
    </row>
    <row r="1862" customFormat="false" ht="15" hidden="false" customHeight="false" outlineLevel="0" collapsed="false">
      <c r="A1862" s="0" t="n">
        <v>28</v>
      </c>
      <c r="B1862" s="8" t="s">
        <v>24</v>
      </c>
      <c r="C1862" s="9" t="s">
        <v>25</v>
      </c>
      <c r="D1862" s="9" t="s">
        <v>26</v>
      </c>
      <c r="E1862" s="10" t="n">
        <v>1789</v>
      </c>
      <c r="F1862" s="9" t="s">
        <v>27</v>
      </c>
      <c r="G1862" s="9" t="s">
        <v>27</v>
      </c>
      <c r="H1862" s="11" t="n">
        <v>21</v>
      </c>
      <c r="I1862" s="11" t="s">
        <v>181</v>
      </c>
      <c r="J1862" s="14" t="n">
        <v>8</v>
      </c>
      <c r="K1862" s="14" t="n">
        <v>10</v>
      </c>
      <c r="L1862" s="16"/>
      <c r="M1862" s="27" t="n">
        <f aca="false">J1862+(K1862/20)+(L1862/240)</f>
        <v>8.5</v>
      </c>
      <c r="N1862" s="17" t="s">
        <v>66</v>
      </c>
      <c r="O1862" s="11"/>
      <c r="P1862" s="28" t="n">
        <v>1770</v>
      </c>
      <c r="Q1862" s="28" t="n">
        <v>15045</v>
      </c>
      <c r="R1862" s="28"/>
      <c r="S1862" s="28" t="n">
        <f aca="false">R1862*$M1862</f>
        <v>0</v>
      </c>
      <c r="T1862" s="28"/>
      <c r="U1862" s="28" t="n">
        <f aca="false">T1862*$M1862</f>
        <v>0</v>
      </c>
      <c r="V1862" s="28"/>
      <c r="W1862" s="28" t="n">
        <f aca="false">V1862*$M1862</f>
        <v>0</v>
      </c>
      <c r="X1862" s="28"/>
      <c r="Y1862" s="28" t="n">
        <f aca="false">X1862*$M1862</f>
        <v>0</v>
      </c>
      <c r="Z1862" s="28"/>
      <c r="AA1862" s="28" t="n">
        <f aca="false">Z1862*$M1862</f>
        <v>0</v>
      </c>
      <c r="AB1862" s="28"/>
      <c r="AC1862" s="28" t="n">
        <f aca="false">AB1862*$M1862</f>
        <v>0</v>
      </c>
      <c r="AD1862" s="28"/>
      <c r="AE1862" s="28" t="n">
        <f aca="false">AD1862*$M1862</f>
        <v>0</v>
      </c>
      <c r="AF1862" s="28"/>
      <c r="AG1862" s="28" t="n">
        <f aca="false">AF1862*$M1862</f>
        <v>0</v>
      </c>
      <c r="AH1862" s="28" t="n">
        <v>323</v>
      </c>
      <c r="AI1862" s="28" t="n">
        <v>2745</v>
      </c>
      <c r="AJ1862" s="28"/>
      <c r="AK1862" s="28" t="n">
        <f aca="false">AJ1862*$M1862</f>
        <v>0</v>
      </c>
      <c r="AL1862" s="28"/>
      <c r="AM1862" s="28" t="n">
        <f aca="false">AL1862*$M1862</f>
        <v>0</v>
      </c>
      <c r="AN1862" s="28"/>
      <c r="AO1862" s="28" t="n">
        <f aca="false">AN1862*$M1862</f>
        <v>0</v>
      </c>
      <c r="AP1862" s="28"/>
      <c r="AQ1862" s="28" t="n">
        <f aca="false">AP1862*$M1862</f>
        <v>0</v>
      </c>
      <c r="AR1862" s="28"/>
      <c r="AS1862" s="28" t="n">
        <f aca="false">AR1862*$M1862</f>
        <v>0</v>
      </c>
      <c r="AT1862" s="28"/>
      <c r="AU1862" s="28" t="n">
        <f aca="false">AT1862*$M1862</f>
        <v>0</v>
      </c>
      <c r="AV1862" s="28"/>
      <c r="AW1862" s="28" t="n">
        <f aca="false">AV1862*$M1862</f>
        <v>0</v>
      </c>
      <c r="AX1862" s="28"/>
      <c r="AY1862" s="28" t="n">
        <f aca="false">AX1862*$M1862</f>
        <v>0</v>
      </c>
      <c r="AZ1862" s="30" t="n">
        <v>2093</v>
      </c>
      <c r="BA1862" s="11" t="n">
        <v>17790</v>
      </c>
      <c r="BB1862" s="31" t="n">
        <f aca="false">SUM(Q1862,S1862,U1862,W1862,Y1862,AA1862,AC1862,AE1862,AG1862,AI1862,AK1862,AM1862,AO1862,AQ1862,AS1862,AU1862,AW1862,AY1862)</f>
        <v>17790</v>
      </c>
      <c r="BC1862" s="28" t="n">
        <f aca="false">BA1862-BB1862</f>
        <v>0</v>
      </c>
      <c r="BD1862" s="32" t="n">
        <f aca="false">SUM(P1862,R1862,T1862,V1862,X1862,Z1862,AB1862,AD1862,AF1862,AH1862,AJ1862,AL1862,AN1862,AP1862,AR1862,AT1862,AV1862,AX1862)</f>
        <v>2093</v>
      </c>
      <c r="BE1862" s="33" t="n">
        <f aca="false">AZ1862-BD1862</f>
        <v>0</v>
      </c>
      <c r="BF1862" s="34" t="n">
        <f aca="false">BD1862*M1862</f>
        <v>17790.5</v>
      </c>
      <c r="BG1862" s="35" t="n">
        <f aca="false">BA1862-BF1862</f>
        <v>-0.5</v>
      </c>
      <c r="BH1862" s="19" t="str">
        <f aca="false">IF(BG1862=0,"",IF(BG1862&lt;&gt;BA1862,"erreur de calcul",IF(BD1862&lt;&gt;0,"pas de prix",IF(M1862&lt;&gt; 0,"pas de quantité","pas de prix, ni de quantité"))))</f>
        <v>erreur de calcul</v>
      </c>
      <c r="BI1862" s="19"/>
    </row>
    <row r="1863" customFormat="false" ht="15" hidden="false" customHeight="false" outlineLevel="0" collapsed="false">
      <c r="A1863" s="0" t="n">
        <v>29</v>
      </c>
      <c r="B1863" s="8" t="s">
        <v>24</v>
      </c>
      <c r="C1863" s="9" t="s">
        <v>25</v>
      </c>
      <c r="D1863" s="9" t="s">
        <v>26</v>
      </c>
      <c r="E1863" s="10" t="n">
        <v>1789</v>
      </c>
      <c r="F1863" s="9" t="s">
        <v>27</v>
      </c>
      <c r="G1863" s="9" t="s">
        <v>27</v>
      </c>
      <c r="H1863" s="11" t="n">
        <v>21</v>
      </c>
      <c r="I1863" s="11" t="s">
        <v>182</v>
      </c>
      <c r="J1863" s="14" t="n">
        <v>24</v>
      </c>
      <c r="K1863" s="14"/>
      <c r="L1863" s="16"/>
      <c r="M1863" s="27" t="n">
        <f aca="false">J1863+(K1863/20)+(L1863/240)</f>
        <v>24</v>
      </c>
      <c r="N1863" s="17" t="s">
        <v>66</v>
      </c>
      <c r="O1863" s="11"/>
      <c r="P1863" s="28" t="n">
        <v>478</v>
      </c>
      <c r="Q1863" s="28" t="n">
        <v>11472</v>
      </c>
      <c r="R1863" s="28"/>
      <c r="S1863" s="28" t="n">
        <f aca="false">R1863*$M1863</f>
        <v>0</v>
      </c>
      <c r="T1863" s="28" t="n">
        <v>38</v>
      </c>
      <c r="U1863" s="28" t="n">
        <v>912</v>
      </c>
      <c r="V1863" s="28"/>
      <c r="W1863" s="28" t="n">
        <f aca="false">V1863*$M1863</f>
        <v>0</v>
      </c>
      <c r="X1863" s="28"/>
      <c r="Y1863" s="28" t="n">
        <f aca="false">X1863*$M1863</f>
        <v>0</v>
      </c>
      <c r="Z1863" s="28"/>
      <c r="AA1863" s="28" t="n">
        <f aca="false">Z1863*$M1863</f>
        <v>0</v>
      </c>
      <c r="AB1863" s="28"/>
      <c r="AC1863" s="28" t="n">
        <f aca="false">AB1863*$M1863</f>
        <v>0</v>
      </c>
      <c r="AD1863" s="28"/>
      <c r="AE1863" s="28" t="n">
        <f aca="false">AD1863*$M1863</f>
        <v>0</v>
      </c>
      <c r="AF1863" s="28"/>
      <c r="AG1863" s="28" t="n">
        <f aca="false">AF1863*$M1863</f>
        <v>0</v>
      </c>
      <c r="AH1863" s="28"/>
      <c r="AI1863" s="28" t="n">
        <f aca="false">AH1863*$M1863</f>
        <v>0</v>
      </c>
      <c r="AJ1863" s="28"/>
      <c r="AK1863" s="28" t="n">
        <f aca="false">AJ1863*$M1863</f>
        <v>0</v>
      </c>
      <c r="AL1863" s="28"/>
      <c r="AM1863" s="28" t="n">
        <f aca="false">AL1863*$M1863</f>
        <v>0</v>
      </c>
      <c r="AN1863" s="28"/>
      <c r="AO1863" s="28" t="n">
        <f aca="false">AN1863*$M1863</f>
        <v>0</v>
      </c>
      <c r="AP1863" s="28"/>
      <c r="AQ1863" s="28" t="n">
        <f aca="false">AP1863*$M1863</f>
        <v>0</v>
      </c>
      <c r="AR1863" s="28"/>
      <c r="AS1863" s="28" t="n">
        <f aca="false">AR1863*$M1863</f>
        <v>0</v>
      </c>
      <c r="AT1863" s="28"/>
      <c r="AU1863" s="28" t="n">
        <f aca="false">AT1863*$M1863</f>
        <v>0</v>
      </c>
      <c r="AV1863" s="28"/>
      <c r="AW1863" s="28" t="n">
        <f aca="false">AV1863*$M1863</f>
        <v>0</v>
      </c>
      <c r="AX1863" s="28"/>
      <c r="AY1863" s="28" t="n">
        <f aca="false">AX1863*$M1863</f>
        <v>0</v>
      </c>
      <c r="AZ1863" s="30" t="n">
        <v>516</v>
      </c>
      <c r="BA1863" s="11" t="n">
        <v>12384</v>
      </c>
      <c r="BB1863" s="31" t="n">
        <f aca="false">SUM(Q1863,S1863,U1863,W1863,Y1863,AA1863,AC1863,AE1863,AG1863,AI1863,AK1863,AM1863,AO1863,AQ1863,AS1863,AU1863,AW1863,AY1863)</f>
        <v>12384</v>
      </c>
      <c r="BC1863" s="28" t="n">
        <f aca="false">BA1863-BB1863</f>
        <v>0</v>
      </c>
      <c r="BD1863" s="32" t="n">
        <f aca="false">SUM(P1863,R1863,T1863,V1863,X1863,Z1863,AB1863,AD1863,AF1863,AH1863,AJ1863,AL1863,AN1863,AP1863,AR1863,AT1863,AV1863,AX1863)</f>
        <v>516</v>
      </c>
      <c r="BE1863" s="33" t="n">
        <f aca="false">AZ1863-BD1863</f>
        <v>0</v>
      </c>
      <c r="BF1863" s="34" t="n">
        <f aca="false">BD1863*M1863</f>
        <v>12384</v>
      </c>
      <c r="BG1863" s="35" t="n">
        <f aca="false">BA1863-BF1863</f>
        <v>0</v>
      </c>
      <c r="BH1863" s="19" t="str">
        <f aca="false">IF(BG1863=0,"",IF(BG1863&lt;&gt;BA1863,"erreur de calcul",IF(BD1863&lt;&gt;0,"pas de prix",IF(M1863&lt;&gt; 0,"pas de quantité","pas de prix, ni de quantité"))))</f>
        <v/>
      </c>
      <c r="BI1863" s="19"/>
    </row>
    <row r="1864" customFormat="false" ht="15" hidden="false" customHeight="false" outlineLevel="0" collapsed="false">
      <c r="A1864" s="0" t="n">
        <v>30</v>
      </c>
      <c r="B1864" s="8" t="s">
        <v>24</v>
      </c>
      <c r="C1864" s="9" t="s">
        <v>25</v>
      </c>
      <c r="D1864" s="9" t="s">
        <v>26</v>
      </c>
      <c r="E1864" s="10" t="n">
        <v>1789</v>
      </c>
      <c r="F1864" s="9" t="s">
        <v>27</v>
      </c>
      <c r="G1864" s="9" t="s">
        <v>27</v>
      </c>
      <c r="H1864" s="11" t="n">
        <v>21</v>
      </c>
      <c r="I1864" s="11" t="s">
        <v>183</v>
      </c>
      <c r="J1864" s="14" t="n">
        <v>240</v>
      </c>
      <c r="K1864" s="14"/>
      <c r="L1864" s="16"/>
      <c r="M1864" s="27" t="n">
        <f aca="false">J1864+(K1864/20)+(L1864/240)</f>
        <v>240</v>
      </c>
      <c r="N1864" s="17" t="s">
        <v>64</v>
      </c>
      <c r="O1864" s="11"/>
      <c r="P1864" s="28" t="n">
        <f aca="false">52196/100</f>
        <v>521.96</v>
      </c>
      <c r="Q1864" s="28" t="n">
        <v>125270</v>
      </c>
      <c r="R1864" s="28" t="n">
        <f aca="false">29767/100</f>
        <v>297.67</v>
      </c>
      <c r="S1864" s="28" t="n">
        <v>71441</v>
      </c>
      <c r="T1864" s="28"/>
      <c r="U1864" s="28" t="n">
        <f aca="false">T1864*$M1864</f>
        <v>0</v>
      </c>
      <c r="V1864" s="28"/>
      <c r="W1864" s="28" t="n">
        <f aca="false">V1864*$M1864</f>
        <v>0</v>
      </c>
      <c r="X1864" s="28"/>
      <c r="Y1864" s="28" t="n">
        <f aca="false">X1864*$M1864</f>
        <v>0</v>
      </c>
      <c r="Z1864" s="28"/>
      <c r="AA1864" s="28" t="n">
        <f aca="false">Z1864*$M1864</f>
        <v>0</v>
      </c>
      <c r="AB1864" s="28"/>
      <c r="AC1864" s="28" t="n">
        <f aca="false">AB1864*$M1864</f>
        <v>0</v>
      </c>
      <c r="AD1864" s="28"/>
      <c r="AE1864" s="28" t="n">
        <f aca="false">AD1864*$M1864</f>
        <v>0</v>
      </c>
      <c r="AF1864" s="28"/>
      <c r="AG1864" s="28" t="n">
        <f aca="false">AF1864*$M1864</f>
        <v>0</v>
      </c>
      <c r="AH1864" s="28"/>
      <c r="AI1864" s="28" t="n">
        <f aca="false">AH1864*$M1864</f>
        <v>0</v>
      </c>
      <c r="AJ1864" s="28"/>
      <c r="AK1864" s="28" t="n">
        <f aca="false">AJ1864*$M1864</f>
        <v>0</v>
      </c>
      <c r="AL1864" s="28"/>
      <c r="AM1864" s="28" t="n">
        <f aca="false">AL1864*$M1864</f>
        <v>0</v>
      </c>
      <c r="AN1864" s="28"/>
      <c r="AO1864" s="28" t="n">
        <f aca="false">AN1864*$M1864</f>
        <v>0</v>
      </c>
      <c r="AP1864" s="28"/>
      <c r="AQ1864" s="28" t="n">
        <f aca="false">AP1864*$M1864</f>
        <v>0</v>
      </c>
      <c r="AR1864" s="28"/>
      <c r="AS1864" s="28" t="n">
        <f aca="false">AR1864*$M1864</f>
        <v>0</v>
      </c>
      <c r="AT1864" s="28"/>
      <c r="AU1864" s="28" t="n">
        <f aca="false">AT1864*$M1864</f>
        <v>0</v>
      </c>
      <c r="AV1864" s="28"/>
      <c r="AW1864" s="28" t="n">
        <f aca="false">AV1864*$M1864</f>
        <v>0</v>
      </c>
      <c r="AX1864" s="28"/>
      <c r="AY1864" s="28" t="n">
        <f aca="false">AX1864*$M1864</f>
        <v>0</v>
      </c>
      <c r="AZ1864" s="30" t="n">
        <f aca="false">81963/100</f>
        <v>819.63</v>
      </c>
      <c r="BA1864" s="11" t="n">
        <v>196711</v>
      </c>
      <c r="BB1864" s="31" t="n">
        <f aca="false">SUM(Q1864,S1864,U1864,W1864,Y1864,AA1864,AC1864,AE1864,AG1864,AI1864,AK1864,AM1864,AO1864,AQ1864,AS1864,AU1864,AW1864,AY1864)</f>
        <v>196711</v>
      </c>
      <c r="BC1864" s="28" t="n">
        <f aca="false">BA1864-BB1864</f>
        <v>0</v>
      </c>
      <c r="BD1864" s="32" t="n">
        <f aca="false">SUM(P1864,R1864,T1864,V1864,X1864,Z1864,AB1864,AD1864,AF1864,AH1864,AJ1864,AL1864,AN1864,AP1864,AR1864,AT1864,AV1864,AX1864)</f>
        <v>819.63</v>
      </c>
      <c r="BE1864" s="33" t="n">
        <f aca="false">AZ1864-BD1864</f>
        <v>0</v>
      </c>
      <c r="BF1864" s="34" t="n">
        <f aca="false">BD1864*M1864</f>
        <v>196711.2</v>
      </c>
      <c r="BG1864" s="35" t="n">
        <f aca="false">BA1864-BF1864</f>
        <v>-0.200000000011642</v>
      </c>
      <c r="BH1864" s="19" t="str">
        <f aca="false">IF(BG1864=0,"",IF(BG1864&lt;&gt;BA1864,"erreur de calcul",IF(BD1864&lt;&gt;0,"pas de prix",IF(M1864&lt;&gt; 0,"pas de quantité","pas de prix, ni de quantité"))))</f>
        <v>erreur de calcul</v>
      </c>
      <c r="BI1864" s="19"/>
    </row>
    <row r="1865" customFormat="false" ht="15" hidden="false" customHeight="false" outlineLevel="0" collapsed="false">
      <c r="A1865" s="0" t="n">
        <v>31</v>
      </c>
      <c r="B1865" s="8" t="s">
        <v>24</v>
      </c>
      <c r="C1865" s="9" t="s">
        <v>25</v>
      </c>
      <c r="D1865" s="9" t="s">
        <v>26</v>
      </c>
      <c r="E1865" s="10" t="n">
        <v>1789</v>
      </c>
      <c r="F1865" s="9" t="s">
        <v>27</v>
      </c>
      <c r="G1865" s="9" t="s">
        <v>27</v>
      </c>
      <c r="H1865" s="11" t="n">
        <v>21</v>
      </c>
      <c r="I1865" s="11" t="s">
        <v>184</v>
      </c>
      <c r="J1865" s="14" t="n">
        <v>13</v>
      </c>
      <c r="K1865" s="14"/>
      <c r="L1865" s="16"/>
      <c r="M1865" s="27" t="n">
        <f aca="false">J1865+(K1865/20)+(L1865/240)</f>
        <v>13</v>
      </c>
      <c r="N1865" s="17" t="s">
        <v>66</v>
      </c>
      <c r="O1865" s="11"/>
      <c r="P1865" s="28"/>
      <c r="Q1865" s="28" t="n">
        <f aca="false">P1865*$M1865</f>
        <v>0</v>
      </c>
      <c r="R1865" s="28"/>
      <c r="S1865" s="28" t="n">
        <f aca="false">R1865*$M1865</f>
        <v>0</v>
      </c>
      <c r="T1865" s="28"/>
      <c r="U1865" s="28" t="n">
        <f aca="false">T1865*$M1865</f>
        <v>0</v>
      </c>
      <c r="V1865" s="28"/>
      <c r="W1865" s="28" t="n">
        <f aca="false">V1865*$M1865</f>
        <v>0</v>
      </c>
      <c r="X1865" s="28"/>
      <c r="Y1865" s="28" t="n">
        <f aca="false">X1865*$M1865</f>
        <v>0</v>
      </c>
      <c r="Z1865" s="28"/>
      <c r="AA1865" s="28" t="n">
        <f aca="false">Z1865*$M1865</f>
        <v>0</v>
      </c>
      <c r="AB1865" s="28"/>
      <c r="AC1865" s="28" t="n">
        <f aca="false">AB1865*$M1865</f>
        <v>0</v>
      </c>
      <c r="AD1865" s="28"/>
      <c r="AE1865" s="28" t="n">
        <f aca="false">AD1865*$M1865</f>
        <v>0</v>
      </c>
      <c r="AF1865" s="28"/>
      <c r="AG1865" s="28" t="n">
        <f aca="false">AF1865*$M1865</f>
        <v>0</v>
      </c>
      <c r="AH1865" s="28" t="n">
        <v>354</v>
      </c>
      <c r="AI1865" s="28" t="n">
        <v>4602</v>
      </c>
      <c r="AJ1865" s="28"/>
      <c r="AK1865" s="28" t="n">
        <f aca="false">AJ1865*$M1865</f>
        <v>0</v>
      </c>
      <c r="AL1865" s="28"/>
      <c r="AM1865" s="28" t="n">
        <f aca="false">AL1865*$M1865</f>
        <v>0</v>
      </c>
      <c r="AN1865" s="28"/>
      <c r="AO1865" s="28" t="n">
        <f aca="false">AN1865*$M1865</f>
        <v>0</v>
      </c>
      <c r="AP1865" s="28"/>
      <c r="AQ1865" s="28" t="n">
        <f aca="false">AP1865*$M1865</f>
        <v>0</v>
      </c>
      <c r="AR1865" s="28"/>
      <c r="AS1865" s="28" t="n">
        <f aca="false">AR1865*$M1865</f>
        <v>0</v>
      </c>
      <c r="AT1865" s="28"/>
      <c r="AU1865" s="28" t="n">
        <f aca="false">AT1865*$M1865</f>
        <v>0</v>
      </c>
      <c r="AV1865" s="28"/>
      <c r="AW1865" s="28" t="n">
        <f aca="false">AV1865*$M1865</f>
        <v>0</v>
      </c>
      <c r="AX1865" s="28"/>
      <c r="AY1865" s="28" t="n">
        <f aca="false">AX1865*$M1865</f>
        <v>0</v>
      </c>
      <c r="AZ1865" s="30" t="n">
        <v>354</v>
      </c>
      <c r="BA1865" s="11" t="n">
        <v>4602</v>
      </c>
      <c r="BB1865" s="31" t="n">
        <f aca="false">SUM(Q1865,S1865,U1865,W1865,Y1865,AA1865,AC1865,AE1865,AG1865,AI1865,AK1865,AM1865,AO1865,AQ1865,AS1865,AU1865,AW1865,AY1865)</f>
        <v>4602</v>
      </c>
      <c r="BC1865" s="28" t="n">
        <f aca="false">BA1865-BB1865</f>
        <v>0</v>
      </c>
      <c r="BD1865" s="32" t="n">
        <f aca="false">SUM(P1865,R1865,T1865,V1865,X1865,Z1865,AB1865,AD1865,AF1865,AH1865,AJ1865,AL1865,AN1865,AP1865,AR1865,AT1865,AV1865,AX1865)</f>
        <v>354</v>
      </c>
      <c r="BE1865" s="33" t="n">
        <f aca="false">AZ1865-BD1865</f>
        <v>0</v>
      </c>
      <c r="BF1865" s="34" t="n">
        <f aca="false">BD1865*M1865</f>
        <v>4602</v>
      </c>
      <c r="BG1865" s="35" t="n">
        <f aca="false">BA1865-BF1865</f>
        <v>0</v>
      </c>
      <c r="BH1865" s="19" t="str">
        <f aca="false">IF(BG1865=0,"",IF(BG1865&lt;&gt;BA1865,"erreur de calcul",IF(BD1865&lt;&gt;0,"pas de prix",IF(M1865&lt;&gt; 0,"pas de quantité","pas de prix, ni de quantité"))))</f>
        <v/>
      </c>
      <c r="BI1865" s="19"/>
    </row>
    <row r="1866" customFormat="false" ht="15" hidden="false" customHeight="false" outlineLevel="0" collapsed="false">
      <c r="A1866" s="0" t="n">
        <v>32</v>
      </c>
      <c r="B1866" s="8" t="s">
        <v>24</v>
      </c>
      <c r="C1866" s="9" t="s">
        <v>25</v>
      </c>
      <c r="D1866" s="9" t="s">
        <v>26</v>
      </c>
      <c r="E1866" s="10" t="n">
        <v>1789</v>
      </c>
      <c r="F1866" s="9" t="s">
        <v>27</v>
      </c>
      <c r="G1866" s="9" t="s">
        <v>27</v>
      </c>
      <c r="H1866" s="11" t="n">
        <v>21</v>
      </c>
      <c r="I1866" s="11" t="s">
        <v>185</v>
      </c>
      <c r="J1866" s="14" t="n">
        <v>245</v>
      </c>
      <c r="K1866" s="14"/>
      <c r="L1866" s="16"/>
      <c r="M1866" s="27" t="n">
        <f aca="false">J1866+(K1866/20)+(L1866/240)</f>
        <v>245</v>
      </c>
      <c r="N1866" s="17" t="s">
        <v>64</v>
      </c>
      <c r="O1866" s="11"/>
      <c r="P1866" s="28"/>
      <c r="Q1866" s="28" t="n">
        <f aca="false">P1866*$M1866</f>
        <v>0</v>
      </c>
      <c r="R1866" s="28"/>
      <c r="S1866" s="28" t="n">
        <f aca="false">R1866*$M1866</f>
        <v>0</v>
      </c>
      <c r="T1866" s="28"/>
      <c r="U1866" s="28" t="n">
        <f aca="false">T1866*$M1866</f>
        <v>0</v>
      </c>
      <c r="V1866" s="28" t="n">
        <f aca="false">720/100</f>
        <v>7.2</v>
      </c>
      <c r="W1866" s="28" t="n">
        <v>1764</v>
      </c>
      <c r="X1866" s="28" t="n">
        <f aca="false">40366/100</f>
        <v>403.66</v>
      </c>
      <c r="Y1866" s="28" t="n">
        <v>98897</v>
      </c>
      <c r="Z1866" s="28"/>
      <c r="AA1866" s="28" t="n">
        <f aca="false">Z1866*$M1866</f>
        <v>0</v>
      </c>
      <c r="AB1866" s="28"/>
      <c r="AC1866" s="28" t="n">
        <f aca="false">AB1866*$M1866</f>
        <v>0</v>
      </c>
      <c r="AD1866" s="28"/>
      <c r="AE1866" s="28" t="n">
        <f aca="false">AD1866*$M1866</f>
        <v>0</v>
      </c>
      <c r="AF1866" s="28"/>
      <c r="AG1866" s="28" t="n">
        <f aca="false">AF1866*$M1866</f>
        <v>0</v>
      </c>
      <c r="AH1866" s="28" t="n">
        <f aca="false">83243/100</f>
        <v>832.43</v>
      </c>
      <c r="AI1866" s="28" t="n">
        <v>203945</v>
      </c>
      <c r="AJ1866" s="28"/>
      <c r="AK1866" s="28" t="n">
        <f aca="false">AJ1866*$M1866</f>
        <v>0</v>
      </c>
      <c r="AL1866" s="28"/>
      <c r="AM1866" s="28" t="n">
        <f aca="false">AL1866*$M1866</f>
        <v>0</v>
      </c>
      <c r="AN1866" s="28"/>
      <c r="AO1866" s="28" t="n">
        <f aca="false">AN1866*$M1866</f>
        <v>0</v>
      </c>
      <c r="AP1866" s="28"/>
      <c r="AQ1866" s="28" t="n">
        <f aca="false">AP1866*$M1866</f>
        <v>0</v>
      </c>
      <c r="AR1866" s="28"/>
      <c r="AS1866" s="28" t="n">
        <f aca="false">AR1866*$M1866</f>
        <v>0</v>
      </c>
      <c r="AT1866" s="28"/>
      <c r="AU1866" s="28" t="n">
        <f aca="false">AT1866*$M1866</f>
        <v>0</v>
      </c>
      <c r="AV1866" s="28"/>
      <c r="AW1866" s="28" t="n">
        <f aca="false">AV1866*$M1866</f>
        <v>0</v>
      </c>
      <c r="AX1866" s="28"/>
      <c r="AY1866" s="28" t="n">
        <f aca="false">AX1866*$M1866</f>
        <v>0</v>
      </c>
      <c r="AZ1866" s="30" t="n">
        <f aca="false">124329/100</f>
        <v>1243.29</v>
      </c>
      <c r="BA1866" s="11" t="n">
        <v>304606</v>
      </c>
      <c r="BB1866" s="31" t="n">
        <f aca="false">SUM(Q1866,S1866,U1866,W1866,Y1866,AA1866,AC1866,AE1866,AG1866,AI1866,AK1866,AM1866,AO1866,AQ1866,AS1866,AU1866,AW1866,AY1866)</f>
        <v>304606</v>
      </c>
      <c r="BC1866" s="28" t="n">
        <f aca="false">BA1866-BB1866</f>
        <v>0</v>
      </c>
      <c r="BD1866" s="32" t="n">
        <f aca="false">SUM(P1866,R1866,T1866,V1866,X1866,Z1866,AB1866,AD1866,AF1866,AH1866,AJ1866,AL1866,AN1866,AP1866,AR1866,AT1866,AV1866,AX1866)</f>
        <v>1243.29</v>
      </c>
      <c r="BE1866" s="33" t="n">
        <f aca="false">AZ1866-BD1866</f>
        <v>0</v>
      </c>
      <c r="BF1866" s="34" t="n">
        <f aca="false">BD1866*M1866</f>
        <v>304606.05</v>
      </c>
      <c r="BG1866" s="35" t="n">
        <f aca="false">BA1866-BF1866</f>
        <v>-0.0499999999883585</v>
      </c>
      <c r="BH1866" s="19" t="str">
        <f aca="false">IF(BG1866=0,"",IF(BG1866&lt;&gt;BA1866,"erreur de calcul",IF(BD1866&lt;&gt;0,"pas de prix",IF(M1866&lt;&gt; 0,"pas de quantité","pas de prix, ni de quantité"))))</f>
        <v>erreur de calcul</v>
      </c>
      <c r="BI1866" s="19"/>
    </row>
    <row r="1867" customFormat="false" ht="15" hidden="false" customHeight="false" outlineLevel="0" collapsed="false">
      <c r="A1867" s="0" t="n">
        <v>33</v>
      </c>
      <c r="B1867" s="8" t="s">
        <v>24</v>
      </c>
      <c r="C1867" s="9" t="s">
        <v>25</v>
      </c>
      <c r="D1867" s="9" t="s">
        <v>26</v>
      </c>
      <c r="E1867" s="10" t="n">
        <v>1789</v>
      </c>
      <c r="F1867" s="9" t="s">
        <v>27</v>
      </c>
      <c r="G1867" s="9" t="s">
        <v>27</v>
      </c>
      <c r="H1867" s="11" t="n">
        <v>21</v>
      </c>
      <c r="I1867" s="11" t="s">
        <v>186</v>
      </c>
      <c r="J1867" s="14" t="n">
        <v>240</v>
      </c>
      <c r="K1867" s="14"/>
      <c r="L1867" s="16"/>
      <c r="M1867" s="27" t="n">
        <f aca="false">J1867+(K1867/20)+(L1867/240)</f>
        <v>240</v>
      </c>
      <c r="N1867" s="17" t="s">
        <v>64</v>
      </c>
      <c r="O1867" s="11"/>
      <c r="P1867" s="28"/>
      <c r="Q1867" s="28" t="n">
        <f aca="false">P1867*$M1867</f>
        <v>0</v>
      </c>
      <c r="R1867" s="28"/>
      <c r="S1867" s="28" t="n">
        <f aca="false">R1867*$M1867</f>
        <v>0</v>
      </c>
      <c r="T1867" s="28"/>
      <c r="U1867" s="28" t="n">
        <f aca="false">T1867*$M1867</f>
        <v>0</v>
      </c>
      <c r="V1867" s="28"/>
      <c r="W1867" s="28" t="n">
        <f aca="false">V1867*$M1867</f>
        <v>0</v>
      </c>
      <c r="X1867" s="28"/>
      <c r="Y1867" s="28" t="n">
        <f aca="false">X1867*$M1867</f>
        <v>0</v>
      </c>
      <c r="Z1867" s="28"/>
      <c r="AA1867" s="28" t="n">
        <f aca="false">Z1867*$M1867</f>
        <v>0</v>
      </c>
      <c r="AB1867" s="28"/>
      <c r="AC1867" s="28" t="n">
        <f aca="false">AB1867*$M1867</f>
        <v>0</v>
      </c>
      <c r="AD1867" s="28"/>
      <c r="AE1867" s="28" t="n">
        <f aca="false">AD1867*$M1867</f>
        <v>0</v>
      </c>
      <c r="AF1867" s="28"/>
      <c r="AG1867" s="28" t="n">
        <f aca="false">AF1867*$M1867</f>
        <v>0</v>
      </c>
      <c r="AH1867" s="28" t="n">
        <f aca="false">803/100</f>
        <v>8.03</v>
      </c>
      <c r="AI1867" s="28" t="n">
        <v>1927</v>
      </c>
      <c r="AJ1867" s="28"/>
      <c r="AK1867" s="28" t="n">
        <f aca="false">AJ1867*$M1867</f>
        <v>0</v>
      </c>
      <c r="AL1867" s="28"/>
      <c r="AM1867" s="28" t="n">
        <f aca="false">AL1867*$M1867</f>
        <v>0</v>
      </c>
      <c r="AN1867" s="28"/>
      <c r="AO1867" s="28" t="n">
        <f aca="false">AN1867*$M1867</f>
        <v>0</v>
      </c>
      <c r="AP1867" s="28"/>
      <c r="AQ1867" s="28" t="n">
        <f aca="false">AP1867*$M1867</f>
        <v>0</v>
      </c>
      <c r="AR1867" s="28"/>
      <c r="AS1867" s="28" t="n">
        <f aca="false">AR1867*$M1867</f>
        <v>0</v>
      </c>
      <c r="AT1867" s="28"/>
      <c r="AU1867" s="28" t="n">
        <f aca="false">AT1867*$M1867</f>
        <v>0</v>
      </c>
      <c r="AV1867" s="28"/>
      <c r="AW1867" s="28" t="n">
        <f aca="false">AV1867*$M1867</f>
        <v>0</v>
      </c>
      <c r="AX1867" s="28"/>
      <c r="AY1867" s="28" t="n">
        <f aca="false">AX1867*$M1867</f>
        <v>0</v>
      </c>
      <c r="AZ1867" s="30" t="n">
        <f aca="false">803/100</f>
        <v>8.03</v>
      </c>
      <c r="BA1867" s="11" t="n">
        <v>1927</v>
      </c>
      <c r="BB1867" s="31" t="n">
        <f aca="false">SUM(Q1867,S1867,U1867,W1867,Y1867,AA1867,AC1867,AE1867,AG1867,AI1867,AK1867,AM1867,AO1867,AQ1867,AS1867,AU1867,AW1867,AY1867)</f>
        <v>1927</v>
      </c>
      <c r="BC1867" s="28" t="n">
        <f aca="false">BA1867-BB1867</f>
        <v>0</v>
      </c>
      <c r="BD1867" s="32" t="n">
        <f aca="false">SUM(P1867,R1867,T1867,V1867,X1867,Z1867,AB1867,AD1867,AF1867,AH1867,AJ1867,AL1867,AN1867,AP1867,AR1867,AT1867,AV1867,AX1867)</f>
        <v>8.03</v>
      </c>
      <c r="BE1867" s="33" t="n">
        <f aca="false">AZ1867-BD1867</f>
        <v>0</v>
      </c>
      <c r="BF1867" s="34" t="n">
        <f aca="false">BD1867*M1867</f>
        <v>1927.2</v>
      </c>
      <c r="BG1867" s="35" t="n">
        <f aca="false">BA1867-BF1867</f>
        <v>-0.199999999999818</v>
      </c>
      <c r="BH1867" s="19" t="str">
        <f aca="false">IF(BG1867=0,"",IF(BG1867&lt;&gt;BA1867,"erreur de calcul",IF(BD1867&lt;&gt;0,"pas de prix",IF(M1867&lt;&gt; 0,"pas de quantité","pas de prix, ni de quantité"))))</f>
        <v>erreur de calcul</v>
      </c>
      <c r="BI1867" s="19"/>
    </row>
    <row r="1868" customFormat="false" ht="15" hidden="false" customHeight="false" outlineLevel="0" collapsed="false">
      <c r="A1868" s="0" t="n">
        <v>34</v>
      </c>
      <c r="B1868" s="8" t="s">
        <v>24</v>
      </c>
      <c r="C1868" s="9" t="s">
        <v>25</v>
      </c>
      <c r="D1868" s="9" t="s">
        <v>26</v>
      </c>
      <c r="E1868" s="10" t="n">
        <v>1789</v>
      </c>
      <c r="F1868" s="9" t="s">
        <v>27</v>
      </c>
      <c r="G1868" s="9" t="s">
        <v>27</v>
      </c>
      <c r="H1868" s="11" t="n">
        <v>21</v>
      </c>
      <c r="I1868" s="11" t="s">
        <v>187</v>
      </c>
      <c r="J1868" s="14" t="n">
        <v>45</v>
      </c>
      <c r="K1868" s="14"/>
      <c r="L1868" s="16"/>
      <c r="M1868" s="27" t="n">
        <f aca="false">J1868+(K1868/20)+(L1868/240)</f>
        <v>45</v>
      </c>
      <c r="N1868" s="17" t="s">
        <v>64</v>
      </c>
      <c r="O1868" s="11"/>
      <c r="P1868" s="28" t="n">
        <f aca="false">8827/100</f>
        <v>88.27</v>
      </c>
      <c r="Q1868" s="28" t="n">
        <v>3972</v>
      </c>
      <c r="R1868" s="28"/>
      <c r="S1868" s="28" t="n">
        <f aca="false">R1868*$M1868</f>
        <v>0</v>
      </c>
      <c r="T1868" s="28"/>
      <c r="U1868" s="28" t="n">
        <f aca="false">T1868*$M1868</f>
        <v>0</v>
      </c>
      <c r="V1868" s="28" t="n">
        <f aca="false">8951/100</f>
        <v>89.51</v>
      </c>
      <c r="W1868" s="28" t="n">
        <v>4028</v>
      </c>
      <c r="X1868" s="28" t="n">
        <f aca="false">49106/100</f>
        <v>491.06</v>
      </c>
      <c r="Y1868" s="28" t="n">
        <v>22098</v>
      </c>
      <c r="Z1868" s="28"/>
      <c r="AA1868" s="28" t="n">
        <f aca="false">Z1868*$M1868</f>
        <v>0</v>
      </c>
      <c r="AB1868" s="28" t="n">
        <f aca="false">313412/100</f>
        <v>3134.12</v>
      </c>
      <c r="AC1868" s="28" t="n">
        <v>141035</v>
      </c>
      <c r="AD1868" s="28"/>
      <c r="AE1868" s="28" t="n">
        <f aca="false">AD1868*$M1868</f>
        <v>0</v>
      </c>
      <c r="AF1868" s="28"/>
      <c r="AG1868" s="28" t="n">
        <f aca="false">AF1868*$M1868</f>
        <v>0</v>
      </c>
      <c r="AH1868" s="28"/>
      <c r="AI1868" s="28" t="n">
        <f aca="false">AH1868*$M1868</f>
        <v>0</v>
      </c>
      <c r="AJ1868" s="28"/>
      <c r="AK1868" s="28" t="n">
        <f aca="false">AJ1868*$M1868</f>
        <v>0</v>
      </c>
      <c r="AL1868" s="28"/>
      <c r="AM1868" s="28" t="n">
        <f aca="false">AL1868*$M1868</f>
        <v>0</v>
      </c>
      <c r="AN1868" s="28"/>
      <c r="AO1868" s="28" t="n">
        <f aca="false">AN1868*$M1868</f>
        <v>0</v>
      </c>
      <c r="AP1868" s="28"/>
      <c r="AQ1868" s="28" t="n">
        <f aca="false">AP1868*$M1868</f>
        <v>0</v>
      </c>
      <c r="AR1868" s="28"/>
      <c r="AS1868" s="28" t="n">
        <f aca="false">AR1868*$M1868</f>
        <v>0</v>
      </c>
      <c r="AT1868" s="28"/>
      <c r="AU1868" s="28" t="n">
        <f aca="false">AT1868*$M1868</f>
        <v>0</v>
      </c>
      <c r="AV1868" s="28"/>
      <c r="AW1868" s="28" t="n">
        <f aca="false">AV1868*$M1868</f>
        <v>0</v>
      </c>
      <c r="AX1868" s="28"/>
      <c r="AY1868" s="28" t="n">
        <f aca="false">AX1868*$M1868</f>
        <v>0</v>
      </c>
      <c r="AZ1868" s="30" t="n">
        <f aca="false">380296/100</f>
        <v>3802.96</v>
      </c>
      <c r="BA1868" s="11" t="n">
        <v>171133</v>
      </c>
      <c r="BB1868" s="31" t="n">
        <f aca="false">SUM(Q1868,S1868,U1868,W1868,Y1868,AA1868,AC1868,AE1868,AG1868,AI1868,AK1868,AM1868,AO1868,AQ1868,AS1868,AU1868,AW1868,AY1868)</f>
        <v>171133</v>
      </c>
      <c r="BC1868" s="28" t="n">
        <f aca="false">BA1868-BB1868</f>
        <v>0</v>
      </c>
      <c r="BD1868" s="32" t="n">
        <f aca="false">SUM(P1868,R1868,T1868,V1868,X1868,Z1868,AB1868,AD1868,AF1868,AH1868,AJ1868,AL1868,AN1868,AP1868,AR1868,AT1868,AV1868,AX1868)</f>
        <v>3802.96</v>
      </c>
      <c r="BE1868" s="33" t="n">
        <f aca="false">AZ1868-BD1868</f>
        <v>0</v>
      </c>
      <c r="BF1868" s="34" t="n">
        <f aca="false">BD1868*M1868</f>
        <v>171133.2</v>
      </c>
      <c r="BG1868" s="35" t="n">
        <f aca="false">BA1868-BF1868</f>
        <v>-0.200000000011642</v>
      </c>
      <c r="BH1868" s="19" t="str">
        <f aca="false">IF(BG1868=0,"",IF(BG1868&lt;&gt;BA1868,"erreur de calcul",IF(BD1868&lt;&gt;0,"pas de prix",IF(M1868&lt;&gt; 0,"pas de quantité","pas de prix, ni de quantité"))))</f>
        <v>erreur de calcul</v>
      </c>
      <c r="BI1868" s="19"/>
    </row>
    <row r="1869" customFormat="false" ht="15" hidden="false" customHeight="false" outlineLevel="0" collapsed="false">
      <c r="A1869" s="0" t="n">
        <v>35</v>
      </c>
      <c r="B1869" s="8" t="s">
        <v>24</v>
      </c>
      <c r="C1869" s="9" t="s">
        <v>25</v>
      </c>
      <c r="D1869" s="9" t="s">
        <v>26</v>
      </c>
      <c r="E1869" s="10" t="n">
        <v>1789</v>
      </c>
      <c r="F1869" s="9" t="s">
        <v>27</v>
      </c>
      <c r="G1869" s="9" t="s">
        <v>27</v>
      </c>
      <c r="H1869" s="11" t="n">
        <v>21</v>
      </c>
      <c r="I1869" s="11" t="s">
        <v>188</v>
      </c>
      <c r="J1869" s="14" t="n">
        <v>60</v>
      </c>
      <c r="K1869" s="14"/>
      <c r="L1869" s="16"/>
      <c r="M1869" s="27" t="n">
        <f aca="false">J1869+(K1869/20)+(L1869/240)</f>
        <v>60</v>
      </c>
      <c r="N1869" s="17" t="s">
        <v>64</v>
      </c>
      <c r="O1869" s="11"/>
      <c r="P1869" s="28"/>
      <c r="Q1869" s="28" t="n">
        <f aca="false">P1869*$M1869</f>
        <v>0</v>
      </c>
      <c r="R1869" s="28"/>
      <c r="S1869" s="28" t="n">
        <f aca="false">R1869*$M1869</f>
        <v>0</v>
      </c>
      <c r="T1869" s="28"/>
      <c r="U1869" s="28" t="n">
        <f aca="false">T1869*$M1869</f>
        <v>0</v>
      </c>
      <c r="V1869" s="28"/>
      <c r="W1869" s="28" t="n">
        <f aca="false">V1869*$M1869</f>
        <v>0</v>
      </c>
      <c r="X1869" s="28"/>
      <c r="Y1869" s="28" t="n">
        <f aca="false">X1869*$M1869</f>
        <v>0</v>
      </c>
      <c r="Z1869" s="28"/>
      <c r="AA1869" s="28" t="n">
        <f aca="false">Z1869*$M1869</f>
        <v>0</v>
      </c>
      <c r="AB1869" s="28"/>
      <c r="AC1869" s="28" t="n">
        <f aca="false">AB1869*$M1869</f>
        <v>0</v>
      </c>
      <c r="AD1869" s="28"/>
      <c r="AE1869" s="28" t="n">
        <f aca="false">AD1869*$M1869</f>
        <v>0</v>
      </c>
      <c r="AF1869" s="28"/>
      <c r="AG1869" s="28" t="n">
        <f aca="false">AF1869*$M1869</f>
        <v>0</v>
      </c>
      <c r="AH1869" s="28" t="n">
        <f aca="false">6391/100</f>
        <v>63.91</v>
      </c>
      <c r="AI1869" s="28" t="n">
        <v>3835</v>
      </c>
      <c r="AJ1869" s="28"/>
      <c r="AK1869" s="28" t="n">
        <f aca="false">AJ1869*$M1869</f>
        <v>0</v>
      </c>
      <c r="AL1869" s="28"/>
      <c r="AM1869" s="28" t="n">
        <f aca="false">AL1869*$M1869</f>
        <v>0</v>
      </c>
      <c r="AN1869" s="28"/>
      <c r="AO1869" s="28" t="n">
        <f aca="false">AN1869*$M1869</f>
        <v>0</v>
      </c>
      <c r="AP1869" s="28"/>
      <c r="AQ1869" s="28" t="n">
        <f aca="false">AP1869*$M1869</f>
        <v>0</v>
      </c>
      <c r="AR1869" s="28"/>
      <c r="AS1869" s="28" t="n">
        <f aca="false">AR1869*$M1869</f>
        <v>0</v>
      </c>
      <c r="AT1869" s="28"/>
      <c r="AU1869" s="28" t="n">
        <f aca="false">AT1869*$M1869</f>
        <v>0</v>
      </c>
      <c r="AV1869" s="28"/>
      <c r="AW1869" s="28" t="n">
        <f aca="false">AV1869*$M1869</f>
        <v>0</v>
      </c>
      <c r="AX1869" s="28"/>
      <c r="AY1869" s="28" t="n">
        <f aca="false">AX1869*$M1869</f>
        <v>0</v>
      </c>
      <c r="AZ1869" s="30" t="n">
        <f aca="false">6391/100</f>
        <v>63.91</v>
      </c>
      <c r="BA1869" s="11" t="n">
        <v>3835</v>
      </c>
      <c r="BB1869" s="31" t="n">
        <f aca="false">SUM(Q1869,S1869,U1869,W1869,Y1869,AA1869,AC1869,AE1869,AG1869,AI1869,AK1869,AM1869,AO1869,AQ1869,AS1869,AU1869,AW1869,AY1869)</f>
        <v>3835</v>
      </c>
      <c r="BC1869" s="28" t="n">
        <f aca="false">BA1869-BB1869</f>
        <v>0</v>
      </c>
      <c r="BD1869" s="32" t="n">
        <f aca="false">SUM(P1869,R1869,T1869,V1869,X1869,Z1869,AB1869,AD1869,AF1869,AH1869,AJ1869,AL1869,AN1869,AP1869,AR1869,AT1869,AV1869,AX1869)</f>
        <v>63.91</v>
      </c>
      <c r="BE1869" s="33" t="n">
        <f aca="false">AZ1869-BD1869</f>
        <v>0</v>
      </c>
      <c r="BF1869" s="34" t="n">
        <f aca="false">BD1869*M1869</f>
        <v>3834.6</v>
      </c>
      <c r="BG1869" s="35" t="n">
        <f aca="false">BA1869-BF1869</f>
        <v>0.400000000000091</v>
      </c>
      <c r="BH1869" s="19" t="str">
        <f aca="false">IF(BG1869=0,"",IF(BG1869&lt;&gt;BA1869,"erreur de calcul",IF(BD1869&lt;&gt;0,"pas de prix",IF(M1869&lt;&gt; 0,"pas de quantité","pas de prix, ni de quantité"))))</f>
        <v>erreur de calcul</v>
      </c>
      <c r="BI1869" s="19"/>
    </row>
    <row r="1870" customFormat="false" ht="15" hidden="false" customHeight="false" outlineLevel="0" collapsed="false">
      <c r="A1870" s="0" t="n">
        <v>36</v>
      </c>
      <c r="B1870" s="8" t="s">
        <v>24</v>
      </c>
      <c r="C1870" s="9" t="s">
        <v>25</v>
      </c>
      <c r="D1870" s="9" t="s">
        <v>26</v>
      </c>
      <c r="E1870" s="10" t="n">
        <v>1789</v>
      </c>
      <c r="F1870" s="9" t="s">
        <v>27</v>
      </c>
      <c r="G1870" s="9" t="s">
        <v>27</v>
      </c>
      <c r="H1870" s="11" t="n">
        <v>21</v>
      </c>
      <c r="I1870" s="11" t="s">
        <v>189</v>
      </c>
      <c r="J1870" s="14" t="n">
        <v>30</v>
      </c>
      <c r="K1870" s="14"/>
      <c r="L1870" s="16"/>
      <c r="M1870" s="27" t="n">
        <f aca="false">J1870+(K1870/20)+(L1870/240)</f>
        <v>30</v>
      </c>
      <c r="N1870" s="17" t="s">
        <v>66</v>
      </c>
      <c r="O1870" s="11"/>
      <c r="P1870" s="28"/>
      <c r="Q1870" s="28" t="n">
        <f aca="false">P1870*$M1870</f>
        <v>0</v>
      </c>
      <c r="R1870" s="28"/>
      <c r="S1870" s="28" t="n">
        <f aca="false">R1870*$M1870</f>
        <v>0</v>
      </c>
      <c r="T1870" s="28"/>
      <c r="U1870" s="28" t="n">
        <f aca="false">T1870*$M1870</f>
        <v>0</v>
      </c>
      <c r="V1870" s="28" t="n">
        <v>146</v>
      </c>
      <c r="W1870" s="28" t="n">
        <v>4380</v>
      </c>
      <c r="X1870" s="28"/>
      <c r="Y1870" s="28" t="n">
        <f aca="false">X1870*$M1870</f>
        <v>0</v>
      </c>
      <c r="Z1870" s="28"/>
      <c r="AA1870" s="28" t="n">
        <f aca="false">Z1870*$M1870</f>
        <v>0</v>
      </c>
      <c r="AB1870" s="28"/>
      <c r="AC1870" s="28" t="n">
        <f aca="false">AB1870*$M1870</f>
        <v>0</v>
      </c>
      <c r="AD1870" s="28"/>
      <c r="AE1870" s="28" t="n">
        <f aca="false">AD1870*$M1870</f>
        <v>0</v>
      </c>
      <c r="AF1870" s="28"/>
      <c r="AG1870" s="28" t="n">
        <f aca="false">AF1870*$M1870</f>
        <v>0</v>
      </c>
      <c r="AH1870" s="28"/>
      <c r="AI1870" s="28" t="n">
        <f aca="false">AH1870*$M1870</f>
        <v>0</v>
      </c>
      <c r="AJ1870" s="28"/>
      <c r="AK1870" s="28" t="n">
        <f aca="false">AJ1870*$M1870</f>
        <v>0</v>
      </c>
      <c r="AL1870" s="28"/>
      <c r="AM1870" s="28" t="n">
        <f aca="false">AL1870*$M1870</f>
        <v>0</v>
      </c>
      <c r="AN1870" s="28"/>
      <c r="AO1870" s="28" t="n">
        <f aca="false">AN1870*$M1870</f>
        <v>0</v>
      </c>
      <c r="AP1870" s="28"/>
      <c r="AQ1870" s="28" t="n">
        <f aca="false">AP1870*$M1870</f>
        <v>0</v>
      </c>
      <c r="AR1870" s="28"/>
      <c r="AS1870" s="28" t="n">
        <f aca="false">AR1870*$M1870</f>
        <v>0</v>
      </c>
      <c r="AT1870" s="28"/>
      <c r="AU1870" s="28" t="n">
        <f aca="false">AT1870*$M1870</f>
        <v>0</v>
      </c>
      <c r="AV1870" s="28"/>
      <c r="AW1870" s="28" t="n">
        <f aca="false">AV1870*$M1870</f>
        <v>0</v>
      </c>
      <c r="AX1870" s="28"/>
      <c r="AY1870" s="28" t="n">
        <f aca="false">AX1870*$M1870</f>
        <v>0</v>
      </c>
      <c r="AZ1870" s="30" t="n">
        <v>146</v>
      </c>
      <c r="BA1870" s="11" t="n">
        <v>4380</v>
      </c>
      <c r="BB1870" s="31" t="n">
        <f aca="false">SUM(Q1870,S1870,U1870,W1870,Y1870,AA1870,AC1870,AE1870,AG1870,AI1870,AK1870,AM1870,AO1870,AQ1870,AS1870,AU1870,AW1870,AY1870)</f>
        <v>4380</v>
      </c>
      <c r="BC1870" s="28" t="n">
        <f aca="false">BA1870-BB1870</f>
        <v>0</v>
      </c>
      <c r="BD1870" s="32" t="n">
        <f aca="false">SUM(P1870,R1870,T1870,V1870,X1870,Z1870,AB1870,AD1870,AF1870,AH1870,AJ1870,AL1870,AN1870,AP1870,AR1870,AT1870,AV1870,AX1870)</f>
        <v>146</v>
      </c>
      <c r="BE1870" s="33" t="n">
        <f aca="false">AZ1870-BD1870</f>
        <v>0</v>
      </c>
      <c r="BF1870" s="34" t="n">
        <f aca="false">BD1870*M1870</f>
        <v>4380</v>
      </c>
      <c r="BG1870" s="35" t="n">
        <f aca="false">BA1870-BF1870</f>
        <v>0</v>
      </c>
      <c r="BH1870" s="19" t="str">
        <f aca="false">IF(BG1870=0,"",IF(BG1870&lt;&gt;BA1870,"erreur de calcul",IF(BD1870&lt;&gt;0,"pas de prix",IF(M1870&lt;&gt; 0,"pas de quantité","pas de prix, ni de quantité"))))</f>
        <v/>
      </c>
      <c r="BI1870" s="19"/>
    </row>
    <row r="1871" customFormat="false" ht="15" hidden="false" customHeight="false" outlineLevel="0" collapsed="false">
      <c r="A1871" s="0" t="n">
        <v>37</v>
      </c>
      <c r="B1871" s="8" t="s">
        <v>24</v>
      </c>
      <c r="C1871" s="9" t="s">
        <v>25</v>
      </c>
      <c r="D1871" s="9" t="s">
        <v>26</v>
      </c>
      <c r="E1871" s="10" t="n">
        <v>1789</v>
      </c>
      <c r="F1871" s="9" t="s">
        <v>27</v>
      </c>
      <c r="G1871" s="9" t="s">
        <v>27</v>
      </c>
      <c r="H1871" s="11" t="n">
        <v>21</v>
      </c>
      <c r="I1871" s="11" t="s">
        <v>190</v>
      </c>
      <c r="J1871" s="14" t="n">
        <v>3</v>
      </c>
      <c r="K1871" s="14"/>
      <c r="L1871" s="16"/>
      <c r="M1871" s="27" t="n">
        <f aca="false">J1871+(K1871/20)+(L1871/240)</f>
        <v>3</v>
      </c>
      <c r="N1871" s="17" t="s">
        <v>66</v>
      </c>
      <c r="O1871" s="11"/>
      <c r="P1871" s="28"/>
      <c r="Q1871" s="28" t="n">
        <f aca="false">P1871*$M1871</f>
        <v>0</v>
      </c>
      <c r="R1871" s="28"/>
      <c r="S1871" s="28" t="n">
        <f aca="false">R1871*$M1871</f>
        <v>0</v>
      </c>
      <c r="T1871" s="28"/>
      <c r="U1871" s="28" t="n">
        <f aca="false">T1871*$M1871</f>
        <v>0</v>
      </c>
      <c r="V1871" s="28" t="n">
        <v>284</v>
      </c>
      <c r="W1871" s="28" t="n">
        <v>852</v>
      </c>
      <c r="X1871" s="28" t="n">
        <v>8028</v>
      </c>
      <c r="Y1871" s="28" t="n">
        <v>24084</v>
      </c>
      <c r="Z1871" s="28"/>
      <c r="AA1871" s="28" t="n">
        <f aca="false">Z1871*$M1871</f>
        <v>0</v>
      </c>
      <c r="AB1871" s="28"/>
      <c r="AC1871" s="28" t="n">
        <f aca="false">AB1871*$M1871</f>
        <v>0</v>
      </c>
      <c r="AD1871" s="28"/>
      <c r="AE1871" s="28" t="n">
        <f aca="false">AD1871*$M1871</f>
        <v>0</v>
      </c>
      <c r="AF1871" s="28"/>
      <c r="AG1871" s="28" t="n">
        <f aca="false">AF1871*$M1871</f>
        <v>0</v>
      </c>
      <c r="AH1871" s="28"/>
      <c r="AI1871" s="28" t="n">
        <f aca="false">AH1871*$M1871</f>
        <v>0</v>
      </c>
      <c r="AJ1871" s="28"/>
      <c r="AK1871" s="28" t="n">
        <f aca="false">AJ1871*$M1871</f>
        <v>0</v>
      </c>
      <c r="AL1871" s="28" t="n">
        <v>2127</v>
      </c>
      <c r="AM1871" s="28" t="n">
        <v>6381</v>
      </c>
      <c r="AN1871" s="28"/>
      <c r="AO1871" s="28" t="n">
        <f aca="false">AN1871*$M1871</f>
        <v>0</v>
      </c>
      <c r="AP1871" s="28"/>
      <c r="AQ1871" s="28" t="n">
        <f aca="false">AP1871*$M1871</f>
        <v>0</v>
      </c>
      <c r="AR1871" s="28"/>
      <c r="AS1871" s="28" t="n">
        <f aca="false">AR1871*$M1871</f>
        <v>0</v>
      </c>
      <c r="AT1871" s="28"/>
      <c r="AU1871" s="28" t="n">
        <f aca="false">AT1871*$M1871</f>
        <v>0</v>
      </c>
      <c r="AV1871" s="28"/>
      <c r="AW1871" s="28" t="n">
        <f aca="false">AV1871*$M1871</f>
        <v>0</v>
      </c>
      <c r="AX1871" s="28"/>
      <c r="AY1871" s="28" t="n">
        <f aca="false">AX1871*$M1871</f>
        <v>0</v>
      </c>
      <c r="AZ1871" s="30" t="n">
        <v>10439</v>
      </c>
      <c r="BA1871" s="11" t="n">
        <v>31317</v>
      </c>
      <c r="BB1871" s="31" t="n">
        <f aca="false">SUM(Q1871,S1871,U1871,W1871,Y1871,AA1871,AC1871,AE1871,AG1871,AI1871,AK1871,AM1871,AO1871,AQ1871,AS1871,AU1871,AW1871,AY1871)</f>
        <v>31317</v>
      </c>
      <c r="BC1871" s="28" t="n">
        <f aca="false">BA1871-BB1871</f>
        <v>0</v>
      </c>
      <c r="BD1871" s="32" t="n">
        <f aca="false">SUM(P1871,R1871,T1871,V1871,X1871,Z1871,AB1871,AD1871,AF1871,AH1871,AJ1871,AL1871,AN1871,AP1871,AR1871,AT1871,AV1871,AX1871)</f>
        <v>10439</v>
      </c>
      <c r="BE1871" s="33" t="n">
        <f aca="false">AZ1871-BD1871</f>
        <v>0</v>
      </c>
      <c r="BF1871" s="34" t="n">
        <f aca="false">BD1871*M1871</f>
        <v>31317</v>
      </c>
      <c r="BG1871" s="35" t="n">
        <f aca="false">BA1871-BF1871</f>
        <v>0</v>
      </c>
      <c r="BH1871" s="19" t="str">
        <f aca="false">IF(BG1871=0,"",IF(BG1871&lt;&gt;BA1871,"erreur de calcul",IF(BD1871&lt;&gt;0,"pas de prix",IF(M1871&lt;&gt; 0,"pas de quantité","pas de prix, ni de quantité"))))</f>
        <v/>
      </c>
      <c r="BI1871" s="19"/>
    </row>
    <row r="1872" customFormat="false" ht="15" hidden="false" customHeight="false" outlineLevel="0" collapsed="false">
      <c r="A1872" s="0" t="n">
        <v>38</v>
      </c>
      <c r="B1872" s="8" t="s">
        <v>24</v>
      </c>
      <c r="C1872" s="9" t="s">
        <v>25</v>
      </c>
      <c r="D1872" s="9" t="s">
        <v>26</v>
      </c>
      <c r="E1872" s="10" t="n">
        <v>1789</v>
      </c>
      <c r="F1872" s="9" t="s">
        <v>27</v>
      </c>
      <c r="G1872" s="9" t="s">
        <v>27</v>
      </c>
      <c r="H1872" s="11" t="n">
        <v>21</v>
      </c>
      <c r="I1872" s="11" t="s">
        <v>191</v>
      </c>
      <c r="J1872" s="14" t="n">
        <v>25</v>
      </c>
      <c r="K1872" s="14"/>
      <c r="L1872" s="16"/>
      <c r="M1872" s="27" t="n">
        <f aca="false">J1872+(K1872/20)+(L1872/240)</f>
        <v>25</v>
      </c>
      <c r="N1872" s="17" t="s">
        <v>64</v>
      </c>
      <c r="O1872" s="11"/>
      <c r="P1872" s="28"/>
      <c r="Q1872" s="28" t="n">
        <f aca="false">P1872*$M1872</f>
        <v>0</v>
      </c>
      <c r="R1872" s="28"/>
      <c r="S1872" s="28" t="n">
        <f aca="false">R1872*$M1872</f>
        <v>0</v>
      </c>
      <c r="T1872" s="28"/>
      <c r="U1872" s="28" t="n">
        <f aca="false">T1872*$M1872</f>
        <v>0</v>
      </c>
      <c r="V1872" s="28"/>
      <c r="W1872" s="28" t="n">
        <f aca="false">V1872*$M1872</f>
        <v>0</v>
      </c>
      <c r="X1872" s="28" t="n">
        <f aca="false">5034/100</f>
        <v>50.34</v>
      </c>
      <c r="Y1872" s="28" t="n">
        <v>1258</v>
      </c>
      <c r="Z1872" s="28"/>
      <c r="AA1872" s="28" t="n">
        <f aca="false">Z1872*$M1872</f>
        <v>0</v>
      </c>
      <c r="AB1872" s="28"/>
      <c r="AC1872" s="28" t="n">
        <f aca="false">AB1872*$M1872</f>
        <v>0</v>
      </c>
      <c r="AD1872" s="28"/>
      <c r="AE1872" s="28" t="n">
        <f aca="false">AD1872*$M1872</f>
        <v>0</v>
      </c>
      <c r="AF1872" s="28"/>
      <c r="AG1872" s="28" t="n">
        <f aca="false">AF1872*$M1872</f>
        <v>0</v>
      </c>
      <c r="AH1872" s="28"/>
      <c r="AI1872" s="28" t="n">
        <f aca="false">AH1872*$M1872</f>
        <v>0</v>
      </c>
      <c r="AJ1872" s="28" t="n">
        <f aca="false">1375/100</f>
        <v>13.75</v>
      </c>
      <c r="AK1872" s="28" t="n">
        <v>344</v>
      </c>
      <c r="AL1872" s="28" t="n">
        <f aca="false">6710/100</f>
        <v>67.1</v>
      </c>
      <c r="AM1872" s="28" t="n">
        <v>1677</v>
      </c>
      <c r="AN1872" s="28"/>
      <c r="AO1872" s="28" t="n">
        <f aca="false">AN1872*$M1872</f>
        <v>0</v>
      </c>
      <c r="AP1872" s="28"/>
      <c r="AQ1872" s="28" t="n">
        <f aca="false">AP1872*$M1872</f>
        <v>0</v>
      </c>
      <c r="AR1872" s="28"/>
      <c r="AS1872" s="28" t="n">
        <f aca="false">AR1872*$M1872</f>
        <v>0</v>
      </c>
      <c r="AT1872" s="28"/>
      <c r="AU1872" s="28" t="n">
        <f aca="false">AT1872*$M1872</f>
        <v>0</v>
      </c>
      <c r="AV1872" s="28"/>
      <c r="AW1872" s="28" t="n">
        <f aca="false">AV1872*$M1872</f>
        <v>0</v>
      </c>
      <c r="AX1872" s="28"/>
      <c r="AY1872" s="28" t="n">
        <f aca="false">AX1872*$M1872</f>
        <v>0</v>
      </c>
      <c r="AZ1872" s="30" t="n">
        <f aca="false">13119/100</f>
        <v>131.19</v>
      </c>
      <c r="BA1872" s="11" t="n">
        <v>3279</v>
      </c>
      <c r="BB1872" s="31" t="n">
        <f aca="false">SUM(Q1872,S1872,U1872,W1872,Y1872,AA1872,AC1872,AE1872,AG1872,AI1872,AK1872,AM1872,AO1872,AQ1872,AS1872,AU1872,AW1872,AY1872)</f>
        <v>3279</v>
      </c>
      <c r="BC1872" s="28" t="n">
        <f aca="false">BA1872-BB1872</f>
        <v>0</v>
      </c>
      <c r="BD1872" s="32" t="n">
        <f aca="false">SUM(P1872,R1872,T1872,V1872,X1872,Z1872,AB1872,AD1872,AF1872,AH1872,AJ1872,AL1872,AN1872,AP1872,AR1872,AT1872,AV1872,AX1872)</f>
        <v>131.19</v>
      </c>
      <c r="BE1872" s="33" t="n">
        <f aca="false">AZ1872-BD1872</f>
        <v>0</v>
      </c>
      <c r="BF1872" s="34" t="n">
        <f aca="false">BD1872*M1872</f>
        <v>3279.75</v>
      </c>
      <c r="BG1872" s="35" t="n">
        <f aca="false">BA1872-BF1872</f>
        <v>-0.75</v>
      </c>
      <c r="BH1872" s="19" t="str">
        <f aca="false">IF(BG1872=0,"",IF(BG1872&lt;&gt;BA1872,"erreur de calcul",IF(BD1872&lt;&gt;0,"pas de prix",IF(M1872&lt;&gt; 0,"pas de quantité","pas de prix, ni de quantité"))))</f>
        <v>erreur de calcul</v>
      </c>
      <c r="BI1872" s="19"/>
    </row>
    <row r="1873" customFormat="false" ht="15" hidden="false" customHeight="false" outlineLevel="0" collapsed="false">
      <c r="A1873" s="0" t="n">
        <v>39</v>
      </c>
      <c r="B1873" s="8" t="s">
        <v>24</v>
      </c>
      <c r="C1873" s="9" t="s">
        <v>25</v>
      </c>
      <c r="D1873" s="9" t="s">
        <v>26</v>
      </c>
      <c r="E1873" s="10" t="n">
        <v>1789</v>
      </c>
      <c r="F1873" s="9" t="s">
        <v>27</v>
      </c>
      <c r="G1873" s="9" t="s">
        <v>27</v>
      </c>
      <c r="H1873" s="11" t="n">
        <v>21</v>
      </c>
      <c r="I1873" s="11" t="s">
        <v>192</v>
      </c>
      <c r="J1873" s="14" t="n">
        <v>25</v>
      </c>
      <c r="K1873" s="14"/>
      <c r="L1873" s="16"/>
      <c r="M1873" s="27" t="n">
        <f aca="false">J1873+(K1873/20)+(L1873/240)</f>
        <v>25</v>
      </c>
      <c r="N1873" s="17" t="s">
        <v>64</v>
      </c>
      <c r="O1873" s="11"/>
      <c r="P1873" s="28"/>
      <c r="Q1873" s="28" t="n">
        <f aca="false">P1873*$M1873</f>
        <v>0</v>
      </c>
      <c r="R1873" s="28"/>
      <c r="S1873" s="28" t="n">
        <f aca="false">R1873*$M1873</f>
        <v>0</v>
      </c>
      <c r="T1873" s="28"/>
      <c r="U1873" s="28" t="n">
        <f aca="false">T1873*$M1873</f>
        <v>0</v>
      </c>
      <c r="V1873" s="28"/>
      <c r="W1873" s="28" t="n">
        <f aca="false">V1873*$M1873</f>
        <v>0</v>
      </c>
      <c r="X1873" s="28" t="n">
        <f aca="false">5561/100</f>
        <v>55.61</v>
      </c>
      <c r="Y1873" s="28" t="n">
        <v>1390</v>
      </c>
      <c r="Z1873" s="28"/>
      <c r="AA1873" s="28" t="n">
        <f aca="false">Z1873*$M1873</f>
        <v>0</v>
      </c>
      <c r="AB1873" s="28"/>
      <c r="AC1873" s="28" t="n">
        <f aca="false">AB1873*$M1873</f>
        <v>0</v>
      </c>
      <c r="AD1873" s="28"/>
      <c r="AE1873" s="28" t="n">
        <f aca="false">AD1873*$M1873</f>
        <v>0</v>
      </c>
      <c r="AF1873" s="28"/>
      <c r="AG1873" s="28" t="n">
        <f aca="false">AF1873*$M1873</f>
        <v>0</v>
      </c>
      <c r="AH1873" s="28"/>
      <c r="AI1873" s="28" t="n">
        <f aca="false">AH1873*$M1873</f>
        <v>0</v>
      </c>
      <c r="AJ1873" s="28"/>
      <c r="AK1873" s="28" t="n">
        <f aca="false">AJ1873*$M1873</f>
        <v>0</v>
      </c>
      <c r="AL1873" s="28"/>
      <c r="AM1873" s="28" t="n">
        <f aca="false">AL1873*$M1873</f>
        <v>0</v>
      </c>
      <c r="AN1873" s="28"/>
      <c r="AO1873" s="28" t="n">
        <f aca="false">AN1873*$M1873</f>
        <v>0</v>
      </c>
      <c r="AP1873" s="28"/>
      <c r="AQ1873" s="28" t="n">
        <f aca="false">AP1873*$M1873</f>
        <v>0</v>
      </c>
      <c r="AR1873" s="28"/>
      <c r="AS1873" s="28" t="n">
        <f aca="false">AR1873*$M1873</f>
        <v>0</v>
      </c>
      <c r="AT1873" s="28"/>
      <c r="AU1873" s="28" t="n">
        <f aca="false">AT1873*$M1873</f>
        <v>0</v>
      </c>
      <c r="AV1873" s="28"/>
      <c r="AW1873" s="28" t="n">
        <f aca="false">AV1873*$M1873</f>
        <v>0</v>
      </c>
      <c r="AX1873" s="28"/>
      <c r="AY1873" s="28" t="n">
        <f aca="false">AX1873*$M1873</f>
        <v>0</v>
      </c>
      <c r="AZ1873" s="30" t="n">
        <f aca="false">5561/100</f>
        <v>55.61</v>
      </c>
      <c r="BA1873" s="11" t="n">
        <v>1390</v>
      </c>
      <c r="BB1873" s="31" t="n">
        <f aca="false">SUM(Q1873,S1873,U1873,W1873,Y1873,AA1873,AC1873,AE1873,AG1873,AI1873,AK1873,AM1873,AO1873,AQ1873,AS1873,AU1873,AW1873,AY1873)</f>
        <v>1390</v>
      </c>
      <c r="BC1873" s="28" t="n">
        <f aca="false">BA1873-BB1873</f>
        <v>0</v>
      </c>
      <c r="BD1873" s="32" t="n">
        <f aca="false">SUM(P1873,R1873,T1873,V1873,X1873,Z1873,AB1873,AD1873,AF1873,AH1873,AJ1873,AL1873,AN1873,AP1873,AR1873,AT1873,AV1873,AX1873)</f>
        <v>55.61</v>
      </c>
      <c r="BE1873" s="33" t="n">
        <f aca="false">AZ1873-BD1873</f>
        <v>0</v>
      </c>
      <c r="BF1873" s="34" t="n">
        <f aca="false">BD1873*M1873</f>
        <v>1390.25</v>
      </c>
      <c r="BG1873" s="35" t="n">
        <f aca="false">BA1873-BF1873</f>
        <v>-0.25</v>
      </c>
      <c r="BH1873" s="19" t="str">
        <f aca="false">IF(BG1873=0,"",IF(BG1873&lt;&gt;BA1873,"erreur de calcul",IF(BD1873&lt;&gt;0,"pas de prix",IF(M1873&lt;&gt; 0,"pas de quantité","pas de prix, ni de quantité"))))</f>
        <v>erreur de calcul</v>
      </c>
      <c r="BI1873" s="19"/>
    </row>
    <row r="1874" customFormat="false" ht="15" hidden="false" customHeight="false" outlineLevel="0" collapsed="false">
      <c r="A1874" s="0" t="n">
        <v>40</v>
      </c>
      <c r="B1874" s="8" t="s">
        <v>24</v>
      </c>
      <c r="C1874" s="9" t="s">
        <v>25</v>
      </c>
      <c r="D1874" s="9" t="s">
        <v>26</v>
      </c>
      <c r="E1874" s="10" t="n">
        <v>1789</v>
      </c>
      <c r="F1874" s="9" t="s">
        <v>27</v>
      </c>
      <c r="G1874" s="9" t="s">
        <v>27</v>
      </c>
      <c r="H1874" s="11" t="n">
        <v>21</v>
      </c>
      <c r="I1874" s="11" t="s">
        <v>193</v>
      </c>
      <c r="J1874" s="14" t="n">
        <v>168</v>
      </c>
      <c r="K1874" s="14"/>
      <c r="L1874" s="16"/>
      <c r="M1874" s="27" t="n">
        <f aca="false">J1874+(K1874/20)+(L1874/240)</f>
        <v>168</v>
      </c>
      <c r="N1874" s="17" t="s">
        <v>64</v>
      </c>
      <c r="O1874" s="11"/>
      <c r="P1874" s="28"/>
      <c r="Q1874" s="28" t="n">
        <f aca="false">P1874*$M1874</f>
        <v>0</v>
      </c>
      <c r="R1874" s="28"/>
      <c r="S1874" s="28" t="n">
        <f aca="false">R1874*$M1874</f>
        <v>0</v>
      </c>
      <c r="T1874" s="28"/>
      <c r="U1874" s="28" t="n">
        <f aca="false">T1874*$M1874</f>
        <v>0</v>
      </c>
      <c r="V1874" s="28"/>
      <c r="W1874" s="28" t="n">
        <f aca="false">V1874*$M1874</f>
        <v>0</v>
      </c>
      <c r="X1874" s="28"/>
      <c r="Y1874" s="28" t="n">
        <f aca="false">X1874*$M1874</f>
        <v>0</v>
      </c>
      <c r="Z1874" s="28"/>
      <c r="AA1874" s="28" t="n">
        <f aca="false">Z1874*$M1874</f>
        <v>0</v>
      </c>
      <c r="AB1874" s="28"/>
      <c r="AC1874" s="28" t="n">
        <f aca="false">AB1874*$M1874</f>
        <v>0</v>
      </c>
      <c r="AD1874" s="28"/>
      <c r="AE1874" s="28" t="n">
        <f aca="false">AD1874*$M1874</f>
        <v>0</v>
      </c>
      <c r="AF1874" s="28"/>
      <c r="AG1874" s="28" t="n">
        <f aca="false">AF1874*$M1874</f>
        <v>0</v>
      </c>
      <c r="AH1874" s="28" t="n">
        <f aca="false">14590/100</f>
        <v>145.9</v>
      </c>
      <c r="AI1874" s="28" t="n">
        <v>24511</v>
      </c>
      <c r="AJ1874" s="28"/>
      <c r="AK1874" s="28" t="n">
        <f aca="false">AJ1874*$M1874</f>
        <v>0</v>
      </c>
      <c r="AL1874" s="28"/>
      <c r="AM1874" s="28" t="n">
        <f aca="false">AL1874*$M1874</f>
        <v>0</v>
      </c>
      <c r="AN1874" s="28"/>
      <c r="AO1874" s="28" t="n">
        <f aca="false">AN1874*$M1874</f>
        <v>0</v>
      </c>
      <c r="AP1874" s="28"/>
      <c r="AQ1874" s="28" t="n">
        <f aca="false">AP1874*$M1874</f>
        <v>0</v>
      </c>
      <c r="AR1874" s="28"/>
      <c r="AS1874" s="28" t="n">
        <f aca="false">AR1874*$M1874</f>
        <v>0</v>
      </c>
      <c r="AT1874" s="28"/>
      <c r="AU1874" s="28" t="n">
        <f aca="false">AT1874*$M1874</f>
        <v>0</v>
      </c>
      <c r="AV1874" s="28"/>
      <c r="AW1874" s="28" t="n">
        <f aca="false">AV1874*$M1874</f>
        <v>0</v>
      </c>
      <c r="AX1874" s="28"/>
      <c r="AY1874" s="28" t="n">
        <f aca="false">AX1874*$M1874</f>
        <v>0</v>
      </c>
      <c r="AZ1874" s="30" t="n">
        <f aca="false">14590/100</f>
        <v>145.9</v>
      </c>
      <c r="BA1874" s="11" t="n">
        <v>24511</v>
      </c>
      <c r="BB1874" s="31" t="n">
        <f aca="false">SUM(Q1874,S1874,U1874,W1874,Y1874,AA1874,AC1874,AE1874,AG1874,AI1874,AK1874,AM1874,AO1874,AQ1874,AS1874,AU1874,AW1874,AY1874)</f>
        <v>24511</v>
      </c>
      <c r="BC1874" s="28" t="n">
        <f aca="false">BA1874-BB1874</f>
        <v>0</v>
      </c>
      <c r="BD1874" s="32" t="n">
        <f aca="false">SUM(P1874,R1874,T1874,V1874,X1874,Z1874,AB1874,AD1874,AF1874,AH1874,AJ1874,AL1874,AN1874,AP1874,AR1874,AT1874,AV1874,AX1874)</f>
        <v>145.9</v>
      </c>
      <c r="BE1874" s="33" t="n">
        <f aca="false">AZ1874-BD1874</f>
        <v>0</v>
      </c>
      <c r="BF1874" s="34" t="n">
        <f aca="false">BD1874*M1874</f>
        <v>24511.2</v>
      </c>
      <c r="BG1874" s="35" t="n">
        <f aca="false">BA1874-BF1874</f>
        <v>-0.200000000000728</v>
      </c>
      <c r="BH1874" s="19" t="str">
        <f aca="false">IF(BG1874=0,"",IF(BG1874&lt;&gt;BA1874,"erreur de calcul",IF(BD1874&lt;&gt;0,"pas de prix",IF(M1874&lt;&gt; 0,"pas de quantité","pas de prix, ni de quantité"))))</f>
        <v>erreur de calcul</v>
      </c>
      <c r="BI1874" s="19"/>
    </row>
    <row r="1875" customFormat="false" ht="15" hidden="false" customHeight="false" outlineLevel="0" collapsed="false">
      <c r="A1875" s="0" t="n">
        <v>41</v>
      </c>
      <c r="B1875" s="8" t="s">
        <v>24</v>
      </c>
      <c r="C1875" s="9" t="s">
        <v>25</v>
      </c>
      <c r="D1875" s="9" t="s">
        <v>26</v>
      </c>
      <c r="E1875" s="10" t="n">
        <v>1789</v>
      </c>
      <c r="F1875" s="9" t="s">
        <v>27</v>
      </c>
      <c r="G1875" s="9" t="s">
        <v>27</v>
      </c>
      <c r="H1875" s="11" t="n">
        <v>21</v>
      </c>
      <c r="I1875" s="11" t="s">
        <v>194</v>
      </c>
      <c r="J1875" s="14" t="n">
        <v>120</v>
      </c>
      <c r="K1875" s="14"/>
      <c r="L1875" s="16"/>
      <c r="M1875" s="27" t="n">
        <f aca="false">J1875+(K1875/20)+(L1875/240)</f>
        <v>120</v>
      </c>
      <c r="N1875" s="17" t="s">
        <v>64</v>
      </c>
      <c r="O1875" s="11"/>
      <c r="P1875" s="28"/>
      <c r="Q1875" s="28" t="n">
        <f aca="false">P1875*$M1875</f>
        <v>0</v>
      </c>
      <c r="R1875" s="28"/>
      <c r="S1875" s="28" t="n">
        <f aca="false">R1875*$M1875</f>
        <v>0</v>
      </c>
      <c r="T1875" s="28"/>
      <c r="U1875" s="28" t="n">
        <f aca="false">T1875*$M1875</f>
        <v>0</v>
      </c>
      <c r="V1875" s="28"/>
      <c r="W1875" s="28" t="n">
        <f aca="false">V1875*$M1875</f>
        <v>0</v>
      </c>
      <c r="X1875" s="28"/>
      <c r="Y1875" s="28" t="n">
        <f aca="false">X1875*$M1875</f>
        <v>0</v>
      </c>
      <c r="Z1875" s="28"/>
      <c r="AA1875" s="28" t="n">
        <f aca="false">Z1875*$M1875</f>
        <v>0</v>
      </c>
      <c r="AB1875" s="28" t="n">
        <f aca="false">6930/100</f>
        <v>69.3</v>
      </c>
      <c r="AC1875" s="28" t="n">
        <v>8316</v>
      </c>
      <c r="AD1875" s="28"/>
      <c r="AE1875" s="28" t="n">
        <f aca="false">AD1875*$M1875</f>
        <v>0</v>
      </c>
      <c r="AF1875" s="28"/>
      <c r="AG1875" s="28" t="n">
        <f aca="false">AF1875*$M1875</f>
        <v>0</v>
      </c>
      <c r="AH1875" s="28"/>
      <c r="AI1875" s="28" t="n">
        <f aca="false">AH1875*$M1875</f>
        <v>0</v>
      </c>
      <c r="AJ1875" s="28"/>
      <c r="AK1875" s="28" t="n">
        <f aca="false">AJ1875*$M1875</f>
        <v>0</v>
      </c>
      <c r="AL1875" s="28"/>
      <c r="AM1875" s="28" t="n">
        <f aca="false">AL1875*$M1875</f>
        <v>0</v>
      </c>
      <c r="AN1875" s="28"/>
      <c r="AO1875" s="28" t="n">
        <f aca="false">AN1875*$M1875</f>
        <v>0</v>
      </c>
      <c r="AP1875" s="28"/>
      <c r="AQ1875" s="28" t="n">
        <f aca="false">AP1875*$M1875</f>
        <v>0</v>
      </c>
      <c r="AR1875" s="28"/>
      <c r="AS1875" s="28" t="n">
        <f aca="false">AR1875*$M1875</f>
        <v>0</v>
      </c>
      <c r="AT1875" s="28"/>
      <c r="AU1875" s="28" t="n">
        <f aca="false">AT1875*$M1875</f>
        <v>0</v>
      </c>
      <c r="AV1875" s="28"/>
      <c r="AW1875" s="28" t="n">
        <f aca="false">AV1875*$M1875</f>
        <v>0</v>
      </c>
      <c r="AX1875" s="28"/>
      <c r="AY1875" s="28" t="n">
        <f aca="false">AX1875*$M1875</f>
        <v>0</v>
      </c>
      <c r="AZ1875" s="30" t="n">
        <f aca="false">6930/100</f>
        <v>69.3</v>
      </c>
      <c r="BA1875" s="11" t="n">
        <v>8316</v>
      </c>
      <c r="BB1875" s="31" t="n">
        <f aca="false">SUM(Q1875,S1875,U1875,W1875,Y1875,AA1875,AC1875,AE1875,AG1875,AI1875,AK1875,AM1875,AO1875,AQ1875,AS1875,AU1875,AW1875,AY1875)</f>
        <v>8316</v>
      </c>
      <c r="BC1875" s="28" t="n">
        <f aca="false">BA1875-BB1875</f>
        <v>0</v>
      </c>
      <c r="BD1875" s="32" t="n">
        <f aca="false">SUM(P1875,R1875,T1875,V1875,X1875,Z1875,AB1875,AD1875,AF1875,AH1875,AJ1875,AL1875,AN1875,AP1875,AR1875,AT1875,AV1875,AX1875)</f>
        <v>69.3</v>
      </c>
      <c r="BE1875" s="33" t="n">
        <f aca="false">AZ1875-BD1875</f>
        <v>0</v>
      </c>
      <c r="BF1875" s="34" t="n">
        <f aca="false">BD1875*M1875</f>
        <v>8316</v>
      </c>
      <c r="BG1875" s="35" t="n">
        <f aca="false">BA1875-BF1875</f>
        <v>0</v>
      </c>
      <c r="BH1875" s="19" t="str">
        <f aca="false">IF(BG1875=0,"",IF(BG1875&lt;&gt;BA1875,"erreur de calcul",IF(BD1875&lt;&gt;0,"pas de prix",IF(M1875&lt;&gt; 0,"pas de quantité","pas de prix, ni de quantité"))))</f>
        <v/>
      </c>
      <c r="BI1875" s="19"/>
    </row>
    <row r="1876" customFormat="false" ht="16.65" hidden="false" customHeight="false" outlineLevel="0" collapsed="false">
      <c r="A1876" s="0" t="n">
        <v>42</v>
      </c>
      <c r="B1876" s="8" t="s">
        <v>24</v>
      </c>
      <c r="C1876" s="9" t="s">
        <v>25</v>
      </c>
      <c r="D1876" s="9" t="s">
        <v>26</v>
      </c>
      <c r="E1876" s="10" t="n">
        <v>1789</v>
      </c>
      <c r="F1876" s="9" t="s">
        <v>27</v>
      </c>
      <c r="G1876" s="9" t="s">
        <v>27</v>
      </c>
      <c r="H1876" s="11" t="n">
        <v>21</v>
      </c>
      <c r="I1876" s="11" t="s">
        <v>195</v>
      </c>
      <c r="J1876" s="14" t="n">
        <v>70</v>
      </c>
      <c r="K1876" s="14"/>
      <c r="L1876" s="16"/>
      <c r="M1876" s="27" t="n">
        <f aca="false">J1876+(K1876/20)+(L1876/240)</f>
        <v>70</v>
      </c>
      <c r="N1876" s="17" t="s">
        <v>64</v>
      </c>
      <c r="O1876" s="11"/>
      <c r="P1876" s="28"/>
      <c r="Q1876" s="28" t="n">
        <f aca="false">P1876*$M1876</f>
        <v>0</v>
      </c>
      <c r="R1876" s="28"/>
      <c r="S1876" s="28" t="n">
        <f aca="false">R1876*$M1876</f>
        <v>0</v>
      </c>
      <c r="T1876" s="28"/>
      <c r="U1876" s="28" t="n">
        <f aca="false">T1876*$M1876</f>
        <v>0</v>
      </c>
      <c r="V1876" s="28"/>
      <c r="W1876" s="28" t="n">
        <f aca="false">V1876*$M1876</f>
        <v>0</v>
      </c>
      <c r="X1876" s="28"/>
      <c r="Y1876" s="28" t="n">
        <f aca="false">X1876*$M1876</f>
        <v>0</v>
      </c>
      <c r="Z1876" s="28"/>
      <c r="AA1876" s="28" t="n">
        <f aca="false">Z1876*$M1876</f>
        <v>0</v>
      </c>
      <c r="AB1876" s="28"/>
      <c r="AC1876" s="28" t="n">
        <f aca="false">AB1876*$M1876</f>
        <v>0</v>
      </c>
      <c r="AD1876" s="28"/>
      <c r="AE1876" s="28" t="n">
        <f aca="false">AD1876*$M1876</f>
        <v>0</v>
      </c>
      <c r="AF1876" s="28"/>
      <c r="AG1876" s="28" t="n">
        <f aca="false">AF1876*$M1876</f>
        <v>0</v>
      </c>
      <c r="AH1876" s="28"/>
      <c r="AI1876" s="28" t="n">
        <f aca="false">AH1876*$M1876</f>
        <v>0</v>
      </c>
      <c r="AJ1876" s="28"/>
      <c r="AK1876" s="28" t="n">
        <f aca="false">AJ1876*$M1876</f>
        <v>0</v>
      </c>
      <c r="AL1876" s="28"/>
      <c r="AM1876" s="28" t="n">
        <f aca="false">AL1876*$M1876</f>
        <v>0</v>
      </c>
      <c r="AN1876" s="28" t="n">
        <f aca="false">13200/100</f>
        <v>132</v>
      </c>
      <c r="AO1876" s="28" t="n">
        <v>9240</v>
      </c>
      <c r="AP1876" s="28"/>
      <c r="AQ1876" s="28" t="n">
        <f aca="false">AP1876*$M1876</f>
        <v>0</v>
      </c>
      <c r="AR1876" s="28"/>
      <c r="AS1876" s="28" t="n">
        <f aca="false">AR1876*$M1876</f>
        <v>0</v>
      </c>
      <c r="AT1876" s="28"/>
      <c r="AU1876" s="28" t="n">
        <f aca="false">AT1876*$M1876</f>
        <v>0</v>
      </c>
      <c r="AV1876" s="28"/>
      <c r="AW1876" s="28" t="n">
        <f aca="false">AV1876*$M1876</f>
        <v>0</v>
      </c>
      <c r="AX1876" s="28"/>
      <c r="AY1876" s="28" t="n">
        <f aca="false">AX1876*$M1876</f>
        <v>0</v>
      </c>
      <c r="AZ1876" s="30" t="n">
        <f aca="false">13200/100</f>
        <v>132</v>
      </c>
      <c r="BA1876" s="11" t="n">
        <v>9240</v>
      </c>
      <c r="BB1876" s="31" t="n">
        <f aca="false">SUM(Q1876,S1876,U1876,W1876,Y1876,AA1876,AC1876,AE1876,AG1876,AI1876,AK1876,AM1876,AO1876,AQ1876,AS1876,AU1876,AW1876,AY1876)</f>
        <v>9240</v>
      </c>
      <c r="BC1876" s="28" t="n">
        <f aca="false">BA1876-BB1876</f>
        <v>0</v>
      </c>
      <c r="BD1876" s="32" t="n">
        <f aca="false">SUM(P1876,R1876,T1876,V1876,X1876,Z1876,AB1876,AD1876,AF1876,AH1876,AJ1876,AL1876,AN1876,AP1876,AR1876,AT1876,AV1876,AX1876)</f>
        <v>132</v>
      </c>
      <c r="BE1876" s="33" t="n">
        <f aca="false">AZ1876-BD1876</f>
        <v>0</v>
      </c>
      <c r="BF1876" s="34" t="n">
        <f aca="false">BD1876*M1876</f>
        <v>9240</v>
      </c>
      <c r="BG1876" s="35" t="n">
        <f aca="false">BA1876-BF1876</f>
        <v>0</v>
      </c>
      <c r="BH1876" s="19" t="str">
        <f aca="false">IF(BG1876=0,"",IF(BG1876&lt;&gt;BA1876,"erreur de calcul",IF(BD1876&lt;&gt;0,"pas de prix",IF(M1876&lt;&gt; 0,"pas de quantité","pas de prix, ni de quantité"))))</f>
        <v/>
      </c>
      <c r="BI1876" s="19"/>
    </row>
    <row r="1877" customFormat="false" ht="15" hidden="false" customHeight="false" outlineLevel="0" collapsed="false">
      <c r="A1877" s="0" t="n">
        <v>43</v>
      </c>
      <c r="B1877" s="8" t="s">
        <v>24</v>
      </c>
      <c r="C1877" s="9" t="s">
        <v>25</v>
      </c>
      <c r="D1877" s="9" t="s">
        <v>26</v>
      </c>
      <c r="E1877" s="10" t="n">
        <v>1789</v>
      </c>
      <c r="F1877" s="9" t="s">
        <v>27</v>
      </c>
      <c r="G1877" s="9" t="s">
        <v>27</v>
      </c>
      <c r="H1877" s="11" t="n">
        <v>21</v>
      </c>
      <c r="I1877" s="11" t="s">
        <v>196</v>
      </c>
      <c r="J1877" s="14" t="n">
        <v>65</v>
      </c>
      <c r="K1877" s="14"/>
      <c r="L1877" s="16"/>
      <c r="M1877" s="27" t="n">
        <f aca="false">J1877+(K1877/20)+(L1877/240)</f>
        <v>65</v>
      </c>
      <c r="N1877" s="17" t="s">
        <v>64</v>
      </c>
      <c r="O1877" s="11"/>
      <c r="P1877" s="28"/>
      <c r="Q1877" s="28" t="n">
        <f aca="false">P1877*$M1877</f>
        <v>0</v>
      </c>
      <c r="R1877" s="28"/>
      <c r="S1877" s="28" t="n">
        <f aca="false">R1877*$M1877</f>
        <v>0</v>
      </c>
      <c r="T1877" s="28"/>
      <c r="U1877" s="28" t="n">
        <f aca="false">T1877*$M1877</f>
        <v>0</v>
      </c>
      <c r="V1877" s="28"/>
      <c r="W1877" s="28" t="n">
        <f aca="false">V1877*$M1877</f>
        <v>0</v>
      </c>
      <c r="X1877" s="28" t="n">
        <f aca="false">44247/100</f>
        <v>442.47</v>
      </c>
      <c r="Y1877" s="28" t="n">
        <v>28760</v>
      </c>
      <c r="Z1877" s="28" t="n">
        <f aca="false">1906/100</f>
        <v>19.06</v>
      </c>
      <c r="AA1877" s="28" t="n">
        <v>1239</v>
      </c>
      <c r="AB1877" s="28"/>
      <c r="AC1877" s="28" t="n">
        <f aca="false">AB1877*$M1877</f>
        <v>0</v>
      </c>
      <c r="AD1877" s="28"/>
      <c r="AE1877" s="28" t="n">
        <f aca="false">AD1877*$M1877</f>
        <v>0</v>
      </c>
      <c r="AF1877" s="28"/>
      <c r="AG1877" s="28" t="n">
        <f aca="false">AF1877*$M1877</f>
        <v>0</v>
      </c>
      <c r="AH1877" s="28"/>
      <c r="AI1877" s="28" t="n">
        <f aca="false">AH1877*$M1877</f>
        <v>0</v>
      </c>
      <c r="AJ1877" s="28" t="n">
        <f aca="false">625/100</f>
        <v>6.25</v>
      </c>
      <c r="AK1877" s="28" t="n">
        <v>406</v>
      </c>
      <c r="AL1877" s="28"/>
      <c r="AM1877" s="28" t="n">
        <f aca="false">AL1877*$M1877</f>
        <v>0</v>
      </c>
      <c r="AN1877" s="28"/>
      <c r="AO1877" s="28" t="n">
        <f aca="false">AN1877*$M1877</f>
        <v>0</v>
      </c>
      <c r="AP1877" s="28"/>
      <c r="AQ1877" s="28" t="n">
        <f aca="false">AP1877*$M1877</f>
        <v>0</v>
      </c>
      <c r="AR1877" s="28"/>
      <c r="AS1877" s="28" t="n">
        <f aca="false">AR1877*$M1877</f>
        <v>0</v>
      </c>
      <c r="AT1877" s="28"/>
      <c r="AU1877" s="28" t="n">
        <f aca="false">AT1877*$M1877</f>
        <v>0</v>
      </c>
      <c r="AV1877" s="28"/>
      <c r="AW1877" s="28" t="n">
        <f aca="false">AV1877*$M1877</f>
        <v>0</v>
      </c>
      <c r="AX1877" s="28"/>
      <c r="AY1877" s="28" t="n">
        <f aca="false">AX1877*$M1877</f>
        <v>0</v>
      </c>
      <c r="AZ1877" s="30" t="n">
        <f aca="false">46778/100</f>
        <v>467.78</v>
      </c>
      <c r="BA1877" s="11" t="n">
        <v>30405</v>
      </c>
      <c r="BB1877" s="31" t="n">
        <f aca="false">SUM(Q1877,S1877,U1877,W1877,Y1877,AA1877,AC1877,AE1877,AG1877,AI1877,AK1877,AM1877,AO1877,AQ1877,AS1877,AU1877,AW1877,AY1877)</f>
        <v>30405</v>
      </c>
      <c r="BC1877" s="28" t="n">
        <f aca="false">BA1877-BB1877</f>
        <v>0</v>
      </c>
      <c r="BD1877" s="32" t="n">
        <f aca="false">SUM(P1877,R1877,T1877,V1877,X1877,Z1877,AB1877,AD1877,AF1877,AH1877,AJ1877,AL1877,AN1877,AP1877,AR1877,AT1877,AV1877,AX1877)</f>
        <v>467.78</v>
      </c>
      <c r="BE1877" s="33" t="n">
        <f aca="false">AZ1877-BD1877</f>
        <v>0</v>
      </c>
      <c r="BF1877" s="34" t="n">
        <f aca="false">BD1877*M1877</f>
        <v>30405.7</v>
      </c>
      <c r="BG1877" s="35" t="n">
        <f aca="false">BA1877-BF1877</f>
        <v>-0.700000000000728</v>
      </c>
      <c r="BH1877" s="19" t="str">
        <f aca="false">IF(BG1877=0,"",IF(BG1877&lt;&gt;BA1877,"erreur de calcul",IF(BD1877&lt;&gt;0,"pas de prix",IF(M1877&lt;&gt; 0,"pas de quantité","pas de prix, ni de quantité"))))</f>
        <v>erreur de calcul</v>
      </c>
      <c r="BI1877" s="19"/>
    </row>
    <row r="1878" customFormat="false" ht="15" hidden="false" customHeight="false" outlineLevel="0" collapsed="false">
      <c r="A1878" s="0" t="n">
        <v>44</v>
      </c>
      <c r="B1878" s="8" t="s">
        <v>24</v>
      </c>
      <c r="C1878" s="9" t="s">
        <v>25</v>
      </c>
      <c r="D1878" s="9" t="s">
        <v>26</v>
      </c>
      <c r="E1878" s="10" t="n">
        <v>1789</v>
      </c>
      <c r="F1878" s="9" t="s">
        <v>27</v>
      </c>
      <c r="G1878" s="9" t="s">
        <v>27</v>
      </c>
      <c r="H1878" s="11" t="n">
        <v>21</v>
      </c>
      <c r="I1878" s="11" t="s">
        <v>197</v>
      </c>
      <c r="J1878" s="14" t="n">
        <v>70</v>
      </c>
      <c r="K1878" s="14"/>
      <c r="L1878" s="16"/>
      <c r="M1878" s="27" t="n">
        <f aca="false">J1878+(K1878/20)+(L1878/240)</f>
        <v>70</v>
      </c>
      <c r="N1878" s="17" t="s">
        <v>64</v>
      </c>
      <c r="O1878" s="11"/>
      <c r="P1878" s="28"/>
      <c r="Q1878" s="28" t="n">
        <f aca="false">P1878*$M1878</f>
        <v>0</v>
      </c>
      <c r="R1878" s="28"/>
      <c r="S1878" s="28" t="n">
        <f aca="false">R1878*$M1878</f>
        <v>0</v>
      </c>
      <c r="T1878" s="28"/>
      <c r="U1878" s="28" t="n">
        <f aca="false">T1878*$M1878</f>
        <v>0</v>
      </c>
      <c r="V1878" s="28"/>
      <c r="W1878" s="28" t="n">
        <f aca="false">V1878*$M1878</f>
        <v>0</v>
      </c>
      <c r="X1878" s="28"/>
      <c r="Y1878" s="28" t="n">
        <f aca="false">X1878*$M1878</f>
        <v>0</v>
      </c>
      <c r="Z1878" s="28"/>
      <c r="AA1878" s="28" t="n">
        <f aca="false">Z1878*$M1878</f>
        <v>0</v>
      </c>
      <c r="AB1878" s="28"/>
      <c r="AC1878" s="28" t="n">
        <f aca="false">AB1878*$M1878</f>
        <v>0</v>
      </c>
      <c r="AD1878" s="28"/>
      <c r="AE1878" s="28" t="n">
        <f aca="false">AD1878*$M1878</f>
        <v>0</v>
      </c>
      <c r="AF1878" s="28"/>
      <c r="AG1878" s="28" t="n">
        <f aca="false">AF1878*$M1878</f>
        <v>0</v>
      </c>
      <c r="AH1878" s="28" t="n">
        <f aca="false">156436/100</f>
        <v>1564.36</v>
      </c>
      <c r="AI1878" s="28" t="n">
        <v>109505</v>
      </c>
      <c r="AJ1878" s="28"/>
      <c r="AK1878" s="28" t="n">
        <f aca="false">AJ1878*$M1878</f>
        <v>0</v>
      </c>
      <c r="AL1878" s="28"/>
      <c r="AM1878" s="28" t="n">
        <f aca="false">AL1878*$M1878</f>
        <v>0</v>
      </c>
      <c r="AN1878" s="28"/>
      <c r="AO1878" s="28" t="n">
        <f aca="false">AN1878*$M1878</f>
        <v>0</v>
      </c>
      <c r="AP1878" s="28"/>
      <c r="AQ1878" s="28" t="n">
        <f aca="false">AP1878*$M1878</f>
        <v>0</v>
      </c>
      <c r="AR1878" s="28"/>
      <c r="AS1878" s="28" t="n">
        <f aca="false">AR1878*$M1878</f>
        <v>0</v>
      </c>
      <c r="AT1878" s="28"/>
      <c r="AU1878" s="28" t="n">
        <f aca="false">AT1878*$M1878</f>
        <v>0</v>
      </c>
      <c r="AV1878" s="28"/>
      <c r="AW1878" s="28" t="n">
        <f aca="false">AV1878*$M1878</f>
        <v>0</v>
      </c>
      <c r="AX1878" s="28"/>
      <c r="AY1878" s="28" t="n">
        <f aca="false">AX1878*$M1878</f>
        <v>0</v>
      </c>
      <c r="AZ1878" s="30" t="n">
        <f aca="false">156436/100</f>
        <v>1564.36</v>
      </c>
      <c r="BA1878" s="11" t="n">
        <v>109505</v>
      </c>
      <c r="BB1878" s="31" t="n">
        <f aca="false">SUM(Q1878,S1878,U1878,W1878,Y1878,AA1878,AC1878,AE1878,AG1878,AI1878,AK1878,AM1878,AO1878,AQ1878,AS1878,AU1878,AW1878,AY1878)</f>
        <v>109505</v>
      </c>
      <c r="BC1878" s="28" t="n">
        <f aca="false">BA1878-BB1878</f>
        <v>0</v>
      </c>
      <c r="BD1878" s="32" t="n">
        <f aca="false">SUM(P1878,R1878,T1878,V1878,X1878,Z1878,AB1878,AD1878,AF1878,AH1878,AJ1878,AL1878,AN1878,AP1878,AR1878,AT1878,AV1878,AX1878)</f>
        <v>1564.36</v>
      </c>
      <c r="BE1878" s="33" t="n">
        <f aca="false">AZ1878-BD1878</f>
        <v>0</v>
      </c>
      <c r="BF1878" s="34" t="n">
        <f aca="false">BD1878*M1878</f>
        <v>109505.2</v>
      </c>
      <c r="BG1878" s="35" t="n">
        <f aca="false">BA1878-BF1878</f>
        <v>-0.19999999999709</v>
      </c>
      <c r="BH1878" s="19" t="str">
        <f aca="false">IF(BG1878=0,"",IF(BG1878&lt;&gt;BA1878,"erreur de calcul",IF(BD1878&lt;&gt;0,"pas de prix",IF(M1878&lt;&gt; 0,"pas de quantité","pas de prix, ni de quantité"))))</f>
        <v>erreur de calcul</v>
      </c>
      <c r="BI1878" s="19"/>
    </row>
    <row r="1879" customFormat="false" ht="15" hidden="false" customHeight="false" outlineLevel="0" collapsed="false">
      <c r="A1879" s="0" t="n">
        <v>45</v>
      </c>
      <c r="B1879" s="8" t="s">
        <v>24</v>
      </c>
      <c r="C1879" s="9" t="s">
        <v>25</v>
      </c>
      <c r="D1879" s="9" t="s">
        <v>26</v>
      </c>
      <c r="E1879" s="10" t="n">
        <v>1789</v>
      </c>
      <c r="F1879" s="9" t="s">
        <v>27</v>
      </c>
      <c r="G1879" s="9" t="s">
        <v>27</v>
      </c>
      <c r="H1879" s="11" t="n">
        <v>21</v>
      </c>
      <c r="I1879" s="11" t="s">
        <v>198</v>
      </c>
      <c r="J1879" s="14"/>
      <c r="K1879" s="14"/>
      <c r="L1879" s="16"/>
      <c r="M1879" s="27" t="n">
        <f aca="false">J1879+(K1879/20)+(L1879/240)</f>
        <v>0</v>
      </c>
      <c r="N1879" s="17"/>
      <c r="O1879" s="11" t="s">
        <v>98</v>
      </c>
      <c r="P1879" s="28"/>
      <c r="Q1879" s="28" t="n">
        <v>387</v>
      </c>
      <c r="R1879" s="28"/>
      <c r="S1879" s="28" t="n">
        <f aca="false">R1879*$M1879</f>
        <v>0</v>
      </c>
      <c r="T1879" s="28"/>
      <c r="U1879" s="28" t="n">
        <v>2349</v>
      </c>
      <c r="V1879" s="28"/>
      <c r="W1879" s="28" t="n">
        <v>978</v>
      </c>
      <c r="X1879" s="28"/>
      <c r="Y1879" s="28" t="n">
        <f aca="false">X1879*$M1879</f>
        <v>0</v>
      </c>
      <c r="Z1879" s="28"/>
      <c r="AA1879" s="28" t="n">
        <f aca="false">Z1879*$M1879</f>
        <v>0</v>
      </c>
      <c r="AB1879" s="28"/>
      <c r="AC1879" s="28" t="n">
        <v>328</v>
      </c>
      <c r="AD1879" s="28"/>
      <c r="AE1879" s="28" t="n">
        <f aca="false">AD1879*$M1879</f>
        <v>0</v>
      </c>
      <c r="AF1879" s="28"/>
      <c r="AG1879" s="28" t="n">
        <f aca="false">AF1879*$M1879</f>
        <v>0</v>
      </c>
      <c r="AH1879" s="28"/>
      <c r="AI1879" s="28" t="n">
        <v>878</v>
      </c>
      <c r="AJ1879" s="28"/>
      <c r="AK1879" s="28" t="n">
        <v>1546</v>
      </c>
      <c r="AL1879" s="28"/>
      <c r="AM1879" s="28" t="n">
        <f aca="false">AL1879*$M1879</f>
        <v>0</v>
      </c>
      <c r="AN1879" s="28"/>
      <c r="AO1879" s="28" t="n">
        <f aca="false">AN1879*$M1879</f>
        <v>0</v>
      </c>
      <c r="AP1879" s="28"/>
      <c r="AQ1879" s="28" t="n">
        <f aca="false">AP1879*$M1879</f>
        <v>0</v>
      </c>
      <c r="AR1879" s="28"/>
      <c r="AS1879" s="28" t="n">
        <f aca="false">AR1879*$M1879</f>
        <v>0</v>
      </c>
      <c r="AT1879" s="28"/>
      <c r="AU1879" s="28" t="n">
        <f aca="false">AT1879*$M1879</f>
        <v>0</v>
      </c>
      <c r="AV1879" s="28"/>
      <c r="AW1879" s="28" t="n">
        <f aca="false">AV1879*$M1879</f>
        <v>0</v>
      </c>
      <c r="AX1879" s="28"/>
      <c r="AY1879" s="28" t="n">
        <f aca="false">AX1879*$M1879</f>
        <v>0</v>
      </c>
      <c r="AZ1879" s="30"/>
      <c r="BA1879" s="11" t="n">
        <v>6466</v>
      </c>
      <c r="BB1879" s="31" t="n">
        <f aca="false">SUM(Q1879,S1879,U1879,W1879,Y1879,AA1879,AC1879,AE1879,AG1879,AI1879,AK1879,AM1879,AO1879,AQ1879,AS1879,AU1879,AW1879,AY1879)</f>
        <v>6466</v>
      </c>
      <c r="BC1879" s="28" t="n">
        <f aca="false">BA1879-BB1879</f>
        <v>0</v>
      </c>
      <c r="BD1879" s="32" t="n">
        <f aca="false">SUM(P1879,R1879,T1879,V1879,X1879,Z1879,AB1879,AD1879,AF1879,AH1879,AJ1879,AL1879,AN1879,AP1879,AR1879,AT1879,AV1879,AX1879)</f>
        <v>0</v>
      </c>
      <c r="BE1879" s="33" t="n">
        <f aca="false">AZ1879-BD1879</f>
        <v>0</v>
      </c>
      <c r="BF1879" s="34" t="n">
        <f aca="false">BD1879*M1879</f>
        <v>0</v>
      </c>
      <c r="BG1879" s="35" t="n">
        <f aca="false">BA1879-BF1879</f>
        <v>6466</v>
      </c>
      <c r="BH1879" s="19" t="str">
        <f aca="false">IF(BG1879=0,"",IF(BG1879&lt;&gt;BA1879,"erreur de calcul",IF(BD1879&lt;&gt;0,"pas de prix",IF(M1879&lt;&gt; 0,"pas de quantité","pas de prix, ni de quantité"))))</f>
        <v>pas de prix, ni de quantité</v>
      </c>
      <c r="BI1879" s="19"/>
    </row>
    <row r="1880" customFormat="false" ht="15" hidden="false" customHeight="false" outlineLevel="0" collapsed="false">
      <c r="A1880" s="0" t="n">
        <v>46</v>
      </c>
      <c r="B1880" s="8" t="s">
        <v>24</v>
      </c>
      <c r="C1880" s="9" t="s">
        <v>25</v>
      </c>
      <c r="D1880" s="9" t="s">
        <v>26</v>
      </c>
      <c r="E1880" s="10" t="n">
        <v>1789</v>
      </c>
      <c r="F1880" s="9" t="s">
        <v>27</v>
      </c>
      <c r="G1880" s="9" t="s">
        <v>27</v>
      </c>
      <c r="H1880" s="11" t="n">
        <v>21</v>
      </c>
      <c r="I1880" s="11" t="s">
        <v>199</v>
      </c>
      <c r="J1880" s="14" t="n">
        <v>27</v>
      </c>
      <c r="K1880" s="14"/>
      <c r="L1880" s="16"/>
      <c r="M1880" s="27" t="n">
        <f aca="false">J1880+(K1880/20)+(L1880/240)</f>
        <v>27</v>
      </c>
      <c r="N1880" s="17" t="s">
        <v>64</v>
      </c>
      <c r="O1880" s="11"/>
      <c r="P1880" s="28" t="n">
        <f aca="false">108627/100</f>
        <v>1086.27</v>
      </c>
      <c r="Q1880" s="28" t="n">
        <v>29329</v>
      </c>
      <c r="R1880" s="28"/>
      <c r="S1880" s="28" t="n">
        <f aca="false">R1880*$M1880</f>
        <v>0</v>
      </c>
      <c r="T1880" s="28"/>
      <c r="U1880" s="28" t="n">
        <f aca="false">T1880*$M1880</f>
        <v>0</v>
      </c>
      <c r="V1880" s="28"/>
      <c r="W1880" s="28" t="n">
        <f aca="false">V1880*$M1880</f>
        <v>0</v>
      </c>
      <c r="X1880" s="28"/>
      <c r="Y1880" s="28" t="n">
        <f aca="false">X1880*$M1880</f>
        <v>0</v>
      </c>
      <c r="Z1880" s="28" t="n">
        <f aca="false">535243/100</f>
        <v>5352.43</v>
      </c>
      <c r="AA1880" s="28" t="n">
        <v>144516</v>
      </c>
      <c r="AB1880" s="28"/>
      <c r="AC1880" s="28" t="n">
        <f aca="false">AB1880*$M1880</f>
        <v>0</v>
      </c>
      <c r="AD1880" s="28" t="n">
        <f aca="false">75759/100</f>
        <v>757.59</v>
      </c>
      <c r="AE1880" s="28" t="n">
        <v>20455</v>
      </c>
      <c r="AF1880" s="28"/>
      <c r="AG1880" s="28" t="n">
        <f aca="false">AF1880*$M1880</f>
        <v>0</v>
      </c>
      <c r="AH1880" s="28" t="n">
        <f aca="false">77800/100</f>
        <v>778</v>
      </c>
      <c r="AI1880" s="36" t="n">
        <v>21016</v>
      </c>
      <c r="AJ1880" s="28" t="n">
        <f aca="false">28078/100</f>
        <v>280.78</v>
      </c>
      <c r="AK1880" s="28" t="n">
        <v>7581</v>
      </c>
      <c r="AL1880" s="28" t="n">
        <f aca="false">15417/100</f>
        <v>154.17</v>
      </c>
      <c r="AM1880" s="28" t="n">
        <v>4162</v>
      </c>
      <c r="AN1880" s="28"/>
      <c r="AO1880" s="28" t="n">
        <f aca="false">AN1880*$M1880</f>
        <v>0</v>
      </c>
      <c r="AP1880" s="28"/>
      <c r="AQ1880" s="28" t="n">
        <f aca="false">AP1880*$M1880</f>
        <v>0</v>
      </c>
      <c r="AR1880" s="28"/>
      <c r="AS1880" s="28" t="n">
        <f aca="false">AR1880*$M1880</f>
        <v>0</v>
      </c>
      <c r="AT1880" s="28"/>
      <c r="AU1880" s="28" t="n">
        <f aca="false">AT1880*$M1880</f>
        <v>0</v>
      </c>
      <c r="AV1880" s="28"/>
      <c r="AW1880" s="28" t="n">
        <f aca="false">AV1880*$M1880</f>
        <v>0</v>
      </c>
      <c r="AX1880" s="28"/>
      <c r="AY1880" s="28" t="n">
        <f aca="false">AX1880*$M1880</f>
        <v>0</v>
      </c>
      <c r="AZ1880" s="30" t="n">
        <f aca="false">840924/100</f>
        <v>8409.24</v>
      </c>
      <c r="BA1880" s="11" t="n">
        <v>227059</v>
      </c>
      <c r="BB1880" s="31" t="n">
        <f aca="false">SUM(Q1880,S1880,U1880,W1880,Y1880,AA1880,AC1880,AE1880,AG1880,AI1880,AK1880,AM1880,AO1880,AQ1880,AS1880,AU1880,AW1880,AY1880)</f>
        <v>227059</v>
      </c>
      <c r="BC1880" s="28" t="n">
        <f aca="false">BA1880-BB1880</f>
        <v>0</v>
      </c>
      <c r="BD1880" s="32" t="n">
        <f aca="false">SUM(P1880,R1880,T1880,V1880,X1880,Z1880,AB1880,AD1880,AF1880,AH1880,AJ1880,AL1880,AN1880,AP1880,AR1880,AT1880,AV1880,AX1880)</f>
        <v>8409.24</v>
      </c>
      <c r="BE1880" s="33" t="n">
        <f aca="false">AZ1880-BD1880</f>
        <v>0</v>
      </c>
      <c r="BF1880" s="34" t="n">
        <f aca="false">BD1880*M1880</f>
        <v>227049.48</v>
      </c>
      <c r="BG1880" s="35" t="n">
        <f aca="false">BA1880-BF1880</f>
        <v>9.52000000001863</v>
      </c>
      <c r="BH1880" s="19" t="str">
        <f aca="false">IF(BG1880=0,"",IF(BG1880&lt;&gt;BA1880,"erreur de calcul",IF(BD1880&lt;&gt;0,"pas de prix",IF(M1880&lt;&gt; 0,"pas de quantité","pas de prix, ni de quantité"))))</f>
        <v>erreur de calcul</v>
      </c>
      <c r="BI1880" s="19"/>
    </row>
    <row r="1881" customFormat="false" ht="15" hidden="false" customHeight="false" outlineLevel="0" collapsed="false">
      <c r="A1881" s="0" t="n">
        <v>47</v>
      </c>
      <c r="B1881" s="8" t="s">
        <v>24</v>
      </c>
      <c r="C1881" s="9" t="s">
        <v>25</v>
      </c>
      <c r="D1881" s="9" t="s">
        <v>26</v>
      </c>
      <c r="E1881" s="10" t="n">
        <v>1789</v>
      </c>
      <c r="F1881" s="9" t="s">
        <v>27</v>
      </c>
      <c r="G1881" s="9" t="s">
        <v>27</v>
      </c>
      <c r="H1881" s="11" t="n">
        <v>21</v>
      </c>
      <c r="I1881" s="11" t="s">
        <v>200</v>
      </c>
      <c r="J1881" s="14" t="n">
        <v>25</v>
      </c>
      <c r="K1881" s="14"/>
      <c r="L1881" s="16"/>
      <c r="M1881" s="27" t="n">
        <f aca="false">J1881+(K1881/20)+(L1881/240)</f>
        <v>25</v>
      </c>
      <c r="N1881" s="17" t="s">
        <v>64</v>
      </c>
      <c r="O1881" s="11"/>
      <c r="P1881" s="28"/>
      <c r="Q1881" s="28" t="n">
        <f aca="false">P1881*$M1881</f>
        <v>0</v>
      </c>
      <c r="R1881" s="28"/>
      <c r="S1881" s="28" t="n">
        <f aca="false">R1881*$M1881</f>
        <v>0</v>
      </c>
      <c r="T1881" s="28" t="n">
        <f aca="false">56427/100</f>
        <v>564.27</v>
      </c>
      <c r="U1881" s="28" t="n">
        <v>14107</v>
      </c>
      <c r="V1881" s="28"/>
      <c r="W1881" s="28" t="n">
        <f aca="false">V1881*$M1881</f>
        <v>0</v>
      </c>
      <c r="X1881" s="28" t="n">
        <f aca="false">98758/100</f>
        <v>987.58</v>
      </c>
      <c r="Y1881" s="28" t="n">
        <v>24689</v>
      </c>
      <c r="Z1881" s="28"/>
      <c r="AA1881" s="28" t="n">
        <f aca="false">Z1881*$M1881</f>
        <v>0</v>
      </c>
      <c r="AB1881" s="28"/>
      <c r="AC1881" s="28" t="n">
        <f aca="false">AB1881*$M1881</f>
        <v>0</v>
      </c>
      <c r="AD1881" s="28"/>
      <c r="AE1881" s="28" t="n">
        <f aca="false">AD1881*$M1881</f>
        <v>0</v>
      </c>
      <c r="AF1881" s="28"/>
      <c r="AG1881" s="28" t="n">
        <f aca="false">AF1881*$M1881</f>
        <v>0</v>
      </c>
      <c r="AH1881" s="28"/>
      <c r="AI1881" s="28" t="n">
        <f aca="false">AH1881*$M1881</f>
        <v>0</v>
      </c>
      <c r="AJ1881" s="28"/>
      <c r="AK1881" s="28" t="n">
        <f aca="false">AJ1881*$M1881</f>
        <v>0</v>
      </c>
      <c r="AL1881" s="28"/>
      <c r="AM1881" s="28" t="n">
        <f aca="false">AL1881*$M1881</f>
        <v>0</v>
      </c>
      <c r="AN1881" s="28"/>
      <c r="AO1881" s="28" t="n">
        <f aca="false">AN1881*$M1881</f>
        <v>0</v>
      </c>
      <c r="AP1881" s="28"/>
      <c r="AQ1881" s="28" t="n">
        <f aca="false">AP1881*$M1881</f>
        <v>0</v>
      </c>
      <c r="AR1881" s="28"/>
      <c r="AS1881" s="28" t="n">
        <f aca="false">AR1881*$M1881</f>
        <v>0</v>
      </c>
      <c r="AT1881" s="28"/>
      <c r="AU1881" s="28" t="n">
        <f aca="false">AT1881*$M1881</f>
        <v>0</v>
      </c>
      <c r="AV1881" s="28"/>
      <c r="AW1881" s="28" t="n">
        <f aca="false">AV1881*$M1881</f>
        <v>0</v>
      </c>
      <c r="AX1881" s="28"/>
      <c r="AY1881" s="28" t="n">
        <f aca="false">AX1881*$M1881</f>
        <v>0</v>
      </c>
      <c r="AZ1881" s="30" t="n">
        <f aca="false">155115/100</f>
        <v>1551.15</v>
      </c>
      <c r="BA1881" s="11" t="n">
        <v>38796</v>
      </c>
      <c r="BB1881" s="31" t="n">
        <f aca="false">SUM(Q1881,S1881,U1881,W1881,Y1881,AA1881,AC1881,AE1881,AG1881,AI1881,AK1881,AM1881,AO1881,AQ1881,AS1881,AU1881,AW1881,AY1881)</f>
        <v>38796</v>
      </c>
      <c r="BC1881" s="28" t="n">
        <f aca="false">BA1881-BB1881</f>
        <v>0</v>
      </c>
      <c r="BD1881" s="32" t="n">
        <f aca="false">SUM(P1881,R1881,T1881,V1881,X1881,Z1881,AB1881,AD1881,AF1881,AH1881,AJ1881,AL1881,AN1881,AP1881,AR1881,AT1881,AV1881,AX1881)</f>
        <v>1551.85</v>
      </c>
      <c r="BE1881" s="33" t="n">
        <f aca="false">AZ1881-BD1881</f>
        <v>-0.699999999999818</v>
      </c>
      <c r="BF1881" s="34" t="n">
        <f aca="false">BD1881*M1881</f>
        <v>38796.25</v>
      </c>
      <c r="BG1881" s="35" t="n">
        <f aca="false">BA1881-BF1881</f>
        <v>-0.25</v>
      </c>
      <c r="BH1881" s="19" t="str">
        <f aca="false">IF(BG1881=0,"",IF(BG1881&lt;&gt;BA1881,"erreur de calcul",IF(BD1881&lt;&gt;0,"pas de prix",IF(M1881&lt;&gt; 0,"pas de quantité","pas de prix, ni de quantité"))))</f>
        <v>erreur de calcul</v>
      </c>
      <c r="BI1881" s="19"/>
    </row>
    <row r="1882" customFormat="false" ht="15" hidden="false" customHeight="false" outlineLevel="0" collapsed="false">
      <c r="A1882" s="0" t="n">
        <v>48</v>
      </c>
      <c r="B1882" s="8" t="s">
        <v>24</v>
      </c>
      <c r="C1882" s="9" t="s">
        <v>25</v>
      </c>
      <c r="D1882" s="9" t="s">
        <v>26</v>
      </c>
      <c r="E1882" s="10" t="n">
        <v>1789</v>
      </c>
      <c r="F1882" s="9" t="s">
        <v>27</v>
      </c>
      <c r="G1882" s="9" t="s">
        <v>27</v>
      </c>
      <c r="H1882" s="11" t="n">
        <v>21</v>
      </c>
      <c r="I1882" s="11" t="s">
        <v>201</v>
      </c>
      <c r="J1882" s="14"/>
      <c r="K1882" s="14" t="n">
        <v>15</v>
      </c>
      <c r="L1882" s="16"/>
      <c r="M1882" s="27" t="n">
        <f aca="false">J1882+(K1882/20)+(L1882/240)</f>
        <v>0.75</v>
      </c>
      <c r="N1882" s="17" t="s">
        <v>66</v>
      </c>
      <c r="O1882" s="11"/>
      <c r="P1882" s="28"/>
      <c r="Q1882" s="28" t="n">
        <f aca="false">P1882*$M1882</f>
        <v>0</v>
      </c>
      <c r="R1882" s="28"/>
      <c r="S1882" s="28" t="n">
        <f aca="false">R1882*$M1882</f>
        <v>0</v>
      </c>
      <c r="T1882" s="28"/>
      <c r="U1882" s="28" t="n">
        <f aca="false">T1882*$M1882</f>
        <v>0</v>
      </c>
      <c r="V1882" s="28"/>
      <c r="W1882" s="28" t="n">
        <f aca="false">V1882*$M1882</f>
        <v>0</v>
      </c>
      <c r="X1882" s="28"/>
      <c r="Y1882" s="28" t="n">
        <f aca="false">X1882*$M1882</f>
        <v>0</v>
      </c>
      <c r="Z1882" s="28"/>
      <c r="AA1882" s="28" t="n">
        <f aca="false">Z1882*$M1882</f>
        <v>0</v>
      </c>
      <c r="AB1882" s="28"/>
      <c r="AC1882" s="28" t="n">
        <f aca="false">AB1882*$M1882</f>
        <v>0</v>
      </c>
      <c r="AD1882" s="28"/>
      <c r="AE1882" s="28" t="n">
        <f aca="false">AD1882*$M1882</f>
        <v>0</v>
      </c>
      <c r="AF1882" s="28"/>
      <c r="AG1882" s="28" t="n">
        <f aca="false">AF1882*$M1882</f>
        <v>0</v>
      </c>
      <c r="AH1882" s="28"/>
      <c r="AI1882" s="28" t="n">
        <f aca="false">AH1882*$M1882</f>
        <v>0</v>
      </c>
      <c r="AJ1882" s="28" t="n">
        <v>6171</v>
      </c>
      <c r="AK1882" s="28" t="n">
        <v>4628</v>
      </c>
      <c r="AL1882" s="28"/>
      <c r="AM1882" s="28" t="n">
        <f aca="false">AL1882*$M1882</f>
        <v>0</v>
      </c>
      <c r="AN1882" s="28"/>
      <c r="AO1882" s="28" t="n">
        <f aca="false">AN1882*$M1882</f>
        <v>0</v>
      </c>
      <c r="AP1882" s="28"/>
      <c r="AQ1882" s="28" t="n">
        <f aca="false">AP1882*$M1882</f>
        <v>0</v>
      </c>
      <c r="AR1882" s="28"/>
      <c r="AS1882" s="28" t="n">
        <f aca="false">AR1882*$M1882</f>
        <v>0</v>
      </c>
      <c r="AT1882" s="28"/>
      <c r="AU1882" s="28" t="n">
        <f aca="false">AT1882*$M1882</f>
        <v>0</v>
      </c>
      <c r="AV1882" s="28"/>
      <c r="AW1882" s="28" t="n">
        <f aca="false">AV1882*$M1882</f>
        <v>0</v>
      </c>
      <c r="AX1882" s="28"/>
      <c r="AY1882" s="28" t="n">
        <f aca="false">AX1882*$M1882</f>
        <v>0</v>
      </c>
      <c r="AZ1882" s="30" t="n">
        <v>6171</v>
      </c>
      <c r="BA1882" s="11" t="n">
        <v>4628</v>
      </c>
      <c r="BB1882" s="31" t="n">
        <f aca="false">SUM(Q1882,S1882,U1882,W1882,Y1882,AA1882,AC1882,AE1882,AG1882,AI1882,AK1882,AM1882,AO1882,AQ1882,AS1882,AU1882,AW1882,AY1882)</f>
        <v>4628</v>
      </c>
      <c r="BC1882" s="28" t="n">
        <f aca="false">BA1882-BB1882</f>
        <v>0</v>
      </c>
      <c r="BD1882" s="32" t="n">
        <f aca="false">SUM(P1882,R1882,T1882,V1882,X1882,Z1882,AB1882,AD1882,AF1882,AH1882,AJ1882,AL1882,AN1882,AP1882,AR1882,AT1882,AV1882,AX1882)</f>
        <v>6171</v>
      </c>
      <c r="BE1882" s="33" t="n">
        <f aca="false">AZ1882-BD1882</f>
        <v>0</v>
      </c>
      <c r="BF1882" s="34" t="n">
        <f aca="false">BD1882*M1882</f>
        <v>4628.25</v>
      </c>
      <c r="BG1882" s="35" t="n">
        <f aca="false">BA1882-BF1882</f>
        <v>-0.25</v>
      </c>
      <c r="BH1882" s="19" t="str">
        <f aca="false">IF(BG1882=0,"",IF(BG1882&lt;&gt;BA1882,"erreur de calcul",IF(BD1882&lt;&gt;0,"pas de prix",IF(M1882&lt;&gt; 0,"pas de quantité","pas de prix, ni de quantité"))))</f>
        <v>erreur de calcul</v>
      </c>
      <c r="BI1882" s="19"/>
    </row>
    <row r="1883" customFormat="false" ht="15" hidden="false" customHeight="false" outlineLevel="0" collapsed="false">
      <c r="A1883" s="0" t="n">
        <v>1</v>
      </c>
      <c r="B1883" s="8" t="s">
        <v>24</v>
      </c>
      <c r="C1883" s="9" t="s">
        <v>25</v>
      </c>
      <c r="D1883" s="9" t="s">
        <v>26</v>
      </c>
      <c r="E1883" s="10" t="n">
        <v>1789</v>
      </c>
      <c r="F1883" s="9" t="s">
        <v>27</v>
      </c>
      <c r="G1883" s="9" t="s">
        <v>27</v>
      </c>
      <c r="H1883" s="11" t="n">
        <v>22</v>
      </c>
      <c r="I1883" s="11" t="s">
        <v>202</v>
      </c>
      <c r="J1883" s="14" t="n">
        <v>10</v>
      </c>
      <c r="K1883" s="14"/>
      <c r="L1883" s="16"/>
      <c r="M1883" s="27" t="n">
        <f aca="false">J1883+(K1883/20)+(L1883/240)</f>
        <v>10</v>
      </c>
      <c r="N1883" s="17" t="s">
        <v>64</v>
      </c>
      <c r="O1883" s="11"/>
      <c r="P1883" s="28" t="n">
        <f aca="false">36147/100</f>
        <v>361.47</v>
      </c>
      <c r="Q1883" s="28" t="n">
        <v>3615</v>
      </c>
      <c r="R1883" s="28"/>
      <c r="S1883" s="28" t="n">
        <f aca="false">R1883*$M1883</f>
        <v>0</v>
      </c>
      <c r="T1883" s="28"/>
      <c r="U1883" s="28" t="n">
        <f aca="false">T1883*$M1883</f>
        <v>0</v>
      </c>
      <c r="V1883" s="28"/>
      <c r="W1883" s="28" t="n">
        <f aca="false">V1883*$M1883</f>
        <v>0</v>
      </c>
      <c r="X1883" s="28"/>
      <c r="Y1883" s="28" t="n">
        <f aca="false">X1883*$M1883</f>
        <v>0</v>
      </c>
      <c r="Z1883" s="28"/>
      <c r="AA1883" s="28" t="n">
        <f aca="false">Z1883*$M1883</f>
        <v>0</v>
      </c>
      <c r="AB1883" s="28" t="n">
        <f aca="false">14437/100</f>
        <v>144.37</v>
      </c>
      <c r="AC1883" s="28" t="n">
        <v>1444</v>
      </c>
      <c r="AD1883" s="28"/>
      <c r="AE1883" s="28" t="n">
        <f aca="false">AD1883*$M1883</f>
        <v>0</v>
      </c>
      <c r="AF1883" s="28"/>
      <c r="AG1883" s="28" t="n">
        <f aca="false">AF1883*$M1883</f>
        <v>0</v>
      </c>
      <c r="AH1883" s="28"/>
      <c r="AI1883" s="28" t="n">
        <f aca="false">AH1883*$M1883</f>
        <v>0</v>
      </c>
      <c r="AJ1883" s="28" t="n">
        <f aca="false">36351/100</f>
        <v>363.51</v>
      </c>
      <c r="AK1883" s="28" t="n">
        <v>3635</v>
      </c>
      <c r="AL1883" s="28"/>
      <c r="AM1883" s="28" t="n">
        <f aca="false">AL1883*$M1883</f>
        <v>0</v>
      </c>
      <c r="AN1883" s="28"/>
      <c r="AO1883" s="28" t="n">
        <f aca="false">AN1883*$M1883</f>
        <v>0</v>
      </c>
      <c r="AP1883" s="28"/>
      <c r="AQ1883" s="28" t="n">
        <f aca="false">AP1883*$M1883</f>
        <v>0</v>
      </c>
      <c r="AR1883" s="28" t="n">
        <f aca="false">25120/100</f>
        <v>251.2</v>
      </c>
      <c r="AS1883" s="28" t="n">
        <v>2512</v>
      </c>
      <c r="AT1883" s="28"/>
      <c r="AU1883" s="28" t="n">
        <f aca="false">AT1883*$M1883</f>
        <v>0</v>
      </c>
      <c r="AV1883" s="28"/>
      <c r="AW1883" s="28" t="n">
        <f aca="false">AV1883*$M1883</f>
        <v>0</v>
      </c>
      <c r="AX1883" s="28"/>
      <c r="AY1883" s="28" t="n">
        <f aca="false">AX1883*$M1883</f>
        <v>0</v>
      </c>
      <c r="AZ1883" s="30" t="n">
        <f aca="false">112055/100</f>
        <v>1120.55</v>
      </c>
      <c r="BA1883" s="11" t="n">
        <v>11206</v>
      </c>
      <c r="BB1883" s="31" t="n">
        <f aca="false">SUM(Q1883,S1883,U1883,W1883,Y1883,AA1883,AC1883,AE1883,AG1883,AI1883,AK1883,AM1883,AO1883,AQ1883,AS1883,AU1883,AW1883,AY1883)</f>
        <v>11206</v>
      </c>
      <c r="BC1883" s="28" t="n">
        <f aca="false">BA1883-BB1883</f>
        <v>0</v>
      </c>
      <c r="BD1883" s="32" t="n">
        <f aca="false">SUM(P1883,R1883,T1883,V1883,X1883,Z1883,AB1883,AD1883,AF1883,AH1883,AJ1883,AL1883,AN1883,AP1883,AR1883,AT1883,AV1883,AX1883)</f>
        <v>1120.55</v>
      </c>
      <c r="BE1883" s="33" t="n">
        <f aca="false">AZ1883-BD1883</f>
        <v>0</v>
      </c>
      <c r="BF1883" s="34" t="n">
        <f aca="false">BD1883*M1883</f>
        <v>11205.5</v>
      </c>
      <c r="BG1883" s="35" t="n">
        <f aca="false">BA1883-BF1883</f>
        <v>0.499999999998181</v>
      </c>
      <c r="BH1883" s="19" t="str">
        <f aca="false">IF(BG1883=0,"",IF(BG1883&lt;&gt;BA1883,"erreur de calcul",IF(BD1883&lt;&gt;0,"pas de prix",IF(M1883&lt;&gt; 0,"pas de quantité","pas de prix, ni de quantité"))))</f>
        <v>erreur de calcul</v>
      </c>
      <c r="BI1883" s="19"/>
    </row>
    <row r="1884" customFormat="false" ht="15" hidden="false" customHeight="false" outlineLevel="0" collapsed="false">
      <c r="A1884" s="0" t="n">
        <v>2</v>
      </c>
      <c r="B1884" s="8" t="s">
        <v>24</v>
      </c>
      <c r="C1884" s="9" t="s">
        <v>25</v>
      </c>
      <c r="D1884" s="9" t="s">
        <v>26</v>
      </c>
      <c r="E1884" s="10" t="n">
        <v>1789</v>
      </c>
      <c r="F1884" s="9" t="s">
        <v>27</v>
      </c>
      <c r="G1884" s="9" t="s">
        <v>27</v>
      </c>
      <c r="H1884" s="11" t="n">
        <v>22</v>
      </c>
      <c r="I1884" s="11" t="s">
        <v>203</v>
      </c>
      <c r="J1884" s="14" t="n">
        <v>20</v>
      </c>
      <c r="K1884" s="14"/>
      <c r="L1884" s="16"/>
      <c r="M1884" s="27" t="n">
        <f aca="false">J1884+(K1884/20)+(L1884/240)</f>
        <v>20</v>
      </c>
      <c r="N1884" s="17" t="s">
        <v>64</v>
      </c>
      <c r="O1884" s="11"/>
      <c r="P1884" s="28"/>
      <c r="Q1884" s="28" t="n">
        <f aca="false">P1884*$M1884</f>
        <v>0</v>
      </c>
      <c r="R1884" s="28"/>
      <c r="S1884" s="28" t="n">
        <f aca="false">R1884*$M1884</f>
        <v>0</v>
      </c>
      <c r="T1884" s="28"/>
      <c r="U1884" s="28" t="n">
        <f aca="false">T1884*$M1884</f>
        <v>0</v>
      </c>
      <c r="V1884" s="28"/>
      <c r="W1884" s="28" t="n">
        <f aca="false">V1884*$M1884</f>
        <v>0</v>
      </c>
      <c r="X1884" s="28"/>
      <c r="Y1884" s="28" t="n">
        <f aca="false">X1884*$M1884</f>
        <v>0</v>
      </c>
      <c r="Z1884" s="28"/>
      <c r="AA1884" s="28" t="n">
        <f aca="false">Z1884*$M1884</f>
        <v>0</v>
      </c>
      <c r="AB1884" s="28"/>
      <c r="AC1884" s="28" t="n">
        <f aca="false">AB1884*$M1884</f>
        <v>0</v>
      </c>
      <c r="AD1884" s="28"/>
      <c r="AE1884" s="28" t="n">
        <f aca="false">AD1884*$M1884</f>
        <v>0</v>
      </c>
      <c r="AF1884" s="28"/>
      <c r="AG1884" s="28" t="n">
        <f aca="false">AF1884*$M1884</f>
        <v>0</v>
      </c>
      <c r="AH1884" s="28"/>
      <c r="AI1884" s="28" t="n">
        <f aca="false">AH1884*$M1884</f>
        <v>0</v>
      </c>
      <c r="AJ1884" s="28" t="n">
        <f aca="false">109254/100</f>
        <v>1092.54</v>
      </c>
      <c r="AK1884" s="28" t="n">
        <v>21851</v>
      </c>
      <c r="AL1884" s="28"/>
      <c r="AM1884" s="28" t="n">
        <f aca="false">AL1884*$M1884</f>
        <v>0</v>
      </c>
      <c r="AN1884" s="28"/>
      <c r="AO1884" s="28" t="n">
        <f aca="false">AN1884*$M1884</f>
        <v>0</v>
      </c>
      <c r="AP1884" s="28"/>
      <c r="AQ1884" s="28" t="n">
        <f aca="false">AP1884*$M1884</f>
        <v>0</v>
      </c>
      <c r="AR1884" s="28"/>
      <c r="AS1884" s="28" t="n">
        <f aca="false">AR1884*$M1884</f>
        <v>0</v>
      </c>
      <c r="AT1884" s="28"/>
      <c r="AU1884" s="28" t="n">
        <f aca="false">AT1884*$M1884</f>
        <v>0</v>
      </c>
      <c r="AV1884" s="28"/>
      <c r="AW1884" s="28" t="n">
        <f aca="false">AV1884*$M1884</f>
        <v>0</v>
      </c>
      <c r="AX1884" s="28"/>
      <c r="AY1884" s="28" t="n">
        <f aca="false">AX1884*$M1884</f>
        <v>0</v>
      </c>
      <c r="AZ1884" s="30" t="n">
        <f aca="false">109254/100</f>
        <v>1092.54</v>
      </c>
      <c r="BA1884" s="11" t="n">
        <v>21851</v>
      </c>
      <c r="BB1884" s="31" t="n">
        <f aca="false">SUM(Q1884,S1884,U1884,W1884,Y1884,AA1884,AC1884,AE1884,AG1884,AI1884,AK1884,AM1884,AO1884,AQ1884,AS1884,AU1884,AW1884,AY1884)</f>
        <v>21851</v>
      </c>
      <c r="BC1884" s="28" t="n">
        <f aca="false">BA1884-BB1884</f>
        <v>0</v>
      </c>
      <c r="BD1884" s="32" t="n">
        <f aca="false">SUM(P1884,R1884,T1884,V1884,X1884,Z1884,AB1884,AD1884,AF1884,AH1884,AJ1884,AL1884,AN1884,AP1884,AR1884,AT1884,AV1884,AX1884)</f>
        <v>1092.54</v>
      </c>
      <c r="BE1884" s="33" t="n">
        <f aca="false">AZ1884-BD1884</f>
        <v>0</v>
      </c>
      <c r="BF1884" s="34" t="n">
        <f aca="false">BD1884*M1884</f>
        <v>21850.8</v>
      </c>
      <c r="BG1884" s="35" t="n">
        <f aca="false">BA1884-BF1884</f>
        <v>0.200000000000728</v>
      </c>
      <c r="BH1884" s="19" t="str">
        <f aca="false">IF(BG1884=0,"",IF(BG1884&lt;&gt;BA1884,"erreur de calcul",IF(BD1884&lt;&gt;0,"pas de prix",IF(M1884&lt;&gt; 0,"pas de quantité","pas de prix, ni de quantité"))))</f>
        <v>erreur de calcul</v>
      </c>
      <c r="BI1884" s="19"/>
    </row>
    <row r="1885" customFormat="false" ht="15" hidden="false" customHeight="false" outlineLevel="0" collapsed="false">
      <c r="A1885" s="0" t="n">
        <v>3</v>
      </c>
      <c r="B1885" s="8" t="s">
        <v>24</v>
      </c>
      <c r="C1885" s="9" t="s">
        <v>25</v>
      </c>
      <c r="D1885" s="9" t="s">
        <v>26</v>
      </c>
      <c r="E1885" s="10" t="n">
        <v>1789</v>
      </c>
      <c r="F1885" s="9" t="s">
        <v>27</v>
      </c>
      <c r="G1885" s="9" t="s">
        <v>27</v>
      </c>
      <c r="H1885" s="11" t="n">
        <v>22</v>
      </c>
      <c r="I1885" s="11" t="s">
        <v>204</v>
      </c>
      <c r="J1885" s="14" t="n">
        <v>20</v>
      </c>
      <c r="K1885" s="14"/>
      <c r="L1885" s="16"/>
      <c r="M1885" s="27" t="n">
        <f aca="false">J1885+(K1885/20)+(L1885/240)</f>
        <v>20</v>
      </c>
      <c r="N1885" s="17" t="s">
        <v>66</v>
      </c>
      <c r="O1885" s="11"/>
      <c r="P1885" s="28" t="n">
        <v>106125</v>
      </c>
      <c r="Q1885" s="36" t="n">
        <v>2162500</v>
      </c>
      <c r="R1885" s="28"/>
      <c r="S1885" s="28" t="n">
        <f aca="false">R1885*$M1885</f>
        <v>0</v>
      </c>
      <c r="T1885" s="28"/>
      <c r="U1885" s="28" t="n">
        <f aca="false">T1885*$M1885</f>
        <v>0</v>
      </c>
      <c r="V1885" s="28"/>
      <c r="W1885" s="28" t="n">
        <f aca="false">V1885*$M1885</f>
        <v>0</v>
      </c>
      <c r="X1885" s="28"/>
      <c r="Y1885" s="28" t="n">
        <f aca="false">X1885*$M1885</f>
        <v>0</v>
      </c>
      <c r="Z1885" s="28"/>
      <c r="AA1885" s="28" t="n">
        <f aca="false">Z1885*$M1885</f>
        <v>0</v>
      </c>
      <c r="AB1885" s="28"/>
      <c r="AC1885" s="28" t="n">
        <f aca="false">AB1885*$M1885</f>
        <v>0</v>
      </c>
      <c r="AD1885" s="28"/>
      <c r="AE1885" s="28" t="n">
        <f aca="false">AD1885*$M1885</f>
        <v>0</v>
      </c>
      <c r="AF1885" s="28"/>
      <c r="AG1885" s="28" t="n">
        <f aca="false">AF1885*$M1885</f>
        <v>0</v>
      </c>
      <c r="AH1885" s="28"/>
      <c r="AI1885" s="28" t="n">
        <f aca="false">AH1885*$M1885</f>
        <v>0</v>
      </c>
      <c r="AJ1885" s="28"/>
      <c r="AK1885" s="28" t="n">
        <f aca="false">AJ1885*$M1885</f>
        <v>0</v>
      </c>
      <c r="AL1885" s="28"/>
      <c r="AM1885" s="28" t="n">
        <f aca="false">AL1885*$M1885</f>
        <v>0</v>
      </c>
      <c r="AN1885" s="28"/>
      <c r="AO1885" s="28" t="n">
        <f aca="false">AN1885*$M1885</f>
        <v>0</v>
      </c>
      <c r="AP1885" s="28"/>
      <c r="AQ1885" s="28" t="n">
        <f aca="false">AP1885*$M1885</f>
        <v>0</v>
      </c>
      <c r="AR1885" s="28"/>
      <c r="AS1885" s="28" t="n">
        <f aca="false">AR1885*$M1885</f>
        <v>0</v>
      </c>
      <c r="AT1885" s="28"/>
      <c r="AU1885" s="28" t="n">
        <f aca="false">AT1885*$M1885</f>
        <v>0</v>
      </c>
      <c r="AV1885" s="28"/>
      <c r="AW1885" s="28" t="n">
        <f aca="false">AV1885*$M1885</f>
        <v>0</v>
      </c>
      <c r="AX1885" s="28"/>
      <c r="AY1885" s="28" t="n">
        <f aca="false">AX1885*$M1885</f>
        <v>0</v>
      </c>
      <c r="AZ1885" s="30" t="n">
        <v>108125</v>
      </c>
      <c r="BA1885" s="11" t="n">
        <v>2162500</v>
      </c>
      <c r="BB1885" s="31" t="n">
        <f aca="false">SUM(Q1885,S1885,U1885,W1885,Y1885,AA1885,AC1885,AE1885,AG1885,AI1885,AK1885,AM1885,AO1885,AQ1885,AS1885,AU1885,AW1885,AY1885)</f>
        <v>2162500</v>
      </c>
      <c r="BC1885" s="28" t="n">
        <f aca="false">BA1885-BB1885</f>
        <v>0</v>
      </c>
      <c r="BD1885" s="32" t="n">
        <f aca="false">SUM(P1885,R1885,T1885,V1885,X1885,Z1885,AB1885,AD1885,AF1885,AH1885,AJ1885,AL1885,AN1885,AP1885,AR1885,AT1885,AV1885,AX1885)</f>
        <v>106125</v>
      </c>
      <c r="BE1885" s="33" t="n">
        <f aca="false">AZ1885-BD1885</f>
        <v>2000</v>
      </c>
      <c r="BF1885" s="34" t="n">
        <f aca="false">BD1885*M1885</f>
        <v>2122500</v>
      </c>
      <c r="BG1885" s="35" t="n">
        <f aca="false">BA1885-BF1885</f>
        <v>40000</v>
      </c>
      <c r="BH1885" s="19" t="str">
        <f aca="false">IF(BG1885=0,"",IF(BG1885&lt;&gt;BA1885,"erreur de calcul",IF(BD1885&lt;&gt;0,"pas de prix",IF(M1885&lt;&gt; 0,"pas de quantité","pas de prix, ni de quantité"))))</f>
        <v>erreur de calcul</v>
      </c>
      <c r="BI1885" s="19"/>
    </row>
    <row r="1886" customFormat="false" ht="15" hidden="false" customHeight="false" outlineLevel="0" collapsed="false">
      <c r="A1886" s="0" t="n">
        <v>4</v>
      </c>
      <c r="B1886" s="8" t="s">
        <v>24</v>
      </c>
      <c r="C1886" s="9" t="s">
        <v>25</v>
      </c>
      <c r="D1886" s="9" t="s">
        <v>26</v>
      </c>
      <c r="E1886" s="10" t="n">
        <v>1789</v>
      </c>
      <c r="F1886" s="9" t="s">
        <v>27</v>
      </c>
      <c r="G1886" s="9" t="s">
        <v>27</v>
      </c>
      <c r="H1886" s="11" t="n">
        <v>22</v>
      </c>
      <c r="I1886" s="11" t="s">
        <v>205</v>
      </c>
      <c r="J1886" s="14" t="n">
        <v>15</v>
      </c>
      <c r="K1886" s="14"/>
      <c r="L1886" s="16"/>
      <c r="M1886" s="27" t="n">
        <f aca="false">J1886+(K1886/20)+(L1886/240)</f>
        <v>15</v>
      </c>
      <c r="N1886" s="17" t="s">
        <v>64</v>
      </c>
      <c r="O1886" s="11"/>
      <c r="P1886" s="28"/>
      <c r="Q1886" s="28" t="n">
        <f aca="false">P1886*$M1886</f>
        <v>0</v>
      </c>
      <c r="R1886" s="28"/>
      <c r="S1886" s="28" t="n">
        <f aca="false">R1886*$M1886</f>
        <v>0</v>
      </c>
      <c r="T1886" s="28"/>
      <c r="U1886" s="28" t="n">
        <f aca="false">T1886*$M1886</f>
        <v>0</v>
      </c>
      <c r="V1886" s="28"/>
      <c r="W1886" s="28" t="n">
        <f aca="false">V1886*$M1886</f>
        <v>0</v>
      </c>
      <c r="X1886" s="28" t="n">
        <f aca="false">27897/100</f>
        <v>278.97</v>
      </c>
      <c r="Y1886" s="28" t="n">
        <v>4184</v>
      </c>
      <c r="Z1886" s="28"/>
      <c r="AA1886" s="28" t="n">
        <f aca="false">Z1886*$M1886</f>
        <v>0</v>
      </c>
      <c r="AB1886" s="28"/>
      <c r="AC1886" s="28" t="n">
        <f aca="false">AB1886*$M1886</f>
        <v>0</v>
      </c>
      <c r="AD1886" s="28"/>
      <c r="AE1886" s="28" t="n">
        <f aca="false">AD1886*$M1886</f>
        <v>0</v>
      </c>
      <c r="AF1886" s="28"/>
      <c r="AG1886" s="28" t="n">
        <f aca="false">AF1886*$M1886</f>
        <v>0</v>
      </c>
      <c r="AH1886" s="28"/>
      <c r="AI1886" s="28" t="n">
        <f aca="false">AH1886*$M1886</f>
        <v>0</v>
      </c>
      <c r="AJ1886" s="28" t="n">
        <f aca="false">63734/100</f>
        <v>637.34</v>
      </c>
      <c r="AK1886" s="28" t="n">
        <v>9560</v>
      </c>
      <c r="AL1886" s="28"/>
      <c r="AM1886" s="28" t="n">
        <f aca="false">AL1886*$M1886</f>
        <v>0</v>
      </c>
      <c r="AN1886" s="28"/>
      <c r="AO1886" s="28" t="n">
        <f aca="false">AN1886*$M1886</f>
        <v>0</v>
      </c>
      <c r="AP1886" s="28"/>
      <c r="AQ1886" s="28" t="n">
        <f aca="false">AP1886*$M1886</f>
        <v>0</v>
      </c>
      <c r="AR1886" s="28"/>
      <c r="AS1886" s="28" t="n">
        <f aca="false">AR1886*$M1886</f>
        <v>0</v>
      </c>
      <c r="AT1886" s="28"/>
      <c r="AU1886" s="28" t="n">
        <f aca="false">AT1886*$M1886</f>
        <v>0</v>
      </c>
      <c r="AV1886" s="28"/>
      <c r="AW1886" s="28" t="n">
        <f aca="false">AV1886*$M1886</f>
        <v>0</v>
      </c>
      <c r="AX1886" s="28"/>
      <c r="AY1886" s="28" t="n">
        <f aca="false">AX1886*$M1886</f>
        <v>0</v>
      </c>
      <c r="AZ1886" s="30" t="n">
        <f aca="false">91631/100</f>
        <v>916.31</v>
      </c>
      <c r="BA1886" s="11" t="n">
        <v>13744</v>
      </c>
      <c r="BB1886" s="31" t="n">
        <f aca="false">SUM(Q1886,S1886,U1886,W1886,Y1886,AA1886,AC1886,AE1886,AG1886,AI1886,AK1886,AM1886,AO1886,AQ1886,AS1886,AU1886,AW1886,AY1886)</f>
        <v>13744</v>
      </c>
      <c r="BC1886" s="28" t="n">
        <f aca="false">BA1886-BB1886</f>
        <v>0</v>
      </c>
      <c r="BD1886" s="32" t="n">
        <f aca="false">SUM(P1886,R1886,T1886,V1886,X1886,Z1886,AB1886,AD1886,AF1886,AH1886,AJ1886,AL1886,AN1886,AP1886,AR1886,AT1886,AV1886,AX1886)</f>
        <v>916.31</v>
      </c>
      <c r="BE1886" s="33" t="n">
        <f aca="false">AZ1886-BD1886</f>
        <v>0</v>
      </c>
      <c r="BF1886" s="34" t="n">
        <f aca="false">BD1886*M1886</f>
        <v>13744.65</v>
      </c>
      <c r="BG1886" s="35" t="n">
        <f aca="false">BA1886-BF1886</f>
        <v>-0.650000000001455</v>
      </c>
      <c r="BH1886" s="19" t="str">
        <f aca="false">IF(BG1886=0,"",IF(BG1886&lt;&gt;BA1886,"erreur de calcul",IF(BD1886&lt;&gt;0,"pas de prix",IF(M1886&lt;&gt; 0,"pas de quantité","pas de prix, ni de quantité"))))</f>
        <v>erreur de calcul</v>
      </c>
      <c r="BI1886" s="19"/>
    </row>
    <row r="1887" customFormat="false" ht="15" hidden="false" customHeight="false" outlineLevel="0" collapsed="false">
      <c r="A1887" s="0" t="n">
        <v>5</v>
      </c>
      <c r="B1887" s="8" t="s">
        <v>24</v>
      </c>
      <c r="C1887" s="9" t="s">
        <v>25</v>
      </c>
      <c r="D1887" s="9" t="s">
        <v>26</v>
      </c>
      <c r="E1887" s="10" t="n">
        <v>1789</v>
      </c>
      <c r="F1887" s="9" t="s">
        <v>27</v>
      </c>
      <c r="G1887" s="9" t="s">
        <v>27</v>
      </c>
      <c r="H1887" s="11" t="n">
        <v>22</v>
      </c>
      <c r="I1887" s="11" t="s">
        <v>206</v>
      </c>
      <c r="J1887" s="14" t="n">
        <v>30</v>
      </c>
      <c r="K1887" s="14"/>
      <c r="L1887" s="16"/>
      <c r="M1887" s="27" t="n">
        <f aca="false">J1887+(K1887/20)+(L1887/240)</f>
        <v>30</v>
      </c>
      <c r="N1887" s="17" t="s">
        <v>64</v>
      </c>
      <c r="O1887" s="11"/>
      <c r="P1887" s="28" t="n">
        <f aca="false">8334/100</f>
        <v>83.34</v>
      </c>
      <c r="Q1887" s="28" t="n">
        <v>2500</v>
      </c>
      <c r="R1887" s="28"/>
      <c r="S1887" s="28" t="n">
        <f aca="false">R1887*$M1887</f>
        <v>0</v>
      </c>
      <c r="T1887" s="28"/>
      <c r="U1887" s="28" t="n">
        <f aca="false">T1887*$M1887</f>
        <v>0</v>
      </c>
      <c r="V1887" s="28"/>
      <c r="W1887" s="28" t="n">
        <f aca="false">V1887*$M1887</f>
        <v>0</v>
      </c>
      <c r="X1887" s="28"/>
      <c r="Y1887" s="28" t="n">
        <f aca="false">X1887*$M1887</f>
        <v>0</v>
      </c>
      <c r="Z1887" s="28"/>
      <c r="AA1887" s="28" t="n">
        <f aca="false">Z1887*$M1887</f>
        <v>0</v>
      </c>
      <c r="AB1887" s="28"/>
      <c r="AC1887" s="28" t="n">
        <f aca="false">AB1887*$M1887</f>
        <v>0</v>
      </c>
      <c r="AD1887" s="28"/>
      <c r="AE1887" s="28" t="n">
        <f aca="false">AD1887*$M1887</f>
        <v>0</v>
      </c>
      <c r="AF1887" s="28"/>
      <c r="AG1887" s="28" t="n">
        <f aca="false">AF1887*$M1887</f>
        <v>0</v>
      </c>
      <c r="AH1887" s="28"/>
      <c r="AI1887" s="28" t="n">
        <f aca="false">AH1887*$M1887</f>
        <v>0</v>
      </c>
      <c r="AJ1887" s="28"/>
      <c r="AK1887" s="28" t="n">
        <f aca="false">AJ1887*$M1887</f>
        <v>0</v>
      </c>
      <c r="AL1887" s="28"/>
      <c r="AM1887" s="28" t="n">
        <f aca="false">AL1887*$M1887</f>
        <v>0</v>
      </c>
      <c r="AN1887" s="28"/>
      <c r="AO1887" s="28" t="n">
        <f aca="false">AN1887*$M1887</f>
        <v>0</v>
      </c>
      <c r="AP1887" s="28"/>
      <c r="AQ1887" s="28" t="n">
        <f aca="false">AP1887*$M1887</f>
        <v>0</v>
      </c>
      <c r="AR1887" s="28"/>
      <c r="AS1887" s="28" t="n">
        <f aca="false">AR1887*$M1887</f>
        <v>0</v>
      </c>
      <c r="AT1887" s="28"/>
      <c r="AU1887" s="28" t="n">
        <f aca="false">AT1887*$M1887</f>
        <v>0</v>
      </c>
      <c r="AV1887" s="28"/>
      <c r="AW1887" s="28" t="n">
        <f aca="false">AV1887*$M1887</f>
        <v>0</v>
      </c>
      <c r="AX1887" s="28"/>
      <c r="AY1887" s="28" t="n">
        <f aca="false">AX1887*$M1887</f>
        <v>0</v>
      </c>
      <c r="AZ1887" s="30" t="n">
        <f aca="false">8334/100</f>
        <v>83.34</v>
      </c>
      <c r="BA1887" s="11" t="n">
        <v>2500</v>
      </c>
      <c r="BB1887" s="31" t="n">
        <f aca="false">SUM(Q1887,S1887,U1887,W1887,Y1887,AA1887,AC1887,AE1887,AG1887,AI1887,AK1887,AM1887,AO1887,AQ1887,AS1887,AU1887,AW1887,AY1887)</f>
        <v>2500</v>
      </c>
      <c r="BC1887" s="28" t="n">
        <f aca="false">BA1887-BB1887</f>
        <v>0</v>
      </c>
      <c r="BD1887" s="32" t="n">
        <f aca="false">SUM(P1887,R1887,T1887,V1887,X1887,Z1887,AB1887,AD1887,AF1887,AH1887,AJ1887,AL1887,AN1887,AP1887,AR1887,AT1887,AV1887,AX1887)</f>
        <v>83.34</v>
      </c>
      <c r="BE1887" s="33" t="n">
        <f aca="false">AZ1887-BD1887</f>
        <v>0</v>
      </c>
      <c r="BF1887" s="34" t="n">
        <f aca="false">BD1887*M1887</f>
        <v>2500.2</v>
      </c>
      <c r="BG1887" s="35" t="n">
        <f aca="false">BA1887-BF1887</f>
        <v>-0.200000000000273</v>
      </c>
      <c r="BH1887" s="19" t="str">
        <f aca="false">IF(BG1887=0,"",IF(BG1887&lt;&gt;BA1887,"erreur de calcul",IF(BD1887&lt;&gt;0,"pas de prix",IF(M1887&lt;&gt; 0,"pas de quantité","pas de prix, ni de quantité"))))</f>
        <v>erreur de calcul</v>
      </c>
      <c r="BI1887" s="19"/>
    </row>
    <row r="1888" customFormat="false" ht="15" hidden="false" customHeight="false" outlineLevel="0" collapsed="false">
      <c r="A1888" s="0" t="n">
        <v>6</v>
      </c>
      <c r="B1888" s="8" t="s">
        <v>24</v>
      </c>
      <c r="C1888" s="9" t="s">
        <v>25</v>
      </c>
      <c r="D1888" s="9" t="s">
        <v>26</v>
      </c>
      <c r="E1888" s="10" t="n">
        <v>1789</v>
      </c>
      <c r="F1888" s="9" t="s">
        <v>27</v>
      </c>
      <c r="G1888" s="9" t="s">
        <v>27</v>
      </c>
      <c r="H1888" s="11" t="n">
        <v>22</v>
      </c>
      <c r="I1888" s="11" t="s">
        <v>207</v>
      </c>
      <c r="J1888" s="14"/>
      <c r="K1888" s="14" t="n">
        <v>20</v>
      </c>
      <c r="L1888" s="16"/>
      <c r="M1888" s="27" t="n">
        <f aca="false">J1888+(K1888/20)+(L1888/240)</f>
        <v>1</v>
      </c>
      <c r="N1888" s="17" t="s">
        <v>66</v>
      </c>
      <c r="O1888" s="11"/>
      <c r="P1888" s="28"/>
      <c r="Q1888" s="28" t="n">
        <f aca="false">P1888*$M1888</f>
        <v>0</v>
      </c>
      <c r="R1888" s="28"/>
      <c r="S1888" s="28" t="n">
        <f aca="false">R1888*$M1888</f>
        <v>0</v>
      </c>
      <c r="T1888" s="28"/>
      <c r="U1888" s="28" t="n">
        <f aca="false">T1888*$M1888</f>
        <v>0</v>
      </c>
      <c r="V1888" s="28" t="n">
        <v>33010</v>
      </c>
      <c r="W1888" s="28" t="n">
        <v>33010</v>
      </c>
      <c r="X1888" s="28" t="n">
        <v>292003</v>
      </c>
      <c r="Y1888" s="28" t="n">
        <v>292003</v>
      </c>
      <c r="Z1888" s="28" t="n">
        <v>15558</v>
      </c>
      <c r="AA1888" s="28" t="n">
        <v>15558</v>
      </c>
      <c r="AB1888" s="28" t="n">
        <v>80515</v>
      </c>
      <c r="AC1888" s="28" t="n">
        <v>80515</v>
      </c>
      <c r="AD1888" s="28"/>
      <c r="AE1888" s="28" t="n">
        <f aca="false">AD1888*$M1888</f>
        <v>0</v>
      </c>
      <c r="AF1888" s="28"/>
      <c r="AG1888" s="28" t="n">
        <f aca="false">AF1888*$M1888</f>
        <v>0</v>
      </c>
      <c r="AH1888" s="28" t="n">
        <v>515373</v>
      </c>
      <c r="AI1888" s="28" t="n">
        <v>515373</v>
      </c>
      <c r="AJ1888" s="28"/>
      <c r="AK1888" s="28" t="n">
        <f aca="false">AJ1888*$M1888</f>
        <v>0</v>
      </c>
      <c r="AL1888" s="28" t="n">
        <v>3480</v>
      </c>
      <c r="AM1888" s="28" t="n">
        <v>3480</v>
      </c>
      <c r="AN1888" s="28"/>
      <c r="AO1888" s="28" t="n">
        <f aca="false">AN1888*$M1888</f>
        <v>0</v>
      </c>
      <c r="AP1888" s="28"/>
      <c r="AQ1888" s="28" t="n">
        <f aca="false">AP1888*$M1888</f>
        <v>0</v>
      </c>
      <c r="AR1888" s="28"/>
      <c r="AS1888" s="28" t="n">
        <f aca="false">AR1888*$M1888</f>
        <v>0</v>
      </c>
      <c r="AT1888" s="28"/>
      <c r="AU1888" s="28" t="n">
        <f aca="false">AT1888*$M1888</f>
        <v>0</v>
      </c>
      <c r="AV1888" s="28"/>
      <c r="AW1888" s="28" t="n">
        <f aca="false">AV1888*$M1888</f>
        <v>0</v>
      </c>
      <c r="AX1888" s="28"/>
      <c r="AY1888" s="28" t="n">
        <f aca="false">AX1888*$M1888</f>
        <v>0</v>
      </c>
      <c r="AZ1888" s="30" t="n">
        <v>939939</v>
      </c>
      <c r="BA1888" s="11" t="n">
        <v>939939</v>
      </c>
      <c r="BB1888" s="31" t="n">
        <f aca="false">SUM(Q1888,S1888,U1888,W1888,Y1888,AA1888,AC1888,AE1888,AG1888,AI1888,AK1888,AM1888,AO1888,AQ1888,AS1888,AU1888,AW1888,AY1888)</f>
        <v>939939</v>
      </c>
      <c r="BC1888" s="28" t="n">
        <f aca="false">BA1888-BB1888</f>
        <v>0</v>
      </c>
      <c r="BD1888" s="32" t="n">
        <f aca="false">SUM(P1888,R1888,T1888,V1888,X1888,Z1888,AB1888,AD1888,AF1888,AH1888,AJ1888,AL1888,AN1888,AP1888,AR1888,AT1888,AV1888,AX1888)</f>
        <v>939939</v>
      </c>
      <c r="BE1888" s="33" t="n">
        <f aca="false">AZ1888-BD1888</f>
        <v>0</v>
      </c>
      <c r="BF1888" s="34" t="n">
        <f aca="false">BD1888*M1888</f>
        <v>939939</v>
      </c>
      <c r="BG1888" s="35" t="n">
        <f aca="false">BA1888-BF1888</f>
        <v>0</v>
      </c>
      <c r="BH1888" s="19" t="str">
        <f aca="false">IF(BG1888=0,"",IF(BG1888&lt;&gt;BA1888,"erreur de calcul",IF(BD1888&lt;&gt;0,"pas de prix",IF(M1888&lt;&gt; 0,"pas de quantité","pas de prix, ni de quantité"))))</f>
        <v/>
      </c>
      <c r="BI1888" s="19"/>
    </row>
    <row r="1889" customFormat="false" ht="15" hidden="false" customHeight="false" outlineLevel="0" collapsed="false">
      <c r="A1889" s="0" t="n">
        <v>7</v>
      </c>
      <c r="B1889" s="8" t="s">
        <v>24</v>
      </c>
      <c r="C1889" s="9" t="s">
        <v>25</v>
      </c>
      <c r="D1889" s="9" t="s">
        <v>26</v>
      </c>
      <c r="E1889" s="10" t="n">
        <v>1789</v>
      </c>
      <c r="F1889" s="9" t="s">
        <v>27</v>
      </c>
      <c r="G1889" s="9" t="s">
        <v>27</v>
      </c>
      <c r="H1889" s="11" t="n">
        <v>22</v>
      </c>
      <c r="I1889" s="11" t="s">
        <v>208</v>
      </c>
      <c r="J1889" s="14" t="n">
        <v>60</v>
      </c>
      <c r="K1889" s="14"/>
      <c r="L1889" s="16"/>
      <c r="M1889" s="27" t="n">
        <f aca="false">J1889+(K1889/20)+(L1889/240)</f>
        <v>60</v>
      </c>
      <c r="N1889" s="17" t="s">
        <v>64</v>
      </c>
      <c r="O1889" s="11"/>
      <c r="P1889" s="28"/>
      <c r="Q1889" s="28" t="n">
        <f aca="false">P1889*$M1889</f>
        <v>0</v>
      </c>
      <c r="R1889" s="28"/>
      <c r="S1889" s="28" t="n">
        <f aca="false">R1889*$M1889</f>
        <v>0</v>
      </c>
      <c r="T1889" s="28"/>
      <c r="U1889" s="28" t="n">
        <f aca="false">T1889*$M1889</f>
        <v>0</v>
      </c>
      <c r="V1889" s="28"/>
      <c r="W1889" s="28" t="n">
        <f aca="false">V1889*$M1889</f>
        <v>0</v>
      </c>
      <c r="X1889" s="28"/>
      <c r="Y1889" s="28" t="n">
        <f aca="false">X1889*$M1889</f>
        <v>0</v>
      </c>
      <c r="Z1889" s="28"/>
      <c r="AA1889" s="28" t="n">
        <f aca="false">Z1889*$M1889</f>
        <v>0</v>
      </c>
      <c r="AB1889" s="28"/>
      <c r="AC1889" s="28" t="n">
        <f aca="false">AB1889*$M1889</f>
        <v>0</v>
      </c>
      <c r="AD1889" s="28"/>
      <c r="AE1889" s="28" t="n">
        <f aca="false">AD1889*$M1889</f>
        <v>0</v>
      </c>
      <c r="AF1889" s="28"/>
      <c r="AG1889" s="28" t="n">
        <f aca="false">AF1889*$M1889</f>
        <v>0</v>
      </c>
      <c r="AH1889" s="28"/>
      <c r="AI1889" s="28" t="n">
        <f aca="false">AH1889*$M1889</f>
        <v>0</v>
      </c>
      <c r="AJ1889" s="28" t="n">
        <f aca="false">28692/100</f>
        <v>286.92</v>
      </c>
      <c r="AK1889" s="28" t="n">
        <v>17215</v>
      </c>
      <c r="AL1889" s="28"/>
      <c r="AM1889" s="28" t="n">
        <f aca="false">AL1889*$M1889</f>
        <v>0</v>
      </c>
      <c r="AN1889" s="28"/>
      <c r="AO1889" s="28" t="n">
        <f aca="false">AN1889*$M1889</f>
        <v>0</v>
      </c>
      <c r="AP1889" s="28"/>
      <c r="AQ1889" s="28" t="n">
        <f aca="false">AP1889*$M1889</f>
        <v>0</v>
      </c>
      <c r="AR1889" s="28"/>
      <c r="AS1889" s="28" t="n">
        <f aca="false">AR1889*$M1889</f>
        <v>0</v>
      </c>
      <c r="AT1889" s="28"/>
      <c r="AU1889" s="28" t="n">
        <f aca="false">AT1889*$M1889</f>
        <v>0</v>
      </c>
      <c r="AV1889" s="28"/>
      <c r="AW1889" s="28" t="n">
        <f aca="false">AV1889*$M1889</f>
        <v>0</v>
      </c>
      <c r="AX1889" s="28"/>
      <c r="AY1889" s="28" t="n">
        <f aca="false">AX1889*$M1889</f>
        <v>0</v>
      </c>
      <c r="AZ1889" s="30" t="n">
        <f aca="false">28692/100</f>
        <v>286.92</v>
      </c>
      <c r="BA1889" s="11" t="n">
        <v>17215</v>
      </c>
      <c r="BB1889" s="31" t="n">
        <f aca="false">SUM(Q1889,S1889,U1889,W1889,Y1889,AA1889,AC1889,AE1889,AG1889,AI1889,AK1889,AM1889,AO1889,AQ1889,AS1889,AU1889,AW1889,AY1889)</f>
        <v>17215</v>
      </c>
      <c r="BC1889" s="28" t="n">
        <f aca="false">BA1889-BB1889</f>
        <v>0</v>
      </c>
      <c r="BD1889" s="32" t="n">
        <f aca="false">SUM(P1889,R1889,T1889,V1889,X1889,Z1889,AB1889,AD1889,AF1889,AH1889,AJ1889,AL1889,AN1889,AP1889,AR1889,AT1889,AV1889,AX1889)</f>
        <v>286.92</v>
      </c>
      <c r="BE1889" s="33" t="n">
        <f aca="false">AZ1889-BD1889</f>
        <v>0</v>
      </c>
      <c r="BF1889" s="34" t="n">
        <f aca="false">BD1889*M1889</f>
        <v>17215.2</v>
      </c>
      <c r="BG1889" s="35" t="n">
        <f aca="false">BA1889-BF1889</f>
        <v>-0.200000000000728</v>
      </c>
      <c r="BH1889" s="19" t="str">
        <f aca="false">IF(BG1889=0,"",IF(BG1889&lt;&gt;BA1889,"erreur de calcul",IF(BD1889&lt;&gt;0,"pas de prix",IF(M1889&lt;&gt; 0,"pas de quantité","pas de prix, ni de quantité"))))</f>
        <v>erreur de calcul</v>
      </c>
      <c r="BI1889" s="19"/>
    </row>
    <row r="1890" customFormat="false" ht="15" hidden="false" customHeight="false" outlineLevel="0" collapsed="false">
      <c r="A1890" s="0" t="n">
        <v>8</v>
      </c>
      <c r="B1890" s="8" t="s">
        <v>24</v>
      </c>
      <c r="C1890" s="9" t="s">
        <v>25</v>
      </c>
      <c r="D1890" s="9" t="s">
        <v>26</v>
      </c>
      <c r="E1890" s="10" t="n">
        <v>1789</v>
      </c>
      <c r="F1890" s="9" t="s">
        <v>27</v>
      </c>
      <c r="G1890" s="9" t="s">
        <v>27</v>
      </c>
      <c r="H1890" s="11" t="n">
        <v>22</v>
      </c>
      <c r="I1890" s="11" t="s">
        <v>209</v>
      </c>
      <c r="J1890" s="14" t="n">
        <v>26</v>
      </c>
      <c r="K1890" s="14"/>
      <c r="L1890" s="16"/>
      <c r="M1890" s="27" t="n">
        <f aca="false">J1890+(K1890/20)+(L1890/240)</f>
        <v>26</v>
      </c>
      <c r="N1890" s="17" t="s">
        <v>64</v>
      </c>
      <c r="O1890" s="11"/>
      <c r="P1890" s="28" t="n">
        <f aca="false">9675/100</f>
        <v>96.75</v>
      </c>
      <c r="Q1890" s="28" t="n">
        <v>2515</v>
      </c>
      <c r="R1890" s="28"/>
      <c r="S1890" s="28" t="n">
        <f aca="false">R1890*$M1890</f>
        <v>0</v>
      </c>
      <c r="T1890" s="28"/>
      <c r="U1890" s="28" t="n">
        <f aca="false">T1890*$M1890</f>
        <v>0</v>
      </c>
      <c r="V1890" s="28"/>
      <c r="W1890" s="28" t="n">
        <f aca="false">V1890*$M1890</f>
        <v>0</v>
      </c>
      <c r="X1890" s="28"/>
      <c r="Y1890" s="28" t="n">
        <f aca="false">X1890*$M1890</f>
        <v>0</v>
      </c>
      <c r="Z1890" s="28"/>
      <c r="AA1890" s="28" t="n">
        <f aca="false">Z1890*$M1890</f>
        <v>0</v>
      </c>
      <c r="AB1890" s="28"/>
      <c r="AC1890" s="28" t="n">
        <f aca="false">AB1890*$M1890</f>
        <v>0</v>
      </c>
      <c r="AD1890" s="28"/>
      <c r="AE1890" s="28" t="n">
        <f aca="false">AD1890*$M1890</f>
        <v>0</v>
      </c>
      <c r="AF1890" s="28"/>
      <c r="AG1890" s="28" t="n">
        <f aca="false">AF1890*$M1890</f>
        <v>0</v>
      </c>
      <c r="AH1890" s="28"/>
      <c r="AI1890" s="28" t="n">
        <f aca="false">AH1890*$M1890</f>
        <v>0</v>
      </c>
      <c r="AJ1890" s="28"/>
      <c r="AK1890" s="28" t="n">
        <f aca="false">AJ1890*$M1890</f>
        <v>0</v>
      </c>
      <c r="AL1890" s="28"/>
      <c r="AM1890" s="28" t="n">
        <f aca="false">AL1890*$M1890</f>
        <v>0</v>
      </c>
      <c r="AN1890" s="28"/>
      <c r="AO1890" s="28" t="n">
        <f aca="false">AN1890*$M1890</f>
        <v>0</v>
      </c>
      <c r="AP1890" s="28"/>
      <c r="AQ1890" s="28" t="n">
        <f aca="false">AP1890*$M1890</f>
        <v>0</v>
      </c>
      <c r="AR1890" s="28"/>
      <c r="AS1890" s="28" t="n">
        <f aca="false">AR1890*$M1890</f>
        <v>0</v>
      </c>
      <c r="AT1890" s="28"/>
      <c r="AU1890" s="28" t="n">
        <f aca="false">AT1890*$M1890</f>
        <v>0</v>
      </c>
      <c r="AV1890" s="28"/>
      <c r="AW1890" s="28" t="n">
        <f aca="false">AV1890*$M1890</f>
        <v>0</v>
      </c>
      <c r="AX1890" s="28"/>
      <c r="AY1890" s="28" t="n">
        <f aca="false">AX1890*$M1890</f>
        <v>0</v>
      </c>
      <c r="AZ1890" s="30" t="n">
        <f aca="false">9675/100</f>
        <v>96.75</v>
      </c>
      <c r="BA1890" s="11" t="n">
        <v>2515</v>
      </c>
      <c r="BB1890" s="31" t="n">
        <f aca="false">SUM(Q1890,S1890,U1890,W1890,Y1890,AA1890,AC1890,AE1890,AG1890,AI1890,AK1890,AM1890,AO1890,AQ1890,AS1890,AU1890,AW1890,AY1890)</f>
        <v>2515</v>
      </c>
      <c r="BC1890" s="28" t="n">
        <f aca="false">BA1890-BB1890</f>
        <v>0</v>
      </c>
      <c r="BD1890" s="32" t="n">
        <f aca="false">SUM(P1890,R1890,T1890,V1890,X1890,Z1890,AB1890,AD1890,AF1890,AH1890,AJ1890,AL1890,AN1890,AP1890,AR1890,AT1890,AV1890,AX1890)</f>
        <v>96.75</v>
      </c>
      <c r="BE1890" s="33" t="n">
        <f aca="false">AZ1890-BD1890</f>
        <v>0</v>
      </c>
      <c r="BF1890" s="34" t="n">
        <f aca="false">BD1890*M1890</f>
        <v>2515.5</v>
      </c>
      <c r="BG1890" s="35" t="n">
        <f aca="false">BA1890-BF1890</f>
        <v>-0.5</v>
      </c>
      <c r="BH1890" s="19" t="str">
        <f aca="false">IF(BG1890=0,"",IF(BG1890&lt;&gt;BA1890,"erreur de calcul",IF(BD1890&lt;&gt;0,"pas de prix",IF(M1890&lt;&gt; 0,"pas de quantité","pas de prix, ni de quantité"))))</f>
        <v>erreur de calcul</v>
      </c>
      <c r="BI1890" s="19"/>
    </row>
    <row r="1891" customFormat="false" ht="15" hidden="false" customHeight="false" outlineLevel="0" collapsed="false">
      <c r="A1891" s="0" t="n">
        <v>9</v>
      </c>
      <c r="B1891" s="8" t="s">
        <v>24</v>
      </c>
      <c r="C1891" s="9" t="s">
        <v>25</v>
      </c>
      <c r="D1891" s="9" t="s">
        <v>26</v>
      </c>
      <c r="E1891" s="10" t="n">
        <v>1789</v>
      </c>
      <c r="F1891" s="9" t="s">
        <v>27</v>
      </c>
      <c r="G1891" s="9" t="s">
        <v>27</v>
      </c>
      <c r="H1891" s="11" t="n">
        <v>22</v>
      </c>
      <c r="I1891" s="11" t="s">
        <v>210</v>
      </c>
      <c r="J1891" s="14" t="n">
        <v>8</v>
      </c>
      <c r="K1891" s="14" t="n">
        <v>15</v>
      </c>
      <c r="L1891" s="16"/>
      <c r="M1891" s="27" t="n">
        <f aca="false">J1891+(K1891/20)+(L1891/240)</f>
        <v>8.75</v>
      </c>
      <c r="N1891" s="17" t="s">
        <v>66</v>
      </c>
      <c r="O1891" s="11"/>
      <c r="P1891" s="28"/>
      <c r="Q1891" s="28" t="n">
        <f aca="false">P1891*$M1891</f>
        <v>0</v>
      </c>
      <c r="R1891" s="28"/>
      <c r="S1891" s="28" t="n">
        <f aca="false">R1891*$M1891</f>
        <v>0</v>
      </c>
      <c r="T1891" s="28" t="n">
        <v>2562</v>
      </c>
      <c r="U1891" s="36" t="n">
        <v>21777</v>
      </c>
      <c r="V1891" s="28" t="n">
        <v>127</v>
      </c>
      <c r="W1891" s="28" t="n">
        <v>1111</v>
      </c>
      <c r="X1891" s="28" t="n">
        <v>1945</v>
      </c>
      <c r="Y1891" s="28" t="n">
        <v>17018</v>
      </c>
      <c r="Z1891" s="28"/>
      <c r="AA1891" s="28" t="n">
        <f aca="false">Z1891*$M1891</f>
        <v>0</v>
      </c>
      <c r="AB1891" s="28"/>
      <c r="AC1891" s="28" t="n">
        <f aca="false">AB1891*$M1891</f>
        <v>0</v>
      </c>
      <c r="AD1891" s="28"/>
      <c r="AE1891" s="28" t="n">
        <f aca="false">AD1891*$M1891</f>
        <v>0</v>
      </c>
      <c r="AF1891" s="28"/>
      <c r="AG1891" s="28" t="n">
        <f aca="false">AF1891*$M1891</f>
        <v>0</v>
      </c>
      <c r="AH1891" s="28"/>
      <c r="AI1891" s="28" t="n">
        <f aca="false">AH1891*$M1891</f>
        <v>0</v>
      </c>
      <c r="AJ1891" s="28" t="n">
        <v>3538</v>
      </c>
      <c r="AK1891" s="36" t="n">
        <v>30073</v>
      </c>
      <c r="AL1891" s="28"/>
      <c r="AM1891" s="28" t="n">
        <f aca="false">AL1891*$M1891</f>
        <v>0</v>
      </c>
      <c r="AN1891" s="28"/>
      <c r="AO1891" s="28" t="n">
        <f aca="false">AN1891*$M1891</f>
        <v>0</v>
      </c>
      <c r="AP1891" s="28"/>
      <c r="AQ1891" s="28" t="n">
        <f aca="false">AP1891*$M1891</f>
        <v>0</v>
      </c>
      <c r="AR1891" s="28"/>
      <c r="AS1891" s="28" t="n">
        <f aca="false">AR1891*$M1891</f>
        <v>0</v>
      </c>
      <c r="AT1891" s="28"/>
      <c r="AU1891" s="28" t="n">
        <f aca="false">AT1891*$M1891</f>
        <v>0</v>
      </c>
      <c r="AV1891" s="28"/>
      <c r="AW1891" s="28" t="n">
        <f aca="false">AV1891*$M1891</f>
        <v>0</v>
      </c>
      <c r="AX1891" s="28" t="n">
        <v>11559</v>
      </c>
      <c r="AY1891" s="28" t="n">
        <v>101141</v>
      </c>
      <c r="AZ1891" s="30" t="n">
        <v>19731</v>
      </c>
      <c r="BA1891" s="11" t="n">
        <v>171120</v>
      </c>
      <c r="BB1891" s="31" t="n">
        <f aca="false">SUM(Q1891,S1891,U1891,W1891,Y1891,AA1891,AC1891,AE1891,AG1891,AI1891,AK1891,AM1891,AO1891,AQ1891,AS1891,AU1891,AW1891,AY1891)</f>
        <v>171120</v>
      </c>
      <c r="BC1891" s="28" t="n">
        <f aca="false">BA1891-BB1891</f>
        <v>0</v>
      </c>
      <c r="BD1891" s="32" t="n">
        <f aca="false">SUM(P1891,R1891,T1891,V1891,X1891,Z1891,AB1891,AD1891,AF1891,AH1891,AJ1891,AL1891,AN1891,AP1891,AR1891,AT1891,AV1891,AX1891)</f>
        <v>19731</v>
      </c>
      <c r="BE1891" s="33" t="n">
        <f aca="false">AZ1891-BD1891</f>
        <v>0</v>
      </c>
      <c r="BF1891" s="34" t="n">
        <f aca="false">BD1891*M1891</f>
        <v>172646.25</v>
      </c>
      <c r="BG1891" s="35" t="n">
        <f aca="false">BA1891-BF1891</f>
        <v>-1526.25</v>
      </c>
      <c r="BH1891" s="19" t="str">
        <f aca="false">IF(BG1891=0,"",IF(BG1891&lt;&gt;BA1891,"erreur de calcul",IF(BD1891&lt;&gt;0,"pas de prix",IF(M1891&lt;&gt; 0,"pas de quantité","pas de prix, ni de quantité"))))</f>
        <v>erreur de calcul</v>
      </c>
      <c r="BI1891" s="19"/>
    </row>
    <row r="1892" customFormat="false" ht="15" hidden="false" customHeight="false" outlineLevel="0" collapsed="false">
      <c r="A1892" s="0" t="n">
        <v>10</v>
      </c>
      <c r="B1892" s="8" t="s">
        <v>24</v>
      </c>
      <c r="C1892" s="9" t="s">
        <v>25</v>
      </c>
      <c r="D1892" s="9" t="s">
        <v>26</v>
      </c>
      <c r="E1892" s="10" t="n">
        <v>1789</v>
      </c>
      <c r="F1892" s="9" t="s">
        <v>27</v>
      </c>
      <c r="G1892" s="9" t="s">
        <v>27</v>
      </c>
      <c r="H1892" s="11" t="n">
        <v>22</v>
      </c>
      <c r="I1892" s="11" t="s">
        <v>211</v>
      </c>
      <c r="J1892" s="14" t="n">
        <v>11</v>
      </c>
      <c r="K1892" s="14"/>
      <c r="L1892" s="16"/>
      <c r="M1892" s="27" t="n">
        <f aca="false">J1892+(K1892/20)+(L1892/240)</f>
        <v>11</v>
      </c>
      <c r="N1892" s="17" t="s">
        <v>66</v>
      </c>
      <c r="O1892" s="11"/>
      <c r="P1892" s="28" t="n">
        <v>95190</v>
      </c>
      <c r="Q1892" s="28" t="n">
        <v>1047090</v>
      </c>
      <c r="R1892" s="28"/>
      <c r="S1892" s="28" t="n">
        <f aca="false">R1892*$M1892</f>
        <v>0</v>
      </c>
      <c r="T1892" s="28"/>
      <c r="U1892" s="28" t="n">
        <f aca="false">T1892*$M1892</f>
        <v>0</v>
      </c>
      <c r="V1892" s="28"/>
      <c r="W1892" s="28" t="n">
        <f aca="false">V1892*$M1892</f>
        <v>0</v>
      </c>
      <c r="X1892" s="28"/>
      <c r="Y1892" s="28" t="n">
        <f aca="false">X1892*$M1892</f>
        <v>0</v>
      </c>
      <c r="Z1892" s="28"/>
      <c r="AA1892" s="28" t="n">
        <f aca="false">Z1892*$M1892</f>
        <v>0</v>
      </c>
      <c r="AB1892" s="28"/>
      <c r="AC1892" s="28" t="n">
        <f aca="false">AB1892*$M1892</f>
        <v>0</v>
      </c>
      <c r="AD1892" s="28"/>
      <c r="AE1892" s="28" t="n">
        <f aca="false">AD1892*$M1892</f>
        <v>0</v>
      </c>
      <c r="AF1892" s="28"/>
      <c r="AG1892" s="28" t="n">
        <f aca="false">AF1892*$M1892</f>
        <v>0</v>
      </c>
      <c r="AH1892" s="28"/>
      <c r="AI1892" s="28" t="n">
        <f aca="false">AH1892*$M1892</f>
        <v>0</v>
      </c>
      <c r="AJ1892" s="28"/>
      <c r="AK1892" s="28" t="n">
        <f aca="false">AJ1892*$M1892</f>
        <v>0</v>
      </c>
      <c r="AL1892" s="28"/>
      <c r="AM1892" s="28" t="n">
        <f aca="false">AL1892*$M1892</f>
        <v>0</v>
      </c>
      <c r="AN1892" s="28"/>
      <c r="AO1892" s="28" t="n">
        <f aca="false">AN1892*$M1892</f>
        <v>0</v>
      </c>
      <c r="AP1892" s="28"/>
      <c r="AQ1892" s="28" t="n">
        <f aca="false">AP1892*$M1892</f>
        <v>0</v>
      </c>
      <c r="AR1892" s="28"/>
      <c r="AS1892" s="28" t="n">
        <f aca="false">AR1892*$M1892</f>
        <v>0</v>
      </c>
      <c r="AT1892" s="28"/>
      <c r="AU1892" s="28" t="n">
        <f aca="false">AT1892*$M1892</f>
        <v>0</v>
      </c>
      <c r="AV1892" s="28"/>
      <c r="AW1892" s="28" t="n">
        <f aca="false">AV1892*$M1892</f>
        <v>0</v>
      </c>
      <c r="AX1892" s="28"/>
      <c r="AY1892" s="28" t="n">
        <f aca="false">AX1892*$M1892</f>
        <v>0</v>
      </c>
      <c r="AZ1892" s="30" t="n">
        <v>95190</v>
      </c>
      <c r="BA1892" s="11" t="n">
        <v>1047090</v>
      </c>
      <c r="BB1892" s="31" t="n">
        <f aca="false">SUM(Q1892,S1892,U1892,W1892,Y1892,AA1892,AC1892,AE1892,AG1892,AI1892,AK1892,AM1892,AO1892,AQ1892,AS1892,AU1892,AW1892,AY1892)</f>
        <v>1047090</v>
      </c>
      <c r="BC1892" s="28" t="n">
        <f aca="false">BA1892-BB1892</f>
        <v>0</v>
      </c>
      <c r="BD1892" s="32" t="n">
        <f aca="false">SUM(P1892,R1892,T1892,V1892,X1892,Z1892,AB1892,AD1892,AF1892,AH1892,AJ1892,AL1892,AN1892,AP1892,AR1892,AT1892,AV1892,AX1892)</f>
        <v>95190</v>
      </c>
      <c r="BE1892" s="33" t="n">
        <f aca="false">AZ1892-BD1892</f>
        <v>0</v>
      </c>
      <c r="BF1892" s="34" t="n">
        <f aca="false">BD1892*M1892</f>
        <v>1047090</v>
      </c>
      <c r="BG1892" s="35" t="n">
        <f aca="false">BA1892-BF1892</f>
        <v>0</v>
      </c>
      <c r="BH1892" s="19" t="str">
        <f aca="false">IF(BG1892=0,"",IF(BG1892&lt;&gt;BA1892,"erreur de calcul",IF(BD1892&lt;&gt;0,"pas de prix",IF(M1892&lt;&gt; 0,"pas de quantité","pas de prix, ni de quantité"))))</f>
        <v/>
      </c>
      <c r="BI1892" s="19"/>
    </row>
    <row r="1893" customFormat="false" ht="17.15" hidden="false" customHeight="false" outlineLevel="0" collapsed="false">
      <c r="A1893" s="0" t="n">
        <v>11</v>
      </c>
      <c r="B1893" s="8" t="s">
        <v>24</v>
      </c>
      <c r="C1893" s="9" t="s">
        <v>25</v>
      </c>
      <c r="D1893" s="9" t="s">
        <v>26</v>
      </c>
      <c r="E1893" s="10" t="n">
        <v>1789</v>
      </c>
      <c r="F1893" s="9" t="s">
        <v>27</v>
      </c>
      <c r="G1893" s="9" t="s">
        <v>27</v>
      </c>
      <c r="H1893" s="11" t="n">
        <v>22</v>
      </c>
      <c r="I1893" s="40" t="s">
        <v>212</v>
      </c>
      <c r="J1893" s="14" t="n">
        <v>75</v>
      </c>
      <c r="K1893" s="14"/>
      <c r="L1893" s="16"/>
      <c r="M1893" s="27" t="n">
        <f aca="false">J1893+(K1893/20)+(L1893/240)</f>
        <v>75</v>
      </c>
      <c r="N1893" s="17" t="s">
        <v>64</v>
      </c>
      <c r="O1893" s="11"/>
      <c r="P1893" s="28"/>
      <c r="Q1893" s="28" t="n">
        <f aca="false">P1893*$M1893</f>
        <v>0</v>
      </c>
      <c r="R1893" s="28"/>
      <c r="S1893" s="28" t="n">
        <f aca="false">R1893*$M1893</f>
        <v>0</v>
      </c>
      <c r="T1893" s="28"/>
      <c r="U1893" s="28" t="n">
        <f aca="false">T1893*$M1893</f>
        <v>0</v>
      </c>
      <c r="V1893" s="28"/>
      <c r="W1893" s="28" t="n">
        <f aca="false">V1893*$M1893</f>
        <v>0</v>
      </c>
      <c r="X1893" s="28"/>
      <c r="Y1893" s="28" t="n">
        <f aca="false">X1893*$M1893</f>
        <v>0</v>
      </c>
      <c r="Z1893" s="28"/>
      <c r="AA1893" s="28" t="n">
        <f aca="false">Z1893*$M1893</f>
        <v>0</v>
      </c>
      <c r="AB1893" s="28"/>
      <c r="AC1893" s="28" t="n">
        <f aca="false">AB1893*$M1893</f>
        <v>0</v>
      </c>
      <c r="AD1893" s="28"/>
      <c r="AE1893" s="28" t="n">
        <f aca="false">AD1893*$M1893</f>
        <v>0</v>
      </c>
      <c r="AF1893" s="28"/>
      <c r="AG1893" s="28" t="n">
        <f aca="false">AF1893*$M1893</f>
        <v>0</v>
      </c>
      <c r="AH1893" s="28"/>
      <c r="AI1893" s="28" t="n">
        <f aca="false">AH1893*$M1893</f>
        <v>0</v>
      </c>
      <c r="AJ1893" s="28" t="n">
        <f aca="false">2372/100</f>
        <v>23.72</v>
      </c>
      <c r="AK1893" s="28" t="n">
        <v>1779</v>
      </c>
      <c r="AL1893" s="28"/>
      <c r="AM1893" s="28" t="n">
        <f aca="false">AL1893*$M1893</f>
        <v>0</v>
      </c>
      <c r="AN1893" s="28"/>
      <c r="AO1893" s="28" t="n">
        <f aca="false">AN1893*$M1893</f>
        <v>0</v>
      </c>
      <c r="AP1893" s="28"/>
      <c r="AQ1893" s="28" t="n">
        <f aca="false">AP1893*$M1893</f>
        <v>0</v>
      </c>
      <c r="AR1893" s="28"/>
      <c r="AS1893" s="28" t="n">
        <f aca="false">AR1893*$M1893</f>
        <v>0</v>
      </c>
      <c r="AT1893" s="28"/>
      <c r="AU1893" s="28" t="n">
        <f aca="false">AT1893*$M1893</f>
        <v>0</v>
      </c>
      <c r="AV1893" s="28"/>
      <c r="AW1893" s="28" t="n">
        <f aca="false">AV1893*$M1893</f>
        <v>0</v>
      </c>
      <c r="AX1893" s="28"/>
      <c r="AY1893" s="28" t="n">
        <f aca="false">AX1893*$M1893</f>
        <v>0</v>
      </c>
      <c r="AZ1893" s="30" t="n">
        <f aca="false">2372/100</f>
        <v>23.72</v>
      </c>
      <c r="BA1893" s="11" t="n">
        <v>1779</v>
      </c>
      <c r="BB1893" s="31" t="n">
        <f aca="false">SUM(Q1893,S1893,U1893,W1893,Y1893,AA1893,AC1893,AE1893,AG1893,AI1893,AK1893,AM1893,AO1893,AQ1893,AS1893,AU1893,AW1893,AY1893)</f>
        <v>1779</v>
      </c>
      <c r="BC1893" s="28" t="n">
        <f aca="false">BA1893-BB1893</f>
        <v>0</v>
      </c>
      <c r="BD1893" s="32" t="n">
        <f aca="false">SUM(P1893,R1893,T1893,V1893,X1893,Z1893,AB1893,AD1893,AF1893,AH1893,AJ1893,AL1893,AN1893,AP1893,AR1893,AT1893,AV1893,AX1893)</f>
        <v>23.72</v>
      </c>
      <c r="BE1893" s="33" t="n">
        <f aca="false">AZ1893-BD1893</f>
        <v>0</v>
      </c>
      <c r="BF1893" s="34" t="n">
        <f aca="false">BD1893*M1893</f>
        <v>1779</v>
      </c>
      <c r="BG1893" s="35" t="n">
        <f aca="false">BA1893-BF1893</f>
        <v>0</v>
      </c>
      <c r="BH1893" s="19" t="str">
        <f aca="false">IF(BG1893=0,"",IF(BG1893&lt;&gt;BA1893,"erreur de calcul",IF(BD1893&lt;&gt;0,"pas de prix",IF(M1893&lt;&gt; 0,"pas de quantité","pas de prix, ni de quantité"))))</f>
        <v/>
      </c>
      <c r="BI1893" s="19"/>
    </row>
    <row r="1894" customFormat="false" ht="15" hidden="false" customHeight="false" outlineLevel="0" collapsed="false">
      <c r="A1894" s="0" t="n">
        <v>12</v>
      </c>
      <c r="B1894" s="8" t="s">
        <v>24</v>
      </c>
      <c r="C1894" s="9" t="s">
        <v>25</v>
      </c>
      <c r="D1894" s="9" t="s">
        <v>26</v>
      </c>
      <c r="E1894" s="10" t="n">
        <v>1789</v>
      </c>
      <c r="F1894" s="9" t="s">
        <v>27</v>
      </c>
      <c r="G1894" s="9" t="s">
        <v>27</v>
      </c>
      <c r="H1894" s="11" t="n">
        <v>22</v>
      </c>
      <c r="I1894" s="11" t="s">
        <v>213</v>
      </c>
      <c r="J1894" s="14" t="n">
        <v>31</v>
      </c>
      <c r="K1894" s="14"/>
      <c r="L1894" s="16"/>
      <c r="M1894" s="27" t="n">
        <f aca="false">J1894+(K1894/20)+(L1894/240)</f>
        <v>31</v>
      </c>
      <c r="N1894" s="17" t="s">
        <v>64</v>
      </c>
      <c r="O1894" s="11"/>
      <c r="P1894" s="28"/>
      <c r="Q1894" s="28" t="n">
        <f aca="false">P1894*$M1894</f>
        <v>0</v>
      </c>
      <c r="R1894" s="28"/>
      <c r="S1894" s="28" t="n">
        <f aca="false">R1894*$M1894</f>
        <v>0</v>
      </c>
      <c r="T1894" s="28"/>
      <c r="U1894" s="28" t="n">
        <f aca="false">T1894*$M1894</f>
        <v>0</v>
      </c>
      <c r="V1894" s="28"/>
      <c r="W1894" s="28" t="n">
        <f aca="false">V1894*$M1894</f>
        <v>0</v>
      </c>
      <c r="X1894" s="28" t="n">
        <f aca="false">18202/100</f>
        <v>182.02</v>
      </c>
      <c r="Y1894" s="28" t="n">
        <v>5643</v>
      </c>
      <c r="Z1894" s="28"/>
      <c r="AA1894" s="28" t="n">
        <f aca="false">Z1894*$M1894</f>
        <v>0</v>
      </c>
      <c r="AB1894" s="28"/>
      <c r="AC1894" s="28" t="n">
        <f aca="false">AB1894*$M1894</f>
        <v>0</v>
      </c>
      <c r="AD1894" s="28"/>
      <c r="AE1894" s="28" t="n">
        <f aca="false">AD1894*$M1894</f>
        <v>0</v>
      </c>
      <c r="AF1894" s="28"/>
      <c r="AG1894" s="28" t="n">
        <f aca="false">AF1894*$M1894</f>
        <v>0</v>
      </c>
      <c r="AH1894" s="28"/>
      <c r="AI1894" s="28" t="n">
        <f aca="false">AH1894*$M1894</f>
        <v>0</v>
      </c>
      <c r="AJ1894" s="28"/>
      <c r="AK1894" s="28" t="n">
        <f aca="false">AJ1894*$M1894</f>
        <v>0</v>
      </c>
      <c r="AL1894" s="28"/>
      <c r="AM1894" s="28" t="n">
        <f aca="false">AL1894*$M1894</f>
        <v>0</v>
      </c>
      <c r="AN1894" s="28"/>
      <c r="AO1894" s="28" t="n">
        <f aca="false">AN1894*$M1894</f>
        <v>0</v>
      </c>
      <c r="AP1894" s="28"/>
      <c r="AQ1894" s="28" t="n">
        <f aca="false">AP1894*$M1894</f>
        <v>0</v>
      </c>
      <c r="AR1894" s="28"/>
      <c r="AS1894" s="28" t="n">
        <f aca="false">AR1894*$M1894</f>
        <v>0</v>
      </c>
      <c r="AT1894" s="28"/>
      <c r="AU1894" s="28" t="n">
        <f aca="false">AT1894*$M1894</f>
        <v>0</v>
      </c>
      <c r="AV1894" s="28"/>
      <c r="AW1894" s="28" t="n">
        <f aca="false">AV1894*$M1894</f>
        <v>0</v>
      </c>
      <c r="AX1894" s="28"/>
      <c r="AY1894" s="28" t="n">
        <f aca="false">AX1894*$M1894</f>
        <v>0</v>
      </c>
      <c r="AZ1894" s="30" t="n">
        <f aca="false">18202/100</f>
        <v>182.02</v>
      </c>
      <c r="BA1894" s="11" t="n">
        <v>5643</v>
      </c>
      <c r="BB1894" s="31" t="n">
        <f aca="false">SUM(Q1894,S1894,U1894,W1894,Y1894,AA1894,AC1894,AE1894,AG1894,AI1894,AK1894,AM1894,AO1894,AQ1894,AS1894,AU1894,AW1894,AY1894)</f>
        <v>5643</v>
      </c>
      <c r="BC1894" s="28" t="n">
        <f aca="false">BA1894-BB1894</f>
        <v>0</v>
      </c>
      <c r="BD1894" s="32" t="n">
        <f aca="false">SUM(P1894,R1894,T1894,V1894,X1894,Z1894,AB1894,AD1894,AF1894,AH1894,AJ1894,AL1894,AN1894,AP1894,AR1894,AT1894,AV1894,AX1894)</f>
        <v>182.02</v>
      </c>
      <c r="BE1894" s="33" t="n">
        <f aca="false">AZ1894-BD1894</f>
        <v>0</v>
      </c>
      <c r="BF1894" s="34" t="n">
        <f aca="false">BD1894*M1894</f>
        <v>5642.62</v>
      </c>
      <c r="BG1894" s="35" t="n">
        <f aca="false">BA1894-BF1894</f>
        <v>0.380000000000109</v>
      </c>
      <c r="BH1894" s="19" t="str">
        <f aca="false">IF(BG1894=0,"",IF(BG1894&lt;&gt;BA1894,"erreur de calcul",IF(BD1894&lt;&gt;0,"pas de prix",IF(M1894&lt;&gt; 0,"pas de quantité","pas de prix, ni de quantité"))))</f>
        <v>erreur de calcul</v>
      </c>
      <c r="BI1894" s="19"/>
    </row>
    <row r="1895" customFormat="false" ht="15" hidden="false" customHeight="false" outlineLevel="0" collapsed="false">
      <c r="A1895" s="0" t="n">
        <v>13</v>
      </c>
      <c r="B1895" s="8" t="s">
        <v>24</v>
      </c>
      <c r="C1895" s="9" t="s">
        <v>25</v>
      </c>
      <c r="D1895" s="9" t="s">
        <v>26</v>
      </c>
      <c r="E1895" s="10" t="n">
        <v>1789</v>
      </c>
      <c r="F1895" s="9" t="s">
        <v>27</v>
      </c>
      <c r="G1895" s="9" t="s">
        <v>27</v>
      </c>
      <c r="H1895" s="11" t="n">
        <v>22</v>
      </c>
      <c r="I1895" s="11" t="s">
        <v>214</v>
      </c>
      <c r="J1895" s="14"/>
      <c r="K1895" s="14" t="n">
        <v>20</v>
      </c>
      <c r="L1895" s="16"/>
      <c r="M1895" s="27" t="n">
        <f aca="false">J1895+(K1895/20)+(L1895/240)</f>
        <v>1</v>
      </c>
      <c r="N1895" s="17" t="s">
        <v>66</v>
      </c>
      <c r="O1895" s="11"/>
      <c r="P1895" s="28"/>
      <c r="Q1895" s="28" t="n">
        <f aca="false">P1895*$M1895</f>
        <v>0</v>
      </c>
      <c r="R1895" s="28"/>
      <c r="S1895" s="28" t="n">
        <f aca="false">R1895*$M1895</f>
        <v>0</v>
      </c>
      <c r="T1895" s="28"/>
      <c r="U1895" s="28" t="n">
        <f aca="false">T1895*$M1895</f>
        <v>0</v>
      </c>
      <c r="V1895" s="28"/>
      <c r="W1895" s="28" t="n">
        <f aca="false">V1895*$M1895</f>
        <v>0</v>
      </c>
      <c r="X1895" s="28"/>
      <c r="Y1895" s="28" t="n">
        <f aca="false">X1895*$M1895</f>
        <v>0</v>
      </c>
      <c r="Z1895" s="28"/>
      <c r="AA1895" s="28" t="n">
        <f aca="false">Z1895*$M1895</f>
        <v>0</v>
      </c>
      <c r="AB1895" s="28"/>
      <c r="AC1895" s="28" t="n">
        <f aca="false">AB1895*$M1895</f>
        <v>0</v>
      </c>
      <c r="AD1895" s="28" t="n">
        <v>2831</v>
      </c>
      <c r="AE1895" s="28" t="n">
        <v>2831</v>
      </c>
      <c r="AF1895" s="28"/>
      <c r="AG1895" s="28" t="n">
        <f aca="false">AF1895*$M1895</f>
        <v>0</v>
      </c>
      <c r="AH1895" s="28"/>
      <c r="AI1895" s="28" t="n">
        <f aca="false">AH1895*$M1895</f>
        <v>0</v>
      </c>
      <c r="AJ1895" s="28"/>
      <c r="AK1895" s="28" t="n">
        <f aca="false">AJ1895*$M1895</f>
        <v>0</v>
      </c>
      <c r="AL1895" s="28"/>
      <c r="AM1895" s="28" t="n">
        <f aca="false">AL1895*$M1895</f>
        <v>0</v>
      </c>
      <c r="AN1895" s="28"/>
      <c r="AO1895" s="28" t="n">
        <f aca="false">AN1895*$M1895</f>
        <v>0</v>
      </c>
      <c r="AP1895" s="28"/>
      <c r="AQ1895" s="28" t="n">
        <f aca="false">AP1895*$M1895</f>
        <v>0</v>
      </c>
      <c r="AR1895" s="28"/>
      <c r="AS1895" s="28" t="n">
        <f aca="false">AR1895*$M1895</f>
        <v>0</v>
      </c>
      <c r="AT1895" s="28"/>
      <c r="AU1895" s="28" t="n">
        <f aca="false">AT1895*$M1895</f>
        <v>0</v>
      </c>
      <c r="AV1895" s="28"/>
      <c r="AW1895" s="28" t="n">
        <f aca="false">AV1895*$M1895</f>
        <v>0</v>
      </c>
      <c r="AX1895" s="28"/>
      <c r="AY1895" s="28" t="n">
        <f aca="false">AX1895*$M1895</f>
        <v>0</v>
      </c>
      <c r="AZ1895" s="30" t="n">
        <v>2831</v>
      </c>
      <c r="BA1895" s="11" t="n">
        <v>2831</v>
      </c>
      <c r="BB1895" s="31" t="n">
        <f aca="false">SUM(Q1895,S1895,U1895,W1895,Y1895,AA1895,AC1895,AE1895,AG1895,AI1895,AK1895,AM1895,AO1895,AQ1895,AS1895,AU1895,AW1895,AY1895)</f>
        <v>2831</v>
      </c>
      <c r="BC1895" s="28" t="n">
        <f aca="false">BA1895-BB1895</f>
        <v>0</v>
      </c>
      <c r="BD1895" s="32" t="n">
        <f aca="false">SUM(P1895,R1895,T1895,V1895,X1895,Z1895,AB1895,AD1895,AF1895,AH1895,AJ1895,AL1895,AN1895,AP1895,AR1895,AT1895,AV1895,AX1895)</f>
        <v>2831</v>
      </c>
      <c r="BE1895" s="33" t="n">
        <f aca="false">AZ1895-BD1895</f>
        <v>0</v>
      </c>
      <c r="BF1895" s="34" t="n">
        <f aca="false">BD1895*M1895</f>
        <v>2831</v>
      </c>
      <c r="BG1895" s="35" t="n">
        <f aca="false">BA1895-BF1895</f>
        <v>0</v>
      </c>
      <c r="BH1895" s="19" t="str">
        <f aca="false">IF(BG1895=0,"",IF(BG1895&lt;&gt;BA1895,"erreur de calcul",IF(BD1895&lt;&gt;0,"pas de prix",IF(M1895&lt;&gt; 0,"pas de quantité","pas de prix, ni de quantité"))))</f>
        <v/>
      </c>
      <c r="BI1895" s="19"/>
    </row>
    <row r="1896" customFormat="false" ht="15" hidden="false" customHeight="false" outlineLevel="0" collapsed="false">
      <c r="A1896" s="0" t="n">
        <v>14</v>
      </c>
      <c r="B1896" s="8" t="s">
        <v>24</v>
      </c>
      <c r="C1896" s="9" t="s">
        <v>25</v>
      </c>
      <c r="D1896" s="9" t="s">
        <v>26</v>
      </c>
      <c r="E1896" s="10" t="n">
        <v>1789</v>
      </c>
      <c r="F1896" s="9" t="s">
        <v>27</v>
      </c>
      <c r="G1896" s="9" t="s">
        <v>27</v>
      </c>
      <c r="H1896" s="11" t="n">
        <v>22</v>
      </c>
      <c r="I1896" s="11" t="s">
        <v>215</v>
      </c>
      <c r="J1896" s="14" t="n">
        <v>36</v>
      </c>
      <c r="K1896" s="14"/>
      <c r="L1896" s="16"/>
      <c r="M1896" s="27" t="n">
        <f aca="false">J1896+(K1896/20)+(L1896/240)</f>
        <v>36</v>
      </c>
      <c r="N1896" s="17" t="s">
        <v>64</v>
      </c>
      <c r="O1896" s="11"/>
      <c r="P1896" s="28"/>
      <c r="Q1896" s="28" t="n">
        <f aca="false">P1896*$M1896</f>
        <v>0</v>
      </c>
      <c r="R1896" s="28"/>
      <c r="S1896" s="28" t="n">
        <f aca="false">R1896*$M1896</f>
        <v>0</v>
      </c>
      <c r="T1896" s="28"/>
      <c r="U1896" s="28" t="n">
        <f aca="false">T1896*$M1896</f>
        <v>0</v>
      </c>
      <c r="V1896" s="28"/>
      <c r="W1896" s="28" t="n">
        <f aca="false">V1896*$M1896</f>
        <v>0</v>
      </c>
      <c r="X1896" s="28"/>
      <c r="Y1896" s="28" t="n">
        <f aca="false">X1896*$M1896</f>
        <v>0</v>
      </c>
      <c r="Z1896" s="28"/>
      <c r="AA1896" s="28" t="n">
        <f aca="false">Z1896*$M1896</f>
        <v>0</v>
      </c>
      <c r="AB1896" s="28"/>
      <c r="AC1896" s="28" t="n">
        <f aca="false">AB1896*$M1896</f>
        <v>0</v>
      </c>
      <c r="AD1896" s="28"/>
      <c r="AE1896" s="28" t="n">
        <f aca="false">AD1896*$M1896</f>
        <v>0</v>
      </c>
      <c r="AF1896" s="28" t="n">
        <f aca="false">92472/100</f>
        <v>924.72</v>
      </c>
      <c r="AG1896" s="28" t="n">
        <v>33290</v>
      </c>
      <c r="AH1896" s="28" t="n">
        <f aca="false">490633/100</f>
        <v>4906.33</v>
      </c>
      <c r="AI1896" s="28" t="n">
        <v>176628</v>
      </c>
      <c r="AJ1896" s="28"/>
      <c r="AK1896" s="28" t="n">
        <f aca="false">AJ1896*$M1896</f>
        <v>0</v>
      </c>
      <c r="AL1896" s="28"/>
      <c r="AM1896" s="28" t="n">
        <f aca="false">AL1896*$M1896</f>
        <v>0</v>
      </c>
      <c r="AN1896" s="28"/>
      <c r="AO1896" s="28" t="n">
        <f aca="false">AN1896*$M1896</f>
        <v>0</v>
      </c>
      <c r="AP1896" s="28"/>
      <c r="AQ1896" s="28" t="n">
        <f aca="false">AP1896*$M1896</f>
        <v>0</v>
      </c>
      <c r="AR1896" s="28"/>
      <c r="AS1896" s="28" t="n">
        <f aca="false">AR1896*$M1896</f>
        <v>0</v>
      </c>
      <c r="AT1896" s="28"/>
      <c r="AU1896" s="28" t="n">
        <f aca="false">AT1896*$M1896</f>
        <v>0</v>
      </c>
      <c r="AV1896" s="28"/>
      <c r="AW1896" s="28" t="n">
        <f aca="false">AV1896*$M1896</f>
        <v>0</v>
      </c>
      <c r="AX1896" s="28"/>
      <c r="AY1896" s="28" t="n">
        <f aca="false">AX1896*$M1896</f>
        <v>0</v>
      </c>
      <c r="AZ1896" s="30" t="n">
        <f aca="false">583105/100</f>
        <v>5831.05</v>
      </c>
      <c r="BA1896" s="11" t="n">
        <v>209918</v>
      </c>
      <c r="BB1896" s="31" t="n">
        <f aca="false">SUM(Q1896,S1896,U1896,W1896,Y1896,AA1896,AC1896,AE1896,AG1896,AI1896,AK1896,AM1896,AO1896,AQ1896,AS1896,AU1896,AW1896,AY1896)</f>
        <v>209918</v>
      </c>
      <c r="BC1896" s="28" t="n">
        <f aca="false">BA1896-BB1896</f>
        <v>0</v>
      </c>
      <c r="BD1896" s="32" t="n">
        <f aca="false">SUM(P1896,R1896,T1896,V1896,X1896,Z1896,AB1896,AD1896,AF1896,AH1896,AJ1896,AL1896,AN1896,AP1896,AR1896,AT1896,AV1896,AX1896)</f>
        <v>5831.05</v>
      </c>
      <c r="BE1896" s="33" t="n">
        <f aca="false">AZ1896-BD1896</f>
        <v>0</v>
      </c>
      <c r="BF1896" s="34" t="n">
        <f aca="false">BD1896*M1896</f>
        <v>209917.8</v>
      </c>
      <c r="BG1896" s="35" t="n">
        <f aca="false">BA1896-BF1896</f>
        <v>0.199999999982538</v>
      </c>
      <c r="BH1896" s="19" t="str">
        <f aca="false">IF(BG1896=0,"",IF(BG1896&lt;&gt;BA1896,"erreur de calcul",IF(BD1896&lt;&gt;0,"pas de prix",IF(M1896&lt;&gt; 0,"pas de quantité","pas de prix, ni de quantité"))))</f>
        <v>erreur de calcul</v>
      </c>
      <c r="BI1896" s="19"/>
    </row>
    <row r="1897" customFormat="false" ht="15" hidden="false" customHeight="false" outlineLevel="0" collapsed="false">
      <c r="A1897" s="0" t="n">
        <v>15</v>
      </c>
      <c r="B1897" s="8" t="s">
        <v>24</v>
      </c>
      <c r="C1897" s="9" t="s">
        <v>25</v>
      </c>
      <c r="D1897" s="9" t="s">
        <v>26</v>
      </c>
      <c r="E1897" s="10" t="n">
        <v>1789</v>
      </c>
      <c r="F1897" s="9" t="s">
        <v>27</v>
      </c>
      <c r="G1897" s="9" t="s">
        <v>27</v>
      </c>
      <c r="H1897" s="11" t="n">
        <v>22</v>
      </c>
      <c r="I1897" s="11" t="s">
        <v>216</v>
      </c>
      <c r="J1897" s="14"/>
      <c r="K1897" s="14" t="n">
        <v>22</v>
      </c>
      <c r="L1897" s="16"/>
      <c r="M1897" s="27" t="n">
        <f aca="false">J1897+(K1897/20)+(L1897/240)</f>
        <v>1.1</v>
      </c>
      <c r="N1897" s="17" t="s">
        <v>66</v>
      </c>
      <c r="O1897" s="11"/>
      <c r="P1897" s="28"/>
      <c r="Q1897" s="28" t="n">
        <f aca="false">P1897*$M1897</f>
        <v>0</v>
      </c>
      <c r="R1897" s="28"/>
      <c r="S1897" s="28" t="n">
        <f aca="false">R1897*$M1897</f>
        <v>0</v>
      </c>
      <c r="T1897" s="28" t="n">
        <v>2875</v>
      </c>
      <c r="U1897" s="28" t="n">
        <v>3162</v>
      </c>
      <c r="V1897" s="28"/>
      <c r="W1897" s="28" t="n">
        <f aca="false">V1897*$M1897</f>
        <v>0</v>
      </c>
      <c r="X1897" s="28"/>
      <c r="Y1897" s="28" t="n">
        <f aca="false">X1897*$M1897</f>
        <v>0</v>
      </c>
      <c r="Z1897" s="28"/>
      <c r="AA1897" s="28" t="n">
        <f aca="false">Z1897*$M1897</f>
        <v>0</v>
      </c>
      <c r="AB1897" s="28"/>
      <c r="AC1897" s="28" t="n">
        <f aca="false">AB1897*$M1897</f>
        <v>0</v>
      </c>
      <c r="AD1897" s="28"/>
      <c r="AE1897" s="28" t="n">
        <f aca="false">AD1897*$M1897</f>
        <v>0</v>
      </c>
      <c r="AF1897" s="28"/>
      <c r="AG1897" s="28" t="n">
        <f aca="false">AF1897*$M1897</f>
        <v>0</v>
      </c>
      <c r="AH1897" s="28"/>
      <c r="AI1897" s="28" t="n">
        <f aca="false">AH1897*$M1897</f>
        <v>0</v>
      </c>
      <c r="AJ1897" s="28"/>
      <c r="AK1897" s="28" t="n">
        <f aca="false">AJ1897*$M1897</f>
        <v>0</v>
      </c>
      <c r="AL1897" s="28"/>
      <c r="AM1897" s="28" t="n">
        <f aca="false">AL1897*$M1897</f>
        <v>0</v>
      </c>
      <c r="AN1897" s="28"/>
      <c r="AO1897" s="28" t="n">
        <f aca="false">AN1897*$M1897</f>
        <v>0</v>
      </c>
      <c r="AP1897" s="28"/>
      <c r="AQ1897" s="28" t="n">
        <f aca="false">AP1897*$M1897</f>
        <v>0</v>
      </c>
      <c r="AR1897" s="28"/>
      <c r="AS1897" s="28" t="n">
        <f aca="false">AR1897*$M1897</f>
        <v>0</v>
      </c>
      <c r="AT1897" s="28"/>
      <c r="AU1897" s="28" t="n">
        <f aca="false">AT1897*$M1897</f>
        <v>0</v>
      </c>
      <c r="AV1897" s="28"/>
      <c r="AW1897" s="28" t="n">
        <f aca="false">AV1897*$M1897</f>
        <v>0</v>
      </c>
      <c r="AX1897" s="28"/>
      <c r="AY1897" s="28" t="n">
        <f aca="false">AX1897*$M1897</f>
        <v>0</v>
      </c>
      <c r="AZ1897" s="30" t="n">
        <v>2875</v>
      </c>
      <c r="BA1897" s="11" t="n">
        <v>3162</v>
      </c>
      <c r="BB1897" s="31" t="n">
        <f aca="false">SUM(Q1897,S1897,U1897,W1897,Y1897,AA1897,AC1897,AE1897,AG1897,AI1897,AK1897,AM1897,AO1897,AQ1897,AS1897,AU1897,AW1897,AY1897)</f>
        <v>3162</v>
      </c>
      <c r="BC1897" s="28" t="n">
        <f aca="false">BA1897-BB1897</f>
        <v>0</v>
      </c>
      <c r="BD1897" s="32" t="n">
        <f aca="false">SUM(P1897,R1897,T1897,V1897,X1897,Z1897,AB1897,AD1897,AF1897,AH1897,AJ1897,AL1897,AN1897,AP1897,AR1897,AT1897,AV1897,AX1897)</f>
        <v>2875</v>
      </c>
      <c r="BE1897" s="33" t="n">
        <f aca="false">AZ1897-BD1897</f>
        <v>0</v>
      </c>
      <c r="BF1897" s="34" t="n">
        <f aca="false">BD1897*M1897</f>
        <v>3162.5</v>
      </c>
      <c r="BG1897" s="35" t="n">
        <f aca="false">BA1897-BF1897</f>
        <v>-0.500000000000455</v>
      </c>
      <c r="BH1897" s="19" t="str">
        <f aca="false">IF(BG1897=0,"",IF(BG1897&lt;&gt;BA1897,"erreur de calcul",IF(BD1897&lt;&gt;0,"pas de prix",IF(M1897&lt;&gt; 0,"pas de quantité","pas de prix, ni de quantité"))))</f>
        <v>erreur de calcul</v>
      </c>
      <c r="BI1897" s="19"/>
    </row>
    <row r="1898" customFormat="false" ht="15" hidden="false" customHeight="false" outlineLevel="0" collapsed="false">
      <c r="A1898" s="0" t="n">
        <v>16</v>
      </c>
      <c r="B1898" s="8" t="s">
        <v>24</v>
      </c>
      <c r="C1898" s="9" t="s">
        <v>25</v>
      </c>
      <c r="D1898" s="9" t="s">
        <v>26</v>
      </c>
      <c r="E1898" s="10" t="n">
        <v>1789</v>
      </c>
      <c r="F1898" s="9" t="s">
        <v>27</v>
      </c>
      <c r="G1898" s="9" t="s">
        <v>27</v>
      </c>
      <c r="H1898" s="11" t="n">
        <v>22</v>
      </c>
      <c r="I1898" s="11" t="s">
        <v>217</v>
      </c>
      <c r="J1898" s="14" t="n">
        <v>90</v>
      </c>
      <c r="K1898" s="14"/>
      <c r="L1898" s="16"/>
      <c r="M1898" s="27" t="n">
        <f aca="false">J1898+(K1898/20)+(L1898/240)</f>
        <v>90</v>
      </c>
      <c r="N1898" s="17" t="s">
        <v>64</v>
      </c>
      <c r="O1898" s="11"/>
      <c r="P1898" s="28"/>
      <c r="Q1898" s="28" t="n">
        <f aca="false">P1898*$M1898</f>
        <v>0</v>
      </c>
      <c r="R1898" s="28"/>
      <c r="S1898" s="28" t="n">
        <f aca="false">R1898*$M1898</f>
        <v>0</v>
      </c>
      <c r="T1898" s="28"/>
      <c r="U1898" s="28" t="n">
        <f aca="false">T1898*$M1898</f>
        <v>0</v>
      </c>
      <c r="V1898" s="28"/>
      <c r="W1898" s="28" t="n">
        <f aca="false">V1898*$M1898</f>
        <v>0</v>
      </c>
      <c r="X1898" s="28" t="n">
        <f aca="false">2440/100</f>
        <v>24.4</v>
      </c>
      <c r="Y1898" s="28" t="n">
        <v>2196</v>
      </c>
      <c r="Z1898" s="28"/>
      <c r="AA1898" s="28" t="n">
        <f aca="false">Z1898*$M1898</f>
        <v>0</v>
      </c>
      <c r="AB1898" s="28"/>
      <c r="AC1898" s="28" t="n">
        <f aca="false">AB1898*$M1898</f>
        <v>0</v>
      </c>
      <c r="AD1898" s="28"/>
      <c r="AE1898" s="28" t="n">
        <f aca="false">AD1898*$M1898</f>
        <v>0</v>
      </c>
      <c r="AF1898" s="28"/>
      <c r="AG1898" s="28" t="n">
        <f aca="false">AF1898*$M1898</f>
        <v>0</v>
      </c>
      <c r="AH1898" s="28" t="n">
        <f aca="false">524577/100</f>
        <v>5245.77</v>
      </c>
      <c r="AI1898" s="28" t="n">
        <v>472116</v>
      </c>
      <c r="AJ1898" s="28"/>
      <c r="AK1898" s="28" t="n">
        <f aca="false">AJ1898*$M1898</f>
        <v>0</v>
      </c>
      <c r="AL1898" s="28"/>
      <c r="AM1898" s="28" t="n">
        <f aca="false">AL1898*$M1898</f>
        <v>0</v>
      </c>
      <c r="AN1898" s="28"/>
      <c r="AO1898" s="28" t="n">
        <f aca="false">AN1898*$M1898</f>
        <v>0</v>
      </c>
      <c r="AP1898" s="28"/>
      <c r="AQ1898" s="28" t="n">
        <f aca="false">AP1898*$M1898</f>
        <v>0</v>
      </c>
      <c r="AR1898" s="28"/>
      <c r="AS1898" s="28" t="n">
        <f aca="false">AR1898*$M1898</f>
        <v>0</v>
      </c>
      <c r="AT1898" s="28"/>
      <c r="AU1898" s="28" t="n">
        <f aca="false">AT1898*$M1898</f>
        <v>0</v>
      </c>
      <c r="AV1898" s="28"/>
      <c r="AW1898" s="28" t="n">
        <f aca="false">AV1898*$M1898</f>
        <v>0</v>
      </c>
      <c r="AX1898" s="28"/>
      <c r="AY1898" s="28" t="n">
        <f aca="false">AX1898*$M1898</f>
        <v>0</v>
      </c>
      <c r="AZ1898" s="30" t="n">
        <f aca="false">526980/100</f>
        <v>5269.8</v>
      </c>
      <c r="BA1898" s="11" t="n">
        <v>474312</v>
      </c>
      <c r="BB1898" s="31" t="n">
        <f aca="false">SUM(Q1898,S1898,U1898,W1898,Y1898,AA1898,AC1898,AE1898,AG1898,AI1898,AK1898,AM1898,AO1898,AQ1898,AS1898,AU1898,AW1898,AY1898)</f>
        <v>474312</v>
      </c>
      <c r="BC1898" s="28" t="n">
        <f aca="false">BA1898-BB1898</f>
        <v>0</v>
      </c>
      <c r="BD1898" s="32" t="n">
        <f aca="false">SUM(P1898,R1898,T1898,V1898,X1898,Z1898,AB1898,AD1898,AF1898,AH1898,AJ1898,AL1898,AN1898,AP1898,AR1898,AT1898,AV1898,AX1898)</f>
        <v>5270.17</v>
      </c>
      <c r="BE1898" s="33" t="n">
        <f aca="false">AZ1898-BD1898</f>
        <v>-0.369999999999891</v>
      </c>
      <c r="BF1898" s="34" t="n">
        <f aca="false">BD1898*M1898</f>
        <v>474315.3</v>
      </c>
      <c r="BG1898" s="35" t="n">
        <f aca="false">BA1898-BF1898</f>
        <v>-3.29999999998836</v>
      </c>
      <c r="BH1898" s="19" t="str">
        <f aca="false">IF(BG1898=0,"",IF(BG1898&lt;&gt;BA1898,"erreur de calcul",IF(BD1898&lt;&gt;0,"pas de prix",IF(M1898&lt;&gt; 0,"pas de quantité","pas de prix, ni de quantité"))))</f>
        <v>erreur de calcul</v>
      </c>
      <c r="BI1898" s="19"/>
    </row>
    <row r="1899" customFormat="false" ht="15" hidden="false" customHeight="false" outlineLevel="0" collapsed="false">
      <c r="A1899" s="0" t="n">
        <v>17</v>
      </c>
      <c r="B1899" s="8" t="s">
        <v>24</v>
      </c>
      <c r="C1899" s="9" t="s">
        <v>25</v>
      </c>
      <c r="D1899" s="9" t="s">
        <v>26</v>
      </c>
      <c r="E1899" s="10" t="n">
        <v>1789</v>
      </c>
      <c r="F1899" s="9" t="s">
        <v>27</v>
      </c>
      <c r="G1899" s="9" t="s">
        <v>27</v>
      </c>
      <c r="H1899" s="11" t="n">
        <v>22</v>
      </c>
      <c r="I1899" s="11" t="s">
        <v>218</v>
      </c>
      <c r="J1899" s="14" t="n">
        <v>15</v>
      </c>
      <c r="K1899" s="14"/>
      <c r="L1899" s="16"/>
      <c r="M1899" s="27" t="n">
        <f aca="false">J1899+(K1899/20)+(L1899/240)</f>
        <v>15</v>
      </c>
      <c r="N1899" s="17" t="s">
        <v>64</v>
      </c>
      <c r="O1899" s="11"/>
      <c r="P1899" s="28" t="n">
        <f aca="false">12250/100</f>
        <v>122.5</v>
      </c>
      <c r="Q1899" s="28" t="n">
        <v>1837</v>
      </c>
      <c r="R1899" s="28"/>
      <c r="S1899" s="28" t="n">
        <f aca="false">R1899*$M1899</f>
        <v>0</v>
      </c>
      <c r="T1899" s="28"/>
      <c r="U1899" s="28" t="n">
        <f aca="false">T1899*$M1899</f>
        <v>0</v>
      </c>
      <c r="V1899" s="28" t="n">
        <f aca="false">118493/100</f>
        <v>1184.93</v>
      </c>
      <c r="W1899" s="28" t="n">
        <v>17774</v>
      </c>
      <c r="X1899" s="28" t="n">
        <f aca="false">16835/100</f>
        <v>168.35</v>
      </c>
      <c r="Y1899" s="28" t="n">
        <v>2525</v>
      </c>
      <c r="Z1899" s="28"/>
      <c r="AA1899" s="28" t="n">
        <f aca="false">Z1899*$M1899</f>
        <v>0</v>
      </c>
      <c r="AB1899" s="28" t="n">
        <f aca="false">268622/100</f>
        <v>2686.22</v>
      </c>
      <c r="AC1899" s="28" t="n">
        <v>40293</v>
      </c>
      <c r="AD1899" s="28"/>
      <c r="AE1899" s="28" t="n">
        <f aca="false">AD1899*$M1899</f>
        <v>0</v>
      </c>
      <c r="AF1899" s="28"/>
      <c r="AG1899" s="28" t="n">
        <f aca="false">AF1899*$M1899</f>
        <v>0</v>
      </c>
      <c r="AH1899" s="28" t="n">
        <f aca="false">70164/100</f>
        <v>701.64</v>
      </c>
      <c r="AI1899" s="28" t="n">
        <v>10524</v>
      </c>
      <c r="AJ1899" s="28"/>
      <c r="AK1899" s="28" t="n">
        <f aca="false">AJ1899*$M1899</f>
        <v>0</v>
      </c>
      <c r="AL1899" s="28"/>
      <c r="AM1899" s="28" t="n">
        <f aca="false">AL1899*$M1899</f>
        <v>0</v>
      </c>
      <c r="AN1899" s="28"/>
      <c r="AO1899" s="28" t="n">
        <f aca="false">AN1899*$M1899</f>
        <v>0</v>
      </c>
      <c r="AP1899" s="28"/>
      <c r="AQ1899" s="28" t="n">
        <f aca="false">AP1899*$M1899</f>
        <v>0</v>
      </c>
      <c r="AR1899" s="28"/>
      <c r="AS1899" s="28" t="n">
        <f aca="false">AR1899*$M1899</f>
        <v>0</v>
      </c>
      <c r="AT1899" s="28"/>
      <c r="AU1899" s="28" t="n">
        <f aca="false">AT1899*$M1899</f>
        <v>0</v>
      </c>
      <c r="AV1899" s="28"/>
      <c r="AW1899" s="28" t="n">
        <f aca="false">AV1899*$M1899</f>
        <v>0</v>
      </c>
      <c r="AX1899" s="28"/>
      <c r="AY1899" s="28" t="n">
        <f aca="false">AX1899*$M1899</f>
        <v>0</v>
      </c>
      <c r="AZ1899" s="30" t="n">
        <f aca="false">486364/100</f>
        <v>4863.64</v>
      </c>
      <c r="BA1899" s="11" t="n">
        <v>72953</v>
      </c>
      <c r="BB1899" s="31" t="n">
        <f aca="false">SUM(Q1899,S1899,U1899,W1899,Y1899,AA1899,AC1899,AE1899,AG1899,AI1899,AK1899,AM1899,AO1899,AQ1899,AS1899,AU1899,AW1899,AY1899)</f>
        <v>72953</v>
      </c>
      <c r="BC1899" s="28" t="n">
        <f aca="false">BA1899-BB1899</f>
        <v>0</v>
      </c>
      <c r="BD1899" s="32" t="n">
        <f aca="false">SUM(P1899,R1899,T1899,V1899,X1899,Z1899,AB1899,AD1899,AF1899,AH1899,AJ1899,AL1899,AN1899,AP1899,AR1899,AT1899,AV1899,AX1899)</f>
        <v>4863.64</v>
      </c>
      <c r="BE1899" s="33" t="n">
        <f aca="false">AZ1899-BD1899</f>
        <v>0</v>
      </c>
      <c r="BF1899" s="34" t="n">
        <f aca="false">BD1899*M1899</f>
        <v>72954.6</v>
      </c>
      <c r="BG1899" s="35" t="n">
        <f aca="false">BA1899-BF1899</f>
        <v>-1.59999999999127</v>
      </c>
      <c r="BH1899" s="19" t="str">
        <f aca="false">IF(BG1899=0,"",IF(BG1899&lt;&gt;BA1899,"erreur de calcul",IF(BD1899&lt;&gt;0,"pas de prix",IF(M1899&lt;&gt; 0,"pas de quantité","pas de prix, ni de quantité"))))</f>
        <v>erreur de calcul</v>
      </c>
      <c r="BI1899" s="19"/>
    </row>
    <row r="1900" customFormat="false" ht="15" hidden="false" customHeight="false" outlineLevel="0" collapsed="false">
      <c r="A1900" s="0" t="n">
        <v>18</v>
      </c>
      <c r="B1900" s="8" t="s">
        <v>24</v>
      </c>
      <c r="C1900" s="9" t="s">
        <v>25</v>
      </c>
      <c r="D1900" s="9" t="s">
        <v>26</v>
      </c>
      <c r="E1900" s="10" t="n">
        <v>1789</v>
      </c>
      <c r="F1900" s="9" t="s">
        <v>27</v>
      </c>
      <c r="G1900" s="9" t="s">
        <v>27</v>
      </c>
      <c r="H1900" s="11" t="n">
        <v>22</v>
      </c>
      <c r="I1900" s="11" t="s">
        <v>219</v>
      </c>
      <c r="J1900" s="14" t="n">
        <v>12</v>
      </c>
      <c r="K1900" s="14"/>
      <c r="L1900" s="16"/>
      <c r="M1900" s="27" t="n">
        <f aca="false">J1900+(K1900/20)+(L1900/240)</f>
        <v>12</v>
      </c>
      <c r="N1900" s="17" t="s">
        <v>64</v>
      </c>
      <c r="O1900" s="11"/>
      <c r="P1900" s="28"/>
      <c r="Q1900" s="28" t="n">
        <f aca="false">P1900*$M1900</f>
        <v>0</v>
      </c>
      <c r="R1900" s="28"/>
      <c r="S1900" s="28" t="n">
        <f aca="false">R1900*$M1900</f>
        <v>0</v>
      </c>
      <c r="T1900" s="28"/>
      <c r="U1900" s="28" t="n">
        <f aca="false">T1900*$M1900</f>
        <v>0</v>
      </c>
      <c r="V1900" s="28" t="n">
        <f aca="false">26072/100</f>
        <v>260.72</v>
      </c>
      <c r="W1900" s="28" t="n">
        <v>3129</v>
      </c>
      <c r="X1900" s="28" t="n">
        <f aca="false">16340/100</f>
        <v>163.4</v>
      </c>
      <c r="Y1900" s="28" t="n">
        <v>1961</v>
      </c>
      <c r="Z1900" s="28"/>
      <c r="AA1900" s="28" t="n">
        <f aca="false">Z1900*$M1900</f>
        <v>0</v>
      </c>
      <c r="AB1900" s="28" t="n">
        <f aca="false">76351/100</f>
        <v>763.51</v>
      </c>
      <c r="AC1900" s="28" t="n">
        <v>9162</v>
      </c>
      <c r="AD1900" s="28"/>
      <c r="AE1900" s="28" t="n">
        <f aca="false">AD1900*$M1900</f>
        <v>0</v>
      </c>
      <c r="AF1900" s="28"/>
      <c r="AG1900" s="28" t="n">
        <f aca="false">AF1900*$M1900</f>
        <v>0</v>
      </c>
      <c r="AH1900" s="28"/>
      <c r="AI1900" s="28" t="n">
        <f aca="false">AH1900*$M1900</f>
        <v>0</v>
      </c>
      <c r="AJ1900" s="28"/>
      <c r="AK1900" s="28" t="n">
        <f aca="false">AJ1900*$M1900</f>
        <v>0</v>
      </c>
      <c r="AL1900" s="28"/>
      <c r="AM1900" s="28" t="n">
        <f aca="false">AL1900*$M1900</f>
        <v>0</v>
      </c>
      <c r="AN1900" s="28"/>
      <c r="AO1900" s="28" t="n">
        <f aca="false">AN1900*$M1900</f>
        <v>0</v>
      </c>
      <c r="AP1900" s="28"/>
      <c r="AQ1900" s="28" t="n">
        <f aca="false">AP1900*$M1900</f>
        <v>0</v>
      </c>
      <c r="AR1900" s="28"/>
      <c r="AS1900" s="28" t="n">
        <f aca="false">AR1900*$M1900</f>
        <v>0</v>
      </c>
      <c r="AT1900" s="28"/>
      <c r="AU1900" s="28" t="n">
        <f aca="false">AT1900*$M1900</f>
        <v>0</v>
      </c>
      <c r="AV1900" s="28"/>
      <c r="AW1900" s="28" t="n">
        <f aca="false">AV1900*$M1900</f>
        <v>0</v>
      </c>
      <c r="AX1900" s="28"/>
      <c r="AY1900" s="28" t="n">
        <f aca="false">AX1900*$M1900</f>
        <v>0</v>
      </c>
      <c r="AZ1900" s="30" t="n">
        <f aca="false">118763/100</f>
        <v>1187.63</v>
      </c>
      <c r="BA1900" s="11" t="n">
        <v>14252</v>
      </c>
      <c r="BB1900" s="31" t="n">
        <f aca="false">SUM(Q1900,S1900,U1900,W1900,Y1900,AA1900,AC1900,AE1900,AG1900,AI1900,AK1900,AM1900,AO1900,AQ1900,AS1900,AU1900,AW1900,AY1900)</f>
        <v>14252</v>
      </c>
      <c r="BC1900" s="28" t="n">
        <f aca="false">BA1900-BB1900</f>
        <v>0</v>
      </c>
      <c r="BD1900" s="32" t="n">
        <f aca="false">SUM(P1900,R1900,T1900,V1900,X1900,Z1900,AB1900,AD1900,AF1900,AH1900,AJ1900,AL1900,AN1900,AP1900,AR1900,AT1900,AV1900,AX1900)</f>
        <v>1187.63</v>
      </c>
      <c r="BE1900" s="33" t="n">
        <f aca="false">AZ1900-BD1900</f>
        <v>0</v>
      </c>
      <c r="BF1900" s="34" t="n">
        <f aca="false">BD1900*M1900</f>
        <v>14251.56</v>
      </c>
      <c r="BG1900" s="35" t="n">
        <f aca="false">BA1900-BF1900</f>
        <v>0.43999999999869</v>
      </c>
      <c r="BH1900" s="19" t="str">
        <f aca="false">IF(BG1900=0,"",IF(BG1900&lt;&gt;BA1900,"erreur de calcul",IF(BD1900&lt;&gt;0,"pas de prix",IF(M1900&lt;&gt; 0,"pas de quantité","pas de prix, ni de quantité"))))</f>
        <v>erreur de calcul</v>
      </c>
      <c r="BI1900" s="19"/>
    </row>
    <row r="1901" customFormat="false" ht="15" hidden="false" customHeight="false" outlineLevel="0" collapsed="false">
      <c r="A1901" s="0" t="n">
        <v>19</v>
      </c>
      <c r="B1901" s="8" t="s">
        <v>24</v>
      </c>
      <c r="C1901" s="9" t="s">
        <v>25</v>
      </c>
      <c r="D1901" s="9" t="s">
        <v>26</v>
      </c>
      <c r="E1901" s="10" t="n">
        <v>1789</v>
      </c>
      <c r="F1901" s="9" t="s">
        <v>27</v>
      </c>
      <c r="G1901" s="9" t="s">
        <v>27</v>
      </c>
      <c r="H1901" s="11" t="n">
        <v>22</v>
      </c>
      <c r="I1901" s="11" t="s">
        <v>220</v>
      </c>
      <c r="J1901" s="14" t="n">
        <v>8</v>
      </c>
      <c r="K1901" s="14"/>
      <c r="L1901" s="16"/>
      <c r="M1901" s="27" t="n">
        <f aca="false">J1901+(K1901/20)+(L1901/240)</f>
        <v>8</v>
      </c>
      <c r="N1901" s="17" t="s">
        <v>66</v>
      </c>
      <c r="O1901" s="11"/>
      <c r="P1901" s="28" t="n">
        <v>3798</v>
      </c>
      <c r="Q1901" s="28" t="n">
        <v>30384</v>
      </c>
      <c r="R1901" s="28"/>
      <c r="S1901" s="28" t="n">
        <f aca="false">R1901*$M1901</f>
        <v>0</v>
      </c>
      <c r="T1901" s="28"/>
      <c r="U1901" s="28" t="n">
        <f aca="false">T1901*$M1901</f>
        <v>0</v>
      </c>
      <c r="V1901" s="28"/>
      <c r="W1901" s="28" t="n">
        <f aca="false">V1901*$M1901</f>
        <v>0</v>
      </c>
      <c r="X1901" s="28"/>
      <c r="Y1901" s="28" t="n">
        <f aca="false">X1901*$M1901</f>
        <v>0</v>
      </c>
      <c r="Z1901" s="28"/>
      <c r="AA1901" s="28" t="n">
        <f aca="false">Z1901*$M1901</f>
        <v>0</v>
      </c>
      <c r="AB1901" s="28"/>
      <c r="AC1901" s="28" t="n">
        <f aca="false">AB1901*$M1901</f>
        <v>0</v>
      </c>
      <c r="AD1901" s="28"/>
      <c r="AE1901" s="28" t="n">
        <f aca="false">AD1901*$M1901</f>
        <v>0</v>
      </c>
      <c r="AF1901" s="28"/>
      <c r="AG1901" s="28" t="n">
        <f aca="false">AF1901*$M1901</f>
        <v>0</v>
      </c>
      <c r="AH1901" s="28" t="n">
        <v>322</v>
      </c>
      <c r="AI1901" s="28" t="n">
        <v>2576</v>
      </c>
      <c r="AJ1901" s="28"/>
      <c r="AK1901" s="28" t="n">
        <f aca="false">AJ1901*$M1901</f>
        <v>0</v>
      </c>
      <c r="AL1901" s="28"/>
      <c r="AM1901" s="28" t="n">
        <f aca="false">AL1901*$M1901</f>
        <v>0</v>
      </c>
      <c r="AN1901" s="28"/>
      <c r="AO1901" s="28" t="n">
        <f aca="false">AN1901*$M1901</f>
        <v>0</v>
      </c>
      <c r="AP1901" s="28"/>
      <c r="AQ1901" s="28" t="n">
        <f aca="false">AP1901*$M1901</f>
        <v>0</v>
      </c>
      <c r="AR1901" s="28"/>
      <c r="AS1901" s="28" t="n">
        <f aca="false">AR1901*$M1901</f>
        <v>0</v>
      </c>
      <c r="AT1901" s="28"/>
      <c r="AU1901" s="28" t="n">
        <f aca="false">AT1901*$M1901</f>
        <v>0</v>
      </c>
      <c r="AV1901" s="28"/>
      <c r="AW1901" s="28" t="n">
        <f aca="false">AV1901*$M1901</f>
        <v>0</v>
      </c>
      <c r="AX1901" s="28"/>
      <c r="AY1901" s="28" t="n">
        <f aca="false">AX1901*$M1901</f>
        <v>0</v>
      </c>
      <c r="AZ1901" s="30" t="n">
        <v>4120</v>
      </c>
      <c r="BA1901" s="11" t="n">
        <v>32960</v>
      </c>
      <c r="BB1901" s="31" t="n">
        <f aca="false">SUM(Q1901,S1901,U1901,W1901,Y1901,AA1901,AC1901,AE1901,AG1901,AI1901,AK1901,AM1901,AO1901,AQ1901,AS1901,AU1901,AW1901,AY1901)</f>
        <v>32960</v>
      </c>
      <c r="BC1901" s="28" t="n">
        <f aca="false">BA1901-BB1901</f>
        <v>0</v>
      </c>
      <c r="BD1901" s="32" t="n">
        <f aca="false">SUM(P1901,R1901,T1901,V1901,X1901,Z1901,AB1901,AD1901,AF1901,AH1901,AJ1901,AL1901,AN1901,AP1901,AR1901,AT1901,AV1901,AX1901)</f>
        <v>4120</v>
      </c>
      <c r="BE1901" s="33" t="n">
        <f aca="false">AZ1901-BD1901</f>
        <v>0</v>
      </c>
      <c r="BF1901" s="34" t="n">
        <f aca="false">BD1901*M1901</f>
        <v>32960</v>
      </c>
      <c r="BG1901" s="35" t="n">
        <f aca="false">BA1901-BF1901</f>
        <v>0</v>
      </c>
      <c r="BH1901" s="19" t="str">
        <f aca="false">IF(BG1901=0,"",IF(BG1901&lt;&gt;BA1901,"erreur de calcul",IF(BD1901&lt;&gt;0,"pas de prix",IF(M1901&lt;&gt; 0,"pas de quantité","pas de prix, ni de quantité"))))</f>
        <v/>
      </c>
      <c r="BI1901" s="19"/>
    </row>
    <row r="1902" customFormat="false" ht="15" hidden="false" customHeight="false" outlineLevel="0" collapsed="false">
      <c r="A1902" s="0" t="n">
        <v>20</v>
      </c>
      <c r="B1902" s="8" t="s">
        <v>24</v>
      </c>
      <c r="C1902" s="9" t="s">
        <v>25</v>
      </c>
      <c r="D1902" s="9" t="s">
        <v>26</v>
      </c>
      <c r="E1902" s="10" t="n">
        <v>1789</v>
      </c>
      <c r="F1902" s="9" t="s">
        <v>27</v>
      </c>
      <c r="G1902" s="9" t="s">
        <v>27</v>
      </c>
      <c r="H1902" s="11" t="n">
        <v>22</v>
      </c>
      <c r="I1902" s="11" t="s">
        <v>221</v>
      </c>
      <c r="J1902" s="14"/>
      <c r="K1902" s="14" t="n">
        <v>20</v>
      </c>
      <c r="L1902" s="16"/>
      <c r="M1902" s="27" t="n">
        <f aca="false">J1902+(K1902/20)+(L1902/240)</f>
        <v>1</v>
      </c>
      <c r="N1902" s="17" t="s">
        <v>66</v>
      </c>
      <c r="O1902" s="11"/>
      <c r="P1902" s="28" t="n">
        <v>1353</v>
      </c>
      <c r="Q1902" s="28" t="n">
        <v>1353</v>
      </c>
      <c r="R1902" s="28"/>
      <c r="S1902" s="28" t="n">
        <f aca="false">R1902*$M1902</f>
        <v>0</v>
      </c>
      <c r="T1902" s="28"/>
      <c r="U1902" s="28" t="n">
        <f aca="false">T1902*$M1902</f>
        <v>0</v>
      </c>
      <c r="V1902" s="28"/>
      <c r="W1902" s="28" t="n">
        <f aca="false">V1902*$M1902</f>
        <v>0</v>
      </c>
      <c r="X1902" s="28"/>
      <c r="Y1902" s="28" t="n">
        <f aca="false">X1902*$M1902</f>
        <v>0</v>
      </c>
      <c r="Z1902" s="28"/>
      <c r="AA1902" s="28" t="n">
        <f aca="false">Z1902*$M1902</f>
        <v>0</v>
      </c>
      <c r="AB1902" s="28"/>
      <c r="AC1902" s="28" t="n">
        <f aca="false">AB1902*$M1902</f>
        <v>0</v>
      </c>
      <c r="AD1902" s="28"/>
      <c r="AE1902" s="28" t="n">
        <f aca="false">AD1902*$M1902</f>
        <v>0</v>
      </c>
      <c r="AF1902" s="28"/>
      <c r="AG1902" s="28" t="n">
        <f aca="false">AF1902*$M1902</f>
        <v>0</v>
      </c>
      <c r="AH1902" s="28"/>
      <c r="AI1902" s="28" t="n">
        <f aca="false">AH1902*$M1902</f>
        <v>0</v>
      </c>
      <c r="AJ1902" s="28"/>
      <c r="AK1902" s="28" t="n">
        <f aca="false">AJ1902*$M1902</f>
        <v>0</v>
      </c>
      <c r="AL1902" s="28"/>
      <c r="AM1902" s="28" t="n">
        <f aca="false">AL1902*$M1902</f>
        <v>0</v>
      </c>
      <c r="AN1902" s="28"/>
      <c r="AO1902" s="28" t="n">
        <f aca="false">AN1902*$M1902</f>
        <v>0</v>
      </c>
      <c r="AP1902" s="28"/>
      <c r="AQ1902" s="28" t="n">
        <f aca="false">AP1902*$M1902</f>
        <v>0</v>
      </c>
      <c r="AR1902" s="28"/>
      <c r="AS1902" s="28" t="n">
        <f aca="false">AR1902*$M1902</f>
        <v>0</v>
      </c>
      <c r="AT1902" s="28"/>
      <c r="AU1902" s="28" t="n">
        <f aca="false">AT1902*$M1902</f>
        <v>0</v>
      </c>
      <c r="AV1902" s="28"/>
      <c r="AW1902" s="28" t="n">
        <f aca="false">AV1902*$M1902</f>
        <v>0</v>
      </c>
      <c r="AX1902" s="28"/>
      <c r="AY1902" s="28" t="n">
        <f aca="false">AX1902*$M1902</f>
        <v>0</v>
      </c>
      <c r="AZ1902" s="30" t="n">
        <v>1353</v>
      </c>
      <c r="BA1902" s="11" t="n">
        <v>1353</v>
      </c>
      <c r="BB1902" s="31" t="n">
        <f aca="false">SUM(Q1902,S1902,U1902,W1902,Y1902,AA1902,AC1902,AE1902,AG1902,AI1902,AK1902,AM1902,AO1902,AQ1902,AS1902,AU1902,AW1902,AY1902)</f>
        <v>1353</v>
      </c>
      <c r="BC1902" s="28" t="n">
        <f aca="false">BA1902-BB1902</f>
        <v>0</v>
      </c>
      <c r="BD1902" s="32" t="n">
        <f aca="false">SUM(P1902,R1902,T1902,V1902,X1902,Z1902,AB1902,AD1902,AF1902,AH1902,AJ1902,AL1902,AN1902,AP1902,AR1902,AT1902,AV1902,AX1902)</f>
        <v>1353</v>
      </c>
      <c r="BE1902" s="33" t="n">
        <f aca="false">AZ1902-BD1902</f>
        <v>0</v>
      </c>
      <c r="BF1902" s="34" t="n">
        <f aca="false">BD1902*M1902</f>
        <v>1353</v>
      </c>
      <c r="BG1902" s="35" t="n">
        <f aca="false">BA1902-BF1902</f>
        <v>0</v>
      </c>
      <c r="BH1902" s="19" t="str">
        <f aca="false">IF(BG1902=0,"",IF(BG1902&lt;&gt;BA1902,"erreur de calcul",IF(BD1902&lt;&gt;0,"pas de prix",IF(M1902&lt;&gt; 0,"pas de quantité","pas de prix, ni de quantité"))))</f>
        <v/>
      </c>
      <c r="BI1902" s="19"/>
    </row>
    <row r="1903" customFormat="false" ht="15" hidden="false" customHeight="false" outlineLevel="0" collapsed="false">
      <c r="A1903" s="0" t="n">
        <v>21</v>
      </c>
      <c r="B1903" s="8" t="s">
        <v>24</v>
      </c>
      <c r="C1903" s="9" t="s">
        <v>25</v>
      </c>
      <c r="D1903" s="9" t="s">
        <v>26</v>
      </c>
      <c r="E1903" s="10" t="n">
        <v>1789</v>
      </c>
      <c r="F1903" s="9" t="s">
        <v>27</v>
      </c>
      <c r="G1903" s="9" t="s">
        <v>27</v>
      </c>
      <c r="H1903" s="11" t="n">
        <v>22</v>
      </c>
      <c r="I1903" s="11" t="s">
        <v>222</v>
      </c>
      <c r="J1903" s="14" t="n">
        <v>85</v>
      </c>
      <c r="K1903" s="14"/>
      <c r="L1903" s="16"/>
      <c r="M1903" s="27" t="n">
        <f aca="false">J1903+(K1903/20)+(L1903/240)</f>
        <v>85</v>
      </c>
      <c r="N1903" s="17" t="s">
        <v>64</v>
      </c>
      <c r="O1903" s="11"/>
      <c r="P1903" s="28"/>
      <c r="Q1903" s="28" t="n">
        <f aca="false">P1903*$M1903</f>
        <v>0</v>
      </c>
      <c r="R1903" s="28"/>
      <c r="S1903" s="28" t="n">
        <f aca="false">R1903*$M1903</f>
        <v>0</v>
      </c>
      <c r="T1903" s="28" t="n">
        <f aca="false">10813/100</f>
        <v>108.13</v>
      </c>
      <c r="U1903" s="28" t="n">
        <v>9191</v>
      </c>
      <c r="V1903" s="28" t="n">
        <f aca="false">43400/100</f>
        <v>434</v>
      </c>
      <c r="W1903" s="28" t="n">
        <v>36890</v>
      </c>
      <c r="X1903" s="28" t="n">
        <f aca="false">702/100</f>
        <v>7.02</v>
      </c>
      <c r="Y1903" s="28" t="n">
        <v>597</v>
      </c>
      <c r="Z1903" s="28"/>
      <c r="AA1903" s="28" t="n">
        <f aca="false">Z1903*$M1903</f>
        <v>0</v>
      </c>
      <c r="AB1903" s="28" t="n">
        <f aca="false">171/100</f>
        <v>1.71</v>
      </c>
      <c r="AC1903" s="28" t="n">
        <v>145</v>
      </c>
      <c r="AD1903" s="28"/>
      <c r="AE1903" s="28" t="n">
        <f aca="false">AD1903*$M1903</f>
        <v>0</v>
      </c>
      <c r="AF1903" s="28"/>
      <c r="AG1903" s="28" t="n">
        <f aca="false">AF1903*$M1903</f>
        <v>0</v>
      </c>
      <c r="AH1903" s="28" t="n">
        <f aca="false">17388/100</f>
        <v>173.88</v>
      </c>
      <c r="AI1903" s="28" t="n">
        <v>14780</v>
      </c>
      <c r="AJ1903" s="28"/>
      <c r="AK1903" s="28" t="n">
        <f aca="false">AJ1903*$M1903</f>
        <v>0</v>
      </c>
      <c r="AL1903" s="28"/>
      <c r="AM1903" s="28" t="n">
        <f aca="false">AL1903*$M1903</f>
        <v>0</v>
      </c>
      <c r="AN1903" s="28"/>
      <c r="AO1903" s="28" t="n">
        <f aca="false">AN1903*$M1903</f>
        <v>0</v>
      </c>
      <c r="AP1903" s="28"/>
      <c r="AQ1903" s="28" t="n">
        <f aca="false">AP1903*$M1903</f>
        <v>0</v>
      </c>
      <c r="AR1903" s="28"/>
      <c r="AS1903" s="28" t="n">
        <f aca="false">AR1903*$M1903</f>
        <v>0</v>
      </c>
      <c r="AT1903" s="28"/>
      <c r="AU1903" s="28" t="n">
        <f aca="false">AT1903*$M1903</f>
        <v>0</v>
      </c>
      <c r="AV1903" s="28"/>
      <c r="AW1903" s="28" t="n">
        <f aca="false">AV1903*$M1903</f>
        <v>0</v>
      </c>
      <c r="AX1903" s="28"/>
      <c r="AY1903" s="28" t="n">
        <f aca="false">AX1903*$M1903</f>
        <v>0</v>
      </c>
      <c r="AZ1903" s="30" t="n">
        <f aca="false">72474/100</f>
        <v>724.74</v>
      </c>
      <c r="BA1903" s="11" t="n">
        <v>61603</v>
      </c>
      <c r="BB1903" s="31" t="n">
        <f aca="false">SUM(Q1903,S1903,U1903,W1903,Y1903,AA1903,AC1903,AE1903,AG1903,AI1903,AK1903,AM1903,AO1903,AQ1903,AS1903,AU1903,AW1903,AY1903)</f>
        <v>61603</v>
      </c>
      <c r="BC1903" s="28" t="n">
        <f aca="false">BA1903-BB1903</f>
        <v>0</v>
      </c>
      <c r="BD1903" s="32" t="n">
        <f aca="false">SUM(P1903,R1903,T1903,V1903,X1903,Z1903,AB1903,AD1903,AF1903,AH1903,AJ1903,AL1903,AN1903,AP1903,AR1903,AT1903,AV1903,AX1903)</f>
        <v>724.74</v>
      </c>
      <c r="BE1903" s="33" t="n">
        <f aca="false">AZ1903-BD1903</f>
        <v>0</v>
      </c>
      <c r="BF1903" s="34" t="n">
        <f aca="false">BD1903*M1903</f>
        <v>61602.9</v>
      </c>
      <c r="BG1903" s="35" t="n">
        <f aca="false">BA1903-BF1903</f>
        <v>0.0999999999985448</v>
      </c>
      <c r="BH1903" s="19" t="str">
        <f aca="false">IF(BG1903=0,"",IF(BG1903&lt;&gt;BA1903,"erreur de calcul",IF(BD1903&lt;&gt;0,"pas de prix",IF(M1903&lt;&gt; 0,"pas de quantité","pas de prix, ni de quantité"))))</f>
        <v>erreur de calcul</v>
      </c>
      <c r="BI1903" s="19"/>
    </row>
    <row r="1904" customFormat="false" ht="15" hidden="false" customHeight="false" outlineLevel="0" collapsed="false">
      <c r="A1904" s="0" t="n">
        <v>22</v>
      </c>
      <c r="B1904" s="8" t="s">
        <v>24</v>
      </c>
      <c r="C1904" s="9" t="s">
        <v>25</v>
      </c>
      <c r="D1904" s="9" t="s">
        <v>26</v>
      </c>
      <c r="E1904" s="10" t="n">
        <v>1789</v>
      </c>
      <c r="F1904" s="9" t="s">
        <v>27</v>
      </c>
      <c r="G1904" s="9" t="s">
        <v>27</v>
      </c>
      <c r="H1904" s="11" t="n">
        <v>22</v>
      </c>
      <c r="I1904" s="11" t="s">
        <v>223</v>
      </c>
      <c r="J1904" s="14" t="n">
        <v>150</v>
      </c>
      <c r="K1904" s="14"/>
      <c r="L1904" s="16"/>
      <c r="M1904" s="27" t="n">
        <f aca="false">J1904+(K1904/20)+(L1904/240)</f>
        <v>150</v>
      </c>
      <c r="N1904" s="17" t="s">
        <v>64</v>
      </c>
      <c r="O1904" s="11"/>
      <c r="P1904" s="28"/>
      <c r="Q1904" s="28" t="n">
        <f aca="false">P1904*$M1904</f>
        <v>0</v>
      </c>
      <c r="R1904" s="28"/>
      <c r="S1904" s="28" t="n">
        <f aca="false">R1904*$M1904</f>
        <v>0</v>
      </c>
      <c r="T1904" s="28"/>
      <c r="U1904" s="28" t="n">
        <f aca="false">T1904*$M1904</f>
        <v>0</v>
      </c>
      <c r="V1904" s="28" t="n">
        <f aca="false">1415/100</f>
        <v>14.15</v>
      </c>
      <c r="W1904" s="28" t="n">
        <v>2122</v>
      </c>
      <c r="X1904" s="28"/>
      <c r="Y1904" s="28" t="n">
        <f aca="false">X1904*$M1904</f>
        <v>0</v>
      </c>
      <c r="Z1904" s="28"/>
      <c r="AA1904" s="28" t="n">
        <f aca="false">Z1904*$M1904</f>
        <v>0</v>
      </c>
      <c r="AB1904" s="28" t="n">
        <f aca="false">1806/100</f>
        <v>18.06</v>
      </c>
      <c r="AC1904" s="28" t="n">
        <v>2709</v>
      </c>
      <c r="AD1904" s="28"/>
      <c r="AE1904" s="28" t="n">
        <f aca="false">AD1904*$M1904</f>
        <v>0</v>
      </c>
      <c r="AF1904" s="28"/>
      <c r="AG1904" s="28" t="n">
        <f aca="false">AF1904*$M1904</f>
        <v>0</v>
      </c>
      <c r="AH1904" s="28"/>
      <c r="AI1904" s="28" t="n">
        <f aca="false">AH1904*$M1904</f>
        <v>0</v>
      </c>
      <c r="AJ1904" s="28"/>
      <c r="AK1904" s="28" t="n">
        <f aca="false">AJ1904*$M1904</f>
        <v>0</v>
      </c>
      <c r="AL1904" s="28"/>
      <c r="AM1904" s="28" t="n">
        <f aca="false">AL1904*$M1904</f>
        <v>0</v>
      </c>
      <c r="AN1904" s="28"/>
      <c r="AO1904" s="28" t="n">
        <f aca="false">AN1904*$M1904</f>
        <v>0</v>
      </c>
      <c r="AP1904" s="28"/>
      <c r="AQ1904" s="28" t="n">
        <f aca="false">AP1904*$M1904</f>
        <v>0</v>
      </c>
      <c r="AR1904" s="28"/>
      <c r="AS1904" s="28" t="n">
        <f aca="false">AR1904*$M1904</f>
        <v>0</v>
      </c>
      <c r="AT1904" s="28"/>
      <c r="AU1904" s="28" t="n">
        <f aca="false">AT1904*$M1904</f>
        <v>0</v>
      </c>
      <c r="AV1904" s="28"/>
      <c r="AW1904" s="28" t="n">
        <f aca="false">AV1904*$M1904</f>
        <v>0</v>
      </c>
      <c r="AX1904" s="28"/>
      <c r="AY1904" s="28" t="n">
        <f aca="false">AX1904*$M1904</f>
        <v>0</v>
      </c>
      <c r="AZ1904" s="30" t="n">
        <f aca="false">3221/100</f>
        <v>32.21</v>
      </c>
      <c r="BA1904" s="11" t="n">
        <v>4831</v>
      </c>
      <c r="BB1904" s="31" t="n">
        <f aca="false">SUM(Q1904,S1904,U1904,W1904,Y1904,AA1904,AC1904,AE1904,AG1904,AI1904,AK1904,AM1904,AO1904,AQ1904,AS1904,AU1904,AW1904,AY1904)</f>
        <v>4831</v>
      </c>
      <c r="BC1904" s="28" t="n">
        <f aca="false">BA1904-BB1904</f>
        <v>0</v>
      </c>
      <c r="BD1904" s="32" t="n">
        <f aca="false">SUM(P1904,R1904,T1904,V1904,X1904,Z1904,AB1904,AD1904,AF1904,AH1904,AJ1904,AL1904,AN1904,AP1904,AR1904,AT1904,AV1904,AX1904)</f>
        <v>32.21</v>
      </c>
      <c r="BE1904" s="33" t="n">
        <f aca="false">AZ1904-BD1904</f>
        <v>0</v>
      </c>
      <c r="BF1904" s="34" t="n">
        <f aca="false">BD1904*M1904</f>
        <v>4831.5</v>
      </c>
      <c r="BG1904" s="35" t="n">
        <f aca="false">BA1904-BF1904</f>
        <v>-0.5</v>
      </c>
      <c r="BH1904" s="19" t="str">
        <f aca="false">IF(BG1904=0,"",IF(BG1904&lt;&gt;BA1904,"erreur de calcul",IF(BD1904&lt;&gt;0,"pas de prix",IF(M1904&lt;&gt; 0,"pas de quantité","pas de prix, ni de quantité"))))</f>
        <v>erreur de calcul</v>
      </c>
      <c r="BI1904" s="19"/>
    </row>
    <row r="1905" customFormat="false" ht="15" hidden="false" customHeight="false" outlineLevel="0" collapsed="false">
      <c r="A1905" s="0" t="n">
        <v>23</v>
      </c>
      <c r="B1905" s="8" t="s">
        <v>24</v>
      </c>
      <c r="C1905" s="9" t="s">
        <v>25</v>
      </c>
      <c r="D1905" s="9" t="s">
        <v>26</v>
      </c>
      <c r="E1905" s="10" t="n">
        <v>1789</v>
      </c>
      <c r="F1905" s="9" t="s">
        <v>27</v>
      </c>
      <c r="G1905" s="9" t="s">
        <v>27</v>
      </c>
      <c r="H1905" s="11" t="n">
        <v>22</v>
      </c>
      <c r="I1905" s="11" t="s">
        <v>224</v>
      </c>
      <c r="J1905" s="14"/>
      <c r="K1905" s="14"/>
      <c r="L1905" s="16"/>
      <c r="M1905" s="27" t="n">
        <f aca="false">J1905+(K1905/20)+(L1905/240)</f>
        <v>0</v>
      </c>
      <c r="N1905" s="17" t="s">
        <v>225</v>
      </c>
      <c r="O1905" s="11"/>
      <c r="P1905" s="28" t="n">
        <f aca="false">2+121/288</f>
        <v>2.42013888888889</v>
      </c>
      <c r="Q1905" s="28" t="n">
        <v>275</v>
      </c>
      <c r="R1905" s="28"/>
      <c r="S1905" s="28" t="n">
        <f aca="false">R1905*$M1905</f>
        <v>0</v>
      </c>
      <c r="T1905" s="28"/>
      <c r="U1905" s="28" t="n">
        <f aca="false">T1905*$M1905</f>
        <v>0</v>
      </c>
      <c r="V1905" s="28"/>
      <c r="W1905" s="28" t="n">
        <f aca="false">V1905*$M1905</f>
        <v>0</v>
      </c>
      <c r="X1905" s="28"/>
      <c r="Y1905" s="28" t="n">
        <f aca="false">X1905*$M1905</f>
        <v>0</v>
      </c>
      <c r="Z1905" s="28"/>
      <c r="AA1905" s="28" t="n">
        <f aca="false">Z1905*$M1905</f>
        <v>0</v>
      </c>
      <c r="AB1905" s="28"/>
      <c r="AC1905" s="28" t="n">
        <f aca="false">AB1905*$M1905</f>
        <v>0</v>
      </c>
      <c r="AD1905" s="28"/>
      <c r="AE1905" s="28" t="n">
        <f aca="false">AD1905*$M1905</f>
        <v>0</v>
      </c>
      <c r="AF1905" s="28"/>
      <c r="AG1905" s="28" t="n">
        <f aca="false">AF1905*$M1905</f>
        <v>0</v>
      </c>
      <c r="AH1905" s="28"/>
      <c r="AI1905" s="28" t="n">
        <f aca="false">AH1905*$M1905</f>
        <v>0</v>
      </c>
      <c r="AJ1905" s="28"/>
      <c r="AK1905" s="28" t="n">
        <f aca="false">AJ1905*$M1905</f>
        <v>0</v>
      </c>
      <c r="AL1905" s="28"/>
      <c r="AM1905" s="28" t="n">
        <f aca="false">AL1905*$M1905</f>
        <v>0</v>
      </c>
      <c r="AN1905" s="28"/>
      <c r="AO1905" s="28" t="n">
        <f aca="false">AN1905*$M1905</f>
        <v>0</v>
      </c>
      <c r="AP1905" s="28"/>
      <c r="AQ1905" s="28" t="n">
        <f aca="false">AP1905*$M1905</f>
        <v>0</v>
      </c>
      <c r="AR1905" s="28"/>
      <c r="AS1905" s="28" t="n">
        <f aca="false">AR1905*$M1905</f>
        <v>0</v>
      </c>
      <c r="AT1905" s="28"/>
      <c r="AU1905" s="28" t="n">
        <f aca="false">AT1905*$M1905</f>
        <v>0</v>
      </c>
      <c r="AV1905" s="28"/>
      <c r="AW1905" s="28" t="n">
        <f aca="false">AV1905*$M1905</f>
        <v>0</v>
      </c>
      <c r="AX1905" s="28"/>
      <c r="AY1905" s="28" t="n">
        <f aca="false">AX1905*$M1905</f>
        <v>0</v>
      </c>
      <c r="AZ1905" s="30" t="n">
        <f aca="false">2+121/288</f>
        <v>2.42013888888889</v>
      </c>
      <c r="BA1905" s="11" t="n">
        <v>275</v>
      </c>
      <c r="BB1905" s="31" t="n">
        <f aca="false">SUM(Q1905,S1905,U1905,W1905,Y1905,AA1905,AC1905,AE1905,AG1905,AI1905,AK1905,AM1905,AO1905,AQ1905,AS1905,AU1905,AW1905,AY1905)</f>
        <v>275</v>
      </c>
      <c r="BC1905" s="28" t="n">
        <f aca="false">BA1905-BB1905</f>
        <v>0</v>
      </c>
      <c r="BD1905" s="32" t="n">
        <f aca="false">SUM(P1905,R1905,T1905,V1905,X1905,Z1905,AB1905,AD1905,AF1905,AH1905,AJ1905,AL1905,AN1905,AP1905,AR1905,AT1905,AV1905,AX1905)</f>
        <v>2.42013888888889</v>
      </c>
      <c r="BE1905" s="33" t="n">
        <f aca="false">AZ1905-BD1905</f>
        <v>0</v>
      </c>
      <c r="BF1905" s="34" t="n">
        <f aca="false">BD1905*M1905</f>
        <v>0</v>
      </c>
      <c r="BG1905" s="35" t="n">
        <f aca="false">BA1905-BF1905</f>
        <v>275</v>
      </c>
      <c r="BH1905" s="19" t="str">
        <f aca="false">IF(BG1905=0,"",IF(BG1905&lt;&gt;BA1905,"erreur de calcul",IF(BD1905&lt;&gt;0,"pas de prix",IF(M1905&lt;&gt; 0,"pas de quantité","pas de prix, ni de quantité"))))</f>
        <v>pas de prix</v>
      </c>
      <c r="BI1905" s="19" t="s">
        <v>226</v>
      </c>
    </row>
    <row r="1906" customFormat="false" ht="15" hidden="false" customHeight="false" outlineLevel="0" collapsed="false">
      <c r="A1906" s="0" t="n">
        <v>24</v>
      </c>
      <c r="B1906" s="8" t="s">
        <v>24</v>
      </c>
      <c r="C1906" s="9" t="s">
        <v>25</v>
      </c>
      <c r="D1906" s="9" t="s">
        <v>26</v>
      </c>
      <c r="E1906" s="10" t="n">
        <v>1789</v>
      </c>
      <c r="F1906" s="9" t="s">
        <v>27</v>
      </c>
      <c r="G1906" s="9" t="s">
        <v>27</v>
      </c>
      <c r="H1906" s="11" t="n">
        <v>22</v>
      </c>
      <c r="I1906" s="11" t="s">
        <v>227</v>
      </c>
      <c r="J1906" s="14" t="n">
        <v>8</v>
      </c>
      <c r="K1906" s="14"/>
      <c r="L1906" s="16"/>
      <c r="M1906" s="27" t="n">
        <f aca="false">J1906+(K1906/20)+(L1906/240)</f>
        <v>8</v>
      </c>
      <c r="N1906" s="17" t="s">
        <v>64</v>
      </c>
      <c r="O1906" s="11" t="s">
        <v>77</v>
      </c>
      <c r="P1906" s="28" t="n">
        <f aca="false">267216/100</f>
        <v>2672.16</v>
      </c>
      <c r="Q1906" s="28" t="n">
        <v>21377</v>
      </c>
      <c r="R1906" s="28"/>
      <c r="S1906" s="28" t="n">
        <f aca="false">R1906*$M1906</f>
        <v>0</v>
      </c>
      <c r="T1906" s="28"/>
      <c r="U1906" s="28" t="n">
        <f aca="false">T1906*$M1906</f>
        <v>0</v>
      </c>
      <c r="V1906" s="28"/>
      <c r="W1906" s="28" t="n">
        <f aca="false">V1906*$M1906</f>
        <v>0</v>
      </c>
      <c r="X1906" s="28"/>
      <c r="Y1906" s="28" t="n">
        <f aca="false">X1906*$M1906</f>
        <v>0</v>
      </c>
      <c r="Z1906" s="28"/>
      <c r="AA1906" s="28" t="n">
        <f aca="false">Z1906*$M1906</f>
        <v>0</v>
      </c>
      <c r="AB1906" s="28" t="n">
        <f aca="false">3334/100</f>
        <v>33.34</v>
      </c>
      <c r="AC1906" s="28" t="n">
        <v>267</v>
      </c>
      <c r="AD1906" s="28"/>
      <c r="AE1906" s="28" t="n">
        <f aca="false">AD1906*$M1906</f>
        <v>0</v>
      </c>
      <c r="AF1906" s="28"/>
      <c r="AG1906" s="28" t="n">
        <f aca="false">AF1906*$M1906</f>
        <v>0</v>
      </c>
      <c r="AH1906" s="28"/>
      <c r="AI1906" s="28" t="n">
        <f aca="false">AH1906*$M1906</f>
        <v>0</v>
      </c>
      <c r="AJ1906" s="28"/>
      <c r="AK1906" s="28" t="n">
        <f aca="false">AJ1906*$M1906</f>
        <v>0</v>
      </c>
      <c r="AL1906" s="28"/>
      <c r="AM1906" s="28" t="n">
        <f aca="false">AL1906*$M1906</f>
        <v>0</v>
      </c>
      <c r="AN1906" s="28"/>
      <c r="AO1906" s="28" t="n">
        <f aca="false">AN1906*$M1906</f>
        <v>0</v>
      </c>
      <c r="AP1906" s="28"/>
      <c r="AQ1906" s="28" t="n">
        <f aca="false">AP1906*$M1906</f>
        <v>0</v>
      </c>
      <c r="AR1906" s="28"/>
      <c r="AS1906" s="28" t="n">
        <f aca="false">AR1906*$M1906</f>
        <v>0</v>
      </c>
      <c r="AT1906" s="28"/>
      <c r="AU1906" s="28" t="n">
        <f aca="false">AT1906*$M1906</f>
        <v>0</v>
      </c>
      <c r="AV1906" s="28"/>
      <c r="AW1906" s="28" t="n">
        <f aca="false">AV1906*$M1906</f>
        <v>0</v>
      </c>
      <c r="AX1906" s="28"/>
      <c r="AY1906" s="28" t="n">
        <f aca="false">AX1906*$M1906</f>
        <v>0</v>
      </c>
      <c r="AZ1906" s="30" t="n">
        <f aca="false">270550/100</f>
        <v>2705.5</v>
      </c>
      <c r="BA1906" s="11" t="n">
        <v>21644</v>
      </c>
      <c r="BB1906" s="31" t="n">
        <f aca="false">SUM(Q1906,S1906,U1906,W1906,Y1906,AA1906,AC1906,AE1906,AG1906,AI1906,AK1906,AM1906,AO1906,AQ1906,AS1906,AU1906,AW1906,AY1906)</f>
        <v>21644</v>
      </c>
      <c r="BC1906" s="28" t="n">
        <f aca="false">BA1906-BB1906</f>
        <v>0</v>
      </c>
      <c r="BD1906" s="32" t="n">
        <f aca="false">SUM(P1906,R1906,T1906,V1906,X1906,Z1906,AB1906,AD1906,AF1906,AH1906,AJ1906,AL1906,AN1906,AP1906,AR1906,AT1906,AV1906,AX1906)</f>
        <v>2705.5</v>
      </c>
      <c r="BE1906" s="33" t="n">
        <f aca="false">AZ1906-BD1906</f>
        <v>0</v>
      </c>
      <c r="BF1906" s="34" t="n">
        <f aca="false">BD1906*M1906</f>
        <v>21644</v>
      </c>
      <c r="BG1906" s="35" t="n">
        <f aca="false">BA1906-BF1906</f>
        <v>0</v>
      </c>
      <c r="BH1906" s="19" t="str">
        <f aca="false">IF(BG1906=0,"",IF(BG1906&lt;&gt;BA1906,"erreur de calcul",IF(BD1906&lt;&gt;0,"pas de prix",IF(M1906&lt;&gt; 0,"pas de quantité","pas de prix, ni de quantité"))))</f>
        <v/>
      </c>
      <c r="BI1906" s="19"/>
    </row>
    <row r="1907" customFormat="false" ht="15" hidden="false" customHeight="false" outlineLevel="0" collapsed="false">
      <c r="A1907" s="0" t="n">
        <v>25</v>
      </c>
      <c r="B1907" s="8" t="s">
        <v>24</v>
      </c>
      <c r="C1907" s="9" t="s">
        <v>25</v>
      </c>
      <c r="D1907" s="9" t="s">
        <v>26</v>
      </c>
      <c r="E1907" s="10" t="n">
        <v>1789</v>
      </c>
      <c r="F1907" s="9" t="s">
        <v>27</v>
      </c>
      <c r="G1907" s="9" t="s">
        <v>27</v>
      </c>
      <c r="H1907" s="11" t="n">
        <v>22</v>
      </c>
      <c r="I1907" s="11" t="s">
        <v>228</v>
      </c>
      <c r="J1907" s="14" t="n">
        <v>11</v>
      </c>
      <c r="K1907" s="14"/>
      <c r="L1907" s="16"/>
      <c r="M1907" s="27" t="n">
        <f aca="false">J1907+(K1907/20)+(L1907/240)</f>
        <v>11</v>
      </c>
      <c r="N1907" s="17" t="s">
        <v>66</v>
      </c>
      <c r="O1907" s="11"/>
      <c r="P1907" s="28"/>
      <c r="Q1907" s="28" t="n">
        <f aca="false">P1907*$M1907</f>
        <v>0</v>
      </c>
      <c r="R1907" s="28" t="n">
        <v>2017</v>
      </c>
      <c r="S1907" s="28" t="n">
        <v>22187</v>
      </c>
      <c r="T1907" s="28"/>
      <c r="U1907" s="28" t="n">
        <f aca="false">T1907*$M1907</f>
        <v>0</v>
      </c>
      <c r="V1907" s="28"/>
      <c r="W1907" s="28" t="n">
        <f aca="false">V1907*$M1907</f>
        <v>0</v>
      </c>
      <c r="X1907" s="28" t="n">
        <v>3804</v>
      </c>
      <c r="Y1907" s="28" t="n">
        <v>41844</v>
      </c>
      <c r="Z1907" s="28"/>
      <c r="AA1907" s="28" t="n">
        <f aca="false">Z1907*$M1907</f>
        <v>0</v>
      </c>
      <c r="AB1907" s="28"/>
      <c r="AC1907" s="28" t="n">
        <f aca="false">AB1907*$M1907</f>
        <v>0</v>
      </c>
      <c r="AD1907" s="28"/>
      <c r="AE1907" s="28" t="n">
        <f aca="false">AD1907*$M1907</f>
        <v>0</v>
      </c>
      <c r="AF1907" s="28"/>
      <c r="AG1907" s="28" t="n">
        <f aca="false">AF1907*$M1907</f>
        <v>0</v>
      </c>
      <c r="AH1907" s="28" t="n">
        <v>117</v>
      </c>
      <c r="AI1907" s="28" t="n">
        <v>1287</v>
      </c>
      <c r="AJ1907" s="28" t="n">
        <v>8694</v>
      </c>
      <c r="AK1907" s="28" t="n">
        <v>95634</v>
      </c>
      <c r="AL1907" s="28"/>
      <c r="AM1907" s="28" t="n">
        <f aca="false">AL1907*$M1907</f>
        <v>0</v>
      </c>
      <c r="AN1907" s="28" t="n">
        <v>5697</v>
      </c>
      <c r="AO1907" s="28" t="n">
        <v>62667</v>
      </c>
      <c r="AP1907" s="28"/>
      <c r="AQ1907" s="28" t="n">
        <f aca="false">AP1907*$M1907</f>
        <v>0</v>
      </c>
      <c r="AR1907" s="28"/>
      <c r="AS1907" s="28" t="n">
        <f aca="false">AR1907*$M1907</f>
        <v>0</v>
      </c>
      <c r="AT1907" s="28"/>
      <c r="AU1907" s="28" t="n">
        <f aca="false">AT1907*$M1907</f>
        <v>0</v>
      </c>
      <c r="AV1907" s="28"/>
      <c r="AW1907" s="28" t="n">
        <f aca="false">AV1907*$M1907</f>
        <v>0</v>
      </c>
      <c r="AX1907" s="28"/>
      <c r="AY1907" s="28" t="n">
        <f aca="false">AX1907*$M1907</f>
        <v>0</v>
      </c>
      <c r="AZ1907" s="30" t="n">
        <v>20329</v>
      </c>
      <c r="BA1907" s="11" t="n">
        <v>223619</v>
      </c>
      <c r="BB1907" s="31" t="n">
        <f aca="false">SUM(Q1907,S1907,U1907,W1907,Y1907,AA1907,AC1907,AE1907,AG1907,AI1907,AK1907,AM1907,AO1907,AQ1907,AS1907,AU1907,AW1907,AY1907)</f>
        <v>223619</v>
      </c>
      <c r="BC1907" s="28" t="n">
        <f aca="false">BA1907-BB1907</f>
        <v>0</v>
      </c>
      <c r="BD1907" s="32" t="n">
        <f aca="false">SUM(P1907,R1907,T1907,V1907,X1907,Z1907,AB1907,AD1907,AF1907,AH1907,AJ1907,AL1907,AN1907,AP1907,AR1907,AT1907,AV1907,AX1907)</f>
        <v>20329</v>
      </c>
      <c r="BE1907" s="33" t="n">
        <f aca="false">AZ1907-BD1907</f>
        <v>0</v>
      </c>
      <c r="BF1907" s="34" t="n">
        <f aca="false">BD1907*M1907</f>
        <v>223619</v>
      </c>
      <c r="BG1907" s="35" t="n">
        <f aca="false">BA1907-BF1907</f>
        <v>0</v>
      </c>
      <c r="BH1907" s="19" t="str">
        <f aca="false">IF(BG1907=0,"",IF(BG1907&lt;&gt;BA1907,"erreur de calcul",IF(BD1907&lt;&gt;0,"pas de prix",IF(M1907&lt;&gt; 0,"pas de quantité","pas de prix, ni de quantité"))))</f>
        <v/>
      </c>
      <c r="BI1907" s="19"/>
    </row>
    <row r="1908" customFormat="false" ht="15" hidden="false" customHeight="false" outlineLevel="0" collapsed="false">
      <c r="A1908" s="0" t="n">
        <v>26</v>
      </c>
      <c r="B1908" s="8" t="s">
        <v>24</v>
      </c>
      <c r="C1908" s="9" t="s">
        <v>25</v>
      </c>
      <c r="D1908" s="9" t="s">
        <v>26</v>
      </c>
      <c r="E1908" s="10" t="n">
        <v>1789</v>
      </c>
      <c r="F1908" s="9" t="s">
        <v>27</v>
      </c>
      <c r="G1908" s="9" t="s">
        <v>27</v>
      </c>
      <c r="H1908" s="11" t="n">
        <v>22</v>
      </c>
      <c r="I1908" s="11" t="s">
        <v>229</v>
      </c>
      <c r="J1908" s="14" t="n">
        <v>5</v>
      </c>
      <c r="K1908" s="14"/>
      <c r="L1908" s="16"/>
      <c r="M1908" s="27" t="n">
        <f aca="false">J1908+(K1908/20)+(L1908/240)</f>
        <v>5</v>
      </c>
      <c r="N1908" s="17" t="s">
        <v>66</v>
      </c>
      <c r="O1908" s="11"/>
      <c r="P1908" s="28"/>
      <c r="Q1908" s="28" t="n">
        <f aca="false">P1908*$M1908</f>
        <v>0</v>
      </c>
      <c r="R1908" s="28" t="n">
        <v>4117</v>
      </c>
      <c r="S1908" s="28" t="n">
        <v>20585</v>
      </c>
      <c r="T1908" s="28"/>
      <c r="U1908" s="28" t="n">
        <f aca="false">T1908*$M1908</f>
        <v>0</v>
      </c>
      <c r="V1908" s="28"/>
      <c r="W1908" s="28" t="n">
        <f aca="false">V1908*$M1908</f>
        <v>0</v>
      </c>
      <c r="X1908" s="28"/>
      <c r="Y1908" s="28" t="n">
        <f aca="false">X1908*$M1908</f>
        <v>0</v>
      </c>
      <c r="Z1908" s="28"/>
      <c r="AA1908" s="28" t="n">
        <f aca="false">Z1908*$M1908</f>
        <v>0</v>
      </c>
      <c r="AB1908" s="28"/>
      <c r="AC1908" s="28" t="n">
        <f aca="false">AB1908*$M1908</f>
        <v>0</v>
      </c>
      <c r="AD1908" s="28"/>
      <c r="AE1908" s="28" t="n">
        <f aca="false">AD1908*$M1908</f>
        <v>0</v>
      </c>
      <c r="AF1908" s="28"/>
      <c r="AG1908" s="28" t="n">
        <f aca="false">AF1908*$M1908</f>
        <v>0</v>
      </c>
      <c r="AH1908" s="28"/>
      <c r="AI1908" s="28" t="n">
        <f aca="false">AH1908*$M1908</f>
        <v>0</v>
      </c>
      <c r="AJ1908" s="28"/>
      <c r="AK1908" s="28" t="n">
        <f aca="false">AJ1908*$M1908</f>
        <v>0</v>
      </c>
      <c r="AL1908" s="28"/>
      <c r="AM1908" s="28" t="n">
        <f aca="false">AL1908*$M1908</f>
        <v>0</v>
      </c>
      <c r="AN1908" s="28"/>
      <c r="AO1908" s="28" t="n">
        <f aca="false">AN1908*$M1908</f>
        <v>0</v>
      </c>
      <c r="AP1908" s="28"/>
      <c r="AQ1908" s="28" t="n">
        <f aca="false">AP1908*$M1908</f>
        <v>0</v>
      </c>
      <c r="AR1908" s="28"/>
      <c r="AS1908" s="28" t="n">
        <f aca="false">AR1908*$M1908</f>
        <v>0</v>
      </c>
      <c r="AT1908" s="28"/>
      <c r="AU1908" s="28" t="n">
        <f aca="false">AT1908*$M1908</f>
        <v>0</v>
      </c>
      <c r="AV1908" s="28"/>
      <c r="AW1908" s="28" t="n">
        <f aca="false">AV1908*$M1908</f>
        <v>0</v>
      </c>
      <c r="AX1908" s="28"/>
      <c r="AY1908" s="28" t="n">
        <f aca="false">AX1908*$M1908</f>
        <v>0</v>
      </c>
      <c r="AZ1908" s="30" t="n">
        <v>4117</v>
      </c>
      <c r="BA1908" s="11" t="n">
        <v>20585</v>
      </c>
      <c r="BB1908" s="31" t="n">
        <f aca="false">SUM(Q1908,S1908,U1908,W1908,Y1908,AA1908,AC1908,AE1908,AG1908,AI1908,AK1908,AM1908,AO1908,AQ1908,AS1908,AU1908,AW1908,AY1908)</f>
        <v>20585</v>
      </c>
      <c r="BC1908" s="28" t="n">
        <f aca="false">BA1908-BB1908</f>
        <v>0</v>
      </c>
      <c r="BD1908" s="32" t="n">
        <f aca="false">SUM(P1908,R1908,T1908,V1908,X1908,Z1908,AB1908,AD1908,AF1908,AH1908,AJ1908,AL1908,AN1908,AP1908,AR1908,AT1908,AV1908,AX1908)</f>
        <v>4117</v>
      </c>
      <c r="BE1908" s="33" t="n">
        <f aca="false">AZ1908-BD1908</f>
        <v>0</v>
      </c>
      <c r="BF1908" s="34" t="n">
        <f aca="false">BD1908*M1908</f>
        <v>20585</v>
      </c>
      <c r="BG1908" s="35" t="n">
        <f aca="false">BA1908-BF1908</f>
        <v>0</v>
      </c>
      <c r="BH1908" s="19" t="str">
        <f aca="false">IF(BG1908=0,"",IF(BG1908&lt;&gt;BA1908,"erreur de calcul",IF(BD1908&lt;&gt;0,"pas de prix",IF(M1908&lt;&gt; 0,"pas de quantité","pas de prix, ni de quantité"))))</f>
        <v/>
      </c>
      <c r="BI1908" s="19"/>
    </row>
    <row r="1909" customFormat="false" ht="15" hidden="false" customHeight="false" outlineLevel="0" collapsed="false">
      <c r="A1909" s="0" t="n">
        <v>27</v>
      </c>
      <c r="B1909" s="8" t="s">
        <v>24</v>
      </c>
      <c r="C1909" s="9" t="s">
        <v>25</v>
      </c>
      <c r="D1909" s="9" t="s">
        <v>26</v>
      </c>
      <c r="E1909" s="10" t="n">
        <v>1789</v>
      </c>
      <c r="F1909" s="9" t="s">
        <v>27</v>
      </c>
      <c r="G1909" s="9" t="s">
        <v>27</v>
      </c>
      <c r="H1909" s="11" t="n">
        <v>22</v>
      </c>
      <c r="I1909" s="11" t="s">
        <v>230</v>
      </c>
      <c r="J1909" s="14" t="n">
        <v>11</v>
      </c>
      <c r="K1909" s="14"/>
      <c r="L1909" s="16"/>
      <c r="M1909" s="27" t="n">
        <f aca="false">J1909+(K1909/20)+(L1909/240)</f>
        <v>11</v>
      </c>
      <c r="N1909" s="17" t="s">
        <v>66</v>
      </c>
      <c r="O1909" s="11"/>
      <c r="P1909" s="28"/>
      <c r="Q1909" s="28" t="n">
        <f aca="false">P1909*$M1909</f>
        <v>0</v>
      </c>
      <c r="R1909" s="28"/>
      <c r="S1909" s="28" t="n">
        <f aca="false">R1909*$M1909</f>
        <v>0</v>
      </c>
      <c r="T1909" s="28"/>
      <c r="U1909" s="28" t="n">
        <f aca="false">T1909*$M1909</f>
        <v>0</v>
      </c>
      <c r="V1909" s="28"/>
      <c r="W1909" s="28" t="n">
        <f aca="false">V1909*$M1909</f>
        <v>0</v>
      </c>
      <c r="X1909" s="28"/>
      <c r="Y1909" s="28" t="n">
        <f aca="false">X1909*$M1909</f>
        <v>0</v>
      </c>
      <c r="Z1909" s="28"/>
      <c r="AA1909" s="28" t="n">
        <f aca="false">Z1909*$M1909</f>
        <v>0</v>
      </c>
      <c r="AB1909" s="28"/>
      <c r="AC1909" s="28" t="n">
        <f aca="false">AB1909*$M1909</f>
        <v>0</v>
      </c>
      <c r="AD1909" s="28"/>
      <c r="AE1909" s="28" t="n">
        <f aca="false">AD1909*$M1909</f>
        <v>0</v>
      </c>
      <c r="AF1909" s="28"/>
      <c r="AG1909" s="28" t="n">
        <f aca="false">AF1909*$M1909</f>
        <v>0</v>
      </c>
      <c r="AH1909" s="28"/>
      <c r="AI1909" s="28" t="n">
        <f aca="false">AH1909*$M1909</f>
        <v>0</v>
      </c>
      <c r="AJ1909" s="28" t="n">
        <v>34854</v>
      </c>
      <c r="AK1909" s="28" t="n">
        <v>383394</v>
      </c>
      <c r="AL1909" s="28"/>
      <c r="AM1909" s="28" t="n">
        <f aca="false">AL1909*$M1909</f>
        <v>0</v>
      </c>
      <c r="AN1909" s="28"/>
      <c r="AO1909" s="28" t="n">
        <f aca="false">AN1909*$M1909</f>
        <v>0</v>
      </c>
      <c r="AP1909" s="28"/>
      <c r="AQ1909" s="28" t="n">
        <f aca="false">AP1909*$M1909</f>
        <v>0</v>
      </c>
      <c r="AR1909" s="28"/>
      <c r="AS1909" s="28" t="n">
        <f aca="false">AR1909*$M1909</f>
        <v>0</v>
      </c>
      <c r="AT1909" s="28"/>
      <c r="AU1909" s="28" t="n">
        <f aca="false">AT1909*$M1909</f>
        <v>0</v>
      </c>
      <c r="AV1909" s="28"/>
      <c r="AW1909" s="28" t="n">
        <f aca="false">AV1909*$M1909</f>
        <v>0</v>
      </c>
      <c r="AX1909" s="28"/>
      <c r="AY1909" s="28" t="n">
        <f aca="false">AX1909*$M1909</f>
        <v>0</v>
      </c>
      <c r="AZ1909" s="30" t="n">
        <v>34854</v>
      </c>
      <c r="BA1909" s="11" t="n">
        <v>383394</v>
      </c>
      <c r="BB1909" s="31" t="n">
        <f aca="false">SUM(Q1909,S1909,U1909,W1909,Y1909,AA1909,AC1909,AE1909,AG1909,AI1909,AK1909,AM1909,AO1909,AQ1909,AS1909,AU1909,AW1909,AY1909)</f>
        <v>383394</v>
      </c>
      <c r="BC1909" s="28" t="n">
        <f aca="false">BA1909-BB1909</f>
        <v>0</v>
      </c>
      <c r="BD1909" s="32" t="n">
        <f aca="false">SUM(P1909,R1909,T1909,V1909,X1909,Z1909,AB1909,AD1909,AF1909,AH1909,AJ1909,AL1909,AN1909,AP1909,AR1909,AT1909,AV1909,AX1909)</f>
        <v>34854</v>
      </c>
      <c r="BE1909" s="33" t="n">
        <f aca="false">AZ1909-BD1909</f>
        <v>0</v>
      </c>
      <c r="BF1909" s="34" t="n">
        <f aca="false">BD1909*M1909</f>
        <v>383394</v>
      </c>
      <c r="BG1909" s="35" t="n">
        <f aca="false">BA1909-BF1909</f>
        <v>0</v>
      </c>
      <c r="BH1909" s="19" t="str">
        <f aca="false">IF(BG1909=0,"",IF(BG1909&lt;&gt;BA1909,"erreur de calcul",IF(BD1909&lt;&gt;0,"pas de prix",IF(M1909&lt;&gt; 0,"pas de quantité","pas de prix, ni de quantité"))))</f>
        <v/>
      </c>
      <c r="BI1909" s="19"/>
    </row>
    <row r="1910" customFormat="false" ht="15" hidden="false" customHeight="false" outlineLevel="0" collapsed="false">
      <c r="A1910" s="0" t="n">
        <v>28</v>
      </c>
      <c r="B1910" s="8" t="s">
        <v>24</v>
      </c>
      <c r="C1910" s="9" t="s">
        <v>25</v>
      </c>
      <c r="D1910" s="9" t="s">
        <v>26</v>
      </c>
      <c r="E1910" s="10" t="n">
        <v>1789</v>
      </c>
      <c r="F1910" s="9" t="s">
        <v>27</v>
      </c>
      <c r="G1910" s="9" t="s">
        <v>27</v>
      </c>
      <c r="H1910" s="11" t="n">
        <v>22</v>
      </c>
      <c r="I1910" s="11" t="s">
        <v>231</v>
      </c>
      <c r="J1910" s="14" t="n">
        <v>18</v>
      </c>
      <c r="K1910" s="14"/>
      <c r="L1910" s="16"/>
      <c r="M1910" s="27" t="n">
        <f aca="false">J1910+(K1910/20)+(L1910/240)</f>
        <v>18</v>
      </c>
      <c r="N1910" s="17" t="s">
        <v>66</v>
      </c>
      <c r="O1910" s="11"/>
      <c r="P1910" s="28"/>
      <c r="Q1910" s="28" t="n">
        <f aca="false">P1910*$M1910</f>
        <v>0</v>
      </c>
      <c r="R1910" s="28"/>
      <c r="S1910" s="28" t="n">
        <f aca="false">R1910*$M1910</f>
        <v>0</v>
      </c>
      <c r="T1910" s="28"/>
      <c r="U1910" s="28" t="n">
        <f aca="false">T1910*$M1910</f>
        <v>0</v>
      </c>
      <c r="V1910" s="28"/>
      <c r="W1910" s="28" t="n">
        <f aca="false">V1910*$M1910</f>
        <v>0</v>
      </c>
      <c r="X1910" s="28"/>
      <c r="Y1910" s="28" t="n">
        <f aca="false">X1910*$M1910</f>
        <v>0</v>
      </c>
      <c r="Z1910" s="28"/>
      <c r="AA1910" s="28" t="n">
        <f aca="false">Z1910*$M1910</f>
        <v>0</v>
      </c>
      <c r="AB1910" s="28"/>
      <c r="AC1910" s="28" t="n">
        <f aca="false">AB1910*$M1910</f>
        <v>0</v>
      </c>
      <c r="AD1910" s="28"/>
      <c r="AE1910" s="28" t="n">
        <f aca="false">AD1910*$M1910</f>
        <v>0</v>
      </c>
      <c r="AF1910" s="28"/>
      <c r="AG1910" s="28" t="n">
        <f aca="false">AF1910*$M1910</f>
        <v>0</v>
      </c>
      <c r="AH1910" s="28"/>
      <c r="AI1910" s="28" t="n">
        <f aca="false">AH1910*$M1910</f>
        <v>0</v>
      </c>
      <c r="AJ1910" s="28" t="n">
        <v>623</v>
      </c>
      <c r="AK1910" s="28" t="n">
        <v>11214</v>
      </c>
      <c r="AL1910" s="28"/>
      <c r="AM1910" s="28" t="n">
        <f aca="false">AL1910*$M1910</f>
        <v>0</v>
      </c>
      <c r="AN1910" s="28"/>
      <c r="AO1910" s="28" t="n">
        <f aca="false">AN1910*$M1910</f>
        <v>0</v>
      </c>
      <c r="AP1910" s="28"/>
      <c r="AQ1910" s="28" t="n">
        <f aca="false">AP1910*$M1910</f>
        <v>0</v>
      </c>
      <c r="AR1910" s="28"/>
      <c r="AS1910" s="28" t="n">
        <f aca="false">AR1910*$M1910</f>
        <v>0</v>
      </c>
      <c r="AT1910" s="28"/>
      <c r="AU1910" s="28" t="n">
        <f aca="false">AT1910*$M1910</f>
        <v>0</v>
      </c>
      <c r="AV1910" s="28"/>
      <c r="AW1910" s="28" t="n">
        <f aca="false">AV1910*$M1910</f>
        <v>0</v>
      </c>
      <c r="AX1910" s="28"/>
      <c r="AY1910" s="28" t="n">
        <f aca="false">AX1910*$M1910</f>
        <v>0</v>
      </c>
      <c r="AZ1910" s="30" t="n">
        <v>623</v>
      </c>
      <c r="BA1910" s="11" t="n">
        <v>11214</v>
      </c>
      <c r="BB1910" s="31" t="n">
        <f aca="false">SUM(Q1910,S1910,U1910,W1910,Y1910,AA1910,AC1910,AE1910,AG1910,AI1910,AK1910,AM1910,AO1910,AQ1910,AS1910,AU1910,AW1910,AY1910)</f>
        <v>11214</v>
      </c>
      <c r="BC1910" s="28" t="n">
        <f aca="false">BA1910-BB1910</f>
        <v>0</v>
      </c>
      <c r="BD1910" s="32" t="n">
        <f aca="false">SUM(P1910,R1910,T1910,V1910,X1910,Z1910,AB1910,AD1910,AF1910,AH1910,AJ1910,AL1910,AN1910,AP1910,AR1910,AT1910,AV1910,AX1910)</f>
        <v>623</v>
      </c>
      <c r="BE1910" s="33" t="n">
        <f aca="false">AZ1910-BD1910</f>
        <v>0</v>
      </c>
      <c r="BF1910" s="34" t="n">
        <f aca="false">BD1910*M1910</f>
        <v>11214</v>
      </c>
      <c r="BG1910" s="35" t="n">
        <f aca="false">BA1910-BF1910</f>
        <v>0</v>
      </c>
      <c r="BH1910" s="19" t="str">
        <f aca="false">IF(BG1910=0,"",IF(BG1910&lt;&gt;BA1910,"erreur de calcul",IF(BD1910&lt;&gt;0,"pas de prix",IF(M1910&lt;&gt; 0,"pas de quantité","pas de prix, ni de quantité"))))</f>
        <v/>
      </c>
      <c r="BI1910" s="19"/>
    </row>
    <row r="1911" customFormat="false" ht="15" hidden="false" customHeight="false" outlineLevel="0" collapsed="false">
      <c r="A1911" s="0" t="n">
        <v>29</v>
      </c>
      <c r="B1911" s="8" t="s">
        <v>24</v>
      </c>
      <c r="C1911" s="9" t="s">
        <v>25</v>
      </c>
      <c r="D1911" s="9" t="s">
        <v>26</v>
      </c>
      <c r="E1911" s="10" t="n">
        <v>1789</v>
      </c>
      <c r="F1911" s="9" t="s">
        <v>27</v>
      </c>
      <c r="G1911" s="9" t="s">
        <v>27</v>
      </c>
      <c r="H1911" s="11" t="n">
        <v>22</v>
      </c>
      <c r="I1911" s="11" t="s">
        <v>232</v>
      </c>
      <c r="J1911" s="14" t="n">
        <v>66</v>
      </c>
      <c r="K1911" s="14"/>
      <c r="L1911" s="16"/>
      <c r="M1911" s="27" t="n">
        <f aca="false">J1911+(K1911/20)+(L1911/240)</f>
        <v>66</v>
      </c>
      <c r="N1911" s="17" t="s">
        <v>64</v>
      </c>
      <c r="O1911" s="11"/>
      <c r="P1911" s="28"/>
      <c r="Q1911" s="28" t="n">
        <f aca="false">P1911*$M1911</f>
        <v>0</v>
      </c>
      <c r="R1911" s="28" t="n">
        <f aca="false">4580/100</f>
        <v>45.8</v>
      </c>
      <c r="S1911" s="28" t="n">
        <v>3023</v>
      </c>
      <c r="T1911" s="28"/>
      <c r="U1911" s="28" t="n">
        <f aca="false">T1911*$M1911</f>
        <v>0</v>
      </c>
      <c r="V1911" s="28"/>
      <c r="W1911" s="28" t="n">
        <f aca="false">V1911*$M1911</f>
        <v>0</v>
      </c>
      <c r="X1911" s="28"/>
      <c r="Y1911" s="28" t="n">
        <f aca="false">X1911*$M1911</f>
        <v>0</v>
      </c>
      <c r="Z1911" s="28"/>
      <c r="AA1911" s="28" t="n">
        <f aca="false">Z1911*$M1911</f>
        <v>0</v>
      </c>
      <c r="AB1911" s="28"/>
      <c r="AC1911" s="28" t="n">
        <f aca="false">AB1911*$M1911</f>
        <v>0</v>
      </c>
      <c r="AD1911" s="28"/>
      <c r="AE1911" s="28" t="n">
        <f aca="false">AD1911*$M1911</f>
        <v>0</v>
      </c>
      <c r="AF1911" s="28"/>
      <c r="AG1911" s="28" t="n">
        <f aca="false">AF1911*$M1911</f>
        <v>0</v>
      </c>
      <c r="AH1911" s="28"/>
      <c r="AI1911" s="28" t="n">
        <f aca="false">AH1911*$M1911</f>
        <v>0</v>
      </c>
      <c r="AJ1911" s="28"/>
      <c r="AK1911" s="28" t="n">
        <f aca="false">AJ1911*$M1911</f>
        <v>0</v>
      </c>
      <c r="AL1911" s="28"/>
      <c r="AM1911" s="28" t="n">
        <f aca="false">AL1911*$M1911</f>
        <v>0</v>
      </c>
      <c r="AN1911" s="28"/>
      <c r="AO1911" s="28" t="n">
        <f aca="false">AN1911*$M1911</f>
        <v>0</v>
      </c>
      <c r="AP1911" s="28"/>
      <c r="AQ1911" s="28" t="n">
        <f aca="false">AP1911*$M1911</f>
        <v>0</v>
      </c>
      <c r="AR1911" s="28"/>
      <c r="AS1911" s="28" t="n">
        <f aca="false">AR1911*$M1911</f>
        <v>0</v>
      </c>
      <c r="AT1911" s="28"/>
      <c r="AU1911" s="28" t="n">
        <f aca="false">AT1911*$M1911</f>
        <v>0</v>
      </c>
      <c r="AV1911" s="28"/>
      <c r="AW1911" s="28" t="n">
        <f aca="false">AV1911*$M1911</f>
        <v>0</v>
      </c>
      <c r="AX1911" s="28"/>
      <c r="AY1911" s="28" t="n">
        <f aca="false">AX1911*$M1911</f>
        <v>0</v>
      </c>
      <c r="AZ1911" s="30" t="n">
        <f aca="false">4580/100</f>
        <v>45.8</v>
      </c>
      <c r="BA1911" s="11" t="n">
        <v>3023</v>
      </c>
      <c r="BB1911" s="31" t="n">
        <f aca="false">SUM(Q1911,S1911,U1911,W1911,Y1911,AA1911,AC1911,AE1911,AG1911,AI1911,AK1911,AM1911,AO1911,AQ1911,AS1911,AU1911,AW1911,AY1911)</f>
        <v>3023</v>
      </c>
      <c r="BC1911" s="28" t="n">
        <f aca="false">BA1911-BB1911</f>
        <v>0</v>
      </c>
      <c r="BD1911" s="32" t="n">
        <f aca="false">SUM(P1911,R1911,T1911,V1911,X1911,Z1911,AB1911,AD1911,AF1911,AH1911,AJ1911,AL1911,AN1911,AP1911,AR1911,AT1911,AV1911,AX1911)</f>
        <v>45.8</v>
      </c>
      <c r="BE1911" s="33" t="n">
        <f aca="false">AZ1911-BD1911</f>
        <v>0</v>
      </c>
      <c r="BF1911" s="34" t="n">
        <f aca="false">BD1911*M1911</f>
        <v>3022.8</v>
      </c>
      <c r="BG1911" s="35" t="n">
        <f aca="false">BA1911-BF1911</f>
        <v>0.200000000000273</v>
      </c>
      <c r="BH1911" s="19" t="str">
        <f aca="false">IF(BG1911=0,"",IF(BG1911&lt;&gt;BA1911,"erreur de calcul",IF(BD1911&lt;&gt;0,"pas de prix",IF(M1911&lt;&gt; 0,"pas de quantité","pas de prix, ni de quantité"))))</f>
        <v>erreur de calcul</v>
      </c>
      <c r="BI1911" s="19"/>
    </row>
    <row r="1912" customFormat="false" ht="15" hidden="false" customHeight="false" outlineLevel="0" collapsed="false">
      <c r="A1912" s="0" t="n">
        <v>30</v>
      </c>
      <c r="B1912" s="8" t="s">
        <v>24</v>
      </c>
      <c r="C1912" s="9" t="s">
        <v>25</v>
      </c>
      <c r="D1912" s="9" t="s">
        <v>26</v>
      </c>
      <c r="E1912" s="10" t="n">
        <v>1789</v>
      </c>
      <c r="F1912" s="9" t="s">
        <v>27</v>
      </c>
      <c r="G1912" s="9" t="s">
        <v>27</v>
      </c>
      <c r="H1912" s="11" t="n">
        <v>22</v>
      </c>
      <c r="I1912" s="11" t="s">
        <v>233</v>
      </c>
      <c r="J1912" s="14" t="n">
        <v>155</v>
      </c>
      <c r="K1912" s="14"/>
      <c r="L1912" s="16"/>
      <c r="M1912" s="27" t="n">
        <f aca="false">J1912+(K1912/20)+(L1912/240)</f>
        <v>155</v>
      </c>
      <c r="N1912" s="17" t="s">
        <v>64</v>
      </c>
      <c r="O1912" s="11"/>
      <c r="P1912" s="28" t="n">
        <f aca="false">27574/100</f>
        <v>275.74</v>
      </c>
      <c r="Q1912" s="28" t="n">
        <v>42740</v>
      </c>
      <c r="R1912" s="28" t="n">
        <f aca="false">7820/100</f>
        <v>78.2</v>
      </c>
      <c r="S1912" s="28" t="n">
        <v>12121</v>
      </c>
      <c r="T1912" s="28"/>
      <c r="U1912" s="28" t="n">
        <f aca="false">T1912*$M1912</f>
        <v>0</v>
      </c>
      <c r="V1912" s="28" t="n">
        <f aca="false">37316/100</f>
        <v>373.16</v>
      </c>
      <c r="W1912" s="28" t="n">
        <v>57840</v>
      </c>
      <c r="X1912" s="28" t="n">
        <f aca="false">1394/100</f>
        <v>13.94</v>
      </c>
      <c r="Y1912" s="28" t="n">
        <v>2161</v>
      </c>
      <c r="Z1912" s="28"/>
      <c r="AA1912" s="28" t="n">
        <f aca="false">Z1912*$M1912</f>
        <v>0</v>
      </c>
      <c r="AB1912" s="28"/>
      <c r="AC1912" s="28" t="n">
        <f aca="false">AB1912*$M1912</f>
        <v>0</v>
      </c>
      <c r="AD1912" s="28"/>
      <c r="AE1912" s="28" t="n">
        <f aca="false">AD1912*$M1912</f>
        <v>0</v>
      </c>
      <c r="AF1912" s="28"/>
      <c r="AG1912" s="28" t="n">
        <f aca="false">AF1912*$M1912</f>
        <v>0</v>
      </c>
      <c r="AH1912" s="28"/>
      <c r="AI1912" s="28" t="n">
        <f aca="false">AH1912*$M1912</f>
        <v>0</v>
      </c>
      <c r="AJ1912" s="28" t="n">
        <f aca="false">158255/100</f>
        <v>1582.55</v>
      </c>
      <c r="AK1912" s="28" t="n">
        <v>245295</v>
      </c>
      <c r="AL1912" s="28"/>
      <c r="AM1912" s="28" t="n">
        <f aca="false">AL1912*$M1912</f>
        <v>0</v>
      </c>
      <c r="AN1912" s="28" t="n">
        <f aca="false">417945/100</f>
        <v>4179.45</v>
      </c>
      <c r="AO1912" s="28" t="n">
        <v>647815</v>
      </c>
      <c r="AP1912" s="28"/>
      <c r="AQ1912" s="28" t="n">
        <f aca="false">AP1912*$M1912</f>
        <v>0</v>
      </c>
      <c r="AR1912" s="28"/>
      <c r="AS1912" s="28" t="n">
        <f aca="false">AR1912*$M1912</f>
        <v>0</v>
      </c>
      <c r="AT1912" s="28"/>
      <c r="AU1912" s="28" t="n">
        <f aca="false">AT1912*$M1912</f>
        <v>0</v>
      </c>
      <c r="AV1912" s="28"/>
      <c r="AW1912" s="28" t="n">
        <f aca="false">AV1912*$M1912</f>
        <v>0</v>
      </c>
      <c r="AX1912" s="28"/>
      <c r="AY1912" s="28" t="n">
        <f aca="false">AX1912*$M1912</f>
        <v>0</v>
      </c>
      <c r="AZ1912" s="30" t="n">
        <f aca="false">650304/100</f>
        <v>6503.04</v>
      </c>
      <c r="BA1912" s="11" t="n">
        <v>1007972</v>
      </c>
      <c r="BB1912" s="31" t="n">
        <f aca="false">SUM(Q1912,S1912,U1912,W1912,Y1912,AA1912,AC1912,AE1912,AG1912,AI1912,AK1912,AM1912,AO1912,AQ1912,AS1912,AU1912,AW1912,AY1912)</f>
        <v>1007972</v>
      </c>
      <c r="BC1912" s="28" t="n">
        <f aca="false">BA1912-BB1912</f>
        <v>0</v>
      </c>
      <c r="BD1912" s="32" t="n">
        <f aca="false">SUM(P1912,R1912,T1912,V1912,X1912,Z1912,AB1912,AD1912,AF1912,AH1912,AJ1912,AL1912,AN1912,AP1912,AR1912,AT1912,AV1912,AX1912)</f>
        <v>6503.04</v>
      </c>
      <c r="BE1912" s="33" t="n">
        <f aca="false">AZ1912-BD1912</f>
        <v>0</v>
      </c>
      <c r="BF1912" s="34" t="n">
        <f aca="false">BD1912*M1912</f>
        <v>1007971.2</v>
      </c>
      <c r="BG1912" s="35" t="n">
        <f aca="false">BA1912-BF1912</f>
        <v>0.800000000162981</v>
      </c>
      <c r="BH1912" s="19" t="str">
        <f aca="false">IF(BG1912=0,"",IF(BG1912&lt;&gt;BA1912,"erreur de calcul",IF(BD1912&lt;&gt;0,"pas de prix",IF(M1912&lt;&gt; 0,"pas de quantité","pas de prix, ni de quantité"))))</f>
        <v>erreur de calcul</v>
      </c>
      <c r="BI1912" s="19"/>
    </row>
    <row r="1913" customFormat="false" ht="15" hidden="false" customHeight="false" outlineLevel="0" collapsed="false">
      <c r="A1913" s="0" t="n">
        <v>31</v>
      </c>
      <c r="B1913" s="8" t="s">
        <v>24</v>
      </c>
      <c r="C1913" s="9" t="s">
        <v>25</v>
      </c>
      <c r="D1913" s="9" t="s">
        <v>26</v>
      </c>
      <c r="E1913" s="10" t="n">
        <v>1789</v>
      </c>
      <c r="F1913" s="9" t="s">
        <v>27</v>
      </c>
      <c r="G1913" s="9" t="s">
        <v>27</v>
      </c>
      <c r="H1913" s="11" t="n">
        <v>22</v>
      </c>
      <c r="I1913" s="11" t="s">
        <v>234</v>
      </c>
      <c r="J1913" s="14" t="n">
        <v>110</v>
      </c>
      <c r="K1913" s="14"/>
      <c r="L1913" s="16"/>
      <c r="M1913" s="27" t="n">
        <f aca="false">J1913+(K1913/20)+(L1913/240)</f>
        <v>110</v>
      </c>
      <c r="N1913" s="17" t="s">
        <v>64</v>
      </c>
      <c r="O1913" s="11"/>
      <c r="P1913" s="28" t="n">
        <f aca="false">73942/100</f>
        <v>739.42</v>
      </c>
      <c r="Q1913" s="28" t="n">
        <v>81336</v>
      </c>
      <c r="R1913" s="28"/>
      <c r="S1913" s="28" t="n">
        <f aca="false">R1913*$M1913</f>
        <v>0</v>
      </c>
      <c r="T1913" s="28"/>
      <c r="U1913" s="28" t="n">
        <f aca="false">T1913*$M1913</f>
        <v>0</v>
      </c>
      <c r="V1913" s="28"/>
      <c r="W1913" s="28" t="n">
        <f aca="false">V1913*$M1913</f>
        <v>0</v>
      </c>
      <c r="X1913" s="28"/>
      <c r="Y1913" s="28" t="n">
        <f aca="false">X1913*$M1913</f>
        <v>0</v>
      </c>
      <c r="Z1913" s="28"/>
      <c r="AA1913" s="28" t="n">
        <f aca="false">Z1913*$M1913</f>
        <v>0</v>
      </c>
      <c r="AB1913" s="28"/>
      <c r="AC1913" s="28" t="n">
        <f aca="false">AB1913*$M1913</f>
        <v>0</v>
      </c>
      <c r="AD1913" s="28"/>
      <c r="AE1913" s="28" t="n">
        <f aca="false">AD1913*$M1913</f>
        <v>0</v>
      </c>
      <c r="AF1913" s="28"/>
      <c r="AG1913" s="28" t="n">
        <f aca="false">AF1913*$M1913</f>
        <v>0</v>
      </c>
      <c r="AH1913" s="28"/>
      <c r="AI1913" s="28" t="n">
        <f aca="false">AH1913*$M1913</f>
        <v>0</v>
      </c>
      <c r="AJ1913" s="28"/>
      <c r="AK1913" s="28" t="n">
        <f aca="false">AJ1913*$M1913</f>
        <v>0</v>
      </c>
      <c r="AL1913" s="28"/>
      <c r="AM1913" s="28" t="n">
        <f aca="false">AL1913*$M1913</f>
        <v>0</v>
      </c>
      <c r="AN1913" s="28"/>
      <c r="AO1913" s="28" t="n">
        <f aca="false">AN1913*$M1913</f>
        <v>0</v>
      </c>
      <c r="AP1913" s="28"/>
      <c r="AQ1913" s="28" t="n">
        <f aca="false">AP1913*$M1913</f>
        <v>0</v>
      </c>
      <c r="AR1913" s="28"/>
      <c r="AS1913" s="28" t="n">
        <f aca="false">AR1913*$M1913</f>
        <v>0</v>
      </c>
      <c r="AT1913" s="28"/>
      <c r="AU1913" s="28" t="n">
        <f aca="false">AT1913*$M1913</f>
        <v>0</v>
      </c>
      <c r="AV1913" s="28"/>
      <c r="AW1913" s="28" t="n">
        <f aca="false">AV1913*$M1913</f>
        <v>0</v>
      </c>
      <c r="AX1913" s="28"/>
      <c r="AY1913" s="28" t="n">
        <f aca="false">AX1913*$M1913</f>
        <v>0</v>
      </c>
      <c r="AZ1913" s="30" t="n">
        <f aca="false">73942/100</f>
        <v>739.42</v>
      </c>
      <c r="BA1913" s="11" t="n">
        <v>81336</v>
      </c>
      <c r="BB1913" s="31" t="n">
        <f aca="false">SUM(Q1913,S1913,U1913,W1913,Y1913,AA1913,AC1913,AE1913,AG1913,AI1913,AK1913,AM1913,AO1913,AQ1913,AS1913,AU1913,AW1913,AY1913)</f>
        <v>81336</v>
      </c>
      <c r="BC1913" s="28" t="n">
        <f aca="false">BA1913-BB1913</f>
        <v>0</v>
      </c>
      <c r="BD1913" s="32" t="n">
        <f aca="false">SUM(P1913,R1913,T1913,V1913,X1913,Z1913,AB1913,AD1913,AF1913,AH1913,AJ1913,AL1913,AN1913,AP1913,AR1913,AT1913,AV1913,AX1913)</f>
        <v>739.42</v>
      </c>
      <c r="BE1913" s="33" t="n">
        <f aca="false">AZ1913-BD1913</f>
        <v>0</v>
      </c>
      <c r="BF1913" s="34" t="n">
        <f aca="false">BD1913*M1913</f>
        <v>81336.2</v>
      </c>
      <c r="BG1913" s="35" t="n">
        <f aca="false">BA1913-BF1913</f>
        <v>-0.19999999999709</v>
      </c>
      <c r="BH1913" s="19" t="str">
        <f aca="false">IF(BG1913=0,"",IF(BG1913&lt;&gt;BA1913,"erreur de calcul",IF(BD1913&lt;&gt;0,"pas de prix",IF(M1913&lt;&gt; 0,"pas de quantité","pas de prix, ni de quantité"))))</f>
        <v>erreur de calcul</v>
      </c>
      <c r="BI1913" s="19"/>
    </row>
    <row r="1914" customFormat="false" ht="15" hidden="false" customHeight="false" outlineLevel="0" collapsed="false">
      <c r="A1914" s="0" t="n">
        <v>32</v>
      </c>
      <c r="B1914" s="8" t="s">
        <v>24</v>
      </c>
      <c r="C1914" s="9" t="s">
        <v>25</v>
      </c>
      <c r="D1914" s="9" t="s">
        <v>26</v>
      </c>
      <c r="E1914" s="10" t="n">
        <v>1789</v>
      </c>
      <c r="F1914" s="9" t="s">
        <v>27</v>
      </c>
      <c r="G1914" s="9" t="s">
        <v>27</v>
      </c>
      <c r="H1914" s="11" t="n">
        <v>22</v>
      </c>
      <c r="I1914" s="11" t="s">
        <v>235</v>
      </c>
      <c r="J1914" s="14" t="n">
        <v>60</v>
      </c>
      <c r="K1914" s="14"/>
      <c r="L1914" s="16"/>
      <c r="M1914" s="27" t="n">
        <f aca="false">J1914+(K1914/20)+(L1914/240)</f>
        <v>60</v>
      </c>
      <c r="N1914" s="17" t="s">
        <v>64</v>
      </c>
      <c r="O1914" s="11"/>
      <c r="P1914" s="28"/>
      <c r="Q1914" s="28" t="n">
        <f aca="false">P1914*$M1914</f>
        <v>0</v>
      </c>
      <c r="R1914" s="28"/>
      <c r="S1914" s="28" t="n">
        <f aca="false">R1914*$M1914</f>
        <v>0</v>
      </c>
      <c r="T1914" s="28"/>
      <c r="U1914" s="28" t="n">
        <f aca="false">T1914*$M1914</f>
        <v>0</v>
      </c>
      <c r="V1914" s="28" t="n">
        <f aca="false">232/100</f>
        <v>2.32</v>
      </c>
      <c r="W1914" s="28" t="n">
        <v>139</v>
      </c>
      <c r="X1914" s="28" t="n">
        <f aca="false">5603/100</f>
        <v>56.03</v>
      </c>
      <c r="Y1914" s="28" t="n">
        <v>3362</v>
      </c>
      <c r="Z1914" s="28"/>
      <c r="AA1914" s="28" t="n">
        <f aca="false">Z1914*$M1914</f>
        <v>0</v>
      </c>
      <c r="AB1914" s="28" t="n">
        <f aca="false">1410/100</f>
        <v>14.1</v>
      </c>
      <c r="AC1914" s="28" t="n">
        <v>846</v>
      </c>
      <c r="AD1914" s="28"/>
      <c r="AE1914" s="28" t="n">
        <f aca="false">AD1914*$M1914</f>
        <v>0</v>
      </c>
      <c r="AF1914" s="28" t="n">
        <f aca="false">162899/100</f>
        <v>1628.99</v>
      </c>
      <c r="AG1914" s="28" t="n">
        <v>97739</v>
      </c>
      <c r="AH1914" s="28" t="n">
        <f aca="false">6506/100</f>
        <v>65.06</v>
      </c>
      <c r="AI1914" s="28" t="n">
        <v>3904</v>
      </c>
      <c r="AJ1914" s="28"/>
      <c r="AK1914" s="28" t="n">
        <f aca="false">AJ1914*$M1914</f>
        <v>0</v>
      </c>
      <c r="AL1914" s="28"/>
      <c r="AM1914" s="28" t="n">
        <f aca="false">AL1914*$M1914</f>
        <v>0</v>
      </c>
      <c r="AN1914" s="28"/>
      <c r="AO1914" s="28" t="n">
        <f aca="false">AN1914*$M1914</f>
        <v>0</v>
      </c>
      <c r="AP1914" s="28"/>
      <c r="AQ1914" s="28" t="n">
        <f aca="false">AP1914*$M1914</f>
        <v>0</v>
      </c>
      <c r="AR1914" s="28"/>
      <c r="AS1914" s="28" t="n">
        <f aca="false">AR1914*$M1914</f>
        <v>0</v>
      </c>
      <c r="AT1914" s="28"/>
      <c r="AU1914" s="28" t="n">
        <f aca="false">AT1914*$M1914</f>
        <v>0</v>
      </c>
      <c r="AV1914" s="28"/>
      <c r="AW1914" s="28" t="n">
        <f aca="false">AV1914*$M1914</f>
        <v>0</v>
      </c>
      <c r="AX1914" s="28"/>
      <c r="AY1914" s="28" t="n">
        <f aca="false">AX1914*$M1914</f>
        <v>0</v>
      </c>
      <c r="AZ1914" s="30" t="n">
        <f aca="false">176650/100</f>
        <v>1766.5</v>
      </c>
      <c r="BA1914" s="11" t="n">
        <v>105990</v>
      </c>
      <c r="BB1914" s="31" t="n">
        <f aca="false">SUM(Q1914,S1914,U1914,W1914,Y1914,AA1914,AC1914,AE1914,AG1914,AI1914,AK1914,AM1914,AO1914,AQ1914,AS1914,AU1914,AW1914,AY1914)</f>
        <v>105990</v>
      </c>
      <c r="BC1914" s="28" t="n">
        <f aca="false">BA1914-BB1914</f>
        <v>0</v>
      </c>
      <c r="BD1914" s="32" t="n">
        <f aca="false">SUM(P1914,R1914,T1914,V1914,X1914,Z1914,AB1914,AD1914,AF1914,AH1914,AJ1914,AL1914,AN1914,AP1914,AR1914,AT1914,AV1914,AX1914)</f>
        <v>1766.5</v>
      </c>
      <c r="BE1914" s="33" t="n">
        <f aca="false">AZ1914-BD1914</f>
        <v>0</v>
      </c>
      <c r="BF1914" s="34" t="n">
        <f aca="false">BD1914*M1914</f>
        <v>105990</v>
      </c>
      <c r="BG1914" s="35" t="n">
        <f aca="false">BA1914-BF1914</f>
        <v>0</v>
      </c>
      <c r="BH1914" s="19" t="str">
        <f aca="false">IF(BG1914=0,"",IF(BG1914&lt;&gt;BA1914,"erreur de calcul",IF(BD1914&lt;&gt;0,"pas de prix",IF(M1914&lt;&gt; 0,"pas de quantité","pas de prix, ni de quantité"))))</f>
        <v/>
      </c>
      <c r="BI1914" s="19"/>
    </row>
    <row r="1915" customFormat="false" ht="15" hidden="false" customHeight="false" outlineLevel="0" collapsed="false">
      <c r="A1915" s="0" t="n">
        <v>33</v>
      </c>
      <c r="B1915" s="8" t="s">
        <v>24</v>
      </c>
      <c r="C1915" s="9" t="s">
        <v>25</v>
      </c>
      <c r="D1915" s="9" t="s">
        <v>26</v>
      </c>
      <c r="E1915" s="10" t="n">
        <v>1789</v>
      </c>
      <c r="F1915" s="9" t="s">
        <v>27</v>
      </c>
      <c r="G1915" s="9" t="s">
        <v>27</v>
      </c>
      <c r="H1915" s="11" t="n">
        <v>22</v>
      </c>
      <c r="I1915" s="11" t="s">
        <v>236</v>
      </c>
      <c r="J1915" s="14" t="n">
        <v>710</v>
      </c>
      <c r="K1915" s="14"/>
      <c r="L1915" s="16"/>
      <c r="M1915" s="27" t="n">
        <f aca="false">J1915+(K1915/20)+(L1915/240)</f>
        <v>710</v>
      </c>
      <c r="N1915" s="17" t="s">
        <v>64</v>
      </c>
      <c r="O1915" s="11"/>
      <c r="P1915" s="28"/>
      <c r="Q1915" s="28" t="n">
        <f aca="false">P1915*$M1915</f>
        <v>0</v>
      </c>
      <c r="R1915" s="28"/>
      <c r="S1915" s="28" t="n">
        <f aca="false">R1915*$M1915</f>
        <v>0</v>
      </c>
      <c r="T1915" s="28" t="n">
        <f aca="false">108/100</f>
        <v>1.08</v>
      </c>
      <c r="U1915" s="28" t="n">
        <v>767</v>
      </c>
      <c r="V1915" s="28" t="n">
        <f aca="false">1190/100</f>
        <v>11.9</v>
      </c>
      <c r="W1915" s="28" t="n">
        <v>8449</v>
      </c>
      <c r="X1915" s="28" t="n">
        <f aca="false">487/100</f>
        <v>4.87</v>
      </c>
      <c r="Y1915" s="28" t="n">
        <v>3458</v>
      </c>
      <c r="Z1915" s="28"/>
      <c r="AA1915" s="28" t="n">
        <f aca="false">Z1915*$M1915</f>
        <v>0</v>
      </c>
      <c r="AB1915" s="28" t="n">
        <f aca="false">9170/100</f>
        <v>91.7</v>
      </c>
      <c r="AC1915" s="28" t="n">
        <v>65107</v>
      </c>
      <c r="AD1915" s="28" t="n">
        <f aca="false">531/100</f>
        <v>5.31</v>
      </c>
      <c r="AE1915" s="28" t="n">
        <v>3770</v>
      </c>
      <c r="AF1915" s="28"/>
      <c r="AG1915" s="28" t="n">
        <f aca="false">AF1915*$M1915</f>
        <v>0</v>
      </c>
      <c r="AH1915" s="28"/>
      <c r="AI1915" s="28" t="n">
        <f aca="false">AH1915*$M1915</f>
        <v>0</v>
      </c>
      <c r="AJ1915" s="28"/>
      <c r="AK1915" s="28" t="n">
        <f aca="false">AJ1915*$M1915</f>
        <v>0</v>
      </c>
      <c r="AL1915" s="28"/>
      <c r="AM1915" s="28" t="n">
        <f aca="false">AL1915*$M1915</f>
        <v>0</v>
      </c>
      <c r="AN1915" s="28"/>
      <c r="AO1915" s="28" t="n">
        <f aca="false">AN1915*$M1915</f>
        <v>0</v>
      </c>
      <c r="AP1915" s="28"/>
      <c r="AQ1915" s="28" t="n">
        <f aca="false">AP1915*$M1915</f>
        <v>0</v>
      </c>
      <c r="AR1915" s="28"/>
      <c r="AS1915" s="28" t="n">
        <f aca="false">AR1915*$M1915</f>
        <v>0</v>
      </c>
      <c r="AT1915" s="28"/>
      <c r="AU1915" s="28" t="n">
        <f aca="false">AT1915*$M1915</f>
        <v>0</v>
      </c>
      <c r="AV1915" s="28"/>
      <c r="AW1915" s="28" t="n">
        <f aca="false">AV1915*$M1915</f>
        <v>0</v>
      </c>
      <c r="AX1915" s="28"/>
      <c r="AY1915" s="28" t="n">
        <f aca="false">AX1915*$M1915</f>
        <v>0</v>
      </c>
      <c r="AZ1915" s="30" t="n">
        <f aca="false">11486/100</f>
        <v>114.86</v>
      </c>
      <c r="BA1915" s="11" t="n">
        <v>81551</v>
      </c>
      <c r="BB1915" s="31" t="n">
        <f aca="false">SUM(Q1915,S1915,U1915,W1915,Y1915,AA1915,AC1915,AE1915,AG1915,AI1915,AK1915,AM1915,AO1915,AQ1915,AS1915,AU1915,AW1915,AY1915)</f>
        <v>81551</v>
      </c>
      <c r="BC1915" s="28" t="n">
        <f aca="false">BA1915-BB1915</f>
        <v>0</v>
      </c>
      <c r="BD1915" s="32" t="n">
        <f aca="false">SUM(P1915,R1915,T1915,V1915,X1915,Z1915,AB1915,AD1915,AF1915,AH1915,AJ1915,AL1915,AN1915,AP1915,AR1915,AT1915,AV1915,AX1915)</f>
        <v>114.86</v>
      </c>
      <c r="BE1915" s="33" t="n">
        <f aca="false">AZ1915-BD1915</f>
        <v>0</v>
      </c>
      <c r="BF1915" s="34" t="n">
        <f aca="false">BD1915*M1915</f>
        <v>81550.6</v>
      </c>
      <c r="BG1915" s="35" t="n">
        <f aca="false">BA1915-BF1915</f>
        <v>0.399999999994179</v>
      </c>
      <c r="BH1915" s="19" t="str">
        <f aca="false">IF(BG1915=0,"",IF(BG1915&lt;&gt;BA1915,"erreur de calcul",IF(BD1915&lt;&gt;0,"pas de prix",IF(M1915&lt;&gt; 0,"pas de quantité","pas de prix, ni de quantité"))))</f>
        <v>erreur de calcul</v>
      </c>
      <c r="BI1915" s="19"/>
    </row>
    <row r="1916" customFormat="false" ht="15" hidden="false" customHeight="false" outlineLevel="0" collapsed="false">
      <c r="A1916" s="0" t="n">
        <v>34</v>
      </c>
      <c r="B1916" s="8" t="s">
        <v>24</v>
      </c>
      <c r="C1916" s="9" t="s">
        <v>25</v>
      </c>
      <c r="D1916" s="9" t="s">
        <v>26</v>
      </c>
      <c r="E1916" s="10" t="n">
        <v>1789</v>
      </c>
      <c r="F1916" s="9" t="s">
        <v>27</v>
      </c>
      <c r="G1916" s="9" t="s">
        <v>27</v>
      </c>
      <c r="H1916" s="11" t="n">
        <v>22</v>
      </c>
      <c r="I1916" s="11" t="s">
        <v>237</v>
      </c>
      <c r="J1916" s="14" t="n">
        <v>91</v>
      </c>
      <c r="K1916" s="14"/>
      <c r="L1916" s="16"/>
      <c r="M1916" s="27" t="n">
        <f aca="false">J1916+(K1916/20)+(L1916/240)</f>
        <v>91</v>
      </c>
      <c r="N1916" s="17" t="s">
        <v>64</v>
      </c>
      <c r="O1916" s="11"/>
      <c r="P1916" s="28"/>
      <c r="Q1916" s="28" t="n">
        <f aca="false">P1916*$M1916</f>
        <v>0</v>
      </c>
      <c r="R1916" s="28"/>
      <c r="S1916" s="28" t="n">
        <f aca="false">R1916*$M1916</f>
        <v>0</v>
      </c>
      <c r="T1916" s="28"/>
      <c r="U1916" s="28" t="n">
        <f aca="false">T1916*$M1916</f>
        <v>0</v>
      </c>
      <c r="V1916" s="28" t="n">
        <f aca="false">3384/100</f>
        <v>33.84</v>
      </c>
      <c r="W1916" s="28" t="n">
        <v>3079</v>
      </c>
      <c r="X1916" s="28" t="n">
        <f aca="false">18105/100</f>
        <v>181.05</v>
      </c>
      <c r="Y1916" s="28" t="n">
        <v>16475</v>
      </c>
      <c r="Z1916" s="28"/>
      <c r="AA1916" s="28" t="n">
        <f aca="false">Z1916*$M1916</f>
        <v>0</v>
      </c>
      <c r="AB1916" s="28"/>
      <c r="AC1916" s="28" t="n">
        <f aca="false">AB1916*$M1916</f>
        <v>0</v>
      </c>
      <c r="AD1916" s="28"/>
      <c r="AE1916" s="28" t="n">
        <f aca="false">AD1916*$M1916</f>
        <v>0</v>
      </c>
      <c r="AF1916" s="28"/>
      <c r="AG1916" s="28" t="n">
        <f aca="false">AF1916*$M1916</f>
        <v>0</v>
      </c>
      <c r="AH1916" s="28"/>
      <c r="AI1916" s="28" t="n">
        <f aca="false">AH1916*$M1916</f>
        <v>0</v>
      </c>
      <c r="AJ1916" s="28"/>
      <c r="AK1916" s="28" t="n">
        <f aca="false">AJ1916*$M1916</f>
        <v>0</v>
      </c>
      <c r="AL1916" s="28"/>
      <c r="AM1916" s="28" t="n">
        <f aca="false">AL1916*$M1916</f>
        <v>0</v>
      </c>
      <c r="AN1916" s="28"/>
      <c r="AO1916" s="28" t="n">
        <f aca="false">AN1916*$M1916</f>
        <v>0</v>
      </c>
      <c r="AP1916" s="28"/>
      <c r="AQ1916" s="28" t="n">
        <f aca="false">AP1916*$M1916</f>
        <v>0</v>
      </c>
      <c r="AR1916" s="28"/>
      <c r="AS1916" s="28" t="n">
        <f aca="false">AR1916*$M1916</f>
        <v>0</v>
      </c>
      <c r="AT1916" s="28"/>
      <c r="AU1916" s="28" t="n">
        <f aca="false">AT1916*$M1916</f>
        <v>0</v>
      </c>
      <c r="AV1916" s="28"/>
      <c r="AW1916" s="28" t="n">
        <f aca="false">AV1916*$M1916</f>
        <v>0</v>
      </c>
      <c r="AX1916" s="28"/>
      <c r="AY1916" s="28" t="n">
        <f aca="false">AX1916*$M1916</f>
        <v>0</v>
      </c>
      <c r="AZ1916" s="30" t="n">
        <f aca="false">21489/100</f>
        <v>214.89</v>
      </c>
      <c r="BA1916" s="11" t="n">
        <v>19554</v>
      </c>
      <c r="BB1916" s="31" t="n">
        <f aca="false">SUM(Q1916,S1916,U1916,W1916,Y1916,AA1916,AC1916,AE1916,AG1916,AI1916,AK1916,AM1916,AO1916,AQ1916,AS1916,AU1916,AW1916,AY1916)</f>
        <v>19554</v>
      </c>
      <c r="BC1916" s="28" t="n">
        <f aca="false">BA1916-BB1916</f>
        <v>0</v>
      </c>
      <c r="BD1916" s="32" t="n">
        <f aca="false">SUM(P1916,R1916,T1916,V1916,X1916,Z1916,AB1916,AD1916,AF1916,AH1916,AJ1916,AL1916,AN1916,AP1916,AR1916,AT1916,AV1916,AX1916)</f>
        <v>214.89</v>
      </c>
      <c r="BE1916" s="33" t="n">
        <f aca="false">AZ1916-BD1916</f>
        <v>0</v>
      </c>
      <c r="BF1916" s="34" t="n">
        <f aca="false">BD1916*M1916</f>
        <v>19554.99</v>
      </c>
      <c r="BG1916" s="35" t="n">
        <f aca="false">BA1916-BF1916</f>
        <v>-0.990000000001601</v>
      </c>
      <c r="BH1916" s="19" t="str">
        <f aca="false">IF(BG1916=0,"",IF(BG1916&lt;&gt;BA1916,"erreur de calcul",IF(BD1916&lt;&gt;0,"pas de prix",IF(M1916&lt;&gt; 0,"pas de quantité","pas de prix, ni de quantité"))))</f>
        <v>erreur de calcul</v>
      </c>
      <c r="BI1916" s="19"/>
    </row>
    <row r="1917" customFormat="false" ht="15" hidden="false" customHeight="false" outlineLevel="0" collapsed="false">
      <c r="A1917" s="0" t="n">
        <v>35</v>
      </c>
      <c r="B1917" s="8" t="s">
        <v>24</v>
      </c>
      <c r="C1917" s="9" t="s">
        <v>25</v>
      </c>
      <c r="D1917" s="9" t="s">
        <v>26</v>
      </c>
      <c r="E1917" s="10" t="n">
        <v>1789</v>
      </c>
      <c r="F1917" s="9" t="s">
        <v>27</v>
      </c>
      <c r="G1917" s="9" t="s">
        <v>27</v>
      </c>
      <c r="H1917" s="11" t="n">
        <v>22</v>
      </c>
      <c r="I1917" s="11" t="s">
        <v>238</v>
      </c>
      <c r="J1917" s="14" t="n">
        <v>40</v>
      </c>
      <c r="K1917" s="14"/>
      <c r="L1917" s="16"/>
      <c r="M1917" s="27" t="n">
        <f aca="false">J1917+(K1917/20)+(L1917/240)</f>
        <v>40</v>
      </c>
      <c r="N1917" s="17" t="s">
        <v>66</v>
      </c>
      <c r="O1917" s="11"/>
      <c r="P1917" s="28" t="n">
        <v>150</v>
      </c>
      <c r="Q1917" s="28" t="n">
        <v>6000</v>
      </c>
      <c r="R1917" s="28"/>
      <c r="S1917" s="28" t="n">
        <f aca="false">R1917*$M1917</f>
        <v>0</v>
      </c>
      <c r="T1917" s="28" t="n">
        <v>467</v>
      </c>
      <c r="U1917" s="28" t="n">
        <v>18680</v>
      </c>
      <c r="V1917" s="28" t="n">
        <v>1124</v>
      </c>
      <c r="W1917" s="28" t="n">
        <v>44960</v>
      </c>
      <c r="X1917" s="28" t="n">
        <v>591</v>
      </c>
      <c r="Y1917" s="28" t="n">
        <v>23640</v>
      </c>
      <c r="Z1917" s="28"/>
      <c r="AA1917" s="28" t="n">
        <f aca="false">Z1917*$M1917</f>
        <v>0</v>
      </c>
      <c r="AB1917" s="28" t="n">
        <v>554</v>
      </c>
      <c r="AC1917" s="28" t="n">
        <v>22160</v>
      </c>
      <c r="AD1917" s="28"/>
      <c r="AE1917" s="28" t="n">
        <f aca="false">AD1917*$M1917</f>
        <v>0</v>
      </c>
      <c r="AF1917" s="28"/>
      <c r="AG1917" s="28" t="n">
        <f aca="false">AF1917*$M1917</f>
        <v>0</v>
      </c>
      <c r="AH1917" s="28" t="n">
        <v>1109</v>
      </c>
      <c r="AI1917" s="28" t="n">
        <v>44360</v>
      </c>
      <c r="AJ1917" s="28"/>
      <c r="AK1917" s="28" t="n">
        <f aca="false">AJ1917*$M1917</f>
        <v>0</v>
      </c>
      <c r="AL1917" s="28"/>
      <c r="AM1917" s="28" t="n">
        <f aca="false">AL1917*$M1917</f>
        <v>0</v>
      </c>
      <c r="AN1917" s="28"/>
      <c r="AO1917" s="28" t="n">
        <f aca="false">AN1917*$M1917</f>
        <v>0</v>
      </c>
      <c r="AP1917" s="28"/>
      <c r="AQ1917" s="28" t="n">
        <f aca="false">AP1917*$M1917</f>
        <v>0</v>
      </c>
      <c r="AR1917" s="28"/>
      <c r="AS1917" s="28" t="n">
        <f aca="false">AR1917*$M1917</f>
        <v>0</v>
      </c>
      <c r="AT1917" s="28"/>
      <c r="AU1917" s="28" t="n">
        <f aca="false">AT1917*$M1917</f>
        <v>0</v>
      </c>
      <c r="AV1917" s="28"/>
      <c r="AW1917" s="28" t="n">
        <f aca="false">AV1917*$M1917</f>
        <v>0</v>
      </c>
      <c r="AX1917" s="28"/>
      <c r="AY1917" s="28" t="n">
        <f aca="false">AX1917*$M1917</f>
        <v>0</v>
      </c>
      <c r="AZ1917" s="30" t="n">
        <v>3995</v>
      </c>
      <c r="BA1917" s="11" t="n">
        <v>159800</v>
      </c>
      <c r="BB1917" s="31" t="n">
        <f aca="false">SUM(Q1917,S1917,U1917,W1917,Y1917,AA1917,AC1917,AE1917,AG1917,AI1917,AK1917,AM1917,AO1917,AQ1917,AS1917,AU1917,AW1917,AY1917)</f>
        <v>159800</v>
      </c>
      <c r="BC1917" s="28" t="n">
        <f aca="false">BA1917-BB1917</f>
        <v>0</v>
      </c>
      <c r="BD1917" s="32" t="n">
        <f aca="false">SUM(P1917,R1917,T1917,V1917,X1917,Z1917,AB1917,AD1917,AF1917,AH1917,AJ1917,AL1917,AN1917,AP1917,AR1917,AT1917,AV1917,AX1917)</f>
        <v>3995</v>
      </c>
      <c r="BE1917" s="33" t="n">
        <f aca="false">AZ1917-BD1917</f>
        <v>0</v>
      </c>
      <c r="BF1917" s="34" t="n">
        <f aca="false">BD1917*M1917</f>
        <v>159800</v>
      </c>
      <c r="BG1917" s="35" t="n">
        <f aca="false">BA1917-BF1917</f>
        <v>0</v>
      </c>
      <c r="BH1917" s="19" t="str">
        <f aca="false">IF(BG1917=0,"",IF(BG1917&lt;&gt;BA1917,"erreur de calcul",IF(BD1917&lt;&gt;0,"pas de prix",IF(M1917&lt;&gt; 0,"pas de quantité","pas de prix, ni de quantité"))))</f>
        <v/>
      </c>
      <c r="BI1917" s="19"/>
    </row>
    <row r="1918" customFormat="false" ht="15" hidden="false" customHeight="false" outlineLevel="0" collapsed="false">
      <c r="A1918" s="0" t="n">
        <v>36</v>
      </c>
      <c r="B1918" s="8" t="s">
        <v>24</v>
      </c>
      <c r="C1918" s="9" t="s">
        <v>25</v>
      </c>
      <c r="D1918" s="9" t="s">
        <v>26</v>
      </c>
      <c r="E1918" s="10" t="n">
        <v>1789</v>
      </c>
      <c r="F1918" s="9" t="s">
        <v>27</v>
      </c>
      <c r="G1918" s="9" t="s">
        <v>27</v>
      </c>
      <c r="H1918" s="11" t="n">
        <v>22</v>
      </c>
      <c r="I1918" s="11" t="s">
        <v>239</v>
      </c>
      <c r="J1918" s="14" t="n">
        <v>48</v>
      </c>
      <c r="K1918" s="14"/>
      <c r="L1918" s="16"/>
      <c r="M1918" s="27" t="n">
        <f aca="false">J1918+(K1918/20)+(L1918/240)</f>
        <v>48</v>
      </c>
      <c r="N1918" s="17" t="s">
        <v>66</v>
      </c>
      <c r="O1918" s="11"/>
      <c r="P1918" s="28"/>
      <c r="Q1918" s="28" t="n">
        <f aca="false">P1918*$M1918</f>
        <v>0</v>
      </c>
      <c r="R1918" s="28"/>
      <c r="S1918" s="28" t="n">
        <f aca="false">R1918*$M1918</f>
        <v>0</v>
      </c>
      <c r="T1918" s="28" t="n">
        <v>690</v>
      </c>
      <c r="U1918" s="28" t="n">
        <v>33120</v>
      </c>
      <c r="V1918" s="28" t="n">
        <v>3577</v>
      </c>
      <c r="W1918" s="28" t="n">
        <v>171696</v>
      </c>
      <c r="X1918" s="28"/>
      <c r="Y1918" s="28" t="n">
        <f aca="false">X1918*$M1918</f>
        <v>0</v>
      </c>
      <c r="Z1918" s="28"/>
      <c r="AA1918" s="28" t="n">
        <f aca="false">Z1918*$M1918</f>
        <v>0</v>
      </c>
      <c r="AB1918" s="28"/>
      <c r="AC1918" s="28" t="n">
        <f aca="false">AB1918*$M1918</f>
        <v>0</v>
      </c>
      <c r="AD1918" s="28"/>
      <c r="AE1918" s="28" t="n">
        <f aca="false">AD1918*$M1918</f>
        <v>0</v>
      </c>
      <c r="AF1918" s="28"/>
      <c r="AG1918" s="28" t="n">
        <f aca="false">AF1918*$M1918</f>
        <v>0</v>
      </c>
      <c r="AH1918" s="28"/>
      <c r="AI1918" s="28" t="n">
        <f aca="false">AH1918*$M1918</f>
        <v>0</v>
      </c>
      <c r="AJ1918" s="28"/>
      <c r="AK1918" s="28" t="n">
        <f aca="false">AJ1918*$M1918</f>
        <v>0</v>
      </c>
      <c r="AL1918" s="28"/>
      <c r="AM1918" s="28" t="n">
        <f aca="false">AL1918*$M1918</f>
        <v>0</v>
      </c>
      <c r="AN1918" s="28"/>
      <c r="AO1918" s="28" t="n">
        <f aca="false">AN1918*$M1918</f>
        <v>0</v>
      </c>
      <c r="AP1918" s="28"/>
      <c r="AQ1918" s="28" t="n">
        <f aca="false">AP1918*$M1918</f>
        <v>0</v>
      </c>
      <c r="AR1918" s="28"/>
      <c r="AS1918" s="28" t="n">
        <f aca="false">AR1918*$M1918</f>
        <v>0</v>
      </c>
      <c r="AT1918" s="28"/>
      <c r="AU1918" s="28" t="n">
        <f aca="false">AT1918*$M1918</f>
        <v>0</v>
      </c>
      <c r="AV1918" s="28"/>
      <c r="AW1918" s="28" t="n">
        <f aca="false">AV1918*$M1918</f>
        <v>0</v>
      </c>
      <c r="AX1918" s="28"/>
      <c r="AY1918" s="28" t="n">
        <f aca="false">AX1918*$M1918</f>
        <v>0</v>
      </c>
      <c r="AZ1918" s="30" t="n">
        <v>4267</v>
      </c>
      <c r="BA1918" s="11" t="n">
        <v>204816</v>
      </c>
      <c r="BB1918" s="31" t="n">
        <f aca="false">SUM(Q1918,S1918,U1918,W1918,Y1918,AA1918,AC1918,AE1918,AG1918,AI1918,AK1918,AM1918,AO1918,AQ1918,AS1918,AU1918,AW1918,AY1918)</f>
        <v>204816</v>
      </c>
      <c r="BC1918" s="28" t="n">
        <f aca="false">BA1918-BB1918</f>
        <v>0</v>
      </c>
      <c r="BD1918" s="32" t="n">
        <f aca="false">SUM(P1918,R1918,T1918,V1918,X1918,Z1918,AB1918,AD1918,AF1918,AH1918,AJ1918,AL1918,AN1918,AP1918,AR1918,AT1918,AV1918,AX1918)</f>
        <v>4267</v>
      </c>
      <c r="BE1918" s="33" t="n">
        <f aca="false">AZ1918-BD1918</f>
        <v>0</v>
      </c>
      <c r="BF1918" s="34" t="n">
        <f aca="false">BD1918*M1918</f>
        <v>204816</v>
      </c>
      <c r="BG1918" s="35" t="n">
        <f aca="false">BA1918-BF1918</f>
        <v>0</v>
      </c>
      <c r="BH1918" s="19" t="str">
        <f aca="false">IF(BG1918=0,"",IF(BG1918&lt;&gt;BA1918,"erreur de calcul",IF(BD1918&lt;&gt;0,"pas de prix",IF(M1918&lt;&gt; 0,"pas de quantité","pas de prix, ni de quantité"))))</f>
        <v/>
      </c>
      <c r="BI1918" s="19"/>
    </row>
    <row r="1919" customFormat="false" ht="15" hidden="false" customHeight="false" outlineLevel="0" collapsed="false">
      <c r="A1919" s="0" t="n">
        <v>37</v>
      </c>
      <c r="B1919" s="8" t="s">
        <v>24</v>
      </c>
      <c r="C1919" s="9" t="s">
        <v>25</v>
      </c>
      <c r="D1919" s="9" t="s">
        <v>26</v>
      </c>
      <c r="E1919" s="10" t="n">
        <v>1789</v>
      </c>
      <c r="F1919" s="9" t="s">
        <v>27</v>
      </c>
      <c r="G1919" s="9" t="s">
        <v>27</v>
      </c>
      <c r="H1919" s="11" t="n">
        <v>22</v>
      </c>
      <c r="I1919" s="11" t="s">
        <v>240</v>
      </c>
      <c r="J1919" s="14" t="n">
        <v>30</v>
      </c>
      <c r="K1919" s="14"/>
      <c r="L1919" s="16"/>
      <c r="M1919" s="27" t="n">
        <f aca="false">J1919+(K1919/20)+(L1919/240)</f>
        <v>30</v>
      </c>
      <c r="N1919" s="17" t="s">
        <v>66</v>
      </c>
      <c r="O1919" s="11"/>
      <c r="P1919" s="28"/>
      <c r="Q1919" s="28" t="n">
        <f aca="false">P1919*$M1919</f>
        <v>0</v>
      </c>
      <c r="R1919" s="28"/>
      <c r="S1919" s="28" t="n">
        <f aca="false">R1919*$M1919</f>
        <v>0</v>
      </c>
      <c r="T1919" s="28"/>
      <c r="U1919" s="28" t="n">
        <f aca="false">T1919*$M1919</f>
        <v>0</v>
      </c>
      <c r="V1919" s="28"/>
      <c r="W1919" s="28" t="n">
        <f aca="false">V1919*$M1919</f>
        <v>0</v>
      </c>
      <c r="X1919" s="28"/>
      <c r="Y1919" s="28" t="n">
        <f aca="false">X1919*$M1919</f>
        <v>0</v>
      </c>
      <c r="Z1919" s="28"/>
      <c r="AA1919" s="28" t="n">
        <f aca="false">Z1919*$M1919</f>
        <v>0</v>
      </c>
      <c r="AB1919" s="28"/>
      <c r="AC1919" s="28" t="n">
        <f aca="false">AB1919*$M1919</f>
        <v>0</v>
      </c>
      <c r="AD1919" s="28"/>
      <c r="AE1919" s="28" t="n">
        <f aca="false">AD1919*$M1919</f>
        <v>0</v>
      </c>
      <c r="AF1919" s="28"/>
      <c r="AG1919" s="28" t="n">
        <f aca="false">AF1919*$M1919</f>
        <v>0</v>
      </c>
      <c r="AH1919" s="28" t="n">
        <v>4770</v>
      </c>
      <c r="AI1919" s="28" t="n">
        <v>143100</v>
      </c>
      <c r="AJ1919" s="28"/>
      <c r="AK1919" s="28" t="n">
        <f aca="false">AJ1919*$M1919</f>
        <v>0</v>
      </c>
      <c r="AL1919" s="28"/>
      <c r="AM1919" s="28" t="n">
        <f aca="false">AL1919*$M1919</f>
        <v>0</v>
      </c>
      <c r="AN1919" s="28"/>
      <c r="AO1919" s="28" t="n">
        <f aca="false">AN1919*$M1919</f>
        <v>0</v>
      </c>
      <c r="AP1919" s="28"/>
      <c r="AQ1919" s="28" t="n">
        <f aca="false">AP1919*$M1919</f>
        <v>0</v>
      </c>
      <c r="AR1919" s="28"/>
      <c r="AS1919" s="28" t="n">
        <f aca="false">AR1919*$M1919</f>
        <v>0</v>
      </c>
      <c r="AT1919" s="28"/>
      <c r="AU1919" s="28" t="n">
        <f aca="false">AT1919*$M1919</f>
        <v>0</v>
      </c>
      <c r="AV1919" s="28"/>
      <c r="AW1919" s="28" t="n">
        <f aca="false">AV1919*$M1919</f>
        <v>0</v>
      </c>
      <c r="AX1919" s="28"/>
      <c r="AY1919" s="28" t="n">
        <f aca="false">AX1919*$M1919</f>
        <v>0</v>
      </c>
      <c r="AZ1919" s="30" t="n">
        <v>4770</v>
      </c>
      <c r="BA1919" s="11" t="n">
        <v>143100</v>
      </c>
      <c r="BB1919" s="31" t="n">
        <f aca="false">SUM(Q1919,S1919,U1919,W1919,Y1919,AA1919,AC1919,AE1919,AG1919,AI1919,AK1919,AM1919,AO1919,AQ1919,AS1919,AU1919,AW1919,AY1919)</f>
        <v>143100</v>
      </c>
      <c r="BC1919" s="28" t="n">
        <f aca="false">BA1919-BB1919</f>
        <v>0</v>
      </c>
      <c r="BD1919" s="32" t="n">
        <f aca="false">SUM(P1919,R1919,T1919,V1919,X1919,Z1919,AB1919,AD1919,AF1919,AH1919,AJ1919,AL1919,AN1919,AP1919,AR1919,AT1919,AV1919,AX1919)</f>
        <v>4770</v>
      </c>
      <c r="BE1919" s="33" t="n">
        <f aca="false">AZ1919-BD1919</f>
        <v>0</v>
      </c>
      <c r="BF1919" s="34" t="n">
        <f aca="false">BD1919*M1919</f>
        <v>143100</v>
      </c>
      <c r="BG1919" s="35" t="n">
        <f aca="false">BA1919-BF1919</f>
        <v>0</v>
      </c>
      <c r="BH1919" s="19" t="str">
        <f aca="false">IF(BG1919=0,"",IF(BG1919&lt;&gt;BA1919,"erreur de calcul",IF(BD1919&lt;&gt;0,"pas de prix",IF(M1919&lt;&gt; 0,"pas de quantité","pas de prix, ni de quantité"))))</f>
        <v/>
      </c>
      <c r="BI1919" s="19"/>
    </row>
    <row r="1920" customFormat="false" ht="15" hidden="false" customHeight="false" outlineLevel="0" collapsed="false">
      <c r="A1920" s="0" t="n">
        <v>38</v>
      </c>
      <c r="B1920" s="8" t="s">
        <v>24</v>
      </c>
      <c r="C1920" s="9" t="s">
        <v>25</v>
      </c>
      <c r="D1920" s="9" t="s">
        <v>26</v>
      </c>
      <c r="E1920" s="10" t="n">
        <v>1789</v>
      </c>
      <c r="F1920" s="9" t="s">
        <v>27</v>
      </c>
      <c r="G1920" s="9" t="s">
        <v>27</v>
      </c>
      <c r="H1920" s="11" t="n">
        <v>22</v>
      </c>
      <c r="I1920" s="11" t="s">
        <v>241</v>
      </c>
      <c r="J1920" s="14" t="n">
        <v>24</v>
      </c>
      <c r="K1920" s="14"/>
      <c r="L1920" s="16"/>
      <c r="M1920" s="27" t="n">
        <f aca="false">J1920+(K1920/20)+(L1920/240)</f>
        <v>24</v>
      </c>
      <c r="N1920" s="17" t="s">
        <v>64</v>
      </c>
      <c r="O1920" s="11"/>
      <c r="P1920" s="28" t="n">
        <f aca="false">188958/100</f>
        <v>1889.58</v>
      </c>
      <c r="Q1920" s="28" t="n">
        <v>45350</v>
      </c>
      <c r="R1920" s="28"/>
      <c r="S1920" s="28" t="n">
        <f aca="false">R1920*$M1920</f>
        <v>0</v>
      </c>
      <c r="T1920" s="28"/>
      <c r="U1920" s="28" t="n">
        <f aca="false">T1920*$M1920</f>
        <v>0</v>
      </c>
      <c r="V1920" s="28" t="n">
        <f aca="false">10567/100</f>
        <v>105.67</v>
      </c>
      <c r="W1920" s="28" t="n">
        <v>2536</v>
      </c>
      <c r="X1920" s="28" t="n">
        <f aca="false">9467/100</f>
        <v>94.67</v>
      </c>
      <c r="Y1920" s="28" t="n">
        <v>2272</v>
      </c>
      <c r="Z1920" s="28"/>
      <c r="AA1920" s="28" t="n">
        <f aca="false">Z1920*$M1920</f>
        <v>0</v>
      </c>
      <c r="AB1920" s="28"/>
      <c r="AC1920" s="28" t="n">
        <f aca="false">AB1920*$M1920</f>
        <v>0</v>
      </c>
      <c r="AD1920" s="28"/>
      <c r="AE1920" s="28" t="n">
        <f aca="false">AD1920*$M1920</f>
        <v>0</v>
      </c>
      <c r="AF1920" s="28"/>
      <c r="AG1920" s="28" t="n">
        <f aca="false">AF1920*$M1920</f>
        <v>0</v>
      </c>
      <c r="AH1920" s="28"/>
      <c r="AI1920" s="28" t="n">
        <f aca="false">AH1920*$M1920</f>
        <v>0</v>
      </c>
      <c r="AJ1920" s="28"/>
      <c r="AK1920" s="28" t="n">
        <f aca="false">AJ1920*$M1920</f>
        <v>0</v>
      </c>
      <c r="AL1920" s="28"/>
      <c r="AM1920" s="28" t="n">
        <f aca="false">AL1920*$M1920</f>
        <v>0</v>
      </c>
      <c r="AN1920" s="28"/>
      <c r="AO1920" s="28" t="n">
        <f aca="false">AN1920*$M1920</f>
        <v>0</v>
      </c>
      <c r="AP1920" s="28"/>
      <c r="AQ1920" s="28" t="n">
        <f aca="false">AP1920*$M1920</f>
        <v>0</v>
      </c>
      <c r="AR1920" s="28"/>
      <c r="AS1920" s="28" t="n">
        <f aca="false">AR1920*$M1920</f>
        <v>0</v>
      </c>
      <c r="AT1920" s="28"/>
      <c r="AU1920" s="28" t="n">
        <f aca="false">AT1920*$M1920</f>
        <v>0</v>
      </c>
      <c r="AV1920" s="28"/>
      <c r="AW1920" s="28" t="n">
        <f aca="false">AV1920*$M1920</f>
        <v>0</v>
      </c>
      <c r="AX1920" s="28" t="n">
        <f aca="false">328659/100</f>
        <v>3286.59</v>
      </c>
      <c r="AY1920" s="28" t="n">
        <v>78878</v>
      </c>
      <c r="AZ1920" s="30" t="n">
        <f aca="false">537651/100</f>
        <v>5376.51</v>
      </c>
      <c r="BA1920" s="11" t="n">
        <v>129036</v>
      </c>
      <c r="BB1920" s="31" t="n">
        <f aca="false">SUM(Q1920,S1920,U1920,W1920,Y1920,AA1920,AC1920,AE1920,AG1920,AI1920,AK1920,AM1920,AO1920,AQ1920,AS1920,AU1920,AW1920,AY1920)</f>
        <v>129036</v>
      </c>
      <c r="BC1920" s="28" t="n">
        <f aca="false">BA1920-BB1920</f>
        <v>0</v>
      </c>
      <c r="BD1920" s="32" t="n">
        <f aca="false">SUM(P1920,R1920,T1920,V1920,X1920,Z1920,AB1920,AD1920,AF1920,AH1920,AJ1920,AL1920,AN1920,AP1920,AR1920,AT1920,AV1920,AX1920)</f>
        <v>5376.51</v>
      </c>
      <c r="BE1920" s="33" t="n">
        <f aca="false">AZ1920-BD1920</f>
        <v>0</v>
      </c>
      <c r="BF1920" s="34" t="n">
        <f aca="false">BD1920*M1920</f>
        <v>129036.24</v>
      </c>
      <c r="BG1920" s="35" t="n">
        <f aca="false">BA1920-BF1920</f>
        <v>-0.240000000005239</v>
      </c>
      <c r="BH1920" s="19" t="str">
        <f aca="false">IF(BG1920=0,"",IF(BG1920&lt;&gt;BA1920,"erreur de calcul",IF(BD1920&lt;&gt;0,"pas de prix",IF(M1920&lt;&gt; 0,"pas de quantité","pas de prix, ni de quantité"))))</f>
        <v>erreur de calcul</v>
      </c>
      <c r="BI1920" s="19"/>
    </row>
    <row r="1921" customFormat="false" ht="15" hidden="false" customHeight="false" outlineLevel="0" collapsed="false">
      <c r="A1921" s="0" t="n">
        <v>39</v>
      </c>
      <c r="B1921" s="8" t="s">
        <v>24</v>
      </c>
      <c r="C1921" s="9" t="s">
        <v>25</v>
      </c>
      <c r="D1921" s="9" t="s">
        <v>26</v>
      </c>
      <c r="E1921" s="10" t="n">
        <v>1789</v>
      </c>
      <c r="F1921" s="9" t="s">
        <v>27</v>
      </c>
      <c r="G1921" s="9" t="s">
        <v>27</v>
      </c>
      <c r="H1921" s="11" t="n">
        <v>22</v>
      </c>
      <c r="I1921" s="11" t="s">
        <v>242</v>
      </c>
      <c r="J1921" s="14" t="n">
        <v>41</v>
      </c>
      <c r="K1921" s="14"/>
      <c r="L1921" s="16"/>
      <c r="M1921" s="27" t="n">
        <f aca="false">J1921+(K1921/20)+(L1921/240)</f>
        <v>41</v>
      </c>
      <c r="N1921" s="17" t="s">
        <v>64</v>
      </c>
      <c r="O1921" s="11"/>
      <c r="P1921" s="28"/>
      <c r="Q1921" s="28" t="n">
        <f aca="false">P1921*$M1921</f>
        <v>0</v>
      </c>
      <c r="R1921" s="28"/>
      <c r="S1921" s="28" t="n">
        <f aca="false">R1921*$M1921</f>
        <v>0</v>
      </c>
      <c r="T1921" s="28" t="n">
        <f aca="false">441/100</f>
        <v>4.41</v>
      </c>
      <c r="U1921" s="28" t="n">
        <v>181</v>
      </c>
      <c r="V1921" s="28"/>
      <c r="W1921" s="28" t="n">
        <f aca="false">V1921*$M1921</f>
        <v>0</v>
      </c>
      <c r="X1921" s="28"/>
      <c r="Y1921" s="28" t="n">
        <f aca="false">X1921*$M1921</f>
        <v>0</v>
      </c>
      <c r="Z1921" s="28"/>
      <c r="AA1921" s="28" t="n">
        <f aca="false">Z1921*$M1921</f>
        <v>0</v>
      </c>
      <c r="AB1921" s="28"/>
      <c r="AC1921" s="28" t="n">
        <f aca="false">AB1921*$M1921</f>
        <v>0</v>
      </c>
      <c r="AD1921" s="28"/>
      <c r="AE1921" s="28" t="n">
        <f aca="false">AD1921*$M1921</f>
        <v>0</v>
      </c>
      <c r="AF1921" s="28"/>
      <c r="AG1921" s="28" t="n">
        <f aca="false">AF1921*$M1921</f>
        <v>0</v>
      </c>
      <c r="AH1921" s="28"/>
      <c r="AI1921" s="28" t="n">
        <f aca="false">AH1921*$M1921</f>
        <v>0</v>
      </c>
      <c r="AJ1921" s="28"/>
      <c r="AK1921" s="28" t="n">
        <f aca="false">AJ1921*$M1921</f>
        <v>0</v>
      </c>
      <c r="AL1921" s="28"/>
      <c r="AM1921" s="28" t="n">
        <f aca="false">AL1921*$M1921</f>
        <v>0</v>
      </c>
      <c r="AN1921" s="28"/>
      <c r="AO1921" s="28" t="n">
        <f aca="false">AN1921*$M1921</f>
        <v>0</v>
      </c>
      <c r="AP1921" s="28"/>
      <c r="AQ1921" s="28" t="n">
        <f aca="false">AP1921*$M1921</f>
        <v>0</v>
      </c>
      <c r="AR1921" s="28"/>
      <c r="AS1921" s="28" t="n">
        <f aca="false">AR1921*$M1921</f>
        <v>0</v>
      </c>
      <c r="AT1921" s="28"/>
      <c r="AU1921" s="28" t="n">
        <f aca="false">AT1921*$M1921</f>
        <v>0</v>
      </c>
      <c r="AV1921" s="28"/>
      <c r="AW1921" s="28" t="n">
        <f aca="false">AV1921*$M1921</f>
        <v>0</v>
      </c>
      <c r="AX1921" s="28"/>
      <c r="AY1921" s="28" t="n">
        <f aca="false">AX1921*$M1921</f>
        <v>0</v>
      </c>
      <c r="AZ1921" s="30" t="n">
        <f aca="false">441/100</f>
        <v>4.41</v>
      </c>
      <c r="BA1921" s="11" t="n">
        <v>181</v>
      </c>
      <c r="BB1921" s="31" t="n">
        <f aca="false">SUM(Q1921,S1921,U1921,W1921,Y1921,AA1921,AC1921,AE1921,AG1921,AI1921,AK1921,AM1921,AO1921,AQ1921,AS1921,AU1921,AW1921,AY1921)</f>
        <v>181</v>
      </c>
      <c r="BC1921" s="28" t="n">
        <f aca="false">BA1921-BB1921</f>
        <v>0</v>
      </c>
      <c r="BD1921" s="32" t="n">
        <f aca="false">SUM(P1921,R1921,T1921,V1921,X1921,Z1921,AB1921,AD1921,AF1921,AH1921,AJ1921,AL1921,AN1921,AP1921,AR1921,AT1921,AV1921,AX1921)</f>
        <v>4.41</v>
      </c>
      <c r="BE1921" s="33" t="n">
        <f aca="false">AZ1921-BD1921</f>
        <v>0</v>
      </c>
      <c r="BF1921" s="34" t="n">
        <f aca="false">BD1921*M1921</f>
        <v>180.81</v>
      </c>
      <c r="BG1921" s="35" t="n">
        <f aca="false">BA1921-BF1921</f>
        <v>0.189999999999998</v>
      </c>
      <c r="BH1921" s="19" t="str">
        <f aca="false">IF(BG1921=0,"",IF(BG1921&lt;&gt;BA1921,"erreur de calcul",IF(BD1921&lt;&gt;0,"pas de prix",IF(M1921&lt;&gt; 0,"pas de quantité","pas de prix, ni de quantité"))))</f>
        <v>erreur de calcul</v>
      </c>
      <c r="BI1921" s="19"/>
    </row>
    <row r="1922" customFormat="false" ht="15" hidden="false" customHeight="false" outlineLevel="0" collapsed="false">
      <c r="A1922" s="0" t="n">
        <v>1</v>
      </c>
      <c r="B1922" s="8" t="s">
        <v>24</v>
      </c>
      <c r="C1922" s="9" t="s">
        <v>25</v>
      </c>
      <c r="D1922" s="9" t="s">
        <v>26</v>
      </c>
      <c r="E1922" s="10" t="n">
        <v>1789</v>
      </c>
      <c r="F1922" s="9" t="s">
        <v>27</v>
      </c>
      <c r="G1922" s="9" t="s">
        <v>27</v>
      </c>
      <c r="H1922" s="11" t="n">
        <v>23</v>
      </c>
      <c r="I1922" s="11" t="s">
        <v>243</v>
      </c>
      <c r="J1922" s="14"/>
      <c r="K1922" s="14"/>
      <c r="L1922" s="16"/>
      <c r="M1922" s="27" t="n">
        <f aca="false">J1922+(K1922/20)+(L1922/240)</f>
        <v>0</v>
      </c>
      <c r="N1922" s="17"/>
      <c r="O1922" s="11"/>
      <c r="P1922" s="28"/>
      <c r="Q1922" s="28" t="n">
        <f aca="false">P1922*$M1922</f>
        <v>0</v>
      </c>
      <c r="R1922" s="28"/>
      <c r="S1922" s="28" t="n">
        <f aca="false">R1922*$M1922</f>
        <v>0</v>
      </c>
      <c r="T1922" s="28"/>
      <c r="U1922" s="28" t="n">
        <f aca="false">T1922*$M1922</f>
        <v>0</v>
      </c>
      <c r="V1922" s="28"/>
      <c r="W1922" s="28" t="n">
        <v>100</v>
      </c>
      <c r="X1922" s="28"/>
      <c r="Y1922" s="28" t="n">
        <v>563</v>
      </c>
      <c r="Z1922" s="28"/>
      <c r="AA1922" s="28" t="n">
        <f aca="false">Z1922*$M1922</f>
        <v>0</v>
      </c>
      <c r="AB1922" s="28"/>
      <c r="AC1922" s="28" t="n">
        <f aca="false">AB1922*$M1922</f>
        <v>0</v>
      </c>
      <c r="AD1922" s="28"/>
      <c r="AE1922" s="28" t="n">
        <f aca="false">AD1922*$M1922</f>
        <v>0</v>
      </c>
      <c r="AF1922" s="28"/>
      <c r="AG1922" s="28" t="n">
        <f aca="false">AF1922*$M1922</f>
        <v>0</v>
      </c>
      <c r="AH1922" s="28"/>
      <c r="AI1922" s="28" t="n">
        <f aca="false">AH1922*$M1922</f>
        <v>0</v>
      </c>
      <c r="AJ1922" s="28"/>
      <c r="AK1922" s="28" t="n">
        <v>1015</v>
      </c>
      <c r="AL1922" s="28"/>
      <c r="AM1922" s="28" t="n">
        <f aca="false">AL1922*$M1922</f>
        <v>0</v>
      </c>
      <c r="AN1922" s="28"/>
      <c r="AO1922" s="28" t="n">
        <f aca="false">AN1922*$M1922</f>
        <v>0</v>
      </c>
      <c r="AP1922" s="28"/>
      <c r="AQ1922" s="28" t="n">
        <f aca="false">AP1922*$M1922</f>
        <v>0</v>
      </c>
      <c r="AR1922" s="28"/>
      <c r="AS1922" s="28" t="n">
        <f aca="false">AR1922*$M1922</f>
        <v>0</v>
      </c>
      <c r="AT1922" s="28"/>
      <c r="AU1922" s="28" t="n">
        <f aca="false">AT1922*$M1922</f>
        <v>0</v>
      </c>
      <c r="AV1922" s="28"/>
      <c r="AW1922" s="28" t="n">
        <f aca="false">AV1922*$M1922</f>
        <v>0</v>
      </c>
      <c r="AX1922" s="28"/>
      <c r="AY1922" s="28" t="n">
        <f aca="false">AX1922*$M1922</f>
        <v>0</v>
      </c>
      <c r="AZ1922" s="30"/>
      <c r="BA1922" s="11" t="n">
        <v>1678</v>
      </c>
      <c r="BB1922" s="31" t="n">
        <f aca="false">SUM(Q1922,S1922,U1922,W1922,Y1922,AA1922,AC1922,AE1922,AG1922,AI1922,AK1922,AM1922,AO1922,AQ1922,AS1922,AU1922,AW1922,AY1922)</f>
        <v>1678</v>
      </c>
      <c r="BC1922" s="28" t="n">
        <f aca="false">BA1922-BB1922</f>
        <v>0</v>
      </c>
      <c r="BD1922" s="32" t="n">
        <f aca="false">SUM(P1922,R1922,T1922,V1922,X1922,Z1922,AB1922,AD1922,AF1922,AH1922,AJ1922,AL1922,AN1922,AP1922,AR1922,AT1922,AV1922,AX1922)</f>
        <v>0</v>
      </c>
      <c r="BE1922" s="33" t="n">
        <f aca="false">AZ1922-BD1922</f>
        <v>0</v>
      </c>
      <c r="BF1922" s="34" t="n">
        <f aca="false">BD1922*M1922</f>
        <v>0</v>
      </c>
      <c r="BG1922" s="35" t="n">
        <f aca="false">BA1922-BF1922</f>
        <v>1678</v>
      </c>
      <c r="BH1922" s="19" t="str">
        <f aca="false">IF(BG1922=0,"",IF(BG1922&lt;&gt;BA1922,"erreur de calcul",IF(BD1922&lt;&gt;0,"pas de prix",IF(M1922&lt;&gt; 0,"pas de quantité","pas de prix, ni de quantité"))))</f>
        <v>pas de prix, ni de quantité</v>
      </c>
      <c r="BI1922" s="19"/>
    </row>
    <row r="1923" customFormat="false" ht="15" hidden="false" customHeight="false" outlineLevel="0" collapsed="false">
      <c r="A1923" s="0" t="n">
        <v>2</v>
      </c>
      <c r="B1923" s="8" t="s">
        <v>24</v>
      </c>
      <c r="C1923" s="9" t="s">
        <v>25</v>
      </c>
      <c r="D1923" s="9" t="s">
        <v>26</v>
      </c>
      <c r="E1923" s="10" t="n">
        <v>1789</v>
      </c>
      <c r="F1923" s="9" t="s">
        <v>27</v>
      </c>
      <c r="G1923" s="9" t="s">
        <v>27</v>
      </c>
      <c r="H1923" s="11" t="n">
        <v>23</v>
      </c>
      <c r="I1923" s="11" t="s">
        <v>244</v>
      </c>
      <c r="J1923" s="14" t="n">
        <v>22</v>
      </c>
      <c r="K1923" s="14"/>
      <c r="L1923" s="16"/>
      <c r="M1923" s="27" t="n">
        <f aca="false">J1923+(K1923/20)+(L1923/240)</f>
        <v>22</v>
      </c>
      <c r="N1923" s="17" t="s">
        <v>64</v>
      </c>
      <c r="O1923" s="11"/>
      <c r="P1923" s="28"/>
      <c r="Q1923" s="28" t="n">
        <f aca="false">P1923*$M1923</f>
        <v>0</v>
      </c>
      <c r="R1923" s="28"/>
      <c r="S1923" s="28" t="n">
        <f aca="false">R1923*$M1923</f>
        <v>0</v>
      </c>
      <c r="T1923" s="28"/>
      <c r="U1923" s="28" t="n">
        <f aca="false">T1923*$M1923</f>
        <v>0</v>
      </c>
      <c r="V1923" s="28" t="n">
        <f aca="false">15346/100</f>
        <v>153.46</v>
      </c>
      <c r="W1923" s="28" t="n">
        <v>3376</v>
      </c>
      <c r="X1923" s="28"/>
      <c r="Y1923" s="28" t="n">
        <f aca="false">X1923*$M1923</f>
        <v>0</v>
      </c>
      <c r="Z1923" s="28"/>
      <c r="AA1923" s="28" t="n">
        <f aca="false">Z1923*$M1923</f>
        <v>0</v>
      </c>
      <c r="AB1923" s="28"/>
      <c r="AC1923" s="28" t="n">
        <f aca="false">AB1923*$M1923</f>
        <v>0</v>
      </c>
      <c r="AD1923" s="28"/>
      <c r="AE1923" s="28" t="n">
        <f aca="false">AD1923*$M1923</f>
        <v>0</v>
      </c>
      <c r="AF1923" s="28"/>
      <c r="AG1923" s="28" t="n">
        <f aca="false">AF1923*$M1923</f>
        <v>0</v>
      </c>
      <c r="AH1923" s="28"/>
      <c r="AI1923" s="28" t="n">
        <f aca="false">AH1923*$M1923</f>
        <v>0</v>
      </c>
      <c r="AJ1923" s="28" t="n">
        <f aca="false">9084/100</f>
        <v>90.84</v>
      </c>
      <c r="AK1923" s="28" t="n">
        <v>1998</v>
      </c>
      <c r="AL1923" s="28" t="n">
        <f aca="false">8917/100</f>
        <v>89.17</v>
      </c>
      <c r="AM1923" s="28" t="n">
        <v>1962</v>
      </c>
      <c r="AN1923" s="28"/>
      <c r="AO1923" s="28" t="n">
        <f aca="false">AN1923*$M1923</f>
        <v>0</v>
      </c>
      <c r="AP1923" s="28"/>
      <c r="AQ1923" s="28" t="n">
        <f aca="false">AP1923*$M1923</f>
        <v>0</v>
      </c>
      <c r="AR1923" s="28"/>
      <c r="AS1923" s="28" t="n">
        <f aca="false">AR1923*$M1923</f>
        <v>0</v>
      </c>
      <c r="AT1923" s="28"/>
      <c r="AU1923" s="28" t="n">
        <f aca="false">AT1923*$M1923</f>
        <v>0</v>
      </c>
      <c r="AV1923" s="28"/>
      <c r="AW1923" s="28" t="n">
        <f aca="false">AV1923*$M1923</f>
        <v>0</v>
      </c>
      <c r="AX1923" s="28"/>
      <c r="AY1923" s="28" t="n">
        <f aca="false">AX1923*$M1923</f>
        <v>0</v>
      </c>
      <c r="AZ1923" s="30" t="n">
        <f aca="false">3347/100</f>
        <v>33.47</v>
      </c>
      <c r="BA1923" s="11" t="n">
        <v>7336</v>
      </c>
      <c r="BB1923" s="31" t="n">
        <f aca="false">SUM(Q1923,S1923,U1923,W1923,Y1923,AA1923,AC1923,AE1923,AG1923,AI1923,AK1923,AM1923,AO1923,AQ1923,AS1923,AU1923,AW1923,AY1923)</f>
        <v>7336</v>
      </c>
      <c r="BC1923" s="28" t="n">
        <f aca="false">BA1923-BB1923</f>
        <v>0</v>
      </c>
      <c r="BD1923" s="32" t="n">
        <f aca="false">SUM(P1923,R1923,T1923,V1923,X1923,Z1923,AB1923,AD1923,AF1923,AH1923,AJ1923,AL1923,AN1923,AP1923,AR1923,AT1923,AV1923,AX1923)</f>
        <v>333.47</v>
      </c>
      <c r="BE1923" s="33" t="n">
        <f aca="false">AZ1923-BD1923</f>
        <v>-300</v>
      </c>
      <c r="BF1923" s="34" t="n">
        <f aca="false">BD1923*M1923</f>
        <v>7336.34</v>
      </c>
      <c r="BG1923" s="35" t="n">
        <f aca="false">BA1923-BF1923</f>
        <v>-0.340000000000146</v>
      </c>
      <c r="BH1923" s="19" t="str">
        <f aca="false">IF(BG1923=0,"",IF(BG1923&lt;&gt;BA1923,"erreur de calcul",IF(BD1923&lt;&gt;0,"pas de prix",IF(M1923&lt;&gt; 0,"pas de quantité","pas de prix, ni de quantité"))))</f>
        <v>erreur de calcul</v>
      </c>
      <c r="BI1923" s="19"/>
    </row>
    <row r="1924" customFormat="false" ht="15" hidden="false" customHeight="false" outlineLevel="0" collapsed="false">
      <c r="A1924" s="0" t="n">
        <v>3</v>
      </c>
      <c r="B1924" s="8" t="s">
        <v>24</v>
      </c>
      <c r="C1924" s="9" t="s">
        <v>25</v>
      </c>
      <c r="D1924" s="9" t="s">
        <v>26</v>
      </c>
      <c r="E1924" s="10" t="n">
        <v>1789</v>
      </c>
      <c r="F1924" s="9" t="s">
        <v>27</v>
      </c>
      <c r="G1924" s="9" t="s">
        <v>27</v>
      </c>
      <c r="H1924" s="11" t="n">
        <v>23</v>
      </c>
      <c r="I1924" s="11" t="s">
        <v>245</v>
      </c>
      <c r="J1924" s="14" t="n">
        <v>28</v>
      </c>
      <c r="K1924" s="14"/>
      <c r="L1924" s="16"/>
      <c r="M1924" s="27" t="n">
        <f aca="false">J1924+(K1924/20)+(L1924/240)</f>
        <v>28</v>
      </c>
      <c r="N1924" s="17" t="s">
        <v>64</v>
      </c>
      <c r="O1924" s="11"/>
      <c r="P1924" s="28"/>
      <c r="Q1924" s="28" t="n">
        <f aca="false">P1924*$M1924</f>
        <v>0</v>
      </c>
      <c r="R1924" s="28"/>
      <c r="S1924" s="28" t="n">
        <f aca="false">R1924*$M1924</f>
        <v>0</v>
      </c>
      <c r="T1924" s="28"/>
      <c r="U1924" s="28" t="n">
        <f aca="false">T1924*$M1924</f>
        <v>0</v>
      </c>
      <c r="V1924" s="28" t="n">
        <f aca="false">61654/100</f>
        <v>616.54</v>
      </c>
      <c r="W1924" s="28" t="n">
        <v>17263</v>
      </c>
      <c r="X1924" s="28"/>
      <c r="Y1924" s="28" t="n">
        <f aca="false">X1924*$M1924</f>
        <v>0</v>
      </c>
      <c r="Z1924" s="28"/>
      <c r="AA1924" s="28" t="n">
        <f aca="false">Z1924*$M1924</f>
        <v>0</v>
      </c>
      <c r="AB1924" s="28"/>
      <c r="AC1924" s="28" t="n">
        <f aca="false">AB1924*$M1924</f>
        <v>0</v>
      </c>
      <c r="AD1924" s="28"/>
      <c r="AE1924" s="28" t="n">
        <f aca="false">AD1924*$M1924</f>
        <v>0</v>
      </c>
      <c r="AF1924" s="28"/>
      <c r="AG1924" s="28" t="n">
        <f aca="false">AF1924*$M1924</f>
        <v>0</v>
      </c>
      <c r="AH1924" s="28"/>
      <c r="AI1924" s="28" t="n">
        <f aca="false">AH1924*$M1924</f>
        <v>0</v>
      </c>
      <c r="AJ1924" s="28"/>
      <c r="AK1924" s="28" t="n">
        <f aca="false">AJ1924*$M1924</f>
        <v>0</v>
      </c>
      <c r="AL1924" s="28" t="n">
        <f aca="false">6250/100</f>
        <v>62.5</v>
      </c>
      <c r="AM1924" s="28" t="n">
        <v>1750</v>
      </c>
      <c r="AN1924" s="28"/>
      <c r="AO1924" s="28" t="n">
        <f aca="false">AN1924*$M1924</f>
        <v>0</v>
      </c>
      <c r="AP1924" s="28"/>
      <c r="AQ1924" s="28" t="n">
        <f aca="false">AP1924*$M1924</f>
        <v>0</v>
      </c>
      <c r="AR1924" s="28"/>
      <c r="AS1924" s="28" t="n">
        <f aca="false">AR1924*$M1924</f>
        <v>0</v>
      </c>
      <c r="AT1924" s="28"/>
      <c r="AU1924" s="28" t="n">
        <f aca="false">AT1924*$M1924</f>
        <v>0</v>
      </c>
      <c r="AV1924" s="28"/>
      <c r="AW1924" s="28" t="n">
        <f aca="false">AV1924*$M1924</f>
        <v>0</v>
      </c>
      <c r="AX1924" s="28"/>
      <c r="AY1924" s="28" t="n">
        <f aca="false">AX1924*$M1924</f>
        <v>0</v>
      </c>
      <c r="AZ1924" s="30" t="n">
        <f aca="false">67904/100</f>
        <v>679.04</v>
      </c>
      <c r="BA1924" s="11" t="n">
        <v>19013</v>
      </c>
      <c r="BB1924" s="31" t="n">
        <f aca="false">SUM(Q1924,S1924,U1924,W1924,Y1924,AA1924,AC1924,AE1924,AG1924,AI1924,AK1924,AM1924,AO1924,AQ1924,AS1924,AU1924,AW1924,AY1924)</f>
        <v>19013</v>
      </c>
      <c r="BC1924" s="28" t="n">
        <f aca="false">BA1924-BB1924</f>
        <v>0</v>
      </c>
      <c r="BD1924" s="32" t="n">
        <f aca="false">SUM(P1924,R1924,T1924,V1924,X1924,Z1924,AB1924,AD1924,AF1924,AH1924,AJ1924,AL1924,AN1924,AP1924,AR1924,AT1924,AV1924,AX1924)</f>
        <v>679.04</v>
      </c>
      <c r="BE1924" s="33" t="n">
        <f aca="false">AZ1924-BD1924</f>
        <v>0</v>
      </c>
      <c r="BF1924" s="34" t="n">
        <f aca="false">BD1924*M1924</f>
        <v>19013.12</v>
      </c>
      <c r="BG1924" s="35" t="n">
        <f aca="false">BA1924-BF1924</f>
        <v>-0.119999999998981</v>
      </c>
      <c r="BH1924" s="19" t="str">
        <f aca="false">IF(BG1924=0,"",IF(BG1924&lt;&gt;BA1924,"erreur de calcul",IF(BD1924&lt;&gt;0,"pas de prix",IF(M1924&lt;&gt; 0,"pas de quantité","pas de prix, ni de quantité"))))</f>
        <v>erreur de calcul</v>
      </c>
      <c r="BI1924" s="19"/>
    </row>
    <row r="1925" customFormat="false" ht="15" hidden="false" customHeight="false" outlineLevel="0" collapsed="false">
      <c r="A1925" s="0" t="n">
        <v>4</v>
      </c>
      <c r="B1925" s="8" t="s">
        <v>24</v>
      </c>
      <c r="C1925" s="9" t="s">
        <v>25</v>
      </c>
      <c r="D1925" s="9" t="s">
        <v>26</v>
      </c>
      <c r="E1925" s="10" t="n">
        <v>1789</v>
      </c>
      <c r="F1925" s="9" t="s">
        <v>27</v>
      </c>
      <c r="G1925" s="9" t="s">
        <v>27</v>
      </c>
      <c r="H1925" s="11" t="n">
        <v>23</v>
      </c>
      <c r="I1925" s="11" t="s">
        <v>246</v>
      </c>
      <c r="J1925" s="14" t="n">
        <v>17</v>
      </c>
      <c r="K1925" s="14"/>
      <c r="L1925" s="16"/>
      <c r="M1925" s="27" t="n">
        <f aca="false">J1925+(K1925/20)+(L1925/240)</f>
        <v>17</v>
      </c>
      <c r="N1925" s="17" t="s">
        <v>64</v>
      </c>
      <c r="O1925" s="11"/>
      <c r="P1925" s="28"/>
      <c r="Q1925" s="28" t="n">
        <f aca="false">P1925*$M1925</f>
        <v>0</v>
      </c>
      <c r="R1925" s="28"/>
      <c r="S1925" s="28" t="n">
        <f aca="false">R1925*$M1925</f>
        <v>0</v>
      </c>
      <c r="T1925" s="28" t="n">
        <f aca="false">25000/100</f>
        <v>250</v>
      </c>
      <c r="U1925" s="28" t="n">
        <v>4250</v>
      </c>
      <c r="V1925" s="28" t="n">
        <f aca="false">78153/100</f>
        <v>781.53</v>
      </c>
      <c r="W1925" s="28" t="n">
        <v>13286</v>
      </c>
      <c r="X1925" s="28"/>
      <c r="Y1925" s="28" t="n">
        <f aca="false">X1925*$M1925</f>
        <v>0</v>
      </c>
      <c r="Z1925" s="28"/>
      <c r="AA1925" s="28" t="n">
        <f aca="false">Z1925*$M1925</f>
        <v>0</v>
      </c>
      <c r="AB1925" s="28"/>
      <c r="AC1925" s="28" t="n">
        <f aca="false">AB1925*$M1925</f>
        <v>0</v>
      </c>
      <c r="AD1925" s="28"/>
      <c r="AE1925" s="28" t="n">
        <f aca="false">AD1925*$M1925</f>
        <v>0</v>
      </c>
      <c r="AF1925" s="28"/>
      <c r="AG1925" s="28" t="n">
        <f aca="false">AF1925*$M1925</f>
        <v>0</v>
      </c>
      <c r="AH1925" s="28"/>
      <c r="AI1925" s="28" t="n">
        <f aca="false">AH1925*$M1925</f>
        <v>0</v>
      </c>
      <c r="AJ1925" s="28" t="n">
        <f aca="false">113774/100</f>
        <v>1137.74</v>
      </c>
      <c r="AK1925" s="28" t="n">
        <v>19341</v>
      </c>
      <c r="AL1925" s="28" t="n">
        <f aca="false">749547/100</f>
        <v>7495.47</v>
      </c>
      <c r="AM1925" s="28" t="n">
        <v>127423</v>
      </c>
      <c r="AN1925" s="28"/>
      <c r="AO1925" s="28" t="n">
        <f aca="false">AN1925*$M1925</f>
        <v>0</v>
      </c>
      <c r="AP1925" s="28" t="n">
        <f aca="false">578251/100</f>
        <v>5782.51</v>
      </c>
      <c r="AQ1925" s="28" t="n">
        <v>98303</v>
      </c>
      <c r="AR1925" s="28" t="n">
        <f aca="false">9141217/100</f>
        <v>91412.17</v>
      </c>
      <c r="AS1925" s="28" t="n">
        <v>1554007</v>
      </c>
      <c r="AT1925" s="28"/>
      <c r="AU1925" s="28" t="n">
        <f aca="false">AT1925*$M1925</f>
        <v>0</v>
      </c>
      <c r="AV1925" s="28" t="n">
        <f aca="false">314570/100</f>
        <v>3145.7</v>
      </c>
      <c r="AW1925" s="28" t="n">
        <v>53477</v>
      </c>
      <c r="AX1925" s="28"/>
      <c r="AY1925" s="28" t="n">
        <f aca="false">AX1925*$M1925</f>
        <v>0</v>
      </c>
      <c r="AZ1925" s="30" t="n">
        <f aca="false">11004767/100</f>
        <v>110047.67</v>
      </c>
      <c r="BA1925" s="11" t="n">
        <v>1870087</v>
      </c>
      <c r="BB1925" s="31" t="n">
        <f aca="false">SUM(Q1925,S1925,U1925,W1925,Y1925,AA1925,AC1925,AE1925,AG1925,AI1925,AK1925,AM1925,AO1925,AQ1925,AS1925,AU1925,AW1925,AY1925)</f>
        <v>1870087</v>
      </c>
      <c r="BC1925" s="28" t="n">
        <f aca="false">BA1925-BB1925</f>
        <v>0</v>
      </c>
      <c r="BD1925" s="32" t="n">
        <f aca="false">SUM(P1925,R1925,T1925,V1925,X1925,Z1925,AB1925,AD1925,AF1925,AH1925,AJ1925,AL1925,AN1925,AP1925,AR1925,AT1925,AV1925,AX1925)</f>
        <v>110005.12</v>
      </c>
      <c r="BE1925" s="33" t="n">
        <f aca="false">AZ1925-BD1925</f>
        <v>42.5500000000029</v>
      </c>
      <c r="BF1925" s="34" t="n">
        <f aca="false">BD1925*M1925</f>
        <v>1870087.04</v>
      </c>
      <c r="BG1925" s="35" t="n">
        <f aca="false">BA1925-BF1925</f>
        <v>-0.0400000000372529</v>
      </c>
      <c r="BH1925" s="19" t="str">
        <f aca="false">IF(BG1925=0,"",IF(BG1925&lt;&gt;BA1925,"erreur de calcul",IF(BD1925&lt;&gt;0,"pas de prix",IF(M1925&lt;&gt; 0,"pas de quantité","pas de prix, ni de quantité"))))</f>
        <v>erreur de calcul</v>
      </c>
      <c r="BI1925" s="19"/>
    </row>
    <row r="1926" customFormat="false" ht="15" hidden="false" customHeight="false" outlineLevel="0" collapsed="false">
      <c r="A1926" s="0" t="n">
        <v>5</v>
      </c>
      <c r="B1926" s="8" t="s">
        <v>24</v>
      </c>
      <c r="C1926" s="9" t="s">
        <v>25</v>
      </c>
      <c r="D1926" s="9" t="s">
        <v>26</v>
      </c>
      <c r="E1926" s="10" t="n">
        <v>1789</v>
      </c>
      <c r="F1926" s="9" t="s">
        <v>27</v>
      </c>
      <c r="G1926" s="9" t="s">
        <v>27</v>
      </c>
      <c r="H1926" s="11" t="n">
        <v>23</v>
      </c>
      <c r="I1926" s="11" t="s">
        <v>247</v>
      </c>
      <c r="J1926" s="14" t="n">
        <v>60</v>
      </c>
      <c r="K1926" s="14"/>
      <c r="L1926" s="16"/>
      <c r="M1926" s="27" t="n">
        <f aca="false">J1926+(K1926/20)+(L1926/240)</f>
        <v>60</v>
      </c>
      <c r="N1926" s="17" t="s">
        <v>64</v>
      </c>
      <c r="O1926" s="11"/>
      <c r="P1926" s="28" t="n">
        <f aca="false">17500/100</f>
        <v>175</v>
      </c>
      <c r="Q1926" s="28" t="n">
        <v>10500</v>
      </c>
      <c r="R1926" s="28"/>
      <c r="S1926" s="28" t="n">
        <f aca="false">R1926*$M1926</f>
        <v>0</v>
      </c>
      <c r="T1926" s="28"/>
      <c r="U1926" s="28" t="n">
        <f aca="false">T1926*$M1926</f>
        <v>0</v>
      </c>
      <c r="V1926" s="28"/>
      <c r="W1926" s="28" t="n">
        <f aca="false">V1926*$M1926</f>
        <v>0</v>
      </c>
      <c r="X1926" s="28"/>
      <c r="Y1926" s="28" t="n">
        <f aca="false">X1926*$M1926</f>
        <v>0</v>
      </c>
      <c r="Z1926" s="28"/>
      <c r="AA1926" s="28" t="n">
        <f aca="false">Z1926*$M1926</f>
        <v>0</v>
      </c>
      <c r="AB1926" s="28"/>
      <c r="AC1926" s="28" t="n">
        <f aca="false">AB1926*$M1926</f>
        <v>0</v>
      </c>
      <c r="AD1926" s="28"/>
      <c r="AE1926" s="28" t="n">
        <f aca="false">AD1926*$M1926</f>
        <v>0</v>
      </c>
      <c r="AF1926" s="28"/>
      <c r="AG1926" s="28" t="n">
        <f aca="false">AF1926*$M1926</f>
        <v>0</v>
      </c>
      <c r="AH1926" s="28"/>
      <c r="AI1926" s="28" t="n">
        <f aca="false">AH1926*$M1926</f>
        <v>0</v>
      </c>
      <c r="AJ1926" s="28"/>
      <c r="AK1926" s="28" t="n">
        <f aca="false">AJ1926*$M1926</f>
        <v>0</v>
      </c>
      <c r="AL1926" s="28" t="n">
        <f aca="false">107571/100</f>
        <v>1075.71</v>
      </c>
      <c r="AM1926" s="28" t="n">
        <v>64543</v>
      </c>
      <c r="AN1926" s="28"/>
      <c r="AO1926" s="28" t="n">
        <f aca="false">AN1926*$M1926</f>
        <v>0</v>
      </c>
      <c r="AP1926" s="28"/>
      <c r="AQ1926" s="28" t="n">
        <f aca="false">AP1926*$M1926</f>
        <v>0</v>
      </c>
      <c r="AR1926" s="28"/>
      <c r="AS1926" s="28" t="n">
        <f aca="false">AR1926*$M1926</f>
        <v>0</v>
      </c>
      <c r="AT1926" s="28"/>
      <c r="AU1926" s="28" t="n">
        <f aca="false">AT1926*$M1926</f>
        <v>0</v>
      </c>
      <c r="AV1926" s="28"/>
      <c r="AW1926" s="28" t="n">
        <f aca="false">AV1926*$M1926</f>
        <v>0</v>
      </c>
      <c r="AX1926" s="28"/>
      <c r="AY1926" s="28" t="n">
        <f aca="false">AX1926*$M1926</f>
        <v>0</v>
      </c>
      <c r="AZ1926" s="30" t="n">
        <f aca="false">125071/100</f>
        <v>1250.71</v>
      </c>
      <c r="BA1926" s="11" t="n">
        <v>75043</v>
      </c>
      <c r="BB1926" s="31" t="n">
        <f aca="false">SUM(Q1926,S1926,U1926,W1926,Y1926,AA1926,AC1926,AE1926,AG1926,AI1926,AK1926,AM1926,AO1926,AQ1926,AS1926,AU1926,AW1926,AY1926)</f>
        <v>75043</v>
      </c>
      <c r="BC1926" s="28" t="n">
        <f aca="false">BA1926-BB1926</f>
        <v>0</v>
      </c>
      <c r="BD1926" s="32" t="n">
        <f aca="false">SUM(P1926,R1926,T1926,V1926,X1926,Z1926,AB1926,AD1926,AF1926,AH1926,AJ1926,AL1926,AN1926,AP1926,AR1926,AT1926,AV1926,AX1926)</f>
        <v>1250.71</v>
      </c>
      <c r="BE1926" s="33" t="n">
        <f aca="false">AZ1926-BD1926</f>
        <v>0</v>
      </c>
      <c r="BF1926" s="34" t="n">
        <f aca="false">BD1926*M1926</f>
        <v>75042.6</v>
      </c>
      <c r="BG1926" s="35" t="n">
        <f aca="false">BA1926-BF1926</f>
        <v>0.399999999994179</v>
      </c>
      <c r="BH1926" s="19" t="str">
        <f aca="false">IF(BG1926=0,"",IF(BG1926&lt;&gt;BA1926,"erreur de calcul",IF(BD1926&lt;&gt;0,"pas de prix",IF(M1926&lt;&gt; 0,"pas de quantité","pas de prix, ni de quantité"))))</f>
        <v>erreur de calcul</v>
      </c>
      <c r="BI1926" s="19"/>
    </row>
    <row r="1927" customFormat="false" ht="15" hidden="false" customHeight="false" outlineLevel="0" collapsed="false">
      <c r="A1927" s="0" t="n">
        <v>6</v>
      </c>
      <c r="B1927" s="8" t="s">
        <v>24</v>
      </c>
      <c r="C1927" s="9" t="s">
        <v>25</v>
      </c>
      <c r="D1927" s="9" t="s">
        <v>26</v>
      </c>
      <c r="E1927" s="10" t="n">
        <v>1789</v>
      </c>
      <c r="F1927" s="9" t="s">
        <v>27</v>
      </c>
      <c r="G1927" s="9" t="s">
        <v>27</v>
      </c>
      <c r="H1927" s="11" t="n">
        <v>23</v>
      </c>
      <c r="I1927" s="11" t="s">
        <v>248</v>
      </c>
      <c r="J1927" s="14" t="n">
        <v>30</v>
      </c>
      <c r="K1927" s="14"/>
      <c r="L1927" s="16"/>
      <c r="M1927" s="27" t="n">
        <f aca="false">J1927+(K1927/20)+(L1927/240)</f>
        <v>30</v>
      </c>
      <c r="N1927" s="17" t="s">
        <v>64</v>
      </c>
      <c r="O1927" s="11"/>
      <c r="P1927" s="28"/>
      <c r="Q1927" s="28" t="n">
        <f aca="false">P1927*$M1927</f>
        <v>0</v>
      </c>
      <c r="R1927" s="28"/>
      <c r="S1927" s="28" t="n">
        <f aca="false">R1927*$M1927</f>
        <v>0</v>
      </c>
      <c r="T1927" s="28"/>
      <c r="U1927" s="28" t="n">
        <f aca="false">T1927*$M1927</f>
        <v>0</v>
      </c>
      <c r="V1927" s="28" t="n">
        <f aca="false">8491/100</f>
        <v>84.91</v>
      </c>
      <c r="W1927" s="28" t="n">
        <v>2547</v>
      </c>
      <c r="X1927" s="28"/>
      <c r="Y1927" s="28" t="n">
        <f aca="false">X1927*$M1927</f>
        <v>0</v>
      </c>
      <c r="Z1927" s="28"/>
      <c r="AA1927" s="28" t="n">
        <f aca="false">Z1927*$M1927</f>
        <v>0</v>
      </c>
      <c r="AB1927" s="28"/>
      <c r="AC1927" s="28" t="n">
        <f aca="false">AB1927*$M1927</f>
        <v>0</v>
      </c>
      <c r="AD1927" s="28"/>
      <c r="AE1927" s="28" t="n">
        <f aca="false">AD1927*$M1927</f>
        <v>0</v>
      </c>
      <c r="AF1927" s="28"/>
      <c r="AG1927" s="28" t="n">
        <f aca="false">AF1927*$M1927</f>
        <v>0</v>
      </c>
      <c r="AH1927" s="28"/>
      <c r="AI1927" s="28" t="n">
        <f aca="false">AH1927*$M1927</f>
        <v>0</v>
      </c>
      <c r="AJ1927" s="28"/>
      <c r="AK1927" s="28" t="n">
        <f aca="false">AJ1927*$M1927</f>
        <v>0</v>
      </c>
      <c r="AL1927" s="28"/>
      <c r="AM1927" s="28" t="n">
        <f aca="false">AL1927*$M1927</f>
        <v>0</v>
      </c>
      <c r="AN1927" s="28"/>
      <c r="AO1927" s="28" t="n">
        <f aca="false">AN1927*$M1927</f>
        <v>0</v>
      </c>
      <c r="AP1927" s="28"/>
      <c r="AQ1927" s="28" t="n">
        <f aca="false">AP1927*$M1927</f>
        <v>0</v>
      </c>
      <c r="AR1927" s="28"/>
      <c r="AS1927" s="28" t="n">
        <f aca="false">AR1927*$M1927</f>
        <v>0</v>
      </c>
      <c r="AT1927" s="28"/>
      <c r="AU1927" s="28" t="n">
        <f aca="false">AT1927*$M1927</f>
        <v>0</v>
      </c>
      <c r="AV1927" s="28"/>
      <c r="AW1927" s="28" t="n">
        <f aca="false">AV1927*$M1927</f>
        <v>0</v>
      </c>
      <c r="AX1927" s="28"/>
      <c r="AY1927" s="28" t="n">
        <f aca="false">AX1927*$M1927</f>
        <v>0</v>
      </c>
      <c r="AZ1927" s="30" t="n">
        <f aca="false">8491/100</f>
        <v>84.91</v>
      </c>
      <c r="BA1927" s="11" t="n">
        <v>2547</v>
      </c>
      <c r="BB1927" s="31" t="n">
        <f aca="false">SUM(Q1927,S1927,U1927,W1927,Y1927,AA1927,AC1927,AE1927,AG1927,AI1927,AK1927,AM1927,AO1927,AQ1927,AS1927,AU1927,AW1927,AY1927)</f>
        <v>2547</v>
      </c>
      <c r="BC1927" s="28" t="n">
        <f aca="false">BA1927-BB1927</f>
        <v>0</v>
      </c>
      <c r="BD1927" s="32" t="n">
        <f aca="false">SUM(P1927,R1927,T1927,V1927,X1927,Z1927,AB1927,AD1927,AF1927,AH1927,AJ1927,AL1927,AN1927,AP1927,AR1927,AT1927,AV1927,AX1927)</f>
        <v>84.91</v>
      </c>
      <c r="BE1927" s="33" t="n">
        <f aca="false">AZ1927-BD1927</f>
        <v>0</v>
      </c>
      <c r="BF1927" s="34" t="n">
        <f aca="false">BD1927*M1927</f>
        <v>2547.3</v>
      </c>
      <c r="BG1927" s="35" t="n">
        <f aca="false">BA1927-BF1927</f>
        <v>-0.299999999999727</v>
      </c>
      <c r="BH1927" s="19" t="str">
        <f aca="false">IF(BG1927=0,"",IF(BG1927&lt;&gt;BA1927,"erreur de calcul",IF(BD1927&lt;&gt;0,"pas de prix",IF(M1927&lt;&gt; 0,"pas de quantité","pas de prix, ni de quantité"))))</f>
        <v>erreur de calcul</v>
      </c>
      <c r="BI1927" s="19"/>
    </row>
    <row r="1928" customFormat="false" ht="15" hidden="false" customHeight="false" outlineLevel="0" collapsed="false">
      <c r="A1928" s="0" t="n">
        <v>7</v>
      </c>
      <c r="B1928" s="8" t="s">
        <v>24</v>
      </c>
      <c r="C1928" s="9" t="s">
        <v>25</v>
      </c>
      <c r="D1928" s="9" t="s">
        <v>26</v>
      </c>
      <c r="E1928" s="10" t="n">
        <v>1789</v>
      </c>
      <c r="F1928" s="9" t="s">
        <v>27</v>
      </c>
      <c r="G1928" s="9" t="s">
        <v>27</v>
      </c>
      <c r="H1928" s="11" t="n">
        <v>23</v>
      </c>
      <c r="I1928" s="11" t="s">
        <v>249</v>
      </c>
      <c r="J1928" s="14" t="n">
        <v>27</v>
      </c>
      <c r="K1928" s="14"/>
      <c r="L1928" s="16"/>
      <c r="M1928" s="27" t="n">
        <f aca="false">J1928+(K1928/20)+(L1928/240)</f>
        <v>27</v>
      </c>
      <c r="N1928" s="17" t="s">
        <v>64</v>
      </c>
      <c r="O1928" s="11"/>
      <c r="P1928" s="28"/>
      <c r="Q1928" s="28" t="n">
        <f aca="false">P1928*$M1928</f>
        <v>0</v>
      </c>
      <c r="R1928" s="28"/>
      <c r="S1928" s="28" t="n">
        <f aca="false">R1928*$M1928</f>
        <v>0</v>
      </c>
      <c r="T1928" s="28"/>
      <c r="U1928" s="28" t="n">
        <f aca="false">T1928*$M1928</f>
        <v>0</v>
      </c>
      <c r="V1928" s="28"/>
      <c r="W1928" s="28" t="n">
        <f aca="false">V1928*$M1928</f>
        <v>0</v>
      </c>
      <c r="X1928" s="28"/>
      <c r="Y1928" s="28" t="n">
        <f aca="false">X1928*$M1928</f>
        <v>0</v>
      </c>
      <c r="Z1928" s="28"/>
      <c r="AA1928" s="28" t="n">
        <f aca="false">Z1928*$M1928</f>
        <v>0</v>
      </c>
      <c r="AB1928" s="28"/>
      <c r="AC1928" s="28" t="n">
        <f aca="false">AB1928*$M1928</f>
        <v>0</v>
      </c>
      <c r="AD1928" s="28"/>
      <c r="AE1928" s="28" t="n">
        <f aca="false">AD1928*$M1928</f>
        <v>0</v>
      </c>
      <c r="AF1928" s="28"/>
      <c r="AG1928" s="28" t="n">
        <f aca="false">AF1928*$M1928</f>
        <v>0</v>
      </c>
      <c r="AH1928" s="28"/>
      <c r="AI1928" s="28" t="n">
        <f aca="false">AH1928*$M1928</f>
        <v>0</v>
      </c>
      <c r="AJ1928" s="28" t="n">
        <f aca="false">168254/100</f>
        <v>1682.54</v>
      </c>
      <c r="AK1928" s="28" t="n">
        <v>45428</v>
      </c>
      <c r="AL1928" s="28"/>
      <c r="AM1928" s="28" t="n">
        <f aca="false">AL1928*$M1928</f>
        <v>0</v>
      </c>
      <c r="AN1928" s="28"/>
      <c r="AO1928" s="28" t="n">
        <f aca="false">AN1928*$M1928</f>
        <v>0</v>
      </c>
      <c r="AP1928" s="28"/>
      <c r="AQ1928" s="28" t="n">
        <f aca="false">AP1928*$M1928</f>
        <v>0</v>
      </c>
      <c r="AR1928" s="28"/>
      <c r="AS1928" s="28" t="n">
        <f aca="false">AR1928*$M1928</f>
        <v>0</v>
      </c>
      <c r="AT1928" s="28"/>
      <c r="AU1928" s="28" t="n">
        <f aca="false">AT1928*$M1928</f>
        <v>0</v>
      </c>
      <c r="AV1928" s="28"/>
      <c r="AW1928" s="28" t="n">
        <f aca="false">AV1928*$M1928</f>
        <v>0</v>
      </c>
      <c r="AX1928" s="28"/>
      <c r="AY1928" s="28" t="n">
        <f aca="false">AX1928*$M1928</f>
        <v>0</v>
      </c>
      <c r="AZ1928" s="30" t="n">
        <f aca="false">168254/100</f>
        <v>1682.54</v>
      </c>
      <c r="BA1928" s="11" t="n">
        <v>45428</v>
      </c>
      <c r="BB1928" s="31" t="n">
        <f aca="false">SUM(Q1928,S1928,U1928,W1928,Y1928,AA1928,AC1928,AE1928,AG1928,AI1928,AK1928,AM1928,AO1928,AQ1928,AS1928,AU1928,AW1928,AY1928)</f>
        <v>45428</v>
      </c>
      <c r="BC1928" s="28" t="n">
        <f aca="false">BA1928-BB1928</f>
        <v>0</v>
      </c>
      <c r="BD1928" s="32" t="n">
        <f aca="false">SUM(P1928,R1928,T1928,V1928,X1928,Z1928,AB1928,AD1928,AF1928,AH1928,AJ1928,AL1928,AN1928,AP1928,AR1928,AT1928,AV1928,AX1928)</f>
        <v>1682.54</v>
      </c>
      <c r="BE1928" s="33" t="n">
        <f aca="false">AZ1928-BD1928</f>
        <v>0</v>
      </c>
      <c r="BF1928" s="34" t="n">
        <f aca="false">BD1928*M1928</f>
        <v>45428.58</v>
      </c>
      <c r="BG1928" s="35" t="n">
        <f aca="false">BA1928-BF1928</f>
        <v>-0.580000000001746</v>
      </c>
      <c r="BH1928" s="19" t="str">
        <f aca="false">IF(BG1928=0,"",IF(BG1928&lt;&gt;BA1928,"erreur de calcul",IF(BD1928&lt;&gt;0,"pas de prix",IF(M1928&lt;&gt; 0,"pas de quantité","pas de prix, ni de quantité"))))</f>
        <v>erreur de calcul</v>
      </c>
      <c r="BI1928" s="19"/>
    </row>
    <row r="1929" customFormat="false" ht="15" hidden="false" customHeight="false" outlineLevel="0" collapsed="false">
      <c r="A1929" s="0" t="n">
        <v>8</v>
      </c>
      <c r="B1929" s="8" t="s">
        <v>24</v>
      </c>
      <c r="C1929" s="9" t="s">
        <v>25</v>
      </c>
      <c r="D1929" s="9" t="s">
        <v>26</v>
      </c>
      <c r="E1929" s="10" t="n">
        <v>1789</v>
      </c>
      <c r="F1929" s="9" t="s">
        <v>27</v>
      </c>
      <c r="G1929" s="9" t="s">
        <v>27</v>
      </c>
      <c r="H1929" s="11" t="n">
        <v>23</v>
      </c>
      <c r="I1929" s="11" t="s">
        <v>250</v>
      </c>
      <c r="J1929" s="14" t="n">
        <v>27</v>
      </c>
      <c r="K1929" s="14"/>
      <c r="L1929" s="16"/>
      <c r="M1929" s="27" t="n">
        <f aca="false">J1929+(K1929/20)+(L1929/240)</f>
        <v>27</v>
      </c>
      <c r="N1929" s="17" t="s">
        <v>64</v>
      </c>
      <c r="O1929" s="11"/>
      <c r="P1929" s="28"/>
      <c r="Q1929" s="28" t="n">
        <f aca="false">P1929*$M1929</f>
        <v>0</v>
      </c>
      <c r="R1929" s="28"/>
      <c r="S1929" s="28" t="n">
        <f aca="false">R1929*$M1929</f>
        <v>0</v>
      </c>
      <c r="T1929" s="28"/>
      <c r="U1929" s="28" t="n">
        <f aca="false">T1929*$M1929</f>
        <v>0</v>
      </c>
      <c r="V1929" s="28"/>
      <c r="W1929" s="28" t="n">
        <f aca="false">V1929*$M1929</f>
        <v>0</v>
      </c>
      <c r="X1929" s="28"/>
      <c r="Y1929" s="28" t="n">
        <f aca="false">X1929*$M1929</f>
        <v>0</v>
      </c>
      <c r="Z1929" s="28"/>
      <c r="AA1929" s="28" t="n">
        <f aca="false">Z1929*$M1929</f>
        <v>0</v>
      </c>
      <c r="AB1929" s="28"/>
      <c r="AC1929" s="28" t="n">
        <f aca="false">AB1929*$M1929</f>
        <v>0</v>
      </c>
      <c r="AD1929" s="28"/>
      <c r="AE1929" s="28" t="n">
        <f aca="false">AD1929*$M1929</f>
        <v>0</v>
      </c>
      <c r="AF1929" s="28"/>
      <c r="AG1929" s="28" t="n">
        <f aca="false">AF1929*$M1929</f>
        <v>0</v>
      </c>
      <c r="AH1929" s="28"/>
      <c r="AI1929" s="28" t="n">
        <f aca="false">AH1929*$M1929</f>
        <v>0</v>
      </c>
      <c r="AJ1929" s="28"/>
      <c r="AK1929" s="28" t="n">
        <f aca="false">AJ1929*$M1929</f>
        <v>0</v>
      </c>
      <c r="AL1929" s="28" t="n">
        <f aca="false">4108/100</f>
        <v>41.08</v>
      </c>
      <c r="AM1929" s="28" t="n">
        <v>1109</v>
      </c>
      <c r="AN1929" s="28"/>
      <c r="AO1929" s="28" t="n">
        <f aca="false">AN1929*$M1929</f>
        <v>0</v>
      </c>
      <c r="AP1929" s="28"/>
      <c r="AQ1929" s="28" t="n">
        <f aca="false">AP1929*$M1929</f>
        <v>0</v>
      </c>
      <c r="AR1929" s="28" t="n">
        <f aca="false">37084/100</f>
        <v>370.84</v>
      </c>
      <c r="AS1929" s="36" t="n">
        <v>9963</v>
      </c>
      <c r="AT1929" s="28"/>
      <c r="AU1929" s="28" t="n">
        <f aca="false">AT1929*$M1929</f>
        <v>0</v>
      </c>
      <c r="AV1929" s="28"/>
      <c r="AW1929" s="28" t="n">
        <f aca="false">AV1929*$M1929</f>
        <v>0</v>
      </c>
      <c r="AX1929" s="28"/>
      <c r="AY1929" s="28" t="n">
        <f aca="false">AX1929*$M1929</f>
        <v>0</v>
      </c>
      <c r="AZ1929" s="30" t="n">
        <f aca="false">41192/100</f>
        <v>411.92</v>
      </c>
      <c r="BA1929" s="11" t="n">
        <v>11072</v>
      </c>
      <c r="BB1929" s="31" t="n">
        <f aca="false">SUM(Q1929,S1929,U1929,W1929,Y1929,AA1929,AC1929,AE1929,AG1929,AI1929,AK1929,AM1929,AO1929,AQ1929,AS1929,AU1929,AW1929,AY1929)</f>
        <v>11072</v>
      </c>
      <c r="BC1929" s="28" t="n">
        <f aca="false">BA1929-BB1929</f>
        <v>0</v>
      </c>
      <c r="BD1929" s="32" t="n">
        <f aca="false">SUM(P1929,R1929,T1929,V1929,X1929,Z1929,AB1929,AD1929,AF1929,AH1929,AJ1929,AL1929,AN1929,AP1929,AR1929,AT1929,AV1929,AX1929)</f>
        <v>411.92</v>
      </c>
      <c r="BE1929" s="33" t="n">
        <f aca="false">AZ1929-BD1929</f>
        <v>0</v>
      </c>
      <c r="BF1929" s="34" t="n">
        <f aca="false">BD1929*M1929</f>
        <v>11121.84</v>
      </c>
      <c r="BG1929" s="35" t="n">
        <f aca="false">BA1929-BF1929</f>
        <v>-49.8399999999983</v>
      </c>
      <c r="BH1929" s="19" t="str">
        <f aca="false">IF(BG1929=0,"",IF(BG1929&lt;&gt;BA1929,"erreur de calcul",IF(BD1929&lt;&gt;0,"pas de prix",IF(M1929&lt;&gt; 0,"pas de quantité","pas de prix, ni de quantité"))))</f>
        <v>erreur de calcul</v>
      </c>
      <c r="BI1929" s="19"/>
    </row>
    <row r="1930" customFormat="false" ht="15" hidden="false" customHeight="false" outlineLevel="0" collapsed="false">
      <c r="A1930" s="0" t="n">
        <v>9</v>
      </c>
      <c r="B1930" s="8" t="s">
        <v>24</v>
      </c>
      <c r="C1930" s="9" t="s">
        <v>25</v>
      </c>
      <c r="D1930" s="9" t="s">
        <v>26</v>
      </c>
      <c r="E1930" s="10" t="n">
        <v>1789</v>
      </c>
      <c r="F1930" s="9" t="s">
        <v>27</v>
      </c>
      <c r="G1930" s="9" t="s">
        <v>27</v>
      </c>
      <c r="H1930" s="11" t="n">
        <v>23</v>
      </c>
      <c r="I1930" s="11" t="s">
        <v>251</v>
      </c>
      <c r="J1930" s="14" t="n">
        <v>6</v>
      </c>
      <c r="K1930" s="14"/>
      <c r="L1930" s="16"/>
      <c r="M1930" s="27" t="n">
        <f aca="false">J1930+(K1930/20)+(L1930/240)</f>
        <v>6</v>
      </c>
      <c r="N1930" s="17" t="s">
        <v>64</v>
      </c>
      <c r="O1930" s="11"/>
      <c r="P1930" s="28"/>
      <c r="Q1930" s="28" t="n">
        <f aca="false">P1930*$M1930</f>
        <v>0</v>
      </c>
      <c r="R1930" s="28"/>
      <c r="S1930" s="28" t="n">
        <f aca="false">R1930*$M1930</f>
        <v>0</v>
      </c>
      <c r="T1930" s="28"/>
      <c r="U1930" s="28" t="n">
        <f aca="false">T1930*$M1930</f>
        <v>0</v>
      </c>
      <c r="V1930" s="28"/>
      <c r="W1930" s="28" t="n">
        <f aca="false">V1930*$M1930</f>
        <v>0</v>
      </c>
      <c r="X1930" s="28"/>
      <c r="Y1930" s="28" t="n">
        <f aca="false">X1930*$M1930</f>
        <v>0</v>
      </c>
      <c r="Z1930" s="28"/>
      <c r="AA1930" s="28" t="n">
        <f aca="false">Z1930*$M1930</f>
        <v>0</v>
      </c>
      <c r="AB1930" s="28"/>
      <c r="AC1930" s="28" t="n">
        <f aca="false">AB1930*$M1930</f>
        <v>0</v>
      </c>
      <c r="AD1930" s="28"/>
      <c r="AE1930" s="28" t="n">
        <f aca="false">AD1930*$M1930</f>
        <v>0</v>
      </c>
      <c r="AF1930" s="28"/>
      <c r="AG1930" s="28" t="n">
        <f aca="false">AF1930*$M1930</f>
        <v>0</v>
      </c>
      <c r="AH1930" s="28"/>
      <c r="AI1930" s="28" t="n">
        <f aca="false">AH1930*$M1930</f>
        <v>0</v>
      </c>
      <c r="AJ1930" s="28"/>
      <c r="AK1930" s="28" t="n">
        <f aca="false">AJ1930*$M1930</f>
        <v>0</v>
      </c>
      <c r="AL1930" s="28"/>
      <c r="AM1930" s="28" t="n">
        <f aca="false">AL1930*$M1930</f>
        <v>0</v>
      </c>
      <c r="AN1930" s="28"/>
      <c r="AO1930" s="28" t="n">
        <f aca="false">AN1930*$M1930</f>
        <v>0</v>
      </c>
      <c r="AP1930" s="28"/>
      <c r="AQ1930" s="28" t="n">
        <f aca="false">AP1930*$M1930</f>
        <v>0</v>
      </c>
      <c r="AR1930" s="28"/>
      <c r="AS1930" s="28" t="n">
        <f aca="false">AR1930*$M1930</f>
        <v>0</v>
      </c>
      <c r="AT1930" s="28"/>
      <c r="AU1930" s="28" t="n">
        <f aca="false">AT1930*$M1930</f>
        <v>0</v>
      </c>
      <c r="AV1930" s="28"/>
      <c r="AW1930" s="28" t="n">
        <f aca="false">AV1930*$M1930</f>
        <v>0</v>
      </c>
      <c r="AX1930" s="28"/>
      <c r="AY1930" s="28" t="n">
        <f aca="false">AX1930*$M1930</f>
        <v>0</v>
      </c>
      <c r="AZ1930" s="30"/>
      <c r="BA1930" s="11"/>
      <c r="BB1930" s="31" t="n">
        <f aca="false">SUM(Q1930,S1930,U1930,W1930,Y1930,AA1930,AC1930,AE1930,AG1930,AI1930,AK1930,AM1930,AO1930,AQ1930,AS1930,AU1930,AW1930,AY1930)</f>
        <v>0</v>
      </c>
      <c r="BC1930" s="28" t="n">
        <f aca="false">BA1930-BB1930</f>
        <v>0</v>
      </c>
      <c r="BD1930" s="32" t="n">
        <f aca="false">SUM(P1930,R1930,T1930,V1930,X1930,Z1930,AB1930,AD1930,AF1930,AH1930,AJ1930,AL1930,AN1930,AP1930,AR1930,AT1930,AV1930,AX1930)</f>
        <v>0</v>
      </c>
      <c r="BE1930" s="33" t="n">
        <f aca="false">AZ1930-BD1930</f>
        <v>0</v>
      </c>
      <c r="BF1930" s="34" t="n">
        <f aca="false">BD1930*M1930</f>
        <v>0</v>
      </c>
      <c r="BG1930" s="35" t="n">
        <f aca="false">BA1930-BF1930</f>
        <v>0</v>
      </c>
      <c r="BH1930" s="19" t="str">
        <f aca="false">IF(BG1930=0,"",IF(BG1930&lt;&gt;BA1930,"erreur de calcul",IF(BD1930&lt;&gt;0,"pas de prix",IF(M1930&lt;&gt; 0,"pas de quantité","pas de prix, ni de quantité"))))</f>
        <v/>
      </c>
      <c r="BI1930" s="19"/>
    </row>
    <row r="1931" customFormat="false" ht="15" hidden="false" customHeight="false" outlineLevel="0" collapsed="false">
      <c r="A1931" s="0" t="n">
        <v>10</v>
      </c>
      <c r="B1931" s="8" t="s">
        <v>24</v>
      </c>
      <c r="C1931" s="9" t="s">
        <v>25</v>
      </c>
      <c r="D1931" s="9" t="s">
        <v>26</v>
      </c>
      <c r="E1931" s="10" t="n">
        <v>1789</v>
      </c>
      <c r="F1931" s="9" t="s">
        <v>27</v>
      </c>
      <c r="G1931" s="9" t="s">
        <v>27</v>
      </c>
      <c r="H1931" s="11" t="n">
        <v>23</v>
      </c>
      <c r="I1931" s="11" t="s">
        <v>252</v>
      </c>
      <c r="J1931" s="14" t="n">
        <v>240</v>
      </c>
      <c r="K1931" s="14"/>
      <c r="L1931" s="16"/>
      <c r="M1931" s="27" t="n">
        <f aca="false">J1931+(K1931/20)+(L1931/240)</f>
        <v>240</v>
      </c>
      <c r="N1931" s="17" t="s">
        <v>64</v>
      </c>
      <c r="O1931" s="11"/>
      <c r="P1931" s="28"/>
      <c r="Q1931" s="28" t="n">
        <f aca="false">P1931*$M1931</f>
        <v>0</v>
      </c>
      <c r="R1931" s="28"/>
      <c r="S1931" s="28" t="n">
        <f aca="false">R1931*$M1931</f>
        <v>0</v>
      </c>
      <c r="T1931" s="28" t="n">
        <f aca="false">4204/100</f>
        <v>42.04</v>
      </c>
      <c r="U1931" s="28" t="n">
        <v>10090</v>
      </c>
      <c r="V1931" s="28" t="n">
        <f aca="false">2799/100</f>
        <v>27.99</v>
      </c>
      <c r="W1931" s="28" t="n">
        <v>6718</v>
      </c>
      <c r="X1931" s="28" t="n">
        <f aca="false">2536/100</f>
        <v>25.36</v>
      </c>
      <c r="Y1931" s="28" t="n">
        <v>6086</v>
      </c>
      <c r="Z1931" s="28" t="n">
        <f aca="false">3393/100</f>
        <v>33.93</v>
      </c>
      <c r="AA1931" s="28" t="n">
        <v>8143</v>
      </c>
      <c r="AB1931" s="28" t="n">
        <f aca="false">242/100</f>
        <v>2.42</v>
      </c>
      <c r="AC1931" s="28" t="n">
        <v>581</v>
      </c>
      <c r="AD1931" s="28"/>
      <c r="AE1931" s="28" t="n">
        <f aca="false">AD1931*$M1931</f>
        <v>0</v>
      </c>
      <c r="AF1931" s="28"/>
      <c r="AG1931" s="28" t="n">
        <f aca="false">AF1931*$M1931</f>
        <v>0</v>
      </c>
      <c r="AH1931" s="28"/>
      <c r="AI1931" s="28" t="n">
        <f aca="false">AH1931*$M1931</f>
        <v>0</v>
      </c>
      <c r="AJ1931" s="28"/>
      <c r="AK1931" s="28" t="n">
        <f aca="false">AJ1931*$M1931</f>
        <v>0</v>
      </c>
      <c r="AL1931" s="28"/>
      <c r="AM1931" s="28" t="n">
        <f aca="false">AL1931*$M1931</f>
        <v>0</v>
      </c>
      <c r="AN1931" s="28"/>
      <c r="AO1931" s="28" t="n">
        <f aca="false">AN1931*$M1931</f>
        <v>0</v>
      </c>
      <c r="AP1931" s="28"/>
      <c r="AQ1931" s="28" t="n">
        <f aca="false">AP1931*$M1931</f>
        <v>0</v>
      </c>
      <c r="AR1931" s="28"/>
      <c r="AS1931" s="28" t="n">
        <f aca="false">AR1931*$M1931</f>
        <v>0</v>
      </c>
      <c r="AT1931" s="28"/>
      <c r="AU1931" s="28" t="n">
        <f aca="false">AT1931*$M1931</f>
        <v>0</v>
      </c>
      <c r="AV1931" s="28"/>
      <c r="AW1931" s="28" t="n">
        <f aca="false">AV1931*$M1931</f>
        <v>0</v>
      </c>
      <c r="AX1931" s="28"/>
      <c r="AY1931" s="28" t="n">
        <f aca="false">AX1931*$M1931</f>
        <v>0</v>
      </c>
      <c r="AZ1931" s="30" t="n">
        <f aca="false">13174/100</f>
        <v>131.74</v>
      </c>
      <c r="BA1931" s="11" t="n">
        <v>31618</v>
      </c>
      <c r="BB1931" s="31" t="n">
        <f aca="false">SUM(Q1931,S1931,U1931,W1931,Y1931,AA1931,AC1931,AE1931,AG1931,AI1931,AK1931,AM1931,AO1931,AQ1931,AS1931,AU1931,AW1931,AY1931)</f>
        <v>31618</v>
      </c>
      <c r="BC1931" s="28" t="n">
        <f aca="false">BA1931-BB1931</f>
        <v>0</v>
      </c>
      <c r="BD1931" s="32" t="n">
        <f aca="false">SUM(P1931,R1931,T1931,V1931,X1931,Z1931,AB1931,AD1931,AF1931,AH1931,AJ1931,AL1931,AN1931,AP1931,AR1931,AT1931,AV1931,AX1931)</f>
        <v>131.74</v>
      </c>
      <c r="BE1931" s="33" t="n">
        <f aca="false">AZ1931-BD1931</f>
        <v>0</v>
      </c>
      <c r="BF1931" s="34" t="n">
        <f aca="false">BD1931*M1931</f>
        <v>31617.6</v>
      </c>
      <c r="BG1931" s="35" t="n">
        <f aca="false">BA1931-BF1931</f>
        <v>0.399999999997817</v>
      </c>
      <c r="BH1931" s="19" t="str">
        <f aca="false">IF(BG1931=0,"",IF(BG1931&lt;&gt;BA1931,"erreur de calcul",IF(BD1931&lt;&gt;0,"pas de prix",IF(M1931&lt;&gt; 0,"pas de quantité","pas de prix, ni de quantité"))))</f>
        <v>erreur de calcul</v>
      </c>
      <c r="BI1931" s="19"/>
    </row>
    <row r="1932" customFormat="false" ht="15" hidden="false" customHeight="false" outlineLevel="0" collapsed="false">
      <c r="A1932" s="0" t="n">
        <v>11</v>
      </c>
      <c r="B1932" s="8" t="s">
        <v>24</v>
      </c>
      <c r="C1932" s="9" t="s">
        <v>25</v>
      </c>
      <c r="D1932" s="9" t="s">
        <v>26</v>
      </c>
      <c r="E1932" s="10" t="n">
        <v>1789</v>
      </c>
      <c r="F1932" s="9" t="s">
        <v>27</v>
      </c>
      <c r="G1932" s="9" t="s">
        <v>27</v>
      </c>
      <c r="H1932" s="11" t="n">
        <v>23</v>
      </c>
      <c r="I1932" s="11" t="s">
        <v>253</v>
      </c>
      <c r="J1932" s="14" t="n">
        <v>190</v>
      </c>
      <c r="K1932" s="14"/>
      <c r="L1932" s="16"/>
      <c r="M1932" s="27" t="n">
        <f aca="false">J1932+(K1932/20)+(L1932/240)</f>
        <v>190</v>
      </c>
      <c r="N1932" s="17" t="s">
        <v>64</v>
      </c>
      <c r="O1932" s="11"/>
      <c r="P1932" s="28"/>
      <c r="Q1932" s="28" t="n">
        <f aca="false">P1932*$M1932</f>
        <v>0</v>
      </c>
      <c r="R1932" s="28"/>
      <c r="S1932" s="28" t="n">
        <f aca="false">R1932*$M1932</f>
        <v>0</v>
      </c>
      <c r="T1932" s="28"/>
      <c r="U1932" s="28" t="n">
        <f aca="false">T1932*$M1932</f>
        <v>0</v>
      </c>
      <c r="V1932" s="28" t="n">
        <f aca="false">14963/100</f>
        <v>149.63</v>
      </c>
      <c r="W1932" s="36" t="n">
        <v>28420</v>
      </c>
      <c r="X1932" s="28"/>
      <c r="Y1932" s="28" t="n">
        <f aca="false">X1932*$M1932</f>
        <v>0</v>
      </c>
      <c r="Z1932" s="28"/>
      <c r="AA1932" s="28" t="n">
        <f aca="false">Z1932*$M1932</f>
        <v>0</v>
      </c>
      <c r="AB1932" s="28"/>
      <c r="AC1932" s="28" t="n">
        <f aca="false">AB1932*$M1932</f>
        <v>0</v>
      </c>
      <c r="AD1932" s="28"/>
      <c r="AE1932" s="28" t="n">
        <f aca="false">AD1932*$M1932</f>
        <v>0</v>
      </c>
      <c r="AF1932" s="28"/>
      <c r="AG1932" s="28" t="n">
        <f aca="false">AF1932*$M1932</f>
        <v>0</v>
      </c>
      <c r="AH1932" s="28"/>
      <c r="AI1932" s="28" t="n">
        <f aca="false">AH1932*$M1932</f>
        <v>0</v>
      </c>
      <c r="AJ1932" s="28"/>
      <c r="AK1932" s="28" t="n">
        <f aca="false">AJ1932*$M1932</f>
        <v>0</v>
      </c>
      <c r="AL1932" s="28"/>
      <c r="AM1932" s="28" t="n">
        <f aca="false">AL1932*$M1932</f>
        <v>0</v>
      </c>
      <c r="AN1932" s="28"/>
      <c r="AO1932" s="28" t="n">
        <f aca="false">AN1932*$M1932</f>
        <v>0</v>
      </c>
      <c r="AP1932" s="28"/>
      <c r="AQ1932" s="28" t="n">
        <f aca="false">AP1932*$M1932</f>
        <v>0</v>
      </c>
      <c r="AR1932" s="28"/>
      <c r="AS1932" s="28" t="n">
        <f aca="false">AR1932*$M1932</f>
        <v>0</v>
      </c>
      <c r="AT1932" s="28"/>
      <c r="AU1932" s="28" t="n">
        <f aca="false">AT1932*$M1932</f>
        <v>0</v>
      </c>
      <c r="AV1932" s="28"/>
      <c r="AW1932" s="28" t="n">
        <f aca="false">AV1932*$M1932</f>
        <v>0</v>
      </c>
      <c r="AX1932" s="28"/>
      <c r="AY1932" s="28" t="n">
        <f aca="false">AX1932*$M1932</f>
        <v>0</v>
      </c>
      <c r="AZ1932" s="30" t="n">
        <f aca="false">14963/100</f>
        <v>149.63</v>
      </c>
      <c r="BA1932" s="11" t="n">
        <v>28420</v>
      </c>
      <c r="BB1932" s="31" t="n">
        <f aca="false">SUM(Q1932,S1932,U1932,W1932,Y1932,AA1932,AC1932,AE1932,AG1932,AI1932,AK1932,AM1932,AO1932,AQ1932,AS1932,AU1932,AW1932,AY1932)</f>
        <v>28420</v>
      </c>
      <c r="BC1932" s="28" t="n">
        <f aca="false">BA1932-BB1932</f>
        <v>0</v>
      </c>
      <c r="BD1932" s="32" t="n">
        <f aca="false">SUM(P1932,R1932,T1932,V1932,X1932,Z1932,AB1932,AD1932,AF1932,AH1932,AJ1932,AL1932,AN1932,AP1932,AR1932,AT1932,AV1932,AX1932)</f>
        <v>149.63</v>
      </c>
      <c r="BE1932" s="33" t="n">
        <f aca="false">AZ1932-BD1932</f>
        <v>0</v>
      </c>
      <c r="BF1932" s="34" t="n">
        <f aca="false">BD1932*M1932</f>
        <v>28429.7</v>
      </c>
      <c r="BG1932" s="35" t="n">
        <f aca="false">BA1932-BF1932</f>
        <v>-9.70000000000073</v>
      </c>
      <c r="BH1932" s="19" t="str">
        <f aca="false">IF(BG1932=0,"",IF(BG1932&lt;&gt;BA1932,"erreur de calcul",IF(BD1932&lt;&gt;0,"pas de prix",IF(M1932&lt;&gt; 0,"pas de quantité","pas de prix, ni de quantité"))))</f>
        <v>erreur de calcul</v>
      </c>
      <c r="BI1932" s="19"/>
    </row>
    <row r="1933" customFormat="false" ht="15" hidden="false" customHeight="false" outlineLevel="0" collapsed="false">
      <c r="A1933" s="0" t="n">
        <v>12</v>
      </c>
      <c r="B1933" s="8" t="s">
        <v>24</v>
      </c>
      <c r="C1933" s="9" t="s">
        <v>25</v>
      </c>
      <c r="D1933" s="9" t="s">
        <v>26</v>
      </c>
      <c r="E1933" s="10" t="n">
        <v>1789</v>
      </c>
      <c r="F1933" s="9" t="s">
        <v>27</v>
      </c>
      <c r="G1933" s="9" t="s">
        <v>27</v>
      </c>
      <c r="H1933" s="11" t="n">
        <v>23</v>
      </c>
      <c r="I1933" s="11" t="s">
        <v>254</v>
      </c>
      <c r="J1933" s="14" t="n">
        <v>14</v>
      </c>
      <c r="K1933" s="14"/>
      <c r="L1933" s="16"/>
      <c r="M1933" s="27" t="n">
        <f aca="false">J1933+(K1933/20)+(L1933/240)</f>
        <v>14</v>
      </c>
      <c r="N1933" s="17" t="s">
        <v>64</v>
      </c>
      <c r="O1933" s="11"/>
      <c r="P1933" s="28"/>
      <c r="Q1933" s="28" t="n">
        <f aca="false">P1933*$M1933</f>
        <v>0</v>
      </c>
      <c r="R1933" s="28"/>
      <c r="S1933" s="28" t="n">
        <f aca="false">R1933*$M1933</f>
        <v>0</v>
      </c>
      <c r="T1933" s="28"/>
      <c r="U1933" s="28" t="n">
        <f aca="false">T1933*$M1933</f>
        <v>0</v>
      </c>
      <c r="V1933" s="28"/>
      <c r="W1933" s="28" t="n">
        <f aca="false">V1933*$M1933</f>
        <v>0</v>
      </c>
      <c r="X1933" s="28" t="n">
        <f aca="false">445483/100</f>
        <v>4454.83</v>
      </c>
      <c r="Y1933" s="28" t="n">
        <v>62368</v>
      </c>
      <c r="Z1933" s="28"/>
      <c r="AA1933" s="28" t="n">
        <f aca="false">Z1933*$M1933</f>
        <v>0</v>
      </c>
      <c r="AB1933" s="28"/>
      <c r="AC1933" s="28" t="n">
        <f aca="false">AB1933*$M1933</f>
        <v>0</v>
      </c>
      <c r="AD1933" s="28"/>
      <c r="AE1933" s="28" t="n">
        <f aca="false">AD1933*$M1933</f>
        <v>0</v>
      </c>
      <c r="AF1933" s="28"/>
      <c r="AG1933" s="28" t="n">
        <f aca="false">AF1933*$M1933</f>
        <v>0</v>
      </c>
      <c r="AH1933" s="28"/>
      <c r="AI1933" s="28" t="n">
        <f aca="false">AH1933*$M1933</f>
        <v>0</v>
      </c>
      <c r="AJ1933" s="28"/>
      <c r="AK1933" s="28" t="n">
        <f aca="false">AJ1933*$M1933</f>
        <v>0</v>
      </c>
      <c r="AL1933" s="28"/>
      <c r="AM1933" s="28" t="n">
        <f aca="false">AL1933*$M1933</f>
        <v>0</v>
      </c>
      <c r="AN1933" s="28"/>
      <c r="AO1933" s="28" t="n">
        <f aca="false">AN1933*$M1933</f>
        <v>0</v>
      </c>
      <c r="AP1933" s="28"/>
      <c r="AQ1933" s="28" t="n">
        <f aca="false">AP1933*$M1933</f>
        <v>0</v>
      </c>
      <c r="AR1933" s="28"/>
      <c r="AS1933" s="28" t="n">
        <f aca="false">AR1933*$M1933</f>
        <v>0</v>
      </c>
      <c r="AT1933" s="28"/>
      <c r="AU1933" s="28" t="n">
        <f aca="false">AT1933*$M1933</f>
        <v>0</v>
      </c>
      <c r="AV1933" s="28"/>
      <c r="AW1933" s="28" t="n">
        <f aca="false">AV1933*$M1933</f>
        <v>0</v>
      </c>
      <c r="AX1933" s="28"/>
      <c r="AY1933" s="28" t="n">
        <f aca="false">AX1933*$M1933</f>
        <v>0</v>
      </c>
      <c r="AZ1933" s="30" t="n">
        <f aca="false">445483/100</f>
        <v>4454.83</v>
      </c>
      <c r="BA1933" s="11" t="n">
        <v>62368</v>
      </c>
      <c r="BB1933" s="31" t="n">
        <f aca="false">SUM(Q1933,S1933,U1933,W1933,Y1933,AA1933,AC1933,AE1933,AG1933,AI1933,AK1933,AM1933,AO1933,AQ1933,AS1933,AU1933,AW1933,AY1933)</f>
        <v>62368</v>
      </c>
      <c r="BC1933" s="28" t="n">
        <f aca="false">BA1933-BB1933</f>
        <v>0</v>
      </c>
      <c r="BD1933" s="32" t="n">
        <f aca="false">SUM(P1933,R1933,T1933,V1933,X1933,Z1933,AB1933,AD1933,AF1933,AH1933,AJ1933,AL1933,AN1933,AP1933,AR1933,AT1933,AV1933,AX1933)</f>
        <v>4454.83</v>
      </c>
      <c r="BE1933" s="33" t="n">
        <f aca="false">AZ1933-BD1933</f>
        <v>0</v>
      </c>
      <c r="BF1933" s="34" t="n">
        <f aca="false">BD1933*M1933</f>
        <v>62367.62</v>
      </c>
      <c r="BG1933" s="35" t="n">
        <f aca="false">BA1933-BF1933</f>
        <v>0.380000000004657</v>
      </c>
      <c r="BH1933" s="19" t="str">
        <f aca="false">IF(BG1933=0,"",IF(BG1933&lt;&gt;BA1933,"erreur de calcul",IF(BD1933&lt;&gt;0,"pas de prix",IF(M1933&lt;&gt; 0,"pas de quantité","pas de prix, ni de quantité"))))</f>
        <v>erreur de calcul</v>
      </c>
      <c r="BI1933" s="19"/>
    </row>
    <row r="1934" customFormat="false" ht="15" hidden="false" customHeight="false" outlineLevel="0" collapsed="false">
      <c r="A1934" s="0" t="n">
        <v>13</v>
      </c>
      <c r="B1934" s="8" t="s">
        <v>24</v>
      </c>
      <c r="C1934" s="9" t="s">
        <v>25</v>
      </c>
      <c r="D1934" s="9" t="s">
        <v>26</v>
      </c>
      <c r="E1934" s="10" t="n">
        <v>1789</v>
      </c>
      <c r="F1934" s="9" t="s">
        <v>27</v>
      </c>
      <c r="G1934" s="9" t="s">
        <v>27</v>
      </c>
      <c r="H1934" s="11" t="n">
        <v>23</v>
      </c>
      <c r="I1934" s="11" t="s">
        <v>255</v>
      </c>
      <c r="J1934" s="14" t="n">
        <v>6</v>
      </c>
      <c r="K1934" s="14"/>
      <c r="L1934" s="16"/>
      <c r="M1934" s="27" t="n">
        <f aca="false">J1934+(K1934/20)+(L1934/240)</f>
        <v>6</v>
      </c>
      <c r="N1934" s="17" t="s">
        <v>64</v>
      </c>
      <c r="O1934" s="11"/>
      <c r="P1934" s="28"/>
      <c r="Q1934" s="28" t="n">
        <f aca="false">P1934*$M1934</f>
        <v>0</v>
      </c>
      <c r="R1934" s="28"/>
      <c r="S1934" s="28" t="n">
        <f aca="false">R1934*$M1934</f>
        <v>0</v>
      </c>
      <c r="T1934" s="28"/>
      <c r="U1934" s="28" t="n">
        <f aca="false">T1934*$M1934</f>
        <v>0</v>
      </c>
      <c r="V1934" s="28" t="n">
        <f aca="false">8263/100</f>
        <v>82.63</v>
      </c>
      <c r="W1934" s="28" t="n">
        <v>496</v>
      </c>
      <c r="X1934" s="28"/>
      <c r="Y1934" s="28" t="n">
        <f aca="false">X1934*$M1934</f>
        <v>0</v>
      </c>
      <c r="Z1934" s="28" t="n">
        <f aca="false">62695/100</f>
        <v>626.95</v>
      </c>
      <c r="AA1934" s="28" t="n">
        <v>3762</v>
      </c>
      <c r="AB1934" s="28"/>
      <c r="AC1934" s="28" t="n">
        <f aca="false">AB1934*$M1934</f>
        <v>0</v>
      </c>
      <c r="AD1934" s="28"/>
      <c r="AE1934" s="28" t="n">
        <f aca="false">AD1934*$M1934</f>
        <v>0</v>
      </c>
      <c r="AF1934" s="28"/>
      <c r="AG1934" s="28" t="n">
        <f aca="false">AF1934*$M1934</f>
        <v>0</v>
      </c>
      <c r="AH1934" s="28"/>
      <c r="AI1934" s="28" t="n">
        <f aca="false">AH1934*$M1934</f>
        <v>0</v>
      </c>
      <c r="AJ1934" s="28"/>
      <c r="AK1934" s="28" t="n">
        <f aca="false">AJ1934*$M1934</f>
        <v>0</v>
      </c>
      <c r="AL1934" s="28"/>
      <c r="AM1934" s="28" t="n">
        <f aca="false">AL1934*$M1934</f>
        <v>0</v>
      </c>
      <c r="AN1934" s="28"/>
      <c r="AO1934" s="28" t="n">
        <f aca="false">AN1934*$M1934</f>
        <v>0</v>
      </c>
      <c r="AP1934" s="28"/>
      <c r="AQ1934" s="28" t="n">
        <f aca="false">AP1934*$M1934</f>
        <v>0</v>
      </c>
      <c r="AR1934" s="28"/>
      <c r="AS1934" s="28" t="n">
        <f aca="false">AR1934*$M1934</f>
        <v>0</v>
      </c>
      <c r="AT1934" s="28"/>
      <c r="AU1934" s="28" t="n">
        <f aca="false">AT1934*$M1934</f>
        <v>0</v>
      </c>
      <c r="AV1934" s="28"/>
      <c r="AW1934" s="28" t="n">
        <f aca="false">AV1934*$M1934</f>
        <v>0</v>
      </c>
      <c r="AX1934" s="28"/>
      <c r="AY1934" s="28" t="n">
        <f aca="false">AX1934*$M1934</f>
        <v>0</v>
      </c>
      <c r="AZ1934" s="30" t="n">
        <f aca="false">70958/100</f>
        <v>709.58</v>
      </c>
      <c r="BA1934" s="11" t="n">
        <v>4258</v>
      </c>
      <c r="BB1934" s="31" t="n">
        <f aca="false">SUM(Q1934,S1934,U1934,W1934,Y1934,AA1934,AC1934,AE1934,AG1934,AI1934,AK1934,AM1934,AO1934,AQ1934,AS1934,AU1934,AW1934,AY1934)</f>
        <v>4258</v>
      </c>
      <c r="BC1934" s="28" t="n">
        <f aca="false">BA1934-BB1934</f>
        <v>0</v>
      </c>
      <c r="BD1934" s="32" t="n">
        <f aca="false">SUM(P1934,R1934,T1934,V1934,X1934,Z1934,AB1934,AD1934,AF1934,AH1934,AJ1934,AL1934,AN1934,AP1934,AR1934,AT1934,AV1934,AX1934)</f>
        <v>709.58</v>
      </c>
      <c r="BE1934" s="33" t="n">
        <f aca="false">AZ1934-BD1934</f>
        <v>0</v>
      </c>
      <c r="BF1934" s="34" t="n">
        <f aca="false">BD1934*M1934</f>
        <v>4257.48</v>
      </c>
      <c r="BG1934" s="35" t="n">
        <f aca="false">BA1934-BF1934</f>
        <v>0.519999999999527</v>
      </c>
      <c r="BH1934" s="19" t="str">
        <f aca="false">IF(BG1934=0,"",IF(BG1934&lt;&gt;BA1934,"erreur de calcul",IF(BD1934&lt;&gt;0,"pas de prix",IF(M1934&lt;&gt; 0,"pas de quantité","pas de prix, ni de quantité"))))</f>
        <v>erreur de calcul</v>
      </c>
      <c r="BI1934" s="19"/>
    </row>
    <row r="1935" customFormat="false" ht="15" hidden="false" customHeight="false" outlineLevel="0" collapsed="false">
      <c r="A1935" s="0" t="n">
        <v>14</v>
      </c>
      <c r="B1935" s="8" t="s">
        <v>24</v>
      </c>
      <c r="C1935" s="9" t="s">
        <v>25</v>
      </c>
      <c r="D1935" s="9" t="s">
        <v>26</v>
      </c>
      <c r="E1935" s="10" t="n">
        <v>1789</v>
      </c>
      <c r="F1935" s="9" t="s">
        <v>27</v>
      </c>
      <c r="G1935" s="9" t="s">
        <v>27</v>
      </c>
      <c r="H1935" s="11" t="n">
        <v>23</v>
      </c>
      <c r="I1935" s="11" t="s">
        <v>256</v>
      </c>
      <c r="J1935" s="14" t="n">
        <v>30</v>
      </c>
      <c r="K1935" s="14"/>
      <c r="L1935" s="16"/>
      <c r="M1935" s="27" t="n">
        <f aca="false">J1935+(K1935/20)+(L1935/240)</f>
        <v>30</v>
      </c>
      <c r="N1935" s="17" t="s">
        <v>64</v>
      </c>
      <c r="O1935" s="11"/>
      <c r="P1935" s="28" t="n">
        <f aca="false">1584/100</f>
        <v>15.84</v>
      </c>
      <c r="Q1935" s="28" t="n">
        <v>475</v>
      </c>
      <c r="R1935" s="28"/>
      <c r="S1935" s="28" t="n">
        <f aca="false">R1935*$M1935</f>
        <v>0</v>
      </c>
      <c r="T1935" s="28" t="n">
        <f aca="false">78834/100</f>
        <v>788.34</v>
      </c>
      <c r="U1935" s="28" t="n">
        <v>23650</v>
      </c>
      <c r="V1935" s="28"/>
      <c r="W1935" s="28" t="n">
        <f aca="false">V1935*$M1935</f>
        <v>0</v>
      </c>
      <c r="X1935" s="28"/>
      <c r="Y1935" s="28" t="n">
        <f aca="false">X1935*$M1935</f>
        <v>0</v>
      </c>
      <c r="Z1935" s="28"/>
      <c r="AA1935" s="28" t="n">
        <f aca="false">Z1935*$M1935</f>
        <v>0</v>
      </c>
      <c r="AB1935" s="28"/>
      <c r="AC1935" s="28" t="n">
        <f aca="false">AB1935*$M1935</f>
        <v>0</v>
      </c>
      <c r="AD1935" s="28"/>
      <c r="AE1935" s="28" t="n">
        <f aca="false">AD1935*$M1935</f>
        <v>0</v>
      </c>
      <c r="AF1935" s="28"/>
      <c r="AG1935" s="28" t="n">
        <f aca="false">AF1935*$M1935</f>
        <v>0</v>
      </c>
      <c r="AH1935" s="28"/>
      <c r="AI1935" s="28" t="n">
        <f aca="false">AH1935*$M1935</f>
        <v>0</v>
      </c>
      <c r="AJ1935" s="28"/>
      <c r="AK1935" s="28" t="n">
        <f aca="false">AJ1935*$M1935</f>
        <v>0</v>
      </c>
      <c r="AL1935" s="28"/>
      <c r="AM1935" s="28" t="n">
        <f aca="false">AL1935*$M1935</f>
        <v>0</v>
      </c>
      <c r="AN1935" s="28"/>
      <c r="AO1935" s="28" t="n">
        <f aca="false">AN1935*$M1935</f>
        <v>0</v>
      </c>
      <c r="AP1935" s="28"/>
      <c r="AQ1935" s="28" t="n">
        <f aca="false">AP1935*$M1935</f>
        <v>0</v>
      </c>
      <c r="AR1935" s="28"/>
      <c r="AS1935" s="28" t="n">
        <f aca="false">AR1935*$M1935</f>
        <v>0</v>
      </c>
      <c r="AT1935" s="28"/>
      <c r="AU1935" s="28" t="n">
        <f aca="false">AT1935*$M1935</f>
        <v>0</v>
      </c>
      <c r="AV1935" s="28"/>
      <c r="AW1935" s="28" t="n">
        <f aca="false">AV1935*$M1935</f>
        <v>0</v>
      </c>
      <c r="AX1935" s="28"/>
      <c r="AY1935" s="28" t="n">
        <f aca="false">AX1935*$M1935</f>
        <v>0</v>
      </c>
      <c r="AZ1935" s="30" t="n">
        <f aca="false">80418/100</f>
        <v>804.18</v>
      </c>
      <c r="BA1935" s="11" t="n">
        <v>24125</v>
      </c>
      <c r="BB1935" s="31" t="n">
        <f aca="false">SUM(Q1935,S1935,U1935,W1935,Y1935,AA1935,AC1935,AE1935,AG1935,AI1935,AK1935,AM1935,AO1935,AQ1935,AS1935,AU1935,AW1935,AY1935)</f>
        <v>24125</v>
      </c>
      <c r="BC1935" s="28" t="n">
        <f aca="false">BA1935-BB1935</f>
        <v>0</v>
      </c>
      <c r="BD1935" s="32" t="n">
        <f aca="false">SUM(P1935,R1935,T1935,V1935,X1935,Z1935,AB1935,AD1935,AF1935,AH1935,AJ1935,AL1935,AN1935,AP1935,AR1935,AT1935,AV1935,AX1935)</f>
        <v>804.18</v>
      </c>
      <c r="BE1935" s="33" t="n">
        <f aca="false">AZ1935-BD1935</f>
        <v>0</v>
      </c>
      <c r="BF1935" s="34" t="n">
        <f aca="false">BD1935*M1935</f>
        <v>24125.4</v>
      </c>
      <c r="BG1935" s="35" t="n">
        <f aca="false">BA1935-BF1935</f>
        <v>-0.400000000001455</v>
      </c>
      <c r="BH1935" s="19" t="str">
        <f aca="false">IF(BG1935=0,"",IF(BG1935&lt;&gt;BA1935,"erreur de calcul",IF(BD1935&lt;&gt;0,"pas de prix",IF(M1935&lt;&gt; 0,"pas de quantité","pas de prix, ni de quantité"))))</f>
        <v>erreur de calcul</v>
      </c>
      <c r="BI1935" s="19"/>
    </row>
    <row r="1936" customFormat="false" ht="15" hidden="false" customHeight="false" outlineLevel="0" collapsed="false">
      <c r="A1936" s="0" t="n">
        <v>15</v>
      </c>
      <c r="B1936" s="8" t="s">
        <v>24</v>
      </c>
      <c r="C1936" s="9" t="s">
        <v>25</v>
      </c>
      <c r="D1936" s="9" t="s">
        <v>26</v>
      </c>
      <c r="E1936" s="10" t="n">
        <v>1789</v>
      </c>
      <c r="F1936" s="9" t="s">
        <v>27</v>
      </c>
      <c r="G1936" s="9" t="s">
        <v>27</v>
      </c>
      <c r="H1936" s="11" t="n">
        <v>23</v>
      </c>
      <c r="I1936" s="11" t="s">
        <v>257</v>
      </c>
      <c r="J1936" s="14" t="n">
        <v>40</v>
      </c>
      <c r="K1936" s="14"/>
      <c r="L1936" s="16"/>
      <c r="M1936" s="27" t="n">
        <f aca="false">J1936+(K1936/20)+(L1936/240)</f>
        <v>40</v>
      </c>
      <c r="N1936" s="17" t="s">
        <v>64</v>
      </c>
      <c r="O1936" s="11"/>
      <c r="P1936" s="28"/>
      <c r="Q1936" s="28" t="n">
        <f aca="false">P1936*$M1936</f>
        <v>0</v>
      </c>
      <c r="R1936" s="28"/>
      <c r="S1936" s="28" t="n">
        <f aca="false">R1936*$M1936</f>
        <v>0</v>
      </c>
      <c r="T1936" s="28"/>
      <c r="U1936" s="28" t="n">
        <f aca="false">T1936*$M1936</f>
        <v>0</v>
      </c>
      <c r="V1936" s="28"/>
      <c r="W1936" s="28" t="n">
        <f aca="false">V1936*$M1936</f>
        <v>0</v>
      </c>
      <c r="X1936" s="28"/>
      <c r="Y1936" s="28" t="n">
        <f aca="false">X1936*$M1936</f>
        <v>0</v>
      </c>
      <c r="Z1936" s="28"/>
      <c r="AA1936" s="28" t="n">
        <f aca="false">Z1936*$M1936</f>
        <v>0</v>
      </c>
      <c r="AB1936" s="28"/>
      <c r="AC1936" s="28" t="n">
        <f aca="false">AB1936*$M1936</f>
        <v>0</v>
      </c>
      <c r="AD1936" s="28"/>
      <c r="AE1936" s="28" t="n">
        <f aca="false">AD1936*$M1936</f>
        <v>0</v>
      </c>
      <c r="AF1936" s="28"/>
      <c r="AG1936" s="28" t="n">
        <f aca="false">AF1936*$M1936</f>
        <v>0</v>
      </c>
      <c r="AH1936" s="28"/>
      <c r="AI1936" s="28" t="n">
        <f aca="false">AH1936*$M1936</f>
        <v>0</v>
      </c>
      <c r="AJ1936" s="28" t="n">
        <f aca="false">784564/100</f>
        <v>7845.64</v>
      </c>
      <c r="AK1936" s="28" t="n">
        <v>313826</v>
      </c>
      <c r="AL1936" s="28" t="n">
        <f aca="false">33500/100</f>
        <v>335</v>
      </c>
      <c r="AM1936" s="28" t="n">
        <v>13400</v>
      </c>
      <c r="AN1936" s="28"/>
      <c r="AO1936" s="28" t="n">
        <f aca="false">AN1936*$M1936</f>
        <v>0</v>
      </c>
      <c r="AP1936" s="28"/>
      <c r="AQ1936" s="28" t="n">
        <f aca="false">AP1936*$M1936</f>
        <v>0</v>
      </c>
      <c r="AR1936" s="28"/>
      <c r="AS1936" s="28" t="n">
        <f aca="false">AR1936*$M1936</f>
        <v>0</v>
      </c>
      <c r="AT1936" s="28"/>
      <c r="AU1936" s="28" t="n">
        <f aca="false">AT1936*$M1936</f>
        <v>0</v>
      </c>
      <c r="AV1936" s="28"/>
      <c r="AW1936" s="28" t="n">
        <f aca="false">AV1936*$M1936</f>
        <v>0</v>
      </c>
      <c r="AX1936" s="28"/>
      <c r="AY1936" s="28" t="n">
        <f aca="false">AX1936*$M1936</f>
        <v>0</v>
      </c>
      <c r="AZ1936" s="30" t="n">
        <f aca="false">818064/100</f>
        <v>8180.64</v>
      </c>
      <c r="BA1936" s="11" t="n">
        <v>327226</v>
      </c>
      <c r="BB1936" s="31" t="n">
        <f aca="false">SUM(Q1936,S1936,U1936,W1936,Y1936,AA1936,AC1936,AE1936,AG1936,AI1936,AK1936,AM1936,AO1936,AQ1936,AS1936,AU1936,AW1936,AY1936)</f>
        <v>327226</v>
      </c>
      <c r="BC1936" s="28" t="n">
        <f aca="false">BA1936-BB1936</f>
        <v>0</v>
      </c>
      <c r="BD1936" s="32" t="n">
        <f aca="false">SUM(P1936,R1936,T1936,V1936,X1936,Z1936,AB1936,AD1936,AF1936,AH1936,AJ1936,AL1936,AN1936,AP1936,AR1936,AT1936,AV1936,AX1936)</f>
        <v>8180.64</v>
      </c>
      <c r="BE1936" s="33" t="n">
        <f aca="false">AZ1936-BD1936</f>
        <v>0</v>
      </c>
      <c r="BF1936" s="34" t="n">
        <f aca="false">BD1936*M1936</f>
        <v>327225.6</v>
      </c>
      <c r="BG1936" s="35" t="n">
        <f aca="false">BA1936-BF1936</f>
        <v>0.399999999965075</v>
      </c>
      <c r="BH1936" s="19" t="str">
        <f aca="false">IF(BG1936=0,"",IF(BG1936&lt;&gt;BA1936,"erreur de calcul",IF(BD1936&lt;&gt;0,"pas de prix",IF(M1936&lt;&gt; 0,"pas de quantité","pas de prix, ni de quantité"))))</f>
        <v>erreur de calcul</v>
      </c>
      <c r="BI1936" s="19"/>
    </row>
    <row r="1937" customFormat="false" ht="15" hidden="false" customHeight="false" outlineLevel="0" collapsed="false">
      <c r="A1937" s="0" t="n">
        <v>16</v>
      </c>
      <c r="B1937" s="8" t="s">
        <v>24</v>
      </c>
      <c r="C1937" s="9" t="s">
        <v>25</v>
      </c>
      <c r="D1937" s="9" t="s">
        <v>26</v>
      </c>
      <c r="E1937" s="10" t="n">
        <v>1789</v>
      </c>
      <c r="F1937" s="9" t="s">
        <v>27</v>
      </c>
      <c r="G1937" s="9" t="s">
        <v>27</v>
      </c>
      <c r="H1937" s="11" t="n">
        <v>23</v>
      </c>
      <c r="I1937" s="11" t="s">
        <v>258</v>
      </c>
      <c r="J1937" s="14" t="n">
        <v>75</v>
      </c>
      <c r="K1937" s="14"/>
      <c r="L1937" s="16"/>
      <c r="M1937" s="27" t="n">
        <f aca="false">J1937+(K1937/20)+(L1937/240)</f>
        <v>75</v>
      </c>
      <c r="N1937" s="17" t="s">
        <v>64</v>
      </c>
      <c r="O1937" s="11"/>
      <c r="P1937" s="28"/>
      <c r="Q1937" s="28" t="n">
        <f aca="false">P1937*$M1937</f>
        <v>0</v>
      </c>
      <c r="R1937" s="28"/>
      <c r="S1937" s="28" t="n">
        <f aca="false">R1937*$M1937</f>
        <v>0</v>
      </c>
      <c r="T1937" s="28" t="n">
        <f aca="false">1000/100</f>
        <v>10</v>
      </c>
      <c r="U1937" s="28" t="n">
        <v>750</v>
      </c>
      <c r="V1937" s="28" t="n">
        <f aca="false">17232/100</f>
        <v>172.32</v>
      </c>
      <c r="W1937" s="28" t="n">
        <v>12924</v>
      </c>
      <c r="X1937" s="28" t="n">
        <f aca="false">942/100</f>
        <v>9.42</v>
      </c>
      <c r="Y1937" s="28" t="n">
        <v>706</v>
      </c>
      <c r="Z1937" s="28"/>
      <c r="AA1937" s="28" t="n">
        <f aca="false">Z1937*$M1937</f>
        <v>0</v>
      </c>
      <c r="AB1937" s="28" t="n">
        <f aca="false">415/100</f>
        <v>4.15</v>
      </c>
      <c r="AC1937" s="28" t="n">
        <v>311</v>
      </c>
      <c r="AD1937" s="28"/>
      <c r="AE1937" s="28" t="n">
        <f aca="false">AD1937*$M1937</f>
        <v>0</v>
      </c>
      <c r="AF1937" s="28"/>
      <c r="AG1937" s="28" t="n">
        <f aca="false">AF1937*$M1937</f>
        <v>0</v>
      </c>
      <c r="AH1937" s="28"/>
      <c r="AI1937" s="28" t="n">
        <f aca="false">AH1937*$M1937</f>
        <v>0</v>
      </c>
      <c r="AJ1937" s="28"/>
      <c r="AK1937" s="28" t="n">
        <f aca="false">AJ1937*$M1937</f>
        <v>0</v>
      </c>
      <c r="AL1937" s="28"/>
      <c r="AM1937" s="28" t="n">
        <f aca="false">AL1937*$M1937</f>
        <v>0</v>
      </c>
      <c r="AN1937" s="28"/>
      <c r="AO1937" s="28" t="n">
        <f aca="false">AN1937*$M1937</f>
        <v>0</v>
      </c>
      <c r="AP1937" s="28"/>
      <c r="AQ1937" s="28" t="n">
        <f aca="false">AP1937*$M1937</f>
        <v>0</v>
      </c>
      <c r="AR1937" s="28"/>
      <c r="AS1937" s="28" t="n">
        <f aca="false">AR1937*$M1937</f>
        <v>0</v>
      </c>
      <c r="AT1937" s="28"/>
      <c r="AU1937" s="28" t="n">
        <f aca="false">AT1937*$M1937</f>
        <v>0</v>
      </c>
      <c r="AV1937" s="28"/>
      <c r="AW1937" s="28" t="n">
        <f aca="false">AV1937*$M1937</f>
        <v>0</v>
      </c>
      <c r="AX1937" s="28"/>
      <c r="AY1937" s="28" t="n">
        <f aca="false">AX1937*$M1937</f>
        <v>0</v>
      </c>
      <c r="AZ1937" s="30" t="n">
        <f aca="false">19589/100</f>
        <v>195.89</v>
      </c>
      <c r="BA1937" s="11" t="n">
        <v>14691</v>
      </c>
      <c r="BB1937" s="31" t="n">
        <f aca="false">SUM(Q1937,S1937,U1937,W1937,Y1937,AA1937,AC1937,AE1937,AG1937,AI1937,AK1937,AM1937,AO1937,AQ1937,AS1937,AU1937,AW1937,AY1937)</f>
        <v>14691</v>
      </c>
      <c r="BC1937" s="28" t="n">
        <f aca="false">BA1937-BB1937</f>
        <v>0</v>
      </c>
      <c r="BD1937" s="32" t="n">
        <f aca="false">SUM(P1937,R1937,T1937,V1937,X1937,Z1937,AB1937,AD1937,AF1937,AH1937,AJ1937,AL1937,AN1937,AP1937,AR1937,AT1937,AV1937,AX1937)</f>
        <v>195.89</v>
      </c>
      <c r="BE1937" s="33" t="n">
        <f aca="false">AZ1937-BD1937</f>
        <v>0</v>
      </c>
      <c r="BF1937" s="34" t="n">
        <f aca="false">BD1937*M1937</f>
        <v>14691.75</v>
      </c>
      <c r="BG1937" s="35" t="n">
        <f aca="false">BA1937-BF1937</f>
        <v>-0.749999999998181</v>
      </c>
      <c r="BH1937" s="19" t="str">
        <f aca="false">IF(BG1937=0,"",IF(BG1937&lt;&gt;BA1937,"erreur de calcul",IF(BD1937&lt;&gt;0,"pas de prix",IF(M1937&lt;&gt; 0,"pas de quantité","pas de prix, ni de quantité"))))</f>
        <v>erreur de calcul</v>
      </c>
      <c r="BI1937" s="19"/>
    </row>
    <row r="1938" customFormat="false" ht="15" hidden="false" customHeight="false" outlineLevel="0" collapsed="false">
      <c r="A1938" s="0" t="n">
        <v>17</v>
      </c>
      <c r="B1938" s="8" t="s">
        <v>24</v>
      </c>
      <c r="C1938" s="9" t="s">
        <v>25</v>
      </c>
      <c r="D1938" s="9" t="s">
        <v>26</v>
      </c>
      <c r="E1938" s="10" t="n">
        <v>1789</v>
      </c>
      <c r="F1938" s="9" t="s">
        <v>27</v>
      </c>
      <c r="G1938" s="9" t="s">
        <v>27</v>
      </c>
      <c r="H1938" s="11" t="n">
        <v>23</v>
      </c>
      <c r="I1938" s="11" t="s">
        <v>259</v>
      </c>
      <c r="J1938" s="14"/>
      <c r="K1938" s="14"/>
      <c r="L1938" s="16"/>
      <c r="M1938" s="27" t="n">
        <f aca="false">J1938+(K1938/20)+(L1938/240)</f>
        <v>0</v>
      </c>
      <c r="N1938" s="17"/>
      <c r="O1938" s="11"/>
      <c r="P1938" s="28"/>
      <c r="Q1938" s="28" t="n">
        <v>957</v>
      </c>
      <c r="R1938" s="28"/>
      <c r="S1938" s="28" t="n">
        <f aca="false">R1938*$M1938</f>
        <v>0</v>
      </c>
      <c r="T1938" s="28"/>
      <c r="U1938" s="28" t="n">
        <v>354</v>
      </c>
      <c r="V1938" s="28"/>
      <c r="W1938" s="28" t="n">
        <v>398</v>
      </c>
      <c r="X1938" s="28"/>
      <c r="Y1938" s="28" t="n">
        <v>685</v>
      </c>
      <c r="Z1938" s="28"/>
      <c r="AA1938" s="28" t="n">
        <v>120</v>
      </c>
      <c r="AB1938" s="28"/>
      <c r="AC1938" s="28" t="n">
        <v>2994</v>
      </c>
      <c r="AD1938" s="28"/>
      <c r="AE1938" s="28" t="n">
        <f aca="false">AD1938*$M1938</f>
        <v>0</v>
      </c>
      <c r="AF1938" s="28"/>
      <c r="AG1938" s="28" t="n">
        <f aca="false">AF1938*$M1938</f>
        <v>0</v>
      </c>
      <c r="AH1938" s="28"/>
      <c r="AI1938" s="28" t="n">
        <v>144</v>
      </c>
      <c r="AJ1938" s="28"/>
      <c r="AK1938" s="28" t="n">
        <f aca="false">AJ1938*$M1938</f>
        <v>0</v>
      </c>
      <c r="AL1938" s="28"/>
      <c r="AM1938" s="28" t="n">
        <f aca="false">AL1938*$M1938</f>
        <v>0</v>
      </c>
      <c r="AN1938" s="28"/>
      <c r="AO1938" s="28" t="n">
        <f aca="false">AN1938*$M1938</f>
        <v>0</v>
      </c>
      <c r="AP1938" s="28"/>
      <c r="AQ1938" s="28" t="n">
        <f aca="false">AP1938*$M1938</f>
        <v>0</v>
      </c>
      <c r="AR1938" s="28"/>
      <c r="AS1938" s="28" t="n">
        <f aca="false">AR1938*$M1938</f>
        <v>0</v>
      </c>
      <c r="AT1938" s="28"/>
      <c r="AU1938" s="28" t="n">
        <f aca="false">AT1938*$M1938</f>
        <v>0</v>
      </c>
      <c r="AV1938" s="28"/>
      <c r="AW1938" s="28" t="n">
        <f aca="false">AV1938*$M1938</f>
        <v>0</v>
      </c>
      <c r="AX1938" s="28"/>
      <c r="AY1938" s="28" t="n">
        <f aca="false">AX1938*$M1938</f>
        <v>0</v>
      </c>
      <c r="AZ1938" s="30"/>
      <c r="BA1938" s="11" t="n">
        <v>5652</v>
      </c>
      <c r="BB1938" s="31" t="n">
        <f aca="false">SUM(Q1938,S1938,U1938,W1938,Y1938,AA1938,AC1938,AE1938,AG1938,AI1938,AK1938,AM1938,AO1938,AQ1938,AS1938,AU1938,AW1938,AY1938)</f>
        <v>5652</v>
      </c>
      <c r="BC1938" s="28" t="n">
        <f aca="false">BA1938-BB1938</f>
        <v>0</v>
      </c>
      <c r="BD1938" s="32" t="n">
        <f aca="false">SUM(P1938,R1938,T1938,V1938,X1938,Z1938,AB1938,AD1938,AF1938,AH1938,AJ1938,AL1938,AN1938,AP1938,AR1938,AT1938,AV1938,AX1938)</f>
        <v>0</v>
      </c>
      <c r="BE1938" s="33" t="n">
        <f aca="false">AZ1938-BD1938</f>
        <v>0</v>
      </c>
      <c r="BF1938" s="34" t="n">
        <f aca="false">BD1938*M1938</f>
        <v>0</v>
      </c>
      <c r="BG1938" s="35" t="n">
        <f aca="false">BA1938-BF1938</f>
        <v>5652</v>
      </c>
      <c r="BH1938" s="19" t="str">
        <f aca="false">IF(BG1938=0,"",IF(BG1938&lt;&gt;BA1938,"erreur de calcul",IF(BD1938&lt;&gt;0,"pas de prix",IF(M1938&lt;&gt; 0,"pas de quantité","pas de prix, ni de quantité"))))</f>
        <v>pas de prix, ni de quantité</v>
      </c>
      <c r="BI1938" s="19"/>
    </row>
    <row r="1939" customFormat="false" ht="15" hidden="false" customHeight="false" outlineLevel="0" collapsed="false">
      <c r="A1939" s="0" t="n">
        <v>18</v>
      </c>
      <c r="B1939" s="8" t="s">
        <v>24</v>
      </c>
      <c r="C1939" s="9" t="s">
        <v>25</v>
      </c>
      <c r="D1939" s="9" t="s">
        <v>26</v>
      </c>
      <c r="E1939" s="10" t="n">
        <v>1789</v>
      </c>
      <c r="F1939" s="9" t="s">
        <v>27</v>
      </c>
      <c r="G1939" s="9" t="s">
        <v>27</v>
      </c>
      <c r="H1939" s="11" t="n">
        <v>23</v>
      </c>
      <c r="I1939" s="11" t="s">
        <v>260</v>
      </c>
      <c r="J1939" s="14" t="n">
        <v>88</v>
      </c>
      <c r="K1939" s="14"/>
      <c r="L1939" s="16"/>
      <c r="M1939" s="27" t="n">
        <f aca="false">J1939+(K1939/20)+(L1939/240)</f>
        <v>88</v>
      </c>
      <c r="N1939" s="17" t="s">
        <v>64</v>
      </c>
      <c r="O1939" s="11"/>
      <c r="P1939" s="28"/>
      <c r="Q1939" s="28" t="n">
        <f aca="false">P1939*$M1939</f>
        <v>0</v>
      </c>
      <c r="R1939" s="28"/>
      <c r="S1939" s="28" t="n">
        <f aca="false">R1939*$M1939</f>
        <v>0</v>
      </c>
      <c r="T1939" s="28"/>
      <c r="U1939" s="28" t="n">
        <f aca="false">T1939*$M1939</f>
        <v>0</v>
      </c>
      <c r="V1939" s="28" t="n">
        <f aca="false">21004/100</f>
        <v>210.04</v>
      </c>
      <c r="W1939" s="28" t="n">
        <v>18483</v>
      </c>
      <c r="X1939" s="28"/>
      <c r="Y1939" s="28" t="n">
        <f aca="false">X1939*$M1939</f>
        <v>0</v>
      </c>
      <c r="Z1939" s="28"/>
      <c r="AA1939" s="28" t="n">
        <f aca="false">Z1939*$M1939</f>
        <v>0</v>
      </c>
      <c r="AB1939" s="28"/>
      <c r="AC1939" s="28" t="n">
        <f aca="false">AB1939*$M1939</f>
        <v>0</v>
      </c>
      <c r="AD1939" s="28"/>
      <c r="AE1939" s="28" t="n">
        <f aca="false">AD1939*$M1939</f>
        <v>0</v>
      </c>
      <c r="AF1939" s="28"/>
      <c r="AG1939" s="28" t="n">
        <f aca="false">AF1939*$M1939</f>
        <v>0</v>
      </c>
      <c r="AH1939" s="28"/>
      <c r="AI1939" s="28" t="n">
        <f aca="false">AH1939*$M1939</f>
        <v>0</v>
      </c>
      <c r="AJ1939" s="28"/>
      <c r="AK1939" s="28" t="n">
        <f aca="false">AJ1939*$M1939</f>
        <v>0</v>
      </c>
      <c r="AL1939" s="28"/>
      <c r="AM1939" s="28" t="n">
        <f aca="false">AL1939*$M1939</f>
        <v>0</v>
      </c>
      <c r="AN1939" s="28"/>
      <c r="AO1939" s="28" t="n">
        <f aca="false">AN1939*$M1939</f>
        <v>0</v>
      </c>
      <c r="AP1939" s="28"/>
      <c r="AQ1939" s="28" t="n">
        <f aca="false">AP1939*$M1939</f>
        <v>0</v>
      </c>
      <c r="AR1939" s="28"/>
      <c r="AS1939" s="28" t="n">
        <f aca="false">AR1939*$M1939</f>
        <v>0</v>
      </c>
      <c r="AT1939" s="28"/>
      <c r="AU1939" s="28" t="n">
        <f aca="false">AT1939*$M1939</f>
        <v>0</v>
      </c>
      <c r="AV1939" s="28"/>
      <c r="AW1939" s="28" t="n">
        <f aca="false">AV1939*$M1939</f>
        <v>0</v>
      </c>
      <c r="AX1939" s="28"/>
      <c r="AY1939" s="28" t="n">
        <f aca="false">AX1939*$M1939</f>
        <v>0</v>
      </c>
      <c r="AZ1939" s="30" t="n">
        <f aca="false">21004/100</f>
        <v>210.04</v>
      </c>
      <c r="BA1939" s="11" t="n">
        <v>18483</v>
      </c>
      <c r="BB1939" s="31" t="n">
        <f aca="false">SUM(Q1939,S1939,U1939,W1939,Y1939,AA1939,AC1939,AE1939,AG1939,AI1939,AK1939,AM1939,AO1939,AQ1939,AS1939,AU1939,AW1939,AY1939)</f>
        <v>18483</v>
      </c>
      <c r="BC1939" s="28" t="n">
        <f aca="false">BA1939-BB1939</f>
        <v>0</v>
      </c>
      <c r="BD1939" s="32" t="n">
        <f aca="false">SUM(P1939,R1939,T1939,V1939,X1939,Z1939,AB1939,AD1939,AF1939,AH1939,AJ1939,AL1939,AN1939,AP1939,AR1939,AT1939,AV1939,AX1939)</f>
        <v>210.04</v>
      </c>
      <c r="BE1939" s="33" t="n">
        <f aca="false">AZ1939-BD1939</f>
        <v>0</v>
      </c>
      <c r="BF1939" s="34" t="n">
        <f aca="false">BD1939*M1939</f>
        <v>18483.52</v>
      </c>
      <c r="BG1939" s="35" t="n">
        <f aca="false">BA1939-BF1939</f>
        <v>-0.520000000000437</v>
      </c>
      <c r="BH1939" s="19" t="str">
        <f aca="false">IF(BG1939=0,"",IF(BG1939&lt;&gt;BA1939,"erreur de calcul",IF(BD1939&lt;&gt;0,"pas de prix",IF(M1939&lt;&gt; 0,"pas de quantité","pas de prix, ni de quantité"))))</f>
        <v>erreur de calcul</v>
      </c>
      <c r="BI1939" s="19"/>
    </row>
    <row r="1940" customFormat="false" ht="15" hidden="false" customHeight="false" outlineLevel="0" collapsed="false">
      <c r="A1940" s="0" t="n">
        <v>19</v>
      </c>
      <c r="B1940" s="8" t="s">
        <v>24</v>
      </c>
      <c r="C1940" s="9" t="s">
        <v>25</v>
      </c>
      <c r="D1940" s="9" t="s">
        <v>26</v>
      </c>
      <c r="E1940" s="10" t="n">
        <v>1789</v>
      </c>
      <c r="F1940" s="9" t="s">
        <v>27</v>
      </c>
      <c r="G1940" s="9" t="s">
        <v>27</v>
      </c>
      <c r="H1940" s="11" t="n">
        <v>23</v>
      </c>
      <c r="I1940" s="11" t="s">
        <v>261</v>
      </c>
      <c r="J1940" s="14" t="n">
        <v>35</v>
      </c>
      <c r="K1940" s="14"/>
      <c r="L1940" s="16"/>
      <c r="M1940" s="27" t="n">
        <f aca="false">J1940+(K1940/20)+(L1940/240)</f>
        <v>35</v>
      </c>
      <c r="N1940" s="17" t="s">
        <v>64</v>
      </c>
      <c r="O1940" s="11"/>
      <c r="P1940" s="28" t="n">
        <f aca="false">2877/100</f>
        <v>28.77</v>
      </c>
      <c r="Q1940" s="28" t="n">
        <v>1007</v>
      </c>
      <c r="R1940" s="28"/>
      <c r="S1940" s="28" t="n">
        <f aca="false">R1940*$M1940</f>
        <v>0</v>
      </c>
      <c r="T1940" s="28"/>
      <c r="U1940" s="28" t="n">
        <f aca="false">T1940*$M1940</f>
        <v>0</v>
      </c>
      <c r="V1940" s="28"/>
      <c r="W1940" s="28" t="n">
        <f aca="false">V1940*$M1940</f>
        <v>0</v>
      </c>
      <c r="X1940" s="28"/>
      <c r="Y1940" s="28" t="n">
        <f aca="false">X1940*$M1940</f>
        <v>0</v>
      </c>
      <c r="Z1940" s="28"/>
      <c r="AA1940" s="28" t="n">
        <f aca="false">Z1940*$M1940</f>
        <v>0</v>
      </c>
      <c r="AB1940" s="28"/>
      <c r="AC1940" s="28" t="n">
        <f aca="false">AB1940*$M1940</f>
        <v>0</v>
      </c>
      <c r="AD1940" s="28"/>
      <c r="AE1940" s="28" t="n">
        <f aca="false">AD1940*$M1940</f>
        <v>0</v>
      </c>
      <c r="AF1940" s="28"/>
      <c r="AG1940" s="28" t="n">
        <f aca="false">AF1940*$M1940</f>
        <v>0</v>
      </c>
      <c r="AH1940" s="28"/>
      <c r="AI1940" s="28" t="n">
        <f aca="false">AH1940*$M1940</f>
        <v>0</v>
      </c>
      <c r="AJ1940" s="28"/>
      <c r="AK1940" s="28" t="n">
        <f aca="false">AJ1940*$M1940</f>
        <v>0</v>
      </c>
      <c r="AL1940" s="28"/>
      <c r="AM1940" s="28" t="n">
        <f aca="false">AL1940*$M1940</f>
        <v>0</v>
      </c>
      <c r="AN1940" s="28"/>
      <c r="AO1940" s="28" t="n">
        <f aca="false">AN1940*$M1940</f>
        <v>0</v>
      </c>
      <c r="AP1940" s="28"/>
      <c r="AQ1940" s="28" t="n">
        <f aca="false">AP1940*$M1940</f>
        <v>0</v>
      </c>
      <c r="AR1940" s="28"/>
      <c r="AS1940" s="28" t="n">
        <f aca="false">AR1940*$M1940</f>
        <v>0</v>
      </c>
      <c r="AT1940" s="28"/>
      <c r="AU1940" s="28" t="n">
        <f aca="false">AT1940*$M1940</f>
        <v>0</v>
      </c>
      <c r="AV1940" s="28"/>
      <c r="AW1940" s="28" t="n">
        <f aca="false">AV1940*$M1940</f>
        <v>0</v>
      </c>
      <c r="AX1940" s="28"/>
      <c r="AY1940" s="28" t="n">
        <f aca="false">AX1940*$M1940</f>
        <v>0</v>
      </c>
      <c r="AZ1940" s="30" t="n">
        <f aca="false">2877/100</f>
        <v>28.77</v>
      </c>
      <c r="BA1940" s="11" t="n">
        <v>1007</v>
      </c>
      <c r="BB1940" s="31" t="n">
        <f aca="false">SUM(Q1940,S1940,U1940,W1940,Y1940,AA1940,AC1940,AE1940,AG1940,AI1940,AK1940,AM1940,AO1940,AQ1940,AS1940,AU1940,AW1940,AY1940)</f>
        <v>1007</v>
      </c>
      <c r="BC1940" s="28" t="n">
        <f aca="false">BA1940-BB1940</f>
        <v>0</v>
      </c>
      <c r="BD1940" s="32" t="n">
        <f aca="false">SUM(P1940,R1940,T1940,V1940,X1940,Z1940,AB1940,AD1940,AF1940,AH1940,AJ1940,AL1940,AN1940,AP1940,AR1940,AT1940,AV1940,AX1940)</f>
        <v>28.77</v>
      </c>
      <c r="BE1940" s="33" t="n">
        <f aca="false">AZ1940-BD1940</f>
        <v>0</v>
      </c>
      <c r="BF1940" s="34" t="n">
        <f aca="false">BD1940*M1940</f>
        <v>1006.95</v>
      </c>
      <c r="BG1940" s="35" t="n">
        <f aca="false">BA1940-BF1940</f>
        <v>0.0500000000000682</v>
      </c>
      <c r="BH1940" s="19" t="str">
        <f aca="false">IF(BG1940=0,"",IF(BG1940&lt;&gt;BA1940,"erreur de calcul",IF(BD1940&lt;&gt;0,"pas de prix",IF(M1940&lt;&gt; 0,"pas de quantité","pas de prix, ni de quantité"))))</f>
        <v>erreur de calcul</v>
      </c>
      <c r="BI1940" s="19"/>
    </row>
    <row r="1941" customFormat="false" ht="15" hidden="false" customHeight="false" outlineLevel="0" collapsed="false">
      <c r="A1941" s="0" t="n">
        <v>20</v>
      </c>
      <c r="B1941" s="8" t="s">
        <v>24</v>
      </c>
      <c r="C1941" s="9" t="s">
        <v>25</v>
      </c>
      <c r="D1941" s="9" t="s">
        <v>26</v>
      </c>
      <c r="E1941" s="10" t="n">
        <v>1789</v>
      </c>
      <c r="F1941" s="9" t="s">
        <v>27</v>
      </c>
      <c r="G1941" s="9" t="s">
        <v>27</v>
      </c>
      <c r="H1941" s="11" t="n">
        <v>23</v>
      </c>
      <c r="I1941" s="11" t="s">
        <v>262</v>
      </c>
      <c r="J1941" s="14" t="n">
        <v>40</v>
      </c>
      <c r="K1941" s="14"/>
      <c r="L1941" s="16"/>
      <c r="M1941" s="27" t="n">
        <f aca="false">J1941+(K1941/20)+(L1941/240)</f>
        <v>40</v>
      </c>
      <c r="N1941" s="17" t="s">
        <v>64</v>
      </c>
      <c r="O1941" s="11"/>
      <c r="P1941" s="28"/>
      <c r="Q1941" s="28" t="n">
        <f aca="false">P1941*$M1941</f>
        <v>0</v>
      </c>
      <c r="R1941" s="28"/>
      <c r="S1941" s="28" t="n">
        <f aca="false">R1941*$M1941</f>
        <v>0</v>
      </c>
      <c r="T1941" s="28"/>
      <c r="U1941" s="28" t="n">
        <f aca="false">T1941*$M1941</f>
        <v>0</v>
      </c>
      <c r="V1941" s="28"/>
      <c r="W1941" s="28" t="n">
        <f aca="false">V1941*$M1941</f>
        <v>0</v>
      </c>
      <c r="X1941" s="28"/>
      <c r="Y1941" s="28" t="n">
        <f aca="false">X1941*$M1941</f>
        <v>0</v>
      </c>
      <c r="Z1941" s="28"/>
      <c r="AA1941" s="28" t="n">
        <f aca="false">Z1941*$M1941</f>
        <v>0</v>
      </c>
      <c r="AB1941" s="28"/>
      <c r="AC1941" s="28" t="n">
        <f aca="false">AB1941*$M1941</f>
        <v>0</v>
      </c>
      <c r="AD1941" s="28"/>
      <c r="AE1941" s="28" t="n">
        <f aca="false">AD1941*$M1941</f>
        <v>0</v>
      </c>
      <c r="AF1941" s="28" t="n">
        <f aca="false">108620/100</f>
        <v>1086.2</v>
      </c>
      <c r="AG1941" s="28" t="n">
        <v>43448</v>
      </c>
      <c r="AH1941" s="28"/>
      <c r="AI1941" s="28" t="n">
        <f aca="false">AH1941*$M1941</f>
        <v>0</v>
      </c>
      <c r="AJ1941" s="28"/>
      <c r="AK1941" s="28" t="n">
        <f aca="false">AJ1941*$M1941</f>
        <v>0</v>
      </c>
      <c r="AL1941" s="28"/>
      <c r="AM1941" s="28" t="n">
        <f aca="false">AL1941*$M1941</f>
        <v>0</v>
      </c>
      <c r="AN1941" s="28"/>
      <c r="AO1941" s="28" t="n">
        <f aca="false">AN1941*$M1941</f>
        <v>0</v>
      </c>
      <c r="AP1941" s="28"/>
      <c r="AQ1941" s="28" t="n">
        <f aca="false">AP1941*$M1941</f>
        <v>0</v>
      </c>
      <c r="AR1941" s="28"/>
      <c r="AS1941" s="28" t="n">
        <f aca="false">AR1941*$M1941</f>
        <v>0</v>
      </c>
      <c r="AT1941" s="28"/>
      <c r="AU1941" s="28" t="n">
        <f aca="false">AT1941*$M1941</f>
        <v>0</v>
      </c>
      <c r="AV1941" s="28"/>
      <c r="AW1941" s="28" t="n">
        <f aca="false">AV1941*$M1941</f>
        <v>0</v>
      </c>
      <c r="AX1941" s="28"/>
      <c r="AY1941" s="28" t="n">
        <f aca="false">AX1941*$M1941</f>
        <v>0</v>
      </c>
      <c r="AZ1941" s="30" t="n">
        <f aca="false">108620/100</f>
        <v>1086.2</v>
      </c>
      <c r="BA1941" s="11" t="n">
        <v>43448</v>
      </c>
      <c r="BB1941" s="31" t="n">
        <f aca="false">SUM(Q1941,S1941,U1941,W1941,Y1941,AA1941,AC1941,AE1941,AG1941,AI1941,AK1941,AM1941,AO1941,AQ1941,AS1941,AU1941,AW1941,AY1941)</f>
        <v>43448</v>
      </c>
      <c r="BC1941" s="28" t="n">
        <f aca="false">BA1941-BB1941</f>
        <v>0</v>
      </c>
      <c r="BD1941" s="32" t="n">
        <f aca="false">SUM(P1941,R1941,T1941,V1941,X1941,Z1941,AB1941,AD1941,AF1941,AH1941,AJ1941,AL1941,AN1941,AP1941,AR1941,AT1941,AV1941,AX1941)</f>
        <v>1086.2</v>
      </c>
      <c r="BE1941" s="33" t="n">
        <f aca="false">AZ1941-BD1941</f>
        <v>0</v>
      </c>
      <c r="BF1941" s="34" t="n">
        <f aca="false">BD1941*M1941</f>
        <v>43448</v>
      </c>
      <c r="BG1941" s="35" t="n">
        <f aca="false">BA1941-BF1941</f>
        <v>0</v>
      </c>
      <c r="BH1941" s="19" t="str">
        <f aca="false">IF(BG1941=0,"",IF(BG1941&lt;&gt;BA1941,"erreur de calcul",IF(BD1941&lt;&gt;0,"pas de prix",IF(M1941&lt;&gt; 0,"pas de quantité","pas de prix, ni de quantité"))))</f>
        <v/>
      </c>
      <c r="BI1941" s="19"/>
    </row>
    <row r="1942" customFormat="false" ht="15" hidden="false" customHeight="false" outlineLevel="0" collapsed="false">
      <c r="A1942" s="0" t="n">
        <v>21</v>
      </c>
      <c r="B1942" s="8" t="s">
        <v>24</v>
      </c>
      <c r="C1942" s="9" t="s">
        <v>25</v>
      </c>
      <c r="D1942" s="9" t="s">
        <v>26</v>
      </c>
      <c r="E1942" s="10" t="n">
        <v>1789</v>
      </c>
      <c r="F1942" s="9" t="s">
        <v>27</v>
      </c>
      <c r="G1942" s="9" t="s">
        <v>27</v>
      </c>
      <c r="H1942" s="11" t="n">
        <v>23</v>
      </c>
      <c r="I1942" s="11" t="s">
        <v>263</v>
      </c>
      <c r="J1942" s="14" t="n">
        <v>12</v>
      </c>
      <c r="K1942" s="14"/>
      <c r="L1942" s="16"/>
      <c r="M1942" s="27" t="n">
        <f aca="false">J1942+(K1942/20)+(L1942/240)</f>
        <v>12</v>
      </c>
      <c r="N1942" s="17" t="s">
        <v>64</v>
      </c>
      <c r="O1942" s="11"/>
      <c r="P1942" s="28"/>
      <c r="Q1942" s="28" t="n">
        <f aca="false">P1942*$M1942</f>
        <v>0</v>
      </c>
      <c r="R1942" s="28"/>
      <c r="S1942" s="28" t="n">
        <f aca="false">R1942*$M1942</f>
        <v>0</v>
      </c>
      <c r="T1942" s="28"/>
      <c r="U1942" s="28" t="n">
        <f aca="false">T1942*$M1942</f>
        <v>0</v>
      </c>
      <c r="V1942" s="28"/>
      <c r="W1942" s="28" t="n">
        <f aca="false">V1942*$M1942</f>
        <v>0</v>
      </c>
      <c r="X1942" s="28"/>
      <c r="Y1942" s="28" t="n">
        <f aca="false">X1942*$M1942</f>
        <v>0</v>
      </c>
      <c r="Z1942" s="28"/>
      <c r="AA1942" s="28" t="n">
        <f aca="false">Z1942*$M1942</f>
        <v>0</v>
      </c>
      <c r="AB1942" s="28" t="n">
        <f aca="false">485726/100</f>
        <v>4857.26</v>
      </c>
      <c r="AC1942" s="28" t="n">
        <v>58287</v>
      </c>
      <c r="AD1942" s="28"/>
      <c r="AE1942" s="28" t="n">
        <f aca="false">AD1942*$M1942</f>
        <v>0</v>
      </c>
      <c r="AF1942" s="28"/>
      <c r="AG1942" s="28" t="n">
        <f aca="false">AF1942*$M1942</f>
        <v>0</v>
      </c>
      <c r="AH1942" s="28" t="n">
        <f aca="false">259291/100</f>
        <v>2592.91</v>
      </c>
      <c r="AI1942" s="28" t="n">
        <v>31115</v>
      </c>
      <c r="AJ1942" s="28"/>
      <c r="AK1942" s="28" t="n">
        <f aca="false">AJ1942*$M1942</f>
        <v>0</v>
      </c>
      <c r="AL1942" s="28"/>
      <c r="AM1942" s="28" t="n">
        <f aca="false">AL1942*$M1942</f>
        <v>0</v>
      </c>
      <c r="AN1942" s="28"/>
      <c r="AO1942" s="28" t="n">
        <f aca="false">AN1942*$M1942</f>
        <v>0</v>
      </c>
      <c r="AP1942" s="28"/>
      <c r="AQ1942" s="28" t="n">
        <f aca="false">AP1942*$M1942</f>
        <v>0</v>
      </c>
      <c r="AR1942" s="28"/>
      <c r="AS1942" s="28" t="n">
        <f aca="false">AR1942*$M1942</f>
        <v>0</v>
      </c>
      <c r="AT1942" s="28"/>
      <c r="AU1942" s="28" t="n">
        <f aca="false">AT1942*$M1942</f>
        <v>0</v>
      </c>
      <c r="AV1942" s="28"/>
      <c r="AW1942" s="28" t="n">
        <f aca="false">AV1942*$M1942</f>
        <v>0</v>
      </c>
      <c r="AX1942" s="28"/>
      <c r="AY1942" s="28" t="n">
        <f aca="false">AX1942*$M1942</f>
        <v>0</v>
      </c>
      <c r="AZ1942" s="30" t="n">
        <f aca="false">745017/100</f>
        <v>7450.17</v>
      </c>
      <c r="BA1942" s="11" t="n">
        <v>89402</v>
      </c>
      <c r="BB1942" s="31" t="n">
        <f aca="false">SUM(Q1942,S1942,U1942,W1942,Y1942,AA1942,AC1942,AE1942,AG1942,AI1942,AK1942,AM1942,AO1942,AQ1942,AS1942,AU1942,AW1942,AY1942)</f>
        <v>89402</v>
      </c>
      <c r="BC1942" s="28" t="n">
        <f aca="false">BA1942-BB1942</f>
        <v>0</v>
      </c>
      <c r="BD1942" s="32" t="n">
        <f aca="false">SUM(P1942,R1942,T1942,V1942,X1942,Z1942,AB1942,AD1942,AF1942,AH1942,AJ1942,AL1942,AN1942,AP1942,AR1942,AT1942,AV1942,AX1942)</f>
        <v>7450.17</v>
      </c>
      <c r="BE1942" s="33" t="n">
        <f aca="false">AZ1942-BD1942</f>
        <v>0</v>
      </c>
      <c r="BF1942" s="34" t="n">
        <f aca="false">BD1942*M1942</f>
        <v>89402.04</v>
      </c>
      <c r="BG1942" s="35" t="n">
        <f aca="false">BA1942-BF1942</f>
        <v>-0.0400000000081491</v>
      </c>
      <c r="BH1942" s="19" t="str">
        <f aca="false">IF(BG1942=0,"",IF(BG1942&lt;&gt;BA1942,"erreur de calcul",IF(BD1942&lt;&gt;0,"pas de prix",IF(M1942&lt;&gt; 0,"pas de quantité","pas de prix, ni de quantité"))))</f>
        <v>erreur de calcul</v>
      </c>
      <c r="BI1942" s="19"/>
    </row>
    <row r="1943" customFormat="false" ht="15" hidden="false" customHeight="false" outlineLevel="0" collapsed="false">
      <c r="A1943" s="0" t="n">
        <v>22</v>
      </c>
      <c r="B1943" s="8" t="s">
        <v>24</v>
      </c>
      <c r="C1943" s="9" t="s">
        <v>25</v>
      </c>
      <c r="D1943" s="9" t="s">
        <v>26</v>
      </c>
      <c r="E1943" s="10" t="n">
        <v>1789</v>
      </c>
      <c r="F1943" s="9" t="s">
        <v>27</v>
      </c>
      <c r="G1943" s="9" t="s">
        <v>27</v>
      </c>
      <c r="H1943" s="11" t="n">
        <v>23</v>
      </c>
      <c r="I1943" s="11" t="s">
        <v>264</v>
      </c>
      <c r="J1943" s="14" t="n">
        <v>15</v>
      </c>
      <c r="K1943" s="14"/>
      <c r="L1943" s="16"/>
      <c r="M1943" s="27" t="n">
        <f aca="false">J1943+(K1943/20)+(L1943/240)</f>
        <v>15</v>
      </c>
      <c r="N1943" s="17" t="s">
        <v>64</v>
      </c>
      <c r="O1943" s="11"/>
      <c r="P1943" s="28"/>
      <c r="Q1943" s="28" t="n">
        <f aca="false">P1943*$M1943</f>
        <v>0</v>
      </c>
      <c r="R1943" s="28"/>
      <c r="S1943" s="28" t="n">
        <f aca="false">R1943*$M1943</f>
        <v>0</v>
      </c>
      <c r="T1943" s="28"/>
      <c r="U1943" s="28" t="n">
        <f aca="false">T1943*$M1943</f>
        <v>0</v>
      </c>
      <c r="V1943" s="28"/>
      <c r="W1943" s="28" t="n">
        <f aca="false">V1943*$M1943</f>
        <v>0</v>
      </c>
      <c r="X1943" s="28" t="n">
        <f aca="false">65502/100</f>
        <v>655.02</v>
      </c>
      <c r="Y1943" s="28" t="n">
        <v>9825</v>
      </c>
      <c r="Z1943" s="28"/>
      <c r="AA1943" s="28" t="n">
        <f aca="false">Z1943*$M1943</f>
        <v>0</v>
      </c>
      <c r="AB1943" s="28" t="n">
        <f aca="false">207046/100</f>
        <v>2070.46</v>
      </c>
      <c r="AC1943" s="28" t="n">
        <v>31057</v>
      </c>
      <c r="AD1943" s="28"/>
      <c r="AE1943" s="28" t="n">
        <f aca="false">AD1943*$M1943</f>
        <v>0</v>
      </c>
      <c r="AF1943" s="28"/>
      <c r="AG1943" s="28" t="n">
        <f aca="false">AF1943*$M1943</f>
        <v>0</v>
      </c>
      <c r="AH1943" s="28" t="n">
        <f aca="false">11048/100</f>
        <v>110.48</v>
      </c>
      <c r="AI1943" s="28" t="n">
        <v>1657</v>
      </c>
      <c r="AJ1943" s="28"/>
      <c r="AK1943" s="28" t="n">
        <f aca="false">AJ1943*$M1943</f>
        <v>0</v>
      </c>
      <c r="AL1943" s="28"/>
      <c r="AM1943" s="28" t="n">
        <f aca="false">AL1943*$M1943</f>
        <v>0</v>
      </c>
      <c r="AN1943" s="28"/>
      <c r="AO1943" s="28" t="n">
        <f aca="false">AN1943*$M1943</f>
        <v>0</v>
      </c>
      <c r="AP1943" s="28"/>
      <c r="AQ1943" s="28" t="n">
        <f aca="false">AP1943*$M1943</f>
        <v>0</v>
      </c>
      <c r="AR1943" s="28"/>
      <c r="AS1943" s="28" t="n">
        <f aca="false">AR1943*$M1943</f>
        <v>0</v>
      </c>
      <c r="AT1943" s="28"/>
      <c r="AU1943" s="28" t="n">
        <f aca="false">AT1943*$M1943</f>
        <v>0</v>
      </c>
      <c r="AV1943" s="28"/>
      <c r="AW1943" s="28" t="n">
        <f aca="false">AV1943*$M1943</f>
        <v>0</v>
      </c>
      <c r="AX1943" s="28"/>
      <c r="AY1943" s="28" t="n">
        <f aca="false">AX1943*$M1943</f>
        <v>0</v>
      </c>
      <c r="AZ1943" s="30" t="n">
        <f aca="false">283596/100</f>
        <v>2835.96</v>
      </c>
      <c r="BA1943" s="11" t="n">
        <v>42539</v>
      </c>
      <c r="BB1943" s="31" t="n">
        <f aca="false">SUM(Q1943,S1943,U1943,W1943,Y1943,AA1943,AC1943,AE1943,AG1943,AI1943,AK1943,AM1943,AO1943,AQ1943,AS1943,AU1943,AW1943,AY1943)</f>
        <v>42539</v>
      </c>
      <c r="BC1943" s="28" t="n">
        <f aca="false">BA1943-BB1943</f>
        <v>0</v>
      </c>
      <c r="BD1943" s="32" t="n">
        <f aca="false">SUM(P1943,R1943,T1943,V1943,X1943,Z1943,AB1943,AD1943,AF1943,AH1943,AJ1943,AL1943,AN1943,AP1943,AR1943,AT1943,AV1943,AX1943)</f>
        <v>2835.96</v>
      </c>
      <c r="BE1943" s="33" t="n">
        <f aca="false">AZ1943-BD1943</f>
        <v>0</v>
      </c>
      <c r="BF1943" s="34" t="n">
        <f aca="false">BD1943*M1943</f>
        <v>42539.4</v>
      </c>
      <c r="BG1943" s="35" t="n">
        <f aca="false">BA1943-BF1943</f>
        <v>-0.400000000001455</v>
      </c>
      <c r="BH1943" s="19" t="str">
        <f aca="false">IF(BG1943=0,"",IF(BG1943&lt;&gt;BA1943,"erreur de calcul",IF(BD1943&lt;&gt;0,"pas de prix",IF(M1943&lt;&gt; 0,"pas de quantité","pas de prix, ni de quantité"))))</f>
        <v>erreur de calcul</v>
      </c>
      <c r="BI1943" s="19"/>
    </row>
    <row r="1944" customFormat="false" ht="15" hidden="false" customHeight="false" outlineLevel="0" collapsed="false">
      <c r="A1944" s="0" t="n">
        <v>23</v>
      </c>
      <c r="B1944" s="8" t="s">
        <v>24</v>
      </c>
      <c r="C1944" s="9" t="s">
        <v>25</v>
      </c>
      <c r="D1944" s="9" t="s">
        <v>26</v>
      </c>
      <c r="E1944" s="10" t="n">
        <v>1789</v>
      </c>
      <c r="F1944" s="9" t="s">
        <v>27</v>
      </c>
      <c r="G1944" s="9" t="s">
        <v>27</v>
      </c>
      <c r="H1944" s="11" t="n">
        <v>23</v>
      </c>
      <c r="I1944" s="11" t="s">
        <v>265</v>
      </c>
      <c r="J1944" s="14"/>
      <c r="K1944" s="14" t="n">
        <v>40</v>
      </c>
      <c r="L1944" s="16"/>
      <c r="M1944" s="27" t="n">
        <f aca="false">J1944+(K1944/20)+(L1944/240)</f>
        <v>2</v>
      </c>
      <c r="N1944" s="17" t="s">
        <v>66</v>
      </c>
      <c r="O1944" s="11"/>
      <c r="P1944" s="28"/>
      <c r="Q1944" s="28" t="n">
        <f aca="false">P1944*$M1944</f>
        <v>0</v>
      </c>
      <c r="R1944" s="28"/>
      <c r="S1944" s="28" t="n">
        <f aca="false">R1944*$M1944</f>
        <v>0</v>
      </c>
      <c r="T1944" s="28"/>
      <c r="U1944" s="28" t="n">
        <f aca="false">T1944*$M1944</f>
        <v>0</v>
      </c>
      <c r="V1944" s="28" t="n">
        <v>6275</v>
      </c>
      <c r="W1944" s="28" t="n">
        <v>12550</v>
      </c>
      <c r="X1944" s="28" t="n">
        <v>8662</v>
      </c>
      <c r="Y1944" s="28" t="n">
        <v>17324</v>
      </c>
      <c r="Z1944" s="28"/>
      <c r="AA1944" s="28" t="n">
        <f aca="false">Z1944*$M1944</f>
        <v>0</v>
      </c>
      <c r="AB1944" s="28" t="n">
        <v>2196</v>
      </c>
      <c r="AC1944" s="28" t="n">
        <v>4392</v>
      </c>
      <c r="AD1944" s="28"/>
      <c r="AE1944" s="28" t="n">
        <f aca="false">AD1944*$M1944</f>
        <v>0</v>
      </c>
      <c r="AF1944" s="28"/>
      <c r="AG1944" s="28" t="n">
        <f aca="false">AF1944*$M1944</f>
        <v>0</v>
      </c>
      <c r="AH1944" s="28"/>
      <c r="AI1944" s="28" t="n">
        <f aca="false">AH1944*$M1944</f>
        <v>0</v>
      </c>
      <c r="AJ1944" s="28"/>
      <c r="AK1944" s="28" t="n">
        <f aca="false">AJ1944*$M1944</f>
        <v>0</v>
      </c>
      <c r="AL1944" s="28"/>
      <c r="AM1944" s="28" t="n">
        <f aca="false">AL1944*$M1944</f>
        <v>0</v>
      </c>
      <c r="AN1944" s="28"/>
      <c r="AO1944" s="28" t="n">
        <f aca="false">AN1944*$M1944</f>
        <v>0</v>
      </c>
      <c r="AP1944" s="28"/>
      <c r="AQ1944" s="28" t="n">
        <f aca="false">AP1944*$M1944</f>
        <v>0</v>
      </c>
      <c r="AR1944" s="28"/>
      <c r="AS1944" s="28" t="n">
        <f aca="false">AR1944*$M1944</f>
        <v>0</v>
      </c>
      <c r="AT1944" s="28"/>
      <c r="AU1944" s="28" t="n">
        <f aca="false">AT1944*$M1944</f>
        <v>0</v>
      </c>
      <c r="AV1944" s="28"/>
      <c r="AW1944" s="28" t="n">
        <f aca="false">AV1944*$M1944</f>
        <v>0</v>
      </c>
      <c r="AX1944" s="28"/>
      <c r="AY1944" s="28" t="n">
        <f aca="false">AX1944*$M1944</f>
        <v>0</v>
      </c>
      <c r="AZ1944" s="30" t="n">
        <v>17133</v>
      </c>
      <c r="BA1944" s="11" t="n">
        <v>34266</v>
      </c>
      <c r="BB1944" s="31" t="n">
        <f aca="false">SUM(Q1944,S1944,U1944,W1944,Y1944,AA1944,AC1944,AE1944,AG1944,AI1944,AK1944,AM1944,AO1944,AQ1944,AS1944,AU1944,AW1944,AY1944)</f>
        <v>34266</v>
      </c>
      <c r="BC1944" s="28" t="n">
        <f aca="false">BA1944-BB1944</f>
        <v>0</v>
      </c>
      <c r="BD1944" s="32" t="n">
        <f aca="false">SUM(P1944,R1944,T1944,V1944,X1944,Z1944,AB1944,AD1944,AF1944,AH1944,AJ1944,AL1944,AN1944,AP1944,AR1944,AT1944,AV1944,AX1944)</f>
        <v>17133</v>
      </c>
      <c r="BE1944" s="33" t="n">
        <f aca="false">AZ1944-BD1944</f>
        <v>0</v>
      </c>
      <c r="BF1944" s="34" t="n">
        <f aca="false">BD1944*M1944</f>
        <v>34266</v>
      </c>
      <c r="BG1944" s="35" t="n">
        <f aca="false">BA1944-BF1944</f>
        <v>0</v>
      </c>
      <c r="BH1944" s="19" t="str">
        <f aca="false">IF(BG1944=0,"",IF(BG1944&lt;&gt;BA1944,"erreur de calcul",IF(BD1944&lt;&gt;0,"pas de prix",IF(M1944&lt;&gt; 0,"pas de quantité","pas de prix, ni de quantité"))))</f>
        <v/>
      </c>
      <c r="BI1944" s="19"/>
    </row>
    <row r="1945" customFormat="false" ht="15" hidden="false" customHeight="false" outlineLevel="0" collapsed="false">
      <c r="A1945" s="0" t="n">
        <v>24</v>
      </c>
      <c r="B1945" s="8" t="s">
        <v>24</v>
      </c>
      <c r="C1945" s="9" t="s">
        <v>25</v>
      </c>
      <c r="D1945" s="9" t="s">
        <v>26</v>
      </c>
      <c r="E1945" s="10" t="n">
        <v>1789</v>
      </c>
      <c r="F1945" s="9" t="s">
        <v>27</v>
      </c>
      <c r="G1945" s="9" t="s">
        <v>27</v>
      </c>
      <c r="H1945" s="11" t="n">
        <v>23</v>
      </c>
      <c r="I1945" s="11" t="s">
        <v>266</v>
      </c>
      <c r="J1945" s="14" t="n">
        <v>17</v>
      </c>
      <c r="K1945" s="14" t="n">
        <v>10</v>
      </c>
      <c r="L1945" s="16"/>
      <c r="M1945" s="27" t="n">
        <f aca="false">J1945+(K1945/20)+(L1945/240)</f>
        <v>17.5</v>
      </c>
      <c r="N1945" s="17" t="s">
        <v>64</v>
      </c>
      <c r="O1945" s="11"/>
      <c r="P1945" s="28" t="n">
        <f aca="false">147621/100</f>
        <v>1476.21</v>
      </c>
      <c r="Q1945" s="28" t="n">
        <v>25834</v>
      </c>
      <c r="R1945" s="28"/>
      <c r="S1945" s="28" t="n">
        <f aca="false">R1945*$M1945</f>
        <v>0</v>
      </c>
      <c r="T1945" s="28"/>
      <c r="U1945" s="28" t="n">
        <f aca="false">T1945*$M1945</f>
        <v>0</v>
      </c>
      <c r="V1945" s="28"/>
      <c r="W1945" s="28" t="n">
        <f aca="false">V1945*$M1945</f>
        <v>0</v>
      </c>
      <c r="X1945" s="28" t="n">
        <f aca="false">7220/100</f>
        <v>72.2</v>
      </c>
      <c r="Y1945" s="28" t="n">
        <v>1263</v>
      </c>
      <c r="Z1945" s="28"/>
      <c r="AA1945" s="28" t="n">
        <f aca="false">Z1945*$M1945</f>
        <v>0</v>
      </c>
      <c r="AB1945" s="28" t="n">
        <f aca="false">524444/100</f>
        <v>5244.44</v>
      </c>
      <c r="AC1945" s="36" t="n">
        <v>91767</v>
      </c>
      <c r="AD1945" s="28"/>
      <c r="AE1945" s="28" t="n">
        <f aca="false">AD1945*$M1945</f>
        <v>0</v>
      </c>
      <c r="AF1945" s="28"/>
      <c r="AG1945" s="28" t="n">
        <f aca="false">AF1945*$M1945</f>
        <v>0</v>
      </c>
      <c r="AH1945" s="28" t="n">
        <f aca="false">124394/100</f>
        <v>1243.94</v>
      </c>
      <c r="AI1945" s="28" t="n">
        <v>21769</v>
      </c>
      <c r="AJ1945" s="28"/>
      <c r="AK1945" s="28" t="n">
        <f aca="false">AJ1945*$M1945</f>
        <v>0</v>
      </c>
      <c r="AL1945" s="28"/>
      <c r="AM1945" s="28" t="n">
        <f aca="false">AL1945*$M1945</f>
        <v>0</v>
      </c>
      <c r="AN1945" s="28"/>
      <c r="AO1945" s="28" t="n">
        <f aca="false">AN1945*$M1945</f>
        <v>0</v>
      </c>
      <c r="AP1945" s="28"/>
      <c r="AQ1945" s="28" t="n">
        <f aca="false">AP1945*$M1945</f>
        <v>0</v>
      </c>
      <c r="AR1945" s="28"/>
      <c r="AS1945" s="28" t="n">
        <f aca="false">AR1945*$M1945</f>
        <v>0</v>
      </c>
      <c r="AT1945" s="28"/>
      <c r="AU1945" s="28" t="n">
        <f aca="false">AT1945*$M1945</f>
        <v>0</v>
      </c>
      <c r="AV1945" s="28"/>
      <c r="AW1945" s="28" t="n">
        <f aca="false">AV1945*$M1945</f>
        <v>0</v>
      </c>
      <c r="AX1945" s="28"/>
      <c r="AY1945" s="28" t="n">
        <f aca="false">AX1945*$M1945</f>
        <v>0</v>
      </c>
      <c r="AZ1945" s="30" t="n">
        <f aca="false">803679/100</f>
        <v>8036.79</v>
      </c>
      <c r="BA1945" s="11" t="n">
        <v>140633</v>
      </c>
      <c r="BB1945" s="31" t="n">
        <f aca="false">SUM(Q1945,S1945,U1945,W1945,Y1945,AA1945,AC1945,AE1945,AG1945,AI1945,AK1945,AM1945,AO1945,AQ1945,AS1945,AU1945,AW1945,AY1945)</f>
        <v>140633</v>
      </c>
      <c r="BC1945" s="28" t="n">
        <f aca="false">BA1945-BB1945</f>
        <v>0</v>
      </c>
      <c r="BD1945" s="32" t="n">
        <f aca="false">SUM(P1945,R1945,T1945,V1945,X1945,Z1945,AB1945,AD1945,AF1945,AH1945,AJ1945,AL1945,AN1945,AP1945,AR1945,AT1945,AV1945,AX1945)</f>
        <v>8036.79</v>
      </c>
      <c r="BE1945" s="33" t="n">
        <f aca="false">AZ1945-BD1945</f>
        <v>0</v>
      </c>
      <c r="BF1945" s="34" t="n">
        <f aca="false">BD1945*M1945</f>
        <v>140643.825</v>
      </c>
      <c r="BG1945" s="35" t="n">
        <f aca="false">BA1945-BF1945</f>
        <v>-10.8249999999825</v>
      </c>
      <c r="BH1945" s="19" t="str">
        <f aca="false">IF(BG1945=0,"",IF(BG1945&lt;&gt;BA1945,"erreur de calcul",IF(BD1945&lt;&gt;0,"pas de prix",IF(M1945&lt;&gt; 0,"pas de quantité","pas de prix, ni de quantité"))))</f>
        <v>erreur de calcul</v>
      </c>
      <c r="BI1945" s="19"/>
    </row>
    <row r="1946" customFormat="false" ht="15" hidden="false" customHeight="false" outlineLevel="0" collapsed="false">
      <c r="A1946" s="0" t="n">
        <v>25</v>
      </c>
      <c r="B1946" s="8" t="s">
        <v>24</v>
      </c>
      <c r="C1946" s="9" t="s">
        <v>25</v>
      </c>
      <c r="D1946" s="9" t="s">
        <v>26</v>
      </c>
      <c r="E1946" s="10" t="n">
        <v>1789</v>
      </c>
      <c r="F1946" s="9" t="s">
        <v>27</v>
      </c>
      <c r="G1946" s="9" t="s">
        <v>27</v>
      </c>
      <c r="H1946" s="11" t="n">
        <v>23</v>
      </c>
      <c r="I1946" s="11" t="s">
        <v>267</v>
      </c>
      <c r="J1946" s="14" t="n">
        <v>25</v>
      </c>
      <c r="K1946" s="14"/>
      <c r="L1946" s="16"/>
      <c r="M1946" s="27" t="n">
        <f aca="false">J1946+(K1946/20)+(L1946/240)</f>
        <v>25</v>
      </c>
      <c r="N1946" s="17" t="s">
        <v>64</v>
      </c>
      <c r="O1946" s="11"/>
      <c r="P1946" s="28"/>
      <c r="Q1946" s="28" t="n">
        <f aca="false">P1946*$M1946</f>
        <v>0</v>
      </c>
      <c r="R1946" s="28"/>
      <c r="S1946" s="28" t="n">
        <f aca="false">R1946*$M1946</f>
        <v>0</v>
      </c>
      <c r="T1946" s="28"/>
      <c r="U1946" s="28" t="n">
        <f aca="false">T1946*$M1946</f>
        <v>0</v>
      </c>
      <c r="V1946" s="28"/>
      <c r="W1946" s="28" t="n">
        <f aca="false">V1946*$M1946</f>
        <v>0</v>
      </c>
      <c r="X1946" s="28"/>
      <c r="Y1946" s="28" t="n">
        <f aca="false">X1946*$M1946</f>
        <v>0</v>
      </c>
      <c r="Z1946" s="28"/>
      <c r="AA1946" s="28" t="n">
        <f aca="false">Z1946*$M1946</f>
        <v>0</v>
      </c>
      <c r="AB1946" s="28" t="n">
        <f aca="false">136004/100</f>
        <v>1360.04</v>
      </c>
      <c r="AC1946" s="28" t="n">
        <v>34001</v>
      </c>
      <c r="AD1946" s="28"/>
      <c r="AE1946" s="28" t="n">
        <f aca="false">AD1946*$M1946</f>
        <v>0</v>
      </c>
      <c r="AF1946" s="28"/>
      <c r="AG1946" s="28" t="n">
        <f aca="false">AF1946*$M1946</f>
        <v>0</v>
      </c>
      <c r="AH1946" s="28" t="n">
        <f aca="false">173052/100</f>
        <v>1730.52</v>
      </c>
      <c r="AI1946" s="28" t="n">
        <v>43263</v>
      </c>
      <c r="AJ1946" s="28"/>
      <c r="AK1946" s="28" t="n">
        <f aca="false">AJ1946*$M1946</f>
        <v>0</v>
      </c>
      <c r="AL1946" s="28"/>
      <c r="AM1946" s="28" t="n">
        <f aca="false">AL1946*$M1946</f>
        <v>0</v>
      </c>
      <c r="AN1946" s="28"/>
      <c r="AO1946" s="28" t="n">
        <f aca="false">AN1946*$M1946</f>
        <v>0</v>
      </c>
      <c r="AP1946" s="28"/>
      <c r="AQ1946" s="28" t="n">
        <f aca="false">AP1946*$M1946</f>
        <v>0</v>
      </c>
      <c r="AR1946" s="28"/>
      <c r="AS1946" s="28" t="n">
        <f aca="false">AR1946*$M1946</f>
        <v>0</v>
      </c>
      <c r="AT1946" s="28"/>
      <c r="AU1946" s="28" t="n">
        <f aca="false">AT1946*$M1946</f>
        <v>0</v>
      </c>
      <c r="AV1946" s="28"/>
      <c r="AW1946" s="28" t="n">
        <f aca="false">AV1946*$M1946</f>
        <v>0</v>
      </c>
      <c r="AX1946" s="28"/>
      <c r="AY1946" s="28" t="n">
        <f aca="false">AX1946*$M1946</f>
        <v>0</v>
      </c>
      <c r="AZ1946" s="30" t="n">
        <f aca="false">309056/100</f>
        <v>3090.56</v>
      </c>
      <c r="BA1946" s="11" t="n">
        <v>77264</v>
      </c>
      <c r="BB1946" s="31" t="n">
        <f aca="false">SUM(Q1946,S1946,U1946,W1946,Y1946,AA1946,AC1946,AE1946,AG1946,AI1946,AK1946,AM1946,AO1946,AQ1946,AS1946,AU1946,AW1946,AY1946)</f>
        <v>77264</v>
      </c>
      <c r="BC1946" s="28" t="n">
        <f aca="false">BA1946-BB1946</f>
        <v>0</v>
      </c>
      <c r="BD1946" s="32" t="n">
        <f aca="false">SUM(P1946,R1946,T1946,V1946,X1946,Z1946,AB1946,AD1946,AF1946,AH1946,AJ1946,AL1946,AN1946,AP1946,AR1946,AT1946,AV1946,AX1946)</f>
        <v>3090.56</v>
      </c>
      <c r="BE1946" s="33" t="n">
        <f aca="false">AZ1946-BD1946</f>
        <v>0</v>
      </c>
      <c r="BF1946" s="34" t="n">
        <f aca="false">BD1946*M1946</f>
        <v>77264</v>
      </c>
      <c r="BG1946" s="35" t="n">
        <f aca="false">BA1946-BF1946</f>
        <v>0</v>
      </c>
      <c r="BH1946" s="19" t="str">
        <f aca="false">IF(BG1946=0,"",IF(BG1946&lt;&gt;BA1946,"erreur de calcul",IF(BD1946&lt;&gt;0,"pas de prix",IF(M1946&lt;&gt; 0,"pas de quantité","pas de prix, ni de quantité"))))</f>
        <v/>
      </c>
      <c r="BI1946" s="19"/>
    </row>
    <row r="1947" customFormat="false" ht="15" hidden="false" customHeight="false" outlineLevel="0" collapsed="false">
      <c r="A1947" s="0" t="n">
        <v>26</v>
      </c>
      <c r="B1947" s="8" t="s">
        <v>24</v>
      </c>
      <c r="C1947" s="9" t="s">
        <v>25</v>
      </c>
      <c r="D1947" s="9" t="s">
        <v>26</v>
      </c>
      <c r="E1947" s="10" t="n">
        <v>1789</v>
      </c>
      <c r="F1947" s="9" t="s">
        <v>27</v>
      </c>
      <c r="G1947" s="9" t="s">
        <v>27</v>
      </c>
      <c r="H1947" s="11" t="n">
        <v>23</v>
      </c>
      <c r="I1947" s="11" t="s">
        <v>268</v>
      </c>
      <c r="J1947" s="14" t="n">
        <v>8</v>
      </c>
      <c r="K1947" s="14"/>
      <c r="L1947" s="16"/>
      <c r="M1947" s="27" t="n">
        <f aca="false">J1947+(K1947/20)+(L1947/240)</f>
        <v>8</v>
      </c>
      <c r="N1947" s="17" t="s">
        <v>64</v>
      </c>
      <c r="O1947" s="11"/>
      <c r="P1947" s="28"/>
      <c r="Q1947" s="28" t="n">
        <f aca="false">P1947*$M1947</f>
        <v>0</v>
      </c>
      <c r="R1947" s="28"/>
      <c r="S1947" s="28" t="n">
        <f aca="false">R1947*$M1947</f>
        <v>0</v>
      </c>
      <c r="T1947" s="28" t="n">
        <f aca="false">260752/100</f>
        <v>2607.52</v>
      </c>
      <c r="U1947" s="28" t="n">
        <v>20860</v>
      </c>
      <c r="V1947" s="28" t="n">
        <f aca="false">170453/100</f>
        <v>1704.53</v>
      </c>
      <c r="W1947" s="28" t="n">
        <v>13636</v>
      </c>
      <c r="X1947" s="28"/>
      <c r="Y1947" s="28" t="n">
        <f aca="false">X1947*$M1947</f>
        <v>0</v>
      </c>
      <c r="Z1947" s="28"/>
      <c r="AA1947" s="28" t="n">
        <f aca="false">Z1947*$M1947</f>
        <v>0</v>
      </c>
      <c r="AB1947" s="28"/>
      <c r="AC1947" s="28" t="n">
        <f aca="false">AB1947*$M1947</f>
        <v>0</v>
      </c>
      <c r="AD1947" s="28"/>
      <c r="AE1947" s="28" t="n">
        <f aca="false">AD1947*$M1947</f>
        <v>0</v>
      </c>
      <c r="AF1947" s="28"/>
      <c r="AG1947" s="28" t="n">
        <f aca="false">AF1947*$M1947</f>
        <v>0</v>
      </c>
      <c r="AH1947" s="28"/>
      <c r="AI1947" s="28" t="n">
        <f aca="false">AH1947*$M1947</f>
        <v>0</v>
      </c>
      <c r="AJ1947" s="28"/>
      <c r="AK1947" s="28" t="n">
        <f aca="false">AJ1947*$M1947</f>
        <v>0</v>
      </c>
      <c r="AL1947" s="28"/>
      <c r="AM1947" s="28" t="n">
        <f aca="false">AL1947*$M1947</f>
        <v>0</v>
      </c>
      <c r="AN1947" s="28"/>
      <c r="AO1947" s="28" t="n">
        <f aca="false">AN1947*$M1947</f>
        <v>0</v>
      </c>
      <c r="AP1947" s="28"/>
      <c r="AQ1947" s="28" t="n">
        <f aca="false">AP1947*$M1947</f>
        <v>0</v>
      </c>
      <c r="AR1947" s="28"/>
      <c r="AS1947" s="28" t="n">
        <f aca="false">AR1947*$M1947</f>
        <v>0</v>
      </c>
      <c r="AT1947" s="28"/>
      <c r="AU1947" s="28" t="n">
        <f aca="false">AT1947*$M1947</f>
        <v>0</v>
      </c>
      <c r="AV1947" s="28"/>
      <c r="AW1947" s="28" t="n">
        <f aca="false">AV1947*$M1947</f>
        <v>0</v>
      </c>
      <c r="AX1947" s="28"/>
      <c r="AY1947" s="28" t="n">
        <f aca="false">AX1947*$M1947</f>
        <v>0</v>
      </c>
      <c r="AZ1947" s="30" t="n">
        <f aca="false">431205/100</f>
        <v>4312.05</v>
      </c>
      <c r="BA1947" s="11" t="n">
        <v>34496</v>
      </c>
      <c r="BB1947" s="31" t="n">
        <f aca="false">SUM(Q1947,S1947,U1947,W1947,Y1947,AA1947,AC1947,AE1947,AG1947,AI1947,AK1947,AM1947,AO1947,AQ1947,AS1947,AU1947,AW1947,AY1947)</f>
        <v>34496</v>
      </c>
      <c r="BC1947" s="28" t="n">
        <f aca="false">BA1947-BB1947</f>
        <v>0</v>
      </c>
      <c r="BD1947" s="32" t="n">
        <f aca="false">SUM(P1947,R1947,T1947,V1947,X1947,Z1947,AB1947,AD1947,AF1947,AH1947,AJ1947,AL1947,AN1947,AP1947,AR1947,AT1947,AV1947,AX1947)</f>
        <v>4312.05</v>
      </c>
      <c r="BE1947" s="33" t="n">
        <f aca="false">AZ1947-BD1947</f>
        <v>0</v>
      </c>
      <c r="BF1947" s="34" t="n">
        <f aca="false">BD1947*M1947</f>
        <v>34496.4</v>
      </c>
      <c r="BG1947" s="35" t="n">
        <f aca="false">BA1947-BF1947</f>
        <v>-0.400000000001455</v>
      </c>
      <c r="BH1947" s="19" t="str">
        <f aca="false">IF(BG1947=0,"",IF(BG1947&lt;&gt;BA1947,"erreur de calcul",IF(BD1947&lt;&gt;0,"pas de prix",IF(M1947&lt;&gt; 0,"pas de quantité","pas de prix, ni de quantité"))))</f>
        <v>erreur de calcul</v>
      </c>
      <c r="BI1947" s="19"/>
    </row>
    <row r="1948" customFormat="false" ht="15" hidden="false" customHeight="false" outlineLevel="0" collapsed="false">
      <c r="A1948" s="0" t="n">
        <v>27</v>
      </c>
      <c r="B1948" s="8" t="s">
        <v>24</v>
      </c>
      <c r="C1948" s="9" t="s">
        <v>25</v>
      </c>
      <c r="D1948" s="9" t="s">
        <v>26</v>
      </c>
      <c r="E1948" s="10" t="n">
        <v>1789</v>
      </c>
      <c r="F1948" s="9" t="s">
        <v>27</v>
      </c>
      <c r="G1948" s="9" t="s">
        <v>27</v>
      </c>
      <c r="H1948" s="11" t="n">
        <v>23</v>
      </c>
      <c r="I1948" s="11" t="s">
        <v>269</v>
      </c>
      <c r="J1948" s="14"/>
      <c r="K1948" s="14" t="n">
        <v>50</v>
      </c>
      <c r="L1948" s="16"/>
      <c r="M1948" s="27" t="n">
        <f aca="false">J1948+(K1948/20)+(L1948/240)</f>
        <v>2.5</v>
      </c>
      <c r="N1948" s="17" t="s">
        <v>85</v>
      </c>
      <c r="O1948" s="11"/>
      <c r="P1948" s="28"/>
      <c r="Q1948" s="28" t="n">
        <f aca="false">P1948*$M1948</f>
        <v>0</v>
      </c>
      <c r="R1948" s="28"/>
      <c r="S1948" s="28" t="n">
        <f aca="false">R1948*$M1948</f>
        <v>0</v>
      </c>
      <c r="T1948" s="28" t="n">
        <f aca="false">221150/100</f>
        <v>2211.5</v>
      </c>
      <c r="U1948" s="28" t="n">
        <v>5529</v>
      </c>
      <c r="V1948" s="28" t="n">
        <f aca="false">3922156/100</f>
        <v>39221.56</v>
      </c>
      <c r="W1948" s="28" t="n">
        <v>98054</v>
      </c>
      <c r="X1948" s="28"/>
      <c r="Y1948" s="28" t="n">
        <f aca="false">X1948*$M1948</f>
        <v>0</v>
      </c>
      <c r="Z1948" s="28"/>
      <c r="AA1948" s="28" t="n">
        <f aca="false">Z1948*$M1948</f>
        <v>0</v>
      </c>
      <c r="AB1948" s="28" t="n">
        <f aca="false">297900/100</f>
        <v>2979</v>
      </c>
      <c r="AC1948" s="28" t="n">
        <v>7447</v>
      </c>
      <c r="AD1948" s="28"/>
      <c r="AE1948" s="28" t="n">
        <f aca="false">AD1948*$M1948</f>
        <v>0</v>
      </c>
      <c r="AF1948" s="28"/>
      <c r="AG1948" s="28" t="n">
        <f aca="false">AF1948*$M1948</f>
        <v>0</v>
      </c>
      <c r="AH1948" s="28"/>
      <c r="AI1948" s="28" t="n">
        <f aca="false">AH1948*$M1948</f>
        <v>0</v>
      </c>
      <c r="AJ1948" s="28"/>
      <c r="AK1948" s="28" t="n">
        <f aca="false">AJ1948*$M1948</f>
        <v>0</v>
      </c>
      <c r="AL1948" s="28"/>
      <c r="AM1948" s="28" t="n">
        <f aca="false">AL1948*$M1948</f>
        <v>0</v>
      </c>
      <c r="AN1948" s="28"/>
      <c r="AO1948" s="28" t="n">
        <f aca="false">AN1948*$M1948</f>
        <v>0</v>
      </c>
      <c r="AP1948" s="28"/>
      <c r="AQ1948" s="28" t="n">
        <f aca="false">AP1948*$M1948</f>
        <v>0</v>
      </c>
      <c r="AR1948" s="28"/>
      <c r="AS1948" s="28" t="n">
        <f aca="false">AR1948*$M1948</f>
        <v>0</v>
      </c>
      <c r="AT1948" s="28"/>
      <c r="AU1948" s="28" t="n">
        <f aca="false">AT1948*$M1948</f>
        <v>0</v>
      </c>
      <c r="AV1948" s="28"/>
      <c r="AW1948" s="28" t="n">
        <f aca="false">AV1948*$M1948</f>
        <v>0</v>
      </c>
      <c r="AX1948" s="28"/>
      <c r="AY1948" s="28" t="n">
        <f aca="false">AX1948*$M1948</f>
        <v>0</v>
      </c>
      <c r="AZ1948" s="30" t="n">
        <f aca="false">4441206/100</f>
        <v>44412.06</v>
      </c>
      <c r="BA1948" s="11" t="n">
        <v>111030</v>
      </c>
      <c r="BB1948" s="31" t="n">
        <f aca="false">SUM(Q1948,S1948,U1948,W1948,Y1948,AA1948,AC1948,AE1948,AG1948,AI1948,AK1948,AM1948,AO1948,AQ1948,AS1948,AU1948,AW1948,AY1948)</f>
        <v>111030</v>
      </c>
      <c r="BC1948" s="28" t="n">
        <f aca="false">BA1948-BB1948</f>
        <v>0</v>
      </c>
      <c r="BD1948" s="32" t="n">
        <f aca="false">SUM(P1948,R1948,T1948,V1948,X1948,Z1948,AB1948,AD1948,AF1948,AH1948,AJ1948,AL1948,AN1948,AP1948,AR1948,AT1948,AV1948,AX1948)</f>
        <v>44412.06</v>
      </c>
      <c r="BE1948" s="33" t="n">
        <f aca="false">AZ1948-BD1948</f>
        <v>0</v>
      </c>
      <c r="BF1948" s="34" t="n">
        <f aca="false">BD1948*M1948</f>
        <v>111030.15</v>
      </c>
      <c r="BG1948" s="35" t="n">
        <f aca="false">BA1948-BF1948</f>
        <v>-0.149999999994179</v>
      </c>
      <c r="BH1948" s="19" t="str">
        <f aca="false">IF(BG1948=0,"",IF(BG1948&lt;&gt;BA1948,"erreur de calcul",IF(BD1948&lt;&gt;0,"pas de prix",IF(M1948&lt;&gt; 0,"pas de quantité","pas de prix, ni de quantité"))))</f>
        <v>erreur de calcul</v>
      </c>
      <c r="BI1948" s="19"/>
    </row>
    <row r="1949" customFormat="false" ht="15" hidden="false" customHeight="false" outlineLevel="0" collapsed="false">
      <c r="A1949" s="0" t="n">
        <v>28</v>
      </c>
      <c r="B1949" s="8" t="s">
        <v>24</v>
      </c>
      <c r="C1949" s="9" t="s">
        <v>25</v>
      </c>
      <c r="D1949" s="9" t="s">
        <v>26</v>
      </c>
      <c r="E1949" s="10" t="n">
        <v>1789</v>
      </c>
      <c r="F1949" s="9" t="s">
        <v>27</v>
      </c>
      <c r="G1949" s="9" t="s">
        <v>27</v>
      </c>
      <c r="H1949" s="11" t="n">
        <v>23</v>
      </c>
      <c r="I1949" s="11" t="s">
        <v>270</v>
      </c>
      <c r="J1949" s="14" t="n">
        <v>5</v>
      </c>
      <c r="K1949" s="14"/>
      <c r="L1949" s="16"/>
      <c r="M1949" s="27" t="n">
        <f aca="false">J1949+(K1949/20)+(L1949/240)</f>
        <v>5</v>
      </c>
      <c r="N1949" s="17" t="s">
        <v>85</v>
      </c>
      <c r="O1949" s="11"/>
      <c r="P1949" s="28" t="n">
        <f aca="false">328200/100</f>
        <v>3282</v>
      </c>
      <c r="Q1949" s="28" t="n">
        <v>16410</v>
      </c>
      <c r="R1949" s="28"/>
      <c r="S1949" s="28" t="n">
        <f aca="false">R1949*$M1949</f>
        <v>0</v>
      </c>
      <c r="T1949" s="28" t="n">
        <f aca="false">667000/100</f>
        <v>6670</v>
      </c>
      <c r="U1949" s="36" t="n">
        <v>33360</v>
      </c>
      <c r="V1949" s="28" t="n">
        <f aca="false">506800/100</f>
        <v>5068</v>
      </c>
      <c r="W1949" s="28" t="n">
        <v>25340</v>
      </c>
      <c r="X1949" s="28"/>
      <c r="Y1949" s="28" t="n">
        <f aca="false">X1949*$M1949</f>
        <v>0</v>
      </c>
      <c r="Z1949" s="28"/>
      <c r="AA1949" s="28" t="n">
        <f aca="false">Z1949*$M1949</f>
        <v>0</v>
      </c>
      <c r="AB1949" s="28"/>
      <c r="AC1949" s="28" t="n">
        <f aca="false">AB1949*$M1949</f>
        <v>0</v>
      </c>
      <c r="AD1949" s="28"/>
      <c r="AE1949" s="28" t="n">
        <f aca="false">AD1949*$M1949</f>
        <v>0</v>
      </c>
      <c r="AF1949" s="28"/>
      <c r="AG1949" s="28" t="n">
        <f aca="false">AF1949*$M1949</f>
        <v>0</v>
      </c>
      <c r="AH1949" s="28" t="n">
        <f aca="false">320500/100</f>
        <v>3205</v>
      </c>
      <c r="AI1949" s="28" t="n">
        <v>16025</v>
      </c>
      <c r="AJ1949" s="28"/>
      <c r="AK1949" s="28" t="n">
        <f aca="false">AJ1949*$M1949</f>
        <v>0</v>
      </c>
      <c r="AL1949" s="28"/>
      <c r="AM1949" s="28" t="n">
        <f aca="false">AL1949*$M1949</f>
        <v>0</v>
      </c>
      <c r="AN1949" s="28"/>
      <c r="AO1949" s="28" t="n">
        <f aca="false">AN1949*$M1949</f>
        <v>0</v>
      </c>
      <c r="AP1949" s="28"/>
      <c r="AQ1949" s="28" t="n">
        <f aca="false">AP1949*$M1949</f>
        <v>0</v>
      </c>
      <c r="AR1949" s="28"/>
      <c r="AS1949" s="28" t="n">
        <f aca="false">AR1949*$M1949</f>
        <v>0</v>
      </c>
      <c r="AT1949" s="28"/>
      <c r="AU1949" s="28" t="n">
        <f aca="false">AT1949*$M1949</f>
        <v>0</v>
      </c>
      <c r="AV1949" s="28"/>
      <c r="AW1949" s="28" t="n">
        <f aca="false">AV1949*$M1949</f>
        <v>0</v>
      </c>
      <c r="AX1949" s="28"/>
      <c r="AY1949" s="28" t="n">
        <f aca="false">AX1949*$M1949</f>
        <v>0</v>
      </c>
      <c r="AZ1949" s="30" t="n">
        <f aca="false">1822500/100</f>
        <v>18225</v>
      </c>
      <c r="BA1949" s="11" t="n">
        <v>91135</v>
      </c>
      <c r="BB1949" s="31" t="n">
        <f aca="false">SUM(Q1949,S1949,U1949,W1949,Y1949,AA1949,AC1949,AE1949,AG1949,AI1949,AK1949,AM1949,AO1949,AQ1949,AS1949,AU1949,AW1949,AY1949)</f>
        <v>91135</v>
      </c>
      <c r="BC1949" s="28" t="n">
        <f aca="false">BA1949-BB1949</f>
        <v>0</v>
      </c>
      <c r="BD1949" s="32" t="n">
        <f aca="false">SUM(P1949,R1949,T1949,V1949,X1949,Z1949,AB1949,AD1949,AF1949,AH1949,AJ1949,AL1949,AN1949,AP1949,AR1949,AT1949,AV1949,AX1949)</f>
        <v>18225</v>
      </c>
      <c r="BE1949" s="33" t="n">
        <f aca="false">AZ1949-BD1949</f>
        <v>0</v>
      </c>
      <c r="BF1949" s="34" t="n">
        <f aca="false">BD1949*M1949</f>
        <v>91125</v>
      </c>
      <c r="BG1949" s="35" t="n">
        <f aca="false">BA1949-BF1949</f>
        <v>10</v>
      </c>
      <c r="BH1949" s="19" t="str">
        <f aca="false">IF(BG1949=0,"",IF(BG1949&lt;&gt;BA1949,"erreur de calcul",IF(BD1949&lt;&gt;0,"pas de prix",IF(M1949&lt;&gt; 0,"pas de quantité","pas de prix, ni de quantité"))))</f>
        <v>erreur de calcul</v>
      </c>
      <c r="BI1949" s="19"/>
    </row>
    <row r="1950" customFormat="false" ht="15" hidden="false" customHeight="false" outlineLevel="0" collapsed="false">
      <c r="A1950" s="0" t="n">
        <v>29</v>
      </c>
      <c r="B1950" s="8" t="s">
        <v>24</v>
      </c>
      <c r="C1950" s="9" t="s">
        <v>25</v>
      </c>
      <c r="D1950" s="9" t="s">
        <v>26</v>
      </c>
      <c r="E1950" s="10" t="n">
        <v>1789</v>
      </c>
      <c r="F1950" s="9" t="s">
        <v>27</v>
      </c>
      <c r="G1950" s="9" t="s">
        <v>27</v>
      </c>
      <c r="H1950" s="11" t="n">
        <v>23</v>
      </c>
      <c r="I1950" s="11" t="s">
        <v>271</v>
      </c>
      <c r="J1950" s="14" t="n">
        <v>7</v>
      </c>
      <c r="K1950" s="14" t="n">
        <v>10</v>
      </c>
      <c r="L1950" s="16"/>
      <c r="M1950" s="27" t="n">
        <f aca="false">J1950+(K1950/20)+(L1950/240)</f>
        <v>7.5</v>
      </c>
      <c r="N1950" s="17" t="s">
        <v>64</v>
      </c>
      <c r="O1950" s="11"/>
      <c r="P1950" s="28"/>
      <c r="Q1950" s="28" t="n">
        <f aca="false">P1950*$M1950</f>
        <v>0</v>
      </c>
      <c r="R1950" s="28"/>
      <c r="S1950" s="28" t="n">
        <f aca="false">R1950*$M1950</f>
        <v>0</v>
      </c>
      <c r="T1950" s="28"/>
      <c r="U1950" s="28" t="n">
        <f aca="false">T1950*$M1950</f>
        <v>0</v>
      </c>
      <c r="V1950" s="28" t="n">
        <f aca="false">191888/100</f>
        <v>1918.88</v>
      </c>
      <c r="W1950" s="28" t="n">
        <v>14392</v>
      </c>
      <c r="X1950" s="28"/>
      <c r="Y1950" s="28" t="n">
        <f aca="false">X1950*$M1950</f>
        <v>0</v>
      </c>
      <c r="Z1950" s="28"/>
      <c r="AA1950" s="28" t="n">
        <f aca="false">Z1950*$M1950</f>
        <v>0</v>
      </c>
      <c r="AB1950" s="28"/>
      <c r="AC1950" s="28" t="n">
        <f aca="false">AB1950*$M1950</f>
        <v>0</v>
      </c>
      <c r="AD1950" s="28"/>
      <c r="AE1950" s="28" t="n">
        <f aca="false">AD1950*$M1950</f>
        <v>0</v>
      </c>
      <c r="AF1950" s="28"/>
      <c r="AG1950" s="28" t="n">
        <f aca="false">AF1950*$M1950</f>
        <v>0</v>
      </c>
      <c r="AH1950" s="28"/>
      <c r="AI1950" s="28" t="n">
        <f aca="false">AH1950*$M1950</f>
        <v>0</v>
      </c>
      <c r="AJ1950" s="28"/>
      <c r="AK1950" s="28" t="n">
        <f aca="false">AJ1950*$M1950</f>
        <v>0</v>
      </c>
      <c r="AL1950" s="28"/>
      <c r="AM1950" s="28" t="n">
        <f aca="false">AL1950*$M1950</f>
        <v>0</v>
      </c>
      <c r="AN1950" s="28"/>
      <c r="AO1950" s="28" t="n">
        <f aca="false">AN1950*$M1950</f>
        <v>0</v>
      </c>
      <c r="AP1950" s="28"/>
      <c r="AQ1950" s="28" t="n">
        <f aca="false">AP1950*$M1950</f>
        <v>0</v>
      </c>
      <c r="AR1950" s="28"/>
      <c r="AS1950" s="28" t="n">
        <f aca="false">AR1950*$M1950</f>
        <v>0</v>
      </c>
      <c r="AT1950" s="28"/>
      <c r="AU1950" s="28" t="n">
        <f aca="false">AT1950*$M1950</f>
        <v>0</v>
      </c>
      <c r="AV1950" s="28"/>
      <c r="AW1950" s="28" t="n">
        <f aca="false">AV1950*$M1950</f>
        <v>0</v>
      </c>
      <c r="AX1950" s="28"/>
      <c r="AY1950" s="28" t="n">
        <f aca="false">AX1950*$M1950</f>
        <v>0</v>
      </c>
      <c r="AZ1950" s="30" t="n">
        <f aca="false">191888/100</f>
        <v>1918.88</v>
      </c>
      <c r="BA1950" s="11" t="n">
        <v>14392</v>
      </c>
      <c r="BB1950" s="31" t="n">
        <f aca="false">SUM(Q1950,S1950,U1950,W1950,Y1950,AA1950,AC1950,AE1950,AG1950,AI1950,AK1950,AM1950,AO1950,AQ1950,AS1950,AU1950,AW1950,AY1950)</f>
        <v>14392</v>
      </c>
      <c r="BC1950" s="28" t="n">
        <f aca="false">BA1950-BB1950</f>
        <v>0</v>
      </c>
      <c r="BD1950" s="32" t="n">
        <f aca="false">SUM(P1950,R1950,T1950,V1950,X1950,Z1950,AB1950,AD1950,AF1950,AH1950,AJ1950,AL1950,AN1950,AP1950,AR1950,AT1950,AV1950,AX1950)</f>
        <v>1918.88</v>
      </c>
      <c r="BE1950" s="33" t="n">
        <f aca="false">AZ1950-BD1950</f>
        <v>0</v>
      </c>
      <c r="BF1950" s="34" t="n">
        <f aca="false">BD1950*M1950</f>
        <v>14391.6</v>
      </c>
      <c r="BG1950" s="35" t="n">
        <f aca="false">BA1950-BF1950</f>
        <v>0.399999999999636</v>
      </c>
      <c r="BH1950" s="19" t="str">
        <f aca="false">IF(BG1950=0,"",IF(BG1950&lt;&gt;BA1950,"erreur de calcul",IF(BD1950&lt;&gt;0,"pas de prix",IF(M1950&lt;&gt; 0,"pas de quantité","pas de prix, ni de quantité"))))</f>
        <v>erreur de calcul</v>
      </c>
      <c r="BI1950" s="19"/>
    </row>
    <row r="1951" customFormat="false" ht="15" hidden="false" customHeight="false" outlineLevel="0" collapsed="false">
      <c r="A1951" s="0" t="n">
        <v>30</v>
      </c>
      <c r="B1951" s="8" t="s">
        <v>24</v>
      </c>
      <c r="C1951" s="9" t="s">
        <v>25</v>
      </c>
      <c r="D1951" s="9" t="s">
        <v>26</v>
      </c>
      <c r="E1951" s="10" t="n">
        <v>1789</v>
      </c>
      <c r="F1951" s="9" t="s">
        <v>27</v>
      </c>
      <c r="G1951" s="9" t="s">
        <v>27</v>
      </c>
      <c r="H1951" s="11" t="n">
        <v>23</v>
      </c>
      <c r="I1951" s="11" t="s">
        <v>272</v>
      </c>
      <c r="J1951" s="14" t="n">
        <v>6</v>
      </c>
      <c r="K1951" s="14"/>
      <c r="L1951" s="16"/>
      <c r="M1951" s="27" t="n">
        <f aca="false">J1951+(K1951/20)+(L1951/240)</f>
        <v>6</v>
      </c>
      <c r="N1951" s="17" t="s">
        <v>64</v>
      </c>
      <c r="O1951" s="11"/>
      <c r="P1951" s="28"/>
      <c r="Q1951" s="28" t="n">
        <f aca="false">P1951*$M1951</f>
        <v>0</v>
      </c>
      <c r="R1951" s="28"/>
      <c r="S1951" s="28" t="n">
        <f aca="false">R1951*$M1951</f>
        <v>0</v>
      </c>
      <c r="T1951" s="28" t="n">
        <f aca="false">26711/100</f>
        <v>267.11</v>
      </c>
      <c r="U1951" s="28" t="n">
        <v>1603</v>
      </c>
      <c r="V1951" s="28" t="n">
        <f aca="false">790699/100</f>
        <v>7906.99</v>
      </c>
      <c r="W1951" s="28" t="n">
        <v>47442</v>
      </c>
      <c r="X1951" s="28" t="n">
        <f aca="false">50169/100</f>
        <v>501.69</v>
      </c>
      <c r="Y1951" s="28" t="n">
        <v>3010</v>
      </c>
      <c r="Z1951" s="28"/>
      <c r="AA1951" s="28" t="n">
        <f aca="false">Z1951*$M1951</f>
        <v>0</v>
      </c>
      <c r="AB1951" s="28"/>
      <c r="AC1951" s="28" t="n">
        <f aca="false">AB1951*$M1951</f>
        <v>0</v>
      </c>
      <c r="AD1951" s="28"/>
      <c r="AE1951" s="28" t="n">
        <f aca="false">AD1951*$M1951</f>
        <v>0</v>
      </c>
      <c r="AF1951" s="28"/>
      <c r="AG1951" s="28" t="n">
        <f aca="false">AF1951*$M1951</f>
        <v>0</v>
      </c>
      <c r="AH1951" s="28"/>
      <c r="AI1951" s="28" t="n">
        <f aca="false">AH1951*$M1951</f>
        <v>0</v>
      </c>
      <c r="AJ1951" s="28"/>
      <c r="AK1951" s="28" t="n">
        <f aca="false">AJ1951*$M1951</f>
        <v>0</v>
      </c>
      <c r="AL1951" s="28"/>
      <c r="AM1951" s="28" t="n">
        <f aca="false">AL1951*$M1951</f>
        <v>0</v>
      </c>
      <c r="AN1951" s="28"/>
      <c r="AO1951" s="28" t="n">
        <f aca="false">AN1951*$M1951</f>
        <v>0</v>
      </c>
      <c r="AP1951" s="28"/>
      <c r="AQ1951" s="28" t="n">
        <f aca="false">AP1951*$M1951</f>
        <v>0</v>
      </c>
      <c r="AR1951" s="28"/>
      <c r="AS1951" s="28" t="n">
        <f aca="false">AR1951*$M1951</f>
        <v>0</v>
      </c>
      <c r="AT1951" s="28"/>
      <c r="AU1951" s="28" t="n">
        <f aca="false">AT1951*$M1951</f>
        <v>0</v>
      </c>
      <c r="AV1951" s="28"/>
      <c r="AW1951" s="28" t="n">
        <f aca="false">AV1951*$M1951</f>
        <v>0</v>
      </c>
      <c r="AX1951" s="28"/>
      <c r="AY1951" s="28" t="n">
        <f aca="false">AX1951*$M1951</f>
        <v>0</v>
      </c>
      <c r="AZ1951" s="30" t="n">
        <f aca="false">867559/100</f>
        <v>8675.59</v>
      </c>
      <c r="BA1951" s="11" t="n">
        <v>52055</v>
      </c>
      <c r="BB1951" s="31" t="n">
        <f aca="false">SUM(Q1951,S1951,U1951,W1951,Y1951,AA1951,AC1951,AE1951,AG1951,AI1951,AK1951,AM1951,AO1951,AQ1951,AS1951,AU1951,AW1951,AY1951)</f>
        <v>52055</v>
      </c>
      <c r="BC1951" s="28" t="n">
        <f aca="false">BA1951-BB1951</f>
        <v>0</v>
      </c>
      <c r="BD1951" s="32" t="n">
        <f aca="false">SUM(P1951,R1951,T1951,V1951,X1951,Z1951,AB1951,AD1951,AF1951,AH1951,AJ1951,AL1951,AN1951,AP1951,AR1951,AT1951,AV1951,AX1951)</f>
        <v>8675.79</v>
      </c>
      <c r="BE1951" s="33" t="n">
        <f aca="false">AZ1951-BD1951</f>
        <v>-0.200000000000728</v>
      </c>
      <c r="BF1951" s="34" t="n">
        <f aca="false">BD1951*M1951</f>
        <v>52054.74</v>
      </c>
      <c r="BG1951" s="35" t="n">
        <f aca="false">BA1951-BF1951</f>
        <v>0.259999999994761</v>
      </c>
      <c r="BH1951" s="19" t="str">
        <f aca="false">IF(BG1951=0,"",IF(BG1951&lt;&gt;BA1951,"erreur de calcul",IF(BD1951&lt;&gt;0,"pas de prix",IF(M1951&lt;&gt; 0,"pas de quantité","pas de prix, ni de quantité"))))</f>
        <v>erreur de calcul</v>
      </c>
      <c r="BI1951" s="19"/>
    </row>
    <row r="1952" customFormat="false" ht="15" hidden="false" customHeight="false" outlineLevel="0" collapsed="false">
      <c r="A1952" s="0" t="n">
        <v>31</v>
      </c>
      <c r="B1952" s="8" t="s">
        <v>24</v>
      </c>
      <c r="C1952" s="9" t="s">
        <v>25</v>
      </c>
      <c r="D1952" s="9" t="s">
        <v>26</v>
      </c>
      <c r="E1952" s="10" t="n">
        <v>1789</v>
      </c>
      <c r="F1952" s="9" t="s">
        <v>27</v>
      </c>
      <c r="G1952" s="9" t="s">
        <v>27</v>
      </c>
      <c r="H1952" s="11" t="n">
        <v>23</v>
      </c>
      <c r="I1952" s="11" t="s">
        <v>273</v>
      </c>
      <c r="J1952" s="14" t="n">
        <v>8</v>
      </c>
      <c r="K1952" s="14"/>
      <c r="L1952" s="16"/>
      <c r="M1952" s="27" t="n">
        <f aca="false">J1952+(K1952/20)+(L1952/240)</f>
        <v>8</v>
      </c>
      <c r="N1952" s="17" t="s">
        <v>81</v>
      </c>
      <c r="O1952" s="11"/>
      <c r="P1952" s="28" t="n">
        <v>27</v>
      </c>
      <c r="Q1952" s="28" t="n">
        <v>216</v>
      </c>
      <c r="R1952" s="28"/>
      <c r="S1952" s="28" t="n">
        <f aca="false">R1952*$M1952</f>
        <v>0</v>
      </c>
      <c r="T1952" s="28"/>
      <c r="U1952" s="28" t="n">
        <f aca="false">T1952*$M1952</f>
        <v>0</v>
      </c>
      <c r="V1952" s="28" t="n">
        <v>40</v>
      </c>
      <c r="W1952" s="28" t="n">
        <v>320</v>
      </c>
      <c r="X1952" s="28"/>
      <c r="Y1952" s="28" t="n">
        <f aca="false">X1952*$M1952</f>
        <v>0</v>
      </c>
      <c r="Z1952" s="28"/>
      <c r="AA1952" s="28" t="n">
        <f aca="false">Z1952*$M1952</f>
        <v>0</v>
      </c>
      <c r="AB1952" s="28" t="n">
        <v>164</v>
      </c>
      <c r="AC1952" s="28" t="n">
        <v>1312</v>
      </c>
      <c r="AD1952" s="28"/>
      <c r="AE1952" s="28" t="n">
        <f aca="false">AD1952*$M1952</f>
        <v>0</v>
      </c>
      <c r="AF1952" s="28" t="n">
        <v>263</v>
      </c>
      <c r="AG1952" s="28" t="n">
        <v>2104</v>
      </c>
      <c r="AH1952" s="28"/>
      <c r="AI1952" s="28" t="n">
        <f aca="false">AH1952*$M1952</f>
        <v>0</v>
      </c>
      <c r="AJ1952" s="28"/>
      <c r="AK1952" s="28" t="n">
        <f aca="false">AJ1952*$M1952</f>
        <v>0</v>
      </c>
      <c r="AL1952" s="28"/>
      <c r="AM1952" s="28" t="n">
        <f aca="false">AL1952*$M1952</f>
        <v>0</v>
      </c>
      <c r="AN1952" s="28"/>
      <c r="AO1952" s="28" t="n">
        <f aca="false">AN1952*$M1952</f>
        <v>0</v>
      </c>
      <c r="AP1952" s="28" t="n">
        <v>278</v>
      </c>
      <c r="AQ1952" s="28" t="n">
        <v>2224</v>
      </c>
      <c r="AR1952" s="28"/>
      <c r="AS1952" s="28" t="n">
        <f aca="false">AR1952*$M1952</f>
        <v>0</v>
      </c>
      <c r="AT1952" s="28"/>
      <c r="AU1952" s="28" t="n">
        <f aca="false">AT1952*$M1952</f>
        <v>0</v>
      </c>
      <c r="AV1952" s="28"/>
      <c r="AW1952" s="28" t="n">
        <f aca="false">AV1952*$M1952</f>
        <v>0</v>
      </c>
      <c r="AX1952" s="28"/>
      <c r="AY1952" s="28" t="n">
        <f aca="false">AX1952*$M1952</f>
        <v>0</v>
      </c>
      <c r="AZ1952" s="30" t="n">
        <v>772</v>
      </c>
      <c r="BA1952" s="11" t="n">
        <v>6176</v>
      </c>
      <c r="BB1952" s="31" t="n">
        <f aca="false">SUM(Q1952,S1952,U1952,W1952,Y1952,AA1952,AC1952,AE1952,AG1952,AI1952,AK1952,AM1952,AO1952,AQ1952,AS1952,AU1952,AW1952,AY1952)</f>
        <v>6176</v>
      </c>
      <c r="BC1952" s="28" t="n">
        <f aca="false">BA1952-BB1952</f>
        <v>0</v>
      </c>
      <c r="BD1952" s="32" t="n">
        <f aca="false">SUM(P1952,R1952,T1952,V1952,X1952,Z1952,AB1952,AD1952,AF1952,AH1952,AJ1952,AL1952,AN1952,AP1952,AR1952,AT1952,AV1952,AX1952)</f>
        <v>772</v>
      </c>
      <c r="BE1952" s="33" t="n">
        <f aca="false">AZ1952-BD1952</f>
        <v>0</v>
      </c>
      <c r="BF1952" s="34" t="n">
        <f aca="false">BD1952*M1952</f>
        <v>6176</v>
      </c>
      <c r="BG1952" s="35" t="n">
        <f aca="false">BA1952-BF1952</f>
        <v>0</v>
      </c>
      <c r="BH1952" s="19" t="str">
        <f aca="false">IF(BG1952=0,"",IF(BG1952&lt;&gt;BA1952,"erreur de calcul",IF(BD1952&lt;&gt;0,"pas de prix",IF(M1952&lt;&gt; 0,"pas de quantité","pas de prix, ni de quantité"))))</f>
        <v/>
      </c>
      <c r="BI1952" s="19"/>
    </row>
    <row r="1953" customFormat="false" ht="15" hidden="false" customHeight="false" outlineLevel="0" collapsed="false">
      <c r="A1953" s="0" t="n">
        <v>32</v>
      </c>
      <c r="B1953" s="8" t="s">
        <v>24</v>
      </c>
      <c r="C1953" s="9" t="s">
        <v>25</v>
      </c>
      <c r="D1953" s="9" t="s">
        <v>26</v>
      </c>
      <c r="E1953" s="10" t="n">
        <v>1789</v>
      </c>
      <c r="F1953" s="9" t="s">
        <v>27</v>
      </c>
      <c r="G1953" s="9" t="s">
        <v>27</v>
      </c>
      <c r="H1953" s="11" t="n">
        <v>23</v>
      </c>
      <c r="I1953" s="11" t="s">
        <v>274</v>
      </c>
      <c r="J1953" s="14" t="n">
        <v>17</v>
      </c>
      <c r="K1953" s="14"/>
      <c r="L1953" s="16"/>
      <c r="M1953" s="27" t="n">
        <f aca="false">J1953+(K1953/20)+(L1953/240)</f>
        <v>17</v>
      </c>
      <c r="N1953" s="17" t="s">
        <v>275</v>
      </c>
      <c r="O1953" s="11"/>
      <c r="P1953" s="28" t="n">
        <v>200</v>
      </c>
      <c r="Q1953" s="28" t="n">
        <v>3400</v>
      </c>
      <c r="R1953" s="28"/>
      <c r="S1953" s="28" t="n">
        <f aca="false">R1953*$M1953</f>
        <v>0</v>
      </c>
      <c r="T1953" s="28"/>
      <c r="U1953" s="28" t="n">
        <f aca="false">T1953*$M1953</f>
        <v>0</v>
      </c>
      <c r="V1953" s="28"/>
      <c r="W1953" s="28" t="n">
        <f aca="false">V1953*$M1953</f>
        <v>0</v>
      </c>
      <c r="X1953" s="28" t="n">
        <v>145</v>
      </c>
      <c r="Y1953" s="28" t="n">
        <v>2465</v>
      </c>
      <c r="Z1953" s="28"/>
      <c r="AA1953" s="28" t="n">
        <f aca="false">Z1953*$M1953</f>
        <v>0</v>
      </c>
      <c r="AB1953" s="28"/>
      <c r="AC1953" s="28" t="n">
        <f aca="false">AB1953*$M1953</f>
        <v>0</v>
      </c>
      <c r="AD1953" s="28"/>
      <c r="AE1953" s="28" t="n">
        <f aca="false">AD1953*$M1953</f>
        <v>0</v>
      </c>
      <c r="AF1953" s="28"/>
      <c r="AG1953" s="28" t="n">
        <f aca="false">AF1953*$M1953</f>
        <v>0</v>
      </c>
      <c r="AH1953" s="28"/>
      <c r="AI1953" s="28" t="n">
        <f aca="false">AH1953*$M1953</f>
        <v>0</v>
      </c>
      <c r="AJ1953" s="28"/>
      <c r="AK1953" s="28" t="n">
        <f aca="false">AJ1953*$M1953</f>
        <v>0</v>
      </c>
      <c r="AL1953" s="28" t="n">
        <v>12</v>
      </c>
      <c r="AM1953" s="28" t="n">
        <v>204</v>
      </c>
      <c r="AN1953" s="28"/>
      <c r="AO1953" s="28" t="n">
        <f aca="false">AN1953*$M1953</f>
        <v>0</v>
      </c>
      <c r="AP1953" s="28"/>
      <c r="AQ1953" s="28" t="n">
        <f aca="false">AP1953*$M1953</f>
        <v>0</v>
      </c>
      <c r="AR1953" s="28"/>
      <c r="AS1953" s="28" t="n">
        <f aca="false">AR1953*$M1953</f>
        <v>0</v>
      </c>
      <c r="AT1953" s="28"/>
      <c r="AU1953" s="28" t="n">
        <f aca="false">AT1953*$M1953</f>
        <v>0</v>
      </c>
      <c r="AV1953" s="28"/>
      <c r="AW1953" s="28" t="n">
        <f aca="false">AV1953*$M1953</f>
        <v>0</v>
      </c>
      <c r="AX1953" s="28"/>
      <c r="AY1953" s="28" t="n">
        <f aca="false">AX1953*$M1953</f>
        <v>0</v>
      </c>
      <c r="AZ1953" s="30" t="n">
        <v>357</v>
      </c>
      <c r="BA1953" s="11" t="n">
        <v>6069</v>
      </c>
      <c r="BB1953" s="31" t="n">
        <f aca="false">SUM(Q1953,S1953,U1953,W1953,Y1953,AA1953,AC1953,AE1953,AG1953,AI1953,AK1953,AM1953,AO1953,AQ1953,AS1953,AU1953,AW1953,AY1953)</f>
        <v>6069</v>
      </c>
      <c r="BC1953" s="28" t="n">
        <f aca="false">BA1953-BB1953</f>
        <v>0</v>
      </c>
      <c r="BD1953" s="32" t="n">
        <f aca="false">SUM(P1953,R1953,T1953,V1953,X1953,Z1953,AB1953,AD1953,AF1953,AH1953,AJ1953,AL1953,AN1953,AP1953,AR1953,AT1953,AV1953,AX1953)</f>
        <v>357</v>
      </c>
      <c r="BE1953" s="33" t="n">
        <f aca="false">AZ1953-BD1953</f>
        <v>0</v>
      </c>
      <c r="BF1953" s="34" t="n">
        <f aca="false">BD1953*M1953</f>
        <v>6069</v>
      </c>
      <c r="BG1953" s="35" t="n">
        <f aca="false">BA1953-BF1953</f>
        <v>0</v>
      </c>
      <c r="BH1953" s="19" t="str">
        <f aca="false">IF(BG1953=0,"",IF(BG1953&lt;&gt;BA1953,"erreur de calcul",IF(BD1953&lt;&gt;0,"pas de prix",IF(M1953&lt;&gt; 0,"pas de quantité","pas de prix, ni de quantité"))))</f>
        <v/>
      </c>
      <c r="BI1953" s="19" t="s">
        <v>275</v>
      </c>
    </row>
    <row r="1954" customFormat="false" ht="15" hidden="false" customHeight="false" outlineLevel="0" collapsed="false">
      <c r="A1954" s="0" t="n">
        <v>33</v>
      </c>
      <c r="B1954" s="8" t="s">
        <v>24</v>
      </c>
      <c r="C1954" s="9" t="s">
        <v>25</v>
      </c>
      <c r="D1954" s="9" t="s">
        <v>26</v>
      </c>
      <c r="E1954" s="10" t="n">
        <v>1789</v>
      </c>
      <c r="F1954" s="9" t="s">
        <v>27</v>
      </c>
      <c r="G1954" s="9" t="s">
        <v>27</v>
      </c>
      <c r="H1954" s="11" t="n">
        <v>23</v>
      </c>
      <c r="I1954" s="11" t="s">
        <v>276</v>
      </c>
      <c r="J1954" s="14" t="n">
        <v>36</v>
      </c>
      <c r="K1954" s="14"/>
      <c r="L1954" s="16"/>
      <c r="M1954" s="27" t="n">
        <f aca="false">J1954+(K1954/20)+(L1954/240)</f>
        <v>36</v>
      </c>
      <c r="N1954" s="17" t="s">
        <v>275</v>
      </c>
      <c r="O1954" s="11" t="s">
        <v>277</v>
      </c>
      <c r="P1954" s="28"/>
      <c r="Q1954" s="28" t="n">
        <f aca="false">P1954*$M1954</f>
        <v>0</v>
      </c>
      <c r="R1954" s="28"/>
      <c r="S1954" s="28" t="n">
        <f aca="false">R1954*$M1954</f>
        <v>0</v>
      </c>
      <c r="T1954" s="28"/>
      <c r="U1954" s="28" t="n">
        <f aca="false">T1954*$M1954</f>
        <v>0</v>
      </c>
      <c r="V1954" s="28"/>
      <c r="W1954" s="28" t="n">
        <f aca="false">V1954*$M1954</f>
        <v>0</v>
      </c>
      <c r="X1954" s="28"/>
      <c r="Y1954" s="28" t="n">
        <f aca="false">X1954*$M1954</f>
        <v>0</v>
      </c>
      <c r="Z1954" s="28"/>
      <c r="AA1954" s="28" t="n">
        <f aca="false">Z1954*$M1954</f>
        <v>0</v>
      </c>
      <c r="AB1954" s="28"/>
      <c r="AC1954" s="28" t="n">
        <f aca="false">AB1954*$M1954</f>
        <v>0</v>
      </c>
      <c r="AD1954" s="28"/>
      <c r="AE1954" s="28" t="n">
        <f aca="false">AD1954*$M1954</f>
        <v>0</v>
      </c>
      <c r="AF1954" s="28"/>
      <c r="AG1954" s="28" t="n">
        <f aca="false">AF1954*$M1954</f>
        <v>0</v>
      </c>
      <c r="AH1954" s="28"/>
      <c r="AI1954" s="28" t="n">
        <f aca="false">AH1954*$M1954</f>
        <v>0</v>
      </c>
      <c r="AJ1954" s="28"/>
      <c r="AK1954" s="28" t="n">
        <f aca="false">AJ1954*$M1954</f>
        <v>0</v>
      </c>
      <c r="AL1954" s="28"/>
      <c r="AM1954" s="28" t="n">
        <f aca="false">AL1954*$M1954</f>
        <v>0</v>
      </c>
      <c r="AN1954" s="28"/>
      <c r="AO1954" s="28" t="n">
        <f aca="false">AN1954*$M1954</f>
        <v>0</v>
      </c>
      <c r="AP1954" s="28"/>
      <c r="AQ1954" s="28" t="n">
        <f aca="false">AP1954*$M1954</f>
        <v>0</v>
      </c>
      <c r="AR1954" s="28"/>
      <c r="AS1954" s="28" t="n">
        <f aca="false">AR1954*$M1954</f>
        <v>0</v>
      </c>
      <c r="AT1954" s="28"/>
      <c r="AU1954" s="28" t="n">
        <f aca="false">AT1954*$M1954</f>
        <v>0</v>
      </c>
      <c r="AV1954" s="28"/>
      <c r="AW1954" s="28" t="n">
        <f aca="false">AV1954*$M1954</f>
        <v>0</v>
      </c>
      <c r="AX1954" s="28"/>
      <c r="AY1954" s="28" t="n">
        <f aca="false">AX1954*$M1954</f>
        <v>0</v>
      </c>
      <c r="AZ1954" s="30"/>
      <c r="BA1954" s="11"/>
      <c r="BB1954" s="31" t="n">
        <f aca="false">SUM(Q1954,S1954,U1954,W1954,Y1954,AA1954,AC1954,AE1954,AG1954,AI1954,AK1954,AM1954,AO1954,AQ1954,AS1954,AU1954,AW1954,AY1954)</f>
        <v>0</v>
      </c>
      <c r="BC1954" s="28" t="n">
        <f aca="false">BA1954-BB1954</f>
        <v>0</v>
      </c>
      <c r="BD1954" s="32" t="n">
        <f aca="false">SUM(P1954,R1954,T1954,V1954,X1954,Z1954,AB1954,AD1954,AF1954,AH1954,AJ1954,AL1954,AN1954,AP1954,AR1954,AT1954,AV1954,AX1954)</f>
        <v>0</v>
      </c>
      <c r="BE1954" s="33" t="n">
        <f aca="false">AZ1954-BD1954</f>
        <v>0</v>
      </c>
      <c r="BF1954" s="34" t="n">
        <f aca="false">BD1954*M1954</f>
        <v>0</v>
      </c>
      <c r="BG1954" s="35" t="n">
        <f aca="false">BA1954-BF1954</f>
        <v>0</v>
      </c>
      <c r="BH1954" s="19" t="str">
        <f aca="false">IF(BG1954=0,"",IF(BG1954&lt;&gt;BA1954,"erreur de calcul",IF(BD1954&lt;&gt;0,"pas de prix",IF(M1954&lt;&gt; 0,"pas de quantité","pas de prix, ni de quantité"))))</f>
        <v/>
      </c>
      <c r="BI1954" s="19" t="s">
        <v>275</v>
      </c>
    </row>
    <row r="1955" customFormat="false" ht="15" hidden="false" customHeight="false" outlineLevel="0" collapsed="false">
      <c r="A1955" s="0" t="n">
        <v>34</v>
      </c>
      <c r="B1955" s="8" t="s">
        <v>24</v>
      </c>
      <c r="C1955" s="9" t="s">
        <v>25</v>
      </c>
      <c r="D1955" s="9" t="s">
        <v>26</v>
      </c>
      <c r="E1955" s="10" t="n">
        <v>1789</v>
      </c>
      <c r="F1955" s="9" t="s">
        <v>27</v>
      </c>
      <c r="G1955" s="9" t="s">
        <v>27</v>
      </c>
      <c r="H1955" s="11" t="n">
        <v>23</v>
      </c>
      <c r="I1955" s="11" t="s">
        <v>276</v>
      </c>
      <c r="J1955" s="14" t="n">
        <v>36</v>
      </c>
      <c r="K1955" s="14"/>
      <c r="L1955" s="16"/>
      <c r="M1955" s="27" t="n">
        <f aca="false">J1955+(K1955/20)+(L1955/240)</f>
        <v>36</v>
      </c>
      <c r="N1955" s="17" t="s">
        <v>275</v>
      </c>
      <c r="O1955" s="11" t="s">
        <v>77</v>
      </c>
      <c r="P1955" s="28" t="n">
        <v>7250</v>
      </c>
      <c r="Q1955" s="28" t="n">
        <v>261000</v>
      </c>
      <c r="R1955" s="28"/>
      <c r="S1955" s="28" t="n">
        <f aca="false">R1955*$M1955</f>
        <v>0</v>
      </c>
      <c r="T1955" s="28" t="n">
        <v>38389</v>
      </c>
      <c r="U1955" s="28" t="n">
        <v>1382004</v>
      </c>
      <c r="V1955" s="28" t="n">
        <v>19350</v>
      </c>
      <c r="W1955" s="28" t="n">
        <v>696600</v>
      </c>
      <c r="X1955" s="28" t="n">
        <v>25392</v>
      </c>
      <c r="Y1955" s="28" t="n">
        <v>914112</v>
      </c>
      <c r="Z1955" s="28" t="n">
        <v>31863</v>
      </c>
      <c r="AA1955" s="28" t="n">
        <v>1147068</v>
      </c>
      <c r="AB1955" s="28" t="n">
        <v>149064</v>
      </c>
      <c r="AC1955" s="28" t="n">
        <v>5366304</v>
      </c>
      <c r="AD1955" s="28" t="n">
        <v>1270</v>
      </c>
      <c r="AE1955" s="28" t="n">
        <v>45720</v>
      </c>
      <c r="AF1955" s="28" t="n">
        <v>54784</v>
      </c>
      <c r="AG1955" s="28" t="n">
        <v>1972224</v>
      </c>
      <c r="AH1955" s="28" t="n">
        <v>1200</v>
      </c>
      <c r="AI1955" s="28" t="n">
        <v>43200</v>
      </c>
      <c r="AJ1955" s="28" t="n">
        <v>10055</v>
      </c>
      <c r="AK1955" s="28" t="n">
        <v>361980</v>
      </c>
      <c r="AL1955" s="28"/>
      <c r="AM1955" s="28" t="n">
        <f aca="false">AL1955*$M1955</f>
        <v>0</v>
      </c>
      <c r="AN1955" s="28"/>
      <c r="AO1955" s="28" t="n">
        <f aca="false">AN1955*$M1955</f>
        <v>0</v>
      </c>
      <c r="AP1955" s="28" t="n">
        <v>220</v>
      </c>
      <c r="AQ1955" s="28" t="n">
        <f aca="false">AP1955*$M1955</f>
        <v>7920</v>
      </c>
      <c r="AR1955" s="28"/>
      <c r="AS1955" s="28" t="n">
        <f aca="false">AR1955*$M1955</f>
        <v>0</v>
      </c>
      <c r="AT1955" s="28"/>
      <c r="AU1955" s="28" t="n">
        <f aca="false">AT1955*$M1955</f>
        <v>0</v>
      </c>
      <c r="AV1955" s="28" t="n">
        <v>100</v>
      </c>
      <c r="AW1955" s="28" t="n">
        <v>3600</v>
      </c>
      <c r="AX1955" s="28" t="n">
        <v>9241</v>
      </c>
      <c r="AY1955" s="28" t="n">
        <v>332676</v>
      </c>
      <c r="AZ1955" s="30" t="n">
        <v>348178</v>
      </c>
      <c r="BA1955" s="11" t="n">
        <v>12534408</v>
      </c>
      <c r="BB1955" s="31" t="n">
        <f aca="false">SUM(Q1955,S1955,U1955,W1955,Y1955,AA1955,AC1955,AE1955,AG1955,AI1955,AK1955,AM1955,AO1955,AQ1955,AS1955,AU1955,AW1955,AY1955)</f>
        <v>12534408</v>
      </c>
      <c r="BC1955" s="28" t="n">
        <f aca="false">BA1955-BB1955</f>
        <v>0</v>
      </c>
      <c r="BD1955" s="32" t="n">
        <f aca="false">SUM(P1955,R1955,T1955,V1955,X1955,Z1955,AB1955,AD1955,AF1955,AH1955,AJ1955,AL1955,AN1955,AP1955,AR1955,AT1955,AV1955,AX1955)</f>
        <v>348178</v>
      </c>
      <c r="BE1955" s="33" t="n">
        <f aca="false">AZ1955-BD1955</f>
        <v>0</v>
      </c>
      <c r="BF1955" s="34" t="n">
        <f aca="false">BD1955*M1955</f>
        <v>12534408</v>
      </c>
      <c r="BG1955" s="35" t="n">
        <f aca="false">BA1955-BF1955</f>
        <v>0</v>
      </c>
      <c r="BH1955" s="19" t="str">
        <f aca="false">IF(BG1955=0,"",IF(BG1955&lt;&gt;BA1955,"erreur de calcul",IF(BD1955&lt;&gt;0,"pas de prix",IF(M1955&lt;&gt; 0,"pas de quantité","pas de prix, ni de quantité"))))</f>
        <v/>
      </c>
      <c r="BI1955" s="19"/>
    </row>
    <row r="1956" customFormat="false" ht="15" hidden="false" customHeight="false" outlineLevel="0" collapsed="false">
      <c r="A1956" s="0" t="n">
        <v>35</v>
      </c>
      <c r="B1956" s="8" t="s">
        <v>24</v>
      </c>
      <c r="C1956" s="9" t="s">
        <v>25</v>
      </c>
      <c r="D1956" s="9" t="s">
        <v>26</v>
      </c>
      <c r="E1956" s="10" t="n">
        <v>1789</v>
      </c>
      <c r="F1956" s="9" t="s">
        <v>27</v>
      </c>
      <c r="G1956" s="9" t="s">
        <v>27</v>
      </c>
      <c r="H1956" s="11" t="n">
        <v>23</v>
      </c>
      <c r="I1956" s="11" t="s">
        <v>278</v>
      </c>
      <c r="J1956" s="14" t="n">
        <v>12</v>
      </c>
      <c r="K1956" s="14"/>
      <c r="L1956" s="16"/>
      <c r="M1956" s="27" t="n">
        <f aca="false">J1956+(K1956/20)+(L1956/240)</f>
        <v>12</v>
      </c>
      <c r="N1956" s="17" t="s">
        <v>64</v>
      </c>
      <c r="O1956" s="11" t="s">
        <v>77</v>
      </c>
      <c r="P1956" s="28" t="n">
        <f aca="false">351312/100</f>
        <v>3513.12</v>
      </c>
      <c r="Q1956" s="28" t="n">
        <v>42157</v>
      </c>
      <c r="R1956" s="28"/>
      <c r="S1956" s="28" t="n">
        <f aca="false">R1956*$M1956</f>
        <v>0</v>
      </c>
      <c r="T1956" s="28" t="n">
        <f aca="false">52251/100</f>
        <v>522.51</v>
      </c>
      <c r="U1956" s="28" t="n">
        <v>6270</v>
      </c>
      <c r="V1956" s="28" t="n">
        <f aca="false">2393/100</f>
        <v>23.93</v>
      </c>
      <c r="W1956" s="28" t="n">
        <v>287</v>
      </c>
      <c r="X1956" s="28" t="n">
        <f aca="false">44842/100</f>
        <v>448.42</v>
      </c>
      <c r="Y1956" s="28" t="n">
        <v>5381</v>
      </c>
      <c r="Z1956" s="28"/>
      <c r="AA1956" s="28" t="n">
        <f aca="false">Z1956*$M1956</f>
        <v>0</v>
      </c>
      <c r="AB1956" s="28"/>
      <c r="AC1956" s="28" t="n">
        <f aca="false">AB1956*$M1956</f>
        <v>0</v>
      </c>
      <c r="AD1956" s="28"/>
      <c r="AE1956" s="28" t="n">
        <f aca="false">AD1956*$M1956</f>
        <v>0</v>
      </c>
      <c r="AF1956" s="28" t="n">
        <f aca="false">164167/100</f>
        <v>1641.67</v>
      </c>
      <c r="AG1956" s="28" t="n">
        <v>19700</v>
      </c>
      <c r="AH1956" s="28"/>
      <c r="AI1956" s="28" t="n">
        <f aca="false">AH1956*$M1956</f>
        <v>0</v>
      </c>
      <c r="AJ1956" s="28"/>
      <c r="AK1956" s="28" t="n">
        <f aca="false">AJ1956*$M1956</f>
        <v>0</v>
      </c>
      <c r="AL1956" s="28"/>
      <c r="AM1956" s="28" t="n">
        <f aca="false">AL1956*$M1956</f>
        <v>0</v>
      </c>
      <c r="AN1956" s="28"/>
      <c r="AO1956" s="28" t="n">
        <f aca="false">AN1956*$M1956</f>
        <v>0</v>
      </c>
      <c r="AP1956" s="28"/>
      <c r="AQ1956" s="28" t="n">
        <f aca="false">AP1956*$M1956</f>
        <v>0</v>
      </c>
      <c r="AR1956" s="28"/>
      <c r="AS1956" s="28" t="n">
        <f aca="false">AR1956*$M1956</f>
        <v>0</v>
      </c>
      <c r="AT1956" s="28"/>
      <c r="AU1956" s="28" t="n">
        <f aca="false">AT1956*$M1956</f>
        <v>0</v>
      </c>
      <c r="AV1956" s="28"/>
      <c r="AW1956" s="28" t="n">
        <f aca="false">AV1956*$M1956</f>
        <v>0</v>
      </c>
      <c r="AX1956" s="28" t="n">
        <f aca="false">25000/100</f>
        <v>250</v>
      </c>
      <c r="AY1956" s="28" t="n">
        <v>3000</v>
      </c>
      <c r="AZ1956" s="30"/>
      <c r="BA1956" s="11" t="n">
        <v>76795</v>
      </c>
      <c r="BB1956" s="31" t="n">
        <f aca="false">SUM(Q1956,S1956,U1956,W1956,Y1956,AA1956,AC1956,AE1956,AG1956,AI1956,AK1956,AM1956,AO1956,AQ1956,AS1956,AU1956,AW1956,AY1956)</f>
        <v>76795</v>
      </c>
      <c r="BC1956" s="28" t="n">
        <f aca="false">BA1956-BB1956</f>
        <v>0</v>
      </c>
      <c r="BD1956" s="32" t="n">
        <f aca="false">SUM(P1956,R1956,T1956,V1956,X1956,Z1956,AB1956,AD1956,AF1956,AH1956,AJ1956,AL1956,AN1956,AP1956,AR1956,AT1956,AV1956,AX1956)</f>
        <v>6399.65</v>
      </c>
      <c r="BE1956" s="33" t="n">
        <f aca="false">AZ1956-BD1956</f>
        <v>-6399.65</v>
      </c>
      <c r="BF1956" s="34" t="n">
        <f aca="false">BD1956*M1956</f>
        <v>76795.8</v>
      </c>
      <c r="BG1956" s="35" t="n">
        <f aca="false">BA1956-BF1956</f>
        <v>-0.799999999988359</v>
      </c>
      <c r="BH1956" s="19" t="str">
        <f aca="false">IF(BG1956=0,"",IF(BG1956&lt;&gt;BA1956,"erreur de calcul",IF(BD1956&lt;&gt;0,"pas de prix",IF(M1956&lt;&gt; 0,"pas de quantité","pas de prix, ni de quantité"))))</f>
        <v>erreur de calcul</v>
      </c>
      <c r="BI1956" s="19"/>
    </row>
    <row r="1957" customFormat="false" ht="15" hidden="false" customHeight="false" outlineLevel="0" collapsed="false">
      <c r="A1957" s="0" t="n">
        <v>36</v>
      </c>
      <c r="B1957" s="8" t="s">
        <v>24</v>
      </c>
      <c r="C1957" s="9" t="s">
        <v>25</v>
      </c>
      <c r="D1957" s="9" t="s">
        <v>26</v>
      </c>
      <c r="E1957" s="10" t="n">
        <v>1789</v>
      </c>
      <c r="F1957" s="9" t="s">
        <v>27</v>
      </c>
      <c r="G1957" s="9" t="s">
        <v>27</v>
      </c>
      <c r="H1957" s="11" t="n">
        <v>23</v>
      </c>
      <c r="I1957" s="11" t="s">
        <v>279</v>
      </c>
      <c r="J1957" s="14" t="n">
        <v>18</v>
      </c>
      <c r="K1957" s="14"/>
      <c r="L1957" s="16"/>
      <c r="M1957" s="27" t="n">
        <f aca="false">J1957+(K1957/20)+(L1957/240)</f>
        <v>18</v>
      </c>
      <c r="N1957" s="17" t="s">
        <v>275</v>
      </c>
      <c r="O1957" s="11"/>
      <c r="P1957" s="28"/>
      <c r="Q1957" s="28" t="n">
        <f aca="false">P1957*$M1957</f>
        <v>0</v>
      </c>
      <c r="R1957" s="28"/>
      <c r="S1957" s="28" t="n">
        <f aca="false">R1957*$M1957</f>
        <v>0</v>
      </c>
      <c r="T1957" s="28" t="n">
        <v>100</v>
      </c>
      <c r="U1957" s="28" t="n">
        <v>1800</v>
      </c>
      <c r="V1957" s="28"/>
      <c r="W1957" s="28" t="n">
        <f aca="false">V1957*$M1957</f>
        <v>0</v>
      </c>
      <c r="X1957" s="28"/>
      <c r="Y1957" s="28" t="n">
        <f aca="false">X1957*$M1957</f>
        <v>0</v>
      </c>
      <c r="Z1957" s="28"/>
      <c r="AA1957" s="28" t="n">
        <f aca="false">Z1957*$M1957</f>
        <v>0</v>
      </c>
      <c r="AB1957" s="28" t="n">
        <v>1936</v>
      </c>
      <c r="AC1957" s="28" t="n">
        <v>34848</v>
      </c>
      <c r="AD1957" s="28"/>
      <c r="AE1957" s="28" t="n">
        <f aca="false">AD1957*$M1957</f>
        <v>0</v>
      </c>
      <c r="AF1957" s="28" t="n">
        <v>600</v>
      </c>
      <c r="AG1957" s="28" t="n">
        <v>10800</v>
      </c>
      <c r="AH1957" s="28"/>
      <c r="AI1957" s="28" t="n">
        <f aca="false">AH1957*$M1957</f>
        <v>0</v>
      </c>
      <c r="AJ1957" s="28"/>
      <c r="AK1957" s="28" t="n">
        <f aca="false">AJ1957*$M1957</f>
        <v>0</v>
      </c>
      <c r="AL1957" s="28" t="n">
        <v>12</v>
      </c>
      <c r="AM1957" s="28" t="n">
        <v>216</v>
      </c>
      <c r="AN1957" s="28"/>
      <c r="AO1957" s="28" t="n">
        <f aca="false">AN1957*$M1957</f>
        <v>0</v>
      </c>
      <c r="AP1957" s="28" t="n">
        <v>12</v>
      </c>
      <c r="AQ1957" s="28" t="n">
        <v>216</v>
      </c>
      <c r="AR1957" s="28"/>
      <c r="AS1957" s="28" t="n">
        <f aca="false">AR1957*$M1957</f>
        <v>0</v>
      </c>
      <c r="AT1957" s="28"/>
      <c r="AU1957" s="28" t="n">
        <f aca="false">AT1957*$M1957</f>
        <v>0</v>
      </c>
      <c r="AV1957" s="28"/>
      <c r="AW1957" s="28" t="n">
        <f aca="false">AV1957*$M1957</f>
        <v>0</v>
      </c>
      <c r="AX1957" s="28"/>
      <c r="AY1957" s="28" t="n">
        <f aca="false">AX1957*$M1957</f>
        <v>0</v>
      </c>
      <c r="AZ1957" s="30" t="n">
        <v>2660</v>
      </c>
      <c r="BA1957" s="11" t="n">
        <v>47880</v>
      </c>
      <c r="BB1957" s="31" t="n">
        <f aca="false">SUM(Q1957,S1957,U1957,W1957,Y1957,AA1957,AC1957,AE1957,AG1957,AI1957,AK1957,AM1957,AO1957,AQ1957,AS1957,AU1957,AW1957,AY1957)</f>
        <v>47880</v>
      </c>
      <c r="BC1957" s="28" t="n">
        <f aca="false">BA1957-BB1957</f>
        <v>0</v>
      </c>
      <c r="BD1957" s="32" t="n">
        <f aca="false">SUM(P1957,R1957,T1957,V1957,X1957,Z1957,AB1957,AD1957,AF1957,AH1957,AJ1957,AL1957,AN1957,AP1957,AR1957,AT1957,AV1957,AX1957)</f>
        <v>2660</v>
      </c>
      <c r="BE1957" s="33" t="n">
        <f aca="false">AZ1957-BD1957</f>
        <v>0</v>
      </c>
      <c r="BF1957" s="34" t="n">
        <f aca="false">BD1957*M1957</f>
        <v>47880</v>
      </c>
      <c r="BG1957" s="35" t="n">
        <f aca="false">BA1957-BF1957</f>
        <v>0</v>
      </c>
      <c r="BH1957" s="19" t="str">
        <f aca="false">IF(BG1957=0,"",IF(BG1957&lt;&gt;BA1957,"erreur de calcul",IF(BD1957&lt;&gt;0,"pas de prix",IF(M1957&lt;&gt; 0,"pas de quantité","pas de prix, ni de quantité"))))</f>
        <v/>
      </c>
      <c r="BI1957" s="19"/>
    </row>
    <row r="1958" customFormat="false" ht="15" hidden="false" customHeight="false" outlineLevel="0" collapsed="false">
      <c r="A1958" s="0" t="n">
        <v>37</v>
      </c>
      <c r="B1958" s="8" t="s">
        <v>24</v>
      </c>
      <c r="C1958" s="9" t="s">
        <v>25</v>
      </c>
      <c r="D1958" s="9" t="s">
        <v>26</v>
      </c>
      <c r="E1958" s="10" t="n">
        <v>1789</v>
      </c>
      <c r="F1958" s="9" t="s">
        <v>27</v>
      </c>
      <c r="G1958" s="9" t="s">
        <v>27</v>
      </c>
      <c r="H1958" s="11" t="n">
        <v>23</v>
      </c>
      <c r="I1958" s="11" t="s">
        <v>280</v>
      </c>
      <c r="J1958" s="14" t="n">
        <v>25</v>
      </c>
      <c r="K1958" s="14"/>
      <c r="L1958" s="16"/>
      <c r="M1958" s="27" t="n">
        <f aca="false">J1958+(K1958/20)+(L1958/240)</f>
        <v>25</v>
      </c>
      <c r="N1958" s="17" t="s">
        <v>64</v>
      </c>
      <c r="O1958" s="11"/>
      <c r="P1958" s="28"/>
      <c r="Q1958" s="28" t="n">
        <f aca="false">P1958*$M1958</f>
        <v>0</v>
      </c>
      <c r="R1958" s="28"/>
      <c r="S1958" s="28" t="n">
        <f aca="false">R1958*$M1958</f>
        <v>0</v>
      </c>
      <c r="T1958" s="28" t="n">
        <f aca="false">1664501/100</f>
        <v>16645.01</v>
      </c>
      <c r="U1958" s="28" t="n">
        <v>416125</v>
      </c>
      <c r="V1958" s="28" t="n">
        <f aca="false">2171980/100</f>
        <v>21719.8</v>
      </c>
      <c r="W1958" s="28" t="n">
        <v>542995</v>
      </c>
      <c r="X1958" s="28" t="n">
        <f aca="false">11567/100</f>
        <v>115.67</v>
      </c>
      <c r="Y1958" s="28" t="n">
        <v>2892</v>
      </c>
      <c r="Z1958" s="28" t="n">
        <f aca="false">985/100</f>
        <v>9.85</v>
      </c>
      <c r="AA1958" s="28" t="n">
        <v>246</v>
      </c>
      <c r="AB1958" s="28" t="n">
        <f aca="false">399494/100</f>
        <v>3994.94</v>
      </c>
      <c r="AC1958" s="28" t="n">
        <v>99873</v>
      </c>
      <c r="AD1958" s="28"/>
      <c r="AE1958" s="28" t="n">
        <f aca="false">AD1958*$M1958</f>
        <v>0</v>
      </c>
      <c r="AF1958" s="28"/>
      <c r="AG1958" s="28" t="n">
        <f aca="false">AF1958*$M1958</f>
        <v>0</v>
      </c>
      <c r="AH1958" s="28"/>
      <c r="AI1958" s="28" t="n">
        <f aca="false">AH1958*$M1958</f>
        <v>0</v>
      </c>
      <c r="AJ1958" s="28"/>
      <c r="AK1958" s="28" t="n">
        <f aca="false">AJ1958*$M1958</f>
        <v>0</v>
      </c>
      <c r="AL1958" s="28"/>
      <c r="AM1958" s="28" t="n">
        <f aca="false">AL1958*$M1958</f>
        <v>0</v>
      </c>
      <c r="AN1958" s="28"/>
      <c r="AO1958" s="28" t="n">
        <f aca="false">AN1958*$M1958</f>
        <v>0</v>
      </c>
      <c r="AP1958" s="28"/>
      <c r="AQ1958" s="28" t="n">
        <f aca="false">AP1958*$M1958</f>
        <v>0</v>
      </c>
      <c r="AR1958" s="28"/>
      <c r="AS1958" s="28" t="n">
        <f aca="false">AR1958*$M1958</f>
        <v>0</v>
      </c>
      <c r="AT1958" s="28"/>
      <c r="AU1958" s="28" t="n">
        <f aca="false">AT1958*$M1958</f>
        <v>0</v>
      </c>
      <c r="AV1958" s="28"/>
      <c r="AW1958" s="28" t="n">
        <f aca="false">AV1958*$M1958</f>
        <v>0</v>
      </c>
      <c r="AX1958" s="28" t="n">
        <f aca="false">57000/100</f>
        <v>570</v>
      </c>
      <c r="AY1958" s="28" t="n">
        <v>14250</v>
      </c>
      <c r="AZ1958" s="30" t="n">
        <f aca="false">4305527/100</f>
        <v>43055.27</v>
      </c>
      <c r="BA1958" s="11" t="n">
        <v>1076381</v>
      </c>
      <c r="BB1958" s="31" t="n">
        <f aca="false">SUM(Q1958,S1958,U1958,W1958,Y1958,AA1958,AC1958,AE1958,AG1958,AI1958,AK1958,AM1958,AO1958,AQ1958,AS1958,AU1958,AW1958,AY1958)</f>
        <v>1076381</v>
      </c>
      <c r="BC1958" s="28" t="n">
        <f aca="false">BA1958-BB1958</f>
        <v>0</v>
      </c>
      <c r="BD1958" s="32" t="n">
        <f aca="false">SUM(P1958,R1958,T1958,V1958,X1958,Z1958,AB1958,AD1958,AF1958,AH1958,AJ1958,AL1958,AN1958,AP1958,AR1958,AT1958,AV1958,AX1958)</f>
        <v>43055.27</v>
      </c>
      <c r="BE1958" s="33" t="n">
        <f aca="false">AZ1958-BD1958</f>
        <v>0</v>
      </c>
      <c r="BF1958" s="34" t="n">
        <f aca="false">BD1958*M1958</f>
        <v>1076381.75</v>
      </c>
      <c r="BG1958" s="35" t="n">
        <f aca="false">BA1958-BF1958</f>
        <v>-0.75</v>
      </c>
      <c r="BH1958" s="19" t="str">
        <f aca="false">IF(BG1958=0,"",IF(BG1958&lt;&gt;BA1958,"erreur de calcul",IF(BD1958&lt;&gt;0,"pas de prix",IF(M1958&lt;&gt; 0,"pas de quantité","pas de prix, ni de quantité"))))</f>
        <v>erreur de calcul</v>
      </c>
      <c r="BI1958" s="19"/>
    </row>
    <row r="1959" customFormat="false" ht="15" hidden="false" customHeight="false" outlineLevel="0" collapsed="false">
      <c r="A1959" s="0" t="n">
        <v>38</v>
      </c>
      <c r="B1959" s="8" t="s">
        <v>24</v>
      </c>
      <c r="C1959" s="9" t="s">
        <v>25</v>
      </c>
      <c r="D1959" s="9" t="s">
        <v>26</v>
      </c>
      <c r="E1959" s="10" t="n">
        <v>1789</v>
      </c>
      <c r="F1959" s="9" t="s">
        <v>27</v>
      </c>
      <c r="G1959" s="9" t="s">
        <v>27</v>
      </c>
      <c r="H1959" s="11" t="n">
        <v>23</v>
      </c>
      <c r="I1959" s="11" t="s">
        <v>281</v>
      </c>
      <c r="J1959" s="14" t="n">
        <v>18</v>
      </c>
      <c r="K1959" s="14"/>
      <c r="L1959" s="16"/>
      <c r="M1959" s="27" t="n">
        <f aca="false">J1959+(K1959/20)+(L1959/240)</f>
        <v>18</v>
      </c>
      <c r="N1959" s="17" t="s">
        <v>275</v>
      </c>
      <c r="O1959" s="11"/>
      <c r="P1959" s="28"/>
      <c r="Q1959" s="28" t="n">
        <f aca="false">P1959*$M1959</f>
        <v>0</v>
      </c>
      <c r="R1959" s="28"/>
      <c r="S1959" s="28" t="n">
        <f aca="false">R1959*$M1959</f>
        <v>0</v>
      </c>
      <c r="T1959" s="28" t="n">
        <v>537</v>
      </c>
      <c r="U1959" s="28" t="n">
        <v>9666</v>
      </c>
      <c r="V1959" s="28"/>
      <c r="W1959" s="28" t="n">
        <f aca="false">V1959*$M1959</f>
        <v>0</v>
      </c>
      <c r="X1959" s="28"/>
      <c r="Y1959" s="28" t="n">
        <f aca="false">X1959*$M1959</f>
        <v>0</v>
      </c>
      <c r="Z1959" s="28"/>
      <c r="AA1959" s="28" t="n">
        <f aca="false">Z1959*$M1959</f>
        <v>0</v>
      </c>
      <c r="AB1959" s="28"/>
      <c r="AC1959" s="28" t="n">
        <f aca="false">AB1959*$M1959</f>
        <v>0</v>
      </c>
      <c r="AD1959" s="28"/>
      <c r="AE1959" s="28" t="n">
        <f aca="false">AD1959*$M1959</f>
        <v>0</v>
      </c>
      <c r="AF1959" s="28"/>
      <c r="AG1959" s="28" t="n">
        <f aca="false">AF1959*$M1959</f>
        <v>0</v>
      </c>
      <c r="AH1959" s="28"/>
      <c r="AI1959" s="28" t="n">
        <f aca="false">AH1959*$M1959</f>
        <v>0</v>
      </c>
      <c r="AJ1959" s="28"/>
      <c r="AK1959" s="28" t="n">
        <f aca="false">AJ1959*$M1959</f>
        <v>0</v>
      </c>
      <c r="AL1959" s="28"/>
      <c r="AM1959" s="28" t="n">
        <f aca="false">AL1959*$M1959</f>
        <v>0</v>
      </c>
      <c r="AN1959" s="28"/>
      <c r="AO1959" s="28" t="n">
        <f aca="false">AN1959*$M1959</f>
        <v>0</v>
      </c>
      <c r="AP1959" s="28"/>
      <c r="AQ1959" s="28" t="n">
        <f aca="false">AP1959*$M1959</f>
        <v>0</v>
      </c>
      <c r="AR1959" s="28"/>
      <c r="AS1959" s="28" t="n">
        <f aca="false">AR1959*$M1959</f>
        <v>0</v>
      </c>
      <c r="AT1959" s="28"/>
      <c r="AU1959" s="28" t="n">
        <f aca="false">AT1959*$M1959</f>
        <v>0</v>
      </c>
      <c r="AV1959" s="28" t="n">
        <v>1700</v>
      </c>
      <c r="AW1959" s="36" t="n">
        <v>33600</v>
      </c>
      <c r="AX1959" s="28"/>
      <c r="AY1959" s="28" t="n">
        <f aca="false">AX1959*$M1959</f>
        <v>0</v>
      </c>
      <c r="AZ1959" s="30" t="n">
        <v>2237</v>
      </c>
      <c r="BA1959" s="11" t="n">
        <v>43266</v>
      </c>
      <c r="BB1959" s="31" t="n">
        <f aca="false">SUM(Q1959,S1959,U1959,W1959,Y1959,AA1959,AC1959,AE1959,AG1959,AI1959,AK1959,AM1959,AO1959,AQ1959,AS1959,AU1959,AW1959,AY1959)</f>
        <v>43266</v>
      </c>
      <c r="BC1959" s="28" t="n">
        <f aca="false">BA1959-BB1959</f>
        <v>0</v>
      </c>
      <c r="BD1959" s="32" t="n">
        <f aca="false">SUM(P1959,R1959,T1959,V1959,X1959,Z1959,AB1959,AD1959,AF1959,AH1959,AJ1959,AL1959,AN1959,AP1959,AR1959,AT1959,AV1959,AX1959)</f>
        <v>2237</v>
      </c>
      <c r="BE1959" s="33" t="n">
        <f aca="false">AZ1959-BD1959</f>
        <v>0</v>
      </c>
      <c r="BF1959" s="34" t="n">
        <f aca="false">BD1959*M1959</f>
        <v>40266</v>
      </c>
      <c r="BG1959" s="35" t="n">
        <f aca="false">BA1959-BF1959</f>
        <v>3000</v>
      </c>
      <c r="BH1959" s="19" t="str">
        <f aca="false">IF(BG1959=0,"",IF(BG1959&lt;&gt;BA1959,"erreur de calcul",IF(BD1959&lt;&gt;0,"pas de prix",IF(M1959&lt;&gt; 0,"pas de quantité","pas de prix, ni de quantité"))))</f>
        <v>erreur de calcul</v>
      </c>
      <c r="BI1959" s="19"/>
    </row>
    <row r="1960" customFormat="false" ht="15" hidden="false" customHeight="false" outlineLevel="0" collapsed="false">
      <c r="A1960" s="0" t="n">
        <v>39</v>
      </c>
      <c r="B1960" s="8" t="s">
        <v>24</v>
      </c>
      <c r="C1960" s="9" t="s">
        <v>25</v>
      </c>
      <c r="D1960" s="9" t="s">
        <v>26</v>
      </c>
      <c r="E1960" s="10" t="n">
        <v>1789</v>
      </c>
      <c r="F1960" s="9" t="s">
        <v>27</v>
      </c>
      <c r="G1960" s="9" t="s">
        <v>27</v>
      </c>
      <c r="H1960" s="11" t="n">
        <v>23</v>
      </c>
      <c r="I1960" s="11" t="s">
        <v>282</v>
      </c>
      <c r="J1960" s="14"/>
      <c r="K1960" s="14"/>
      <c r="L1960" s="16"/>
      <c r="M1960" s="27" t="n">
        <f aca="false">J1960+(K1960/20)+(L1960/240)</f>
        <v>0</v>
      </c>
      <c r="N1960" s="17"/>
      <c r="O1960" s="11"/>
      <c r="P1960" s="28"/>
      <c r="Q1960" s="28" t="n">
        <f aca="false">P1960*$M1960</f>
        <v>0</v>
      </c>
      <c r="R1960" s="28"/>
      <c r="S1960" s="28" t="n">
        <f aca="false">R1960*$M1960</f>
        <v>0</v>
      </c>
      <c r="T1960" s="28"/>
      <c r="U1960" s="28" t="n">
        <v>1962</v>
      </c>
      <c r="V1960" s="28"/>
      <c r="W1960" s="28" t="n">
        <v>148</v>
      </c>
      <c r="X1960" s="28"/>
      <c r="Y1960" s="28" t="n">
        <v>221</v>
      </c>
      <c r="Z1960" s="28"/>
      <c r="AA1960" s="28" t="n">
        <f aca="false">Z1960*$M1960</f>
        <v>0</v>
      </c>
      <c r="AB1960" s="28"/>
      <c r="AC1960" s="28" t="n">
        <v>725</v>
      </c>
      <c r="AD1960" s="28"/>
      <c r="AE1960" s="28" t="n">
        <f aca="false">AD1960*$M1960</f>
        <v>0</v>
      </c>
      <c r="AF1960" s="28"/>
      <c r="AG1960" s="28" t="n">
        <v>414</v>
      </c>
      <c r="AH1960" s="28"/>
      <c r="AI1960" s="28" t="n">
        <f aca="false">AH1960*$M1960</f>
        <v>0</v>
      </c>
      <c r="AJ1960" s="28"/>
      <c r="AK1960" s="28" t="n">
        <f aca="false">AJ1960*$M1960</f>
        <v>0</v>
      </c>
      <c r="AL1960" s="28"/>
      <c r="AM1960" s="28" t="n">
        <f aca="false">AL1960*$M1960</f>
        <v>0</v>
      </c>
      <c r="AN1960" s="28"/>
      <c r="AO1960" s="28" t="n">
        <f aca="false">AN1960*$M1960</f>
        <v>0</v>
      </c>
      <c r="AP1960" s="28"/>
      <c r="AQ1960" s="28" t="n">
        <f aca="false">AP1960*$M1960</f>
        <v>0</v>
      </c>
      <c r="AR1960" s="28"/>
      <c r="AS1960" s="28" t="n">
        <f aca="false">AR1960*$M1960</f>
        <v>0</v>
      </c>
      <c r="AT1960" s="28"/>
      <c r="AU1960" s="28" t="n">
        <v>276</v>
      </c>
      <c r="AV1960" s="28"/>
      <c r="AW1960" s="28" t="n">
        <f aca="false">AV1960*$M1960</f>
        <v>0</v>
      </c>
      <c r="AX1960" s="28"/>
      <c r="AY1960" s="28" t="n">
        <f aca="false">AX1960*$M1960</f>
        <v>0</v>
      </c>
      <c r="AZ1960" s="30"/>
      <c r="BA1960" s="11" t="n">
        <v>3746</v>
      </c>
      <c r="BB1960" s="31" t="n">
        <f aca="false">SUM(Q1960,S1960,U1960,W1960,Y1960,AA1960,AC1960,AE1960,AG1960,AI1960,AK1960,AM1960,AO1960,AQ1960,AS1960,AU1960,AW1960,AY1960)</f>
        <v>3746</v>
      </c>
      <c r="BC1960" s="28" t="n">
        <f aca="false">BA1960-BB1960</f>
        <v>0</v>
      </c>
      <c r="BD1960" s="32" t="n">
        <f aca="false">SUM(P1960,R1960,T1960,V1960,X1960,Z1960,AB1960,AD1960,AF1960,AH1960,AJ1960,AL1960,AN1960,AP1960,AR1960,AT1960,AV1960,AX1960)</f>
        <v>0</v>
      </c>
      <c r="BE1960" s="33" t="n">
        <f aca="false">AZ1960-BD1960</f>
        <v>0</v>
      </c>
      <c r="BF1960" s="34" t="n">
        <f aca="false">BD1960*M1960</f>
        <v>0</v>
      </c>
      <c r="BG1960" s="35" t="n">
        <f aca="false">BA1960-BF1960</f>
        <v>3746</v>
      </c>
      <c r="BH1960" s="19" t="str">
        <f aca="false">IF(BG1960=0,"",IF(BG1960&lt;&gt;BA1960,"erreur de calcul",IF(BD1960&lt;&gt;0,"pas de prix",IF(M1960&lt;&gt; 0,"pas de quantité","pas de prix, ni de quantité"))))</f>
        <v>pas de prix, ni de quantité</v>
      </c>
      <c r="BI1960" s="19"/>
    </row>
    <row r="1961" customFormat="false" ht="15" hidden="false" customHeight="false" outlineLevel="0" collapsed="false">
      <c r="A1961" s="0" t="n">
        <v>40</v>
      </c>
      <c r="B1961" s="8" t="s">
        <v>24</v>
      </c>
      <c r="C1961" s="9" t="s">
        <v>25</v>
      </c>
      <c r="D1961" s="9" t="s">
        <v>26</v>
      </c>
      <c r="E1961" s="10" t="n">
        <v>1789</v>
      </c>
      <c r="F1961" s="9" t="s">
        <v>27</v>
      </c>
      <c r="G1961" s="9" t="s">
        <v>27</v>
      </c>
      <c r="H1961" s="11" t="n">
        <v>23</v>
      </c>
      <c r="I1961" s="11" t="s">
        <v>283</v>
      </c>
      <c r="J1961" s="14" t="n">
        <v>25</v>
      </c>
      <c r="K1961" s="14"/>
      <c r="L1961" s="16"/>
      <c r="M1961" s="27" t="n">
        <f aca="false">J1961+(K1961/20)+(L1961/240)</f>
        <v>25</v>
      </c>
      <c r="N1961" s="17" t="s">
        <v>64</v>
      </c>
      <c r="O1961" s="11"/>
      <c r="P1961" s="28" t="n">
        <f aca="false">12568/100</f>
        <v>125.68</v>
      </c>
      <c r="Q1961" s="28" t="n">
        <v>3142</v>
      </c>
      <c r="R1961" s="28"/>
      <c r="S1961" s="28" t="n">
        <f aca="false">R1961*$M1961</f>
        <v>0</v>
      </c>
      <c r="T1961" s="28"/>
      <c r="U1961" s="28" t="n">
        <f aca="false">T1961*$M1961</f>
        <v>0</v>
      </c>
      <c r="V1961" s="28"/>
      <c r="W1961" s="28" t="n">
        <f aca="false">V1961*$M1961</f>
        <v>0</v>
      </c>
      <c r="X1961" s="28"/>
      <c r="Y1961" s="28" t="n">
        <f aca="false">X1961*$M1961</f>
        <v>0</v>
      </c>
      <c r="Z1961" s="28"/>
      <c r="AA1961" s="28" t="n">
        <f aca="false">Z1961*$M1961</f>
        <v>0</v>
      </c>
      <c r="AB1961" s="28"/>
      <c r="AC1961" s="28" t="n">
        <f aca="false">AB1961*$M1961</f>
        <v>0</v>
      </c>
      <c r="AD1961" s="28"/>
      <c r="AE1961" s="28" t="n">
        <f aca="false">AD1961*$M1961</f>
        <v>0</v>
      </c>
      <c r="AF1961" s="28"/>
      <c r="AG1961" s="28" t="n">
        <f aca="false">AF1961*$M1961</f>
        <v>0</v>
      </c>
      <c r="AH1961" s="28" t="n">
        <f aca="false">5355/100</f>
        <v>53.55</v>
      </c>
      <c r="AI1961" s="28" t="n">
        <v>1339</v>
      </c>
      <c r="AJ1961" s="28"/>
      <c r="AK1961" s="28" t="n">
        <f aca="false">AJ1961*$M1961</f>
        <v>0</v>
      </c>
      <c r="AL1961" s="28"/>
      <c r="AM1961" s="28" t="n">
        <f aca="false">AL1961*$M1961</f>
        <v>0</v>
      </c>
      <c r="AN1961" s="28"/>
      <c r="AO1961" s="28" t="n">
        <f aca="false">AN1961*$M1961</f>
        <v>0</v>
      </c>
      <c r="AP1961" s="28"/>
      <c r="AQ1961" s="28" t="n">
        <f aca="false">AP1961*$M1961</f>
        <v>0</v>
      </c>
      <c r="AR1961" s="28"/>
      <c r="AS1961" s="28" t="n">
        <f aca="false">AR1961*$M1961</f>
        <v>0</v>
      </c>
      <c r="AT1961" s="28"/>
      <c r="AU1961" s="28" t="n">
        <f aca="false">AT1961*$M1961</f>
        <v>0</v>
      </c>
      <c r="AV1961" s="28"/>
      <c r="AW1961" s="28" t="n">
        <f aca="false">AV1961*$M1961</f>
        <v>0</v>
      </c>
      <c r="AX1961" s="28"/>
      <c r="AY1961" s="28" t="n">
        <f aca="false">AX1961*$M1961</f>
        <v>0</v>
      </c>
      <c r="AZ1961" s="30" t="n">
        <f aca="false">17923/100</f>
        <v>179.23</v>
      </c>
      <c r="BA1961" s="11" t="n">
        <v>4481</v>
      </c>
      <c r="BB1961" s="31" t="n">
        <f aca="false">SUM(Q1961,S1961,U1961,W1961,Y1961,AA1961,AC1961,AE1961,AG1961,AI1961,AK1961,AM1961,AO1961,AQ1961,AS1961,AU1961,AW1961,AY1961)</f>
        <v>4481</v>
      </c>
      <c r="BC1961" s="28" t="n">
        <f aca="false">BA1961-BB1961</f>
        <v>0</v>
      </c>
      <c r="BD1961" s="32" t="n">
        <f aca="false">SUM(P1961,R1961,T1961,V1961,X1961,Z1961,AB1961,AD1961,AF1961,AH1961,AJ1961,AL1961,AN1961,AP1961,AR1961,AT1961,AV1961,AX1961)</f>
        <v>179.23</v>
      </c>
      <c r="BE1961" s="33" t="n">
        <f aca="false">AZ1961-BD1961</f>
        <v>0</v>
      </c>
      <c r="BF1961" s="34" t="n">
        <f aca="false">BD1961*M1961</f>
        <v>4480.75</v>
      </c>
      <c r="BG1961" s="35" t="n">
        <f aca="false">BA1961-BF1961</f>
        <v>0.25</v>
      </c>
      <c r="BH1961" s="19" t="str">
        <f aca="false">IF(BG1961=0,"",IF(BG1961&lt;&gt;BA1961,"erreur de calcul",IF(BD1961&lt;&gt;0,"pas de prix",IF(M1961&lt;&gt; 0,"pas de quantité","pas de prix, ni de quantité"))))</f>
        <v>erreur de calcul</v>
      </c>
      <c r="BI1961" s="19"/>
    </row>
    <row r="1962" customFormat="false" ht="15" hidden="false" customHeight="false" outlineLevel="0" collapsed="false">
      <c r="A1962" s="0" t="n">
        <v>41</v>
      </c>
      <c r="B1962" s="8" t="s">
        <v>24</v>
      </c>
      <c r="C1962" s="9" t="s">
        <v>25</v>
      </c>
      <c r="D1962" s="9" t="s">
        <v>26</v>
      </c>
      <c r="E1962" s="10" t="n">
        <v>1789</v>
      </c>
      <c r="F1962" s="9" t="s">
        <v>27</v>
      </c>
      <c r="G1962" s="9" t="s">
        <v>27</v>
      </c>
      <c r="H1962" s="11" t="n">
        <v>23</v>
      </c>
      <c r="I1962" s="11" t="s">
        <v>284</v>
      </c>
      <c r="J1962" s="14" t="n">
        <v>17</v>
      </c>
      <c r="K1962" s="14"/>
      <c r="L1962" s="16"/>
      <c r="M1962" s="27" t="n">
        <f aca="false">J1962+(K1962/20)+(L1962/240)</f>
        <v>17</v>
      </c>
      <c r="N1962" s="17" t="s">
        <v>64</v>
      </c>
      <c r="O1962" s="11"/>
      <c r="P1962" s="28" t="n">
        <f aca="false">56873/100</f>
        <v>568.73</v>
      </c>
      <c r="Q1962" s="36" t="n">
        <v>3981</v>
      </c>
      <c r="R1962" s="28"/>
      <c r="S1962" s="28" t="n">
        <f aca="false">R1962*$M1962</f>
        <v>0</v>
      </c>
      <c r="T1962" s="28"/>
      <c r="U1962" s="28" t="n">
        <f aca="false">T1962*$M1962</f>
        <v>0</v>
      </c>
      <c r="V1962" s="28"/>
      <c r="W1962" s="28" t="n">
        <f aca="false">V1962*$M1962</f>
        <v>0</v>
      </c>
      <c r="X1962" s="28"/>
      <c r="Y1962" s="28" t="n">
        <f aca="false">X1962*$M1962</f>
        <v>0</v>
      </c>
      <c r="Z1962" s="28"/>
      <c r="AA1962" s="28" t="n">
        <f aca="false">Z1962*$M1962</f>
        <v>0</v>
      </c>
      <c r="AB1962" s="28"/>
      <c r="AC1962" s="28" t="n">
        <f aca="false">AB1962*$M1962</f>
        <v>0</v>
      </c>
      <c r="AD1962" s="28"/>
      <c r="AE1962" s="28" t="n">
        <f aca="false">AD1962*$M1962</f>
        <v>0</v>
      </c>
      <c r="AF1962" s="28"/>
      <c r="AG1962" s="28" t="n">
        <f aca="false">AF1962*$M1962</f>
        <v>0</v>
      </c>
      <c r="AH1962" s="28"/>
      <c r="AI1962" s="28" t="n">
        <f aca="false">AH1962*$M1962</f>
        <v>0</v>
      </c>
      <c r="AJ1962" s="28" t="n">
        <f aca="false">19651/100</f>
        <v>196.51</v>
      </c>
      <c r="AK1962" s="28" t="n">
        <v>3341</v>
      </c>
      <c r="AL1962" s="28"/>
      <c r="AM1962" s="28" t="n">
        <f aca="false">AL1962*$M1962</f>
        <v>0</v>
      </c>
      <c r="AN1962" s="28"/>
      <c r="AO1962" s="28" t="n">
        <f aca="false">AN1962*$M1962</f>
        <v>0</v>
      </c>
      <c r="AP1962" s="28"/>
      <c r="AQ1962" s="28" t="n">
        <f aca="false">AP1962*$M1962</f>
        <v>0</v>
      </c>
      <c r="AR1962" s="28"/>
      <c r="AS1962" s="28" t="n">
        <f aca="false">AR1962*$M1962</f>
        <v>0</v>
      </c>
      <c r="AT1962" s="28"/>
      <c r="AU1962" s="28" t="n">
        <f aca="false">AT1962*$M1962</f>
        <v>0</v>
      </c>
      <c r="AV1962" s="28"/>
      <c r="AW1962" s="28" t="n">
        <f aca="false">AV1962*$M1962</f>
        <v>0</v>
      </c>
      <c r="AX1962" s="28"/>
      <c r="AY1962" s="28" t="n">
        <f aca="false">AX1962*$M1962</f>
        <v>0</v>
      </c>
      <c r="AZ1962" s="30" t="n">
        <f aca="false">76524/100</f>
        <v>765.24</v>
      </c>
      <c r="BA1962" s="11" t="n">
        <v>7322</v>
      </c>
      <c r="BB1962" s="31" t="n">
        <f aca="false">SUM(Q1962,S1962,U1962,W1962,Y1962,AA1962,AC1962,AE1962,AG1962,AI1962,AK1962,AM1962,AO1962,AQ1962,AS1962,AU1962,AW1962,AY1962)</f>
        <v>7322</v>
      </c>
      <c r="BC1962" s="28" t="n">
        <f aca="false">BA1962-BB1962</f>
        <v>0</v>
      </c>
      <c r="BD1962" s="32" t="n">
        <f aca="false">SUM(P1962,R1962,T1962,V1962,X1962,Z1962,AB1962,AD1962,AF1962,AH1962,AJ1962,AL1962,AN1962,AP1962,AR1962,AT1962,AV1962,AX1962)</f>
        <v>765.24</v>
      </c>
      <c r="BE1962" s="33" t="n">
        <f aca="false">AZ1962-BD1962</f>
        <v>0</v>
      </c>
      <c r="BF1962" s="34" t="n">
        <f aca="false">BD1962*M1962</f>
        <v>13009.08</v>
      </c>
      <c r="BG1962" s="35" t="n">
        <f aca="false">BA1962-BF1962</f>
        <v>-5687.08</v>
      </c>
      <c r="BH1962" s="19" t="str">
        <f aca="false">IF(BG1962=0,"",IF(BG1962&lt;&gt;BA1962,"erreur de calcul",IF(BD1962&lt;&gt;0,"pas de prix",IF(M1962&lt;&gt; 0,"pas de quantité","pas de prix, ni de quantité"))))</f>
        <v>erreur de calcul</v>
      </c>
      <c r="BI1962" s="19"/>
    </row>
    <row r="1963" customFormat="false" ht="15" hidden="false" customHeight="false" outlineLevel="0" collapsed="false">
      <c r="A1963" s="0" t="n">
        <v>42</v>
      </c>
      <c r="B1963" s="8" t="s">
        <v>24</v>
      </c>
      <c r="C1963" s="9" t="s">
        <v>25</v>
      </c>
      <c r="D1963" s="9" t="s">
        <v>26</v>
      </c>
      <c r="E1963" s="10" t="n">
        <v>1789</v>
      </c>
      <c r="F1963" s="9" t="s">
        <v>27</v>
      </c>
      <c r="G1963" s="9" t="s">
        <v>27</v>
      </c>
      <c r="H1963" s="11" t="n">
        <v>23</v>
      </c>
      <c r="I1963" s="11" t="s">
        <v>285</v>
      </c>
      <c r="J1963" s="14" t="n">
        <v>15</v>
      </c>
      <c r="K1963" s="14"/>
      <c r="L1963" s="16"/>
      <c r="M1963" s="27" t="n">
        <f aca="false">J1963+(K1963/20)+(L1963/240)</f>
        <v>15</v>
      </c>
      <c r="N1963" s="17" t="s">
        <v>64</v>
      </c>
      <c r="O1963" s="11"/>
      <c r="P1963" s="28" t="n">
        <f aca="false">10520/100</f>
        <v>105.2</v>
      </c>
      <c r="Q1963" s="28" t="n">
        <v>1578</v>
      </c>
      <c r="R1963" s="28"/>
      <c r="S1963" s="28" t="n">
        <f aca="false">R1963*$M1963</f>
        <v>0</v>
      </c>
      <c r="T1963" s="28"/>
      <c r="U1963" s="28" t="n">
        <f aca="false">T1963*$M1963</f>
        <v>0</v>
      </c>
      <c r="V1963" s="28"/>
      <c r="W1963" s="28" t="n">
        <f aca="false">V1963*$M1963</f>
        <v>0</v>
      </c>
      <c r="X1963" s="28" t="n">
        <f aca="false">39052/100</f>
        <v>390.52</v>
      </c>
      <c r="Y1963" s="28" t="n">
        <v>5858</v>
      </c>
      <c r="Z1963" s="28"/>
      <c r="AA1963" s="28" t="n">
        <f aca="false">Z1963*$M1963</f>
        <v>0</v>
      </c>
      <c r="AB1963" s="28" t="n">
        <f aca="false">101189/100</f>
        <v>1011.89</v>
      </c>
      <c r="AC1963" s="28" t="n">
        <v>15178</v>
      </c>
      <c r="AD1963" s="28"/>
      <c r="AE1963" s="28" t="n">
        <f aca="false">AD1963*$M1963</f>
        <v>0</v>
      </c>
      <c r="AF1963" s="28" t="n">
        <f aca="false">48408/100</f>
        <v>484.08</v>
      </c>
      <c r="AG1963" s="28" t="n">
        <v>7261</v>
      </c>
      <c r="AH1963" s="28" t="n">
        <f aca="false">17847/100</f>
        <v>178.47</v>
      </c>
      <c r="AI1963" s="28" t="n">
        <v>2677</v>
      </c>
      <c r="AJ1963" s="28"/>
      <c r="AK1963" s="28" t="n">
        <f aca="false">AJ1963*$M1963</f>
        <v>0</v>
      </c>
      <c r="AL1963" s="28"/>
      <c r="AM1963" s="28" t="n">
        <f aca="false">AL1963*$M1963</f>
        <v>0</v>
      </c>
      <c r="AN1963" s="28"/>
      <c r="AO1963" s="28" t="n">
        <f aca="false">AN1963*$M1963</f>
        <v>0</v>
      </c>
      <c r="AP1963" s="28"/>
      <c r="AQ1963" s="28" t="n">
        <f aca="false">AP1963*$M1963</f>
        <v>0</v>
      </c>
      <c r="AR1963" s="28"/>
      <c r="AS1963" s="28" t="n">
        <f aca="false">AR1963*$M1963</f>
        <v>0</v>
      </c>
      <c r="AT1963" s="28"/>
      <c r="AU1963" s="28" t="n">
        <f aca="false">AT1963*$M1963</f>
        <v>0</v>
      </c>
      <c r="AV1963" s="28"/>
      <c r="AW1963" s="28" t="n">
        <f aca="false">AV1963*$M1963</f>
        <v>0</v>
      </c>
      <c r="AX1963" s="28"/>
      <c r="AY1963" s="28" t="n">
        <f aca="false">AX1963*$M1963</f>
        <v>0</v>
      </c>
      <c r="AZ1963" s="30" t="n">
        <f aca="false">217016/100</f>
        <v>2170.16</v>
      </c>
      <c r="BA1963" s="11" t="n">
        <v>32552</v>
      </c>
      <c r="BB1963" s="31" t="n">
        <f aca="false">SUM(Q1963,S1963,U1963,W1963,Y1963,AA1963,AC1963,AE1963,AG1963,AI1963,AK1963,AM1963,AO1963,AQ1963,AS1963,AU1963,AW1963,AY1963)</f>
        <v>32552</v>
      </c>
      <c r="BC1963" s="28" t="n">
        <f aca="false">BA1963-BB1963</f>
        <v>0</v>
      </c>
      <c r="BD1963" s="32" t="n">
        <f aca="false">SUM(P1963,R1963,T1963,V1963,X1963,Z1963,AB1963,AD1963,AF1963,AH1963,AJ1963,AL1963,AN1963,AP1963,AR1963,AT1963,AV1963,AX1963)</f>
        <v>2170.16</v>
      </c>
      <c r="BE1963" s="33" t="n">
        <f aca="false">AZ1963-BD1963</f>
        <v>0</v>
      </c>
      <c r="BF1963" s="34" t="n">
        <f aca="false">BD1963*M1963</f>
        <v>32552.4</v>
      </c>
      <c r="BG1963" s="35" t="n">
        <f aca="false">BA1963-BF1963</f>
        <v>-0.399999999997817</v>
      </c>
      <c r="BH1963" s="19" t="str">
        <f aca="false">IF(BG1963=0,"",IF(BG1963&lt;&gt;BA1963,"erreur de calcul",IF(BD1963&lt;&gt;0,"pas de prix",IF(M1963&lt;&gt; 0,"pas de quantité","pas de prix, ni de quantité"))))</f>
        <v>erreur de calcul</v>
      </c>
      <c r="BI1963" s="19"/>
    </row>
    <row r="1964" customFormat="false" ht="15" hidden="false" customHeight="false" outlineLevel="0" collapsed="false">
      <c r="A1964" s="0" t="n">
        <v>43</v>
      </c>
      <c r="B1964" s="8" t="s">
        <v>24</v>
      </c>
      <c r="C1964" s="9" t="s">
        <v>25</v>
      </c>
      <c r="D1964" s="9" t="s">
        <v>26</v>
      </c>
      <c r="E1964" s="10" t="n">
        <v>1789</v>
      </c>
      <c r="F1964" s="9" t="s">
        <v>27</v>
      </c>
      <c r="G1964" s="9" t="s">
        <v>27</v>
      </c>
      <c r="H1964" s="11" t="n">
        <v>23</v>
      </c>
      <c r="I1964" s="11" t="s">
        <v>286</v>
      </c>
      <c r="J1964" s="14" t="n">
        <v>20</v>
      </c>
      <c r="K1964" s="14"/>
      <c r="L1964" s="16"/>
      <c r="M1964" s="27" t="n">
        <f aca="false">J1964+(K1964/20)+(L1964/240)</f>
        <v>20</v>
      </c>
      <c r="N1964" s="17" t="s">
        <v>64</v>
      </c>
      <c r="O1964" s="11"/>
      <c r="P1964" s="28"/>
      <c r="Q1964" s="28" t="n">
        <f aca="false">P1964*$M1964</f>
        <v>0</v>
      </c>
      <c r="R1964" s="28"/>
      <c r="S1964" s="28" t="n">
        <f aca="false">R1964*$M1964</f>
        <v>0</v>
      </c>
      <c r="T1964" s="28"/>
      <c r="U1964" s="28" t="n">
        <f aca="false">T1964*$M1964</f>
        <v>0</v>
      </c>
      <c r="V1964" s="28"/>
      <c r="W1964" s="28" t="n">
        <f aca="false">V1964*$M1964</f>
        <v>0</v>
      </c>
      <c r="X1964" s="28"/>
      <c r="Y1964" s="28" t="n">
        <f aca="false">X1964*$M1964</f>
        <v>0</v>
      </c>
      <c r="Z1964" s="28"/>
      <c r="AA1964" s="28" t="n">
        <f aca="false">Z1964*$M1964</f>
        <v>0</v>
      </c>
      <c r="AB1964" s="28" t="n">
        <f aca="false">8852/100</f>
        <v>88.52</v>
      </c>
      <c r="AC1964" s="28" t="n">
        <v>1770</v>
      </c>
      <c r="AD1964" s="28"/>
      <c r="AE1964" s="28" t="n">
        <f aca="false">AD1964*$M1964</f>
        <v>0</v>
      </c>
      <c r="AF1964" s="28"/>
      <c r="AG1964" s="28" t="n">
        <f aca="false">AF1964*$M1964</f>
        <v>0</v>
      </c>
      <c r="AH1964" s="28"/>
      <c r="AI1964" s="28" t="n">
        <f aca="false">AH1964*$M1964</f>
        <v>0</v>
      </c>
      <c r="AJ1964" s="28"/>
      <c r="AK1964" s="28" t="n">
        <f aca="false">AJ1964*$M1964</f>
        <v>0</v>
      </c>
      <c r="AL1964" s="28"/>
      <c r="AM1964" s="28" t="n">
        <f aca="false">AL1964*$M1964</f>
        <v>0</v>
      </c>
      <c r="AN1964" s="28"/>
      <c r="AO1964" s="28" t="n">
        <f aca="false">AN1964*$M1964</f>
        <v>0</v>
      </c>
      <c r="AP1964" s="28"/>
      <c r="AQ1964" s="28" t="n">
        <f aca="false">AP1964*$M1964</f>
        <v>0</v>
      </c>
      <c r="AR1964" s="28"/>
      <c r="AS1964" s="28" t="n">
        <f aca="false">AR1964*$M1964</f>
        <v>0</v>
      </c>
      <c r="AT1964" s="28"/>
      <c r="AU1964" s="28" t="n">
        <f aca="false">AT1964*$M1964</f>
        <v>0</v>
      </c>
      <c r="AV1964" s="28"/>
      <c r="AW1964" s="28" t="n">
        <f aca="false">AV1964*$M1964</f>
        <v>0</v>
      </c>
      <c r="AX1964" s="28"/>
      <c r="AY1964" s="28" t="n">
        <f aca="false">AX1964*$M1964</f>
        <v>0</v>
      </c>
      <c r="AZ1964" s="30" t="n">
        <f aca="false">8852/100</f>
        <v>88.52</v>
      </c>
      <c r="BA1964" s="11" t="n">
        <v>1770</v>
      </c>
      <c r="BB1964" s="31" t="n">
        <f aca="false">SUM(Q1964,S1964,U1964,W1964,Y1964,AA1964,AC1964,AE1964,AG1964,AI1964,AK1964,AM1964,AO1964,AQ1964,AS1964,AU1964,AW1964,AY1964)</f>
        <v>1770</v>
      </c>
      <c r="BC1964" s="28" t="n">
        <f aca="false">BA1964-BB1964</f>
        <v>0</v>
      </c>
      <c r="BD1964" s="32" t="n">
        <f aca="false">SUM(P1964,R1964,T1964,V1964,X1964,Z1964,AB1964,AD1964,AF1964,AH1964,AJ1964,AL1964,AN1964,AP1964,AR1964,AT1964,AV1964,AX1964)</f>
        <v>88.52</v>
      </c>
      <c r="BE1964" s="33" t="n">
        <f aca="false">AZ1964-BD1964</f>
        <v>0</v>
      </c>
      <c r="BF1964" s="34" t="n">
        <f aca="false">BD1964*M1964</f>
        <v>1770.4</v>
      </c>
      <c r="BG1964" s="35" t="n">
        <f aca="false">BA1964-BF1964</f>
        <v>-0.399999999999864</v>
      </c>
      <c r="BH1964" s="19" t="str">
        <f aca="false">IF(BG1964=0,"",IF(BG1964&lt;&gt;BA1964,"erreur de calcul",IF(BD1964&lt;&gt;0,"pas de prix",IF(M1964&lt;&gt; 0,"pas de quantité","pas de prix, ni de quantité"))))</f>
        <v>erreur de calcul</v>
      </c>
      <c r="BI1964" s="19"/>
    </row>
    <row r="1965" customFormat="false" ht="15" hidden="false" customHeight="false" outlineLevel="0" collapsed="false">
      <c r="A1965" s="0" t="n">
        <v>44</v>
      </c>
      <c r="B1965" s="8" t="s">
        <v>24</v>
      </c>
      <c r="C1965" s="9" t="s">
        <v>25</v>
      </c>
      <c r="D1965" s="9" t="s">
        <v>26</v>
      </c>
      <c r="E1965" s="10" t="n">
        <v>1789</v>
      </c>
      <c r="F1965" s="9" t="s">
        <v>27</v>
      </c>
      <c r="G1965" s="9" t="s">
        <v>27</v>
      </c>
      <c r="H1965" s="11" t="n">
        <v>23</v>
      </c>
      <c r="I1965" s="11" t="s">
        <v>287</v>
      </c>
      <c r="J1965" s="14" t="n">
        <v>25</v>
      </c>
      <c r="K1965" s="14"/>
      <c r="L1965" s="16"/>
      <c r="M1965" s="27" t="n">
        <f aca="false">J1965+(K1965/20)+(L1965/240)</f>
        <v>25</v>
      </c>
      <c r="N1965" s="17" t="s">
        <v>64</v>
      </c>
      <c r="O1965" s="11" t="s">
        <v>77</v>
      </c>
      <c r="P1965" s="28" t="n">
        <f aca="false">13782/100</f>
        <v>137.82</v>
      </c>
      <c r="Q1965" s="28" t="n">
        <v>3445</v>
      </c>
      <c r="R1965" s="28"/>
      <c r="S1965" s="28" t="n">
        <f aca="false">R1965*$M1965</f>
        <v>0</v>
      </c>
      <c r="T1965" s="28"/>
      <c r="U1965" s="28" t="n">
        <f aca="false">T1965*$M1965</f>
        <v>0</v>
      </c>
      <c r="V1965" s="28" t="n">
        <f aca="false">4293/100</f>
        <v>42.93</v>
      </c>
      <c r="W1965" s="28" t="n">
        <v>1073</v>
      </c>
      <c r="X1965" s="28"/>
      <c r="Y1965" s="28" t="n">
        <f aca="false">X1965*$M1965</f>
        <v>0</v>
      </c>
      <c r="Z1965" s="28"/>
      <c r="AA1965" s="28" t="n">
        <f aca="false">Z1965*$M1965</f>
        <v>0</v>
      </c>
      <c r="AB1965" s="28"/>
      <c r="AC1965" s="28" t="n">
        <f aca="false">AB1965*$M1965</f>
        <v>0</v>
      </c>
      <c r="AD1965" s="28"/>
      <c r="AE1965" s="28" t="n">
        <f aca="false">AD1965*$M1965</f>
        <v>0</v>
      </c>
      <c r="AF1965" s="28"/>
      <c r="AG1965" s="28" t="n">
        <f aca="false">AF1965*$M1965</f>
        <v>0</v>
      </c>
      <c r="AH1965" s="28"/>
      <c r="AI1965" s="28" t="n">
        <f aca="false">AH1965*$M1965</f>
        <v>0</v>
      </c>
      <c r="AJ1965" s="28"/>
      <c r="AK1965" s="28" t="n">
        <f aca="false">AJ1965*$M1965</f>
        <v>0</v>
      </c>
      <c r="AL1965" s="28"/>
      <c r="AM1965" s="28" t="n">
        <f aca="false">AL1965*$M1965</f>
        <v>0</v>
      </c>
      <c r="AN1965" s="28"/>
      <c r="AO1965" s="28" t="n">
        <f aca="false">AN1965*$M1965</f>
        <v>0</v>
      </c>
      <c r="AP1965" s="28"/>
      <c r="AQ1965" s="28" t="n">
        <f aca="false">AP1965*$M1965</f>
        <v>0</v>
      </c>
      <c r="AR1965" s="28"/>
      <c r="AS1965" s="28" t="n">
        <f aca="false">AR1965*$M1965</f>
        <v>0</v>
      </c>
      <c r="AT1965" s="28"/>
      <c r="AU1965" s="28" t="n">
        <f aca="false">AT1965*$M1965</f>
        <v>0</v>
      </c>
      <c r="AV1965" s="28"/>
      <c r="AW1965" s="28" t="n">
        <f aca="false">AV1965*$M1965</f>
        <v>0</v>
      </c>
      <c r="AX1965" s="28"/>
      <c r="AY1965" s="28" t="n">
        <f aca="false">AX1965*$M1965</f>
        <v>0</v>
      </c>
      <c r="AZ1965" s="30" t="n">
        <f aca="false">18075/100</f>
        <v>180.75</v>
      </c>
      <c r="BA1965" s="11" t="n">
        <v>4518</v>
      </c>
      <c r="BB1965" s="31" t="n">
        <f aca="false">SUM(Q1965,S1965,U1965,W1965,Y1965,AA1965,AC1965,AE1965,AG1965,AI1965,AK1965,AM1965,AO1965,AQ1965,AS1965,AU1965,AW1965,AY1965)</f>
        <v>4518</v>
      </c>
      <c r="BC1965" s="28" t="n">
        <f aca="false">BA1965-BB1965</f>
        <v>0</v>
      </c>
      <c r="BD1965" s="32" t="n">
        <f aca="false">SUM(P1965,R1965,T1965,V1965,X1965,Z1965,AB1965,AD1965,AF1965,AH1965,AJ1965,AL1965,AN1965,AP1965,AR1965,AT1965,AV1965,AX1965)</f>
        <v>180.75</v>
      </c>
      <c r="BE1965" s="33" t="n">
        <f aca="false">AZ1965-BD1965</f>
        <v>0</v>
      </c>
      <c r="BF1965" s="34" t="n">
        <f aca="false">BD1965*M1965</f>
        <v>4518.75</v>
      </c>
      <c r="BG1965" s="35" t="n">
        <f aca="false">BA1965-BF1965</f>
        <v>-0.75</v>
      </c>
      <c r="BH1965" s="19" t="str">
        <f aca="false">IF(BG1965=0,"",IF(BG1965&lt;&gt;BA1965,"erreur de calcul",IF(BD1965&lt;&gt;0,"pas de prix",IF(M1965&lt;&gt; 0,"pas de quantité","pas de prix, ni de quantité"))))</f>
        <v>erreur de calcul</v>
      </c>
      <c r="BI1965" s="19"/>
    </row>
    <row r="1966" customFormat="false" ht="15" hidden="false" customHeight="false" outlineLevel="0" collapsed="false">
      <c r="A1966" s="0" t="n">
        <v>1</v>
      </c>
      <c r="B1966" s="8" t="s">
        <v>24</v>
      </c>
      <c r="C1966" s="9" t="s">
        <v>25</v>
      </c>
      <c r="D1966" s="9" t="s">
        <v>26</v>
      </c>
      <c r="E1966" s="10" t="n">
        <v>1789</v>
      </c>
      <c r="F1966" s="9" t="s">
        <v>27</v>
      </c>
      <c r="G1966" s="9" t="s">
        <v>27</v>
      </c>
      <c r="H1966" s="11" t="n">
        <v>24</v>
      </c>
      <c r="I1966" s="11" t="s">
        <v>288</v>
      </c>
      <c r="J1966" s="14" t="n">
        <v>250</v>
      </c>
      <c r="K1966" s="14"/>
      <c r="L1966" s="16"/>
      <c r="M1966" s="27" t="n">
        <f aca="false">J1966+(K1966/20)+(L1966/240)</f>
        <v>250</v>
      </c>
      <c r="N1966" s="17" t="s">
        <v>64</v>
      </c>
      <c r="O1966" s="11"/>
      <c r="P1966" s="28"/>
      <c r="Q1966" s="28" t="n">
        <f aca="false">P1966*$M1966</f>
        <v>0</v>
      </c>
      <c r="R1966" s="28"/>
      <c r="S1966" s="28" t="n">
        <f aca="false">R1966*$M1966</f>
        <v>0</v>
      </c>
      <c r="T1966" s="28"/>
      <c r="U1966" s="28" t="n">
        <f aca="false">T1966*$M1966</f>
        <v>0</v>
      </c>
      <c r="V1966" s="28"/>
      <c r="W1966" s="28" t="n">
        <f aca="false">V1966*$M1966</f>
        <v>0</v>
      </c>
      <c r="X1966" s="28"/>
      <c r="Y1966" s="28" t="n">
        <f aca="false">X1966*$M1966</f>
        <v>0</v>
      </c>
      <c r="Z1966" s="28"/>
      <c r="AA1966" s="28" t="n">
        <f aca="false">Z1966*$M1966</f>
        <v>0</v>
      </c>
      <c r="AB1966" s="28"/>
      <c r="AC1966" s="28" t="n">
        <f aca="false">AB1966*$M1966</f>
        <v>0</v>
      </c>
      <c r="AD1966" s="28"/>
      <c r="AE1966" s="28" t="n">
        <f aca="false">AD1966*$M1966</f>
        <v>0</v>
      </c>
      <c r="AF1966" s="28"/>
      <c r="AG1966" s="28" t="n">
        <f aca="false">AF1966*$M1966</f>
        <v>0</v>
      </c>
      <c r="AH1966" s="28" t="n">
        <f aca="false">5374/100</f>
        <v>53.74</v>
      </c>
      <c r="AI1966" s="28" t="n">
        <v>13435</v>
      </c>
      <c r="AJ1966" s="28"/>
      <c r="AK1966" s="28" t="n">
        <f aca="false">AJ1966*$M1966</f>
        <v>0</v>
      </c>
      <c r="AL1966" s="28"/>
      <c r="AM1966" s="28" t="n">
        <f aca="false">AL1966*$M1966</f>
        <v>0</v>
      </c>
      <c r="AN1966" s="28"/>
      <c r="AO1966" s="28" t="n">
        <f aca="false">AN1966*$M1966</f>
        <v>0</v>
      </c>
      <c r="AP1966" s="28"/>
      <c r="AQ1966" s="28" t="n">
        <f aca="false">AP1966*$M1966</f>
        <v>0</v>
      </c>
      <c r="AR1966" s="28"/>
      <c r="AS1966" s="28" t="n">
        <f aca="false">AR1966*$M1966</f>
        <v>0</v>
      </c>
      <c r="AT1966" s="28"/>
      <c r="AU1966" s="28" t="n">
        <f aca="false">AT1966*$M1966</f>
        <v>0</v>
      </c>
      <c r="AV1966" s="28"/>
      <c r="AW1966" s="28" t="n">
        <f aca="false">AV1966*$M1966</f>
        <v>0</v>
      </c>
      <c r="AX1966" s="28"/>
      <c r="AY1966" s="28" t="n">
        <f aca="false">AX1966*$M1966</f>
        <v>0</v>
      </c>
      <c r="AZ1966" s="30" t="n">
        <f aca="false">5374/100</f>
        <v>53.74</v>
      </c>
      <c r="BA1966" s="11" t="n">
        <v>13435</v>
      </c>
      <c r="BB1966" s="31" t="n">
        <f aca="false">SUM(Q1966,S1966,U1966,W1966,Y1966,AA1966,AC1966,AE1966,AG1966,AI1966,AK1966,AM1966,AO1966,AQ1966,AS1966,AU1966,AW1966,AY1966)</f>
        <v>13435</v>
      </c>
      <c r="BC1966" s="28" t="n">
        <f aca="false">BA1966-BB1966</f>
        <v>0</v>
      </c>
      <c r="BD1966" s="32" t="n">
        <f aca="false">SUM(P1966,R1966,T1966,V1966,X1966,Z1966,AB1966,AD1966,AF1966,AH1966,AJ1966,AL1966,AN1966,AP1966,AR1966,AT1966,AV1966,AX1966)</f>
        <v>53.74</v>
      </c>
      <c r="BE1966" s="33" t="n">
        <f aca="false">AZ1966-BD1966</f>
        <v>0</v>
      </c>
      <c r="BF1966" s="34" t="n">
        <f aca="false">BD1966*M1966</f>
        <v>13435</v>
      </c>
      <c r="BG1966" s="35" t="n">
        <f aca="false">BA1966-BF1966</f>
        <v>0</v>
      </c>
      <c r="BH1966" s="19" t="str">
        <f aca="false">IF(BG1966=0,"",IF(BG1966&lt;&gt;BA1966,"erreur de calcul",IF(BD1966&lt;&gt;0,"pas de prix",IF(M1966&lt;&gt; 0,"pas de quantité","pas de prix, ni de quantité"))))</f>
        <v/>
      </c>
      <c r="BI1966" s="19"/>
    </row>
    <row r="1967" customFormat="false" ht="15" hidden="false" customHeight="false" outlineLevel="0" collapsed="false">
      <c r="A1967" s="0" t="n">
        <v>2</v>
      </c>
      <c r="B1967" s="8" t="s">
        <v>24</v>
      </c>
      <c r="C1967" s="9" t="s">
        <v>25</v>
      </c>
      <c r="D1967" s="9" t="s">
        <v>26</v>
      </c>
      <c r="E1967" s="10" t="n">
        <v>1789</v>
      </c>
      <c r="F1967" s="9" t="s">
        <v>27</v>
      </c>
      <c r="G1967" s="9" t="s">
        <v>27</v>
      </c>
      <c r="H1967" s="11" t="n">
        <v>24</v>
      </c>
      <c r="I1967" s="11" t="s">
        <v>289</v>
      </c>
      <c r="J1967" s="14" t="n">
        <v>3</v>
      </c>
      <c r="K1967" s="14"/>
      <c r="L1967" s="16"/>
      <c r="M1967" s="27" t="n">
        <f aca="false">J1967+(K1967/20)+(L1967/240)</f>
        <v>3</v>
      </c>
      <c r="N1967" s="17" t="s">
        <v>66</v>
      </c>
      <c r="O1967" s="11"/>
      <c r="P1967" s="28"/>
      <c r="Q1967" s="28" t="n">
        <f aca="false">P1967*$M1967</f>
        <v>0</v>
      </c>
      <c r="R1967" s="28"/>
      <c r="S1967" s="28" t="n">
        <f aca="false">R1967*$M1967</f>
        <v>0</v>
      </c>
      <c r="T1967" s="28"/>
      <c r="U1967" s="28" t="n">
        <f aca="false">T1967*$M1967</f>
        <v>0</v>
      </c>
      <c r="V1967" s="28"/>
      <c r="W1967" s="28" t="n">
        <f aca="false">V1967*$M1967</f>
        <v>0</v>
      </c>
      <c r="X1967" s="28"/>
      <c r="Y1967" s="28" t="n">
        <f aca="false">X1967*$M1967</f>
        <v>0</v>
      </c>
      <c r="Z1967" s="28"/>
      <c r="AA1967" s="28" t="n">
        <f aca="false">Z1967*$M1967</f>
        <v>0</v>
      </c>
      <c r="AB1967" s="28"/>
      <c r="AC1967" s="28" t="n">
        <f aca="false">AB1967*$M1967</f>
        <v>0</v>
      </c>
      <c r="AD1967" s="28"/>
      <c r="AE1967" s="28" t="n">
        <f aca="false">AD1967*$M1967</f>
        <v>0</v>
      </c>
      <c r="AF1967" s="28"/>
      <c r="AG1967" s="28" t="n">
        <f aca="false">AF1967*$M1967</f>
        <v>0</v>
      </c>
      <c r="AH1967" s="28" t="n">
        <v>261</v>
      </c>
      <c r="AI1967" s="28" t="n">
        <v>783</v>
      </c>
      <c r="AJ1967" s="28"/>
      <c r="AK1967" s="28" t="n">
        <f aca="false">AJ1967*$M1967</f>
        <v>0</v>
      </c>
      <c r="AL1967" s="28"/>
      <c r="AM1967" s="28" t="n">
        <f aca="false">AL1967*$M1967</f>
        <v>0</v>
      </c>
      <c r="AN1967" s="28"/>
      <c r="AO1967" s="28" t="n">
        <f aca="false">AN1967*$M1967</f>
        <v>0</v>
      </c>
      <c r="AP1967" s="28"/>
      <c r="AQ1967" s="28" t="n">
        <f aca="false">AP1967*$M1967</f>
        <v>0</v>
      </c>
      <c r="AR1967" s="28"/>
      <c r="AS1967" s="28" t="n">
        <f aca="false">AR1967*$M1967</f>
        <v>0</v>
      </c>
      <c r="AT1967" s="28"/>
      <c r="AU1967" s="28" t="n">
        <f aca="false">AT1967*$M1967</f>
        <v>0</v>
      </c>
      <c r="AV1967" s="28"/>
      <c r="AW1967" s="28" t="n">
        <f aca="false">AV1967*$M1967</f>
        <v>0</v>
      </c>
      <c r="AX1967" s="28"/>
      <c r="AY1967" s="28" t="n">
        <f aca="false">AX1967*$M1967</f>
        <v>0</v>
      </c>
      <c r="AZ1967" s="30" t="n">
        <v>261</v>
      </c>
      <c r="BA1967" s="11" t="n">
        <v>783</v>
      </c>
      <c r="BB1967" s="31" t="n">
        <f aca="false">SUM(Q1967,S1967,U1967,W1967,Y1967,AA1967,AC1967,AE1967,AG1967,AI1967,AK1967,AM1967,AO1967,AQ1967,AS1967,AU1967,AW1967,AY1967)</f>
        <v>783</v>
      </c>
      <c r="BC1967" s="28" t="n">
        <f aca="false">BA1967-BB1967</f>
        <v>0</v>
      </c>
      <c r="BD1967" s="32" t="n">
        <f aca="false">SUM(P1967,R1967,T1967,V1967,X1967,Z1967,AB1967,AD1967,AF1967,AH1967,AJ1967,AL1967,AN1967,AP1967,AR1967,AT1967,AV1967,AX1967)</f>
        <v>261</v>
      </c>
      <c r="BE1967" s="33" t="n">
        <f aca="false">AZ1967-BD1967</f>
        <v>0</v>
      </c>
      <c r="BF1967" s="34" t="n">
        <f aca="false">BD1967*M1967</f>
        <v>783</v>
      </c>
      <c r="BG1967" s="35" t="n">
        <f aca="false">BA1967-BF1967</f>
        <v>0</v>
      </c>
      <c r="BH1967" s="19" t="str">
        <f aca="false">IF(BG1967=0,"",IF(BG1967&lt;&gt;BA1967,"erreur de calcul",IF(BD1967&lt;&gt;0,"pas de prix",IF(M1967&lt;&gt; 0,"pas de quantité","pas de prix, ni de quantité"))))</f>
        <v/>
      </c>
      <c r="BI1967" s="19"/>
    </row>
    <row r="1968" customFormat="false" ht="15" hidden="false" customHeight="false" outlineLevel="0" collapsed="false">
      <c r="A1968" s="0" t="n">
        <v>3</v>
      </c>
      <c r="B1968" s="8" t="s">
        <v>24</v>
      </c>
      <c r="C1968" s="9" t="s">
        <v>25</v>
      </c>
      <c r="D1968" s="9" t="s">
        <v>26</v>
      </c>
      <c r="E1968" s="10" t="n">
        <v>1789</v>
      </c>
      <c r="F1968" s="9" t="s">
        <v>27</v>
      </c>
      <c r="G1968" s="9" t="s">
        <v>27</v>
      </c>
      <c r="H1968" s="11" t="n">
        <v>24</v>
      </c>
      <c r="I1968" s="11" t="s">
        <v>290</v>
      </c>
      <c r="J1968" s="14" t="n">
        <v>5</v>
      </c>
      <c r="K1968" s="14"/>
      <c r="L1968" s="16"/>
      <c r="M1968" s="27" t="n">
        <f aca="false">J1968+(K1968/20)+(L1968/240)</f>
        <v>5</v>
      </c>
      <c r="N1968" s="17" t="s">
        <v>66</v>
      </c>
      <c r="O1968" s="11"/>
      <c r="P1968" s="28"/>
      <c r="Q1968" s="28" t="n">
        <f aca="false">P1968*$M1968</f>
        <v>0</v>
      </c>
      <c r="R1968" s="28"/>
      <c r="S1968" s="28" t="n">
        <f aca="false">R1968*$M1968</f>
        <v>0</v>
      </c>
      <c r="T1968" s="28"/>
      <c r="U1968" s="28" t="n">
        <v>4765</v>
      </c>
      <c r="V1968" s="28"/>
      <c r="W1968" s="28" t="n">
        <f aca="false">V1968*$M1968</f>
        <v>0</v>
      </c>
      <c r="X1968" s="28"/>
      <c r="Y1968" s="28" t="n">
        <f aca="false">X1968*$M1968</f>
        <v>0</v>
      </c>
      <c r="Z1968" s="28"/>
      <c r="AA1968" s="28" t="n">
        <f aca="false">Z1968*$M1968</f>
        <v>0</v>
      </c>
      <c r="AB1968" s="28"/>
      <c r="AC1968" s="28" t="n">
        <f aca="false">AB1968*$M1968</f>
        <v>0</v>
      </c>
      <c r="AD1968" s="28"/>
      <c r="AE1968" s="28" t="n">
        <f aca="false">AD1968*$M1968</f>
        <v>0</v>
      </c>
      <c r="AF1968" s="28"/>
      <c r="AG1968" s="28" t="n">
        <f aca="false">AF1968*$M1968</f>
        <v>0</v>
      </c>
      <c r="AH1968" s="28"/>
      <c r="AI1968" s="28" t="n">
        <f aca="false">AH1968*$M1968</f>
        <v>0</v>
      </c>
      <c r="AJ1968" s="28"/>
      <c r="AK1968" s="28" t="n">
        <f aca="false">AJ1968*$M1968</f>
        <v>0</v>
      </c>
      <c r="AL1968" s="28"/>
      <c r="AM1968" s="28" t="n">
        <f aca="false">AL1968*$M1968</f>
        <v>0</v>
      </c>
      <c r="AN1968" s="28"/>
      <c r="AO1968" s="28" t="n">
        <f aca="false">AN1968*$M1968</f>
        <v>0</v>
      </c>
      <c r="AP1968" s="28"/>
      <c r="AQ1968" s="28" t="n">
        <f aca="false">AP1968*$M1968</f>
        <v>0</v>
      </c>
      <c r="AR1968" s="28"/>
      <c r="AS1968" s="28" t="n">
        <f aca="false">AR1968*$M1968</f>
        <v>0</v>
      </c>
      <c r="AT1968" s="28"/>
      <c r="AU1968" s="28" t="n">
        <f aca="false">AT1968*$M1968</f>
        <v>0</v>
      </c>
      <c r="AV1968" s="28"/>
      <c r="AW1968" s="28" t="n">
        <f aca="false">AV1968*$M1968</f>
        <v>0</v>
      </c>
      <c r="AX1968" s="28"/>
      <c r="AY1968" s="28" t="n">
        <f aca="false">AX1968*$M1968</f>
        <v>0</v>
      </c>
      <c r="AZ1968" s="30"/>
      <c r="BA1968" s="11" t="n">
        <v>4765</v>
      </c>
      <c r="BB1968" s="31" t="n">
        <f aca="false">SUM(Q1968,S1968,U1968,W1968,Y1968,AA1968,AC1968,AE1968,AG1968,AI1968,AK1968,AM1968,AO1968,AQ1968,AS1968,AU1968,AW1968,AY1968)</f>
        <v>4765</v>
      </c>
      <c r="BC1968" s="28" t="n">
        <f aca="false">BA1968-BB1968</f>
        <v>0</v>
      </c>
      <c r="BD1968" s="32" t="n">
        <f aca="false">SUM(P1968,R1968,T1968,V1968,X1968,Z1968,AB1968,AD1968,AF1968,AH1968,AJ1968,AL1968,AN1968,AP1968,AR1968,AT1968,AV1968,AX1968)</f>
        <v>0</v>
      </c>
      <c r="BE1968" s="33" t="n">
        <f aca="false">AZ1968-BD1968</f>
        <v>0</v>
      </c>
      <c r="BF1968" s="34" t="n">
        <f aca="false">BD1968*M1968</f>
        <v>0</v>
      </c>
      <c r="BG1968" s="35" t="n">
        <f aca="false">BA1968-BF1968</f>
        <v>4765</v>
      </c>
      <c r="BH1968" s="19" t="str">
        <f aca="false">IF(BG1968=0,"",IF(BG1968&lt;&gt;BA1968,"erreur de calcul",IF(BD1968&lt;&gt;0,"pas de prix",IF(M1968&lt;&gt; 0,"pas de quantité","pas de prix, ni de quantité"))))</f>
        <v>pas de quantité</v>
      </c>
      <c r="BI1968" s="19"/>
    </row>
    <row r="1969" customFormat="false" ht="15" hidden="false" customHeight="false" outlineLevel="0" collapsed="false">
      <c r="A1969" s="0" t="n">
        <v>4</v>
      </c>
      <c r="B1969" s="8" t="s">
        <v>24</v>
      </c>
      <c r="C1969" s="9" t="s">
        <v>25</v>
      </c>
      <c r="D1969" s="9" t="s">
        <v>26</v>
      </c>
      <c r="E1969" s="10" t="n">
        <v>1789</v>
      </c>
      <c r="F1969" s="9" t="s">
        <v>27</v>
      </c>
      <c r="G1969" s="9" t="s">
        <v>27</v>
      </c>
      <c r="H1969" s="11" t="n">
        <v>24</v>
      </c>
      <c r="I1969" s="11" t="s">
        <v>291</v>
      </c>
      <c r="J1969" s="14" t="n">
        <v>36</v>
      </c>
      <c r="K1969" s="14"/>
      <c r="L1969" s="16"/>
      <c r="M1969" s="27" t="n">
        <f aca="false">J1969+(K1969/20)+(L1969/240)</f>
        <v>36</v>
      </c>
      <c r="N1969" s="17" t="s">
        <v>66</v>
      </c>
      <c r="O1969" s="11"/>
      <c r="P1969" s="28"/>
      <c r="Q1969" s="28" t="n">
        <f aca="false">P1969*$M1969</f>
        <v>0</v>
      </c>
      <c r="R1969" s="28"/>
      <c r="S1969" s="28" t="n">
        <f aca="false">R1969*$M1969</f>
        <v>0</v>
      </c>
      <c r="T1969" s="28"/>
      <c r="U1969" s="28" t="n">
        <f aca="false">T1969*$M1969</f>
        <v>0</v>
      </c>
      <c r="V1969" s="28"/>
      <c r="W1969" s="28" t="n">
        <f aca="false">V1969*$M1969</f>
        <v>0</v>
      </c>
      <c r="X1969" s="28"/>
      <c r="Y1969" s="28" t="n">
        <f aca="false">X1969*$M1969</f>
        <v>0</v>
      </c>
      <c r="Z1969" s="28"/>
      <c r="AA1969" s="28" t="n">
        <f aca="false">Z1969*$M1969</f>
        <v>0</v>
      </c>
      <c r="AB1969" s="28"/>
      <c r="AC1969" s="28" t="n">
        <f aca="false">AB1969*$M1969</f>
        <v>0</v>
      </c>
      <c r="AD1969" s="28"/>
      <c r="AE1969" s="28" t="n">
        <f aca="false">AD1969*$M1969</f>
        <v>0</v>
      </c>
      <c r="AF1969" s="28"/>
      <c r="AG1969" s="28" t="n">
        <f aca="false">AF1969*$M1969</f>
        <v>0</v>
      </c>
      <c r="AH1969" s="28"/>
      <c r="AI1969" s="28" t="n">
        <f aca="false">AH1969*$M1969</f>
        <v>0</v>
      </c>
      <c r="AJ1969" s="28" t="n">
        <v>387</v>
      </c>
      <c r="AK1969" s="28" t="n">
        <v>13932</v>
      </c>
      <c r="AL1969" s="28"/>
      <c r="AM1969" s="28" t="n">
        <f aca="false">AL1969*$M1969</f>
        <v>0</v>
      </c>
      <c r="AN1969" s="28"/>
      <c r="AO1969" s="28" t="n">
        <f aca="false">AN1969*$M1969</f>
        <v>0</v>
      </c>
      <c r="AP1969" s="28"/>
      <c r="AQ1969" s="28" t="n">
        <f aca="false">AP1969*$M1969</f>
        <v>0</v>
      </c>
      <c r="AR1969" s="28"/>
      <c r="AS1969" s="28" t="n">
        <f aca="false">AR1969*$M1969</f>
        <v>0</v>
      </c>
      <c r="AT1969" s="28"/>
      <c r="AU1969" s="28" t="n">
        <f aca="false">AT1969*$M1969</f>
        <v>0</v>
      </c>
      <c r="AV1969" s="28"/>
      <c r="AW1969" s="28" t="n">
        <f aca="false">AV1969*$M1969</f>
        <v>0</v>
      </c>
      <c r="AX1969" s="28"/>
      <c r="AY1969" s="28" t="n">
        <f aca="false">AX1969*$M1969</f>
        <v>0</v>
      </c>
      <c r="AZ1969" s="30" t="n">
        <v>387</v>
      </c>
      <c r="BA1969" s="11" t="n">
        <v>13932</v>
      </c>
      <c r="BB1969" s="31" t="n">
        <f aca="false">SUM(Q1969,S1969,U1969,W1969,Y1969,AA1969,AC1969,AE1969,AG1969,AI1969,AK1969,AM1969,AO1969,AQ1969,AS1969,AU1969,AW1969,AY1969)</f>
        <v>13932</v>
      </c>
      <c r="BC1969" s="28" t="n">
        <f aca="false">BA1969-BB1969</f>
        <v>0</v>
      </c>
      <c r="BD1969" s="32" t="n">
        <f aca="false">SUM(P1969,R1969,T1969,V1969,X1969,Z1969,AB1969,AD1969,AF1969,AH1969,AJ1969,AL1969,AN1969,AP1969,AR1969,AT1969,AV1969,AX1969)</f>
        <v>387</v>
      </c>
      <c r="BE1969" s="33" t="n">
        <f aca="false">AZ1969-BD1969</f>
        <v>0</v>
      </c>
      <c r="BF1969" s="34" t="n">
        <f aca="false">BD1969*M1969</f>
        <v>13932</v>
      </c>
      <c r="BG1969" s="35" t="n">
        <f aca="false">BA1969-BF1969</f>
        <v>0</v>
      </c>
      <c r="BH1969" s="19" t="str">
        <f aca="false">IF(BG1969=0,"",IF(BG1969&lt;&gt;BA1969,"erreur de calcul",IF(BD1969&lt;&gt;0,"pas de prix",IF(M1969&lt;&gt; 0,"pas de quantité","pas de prix, ni de quantité"))))</f>
        <v/>
      </c>
      <c r="BI1969" s="19"/>
    </row>
    <row r="1970" customFormat="false" ht="15" hidden="false" customHeight="false" outlineLevel="0" collapsed="false">
      <c r="A1970" s="0" t="n">
        <v>5</v>
      </c>
      <c r="B1970" s="8" t="s">
        <v>24</v>
      </c>
      <c r="C1970" s="9" t="s">
        <v>25</v>
      </c>
      <c r="D1970" s="9" t="s">
        <v>26</v>
      </c>
      <c r="E1970" s="10" t="n">
        <v>1789</v>
      </c>
      <c r="F1970" s="9" t="s">
        <v>27</v>
      </c>
      <c r="G1970" s="9" t="s">
        <v>27</v>
      </c>
      <c r="H1970" s="11" t="n">
        <v>24</v>
      </c>
      <c r="I1970" s="11" t="s">
        <v>292</v>
      </c>
      <c r="J1970" s="14" t="n">
        <v>40</v>
      </c>
      <c r="K1970" s="14"/>
      <c r="L1970" s="16"/>
      <c r="M1970" s="27" t="n">
        <f aca="false">J1970+(K1970/20)+(L1970/240)</f>
        <v>40</v>
      </c>
      <c r="N1970" s="17" t="s">
        <v>64</v>
      </c>
      <c r="O1970" s="11" t="s">
        <v>277</v>
      </c>
      <c r="P1970" s="28"/>
      <c r="Q1970" s="28" t="n">
        <f aca="false">P1970*$M1970</f>
        <v>0</v>
      </c>
      <c r="R1970" s="28"/>
      <c r="S1970" s="28" t="n">
        <f aca="false">R1970*$M1970</f>
        <v>0</v>
      </c>
      <c r="T1970" s="28" t="n">
        <f aca="false">5917/100</f>
        <v>59.17</v>
      </c>
      <c r="U1970" s="28" t="n">
        <v>2367</v>
      </c>
      <c r="V1970" s="28" t="n">
        <f aca="false">12510/100</f>
        <v>125.1</v>
      </c>
      <c r="W1970" s="28" t="n">
        <f aca="false">V1970*$M1970</f>
        <v>5004</v>
      </c>
      <c r="X1970" s="28"/>
      <c r="Y1970" s="28" t="n">
        <f aca="false">X1970*$M1970</f>
        <v>0</v>
      </c>
      <c r="Z1970" s="28"/>
      <c r="AA1970" s="28" t="n">
        <f aca="false">Z1970*$M1970</f>
        <v>0</v>
      </c>
      <c r="AB1970" s="28" t="n">
        <f aca="false">50338/100</f>
        <v>503.38</v>
      </c>
      <c r="AC1970" s="28" t="n">
        <v>20135</v>
      </c>
      <c r="AD1970" s="28"/>
      <c r="AE1970" s="28" t="n">
        <f aca="false">AD1970*$M1970</f>
        <v>0</v>
      </c>
      <c r="AF1970" s="28"/>
      <c r="AG1970" s="28" t="n">
        <f aca="false">AF1970*$M1970</f>
        <v>0</v>
      </c>
      <c r="AH1970" s="28" t="n">
        <f aca="false">440/100</f>
        <v>4.4</v>
      </c>
      <c r="AI1970" s="28" t="n">
        <v>176</v>
      </c>
      <c r="AJ1970" s="28" t="n">
        <f aca="false">18094/100</f>
        <v>180.94</v>
      </c>
      <c r="AK1970" s="28" t="n">
        <v>7238</v>
      </c>
      <c r="AL1970" s="28"/>
      <c r="AM1970" s="28" t="n">
        <f aca="false">AL1970*$M1970</f>
        <v>0</v>
      </c>
      <c r="AN1970" s="28"/>
      <c r="AO1970" s="28" t="n">
        <f aca="false">AN1970*$M1970</f>
        <v>0</v>
      </c>
      <c r="AP1970" s="28"/>
      <c r="AQ1970" s="28" t="n">
        <f aca="false">AP1970*$M1970</f>
        <v>0</v>
      </c>
      <c r="AR1970" s="28"/>
      <c r="AS1970" s="28" t="n">
        <f aca="false">AR1970*$M1970</f>
        <v>0</v>
      </c>
      <c r="AT1970" s="28"/>
      <c r="AU1970" s="28" t="n">
        <f aca="false">AT1970*$M1970</f>
        <v>0</v>
      </c>
      <c r="AV1970" s="28"/>
      <c r="AW1970" s="28" t="n">
        <f aca="false">AV1970*$M1970</f>
        <v>0</v>
      </c>
      <c r="AX1970" s="28"/>
      <c r="AY1970" s="28" t="n">
        <f aca="false">AX1970*$M1970</f>
        <v>0</v>
      </c>
      <c r="AZ1970" s="30" t="n">
        <f aca="false">87279/100</f>
        <v>872.79</v>
      </c>
      <c r="BA1970" s="11" t="n">
        <v>34920</v>
      </c>
      <c r="BB1970" s="31" t="n">
        <f aca="false">SUM(Q1970,S1970,U1970,W1970,Y1970,AA1970,AC1970,AE1970,AG1970,AI1970,AK1970,AM1970,AO1970,AQ1970,AS1970,AU1970,AW1970,AY1970)</f>
        <v>34920</v>
      </c>
      <c r="BC1970" s="28" t="n">
        <f aca="false">BA1970-BB1970</f>
        <v>0</v>
      </c>
      <c r="BD1970" s="32" t="n">
        <f aca="false">SUM(P1970,R1970,T1970,V1970,X1970,Z1970,AB1970,AD1970,AF1970,AH1970,AJ1970,AL1970,AN1970,AP1970,AR1970,AT1970,AV1970,AX1970)</f>
        <v>872.99</v>
      </c>
      <c r="BE1970" s="33" t="n">
        <f aca="false">AZ1970-BD1970</f>
        <v>-0.200000000000045</v>
      </c>
      <c r="BF1970" s="34" t="n">
        <f aca="false">BD1970*M1970</f>
        <v>34919.6</v>
      </c>
      <c r="BG1970" s="35" t="n">
        <f aca="false">BA1970-BF1970</f>
        <v>0.400000000001455</v>
      </c>
      <c r="BH1970" s="19" t="str">
        <f aca="false">IF(BG1970=0,"",IF(BG1970&lt;&gt;BA1970,"erreur de calcul",IF(BD1970&lt;&gt;0,"pas de prix",IF(M1970&lt;&gt; 0,"pas de quantité","pas de prix, ni de quantité"))))</f>
        <v>erreur de calcul</v>
      </c>
      <c r="BI1970" s="19"/>
    </row>
    <row r="1971" customFormat="false" ht="15" hidden="false" customHeight="false" outlineLevel="0" collapsed="false">
      <c r="A1971" s="0" t="n">
        <v>6</v>
      </c>
      <c r="B1971" s="8" t="s">
        <v>24</v>
      </c>
      <c r="C1971" s="9" t="s">
        <v>25</v>
      </c>
      <c r="D1971" s="9" t="s">
        <v>26</v>
      </c>
      <c r="E1971" s="10" t="n">
        <v>1789</v>
      </c>
      <c r="F1971" s="9" t="s">
        <v>27</v>
      </c>
      <c r="G1971" s="9" t="s">
        <v>27</v>
      </c>
      <c r="H1971" s="11" t="n">
        <v>24</v>
      </c>
      <c r="I1971" s="11" t="s">
        <v>293</v>
      </c>
      <c r="J1971" s="14" t="n">
        <v>72</v>
      </c>
      <c r="K1971" s="14"/>
      <c r="L1971" s="16"/>
      <c r="M1971" s="27" t="n">
        <f aca="false">J1971+(K1971/20)+(L1971/240)</f>
        <v>72</v>
      </c>
      <c r="N1971" s="17" t="s">
        <v>294</v>
      </c>
      <c r="O1971" s="11"/>
      <c r="P1971" s="28" t="n">
        <v>16096</v>
      </c>
      <c r="Q1971" s="28" t="n">
        <v>1158912</v>
      </c>
      <c r="R1971" s="28"/>
      <c r="S1971" s="28" t="n">
        <f aca="false">R1971*$M1971</f>
        <v>0</v>
      </c>
      <c r="T1971" s="28" t="n">
        <v>6580</v>
      </c>
      <c r="U1971" s="28" t="n">
        <v>473760</v>
      </c>
      <c r="V1971" s="28" t="n">
        <v>21336</v>
      </c>
      <c r="W1971" s="28" t="n">
        <v>1536192</v>
      </c>
      <c r="X1971" s="28" t="n">
        <v>905</v>
      </c>
      <c r="Y1971" s="28" t="n">
        <v>65160</v>
      </c>
      <c r="Z1971" s="28" t="n">
        <v>250</v>
      </c>
      <c r="AA1971" s="28" t="n">
        <v>18000</v>
      </c>
      <c r="AB1971" s="28" t="n">
        <v>155034</v>
      </c>
      <c r="AC1971" s="28" t="n">
        <v>11162448</v>
      </c>
      <c r="AD1971" s="28"/>
      <c r="AE1971" s="28" t="n">
        <f aca="false">AD1971*$M1971</f>
        <v>0</v>
      </c>
      <c r="AF1971" s="28" t="n">
        <v>18739</v>
      </c>
      <c r="AG1971" s="28" t="n">
        <v>1349208</v>
      </c>
      <c r="AH1971" s="28" t="n">
        <v>44032</v>
      </c>
      <c r="AI1971" s="28" t="n">
        <v>3170304</v>
      </c>
      <c r="AJ1971" s="28"/>
      <c r="AK1971" s="28" t="n">
        <f aca="false">AJ1971*$M1971</f>
        <v>0</v>
      </c>
      <c r="AL1971" s="28"/>
      <c r="AM1971" s="28" t="n">
        <f aca="false">AL1971*$M1971</f>
        <v>0</v>
      </c>
      <c r="AN1971" s="28"/>
      <c r="AO1971" s="28" t="n">
        <f aca="false">AN1971*$M1971</f>
        <v>0</v>
      </c>
      <c r="AP1971" s="28"/>
      <c r="AQ1971" s="28" t="n">
        <f aca="false">AP1971*$M1971</f>
        <v>0</v>
      </c>
      <c r="AR1971" s="28"/>
      <c r="AS1971" s="28" t="n">
        <f aca="false">AR1971*$M1971</f>
        <v>0</v>
      </c>
      <c r="AT1971" s="28"/>
      <c r="AU1971" s="28" t="n">
        <f aca="false">AT1971*$M1971</f>
        <v>0</v>
      </c>
      <c r="AV1971" s="28"/>
      <c r="AW1971" s="28" t="n">
        <f aca="false">AV1971*$M1971</f>
        <v>0</v>
      </c>
      <c r="AX1971" s="28"/>
      <c r="AY1971" s="28" t="n">
        <f aca="false">AX1971*$M1971</f>
        <v>0</v>
      </c>
      <c r="AZ1971" s="30" t="n">
        <v>262972</v>
      </c>
      <c r="BA1971" s="11" t="n">
        <v>18933984</v>
      </c>
      <c r="BB1971" s="31" t="n">
        <f aca="false">SUM(Q1971,S1971,U1971,W1971,Y1971,AA1971,AC1971,AE1971,AG1971,AI1971,AK1971,AM1971,AO1971,AQ1971,AS1971,AU1971,AW1971,AY1971)</f>
        <v>18933984</v>
      </c>
      <c r="BC1971" s="28" t="n">
        <f aca="false">BA1971-BB1971</f>
        <v>0</v>
      </c>
      <c r="BD1971" s="32" t="n">
        <f aca="false">SUM(P1971,R1971,T1971,V1971,X1971,Z1971,AB1971,AD1971,AF1971,AH1971,AJ1971,AL1971,AN1971,AP1971,AR1971,AT1971,AV1971,AX1971)</f>
        <v>262972</v>
      </c>
      <c r="BE1971" s="33" t="n">
        <f aca="false">AZ1971-BD1971</f>
        <v>0</v>
      </c>
      <c r="BF1971" s="34" t="n">
        <f aca="false">BD1971*M1971</f>
        <v>18933984</v>
      </c>
      <c r="BG1971" s="35" t="n">
        <f aca="false">BA1971-BF1971</f>
        <v>0</v>
      </c>
      <c r="BH1971" s="19" t="str">
        <f aca="false">IF(BG1971=0,"",IF(BG1971&lt;&gt;BA1971,"erreur de calcul",IF(BD1971&lt;&gt;0,"pas de prix",IF(M1971&lt;&gt; 0,"pas de quantité","pas de prix, ni de quantité"))))</f>
        <v/>
      </c>
      <c r="BI1971" s="19" t="s">
        <v>295</v>
      </c>
    </row>
    <row r="1972" customFormat="false" ht="15" hidden="false" customHeight="false" outlineLevel="0" collapsed="false">
      <c r="A1972" s="0" t="n">
        <v>7</v>
      </c>
      <c r="B1972" s="8" t="s">
        <v>24</v>
      </c>
      <c r="C1972" s="9" t="s">
        <v>25</v>
      </c>
      <c r="D1972" s="9" t="s">
        <v>26</v>
      </c>
      <c r="E1972" s="10" t="n">
        <v>1789</v>
      </c>
      <c r="F1972" s="9" t="s">
        <v>27</v>
      </c>
      <c r="G1972" s="9" t="s">
        <v>27</v>
      </c>
      <c r="H1972" s="11" t="n">
        <v>24</v>
      </c>
      <c r="I1972" s="11" t="s">
        <v>296</v>
      </c>
      <c r="J1972" s="14" t="n">
        <v>35</v>
      </c>
      <c r="K1972" s="14"/>
      <c r="L1972" s="16"/>
      <c r="M1972" s="27" t="n">
        <f aca="false">J1972+(K1972/20)+(L1972/240)</f>
        <v>35</v>
      </c>
      <c r="N1972" s="17" t="s">
        <v>64</v>
      </c>
      <c r="O1972" s="11" t="s">
        <v>98</v>
      </c>
      <c r="P1972" s="28"/>
      <c r="Q1972" s="28" t="n">
        <f aca="false">P1972*$M1972</f>
        <v>0</v>
      </c>
      <c r="R1972" s="28"/>
      <c r="S1972" s="28" t="n">
        <f aca="false">R1972*$M1972</f>
        <v>0</v>
      </c>
      <c r="T1972" s="28"/>
      <c r="U1972" s="28" t="n">
        <f aca="false">T1972*$M1972</f>
        <v>0</v>
      </c>
      <c r="V1972" s="28"/>
      <c r="W1972" s="28" t="n">
        <f aca="false">V1972*$M1972</f>
        <v>0</v>
      </c>
      <c r="X1972" s="28"/>
      <c r="Y1972" s="28" t="n">
        <f aca="false">X1972*$M1972</f>
        <v>0</v>
      </c>
      <c r="Z1972" s="28"/>
      <c r="AA1972" s="28" t="n">
        <f aca="false">Z1972*$M1972</f>
        <v>0</v>
      </c>
      <c r="AB1972" s="28"/>
      <c r="AC1972" s="28" t="n">
        <f aca="false">AB1972*$M1972</f>
        <v>0</v>
      </c>
      <c r="AD1972" s="28"/>
      <c r="AE1972" s="28" t="n">
        <f aca="false">AD1972*$M1972</f>
        <v>0</v>
      </c>
      <c r="AF1972" s="28"/>
      <c r="AG1972" s="28" t="n">
        <f aca="false">AF1972*$M1972</f>
        <v>0</v>
      </c>
      <c r="AH1972" s="28"/>
      <c r="AI1972" s="28" t="n">
        <f aca="false">AH1972*$M1972</f>
        <v>0</v>
      </c>
      <c r="AJ1972" s="28"/>
      <c r="AK1972" s="28" t="n">
        <f aca="false">AJ1972*$M1972</f>
        <v>0</v>
      </c>
      <c r="AL1972" s="28"/>
      <c r="AM1972" s="28" t="n">
        <f aca="false">AL1972*$M1972</f>
        <v>0</v>
      </c>
      <c r="AN1972" s="28"/>
      <c r="AO1972" s="28" t="n">
        <f aca="false">AN1972*$M1972</f>
        <v>0</v>
      </c>
      <c r="AP1972" s="28"/>
      <c r="AQ1972" s="28" t="n">
        <f aca="false">AP1972*$M1972</f>
        <v>0</v>
      </c>
      <c r="AR1972" s="28"/>
      <c r="AS1972" s="28" t="n">
        <f aca="false">AR1972*$M1972</f>
        <v>0</v>
      </c>
      <c r="AT1972" s="28"/>
      <c r="AU1972" s="28" t="n">
        <f aca="false">AT1972*$M1972</f>
        <v>0</v>
      </c>
      <c r="AV1972" s="28"/>
      <c r="AW1972" s="28" t="n">
        <f aca="false">AV1972*$M1972</f>
        <v>0</v>
      </c>
      <c r="AX1972" s="28"/>
      <c r="AY1972" s="28" t="n">
        <f aca="false">AX1972*$M1972</f>
        <v>0</v>
      </c>
      <c r="AZ1972" s="30"/>
      <c r="BA1972" s="11"/>
      <c r="BB1972" s="31" t="n">
        <f aca="false">SUM(Q1972,S1972,U1972,W1972,Y1972,AA1972,AC1972,AE1972,AG1972,AI1972,AK1972,AM1972,AO1972,AQ1972,AS1972,AU1972,AW1972,AY1972)</f>
        <v>0</v>
      </c>
      <c r="BC1972" s="28" t="n">
        <f aca="false">BA1972-BB1972</f>
        <v>0</v>
      </c>
      <c r="BD1972" s="32" t="n">
        <f aca="false">SUM(P1972,R1972,T1972,V1972,X1972,Z1972,AB1972,AD1972,AF1972,AH1972,AJ1972,AL1972,AN1972,AP1972,AR1972,AT1972,AV1972,AX1972)</f>
        <v>0</v>
      </c>
      <c r="BE1972" s="33" t="n">
        <f aca="false">AZ1972-BD1972</f>
        <v>0</v>
      </c>
      <c r="BF1972" s="34" t="n">
        <f aca="false">BD1972*M1972</f>
        <v>0</v>
      </c>
      <c r="BG1972" s="35" t="n">
        <f aca="false">BA1972-BF1972</f>
        <v>0</v>
      </c>
      <c r="BH1972" s="19" t="str">
        <f aca="false">IF(BG1972=0,"",IF(BG1972&lt;&gt;BA1972,"erreur de calcul",IF(BD1972&lt;&gt;0,"pas de prix",IF(M1972&lt;&gt; 0,"pas de quantité","pas de prix, ni de quantité"))))</f>
        <v/>
      </c>
      <c r="BI1972" s="19"/>
    </row>
    <row r="1973" customFormat="false" ht="15" hidden="false" customHeight="false" outlineLevel="0" collapsed="false">
      <c r="A1973" s="0" t="n">
        <v>8</v>
      </c>
      <c r="B1973" s="8" t="s">
        <v>24</v>
      </c>
      <c r="C1973" s="9" t="s">
        <v>25</v>
      </c>
      <c r="D1973" s="9" t="s">
        <v>26</v>
      </c>
      <c r="E1973" s="10" t="n">
        <v>1789</v>
      </c>
      <c r="F1973" s="9" t="s">
        <v>27</v>
      </c>
      <c r="G1973" s="9" t="s">
        <v>27</v>
      </c>
      <c r="H1973" s="11" t="n">
        <v>24</v>
      </c>
      <c r="I1973" s="11" t="s">
        <v>297</v>
      </c>
      <c r="J1973" s="14" t="n">
        <v>45</v>
      </c>
      <c r="K1973" s="14"/>
      <c r="L1973" s="16"/>
      <c r="M1973" s="27" t="n">
        <f aca="false">J1973+(K1973/20)+(L1973/240)</f>
        <v>45</v>
      </c>
      <c r="N1973" s="17" t="s">
        <v>64</v>
      </c>
      <c r="O1973" s="11"/>
      <c r="P1973" s="28"/>
      <c r="Q1973" s="28" t="n">
        <f aca="false">P1973*$M1973</f>
        <v>0</v>
      </c>
      <c r="R1973" s="28"/>
      <c r="S1973" s="28" t="n">
        <f aca="false">R1973*$M1973</f>
        <v>0</v>
      </c>
      <c r="T1973" s="28"/>
      <c r="U1973" s="28" t="n">
        <f aca="false">T1973*$M1973</f>
        <v>0</v>
      </c>
      <c r="V1973" s="28"/>
      <c r="W1973" s="28" t="n">
        <f aca="false">V1973*$M1973</f>
        <v>0</v>
      </c>
      <c r="X1973" s="28"/>
      <c r="Y1973" s="28" t="n">
        <f aca="false">X1973*$M1973</f>
        <v>0</v>
      </c>
      <c r="Z1973" s="28"/>
      <c r="AA1973" s="28" t="n">
        <f aca="false">Z1973*$M1973</f>
        <v>0</v>
      </c>
      <c r="AB1973" s="28"/>
      <c r="AC1973" s="28" t="n">
        <f aca="false">AB1973*$M1973</f>
        <v>0</v>
      </c>
      <c r="AD1973" s="28"/>
      <c r="AE1973" s="28" t="n">
        <f aca="false">AD1973*$M1973</f>
        <v>0</v>
      </c>
      <c r="AF1973" s="28"/>
      <c r="AG1973" s="28" t="n">
        <f aca="false">AF1973*$M1973</f>
        <v>0</v>
      </c>
      <c r="AH1973" s="28"/>
      <c r="AI1973" s="28" t="n">
        <f aca="false">AH1973*$M1973</f>
        <v>0</v>
      </c>
      <c r="AJ1973" s="28"/>
      <c r="AK1973" s="28" t="n">
        <f aca="false">AJ1973*$M1973</f>
        <v>0</v>
      </c>
      <c r="AL1973" s="28"/>
      <c r="AM1973" s="28" t="n">
        <f aca="false">AL1973*$M1973</f>
        <v>0</v>
      </c>
      <c r="AN1973" s="28"/>
      <c r="AO1973" s="28" t="n">
        <f aca="false">AN1973*$M1973</f>
        <v>0</v>
      </c>
      <c r="AP1973" s="28"/>
      <c r="AQ1973" s="28" t="n">
        <f aca="false">AP1973*$M1973</f>
        <v>0</v>
      </c>
      <c r="AR1973" s="28"/>
      <c r="AS1973" s="28" t="n">
        <f aca="false">AR1973*$M1973</f>
        <v>0</v>
      </c>
      <c r="AT1973" s="28"/>
      <c r="AU1973" s="28" t="n">
        <f aca="false">AT1973*$M1973</f>
        <v>0</v>
      </c>
      <c r="AV1973" s="28"/>
      <c r="AW1973" s="28" t="n">
        <f aca="false">AV1973*$M1973</f>
        <v>0</v>
      </c>
      <c r="AX1973" s="28" t="n">
        <f aca="false">44459/100</f>
        <v>444.59</v>
      </c>
      <c r="AY1973" s="28" t="n">
        <v>20006</v>
      </c>
      <c r="AZ1973" s="30" t="n">
        <f aca="false">44459/100</f>
        <v>444.59</v>
      </c>
      <c r="BA1973" s="11" t="n">
        <v>20006</v>
      </c>
      <c r="BB1973" s="31" t="n">
        <f aca="false">SUM(Q1973,S1973,U1973,W1973,Y1973,AA1973,AC1973,AE1973,AG1973,AI1973,AK1973,AM1973,AO1973,AQ1973,AS1973,AU1973,AW1973,AY1973)</f>
        <v>20006</v>
      </c>
      <c r="BC1973" s="28" t="n">
        <f aca="false">BA1973-BB1973</f>
        <v>0</v>
      </c>
      <c r="BD1973" s="32" t="n">
        <f aca="false">SUM(P1973,R1973,T1973,V1973,X1973,Z1973,AB1973,AD1973,AF1973,AH1973,AJ1973,AL1973,AN1973,AP1973,AR1973,AT1973,AV1973,AX1973)</f>
        <v>444.59</v>
      </c>
      <c r="BE1973" s="33" t="n">
        <f aca="false">AZ1973-BD1973</f>
        <v>0</v>
      </c>
      <c r="BF1973" s="34" t="n">
        <f aca="false">BD1973*M1973</f>
        <v>20006.55</v>
      </c>
      <c r="BG1973" s="35" t="n">
        <f aca="false">BA1973-BF1973</f>
        <v>-0.549999999999272</v>
      </c>
      <c r="BH1973" s="19" t="str">
        <f aca="false">IF(BG1973=0,"",IF(BG1973&lt;&gt;BA1973,"erreur de calcul",IF(BD1973&lt;&gt;0,"pas de prix",IF(M1973&lt;&gt; 0,"pas de quantité","pas de prix, ni de quantité"))))</f>
        <v>erreur de calcul</v>
      </c>
      <c r="BI1973" s="19"/>
    </row>
    <row r="1974" customFormat="false" ht="15" hidden="false" customHeight="false" outlineLevel="0" collapsed="false">
      <c r="A1974" s="0" t="n">
        <v>9</v>
      </c>
      <c r="B1974" s="8" t="s">
        <v>24</v>
      </c>
      <c r="C1974" s="9" t="s">
        <v>25</v>
      </c>
      <c r="D1974" s="9" t="s">
        <v>26</v>
      </c>
      <c r="E1974" s="10" t="n">
        <v>1789</v>
      </c>
      <c r="F1974" s="9" t="s">
        <v>27</v>
      </c>
      <c r="G1974" s="9" t="s">
        <v>27</v>
      </c>
      <c r="H1974" s="11" t="n">
        <v>24</v>
      </c>
      <c r="I1974" s="11" t="s">
        <v>298</v>
      </c>
      <c r="J1974" s="14" t="n">
        <v>550</v>
      </c>
      <c r="K1974" s="14"/>
      <c r="L1974" s="16"/>
      <c r="M1974" s="27" t="n">
        <f aca="false">J1974+(K1974/20)+(L1974/240)</f>
        <v>550</v>
      </c>
      <c r="N1974" s="17" t="s">
        <v>64</v>
      </c>
      <c r="O1974" s="11"/>
      <c r="P1974" s="28"/>
      <c r="Q1974" s="28" t="n">
        <f aca="false">P1974*$M1974</f>
        <v>0</v>
      </c>
      <c r="R1974" s="28"/>
      <c r="S1974" s="28" t="n">
        <f aca="false">R1974*$M1974</f>
        <v>0</v>
      </c>
      <c r="T1974" s="28"/>
      <c r="U1974" s="28" t="n">
        <f aca="false">T1974*$M1974</f>
        <v>0</v>
      </c>
      <c r="V1974" s="28"/>
      <c r="W1974" s="28" t="n">
        <f aca="false">V1974*$M1974</f>
        <v>0</v>
      </c>
      <c r="X1974" s="28"/>
      <c r="Y1974" s="28" t="n">
        <f aca="false">X1974*$M1974</f>
        <v>0</v>
      </c>
      <c r="Z1974" s="28"/>
      <c r="AA1974" s="28" t="n">
        <f aca="false">Z1974*$M1974</f>
        <v>0</v>
      </c>
      <c r="AB1974" s="28"/>
      <c r="AC1974" s="28" t="n">
        <f aca="false">AB1974*$M1974</f>
        <v>0</v>
      </c>
      <c r="AD1974" s="28"/>
      <c r="AE1974" s="28" t="n">
        <f aca="false">AD1974*$M1974</f>
        <v>0</v>
      </c>
      <c r="AF1974" s="28" t="n">
        <f aca="false">200/100</f>
        <v>2</v>
      </c>
      <c r="AG1974" s="28" t="n">
        <v>1100</v>
      </c>
      <c r="AH1974" s="28"/>
      <c r="AI1974" s="28" t="n">
        <f aca="false">AH1974*$M1974</f>
        <v>0</v>
      </c>
      <c r="AJ1974" s="28"/>
      <c r="AK1974" s="28" t="n">
        <f aca="false">AJ1974*$M1974</f>
        <v>0</v>
      </c>
      <c r="AL1974" s="28"/>
      <c r="AM1974" s="28" t="n">
        <f aca="false">AL1974*$M1974</f>
        <v>0</v>
      </c>
      <c r="AN1974" s="28"/>
      <c r="AO1974" s="28" t="n">
        <f aca="false">AN1974*$M1974</f>
        <v>0</v>
      </c>
      <c r="AP1974" s="28"/>
      <c r="AQ1974" s="28" t="n">
        <f aca="false">AP1974*$M1974</f>
        <v>0</v>
      </c>
      <c r="AR1974" s="28"/>
      <c r="AS1974" s="28" t="n">
        <f aca="false">AR1974*$M1974</f>
        <v>0</v>
      </c>
      <c r="AT1974" s="28"/>
      <c r="AU1974" s="28" t="n">
        <f aca="false">AT1974*$M1974</f>
        <v>0</v>
      </c>
      <c r="AV1974" s="28"/>
      <c r="AW1974" s="28" t="n">
        <f aca="false">AV1974*$M1974</f>
        <v>0</v>
      </c>
      <c r="AX1974" s="28"/>
      <c r="AY1974" s="28" t="n">
        <f aca="false">AX1974*$M1974</f>
        <v>0</v>
      </c>
      <c r="AZ1974" s="30" t="n">
        <f aca="false">200/100</f>
        <v>2</v>
      </c>
      <c r="BA1974" s="11" t="n">
        <v>1100</v>
      </c>
      <c r="BB1974" s="31" t="n">
        <f aca="false">SUM(Q1974,S1974,U1974,W1974,Y1974,AA1974,AC1974,AE1974,AG1974,AI1974,AK1974,AM1974,AO1974,AQ1974,AS1974,AU1974,AW1974,AY1974)</f>
        <v>1100</v>
      </c>
      <c r="BC1974" s="28" t="n">
        <f aca="false">BA1974-BB1974</f>
        <v>0</v>
      </c>
      <c r="BD1974" s="32" t="n">
        <f aca="false">SUM(P1974,R1974,T1974,V1974,X1974,Z1974,AB1974,AD1974,AF1974,AH1974,AJ1974,AL1974,AN1974,AP1974,AR1974,AT1974,AV1974,AX1974)</f>
        <v>2</v>
      </c>
      <c r="BE1974" s="33" t="n">
        <f aca="false">AZ1974-BD1974</f>
        <v>0</v>
      </c>
      <c r="BF1974" s="34" t="n">
        <f aca="false">BD1974*M1974</f>
        <v>1100</v>
      </c>
      <c r="BG1974" s="35" t="n">
        <f aca="false">BA1974-BF1974</f>
        <v>0</v>
      </c>
      <c r="BH1974" s="19" t="str">
        <f aca="false">IF(BG1974=0,"",IF(BG1974&lt;&gt;BA1974,"erreur de calcul",IF(BD1974&lt;&gt;0,"pas de prix",IF(M1974&lt;&gt; 0,"pas de quantité","pas de prix, ni de quantité"))))</f>
        <v/>
      </c>
      <c r="BI1974" s="19"/>
    </row>
    <row r="1975" customFormat="false" ht="15" hidden="false" customHeight="false" outlineLevel="0" collapsed="false">
      <c r="A1975" s="0" t="n">
        <v>10</v>
      </c>
      <c r="B1975" s="8" t="s">
        <v>24</v>
      </c>
      <c r="C1975" s="9" t="s">
        <v>25</v>
      </c>
      <c r="D1975" s="9" t="s">
        <v>26</v>
      </c>
      <c r="E1975" s="10" t="n">
        <v>1789</v>
      </c>
      <c r="F1975" s="9" t="s">
        <v>27</v>
      </c>
      <c r="G1975" s="9" t="s">
        <v>27</v>
      </c>
      <c r="H1975" s="11" t="n">
        <v>24</v>
      </c>
      <c r="I1975" s="11" t="s">
        <v>299</v>
      </c>
      <c r="J1975" s="14" t="n">
        <v>16</v>
      </c>
      <c r="K1975" s="14"/>
      <c r="L1975" s="16"/>
      <c r="M1975" s="27" t="n">
        <f aca="false">J1975+(K1975/20)+(L1975/240)</f>
        <v>16</v>
      </c>
      <c r="N1975" s="17" t="s">
        <v>64</v>
      </c>
      <c r="O1975" s="11"/>
      <c r="P1975" s="28" t="n">
        <f aca="false">20*288*0.02+252*0.02</f>
        <v>120.24</v>
      </c>
      <c r="Q1975" s="28" t="n">
        <v>1924</v>
      </c>
      <c r="R1975" s="28"/>
      <c r="S1975" s="28" t="n">
        <f aca="false">R1975*$M1975</f>
        <v>0</v>
      </c>
      <c r="T1975" s="28"/>
      <c r="U1975" s="28" t="n">
        <f aca="false">T1975*$M1975</f>
        <v>0</v>
      </c>
      <c r="V1975" s="28" t="n">
        <f aca="false">16*288*0.02+15*0.02</f>
        <v>92.46</v>
      </c>
      <c r="W1975" s="28" t="n">
        <v>1479</v>
      </c>
      <c r="X1975" s="28" t="n">
        <f aca="false">25*288*0.02+152*0.02</f>
        <v>147.04</v>
      </c>
      <c r="Y1975" s="28" t="n">
        <v>2353</v>
      </c>
      <c r="Z1975" s="28"/>
      <c r="AA1975" s="28" t="n">
        <f aca="false">Z1975*$M1975</f>
        <v>0</v>
      </c>
      <c r="AB1975" s="28" t="n">
        <f aca="false">127*288*0.02+236*0.02</f>
        <v>736.24</v>
      </c>
      <c r="AC1975" s="28" t="n">
        <v>11780</v>
      </c>
      <c r="AD1975" s="28"/>
      <c r="AE1975" s="28" t="n">
        <f aca="false">AD1975*$M1975</f>
        <v>0</v>
      </c>
      <c r="AF1975" s="28"/>
      <c r="AG1975" s="28" t="n">
        <f aca="false">AF1975*$M1975</f>
        <v>0</v>
      </c>
      <c r="AH1975" s="28"/>
      <c r="AI1975" s="28" t="n">
        <f aca="false">AH1975*$M1975</f>
        <v>0</v>
      </c>
      <c r="AJ1975" s="28"/>
      <c r="AK1975" s="28" t="n">
        <f aca="false">AJ1975*$M1975</f>
        <v>0</v>
      </c>
      <c r="AL1975" s="28"/>
      <c r="AM1975" s="28" t="n">
        <f aca="false">AL1975*$M1975</f>
        <v>0</v>
      </c>
      <c r="AN1975" s="28"/>
      <c r="AO1975" s="28" t="n">
        <f aca="false">AN1975*$M1975</f>
        <v>0</v>
      </c>
      <c r="AP1975" s="28"/>
      <c r="AQ1975" s="28" t="n">
        <f aca="false">AP1975*$M1975</f>
        <v>0</v>
      </c>
      <c r="AR1975" s="28"/>
      <c r="AS1975" s="28" t="n">
        <f aca="false">AR1975*$M1975</f>
        <v>0</v>
      </c>
      <c r="AT1975" s="28"/>
      <c r="AU1975" s="28" t="n">
        <f aca="false">AT1975*$M1975</f>
        <v>0</v>
      </c>
      <c r="AV1975" s="28"/>
      <c r="AW1975" s="28" t="n">
        <f aca="false">AV1975*$M1975</f>
        <v>0</v>
      </c>
      <c r="AX1975" s="28"/>
      <c r="AY1975" s="28" t="n">
        <f aca="false">AX1975*$M1975</f>
        <v>0</v>
      </c>
      <c r="AZ1975" s="30" t="n">
        <f aca="false">190*288*0.02+82*0.02</f>
        <v>1096.04</v>
      </c>
      <c r="BA1975" s="11" t="n">
        <v>17536</v>
      </c>
      <c r="BB1975" s="31" t="n">
        <f aca="false">SUM(Q1975,S1975,U1975,W1975,Y1975,AA1975,AC1975,AE1975,AG1975,AI1975,AK1975,AM1975,AO1975,AQ1975,AS1975,AU1975,AW1975,AY1975)</f>
        <v>17536</v>
      </c>
      <c r="BC1975" s="28" t="n">
        <f aca="false">BA1975-BB1975</f>
        <v>0</v>
      </c>
      <c r="BD1975" s="32" t="n">
        <f aca="false">SUM(P1975,R1975,T1975,V1975,X1975,Z1975,AB1975,AD1975,AF1975,AH1975,AJ1975,AL1975,AN1975,AP1975,AR1975,AT1975,AV1975,AX1975)</f>
        <v>1095.98</v>
      </c>
      <c r="BE1975" s="33" t="n">
        <f aca="false">AZ1975-BD1975</f>
        <v>0.0600000000001728</v>
      </c>
      <c r="BF1975" s="34" t="n">
        <f aca="false">BD1975*M1975</f>
        <v>17535.68</v>
      </c>
      <c r="BG1975" s="35" t="n">
        <f aca="false">BA1975-BF1975</f>
        <v>0.319999999999709</v>
      </c>
      <c r="BH1975" s="19" t="str">
        <f aca="false">IF(BG1975=0,"",IF(BG1975&lt;&gt;BA1975,"erreur de calcul",IF(BD1975&lt;&gt;0,"pas de prix",IF(M1975&lt;&gt; 0,"pas de quantité","pas de prix, ni de quantité"))))</f>
        <v>erreur de calcul</v>
      </c>
      <c r="BI1975" s="19"/>
    </row>
    <row r="1976" customFormat="false" ht="15" hidden="false" customHeight="false" outlineLevel="0" collapsed="false">
      <c r="A1976" s="0" t="n">
        <v>11</v>
      </c>
      <c r="B1976" s="8" t="s">
        <v>24</v>
      </c>
      <c r="C1976" s="9" t="s">
        <v>25</v>
      </c>
      <c r="D1976" s="9" t="s">
        <v>26</v>
      </c>
      <c r="E1976" s="10" t="n">
        <v>1789</v>
      </c>
      <c r="F1976" s="9" t="s">
        <v>27</v>
      </c>
      <c r="G1976" s="9" t="s">
        <v>27</v>
      </c>
      <c r="H1976" s="11" t="n">
        <v>24</v>
      </c>
      <c r="I1976" s="11" t="s">
        <v>300</v>
      </c>
      <c r="J1976" s="14" t="n">
        <v>360</v>
      </c>
      <c r="K1976" s="14"/>
      <c r="L1976" s="16"/>
      <c r="M1976" s="27" t="n">
        <f aca="false">J1976+(K1976/20)+(L1976/240)</f>
        <v>360</v>
      </c>
      <c r="N1976" s="17" t="s">
        <v>64</v>
      </c>
      <c r="O1976" s="11"/>
      <c r="P1976" s="28"/>
      <c r="Q1976" s="28" t="n">
        <f aca="false">P1976*$M1976</f>
        <v>0</v>
      </c>
      <c r="R1976" s="28"/>
      <c r="S1976" s="28" t="n">
        <f aca="false">R1976*$M1976</f>
        <v>0</v>
      </c>
      <c r="T1976" s="28"/>
      <c r="U1976" s="28" t="n">
        <f aca="false">T1976*$M1976</f>
        <v>0</v>
      </c>
      <c r="V1976" s="28"/>
      <c r="W1976" s="28" t="n">
        <f aca="false">V1976*$M1976</f>
        <v>0</v>
      </c>
      <c r="X1976" s="28"/>
      <c r="Y1976" s="28" t="n">
        <f aca="false">X1976*$M1976</f>
        <v>0</v>
      </c>
      <c r="Z1976" s="28"/>
      <c r="AA1976" s="28" t="n">
        <f aca="false">Z1976*$M1976</f>
        <v>0</v>
      </c>
      <c r="AB1976" s="28"/>
      <c r="AC1976" s="28" t="n">
        <f aca="false">AB1976*$M1976</f>
        <v>0</v>
      </c>
      <c r="AD1976" s="28"/>
      <c r="AE1976" s="28" t="n">
        <f aca="false">AD1976*$M1976</f>
        <v>0</v>
      </c>
      <c r="AF1976" s="28"/>
      <c r="AG1976" s="28" t="n">
        <f aca="false">AF1976*$M1976</f>
        <v>0</v>
      </c>
      <c r="AH1976" s="28" t="n">
        <f aca="false">371073/100</f>
        <v>3710.73</v>
      </c>
      <c r="AI1976" s="28" t="n">
        <v>1335863</v>
      </c>
      <c r="AJ1976" s="28"/>
      <c r="AK1976" s="28" t="n">
        <f aca="false">AJ1976*$M1976</f>
        <v>0</v>
      </c>
      <c r="AL1976" s="28"/>
      <c r="AM1976" s="28" t="n">
        <f aca="false">AL1976*$M1976</f>
        <v>0</v>
      </c>
      <c r="AN1976" s="28"/>
      <c r="AO1976" s="28" t="n">
        <f aca="false">AN1976*$M1976</f>
        <v>0</v>
      </c>
      <c r="AP1976" s="28"/>
      <c r="AQ1976" s="28" t="n">
        <f aca="false">AP1976*$M1976</f>
        <v>0</v>
      </c>
      <c r="AR1976" s="28"/>
      <c r="AS1976" s="28" t="n">
        <f aca="false">AR1976*$M1976</f>
        <v>0</v>
      </c>
      <c r="AT1976" s="28"/>
      <c r="AU1976" s="28" t="n">
        <f aca="false">AT1976*$M1976</f>
        <v>0</v>
      </c>
      <c r="AV1976" s="28"/>
      <c r="AW1976" s="28" t="n">
        <f aca="false">AV1976*$M1976</f>
        <v>0</v>
      </c>
      <c r="AX1976" s="28"/>
      <c r="AY1976" s="28" t="n">
        <f aca="false">AX1976*$M1976</f>
        <v>0</v>
      </c>
      <c r="AZ1976" s="30" t="n">
        <f aca="false">371073/100</f>
        <v>3710.73</v>
      </c>
      <c r="BA1976" s="11" t="n">
        <v>1335863</v>
      </c>
      <c r="BB1976" s="31" t="n">
        <f aca="false">SUM(Q1976,S1976,U1976,W1976,Y1976,AA1976,AC1976,AE1976,AG1976,AI1976,AK1976,AM1976,AO1976,AQ1976,AS1976,AU1976,AW1976,AY1976)</f>
        <v>1335863</v>
      </c>
      <c r="BC1976" s="28" t="n">
        <f aca="false">BA1976-BB1976</f>
        <v>0</v>
      </c>
      <c r="BD1976" s="32" t="n">
        <f aca="false">SUM(P1976,R1976,T1976,V1976,X1976,Z1976,AB1976,AD1976,AF1976,AH1976,AJ1976,AL1976,AN1976,AP1976,AR1976,AT1976,AV1976,AX1976)</f>
        <v>3710.73</v>
      </c>
      <c r="BE1976" s="33" t="n">
        <f aca="false">AZ1976-BD1976</f>
        <v>0</v>
      </c>
      <c r="BF1976" s="34" t="n">
        <f aca="false">BD1976*M1976</f>
        <v>1335862.8</v>
      </c>
      <c r="BG1976" s="35" t="n">
        <f aca="false">BA1976-BF1976</f>
        <v>0.199999999953434</v>
      </c>
      <c r="BH1976" s="19" t="str">
        <f aca="false">IF(BG1976=0,"",IF(BG1976&lt;&gt;BA1976,"erreur de calcul",IF(BD1976&lt;&gt;0,"pas de prix",IF(M1976&lt;&gt; 0,"pas de quantité","pas de prix, ni de quantité"))))</f>
        <v>erreur de calcul</v>
      </c>
      <c r="BI1976" s="19"/>
    </row>
    <row r="1977" customFormat="false" ht="15" hidden="false" customHeight="false" outlineLevel="0" collapsed="false">
      <c r="A1977" s="0" t="n">
        <v>12</v>
      </c>
      <c r="B1977" s="8" t="s">
        <v>24</v>
      </c>
      <c r="C1977" s="9" t="s">
        <v>25</v>
      </c>
      <c r="D1977" s="9" t="s">
        <v>26</v>
      </c>
      <c r="E1977" s="10" t="n">
        <v>1789</v>
      </c>
      <c r="F1977" s="9" t="s">
        <v>27</v>
      </c>
      <c r="G1977" s="9" t="s">
        <v>27</v>
      </c>
      <c r="H1977" s="11" t="n">
        <v>24</v>
      </c>
      <c r="I1977" s="11" t="s">
        <v>301</v>
      </c>
      <c r="J1977" s="14" t="n">
        <v>3</v>
      </c>
      <c r="K1977" s="14"/>
      <c r="L1977" s="16"/>
      <c r="M1977" s="27" t="n">
        <f aca="false">J1977+(K1977/20)+(L1977/240)</f>
        <v>3</v>
      </c>
      <c r="N1977" s="17" t="s">
        <v>66</v>
      </c>
      <c r="O1977" s="11"/>
      <c r="P1977" s="28"/>
      <c r="Q1977" s="28" t="n">
        <f aca="false">P1977*$M1977</f>
        <v>0</v>
      </c>
      <c r="R1977" s="28"/>
      <c r="S1977" s="28" t="n">
        <f aca="false">R1977*$M1977</f>
        <v>0</v>
      </c>
      <c r="T1977" s="28"/>
      <c r="U1977" s="28" t="n">
        <f aca="false">T1977*$M1977</f>
        <v>0</v>
      </c>
      <c r="V1977" s="28"/>
      <c r="W1977" s="28" t="n">
        <f aca="false">V1977*$M1977</f>
        <v>0</v>
      </c>
      <c r="X1977" s="28"/>
      <c r="Y1977" s="28" t="n">
        <f aca="false">X1977*$M1977</f>
        <v>0</v>
      </c>
      <c r="Z1977" s="28"/>
      <c r="AA1977" s="28" t="n">
        <f aca="false">Z1977*$M1977</f>
        <v>0</v>
      </c>
      <c r="AB1977" s="28"/>
      <c r="AC1977" s="28" t="n">
        <f aca="false">AB1977*$M1977</f>
        <v>0</v>
      </c>
      <c r="AD1977" s="28"/>
      <c r="AE1977" s="28" t="n">
        <f aca="false">AD1977*$M1977</f>
        <v>0</v>
      </c>
      <c r="AF1977" s="28"/>
      <c r="AG1977" s="28" t="n">
        <f aca="false">AF1977*$M1977</f>
        <v>0</v>
      </c>
      <c r="AH1977" s="28" t="n">
        <v>19281</v>
      </c>
      <c r="AI1977" s="28" t="n">
        <v>57843</v>
      </c>
      <c r="AJ1977" s="28"/>
      <c r="AK1977" s="28" t="n">
        <f aca="false">AJ1977*$M1977</f>
        <v>0</v>
      </c>
      <c r="AL1977" s="28"/>
      <c r="AM1977" s="28" t="n">
        <f aca="false">AL1977*$M1977</f>
        <v>0</v>
      </c>
      <c r="AN1977" s="28"/>
      <c r="AO1977" s="28" t="n">
        <f aca="false">AN1977*$M1977</f>
        <v>0</v>
      </c>
      <c r="AP1977" s="28"/>
      <c r="AQ1977" s="28" t="n">
        <f aca="false">AP1977*$M1977</f>
        <v>0</v>
      </c>
      <c r="AR1977" s="28"/>
      <c r="AS1977" s="28" t="n">
        <f aca="false">AR1977*$M1977</f>
        <v>0</v>
      </c>
      <c r="AT1977" s="28"/>
      <c r="AU1977" s="28" t="n">
        <f aca="false">AT1977*$M1977</f>
        <v>0</v>
      </c>
      <c r="AV1977" s="28"/>
      <c r="AW1977" s="28" t="n">
        <f aca="false">AV1977*$M1977</f>
        <v>0</v>
      </c>
      <c r="AX1977" s="28"/>
      <c r="AY1977" s="28" t="n">
        <f aca="false">AX1977*$M1977</f>
        <v>0</v>
      </c>
      <c r="AZ1977" s="30" t="n">
        <v>19281</v>
      </c>
      <c r="BA1977" s="11" t="n">
        <v>57843</v>
      </c>
      <c r="BB1977" s="31" t="n">
        <f aca="false">SUM(Q1977,S1977,U1977,W1977,Y1977,AA1977,AC1977,AE1977,AG1977,AI1977,AK1977,AM1977,AO1977,AQ1977,AS1977,AU1977,AW1977,AY1977)</f>
        <v>57843</v>
      </c>
      <c r="BC1977" s="28" t="n">
        <f aca="false">BA1977-BB1977</f>
        <v>0</v>
      </c>
      <c r="BD1977" s="32" t="n">
        <f aca="false">SUM(P1977,R1977,T1977,V1977,X1977,Z1977,AB1977,AD1977,AF1977,AH1977,AJ1977,AL1977,AN1977,AP1977,AR1977,AT1977,AV1977,AX1977)</f>
        <v>19281</v>
      </c>
      <c r="BE1977" s="33" t="n">
        <f aca="false">AZ1977-BD1977</f>
        <v>0</v>
      </c>
      <c r="BF1977" s="34" t="n">
        <f aca="false">BD1977*M1977</f>
        <v>57843</v>
      </c>
      <c r="BG1977" s="35" t="n">
        <f aca="false">BA1977-BF1977</f>
        <v>0</v>
      </c>
      <c r="BH1977" s="19" t="str">
        <f aca="false">IF(BG1977=0,"",IF(BG1977&lt;&gt;BA1977,"erreur de calcul",IF(BD1977&lt;&gt;0,"pas de prix",IF(M1977&lt;&gt; 0,"pas de quantité","pas de prix, ni de quantité"))))</f>
        <v/>
      </c>
      <c r="BI1977" s="19"/>
    </row>
    <row r="1978" customFormat="false" ht="15" hidden="false" customHeight="false" outlineLevel="0" collapsed="false">
      <c r="A1978" s="0" t="n">
        <v>13</v>
      </c>
      <c r="B1978" s="8" t="s">
        <v>24</v>
      </c>
      <c r="C1978" s="9" t="s">
        <v>25</v>
      </c>
      <c r="D1978" s="9" t="s">
        <v>26</v>
      </c>
      <c r="E1978" s="10" t="n">
        <v>1789</v>
      </c>
      <c r="F1978" s="9" t="s">
        <v>27</v>
      </c>
      <c r="G1978" s="9" t="s">
        <v>27</v>
      </c>
      <c r="H1978" s="11" t="n">
        <v>24</v>
      </c>
      <c r="I1978" s="11" t="s">
        <v>302</v>
      </c>
      <c r="J1978" s="14" t="n">
        <v>112</v>
      </c>
      <c r="K1978" s="14"/>
      <c r="L1978" s="16"/>
      <c r="M1978" s="27" t="n">
        <f aca="false">J1978+(K1978/20)+(L1978/240)</f>
        <v>112</v>
      </c>
      <c r="N1978" s="17" t="s">
        <v>64</v>
      </c>
      <c r="O1978" s="11"/>
      <c r="P1978" s="28" t="n">
        <f aca="false">99503/100</f>
        <v>995.03</v>
      </c>
      <c r="Q1978" s="28" t="n">
        <v>111443</v>
      </c>
      <c r="R1978" s="28"/>
      <c r="S1978" s="28" t="n">
        <f aca="false">R1978*$M1978</f>
        <v>0</v>
      </c>
      <c r="T1978" s="28" t="n">
        <f aca="false">8445/100</f>
        <v>84.45</v>
      </c>
      <c r="U1978" s="28" t="n">
        <v>9458</v>
      </c>
      <c r="V1978" s="28" t="n">
        <f aca="false">2517/100</f>
        <v>25.17</v>
      </c>
      <c r="W1978" s="28" t="n">
        <v>2819</v>
      </c>
      <c r="X1978" s="28" t="n">
        <f aca="false">4729/100</f>
        <v>47.29</v>
      </c>
      <c r="Y1978" s="28" t="n">
        <v>5296</v>
      </c>
      <c r="Z1978" s="28" t="n">
        <f aca="false">198115/100</f>
        <v>1981.15</v>
      </c>
      <c r="AA1978" s="28" t="n">
        <v>221889</v>
      </c>
      <c r="AB1978" s="28"/>
      <c r="AC1978" s="28" t="n">
        <f aca="false">AB1978*$M1978</f>
        <v>0</v>
      </c>
      <c r="AD1978" s="28"/>
      <c r="AE1978" s="28" t="n">
        <f aca="false">AD1978*$M1978</f>
        <v>0</v>
      </c>
      <c r="AF1978" s="28" t="n">
        <f aca="false">67420/100</f>
        <v>674.2</v>
      </c>
      <c r="AG1978" s="28" t="n">
        <v>75510</v>
      </c>
      <c r="AH1978" s="28" t="n">
        <f aca="false">415806/100</f>
        <v>4158.06</v>
      </c>
      <c r="AI1978" s="28" t="n">
        <v>465703</v>
      </c>
      <c r="AJ1978" s="28"/>
      <c r="AK1978" s="28" t="n">
        <f aca="false">AJ1978*$M1978</f>
        <v>0</v>
      </c>
      <c r="AL1978" s="28" t="n">
        <f aca="false">324/100</f>
        <v>3.24</v>
      </c>
      <c r="AM1978" s="28" t="n">
        <v>363</v>
      </c>
      <c r="AN1978" s="28"/>
      <c r="AO1978" s="28" t="n">
        <f aca="false">AN1978*$M1978</f>
        <v>0</v>
      </c>
      <c r="AP1978" s="28"/>
      <c r="AQ1978" s="28" t="n">
        <f aca="false">AP1978*$M1978</f>
        <v>0</v>
      </c>
      <c r="AR1978" s="28"/>
      <c r="AS1978" s="28" t="n">
        <f aca="false">AR1978*$M1978</f>
        <v>0</v>
      </c>
      <c r="AT1978" s="28"/>
      <c r="AU1978" s="28" t="n">
        <f aca="false">AT1978*$M1978</f>
        <v>0</v>
      </c>
      <c r="AV1978" s="28"/>
      <c r="AW1978" s="28" t="n">
        <f aca="false">AV1978*$M1978</f>
        <v>0</v>
      </c>
      <c r="AX1978" s="28"/>
      <c r="AY1978" s="28" t="n">
        <f aca="false">AX1978*$M1978</f>
        <v>0</v>
      </c>
      <c r="AZ1978" s="30" t="n">
        <f aca="false">796859/100</f>
        <v>7968.59</v>
      </c>
      <c r="BA1978" s="11" t="n">
        <v>892481</v>
      </c>
      <c r="BB1978" s="31" t="n">
        <f aca="false">SUM(Q1978,S1978,U1978,W1978,Y1978,AA1978,AC1978,AE1978,AG1978,AI1978,AK1978,AM1978,AO1978,AQ1978,AS1978,AU1978,AW1978,AY1978)</f>
        <v>892481</v>
      </c>
      <c r="BC1978" s="28" t="n">
        <f aca="false">BA1978-BB1978</f>
        <v>0</v>
      </c>
      <c r="BD1978" s="32" t="n">
        <f aca="false">SUM(P1978,R1978,T1978,V1978,X1978,Z1978,AB1978,AD1978,AF1978,AH1978,AJ1978,AL1978,AN1978,AP1978,AR1978,AT1978,AV1978,AX1978)</f>
        <v>7968.59</v>
      </c>
      <c r="BE1978" s="33" t="n">
        <f aca="false">AZ1978-BD1978</f>
        <v>0</v>
      </c>
      <c r="BF1978" s="34" t="n">
        <f aca="false">BD1978*M1978</f>
        <v>892482.08</v>
      </c>
      <c r="BG1978" s="35" t="n">
        <f aca="false">BA1978-BF1978</f>
        <v>-1.07999999995809</v>
      </c>
      <c r="BH1978" s="19" t="str">
        <f aca="false">IF(BG1978=0,"",IF(BG1978&lt;&gt;BA1978,"erreur de calcul",IF(BD1978&lt;&gt;0,"pas de prix",IF(M1978&lt;&gt; 0,"pas de quantité","pas de prix, ni de quantité"))))</f>
        <v>erreur de calcul</v>
      </c>
      <c r="BI1978" s="19"/>
    </row>
    <row r="1979" customFormat="false" ht="15" hidden="false" customHeight="false" outlineLevel="0" collapsed="false">
      <c r="A1979" s="0" t="n">
        <v>14</v>
      </c>
      <c r="B1979" s="8" t="s">
        <v>24</v>
      </c>
      <c r="C1979" s="9" t="s">
        <v>25</v>
      </c>
      <c r="D1979" s="9" t="s">
        <v>26</v>
      </c>
      <c r="E1979" s="10" t="n">
        <v>1789</v>
      </c>
      <c r="F1979" s="9" t="s">
        <v>27</v>
      </c>
      <c r="G1979" s="9" t="s">
        <v>27</v>
      </c>
      <c r="H1979" s="11" t="n">
        <v>24</v>
      </c>
      <c r="I1979" s="11" t="s">
        <v>303</v>
      </c>
      <c r="J1979" s="14" t="n">
        <v>50</v>
      </c>
      <c r="K1979" s="14"/>
      <c r="L1979" s="16"/>
      <c r="M1979" s="27" t="n">
        <f aca="false">J1979+(K1979/20)+(L1979/240)</f>
        <v>50</v>
      </c>
      <c r="N1979" s="17" t="s">
        <v>64</v>
      </c>
      <c r="O1979" s="11"/>
      <c r="P1979" s="28"/>
      <c r="Q1979" s="28" t="n">
        <f aca="false">P1979*$M1979</f>
        <v>0</v>
      </c>
      <c r="R1979" s="28"/>
      <c r="S1979" s="28" t="n">
        <f aca="false">R1979*$M1979</f>
        <v>0</v>
      </c>
      <c r="T1979" s="28"/>
      <c r="U1979" s="28" t="n">
        <f aca="false">T1979*$M1979</f>
        <v>0</v>
      </c>
      <c r="V1979" s="28"/>
      <c r="W1979" s="28" t="n">
        <f aca="false">V1979*$M1979</f>
        <v>0</v>
      </c>
      <c r="X1979" s="28"/>
      <c r="Y1979" s="28" t="n">
        <f aca="false">X1979*$M1979</f>
        <v>0</v>
      </c>
      <c r="Z1979" s="28"/>
      <c r="AA1979" s="28" t="n">
        <f aca="false">Z1979*$M1979</f>
        <v>0</v>
      </c>
      <c r="AB1979" s="28"/>
      <c r="AC1979" s="28" t="n">
        <f aca="false">AB1979*$M1979</f>
        <v>0</v>
      </c>
      <c r="AD1979" s="28"/>
      <c r="AE1979" s="28" t="n">
        <f aca="false">AD1979*$M1979</f>
        <v>0</v>
      </c>
      <c r="AF1979" s="28" t="n">
        <f aca="false">208461/100</f>
        <v>2084.61</v>
      </c>
      <c r="AG1979" s="28" t="n">
        <v>104230</v>
      </c>
      <c r="AH1979" s="28" t="n">
        <f aca="false">757624/100</f>
        <v>7576.24</v>
      </c>
      <c r="AI1979" s="28" t="n">
        <v>378812</v>
      </c>
      <c r="AJ1979" s="28"/>
      <c r="AK1979" s="28" t="n">
        <f aca="false">AJ1979*$M1979</f>
        <v>0</v>
      </c>
      <c r="AL1979" s="28"/>
      <c r="AM1979" s="28" t="n">
        <f aca="false">AL1979*$M1979</f>
        <v>0</v>
      </c>
      <c r="AN1979" s="28"/>
      <c r="AO1979" s="28" t="n">
        <f aca="false">AN1979*$M1979</f>
        <v>0</v>
      </c>
      <c r="AP1979" s="28"/>
      <c r="AQ1979" s="28" t="n">
        <f aca="false">AP1979*$M1979</f>
        <v>0</v>
      </c>
      <c r="AR1979" s="28"/>
      <c r="AS1979" s="28" t="n">
        <f aca="false">AR1979*$M1979</f>
        <v>0</v>
      </c>
      <c r="AT1979" s="28"/>
      <c r="AU1979" s="28" t="n">
        <f aca="false">AT1979*$M1979</f>
        <v>0</v>
      </c>
      <c r="AV1979" s="28"/>
      <c r="AW1979" s="28" t="n">
        <f aca="false">AV1979*$M1979</f>
        <v>0</v>
      </c>
      <c r="AX1979" s="28"/>
      <c r="AY1979" s="28" t="n">
        <f aca="false">AX1979*$M1979</f>
        <v>0</v>
      </c>
      <c r="AZ1979" s="30" t="n">
        <f aca="false">966085/100</f>
        <v>9660.85</v>
      </c>
      <c r="BA1979" s="11" t="n">
        <v>483042</v>
      </c>
      <c r="BB1979" s="31" t="n">
        <f aca="false">SUM(Q1979,S1979,U1979,W1979,Y1979,AA1979,AC1979,AE1979,AG1979,AI1979,AK1979,AM1979,AO1979,AQ1979,AS1979,AU1979,AW1979,AY1979)</f>
        <v>483042</v>
      </c>
      <c r="BC1979" s="28" t="n">
        <f aca="false">BA1979-BB1979</f>
        <v>0</v>
      </c>
      <c r="BD1979" s="32" t="n">
        <f aca="false">SUM(P1979,R1979,T1979,V1979,X1979,Z1979,AB1979,AD1979,AF1979,AH1979,AJ1979,AL1979,AN1979,AP1979,AR1979,AT1979,AV1979,AX1979)</f>
        <v>9660.85</v>
      </c>
      <c r="BE1979" s="33" t="n">
        <f aca="false">AZ1979-BD1979</f>
        <v>0</v>
      </c>
      <c r="BF1979" s="34" t="n">
        <f aca="false">BD1979*M1979</f>
        <v>483042.5</v>
      </c>
      <c r="BG1979" s="35" t="n">
        <f aca="false">BA1979-BF1979</f>
        <v>-0.5</v>
      </c>
      <c r="BH1979" s="19" t="str">
        <f aca="false">IF(BG1979=0,"",IF(BG1979&lt;&gt;BA1979,"erreur de calcul",IF(BD1979&lt;&gt;0,"pas de prix",IF(M1979&lt;&gt; 0,"pas de quantité","pas de prix, ni de quantité"))))</f>
        <v>erreur de calcul</v>
      </c>
      <c r="BI1979" s="19"/>
    </row>
    <row r="1980" customFormat="false" ht="15" hidden="false" customHeight="false" outlineLevel="0" collapsed="false">
      <c r="A1980" s="0" t="n">
        <v>15</v>
      </c>
      <c r="B1980" s="8" t="s">
        <v>24</v>
      </c>
      <c r="C1980" s="9" t="s">
        <v>25</v>
      </c>
      <c r="D1980" s="9" t="s">
        <v>26</v>
      </c>
      <c r="E1980" s="10" t="n">
        <v>1789</v>
      </c>
      <c r="F1980" s="9" t="s">
        <v>27</v>
      </c>
      <c r="G1980" s="9" t="s">
        <v>27</v>
      </c>
      <c r="H1980" s="11" t="n">
        <v>24</v>
      </c>
      <c r="I1980" s="11" t="s">
        <v>304</v>
      </c>
      <c r="J1980" s="14" t="n">
        <v>340</v>
      </c>
      <c r="K1980" s="14"/>
      <c r="L1980" s="16"/>
      <c r="M1980" s="27" t="n">
        <f aca="false">J1980+(K1980/20)+(L1980/240)</f>
        <v>340</v>
      </c>
      <c r="N1980" s="17" t="s">
        <v>64</v>
      </c>
      <c r="O1980" s="11"/>
      <c r="P1980" s="28"/>
      <c r="Q1980" s="28" t="n">
        <f aca="false">P1980*$M1980</f>
        <v>0</v>
      </c>
      <c r="R1980" s="28"/>
      <c r="S1980" s="28" t="n">
        <f aca="false">R1980*$M1980</f>
        <v>0</v>
      </c>
      <c r="T1980" s="28"/>
      <c r="U1980" s="28" t="n">
        <f aca="false">T1980*$M1980</f>
        <v>0</v>
      </c>
      <c r="V1980" s="28"/>
      <c r="W1980" s="28" t="n">
        <f aca="false">V1980*$M1980</f>
        <v>0</v>
      </c>
      <c r="X1980" s="28"/>
      <c r="Y1980" s="28" t="n">
        <f aca="false">X1980*$M1980</f>
        <v>0</v>
      </c>
      <c r="Z1980" s="28"/>
      <c r="AA1980" s="28" t="n">
        <f aca="false">Z1980*$M1980</f>
        <v>0</v>
      </c>
      <c r="AB1980" s="28" t="n">
        <f aca="false">339883/100</f>
        <v>3398.83</v>
      </c>
      <c r="AC1980" s="28" t="n">
        <v>1155602</v>
      </c>
      <c r="AD1980" s="28"/>
      <c r="AE1980" s="28" t="n">
        <f aca="false">AD1980*$M1980</f>
        <v>0</v>
      </c>
      <c r="AF1980" s="28"/>
      <c r="AG1980" s="28" t="n">
        <f aca="false">AF1980*$M1980</f>
        <v>0</v>
      </c>
      <c r="AH1980" s="28"/>
      <c r="AI1980" s="28" t="n">
        <f aca="false">AH1980*$M1980</f>
        <v>0</v>
      </c>
      <c r="AJ1980" s="28"/>
      <c r="AK1980" s="28" t="n">
        <f aca="false">AJ1980*$M1980</f>
        <v>0</v>
      </c>
      <c r="AL1980" s="28"/>
      <c r="AM1980" s="28" t="n">
        <f aca="false">AL1980*$M1980</f>
        <v>0</v>
      </c>
      <c r="AN1980" s="28"/>
      <c r="AO1980" s="28" t="n">
        <f aca="false">AN1980*$M1980</f>
        <v>0</v>
      </c>
      <c r="AP1980" s="28"/>
      <c r="AQ1980" s="28" t="n">
        <f aca="false">AP1980*$M1980</f>
        <v>0</v>
      </c>
      <c r="AR1980" s="28"/>
      <c r="AS1980" s="28" t="n">
        <f aca="false">AR1980*$M1980</f>
        <v>0</v>
      </c>
      <c r="AT1980" s="28"/>
      <c r="AU1980" s="28" t="n">
        <f aca="false">AT1980*$M1980</f>
        <v>0</v>
      </c>
      <c r="AV1980" s="28"/>
      <c r="AW1980" s="28" t="n">
        <f aca="false">AV1980*$M1980</f>
        <v>0</v>
      </c>
      <c r="AX1980" s="28"/>
      <c r="AY1980" s="28" t="n">
        <f aca="false">AX1980*$M1980</f>
        <v>0</v>
      </c>
      <c r="AZ1980" s="30" t="n">
        <f aca="false">339883/100</f>
        <v>3398.83</v>
      </c>
      <c r="BA1980" s="11" t="n">
        <v>1155602</v>
      </c>
      <c r="BB1980" s="31" t="n">
        <f aca="false">SUM(Q1980,S1980,U1980,W1980,Y1980,AA1980,AC1980,AE1980,AG1980,AI1980,AK1980,AM1980,AO1980,AQ1980,AS1980,AU1980,AW1980,AY1980)</f>
        <v>1155602</v>
      </c>
      <c r="BC1980" s="28" t="n">
        <f aca="false">BA1980-BB1980</f>
        <v>0</v>
      </c>
      <c r="BD1980" s="32" t="n">
        <f aca="false">SUM(P1980,R1980,T1980,V1980,X1980,Z1980,AB1980,AD1980,AF1980,AH1980,AJ1980,AL1980,AN1980,AP1980,AR1980,AT1980,AV1980,AX1980)</f>
        <v>3398.83</v>
      </c>
      <c r="BE1980" s="33" t="n">
        <f aca="false">AZ1980-BD1980</f>
        <v>0</v>
      </c>
      <c r="BF1980" s="34" t="n">
        <f aca="false">BD1980*M1980</f>
        <v>1155602.2</v>
      </c>
      <c r="BG1980" s="35" t="n">
        <f aca="false">BA1980-BF1980</f>
        <v>-0.199999999953434</v>
      </c>
      <c r="BH1980" s="19" t="str">
        <f aca="false">IF(BG1980=0,"",IF(BG1980&lt;&gt;BA1980,"erreur de calcul",IF(BD1980&lt;&gt;0,"pas de prix",IF(M1980&lt;&gt; 0,"pas de quantité","pas de prix, ni de quantité"))))</f>
        <v>erreur de calcul</v>
      </c>
      <c r="BI1980" s="19"/>
    </row>
    <row r="1981" customFormat="false" ht="15" hidden="false" customHeight="false" outlineLevel="0" collapsed="false">
      <c r="A1981" s="0" t="n">
        <v>16</v>
      </c>
      <c r="B1981" s="8" t="s">
        <v>24</v>
      </c>
      <c r="C1981" s="9" t="s">
        <v>25</v>
      </c>
      <c r="D1981" s="9" t="s">
        <v>26</v>
      </c>
      <c r="E1981" s="10" t="n">
        <v>1789</v>
      </c>
      <c r="F1981" s="9" t="s">
        <v>27</v>
      </c>
      <c r="G1981" s="9" t="s">
        <v>27</v>
      </c>
      <c r="H1981" s="11" t="n">
        <v>24</v>
      </c>
      <c r="I1981" s="11" t="s">
        <v>305</v>
      </c>
      <c r="J1981" s="14" t="n">
        <v>235</v>
      </c>
      <c r="K1981" s="14"/>
      <c r="L1981" s="16"/>
      <c r="M1981" s="27" t="n">
        <f aca="false">J1981+(K1981/20)+(L1981/240)</f>
        <v>235</v>
      </c>
      <c r="N1981" s="17" t="s">
        <v>64</v>
      </c>
      <c r="O1981" s="11"/>
      <c r="P1981" s="28" t="n">
        <f aca="false">34642/100</f>
        <v>346.42</v>
      </c>
      <c r="Q1981" s="28" t="n">
        <v>81409</v>
      </c>
      <c r="R1981" s="28"/>
      <c r="S1981" s="28" t="n">
        <f aca="false">R1981*$M1981</f>
        <v>0</v>
      </c>
      <c r="T1981" s="28"/>
      <c r="U1981" s="28" t="n">
        <f aca="false">T1981*$M1981</f>
        <v>0</v>
      </c>
      <c r="V1981" s="28"/>
      <c r="W1981" s="28" t="n">
        <f aca="false">V1981*$M1981</f>
        <v>0</v>
      </c>
      <c r="X1981" s="28"/>
      <c r="Y1981" s="28" t="n">
        <f aca="false">X1981*$M1981</f>
        <v>0</v>
      </c>
      <c r="Z1981" s="28"/>
      <c r="AA1981" s="28" t="n">
        <f aca="false">Z1981*$M1981</f>
        <v>0</v>
      </c>
      <c r="AB1981" s="28"/>
      <c r="AC1981" s="28" t="n">
        <f aca="false">AB1981*$M1981</f>
        <v>0</v>
      </c>
      <c r="AD1981" s="28"/>
      <c r="AE1981" s="28" t="n">
        <f aca="false">AD1981*$M1981</f>
        <v>0</v>
      </c>
      <c r="AF1981" s="28"/>
      <c r="AG1981" s="28" t="n">
        <f aca="false">AF1981*$M1981</f>
        <v>0</v>
      </c>
      <c r="AH1981" s="28"/>
      <c r="AI1981" s="28" t="n">
        <f aca="false">AH1981*$M1981</f>
        <v>0</v>
      </c>
      <c r="AJ1981" s="28"/>
      <c r="AK1981" s="28" t="n">
        <f aca="false">AJ1981*$M1981</f>
        <v>0</v>
      </c>
      <c r="AL1981" s="28"/>
      <c r="AM1981" s="28" t="n">
        <f aca="false">AL1981*$M1981</f>
        <v>0</v>
      </c>
      <c r="AN1981" s="28"/>
      <c r="AO1981" s="28" t="n">
        <f aca="false">AN1981*$M1981</f>
        <v>0</v>
      </c>
      <c r="AP1981" s="28"/>
      <c r="AQ1981" s="28" t="n">
        <f aca="false">AP1981*$M1981</f>
        <v>0</v>
      </c>
      <c r="AR1981" s="28"/>
      <c r="AS1981" s="28" t="n">
        <f aca="false">AR1981*$M1981</f>
        <v>0</v>
      </c>
      <c r="AT1981" s="28"/>
      <c r="AU1981" s="28" t="n">
        <f aca="false">AT1981*$M1981</f>
        <v>0</v>
      </c>
      <c r="AV1981" s="28"/>
      <c r="AW1981" s="28" t="n">
        <f aca="false">AV1981*$M1981</f>
        <v>0</v>
      </c>
      <c r="AX1981" s="28"/>
      <c r="AY1981" s="28" t="n">
        <f aca="false">AX1981*$M1981</f>
        <v>0</v>
      </c>
      <c r="AZ1981" s="30" t="n">
        <f aca="false">34642/100</f>
        <v>346.42</v>
      </c>
      <c r="BA1981" s="11" t="n">
        <v>81409</v>
      </c>
      <c r="BB1981" s="31" t="n">
        <f aca="false">SUM(Q1981,S1981,U1981,W1981,Y1981,AA1981,AC1981,AE1981,AG1981,AI1981,AK1981,AM1981,AO1981,AQ1981,AS1981,AU1981,AW1981,AY1981)</f>
        <v>81409</v>
      </c>
      <c r="BC1981" s="28" t="n">
        <f aca="false">BA1981-BB1981</f>
        <v>0</v>
      </c>
      <c r="BD1981" s="32" t="n">
        <f aca="false">SUM(P1981,R1981,T1981,V1981,X1981,Z1981,AB1981,AD1981,AF1981,AH1981,AJ1981,AL1981,AN1981,AP1981,AR1981,AT1981,AV1981,AX1981)</f>
        <v>346.42</v>
      </c>
      <c r="BE1981" s="33" t="n">
        <f aca="false">AZ1981-BD1981</f>
        <v>0</v>
      </c>
      <c r="BF1981" s="34" t="n">
        <f aca="false">BD1981*M1981</f>
        <v>81408.7</v>
      </c>
      <c r="BG1981" s="35" t="n">
        <f aca="false">BA1981-BF1981</f>
        <v>0.30000000000291</v>
      </c>
      <c r="BH1981" s="19" t="str">
        <f aca="false">IF(BG1981=0,"",IF(BG1981&lt;&gt;BA1981,"erreur de calcul",IF(BD1981&lt;&gt;0,"pas de prix",IF(M1981&lt;&gt; 0,"pas de quantité","pas de prix, ni de quantité"))))</f>
        <v>erreur de calcul</v>
      </c>
      <c r="BI1981" s="19"/>
    </row>
    <row r="1982" customFormat="false" ht="15" hidden="false" customHeight="false" outlineLevel="0" collapsed="false">
      <c r="A1982" s="0" t="n">
        <v>17</v>
      </c>
      <c r="B1982" s="8" t="s">
        <v>24</v>
      </c>
      <c r="C1982" s="9" t="s">
        <v>25</v>
      </c>
      <c r="D1982" s="9" t="s">
        <v>26</v>
      </c>
      <c r="E1982" s="10" t="n">
        <v>1789</v>
      </c>
      <c r="F1982" s="9" t="s">
        <v>27</v>
      </c>
      <c r="G1982" s="9" t="s">
        <v>27</v>
      </c>
      <c r="H1982" s="11" t="n">
        <v>24</v>
      </c>
      <c r="I1982" s="11" t="s">
        <v>306</v>
      </c>
      <c r="J1982" s="14" t="n">
        <v>71</v>
      </c>
      <c r="K1982" s="14"/>
      <c r="L1982" s="16"/>
      <c r="M1982" s="27" t="n">
        <f aca="false">J1982+(K1982/20)+(L1982/240)</f>
        <v>71</v>
      </c>
      <c r="N1982" s="17" t="s">
        <v>64</v>
      </c>
      <c r="O1982" s="11"/>
      <c r="P1982" s="28"/>
      <c r="Q1982" s="28" t="n">
        <f aca="false">P1982*$M1982</f>
        <v>0</v>
      </c>
      <c r="R1982" s="28"/>
      <c r="S1982" s="28" t="n">
        <f aca="false">R1982*$M1982</f>
        <v>0</v>
      </c>
      <c r="T1982" s="28" t="n">
        <f aca="false">12674/100</f>
        <v>126.74</v>
      </c>
      <c r="U1982" s="28" t="n">
        <v>8998</v>
      </c>
      <c r="V1982" s="28"/>
      <c r="W1982" s="28" t="n">
        <f aca="false">V1982*$M1982</f>
        <v>0</v>
      </c>
      <c r="X1982" s="28"/>
      <c r="Y1982" s="28" t="n">
        <f aca="false">X1982*$M1982</f>
        <v>0</v>
      </c>
      <c r="Z1982" s="28"/>
      <c r="AA1982" s="28" t="n">
        <f aca="false">Z1982*$M1982</f>
        <v>0</v>
      </c>
      <c r="AB1982" s="28"/>
      <c r="AC1982" s="28" t="n">
        <f aca="false">AB1982*$M1982</f>
        <v>0</v>
      </c>
      <c r="AD1982" s="28" t="n">
        <f aca="false">4283/100</f>
        <v>42.83</v>
      </c>
      <c r="AE1982" s="28" t="n">
        <v>3041</v>
      </c>
      <c r="AF1982" s="28" t="n">
        <f aca="false">2978140/100</f>
        <v>29781.4</v>
      </c>
      <c r="AG1982" s="28" t="n">
        <v>2114479</v>
      </c>
      <c r="AH1982" s="28" t="n">
        <f aca="false">4119032/100</f>
        <v>41190.32</v>
      </c>
      <c r="AI1982" s="28" t="n">
        <v>2924512</v>
      </c>
      <c r="AJ1982" s="28"/>
      <c r="AK1982" s="28" t="n">
        <f aca="false">AJ1982*$M1982</f>
        <v>0</v>
      </c>
      <c r="AL1982" s="28"/>
      <c r="AM1982" s="28" t="n">
        <f aca="false">AL1982*$M1982</f>
        <v>0</v>
      </c>
      <c r="AN1982" s="28"/>
      <c r="AO1982" s="28" t="n">
        <f aca="false">AN1982*$M1982</f>
        <v>0</v>
      </c>
      <c r="AP1982" s="28"/>
      <c r="AQ1982" s="28" t="n">
        <f aca="false">AP1982*$M1982</f>
        <v>0</v>
      </c>
      <c r="AR1982" s="28"/>
      <c r="AS1982" s="28" t="n">
        <f aca="false">AR1982*$M1982</f>
        <v>0</v>
      </c>
      <c r="AT1982" s="28"/>
      <c r="AU1982" s="28" t="n">
        <f aca="false">AT1982*$M1982</f>
        <v>0</v>
      </c>
      <c r="AV1982" s="28"/>
      <c r="AW1982" s="28" t="n">
        <f aca="false">AV1982*$M1982</f>
        <v>0</v>
      </c>
      <c r="AX1982" s="28"/>
      <c r="AY1982" s="28" t="n">
        <f aca="false">AX1982*$M1982</f>
        <v>0</v>
      </c>
      <c r="AZ1982" s="30" t="n">
        <f aca="false">7114129/100</f>
        <v>71141.29</v>
      </c>
      <c r="BA1982" s="11" t="n">
        <v>5051030</v>
      </c>
      <c r="BB1982" s="31" t="n">
        <f aca="false">SUM(Q1982,S1982,U1982,W1982,Y1982,AA1982,AC1982,AE1982,AG1982,AI1982,AK1982,AM1982,AO1982,AQ1982,AS1982,AU1982,AW1982,AY1982)</f>
        <v>5051030</v>
      </c>
      <c r="BC1982" s="28" t="n">
        <f aca="false">BA1982-BB1982</f>
        <v>0</v>
      </c>
      <c r="BD1982" s="32" t="n">
        <f aca="false">SUM(P1982,R1982,T1982,V1982,X1982,Z1982,AB1982,AD1982,AF1982,AH1982,AJ1982,AL1982,AN1982,AP1982,AR1982,AT1982,AV1982,AX1982)</f>
        <v>71141.29</v>
      </c>
      <c r="BE1982" s="33" t="n">
        <f aca="false">AZ1982-BD1982</f>
        <v>0</v>
      </c>
      <c r="BF1982" s="34" t="n">
        <f aca="false">BD1982*M1982</f>
        <v>5051031.59</v>
      </c>
      <c r="BG1982" s="35" t="n">
        <f aca="false">BA1982-BF1982</f>
        <v>-1.59000000078231</v>
      </c>
      <c r="BH1982" s="19" t="str">
        <f aca="false">IF(BG1982=0,"",IF(BG1982&lt;&gt;BA1982,"erreur de calcul",IF(BD1982&lt;&gt;0,"pas de prix",IF(M1982&lt;&gt; 0,"pas de quantité","pas de prix, ni de quantité"))))</f>
        <v>erreur de calcul</v>
      </c>
      <c r="BI1982" s="19"/>
    </row>
    <row r="1983" customFormat="false" ht="15" hidden="false" customHeight="false" outlineLevel="0" collapsed="false">
      <c r="A1983" s="0" t="n">
        <v>18</v>
      </c>
      <c r="B1983" s="8" t="s">
        <v>24</v>
      </c>
      <c r="C1983" s="9" t="s">
        <v>25</v>
      </c>
      <c r="D1983" s="9" t="s">
        <v>26</v>
      </c>
      <c r="E1983" s="10" t="n">
        <v>1789</v>
      </c>
      <c r="F1983" s="9" t="s">
        <v>27</v>
      </c>
      <c r="G1983" s="9" t="s">
        <v>27</v>
      </c>
      <c r="H1983" s="11" t="n">
        <v>24</v>
      </c>
      <c r="I1983" s="11" t="s">
        <v>307</v>
      </c>
      <c r="J1983" s="14" t="n">
        <v>45</v>
      </c>
      <c r="K1983" s="14"/>
      <c r="L1983" s="16"/>
      <c r="M1983" s="27" t="n">
        <f aca="false">J1983+(K1983/20)+(L1983/240)</f>
        <v>45</v>
      </c>
      <c r="N1983" s="17" t="s">
        <v>64</v>
      </c>
      <c r="O1983" s="11"/>
      <c r="P1983" s="28"/>
      <c r="Q1983" s="28" t="n">
        <f aca="false">P1983*$M1983</f>
        <v>0</v>
      </c>
      <c r="R1983" s="28"/>
      <c r="S1983" s="28" t="n">
        <f aca="false">R1983*$M1983</f>
        <v>0</v>
      </c>
      <c r="T1983" s="28"/>
      <c r="U1983" s="28" t="n">
        <f aca="false">T1983*$M1983</f>
        <v>0</v>
      </c>
      <c r="V1983" s="28"/>
      <c r="W1983" s="28" t="n">
        <f aca="false">V1983*$M1983</f>
        <v>0</v>
      </c>
      <c r="X1983" s="28"/>
      <c r="Y1983" s="28" t="n">
        <f aca="false">X1983*$M1983</f>
        <v>0</v>
      </c>
      <c r="Z1983" s="28"/>
      <c r="AA1983" s="28" t="n">
        <f aca="false">Z1983*$M1983</f>
        <v>0</v>
      </c>
      <c r="AB1983" s="28"/>
      <c r="AC1983" s="28" t="n">
        <f aca="false">AB1983*$M1983</f>
        <v>0</v>
      </c>
      <c r="AD1983" s="28"/>
      <c r="AE1983" s="28" t="n">
        <f aca="false">AD1983*$M1983</f>
        <v>0</v>
      </c>
      <c r="AF1983" s="28"/>
      <c r="AG1983" s="28" t="n">
        <f aca="false">AF1983*$M1983</f>
        <v>0</v>
      </c>
      <c r="AH1983" s="28"/>
      <c r="AI1983" s="28" t="n">
        <f aca="false">AH1983*$M1983</f>
        <v>0</v>
      </c>
      <c r="AJ1983" s="28"/>
      <c r="AK1983" s="28" t="n">
        <f aca="false">AJ1983*$M1983</f>
        <v>0</v>
      </c>
      <c r="AL1983" s="28" t="n">
        <f aca="false">971/100</f>
        <v>9.71</v>
      </c>
      <c r="AM1983" s="28" t="n">
        <v>437</v>
      </c>
      <c r="AN1983" s="28"/>
      <c r="AO1983" s="28" t="n">
        <f aca="false">AN1983*$M1983</f>
        <v>0</v>
      </c>
      <c r="AP1983" s="28"/>
      <c r="AQ1983" s="28" t="n">
        <f aca="false">AP1983*$M1983</f>
        <v>0</v>
      </c>
      <c r="AR1983" s="28"/>
      <c r="AS1983" s="28" t="n">
        <f aca="false">AR1983*$M1983</f>
        <v>0</v>
      </c>
      <c r="AT1983" s="28"/>
      <c r="AU1983" s="28" t="n">
        <f aca="false">AT1983*$M1983</f>
        <v>0</v>
      </c>
      <c r="AV1983" s="28"/>
      <c r="AW1983" s="28" t="n">
        <f aca="false">AV1983*$M1983</f>
        <v>0</v>
      </c>
      <c r="AX1983" s="28"/>
      <c r="AY1983" s="28" t="n">
        <f aca="false">AX1983*$M1983</f>
        <v>0</v>
      </c>
      <c r="AZ1983" s="30" t="n">
        <f aca="false">971/100</f>
        <v>9.71</v>
      </c>
      <c r="BA1983" s="11" t="n">
        <v>437</v>
      </c>
      <c r="BB1983" s="31" t="n">
        <f aca="false">SUM(Q1983,S1983,U1983,W1983,Y1983,AA1983,AC1983,AE1983,AG1983,AI1983,AK1983,AM1983,AO1983,AQ1983,AS1983,AU1983,AW1983,AY1983)</f>
        <v>437</v>
      </c>
      <c r="BC1983" s="28" t="n">
        <f aca="false">BA1983-BB1983</f>
        <v>0</v>
      </c>
      <c r="BD1983" s="32" t="n">
        <f aca="false">SUM(P1983,R1983,T1983,V1983,X1983,Z1983,AB1983,AD1983,AF1983,AH1983,AJ1983,AL1983,AN1983,AP1983,AR1983,AT1983,AV1983,AX1983)</f>
        <v>9.71</v>
      </c>
      <c r="BE1983" s="33" t="n">
        <f aca="false">AZ1983-BD1983</f>
        <v>0</v>
      </c>
      <c r="BF1983" s="34" t="n">
        <f aca="false">BD1983*M1983</f>
        <v>436.95</v>
      </c>
      <c r="BG1983" s="35" t="n">
        <f aca="false">BA1983-BF1983</f>
        <v>0.0499999999999545</v>
      </c>
      <c r="BH1983" s="19" t="str">
        <f aca="false">IF(BG1983=0,"",IF(BG1983&lt;&gt;BA1983,"erreur de calcul",IF(BD1983&lt;&gt;0,"pas de prix",IF(M1983&lt;&gt; 0,"pas de quantité","pas de prix, ni de quantité"))))</f>
        <v>erreur de calcul</v>
      </c>
      <c r="BI1983" s="19"/>
    </row>
    <row r="1984" customFormat="false" ht="15" hidden="false" customHeight="false" outlineLevel="0" collapsed="false">
      <c r="A1984" s="0" t="n">
        <v>19</v>
      </c>
      <c r="B1984" s="8" t="s">
        <v>24</v>
      </c>
      <c r="C1984" s="9" t="s">
        <v>25</v>
      </c>
      <c r="D1984" s="9" t="s">
        <v>26</v>
      </c>
      <c r="E1984" s="10" t="n">
        <v>1789</v>
      </c>
      <c r="F1984" s="9" t="s">
        <v>27</v>
      </c>
      <c r="G1984" s="9" t="s">
        <v>27</v>
      </c>
      <c r="H1984" s="11" t="n">
        <v>24</v>
      </c>
      <c r="I1984" s="11" t="s">
        <v>308</v>
      </c>
      <c r="J1984" s="14" t="n">
        <v>240</v>
      </c>
      <c r="K1984" s="14"/>
      <c r="L1984" s="16"/>
      <c r="M1984" s="27" t="n">
        <f aca="false">J1984+(K1984/20)+(L1984/240)</f>
        <v>240</v>
      </c>
      <c r="N1984" s="17" t="s">
        <v>64</v>
      </c>
      <c r="O1984" s="11"/>
      <c r="P1984" s="28"/>
      <c r="Q1984" s="28" t="n">
        <f aca="false">P1984*$M1984</f>
        <v>0</v>
      </c>
      <c r="R1984" s="28"/>
      <c r="S1984" s="28" t="n">
        <f aca="false">R1984*$M1984</f>
        <v>0</v>
      </c>
      <c r="T1984" s="28"/>
      <c r="U1984" s="28" t="n">
        <f aca="false">T1984*$M1984</f>
        <v>0</v>
      </c>
      <c r="V1984" s="28"/>
      <c r="W1984" s="28" t="n">
        <f aca="false">V1984*$M1984</f>
        <v>0</v>
      </c>
      <c r="X1984" s="28"/>
      <c r="Y1984" s="28" t="n">
        <f aca="false">X1984*$M1984</f>
        <v>0</v>
      </c>
      <c r="Z1984" s="28"/>
      <c r="AA1984" s="28" t="n">
        <f aca="false">Z1984*$M1984</f>
        <v>0</v>
      </c>
      <c r="AB1984" s="28"/>
      <c r="AC1984" s="28" t="n">
        <f aca="false">AB1984*$M1984</f>
        <v>0</v>
      </c>
      <c r="AD1984" s="28"/>
      <c r="AE1984" s="28" t="n">
        <f aca="false">AD1984*$M1984</f>
        <v>0</v>
      </c>
      <c r="AF1984" s="28"/>
      <c r="AG1984" s="28" t="n">
        <f aca="false">AF1984*$M1984</f>
        <v>0</v>
      </c>
      <c r="AH1984" s="28"/>
      <c r="AI1984" s="28" t="n">
        <f aca="false">AH1984*$M1984</f>
        <v>0</v>
      </c>
      <c r="AJ1984" s="28" t="n">
        <f aca="false">2173/100</f>
        <v>21.73</v>
      </c>
      <c r="AK1984" s="28" t="n">
        <v>5215</v>
      </c>
      <c r="AL1984" s="28"/>
      <c r="AM1984" s="28" t="n">
        <f aca="false">AL1984*$M1984</f>
        <v>0</v>
      </c>
      <c r="AN1984" s="28"/>
      <c r="AO1984" s="28" t="n">
        <f aca="false">AN1984*$M1984</f>
        <v>0</v>
      </c>
      <c r="AP1984" s="28"/>
      <c r="AQ1984" s="28" t="n">
        <f aca="false">AP1984*$M1984</f>
        <v>0</v>
      </c>
      <c r="AR1984" s="28"/>
      <c r="AS1984" s="28" t="n">
        <f aca="false">AR1984*$M1984</f>
        <v>0</v>
      </c>
      <c r="AT1984" s="28"/>
      <c r="AU1984" s="28" t="n">
        <f aca="false">AT1984*$M1984</f>
        <v>0</v>
      </c>
      <c r="AV1984" s="28"/>
      <c r="AW1984" s="28" t="n">
        <f aca="false">AV1984*$M1984</f>
        <v>0</v>
      </c>
      <c r="AX1984" s="28"/>
      <c r="AY1984" s="28" t="n">
        <f aca="false">AX1984*$M1984</f>
        <v>0</v>
      </c>
      <c r="AZ1984" s="30" t="n">
        <f aca="false">2173/100</f>
        <v>21.73</v>
      </c>
      <c r="BA1984" s="11" t="n">
        <v>5215</v>
      </c>
      <c r="BB1984" s="31" t="n">
        <f aca="false">SUM(Q1984,S1984,U1984,W1984,Y1984,AA1984,AC1984,AE1984,AG1984,AI1984,AK1984,AM1984,AO1984,AQ1984,AS1984,AU1984,AW1984,AY1984)</f>
        <v>5215</v>
      </c>
      <c r="BC1984" s="28" t="n">
        <f aca="false">BA1984-BB1984</f>
        <v>0</v>
      </c>
      <c r="BD1984" s="32" t="n">
        <f aca="false">SUM(P1984,R1984,T1984,V1984,X1984,Z1984,AB1984,AD1984,AF1984,AH1984,AJ1984,AL1984,AN1984,AP1984,AR1984,AT1984,AV1984,AX1984)</f>
        <v>21.73</v>
      </c>
      <c r="BE1984" s="33" t="n">
        <f aca="false">AZ1984-BD1984</f>
        <v>0</v>
      </c>
      <c r="BF1984" s="34" t="n">
        <f aca="false">BD1984*M1984</f>
        <v>5215.2</v>
      </c>
      <c r="BG1984" s="35" t="n">
        <f aca="false">BA1984-BF1984</f>
        <v>-0.199999999999818</v>
      </c>
      <c r="BH1984" s="19" t="str">
        <f aca="false">IF(BG1984=0,"",IF(BG1984&lt;&gt;BA1984,"erreur de calcul",IF(BD1984&lt;&gt;0,"pas de prix",IF(M1984&lt;&gt; 0,"pas de quantité","pas de prix, ni de quantité"))))</f>
        <v>erreur de calcul</v>
      </c>
      <c r="BI1984" s="19"/>
    </row>
    <row r="1985" customFormat="false" ht="15" hidden="false" customHeight="false" outlineLevel="0" collapsed="false">
      <c r="A1985" s="0" t="n">
        <v>20</v>
      </c>
      <c r="B1985" s="8" t="s">
        <v>24</v>
      </c>
      <c r="C1985" s="9" t="s">
        <v>25</v>
      </c>
      <c r="D1985" s="9" t="s">
        <v>26</v>
      </c>
      <c r="E1985" s="10" t="n">
        <v>1789</v>
      </c>
      <c r="F1985" s="9" t="s">
        <v>27</v>
      </c>
      <c r="G1985" s="9" t="s">
        <v>27</v>
      </c>
      <c r="H1985" s="11" t="n">
        <v>24</v>
      </c>
      <c r="I1985" s="11" t="s">
        <v>309</v>
      </c>
      <c r="J1985" s="14"/>
      <c r="K1985" s="14"/>
      <c r="L1985" s="16"/>
      <c r="M1985" s="27" t="n">
        <f aca="false">J1985+(K1985/20)+(L1985/240)</f>
        <v>0</v>
      </c>
      <c r="N1985" s="17"/>
      <c r="O1985" s="11"/>
      <c r="P1985" s="28"/>
      <c r="Q1985" s="28" t="n">
        <f aca="false">P1985*$M1985</f>
        <v>0</v>
      </c>
      <c r="R1985" s="28"/>
      <c r="S1985" s="28" t="n">
        <f aca="false">R1985*$M1985</f>
        <v>0</v>
      </c>
      <c r="T1985" s="28"/>
      <c r="U1985" s="28" t="n">
        <v>195</v>
      </c>
      <c r="V1985" s="28"/>
      <c r="W1985" s="28" t="n">
        <v>640</v>
      </c>
      <c r="X1985" s="28"/>
      <c r="Y1985" s="28" t="n">
        <f aca="false">X1985*$M1985</f>
        <v>0</v>
      </c>
      <c r="Z1985" s="28"/>
      <c r="AA1985" s="28" t="n">
        <f aca="false">Z1985*$M1985</f>
        <v>0</v>
      </c>
      <c r="AB1985" s="28"/>
      <c r="AC1985" s="28" t="n">
        <f aca="false">AB1985*$M1985</f>
        <v>0</v>
      </c>
      <c r="AD1985" s="28"/>
      <c r="AE1985" s="28" t="n">
        <f aca="false">AD1985*$M1985</f>
        <v>0</v>
      </c>
      <c r="AF1985" s="28"/>
      <c r="AG1985" s="28" t="n">
        <f aca="false">AF1985*$M1985</f>
        <v>0</v>
      </c>
      <c r="AH1985" s="28"/>
      <c r="AI1985" s="28" t="n">
        <v>121</v>
      </c>
      <c r="AJ1985" s="28"/>
      <c r="AK1985" s="28" t="n">
        <v>412</v>
      </c>
      <c r="AL1985" s="28"/>
      <c r="AM1985" s="28" t="n">
        <f aca="false">AL1985*$M1985</f>
        <v>0</v>
      </c>
      <c r="AN1985" s="28"/>
      <c r="AO1985" s="28" t="n">
        <f aca="false">AN1985*$M1985</f>
        <v>0</v>
      </c>
      <c r="AP1985" s="28"/>
      <c r="AQ1985" s="28" t="n">
        <f aca="false">AP1985*$M1985</f>
        <v>0</v>
      </c>
      <c r="AR1985" s="28"/>
      <c r="AS1985" s="28" t="n">
        <f aca="false">AR1985*$M1985</f>
        <v>0</v>
      </c>
      <c r="AT1985" s="28"/>
      <c r="AU1985" s="28" t="n">
        <f aca="false">AT1985*$M1985</f>
        <v>0</v>
      </c>
      <c r="AV1985" s="28"/>
      <c r="AW1985" s="28" t="n">
        <f aca="false">AV1985*$M1985</f>
        <v>0</v>
      </c>
      <c r="AX1985" s="28"/>
      <c r="AY1985" s="28" t="n">
        <f aca="false">AX1985*$M1985</f>
        <v>0</v>
      </c>
      <c r="AZ1985" s="30"/>
      <c r="BA1985" s="11" t="n">
        <v>1368</v>
      </c>
      <c r="BB1985" s="31" t="n">
        <f aca="false">SUM(Q1985,S1985,U1985,W1985,Y1985,AA1985,AC1985,AE1985,AG1985,AI1985,AK1985,AM1985,AO1985,AQ1985,AS1985,AU1985,AW1985,AY1985)</f>
        <v>1368</v>
      </c>
      <c r="BC1985" s="28" t="n">
        <f aca="false">BA1985-BB1985</f>
        <v>0</v>
      </c>
      <c r="BD1985" s="32" t="n">
        <f aca="false">SUM(P1985,R1985,T1985,V1985,X1985,Z1985,AB1985,AD1985,AF1985,AH1985,AJ1985,AL1985,AN1985,AP1985,AR1985,AT1985,AV1985,AX1985)</f>
        <v>0</v>
      </c>
      <c r="BE1985" s="33" t="n">
        <f aca="false">AZ1985-BD1985</f>
        <v>0</v>
      </c>
      <c r="BF1985" s="34" t="n">
        <f aca="false">BD1985*M1985</f>
        <v>0</v>
      </c>
      <c r="BG1985" s="35" t="n">
        <f aca="false">BA1985-BF1985</f>
        <v>1368</v>
      </c>
      <c r="BH1985" s="19" t="str">
        <f aca="false">IF(BG1985=0,"",IF(BG1985&lt;&gt;BA1985,"erreur de calcul",IF(BD1985&lt;&gt;0,"pas de prix",IF(M1985&lt;&gt; 0,"pas de quantité","pas de prix, ni de quantité"))))</f>
        <v>pas de prix, ni de quantité</v>
      </c>
      <c r="BI1985" s="19"/>
    </row>
    <row r="1986" customFormat="false" ht="15" hidden="false" customHeight="false" outlineLevel="0" collapsed="false">
      <c r="A1986" s="0" t="n">
        <v>21</v>
      </c>
      <c r="B1986" s="8" t="s">
        <v>24</v>
      </c>
      <c r="C1986" s="9" t="s">
        <v>25</v>
      </c>
      <c r="D1986" s="9" t="s">
        <v>26</v>
      </c>
      <c r="E1986" s="10" t="n">
        <v>1789</v>
      </c>
      <c r="F1986" s="9" t="s">
        <v>27</v>
      </c>
      <c r="G1986" s="9" t="s">
        <v>27</v>
      </c>
      <c r="H1986" s="11" t="n">
        <v>24</v>
      </c>
      <c r="I1986" s="11" t="s">
        <v>310</v>
      </c>
      <c r="J1986" s="14"/>
      <c r="K1986" s="14" t="n">
        <v>3</v>
      </c>
      <c r="L1986" s="16"/>
      <c r="M1986" s="27" t="n">
        <f aca="false">J1986+(K1986/20)+(L1986/240)</f>
        <v>0.15</v>
      </c>
      <c r="N1986" s="17" t="s">
        <v>311</v>
      </c>
      <c r="O1986" s="11"/>
      <c r="P1986" s="28"/>
      <c r="Q1986" s="28" t="n">
        <f aca="false">P1986*$M1986</f>
        <v>0</v>
      </c>
      <c r="R1986" s="28"/>
      <c r="S1986" s="28" t="n">
        <f aca="false">R1986*$M1986</f>
        <v>0</v>
      </c>
      <c r="T1986" s="28"/>
      <c r="U1986" s="28" t="n">
        <f aca="false">T1986*$M1986</f>
        <v>0</v>
      </c>
      <c r="V1986" s="28" t="n">
        <v>32065</v>
      </c>
      <c r="W1986" s="28" t="n">
        <v>4810</v>
      </c>
      <c r="X1986" s="28" t="n">
        <v>20652</v>
      </c>
      <c r="Y1986" s="28" t="n">
        <v>3098</v>
      </c>
      <c r="Z1986" s="28"/>
      <c r="AA1986" s="28" t="n">
        <f aca="false">Z1986*$M1986</f>
        <v>0</v>
      </c>
      <c r="AB1986" s="28"/>
      <c r="AC1986" s="28" t="n">
        <f aca="false">AB1986*$M1986</f>
        <v>0</v>
      </c>
      <c r="AD1986" s="28"/>
      <c r="AE1986" s="28" t="n">
        <f aca="false">AD1986*$M1986</f>
        <v>0</v>
      </c>
      <c r="AF1986" s="28"/>
      <c r="AG1986" s="28" t="n">
        <f aca="false">AF1986*$M1986</f>
        <v>0</v>
      </c>
      <c r="AH1986" s="28"/>
      <c r="AI1986" s="28" t="n">
        <f aca="false">AH1986*$M1986</f>
        <v>0</v>
      </c>
      <c r="AJ1986" s="28"/>
      <c r="AK1986" s="28" t="n">
        <f aca="false">AJ1986*$M1986</f>
        <v>0</v>
      </c>
      <c r="AL1986" s="28"/>
      <c r="AM1986" s="28" t="n">
        <f aca="false">AL1986*$M1986</f>
        <v>0</v>
      </c>
      <c r="AN1986" s="28"/>
      <c r="AO1986" s="28" t="n">
        <f aca="false">AN1986*$M1986</f>
        <v>0</v>
      </c>
      <c r="AP1986" s="28"/>
      <c r="AQ1986" s="28" t="n">
        <f aca="false">AP1986*$M1986</f>
        <v>0</v>
      </c>
      <c r="AR1986" s="28"/>
      <c r="AS1986" s="28" t="n">
        <f aca="false">AR1986*$M1986</f>
        <v>0</v>
      </c>
      <c r="AT1986" s="28"/>
      <c r="AU1986" s="28" t="n">
        <f aca="false">AT1986*$M1986</f>
        <v>0</v>
      </c>
      <c r="AV1986" s="28"/>
      <c r="AW1986" s="28" t="n">
        <f aca="false">AV1986*$M1986</f>
        <v>0</v>
      </c>
      <c r="AX1986" s="28"/>
      <c r="AY1986" s="28" t="n">
        <f aca="false">AX1986*$M1986</f>
        <v>0</v>
      </c>
      <c r="AZ1986" s="30" t="n">
        <v>52717</v>
      </c>
      <c r="BA1986" s="11" t="n">
        <v>7908</v>
      </c>
      <c r="BB1986" s="31" t="n">
        <f aca="false">SUM(Q1986,S1986,U1986,W1986,Y1986,AA1986,AC1986,AE1986,AG1986,AI1986,AK1986,AM1986,AO1986,AQ1986,AS1986,AU1986,AW1986,AY1986)</f>
        <v>7908</v>
      </c>
      <c r="BC1986" s="28" t="n">
        <f aca="false">BA1986-BB1986</f>
        <v>0</v>
      </c>
      <c r="BD1986" s="32" t="n">
        <f aca="false">SUM(P1986,R1986,T1986,V1986,X1986,Z1986,AB1986,AD1986,AF1986,AH1986,AJ1986,AL1986,AN1986,AP1986,AR1986,AT1986,AV1986,AX1986)</f>
        <v>52717</v>
      </c>
      <c r="BE1986" s="33" t="n">
        <f aca="false">AZ1986-BD1986</f>
        <v>0</v>
      </c>
      <c r="BF1986" s="34" t="n">
        <f aca="false">BD1986*M1986</f>
        <v>7907.55</v>
      </c>
      <c r="BG1986" s="35" t="n">
        <f aca="false">BA1986-BF1986</f>
        <v>0.450000000000728</v>
      </c>
      <c r="BH1986" s="19" t="str">
        <f aca="false">IF(BG1986=0,"",IF(BG1986&lt;&gt;BA1986,"erreur de calcul",IF(BD1986&lt;&gt;0,"pas de prix",IF(M1986&lt;&gt; 0,"pas de quantité","pas de prix, ni de quantité"))))</f>
        <v>erreur de calcul</v>
      </c>
      <c r="BI1986" s="19"/>
    </row>
    <row r="1987" customFormat="false" ht="15" hidden="false" customHeight="false" outlineLevel="0" collapsed="false">
      <c r="A1987" s="0" t="n">
        <v>22</v>
      </c>
      <c r="B1987" s="8" t="s">
        <v>24</v>
      </c>
      <c r="C1987" s="9" t="s">
        <v>25</v>
      </c>
      <c r="D1987" s="9" t="s">
        <v>26</v>
      </c>
      <c r="E1987" s="10" t="n">
        <v>1789</v>
      </c>
      <c r="F1987" s="9" t="s">
        <v>27</v>
      </c>
      <c r="G1987" s="9" t="s">
        <v>27</v>
      </c>
      <c r="H1987" s="11" t="n">
        <v>24</v>
      </c>
      <c r="I1987" s="11" t="s">
        <v>312</v>
      </c>
      <c r="J1987" s="14" t="n">
        <v>15</v>
      </c>
      <c r="K1987" s="14"/>
      <c r="L1987" s="16"/>
      <c r="M1987" s="27" t="n">
        <f aca="false">J1987+(K1987/20)+(L1987/240)</f>
        <v>15</v>
      </c>
      <c r="N1987" s="17" t="s">
        <v>275</v>
      </c>
      <c r="O1987" s="11"/>
      <c r="P1987" s="28"/>
      <c r="Q1987" s="28" t="n">
        <f aca="false">P1987*$M1987</f>
        <v>0</v>
      </c>
      <c r="R1987" s="28"/>
      <c r="S1987" s="28" t="n">
        <f aca="false">R1987*$M1987</f>
        <v>0</v>
      </c>
      <c r="T1987" s="28" t="n">
        <v>1479</v>
      </c>
      <c r="U1987" s="28" t="n">
        <v>22185</v>
      </c>
      <c r="V1987" s="28" t="n">
        <v>1500</v>
      </c>
      <c r="W1987" s="28" t="n">
        <v>22500</v>
      </c>
      <c r="X1987" s="28" t="n">
        <v>300</v>
      </c>
      <c r="Y1987" s="28" t="n">
        <v>4500</v>
      </c>
      <c r="Z1987" s="28" t="n">
        <v>168</v>
      </c>
      <c r="AA1987" s="28" t="n">
        <v>2520</v>
      </c>
      <c r="AB1987" s="28" t="n">
        <v>14570</v>
      </c>
      <c r="AC1987" s="28" t="n">
        <v>218550</v>
      </c>
      <c r="AD1987" s="28"/>
      <c r="AE1987" s="28" t="n">
        <f aca="false">AD1987*$M1987</f>
        <v>0</v>
      </c>
      <c r="AF1987" s="28" t="n">
        <v>5748</v>
      </c>
      <c r="AG1987" s="28" t="n">
        <v>86220</v>
      </c>
      <c r="AH1987" s="28"/>
      <c r="AI1987" s="28" t="n">
        <f aca="false">AH1987*$M1987</f>
        <v>0</v>
      </c>
      <c r="AJ1987" s="28" t="n">
        <v>710</v>
      </c>
      <c r="AK1987" s="28" t="n">
        <v>10650</v>
      </c>
      <c r="AL1987" s="28" t="n">
        <v>600</v>
      </c>
      <c r="AM1987" s="28" t="n">
        <v>9000</v>
      </c>
      <c r="AN1987" s="28"/>
      <c r="AO1987" s="28" t="n">
        <f aca="false">AN1987*$M1987</f>
        <v>0</v>
      </c>
      <c r="AP1987" s="28" t="n">
        <v>1200</v>
      </c>
      <c r="AQ1987" s="28" t="n">
        <v>18000</v>
      </c>
      <c r="AR1987" s="28"/>
      <c r="AS1987" s="28" t="n">
        <f aca="false">AR1987*$M1987</f>
        <v>0</v>
      </c>
      <c r="AT1987" s="28"/>
      <c r="AU1987" s="28" t="n">
        <f aca="false">AT1987*$M1987</f>
        <v>0</v>
      </c>
      <c r="AV1987" s="28"/>
      <c r="AW1987" s="28" t="n">
        <f aca="false">AV1987*$M1987</f>
        <v>0</v>
      </c>
      <c r="AX1987" s="28"/>
      <c r="AY1987" s="28" t="n">
        <f aca="false">AX1987*$M1987</f>
        <v>0</v>
      </c>
      <c r="AZ1987" s="30" t="n">
        <v>26275</v>
      </c>
      <c r="BA1987" s="11" t="n">
        <v>394125</v>
      </c>
      <c r="BB1987" s="31" t="n">
        <f aca="false">SUM(Q1987,S1987,U1987,W1987,Y1987,AA1987,AC1987,AE1987,AG1987,AI1987,AK1987,AM1987,AO1987,AQ1987,AS1987,AU1987,AW1987,AY1987)</f>
        <v>394125</v>
      </c>
      <c r="BC1987" s="28" t="n">
        <f aca="false">BA1987-BB1987</f>
        <v>0</v>
      </c>
      <c r="BD1987" s="32" t="n">
        <f aca="false">SUM(P1987,R1987,T1987,V1987,X1987,Z1987,AB1987,AD1987,AF1987,AH1987,AJ1987,AL1987,AN1987,AP1987,AR1987,AT1987,AV1987,AX1987)</f>
        <v>26275</v>
      </c>
      <c r="BE1987" s="33" t="n">
        <f aca="false">AZ1987-BD1987</f>
        <v>0</v>
      </c>
      <c r="BF1987" s="34" t="n">
        <f aca="false">BD1987*M1987</f>
        <v>394125</v>
      </c>
      <c r="BG1987" s="35" t="n">
        <f aca="false">BA1987-BF1987</f>
        <v>0</v>
      </c>
      <c r="BH1987" s="19" t="str">
        <f aca="false">IF(BG1987=0,"",IF(BG1987&lt;&gt;BA1987,"erreur de calcul",IF(BD1987&lt;&gt;0,"pas de prix",IF(M1987&lt;&gt; 0,"pas de quantité","pas de prix, ni de quantité"))))</f>
        <v/>
      </c>
      <c r="BI1987" s="19"/>
    </row>
    <row r="1988" customFormat="false" ht="15" hidden="false" customHeight="false" outlineLevel="0" collapsed="false">
      <c r="A1988" s="0" t="n">
        <v>23</v>
      </c>
      <c r="B1988" s="8" t="s">
        <v>24</v>
      </c>
      <c r="C1988" s="9" t="s">
        <v>25</v>
      </c>
      <c r="D1988" s="9" t="s">
        <v>26</v>
      </c>
      <c r="E1988" s="10" t="n">
        <v>1789</v>
      </c>
      <c r="F1988" s="9" t="s">
        <v>27</v>
      </c>
      <c r="G1988" s="9" t="s">
        <v>27</v>
      </c>
      <c r="H1988" s="11" t="n">
        <v>24</v>
      </c>
      <c r="I1988" s="11" t="s">
        <v>313</v>
      </c>
      <c r="J1988" s="14" t="n">
        <v>9</v>
      </c>
      <c r="K1988" s="14"/>
      <c r="L1988" s="16"/>
      <c r="M1988" s="27" t="n">
        <f aca="false">J1988+(K1988/20)+(L1988/240)</f>
        <v>9</v>
      </c>
      <c r="N1988" s="17" t="s">
        <v>64</v>
      </c>
      <c r="O1988" s="11"/>
      <c r="P1988" s="28"/>
      <c r="Q1988" s="28" t="n">
        <f aca="false">P1988*$M1988</f>
        <v>0</v>
      </c>
      <c r="R1988" s="28"/>
      <c r="S1988" s="28" t="n">
        <f aca="false">R1988*$M1988</f>
        <v>0</v>
      </c>
      <c r="T1988" s="28"/>
      <c r="U1988" s="28" t="n">
        <f aca="false">T1988*$M1988</f>
        <v>0</v>
      </c>
      <c r="V1988" s="28" t="n">
        <f aca="false">145504/100</f>
        <v>1455.04</v>
      </c>
      <c r="W1988" s="28" t="n">
        <v>13095</v>
      </c>
      <c r="X1988" s="28" t="n">
        <f aca="false">58504/100</f>
        <v>585.04</v>
      </c>
      <c r="Y1988" s="28" t="n">
        <v>5265</v>
      </c>
      <c r="Z1988" s="28" t="n">
        <f aca="false">17027/100</f>
        <v>170.27</v>
      </c>
      <c r="AA1988" s="28" t="n">
        <v>1532</v>
      </c>
      <c r="AB1988" s="28" t="n">
        <f aca="false">84396/100</f>
        <v>843.96</v>
      </c>
      <c r="AC1988" s="28" t="n">
        <v>7596</v>
      </c>
      <c r="AD1988" s="28"/>
      <c r="AE1988" s="28" t="n">
        <f aca="false">AD1988*$M1988</f>
        <v>0</v>
      </c>
      <c r="AF1988" s="28" t="n">
        <f aca="false">14807/100</f>
        <v>148.07</v>
      </c>
      <c r="AG1988" s="28" t="n">
        <v>1333</v>
      </c>
      <c r="AH1988" s="28"/>
      <c r="AI1988" s="28" t="n">
        <f aca="false">AH1988*$M1988</f>
        <v>0</v>
      </c>
      <c r="AJ1988" s="28"/>
      <c r="AK1988" s="28" t="n">
        <f aca="false">AJ1988*$M1988</f>
        <v>0</v>
      </c>
      <c r="AL1988" s="28"/>
      <c r="AM1988" s="28" t="n">
        <f aca="false">AL1988*$M1988</f>
        <v>0</v>
      </c>
      <c r="AN1988" s="28"/>
      <c r="AO1988" s="28" t="n">
        <f aca="false">AN1988*$M1988</f>
        <v>0</v>
      </c>
      <c r="AP1988" s="28"/>
      <c r="AQ1988" s="28" t="n">
        <f aca="false">AP1988*$M1988</f>
        <v>0</v>
      </c>
      <c r="AR1988" s="28"/>
      <c r="AS1988" s="28" t="n">
        <f aca="false">AR1988*$M1988</f>
        <v>0</v>
      </c>
      <c r="AT1988" s="28"/>
      <c r="AU1988" s="28" t="n">
        <f aca="false">AT1988*$M1988</f>
        <v>0</v>
      </c>
      <c r="AV1988" s="28"/>
      <c r="AW1988" s="28" t="n">
        <f aca="false">AV1988*$M1988</f>
        <v>0</v>
      </c>
      <c r="AX1988" s="28"/>
      <c r="AY1988" s="28" t="n">
        <f aca="false">AX1988*$M1988</f>
        <v>0</v>
      </c>
      <c r="AZ1988" s="30" t="n">
        <f aca="false">320238/100</f>
        <v>3202.38</v>
      </c>
      <c r="BA1988" s="11" t="n">
        <v>28821</v>
      </c>
      <c r="BB1988" s="31" t="n">
        <f aca="false">SUM(Q1988,S1988,U1988,W1988,Y1988,AA1988,AC1988,AE1988,AG1988,AI1988,AK1988,AM1988,AO1988,AQ1988,AS1988,AU1988,AW1988,AY1988)</f>
        <v>28821</v>
      </c>
      <c r="BC1988" s="28" t="n">
        <f aca="false">BA1988-BB1988</f>
        <v>0</v>
      </c>
      <c r="BD1988" s="32" t="n">
        <f aca="false">SUM(P1988,R1988,T1988,V1988,X1988,Z1988,AB1988,AD1988,AF1988,AH1988,AJ1988,AL1988,AN1988,AP1988,AR1988,AT1988,AV1988,AX1988)</f>
        <v>3202.38</v>
      </c>
      <c r="BE1988" s="33" t="n">
        <f aca="false">AZ1988-BD1988</f>
        <v>0</v>
      </c>
      <c r="BF1988" s="34" t="n">
        <f aca="false">BD1988*M1988</f>
        <v>28821.42</v>
      </c>
      <c r="BG1988" s="35" t="n">
        <f aca="false">BA1988-BF1988</f>
        <v>-0.420000000001892</v>
      </c>
      <c r="BH1988" s="19" t="str">
        <f aca="false">IF(BG1988=0,"",IF(BG1988&lt;&gt;BA1988,"erreur de calcul",IF(BD1988&lt;&gt;0,"pas de prix",IF(M1988&lt;&gt; 0,"pas de quantité","pas de prix, ni de quantité"))))</f>
        <v>erreur de calcul</v>
      </c>
      <c r="BI1988" s="19"/>
    </row>
    <row r="1989" customFormat="false" ht="15" hidden="false" customHeight="false" outlineLevel="0" collapsed="false">
      <c r="A1989" s="0" t="n">
        <v>24</v>
      </c>
      <c r="B1989" s="8" t="s">
        <v>24</v>
      </c>
      <c r="C1989" s="9" t="s">
        <v>25</v>
      </c>
      <c r="D1989" s="9" t="s">
        <v>26</v>
      </c>
      <c r="E1989" s="10" t="n">
        <v>1789</v>
      </c>
      <c r="F1989" s="9" t="s">
        <v>27</v>
      </c>
      <c r="G1989" s="9" t="s">
        <v>27</v>
      </c>
      <c r="H1989" s="11" t="n">
        <v>24</v>
      </c>
      <c r="I1989" s="11" t="s">
        <v>314</v>
      </c>
      <c r="J1989" s="14"/>
      <c r="K1989" s="14" t="n">
        <v>4</v>
      </c>
      <c r="L1989" s="16"/>
      <c r="M1989" s="27" t="n">
        <f aca="false">J1989+(K1989/20)+(L1989/240)</f>
        <v>0.2</v>
      </c>
      <c r="N1989" s="17" t="s">
        <v>311</v>
      </c>
      <c r="O1989" s="11"/>
      <c r="P1989" s="28"/>
      <c r="Q1989" s="28" t="n">
        <f aca="false">P1989*$M1989</f>
        <v>0</v>
      </c>
      <c r="R1989" s="28"/>
      <c r="S1989" s="28" t="n">
        <f aca="false">R1989*$M1989</f>
        <v>0</v>
      </c>
      <c r="T1989" s="28"/>
      <c r="U1989" s="28" t="n">
        <f aca="false">T1989*$M1989</f>
        <v>0</v>
      </c>
      <c r="V1989" s="28" t="n">
        <v>5800</v>
      </c>
      <c r="W1989" s="28" t="n">
        <v>1160</v>
      </c>
      <c r="X1989" s="28"/>
      <c r="Y1989" s="28" t="n">
        <f aca="false">X1989*$M1989</f>
        <v>0</v>
      </c>
      <c r="Z1989" s="28"/>
      <c r="AA1989" s="28" t="n">
        <f aca="false">Z1989*$M1989</f>
        <v>0</v>
      </c>
      <c r="AB1989" s="28"/>
      <c r="AC1989" s="28" t="n">
        <f aca="false">AB1989*$M1989</f>
        <v>0</v>
      </c>
      <c r="AD1989" s="28"/>
      <c r="AE1989" s="28" t="n">
        <f aca="false">AD1989*$M1989</f>
        <v>0</v>
      </c>
      <c r="AF1989" s="28"/>
      <c r="AG1989" s="28" t="n">
        <f aca="false">AF1989*$M1989</f>
        <v>0</v>
      </c>
      <c r="AH1989" s="28"/>
      <c r="AI1989" s="28" t="n">
        <f aca="false">AH1989*$M1989</f>
        <v>0</v>
      </c>
      <c r="AJ1989" s="28"/>
      <c r="AK1989" s="28" t="n">
        <f aca="false">AJ1989*$M1989</f>
        <v>0</v>
      </c>
      <c r="AL1989" s="28"/>
      <c r="AM1989" s="28" t="n">
        <f aca="false">AL1989*$M1989</f>
        <v>0</v>
      </c>
      <c r="AN1989" s="28"/>
      <c r="AO1989" s="28" t="n">
        <f aca="false">AN1989*$M1989</f>
        <v>0</v>
      </c>
      <c r="AP1989" s="28"/>
      <c r="AQ1989" s="28" t="n">
        <f aca="false">AP1989*$M1989</f>
        <v>0</v>
      </c>
      <c r="AR1989" s="28"/>
      <c r="AS1989" s="28" t="n">
        <f aca="false">AR1989*$M1989</f>
        <v>0</v>
      </c>
      <c r="AT1989" s="28"/>
      <c r="AU1989" s="28" t="n">
        <f aca="false">AT1989*$M1989</f>
        <v>0</v>
      </c>
      <c r="AV1989" s="28"/>
      <c r="AW1989" s="28" t="n">
        <f aca="false">AV1989*$M1989</f>
        <v>0</v>
      </c>
      <c r="AX1989" s="28"/>
      <c r="AY1989" s="28" t="n">
        <f aca="false">AX1989*$M1989</f>
        <v>0</v>
      </c>
      <c r="AZ1989" s="30" t="n">
        <v>5800</v>
      </c>
      <c r="BA1989" s="11" t="n">
        <v>1160</v>
      </c>
      <c r="BB1989" s="31" t="n">
        <f aca="false">SUM(Q1989,S1989,U1989,W1989,Y1989,AA1989,AC1989,AE1989,AG1989,AI1989,AK1989,AM1989,AO1989,AQ1989,AS1989,AU1989,AW1989,AY1989)</f>
        <v>1160</v>
      </c>
      <c r="BC1989" s="28" t="n">
        <f aca="false">BA1989-BB1989</f>
        <v>0</v>
      </c>
      <c r="BD1989" s="32" t="n">
        <f aca="false">SUM(P1989,R1989,T1989,V1989,X1989,Z1989,AB1989,AD1989,AF1989,AH1989,AJ1989,AL1989,AN1989,AP1989,AR1989,AT1989,AV1989,AX1989)</f>
        <v>5800</v>
      </c>
      <c r="BE1989" s="33" t="n">
        <f aca="false">AZ1989-BD1989</f>
        <v>0</v>
      </c>
      <c r="BF1989" s="34" t="n">
        <f aca="false">BD1989*M1989</f>
        <v>1160</v>
      </c>
      <c r="BG1989" s="35" t="n">
        <f aca="false">BA1989-BF1989</f>
        <v>0</v>
      </c>
      <c r="BH1989" s="19" t="str">
        <f aca="false">IF(BG1989=0,"",IF(BG1989&lt;&gt;BA1989,"erreur de calcul",IF(BD1989&lt;&gt;0,"pas de prix",IF(M1989&lt;&gt; 0,"pas de quantité","pas de prix, ni de quantité"))))</f>
        <v/>
      </c>
      <c r="BI1989" s="19"/>
    </row>
    <row r="1990" customFormat="false" ht="15" hidden="false" customHeight="false" outlineLevel="0" collapsed="false">
      <c r="A1990" s="0" t="n">
        <v>25</v>
      </c>
      <c r="B1990" s="8" t="s">
        <v>24</v>
      </c>
      <c r="C1990" s="9" t="s">
        <v>25</v>
      </c>
      <c r="D1990" s="9" t="s">
        <v>26</v>
      </c>
      <c r="E1990" s="10" t="n">
        <v>1789</v>
      </c>
      <c r="F1990" s="9" t="s">
        <v>27</v>
      </c>
      <c r="G1990" s="9" t="s">
        <v>27</v>
      </c>
      <c r="H1990" s="11" t="n">
        <v>24</v>
      </c>
      <c r="I1990" s="11" t="s">
        <v>315</v>
      </c>
      <c r="J1990" s="14" t="n">
        <v>10</v>
      </c>
      <c r="K1990" s="14"/>
      <c r="L1990" s="16"/>
      <c r="M1990" s="27" t="n">
        <f aca="false">J1990+(K1990/20)+(L1990/240)</f>
        <v>10</v>
      </c>
      <c r="N1990" s="17" t="s">
        <v>64</v>
      </c>
      <c r="O1990" s="11"/>
      <c r="P1990" s="28"/>
      <c r="Q1990" s="28" t="n">
        <f aca="false">P1990*$M1990</f>
        <v>0</v>
      </c>
      <c r="R1990" s="28"/>
      <c r="S1990" s="28" t="n">
        <f aca="false">R1990*$M1990</f>
        <v>0</v>
      </c>
      <c r="T1990" s="28"/>
      <c r="U1990" s="28" t="n">
        <f aca="false">T1990*$M1990</f>
        <v>0</v>
      </c>
      <c r="V1990" s="28"/>
      <c r="W1990" s="28" t="n">
        <f aca="false">V1990*$M1990</f>
        <v>0</v>
      </c>
      <c r="X1990" s="28"/>
      <c r="Y1990" s="28" t="n">
        <f aca="false">X1990*$M1990</f>
        <v>0</v>
      </c>
      <c r="Z1990" s="28"/>
      <c r="AA1990" s="28" t="n">
        <f aca="false">Z1990*$M1990</f>
        <v>0</v>
      </c>
      <c r="AB1990" s="28"/>
      <c r="AC1990" s="28" t="n">
        <f aca="false">AB1990*$M1990</f>
        <v>0</v>
      </c>
      <c r="AD1990" s="28"/>
      <c r="AE1990" s="28" t="n">
        <f aca="false">AD1990*$M1990</f>
        <v>0</v>
      </c>
      <c r="AF1990" s="28"/>
      <c r="AG1990" s="28" t="n">
        <f aca="false">AF1990*$M1990</f>
        <v>0</v>
      </c>
      <c r="AH1990" s="28"/>
      <c r="AI1990" s="28" t="n">
        <f aca="false">AH1990*$M1990</f>
        <v>0</v>
      </c>
      <c r="AJ1990" s="28" t="n">
        <f aca="false">13584/100</f>
        <v>135.84</v>
      </c>
      <c r="AK1990" s="28" t="n">
        <v>1358</v>
      </c>
      <c r="AL1990" s="28"/>
      <c r="AM1990" s="28" t="n">
        <f aca="false">AL1990*$M1990</f>
        <v>0</v>
      </c>
      <c r="AN1990" s="28"/>
      <c r="AO1990" s="28" t="n">
        <f aca="false">AN1990*$M1990</f>
        <v>0</v>
      </c>
      <c r="AP1990" s="28"/>
      <c r="AQ1990" s="28" t="n">
        <f aca="false">AP1990*$M1990</f>
        <v>0</v>
      </c>
      <c r="AR1990" s="28"/>
      <c r="AS1990" s="28" t="n">
        <f aca="false">AR1990*$M1990</f>
        <v>0</v>
      </c>
      <c r="AT1990" s="28"/>
      <c r="AU1990" s="28" t="n">
        <f aca="false">AT1990*$M1990</f>
        <v>0</v>
      </c>
      <c r="AV1990" s="28"/>
      <c r="AW1990" s="28" t="n">
        <f aca="false">AV1990*$M1990</f>
        <v>0</v>
      </c>
      <c r="AX1990" s="28"/>
      <c r="AY1990" s="28" t="n">
        <f aca="false">AX1990*$M1990</f>
        <v>0</v>
      </c>
      <c r="AZ1990" s="30" t="n">
        <f aca="false">13584/100</f>
        <v>135.84</v>
      </c>
      <c r="BA1990" s="11" t="n">
        <v>1358</v>
      </c>
      <c r="BB1990" s="31" t="n">
        <f aca="false">SUM(Q1990,S1990,U1990,W1990,Y1990,AA1990,AC1990,AE1990,AG1990,AI1990,AK1990,AM1990,AO1990,AQ1990,AS1990,AU1990,AW1990,AY1990)</f>
        <v>1358</v>
      </c>
      <c r="BC1990" s="28" t="n">
        <f aca="false">BA1990-BB1990</f>
        <v>0</v>
      </c>
      <c r="BD1990" s="32" t="n">
        <f aca="false">SUM(P1990,R1990,T1990,V1990,X1990,Z1990,AB1990,AD1990,AF1990,AH1990,AJ1990,AL1990,AN1990,AP1990,AR1990,AT1990,AV1990,AX1990)</f>
        <v>135.84</v>
      </c>
      <c r="BE1990" s="33" t="n">
        <f aca="false">AZ1990-BD1990</f>
        <v>0</v>
      </c>
      <c r="BF1990" s="34" t="n">
        <f aca="false">BD1990*M1990</f>
        <v>1358.4</v>
      </c>
      <c r="BG1990" s="35" t="n">
        <f aca="false">BA1990-BF1990</f>
        <v>-0.400000000000091</v>
      </c>
      <c r="BH1990" s="19" t="str">
        <f aca="false">IF(BG1990=0,"",IF(BG1990&lt;&gt;BA1990,"erreur de calcul",IF(BD1990&lt;&gt;0,"pas de prix",IF(M1990&lt;&gt; 0,"pas de quantité","pas de prix, ni de quantité"))))</f>
        <v>erreur de calcul</v>
      </c>
      <c r="BI1990" s="19"/>
    </row>
    <row r="1991" customFormat="false" ht="15" hidden="false" customHeight="false" outlineLevel="0" collapsed="false">
      <c r="A1991" s="0" t="n">
        <v>26</v>
      </c>
      <c r="B1991" s="8" t="s">
        <v>24</v>
      </c>
      <c r="C1991" s="9" t="s">
        <v>25</v>
      </c>
      <c r="D1991" s="9" t="s">
        <v>26</v>
      </c>
      <c r="E1991" s="10" t="n">
        <v>1789</v>
      </c>
      <c r="F1991" s="9" t="s">
        <v>27</v>
      </c>
      <c r="G1991" s="9" t="s">
        <v>27</v>
      </c>
      <c r="H1991" s="11" t="n">
        <v>24</v>
      </c>
      <c r="I1991" s="11" t="s">
        <v>316</v>
      </c>
      <c r="J1991" s="14" t="n">
        <v>12</v>
      </c>
      <c r="K1991" s="14"/>
      <c r="L1991" s="16"/>
      <c r="M1991" s="27" t="n">
        <f aca="false">J1991+(K1991/20)+(L1991/240)</f>
        <v>12</v>
      </c>
      <c r="N1991" s="17" t="s">
        <v>64</v>
      </c>
      <c r="O1991" s="11"/>
      <c r="P1991" s="28" t="n">
        <f aca="false">8690/100</f>
        <v>86.9</v>
      </c>
      <c r="Q1991" s="28" t="n">
        <v>1043</v>
      </c>
      <c r="R1991" s="28"/>
      <c r="S1991" s="28" t="n">
        <f aca="false">R1991*$M1991</f>
        <v>0</v>
      </c>
      <c r="T1991" s="28"/>
      <c r="U1991" s="28" t="n">
        <f aca="false">T1991*$M1991</f>
        <v>0</v>
      </c>
      <c r="V1991" s="28"/>
      <c r="W1991" s="28" t="n">
        <f aca="false">V1991*$M1991</f>
        <v>0</v>
      </c>
      <c r="X1991" s="28" t="n">
        <f aca="false">10000/100</f>
        <v>100</v>
      </c>
      <c r="Y1991" s="28" t="n">
        <v>1200</v>
      </c>
      <c r="Z1991" s="28"/>
      <c r="AA1991" s="28" t="n">
        <f aca="false">Z1991*$M1991</f>
        <v>0</v>
      </c>
      <c r="AB1991" s="28"/>
      <c r="AC1991" s="28" t="n">
        <f aca="false">AB1991*$M1991</f>
        <v>0</v>
      </c>
      <c r="AD1991" s="28"/>
      <c r="AE1991" s="28" t="n">
        <f aca="false">AD1991*$M1991</f>
        <v>0</v>
      </c>
      <c r="AF1991" s="28"/>
      <c r="AG1991" s="28" t="n">
        <f aca="false">AF1991*$M1991</f>
        <v>0</v>
      </c>
      <c r="AH1991" s="28"/>
      <c r="AI1991" s="28" t="n">
        <f aca="false">AH1991*$M1991</f>
        <v>0</v>
      </c>
      <c r="AJ1991" s="28"/>
      <c r="AK1991" s="28" t="n">
        <f aca="false">AJ1991*$M1991</f>
        <v>0</v>
      </c>
      <c r="AL1991" s="28"/>
      <c r="AM1991" s="28" t="n">
        <f aca="false">AL1991*$M1991</f>
        <v>0</v>
      </c>
      <c r="AN1991" s="28"/>
      <c r="AO1991" s="28" t="n">
        <f aca="false">AN1991*$M1991</f>
        <v>0</v>
      </c>
      <c r="AP1991" s="28"/>
      <c r="AQ1991" s="28" t="n">
        <f aca="false">AP1991*$M1991</f>
        <v>0</v>
      </c>
      <c r="AR1991" s="28"/>
      <c r="AS1991" s="28" t="n">
        <f aca="false">AR1991*$M1991</f>
        <v>0</v>
      </c>
      <c r="AT1991" s="28"/>
      <c r="AU1991" s="28" t="n">
        <f aca="false">AT1991*$M1991</f>
        <v>0</v>
      </c>
      <c r="AV1991" s="28"/>
      <c r="AW1991" s="28" t="n">
        <f aca="false">AV1991*$M1991</f>
        <v>0</v>
      </c>
      <c r="AX1991" s="28"/>
      <c r="AY1991" s="28" t="n">
        <f aca="false">AX1991*$M1991</f>
        <v>0</v>
      </c>
      <c r="AZ1991" s="30" t="n">
        <f aca="false">18690/100</f>
        <v>186.9</v>
      </c>
      <c r="BA1991" s="11" t="n">
        <v>2243</v>
      </c>
      <c r="BB1991" s="31" t="n">
        <f aca="false">SUM(Q1991,S1991,U1991,W1991,Y1991,AA1991,AC1991,AE1991,AG1991,AI1991,AK1991,AM1991,AO1991,AQ1991,AS1991,AU1991,AW1991,AY1991)</f>
        <v>2243</v>
      </c>
      <c r="BC1991" s="28" t="n">
        <f aca="false">BA1991-BB1991</f>
        <v>0</v>
      </c>
      <c r="BD1991" s="32" t="n">
        <f aca="false">SUM(P1991,R1991,T1991,V1991,X1991,Z1991,AB1991,AD1991,AF1991,AH1991,AJ1991,AL1991,AN1991,AP1991,AR1991,AT1991,AV1991,AX1991)</f>
        <v>186.9</v>
      </c>
      <c r="BE1991" s="33" t="n">
        <f aca="false">AZ1991-BD1991</f>
        <v>0</v>
      </c>
      <c r="BF1991" s="34" t="n">
        <f aca="false">BD1991*M1991</f>
        <v>2242.8</v>
      </c>
      <c r="BG1991" s="35" t="n">
        <f aca="false">BA1991-BF1991</f>
        <v>0.199999999999818</v>
      </c>
      <c r="BH1991" s="19" t="str">
        <f aca="false">IF(BG1991=0,"",IF(BG1991&lt;&gt;BA1991,"erreur de calcul",IF(BD1991&lt;&gt;0,"pas de prix",IF(M1991&lt;&gt; 0,"pas de quantité","pas de prix, ni de quantité"))))</f>
        <v>erreur de calcul</v>
      </c>
      <c r="BI1991" s="19"/>
    </row>
    <row r="1992" customFormat="false" ht="15" hidden="false" customHeight="false" outlineLevel="0" collapsed="false">
      <c r="A1992" s="0" t="n">
        <v>27</v>
      </c>
      <c r="B1992" s="8" t="s">
        <v>24</v>
      </c>
      <c r="C1992" s="9" t="s">
        <v>25</v>
      </c>
      <c r="D1992" s="9" t="s">
        <v>26</v>
      </c>
      <c r="E1992" s="10" t="n">
        <v>1789</v>
      </c>
      <c r="F1992" s="9" t="s">
        <v>27</v>
      </c>
      <c r="G1992" s="9" t="s">
        <v>27</v>
      </c>
      <c r="H1992" s="11" t="n">
        <v>24</v>
      </c>
      <c r="I1992" s="11" t="s">
        <v>317</v>
      </c>
      <c r="J1992" s="14" t="n">
        <v>2</v>
      </c>
      <c r="K1992" s="14"/>
      <c r="L1992" s="16"/>
      <c r="M1992" s="27" t="n">
        <f aca="false">J1992+(K1992/20)+(L1992/240)</f>
        <v>2</v>
      </c>
      <c r="N1992" s="17" t="s">
        <v>64</v>
      </c>
      <c r="O1992" s="11"/>
      <c r="P1992" s="28"/>
      <c r="Q1992" s="28" t="n">
        <f aca="false">P1992*$M1992</f>
        <v>0</v>
      </c>
      <c r="R1992" s="28"/>
      <c r="S1992" s="28" t="n">
        <f aca="false">R1992*$M1992</f>
        <v>0</v>
      </c>
      <c r="T1992" s="28"/>
      <c r="U1992" s="28" t="n">
        <f aca="false">T1992*$M1992</f>
        <v>0</v>
      </c>
      <c r="V1992" s="28"/>
      <c r="W1992" s="28" t="n">
        <f aca="false">V1992*$M1992</f>
        <v>0</v>
      </c>
      <c r="X1992" s="28"/>
      <c r="Y1992" s="28" t="n">
        <f aca="false">X1992*$M1992</f>
        <v>0</v>
      </c>
      <c r="Z1992" s="28"/>
      <c r="AA1992" s="28" t="n">
        <f aca="false">Z1992*$M1992</f>
        <v>0</v>
      </c>
      <c r="AB1992" s="28" t="n">
        <f aca="false">15417/100</f>
        <v>154.17</v>
      </c>
      <c r="AC1992" s="28" t="n">
        <v>308</v>
      </c>
      <c r="AD1992" s="28"/>
      <c r="AE1992" s="28" t="n">
        <f aca="false">AD1992*$M1992</f>
        <v>0</v>
      </c>
      <c r="AF1992" s="28"/>
      <c r="AG1992" s="28" t="n">
        <f aca="false">AF1992*$M1992</f>
        <v>0</v>
      </c>
      <c r="AH1992" s="28"/>
      <c r="AI1992" s="28" t="n">
        <f aca="false">AH1992*$M1992</f>
        <v>0</v>
      </c>
      <c r="AJ1992" s="28"/>
      <c r="AK1992" s="28" t="n">
        <f aca="false">AJ1992*$M1992</f>
        <v>0</v>
      </c>
      <c r="AL1992" s="28"/>
      <c r="AM1992" s="28" t="n">
        <f aca="false">AL1992*$M1992</f>
        <v>0</v>
      </c>
      <c r="AN1992" s="28"/>
      <c r="AO1992" s="28" t="n">
        <f aca="false">AN1992*$M1992</f>
        <v>0</v>
      </c>
      <c r="AP1992" s="28"/>
      <c r="AQ1992" s="28" t="n">
        <f aca="false">AP1992*$M1992</f>
        <v>0</v>
      </c>
      <c r="AR1992" s="28"/>
      <c r="AS1992" s="28" t="n">
        <f aca="false">AR1992*$M1992</f>
        <v>0</v>
      </c>
      <c r="AT1992" s="28"/>
      <c r="AU1992" s="28" t="n">
        <f aca="false">AT1992*$M1992</f>
        <v>0</v>
      </c>
      <c r="AV1992" s="28"/>
      <c r="AW1992" s="28" t="n">
        <f aca="false">AV1992*$M1992</f>
        <v>0</v>
      </c>
      <c r="AX1992" s="28"/>
      <c r="AY1992" s="28" t="n">
        <f aca="false">AX1992*$M1992</f>
        <v>0</v>
      </c>
      <c r="AZ1992" s="30" t="n">
        <f aca="false">15417/100</f>
        <v>154.17</v>
      </c>
      <c r="BA1992" s="11" t="n">
        <v>308</v>
      </c>
      <c r="BB1992" s="31" t="n">
        <f aca="false">SUM(Q1992,S1992,U1992,W1992,Y1992,AA1992,AC1992,AE1992,AG1992,AI1992,AK1992,AM1992,AO1992,AQ1992,AS1992,AU1992,AW1992,AY1992)</f>
        <v>308</v>
      </c>
      <c r="BC1992" s="28" t="n">
        <f aca="false">BA1992-BB1992</f>
        <v>0</v>
      </c>
      <c r="BD1992" s="32" t="n">
        <f aca="false">SUM(P1992,R1992,T1992,V1992,X1992,Z1992,AB1992,AD1992,AF1992,AH1992,AJ1992,AL1992,AN1992,AP1992,AR1992,AT1992,AV1992,AX1992)</f>
        <v>154.17</v>
      </c>
      <c r="BE1992" s="33" t="n">
        <f aca="false">AZ1992-BD1992</f>
        <v>0</v>
      </c>
      <c r="BF1992" s="34" t="n">
        <f aca="false">BD1992*M1992</f>
        <v>308.34</v>
      </c>
      <c r="BG1992" s="35" t="n">
        <f aca="false">BA1992-BF1992</f>
        <v>-0.339999999999975</v>
      </c>
      <c r="BH1992" s="19" t="str">
        <f aca="false">IF(BG1992=0,"",IF(BG1992&lt;&gt;BA1992,"erreur de calcul",IF(BD1992&lt;&gt;0,"pas de prix",IF(M1992&lt;&gt; 0,"pas de quantité","pas de prix, ni de quantité"))))</f>
        <v>erreur de calcul</v>
      </c>
      <c r="BI1992" s="19"/>
    </row>
    <row r="1993" customFormat="false" ht="15" hidden="false" customHeight="false" outlineLevel="0" collapsed="false">
      <c r="A1993" s="0" t="n">
        <v>28</v>
      </c>
      <c r="B1993" s="8" t="s">
        <v>24</v>
      </c>
      <c r="C1993" s="9" t="s">
        <v>25</v>
      </c>
      <c r="D1993" s="9" t="s">
        <v>26</v>
      </c>
      <c r="E1993" s="10" t="n">
        <v>1789</v>
      </c>
      <c r="F1993" s="9" t="s">
        <v>27</v>
      </c>
      <c r="G1993" s="9" t="s">
        <v>27</v>
      </c>
      <c r="H1993" s="11" t="n">
        <v>24</v>
      </c>
      <c r="I1993" s="11" t="s">
        <v>318</v>
      </c>
      <c r="J1993" s="14" t="n">
        <v>30</v>
      </c>
      <c r="K1993" s="14"/>
      <c r="L1993" s="16"/>
      <c r="M1993" s="27" t="n">
        <f aca="false">J1993+(K1993/20)+(L1993/240)</f>
        <v>30</v>
      </c>
      <c r="N1993" s="17" t="s">
        <v>64</v>
      </c>
      <c r="O1993" s="11"/>
      <c r="P1993" s="28" t="n">
        <f aca="false">55459/100</f>
        <v>554.59</v>
      </c>
      <c r="Q1993" s="28" t="n">
        <v>16638</v>
      </c>
      <c r="R1993" s="28"/>
      <c r="S1993" s="28" t="n">
        <f aca="false">R1993*$M1993</f>
        <v>0</v>
      </c>
      <c r="T1993" s="28"/>
      <c r="U1993" s="28" t="n">
        <f aca="false">T1993*$M1993</f>
        <v>0</v>
      </c>
      <c r="V1993" s="28"/>
      <c r="W1993" s="28" t="n">
        <f aca="false">V1993*$M1993</f>
        <v>0</v>
      </c>
      <c r="X1993" s="28"/>
      <c r="Y1993" s="28" t="n">
        <f aca="false">X1993*$M1993</f>
        <v>0</v>
      </c>
      <c r="Z1993" s="28"/>
      <c r="AA1993" s="28" t="n">
        <f aca="false">Z1993*$M1993</f>
        <v>0</v>
      </c>
      <c r="AB1993" s="28"/>
      <c r="AC1993" s="28" t="n">
        <f aca="false">AB1993*$M1993</f>
        <v>0</v>
      </c>
      <c r="AD1993" s="28"/>
      <c r="AE1993" s="28" t="n">
        <f aca="false">AD1993*$M1993</f>
        <v>0</v>
      </c>
      <c r="AF1993" s="28"/>
      <c r="AG1993" s="28" t="n">
        <f aca="false">AF1993*$M1993</f>
        <v>0</v>
      </c>
      <c r="AH1993" s="28"/>
      <c r="AI1993" s="28" t="n">
        <f aca="false">AH1993*$M1993</f>
        <v>0</v>
      </c>
      <c r="AJ1993" s="28"/>
      <c r="AK1993" s="28" t="n">
        <f aca="false">AJ1993*$M1993</f>
        <v>0</v>
      </c>
      <c r="AL1993" s="28"/>
      <c r="AM1993" s="28" t="n">
        <f aca="false">AL1993*$M1993</f>
        <v>0</v>
      </c>
      <c r="AN1993" s="28"/>
      <c r="AO1993" s="28" t="n">
        <f aca="false">AN1993*$M1993</f>
        <v>0</v>
      </c>
      <c r="AP1993" s="28"/>
      <c r="AQ1993" s="28" t="n">
        <f aca="false">AP1993*$M1993</f>
        <v>0</v>
      </c>
      <c r="AR1993" s="28"/>
      <c r="AS1993" s="28" t="n">
        <f aca="false">AR1993*$M1993</f>
        <v>0</v>
      </c>
      <c r="AT1993" s="28"/>
      <c r="AU1993" s="28" t="n">
        <f aca="false">AT1993*$M1993</f>
        <v>0</v>
      </c>
      <c r="AV1993" s="28"/>
      <c r="AW1993" s="28" t="n">
        <f aca="false">AV1993*$M1993</f>
        <v>0</v>
      </c>
      <c r="AX1993" s="28"/>
      <c r="AY1993" s="28" t="n">
        <f aca="false">AX1993*$M1993</f>
        <v>0</v>
      </c>
      <c r="AZ1993" s="30" t="n">
        <f aca="false">55459/100</f>
        <v>554.59</v>
      </c>
      <c r="BA1993" s="11" t="n">
        <v>16638</v>
      </c>
      <c r="BB1993" s="31" t="n">
        <f aca="false">SUM(Q1993,S1993,U1993,W1993,Y1993,AA1993,AC1993,AE1993,AG1993,AI1993,AK1993,AM1993,AO1993,AQ1993,AS1993,AU1993,AW1993,AY1993)</f>
        <v>16638</v>
      </c>
      <c r="BC1993" s="28" t="n">
        <f aca="false">BA1993-BB1993</f>
        <v>0</v>
      </c>
      <c r="BD1993" s="32" t="n">
        <f aca="false">SUM(P1993,R1993,T1993,V1993,X1993,Z1993,AB1993,AD1993,AF1993,AH1993,AJ1993,AL1993,AN1993,AP1993,AR1993,AT1993,AV1993,AX1993)</f>
        <v>554.59</v>
      </c>
      <c r="BE1993" s="33" t="n">
        <f aca="false">AZ1993-BD1993</f>
        <v>0</v>
      </c>
      <c r="BF1993" s="34" t="n">
        <f aca="false">BD1993*M1993</f>
        <v>16637.7</v>
      </c>
      <c r="BG1993" s="35" t="n">
        <f aca="false">BA1993-BF1993</f>
        <v>0.299999999999272</v>
      </c>
      <c r="BH1993" s="19" t="str">
        <f aca="false">IF(BG1993=0,"",IF(BG1993&lt;&gt;BA1993,"erreur de calcul",IF(BD1993&lt;&gt;0,"pas de prix",IF(M1993&lt;&gt; 0,"pas de quantité","pas de prix, ni de quantité"))))</f>
        <v>erreur de calcul</v>
      </c>
      <c r="BI1993" s="19"/>
    </row>
    <row r="1994" customFormat="false" ht="15" hidden="false" customHeight="false" outlineLevel="0" collapsed="false">
      <c r="A1994" s="0" t="n">
        <v>29</v>
      </c>
      <c r="B1994" s="8" t="s">
        <v>24</v>
      </c>
      <c r="C1994" s="9" t="s">
        <v>25</v>
      </c>
      <c r="D1994" s="9" t="s">
        <v>26</v>
      </c>
      <c r="E1994" s="10" t="n">
        <v>1789</v>
      </c>
      <c r="F1994" s="9" t="s">
        <v>27</v>
      </c>
      <c r="G1994" s="9" t="s">
        <v>27</v>
      </c>
      <c r="H1994" s="11" t="n">
        <v>24</v>
      </c>
      <c r="I1994" s="11" t="s">
        <v>319</v>
      </c>
      <c r="J1994" s="14" t="n">
        <v>10</v>
      </c>
      <c r="K1994" s="14"/>
      <c r="L1994" s="16"/>
      <c r="M1994" s="27" t="n">
        <f aca="false">J1994+(K1994/20)+(L1994/240)</f>
        <v>10</v>
      </c>
      <c r="N1994" s="17" t="s">
        <v>64</v>
      </c>
      <c r="O1994" s="11"/>
      <c r="P1994" s="28" t="n">
        <f aca="false">48819/100</f>
        <v>488.19</v>
      </c>
      <c r="Q1994" s="28" t="n">
        <v>4882</v>
      </c>
      <c r="R1994" s="28"/>
      <c r="S1994" s="28" t="n">
        <f aca="false">R1994*$M1994</f>
        <v>0</v>
      </c>
      <c r="T1994" s="28" t="n">
        <f aca="false">2500/100</f>
        <v>25</v>
      </c>
      <c r="U1994" s="28" t="n">
        <v>250</v>
      </c>
      <c r="V1994" s="28"/>
      <c r="W1994" s="28" t="n">
        <f aca="false">V1994*$M1994</f>
        <v>0</v>
      </c>
      <c r="X1994" s="28" t="n">
        <f aca="false">6667/100</f>
        <v>66.67</v>
      </c>
      <c r="Y1994" s="28" t="n">
        <v>667</v>
      </c>
      <c r="Z1994" s="28"/>
      <c r="AA1994" s="28" t="n">
        <f aca="false">Z1994*$M1994</f>
        <v>0</v>
      </c>
      <c r="AB1994" s="28"/>
      <c r="AC1994" s="28" t="n">
        <f aca="false">AB1994*$M1994</f>
        <v>0</v>
      </c>
      <c r="AD1994" s="28"/>
      <c r="AE1994" s="28" t="n">
        <f aca="false">AD1994*$M1994</f>
        <v>0</v>
      </c>
      <c r="AF1994" s="28"/>
      <c r="AG1994" s="28" t="n">
        <f aca="false">AF1994*$M1994</f>
        <v>0</v>
      </c>
      <c r="AH1994" s="28"/>
      <c r="AI1994" s="28" t="n">
        <f aca="false">AH1994*$M1994</f>
        <v>0</v>
      </c>
      <c r="AJ1994" s="28"/>
      <c r="AK1994" s="28" t="n">
        <f aca="false">AJ1994*$M1994</f>
        <v>0</v>
      </c>
      <c r="AL1994" s="28"/>
      <c r="AM1994" s="28" t="n">
        <f aca="false">AL1994*$M1994</f>
        <v>0</v>
      </c>
      <c r="AN1994" s="28"/>
      <c r="AO1994" s="28" t="n">
        <f aca="false">AN1994*$M1994</f>
        <v>0</v>
      </c>
      <c r="AP1994" s="28"/>
      <c r="AQ1994" s="28" t="n">
        <f aca="false">AP1994*$M1994</f>
        <v>0</v>
      </c>
      <c r="AR1994" s="28"/>
      <c r="AS1994" s="28" t="n">
        <f aca="false">AR1994*$M1994</f>
        <v>0</v>
      </c>
      <c r="AT1994" s="28"/>
      <c r="AU1994" s="28" t="n">
        <f aca="false">AT1994*$M1994</f>
        <v>0</v>
      </c>
      <c r="AV1994" s="28"/>
      <c r="AW1994" s="28" t="n">
        <f aca="false">AV1994*$M1994</f>
        <v>0</v>
      </c>
      <c r="AX1994" s="28"/>
      <c r="AY1994" s="28" t="n">
        <f aca="false">AX1994*$M1994</f>
        <v>0</v>
      </c>
      <c r="AZ1994" s="30" t="n">
        <f aca="false">57986/100</f>
        <v>579.86</v>
      </c>
      <c r="BA1994" s="11" t="n">
        <v>5799</v>
      </c>
      <c r="BB1994" s="31" t="n">
        <f aca="false">SUM(Q1994,S1994,U1994,W1994,Y1994,AA1994,AC1994,AE1994,AG1994,AI1994,AK1994,AM1994,AO1994,AQ1994,AS1994,AU1994,AW1994,AY1994)</f>
        <v>5799</v>
      </c>
      <c r="BC1994" s="28" t="n">
        <f aca="false">BA1994-BB1994</f>
        <v>0</v>
      </c>
      <c r="BD1994" s="32" t="n">
        <f aca="false">SUM(P1994,R1994,T1994,V1994,X1994,Z1994,AB1994,AD1994,AF1994,AH1994,AJ1994,AL1994,AN1994,AP1994,AR1994,AT1994,AV1994,AX1994)</f>
        <v>579.86</v>
      </c>
      <c r="BE1994" s="33" t="n">
        <f aca="false">AZ1994-BD1994</f>
        <v>0</v>
      </c>
      <c r="BF1994" s="34" t="n">
        <f aca="false">BD1994*M1994</f>
        <v>5798.6</v>
      </c>
      <c r="BG1994" s="35" t="n">
        <f aca="false">BA1994-BF1994</f>
        <v>0.399999999999636</v>
      </c>
      <c r="BH1994" s="19" t="str">
        <f aca="false">IF(BG1994=0,"",IF(BG1994&lt;&gt;BA1994,"erreur de calcul",IF(BD1994&lt;&gt;0,"pas de prix",IF(M1994&lt;&gt; 0,"pas de quantité","pas de prix, ni de quantité"))))</f>
        <v>erreur de calcul</v>
      </c>
      <c r="BI1994" s="19"/>
    </row>
    <row r="1995" customFormat="false" ht="15" hidden="false" customHeight="false" outlineLevel="0" collapsed="false">
      <c r="A1995" s="0" t="n">
        <v>30</v>
      </c>
      <c r="B1995" s="8" t="s">
        <v>24</v>
      </c>
      <c r="C1995" s="9" t="s">
        <v>25</v>
      </c>
      <c r="D1995" s="9" t="s">
        <v>26</v>
      </c>
      <c r="E1995" s="10" t="n">
        <v>1789</v>
      </c>
      <c r="F1995" s="9" t="s">
        <v>27</v>
      </c>
      <c r="G1995" s="9" t="s">
        <v>27</v>
      </c>
      <c r="H1995" s="11" t="n">
        <v>24</v>
      </c>
      <c r="I1995" s="11" t="s">
        <v>320</v>
      </c>
      <c r="J1995" s="14" t="n">
        <v>90</v>
      </c>
      <c r="K1995" s="14"/>
      <c r="L1995" s="16"/>
      <c r="M1995" s="27" t="n">
        <f aca="false">J1995+(K1995/20)+(L1995/240)</f>
        <v>90</v>
      </c>
      <c r="N1995" s="17" t="s">
        <v>64</v>
      </c>
      <c r="O1995" s="11"/>
      <c r="P1995" s="28"/>
      <c r="Q1995" s="28" t="n">
        <f aca="false">P1995*$M1995</f>
        <v>0</v>
      </c>
      <c r="R1995" s="28"/>
      <c r="S1995" s="28" t="n">
        <f aca="false">R1995*$M1995</f>
        <v>0</v>
      </c>
      <c r="T1995" s="28"/>
      <c r="U1995" s="28" t="n">
        <f aca="false">T1995*$M1995</f>
        <v>0</v>
      </c>
      <c r="V1995" s="28"/>
      <c r="W1995" s="28" t="n">
        <f aca="false">V1995*$M1995</f>
        <v>0</v>
      </c>
      <c r="X1995" s="28"/>
      <c r="Y1995" s="28" t="n">
        <f aca="false">X1995*$M1995</f>
        <v>0</v>
      </c>
      <c r="Z1995" s="28"/>
      <c r="AA1995" s="28" t="n">
        <f aca="false">Z1995*$M1995</f>
        <v>0</v>
      </c>
      <c r="AB1995" s="28"/>
      <c r="AC1995" s="28" t="n">
        <f aca="false">AB1995*$M1995</f>
        <v>0</v>
      </c>
      <c r="AD1995" s="28"/>
      <c r="AE1995" s="28" t="n">
        <f aca="false">AD1995*$M1995</f>
        <v>0</v>
      </c>
      <c r="AF1995" s="28"/>
      <c r="AG1995" s="28" t="n">
        <f aca="false">AF1995*$M1995</f>
        <v>0</v>
      </c>
      <c r="AH1995" s="28"/>
      <c r="AI1995" s="28" t="n">
        <f aca="false">AH1995*$M1995</f>
        <v>0</v>
      </c>
      <c r="AJ1995" s="28"/>
      <c r="AK1995" s="28" t="n">
        <f aca="false">AJ1995*$M1995</f>
        <v>0</v>
      </c>
      <c r="AL1995" s="28" t="n">
        <f aca="false">2950/100</f>
        <v>29.5</v>
      </c>
      <c r="AM1995" s="28" t="n">
        <v>2655</v>
      </c>
      <c r="AN1995" s="28"/>
      <c r="AO1995" s="28" t="n">
        <f aca="false">AN1995*$M1995</f>
        <v>0</v>
      </c>
      <c r="AP1995" s="28"/>
      <c r="AQ1995" s="28" t="n">
        <f aca="false">AP1995*$M1995</f>
        <v>0</v>
      </c>
      <c r="AR1995" s="28"/>
      <c r="AS1995" s="28" t="n">
        <f aca="false">AR1995*$M1995</f>
        <v>0</v>
      </c>
      <c r="AT1995" s="28"/>
      <c r="AU1995" s="28" t="n">
        <f aca="false">AT1995*$M1995</f>
        <v>0</v>
      </c>
      <c r="AV1995" s="28"/>
      <c r="AW1995" s="28" t="n">
        <f aca="false">AV1995*$M1995</f>
        <v>0</v>
      </c>
      <c r="AX1995" s="28"/>
      <c r="AY1995" s="28" t="n">
        <f aca="false">AX1995*$M1995</f>
        <v>0</v>
      </c>
      <c r="AZ1995" s="30" t="n">
        <f aca="false">2950/100</f>
        <v>29.5</v>
      </c>
      <c r="BA1995" s="11" t="n">
        <v>2655</v>
      </c>
      <c r="BB1995" s="31" t="n">
        <f aca="false">SUM(Q1995,S1995,U1995,W1995,Y1995,AA1995,AC1995,AE1995,AG1995,AI1995,AK1995,AM1995,AO1995,AQ1995,AS1995,AU1995,AW1995,AY1995)</f>
        <v>2655</v>
      </c>
      <c r="BC1995" s="28" t="n">
        <f aca="false">BA1995-BB1995</f>
        <v>0</v>
      </c>
      <c r="BD1995" s="32" t="n">
        <f aca="false">SUM(P1995,R1995,T1995,V1995,X1995,Z1995,AB1995,AD1995,AF1995,AH1995,AJ1995,AL1995,AN1995,AP1995,AR1995,AT1995,AV1995,AX1995)</f>
        <v>29.5</v>
      </c>
      <c r="BE1995" s="33" t="n">
        <f aca="false">AZ1995-BD1995</f>
        <v>0</v>
      </c>
      <c r="BF1995" s="34" t="n">
        <f aca="false">BD1995*M1995</f>
        <v>2655</v>
      </c>
      <c r="BG1995" s="35" t="n">
        <f aca="false">BA1995-BF1995</f>
        <v>0</v>
      </c>
      <c r="BH1995" s="19" t="str">
        <f aca="false">IF(BG1995=0,"",IF(BG1995&lt;&gt;BA1995,"erreur de calcul",IF(BD1995&lt;&gt;0,"pas de prix",IF(M1995&lt;&gt; 0,"pas de quantité","pas de prix, ni de quantité"))))</f>
        <v/>
      </c>
      <c r="BI1995" s="19"/>
    </row>
    <row r="1996" customFormat="false" ht="15" hidden="false" customHeight="false" outlineLevel="0" collapsed="false">
      <c r="A1996" s="0" t="n">
        <v>31</v>
      </c>
      <c r="B1996" s="8" t="s">
        <v>24</v>
      </c>
      <c r="C1996" s="9" t="s">
        <v>25</v>
      </c>
      <c r="D1996" s="9" t="s">
        <v>26</v>
      </c>
      <c r="E1996" s="10" t="n">
        <v>1789</v>
      </c>
      <c r="F1996" s="9" t="s">
        <v>27</v>
      </c>
      <c r="G1996" s="9" t="s">
        <v>27</v>
      </c>
      <c r="H1996" s="11" t="n">
        <v>24</v>
      </c>
      <c r="I1996" s="11" t="s">
        <v>321</v>
      </c>
      <c r="J1996" s="14" t="n">
        <v>50</v>
      </c>
      <c r="K1996" s="14"/>
      <c r="L1996" s="16"/>
      <c r="M1996" s="27" t="n">
        <f aca="false">J1996+(K1996/20)+(L1996/240)</f>
        <v>50</v>
      </c>
      <c r="N1996" s="17" t="s">
        <v>64</v>
      </c>
      <c r="O1996" s="11" t="s">
        <v>277</v>
      </c>
      <c r="P1996" s="28"/>
      <c r="Q1996" s="28" t="n">
        <f aca="false">P1996*$M1996</f>
        <v>0</v>
      </c>
      <c r="R1996" s="28"/>
      <c r="S1996" s="28" t="n">
        <f aca="false">R1996*$M1996</f>
        <v>0</v>
      </c>
      <c r="T1996" s="28" t="n">
        <f aca="false">2*288*0.02+153*0.02</f>
        <v>14.58</v>
      </c>
      <c r="U1996" s="28" t="n">
        <v>729</v>
      </c>
      <c r="V1996" s="28" t="n">
        <f aca="false">2*288*0.02+118*0.02</f>
        <v>13.88</v>
      </c>
      <c r="W1996" s="28" t="n">
        <v>694</v>
      </c>
      <c r="X1996" s="28" t="n">
        <f aca="false">25*288*0.02+103*0.02</f>
        <v>146.06</v>
      </c>
      <c r="Y1996" s="28" t="n">
        <v>7303</v>
      </c>
      <c r="Z1996" s="28"/>
      <c r="AA1996" s="28" t="n">
        <f aca="false">Z1996*$M1996</f>
        <v>0</v>
      </c>
      <c r="AB1996" s="28" t="n">
        <f aca="false">1*288*0.02+74*0.02</f>
        <v>7.24</v>
      </c>
      <c r="AC1996" s="28" t="n">
        <v>362</v>
      </c>
      <c r="AD1996" s="28" t="n">
        <f aca="false">276*0.02</f>
        <v>5.52</v>
      </c>
      <c r="AE1996" s="28" t="n">
        <v>276</v>
      </c>
      <c r="AF1996" s="28"/>
      <c r="AG1996" s="28" t="n">
        <f aca="false">AF1996*$M1996</f>
        <v>0</v>
      </c>
      <c r="AH1996" s="28" t="n">
        <f aca="false">1*288*0.02+75*0.02</f>
        <v>7.26</v>
      </c>
      <c r="AI1996" s="28" t="n">
        <v>363</v>
      </c>
      <c r="AJ1996" s="28" t="n">
        <f aca="false">2*288*0.02+176*0.02</f>
        <v>15.04</v>
      </c>
      <c r="AK1996" s="28" t="n">
        <v>752</v>
      </c>
      <c r="AL1996" s="28"/>
      <c r="AM1996" s="28" t="n">
        <f aca="false">AL1996*$M1996</f>
        <v>0</v>
      </c>
      <c r="AN1996" s="28"/>
      <c r="AO1996" s="28" t="n">
        <f aca="false">AN1996*$M1996</f>
        <v>0</v>
      </c>
      <c r="AP1996" s="28"/>
      <c r="AQ1996" s="28" t="n">
        <f aca="false">AP1996*$M1996</f>
        <v>0</v>
      </c>
      <c r="AR1996" s="28"/>
      <c r="AS1996" s="28" t="n">
        <f aca="false">AR1996*$M1996</f>
        <v>0</v>
      </c>
      <c r="AT1996" s="28"/>
      <c r="AU1996" s="28" t="n">
        <f aca="false">AT1996*$M1996</f>
        <v>0</v>
      </c>
      <c r="AV1996" s="28"/>
      <c r="AW1996" s="28" t="n">
        <f aca="false">AV1996*$M1996</f>
        <v>0</v>
      </c>
      <c r="AX1996" s="28"/>
      <c r="AY1996" s="28" t="n">
        <f aca="false">AX1996*$M1996</f>
        <v>0</v>
      </c>
      <c r="AZ1996" s="30" t="n">
        <f aca="false">36*288*0.02+111*0.02</f>
        <v>209.58</v>
      </c>
      <c r="BA1996" s="11" t="n">
        <v>10479</v>
      </c>
      <c r="BB1996" s="31" t="n">
        <f aca="false">SUM(Q1996,S1996,U1996,W1996,Y1996,AA1996,AC1996,AE1996,AG1996,AI1996,AK1996,AM1996,AO1996,AQ1996,AS1996,AU1996,AW1996,AY1996)</f>
        <v>10479</v>
      </c>
      <c r="BC1996" s="28" t="n">
        <f aca="false">BA1996-BB1996</f>
        <v>0</v>
      </c>
      <c r="BD1996" s="32" t="n">
        <f aca="false">SUM(P1996,R1996,T1996,V1996,X1996,Z1996,AB1996,AD1996,AF1996,AH1996,AJ1996,AL1996,AN1996,AP1996,AR1996,AT1996,AV1996,AX1996)</f>
        <v>209.58</v>
      </c>
      <c r="BE1996" s="33" t="n">
        <f aca="false">AZ1996-BD1996</f>
        <v>0</v>
      </c>
      <c r="BF1996" s="34" t="n">
        <f aca="false">BD1996*M1996</f>
        <v>10479</v>
      </c>
      <c r="BG1996" s="35" t="n">
        <f aca="false">BA1996-BF1996</f>
        <v>0</v>
      </c>
      <c r="BH1996" s="19" t="str">
        <f aca="false">IF(BG1996=0,"",IF(BG1996&lt;&gt;BA1996,"erreur de calcul",IF(BD1996&lt;&gt;0,"pas de prix",IF(M1996&lt;&gt; 0,"pas de quantité","pas de prix, ni de quantité"))))</f>
        <v/>
      </c>
      <c r="BI1996" s="19"/>
    </row>
    <row r="1997" customFormat="false" ht="15" hidden="false" customHeight="false" outlineLevel="0" collapsed="false">
      <c r="A1997" s="0" t="n">
        <v>32</v>
      </c>
      <c r="B1997" s="8" t="s">
        <v>24</v>
      </c>
      <c r="C1997" s="9" t="s">
        <v>25</v>
      </c>
      <c r="D1997" s="9" t="s">
        <v>26</v>
      </c>
      <c r="E1997" s="10" t="n">
        <v>1789</v>
      </c>
      <c r="F1997" s="9" t="s">
        <v>27</v>
      </c>
      <c r="G1997" s="9" t="s">
        <v>27</v>
      </c>
      <c r="H1997" s="11" t="n">
        <v>24</v>
      </c>
      <c r="I1997" s="11" t="s">
        <v>322</v>
      </c>
      <c r="J1997" s="14" t="n">
        <v>70</v>
      </c>
      <c r="K1997" s="14"/>
      <c r="L1997" s="16"/>
      <c r="M1997" s="27" t="n">
        <f aca="false">J1997+(K1997/20)+(L1997/240)</f>
        <v>70</v>
      </c>
      <c r="N1997" s="17" t="s">
        <v>64</v>
      </c>
      <c r="O1997" s="11"/>
      <c r="P1997" s="28"/>
      <c r="Q1997" s="28" t="n">
        <f aca="false">P1997*$M1997</f>
        <v>0</v>
      </c>
      <c r="R1997" s="28"/>
      <c r="S1997" s="28" t="n">
        <f aca="false">R1997*$M1997</f>
        <v>0</v>
      </c>
      <c r="T1997" s="28"/>
      <c r="U1997" s="28" t="n">
        <f aca="false">T1997*$M1997</f>
        <v>0</v>
      </c>
      <c r="V1997" s="28"/>
      <c r="W1997" s="28" t="n">
        <f aca="false">V1997*$M1997</f>
        <v>0</v>
      </c>
      <c r="X1997" s="28" t="n">
        <f aca="false">2*288*0.02+217*0.02</f>
        <v>15.86</v>
      </c>
      <c r="Y1997" s="28" t="n">
        <v>1111</v>
      </c>
      <c r="Z1997" s="28"/>
      <c r="AA1997" s="28" t="n">
        <f aca="false">Z1997*$M1997</f>
        <v>0</v>
      </c>
      <c r="AB1997" s="28"/>
      <c r="AC1997" s="28" t="n">
        <f aca="false">AB1997*$M1997</f>
        <v>0</v>
      </c>
      <c r="AD1997" s="28"/>
      <c r="AE1997" s="28" t="n">
        <f aca="false">AD1997*$M1997</f>
        <v>0</v>
      </c>
      <c r="AF1997" s="28"/>
      <c r="AG1997" s="28" t="n">
        <f aca="false">AF1997*$M1997</f>
        <v>0</v>
      </c>
      <c r="AH1997" s="28"/>
      <c r="AI1997" s="28" t="n">
        <f aca="false">AH1997*$M1997</f>
        <v>0</v>
      </c>
      <c r="AJ1997" s="28"/>
      <c r="AK1997" s="28" t="n">
        <f aca="false">AJ1997*$M1997</f>
        <v>0</v>
      </c>
      <c r="AL1997" s="28"/>
      <c r="AM1997" s="28" t="n">
        <f aca="false">AL1997*$M1997</f>
        <v>0</v>
      </c>
      <c r="AN1997" s="28"/>
      <c r="AO1997" s="28" t="n">
        <f aca="false">AN1997*$M1997</f>
        <v>0</v>
      </c>
      <c r="AP1997" s="28"/>
      <c r="AQ1997" s="28" t="n">
        <f aca="false">AP1997*$M1997</f>
        <v>0</v>
      </c>
      <c r="AR1997" s="28"/>
      <c r="AS1997" s="28" t="n">
        <f aca="false">AR1997*$M1997</f>
        <v>0</v>
      </c>
      <c r="AT1997" s="28"/>
      <c r="AU1997" s="28" t="n">
        <f aca="false">AT1997*$M1997</f>
        <v>0</v>
      </c>
      <c r="AV1997" s="28"/>
      <c r="AW1997" s="28" t="n">
        <f aca="false">AV1997*$M1997</f>
        <v>0</v>
      </c>
      <c r="AX1997" s="28"/>
      <c r="AY1997" s="28" t="n">
        <f aca="false">AX1997*$M1997</f>
        <v>0</v>
      </c>
      <c r="AZ1997" s="30" t="n">
        <f aca="false">2*288*0.02+217*0.02</f>
        <v>15.86</v>
      </c>
      <c r="BA1997" s="11" t="n">
        <v>1111</v>
      </c>
      <c r="BB1997" s="31" t="n">
        <f aca="false">SUM(Q1997,S1997,U1997,W1997,Y1997,AA1997,AC1997,AE1997,AG1997,AI1997,AK1997,AM1997,AO1997,AQ1997,AS1997,AU1997,AW1997,AY1997)</f>
        <v>1111</v>
      </c>
      <c r="BC1997" s="28" t="n">
        <f aca="false">BA1997-BB1997</f>
        <v>0</v>
      </c>
      <c r="BD1997" s="32" t="n">
        <f aca="false">SUM(P1997,R1997,T1997,V1997,X1997,Z1997,AB1997,AD1997,AF1997,AH1997,AJ1997,AL1997,AN1997,AP1997,AR1997,AT1997,AV1997,AX1997)</f>
        <v>15.86</v>
      </c>
      <c r="BE1997" s="33" t="n">
        <f aca="false">AZ1997-BD1997</f>
        <v>0</v>
      </c>
      <c r="BF1997" s="34" t="n">
        <f aca="false">BD1997*M1997</f>
        <v>1110.2</v>
      </c>
      <c r="BG1997" s="35" t="n">
        <f aca="false">BA1997-BF1997</f>
        <v>0.799999999999955</v>
      </c>
      <c r="BH1997" s="19" t="str">
        <f aca="false">IF(BG1997=0,"",IF(BG1997&lt;&gt;BA1997,"erreur de calcul",IF(BD1997&lt;&gt;0,"pas de prix",IF(M1997&lt;&gt; 0,"pas de quantité","pas de prix, ni de quantité"))))</f>
        <v>erreur de calcul</v>
      </c>
      <c r="BI1997" s="19"/>
    </row>
    <row r="1998" customFormat="false" ht="15" hidden="false" customHeight="false" outlineLevel="0" collapsed="false">
      <c r="A1998" s="0" t="n">
        <v>33</v>
      </c>
      <c r="B1998" s="8" t="s">
        <v>24</v>
      </c>
      <c r="C1998" s="9" t="s">
        <v>25</v>
      </c>
      <c r="D1998" s="9" t="s">
        <v>26</v>
      </c>
      <c r="E1998" s="10" t="n">
        <v>1789</v>
      </c>
      <c r="F1998" s="9" t="s">
        <v>27</v>
      </c>
      <c r="G1998" s="9" t="s">
        <v>27</v>
      </c>
      <c r="H1998" s="11" t="n">
        <v>24</v>
      </c>
      <c r="I1998" s="11" t="s">
        <v>323</v>
      </c>
      <c r="J1998" s="14"/>
      <c r="K1998" s="14" t="n">
        <v>40</v>
      </c>
      <c r="L1998" s="16"/>
      <c r="M1998" s="27" t="n">
        <f aca="false">J1998+(K1998/20)+(L1998/240)</f>
        <v>2</v>
      </c>
      <c r="N1998" s="17" t="s">
        <v>66</v>
      </c>
      <c r="O1998" s="11"/>
      <c r="P1998" s="28" t="n">
        <v>780</v>
      </c>
      <c r="Q1998" s="28" t="n">
        <v>1560</v>
      </c>
      <c r="R1998" s="28"/>
      <c r="S1998" s="28" t="n">
        <f aca="false">R1998*$M1998</f>
        <v>0</v>
      </c>
      <c r="T1998" s="28" t="n">
        <v>1552</v>
      </c>
      <c r="U1998" s="28" t="n">
        <v>3104</v>
      </c>
      <c r="V1998" s="28" t="n">
        <v>1051</v>
      </c>
      <c r="W1998" s="28" t="n">
        <v>2102</v>
      </c>
      <c r="X1998" s="28" t="n">
        <v>1486</v>
      </c>
      <c r="Y1998" s="28" t="n">
        <v>2972</v>
      </c>
      <c r="Z1998" s="28" t="n">
        <v>847</v>
      </c>
      <c r="AA1998" s="28" t="n">
        <v>1694</v>
      </c>
      <c r="AB1998" s="28" t="n">
        <v>114</v>
      </c>
      <c r="AC1998" s="28" t="n">
        <v>228</v>
      </c>
      <c r="AD1998" s="28" t="n">
        <v>407</v>
      </c>
      <c r="AE1998" s="28" t="n">
        <v>814</v>
      </c>
      <c r="AF1998" s="28"/>
      <c r="AG1998" s="28" t="n">
        <f aca="false">AF1998*$M1998</f>
        <v>0</v>
      </c>
      <c r="AH1998" s="28"/>
      <c r="AI1998" s="28" t="n">
        <f aca="false">AH1998*$M1998</f>
        <v>0</v>
      </c>
      <c r="AJ1998" s="28" t="n">
        <v>1297</v>
      </c>
      <c r="AK1998" s="28" t="n">
        <v>2594</v>
      </c>
      <c r="AL1998" s="28"/>
      <c r="AM1998" s="28" t="n">
        <f aca="false">AL1998*$M1998</f>
        <v>0</v>
      </c>
      <c r="AN1998" s="28"/>
      <c r="AO1998" s="28" t="n">
        <f aca="false">AN1998*$M1998</f>
        <v>0</v>
      </c>
      <c r="AP1998" s="28"/>
      <c r="AQ1998" s="28" t="n">
        <f aca="false">AP1998*$M1998</f>
        <v>0</v>
      </c>
      <c r="AR1998" s="28"/>
      <c r="AS1998" s="28" t="n">
        <f aca="false">AR1998*$M1998</f>
        <v>0</v>
      </c>
      <c r="AT1998" s="28"/>
      <c r="AU1998" s="28" t="n">
        <f aca="false">AT1998*$M1998</f>
        <v>0</v>
      </c>
      <c r="AV1998" s="28"/>
      <c r="AW1998" s="28" t="n">
        <f aca="false">AV1998*$M1998</f>
        <v>0</v>
      </c>
      <c r="AX1998" s="28"/>
      <c r="AY1998" s="28" t="n">
        <f aca="false">AX1998*$M1998</f>
        <v>0</v>
      </c>
      <c r="AZ1998" s="30" t="n">
        <v>7534</v>
      </c>
      <c r="BA1998" s="11" t="n">
        <v>15068</v>
      </c>
      <c r="BB1998" s="31" t="n">
        <f aca="false">SUM(Q1998,S1998,U1998,W1998,Y1998,AA1998,AC1998,AE1998,AG1998,AI1998,AK1998,AM1998,AO1998,AQ1998,AS1998,AU1998,AW1998,AY1998)</f>
        <v>15068</v>
      </c>
      <c r="BC1998" s="28" t="n">
        <f aca="false">BA1998-BB1998</f>
        <v>0</v>
      </c>
      <c r="BD1998" s="32" t="n">
        <f aca="false">SUM(P1998,R1998,T1998,V1998,X1998,Z1998,AB1998,AD1998,AF1998,AH1998,AJ1998,AL1998,AN1998,AP1998,AR1998,AT1998,AV1998,AX1998)</f>
        <v>7534</v>
      </c>
      <c r="BE1998" s="33" t="n">
        <f aca="false">AZ1998-BD1998</f>
        <v>0</v>
      </c>
      <c r="BF1998" s="34" t="n">
        <f aca="false">BD1998*M1998</f>
        <v>15068</v>
      </c>
      <c r="BG1998" s="35" t="n">
        <f aca="false">BA1998-BF1998</f>
        <v>0</v>
      </c>
      <c r="BH1998" s="19" t="str">
        <f aca="false">IF(BG1998=0,"",IF(BG1998&lt;&gt;BA1998,"erreur de calcul",IF(BD1998&lt;&gt;0,"pas de prix",IF(M1998&lt;&gt; 0,"pas de quantité","pas de prix, ni de quantité"))))</f>
        <v/>
      </c>
      <c r="BI1998" s="19"/>
    </row>
    <row r="1999" customFormat="false" ht="15" hidden="false" customHeight="false" outlineLevel="0" collapsed="false">
      <c r="A1999" s="0" t="n">
        <v>34</v>
      </c>
      <c r="B1999" s="8" t="s">
        <v>24</v>
      </c>
      <c r="C1999" s="9" t="s">
        <v>25</v>
      </c>
      <c r="D1999" s="9" t="s">
        <v>26</v>
      </c>
      <c r="E1999" s="10" t="n">
        <v>1789</v>
      </c>
      <c r="F1999" s="9" t="s">
        <v>27</v>
      </c>
      <c r="G1999" s="9" t="s">
        <v>27</v>
      </c>
      <c r="H1999" s="11" t="n">
        <v>24</v>
      </c>
      <c r="I1999" s="11" t="s">
        <v>324</v>
      </c>
      <c r="J1999" s="14" t="n">
        <v>15</v>
      </c>
      <c r="K1999" s="14"/>
      <c r="L1999" s="16"/>
      <c r="M1999" s="27" t="n">
        <f aca="false">J1999+(K1999/20)+(L1999/240)</f>
        <v>15</v>
      </c>
      <c r="N1999" s="17" t="s">
        <v>64</v>
      </c>
      <c r="O1999" s="11"/>
      <c r="P1999" s="28" t="n">
        <f aca="false">6834/100</f>
        <v>68.34</v>
      </c>
      <c r="Q1999" s="28" t="n">
        <v>1025</v>
      </c>
      <c r="R1999" s="28"/>
      <c r="S1999" s="28" t="n">
        <f aca="false">R1999*$M1999</f>
        <v>0</v>
      </c>
      <c r="T1999" s="28" t="n">
        <f aca="false">834/100</f>
        <v>8.34</v>
      </c>
      <c r="U1999" s="28" t="n">
        <v>125</v>
      </c>
      <c r="V1999" s="28" t="n">
        <f aca="false">197372/100</f>
        <v>1973.72</v>
      </c>
      <c r="W1999" s="28" t="n">
        <v>29606</v>
      </c>
      <c r="X1999" s="28" t="n">
        <f aca="false">2334702/100</f>
        <v>23347.02</v>
      </c>
      <c r="Y1999" s="28" t="n">
        <v>350205</v>
      </c>
      <c r="Z1999" s="28"/>
      <c r="AA1999" s="28" t="n">
        <f aca="false">Z1999*$M1999</f>
        <v>0</v>
      </c>
      <c r="AB1999" s="28" t="n">
        <f aca="false">1417/100</f>
        <v>14.17</v>
      </c>
      <c r="AC1999" s="28" t="n">
        <v>212</v>
      </c>
      <c r="AD1999" s="28"/>
      <c r="AE1999" s="28" t="n">
        <f aca="false">AD1999*$M1999</f>
        <v>0</v>
      </c>
      <c r="AF1999" s="28"/>
      <c r="AG1999" s="28" t="n">
        <f aca="false">AF1999*$M1999</f>
        <v>0</v>
      </c>
      <c r="AH1999" s="28"/>
      <c r="AI1999" s="28" t="n">
        <f aca="false">AH1999*$M1999</f>
        <v>0</v>
      </c>
      <c r="AJ1999" s="28"/>
      <c r="AK1999" s="28" t="n">
        <f aca="false">AJ1999*$M1999</f>
        <v>0</v>
      </c>
      <c r="AL1999" s="28"/>
      <c r="AM1999" s="28" t="n">
        <f aca="false">AL1999*$M1999</f>
        <v>0</v>
      </c>
      <c r="AN1999" s="28"/>
      <c r="AO1999" s="28" t="n">
        <f aca="false">AN1999*$M1999</f>
        <v>0</v>
      </c>
      <c r="AP1999" s="28"/>
      <c r="AQ1999" s="28" t="n">
        <f aca="false">AP1999*$M1999</f>
        <v>0</v>
      </c>
      <c r="AR1999" s="28"/>
      <c r="AS1999" s="28" t="n">
        <f aca="false">AR1999*$M1999</f>
        <v>0</v>
      </c>
      <c r="AT1999" s="28"/>
      <c r="AU1999" s="28" t="n">
        <f aca="false">AT1999*$M1999</f>
        <v>0</v>
      </c>
      <c r="AV1999" s="28"/>
      <c r="AW1999" s="28" t="n">
        <f aca="false">AV1999*$M1999</f>
        <v>0</v>
      </c>
      <c r="AX1999" s="28"/>
      <c r="AY1999" s="28" t="n">
        <f aca="false">AX1999*$M1999</f>
        <v>0</v>
      </c>
      <c r="AZ1999" s="30" t="n">
        <f aca="false">2541159/100</f>
        <v>25411.59</v>
      </c>
      <c r="BA1999" s="11" t="n">
        <v>381173</v>
      </c>
      <c r="BB1999" s="31" t="n">
        <f aca="false">SUM(Q1999,S1999,U1999,W1999,Y1999,AA1999,AC1999,AE1999,AG1999,AI1999,AK1999,AM1999,AO1999,AQ1999,AS1999,AU1999,AW1999,AY1999)</f>
        <v>381173</v>
      </c>
      <c r="BC1999" s="28" t="n">
        <f aca="false">BA1999-BB1999</f>
        <v>0</v>
      </c>
      <c r="BD1999" s="32" t="n">
        <f aca="false">SUM(P1999,R1999,T1999,V1999,X1999,Z1999,AB1999,AD1999,AF1999,AH1999,AJ1999,AL1999,AN1999,AP1999,AR1999,AT1999,AV1999,AX1999)</f>
        <v>25411.59</v>
      </c>
      <c r="BE1999" s="33" t="n">
        <f aca="false">AZ1999-BD1999</f>
        <v>0</v>
      </c>
      <c r="BF1999" s="34" t="n">
        <f aca="false">BD1999*M1999</f>
        <v>381173.85</v>
      </c>
      <c r="BG1999" s="35" t="n">
        <f aca="false">BA1999-BF1999</f>
        <v>-0.849999999976717</v>
      </c>
      <c r="BH1999" s="19" t="str">
        <f aca="false">IF(BG1999=0,"",IF(BG1999&lt;&gt;BA1999,"erreur de calcul",IF(BD1999&lt;&gt;0,"pas de prix",IF(M1999&lt;&gt; 0,"pas de quantité","pas de prix, ni de quantité"))))</f>
        <v>erreur de calcul</v>
      </c>
      <c r="BI1999" s="19"/>
    </row>
    <row r="2000" customFormat="false" ht="15" hidden="false" customHeight="false" outlineLevel="0" collapsed="false">
      <c r="A2000" s="0" t="n">
        <v>35</v>
      </c>
      <c r="B2000" s="8" t="s">
        <v>24</v>
      </c>
      <c r="C2000" s="9" t="s">
        <v>25</v>
      </c>
      <c r="D2000" s="9" t="s">
        <v>26</v>
      </c>
      <c r="E2000" s="10" t="n">
        <v>1789</v>
      </c>
      <c r="F2000" s="9" t="s">
        <v>27</v>
      </c>
      <c r="G2000" s="9" t="s">
        <v>27</v>
      </c>
      <c r="H2000" s="11" t="n">
        <v>24</v>
      </c>
      <c r="I2000" s="11" t="s">
        <v>325</v>
      </c>
      <c r="J2000" s="14" t="n">
        <v>25</v>
      </c>
      <c r="K2000" s="14"/>
      <c r="L2000" s="16"/>
      <c r="M2000" s="27" t="n">
        <f aca="false">J2000+(K2000/20)+(L2000/240)</f>
        <v>25</v>
      </c>
      <c r="N2000" s="17" t="s">
        <v>64</v>
      </c>
      <c r="O2000" s="11"/>
      <c r="P2000" s="28"/>
      <c r="Q2000" s="28" t="n">
        <f aca="false">P2000*$M2000</f>
        <v>0</v>
      </c>
      <c r="R2000" s="28"/>
      <c r="S2000" s="28" t="n">
        <f aca="false">R2000*$M2000</f>
        <v>0</v>
      </c>
      <c r="T2000" s="28"/>
      <c r="U2000" s="28" t="n">
        <f aca="false">T2000*$M2000</f>
        <v>0</v>
      </c>
      <c r="V2000" s="28"/>
      <c r="W2000" s="28" t="n">
        <f aca="false">V2000*$M2000</f>
        <v>0</v>
      </c>
      <c r="X2000" s="28" t="n">
        <f aca="false">4971/100</f>
        <v>49.71</v>
      </c>
      <c r="Y2000" s="28" t="n">
        <v>1243</v>
      </c>
      <c r="Z2000" s="28" t="n">
        <f aca="false">14812/100</f>
        <v>148.12</v>
      </c>
      <c r="AA2000" s="28" t="n">
        <v>3703</v>
      </c>
      <c r="AB2000" s="28"/>
      <c r="AC2000" s="28" t="n">
        <f aca="false">AB2000*$M2000</f>
        <v>0</v>
      </c>
      <c r="AD2000" s="28"/>
      <c r="AE2000" s="28" t="n">
        <f aca="false">AD2000*$M2000</f>
        <v>0</v>
      </c>
      <c r="AF2000" s="28"/>
      <c r="AG2000" s="28" t="n">
        <f aca="false">AF2000*$M2000</f>
        <v>0</v>
      </c>
      <c r="AH2000" s="28"/>
      <c r="AI2000" s="28" t="n">
        <f aca="false">AH2000*$M2000</f>
        <v>0</v>
      </c>
      <c r="AJ2000" s="28"/>
      <c r="AK2000" s="28" t="n">
        <f aca="false">AJ2000*$M2000</f>
        <v>0</v>
      </c>
      <c r="AL2000" s="28"/>
      <c r="AM2000" s="28" t="n">
        <f aca="false">AL2000*$M2000</f>
        <v>0</v>
      </c>
      <c r="AN2000" s="28"/>
      <c r="AO2000" s="28" t="n">
        <f aca="false">AN2000*$M2000</f>
        <v>0</v>
      </c>
      <c r="AP2000" s="28"/>
      <c r="AQ2000" s="28" t="n">
        <f aca="false">AP2000*$M2000</f>
        <v>0</v>
      </c>
      <c r="AR2000" s="28"/>
      <c r="AS2000" s="28" t="n">
        <f aca="false">AR2000*$M2000</f>
        <v>0</v>
      </c>
      <c r="AT2000" s="28"/>
      <c r="AU2000" s="28" t="n">
        <f aca="false">AT2000*$M2000</f>
        <v>0</v>
      </c>
      <c r="AV2000" s="28"/>
      <c r="AW2000" s="28" t="n">
        <f aca="false">AV2000*$M2000</f>
        <v>0</v>
      </c>
      <c r="AX2000" s="28"/>
      <c r="AY2000" s="28" t="n">
        <f aca="false">AX2000*$M2000</f>
        <v>0</v>
      </c>
      <c r="AZ2000" s="30" t="n">
        <f aca="false">19783/100</f>
        <v>197.83</v>
      </c>
      <c r="BA2000" s="11" t="n">
        <v>4946</v>
      </c>
      <c r="BB2000" s="31" t="n">
        <f aca="false">SUM(Q2000,S2000,U2000,W2000,Y2000,AA2000,AC2000,AE2000,AG2000,AI2000,AK2000,AM2000,AO2000,AQ2000,AS2000,AU2000,AW2000,AY2000)</f>
        <v>4946</v>
      </c>
      <c r="BC2000" s="28" t="n">
        <f aca="false">BA2000-BB2000</f>
        <v>0</v>
      </c>
      <c r="BD2000" s="32" t="n">
        <f aca="false">SUM(P2000,R2000,T2000,V2000,X2000,Z2000,AB2000,AD2000,AF2000,AH2000,AJ2000,AL2000,AN2000,AP2000,AR2000,AT2000,AV2000,AX2000)</f>
        <v>197.83</v>
      </c>
      <c r="BE2000" s="33" t="n">
        <f aca="false">AZ2000-BD2000</f>
        <v>0</v>
      </c>
      <c r="BF2000" s="34" t="n">
        <f aca="false">BD2000*M2000</f>
        <v>4945.75</v>
      </c>
      <c r="BG2000" s="35" t="n">
        <f aca="false">BA2000-BF2000</f>
        <v>0.25</v>
      </c>
      <c r="BH2000" s="19" t="str">
        <f aca="false">IF(BG2000=0,"",IF(BG2000&lt;&gt;BA2000,"erreur de calcul",IF(BD2000&lt;&gt;0,"pas de prix",IF(M2000&lt;&gt; 0,"pas de quantité","pas de prix, ni de quantité"))))</f>
        <v>erreur de calcul</v>
      </c>
      <c r="BI2000" s="19"/>
    </row>
    <row r="2001" customFormat="false" ht="15" hidden="false" customHeight="false" outlineLevel="0" collapsed="false">
      <c r="A2001" s="0" t="n">
        <v>36</v>
      </c>
      <c r="B2001" s="8" t="s">
        <v>24</v>
      </c>
      <c r="C2001" s="9" t="s">
        <v>25</v>
      </c>
      <c r="D2001" s="9" t="s">
        <v>26</v>
      </c>
      <c r="E2001" s="10" t="n">
        <v>1789</v>
      </c>
      <c r="F2001" s="9" t="s">
        <v>27</v>
      </c>
      <c r="G2001" s="9" t="s">
        <v>27</v>
      </c>
      <c r="H2001" s="11" t="n">
        <v>24</v>
      </c>
      <c r="I2001" s="11" t="s">
        <v>326</v>
      </c>
      <c r="J2001" s="14"/>
      <c r="K2001" s="14"/>
      <c r="L2001" s="16"/>
      <c r="M2001" s="27" t="n">
        <f aca="false">J2001+(K2001/20)+(L2001/240)</f>
        <v>0</v>
      </c>
      <c r="N2001" s="17"/>
      <c r="O2001" s="11" t="s">
        <v>77</v>
      </c>
      <c r="P2001" s="28"/>
      <c r="Q2001" s="28" t="n">
        <v>84</v>
      </c>
      <c r="R2001" s="28"/>
      <c r="S2001" s="28" t="n">
        <v>80</v>
      </c>
      <c r="T2001" s="28"/>
      <c r="U2001" s="28" t="n">
        <v>115</v>
      </c>
      <c r="V2001" s="28"/>
      <c r="W2001" s="28" t="n">
        <f aca="false">V2001*$M2001</f>
        <v>0</v>
      </c>
      <c r="X2001" s="28"/>
      <c r="Y2001" s="28" t="n">
        <v>82</v>
      </c>
      <c r="Z2001" s="28"/>
      <c r="AA2001" s="28" t="n">
        <v>32</v>
      </c>
      <c r="AB2001" s="28"/>
      <c r="AC2001" s="28" t="n">
        <v>82</v>
      </c>
      <c r="AD2001" s="28"/>
      <c r="AE2001" s="28" t="n">
        <f aca="false">AD2001*$M2001</f>
        <v>0</v>
      </c>
      <c r="AF2001" s="28"/>
      <c r="AG2001" s="28" t="n">
        <v>129</v>
      </c>
      <c r="AH2001" s="28"/>
      <c r="AI2001" s="28" t="n">
        <f aca="false">AH2001*$M2001</f>
        <v>0</v>
      </c>
      <c r="AJ2001" s="28"/>
      <c r="AK2001" s="28" t="n">
        <v>79</v>
      </c>
      <c r="AL2001" s="28"/>
      <c r="AM2001" s="28" t="n">
        <v>106</v>
      </c>
      <c r="AN2001" s="28"/>
      <c r="AO2001" s="28" t="n">
        <f aca="false">AN2001*$M2001</f>
        <v>0</v>
      </c>
      <c r="AP2001" s="28"/>
      <c r="AQ2001" s="28" t="n">
        <f aca="false">AP2001*$M2001</f>
        <v>0</v>
      </c>
      <c r="AR2001" s="28"/>
      <c r="AS2001" s="28" t="n">
        <f aca="false">AR2001*$M2001</f>
        <v>0</v>
      </c>
      <c r="AT2001" s="28"/>
      <c r="AU2001" s="28" t="n">
        <f aca="false">AT2001*$M2001</f>
        <v>0</v>
      </c>
      <c r="AV2001" s="28"/>
      <c r="AW2001" s="28" t="n">
        <f aca="false">AV2001*$M2001</f>
        <v>0</v>
      </c>
      <c r="AX2001" s="28"/>
      <c r="AY2001" s="28" t="n">
        <f aca="false">AX2001*$M2001</f>
        <v>0</v>
      </c>
      <c r="AZ2001" s="30"/>
      <c r="BA2001" s="11" t="n">
        <v>789</v>
      </c>
      <c r="BB2001" s="31" t="n">
        <f aca="false">SUM(Q2001,S2001,U2001,W2001,Y2001,AA2001,AC2001,AE2001,AG2001,AI2001,AK2001,AM2001,AO2001,AQ2001,AS2001,AU2001,AW2001,AY2001)</f>
        <v>789</v>
      </c>
      <c r="BC2001" s="28" t="n">
        <f aca="false">BA2001-BB2001</f>
        <v>0</v>
      </c>
      <c r="BD2001" s="32" t="n">
        <f aca="false">SUM(P2001,R2001,T2001,V2001,X2001,Z2001,AB2001,AD2001,AF2001,AH2001,AJ2001,AL2001,AN2001,AP2001,AR2001,AT2001,AV2001,AX2001)</f>
        <v>0</v>
      </c>
      <c r="BE2001" s="33" t="n">
        <f aca="false">AZ2001-BD2001</f>
        <v>0</v>
      </c>
      <c r="BF2001" s="34" t="n">
        <f aca="false">BD2001*M2001</f>
        <v>0</v>
      </c>
      <c r="BG2001" s="35" t="n">
        <f aca="false">BA2001-BF2001</f>
        <v>789</v>
      </c>
      <c r="BH2001" s="19" t="str">
        <f aca="false">IF(BG2001=0,"",IF(BG2001&lt;&gt;BA2001,"erreur de calcul",IF(BD2001&lt;&gt;0,"pas de prix",IF(M2001&lt;&gt; 0,"pas de quantité","pas de prix, ni de quantité"))))</f>
        <v>pas de prix, ni de quantité</v>
      </c>
      <c r="BI2001" s="19"/>
    </row>
    <row r="2002" customFormat="false" ht="15" hidden="false" customHeight="false" outlineLevel="0" collapsed="false">
      <c r="A2002" s="0" t="n">
        <v>37</v>
      </c>
      <c r="B2002" s="8" t="s">
        <v>24</v>
      </c>
      <c r="C2002" s="9" t="s">
        <v>25</v>
      </c>
      <c r="D2002" s="9" t="s">
        <v>26</v>
      </c>
      <c r="E2002" s="10" t="n">
        <v>1789</v>
      </c>
      <c r="F2002" s="9" t="s">
        <v>27</v>
      </c>
      <c r="G2002" s="9" t="s">
        <v>27</v>
      </c>
      <c r="H2002" s="11" t="n">
        <v>24</v>
      </c>
      <c r="I2002" s="11" t="s">
        <v>327</v>
      </c>
      <c r="J2002" s="14"/>
      <c r="K2002" s="14" t="n">
        <v>20</v>
      </c>
      <c r="L2002" s="16"/>
      <c r="M2002" s="27" t="n">
        <f aca="false">J2002+(K2002/20)+(L2002/240)</f>
        <v>1</v>
      </c>
      <c r="N2002" s="17" t="s">
        <v>66</v>
      </c>
      <c r="O2002" s="11"/>
      <c r="P2002" s="28"/>
      <c r="Q2002" s="28" t="n">
        <f aca="false">P2002*$M2002</f>
        <v>0</v>
      </c>
      <c r="R2002" s="28"/>
      <c r="S2002" s="28" t="n">
        <f aca="false">R2002*$M2002</f>
        <v>0</v>
      </c>
      <c r="T2002" s="28"/>
      <c r="U2002" s="28" t="n">
        <f aca="false">T2002*$M2002</f>
        <v>0</v>
      </c>
      <c r="V2002" s="28" t="n">
        <v>1705</v>
      </c>
      <c r="W2002" s="28" t="n">
        <v>1705</v>
      </c>
      <c r="X2002" s="28"/>
      <c r="Y2002" s="28" t="n">
        <f aca="false">X2002*$M2002</f>
        <v>0</v>
      </c>
      <c r="Z2002" s="28"/>
      <c r="AA2002" s="28" t="n">
        <f aca="false">Z2002*$M2002</f>
        <v>0</v>
      </c>
      <c r="AB2002" s="28" t="n">
        <v>226</v>
      </c>
      <c r="AC2002" s="28" t="n">
        <v>226</v>
      </c>
      <c r="AD2002" s="28"/>
      <c r="AE2002" s="28" t="n">
        <f aca="false">AD2002*$M2002</f>
        <v>0</v>
      </c>
      <c r="AF2002" s="28"/>
      <c r="AG2002" s="28" t="n">
        <f aca="false">AF2002*$M2002</f>
        <v>0</v>
      </c>
      <c r="AH2002" s="28"/>
      <c r="AI2002" s="28" t="n">
        <f aca="false">AH2002*$M2002</f>
        <v>0</v>
      </c>
      <c r="AJ2002" s="28"/>
      <c r="AK2002" s="28" t="n">
        <f aca="false">AJ2002*$M2002</f>
        <v>0</v>
      </c>
      <c r="AL2002" s="28"/>
      <c r="AM2002" s="28" t="n">
        <f aca="false">AL2002*$M2002</f>
        <v>0</v>
      </c>
      <c r="AN2002" s="28"/>
      <c r="AO2002" s="28" t="n">
        <f aca="false">AN2002*$M2002</f>
        <v>0</v>
      </c>
      <c r="AP2002" s="28"/>
      <c r="AQ2002" s="28" t="n">
        <f aca="false">AP2002*$M2002</f>
        <v>0</v>
      </c>
      <c r="AR2002" s="28"/>
      <c r="AS2002" s="28" t="n">
        <f aca="false">AR2002*$M2002</f>
        <v>0</v>
      </c>
      <c r="AT2002" s="28"/>
      <c r="AU2002" s="28" t="n">
        <f aca="false">AT2002*$M2002</f>
        <v>0</v>
      </c>
      <c r="AV2002" s="28"/>
      <c r="AW2002" s="28" t="n">
        <f aca="false">AV2002*$M2002</f>
        <v>0</v>
      </c>
      <c r="AX2002" s="28"/>
      <c r="AY2002" s="28" t="n">
        <f aca="false">AX2002*$M2002</f>
        <v>0</v>
      </c>
      <c r="AZ2002" s="30" t="n">
        <v>1931</v>
      </c>
      <c r="BA2002" s="11" t="n">
        <v>1931</v>
      </c>
      <c r="BB2002" s="31" t="n">
        <f aca="false">SUM(Q2002,S2002,U2002,W2002,Y2002,AA2002,AC2002,AE2002,AG2002,AI2002,AK2002,AM2002,AO2002,AQ2002,AS2002,AU2002,AW2002,AY2002)</f>
        <v>1931</v>
      </c>
      <c r="BC2002" s="28" t="n">
        <f aca="false">BA2002-BB2002</f>
        <v>0</v>
      </c>
      <c r="BD2002" s="32" t="n">
        <f aca="false">SUM(P2002,R2002,T2002,V2002,X2002,Z2002,AB2002,AD2002,AF2002,AH2002,AJ2002,AL2002,AN2002,AP2002,AR2002,AT2002,AV2002,AX2002)</f>
        <v>1931</v>
      </c>
      <c r="BE2002" s="33" t="n">
        <f aca="false">AZ2002-BD2002</f>
        <v>0</v>
      </c>
      <c r="BF2002" s="34" t="n">
        <f aca="false">BD2002*M2002</f>
        <v>1931</v>
      </c>
      <c r="BG2002" s="35" t="n">
        <f aca="false">BA2002-BF2002</f>
        <v>0</v>
      </c>
      <c r="BH2002" s="19" t="str">
        <f aca="false">IF(BG2002=0,"",IF(BG2002&lt;&gt;BA2002,"erreur de calcul",IF(BD2002&lt;&gt;0,"pas de prix",IF(M2002&lt;&gt; 0,"pas de quantité","pas de prix, ni de quantité"))))</f>
        <v/>
      </c>
      <c r="BI2002" s="19"/>
    </row>
    <row r="2003" customFormat="false" ht="15" hidden="false" customHeight="false" outlineLevel="0" collapsed="false">
      <c r="A2003" s="0" t="n">
        <v>38</v>
      </c>
      <c r="B2003" s="8" t="s">
        <v>24</v>
      </c>
      <c r="C2003" s="9" t="s">
        <v>25</v>
      </c>
      <c r="D2003" s="9" t="s">
        <v>26</v>
      </c>
      <c r="E2003" s="10" t="n">
        <v>1789</v>
      </c>
      <c r="F2003" s="9" t="s">
        <v>27</v>
      </c>
      <c r="G2003" s="9" t="s">
        <v>27</v>
      </c>
      <c r="H2003" s="11" t="n">
        <v>24</v>
      </c>
      <c r="I2003" s="11" t="s">
        <v>328</v>
      </c>
      <c r="J2003" s="14" t="n">
        <v>208</v>
      </c>
      <c r="K2003" s="14"/>
      <c r="L2003" s="16"/>
      <c r="M2003" s="27" t="n">
        <f aca="false">J2003+(K2003/20)+(L2003/240)</f>
        <v>208</v>
      </c>
      <c r="N2003" s="17" t="s">
        <v>64</v>
      </c>
      <c r="O2003" s="11" t="s">
        <v>277</v>
      </c>
      <c r="P2003" s="28"/>
      <c r="Q2003" s="28" t="n">
        <f aca="false">P2003*$M2003</f>
        <v>0</v>
      </c>
      <c r="R2003" s="28"/>
      <c r="S2003" s="28" t="n">
        <f aca="false">R2003*$M2003</f>
        <v>0</v>
      </c>
      <c r="T2003" s="28" t="n">
        <f aca="false">536/100</f>
        <v>5.36</v>
      </c>
      <c r="U2003" s="28" t="n">
        <v>1115</v>
      </c>
      <c r="V2003" s="28" t="n">
        <f aca="false">1983/100</f>
        <v>19.83</v>
      </c>
      <c r="W2003" s="28" t="n">
        <v>4125</v>
      </c>
      <c r="X2003" s="28" t="n">
        <f aca="false">37641/100</f>
        <v>376.41</v>
      </c>
      <c r="Y2003" s="28" t="n">
        <v>78293</v>
      </c>
      <c r="Z2003" s="28" t="n">
        <f aca="false">1281/100</f>
        <v>12.81</v>
      </c>
      <c r="AA2003" s="28" t="n">
        <v>2664</v>
      </c>
      <c r="AB2003" s="28"/>
      <c r="AC2003" s="28" t="n">
        <f aca="false">AB2003*$M2003</f>
        <v>0</v>
      </c>
      <c r="AD2003" s="28"/>
      <c r="AE2003" s="28" t="n">
        <f aca="false">AD2003*$M2003</f>
        <v>0</v>
      </c>
      <c r="AF2003" s="28"/>
      <c r="AG2003" s="28" t="n">
        <f aca="false">AF2003*$M2003</f>
        <v>0</v>
      </c>
      <c r="AH2003" s="28"/>
      <c r="AI2003" s="28" t="n">
        <f aca="false">AH2003*$M2003</f>
        <v>0</v>
      </c>
      <c r="AJ2003" s="28" t="n">
        <f aca="false">20789/100</f>
        <v>207.89</v>
      </c>
      <c r="AK2003" s="28" t="n">
        <v>43241</v>
      </c>
      <c r="AL2003" s="28" t="n">
        <f aca="false">2470/100</f>
        <v>24.7</v>
      </c>
      <c r="AM2003" s="28" t="n">
        <v>5138</v>
      </c>
      <c r="AN2003" s="28"/>
      <c r="AO2003" s="28" t="n">
        <f aca="false">AN2003*$M2003</f>
        <v>0</v>
      </c>
      <c r="AP2003" s="28"/>
      <c r="AQ2003" s="28" t="n">
        <f aca="false">AP2003*$M2003</f>
        <v>0</v>
      </c>
      <c r="AR2003" s="28"/>
      <c r="AS2003" s="28" t="n">
        <f aca="false">AR2003*$M2003</f>
        <v>0</v>
      </c>
      <c r="AT2003" s="28"/>
      <c r="AU2003" s="28" t="n">
        <f aca="false">AT2003*$M2003</f>
        <v>0</v>
      </c>
      <c r="AV2003" s="28"/>
      <c r="AW2003" s="28" t="n">
        <f aca="false">AV2003*$M2003</f>
        <v>0</v>
      </c>
      <c r="AX2003" s="28"/>
      <c r="AY2003" s="28" t="n">
        <f aca="false">AX2003*$M2003</f>
        <v>0</v>
      </c>
      <c r="AZ2003" s="30" t="n">
        <f aca="false">64700/100</f>
        <v>647</v>
      </c>
      <c r="BA2003" s="11" t="n">
        <v>134576</v>
      </c>
      <c r="BB2003" s="31" t="n">
        <f aca="false">SUM(Q2003,S2003,U2003,W2003,Y2003,AA2003,AC2003,AE2003,AG2003,AI2003,AK2003,AM2003,AO2003,AQ2003,AS2003,AU2003,AW2003,AY2003)</f>
        <v>134576</v>
      </c>
      <c r="BC2003" s="28" t="n">
        <f aca="false">BA2003-BB2003</f>
        <v>0</v>
      </c>
      <c r="BD2003" s="32" t="n">
        <f aca="false">SUM(P2003,R2003,T2003,V2003,X2003,Z2003,AB2003,AD2003,AF2003,AH2003,AJ2003,AL2003,AN2003,AP2003,AR2003,AT2003,AV2003,AX2003)</f>
        <v>647</v>
      </c>
      <c r="BE2003" s="33" t="n">
        <f aca="false">AZ2003-BD2003</f>
        <v>0</v>
      </c>
      <c r="BF2003" s="34" t="n">
        <f aca="false">BD2003*M2003</f>
        <v>134576</v>
      </c>
      <c r="BG2003" s="35" t="n">
        <f aca="false">BA2003-BF2003</f>
        <v>0</v>
      </c>
      <c r="BH2003" s="19" t="str">
        <f aca="false">IF(BG2003=0,"",IF(BG2003&lt;&gt;BA2003,"erreur de calcul",IF(BD2003&lt;&gt;0,"pas de prix",IF(M2003&lt;&gt; 0,"pas de quantité","pas de prix, ni de quantité"))))</f>
        <v/>
      </c>
      <c r="BI2003" s="19"/>
    </row>
    <row r="2004" customFormat="false" ht="15" hidden="false" customHeight="false" outlineLevel="0" collapsed="false">
      <c r="A2004" s="0" t="n">
        <v>1</v>
      </c>
      <c r="B2004" s="8" t="s">
        <v>24</v>
      </c>
      <c r="C2004" s="9" t="s">
        <v>25</v>
      </c>
      <c r="D2004" s="9" t="s">
        <v>26</v>
      </c>
      <c r="E2004" s="10" t="n">
        <v>1789</v>
      </c>
      <c r="F2004" s="9" t="s">
        <v>27</v>
      </c>
      <c r="G2004" s="9" t="s">
        <v>27</v>
      </c>
      <c r="H2004" s="11" t="n">
        <v>25</v>
      </c>
      <c r="I2004" s="11" t="s">
        <v>329</v>
      </c>
      <c r="J2004" s="14" t="n">
        <v>30</v>
      </c>
      <c r="K2004" s="14"/>
      <c r="L2004" s="16"/>
      <c r="M2004" s="27" t="n">
        <f aca="false">J2004+(K2004/20)+(L2004/240)</f>
        <v>30</v>
      </c>
      <c r="N2004" s="17" t="s">
        <v>64</v>
      </c>
      <c r="O2004" s="11"/>
      <c r="P2004" s="28" t="n">
        <f aca="false">888/100</f>
        <v>8.88</v>
      </c>
      <c r="Q2004" s="28" t="n">
        <v>266</v>
      </c>
      <c r="R2004" s="28"/>
      <c r="S2004" s="28" t="n">
        <f aca="false">R2004*$M2004</f>
        <v>0</v>
      </c>
      <c r="T2004" s="28" t="n">
        <f aca="false">1151/100</f>
        <v>11.51</v>
      </c>
      <c r="U2004" s="28" t="n">
        <v>345</v>
      </c>
      <c r="V2004" s="28"/>
      <c r="W2004" s="28" t="n">
        <f aca="false">V2004*$M2004</f>
        <v>0</v>
      </c>
      <c r="X2004" s="28"/>
      <c r="Y2004" s="28" t="n">
        <f aca="false">X2004*$M2004</f>
        <v>0</v>
      </c>
      <c r="Z2004" s="28"/>
      <c r="AA2004" s="28" t="n">
        <f aca="false">Z2004*$M2004</f>
        <v>0</v>
      </c>
      <c r="AB2004" s="28"/>
      <c r="AC2004" s="28" t="n">
        <f aca="false">AB2004*$M2004</f>
        <v>0</v>
      </c>
      <c r="AD2004" s="28"/>
      <c r="AE2004" s="28" t="n">
        <f aca="false">AD2004*$M2004</f>
        <v>0</v>
      </c>
      <c r="AF2004" s="28"/>
      <c r="AG2004" s="28" t="n">
        <f aca="false">AF2004*$M2004</f>
        <v>0</v>
      </c>
      <c r="AH2004" s="28"/>
      <c r="AI2004" s="28" t="n">
        <f aca="false">AH2004*$M2004</f>
        <v>0</v>
      </c>
      <c r="AJ2004" s="28"/>
      <c r="AK2004" s="28" t="n">
        <f aca="false">AJ2004*$M2004</f>
        <v>0</v>
      </c>
      <c r="AL2004" s="28"/>
      <c r="AM2004" s="28" t="n">
        <f aca="false">AL2004*$M2004</f>
        <v>0</v>
      </c>
      <c r="AN2004" s="28"/>
      <c r="AO2004" s="28" t="n">
        <f aca="false">AN2004*$M2004</f>
        <v>0</v>
      </c>
      <c r="AP2004" s="28"/>
      <c r="AQ2004" s="28" t="n">
        <f aca="false">AP2004*$M2004</f>
        <v>0</v>
      </c>
      <c r="AR2004" s="28"/>
      <c r="AS2004" s="28" t="n">
        <f aca="false">AR2004*$M2004</f>
        <v>0</v>
      </c>
      <c r="AT2004" s="28"/>
      <c r="AU2004" s="28" t="n">
        <f aca="false">AT2004*$M2004</f>
        <v>0</v>
      </c>
      <c r="AV2004" s="28"/>
      <c r="AW2004" s="28" t="n">
        <f aca="false">AV2004*$M2004</f>
        <v>0</v>
      </c>
      <c r="AX2004" s="28"/>
      <c r="AY2004" s="28" t="n">
        <f aca="false">AX2004*$M2004</f>
        <v>0</v>
      </c>
      <c r="AZ2004" s="30" t="n">
        <f aca="false">2039/100</f>
        <v>20.39</v>
      </c>
      <c r="BA2004" s="11" t="n">
        <v>611</v>
      </c>
      <c r="BB2004" s="31" t="n">
        <f aca="false">SUM(Q2004,S2004,U2004,W2004,Y2004,AA2004,AC2004,AE2004,AG2004,AI2004,AK2004,AM2004,AO2004,AQ2004,AS2004,AU2004,AW2004,AY2004)</f>
        <v>611</v>
      </c>
      <c r="BC2004" s="28" t="n">
        <f aca="false">BA2004-BB2004</f>
        <v>0</v>
      </c>
      <c r="BD2004" s="32" t="n">
        <f aca="false">SUM(P2004,R2004,T2004,V2004,X2004,Z2004,AB2004,AD2004,AF2004,AH2004,AJ2004,AL2004,AN2004,AP2004,AR2004,AT2004,AV2004,AX2004)</f>
        <v>20.39</v>
      </c>
      <c r="BE2004" s="33" t="n">
        <f aca="false">AZ2004-BD2004</f>
        <v>0</v>
      </c>
      <c r="BF2004" s="34" t="n">
        <f aca="false">BD2004*M2004</f>
        <v>611.7</v>
      </c>
      <c r="BG2004" s="35" t="n">
        <f aca="false">BA2004-BF2004</f>
        <v>-0.700000000000046</v>
      </c>
      <c r="BH2004" s="19" t="str">
        <f aca="false">IF(BG2004=0,"",IF(BG2004&lt;&gt;BA2004,"erreur de calcul",IF(BD2004&lt;&gt;0,"pas de prix",IF(M2004&lt;&gt; 0,"pas de quantité","pas de prix, ni de quantité"))))</f>
        <v>erreur de calcul</v>
      </c>
      <c r="BI2004" s="19"/>
    </row>
    <row r="2005" customFormat="false" ht="15" hidden="false" customHeight="false" outlineLevel="0" collapsed="false">
      <c r="A2005" s="0" t="n">
        <v>2</v>
      </c>
      <c r="B2005" s="8" t="s">
        <v>24</v>
      </c>
      <c r="C2005" s="9" t="s">
        <v>25</v>
      </c>
      <c r="D2005" s="9" t="s">
        <v>26</v>
      </c>
      <c r="E2005" s="10" t="n">
        <v>1789</v>
      </c>
      <c r="F2005" s="9" t="s">
        <v>27</v>
      </c>
      <c r="G2005" s="9" t="s">
        <v>27</v>
      </c>
      <c r="H2005" s="11" t="n">
        <v>25</v>
      </c>
      <c r="I2005" s="11" t="s">
        <v>330</v>
      </c>
      <c r="J2005" s="14"/>
      <c r="K2005" s="14" t="n">
        <v>20</v>
      </c>
      <c r="L2005" s="16"/>
      <c r="M2005" s="27" t="n">
        <f aca="false">J2005+(K2005/20)+(L2005/240)</f>
        <v>1</v>
      </c>
      <c r="N2005" s="17" t="s">
        <v>66</v>
      </c>
      <c r="O2005" s="11"/>
      <c r="P2005" s="28"/>
      <c r="Q2005" s="28" t="n">
        <f aca="false">P2005*$M2005</f>
        <v>0</v>
      </c>
      <c r="R2005" s="28"/>
      <c r="S2005" s="28" t="n">
        <f aca="false">R2005*$M2005</f>
        <v>0</v>
      </c>
      <c r="T2005" s="28"/>
      <c r="U2005" s="28" t="n">
        <f aca="false">T2005*$M2005</f>
        <v>0</v>
      </c>
      <c r="V2005" s="28"/>
      <c r="W2005" s="28" t="n">
        <f aca="false">V2005*$M2005</f>
        <v>0</v>
      </c>
      <c r="X2005" s="28"/>
      <c r="Y2005" s="28" t="n">
        <f aca="false">X2005*$M2005</f>
        <v>0</v>
      </c>
      <c r="Z2005" s="28"/>
      <c r="AA2005" s="28" t="n">
        <f aca="false">Z2005*$M2005</f>
        <v>0</v>
      </c>
      <c r="AB2005" s="28"/>
      <c r="AC2005" s="28" t="n">
        <f aca="false">AB2005*$M2005</f>
        <v>0</v>
      </c>
      <c r="AD2005" s="28"/>
      <c r="AE2005" s="28" t="n">
        <f aca="false">AD2005*$M2005</f>
        <v>0</v>
      </c>
      <c r="AF2005" s="28"/>
      <c r="AG2005" s="28" t="n">
        <f aca="false">AF2005*$M2005</f>
        <v>0</v>
      </c>
      <c r="AH2005" s="28"/>
      <c r="AI2005" s="28" t="n">
        <f aca="false">AH2005*$M2005</f>
        <v>0</v>
      </c>
      <c r="AJ2005" s="28" t="n">
        <v>4241</v>
      </c>
      <c r="AK2005" s="28" t="n">
        <v>4241</v>
      </c>
      <c r="AL2005" s="28"/>
      <c r="AM2005" s="28" t="n">
        <f aca="false">AL2005*$M2005</f>
        <v>0</v>
      </c>
      <c r="AN2005" s="28"/>
      <c r="AO2005" s="28" t="n">
        <f aca="false">AN2005*$M2005</f>
        <v>0</v>
      </c>
      <c r="AP2005" s="28"/>
      <c r="AQ2005" s="28" t="n">
        <f aca="false">AP2005*$M2005</f>
        <v>0</v>
      </c>
      <c r="AR2005" s="28"/>
      <c r="AS2005" s="28" t="n">
        <f aca="false">AR2005*$M2005</f>
        <v>0</v>
      </c>
      <c r="AT2005" s="28"/>
      <c r="AU2005" s="28" t="n">
        <f aca="false">AT2005*$M2005</f>
        <v>0</v>
      </c>
      <c r="AV2005" s="28"/>
      <c r="AW2005" s="28" t="n">
        <f aca="false">AV2005*$M2005</f>
        <v>0</v>
      </c>
      <c r="AX2005" s="28"/>
      <c r="AY2005" s="28" t="n">
        <f aca="false">AX2005*$M2005</f>
        <v>0</v>
      </c>
      <c r="AZ2005" s="30" t="n">
        <v>4241</v>
      </c>
      <c r="BA2005" s="11" t="n">
        <v>4241</v>
      </c>
      <c r="BB2005" s="31" t="n">
        <f aca="false">SUM(Q2005,S2005,U2005,W2005,Y2005,AA2005,AC2005,AE2005,AG2005,AI2005,AK2005,AM2005,AO2005,AQ2005,AS2005,AU2005,AW2005,AY2005)</f>
        <v>4241</v>
      </c>
      <c r="BC2005" s="28" t="n">
        <f aca="false">BA2005-BB2005</f>
        <v>0</v>
      </c>
      <c r="BD2005" s="32" t="n">
        <f aca="false">SUM(P2005,R2005,T2005,V2005,X2005,Z2005,AB2005,AD2005,AF2005,AH2005,AJ2005,AL2005,AN2005,AP2005,AR2005,AT2005,AV2005,AX2005)</f>
        <v>4241</v>
      </c>
      <c r="BE2005" s="33" t="n">
        <f aca="false">AZ2005-BD2005</f>
        <v>0</v>
      </c>
      <c r="BF2005" s="34" t="n">
        <f aca="false">BD2005*M2005</f>
        <v>4241</v>
      </c>
      <c r="BG2005" s="35" t="n">
        <f aca="false">BA2005-BF2005</f>
        <v>0</v>
      </c>
      <c r="BH2005" s="19" t="str">
        <f aca="false">IF(BG2005=0,"",IF(BG2005&lt;&gt;BA2005,"erreur de calcul",IF(BD2005&lt;&gt;0,"pas de prix",IF(M2005&lt;&gt; 0,"pas de quantité","pas de prix, ni de quantité"))))</f>
        <v/>
      </c>
      <c r="BI2005" s="19"/>
    </row>
    <row r="2006" customFormat="false" ht="15" hidden="false" customHeight="false" outlineLevel="0" collapsed="false">
      <c r="A2006" s="0" t="n">
        <v>3</v>
      </c>
      <c r="B2006" s="8" t="s">
        <v>24</v>
      </c>
      <c r="C2006" s="9" t="s">
        <v>25</v>
      </c>
      <c r="D2006" s="9" t="s">
        <v>26</v>
      </c>
      <c r="E2006" s="10" t="n">
        <v>1789</v>
      </c>
      <c r="F2006" s="9" t="s">
        <v>27</v>
      </c>
      <c r="G2006" s="9" t="s">
        <v>27</v>
      </c>
      <c r="H2006" s="11" t="n">
        <v>25</v>
      </c>
      <c r="I2006" s="11" t="s">
        <v>331</v>
      </c>
      <c r="J2006" s="14" t="n">
        <v>18</v>
      </c>
      <c r="K2006" s="14"/>
      <c r="L2006" s="16"/>
      <c r="M2006" s="27" t="n">
        <f aca="false">J2006+(K2006/20)+(L2006/240)</f>
        <v>18</v>
      </c>
      <c r="N2006" s="17" t="s">
        <v>66</v>
      </c>
      <c r="O2006" s="11" t="s">
        <v>98</v>
      </c>
      <c r="P2006" s="28"/>
      <c r="Q2006" s="28" t="n">
        <f aca="false">P2006*$M2006</f>
        <v>0</v>
      </c>
      <c r="R2006" s="28"/>
      <c r="S2006" s="28" t="n">
        <f aca="false">R2006*$M2006</f>
        <v>0</v>
      </c>
      <c r="T2006" s="28"/>
      <c r="U2006" s="28" t="n">
        <f aca="false">T2006*$M2006</f>
        <v>0</v>
      </c>
      <c r="V2006" s="28"/>
      <c r="W2006" s="28" t="n">
        <f aca="false">V2006*$M2006</f>
        <v>0</v>
      </c>
      <c r="X2006" s="28"/>
      <c r="Y2006" s="28" t="n">
        <f aca="false">X2006*$M2006</f>
        <v>0</v>
      </c>
      <c r="Z2006" s="28"/>
      <c r="AA2006" s="28" t="n">
        <f aca="false">Z2006*$M2006</f>
        <v>0</v>
      </c>
      <c r="AB2006" s="28"/>
      <c r="AC2006" s="28" t="n">
        <f aca="false">AB2006*$M2006</f>
        <v>0</v>
      </c>
      <c r="AD2006" s="28"/>
      <c r="AE2006" s="28" t="n">
        <f aca="false">AD2006*$M2006</f>
        <v>0</v>
      </c>
      <c r="AF2006" s="28"/>
      <c r="AG2006" s="28" t="n">
        <f aca="false">AF2006*$M2006</f>
        <v>0</v>
      </c>
      <c r="AH2006" s="28"/>
      <c r="AI2006" s="28" t="n">
        <f aca="false">AH2006*$M2006</f>
        <v>0</v>
      </c>
      <c r="AJ2006" s="28"/>
      <c r="AK2006" s="28" t="n">
        <f aca="false">AJ2006*$M2006</f>
        <v>0</v>
      </c>
      <c r="AL2006" s="28"/>
      <c r="AM2006" s="28" t="n">
        <f aca="false">AL2006*$M2006</f>
        <v>0</v>
      </c>
      <c r="AN2006" s="28"/>
      <c r="AO2006" s="28" t="n">
        <f aca="false">AN2006*$M2006</f>
        <v>0</v>
      </c>
      <c r="AP2006" s="28"/>
      <c r="AQ2006" s="28" t="n">
        <f aca="false">AP2006*$M2006</f>
        <v>0</v>
      </c>
      <c r="AR2006" s="28"/>
      <c r="AS2006" s="28" t="n">
        <f aca="false">AR2006*$M2006</f>
        <v>0</v>
      </c>
      <c r="AT2006" s="28"/>
      <c r="AU2006" s="28" t="n">
        <f aca="false">AT2006*$M2006</f>
        <v>0</v>
      </c>
      <c r="AV2006" s="28"/>
      <c r="AW2006" s="28" t="n">
        <f aca="false">AV2006*$M2006</f>
        <v>0</v>
      </c>
      <c r="AX2006" s="28"/>
      <c r="AY2006" s="28" t="n">
        <f aca="false">AX2006*$M2006</f>
        <v>0</v>
      </c>
      <c r="AZ2006" s="30"/>
      <c r="BA2006" s="11"/>
      <c r="BB2006" s="31" t="n">
        <f aca="false">SUM(Q2006,S2006,U2006,W2006,Y2006,AA2006,AC2006,AE2006,AG2006,AI2006,AK2006,AM2006,AO2006,AQ2006,AS2006,AU2006,AW2006,AY2006)</f>
        <v>0</v>
      </c>
      <c r="BC2006" s="28" t="n">
        <f aca="false">BA2006-BB2006</f>
        <v>0</v>
      </c>
      <c r="BD2006" s="32" t="n">
        <f aca="false">SUM(P2006,R2006,T2006,V2006,X2006,Z2006,AB2006,AD2006,AF2006,AH2006,AJ2006,AL2006,AN2006,AP2006,AR2006,AT2006,AV2006,AX2006)</f>
        <v>0</v>
      </c>
      <c r="BE2006" s="33" t="n">
        <f aca="false">AZ2006-BD2006</f>
        <v>0</v>
      </c>
      <c r="BF2006" s="34" t="n">
        <f aca="false">BD2006*M2006</f>
        <v>0</v>
      </c>
      <c r="BG2006" s="35" t="n">
        <f aca="false">BA2006-BF2006</f>
        <v>0</v>
      </c>
      <c r="BH2006" s="19" t="str">
        <f aca="false">IF(BG2006=0,"",IF(BG2006&lt;&gt;BA2006,"erreur de calcul",IF(BD2006&lt;&gt;0,"pas de prix",IF(M2006&lt;&gt; 0,"pas de quantité","pas de prix, ni de quantité"))))</f>
        <v/>
      </c>
      <c r="BI2006" s="19"/>
    </row>
    <row r="2007" customFormat="false" ht="15" hidden="false" customHeight="false" outlineLevel="0" collapsed="false">
      <c r="A2007" s="0" t="n">
        <v>4</v>
      </c>
      <c r="B2007" s="8" t="s">
        <v>24</v>
      </c>
      <c r="C2007" s="9" t="s">
        <v>25</v>
      </c>
      <c r="D2007" s="9" t="s">
        <v>26</v>
      </c>
      <c r="E2007" s="10" t="n">
        <v>1789</v>
      </c>
      <c r="F2007" s="9" t="s">
        <v>27</v>
      </c>
      <c r="G2007" s="9" t="s">
        <v>27</v>
      </c>
      <c r="H2007" s="11" t="n">
        <v>25</v>
      </c>
      <c r="I2007" s="11" t="s">
        <v>332</v>
      </c>
      <c r="J2007" s="14" t="n">
        <v>18</v>
      </c>
      <c r="K2007" s="14"/>
      <c r="L2007" s="16"/>
      <c r="M2007" s="27" t="n">
        <f aca="false">J2007+(K2007/20)+(L2007/240)</f>
        <v>18</v>
      </c>
      <c r="N2007" s="17" t="s">
        <v>66</v>
      </c>
      <c r="O2007" s="11" t="s">
        <v>98</v>
      </c>
      <c r="P2007" s="28"/>
      <c r="Q2007" s="28" t="n">
        <f aca="false">P2007*$M2007</f>
        <v>0</v>
      </c>
      <c r="R2007" s="28"/>
      <c r="S2007" s="28" t="n">
        <f aca="false">R2007*$M2007</f>
        <v>0</v>
      </c>
      <c r="T2007" s="28"/>
      <c r="U2007" s="28" t="n">
        <f aca="false">T2007*$M2007</f>
        <v>0</v>
      </c>
      <c r="V2007" s="28"/>
      <c r="W2007" s="28" t="n">
        <f aca="false">V2007*$M2007</f>
        <v>0</v>
      </c>
      <c r="X2007" s="28"/>
      <c r="Y2007" s="28" t="n">
        <f aca="false">X2007*$M2007</f>
        <v>0</v>
      </c>
      <c r="Z2007" s="28"/>
      <c r="AA2007" s="28" t="n">
        <f aca="false">Z2007*$M2007</f>
        <v>0</v>
      </c>
      <c r="AB2007" s="28"/>
      <c r="AC2007" s="28" t="n">
        <f aca="false">AB2007*$M2007</f>
        <v>0</v>
      </c>
      <c r="AD2007" s="28"/>
      <c r="AE2007" s="28" t="n">
        <f aca="false">AD2007*$M2007</f>
        <v>0</v>
      </c>
      <c r="AF2007" s="28"/>
      <c r="AG2007" s="28" t="n">
        <f aca="false">AF2007*$M2007</f>
        <v>0</v>
      </c>
      <c r="AH2007" s="28"/>
      <c r="AI2007" s="28" t="n">
        <f aca="false">AH2007*$M2007</f>
        <v>0</v>
      </c>
      <c r="AJ2007" s="28"/>
      <c r="AK2007" s="28" t="n">
        <f aca="false">AJ2007*$M2007</f>
        <v>0</v>
      </c>
      <c r="AL2007" s="28"/>
      <c r="AM2007" s="28" t="n">
        <f aca="false">AL2007*$M2007</f>
        <v>0</v>
      </c>
      <c r="AN2007" s="28"/>
      <c r="AO2007" s="28" t="n">
        <f aca="false">AN2007*$M2007</f>
        <v>0</v>
      </c>
      <c r="AP2007" s="28"/>
      <c r="AQ2007" s="28" t="n">
        <f aca="false">AP2007*$M2007</f>
        <v>0</v>
      </c>
      <c r="AR2007" s="28"/>
      <c r="AS2007" s="28" t="n">
        <f aca="false">AR2007*$M2007</f>
        <v>0</v>
      </c>
      <c r="AT2007" s="28"/>
      <c r="AU2007" s="28" t="n">
        <f aca="false">AT2007*$M2007</f>
        <v>0</v>
      </c>
      <c r="AV2007" s="28"/>
      <c r="AW2007" s="28" t="n">
        <f aca="false">AV2007*$M2007</f>
        <v>0</v>
      </c>
      <c r="AX2007" s="28"/>
      <c r="AY2007" s="28" t="n">
        <f aca="false">AX2007*$M2007</f>
        <v>0</v>
      </c>
      <c r="AZ2007" s="30"/>
      <c r="BA2007" s="11"/>
      <c r="BB2007" s="31" t="n">
        <f aca="false">SUM(Q2007,S2007,U2007,W2007,Y2007,AA2007,AC2007,AE2007,AG2007,AI2007,AK2007,AM2007,AO2007,AQ2007,AS2007,AU2007,AW2007,AY2007)</f>
        <v>0</v>
      </c>
      <c r="BC2007" s="28" t="n">
        <f aca="false">BA2007-BB2007</f>
        <v>0</v>
      </c>
      <c r="BD2007" s="32" t="n">
        <f aca="false">SUM(P2007,R2007,T2007,V2007,X2007,Z2007,AB2007,AD2007,AF2007,AH2007,AJ2007,AL2007,AN2007,AP2007,AR2007,AT2007,AV2007,AX2007)</f>
        <v>0</v>
      </c>
      <c r="BE2007" s="33" t="n">
        <f aca="false">AZ2007-BD2007</f>
        <v>0</v>
      </c>
      <c r="BF2007" s="34" t="n">
        <f aca="false">BD2007*M2007</f>
        <v>0</v>
      </c>
      <c r="BG2007" s="35" t="n">
        <f aca="false">BA2007-BF2007</f>
        <v>0</v>
      </c>
      <c r="BH2007" s="19" t="str">
        <f aca="false">IF(BG2007=0,"",IF(BG2007&lt;&gt;BA2007,"erreur de calcul",IF(BD2007&lt;&gt;0,"pas de prix",IF(M2007&lt;&gt; 0,"pas de quantité","pas de prix, ni de quantité"))))</f>
        <v/>
      </c>
      <c r="BI2007" s="19"/>
    </row>
    <row r="2008" customFormat="false" ht="15" hidden="false" customHeight="false" outlineLevel="0" collapsed="false">
      <c r="A2008" s="0" t="n">
        <v>5</v>
      </c>
      <c r="B2008" s="8" t="s">
        <v>24</v>
      </c>
      <c r="C2008" s="9" t="s">
        <v>25</v>
      </c>
      <c r="D2008" s="9" t="s">
        <v>26</v>
      </c>
      <c r="E2008" s="10" t="n">
        <v>1789</v>
      </c>
      <c r="F2008" s="9" t="s">
        <v>27</v>
      </c>
      <c r="G2008" s="9" t="s">
        <v>27</v>
      </c>
      <c r="H2008" s="11" t="n">
        <v>25</v>
      </c>
      <c r="I2008" s="11" t="s">
        <v>333</v>
      </c>
      <c r="J2008" s="14" t="n">
        <v>44</v>
      </c>
      <c r="K2008" s="14"/>
      <c r="L2008" s="16"/>
      <c r="M2008" s="27" t="n">
        <f aca="false">J2008+(K2008/20)+(L2008/240)</f>
        <v>44</v>
      </c>
      <c r="N2008" s="17" t="s">
        <v>66</v>
      </c>
      <c r="O2008" s="11"/>
      <c r="P2008" s="28" t="n">
        <v>1391</v>
      </c>
      <c r="Q2008" s="28" t="n">
        <v>61204</v>
      </c>
      <c r="R2008" s="28"/>
      <c r="S2008" s="28" t="n">
        <f aca="false">R2008*$M2008</f>
        <v>0</v>
      </c>
      <c r="T2008" s="28"/>
      <c r="U2008" s="28" t="n">
        <f aca="false">T2008*$M2008</f>
        <v>0</v>
      </c>
      <c r="V2008" s="28"/>
      <c r="W2008" s="28" t="n">
        <f aca="false">V2008*$M2008</f>
        <v>0</v>
      </c>
      <c r="X2008" s="28"/>
      <c r="Y2008" s="28" t="n">
        <f aca="false">X2008*$M2008</f>
        <v>0</v>
      </c>
      <c r="Z2008" s="28"/>
      <c r="AA2008" s="28" t="n">
        <f aca="false">Z2008*$M2008</f>
        <v>0</v>
      </c>
      <c r="AB2008" s="28"/>
      <c r="AC2008" s="28" t="n">
        <f aca="false">AB2008*$M2008</f>
        <v>0</v>
      </c>
      <c r="AD2008" s="28"/>
      <c r="AE2008" s="28" t="n">
        <f aca="false">AD2008*$M2008</f>
        <v>0</v>
      </c>
      <c r="AF2008" s="28"/>
      <c r="AG2008" s="28" t="n">
        <f aca="false">AF2008*$M2008</f>
        <v>0</v>
      </c>
      <c r="AH2008" s="28"/>
      <c r="AI2008" s="28" t="n">
        <f aca="false">AH2008*$M2008</f>
        <v>0</v>
      </c>
      <c r="AJ2008" s="28"/>
      <c r="AK2008" s="28" t="n">
        <f aca="false">AJ2008*$M2008</f>
        <v>0</v>
      </c>
      <c r="AL2008" s="28"/>
      <c r="AM2008" s="28" t="n">
        <f aca="false">AL2008*$M2008</f>
        <v>0</v>
      </c>
      <c r="AN2008" s="28"/>
      <c r="AO2008" s="28" t="n">
        <f aca="false">AN2008*$M2008</f>
        <v>0</v>
      </c>
      <c r="AP2008" s="28"/>
      <c r="AQ2008" s="28" t="n">
        <f aca="false">AP2008*$M2008</f>
        <v>0</v>
      </c>
      <c r="AR2008" s="28"/>
      <c r="AS2008" s="28" t="n">
        <f aca="false">AR2008*$M2008</f>
        <v>0</v>
      </c>
      <c r="AT2008" s="28"/>
      <c r="AU2008" s="28" t="n">
        <f aca="false">AT2008*$M2008</f>
        <v>0</v>
      </c>
      <c r="AV2008" s="28"/>
      <c r="AW2008" s="28" t="n">
        <f aca="false">AV2008*$M2008</f>
        <v>0</v>
      </c>
      <c r="AX2008" s="28"/>
      <c r="AY2008" s="28" t="n">
        <f aca="false">AX2008*$M2008</f>
        <v>0</v>
      </c>
      <c r="AZ2008" s="30" t="n">
        <v>1391</v>
      </c>
      <c r="BA2008" s="11" t="n">
        <v>61204</v>
      </c>
      <c r="BB2008" s="31" t="n">
        <f aca="false">SUM(Q2008,S2008,U2008,W2008,Y2008,AA2008,AC2008,AE2008,AG2008,AI2008,AK2008,AM2008,AO2008,AQ2008,AS2008,AU2008,AW2008,AY2008)</f>
        <v>61204</v>
      </c>
      <c r="BC2008" s="28" t="n">
        <f aca="false">BA2008-BB2008</f>
        <v>0</v>
      </c>
      <c r="BD2008" s="32" t="n">
        <f aca="false">SUM(P2008,R2008,T2008,V2008,X2008,Z2008,AB2008,AD2008,AF2008,AH2008,AJ2008,AL2008,AN2008,AP2008,AR2008,AT2008,AV2008,AX2008)</f>
        <v>1391</v>
      </c>
      <c r="BE2008" s="33" t="n">
        <f aca="false">AZ2008-BD2008</f>
        <v>0</v>
      </c>
      <c r="BF2008" s="34" t="n">
        <f aca="false">BD2008*M2008</f>
        <v>61204</v>
      </c>
      <c r="BG2008" s="35" t="n">
        <f aca="false">BA2008-BF2008</f>
        <v>0</v>
      </c>
      <c r="BH2008" s="19" t="str">
        <f aca="false">IF(BG2008=0,"",IF(BG2008&lt;&gt;BA2008,"erreur de calcul",IF(BD2008&lt;&gt;0,"pas de prix",IF(M2008&lt;&gt; 0,"pas de quantité","pas de prix, ni de quantité"))))</f>
        <v/>
      </c>
      <c r="BI2008" s="19"/>
    </row>
    <row r="2009" customFormat="false" ht="15" hidden="false" customHeight="false" outlineLevel="0" collapsed="false">
      <c r="A2009" s="0" t="n">
        <v>6</v>
      </c>
      <c r="B2009" s="8" t="s">
        <v>24</v>
      </c>
      <c r="C2009" s="9" t="s">
        <v>25</v>
      </c>
      <c r="D2009" s="9" t="s">
        <v>26</v>
      </c>
      <c r="E2009" s="10" t="n">
        <v>1789</v>
      </c>
      <c r="F2009" s="9" t="s">
        <v>27</v>
      </c>
      <c r="G2009" s="9" t="s">
        <v>27</v>
      </c>
      <c r="H2009" s="11" t="n">
        <v>25</v>
      </c>
      <c r="I2009" s="11" t="s">
        <v>334</v>
      </c>
      <c r="J2009" s="14" t="n">
        <v>12</v>
      </c>
      <c r="K2009" s="14"/>
      <c r="L2009" s="16"/>
      <c r="M2009" s="27" t="n">
        <f aca="false">J2009+(K2009/20)+(L2009/240)</f>
        <v>12</v>
      </c>
      <c r="N2009" s="17" t="s">
        <v>64</v>
      </c>
      <c r="O2009" s="11"/>
      <c r="P2009" s="28"/>
      <c r="Q2009" s="28" t="n">
        <f aca="false">P2009*$M2009</f>
        <v>0</v>
      </c>
      <c r="R2009" s="28"/>
      <c r="S2009" s="28" t="n">
        <f aca="false">R2009*$M2009</f>
        <v>0</v>
      </c>
      <c r="T2009" s="28"/>
      <c r="U2009" s="28" t="n">
        <f aca="false">T2009*$M2009</f>
        <v>0</v>
      </c>
      <c r="V2009" s="28"/>
      <c r="W2009" s="28" t="n">
        <f aca="false">V2009*$M2009</f>
        <v>0</v>
      </c>
      <c r="X2009" s="28" t="n">
        <f aca="false">1111/100</f>
        <v>11.11</v>
      </c>
      <c r="Y2009" s="28" t="n">
        <v>133</v>
      </c>
      <c r="Z2009" s="28"/>
      <c r="AA2009" s="28" t="n">
        <f aca="false">Z2009*$M2009</f>
        <v>0</v>
      </c>
      <c r="AB2009" s="28"/>
      <c r="AC2009" s="28" t="n">
        <f aca="false">AB2009*$M2009</f>
        <v>0</v>
      </c>
      <c r="AD2009" s="28"/>
      <c r="AE2009" s="28" t="n">
        <f aca="false">AD2009*$M2009</f>
        <v>0</v>
      </c>
      <c r="AF2009" s="28"/>
      <c r="AG2009" s="28" t="n">
        <f aca="false">AF2009*$M2009</f>
        <v>0</v>
      </c>
      <c r="AH2009" s="28"/>
      <c r="AI2009" s="28" t="n">
        <f aca="false">AH2009*$M2009</f>
        <v>0</v>
      </c>
      <c r="AJ2009" s="28"/>
      <c r="AK2009" s="28" t="n">
        <f aca="false">AJ2009*$M2009</f>
        <v>0</v>
      </c>
      <c r="AL2009" s="28"/>
      <c r="AM2009" s="28" t="n">
        <f aca="false">AL2009*$M2009</f>
        <v>0</v>
      </c>
      <c r="AN2009" s="28"/>
      <c r="AO2009" s="28" t="n">
        <f aca="false">AN2009*$M2009</f>
        <v>0</v>
      </c>
      <c r="AP2009" s="28"/>
      <c r="AQ2009" s="28" t="n">
        <f aca="false">AP2009*$M2009</f>
        <v>0</v>
      </c>
      <c r="AR2009" s="28"/>
      <c r="AS2009" s="28" t="n">
        <f aca="false">AR2009*$M2009</f>
        <v>0</v>
      </c>
      <c r="AT2009" s="28"/>
      <c r="AU2009" s="28" t="n">
        <f aca="false">AT2009*$M2009</f>
        <v>0</v>
      </c>
      <c r="AV2009" s="28"/>
      <c r="AW2009" s="28" t="n">
        <f aca="false">AV2009*$M2009</f>
        <v>0</v>
      </c>
      <c r="AX2009" s="28"/>
      <c r="AY2009" s="28" t="n">
        <f aca="false">AX2009*$M2009</f>
        <v>0</v>
      </c>
      <c r="AZ2009" s="30" t="n">
        <f aca="false">1111/100</f>
        <v>11.11</v>
      </c>
      <c r="BA2009" s="11" t="n">
        <v>133</v>
      </c>
      <c r="BB2009" s="31" t="n">
        <f aca="false">SUM(Q2009,S2009,U2009,W2009,Y2009,AA2009,AC2009,AE2009,AG2009,AI2009,AK2009,AM2009,AO2009,AQ2009,AS2009,AU2009,AW2009,AY2009)</f>
        <v>133</v>
      </c>
      <c r="BC2009" s="28" t="n">
        <f aca="false">BA2009-BB2009</f>
        <v>0</v>
      </c>
      <c r="BD2009" s="32" t="n">
        <f aca="false">SUM(P2009,R2009,T2009,V2009,X2009,Z2009,AB2009,AD2009,AF2009,AH2009,AJ2009,AL2009,AN2009,AP2009,AR2009,AT2009,AV2009,AX2009)</f>
        <v>11.11</v>
      </c>
      <c r="BE2009" s="33" t="n">
        <f aca="false">AZ2009-BD2009</f>
        <v>0</v>
      </c>
      <c r="BF2009" s="34" t="n">
        <f aca="false">BD2009*M2009</f>
        <v>133.32</v>
      </c>
      <c r="BG2009" s="35" t="n">
        <f aca="false">BA2009-BF2009</f>
        <v>-0.319999999999993</v>
      </c>
      <c r="BH2009" s="19" t="str">
        <f aca="false">IF(BG2009=0,"",IF(BG2009&lt;&gt;BA2009,"erreur de calcul",IF(BD2009&lt;&gt;0,"pas de prix",IF(M2009&lt;&gt; 0,"pas de quantité","pas de prix, ni de quantité"))))</f>
        <v>erreur de calcul</v>
      </c>
      <c r="BI2009" s="19"/>
    </row>
    <row r="2010" customFormat="false" ht="16.65" hidden="false" customHeight="false" outlineLevel="0" collapsed="false">
      <c r="A2010" s="0" t="n">
        <v>7</v>
      </c>
      <c r="B2010" s="8" t="s">
        <v>24</v>
      </c>
      <c r="C2010" s="9" t="s">
        <v>25</v>
      </c>
      <c r="D2010" s="9" t="s">
        <v>26</v>
      </c>
      <c r="E2010" s="10" t="n">
        <v>1789</v>
      </c>
      <c r="F2010" s="9" t="s">
        <v>27</v>
      </c>
      <c r="G2010" s="9" t="s">
        <v>27</v>
      </c>
      <c r="H2010" s="11" t="n">
        <v>25</v>
      </c>
      <c r="I2010" s="11" t="s">
        <v>335</v>
      </c>
      <c r="J2010" s="14" t="n">
        <v>4</v>
      </c>
      <c r="K2010" s="14" t="n">
        <v>10</v>
      </c>
      <c r="L2010" s="16"/>
      <c r="M2010" s="27" t="n">
        <f aca="false">J2010+(K2010/20)+(L2010/240)</f>
        <v>4.5</v>
      </c>
      <c r="N2010" s="17" t="s">
        <v>64</v>
      </c>
      <c r="O2010" s="11" t="s">
        <v>77</v>
      </c>
      <c r="P2010" s="28" t="n">
        <f aca="false">8366/100</f>
        <v>83.66</v>
      </c>
      <c r="Q2010" s="28" t="n">
        <v>376</v>
      </c>
      <c r="R2010" s="28"/>
      <c r="S2010" s="28" t="n">
        <f aca="false">R2010*$M2010</f>
        <v>0</v>
      </c>
      <c r="T2010" s="28"/>
      <c r="U2010" s="28" t="n">
        <f aca="false">T2010*$M2010</f>
        <v>0</v>
      </c>
      <c r="V2010" s="28"/>
      <c r="W2010" s="28" t="n">
        <f aca="false">V2010*$M2010</f>
        <v>0</v>
      </c>
      <c r="X2010" s="28"/>
      <c r="Y2010" s="28" t="n">
        <f aca="false">X2010*$M2010</f>
        <v>0</v>
      </c>
      <c r="Z2010" s="28"/>
      <c r="AA2010" s="28" t="n">
        <f aca="false">Z2010*$M2010</f>
        <v>0</v>
      </c>
      <c r="AB2010" s="28"/>
      <c r="AC2010" s="28" t="n">
        <f aca="false">AB2010*$M2010</f>
        <v>0</v>
      </c>
      <c r="AD2010" s="28"/>
      <c r="AE2010" s="28" t="n">
        <f aca="false">AD2010*$M2010</f>
        <v>0</v>
      </c>
      <c r="AF2010" s="28"/>
      <c r="AG2010" s="28" t="n">
        <f aca="false">AF2010*$M2010</f>
        <v>0</v>
      </c>
      <c r="AH2010" s="28"/>
      <c r="AI2010" s="28" t="n">
        <f aca="false">AH2010*$M2010</f>
        <v>0</v>
      </c>
      <c r="AJ2010" s="28"/>
      <c r="AK2010" s="28" t="n">
        <f aca="false">AJ2010*$M2010</f>
        <v>0</v>
      </c>
      <c r="AL2010" s="28"/>
      <c r="AM2010" s="28" t="n">
        <f aca="false">AL2010*$M2010</f>
        <v>0</v>
      </c>
      <c r="AN2010" s="28"/>
      <c r="AO2010" s="28" t="n">
        <f aca="false">AN2010*$M2010</f>
        <v>0</v>
      </c>
      <c r="AP2010" s="28"/>
      <c r="AQ2010" s="28" t="n">
        <f aca="false">AP2010*$M2010</f>
        <v>0</v>
      </c>
      <c r="AR2010" s="28"/>
      <c r="AS2010" s="28" t="n">
        <f aca="false">AR2010*$M2010</f>
        <v>0</v>
      </c>
      <c r="AT2010" s="28"/>
      <c r="AU2010" s="28" t="n">
        <f aca="false">AT2010*$M2010</f>
        <v>0</v>
      </c>
      <c r="AV2010" s="28"/>
      <c r="AW2010" s="28" t="n">
        <f aca="false">AV2010*$M2010</f>
        <v>0</v>
      </c>
      <c r="AX2010" s="28"/>
      <c r="AY2010" s="28" t="n">
        <f aca="false">AX2010*$M2010</f>
        <v>0</v>
      </c>
      <c r="AZ2010" s="30" t="n">
        <f aca="false">8366/100</f>
        <v>83.66</v>
      </c>
      <c r="BA2010" s="11" t="n">
        <v>376</v>
      </c>
      <c r="BB2010" s="31" t="n">
        <f aca="false">SUM(Q2010,S2010,U2010,W2010,Y2010,AA2010,AC2010,AE2010,AG2010,AI2010,AK2010,AM2010,AO2010,AQ2010,AS2010,AU2010,AW2010,AY2010)</f>
        <v>376</v>
      </c>
      <c r="BC2010" s="28" t="n">
        <f aca="false">BA2010-BB2010</f>
        <v>0</v>
      </c>
      <c r="BD2010" s="32" t="n">
        <f aca="false">SUM(P2010,R2010,T2010,V2010,X2010,Z2010,AB2010,AD2010,AF2010,AH2010,AJ2010,AL2010,AN2010,AP2010,AR2010,AT2010,AV2010,AX2010)</f>
        <v>83.66</v>
      </c>
      <c r="BE2010" s="33" t="n">
        <f aca="false">AZ2010-BD2010</f>
        <v>0</v>
      </c>
      <c r="BF2010" s="34" t="n">
        <f aca="false">BD2010*M2010</f>
        <v>376.47</v>
      </c>
      <c r="BG2010" s="35" t="n">
        <f aca="false">BA2010-BF2010</f>
        <v>-0.46999999999997</v>
      </c>
      <c r="BH2010" s="19" t="str">
        <f aca="false">IF(BG2010=0,"",IF(BG2010&lt;&gt;BA2010,"erreur de calcul",IF(BD2010&lt;&gt;0,"pas de prix",IF(M2010&lt;&gt; 0,"pas de quantité","pas de prix, ni de quantité"))))</f>
        <v>erreur de calcul</v>
      </c>
      <c r="BI2010" s="19"/>
    </row>
    <row r="2011" customFormat="false" ht="15" hidden="false" customHeight="false" outlineLevel="0" collapsed="false">
      <c r="A2011" s="0" t="n">
        <v>8</v>
      </c>
      <c r="B2011" s="8" t="s">
        <v>24</v>
      </c>
      <c r="C2011" s="9" t="s">
        <v>25</v>
      </c>
      <c r="D2011" s="9" t="s">
        <v>26</v>
      </c>
      <c r="E2011" s="10" t="n">
        <v>1789</v>
      </c>
      <c r="F2011" s="9" t="s">
        <v>27</v>
      </c>
      <c r="G2011" s="9" t="s">
        <v>27</v>
      </c>
      <c r="H2011" s="11" t="n">
        <v>25</v>
      </c>
      <c r="I2011" s="11" t="s">
        <v>336</v>
      </c>
      <c r="J2011" s="14" t="n">
        <v>64</v>
      </c>
      <c r="K2011" s="14"/>
      <c r="L2011" s="16"/>
      <c r="M2011" s="27" t="n">
        <f aca="false">J2011+(K2011/20)+(L2011/240)</f>
        <v>64</v>
      </c>
      <c r="N2011" s="17" t="s">
        <v>337</v>
      </c>
      <c r="O2011" s="11"/>
      <c r="P2011" s="28"/>
      <c r="Q2011" s="28" t="n">
        <f aca="false">P2011*$M2011</f>
        <v>0</v>
      </c>
      <c r="R2011" s="28"/>
      <c r="S2011" s="28" t="n">
        <f aca="false">R2011*$M2011</f>
        <v>0</v>
      </c>
      <c r="T2011" s="28" t="n">
        <v>42</v>
      </c>
      <c r="U2011" s="28" t="n">
        <v>2688</v>
      </c>
      <c r="V2011" s="28"/>
      <c r="W2011" s="28" t="n">
        <f aca="false">V2011*$M2011</f>
        <v>0</v>
      </c>
      <c r="X2011" s="28"/>
      <c r="Y2011" s="28" t="n">
        <f aca="false">X2011*$M2011</f>
        <v>0</v>
      </c>
      <c r="Z2011" s="28"/>
      <c r="AA2011" s="28" t="n">
        <f aca="false">Z2011*$M2011</f>
        <v>0</v>
      </c>
      <c r="AB2011" s="28" t="n">
        <v>66</v>
      </c>
      <c r="AC2011" s="28" t="n">
        <v>4224</v>
      </c>
      <c r="AD2011" s="28"/>
      <c r="AE2011" s="28" t="n">
        <f aca="false">AD2011*$M2011</f>
        <v>0</v>
      </c>
      <c r="AF2011" s="28"/>
      <c r="AG2011" s="28" t="n">
        <f aca="false">AF2011*$M2011</f>
        <v>0</v>
      </c>
      <c r="AH2011" s="28"/>
      <c r="AI2011" s="28" t="n">
        <f aca="false">AH2011*$M2011</f>
        <v>0</v>
      </c>
      <c r="AJ2011" s="28"/>
      <c r="AK2011" s="28" t="n">
        <f aca="false">AJ2011*$M2011</f>
        <v>0</v>
      </c>
      <c r="AL2011" s="28"/>
      <c r="AM2011" s="28" t="n">
        <f aca="false">AL2011*$M2011</f>
        <v>0</v>
      </c>
      <c r="AN2011" s="28"/>
      <c r="AO2011" s="28" t="n">
        <f aca="false">AN2011*$M2011</f>
        <v>0</v>
      </c>
      <c r="AP2011" s="28"/>
      <c r="AQ2011" s="28" t="n">
        <f aca="false">AP2011*$M2011</f>
        <v>0</v>
      </c>
      <c r="AR2011" s="28"/>
      <c r="AS2011" s="28" t="n">
        <f aca="false">AR2011*$M2011</f>
        <v>0</v>
      </c>
      <c r="AT2011" s="28"/>
      <c r="AU2011" s="28" t="n">
        <f aca="false">AT2011*$M2011</f>
        <v>0</v>
      </c>
      <c r="AV2011" s="28"/>
      <c r="AW2011" s="28" t="n">
        <f aca="false">AV2011*$M2011</f>
        <v>0</v>
      </c>
      <c r="AX2011" s="28"/>
      <c r="AY2011" s="28" t="n">
        <f aca="false">AX2011*$M2011</f>
        <v>0</v>
      </c>
      <c r="AZ2011" s="30" t="n">
        <v>108</v>
      </c>
      <c r="BA2011" s="11" t="n">
        <v>6912</v>
      </c>
      <c r="BB2011" s="31" t="n">
        <f aca="false">SUM(Q2011,S2011,U2011,W2011,Y2011,AA2011,AC2011,AE2011,AG2011,AI2011,AK2011,AM2011,AO2011,AQ2011,AS2011,AU2011,AW2011,AY2011)</f>
        <v>6912</v>
      </c>
      <c r="BC2011" s="28" t="n">
        <f aca="false">BA2011-BB2011</f>
        <v>0</v>
      </c>
      <c r="BD2011" s="32" t="n">
        <f aca="false">SUM(P2011,R2011,T2011,V2011,X2011,Z2011,AB2011,AD2011,AF2011,AH2011,AJ2011,AL2011,AN2011,AP2011,AR2011,AT2011,AV2011,AX2011)</f>
        <v>108</v>
      </c>
      <c r="BE2011" s="33" t="n">
        <f aca="false">AZ2011-BD2011</f>
        <v>0</v>
      </c>
      <c r="BF2011" s="34" t="n">
        <f aca="false">BD2011*M2011</f>
        <v>6912</v>
      </c>
      <c r="BG2011" s="35" t="n">
        <f aca="false">BA2011-BF2011</f>
        <v>0</v>
      </c>
      <c r="BH2011" s="19" t="str">
        <f aca="false">IF(BG2011=0,"",IF(BG2011&lt;&gt;BA2011,"erreur de calcul",IF(BD2011&lt;&gt;0,"pas de prix",IF(M2011&lt;&gt; 0,"pas de quantité","pas de prix, ni de quantité"))))</f>
        <v/>
      </c>
      <c r="BI2011" s="19"/>
    </row>
    <row r="2012" customFormat="false" ht="15" hidden="false" customHeight="false" outlineLevel="0" collapsed="false">
      <c r="A2012" s="0" t="n">
        <v>9</v>
      </c>
      <c r="B2012" s="8" t="s">
        <v>24</v>
      </c>
      <c r="C2012" s="9" t="s">
        <v>25</v>
      </c>
      <c r="D2012" s="9" t="s">
        <v>26</v>
      </c>
      <c r="E2012" s="10" t="n">
        <v>1789</v>
      </c>
      <c r="F2012" s="9" t="s">
        <v>27</v>
      </c>
      <c r="G2012" s="9" t="s">
        <v>27</v>
      </c>
      <c r="H2012" s="11" t="n">
        <v>25</v>
      </c>
      <c r="I2012" s="11" t="s">
        <v>338</v>
      </c>
      <c r="J2012" s="14"/>
      <c r="K2012" s="14"/>
      <c r="L2012" s="16"/>
      <c r="M2012" s="27" t="n">
        <f aca="false">J2012+(K2012/20)+(L2012/240)</f>
        <v>0</v>
      </c>
      <c r="N2012" s="17"/>
      <c r="O2012" s="11"/>
      <c r="P2012" s="28"/>
      <c r="Q2012" s="28" t="n">
        <f aca="false">P2012*$M2012</f>
        <v>0</v>
      </c>
      <c r="R2012" s="28"/>
      <c r="S2012" s="28" t="n">
        <f aca="false">R2012*$M2012</f>
        <v>0</v>
      </c>
      <c r="T2012" s="28"/>
      <c r="U2012" s="28" t="n">
        <v>135</v>
      </c>
      <c r="V2012" s="28"/>
      <c r="W2012" s="28" t="n">
        <v>642</v>
      </c>
      <c r="X2012" s="28"/>
      <c r="Y2012" s="28" t="n">
        <f aca="false">X2012*$M2012</f>
        <v>0</v>
      </c>
      <c r="Z2012" s="28"/>
      <c r="AA2012" s="28" t="n">
        <f aca="false">Z2012*$M2012</f>
        <v>0</v>
      </c>
      <c r="AB2012" s="28"/>
      <c r="AC2012" s="28" t="n">
        <f aca="false">AB2012*$M2012</f>
        <v>0</v>
      </c>
      <c r="AD2012" s="28"/>
      <c r="AE2012" s="28" t="n">
        <f aca="false">AD2012*$M2012</f>
        <v>0</v>
      </c>
      <c r="AF2012" s="28"/>
      <c r="AG2012" s="28" t="n">
        <f aca="false">AF2012*$M2012</f>
        <v>0</v>
      </c>
      <c r="AH2012" s="28"/>
      <c r="AI2012" s="28" t="n">
        <f aca="false">AH2012*$M2012</f>
        <v>0</v>
      </c>
      <c r="AJ2012" s="28"/>
      <c r="AK2012" s="28" t="n">
        <v>375</v>
      </c>
      <c r="AL2012" s="28"/>
      <c r="AM2012" s="28" t="n">
        <f aca="false">AL2012*$M2012</f>
        <v>0</v>
      </c>
      <c r="AN2012" s="28"/>
      <c r="AO2012" s="28" t="n">
        <f aca="false">AN2012*$M2012</f>
        <v>0</v>
      </c>
      <c r="AP2012" s="28"/>
      <c r="AQ2012" s="28" t="n">
        <f aca="false">AP2012*$M2012</f>
        <v>0</v>
      </c>
      <c r="AR2012" s="28"/>
      <c r="AS2012" s="28" t="n">
        <f aca="false">AR2012*$M2012</f>
        <v>0</v>
      </c>
      <c r="AT2012" s="28"/>
      <c r="AU2012" s="28" t="n">
        <f aca="false">AT2012*$M2012</f>
        <v>0</v>
      </c>
      <c r="AV2012" s="28"/>
      <c r="AW2012" s="28" t="n">
        <v>765</v>
      </c>
      <c r="AX2012" s="28"/>
      <c r="AY2012" s="28" t="n">
        <f aca="false">AX2012*$M2012</f>
        <v>0</v>
      </c>
      <c r="AZ2012" s="30"/>
      <c r="BA2012" s="11" t="n">
        <v>1917</v>
      </c>
      <c r="BB2012" s="31" t="n">
        <f aca="false">SUM(Q2012,S2012,U2012,W2012,Y2012,AA2012,AC2012,AE2012,AG2012,AI2012,AK2012,AM2012,AO2012,AQ2012,AS2012,AU2012,AW2012,AY2012)</f>
        <v>1917</v>
      </c>
      <c r="BC2012" s="28" t="n">
        <f aca="false">BA2012-BB2012</f>
        <v>0</v>
      </c>
      <c r="BD2012" s="32" t="n">
        <f aca="false">SUM(P2012,R2012,T2012,V2012,X2012,Z2012,AB2012,AD2012,AF2012,AH2012,AJ2012,AL2012,AN2012,AP2012,AR2012,AT2012,AV2012,AX2012)</f>
        <v>0</v>
      </c>
      <c r="BE2012" s="33" t="n">
        <f aca="false">AZ2012-BD2012</f>
        <v>0</v>
      </c>
      <c r="BF2012" s="34" t="n">
        <f aca="false">BD2012*M2012</f>
        <v>0</v>
      </c>
      <c r="BG2012" s="35" t="n">
        <f aca="false">BA2012-BF2012</f>
        <v>1917</v>
      </c>
      <c r="BH2012" s="19" t="str">
        <f aca="false">IF(BG2012=0,"",IF(BG2012&lt;&gt;BA2012,"erreur de calcul",IF(BD2012&lt;&gt;0,"pas de prix",IF(M2012&lt;&gt; 0,"pas de quantité","pas de prix, ni de quantité"))))</f>
        <v>pas de prix, ni de quantité</v>
      </c>
      <c r="BI2012" s="19"/>
    </row>
    <row r="2013" customFormat="false" ht="15" hidden="false" customHeight="false" outlineLevel="0" collapsed="false">
      <c r="A2013" s="0" t="n">
        <v>10</v>
      </c>
      <c r="B2013" s="8" t="s">
        <v>24</v>
      </c>
      <c r="C2013" s="9" t="s">
        <v>25</v>
      </c>
      <c r="D2013" s="9" t="s">
        <v>26</v>
      </c>
      <c r="E2013" s="10" t="n">
        <v>1789</v>
      </c>
      <c r="F2013" s="9" t="s">
        <v>27</v>
      </c>
      <c r="G2013" s="9" t="s">
        <v>27</v>
      </c>
      <c r="H2013" s="11" t="n">
        <v>25</v>
      </c>
      <c r="I2013" s="11" t="s">
        <v>339</v>
      </c>
      <c r="J2013" s="14" t="n">
        <v>7</v>
      </c>
      <c r="K2013" s="14"/>
      <c r="L2013" s="16"/>
      <c r="M2013" s="27" t="n">
        <f aca="false">J2013+(K2013/20)+(L2013/240)</f>
        <v>7</v>
      </c>
      <c r="N2013" s="17" t="s">
        <v>69</v>
      </c>
      <c r="O2013" s="11"/>
      <c r="P2013" s="28"/>
      <c r="Q2013" s="28" t="n">
        <f aca="false">P2013*$M2013</f>
        <v>0</v>
      </c>
      <c r="R2013" s="28"/>
      <c r="S2013" s="28" t="n">
        <f aca="false">R2013*$M2013</f>
        <v>0</v>
      </c>
      <c r="T2013" s="28"/>
      <c r="U2013" s="28" t="n">
        <f aca="false">T2013*$M2013</f>
        <v>0</v>
      </c>
      <c r="V2013" s="28" t="n">
        <v>554</v>
      </c>
      <c r="W2013" s="28" t="n">
        <v>3878</v>
      </c>
      <c r="X2013" s="28"/>
      <c r="Y2013" s="28" t="n">
        <f aca="false">X2013*$M2013</f>
        <v>0</v>
      </c>
      <c r="Z2013" s="28"/>
      <c r="AA2013" s="28" t="n">
        <f aca="false">Z2013*$M2013</f>
        <v>0</v>
      </c>
      <c r="AB2013" s="28"/>
      <c r="AC2013" s="28" t="n">
        <f aca="false">AB2013*$M2013</f>
        <v>0</v>
      </c>
      <c r="AD2013" s="28"/>
      <c r="AE2013" s="28" t="n">
        <f aca="false">AD2013*$M2013</f>
        <v>0</v>
      </c>
      <c r="AF2013" s="28"/>
      <c r="AG2013" s="28" t="n">
        <f aca="false">AF2013*$M2013</f>
        <v>0</v>
      </c>
      <c r="AH2013" s="28"/>
      <c r="AI2013" s="28" t="n">
        <f aca="false">AH2013*$M2013</f>
        <v>0</v>
      </c>
      <c r="AJ2013" s="28"/>
      <c r="AK2013" s="28" t="n">
        <f aca="false">AJ2013*$M2013</f>
        <v>0</v>
      </c>
      <c r="AL2013" s="28"/>
      <c r="AM2013" s="28" t="n">
        <f aca="false">AL2013*$M2013</f>
        <v>0</v>
      </c>
      <c r="AN2013" s="28"/>
      <c r="AO2013" s="28" t="n">
        <f aca="false">AN2013*$M2013</f>
        <v>0</v>
      </c>
      <c r="AP2013" s="28"/>
      <c r="AQ2013" s="28" t="n">
        <f aca="false">AP2013*$M2013</f>
        <v>0</v>
      </c>
      <c r="AR2013" s="28"/>
      <c r="AS2013" s="28" t="n">
        <f aca="false">AR2013*$M2013</f>
        <v>0</v>
      </c>
      <c r="AT2013" s="28"/>
      <c r="AU2013" s="28" t="n">
        <f aca="false">AT2013*$M2013</f>
        <v>0</v>
      </c>
      <c r="AV2013" s="28"/>
      <c r="AW2013" s="28" t="n">
        <f aca="false">AV2013*$M2013</f>
        <v>0</v>
      </c>
      <c r="AX2013" s="28"/>
      <c r="AY2013" s="28" t="n">
        <f aca="false">AX2013*$M2013</f>
        <v>0</v>
      </c>
      <c r="AZ2013" s="30" t="n">
        <v>554</v>
      </c>
      <c r="BA2013" s="11" t="n">
        <v>3878</v>
      </c>
      <c r="BB2013" s="31" t="n">
        <f aca="false">SUM(Q2013,S2013,U2013,W2013,Y2013,AA2013,AC2013,AE2013,AG2013,AI2013,AK2013,AM2013,AO2013,AQ2013,AS2013,AU2013,AW2013,AY2013)</f>
        <v>3878</v>
      </c>
      <c r="BC2013" s="28" t="n">
        <f aca="false">BA2013-BB2013</f>
        <v>0</v>
      </c>
      <c r="BD2013" s="32" t="n">
        <f aca="false">SUM(P2013,R2013,T2013,V2013,X2013,Z2013,AB2013,AD2013,AF2013,AH2013,AJ2013,AL2013,AN2013,AP2013,AR2013,AT2013,AV2013,AX2013)</f>
        <v>554</v>
      </c>
      <c r="BE2013" s="33" t="n">
        <f aca="false">AZ2013-BD2013</f>
        <v>0</v>
      </c>
      <c r="BF2013" s="34" t="n">
        <f aca="false">BD2013*M2013</f>
        <v>3878</v>
      </c>
      <c r="BG2013" s="35" t="n">
        <f aca="false">BA2013-BF2013</f>
        <v>0</v>
      </c>
      <c r="BH2013" s="19" t="str">
        <f aca="false">IF(BG2013=0,"",IF(BG2013&lt;&gt;BA2013,"erreur de calcul",IF(BD2013&lt;&gt;0,"pas de prix",IF(M2013&lt;&gt; 0,"pas de quantité","pas de prix, ni de quantité"))))</f>
        <v/>
      </c>
      <c r="BI2013" s="19"/>
    </row>
    <row r="2014" customFormat="false" ht="15" hidden="false" customHeight="false" outlineLevel="0" collapsed="false">
      <c r="A2014" s="0" t="n">
        <v>11</v>
      </c>
      <c r="B2014" s="8" t="s">
        <v>24</v>
      </c>
      <c r="C2014" s="9" t="s">
        <v>25</v>
      </c>
      <c r="D2014" s="9" t="s">
        <v>26</v>
      </c>
      <c r="E2014" s="10" t="n">
        <v>1789</v>
      </c>
      <c r="F2014" s="9" t="s">
        <v>27</v>
      </c>
      <c r="G2014" s="9" t="s">
        <v>27</v>
      </c>
      <c r="H2014" s="11" t="n">
        <v>25</v>
      </c>
      <c r="I2014" s="11" t="s">
        <v>340</v>
      </c>
      <c r="J2014" s="14" t="n">
        <v>15</v>
      </c>
      <c r="K2014" s="14"/>
      <c r="L2014" s="16"/>
      <c r="M2014" s="27" t="n">
        <f aca="false">J2014+(K2014/20)+(L2014/240)</f>
        <v>15</v>
      </c>
      <c r="N2014" s="17" t="s">
        <v>64</v>
      </c>
      <c r="O2014" s="11"/>
      <c r="P2014" s="28" t="n">
        <f aca="false">470959/100</f>
        <v>4709.59</v>
      </c>
      <c r="Q2014" s="28" t="n">
        <v>70644</v>
      </c>
      <c r="R2014" s="28"/>
      <c r="S2014" s="28" t="n">
        <f aca="false">R2014*$M2014</f>
        <v>0</v>
      </c>
      <c r="T2014" s="28"/>
      <c r="U2014" s="28" t="n">
        <f aca="false">T2014*$M2014</f>
        <v>0</v>
      </c>
      <c r="V2014" s="28"/>
      <c r="W2014" s="28" t="n">
        <f aca="false">V2014*$M2014</f>
        <v>0</v>
      </c>
      <c r="X2014" s="28"/>
      <c r="Y2014" s="28" t="n">
        <f aca="false">X2014*$M2014</f>
        <v>0</v>
      </c>
      <c r="Z2014" s="28"/>
      <c r="AA2014" s="28" t="n">
        <f aca="false">Z2014*$M2014</f>
        <v>0</v>
      </c>
      <c r="AB2014" s="28" t="n">
        <f aca="false">50000/100</f>
        <v>500</v>
      </c>
      <c r="AC2014" s="28" t="n">
        <v>7500</v>
      </c>
      <c r="AD2014" s="28"/>
      <c r="AE2014" s="28" t="n">
        <f aca="false">AD2014*$M2014</f>
        <v>0</v>
      </c>
      <c r="AF2014" s="28" t="n">
        <f aca="false">15584/100</f>
        <v>155.84</v>
      </c>
      <c r="AG2014" s="28" t="n">
        <v>2338</v>
      </c>
      <c r="AH2014" s="28"/>
      <c r="AI2014" s="28" t="n">
        <f aca="false">AH2014*$M2014</f>
        <v>0</v>
      </c>
      <c r="AJ2014" s="28"/>
      <c r="AK2014" s="28" t="n">
        <f aca="false">AJ2014*$M2014</f>
        <v>0</v>
      </c>
      <c r="AL2014" s="28"/>
      <c r="AM2014" s="28" t="n">
        <f aca="false">AL2014*$M2014</f>
        <v>0</v>
      </c>
      <c r="AN2014" s="28"/>
      <c r="AO2014" s="28" t="n">
        <f aca="false">AN2014*$M2014</f>
        <v>0</v>
      </c>
      <c r="AP2014" s="28"/>
      <c r="AQ2014" s="28" t="n">
        <f aca="false">AP2014*$M2014</f>
        <v>0</v>
      </c>
      <c r="AR2014" s="28"/>
      <c r="AS2014" s="28" t="n">
        <f aca="false">AR2014*$M2014</f>
        <v>0</v>
      </c>
      <c r="AT2014" s="28"/>
      <c r="AU2014" s="28" t="n">
        <f aca="false">AT2014*$M2014</f>
        <v>0</v>
      </c>
      <c r="AV2014" s="28"/>
      <c r="AW2014" s="28" t="n">
        <f aca="false">AV2014*$M2014</f>
        <v>0</v>
      </c>
      <c r="AX2014" s="28"/>
      <c r="AY2014" s="28" t="n">
        <f aca="false">AX2014*$M2014</f>
        <v>0</v>
      </c>
      <c r="AZ2014" s="30" t="n">
        <f aca="false">535959/100</f>
        <v>5359.59</v>
      </c>
      <c r="BA2014" s="11" t="n">
        <v>80482</v>
      </c>
      <c r="BB2014" s="31" t="n">
        <f aca="false">SUM(Q2014,S2014,U2014,W2014,Y2014,AA2014,AC2014,AE2014,AG2014,AI2014,AK2014,AM2014,AO2014,AQ2014,AS2014,AU2014,AW2014,AY2014)</f>
        <v>80482</v>
      </c>
      <c r="BC2014" s="28" t="n">
        <f aca="false">BA2014-BB2014</f>
        <v>0</v>
      </c>
      <c r="BD2014" s="32" t="n">
        <f aca="false">SUM(P2014,R2014,T2014,V2014,X2014,Z2014,AB2014,AD2014,AF2014,AH2014,AJ2014,AL2014,AN2014,AP2014,AR2014,AT2014,AV2014,AX2014)</f>
        <v>5365.43</v>
      </c>
      <c r="BE2014" s="33" t="n">
        <f aca="false">AZ2014-BD2014</f>
        <v>-5.84000000000015</v>
      </c>
      <c r="BF2014" s="34" t="n">
        <f aca="false">BD2014*M2014</f>
        <v>80481.45</v>
      </c>
      <c r="BG2014" s="35" t="n">
        <f aca="false">BA2014-BF2014</f>
        <v>0.549999999988359</v>
      </c>
      <c r="BH2014" s="19" t="str">
        <f aca="false">IF(BG2014=0,"",IF(BG2014&lt;&gt;BA2014,"erreur de calcul",IF(BD2014&lt;&gt;0,"pas de prix",IF(M2014&lt;&gt; 0,"pas de quantité","pas de prix, ni de quantité"))))</f>
        <v>erreur de calcul</v>
      </c>
      <c r="BI2014" s="19"/>
    </row>
    <row r="2015" customFormat="false" ht="15" hidden="false" customHeight="false" outlineLevel="0" collapsed="false">
      <c r="A2015" s="0" t="n">
        <v>12</v>
      </c>
      <c r="B2015" s="8" t="s">
        <v>24</v>
      </c>
      <c r="C2015" s="9" t="s">
        <v>25</v>
      </c>
      <c r="D2015" s="9" t="s">
        <v>26</v>
      </c>
      <c r="E2015" s="10" t="n">
        <v>1789</v>
      </c>
      <c r="F2015" s="9" t="s">
        <v>27</v>
      </c>
      <c r="G2015" s="9" t="s">
        <v>27</v>
      </c>
      <c r="H2015" s="11" t="n">
        <v>25</v>
      </c>
      <c r="I2015" s="11" t="s">
        <v>341</v>
      </c>
      <c r="J2015" s="14" t="n">
        <v>75</v>
      </c>
      <c r="K2015" s="14"/>
      <c r="L2015" s="16"/>
      <c r="M2015" s="27" t="n">
        <f aca="false">J2015+(K2015/20)+(L2015/240)</f>
        <v>75</v>
      </c>
      <c r="N2015" s="17" t="s">
        <v>85</v>
      </c>
      <c r="O2015" s="11"/>
      <c r="P2015" s="28"/>
      <c r="Q2015" s="28" t="n">
        <f aca="false">P2015*$M2015</f>
        <v>0</v>
      </c>
      <c r="R2015" s="28"/>
      <c r="S2015" s="28" t="n">
        <f aca="false">R2015*$M2015</f>
        <v>0</v>
      </c>
      <c r="T2015" s="28"/>
      <c r="U2015" s="28" t="n">
        <f aca="false">T2015*$M2015</f>
        <v>0</v>
      </c>
      <c r="V2015" s="28"/>
      <c r="W2015" s="28" t="n">
        <f aca="false">V2015*$M2015</f>
        <v>0</v>
      </c>
      <c r="X2015" s="28"/>
      <c r="Y2015" s="28" t="n">
        <f aca="false">X2015*$M2015</f>
        <v>0</v>
      </c>
      <c r="Z2015" s="28"/>
      <c r="AA2015" s="28" t="n">
        <f aca="false">Z2015*$M2015</f>
        <v>0</v>
      </c>
      <c r="AB2015" s="28"/>
      <c r="AC2015" s="28" t="n">
        <f aca="false">AB2015*$M2015</f>
        <v>0</v>
      </c>
      <c r="AD2015" s="28"/>
      <c r="AE2015" s="28" t="n">
        <f aca="false">AD2015*$M2015</f>
        <v>0</v>
      </c>
      <c r="AF2015" s="28"/>
      <c r="AG2015" s="28" t="n">
        <f aca="false">AF2015*$M2015</f>
        <v>0</v>
      </c>
      <c r="AH2015" s="28"/>
      <c r="AI2015" s="28" t="n">
        <f aca="false">AH2015*$M2015</f>
        <v>0</v>
      </c>
      <c r="AJ2015" s="28"/>
      <c r="AK2015" s="28" t="n">
        <f aca="false">AJ2015*$M2015</f>
        <v>0</v>
      </c>
      <c r="AL2015" s="28" t="n">
        <f aca="false">2584/100</f>
        <v>25.84</v>
      </c>
      <c r="AM2015" s="28" t="n">
        <v>1938</v>
      </c>
      <c r="AN2015" s="28"/>
      <c r="AO2015" s="28" t="n">
        <f aca="false">AN2015*$M2015</f>
        <v>0</v>
      </c>
      <c r="AP2015" s="28"/>
      <c r="AQ2015" s="28" t="n">
        <f aca="false">AP2015*$M2015</f>
        <v>0</v>
      </c>
      <c r="AR2015" s="28"/>
      <c r="AS2015" s="28" t="n">
        <f aca="false">AR2015*$M2015</f>
        <v>0</v>
      </c>
      <c r="AT2015" s="28"/>
      <c r="AU2015" s="28" t="n">
        <f aca="false">AT2015*$M2015</f>
        <v>0</v>
      </c>
      <c r="AV2015" s="28"/>
      <c r="AW2015" s="28" t="n">
        <f aca="false">AV2015*$M2015</f>
        <v>0</v>
      </c>
      <c r="AX2015" s="28"/>
      <c r="AY2015" s="28" t="n">
        <f aca="false">AX2015*$M2015</f>
        <v>0</v>
      </c>
      <c r="AZ2015" s="30" t="n">
        <f aca="false">2584/100</f>
        <v>25.84</v>
      </c>
      <c r="BA2015" s="11" t="n">
        <v>1938</v>
      </c>
      <c r="BB2015" s="31" t="n">
        <f aca="false">SUM(Q2015,S2015,U2015,W2015,Y2015,AA2015,AC2015,AE2015,AG2015,AI2015,AK2015,AM2015,AO2015,AQ2015,AS2015,AU2015,AW2015,AY2015)</f>
        <v>1938</v>
      </c>
      <c r="BC2015" s="28" t="n">
        <f aca="false">BA2015-BB2015</f>
        <v>0</v>
      </c>
      <c r="BD2015" s="32" t="n">
        <f aca="false">SUM(P2015,R2015,T2015,V2015,X2015,Z2015,AB2015,AD2015,AF2015,AH2015,AJ2015,AL2015,AN2015,AP2015,AR2015,AT2015,AV2015,AX2015)</f>
        <v>25.84</v>
      </c>
      <c r="BE2015" s="33" t="n">
        <f aca="false">AZ2015-BD2015</f>
        <v>0</v>
      </c>
      <c r="BF2015" s="34" t="n">
        <f aca="false">BD2015*M2015</f>
        <v>1938</v>
      </c>
      <c r="BG2015" s="35" t="n">
        <f aca="false">BA2015-BF2015</f>
        <v>0</v>
      </c>
      <c r="BH2015" s="19" t="str">
        <f aca="false">IF(BG2015=0,"",IF(BG2015&lt;&gt;BA2015,"erreur de calcul",IF(BD2015&lt;&gt;0,"pas de prix",IF(M2015&lt;&gt; 0,"pas de quantité","pas de prix, ni de quantité"))))</f>
        <v/>
      </c>
      <c r="BI2015" s="19"/>
    </row>
    <row r="2016" customFormat="false" ht="15" hidden="false" customHeight="false" outlineLevel="0" collapsed="false">
      <c r="A2016" s="0" t="n">
        <v>13</v>
      </c>
      <c r="B2016" s="8" t="s">
        <v>24</v>
      </c>
      <c r="C2016" s="9" t="s">
        <v>25</v>
      </c>
      <c r="D2016" s="9" t="s">
        <v>26</v>
      </c>
      <c r="E2016" s="10" t="n">
        <v>1789</v>
      </c>
      <c r="F2016" s="9" t="s">
        <v>27</v>
      </c>
      <c r="G2016" s="9" t="s">
        <v>27</v>
      </c>
      <c r="H2016" s="11" t="n">
        <v>25</v>
      </c>
      <c r="I2016" s="11" t="s">
        <v>342</v>
      </c>
      <c r="J2016" s="14" t="n">
        <v>10</v>
      </c>
      <c r="K2016" s="14"/>
      <c r="L2016" s="16"/>
      <c r="M2016" s="27" t="n">
        <f aca="false">J2016+(K2016/20)+(L2016/240)</f>
        <v>10</v>
      </c>
      <c r="N2016" s="17" t="s">
        <v>66</v>
      </c>
      <c r="O2016" s="11"/>
      <c r="P2016" s="28"/>
      <c r="Q2016" s="28" t="n">
        <f aca="false">P2016*$M2016</f>
        <v>0</v>
      </c>
      <c r="R2016" s="28" t="n">
        <v>827</v>
      </c>
      <c r="S2016" s="28" t="n">
        <v>8270</v>
      </c>
      <c r="T2016" s="28"/>
      <c r="U2016" s="28" t="n">
        <f aca="false">T2016*$M2016</f>
        <v>0</v>
      </c>
      <c r="V2016" s="28"/>
      <c r="W2016" s="28" t="n">
        <f aca="false">V2016*$M2016</f>
        <v>0</v>
      </c>
      <c r="X2016" s="28"/>
      <c r="Y2016" s="28" t="n">
        <f aca="false">X2016*$M2016</f>
        <v>0</v>
      </c>
      <c r="Z2016" s="28"/>
      <c r="AA2016" s="28" t="n">
        <f aca="false">Z2016*$M2016</f>
        <v>0</v>
      </c>
      <c r="AB2016" s="28"/>
      <c r="AC2016" s="28" t="n">
        <f aca="false">AB2016*$M2016</f>
        <v>0</v>
      </c>
      <c r="AD2016" s="28"/>
      <c r="AE2016" s="28" t="n">
        <f aca="false">AD2016*$M2016</f>
        <v>0</v>
      </c>
      <c r="AF2016" s="28"/>
      <c r="AG2016" s="28" t="n">
        <f aca="false">AF2016*$M2016</f>
        <v>0</v>
      </c>
      <c r="AH2016" s="28"/>
      <c r="AI2016" s="28" t="n">
        <f aca="false">AH2016*$M2016</f>
        <v>0</v>
      </c>
      <c r="AJ2016" s="28"/>
      <c r="AK2016" s="28" t="n">
        <f aca="false">AJ2016*$M2016</f>
        <v>0</v>
      </c>
      <c r="AL2016" s="28"/>
      <c r="AM2016" s="28" t="n">
        <f aca="false">AL2016*$M2016</f>
        <v>0</v>
      </c>
      <c r="AN2016" s="28"/>
      <c r="AO2016" s="28" t="n">
        <f aca="false">AN2016*$M2016</f>
        <v>0</v>
      </c>
      <c r="AP2016" s="28"/>
      <c r="AQ2016" s="28" t="n">
        <f aca="false">AP2016*$M2016</f>
        <v>0</v>
      </c>
      <c r="AR2016" s="28"/>
      <c r="AS2016" s="28" t="n">
        <f aca="false">AR2016*$M2016</f>
        <v>0</v>
      </c>
      <c r="AT2016" s="28"/>
      <c r="AU2016" s="28" t="n">
        <f aca="false">AT2016*$M2016</f>
        <v>0</v>
      </c>
      <c r="AV2016" s="28"/>
      <c r="AW2016" s="28" t="n">
        <f aca="false">AV2016*$M2016</f>
        <v>0</v>
      </c>
      <c r="AX2016" s="28"/>
      <c r="AY2016" s="28" t="n">
        <f aca="false">AX2016*$M2016</f>
        <v>0</v>
      </c>
      <c r="AZ2016" s="30" t="n">
        <v>827</v>
      </c>
      <c r="BA2016" s="11" t="n">
        <v>8270</v>
      </c>
      <c r="BB2016" s="31" t="n">
        <f aca="false">SUM(Q2016,S2016,U2016,W2016,Y2016,AA2016,AC2016,AE2016,AG2016,AI2016,AK2016,AM2016,AO2016,AQ2016,AS2016,AU2016,AW2016,AY2016)</f>
        <v>8270</v>
      </c>
      <c r="BC2016" s="28" t="n">
        <f aca="false">BA2016-BB2016</f>
        <v>0</v>
      </c>
      <c r="BD2016" s="32" t="n">
        <f aca="false">SUM(P2016,R2016,T2016,V2016,X2016,Z2016,AB2016,AD2016,AF2016,AH2016,AJ2016,AL2016,AN2016,AP2016,AR2016,AT2016,AV2016,AX2016)</f>
        <v>827</v>
      </c>
      <c r="BE2016" s="33" t="n">
        <f aca="false">AZ2016-BD2016</f>
        <v>0</v>
      </c>
      <c r="BF2016" s="34" t="n">
        <f aca="false">BD2016*M2016</f>
        <v>8270</v>
      </c>
      <c r="BG2016" s="35" t="n">
        <f aca="false">BA2016-BF2016</f>
        <v>0</v>
      </c>
      <c r="BH2016" s="19" t="str">
        <f aca="false">IF(BG2016=0,"",IF(BG2016&lt;&gt;BA2016,"erreur de calcul",IF(BD2016&lt;&gt;0,"pas de prix",IF(M2016&lt;&gt; 0,"pas de quantité","pas de prix, ni de quantité"))))</f>
        <v/>
      </c>
      <c r="BI2016" s="19"/>
    </row>
    <row r="2017" customFormat="false" ht="15" hidden="false" customHeight="false" outlineLevel="0" collapsed="false">
      <c r="A2017" s="0" t="n">
        <v>14</v>
      </c>
      <c r="B2017" s="8" t="s">
        <v>24</v>
      </c>
      <c r="C2017" s="9" t="s">
        <v>25</v>
      </c>
      <c r="D2017" s="9" t="s">
        <v>26</v>
      </c>
      <c r="E2017" s="10" t="n">
        <v>1789</v>
      </c>
      <c r="F2017" s="9" t="s">
        <v>27</v>
      </c>
      <c r="G2017" s="9" t="s">
        <v>27</v>
      </c>
      <c r="H2017" s="11" t="n">
        <v>25</v>
      </c>
      <c r="I2017" s="11" t="s">
        <v>343</v>
      </c>
      <c r="J2017" s="14" t="n">
        <v>4</v>
      </c>
      <c r="K2017" s="14"/>
      <c r="L2017" s="16"/>
      <c r="M2017" s="27" t="n">
        <f aca="false">J2017+(K2017/20)+(L2017/240)</f>
        <v>4</v>
      </c>
      <c r="N2017" s="17" t="s">
        <v>69</v>
      </c>
      <c r="O2017" s="11"/>
      <c r="P2017" s="28"/>
      <c r="Q2017" s="28" t="n">
        <f aca="false">P2017*$M2017</f>
        <v>0</v>
      </c>
      <c r="R2017" s="28"/>
      <c r="S2017" s="28" t="n">
        <f aca="false">R2017*$M2017</f>
        <v>0</v>
      </c>
      <c r="T2017" s="28"/>
      <c r="U2017" s="28" t="n">
        <f aca="false">T2017*$M2017</f>
        <v>0</v>
      </c>
      <c r="V2017" s="28" t="n">
        <v>2198</v>
      </c>
      <c r="W2017" s="28" t="n">
        <v>8792</v>
      </c>
      <c r="X2017" s="28"/>
      <c r="Y2017" s="28" t="n">
        <f aca="false">X2017*$M2017</f>
        <v>0</v>
      </c>
      <c r="Z2017" s="28"/>
      <c r="AA2017" s="28" t="n">
        <f aca="false">Z2017*$M2017</f>
        <v>0</v>
      </c>
      <c r="AB2017" s="28"/>
      <c r="AC2017" s="28" t="n">
        <f aca="false">AB2017*$M2017</f>
        <v>0</v>
      </c>
      <c r="AD2017" s="28"/>
      <c r="AE2017" s="28" t="n">
        <f aca="false">AD2017*$M2017</f>
        <v>0</v>
      </c>
      <c r="AF2017" s="28"/>
      <c r="AG2017" s="28" t="n">
        <f aca="false">AF2017*$M2017</f>
        <v>0</v>
      </c>
      <c r="AH2017" s="28"/>
      <c r="AI2017" s="28" t="n">
        <f aca="false">AH2017*$M2017</f>
        <v>0</v>
      </c>
      <c r="AJ2017" s="28"/>
      <c r="AK2017" s="28" t="n">
        <f aca="false">AJ2017*$M2017</f>
        <v>0</v>
      </c>
      <c r="AL2017" s="28"/>
      <c r="AM2017" s="28" t="n">
        <f aca="false">AL2017*$M2017</f>
        <v>0</v>
      </c>
      <c r="AN2017" s="28"/>
      <c r="AO2017" s="28" t="n">
        <f aca="false">AN2017*$M2017</f>
        <v>0</v>
      </c>
      <c r="AP2017" s="28"/>
      <c r="AQ2017" s="28" t="n">
        <f aca="false">AP2017*$M2017</f>
        <v>0</v>
      </c>
      <c r="AR2017" s="28"/>
      <c r="AS2017" s="28" t="n">
        <f aca="false">AR2017*$M2017</f>
        <v>0</v>
      </c>
      <c r="AT2017" s="28"/>
      <c r="AU2017" s="28" t="n">
        <f aca="false">AT2017*$M2017</f>
        <v>0</v>
      </c>
      <c r="AV2017" s="28"/>
      <c r="AW2017" s="28" t="n">
        <f aca="false">AV2017*$M2017</f>
        <v>0</v>
      </c>
      <c r="AX2017" s="28"/>
      <c r="AY2017" s="28" t="n">
        <f aca="false">AX2017*$M2017</f>
        <v>0</v>
      </c>
      <c r="AZ2017" s="30" t="n">
        <v>2198</v>
      </c>
      <c r="BA2017" s="11" t="n">
        <v>8792</v>
      </c>
      <c r="BB2017" s="31" t="n">
        <f aca="false">SUM(Q2017,S2017,U2017,W2017,Y2017,AA2017,AC2017,AE2017,AG2017,AI2017,AK2017,AM2017,AO2017,AQ2017,AS2017,AU2017,AW2017,AY2017)</f>
        <v>8792</v>
      </c>
      <c r="BC2017" s="28" t="n">
        <f aca="false">BA2017-BB2017</f>
        <v>0</v>
      </c>
      <c r="BD2017" s="32" t="n">
        <f aca="false">SUM(P2017,R2017,T2017,V2017,X2017,Z2017,AB2017,AD2017,AF2017,AH2017,AJ2017,AL2017,AN2017,AP2017,AR2017,AT2017,AV2017,AX2017)</f>
        <v>2198</v>
      </c>
      <c r="BE2017" s="33" t="n">
        <f aca="false">AZ2017-BD2017</f>
        <v>0</v>
      </c>
      <c r="BF2017" s="34" t="n">
        <f aca="false">BD2017*M2017</f>
        <v>8792</v>
      </c>
      <c r="BG2017" s="35" t="n">
        <f aca="false">BA2017-BF2017</f>
        <v>0</v>
      </c>
      <c r="BH2017" s="19" t="str">
        <f aca="false">IF(BG2017=0,"",IF(BG2017&lt;&gt;BA2017,"erreur de calcul",IF(BD2017&lt;&gt;0,"pas de prix",IF(M2017&lt;&gt; 0,"pas de quantité","pas de prix, ni de quantité"))))</f>
        <v/>
      </c>
      <c r="BI2017" s="19"/>
    </row>
    <row r="2018" customFormat="false" ht="15" hidden="false" customHeight="false" outlineLevel="0" collapsed="false">
      <c r="A2018" s="0" t="n">
        <v>15</v>
      </c>
      <c r="B2018" s="8" t="s">
        <v>24</v>
      </c>
      <c r="C2018" s="9" t="s">
        <v>25</v>
      </c>
      <c r="D2018" s="9" t="s">
        <v>26</v>
      </c>
      <c r="E2018" s="10" t="n">
        <v>1789</v>
      </c>
      <c r="F2018" s="9" t="s">
        <v>27</v>
      </c>
      <c r="G2018" s="9" t="s">
        <v>27</v>
      </c>
      <c r="H2018" s="11" t="n">
        <v>25</v>
      </c>
      <c r="I2018" s="11" t="s">
        <v>344</v>
      </c>
      <c r="J2018" s="14" t="n">
        <v>2000</v>
      </c>
      <c r="K2018" s="14"/>
      <c r="L2018" s="16"/>
      <c r="M2018" s="27" t="n">
        <f aca="false">J2018+(K2018/20)+(L2018/240)</f>
        <v>2000</v>
      </c>
      <c r="N2018" s="17" t="s">
        <v>64</v>
      </c>
      <c r="O2018" s="11" t="s">
        <v>277</v>
      </c>
      <c r="P2018" s="28"/>
      <c r="Q2018" s="28" t="n">
        <f aca="false">P2018*$M2018</f>
        <v>0</v>
      </c>
      <c r="R2018" s="28"/>
      <c r="S2018" s="28" t="n">
        <f aca="false">R2018*$M2018</f>
        <v>0</v>
      </c>
      <c r="T2018" s="28"/>
      <c r="U2018" s="28" t="n">
        <f aca="false">T2018*$M2018</f>
        <v>0</v>
      </c>
      <c r="V2018" s="28"/>
      <c r="W2018" s="28" t="n">
        <f aca="false">V2018*$M2018</f>
        <v>0</v>
      </c>
      <c r="X2018" s="28"/>
      <c r="Y2018" s="28" t="n">
        <f aca="false">X2018*$M2018</f>
        <v>0</v>
      </c>
      <c r="Z2018" s="28"/>
      <c r="AA2018" s="28" t="n">
        <f aca="false">Z2018*$M2018</f>
        <v>0</v>
      </c>
      <c r="AB2018" s="28"/>
      <c r="AC2018" s="28" t="n">
        <f aca="false">AB2018*$M2018</f>
        <v>0</v>
      </c>
      <c r="AD2018" s="28"/>
      <c r="AE2018" s="28" t="n">
        <f aca="false">AD2018*$M2018</f>
        <v>0</v>
      </c>
      <c r="AF2018" s="28"/>
      <c r="AG2018" s="28" t="n">
        <f aca="false">AF2018*$M2018</f>
        <v>0</v>
      </c>
      <c r="AH2018" s="28"/>
      <c r="AI2018" s="28" t="n">
        <f aca="false">AH2018*$M2018</f>
        <v>0</v>
      </c>
      <c r="AJ2018" s="28"/>
      <c r="AK2018" s="28" t="n">
        <f aca="false">AJ2018*$M2018</f>
        <v>0</v>
      </c>
      <c r="AL2018" s="28"/>
      <c r="AM2018" s="28" t="n">
        <f aca="false">AL2018*$M2018</f>
        <v>0</v>
      </c>
      <c r="AN2018" s="28"/>
      <c r="AO2018" s="28" t="n">
        <f aca="false">AN2018*$M2018</f>
        <v>0</v>
      </c>
      <c r="AP2018" s="28"/>
      <c r="AQ2018" s="28" t="n">
        <f aca="false">AP2018*$M2018</f>
        <v>0</v>
      </c>
      <c r="AR2018" s="28"/>
      <c r="AS2018" s="28" t="n">
        <f aca="false">AR2018*$M2018</f>
        <v>0</v>
      </c>
      <c r="AT2018" s="28"/>
      <c r="AU2018" s="28" t="n">
        <f aca="false">AT2018*$M2018</f>
        <v>0</v>
      </c>
      <c r="AV2018" s="28"/>
      <c r="AW2018" s="28" t="n">
        <f aca="false">AV2018*$M2018</f>
        <v>0</v>
      </c>
      <c r="AX2018" s="28"/>
      <c r="AY2018" s="28" t="n">
        <f aca="false">AX2018*$M2018</f>
        <v>0</v>
      </c>
      <c r="AZ2018" s="30"/>
      <c r="BA2018" s="11"/>
      <c r="BB2018" s="31" t="n">
        <f aca="false">SUM(Q2018,S2018,U2018,W2018,Y2018,AA2018,AC2018,AE2018,AG2018,AI2018,AK2018,AM2018,AO2018,AQ2018,AS2018,AU2018,AW2018,AY2018)</f>
        <v>0</v>
      </c>
      <c r="BC2018" s="28" t="n">
        <f aca="false">BA2018-BB2018</f>
        <v>0</v>
      </c>
      <c r="BD2018" s="32" t="n">
        <f aca="false">SUM(P2018,R2018,T2018,V2018,X2018,Z2018,AB2018,AD2018,AF2018,AH2018,AJ2018,AL2018,AN2018,AP2018,AR2018,AT2018,AV2018,AX2018)</f>
        <v>0</v>
      </c>
      <c r="BE2018" s="33" t="n">
        <f aca="false">AZ2018-BD2018</f>
        <v>0</v>
      </c>
      <c r="BF2018" s="34" t="n">
        <f aca="false">BD2018*M2018</f>
        <v>0</v>
      </c>
      <c r="BG2018" s="35" t="n">
        <f aca="false">BA2018-BF2018</f>
        <v>0</v>
      </c>
      <c r="BH2018" s="19" t="str">
        <f aca="false">IF(BG2018=0,"",IF(BG2018&lt;&gt;BA2018,"erreur de calcul",IF(BD2018&lt;&gt;0,"pas de prix",IF(M2018&lt;&gt; 0,"pas de quantité","pas de prix, ni de quantité"))))</f>
        <v/>
      </c>
      <c r="BI2018" s="19"/>
    </row>
    <row r="2019" customFormat="false" ht="15" hidden="false" customHeight="false" outlineLevel="0" collapsed="false">
      <c r="A2019" s="0" t="n">
        <v>16</v>
      </c>
      <c r="B2019" s="8" t="s">
        <v>24</v>
      </c>
      <c r="C2019" s="9" t="s">
        <v>25</v>
      </c>
      <c r="D2019" s="9" t="s">
        <v>26</v>
      </c>
      <c r="E2019" s="10" t="n">
        <v>1789</v>
      </c>
      <c r="F2019" s="9" t="s">
        <v>27</v>
      </c>
      <c r="G2019" s="9" t="s">
        <v>27</v>
      </c>
      <c r="H2019" s="11" t="n">
        <v>25</v>
      </c>
      <c r="I2019" s="11" t="s">
        <v>344</v>
      </c>
      <c r="J2019" s="14" t="n">
        <v>2000</v>
      </c>
      <c r="K2019" s="14"/>
      <c r="L2019" s="16"/>
      <c r="M2019" s="27" t="n">
        <f aca="false">J2019+(K2019/20)+(L2019/240)</f>
        <v>2000</v>
      </c>
      <c r="N2019" s="17" t="s">
        <v>64</v>
      </c>
      <c r="O2019" s="11" t="s">
        <v>98</v>
      </c>
      <c r="P2019" s="28"/>
      <c r="Q2019" s="28" t="n">
        <f aca="false">P2019*$M2019</f>
        <v>0</v>
      </c>
      <c r="R2019" s="28"/>
      <c r="S2019" s="28" t="n">
        <f aca="false">R2019*$M2019</f>
        <v>0</v>
      </c>
      <c r="T2019" s="28"/>
      <c r="U2019" s="28" t="n">
        <f aca="false">T2019*$M2019</f>
        <v>0</v>
      </c>
      <c r="V2019" s="28"/>
      <c r="W2019" s="28" t="n">
        <f aca="false">V2019*$M2019</f>
        <v>0</v>
      </c>
      <c r="X2019" s="28" t="n">
        <f aca="false">607/100</f>
        <v>6.07</v>
      </c>
      <c r="Y2019" s="28" t="n">
        <f aca="false">X2019*$M2019</f>
        <v>12140</v>
      </c>
      <c r="Z2019" s="28"/>
      <c r="AA2019" s="28" t="n">
        <f aca="false">Z2019*$M2019</f>
        <v>0</v>
      </c>
      <c r="AB2019" s="28"/>
      <c r="AC2019" s="28" t="n">
        <f aca="false">AB2019*$M2019</f>
        <v>0</v>
      </c>
      <c r="AD2019" s="28"/>
      <c r="AE2019" s="28" t="n">
        <f aca="false">AD2019*$M2019</f>
        <v>0</v>
      </c>
      <c r="AF2019" s="28"/>
      <c r="AG2019" s="28" t="n">
        <f aca="false">AF2019*$M2019</f>
        <v>0</v>
      </c>
      <c r="AH2019" s="28"/>
      <c r="AI2019" s="28" t="n">
        <f aca="false">AH2019*$M2019</f>
        <v>0</v>
      </c>
      <c r="AJ2019" s="28"/>
      <c r="AK2019" s="28" t="n">
        <f aca="false">AJ2019*$M2019</f>
        <v>0</v>
      </c>
      <c r="AL2019" s="28" t="n">
        <f aca="false">145/100</f>
        <v>1.45</v>
      </c>
      <c r="AM2019" s="28" t="n">
        <f aca="false">AL2019*$M2019</f>
        <v>2900</v>
      </c>
      <c r="AN2019" s="28" t="n">
        <f aca="false">3865/100</f>
        <v>38.65</v>
      </c>
      <c r="AO2019" s="28" t="n">
        <v>77300</v>
      </c>
      <c r="AP2019" s="28"/>
      <c r="AQ2019" s="28" t="n">
        <f aca="false">AP2019*$M2019</f>
        <v>0</v>
      </c>
      <c r="AR2019" s="28"/>
      <c r="AS2019" s="28" t="n">
        <f aca="false">AR2019*$M2019</f>
        <v>0</v>
      </c>
      <c r="AT2019" s="28"/>
      <c r="AU2019" s="28" t="n">
        <f aca="false">AT2019*$M2019</f>
        <v>0</v>
      </c>
      <c r="AV2019" s="28"/>
      <c r="AW2019" s="28" t="n">
        <f aca="false">AV2019*$M2019</f>
        <v>0</v>
      </c>
      <c r="AX2019" s="28"/>
      <c r="AY2019" s="28" t="n">
        <f aca="false">AX2019*$M2019</f>
        <v>0</v>
      </c>
      <c r="AZ2019" s="30" t="n">
        <f aca="false">4617/100</f>
        <v>46.17</v>
      </c>
      <c r="BA2019" s="11" t="n">
        <v>92340</v>
      </c>
      <c r="BB2019" s="31" t="n">
        <f aca="false">SUM(Q2019,S2019,U2019,W2019,Y2019,AA2019,AC2019,AE2019,AG2019,AI2019,AK2019,AM2019,AO2019,AQ2019,AS2019,AU2019,AW2019,AY2019)</f>
        <v>92340</v>
      </c>
      <c r="BC2019" s="28" t="n">
        <f aca="false">BA2019-BB2019</f>
        <v>0</v>
      </c>
      <c r="BD2019" s="32" t="n">
        <f aca="false">SUM(P2019,R2019,T2019,V2019,X2019,Z2019,AB2019,AD2019,AF2019,AH2019,AJ2019,AL2019,AN2019,AP2019,AR2019,AT2019,AV2019,AX2019)</f>
        <v>46.17</v>
      </c>
      <c r="BE2019" s="33" t="n">
        <f aca="false">AZ2019-BD2019</f>
        <v>0</v>
      </c>
      <c r="BF2019" s="34" t="n">
        <f aca="false">BD2019*M2019</f>
        <v>92340</v>
      </c>
      <c r="BG2019" s="35" t="n">
        <f aca="false">BA2019-BF2019</f>
        <v>0</v>
      </c>
      <c r="BH2019" s="19" t="str">
        <f aca="false">IF(BG2019=0,"",IF(BG2019&lt;&gt;BA2019,"erreur de calcul",IF(BD2019&lt;&gt;0,"pas de prix",IF(M2019&lt;&gt; 0,"pas de quantité","pas de prix, ni de quantité"))))</f>
        <v/>
      </c>
      <c r="BI2019" s="19"/>
    </row>
    <row r="2020" customFormat="false" ht="15" hidden="false" customHeight="false" outlineLevel="0" collapsed="false">
      <c r="A2020" s="0" t="n">
        <v>17</v>
      </c>
      <c r="B2020" s="8" t="s">
        <v>24</v>
      </c>
      <c r="C2020" s="9" t="s">
        <v>25</v>
      </c>
      <c r="D2020" s="9" t="s">
        <v>26</v>
      </c>
      <c r="E2020" s="10" t="n">
        <v>1789</v>
      </c>
      <c r="F2020" s="9" t="s">
        <v>27</v>
      </c>
      <c r="G2020" s="9" t="s">
        <v>27</v>
      </c>
      <c r="H2020" s="11" t="n">
        <v>25</v>
      </c>
      <c r="I2020" s="11" t="s">
        <v>345</v>
      </c>
      <c r="J2020" s="14"/>
      <c r="K2020" s="14" t="n">
        <v>12</v>
      </c>
      <c r="L2020" s="16"/>
      <c r="M2020" s="27" t="n">
        <f aca="false">J2020+(K2020/20)+(L2020/240)</f>
        <v>0.6</v>
      </c>
      <c r="N2020" s="17" t="s">
        <v>66</v>
      </c>
      <c r="O2020" s="11"/>
      <c r="P2020" s="28"/>
      <c r="Q2020" s="28" t="n">
        <f aca="false">P2020*$M2020</f>
        <v>0</v>
      </c>
      <c r="R2020" s="28"/>
      <c r="S2020" s="28" t="n">
        <f aca="false">R2020*$M2020</f>
        <v>0</v>
      </c>
      <c r="T2020" s="28"/>
      <c r="U2020" s="28" t="n">
        <f aca="false">T2020*$M2020</f>
        <v>0</v>
      </c>
      <c r="V2020" s="28"/>
      <c r="W2020" s="28" t="n">
        <f aca="false">V2020*$M2020</f>
        <v>0</v>
      </c>
      <c r="X2020" s="28"/>
      <c r="Y2020" s="28" t="n">
        <f aca="false">X2020*$M2020</f>
        <v>0</v>
      </c>
      <c r="Z2020" s="28"/>
      <c r="AA2020" s="28" t="n">
        <f aca="false">Z2020*$M2020</f>
        <v>0</v>
      </c>
      <c r="AB2020" s="28"/>
      <c r="AC2020" s="28" t="n">
        <f aca="false">AB2020*$M2020</f>
        <v>0</v>
      </c>
      <c r="AD2020" s="28"/>
      <c r="AE2020" s="28" t="n">
        <f aca="false">AD2020*$M2020</f>
        <v>0</v>
      </c>
      <c r="AF2020" s="28"/>
      <c r="AG2020" s="28" t="n">
        <f aca="false">AF2020*$M2020</f>
        <v>0</v>
      </c>
      <c r="AH2020" s="28"/>
      <c r="AI2020" s="28" t="n">
        <f aca="false">AH2020*$M2020</f>
        <v>0</v>
      </c>
      <c r="AJ2020" s="28" t="n">
        <v>41194</v>
      </c>
      <c r="AK2020" s="28" t="n">
        <v>24716</v>
      </c>
      <c r="AL2020" s="28"/>
      <c r="AM2020" s="28" t="n">
        <f aca="false">AL2020*$M2020</f>
        <v>0</v>
      </c>
      <c r="AN2020" s="28"/>
      <c r="AO2020" s="28" t="n">
        <f aca="false">AN2020*$M2020</f>
        <v>0</v>
      </c>
      <c r="AP2020" s="28"/>
      <c r="AQ2020" s="28" t="n">
        <f aca="false">AP2020*$M2020</f>
        <v>0</v>
      </c>
      <c r="AR2020" s="28"/>
      <c r="AS2020" s="28" t="n">
        <f aca="false">AR2020*$M2020</f>
        <v>0</v>
      </c>
      <c r="AT2020" s="28"/>
      <c r="AU2020" s="28" t="n">
        <f aca="false">AT2020*$M2020</f>
        <v>0</v>
      </c>
      <c r="AV2020" s="28"/>
      <c r="AW2020" s="28" t="n">
        <f aca="false">AV2020*$M2020</f>
        <v>0</v>
      </c>
      <c r="AX2020" s="28"/>
      <c r="AY2020" s="28" t="n">
        <f aca="false">AX2020*$M2020</f>
        <v>0</v>
      </c>
      <c r="AZ2020" s="30" t="n">
        <v>41194</v>
      </c>
      <c r="BA2020" s="11" t="n">
        <v>24716</v>
      </c>
      <c r="BB2020" s="31" t="n">
        <f aca="false">SUM(Q2020,S2020,U2020,W2020,Y2020,AA2020,AC2020,AE2020,AG2020,AI2020,AK2020,AM2020,AO2020,AQ2020,AS2020,AU2020,AW2020,AY2020)</f>
        <v>24716</v>
      </c>
      <c r="BC2020" s="28" t="n">
        <f aca="false">BA2020-BB2020</f>
        <v>0</v>
      </c>
      <c r="BD2020" s="32" t="n">
        <f aca="false">SUM(P2020,R2020,T2020,V2020,X2020,Z2020,AB2020,AD2020,AF2020,AH2020,AJ2020,AL2020,AN2020,AP2020,AR2020,AT2020,AV2020,AX2020)</f>
        <v>41194</v>
      </c>
      <c r="BE2020" s="33" t="n">
        <f aca="false">AZ2020-BD2020</f>
        <v>0</v>
      </c>
      <c r="BF2020" s="34" t="n">
        <f aca="false">BD2020*M2020</f>
        <v>24716.4</v>
      </c>
      <c r="BG2020" s="35" t="n">
        <f aca="false">BA2020-BF2020</f>
        <v>-0.399999999997817</v>
      </c>
      <c r="BH2020" s="19" t="str">
        <f aca="false">IF(BG2020=0,"",IF(BG2020&lt;&gt;BA2020,"erreur de calcul",IF(BD2020&lt;&gt;0,"pas de prix",IF(M2020&lt;&gt; 0,"pas de quantité","pas de prix, ni de quantité"))))</f>
        <v>erreur de calcul</v>
      </c>
      <c r="BI2020" s="19"/>
    </row>
    <row r="2021" customFormat="false" ht="15" hidden="false" customHeight="false" outlineLevel="0" collapsed="false">
      <c r="A2021" s="0" t="n">
        <v>18</v>
      </c>
      <c r="B2021" s="8" t="s">
        <v>24</v>
      </c>
      <c r="C2021" s="9" t="s">
        <v>25</v>
      </c>
      <c r="D2021" s="9" t="s">
        <v>26</v>
      </c>
      <c r="E2021" s="10" t="n">
        <v>1789</v>
      </c>
      <c r="F2021" s="9" t="s">
        <v>27</v>
      </c>
      <c r="G2021" s="9" t="s">
        <v>27</v>
      </c>
      <c r="H2021" s="11" t="n">
        <v>25</v>
      </c>
      <c r="I2021" s="11" t="s">
        <v>346</v>
      </c>
      <c r="J2021" s="14"/>
      <c r="K2021" s="14" t="n">
        <v>50</v>
      </c>
      <c r="L2021" s="16"/>
      <c r="M2021" s="27" t="n">
        <f aca="false">J2021+(K2021/20)+(L2021/240)</f>
        <v>2.5</v>
      </c>
      <c r="N2021" s="17" t="s">
        <v>85</v>
      </c>
      <c r="O2021" s="11"/>
      <c r="P2021" s="28" t="n">
        <f aca="false">371167/100</f>
        <v>3711.67</v>
      </c>
      <c r="Q2021" s="28" t="n">
        <v>9279</v>
      </c>
      <c r="R2021" s="28"/>
      <c r="S2021" s="28" t="n">
        <f aca="false">R2021*$M2021</f>
        <v>0</v>
      </c>
      <c r="T2021" s="28"/>
      <c r="U2021" s="28" t="n">
        <f aca="false">T2021*$M2021</f>
        <v>0</v>
      </c>
      <c r="V2021" s="28"/>
      <c r="W2021" s="28" t="n">
        <f aca="false">V2021*$M2021</f>
        <v>0</v>
      </c>
      <c r="X2021" s="28"/>
      <c r="Y2021" s="28" t="n">
        <f aca="false">X2021*$M2021</f>
        <v>0</v>
      </c>
      <c r="Z2021" s="28"/>
      <c r="AA2021" s="28" t="n">
        <f aca="false">Z2021*$M2021</f>
        <v>0</v>
      </c>
      <c r="AB2021" s="28"/>
      <c r="AC2021" s="28" t="n">
        <f aca="false">AB2021*$M2021</f>
        <v>0</v>
      </c>
      <c r="AD2021" s="28"/>
      <c r="AE2021" s="28" t="n">
        <f aca="false">AD2021*$M2021</f>
        <v>0</v>
      </c>
      <c r="AF2021" s="28"/>
      <c r="AG2021" s="28" t="n">
        <f aca="false">AF2021*$M2021</f>
        <v>0</v>
      </c>
      <c r="AH2021" s="28"/>
      <c r="AI2021" s="28" t="n">
        <f aca="false">AH2021*$M2021</f>
        <v>0</v>
      </c>
      <c r="AJ2021" s="28"/>
      <c r="AK2021" s="28" t="n">
        <f aca="false">AJ2021*$M2021</f>
        <v>0</v>
      </c>
      <c r="AL2021" s="28"/>
      <c r="AM2021" s="28" t="n">
        <f aca="false">AL2021*$M2021</f>
        <v>0</v>
      </c>
      <c r="AN2021" s="28"/>
      <c r="AO2021" s="28" t="n">
        <f aca="false">AN2021*$M2021</f>
        <v>0</v>
      </c>
      <c r="AP2021" s="28"/>
      <c r="AQ2021" s="28" t="n">
        <f aca="false">AP2021*$M2021</f>
        <v>0</v>
      </c>
      <c r="AR2021" s="28"/>
      <c r="AS2021" s="28" t="n">
        <f aca="false">AR2021*$M2021</f>
        <v>0</v>
      </c>
      <c r="AT2021" s="28"/>
      <c r="AU2021" s="28" t="n">
        <f aca="false">AT2021*$M2021</f>
        <v>0</v>
      </c>
      <c r="AV2021" s="28"/>
      <c r="AW2021" s="28" t="n">
        <f aca="false">AV2021*$M2021</f>
        <v>0</v>
      </c>
      <c r="AX2021" s="28"/>
      <c r="AY2021" s="28" t="n">
        <f aca="false">AX2021*$M2021</f>
        <v>0</v>
      </c>
      <c r="AZ2021" s="30" t="n">
        <f aca="false">371167/100</f>
        <v>3711.67</v>
      </c>
      <c r="BA2021" s="11" t="n">
        <v>9279</v>
      </c>
      <c r="BB2021" s="31" t="n">
        <f aca="false">SUM(Q2021,S2021,U2021,W2021,Y2021,AA2021,AC2021,AE2021,AG2021,AI2021,AK2021,AM2021,AO2021,AQ2021,AS2021,AU2021,AW2021,AY2021)</f>
        <v>9279</v>
      </c>
      <c r="BC2021" s="28" t="n">
        <f aca="false">BA2021-BB2021</f>
        <v>0</v>
      </c>
      <c r="BD2021" s="32" t="n">
        <f aca="false">SUM(P2021,R2021,T2021,V2021,X2021,Z2021,AB2021,AD2021,AF2021,AH2021,AJ2021,AL2021,AN2021,AP2021,AR2021,AT2021,AV2021,AX2021)</f>
        <v>3711.67</v>
      </c>
      <c r="BE2021" s="33" t="n">
        <f aca="false">AZ2021-BD2021</f>
        <v>0</v>
      </c>
      <c r="BF2021" s="34" t="n">
        <f aca="false">BD2021*M2021</f>
        <v>9279.175</v>
      </c>
      <c r="BG2021" s="35" t="n">
        <f aca="false">BA2021-BF2021</f>
        <v>-0.174999999999272</v>
      </c>
      <c r="BH2021" s="19" t="str">
        <f aca="false">IF(BG2021=0,"",IF(BG2021&lt;&gt;BA2021,"erreur de calcul",IF(BD2021&lt;&gt;0,"pas de prix",IF(M2021&lt;&gt; 0,"pas de quantité","pas de prix, ni de quantité"))))</f>
        <v>erreur de calcul</v>
      </c>
      <c r="BI2021" s="19"/>
    </row>
    <row r="2022" customFormat="false" ht="16.65" hidden="false" customHeight="false" outlineLevel="0" collapsed="false">
      <c r="A2022" s="0" t="n">
        <v>19</v>
      </c>
      <c r="B2022" s="8" t="s">
        <v>24</v>
      </c>
      <c r="C2022" s="9" t="s">
        <v>25</v>
      </c>
      <c r="D2022" s="9" t="s">
        <v>26</v>
      </c>
      <c r="E2022" s="10" t="n">
        <v>1789</v>
      </c>
      <c r="F2022" s="9" t="s">
        <v>27</v>
      </c>
      <c r="G2022" s="9" t="s">
        <v>27</v>
      </c>
      <c r="H2022" s="11" t="n">
        <v>25</v>
      </c>
      <c r="I2022" s="11" t="s">
        <v>347</v>
      </c>
      <c r="J2022" s="14" t="n">
        <v>60</v>
      </c>
      <c r="K2022" s="14"/>
      <c r="L2022" s="16"/>
      <c r="M2022" s="27" t="n">
        <f aca="false">J2022+(K2022/20)+(L2022/240)</f>
        <v>60</v>
      </c>
      <c r="N2022" s="17" t="s">
        <v>64</v>
      </c>
      <c r="O2022" s="11"/>
      <c r="P2022" s="28"/>
      <c r="Q2022" s="28" t="n">
        <f aca="false">P2022*$M2022</f>
        <v>0</v>
      </c>
      <c r="R2022" s="28"/>
      <c r="S2022" s="28" t="n">
        <f aca="false">R2022*$M2022</f>
        <v>0</v>
      </c>
      <c r="T2022" s="28"/>
      <c r="U2022" s="28" t="n">
        <f aca="false">T2022*$M2022</f>
        <v>0</v>
      </c>
      <c r="V2022" s="28" t="n">
        <f aca="false">4151/100</f>
        <v>41.51</v>
      </c>
      <c r="W2022" s="28" t="n">
        <v>2491</v>
      </c>
      <c r="X2022" s="28" t="n">
        <f aca="false">13344/100</f>
        <v>133.44</v>
      </c>
      <c r="Y2022" s="28" t="n">
        <v>8006</v>
      </c>
      <c r="Z2022" s="28" t="n">
        <f aca="false">3323/100</f>
        <v>33.23</v>
      </c>
      <c r="AA2022" s="28" t="n">
        <v>1994</v>
      </c>
      <c r="AB2022" s="28"/>
      <c r="AC2022" s="28" t="n">
        <f aca="false">AB2022*$M2022</f>
        <v>0</v>
      </c>
      <c r="AD2022" s="28" t="n">
        <f aca="false">15268/100</f>
        <v>152.68</v>
      </c>
      <c r="AE2022" s="28" t="n">
        <v>9161</v>
      </c>
      <c r="AF2022" s="28"/>
      <c r="AG2022" s="28" t="n">
        <f aca="false">AF2022*$M2022</f>
        <v>0</v>
      </c>
      <c r="AH2022" s="28"/>
      <c r="AI2022" s="28" t="n">
        <f aca="false">AH2022*$M2022</f>
        <v>0</v>
      </c>
      <c r="AJ2022" s="28"/>
      <c r="AK2022" s="28" t="n">
        <f aca="false">AJ2022*$M2022</f>
        <v>0</v>
      </c>
      <c r="AL2022" s="28"/>
      <c r="AM2022" s="28" t="n">
        <f aca="false">AL2022*$M2022</f>
        <v>0</v>
      </c>
      <c r="AN2022" s="28"/>
      <c r="AO2022" s="28" t="n">
        <f aca="false">AN2022*$M2022</f>
        <v>0</v>
      </c>
      <c r="AP2022" s="28"/>
      <c r="AQ2022" s="28" t="n">
        <f aca="false">AP2022*$M2022</f>
        <v>0</v>
      </c>
      <c r="AR2022" s="28"/>
      <c r="AS2022" s="28" t="n">
        <f aca="false">AR2022*$M2022</f>
        <v>0</v>
      </c>
      <c r="AT2022" s="28"/>
      <c r="AU2022" s="28" t="n">
        <f aca="false">AT2022*$M2022</f>
        <v>0</v>
      </c>
      <c r="AV2022" s="28"/>
      <c r="AW2022" s="28" t="n">
        <f aca="false">AV2022*$M2022</f>
        <v>0</v>
      </c>
      <c r="AX2022" s="28"/>
      <c r="AY2022" s="28" t="n">
        <f aca="false">AX2022*$M2022</f>
        <v>0</v>
      </c>
      <c r="AZ2022" s="30" t="n">
        <f aca="false">32763/100</f>
        <v>327.63</v>
      </c>
      <c r="BA2022" s="11" t="n">
        <v>21652</v>
      </c>
      <c r="BB2022" s="31" t="n">
        <f aca="false">SUM(Q2022,S2022,U2022,W2022,Y2022,AA2022,AC2022,AE2022,AG2022,AI2022,AK2022,AM2022,AO2022,AQ2022,AS2022,AU2022,AW2022,AY2022)</f>
        <v>21652</v>
      </c>
      <c r="BC2022" s="28" t="n">
        <f aca="false">BA2022-BB2022</f>
        <v>0</v>
      </c>
      <c r="BD2022" s="32" t="n">
        <f aca="false">SUM(P2022,R2022,T2022,V2022,X2022,Z2022,AB2022,AD2022,AF2022,AH2022,AJ2022,AL2022,AN2022,AP2022,AR2022,AT2022,AV2022,AX2022)</f>
        <v>360.86</v>
      </c>
      <c r="BE2022" s="33" t="n">
        <f aca="false">AZ2022-BD2022</f>
        <v>-33.23</v>
      </c>
      <c r="BF2022" s="34" t="n">
        <f aca="false">BD2022*M2022</f>
        <v>21651.6</v>
      </c>
      <c r="BG2022" s="35" t="n">
        <f aca="false">BA2022-BF2022</f>
        <v>0.399999999997817</v>
      </c>
      <c r="BH2022" s="19" t="str">
        <f aca="false">IF(BG2022=0,"",IF(BG2022&lt;&gt;BA2022,"erreur de calcul",IF(BD2022&lt;&gt;0,"pas de prix",IF(M2022&lt;&gt; 0,"pas de quantité","pas de prix, ni de quantité"))))</f>
        <v>erreur de calcul</v>
      </c>
      <c r="BI2022" s="19"/>
    </row>
    <row r="2023" customFormat="false" ht="15" hidden="false" customHeight="false" outlineLevel="0" collapsed="false">
      <c r="A2023" s="0" t="n">
        <v>20</v>
      </c>
      <c r="B2023" s="8" t="s">
        <v>24</v>
      </c>
      <c r="C2023" s="9" t="s">
        <v>25</v>
      </c>
      <c r="D2023" s="9" t="s">
        <v>26</v>
      </c>
      <c r="E2023" s="10" t="n">
        <v>1789</v>
      </c>
      <c r="F2023" s="9" t="s">
        <v>27</v>
      </c>
      <c r="G2023" s="9" t="s">
        <v>27</v>
      </c>
      <c r="H2023" s="11" t="n">
        <v>25</v>
      </c>
      <c r="I2023" s="11" t="s">
        <v>348</v>
      </c>
      <c r="J2023" s="14" t="n">
        <v>9</v>
      </c>
      <c r="K2023" s="14"/>
      <c r="L2023" s="16"/>
      <c r="M2023" s="27" t="n">
        <f aca="false">J2023+(K2023/20)+(L2023/240)</f>
        <v>9</v>
      </c>
      <c r="N2023" s="17" t="s">
        <v>349</v>
      </c>
      <c r="O2023" s="11"/>
      <c r="P2023" s="28"/>
      <c r="Q2023" s="28" t="n">
        <f aca="false">P2023*$M2023</f>
        <v>0</v>
      </c>
      <c r="R2023" s="28"/>
      <c r="S2023" s="28" t="n">
        <f aca="false">R2023*$M2023</f>
        <v>0</v>
      </c>
      <c r="T2023" s="28"/>
      <c r="U2023" s="28" t="n">
        <f aca="false">T2023*$M2023</f>
        <v>0</v>
      </c>
      <c r="V2023" s="28" t="n">
        <v>545</v>
      </c>
      <c r="W2023" s="28" t="n">
        <v>4905</v>
      </c>
      <c r="X2023" s="28"/>
      <c r="Y2023" s="28" t="n">
        <f aca="false">X2023*$M2023</f>
        <v>0</v>
      </c>
      <c r="Z2023" s="28"/>
      <c r="AA2023" s="28" t="n">
        <f aca="false">Z2023*$M2023</f>
        <v>0</v>
      </c>
      <c r="AB2023" s="28"/>
      <c r="AC2023" s="28" t="n">
        <f aca="false">AB2023*$M2023</f>
        <v>0</v>
      </c>
      <c r="AD2023" s="28"/>
      <c r="AE2023" s="28" t="n">
        <f aca="false">AD2023*$M2023</f>
        <v>0</v>
      </c>
      <c r="AF2023" s="28"/>
      <c r="AG2023" s="28" t="n">
        <f aca="false">AF2023*$M2023</f>
        <v>0</v>
      </c>
      <c r="AH2023" s="28"/>
      <c r="AI2023" s="28" t="n">
        <f aca="false">AH2023*$M2023</f>
        <v>0</v>
      </c>
      <c r="AJ2023" s="28" t="n">
        <v>592</v>
      </c>
      <c r="AK2023" s="28" t="n">
        <v>5328</v>
      </c>
      <c r="AL2023" s="28"/>
      <c r="AM2023" s="28" t="n">
        <f aca="false">AL2023*$M2023</f>
        <v>0</v>
      </c>
      <c r="AN2023" s="28"/>
      <c r="AO2023" s="28" t="n">
        <f aca="false">AN2023*$M2023</f>
        <v>0</v>
      </c>
      <c r="AP2023" s="28"/>
      <c r="AQ2023" s="28" t="n">
        <f aca="false">AP2023*$M2023</f>
        <v>0</v>
      </c>
      <c r="AR2023" s="28"/>
      <c r="AS2023" s="28" t="n">
        <f aca="false">AR2023*$M2023</f>
        <v>0</v>
      </c>
      <c r="AT2023" s="28"/>
      <c r="AU2023" s="28" t="n">
        <f aca="false">AT2023*$M2023</f>
        <v>0</v>
      </c>
      <c r="AV2023" s="28"/>
      <c r="AW2023" s="28" t="n">
        <f aca="false">AV2023*$M2023</f>
        <v>0</v>
      </c>
      <c r="AX2023" s="28"/>
      <c r="AY2023" s="28" t="n">
        <f aca="false">AX2023*$M2023</f>
        <v>0</v>
      </c>
      <c r="AZ2023" s="30" t="n">
        <v>1137</v>
      </c>
      <c r="BA2023" s="11" t="n">
        <v>10233</v>
      </c>
      <c r="BB2023" s="31" t="n">
        <f aca="false">SUM(Q2023,S2023,U2023,W2023,Y2023,AA2023,AC2023,AE2023,AG2023,AI2023,AK2023,AM2023,AO2023,AQ2023,AS2023,AU2023,AW2023,AY2023)</f>
        <v>10233</v>
      </c>
      <c r="BC2023" s="28" t="n">
        <f aca="false">BA2023-BB2023</f>
        <v>0</v>
      </c>
      <c r="BD2023" s="32" t="n">
        <f aca="false">SUM(P2023,R2023,T2023,V2023,X2023,Z2023,AB2023,AD2023,AF2023,AH2023,AJ2023,AL2023,AN2023,AP2023,AR2023,AT2023,AV2023,AX2023)</f>
        <v>1137</v>
      </c>
      <c r="BE2023" s="33" t="n">
        <f aca="false">AZ2023-BD2023</f>
        <v>0</v>
      </c>
      <c r="BF2023" s="34" t="n">
        <f aca="false">BD2023*M2023</f>
        <v>10233</v>
      </c>
      <c r="BG2023" s="35" t="n">
        <f aca="false">BA2023-BF2023</f>
        <v>0</v>
      </c>
      <c r="BH2023" s="19" t="str">
        <f aca="false">IF(BG2023=0,"",IF(BG2023&lt;&gt;BA2023,"erreur de calcul",IF(BD2023&lt;&gt;0,"pas de prix",IF(M2023&lt;&gt; 0,"pas de quantité","pas de prix, ni de quantité"))))</f>
        <v/>
      </c>
      <c r="BI2023" s="19"/>
    </row>
    <row r="2024" customFormat="false" ht="15" hidden="false" customHeight="false" outlineLevel="0" collapsed="false">
      <c r="A2024" s="0" t="n">
        <v>21</v>
      </c>
      <c r="B2024" s="8" t="s">
        <v>24</v>
      </c>
      <c r="C2024" s="9" t="s">
        <v>25</v>
      </c>
      <c r="D2024" s="9" t="s">
        <v>26</v>
      </c>
      <c r="E2024" s="10" t="n">
        <v>1789</v>
      </c>
      <c r="F2024" s="9" t="s">
        <v>27</v>
      </c>
      <c r="G2024" s="9" t="s">
        <v>27</v>
      </c>
      <c r="H2024" s="11" t="n">
        <v>25</v>
      </c>
      <c r="I2024" s="11" t="s">
        <v>350</v>
      </c>
      <c r="J2024" s="14"/>
      <c r="K2024" s="14" t="n">
        <v>40</v>
      </c>
      <c r="L2024" s="16"/>
      <c r="M2024" s="27" t="n">
        <f aca="false">J2024+(K2024/20)+(L2024/240)</f>
        <v>2</v>
      </c>
      <c r="N2024" s="17" t="s">
        <v>349</v>
      </c>
      <c r="O2024" s="11"/>
      <c r="P2024" s="28"/>
      <c r="Q2024" s="28" t="n">
        <f aca="false">P2024*$M2024</f>
        <v>0</v>
      </c>
      <c r="R2024" s="28"/>
      <c r="S2024" s="28" t="n">
        <f aca="false">R2024*$M2024</f>
        <v>0</v>
      </c>
      <c r="T2024" s="28"/>
      <c r="U2024" s="28" t="n">
        <f aca="false">T2024*$M2024</f>
        <v>0</v>
      </c>
      <c r="V2024" s="28" t="n">
        <v>2688</v>
      </c>
      <c r="W2024" s="28" t="n">
        <v>5376</v>
      </c>
      <c r="X2024" s="28" t="n">
        <v>775</v>
      </c>
      <c r="Y2024" s="28" t="n">
        <v>1550</v>
      </c>
      <c r="Z2024" s="28"/>
      <c r="AA2024" s="28" t="n">
        <f aca="false">Z2024*$M2024</f>
        <v>0</v>
      </c>
      <c r="AB2024" s="28"/>
      <c r="AC2024" s="28" t="n">
        <f aca="false">AB2024*$M2024</f>
        <v>0</v>
      </c>
      <c r="AD2024" s="28"/>
      <c r="AE2024" s="28" t="n">
        <f aca="false">AD2024*$M2024</f>
        <v>0</v>
      </c>
      <c r="AF2024" s="28"/>
      <c r="AG2024" s="28" t="n">
        <f aca="false">AF2024*$M2024</f>
        <v>0</v>
      </c>
      <c r="AH2024" s="28"/>
      <c r="AI2024" s="28" t="n">
        <f aca="false">AH2024*$M2024</f>
        <v>0</v>
      </c>
      <c r="AJ2024" s="28"/>
      <c r="AK2024" s="28" t="n">
        <f aca="false">AJ2024*$M2024</f>
        <v>0</v>
      </c>
      <c r="AL2024" s="28"/>
      <c r="AM2024" s="28" t="n">
        <f aca="false">AL2024*$M2024</f>
        <v>0</v>
      </c>
      <c r="AN2024" s="28"/>
      <c r="AO2024" s="28" t="n">
        <f aca="false">AN2024*$M2024</f>
        <v>0</v>
      </c>
      <c r="AP2024" s="28"/>
      <c r="AQ2024" s="28" t="n">
        <f aca="false">AP2024*$M2024</f>
        <v>0</v>
      </c>
      <c r="AR2024" s="28"/>
      <c r="AS2024" s="28" t="n">
        <f aca="false">AR2024*$M2024</f>
        <v>0</v>
      </c>
      <c r="AT2024" s="28"/>
      <c r="AU2024" s="28" t="n">
        <f aca="false">AT2024*$M2024</f>
        <v>0</v>
      </c>
      <c r="AV2024" s="28"/>
      <c r="AW2024" s="28" t="n">
        <f aca="false">AV2024*$M2024</f>
        <v>0</v>
      </c>
      <c r="AX2024" s="28"/>
      <c r="AY2024" s="28" t="n">
        <f aca="false">AX2024*$M2024</f>
        <v>0</v>
      </c>
      <c r="AZ2024" s="30" t="n">
        <v>3463</v>
      </c>
      <c r="BA2024" s="11" t="n">
        <v>6926</v>
      </c>
      <c r="BB2024" s="31" t="n">
        <f aca="false">SUM(Q2024,S2024,U2024,W2024,Y2024,AA2024,AC2024,AE2024,AG2024,AI2024,AK2024,AM2024,AO2024,AQ2024,AS2024,AU2024,AW2024,AY2024)</f>
        <v>6926</v>
      </c>
      <c r="BC2024" s="28" t="n">
        <f aca="false">BA2024-BB2024</f>
        <v>0</v>
      </c>
      <c r="BD2024" s="32" t="n">
        <f aca="false">SUM(P2024,R2024,T2024,V2024,X2024,Z2024,AB2024,AD2024,AF2024,AH2024,AJ2024,AL2024,AN2024,AP2024,AR2024,AT2024,AV2024,AX2024)</f>
        <v>3463</v>
      </c>
      <c r="BE2024" s="33" t="n">
        <f aca="false">AZ2024-BD2024</f>
        <v>0</v>
      </c>
      <c r="BF2024" s="34" t="n">
        <f aca="false">BD2024*M2024</f>
        <v>6926</v>
      </c>
      <c r="BG2024" s="35" t="n">
        <f aca="false">BA2024-BF2024</f>
        <v>0</v>
      </c>
      <c r="BH2024" s="19" t="str">
        <f aca="false">IF(BG2024=0,"",IF(BG2024&lt;&gt;BA2024,"erreur de calcul",IF(BD2024&lt;&gt;0,"pas de prix",IF(M2024&lt;&gt; 0,"pas de quantité","pas de prix, ni de quantité"))))</f>
        <v/>
      </c>
      <c r="BI2024" s="19"/>
    </row>
    <row r="2025" customFormat="false" ht="15" hidden="false" customHeight="false" outlineLevel="0" collapsed="false">
      <c r="A2025" s="0" t="n">
        <v>22</v>
      </c>
      <c r="B2025" s="8" t="s">
        <v>24</v>
      </c>
      <c r="C2025" s="9" t="s">
        <v>25</v>
      </c>
      <c r="D2025" s="9" t="s">
        <v>26</v>
      </c>
      <c r="E2025" s="10" t="n">
        <v>1789</v>
      </c>
      <c r="F2025" s="9" t="s">
        <v>27</v>
      </c>
      <c r="G2025" s="9" t="s">
        <v>27</v>
      </c>
      <c r="H2025" s="11" t="n">
        <v>25</v>
      </c>
      <c r="I2025" s="11" t="s">
        <v>351</v>
      </c>
      <c r="J2025" s="14" t="n">
        <v>60</v>
      </c>
      <c r="K2025" s="14"/>
      <c r="L2025" s="16"/>
      <c r="M2025" s="27" t="n">
        <f aca="false">J2025+(K2025/20)+(L2025/240)</f>
        <v>60</v>
      </c>
      <c r="N2025" s="17" t="s">
        <v>69</v>
      </c>
      <c r="O2025" s="11"/>
      <c r="P2025" s="28"/>
      <c r="Q2025" s="28" t="n">
        <f aca="false">P2025*$M2025</f>
        <v>0</v>
      </c>
      <c r="R2025" s="28"/>
      <c r="S2025" s="28" t="n">
        <f aca="false">R2025*$M2025</f>
        <v>0</v>
      </c>
      <c r="T2025" s="28" t="n">
        <v>20</v>
      </c>
      <c r="U2025" s="28" t="n">
        <v>1200</v>
      </c>
      <c r="V2025" s="28" t="n">
        <v>82</v>
      </c>
      <c r="W2025" s="28" t="n">
        <v>4920</v>
      </c>
      <c r="X2025" s="28"/>
      <c r="Y2025" s="28" t="n">
        <f aca="false">X2025*$M2025</f>
        <v>0</v>
      </c>
      <c r="Z2025" s="28"/>
      <c r="AA2025" s="28" t="n">
        <f aca="false">Z2025*$M2025</f>
        <v>0</v>
      </c>
      <c r="AB2025" s="28"/>
      <c r="AC2025" s="28" t="n">
        <f aca="false">AB2025*$M2025</f>
        <v>0</v>
      </c>
      <c r="AD2025" s="28"/>
      <c r="AE2025" s="28" t="n">
        <f aca="false">AD2025*$M2025</f>
        <v>0</v>
      </c>
      <c r="AF2025" s="28"/>
      <c r="AG2025" s="28" t="n">
        <f aca="false">AF2025*$M2025</f>
        <v>0</v>
      </c>
      <c r="AH2025" s="28"/>
      <c r="AI2025" s="28" t="n">
        <f aca="false">AH2025*$M2025</f>
        <v>0</v>
      </c>
      <c r="AJ2025" s="28"/>
      <c r="AK2025" s="28" t="n">
        <f aca="false">AJ2025*$M2025</f>
        <v>0</v>
      </c>
      <c r="AL2025" s="28"/>
      <c r="AM2025" s="28" t="n">
        <f aca="false">AL2025*$M2025</f>
        <v>0</v>
      </c>
      <c r="AN2025" s="28"/>
      <c r="AO2025" s="28" t="n">
        <f aca="false">AN2025*$M2025</f>
        <v>0</v>
      </c>
      <c r="AP2025" s="28"/>
      <c r="AQ2025" s="28" t="n">
        <f aca="false">AP2025*$M2025</f>
        <v>0</v>
      </c>
      <c r="AR2025" s="28"/>
      <c r="AS2025" s="28" t="n">
        <f aca="false">AR2025*$M2025</f>
        <v>0</v>
      </c>
      <c r="AT2025" s="28"/>
      <c r="AU2025" s="28" t="n">
        <f aca="false">AT2025*$M2025</f>
        <v>0</v>
      </c>
      <c r="AV2025" s="28"/>
      <c r="AW2025" s="28" t="n">
        <f aca="false">AV2025*$M2025</f>
        <v>0</v>
      </c>
      <c r="AX2025" s="28"/>
      <c r="AY2025" s="28" t="n">
        <f aca="false">AX2025*$M2025</f>
        <v>0</v>
      </c>
      <c r="AZ2025" s="30" t="n">
        <v>102</v>
      </c>
      <c r="BA2025" s="11" t="n">
        <v>6120</v>
      </c>
      <c r="BB2025" s="31" t="n">
        <f aca="false">SUM(Q2025,S2025,U2025,W2025,Y2025,AA2025,AC2025,AE2025,AG2025,AI2025,AK2025,AM2025,AO2025,AQ2025,AS2025,AU2025,AW2025,AY2025)</f>
        <v>6120</v>
      </c>
      <c r="BC2025" s="28" t="n">
        <f aca="false">BA2025-BB2025</f>
        <v>0</v>
      </c>
      <c r="BD2025" s="32" t="n">
        <f aca="false">SUM(P2025,R2025,T2025,V2025,X2025,Z2025,AB2025,AD2025,AF2025,AH2025,AJ2025,AL2025,AN2025,AP2025,AR2025,AT2025,AV2025,AX2025)</f>
        <v>102</v>
      </c>
      <c r="BE2025" s="33" t="n">
        <f aca="false">AZ2025-BD2025</f>
        <v>0</v>
      </c>
      <c r="BF2025" s="34" t="n">
        <f aca="false">BD2025*M2025</f>
        <v>6120</v>
      </c>
      <c r="BG2025" s="35" t="n">
        <f aca="false">BA2025-BF2025</f>
        <v>0</v>
      </c>
      <c r="BH2025" s="19" t="str">
        <f aca="false">IF(BG2025=0,"",IF(BG2025&lt;&gt;BA2025,"erreur de calcul",IF(BD2025&lt;&gt;0,"pas de prix",IF(M2025&lt;&gt; 0,"pas de quantité","pas de prix, ni de quantité"))))</f>
        <v/>
      </c>
      <c r="BI2025" s="19"/>
    </row>
    <row r="2026" customFormat="false" ht="15" hidden="false" customHeight="false" outlineLevel="0" collapsed="false">
      <c r="A2026" s="0" t="n">
        <v>23</v>
      </c>
      <c r="B2026" s="8" t="s">
        <v>24</v>
      </c>
      <c r="C2026" s="9" t="s">
        <v>25</v>
      </c>
      <c r="D2026" s="9" t="s">
        <v>26</v>
      </c>
      <c r="E2026" s="10" t="n">
        <v>1789</v>
      </c>
      <c r="F2026" s="9" t="s">
        <v>27</v>
      </c>
      <c r="G2026" s="9" t="s">
        <v>27</v>
      </c>
      <c r="H2026" s="11" t="n">
        <v>25</v>
      </c>
      <c r="I2026" s="11" t="s">
        <v>352</v>
      </c>
      <c r="J2026" s="14" t="n">
        <v>150</v>
      </c>
      <c r="K2026" s="14"/>
      <c r="L2026" s="16"/>
      <c r="M2026" s="27" t="n">
        <f aca="false">J2026+(K2026/20)+(L2026/240)</f>
        <v>150</v>
      </c>
      <c r="N2026" s="17" t="s">
        <v>64</v>
      </c>
      <c r="O2026" s="11"/>
      <c r="P2026" s="28" t="n">
        <f aca="false">274/100</f>
        <v>2.74</v>
      </c>
      <c r="Q2026" s="28" t="n">
        <v>411</v>
      </c>
      <c r="R2026" s="28"/>
      <c r="S2026" s="28" t="n">
        <f aca="false">R2026*$M2026</f>
        <v>0</v>
      </c>
      <c r="T2026" s="28" t="n">
        <f aca="false">3042/100</f>
        <v>30.42</v>
      </c>
      <c r="U2026" s="28" t="n">
        <v>4563</v>
      </c>
      <c r="V2026" s="28"/>
      <c r="W2026" s="28" t="n">
        <f aca="false">V2026*$M2026</f>
        <v>0</v>
      </c>
      <c r="X2026" s="28"/>
      <c r="Y2026" s="28" t="n">
        <f aca="false">X2026*$M2026</f>
        <v>0</v>
      </c>
      <c r="Z2026" s="28"/>
      <c r="AA2026" s="28" t="n">
        <f aca="false">Z2026*$M2026</f>
        <v>0</v>
      </c>
      <c r="AB2026" s="28" t="n">
        <f aca="false">92/100</f>
        <v>0.92</v>
      </c>
      <c r="AC2026" s="28" t="n">
        <v>138</v>
      </c>
      <c r="AD2026" s="28"/>
      <c r="AE2026" s="28" t="n">
        <f aca="false">AD2026*$M2026</f>
        <v>0</v>
      </c>
      <c r="AF2026" s="28"/>
      <c r="AG2026" s="28" t="n">
        <f aca="false">AF2026*$M2026</f>
        <v>0</v>
      </c>
      <c r="AH2026" s="28"/>
      <c r="AI2026" s="28" t="n">
        <f aca="false">AH2026*$M2026</f>
        <v>0</v>
      </c>
      <c r="AJ2026" s="28"/>
      <c r="AK2026" s="28" t="n">
        <f aca="false">AJ2026*$M2026</f>
        <v>0</v>
      </c>
      <c r="AL2026" s="28"/>
      <c r="AM2026" s="28" t="n">
        <f aca="false">AL2026*$M2026</f>
        <v>0</v>
      </c>
      <c r="AN2026" s="28"/>
      <c r="AO2026" s="28" t="n">
        <f aca="false">AN2026*$M2026</f>
        <v>0</v>
      </c>
      <c r="AP2026" s="28"/>
      <c r="AQ2026" s="28" t="n">
        <f aca="false">AP2026*$M2026</f>
        <v>0</v>
      </c>
      <c r="AR2026" s="28"/>
      <c r="AS2026" s="28" t="n">
        <f aca="false">AR2026*$M2026</f>
        <v>0</v>
      </c>
      <c r="AT2026" s="28"/>
      <c r="AU2026" s="28" t="n">
        <f aca="false">AT2026*$M2026</f>
        <v>0</v>
      </c>
      <c r="AV2026" s="28"/>
      <c r="AW2026" s="28" t="n">
        <f aca="false">AV2026*$M2026</f>
        <v>0</v>
      </c>
      <c r="AX2026" s="28"/>
      <c r="AY2026" s="28" t="n">
        <f aca="false">AX2026*$M2026</f>
        <v>0</v>
      </c>
      <c r="AZ2026" s="30" t="n">
        <f aca="false">3408/100</f>
        <v>34.08</v>
      </c>
      <c r="BA2026" s="11" t="n">
        <v>5112</v>
      </c>
      <c r="BB2026" s="31" t="n">
        <f aca="false">SUM(Q2026,S2026,U2026,W2026,Y2026,AA2026,AC2026,AE2026,AG2026,AI2026,AK2026,AM2026,AO2026,AQ2026,AS2026,AU2026,AW2026,AY2026)</f>
        <v>5112</v>
      </c>
      <c r="BC2026" s="28" t="n">
        <f aca="false">BA2026-BB2026</f>
        <v>0</v>
      </c>
      <c r="BD2026" s="32" t="n">
        <f aca="false">SUM(P2026,R2026,T2026,V2026,X2026,Z2026,AB2026,AD2026,AF2026,AH2026,AJ2026,AL2026,AN2026,AP2026,AR2026,AT2026,AV2026,AX2026)</f>
        <v>34.08</v>
      </c>
      <c r="BE2026" s="33" t="n">
        <f aca="false">AZ2026-BD2026</f>
        <v>0</v>
      </c>
      <c r="BF2026" s="34" t="n">
        <f aca="false">BD2026*M2026</f>
        <v>5112</v>
      </c>
      <c r="BG2026" s="35" t="n">
        <f aca="false">BA2026-BF2026</f>
        <v>0</v>
      </c>
      <c r="BH2026" s="19" t="str">
        <f aca="false">IF(BG2026=0,"",IF(BG2026&lt;&gt;BA2026,"erreur de calcul",IF(BD2026&lt;&gt;0,"pas de prix",IF(M2026&lt;&gt; 0,"pas de quantité","pas de prix, ni de quantité"))))</f>
        <v/>
      </c>
      <c r="BI2026" s="19"/>
    </row>
    <row r="2027" customFormat="false" ht="15" hidden="false" customHeight="false" outlineLevel="0" collapsed="false">
      <c r="A2027" s="0" t="n">
        <v>24</v>
      </c>
      <c r="B2027" s="8" t="s">
        <v>24</v>
      </c>
      <c r="C2027" s="9" t="s">
        <v>25</v>
      </c>
      <c r="D2027" s="9" t="s">
        <v>26</v>
      </c>
      <c r="E2027" s="10" t="n">
        <v>1789</v>
      </c>
      <c r="F2027" s="9" t="s">
        <v>27</v>
      </c>
      <c r="G2027" s="9" t="s">
        <v>27</v>
      </c>
      <c r="H2027" s="11" t="n">
        <v>25</v>
      </c>
      <c r="I2027" s="11" t="s">
        <v>353</v>
      </c>
      <c r="J2027" s="14" t="n">
        <v>40</v>
      </c>
      <c r="K2027" s="14"/>
      <c r="L2027" s="16"/>
      <c r="M2027" s="27" t="n">
        <f aca="false">J2027+(K2027/20)+(L2027/240)</f>
        <v>40</v>
      </c>
      <c r="N2027" s="17" t="s">
        <v>64</v>
      </c>
      <c r="O2027" s="11"/>
      <c r="P2027" s="28"/>
      <c r="Q2027" s="28" t="n">
        <f aca="false">P2027*$M2027</f>
        <v>0</v>
      </c>
      <c r="R2027" s="28"/>
      <c r="S2027" s="28" t="n">
        <f aca="false">R2027*$M2027</f>
        <v>0</v>
      </c>
      <c r="T2027" s="28"/>
      <c r="U2027" s="28" t="n">
        <f aca="false">T2027*$M2027</f>
        <v>0</v>
      </c>
      <c r="V2027" s="28" t="n">
        <f aca="false">4960/100</f>
        <v>49.6</v>
      </c>
      <c r="W2027" s="28" t="n">
        <v>1984</v>
      </c>
      <c r="X2027" s="28" t="n">
        <f aca="false">394/100</f>
        <v>3.94</v>
      </c>
      <c r="Y2027" s="28" t="n">
        <v>158</v>
      </c>
      <c r="Z2027" s="28"/>
      <c r="AA2027" s="28" t="n">
        <f aca="false">Z2027*$M2027</f>
        <v>0</v>
      </c>
      <c r="AB2027" s="28"/>
      <c r="AC2027" s="28" t="n">
        <f aca="false">AB2027*$M2027</f>
        <v>0</v>
      </c>
      <c r="AD2027" s="28"/>
      <c r="AE2027" s="28" t="n">
        <f aca="false">AD2027*$M2027</f>
        <v>0</v>
      </c>
      <c r="AF2027" s="28"/>
      <c r="AG2027" s="28" t="n">
        <f aca="false">AF2027*$M2027</f>
        <v>0</v>
      </c>
      <c r="AH2027" s="28"/>
      <c r="AI2027" s="28" t="n">
        <f aca="false">AH2027*$M2027</f>
        <v>0</v>
      </c>
      <c r="AJ2027" s="28"/>
      <c r="AK2027" s="28" t="n">
        <f aca="false">AJ2027*$M2027</f>
        <v>0</v>
      </c>
      <c r="AL2027" s="28"/>
      <c r="AM2027" s="28" t="n">
        <f aca="false">AL2027*$M2027</f>
        <v>0</v>
      </c>
      <c r="AN2027" s="28"/>
      <c r="AO2027" s="28" t="n">
        <f aca="false">AN2027*$M2027</f>
        <v>0</v>
      </c>
      <c r="AP2027" s="28"/>
      <c r="AQ2027" s="28" t="n">
        <f aca="false">AP2027*$M2027</f>
        <v>0</v>
      </c>
      <c r="AR2027" s="28"/>
      <c r="AS2027" s="28" t="n">
        <f aca="false">AR2027*$M2027</f>
        <v>0</v>
      </c>
      <c r="AT2027" s="28"/>
      <c r="AU2027" s="28" t="n">
        <f aca="false">AT2027*$M2027</f>
        <v>0</v>
      </c>
      <c r="AV2027" s="28"/>
      <c r="AW2027" s="28" t="n">
        <f aca="false">AV2027*$M2027</f>
        <v>0</v>
      </c>
      <c r="AX2027" s="28"/>
      <c r="AY2027" s="28" t="n">
        <f aca="false">AX2027*$M2027</f>
        <v>0</v>
      </c>
      <c r="AZ2027" s="30" t="n">
        <f aca="false">5354/100</f>
        <v>53.54</v>
      </c>
      <c r="BA2027" s="11" t="n">
        <v>2142</v>
      </c>
      <c r="BB2027" s="31" t="n">
        <f aca="false">SUM(Q2027,S2027,U2027,W2027,Y2027,AA2027,AC2027,AE2027,AG2027,AI2027,AK2027,AM2027,AO2027,AQ2027,AS2027,AU2027,AW2027,AY2027)</f>
        <v>2142</v>
      </c>
      <c r="BC2027" s="28" t="n">
        <f aca="false">BA2027-BB2027</f>
        <v>0</v>
      </c>
      <c r="BD2027" s="32" t="n">
        <f aca="false">SUM(P2027,R2027,T2027,V2027,X2027,Z2027,AB2027,AD2027,AF2027,AH2027,AJ2027,AL2027,AN2027,AP2027,AR2027,AT2027,AV2027,AX2027)</f>
        <v>53.54</v>
      </c>
      <c r="BE2027" s="33" t="n">
        <f aca="false">AZ2027-BD2027</f>
        <v>0</v>
      </c>
      <c r="BF2027" s="34" t="n">
        <f aca="false">BD2027*M2027</f>
        <v>2141.6</v>
      </c>
      <c r="BG2027" s="35" t="n">
        <f aca="false">BA2027-BF2027</f>
        <v>0.400000000000091</v>
      </c>
      <c r="BH2027" s="19" t="str">
        <f aca="false">IF(BG2027=0,"",IF(BG2027&lt;&gt;BA2027,"erreur de calcul",IF(BD2027&lt;&gt;0,"pas de prix",IF(M2027&lt;&gt; 0,"pas de quantité","pas de prix, ni de quantité"))))</f>
        <v>erreur de calcul</v>
      </c>
      <c r="BI2027" s="19"/>
    </row>
    <row r="2028" customFormat="false" ht="15" hidden="false" customHeight="false" outlineLevel="0" collapsed="false">
      <c r="A2028" s="0" t="n">
        <v>25</v>
      </c>
      <c r="B2028" s="8" t="s">
        <v>24</v>
      </c>
      <c r="C2028" s="9" t="s">
        <v>25</v>
      </c>
      <c r="D2028" s="9" t="s">
        <v>26</v>
      </c>
      <c r="E2028" s="10" t="n">
        <v>1789</v>
      </c>
      <c r="F2028" s="9" t="s">
        <v>27</v>
      </c>
      <c r="G2028" s="9" t="s">
        <v>27</v>
      </c>
      <c r="H2028" s="11" t="n">
        <v>25</v>
      </c>
      <c r="I2028" s="11" t="s">
        <v>354</v>
      </c>
      <c r="J2028" s="14" t="n">
        <v>200</v>
      </c>
      <c r="K2028" s="14"/>
      <c r="L2028" s="16"/>
      <c r="M2028" s="27" t="n">
        <f aca="false">J2028+(K2028/20)+(L2028/240)</f>
        <v>200</v>
      </c>
      <c r="N2028" s="17" t="s">
        <v>64</v>
      </c>
      <c r="O2028" s="11"/>
      <c r="P2028" s="28"/>
      <c r="Q2028" s="28" t="n">
        <f aca="false">P2028*$M2028</f>
        <v>0</v>
      </c>
      <c r="R2028" s="28"/>
      <c r="S2028" s="28" t="n">
        <f aca="false">R2028*$M2028</f>
        <v>0</v>
      </c>
      <c r="T2028" s="28" t="n">
        <f aca="false">4367/100</f>
        <v>43.67</v>
      </c>
      <c r="U2028" s="28" t="n">
        <v>8734</v>
      </c>
      <c r="V2028" s="28" t="n">
        <f aca="false">346/100</f>
        <v>3.46</v>
      </c>
      <c r="W2028" s="28" t="n">
        <v>692</v>
      </c>
      <c r="X2028" s="28"/>
      <c r="Y2028" s="28" t="n">
        <f aca="false">X2028*$M2028</f>
        <v>0</v>
      </c>
      <c r="Z2028" s="28"/>
      <c r="AA2028" s="28" t="n">
        <f aca="false">Z2028*$M2028</f>
        <v>0</v>
      </c>
      <c r="AB2028" s="28"/>
      <c r="AC2028" s="28" t="n">
        <f aca="false">AB2028*$M2028</f>
        <v>0</v>
      </c>
      <c r="AD2028" s="28"/>
      <c r="AE2028" s="28" t="n">
        <f aca="false">AD2028*$M2028</f>
        <v>0</v>
      </c>
      <c r="AF2028" s="28"/>
      <c r="AG2028" s="28" t="n">
        <f aca="false">AF2028*$M2028</f>
        <v>0</v>
      </c>
      <c r="AH2028" s="28"/>
      <c r="AI2028" s="28" t="n">
        <f aca="false">AH2028*$M2028</f>
        <v>0</v>
      </c>
      <c r="AJ2028" s="28"/>
      <c r="AK2028" s="28" t="n">
        <f aca="false">AJ2028*$M2028</f>
        <v>0</v>
      </c>
      <c r="AL2028" s="28"/>
      <c r="AM2028" s="28" t="n">
        <f aca="false">AL2028*$M2028</f>
        <v>0</v>
      </c>
      <c r="AN2028" s="28"/>
      <c r="AO2028" s="28" t="n">
        <f aca="false">AN2028*$M2028</f>
        <v>0</v>
      </c>
      <c r="AP2028" s="28"/>
      <c r="AQ2028" s="28" t="n">
        <f aca="false">AP2028*$M2028</f>
        <v>0</v>
      </c>
      <c r="AR2028" s="28"/>
      <c r="AS2028" s="28" t="n">
        <f aca="false">AR2028*$M2028</f>
        <v>0</v>
      </c>
      <c r="AT2028" s="28"/>
      <c r="AU2028" s="28" t="n">
        <f aca="false">AT2028*$M2028</f>
        <v>0</v>
      </c>
      <c r="AV2028" s="28"/>
      <c r="AW2028" s="28" t="n">
        <f aca="false">AV2028*$M2028</f>
        <v>0</v>
      </c>
      <c r="AX2028" s="28"/>
      <c r="AY2028" s="28" t="n">
        <f aca="false">AX2028*$M2028</f>
        <v>0</v>
      </c>
      <c r="AZ2028" s="30" t="n">
        <f aca="false">4713/100</f>
        <v>47.13</v>
      </c>
      <c r="BA2028" s="11" t="n">
        <v>9426</v>
      </c>
      <c r="BB2028" s="31" t="n">
        <f aca="false">SUM(Q2028,S2028,U2028,W2028,Y2028,AA2028,AC2028,AE2028,AG2028,AI2028,AK2028,AM2028,AO2028,AQ2028,AS2028,AU2028,AW2028,AY2028)</f>
        <v>9426</v>
      </c>
      <c r="BC2028" s="28" t="n">
        <f aca="false">BA2028-BB2028</f>
        <v>0</v>
      </c>
      <c r="BD2028" s="32" t="n">
        <f aca="false">SUM(P2028,R2028,T2028,V2028,X2028,Z2028,AB2028,AD2028,AF2028,AH2028,AJ2028,AL2028,AN2028,AP2028,AR2028,AT2028,AV2028,AX2028)</f>
        <v>47.13</v>
      </c>
      <c r="BE2028" s="33" t="n">
        <f aca="false">AZ2028-BD2028</f>
        <v>0</v>
      </c>
      <c r="BF2028" s="34" t="n">
        <f aca="false">BD2028*M2028</f>
        <v>9426</v>
      </c>
      <c r="BG2028" s="35" t="n">
        <f aca="false">BA2028-BF2028</f>
        <v>0</v>
      </c>
      <c r="BH2028" s="19" t="str">
        <f aca="false">IF(BG2028=0,"",IF(BG2028&lt;&gt;BA2028,"erreur de calcul",IF(BD2028&lt;&gt;0,"pas de prix",IF(M2028&lt;&gt; 0,"pas de quantité","pas de prix, ni de quantité"))))</f>
        <v/>
      </c>
      <c r="BI2028" s="19"/>
    </row>
    <row r="2029" customFormat="false" ht="15" hidden="false" customHeight="false" outlineLevel="0" collapsed="false">
      <c r="A2029" s="0" t="n">
        <v>26</v>
      </c>
      <c r="B2029" s="8" t="s">
        <v>24</v>
      </c>
      <c r="C2029" s="9" t="s">
        <v>25</v>
      </c>
      <c r="D2029" s="9" t="s">
        <v>26</v>
      </c>
      <c r="E2029" s="10" t="n">
        <v>1789</v>
      </c>
      <c r="F2029" s="9" t="s">
        <v>27</v>
      </c>
      <c r="G2029" s="9" t="s">
        <v>27</v>
      </c>
      <c r="H2029" s="11" t="n">
        <v>25</v>
      </c>
      <c r="I2029" s="11" t="s">
        <v>355</v>
      </c>
      <c r="J2029" s="14" t="n">
        <v>200</v>
      </c>
      <c r="K2029" s="14"/>
      <c r="L2029" s="16"/>
      <c r="M2029" s="27" t="n">
        <f aca="false">J2029+(K2029/20)+(L2029/240)</f>
        <v>200</v>
      </c>
      <c r="N2029" s="17" t="s">
        <v>64</v>
      </c>
      <c r="O2029" s="11"/>
      <c r="P2029" s="28"/>
      <c r="Q2029" s="28" t="n">
        <f aca="false">P2029*$M2029</f>
        <v>0</v>
      </c>
      <c r="R2029" s="28"/>
      <c r="S2029" s="28" t="n">
        <f aca="false">R2029*$M2029</f>
        <v>0</v>
      </c>
      <c r="T2029" s="28" t="n">
        <f aca="false">2471/100</f>
        <v>24.71</v>
      </c>
      <c r="U2029" s="28" t="n">
        <v>4942</v>
      </c>
      <c r="V2029" s="28"/>
      <c r="W2029" s="28" t="n">
        <f aca="false">V2029*$M2029</f>
        <v>0</v>
      </c>
      <c r="X2029" s="28"/>
      <c r="Y2029" s="28" t="n">
        <f aca="false">X2029*$M2029</f>
        <v>0</v>
      </c>
      <c r="Z2029" s="28"/>
      <c r="AA2029" s="28" t="n">
        <f aca="false">Z2029*$M2029</f>
        <v>0</v>
      </c>
      <c r="AB2029" s="28"/>
      <c r="AC2029" s="28" t="n">
        <f aca="false">AB2029*$M2029</f>
        <v>0</v>
      </c>
      <c r="AD2029" s="28"/>
      <c r="AE2029" s="28" t="n">
        <f aca="false">AD2029*$M2029</f>
        <v>0</v>
      </c>
      <c r="AF2029" s="28"/>
      <c r="AG2029" s="28" t="n">
        <f aca="false">AF2029*$M2029</f>
        <v>0</v>
      </c>
      <c r="AH2029" s="28"/>
      <c r="AI2029" s="28" t="n">
        <f aca="false">AH2029*$M2029</f>
        <v>0</v>
      </c>
      <c r="AJ2029" s="28"/>
      <c r="AK2029" s="28" t="n">
        <f aca="false">AJ2029*$M2029</f>
        <v>0</v>
      </c>
      <c r="AL2029" s="28"/>
      <c r="AM2029" s="28" t="n">
        <f aca="false">AL2029*$M2029</f>
        <v>0</v>
      </c>
      <c r="AN2029" s="28"/>
      <c r="AO2029" s="28" t="n">
        <f aca="false">AN2029*$M2029</f>
        <v>0</v>
      </c>
      <c r="AP2029" s="28"/>
      <c r="AQ2029" s="28" t="n">
        <f aca="false">AP2029*$M2029</f>
        <v>0</v>
      </c>
      <c r="AR2029" s="28"/>
      <c r="AS2029" s="28" t="n">
        <f aca="false">AR2029*$M2029</f>
        <v>0</v>
      </c>
      <c r="AT2029" s="28"/>
      <c r="AU2029" s="28" t="n">
        <f aca="false">AT2029*$M2029</f>
        <v>0</v>
      </c>
      <c r="AV2029" s="28"/>
      <c r="AW2029" s="28" t="n">
        <f aca="false">AV2029*$M2029</f>
        <v>0</v>
      </c>
      <c r="AX2029" s="28"/>
      <c r="AY2029" s="28" t="n">
        <f aca="false">AX2029*$M2029</f>
        <v>0</v>
      </c>
      <c r="AZ2029" s="30" t="n">
        <f aca="false">2471/100</f>
        <v>24.71</v>
      </c>
      <c r="BA2029" s="11" t="n">
        <v>4942</v>
      </c>
      <c r="BB2029" s="31" t="n">
        <f aca="false">SUM(Q2029,S2029,U2029,W2029,Y2029,AA2029,AC2029,AE2029,AG2029,AI2029,AK2029,AM2029,AO2029,AQ2029,AS2029,AU2029,AW2029,AY2029)</f>
        <v>4942</v>
      </c>
      <c r="BC2029" s="28" t="n">
        <f aca="false">BA2029-BB2029</f>
        <v>0</v>
      </c>
      <c r="BD2029" s="32" t="n">
        <f aca="false">SUM(P2029,R2029,T2029,V2029,X2029,Z2029,AB2029,AD2029,AF2029,AH2029,AJ2029,AL2029,AN2029,AP2029,AR2029,AT2029,AV2029,AX2029)</f>
        <v>24.71</v>
      </c>
      <c r="BE2029" s="33" t="n">
        <f aca="false">AZ2029-BD2029</f>
        <v>0</v>
      </c>
      <c r="BF2029" s="34" t="n">
        <f aca="false">BD2029*M2029</f>
        <v>4942</v>
      </c>
      <c r="BG2029" s="35" t="n">
        <f aca="false">BA2029-BF2029</f>
        <v>0</v>
      </c>
      <c r="BH2029" s="19" t="str">
        <f aca="false">IF(BG2029=0,"",IF(BG2029&lt;&gt;BA2029,"erreur de calcul",IF(BD2029&lt;&gt;0,"pas de prix",IF(M2029&lt;&gt; 0,"pas de quantité","pas de prix, ni de quantité"))))</f>
        <v/>
      </c>
      <c r="BI2029" s="19"/>
    </row>
    <row r="2030" customFormat="false" ht="15" hidden="false" customHeight="false" outlineLevel="0" collapsed="false">
      <c r="A2030" s="0" t="n">
        <v>27</v>
      </c>
      <c r="B2030" s="8" t="s">
        <v>24</v>
      </c>
      <c r="C2030" s="9" t="s">
        <v>25</v>
      </c>
      <c r="D2030" s="9" t="s">
        <v>26</v>
      </c>
      <c r="E2030" s="10" t="n">
        <v>1789</v>
      </c>
      <c r="F2030" s="9" t="s">
        <v>27</v>
      </c>
      <c r="G2030" s="9" t="s">
        <v>27</v>
      </c>
      <c r="H2030" s="11" t="n">
        <v>25</v>
      </c>
      <c r="I2030" s="11" t="s">
        <v>356</v>
      </c>
      <c r="J2030" s="14" t="n">
        <v>120</v>
      </c>
      <c r="K2030" s="14"/>
      <c r="L2030" s="16"/>
      <c r="M2030" s="27" t="n">
        <f aca="false">J2030+(K2030/20)+(L2030/240)</f>
        <v>120</v>
      </c>
      <c r="N2030" s="17" t="s">
        <v>64</v>
      </c>
      <c r="O2030" s="11"/>
      <c r="P2030" s="28"/>
      <c r="Q2030" s="28" t="n">
        <f aca="false">P2030*$M2030</f>
        <v>0</v>
      </c>
      <c r="R2030" s="28"/>
      <c r="S2030" s="28" t="n">
        <f aca="false">R2030*$M2030</f>
        <v>0</v>
      </c>
      <c r="T2030" s="28"/>
      <c r="U2030" s="28" t="n">
        <f aca="false">T2030*$M2030</f>
        <v>0</v>
      </c>
      <c r="V2030" s="28"/>
      <c r="W2030" s="28" t="n">
        <f aca="false">V2030*$M2030</f>
        <v>0</v>
      </c>
      <c r="X2030" s="28"/>
      <c r="Y2030" s="28" t="n">
        <f aca="false">X2030*$M2030</f>
        <v>0</v>
      </c>
      <c r="Z2030" s="28"/>
      <c r="AA2030" s="28" t="n">
        <f aca="false">Z2030*$M2030</f>
        <v>0</v>
      </c>
      <c r="AB2030" s="28"/>
      <c r="AC2030" s="28" t="n">
        <f aca="false">AB2030*$M2030</f>
        <v>0</v>
      </c>
      <c r="AD2030" s="28"/>
      <c r="AE2030" s="28" t="n">
        <f aca="false">AD2030*$M2030</f>
        <v>0</v>
      </c>
      <c r="AF2030" s="28"/>
      <c r="AG2030" s="28" t="n">
        <f aca="false">AF2030*$M2030</f>
        <v>0</v>
      </c>
      <c r="AH2030" s="28"/>
      <c r="AI2030" s="28" t="n">
        <f aca="false">AH2030*$M2030</f>
        <v>0</v>
      </c>
      <c r="AJ2030" s="28"/>
      <c r="AK2030" s="28" t="n">
        <f aca="false">AJ2030*$M2030</f>
        <v>0</v>
      </c>
      <c r="AL2030" s="28"/>
      <c r="AM2030" s="28" t="n">
        <f aca="false">AL2030*$M2030</f>
        <v>0</v>
      </c>
      <c r="AN2030" s="28" t="n">
        <f aca="false">407/100</f>
        <v>4.07</v>
      </c>
      <c r="AO2030" s="28" t="n">
        <v>488</v>
      </c>
      <c r="AP2030" s="28"/>
      <c r="AQ2030" s="28" t="n">
        <f aca="false">AP2030*$M2030</f>
        <v>0</v>
      </c>
      <c r="AR2030" s="28"/>
      <c r="AS2030" s="28" t="n">
        <f aca="false">AR2030*$M2030</f>
        <v>0</v>
      </c>
      <c r="AT2030" s="28"/>
      <c r="AU2030" s="28" t="n">
        <f aca="false">AT2030*$M2030</f>
        <v>0</v>
      </c>
      <c r="AV2030" s="28"/>
      <c r="AW2030" s="28" t="n">
        <f aca="false">AV2030*$M2030</f>
        <v>0</v>
      </c>
      <c r="AX2030" s="28"/>
      <c r="AY2030" s="28" t="n">
        <f aca="false">AX2030*$M2030</f>
        <v>0</v>
      </c>
      <c r="AZ2030" s="30" t="n">
        <f aca="false">407/100</f>
        <v>4.07</v>
      </c>
      <c r="BA2030" s="11" t="n">
        <v>488</v>
      </c>
      <c r="BB2030" s="31" t="n">
        <f aca="false">SUM(Q2030,S2030,U2030,W2030,Y2030,AA2030,AC2030,AE2030,AG2030,AI2030,AK2030,AM2030,AO2030,AQ2030,AS2030,AU2030,AW2030,AY2030)</f>
        <v>488</v>
      </c>
      <c r="BC2030" s="28" t="n">
        <f aca="false">BA2030-BB2030</f>
        <v>0</v>
      </c>
      <c r="BD2030" s="32" t="n">
        <f aca="false">SUM(P2030,R2030,T2030,V2030,X2030,Z2030,AB2030,AD2030,AF2030,AH2030,AJ2030,AL2030,AN2030,AP2030,AR2030,AT2030,AV2030,AX2030)</f>
        <v>4.07</v>
      </c>
      <c r="BE2030" s="33" t="n">
        <f aca="false">AZ2030-BD2030</f>
        <v>0</v>
      </c>
      <c r="BF2030" s="34" t="n">
        <f aca="false">BD2030*M2030</f>
        <v>488.4</v>
      </c>
      <c r="BG2030" s="35" t="n">
        <f aca="false">BA2030-BF2030</f>
        <v>-0.400000000000034</v>
      </c>
      <c r="BH2030" s="19" t="str">
        <f aca="false">IF(BG2030=0,"",IF(BG2030&lt;&gt;BA2030,"erreur de calcul",IF(BD2030&lt;&gt;0,"pas de prix",IF(M2030&lt;&gt; 0,"pas de quantité","pas de prix, ni de quantité"))))</f>
        <v>erreur de calcul</v>
      </c>
      <c r="BI2030" s="19"/>
    </row>
    <row r="2031" customFormat="false" ht="15" hidden="false" customHeight="false" outlineLevel="0" collapsed="false">
      <c r="A2031" s="0" t="n">
        <v>28</v>
      </c>
      <c r="B2031" s="8" t="s">
        <v>24</v>
      </c>
      <c r="C2031" s="9" t="s">
        <v>25</v>
      </c>
      <c r="D2031" s="9" t="s">
        <v>26</v>
      </c>
      <c r="E2031" s="10" t="n">
        <v>1789</v>
      </c>
      <c r="F2031" s="9" t="s">
        <v>27</v>
      </c>
      <c r="G2031" s="9" t="s">
        <v>27</v>
      </c>
      <c r="H2031" s="11" t="n">
        <v>25</v>
      </c>
      <c r="I2031" s="11" t="s">
        <v>357</v>
      </c>
      <c r="J2031" s="14" t="n">
        <v>30</v>
      </c>
      <c r="K2031" s="14"/>
      <c r="L2031" s="16"/>
      <c r="M2031" s="27" t="n">
        <f aca="false">J2031+(K2031/20)+(L2031/240)</f>
        <v>30</v>
      </c>
      <c r="N2031" s="17" t="s">
        <v>64</v>
      </c>
      <c r="O2031" s="11"/>
      <c r="P2031" s="28"/>
      <c r="Q2031" s="28" t="n">
        <f aca="false">P2031*$M2031</f>
        <v>0</v>
      </c>
      <c r="R2031" s="28"/>
      <c r="S2031" s="28" t="n">
        <f aca="false">R2031*$M2031</f>
        <v>0</v>
      </c>
      <c r="T2031" s="28" t="n">
        <f aca="false">8903/100</f>
        <v>89.03</v>
      </c>
      <c r="U2031" s="28" t="n">
        <v>2671</v>
      </c>
      <c r="V2031" s="28" t="n">
        <f aca="false">2591/100</f>
        <v>25.91</v>
      </c>
      <c r="W2031" s="28" t="n">
        <v>777</v>
      </c>
      <c r="X2031" s="28"/>
      <c r="Y2031" s="28" t="n">
        <f aca="false">X2031*$M2031</f>
        <v>0</v>
      </c>
      <c r="Z2031" s="28" t="n">
        <f aca="false">17041/100</f>
        <v>170.41</v>
      </c>
      <c r="AA2031" s="28" t="n">
        <v>5112</v>
      </c>
      <c r="AB2031" s="28" t="n">
        <f aca="false">42963/100</f>
        <v>429.63</v>
      </c>
      <c r="AC2031" s="28" t="n">
        <v>12889</v>
      </c>
      <c r="AD2031" s="28"/>
      <c r="AE2031" s="28" t="n">
        <f aca="false">AD2031*$M2031</f>
        <v>0</v>
      </c>
      <c r="AF2031" s="28" t="n">
        <f aca="false">138369/100</f>
        <v>1383.69</v>
      </c>
      <c r="AG2031" s="28" t="n">
        <v>41511</v>
      </c>
      <c r="AH2031" s="28"/>
      <c r="AI2031" s="28" t="n">
        <f aca="false">AH2031*$M2031</f>
        <v>0</v>
      </c>
      <c r="AJ2031" s="28"/>
      <c r="AK2031" s="28" t="n">
        <f aca="false">AJ2031*$M2031</f>
        <v>0</v>
      </c>
      <c r="AL2031" s="28"/>
      <c r="AM2031" s="28" t="n">
        <f aca="false">AL2031*$M2031</f>
        <v>0</v>
      </c>
      <c r="AN2031" s="28"/>
      <c r="AO2031" s="28" t="n">
        <f aca="false">AN2031*$M2031</f>
        <v>0</v>
      </c>
      <c r="AP2031" s="28"/>
      <c r="AQ2031" s="28" t="n">
        <f aca="false">AP2031*$M2031</f>
        <v>0</v>
      </c>
      <c r="AR2031" s="28"/>
      <c r="AS2031" s="28" t="n">
        <f aca="false">AR2031*$M2031</f>
        <v>0</v>
      </c>
      <c r="AT2031" s="28"/>
      <c r="AU2031" s="28" t="n">
        <f aca="false">AT2031*$M2031</f>
        <v>0</v>
      </c>
      <c r="AV2031" s="28"/>
      <c r="AW2031" s="28" t="n">
        <f aca="false">AV2031*$M2031</f>
        <v>0</v>
      </c>
      <c r="AX2031" s="28"/>
      <c r="AY2031" s="28" t="n">
        <f aca="false">AX2031*$M2031</f>
        <v>0</v>
      </c>
      <c r="AZ2031" s="30" t="n">
        <f aca="false">209867/100</f>
        <v>2098.67</v>
      </c>
      <c r="BA2031" s="11" t="n">
        <v>62960</v>
      </c>
      <c r="BB2031" s="31" t="n">
        <f aca="false">SUM(Q2031,S2031,U2031,W2031,Y2031,AA2031,AC2031,AE2031,AG2031,AI2031,AK2031,AM2031,AO2031,AQ2031,AS2031,AU2031,AW2031,AY2031)</f>
        <v>62960</v>
      </c>
      <c r="BC2031" s="28" t="n">
        <f aca="false">BA2031-BB2031</f>
        <v>0</v>
      </c>
      <c r="BD2031" s="32" t="n">
        <f aca="false">SUM(P2031,R2031,T2031,V2031,X2031,Z2031,AB2031,AD2031,AF2031,AH2031,AJ2031,AL2031,AN2031,AP2031,AR2031,AT2031,AV2031,AX2031)</f>
        <v>2098.67</v>
      </c>
      <c r="BE2031" s="33" t="n">
        <f aca="false">AZ2031-BD2031</f>
        <v>0</v>
      </c>
      <c r="BF2031" s="34" t="n">
        <f aca="false">BD2031*M2031</f>
        <v>62960.1</v>
      </c>
      <c r="BG2031" s="35" t="n">
        <f aca="false">BA2031-BF2031</f>
        <v>-0.100000000013097</v>
      </c>
      <c r="BH2031" s="19" t="str">
        <f aca="false">IF(BG2031=0,"",IF(BG2031&lt;&gt;BA2031,"erreur de calcul",IF(BD2031&lt;&gt;0,"pas de prix",IF(M2031&lt;&gt; 0,"pas de quantité","pas de prix, ni de quantité"))))</f>
        <v>erreur de calcul</v>
      </c>
      <c r="BI2031" s="19"/>
    </row>
    <row r="2032" customFormat="false" ht="15" hidden="false" customHeight="false" outlineLevel="0" collapsed="false">
      <c r="A2032" s="0" t="n">
        <v>29</v>
      </c>
      <c r="B2032" s="8" t="s">
        <v>24</v>
      </c>
      <c r="C2032" s="9" t="s">
        <v>25</v>
      </c>
      <c r="D2032" s="9" t="s">
        <v>26</v>
      </c>
      <c r="E2032" s="10" t="n">
        <v>1789</v>
      </c>
      <c r="F2032" s="9" t="s">
        <v>27</v>
      </c>
      <c r="G2032" s="9" t="s">
        <v>27</v>
      </c>
      <c r="H2032" s="11" t="n">
        <v>25</v>
      </c>
      <c r="I2032" s="11" t="s">
        <v>358</v>
      </c>
      <c r="J2032" s="14" t="n">
        <v>35</v>
      </c>
      <c r="K2032" s="14"/>
      <c r="L2032" s="16"/>
      <c r="M2032" s="27" t="n">
        <f aca="false">J2032+(K2032/20)+(L2032/240)</f>
        <v>35</v>
      </c>
      <c r="N2032" s="17" t="s">
        <v>64</v>
      </c>
      <c r="O2032" s="11"/>
      <c r="P2032" s="28"/>
      <c r="Q2032" s="28" t="n">
        <f aca="false">P2032*$M2032</f>
        <v>0</v>
      </c>
      <c r="R2032" s="28"/>
      <c r="S2032" s="28" t="n">
        <f aca="false">R2032*$M2032</f>
        <v>0</v>
      </c>
      <c r="T2032" s="28" t="n">
        <f aca="false">62095/100</f>
        <v>620.95</v>
      </c>
      <c r="U2032" s="28" t="n">
        <v>21733</v>
      </c>
      <c r="V2032" s="28" t="n">
        <f aca="false">257918/100</f>
        <v>2579.18</v>
      </c>
      <c r="W2032" s="28" t="n">
        <v>90271</v>
      </c>
      <c r="X2032" s="28" t="n">
        <f aca="false">10723/100</f>
        <v>107.23</v>
      </c>
      <c r="Y2032" s="28" t="n">
        <v>3753</v>
      </c>
      <c r="Z2032" s="28" t="n">
        <f aca="false">21191/100</f>
        <v>211.91</v>
      </c>
      <c r="AA2032" s="28" t="n">
        <v>7417</v>
      </c>
      <c r="AB2032" s="28" t="n">
        <f aca="false">308781/100</f>
        <v>3087.81</v>
      </c>
      <c r="AC2032" s="28" t="n">
        <v>108073</v>
      </c>
      <c r="AD2032" s="28"/>
      <c r="AE2032" s="28" t="n">
        <f aca="false">AD2032*$M2032</f>
        <v>0</v>
      </c>
      <c r="AF2032" s="28" t="n">
        <f aca="false">5225/100</f>
        <v>52.25</v>
      </c>
      <c r="AG2032" s="28" t="n">
        <v>1829</v>
      </c>
      <c r="AH2032" s="28"/>
      <c r="AI2032" s="28" t="n">
        <f aca="false">AH2032*$M2032</f>
        <v>0</v>
      </c>
      <c r="AJ2032" s="28"/>
      <c r="AK2032" s="28" t="n">
        <f aca="false">AJ2032*$M2032</f>
        <v>0</v>
      </c>
      <c r="AL2032" s="28"/>
      <c r="AM2032" s="28" t="n">
        <f aca="false">AL2032*$M2032</f>
        <v>0</v>
      </c>
      <c r="AN2032" s="28"/>
      <c r="AO2032" s="28" t="n">
        <f aca="false">AN2032*$M2032</f>
        <v>0</v>
      </c>
      <c r="AP2032" s="28"/>
      <c r="AQ2032" s="28" t="n">
        <f aca="false">AP2032*$M2032</f>
        <v>0</v>
      </c>
      <c r="AR2032" s="28"/>
      <c r="AS2032" s="28" t="n">
        <f aca="false">AR2032*$M2032</f>
        <v>0</v>
      </c>
      <c r="AT2032" s="28"/>
      <c r="AU2032" s="28" t="n">
        <f aca="false">AT2032*$M2032</f>
        <v>0</v>
      </c>
      <c r="AV2032" s="28"/>
      <c r="AW2032" s="28" t="n">
        <f aca="false">AV2032*$M2032</f>
        <v>0</v>
      </c>
      <c r="AX2032" s="28"/>
      <c r="AY2032" s="28" t="n">
        <f aca="false">AX2032*$M2032</f>
        <v>0</v>
      </c>
      <c r="AZ2032" s="30" t="n">
        <f aca="false">665933/100</f>
        <v>6659.33</v>
      </c>
      <c r="BA2032" s="11" t="n">
        <v>233076</v>
      </c>
      <c r="BB2032" s="31" t="n">
        <f aca="false">SUM(Q2032,S2032,U2032,W2032,Y2032,AA2032,AC2032,AE2032,AG2032,AI2032,AK2032,AM2032,AO2032,AQ2032,AS2032,AU2032,AW2032,AY2032)</f>
        <v>233076</v>
      </c>
      <c r="BC2032" s="28" t="n">
        <f aca="false">BA2032-BB2032</f>
        <v>0</v>
      </c>
      <c r="BD2032" s="32" t="n">
        <f aca="false">SUM(P2032,R2032,T2032,V2032,X2032,Z2032,AB2032,AD2032,AF2032,AH2032,AJ2032,AL2032,AN2032,AP2032,AR2032,AT2032,AV2032,AX2032)</f>
        <v>6659.33</v>
      </c>
      <c r="BE2032" s="33" t="n">
        <f aca="false">AZ2032-BD2032</f>
        <v>0</v>
      </c>
      <c r="BF2032" s="34" t="n">
        <f aca="false">BD2032*M2032</f>
        <v>233076.55</v>
      </c>
      <c r="BG2032" s="35" t="n">
        <f aca="false">BA2032-BF2032</f>
        <v>-0.549999999959255</v>
      </c>
      <c r="BH2032" s="19" t="str">
        <f aca="false">IF(BG2032=0,"",IF(BG2032&lt;&gt;BA2032,"erreur de calcul",IF(BD2032&lt;&gt;0,"pas de prix",IF(M2032&lt;&gt; 0,"pas de quantité","pas de prix, ni de quantité"))))</f>
        <v>erreur de calcul</v>
      </c>
      <c r="BI2032" s="19"/>
    </row>
    <row r="2033" customFormat="false" ht="15" hidden="false" customHeight="false" outlineLevel="0" collapsed="false">
      <c r="A2033" s="0" t="n">
        <v>30</v>
      </c>
      <c r="B2033" s="8" t="s">
        <v>24</v>
      </c>
      <c r="C2033" s="9" t="s">
        <v>25</v>
      </c>
      <c r="D2033" s="9" t="s">
        <v>26</v>
      </c>
      <c r="E2033" s="10" t="n">
        <v>1789</v>
      </c>
      <c r="F2033" s="9" t="s">
        <v>27</v>
      </c>
      <c r="G2033" s="9" t="s">
        <v>27</v>
      </c>
      <c r="H2033" s="11" t="n">
        <v>25</v>
      </c>
      <c r="I2033" s="11" t="s">
        <v>359</v>
      </c>
      <c r="J2033" s="14"/>
      <c r="K2033" s="14"/>
      <c r="L2033" s="16"/>
      <c r="M2033" s="27" t="n">
        <f aca="false">J2033+(K2033/20)+(L2033/240)</f>
        <v>0</v>
      </c>
      <c r="N2033" s="17"/>
      <c r="O2033" s="11" t="s">
        <v>109</v>
      </c>
      <c r="P2033" s="28"/>
      <c r="Q2033" s="28" t="n">
        <f aca="false">P2033*$M2033</f>
        <v>0</v>
      </c>
      <c r="R2033" s="28"/>
      <c r="S2033" s="28" t="n">
        <f aca="false">R2033*$M2033</f>
        <v>0</v>
      </c>
      <c r="T2033" s="28"/>
      <c r="U2033" s="28" t="n">
        <f aca="false">T2033*$M2033</f>
        <v>0</v>
      </c>
      <c r="V2033" s="28"/>
      <c r="W2033" s="28" t="n">
        <f aca="false">V2033*$M2033</f>
        <v>0</v>
      </c>
      <c r="X2033" s="28"/>
      <c r="Y2033" s="28" t="n">
        <f aca="false">X2033*$M2033</f>
        <v>0</v>
      </c>
      <c r="Z2033" s="28"/>
      <c r="AA2033" s="28" t="n">
        <f aca="false">Z2033*$M2033</f>
        <v>0</v>
      </c>
      <c r="AB2033" s="28"/>
      <c r="AC2033" s="28" t="n">
        <f aca="false">AB2033*$M2033</f>
        <v>0</v>
      </c>
      <c r="AD2033" s="28"/>
      <c r="AE2033" s="28" t="n">
        <f aca="false">AD2033*$M2033</f>
        <v>0</v>
      </c>
      <c r="AF2033" s="28"/>
      <c r="AG2033" s="28" t="n">
        <f aca="false">AF2033*$M2033</f>
        <v>0</v>
      </c>
      <c r="AH2033" s="28"/>
      <c r="AI2033" s="28" t="n">
        <f aca="false">AH2033*$M2033</f>
        <v>0</v>
      </c>
      <c r="AJ2033" s="28"/>
      <c r="AK2033" s="28" t="n">
        <f aca="false">AJ2033*$M2033</f>
        <v>0</v>
      </c>
      <c r="AL2033" s="28"/>
      <c r="AM2033" s="28" t="n">
        <f aca="false">AL2033*$M2033</f>
        <v>0</v>
      </c>
      <c r="AN2033" s="28"/>
      <c r="AO2033" s="28" t="n">
        <f aca="false">AN2033*$M2033</f>
        <v>0</v>
      </c>
      <c r="AP2033" s="28"/>
      <c r="AQ2033" s="28" t="n">
        <f aca="false">AP2033*$M2033</f>
        <v>0</v>
      </c>
      <c r="AR2033" s="28"/>
      <c r="AS2033" s="28" t="n">
        <f aca="false">AR2033*$M2033</f>
        <v>0</v>
      </c>
      <c r="AT2033" s="28"/>
      <c r="AU2033" s="28" t="n">
        <f aca="false">AT2033*$M2033</f>
        <v>0</v>
      </c>
      <c r="AV2033" s="28"/>
      <c r="AW2033" s="28" t="n">
        <f aca="false">AV2033*$M2033</f>
        <v>0</v>
      </c>
      <c r="AX2033" s="28"/>
      <c r="AY2033" s="28" t="n">
        <f aca="false">AX2033*$M2033</f>
        <v>0</v>
      </c>
      <c r="AZ2033" s="30"/>
      <c r="BA2033" s="11"/>
      <c r="BB2033" s="31" t="n">
        <f aca="false">SUM(Q2033,S2033,U2033,W2033,Y2033,AA2033,AC2033,AE2033,AG2033,AI2033,AK2033,AM2033,AO2033,AQ2033,AS2033,AU2033,AW2033,AY2033)</f>
        <v>0</v>
      </c>
      <c r="BC2033" s="28" t="n">
        <f aca="false">BA2033-BB2033</f>
        <v>0</v>
      </c>
      <c r="BD2033" s="32" t="n">
        <f aca="false">SUM(P2033,R2033,T2033,V2033,X2033,Z2033,AB2033,AD2033,AF2033,AH2033,AJ2033,AL2033,AN2033,AP2033,AR2033,AT2033,AV2033,AX2033)</f>
        <v>0</v>
      </c>
      <c r="BE2033" s="33" t="n">
        <f aca="false">AZ2033-BD2033</f>
        <v>0</v>
      </c>
      <c r="BF2033" s="34" t="n">
        <f aca="false">BD2033*M2033</f>
        <v>0</v>
      </c>
      <c r="BG2033" s="35" t="n">
        <f aca="false">BA2033-BF2033</f>
        <v>0</v>
      </c>
      <c r="BH2033" s="19" t="str">
        <f aca="false">IF(BG2033=0,"",IF(BG2033&lt;&gt;BA2033,"erreur de calcul",IF(BD2033&lt;&gt;0,"pas de prix",IF(M2033&lt;&gt; 0,"pas de quantité","pas de prix, ni de quantité"))))</f>
        <v/>
      </c>
      <c r="BI2033" s="19"/>
    </row>
    <row r="2034" customFormat="false" ht="15" hidden="false" customHeight="false" outlineLevel="0" collapsed="false">
      <c r="A2034" s="0" t="n">
        <v>31</v>
      </c>
      <c r="B2034" s="8" t="s">
        <v>24</v>
      </c>
      <c r="C2034" s="9" t="s">
        <v>25</v>
      </c>
      <c r="D2034" s="9" t="s">
        <v>26</v>
      </c>
      <c r="E2034" s="10" t="n">
        <v>1789</v>
      </c>
      <c r="F2034" s="9" t="s">
        <v>27</v>
      </c>
      <c r="G2034" s="9" t="s">
        <v>27</v>
      </c>
      <c r="H2034" s="11" t="n">
        <v>25</v>
      </c>
      <c r="I2034" s="11" t="s">
        <v>359</v>
      </c>
      <c r="J2034" s="14"/>
      <c r="K2034" s="14"/>
      <c r="L2034" s="16"/>
      <c r="M2034" s="27" t="n">
        <f aca="false">J2034+(K2034/20)+(L2034/240)</f>
        <v>0</v>
      </c>
      <c r="N2034" s="17"/>
      <c r="O2034" s="11" t="s">
        <v>277</v>
      </c>
      <c r="P2034" s="28"/>
      <c r="Q2034" s="28" t="n">
        <f aca="false">P2034*$M2034</f>
        <v>0</v>
      </c>
      <c r="R2034" s="28"/>
      <c r="S2034" s="28" t="n">
        <f aca="false">R2034*$M2034</f>
        <v>0</v>
      </c>
      <c r="T2034" s="28"/>
      <c r="U2034" s="28" t="n">
        <f aca="false">T2034*$M2034</f>
        <v>0</v>
      </c>
      <c r="V2034" s="28"/>
      <c r="W2034" s="28" t="n">
        <f aca="false">V2034*$M2034</f>
        <v>0</v>
      </c>
      <c r="X2034" s="28"/>
      <c r="Y2034" s="28" t="n">
        <v>1361</v>
      </c>
      <c r="Z2034" s="28"/>
      <c r="AA2034" s="28" t="n">
        <f aca="false">Z2034*$M2034</f>
        <v>0</v>
      </c>
      <c r="AB2034" s="28"/>
      <c r="AC2034" s="28" t="n">
        <v>1182</v>
      </c>
      <c r="AD2034" s="28"/>
      <c r="AE2034" s="28" t="n">
        <v>649</v>
      </c>
      <c r="AF2034" s="28"/>
      <c r="AG2034" s="28" t="n">
        <f aca="false">AF2034*$M2034</f>
        <v>0</v>
      </c>
      <c r="AH2034" s="28"/>
      <c r="AI2034" s="28" t="n">
        <v>862</v>
      </c>
      <c r="AJ2034" s="28"/>
      <c r="AK2034" s="28" t="n">
        <f aca="false">AJ2034*$M2034</f>
        <v>0</v>
      </c>
      <c r="AL2034" s="28"/>
      <c r="AM2034" s="28" t="n">
        <f aca="false">AL2034*$M2034</f>
        <v>0</v>
      </c>
      <c r="AN2034" s="28"/>
      <c r="AO2034" s="28" t="n">
        <f aca="false">AN2034*$M2034</f>
        <v>0</v>
      </c>
      <c r="AP2034" s="28"/>
      <c r="AQ2034" s="28" t="n">
        <f aca="false">AP2034*$M2034</f>
        <v>0</v>
      </c>
      <c r="AR2034" s="28"/>
      <c r="AS2034" s="28" t="n">
        <f aca="false">AR2034*$M2034</f>
        <v>0</v>
      </c>
      <c r="AT2034" s="28"/>
      <c r="AU2034" s="28" t="n">
        <f aca="false">AT2034*$M2034</f>
        <v>0</v>
      </c>
      <c r="AV2034" s="28"/>
      <c r="AW2034" s="28" t="n">
        <f aca="false">AV2034*$M2034</f>
        <v>0</v>
      </c>
      <c r="AX2034" s="28"/>
      <c r="AY2034" s="28" t="n">
        <f aca="false">AX2034*$M2034</f>
        <v>0</v>
      </c>
      <c r="AZ2034" s="30"/>
      <c r="BA2034" s="11" t="n">
        <v>4054</v>
      </c>
      <c r="BB2034" s="31" t="n">
        <f aca="false">SUM(Q2034,S2034,U2034,W2034,Y2034,AA2034,AC2034,AE2034,AG2034,AI2034,AK2034,AM2034,AO2034,AQ2034,AS2034,AU2034,AW2034,AY2034)</f>
        <v>4054</v>
      </c>
      <c r="BC2034" s="28" t="n">
        <f aca="false">BA2034-BB2034</f>
        <v>0</v>
      </c>
      <c r="BD2034" s="32" t="n">
        <f aca="false">SUM(P2034,R2034,T2034,V2034,X2034,Z2034,AB2034,AD2034,AF2034,AH2034,AJ2034,AL2034,AN2034,AP2034,AR2034,AT2034,AV2034,AX2034)</f>
        <v>0</v>
      </c>
      <c r="BE2034" s="33" t="n">
        <f aca="false">AZ2034-BD2034</f>
        <v>0</v>
      </c>
      <c r="BF2034" s="34" t="n">
        <f aca="false">BD2034*M2034</f>
        <v>0</v>
      </c>
      <c r="BG2034" s="35" t="n">
        <f aca="false">BA2034-BF2034</f>
        <v>4054</v>
      </c>
      <c r="BH2034" s="19" t="str">
        <f aca="false">IF(BG2034=0,"",IF(BG2034&lt;&gt;BA2034,"erreur de calcul",IF(BD2034&lt;&gt;0,"pas de prix",IF(M2034&lt;&gt; 0,"pas de quantité","pas de prix, ni de quantité"))))</f>
        <v>pas de prix, ni de quantité</v>
      </c>
      <c r="BI2034" s="19"/>
    </row>
    <row r="2035" customFormat="false" ht="15" hidden="false" customHeight="false" outlineLevel="0" collapsed="false">
      <c r="A2035" s="0" t="n">
        <v>32</v>
      </c>
      <c r="B2035" s="8" t="s">
        <v>24</v>
      </c>
      <c r="C2035" s="9" t="s">
        <v>25</v>
      </c>
      <c r="D2035" s="9" t="s">
        <v>26</v>
      </c>
      <c r="E2035" s="10" t="n">
        <v>1789</v>
      </c>
      <c r="F2035" s="9" t="s">
        <v>27</v>
      </c>
      <c r="G2035" s="9" t="s">
        <v>27</v>
      </c>
      <c r="H2035" s="11" t="n">
        <v>25</v>
      </c>
      <c r="I2035" s="11" t="s">
        <v>360</v>
      </c>
      <c r="J2035" s="14" t="n">
        <v>66</v>
      </c>
      <c r="K2035" s="14"/>
      <c r="L2035" s="16"/>
      <c r="M2035" s="27" t="n">
        <f aca="false">J2035+(K2035/20)+(L2035/240)</f>
        <v>66</v>
      </c>
      <c r="N2035" s="17" t="s">
        <v>64</v>
      </c>
      <c r="O2035" s="11"/>
      <c r="P2035" s="28"/>
      <c r="Q2035" s="28" t="n">
        <f aca="false">P2035*$M2035</f>
        <v>0</v>
      </c>
      <c r="R2035" s="28"/>
      <c r="S2035" s="28" t="n">
        <f aca="false">R2035*$M2035</f>
        <v>0</v>
      </c>
      <c r="T2035" s="28"/>
      <c r="U2035" s="28" t="n">
        <f aca="false">T2035*$M2035</f>
        <v>0</v>
      </c>
      <c r="V2035" s="28"/>
      <c r="W2035" s="28" t="n">
        <f aca="false">V2035*$M2035</f>
        <v>0</v>
      </c>
      <c r="X2035" s="28"/>
      <c r="Y2035" s="28" t="n">
        <f aca="false">X2035*$M2035</f>
        <v>0</v>
      </c>
      <c r="Z2035" s="28"/>
      <c r="AA2035" s="28" t="n">
        <f aca="false">Z2035*$M2035</f>
        <v>0</v>
      </c>
      <c r="AB2035" s="28"/>
      <c r="AC2035" s="28" t="n">
        <f aca="false">AB2035*$M2035</f>
        <v>0</v>
      </c>
      <c r="AD2035" s="28"/>
      <c r="AE2035" s="28" t="n">
        <f aca="false">AD2035*$M2035</f>
        <v>0</v>
      </c>
      <c r="AF2035" s="28"/>
      <c r="AG2035" s="28" t="n">
        <f aca="false">AF2035*$M2035</f>
        <v>0</v>
      </c>
      <c r="AH2035" s="28" t="n">
        <f aca="false">75475/100</f>
        <v>754.75</v>
      </c>
      <c r="AI2035" s="28" t="n">
        <v>49813</v>
      </c>
      <c r="AJ2035" s="28"/>
      <c r="AK2035" s="28" t="n">
        <f aca="false">AJ2035*$M2035</f>
        <v>0</v>
      </c>
      <c r="AL2035" s="28"/>
      <c r="AM2035" s="28" t="n">
        <f aca="false">AL2035*$M2035</f>
        <v>0</v>
      </c>
      <c r="AN2035" s="28"/>
      <c r="AO2035" s="28" t="n">
        <f aca="false">AN2035*$M2035</f>
        <v>0</v>
      </c>
      <c r="AP2035" s="28"/>
      <c r="AQ2035" s="28" t="n">
        <f aca="false">AP2035*$M2035</f>
        <v>0</v>
      </c>
      <c r="AR2035" s="28"/>
      <c r="AS2035" s="28" t="n">
        <f aca="false">AR2035*$M2035</f>
        <v>0</v>
      </c>
      <c r="AT2035" s="28"/>
      <c r="AU2035" s="28" t="n">
        <f aca="false">AT2035*$M2035</f>
        <v>0</v>
      </c>
      <c r="AV2035" s="28"/>
      <c r="AW2035" s="28" t="n">
        <f aca="false">AV2035*$M2035</f>
        <v>0</v>
      </c>
      <c r="AX2035" s="28"/>
      <c r="AY2035" s="28" t="n">
        <f aca="false">AX2035*$M2035</f>
        <v>0</v>
      </c>
      <c r="AZ2035" s="30" t="n">
        <f aca="false">75475/100</f>
        <v>754.75</v>
      </c>
      <c r="BA2035" s="11" t="n">
        <v>49813</v>
      </c>
      <c r="BB2035" s="31" t="n">
        <f aca="false">SUM(Q2035,S2035,U2035,W2035,Y2035,AA2035,AC2035,AE2035,AG2035,AI2035,AK2035,AM2035,AO2035,AQ2035,AS2035,AU2035,AW2035,AY2035)</f>
        <v>49813</v>
      </c>
      <c r="BC2035" s="28" t="n">
        <f aca="false">BA2035-BB2035</f>
        <v>0</v>
      </c>
      <c r="BD2035" s="32" t="n">
        <f aca="false">SUM(P2035,R2035,T2035,V2035,X2035,Z2035,AB2035,AD2035,AF2035,AH2035,AJ2035,AL2035,AN2035,AP2035,AR2035,AT2035,AV2035,AX2035)</f>
        <v>754.75</v>
      </c>
      <c r="BE2035" s="33" t="n">
        <f aca="false">AZ2035-BD2035</f>
        <v>0</v>
      </c>
      <c r="BF2035" s="34" t="n">
        <f aca="false">BD2035*M2035</f>
        <v>49813.5</v>
      </c>
      <c r="BG2035" s="35" t="n">
        <f aca="false">BA2035-BF2035</f>
        <v>-0.5</v>
      </c>
      <c r="BH2035" s="19" t="str">
        <f aca="false">IF(BG2035=0,"",IF(BG2035&lt;&gt;BA2035,"erreur de calcul",IF(BD2035&lt;&gt;0,"pas de prix",IF(M2035&lt;&gt; 0,"pas de quantité","pas de prix, ni de quantité"))))</f>
        <v>erreur de calcul</v>
      </c>
      <c r="BI2035" s="19"/>
    </row>
    <row r="2036" customFormat="false" ht="15" hidden="false" customHeight="false" outlineLevel="0" collapsed="false">
      <c r="A2036" s="0" t="n">
        <v>33</v>
      </c>
      <c r="B2036" s="8" t="s">
        <v>24</v>
      </c>
      <c r="C2036" s="9" t="s">
        <v>25</v>
      </c>
      <c r="D2036" s="9" t="s">
        <v>26</v>
      </c>
      <c r="E2036" s="10" t="n">
        <v>1789</v>
      </c>
      <c r="F2036" s="9" t="s">
        <v>27</v>
      </c>
      <c r="G2036" s="9" t="s">
        <v>27</v>
      </c>
      <c r="H2036" s="11" t="n">
        <v>25</v>
      </c>
      <c r="I2036" s="11" t="s">
        <v>361</v>
      </c>
      <c r="J2036" s="14" t="n">
        <v>175</v>
      </c>
      <c r="K2036" s="14"/>
      <c r="L2036" s="16"/>
      <c r="M2036" s="27" t="n">
        <f aca="false">J2036+(K2036/20)+(L2036/240)</f>
        <v>175</v>
      </c>
      <c r="N2036" s="17" t="s">
        <v>64</v>
      </c>
      <c r="O2036" s="11" t="s">
        <v>77</v>
      </c>
      <c r="P2036" s="28" t="n">
        <f aca="false">1514/100</f>
        <v>15.14</v>
      </c>
      <c r="Q2036" s="28" t="n">
        <v>2649</v>
      </c>
      <c r="R2036" s="28"/>
      <c r="S2036" s="28" t="n">
        <f aca="false">R2036*$M2036</f>
        <v>0</v>
      </c>
      <c r="T2036" s="28" t="n">
        <f aca="false">170926/100</f>
        <v>1709.26</v>
      </c>
      <c r="U2036" s="28" t="n">
        <v>299120</v>
      </c>
      <c r="V2036" s="28" t="n">
        <f aca="false">16985/100</f>
        <v>169.85</v>
      </c>
      <c r="W2036" s="28" t="n">
        <v>29724</v>
      </c>
      <c r="X2036" s="28" t="n">
        <f aca="false">4530/100</f>
        <v>45.3</v>
      </c>
      <c r="Y2036" s="28" t="n">
        <v>7927</v>
      </c>
      <c r="Z2036" s="28"/>
      <c r="AA2036" s="28" t="n">
        <f aca="false">Z2036*$M2036</f>
        <v>0</v>
      </c>
      <c r="AB2036" s="28" t="n">
        <f aca="false">33770/100</f>
        <v>337.7</v>
      </c>
      <c r="AC2036" s="28" t="n">
        <v>59097</v>
      </c>
      <c r="AD2036" s="28"/>
      <c r="AE2036" s="28" t="n">
        <f aca="false">AD2036*$M2036</f>
        <v>0</v>
      </c>
      <c r="AF2036" s="28" t="n">
        <f aca="false">4712/100</f>
        <v>47.12</v>
      </c>
      <c r="AG2036" s="28" t="n">
        <v>8246</v>
      </c>
      <c r="AH2036" s="28" t="n">
        <f aca="false">55822/100</f>
        <v>558.22</v>
      </c>
      <c r="AI2036" s="28" t="n">
        <v>97688</v>
      </c>
      <c r="AJ2036" s="28"/>
      <c r="AK2036" s="28" t="n">
        <f aca="false">AJ2036*$M2036</f>
        <v>0</v>
      </c>
      <c r="AL2036" s="28"/>
      <c r="AM2036" s="28" t="n">
        <f aca="false">AL2036*$M2036</f>
        <v>0</v>
      </c>
      <c r="AN2036" s="28"/>
      <c r="AO2036" s="28" t="n">
        <f aca="false">AN2036*$M2036</f>
        <v>0</v>
      </c>
      <c r="AP2036" s="28"/>
      <c r="AQ2036" s="28" t="n">
        <f aca="false">AP2036*$M2036</f>
        <v>0</v>
      </c>
      <c r="AR2036" s="28"/>
      <c r="AS2036" s="28" t="n">
        <f aca="false">AR2036*$M2036</f>
        <v>0</v>
      </c>
      <c r="AT2036" s="28"/>
      <c r="AU2036" s="28" t="n">
        <f aca="false">AT2036*$M2036</f>
        <v>0</v>
      </c>
      <c r="AV2036" s="28"/>
      <c r="AW2036" s="28" t="n">
        <f aca="false">AV2036*$M2036</f>
        <v>0</v>
      </c>
      <c r="AX2036" s="28"/>
      <c r="AY2036" s="28" t="n">
        <f aca="false">AX2036*$M2036</f>
        <v>0</v>
      </c>
      <c r="AZ2036" s="30" t="n">
        <f aca="false">288259/100</f>
        <v>2882.59</v>
      </c>
      <c r="BA2036" s="11" t="n">
        <v>504451</v>
      </c>
      <c r="BB2036" s="31" t="n">
        <f aca="false">SUM(Q2036,S2036,U2036,W2036,Y2036,AA2036,AC2036,AE2036,AG2036,AI2036,AK2036,AM2036,AO2036,AQ2036,AS2036,AU2036,AW2036,AY2036)</f>
        <v>504451</v>
      </c>
      <c r="BC2036" s="28" t="n">
        <f aca="false">BA2036-BB2036</f>
        <v>0</v>
      </c>
      <c r="BD2036" s="32" t="n">
        <f aca="false">SUM(P2036,R2036,T2036,V2036,X2036,Z2036,AB2036,AD2036,AF2036,AH2036,AJ2036,AL2036,AN2036,AP2036,AR2036,AT2036,AV2036,AX2036)</f>
        <v>2882.59</v>
      </c>
      <c r="BE2036" s="33" t="n">
        <f aca="false">AZ2036-BD2036</f>
        <v>0</v>
      </c>
      <c r="BF2036" s="34" t="n">
        <f aca="false">BD2036*M2036</f>
        <v>504453.25</v>
      </c>
      <c r="BG2036" s="35" t="n">
        <f aca="false">BA2036-BF2036</f>
        <v>-2.24999999994179</v>
      </c>
      <c r="BH2036" s="19" t="str">
        <f aca="false">IF(BG2036=0,"",IF(BG2036&lt;&gt;BA2036,"erreur de calcul",IF(BD2036&lt;&gt;0,"pas de prix",IF(M2036&lt;&gt; 0,"pas de quantité","pas de prix, ni de quantité"))))</f>
        <v>erreur de calcul</v>
      </c>
      <c r="BI2036" s="19"/>
    </row>
    <row r="2037" customFormat="false" ht="15" hidden="false" customHeight="false" outlineLevel="0" collapsed="false">
      <c r="A2037" s="0" t="n">
        <v>34</v>
      </c>
      <c r="B2037" s="8" t="s">
        <v>24</v>
      </c>
      <c r="C2037" s="9" t="s">
        <v>25</v>
      </c>
      <c r="D2037" s="9" t="s">
        <v>26</v>
      </c>
      <c r="E2037" s="10" t="n">
        <v>1789</v>
      </c>
      <c r="F2037" s="9" t="s">
        <v>27</v>
      </c>
      <c r="G2037" s="9" t="s">
        <v>27</v>
      </c>
      <c r="H2037" s="11" t="n">
        <v>25</v>
      </c>
      <c r="I2037" s="11" t="s">
        <v>362</v>
      </c>
      <c r="J2037" s="14" t="n">
        <v>150</v>
      </c>
      <c r="K2037" s="14"/>
      <c r="L2037" s="16"/>
      <c r="M2037" s="27" t="n">
        <f aca="false">J2037+(K2037/20)+(L2037/240)</f>
        <v>150</v>
      </c>
      <c r="N2037" s="17" t="s">
        <v>64</v>
      </c>
      <c r="O2037" s="11"/>
      <c r="P2037" s="28"/>
      <c r="Q2037" s="28" t="n">
        <f aca="false">P2037*$M2037</f>
        <v>0</v>
      </c>
      <c r="R2037" s="28"/>
      <c r="S2037" s="28" t="n">
        <f aca="false">R2037*$M2037</f>
        <v>0</v>
      </c>
      <c r="T2037" s="28" t="n">
        <f aca="false">1842/100</f>
        <v>18.42</v>
      </c>
      <c r="U2037" s="28" t="n">
        <v>2763</v>
      </c>
      <c r="V2037" s="28" t="n">
        <f aca="false">684/100</f>
        <v>6.84</v>
      </c>
      <c r="W2037" s="28" t="n">
        <v>1026</v>
      </c>
      <c r="X2037" s="28"/>
      <c r="Y2037" s="28" t="n">
        <f aca="false">X2037*$M2037</f>
        <v>0</v>
      </c>
      <c r="Z2037" s="28"/>
      <c r="AA2037" s="28" t="n">
        <f aca="false">Z2037*$M2037</f>
        <v>0</v>
      </c>
      <c r="AB2037" s="28"/>
      <c r="AC2037" s="28" t="n">
        <f aca="false">AB2037*$M2037</f>
        <v>0</v>
      </c>
      <c r="AD2037" s="28"/>
      <c r="AE2037" s="28" t="n">
        <f aca="false">AD2037*$M2037</f>
        <v>0</v>
      </c>
      <c r="AF2037" s="28"/>
      <c r="AG2037" s="28" t="n">
        <f aca="false">AF2037*$M2037</f>
        <v>0</v>
      </c>
      <c r="AH2037" s="28"/>
      <c r="AI2037" s="28" t="n">
        <f aca="false">AH2037*$M2037</f>
        <v>0</v>
      </c>
      <c r="AJ2037" s="28"/>
      <c r="AK2037" s="28" t="n">
        <f aca="false">AJ2037*$M2037</f>
        <v>0</v>
      </c>
      <c r="AL2037" s="28"/>
      <c r="AM2037" s="28" t="n">
        <f aca="false">AL2037*$M2037</f>
        <v>0</v>
      </c>
      <c r="AN2037" s="28"/>
      <c r="AO2037" s="28" t="n">
        <f aca="false">AN2037*$M2037</f>
        <v>0</v>
      </c>
      <c r="AP2037" s="28"/>
      <c r="AQ2037" s="28" t="n">
        <f aca="false">AP2037*$M2037</f>
        <v>0</v>
      </c>
      <c r="AR2037" s="28"/>
      <c r="AS2037" s="28" t="n">
        <f aca="false">AR2037*$M2037</f>
        <v>0</v>
      </c>
      <c r="AT2037" s="28"/>
      <c r="AU2037" s="28" t="n">
        <f aca="false">AT2037*$M2037</f>
        <v>0</v>
      </c>
      <c r="AV2037" s="28"/>
      <c r="AW2037" s="28" t="n">
        <f aca="false">AV2037*$M2037</f>
        <v>0</v>
      </c>
      <c r="AX2037" s="28"/>
      <c r="AY2037" s="28" t="n">
        <f aca="false">AX2037*$M2037</f>
        <v>0</v>
      </c>
      <c r="AZ2037" s="30" t="n">
        <f aca="false">2526/100</f>
        <v>25.26</v>
      </c>
      <c r="BA2037" s="11" t="n">
        <v>3789</v>
      </c>
      <c r="BB2037" s="31" t="n">
        <f aca="false">SUM(Q2037,S2037,U2037,W2037,Y2037,AA2037,AC2037,AE2037,AG2037,AI2037,AK2037,AM2037,AO2037,AQ2037,AS2037,AU2037,AW2037,AY2037)</f>
        <v>3789</v>
      </c>
      <c r="BC2037" s="28" t="n">
        <f aca="false">BA2037-BB2037</f>
        <v>0</v>
      </c>
      <c r="BD2037" s="32" t="n">
        <f aca="false">SUM(P2037,R2037,T2037,V2037,X2037,Z2037,AB2037,AD2037,AF2037,AH2037,AJ2037,AL2037,AN2037,AP2037,AR2037,AT2037,AV2037,AX2037)</f>
        <v>25.26</v>
      </c>
      <c r="BE2037" s="33" t="n">
        <f aca="false">AZ2037-BD2037</f>
        <v>0</v>
      </c>
      <c r="BF2037" s="34" t="n">
        <f aca="false">BD2037*M2037</f>
        <v>3789</v>
      </c>
      <c r="BG2037" s="35" t="n">
        <f aca="false">BA2037-BF2037</f>
        <v>0</v>
      </c>
      <c r="BH2037" s="19" t="str">
        <f aca="false">IF(BG2037=0,"",IF(BG2037&lt;&gt;BA2037,"erreur de calcul",IF(BD2037&lt;&gt;0,"pas de prix",IF(M2037&lt;&gt; 0,"pas de quantité","pas de prix, ni de quantité"))))</f>
        <v/>
      </c>
      <c r="BI2037" s="19"/>
    </row>
    <row r="2038" customFormat="false" ht="15" hidden="false" customHeight="false" outlineLevel="0" collapsed="false">
      <c r="A2038" s="0" t="n">
        <v>35</v>
      </c>
      <c r="B2038" s="8" t="s">
        <v>24</v>
      </c>
      <c r="C2038" s="9" t="s">
        <v>25</v>
      </c>
      <c r="D2038" s="9" t="s">
        <v>26</v>
      </c>
      <c r="E2038" s="10" t="n">
        <v>1789</v>
      </c>
      <c r="F2038" s="9" t="s">
        <v>27</v>
      </c>
      <c r="G2038" s="9" t="s">
        <v>27</v>
      </c>
      <c r="H2038" s="11" t="n">
        <v>25</v>
      </c>
      <c r="I2038" s="11" t="s">
        <v>363</v>
      </c>
      <c r="J2038" s="14" t="n">
        <v>150</v>
      </c>
      <c r="K2038" s="14"/>
      <c r="L2038" s="16"/>
      <c r="M2038" s="27" t="n">
        <f aca="false">J2038+(K2038/20)+(L2038/240)</f>
        <v>150</v>
      </c>
      <c r="N2038" s="17" t="s">
        <v>64</v>
      </c>
      <c r="O2038" s="11" t="s">
        <v>77</v>
      </c>
      <c r="P2038" s="28"/>
      <c r="Q2038" s="28" t="n">
        <f aca="false">P2038*$M2038</f>
        <v>0</v>
      </c>
      <c r="R2038" s="28"/>
      <c r="S2038" s="28" t="n">
        <f aca="false">R2038*$M2038</f>
        <v>0</v>
      </c>
      <c r="T2038" s="28"/>
      <c r="U2038" s="28" t="n">
        <f aca="false">T2038*$M2038</f>
        <v>0</v>
      </c>
      <c r="V2038" s="28" t="n">
        <f aca="false">1501/100</f>
        <v>15.01</v>
      </c>
      <c r="W2038" s="28" t="n">
        <v>2251</v>
      </c>
      <c r="X2038" s="28"/>
      <c r="Y2038" s="28" t="n">
        <f aca="false">X2038*$M2038</f>
        <v>0</v>
      </c>
      <c r="Z2038" s="28" t="n">
        <f aca="false">6420/100</f>
        <v>64.2</v>
      </c>
      <c r="AA2038" s="28" t="n">
        <v>9630</v>
      </c>
      <c r="AB2038" s="28"/>
      <c r="AC2038" s="28" t="n">
        <f aca="false">AB2038*$M2038</f>
        <v>0</v>
      </c>
      <c r="AD2038" s="28"/>
      <c r="AE2038" s="28" t="n">
        <f aca="false">AD2038*$M2038</f>
        <v>0</v>
      </c>
      <c r="AF2038" s="28"/>
      <c r="AG2038" s="28" t="n">
        <f aca="false">AF2038*$M2038</f>
        <v>0</v>
      </c>
      <c r="AH2038" s="28" t="n">
        <f aca="false">138039/100</f>
        <v>1380.39</v>
      </c>
      <c r="AI2038" s="28" t="n">
        <v>207058</v>
      </c>
      <c r="AJ2038" s="28"/>
      <c r="AK2038" s="28" t="n">
        <f aca="false">AJ2038*$M2038</f>
        <v>0</v>
      </c>
      <c r="AL2038" s="28" t="n">
        <f aca="false">917/100</f>
        <v>9.17</v>
      </c>
      <c r="AM2038" s="28" t="n">
        <v>1375</v>
      </c>
      <c r="AN2038" s="28"/>
      <c r="AO2038" s="28" t="n">
        <f aca="false">AN2038*$M2038</f>
        <v>0</v>
      </c>
      <c r="AP2038" s="28"/>
      <c r="AQ2038" s="28" t="n">
        <f aca="false">AP2038*$M2038</f>
        <v>0</v>
      </c>
      <c r="AR2038" s="28"/>
      <c r="AS2038" s="28" t="n">
        <f aca="false">AR2038*$M2038</f>
        <v>0</v>
      </c>
      <c r="AT2038" s="28"/>
      <c r="AU2038" s="28" t="n">
        <f aca="false">AT2038*$M2038</f>
        <v>0</v>
      </c>
      <c r="AV2038" s="28"/>
      <c r="AW2038" s="28" t="n">
        <f aca="false">AV2038*$M2038</f>
        <v>0</v>
      </c>
      <c r="AX2038" s="28"/>
      <c r="AY2038" s="28" t="n">
        <f aca="false">AX2038*$M2038</f>
        <v>0</v>
      </c>
      <c r="AZ2038" s="30" t="n">
        <f aca="false">146877/100</f>
        <v>1468.77</v>
      </c>
      <c r="BA2038" s="11" t="n">
        <v>220314</v>
      </c>
      <c r="BB2038" s="31" t="n">
        <f aca="false">SUM(Q2038,S2038,U2038,W2038,Y2038,AA2038,AC2038,AE2038,AG2038,AI2038,AK2038,AM2038,AO2038,AQ2038,AS2038,AU2038,AW2038,AY2038)</f>
        <v>220314</v>
      </c>
      <c r="BC2038" s="28" t="n">
        <f aca="false">BA2038-BB2038</f>
        <v>0</v>
      </c>
      <c r="BD2038" s="32" t="n">
        <f aca="false">SUM(P2038,R2038,T2038,V2038,X2038,Z2038,AB2038,AD2038,AF2038,AH2038,AJ2038,AL2038,AN2038,AP2038,AR2038,AT2038,AV2038,AX2038)</f>
        <v>1468.77</v>
      </c>
      <c r="BE2038" s="33" t="n">
        <f aca="false">AZ2038-BD2038</f>
        <v>0</v>
      </c>
      <c r="BF2038" s="34" t="n">
        <f aca="false">BD2038*M2038</f>
        <v>220315.5</v>
      </c>
      <c r="BG2038" s="35" t="n">
        <f aca="false">BA2038-BF2038</f>
        <v>-1.5000000000291</v>
      </c>
      <c r="BH2038" s="19" t="str">
        <f aca="false">IF(BG2038=0,"",IF(BG2038&lt;&gt;BA2038,"erreur de calcul",IF(BD2038&lt;&gt;0,"pas de prix",IF(M2038&lt;&gt; 0,"pas de quantité","pas de prix, ni de quantité"))))</f>
        <v>erreur de calcul</v>
      </c>
      <c r="BI2038" s="19"/>
    </row>
    <row r="2039" customFormat="false" ht="15" hidden="false" customHeight="false" outlineLevel="0" collapsed="false">
      <c r="A2039" s="0" t="n">
        <v>36</v>
      </c>
      <c r="B2039" s="8" t="s">
        <v>24</v>
      </c>
      <c r="C2039" s="9" t="s">
        <v>25</v>
      </c>
      <c r="D2039" s="9" t="s">
        <v>26</v>
      </c>
      <c r="E2039" s="10" t="n">
        <v>1789</v>
      </c>
      <c r="F2039" s="9" t="s">
        <v>27</v>
      </c>
      <c r="G2039" s="9" t="s">
        <v>27</v>
      </c>
      <c r="H2039" s="11" t="n">
        <v>25</v>
      </c>
      <c r="I2039" s="11" t="s">
        <v>364</v>
      </c>
      <c r="J2039" s="14" t="n">
        <v>122</v>
      </c>
      <c r="K2039" s="14"/>
      <c r="L2039" s="16"/>
      <c r="M2039" s="27" t="n">
        <f aca="false">J2039+(K2039/20)+(L2039/240)</f>
        <v>122</v>
      </c>
      <c r="N2039" s="17" t="s">
        <v>64</v>
      </c>
      <c r="O2039" s="11" t="s">
        <v>77</v>
      </c>
      <c r="P2039" s="28" t="n">
        <f aca="false">2402/100</f>
        <v>24.02</v>
      </c>
      <c r="Q2039" s="28" t="n">
        <v>2930</v>
      </c>
      <c r="R2039" s="28"/>
      <c r="S2039" s="28" t="n">
        <f aca="false">R2039*$M2039</f>
        <v>0</v>
      </c>
      <c r="T2039" s="28" t="n">
        <f aca="false">3566/100</f>
        <v>35.66</v>
      </c>
      <c r="U2039" s="36" t="n">
        <v>4550</v>
      </c>
      <c r="V2039" s="28" t="n">
        <f aca="false">917/100</f>
        <v>9.17</v>
      </c>
      <c r="W2039" s="28" t="n">
        <v>1119</v>
      </c>
      <c r="X2039" s="28"/>
      <c r="Y2039" s="28" t="n">
        <f aca="false">X2039*$M2039</f>
        <v>0</v>
      </c>
      <c r="Z2039" s="28"/>
      <c r="AA2039" s="28" t="n">
        <f aca="false">Z2039*$M2039</f>
        <v>0</v>
      </c>
      <c r="AB2039" s="28" t="n">
        <f aca="false">28087/100</f>
        <v>280.87</v>
      </c>
      <c r="AC2039" s="28" t="n">
        <v>34266</v>
      </c>
      <c r="AD2039" s="28" t="n">
        <f aca="false">1505/100</f>
        <v>15.05</v>
      </c>
      <c r="AE2039" s="28" t="n">
        <v>1836</v>
      </c>
      <c r="AF2039" s="28"/>
      <c r="AG2039" s="28" t="n">
        <f aca="false">AF2039*$M2039</f>
        <v>0</v>
      </c>
      <c r="AH2039" s="28" t="n">
        <f aca="false">15314/100</f>
        <v>153.14</v>
      </c>
      <c r="AI2039" s="28" t="n">
        <v>18683</v>
      </c>
      <c r="AJ2039" s="28"/>
      <c r="AK2039" s="28" t="n">
        <f aca="false">AJ2039*$M2039</f>
        <v>0</v>
      </c>
      <c r="AL2039" s="28"/>
      <c r="AM2039" s="28" t="n">
        <f aca="false">AL2039*$M2039</f>
        <v>0</v>
      </c>
      <c r="AN2039" s="28"/>
      <c r="AO2039" s="28" t="n">
        <f aca="false">AN2039*$M2039</f>
        <v>0</v>
      </c>
      <c r="AP2039" s="28"/>
      <c r="AQ2039" s="28" t="n">
        <f aca="false">AP2039*$M2039</f>
        <v>0</v>
      </c>
      <c r="AR2039" s="28"/>
      <c r="AS2039" s="28" t="n">
        <f aca="false">AR2039*$M2039</f>
        <v>0</v>
      </c>
      <c r="AT2039" s="28"/>
      <c r="AU2039" s="28" t="n">
        <f aca="false">AT2039*$M2039</f>
        <v>0</v>
      </c>
      <c r="AV2039" s="28"/>
      <c r="AW2039" s="28" t="n">
        <f aca="false">AV2039*$M2039</f>
        <v>0</v>
      </c>
      <c r="AX2039" s="28"/>
      <c r="AY2039" s="28" t="n">
        <f aca="false">AX2039*$M2039</f>
        <v>0</v>
      </c>
      <c r="AZ2039" s="30" t="n">
        <f aca="false">51791/100</f>
        <v>517.91</v>
      </c>
      <c r="BA2039" s="11" t="n">
        <v>63384</v>
      </c>
      <c r="BB2039" s="31" t="n">
        <f aca="false">SUM(Q2039,S2039,U2039,W2039,Y2039,AA2039,AC2039,AE2039,AG2039,AI2039,AK2039,AM2039,AO2039,AQ2039,AS2039,AU2039,AW2039,AY2039)</f>
        <v>63384</v>
      </c>
      <c r="BC2039" s="28" t="n">
        <f aca="false">BA2039-BB2039</f>
        <v>0</v>
      </c>
      <c r="BD2039" s="32" t="n">
        <f aca="false">SUM(P2039,R2039,T2039,V2039,X2039,Z2039,AB2039,AD2039,AF2039,AH2039,AJ2039,AL2039,AN2039,AP2039,AR2039,AT2039,AV2039,AX2039)</f>
        <v>517.91</v>
      </c>
      <c r="BE2039" s="33" t="n">
        <f aca="false">AZ2039-BD2039</f>
        <v>0</v>
      </c>
      <c r="BF2039" s="34" t="n">
        <f aca="false">BD2039*M2039</f>
        <v>63185.02</v>
      </c>
      <c r="BG2039" s="35" t="n">
        <f aca="false">BA2039-BF2039</f>
        <v>198.980000000003</v>
      </c>
      <c r="BH2039" s="19" t="str">
        <f aca="false">IF(BG2039=0,"",IF(BG2039&lt;&gt;BA2039,"erreur de calcul",IF(BD2039&lt;&gt;0,"pas de prix",IF(M2039&lt;&gt; 0,"pas de quantité","pas de prix, ni de quantité"))))</f>
        <v>erreur de calcul</v>
      </c>
      <c r="BI2039" s="19"/>
    </row>
    <row r="2040" customFormat="false" ht="15" hidden="false" customHeight="false" outlineLevel="0" collapsed="false">
      <c r="A2040" s="0" t="n">
        <v>37</v>
      </c>
      <c r="B2040" s="8" t="s">
        <v>24</v>
      </c>
      <c r="C2040" s="9" t="s">
        <v>25</v>
      </c>
      <c r="D2040" s="9" t="s">
        <v>26</v>
      </c>
      <c r="E2040" s="10" t="n">
        <v>1789</v>
      </c>
      <c r="F2040" s="9" t="s">
        <v>27</v>
      </c>
      <c r="G2040" s="9" t="s">
        <v>27</v>
      </c>
      <c r="H2040" s="11" t="n">
        <v>25</v>
      </c>
      <c r="I2040" s="11" t="s">
        <v>365</v>
      </c>
      <c r="J2040" s="14" t="n">
        <v>107</v>
      </c>
      <c r="K2040" s="14"/>
      <c r="L2040" s="16"/>
      <c r="M2040" s="27" t="n">
        <f aca="false">J2040+(K2040/20)+(L2040/240)</f>
        <v>107</v>
      </c>
      <c r="N2040" s="17" t="s">
        <v>64</v>
      </c>
      <c r="O2040" s="11" t="s">
        <v>77</v>
      </c>
      <c r="P2040" s="28"/>
      <c r="Q2040" s="28" t="n">
        <f aca="false">P2040*$M2040</f>
        <v>0</v>
      </c>
      <c r="R2040" s="28"/>
      <c r="S2040" s="28" t="n">
        <f aca="false">R2040*$M2040</f>
        <v>0</v>
      </c>
      <c r="T2040" s="28" t="n">
        <f aca="false">1834/100</f>
        <v>18.34</v>
      </c>
      <c r="U2040" s="28" t="n">
        <v>1962</v>
      </c>
      <c r="V2040" s="28"/>
      <c r="W2040" s="28" t="n">
        <f aca="false">V2040*$M2040</f>
        <v>0</v>
      </c>
      <c r="X2040" s="28"/>
      <c r="Y2040" s="28" t="n">
        <f aca="false">X2040*$M2040</f>
        <v>0</v>
      </c>
      <c r="Z2040" s="28"/>
      <c r="AA2040" s="28" t="n">
        <f aca="false">Z2040*$M2040</f>
        <v>0</v>
      </c>
      <c r="AB2040" s="28"/>
      <c r="AC2040" s="28" t="n">
        <f aca="false">AB2040*$M2040</f>
        <v>0</v>
      </c>
      <c r="AD2040" s="28"/>
      <c r="AE2040" s="28" t="n">
        <f aca="false">AD2040*$M2040</f>
        <v>0</v>
      </c>
      <c r="AF2040" s="28" t="n">
        <f aca="false">5202/100</f>
        <v>52.02</v>
      </c>
      <c r="AG2040" s="28" t="n">
        <v>5566</v>
      </c>
      <c r="AH2040" s="28"/>
      <c r="AI2040" s="28" t="n">
        <f aca="false">AH2040*$M2040</f>
        <v>0</v>
      </c>
      <c r="AJ2040" s="28" t="n">
        <f aca="false">3209/100</f>
        <v>32.09</v>
      </c>
      <c r="AK2040" s="28" t="n">
        <v>3434</v>
      </c>
      <c r="AL2040" s="28" t="n">
        <f aca="false">80682/100</f>
        <v>806.82</v>
      </c>
      <c r="AM2040" s="28" t="n">
        <v>86329</v>
      </c>
      <c r="AN2040" s="28"/>
      <c r="AO2040" s="28" t="n">
        <f aca="false">AN2040*$M2040</f>
        <v>0</v>
      </c>
      <c r="AP2040" s="28"/>
      <c r="AQ2040" s="28" t="n">
        <f aca="false">AP2040*$M2040</f>
        <v>0</v>
      </c>
      <c r="AR2040" s="28"/>
      <c r="AS2040" s="28" t="n">
        <f aca="false">AR2040*$M2040</f>
        <v>0</v>
      </c>
      <c r="AT2040" s="28"/>
      <c r="AU2040" s="28" t="n">
        <f aca="false">AT2040*$M2040</f>
        <v>0</v>
      </c>
      <c r="AV2040" s="28"/>
      <c r="AW2040" s="28" t="n">
        <f aca="false">AV2040*$M2040</f>
        <v>0</v>
      </c>
      <c r="AX2040" s="28"/>
      <c r="AY2040" s="28" t="n">
        <f aca="false">AX2040*$M2040</f>
        <v>0</v>
      </c>
      <c r="AZ2040" s="30" t="n">
        <f aca="false">90927/100</f>
        <v>909.27</v>
      </c>
      <c r="BA2040" s="11" t="n">
        <v>97291</v>
      </c>
      <c r="BB2040" s="31" t="n">
        <f aca="false">SUM(Q2040,S2040,U2040,W2040,Y2040,AA2040,AC2040,AE2040,AG2040,AI2040,AK2040,AM2040,AO2040,AQ2040,AS2040,AU2040,AW2040,AY2040)</f>
        <v>97291</v>
      </c>
      <c r="BC2040" s="28" t="n">
        <f aca="false">BA2040-BB2040</f>
        <v>0</v>
      </c>
      <c r="BD2040" s="32" t="n">
        <f aca="false">SUM(P2040,R2040,T2040,V2040,X2040,Z2040,AB2040,AD2040,AF2040,AH2040,AJ2040,AL2040,AN2040,AP2040,AR2040,AT2040,AV2040,AX2040)</f>
        <v>909.27</v>
      </c>
      <c r="BE2040" s="33" t="n">
        <f aca="false">AZ2040-BD2040</f>
        <v>0</v>
      </c>
      <c r="BF2040" s="34" t="n">
        <f aca="false">BD2040*M2040</f>
        <v>97291.89</v>
      </c>
      <c r="BG2040" s="35" t="n">
        <f aca="false">BA2040-BF2040</f>
        <v>-0.89000000001397</v>
      </c>
      <c r="BH2040" s="19" t="str">
        <f aca="false">IF(BG2040=0,"",IF(BG2040&lt;&gt;BA2040,"erreur de calcul",IF(BD2040&lt;&gt;0,"pas de prix",IF(M2040&lt;&gt; 0,"pas de quantité","pas de prix, ni de quantité"))))</f>
        <v>erreur de calcul</v>
      </c>
      <c r="BI2040" s="19"/>
    </row>
    <row r="2041" customFormat="false" ht="15" hidden="false" customHeight="false" outlineLevel="0" collapsed="false">
      <c r="A2041" s="0" t="n">
        <v>38</v>
      </c>
      <c r="B2041" s="8" t="s">
        <v>24</v>
      </c>
      <c r="C2041" s="9" t="s">
        <v>25</v>
      </c>
      <c r="D2041" s="9" t="s">
        <v>26</v>
      </c>
      <c r="E2041" s="10" t="n">
        <v>1789</v>
      </c>
      <c r="F2041" s="9" t="s">
        <v>27</v>
      </c>
      <c r="G2041" s="9" t="s">
        <v>27</v>
      </c>
      <c r="H2041" s="11" t="n">
        <v>25</v>
      </c>
      <c r="I2041" s="11" t="s">
        <v>366</v>
      </c>
      <c r="J2041" s="14"/>
      <c r="K2041" s="14"/>
      <c r="L2041" s="16"/>
      <c r="M2041" s="27" t="n">
        <f aca="false">J2041+(K2041/20)+(L2041/240)</f>
        <v>0</v>
      </c>
      <c r="N2041" s="17" t="s">
        <v>66</v>
      </c>
      <c r="O2041" s="11"/>
      <c r="P2041" s="28"/>
      <c r="Q2041" s="28" t="n">
        <f aca="false">P2041*$M2041</f>
        <v>0</v>
      </c>
      <c r="R2041" s="28"/>
      <c r="S2041" s="28" t="n">
        <f aca="false">R2041*$M2041</f>
        <v>0</v>
      </c>
      <c r="T2041" s="28"/>
      <c r="U2041" s="28" t="n">
        <f aca="false">T2041*$M2041</f>
        <v>0</v>
      </c>
      <c r="V2041" s="28" t="n">
        <v>797</v>
      </c>
      <c r="W2041" s="28" t="n">
        <v>720</v>
      </c>
      <c r="X2041" s="28"/>
      <c r="Y2041" s="28" t="n">
        <f aca="false">X2041*$M2041</f>
        <v>0</v>
      </c>
      <c r="Z2041" s="28"/>
      <c r="AA2041" s="28" t="n">
        <f aca="false">Z2041*$M2041</f>
        <v>0</v>
      </c>
      <c r="AB2041" s="28"/>
      <c r="AC2041" s="28" t="n">
        <f aca="false">AB2041*$M2041</f>
        <v>0</v>
      </c>
      <c r="AD2041" s="28"/>
      <c r="AE2041" s="28" t="n">
        <f aca="false">AD2041*$M2041</f>
        <v>0</v>
      </c>
      <c r="AF2041" s="28"/>
      <c r="AG2041" s="28" t="n">
        <f aca="false">AF2041*$M2041</f>
        <v>0</v>
      </c>
      <c r="AH2041" s="28"/>
      <c r="AI2041" s="28" t="n">
        <f aca="false">AH2041*$M2041</f>
        <v>0</v>
      </c>
      <c r="AJ2041" s="28"/>
      <c r="AK2041" s="28" t="n">
        <f aca="false">AJ2041*$M2041</f>
        <v>0</v>
      </c>
      <c r="AL2041" s="28"/>
      <c r="AM2041" s="28" t="n">
        <f aca="false">AL2041*$M2041</f>
        <v>0</v>
      </c>
      <c r="AN2041" s="28"/>
      <c r="AO2041" s="28" t="n">
        <f aca="false">AN2041*$M2041</f>
        <v>0</v>
      </c>
      <c r="AP2041" s="28"/>
      <c r="AQ2041" s="28" t="n">
        <f aca="false">AP2041*$M2041</f>
        <v>0</v>
      </c>
      <c r="AR2041" s="28"/>
      <c r="AS2041" s="28" t="n">
        <f aca="false">AR2041*$M2041</f>
        <v>0</v>
      </c>
      <c r="AT2041" s="28"/>
      <c r="AU2041" s="28" t="n">
        <f aca="false">AT2041*$M2041</f>
        <v>0</v>
      </c>
      <c r="AV2041" s="28"/>
      <c r="AW2041" s="28" t="n">
        <f aca="false">AV2041*$M2041</f>
        <v>0</v>
      </c>
      <c r="AX2041" s="28"/>
      <c r="AY2041" s="28" t="n">
        <f aca="false">AX2041*$M2041</f>
        <v>0</v>
      </c>
      <c r="AZ2041" s="30" t="n">
        <v>797</v>
      </c>
      <c r="BA2041" s="11" t="n">
        <v>720</v>
      </c>
      <c r="BB2041" s="31" t="n">
        <f aca="false">SUM(Q2041,S2041,U2041,W2041,Y2041,AA2041,AC2041,AE2041,AG2041,AI2041,AK2041,AM2041,AO2041,AQ2041,AS2041,AU2041,AW2041,AY2041)</f>
        <v>720</v>
      </c>
      <c r="BC2041" s="28" t="n">
        <f aca="false">BA2041-BB2041</f>
        <v>0</v>
      </c>
      <c r="BD2041" s="32" t="n">
        <f aca="false">SUM(P2041,R2041,T2041,V2041,X2041,Z2041,AB2041,AD2041,AF2041,AH2041,AJ2041,AL2041,AN2041,AP2041,AR2041,AT2041,AV2041,AX2041)</f>
        <v>797</v>
      </c>
      <c r="BE2041" s="33" t="n">
        <f aca="false">AZ2041-BD2041</f>
        <v>0</v>
      </c>
      <c r="BF2041" s="34" t="n">
        <f aca="false">BD2041*M2041</f>
        <v>0</v>
      </c>
      <c r="BG2041" s="35" t="n">
        <f aca="false">BA2041-BF2041</f>
        <v>720</v>
      </c>
      <c r="BH2041" s="19" t="str">
        <f aca="false">IF(BG2041=0,"",IF(BG2041&lt;&gt;BA2041,"erreur de calcul",IF(BD2041&lt;&gt;0,"pas de prix",IF(M2041&lt;&gt; 0,"pas de quantité","pas de prix, ni de quantité"))))</f>
        <v>pas de prix</v>
      </c>
      <c r="BI2041" s="19" t="s">
        <v>367</v>
      </c>
    </row>
    <row r="2042" customFormat="false" ht="15" hidden="false" customHeight="false" outlineLevel="0" collapsed="false">
      <c r="A2042" s="0" t="n">
        <v>39</v>
      </c>
      <c r="B2042" s="8" t="s">
        <v>24</v>
      </c>
      <c r="C2042" s="9" t="s">
        <v>25</v>
      </c>
      <c r="D2042" s="9" t="s">
        <v>26</v>
      </c>
      <c r="E2042" s="10" t="n">
        <v>1789</v>
      </c>
      <c r="F2042" s="9" t="s">
        <v>27</v>
      </c>
      <c r="G2042" s="9" t="s">
        <v>27</v>
      </c>
      <c r="H2042" s="11" t="n">
        <v>25</v>
      </c>
      <c r="I2042" s="11" t="s">
        <v>368</v>
      </c>
      <c r="J2042" s="14" t="n">
        <v>4</v>
      </c>
      <c r="K2042" s="14"/>
      <c r="L2042" s="16"/>
      <c r="M2042" s="27" t="n">
        <f aca="false">J2042+(K2042/20)+(L2042/240)</f>
        <v>4</v>
      </c>
      <c r="N2042" s="17" t="s">
        <v>64</v>
      </c>
      <c r="O2042" s="11"/>
      <c r="P2042" s="28"/>
      <c r="Q2042" s="28" t="n">
        <f aca="false">P2042*$M2042</f>
        <v>0</v>
      </c>
      <c r="R2042" s="28"/>
      <c r="S2042" s="28" t="n">
        <f aca="false">R2042*$M2042</f>
        <v>0</v>
      </c>
      <c r="T2042" s="28"/>
      <c r="U2042" s="28" t="n">
        <f aca="false">T2042*$M2042</f>
        <v>0</v>
      </c>
      <c r="V2042" s="28" t="n">
        <f aca="false">23693/100</f>
        <v>236.93</v>
      </c>
      <c r="W2042" s="28" t="n">
        <v>948</v>
      </c>
      <c r="X2042" s="28"/>
      <c r="Y2042" s="28" t="n">
        <f aca="false">X2042*$M2042</f>
        <v>0</v>
      </c>
      <c r="Z2042" s="28"/>
      <c r="AA2042" s="28" t="n">
        <f aca="false">Z2042*$M2042</f>
        <v>0</v>
      </c>
      <c r="AB2042" s="28"/>
      <c r="AC2042" s="28" t="n">
        <f aca="false">AB2042*$M2042</f>
        <v>0</v>
      </c>
      <c r="AD2042" s="28"/>
      <c r="AE2042" s="28" t="n">
        <f aca="false">AD2042*$M2042</f>
        <v>0</v>
      </c>
      <c r="AF2042" s="28"/>
      <c r="AG2042" s="28" t="n">
        <f aca="false">AF2042*$M2042</f>
        <v>0</v>
      </c>
      <c r="AH2042" s="28"/>
      <c r="AI2042" s="28" t="n">
        <f aca="false">AH2042*$M2042</f>
        <v>0</v>
      </c>
      <c r="AJ2042" s="28"/>
      <c r="AK2042" s="28" t="n">
        <f aca="false">AJ2042*$M2042</f>
        <v>0</v>
      </c>
      <c r="AL2042" s="28"/>
      <c r="AM2042" s="28" t="n">
        <f aca="false">AL2042*$M2042</f>
        <v>0</v>
      </c>
      <c r="AN2042" s="28"/>
      <c r="AO2042" s="28" t="n">
        <f aca="false">AN2042*$M2042</f>
        <v>0</v>
      </c>
      <c r="AP2042" s="28"/>
      <c r="AQ2042" s="28" t="n">
        <f aca="false">AP2042*$M2042</f>
        <v>0</v>
      </c>
      <c r="AR2042" s="28"/>
      <c r="AS2042" s="28" t="n">
        <f aca="false">AR2042*$M2042</f>
        <v>0</v>
      </c>
      <c r="AT2042" s="28"/>
      <c r="AU2042" s="28" t="n">
        <f aca="false">AT2042*$M2042</f>
        <v>0</v>
      </c>
      <c r="AV2042" s="28"/>
      <c r="AW2042" s="28" t="n">
        <f aca="false">AV2042*$M2042</f>
        <v>0</v>
      </c>
      <c r="AX2042" s="28"/>
      <c r="AY2042" s="28" t="n">
        <f aca="false">AX2042*$M2042</f>
        <v>0</v>
      </c>
      <c r="AZ2042" s="30" t="n">
        <f aca="false">23693/100</f>
        <v>236.93</v>
      </c>
      <c r="BA2042" s="11" t="n">
        <v>948</v>
      </c>
      <c r="BB2042" s="31" t="n">
        <f aca="false">SUM(Q2042,S2042,U2042,W2042,Y2042,AA2042,AC2042,AE2042,AG2042,AI2042,AK2042,AM2042,AO2042,AQ2042,AS2042,AU2042,AW2042,AY2042)</f>
        <v>948</v>
      </c>
      <c r="BC2042" s="28" t="n">
        <f aca="false">BA2042-BB2042</f>
        <v>0</v>
      </c>
      <c r="BD2042" s="32" t="n">
        <f aca="false">SUM(P2042,R2042,T2042,V2042,X2042,Z2042,AB2042,AD2042,AF2042,AH2042,AJ2042,AL2042,AN2042,AP2042,AR2042,AT2042,AV2042,AX2042)</f>
        <v>236.93</v>
      </c>
      <c r="BE2042" s="33" t="n">
        <f aca="false">AZ2042-BD2042</f>
        <v>0</v>
      </c>
      <c r="BF2042" s="34" t="n">
        <f aca="false">BD2042*M2042</f>
        <v>947.72</v>
      </c>
      <c r="BG2042" s="35" t="n">
        <f aca="false">BA2042-BF2042</f>
        <v>0.279999999999973</v>
      </c>
      <c r="BH2042" s="19" t="str">
        <f aca="false">IF(BG2042=0,"",IF(BG2042&lt;&gt;BA2042,"erreur de calcul",IF(BD2042&lt;&gt;0,"pas de prix",IF(M2042&lt;&gt; 0,"pas de quantité","pas de prix, ni de quantité"))))</f>
        <v>erreur de calcul</v>
      </c>
      <c r="BI2042" s="19"/>
    </row>
    <row r="2043" customFormat="false" ht="15" hidden="false" customHeight="false" outlineLevel="0" collapsed="false">
      <c r="A2043" s="0" t="n">
        <v>40</v>
      </c>
      <c r="B2043" s="8" t="s">
        <v>24</v>
      </c>
      <c r="C2043" s="9" t="s">
        <v>25</v>
      </c>
      <c r="D2043" s="9" t="s">
        <v>26</v>
      </c>
      <c r="E2043" s="10" t="n">
        <v>1789</v>
      </c>
      <c r="F2043" s="9" t="s">
        <v>27</v>
      </c>
      <c r="G2043" s="9" t="s">
        <v>27</v>
      </c>
      <c r="H2043" s="11" t="n">
        <v>25</v>
      </c>
      <c r="I2043" s="11" t="s">
        <v>369</v>
      </c>
      <c r="J2043" s="14" t="n">
        <v>92</v>
      </c>
      <c r="K2043" s="14"/>
      <c r="L2043" s="16"/>
      <c r="M2043" s="27" t="n">
        <f aca="false">J2043+(K2043/20)+(L2043/240)</f>
        <v>92</v>
      </c>
      <c r="N2043" s="17" t="s">
        <v>64</v>
      </c>
      <c r="O2043" s="11"/>
      <c r="P2043" s="28"/>
      <c r="Q2043" s="28" t="n">
        <f aca="false">P2043*$M2043</f>
        <v>0</v>
      </c>
      <c r="R2043" s="28"/>
      <c r="S2043" s="28" t="n">
        <f aca="false">R2043*$M2043</f>
        <v>0</v>
      </c>
      <c r="T2043" s="28"/>
      <c r="U2043" s="28" t="n">
        <f aca="false">T2043*$M2043</f>
        <v>0</v>
      </c>
      <c r="V2043" s="28" t="n">
        <f aca="false">82878/100</f>
        <v>828.78</v>
      </c>
      <c r="W2043" s="28" t="n">
        <v>76248</v>
      </c>
      <c r="X2043" s="28" t="n">
        <f aca="false">44264/100</f>
        <v>442.64</v>
      </c>
      <c r="Y2043" s="36" t="n">
        <v>41023</v>
      </c>
      <c r="Z2043" s="28"/>
      <c r="AA2043" s="28" t="n">
        <f aca="false">Z2043*$M2043</f>
        <v>0</v>
      </c>
      <c r="AB2043" s="28"/>
      <c r="AC2043" s="28" t="n">
        <f aca="false">AB2043*$M2043</f>
        <v>0</v>
      </c>
      <c r="AD2043" s="28"/>
      <c r="AE2043" s="28" t="n">
        <f aca="false">AD2043*$M2043</f>
        <v>0</v>
      </c>
      <c r="AF2043" s="28"/>
      <c r="AG2043" s="28" t="n">
        <f aca="false">AF2043*$M2043</f>
        <v>0</v>
      </c>
      <c r="AH2043" s="28"/>
      <c r="AI2043" s="28" t="n">
        <f aca="false">AH2043*$M2043</f>
        <v>0</v>
      </c>
      <c r="AJ2043" s="28"/>
      <c r="AK2043" s="28" t="n">
        <f aca="false">AJ2043*$M2043</f>
        <v>0</v>
      </c>
      <c r="AL2043" s="28"/>
      <c r="AM2043" s="28" t="n">
        <f aca="false">AL2043*$M2043</f>
        <v>0</v>
      </c>
      <c r="AN2043" s="28"/>
      <c r="AO2043" s="28" t="n">
        <f aca="false">AN2043*$M2043</f>
        <v>0</v>
      </c>
      <c r="AP2043" s="28"/>
      <c r="AQ2043" s="28" t="n">
        <f aca="false">AP2043*$M2043</f>
        <v>0</v>
      </c>
      <c r="AR2043" s="28"/>
      <c r="AS2043" s="28" t="n">
        <f aca="false">AR2043*$M2043</f>
        <v>0</v>
      </c>
      <c r="AT2043" s="28"/>
      <c r="AU2043" s="28" t="n">
        <f aca="false">AT2043*$M2043</f>
        <v>0</v>
      </c>
      <c r="AV2043" s="28"/>
      <c r="AW2043" s="28" t="n">
        <f aca="false">AV2043*$M2043</f>
        <v>0</v>
      </c>
      <c r="AX2043" s="28"/>
      <c r="AY2043" s="28" t="n">
        <f aca="false">AX2043*$M2043</f>
        <v>0</v>
      </c>
      <c r="AZ2043" s="30" t="n">
        <f aca="false">127142/100</f>
        <v>1271.42</v>
      </c>
      <c r="BA2043" s="11" t="n">
        <v>117271</v>
      </c>
      <c r="BB2043" s="31" t="n">
        <f aca="false">SUM(Q2043,S2043,U2043,W2043,Y2043,AA2043,AC2043,AE2043,AG2043,AI2043,AK2043,AM2043,AO2043,AQ2043,AS2043,AU2043,AW2043,AY2043)</f>
        <v>117271</v>
      </c>
      <c r="BC2043" s="28" t="n">
        <f aca="false">BA2043-BB2043</f>
        <v>0</v>
      </c>
      <c r="BD2043" s="32" t="n">
        <f aca="false">SUM(P2043,R2043,T2043,V2043,X2043,Z2043,AB2043,AD2043,AF2043,AH2043,AJ2043,AL2043,AN2043,AP2043,AR2043,AT2043,AV2043,AX2043)</f>
        <v>1271.42</v>
      </c>
      <c r="BE2043" s="33" t="n">
        <f aca="false">AZ2043-BD2043</f>
        <v>0</v>
      </c>
      <c r="BF2043" s="34" t="n">
        <f aca="false">BD2043*M2043</f>
        <v>116970.64</v>
      </c>
      <c r="BG2043" s="35" t="n">
        <f aca="false">BA2043-BF2043</f>
        <v>300.359999999986</v>
      </c>
      <c r="BH2043" s="19" t="str">
        <f aca="false">IF(BG2043=0,"",IF(BG2043&lt;&gt;BA2043,"erreur de calcul",IF(BD2043&lt;&gt;0,"pas de prix",IF(M2043&lt;&gt; 0,"pas de quantité","pas de prix, ni de quantité"))))</f>
        <v>erreur de calcul</v>
      </c>
      <c r="BI2043" s="19"/>
    </row>
    <row r="2044" customFormat="false" ht="15" hidden="false" customHeight="false" outlineLevel="0" collapsed="false">
      <c r="A2044" s="0" t="n">
        <v>41</v>
      </c>
      <c r="B2044" s="8" t="s">
        <v>24</v>
      </c>
      <c r="C2044" s="9" t="s">
        <v>25</v>
      </c>
      <c r="D2044" s="9" t="s">
        <v>26</v>
      </c>
      <c r="E2044" s="10" t="n">
        <v>1789</v>
      </c>
      <c r="F2044" s="9" t="s">
        <v>27</v>
      </c>
      <c r="G2044" s="9" t="s">
        <v>27</v>
      </c>
      <c r="H2044" s="11" t="n">
        <v>25</v>
      </c>
      <c r="I2044" s="11" t="s">
        <v>370</v>
      </c>
      <c r="J2044" s="14" t="n">
        <v>12</v>
      </c>
      <c r="K2044" s="14"/>
      <c r="L2044" s="16"/>
      <c r="M2044" s="27" t="n">
        <f aca="false">J2044+(K2044/20)+(L2044/240)</f>
        <v>12</v>
      </c>
      <c r="N2044" s="17" t="s">
        <v>64</v>
      </c>
      <c r="O2044" s="11"/>
      <c r="P2044" s="28"/>
      <c r="Q2044" s="28" t="n">
        <f aca="false">P2044*$M2044</f>
        <v>0</v>
      </c>
      <c r="R2044" s="28"/>
      <c r="S2044" s="28" t="n">
        <f aca="false">R2044*$M2044</f>
        <v>0</v>
      </c>
      <c r="T2044" s="28"/>
      <c r="U2044" s="28" t="n">
        <f aca="false">T2044*$M2044</f>
        <v>0</v>
      </c>
      <c r="V2044" s="28"/>
      <c r="W2044" s="28" t="n">
        <f aca="false">V2044*$M2044</f>
        <v>0</v>
      </c>
      <c r="X2044" s="28"/>
      <c r="Y2044" s="28" t="n">
        <f aca="false">X2044*$M2044</f>
        <v>0</v>
      </c>
      <c r="Z2044" s="28"/>
      <c r="AA2044" s="28" t="n">
        <f aca="false">Z2044*$M2044</f>
        <v>0</v>
      </c>
      <c r="AB2044" s="28"/>
      <c r="AC2044" s="28" t="n">
        <f aca="false">AB2044*$M2044</f>
        <v>0</v>
      </c>
      <c r="AD2044" s="28"/>
      <c r="AE2044" s="28" t="n">
        <f aca="false">AD2044*$M2044</f>
        <v>0</v>
      </c>
      <c r="AF2044" s="28"/>
      <c r="AG2044" s="28" t="n">
        <f aca="false">AF2044*$M2044</f>
        <v>0</v>
      </c>
      <c r="AH2044" s="28" t="n">
        <f aca="false">12168/100</f>
        <v>121.68</v>
      </c>
      <c r="AI2044" s="28" t="n">
        <v>1460</v>
      </c>
      <c r="AJ2044" s="28"/>
      <c r="AK2044" s="28" t="n">
        <f aca="false">AJ2044*$M2044</f>
        <v>0</v>
      </c>
      <c r="AL2044" s="28"/>
      <c r="AM2044" s="28" t="n">
        <f aca="false">AL2044*$M2044</f>
        <v>0</v>
      </c>
      <c r="AN2044" s="28"/>
      <c r="AO2044" s="28" t="n">
        <f aca="false">AN2044*$M2044</f>
        <v>0</v>
      </c>
      <c r="AP2044" s="28"/>
      <c r="AQ2044" s="28" t="n">
        <f aca="false">AP2044*$M2044</f>
        <v>0</v>
      </c>
      <c r="AR2044" s="28"/>
      <c r="AS2044" s="28" t="n">
        <f aca="false">AR2044*$M2044</f>
        <v>0</v>
      </c>
      <c r="AT2044" s="28"/>
      <c r="AU2044" s="28" t="n">
        <f aca="false">AT2044*$M2044</f>
        <v>0</v>
      </c>
      <c r="AV2044" s="28"/>
      <c r="AW2044" s="28" t="n">
        <f aca="false">AV2044*$M2044</f>
        <v>0</v>
      </c>
      <c r="AX2044" s="28"/>
      <c r="AY2044" s="28" t="n">
        <f aca="false">AX2044*$M2044</f>
        <v>0</v>
      </c>
      <c r="AZ2044" s="30" t="n">
        <f aca="false">12168/100</f>
        <v>121.68</v>
      </c>
      <c r="BA2044" s="11" t="n">
        <v>1460</v>
      </c>
      <c r="BB2044" s="31" t="n">
        <f aca="false">SUM(Q2044,S2044,U2044,W2044,Y2044,AA2044,AC2044,AE2044,AG2044,AI2044,AK2044,AM2044,AO2044,AQ2044,AS2044,AU2044,AW2044,AY2044)</f>
        <v>1460</v>
      </c>
      <c r="BC2044" s="28" t="n">
        <f aca="false">BA2044-BB2044</f>
        <v>0</v>
      </c>
      <c r="BD2044" s="32" t="n">
        <f aca="false">SUM(P2044,R2044,T2044,V2044,X2044,Z2044,AB2044,AD2044,AF2044,AH2044,AJ2044,AL2044,AN2044,AP2044,AR2044,AT2044,AV2044,AX2044)</f>
        <v>121.68</v>
      </c>
      <c r="BE2044" s="33" t="n">
        <f aca="false">AZ2044-BD2044</f>
        <v>0</v>
      </c>
      <c r="BF2044" s="34" t="n">
        <f aca="false">BD2044*M2044</f>
        <v>1460.16</v>
      </c>
      <c r="BG2044" s="35" t="n">
        <f aca="false">BA2044-BF2044</f>
        <v>-0.160000000000082</v>
      </c>
      <c r="BH2044" s="19" t="str">
        <f aca="false">IF(BG2044=0,"",IF(BG2044&lt;&gt;BA2044,"erreur de calcul",IF(BD2044&lt;&gt;0,"pas de prix",IF(M2044&lt;&gt; 0,"pas de quantité","pas de prix, ni de quantité"))))</f>
        <v>erreur de calcul</v>
      </c>
      <c r="BI2044" s="19"/>
    </row>
    <row r="2045" customFormat="false" ht="15" hidden="false" customHeight="false" outlineLevel="0" collapsed="false">
      <c r="A2045" s="0" t="n">
        <v>42</v>
      </c>
      <c r="B2045" s="8" t="s">
        <v>24</v>
      </c>
      <c r="C2045" s="9" t="s">
        <v>25</v>
      </c>
      <c r="D2045" s="9" t="s">
        <v>26</v>
      </c>
      <c r="E2045" s="10" t="n">
        <v>1789</v>
      </c>
      <c r="F2045" s="9" t="s">
        <v>27</v>
      </c>
      <c r="G2045" s="9" t="s">
        <v>27</v>
      </c>
      <c r="H2045" s="11" t="n">
        <v>25</v>
      </c>
      <c r="I2045" s="11" t="s">
        <v>371</v>
      </c>
      <c r="J2045" s="14" t="n">
        <v>7</v>
      </c>
      <c r="K2045" s="14"/>
      <c r="L2045" s="16"/>
      <c r="M2045" s="27" t="n">
        <f aca="false">J2045+(K2045/20)+(L2045/240)</f>
        <v>7</v>
      </c>
      <c r="N2045" s="17" t="s">
        <v>64</v>
      </c>
      <c r="O2045" s="11"/>
      <c r="P2045" s="28"/>
      <c r="Q2045" s="28" t="n">
        <f aca="false">P2045*$M2045</f>
        <v>0</v>
      </c>
      <c r="R2045" s="28"/>
      <c r="S2045" s="28" t="n">
        <f aca="false">R2045*$M2045</f>
        <v>0</v>
      </c>
      <c r="T2045" s="28"/>
      <c r="U2045" s="28" t="n">
        <f aca="false">T2045*$M2045</f>
        <v>0</v>
      </c>
      <c r="V2045" s="28"/>
      <c r="W2045" s="28" t="n">
        <f aca="false">V2045*$M2045</f>
        <v>0</v>
      </c>
      <c r="X2045" s="28"/>
      <c r="Y2045" s="28" t="n">
        <f aca="false">X2045*$M2045</f>
        <v>0</v>
      </c>
      <c r="Z2045" s="28"/>
      <c r="AA2045" s="28" t="n">
        <f aca="false">Z2045*$M2045</f>
        <v>0</v>
      </c>
      <c r="AB2045" s="28" t="n">
        <f aca="false">58003/100</f>
        <v>580.03</v>
      </c>
      <c r="AC2045" s="28" t="n">
        <v>4060</v>
      </c>
      <c r="AD2045" s="28"/>
      <c r="AE2045" s="28" t="n">
        <f aca="false">AD2045*$M2045</f>
        <v>0</v>
      </c>
      <c r="AF2045" s="28"/>
      <c r="AG2045" s="28" t="n">
        <f aca="false">AF2045*$M2045</f>
        <v>0</v>
      </c>
      <c r="AH2045" s="28"/>
      <c r="AI2045" s="28" t="n">
        <f aca="false">AH2045*$M2045</f>
        <v>0</v>
      </c>
      <c r="AJ2045" s="28"/>
      <c r="AK2045" s="28" t="n">
        <f aca="false">AJ2045*$M2045</f>
        <v>0</v>
      </c>
      <c r="AL2045" s="28"/>
      <c r="AM2045" s="28" t="n">
        <f aca="false">AL2045*$M2045</f>
        <v>0</v>
      </c>
      <c r="AN2045" s="28"/>
      <c r="AO2045" s="28" t="n">
        <f aca="false">AN2045*$M2045</f>
        <v>0</v>
      </c>
      <c r="AP2045" s="28"/>
      <c r="AQ2045" s="28" t="n">
        <f aca="false">AP2045*$M2045</f>
        <v>0</v>
      </c>
      <c r="AR2045" s="28"/>
      <c r="AS2045" s="28" t="n">
        <f aca="false">AR2045*$M2045</f>
        <v>0</v>
      </c>
      <c r="AT2045" s="28"/>
      <c r="AU2045" s="28" t="n">
        <f aca="false">AT2045*$M2045</f>
        <v>0</v>
      </c>
      <c r="AV2045" s="28"/>
      <c r="AW2045" s="28" t="n">
        <f aca="false">AV2045*$M2045</f>
        <v>0</v>
      </c>
      <c r="AX2045" s="28"/>
      <c r="AY2045" s="28" t="n">
        <f aca="false">AX2045*$M2045</f>
        <v>0</v>
      </c>
      <c r="AZ2045" s="30" t="n">
        <f aca="false">58003/100</f>
        <v>580.03</v>
      </c>
      <c r="BA2045" s="11" t="n">
        <v>4060</v>
      </c>
      <c r="BB2045" s="31" t="n">
        <f aca="false">SUM(Q2045,S2045,U2045,W2045,Y2045,AA2045,AC2045,AE2045,AG2045,AI2045,AK2045,AM2045,AO2045,AQ2045,AS2045,AU2045,AW2045,AY2045)</f>
        <v>4060</v>
      </c>
      <c r="BC2045" s="28" t="n">
        <f aca="false">BA2045-BB2045</f>
        <v>0</v>
      </c>
      <c r="BD2045" s="32" t="n">
        <f aca="false">SUM(P2045,R2045,T2045,V2045,X2045,Z2045,AB2045,AD2045,AF2045,AH2045,AJ2045,AL2045,AN2045,AP2045,AR2045,AT2045,AV2045,AX2045)</f>
        <v>580.03</v>
      </c>
      <c r="BE2045" s="33" t="n">
        <f aca="false">AZ2045-BD2045</f>
        <v>0</v>
      </c>
      <c r="BF2045" s="34" t="n">
        <f aca="false">BD2045*M2045</f>
        <v>4060.21</v>
      </c>
      <c r="BG2045" s="35" t="n">
        <f aca="false">BA2045-BF2045</f>
        <v>-0.210000000000036</v>
      </c>
      <c r="BH2045" s="19" t="str">
        <f aca="false">IF(BG2045=0,"",IF(BG2045&lt;&gt;BA2045,"erreur de calcul",IF(BD2045&lt;&gt;0,"pas de prix",IF(M2045&lt;&gt; 0,"pas de quantité","pas de prix, ni de quantité"))))</f>
        <v>erreur de calcul</v>
      </c>
      <c r="BI2045" s="19"/>
    </row>
    <row r="2046" customFormat="false" ht="15" hidden="false" customHeight="false" outlineLevel="0" collapsed="false">
      <c r="A2046" s="0" t="n">
        <v>1</v>
      </c>
      <c r="B2046" s="8" t="s">
        <v>24</v>
      </c>
      <c r="C2046" s="9" t="s">
        <v>25</v>
      </c>
      <c r="D2046" s="9" t="s">
        <v>26</v>
      </c>
      <c r="E2046" s="10" t="n">
        <v>1789</v>
      </c>
      <c r="F2046" s="9" t="s">
        <v>27</v>
      </c>
      <c r="G2046" s="9" t="s">
        <v>27</v>
      </c>
      <c r="H2046" s="11" t="n">
        <v>26</v>
      </c>
      <c r="I2046" s="11" t="s">
        <v>372</v>
      </c>
      <c r="J2046" s="14" t="n">
        <v>30</v>
      </c>
      <c r="K2046" s="14"/>
      <c r="L2046" s="16"/>
      <c r="M2046" s="27" t="n">
        <f aca="false">J2046+(K2046/20)+(L2046/240)</f>
        <v>30</v>
      </c>
      <c r="N2046" s="17" t="s">
        <v>64</v>
      </c>
      <c r="O2046" s="11"/>
      <c r="P2046" s="28"/>
      <c r="Q2046" s="28" t="n">
        <f aca="false">P2046*$M2046</f>
        <v>0</v>
      </c>
      <c r="R2046" s="28"/>
      <c r="S2046" s="28" t="n">
        <f aca="false">R2046*$M2046</f>
        <v>0</v>
      </c>
      <c r="T2046" s="28"/>
      <c r="U2046" s="28" t="n">
        <f aca="false">T2046*$M2046</f>
        <v>0</v>
      </c>
      <c r="V2046" s="28" t="n">
        <f aca="false">1500/100</f>
        <v>15</v>
      </c>
      <c r="W2046" s="28" t="n">
        <v>450</v>
      </c>
      <c r="X2046" s="28"/>
      <c r="Y2046" s="28" t="n">
        <f aca="false">X2046*$M2046</f>
        <v>0</v>
      </c>
      <c r="Z2046" s="28"/>
      <c r="AA2046" s="28" t="n">
        <f aca="false">Z2046*$M2046</f>
        <v>0</v>
      </c>
      <c r="AB2046" s="28"/>
      <c r="AC2046" s="28" t="n">
        <f aca="false">AB2046*$M2046</f>
        <v>0</v>
      </c>
      <c r="AD2046" s="28"/>
      <c r="AE2046" s="28" t="n">
        <f aca="false">AD2046*$M2046</f>
        <v>0</v>
      </c>
      <c r="AF2046" s="28"/>
      <c r="AG2046" s="28" t="n">
        <f aca="false">AF2046*$M2046</f>
        <v>0</v>
      </c>
      <c r="AH2046" s="28"/>
      <c r="AI2046" s="28" t="n">
        <f aca="false">AH2046*$M2046</f>
        <v>0</v>
      </c>
      <c r="AJ2046" s="28"/>
      <c r="AK2046" s="28" t="n">
        <f aca="false">AJ2046*$M2046</f>
        <v>0</v>
      </c>
      <c r="AL2046" s="28"/>
      <c r="AM2046" s="28" t="n">
        <f aca="false">AL2046*$M2046</f>
        <v>0</v>
      </c>
      <c r="AN2046" s="28"/>
      <c r="AO2046" s="28" t="n">
        <f aca="false">AN2046*$M2046</f>
        <v>0</v>
      </c>
      <c r="AP2046" s="28"/>
      <c r="AQ2046" s="28" t="n">
        <f aca="false">AP2046*$M2046</f>
        <v>0</v>
      </c>
      <c r="AR2046" s="28"/>
      <c r="AS2046" s="28" t="n">
        <f aca="false">AR2046*$M2046</f>
        <v>0</v>
      </c>
      <c r="AT2046" s="28"/>
      <c r="AU2046" s="28" t="n">
        <f aca="false">AT2046*$M2046</f>
        <v>0</v>
      </c>
      <c r="AV2046" s="28"/>
      <c r="AW2046" s="28" t="n">
        <f aca="false">AV2046*$M2046</f>
        <v>0</v>
      </c>
      <c r="AX2046" s="28"/>
      <c r="AY2046" s="28" t="n">
        <f aca="false">AX2046*$M2046</f>
        <v>0</v>
      </c>
      <c r="AZ2046" s="30" t="n">
        <f aca="false">1500/100</f>
        <v>15</v>
      </c>
      <c r="BA2046" s="11" t="n">
        <v>450</v>
      </c>
      <c r="BB2046" s="31" t="n">
        <f aca="false">SUM(Q2046,S2046,U2046,W2046,Y2046,AA2046,AC2046,AE2046,AG2046,AI2046,AK2046,AM2046,AO2046,AQ2046,AS2046,AU2046,AW2046,AY2046)</f>
        <v>450</v>
      </c>
      <c r="BC2046" s="28" t="n">
        <f aca="false">BA2046-BB2046</f>
        <v>0</v>
      </c>
      <c r="BD2046" s="32" t="n">
        <f aca="false">SUM(P2046,R2046,T2046,V2046,X2046,Z2046,AB2046,AD2046,AF2046,AH2046,AJ2046,AL2046,AN2046,AP2046,AR2046,AT2046,AV2046,AX2046)</f>
        <v>15</v>
      </c>
      <c r="BE2046" s="33" t="n">
        <f aca="false">AZ2046-BD2046</f>
        <v>0</v>
      </c>
      <c r="BF2046" s="34" t="n">
        <f aca="false">BD2046*M2046</f>
        <v>450</v>
      </c>
      <c r="BG2046" s="35" t="n">
        <f aca="false">BA2046-BF2046</f>
        <v>0</v>
      </c>
      <c r="BH2046" s="19" t="str">
        <f aca="false">IF(BG2046=0,"",IF(BG2046&lt;&gt;BA2046,"erreur de calcul",IF(BD2046&lt;&gt;0,"pas de prix",IF(M2046&lt;&gt; 0,"pas de quantité","pas de prix, ni de quantité"))))</f>
        <v/>
      </c>
      <c r="BI2046" s="19"/>
    </row>
    <row r="2047" customFormat="false" ht="15" hidden="false" customHeight="false" outlineLevel="0" collapsed="false">
      <c r="A2047" s="0" t="n">
        <v>2</v>
      </c>
      <c r="B2047" s="8" t="s">
        <v>24</v>
      </c>
      <c r="C2047" s="9" t="s">
        <v>25</v>
      </c>
      <c r="D2047" s="9" t="s">
        <v>26</v>
      </c>
      <c r="E2047" s="10" t="n">
        <v>1789</v>
      </c>
      <c r="F2047" s="9" t="s">
        <v>27</v>
      </c>
      <c r="G2047" s="9" t="s">
        <v>27</v>
      </c>
      <c r="H2047" s="11" t="n">
        <v>26</v>
      </c>
      <c r="I2047" s="11" t="s">
        <v>373</v>
      </c>
      <c r="J2047" s="14" t="n">
        <v>25</v>
      </c>
      <c r="K2047" s="14"/>
      <c r="L2047" s="16"/>
      <c r="M2047" s="27" t="n">
        <f aca="false">J2047+(K2047/20)+(L2047/240)</f>
        <v>25</v>
      </c>
      <c r="N2047" s="17" t="s">
        <v>64</v>
      </c>
      <c r="O2047" s="11"/>
      <c r="P2047" s="28"/>
      <c r="Q2047" s="28" t="n">
        <f aca="false">P2047*$M2047</f>
        <v>0</v>
      </c>
      <c r="R2047" s="28"/>
      <c r="S2047" s="28" t="n">
        <f aca="false">R2047*$M2047</f>
        <v>0</v>
      </c>
      <c r="T2047" s="28" t="n">
        <f aca="false">34168/100</f>
        <v>341.68</v>
      </c>
      <c r="U2047" s="28" t="n">
        <v>8542</v>
      </c>
      <c r="V2047" s="28" t="n">
        <f aca="false">128249/100</f>
        <v>1282.49</v>
      </c>
      <c r="W2047" s="28" t="n">
        <v>32062</v>
      </c>
      <c r="X2047" s="28" t="n">
        <f aca="false">21365/100</f>
        <v>213.65</v>
      </c>
      <c r="Y2047" s="28" t="n">
        <v>5341</v>
      </c>
      <c r="Z2047" s="28"/>
      <c r="AA2047" s="28" t="n">
        <f aca="false">Z2047*$M2047</f>
        <v>0</v>
      </c>
      <c r="AB2047" s="28"/>
      <c r="AC2047" s="28" t="n">
        <f aca="false">AB2047*$M2047</f>
        <v>0</v>
      </c>
      <c r="AD2047" s="28"/>
      <c r="AE2047" s="28" t="n">
        <f aca="false">AD2047*$M2047</f>
        <v>0</v>
      </c>
      <c r="AF2047" s="28"/>
      <c r="AG2047" s="28" t="n">
        <f aca="false">AF2047*$M2047</f>
        <v>0</v>
      </c>
      <c r="AH2047" s="28"/>
      <c r="AI2047" s="28" t="n">
        <f aca="false">AH2047*$M2047</f>
        <v>0</v>
      </c>
      <c r="AJ2047" s="28" t="n">
        <f aca="false">155251/100</f>
        <v>1552.51</v>
      </c>
      <c r="AK2047" s="28" t="n">
        <v>38813</v>
      </c>
      <c r="AL2047" s="28" t="n">
        <f aca="false">185000/100</f>
        <v>1850</v>
      </c>
      <c r="AM2047" s="28" t="n">
        <v>46250</v>
      </c>
      <c r="AN2047" s="28"/>
      <c r="AO2047" s="28" t="n">
        <f aca="false">AN2047*$M2047</f>
        <v>0</v>
      </c>
      <c r="AP2047" s="28"/>
      <c r="AQ2047" s="28" t="n">
        <f aca="false">AP2047*$M2047</f>
        <v>0</v>
      </c>
      <c r="AR2047" s="28"/>
      <c r="AS2047" s="28" t="n">
        <f aca="false">AR2047*$M2047</f>
        <v>0</v>
      </c>
      <c r="AT2047" s="28"/>
      <c r="AU2047" s="28" t="n">
        <f aca="false">AT2047*$M2047</f>
        <v>0</v>
      </c>
      <c r="AV2047" s="28"/>
      <c r="AW2047" s="28" t="n">
        <f aca="false">AV2047*$M2047</f>
        <v>0</v>
      </c>
      <c r="AX2047" s="28"/>
      <c r="AY2047" s="28" t="n">
        <f aca="false">AX2047*$M2047</f>
        <v>0</v>
      </c>
      <c r="AZ2047" s="30" t="n">
        <f aca="false">524033/100</f>
        <v>5240.33</v>
      </c>
      <c r="BA2047" s="11" t="n">
        <v>131008</v>
      </c>
      <c r="BB2047" s="31" t="n">
        <f aca="false">SUM(Q2047,S2047,U2047,W2047,Y2047,AA2047,AC2047,AE2047,AG2047,AI2047,AK2047,AM2047,AO2047,AQ2047,AS2047,AU2047,AW2047,AY2047)</f>
        <v>131008</v>
      </c>
      <c r="BC2047" s="28" t="n">
        <f aca="false">BA2047-BB2047</f>
        <v>0</v>
      </c>
      <c r="BD2047" s="32" t="n">
        <f aca="false">SUM(P2047,R2047,T2047,V2047,X2047,Z2047,AB2047,AD2047,AF2047,AH2047,AJ2047,AL2047,AN2047,AP2047,AR2047,AT2047,AV2047,AX2047)</f>
        <v>5240.33</v>
      </c>
      <c r="BE2047" s="33" t="n">
        <f aca="false">AZ2047-BD2047</f>
        <v>0</v>
      </c>
      <c r="BF2047" s="34" t="n">
        <f aca="false">BD2047*M2047</f>
        <v>131008.25</v>
      </c>
      <c r="BG2047" s="35" t="n">
        <f aca="false">BA2047-BF2047</f>
        <v>-0.250000000014552</v>
      </c>
      <c r="BH2047" s="19" t="str">
        <f aca="false">IF(BG2047=0,"",IF(BG2047&lt;&gt;BA2047,"erreur de calcul",IF(BD2047&lt;&gt;0,"pas de prix",IF(M2047&lt;&gt; 0,"pas de quantité","pas de prix, ni de quantité"))))</f>
        <v>erreur de calcul</v>
      </c>
      <c r="BI2047" s="19"/>
    </row>
    <row r="2048" customFormat="false" ht="15" hidden="false" customHeight="false" outlineLevel="0" collapsed="false">
      <c r="A2048" s="0" t="n">
        <v>3</v>
      </c>
      <c r="B2048" s="8" t="s">
        <v>24</v>
      </c>
      <c r="C2048" s="9" t="s">
        <v>25</v>
      </c>
      <c r="D2048" s="9" t="s">
        <v>26</v>
      </c>
      <c r="E2048" s="10" t="n">
        <v>1789</v>
      </c>
      <c r="F2048" s="9" t="s">
        <v>27</v>
      </c>
      <c r="G2048" s="9" t="s">
        <v>27</v>
      </c>
      <c r="H2048" s="11" t="n">
        <v>26</v>
      </c>
      <c r="I2048" s="11" t="s">
        <v>374</v>
      </c>
      <c r="J2048" s="14" t="n">
        <v>70</v>
      </c>
      <c r="K2048" s="14"/>
      <c r="L2048" s="16"/>
      <c r="M2048" s="27" t="n">
        <f aca="false">J2048+(K2048/20)+(L2048/240)</f>
        <v>70</v>
      </c>
      <c r="N2048" s="17" t="s">
        <v>64</v>
      </c>
      <c r="O2048" s="11"/>
      <c r="P2048" s="28"/>
      <c r="Q2048" s="28" t="n">
        <f aca="false">P2048*$M2048</f>
        <v>0</v>
      </c>
      <c r="R2048" s="28"/>
      <c r="S2048" s="28" t="n">
        <f aca="false">R2048*$M2048</f>
        <v>0</v>
      </c>
      <c r="T2048" s="28"/>
      <c r="U2048" s="28" t="n">
        <f aca="false">T2048*$M2048</f>
        <v>0</v>
      </c>
      <c r="V2048" s="28" t="n">
        <f aca="false">4560/100</f>
        <v>45.6</v>
      </c>
      <c r="W2048" s="28" t="n">
        <v>3192</v>
      </c>
      <c r="X2048" s="28" t="n">
        <f aca="false">1115/100</f>
        <v>11.15</v>
      </c>
      <c r="Y2048" s="28" t="n">
        <v>780</v>
      </c>
      <c r="Z2048" s="28"/>
      <c r="AA2048" s="28" t="n">
        <f aca="false">Z2048*$M2048</f>
        <v>0</v>
      </c>
      <c r="AB2048" s="28" t="n">
        <f aca="false">9431/100</f>
        <v>94.31</v>
      </c>
      <c r="AC2048" s="28" t="n">
        <v>6602</v>
      </c>
      <c r="AD2048" s="28"/>
      <c r="AE2048" s="28" t="n">
        <f aca="false">AD2048*$M2048</f>
        <v>0</v>
      </c>
      <c r="AF2048" s="28"/>
      <c r="AG2048" s="28" t="n">
        <f aca="false">AF2048*$M2048</f>
        <v>0</v>
      </c>
      <c r="AH2048" s="28"/>
      <c r="AI2048" s="28" t="n">
        <f aca="false">AH2048*$M2048</f>
        <v>0</v>
      </c>
      <c r="AJ2048" s="28"/>
      <c r="AK2048" s="28" t="n">
        <f aca="false">AJ2048*$M2048</f>
        <v>0</v>
      </c>
      <c r="AL2048" s="28"/>
      <c r="AM2048" s="28" t="n">
        <f aca="false">AL2048*$M2048</f>
        <v>0</v>
      </c>
      <c r="AN2048" s="28"/>
      <c r="AO2048" s="28" t="n">
        <f aca="false">AN2048*$M2048</f>
        <v>0</v>
      </c>
      <c r="AP2048" s="28"/>
      <c r="AQ2048" s="28" t="n">
        <f aca="false">AP2048*$M2048</f>
        <v>0</v>
      </c>
      <c r="AR2048" s="28"/>
      <c r="AS2048" s="28" t="n">
        <f aca="false">AR2048*$M2048</f>
        <v>0</v>
      </c>
      <c r="AT2048" s="28"/>
      <c r="AU2048" s="28" t="n">
        <f aca="false">AT2048*$M2048</f>
        <v>0</v>
      </c>
      <c r="AV2048" s="28"/>
      <c r="AW2048" s="28" t="n">
        <f aca="false">AV2048*$M2048</f>
        <v>0</v>
      </c>
      <c r="AX2048" s="28"/>
      <c r="AY2048" s="28" t="n">
        <f aca="false">AX2048*$M2048</f>
        <v>0</v>
      </c>
      <c r="AZ2048" s="30" t="n">
        <f aca="false">15106/100</f>
        <v>151.06</v>
      </c>
      <c r="BA2048" s="11" t="n">
        <v>10574</v>
      </c>
      <c r="BB2048" s="31" t="n">
        <f aca="false">SUM(Q2048,S2048,U2048,W2048,Y2048,AA2048,AC2048,AE2048,AG2048,AI2048,AK2048,AM2048,AO2048,AQ2048,AS2048,AU2048,AW2048,AY2048)</f>
        <v>10574</v>
      </c>
      <c r="BC2048" s="28" t="n">
        <f aca="false">BA2048-BB2048</f>
        <v>0</v>
      </c>
      <c r="BD2048" s="32" t="n">
        <f aca="false">SUM(P2048,R2048,T2048,V2048,X2048,Z2048,AB2048,AD2048,AF2048,AH2048,AJ2048,AL2048,AN2048,AP2048,AR2048,AT2048,AV2048,AX2048)</f>
        <v>151.06</v>
      </c>
      <c r="BE2048" s="33" t="n">
        <f aca="false">AZ2048-BD2048</f>
        <v>0</v>
      </c>
      <c r="BF2048" s="34" t="n">
        <f aca="false">BD2048*M2048</f>
        <v>10574.2</v>
      </c>
      <c r="BG2048" s="35" t="n">
        <f aca="false">BA2048-BF2048</f>
        <v>-0.200000000000728</v>
      </c>
      <c r="BH2048" s="19" t="str">
        <f aca="false">IF(BG2048=0,"",IF(BG2048&lt;&gt;BA2048,"erreur de calcul",IF(BD2048&lt;&gt;0,"pas de prix",IF(M2048&lt;&gt; 0,"pas de quantité","pas de prix, ni de quantité"))))</f>
        <v>erreur de calcul</v>
      </c>
      <c r="BI2048" s="19"/>
    </row>
    <row r="2049" customFormat="false" ht="15" hidden="false" customHeight="false" outlineLevel="0" collapsed="false">
      <c r="A2049" s="0" t="n">
        <v>4</v>
      </c>
      <c r="B2049" s="8" t="s">
        <v>24</v>
      </c>
      <c r="C2049" s="9" t="s">
        <v>25</v>
      </c>
      <c r="D2049" s="9" t="s">
        <v>26</v>
      </c>
      <c r="E2049" s="10" t="n">
        <v>1789</v>
      </c>
      <c r="F2049" s="9" t="s">
        <v>27</v>
      </c>
      <c r="G2049" s="9" t="s">
        <v>27</v>
      </c>
      <c r="H2049" s="11" t="n">
        <v>26</v>
      </c>
      <c r="I2049" s="11" t="s">
        <v>375</v>
      </c>
      <c r="J2049" s="14" t="n">
        <v>245</v>
      </c>
      <c r="K2049" s="14"/>
      <c r="L2049" s="16"/>
      <c r="M2049" s="27" t="n">
        <f aca="false">J2049+(K2049/20)+(L2049/240)</f>
        <v>245</v>
      </c>
      <c r="N2049" s="17" t="s">
        <v>64</v>
      </c>
      <c r="O2049" s="11"/>
      <c r="P2049" s="28"/>
      <c r="Q2049" s="28" t="n">
        <f aca="false">P2049*$M2049</f>
        <v>0</v>
      </c>
      <c r="R2049" s="28"/>
      <c r="S2049" s="28" t="n">
        <f aca="false">R2049*$M2049</f>
        <v>0</v>
      </c>
      <c r="T2049" s="28"/>
      <c r="U2049" s="28" t="n">
        <f aca="false">T2049*$M2049</f>
        <v>0</v>
      </c>
      <c r="V2049" s="28"/>
      <c r="W2049" s="28" t="n">
        <f aca="false">V2049*$M2049</f>
        <v>0</v>
      </c>
      <c r="X2049" s="28"/>
      <c r="Y2049" s="28" t="n">
        <f aca="false">X2049*$M2049</f>
        <v>0</v>
      </c>
      <c r="Z2049" s="28"/>
      <c r="AA2049" s="28" t="n">
        <f aca="false">Z2049*$M2049</f>
        <v>0</v>
      </c>
      <c r="AB2049" s="28"/>
      <c r="AC2049" s="28" t="n">
        <f aca="false">AB2049*$M2049</f>
        <v>0</v>
      </c>
      <c r="AD2049" s="28"/>
      <c r="AE2049" s="28" t="n">
        <f aca="false">AD2049*$M2049</f>
        <v>0</v>
      </c>
      <c r="AF2049" s="28"/>
      <c r="AG2049" s="28" t="n">
        <f aca="false">AF2049*$M2049</f>
        <v>0</v>
      </c>
      <c r="AH2049" s="28" t="n">
        <f aca="false">751/100</f>
        <v>7.51</v>
      </c>
      <c r="AI2049" s="28" t="n">
        <v>1840</v>
      </c>
      <c r="AJ2049" s="28"/>
      <c r="AK2049" s="28" t="n">
        <f aca="false">AJ2049*$M2049</f>
        <v>0</v>
      </c>
      <c r="AL2049" s="28"/>
      <c r="AM2049" s="28" t="n">
        <f aca="false">AL2049*$M2049</f>
        <v>0</v>
      </c>
      <c r="AN2049" s="28"/>
      <c r="AO2049" s="28" t="n">
        <f aca="false">AN2049*$M2049</f>
        <v>0</v>
      </c>
      <c r="AP2049" s="28"/>
      <c r="AQ2049" s="28" t="n">
        <f aca="false">AP2049*$M2049</f>
        <v>0</v>
      </c>
      <c r="AR2049" s="28"/>
      <c r="AS2049" s="28" t="n">
        <f aca="false">AR2049*$M2049</f>
        <v>0</v>
      </c>
      <c r="AT2049" s="28"/>
      <c r="AU2049" s="28" t="n">
        <f aca="false">AT2049*$M2049</f>
        <v>0</v>
      </c>
      <c r="AV2049" s="28"/>
      <c r="AW2049" s="28" t="n">
        <f aca="false">AV2049*$M2049</f>
        <v>0</v>
      </c>
      <c r="AX2049" s="28"/>
      <c r="AY2049" s="28" t="n">
        <f aca="false">AX2049*$M2049</f>
        <v>0</v>
      </c>
      <c r="AZ2049" s="30" t="n">
        <f aca="false">751/100</f>
        <v>7.51</v>
      </c>
      <c r="BA2049" s="11" t="n">
        <v>1840</v>
      </c>
      <c r="BB2049" s="31" t="n">
        <f aca="false">SUM(Q2049,S2049,U2049,W2049,Y2049,AA2049,AC2049,AE2049,AG2049,AI2049,AK2049,AM2049,AO2049,AQ2049,AS2049,AU2049,AW2049,AY2049)</f>
        <v>1840</v>
      </c>
      <c r="BC2049" s="28" t="n">
        <f aca="false">BA2049-BB2049</f>
        <v>0</v>
      </c>
      <c r="BD2049" s="32" t="n">
        <f aca="false">SUM(P2049,R2049,T2049,V2049,X2049,Z2049,AB2049,AD2049,AF2049,AH2049,AJ2049,AL2049,AN2049,AP2049,AR2049,AT2049,AV2049,AX2049)</f>
        <v>7.51</v>
      </c>
      <c r="BE2049" s="33" t="n">
        <f aca="false">AZ2049-BD2049</f>
        <v>0</v>
      </c>
      <c r="BF2049" s="34" t="n">
        <f aca="false">BD2049*M2049</f>
        <v>1839.95</v>
      </c>
      <c r="BG2049" s="35" t="n">
        <f aca="false">BA2049-BF2049</f>
        <v>0.0499999999999545</v>
      </c>
      <c r="BH2049" s="19" t="str">
        <f aca="false">IF(BG2049=0,"",IF(BG2049&lt;&gt;BA2049,"erreur de calcul",IF(BD2049&lt;&gt;0,"pas de prix",IF(M2049&lt;&gt; 0,"pas de quantité","pas de prix, ni de quantité"))))</f>
        <v>erreur de calcul</v>
      </c>
      <c r="BI2049" s="19"/>
    </row>
    <row r="2050" customFormat="false" ht="15" hidden="false" customHeight="false" outlineLevel="0" collapsed="false">
      <c r="A2050" s="0" t="n">
        <v>5</v>
      </c>
      <c r="B2050" s="8" t="s">
        <v>24</v>
      </c>
      <c r="C2050" s="9" t="s">
        <v>25</v>
      </c>
      <c r="D2050" s="9" t="s">
        <v>26</v>
      </c>
      <c r="E2050" s="10" t="n">
        <v>1789</v>
      </c>
      <c r="F2050" s="9" t="s">
        <v>27</v>
      </c>
      <c r="G2050" s="9" t="s">
        <v>27</v>
      </c>
      <c r="H2050" s="11" t="n">
        <v>26</v>
      </c>
      <c r="I2050" s="11" t="s">
        <v>376</v>
      </c>
      <c r="J2050" s="14" t="n">
        <v>550</v>
      </c>
      <c r="K2050" s="14"/>
      <c r="L2050" s="16"/>
      <c r="M2050" s="27" t="n">
        <f aca="false">J2050+(K2050/20)+(L2050/240)</f>
        <v>550</v>
      </c>
      <c r="N2050" s="17" t="s">
        <v>64</v>
      </c>
      <c r="O2050" s="11"/>
      <c r="P2050" s="28"/>
      <c r="Q2050" s="28" t="n">
        <f aca="false">P2050*$M2050</f>
        <v>0</v>
      </c>
      <c r="R2050" s="28"/>
      <c r="S2050" s="28" t="n">
        <f aca="false">R2050*$M2050</f>
        <v>0</v>
      </c>
      <c r="T2050" s="28"/>
      <c r="U2050" s="28" t="n">
        <f aca="false">T2050*$M2050</f>
        <v>0</v>
      </c>
      <c r="V2050" s="28"/>
      <c r="W2050" s="28" t="n">
        <f aca="false">V2050*$M2050</f>
        <v>0</v>
      </c>
      <c r="X2050" s="28"/>
      <c r="Y2050" s="28" t="n">
        <f aca="false">X2050*$M2050</f>
        <v>0</v>
      </c>
      <c r="Z2050" s="28"/>
      <c r="AA2050" s="28" t="n">
        <f aca="false">Z2050*$M2050</f>
        <v>0</v>
      </c>
      <c r="AB2050" s="28"/>
      <c r="AC2050" s="28" t="n">
        <f aca="false">AB2050*$M2050</f>
        <v>0</v>
      </c>
      <c r="AD2050" s="28"/>
      <c r="AE2050" s="28" t="n">
        <f aca="false">AD2050*$M2050</f>
        <v>0</v>
      </c>
      <c r="AF2050" s="28"/>
      <c r="AG2050" s="28" t="n">
        <f aca="false">AF2050*$M2050</f>
        <v>0</v>
      </c>
      <c r="AH2050" s="28" t="n">
        <f aca="false">215551/100</f>
        <v>2155.51</v>
      </c>
      <c r="AI2050" s="28" t="n">
        <v>1185530</v>
      </c>
      <c r="AJ2050" s="28"/>
      <c r="AK2050" s="28" t="n">
        <f aca="false">AJ2050*$M2050</f>
        <v>0</v>
      </c>
      <c r="AL2050" s="28"/>
      <c r="AM2050" s="28" t="n">
        <f aca="false">AL2050*$M2050</f>
        <v>0</v>
      </c>
      <c r="AN2050" s="28"/>
      <c r="AO2050" s="28" t="n">
        <f aca="false">AN2050*$M2050</f>
        <v>0</v>
      </c>
      <c r="AP2050" s="28"/>
      <c r="AQ2050" s="28" t="n">
        <f aca="false">AP2050*$M2050</f>
        <v>0</v>
      </c>
      <c r="AR2050" s="28"/>
      <c r="AS2050" s="28" t="n">
        <f aca="false">AR2050*$M2050</f>
        <v>0</v>
      </c>
      <c r="AT2050" s="28"/>
      <c r="AU2050" s="28" t="n">
        <f aca="false">AT2050*$M2050</f>
        <v>0</v>
      </c>
      <c r="AV2050" s="28"/>
      <c r="AW2050" s="28" t="n">
        <f aca="false">AV2050*$M2050</f>
        <v>0</v>
      </c>
      <c r="AX2050" s="28"/>
      <c r="AY2050" s="28" t="n">
        <f aca="false">AX2050*$M2050</f>
        <v>0</v>
      </c>
      <c r="AZ2050" s="30" t="n">
        <f aca="false">215551/100</f>
        <v>2155.51</v>
      </c>
      <c r="BA2050" s="11" t="n">
        <v>1185530</v>
      </c>
      <c r="BB2050" s="31" t="n">
        <f aca="false">SUM(Q2050,S2050,U2050,W2050,Y2050,AA2050,AC2050,AE2050,AG2050,AI2050,AK2050,AM2050,AO2050,AQ2050,AS2050,AU2050,AW2050,AY2050)</f>
        <v>1185530</v>
      </c>
      <c r="BC2050" s="28" t="n">
        <f aca="false">BA2050-BB2050</f>
        <v>0</v>
      </c>
      <c r="BD2050" s="32" t="n">
        <f aca="false">SUM(P2050,R2050,T2050,V2050,X2050,Z2050,AB2050,AD2050,AF2050,AH2050,AJ2050,AL2050,AN2050,AP2050,AR2050,AT2050,AV2050,AX2050)</f>
        <v>2155.51</v>
      </c>
      <c r="BE2050" s="33" t="n">
        <f aca="false">AZ2050-BD2050</f>
        <v>0</v>
      </c>
      <c r="BF2050" s="34" t="n">
        <f aca="false">BD2050*M2050</f>
        <v>1185530.5</v>
      </c>
      <c r="BG2050" s="35" t="n">
        <f aca="false">BA2050-BF2050</f>
        <v>-0.500000000232831</v>
      </c>
      <c r="BH2050" s="19" t="str">
        <f aca="false">IF(BG2050=0,"",IF(BG2050&lt;&gt;BA2050,"erreur de calcul",IF(BD2050&lt;&gt;0,"pas de prix",IF(M2050&lt;&gt; 0,"pas de quantité","pas de prix, ni de quantité"))))</f>
        <v>erreur de calcul</v>
      </c>
      <c r="BI2050" s="19"/>
    </row>
    <row r="2051" customFormat="false" ht="15" hidden="false" customHeight="false" outlineLevel="0" collapsed="false">
      <c r="A2051" s="0" t="n">
        <v>6</v>
      </c>
      <c r="B2051" s="8" t="s">
        <v>24</v>
      </c>
      <c r="C2051" s="9" t="s">
        <v>25</v>
      </c>
      <c r="D2051" s="9" t="s">
        <v>26</v>
      </c>
      <c r="E2051" s="10" t="n">
        <v>1789</v>
      </c>
      <c r="F2051" s="9" t="s">
        <v>27</v>
      </c>
      <c r="G2051" s="9" t="s">
        <v>27</v>
      </c>
      <c r="H2051" s="11" t="n">
        <v>26</v>
      </c>
      <c r="I2051" s="11" t="s">
        <v>377</v>
      </c>
      <c r="J2051" s="14"/>
      <c r="K2051" s="14"/>
      <c r="L2051" s="16"/>
      <c r="M2051" s="27" t="n">
        <f aca="false">J2051+(K2051/20)+(L2051/240)</f>
        <v>0</v>
      </c>
      <c r="N2051" s="17"/>
      <c r="O2051" s="11"/>
      <c r="P2051" s="28"/>
      <c r="Q2051" s="28" t="n">
        <f aca="false">P2051*$M2051</f>
        <v>0</v>
      </c>
      <c r="R2051" s="28"/>
      <c r="S2051" s="28" t="n">
        <f aca="false">R2051*$M2051</f>
        <v>0</v>
      </c>
      <c r="T2051" s="28"/>
      <c r="U2051" s="28" t="n">
        <v>517</v>
      </c>
      <c r="V2051" s="28"/>
      <c r="W2051" s="28" t="n">
        <v>1243</v>
      </c>
      <c r="X2051" s="28"/>
      <c r="Y2051" s="28" t="n">
        <f aca="false">X2051*$M2051</f>
        <v>0</v>
      </c>
      <c r="Z2051" s="28"/>
      <c r="AA2051" s="28" t="n">
        <f aca="false">Z2051*$M2051</f>
        <v>0</v>
      </c>
      <c r="AB2051" s="28"/>
      <c r="AC2051" s="28" t="n">
        <v>694</v>
      </c>
      <c r="AD2051" s="28"/>
      <c r="AE2051" s="28" t="n">
        <f aca="false">AD2051*$M2051</f>
        <v>0</v>
      </c>
      <c r="AF2051" s="28"/>
      <c r="AG2051" s="28" t="n">
        <f aca="false">AF2051*$M2051</f>
        <v>0</v>
      </c>
      <c r="AH2051" s="28"/>
      <c r="AI2051" s="28" t="n">
        <f aca="false">AH2051*$M2051</f>
        <v>0</v>
      </c>
      <c r="AJ2051" s="28"/>
      <c r="AK2051" s="28" t="n">
        <v>664</v>
      </c>
      <c r="AL2051" s="28"/>
      <c r="AM2051" s="28" t="n">
        <v>161</v>
      </c>
      <c r="AN2051" s="28"/>
      <c r="AO2051" s="28" t="n">
        <f aca="false">AN2051*$M2051</f>
        <v>0</v>
      </c>
      <c r="AP2051" s="28"/>
      <c r="AQ2051" s="28" t="n">
        <f aca="false">AP2051*$M2051</f>
        <v>0</v>
      </c>
      <c r="AR2051" s="28"/>
      <c r="AS2051" s="28" t="n">
        <f aca="false">AR2051*$M2051</f>
        <v>0</v>
      </c>
      <c r="AT2051" s="28"/>
      <c r="AU2051" s="28" t="n">
        <f aca="false">AT2051*$M2051</f>
        <v>0</v>
      </c>
      <c r="AV2051" s="28"/>
      <c r="AW2051" s="28" t="n">
        <f aca="false">AV2051*$M2051</f>
        <v>0</v>
      </c>
      <c r="AX2051" s="28"/>
      <c r="AY2051" s="28" t="n">
        <f aca="false">AX2051*$M2051</f>
        <v>0</v>
      </c>
      <c r="AZ2051" s="30"/>
      <c r="BA2051" s="11" t="n">
        <v>3279</v>
      </c>
      <c r="BB2051" s="31" t="n">
        <f aca="false">SUM(Q2051,S2051,U2051,W2051,Y2051,AA2051,AC2051,AE2051,AG2051,AI2051,AK2051,AM2051,AO2051,AQ2051,AS2051,AU2051,AW2051,AY2051)</f>
        <v>3279</v>
      </c>
      <c r="BC2051" s="28" t="n">
        <f aca="false">BA2051-BB2051</f>
        <v>0</v>
      </c>
      <c r="BD2051" s="32" t="n">
        <f aca="false">SUM(P2051,R2051,T2051,V2051,X2051,Z2051,AB2051,AD2051,AF2051,AH2051,AJ2051,AL2051,AN2051,AP2051,AR2051,AT2051,AV2051,AX2051)</f>
        <v>0</v>
      </c>
      <c r="BE2051" s="33" t="n">
        <f aca="false">AZ2051-BD2051</f>
        <v>0</v>
      </c>
      <c r="BF2051" s="34" t="n">
        <f aca="false">BD2051*M2051</f>
        <v>0</v>
      </c>
      <c r="BG2051" s="35" t="n">
        <f aca="false">BA2051-BF2051</f>
        <v>3279</v>
      </c>
      <c r="BH2051" s="19" t="str">
        <f aca="false">IF(BG2051=0,"",IF(BG2051&lt;&gt;BA2051,"erreur de calcul",IF(BD2051&lt;&gt;0,"pas de prix",IF(M2051&lt;&gt; 0,"pas de quantité","pas de prix, ni de quantité"))))</f>
        <v>pas de prix, ni de quantité</v>
      </c>
      <c r="BI2051" s="19"/>
    </row>
    <row r="2052" customFormat="false" ht="15" hidden="false" customHeight="false" outlineLevel="0" collapsed="false">
      <c r="A2052" s="0" t="n">
        <v>7</v>
      </c>
      <c r="B2052" s="8" t="s">
        <v>24</v>
      </c>
      <c r="C2052" s="9" t="s">
        <v>25</v>
      </c>
      <c r="D2052" s="9" t="s">
        <v>26</v>
      </c>
      <c r="E2052" s="10" t="n">
        <v>1789</v>
      </c>
      <c r="F2052" s="9" t="s">
        <v>27</v>
      </c>
      <c r="G2052" s="9" t="s">
        <v>27</v>
      </c>
      <c r="H2052" s="11" t="n">
        <v>26</v>
      </c>
      <c r="I2052" s="11" t="s">
        <v>378</v>
      </c>
      <c r="J2052" s="14" t="n">
        <v>27</v>
      </c>
      <c r="K2052" s="14"/>
      <c r="L2052" s="16"/>
      <c r="M2052" s="27" t="n">
        <f aca="false">J2052+(K2052/20)+(L2052/240)</f>
        <v>27</v>
      </c>
      <c r="N2052" s="17" t="s">
        <v>379</v>
      </c>
      <c r="O2052" s="11" t="s">
        <v>98</v>
      </c>
      <c r="P2052" s="28"/>
      <c r="Q2052" s="28" t="n">
        <f aca="false">P2052*$M2052</f>
        <v>0</v>
      </c>
      <c r="R2052" s="28"/>
      <c r="S2052" s="28" t="n">
        <f aca="false">R2052*$M2052</f>
        <v>0</v>
      </c>
      <c r="T2052" s="28"/>
      <c r="U2052" s="28" t="n">
        <f aca="false">T2052*$M2052</f>
        <v>0</v>
      </c>
      <c r="V2052" s="28"/>
      <c r="W2052" s="28" t="n">
        <f aca="false">V2052*$M2052</f>
        <v>0</v>
      </c>
      <c r="X2052" s="28"/>
      <c r="Y2052" s="28" t="n">
        <f aca="false">X2052*$M2052</f>
        <v>0</v>
      </c>
      <c r="Z2052" s="28"/>
      <c r="AA2052" s="28" t="n">
        <f aca="false">Z2052*$M2052</f>
        <v>0</v>
      </c>
      <c r="AB2052" s="28"/>
      <c r="AC2052" s="28" t="n">
        <f aca="false">AB2052*$M2052</f>
        <v>0</v>
      </c>
      <c r="AD2052" s="28"/>
      <c r="AE2052" s="28" t="n">
        <f aca="false">AD2052*$M2052</f>
        <v>0</v>
      </c>
      <c r="AF2052" s="28"/>
      <c r="AG2052" s="28" t="n">
        <f aca="false">AF2052*$M2052</f>
        <v>0</v>
      </c>
      <c r="AH2052" s="28"/>
      <c r="AI2052" s="28" t="n">
        <f aca="false">AH2052*$M2052</f>
        <v>0</v>
      </c>
      <c r="AJ2052" s="28"/>
      <c r="AK2052" s="28" t="n">
        <f aca="false">AJ2052*$M2052</f>
        <v>0</v>
      </c>
      <c r="AL2052" s="28"/>
      <c r="AM2052" s="28" t="n">
        <f aca="false">AL2052*$M2052</f>
        <v>0</v>
      </c>
      <c r="AN2052" s="28"/>
      <c r="AO2052" s="28" t="n">
        <f aca="false">AN2052*$M2052</f>
        <v>0</v>
      </c>
      <c r="AP2052" s="28"/>
      <c r="AQ2052" s="28" t="n">
        <f aca="false">AP2052*$M2052</f>
        <v>0</v>
      </c>
      <c r="AR2052" s="28"/>
      <c r="AS2052" s="28" t="n">
        <f aca="false">AR2052*$M2052</f>
        <v>0</v>
      </c>
      <c r="AT2052" s="28"/>
      <c r="AU2052" s="28" t="n">
        <f aca="false">AT2052*$M2052</f>
        <v>0</v>
      </c>
      <c r="AV2052" s="28"/>
      <c r="AW2052" s="28" t="n">
        <f aca="false">AV2052*$M2052</f>
        <v>0</v>
      </c>
      <c r="AX2052" s="28"/>
      <c r="AY2052" s="28" t="n">
        <f aca="false">AX2052*$M2052</f>
        <v>0</v>
      </c>
      <c r="AZ2052" s="30"/>
      <c r="BA2052" s="11"/>
      <c r="BB2052" s="31" t="n">
        <f aca="false">SUM(Q2052,S2052,U2052,W2052,Y2052,AA2052,AC2052,AE2052,AG2052,AI2052,AK2052,AM2052,AO2052,AQ2052,AS2052,AU2052,AW2052,AY2052)</f>
        <v>0</v>
      </c>
      <c r="BC2052" s="28" t="n">
        <f aca="false">BA2052-BB2052</f>
        <v>0</v>
      </c>
      <c r="BD2052" s="32" t="n">
        <f aca="false">SUM(P2052,R2052,T2052,V2052,X2052,Z2052,AB2052,AD2052,AF2052,AH2052,AJ2052,AL2052,AN2052,AP2052,AR2052,AT2052,AV2052,AX2052)</f>
        <v>0</v>
      </c>
      <c r="BE2052" s="33" t="n">
        <f aca="false">AZ2052-BD2052</f>
        <v>0</v>
      </c>
      <c r="BF2052" s="34" t="n">
        <f aca="false">BD2052*M2052</f>
        <v>0</v>
      </c>
      <c r="BG2052" s="35" t="n">
        <f aca="false">BA2052-BF2052</f>
        <v>0</v>
      </c>
      <c r="BH2052" s="19" t="str">
        <f aca="false">IF(BG2052=0,"",IF(BG2052&lt;&gt;BA2052,"erreur de calcul",IF(BD2052&lt;&gt;0,"pas de prix",IF(M2052&lt;&gt; 0,"pas de quantité","pas de prix, ni de quantité"))))</f>
        <v/>
      </c>
      <c r="BI2052" s="19"/>
    </row>
    <row r="2053" customFormat="false" ht="15" hidden="false" customHeight="false" outlineLevel="0" collapsed="false">
      <c r="A2053" s="0" t="n">
        <v>8</v>
      </c>
      <c r="B2053" s="8" t="s">
        <v>24</v>
      </c>
      <c r="C2053" s="9" t="s">
        <v>25</v>
      </c>
      <c r="D2053" s="9" t="s">
        <v>26</v>
      </c>
      <c r="E2053" s="10" t="n">
        <v>1789</v>
      </c>
      <c r="F2053" s="9" t="s">
        <v>27</v>
      </c>
      <c r="G2053" s="9" t="s">
        <v>27</v>
      </c>
      <c r="H2053" s="11" t="n">
        <v>26</v>
      </c>
      <c r="I2053" s="11" t="s">
        <v>380</v>
      </c>
      <c r="J2053" s="14" t="n">
        <v>30</v>
      </c>
      <c r="K2053" s="14"/>
      <c r="L2053" s="16"/>
      <c r="M2053" s="27" t="n">
        <f aca="false">J2053+(K2053/20)+(L2053/240)</f>
        <v>30</v>
      </c>
      <c r="N2053" s="17" t="s">
        <v>64</v>
      </c>
      <c r="O2053" s="11"/>
      <c r="P2053" s="28"/>
      <c r="Q2053" s="28" t="n">
        <f aca="false">P2053*$M2053</f>
        <v>0</v>
      </c>
      <c r="R2053" s="28"/>
      <c r="S2053" s="28" t="n">
        <f aca="false">R2053*$M2053</f>
        <v>0</v>
      </c>
      <c r="T2053" s="28"/>
      <c r="U2053" s="28" t="n">
        <f aca="false">T2053*$M2053</f>
        <v>0</v>
      </c>
      <c r="V2053" s="28"/>
      <c r="W2053" s="28" t="n">
        <f aca="false">V2053*$M2053</f>
        <v>0</v>
      </c>
      <c r="X2053" s="28"/>
      <c r="Y2053" s="28" t="n">
        <f aca="false">X2053*$M2053</f>
        <v>0</v>
      </c>
      <c r="Z2053" s="28"/>
      <c r="AA2053" s="28" t="n">
        <f aca="false">Z2053*$M2053</f>
        <v>0</v>
      </c>
      <c r="AB2053" s="28"/>
      <c r="AC2053" s="28" t="n">
        <f aca="false">AB2053*$M2053</f>
        <v>0</v>
      </c>
      <c r="AD2053" s="28"/>
      <c r="AE2053" s="28" t="n">
        <f aca="false">AD2053*$M2053</f>
        <v>0</v>
      </c>
      <c r="AF2053" s="28"/>
      <c r="AG2053" s="28" t="n">
        <f aca="false">AF2053*$M2053</f>
        <v>0</v>
      </c>
      <c r="AH2053" s="28"/>
      <c r="AI2053" s="28" t="n">
        <f aca="false">AH2053*$M2053</f>
        <v>0</v>
      </c>
      <c r="AJ2053" s="28"/>
      <c r="AK2053" s="28" t="n">
        <f aca="false">AJ2053*$M2053</f>
        <v>0</v>
      </c>
      <c r="AL2053" s="28"/>
      <c r="AM2053" s="28" t="n">
        <f aca="false">AL2053*$M2053</f>
        <v>0</v>
      </c>
      <c r="AN2053" s="28"/>
      <c r="AO2053" s="28" t="n">
        <f aca="false">AN2053*$M2053</f>
        <v>0</v>
      </c>
      <c r="AP2053" s="28"/>
      <c r="AQ2053" s="28" t="n">
        <f aca="false">AP2053*$M2053</f>
        <v>0</v>
      </c>
      <c r="AR2053" s="28"/>
      <c r="AS2053" s="28" t="n">
        <f aca="false">AR2053*$M2053</f>
        <v>0</v>
      </c>
      <c r="AT2053" s="28"/>
      <c r="AU2053" s="28" t="n">
        <f aca="false">AT2053*$M2053</f>
        <v>0</v>
      </c>
      <c r="AV2053" s="28" t="n">
        <f aca="false">5417/100</f>
        <v>54.17</v>
      </c>
      <c r="AW2053" s="28" t="n">
        <v>1625</v>
      </c>
      <c r="AX2053" s="28"/>
      <c r="AY2053" s="28" t="n">
        <f aca="false">AX2053*$M2053</f>
        <v>0</v>
      </c>
      <c r="AZ2053" s="30"/>
      <c r="BA2053" s="11" t="n">
        <v>1625</v>
      </c>
      <c r="BB2053" s="31" t="n">
        <f aca="false">SUM(Q2053,S2053,U2053,W2053,Y2053,AA2053,AC2053,AE2053,AG2053,AI2053,AK2053,AM2053,AO2053,AQ2053,AS2053,AU2053,AW2053,AY2053)</f>
        <v>1625</v>
      </c>
      <c r="BC2053" s="28" t="n">
        <f aca="false">BA2053-BB2053</f>
        <v>0</v>
      </c>
      <c r="BD2053" s="32" t="n">
        <f aca="false">SUM(P2053,R2053,T2053,V2053,X2053,Z2053,AB2053,AD2053,AF2053,AH2053,AJ2053,AL2053,AN2053,AP2053,AR2053,AT2053,AV2053,AX2053)</f>
        <v>54.17</v>
      </c>
      <c r="BE2053" s="33" t="n">
        <f aca="false">AZ2053-BD2053</f>
        <v>-54.17</v>
      </c>
      <c r="BF2053" s="34" t="n">
        <f aca="false">BD2053*M2053</f>
        <v>1625.1</v>
      </c>
      <c r="BG2053" s="35" t="n">
        <f aca="false">BA2053-BF2053</f>
        <v>-0.100000000000136</v>
      </c>
      <c r="BH2053" s="19" t="str">
        <f aca="false">IF(BG2053=0,"",IF(BG2053&lt;&gt;BA2053,"erreur de calcul",IF(BD2053&lt;&gt;0,"pas de prix",IF(M2053&lt;&gt; 0,"pas de quantité","pas de prix, ni de quantité"))))</f>
        <v>erreur de calcul</v>
      </c>
      <c r="BI2053" s="19"/>
    </row>
    <row r="2054" customFormat="false" ht="15" hidden="false" customHeight="false" outlineLevel="0" collapsed="false">
      <c r="A2054" s="0" t="n">
        <v>9</v>
      </c>
      <c r="B2054" s="8" t="s">
        <v>24</v>
      </c>
      <c r="C2054" s="9" t="s">
        <v>25</v>
      </c>
      <c r="D2054" s="9" t="s">
        <v>26</v>
      </c>
      <c r="E2054" s="10" t="n">
        <v>1789</v>
      </c>
      <c r="F2054" s="9" t="s">
        <v>27</v>
      </c>
      <c r="G2054" s="9" t="s">
        <v>27</v>
      </c>
      <c r="H2054" s="11" t="n">
        <v>26</v>
      </c>
      <c r="I2054" s="11" t="s">
        <v>381</v>
      </c>
      <c r="J2054" s="14" t="n">
        <v>6</v>
      </c>
      <c r="K2054" s="14"/>
      <c r="L2054" s="16"/>
      <c r="M2054" s="27" t="n">
        <f aca="false">J2054+(K2054/20)+(L2054/240)</f>
        <v>6</v>
      </c>
      <c r="N2054" s="17" t="s">
        <v>379</v>
      </c>
      <c r="O2054" s="11" t="s">
        <v>98</v>
      </c>
      <c r="P2054" s="28"/>
      <c r="Q2054" s="28" t="n">
        <f aca="false">P2054*$M2054</f>
        <v>0</v>
      </c>
      <c r="R2054" s="28"/>
      <c r="S2054" s="28" t="n">
        <f aca="false">R2054*$M2054</f>
        <v>0</v>
      </c>
      <c r="T2054" s="28"/>
      <c r="U2054" s="28" t="n">
        <f aca="false">T2054*$M2054</f>
        <v>0</v>
      </c>
      <c r="V2054" s="28"/>
      <c r="W2054" s="28" t="n">
        <f aca="false">V2054*$M2054</f>
        <v>0</v>
      </c>
      <c r="X2054" s="28"/>
      <c r="Y2054" s="28" t="n">
        <f aca="false">X2054*$M2054</f>
        <v>0</v>
      </c>
      <c r="Z2054" s="28"/>
      <c r="AA2054" s="28" t="n">
        <f aca="false">Z2054*$M2054</f>
        <v>0</v>
      </c>
      <c r="AB2054" s="28"/>
      <c r="AC2054" s="28" t="n">
        <f aca="false">AB2054*$M2054</f>
        <v>0</v>
      </c>
      <c r="AD2054" s="28"/>
      <c r="AE2054" s="28" t="n">
        <f aca="false">AD2054*$M2054</f>
        <v>0</v>
      </c>
      <c r="AF2054" s="28"/>
      <c r="AG2054" s="28" t="n">
        <f aca="false">AF2054*$M2054</f>
        <v>0</v>
      </c>
      <c r="AH2054" s="28"/>
      <c r="AI2054" s="28" t="n">
        <f aca="false">AH2054*$M2054</f>
        <v>0</v>
      </c>
      <c r="AJ2054" s="28"/>
      <c r="AK2054" s="28" t="n">
        <f aca="false">AJ2054*$M2054</f>
        <v>0</v>
      </c>
      <c r="AL2054" s="28"/>
      <c r="AM2054" s="28" t="n">
        <f aca="false">AL2054*$M2054</f>
        <v>0</v>
      </c>
      <c r="AN2054" s="28"/>
      <c r="AO2054" s="28" t="n">
        <f aca="false">AN2054*$M2054</f>
        <v>0</v>
      </c>
      <c r="AP2054" s="28"/>
      <c r="AQ2054" s="28" t="n">
        <f aca="false">AP2054*$M2054</f>
        <v>0</v>
      </c>
      <c r="AR2054" s="28"/>
      <c r="AS2054" s="28" t="n">
        <f aca="false">AR2054*$M2054</f>
        <v>0</v>
      </c>
      <c r="AT2054" s="28"/>
      <c r="AU2054" s="28" t="n">
        <f aca="false">AT2054*$M2054</f>
        <v>0</v>
      </c>
      <c r="AV2054" s="28"/>
      <c r="AW2054" s="28" t="n">
        <f aca="false">AV2054*$M2054</f>
        <v>0</v>
      </c>
      <c r="AX2054" s="28"/>
      <c r="AY2054" s="28" t="n">
        <f aca="false">AX2054*$M2054</f>
        <v>0</v>
      </c>
      <c r="AZ2054" s="30"/>
      <c r="BA2054" s="11"/>
      <c r="BB2054" s="31" t="n">
        <f aca="false">SUM(Q2054,S2054,U2054,W2054,Y2054,AA2054,AC2054,AE2054,AG2054,AI2054,AK2054,AM2054,AO2054,AQ2054,AS2054,AU2054,AW2054,AY2054)</f>
        <v>0</v>
      </c>
      <c r="BC2054" s="28" t="n">
        <f aca="false">BA2054-BB2054</f>
        <v>0</v>
      </c>
      <c r="BD2054" s="32" t="n">
        <f aca="false">SUM(P2054,R2054,T2054,V2054,X2054,Z2054,AB2054,AD2054,AF2054,AH2054,AJ2054,AL2054,AN2054,AP2054,AR2054,AT2054,AV2054,AX2054)</f>
        <v>0</v>
      </c>
      <c r="BE2054" s="33" t="n">
        <f aca="false">AZ2054-BD2054</f>
        <v>0</v>
      </c>
      <c r="BF2054" s="34" t="n">
        <f aca="false">BD2054*M2054</f>
        <v>0</v>
      </c>
      <c r="BG2054" s="35" t="n">
        <f aca="false">BA2054-BF2054</f>
        <v>0</v>
      </c>
      <c r="BH2054" s="19" t="str">
        <f aca="false">IF(BG2054=0,"",IF(BG2054&lt;&gt;BA2054,"erreur de calcul",IF(BD2054&lt;&gt;0,"pas de prix",IF(M2054&lt;&gt; 0,"pas de quantité","pas de prix, ni de quantité"))))</f>
        <v/>
      </c>
      <c r="BI2054" s="19"/>
    </row>
    <row r="2055" customFormat="false" ht="15" hidden="false" customHeight="false" outlineLevel="0" collapsed="false">
      <c r="A2055" s="0" t="n">
        <v>10</v>
      </c>
      <c r="B2055" s="8" t="s">
        <v>24</v>
      </c>
      <c r="C2055" s="9" t="s">
        <v>25</v>
      </c>
      <c r="D2055" s="9" t="s">
        <v>26</v>
      </c>
      <c r="E2055" s="10" t="n">
        <v>1789</v>
      </c>
      <c r="F2055" s="9" t="s">
        <v>27</v>
      </c>
      <c r="G2055" s="9" t="s">
        <v>27</v>
      </c>
      <c r="H2055" s="11" t="n">
        <v>26</v>
      </c>
      <c r="I2055" s="11" t="s">
        <v>381</v>
      </c>
      <c r="J2055" s="14" t="n">
        <v>40</v>
      </c>
      <c r="K2055" s="14"/>
      <c r="L2055" s="16"/>
      <c r="M2055" s="27" t="n">
        <f aca="false">J2055+(K2055/20)+(L2055/240)</f>
        <v>40</v>
      </c>
      <c r="N2055" s="17" t="s">
        <v>382</v>
      </c>
      <c r="O2055" s="11" t="s">
        <v>98</v>
      </c>
      <c r="P2055" s="28"/>
      <c r="Q2055" s="28" t="n">
        <f aca="false">P2055*$M2055</f>
        <v>0</v>
      </c>
      <c r="R2055" s="28"/>
      <c r="S2055" s="28" t="n">
        <f aca="false">R2055*$M2055</f>
        <v>0</v>
      </c>
      <c r="T2055" s="28"/>
      <c r="U2055" s="28" t="n">
        <f aca="false">T2055*$M2055</f>
        <v>0</v>
      </c>
      <c r="V2055" s="28"/>
      <c r="W2055" s="28" t="n">
        <f aca="false">V2055*$M2055</f>
        <v>0</v>
      </c>
      <c r="X2055" s="28"/>
      <c r="Y2055" s="28" t="n">
        <f aca="false">X2055*$M2055</f>
        <v>0</v>
      </c>
      <c r="Z2055" s="28"/>
      <c r="AA2055" s="28" t="n">
        <f aca="false">Z2055*$M2055</f>
        <v>0</v>
      </c>
      <c r="AB2055" s="28"/>
      <c r="AC2055" s="28" t="n">
        <f aca="false">AB2055*$M2055</f>
        <v>0</v>
      </c>
      <c r="AD2055" s="28"/>
      <c r="AE2055" s="28" t="n">
        <f aca="false">AD2055*$M2055</f>
        <v>0</v>
      </c>
      <c r="AF2055" s="28"/>
      <c r="AG2055" s="28" t="n">
        <f aca="false">AF2055*$M2055</f>
        <v>0</v>
      </c>
      <c r="AH2055" s="28"/>
      <c r="AI2055" s="28" t="n">
        <f aca="false">AH2055*$M2055</f>
        <v>0</v>
      </c>
      <c r="AJ2055" s="28"/>
      <c r="AK2055" s="28" t="n">
        <f aca="false">AJ2055*$M2055</f>
        <v>0</v>
      </c>
      <c r="AL2055" s="28"/>
      <c r="AM2055" s="28" t="n">
        <f aca="false">AL2055*$M2055</f>
        <v>0</v>
      </c>
      <c r="AN2055" s="28"/>
      <c r="AO2055" s="28" t="n">
        <f aca="false">AN2055*$M2055</f>
        <v>0</v>
      </c>
      <c r="AP2055" s="28"/>
      <c r="AQ2055" s="28" t="n">
        <f aca="false">AP2055*$M2055</f>
        <v>0</v>
      </c>
      <c r="AR2055" s="28"/>
      <c r="AS2055" s="28" t="n">
        <f aca="false">AR2055*$M2055</f>
        <v>0</v>
      </c>
      <c r="AT2055" s="28"/>
      <c r="AU2055" s="28" t="n">
        <f aca="false">AT2055*$M2055</f>
        <v>0</v>
      </c>
      <c r="AV2055" s="28"/>
      <c r="AW2055" s="28" t="n">
        <f aca="false">AV2055*$M2055</f>
        <v>0</v>
      </c>
      <c r="AX2055" s="28"/>
      <c r="AY2055" s="28" t="n">
        <f aca="false">AX2055*$M2055</f>
        <v>0</v>
      </c>
      <c r="AZ2055" s="30"/>
      <c r="BA2055" s="11"/>
      <c r="BB2055" s="31" t="n">
        <f aca="false">SUM(Q2055,S2055,U2055,W2055,Y2055,AA2055,AC2055,AE2055,AG2055,AI2055,AK2055,AM2055,AO2055,AQ2055,AS2055,AU2055,AW2055,AY2055)</f>
        <v>0</v>
      </c>
      <c r="BC2055" s="28" t="n">
        <f aca="false">BA2055-BB2055</f>
        <v>0</v>
      </c>
      <c r="BD2055" s="32" t="n">
        <f aca="false">SUM(P2055,R2055,T2055,V2055,X2055,Z2055,AB2055,AD2055,AF2055,AH2055,AJ2055,AL2055,AN2055,AP2055,AR2055,AT2055,AV2055,AX2055)</f>
        <v>0</v>
      </c>
      <c r="BE2055" s="33" t="n">
        <f aca="false">AZ2055-BD2055</f>
        <v>0</v>
      </c>
      <c r="BF2055" s="34" t="n">
        <f aca="false">BD2055*M2055</f>
        <v>0</v>
      </c>
      <c r="BG2055" s="35" t="n">
        <f aca="false">BA2055-BF2055</f>
        <v>0</v>
      </c>
      <c r="BH2055" s="19" t="str">
        <f aca="false">IF(BG2055=0,"",IF(BG2055&lt;&gt;BA2055,"erreur de calcul",IF(BD2055&lt;&gt;0,"pas de prix",IF(M2055&lt;&gt; 0,"pas de quantité","pas de prix, ni de quantité"))))</f>
        <v/>
      </c>
      <c r="BI2055" s="19"/>
    </row>
    <row r="2056" customFormat="false" ht="15" hidden="false" customHeight="false" outlineLevel="0" collapsed="false">
      <c r="A2056" s="0" t="n">
        <v>11</v>
      </c>
      <c r="B2056" s="8" t="s">
        <v>24</v>
      </c>
      <c r="C2056" s="9" t="s">
        <v>25</v>
      </c>
      <c r="D2056" s="9" t="s">
        <v>26</v>
      </c>
      <c r="E2056" s="10" t="n">
        <v>1789</v>
      </c>
      <c r="F2056" s="9" t="s">
        <v>27</v>
      </c>
      <c r="G2056" s="9" t="s">
        <v>27</v>
      </c>
      <c r="H2056" s="11" t="n">
        <v>26</v>
      </c>
      <c r="I2056" s="11" t="s">
        <v>383</v>
      </c>
      <c r="J2056" s="14" t="n">
        <v>50</v>
      </c>
      <c r="K2056" s="14"/>
      <c r="L2056" s="16"/>
      <c r="M2056" s="27" t="n">
        <f aca="false">J2056+(K2056/20)+(L2056/240)</f>
        <v>50</v>
      </c>
      <c r="N2056" s="17" t="s">
        <v>64</v>
      </c>
      <c r="O2056" s="11"/>
      <c r="P2056" s="28" t="n">
        <f aca="false">54967/100</f>
        <v>549.67</v>
      </c>
      <c r="Q2056" s="28" t="n">
        <v>27483</v>
      </c>
      <c r="R2056" s="28"/>
      <c r="S2056" s="28" t="n">
        <f aca="false">R2056*$M2056</f>
        <v>0</v>
      </c>
      <c r="T2056" s="28" t="n">
        <f aca="false">74693/100</f>
        <v>746.93</v>
      </c>
      <c r="U2056" s="28" t="n">
        <v>37346</v>
      </c>
      <c r="V2056" s="28" t="n">
        <f aca="false">161729/100</f>
        <v>1617.29</v>
      </c>
      <c r="W2056" s="28" t="n">
        <v>80864</v>
      </c>
      <c r="X2056" s="28" t="n">
        <f aca="false">106689/100</f>
        <v>1066.89</v>
      </c>
      <c r="Y2056" s="28" t="n">
        <v>53344</v>
      </c>
      <c r="Z2056" s="28"/>
      <c r="AA2056" s="28" t="n">
        <f aca="false">Z2056*$M2056</f>
        <v>0</v>
      </c>
      <c r="AB2056" s="28"/>
      <c r="AC2056" s="28" t="n">
        <f aca="false">AB2056*$M2056</f>
        <v>0</v>
      </c>
      <c r="AD2056" s="28"/>
      <c r="AE2056" s="28" t="n">
        <f aca="false">AD2056*$M2056</f>
        <v>0</v>
      </c>
      <c r="AF2056" s="28"/>
      <c r="AG2056" s="28" t="n">
        <f aca="false">AF2056*$M2056</f>
        <v>0</v>
      </c>
      <c r="AH2056" s="28"/>
      <c r="AI2056" s="28" t="n">
        <f aca="false">AH2056*$M2056</f>
        <v>0</v>
      </c>
      <c r="AJ2056" s="28"/>
      <c r="AK2056" s="28" t="n">
        <f aca="false">AJ2056*$M2056</f>
        <v>0</v>
      </c>
      <c r="AL2056" s="28"/>
      <c r="AM2056" s="28" t="n">
        <f aca="false">AL2056*$M2056</f>
        <v>0</v>
      </c>
      <c r="AN2056" s="28"/>
      <c r="AO2056" s="28" t="n">
        <f aca="false">AN2056*$M2056</f>
        <v>0</v>
      </c>
      <c r="AP2056" s="28"/>
      <c r="AQ2056" s="28" t="n">
        <f aca="false">AP2056*$M2056</f>
        <v>0</v>
      </c>
      <c r="AR2056" s="28"/>
      <c r="AS2056" s="28" t="n">
        <f aca="false">AR2056*$M2056</f>
        <v>0</v>
      </c>
      <c r="AT2056" s="28"/>
      <c r="AU2056" s="28" t="n">
        <f aca="false">AT2056*$M2056</f>
        <v>0</v>
      </c>
      <c r="AV2056" s="28"/>
      <c r="AW2056" s="28" t="n">
        <f aca="false">AV2056*$M2056</f>
        <v>0</v>
      </c>
      <c r="AX2056" s="28"/>
      <c r="AY2056" s="28" t="n">
        <f aca="false">AX2056*$M2056</f>
        <v>0</v>
      </c>
      <c r="AZ2056" s="30" t="n">
        <f aca="false">398078/100</f>
        <v>3980.78</v>
      </c>
      <c r="BA2056" s="11" t="n">
        <v>199037</v>
      </c>
      <c r="BB2056" s="31" t="n">
        <f aca="false">SUM(Q2056,S2056,U2056,W2056,Y2056,AA2056,AC2056,AE2056,AG2056,AI2056,AK2056,AM2056,AO2056,AQ2056,AS2056,AU2056,AW2056,AY2056)</f>
        <v>199037</v>
      </c>
      <c r="BC2056" s="28" t="n">
        <f aca="false">BA2056-BB2056</f>
        <v>0</v>
      </c>
      <c r="BD2056" s="32" t="n">
        <f aca="false">SUM(P2056,R2056,T2056,V2056,X2056,Z2056,AB2056,AD2056,AF2056,AH2056,AJ2056,AL2056,AN2056,AP2056,AR2056,AT2056,AV2056,AX2056)</f>
        <v>3980.78</v>
      </c>
      <c r="BE2056" s="33" t="n">
        <f aca="false">AZ2056-BD2056</f>
        <v>0</v>
      </c>
      <c r="BF2056" s="34" t="n">
        <f aca="false">BD2056*M2056</f>
        <v>199039</v>
      </c>
      <c r="BG2056" s="35" t="n">
        <f aca="false">BA2056-BF2056</f>
        <v>-2</v>
      </c>
      <c r="BH2056" s="19" t="str">
        <f aca="false">IF(BG2056=0,"",IF(BG2056&lt;&gt;BA2056,"erreur de calcul",IF(BD2056&lt;&gt;0,"pas de prix",IF(M2056&lt;&gt; 0,"pas de quantité","pas de prix, ni de quantité"))))</f>
        <v>erreur de calcul</v>
      </c>
      <c r="BI2056" s="19"/>
    </row>
    <row r="2057" customFormat="false" ht="15" hidden="false" customHeight="false" outlineLevel="0" collapsed="false">
      <c r="A2057" s="0" t="n">
        <v>12</v>
      </c>
      <c r="B2057" s="8" t="s">
        <v>24</v>
      </c>
      <c r="C2057" s="9" t="s">
        <v>25</v>
      </c>
      <c r="D2057" s="9" t="s">
        <v>26</v>
      </c>
      <c r="E2057" s="10" t="n">
        <v>1789</v>
      </c>
      <c r="F2057" s="9" t="s">
        <v>27</v>
      </c>
      <c r="G2057" s="9" t="s">
        <v>27</v>
      </c>
      <c r="H2057" s="11" t="n">
        <v>26</v>
      </c>
      <c r="I2057" s="11" t="s">
        <v>384</v>
      </c>
      <c r="J2057" s="14" t="n">
        <v>27</v>
      </c>
      <c r="K2057" s="14"/>
      <c r="L2057" s="16"/>
      <c r="M2057" s="27" t="n">
        <f aca="false">J2057+(K2057/20)+(L2057/240)</f>
        <v>27</v>
      </c>
      <c r="N2057" s="17" t="s">
        <v>64</v>
      </c>
      <c r="O2057" s="11"/>
      <c r="P2057" s="28"/>
      <c r="Q2057" s="28" t="n">
        <f aca="false">P2057*$M2057</f>
        <v>0</v>
      </c>
      <c r="R2057" s="28"/>
      <c r="S2057" s="28" t="n">
        <f aca="false">R2057*$M2057</f>
        <v>0</v>
      </c>
      <c r="T2057" s="28"/>
      <c r="U2057" s="28" t="n">
        <f aca="false">T2057*$M2057</f>
        <v>0</v>
      </c>
      <c r="V2057" s="28"/>
      <c r="W2057" s="28" t="n">
        <f aca="false">V2057*$M2057</f>
        <v>0</v>
      </c>
      <c r="X2057" s="28" t="n">
        <f aca="false">13334/100</f>
        <v>133.34</v>
      </c>
      <c r="Y2057" s="28" t="n">
        <v>3600</v>
      </c>
      <c r="Z2057" s="28"/>
      <c r="AA2057" s="28" t="n">
        <f aca="false">Z2057*$M2057</f>
        <v>0</v>
      </c>
      <c r="AB2057" s="28"/>
      <c r="AC2057" s="28" t="n">
        <f aca="false">AB2057*$M2057</f>
        <v>0</v>
      </c>
      <c r="AD2057" s="28"/>
      <c r="AE2057" s="28" t="n">
        <f aca="false">AD2057*$M2057</f>
        <v>0</v>
      </c>
      <c r="AF2057" s="28"/>
      <c r="AG2057" s="28" t="n">
        <f aca="false">AF2057*$M2057</f>
        <v>0</v>
      </c>
      <c r="AH2057" s="28"/>
      <c r="AI2057" s="28" t="n">
        <f aca="false">AH2057*$M2057</f>
        <v>0</v>
      </c>
      <c r="AJ2057" s="28"/>
      <c r="AK2057" s="28" t="n">
        <f aca="false">AJ2057*$M2057</f>
        <v>0</v>
      </c>
      <c r="AL2057" s="28"/>
      <c r="AM2057" s="28" t="n">
        <f aca="false">AL2057*$M2057</f>
        <v>0</v>
      </c>
      <c r="AN2057" s="28"/>
      <c r="AO2057" s="28" t="n">
        <f aca="false">AN2057*$M2057</f>
        <v>0</v>
      </c>
      <c r="AP2057" s="28"/>
      <c r="AQ2057" s="28" t="n">
        <f aca="false">AP2057*$M2057</f>
        <v>0</v>
      </c>
      <c r="AR2057" s="28"/>
      <c r="AS2057" s="28" t="n">
        <f aca="false">AR2057*$M2057</f>
        <v>0</v>
      </c>
      <c r="AT2057" s="28"/>
      <c r="AU2057" s="28" t="n">
        <f aca="false">AT2057*$M2057</f>
        <v>0</v>
      </c>
      <c r="AV2057" s="28"/>
      <c r="AW2057" s="28" t="n">
        <f aca="false">AV2057*$M2057</f>
        <v>0</v>
      </c>
      <c r="AX2057" s="28"/>
      <c r="AY2057" s="28" t="n">
        <f aca="false">AX2057*$M2057</f>
        <v>0</v>
      </c>
      <c r="AZ2057" s="30" t="n">
        <f aca="false">13334/100</f>
        <v>133.34</v>
      </c>
      <c r="BA2057" s="11" t="n">
        <v>3600</v>
      </c>
      <c r="BB2057" s="31" t="n">
        <f aca="false">SUM(Q2057,S2057,U2057,W2057,Y2057,AA2057,AC2057,AE2057,AG2057,AI2057,AK2057,AM2057,AO2057,AQ2057,AS2057,AU2057,AW2057,AY2057)</f>
        <v>3600</v>
      </c>
      <c r="BC2057" s="28" t="n">
        <f aca="false">BA2057-BB2057</f>
        <v>0</v>
      </c>
      <c r="BD2057" s="32" t="n">
        <f aca="false">SUM(P2057,R2057,T2057,V2057,X2057,Z2057,AB2057,AD2057,AF2057,AH2057,AJ2057,AL2057,AN2057,AP2057,AR2057,AT2057,AV2057,AX2057)</f>
        <v>133.34</v>
      </c>
      <c r="BE2057" s="33" t="n">
        <f aca="false">AZ2057-BD2057</f>
        <v>0</v>
      </c>
      <c r="BF2057" s="34" t="n">
        <f aca="false">BD2057*M2057</f>
        <v>3600.18</v>
      </c>
      <c r="BG2057" s="35" t="n">
        <f aca="false">BA2057-BF2057</f>
        <v>-0.180000000000291</v>
      </c>
      <c r="BH2057" s="19" t="str">
        <f aca="false">IF(BG2057=0,"",IF(BG2057&lt;&gt;BA2057,"erreur de calcul",IF(BD2057&lt;&gt;0,"pas de prix",IF(M2057&lt;&gt; 0,"pas de quantité","pas de prix, ni de quantité"))))</f>
        <v>erreur de calcul</v>
      </c>
      <c r="BI2057" s="19"/>
    </row>
    <row r="2058" customFormat="false" ht="15" hidden="false" customHeight="false" outlineLevel="0" collapsed="false">
      <c r="A2058" s="0" t="n">
        <v>13</v>
      </c>
      <c r="B2058" s="8" t="s">
        <v>24</v>
      </c>
      <c r="C2058" s="9" t="s">
        <v>25</v>
      </c>
      <c r="D2058" s="9" t="s">
        <v>26</v>
      </c>
      <c r="E2058" s="10" t="n">
        <v>1789</v>
      </c>
      <c r="F2058" s="9" t="s">
        <v>27</v>
      </c>
      <c r="G2058" s="9" t="s">
        <v>27</v>
      </c>
      <c r="H2058" s="11" t="n">
        <v>26</v>
      </c>
      <c r="I2058" s="11" t="s">
        <v>385</v>
      </c>
      <c r="J2058" s="14" t="n">
        <v>40</v>
      </c>
      <c r="K2058" s="14"/>
      <c r="L2058" s="16"/>
      <c r="M2058" s="27" t="n">
        <f aca="false">J2058+(K2058/20)+(L2058/240)</f>
        <v>40</v>
      </c>
      <c r="N2058" s="17" t="s">
        <v>64</v>
      </c>
      <c r="O2058" s="11"/>
      <c r="P2058" s="28"/>
      <c r="Q2058" s="28" t="n">
        <f aca="false">P2058*$M2058</f>
        <v>0</v>
      </c>
      <c r="R2058" s="28"/>
      <c r="S2058" s="28" t="n">
        <f aca="false">R2058*$M2058</f>
        <v>0</v>
      </c>
      <c r="T2058" s="28" t="n">
        <f aca="false">13801/100</f>
        <v>138.01</v>
      </c>
      <c r="U2058" s="28" t="n">
        <v>5520</v>
      </c>
      <c r="V2058" s="28"/>
      <c r="W2058" s="28" t="n">
        <f aca="false">V2058*$M2058</f>
        <v>0</v>
      </c>
      <c r="X2058" s="28"/>
      <c r="Y2058" s="28" t="n">
        <f aca="false">X2058*$M2058</f>
        <v>0</v>
      </c>
      <c r="Z2058" s="28"/>
      <c r="AA2058" s="28" t="n">
        <f aca="false">Z2058*$M2058</f>
        <v>0</v>
      </c>
      <c r="AB2058" s="28"/>
      <c r="AC2058" s="28" t="n">
        <f aca="false">AB2058*$M2058</f>
        <v>0</v>
      </c>
      <c r="AD2058" s="28"/>
      <c r="AE2058" s="28" t="n">
        <f aca="false">AD2058*$M2058</f>
        <v>0</v>
      </c>
      <c r="AF2058" s="28"/>
      <c r="AG2058" s="28" t="n">
        <f aca="false">AF2058*$M2058</f>
        <v>0</v>
      </c>
      <c r="AH2058" s="28"/>
      <c r="AI2058" s="28" t="n">
        <f aca="false">AH2058*$M2058</f>
        <v>0</v>
      </c>
      <c r="AJ2058" s="28"/>
      <c r="AK2058" s="28" t="n">
        <f aca="false">AJ2058*$M2058</f>
        <v>0</v>
      </c>
      <c r="AL2058" s="28"/>
      <c r="AM2058" s="28" t="n">
        <f aca="false">AL2058*$M2058</f>
        <v>0</v>
      </c>
      <c r="AN2058" s="28"/>
      <c r="AO2058" s="28" t="n">
        <f aca="false">AN2058*$M2058</f>
        <v>0</v>
      </c>
      <c r="AP2058" s="28"/>
      <c r="AQ2058" s="28" t="n">
        <f aca="false">AP2058*$M2058</f>
        <v>0</v>
      </c>
      <c r="AR2058" s="28"/>
      <c r="AS2058" s="28" t="n">
        <f aca="false">AR2058*$M2058</f>
        <v>0</v>
      </c>
      <c r="AT2058" s="28"/>
      <c r="AU2058" s="28" t="n">
        <f aca="false">AT2058*$M2058</f>
        <v>0</v>
      </c>
      <c r="AV2058" s="28"/>
      <c r="AW2058" s="28" t="n">
        <f aca="false">AV2058*$M2058</f>
        <v>0</v>
      </c>
      <c r="AX2058" s="28"/>
      <c r="AY2058" s="28" t="n">
        <f aca="false">AX2058*$M2058</f>
        <v>0</v>
      </c>
      <c r="AZ2058" s="30" t="n">
        <f aca="false">13801/100</f>
        <v>138.01</v>
      </c>
      <c r="BA2058" s="11" t="n">
        <v>5520</v>
      </c>
      <c r="BB2058" s="31" t="n">
        <f aca="false">SUM(Q2058,S2058,U2058,W2058,Y2058,AA2058,AC2058,AE2058,AG2058,AI2058,AK2058,AM2058,AO2058,AQ2058,AS2058,AU2058,AW2058,AY2058)</f>
        <v>5520</v>
      </c>
      <c r="BC2058" s="28" t="n">
        <f aca="false">BA2058-BB2058</f>
        <v>0</v>
      </c>
      <c r="BD2058" s="32" t="n">
        <f aca="false">SUM(P2058,R2058,T2058,V2058,X2058,Z2058,AB2058,AD2058,AF2058,AH2058,AJ2058,AL2058,AN2058,AP2058,AR2058,AT2058,AV2058,AX2058)</f>
        <v>138.01</v>
      </c>
      <c r="BE2058" s="33" t="n">
        <f aca="false">AZ2058-BD2058</f>
        <v>0</v>
      </c>
      <c r="BF2058" s="34" t="n">
        <f aca="false">BD2058*M2058</f>
        <v>5520.4</v>
      </c>
      <c r="BG2058" s="35" t="n">
        <f aca="false">BA2058-BF2058</f>
        <v>-0.399999999999636</v>
      </c>
      <c r="BH2058" s="19" t="str">
        <f aca="false">IF(BG2058=0,"",IF(BG2058&lt;&gt;BA2058,"erreur de calcul",IF(BD2058&lt;&gt;0,"pas de prix",IF(M2058&lt;&gt; 0,"pas de quantité","pas de prix, ni de quantité"))))</f>
        <v>erreur de calcul</v>
      </c>
      <c r="BI2058" s="19"/>
    </row>
    <row r="2059" customFormat="false" ht="15" hidden="false" customHeight="false" outlineLevel="0" collapsed="false">
      <c r="A2059" s="0" t="n">
        <v>14</v>
      </c>
      <c r="B2059" s="8" t="s">
        <v>24</v>
      </c>
      <c r="C2059" s="9" t="s">
        <v>25</v>
      </c>
      <c r="D2059" s="9" t="s">
        <v>26</v>
      </c>
      <c r="E2059" s="10" t="n">
        <v>1789</v>
      </c>
      <c r="F2059" s="9" t="s">
        <v>27</v>
      </c>
      <c r="G2059" s="9" t="s">
        <v>27</v>
      </c>
      <c r="H2059" s="11" t="n">
        <v>26</v>
      </c>
      <c r="I2059" s="11" t="s">
        <v>386</v>
      </c>
      <c r="J2059" s="14" t="n">
        <v>10</v>
      </c>
      <c r="K2059" s="14"/>
      <c r="L2059" s="16"/>
      <c r="M2059" s="27" t="n">
        <f aca="false">J2059+(K2059/20)+(L2059/240)</f>
        <v>10</v>
      </c>
      <c r="N2059" s="17" t="s">
        <v>387</v>
      </c>
      <c r="O2059" s="11" t="s">
        <v>77</v>
      </c>
      <c r="P2059" s="28" t="n">
        <v>30740</v>
      </c>
      <c r="Q2059" s="28" t="n">
        <v>307400</v>
      </c>
      <c r="R2059" s="28"/>
      <c r="S2059" s="28" t="n">
        <f aca="false">R2059*$M2059</f>
        <v>0</v>
      </c>
      <c r="T2059" s="28" t="n">
        <v>1357</v>
      </c>
      <c r="U2059" s="28" t="n">
        <v>13570</v>
      </c>
      <c r="V2059" s="28" t="n">
        <v>115</v>
      </c>
      <c r="W2059" s="28" t="n">
        <v>1150</v>
      </c>
      <c r="X2059" s="28"/>
      <c r="Y2059" s="28" t="n">
        <f aca="false">X2059*$M2059</f>
        <v>0</v>
      </c>
      <c r="Z2059" s="28"/>
      <c r="AA2059" s="28" t="n">
        <f aca="false">Z2059*$M2059</f>
        <v>0</v>
      </c>
      <c r="AB2059" s="28"/>
      <c r="AC2059" s="28" t="n">
        <f aca="false">AB2059*$M2059</f>
        <v>0</v>
      </c>
      <c r="AD2059" s="28"/>
      <c r="AE2059" s="28" t="n">
        <f aca="false">AD2059*$M2059</f>
        <v>0</v>
      </c>
      <c r="AF2059" s="28"/>
      <c r="AG2059" s="28" t="n">
        <f aca="false">AF2059*$M2059</f>
        <v>0</v>
      </c>
      <c r="AH2059" s="28"/>
      <c r="AI2059" s="28" t="n">
        <f aca="false">AH2059*$M2059</f>
        <v>0</v>
      </c>
      <c r="AJ2059" s="28"/>
      <c r="AK2059" s="28" t="n">
        <f aca="false">AJ2059*$M2059</f>
        <v>0</v>
      </c>
      <c r="AL2059" s="28"/>
      <c r="AM2059" s="28" t="n">
        <f aca="false">AL2059*$M2059</f>
        <v>0</v>
      </c>
      <c r="AN2059" s="28"/>
      <c r="AO2059" s="28" t="n">
        <f aca="false">AN2059*$M2059</f>
        <v>0</v>
      </c>
      <c r="AP2059" s="28"/>
      <c r="AQ2059" s="28" t="n">
        <f aca="false">AP2059*$M2059</f>
        <v>0</v>
      </c>
      <c r="AR2059" s="28"/>
      <c r="AS2059" s="28" t="n">
        <f aca="false">AR2059*$M2059</f>
        <v>0</v>
      </c>
      <c r="AT2059" s="28"/>
      <c r="AU2059" s="28" t="n">
        <f aca="false">AT2059*$M2059</f>
        <v>0</v>
      </c>
      <c r="AV2059" s="28"/>
      <c r="AW2059" s="28" t="n">
        <f aca="false">AV2059*$M2059</f>
        <v>0</v>
      </c>
      <c r="AX2059" s="28"/>
      <c r="AY2059" s="28" t="n">
        <f aca="false">AX2059*$M2059</f>
        <v>0</v>
      </c>
      <c r="AZ2059" s="30" t="n">
        <f aca="false">32212/100</f>
        <v>322.12</v>
      </c>
      <c r="BA2059" s="11" t="n">
        <v>322120</v>
      </c>
      <c r="BB2059" s="31" t="n">
        <f aca="false">SUM(Q2059,S2059,U2059,W2059,Y2059,AA2059,AC2059,AE2059,AG2059,AI2059,AK2059,AM2059,AO2059,AQ2059,AS2059,AU2059,AW2059,AY2059)</f>
        <v>322120</v>
      </c>
      <c r="BC2059" s="28" t="n">
        <f aca="false">BA2059-BB2059</f>
        <v>0</v>
      </c>
      <c r="BD2059" s="32" t="n">
        <f aca="false">SUM(P2059,R2059,T2059,V2059,X2059,Z2059,AB2059,AD2059,AF2059,AH2059,AJ2059,AL2059,AN2059,AP2059,AR2059,AT2059,AV2059,AX2059)</f>
        <v>32212</v>
      </c>
      <c r="BE2059" s="33" t="n">
        <f aca="false">AZ2059-BD2059</f>
        <v>-31889.88</v>
      </c>
      <c r="BF2059" s="34" t="n">
        <f aca="false">BD2059*M2059</f>
        <v>322120</v>
      </c>
      <c r="BG2059" s="35" t="n">
        <f aca="false">BA2059-BF2059</f>
        <v>0</v>
      </c>
      <c r="BH2059" s="19" t="str">
        <f aca="false">IF(BG2059=0,"",IF(BG2059&lt;&gt;BA2059,"erreur de calcul",IF(BD2059&lt;&gt;0,"pas de prix",IF(M2059&lt;&gt; 0,"pas de quantité","pas de prix, ni de quantité"))))</f>
        <v/>
      </c>
      <c r="BI2059" s="19"/>
    </row>
    <row r="2060" customFormat="false" ht="15" hidden="false" customHeight="false" outlineLevel="0" collapsed="false">
      <c r="A2060" s="0" t="n">
        <v>15</v>
      </c>
      <c r="B2060" s="8" t="s">
        <v>24</v>
      </c>
      <c r="C2060" s="9" t="s">
        <v>25</v>
      </c>
      <c r="D2060" s="9" t="s">
        <v>26</v>
      </c>
      <c r="E2060" s="10" t="n">
        <v>1789</v>
      </c>
      <c r="F2060" s="9" t="s">
        <v>27</v>
      </c>
      <c r="G2060" s="9" t="s">
        <v>27</v>
      </c>
      <c r="H2060" s="11" t="n">
        <v>26</v>
      </c>
      <c r="I2060" s="11" t="s">
        <v>385</v>
      </c>
      <c r="J2060" s="14" t="n">
        <v>60</v>
      </c>
      <c r="K2060" s="14"/>
      <c r="L2060" s="16"/>
      <c r="M2060" s="27" t="n">
        <f aca="false">J2060+(K2060/20)+(L2060/240)</f>
        <v>60</v>
      </c>
      <c r="N2060" s="17" t="s">
        <v>64</v>
      </c>
      <c r="O2060" s="11"/>
      <c r="P2060" s="28"/>
      <c r="Q2060" s="28" t="n">
        <f aca="false">P2060*$M2060</f>
        <v>0</v>
      </c>
      <c r="R2060" s="28"/>
      <c r="S2060" s="28" t="n">
        <f aca="false">R2060*$M2060</f>
        <v>0</v>
      </c>
      <c r="T2060" s="28" t="n">
        <f aca="false">204759/100</f>
        <v>2047.59</v>
      </c>
      <c r="U2060" s="28" t="n">
        <v>122855</v>
      </c>
      <c r="V2060" s="28"/>
      <c r="W2060" s="28" t="n">
        <f aca="false">V2060*$M2060</f>
        <v>0</v>
      </c>
      <c r="X2060" s="28"/>
      <c r="Y2060" s="28" t="n">
        <f aca="false">X2060*$M2060</f>
        <v>0</v>
      </c>
      <c r="Z2060" s="28"/>
      <c r="AA2060" s="28" t="n">
        <f aca="false">Z2060*$M2060</f>
        <v>0</v>
      </c>
      <c r="AB2060" s="28"/>
      <c r="AC2060" s="28" t="n">
        <f aca="false">AB2060*$M2060</f>
        <v>0</v>
      </c>
      <c r="AD2060" s="28"/>
      <c r="AE2060" s="28" t="n">
        <f aca="false">AD2060*$M2060</f>
        <v>0</v>
      </c>
      <c r="AF2060" s="28"/>
      <c r="AG2060" s="28" t="n">
        <f aca="false">AF2060*$M2060</f>
        <v>0</v>
      </c>
      <c r="AH2060" s="28"/>
      <c r="AI2060" s="28" t="n">
        <f aca="false">AH2060*$M2060</f>
        <v>0</v>
      </c>
      <c r="AJ2060" s="28"/>
      <c r="AK2060" s="28" t="n">
        <f aca="false">AJ2060*$M2060</f>
        <v>0</v>
      </c>
      <c r="AL2060" s="28"/>
      <c r="AM2060" s="28" t="n">
        <f aca="false">AL2060*$M2060</f>
        <v>0</v>
      </c>
      <c r="AN2060" s="28"/>
      <c r="AO2060" s="28" t="n">
        <f aca="false">AN2060*$M2060</f>
        <v>0</v>
      </c>
      <c r="AP2060" s="28"/>
      <c r="AQ2060" s="28" t="n">
        <f aca="false">AP2060*$M2060</f>
        <v>0</v>
      </c>
      <c r="AR2060" s="28"/>
      <c r="AS2060" s="28" t="n">
        <f aca="false">AR2060*$M2060</f>
        <v>0</v>
      </c>
      <c r="AT2060" s="28"/>
      <c r="AU2060" s="28" t="n">
        <f aca="false">AT2060*$M2060</f>
        <v>0</v>
      </c>
      <c r="AV2060" s="28"/>
      <c r="AW2060" s="28" t="n">
        <f aca="false">AV2060*$M2060</f>
        <v>0</v>
      </c>
      <c r="AX2060" s="28"/>
      <c r="AY2060" s="28" t="n">
        <f aca="false">AX2060*$M2060</f>
        <v>0</v>
      </c>
      <c r="AZ2060" s="30" t="n">
        <f aca="false">204759/100</f>
        <v>2047.59</v>
      </c>
      <c r="BA2060" s="11" t="n">
        <v>122855</v>
      </c>
      <c r="BB2060" s="31" t="n">
        <f aca="false">SUM(Q2060,S2060,U2060,W2060,Y2060,AA2060,AC2060,AE2060,AG2060,AI2060,AK2060,AM2060,AO2060,AQ2060,AS2060,AU2060,AW2060,AY2060)</f>
        <v>122855</v>
      </c>
      <c r="BC2060" s="28" t="n">
        <f aca="false">BA2060-BB2060</f>
        <v>0</v>
      </c>
      <c r="BD2060" s="32" t="n">
        <f aca="false">SUM(P2060,R2060,T2060,V2060,X2060,Z2060,AB2060,AD2060,AF2060,AH2060,AJ2060,AL2060,AN2060,AP2060,AR2060,AT2060,AV2060,AX2060)</f>
        <v>2047.59</v>
      </c>
      <c r="BE2060" s="33" t="n">
        <f aca="false">AZ2060-BD2060</f>
        <v>0</v>
      </c>
      <c r="BF2060" s="34" t="n">
        <f aca="false">BD2060*M2060</f>
        <v>122855.4</v>
      </c>
      <c r="BG2060" s="35" t="n">
        <f aca="false">BA2060-BF2060</f>
        <v>-0.399999999994179</v>
      </c>
      <c r="BH2060" s="19" t="str">
        <f aca="false">IF(BG2060=0,"",IF(BG2060&lt;&gt;BA2060,"erreur de calcul",IF(BD2060&lt;&gt;0,"pas de prix",IF(M2060&lt;&gt; 0,"pas de quantité","pas de prix, ni de quantité"))))</f>
        <v>erreur de calcul</v>
      </c>
      <c r="BI2060" s="19"/>
    </row>
    <row r="2061" customFormat="false" ht="15" hidden="false" customHeight="false" outlineLevel="0" collapsed="false">
      <c r="A2061" s="0" t="n">
        <v>16</v>
      </c>
      <c r="B2061" s="8" t="s">
        <v>24</v>
      </c>
      <c r="C2061" s="9" t="s">
        <v>25</v>
      </c>
      <c r="D2061" s="9" t="s">
        <v>26</v>
      </c>
      <c r="E2061" s="10" t="n">
        <v>1789</v>
      </c>
      <c r="F2061" s="9" t="s">
        <v>27</v>
      </c>
      <c r="G2061" s="9" t="s">
        <v>27</v>
      </c>
      <c r="H2061" s="11" t="n">
        <v>26</v>
      </c>
      <c r="I2061" s="11" t="s">
        <v>388</v>
      </c>
      <c r="J2061" s="14" t="n">
        <v>4</v>
      </c>
      <c r="K2061" s="14" t="n">
        <v>10</v>
      </c>
      <c r="L2061" s="16"/>
      <c r="M2061" s="27" t="n">
        <f aca="false">J2061+(K2061/20)+(L2061/240)</f>
        <v>4.5</v>
      </c>
      <c r="N2061" s="17" t="s">
        <v>66</v>
      </c>
      <c r="O2061" s="11"/>
      <c r="P2061" s="28" t="n">
        <v>20973</v>
      </c>
      <c r="Q2061" s="28" t="n">
        <v>94378</v>
      </c>
      <c r="R2061" s="28"/>
      <c r="S2061" s="28" t="n">
        <f aca="false">R2061*$M2061</f>
        <v>0</v>
      </c>
      <c r="T2061" s="28"/>
      <c r="U2061" s="28" t="n">
        <f aca="false">T2061*$M2061</f>
        <v>0</v>
      </c>
      <c r="V2061" s="28"/>
      <c r="W2061" s="28" t="n">
        <f aca="false">V2061*$M2061</f>
        <v>0</v>
      </c>
      <c r="X2061" s="28"/>
      <c r="Y2061" s="28" t="n">
        <f aca="false">X2061*$M2061</f>
        <v>0</v>
      </c>
      <c r="Z2061" s="28"/>
      <c r="AA2061" s="28" t="n">
        <f aca="false">Z2061*$M2061</f>
        <v>0</v>
      </c>
      <c r="AB2061" s="28"/>
      <c r="AC2061" s="28" t="n">
        <f aca="false">AB2061*$M2061</f>
        <v>0</v>
      </c>
      <c r="AD2061" s="28"/>
      <c r="AE2061" s="28" t="n">
        <f aca="false">AD2061*$M2061</f>
        <v>0</v>
      </c>
      <c r="AF2061" s="28"/>
      <c r="AG2061" s="28" t="n">
        <f aca="false">AF2061*$M2061</f>
        <v>0</v>
      </c>
      <c r="AH2061" s="28"/>
      <c r="AI2061" s="28" t="n">
        <f aca="false">AH2061*$M2061</f>
        <v>0</v>
      </c>
      <c r="AJ2061" s="28"/>
      <c r="AK2061" s="28" t="n">
        <f aca="false">AJ2061*$M2061</f>
        <v>0</v>
      </c>
      <c r="AL2061" s="28"/>
      <c r="AM2061" s="28" t="n">
        <f aca="false">AL2061*$M2061</f>
        <v>0</v>
      </c>
      <c r="AN2061" s="28"/>
      <c r="AO2061" s="28" t="n">
        <f aca="false">AN2061*$M2061</f>
        <v>0</v>
      </c>
      <c r="AP2061" s="28"/>
      <c r="AQ2061" s="28" t="n">
        <f aca="false">AP2061*$M2061</f>
        <v>0</v>
      </c>
      <c r="AR2061" s="28"/>
      <c r="AS2061" s="28" t="n">
        <f aca="false">AR2061*$M2061</f>
        <v>0</v>
      </c>
      <c r="AT2061" s="28"/>
      <c r="AU2061" s="28" t="n">
        <f aca="false">AT2061*$M2061</f>
        <v>0</v>
      </c>
      <c r="AV2061" s="28"/>
      <c r="AW2061" s="28" t="n">
        <f aca="false">AV2061*$M2061</f>
        <v>0</v>
      </c>
      <c r="AX2061" s="28"/>
      <c r="AY2061" s="28" t="n">
        <f aca="false">AX2061*$M2061</f>
        <v>0</v>
      </c>
      <c r="AZ2061" s="30" t="n">
        <v>20973</v>
      </c>
      <c r="BA2061" s="11" t="n">
        <v>94378</v>
      </c>
      <c r="BB2061" s="31" t="n">
        <f aca="false">SUM(Q2061,S2061,U2061,W2061,Y2061,AA2061,AC2061,AE2061,AG2061,AI2061,AK2061,AM2061,AO2061,AQ2061,AS2061,AU2061,AW2061,AY2061)</f>
        <v>94378</v>
      </c>
      <c r="BC2061" s="28" t="n">
        <f aca="false">BA2061-BB2061</f>
        <v>0</v>
      </c>
      <c r="BD2061" s="32" t="n">
        <f aca="false">SUM(P2061,R2061,T2061,V2061,X2061,Z2061,AB2061,AD2061,AF2061,AH2061,AJ2061,AL2061,AN2061,AP2061,AR2061,AT2061,AV2061,AX2061)</f>
        <v>20973</v>
      </c>
      <c r="BE2061" s="33" t="n">
        <f aca="false">AZ2061-BD2061</f>
        <v>0</v>
      </c>
      <c r="BF2061" s="34" t="n">
        <f aca="false">BD2061*M2061</f>
        <v>94378.5</v>
      </c>
      <c r="BG2061" s="35" t="n">
        <f aca="false">BA2061-BF2061</f>
        <v>-0.5</v>
      </c>
      <c r="BH2061" s="19" t="str">
        <f aca="false">IF(BG2061=0,"",IF(BG2061&lt;&gt;BA2061,"erreur de calcul",IF(BD2061&lt;&gt;0,"pas de prix",IF(M2061&lt;&gt; 0,"pas de quantité","pas de prix, ni de quantité"))))</f>
        <v>erreur de calcul</v>
      </c>
      <c r="BI2061" s="19"/>
    </row>
    <row r="2062" customFormat="false" ht="15" hidden="false" customHeight="false" outlineLevel="0" collapsed="false">
      <c r="A2062" s="0" t="n">
        <v>17</v>
      </c>
      <c r="B2062" s="8" t="s">
        <v>24</v>
      </c>
      <c r="C2062" s="9" t="s">
        <v>25</v>
      </c>
      <c r="D2062" s="9" t="s">
        <v>26</v>
      </c>
      <c r="E2062" s="10" t="n">
        <v>1789</v>
      </c>
      <c r="F2062" s="9" t="s">
        <v>27</v>
      </c>
      <c r="G2062" s="9" t="s">
        <v>27</v>
      </c>
      <c r="H2062" s="11" t="n">
        <v>26</v>
      </c>
      <c r="I2062" s="11" t="s">
        <v>389</v>
      </c>
      <c r="J2062" s="14"/>
      <c r="K2062" s="14"/>
      <c r="L2062" s="16"/>
      <c r="M2062" s="27" t="n">
        <f aca="false">J2062+(K2062/20)+(L2062/240)</f>
        <v>0</v>
      </c>
      <c r="N2062" s="17"/>
      <c r="O2062" s="11" t="s">
        <v>277</v>
      </c>
      <c r="P2062" s="28"/>
      <c r="Q2062" s="28" t="n">
        <f aca="false">P2062*$M2062</f>
        <v>0</v>
      </c>
      <c r="R2062" s="28"/>
      <c r="S2062" s="28" t="n">
        <f aca="false">R2062*$M2062</f>
        <v>0</v>
      </c>
      <c r="T2062" s="28"/>
      <c r="U2062" s="28" t="n">
        <v>189</v>
      </c>
      <c r="V2062" s="28"/>
      <c r="W2062" s="28" t="n">
        <v>540</v>
      </c>
      <c r="X2062" s="28"/>
      <c r="Y2062" s="28" t="n">
        <f aca="false">X2062*$M2062</f>
        <v>0</v>
      </c>
      <c r="Z2062" s="28"/>
      <c r="AA2062" s="28" t="n">
        <f aca="false">Z2062*$M2062</f>
        <v>0</v>
      </c>
      <c r="AB2062" s="28"/>
      <c r="AC2062" s="28" t="n">
        <f aca="false">AB2062*$M2062</f>
        <v>0</v>
      </c>
      <c r="AD2062" s="28"/>
      <c r="AE2062" s="28" t="n">
        <f aca="false">AD2062*$M2062</f>
        <v>0</v>
      </c>
      <c r="AF2062" s="28"/>
      <c r="AG2062" s="28" t="n">
        <f aca="false">AF2062*$M2062</f>
        <v>0</v>
      </c>
      <c r="AH2062" s="28"/>
      <c r="AI2062" s="28" t="n">
        <f aca="false">AH2062*$M2062</f>
        <v>0</v>
      </c>
      <c r="AJ2062" s="28"/>
      <c r="AK2062" s="28" t="n">
        <v>317</v>
      </c>
      <c r="AL2062" s="28"/>
      <c r="AM2062" s="28" t="n">
        <f aca="false">AL2062*$M2062</f>
        <v>0</v>
      </c>
      <c r="AN2062" s="28"/>
      <c r="AO2062" s="28" t="n">
        <f aca="false">AN2062*$M2062</f>
        <v>0</v>
      </c>
      <c r="AP2062" s="28"/>
      <c r="AQ2062" s="28" t="n">
        <f aca="false">AP2062*$M2062</f>
        <v>0</v>
      </c>
      <c r="AR2062" s="28"/>
      <c r="AS2062" s="28" t="n">
        <f aca="false">AR2062*$M2062</f>
        <v>0</v>
      </c>
      <c r="AT2062" s="28"/>
      <c r="AU2062" s="28" t="n">
        <f aca="false">AT2062*$M2062</f>
        <v>0</v>
      </c>
      <c r="AV2062" s="28"/>
      <c r="AW2062" s="28" t="n">
        <f aca="false">AV2062*$M2062</f>
        <v>0</v>
      </c>
      <c r="AX2062" s="28"/>
      <c r="AY2062" s="28" t="n">
        <f aca="false">AX2062*$M2062</f>
        <v>0</v>
      </c>
      <c r="AZ2062" s="30"/>
      <c r="BA2062" s="11" t="n">
        <v>1046</v>
      </c>
      <c r="BB2062" s="31" t="n">
        <f aca="false">SUM(Q2062,S2062,U2062,W2062,Y2062,AA2062,AC2062,AE2062,AG2062,AI2062,AK2062,AM2062,AO2062,AQ2062,AS2062,AU2062,AW2062,AY2062)</f>
        <v>1046</v>
      </c>
      <c r="BC2062" s="28" t="n">
        <f aca="false">BA2062-BB2062</f>
        <v>0</v>
      </c>
      <c r="BD2062" s="32" t="n">
        <f aca="false">SUM(P2062,R2062,T2062,V2062,X2062,Z2062,AB2062,AD2062,AF2062,AH2062,AJ2062,AL2062,AN2062,AP2062,AR2062,AT2062,AV2062,AX2062)</f>
        <v>0</v>
      </c>
      <c r="BE2062" s="33" t="n">
        <f aca="false">AZ2062-BD2062</f>
        <v>0</v>
      </c>
      <c r="BF2062" s="34" t="n">
        <f aca="false">BD2062*M2062</f>
        <v>0</v>
      </c>
      <c r="BG2062" s="35" t="n">
        <f aca="false">BA2062-BF2062</f>
        <v>1046</v>
      </c>
      <c r="BH2062" s="19" t="str">
        <f aca="false">IF(BG2062=0,"",IF(BG2062&lt;&gt;BA2062,"erreur de calcul",IF(BD2062&lt;&gt;0,"pas de prix",IF(M2062&lt;&gt; 0,"pas de quantité","pas de prix, ni de quantité"))))</f>
        <v>pas de prix, ni de quantité</v>
      </c>
      <c r="BI2062" s="19"/>
    </row>
    <row r="2063" customFormat="false" ht="15" hidden="false" customHeight="false" outlineLevel="0" collapsed="false">
      <c r="A2063" s="0" t="n">
        <v>18</v>
      </c>
      <c r="B2063" s="8" t="s">
        <v>24</v>
      </c>
      <c r="C2063" s="9" t="s">
        <v>25</v>
      </c>
      <c r="D2063" s="9" t="s">
        <v>26</v>
      </c>
      <c r="E2063" s="10" t="n">
        <v>1789</v>
      </c>
      <c r="F2063" s="9" t="s">
        <v>27</v>
      </c>
      <c r="G2063" s="9" t="s">
        <v>27</v>
      </c>
      <c r="H2063" s="11" t="n">
        <v>26</v>
      </c>
      <c r="I2063" s="11" t="s">
        <v>389</v>
      </c>
      <c r="J2063" s="14" t="n">
        <v>90</v>
      </c>
      <c r="K2063" s="14"/>
      <c r="L2063" s="16"/>
      <c r="M2063" s="27" t="n">
        <f aca="false">J2063+(K2063/20)+(L2063/240)</f>
        <v>90</v>
      </c>
      <c r="N2063" s="17" t="s">
        <v>64</v>
      </c>
      <c r="O2063" s="11"/>
      <c r="P2063" s="28"/>
      <c r="Q2063" s="28" t="n">
        <f aca="false">P2063*$M2063</f>
        <v>0</v>
      </c>
      <c r="R2063" s="28"/>
      <c r="S2063" s="28" t="n">
        <f aca="false">R2063*$M2063</f>
        <v>0</v>
      </c>
      <c r="T2063" s="28"/>
      <c r="U2063" s="28" t="n">
        <f aca="false">T2063*$M2063</f>
        <v>0</v>
      </c>
      <c r="V2063" s="28" t="n">
        <f aca="false">6341/100</f>
        <v>63.41</v>
      </c>
      <c r="W2063" s="28" t="n">
        <v>5707</v>
      </c>
      <c r="X2063" s="28" t="n">
        <f aca="false">10903/100</f>
        <v>109.03</v>
      </c>
      <c r="Y2063" s="28" t="n">
        <v>9813</v>
      </c>
      <c r="Z2063" s="28"/>
      <c r="AA2063" s="28" t="n">
        <f aca="false">Z2063*$M2063</f>
        <v>0</v>
      </c>
      <c r="AB2063" s="28"/>
      <c r="AC2063" s="28" t="n">
        <f aca="false">AB2063*$M2063</f>
        <v>0</v>
      </c>
      <c r="AD2063" s="28"/>
      <c r="AE2063" s="28" t="n">
        <f aca="false">AD2063*$M2063</f>
        <v>0</v>
      </c>
      <c r="AF2063" s="28"/>
      <c r="AG2063" s="28" t="n">
        <f aca="false">AF2063*$M2063</f>
        <v>0</v>
      </c>
      <c r="AH2063" s="28"/>
      <c r="AI2063" s="28" t="n">
        <f aca="false">AH2063*$M2063</f>
        <v>0</v>
      </c>
      <c r="AJ2063" s="28" t="n">
        <f aca="false">127232/100</f>
        <v>1272.32</v>
      </c>
      <c r="AK2063" s="28" t="n">
        <v>114509</v>
      </c>
      <c r="AL2063" s="28" t="n">
        <f aca="false">1835/100</f>
        <v>18.35</v>
      </c>
      <c r="AM2063" s="28" t="n">
        <v>1651</v>
      </c>
      <c r="AN2063" s="28"/>
      <c r="AO2063" s="28" t="n">
        <f aca="false">AN2063*$M2063</f>
        <v>0</v>
      </c>
      <c r="AP2063" s="28"/>
      <c r="AQ2063" s="28" t="n">
        <f aca="false">AP2063*$M2063</f>
        <v>0</v>
      </c>
      <c r="AR2063" s="28"/>
      <c r="AS2063" s="28" t="n">
        <f aca="false">AR2063*$M2063</f>
        <v>0</v>
      </c>
      <c r="AT2063" s="28"/>
      <c r="AU2063" s="28" t="n">
        <f aca="false">AT2063*$M2063</f>
        <v>0</v>
      </c>
      <c r="AV2063" s="28"/>
      <c r="AW2063" s="28" t="n">
        <f aca="false">AV2063*$M2063</f>
        <v>0</v>
      </c>
      <c r="AX2063" s="28"/>
      <c r="AY2063" s="28" t="n">
        <f aca="false">AX2063*$M2063</f>
        <v>0</v>
      </c>
      <c r="AZ2063" s="30" t="n">
        <f aca="false">146311/100</f>
        <v>1463.11</v>
      </c>
      <c r="BA2063" s="11" t="n">
        <v>131680</v>
      </c>
      <c r="BB2063" s="31" t="n">
        <f aca="false">SUM(Q2063,S2063,U2063,W2063,Y2063,AA2063,AC2063,AE2063,AG2063,AI2063,AK2063,AM2063,AO2063,AQ2063,AS2063,AU2063,AW2063,AY2063)</f>
        <v>131680</v>
      </c>
      <c r="BC2063" s="28" t="n">
        <f aca="false">BA2063-BB2063</f>
        <v>0</v>
      </c>
      <c r="BD2063" s="32" t="n">
        <f aca="false">SUM(P2063,R2063,T2063,V2063,X2063,Z2063,AB2063,AD2063,AF2063,AH2063,AJ2063,AL2063,AN2063,AP2063,AR2063,AT2063,AV2063,AX2063)</f>
        <v>1463.11</v>
      </c>
      <c r="BE2063" s="33" t="n">
        <f aca="false">AZ2063-BD2063</f>
        <v>0</v>
      </c>
      <c r="BF2063" s="34" t="n">
        <f aca="false">BD2063*M2063</f>
        <v>131679.9</v>
      </c>
      <c r="BG2063" s="35" t="n">
        <f aca="false">BA2063-BF2063</f>
        <v>0.100000000005821</v>
      </c>
      <c r="BH2063" s="19" t="str">
        <f aca="false">IF(BG2063=0,"",IF(BG2063&lt;&gt;BA2063,"erreur de calcul",IF(BD2063&lt;&gt;0,"pas de prix",IF(M2063&lt;&gt; 0,"pas de quantité","pas de prix, ni de quantité"))))</f>
        <v>erreur de calcul</v>
      </c>
      <c r="BI2063" s="19"/>
    </row>
    <row r="2064" customFormat="false" ht="15" hidden="false" customHeight="false" outlineLevel="0" collapsed="false">
      <c r="A2064" s="0" t="n">
        <v>19</v>
      </c>
      <c r="B2064" s="8" t="s">
        <v>24</v>
      </c>
      <c r="C2064" s="9" t="s">
        <v>25</v>
      </c>
      <c r="D2064" s="9" t="s">
        <v>26</v>
      </c>
      <c r="E2064" s="10" t="n">
        <v>1789</v>
      </c>
      <c r="F2064" s="9" t="s">
        <v>27</v>
      </c>
      <c r="G2064" s="9" t="s">
        <v>27</v>
      </c>
      <c r="H2064" s="11" t="n">
        <v>26</v>
      </c>
      <c r="I2064" s="11" t="s">
        <v>390</v>
      </c>
      <c r="J2064" s="14" t="n">
        <v>25</v>
      </c>
      <c r="K2064" s="14"/>
      <c r="L2064" s="16"/>
      <c r="M2064" s="27" t="n">
        <f aca="false">J2064+(K2064/20)+(L2064/240)</f>
        <v>25</v>
      </c>
      <c r="N2064" s="17" t="s">
        <v>64</v>
      </c>
      <c r="O2064" s="11" t="s">
        <v>277</v>
      </c>
      <c r="P2064" s="28"/>
      <c r="Q2064" s="28" t="n">
        <f aca="false">P2064*$M2064</f>
        <v>0</v>
      </c>
      <c r="R2064" s="28"/>
      <c r="S2064" s="28" t="n">
        <f aca="false">R2064*$M2064</f>
        <v>0</v>
      </c>
      <c r="T2064" s="28"/>
      <c r="U2064" s="28" t="n">
        <f aca="false">T2064*$M2064</f>
        <v>0</v>
      </c>
      <c r="V2064" s="28"/>
      <c r="W2064" s="28" t="n">
        <f aca="false">V2064*$M2064</f>
        <v>0</v>
      </c>
      <c r="X2064" s="28"/>
      <c r="Y2064" s="28" t="n">
        <f aca="false">X2064*$M2064</f>
        <v>0</v>
      </c>
      <c r="Z2064" s="28"/>
      <c r="AA2064" s="28" t="n">
        <f aca="false">Z2064*$M2064</f>
        <v>0</v>
      </c>
      <c r="AB2064" s="28"/>
      <c r="AC2064" s="28" t="n">
        <f aca="false">AB2064*$M2064</f>
        <v>0</v>
      </c>
      <c r="AD2064" s="28"/>
      <c r="AE2064" s="28" t="n">
        <f aca="false">AD2064*$M2064</f>
        <v>0</v>
      </c>
      <c r="AF2064" s="28"/>
      <c r="AG2064" s="28" t="n">
        <f aca="false">AF2064*$M2064</f>
        <v>0</v>
      </c>
      <c r="AH2064" s="28"/>
      <c r="AI2064" s="28" t="n">
        <f aca="false">AH2064*$M2064</f>
        <v>0</v>
      </c>
      <c r="AJ2064" s="28"/>
      <c r="AK2064" s="28" t="n">
        <f aca="false">AJ2064*$M2064</f>
        <v>0</v>
      </c>
      <c r="AL2064" s="28"/>
      <c r="AM2064" s="28" t="n">
        <f aca="false">AL2064*$M2064</f>
        <v>0</v>
      </c>
      <c r="AN2064" s="28"/>
      <c r="AO2064" s="28" t="n">
        <f aca="false">AN2064*$M2064</f>
        <v>0</v>
      </c>
      <c r="AP2064" s="28"/>
      <c r="AQ2064" s="28" t="n">
        <f aca="false">AP2064*$M2064</f>
        <v>0</v>
      </c>
      <c r="AR2064" s="28"/>
      <c r="AS2064" s="28" t="n">
        <f aca="false">AR2064*$M2064</f>
        <v>0</v>
      </c>
      <c r="AT2064" s="28"/>
      <c r="AU2064" s="28" t="n">
        <f aca="false">AT2064*$M2064</f>
        <v>0</v>
      </c>
      <c r="AV2064" s="28"/>
      <c r="AW2064" s="28" t="n">
        <f aca="false">AV2064*$M2064</f>
        <v>0</v>
      </c>
      <c r="AX2064" s="28"/>
      <c r="AY2064" s="28" t="n">
        <f aca="false">AX2064*$M2064</f>
        <v>0</v>
      </c>
      <c r="AZ2064" s="30"/>
      <c r="BA2064" s="11"/>
      <c r="BB2064" s="31" t="n">
        <f aca="false">SUM(Q2064,S2064,U2064,W2064,Y2064,AA2064,AC2064,AE2064,AG2064,AI2064,AK2064,AM2064,AO2064,AQ2064,AS2064,AU2064,AW2064,AY2064)</f>
        <v>0</v>
      </c>
      <c r="BC2064" s="28" t="n">
        <f aca="false">BA2064-BB2064</f>
        <v>0</v>
      </c>
      <c r="BD2064" s="32" t="n">
        <f aca="false">SUM(P2064,R2064,T2064,V2064,X2064,Z2064,AB2064,AD2064,AF2064,AH2064,AJ2064,AL2064,AN2064,AP2064,AR2064,AT2064,AV2064,AX2064)</f>
        <v>0</v>
      </c>
      <c r="BE2064" s="33" t="n">
        <f aca="false">AZ2064-BD2064</f>
        <v>0</v>
      </c>
      <c r="BF2064" s="34" t="n">
        <f aca="false">BD2064*M2064</f>
        <v>0</v>
      </c>
      <c r="BG2064" s="35" t="n">
        <f aca="false">BA2064-BF2064</f>
        <v>0</v>
      </c>
      <c r="BH2064" s="19" t="str">
        <f aca="false">IF(BG2064=0,"",IF(BG2064&lt;&gt;BA2064,"erreur de calcul",IF(BD2064&lt;&gt;0,"pas de prix",IF(M2064&lt;&gt; 0,"pas de quantité","pas de prix, ni de quantité"))))</f>
        <v/>
      </c>
      <c r="BI2064" s="19"/>
    </row>
    <row r="2065" customFormat="false" ht="15" hidden="false" customHeight="false" outlineLevel="0" collapsed="false">
      <c r="A2065" s="0" t="n">
        <v>20</v>
      </c>
      <c r="B2065" s="8" t="s">
        <v>24</v>
      </c>
      <c r="C2065" s="9" t="s">
        <v>25</v>
      </c>
      <c r="D2065" s="9" t="s">
        <v>26</v>
      </c>
      <c r="E2065" s="10" t="n">
        <v>1789</v>
      </c>
      <c r="F2065" s="9" t="s">
        <v>27</v>
      </c>
      <c r="G2065" s="9" t="s">
        <v>27</v>
      </c>
      <c r="H2065" s="11" t="n">
        <v>26</v>
      </c>
      <c r="I2065" s="11" t="s">
        <v>391</v>
      </c>
      <c r="J2065" s="14" t="n">
        <v>35</v>
      </c>
      <c r="K2065" s="14"/>
      <c r="L2065" s="16"/>
      <c r="M2065" s="27" t="n">
        <f aca="false">J2065+(K2065/20)+(L2065/240)</f>
        <v>35</v>
      </c>
      <c r="N2065" s="17" t="s">
        <v>64</v>
      </c>
      <c r="O2065" s="11"/>
      <c r="P2065" s="28"/>
      <c r="Q2065" s="28" t="n">
        <f aca="false">P2065*$M2065</f>
        <v>0</v>
      </c>
      <c r="R2065" s="28"/>
      <c r="S2065" s="28" t="n">
        <f aca="false">R2065*$M2065</f>
        <v>0</v>
      </c>
      <c r="T2065" s="28"/>
      <c r="U2065" s="28" t="n">
        <f aca="false">T2065*$M2065</f>
        <v>0</v>
      </c>
      <c r="V2065" s="28"/>
      <c r="W2065" s="28" t="n">
        <f aca="false">V2065*$M2065</f>
        <v>0</v>
      </c>
      <c r="X2065" s="28"/>
      <c r="Y2065" s="28" t="n">
        <f aca="false">X2065*$M2065</f>
        <v>0</v>
      </c>
      <c r="Z2065" s="28"/>
      <c r="AA2065" s="28" t="n">
        <f aca="false">Z2065*$M2065</f>
        <v>0</v>
      </c>
      <c r="AB2065" s="28"/>
      <c r="AC2065" s="28" t="n">
        <f aca="false">AB2065*$M2065</f>
        <v>0</v>
      </c>
      <c r="AD2065" s="28"/>
      <c r="AE2065" s="28" t="n">
        <f aca="false">AD2065*$M2065</f>
        <v>0</v>
      </c>
      <c r="AF2065" s="28"/>
      <c r="AG2065" s="28" t="n">
        <f aca="false">AF2065*$M2065</f>
        <v>0</v>
      </c>
      <c r="AH2065" s="28"/>
      <c r="AI2065" s="28" t="n">
        <f aca="false">AH2065*$M2065</f>
        <v>0</v>
      </c>
      <c r="AJ2065" s="28" t="n">
        <f aca="false">3950/100</f>
        <v>39.5</v>
      </c>
      <c r="AK2065" s="28" t="n">
        <v>1382</v>
      </c>
      <c r="AL2065" s="28"/>
      <c r="AM2065" s="28" t="n">
        <f aca="false">AL2065*$M2065</f>
        <v>0</v>
      </c>
      <c r="AN2065" s="28"/>
      <c r="AO2065" s="28" t="n">
        <f aca="false">AN2065*$M2065</f>
        <v>0</v>
      </c>
      <c r="AP2065" s="28"/>
      <c r="AQ2065" s="28" t="n">
        <f aca="false">AP2065*$M2065</f>
        <v>0</v>
      </c>
      <c r="AR2065" s="28"/>
      <c r="AS2065" s="28" t="n">
        <f aca="false">AR2065*$M2065</f>
        <v>0</v>
      </c>
      <c r="AT2065" s="28"/>
      <c r="AU2065" s="28" t="n">
        <f aca="false">AT2065*$M2065</f>
        <v>0</v>
      </c>
      <c r="AV2065" s="28"/>
      <c r="AW2065" s="28" t="n">
        <f aca="false">AV2065*$M2065</f>
        <v>0</v>
      </c>
      <c r="AX2065" s="28"/>
      <c r="AY2065" s="28" t="n">
        <f aca="false">AX2065*$M2065</f>
        <v>0</v>
      </c>
      <c r="AZ2065" s="30" t="n">
        <f aca="false">3950/100</f>
        <v>39.5</v>
      </c>
      <c r="BA2065" s="11" t="n">
        <v>1382</v>
      </c>
      <c r="BB2065" s="31" t="n">
        <f aca="false">SUM(Q2065,S2065,U2065,W2065,Y2065,AA2065,AC2065,AE2065,AG2065,AI2065,AK2065,AM2065,AO2065,AQ2065,AS2065,AU2065,AW2065,AY2065)</f>
        <v>1382</v>
      </c>
      <c r="BC2065" s="28" t="n">
        <f aca="false">BA2065-BB2065</f>
        <v>0</v>
      </c>
      <c r="BD2065" s="32" t="n">
        <f aca="false">SUM(P2065,R2065,T2065,V2065,X2065,Z2065,AB2065,AD2065,AF2065,AH2065,AJ2065,AL2065,AN2065,AP2065,AR2065,AT2065,AV2065,AX2065)</f>
        <v>39.5</v>
      </c>
      <c r="BE2065" s="33" t="n">
        <f aca="false">AZ2065-BD2065</f>
        <v>0</v>
      </c>
      <c r="BF2065" s="34" t="n">
        <f aca="false">BD2065*M2065</f>
        <v>1382.5</v>
      </c>
      <c r="BG2065" s="35" t="n">
        <f aca="false">BA2065-BF2065</f>
        <v>-0.5</v>
      </c>
      <c r="BH2065" s="19" t="str">
        <f aca="false">IF(BG2065=0,"",IF(BG2065&lt;&gt;BA2065,"erreur de calcul",IF(BD2065&lt;&gt;0,"pas de prix",IF(M2065&lt;&gt; 0,"pas de quantité","pas de prix, ni de quantité"))))</f>
        <v>erreur de calcul</v>
      </c>
      <c r="BI2065" s="19"/>
    </row>
    <row r="2066" customFormat="false" ht="15" hidden="false" customHeight="false" outlineLevel="0" collapsed="false">
      <c r="A2066" s="0" t="n">
        <v>21</v>
      </c>
      <c r="B2066" s="8" t="s">
        <v>24</v>
      </c>
      <c r="C2066" s="9" t="s">
        <v>25</v>
      </c>
      <c r="D2066" s="9" t="s">
        <v>26</v>
      </c>
      <c r="E2066" s="10" t="n">
        <v>1789</v>
      </c>
      <c r="F2066" s="9" t="s">
        <v>27</v>
      </c>
      <c r="G2066" s="9" t="s">
        <v>27</v>
      </c>
      <c r="H2066" s="11" t="n">
        <v>26</v>
      </c>
      <c r="I2066" s="11" t="s">
        <v>392</v>
      </c>
      <c r="J2066" s="14" t="n">
        <v>60</v>
      </c>
      <c r="K2066" s="14"/>
      <c r="L2066" s="16"/>
      <c r="M2066" s="27" t="n">
        <f aca="false">J2066+(K2066/20)+(L2066/240)</f>
        <v>60</v>
      </c>
      <c r="N2066" s="17" t="s">
        <v>64</v>
      </c>
      <c r="O2066" s="11"/>
      <c r="P2066" s="28"/>
      <c r="Q2066" s="28" t="n">
        <f aca="false">P2066*$M2066</f>
        <v>0</v>
      </c>
      <c r="R2066" s="28"/>
      <c r="S2066" s="28" t="n">
        <f aca="false">R2066*$M2066</f>
        <v>0</v>
      </c>
      <c r="T2066" s="28"/>
      <c r="U2066" s="28" t="n">
        <f aca="false">T2066*$M2066</f>
        <v>0</v>
      </c>
      <c r="V2066" s="28"/>
      <c r="W2066" s="28" t="n">
        <f aca="false">V2066*$M2066</f>
        <v>0</v>
      </c>
      <c r="X2066" s="28" t="n">
        <f aca="false">12306/100</f>
        <v>123.06</v>
      </c>
      <c r="Y2066" s="28" t="n">
        <v>7384</v>
      </c>
      <c r="Z2066" s="28"/>
      <c r="AA2066" s="28" t="n">
        <f aca="false">Z2066*$M2066</f>
        <v>0</v>
      </c>
      <c r="AB2066" s="28"/>
      <c r="AC2066" s="28" t="n">
        <f aca="false">AB2066*$M2066</f>
        <v>0</v>
      </c>
      <c r="AD2066" s="28"/>
      <c r="AE2066" s="28" t="n">
        <f aca="false">AD2066*$M2066</f>
        <v>0</v>
      </c>
      <c r="AF2066" s="28"/>
      <c r="AG2066" s="28" t="n">
        <f aca="false">AF2066*$M2066</f>
        <v>0</v>
      </c>
      <c r="AH2066" s="28"/>
      <c r="AI2066" s="28" t="n">
        <f aca="false">AH2066*$M2066</f>
        <v>0</v>
      </c>
      <c r="AJ2066" s="28" t="n">
        <f aca="false">2557/100</f>
        <v>25.57</v>
      </c>
      <c r="AK2066" s="28" t="n">
        <v>1534</v>
      </c>
      <c r="AL2066" s="28"/>
      <c r="AM2066" s="28" t="n">
        <f aca="false">AL2066*$M2066</f>
        <v>0</v>
      </c>
      <c r="AN2066" s="28"/>
      <c r="AO2066" s="28" t="n">
        <f aca="false">AN2066*$M2066</f>
        <v>0</v>
      </c>
      <c r="AP2066" s="28"/>
      <c r="AQ2066" s="28" t="n">
        <f aca="false">AP2066*$M2066</f>
        <v>0</v>
      </c>
      <c r="AR2066" s="28" t="n">
        <f aca="false">7204/100</f>
        <v>72.04</v>
      </c>
      <c r="AS2066" s="28" t="n">
        <v>4322</v>
      </c>
      <c r="AT2066" s="28"/>
      <c r="AU2066" s="28" t="n">
        <f aca="false">AT2066*$M2066</f>
        <v>0</v>
      </c>
      <c r="AV2066" s="28"/>
      <c r="AW2066" s="28" t="n">
        <f aca="false">AV2066*$M2066</f>
        <v>0</v>
      </c>
      <c r="AX2066" s="28"/>
      <c r="AY2066" s="28" t="n">
        <f aca="false">AX2066*$M2066</f>
        <v>0</v>
      </c>
      <c r="AZ2066" s="30" t="n">
        <f aca="false">22067/100</f>
        <v>220.67</v>
      </c>
      <c r="BA2066" s="11" t="n">
        <v>13240</v>
      </c>
      <c r="BB2066" s="31" t="n">
        <f aca="false">SUM(Q2066,S2066,U2066,W2066,Y2066,AA2066,AC2066,AE2066,AG2066,AI2066,AK2066,AM2066,AO2066,AQ2066,AS2066,AU2066,AW2066,AY2066)</f>
        <v>13240</v>
      </c>
      <c r="BC2066" s="28" t="n">
        <f aca="false">BA2066-BB2066</f>
        <v>0</v>
      </c>
      <c r="BD2066" s="32" t="n">
        <f aca="false">SUM(P2066,R2066,T2066,V2066,X2066,Z2066,AB2066,AD2066,AF2066,AH2066,AJ2066,AL2066,AN2066,AP2066,AR2066,AT2066,AV2066,AX2066)</f>
        <v>220.67</v>
      </c>
      <c r="BE2066" s="33" t="n">
        <f aca="false">AZ2066-BD2066</f>
        <v>0</v>
      </c>
      <c r="BF2066" s="34" t="n">
        <f aca="false">BD2066*M2066</f>
        <v>13240.2</v>
      </c>
      <c r="BG2066" s="35" t="n">
        <f aca="false">BA2066-BF2066</f>
        <v>-0.200000000000728</v>
      </c>
      <c r="BH2066" s="19" t="str">
        <f aca="false">IF(BG2066=0,"",IF(BG2066&lt;&gt;BA2066,"erreur de calcul",IF(BD2066&lt;&gt;0,"pas de prix",IF(M2066&lt;&gt; 0,"pas de quantité","pas de prix, ni de quantité"))))</f>
        <v>erreur de calcul</v>
      </c>
      <c r="BI2066" s="19"/>
    </row>
    <row r="2067" customFormat="false" ht="15" hidden="false" customHeight="false" outlineLevel="0" collapsed="false">
      <c r="A2067" s="0" t="n">
        <v>22</v>
      </c>
      <c r="B2067" s="8" t="s">
        <v>24</v>
      </c>
      <c r="C2067" s="9" t="s">
        <v>25</v>
      </c>
      <c r="D2067" s="9" t="s">
        <v>26</v>
      </c>
      <c r="E2067" s="10" t="n">
        <v>1789</v>
      </c>
      <c r="F2067" s="9" t="s">
        <v>27</v>
      </c>
      <c r="G2067" s="9" t="s">
        <v>27</v>
      </c>
      <c r="H2067" s="11" t="n">
        <v>26</v>
      </c>
      <c r="I2067" s="11" t="s">
        <v>393</v>
      </c>
      <c r="J2067" s="14" t="n">
        <v>120</v>
      </c>
      <c r="K2067" s="14"/>
      <c r="L2067" s="16"/>
      <c r="M2067" s="27" t="n">
        <f aca="false">J2067+(K2067/20)+(L2067/240)</f>
        <v>120</v>
      </c>
      <c r="N2067" s="17" t="s">
        <v>64</v>
      </c>
      <c r="O2067" s="11"/>
      <c r="P2067" s="28"/>
      <c r="Q2067" s="28" t="n">
        <f aca="false">P2067*$M2067</f>
        <v>0</v>
      </c>
      <c r="R2067" s="28"/>
      <c r="S2067" s="28" t="n">
        <f aca="false">R2067*$M2067</f>
        <v>0</v>
      </c>
      <c r="T2067" s="28"/>
      <c r="U2067" s="28" t="n">
        <f aca="false">T2067*$M2067</f>
        <v>0</v>
      </c>
      <c r="V2067" s="28"/>
      <c r="W2067" s="28" t="n">
        <f aca="false">V2067*$M2067</f>
        <v>0</v>
      </c>
      <c r="X2067" s="28"/>
      <c r="Y2067" s="28" t="n">
        <f aca="false">X2067*$M2067</f>
        <v>0</v>
      </c>
      <c r="Z2067" s="28"/>
      <c r="AA2067" s="28" t="n">
        <f aca="false">Z2067*$M2067</f>
        <v>0</v>
      </c>
      <c r="AB2067" s="28"/>
      <c r="AC2067" s="28" t="n">
        <f aca="false">AB2067*$M2067</f>
        <v>0</v>
      </c>
      <c r="AD2067" s="28"/>
      <c r="AE2067" s="28" t="n">
        <f aca="false">AD2067*$M2067</f>
        <v>0</v>
      </c>
      <c r="AF2067" s="28"/>
      <c r="AG2067" s="28" t="n">
        <f aca="false">AF2067*$M2067</f>
        <v>0</v>
      </c>
      <c r="AH2067" s="28" t="n">
        <f aca="false">1810/100</f>
        <v>18.1</v>
      </c>
      <c r="AI2067" s="28" t="n">
        <v>2172</v>
      </c>
      <c r="AJ2067" s="28"/>
      <c r="AK2067" s="28" t="n">
        <f aca="false">AJ2067*$M2067</f>
        <v>0</v>
      </c>
      <c r="AL2067" s="28"/>
      <c r="AM2067" s="28" t="n">
        <f aca="false">AL2067*$M2067</f>
        <v>0</v>
      </c>
      <c r="AN2067" s="28"/>
      <c r="AO2067" s="28" t="n">
        <f aca="false">AN2067*$M2067</f>
        <v>0</v>
      </c>
      <c r="AP2067" s="28"/>
      <c r="AQ2067" s="28" t="n">
        <f aca="false">AP2067*$M2067</f>
        <v>0</v>
      </c>
      <c r="AR2067" s="28"/>
      <c r="AS2067" s="28" t="n">
        <f aca="false">AR2067*$M2067</f>
        <v>0</v>
      </c>
      <c r="AT2067" s="28"/>
      <c r="AU2067" s="28" t="n">
        <f aca="false">AT2067*$M2067</f>
        <v>0</v>
      </c>
      <c r="AV2067" s="28"/>
      <c r="AW2067" s="28" t="n">
        <f aca="false">AV2067*$M2067</f>
        <v>0</v>
      </c>
      <c r="AX2067" s="28"/>
      <c r="AY2067" s="28" t="n">
        <f aca="false">AX2067*$M2067</f>
        <v>0</v>
      </c>
      <c r="AZ2067" s="30" t="n">
        <f aca="false">1810/100</f>
        <v>18.1</v>
      </c>
      <c r="BA2067" s="11" t="n">
        <v>2172</v>
      </c>
      <c r="BB2067" s="31" t="n">
        <f aca="false">SUM(Q2067,S2067,U2067,W2067,Y2067,AA2067,AC2067,AE2067,AG2067,AI2067,AK2067,AM2067,AO2067,AQ2067,AS2067,AU2067,AW2067,AY2067)</f>
        <v>2172</v>
      </c>
      <c r="BC2067" s="28" t="n">
        <f aca="false">BA2067-BB2067</f>
        <v>0</v>
      </c>
      <c r="BD2067" s="32" t="n">
        <f aca="false">SUM(P2067,R2067,T2067,V2067,X2067,Z2067,AB2067,AD2067,AF2067,AH2067,AJ2067,AL2067,AN2067,AP2067,AR2067,AT2067,AV2067,AX2067)</f>
        <v>18.1</v>
      </c>
      <c r="BE2067" s="33" t="n">
        <f aca="false">AZ2067-BD2067</f>
        <v>0</v>
      </c>
      <c r="BF2067" s="34" t="n">
        <f aca="false">BD2067*M2067</f>
        <v>2172</v>
      </c>
      <c r="BG2067" s="35" t="n">
        <f aca="false">BA2067-BF2067</f>
        <v>0</v>
      </c>
      <c r="BH2067" s="19" t="str">
        <f aca="false">IF(BG2067=0,"",IF(BG2067&lt;&gt;BA2067,"erreur de calcul",IF(BD2067&lt;&gt;0,"pas de prix",IF(M2067&lt;&gt; 0,"pas de quantité","pas de prix, ni de quantité"))))</f>
        <v/>
      </c>
      <c r="BI2067" s="19"/>
    </row>
    <row r="2068" customFormat="false" ht="15" hidden="false" customHeight="false" outlineLevel="0" collapsed="false">
      <c r="A2068" s="0" t="n">
        <v>23</v>
      </c>
      <c r="B2068" s="8" t="s">
        <v>24</v>
      </c>
      <c r="C2068" s="9" t="s">
        <v>25</v>
      </c>
      <c r="D2068" s="9" t="s">
        <v>26</v>
      </c>
      <c r="E2068" s="10" t="n">
        <v>1789</v>
      </c>
      <c r="F2068" s="9" t="s">
        <v>27</v>
      </c>
      <c r="G2068" s="9" t="s">
        <v>27</v>
      </c>
      <c r="H2068" s="11" t="n">
        <v>26</v>
      </c>
      <c r="I2068" s="41" t="s">
        <v>394</v>
      </c>
      <c r="J2068" s="14" t="n">
        <v>7</v>
      </c>
      <c r="K2068" s="14"/>
      <c r="L2068" s="16"/>
      <c r="M2068" s="27" t="n">
        <f aca="false">J2068+(K2068/20)+(L2068/240)</f>
        <v>7</v>
      </c>
      <c r="N2068" s="17" t="s">
        <v>64</v>
      </c>
      <c r="O2068" s="11"/>
      <c r="P2068" s="28" t="n">
        <f aca="false">11428/100</f>
        <v>114.28</v>
      </c>
      <c r="Q2068" s="28" t="n">
        <v>800</v>
      </c>
      <c r="R2068" s="28"/>
      <c r="S2068" s="28" t="n">
        <f aca="false">R2068*$M2068</f>
        <v>0</v>
      </c>
      <c r="T2068" s="28" t="n">
        <f aca="false">2084/100</f>
        <v>20.84</v>
      </c>
      <c r="U2068" s="36" t="n">
        <v>246</v>
      </c>
      <c r="V2068" s="28"/>
      <c r="W2068" s="28" t="n">
        <f aca="false">V2068*$M2068</f>
        <v>0</v>
      </c>
      <c r="X2068" s="28"/>
      <c r="Y2068" s="28" t="n">
        <f aca="false">X2068*$M2068</f>
        <v>0</v>
      </c>
      <c r="Z2068" s="28"/>
      <c r="AA2068" s="28" t="n">
        <f aca="false">Z2068*$M2068</f>
        <v>0</v>
      </c>
      <c r="AB2068" s="28"/>
      <c r="AC2068" s="28" t="n">
        <f aca="false">AB2068*$M2068</f>
        <v>0</v>
      </c>
      <c r="AD2068" s="28"/>
      <c r="AE2068" s="28" t="n">
        <f aca="false">AD2068*$M2068</f>
        <v>0</v>
      </c>
      <c r="AF2068" s="28" t="n">
        <f aca="false">6709/100</f>
        <v>67.09</v>
      </c>
      <c r="AG2068" s="28" t="n">
        <v>470</v>
      </c>
      <c r="AH2068" s="28"/>
      <c r="AI2068" s="28" t="n">
        <f aca="false">AH2068*$M2068</f>
        <v>0</v>
      </c>
      <c r="AJ2068" s="28"/>
      <c r="AK2068" s="28" t="n">
        <f aca="false">AJ2068*$M2068</f>
        <v>0</v>
      </c>
      <c r="AL2068" s="28"/>
      <c r="AM2068" s="28" t="n">
        <f aca="false">AL2068*$M2068</f>
        <v>0</v>
      </c>
      <c r="AN2068" s="28"/>
      <c r="AO2068" s="28" t="n">
        <f aca="false">AN2068*$M2068</f>
        <v>0</v>
      </c>
      <c r="AP2068" s="28"/>
      <c r="AQ2068" s="28" t="n">
        <f aca="false">AP2068*$M2068</f>
        <v>0</v>
      </c>
      <c r="AR2068" s="28"/>
      <c r="AS2068" s="28" t="n">
        <f aca="false">AR2068*$M2068</f>
        <v>0</v>
      </c>
      <c r="AT2068" s="28"/>
      <c r="AU2068" s="28" t="n">
        <f aca="false">AT2068*$M2068</f>
        <v>0</v>
      </c>
      <c r="AV2068" s="28"/>
      <c r="AW2068" s="28" t="n">
        <f aca="false">AV2068*$M2068</f>
        <v>0</v>
      </c>
      <c r="AX2068" s="28"/>
      <c r="AY2068" s="28" t="n">
        <f aca="false">AX2068*$M2068</f>
        <v>0</v>
      </c>
      <c r="AZ2068" s="30" t="n">
        <f aca="false">20221/100</f>
        <v>202.21</v>
      </c>
      <c r="BA2068" s="11" t="n">
        <v>1516</v>
      </c>
      <c r="BB2068" s="31" t="n">
        <f aca="false">SUM(Q2068,S2068,U2068,W2068,Y2068,AA2068,AC2068,AE2068,AG2068,AI2068,AK2068,AM2068,AO2068,AQ2068,AS2068,AU2068,AW2068,AY2068)</f>
        <v>1516</v>
      </c>
      <c r="BC2068" s="28" t="n">
        <f aca="false">BA2068-BB2068</f>
        <v>0</v>
      </c>
      <c r="BD2068" s="32" t="n">
        <f aca="false">SUM(P2068,R2068,T2068,V2068,X2068,Z2068,AB2068,AD2068,AF2068,AH2068,AJ2068,AL2068,AN2068,AP2068,AR2068,AT2068,AV2068,AX2068)</f>
        <v>202.21</v>
      </c>
      <c r="BE2068" s="33" t="n">
        <f aca="false">AZ2068-BD2068</f>
        <v>0</v>
      </c>
      <c r="BF2068" s="34" t="n">
        <f aca="false">BD2068*M2068</f>
        <v>1415.47</v>
      </c>
      <c r="BG2068" s="35" t="n">
        <f aca="false">BA2068-BF2068</f>
        <v>100.53</v>
      </c>
      <c r="BH2068" s="19" t="str">
        <f aca="false">IF(BG2068=0,"",IF(BG2068&lt;&gt;BA2068,"erreur de calcul",IF(BD2068&lt;&gt;0,"pas de prix",IF(M2068&lt;&gt; 0,"pas de quantité","pas de prix, ni de quantité"))))</f>
        <v>erreur de calcul</v>
      </c>
      <c r="BI2068" s="19"/>
    </row>
    <row r="2069" customFormat="false" ht="15" hidden="false" customHeight="false" outlineLevel="0" collapsed="false">
      <c r="A2069" s="0" t="n">
        <v>24</v>
      </c>
      <c r="B2069" s="8" t="s">
        <v>24</v>
      </c>
      <c r="C2069" s="9" t="s">
        <v>25</v>
      </c>
      <c r="D2069" s="9" t="s">
        <v>26</v>
      </c>
      <c r="E2069" s="10" t="n">
        <v>1789</v>
      </c>
      <c r="F2069" s="9" t="s">
        <v>27</v>
      </c>
      <c r="G2069" s="9" t="s">
        <v>27</v>
      </c>
      <c r="H2069" s="11" t="n">
        <v>26</v>
      </c>
      <c r="I2069" s="11" t="s">
        <v>395</v>
      </c>
      <c r="J2069" s="14" t="n">
        <v>40</v>
      </c>
      <c r="K2069" s="14"/>
      <c r="L2069" s="16"/>
      <c r="M2069" s="27" t="n">
        <f aca="false">J2069+(K2069/20)+(L2069/240)</f>
        <v>40</v>
      </c>
      <c r="N2069" s="17" t="s">
        <v>66</v>
      </c>
      <c r="O2069" s="11"/>
      <c r="P2069" s="28"/>
      <c r="Q2069" s="28" t="n">
        <f aca="false">P2069*$M2069</f>
        <v>0</v>
      </c>
      <c r="R2069" s="28"/>
      <c r="S2069" s="28" t="n">
        <f aca="false">R2069*$M2069</f>
        <v>0</v>
      </c>
      <c r="T2069" s="28" t="n">
        <v>2339</v>
      </c>
      <c r="U2069" s="28" t="n">
        <v>93560</v>
      </c>
      <c r="V2069" s="28" t="n">
        <v>38</v>
      </c>
      <c r="W2069" s="28" t="n">
        <v>1520</v>
      </c>
      <c r="X2069" s="28"/>
      <c r="Y2069" s="28" t="n">
        <f aca="false">X2069*$M2069</f>
        <v>0</v>
      </c>
      <c r="Z2069" s="28"/>
      <c r="AA2069" s="28" t="n">
        <f aca="false">Z2069*$M2069</f>
        <v>0</v>
      </c>
      <c r="AB2069" s="28"/>
      <c r="AC2069" s="28" t="n">
        <f aca="false">AB2069*$M2069</f>
        <v>0</v>
      </c>
      <c r="AD2069" s="28"/>
      <c r="AE2069" s="28" t="n">
        <f aca="false">AD2069*$M2069</f>
        <v>0</v>
      </c>
      <c r="AF2069" s="28"/>
      <c r="AG2069" s="28" t="n">
        <f aca="false">AF2069*$M2069</f>
        <v>0</v>
      </c>
      <c r="AH2069" s="28"/>
      <c r="AI2069" s="28" t="n">
        <f aca="false">AH2069*$M2069</f>
        <v>0</v>
      </c>
      <c r="AJ2069" s="28"/>
      <c r="AK2069" s="28" t="n">
        <f aca="false">AJ2069*$M2069</f>
        <v>0</v>
      </c>
      <c r="AL2069" s="28"/>
      <c r="AM2069" s="28" t="n">
        <f aca="false">AL2069*$M2069</f>
        <v>0</v>
      </c>
      <c r="AN2069" s="28"/>
      <c r="AO2069" s="28" t="n">
        <f aca="false">AN2069*$M2069</f>
        <v>0</v>
      </c>
      <c r="AP2069" s="28"/>
      <c r="AQ2069" s="28" t="n">
        <f aca="false">AP2069*$M2069</f>
        <v>0</v>
      </c>
      <c r="AR2069" s="28"/>
      <c r="AS2069" s="28" t="n">
        <f aca="false">AR2069*$M2069</f>
        <v>0</v>
      </c>
      <c r="AT2069" s="28"/>
      <c r="AU2069" s="28" t="n">
        <f aca="false">AT2069*$M2069</f>
        <v>0</v>
      </c>
      <c r="AV2069" s="28"/>
      <c r="AW2069" s="28" t="n">
        <f aca="false">AV2069*$M2069</f>
        <v>0</v>
      </c>
      <c r="AX2069" s="28"/>
      <c r="AY2069" s="28" t="n">
        <f aca="false">AX2069*$M2069</f>
        <v>0</v>
      </c>
      <c r="AZ2069" s="30" t="n">
        <v>2377</v>
      </c>
      <c r="BA2069" s="11" t="n">
        <v>95080</v>
      </c>
      <c r="BB2069" s="31" t="n">
        <f aca="false">SUM(Q2069,S2069,U2069,W2069,Y2069,AA2069,AC2069,AE2069,AG2069,AI2069,AK2069,AM2069,AO2069,AQ2069,AS2069,AU2069,AW2069,AY2069)</f>
        <v>95080</v>
      </c>
      <c r="BC2069" s="28" t="n">
        <f aca="false">BA2069-BB2069</f>
        <v>0</v>
      </c>
      <c r="BD2069" s="32" t="n">
        <f aca="false">SUM(P2069,R2069,T2069,V2069,X2069,Z2069,AB2069,AD2069,AF2069,AH2069,AJ2069,AL2069,AN2069,AP2069,AR2069,AT2069,AV2069,AX2069)</f>
        <v>2377</v>
      </c>
      <c r="BE2069" s="33" t="n">
        <f aca="false">AZ2069-BD2069</f>
        <v>0</v>
      </c>
      <c r="BF2069" s="34" t="n">
        <f aca="false">BD2069*M2069</f>
        <v>95080</v>
      </c>
      <c r="BG2069" s="35" t="n">
        <f aca="false">BA2069-BF2069</f>
        <v>0</v>
      </c>
      <c r="BH2069" s="19" t="str">
        <f aca="false">IF(BG2069=0,"",IF(BG2069&lt;&gt;BA2069,"erreur de calcul",IF(BD2069&lt;&gt;0,"pas de prix",IF(M2069&lt;&gt; 0,"pas de quantité","pas de prix, ni de quantité"))))</f>
        <v/>
      </c>
      <c r="BI2069" s="19"/>
    </row>
    <row r="2070" customFormat="false" ht="15" hidden="false" customHeight="false" outlineLevel="0" collapsed="false">
      <c r="A2070" s="0" t="n">
        <v>25</v>
      </c>
      <c r="B2070" s="8" t="s">
        <v>24</v>
      </c>
      <c r="C2070" s="9" t="s">
        <v>25</v>
      </c>
      <c r="D2070" s="9" t="s">
        <v>26</v>
      </c>
      <c r="E2070" s="10" t="n">
        <v>1789</v>
      </c>
      <c r="F2070" s="9" t="s">
        <v>27</v>
      </c>
      <c r="G2070" s="9" t="s">
        <v>27</v>
      </c>
      <c r="H2070" s="11" t="n">
        <v>26</v>
      </c>
      <c r="I2070" s="11" t="s">
        <v>396</v>
      </c>
      <c r="J2070" s="14" t="n">
        <v>2</v>
      </c>
      <c r="K2070" s="14" t="n">
        <v>10</v>
      </c>
      <c r="L2070" s="16"/>
      <c r="M2070" s="27" t="n">
        <f aca="false">J2070+(K2070/20)+(L2070/240)</f>
        <v>2.5</v>
      </c>
      <c r="N2070" s="17" t="s">
        <v>66</v>
      </c>
      <c r="O2070" s="11"/>
      <c r="P2070" s="28"/>
      <c r="Q2070" s="28" t="n">
        <f aca="false">P2070*$M2070</f>
        <v>0</v>
      </c>
      <c r="R2070" s="28"/>
      <c r="S2070" s="28" t="n">
        <f aca="false">R2070*$M2070</f>
        <v>0</v>
      </c>
      <c r="T2070" s="28"/>
      <c r="U2070" s="28" t="n">
        <f aca="false">T2070*$M2070</f>
        <v>0</v>
      </c>
      <c r="V2070" s="28"/>
      <c r="W2070" s="28" t="n">
        <f aca="false">V2070*$M2070</f>
        <v>0</v>
      </c>
      <c r="X2070" s="28"/>
      <c r="Y2070" s="28" t="n">
        <f aca="false">X2070*$M2070</f>
        <v>0</v>
      </c>
      <c r="Z2070" s="28"/>
      <c r="AA2070" s="28" t="n">
        <f aca="false">Z2070*$M2070</f>
        <v>0</v>
      </c>
      <c r="AB2070" s="28"/>
      <c r="AC2070" s="28" t="n">
        <f aca="false">AB2070*$M2070</f>
        <v>0</v>
      </c>
      <c r="AD2070" s="28"/>
      <c r="AE2070" s="28" t="n">
        <f aca="false">AD2070*$M2070</f>
        <v>0</v>
      </c>
      <c r="AF2070" s="28"/>
      <c r="AG2070" s="28" t="n">
        <f aca="false">AF2070*$M2070</f>
        <v>0</v>
      </c>
      <c r="AH2070" s="28"/>
      <c r="AI2070" s="28" t="n">
        <f aca="false">AH2070*$M2070</f>
        <v>0</v>
      </c>
      <c r="AJ2070" s="28" t="n">
        <v>7127</v>
      </c>
      <c r="AK2070" s="28" t="n">
        <v>17817</v>
      </c>
      <c r="AL2070" s="28"/>
      <c r="AM2070" s="28" t="n">
        <f aca="false">AL2070*$M2070</f>
        <v>0</v>
      </c>
      <c r="AN2070" s="28"/>
      <c r="AO2070" s="28" t="n">
        <f aca="false">AN2070*$M2070</f>
        <v>0</v>
      </c>
      <c r="AP2070" s="28"/>
      <c r="AQ2070" s="28" t="n">
        <f aca="false">AP2070*$M2070</f>
        <v>0</v>
      </c>
      <c r="AR2070" s="28"/>
      <c r="AS2070" s="28" t="n">
        <f aca="false">AR2070*$M2070</f>
        <v>0</v>
      </c>
      <c r="AT2070" s="28"/>
      <c r="AU2070" s="28" t="n">
        <f aca="false">AT2070*$M2070</f>
        <v>0</v>
      </c>
      <c r="AV2070" s="28"/>
      <c r="AW2070" s="28" t="n">
        <f aca="false">AV2070*$M2070</f>
        <v>0</v>
      </c>
      <c r="AX2070" s="28"/>
      <c r="AY2070" s="28" t="n">
        <f aca="false">AX2070*$M2070</f>
        <v>0</v>
      </c>
      <c r="AZ2070" s="30" t="n">
        <v>7127</v>
      </c>
      <c r="BA2070" s="11" t="n">
        <v>17817</v>
      </c>
      <c r="BB2070" s="31" t="n">
        <f aca="false">SUM(Q2070,S2070,U2070,W2070,Y2070,AA2070,AC2070,AE2070,AG2070,AI2070,AK2070,AM2070,AO2070,AQ2070,AS2070,AU2070,AW2070,AY2070)</f>
        <v>17817</v>
      </c>
      <c r="BC2070" s="28" t="n">
        <f aca="false">BA2070-BB2070</f>
        <v>0</v>
      </c>
      <c r="BD2070" s="32" t="n">
        <f aca="false">SUM(P2070,R2070,T2070,V2070,X2070,Z2070,AB2070,AD2070,AF2070,AH2070,AJ2070,AL2070,AN2070,AP2070,AR2070,AT2070,AV2070,AX2070)</f>
        <v>7127</v>
      </c>
      <c r="BE2070" s="33" t="n">
        <f aca="false">AZ2070-BD2070</f>
        <v>0</v>
      </c>
      <c r="BF2070" s="34" t="n">
        <f aca="false">BD2070*M2070</f>
        <v>17817.5</v>
      </c>
      <c r="BG2070" s="35" t="n">
        <f aca="false">BA2070-BF2070</f>
        <v>-0.5</v>
      </c>
      <c r="BH2070" s="19" t="str">
        <f aca="false">IF(BG2070=0,"",IF(BG2070&lt;&gt;BA2070,"erreur de calcul",IF(BD2070&lt;&gt;0,"pas de prix",IF(M2070&lt;&gt; 0,"pas de quantité","pas de prix, ni de quantité"))))</f>
        <v>erreur de calcul</v>
      </c>
      <c r="BI2070" s="19"/>
    </row>
    <row r="2071" customFormat="false" ht="15" hidden="false" customHeight="false" outlineLevel="0" collapsed="false">
      <c r="A2071" s="0" t="n">
        <v>26</v>
      </c>
      <c r="B2071" s="8" t="s">
        <v>24</v>
      </c>
      <c r="C2071" s="9" t="s">
        <v>25</v>
      </c>
      <c r="D2071" s="9" t="s">
        <v>26</v>
      </c>
      <c r="E2071" s="10" t="n">
        <v>1789</v>
      </c>
      <c r="F2071" s="9" t="s">
        <v>27</v>
      </c>
      <c r="G2071" s="9" t="s">
        <v>27</v>
      </c>
      <c r="H2071" s="11" t="n">
        <v>26</v>
      </c>
      <c r="I2071" s="11" t="s">
        <v>397</v>
      </c>
      <c r="J2071" s="14" t="n">
        <v>6</v>
      </c>
      <c r="K2071" s="14" t="n">
        <v>10</v>
      </c>
      <c r="L2071" s="16"/>
      <c r="M2071" s="27" t="n">
        <f aca="false">J2071+(K2071/20)+(L2071/240)</f>
        <v>6.5</v>
      </c>
      <c r="N2071" s="17" t="s">
        <v>64</v>
      </c>
      <c r="O2071" s="11"/>
      <c r="P2071" s="28"/>
      <c r="Q2071" s="28" t="n">
        <f aca="false">P2071*$M2071</f>
        <v>0</v>
      </c>
      <c r="R2071" s="28"/>
      <c r="S2071" s="28" t="n">
        <f aca="false">R2071*$M2071</f>
        <v>0</v>
      </c>
      <c r="T2071" s="28"/>
      <c r="U2071" s="28" t="n">
        <f aca="false">T2071*$M2071</f>
        <v>0</v>
      </c>
      <c r="V2071" s="28"/>
      <c r="W2071" s="28" t="n">
        <f aca="false">V2071*$M2071</f>
        <v>0</v>
      </c>
      <c r="X2071" s="28" t="n">
        <f aca="false">22000/100</f>
        <v>220</v>
      </c>
      <c r="Y2071" s="28" t="n">
        <v>1430</v>
      </c>
      <c r="Z2071" s="28"/>
      <c r="AA2071" s="28" t="n">
        <f aca="false">Z2071*$M2071</f>
        <v>0</v>
      </c>
      <c r="AB2071" s="28" t="n">
        <f aca="false">3575715/100</f>
        <v>35757.15</v>
      </c>
      <c r="AC2071" s="36" t="n">
        <v>214543</v>
      </c>
      <c r="AD2071" s="28"/>
      <c r="AE2071" s="28" t="n">
        <f aca="false">AD2071*$M2071</f>
        <v>0</v>
      </c>
      <c r="AF2071" s="28"/>
      <c r="AG2071" s="28" t="n">
        <f aca="false">AF2071*$M2071</f>
        <v>0</v>
      </c>
      <c r="AH2071" s="28"/>
      <c r="AI2071" s="28" t="n">
        <f aca="false">AH2071*$M2071</f>
        <v>0</v>
      </c>
      <c r="AJ2071" s="28"/>
      <c r="AK2071" s="28" t="n">
        <f aca="false">AJ2071*$M2071</f>
        <v>0</v>
      </c>
      <c r="AL2071" s="28"/>
      <c r="AM2071" s="28" t="n">
        <f aca="false">AL2071*$M2071</f>
        <v>0</v>
      </c>
      <c r="AN2071" s="28"/>
      <c r="AO2071" s="28" t="n">
        <f aca="false">AN2071*$M2071</f>
        <v>0</v>
      </c>
      <c r="AP2071" s="28"/>
      <c r="AQ2071" s="28" t="n">
        <f aca="false">AP2071*$M2071</f>
        <v>0</v>
      </c>
      <c r="AR2071" s="28"/>
      <c r="AS2071" s="28" t="n">
        <f aca="false">AR2071*$M2071</f>
        <v>0</v>
      </c>
      <c r="AT2071" s="28"/>
      <c r="AU2071" s="28" t="n">
        <f aca="false">AT2071*$M2071</f>
        <v>0</v>
      </c>
      <c r="AV2071" s="28"/>
      <c r="AW2071" s="28" t="n">
        <f aca="false">AV2071*$M2071</f>
        <v>0</v>
      </c>
      <c r="AX2071" s="28"/>
      <c r="AY2071" s="28" t="n">
        <f aca="false">AX2071*$M2071</f>
        <v>0</v>
      </c>
      <c r="AZ2071" s="30" t="n">
        <f aca="false">3597715/100</f>
        <v>35977.15</v>
      </c>
      <c r="BA2071" s="11" t="n">
        <v>215973</v>
      </c>
      <c r="BB2071" s="31" t="n">
        <f aca="false">SUM(Q2071,S2071,U2071,W2071,Y2071,AA2071,AC2071,AE2071,AG2071,AI2071,AK2071,AM2071,AO2071,AQ2071,AS2071,AU2071,AW2071,AY2071)</f>
        <v>215973</v>
      </c>
      <c r="BC2071" s="28" t="n">
        <f aca="false">BA2071-BB2071</f>
        <v>0</v>
      </c>
      <c r="BD2071" s="32" t="n">
        <f aca="false">SUM(P2071,R2071,T2071,V2071,X2071,Z2071,AB2071,AD2071,AF2071,AH2071,AJ2071,AL2071,AN2071,AP2071,AR2071,AT2071,AV2071,AX2071)</f>
        <v>35977.15</v>
      </c>
      <c r="BE2071" s="33" t="n">
        <f aca="false">AZ2071-BD2071</f>
        <v>0</v>
      </c>
      <c r="BF2071" s="34" t="n">
        <f aca="false">BD2071*M2071</f>
        <v>233851.475</v>
      </c>
      <c r="BG2071" s="35" t="n">
        <f aca="false">BA2071-BF2071</f>
        <v>-17878.475</v>
      </c>
      <c r="BH2071" s="19" t="str">
        <f aca="false">IF(BG2071=0,"",IF(BG2071&lt;&gt;BA2071,"erreur de calcul",IF(BD2071&lt;&gt;0,"pas de prix",IF(M2071&lt;&gt; 0,"pas de quantité","pas de prix, ni de quantité"))))</f>
        <v>erreur de calcul</v>
      </c>
      <c r="BI2071" s="19"/>
    </row>
    <row r="2072" customFormat="false" ht="15" hidden="false" customHeight="false" outlineLevel="0" collapsed="false">
      <c r="A2072" s="0" t="n">
        <v>27</v>
      </c>
      <c r="B2072" s="8" t="s">
        <v>24</v>
      </c>
      <c r="C2072" s="9" t="s">
        <v>25</v>
      </c>
      <c r="D2072" s="9" t="s">
        <v>26</v>
      </c>
      <c r="E2072" s="10" t="n">
        <v>1789</v>
      </c>
      <c r="F2072" s="9" t="s">
        <v>27</v>
      </c>
      <c r="G2072" s="9" t="s">
        <v>27</v>
      </c>
      <c r="H2072" s="11" t="n">
        <v>26</v>
      </c>
      <c r="I2072" s="11" t="s">
        <v>398</v>
      </c>
      <c r="J2072" s="14" t="n">
        <v>11</v>
      </c>
      <c r="K2072" s="14"/>
      <c r="L2072" s="16"/>
      <c r="M2072" s="27" t="n">
        <f aca="false">J2072+(K2072/20)+(L2072/240)</f>
        <v>11</v>
      </c>
      <c r="N2072" s="17" t="s">
        <v>64</v>
      </c>
      <c r="O2072" s="11"/>
      <c r="P2072" s="28" t="n">
        <f aca="false">166667/100</f>
        <v>1666.67</v>
      </c>
      <c r="Q2072" s="28" t="n">
        <v>18333</v>
      </c>
      <c r="R2072" s="28"/>
      <c r="S2072" s="28" t="n">
        <f aca="false">R2072*$M2072</f>
        <v>0</v>
      </c>
      <c r="T2072" s="28"/>
      <c r="U2072" s="28" t="n">
        <f aca="false">T2072*$M2072</f>
        <v>0</v>
      </c>
      <c r="V2072" s="28"/>
      <c r="W2072" s="28" t="n">
        <f aca="false">V2072*$M2072</f>
        <v>0</v>
      </c>
      <c r="X2072" s="28"/>
      <c r="Y2072" s="28" t="n">
        <f aca="false">X2072*$M2072</f>
        <v>0</v>
      </c>
      <c r="Z2072" s="28"/>
      <c r="AA2072" s="28" t="n">
        <f aca="false">Z2072*$M2072</f>
        <v>0</v>
      </c>
      <c r="AB2072" s="28" t="n">
        <f aca="false">3312/100</f>
        <v>33.12</v>
      </c>
      <c r="AC2072" s="28" t="n">
        <v>364</v>
      </c>
      <c r="AD2072" s="28"/>
      <c r="AE2072" s="28" t="n">
        <f aca="false">AD2072*$M2072</f>
        <v>0</v>
      </c>
      <c r="AF2072" s="28"/>
      <c r="AG2072" s="28" t="n">
        <f aca="false">AF2072*$M2072</f>
        <v>0</v>
      </c>
      <c r="AH2072" s="28"/>
      <c r="AI2072" s="28" t="n">
        <f aca="false">AH2072*$M2072</f>
        <v>0</v>
      </c>
      <c r="AJ2072" s="28"/>
      <c r="AK2072" s="28" t="n">
        <f aca="false">AJ2072*$M2072</f>
        <v>0</v>
      </c>
      <c r="AL2072" s="28"/>
      <c r="AM2072" s="28" t="n">
        <f aca="false">AL2072*$M2072</f>
        <v>0</v>
      </c>
      <c r="AN2072" s="28"/>
      <c r="AO2072" s="28" t="n">
        <f aca="false">AN2072*$M2072</f>
        <v>0</v>
      </c>
      <c r="AP2072" s="28"/>
      <c r="AQ2072" s="28" t="n">
        <f aca="false">AP2072*$M2072</f>
        <v>0</v>
      </c>
      <c r="AR2072" s="28"/>
      <c r="AS2072" s="28" t="n">
        <f aca="false">AR2072*$M2072</f>
        <v>0</v>
      </c>
      <c r="AT2072" s="28"/>
      <c r="AU2072" s="28" t="n">
        <f aca="false">AT2072*$M2072</f>
        <v>0</v>
      </c>
      <c r="AV2072" s="28"/>
      <c r="AW2072" s="28" t="n">
        <f aca="false">AV2072*$M2072</f>
        <v>0</v>
      </c>
      <c r="AX2072" s="28"/>
      <c r="AY2072" s="28" t="n">
        <f aca="false">AX2072*$M2072</f>
        <v>0</v>
      </c>
      <c r="AZ2072" s="30" t="n">
        <f aca="false">169979/100</f>
        <v>1699.79</v>
      </c>
      <c r="BA2072" s="11" t="n">
        <v>18697</v>
      </c>
      <c r="BB2072" s="31" t="n">
        <f aca="false">SUM(Q2072,S2072,U2072,W2072,Y2072,AA2072,AC2072,AE2072,AG2072,AI2072,AK2072,AM2072,AO2072,AQ2072,AS2072,AU2072,AW2072,AY2072)</f>
        <v>18697</v>
      </c>
      <c r="BC2072" s="28" t="n">
        <f aca="false">BA2072-BB2072</f>
        <v>0</v>
      </c>
      <c r="BD2072" s="32" t="n">
        <f aca="false">SUM(P2072,R2072,T2072,V2072,X2072,Z2072,AB2072,AD2072,AF2072,AH2072,AJ2072,AL2072,AN2072,AP2072,AR2072,AT2072,AV2072,AX2072)</f>
        <v>1699.79</v>
      </c>
      <c r="BE2072" s="33" t="n">
        <f aca="false">AZ2072-BD2072</f>
        <v>0</v>
      </c>
      <c r="BF2072" s="34" t="n">
        <f aca="false">BD2072*M2072</f>
        <v>18697.69</v>
      </c>
      <c r="BG2072" s="35" t="n">
        <f aca="false">BA2072-BF2072</f>
        <v>-0.68999999999869</v>
      </c>
      <c r="BH2072" s="19" t="str">
        <f aca="false">IF(BG2072=0,"",IF(BG2072&lt;&gt;BA2072,"erreur de calcul",IF(BD2072&lt;&gt;0,"pas de prix",IF(M2072&lt;&gt; 0,"pas de quantité","pas de prix, ni de quantité"))))</f>
        <v>erreur de calcul</v>
      </c>
      <c r="BI2072" s="19"/>
    </row>
    <row r="2073" customFormat="false" ht="15" hidden="false" customHeight="false" outlineLevel="0" collapsed="false">
      <c r="A2073" s="0" t="n">
        <v>28</v>
      </c>
      <c r="B2073" s="8" t="s">
        <v>24</v>
      </c>
      <c r="C2073" s="9" t="s">
        <v>25</v>
      </c>
      <c r="D2073" s="9" t="s">
        <v>26</v>
      </c>
      <c r="E2073" s="10" t="n">
        <v>1789</v>
      </c>
      <c r="F2073" s="9" t="s">
        <v>27</v>
      </c>
      <c r="G2073" s="9" t="s">
        <v>27</v>
      </c>
      <c r="H2073" s="11" t="n">
        <v>26</v>
      </c>
      <c r="I2073" s="11" t="s">
        <v>399</v>
      </c>
      <c r="J2073" s="14" t="n">
        <v>18</v>
      </c>
      <c r="K2073" s="14"/>
      <c r="L2073" s="16"/>
      <c r="M2073" s="27" t="n">
        <f aca="false">J2073+(K2073/20)+(L2073/240)</f>
        <v>18</v>
      </c>
      <c r="N2073" s="17" t="s">
        <v>66</v>
      </c>
      <c r="O2073" s="11"/>
      <c r="P2073" s="28"/>
      <c r="Q2073" s="28" t="n">
        <f aca="false">P2073*$M2073</f>
        <v>0</v>
      </c>
      <c r="R2073" s="28"/>
      <c r="S2073" s="28" t="n">
        <f aca="false">R2073*$M2073</f>
        <v>0</v>
      </c>
      <c r="T2073" s="28"/>
      <c r="U2073" s="28" t="n">
        <f aca="false">T2073*$M2073</f>
        <v>0</v>
      </c>
      <c r="V2073" s="28"/>
      <c r="W2073" s="28" t="n">
        <f aca="false">V2073*$M2073</f>
        <v>0</v>
      </c>
      <c r="X2073" s="28"/>
      <c r="Y2073" s="28" t="n">
        <f aca="false">X2073*$M2073</f>
        <v>0</v>
      </c>
      <c r="Z2073" s="28"/>
      <c r="AA2073" s="28" t="n">
        <f aca="false">Z2073*$M2073</f>
        <v>0</v>
      </c>
      <c r="AB2073" s="28"/>
      <c r="AC2073" s="28" t="n">
        <f aca="false">AB2073*$M2073</f>
        <v>0</v>
      </c>
      <c r="AD2073" s="28"/>
      <c r="AE2073" s="28" t="n">
        <f aca="false">AD2073*$M2073</f>
        <v>0</v>
      </c>
      <c r="AF2073" s="28"/>
      <c r="AG2073" s="28" t="n">
        <f aca="false">AF2073*$M2073</f>
        <v>0</v>
      </c>
      <c r="AH2073" s="28" t="n">
        <v>72036</v>
      </c>
      <c r="AI2073" s="28" t="n">
        <v>1296648</v>
      </c>
      <c r="AJ2073" s="28"/>
      <c r="AK2073" s="28" t="n">
        <f aca="false">AJ2073*$M2073</f>
        <v>0</v>
      </c>
      <c r="AL2073" s="28"/>
      <c r="AM2073" s="28" t="n">
        <f aca="false">AL2073*$M2073</f>
        <v>0</v>
      </c>
      <c r="AN2073" s="28"/>
      <c r="AO2073" s="28" t="n">
        <f aca="false">AN2073*$M2073</f>
        <v>0</v>
      </c>
      <c r="AP2073" s="28"/>
      <c r="AQ2073" s="28" t="n">
        <f aca="false">AP2073*$M2073</f>
        <v>0</v>
      </c>
      <c r="AR2073" s="28"/>
      <c r="AS2073" s="28" t="n">
        <f aca="false">AR2073*$M2073</f>
        <v>0</v>
      </c>
      <c r="AT2073" s="28"/>
      <c r="AU2073" s="28" t="n">
        <f aca="false">AT2073*$M2073</f>
        <v>0</v>
      </c>
      <c r="AV2073" s="28"/>
      <c r="AW2073" s="28" t="n">
        <f aca="false">AV2073*$M2073</f>
        <v>0</v>
      </c>
      <c r="AX2073" s="28"/>
      <c r="AY2073" s="28" t="n">
        <f aca="false">AX2073*$M2073</f>
        <v>0</v>
      </c>
      <c r="AZ2073" s="30" t="n">
        <v>72036</v>
      </c>
      <c r="BA2073" s="11" t="n">
        <v>1296648</v>
      </c>
      <c r="BB2073" s="31" t="n">
        <f aca="false">SUM(Q2073,S2073,U2073,W2073,Y2073,AA2073,AC2073,AE2073,AG2073,AI2073,AK2073,AM2073,AO2073,AQ2073,AS2073,AU2073,AW2073,AY2073)</f>
        <v>1296648</v>
      </c>
      <c r="BC2073" s="28" t="n">
        <f aca="false">BA2073-BB2073</f>
        <v>0</v>
      </c>
      <c r="BD2073" s="32" t="n">
        <f aca="false">SUM(P2073,R2073,T2073,V2073,X2073,Z2073,AB2073,AD2073,AF2073,AH2073,AJ2073,AL2073,AN2073,AP2073,AR2073,AT2073,AV2073,AX2073)</f>
        <v>72036</v>
      </c>
      <c r="BE2073" s="33" t="n">
        <f aca="false">AZ2073-BD2073</f>
        <v>0</v>
      </c>
      <c r="BF2073" s="34" t="n">
        <f aca="false">BD2073*M2073</f>
        <v>1296648</v>
      </c>
      <c r="BG2073" s="35" t="n">
        <f aca="false">BA2073-BF2073</f>
        <v>0</v>
      </c>
      <c r="BH2073" s="19" t="str">
        <f aca="false">IF(BG2073=0,"",IF(BG2073&lt;&gt;BA2073,"erreur de calcul",IF(BD2073&lt;&gt;0,"pas de prix",IF(M2073&lt;&gt; 0,"pas de quantité","pas de prix, ni de quantité"))))</f>
        <v/>
      </c>
      <c r="BI2073" s="19"/>
    </row>
    <row r="2074" customFormat="false" ht="15" hidden="false" customHeight="false" outlineLevel="0" collapsed="false">
      <c r="A2074" s="0" t="n">
        <v>29</v>
      </c>
      <c r="B2074" s="8" t="s">
        <v>24</v>
      </c>
      <c r="C2074" s="9" t="s">
        <v>25</v>
      </c>
      <c r="D2074" s="9" t="s">
        <v>26</v>
      </c>
      <c r="E2074" s="10" t="n">
        <v>1789</v>
      </c>
      <c r="F2074" s="9" t="s">
        <v>27</v>
      </c>
      <c r="G2074" s="9" t="s">
        <v>27</v>
      </c>
      <c r="H2074" s="11" t="n">
        <v>26</v>
      </c>
      <c r="I2074" s="11" t="s">
        <v>400</v>
      </c>
      <c r="J2074" s="14" t="n">
        <v>19</v>
      </c>
      <c r="K2074" s="14"/>
      <c r="L2074" s="16"/>
      <c r="M2074" s="27" t="n">
        <f aca="false">J2074+(K2074/20)+(L2074/240)</f>
        <v>19</v>
      </c>
      <c r="N2074" s="17" t="s">
        <v>66</v>
      </c>
      <c r="O2074" s="11"/>
      <c r="P2074" s="28"/>
      <c r="Q2074" s="28" t="n">
        <f aca="false">P2074*$M2074</f>
        <v>0</v>
      </c>
      <c r="R2074" s="28"/>
      <c r="S2074" s="28" t="n">
        <f aca="false">R2074*$M2074</f>
        <v>0</v>
      </c>
      <c r="T2074" s="28"/>
      <c r="U2074" s="28" t="n">
        <f aca="false">T2074*$M2074</f>
        <v>0</v>
      </c>
      <c r="V2074" s="28"/>
      <c r="W2074" s="28" t="n">
        <f aca="false">V2074*$M2074</f>
        <v>0</v>
      </c>
      <c r="X2074" s="28"/>
      <c r="Y2074" s="28" t="n">
        <f aca="false">X2074*$M2074</f>
        <v>0</v>
      </c>
      <c r="Z2074" s="28"/>
      <c r="AA2074" s="28" t="n">
        <f aca="false">Z2074*$M2074</f>
        <v>0</v>
      </c>
      <c r="AB2074" s="28" t="n">
        <v>1176</v>
      </c>
      <c r="AC2074" s="28" t="n">
        <v>22344</v>
      </c>
      <c r="AD2074" s="28"/>
      <c r="AE2074" s="28" t="n">
        <f aca="false">AD2074*$M2074</f>
        <v>0</v>
      </c>
      <c r="AF2074" s="28"/>
      <c r="AG2074" s="28" t="n">
        <f aca="false">AF2074*$M2074</f>
        <v>0</v>
      </c>
      <c r="AH2074" s="28"/>
      <c r="AI2074" s="28" t="n">
        <f aca="false">AH2074*$M2074</f>
        <v>0</v>
      </c>
      <c r="AJ2074" s="28"/>
      <c r="AK2074" s="28" t="n">
        <f aca="false">AJ2074*$M2074</f>
        <v>0</v>
      </c>
      <c r="AL2074" s="28"/>
      <c r="AM2074" s="28" t="n">
        <f aca="false">AL2074*$M2074</f>
        <v>0</v>
      </c>
      <c r="AN2074" s="28"/>
      <c r="AO2074" s="28" t="n">
        <f aca="false">AN2074*$M2074</f>
        <v>0</v>
      </c>
      <c r="AP2074" s="28"/>
      <c r="AQ2074" s="28" t="n">
        <f aca="false">AP2074*$M2074</f>
        <v>0</v>
      </c>
      <c r="AR2074" s="28"/>
      <c r="AS2074" s="28" t="n">
        <f aca="false">AR2074*$M2074</f>
        <v>0</v>
      </c>
      <c r="AT2074" s="28"/>
      <c r="AU2074" s="28" t="n">
        <f aca="false">AT2074*$M2074</f>
        <v>0</v>
      </c>
      <c r="AV2074" s="28"/>
      <c r="AW2074" s="28" t="n">
        <f aca="false">AV2074*$M2074</f>
        <v>0</v>
      </c>
      <c r="AX2074" s="28"/>
      <c r="AY2074" s="28" t="n">
        <f aca="false">AX2074*$M2074</f>
        <v>0</v>
      </c>
      <c r="AZ2074" s="30" t="n">
        <v>1176</v>
      </c>
      <c r="BA2074" s="11" t="n">
        <v>22344</v>
      </c>
      <c r="BB2074" s="31" t="n">
        <f aca="false">SUM(Q2074,S2074,U2074,W2074,Y2074,AA2074,AC2074,AE2074,AG2074,AI2074,AK2074,AM2074,AO2074,AQ2074,AS2074,AU2074,AW2074,AY2074)</f>
        <v>22344</v>
      </c>
      <c r="BC2074" s="28" t="n">
        <f aca="false">BA2074-BB2074</f>
        <v>0</v>
      </c>
      <c r="BD2074" s="32" t="n">
        <f aca="false">SUM(P2074,R2074,T2074,V2074,X2074,Z2074,AB2074,AD2074,AF2074,AH2074,AJ2074,AL2074,AN2074,AP2074,AR2074,AT2074,AV2074,AX2074)</f>
        <v>1176</v>
      </c>
      <c r="BE2074" s="33" t="n">
        <f aca="false">AZ2074-BD2074</f>
        <v>0</v>
      </c>
      <c r="BF2074" s="34" t="n">
        <f aca="false">BD2074*M2074</f>
        <v>22344</v>
      </c>
      <c r="BG2074" s="35" t="n">
        <f aca="false">BA2074-BF2074</f>
        <v>0</v>
      </c>
      <c r="BH2074" s="19" t="str">
        <f aca="false">IF(BG2074=0,"",IF(BG2074&lt;&gt;BA2074,"erreur de calcul",IF(BD2074&lt;&gt;0,"pas de prix",IF(M2074&lt;&gt; 0,"pas de quantité","pas de prix, ni de quantité"))))</f>
        <v/>
      </c>
      <c r="BI2074" s="19"/>
    </row>
    <row r="2075" customFormat="false" ht="15" hidden="false" customHeight="false" outlineLevel="0" collapsed="false">
      <c r="A2075" s="0" t="n">
        <v>30</v>
      </c>
      <c r="B2075" s="8" t="s">
        <v>24</v>
      </c>
      <c r="C2075" s="9" t="s">
        <v>25</v>
      </c>
      <c r="D2075" s="9" t="s">
        <v>26</v>
      </c>
      <c r="E2075" s="10" t="n">
        <v>1789</v>
      </c>
      <c r="F2075" s="9" t="s">
        <v>27</v>
      </c>
      <c r="G2075" s="9" t="s">
        <v>27</v>
      </c>
      <c r="H2075" s="11" t="n">
        <v>26</v>
      </c>
      <c r="I2075" s="11" t="s">
        <v>401</v>
      </c>
      <c r="J2075" s="14" t="n">
        <v>20</v>
      </c>
      <c r="K2075" s="14"/>
      <c r="L2075" s="16"/>
      <c r="M2075" s="27" t="n">
        <f aca="false">J2075+(K2075/20)+(L2075/240)</f>
        <v>20</v>
      </c>
      <c r="N2075" s="17" t="s">
        <v>66</v>
      </c>
      <c r="O2075" s="11"/>
      <c r="P2075" s="28"/>
      <c r="Q2075" s="28" t="n">
        <f aca="false">P2075*$M2075</f>
        <v>0</v>
      </c>
      <c r="R2075" s="28"/>
      <c r="S2075" s="28" t="n">
        <f aca="false">R2075*$M2075</f>
        <v>0</v>
      </c>
      <c r="T2075" s="28" t="n">
        <v>7478</v>
      </c>
      <c r="U2075" s="28" t="n">
        <v>149560</v>
      </c>
      <c r="V2075" s="28" t="n">
        <v>3386</v>
      </c>
      <c r="W2075" s="36" t="n">
        <v>66720</v>
      </c>
      <c r="X2075" s="28" t="n">
        <v>2233</v>
      </c>
      <c r="Y2075" s="28" t="n">
        <v>44660</v>
      </c>
      <c r="Z2075" s="28" t="n">
        <v>867</v>
      </c>
      <c r="AA2075" s="28" t="n">
        <v>17340</v>
      </c>
      <c r="AB2075" s="28" t="n">
        <v>32380</v>
      </c>
      <c r="AC2075" s="28" t="n">
        <v>647600</v>
      </c>
      <c r="AD2075" s="28"/>
      <c r="AE2075" s="28" t="n">
        <f aca="false">AD2075*$M2075</f>
        <v>0</v>
      </c>
      <c r="AF2075" s="28"/>
      <c r="AG2075" s="28" t="n">
        <f aca="false">AF2075*$M2075</f>
        <v>0</v>
      </c>
      <c r="AH2075" s="28" t="n">
        <v>12038</v>
      </c>
      <c r="AI2075" s="28" t="n">
        <v>240760</v>
      </c>
      <c r="AJ2075" s="28"/>
      <c r="AK2075" s="28" t="n">
        <f aca="false">AJ2075*$M2075</f>
        <v>0</v>
      </c>
      <c r="AL2075" s="28"/>
      <c r="AM2075" s="28" t="n">
        <f aca="false">AL2075*$M2075</f>
        <v>0</v>
      </c>
      <c r="AN2075" s="28"/>
      <c r="AO2075" s="28" t="n">
        <f aca="false">AN2075*$M2075</f>
        <v>0</v>
      </c>
      <c r="AP2075" s="28"/>
      <c r="AQ2075" s="28" t="n">
        <f aca="false">AP2075*$M2075</f>
        <v>0</v>
      </c>
      <c r="AR2075" s="28"/>
      <c r="AS2075" s="28" t="n">
        <f aca="false">AR2075*$M2075</f>
        <v>0</v>
      </c>
      <c r="AT2075" s="28"/>
      <c r="AU2075" s="28" t="n">
        <f aca="false">AT2075*$M2075</f>
        <v>0</v>
      </c>
      <c r="AV2075" s="28"/>
      <c r="AW2075" s="28" t="n">
        <f aca="false">AV2075*$M2075</f>
        <v>0</v>
      </c>
      <c r="AX2075" s="28"/>
      <c r="AY2075" s="28" t="n">
        <f aca="false">AX2075*$M2075</f>
        <v>0</v>
      </c>
      <c r="AZ2075" s="30" t="n">
        <v>58382</v>
      </c>
      <c r="BA2075" s="11" t="n">
        <v>1166640</v>
      </c>
      <c r="BB2075" s="31" t="n">
        <f aca="false">SUM(Q2075,S2075,U2075,W2075,Y2075,AA2075,AC2075,AE2075,AG2075,AI2075,AK2075,AM2075,AO2075,AQ2075,AS2075,AU2075,AW2075,AY2075)</f>
        <v>1166640</v>
      </c>
      <c r="BC2075" s="28" t="n">
        <f aca="false">BA2075-BB2075</f>
        <v>0</v>
      </c>
      <c r="BD2075" s="32" t="n">
        <f aca="false">SUM(P2075,R2075,T2075,V2075,X2075,Z2075,AB2075,AD2075,AF2075,AH2075,AJ2075,AL2075,AN2075,AP2075,AR2075,AT2075,AV2075,AX2075)</f>
        <v>58382</v>
      </c>
      <c r="BE2075" s="33" t="n">
        <f aca="false">AZ2075-BD2075</f>
        <v>0</v>
      </c>
      <c r="BF2075" s="34" t="n">
        <f aca="false">BD2075*M2075</f>
        <v>1167640</v>
      </c>
      <c r="BG2075" s="35" t="n">
        <f aca="false">BA2075-BF2075</f>
        <v>-1000</v>
      </c>
      <c r="BH2075" s="19" t="str">
        <f aca="false">IF(BG2075=0,"",IF(BG2075&lt;&gt;BA2075,"erreur de calcul",IF(BD2075&lt;&gt;0,"pas de prix",IF(M2075&lt;&gt; 0,"pas de quantité","pas de prix, ni de quantité"))))</f>
        <v>erreur de calcul</v>
      </c>
      <c r="BI2075" s="19"/>
    </row>
    <row r="2076" customFormat="false" ht="15" hidden="false" customHeight="false" outlineLevel="0" collapsed="false">
      <c r="A2076" s="0" t="n">
        <v>31</v>
      </c>
      <c r="B2076" s="8" t="s">
        <v>24</v>
      </c>
      <c r="C2076" s="9" t="s">
        <v>25</v>
      </c>
      <c r="D2076" s="9" t="s">
        <v>26</v>
      </c>
      <c r="E2076" s="10" t="n">
        <v>1789</v>
      </c>
      <c r="F2076" s="9" t="s">
        <v>27</v>
      </c>
      <c r="G2076" s="9" t="s">
        <v>27</v>
      </c>
      <c r="H2076" s="11" t="n">
        <v>26</v>
      </c>
      <c r="I2076" s="11" t="s">
        <v>402</v>
      </c>
      <c r="J2076" s="14" t="n">
        <v>17</v>
      </c>
      <c r="K2076" s="14"/>
      <c r="L2076" s="16"/>
      <c r="M2076" s="27" t="n">
        <f aca="false">J2076+(K2076/20)+(L2076/240)</f>
        <v>17</v>
      </c>
      <c r="N2076" s="17" t="s">
        <v>66</v>
      </c>
      <c r="O2076" s="11"/>
      <c r="P2076" s="28"/>
      <c r="Q2076" s="28" t="n">
        <f aca="false">P2076*$M2076</f>
        <v>0</v>
      </c>
      <c r="R2076" s="28"/>
      <c r="S2076" s="28" t="n">
        <f aca="false">R2076*$M2076</f>
        <v>0</v>
      </c>
      <c r="T2076" s="28" t="n">
        <v>126481</v>
      </c>
      <c r="U2076" s="28" t="n">
        <v>2150177</v>
      </c>
      <c r="V2076" s="28"/>
      <c r="W2076" s="28" t="n">
        <f aca="false">V2076*$M2076</f>
        <v>0</v>
      </c>
      <c r="X2076" s="28"/>
      <c r="Y2076" s="28" t="n">
        <f aca="false">X2076*$M2076</f>
        <v>0</v>
      </c>
      <c r="Z2076" s="28"/>
      <c r="AA2076" s="28" t="n">
        <f aca="false">Z2076*$M2076</f>
        <v>0</v>
      </c>
      <c r="AB2076" s="28"/>
      <c r="AC2076" s="28" t="n">
        <f aca="false">AB2076*$M2076</f>
        <v>0</v>
      </c>
      <c r="AD2076" s="28"/>
      <c r="AE2076" s="28" t="n">
        <f aca="false">AD2076*$M2076</f>
        <v>0</v>
      </c>
      <c r="AF2076" s="28"/>
      <c r="AG2076" s="28" t="n">
        <f aca="false">AF2076*$M2076</f>
        <v>0</v>
      </c>
      <c r="AH2076" s="28"/>
      <c r="AI2076" s="28" t="n">
        <f aca="false">AH2076*$M2076</f>
        <v>0</v>
      </c>
      <c r="AJ2076" s="28"/>
      <c r="AK2076" s="28" t="n">
        <f aca="false">AJ2076*$M2076</f>
        <v>0</v>
      </c>
      <c r="AL2076" s="28"/>
      <c r="AM2076" s="28" t="n">
        <f aca="false">AL2076*$M2076</f>
        <v>0</v>
      </c>
      <c r="AN2076" s="28"/>
      <c r="AO2076" s="28" t="n">
        <f aca="false">AN2076*$M2076</f>
        <v>0</v>
      </c>
      <c r="AP2076" s="28"/>
      <c r="AQ2076" s="28" t="n">
        <f aca="false">AP2076*$M2076</f>
        <v>0</v>
      </c>
      <c r="AR2076" s="28"/>
      <c r="AS2076" s="28" t="n">
        <f aca="false">AR2076*$M2076</f>
        <v>0</v>
      </c>
      <c r="AT2076" s="28"/>
      <c r="AU2076" s="28" t="n">
        <f aca="false">AT2076*$M2076</f>
        <v>0</v>
      </c>
      <c r="AV2076" s="28"/>
      <c r="AW2076" s="28" t="n">
        <f aca="false">AV2076*$M2076</f>
        <v>0</v>
      </c>
      <c r="AX2076" s="28"/>
      <c r="AY2076" s="28" t="n">
        <f aca="false">AX2076*$M2076</f>
        <v>0</v>
      </c>
      <c r="AZ2076" s="30" t="n">
        <v>126481</v>
      </c>
      <c r="BA2076" s="11" t="n">
        <v>2150177</v>
      </c>
      <c r="BB2076" s="31" t="n">
        <f aca="false">SUM(Q2076,S2076,U2076,W2076,Y2076,AA2076,AC2076,AE2076,AG2076,AI2076,AK2076,AM2076,AO2076,AQ2076,AS2076,AU2076,AW2076,AY2076)</f>
        <v>2150177</v>
      </c>
      <c r="BC2076" s="28" t="n">
        <f aca="false">BA2076-BB2076</f>
        <v>0</v>
      </c>
      <c r="BD2076" s="32" t="n">
        <f aca="false">SUM(P2076,R2076,T2076,V2076,X2076,Z2076,AB2076,AD2076,AF2076,AH2076,AJ2076,AL2076,AN2076,AP2076,AR2076,AT2076,AV2076,AX2076)</f>
        <v>126481</v>
      </c>
      <c r="BE2076" s="33" t="n">
        <f aca="false">AZ2076-BD2076</f>
        <v>0</v>
      </c>
      <c r="BF2076" s="34" t="n">
        <f aca="false">BD2076*M2076</f>
        <v>2150177</v>
      </c>
      <c r="BG2076" s="35" t="n">
        <f aca="false">BA2076-BF2076</f>
        <v>0</v>
      </c>
      <c r="BH2076" s="19" t="str">
        <f aca="false">IF(BG2076=0,"",IF(BG2076&lt;&gt;BA2076,"erreur de calcul",IF(BD2076&lt;&gt;0,"pas de prix",IF(M2076&lt;&gt; 0,"pas de quantité","pas de prix, ni de quantité"))))</f>
        <v/>
      </c>
      <c r="BI2076" s="19"/>
    </row>
    <row r="2077" customFormat="false" ht="15" hidden="false" customHeight="false" outlineLevel="0" collapsed="false">
      <c r="A2077" s="0" t="n">
        <v>32</v>
      </c>
      <c r="B2077" s="8" t="s">
        <v>24</v>
      </c>
      <c r="C2077" s="9" t="s">
        <v>25</v>
      </c>
      <c r="D2077" s="9" t="s">
        <v>26</v>
      </c>
      <c r="E2077" s="10" t="n">
        <v>1789</v>
      </c>
      <c r="F2077" s="9" t="s">
        <v>27</v>
      </c>
      <c r="G2077" s="9" t="s">
        <v>27</v>
      </c>
      <c r="H2077" s="11" t="n">
        <v>26</v>
      </c>
      <c r="I2077" s="11" t="s">
        <v>403</v>
      </c>
      <c r="J2077" s="14" t="n">
        <v>28</v>
      </c>
      <c r="K2077" s="14"/>
      <c r="L2077" s="16"/>
      <c r="M2077" s="27" t="n">
        <f aca="false">J2077+(K2077/20)+(L2077/240)</f>
        <v>28</v>
      </c>
      <c r="N2077" s="17" t="s">
        <v>66</v>
      </c>
      <c r="O2077" s="11"/>
      <c r="P2077" s="28"/>
      <c r="Q2077" s="28" t="n">
        <f aca="false">P2077*$M2077</f>
        <v>0</v>
      </c>
      <c r="R2077" s="28"/>
      <c r="S2077" s="28" t="n">
        <f aca="false">R2077*$M2077</f>
        <v>0</v>
      </c>
      <c r="T2077" s="28"/>
      <c r="U2077" s="28" t="n">
        <f aca="false">T2077*$M2077</f>
        <v>0</v>
      </c>
      <c r="V2077" s="28" t="n">
        <v>1923</v>
      </c>
      <c r="W2077" s="28" t="n">
        <v>53844</v>
      </c>
      <c r="X2077" s="28" t="n">
        <v>7280</v>
      </c>
      <c r="Y2077" s="36" t="n">
        <v>203860</v>
      </c>
      <c r="Z2077" s="28"/>
      <c r="AA2077" s="28" t="n">
        <f aca="false">Z2077*$M2077</f>
        <v>0</v>
      </c>
      <c r="AB2077" s="28" t="n">
        <v>128803</v>
      </c>
      <c r="AC2077" s="28" t="n">
        <v>3606484</v>
      </c>
      <c r="AD2077" s="28"/>
      <c r="AE2077" s="28" t="n">
        <f aca="false">AD2077*$M2077</f>
        <v>0</v>
      </c>
      <c r="AF2077" s="28"/>
      <c r="AG2077" s="28" t="n">
        <f aca="false">AF2077*$M2077</f>
        <v>0</v>
      </c>
      <c r="AH2077" s="28"/>
      <c r="AI2077" s="28" t="n">
        <f aca="false">AH2077*$M2077</f>
        <v>0</v>
      </c>
      <c r="AJ2077" s="28"/>
      <c r="AK2077" s="28" t="n">
        <f aca="false">AJ2077*$M2077</f>
        <v>0</v>
      </c>
      <c r="AL2077" s="28"/>
      <c r="AM2077" s="28" t="n">
        <f aca="false">AL2077*$M2077</f>
        <v>0</v>
      </c>
      <c r="AN2077" s="28"/>
      <c r="AO2077" s="28" t="n">
        <f aca="false">AN2077*$M2077</f>
        <v>0</v>
      </c>
      <c r="AP2077" s="28"/>
      <c r="AQ2077" s="28" t="n">
        <f aca="false">AP2077*$M2077</f>
        <v>0</v>
      </c>
      <c r="AR2077" s="28"/>
      <c r="AS2077" s="28" t="n">
        <f aca="false">AR2077*$M2077</f>
        <v>0</v>
      </c>
      <c r="AT2077" s="28"/>
      <c r="AU2077" s="28" t="n">
        <f aca="false">AT2077*$M2077</f>
        <v>0</v>
      </c>
      <c r="AV2077" s="28"/>
      <c r="AW2077" s="28" t="n">
        <f aca="false">AV2077*$M2077</f>
        <v>0</v>
      </c>
      <c r="AX2077" s="28"/>
      <c r="AY2077" s="28" t="n">
        <f aca="false">AX2077*$M2077</f>
        <v>0</v>
      </c>
      <c r="AZ2077" s="30" t="n">
        <v>138006</v>
      </c>
      <c r="BA2077" s="11" t="n">
        <v>3864188</v>
      </c>
      <c r="BB2077" s="31" t="n">
        <f aca="false">SUM(Q2077,S2077,U2077,W2077,Y2077,AA2077,AC2077,AE2077,AG2077,AI2077,AK2077,AM2077,AO2077,AQ2077,AS2077,AU2077,AW2077,AY2077)</f>
        <v>3864188</v>
      </c>
      <c r="BC2077" s="28" t="n">
        <f aca="false">BA2077-BB2077</f>
        <v>0</v>
      </c>
      <c r="BD2077" s="32" t="n">
        <f aca="false">SUM(P2077,R2077,T2077,V2077,X2077,Z2077,AB2077,AD2077,AF2077,AH2077,AJ2077,AL2077,AN2077,AP2077,AR2077,AT2077,AV2077,AX2077)</f>
        <v>138006</v>
      </c>
      <c r="BE2077" s="33" t="n">
        <f aca="false">AZ2077-BD2077</f>
        <v>0</v>
      </c>
      <c r="BF2077" s="34" t="n">
        <f aca="false">BD2077*M2077</f>
        <v>3864168</v>
      </c>
      <c r="BG2077" s="35" t="n">
        <f aca="false">BA2077-BF2077</f>
        <v>20</v>
      </c>
      <c r="BH2077" s="19" t="str">
        <f aca="false">IF(BG2077=0,"",IF(BG2077&lt;&gt;BA2077,"erreur de calcul",IF(BD2077&lt;&gt;0,"pas de prix",IF(M2077&lt;&gt; 0,"pas de quantité","pas de prix, ni de quantité"))))</f>
        <v>erreur de calcul</v>
      </c>
      <c r="BI2077" s="19"/>
    </row>
    <row r="2078" customFormat="false" ht="15" hidden="false" customHeight="false" outlineLevel="0" collapsed="false">
      <c r="A2078" s="0" t="n">
        <v>33</v>
      </c>
      <c r="B2078" s="8" t="s">
        <v>24</v>
      </c>
      <c r="C2078" s="9" t="s">
        <v>25</v>
      </c>
      <c r="D2078" s="9" t="s">
        <v>26</v>
      </c>
      <c r="E2078" s="10" t="n">
        <v>1789</v>
      </c>
      <c r="F2078" s="9" t="s">
        <v>27</v>
      </c>
      <c r="G2078" s="9" t="s">
        <v>27</v>
      </c>
      <c r="H2078" s="11" t="n">
        <v>26</v>
      </c>
      <c r="I2078" s="11" t="s">
        <v>404</v>
      </c>
      <c r="J2078" s="14"/>
      <c r="K2078" s="14" t="n">
        <v>30</v>
      </c>
      <c r="L2078" s="16"/>
      <c r="M2078" s="27" t="n">
        <f aca="false">J2078+(K2078/20)+(L2078/240)</f>
        <v>1.5</v>
      </c>
      <c r="N2078" s="17" t="s">
        <v>66</v>
      </c>
      <c r="O2078" s="11"/>
      <c r="P2078" s="28"/>
      <c r="Q2078" s="28" t="n">
        <f aca="false">P2078*$M2078</f>
        <v>0</v>
      </c>
      <c r="R2078" s="28"/>
      <c r="S2078" s="28" t="n">
        <f aca="false">R2078*$M2078</f>
        <v>0</v>
      </c>
      <c r="T2078" s="28" t="n">
        <v>11245</v>
      </c>
      <c r="U2078" s="28" t="n">
        <v>16867</v>
      </c>
      <c r="V2078" s="28"/>
      <c r="W2078" s="28" t="n">
        <f aca="false">V2078*$M2078</f>
        <v>0</v>
      </c>
      <c r="X2078" s="28"/>
      <c r="Y2078" s="28" t="n">
        <f aca="false">X2078*$M2078</f>
        <v>0</v>
      </c>
      <c r="Z2078" s="28"/>
      <c r="AA2078" s="28" t="n">
        <f aca="false">Z2078*$M2078</f>
        <v>0</v>
      </c>
      <c r="AB2078" s="28"/>
      <c r="AC2078" s="28" t="n">
        <f aca="false">AB2078*$M2078</f>
        <v>0</v>
      </c>
      <c r="AD2078" s="28"/>
      <c r="AE2078" s="28" t="n">
        <f aca="false">AD2078*$M2078</f>
        <v>0</v>
      </c>
      <c r="AF2078" s="28"/>
      <c r="AG2078" s="28" t="n">
        <f aca="false">AF2078*$M2078</f>
        <v>0</v>
      </c>
      <c r="AH2078" s="28"/>
      <c r="AI2078" s="28" t="n">
        <f aca="false">AH2078*$M2078</f>
        <v>0</v>
      </c>
      <c r="AJ2078" s="28"/>
      <c r="AK2078" s="28" t="n">
        <f aca="false">AJ2078*$M2078</f>
        <v>0</v>
      </c>
      <c r="AL2078" s="28"/>
      <c r="AM2078" s="28" t="n">
        <f aca="false">AL2078*$M2078</f>
        <v>0</v>
      </c>
      <c r="AN2078" s="28"/>
      <c r="AO2078" s="28" t="n">
        <f aca="false">AN2078*$M2078</f>
        <v>0</v>
      </c>
      <c r="AP2078" s="28"/>
      <c r="AQ2078" s="28" t="n">
        <f aca="false">AP2078*$M2078</f>
        <v>0</v>
      </c>
      <c r="AR2078" s="28"/>
      <c r="AS2078" s="28" t="n">
        <f aca="false">AR2078*$M2078</f>
        <v>0</v>
      </c>
      <c r="AT2078" s="28"/>
      <c r="AU2078" s="28" t="n">
        <f aca="false">AT2078*$M2078</f>
        <v>0</v>
      </c>
      <c r="AV2078" s="28"/>
      <c r="AW2078" s="28" t="n">
        <f aca="false">AV2078*$M2078</f>
        <v>0</v>
      </c>
      <c r="AX2078" s="28"/>
      <c r="AY2078" s="28" t="n">
        <f aca="false">AX2078*$M2078</f>
        <v>0</v>
      </c>
      <c r="AZ2078" s="30" t="n">
        <v>11245</v>
      </c>
      <c r="BA2078" s="11" t="n">
        <v>16867</v>
      </c>
      <c r="BB2078" s="31" t="n">
        <f aca="false">SUM(Q2078,S2078,U2078,W2078,Y2078,AA2078,AC2078,AE2078,AG2078,AI2078,AK2078,AM2078,AO2078,AQ2078,AS2078,AU2078,AW2078,AY2078)</f>
        <v>16867</v>
      </c>
      <c r="BC2078" s="28" t="n">
        <f aca="false">BA2078-BB2078</f>
        <v>0</v>
      </c>
      <c r="BD2078" s="32" t="n">
        <f aca="false">SUM(P2078,R2078,T2078,V2078,X2078,Z2078,AB2078,AD2078,AF2078,AH2078,AJ2078,AL2078,AN2078,AP2078,AR2078,AT2078,AV2078,AX2078)</f>
        <v>11245</v>
      </c>
      <c r="BE2078" s="33" t="n">
        <f aca="false">AZ2078-BD2078</f>
        <v>0</v>
      </c>
      <c r="BF2078" s="34" t="n">
        <f aca="false">BD2078*M2078</f>
        <v>16867.5</v>
      </c>
      <c r="BG2078" s="35" t="n">
        <f aca="false">BA2078-BF2078</f>
        <v>-0.5</v>
      </c>
      <c r="BH2078" s="19" t="str">
        <f aca="false">IF(BG2078=0,"",IF(BG2078&lt;&gt;BA2078,"erreur de calcul",IF(BD2078&lt;&gt;0,"pas de prix",IF(M2078&lt;&gt; 0,"pas de quantité","pas de prix, ni de quantité"))))</f>
        <v>erreur de calcul</v>
      </c>
      <c r="BI2078" s="19"/>
    </row>
    <row r="2079" customFormat="false" ht="15" hidden="false" customHeight="false" outlineLevel="0" collapsed="false">
      <c r="A2079" s="0" t="n">
        <v>34</v>
      </c>
      <c r="B2079" s="8" t="s">
        <v>24</v>
      </c>
      <c r="C2079" s="9" t="s">
        <v>25</v>
      </c>
      <c r="D2079" s="9" t="s">
        <v>26</v>
      </c>
      <c r="E2079" s="10" t="n">
        <v>1789</v>
      </c>
      <c r="F2079" s="9" t="s">
        <v>27</v>
      </c>
      <c r="G2079" s="9" t="s">
        <v>27</v>
      </c>
      <c r="H2079" s="11" t="n">
        <v>26</v>
      </c>
      <c r="I2079" s="11" t="s">
        <v>405</v>
      </c>
      <c r="J2079" s="14"/>
      <c r="K2079" s="14" t="n">
        <v>40</v>
      </c>
      <c r="L2079" s="16"/>
      <c r="M2079" s="27" t="n">
        <f aca="false">J2079+(K2079/20)+(L2079/240)</f>
        <v>2</v>
      </c>
      <c r="N2079" s="17" t="s">
        <v>66</v>
      </c>
      <c r="O2079" s="11"/>
      <c r="P2079" s="28"/>
      <c r="Q2079" s="28" t="n">
        <f aca="false">P2079*$M2079</f>
        <v>0</v>
      </c>
      <c r="R2079" s="28"/>
      <c r="S2079" s="28" t="n">
        <f aca="false">R2079*$M2079</f>
        <v>0</v>
      </c>
      <c r="T2079" s="28"/>
      <c r="U2079" s="28" t="n">
        <f aca="false">T2079*$M2079</f>
        <v>0</v>
      </c>
      <c r="V2079" s="28"/>
      <c r="W2079" s="28" t="n">
        <f aca="false">V2079*$M2079</f>
        <v>0</v>
      </c>
      <c r="X2079" s="28"/>
      <c r="Y2079" s="28" t="n">
        <f aca="false">X2079*$M2079</f>
        <v>0</v>
      </c>
      <c r="Z2079" s="28"/>
      <c r="AA2079" s="28" t="n">
        <f aca="false">Z2079*$M2079</f>
        <v>0</v>
      </c>
      <c r="AB2079" s="28"/>
      <c r="AC2079" s="28" t="n">
        <f aca="false">AB2079*$M2079</f>
        <v>0</v>
      </c>
      <c r="AD2079" s="28"/>
      <c r="AE2079" s="28" t="n">
        <f aca="false">AD2079*$M2079</f>
        <v>0</v>
      </c>
      <c r="AF2079" s="28"/>
      <c r="AG2079" s="28" t="n">
        <f aca="false">AF2079*$M2079</f>
        <v>0</v>
      </c>
      <c r="AH2079" s="28" t="n">
        <v>9380</v>
      </c>
      <c r="AI2079" s="28" t="n">
        <v>18760</v>
      </c>
      <c r="AJ2079" s="28"/>
      <c r="AK2079" s="28" t="n">
        <f aca="false">AJ2079*$M2079</f>
        <v>0</v>
      </c>
      <c r="AL2079" s="28"/>
      <c r="AM2079" s="28" t="n">
        <f aca="false">AL2079*$M2079</f>
        <v>0</v>
      </c>
      <c r="AN2079" s="28"/>
      <c r="AO2079" s="28" t="n">
        <f aca="false">AN2079*$M2079</f>
        <v>0</v>
      </c>
      <c r="AP2079" s="28"/>
      <c r="AQ2079" s="28" t="n">
        <f aca="false">AP2079*$M2079</f>
        <v>0</v>
      </c>
      <c r="AR2079" s="28"/>
      <c r="AS2079" s="28" t="n">
        <f aca="false">AR2079*$M2079</f>
        <v>0</v>
      </c>
      <c r="AT2079" s="28"/>
      <c r="AU2079" s="28" t="n">
        <f aca="false">AT2079*$M2079</f>
        <v>0</v>
      </c>
      <c r="AV2079" s="28"/>
      <c r="AW2079" s="28" t="n">
        <f aca="false">AV2079*$M2079</f>
        <v>0</v>
      </c>
      <c r="AX2079" s="28"/>
      <c r="AY2079" s="28" t="n">
        <f aca="false">AX2079*$M2079</f>
        <v>0</v>
      </c>
      <c r="AZ2079" s="30" t="n">
        <v>9380</v>
      </c>
      <c r="BA2079" s="11" t="n">
        <v>18760</v>
      </c>
      <c r="BB2079" s="31" t="n">
        <f aca="false">SUM(Q2079,S2079,U2079,W2079,Y2079,AA2079,AC2079,AE2079,AG2079,AI2079,AK2079,AM2079,AO2079,AQ2079,AS2079,AU2079,AW2079,AY2079)</f>
        <v>18760</v>
      </c>
      <c r="BC2079" s="28" t="n">
        <f aca="false">BA2079-BB2079</f>
        <v>0</v>
      </c>
      <c r="BD2079" s="32" t="n">
        <f aca="false">SUM(P2079,R2079,T2079,V2079,X2079,Z2079,AB2079,AD2079,AF2079,AH2079,AJ2079,AL2079,AN2079,AP2079,AR2079,AT2079,AV2079,AX2079)</f>
        <v>9380</v>
      </c>
      <c r="BE2079" s="33" t="n">
        <f aca="false">AZ2079-BD2079</f>
        <v>0</v>
      </c>
      <c r="BF2079" s="34" t="n">
        <f aca="false">BD2079*M2079</f>
        <v>18760</v>
      </c>
      <c r="BG2079" s="35" t="n">
        <f aca="false">BA2079-BF2079</f>
        <v>0</v>
      </c>
      <c r="BH2079" s="19" t="str">
        <f aca="false">IF(BG2079=0,"",IF(BG2079&lt;&gt;BA2079,"erreur de calcul",IF(BD2079&lt;&gt;0,"pas de prix",IF(M2079&lt;&gt; 0,"pas de quantité","pas de prix, ni de quantité"))))</f>
        <v/>
      </c>
      <c r="BI2079" s="19"/>
    </row>
    <row r="2080" customFormat="false" ht="15" hidden="false" customHeight="false" outlineLevel="0" collapsed="false">
      <c r="A2080" s="0" t="n">
        <v>35</v>
      </c>
      <c r="B2080" s="8" t="s">
        <v>24</v>
      </c>
      <c r="C2080" s="9" t="s">
        <v>25</v>
      </c>
      <c r="D2080" s="9" t="s">
        <v>26</v>
      </c>
      <c r="E2080" s="10" t="n">
        <v>1789</v>
      </c>
      <c r="F2080" s="9" t="s">
        <v>27</v>
      </c>
      <c r="G2080" s="9" t="s">
        <v>27</v>
      </c>
      <c r="H2080" s="11" t="n">
        <v>26</v>
      </c>
      <c r="I2080" s="11" t="s">
        <v>406</v>
      </c>
      <c r="J2080" s="14" t="n">
        <v>55</v>
      </c>
      <c r="K2080" s="14"/>
      <c r="L2080" s="16"/>
      <c r="M2080" s="27" t="n">
        <f aca="false">J2080+(K2080/20)+(L2080/240)</f>
        <v>55</v>
      </c>
      <c r="N2080" s="17" t="s">
        <v>64</v>
      </c>
      <c r="O2080" s="11"/>
      <c r="P2080" s="28" t="n">
        <f aca="false">634/100</f>
        <v>6.34</v>
      </c>
      <c r="Q2080" s="28" t="n">
        <v>349</v>
      </c>
      <c r="R2080" s="28"/>
      <c r="S2080" s="28" t="n">
        <f aca="false">R2080*$M2080</f>
        <v>0</v>
      </c>
      <c r="T2080" s="28" t="n">
        <f aca="false">2450/100</f>
        <v>24.5</v>
      </c>
      <c r="U2080" s="28" t="n">
        <v>1347</v>
      </c>
      <c r="V2080" s="28" t="n">
        <f aca="false">9685/100</f>
        <v>96.85</v>
      </c>
      <c r="W2080" s="28" t="n">
        <v>5327</v>
      </c>
      <c r="X2080" s="28"/>
      <c r="Y2080" s="28" t="n">
        <f aca="false">X2080*$M2080</f>
        <v>0</v>
      </c>
      <c r="Z2080" s="28"/>
      <c r="AA2080" s="28" t="n">
        <f aca="false">Z2080*$M2080</f>
        <v>0</v>
      </c>
      <c r="AB2080" s="28"/>
      <c r="AC2080" s="28" t="n">
        <f aca="false">AB2080*$M2080</f>
        <v>0</v>
      </c>
      <c r="AD2080" s="28"/>
      <c r="AE2080" s="28" t="n">
        <f aca="false">AD2080*$M2080</f>
        <v>0</v>
      </c>
      <c r="AF2080" s="28"/>
      <c r="AG2080" s="28" t="n">
        <f aca="false">AF2080*$M2080</f>
        <v>0</v>
      </c>
      <c r="AH2080" s="28"/>
      <c r="AI2080" s="28" t="n">
        <f aca="false">AH2080*$M2080</f>
        <v>0</v>
      </c>
      <c r="AJ2080" s="28"/>
      <c r="AK2080" s="28" t="n">
        <f aca="false">AJ2080*$M2080</f>
        <v>0</v>
      </c>
      <c r="AL2080" s="28"/>
      <c r="AM2080" s="28" t="n">
        <f aca="false">AL2080*$M2080</f>
        <v>0</v>
      </c>
      <c r="AN2080" s="28"/>
      <c r="AO2080" s="28" t="n">
        <f aca="false">AN2080*$M2080</f>
        <v>0</v>
      </c>
      <c r="AP2080" s="28"/>
      <c r="AQ2080" s="28" t="n">
        <f aca="false">AP2080*$M2080</f>
        <v>0</v>
      </c>
      <c r="AR2080" s="28"/>
      <c r="AS2080" s="28" t="n">
        <f aca="false">AR2080*$M2080</f>
        <v>0</v>
      </c>
      <c r="AT2080" s="28"/>
      <c r="AU2080" s="28" t="n">
        <f aca="false">AT2080*$M2080</f>
        <v>0</v>
      </c>
      <c r="AV2080" s="28"/>
      <c r="AW2080" s="28" t="n">
        <f aca="false">AV2080*$M2080</f>
        <v>0</v>
      </c>
      <c r="AX2080" s="28"/>
      <c r="AY2080" s="28" t="n">
        <f aca="false">AX2080*$M2080</f>
        <v>0</v>
      </c>
      <c r="AZ2080" s="30" t="n">
        <f aca="false">12769/100</f>
        <v>127.69</v>
      </c>
      <c r="BA2080" s="11" t="n">
        <v>7023</v>
      </c>
      <c r="BB2080" s="31" t="n">
        <f aca="false">SUM(Q2080,S2080,U2080,W2080,Y2080,AA2080,AC2080,AE2080,AG2080,AI2080,AK2080,AM2080,AO2080,AQ2080,AS2080,AU2080,AW2080,AY2080)</f>
        <v>7023</v>
      </c>
      <c r="BC2080" s="28" t="n">
        <f aca="false">BA2080-BB2080</f>
        <v>0</v>
      </c>
      <c r="BD2080" s="32" t="n">
        <f aca="false">SUM(P2080,R2080,T2080,V2080,X2080,Z2080,AB2080,AD2080,AF2080,AH2080,AJ2080,AL2080,AN2080,AP2080,AR2080,AT2080,AV2080,AX2080)</f>
        <v>127.69</v>
      </c>
      <c r="BE2080" s="33" t="n">
        <f aca="false">AZ2080-BD2080</f>
        <v>0</v>
      </c>
      <c r="BF2080" s="34" t="n">
        <f aca="false">BD2080*M2080</f>
        <v>7022.95</v>
      </c>
      <c r="BG2080" s="35" t="n">
        <f aca="false">BA2080-BF2080</f>
        <v>0.0500000000001819</v>
      </c>
      <c r="BH2080" s="19" t="str">
        <f aca="false">IF(BG2080=0,"",IF(BG2080&lt;&gt;BA2080,"erreur de calcul",IF(BD2080&lt;&gt;0,"pas de prix",IF(M2080&lt;&gt; 0,"pas de quantité","pas de prix, ni de quantité"))))</f>
        <v>erreur de calcul</v>
      </c>
      <c r="BI2080" s="19"/>
    </row>
    <row r="2081" customFormat="false" ht="15" hidden="false" customHeight="false" outlineLevel="0" collapsed="false">
      <c r="A2081" s="0" t="n">
        <v>36</v>
      </c>
      <c r="B2081" s="8" t="s">
        <v>24</v>
      </c>
      <c r="C2081" s="9" t="s">
        <v>25</v>
      </c>
      <c r="D2081" s="9" t="s">
        <v>26</v>
      </c>
      <c r="E2081" s="10" t="n">
        <v>1789</v>
      </c>
      <c r="F2081" s="9" t="s">
        <v>27</v>
      </c>
      <c r="G2081" s="9" t="s">
        <v>27</v>
      </c>
      <c r="H2081" s="11" t="n">
        <v>26</v>
      </c>
      <c r="I2081" s="11" t="s">
        <v>407</v>
      </c>
      <c r="J2081" s="14" t="n">
        <v>44</v>
      </c>
      <c r="K2081" s="14"/>
      <c r="L2081" s="16"/>
      <c r="M2081" s="27" t="n">
        <f aca="false">J2081+(K2081/20)+(L2081/240)</f>
        <v>44</v>
      </c>
      <c r="N2081" s="17" t="s">
        <v>64</v>
      </c>
      <c r="O2081" s="11" t="s">
        <v>77</v>
      </c>
      <c r="P2081" s="28" t="n">
        <f aca="false">68669/100</f>
        <v>686.69</v>
      </c>
      <c r="Q2081" s="28" t="n">
        <v>30214</v>
      </c>
      <c r="R2081" s="28"/>
      <c r="S2081" s="28" t="n">
        <f aca="false">R2081*$M2081</f>
        <v>0</v>
      </c>
      <c r="T2081" s="28" t="n">
        <f aca="false">7101/100</f>
        <v>71.01</v>
      </c>
      <c r="U2081" s="28" t="n">
        <v>3124</v>
      </c>
      <c r="V2081" s="28" t="n">
        <f aca="false">27549/100</f>
        <v>275.49</v>
      </c>
      <c r="W2081" s="28" t="n">
        <v>12121</v>
      </c>
      <c r="X2081" s="28" t="n">
        <f aca="false">947914/100</f>
        <v>9479.14</v>
      </c>
      <c r="Y2081" s="28" t="n">
        <v>417082</v>
      </c>
      <c r="Z2081" s="28" t="n">
        <f aca="false">183606/100</f>
        <v>1836.06</v>
      </c>
      <c r="AA2081" s="28" t="n">
        <v>80787</v>
      </c>
      <c r="AB2081" s="28" t="n">
        <f aca="false">36047/100</f>
        <v>360.47</v>
      </c>
      <c r="AC2081" s="28" t="n">
        <v>15861</v>
      </c>
      <c r="AD2081" s="28" t="n">
        <f aca="false">12322/100</f>
        <v>123.22</v>
      </c>
      <c r="AE2081" s="28" t="n">
        <v>5422</v>
      </c>
      <c r="AF2081" s="28"/>
      <c r="AG2081" s="28" t="n">
        <f aca="false">AF2081*$M2081</f>
        <v>0</v>
      </c>
      <c r="AH2081" s="28" t="n">
        <f aca="false">3318/100</f>
        <v>33.18</v>
      </c>
      <c r="AI2081" s="28" t="n">
        <v>1460</v>
      </c>
      <c r="AJ2081" s="28"/>
      <c r="AK2081" s="28" t="n">
        <f aca="false">AJ2081*$M2081</f>
        <v>0</v>
      </c>
      <c r="AL2081" s="28" t="n">
        <f aca="false">28260/100</f>
        <v>282.6</v>
      </c>
      <c r="AM2081" s="28" t="n">
        <v>12434</v>
      </c>
      <c r="AN2081" s="28"/>
      <c r="AO2081" s="28" t="n">
        <f aca="false">AN2081*$M2081</f>
        <v>0</v>
      </c>
      <c r="AP2081" s="28"/>
      <c r="AQ2081" s="28" t="n">
        <f aca="false">AP2081*$M2081</f>
        <v>0</v>
      </c>
      <c r="AR2081" s="28"/>
      <c r="AS2081" s="28" t="n">
        <f aca="false">AR2081*$M2081</f>
        <v>0</v>
      </c>
      <c r="AT2081" s="28"/>
      <c r="AU2081" s="28" t="n">
        <f aca="false">AT2081*$M2081</f>
        <v>0</v>
      </c>
      <c r="AV2081" s="28"/>
      <c r="AW2081" s="28" t="n">
        <f aca="false">AV2081*$M2081</f>
        <v>0</v>
      </c>
      <c r="AX2081" s="28"/>
      <c r="AY2081" s="28" t="n">
        <f aca="false">AX2081*$M2081</f>
        <v>0</v>
      </c>
      <c r="AZ2081" s="30" t="n">
        <f aca="false">1314786/100</f>
        <v>13147.86</v>
      </c>
      <c r="BA2081" s="11" t="n">
        <v>578505</v>
      </c>
      <c r="BB2081" s="31" t="n">
        <f aca="false">SUM(Q2081,S2081,U2081,W2081,Y2081,AA2081,AC2081,AE2081,AG2081,AI2081,AK2081,AM2081,AO2081,AQ2081,AS2081,AU2081,AW2081,AY2081)</f>
        <v>578505</v>
      </c>
      <c r="BC2081" s="28" t="n">
        <f aca="false">BA2081-BB2081</f>
        <v>0</v>
      </c>
      <c r="BD2081" s="32" t="n">
        <f aca="false">SUM(P2081,R2081,T2081,V2081,X2081,Z2081,AB2081,AD2081,AF2081,AH2081,AJ2081,AL2081,AN2081,AP2081,AR2081,AT2081,AV2081,AX2081)</f>
        <v>13147.86</v>
      </c>
      <c r="BE2081" s="33" t="n">
        <f aca="false">AZ2081-BD2081</f>
        <v>0</v>
      </c>
      <c r="BF2081" s="34" t="n">
        <f aca="false">BD2081*M2081</f>
        <v>578505.84</v>
      </c>
      <c r="BG2081" s="35" t="n">
        <f aca="false">BA2081-BF2081</f>
        <v>-0.839999999967404</v>
      </c>
      <c r="BH2081" s="19" t="str">
        <f aca="false">IF(BG2081=0,"",IF(BG2081&lt;&gt;BA2081,"erreur de calcul",IF(BD2081&lt;&gt;0,"pas de prix",IF(M2081&lt;&gt; 0,"pas de quantité","pas de prix, ni de quantité"))))</f>
        <v>erreur de calcul</v>
      </c>
      <c r="BI2081" s="19"/>
    </row>
    <row r="2082" customFormat="false" ht="15" hidden="false" customHeight="false" outlineLevel="0" collapsed="false">
      <c r="A2082" s="0" t="n">
        <v>37</v>
      </c>
      <c r="B2082" s="8" t="s">
        <v>24</v>
      </c>
      <c r="C2082" s="9" t="s">
        <v>25</v>
      </c>
      <c r="D2082" s="9" t="s">
        <v>26</v>
      </c>
      <c r="E2082" s="10" t="n">
        <v>1789</v>
      </c>
      <c r="F2082" s="9" t="s">
        <v>27</v>
      </c>
      <c r="G2082" s="9" t="s">
        <v>27</v>
      </c>
      <c r="H2082" s="11" t="n">
        <v>26</v>
      </c>
      <c r="I2082" s="11" t="s">
        <v>408</v>
      </c>
      <c r="J2082" s="14" t="n">
        <v>40</v>
      </c>
      <c r="K2082" s="14"/>
      <c r="L2082" s="16"/>
      <c r="M2082" s="27" t="n">
        <f aca="false">J2082+(K2082/20)+(L2082/240)</f>
        <v>40</v>
      </c>
      <c r="N2082" s="17" t="s">
        <v>64</v>
      </c>
      <c r="O2082" s="11"/>
      <c r="P2082" s="28"/>
      <c r="Q2082" s="28" t="n">
        <f aca="false">P2082*$M2082</f>
        <v>0</v>
      </c>
      <c r="R2082" s="28"/>
      <c r="S2082" s="28" t="n">
        <f aca="false">R2082*$M2082</f>
        <v>0</v>
      </c>
      <c r="T2082" s="28"/>
      <c r="U2082" s="28" t="n">
        <f aca="false">T2082*$M2082</f>
        <v>0</v>
      </c>
      <c r="V2082" s="28" t="n">
        <f aca="false">4827/100</f>
        <v>48.27</v>
      </c>
      <c r="W2082" s="28" t="n">
        <v>1931</v>
      </c>
      <c r="X2082" s="28"/>
      <c r="Y2082" s="28" t="n">
        <f aca="false">X2082*$M2082</f>
        <v>0</v>
      </c>
      <c r="Z2082" s="28"/>
      <c r="AA2082" s="28" t="n">
        <f aca="false">Z2082*$M2082</f>
        <v>0</v>
      </c>
      <c r="AB2082" s="28"/>
      <c r="AC2082" s="28" t="n">
        <f aca="false">AB2082*$M2082</f>
        <v>0</v>
      </c>
      <c r="AD2082" s="28"/>
      <c r="AE2082" s="28" t="n">
        <f aca="false">AD2082*$M2082</f>
        <v>0</v>
      </c>
      <c r="AF2082" s="28"/>
      <c r="AG2082" s="28" t="n">
        <f aca="false">AF2082*$M2082</f>
        <v>0</v>
      </c>
      <c r="AH2082" s="28"/>
      <c r="AI2082" s="28" t="n">
        <f aca="false">AH2082*$M2082</f>
        <v>0</v>
      </c>
      <c r="AJ2082" s="28"/>
      <c r="AK2082" s="28" t="n">
        <f aca="false">AJ2082*$M2082</f>
        <v>0</v>
      </c>
      <c r="AL2082" s="28"/>
      <c r="AM2082" s="28" t="n">
        <f aca="false">AL2082*$M2082</f>
        <v>0</v>
      </c>
      <c r="AN2082" s="28"/>
      <c r="AO2082" s="28" t="n">
        <f aca="false">AN2082*$M2082</f>
        <v>0</v>
      </c>
      <c r="AP2082" s="28"/>
      <c r="AQ2082" s="28" t="n">
        <f aca="false">AP2082*$M2082</f>
        <v>0</v>
      </c>
      <c r="AR2082" s="28"/>
      <c r="AS2082" s="28" t="n">
        <f aca="false">AR2082*$M2082</f>
        <v>0</v>
      </c>
      <c r="AT2082" s="28"/>
      <c r="AU2082" s="28" t="n">
        <f aca="false">AT2082*$M2082</f>
        <v>0</v>
      </c>
      <c r="AV2082" s="28"/>
      <c r="AW2082" s="28" t="n">
        <f aca="false">AV2082*$M2082</f>
        <v>0</v>
      </c>
      <c r="AX2082" s="28" t="n">
        <f aca="false">835109/100</f>
        <v>8351.09</v>
      </c>
      <c r="AY2082" s="28" t="n">
        <v>334044</v>
      </c>
      <c r="AZ2082" s="30" t="n">
        <f aca="false">839936/100</f>
        <v>8399.36</v>
      </c>
      <c r="BA2082" s="11" t="n">
        <v>335975</v>
      </c>
      <c r="BB2082" s="31" t="n">
        <f aca="false">SUM(Q2082,S2082,U2082,W2082,Y2082,AA2082,AC2082,AE2082,AG2082,AI2082,AK2082,AM2082,AO2082,AQ2082,AS2082,AU2082,AW2082,AY2082)</f>
        <v>335975</v>
      </c>
      <c r="BC2082" s="28" t="n">
        <f aca="false">BA2082-BB2082</f>
        <v>0</v>
      </c>
      <c r="BD2082" s="32" t="n">
        <f aca="false">SUM(P2082,R2082,T2082,V2082,X2082,Z2082,AB2082,AD2082,AF2082,AH2082,AJ2082,AL2082,AN2082,AP2082,AR2082,AT2082,AV2082,AX2082)</f>
        <v>8399.36</v>
      </c>
      <c r="BE2082" s="33" t="n">
        <f aca="false">AZ2082-BD2082</f>
        <v>0</v>
      </c>
      <c r="BF2082" s="34" t="n">
        <f aca="false">BD2082*M2082</f>
        <v>335974.4</v>
      </c>
      <c r="BG2082" s="35" t="n">
        <f aca="false">BA2082-BF2082</f>
        <v>0.599999999976717</v>
      </c>
      <c r="BH2082" s="19" t="str">
        <f aca="false">IF(BG2082=0,"",IF(BG2082&lt;&gt;BA2082,"erreur de calcul",IF(BD2082&lt;&gt;0,"pas de prix",IF(M2082&lt;&gt; 0,"pas de quantité","pas de prix, ni de quantité"))))</f>
        <v>erreur de calcul</v>
      </c>
      <c r="BI2082" s="19"/>
    </row>
    <row r="2083" customFormat="false" ht="16.65" hidden="false" customHeight="false" outlineLevel="0" collapsed="false">
      <c r="A2083" s="0" t="n">
        <v>38</v>
      </c>
      <c r="B2083" s="8" t="s">
        <v>24</v>
      </c>
      <c r="C2083" s="9" t="s">
        <v>25</v>
      </c>
      <c r="D2083" s="9" t="s">
        <v>26</v>
      </c>
      <c r="E2083" s="10" t="n">
        <v>1789</v>
      </c>
      <c r="F2083" s="9" t="s">
        <v>27</v>
      </c>
      <c r="G2083" s="9" t="s">
        <v>27</v>
      </c>
      <c r="H2083" s="11" t="n">
        <v>26</v>
      </c>
      <c r="I2083" s="11" t="s">
        <v>409</v>
      </c>
      <c r="J2083" s="14"/>
      <c r="K2083" s="14" t="n">
        <v>13</v>
      </c>
      <c r="L2083" s="16"/>
      <c r="M2083" s="27" t="n">
        <f aca="false">J2083+(K2083/20)+(L2083/240)</f>
        <v>0.65</v>
      </c>
      <c r="N2083" s="17" t="s">
        <v>64</v>
      </c>
      <c r="O2083" s="11"/>
      <c r="P2083" s="28"/>
      <c r="Q2083" s="28" t="n">
        <f aca="false">P2083*$M2083</f>
        <v>0</v>
      </c>
      <c r="R2083" s="28"/>
      <c r="S2083" s="28" t="n">
        <f aca="false">R2083*$M2083</f>
        <v>0</v>
      </c>
      <c r="T2083" s="28"/>
      <c r="U2083" s="28" t="n">
        <f aca="false">T2083*$M2083</f>
        <v>0</v>
      </c>
      <c r="V2083" s="28"/>
      <c r="W2083" s="28" t="n">
        <f aca="false">V2083*$M2083</f>
        <v>0</v>
      </c>
      <c r="X2083" s="28"/>
      <c r="Y2083" s="28" t="n">
        <f aca="false">X2083*$M2083</f>
        <v>0</v>
      </c>
      <c r="Z2083" s="28" t="n">
        <f aca="false">2471002/100</f>
        <v>24710.02</v>
      </c>
      <c r="AA2083" s="28" t="n">
        <v>16061</v>
      </c>
      <c r="AB2083" s="28"/>
      <c r="AC2083" s="28" t="n">
        <f aca="false">AB2083*$M2083</f>
        <v>0</v>
      </c>
      <c r="AD2083" s="28"/>
      <c r="AE2083" s="28" t="n">
        <f aca="false">AD2083*$M2083</f>
        <v>0</v>
      </c>
      <c r="AF2083" s="28"/>
      <c r="AG2083" s="28" t="n">
        <f aca="false">AF2083*$M2083</f>
        <v>0</v>
      </c>
      <c r="AH2083" s="28"/>
      <c r="AI2083" s="28" t="n">
        <f aca="false">AH2083*$M2083</f>
        <v>0</v>
      </c>
      <c r="AJ2083" s="28"/>
      <c r="AK2083" s="28" t="n">
        <f aca="false">AJ2083*$M2083</f>
        <v>0</v>
      </c>
      <c r="AL2083" s="28"/>
      <c r="AM2083" s="28" t="n">
        <f aca="false">AL2083*$M2083</f>
        <v>0</v>
      </c>
      <c r="AN2083" s="28"/>
      <c r="AO2083" s="28" t="n">
        <f aca="false">AN2083*$M2083</f>
        <v>0</v>
      </c>
      <c r="AP2083" s="28"/>
      <c r="AQ2083" s="28" t="n">
        <f aca="false">AP2083*$M2083</f>
        <v>0</v>
      </c>
      <c r="AR2083" s="28"/>
      <c r="AS2083" s="28" t="n">
        <f aca="false">AR2083*$M2083</f>
        <v>0</v>
      </c>
      <c r="AT2083" s="28"/>
      <c r="AU2083" s="28" t="n">
        <f aca="false">AT2083*$M2083</f>
        <v>0</v>
      </c>
      <c r="AV2083" s="28"/>
      <c r="AW2083" s="28" t="n">
        <f aca="false">AV2083*$M2083</f>
        <v>0</v>
      </c>
      <c r="AX2083" s="28"/>
      <c r="AY2083" s="28" t="n">
        <f aca="false">AX2083*$M2083</f>
        <v>0</v>
      </c>
      <c r="AZ2083" s="30" t="n">
        <f aca="false">2471002</f>
        <v>2471002</v>
      </c>
      <c r="BA2083" s="11" t="n">
        <v>16061</v>
      </c>
      <c r="BB2083" s="31" t="n">
        <f aca="false">SUM(Q2083,S2083,U2083,W2083,Y2083,AA2083,AC2083,AE2083,AG2083,AI2083,AK2083,AM2083,AO2083,AQ2083,AS2083,AU2083,AW2083,AY2083)</f>
        <v>16061</v>
      </c>
      <c r="BC2083" s="28" t="n">
        <f aca="false">BA2083-BB2083</f>
        <v>0</v>
      </c>
      <c r="BD2083" s="32" t="n">
        <f aca="false">SUM(P2083,R2083,T2083,V2083,X2083,Z2083,AB2083,AD2083,AF2083,AH2083,AJ2083,AL2083,AN2083,AP2083,AR2083,AT2083,AV2083,AX2083)</f>
        <v>24710.02</v>
      </c>
      <c r="BE2083" s="33" t="n">
        <f aca="false">AZ2083-BD2083</f>
        <v>2446291.98</v>
      </c>
      <c r="BF2083" s="34" t="n">
        <f aca="false">BD2083*M2083</f>
        <v>16061.513</v>
      </c>
      <c r="BG2083" s="35" t="n">
        <f aca="false">BA2083-BF2083</f>
        <v>-0.513000000000829</v>
      </c>
      <c r="BH2083" s="19" t="str">
        <f aca="false">IF(BG2083=0,"",IF(BG2083&lt;&gt;BA2083,"erreur de calcul",IF(BD2083&lt;&gt;0,"pas de prix",IF(M2083&lt;&gt; 0,"pas de quantité","pas de prix, ni de quantité"))))</f>
        <v>erreur de calcul</v>
      </c>
      <c r="BI2083" s="19"/>
    </row>
    <row r="2084" customFormat="false" ht="15" hidden="false" customHeight="false" outlineLevel="0" collapsed="false">
      <c r="A2084" s="0" t="n">
        <v>39</v>
      </c>
      <c r="B2084" s="8" t="s">
        <v>24</v>
      </c>
      <c r="C2084" s="9" t="s">
        <v>25</v>
      </c>
      <c r="D2084" s="9" t="s">
        <v>26</v>
      </c>
      <c r="E2084" s="10" t="n">
        <v>1789</v>
      </c>
      <c r="F2084" s="9" t="s">
        <v>27</v>
      </c>
      <c r="G2084" s="9" t="s">
        <v>27</v>
      </c>
      <c r="H2084" s="11" t="n">
        <v>26</v>
      </c>
      <c r="I2084" s="11" t="s">
        <v>410</v>
      </c>
      <c r="J2084" s="14" t="n">
        <v>10</v>
      </c>
      <c r="K2084" s="14"/>
      <c r="L2084" s="16"/>
      <c r="M2084" s="27" t="n">
        <f aca="false">J2084+(K2084/20)+(L2084/240)</f>
        <v>10</v>
      </c>
      <c r="N2084" s="17" t="s">
        <v>64</v>
      </c>
      <c r="O2084" s="11"/>
      <c r="P2084" s="28"/>
      <c r="Q2084" s="28" t="n">
        <f aca="false">P2084*$M2084</f>
        <v>0</v>
      </c>
      <c r="R2084" s="28"/>
      <c r="S2084" s="28" t="n">
        <f aca="false">R2084*$M2084</f>
        <v>0</v>
      </c>
      <c r="T2084" s="28"/>
      <c r="U2084" s="28" t="n">
        <f aca="false">T2084*$M2084</f>
        <v>0</v>
      </c>
      <c r="V2084" s="28"/>
      <c r="W2084" s="28" t="n">
        <f aca="false">V2084*$M2084</f>
        <v>0</v>
      </c>
      <c r="X2084" s="28" t="n">
        <f aca="false">2481/100</f>
        <v>24.81</v>
      </c>
      <c r="Y2084" s="28" t="n">
        <v>248</v>
      </c>
      <c r="Z2084" s="28"/>
      <c r="AA2084" s="28" t="n">
        <f aca="false">Z2084*$M2084</f>
        <v>0</v>
      </c>
      <c r="AB2084" s="28"/>
      <c r="AC2084" s="28" t="n">
        <f aca="false">AB2084*$M2084</f>
        <v>0</v>
      </c>
      <c r="AD2084" s="28"/>
      <c r="AE2084" s="28" t="n">
        <f aca="false">AD2084*$M2084</f>
        <v>0</v>
      </c>
      <c r="AF2084" s="28"/>
      <c r="AG2084" s="28" t="n">
        <f aca="false">AF2084*$M2084</f>
        <v>0</v>
      </c>
      <c r="AH2084" s="28"/>
      <c r="AI2084" s="28" t="n">
        <f aca="false">AH2084*$M2084</f>
        <v>0</v>
      </c>
      <c r="AJ2084" s="28"/>
      <c r="AK2084" s="28" t="n">
        <f aca="false">AJ2084*$M2084</f>
        <v>0</v>
      </c>
      <c r="AL2084" s="28"/>
      <c r="AM2084" s="28" t="n">
        <f aca="false">AL2084*$M2084</f>
        <v>0</v>
      </c>
      <c r="AN2084" s="28"/>
      <c r="AO2084" s="28" t="n">
        <f aca="false">AN2084*$M2084</f>
        <v>0</v>
      </c>
      <c r="AP2084" s="28"/>
      <c r="AQ2084" s="28" t="n">
        <f aca="false">AP2084*$M2084</f>
        <v>0</v>
      </c>
      <c r="AR2084" s="28"/>
      <c r="AS2084" s="28" t="n">
        <f aca="false">AR2084*$M2084</f>
        <v>0</v>
      </c>
      <c r="AT2084" s="28"/>
      <c r="AU2084" s="28" t="n">
        <f aca="false">AT2084*$M2084</f>
        <v>0</v>
      </c>
      <c r="AV2084" s="28"/>
      <c r="AW2084" s="28" t="n">
        <f aca="false">AV2084*$M2084</f>
        <v>0</v>
      </c>
      <c r="AX2084" s="28"/>
      <c r="AY2084" s="28" t="n">
        <f aca="false">AX2084*$M2084</f>
        <v>0</v>
      </c>
      <c r="AZ2084" s="30" t="n">
        <f aca="false">2481/100</f>
        <v>24.81</v>
      </c>
      <c r="BA2084" s="11" t="n">
        <v>248</v>
      </c>
      <c r="BB2084" s="31" t="n">
        <f aca="false">SUM(Q2084,S2084,U2084,W2084,Y2084,AA2084,AC2084,AE2084,AG2084,AI2084,AK2084,AM2084,AO2084,AQ2084,AS2084,AU2084,AW2084,AY2084)</f>
        <v>248</v>
      </c>
      <c r="BC2084" s="28" t="n">
        <f aca="false">BA2084-BB2084</f>
        <v>0</v>
      </c>
      <c r="BD2084" s="32" t="n">
        <f aca="false">SUM(P2084,R2084,T2084,V2084,X2084,Z2084,AB2084,AD2084,AF2084,AH2084,AJ2084,AL2084,AN2084,AP2084,AR2084,AT2084,AV2084,AX2084)</f>
        <v>24.81</v>
      </c>
      <c r="BE2084" s="33" t="n">
        <f aca="false">AZ2084-BD2084</f>
        <v>0</v>
      </c>
      <c r="BF2084" s="34" t="n">
        <f aca="false">BD2084*M2084</f>
        <v>248.1</v>
      </c>
      <c r="BG2084" s="35" t="n">
        <f aca="false">BA2084-BF2084</f>
        <v>-0.0999999999999943</v>
      </c>
      <c r="BH2084" s="19" t="str">
        <f aca="false">IF(BG2084=0,"",IF(BG2084&lt;&gt;BA2084,"erreur de calcul",IF(BD2084&lt;&gt;0,"pas de prix",IF(M2084&lt;&gt; 0,"pas de quantité","pas de prix, ni de quantité"))))</f>
        <v>erreur de calcul</v>
      </c>
      <c r="BI2084" s="19"/>
    </row>
    <row r="2085" customFormat="false" ht="15" hidden="false" customHeight="false" outlineLevel="0" collapsed="false">
      <c r="A2085" s="0" t="n">
        <v>40</v>
      </c>
      <c r="B2085" s="8" t="s">
        <v>24</v>
      </c>
      <c r="C2085" s="9" t="s">
        <v>25</v>
      </c>
      <c r="D2085" s="9" t="s">
        <v>26</v>
      </c>
      <c r="E2085" s="10" t="n">
        <v>1789</v>
      </c>
      <c r="F2085" s="9" t="s">
        <v>27</v>
      </c>
      <c r="G2085" s="9" t="s">
        <v>27</v>
      </c>
      <c r="H2085" s="11" t="n">
        <v>26</v>
      </c>
      <c r="I2085" s="11" t="s">
        <v>411</v>
      </c>
      <c r="J2085" s="14" t="n">
        <v>5</v>
      </c>
      <c r="K2085" s="14"/>
      <c r="L2085" s="16"/>
      <c r="M2085" s="27" t="n">
        <f aca="false">J2085+(K2085/20)+(L2085/240)</f>
        <v>5</v>
      </c>
      <c r="N2085" s="17" t="s">
        <v>66</v>
      </c>
      <c r="O2085" s="11" t="s">
        <v>98</v>
      </c>
      <c r="P2085" s="28"/>
      <c r="Q2085" s="28" t="n">
        <f aca="false">P2085*$M2085</f>
        <v>0</v>
      </c>
      <c r="R2085" s="28"/>
      <c r="S2085" s="28" t="n">
        <f aca="false">R2085*$M2085</f>
        <v>0</v>
      </c>
      <c r="T2085" s="28"/>
      <c r="U2085" s="28" t="n">
        <f aca="false">T2085*$M2085</f>
        <v>0</v>
      </c>
      <c r="V2085" s="28"/>
      <c r="W2085" s="28" t="n">
        <f aca="false">V2085*$M2085</f>
        <v>0</v>
      </c>
      <c r="X2085" s="28"/>
      <c r="Y2085" s="28" t="n">
        <f aca="false">X2085*$M2085</f>
        <v>0</v>
      </c>
      <c r="Z2085" s="28"/>
      <c r="AA2085" s="28" t="n">
        <f aca="false">Z2085*$M2085</f>
        <v>0</v>
      </c>
      <c r="AB2085" s="28"/>
      <c r="AC2085" s="28" t="n">
        <f aca="false">AB2085*$M2085</f>
        <v>0</v>
      </c>
      <c r="AD2085" s="28"/>
      <c r="AE2085" s="28" t="n">
        <f aca="false">AD2085*$M2085</f>
        <v>0</v>
      </c>
      <c r="AF2085" s="28" t="n">
        <v>22</v>
      </c>
      <c r="AG2085" s="28" t="n">
        <v>110</v>
      </c>
      <c r="AH2085" s="28" t="n">
        <v>2657</v>
      </c>
      <c r="AI2085" s="28" t="n">
        <v>13285</v>
      </c>
      <c r="AJ2085" s="28"/>
      <c r="AK2085" s="28" t="n">
        <f aca="false">AJ2085*$M2085</f>
        <v>0</v>
      </c>
      <c r="AL2085" s="28"/>
      <c r="AM2085" s="28" t="n">
        <f aca="false">AL2085*$M2085</f>
        <v>0</v>
      </c>
      <c r="AN2085" s="28"/>
      <c r="AO2085" s="28" t="n">
        <f aca="false">AN2085*$M2085</f>
        <v>0</v>
      </c>
      <c r="AP2085" s="28"/>
      <c r="AQ2085" s="28" t="n">
        <f aca="false">AP2085*$M2085</f>
        <v>0</v>
      </c>
      <c r="AR2085" s="28"/>
      <c r="AS2085" s="28" t="n">
        <f aca="false">AR2085*$M2085</f>
        <v>0</v>
      </c>
      <c r="AT2085" s="28"/>
      <c r="AU2085" s="28" t="n">
        <f aca="false">AT2085*$M2085</f>
        <v>0</v>
      </c>
      <c r="AV2085" s="28"/>
      <c r="AW2085" s="28" t="n">
        <f aca="false">AV2085*$M2085</f>
        <v>0</v>
      </c>
      <c r="AX2085" s="28"/>
      <c r="AY2085" s="28" t="n">
        <f aca="false">AX2085*$M2085</f>
        <v>0</v>
      </c>
      <c r="AZ2085" s="30" t="n">
        <v>2679</v>
      </c>
      <c r="BA2085" s="11" t="n">
        <v>13395</v>
      </c>
      <c r="BB2085" s="31" t="n">
        <f aca="false">SUM(Q2085,S2085,U2085,W2085,Y2085,AA2085,AC2085,AE2085,AG2085,AI2085,AK2085,AM2085,AO2085,AQ2085,AS2085,AU2085,AW2085,AY2085)</f>
        <v>13395</v>
      </c>
      <c r="BC2085" s="28" t="n">
        <f aca="false">BA2085-BB2085</f>
        <v>0</v>
      </c>
      <c r="BD2085" s="32" t="n">
        <f aca="false">SUM(P2085,R2085,T2085,V2085,X2085,Z2085,AB2085,AD2085,AF2085,AH2085,AJ2085,AL2085,AN2085,AP2085,AR2085,AT2085,AV2085,AX2085)</f>
        <v>2679</v>
      </c>
      <c r="BE2085" s="33" t="n">
        <f aca="false">AZ2085-BD2085</f>
        <v>0</v>
      </c>
      <c r="BF2085" s="34" t="n">
        <f aca="false">BD2085*M2085</f>
        <v>13395</v>
      </c>
      <c r="BG2085" s="35" t="n">
        <f aca="false">BA2085-BF2085</f>
        <v>0</v>
      </c>
      <c r="BH2085" s="19" t="str">
        <f aca="false">IF(BG2085=0,"",IF(BG2085&lt;&gt;BA2085,"erreur de calcul",IF(BD2085&lt;&gt;0,"pas de prix",IF(M2085&lt;&gt; 0,"pas de quantité","pas de prix, ni de quantité"))))</f>
        <v/>
      </c>
      <c r="BI2085" s="19"/>
    </row>
    <row r="2086" customFormat="false" ht="15" hidden="false" customHeight="false" outlineLevel="0" collapsed="false">
      <c r="A2086" s="0" t="n">
        <v>1</v>
      </c>
      <c r="B2086" s="8" t="s">
        <v>24</v>
      </c>
      <c r="C2086" s="9" t="s">
        <v>25</v>
      </c>
      <c r="D2086" s="9" t="s">
        <v>26</v>
      </c>
      <c r="E2086" s="10" t="n">
        <v>1789</v>
      </c>
      <c r="F2086" s="9" t="s">
        <v>27</v>
      </c>
      <c r="G2086" s="9" t="s">
        <v>27</v>
      </c>
      <c r="H2086" s="11" t="n">
        <v>27</v>
      </c>
      <c r="I2086" s="11" t="s">
        <v>412</v>
      </c>
      <c r="J2086" s="14" t="n">
        <v>7</v>
      </c>
      <c r="K2086" s="14" t="n">
        <v>10</v>
      </c>
      <c r="L2086" s="16"/>
      <c r="M2086" s="27" t="n">
        <f aca="false">J2086+(K2086/20)+(L2086/240)</f>
        <v>7.5</v>
      </c>
      <c r="N2086" s="17" t="s">
        <v>64</v>
      </c>
      <c r="O2086" s="11"/>
      <c r="P2086" s="28" t="n">
        <f aca="false">16667/100</f>
        <v>166.67</v>
      </c>
      <c r="Q2086" s="28" t="n">
        <v>1250</v>
      </c>
      <c r="R2086" s="28"/>
      <c r="S2086" s="28" t="n">
        <f aca="false">R2086*$M2086</f>
        <v>0</v>
      </c>
      <c r="T2086" s="28"/>
      <c r="U2086" s="28" t="n">
        <f aca="false">T2086*$M2086</f>
        <v>0</v>
      </c>
      <c r="V2086" s="28" t="n">
        <f aca="false">407887/100</f>
        <v>4078.87</v>
      </c>
      <c r="W2086" s="28" t="n">
        <v>30591</v>
      </c>
      <c r="X2086" s="28" t="n">
        <f aca="false">4444/100</f>
        <v>44.44</v>
      </c>
      <c r="Y2086" s="28" t="n">
        <v>333</v>
      </c>
      <c r="Z2086" s="28" t="n">
        <f aca="false">16084/100</f>
        <v>160.84</v>
      </c>
      <c r="AA2086" s="28" t="n">
        <v>1206</v>
      </c>
      <c r="AB2086" s="28" t="n">
        <f aca="false">20834/100</f>
        <v>208.34</v>
      </c>
      <c r="AC2086" s="28" t="n">
        <v>1562</v>
      </c>
      <c r="AD2086" s="28"/>
      <c r="AE2086" s="28" t="n">
        <f aca="false">AD2086*$M2086</f>
        <v>0</v>
      </c>
      <c r="AF2086" s="28"/>
      <c r="AG2086" s="28" t="n">
        <f aca="false">AF2086*$M2086</f>
        <v>0</v>
      </c>
      <c r="AH2086" s="28"/>
      <c r="AI2086" s="28" t="n">
        <f aca="false">AH2086*$M2086</f>
        <v>0</v>
      </c>
      <c r="AJ2086" s="28"/>
      <c r="AK2086" s="28" t="n">
        <f aca="false">AJ2086*$M2086</f>
        <v>0</v>
      </c>
      <c r="AL2086" s="28"/>
      <c r="AM2086" s="28" t="n">
        <f aca="false">AL2086*$M2086</f>
        <v>0</v>
      </c>
      <c r="AN2086" s="28"/>
      <c r="AO2086" s="28" t="n">
        <f aca="false">AN2086*$M2086</f>
        <v>0</v>
      </c>
      <c r="AP2086" s="28"/>
      <c r="AQ2086" s="28" t="n">
        <f aca="false">AP2086*$M2086</f>
        <v>0</v>
      </c>
      <c r="AR2086" s="28"/>
      <c r="AS2086" s="28" t="n">
        <f aca="false">AR2086*$M2086</f>
        <v>0</v>
      </c>
      <c r="AT2086" s="28"/>
      <c r="AU2086" s="28" t="n">
        <f aca="false">AT2086*$M2086</f>
        <v>0</v>
      </c>
      <c r="AV2086" s="28"/>
      <c r="AW2086" s="28" t="n">
        <f aca="false">AV2086*$M2086</f>
        <v>0</v>
      </c>
      <c r="AX2086" s="28"/>
      <c r="AY2086" s="28" t="n">
        <f aca="false">AX2086*$M2086</f>
        <v>0</v>
      </c>
      <c r="AZ2086" s="30" t="n">
        <f aca="false">465916/100</f>
        <v>4659.16</v>
      </c>
      <c r="BA2086" s="11" t="n">
        <v>34942</v>
      </c>
      <c r="BB2086" s="31" t="n">
        <f aca="false">SUM(Q2086,S2086,U2086,W2086,Y2086,AA2086,AC2086,AE2086,AG2086,AI2086,AK2086,AM2086,AO2086,AQ2086,AS2086,AU2086,AW2086,AY2086)</f>
        <v>34942</v>
      </c>
      <c r="BC2086" s="28" t="n">
        <f aca="false">BA2086-BB2086</f>
        <v>0</v>
      </c>
      <c r="BD2086" s="32" t="n">
        <f aca="false">SUM(P2086,R2086,T2086,V2086,X2086,Z2086,AB2086,AD2086,AF2086,AH2086,AJ2086,AL2086,AN2086,AP2086,AR2086,AT2086,AV2086,AX2086)</f>
        <v>4659.16</v>
      </c>
      <c r="BE2086" s="33" t="n">
        <f aca="false">AZ2086-BD2086</f>
        <v>0</v>
      </c>
      <c r="BF2086" s="34" t="n">
        <f aca="false">BD2086*M2086</f>
        <v>34943.7</v>
      </c>
      <c r="BG2086" s="35" t="n">
        <f aca="false">BA2086-BF2086</f>
        <v>-1.69999999999709</v>
      </c>
      <c r="BH2086" s="19" t="str">
        <f aca="false">IF(BG2086=0,"",IF(BG2086&lt;&gt;BA2086,"erreur de calcul",IF(BD2086&lt;&gt;0,"pas de prix",IF(M2086&lt;&gt; 0,"pas de quantité","pas de prix, ni de quantité"))))</f>
        <v>erreur de calcul</v>
      </c>
      <c r="BI2086" s="19"/>
    </row>
    <row r="2087" customFormat="false" ht="15" hidden="false" customHeight="false" outlineLevel="0" collapsed="false">
      <c r="A2087" s="0" t="n">
        <v>2</v>
      </c>
      <c r="B2087" s="8" t="s">
        <v>24</v>
      </c>
      <c r="C2087" s="9" t="s">
        <v>25</v>
      </c>
      <c r="D2087" s="9" t="s">
        <v>26</v>
      </c>
      <c r="E2087" s="10" t="n">
        <v>1789</v>
      </c>
      <c r="F2087" s="9" t="s">
        <v>27</v>
      </c>
      <c r="G2087" s="9" t="s">
        <v>27</v>
      </c>
      <c r="H2087" s="11" t="n">
        <v>27</v>
      </c>
      <c r="I2087" s="11" t="s">
        <v>413</v>
      </c>
      <c r="J2087" s="14" t="n">
        <v>3</v>
      </c>
      <c r="K2087" s="14"/>
      <c r="L2087" s="16"/>
      <c r="M2087" s="27" t="n">
        <f aca="false">J2087+(K2087/20)+(L2087/240)</f>
        <v>3</v>
      </c>
      <c r="N2087" s="17" t="s">
        <v>66</v>
      </c>
      <c r="O2087" s="11"/>
      <c r="P2087" s="28"/>
      <c r="Q2087" s="28" t="n">
        <f aca="false">P2087*$M2087</f>
        <v>0</v>
      </c>
      <c r="R2087" s="28"/>
      <c r="S2087" s="28" t="n">
        <f aca="false">R2087*$M2087</f>
        <v>0</v>
      </c>
      <c r="T2087" s="28"/>
      <c r="U2087" s="28" t="n">
        <f aca="false">T2087*$M2087</f>
        <v>0</v>
      </c>
      <c r="V2087" s="28"/>
      <c r="W2087" s="28" t="n">
        <f aca="false">V2087*$M2087</f>
        <v>0</v>
      </c>
      <c r="X2087" s="28"/>
      <c r="Y2087" s="28" t="n">
        <f aca="false">X2087*$M2087</f>
        <v>0</v>
      </c>
      <c r="Z2087" s="28"/>
      <c r="AA2087" s="28" t="n">
        <f aca="false">Z2087*$M2087</f>
        <v>0</v>
      </c>
      <c r="AB2087" s="28"/>
      <c r="AC2087" s="28" t="n">
        <f aca="false">AB2087*$M2087</f>
        <v>0</v>
      </c>
      <c r="AD2087" s="28"/>
      <c r="AE2087" s="28" t="n">
        <f aca="false">AD2087*$M2087</f>
        <v>0</v>
      </c>
      <c r="AF2087" s="28"/>
      <c r="AG2087" s="28" t="n">
        <f aca="false">AF2087*$M2087</f>
        <v>0</v>
      </c>
      <c r="AH2087" s="28" t="n">
        <v>58272</v>
      </c>
      <c r="AI2087" s="28" t="n">
        <v>174816</v>
      </c>
      <c r="AJ2087" s="28"/>
      <c r="AK2087" s="28" t="n">
        <f aca="false">AJ2087*$M2087</f>
        <v>0</v>
      </c>
      <c r="AL2087" s="28"/>
      <c r="AM2087" s="28" t="n">
        <f aca="false">AL2087*$M2087</f>
        <v>0</v>
      </c>
      <c r="AN2087" s="28"/>
      <c r="AO2087" s="28" t="n">
        <f aca="false">AN2087*$M2087</f>
        <v>0</v>
      </c>
      <c r="AP2087" s="28"/>
      <c r="AQ2087" s="28" t="n">
        <f aca="false">AP2087*$M2087</f>
        <v>0</v>
      </c>
      <c r="AR2087" s="28"/>
      <c r="AS2087" s="28" t="n">
        <f aca="false">AR2087*$M2087</f>
        <v>0</v>
      </c>
      <c r="AT2087" s="28"/>
      <c r="AU2087" s="28" t="n">
        <f aca="false">AT2087*$M2087</f>
        <v>0</v>
      </c>
      <c r="AV2087" s="28"/>
      <c r="AW2087" s="28" t="n">
        <f aca="false">AV2087*$M2087</f>
        <v>0</v>
      </c>
      <c r="AX2087" s="28"/>
      <c r="AY2087" s="28" t="n">
        <f aca="false">AX2087*$M2087</f>
        <v>0</v>
      </c>
      <c r="AZ2087" s="30" t="n">
        <f aca="false">58272</f>
        <v>58272</v>
      </c>
      <c r="BA2087" s="11" t="n">
        <v>174816</v>
      </c>
      <c r="BB2087" s="31" t="n">
        <f aca="false">SUM(Q2087,S2087,U2087,W2087,Y2087,AA2087,AC2087,AE2087,AG2087,AI2087,AK2087,AM2087,AO2087,AQ2087,AS2087,AU2087,AW2087,AY2087)</f>
        <v>174816</v>
      </c>
      <c r="BC2087" s="28" t="n">
        <f aca="false">BA2087-BB2087</f>
        <v>0</v>
      </c>
      <c r="BD2087" s="32" t="n">
        <f aca="false">SUM(P2087,R2087,T2087,V2087,X2087,Z2087,AB2087,AD2087,AF2087,AH2087,AJ2087,AL2087,AN2087,AP2087,AR2087,AT2087,AV2087,AX2087)</f>
        <v>58272</v>
      </c>
      <c r="BE2087" s="33" t="n">
        <f aca="false">AZ2087-BD2087</f>
        <v>0</v>
      </c>
      <c r="BF2087" s="34" t="n">
        <f aca="false">BD2087*M2087</f>
        <v>174816</v>
      </c>
      <c r="BG2087" s="35" t="n">
        <f aca="false">BA2087-BF2087</f>
        <v>0</v>
      </c>
      <c r="BH2087" s="19" t="str">
        <f aca="false">IF(BG2087=0,"",IF(BG2087&lt;&gt;BA2087,"erreur de calcul",IF(BD2087&lt;&gt;0,"pas de prix",IF(M2087&lt;&gt; 0,"pas de quantité","pas de prix, ni de quantité"))))</f>
        <v/>
      </c>
      <c r="BI2087" s="19"/>
    </row>
    <row r="2088" customFormat="false" ht="15" hidden="false" customHeight="false" outlineLevel="0" collapsed="false">
      <c r="A2088" s="0" t="n">
        <v>3</v>
      </c>
      <c r="B2088" s="8" t="s">
        <v>24</v>
      </c>
      <c r="C2088" s="9" t="s">
        <v>25</v>
      </c>
      <c r="D2088" s="9" t="s">
        <v>26</v>
      </c>
      <c r="E2088" s="10" t="n">
        <v>1789</v>
      </c>
      <c r="F2088" s="9" t="s">
        <v>27</v>
      </c>
      <c r="G2088" s="9" t="s">
        <v>27</v>
      </c>
      <c r="H2088" s="11" t="n">
        <v>27</v>
      </c>
      <c r="I2088" s="11" t="s">
        <v>414</v>
      </c>
      <c r="J2088" s="14" t="n">
        <v>3</v>
      </c>
      <c r="K2088" s="14"/>
      <c r="L2088" s="16"/>
      <c r="M2088" s="27" t="n">
        <f aca="false">J2088+(K2088/20)+(L2088/240)</f>
        <v>3</v>
      </c>
      <c r="N2088" s="17" t="s">
        <v>66</v>
      </c>
      <c r="O2088" s="11" t="s">
        <v>98</v>
      </c>
      <c r="P2088" s="28"/>
      <c r="Q2088" s="28" t="n">
        <f aca="false">P2088*$M2088</f>
        <v>0</v>
      </c>
      <c r="R2088" s="28"/>
      <c r="S2088" s="28" t="n">
        <f aca="false">R2088*$M2088</f>
        <v>0</v>
      </c>
      <c r="T2088" s="28"/>
      <c r="U2088" s="28" t="n">
        <f aca="false">T2088*$M2088</f>
        <v>0</v>
      </c>
      <c r="V2088" s="28"/>
      <c r="W2088" s="28" t="n">
        <f aca="false">V2088*$M2088</f>
        <v>0</v>
      </c>
      <c r="X2088" s="28"/>
      <c r="Y2088" s="28" t="n">
        <f aca="false">X2088*$M2088</f>
        <v>0</v>
      </c>
      <c r="Z2088" s="28"/>
      <c r="AA2088" s="28" t="n">
        <f aca="false">Z2088*$M2088</f>
        <v>0</v>
      </c>
      <c r="AB2088" s="28"/>
      <c r="AC2088" s="28" t="n">
        <f aca="false">AB2088*$M2088</f>
        <v>0</v>
      </c>
      <c r="AD2088" s="28"/>
      <c r="AE2088" s="28" t="n">
        <f aca="false">AD2088*$M2088</f>
        <v>0</v>
      </c>
      <c r="AF2088" s="28"/>
      <c r="AG2088" s="28" t="n">
        <f aca="false">AF2088*$M2088</f>
        <v>0</v>
      </c>
      <c r="AH2088" s="28" t="n">
        <v>110560</v>
      </c>
      <c r="AI2088" s="28" t="n">
        <v>331680</v>
      </c>
      <c r="AJ2088" s="28"/>
      <c r="AK2088" s="28" t="n">
        <f aca="false">AJ2088*$M2088</f>
        <v>0</v>
      </c>
      <c r="AL2088" s="28"/>
      <c r="AM2088" s="28" t="n">
        <f aca="false">AL2088*$M2088</f>
        <v>0</v>
      </c>
      <c r="AN2088" s="28"/>
      <c r="AO2088" s="28" t="n">
        <f aca="false">AN2088*$M2088</f>
        <v>0</v>
      </c>
      <c r="AP2088" s="28"/>
      <c r="AQ2088" s="28" t="n">
        <f aca="false">AP2088*$M2088</f>
        <v>0</v>
      </c>
      <c r="AR2088" s="28"/>
      <c r="AS2088" s="28" t="n">
        <f aca="false">AR2088*$M2088</f>
        <v>0</v>
      </c>
      <c r="AT2088" s="28"/>
      <c r="AU2088" s="28" t="n">
        <f aca="false">AT2088*$M2088</f>
        <v>0</v>
      </c>
      <c r="AV2088" s="28"/>
      <c r="AW2088" s="28" t="n">
        <f aca="false">AV2088*$M2088</f>
        <v>0</v>
      </c>
      <c r="AX2088" s="28"/>
      <c r="AY2088" s="28" t="n">
        <f aca="false">AX2088*$M2088</f>
        <v>0</v>
      </c>
      <c r="AZ2088" s="30" t="n">
        <v>110560</v>
      </c>
      <c r="BA2088" s="11" t="n">
        <v>331680</v>
      </c>
      <c r="BB2088" s="31" t="n">
        <f aca="false">SUM(Q2088,S2088,U2088,W2088,Y2088,AA2088,AC2088,AE2088,AG2088,AI2088,AK2088,AM2088,AO2088,AQ2088,AS2088,AU2088,AW2088,AY2088)</f>
        <v>331680</v>
      </c>
      <c r="BC2088" s="28" t="n">
        <f aca="false">BA2088-BB2088</f>
        <v>0</v>
      </c>
      <c r="BD2088" s="32" t="n">
        <f aca="false">SUM(P2088,R2088,T2088,V2088,X2088,Z2088,AB2088,AD2088,AF2088,AH2088,AJ2088,AL2088,AN2088,AP2088,AR2088,AT2088,AV2088,AX2088)</f>
        <v>110560</v>
      </c>
      <c r="BE2088" s="33" t="n">
        <f aca="false">AZ2088-BD2088</f>
        <v>0</v>
      </c>
      <c r="BF2088" s="34" t="n">
        <f aca="false">BD2088*M2088</f>
        <v>331680</v>
      </c>
      <c r="BG2088" s="35" t="n">
        <f aca="false">BA2088-BF2088</f>
        <v>0</v>
      </c>
      <c r="BH2088" s="19" t="str">
        <f aca="false">IF(BG2088=0,"",IF(BG2088&lt;&gt;BA2088,"erreur de calcul",IF(BD2088&lt;&gt;0,"pas de prix",IF(M2088&lt;&gt; 0,"pas de quantité","pas de prix, ni de quantité"))))</f>
        <v/>
      </c>
      <c r="BI2088" s="19"/>
    </row>
    <row r="2089" customFormat="false" ht="15" hidden="false" customHeight="false" outlineLevel="0" collapsed="false">
      <c r="A2089" s="0" t="n">
        <v>4</v>
      </c>
      <c r="B2089" s="8" t="s">
        <v>24</v>
      </c>
      <c r="C2089" s="9" t="s">
        <v>25</v>
      </c>
      <c r="D2089" s="9" t="s">
        <v>26</v>
      </c>
      <c r="E2089" s="10" t="n">
        <v>1789</v>
      </c>
      <c r="F2089" s="9" t="s">
        <v>27</v>
      </c>
      <c r="G2089" s="9" t="s">
        <v>27</v>
      </c>
      <c r="H2089" s="11" t="n">
        <v>27</v>
      </c>
      <c r="I2089" s="11" t="s">
        <v>415</v>
      </c>
      <c r="J2089" s="14" t="n">
        <v>3</v>
      </c>
      <c r="K2089" s="14" t="n">
        <v>10</v>
      </c>
      <c r="L2089" s="16"/>
      <c r="M2089" s="27" t="n">
        <f aca="false">J2089+(K2089/20)+(L2089/240)</f>
        <v>3.5</v>
      </c>
      <c r="N2089" s="17" t="s">
        <v>66</v>
      </c>
      <c r="O2089" s="11" t="s">
        <v>98</v>
      </c>
      <c r="P2089" s="28"/>
      <c r="Q2089" s="28" t="n">
        <f aca="false">P2089*$M2089</f>
        <v>0</v>
      </c>
      <c r="R2089" s="28"/>
      <c r="S2089" s="28" t="n">
        <f aca="false">R2089*$M2089</f>
        <v>0</v>
      </c>
      <c r="T2089" s="28"/>
      <c r="U2089" s="28" t="n">
        <f aca="false">T2089*$M2089</f>
        <v>0</v>
      </c>
      <c r="V2089" s="28"/>
      <c r="W2089" s="28" t="n">
        <f aca="false">V2089*$M2089</f>
        <v>0</v>
      </c>
      <c r="X2089" s="28" t="n">
        <v>218</v>
      </c>
      <c r="Y2089" s="28" t="n">
        <v>763</v>
      </c>
      <c r="Z2089" s="28"/>
      <c r="AA2089" s="28" t="n">
        <f aca="false">Z2089*$M2089</f>
        <v>0</v>
      </c>
      <c r="AB2089" s="28"/>
      <c r="AC2089" s="28" t="n">
        <f aca="false">AB2089*$M2089</f>
        <v>0</v>
      </c>
      <c r="AD2089" s="28"/>
      <c r="AE2089" s="28" t="n">
        <f aca="false">AD2089*$M2089</f>
        <v>0</v>
      </c>
      <c r="AF2089" s="28"/>
      <c r="AG2089" s="28" t="n">
        <f aca="false">AF2089*$M2089</f>
        <v>0</v>
      </c>
      <c r="AH2089" s="28" t="n">
        <v>25905</v>
      </c>
      <c r="AI2089" s="28" t="n">
        <v>90667</v>
      </c>
      <c r="AJ2089" s="28"/>
      <c r="AK2089" s="28" t="n">
        <f aca="false">AJ2089*$M2089</f>
        <v>0</v>
      </c>
      <c r="AL2089" s="28"/>
      <c r="AM2089" s="28" t="n">
        <f aca="false">AL2089*$M2089</f>
        <v>0</v>
      </c>
      <c r="AN2089" s="28"/>
      <c r="AO2089" s="28" t="n">
        <f aca="false">AN2089*$M2089</f>
        <v>0</v>
      </c>
      <c r="AP2089" s="28"/>
      <c r="AQ2089" s="28" t="n">
        <f aca="false">AP2089*$M2089</f>
        <v>0</v>
      </c>
      <c r="AR2089" s="28"/>
      <c r="AS2089" s="28" t="n">
        <f aca="false">AR2089*$M2089</f>
        <v>0</v>
      </c>
      <c r="AT2089" s="28"/>
      <c r="AU2089" s="28" t="n">
        <f aca="false">AT2089*$M2089</f>
        <v>0</v>
      </c>
      <c r="AV2089" s="28"/>
      <c r="AW2089" s="28" t="n">
        <f aca="false">AV2089*$M2089</f>
        <v>0</v>
      </c>
      <c r="AX2089" s="28"/>
      <c r="AY2089" s="28" t="n">
        <f aca="false">AX2089*$M2089</f>
        <v>0</v>
      </c>
      <c r="AZ2089" s="30" t="n">
        <v>26123</v>
      </c>
      <c r="BA2089" s="11" t="n">
        <v>91430</v>
      </c>
      <c r="BB2089" s="31" t="n">
        <f aca="false">SUM(Q2089,S2089,U2089,W2089,Y2089,AA2089,AC2089,AE2089,AG2089,AI2089,AK2089,AM2089,AO2089,AQ2089,AS2089,AU2089,AW2089,AY2089)</f>
        <v>91430</v>
      </c>
      <c r="BC2089" s="28" t="n">
        <f aca="false">BA2089-BB2089</f>
        <v>0</v>
      </c>
      <c r="BD2089" s="32" t="n">
        <f aca="false">SUM(P2089,R2089,T2089,V2089,X2089,Z2089,AB2089,AD2089,AF2089,AH2089,AJ2089,AL2089,AN2089,AP2089,AR2089,AT2089,AV2089,AX2089)</f>
        <v>26123</v>
      </c>
      <c r="BE2089" s="33" t="n">
        <f aca="false">AZ2089-BD2089</f>
        <v>0</v>
      </c>
      <c r="BF2089" s="34" t="n">
        <f aca="false">BD2089*M2089</f>
        <v>91430.5</v>
      </c>
      <c r="BG2089" s="35" t="n">
        <f aca="false">BA2089-BF2089</f>
        <v>-0.5</v>
      </c>
      <c r="BH2089" s="19" t="str">
        <f aca="false">IF(BG2089=0,"",IF(BG2089&lt;&gt;BA2089,"erreur de calcul",IF(BD2089&lt;&gt;0,"pas de prix",IF(M2089&lt;&gt; 0,"pas de quantité","pas de prix, ni de quantité"))))</f>
        <v>erreur de calcul</v>
      </c>
      <c r="BI2089" s="19"/>
    </row>
    <row r="2090" customFormat="false" ht="15" hidden="false" customHeight="false" outlineLevel="0" collapsed="false">
      <c r="A2090" s="0" t="n">
        <v>5</v>
      </c>
      <c r="B2090" s="8" t="s">
        <v>24</v>
      </c>
      <c r="C2090" s="9" t="s">
        <v>25</v>
      </c>
      <c r="D2090" s="9" t="s">
        <v>26</v>
      </c>
      <c r="E2090" s="10" t="n">
        <v>1789</v>
      </c>
      <c r="F2090" s="9" t="s">
        <v>27</v>
      </c>
      <c r="G2090" s="9" t="s">
        <v>27</v>
      </c>
      <c r="H2090" s="11" t="n">
        <v>27</v>
      </c>
      <c r="I2090" s="11" t="s">
        <v>416</v>
      </c>
      <c r="J2090" s="14"/>
      <c r="K2090" s="14" t="n">
        <v>30</v>
      </c>
      <c r="L2090" s="16"/>
      <c r="M2090" s="27" t="n">
        <f aca="false">J2090+(K2090/20)+(L2090/240)</f>
        <v>1.5</v>
      </c>
      <c r="N2090" s="17" t="s">
        <v>66</v>
      </c>
      <c r="O2090" s="11"/>
      <c r="P2090" s="28"/>
      <c r="Q2090" s="28" t="n">
        <f aca="false">P2090*$M2090</f>
        <v>0</v>
      </c>
      <c r="R2090" s="28"/>
      <c r="S2090" s="28" t="n">
        <f aca="false">R2090*$M2090</f>
        <v>0</v>
      </c>
      <c r="T2090" s="28"/>
      <c r="U2090" s="28" t="n">
        <f aca="false">T2090*$M2090</f>
        <v>0</v>
      </c>
      <c r="V2090" s="28"/>
      <c r="W2090" s="28" t="n">
        <f aca="false">V2090*$M2090</f>
        <v>0</v>
      </c>
      <c r="X2090" s="28"/>
      <c r="Y2090" s="28" t="n">
        <f aca="false">X2090*$M2090</f>
        <v>0</v>
      </c>
      <c r="Z2090" s="28"/>
      <c r="AA2090" s="28" t="n">
        <f aca="false">Z2090*$M2090</f>
        <v>0</v>
      </c>
      <c r="AB2090" s="28"/>
      <c r="AC2090" s="28" t="n">
        <f aca="false">AB2090*$M2090</f>
        <v>0</v>
      </c>
      <c r="AD2090" s="28"/>
      <c r="AE2090" s="28" t="n">
        <f aca="false">AD2090*$M2090</f>
        <v>0</v>
      </c>
      <c r="AF2090" s="28"/>
      <c r="AG2090" s="28" t="n">
        <f aca="false">AF2090*$M2090</f>
        <v>0</v>
      </c>
      <c r="AH2090" s="28" t="n">
        <v>75870</v>
      </c>
      <c r="AI2090" s="28" t="n">
        <v>113805</v>
      </c>
      <c r="AJ2090" s="28"/>
      <c r="AK2090" s="28" t="n">
        <f aca="false">AJ2090*$M2090</f>
        <v>0</v>
      </c>
      <c r="AL2090" s="28"/>
      <c r="AM2090" s="28" t="n">
        <f aca="false">AL2090*$M2090</f>
        <v>0</v>
      </c>
      <c r="AN2090" s="28"/>
      <c r="AO2090" s="28" t="n">
        <f aca="false">AN2090*$M2090</f>
        <v>0</v>
      </c>
      <c r="AP2090" s="28"/>
      <c r="AQ2090" s="28" t="n">
        <f aca="false">AP2090*$M2090</f>
        <v>0</v>
      </c>
      <c r="AR2090" s="28"/>
      <c r="AS2090" s="28" t="n">
        <f aca="false">AR2090*$M2090</f>
        <v>0</v>
      </c>
      <c r="AT2090" s="28"/>
      <c r="AU2090" s="28" t="n">
        <f aca="false">AT2090*$M2090</f>
        <v>0</v>
      </c>
      <c r="AV2090" s="28"/>
      <c r="AW2090" s="28" t="n">
        <f aca="false">AV2090*$M2090</f>
        <v>0</v>
      </c>
      <c r="AX2090" s="28"/>
      <c r="AY2090" s="28" t="n">
        <f aca="false">AX2090*$M2090</f>
        <v>0</v>
      </c>
      <c r="AZ2090" s="30" t="n">
        <v>75870</v>
      </c>
      <c r="BA2090" s="11" t="n">
        <v>113805</v>
      </c>
      <c r="BB2090" s="31" t="n">
        <f aca="false">SUM(Q2090,S2090,U2090,W2090,Y2090,AA2090,AC2090,AE2090,AG2090,AI2090,AK2090,AM2090,AO2090,AQ2090,AS2090,AU2090,AW2090,AY2090)</f>
        <v>113805</v>
      </c>
      <c r="BC2090" s="28" t="n">
        <f aca="false">BA2090-BB2090</f>
        <v>0</v>
      </c>
      <c r="BD2090" s="32" t="n">
        <f aca="false">SUM(P2090,R2090,T2090,V2090,X2090,Z2090,AB2090,AD2090,AF2090,AH2090,AJ2090,AL2090,AN2090,AP2090,AR2090,AT2090,AV2090,AX2090)</f>
        <v>75870</v>
      </c>
      <c r="BE2090" s="33" t="n">
        <f aca="false">AZ2090-BD2090</f>
        <v>0</v>
      </c>
      <c r="BF2090" s="34" t="n">
        <f aca="false">BD2090*M2090</f>
        <v>113805</v>
      </c>
      <c r="BG2090" s="35" t="n">
        <f aca="false">BA2090-BF2090</f>
        <v>0</v>
      </c>
      <c r="BH2090" s="19" t="str">
        <f aca="false">IF(BG2090=0,"",IF(BG2090&lt;&gt;BA2090,"erreur de calcul",IF(BD2090&lt;&gt;0,"pas de prix",IF(M2090&lt;&gt; 0,"pas de quantité","pas de prix, ni de quantité"))))</f>
        <v/>
      </c>
      <c r="BI2090" s="19"/>
    </row>
    <row r="2091" customFormat="false" ht="15" hidden="false" customHeight="false" outlineLevel="0" collapsed="false">
      <c r="A2091" s="0" t="n">
        <v>6</v>
      </c>
      <c r="B2091" s="8" t="s">
        <v>24</v>
      </c>
      <c r="C2091" s="9" t="s">
        <v>25</v>
      </c>
      <c r="D2091" s="9" t="s">
        <v>26</v>
      </c>
      <c r="E2091" s="10" t="n">
        <v>1789</v>
      </c>
      <c r="F2091" s="9" t="s">
        <v>27</v>
      </c>
      <c r="G2091" s="9" t="s">
        <v>27</v>
      </c>
      <c r="H2091" s="11" t="n">
        <v>27</v>
      </c>
      <c r="I2091" s="11" t="s">
        <v>417</v>
      </c>
      <c r="J2091" s="14" t="n">
        <v>3</v>
      </c>
      <c r="K2091" s="14"/>
      <c r="L2091" s="16"/>
      <c r="M2091" s="27" t="n">
        <f aca="false">J2091+(K2091/20)+(L2091/240)</f>
        <v>3</v>
      </c>
      <c r="N2091" s="17" t="s">
        <v>66</v>
      </c>
      <c r="O2091" s="11"/>
      <c r="P2091" s="28"/>
      <c r="Q2091" s="28" t="n">
        <f aca="false">P2091*$M2091</f>
        <v>0</v>
      </c>
      <c r="R2091" s="28"/>
      <c r="S2091" s="28" t="n">
        <f aca="false">R2091*$M2091</f>
        <v>0</v>
      </c>
      <c r="T2091" s="28"/>
      <c r="U2091" s="28" t="n">
        <f aca="false">T2091*$M2091</f>
        <v>0</v>
      </c>
      <c r="V2091" s="28"/>
      <c r="W2091" s="28" t="n">
        <f aca="false">V2091*$M2091</f>
        <v>0</v>
      </c>
      <c r="X2091" s="28"/>
      <c r="Y2091" s="28" t="n">
        <f aca="false">X2091*$M2091</f>
        <v>0</v>
      </c>
      <c r="Z2091" s="28"/>
      <c r="AA2091" s="28" t="n">
        <f aca="false">Z2091*$M2091</f>
        <v>0</v>
      </c>
      <c r="AB2091" s="28"/>
      <c r="AC2091" s="28" t="n">
        <f aca="false">AB2091*$M2091</f>
        <v>0</v>
      </c>
      <c r="AD2091" s="28"/>
      <c r="AE2091" s="28" t="n">
        <f aca="false">AD2091*$M2091</f>
        <v>0</v>
      </c>
      <c r="AF2091" s="28"/>
      <c r="AG2091" s="28" t="n">
        <f aca="false">AF2091*$M2091</f>
        <v>0</v>
      </c>
      <c r="AH2091" s="28" t="n">
        <v>121588</v>
      </c>
      <c r="AI2091" s="28" t="n">
        <v>364764</v>
      </c>
      <c r="AJ2091" s="28"/>
      <c r="AK2091" s="28" t="n">
        <f aca="false">AJ2091*$M2091</f>
        <v>0</v>
      </c>
      <c r="AL2091" s="28"/>
      <c r="AM2091" s="28" t="n">
        <f aca="false">AL2091*$M2091</f>
        <v>0</v>
      </c>
      <c r="AN2091" s="28"/>
      <c r="AO2091" s="28" t="n">
        <f aca="false">AN2091*$M2091</f>
        <v>0</v>
      </c>
      <c r="AP2091" s="28"/>
      <c r="AQ2091" s="28" t="n">
        <f aca="false">AP2091*$M2091</f>
        <v>0</v>
      </c>
      <c r="AR2091" s="28"/>
      <c r="AS2091" s="28" t="n">
        <f aca="false">AR2091*$M2091</f>
        <v>0</v>
      </c>
      <c r="AT2091" s="28"/>
      <c r="AU2091" s="28" t="n">
        <f aca="false">AT2091*$M2091</f>
        <v>0</v>
      </c>
      <c r="AV2091" s="28"/>
      <c r="AW2091" s="28" t="n">
        <f aca="false">AV2091*$M2091</f>
        <v>0</v>
      </c>
      <c r="AX2091" s="28"/>
      <c r="AY2091" s="28" t="n">
        <f aca="false">AX2091*$M2091</f>
        <v>0</v>
      </c>
      <c r="AZ2091" s="30" t="n">
        <v>121588</v>
      </c>
      <c r="BA2091" s="11" t="n">
        <v>364764</v>
      </c>
      <c r="BB2091" s="31" t="n">
        <f aca="false">SUM(Q2091,S2091,U2091,W2091,Y2091,AA2091,AC2091,AE2091,AG2091,AI2091,AK2091,AM2091,AO2091,AQ2091,AS2091,AU2091,AW2091,AY2091)</f>
        <v>364764</v>
      </c>
      <c r="BC2091" s="28" t="n">
        <f aca="false">BA2091-BB2091</f>
        <v>0</v>
      </c>
      <c r="BD2091" s="32" t="n">
        <f aca="false">SUM(P2091,R2091,T2091,V2091,X2091,Z2091,AB2091,AD2091,AF2091,AH2091,AJ2091,AL2091,AN2091,AP2091,AR2091,AT2091,AV2091,AX2091)</f>
        <v>121588</v>
      </c>
      <c r="BE2091" s="33" t="n">
        <f aca="false">AZ2091-BD2091</f>
        <v>0</v>
      </c>
      <c r="BF2091" s="34" t="n">
        <f aca="false">BD2091*M2091</f>
        <v>364764</v>
      </c>
      <c r="BG2091" s="35" t="n">
        <f aca="false">BA2091-BF2091</f>
        <v>0</v>
      </c>
      <c r="BH2091" s="19" t="str">
        <f aca="false">IF(BG2091=0,"",IF(BG2091&lt;&gt;BA2091,"erreur de calcul",IF(BD2091&lt;&gt;0,"pas de prix",IF(M2091&lt;&gt; 0,"pas de quantité","pas de prix, ni de quantité"))))</f>
        <v/>
      </c>
      <c r="BI2091" s="19"/>
    </row>
    <row r="2092" customFormat="false" ht="15" hidden="false" customHeight="false" outlineLevel="0" collapsed="false">
      <c r="A2092" s="0" t="n">
        <v>7</v>
      </c>
      <c r="B2092" s="8" t="s">
        <v>24</v>
      </c>
      <c r="C2092" s="9" t="s">
        <v>25</v>
      </c>
      <c r="D2092" s="9" t="s">
        <v>26</v>
      </c>
      <c r="E2092" s="10" t="n">
        <v>1789</v>
      </c>
      <c r="F2092" s="9" t="s">
        <v>27</v>
      </c>
      <c r="G2092" s="9" t="s">
        <v>27</v>
      </c>
      <c r="H2092" s="11" t="n">
        <v>27</v>
      </c>
      <c r="I2092" s="11" t="s">
        <v>418</v>
      </c>
      <c r="J2092" s="14"/>
      <c r="K2092" s="14" t="n">
        <v>24</v>
      </c>
      <c r="L2092" s="16"/>
      <c r="M2092" s="27" t="n">
        <f aca="false">J2092+(K2092/20)+(L2092/240)</f>
        <v>1.2</v>
      </c>
      <c r="N2092" s="17" t="s">
        <v>66</v>
      </c>
      <c r="O2092" s="11"/>
      <c r="P2092" s="28"/>
      <c r="Q2092" s="28" t="n">
        <f aca="false">P2092*$M2092</f>
        <v>0</v>
      </c>
      <c r="R2092" s="28"/>
      <c r="S2092" s="28" t="n">
        <f aca="false">R2092*$M2092</f>
        <v>0</v>
      </c>
      <c r="T2092" s="28"/>
      <c r="U2092" s="28" t="n">
        <f aca="false">T2092*$M2092</f>
        <v>0</v>
      </c>
      <c r="V2092" s="28"/>
      <c r="W2092" s="28" t="n">
        <f aca="false">V2092*$M2092</f>
        <v>0</v>
      </c>
      <c r="X2092" s="28"/>
      <c r="Y2092" s="28" t="n">
        <f aca="false">X2092*$M2092</f>
        <v>0</v>
      </c>
      <c r="Z2092" s="28"/>
      <c r="AA2092" s="28" t="n">
        <f aca="false">Z2092*$M2092</f>
        <v>0</v>
      </c>
      <c r="AB2092" s="28"/>
      <c r="AC2092" s="28" t="n">
        <f aca="false">AB2092*$M2092</f>
        <v>0</v>
      </c>
      <c r="AD2092" s="28"/>
      <c r="AE2092" s="28" t="n">
        <f aca="false">AD2092*$M2092</f>
        <v>0</v>
      </c>
      <c r="AF2092" s="28"/>
      <c r="AG2092" s="28" t="n">
        <f aca="false">AF2092*$M2092</f>
        <v>0</v>
      </c>
      <c r="AH2092" s="28" t="n">
        <v>50204</v>
      </c>
      <c r="AI2092" s="28" t="n">
        <v>60245</v>
      </c>
      <c r="AJ2092" s="28"/>
      <c r="AK2092" s="28" t="n">
        <f aca="false">AJ2092*$M2092</f>
        <v>0</v>
      </c>
      <c r="AL2092" s="28"/>
      <c r="AM2092" s="28" t="n">
        <f aca="false">AL2092*$M2092</f>
        <v>0</v>
      </c>
      <c r="AN2092" s="28"/>
      <c r="AO2092" s="28" t="n">
        <f aca="false">AN2092*$M2092</f>
        <v>0</v>
      </c>
      <c r="AP2092" s="28"/>
      <c r="AQ2092" s="28" t="n">
        <f aca="false">AP2092*$M2092</f>
        <v>0</v>
      </c>
      <c r="AR2092" s="28"/>
      <c r="AS2092" s="28" t="n">
        <f aca="false">AR2092*$M2092</f>
        <v>0</v>
      </c>
      <c r="AT2092" s="28"/>
      <c r="AU2092" s="28" t="n">
        <f aca="false">AT2092*$M2092</f>
        <v>0</v>
      </c>
      <c r="AV2092" s="28"/>
      <c r="AW2092" s="28" t="n">
        <f aca="false">AV2092*$M2092</f>
        <v>0</v>
      </c>
      <c r="AX2092" s="28"/>
      <c r="AY2092" s="28" t="n">
        <f aca="false">AX2092*$M2092</f>
        <v>0</v>
      </c>
      <c r="AZ2092" s="30" t="n">
        <v>50204</v>
      </c>
      <c r="BA2092" s="11" t="n">
        <v>60245</v>
      </c>
      <c r="BB2092" s="31" t="n">
        <f aca="false">SUM(Q2092,S2092,U2092,W2092,Y2092,AA2092,AC2092,AE2092,AG2092,AI2092,AK2092,AM2092,AO2092,AQ2092,AS2092,AU2092,AW2092,AY2092)</f>
        <v>60245</v>
      </c>
      <c r="BC2092" s="28" t="n">
        <f aca="false">BA2092-BB2092</f>
        <v>0</v>
      </c>
      <c r="BD2092" s="32" t="n">
        <f aca="false">SUM(P2092,R2092,T2092,V2092,X2092,Z2092,AB2092,AD2092,AF2092,AH2092,AJ2092,AL2092,AN2092,AP2092,AR2092,AT2092,AV2092,AX2092)</f>
        <v>50204</v>
      </c>
      <c r="BE2092" s="33" t="n">
        <f aca="false">AZ2092-BD2092</f>
        <v>0</v>
      </c>
      <c r="BF2092" s="34" t="n">
        <f aca="false">BD2092*M2092</f>
        <v>60244.8</v>
      </c>
      <c r="BG2092" s="35" t="n">
        <f aca="false">BA2092-BF2092</f>
        <v>0.200000000004366</v>
      </c>
      <c r="BH2092" s="19" t="str">
        <f aca="false">IF(BG2092=0,"",IF(BG2092&lt;&gt;BA2092,"erreur de calcul",IF(BD2092&lt;&gt;0,"pas de prix",IF(M2092&lt;&gt; 0,"pas de quantité","pas de prix, ni de quantité"))))</f>
        <v>erreur de calcul</v>
      </c>
      <c r="BI2092" s="19"/>
    </row>
    <row r="2093" customFormat="false" ht="15" hidden="false" customHeight="false" outlineLevel="0" collapsed="false">
      <c r="A2093" s="0" t="n">
        <v>8</v>
      </c>
      <c r="B2093" s="8" t="s">
        <v>24</v>
      </c>
      <c r="C2093" s="9" t="s">
        <v>25</v>
      </c>
      <c r="D2093" s="9" t="s">
        <v>26</v>
      </c>
      <c r="E2093" s="10" t="n">
        <v>1789</v>
      </c>
      <c r="F2093" s="9" t="s">
        <v>27</v>
      </c>
      <c r="G2093" s="9" t="s">
        <v>27</v>
      </c>
      <c r="H2093" s="11" t="n">
        <v>27</v>
      </c>
      <c r="I2093" s="11" t="s">
        <v>419</v>
      </c>
      <c r="J2093" s="14" t="n">
        <v>40</v>
      </c>
      <c r="K2093" s="14"/>
      <c r="L2093" s="16"/>
      <c r="M2093" s="27" t="n">
        <f aca="false">J2093+(K2093/20)+(L2093/240)</f>
        <v>40</v>
      </c>
      <c r="N2093" s="17" t="s">
        <v>66</v>
      </c>
      <c r="O2093" s="11" t="s">
        <v>98</v>
      </c>
      <c r="P2093" s="28"/>
      <c r="Q2093" s="28" t="n">
        <f aca="false">P2093*$M2093</f>
        <v>0</v>
      </c>
      <c r="R2093" s="28"/>
      <c r="S2093" s="28" t="n">
        <f aca="false">R2093*$M2093</f>
        <v>0</v>
      </c>
      <c r="T2093" s="28"/>
      <c r="U2093" s="28" t="n">
        <f aca="false">T2093*$M2093</f>
        <v>0</v>
      </c>
      <c r="V2093" s="28"/>
      <c r="W2093" s="28" t="n">
        <f aca="false">V2093*$M2093</f>
        <v>0</v>
      </c>
      <c r="X2093" s="28"/>
      <c r="Y2093" s="28" t="n">
        <f aca="false">X2093*$M2093</f>
        <v>0</v>
      </c>
      <c r="Z2093" s="28"/>
      <c r="AA2093" s="28" t="n">
        <f aca="false">Z2093*$M2093</f>
        <v>0</v>
      </c>
      <c r="AB2093" s="28"/>
      <c r="AC2093" s="28" t="n">
        <f aca="false">AB2093*$M2093</f>
        <v>0</v>
      </c>
      <c r="AD2093" s="28"/>
      <c r="AE2093" s="28" t="n">
        <f aca="false">AD2093*$M2093</f>
        <v>0</v>
      </c>
      <c r="AF2093" s="28"/>
      <c r="AG2093" s="28" t="n">
        <f aca="false">AF2093*$M2093</f>
        <v>0</v>
      </c>
      <c r="AH2093" s="28"/>
      <c r="AI2093" s="28" t="n">
        <f aca="false">AH2093*$M2093</f>
        <v>0</v>
      </c>
      <c r="AJ2093" s="28"/>
      <c r="AK2093" s="28" t="n">
        <f aca="false">AJ2093*$M2093</f>
        <v>0</v>
      </c>
      <c r="AL2093" s="28"/>
      <c r="AM2093" s="28" t="n">
        <f aca="false">AL2093*$M2093</f>
        <v>0</v>
      </c>
      <c r="AN2093" s="28"/>
      <c r="AO2093" s="28" t="n">
        <f aca="false">AN2093*$M2093</f>
        <v>0</v>
      </c>
      <c r="AP2093" s="28"/>
      <c r="AQ2093" s="28" t="n">
        <f aca="false">AP2093*$M2093</f>
        <v>0</v>
      </c>
      <c r="AR2093" s="28"/>
      <c r="AS2093" s="28" t="n">
        <f aca="false">AR2093*$M2093</f>
        <v>0</v>
      </c>
      <c r="AT2093" s="28"/>
      <c r="AU2093" s="28" t="n">
        <f aca="false">AT2093*$M2093</f>
        <v>0</v>
      </c>
      <c r="AV2093" s="28"/>
      <c r="AW2093" s="28" t="n">
        <f aca="false">AV2093*$M2093</f>
        <v>0</v>
      </c>
      <c r="AX2093" s="28"/>
      <c r="AY2093" s="28" t="n">
        <f aca="false">AX2093*$M2093</f>
        <v>0</v>
      </c>
      <c r="AZ2093" s="30"/>
      <c r="BA2093" s="11"/>
      <c r="BB2093" s="31" t="n">
        <f aca="false">SUM(Q2093,S2093,U2093,W2093,Y2093,AA2093,AC2093,AE2093,AG2093,AI2093,AK2093,AM2093,AO2093,AQ2093,AS2093,AU2093,AW2093,AY2093)</f>
        <v>0</v>
      </c>
      <c r="BC2093" s="28" t="n">
        <f aca="false">BA2093-BB2093</f>
        <v>0</v>
      </c>
      <c r="BD2093" s="32" t="n">
        <f aca="false">SUM(P2093,R2093,T2093,V2093,X2093,Z2093,AB2093,AD2093,AF2093,AH2093,AJ2093,AL2093,AN2093,AP2093,AR2093,AT2093,AV2093,AX2093)</f>
        <v>0</v>
      </c>
      <c r="BE2093" s="33" t="n">
        <f aca="false">AZ2093-BD2093</f>
        <v>0</v>
      </c>
      <c r="BF2093" s="34" t="n">
        <f aca="false">BD2093*M2093</f>
        <v>0</v>
      </c>
      <c r="BG2093" s="35" t="n">
        <f aca="false">BA2093-BF2093</f>
        <v>0</v>
      </c>
      <c r="BH2093" s="19" t="str">
        <f aca="false">IF(BG2093=0,"",IF(BG2093&lt;&gt;BA2093,"erreur de calcul",IF(BD2093&lt;&gt;0,"pas de prix",IF(M2093&lt;&gt; 0,"pas de quantité","pas de prix, ni de quantité"))))</f>
        <v/>
      </c>
      <c r="BI2093" s="19"/>
    </row>
    <row r="2094" customFormat="false" ht="15" hidden="false" customHeight="false" outlineLevel="0" collapsed="false">
      <c r="A2094" s="0" t="n">
        <v>9</v>
      </c>
      <c r="B2094" s="8" t="s">
        <v>24</v>
      </c>
      <c r="C2094" s="9" t="s">
        <v>25</v>
      </c>
      <c r="D2094" s="9" t="s">
        <v>26</v>
      </c>
      <c r="E2094" s="10" t="n">
        <v>1789</v>
      </c>
      <c r="F2094" s="9" t="s">
        <v>27</v>
      </c>
      <c r="G2094" s="9" t="s">
        <v>27</v>
      </c>
      <c r="H2094" s="11" t="n">
        <v>27</v>
      </c>
      <c r="I2094" s="11" t="s">
        <v>420</v>
      </c>
      <c r="J2094" s="14" t="n">
        <v>9</v>
      </c>
      <c r="K2094" s="14"/>
      <c r="L2094" s="16"/>
      <c r="M2094" s="27" t="n">
        <f aca="false">J2094+(K2094/20)+(L2094/240)</f>
        <v>9</v>
      </c>
      <c r="N2094" s="17" t="s">
        <v>81</v>
      </c>
      <c r="O2094" s="11" t="s">
        <v>98</v>
      </c>
      <c r="P2094" s="28"/>
      <c r="Q2094" s="28" t="n">
        <f aca="false">P2094*$M2094</f>
        <v>0</v>
      </c>
      <c r="R2094" s="28"/>
      <c r="S2094" s="28" t="n">
        <f aca="false">R2094*$M2094</f>
        <v>0</v>
      </c>
      <c r="T2094" s="28"/>
      <c r="U2094" s="28" t="n">
        <f aca="false">T2094*$M2094</f>
        <v>0</v>
      </c>
      <c r="V2094" s="28"/>
      <c r="W2094" s="28" t="n">
        <f aca="false">V2094*$M2094</f>
        <v>0</v>
      </c>
      <c r="X2094" s="28"/>
      <c r="Y2094" s="28" t="n">
        <f aca="false">X2094*$M2094</f>
        <v>0</v>
      </c>
      <c r="Z2094" s="28"/>
      <c r="AA2094" s="28" t="n">
        <f aca="false">Z2094*$M2094</f>
        <v>0</v>
      </c>
      <c r="AB2094" s="28"/>
      <c r="AC2094" s="28" t="n">
        <f aca="false">AB2094*$M2094</f>
        <v>0</v>
      </c>
      <c r="AD2094" s="28"/>
      <c r="AE2094" s="28" t="n">
        <f aca="false">AD2094*$M2094</f>
        <v>0</v>
      </c>
      <c r="AF2094" s="28"/>
      <c r="AG2094" s="28" t="n">
        <f aca="false">AF2094*$M2094</f>
        <v>0</v>
      </c>
      <c r="AH2094" s="28"/>
      <c r="AI2094" s="28" t="n">
        <f aca="false">AH2094*$M2094</f>
        <v>0</v>
      </c>
      <c r="AJ2094" s="28"/>
      <c r="AK2094" s="28" t="n">
        <f aca="false">AJ2094*$M2094</f>
        <v>0</v>
      </c>
      <c r="AL2094" s="28"/>
      <c r="AM2094" s="28" t="n">
        <f aca="false">AL2094*$M2094</f>
        <v>0</v>
      </c>
      <c r="AN2094" s="28"/>
      <c r="AO2094" s="28" t="n">
        <f aca="false">AN2094*$M2094</f>
        <v>0</v>
      </c>
      <c r="AP2094" s="28"/>
      <c r="AQ2094" s="28" t="n">
        <f aca="false">AP2094*$M2094</f>
        <v>0</v>
      </c>
      <c r="AR2094" s="28"/>
      <c r="AS2094" s="28" t="n">
        <f aca="false">AR2094*$M2094</f>
        <v>0</v>
      </c>
      <c r="AT2094" s="28"/>
      <c r="AU2094" s="28" t="n">
        <f aca="false">AT2094*$M2094</f>
        <v>0</v>
      </c>
      <c r="AV2094" s="28"/>
      <c r="AW2094" s="28" t="n">
        <f aca="false">AV2094*$M2094</f>
        <v>0</v>
      </c>
      <c r="AX2094" s="28"/>
      <c r="AY2094" s="28" t="n">
        <f aca="false">AX2094*$M2094</f>
        <v>0</v>
      </c>
      <c r="AZ2094" s="30"/>
      <c r="BA2094" s="11"/>
      <c r="BB2094" s="31" t="n">
        <f aca="false">SUM(Q2094,S2094,U2094,W2094,Y2094,AA2094,AC2094,AE2094,AG2094,AI2094,AK2094,AM2094,AO2094,AQ2094,AS2094,AU2094,AW2094,AY2094)</f>
        <v>0</v>
      </c>
      <c r="BC2094" s="28" t="n">
        <f aca="false">BA2094-BB2094</f>
        <v>0</v>
      </c>
      <c r="BD2094" s="32" t="n">
        <f aca="false">SUM(P2094,R2094,T2094,V2094,X2094,Z2094,AB2094,AD2094,AF2094,AH2094,AJ2094,AL2094,AN2094,AP2094,AR2094,AT2094,AV2094,AX2094)</f>
        <v>0</v>
      </c>
      <c r="BE2094" s="33" t="n">
        <f aca="false">AZ2094-BD2094</f>
        <v>0</v>
      </c>
      <c r="BF2094" s="34" t="n">
        <f aca="false">BD2094*M2094</f>
        <v>0</v>
      </c>
      <c r="BG2094" s="35" t="n">
        <f aca="false">BA2094-BF2094</f>
        <v>0</v>
      </c>
      <c r="BH2094" s="19" t="str">
        <f aca="false">IF(BG2094=0,"",IF(BG2094&lt;&gt;BA2094,"erreur de calcul",IF(BD2094&lt;&gt;0,"pas de prix",IF(M2094&lt;&gt; 0,"pas de quantité","pas de prix, ni de quantité"))))</f>
        <v/>
      </c>
      <c r="BI2094" s="19"/>
    </row>
    <row r="2095" customFormat="false" ht="15" hidden="false" customHeight="false" outlineLevel="0" collapsed="false">
      <c r="A2095" s="0" t="n">
        <v>10</v>
      </c>
      <c r="B2095" s="8" t="s">
        <v>24</v>
      </c>
      <c r="C2095" s="9" t="s">
        <v>25</v>
      </c>
      <c r="D2095" s="9" t="s">
        <v>26</v>
      </c>
      <c r="E2095" s="10" t="n">
        <v>1789</v>
      </c>
      <c r="F2095" s="9" t="s">
        <v>27</v>
      </c>
      <c r="G2095" s="9" t="s">
        <v>27</v>
      </c>
      <c r="H2095" s="11" t="n">
        <v>27</v>
      </c>
      <c r="I2095" s="11" t="s">
        <v>421</v>
      </c>
      <c r="J2095" s="14" t="n">
        <v>220</v>
      </c>
      <c r="K2095" s="14"/>
      <c r="L2095" s="16"/>
      <c r="M2095" s="27" t="n">
        <f aca="false">J2095+(K2095/20)+(L2095/240)</f>
        <v>220</v>
      </c>
      <c r="N2095" s="17" t="s">
        <v>64</v>
      </c>
      <c r="O2095" s="11" t="s">
        <v>277</v>
      </c>
      <c r="P2095" s="28" t="n">
        <f aca="false">245/100</f>
        <v>2.45</v>
      </c>
      <c r="Q2095" s="28" t="n">
        <v>539</v>
      </c>
      <c r="R2095" s="28"/>
      <c r="S2095" s="28" t="n">
        <f aca="false">R2095*$M2095</f>
        <v>0</v>
      </c>
      <c r="T2095" s="28" t="n">
        <f aca="false">40119/100</f>
        <v>401.19</v>
      </c>
      <c r="U2095" s="28" t="n">
        <v>88262</v>
      </c>
      <c r="V2095" s="28" t="n">
        <f aca="false">14285/100</f>
        <v>142.85</v>
      </c>
      <c r="W2095" s="28" t="n">
        <v>31427</v>
      </c>
      <c r="X2095" s="28" t="n">
        <f aca="false">62608/100</f>
        <v>626.08</v>
      </c>
      <c r="Y2095" s="28" t="n">
        <v>137738</v>
      </c>
      <c r="Z2095" s="28" t="n">
        <f aca="false">523/100</f>
        <v>5.23</v>
      </c>
      <c r="AA2095" s="28" t="n">
        <v>1151</v>
      </c>
      <c r="AB2095" s="28" t="n">
        <f aca="false">56/100</f>
        <v>0.56</v>
      </c>
      <c r="AC2095" s="28" t="n">
        <v>123</v>
      </c>
      <c r="AD2095" s="28"/>
      <c r="AE2095" s="28" t="n">
        <f aca="false">AD2095*$M2095</f>
        <v>0</v>
      </c>
      <c r="AF2095" s="28"/>
      <c r="AG2095" s="28" t="n">
        <f aca="false">AF2095*$M2095</f>
        <v>0</v>
      </c>
      <c r="AH2095" s="28"/>
      <c r="AI2095" s="28" t="n">
        <f aca="false">AH2095*$M2095</f>
        <v>0</v>
      </c>
      <c r="AJ2095" s="28" t="n">
        <f aca="false">3845/100</f>
        <v>38.45</v>
      </c>
      <c r="AK2095" s="28" t="n">
        <v>8459</v>
      </c>
      <c r="AL2095" s="28" t="n">
        <f aca="false">26510/100</f>
        <v>265.1</v>
      </c>
      <c r="AM2095" s="28" t="n">
        <v>58322</v>
      </c>
      <c r="AN2095" s="28" t="n">
        <f aca="false">330/100</f>
        <v>3.3</v>
      </c>
      <c r="AO2095" s="28" t="n">
        <v>726</v>
      </c>
      <c r="AP2095" s="28"/>
      <c r="AQ2095" s="28" t="n">
        <f aca="false">AP2095*$M2095</f>
        <v>0</v>
      </c>
      <c r="AR2095" s="28"/>
      <c r="AS2095" s="28" t="n">
        <f aca="false">AR2095*$M2095</f>
        <v>0</v>
      </c>
      <c r="AT2095" s="28"/>
      <c r="AU2095" s="28" t="n">
        <f aca="false">AT2095*$M2095</f>
        <v>0</v>
      </c>
      <c r="AV2095" s="28" t="n">
        <f aca="false">1487/100</f>
        <v>14.87</v>
      </c>
      <c r="AW2095" s="28" t="n">
        <v>3271</v>
      </c>
      <c r="AX2095" s="28"/>
      <c r="AY2095" s="28" t="n">
        <f aca="false">AX2095*$M2095</f>
        <v>0</v>
      </c>
      <c r="AZ2095" s="30" t="n">
        <f aca="false">150008/100</f>
        <v>1500.08</v>
      </c>
      <c r="BA2095" s="11" t="n">
        <v>330018</v>
      </c>
      <c r="BB2095" s="31" t="n">
        <f aca="false">SUM(Q2095,S2095,U2095,W2095,Y2095,AA2095,AC2095,AE2095,AG2095,AI2095,AK2095,AM2095,AO2095,AQ2095,AS2095,AU2095,AW2095,AY2095)</f>
        <v>330018</v>
      </c>
      <c r="BC2095" s="28" t="n">
        <f aca="false">BA2095-BB2095</f>
        <v>0</v>
      </c>
      <c r="BD2095" s="32" t="n">
        <f aca="false">SUM(P2095,R2095,T2095,V2095,X2095,Z2095,AB2095,AD2095,AF2095,AH2095,AJ2095,AL2095,AN2095,AP2095,AR2095,AT2095,AV2095,AX2095)</f>
        <v>1500.08</v>
      </c>
      <c r="BE2095" s="33" t="n">
        <f aca="false">AZ2095-BD2095</f>
        <v>0</v>
      </c>
      <c r="BF2095" s="34" t="n">
        <f aca="false">BD2095*M2095</f>
        <v>330017.6</v>
      </c>
      <c r="BG2095" s="35" t="n">
        <f aca="false">BA2095-BF2095</f>
        <v>0.399999999965075</v>
      </c>
      <c r="BH2095" s="19" t="str">
        <f aca="false">IF(BG2095=0,"",IF(BG2095&lt;&gt;BA2095,"erreur de calcul",IF(BD2095&lt;&gt;0,"pas de prix",IF(M2095&lt;&gt; 0,"pas de quantité","pas de prix, ni de quantité"))))</f>
        <v>erreur de calcul</v>
      </c>
      <c r="BI2095" s="19"/>
    </row>
    <row r="2096" customFormat="false" ht="15" hidden="false" customHeight="false" outlineLevel="0" collapsed="false">
      <c r="A2096" s="0" t="n">
        <v>11</v>
      </c>
      <c r="B2096" s="8" t="s">
        <v>24</v>
      </c>
      <c r="C2096" s="9" t="s">
        <v>25</v>
      </c>
      <c r="D2096" s="9" t="s">
        <v>26</v>
      </c>
      <c r="E2096" s="10" t="n">
        <v>1789</v>
      </c>
      <c r="F2096" s="9" t="s">
        <v>27</v>
      </c>
      <c r="G2096" s="9" t="s">
        <v>27</v>
      </c>
      <c r="H2096" s="11" t="n">
        <v>27</v>
      </c>
      <c r="I2096" s="11" t="s">
        <v>422</v>
      </c>
      <c r="J2096" s="14" t="n">
        <v>35</v>
      </c>
      <c r="K2096" s="14"/>
      <c r="L2096" s="16"/>
      <c r="M2096" s="27" t="n">
        <f aca="false">J2096+(K2096/20)+(L2096/240)</f>
        <v>35</v>
      </c>
      <c r="N2096" s="17" t="s">
        <v>64</v>
      </c>
      <c r="O2096" s="11"/>
      <c r="P2096" s="28"/>
      <c r="Q2096" s="28" t="n">
        <f aca="false">P2096*$M2096</f>
        <v>0</v>
      </c>
      <c r="R2096" s="28"/>
      <c r="S2096" s="28" t="n">
        <f aca="false">R2096*$M2096</f>
        <v>0</v>
      </c>
      <c r="T2096" s="28"/>
      <c r="U2096" s="28" t="n">
        <f aca="false">T2096*$M2096</f>
        <v>0</v>
      </c>
      <c r="V2096" s="28"/>
      <c r="W2096" s="28" t="n">
        <f aca="false">V2096*$M2096</f>
        <v>0</v>
      </c>
      <c r="X2096" s="28" t="n">
        <f aca="false">9982/100</f>
        <v>99.82</v>
      </c>
      <c r="Y2096" s="28" t="n">
        <v>3494</v>
      </c>
      <c r="Z2096" s="28"/>
      <c r="AA2096" s="28" t="n">
        <f aca="false">Z2096*$M2096</f>
        <v>0</v>
      </c>
      <c r="AB2096" s="28"/>
      <c r="AC2096" s="28" t="n">
        <f aca="false">AB2096*$M2096</f>
        <v>0</v>
      </c>
      <c r="AD2096" s="28"/>
      <c r="AE2096" s="28" t="n">
        <f aca="false">AD2096*$M2096</f>
        <v>0</v>
      </c>
      <c r="AF2096" s="28"/>
      <c r="AG2096" s="28" t="n">
        <f aca="false">AF2096*$M2096</f>
        <v>0</v>
      </c>
      <c r="AH2096" s="28"/>
      <c r="AI2096" s="28" t="n">
        <f aca="false">AH2096*$M2096</f>
        <v>0</v>
      </c>
      <c r="AJ2096" s="28" t="n">
        <f aca="false">28200/100</f>
        <v>282</v>
      </c>
      <c r="AK2096" s="28" t="n">
        <v>9870</v>
      </c>
      <c r="AL2096" s="28" t="n">
        <f aca="false">163472/100</f>
        <v>1634.72</v>
      </c>
      <c r="AM2096" s="28" t="n">
        <v>57215</v>
      </c>
      <c r="AN2096" s="28"/>
      <c r="AO2096" s="28" t="n">
        <f aca="false">AN2096*$M2096</f>
        <v>0</v>
      </c>
      <c r="AP2096" s="28"/>
      <c r="AQ2096" s="28" t="n">
        <f aca="false">AP2096*$M2096</f>
        <v>0</v>
      </c>
      <c r="AR2096" s="28"/>
      <c r="AS2096" s="28" t="n">
        <f aca="false">AR2096*$M2096</f>
        <v>0</v>
      </c>
      <c r="AT2096" s="28"/>
      <c r="AU2096" s="28" t="n">
        <f aca="false">AT2096*$M2096</f>
        <v>0</v>
      </c>
      <c r="AV2096" s="28" t="n">
        <f aca="false">49250/100</f>
        <v>492.5</v>
      </c>
      <c r="AW2096" s="28" t="n">
        <v>17237</v>
      </c>
      <c r="AX2096" s="28"/>
      <c r="AY2096" s="28" t="n">
        <f aca="false">AX2096*$M2096</f>
        <v>0</v>
      </c>
      <c r="AZ2096" s="30" t="n">
        <f aca="false">250904/100</f>
        <v>2509.04</v>
      </c>
      <c r="BA2096" s="11" t="n">
        <v>87816</v>
      </c>
      <c r="BB2096" s="31" t="n">
        <f aca="false">SUM(Q2096,S2096,U2096,W2096,Y2096,AA2096,AC2096,AE2096,AG2096,AI2096,AK2096,AM2096,AO2096,AQ2096,AS2096,AU2096,AW2096,AY2096)</f>
        <v>87816</v>
      </c>
      <c r="BC2096" s="28" t="n">
        <f aca="false">BA2096-BB2096</f>
        <v>0</v>
      </c>
      <c r="BD2096" s="32" t="n">
        <f aca="false">SUM(P2096,R2096,T2096,V2096,X2096,Z2096,AB2096,AD2096,AF2096,AH2096,AJ2096,AL2096,AN2096,AP2096,AR2096,AT2096,AV2096,AX2096)</f>
        <v>2509.04</v>
      </c>
      <c r="BE2096" s="33" t="n">
        <f aca="false">AZ2096-BD2096</f>
        <v>0</v>
      </c>
      <c r="BF2096" s="34" t="n">
        <f aca="false">BD2096*M2096</f>
        <v>87816.4</v>
      </c>
      <c r="BG2096" s="35" t="n">
        <f aca="false">BA2096-BF2096</f>
        <v>-0.400000000008731</v>
      </c>
      <c r="BH2096" s="19" t="str">
        <f aca="false">IF(BG2096=0,"",IF(BG2096&lt;&gt;BA2096,"erreur de calcul",IF(BD2096&lt;&gt;0,"pas de prix",IF(M2096&lt;&gt; 0,"pas de quantité","pas de prix, ni de quantité"))))</f>
        <v>erreur de calcul</v>
      </c>
      <c r="BI2096" s="19"/>
    </row>
    <row r="2097" customFormat="false" ht="15" hidden="false" customHeight="false" outlineLevel="0" collapsed="false">
      <c r="A2097" s="0" t="n">
        <v>12</v>
      </c>
      <c r="B2097" s="8" t="s">
        <v>24</v>
      </c>
      <c r="C2097" s="9" t="s">
        <v>25</v>
      </c>
      <c r="D2097" s="9" t="s">
        <v>26</v>
      </c>
      <c r="E2097" s="10" t="n">
        <v>1789</v>
      </c>
      <c r="F2097" s="9" t="s">
        <v>27</v>
      </c>
      <c r="G2097" s="9" t="s">
        <v>27</v>
      </c>
      <c r="H2097" s="11" t="n">
        <v>27</v>
      </c>
      <c r="I2097" s="11" t="s">
        <v>423</v>
      </c>
      <c r="J2097" s="14" t="n">
        <v>75</v>
      </c>
      <c r="K2097" s="14"/>
      <c r="L2097" s="16"/>
      <c r="M2097" s="27" t="n">
        <f aca="false">J2097+(K2097/20)+(L2097/240)</f>
        <v>75</v>
      </c>
      <c r="N2097" s="17" t="s">
        <v>64</v>
      </c>
      <c r="O2097" s="11"/>
      <c r="P2097" s="28"/>
      <c r="Q2097" s="28" t="n">
        <f aca="false">P2097*$M2097</f>
        <v>0</v>
      </c>
      <c r="R2097" s="28"/>
      <c r="S2097" s="28" t="n">
        <f aca="false">R2097*$M2097</f>
        <v>0</v>
      </c>
      <c r="T2097" s="28"/>
      <c r="U2097" s="28" t="n">
        <f aca="false">T2097*$M2097</f>
        <v>0</v>
      </c>
      <c r="V2097" s="28" t="n">
        <f aca="false">1030/100</f>
        <v>10.3</v>
      </c>
      <c r="W2097" s="28" t="n">
        <v>772</v>
      </c>
      <c r="X2097" s="28"/>
      <c r="Y2097" s="28" t="n">
        <f aca="false">X2097*$M2097</f>
        <v>0</v>
      </c>
      <c r="Z2097" s="28"/>
      <c r="AA2097" s="28" t="n">
        <f aca="false">Z2097*$M2097</f>
        <v>0</v>
      </c>
      <c r="AB2097" s="28"/>
      <c r="AC2097" s="28" t="n">
        <f aca="false">AB2097*$M2097</f>
        <v>0</v>
      </c>
      <c r="AD2097" s="28"/>
      <c r="AE2097" s="28" t="n">
        <f aca="false">AD2097*$M2097</f>
        <v>0</v>
      </c>
      <c r="AF2097" s="28"/>
      <c r="AG2097" s="28" t="n">
        <f aca="false">AF2097*$M2097</f>
        <v>0</v>
      </c>
      <c r="AH2097" s="28"/>
      <c r="AI2097" s="28" t="n">
        <f aca="false">AH2097*$M2097</f>
        <v>0</v>
      </c>
      <c r="AJ2097" s="28"/>
      <c r="AK2097" s="28" t="n">
        <f aca="false">AJ2097*$M2097</f>
        <v>0</v>
      </c>
      <c r="AL2097" s="28"/>
      <c r="AM2097" s="28" t="n">
        <f aca="false">AL2097*$M2097</f>
        <v>0</v>
      </c>
      <c r="AN2097" s="28"/>
      <c r="AO2097" s="28" t="n">
        <f aca="false">AN2097*$M2097</f>
        <v>0</v>
      </c>
      <c r="AP2097" s="28"/>
      <c r="AQ2097" s="28" t="n">
        <f aca="false">AP2097*$M2097</f>
        <v>0</v>
      </c>
      <c r="AR2097" s="28"/>
      <c r="AS2097" s="28" t="n">
        <f aca="false">AR2097*$M2097</f>
        <v>0</v>
      </c>
      <c r="AT2097" s="28"/>
      <c r="AU2097" s="28" t="n">
        <f aca="false">AT2097*$M2097</f>
        <v>0</v>
      </c>
      <c r="AV2097" s="28"/>
      <c r="AW2097" s="28" t="n">
        <f aca="false">AV2097*$M2097</f>
        <v>0</v>
      </c>
      <c r="AX2097" s="28"/>
      <c r="AY2097" s="28" t="n">
        <f aca="false">AX2097*$M2097</f>
        <v>0</v>
      </c>
      <c r="AZ2097" s="30" t="n">
        <f aca="false">1030/100</f>
        <v>10.3</v>
      </c>
      <c r="BA2097" s="11" t="n">
        <v>772</v>
      </c>
      <c r="BB2097" s="31" t="n">
        <f aca="false">SUM(Q2097,S2097,U2097,W2097,Y2097,AA2097,AC2097,AE2097,AG2097,AI2097,AK2097,AM2097,AO2097,AQ2097,AS2097,AU2097,AW2097,AY2097)</f>
        <v>772</v>
      </c>
      <c r="BC2097" s="28" t="n">
        <f aca="false">BA2097-BB2097</f>
        <v>0</v>
      </c>
      <c r="BD2097" s="32" t="n">
        <f aca="false">SUM(P2097,R2097,T2097,V2097,X2097,Z2097,AB2097,AD2097,AF2097,AH2097,AJ2097,AL2097,AN2097,AP2097,AR2097,AT2097,AV2097,AX2097)</f>
        <v>10.3</v>
      </c>
      <c r="BE2097" s="33" t="n">
        <f aca="false">AZ2097-BD2097</f>
        <v>0</v>
      </c>
      <c r="BF2097" s="34" t="n">
        <f aca="false">BD2097*M2097</f>
        <v>772.5</v>
      </c>
      <c r="BG2097" s="35" t="n">
        <f aca="false">BA2097-BF2097</f>
        <v>-0.5</v>
      </c>
      <c r="BH2097" s="19" t="str">
        <f aca="false">IF(BG2097=0,"",IF(BG2097&lt;&gt;BA2097,"erreur de calcul",IF(BD2097&lt;&gt;0,"pas de prix",IF(M2097&lt;&gt; 0,"pas de quantité","pas de prix, ni de quantité"))))</f>
        <v>erreur de calcul</v>
      </c>
      <c r="BI2097" s="19"/>
    </row>
    <row r="2098" customFormat="false" ht="15" hidden="false" customHeight="false" outlineLevel="0" collapsed="false">
      <c r="A2098" s="0" t="n">
        <v>13</v>
      </c>
      <c r="B2098" s="8" t="s">
        <v>24</v>
      </c>
      <c r="C2098" s="9" t="s">
        <v>25</v>
      </c>
      <c r="D2098" s="9" t="s">
        <v>26</v>
      </c>
      <c r="E2098" s="10" t="n">
        <v>1789</v>
      </c>
      <c r="F2098" s="9" t="s">
        <v>27</v>
      </c>
      <c r="G2098" s="9" t="s">
        <v>27</v>
      </c>
      <c r="H2098" s="11" t="n">
        <v>27</v>
      </c>
      <c r="I2098" s="11" t="s">
        <v>424</v>
      </c>
      <c r="J2098" s="14" t="n">
        <v>6</v>
      </c>
      <c r="K2098" s="14"/>
      <c r="L2098" s="16"/>
      <c r="M2098" s="27" t="n">
        <f aca="false">J2098+(K2098/20)+(L2098/240)</f>
        <v>6</v>
      </c>
      <c r="N2098" s="17" t="s">
        <v>64</v>
      </c>
      <c r="O2098" s="11" t="s">
        <v>277</v>
      </c>
      <c r="P2098" s="28"/>
      <c r="Q2098" s="28" t="n">
        <f aca="false">P2098*$M2098</f>
        <v>0</v>
      </c>
      <c r="R2098" s="28"/>
      <c r="S2098" s="28" t="n">
        <f aca="false">R2098*$M2098</f>
        <v>0</v>
      </c>
      <c r="T2098" s="28"/>
      <c r="U2098" s="28" t="n">
        <f aca="false">T2098*$M2098</f>
        <v>0</v>
      </c>
      <c r="V2098" s="28"/>
      <c r="W2098" s="28" t="n">
        <f aca="false">V2098*$M2098</f>
        <v>0</v>
      </c>
      <c r="X2098" s="28"/>
      <c r="Y2098" s="28" t="n">
        <f aca="false">X2098*$M2098</f>
        <v>0</v>
      </c>
      <c r="Z2098" s="28"/>
      <c r="AA2098" s="28" t="n">
        <f aca="false">Z2098*$M2098</f>
        <v>0</v>
      </c>
      <c r="AB2098" s="28"/>
      <c r="AC2098" s="28" t="n">
        <f aca="false">AB2098*$M2098</f>
        <v>0</v>
      </c>
      <c r="AD2098" s="28"/>
      <c r="AE2098" s="28" t="n">
        <f aca="false">AD2098*$M2098</f>
        <v>0</v>
      </c>
      <c r="AF2098" s="28"/>
      <c r="AG2098" s="28" t="n">
        <f aca="false">AF2098*$M2098</f>
        <v>0</v>
      </c>
      <c r="AH2098" s="28" t="n">
        <f aca="false">9050/100</f>
        <v>90.5</v>
      </c>
      <c r="AI2098" s="28" t="n">
        <v>543</v>
      </c>
      <c r="AJ2098" s="28"/>
      <c r="AK2098" s="28" t="n">
        <f aca="false">AJ2098*$M2098</f>
        <v>0</v>
      </c>
      <c r="AL2098" s="28" t="n">
        <f aca="false">48717/100</f>
        <v>487.17</v>
      </c>
      <c r="AM2098" s="28" t="n">
        <v>2923</v>
      </c>
      <c r="AN2098" s="28"/>
      <c r="AO2098" s="28" t="n">
        <f aca="false">AN2098*$M2098</f>
        <v>0</v>
      </c>
      <c r="AP2098" s="28"/>
      <c r="AQ2098" s="28" t="n">
        <f aca="false">AP2098*$M2098</f>
        <v>0</v>
      </c>
      <c r="AR2098" s="28"/>
      <c r="AS2098" s="28" t="n">
        <f aca="false">AR2098*$M2098</f>
        <v>0</v>
      </c>
      <c r="AT2098" s="28"/>
      <c r="AU2098" s="28" t="n">
        <f aca="false">AT2098*$M2098</f>
        <v>0</v>
      </c>
      <c r="AV2098" s="28"/>
      <c r="AW2098" s="28" t="n">
        <f aca="false">AV2098*$M2098</f>
        <v>0</v>
      </c>
      <c r="AX2098" s="28"/>
      <c r="AY2098" s="28" t="n">
        <f aca="false">AX2098*$M2098</f>
        <v>0</v>
      </c>
      <c r="AZ2098" s="30" t="n">
        <f aca="false">57767/100</f>
        <v>577.67</v>
      </c>
      <c r="BA2098" s="11" t="n">
        <v>3466</v>
      </c>
      <c r="BB2098" s="31" t="n">
        <f aca="false">SUM(Q2098,S2098,U2098,W2098,Y2098,AA2098,AC2098,AE2098,AG2098,AI2098,AK2098,AM2098,AO2098,AQ2098,AS2098,AU2098,AW2098,AY2098)</f>
        <v>3466</v>
      </c>
      <c r="BC2098" s="28" t="n">
        <f aca="false">BA2098-BB2098</f>
        <v>0</v>
      </c>
      <c r="BD2098" s="32" t="n">
        <f aca="false">SUM(P2098,R2098,T2098,V2098,X2098,Z2098,AB2098,AD2098,AF2098,AH2098,AJ2098,AL2098,AN2098,AP2098,AR2098,AT2098,AV2098,AX2098)</f>
        <v>577.67</v>
      </c>
      <c r="BE2098" s="33" t="n">
        <f aca="false">AZ2098-BD2098</f>
        <v>0</v>
      </c>
      <c r="BF2098" s="34" t="n">
        <f aca="false">BD2098*M2098</f>
        <v>3466.02</v>
      </c>
      <c r="BG2098" s="35" t="n">
        <f aca="false">BA2098-BF2098</f>
        <v>-0.0200000000004366</v>
      </c>
      <c r="BH2098" s="19" t="str">
        <f aca="false">IF(BG2098=0,"",IF(BG2098&lt;&gt;BA2098,"erreur de calcul",IF(BD2098&lt;&gt;0,"pas de prix",IF(M2098&lt;&gt; 0,"pas de quantité","pas de prix, ni de quantité"))))</f>
        <v>erreur de calcul</v>
      </c>
      <c r="BI2098" s="19"/>
    </row>
    <row r="2099" customFormat="false" ht="15" hidden="false" customHeight="false" outlineLevel="0" collapsed="false">
      <c r="A2099" s="0" t="n">
        <v>14</v>
      </c>
      <c r="B2099" s="8" t="s">
        <v>24</v>
      </c>
      <c r="C2099" s="9" t="s">
        <v>25</v>
      </c>
      <c r="D2099" s="9" t="s">
        <v>26</v>
      </c>
      <c r="E2099" s="10" t="n">
        <v>1789</v>
      </c>
      <c r="F2099" s="9" t="s">
        <v>27</v>
      </c>
      <c r="G2099" s="9" t="s">
        <v>27</v>
      </c>
      <c r="H2099" s="11" t="n">
        <v>27</v>
      </c>
      <c r="I2099" s="11" t="s">
        <v>425</v>
      </c>
      <c r="J2099" s="14" t="n">
        <v>25</v>
      </c>
      <c r="K2099" s="14"/>
      <c r="L2099" s="16"/>
      <c r="M2099" s="27" t="n">
        <f aca="false">J2099+(K2099/20)+(L2099/240)</f>
        <v>25</v>
      </c>
      <c r="N2099" s="17" t="s">
        <v>64</v>
      </c>
      <c r="O2099" s="11"/>
      <c r="P2099" s="28"/>
      <c r="Q2099" s="28" t="n">
        <f aca="false">P2099*$M2099</f>
        <v>0</v>
      </c>
      <c r="R2099" s="28"/>
      <c r="S2099" s="28" t="n">
        <f aca="false">R2099*$M2099</f>
        <v>0</v>
      </c>
      <c r="T2099" s="28" t="n">
        <f aca="false">10*288*0.02+114*0.02</f>
        <v>59.88</v>
      </c>
      <c r="U2099" s="28" t="n">
        <v>1497</v>
      </c>
      <c r="V2099" s="28"/>
      <c r="W2099" s="28" t="n">
        <f aca="false">V2099*$M2099</f>
        <v>0</v>
      </c>
      <c r="X2099" s="28"/>
      <c r="Y2099" s="28" t="n">
        <f aca="false">X2099*$M2099</f>
        <v>0</v>
      </c>
      <c r="Z2099" s="28"/>
      <c r="AA2099" s="28" t="n">
        <f aca="false">Z2099*$M2099</f>
        <v>0</v>
      </c>
      <c r="AB2099" s="28"/>
      <c r="AC2099" s="28" t="n">
        <f aca="false">AB2099*$M2099</f>
        <v>0</v>
      </c>
      <c r="AD2099" s="28"/>
      <c r="AE2099" s="28" t="n">
        <f aca="false">AD2099*$M2099</f>
        <v>0</v>
      </c>
      <c r="AF2099" s="28"/>
      <c r="AG2099" s="28" t="n">
        <f aca="false">AF2099*$M2099</f>
        <v>0</v>
      </c>
      <c r="AH2099" s="28"/>
      <c r="AI2099" s="28" t="n">
        <f aca="false">AH2099*$M2099</f>
        <v>0</v>
      </c>
      <c r="AJ2099" s="28"/>
      <c r="AK2099" s="28" t="n">
        <f aca="false">AJ2099*$M2099</f>
        <v>0</v>
      </c>
      <c r="AL2099" s="28"/>
      <c r="AM2099" s="28" t="n">
        <f aca="false">AL2099*$M2099</f>
        <v>0</v>
      </c>
      <c r="AN2099" s="28"/>
      <c r="AO2099" s="28" t="n">
        <f aca="false">AN2099*$M2099</f>
        <v>0</v>
      </c>
      <c r="AP2099" s="28"/>
      <c r="AQ2099" s="28" t="n">
        <f aca="false">AP2099*$M2099</f>
        <v>0</v>
      </c>
      <c r="AR2099" s="28"/>
      <c r="AS2099" s="28" t="n">
        <f aca="false">AR2099*$M2099</f>
        <v>0</v>
      </c>
      <c r="AT2099" s="28"/>
      <c r="AU2099" s="28" t="n">
        <f aca="false">AT2099*$M2099</f>
        <v>0</v>
      </c>
      <c r="AV2099" s="28"/>
      <c r="AW2099" s="28" t="n">
        <f aca="false">AV2099*$M2099</f>
        <v>0</v>
      </c>
      <c r="AX2099" s="28"/>
      <c r="AY2099" s="28" t="n">
        <f aca="false">AX2099*$M2099</f>
        <v>0</v>
      </c>
      <c r="AZ2099" s="30" t="n">
        <f aca="false">10*288*0.02+114*0.02</f>
        <v>59.88</v>
      </c>
      <c r="BA2099" s="11" t="n">
        <v>1497</v>
      </c>
      <c r="BB2099" s="31" t="n">
        <f aca="false">SUM(Q2099,S2099,U2099,W2099,Y2099,AA2099,AC2099,AE2099,AG2099,AI2099,AK2099,AM2099,AO2099,AQ2099,AS2099,AU2099,AW2099,AY2099)</f>
        <v>1497</v>
      </c>
      <c r="BC2099" s="28" t="n">
        <f aca="false">BA2099-BB2099</f>
        <v>0</v>
      </c>
      <c r="BD2099" s="32" t="n">
        <f aca="false">SUM(P2099,R2099,T2099,V2099,X2099,Z2099,AB2099,AD2099,AF2099,AH2099,AJ2099,AL2099,AN2099,AP2099,AR2099,AT2099,AV2099,AX2099)</f>
        <v>59.88</v>
      </c>
      <c r="BE2099" s="33" t="n">
        <f aca="false">AZ2099-BD2099</f>
        <v>0</v>
      </c>
      <c r="BF2099" s="34" t="n">
        <f aca="false">BD2099*M2099</f>
        <v>1497</v>
      </c>
      <c r="BG2099" s="35" t="n">
        <f aca="false">BA2099-BF2099</f>
        <v>0</v>
      </c>
      <c r="BH2099" s="19" t="str">
        <f aca="false">IF(BG2099=0,"",IF(BG2099&lt;&gt;BA2099,"erreur de calcul",IF(BD2099&lt;&gt;0,"pas de prix",IF(M2099&lt;&gt; 0,"pas de quantité","pas de prix, ni de quantité"))))</f>
        <v/>
      </c>
      <c r="BI2099" s="19"/>
    </row>
    <row r="2100" customFormat="false" ht="15" hidden="false" customHeight="false" outlineLevel="0" collapsed="false">
      <c r="A2100" s="0" t="n">
        <v>15</v>
      </c>
      <c r="B2100" s="8" t="s">
        <v>24</v>
      </c>
      <c r="C2100" s="9" t="s">
        <v>25</v>
      </c>
      <c r="D2100" s="9" t="s">
        <v>26</v>
      </c>
      <c r="E2100" s="10" t="n">
        <v>1789</v>
      </c>
      <c r="F2100" s="9" t="s">
        <v>27</v>
      </c>
      <c r="G2100" s="9" t="s">
        <v>27</v>
      </c>
      <c r="H2100" s="11" t="n">
        <v>27</v>
      </c>
      <c r="I2100" s="11" t="s">
        <v>426</v>
      </c>
      <c r="J2100" s="14" t="n">
        <v>40</v>
      </c>
      <c r="K2100" s="14"/>
      <c r="L2100" s="16"/>
      <c r="M2100" s="27" t="n">
        <f aca="false">J2100+(K2100/20)+(L2100/240)</f>
        <v>40</v>
      </c>
      <c r="N2100" s="17" t="s">
        <v>64</v>
      </c>
      <c r="O2100" s="11"/>
      <c r="P2100" s="28"/>
      <c r="Q2100" s="28" t="n">
        <f aca="false">P2100*$M2100</f>
        <v>0</v>
      </c>
      <c r="R2100" s="28"/>
      <c r="S2100" s="28" t="n">
        <f aca="false">R2100*$M2100</f>
        <v>0</v>
      </c>
      <c r="T2100" s="28"/>
      <c r="U2100" s="28" t="n">
        <f aca="false">T2100*$M2100</f>
        <v>0</v>
      </c>
      <c r="V2100" s="28"/>
      <c r="W2100" s="28" t="n">
        <f aca="false">V2100*$M2100</f>
        <v>0</v>
      </c>
      <c r="X2100" s="28"/>
      <c r="Y2100" s="28" t="n">
        <f aca="false">X2100*$M2100</f>
        <v>0</v>
      </c>
      <c r="Z2100" s="28"/>
      <c r="AA2100" s="28" t="n">
        <f aca="false">Z2100*$M2100</f>
        <v>0</v>
      </c>
      <c r="AB2100" s="28"/>
      <c r="AC2100" s="28" t="n">
        <f aca="false">AB2100*$M2100</f>
        <v>0</v>
      </c>
      <c r="AD2100" s="28"/>
      <c r="AE2100" s="28" t="n">
        <f aca="false">AD2100*$M2100</f>
        <v>0</v>
      </c>
      <c r="AF2100" s="28"/>
      <c r="AG2100" s="28" t="n">
        <f aca="false">AF2100*$M2100</f>
        <v>0</v>
      </c>
      <c r="AH2100" s="28" t="n">
        <f aca="false">1*288*0.02+59*0.02</f>
        <v>6.94</v>
      </c>
      <c r="AI2100" s="28" t="n">
        <v>278</v>
      </c>
      <c r="AJ2100" s="28"/>
      <c r="AK2100" s="28" t="n">
        <f aca="false">AJ2100*$M2100</f>
        <v>0</v>
      </c>
      <c r="AL2100" s="28"/>
      <c r="AM2100" s="28" t="n">
        <f aca="false">AL2100*$M2100</f>
        <v>0</v>
      </c>
      <c r="AN2100" s="28"/>
      <c r="AO2100" s="28" t="n">
        <f aca="false">AN2100*$M2100</f>
        <v>0</v>
      </c>
      <c r="AP2100" s="28"/>
      <c r="AQ2100" s="28" t="n">
        <f aca="false">AP2100*$M2100</f>
        <v>0</v>
      </c>
      <c r="AR2100" s="28"/>
      <c r="AS2100" s="28" t="n">
        <f aca="false">AR2100*$M2100</f>
        <v>0</v>
      </c>
      <c r="AT2100" s="28"/>
      <c r="AU2100" s="28" t="n">
        <f aca="false">AT2100*$M2100</f>
        <v>0</v>
      </c>
      <c r="AV2100" s="28"/>
      <c r="AW2100" s="28" t="n">
        <f aca="false">AV2100*$M2100</f>
        <v>0</v>
      </c>
      <c r="AX2100" s="28"/>
      <c r="AY2100" s="28" t="n">
        <f aca="false">AX2100*$M2100</f>
        <v>0</v>
      </c>
      <c r="AZ2100" s="30" t="n">
        <f aca="false">1*288*0.02+59*0.02</f>
        <v>6.94</v>
      </c>
      <c r="BA2100" s="11" t="n">
        <v>278</v>
      </c>
      <c r="BB2100" s="31" t="n">
        <f aca="false">SUM(Q2100,S2100,U2100,W2100,Y2100,AA2100,AC2100,AE2100,AG2100,AI2100,AK2100,AM2100,AO2100,AQ2100,AS2100,AU2100,AW2100,AY2100)</f>
        <v>278</v>
      </c>
      <c r="BC2100" s="28" t="n">
        <f aca="false">BA2100-BB2100</f>
        <v>0</v>
      </c>
      <c r="BD2100" s="32" t="n">
        <f aca="false">SUM(P2100,R2100,T2100,V2100,X2100,Z2100,AB2100,AD2100,AF2100,AH2100,AJ2100,AL2100,AN2100,AP2100,AR2100,AT2100,AV2100,AX2100)</f>
        <v>6.94</v>
      </c>
      <c r="BE2100" s="33" t="n">
        <f aca="false">AZ2100-BD2100</f>
        <v>0</v>
      </c>
      <c r="BF2100" s="34" t="n">
        <f aca="false">BD2100*M2100</f>
        <v>277.6</v>
      </c>
      <c r="BG2100" s="35" t="n">
        <f aca="false">BA2100-BF2100</f>
        <v>0.400000000000034</v>
      </c>
      <c r="BH2100" s="19" t="str">
        <f aca="false">IF(BG2100=0,"",IF(BG2100&lt;&gt;BA2100,"erreur de calcul",IF(BD2100&lt;&gt;0,"pas de prix",IF(M2100&lt;&gt; 0,"pas de quantité","pas de prix, ni de quantité"))))</f>
        <v>erreur de calcul</v>
      </c>
      <c r="BI2100" s="19"/>
    </row>
    <row r="2101" customFormat="false" ht="15" hidden="false" customHeight="false" outlineLevel="0" collapsed="false">
      <c r="A2101" s="0" t="n">
        <v>16</v>
      </c>
      <c r="B2101" s="8" t="s">
        <v>24</v>
      </c>
      <c r="C2101" s="9" t="s">
        <v>25</v>
      </c>
      <c r="D2101" s="9" t="s">
        <v>26</v>
      </c>
      <c r="E2101" s="10" t="n">
        <v>1789</v>
      </c>
      <c r="F2101" s="9" t="s">
        <v>27</v>
      </c>
      <c r="G2101" s="9" t="s">
        <v>27</v>
      </c>
      <c r="H2101" s="11" t="n">
        <v>27</v>
      </c>
      <c r="I2101" s="11" t="s">
        <v>427</v>
      </c>
      <c r="J2101" s="14" t="n">
        <v>32</v>
      </c>
      <c r="K2101" s="14"/>
      <c r="L2101" s="16"/>
      <c r="M2101" s="27" t="n">
        <f aca="false">J2101+(K2101/20)+(L2101/240)</f>
        <v>32</v>
      </c>
      <c r="N2101" s="17" t="s">
        <v>64</v>
      </c>
      <c r="O2101" s="11"/>
      <c r="P2101" s="28" t="n">
        <f aca="false">33*288*0.02+179*0.02</f>
        <v>193.66</v>
      </c>
      <c r="Q2101" s="28" t="n">
        <v>6197</v>
      </c>
      <c r="R2101" s="28"/>
      <c r="S2101" s="28" t="n">
        <f aca="false">R2101*$M2101</f>
        <v>0</v>
      </c>
      <c r="T2101" s="28"/>
      <c r="U2101" s="28" t="n">
        <f aca="false">T2101*$M2101</f>
        <v>0</v>
      </c>
      <c r="V2101" s="28"/>
      <c r="W2101" s="28" t="n">
        <f aca="false">V2101*$M2101</f>
        <v>0</v>
      </c>
      <c r="X2101" s="28"/>
      <c r="Y2101" s="28" t="n">
        <f aca="false">X2101*$M2101</f>
        <v>0</v>
      </c>
      <c r="Z2101" s="28"/>
      <c r="AA2101" s="28" t="n">
        <f aca="false">Z2101*$M2101</f>
        <v>0</v>
      </c>
      <c r="AB2101" s="28"/>
      <c r="AC2101" s="28" t="n">
        <f aca="false">AB2101*$M2101</f>
        <v>0</v>
      </c>
      <c r="AD2101" s="28"/>
      <c r="AE2101" s="28" t="n">
        <f aca="false">AD2101*$M2101</f>
        <v>0</v>
      </c>
      <c r="AF2101" s="28"/>
      <c r="AG2101" s="28" t="n">
        <f aca="false">AF2101*$M2101</f>
        <v>0</v>
      </c>
      <c r="AH2101" s="28"/>
      <c r="AI2101" s="28" t="n">
        <f aca="false">AH2101*$M2101</f>
        <v>0</v>
      </c>
      <c r="AJ2101" s="28"/>
      <c r="AK2101" s="28" t="n">
        <f aca="false">AJ2101*$M2101</f>
        <v>0</v>
      </c>
      <c r="AL2101" s="28"/>
      <c r="AM2101" s="28" t="n">
        <f aca="false">AL2101*$M2101</f>
        <v>0</v>
      </c>
      <c r="AN2101" s="28"/>
      <c r="AO2101" s="28" t="n">
        <f aca="false">AN2101*$M2101</f>
        <v>0</v>
      </c>
      <c r="AP2101" s="28"/>
      <c r="AQ2101" s="28" t="n">
        <f aca="false">AP2101*$M2101</f>
        <v>0</v>
      </c>
      <c r="AR2101" s="28"/>
      <c r="AS2101" s="28" t="n">
        <f aca="false">AR2101*$M2101</f>
        <v>0</v>
      </c>
      <c r="AT2101" s="28"/>
      <c r="AU2101" s="28" t="n">
        <f aca="false">AT2101*$M2101</f>
        <v>0</v>
      </c>
      <c r="AV2101" s="28"/>
      <c r="AW2101" s="28" t="n">
        <f aca="false">AV2101*$M2101</f>
        <v>0</v>
      </c>
      <c r="AX2101" s="28"/>
      <c r="AY2101" s="28" t="n">
        <f aca="false">AX2101*$M2101</f>
        <v>0</v>
      </c>
      <c r="AZ2101" s="30" t="n">
        <f aca="false">33*288*0.02+179*0.02</f>
        <v>193.66</v>
      </c>
      <c r="BA2101" s="11" t="n">
        <v>6197</v>
      </c>
      <c r="BB2101" s="31" t="n">
        <f aca="false">SUM(Q2101,S2101,U2101,W2101,Y2101,AA2101,AC2101,AE2101,AG2101,AI2101,AK2101,AM2101,AO2101,AQ2101,AS2101,AU2101,AW2101,AY2101)</f>
        <v>6197</v>
      </c>
      <c r="BC2101" s="28" t="n">
        <f aca="false">BA2101-BB2101</f>
        <v>0</v>
      </c>
      <c r="BD2101" s="32" t="n">
        <f aca="false">SUM(P2101,R2101,T2101,V2101,X2101,Z2101,AB2101,AD2101,AF2101,AH2101,AJ2101,AL2101,AN2101,AP2101,AR2101,AT2101,AV2101,AX2101)</f>
        <v>193.66</v>
      </c>
      <c r="BE2101" s="33" t="n">
        <f aca="false">AZ2101-BD2101</f>
        <v>0</v>
      </c>
      <c r="BF2101" s="34" t="n">
        <f aca="false">BD2101*M2101</f>
        <v>6197.12</v>
      </c>
      <c r="BG2101" s="35" t="n">
        <f aca="false">BA2101-BF2101</f>
        <v>-0.1200000000008</v>
      </c>
      <c r="BH2101" s="19" t="str">
        <f aca="false">IF(BG2101=0,"",IF(BG2101&lt;&gt;BA2101,"erreur de calcul",IF(BD2101&lt;&gt;0,"pas de prix",IF(M2101&lt;&gt; 0,"pas de quantité","pas de prix, ni de quantité"))))</f>
        <v>erreur de calcul</v>
      </c>
      <c r="BI2101" s="19"/>
    </row>
    <row r="2102" customFormat="false" ht="15" hidden="false" customHeight="false" outlineLevel="0" collapsed="false">
      <c r="A2102" s="0" t="n">
        <v>17</v>
      </c>
      <c r="B2102" s="8" t="s">
        <v>24</v>
      </c>
      <c r="C2102" s="9" t="s">
        <v>25</v>
      </c>
      <c r="D2102" s="9" t="s">
        <v>26</v>
      </c>
      <c r="E2102" s="10" t="n">
        <v>1789</v>
      </c>
      <c r="F2102" s="9" t="s">
        <v>27</v>
      </c>
      <c r="G2102" s="9" t="s">
        <v>27</v>
      </c>
      <c r="H2102" s="11" t="n">
        <v>27</v>
      </c>
      <c r="I2102" s="11" t="s">
        <v>428</v>
      </c>
      <c r="J2102" s="14"/>
      <c r="K2102" s="14" t="n">
        <v>12</v>
      </c>
      <c r="L2102" s="16"/>
      <c r="M2102" s="27" t="n">
        <f aca="false">J2102+(K2102/20)+(L2102/240)</f>
        <v>0.6</v>
      </c>
      <c r="N2102" s="17" t="s">
        <v>429</v>
      </c>
      <c r="O2102" s="11"/>
      <c r="P2102" s="28" t="n">
        <f aca="false">620*288+173</f>
        <v>178733</v>
      </c>
      <c r="Q2102" s="28" t="n">
        <v>107240</v>
      </c>
      <c r="R2102" s="28"/>
      <c r="S2102" s="28" t="n">
        <f aca="false">R2102*$M2102</f>
        <v>0</v>
      </c>
      <c r="T2102" s="28"/>
      <c r="U2102" s="28" t="n">
        <f aca="false">T2102*$M2102</f>
        <v>0</v>
      </c>
      <c r="V2102" s="28" t="n">
        <f aca="false">4*288+179</f>
        <v>1331</v>
      </c>
      <c r="W2102" s="28" t="n">
        <v>799</v>
      </c>
      <c r="X2102" s="28"/>
      <c r="Y2102" s="28" t="n">
        <f aca="false">X2102*$M2102</f>
        <v>0</v>
      </c>
      <c r="Z2102" s="28"/>
      <c r="AA2102" s="28" t="n">
        <f aca="false">Z2102*$M2102</f>
        <v>0</v>
      </c>
      <c r="AB2102" s="28"/>
      <c r="AC2102" s="28" t="n">
        <f aca="false">AB2102*$M2102</f>
        <v>0</v>
      </c>
      <c r="AD2102" s="28"/>
      <c r="AE2102" s="28" t="n">
        <f aca="false">AD2102*$M2102</f>
        <v>0</v>
      </c>
      <c r="AF2102" s="28"/>
      <c r="AG2102" s="28" t="n">
        <f aca="false">AF2102*$M2102</f>
        <v>0</v>
      </c>
      <c r="AH2102" s="28" t="n">
        <f aca="false">12*288+227</f>
        <v>3683</v>
      </c>
      <c r="AI2102" s="28" t="n">
        <v>2210</v>
      </c>
      <c r="AJ2102" s="28"/>
      <c r="AK2102" s="28" t="n">
        <f aca="false">AJ2102*$M2102</f>
        <v>0</v>
      </c>
      <c r="AL2102" s="28"/>
      <c r="AM2102" s="28" t="n">
        <f aca="false">AL2102*$M2102</f>
        <v>0</v>
      </c>
      <c r="AN2102" s="28"/>
      <c r="AO2102" s="28" t="n">
        <f aca="false">AN2102*$M2102</f>
        <v>0</v>
      </c>
      <c r="AP2102" s="28"/>
      <c r="AQ2102" s="28" t="n">
        <f aca="false">AP2102*$M2102</f>
        <v>0</v>
      </c>
      <c r="AR2102" s="28"/>
      <c r="AS2102" s="28" t="n">
        <f aca="false">AR2102*$M2102</f>
        <v>0</v>
      </c>
      <c r="AT2102" s="28"/>
      <c r="AU2102" s="28" t="n">
        <f aca="false">AT2102*$M2102</f>
        <v>0</v>
      </c>
      <c r="AV2102" s="28"/>
      <c r="AW2102" s="28" t="n">
        <f aca="false">AV2102*$M2102</f>
        <v>0</v>
      </c>
      <c r="AX2102" s="28"/>
      <c r="AY2102" s="28" t="n">
        <f aca="false">AX2102*$M2102</f>
        <v>0</v>
      </c>
      <c r="AZ2102" s="30" t="n">
        <f aca="false">638*288+3</f>
        <v>183747</v>
      </c>
      <c r="BA2102" s="11" t="n">
        <v>110249</v>
      </c>
      <c r="BB2102" s="31" t="n">
        <f aca="false">SUM(Q2102,S2102,U2102,W2102,Y2102,AA2102,AC2102,AE2102,AG2102,AI2102,AK2102,AM2102,AO2102,AQ2102,AS2102,AU2102,AW2102,AY2102)</f>
        <v>110249</v>
      </c>
      <c r="BC2102" s="28" t="n">
        <f aca="false">BA2102-BB2102</f>
        <v>0</v>
      </c>
      <c r="BD2102" s="32" t="n">
        <f aca="false">SUM(P2102,R2102,T2102,V2102,X2102,Z2102,AB2102,AD2102,AF2102,AH2102,AJ2102,AL2102,AN2102,AP2102,AR2102,AT2102,AV2102,AX2102)</f>
        <v>183747</v>
      </c>
      <c r="BE2102" s="33" t="n">
        <f aca="false">AZ2102-BD2102</f>
        <v>0</v>
      </c>
      <c r="BF2102" s="34" t="n">
        <f aca="false">BD2102*M2102</f>
        <v>110248.2</v>
      </c>
      <c r="BG2102" s="35" t="n">
        <f aca="false">BA2102-BF2102</f>
        <v>0.80000000000291</v>
      </c>
      <c r="BH2102" s="19" t="str">
        <f aca="false">IF(BG2102=0,"",IF(BG2102&lt;&gt;BA2102,"erreur de calcul",IF(BD2102&lt;&gt;0,"pas de prix",IF(M2102&lt;&gt; 0,"pas de quantité","pas de prix, ni de quantité"))))</f>
        <v>erreur de calcul</v>
      </c>
      <c r="BI2102" s="19"/>
    </row>
    <row r="2103" customFormat="false" ht="15" hidden="false" customHeight="false" outlineLevel="0" collapsed="false">
      <c r="A2103" s="0" t="n">
        <v>18</v>
      </c>
      <c r="B2103" s="8" t="s">
        <v>24</v>
      </c>
      <c r="C2103" s="9" t="s">
        <v>25</v>
      </c>
      <c r="D2103" s="9" t="s">
        <v>26</v>
      </c>
      <c r="E2103" s="10" t="n">
        <v>1789</v>
      </c>
      <c r="F2103" s="9" t="s">
        <v>27</v>
      </c>
      <c r="G2103" s="9" t="s">
        <v>27</v>
      </c>
      <c r="H2103" s="11" t="n">
        <v>27</v>
      </c>
      <c r="I2103" s="11" t="s">
        <v>430</v>
      </c>
      <c r="J2103" s="14" t="n">
        <v>30</v>
      </c>
      <c r="K2103" s="14"/>
      <c r="L2103" s="16"/>
      <c r="M2103" s="27" t="n">
        <f aca="false">J2103+(K2103/20)+(L2103/240)</f>
        <v>30</v>
      </c>
      <c r="N2103" s="17" t="s">
        <v>64</v>
      </c>
      <c r="O2103" s="11" t="s">
        <v>77</v>
      </c>
      <c r="P2103" s="28"/>
      <c r="Q2103" s="28" t="n">
        <f aca="false">P2103*$M2103</f>
        <v>0</v>
      </c>
      <c r="R2103" s="28"/>
      <c r="S2103" s="28" t="n">
        <f aca="false">R2103*$M2103</f>
        <v>0</v>
      </c>
      <c r="T2103" s="28" t="n">
        <f aca="false">3*288*0.02+162*0.02</f>
        <v>20.52</v>
      </c>
      <c r="U2103" s="28" t="n">
        <v>616</v>
      </c>
      <c r="V2103" s="28"/>
      <c r="W2103" s="28" t="n">
        <f aca="false">V2103*$M2103</f>
        <v>0</v>
      </c>
      <c r="X2103" s="28" t="n">
        <f aca="false">4*288*0.02+17*0.02</f>
        <v>23.38</v>
      </c>
      <c r="Y2103" s="28" t="n">
        <v>702</v>
      </c>
      <c r="Z2103" s="28" t="n">
        <f aca="false">3*288*0.02+169*0.02</f>
        <v>20.66</v>
      </c>
      <c r="AA2103" s="28" t="n">
        <v>620</v>
      </c>
      <c r="AB2103" s="28" t="n">
        <f aca="false">10*288*0.02+224*0.02</f>
        <v>62.08</v>
      </c>
      <c r="AC2103" s="28" t="n">
        <v>1863</v>
      </c>
      <c r="AD2103" s="28"/>
      <c r="AE2103" s="28" t="n">
        <f aca="false">AD2103*$M2103</f>
        <v>0</v>
      </c>
      <c r="AF2103" s="28"/>
      <c r="AG2103" s="28" t="n">
        <f aca="false">AF2103*$M2103</f>
        <v>0</v>
      </c>
      <c r="AH2103" s="28" t="n">
        <f aca="false">200*0.02</f>
        <v>4</v>
      </c>
      <c r="AI2103" s="28" t="n">
        <v>120</v>
      </c>
      <c r="AJ2103" s="28"/>
      <c r="AK2103" s="28" t="n">
        <f aca="false">AJ2103*$M2103</f>
        <v>0</v>
      </c>
      <c r="AL2103" s="28"/>
      <c r="AM2103" s="28" t="n">
        <f aca="false">AL2103*$M2103</f>
        <v>0</v>
      </c>
      <c r="AN2103" s="28"/>
      <c r="AO2103" s="28" t="n">
        <f aca="false">AN2103*$M2103</f>
        <v>0</v>
      </c>
      <c r="AP2103" s="28"/>
      <c r="AQ2103" s="28" t="n">
        <f aca="false">AP2103*$M2103</f>
        <v>0</v>
      </c>
      <c r="AR2103" s="28"/>
      <c r="AS2103" s="28" t="n">
        <f aca="false">AR2103*$M2103</f>
        <v>0</v>
      </c>
      <c r="AT2103" s="28"/>
      <c r="AU2103" s="28" t="n">
        <f aca="false">AT2103*$M2103</f>
        <v>0</v>
      </c>
      <c r="AV2103" s="28"/>
      <c r="AW2103" s="28" t="n">
        <f aca="false">AV2103*$M2103</f>
        <v>0</v>
      </c>
      <c r="AX2103" s="28"/>
      <c r="AY2103" s="28" t="n">
        <f aca="false">AX2103*$M2103</f>
        <v>0</v>
      </c>
      <c r="AZ2103" s="30" t="n">
        <f aca="false">22*288*0.02+196*0.02</f>
        <v>130.64</v>
      </c>
      <c r="BA2103" s="11" t="n">
        <v>3921</v>
      </c>
      <c r="BB2103" s="31" t="n">
        <f aca="false">SUM(Q2103,S2103,U2103,W2103,Y2103,AA2103,AC2103,AE2103,AG2103,AI2103,AK2103,AM2103,AO2103,AQ2103,AS2103,AU2103,AW2103,AY2103)</f>
        <v>3921</v>
      </c>
      <c r="BC2103" s="28" t="n">
        <f aca="false">BA2103-BB2103</f>
        <v>0</v>
      </c>
      <c r="BD2103" s="32" t="n">
        <f aca="false">SUM(P2103,R2103,T2103,V2103,X2103,Z2103,AB2103,AD2103,AF2103,AH2103,AJ2103,AL2103,AN2103,AP2103,AR2103,AT2103,AV2103,AX2103)</f>
        <v>130.64</v>
      </c>
      <c r="BE2103" s="33" t="n">
        <f aca="false">AZ2103-BD2103</f>
        <v>0</v>
      </c>
      <c r="BF2103" s="34" t="n">
        <f aca="false">BD2103*M2103</f>
        <v>3919.2</v>
      </c>
      <c r="BG2103" s="35" t="n">
        <f aca="false">BA2103-BF2103</f>
        <v>1.80000000000018</v>
      </c>
      <c r="BH2103" s="19" t="str">
        <f aca="false">IF(BG2103=0,"",IF(BG2103&lt;&gt;BA2103,"erreur de calcul",IF(BD2103&lt;&gt;0,"pas de prix",IF(M2103&lt;&gt; 0,"pas de quantité","pas de prix, ni de quantité"))))</f>
        <v>erreur de calcul</v>
      </c>
      <c r="BI2103" s="19"/>
    </row>
    <row r="2104" customFormat="false" ht="15" hidden="false" customHeight="false" outlineLevel="0" collapsed="false">
      <c r="A2104" s="0" t="n">
        <v>19</v>
      </c>
      <c r="B2104" s="8" t="s">
        <v>24</v>
      </c>
      <c r="C2104" s="9" t="s">
        <v>25</v>
      </c>
      <c r="D2104" s="9" t="s">
        <v>26</v>
      </c>
      <c r="E2104" s="10" t="n">
        <v>1789</v>
      </c>
      <c r="F2104" s="9" t="s">
        <v>27</v>
      </c>
      <c r="G2104" s="9" t="s">
        <v>27</v>
      </c>
      <c r="H2104" s="11" t="n">
        <v>27</v>
      </c>
      <c r="I2104" s="11" t="s">
        <v>431</v>
      </c>
      <c r="J2104" s="14" t="n">
        <v>10</v>
      </c>
      <c r="K2104" s="14"/>
      <c r="L2104" s="16"/>
      <c r="M2104" s="27" t="n">
        <f aca="false">J2104+(K2104/20)+(L2104/240)</f>
        <v>10</v>
      </c>
      <c r="N2104" s="17" t="s">
        <v>432</v>
      </c>
      <c r="O2104" s="11" t="s">
        <v>109</v>
      </c>
      <c r="P2104" s="28" t="n">
        <f aca="false">105*(288/62.5)+135/62.5</f>
        <v>486</v>
      </c>
      <c r="Q2104" s="28" t="n">
        <v>4860</v>
      </c>
      <c r="R2104" s="28"/>
      <c r="S2104" s="28" t="n">
        <f aca="false">R2104*$M2104</f>
        <v>0</v>
      </c>
      <c r="T2104" s="28" t="n">
        <f aca="false">8*(288/62.5)+196/62.5</f>
        <v>40</v>
      </c>
      <c r="U2104" s="28" t="n">
        <v>400</v>
      </c>
      <c r="V2104" s="28"/>
      <c r="W2104" s="28" t="n">
        <f aca="false">V2104*$M2104</f>
        <v>0</v>
      </c>
      <c r="X2104" s="28"/>
      <c r="Y2104" s="28" t="n">
        <f aca="false">X2104*$M2104</f>
        <v>0</v>
      </c>
      <c r="Z2104" s="28"/>
      <c r="AA2104" s="28" t="n">
        <f aca="false">Z2104*$M2104</f>
        <v>0</v>
      </c>
      <c r="AB2104" s="28"/>
      <c r="AC2104" s="28" t="n">
        <f aca="false">AB2104*$M2104</f>
        <v>0</v>
      </c>
      <c r="AD2104" s="28"/>
      <c r="AE2104" s="28" t="n">
        <f aca="false">AD2104*$M2104</f>
        <v>0</v>
      </c>
      <c r="AF2104" s="28"/>
      <c r="AG2104" s="28" t="n">
        <f aca="false">AF2104*$M2104</f>
        <v>0</v>
      </c>
      <c r="AH2104" s="28"/>
      <c r="AI2104" s="28" t="n">
        <f aca="false">AH2104*$M2104</f>
        <v>0</v>
      </c>
      <c r="AJ2104" s="28"/>
      <c r="AK2104" s="28" t="n">
        <f aca="false">AJ2104*$M2104</f>
        <v>0</v>
      </c>
      <c r="AL2104" s="28"/>
      <c r="AM2104" s="28" t="n">
        <f aca="false">AL2104*$M2104</f>
        <v>0</v>
      </c>
      <c r="AN2104" s="28"/>
      <c r="AO2104" s="28" t="n">
        <f aca="false">AN2104*$M2104</f>
        <v>0</v>
      </c>
      <c r="AP2104" s="28"/>
      <c r="AQ2104" s="28" t="n">
        <f aca="false">AP2104*$M2104</f>
        <v>0</v>
      </c>
      <c r="AR2104" s="28"/>
      <c r="AS2104" s="28" t="n">
        <f aca="false">AR2104*$M2104</f>
        <v>0</v>
      </c>
      <c r="AT2104" s="28"/>
      <c r="AU2104" s="28" t="n">
        <f aca="false">AT2104*$M2104</f>
        <v>0</v>
      </c>
      <c r="AV2104" s="28"/>
      <c r="AW2104" s="28" t="n">
        <f aca="false">AV2104*$M2104</f>
        <v>0</v>
      </c>
      <c r="AX2104" s="28"/>
      <c r="AY2104" s="28" t="n">
        <f aca="false">AX2104*$M2104</f>
        <v>0</v>
      </c>
      <c r="AZ2104" s="30" t="n">
        <f aca="false">114*(288/62.5)+43/62.5</f>
        <v>526</v>
      </c>
      <c r="BA2104" s="11" t="n">
        <v>5260</v>
      </c>
      <c r="BB2104" s="31" t="n">
        <f aca="false">SUM(Q2104,S2104,U2104,W2104,Y2104,AA2104,AC2104,AE2104,AG2104,AI2104,AK2104,AM2104,AO2104,AQ2104,AS2104,AU2104,AW2104,AY2104)</f>
        <v>5260</v>
      </c>
      <c r="BC2104" s="28" t="n">
        <f aca="false">BA2104-BB2104</f>
        <v>0</v>
      </c>
      <c r="BD2104" s="32" t="n">
        <f aca="false">SUM(P2104,R2104,T2104,V2104,X2104,Z2104,AB2104,AD2104,AF2104,AH2104,AJ2104,AL2104,AN2104,AP2104,AR2104,AT2104,AV2104,AX2104)</f>
        <v>526</v>
      </c>
      <c r="BE2104" s="33" t="n">
        <f aca="false">AZ2104-BD2104</f>
        <v>0</v>
      </c>
      <c r="BF2104" s="34" t="n">
        <f aca="false">BD2104*M2104</f>
        <v>5260</v>
      </c>
      <c r="BG2104" s="35" t="n">
        <f aca="false">BA2104-BF2104</f>
        <v>0</v>
      </c>
      <c r="BH2104" s="19" t="str">
        <f aca="false">IF(BG2104=0,"",IF(BG2104&lt;&gt;BA2104,"erreur de calcul",IF(BD2104&lt;&gt;0,"pas de prix",IF(M2104&lt;&gt; 0,"pas de quantité","pas de prix, ni de quantité"))))</f>
        <v/>
      </c>
      <c r="BI2104" s="19"/>
    </row>
    <row r="2105" customFormat="false" ht="15" hidden="false" customHeight="false" outlineLevel="0" collapsed="false">
      <c r="A2105" s="0" t="n">
        <v>20</v>
      </c>
      <c r="B2105" s="8" t="s">
        <v>24</v>
      </c>
      <c r="C2105" s="9" t="s">
        <v>25</v>
      </c>
      <c r="D2105" s="9" t="s">
        <v>26</v>
      </c>
      <c r="E2105" s="10" t="n">
        <v>1789</v>
      </c>
      <c r="F2105" s="9" t="s">
        <v>27</v>
      </c>
      <c r="G2105" s="9" t="s">
        <v>27</v>
      </c>
      <c r="H2105" s="11" t="n">
        <v>27</v>
      </c>
      <c r="I2105" s="11" t="s">
        <v>433</v>
      </c>
      <c r="J2105" s="14"/>
      <c r="K2105" s="14" t="n">
        <v>14</v>
      </c>
      <c r="L2105" s="16"/>
      <c r="M2105" s="27" t="n">
        <f aca="false">J2105+(K2105/20)+(L2105/240)</f>
        <v>0.7</v>
      </c>
      <c r="N2105" s="17" t="s">
        <v>429</v>
      </c>
      <c r="O2105" s="11"/>
      <c r="P2105" s="28" t="n">
        <f aca="false">103*288+190</f>
        <v>29854</v>
      </c>
      <c r="Q2105" s="28" t="n">
        <v>20898</v>
      </c>
      <c r="R2105" s="28"/>
      <c r="S2105" s="28" t="n">
        <f aca="false">R2105*$M2105</f>
        <v>0</v>
      </c>
      <c r="T2105" s="28"/>
      <c r="U2105" s="28" t="n">
        <f aca="false">T2105*$M2105</f>
        <v>0</v>
      </c>
      <c r="V2105" s="28"/>
      <c r="W2105" s="28" t="n">
        <f aca="false">V2105*$M2105</f>
        <v>0</v>
      </c>
      <c r="X2105" s="28"/>
      <c r="Y2105" s="28" t="n">
        <f aca="false">X2105*$M2105</f>
        <v>0</v>
      </c>
      <c r="Z2105" s="28"/>
      <c r="AA2105" s="28" t="n">
        <f aca="false">Z2105*$M2105</f>
        <v>0</v>
      </c>
      <c r="AB2105" s="28"/>
      <c r="AC2105" s="28" t="n">
        <f aca="false">AB2105*$M2105</f>
        <v>0</v>
      </c>
      <c r="AD2105" s="28"/>
      <c r="AE2105" s="28" t="n">
        <f aca="false">AD2105*$M2105</f>
        <v>0</v>
      </c>
      <c r="AF2105" s="28"/>
      <c r="AG2105" s="28" t="n">
        <f aca="false">AF2105*$M2105</f>
        <v>0</v>
      </c>
      <c r="AH2105" s="28"/>
      <c r="AI2105" s="28" t="n">
        <f aca="false">AH2105*$M2105</f>
        <v>0</v>
      </c>
      <c r="AJ2105" s="28"/>
      <c r="AK2105" s="28" t="n">
        <f aca="false">AJ2105*$M2105</f>
        <v>0</v>
      </c>
      <c r="AL2105" s="28"/>
      <c r="AM2105" s="28" t="n">
        <f aca="false">AL2105*$M2105</f>
        <v>0</v>
      </c>
      <c r="AN2105" s="28"/>
      <c r="AO2105" s="28" t="n">
        <f aca="false">AN2105*$M2105</f>
        <v>0</v>
      </c>
      <c r="AP2105" s="28"/>
      <c r="AQ2105" s="28" t="n">
        <f aca="false">AP2105*$M2105</f>
        <v>0</v>
      </c>
      <c r="AR2105" s="28"/>
      <c r="AS2105" s="28" t="n">
        <f aca="false">AR2105*$M2105</f>
        <v>0</v>
      </c>
      <c r="AT2105" s="28"/>
      <c r="AU2105" s="28" t="n">
        <f aca="false">AT2105*$M2105</f>
        <v>0</v>
      </c>
      <c r="AV2105" s="28"/>
      <c r="AW2105" s="28" t="n">
        <f aca="false">AV2105*$M2105</f>
        <v>0</v>
      </c>
      <c r="AX2105" s="28"/>
      <c r="AY2105" s="28" t="n">
        <f aca="false">AX2105*$M2105</f>
        <v>0</v>
      </c>
      <c r="AZ2105" s="30" t="n">
        <f aca="false">103*288+190</f>
        <v>29854</v>
      </c>
      <c r="BA2105" s="11" t="n">
        <v>20898</v>
      </c>
      <c r="BB2105" s="31" t="n">
        <f aca="false">SUM(Q2105,S2105,U2105,W2105,Y2105,AA2105,AC2105,AE2105,AG2105,AI2105,AK2105,AM2105,AO2105,AQ2105,AS2105,AU2105,AW2105,AY2105)</f>
        <v>20898</v>
      </c>
      <c r="BC2105" s="28" t="n">
        <f aca="false">BA2105-BB2105</f>
        <v>0</v>
      </c>
      <c r="BD2105" s="32" t="n">
        <f aca="false">SUM(P2105,R2105,T2105,V2105,X2105,Z2105,AB2105,AD2105,AF2105,AH2105,AJ2105,AL2105,AN2105,AP2105,AR2105,AT2105,AV2105,AX2105)</f>
        <v>29854</v>
      </c>
      <c r="BE2105" s="33" t="n">
        <f aca="false">AZ2105-BD2105</f>
        <v>0</v>
      </c>
      <c r="BF2105" s="34" t="n">
        <f aca="false">BD2105*M2105</f>
        <v>20897.8</v>
      </c>
      <c r="BG2105" s="35" t="n">
        <f aca="false">BA2105-BF2105</f>
        <v>0.200000000000728</v>
      </c>
      <c r="BH2105" s="19" t="str">
        <f aca="false">IF(BG2105=0,"",IF(BG2105&lt;&gt;BA2105,"erreur de calcul",IF(BD2105&lt;&gt;0,"pas de prix",IF(M2105&lt;&gt; 0,"pas de quantité","pas de prix, ni de quantité"))))</f>
        <v>erreur de calcul</v>
      </c>
      <c r="BI2105" s="19"/>
    </row>
    <row r="2106" customFormat="false" ht="15" hidden="false" customHeight="false" outlineLevel="0" collapsed="false">
      <c r="A2106" s="0" t="n">
        <v>21</v>
      </c>
      <c r="B2106" s="8" t="s">
        <v>24</v>
      </c>
      <c r="C2106" s="9" t="s">
        <v>25</v>
      </c>
      <c r="D2106" s="9" t="s">
        <v>26</v>
      </c>
      <c r="E2106" s="10" t="n">
        <v>1789</v>
      </c>
      <c r="F2106" s="9" t="s">
        <v>27</v>
      </c>
      <c r="G2106" s="9" t="s">
        <v>27</v>
      </c>
      <c r="H2106" s="11" t="n">
        <v>27</v>
      </c>
      <c r="I2106" s="11" t="s">
        <v>434</v>
      </c>
      <c r="J2106" s="14"/>
      <c r="K2106" s="14" t="n">
        <v>5</v>
      </c>
      <c r="L2106" s="16"/>
      <c r="M2106" s="27" t="n">
        <f aca="false">J2106+(K2106/20)+(L2106/240)</f>
        <v>0.25</v>
      </c>
      <c r="N2106" s="17" t="s">
        <v>79</v>
      </c>
      <c r="O2106" s="11"/>
      <c r="P2106" s="28" t="n">
        <v>300402</v>
      </c>
      <c r="Q2106" s="28" t="n">
        <v>75100</v>
      </c>
      <c r="R2106" s="28"/>
      <c r="S2106" s="28" t="n">
        <f aca="false">R2106*$M2106</f>
        <v>0</v>
      </c>
      <c r="T2106" s="28"/>
      <c r="U2106" s="28" t="n">
        <f aca="false">T2106*$M2106</f>
        <v>0</v>
      </c>
      <c r="V2106" s="28" t="n">
        <v>448</v>
      </c>
      <c r="W2106" s="28" t="n">
        <v>112</v>
      </c>
      <c r="X2106" s="28"/>
      <c r="Y2106" s="28" t="n">
        <f aca="false">X2106*$M2106</f>
        <v>0</v>
      </c>
      <c r="Z2106" s="28"/>
      <c r="AA2106" s="28" t="n">
        <f aca="false">Z2106*$M2106</f>
        <v>0</v>
      </c>
      <c r="AB2106" s="28"/>
      <c r="AC2106" s="28" t="n">
        <f aca="false">AB2106*$M2106</f>
        <v>0</v>
      </c>
      <c r="AD2106" s="28"/>
      <c r="AE2106" s="28" t="n">
        <f aca="false">AD2106*$M2106</f>
        <v>0</v>
      </c>
      <c r="AF2106" s="28"/>
      <c r="AG2106" s="28" t="n">
        <f aca="false">AF2106*$M2106</f>
        <v>0</v>
      </c>
      <c r="AH2106" s="28"/>
      <c r="AI2106" s="28" t="n">
        <f aca="false">AH2106*$M2106</f>
        <v>0</v>
      </c>
      <c r="AJ2106" s="28"/>
      <c r="AK2106" s="28" t="n">
        <f aca="false">AJ2106*$M2106</f>
        <v>0</v>
      </c>
      <c r="AL2106" s="28"/>
      <c r="AM2106" s="28" t="n">
        <f aca="false">AL2106*$M2106</f>
        <v>0</v>
      </c>
      <c r="AN2106" s="28"/>
      <c r="AO2106" s="28" t="n">
        <f aca="false">AN2106*$M2106</f>
        <v>0</v>
      </c>
      <c r="AP2106" s="28"/>
      <c r="AQ2106" s="28" t="n">
        <f aca="false">AP2106*$M2106</f>
        <v>0</v>
      </c>
      <c r="AR2106" s="28"/>
      <c r="AS2106" s="28" t="n">
        <f aca="false">AR2106*$M2106</f>
        <v>0</v>
      </c>
      <c r="AT2106" s="28"/>
      <c r="AU2106" s="28" t="n">
        <f aca="false">AT2106*$M2106</f>
        <v>0</v>
      </c>
      <c r="AV2106" s="28"/>
      <c r="AW2106" s="28" t="n">
        <f aca="false">AV2106*$M2106</f>
        <v>0</v>
      </c>
      <c r="AX2106" s="28"/>
      <c r="AY2106" s="28" t="n">
        <f aca="false">AX2106*$M2106</f>
        <v>0</v>
      </c>
      <c r="AZ2106" s="30" t="n">
        <v>300850</v>
      </c>
      <c r="BA2106" s="11" t="n">
        <v>75212</v>
      </c>
      <c r="BB2106" s="31" t="n">
        <f aca="false">SUM(Q2106,S2106,U2106,W2106,Y2106,AA2106,AC2106,AE2106,AG2106,AI2106,AK2106,AM2106,AO2106,AQ2106,AS2106,AU2106,AW2106,AY2106)</f>
        <v>75212</v>
      </c>
      <c r="BC2106" s="28" t="n">
        <f aca="false">BA2106-BB2106</f>
        <v>0</v>
      </c>
      <c r="BD2106" s="32" t="n">
        <f aca="false">SUM(P2106,R2106,T2106,V2106,X2106,Z2106,AB2106,AD2106,AF2106,AH2106,AJ2106,AL2106,AN2106,AP2106,AR2106,AT2106,AV2106,AX2106)</f>
        <v>300850</v>
      </c>
      <c r="BE2106" s="33" t="n">
        <f aca="false">AZ2106-BD2106</f>
        <v>0</v>
      </c>
      <c r="BF2106" s="34" t="n">
        <f aca="false">BD2106*M2106</f>
        <v>75212.5</v>
      </c>
      <c r="BG2106" s="35" t="n">
        <f aca="false">BA2106-BF2106</f>
        <v>-0.5</v>
      </c>
      <c r="BH2106" s="19" t="str">
        <f aca="false">IF(BG2106=0,"",IF(BG2106&lt;&gt;BA2106,"erreur de calcul",IF(BD2106&lt;&gt;0,"pas de prix",IF(M2106&lt;&gt; 0,"pas de quantité","pas de prix, ni de quantité"))))</f>
        <v>erreur de calcul</v>
      </c>
      <c r="BI2106" s="19"/>
    </row>
    <row r="2107" customFormat="false" ht="78.4" hidden="false" customHeight="true" outlineLevel="0" collapsed="false">
      <c r="A2107" s="0" t="s">
        <v>31</v>
      </c>
      <c r="B2107" s="2" t="s">
        <v>0</v>
      </c>
      <c r="C2107" s="2" t="s">
        <v>1</v>
      </c>
      <c r="D2107" s="2" t="s">
        <v>2</v>
      </c>
      <c r="E2107" s="2" t="s">
        <v>3</v>
      </c>
      <c r="F2107" s="2" t="s">
        <v>4</v>
      </c>
      <c r="G2107" s="2" t="s">
        <v>5</v>
      </c>
      <c r="H2107" s="2" t="s">
        <v>6</v>
      </c>
      <c r="I2107" s="3" t="s">
        <v>7</v>
      </c>
      <c r="J2107" s="5" t="s">
        <v>12</v>
      </c>
      <c r="K2107" s="5" t="s">
        <v>13</v>
      </c>
      <c r="L2107" s="5" t="s">
        <v>14</v>
      </c>
      <c r="M2107" s="7" t="s">
        <v>15</v>
      </c>
      <c r="N2107" s="6" t="s">
        <v>32</v>
      </c>
      <c r="O2107" s="6" t="s">
        <v>33</v>
      </c>
      <c r="P2107" s="6" t="s">
        <v>34</v>
      </c>
      <c r="Q2107" s="6"/>
      <c r="R2107" s="6" t="s">
        <v>35</v>
      </c>
      <c r="S2107" s="6"/>
      <c r="T2107" s="6" t="s">
        <v>36</v>
      </c>
      <c r="U2107" s="6"/>
      <c r="V2107" s="6" t="s">
        <v>37</v>
      </c>
      <c r="W2107" s="6"/>
      <c r="X2107" s="6" t="s">
        <v>38</v>
      </c>
      <c r="Y2107" s="6"/>
      <c r="Z2107" s="6" t="s">
        <v>39</v>
      </c>
      <c r="AA2107" s="6"/>
      <c r="AB2107" s="6" t="s">
        <v>40</v>
      </c>
      <c r="AC2107" s="6"/>
      <c r="AD2107" s="6" t="s">
        <v>41</v>
      </c>
      <c r="AE2107" s="6"/>
      <c r="AF2107" s="6" t="s">
        <v>42</v>
      </c>
      <c r="AG2107" s="6"/>
      <c r="AH2107" s="6" t="s">
        <v>43</v>
      </c>
      <c r="AI2107" s="6"/>
      <c r="AJ2107" s="6" t="s">
        <v>44</v>
      </c>
      <c r="AK2107" s="6"/>
      <c r="AL2107" s="6" t="s">
        <v>45</v>
      </c>
      <c r="AM2107" s="6"/>
      <c r="AN2107" s="6" t="s">
        <v>46</v>
      </c>
      <c r="AO2107" s="6"/>
      <c r="AP2107" s="6" t="s">
        <v>47</v>
      </c>
      <c r="AQ2107" s="6"/>
      <c r="AR2107" s="6" t="s">
        <v>48</v>
      </c>
      <c r="AS2107" s="6"/>
      <c r="AT2107" s="6" t="s">
        <v>49</v>
      </c>
      <c r="AU2107" s="6"/>
      <c r="AV2107" s="6" t="s">
        <v>50</v>
      </c>
      <c r="AW2107" s="6"/>
      <c r="AX2107" s="6" t="s">
        <v>51</v>
      </c>
      <c r="AY2107" s="6"/>
      <c r="AZ2107" s="6" t="s">
        <v>52</v>
      </c>
      <c r="BA2107" s="6"/>
      <c r="BB2107" s="6"/>
      <c r="BC2107" s="6"/>
      <c r="BD2107" s="6" t="s">
        <v>53</v>
      </c>
      <c r="BE2107" s="6" t="s">
        <v>54</v>
      </c>
      <c r="BF2107" s="6" t="s">
        <v>55</v>
      </c>
      <c r="BG2107" s="6" t="s">
        <v>56</v>
      </c>
      <c r="BH2107" s="6" t="s">
        <v>57</v>
      </c>
      <c r="BI2107" s="6" t="s">
        <v>23</v>
      </c>
    </row>
    <row r="2108" customFormat="false" ht="15" hidden="false" customHeight="false" outlineLevel="0" collapsed="false">
      <c r="B2108" s="20"/>
      <c r="C2108" s="20"/>
      <c r="D2108" s="20"/>
      <c r="E2108" s="21"/>
      <c r="F2108" s="20"/>
      <c r="G2108" s="20"/>
      <c r="H2108" s="20"/>
      <c r="I2108" s="22"/>
      <c r="J2108" s="23"/>
      <c r="K2108" s="23"/>
      <c r="L2108" s="24"/>
      <c r="M2108" s="25"/>
      <c r="N2108" s="25"/>
      <c r="O2108" s="26" t="s">
        <v>58</v>
      </c>
      <c r="P2108" s="25" t="s">
        <v>59</v>
      </c>
      <c r="Q2108" s="25" t="s">
        <v>60</v>
      </c>
      <c r="R2108" s="25" t="s">
        <v>59</v>
      </c>
      <c r="S2108" s="25" t="s">
        <v>60</v>
      </c>
      <c r="T2108" s="25" t="s">
        <v>59</v>
      </c>
      <c r="U2108" s="25" t="s">
        <v>60</v>
      </c>
      <c r="V2108" s="25" t="s">
        <v>59</v>
      </c>
      <c r="W2108" s="25" t="s">
        <v>60</v>
      </c>
      <c r="X2108" s="25" t="s">
        <v>59</v>
      </c>
      <c r="Y2108" s="25" t="s">
        <v>60</v>
      </c>
      <c r="Z2108" s="25" t="s">
        <v>59</v>
      </c>
      <c r="AA2108" s="25" t="s">
        <v>60</v>
      </c>
      <c r="AB2108" s="25" t="s">
        <v>59</v>
      </c>
      <c r="AC2108" s="25" t="s">
        <v>60</v>
      </c>
      <c r="AD2108" s="25" t="s">
        <v>59</v>
      </c>
      <c r="AE2108" s="25" t="s">
        <v>60</v>
      </c>
      <c r="AF2108" s="25" t="s">
        <v>59</v>
      </c>
      <c r="AG2108" s="25" t="s">
        <v>60</v>
      </c>
      <c r="AH2108" s="25" t="s">
        <v>59</v>
      </c>
      <c r="AI2108" s="25" t="s">
        <v>60</v>
      </c>
      <c r="AJ2108" s="25" t="s">
        <v>59</v>
      </c>
      <c r="AK2108" s="25" t="s">
        <v>60</v>
      </c>
      <c r="AL2108" s="25" t="s">
        <v>59</v>
      </c>
      <c r="AM2108" s="25" t="s">
        <v>60</v>
      </c>
      <c r="AN2108" s="25" t="s">
        <v>59</v>
      </c>
      <c r="AO2108" s="25" t="s">
        <v>60</v>
      </c>
      <c r="AP2108" s="25" t="s">
        <v>59</v>
      </c>
      <c r="AQ2108" s="25" t="s">
        <v>60</v>
      </c>
      <c r="AR2108" s="25" t="s">
        <v>59</v>
      </c>
      <c r="AS2108" s="25" t="s">
        <v>60</v>
      </c>
      <c r="AT2108" s="25" t="s">
        <v>59</v>
      </c>
      <c r="AU2108" s="25" t="s">
        <v>60</v>
      </c>
      <c r="AV2108" s="25" t="s">
        <v>59</v>
      </c>
      <c r="AW2108" s="25" t="s">
        <v>60</v>
      </c>
      <c r="AX2108" s="25" t="s">
        <v>59</v>
      </c>
      <c r="AY2108" s="25" t="s">
        <v>60</v>
      </c>
      <c r="AZ2108" s="25" t="s">
        <v>59</v>
      </c>
      <c r="BA2108" s="25" t="s">
        <v>60</v>
      </c>
      <c r="BB2108" s="25" t="s">
        <v>61</v>
      </c>
      <c r="BC2108" s="25" t="s">
        <v>62</v>
      </c>
      <c r="BD2108" s="20"/>
      <c r="BE2108" s="20"/>
      <c r="BF2108" s="20"/>
      <c r="BG2108" s="20"/>
      <c r="BH2108" s="20"/>
      <c r="BI2108" s="20"/>
    </row>
    <row r="2109" customFormat="false" ht="15" hidden="false" customHeight="false" outlineLevel="0" collapsed="false">
      <c r="A2109" s="0" t="n">
        <v>1</v>
      </c>
      <c r="B2109" s="8" t="s">
        <v>24</v>
      </c>
      <c r="C2109" s="9" t="s">
        <v>25</v>
      </c>
      <c r="D2109" s="9" t="s">
        <v>26</v>
      </c>
      <c r="E2109" s="10" t="n">
        <v>1789</v>
      </c>
      <c r="F2109" s="9" t="s">
        <v>27</v>
      </c>
      <c r="G2109" s="9" t="s">
        <v>27</v>
      </c>
      <c r="H2109" s="11" t="n">
        <v>18</v>
      </c>
      <c r="I2109" s="11" t="s">
        <v>63</v>
      </c>
      <c r="J2109" s="14" t="n">
        <v>27</v>
      </c>
      <c r="K2109" s="14"/>
      <c r="L2109" s="16"/>
      <c r="M2109" s="27" t="n">
        <f aca="false">J2109+(K2109/20)+(L2109/240)</f>
        <v>27</v>
      </c>
      <c r="N2109" s="17" t="s">
        <v>64</v>
      </c>
      <c r="O2109" s="11"/>
      <c r="P2109" s="28"/>
      <c r="Q2109" s="28" t="n">
        <f aca="false">P2109*$M2109</f>
        <v>0</v>
      </c>
      <c r="R2109" s="28"/>
      <c r="S2109" s="28" t="n">
        <f aca="false">R2109*$M2109</f>
        <v>0</v>
      </c>
      <c r="T2109" s="28"/>
      <c r="U2109" s="28" t="n">
        <f aca="false">T2109*$M2109</f>
        <v>0</v>
      </c>
      <c r="V2109" s="28" t="n">
        <f aca="false">700/100</f>
        <v>7</v>
      </c>
      <c r="W2109" s="28" t="n">
        <v>189</v>
      </c>
      <c r="X2109" s="29"/>
      <c r="Y2109" s="28" t="n">
        <v>9506</v>
      </c>
      <c r="Z2109" s="28"/>
      <c r="AA2109" s="28" t="n">
        <f aca="false">Z2109*$M2109</f>
        <v>0</v>
      </c>
      <c r="AB2109" s="28"/>
      <c r="AC2109" s="28" t="n">
        <f aca="false">AB2109*$M2109</f>
        <v>0</v>
      </c>
      <c r="AD2109" s="28"/>
      <c r="AE2109" s="28" t="n">
        <f aca="false">AD2109*$M2109</f>
        <v>0</v>
      </c>
      <c r="AF2109" s="28"/>
      <c r="AG2109" s="28" t="n">
        <f aca="false">AF2109*$M2109</f>
        <v>0</v>
      </c>
      <c r="AH2109" s="28"/>
      <c r="AI2109" s="28" t="n">
        <f aca="false">AH2109*$M2109</f>
        <v>0</v>
      </c>
      <c r="AJ2109" s="28" t="n">
        <f aca="false">72509/100</f>
        <v>725.09</v>
      </c>
      <c r="AK2109" s="28" t="n">
        <v>19577</v>
      </c>
      <c r="AL2109" s="28"/>
      <c r="AM2109" s="28" t="n">
        <f aca="false">AL2109*$M2109</f>
        <v>0</v>
      </c>
      <c r="AN2109" s="28"/>
      <c r="AO2109" s="28" t="n">
        <f aca="false">AN2109*$M2109</f>
        <v>0</v>
      </c>
      <c r="AP2109" s="28"/>
      <c r="AQ2109" s="28" t="n">
        <f aca="false">AP2109*$M2109</f>
        <v>0</v>
      </c>
      <c r="AR2109" s="28" t="n">
        <f aca="false">36750/100</f>
        <v>367.5</v>
      </c>
      <c r="AS2109" s="28" t="n">
        <v>9922</v>
      </c>
      <c r="AT2109" s="28"/>
      <c r="AU2109" s="28" t="n">
        <f aca="false">AT2109*$M2109</f>
        <v>0</v>
      </c>
      <c r="AV2109" s="28"/>
      <c r="AW2109" s="28" t="n">
        <f aca="false">AV2109*$M2109</f>
        <v>0</v>
      </c>
      <c r="AX2109" s="28"/>
      <c r="AY2109" s="28" t="n">
        <f aca="false">AX2109*$M2109</f>
        <v>0</v>
      </c>
      <c r="AZ2109" s="30" t="n">
        <f aca="false">145166/100</f>
        <v>1451.66</v>
      </c>
      <c r="BA2109" s="11" t="n">
        <v>39194</v>
      </c>
      <c r="BB2109" s="31" t="n">
        <f aca="false">SUM(Q2109,S2109,U2109,W2109,Y2109,AA2109,AC2109,AE2109,AG2109,AI2109,AK2109,AM2109,AO2109,AQ2109,AS2109,AU2109,AW2109,AY2109)</f>
        <v>39194</v>
      </c>
      <c r="BC2109" s="28" t="n">
        <f aca="false">BA2109-BB2109</f>
        <v>0</v>
      </c>
      <c r="BD2109" s="32" t="n">
        <f aca="false">SUM(P2109,R2109,T2109,V2109,X2109,Z2109,AB2109,AD2109,AF2109,AH2109,AJ2109,AL2109,AN2109,AP2109,AR2109,AT2109,AV2109,AX2109)</f>
        <v>1099.59</v>
      </c>
      <c r="BE2109" s="33" t="n">
        <f aca="false">AZ2109-BD2109</f>
        <v>352.07</v>
      </c>
      <c r="BF2109" s="34" t="n">
        <f aca="false">BD2109*M2109</f>
        <v>29688.93</v>
      </c>
      <c r="BG2109" s="35" t="n">
        <f aca="false">BA2109-BF2109</f>
        <v>9505.07</v>
      </c>
      <c r="BH2109" s="19" t="str">
        <f aca="false">IF(BG2109=0,"",IF(BG2109&lt;&gt;BA2109,"erreur de calcul",IF(BD2109&lt;&gt;0,"pas de prix",IF(M2109&lt;&gt; 0,"pas de quantité","pas de prix, ni de quantité"))))</f>
        <v>erreur de calcul</v>
      </c>
      <c r="BI2109" s="19"/>
    </row>
    <row r="2110" customFormat="false" ht="15" hidden="false" customHeight="false" outlineLevel="0" collapsed="false">
      <c r="A2110" s="0" t="n">
        <v>2</v>
      </c>
      <c r="B2110" s="8" t="s">
        <v>24</v>
      </c>
      <c r="C2110" s="9" t="s">
        <v>25</v>
      </c>
      <c r="D2110" s="9" t="s">
        <v>26</v>
      </c>
      <c r="E2110" s="10" t="n">
        <v>1789</v>
      </c>
      <c r="F2110" s="9" t="s">
        <v>27</v>
      </c>
      <c r="G2110" s="9" t="s">
        <v>27</v>
      </c>
      <c r="H2110" s="11" t="n">
        <v>18</v>
      </c>
      <c r="I2110" s="11" t="s">
        <v>65</v>
      </c>
      <c r="J2110" s="14"/>
      <c r="K2110" s="14" t="n">
        <v>20</v>
      </c>
      <c r="L2110" s="16"/>
      <c r="M2110" s="27" t="n">
        <f aca="false">J2110+(K2110/20)+(L2110/240)</f>
        <v>1</v>
      </c>
      <c r="N2110" s="17" t="s">
        <v>66</v>
      </c>
      <c r="O2110" s="11"/>
      <c r="P2110" s="28"/>
      <c r="Q2110" s="28" t="n">
        <f aca="false">P2110*$M2110</f>
        <v>0</v>
      </c>
      <c r="R2110" s="28"/>
      <c r="S2110" s="28" t="n">
        <f aca="false">R2110*$M2110</f>
        <v>0</v>
      </c>
      <c r="T2110" s="28"/>
      <c r="U2110" s="28" t="n">
        <f aca="false">T2110*$M2110</f>
        <v>0</v>
      </c>
      <c r="V2110" s="28" t="n">
        <v>2365</v>
      </c>
      <c r="W2110" s="28" t="n">
        <v>2365</v>
      </c>
      <c r="X2110" s="29" t="n">
        <v>234</v>
      </c>
      <c r="Y2110" s="28" t="n">
        <v>234</v>
      </c>
      <c r="Z2110" s="28"/>
      <c r="AA2110" s="28" t="n">
        <f aca="false">Z2110*$M2110</f>
        <v>0</v>
      </c>
      <c r="AB2110" s="28" t="n">
        <v>17776</v>
      </c>
      <c r="AC2110" s="28" t="n">
        <v>17776</v>
      </c>
      <c r="AD2110" s="28"/>
      <c r="AE2110" s="28" t="n">
        <f aca="false">AD2110*$M2110</f>
        <v>0</v>
      </c>
      <c r="AF2110" s="28"/>
      <c r="AG2110" s="28" t="n">
        <f aca="false">AF2110*$M2110</f>
        <v>0</v>
      </c>
      <c r="AH2110" s="28"/>
      <c r="AI2110" s="28" t="n">
        <f aca="false">AH2110*$M2110</f>
        <v>0</v>
      </c>
      <c r="AJ2110" s="28"/>
      <c r="AK2110" s="28" t="n">
        <f aca="false">AJ2110*$M2110</f>
        <v>0</v>
      </c>
      <c r="AL2110" s="28"/>
      <c r="AM2110" s="28" t="n">
        <f aca="false">AL2110*$M2110</f>
        <v>0</v>
      </c>
      <c r="AN2110" s="28"/>
      <c r="AO2110" s="28" t="n">
        <f aca="false">AN2110*$M2110</f>
        <v>0</v>
      </c>
      <c r="AP2110" s="28"/>
      <c r="AQ2110" s="28" t="n">
        <f aca="false">AP2110*$M2110</f>
        <v>0</v>
      </c>
      <c r="AR2110" s="28"/>
      <c r="AS2110" s="28" t="n">
        <f aca="false">AR2110*$M2110</f>
        <v>0</v>
      </c>
      <c r="AT2110" s="28"/>
      <c r="AU2110" s="28" t="n">
        <f aca="false">AT2110*$M2110</f>
        <v>0</v>
      </c>
      <c r="AV2110" s="28"/>
      <c r="AW2110" s="28" t="n">
        <f aca="false">AV2110*$M2110</f>
        <v>0</v>
      </c>
      <c r="AX2110" s="28"/>
      <c r="AY2110" s="28" t="n">
        <f aca="false">AX2110*$M2110</f>
        <v>0</v>
      </c>
      <c r="AZ2110" s="30" t="n">
        <v>20375</v>
      </c>
      <c r="BA2110" s="11" t="n">
        <v>20375</v>
      </c>
      <c r="BB2110" s="31" t="n">
        <f aca="false">SUM(Q2110,S2110,U2110,W2110,Y2110,AA2110,AC2110,AE2110,AG2110,AI2110,AK2110,AM2110,AO2110,AQ2110,AS2110,AU2110,AW2110,AY2110)</f>
        <v>20375</v>
      </c>
      <c r="BC2110" s="28" t="n">
        <f aca="false">BA2110-BB2110</f>
        <v>0</v>
      </c>
      <c r="BD2110" s="32" t="n">
        <f aca="false">SUM(P2110,R2110,T2110,V2110,X2110,Z2110,AB2110,AD2110,AF2110,AH2110,AJ2110,AL2110,AN2110,AP2110,AR2110,AT2110,AV2110,AX2110)</f>
        <v>20375</v>
      </c>
      <c r="BE2110" s="33" t="n">
        <f aca="false">AZ2110-BD2110</f>
        <v>0</v>
      </c>
      <c r="BF2110" s="34" t="n">
        <f aca="false">BD2110*M2110</f>
        <v>20375</v>
      </c>
      <c r="BG2110" s="35" t="n">
        <f aca="false">BA2110-BF2110</f>
        <v>0</v>
      </c>
      <c r="BH2110" s="19" t="str">
        <f aca="false">IF(BG2110=0,"",IF(BG2110&lt;&gt;BA2110,"erreur de calcul",IF(BD2110&lt;&gt;0,"pas de prix",IF(M2110&lt;&gt; 0,"pas de quantité","pas de prix, ni de quantité"))))</f>
        <v/>
      </c>
      <c r="BI2110" s="19"/>
    </row>
    <row r="2111" customFormat="false" ht="15" hidden="false" customHeight="false" outlineLevel="0" collapsed="false">
      <c r="A2111" s="0" t="n">
        <v>3</v>
      </c>
      <c r="B2111" s="8" t="s">
        <v>24</v>
      </c>
      <c r="C2111" s="9" t="s">
        <v>25</v>
      </c>
      <c r="D2111" s="9" t="s">
        <v>26</v>
      </c>
      <c r="E2111" s="10" t="n">
        <v>1789</v>
      </c>
      <c r="F2111" s="9" t="s">
        <v>27</v>
      </c>
      <c r="G2111" s="9" t="s">
        <v>27</v>
      </c>
      <c r="H2111" s="11" t="n">
        <v>18</v>
      </c>
      <c r="I2111" s="11" t="s">
        <v>67</v>
      </c>
      <c r="J2111" s="14" t="n">
        <v>56</v>
      </c>
      <c r="K2111" s="14"/>
      <c r="L2111" s="16"/>
      <c r="M2111" s="27" t="n">
        <f aca="false">J2111+(K2111/20)+(L2111/240)</f>
        <v>56</v>
      </c>
      <c r="N2111" s="17" t="s">
        <v>64</v>
      </c>
      <c r="O2111" s="11"/>
      <c r="P2111" s="28" t="n">
        <f aca="false">27159/100</f>
        <v>271.59</v>
      </c>
      <c r="Q2111" s="28" t="n">
        <v>15209</v>
      </c>
      <c r="R2111" s="28"/>
      <c r="S2111" s="28" t="n">
        <f aca="false">R2111*$M2111</f>
        <v>0</v>
      </c>
      <c r="T2111" s="28" t="n">
        <f aca="false">1044/100</f>
        <v>10.44</v>
      </c>
      <c r="U2111" s="28" t="n">
        <v>585</v>
      </c>
      <c r="V2111" s="28" t="n">
        <f aca="false">1838/100</f>
        <v>18.38</v>
      </c>
      <c r="W2111" s="36" t="n">
        <v>4557</v>
      </c>
      <c r="X2111" s="29"/>
      <c r="Y2111" s="28" t="n">
        <v>2566</v>
      </c>
      <c r="Z2111" s="28"/>
      <c r="AA2111" s="28" t="n">
        <f aca="false">Z2111*$M2111</f>
        <v>0</v>
      </c>
      <c r="AB2111" s="28" t="n">
        <f aca="false">17833/100</f>
        <v>178.33</v>
      </c>
      <c r="AC2111" s="28" t="n">
        <v>9986</v>
      </c>
      <c r="AD2111" s="28"/>
      <c r="AE2111" s="28" t="n">
        <f aca="false">AD2111*$M2111</f>
        <v>0</v>
      </c>
      <c r="AF2111" s="28" t="n">
        <f aca="false">30595/100</f>
        <v>305.95</v>
      </c>
      <c r="AG2111" s="28" t="n">
        <v>17133</v>
      </c>
      <c r="AH2111" s="28"/>
      <c r="AI2111" s="28" t="n">
        <f aca="false">AH2111*$M2111</f>
        <v>0</v>
      </c>
      <c r="AJ2111" s="28"/>
      <c r="AK2111" s="28" t="n">
        <f aca="false">AJ2111*$M2111</f>
        <v>0</v>
      </c>
      <c r="AL2111" s="28"/>
      <c r="AM2111" s="28" t="n">
        <f aca="false">AL2111*$M2111</f>
        <v>0</v>
      </c>
      <c r="AN2111" s="28"/>
      <c r="AO2111" s="28" t="n">
        <f aca="false">AN2111*$M2111</f>
        <v>0</v>
      </c>
      <c r="AP2111" s="28"/>
      <c r="AQ2111" s="28" t="n">
        <f aca="false">AP2111*$M2111</f>
        <v>0</v>
      </c>
      <c r="AR2111" s="28"/>
      <c r="AS2111" s="28" t="n">
        <f aca="false">AR2111*$M2111</f>
        <v>0</v>
      </c>
      <c r="AT2111" s="28"/>
      <c r="AU2111" s="28" t="n">
        <f aca="false">AT2111*$M2111</f>
        <v>0</v>
      </c>
      <c r="AV2111" s="28"/>
      <c r="AW2111" s="28" t="n">
        <f aca="false">AV2111*$M2111</f>
        <v>0</v>
      </c>
      <c r="AX2111" s="28"/>
      <c r="AY2111" s="28" t="n">
        <f aca="false">AX2111*$M2111</f>
        <v>0</v>
      </c>
      <c r="AZ2111" s="30" t="n">
        <f aca="false">83051/100</f>
        <v>830.51</v>
      </c>
      <c r="BA2111" s="11" t="n">
        <v>50036</v>
      </c>
      <c r="BB2111" s="31" t="n">
        <f aca="false">SUM(Q2111,S2111,U2111,W2111,Y2111,AA2111,AC2111,AE2111,AG2111,AI2111,AK2111,AM2111,AO2111,AQ2111,AS2111,AU2111,AW2111,AY2111)</f>
        <v>50036</v>
      </c>
      <c r="BC2111" s="28" t="n">
        <f aca="false">BA2111-BB2111</f>
        <v>0</v>
      </c>
      <c r="BD2111" s="32" t="n">
        <f aca="false">SUM(P2111,R2111,T2111,V2111,X2111,Z2111,AB2111,AD2111,AF2111,AH2111,AJ2111,AL2111,AN2111,AP2111,AR2111,AT2111,AV2111,AX2111)</f>
        <v>784.69</v>
      </c>
      <c r="BE2111" s="33" t="n">
        <f aca="false">AZ2111-BD2111</f>
        <v>45.8199999999999</v>
      </c>
      <c r="BF2111" s="34" t="n">
        <f aca="false">BD2111*M2111</f>
        <v>43942.64</v>
      </c>
      <c r="BG2111" s="35" t="n">
        <f aca="false">BA2111-BF2111</f>
        <v>6093.36</v>
      </c>
      <c r="BH2111" s="19" t="str">
        <f aca="false">IF(BG2111=0,"",IF(BG2111&lt;&gt;BA2111,"erreur de calcul",IF(BD2111&lt;&gt;0,"pas de prix",IF(M2111&lt;&gt; 0,"pas de quantité","pas de prix, ni de quantité"))))</f>
        <v>erreur de calcul</v>
      </c>
      <c r="BI2111" s="19"/>
    </row>
    <row r="2112" customFormat="false" ht="15" hidden="false" customHeight="false" outlineLevel="0" collapsed="false">
      <c r="A2112" s="0" t="n">
        <v>4</v>
      </c>
      <c r="B2112" s="8" t="s">
        <v>24</v>
      </c>
      <c r="C2112" s="9" t="s">
        <v>25</v>
      </c>
      <c r="D2112" s="9" t="s">
        <v>26</v>
      </c>
      <c r="E2112" s="10" t="n">
        <v>1789</v>
      </c>
      <c r="F2112" s="9" t="s">
        <v>27</v>
      </c>
      <c r="G2112" s="9" t="s">
        <v>27</v>
      </c>
      <c r="H2112" s="11" t="n">
        <v>18</v>
      </c>
      <c r="I2112" s="11" t="s">
        <v>68</v>
      </c>
      <c r="J2112" s="14"/>
      <c r="K2112" s="14" t="n">
        <v>30</v>
      </c>
      <c r="L2112" s="16"/>
      <c r="M2112" s="27" t="n">
        <f aca="false">J2112+(K2112/20)+(L2112/240)</f>
        <v>1.5</v>
      </c>
      <c r="N2112" s="17" t="s">
        <v>69</v>
      </c>
      <c r="O2112" s="11"/>
      <c r="P2112" s="28" t="n">
        <v>5460</v>
      </c>
      <c r="Q2112" s="28" t="n">
        <v>8190</v>
      </c>
      <c r="R2112" s="28"/>
      <c r="S2112" s="28" t="n">
        <f aca="false">R2112*$M2112</f>
        <v>0</v>
      </c>
      <c r="T2112" s="28"/>
      <c r="U2112" s="28" t="n">
        <f aca="false">T2112*$M2112</f>
        <v>0</v>
      </c>
      <c r="V2112" s="28" t="n">
        <v>1061</v>
      </c>
      <c r="W2112" s="28" t="n">
        <v>1591</v>
      </c>
      <c r="X2112" s="29"/>
      <c r="Y2112" s="28" t="n">
        <v>5766</v>
      </c>
      <c r="Z2112" s="28"/>
      <c r="AA2112" s="28" t="n">
        <f aca="false">Z2112*$M2112</f>
        <v>0</v>
      </c>
      <c r="AB2112" s="28"/>
      <c r="AC2112" s="28" t="n">
        <f aca="false">AB2112*$M2112</f>
        <v>0</v>
      </c>
      <c r="AD2112" s="28"/>
      <c r="AE2112" s="28" t="n">
        <f aca="false">AD2112*$M2112</f>
        <v>0</v>
      </c>
      <c r="AF2112" s="28"/>
      <c r="AG2112" s="28" t="n">
        <f aca="false">AF2112*$M2112</f>
        <v>0</v>
      </c>
      <c r="AH2112" s="28"/>
      <c r="AI2112" s="28" t="n">
        <f aca="false">AH2112*$M2112</f>
        <v>0</v>
      </c>
      <c r="AJ2112" s="28"/>
      <c r="AK2112" s="28" t="n">
        <f aca="false">AJ2112*$M2112</f>
        <v>0</v>
      </c>
      <c r="AL2112" s="28"/>
      <c r="AM2112" s="28" t="n">
        <f aca="false">AL2112*$M2112</f>
        <v>0</v>
      </c>
      <c r="AN2112" s="28"/>
      <c r="AO2112" s="28" t="n">
        <f aca="false">AN2112*$M2112</f>
        <v>0</v>
      </c>
      <c r="AP2112" s="28"/>
      <c r="AQ2112" s="28" t="n">
        <f aca="false">AP2112*$M2112</f>
        <v>0</v>
      </c>
      <c r="AR2112" s="28"/>
      <c r="AS2112" s="28" t="n">
        <f aca="false">AR2112*$M2112</f>
        <v>0</v>
      </c>
      <c r="AT2112" s="28"/>
      <c r="AU2112" s="28" t="n">
        <f aca="false">AT2112*$M2112</f>
        <v>0</v>
      </c>
      <c r="AV2112" s="28"/>
      <c r="AW2112" s="28" t="n">
        <f aca="false">AV2112*$M2112</f>
        <v>0</v>
      </c>
      <c r="AX2112" s="28"/>
      <c r="AY2112" s="28" t="n">
        <f aca="false">AX2112*$M2112</f>
        <v>0</v>
      </c>
      <c r="AZ2112" s="30" t="n">
        <v>10365</v>
      </c>
      <c r="BA2112" s="11" t="n">
        <v>15547</v>
      </c>
      <c r="BB2112" s="31" t="n">
        <f aca="false">SUM(Q2112,S2112,U2112,W2112,Y2112,AA2112,AC2112,AE2112,AG2112,AI2112,AK2112,AM2112,AO2112,AQ2112,AS2112,AU2112,AW2112,AY2112)</f>
        <v>15547</v>
      </c>
      <c r="BC2112" s="28" t="n">
        <f aca="false">BA2112-BB2112</f>
        <v>0</v>
      </c>
      <c r="BD2112" s="32" t="n">
        <f aca="false">SUM(P2112,R2112,T2112,V2112,X2112,Z2112,AB2112,AD2112,AF2112,AH2112,AJ2112,AL2112,AN2112,AP2112,AR2112,AT2112,AV2112,AX2112)</f>
        <v>6521</v>
      </c>
      <c r="BE2112" s="33" t="n">
        <f aca="false">AZ2112-BD2112</f>
        <v>3844</v>
      </c>
      <c r="BF2112" s="34" t="n">
        <f aca="false">BD2112*M2112</f>
        <v>9781.5</v>
      </c>
      <c r="BG2112" s="35" t="n">
        <f aca="false">BA2112-BF2112</f>
        <v>5765.5</v>
      </c>
      <c r="BH2112" s="19" t="str">
        <f aca="false">IF(BG2112=0,"",IF(BG2112&lt;&gt;BA2112,"erreur de calcul",IF(BD2112&lt;&gt;0,"pas de prix",IF(M2112&lt;&gt; 0,"pas de quantité","pas de prix, ni de quantité"))))</f>
        <v>erreur de calcul</v>
      </c>
      <c r="BI2112" s="19"/>
    </row>
    <row r="2113" customFormat="false" ht="15" hidden="false" customHeight="false" outlineLevel="0" collapsed="false">
      <c r="A2113" s="0" t="n">
        <v>5</v>
      </c>
      <c r="B2113" s="8" t="s">
        <v>24</v>
      </c>
      <c r="C2113" s="9" t="s">
        <v>25</v>
      </c>
      <c r="D2113" s="9" t="s">
        <v>26</v>
      </c>
      <c r="E2113" s="10" t="n">
        <v>1789</v>
      </c>
      <c r="F2113" s="9" t="s">
        <v>27</v>
      </c>
      <c r="G2113" s="9" t="s">
        <v>27</v>
      </c>
      <c r="H2113" s="11" t="n">
        <v>18</v>
      </c>
      <c r="I2113" s="11" t="s">
        <v>70</v>
      </c>
      <c r="J2113" s="14" t="n">
        <v>190</v>
      </c>
      <c r="K2113" s="14"/>
      <c r="L2113" s="16"/>
      <c r="M2113" s="27" t="n">
        <f aca="false">J2113+(K2113/20)+(L2113/240)</f>
        <v>190</v>
      </c>
      <c r="N2113" s="17" t="s">
        <v>64</v>
      </c>
      <c r="O2113" s="11"/>
      <c r="P2113" s="28"/>
      <c r="Q2113" s="28" t="n">
        <f aca="false">P2113*$M2113</f>
        <v>0</v>
      </c>
      <c r="R2113" s="28" t="n">
        <f aca="false">22283/100</f>
        <v>222.83</v>
      </c>
      <c r="S2113" s="28" t="n">
        <v>42338</v>
      </c>
      <c r="T2113" s="28" t="n">
        <f aca="false">1289/100</f>
        <v>12.89</v>
      </c>
      <c r="U2113" s="28" t="n">
        <v>2449</v>
      </c>
      <c r="V2113" s="28"/>
      <c r="W2113" s="28" t="n">
        <f aca="false">V2113*$M2113</f>
        <v>0</v>
      </c>
      <c r="X2113" s="29"/>
      <c r="Y2113" s="28" t="n">
        <f aca="false">X2113*$M2113</f>
        <v>0</v>
      </c>
      <c r="Z2113" s="28"/>
      <c r="AA2113" s="28" t="n">
        <f aca="false">Z2113*$M2113</f>
        <v>0</v>
      </c>
      <c r="AB2113" s="28"/>
      <c r="AC2113" s="28" t="n">
        <f aca="false">AB2113*$M2113</f>
        <v>0</v>
      </c>
      <c r="AD2113" s="28"/>
      <c r="AE2113" s="28" t="n">
        <f aca="false">AD2113*$M2113</f>
        <v>0</v>
      </c>
      <c r="AF2113" s="28"/>
      <c r="AG2113" s="28" t="n">
        <f aca="false">AF2113*$M2113</f>
        <v>0</v>
      </c>
      <c r="AH2113" s="28"/>
      <c r="AI2113" s="28" t="n">
        <f aca="false">AH2113*$M2113</f>
        <v>0</v>
      </c>
      <c r="AJ2113" s="28"/>
      <c r="AK2113" s="28" t="n">
        <f aca="false">AJ2113*$M2113</f>
        <v>0</v>
      </c>
      <c r="AL2113" s="28"/>
      <c r="AM2113" s="28" t="n">
        <f aca="false">AL2113*$M2113</f>
        <v>0</v>
      </c>
      <c r="AN2113" s="28"/>
      <c r="AO2113" s="28" t="n">
        <f aca="false">AN2113*$M2113</f>
        <v>0</v>
      </c>
      <c r="AP2113" s="28"/>
      <c r="AQ2113" s="28" t="n">
        <f aca="false">AP2113*$M2113</f>
        <v>0</v>
      </c>
      <c r="AR2113" s="28"/>
      <c r="AS2113" s="28" t="n">
        <f aca="false">AR2113*$M2113</f>
        <v>0</v>
      </c>
      <c r="AT2113" s="28"/>
      <c r="AU2113" s="28" t="n">
        <f aca="false">AT2113*$M2113</f>
        <v>0</v>
      </c>
      <c r="AV2113" s="28"/>
      <c r="AW2113" s="28" t="n">
        <f aca="false">AV2113*$M2113</f>
        <v>0</v>
      </c>
      <c r="AX2113" s="28"/>
      <c r="AY2113" s="28" t="n">
        <f aca="false">AX2113*$M2113</f>
        <v>0</v>
      </c>
      <c r="AZ2113" s="30" t="n">
        <f aca="false">23572/100</f>
        <v>235.72</v>
      </c>
      <c r="BA2113" s="11" t="n">
        <v>44787</v>
      </c>
      <c r="BB2113" s="31" t="n">
        <f aca="false">SUM(Q2113,S2113,U2113,W2113,Y2113,AA2113,AC2113,AE2113,AG2113,AI2113,AK2113,AM2113,AO2113,AQ2113,AS2113,AU2113,AW2113,AY2113)</f>
        <v>44787</v>
      </c>
      <c r="BC2113" s="28" t="n">
        <f aca="false">BA2113-BB2113</f>
        <v>0</v>
      </c>
      <c r="BD2113" s="32" t="n">
        <f aca="false">SUM(P2113,R2113,T2113,V2113,X2113,Z2113,AB2113,AD2113,AF2113,AH2113,AJ2113,AL2113,AN2113,AP2113,AR2113,AT2113,AV2113,AX2113)</f>
        <v>235.72</v>
      </c>
      <c r="BE2113" s="33" t="n">
        <f aca="false">AZ2113-BD2113</f>
        <v>0</v>
      </c>
      <c r="BF2113" s="34" t="n">
        <f aca="false">BD2113*M2113</f>
        <v>44786.8</v>
      </c>
      <c r="BG2113" s="35" t="n">
        <f aca="false">BA2113-BF2113</f>
        <v>0.19999999999709</v>
      </c>
      <c r="BH2113" s="19" t="str">
        <f aca="false">IF(BG2113=0,"",IF(BG2113&lt;&gt;BA2113,"erreur de calcul",IF(BD2113&lt;&gt;0,"pas de prix",IF(M2113&lt;&gt; 0,"pas de quantité","pas de prix, ni de quantité"))))</f>
        <v>erreur de calcul</v>
      </c>
      <c r="BI2113" s="19"/>
    </row>
    <row r="2114" customFormat="false" ht="15" hidden="false" customHeight="false" outlineLevel="0" collapsed="false">
      <c r="A2114" s="0" t="n">
        <v>6</v>
      </c>
      <c r="B2114" s="8" t="s">
        <v>24</v>
      </c>
      <c r="C2114" s="9" t="s">
        <v>25</v>
      </c>
      <c r="D2114" s="9" t="s">
        <v>26</v>
      </c>
      <c r="E2114" s="10" t="n">
        <v>1789</v>
      </c>
      <c r="F2114" s="9" t="s">
        <v>27</v>
      </c>
      <c r="G2114" s="9" t="s">
        <v>27</v>
      </c>
      <c r="H2114" s="11" t="n">
        <v>18</v>
      </c>
      <c r="I2114" s="11" t="s">
        <v>71</v>
      </c>
      <c r="J2114" s="14" t="n">
        <v>60</v>
      </c>
      <c r="K2114" s="14"/>
      <c r="L2114" s="16"/>
      <c r="M2114" s="27" t="n">
        <f aca="false">J2114+(K2114/20)+(L2114/240)</f>
        <v>60</v>
      </c>
      <c r="N2114" s="17" t="s">
        <v>64</v>
      </c>
      <c r="O2114" s="11"/>
      <c r="P2114" s="28" t="n">
        <f aca="false">674/100</f>
        <v>6.74</v>
      </c>
      <c r="Q2114" s="28" t="n">
        <v>404</v>
      </c>
      <c r="R2114" s="28"/>
      <c r="S2114" s="28" t="n">
        <f aca="false">R2114*$M2114</f>
        <v>0</v>
      </c>
      <c r="T2114" s="28"/>
      <c r="U2114" s="28" t="n">
        <f aca="false">T2114*$M2114</f>
        <v>0</v>
      </c>
      <c r="V2114" s="28"/>
      <c r="W2114" s="28" t="n">
        <f aca="false">V2114*$M2114</f>
        <v>0</v>
      </c>
      <c r="X2114" s="29"/>
      <c r="Y2114" s="28" t="n">
        <f aca="false">X2114*$M2114</f>
        <v>0</v>
      </c>
      <c r="Z2114" s="28"/>
      <c r="AA2114" s="28" t="n">
        <f aca="false">Z2114*$M2114</f>
        <v>0</v>
      </c>
      <c r="AB2114" s="28"/>
      <c r="AC2114" s="28" t="n">
        <f aca="false">AB2114*$M2114</f>
        <v>0</v>
      </c>
      <c r="AD2114" s="28"/>
      <c r="AE2114" s="28" t="n">
        <f aca="false">AD2114*$M2114</f>
        <v>0</v>
      </c>
      <c r="AF2114" s="28"/>
      <c r="AG2114" s="28" t="n">
        <f aca="false">AF2114*$M2114</f>
        <v>0</v>
      </c>
      <c r="AH2114" s="28"/>
      <c r="AI2114" s="28" t="n">
        <f aca="false">AH2114*$M2114</f>
        <v>0</v>
      </c>
      <c r="AJ2114" s="28" t="n">
        <f aca="false">1133/100</f>
        <v>11.33</v>
      </c>
      <c r="AK2114" s="28" t="n">
        <v>680</v>
      </c>
      <c r="AL2114" s="28" t="n">
        <f aca="false">3140/100</f>
        <v>31.4</v>
      </c>
      <c r="AM2114" s="28" t="n">
        <v>1884</v>
      </c>
      <c r="AN2114" s="28"/>
      <c r="AO2114" s="28" t="n">
        <f aca="false">AN2114*$M2114</f>
        <v>0</v>
      </c>
      <c r="AP2114" s="28"/>
      <c r="AQ2114" s="28" t="n">
        <f aca="false">AP2114*$M2114</f>
        <v>0</v>
      </c>
      <c r="AR2114" s="28"/>
      <c r="AS2114" s="28" t="n">
        <f aca="false">AR2114*$M2114</f>
        <v>0</v>
      </c>
      <c r="AT2114" s="28"/>
      <c r="AU2114" s="28" t="n">
        <f aca="false">AT2114*$M2114</f>
        <v>0</v>
      </c>
      <c r="AV2114" s="28"/>
      <c r="AW2114" s="28" t="n">
        <f aca="false">AV2114*$M2114</f>
        <v>0</v>
      </c>
      <c r="AX2114" s="28"/>
      <c r="AY2114" s="28" t="n">
        <f aca="false">AX2114*$M2114</f>
        <v>0</v>
      </c>
      <c r="AZ2114" s="30" t="n">
        <f aca="false">4947/100</f>
        <v>49.47</v>
      </c>
      <c r="BA2114" s="11" t="n">
        <v>2968</v>
      </c>
      <c r="BB2114" s="31" t="n">
        <f aca="false">SUM(Q2114,S2114,U2114,W2114,Y2114,AA2114,AC2114,AE2114,AG2114,AI2114,AK2114,AM2114,AO2114,AQ2114,AS2114,AU2114,AW2114,AY2114)</f>
        <v>2968</v>
      </c>
      <c r="BC2114" s="28" t="n">
        <f aca="false">BA2114-BB2114</f>
        <v>0</v>
      </c>
      <c r="BD2114" s="32" t="n">
        <f aca="false">SUM(P2114,R2114,T2114,V2114,X2114,Z2114,AB2114,AD2114,AF2114,AH2114,AJ2114,AL2114,AN2114,AP2114,AR2114,AT2114,AV2114,AX2114)</f>
        <v>49.47</v>
      </c>
      <c r="BE2114" s="33" t="n">
        <f aca="false">AZ2114-BD2114</f>
        <v>0</v>
      </c>
      <c r="BF2114" s="34" t="n">
        <f aca="false">BD2114*M2114</f>
        <v>2968.2</v>
      </c>
      <c r="BG2114" s="35" t="n">
        <f aca="false">BA2114-BF2114</f>
        <v>-0.199999999999818</v>
      </c>
      <c r="BH2114" s="19" t="str">
        <f aca="false">IF(BG2114=0,"",IF(BG2114&lt;&gt;BA2114,"erreur de calcul",IF(BD2114&lt;&gt;0,"pas de prix",IF(M2114&lt;&gt; 0,"pas de quantité","pas de prix, ni de quantité"))))</f>
        <v>erreur de calcul</v>
      </c>
      <c r="BI2114" s="19"/>
    </row>
    <row r="2115" customFormat="false" ht="15" hidden="false" customHeight="false" outlineLevel="0" collapsed="false">
      <c r="A2115" s="0" t="n">
        <v>7</v>
      </c>
      <c r="B2115" s="8" t="s">
        <v>24</v>
      </c>
      <c r="C2115" s="9" t="s">
        <v>25</v>
      </c>
      <c r="D2115" s="9" t="s">
        <v>26</v>
      </c>
      <c r="E2115" s="10" t="n">
        <v>1789</v>
      </c>
      <c r="F2115" s="9" t="s">
        <v>27</v>
      </c>
      <c r="G2115" s="9" t="s">
        <v>27</v>
      </c>
      <c r="H2115" s="11" t="n">
        <v>18</v>
      </c>
      <c r="I2115" s="11" t="s">
        <v>72</v>
      </c>
      <c r="J2115" s="14" t="n">
        <v>15</v>
      </c>
      <c r="K2115" s="14"/>
      <c r="L2115" s="16"/>
      <c r="M2115" s="27" t="n">
        <f aca="false">J2115+(K2115/20)+(L2115/240)</f>
        <v>15</v>
      </c>
      <c r="N2115" s="17" t="s">
        <v>64</v>
      </c>
      <c r="O2115" s="11"/>
      <c r="P2115" s="28"/>
      <c r="Q2115" s="28" t="n">
        <f aca="false">P2115*$M2115</f>
        <v>0</v>
      </c>
      <c r="R2115" s="28"/>
      <c r="S2115" s="28" t="n">
        <f aca="false">R2115*$M2115</f>
        <v>0</v>
      </c>
      <c r="T2115" s="28"/>
      <c r="U2115" s="28" t="n">
        <f aca="false">T2115*$M2115</f>
        <v>0</v>
      </c>
      <c r="V2115" s="28"/>
      <c r="W2115" s="28" t="n">
        <f aca="false">V2115*$M2115</f>
        <v>0</v>
      </c>
      <c r="X2115" s="29"/>
      <c r="Y2115" s="28" t="n">
        <f aca="false">X2115*$M2115</f>
        <v>0</v>
      </c>
      <c r="Z2115" s="28"/>
      <c r="AA2115" s="28" t="n">
        <f aca="false">Z2115*$M2115</f>
        <v>0</v>
      </c>
      <c r="AB2115" s="28"/>
      <c r="AC2115" s="28" t="n">
        <f aca="false">AB2115*$M2115</f>
        <v>0</v>
      </c>
      <c r="AD2115" s="28"/>
      <c r="AE2115" s="28" t="n">
        <f aca="false">AD2115*$M2115</f>
        <v>0</v>
      </c>
      <c r="AF2115" s="28"/>
      <c r="AG2115" s="28" t="n">
        <f aca="false">AF2115*$M2115</f>
        <v>0</v>
      </c>
      <c r="AH2115" s="28"/>
      <c r="AI2115" s="28" t="n">
        <f aca="false">AH2115*$M2115</f>
        <v>0</v>
      </c>
      <c r="AJ2115" s="28" t="n">
        <f aca="false">119*288*0.02+88*0.02</f>
        <v>687.2</v>
      </c>
      <c r="AK2115" s="28" t="n">
        <v>10308</v>
      </c>
      <c r="AL2115" s="28"/>
      <c r="AM2115" s="28" t="n">
        <f aca="false">AL2115*$M2115</f>
        <v>0</v>
      </c>
      <c r="AN2115" s="28"/>
      <c r="AO2115" s="28" t="n">
        <f aca="false">AN2115*$M2115</f>
        <v>0</v>
      </c>
      <c r="AP2115" s="28"/>
      <c r="AQ2115" s="28" t="n">
        <f aca="false">AP2115*$M2115</f>
        <v>0</v>
      </c>
      <c r="AR2115" s="28"/>
      <c r="AS2115" s="28" t="n">
        <f aca="false">AR2115*$M2115</f>
        <v>0</v>
      </c>
      <c r="AT2115" s="28"/>
      <c r="AU2115" s="28" t="n">
        <f aca="false">AT2115*$M2115</f>
        <v>0</v>
      </c>
      <c r="AV2115" s="28"/>
      <c r="AW2115" s="28" t="n">
        <f aca="false">AV2115*$M2115</f>
        <v>0</v>
      </c>
      <c r="AX2115" s="28"/>
      <c r="AY2115" s="28" t="n">
        <f aca="false">AX2115*$M2115</f>
        <v>0</v>
      </c>
      <c r="AZ2115" s="30" t="n">
        <f aca="false">119*288*0.02+88*0.02</f>
        <v>687.2</v>
      </c>
      <c r="BA2115" s="11" t="n">
        <v>10308</v>
      </c>
      <c r="BB2115" s="31" t="n">
        <f aca="false">SUM(Q2115,S2115,U2115,W2115,Y2115,AA2115,AC2115,AE2115,AG2115,AI2115,AK2115,AM2115,AO2115,AQ2115,AS2115,AU2115,AW2115,AY2115)</f>
        <v>10308</v>
      </c>
      <c r="BC2115" s="28" t="n">
        <f aca="false">BA2115-BB2115</f>
        <v>0</v>
      </c>
      <c r="BD2115" s="32" t="n">
        <f aca="false">SUM(P2115,R2115,T2115,V2115,X2115,Z2115,AB2115,AD2115,AF2115,AH2115,AJ2115,AL2115,AN2115,AP2115,AR2115,AT2115,AV2115,AX2115)</f>
        <v>687.2</v>
      </c>
      <c r="BE2115" s="33" t="n">
        <f aca="false">AZ2115-BD2115</f>
        <v>0</v>
      </c>
      <c r="BF2115" s="34" t="n">
        <f aca="false">BD2115*M2115</f>
        <v>10308</v>
      </c>
      <c r="BG2115" s="35" t="n">
        <f aca="false">BA2115-BF2115</f>
        <v>0</v>
      </c>
      <c r="BH2115" s="19" t="str">
        <f aca="false">IF(BG2115=0,"",IF(BG2115&lt;&gt;BA2115,"erreur de calcul",IF(BD2115&lt;&gt;0,"pas de prix",IF(M2115&lt;&gt; 0,"pas de quantité","pas de prix, ni de quantité"))))</f>
        <v/>
      </c>
      <c r="BI2115" s="19"/>
    </row>
    <row r="2116" customFormat="false" ht="15" hidden="false" customHeight="false" outlineLevel="0" collapsed="false">
      <c r="A2116" s="0" t="n">
        <v>8</v>
      </c>
      <c r="B2116" s="8" t="s">
        <v>24</v>
      </c>
      <c r="C2116" s="9" t="s">
        <v>25</v>
      </c>
      <c r="D2116" s="9" t="s">
        <v>26</v>
      </c>
      <c r="E2116" s="10" t="n">
        <v>1789</v>
      </c>
      <c r="F2116" s="9" t="s">
        <v>27</v>
      </c>
      <c r="G2116" s="9" t="s">
        <v>27</v>
      </c>
      <c r="H2116" s="11" t="n">
        <v>18</v>
      </c>
      <c r="I2116" s="11" t="s">
        <v>73</v>
      </c>
      <c r="J2116" s="14"/>
      <c r="K2116" s="14"/>
      <c r="L2116" s="16"/>
      <c r="M2116" s="27" t="n">
        <f aca="false">J2116+(K2116/20)+(L2116/240)</f>
        <v>0</v>
      </c>
      <c r="N2116" s="17"/>
      <c r="O2116" s="11"/>
      <c r="P2116" s="28"/>
      <c r="Q2116" s="28" t="n">
        <f aca="false">P2116*$M2116</f>
        <v>0</v>
      </c>
      <c r="R2116" s="28"/>
      <c r="S2116" s="28" t="n">
        <f aca="false">R2116*$M2116</f>
        <v>0</v>
      </c>
      <c r="T2116" s="28"/>
      <c r="U2116" s="28" t="n">
        <v>3356</v>
      </c>
      <c r="V2116" s="28"/>
      <c r="W2116" s="28" t="n">
        <v>1444</v>
      </c>
      <c r="X2116" s="29"/>
      <c r="Y2116" s="28" t="n">
        <f aca="false">X2116*$M2116</f>
        <v>0</v>
      </c>
      <c r="Z2116" s="28"/>
      <c r="AA2116" s="28" t="n">
        <f aca="false">Z2116*$M2116</f>
        <v>0</v>
      </c>
      <c r="AB2116" s="28"/>
      <c r="AC2116" s="28" t="n">
        <f aca="false">AB2116*$M2116</f>
        <v>0</v>
      </c>
      <c r="AD2116" s="28"/>
      <c r="AE2116" s="28" t="n">
        <f aca="false">AD2116*$M2116</f>
        <v>0</v>
      </c>
      <c r="AF2116" s="28"/>
      <c r="AG2116" s="28" t="n">
        <f aca="false">AF2116*$M2116</f>
        <v>0</v>
      </c>
      <c r="AH2116" s="28"/>
      <c r="AI2116" s="28" t="n">
        <f aca="false">AH2116*$M2116</f>
        <v>0</v>
      </c>
      <c r="AJ2116" s="28"/>
      <c r="AK2116" s="28" t="n">
        <f aca="false">AJ2116*$M2116</f>
        <v>0</v>
      </c>
      <c r="AL2116" s="28"/>
      <c r="AM2116" s="28" t="n">
        <f aca="false">AL2116*$M2116</f>
        <v>0</v>
      </c>
      <c r="AN2116" s="28"/>
      <c r="AO2116" s="28" t="n">
        <f aca="false">AN2116*$M2116</f>
        <v>0</v>
      </c>
      <c r="AP2116" s="28"/>
      <c r="AQ2116" s="28" t="n">
        <f aca="false">AP2116*$M2116</f>
        <v>0</v>
      </c>
      <c r="AR2116" s="28"/>
      <c r="AS2116" s="28" t="n">
        <f aca="false">AR2116*$M2116</f>
        <v>0</v>
      </c>
      <c r="AT2116" s="28"/>
      <c r="AU2116" s="28" t="n">
        <f aca="false">AT2116*$M2116</f>
        <v>0</v>
      </c>
      <c r="AV2116" s="28"/>
      <c r="AW2116" s="28" t="n">
        <f aca="false">AV2116*$M2116</f>
        <v>0</v>
      </c>
      <c r="AX2116" s="28"/>
      <c r="AY2116" s="28" t="n">
        <f aca="false">AX2116*$M2116</f>
        <v>0</v>
      </c>
      <c r="AZ2116" s="30"/>
      <c r="BA2116" s="11" t="n">
        <v>4800</v>
      </c>
      <c r="BB2116" s="31" t="n">
        <f aca="false">SUM(Q2116,S2116,U2116,W2116,Y2116,AA2116,AC2116,AE2116,AG2116,AI2116,AK2116,AM2116,AO2116,AQ2116,AS2116,AU2116,AW2116,AY2116)</f>
        <v>4800</v>
      </c>
      <c r="BC2116" s="28" t="n">
        <f aca="false">BA2116-BB2116</f>
        <v>0</v>
      </c>
      <c r="BD2116" s="32" t="n">
        <f aca="false">SUM(P2116,R2116,T2116,V2116,X2116,Z2116,AB2116,AD2116,AF2116,AH2116,AJ2116,AL2116,AN2116,AP2116,AR2116,AT2116,AV2116,AX2116)</f>
        <v>0</v>
      </c>
      <c r="BE2116" s="33" t="n">
        <f aca="false">AZ2116-BD2116</f>
        <v>0</v>
      </c>
      <c r="BF2116" s="34" t="n">
        <f aca="false">BD2116*M2116</f>
        <v>0</v>
      </c>
      <c r="BG2116" s="35" t="n">
        <f aca="false">BA2116-BF2116</f>
        <v>4800</v>
      </c>
      <c r="BH2116" s="19" t="str">
        <f aca="false">IF(BG2116=0,"",IF(BG2116&lt;&gt;BA2116,"erreur de calcul",IF(BD2116&lt;&gt;0,"pas de prix",IF(M2116&lt;&gt; 0,"pas de quantité","pas de prix, ni de quantité"))))</f>
        <v>pas de prix, ni de quantité</v>
      </c>
      <c r="BI2116" s="19"/>
    </row>
    <row r="2117" customFormat="false" ht="15" hidden="false" customHeight="false" outlineLevel="0" collapsed="false">
      <c r="A2117" s="0" t="n">
        <v>9</v>
      </c>
      <c r="B2117" s="8" t="s">
        <v>24</v>
      </c>
      <c r="C2117" s="9" t="s">
        <v>25</v>
      </c>
      <c r="D2117" s="9" t="s">
        <v>26</v>
      </c>
      <c r="E2117" s="10" t="n">
        <v>1789</v>
      </c>
      <c r="F2117" s="9" t="s">
        <v>27</v>
      </c>
      <c r="G2117" s="9" t="s">
        <v>27</v>
      </c>
      <c r="H2117" s="11" t="n">
        <v>18</v>
      </c>
      <c r="I2117" s="11" t="s">
        <v>74</v>
      </c>
      <c r="J2117" s="14"/>
      <c r="K2117" s="14"/>
      <c r="L2117" s="16"/>
      <c r="M2117" s="27" t="n">
        <f aca="false">J2117+(K2117/20)+(L2117/240)</f>
        <v>0</v>
      </c>
      <c r="N2117" s="17" t="s">
        <v>66</v>
      </c>
      <c r="O2117" s="11"/>
      <c r="P2117" s="28"/>
      <c r="Q2117" s="28" t="n">
        <f aca="false">P2117*$M2117</f>
        <v>0</v>
      </c>
      <c r="R2117" s="28"/>
      <c r="S2117" s="28" t="n">
        <f aca="false">R2117*$M2117</f>
        <v>0</v>
      </c>
      <c r="T2117" s="28"/>
      <c r="U2117" s="28" t="n">
        <f aca="false">T2117*$M2117</f>
        <v>0</v>
      </c>
      <c r="V2117" s="28"/>
      <c r="W2117" s="28" t="n">
        <f aca="false">V2117*$M2117</f>
        <v>0</v>
      </c>
      <c r="X2117" s="29"/>
      <c r="Y2117" s="28"/>
      <c r="Z2117" s="28"/>
      <c r="AA2117" s="28" t="n">
        <f aca="false">Z2117*$M2117</f>
        <v>0</v>
      </c>
      <c r="AB2117" s="28"/>
      <c r="AC2117" s="28" t="n">
        <f aca="false">AB2117*$M2117</f>
        <v>0</v>
      </c>
      <c r="AD2117" s="28"/>
      <c r="AE2117" s="28" t="n">
        <f aca="false">AD2117*$M2117</f>
        <v>0</v>
      </c>
      <c r="AF2117" s="28"/>
      <c r="AG2117" s="28" t="n">
        <f aca="false">AF2117*$M2117</f>
        <v>0</v>
      </c>
      <c r="AH2117" s="28" t="n">
        <v>45346</v>
      </c>
      <c r="AI2117" s="28" t="n">
        <v>3174</v>
      </c>
      <c r="AJ2117" s="28"/>
      <c r="AK2117" s="28" t="n">
        <f aca="false">AJ2117*$M2117</f>
        <v>0</v>
      </c>
      <c r="AL2117" s="28"/>
      <c r="AM2117" s="28" t="n">
        <f aca="false">AL2117*$M2117</f>
        <v>0</v>
      </c>
      <c r="AN2117" s="28"/>
      <c r="AO2117" s="28" t="n">
        <f aca="false">AN2117*$M2117</f>
        <v>0</v>
      </c>
      <c r="AP2117" s="28"/>
      <c r="AQ2117" s="28" t="n">
        <f aca="false">AP2117*$M2117</f>
        <v>0</v>
      </c>
      <c r="AR2117" s="28"/>
      <c r="AS2117" s="28" t="n">
        <f aca="false">AR2117*$M2117</f>
        <v>0</v>
      </c>
      <c r="AT2117" s="28"/>
      <c r="AU2117" s="28" t="n">
        <f aca="false">AT2117*$M2117</f>
        <v>0</v>
      </c>
      <c r="AV2117" s="28"/>
      <c r="AW2117" s="28" t="n">
        <f aca="false">AV2117*$M2117</f>
        <v>0</v>
      </c>
      <c r="AX2117" s="28"/>
      <c r="AY2117" s="28" t="n">
        <f aca="false">AX2117*$M2117</f>
        <v>0</v>
      </c>
      <c r="AZ2117" s="30" t="n">
        <v>45346</v>
      </c>
      <c r="BA2117" s="11" t="n">
        <v>3174</v>
      </c>
      <c r="BB2117" s="31" t="n">
        <f aca="false">SUM(Q2117,S2117,U2117,W2117,Y2117,AA2117,AC2117,AE2117,AG2117,AI2117,AK2117,AM2117,AO2117,AQ2117,AS2117,AU2117,AW2117,AY2117)</f>
        <v>3174</v>
      </c>
      <c r="BC2117" s="28" t="n">
        <f aca="false">BA2117-BB2117</f>
        <v>0</v>
      </c>
      <c r="BD2117" s="32" t="n">
        <f aca="false">SUM(P2117,R2117,T2117,V2117,X2117,Z2117,AB2117,AD2117,AF2117,AH2117,AJ2117,AL2117,AN2117,AP2117,AR2117,AT2117,AV2117,AX2117)</f>
        <v>45346</v>
      </c>
      <c r="BE2117" s="33" t="n">
        <f aca="false">AZ2117-BD2117</f>
        <v>0</v>
      </c>
      <c r="BF2117" s="34" t="n">
        <f aca="false">BD2117*M2117</f>
        <v>0</v>
      </c>
      <c r="BG2117" s="35" t="n">
        <f aca="false">BA2117-BF2117</f>
        <v>3174</v>
      </c>
      <c r="BH2117" s="19" t="str">
        <f aca="false">IF(BG2117=0,"",IF(BG2117&lt;&gt;BA2117,"erreur de calcul",IF(BD2117&lt;&gt;0,"pas de prix",IF(M2117&lt;&gt; 0,"pas de quantité","pas de prix, ni de quantité"))))</f>
        <v>pas de prix</v>
      </c>
      <c r="BI2117" s="19" t="s">
        <v>75</v>
      </c>
    </row>
    <row r="2118" customFormat="false" ht="15" hidden="false" customHeight="false" outlineLevel="0" collapsed="false">
      <c r="A2118" s="0" t="n">
        <v>10</v>
      </c>
      <c r="B2118" s="8" t="s">
        <v>24</v>
      </c>
      <c r="C2118" s="9" t="s">
        <v>25</v>
      </c>
      <c r="D2118" s="9" t="s">
        <v>26</v>
      </c>
      <c r="E2118" s="10" t="n">
        <v>1789</v>
      </c>
      <c r="F2118" s="9" t="s">
        <v>27</v>
      </c>
      <c r="G2118" s="9" t="s">
        <v>27</v>
      </c>
      <c r="H2118" s="11" t="n">
        <v>18</v>
      </c>
      <c r="I2118" s="11" t="s">
        <v>76</v>
      </c>
      <c r="J2118" s="14"/>
      <c r="K2118" s="14" t="n">
        <v>20</v>
      </c>
      <c r="L2118" s="16"/>
      <c r="M2118" s="27" t="n">
        <f aca="false">J2118+(K2118/20)+(L2118/240)</f>
        <v>1</v>
      </c>
      <c r="N2118" s="17" t="s">
        <v>64</v>
      </c>
      <c r="O2118" s="11" t="s">
        <v>77</v>
      </c>
      <c r="P2118" s="28" t="n">
        <f aca="false">66667/100</f>
        <v>666.67</v>
      </c>
      <c r="Q2118" s="28" t="n">
        <v>667</v>
      </c>
      <c r="R2118" s="28"/>
      <c r="S2118" s="28" t="n">
        <f aca="false">R2118*$M2118</f>
        <v>0</v>
      </c>
      <c r="T2118" s="28"/>
      <c r="U2118" s="28" t="n">
        <f aca="false">T2118*$M2118</f>
        <v>0</v>
      </c>
      <c r="V2118" s="28" t="n">
        <f aca="false">281532/100</f>
        <v>2815.32</v>
      </c>
      <c r="W2118" s="28" t="n">
        <v>2815</v>
      </c>
      <c r="X2118" s="29" t="n">
        <f aca="false">366667/100</f>
        <v>3666.67</v>
      </c>
      <c r="Y2118" s="28" t="n">
        <v>3666</v>
      </c>
      <c r="Z2118" s="28" t="n">
        <f aca="false">33334/100</f>
        <v>333.34</v>
      </c>
      <c r="AA2118" s="28" t="n">
        <v>333</v>
      </c>
      <c r="AB2118" s="28"/>
      <c r="AC2118" s="28" t="n">
        <f aca="false">AB2118*$M2118</f>
        <v>0</v>
      </c>
      <c r="AD2118" s="28"/>
      <c r="AE2118" s="28" t="n">
        <f aca="false">AD2118*$M2118</f>
        <v>0</v>
      </c>
      <c r="AF2118" s="28"/>
      <c r="AG2118" s="28" t="n">
        <f aca="false">AF2118*$M2118</f>
        <v>0</v>
      </c>
      <c r="AH2118" s="28"/>
      <c r="AI2118" s="28" t="n">
        <f aca="false">AH2118*$M2118</f>
        <v>0</v>
      </c>
      <c r="AJ2118" s="28"/>
      <c r="AK2118" s="28" t="n">
        <f aca="false">AJ2118*$M2118</f>
        <v>0</v>
      </c>
      <c r="AL2118" s="28"/>
      <c r="AM2118" s="28" t="n">
        <f aca="false">AL2118*$M2118</f>
        <v>0</v>
      </c>
      <c r="AN2118" s="28"/>
      <c r="AO2118" s="28" t="n">
        <f aca="false">AN2118*$M2118</f>
        <v>0</v>
      </c>
      <c r="AP2118" s="28"/>
      <c r="AQ2118" s="28" t="n">
        <f aca="false">AP2118*$M2118</f>
        <v>0</v>
      </c>
      <c r="AR2118" s="28"/>
      <c r="AS2118" s="28" t="n">
        <f aca="false">AR2118*$M2118</f>
        <v>0</v>
      </c>
      <c r="AT2118" s="28"/>
      <c r="AU2118" s="28" t="n">
        <f aca="false">AT2118*$M2118</f>
        <v>0</v>
      </c>
      <c r="AV2118" s="28"/>
      <c r="AW2118" s="28" t="n">
        <f aca="false">AV2118*$M2118</f>
        <v>0</v>
      </c>
      <c r="AX2118" s="28"/>
      <c r="AY2118" s="28" t="n">
        <f aca="false">AX2118*$M2118</f>
        <v>0</v>
      </c>
      <c r="AZ2118" s="30" t="n">
        <f aca="false">748200/100</f>
        <v>7482</v>
      </c>
      <c r="BA2118" s="11" t="n">
        <v>7481</v>
      </c>
      <c r="BB2118" s="31" t="n">
        <f aca="false">SUM(Q2118,S2118,U2118,W2118,Y2118,AA2118,AC2118,AE2118,AG2118,AI2118,AK2118,AM2118,AO2118,AQ2118,AS2118,AU2118,AW2118,AY2118)</f>
        <v>7481</v>
      </c>
      <c r="BC2118" s="28" t="n">
        <f aca="false">BA2118-BB2118</f>
        <v>0</v>
      </c>
      <c r="BD2118" s="32" t="n">
        <f aca="false">SUM(P2118,R2118,T2118,V2118,X2118,Z2118,AB2118,AD2118,AF2118,AH2118,AJ2118,AL2118,AN2118,AP2118,AR2118,AT2118,AV2118,AX2118)</f>
        <v>7482</v>
      </c>
      <c r="BE2118" s="33" t="n">
        <f aca="false">AZ2118-BD2118</f>
        <v>0</v>
      </c>
      <c r="BF2118" s="34" t="n">
        <f aca="false">BD2118*M2118</f>
        <v>7482</v>
      </c>
      <c r="BG2118" s="35" t="n">
        <f aca="false">BA2118-BF2118</f>
        <v>-1</v>
      </c>
      <c r="BH2118" s="19" t="str">
        <f aca="false">IF(BG2118=0,"",IF(BG2118&lt;&gt;BA2118,"erreur de calcul",IF(BD2118&lt;&gt;0,"pas de prix",IF(M2118&lt;&gt; 0,"pas de quantité","pas de prix, ni de quantité"))))</f>
        <v>erreur de calcul</v>
      </c>
      <c r="BI2118" s="19"/>
    </row>
    <row r="2119" customFormat="false" ht="15" hidden="false" customHeight="false" outlineLevel="0" collapsed="false">
      <c r="A2119" s="0" t="n">
        <v>11</v>
      </c>
      <c r="B2119" s="8" t="s">
        <v>24</v>
      </c>
      <c r="C2119" s="9" t="s">
        <v>25</v>
      </c>
      <c r="D2119" s="9" t="s">
        <v>26</v>
      </c>
      <c r="E2119" s="10" t="n">
        <v>1789</v>
      </c>
      <c r="F2119" s="9" t="s">
        <v>27</v>
      </c>
      <c r="G2119" s="9" t="s">
        <v>27</v>
      </c>
      <c r="H2119" s="11" t="n">
        <v>18</v>
      </c>
      <c r="I2119" s="11" t="s">
        <v>78</v>
      </c>
      <c r="J2119" s="14"/>
      <c r="K2119" s="14" t="n">
        <v>50</v>
      </c>
      <c r="L2119" s="16"/>
      <c r="M2119" s="27" t="n">
        <f aca="false">J2119+(K2119/20)+(L2119/240)</f>
        <v>2.5</v>
      </c>
      <c r="N2119" s="17" t="s">
        <v>79</v>
      </c>
      <c r="O2119" s="11"/>
      <c r="P2119" s="28"/>
      <c r="Q2119" s="28" t="n">
        <f aca="false">P2119*$M2119</f>
        <v>0</v>
      </c>
      <c r="R2119" s="28"/>
      <c r="S2119" s="28" t="n">
        <f aca="false">R2119*$M2119</f>
        <v>0</v>
      </c>
      <c r="T2119" s="28"/>
      <c r="U2119" s="28" t="n">
        <f aca="false">T2119*$M2119</f>
        <v>0</v>
      </c>
      <c r="V2119" s="28" t="n">
        <v>61807</v>
      </c>
      <c r="W2119" s="28" t="n">
        <v>154517</v>
      </c>
      <c r="X2119" s="29"/>
      <c r="Y2119" s="28" t="n">
        <f aca="false">X2119*$M2119</f>
        <v>0</v>
      </c>
      <c r="Z2119" s="28"/>
      <c r="AA2119" s="28" t="n">
        <f aca="false">Z2119*$M2119</f>
        <v>0</v>
      </c>
      <c r="AB2119" s="28" t="n">
        <v>43640</v>
      </c>
      <c r="AC2119" s="28" t="n">
        <v>109100</v>
      </c>
      <c r="AD2119" s="28"/>
      <c r="AE2119" s="28" t="n">
        <f aca="false">AD2119*$M2119</f>
        <v>0</v>
      </c>
      <c r="AF2119" s="28"/>
      <c r="AG2119" s="28" t="n">
        <f aca="false">AF2119*$M2119</f>
        <v>0</v>
      </c>
      <c r="AH2119" s="28"/>
      <c r="AI2119" s="28" t="n">
        <f aca="false">AH2119*$M2119</f>
        <v>0</v>
      </c>
      <c r="AJ2119" s="28"/>
      <c r="AK2119" s="28" t="n">
        <f aca="false">AJ2119*$M2119</f>
        <v>0</v>
      </c>
      <c r="AL2119" s="28"/>
      <c r="AM2119" s="28" t="n">
        <f aca="false">AL2119*$M2119</f>
        <v>0</v>
      </c>
      <c r="AN2119" s="28"/>
      <c r="AO2119" s="28" t="n">
        <f aca="false">AN2119*$M2119</f>
        <v>0</v>
      </c>
      <c r="AP2119" s="28"/>
      <c r="AQ2119" s="28" t="n">
        <f aca="false">AP2119*$M2119</f>
        <v>0</v>
      </c>
      <c r="AR2119" s="28"/>
      <c r="AS2119" s="28" t="n">
        <f aca="false">AR2119*$M2119</f>
        <v>0</v>
      </c>
      <c r="AT2119" s="28"/>
      <c r="AU2119" s="28" t="n">
        <f aca="false">AT2119*$M2119</f>
        <v>0</v>
      </c>
      <c r="AV2119" s="28"/>
      <c r="AW2119" s="28" t="n">
        <f aca="false">AV2119*$M2119</f>
        <v>0</v>
      </c>
      <c r="AX2119" s="28"/>
      <c r="AY2119" s="28" t="n">
        <f aca="false">AX2119*$M2119</f>
        <v>0</v>
      </c>
      <c r="AZ2119" s="30" t="n">
        <v>105447</v>
      </c>
      <c r="BA2119" s="11" t="n">
        <v>263617</v>
      </c>
      <c r="BB2119" s="31" t="n">
        <f aca="false">SUM(Q2119,S2119,U2119,W2119,Y2119,AA2119,AC2119,AE2119,AG2119,AI2119,AK2119,AM2119,AO2119,AQ2119,AS2119,AU2119,AW2119,AY2119)</f>
        <v>263617</v>
      </c>
      <c r="BC2119" s="28" t="n">
        <f aca="false">BA2119-BB2119</f>
        <v>0</v>
      </c>
      <c r="BD2119" s="32" t="n">
        <f aca="false">SUM(P2119,R2119,T2119,V2119,X2119,Z2119,AB2119,AD2119,AF2119,AH2119,AJ2119,AL2119,AN2119,AP2119,AR2119,AT2119,AV2119,AX2119)</f>
        <v>105447</v>
      </c>
      <c r="BE2119" s="33" t="n">
        <f aca="false">AZ2119-BD2119</f>
        <v>0</v>
      </c>
      <c r="BF2119" s="34" t="n">
        <f aca="false">BD2119*M2119</f>
        <v>263617.5</v>
      </c>
      <c r="BG2119" s="35" t="n">
        <f aca="false">BA2119-BF2119</f>
        <v>-0.5</v>
      </c>
      <c r="BH2119" s="19" t="str">
        <f aca="false">IF(BG2119=0,"",IF(BG2119&lt;&gt;BA2119,"erreur de calcul",IF(BD2119&lt;&gt;0,"pas de prix",IF(M2119&lt;&gt; 0,"pas de quantité","pas de prix, ni de quantité"))))</f>
        <v>erreur de calcul</v>
      </c>
      <c r="BI2119" s="19"/>
    </row>
    <row r="2120" customFormat="false" ht="15" hidden="false" customHeight="false" outlineLevel="0" collapsed="false">
      <c r="A2120" s="0" t="n">
        <v>12</v>
      </c>
      <c r="B2120" s="8" t="s">
        <v>24</v>
      </c>
      <c r="C2120" s="9" t="s">
        <v>25</v>
      </c>
      <c r="D2120" s="9" t="s">
        <v>26</v>
      </c>
      <c r="E2120" s="10" t="n">
        <v>1789</v>
      </c>
      <c r="F2120" s="9" t="s">
        <v>27</v>
      </c>
      <c r="G2120" s="9" t="s">
        <v>27</v>
      </c>
      <c r="H2120" s="11" t="n">
        <v>18</v>
      </c>
      <c r="I2120" s="11" t="s">
        <v>80</v>
      </c>
      <c r="J2120" s="14"/>
      <c r="K2120" s="14" t="n">
        <v>4</v>
      </c>
      <c r="L2120" s="16"/>
      <c r="M2120" s="27" t="n">
        <f aca="false">J2120+(K2120/20)+(L2120/240)</f>
        <v>0.2</v>
      </c>
      <c r="N2120" s="17" t="s">
        <v>81</v>
      </c>
      <c r="O2120" s="11"/>
      <c r="P2120" s="28"/>
      <c r="Q2120" s="28" t="n">
        <f aca="false">P2120*$M2120</f>
        <v>0</v>
      </c>
      <c r="R2120" s="28"/>
      <c r="S2120" s="28" t="n">
        <f aca="false">R2120*$M2120</f>
        <v>0</v>
      </c>
      <c r="T2120" s="28"/>
      <c r="U2120" s="28" t="n">
        <f aca="false">T2120*$M2120</f>
        <v>0</v>
      </c>
      <c r="V2120" s="28" t="n">
        <v>5800</v>
      </c>
      <c r="W2120" s="28" t="n">
        <v>1160</v>
      </c>
      <c r="X2120" s="29"/>
      <c r="Y2120" s="28" t="n">
        <v>1069</v>
      </c>
      <c r="Z2120" s="28"/>
      <c r="AA2120" s="28" t="n">
        <f aca="false">Z2120*$M2120</f>
        <v>0</v>
      </c>
      <c r="AB2120" s="28"/>
      <c r="AC2120" s="28" t="n">
        <f aca="false">AB2120*$M2120</f>
        <v>0</v>
      </c>
      <c r="AD2120" s="28"/>
      <c r="AE2120" s="28" t="n">
        <f aca="false">AD2120*$M2120</f>
        <v>0</v>
      </c>
      <c r="AF2120" s="28"/>
      <c r="AG2120" s="28" t="n">
        <f aca="false">AF2120*$M2120</f>
        <v>0</v>
      </c>
      <c r="AH2120" s="28"/>
      <c r="AI2120" s="28" t="n">
        <f aca="false">AH2120*$M2120</f>
        <v>0</v>
      </c>
      <c r="AJ2120" s="28"/>
      <c r="AK2120" s="28" t="n">
        <f aca="false">AJ2120*$M2120</f>
        <v>0</v>
      </c>
      <c r="AL2120" s="28"/>
      <c r="AM2120" s="28" t="n">
        <f aca="false">AL2120*$M2120</f>
        <v>0</v>
      </c>
      <c r="AN2120" s="28"/>
      <c r="AO2120" s="28" t="n">
        <f aca="false">AN2120*$M2120</f>
        <v>0</v>
      </c>
      <c r="AP2120" s="28"/>
      <c r="AQ2120" s="28" t="n">
        <f aca="false">AP2120*$M2120</f>
        <v>0</v>
      </c>
      <c r="AR2120" s="28"/>
      <c r="AS2120" s="28" t="n">
        <f aca="false">AR2120*$M2120</f>
        <v>0</v>
      </c>
      <c r="AT2120" s="28"/>
      <c r="AU2120" s="28" t="n">
        <f aca="false">AT2120*$M2120</f>
        <v>0</v>
      </c>
      <c r="AV2120" s="28"/>
      <c r="AW2120" s="28" t="n">
        <f aca="false">AV2120*$M2120</f>
        <v>0</v>
      </c>
      <c r="AX2120" s="28"/>
      <c r="AY2120" s="28" t="n">
        <f aca="false">AX2120*$M2120</f>
        <v>0</v>
      </c>
      <c r="AZ2120" s="30" t="n">
        <v>11144</v>
      </c>
      <c r="BA2120" s="11" t="n">
        <v>2229</v>
      </c>
      <c r="BB2120" s="31" t="n">
        <f aca="false">SUM(Q2120,S2120,U2120,W2120,Y2120,AA2120,AC2120,AE2120,AG2120,AI2120,AK2120,AM2120,AO2120,AQ2120,AS2120,AU2120,AW2120,AY2120)</f>
        <v>2229</v>
      </c>
      <c r="BC2120" s="28" t="n">
        <f aca="false">BA2120-BB2120</f>
        <v>0</v>
      </c>
      <c r="BD2120" s="32" t="n">
        <f aca="false">SUM(P2120,R2120,T2120,V2120,X2120,Z2120,AB2120,AD2120,AF2120,AH2120,AJ2120,AL2120,AN2120,AP2120,AR2120,AT2120,AV2120,AX2120)</f>
        <v>5800</v>
      </c>
      <c r="BE2120" s="33" t="n">
        <f aca="false">AZ2120-BD2120</f>
        <v>5344</v>
      </c>
      <c r="BF2120" s="34" t="n">
        <f aca="false">BD2120*M2120</f>
        <v>1160</v>
      </c>
      <c r="BG2120" s="35" t="n">
        <f aca="false">BA2120-BF2120</f>
        <v>1069</v>
      </c>
      <c r="BH2120" s="19" t="str">
        <f aca="false">IF(BG2120=0,"",IF(BG2120&lt;&gt;BA2120,"erreur de calcul",IF(BD2120&lt;&gt;0,"pas de prix",IF(M2120&lt;&gt; 0,"pas de quantité","pas de prix, ni de quantité"))))</f>
        <v>erreur de calcul</v>
      </c>
      <c r="BI2120" s="19"/>
    </row>
    <row r="2121" customFormat="false" ht="15" hidden="false" customHeight="false" outlineLevel="0" collapsed="false">
      <c r="A2121" s="0" t="n">
        <v>13</v>
      </c>
      <c r="B2121" s="8" t="s">
        <v>24</v>
      </c>
      <c r="C2121" s="9" t="s">
        <v>25</v>
      </c>
      <c r="D2121" s="9" t="s">
        <v>26</v>
      </c>
      <c r="E2121" s="10" t="n">
        <v>1789</v>
      </c>
      <c r="F2121" s="9" t="s">
        <v>27</v>
      </c>
      <c r="G2121" s="9" t="s">
        <v>27</v>
      </c>
      <c r="H2121" s="11" t="n">
        <v>18</v>
      </c>
      <c r="I2121" s="11" t="s">
        <v>82</v>
      </c>
      <c r="J2121" s="14" t="n">
        <v>17</v>
      </c>
      <c r="K2121" s="14"/>
      <c r="L2121" s="16"/>
      <c r="M2121" s="27" t="n">
        <f aca="false">J2121+(K2121/20)+(L2121/240)</f>
        <v>17</v>
      </c>
      <c r="N2121" s="17" t="s">
        <v>69</v>
      </c>
      <c r="O2121" s="11"/>
      <c r="P2121" s="28"/>
      <c r="Q2121" s="28" t="n">
        <f aca="false">P2121*$M2121</f>
        <v>0</v>
      </c>
      <c r="R2121" s="28"/>
      <c r="S2121" s="28" t="n">
        <f aca="false">R2121*$M2121</f>
        <v>0</v>
      </c>
      <c r="T2121" s="28"/>
      <c r="U2121" s="28" t="n">
        <f aca="false">T2121*$M2121</f>
        <v>0</v>
      </c>
      <c r="V2121" s="28" t="n">
        <v>600</v>
      </c>
      <c r="W2121" s="28" t="n">
        <v>10200</v>
      </c>
      <c r="X2121" s="29"/>
      <c r="Y2121" s="28" t="n">
        <f aca="false">X2121*$M2121</f>
        <v>0</v>
      </c>
      <c r="Z2121" s="28"/>
      <c r="AA2121" s="28" t="n">
        <f aca="false">Z2121*$M2121</f>
        <v>0</v>
      </c>
      <c r="AB2121" s="28"/>
      <c r="AC2121" s="28" t="n">
        <f aca="false">AB2121*$M2121</f>
        <v>0</v>
      </c>
      <c r="AD2121" s="28"/>
      <c r="AE2121" s="28" t="n">
        <f aca="false">AD2121*$M2121</f>
        <v>0</v>
      </c>
      <c r="AF2121" s="28"/>
      <c r="AG2121" s="28" t="n">
        <f aca="false">AF2121*$M2121</f>
        <v>0</v>
      </c>
      <c r="AH2121" s="28"/>
      <c r="AI2121" s="28" t="n">
        <f aca="false">AH2121*$M2121</f>
        <v>0</v>
      </c>
      <c r="AJ2121" s="28"/>
      <c r="AK2121" s="28" t="n">
        <f aca="false">AJ2121*$M2121</f>
        <v>0</v>
      </c>
      <c r="AL2121" s="28"/>
      <c r="AM2121" s="28" t="n">
        <f aca="false">AL2121*$M2121</f>
        <v>0</v>
      </c>
      <c r="AN2121" s="28"/>
      <c r="AO2121" s="28" t="n">
        <f aca="false">AN2121*$M2121</f>
        <v>0</v>
      </c>
      <c r="AP2121" s="28"/>
      <c r="AQ2121" s="28" t="n">
        <f aca="false">AP2121*$M2121</f>
        <v>0</v>
      </c>
      <c r="AR2121" s="28"/>
      <c r="AS2121" s="28" t="n">
        <f aca="false">AR2121*$M2121</f>
        <v>0</v>
      </c>
      <c r="AT2121" s="28"/>
      <c r="AU2121" s="28" t="n">
        <f aca="false">AT2121*$M2121</f>
        <v>0</v>
      </c>
      <c r="AV2121" s="28"/>
      <c r="AW2121" s="28" t="n">
        <f aca="false">AV2121*$M2121</f>
        <v>0</v>
      </c>
      <c r="AX2121" s="28"/>
      <c r="AY2121" s="28" t="n">
        <f aca="false">AX2121*$M2121</f>
        <v>0</v>
      </c>
      <c r="AZ2121" s="30" t="n">
        <v>600</v>
      </c>
      <c r="BA2121" s="11" t="n">
        <v>10200</v>
      </c>
      <c r="BB2121" s="31" t="n">
        <f aca="false">SUM(Q2121,S2121,U2121,W2121,Y2121,AA2121,AC2121,AE2121,AG2121,AI2121,AK2121,AM2121,AO2121,AQ2121,AS2121,AU2121,AW2121,AY2121)</f>
        <v>10200</v>
      </c>
      <c r="BC2121" s="28" t="n">
        <f aca="false">BA2121-BB2121</f>
        <v>0</v>
      </c>
      <c r="BD2121" s="32" t="n">
        <f aca="false">SUM(P2121,R2121,T2121,V2121,X2121,Z2121,AB2121,AD2121,AF2121,AH2121,AJ2121,AL2121,AN2121,AP2121,AR2121,AT2121,AV2121,AX2121)</f>
        <v>600</v>
      </c>
      <c r="BE2121" s="33" t="n">
        <f aca="false">AZ2121-BD2121</f>
        <v>0</v>
      </c>
      <c r="BF2121" s="34" t="n">
        <f aca="false">BD2121*M2121</f>
        <v>10200</v>
      </c>
      <c r="BG2121" s="35" t="n">
        <f aca="false">BA2121-BF2121</f>
        <v>0</v>
      </c>
      <c r="BH2121" s="19" t="str">
        <f aca="false">IF(BG2121=0,"",IF(BG2121&lt;&gt;BA2121,"erreur de calcul",IF(BD2121&lt;&gt;0,"pas de prix",IF(M2121&lt;&gt; 0,"pas de quantité","pas de prix, ni de quantité"))))</f>
        <v/>
      </c>
      <c r="BI2121" s="19"/>
    </row>
    <row r="2122" customFormat="false" ht="15" hidden="false" customHeight="false" outlineLevel="0" collapsed="false">
      <c r="A2122" s="0" t="n">
        <v>14</v>
      </c>
      <c r="B2122" s="8" t="s">
        <v>24</v>
      </c>
      <c r="C2122" s="9" t="s">
        <v>25</v>
      </c>
      <c r="D2122" s="9" t="s">
        <v>26</v>
      </c>
      <c r="E2122" s="10" t="n">
        <v>1789</v>
      </c>
      <c r="F2122" s="9" t="s">
        <v>27</v>
      </c>
      <c r="G2122" s="9" t="s">
        <v>27</v>
      </c>
      <c r="H2122" s="11" t="n">
        <v>18</v>
      </c>
      <c r="I2122" s="11" t="s">
        <v>83</v>
      </c>
      <c r="J2122" s="14" t="n">
        <v>20</v>
      </c>
      <c r="K2122" s="14"/>
      <c r="L2122" s="16"/>
      <c r="M2122" s="27" t="n">
        <f aca="false">J2122+(K2122/20)+(L2122/240)</f>
        <v>20</v>
      </c>
      <c r="N2122" s="17" t="s">
        <v>81</v>
      </c>
      <c r="O2122" s="11"/>
      <c r="P2122" s="28"/>
      <c r="Q2122" s="28" t="n">
        <f aca="false">P2122*$M2122</f>
        <v>0</v>
      </c>
      <c r="R2122" s="28"/>
      <c r="S2122" s="28" t="n">
        <f aca="false">R2122*$M2122</f>
        <v>0</v>
      </c>
      <c r="T2122" s="28"/>
      <c r="U2122" s="28" t="n">
        <f aca="false">T2122*$M2122</f>
        <v>0</v>
      </c>
      <c r="V2122" s="28"/>
      <c r="W2122" s="28" t="n">
        <f aca="false">V2122*$M2122</f>
        <v>0</v>
      </c>
      <c r="X2122" s="29"/>
      <c r="Y2122" s="28" t="n">
        <f aca="false">X2122*$M2122</f>
        <v>0</v>
      </c>
      <c r="Z2122" s="28" t="n">
        <v>460</v>
      </c>
      <c r="AA2122" s="28" t="n">
        <v>9200</v>
      </c>
      <c r="AB2122" s="28"/>
      <c r="AC2122" s="28" t="n">
        <f aca="false">AB2122*$M2122</f>
        <v>0</v>
      </c>
      <c r="AD2122" s="28"/>
      <c r="AE2122" s="28" t="n">
        <f aca="false">AD2122*$M2122</f>
        <v>0</v>
      </c>
      <c r="AF2122" s="28"/>
      <c r="AG2122" s="28" t="n">
        <f aca="false">AF2122*$M2122</f>
        <v>0</v>
      </c>
      <c r="AH2122" s="28"/>
      <c r="AI2122" s="28" t="n">
        <f aca="false">AH2122*$M2122</f>
        <v>0</v>
      </c>
      <c r="AJ2122" s="28"/>
      <c r="AK2122" s="28" t="n">
        <f aca="false">AJ2122*$M2122</f>
        <v>0</v>
      </c>
      <c r="AL2122" s="28"/>
      <c r="AM2122" s="28" t="n">
        <f aca="false">AL2122*$M2122</f>
        <v>0</v>
      </c>
      <c r="AN2122" s="28"/>
      <c r="AO2122" s="28" t="n">
        <f aca="false">AN2122*$M2122</f>
        <v>0</v>
      </c>
      <c r="AP2122" s="28"/>
      <c r="AQ2122" s="28" t="n">
        <f aca="false">AP2122*$M2122</f>
        <v>0</v>
      </c>
      <c r="AR2122" s="28"/>
      <c r="AS2122" s="28" t="n">
        <f aca="false">AR2122*$M2122</f>
        <v>0</v>
      </c>
      <c r="AT2122" s="28"/>
      <c r="AU2122" s="28" t="n">
        <f aca="false">AT2122*$M2122</f>
        <v>0</v>
      </c>
      <c r="AV2122" s="28"/>
      <c r="AW2122" s="28" t="n">
        <f aca="false">AV2122*$M2122</f>
        <v>0</v>
      </c>
      <c r="AX2122" s="28"/>
      <c r="AY2122" s="28" t="n">
        <f aca="false">AX2122*$M2122</f>
        <v>0</v>
      </c>
      <c r="AZ2122" s="30" t="n">
        <v>460</v>
      </c>
      <c r="BA2122" s="11" t="n">
        <v>9200</v>
      </c>
      <c r="BB2122" s="31" t="n">
        <f aca="false">SUM(Q2122,S2122,U2122,W2122,Y2122,AA2122,AC2122,AE2122,AG2122,AI2122,AK2122,AM2122,AO2122,AQ2122,AS2122,AU2122,AW2122,AY2122)</f>
        <v>9200</v>
      </c>
      <c r="BC2122" s="28" t="n">
        <f aca="false">BA2122-BB2122</f>
        <v>0</v>
      </c>
      <c r="BD2122" s="32" t="n">
        <f aca="false">SUM(P2122,R2122,T2122,V2122,X2122,Z2122,AB2122,AD2122,AF2122,AH2122,AJ2122,AL2122,AN2122,AP2122,AR2122,AT2122,AV2122,AX2122)</f>
        <v>460</v>
      </c>
      <c r="BE2122" s="33" t="n">
        <f aca="false">AZ2122-BD2122</f>
        <v>0</v>
      </c>
      <c r="BF2122" s="34" t="n">
        <f aca="false">BD2122*M2122</f>
        <v>9200</v>
      </c>
      <c r="BG2122" s="35" t="n">
        <f aca="false">BA2122-BF2122</f>
        <v>0</v>
      </c>
      <c r="BH2122" s="19" t="str">
        <f aca="false">IF(BG2122=0,"",IF(BG2122&lt;&gt;BA2122,"erreur de calcul",IF(BD2122&lt;&gt;0,"pas de prix",IF(M2122&lt;&gt; 0,"pas de quantité","pas de prix, ni de quantité"))))</f>
        <v/>
      </c>
      <c r="BI2122" s="19"/>
    </row>
    <row r="2123" customFormat="false" ht="15" hidden="false" customHeight="false" outlineLevel="0" collapsed="false">
      <c r="A2123" s="0" t="n">
        <v>15</v>
      </c>
      <c r="B2123" s="8" t="s">
        <v>24</v>
      </c>
      <c r="C2123" s="9" t="s">
        <v>25</v>
      </c>
      <c r="D2123" s="9" t="s">
        <v>26</v>
      </c>
      <c r="E2123" s="10" t="n">
        <v>1789</v>
      </c>
      <c r="F2123" s="9" t="s">
        <v>27</v>
      </c>
      <c r="G2123" s="9" t="s">
        <v>27</v>
      </c>
      <c r="H2123" s="11" t="n">
        <v>18</v>
      </c>
      <c r="I2123" s="11" t="s">
        <v>84</v>
      </c>
      <c r="J2123" s="14" t="n">
        <v>16</v>
      </c>
      <c r="K2123" s="14"/>
      <c r="L2123" s="16"/>
      <c r="M2123" s="27" t="n">
        <f aca="false">J2123+(K2123/20)+(L2123/240)</f>
        <v>16</v>
      </c>
      <c r="N2123" s="17" t="s">
        <v>85</v>
      </c>
      <c r="O2123" s="11"/>
      <c r="P2123" s="28"/>
      <c r="Q2123" s="28" t="n">
        <f aca="false">P2123*$M2123</f>
        <v>0</v>
      </c>
      <c r="R2123" s="28"/>
      <c r="S2123" s="28" t="n">
        <f aca="false">R2123*$M2123</f>
        <v>0</v>
      </c>
      <c r="T2123" s="28" t="n">
        <f aca="false">1600/100</f>
        <v>16</v>
      </c>
      <c r="U2123" s="28" t="n">
        <v>256</v>
      </c>
      <c r="V2123" s="28" t="n">
        <f aca="false">227136/100</f>
        <v>2271.36</v>
      </c>
      <c r="W2123" s="28" t="n">
        <v>36342</v>
      </c>
      <c r="X2123" s="29"/>
      <c r="Y2123" s="28" t="n">
        <v>304</v>
      </c>
      <c r="Z2123" s="28" t="n">
        <f aca="false">6850/100</f>
        <v>68.5</v>
      </c>
      <c r="AA2123" s="28" t="n">
        <v>1096</v>
      </c>
      <c r="AB2123" s="28" t="n">
        <f aca="false">204300/100</f>
        <v>2043</v>
      </c>
      <c r="AC2123" s="28" t="n">
        <v>32688</v>
      </c>
      <c r="AD2123" s="28" t="n">
        <f aca="false">9750/100</f>
        <v>97.5</v>
      </c>
      <c r="AE2123" s="28" t="n">
        <v>1560</v>
      </c>
      <c r="AF2123" s="28"/>
      <c r="AG2123" s="28" t="n">
        <f aca="false">AF2123*$M2123</f>
        <v>0</v>
      </c>
      <c r="AH2123" s="28"/>
      <c r="AI2123" s="28" t="n">
        <f aca="false">AH2123*$M2123</f>
        <v>0</v>
      </c>
      <c r="AJ2123" s="28" t="n">
        <f aca="false">1414/100</f>
        <v>14.14</v>
      </c>
      <c r="AK2123" s="28" t="n">
        <v>226</v>
      </c>
      <c r="AL2123" s="28" t="n">
        <f aca="false">29500/100</f>
        <v>295</v>
      </c>
      <c r="AM2123" s="28" t="n">
        <v>4720</v>
      </c>
      <c r="AN2123" s="28"/>
      <c r="AO2123" s="28" t="n">
        <f aca="false">AN2123*$M2123</f>
        <v>0</v>
      </c>
      <c r="AP2123" s="28" t="n">
        <f aca="false">1520/100</f>
        <v>15.2</v>
      </c>
      <c r="AQ2123" s="28" t="n">
        <v>243</v>
      </c>
      <c r="AR2123" s="28"/>
      <c r="AS2123" s="28" t="n">
        <f aca="false">AR2123*$M2123</f>
        <v>0</v>
      </c>
      <c r="AT2123" s="28" t="n">
        <f aca="false">2100/100</f>
        <v>21</v>
      </c>
      <c r="AU2123" s="28" t="n">
        <v>336</v>
      </c>
      <c r="AV2123" s="28" t="n">
        <f aca="false">1320/100</f>
        <v>13.2</v>
      </c>
      <c r="AW2123" s="28" t="n">
        <v>211</v>
      </c>
      <c r="AX2123" s="28" t="n">
        <f aca="false">177746/100</f>
        <v>1777.46</v>
      </c>
      <c r="AY2123" s="28" t="n">
        <v>28439</v>
      </c>
      <c r="AZ2123" s="30" t="n">
        <f aca="false">665136/100</f>
        <v>6651.36</v>
      </c>
      <c r="BA2123" s="11" t="n">
        <v>106421</v>
      </c>
      <c r="BB2123" s="31" t="n">
        <f aca="false">SUM(Q2123,S2123,U2123,W2123,Y2123,AA2123,AC2123,AE2123,AG2123,AI2123,AK2123,AM2123,AO2123,AQ2123,AS2123,AU2123,AW2123,AY2123)</f>
        <v>106421</v>
      </c>
      <c r="BC2123" s="28" t="n">
        <f aca="false">BA2123-BB2123</f>
        <v>0</v>
      </c>
      <c r="BD2123" s="32" t="n">
        <f aca="false">SUM(P2123,R2123,T2123,V2123,X2123,Z2123,AB2123,AD2123,AF2123,AH2123,AJ2123,AL2123,AN2123,AP2123,AR2123,AT2123,AV2123,AX2123)</f>
        <v>6632.36</v>
      </c>
      <c r="BE2123" s="33" t="n">
        <f aca="false">AZ2123-BD2123</f>
        <v>18.9999999999991</v>
      </c>
      <c r="BF2123" s="34" t="n">
        <f aca="false">BD2123*M2123</f>
        <v>106117.76</v>
      </c>
      <c r="BG2123" s="35" t="n">
        <f aca="false">BA2123-BF2123</f>
        <v>303.239999999991</v>
      </c>
      <c r="BH2123" s="19" t="str">
        <f aca="false">IF(BG2123=0,"",IF(BG2123&lt;&gt;BA2123,"erreur de calcul",IF(BD2123&lt;&gt;0,"pas de prix",IF(M2123&lt;&gt; 0,"pas de quantité","pas de prix, ni de quantité"))))</f>
        <v>erreur de calcul</v>
      </c>
      <c r="BI2123" s="19"/>
    </row>
    <row r="2124" customFormat="false" ht="15" hidden="false" customHeight="false" outlineLevel="0" collapsed="false">
      <c r="A2124" s="0" t="n">
        <v>16</v>
      </c>
      <c r="B2124" s="8" t="s">
        <v>24</v>
      </c>
      <c r="C2124" s="9" t="s">
        <v>25</v>
      </c>
      <c r="D2124" s="9" t="s">
        <v>26</v>
      </c>
      <c r="E2124" s="10" t="n">
        <v>1789</v>
      </c>
      <c r="F2124" s="9" t="s">
        <v>27</v>
      </c>
      <c r="G2124" s="9" t="s">
        <v>27</v>
      </c>
      <c r="H2124" s="11" t="n">
        <v>18</v>
      </c>
      <c r="I2124" s="11" t="s">
        <v>86</v>
      </c>
      <c r="J2124" s="14" t="n">
        <v>55</v>
      </c>
      <c r="K2124" s="14"/>
      <c r="L2124" s="16"/>
      <c r="M2124" s="27" t="n">
        <f aca="false">J2124+(K2124/20)+(L2124/240)</f>
        <v>55</v>
      </c>
      <c r="N2124" s="17" t="s">
        <v>81</v>
      </c>
      <c r="O2124" s="11"/>
      <c r="P2124" s="28"/>
      <c r="Q2124" s="28" t="n">
        <f aca="false">P2124*$M2124</f>
        <v>0</v>
      </c>
      <c r="R2124" s="28"/>
      <c r="S2124" s="28" t="n">
        <f aca="false">R2124*$M2124</f>
        <v>0</v>
      </c>
      <c r="T2124" s="28"/>
      <c r="U2124" s="28" t="n">
        <f aca="false">T2124*$M2124</f>
        <v>0</v>
      </c>
      <c r="V2124" s="28"/>
      <c r="W2124" s="28" t="n">
        <f aca="false">V2124*$M2124</f>
        <v>0</v>
      </c>
      <c r="X2124" s="29"/>
      <c r="Y2124" s="28" t="n">
        <f aca="false">X2124*$M2124</f>
        <v>0</v>
      </c>
      <c r="Z2124" s="28"/>
      <c r="AA2124" s="28" t="n">
        <f aca="false">Z2124*$M2124</f>
        <v>0</v>
      </c>
      <c r="AB2124" s="28"/>
      <c r="AC2124" s="28" t="n">
        <f aca="false">AB2124*$M2124</f>
        <v>0</v>
      </c>
      <c r="AD2124" s="28"/>
      <c r="AE2124" s="28" t="n">
        <f aca="false">AD2124*$M2124</f>
        <v>0</v>
      </c>
      <c r="AF2124" s="28"/>
      <c r="AG2124" s="28" t="n">
        <f aca="false">AF2124*$M2124</f>
        <v>0</v>
      </c>
      <c r="AH2124" s="28"/>
      <c r="AI2124" s="28" t="n">
        <f aca="false">AH2124*$M2124</f>
        <v>0</v>
      </c>
      <c r="AJ2124" s="28"/>
      <c r="AK2124" s="28" t="n">
        <f aca="false">AJ2124*$M2124</f>
        <v>0</v>
      </c>
      <c r="AL2124" s="28"/>
      <c r="AM2124" s="28" t="n">
        <f aca="false">AL2124*$M2124</f>
        <v>0</v>
      </c>
      <c r="AN2124" s="28"/>
      <c r="AO2124" s="28" t="n">
        <f aca="false">AN2124*$M2124</f>
        <v>0</v>
      </c>
      <c r="AP2124" s="28"/>
      <c r="AQ2124" s="28" t="n">
        <f aca="false">AP2124*$M2124</f>
        <v>0</v>
      </c>
      <c r="AR2124" s="28"/>
      <c r="AS2124" s="28" t="n">
        <f aca="false">AR2124*$M2124</f>
        <v>0</v>
      </c>
      <c r="AT2124" s="28" t="n">
        <v>319</v>
      </c>
      <c r="AU2124" s="28" t="n">
        <v>17545</v>
      </c>
      <c r="AV2124" s="28"/>
      <c r="AW2124" s="28" t="n">
        <f aca="false">AV2124*$M2124</f>
        <v>0</v>
      </c>
      <c r="AX2124" s="28"/>
      <c r="AY2124" s="28" t="n">
        <f aca="false">AX2124*$M2124</f>
        <v>0</v>
      </c>
      <c r="AZ2124" s="30" t="n">
        <v>319</v>
      </c>
      <c r="BA2124" s="11" t="n">
        <v>17545</v>
      </c>
      <c r="BB2124" s="31" t="n">
        <f aca="false">SUM(Q2124,S2124,U2124,W2124,Y2124,AA2124,AC2124,AE2124,AG2124,AI2124,AK2124,AM2124,AO2124,AQ2124,AS2124,AU2124,AW2124,AY2124)</f>
        <v>17545</v>
      </c>
      <c r="BC2124" s="28" t="n">
        <f aca="false">BA2124-BB2124</f>
        <v>0</v>
      </c>
      <c r="BD2124" s="32" t="n">
        <f aca="false">SUM(P2124,R2124,T2124,V2124,X2124,Z2124,AB2124,AD2124,AF2124,AH2124,AJ2124,AL2124,AN2124,AP2124,AR2124,AT2124,AV2124,AX2124)</f>
        <v>319</v>
      </c>
      <c r="BE2124" s="33" t="n">
        <f aca="false">AZ2124-BD2124</f>
        <v>0</v>
      </c>
      <c r="BF2124" s="34" t="n">
        <f aca="false">BD2124*M2124</f>
        <v>17545</v>
      </c>
      <c r="BG2124" s="35" t="n">
        <f aca="false">BA2124-BF2124</f>
        <v>0</v>
      </c>
      <c r="BH2124" s="19" t="str">
        <f aca="false">IF(BG2124=0,"",IF(BG2124&lt;&gt;BA2124,"erreur de calcul",IF(BD2124&lt;&gt;0,"pas de prix",IF(M2124&lt;&gt; 0,"pas de quantité","pas de prix, ni de quantité"))))</f>
        <v/>
      </c>
      <c r="BI2124" s="19"/>
    </row>
    <row r="2125" customFormat="false" ht="15" hidden="false" customHeight="false" outlineLevel="0" collapsed="false">
      <c r="A2125" s="0" t="n">
        <v>17</v>
      </c>
      <c r="B2125" s="8" t="s">
        <v>24</v>
      </c>
      <c r="C2125" s="9" t="s">
        <v>25</v>
      </c>
      <c r="D2125" s="9" t="s">
        <v>26</v>
      </c>
      <c r="E2125" s="10" t="n">
        <v>1789</v>
      </c>
      <c r="F2125" s="9" t="s">
        <v>27</v>
      </c>
      <c r="G2125" s="9" t="s">
        <v>27</v>
      </c>
      <c r="H2125" s="11" t="n">
        <v>18</v>
      </c>
      <c r="I2125" s="11" t="s">
        <v>87</v>
      </c>
      <c r="J2125" s="14" t="n">
        <v>6</v>
      </c>
      <c r="K2125" s="14"/>
      <c r="L2125" s="16"/>
      <c r="M2125" s="27" t="n">
        <f aca="false">J2125+(K2125/20)+(L2125/240)</f>
        <v>6</v>
      </c>
      <c r="N2125" s="17" t="s">
        <v>69</v>
      </c>
      <c r="O2125" s="11" t="s">
        <v>77</v>
      </c>
      <c r="P2125" s="28"/>
      <c r="Q2125" s="28" t="n">
        <f aca="false">P2125*$M2125</f>
        <v>0</v>
      </c>
      <c r="R2125" s="28" t="n">
        <v>63</v>
      </c>
      <c r="S2125" s="28" t="n">
        <v>378</v>
      </c>
      <c r="T2125" s="28" t="n">
        <v>2406</v>
      </c>
      <c r="U2125" s="28" t="n">
        <v>14436</v>
      </c>
      <c r="V2125" s="28" t="n">
        <v>222</v>
      </c>
      <c r="W2125" s="28" t="n">
        <v>1332</v>
      </c>
      <c r="X2125" s="29"/>
      <c r="Y2125" s="28" t="n">
        <f aca="false">X2125*$M2125</f>
        <v>0</v>
      </c>
      <c r="Z2125" s="28"/>
      <c r="AA2125" s="28" t="n">
        <f aca="false">Z2125*$M2125</f>
        <v>0</v>
      </c>
      <c r="AB2125" s="28"/>
      <c r="AC2125" s="28" t="n">
        <f aca="false">AB2125*$M2125</f>
        <v>0</v>
      </c>
      <c r="AD2125" s="28" t="n">
        <v>330</v>
      </c>
      <c r="AE2125" s="28" t="n">
        <v>1980</v>
      </c>
      <c r="AF2125" s="28"/>
      <c r="AG2125" s="28" t="n">
        <f aca="false">AF2125*$M2125</f>
        <v>0</v>
      </c>
      <c r="AH2125" s="28"/>
      <c r="AI2125" s="28" t="n">
        <f aca="false">AH2125*$M2125</f>
        <v>0</v>
      </c>
      <c r="AJ2125" s="28"/>
      <c r="AK2125" s="28" t="n">
        <f aca="false">AJ2125*$M2125</f>
        <v>0</v>
      </c>
      <c r="AL2125" s="28"/>
      <c r="AM2125" s="28" t="n">
        <f aca="false">AL2125*$M2125</f>
        <v>0</v>
      </c>
      <c r="AN2125" s="28"/>
      <c r="AO2125" s="28" t="n">
        <f aca="false">AN2125*$M2125</f>
        <v>0</v>
      </c>
      <c r="AP2125" s="28"/>
      <c r="AQ2125" s="28" t="n">
        <f aca="false">AP2125*$M2125</f>
        <v>0</v>
      </c>
      <c r="AR2125" s="28"/>
      <c r="AS2125" s="28" t="n">
        <f aca="false">AR2125*$M2125</f>
        <v>0</v>
      </c>
      <c r="AT2125" s="28"/>
      <c r="AU2125" s="28" t="n">
        <f aca="false">AT2125*$M2125</f>
        <v>0</v>
      </c>
      <c r="AV2125" s="28"/>
      <c r="AW2125" s="28" t="n">
        <f aca="false">AV2125*$M2125</f>
        <v>0</v>
      </c>
      <c r="AX2125" s="28"/>
      <c r="AY2125" s="28" t="n">
        <f aca="false">AX2125*$M2125</f>
        <v>0</v>
      </c>
      <c r="AZ2125" s="30" t="n">
        <v>3021</v>
      </c>
      <c r="BA2125" s="11" t="n">
        <v>18126</v>
      </c>
      <c r="BB2125" s="31" t="n">
        <f aca="false">SUM(Q2125,S2125,U2125,W2125,Y2125,AA2125,AC2125,AE2125,AG2125,AI2125,AK2125,AM2125,AO2125,AQ2125,AS2125,AU2125,AW2125,AY2125)</f>
        <v>18126</v>
      </c>
      <c r="BC2125" s="28" t="n">
        <f aca="false">BA2125-BB2125</f>
        <v>0</v>
      </c>
      <c r="BD2125" s="32" t="n">
        <f aca="false">SUM(P2125,R2125,T2125,V2125,X2125,Z2125,AB2125,AD2125,AF2125,AH2125,AJ2125,AL2125,AN2125,AP2125,AR2125,AT2125,AV2125,AX2125)</f>
        <v>3021</v>
      </c>
      <c r="BE2125" s="33" t="n">
        <f aca="false">AZ2125-BD2125</f>
        <v>0</v>
      </c>
      <c r="BF2125" s="34" t="n">
        <f aca="false">BD2125*M2125</f>
        <v>18126</v>
      </c>
      <c r="BG2125" s="35" t="n">
        <f aca="false">BA2125-BF2125</f>
        <v>0</v>
      </c>
      <c r="BH2125" s="19" t="str">
        <f aca="false">IF(BG2125=0,"",IF(BG2125&lt;&gt;BA2125,"erreur de calcul",IF(BD2125&lt;&gt;0,"pas de prix",IF(M2125&lt;&gt; 0,"pas de quantité","pas de prix, ni de quantité"))))</f>
        <v/>
      </c>
      <c r="BI2125" s="19"/>
    </row>
    <row r="2126" customFormat="false" ht="15" hidden="false" customHeight="false" outlineLevel="0" collapsed="false">
      <c r="A2126" s="0" t="n">
        <v>18</v>
      </c>
      <c r="B2126" s="8" t="s">
        <v>24</v>
      </c>
      <c r="C2126" s="9" t="s">
        <v>25</v>
      </c>
      <c r="D2126" s="9" t="s">
        <v>26</v>
      </c>
      <c r="E2126" s="10" t="n">
        <v>1789</v>
      </c>
      <c r="F2126" s="9" t="s">
        <v>27</v>
      </c>
      <c r="G2126" s="9" t="s">
        <v>27</v>
      </c>
      <c r="H2126" s="11" t="n">
        <v>18</v>
      </c>
      <c r="I2126" s="11" t="s">
        <v>88</v>
      </c>
      <c r="J2126" s="14" t="n">
        <v>26</v>
      </c>
      <c r="K2126" s="14"/>
      <c r="L2126" s="16"/>
      <c r="M2126" s="27" t="n">
        <f aca="false">J2126+(K2126/20)+(L2126/240)</f>
        <v>26</v>
      </c>
      <c r="N2126" s="17" t="s">
        <v>69</v>
      </c>
      <c r="O2126" s="11"/>
      <c r="P2126" s="28"/>
      <c r="Q2126" s="28" t="n">
        <f aca="false">P2126*$M2126</f>
        <v>0</v>
      </c>
      <c r="R2126" s="28"/>
      <c r="S2126" s="28" t="n">
        <f aca="false">R2126*$M2126</f>
        <v>0</v>
      </c>
      <c r="T2126" s="28"/>
      <c r="U2126" s="28" t="n">
        <f aca="false">T2126*$M2126</f>
        <v>0</v>
      </c>
      <c r="V2126" s="28"/>
      <c r="W2126" s="28" t="n">
        <f aca="false">V2126*$M2126</f>
        <v>0</v>
      </c>
      <c r="X2126" s="29"/>
      <c r="Y2126" s="28" t="n">
        <f aca="false">X2126*$M2126</f>
        <v>0</v>
      </c>
      <c r="Z2126" s="28"/>
      <c r="AA2126" s="28" t="n">
        <f aca="false">Z2126*$M2126</f>
        <v>0</v>
      </c>
      <c r="AB2126" s="28"/>
      <c r="AC2126" s="28" t="n">
        <f aca="false">AB2126*$M2126</f>
        <v>0</v>
      </c>
      <c r="AD2126" s="28"/>
      <c r="AE2126" s="28" t="n">
        <f aca="false">AD2126*$M2126</f>
        <v>0</v>
      </c>
      <c r="AF2126" s="28"/>
      <c r="AG2126" s="28" t="n">
        <f aca="false">AF2126*$M2126</f>
        <v>0</v>
      </c>
      <c r="AH2126" s="28"/>
      <c r="AI2126" s="28" t="n">
        <f aca="false">AH2126*$M2126</f>
        <v>0</v>
      </c>
      <c r="AJ2126" s="28"/>
      <c r="AK2126" s="28" t="n">
        <f aca="false">AJ2126*$M2126</f>
        <v>0</v>
      </c>
      <c r="AL2126" s="28" t="n">
        <v>150</v>
      </c>
      <c r="AM2126" s="28" t="n">
        <v>3900</v>
      </c>
      <c r="AN2126" s="28"/>
      <c r="AO2126" s="28" t="n">
        <f aca="false">AN2126*$M2126</f>
        <v>0</v>
      </c>
      <c r="AP2126" s="28" t="n">
        <v>4140</v>
      </c>
      <c r="AQ2126" s="28" t="n">
        <v>107640</v>
      </c>
      <c r="AR2126" s="28" t="n">
        <v>6957</v>
      </c>
      <c r="AS2126" s="28" t="n">
        <v>180882</v>
      </c>
      <c r="AT2126" s="28" t="n">
        <v>171</v>
      </c>
      <c r="AU2126" s="28" t="n">
        <v>4446</v>
      </c>
      <c r="AV2126" s="28" t="n">
        <v>838</v>
      </c>
      <c r="AW2126" s="28" t="n">
        <v>21788</v>
      </c>
      <c r="AX2126" s="28" t="n">
        <v>35</v>
      </c>
      <c r="AY2126" s="28" t="n">
        <v>910</v>
      </c>
      <c r="AZ2126" s="30" t="n">
        <v>12291</v>
      </c>
      <c r="BA2126" s="11" t="n">
        <v>319566</v>
      </c>
      <c r="BB2126" s="31" t="n">
        <f aca="false">SUM(Q2126,S2126,U2126,W2126,Y2126,AA2126,AC2126,AE2126,AG2126,AI2126,AK2126,AM2126,AO2126,AQ2126,AS2126,AU2126,AW2126,AY2126)</f>
        <v>319566</v>
      </c>
      <c r="BC2126" s="28" t="n">
        <f aca="false">BA2126-BB2126</f>
        <v>0</v>
      </c>
      <c r="BD2126" s="32" t="n">
        <f aca="false">SUM(P2126,R2126,T2126,V2126,X2126,Z2126,AB2126,AD2126,AF2126,AH2126,AJ2126,AL2126,AN2126,AP2126,AR2126,AT2126,AV2126,AX2126)</f>
        <v>12291</v>
      </c>
      <c r="BE2126" s="33" t="n">
        <f aca="false">AZ2126-BD2126</f>
        <v>0</v>
      </c>
      <c r="BF2126" s="34" t="n">
        <f aca="false">BD2126*M2126</f>
        <v>319566</v>
      </c>
      <c r="BG2126" s="35" t="n">
        <f aca="false">BA2126-BF2126</f>
        <v>0</v>
      </c>
      <c r="BH2126" s="19" t="str">
        <f aca="false">IF(BG2126=0,"",IF(BG2126&lt;&gt;BA2126,"erreur de calcul",IF(BD2126&lt;&gt;0,"pas de prix",IF(M2126&lt;&gt; 0,"pas de quantité","pas de prix, ni de quantité"))))</f>
        <v/>
      </c>
      <c r="BI2126" s="19"/>
    </row>
    <row r="2127" customFormat="false" ht="15" hidden="false" customHeight="false" outlineLevel="0" collapsed="false">
      <c r="A2127" s="0" t="n">
        <v>19</v>
      </c>
      <c r="B2127" s="8" t="s">
        <v>24</v>
      </c>
      <c r="C2127" s="9" t="s">
        <v>25</v>
      </c>
      <c r="D2127" s="9" t="s">
        <v>26</v>
      </c>
      <c r="E2127" s="10" t="n">
        <v>1789</v>
      </c>
      <c r="F2127" s="9" t="s">
        <v>27</v>
      </c>
      <c r="G2127" s="9" t="s">
        <v>27</v>
      </c>
      <c r="H2127" s="11" t="n">
        <v>18</v>
      </c>
      <c r="I2127" s="11" t="s">
        <v>89</v>
      </c>
      <c r="J2127" s="14" t="n">
        <v>7</v>
      </c>
      <c r="K2127" s="14"/>
      <c r="L2127" s="16"/>
      <c r="M2127" s="27" t="n">
        <f aca="false">J2127+(K2127/20)+(L2127/240)</f>
        <v>7</v>
      </c>
      <c r="N2127" s="17" t="s">
        <v>81</v>
      </c>
      <c r="O2127" s="11" t="s">
        <v>77</v>
      </c>
      <c r="P2127" s="28"/>
      <c r="Q2127" s="28" t="n">
        <f aca="false">P2127*$M2127</f>
        <v>0</v>
      </c>
      <c r="R2127" s="28"/>
      <c r="S2127" s="28" t="n">
        <f aca="false">R2127*$M2127</f>
        <v>0</v>
      </c>
      <c r="T2127" s="28"/>
      <c r="U2127" s="28" t="n">
        <f aca="false">T2127*$M2127</f>
        <v>0</v>
      </c>
      <c r="V2127" s="28"/>
      <c r="W2127" s="28" t="n">
        <f aca="false">V2127*$M2127</f>
        <v>0</v>
      </c>
      <c r="X2127" s="29"/>
      <c r="Y2127" s="28" t="n">
        <f aca="false">X2127*$M2127</f>
        <v>0</v>
      </c>
      <c r="Z2127" s="28"/>
      <c r="AA2127" s="28" t="n">
        <f aca="false">Z2127*$M2127</f>
        <v>0</v>
      </c>
      <c r="AB2127" s="28"/>
      <c r="AC2127" s="28" t="n">
        <f aca="false">AB2127*$M2127</f>
        <v>0</v>
      </c>
      <c r="AD2127" s="28"/>
      <c r="AE2127" s="28" t="n">
        <f aca="false">AD2127*$M2127</f>
        <v>0</v>
      </c>
      <c r="AF2127" s="28"/>
      <c r="AG2127" s="28" t="n">
        <f aca="false">AF2127*$M2127</f>
        <v>0</v>
      </c>
      <c r="AH2127" s="28"/>
      <c r="AI2127" s="28" t="n">
        <f aca="false">AH2127*$M2127</f>
        <v>0</v>
      </c>
      <c r="AJ2127" s="28"/>
      <c r="AK2127" s="28" t="n">
        <f aca="false">AJ2127*$M2127</f>
        <v>0</v>
      </c>
      <c r="AL2127" s="28"/>
      <c r="AM2127" s="28" t="n">
        <f aca="false">AL2127*$M2127</f>
        <v>0</v>
      </c>
      <c r="AN2127" s="28"/>
      <c r="AO2127" s="28" t="n">
        <f aca="false">AN2127*$M2127</f>
        <v>0</v>
      </c>
      <c r="AP2127" s="38" t="n">
        <v>1763</v>
      </c>
      <c r="AQ2127" s="28" t="n">
        <v>42312</v>
      </c>
      <c r="AR2127" s="28"/>
      <c r="AS2127" s="28" t="n">
        <f aca="false">AR2127*$M2127</f>
        <v>0</v>
      </c>
      <c r="AT2127" s="28"/>
      <c r="AU2127" s="28" t="n">
        <f aca="false">AT2127*$M2127</f>
        <v>0</v>
      </c>
      <c r="AV2127" s="38" t="n">
        <v>377</v>
      </c>
      <c r="AW2127" s="28" t="n">
        <v>9425</v>
      </c>
      <c r="AX2127" s="28"/>
      <c r="AY2127" s="28" t="n">
        <f aca="false">AX2127*$M2127</f>
        <v>0</v>
      </c>
      <c r="AZ2127" s="30" t="n">
        <v>2140</v>
      </c>
      <c r="BA2127" s="11" t="n">
        <v>51737</v>
      </c>
      <c r="BB2127" s="31" t="n">
        <f aca="false">SUM(Q2127,S2127,U2127,W2127,Y2127,AA2127,AC2127,AE2127,AG2127,AI2127,AK2127,AM2127,AO2127,AQ2127,AS2127,AU2127,AW2127,AY2127)</f>
        <v>51737</v>
      </c>
      <c r="BC2127" s="28" t="n">
        <f aca="false">BA2127-BB2127</f>
        <v>0</v>
      </c>
      <c r="BD2127" s="32" t="n">
        <f aca="false">SUM(P2127,R2127,T2127,V2127,X2127,Z2127,AB2127,AD2127,AF2127,AH2127,AJ2127,AL2127,AN2127,AP2127,AR2127,AT2127,AV2127,AX2127)</f>
        <v>2140</v>
      </c>
      <c r="BE2127" s="33" t="n">
        <f aca="false">AZ2127-BD2127</f>
        <v>0</v>
      </c>
      <c r="BF2127" s="34" t="n">
        <f aca="false">BD2127*M2127</f>
        <v>14980</v>
      </c>
      <c r="BG2127" s="35" t="n">
        <f aca="false">BA2127-BF2127</f>
        <v>36757</v>
      </c>
      <c r="BH2127" s="19" t="str">
        <f aca="false">IF(BG2127=0,"",IF(BG2127&lt;&gt;BA2127,"erreur de calcul",IF(BD2127&lt;&gt;0,"pas de prix",IF(M2127&lt;&gt; 0,"pas de quantité","pas de prix, ni de quantité"))))</f>
        <v>erreur de calcul</v>
      </c>
      <c r="BI2127" s="19" t="s">
        <v>90</v>
      </c>
    </row>
    <row r="2128" customFormat="false" ht="15" hidden="false" customHeight="false" outlineLevel="0" collapsed="false">
      <c r="A2128" s="0" t="n">
        <v>20</v>
      </c>
      <c r="B2128" s="8" t="s">
        <v>24</v>
      </c>
      <c r="C2128" s="9" t="s">
        <v>25</v>
      </c>
      <c r="D2128" s="9" t="s">
        <v>26</v>
      </c>
      <c r="E2128" s="10" t="n">
        <v>1789</v>
      </c>
      <c r="F2128" s="9" t="s">
        <v>27</v>
      </c>
      <c r="G2128" s="9" t="s">
        <v>27</v>
      </c>
      <c r="H2128" s="11" t="n">
        <v>18</v>
      </c>
      <c r="I2128" s="11" t="s">
        <v>91</v>
      </c>
      <c r="J2128" s="14" t="n">
        <v>30</v>
      </c>
      <c r="K2128" s="14"/>
      <c r="L2128" s="16"/>
      <c r="M2128" s="27" t="n">
        <f aca="false">J2128+(K2128/20)+(L2128/240)</f>
        <v>30</v>
      </c>
      <c r="N2128" s="17" t="s">
        <v>64</v>
      </c>
      <c r="O2128" s="11"/>
      <c r="P2128" s="28"/>
      <c r="Q2128" s="28" t="n">
        <f aca="false">P2128*$M2128</f>
        <v>0</v>
      </c>
      <c r="R2128" s="28"/>
      <c r="S2128" s="28" t="n">
        <f aca="false">R2128*$M2128</f>
        <v>0</v>
      </c>
      <c r="T2128" s="28"/>
      <c r="U2128" s="28" t="n">
        <f aca="false">T2128*$M2128</f>
        <v>0</v>
      </c>
      <c r="V2128" s="28" t="n">
        <f aca="false">12300/100</f>
        <v>123</v>
      </c>
      <c r="W2128" s="28" t="n">
        <v>3690</v>
      </c>
      <c r="X2128" s="29"/>
      <c r="Y2128" s="28" t="n">
        <f aca="false">X2128*$M2128</f>
        <v>0</v>
      </c>
      <c r="Z2128" s="28"/>
      <c r="AA2128" s="28" t="n">
        <f aca="false">Z2128*$M2128</f>
        <v>0</v>
      </c>
      <c r="AB2128" s="28" t="n">
        <f aca="false">16277/100</f>
        <v>162.77</v>
      </c>
      <c r="AC2128" s="28" t="n">
        <v>4883</v>
      </c>
      <c r="AD2128" s="28"/>
      <c r="AE2128" s="28" t="n">
        <f aca="false">AD2128*$M2128</f>
        <v>0</v>
      </c>
      <c r="AF2128" s="28"/>
      <c r="AG2128" s="28" t="n">
        <f aca="false">AF2128*$M2128</f>
        <v>0</v>
      </c>
      <c r="AH2128" s="28"/>
      <c r="AI2128" s="28" t="n">
        <f aca="false">AH2128*$M2128</f>
        <v>0</v>
      </c>
      <c r="AJ2128" s="28"/>
      <c r="AK2128" s="28" t="n">
        <f aca="false">AJ2128*$M2128</f>
        <v>0</v>
      </c>
      <c r="AL2128" s="28"/>
      <c r="AM2128" s="28" t="n">
        <f aca="false">AL2128*$M2128</f>
        <v>0</v>
      </c>
      <c r="AN2128" s="28"/>
      <c r="AO2128" s="28" t="n">
        <f aca="false">AN2128*$M2128</f>
        <v>0</v>
      </c>
      <c r="AP2128" s="28"/>
      <c r="AQ2128" s="28" t="n">
        <f aca="false">AP2128*$M2128</f>
        <v>0</v>
      </c>
      <c r="AR2128" s="28"/>
      <c r="AS2128" s="28" t="n">
        <f aca="false">AR2128*$M2128</f>
        <v>0</v>
      </c>
      <c r="AT2128" s="28"/>
      <c r="AU2128" s="28" t="n">
        <f aca="false">AT2128*$M2128</f>
        <v>0</v>
      </c>
      <c r="AV2128" s="28"/>
      <c r="AW2128" s="28" t="n">
        <f aca="false">AV2128*$M2128</f>
        <v>0</v>
      </c>
      <c r="AX2128" s="28"/>
      <c r="AY2128" s="28" t="n">
        <f aca="false">AX2128*$M2128</f>
        <v>0</v>
      </c>
      <c r="AZ2128" s="30" t="n">
        <f aca="false">28577/100</f>
        <v>285.77</v>
      </c>
      <c r="BA2128" s="11" t="n">
        <v>8573</v>
      </c>
      <c r="BB2128" s="31" t="n">
        <f aca="false">SUM(Q2128,S2128,U2128,W2128,Y2128,AA2128,AC2128,AE2128,AG2128,AI2128,AK2128,AM2128,AO2128,AQ2128,AS2128,AU2128,AW2128,AY2128)</f>
        <v>8573</v>
      </c>
      <c r="BC2128" s="28" t="n">
        <f aca="false">BA2128-BB2128</f>
        <v>0</v>
      </c>
      <c r="BD2128" s="32" t="n">
        <f aca="false">SUM(P2128,R2128,T2128,V2128,X2128,Z2128,AB2128,AD2128,AF2128,AH2128,AJ2128,AL2128,AN2128,AP2128,AR2128,AT2128,AV2128,AX2128)</f>
        <v>285.77</v>
      </c>
      <c r="BE2128" s="33" t="n">
        <f aca="false">AZ2128-BD2128</f>
        <v>0</v>
      </c>
      <c r="BF2128" s="34" t="n">
        <f aca="false">BD2128*M2128</f>
        <v>8573.1</v>
      </c>
      <c r="BG2128" s="35" t="n">
        <f aca="false">BA2128-BF2128</f>
        <v>-0.0999999999985448</v>
      </c>
      <c r="BH2128" s="19" t="str">
        <f aca="false">IF(BG2128=0,"",IF(BG2128&lt;&gt;BA2128,"erreur de calcul",IF(BD2128&lt;&gt;0,"pas de prix",IF(M2128&lt;&gt; 0,"pas de quantité","pas de prix, ni de quantité"))))</f>
        <v>erreur de calcul</v>
      </c>
      <c r="BI2128" s="19"/>
    </row>
    <row r="2129" customFormat="false" ht="15" hidden="false" customHeight="false" outlineLevel="0" collapsed="false">
      <c r="A2129" s="0" t="n">
        <v>21</v>
      </c>
      <c r="B2129" s="8" t="s">
        <v>24</v>
      </c>
      <c r="C2129" s="9" t="s">
        <v>25</v>
      </c>
      <c r="D2129" s="9" t="s">
        <v>26</v>
      </c>
      <c r="E2129" s="10" t="n">
        <v>1789</v>
      </c>
      <c r="F2129" s="9" t="s">
        <v>27</v>
      </c>
      <c r="G2129" s="9" t="s">
        <v>27</v>
      </c>
      <c r="H2129" s="11" t="n">
        <v>18</v>
      </c>
      <c r="I2129" s="11" t="s">
        <v>92</v>
      </c>
      <c r="J2129" s="14"/>
      <c r="K2129" s="14" t="n">
        <v>25</v>
      </c>
      <c r="L2129" s="16"/>
      <c r="M2129" s="27" t="n">
        <f aca="false">J2129+(K2129/20)+(L2129/240)</f>
        <v>1.25</v>
      </c>
      <c r="N2129" s="17" t="s">
        <v>81</v>
      </c>
      <c r="O2129" s="11"/>
      <c r="P2129" s="28"/>
      <c r="Q2129" s="28" t="n">
        <f aca="false">P2129*$M2129</f>
        <v>0</v>
      </c>
      <c r="R2129" s="28"/>
      <c r="S2129" s="28" t="n">
        <f aca="false">R2129*$M2129</f>
        <v>0</v>
      </c>
      <c r="T2129" s="28"/>
      <c r="U2129" s="28" t="n">
        <f aca="false">T2129*$M2129</f>
        <v>0</v>
      </c>
      <c r="V2129" s="28" t="n">
        <v>17192</v>
      </c>
      <c r="W2129" s="28" t="n">
        <v>21490</v>
      </c>
      <c r="X2129" s="29"/>
      <c r="Y2129" s="28" t="n">
        <f aca="false">X2129*$M2129</f>
        <v>0</v>
      </c>
      <c r="Z2129" s="28"/>
      <c r="AA2129" s="28" t="n">
        <f aca="false">Z2129*$M2129</f>
        <v>0</v>
      </c>
      <c r="AB2129" s="28"/>
      <c r="AC2129" s="28" t="n">
        <f aca="false">AB2129*$M2129</f>
        <v>0</v>
      </c>
      <c r="AD2129" s="28"/>
      <c r="AE2129" s="28" t="n">
        <f aca="false">AD2129*$M2129</f>
        <v>0</v>
      </c>
      <c r="AF2129" s="28"/>
      <c r="AG2129" s="28" t="n">
        <f aca="false">AF2129*$M2129</f>
        <v>0</v>
      </c>
      <c r="AH2129" s="28"/>
      <c r="AI2129" s="28" t="n">
        <f aca="false">AH2129*$M2129</f>
        <v>0</v>
      </c>
      <c r="AJ2129" s="28"/>
      <c r="AK2129" s="28" t="n">
        <f aca="false">AJ2129*$M2129</f>
        <v>0</v>
      </c>
      <c r="AL2129" s="28"/>
      <c r="AM2129" s="28" t="n">
        <f aca="false">AL2129*$M2129</f>
        <v>0</v>
      </c>
      <c r="AN2129" s="28"/>
      <c r="AO2129" s="28" t="n">
        <f aca="false">AN2129*$M2129</f>
        <v>0</v>
      </c>
      <c r="AP2129" s="28"/>
      <c r="AQ2129" s="28" t="n">
        <f aca="false">AP2129*$M2129</f>
        <v>0</v>
      </c>
      <c r="AR2129" s="28"/>
      <c r="AS2129" s="28" t="n">
        <f aca="false">AR2129*$M2129</f>
        <v>0</v>
      </c>
      <c r="AT2129" s="28"/>
      <c r="AU2129" s="28" t="n">
        <f aca="false">AT2129*$M2129</f>
        <v>0</v>
      </c>
      <c r="AV2129" s="28"/>
      <c r="AW2129" s="28" t="n">
        <f aca="false">AV2129*$M2129</f>
        <v>0</v>
      </c>
      <c r="AX2129" s="28"/>
      <c r="AY2129" s="28" t="n">
        <f aca="false">AX2129*$M2129</f>
        <v>0</v>
      </c>
      <c r="AZ2129" s="30" t="n">
        <v>17192</v>
      </c>
      <c r="BA2129" s="11" t="n">
        <v>21490</v>
      </c>
      <c r="BB2129" s="31" t="n">
        <f aca="false">SUM(Q2129,S2129,U2129,W2129,Y2129,AA2129,AC2129,AE2129,AG2129,AI2129,AK2129,AM2129,AO2129,AQ2129,AS2129,AU2129,AW2129,AY2129)</f>
        <v>21490</v>
      </c>
      <c r="BC2129" s="28" t="n">
        <f aca="false">BA2129-BB2129</f>
        <v>0</v>
      </c>
      <c r="BD2129" s="32" t="n">
        <f aca="false">SUM(P2129,R2129,T2129,V2129,X2129,Z2129,AB2129,AD2129,AF2129,AH2129,AJ2129,AL2129,AN2129,AP2129,AR2129,AT2129,AV2129,AX2129)</f>
        <v>17192</v>
      </c>
      <c r="BE2129" s="33" t="n">
        <f aca="false">AZ2129-BD2129</f>
        <v>0</v>
      </c>
      <c r="BF2129" s="34" t="n">
        <f aca="false">BD2129*M2129</f>
        <v>21490</v>
      </c>
      <c r="BG2129" s="35" t="n">
        <f aca="false">BA2129-BF2129</f>
        <v>0</v>
      </c>
      <c r="BH2129" s="19" t="str">
        <f aca="false">IF(BG2129=0,"",IF(BG2129&lt;&gt;BA2129,"erreur de calcul",IF(BD2129&lt;&gt;0,"pas de prix",IF(M2129&lt;&gt; 0,"pas de quantité","pas de prix, ni de quantité"))))</f>
        <v/>
      </c>
      <c r="BI2129" s="19"/>
    </row>
    <row r="2130" customFormat="false" ht="15" hidden="false" customHeight="false" outlineLevel="0" collapsed="false">
      <c r="A2130" s="0" t="n">
        <v>22</v>
      </c>
      <c r="B2130" s="8" t="s">
        <v>24</v>
      </c>
      <c r="C2130" s="9" t="s">
        <v>25</v>
      </c>
      <c r="D2130" s="9" t="s">
        <v>26</v>
      </c>
      <c r="E2130" s="10" t="n">
        <v>1789</v>
      </c>
      <c r="F2130" s="9" t="s">
        <v>27</v>
      </c>
      <c r="G2130" s="9" t="s">
        <v>27</v>
      </c>
      <c r="H2130" s="11" t="n">
        <v>18</v>
      </c>
      <c r="I2130" s="11" t="s">
        <v>93</v>
      </c>
      <c r="J2130" s="14" t="n">
        <v>4</v>
      </c>
      <c r="K2130" s="14"/>
      <c r="L2130" s="16"/>
      <c r="M2130" s="27" t="n">
        <f aca="false">J2130+(K2130/20)+(L2130/240)</f>
        <v>4</v>
      </c>
      <c r="N2130" s="17" t="s">
        <v>94</v>
      </c>
      <c r="O2130" s="11"/>
      <c r="P2130" s="28"/>
      <c r="Q2130" s="28" t="n">
        <f aca="false">P2130*$M2130</f>
        <v>0</v>
      </c>
      <c r="R2130" s="28"/>
      <c r="S2130" s="28" t="n">
        <f aca="false">R2130*$M2130</f>
        <v>0</v>
      </c>
      <c r="T2130" s="28"/>
      <c r="U2130" s="28" t="n">
        <f aca="false">T2130*$M2130</f>
        <v>0</v>
      </c>
      <c r="V2130" s="28"/>
      <c r="W2130" s="28" t="n">
        <f aca="false">V2130*$M2130</f>
        <v>0</v>
      </c>
      <c r="X2130" s="29"/>
      <c r="Y2130" s="28" t="n">
        <f aca="false">X2130*$M2130</f>
        <v>0</v>
      </c>
      <c r="Z2130" s="28"/>
      <c r="AA2130" s="28" t="n">
        <f aca="false">Z2130*$M2130</f>
        <v>0</v>
      </c>
      <c r="AB2130" s="28"/>
      <c r="AC2130" s="28" t="n">
        <f aca="false">AB2130*$M2130</f>
        <v>0</v>
      </c>
      <c r="AD2130" s="28" t="n">
        <v>900</v>
      </c>
      <c r="AE2130" s="28" t="n">
        <v>3600</v>
      </c>
      <c r="AF2130" s="28"/>
      <c r="AG2130" s="28" t="n">
        <f aca="false">AF2130*$M2130</f>
        <v>0</v>
      </c>
      <c r="AH2130" s="28"/>
      <c r="AI2130" s="28" t="n">
        <f aca="false">AH2130*$M2130</f>
        <v>0</v>
      </c>
      <c r="AJ2130" s="28"/>
      <c r="AK2130" s="28" t="n">
        <f aca="false">AJ2130*$M2130</f>
        <v>0</v>
      </c>
      <c r="AL2130" s="28"/>
      <c r="AM2130" s="28" t="n">
        <f aca="false">AL2130*$M2130</f>
        <v>0</v>
      </c>
      <c r="AN2130" s="28"/>
      <c r="AO2130" s="28" t="n">
        <f aca="false">AN2130*$M2130</f>
        <v>0</v>
      </c>
      <c r="AP2130" s="28" t="n">
        <v>36</v>
      </c>
      <c r="AQ2130" s="28" t="n">
        <v>144</v>
      </c>
      <c r="AR2130" s="28"/>
      <c r="AS2130" s="28" t="n">
        <f aca="false">AR2130*$M2130</f>
        <v>0</v>
      </c>
      <c r="AT2130" s="28"/>
      <c r="AU2130" s="28" t="n">
        <f aca="false">AT2130*$M2130</f>
        <v>0</v>
      </c>
      <c r="AV2130" s="28"/>
      <c r="AW2130" s="28" t="n">
        <f aca="false">AV2130*$M2130</f>
        <v>0</v>
      </c>
      <c r="AX2130" s="28"/>
      <c r="AY2130" s="28" t="n">
        <f aca="false">AX2130*$M2130</f>
        <v>0</v>
      </c>
      <c r="AZ2130" s="30" t="n">
        <v>936</v>
      </c>
      <c r="BA2130" s="11" t="n">
        <v>3744</v>
      </c>
      <c r="BB2130" s="31" t="n">
        <f aca="false">SUM(Q2130,S2130,U2130,W2130,Y2130,AA2130,AC2130,AE2130,AG2130,AI2130,AK2130,AM2130,AO2130,AQ2130,AS2130,AU2130,AW2130,AY2130)</f>
        <v>3744</v>
      </c>
      <c r="BC2130" s="28" t="n">
        <f aca="false">BA2130-BB2130</f>
        <v>0</v>
      </c>
      <c r="BD2130" s="32" t="n">
        <f aca="false">SUM(P2130,R2130,T2130,V2130,X2130,Z2130,AB2130,AD2130,AF2130,AH2130,AJ2130,AL2130,AN2130,AP2130,AR2130,AT2130,AV2130,AX2130)</f>
        <v>936</v>
      </c>
      <c r="BE2130" s="33" t="n">
        <f aca="false">AZ2130-BD2130</f>
        <v>0</v>
      </c>
      <c r="BF2130" s="34" t="n">
        <f aca="false">BD2130*M2130</f>
        <v>3744</v>
      </c>
      <c r="BG2130" s="35" t="n">
        <f aca="false">BA2130-BF2130</f>
        <v>0</v>
      </c>
      <c r="BH2130" s="19" t="str">
        <f aca="false">IF(BG2130=0,"",IF(BG2130&lt;&gt;BA2130,"erreur de calcul",IF(BD2130&lt;&gt;0,"pas de prix",IF(M2130&lt;&gt; 0,"pas de quantité","pas de prix, ni de quantité"))))</f>
        <v/>
      </c>
      <c r="BI2130" s="19"/>
    </row>
    <row r="2131" customFormat="false" ht="15" hidden="false" customHeight="false" outlineLevel="0" collapsed="false">
      <c r="A2131" s="0" t="n">
        <v>23</v>
      </c>
      <c r="B2131" s="8" t="s">
        <v>24</v>
      </c>
      <c r="C2131" s="9" t="s">
        <v>25</v>
      </c>
      <c r="D2131" s="9" t="s">
        <v>26</v>
      </c>
      <c r="E2131" s="10" t="n">
        <v>1789</v>
      </c>
      <c r="F2131" s="9" t="s">
        <v>27</v>
      </c>
      <c r="G2131" s="9" t="s">
        <v>27</v>
      </c>
      <c r="H2131" s="11" t="n">
        <v>18</v>
      </c>
      <c r="I2131" s="11" t="s">
        <v>95</v>
      </c>
      <c r="J2131" s="14" t="n">
        <v>40</v>
      </c>
      <c r="K2131" s="14"/>
      <c r="L2131" s="16"/>
      <c r="M2131" s="27" t="n">
        <f aca="false">J2131+(K2131/20)+(L2131/240)</f>
        <v>40</v>
      </c>
      <c r="N2131" s="17" t="s">
        <v>64</v>
      </c>
      <c r="O2131" s="11"/>
      <c r="P2131" s="28" t="n">
        <f aca="false">16000/100</f>
        <v>160</v>
      </c>
      <c r="Q2131" s="28" t="n">
        <v>6400</v>
      </c>
      <c r="R2131" s="28"/>
      <c r="S2131" s="28" t="n">
        <f aca="false">R2131*$M2131</f>
        <v>0</v>
      </c>
      <c r="T2131" s="28"/>
      <c r="U2131" s="28" t="n">
        <f aca="false">T2131*$M2131</f>
        <v>0</v>
      </c>
      <c r="V2131" s="28"/>
      <c r="W2131" s="28" t="n">
        <f aca="false">V2131*$M2131</f>
        <v>0</v>
      </c>
      <c r="X2131" s="29"/>
      <c r="Y2131" s="28" t="n">
        <f aca="false">X2131*$M2131</f>
        <v>0</v>
      </c>
      <c r="Z2131" s="28"/>
      <c r="AA2131" s="28" t="n">
        <f aca="false">Z2131*$M2131</f>
        <v>0</v>
      </c>
      <c r="AB2131" s="28"/>
      <c r="AC2131" s="28" t="n">
        <f aca="false">AB2131*$M2131</f>
        <v>0</v>
      </c>
      <c r="AD2131" s="28"/>
      <c r="AE2131" s="28" t="n">
        <f aca="false">AD2131*$M2131</f>
        <v>0</v>
      </c>
      <c r="AF2131" s="28"/>
      <c r="AG2131" s="28" t="n">
        <f aca="false">AF2131*$M2131</f>
        <v>0</v>
      </c>
      <c r="AH2131" s="28"/>
      <c r="AI2131" s="28" t="n">
        <f aca="false">AH2131*$M2131</f>
        <v>0</v>
      </c>
      <c r="AJ2131" s="28"/>
      <c r="AK2131" s="28" t="n">
        <f aca="false">AJ2131*$M2131</f>
        <v>0</v>
      </c>
      <c r="AL2131" s="28"/>
      <c r="AM2131" s="28" t="n">
        <f aca="false">AL2131*$M2131</f>
        <v>0</v>
      </c>
      <c r="AN2131" s="28"/>
      <c r="AO2131" s="28" t="n">
        <f aca="false">AN2131*$M2131</f>
        <v>0</v>
      </c>
      <c r="AP2131" s="28"/>
      <c r="AQ2131" s="28" t="n">
        <f aca="false">AP2131*$M2131</f>
        <v>0</v>
      </c>
      <c r="AR2131" s="28"/>
      <c r="AS2131" s="28" t="n">
        <f aca="false">AR2131*$M2131</f>
        <v>0</v>
      </c>
      <c r="AT2131" s="28"/>
      <c r="AU2131" s="28" t="n">
        <f aca="false">AT2131*$M2131</f>
        <v>0</v>
      </c>
      <c r="AV2131" s="28"/>
      <c r="AW2131" s="28" t="n">
        <f aca="false">AV2131*$M2131</f>
        <v>0</v>
      </c>
      <c r="AX2131" s="28"/>
      <c r="AY2131" s="28" t="n">
        <f aca="false">AX2131*$M2131</f>
        <v>0</v>
      </c>
      <c r="AZ2131" s="30" t="n">
        <f aca="false">16000/100</f>
        <v>160</v>
      </c>
      <c r="BA2131" s="11" t="n">
        <v>6400</v>
      </c>
      <c r="BB2131" s="31" t="n">
        <f aca="false">SUM(Q2131,S2131,U2131,W2131,Y2131,AA2131,AC2131,AE2131,AG2131,AI2131,AK2131,AM2131,AO2131,AQ2131,AS2131,AU2131,AW2131,AY2131)</f>
        <v>6400</v>
      </c>
      <c r="BC2131" s="28" t="n">
        <f aca="false">BA2131-BB2131</f>
        <v>0</v>
      </c>
      <c r="BD2131" s="32" t="n">
        <f aca="false">SUM(P2131,R2131,T2131,V2131,X2131,Z2131,AB2131,AD2131,AF2131,AH2131,AJ2131,AL2131,AN2131,AP2131,AR2131,AT2131,AV2131,AX2131)</f>
        <v>160</v>
      </c>
      <c r="BE2131" s="33" t="n">
        <f aca="false">AZ2131-BD2131</f>
        <v>0</v>
      </c>
      <c r="BF2131" s="34" t="n">
        <f aca="false">BD2131*M2131</f>
        <v>6400</v>
      </c>
      <c r="BG2131" s="35" t="n">
        <f aca="false">BA2131-BF2131</f>
        <v>0</v>
      </c>
      <c r="BH2131" s="19" t="str">
        <f aca="false">IF(BG2131=0,"",IF(BG2131&lt;&gt;BA2131,"erreur de calcul",IF(BD2131&lt;&gt;0,"pas de prix",IF(M2131&lt;&gt; 0,"pas de quantité","pas de prix, ni de quantité"))))</f>
        <v/>
      </c>
      <c r="BI2131" s="19"/>
    </row>
    <row r="2132" customFormat="false" ht="15" hidden="false" customHeight="false" outlineLevel="0" collapsed="false">
      <c r="A2132" s="0" t="n">
        <v>24</v>
      </c>
      <c r="B2132" s="8" t="s">
        <v>24</v>
      </c>
      <c r="C2132" s="9" t="s">
        <v>25</v>
      </c>
      <c r="D2132" s="9" t="s">
        <v>26</v>
      </c>
      <c r="E2132" s="10" t="n">
        <v>1789</v>
      </c>
      <c r="F2132" s="9" t="s">
        <v>27</v>
      </c>
      <c r="G2132" s="9" t="s">
        <v>27</v>
      </c>
      <c r="H2132" s="11" t="n">
        <v>18</v>
      </c>
      <c r="I2132" s="11" t="s">
        <v>96</v>
      </c>
      <c r="J2132" s="14" t="n">
        <v>25</v>
      </c>
      <c r="K2132" s="14"/>
      <c r="L2132" s="16"/>
      <c r="M2132" s="27" t="n">
        <f aca="false">J2132+(K2132/20)+(L2132/240)</f>
        <v>25</v>
      </c>
      <c r="N2132" s="17" t="s">
        <v>64</v>
      </c>
      <c r="O2132" s="11"/>
      <c r="P2132" s="28" t="n">
        <f aca="false">968306/100</f>
        <v>9683.06</v>
      </c>
      <c r="Q2132" s="28" t="n">
        <v>242076</v>
      </c>
      <c r="R2132" s="28"/>
      <c r="S2132" s="28" t="n">
        <f aca="false">R2132*$M2132</f>
        <v>0</v>
      </c>
      <c r="T2132" s="28"/>
      <c r="U2132" s="28" t="n">
        <f aca="false">T2132*$M2132</f>
        <v>0</v>
      </c>
      <c r="V2132" s="28" t="n">
        <f aca="false">39234/100</f>
        <v>392.34</v>
      </c>
      <c r="W2132" s="28" t="n">
        <v>9808</v>
      </c>
      <c r="X2132" s="29"/>
      <c r="Y2132" s="28" t="n">
        <v>3410</v>
      </c>
      <c r="Z2132" s="28"/>
      <c r="AA2132" s="28" t="n">
        <f aca="false">Z2132*$M2132</f>
        <v>0</v>
      </c>
      <c r="AB2132" s="28"/>
      <c r="AC2132" s="28" t="n">
        <f aca="false">AB2132*$M2132</f>
        <v>0</v>
      </c>
      <c r="AD2132" s="28"/>
      <c r="AE2132" s="28" t="n">
        <f aca="false">AD2132*$M2132</f>
        <v>0</v>
      </c>
      <c r="AF2132" s="28"/>
      <c r="AG2132" s="28" t="n">
        <f aca="false">AF2132*$M2132</f>
        <v>0</v>
      </c>
      <c r="AH2132" s="28"/>
      <c r="AI2132" s="28" t="n">
        <f aca="false">AH2132*$M2132</f>
        <v>0</v>
      </c>
      <c r="AJ2132" s="28" t="n">
        <f aca="false">2665/100</f>
        <v>26.65</v>
      </c>
      <c r="AK2132" s="28" t="n">
        <v>666</v>
      </c>
      <c r="AL2132" s="28"/>
      <c r="AM2132" s="28" t="n">
        <f aca="false">AL2132*$M2132</f>
        <v>0</v>
      </c>
      <c r="AN2132" s="28"/>
      <c r="AO2132" s="28" t="n">
        <f aca="false">AN2132*$M2132</f>
        <v>0</v>
      </c>
      <c r="AP2132" s="28"/>
      <c r="AQ2132" s="28" t="n">
        <f aca="false">AP2132*$M2132</f>
        <v>0</v>
      </c>
      <c r="AR2132" s="28"/>
      <c r="AS2132" s="28" t="n">
        <f aca="false">AR2132*$M2132</f>
        <v>0</v>
      </c>
      <c r="AT2132" s="28"/>
      <c r="AU2132" s="28" t="n">
        <f aca="false">AT2132*$M2132</f>
        <v>0</v>
      </c>
      <c r="AV2132" s="28"/>
      <c r="AW2132" s="28" t="n">
        <f aca="false">AV2132*$M2132</f>
        <v>0</v>
      </c>
      <c r="AX2132" s="28" t="n">
        <f aca="false">118115/100</f>
        <v>1181.15</v>
      </c>
      <c r="AY2132" s="28" t="n">
        <v>29529</v>
      </c>
      <c r="AZ2132" s="30" t="n">
        <f aca="false">1141960/100</f>
        <v>11419.6</v>
      </c>
      <c r="BA2132" s="11" t="n">
        <v>285489</v>
      </c>
      <c r="BB2132" s="31" t="n">
        <f aca="false">SUM(Q2132,S2132,U2132,W2132,Y2132,AA2132,AC2132,AE2132,AG2132,AI2132,AK2132,AM2132,AO2132,AQ2132,AS2132,AU2132,AW2132,AY2132)</f>
        <v>285489</v>
      </c>
      <c r="BC2132" s="28" t="n">
        <f aca="false">BA2132-BB2132</f>
        <v>0</v>
      </c>
      <c r="BD2132" s="32" t="n">
        <f aca="false">SUM(P2132,R2132,T2132,V2132,X2132,Z2132,AB2132,AD2132,AF2132,AH2132,AJ2132,AL2132,AN2132,AP2132,AR2132,AT2132,AV2132,AX2132)</f>
        <v>11283.2</v>
      </c>
      <c r="BE2132" s="33" t="n">
        <f aca="false">AZ2132-BD2132</f>
        <v>136.400000000001</v>
      </c>
      <c r="BF2132" s="34" t="n">
        <f aca="false">BD2132*M2132</f>
        <v>282080</v>
      </c>
      <c r="BG2132" s="35" t="n">
        <f aca="false">BA2132-BF2132</f>
        <v>3409</v>
      </c>
      <c r="BH2132" s="19" t="str">
        <f aca="false">IF(BG2132=0,"",IF(BG2132&lt;&gt;BA2132,"erreur de calcul",IF(BD2132&lt;&gt;0,"pas de prix",IF(M2132&lt;&gt; 0,"pas de quantité","pas de prix, ni de quantité"))))</f>
        <v>erreur de calcul</v>
      </c>
      <c r="BI2132" s="19"/>
    </row>
    <row r="2133" customFormat="false" ht="15" hidden="false" customHeight="false" outlineLevel="0" collapsed="false">
      <c r="A2133" s="0" t="n">
        <v>25</v>
      </c>
      <c r="B2133" s="8" t="s">
        <v>24</v>
      </c>
      <c r="C2133" s="9" t="s">
        <v>25</v>
      </c>
      <c r="D2133" s="9" t="s">
        <v>26</v>
      </c>
      <c r="E2133" s="10" t="n">
        <v>1789</v>
      </c>
      <c r="F2133" s="9" t="s">
        <v>27</v>
      </c>
      <c r="G2133" s="9" t="s">
        <v>27</v>
      </c>
      <c r="H2133" s="11" t="n">
        <v>18</v>
      </c>
      <c r="I2133" s="11" t="s">
        <v>97</v>
      </c>
      <c r="J2133" s="14" t="n">
        <v>30</v>
      </c>
      <c r="K2133" s="14"/>
      <c r="L2133" s="16"/>
      <c r="M2133" s="27" t="n">
        <f aca="false">J2133+(K2133/20)+(L2133/240)</f>
        <v>30</v>
      </c>
      <c r="N2133" s="17" t="s">
        <v>64</v>
      </c>
      <c r="O2133" s="11" t="s">
        <v>98</v>
      </c>
      <c r="P2133" s="28"/>
      <c r="Q2133" s="28" t="n">
        <f aca="false">P2133*$M2133</f>
        <v>0</v>
      </c>
      <c r="R2133" s="28"/>
      <c r="S2133" s="28" t="n">
        <f aca="false">R2133*$M2133</f>
        <v>0</v>
      </c>
      <c r="T2133" s="28"/>
      <c r="U2133" s="28" t="n">
        <f aca="false">T2133*$M2133</f>
        <v>0</v>
      </c>
      <c r="V2133" s="28"/>
      <c r="W2133" s="28" t="n">
        <f aca="false">V2133*$M2133</f>
        <v>0</v>
      </c>
      <c r="X2133" s="29"/>
      <c r="Y2133" s="28" t="n">
        <f aca="false">X2133*$M2133</f>
        <v>0</v>
      </c>
      <c r="Z2133" s="28"/>
      <c r="AA2133" s="28" t="n">
        <f aca="false">Z2133*$M2133</f>
        <v>0</v>
      </c>
      <c r="AB2133" s="28"/>
      <c r="AC2133" s="28" t="n">
        <f aca="false">AB2133*$M2133</f>
        <v>0</v>
      </c>
      <c r="AD2133" s="28"/>
      <c r="AE2133" s="28" t="n">
        <f aca="false">AD2133*$M2133</f>
        <v>0</v>
      </c>
      <c r="AF2133" s="28"/>
      <c r="AG2133" s="28" t="n">
        <f aca="false">AF2133*$M2133</f>
        <v>0</v>
      </c>
      <c r="AH2133" s="28"/>
      <c r="AI2133" s="28" t="n">
        <f aca="false">AH2133*$M2133</f>
        <v>0</v>
      </c>
      <c r="AJ2133" s="28"/>
      <c r="AK2133" s="28" t="n">
        <f aca="false">AJ2133*$M2133</f>
        <v>0</v>
      </c>
      <c r="AL2133" s="28"/>
      <c r="AM2133" s="28" t="n">
        <f aca="false">AL2133*$M2133</f>
        <v>0</v>
      </c>
      <c r="AN2133" s="28"/>
      <c r="AO2133" s="28" t="n">
        <f aca="false">AN2133*$M2133</f>
        <v>0</v>
      </c>
      <c r="AP2133" s="28"/>
      <c r="AQ2133" s="28" t="n">
        <f aca="false">AP2133*$M2133</f>
        <v>0</v>
      </c>
      <c r="AR2133" s="28"/>
      <c r="AS2133" s="28" t="n">
        <f aca="false">AR2133*$M2133</f>
        <v>0</v>
      </c>
      <c r="AT2133" s="28"/>
      <c r="AU2133" s="28" t="n">
        <f aca="false">AT2133*$M2133</f>
        <v>0</v>
      </c>
      <c r="AV2133" s="28"/>
      <c r="AW2133" s="28" t="n">
        <f aca="false">AV2133*$M2133</f>
        <v>0</v>
      </c>
      <c r="AX2133" s="28"/>
      <c r="AY2133" s="28" t="n">
        <f aca="false">AX2133*$M2133</f>
        <v>0</v>
      </c>
      <c r="AZ2133" s="30"/>
      <c r="BA2133" s="11"/>
      <c r="BB2133" s="31" t="n">
        <f aca="false">SUM(Q2133,S2133,U2133,W2133,Y2133,AA2133,AC2133,AE2133,AG2133,AI2133,AK2133,AM2133,AO2133,AQ2133,AS2133,AU2133,AW2133,AY2133)</f>
        <v>0</v>
      </c>
      <c r="BC2133" s="28" t="n">
        <f aca="false">BA2133-BB2133</f>
        <v>0</v>
      </c>
      <c r="BD2133" s="32" t="n">
        <f aca="false">SUM(P2133,R2133,T2133,V2133,X2133,Z2133,AB2133,AD2133,AF2133,AH2133,AJ2133,AL2133,AN2133,AP2133,AR2133,AT2133,AV2133,AX2133)</f>
        <v>0</v>
      </c>
      <c r="BE2133" s="33" t="n">
        <f aca="false">AZ2133-BD2133</f>
        <v>0</v>
      </c>
      <c r="BF2133" s="34" t="n">
        <f aca="false">BD2133*M2133</f>
        <v>0</v>
      </c>
      <c r="BG2133" s="35" t="n">
        <f aca="false">BA2133-BF2133</f>
        <v>0</v>
      </c>
      <c r="BH2133" s="19" t="str">
        <f aca="false">IF(BG2133=0,"",IF(BG2133&lt;&gt;BA2133,"erreur de calcul",IF(BD2133&lt;&gt;0,"pas de prix",IF(M2133&lt;&gt; 0,"pas de quantité","pas de prix, ni de quantité"))))</f>
        <v/>
      </c>
      <c r="BI2133" s="19"/>
    </row>
    <row r="2134" customFormat="false" ht="15" hidden="false" customHeight="false" outlineLevel="0" collapsed="false">
      <c r="A2134" s="0" t="n">
        <v>26</v>
      </c>
      <c r="B2134" s="8" t="s">
        <v>24</v>
      </c>
      <c r="C2134" s="9" t="s">
        <v>25</v>
      </c>
      <c r="D2134" s="9" t="s">
        <v>26</v>
      </c>
      <c r="E2134" s="10" t="n">
        <v>1789</v>
      </c>
      <c r="F2134" s="9" t="s">
        <v>27</v>
      </c>
      <c r="G2134" s="9" t="s">
        <v>27</v>
      </c>
      <c r="H2134" s="11" t="n">
        <v>18</v>
      </c>
      <c r="I2134" s="11" t="s">
        <v>99</v>
      </c>
      <c r="J2134" s="14" t="n">
        <v>12</v>
      </c>
      <c r="K2134" s="14"/>
      <c r="L2134" s="16"/>
      <c r="M2134" s="27" t="n">
        <f aca="false">J2134+(K2134/20)+(L2134/240)</f>
        <v>12</v>
      </c>
      <c r="N2134" s="17" t="s">
        <v>64</v>
      </c>
      <c r="O2134" s="11"/>
      <c r="P2134" s="28" t="n">
        <f aca="false">7077/100</f>
        <v>70.77</v>
      </c>
      <c r="Q2134" s="28" t="n">
        <v>849</v>
      </c>
      <c r="R2134" s="28"/>
      <c r="S2134" s="28" t="n">
        <f aca="false">R2134*$M2134</f>
        <v>0</v>
      </c>
      <c r="T2134" s="28"/>
      <c r="U2134" s="28" t="n">
        <f aca="false">T2134*$M2134</f>
        <v>0</v>
      </c>
      <c r="V2134" s="28"/>
      <c r="W2134" s="28" t="n">
        <f aca="false">V2134*$M2134</f>
        <v>0</v>
      </c>
      <c r="X2134" s="29"/>
      <c r="Y2134" s="28" t="n">
        <v>866</v>
      </c>
      <c r="Z2134" s="28"/>
      <c r="AA2134" s="28" t="n">
        <f aca="false">Z2134*$M2134</f>
        <v>0</v>
      </c>
      <c r="AB2134" s="28"/>
      <c r="AC2134" s="28" t="n">
        <f aca="false">AB2134*$M2134</f>
        <v>0</v>
      </c>
      <c r="AD2134" s="28"/>
      <c r="AE2134" s="28" t="n">
        <f aca="false">AD2134*$M2134</f>
        <v>0</v>
      </c>
      <c r="AF2134" s="28"/>
      <c r="AG2134" s="28" t="n">
        <f aca="false">AF2134*$M2134</f>
        <v>0</v>
      </c>
      <c r="AH2134" s="28"/>
      <c r="AI2134" s="28" t="n">
        <f aca="false">AH2134*$M2134</f>
        <v>0</v>
      </c>
      <c r="AJ2134" s="28"/>
      <c r="AK2134" s="28" t="n">
        <f aca="false">AJ2134*$M2134</f>
        <v>0</v>
      </c>
      <c r="AL2134" s="28"/>
      <c r="AM2134" s="28" t="n">
        <f aca="false">AL2134*$M2134</f>
        <v>0</v>
      </c>
      <c r="AN2134" s="28"/>
      <c r="AO2134" s="28" t="n">
        <f aca="false">AN2134*$M2134</f>
        <v>0</v>
      </c>
      <c r="AP2134" s="28"/>
      <c r="AQ2134" s="28" t="n">
        <f aca="false">AP2134*$M2134</f>
        <v>0</v>
      </c>
      <c r="AR2134" s="28"/>
      <c r="AS2134" s="28" t="n">
        <f aca="false">AR2134*$M2134</f>
        <v>0</v>
      </c>
      <c r="AT2134" s="28"/>
      <c r="AU2134" s="28" t="n">
        <f aca="false">AT2134*$M2134</f>
        <v>0</v>
      </c>
      <c r="AV2134" s="28"/>
      <c r="AW2134" s="28" t="n">
        <f aca="false">AV2134*$M2134</f>
        <v>0</v>
      </c>
      <c r="AX2134" s="28"/>
      <c r="AY2134" s="28" t="n">
        <f aca="false">AX2134*$M2134</f>
        <v>0</v>
      </c>
      <c r="AZ2134" s="30" t="n">
        <f aca="false">14294/100</f>
        <v>142.94</v>
      </c>
      <c r="BA2134" s="11" t="n">
        <v>1715</v>
      </c>
      <c r="BB2134" s="31" t="n">
        <f aca="false">SUM(Q2134,S2134,U2134,W2134,Y2134,AA2134,AC2134,AE2134,AG2134,AI2134,AK2134,AM2134,AO2134,AQ2134,AS2134,AU2134,AW2134,AY2134)</f>
        <v>1715</v>
      </c>
      <c r="BC2134" s="28" t="n">
        <f aca="false">BA2134-BB2134</f>
        <v>0</v>
      </c>
      <c r="BD2134" s="32" t="n">
        <f aca="false">SUM(P2134,R2134,T2134,V2134,X2134,Z2134,AB2134,AD2134,AF2134,AH2134,AJ2134,AL2134,AN2134,AP2134,AR2134,AT2134,AV2134,AX2134)</f>
        <v>70.77</v>
      </c>
      <c r="BE2134" s="33" t="n">
        <f aca="false">AZ2134-BD2134</f>
        <v>72.17</v>
      </c>
      <c r="BF2134" s="34" t="n">
        <f aca="false">BD2134*M2134</f>
        <v>849.24</v>
      </c>
      <c r="BG2134" s="35" t="n">
        <f aca="false">BA2134-BF2134</f>
        <v>865.76</v>
      </c>
      <c r="BH2134" s="19" t="str">
        <f aca="false">IF(BG2134=0,"",IF(BG2134&lt;&gt;BA2134,"erreur de calcul",IF(BD2134&lt;&gt;0,"pas de prix",IF(M2134&lt;&gt; 0,"pas de quantité","pas de prix, ni de quantité"))))</f>
        <v>erreur de calcul</v>
      </c>
      <c r="BI2134" s="19"/>
    </row>
    <row r="2135" customFormat="false" ht="15" hidden="false" customHeight="false" outlineLevel="0" collapsed="false">
      <c r="A2135" s="0" t="n">
        <v>27</v>
      </c>
      <c r="B2135" s="8" t="s">
        <v>24</v>
      </c>
      <c r="C2135" s="9" t="s">
        <v>25</v>
      </c>
      <c r="D2135" s="9" t="s">
        <v>26</v>
      </c>
      <c r="E2135" s="10" t="n">
        <v>1789</v>
      </c>
      <c r="F2135" s="9" t="s">
        <v>27</v>
      </c>
      <c r="G2135" s="9" t="s">
        <v>27</v>
      </c>
      <c r="H2135" s="11" t="n">
        <v>18</v>
      </c>
      <c r="I2135" s="11" t="s">
        <v>100</v>
      </c>
      <c r="J2135" s="14" t="n">
        <v>13</v>
      </c>
      <c r="K2135" s="14"/>
      <c r="L2135" s="16"/>
      <c r="M2135" s="27" t="n">
        <f aca="false">J2135+(K2135/20)+(L2135/240)</f>
        <v>13</v>
      </c>
      <c r="N2135" s="17" t="s">
        <v>64</v>
      </c>
      <c r="O2135" s="11"/>
      <c r="P2135" s="28"/>
      <c r="Q2135" s="28" t="n">
        <f aca="false">P2135*$M2135</f>
        <v>0</v>
      </c>
      <c r="R2135" s="28"/>
      <c r="S2135" s="28" t="n">
        <f aca="false">R2135*$M2135</f>
        <v>0</v>
      </c>
      <c r="T2135" s="28"/>
      <c r="U2135" s="28" t="n">
        <f aca="false">T2135*$M2135</f>
        <v>0</v>
      </c>
      <c r="V2135" s="28"/>
      <c r="W2135" s="28" t="n">
        <f aca="false">V2135*$M2135</f>
        <v>0</v>
      </c>
      <c r="X2135" s="29"/>
      <c r="Y2135" s="28" t="n">
        <f aca="false">X2135*$M2135</f>
        <v>0</v>
      </c>
      <c r="Z2135" s="28"/>
      <c r="AA2135" s="28" t="n">
        <f aca="false">Z2135*$M2135</f>
        <v>0</v>
      </c>
      <c r="AB2135" s="28"/>
      <c r="AC2135" s="28" t="n">
        <f aca="false">AB2135*$M2135</f>
        <v>0</v>
      </c>
      <c r="AD2135" s="28"/>
      <c r="AE2135" s="28" t="n">
        <f aca="false">AD2135*$M2135</f>
        <v>0</v>
      </c>
      <c r="AF2135" s="28"/>
      <c r="AG2135" s="28" t="n">
        <f aca="false">AF2135*$M2135</f>
        <v>0</v>
      </c>
      <c r="AH2135" s="28" t="n">
        <f aca="false">7819/100</f>
        <v>78.19</v>
      </c>
      <c r="AI2135" s="28" t="n">
        <v>1016</v>
      </c>
      <c r="AJ2135" s="28" t="n">
        <f aca="false">10382/100</f>
        <v>103.82</v>
      </c>
      <c r="AK2135" s="28" t="n">
        <v>1350</v>
      </c>
      <c r="AL2135" s="28"/>
      <c r="AM2135" s="28" t="n">
        <f aca="false">AL2135*$M2135</f>
        <v>0</v>
      </c>
      <c r="AN2135" s="28"/>
      <c r="AO2135" s="28" t="n">
        <f aca="false">AN2135*$M2135</f>
        <v>0</v>
      </c>
      <c r="AP2135" s="28"/>
      <c r="AQ2135" s="28" t="n">
        <f aca="false">AP2135*$M2135</f>
        <v>0</v>
      </c>
      <c r="AR2135" s="28"/>
      <c r="AS2135" s="28" t="n">
        <f aca="false">AR2135*$M2135</f>
        <v>0</v>
      </c>
      <c r="AT2135" s="28"/>
      <c r="AU2135" s="28" t="n">
        <f aca="false">AT2135*$M2135</f>
        <v>0</v>
      </c>
      <c r="AV2135" s="28"/>
      <c r="AW2135" s="28" t="n">
        <f aca="false">AV2135*$M2135</f>
        <v>0</v>
      </c>
      <c r="AX2135" s="28"/>
      <c r="AY2135" s="28" t="n">
        <f aca="false">AX2135*$M2135</f>
        <v>0</v>
      </c>
      <c r="AZ2135" s="30" t="n">
        <f aca="false">18201/100</f>
        <v>182.01</v>
      </c>
      <c r="BA2135" s="11" t="n">
        <v>2366</v>
      </c>
      <c r="BB2135" s="31" t="n">
        <f aca="false">SUM(Q2135,S2135,U2135,W2135,Y2135,AA2135,AC2135,AE2135,AG2135,AI2135,AK2135,AM2135,AO2135,AQ2135,AS2135,AU2135,AW2135,AY2135)</f>
        <v>2366</v>
      </c>
      <c r="BC2135" s="28" t="n">
        <f aca="false">BA2135-BB2135</f>
        <v>0</v>
      </c>
      <c r="BD2135" s="32" t="n">
        <f aca="false">SUM(P2135,R2135,T2135,V2135,X2135,Z2135,AB2135,AD2135,AF2135,AH2135,AJ2135,AL2135,AN2135,AP2135,AR2135,AT2135,AV2135,AX2135)</f>
        <v>182.01</v>
      </c>
      <c r="BE2135" s="33" t="n">
        <f aca="false">AZ2135-BD2135</f>
        <v>0</v>
      </c>
      <c r="BF2135" s="34" t="n">
        <f aca="false">BD2135*M2135</f>
        <v>2366.13</v>
      </c>
      <c r="BG2135" s="35" t="n">
        <f aca="false">BA2135-BF2135</f>
        <v>-0.130000000000109</v>
      </c>
      <c r="BH2135" s="19" t="str">
        <f aca="false">IF(BG2135=0,"",IF(BG2135&lt;&gt;BA2135,"erreur de calcul",IF(BD2135&lt;&gt;0,"pas de prix",IF(M2135&lt;&gt; 0,"pas de quantité","pas de prix, ni de quantité"))))</f>
        <v>erreur de calcul</v>
      </c>
      <c r="BI2135" s="19"/>
    </row>
    <row r="2136" customFormat="false" ht="15" hidden="false" customHeight="false" outlineLevel="0" collapsed="false">
      <c r="A2136" s="0" t="n">
        <v>28</v>
      </c>
      <c r="B2136" s="8" t="s">
        <v>24</v>
      </c>
      <c r="C2136" s="9" t="s">
        <v>25</v>
      </c>
      <c r="D2136" s="9" t="s">
        <v>26</v>
      </c>
      <c r="E2136" s="10" t="n">
        <v>1789</v>
      </c>
      <c r="F2136" s="9" t="s">
        <v>27</v>
      </c>
      <c r="G2136" s="9" t="s">
        <v>27</v>
      </c>
      <c r="H2136" s="11" t="n">
        <v>18</v>
      </c>
      <c r="I2136" s="11" t="s">
        <v>101</v>
      </c>
      <c r="J2136" s="14" t="n">
        <v>35</v>
      </c>
      <c r="K2136" s="14"/>
      <c r="L2136" s="16"/>
      <c r="M2136" s="27" t="n">
        <f aca="false">J2136+(K2136/20)+(L2136/240)</f>
        <v>35</v>
      </c>
      <c r="N2136" s="17" t="s">
        <v>64</v>
      </c>
      <c r="O2136" s="11"/>
      <c r="P2136" s="28"/>
      <c r="Q2136" s="28" t="n">
        <f aca="false">P2136*$M2136</f>
        <v>0</v>
      </c>
      <c r="R2136" s="28"/>
      <c r="S2136" s="28" t="n">
        <f aca="false">R2136*$M2136</f>
        <v>0</v>
      </c>
      <c r="T2136" s="28"/>
      <c r="U2136" s="28" t="n">
        <f aca="false">T2136*$M2136</f>
        <v>0</v>
      </c>
      <c r="V2136" s="28"/>
      <c r="W2136" s="28" t="n">
        <f aca="false">V2136*$M2136</f>
        <v>0</v>
      </c>
      <c r="X2136" s="29"/>
      <c r="Y2136" s="28" t="n">
        <f aca="false">X2136*$M2136</f>
        <v>0</v>
      </c>
      <c r="Z2136" s="28"/>
      <c r="AA2136" s="28" t="n">
        <f aca="false">Z2136*$M2136</f>
        <v>0</v>
      </c>
      <c r="AB2136" s="28"/>
      <c r="AC2136" s="28" t="n">
        <f aca="false">AB2136*$M2136</f>
        <v>0</v>
      </c>
      <c r="AD2136" s="28"/>
      <c r="AE2136" s="28" t="n">
        <f aca="false">AD2136*$M2136</f>
        <v>0</v>
      </c>
      <c r="AF2136" s="28"/>
      <c r="AG2136" s="28" t="n">
        <f aca="false">AF2136*$M2136</f>
        <v>0</v>
      </c>
      <c r="AH2136" s="28"/>
      <c r="AI2136" s="28" t="n">
        <f aca="false">AH2136*$M2136</f>
        <v>0</v>
      </c>
      <c r="AJ2136" s="28" t="n">
        <f aca="false">65277/100</f>
        <v>652.77</v>
      </c>
      <c r="AK2136" s="28" t="n">
        <v>22847</v>
      </c>
      <c r="AL2136" s="28"/>
      <c r="AM2136" s="28" t="n">
        <f aca="false">AL2136*$M2136</f>
        <v>0</v>
      </c>
      <c r="AN2136" s="28"/>
      <c r="AO2136" s="28" t="n">
        <f aca="false">AN2136*$M2136</f>
        <v>0</v>
      </c>
      <c r="AP2136" s="28"/>
      <c r="AQ2136" s="28" t="n">
        <f aca="false">AP2136*$M2136</f>
        <v>0</v>
      </c>
      <c r="AR2136" s="28"/>
      <c r="AS2136" s="28" t="n">
        <f aca="false">AR2136*$M2136</f>
        <v>0</v>
      </c>
      <c r="AT2136" s="28"/>
      <c r="AU2136" s="28" t="n">
        <f aca="false">AT2136*$M2136</f>
        <v>0</v>
      </c>
      <c r="AV2136" s="28"/>
      <c r="AW2136" s="28" t="n">
        <f aca="false">AV2136*$M2136</f>
        <v>0</v>
      </c>
      <c r="AX2136" s="28"/>
      <c r="AY2136" s="28" t="n">
        <f aca="false">AX2136*$M2136</f>
        <v>0</v>
      </c>
      <c r="AZ2136" s="30" t="n">
        <f aca="false">65277/100</f>
        <v>652.77</v>
      </c>
      <c r="BA2136" s="11" t="n">
        <v>22847</v>
      </c>
      <c r="BB2136" s="31" t="n">
        <f aca="false">SUM(Q2136,S2136,U2136,W2136,Y2136,AA2136,AC2136,AE2136,AG2136,AI2136,AK2136,AM2136,AO2136,AQ2136,AS2136,AU2136,AW2136,AY2136)</f>
        <v>22847</v>
      </c>
      <c r="BC2136" s="28" t="n">
        <f aca="false">BA2136-BB2136</f>
        <v>0</v>
      </c>
      <c r="BD2136" s="32" t="n">
        <f aca="false">SUM(P2136,R2136,T2136,V2136,X2136,Z2136,AB2136,AD2136,AF2136,AH2136,AJ2136,AL2136,AN2136,AP2136,AR2136,AT2136,AV2136,AX2136)</f>
        <v>652.77</v>
      </c>
      <c r="BE2136" s="33" t="n">
        <f aca="false">AZ2136-BD2136</f>
        <v>0</v>
      </c>
      <c r="BF2136" s="34" t="n">
        <f aca="false">BD2136*M2136</f>
        <v>22846.95</v>
      </c>
      <c r="BG2136" s="35" t="n">
        <f aca="false">BA2136-BF2136</f>
        <v>0.0499999999992724</v>
      </c>
      <c r="BH2136" s="19" t="str">
        <f aca="false">IF(BG2136=0,"",IF(BG2136&lt;&gt;BA2136,"erreur de calcul",IF(BD2136&lt;&gt;0,"pas de prix",IF(M2136&lt;&gt; 0,"pas de quantité","pas de prix, ni de quantité"))))</f>
        <v>erreur de calcul</v>
      </c>
      <c r="BI2136" s="19"/>
    </row>
    <row r="2137" customFormat="false" ht="16.65" hidden="false" customHeight="false" outlineLevel="0" collapsed="false">
      <c r="A2137" s="0" t="n">
        <v>29</v>
      </c>
      <c r="B2137" s="8" t="s">
        <v>24</v>
      </c>
      <c r="C2137" s="9" t="s">
        <v>25</v>
      </c>
      <c r="D2137" s="9" t="s">
        <v>26</v>
      </c>
      <c r="E2137" s="10" t="n">
        <v>1789</v>
      </c>
      <c r="F2137" s="9" t="s">
        <v>27</v>
      </c>
      <c r="G2137" s="9" t="s">
        <v>27</v>
      </c>
      <c r="H2137" s="11" t="n">
        <v>18</v>
      </c>
      <c r="I2137" s="11" t="s">
        <v>102</v>
      </c>
      <c r="J2137" s="14" t="n">
        <v>47</v>
      </c>
      <c r="K2137" s="14"/>
      <c r="L2137" s="16"/>
      <c r="M2137" s="27" t="n">
        <f aca="false">J2137+(K2137/20)+(L2137/240)</f>
        <v>47</v>
      </c>
      <c r="N2137" s="17" t="s">
        <v>64</v>
      </c>
      <c r="O2137" s="11"/>
      <c r="P2137" s="28" t="n">
        <f aca="false">8467/100</f>
        <v>84.67</v>
      </c>
      <c r="Q2137" s="28" t="n">
        <v>3979</v>
      </c>
      <c r="R2137" s="28"/>
      <c r="S2137" s="28" t="n">
        <f aca="false">R2137*$M2137</f>
        <v>0</v>
      </c>
      <c r="T2137" s="28"/>
      <c r="U2137" s="28" t="n">
        <f aca="false">T2137*$M2137</f>
        <v>0</v>
      </c>
      <c r="V2137" s="28"/>
      <c r="W2137" s="28" t="n">
        <f aca="false">V2137*$M2137</f>
        <v>0</v>
      </c>
      <c r="X2137" s="29"/>
      <c r="Y2137" s="28" t="n">
        <f aca="false">X2137*$M2137</f>
        <v>0</v>
      </c>
      <c r="Z2137" s="28"/>
      <c r="AA2137" s="28" t="n">
        <f aca="false">Z2137*$M2137</f>
        <v>0</v>
      </c>
      <c r="AB2137" s="28"/>
      <c r="AC2137" s="28" t="n">
        <f aca="false">AB2137*$M2137</f>
        <v>0</v>
      </c>
      <c r="AD2137" s="28"/>
      <c r="AE2137" s="28" t="n">
        <f aca="false">AD2137*$M2137</f>
        <v>0</v>
      </c>
      <c r="AF2137" s="28"/>
      <c r="AG2137" s="28" t="n">
        <f aca="false">AF2137*$M2137</f>
        <v>0</v>
      </c>
      <c r="AH2137" s="28"/>
      <c r="AI2137" s="28" t="n">
        <f aca="false">AH2137*$M2137</f>
        <v>0</v>
      </c>
      <c r="AJ2137" s="28"/>
      <c r="AK2137" s="28" t="n">
        <f aca="false">AJ2137*$M2137</f>
        <v>0</v>
      </c>
      <c r="AL2137" s="28"/>
      <c r="AM2137" s="28" t="n">
        <f aca="false">AL2137*$M2137</f>
        <v>0</v>
      </c>
      <c r="AN2137" s="28"/>
      <c r="AO2137" s="28" t="n">
        <f aca="false">AN2137*$M2137</f>
        <v>0</v>
      </c>
      <c r="AP2137" s="28"/>
      <c r="AQ2137" s="28" t="n">
        <f aca="false">AP2137*$M2137</f>
        <v>0</v>
      </c>
      <c r="AR2137" s="28"/>
      <c r="AS2137" s="28" t="n">
        <f aca="false">AR2137*$M2137</f>
        <v>0</v>
      </c>
      <c r="AT2137" s="28"/>
      <c r="AU2137" s="28" t="n">
        <f aca="false">AT2137*$M2137</f>
        <v>0</v>
      </c>
      <c r="AV2137" s="28"/>
      <c r="AW2137" s="28" t="n">
        <f aca="false">AV2137*$M2137</f>
        <v>0</v>
      </c>
      <c r="AX2137" s="28"/>
      <c r="AY2137" s="28" t="n">
        <f aca="false">AX2137*$M2137</f>
        <v>0</v>
      </c>
      <c r="AZ2137" s="30" t="n">
        <f aca="false">8467/100</f>
        <v>84.67</v>
      </c>
      <c r="BA2137" s="11" t="n">
        <v>3979</v>
      </c>
      <c r="BB2137" s="31" t="n">
        <f aca="false">SUM(Q2137,S2137,U2137,W2137,Y2137,AA2137,AC2137,AE2137,AG2137,AI2137,AK2137,AM2137,AO2137,AQ2137,AS2137,AU2137,AW2137,AY2137)</f>
        <v>3979</v>
      </c>
      <c r="BC2137" s="28" t="n">
        <f aca="false">BA2137-BB2137</f>
        <v>0</v>
      </c>
      <c r="BD2137" s="32" t="n">
        <f aca="false">SUM(P2137,R2137,T2137,V2137,X2137,Z2137,AB2137,AD2137,AF2137,AH2137,AJ2137,AL2137,AN2137,AP2137,AR2137,AT2137,AV2137,AX2137)</f>
        <v>84.67</v>
      </c>
      <c r="BE2137" s="33" t="n">
        <f aca="false">AZ2137-BD2137</f>
        <v>0</v>
      </c>
      <c r="BF2137" s="34" t="n">
        <f aca="false">BD2137*M2137</f>
        <v>3979.49</v>
      </c>
      <c r="BG2137" s="35" t="n">
        <f aca="false">BA2137-BF2137</f>
        <v>-0.490000000000237</v>
      </c>
      <c r="BH2137" s="19" t="str">
        <f aca="false">IF(BG2137=0,"",IF(BG2137&lt;&gt;BA2137,"erreur de calcul",IF(BD2137&lt;&gt;0,"pas de prix",IF(M2137&lt;&gt; 0,"pas de quantité","pas de prix, ni de quantité"))))</f>
        <v>erreur de calcul</v>
      </c>
      <c r="BI2137" s="19"/>
    </row>
    <row r="2138" customFormat="false" ht="15" hidden="false" customHeight="false" outlineLevel="0" collapsed="false">
      <c r="A2138" s="0" t="n">
        <v>30</v>
      </c>
      <c r="B2138" s="8" t="s">
        <v>24</v>
      </c>
      <c r="C2138" s="9" t="s">
        <v>25</v>
      </c>
      <c r="D2138" s="9" t="s">
        <v>26</v>
      </c>
      <c r="E2138" s="10" t="n">
        <v>1789</v>
      </c>
      <c r="F2138" s="9" t="s">
        <v>27</v>
      </c>
      <c r="G2138" s="9" t="s">
        <v>27</v>
      </c>
      <c r="H2138" s="11" t="n">
        <v>18</v>
      </c>
      <c r="I2138" s="11" t="s">
        <v>103</v>
      </c>
      <c r="J2138" s="14" t="n">
        <v>475</v>
      </c>
      <c r="K2138" s="14"/>
      <c r="L2138" s="16"/>
      <c r="M2138" s="27" t="n">
        <f aca="false">J2138+(K2138/20)+(L2138/240)</f>
        <v>475</v>
      </c>
      <c r="N2138" s="17" t="s">
        <v>64</v>
      </c>
      <c r="O2138" s="11"/>
      <c r="P2138" s="28"/>
      <c r="Q2138" s="28" t="n">
        <f aca="false">P2138*$M2138</f>
        <v>0</v>
      </c>
      <c r="R2138" s="28"/>
      <c r="S2138" s="28" t="n">
        <f aca="false">R2138*$M2138</f>
        <v>0</v>
      </c>
      <c r="T2138" s="28" t="n">
        <f aca="false">1746/100</f>
        <v>17.46</v>
      </c>
      <c r="U2138" s="28" t="n">
        <v>8293</v>
      </c>
      <c r="V2138" s="28"/>
      <c r="W2138" s="28" t="n">
        <f aca="false">V2138*$M2138</f>
        <v>0</v>
      </c>
      <c r="X2138" s="29"/>
      <c r="Y2138" s="28" t="n">
        <f aca="false">X2138*$M2138</f>
        <v>0</v>
      </c>
      <c r="Z2138" s="28"/>
      <c r="AA2138" s="28" t="n">
        <f aca="false">Z2138*$M2138</f>
        <v>0</v>
      </c>
      <c r="AB2138" s="28"/>
      <c r="AC2138" s="28" t="n">
        <f aca="false">AB2138*$M2138</f>
        <v>0</v>
      </c>
      <c r="AD2138" s="28"/>
      <c r="AE2138" s="28" t="n">
        <f aca="false">AD2138*$M2138</f>
        <v>0</v>
      </c>
      <c r="AF2138" s="28"/>
      <c r="AG2138" s="28" t="n">
        <f aca="false">AF2138*$M2138</f>
        <v>0</v>
      </c>
      <c r="AH2138" s="28" t="n">
        <f aca="false">1667/100</f>
        <v>16.67</v>
      </c>
      <c r="AI2138" s="28" t="n">
        <v>7918</v>
      </c>
      <c r="AJ2138" s="28"/>
      <c r="AK2138" s="28" t="n">
        <f aca="false">AJ2138*$M2138</f>
        <v>0</v>
      </c>
      <c r="AL2138" s="28"/>
      <c r="AM2138" s="28" t="n">
        <f aca="false">AL2138*$M2138</f>
        <v>0</v>
      </c>
      <c r="AN2138" s="28"/>
      <c r="AO2138" s="28" t="n">
        <f aca="false">AN2138*$M2138</f>
        <v>0</v>
      </c>
      <c r="AP2138" s="28"/>
      <c r="AQ2138" s="28" t="n">
        <f aca="false">AP2138*$M2138</f>
        <v>0</v>
      </c>
      <c r="AR2138" s="28"/>
      <c r="AS2138" s="28" t="n">
        <f aca="false">AR2138*$M2138</f>
        <v>0</v>
      </c>
      <c r="AT2138" s="28"/>
      <c r="AU2138" s="28" t="n">
        <f aca="false">AT2138*$M2138</f>
        <v>0</v>
      </c>
      <c r="AV2138" s="28"/>
      <c r="AW2138" s="28" t="n">
        <f aca="false">AV2138*$M2138</f>
        <v>0</v>
      </c>
      <c r="AX2138" s="28"/>
      <c r="AY2138" s="28" t="n">
        <f aca="false">AX2138*$M2138</f>
        <v>0</v>
      </c>
      <c r="AZ2138" s="30" t="n">
        <f aca="false">3413/100</f>
        <v>34.13</v>
      </c>
      <c r="BA2138" s="11" t="n">
        <v>16211</v>
      </c>
      <c r="BB2138" s="31" t="n">
        <f aca="false">SUM(Q2138,S2138,U2138,W2138,Y2138,AA2138,AC2138,AE2138,AG2138,AI2138,AK2138,AM2138,AO2138,AQ2138,AS2138,AU2138,AW2138,AY2138)</f>
        <v>16211</v>
      </c>
      <c r="BC2138" s="28" t="n">
        <f aca="false">BA2138-BB2138</f>
        <v>0</v>
      </c>
      <c r="BD2138" s="32" t="n">
        <f aca="false">SUM(P2138,R2138,T2138,V2138,X2138,Z2138,AB2138,AD2138,AF2138,AH2138,AJ2138,AL2138,AN2138,AP2138,AR2138,AT2138,AV2138,AX2138)</f>
        <v>34.13</v>
      </c>
      <c r="BE2138" s="33" t="n">
        <f aca="false">AZ2138-BD2138</f>
        <v>0</v>
      </c>
      <c r="BF2138" s="34" t="n">
        <f aca="false">BD2138*M2138</f>
        <v>16211.75</v>
      </c>
      <c r="BG2138" s="35" t="n">
        <f aca="false">BA2138-BF2138</f>
        <v>-0.750000000001819</v>
      </c>
      <c r="BH2138" s="19" t="str">
        <f aca="false">IF(BG2138=0,"",IF(BG2138&lt;&gt;BA2138,"erreur de calcul",IF(BD2138&lt;&gt;0,"pas de prix",IF(M2138&lt;&gt; 0,"pas de quantité","pas de prix, ni de quantité"))))</f>
        <v>erreur de calcul</v>
      </c>
      <c r="BI2138" s="19"/>
    </row>
    <row r="2139" customFormat="false" ht="15" hidden="false" customHeight="false" outlineLevel="0" collapsed="false">
      <c r="A2139" s="0" t="n">
        <v>31</v>
      </c>
      <c r="B2139" s="8" t="s">
        <v>24</v>
      </c>
      <c r="C2139" s="9" t="s">
        <v>25</v>
      </c>
      <c r="D2139" s="9" t="s">
        <v>26</v>
      </c>
      <c r="E2139" s="10" t="n">
        <v>1789</v>
      </c>
      <c r="F2139" s="9" t="s">
        <v>27</v>
      </c>
      <c r="G2139" s="9" t="s">
        <v>27</v>
      </c>
      <c r="H2139" s="11" t="n">
        <v>18</v>
      </c>
      <c r="I2139" s="11" t="s">
        <v>104</v>
      </c>
      <c r="J2139" s="14" t="n">
        <v>310</v>
      </c>
      <c r="K2139" s="14"/>
      <c r="L2139" s="16"/>
      <c r="M2139" s="27" t="n">
        <f aca="false">J2139+(K2139/20)+(L2139/240)</f>
        <v>310</v>
      </c>
      <c r="N2139" s="17" t="s">
        <v>64</v>
      </c>
      <c r="O2139" s="11"/>
      <c r="P2139" s="28"/>
      <c r="Q2139" s="28" t="n">
        <f aca="false">P2139*$M2139</f>
        <v>0</v>
      </c>
      <c r="R2139" s="28"/>
      <c r="S2139" s="28" t="n">
        <f aca="false">R2139*$M2139</f>
        <v>0</v>
      </c>
      <c r="T2139" s="28" t="n">
        <f aca="false">1087/100</f>
        <v>10.87</v>
      </c>
      <c r="U2139" s="28" t="n">
        <v>3370</v>
      </c>
      <c r="V2139" s="28" t="n">
        <f aca="false">285/100</f>
        <v>2.85</v>
      </c>
      <c r="W2139" s="28" t="n">
        <v>883</v>
      </c>
      <c r="X2139" s="29"/>
      <c r="Y2139" s="28" t="n">
        <f aca="false">X2139*$M2139</f>
        <v>0</v>
      </c>
      <c r="Z2139" s="28"/>
      <c r="AA2139" s="28" t="n">
        <f aca="false">Z2139*$M2139</f>
        <v>0</v>
      </c>
      <c r="AB2139" s="28"/>
      <c r="AC2139" s="28" t="n">
        <f aca="false">AB2139*$M2139</f>
        <v>0</v>
      </c>
      <c r="AD2139" s="28"/>
      <c r="AE2139" s="28" t="n">
        <f aca="false">AD2139*$M2139</f>
        <v>0</v>
      </c>
      <c r="AF2139" s="28"/>
      <c r="AG2139" s="28" t="n">
        <f aca="false">AF2139*$M2139</f>
        <v>0</v>
      </c>
      <c r="AH2139" s="28"/>
      <c r="AI2139" s="28" t="n">
        <f aca="false">AH2139*$M2139</f>
        <v>0</v>
      </c>
      <c r="AJ2139" s="28"/>
      <c r="AK2139" s="28" t="n">
        <f aca="false">AJ2139*$M2139</f>
        <v>0</v>
      </c>
      <c r="AL2139" s="28"/>
      <c r="AM2139" s="28" t="n">
        <f aca="false">AL2139*$M2139</f>
        <v>0</v>
      </c>
      <c r="AN2139" s="28"/>
      <c r="AO2139" s="28" t="n">
        <f aca="false">AN2139*$M2139</f>
        <v>0</v>
      </c>
      <c r="AP2139" s="28"/>
      <c r="AQ2139" s="28" t="n">
        <f aca="false">AP2139*$M2139</f>
        <v>0</v>
      </c>
      <c r="AR2139" s="28"/>
      <c r="AS2139" s="28" t="n">
        <f aca="false">AR2139*$M2139</f>
        <v>0</v>
      </c>
      <c r="AT2139" s="28"/>
      <c r="AU2139" s="28" t="n">
        <f aca="false">AT2139*$M2139</f>
        <v>0</v>
      </c>
      <c r="AV2139" s="28"/>
      <c r="AW2139" s="28" t="n">
        <f aca="false">AV2139*$M2139</f>
        <v>0</v>
      </c>
      <c r="AX2139" s="28"/>
      <c r="AY2139" s="28" t="n">
        <f aca="false">AX2139*$M2139</f>
        <v>0</v>
      </c>
      <c r="AZ2139" s="30" t="n">
        <f aca="false">1372/100</f>
        <v>13.72</v>
      </c>
      <c r="BA2139" s="11" t="n">
        <v>4253</v>
      </c>
      <c r="BB2139" s="31" t="n">
        <f aca="false">SUM(Q2139,S2139,U2139,W2139,Y2139,AA2139,AC2139,AE2139,AG2139,AI2139,AK2139,AM2139,AO2139,AQ2139,AS2139,AU2139,AW2139,AY2139)</f>
        <v>4253</v>
      </c>
      <c r="BC2139" s="28" t="n">
        <f aca="false">BA2139-BB2139</f>
        <v>0</v>
      </c>
      <c r="BD2139" s="32" t="n">
        <f aca="false">SUM(P2139,R2139,T2139,V2139,X2139,Z2139,AB2139,AD2139,AF2139,AH2139,AJ2139,AL2139,AN2139,AP2139,AR2139,AT2139,AV2139,AX2139)</f>
        <v>13.72</v>
      </c>
      <c r="BE2139" s="33" t="n">
        <f aca="false">AZ2139-BD2139</f>
        <v>0</v>
      </c>
      <c r="BF2139" s="34" t="n">
        <f aca="false">BD2139*M2139</f>
        <v>4253.2</v>
      </c>
      <c r="BG2139" s="35" t="n">
        <f aca="false">BA2139-BF2139</f>
        <v>-0.199999999999818</v>
      </c>
      <c r="BH2139" s="19" t="str">
        <f aca="false">IF(BG2139=0,"",IF(BG2139&lt;&gt;BA2139,"erreur de calcul",IF(BD2139&lt;&gt;0,"pas de prix",IF(M2139&lt;&gt; 0,"pas de quantité","pas de prix, ni de quantité"))))</f>
        <v>erreur de calcul</v>
      </c>
      <c r="BI2139" s="19"/>
    </row>
    <row r="2140" customFormat="false" ht="15" hidden="false" customHeight="false" outlineLevel="0" collapsed="false">
      <c r="A2140" s="0" t="n">
        <v>32</v>
      </c>
      <c r="B2140" s="8" t="s">
        <v>24</v>
      </c>
      <c r="C2140" s="9" t="s">
        <v>25</v>
      </c>
      <c r="D2140" s="9" t="s">
        <v>26</v>
      </c>
      <c r="E2140" s="10" t="n">
        <v>1789</v>
      </c>
      <c r="F2140" s="9" t="s">
        <v>27</v>
      </c>
      <c r="G2140" s="9" t="s">
        <v>27</v>
      </c>
      <c r="H2140" s="11" t="n">
        <v>18</v>
      </c>
      <c r="I2140" s="11" t="s">
        <v>105</v>
      </c>
      <c r="J2140" s="14" t="n">
        <v>570</v>
      </c>
      <c r="K2140" s="14"/>
      <c r="L2140" s="16"/>
      <c r="M2140" s="27" t="n">
        <f aca="false">J2140+(K2140/20)+(L2140/240)</f>
        <v>570</v>
      </c>
      <c r="N2140" s="17" t="s">
        <v>64</v>
      </c>
      <c r="O2140" s="11"/>
      <c r="P2140" s="28"/>
      <c r="Q2140" s="28" t="n">
        <f aca="false">P2140*$M2140</f>
        <v>0</v>
      </c>
      <c r="R2140" s="28"/>
      <c r="S2140" s="28" t="n">
        <f aca="false">R2140*$M2140</f>
        <v>0</v>
      </c>
      <c r="T2140" s="28" t="n">
        <f aca="false">7423/100</f>
        <v>74.23</v>
      </c>
      <c r="U2140" s="28" t="n">
        <v>42311</v>
      </c>
      <c r="V2140" s="28" t="n">
        <f aca="false">798/100</f>
        <v>7.98</v>
      </c>
      <c r="W2140" s="28" t="n">
        <v>4549</v>
      </c>
      <c r="X2140" s="29" t="n">
        <f aca="false">2068/100</f>
        <v>20.68</v>
      </c>
      <c r="Y2140" s="28" t="n">
        <v>8368</v>
      </c>
      <c r="Z2140" s="28"/>
      <c r="AA2140" s="28" t="n">
        <f aca="false">Z2140*$M2140</f>
        <v>0</v>
      </c>
      <c r="AB2140" s="28" t="n">
        <f aca="false">226/100</f>
        <v>2.26</v>
      </c>
      <c r="AC2140" s="28" t="n">
        <v>1288</v>
      </c>
      <c r="AD2140" s="28"/>
      <c r="AE2140" s="28" t="n">
        <f aca="false">AD2140*$M2140</f>
        <v>0</v>
      </c>
      <c r="AF2140" s="28"/>
      <c r="AG2140" s="28" t="n">
        <f aca="false">AF2140*$M2140</f>
        <v>0</v>
      </c>
      <c r="AH2140" s="28"/>
      <c r="AI2140" s="28" t="n">
        <f aca="false">AH2140*$M2140</f>
        <v>0</v>
      </c>
      <c r="AJ2140" s="28"/>
      <c r="AK2140" s="28" t="n">
        <f aca="false">AJ2140*$M2140</f>
        <v>0</v>
      </c>
      <c r="AL2140" s="28"/>
      <c r="AM2140" s="28" t="n">
        <f aca="false">AL2140*$M2140</f>
        <v>0</v>
      </c>
      <c r="AN2140" s="28"/>
      <c r="AO2140" s="28" t="n">
        <f aca="false">AN2140*$M2140</f>
        <v>0</v>
      </c>
      <c r="AP2140" s="28"/>
      <c r="AQ2140" s="28" t="n">
        <f aca="false">AP2140*$M2140</f>
        <v>0</v>
      </c>
      <c r="AR2140" s="28"/>
      <c r="AS2140" s="28" t="n">
        <f aca="false">AR2140*$M2140</f>
        <v>0</v>
      </c>
      <c r="AT2140" s="28"/>
      <c r="AU2140" s="28" t="n">
        <f aca="false">AT2140*$M2140</f>
        <v>0</v>
      </c>
      <c r="AV2140" s="28"/>
      <c r="AW2140" s="28" t="n">
        <f aca="false">AV2140*$M2140</f>
        <v>0</v>
      </c>
      <c r="AX2140" s="28"/>
      <c r="AY2140" s="28" t="n">
        <f aca="false">AX2140*$M2140</f>
        <v>0</v>
      </c>
      <c r="AZ2140" s="30" t="n">
        <f aca="false">10515/100</f>
        <v>105.15</v>
      </c>
      <c r="BA2140" s="11" t="n">
        <v>56516</v>
      </c>
      <c r="BB2140" s="31" t="n">
        <f aca="false">SUM(Q2140,S2140,U2140,W2140,Y2140,AA2140,AC2140,AE2140,AG2140,AI2140,AK2140,AM2140,AO2140,AQ2140,AS2140,AU2140,AW2140,AY2140)</f>
        <v>56516</v>
      </c>
      <c r="BC2140" s="28" t="n">
        <f aca="false">BA2140-BB2140</f>
        <v>0</v>
      </c>
      <c r="BD2140" s="32" t="n">
        <f aca="false">SUM(P2140,R2140,T2140,V2140,X2140,Z2140,AB2140,AD2140,AF2140,AH2140,AJ2140,AL2140,AN2140,AP2140,AR2140,AT2140,AV2140,AX2140)</f>
        <v>105.15</v>
      </c>
      <c r="BE2140" s="33" t="n">
        <f aca="false">AZ2140-BD2140</f>
        <v>0</v>
      </c>
      <c r="BF2140" s="34" t="n">
        <f aca="false">BD2140*M2140</f>
        <v>59935.5</v>
      </c>
      <c r="BG2140" s="35" t="n">
        <f aca="false">BA2140-BF2140</f>
        <v>-3419.5</v>
      </c>
      <c r="BH2140" s="19" t="str">
        <f aca="false">IF(BG2140=0,"",IF(BG2140&lt;&gt;BA2140,"erreur de calcul",IF(BD2140&lt;&gt;0,"pas de prix",IF(M2140&lt;&gt; 0,"pas de quantité","pas de prix, ni de quantité"))))</f>
        <v>erreur de calcul</v>
      </c>
      <c r="BI2140" s="19"/>
    </row>
    <row r="2141" customFormat="false" ht="15" hidden="false" customHeight="false" outlineLevel="0" collapsed="false">
      <c r="A2141" s="0" t="n">
        <v>33</v>
      </c>
      <c r="B2141" s="8" t="s">
        <v>24</v>
      </c>
      <c r="C2141" s="9" t="s">
        <v>25</v>
      </c>
      <c r="D2141" s="9" t="s">
        <v>26</v>
      </c>
      <c r="E2141" s="10" t="n">
        <v>1789</v>
      </c>
      <c r="F2141" s="9" t="s">
        <v>27</v>
      </c>
      <c r="G2141" s="9" t="s">
        <v>27</v>
      </c>
      <c r="H2141" s="11" t="n">
        <v>18</v>
      </c>
      <c r="I2141" s="11" t="s">
        <v>106</v>
      </c>
      <c r="J2141" s="14"/>
      <c r="K2141" s="14" t="n">
        <v>40</v>
      </c>
      <c r="L2141" s="16"/>
      <c r="M2141" s="27" t="n">
        <f aca="false">J2141+(K2141/20)+(L2141/240)</f>
        <v>2</v>
      </c>
      <c r="N2141" s="17" t="s">
        <v>66</v>
      </c>
      <c r="O2141" s="11"/>
      <c r="P2141" s="28"/>
      <c r="Q2141" s="28" t="n">
        <f aca="false">P2141*$M2141</f>
        <v>0</v>
      </c>
      <c r="R2141" s="28"/>
      <c r="S2141" s="28" t="n">
        <f aca="false">R2141*$M2141</f>
        <v>0</v>
      </c>
      <c r="T2141" s="28"/>
      <c r="U2141" s="28" t="n">
        <f aca="false">T2141*$M2141</f>
        <v>0</v>
      </c>
      <c r="V2141" s="28" t="n">
        <v>892</v>
      </c>
      <c r="W2141" s="28" t="n">
        <v>1784</v>
      </c>
      <c r="X2141" s="29"/>
      <c r="Y2141" s="28" t="n">
        <f aca="false">X2141*$M2141</f>
        <v>0</v>
      </c>
      <c r="Z2141" s="28"/>
      <c r="AA2141" s="28" t="n">
        <f aca="false">Z2141*$M2141</f>
        <v>0</v>
      </c>
      <c r="AB2141" s="28"/>
      <c r="AC2141" s="28" t="n">
        <f aca="false">AB2141*$M2141</f>
        <v>0</v>
      </c>
      <c r="AD2141" s="28"/>
      <c r="AE2141" s="28" t="n">
        <f aca="false">AD2141*$M2141</f>
        <v>0</v>
      </c>
      <c r="AF2141" s="28"/>
      <c r="AG2141" s="28" t="n">
        <f aca="false">AF2141*$M2141</f>
        <v>0</v>
      </c>
      <c r="AH2141" s="28" t="n">
        <v>1961</v>
      </c>
      <c r="AI2141" s="28" t="n">
        <v>3922</v>
      </c>
      <c r="AJ2141" s="28"/>
      <c r="AK2141" s="28" t="n">
        <f aca="false">AJ2141*$M2141</f>
        <v>0</v>
      </c>
      <c r="AL2141" s="28"/>
      <c r="AM2141" s="28" t="n">
        <f aca="false">AL2141*$M2141</f>
        <v>0</v>
      </c>
      <c r="AN2141" s="28"/>
      <c r="AO2141" s="28" t="n">
        <f aca="false">AN2141*$M2141</f>
        <v>0</v>
      </c>
      <c r="AP2141" s="28"/>
      <c r="AQ2141" s="28" t="n">
        <f aca="false">AP2141*$M2141</f>
        <v>0</v>
      </c>
      <c r="AR2141" s="28"/>
      <c r="AS2141" s="28" t="n">
        <f aca="false">AR2141*$M2141</f>
        <v>0</v>
      </c>
      <c r="AT2141" s="28"/>
      <c r="AU2141" s="28" t="n">
        <f aca="false">AT2141*$M2141</f>
        <v>0</v>
      </c>
      <c r="AV2141" s="28"/>
      <c r="AW2141" s="28" t="n">
        <f aca="false">AV2141*$M2141</f>
        <v>0</v>
      </c>
      <c r="AX2141" s="28"/>
      <c r="AY2141" s="28" t="n">
        <f aca="false">AX2141*$M2141</f>
        <v>0</v>
      </c>
      <c r="AZ2141" s="30" t="n">
        <v>2853</v>
      </c>
      <c r="BA2141" s="11" t="n">
        <v>5706</v>
      </c>
      <c r="BB2141" s="31" t="n">
        <f aca="false">SUM(Q2141,S2141,U2141,W2141,Y2141,AA2141,AC2141,AE2141,AG2141,AI2141,AK2141,AM2141,AO2141,AQ2141,AS2141,AU2141,AW2141,AY2141)</f>
        <v>5706</v>
      </c>
      <c r="BC2141" s="28" t="n">
        <f aca="false">BA2141-BB2141</f>
        <v>0</v>
      </c>
      <c r="BD2141" s="32" t="n">
        <f aca="false">SUM(P2141,R2141,T2141,V2141,X2141,Z2141,AB2141,AD2141,AF2141,AH2141,AJ2141,AL2141,AN2141,AP2141,AR2141,AT2141,AV2141,AX2141)</f>
        <v>2853</v>
      </c>
      <c r="BE2141" s="33" t="n">
        <f aca="false">AZ2141-BD2141</f>
        <v>0</v>
      </c>
      <c r="BF2141" s="34" t="n">
        <f aca="false">BD2141*M2141</f>
        <v>5706</v>
      </c>
      <c r="BG2141" s="35" t="n">
        <f aca="false">BA2141-BF2141</f>
        <v>0</v>
      </c>
      <c r="BH2141" s="19" t="str">
        <f aca="false">IF(BG2141=0,"",IF(BG2141&lt;&gt;BA2141,"erreur de calcul",IF(BD2141&lt;&gt;0,"pas de prix",IF(M2141&lt;&gt; 0,"pas de quantité","pas de prix, ni de quantité"))))</f>
        <v/>
      </c>
      <c r="BI2141" s="19"/>
    </row>
    <row r="2142" customFormat="false" ht="15" hidden="false" customHeight="false" outlineLevel="0" collapsed="false">
      <c r="A2142" s="0" t="n">
        <v>34</v>
      </c>
      <c r="B2142" s="8" t="s">
        <v>24</v>
      </c>
      <c r="C2142" s="9" t="s">
        <v>25</v>
      </c>
      <c r="D2142" s="9" t="s">
        <v>26</v>
      </c>
      <c r="E2142" s="10" t="n">
        <v>1789</v>
      </c>
      <c r="F2142" s="9" t="s">
        <v>27</v>
      </c>
      <c r="G2142" s="9" t="s">
        <v>27</v>
      </c>
      <c r="H2142" s="11" t="n">
        <v>18</v>
      </c>
      <c r="I2142" s="11" t="s">
        <v>107</v>
      </c>
      <c r="J2142" s="14" t="n">
        <v>180</v>
      </c>
      <c r="K2142" s="14"/>
      <c r="L2142" s="16"/>
      <c r="M2142" s="27" t="n">
        <f aca="false">J2142+(K2142/20)+(L2142/240)</f>
        <v>180</v>
      </c>
      <c r="N2142" s="17" t="s">
        <v>64</v>
      </c>
      <c r="O2142" s="11"/>
      <c r="P2142" s="28"/>
      <c r="Q2142" s="28" t="n">
        <f aca="false">P2142*$M2142</f>
        <v>0</v>
      </c>
      <c r="R2142" s="28"/>
      <c r="S2142" s="28" t="n">
        <f aca="false">R2142*$M2142</f>
        <v>0</v>
      </c>
      <c r="T2142" s="28"/>
      <c r="U2142" s="28" t="n">
        <f aca="false">T2142*$M2142</f>
        <v>0</v>
      </c>
      <c r="V2142" s="28"/>
      <c r="W2142" s="28" t="n">
        <f aca="false">V2142*$M2142</f>
        <v>0</v>
      </c>
      <c r="X2142" s="29"/>
      <c r="Y2142" s="28" t="n">
        <f aca="false">X2142*$M2142</f>
        <v>0</v>
      </c>
      <c r="Z2142" s="28"/>
      <c r="AA2142" s="28" t="n">
        <f aca="false">Z2142*$M2142</f>
        <v>0</v>
      </c>
      <c r="AB2142" s="28"/>
      <c r="AC2142" s="28" t="n">
        <f aca="false">AB2142*$M2142</f>
        <v>0</v>
      </c>
      <c r="AD2142" s="28"/>
      <c r="AE2142" s="28" t="n">
        <f aca="false">AD2142*$M2142</f>
        <v>0</v>
      </c>
      <c r="AF2142" s="28"/>
      <c r="AG2142" s="28" t="n">
        <f aca="false">AF2142*$M2142</f>
        <v>0</v>
      </c>
      <c r="AH2142" s="28" t="n">
        <f aca="false">28680/100</f>
        <v>286.8</v>
      </c>
      <c r="AI2142" s="28" t="n">
        <v>51624</v>
      </c>
      <c r="AJ2142" s="28"/>
      <c r="AK2142" s="28" t="n">
        <f aca="false">AJ2142*$M2142</f>
        <v>0</v>
      </c>
      <c r="AL2142" s="28"/>
      <c r="AM2142" s="28" t="n">
        <f aca="false">AL2142*$M2142</f>
        <v>0</v>
      </c>
      <c r="AN2142" s="28"/>
      <c r="AO2142" s="28" t="n">
        <f aca="false">AN2142*$M2142</f>
        <v>0</v>
      </c>
      <c r="AP2142" s="28"/>
      <c r="AQ2142" s="28" t="n">
        <f aca="false">AP2142*$M2142</f>
        <v>0</v>
      </c>
      <c r="AR2142" s="28"/>
      <c r="AS2142" s="28" t="n">
        <f aca="false">AR2142*$M2142</f>
        <v>0</v>
      </c>
      <c r="AT2142" s="28"/>
      <c r="AU2142" s="28" t="n">
        <f aca="false">AT2142*$M2142</f>
        <v>0</v>
      </c>
      <c r="AV2142" s="28"/>
      <c r="AW2142" s="28" t="n">
        <f aca="false">AV2142*$M2142</f>
        <v>0</v>
      </c>
      <c r="AX2142" s="28"/>
      <c r="AY2142" s="28" t="n">
        <f aca="false">AX2142*$M2142</f>
        <v>0</v>
      </c>
      <c r="AZ2142" s="30" t="n">
        <f aca="false">28680/100</f>
        <v>286.8</v>
      </c>
      <c r="BA2142" s="11" t="n">
        <v>51624</v>
      </c>
      <c r="BB2142" s="31" t="n">
        <f aca="false">SUM(Q2142,S2142,U2142,W2142,Y2142,AA2142,AC2142,AE2142,AG2142,AI2142,AK2142,AM2142,AO2142,AQ2142,AS2142,AU2142,AW2142,AY2142)</f>
        <v>51624</v>
      </c>
      <c r="BC2142" s="28" t="n">
        <f aca="false">BA2142-BB2142</f>
        <v>0</v>
      </c>
      <c r="BD2142" s="32" t="n">
        <f aca="false">SUM(P2142,R2142,T2142,V2142,X2142,Z2142,AB2142,AD2142,AF2142,AH2142,AJ2142,AL2142,AN2142,AP2142,AR2142,AT2142,AV2142,AX2142)</f>
        <v>286.8</v>
      </c>
      <c r="BE2142" s="33" t="n">
        <f aca="false">AZ2142-BD2142</f>
        <v>0</v>
      </c>
      <c r="BF2142" s="34" t="n">
        <f aca="false">BD2142*M2142</f>
        <v>51624</v>
      </c>
      <c r="BG2142" s="35" t="n">
        <f aca="false">BA2142-BF2142</f>
        <v>0</v>
      </c>
      <c r="BH2142" s="19" t="str">
        <f aca="false">IF(BG2142=0,"",IF(BG2142&lt;&gt;BA2142,"erreur de calcul",IF(BD2142&lt;&gt;0,"pas de prix",IF(M2142&lt;&gt; 0,"pas de quantité","pas de prix, ni de quantité"))))</f>
        <v/>
      </c>
      <c r="BI2142" s="19"/>
    </row>
    <row r="2143" customFormat="false" ht="15" hidden="false" customHeight="false" outlineLevel="0" collapsed="false">
      <c r="A2143" s="0" t="n">
        <v>35</v>
      </c>
      <c r="B2143" s="8" t="s">
        <v>24</v>
      </c>
      <c r="C2143" s="9" t="s">
        <v>25</v>
      </c>
      <c r="D2143" s="9" t="s">
        <v>26</v>
      </c>
      <c r="E2143" s="10" t="n">
        <v>1789</v>
      </c>
      <c r="F2143" s="9" t="s">
        <v>27</v>
      </c>
      <c r="G2143" s="9" t="s">
        <v>27</v>
      </c>
      <c r="H2143" s="11" t="n">
        <v>18</v>
      </c>
      <c r="I2143" s="11" t="s">
        <v>108</v>
      </c>
      <c r="J2143" s="14" t="n">
        <v>11</v>
      </c>
      <c r="K2143" s="14"/>
      <c r="L2143" s="16"/>
      <c r="M2143" s="27" t="n">
        <f aca="false">J2143+(K2143/20)+(L2143/240)</f>
        <v>11</v>
      </c>
      <c r="N2143" s="17" t="s">
        <v>64</v>
      </c>
      <c r="O2143" s="11" t="s">
        <v>109</v>
      </c>
      <c r="P2143" s="28"/>
      <c r="Q2143" s="28" t="n">
        <f aca="false">P2143*$M2143</f>
        <v>0</v>
      </c>
      <c r="R2143" s="28"/>
      <c r="S2143" s="28" t="n">
        <f aca="false">R2143*$M2143</f>
        <v>0</v>
      </c>
      <c r="T2143" s="28"/>
      <c r="U2143" s="28" t="n">
        <f aca="false">T2143*$M2143</f>
        <v>0</v>
      </c>
      <c r="V2143" s="28"/>
      <c r="W2143" s="28" t="n">
        <f aca="false">V2143*$M2143</f>
        <v>0</v>
      </c>
      <c r="X2143" s="29"/>
      <c r="Y2143" s="28" t="n">
        <f aca="false">X2143*$M2143</f>
        <v>0</v>
      </c>
      <c r="Z2143" s="28"/>
      <c r="AA2143" s="28" t="n">
        <f aca="false">Z2143*$M2143</f>
        <v>0</v>
      </c>
      <c r="AB2143" s="28"/>
      <c r="AC2143" s="28" t="n">
        <f aca="false">AB2143*$M2143</f>
        <v>0</v>
      </c>
      <c r="AD2143" s="28"/>
      <c r="AE2143" s="28" t="n">
        <f aca="false">AD2143*$M2143</f>
        <v>0</v>
      </c>
      <c r="AF2143" s="28"/>
      <c r="AG2143" s="28" t="n">
        <f aca="false">AF2143*$M2143</f>
        <v>0</v>
      </c>
      <c r="AH2143" s="28"/>
      <c r="AI2143" s="28" t="n">
        <f aca="false">AH2143*$M2143</f>
        <v>0</v>
      </c>
      <c r="AJ2143" s="28" t="n">
        <f aca="false">1784/100</f>
        <v>17.84</v>
      </c>
      <c r="AK2143" s="28" t="n">
        <v>196</v>
      </c>
      <c r="AL2143" s="28" t="n">
        <f aca="false">7942/100</f>
        <v>79.42</v>
      </c>
      <c r="AM2143" s="28" t="n">
        <v>874</v>
      </c>
      <c r="AN2143" s="28"/>
      <c r="AO2143" s="28" t="n">
        <f aca="false">AN2143*$M2143</f>
        <v>0</v>
      </c>
      <c r="AP2143" s="28" t="n">
        <f aca="false">13980/100</f>
        <v>139.8</v>
      </c>
      <c r="AQ2143" s="28" t="n">
        <v>1538</v>
      </c>
      <c r="AR2143" s="28" t="n">
        <f aca="false">96390/100</f>
        <v>963.9</v>
      </c>
      <c r="AS2143" s="28" t="n">
        <v>10603</v>
      </c>
      <c r="AT2143" s="28"/>
      <c r="AU2143" s="28" t="n">
        <f aca="false">AT2143*$M2143</f>
        <v>0</v>
      </c>
      <c r="AV2143" s="28"/>
      <c r="AW2143" s="28" t="n">
        <f aca="false">AV2143*$M2143</f>
        <v>0</v>
      </c>
      <c r="AX2143" s="28"/>
      <c r="AY2143" s="28" t="n">
        <f aca="false">AX2143*$M2143</f>
        <v>0</v>
      </c>
      <c r="AZ2143" s="30" t="n">
        <f aca="false">120096/100</f>
        <v>1200.96</v>
      </c>
      <c r="BA2143" s="11" t="n">
        <v>13211</v>
      </c>
      <c r="BB2143" s="31" t="n">
        <f aca="false">SUM(Q2143,S2143,U2143,W2143,Y2143,AA2143,AC2143,AE2143,AG2143,AI2143,AK2143,AM2143,AO2143,AQ2143,AS2143,AU2143,AW2143,AY2143)</f>
        <v>13211</v>
      </c>
      <c r="BC2143" s="28" t="n">
        <f aca="false">BA2143-BB2143</f>
        <v>0</v>
      </c>
      <c r="BD2143" s="32" t="n">
        <f aca="false">SUM(P2143,R2143,T2143,V2143,X2143,Z2143,AB2143,AD2143,AF2143,AH2143,AJ2143,AL2143,AN2143,AP2143,AR2143,AT2143,AV2143,AX2143)</f>
        <v>1200.96</v>
      </c>
      <c r="BE2143" s="33" t="n">
        <f aca="false">AZ2143-BD2143</f>
        <v>0</v>
      </c>
      <c r="BF2143" s="34" t="n">
        <f aca="false">BD2143*M2143</f>
        <v>13210.56</v>
      </c>
      <c r="BG2143" s="35" t="n">
        <f aca="false">BA2143-BF2143</f>
        <v>0.43999999999869</v>
      </c>
      <c r="BH2143" s="19" t="str">
        <f aca="false">IF(BG2143=0,"",IF(BG2143&lt;&gt;BA2143,"erreur de calcul",IF(BD2143&lt;&gt;0,"pas de prix",IF(M2143&lt;&gt; 0,"pas de quantité","pas de prix, ni de quantité"))))</f>
        <v>erreur de calcul</v>
      </c>
      <c r="BI2143" s="19"/>
    </row>
    <row r="2144" customFormat="false" ht="15" hidden="false" customHeight="false" outlineLevel="0" collapsed="false">
      <c r="A2144" s="0" t="n">
        <v>36</v>
      </c>
      <c r="B2144" s="8" t="s">
        <v>24</v>
      </c>
      <c r="C2144" s="9" t="s">
        <v>25</v>
      </c>
      <c r="D2144" s="9" t="s">
        <v>26</v>
      </c>
      <c r="E2144" s="10" t="n">
        <v>1789</v>
      </c>
      <c r="F2144" s="9" t="s">
        <v>27</v>
      </c>
      <c r="G2144" s="9" t="s">
        <v>27</v>
      </c>
      <c r="H2144" s="11" t="n">
        <v>18</v>
      </c>
      <c r="I2144" s="11" t="s">
        <v>110</v>
      </c>
      <c r="J2144" s="14" t="n">
        <v>12</v>
      </c>
      <c r="K2144" s="14"/>
      <c r="L2144" s="16"/>
      <c r="M2144" s="27" t="n">
        <f aca="false">J2144+(K2144/20)+(L2144/240)</f>
        <v>12</v>
      </c>
      <c r="N2144" s="17" t="s">
        <v>64</v>
      </c>
      <c r="O2144" s="11" t="s">
        <v>109</v>
      </c>
      <c r="P2144" s="28" t="n">
        <f aca="false">30663/100</f>
        <v>306.63</v>
      </c>
      <c r="Q2144" s="28" t="n">
        <v>3679</v>
      </c>
      <c r="R2144" s="28"/>
      <c r="S2144" s="28" t="n">
        <f aca="false">R2144*$M2144</f>
        <v>0</v>
      </c>
      <c r="T2144" s="28"/>
      <c r="U2144" s="28" t="n">
        <f aca="false">T2144*$M2144</f>
        <v>0</v>
      </c>
      <c r="V2144" s="28"/>
      <c r="W2144" s="28" t="n">
        <f aca="false">V2144*$M2144</f>
        <v>0</v>
      </c>
      <c r="X2144" s="29"/>
      <c r="Y2144" s="28" t="n">
        <f aca="false">X2144*$M2144</f>
        <v>0</v>
      </c>
      <c r="Z2144" s="28"/>
      <c r="AA2144" s="28" t="n">
        <f aca="false">Z2144*$M2144</f>
        <v>0</v>
      </c>
      <c r="AB2144" s="28"/>
      <c r="AC2144" s="28" t="n">
        <f aca="false">AB2144*$M2144</f>
        <v>0</v>
      </c>
      <c r="AD2144" s="28"/>
      <c r="AE2144" s="28" t="n">
        <f aca="false">AD2144*$M2144</f>
        <v>0</v>
      </c>
      <c r="AF2144" s="28"/>
      <c r="AG2144" s="28" t="n">
        <f aca="false">AF2144*$M2144</f>
        <v>0</v>
      </c>
      <c r="AH2144" s="28"/>
      <c r="AI2144" s="28" t="n">
        <f aca="false">AH2144*$M2144</f>
        <v>0</v>
      </c>
      <c r="AJ2144" s="28"/>
      <c r="AK2144" s="28" t="n">
        <f aca="false">AJ2144*$M2144</f>
        <v>0</v>
      </c>
      <c r="AL2144" s="28" t="n">
        <f aca="false">114207/100</f>
        <v>1142.07</v>
      </c>
      <c r="AM2144" s="28" t="n">
        <v>13705</v>
      </c>
      <c r="AN2144" s="28" t="n">
        <f aca="false">2100/100</f>
        <v>21</v>
      </c>
      <c r="AO2144" s="28" t="n">
        <v>252</v>
      </c>
      <c r="AP2144" s="28" t="n">
        <f aca="false">16107/100</f>
        <v>161.07</v>
      </c>
      <c r="AQ2144" s="28" t="n">
        <v>1933</v>
      </c>
      <c r="AR2144" s="28" t="n">
        <f aca="false">553069/100</f>
        <v>5530.69</v>
      </c>
      <c r="AS2144" s="28" t="n">
        <v>66368</v>
      </c>
      <c r="AT2144" s="28" t="n">
        <f aca="false">6160/100</f>
        <v>61.6</v>
      </c>
      <c r="AU2144" s="28" t="n">
        <v>739</v>
      </c>
      <c r="AV2144" s="28" t="n">
        <f aca="false">2640/100</f>
        <v>26.4</v>
      </c>
      <c r="AW2144" s="28" t="n">
        <v>317</v>
      </c>
      <c r="AX2144" s="28" t="n">
        <f aca="false">8767/100</f>
        <v>87.67</v>
      </c>
      <c r="AY2144" s="36" t="n">
        <v>1085</v>
      </c>
      <c r="AZ2144" s="30" t="n">
        <f aca="false">733753/100</f>
        <v>7337.53</v>
      </c>
      <c r="BA2144" s="11" t="n">
        <v>88078</v>
      </c>
      <c r="BB2144" s="31" t="n">
        <f aca="false">SUM(Q2144,S2144,U2144,W2144,Y2144,AA2144,AC2144,AE2144,AG2144,AI2144,AK2144,AM2144,AO2144,AQ2144,AS2144,AU2144,AW2144,AY2144)</f>
        <v>88078</v>
      </c>
      <c r="BC2144" s="28" t="n">
        <f aca="false">BA2144-BB2144</f>
        <v>0</v>
      </c>
      <c r="BD2144" s="32" t="n">
        <f aca="false">SUM(P2144,R2144,T2144,V2144,X2144,Z2144,AB2144,AD2144,AF2144,AH2144,AJ2144,AL2144,AN2144,AP2144,AR2144,AT2144,AV2144,AX2144)</f>
        <v>7337.13</v>
      </c>
      <c r="BE2144" s="33" t="n">
        <f aca="false">AZ2144-BD2144</f>
        <v>0.400000000000546</v>
      </c>
      <c r="BF2144" s="34" t="n">
        <f aca="false">BD2144*M2144</f>
        <v>88045.56</v>
      </c>
      <c r="BG2144" s="35" t="n">
        <f aca="false">BA2144-BF2144</f>
        <v>32.4400000000023</v>
      </c>
      <c r="BH2144" s="19" t="str">
        <f aca="false">IF(BG2144=0,"",IF(BG2144&lt;&gt;BA2144,"erreur de calcul",IF(BD2144&lt;&gt;0,"pas de prix",IF(M2144&lt;&gt; 0,"pas de quantité","pas de prix, ni de quantité"))))</f>
        <v>erreur de calcul</v>
      </c>
      <c r="BI2144" s="19"/>
    </row>
    <row r="2145" customFormat="false" ht="15" hidden="false" customHeight="false" outlineLevel="0" collapsed="false">
      <c r="A2145" s="0" t="n">
        <v>37</v>
      </c>
      <c r="B2145" s="8" t="s">
        <v>24</v>
      </c>
      <c r="C2145" s="9" t="s">
        <v>25</v>
      </c>
      <c r="D2145" s="9" t="s">
        <v>26</v>
      </c>
      <c r="E2145" s="10" t="n">
        <v>1789</v>
      </c>
      <c r="F2145" s="9" t="s">
        <v>27</v>
      </c>
      <c r="G2145" s="9" t="s">
        <v>27</v>
      </c>
      <c r="H2145" s="11" t="n">
        <v>18</v>
      </c>
      <c r="I2145" s="11" t="s">
        <v>111</v>
      </c>
      <c r="J2145" s="14" t="n">
        <v>10</v>
      </c>
      <c r="K2145" s="14"/>
      <c r="L2145" s="16"/>
      <c r="M2145" s="27" t="n">
        <f aca="false">J2145+(K2145/20)+(L2145/240)</f>
        <v>10</v>
      </c>
      <c r="N2145" s="17" t="s">
        <v>64</v>
      </c>
      <c r="O2145" s="11"/>
      <c r="P2145" s="28"/>
      <c r="Q2145" s="28" t="n">
        <f aca="false">P2145*$M2145</f>
        <v>0</v>
      </c>
      <c r="R2145" s="28"/>
      <c r="S2145" s="28" t="n">
        <f aca="false">R2145*$M2145</f>
        <v>0</v>
      </c>
      <c r="T2145" s="28"/>
      <c r="U2145" s="28" t="n">
        <f aca="false">T2145*$M2145</f>
        <v>0</v>
      </c>
      <c r="V2145" s="28"/>
      <c r="W2145" s="28" t="n">
        <f aca="false">V2145*$M2145</f>
        <v>0</v>
      </c>
      <c r="X2145" s="29"/>
      <c r="Y2145" s="28" t="n">
        <f aca="false">X2145*$M2145</f>
        <v>0</v>
      </c>
      <c r="Z2145" s="28"/>
      <c r="AA2145" s="28" t="n">
        <f aca="false">Z2145*$M2145</f>
        <v>0</v>
      </c>
      <c r="AB2145" s="28"/>
      <c r="AC2145" s="28" t="n">
        <f aca="false">AB2145*$M2145</f>
        <v>0</v>
      </c>
      <c r="AD2145" s="28"/>
      <c r="AE2145" s="28" t="n">
        <f aca="false">AD2145*$M2145</f>
        <v>0</v>
      </c>
      <c r="AF2145" s="28"/>
      <c r="AG2145" s="28" t="n">
        <f aca="false">AF2145*$M2145</f>
        <v>0</v>
      </c>
      <c r="AH2145" s="28"/>
      <c r="AI2145" s="28" t="n">
        <f aca="false">AH2145*$M2145</f>
        <v>0</v>
      </c>
      <c r="AJ2145" s="28"/>
      <c r="AK2145" s="28" t="n">
        <f aca="false">AJ2145*$M2145</f>
        <v>0</v>
      </c>
      <c r="AL2145" s="28"/>
      <c r="AM2145" s="28" t="n">
        <f aca="false">AL2145*$M2145</f>
        <v>0</v>
      </c>
      <c r="AN2145" s="28"/>
      <c r="AO2145" s="28" t="n">
        <f aca="false">AN2145*$M2145</f>
        <v>0</v>
      </c>
      <c r="AP2145" s="28"/>
      <c r="AQ2145" s="28" t="n">
        <f aca="false">AP2145*$M2145</f>
        <v>0</v>
      </c>
      <c r="AR2145" s="28"/>
      <c r="AS2145" s="28" t="n">
        <f aca="false">AR2145*$M2145</f>
        <v>0</v>
      </c>
      <c r="AT2145" s="28"/>
      <c r="AU2145" s="28" t="n">
        <f aca="false">AT2145*$M2145</f>
        <v>0</v>
      </c>
      <c r="AV2145" s="28"/>
      <c r="AW2145" s="28" t="n">
        <f aca="false">AV2145*$M2145</f>
        <v>0</v>
      </c>
      <c r="AX2145" s="28" t="n">
        <f aca="false">16133/100</f>
        <v>161.33</v>
      </c>
      <c r="AY2145" s="28" t="n">
        <v>1613</v>
      </c>
      <c r="AZ2145" s="30"/>
      <c r="BA2145" s="11" t="n">
        <v>1613</v>
      </c>
      <c r="BB2145" s="31" t="n">
        <f aca="false">SUM(Q2145,S2145,U2145,W2145,Y2145,AA2145,AC2145,AE2145,AG2145,AI2145,AK2145,AM2145,AO2145,AQ2145,AS2145,AU2145,AW2145,AY2145)</f>
        <v>1613</v>
      </c>
      <c r="BC2145" s="28" t="n">
        <f aca="false">BA2145-BB2145</f>
        <v>0</v>
      </c>
      <c r="BD2145" s="32" t="n">
        <f aca="false">SUM(P2145,R2145,T2145,V2145,X2145,Z2145,AB2145,AD2145,AF2145,AH2145,AJ2145,AL2145,AN2145,AP2145,AR2145,AT2145,AV2145,AX2145)</f>
        <v>161.33</v>
      </c>
      <c r="BE2145" s="33" t="n">
        <f aca="false">AZ2145-BD2145</f>
        <v>-161.33</v>
      </c>
      <c r="BF2145" s="34" t="n">
        <f aca="false">BD2145*M2145</f>
        <v>1613.3</v>
      </c>
      <c r="BG2145" s="35" t="n">
        <f aca="false">BA2145-BF2145</f>
        <v>-0.300000000000182</v>
      </c>
      <c r="BH2145" s="19" t="str">
        <f aca="false">IF(BG2145=0,"",IF(BG2145&lt;&gt;BA2145,"erreur de calcul",IF(BD2145&lt;&gt;0,"pas de prix",IF(M2145&lt;&gt; 0,"pas de quantité","pas de prix, ni de quantité"))))</f>
        <v>erreur de calcul</v>
      </c>
      <c r="BI2145" s="19"/>
    </row>
    <row r="2146" customFormat="false" ht="15" hidden="false" customHeight="false" outlineLevel="0" collapsed="false">
      <c r="A2146" s="0" t="n">
        <v>38</v>
      </c>
      <c r="B2146" s="8" t="s">
        <v>24</v>
      </c>
      <c r="C2146" s="9" t="s">
        <v>25</v>
      </c>
      <c r="D2146" s="9" t="s">
        <v>26</v>
      </c>
      <c r="E2146" s="10" t="n">
        <v>1789</v>
      </c>
      <c r="F2146" s="9" t="s">
        <v>27</v>
      </c>
      <c r="G2146" s="9" t="s">
        <v>27</v>
      </c>
      <c r="H2146" s="11" t="n">
        <v>18</v>
      </c>
      <c r="I2146" s="11" t="s">
        <v>112</v>
      </c>
      <c r="J2146" s="14" t="n">
        <v>100</v>
      </c>
      <c r="K2146" s="14"/>
      <c r="L2146" s="16"/>
      <c r="M2146" s="27" t="n">
        <f aca="false">J2146+(K2146/20)+(L2146/240)</f>
        <v>100</v>
      </c>
      <c r="N2146" s="17" t="s">
        <v>64</v>
      </c>
      <c r="O2146" s="11"/>
      <c r="P2146" s="28" t="n">
        <f aca="false">69730/100</f>
        <v>697.3</v>
      </c>
      <c r="Q2146" s="28" t="n">
        <v>69730</v>
      </c>
      <c r="R2146" s="28"/>
      <c r="S2146" s="28" t="n">
        <f aca="false">R2146*$M2146</f>
        <v>0</v>
      </c>
      <c r="T2146" s="28"/>
      <c r="U2146" s="28" t="n">
        <f aca="false">T2146*$M2146</f>
        <v>0</v>
      </c>
      <c r="V2146" s="28"/>
      <c r="W2146" s="28" t="n">
        <f aca="false">V2146*$M2146</f>
        <v>0</v>
      </c>
      <c r="X2146" s="29"/>
      <c r="Y2146" s="28" t="n">
        <f aca="false">X2146*$M2146</f>
        <v>0</v>
      </c>
      <c r="Z2146" s="28"/>
      <c r="AA2146" s="28" t="n">
        <f aca="false">Z2146*$M2146</f>
        <v>0</v>
      </c>
      <c r="AB2146" s="28"/>
      <c r="AC2146" s="28" t="n">
        <f aca="false">AB2146*$M2146</f>
        <v>0</v>
      </c>
      <c r="AD2146" s="28"/>
      <c r="AE2146" s="28" t="n">
        <f aca="false">AD2146*$M2146</f>
        <v>0</v>
      </c>
      <c r="AF2146" s="28"/>
      <c r="AG2146" s="28" t="n">
        <f aca="false">AF2146*$M2146</f>
        <v>0</v>
      </c>
      <c r="AH2146" s="28"/>
      <c r="AI2146" s="28" t="n">
        <f aca="false">AH2146*$M2146</f>
        <v>0</v>
      </c>
      <c r="AJ2146" s="28"/>
      <c r="AK2146" s="28" t="n">
        <f aca="false">AJ2146*$M2146</f>
        <v>0</v>
      </c>
      <c r="AL2146" s="28"/>
      <c r="AM2146" s="28" t="n">
        <f aca="false">AL2146*$M2146</f>
        <v>0</v>
      </c>
      <c r="AN2146" s="28"/>
      <c r="AO2146" s="28" t="n">
        <f aca="false">AN2146*$M2146</f>
        <v>0</v>
      </c>
      <c r="AP2146" s="28"/>
      <c r="AQ2146" s="28" t="n">
        <f aca="false">AP2146*$M2146</f>
        <v>0</v>
      </c>
      <c r="AR2146" s="28"/>
      <c r="AS2146" s="28" t="n">
        <f aca="false">AR2146*$M2146</f>
        <v>0</v>
      </c>
      <c r="AT2146" s="28"/>
      <c r="AU2146" s="28" t="n">
        <f aca="false">AT2146*$M2146</f>
        <v>0</v>
      </c>
      <c r="AV2146" s="28"/>
      <c r="AW2146" s="28" t="n">
        <f aca="false">AV2146*$M2146</f>
        <v>0</v>
      </c>
      <c r="AX2146" s="28"/>
      <c r="AY2146" s="28" t="n">
        <f aca="false">AX2146*$M2146</f>
        <v>0</v>
      </c>
      <c r="AZ2146" s="30" t="n">
        <f aca="false">69730/100</f>
        <v>697.3</v>
      </c>
      <c r="BA2146" s="11" t="n">
        <v>69730</v>
      </c>
      <c r="BB2146" s="31" t="n">
        <f aca="false">SUM(Q2146,S2146,U2146,W2146,Y2146,AA2146,AC2146,AE2146,AG2146,AI2146,AK2146,AM2146,AO2146,AQ2146,AS2146,AU2146,AW2146,AY2146)</f>
        <v>69730</v>
      </c>
      <c r="BC2146" s="28" t="n">
        <f aca="false">BA2146-BB2146</f>
        <v>0</v>
      </c>
      <c r="BD2146" s="32" t="n">
        <f aca="false">SUM(P2146,R2146,T2146,V2146,X2146,Z2146,AB2146,AD2146,AF2146,AH2146,AJ2146,AL2146,AN2146,AP2146,AR2146,AT2146,AV2146,AX2146)</f>
        <v>697.3</v>
      </c>
      <c r="BE2146" s="33" t="n">
        <f aca="false">AZ2146-BD2146</f>
        <v>0</v>
      </c>
      <c r="BF2146" s="34" t="n">
        <f aca="false">BD2146*M2146</f>
        <v>69730</v>
      </c>
      <c r="BG2146" s="35" t="n">
        <f aca="false">BA2146-BF2146</f>
        <v>0</v>
      </c>
      <c r="BH2146" s="19" t="str">
        <f aca="false">IF(BG2146=0,"",IF(BG2146&lt;&gt;BA2146,"erreur de calcul",IF(BD2146&lt;&gt;0,"pas de prix",IF(M2146&lt;&gt; 0,"pas de quantité","pas de prix, ni de quantité"))))</f>
        <v/>
      </c>
      <c r="BI2146" s="19" t="s">
        <v>113</v>
      </c>
    </row>
    <row r="2147" customFormat="false" ht="15" hidden="false" customHeight="false" outlineLevel="0" collapsed="false">
      <c r="A2147" s="0" t="n">
        <v>39</v>
      </c>
      <c r="B2147" s="8" t="s">
        <v>24</v>
      </c>
      <c r="C2147" s="9" t="s">
        <v>25</v>
      </c>
      <c r="D2147" s="9" t="s">
        <v>26</v>
      </c>
      <c r="E2147" s="10" t="n">
        <v>1789</v>
      </c>
      <c r="F2147" s="9" t="s">
        <v>27</v>
      </c>
      <c r="G2147" s="9" t="s">
        <v>27</v>
      </c>
      <c r="H2147" s="11" t="n">
        <v>18</v>
      </c>
      <c r="I2147" s="11" t="s">
        <v>112</v>
      </c>
      <c r="J2147" s="14" t="n">
        <v>50</v>
      </c>
      <c r="K2147" s="14"/>
      <c r="L2147" s="16"/>
      <c r="M2147" s="27" t="n">
        <f aca="false">J2147+(K2147/20)+(L2147/240)</f>
        <v>50</v>
      </c>
      <c r="N2147" s="17" t="s">
        <v>64</v>
      </c>
      <c r="O2147" s="11"/>
      <c r="P2147" s="28"/>
      <c r="Q2147" s="28" t="n">
        <f aca="false">P2147*$M2147</f>
        <v>0</v>
      </c>
      <c r="R2147" s="28"/>
      <c r="S2147" s="28" t="n">
        <f aca="false">R2147*$M2147</f>
        <v>0</v>
      </c>
      <c r="T2147" s="28"/>
      <c r="U2147" s="28" t="n">
        <f aca="false">T2147*$M2147</f>
        <v>0</v>
      </c>
      <c r="V2147" s="28" t="n">
        <f aca="false">38043/100</f>
        <v>380.43</v>
      </c>
      <c r="W2147" s="28" t="n">
        <v>19021</v>
      </c>
      <c r="X2147" s="29" t="n">
        <f aca="false">10658/100</f>
        <v>106.58</v>
      </c>
      <c r="Y2147" s="28" t="n">
        <v>5329</v>
      </c>
      <c r="Z2147" s="28"/>
      <c r="AA2147" s="28" t="n">
        <f aca="false">Z2147*$M2147</f>
        <v>0</v>
      </c>
      <c r="AB2147" s="28"/>
      <c r="AC2147" s="28" t="n">
        <f aca="false">AB2147*$M2147</f>
        <v>0</v>
      </c>
      <c r="AD2147" s="28"/>
      <c r="AE2147" s="28" t="n">
        <f aca="false">AD2147*$M2147</f>
        <v>0</v>
      </c>
      <c r="AF2147" s="28"/>
      <c r="AG2147" s="28" t="n">
        <f aca="false">AF2147*$M2147</f>
        <v>0</v>
      </c>
      <c r="AH2147" s="28"/>
      <c r="AI2147" s="28" t="n">
        <f aca="false">AH2147*$M2147</f>
        <v>0</v>
      </c>
      <c r="AJ2147" s="28" t="n">
        <f aca="false">39321/100</f>
        <v>393.21</v>
      </c>
      <c r="AK2147" s="28" t="n">
        <v>19660</v>
      </c>
      <c r="AL2147" s="28"/>
      <c r="AM2147" s="28" t="n">
        <f aca="false">AL2147*$M2147</f>
        <v>0</v>
      </c>
      <c r="AN2147" s="28"/>
      <c r="AO2147" s="28" t="n">
        <f aca="false">AN2147*$M2147</f>
        <v>0</v>
      </c>
      <c r="AP2147" s="28"/>
      <c r="AQ2147" s="28" t="n">
        <f aca="false">AP2147*$M2147</f>
        <v>0</v>
      </c>
      <c r="AR2147" s="28"/>
      <c r="AS2147" s="28" t="n">
        <f aca="false">AR2147*$M2147</f>
        <v>0</v>
      </c>
      <c r="AT2147" s="28"/>
      <c r="AU2147" s="28" t="n">
        <f aca="false">AT2147*$M2147</f>
        <v>0</v>
      </c>
      <c r="AV2147" s="28"/>
      <c r="AW2147" s="28" t="n">
        <f aca="false">AV2147*$M2147</f>
        <v>0</v>
      </c>
      <c r="AX2147" s="28"/>
      <c r="AY2147" s="28" t="n">
        <f aca="false">AX2147*$M2147</f>
        <v>0</v>
      </c>
      <c r="AZ2147" s="30" t="n">
        <f aca="false">88022/100</f>
        <v>880.22</v>
      </c>
      <c r="BA2147" s="11" t="n">
        <v>44010</v>
      </c>
      <c r="BB2147" s="31" t="n">
        <f aca="false">SUM(Q2147,S2147,U2147,W2147,Y2147,AA2147,AC2147,AE2147,AG2147,AI2147,AK2147,AM2147,AO2147,AQ2147,AS2147,AU2147,AW2147,AY2147)</f>
        <v>44010</v>
      </c>
      <c r="BC2147" s="28" t="n">
        <f aca="false">BA2147-BB2147</f>
        <v>0</v>
      </c>
      <c r="BD2147" s="32" t="n">
        <f aca="false">SUM(P2147,R2147,T2147,V2147,X2147,Z2147,AB2147,AD2147,AF2147,AH2147,AJ2147,AL2147,AN2147,AP2147,AR2147,AT2147,AV2147,AX2147)</f>
        <v>880.22</v>
      </c>
      <c r="BE2147" s="33" t="n">
        <f aca="false">AZ2147-BD2147</f>
        <v>0</v>
      </c>
      <c r="BF2147" s="34" t="n">
        <f aca="false">BD2147*M2147</f>
        <v>44011</v>
      </c>
      <c r="BG2147" s="35" t="n">
        <f aca="false">BA2147-BF2147</f>
        <v>-1</v>
      </c>
      <c r="BH2147" s="19" t="str">
        <f aca="false">IF(BG2147=0,"",IF(BG2147&lt;&gt;BA2147,"erreur de calcul",IF(BD2147&lt;&gt;0,"pas de prix",IF(M2147&lt;&gt; 0,"pas de quantité","pas de prix, ni de quantité"))))</f>
        <v>erreur de calcul</v>
      </c>
      <c r="BI2147" s="19" t="s">
        <v>114</v>
      </c>
    </row>
    <row r="2148" customFormat="false" ht="15" hidden="false" customHeight="false" outlineLevel="0" collapsed="false">
      <c r="A2148" s="0" t="n">
        <v>40</v>
      </c>
      <c r="B2148" s="8" t="s">
        <v>24</v>
      </c>
      <c r="C2148" s="9" t="s">
        <v>25</v>
      </c>
      <c r="D2148" s="9" t="s">
        <v>26</v>
      </c>
      <c r="E2148" s="10" t="n">
        <v>1789</v>
      </c>
      <c r="F2148" s="9" t="s">
        <v>27</v>
      </c>
      <c r="G2148" s="9" t="s">
        <v>27</v>
      </c>
      <c r="H2148" s="11" t="n">
        <v>18</v>
      </c>
      <c r="I2148" s="11" t="s">
        <v>115</v>
      </c>
      <c r="J2148" s="14"/>
      <c r="K2148" s="14" t="n">
        <v>28</v>
      </c>
      <c r="L2148" s="16"/>
      <c r="M2148" s="27" t="n">
        <f aca="false">J2148+(K2148/20)+(L2148/240)</f>
        <v>1.4</v>
      </c>
      <c r="N2148" s="17" t="s">
        <v>66</v>
      </c>
      <c r="O2148" s="11" t="s">
        <v>98</v>
      </c>
      <c r="P2148" s="28"/>
      <c r="Q2148" s="28" t="n">
        <f aca="false">P2148*$M2148</f>
        <v>0</v>
      </c>
      <c r="R2148" s="28"/>
      <c r="S2148" s="28" t="n">
        <f aca="false">R2148*$M2148</f>
        <v>0</v>
      </c>
      <c r="T2148" s="28" t="n">
        <v>426</v>
      </c>
      <c r="U2148" s="28" t="n">
        <v>596</v>
      </c>
      <c r="V2148" s="28"/>
      <c r="W2148" s="28" t="n">
        <f aca="false">V2148*$M2148</f>
        <v>0</v>
      </c>
      <c r="X2148" s="29"/>
      <c r="Y2148" s="28" t="n">
        <f aca="false">X2148*$M2148</f>
        <v>0</v>
      </c>
      <c r="Z2148" s="28"/>
      <c r="AA2148" s="28" t="n">
        <f aca="false">Z2148*$M2148</f>
        <v>0</v>
      </c>
      <c r="AB2148" s="28"/>
      <c r="AC2148" s="28" t="n">
        <f aca="false">AB2148*$M2148</f>
        <v>0</v>
      </c>
      <c r="AD2148" s="28"/>
      <c r="AE2148" s="28" t="n">
        <f aca="false">AD2148*$M2148</f>
        <v>0</v>
      </c>
      <c r="AF2148" s="28"/>
      <c r="AG2148" s="28" t="n">
        <f aca="false">AF2148*$M2148</f>
        <v>0</v>
      </c>
      <c r="AH2148" s="28"/>
      <c r="AI2148" s="28" t="n">
        <f aca="false">AH2148*$M2148</f>
        <v>0</v>
      </c>
      <c r="AJ2148" s="28" t="n">
        <v>142</v>
      </c>
      <c r="AK2148" s="28" t="n">
        <v>199</v>
      </c>
      <c r="AL2148" s="28"/>
      <c r="AM2148" s="28" t="n">
        <f aca="false">AL2148*$M2148</f>
        <v>0</v>
      </c>
      <c r="AN2148" s="28"/>
      <c r="AO2148" s="28" t="n">
        <f aca="false">AN2148*$M2148</f>
        <v>0</v>
      </c>
      <c r="AP2148" s="28"/>
      <c r="AQ2148" s="28" t="n">
        <f aca="false">AP2148*$M2148</f>
        <v>0</v>
      </c>
      <c r="AR2148" s="28"/>
      <c r="AS2148" s="28" t="n">
        <f aca="false">AR2148*$M2148</f>
        <v>0</v>
      </c>
      <c r="AT2148" s="28"/>
      <c r="AU2148" s="28" t="n">
        <f aca="false">AT2148*$M2148</f>
        <v>0</v>
      </c>
      <c r="AV2148" s="28"/>
      <c r="AW2148" s="28" t="n">
        <f aca="false">AV2148*$M2148</f>
        <v>0</v>
      </c>
      <c r="AX2148" s="28"/>
      <c r="AY2148" s="28" t="n">
        <f aca="false">AX2148*$M2148</f>
        <v>0</v>
      </c>
      <c r="AZ2148" s="30" t="n">
        <v>568</v>
      </c>
      <c r="BA2148" s="11" t="n">
        <v>795</v>
      </c>
      <c r="BB2148" s="31" t="n">
        <f aca="false">SUM(Q2148,S2148,U2148,W2148,Y2148,AA2148,AC2148,AE2148,AG2148,AI2148,AK2148,AM2148,AO2148,AQ2148,AS2148,AU2148,AW2148,AY2148)</f>
        <v>795</v>
      </c>
      <c r="BC2148" s="28" t="n">
        <f aca="false">BA2148-BB2148</f>
        <v>0</v>
      </c>
      <c r="BD2148" s="32" t="n">
        <f aca="false">SUM(P2148,R2148,T2148,V2148,X2148,Z2148,AB2148,AD2148,AF2148,AH2148,AJ2148,AL2148,AN2148,AP2148,AR2148,AT2148,AV2148,AX2148)</f>
        <v>568</v>
      </c>
      <c r="BE2148" s="33" t="n">
        <f aca="false">AZ2148-BD2148</f>
        <v>0</v>
      </c>
      <c r="BF2148" s="34" t="n">
        <f aca="false">BD2148*M2148</f>
        <v>795.2</v>
      </c>
      <c r="BG2148" s="35" t="n">
        <f aca="false">BA2148-BF2148</f>
        <v>-0.199999999999932</v>
      </c>
      <c r="BH2148" s="19" t="str">
        <f aca="false">IF(BG2148=0,"",IF(BG2148&lt;&gt;BA2148,"erreur de calcul",IF(BD2148&lt;&gt;0,"pas de prix",IF(M2148&lt;&gt; 0,"pas de quantité","pas de prix, ni de quantité"))))</f>
        <v>erreur de calcul</v>
      </c>
      <c r="BI2148" s="19"/>
    </row>
    <row r="2149" customFormat="false" ht="15" hidden="false" customHeight="false" outlineLevel="0" collapsed="false">
      <c r="A2149" s="0" t="n">
        <v>41</v>
      </c>
      <c r="B2149" s="8" t="s">
        <v>24</v>
      </c>
      <c r="C2149" s="9" t="s">
        <v>25</v>
      </c>
      <c r="D2149" s="9" t="s">
        <v>26</v>
      </c>
      <c r="E2149" s="10" t="n">
        <v>1789</v>
      </c>
      <c r="F2149" s="9" t="s">
        <v>27</v>
      </c>
      <c r="G2149" s="9" t="s">
        <v>27</v>
      </c>
      <c r="H2149" s="11" t="n">
        <v>18</v>
      </c>
      <c r="I2149" s="11" t="s">
        <v>116</v>
      </c>
      <c r="J2149" s="14"/>
      <c r="K2149" s="14" t="n">
        <v>40</v>
      </c>
      <c r="L2149" s="16"/>
      <c r="M2149" s="27" t="n">
        <f aca="false">J2149+(K2149/20)+(L2149/240)</f>
        <v>2</v>
      </c>
      <c r="N2149" s="17" t="s">
        <v>66</v>
      </c>
      <c r="O2149" s="11"/>
      <c r="P2149" s="28"/>
      <c r="Q2149" s="28" t="n">
        <f aca="false">P2149*$M2149</f>
        <v>0</v>
      </c>
      <c r="R2149" s="28"/>
      <c r="S2149" s="28" t="n">
        <f aca="false">R2149*$M2149</f>
        <v>0</v>
      </c>
      <c r="T2149" s="28"/>
      <c r="U2149" s="28" t="n">
        <f aca="false">T2149*$M2149</f>
        <v>0</v>
      </c>
      <c r="V2149" s="28"/>
      <c r="W2149" s="28" t="n">
        <f aca="false">V2149*$M2149</f>
        <v>0</v>
      </c>
      <c r="X2149" s="29"/>
      <c r="Y2149" s="28" t="n">
        <f aca="false">X2149*$M2149</f>
        <v>0</v>
      </c>
      <c r="Z2149" s="28"/>
      <c r="AA2149" s="28" t="n">
        <f aca="false">Z2149*$M2149</f>
        <v>0</v>
      </c>
      <c r="AB2149" s="28"/>
      <c r="AC2149" s="28" t="n">
        <f aca="false">AB2149*$M2149</f>
        <v>0</v>
      </c>
      <c r="AD2149" s="28"/>
      <c r="AE2149" s="28" t="n">
        <f aca="false">AD2149*$M2149</f>
        <v>0</v>
      </c>
      <c r="AF2149" s="28"/>
      <c r="AG2149" s="28" t="n">
        <f aca="false">AF2149*$M2149</f>
        <v>0</v>
      </c>
      <c r="AH2149" s="28" t="n">
        <v>232710</v>
      </c>
      <c r="AI2149" s="28" t="n">
        <v>465420</v>
      </c>
      <c r="AJ2149" s="28"/>
      <c r="AK2149" s="28" t="n">
        <f aca="false">AJ2149*$M2149</f>
        <v>0</v>
      </c>
      <c r="AL2149" s="28"/>
      <c r="AM2149" s="28" t="n">
        <f aca="false">AL2149*$M2149</f>
        <v>0</v>
      </c>
      <c r="AN2149" s="28"/>
      <c r="AO2149" s="28" t="n">
        <f aca="false">AN2149*$M2149</f>
        <v>0</v>
      </c>
      <c r="AP2149" s="28"/>
      <c r="AQ2149" s="28" t="n">
        <f aca="false">AP2149*$M2149</f>
        <v>0</v>
      </c>
      <c r="AR2149" s="28"/>
      <c r="AS2149" s="28" t="n">
        <f aca="false">AR2149*$M2149</f>
        <v>0</v>
      </c>
      <c r="AT2149" s="28"/>
      <c r="AU2149" s="28" t="n">
        <f aca="false">AT2149*$M2149</f>
        <v>0</v>
      </c>
      <c r="AV2149" s="28"/>
      <c r="AW2149" s="28" t="n">
        <f aca="false">AV2149*$M2149</f>
        <v>0</v>
      </c>
      <c r="AX2149" s="28"/>
      <c r="AY2149" s="28" t="n">
        <f aca="false">AX2149*$M2149</f>
        <v>0</v>
      </c>
      <c r="AZ2149" s="30" t="n">
        <v>232710</v>
      </c>
      <c r="BA2149" s="11" t="n">
        <v>465420</v>
      </c>
      <c r="BB2149" s="31" t="n">
        <f aca="false">SUM(Q2149,S2149,U2149,W2149,Y2149,AA2149,AC2149,AE2149,AG2149,AI2149,AK2149,AM2149,AO2149,AQ2149,AS2149,AU2149,AW2149,AY2149)</f>
        <v>465420</v>
      </c>
      <c r="BC2149" s="28" t="n">
        <f aca="false">BA2149-BB2149</f>
        <v>0</v>
      </c>
      <c r="BD2149" s="32" t="n">
        <f aca="false">SUM(P2149,R2149,T2149,V2149,X2149,Z2149,AB2149,AD2149,AF2149,AH2149,AJ2149,AL2149,AN2149,AP2149,AR2149,AT2149,AV2149,AX2149)</f>
        <v>232710</v>
      </c>
      <c r="BE2149" s="33" t="n">
        <f aca="false">AZ2149-BD2149</f>
        <v>0</v>
      </c>
      <c r="BF2149" s="34" t="n">
        <f aca="false">BD2149*M2149</f>
        <v>465420</v>
      </c>
      <c r="BG2149" s="35" t="n">
        <f aca="false">BA2149-BF2149</f>
        <v>0</v>
      </c>
      <c r="BH2149" s="19" t="str">
        <f aca="false">IF(BG2149=0,"",IF(BG2149&lt;&gt;BA2149,"erreur de calcul",IF(BD2149&lt;&gt;0,"pas de prix",IF(M2149&lt;&gt; 0,"pas de quantité","pas de prix, ni de quantité"))))</f>
        <v/>
      </c>
      <c r="BI2149" s="19"/>
    </row>
    <row r="2150" customFormat="false" ht="15" hidden="false" customHeight="false" outlineLevel="0" collapsed="false">
      <c r="A2150" s="0" t="n">
        <v>1</v>
      </c>
      <c r="B2150" s="8" t="s">
        <v>24</v>
      </c>
      <c r="C2150" s="9" t="s">
        <v>25</v>
      </c>
      <c r="D2150" s="9" t="s">
        <v>26</v>
      </c>
      <c r="E2150" s="10" t="n">
        <v>1789</v>
      </c>
      <c r="F2150" s="9" t="s">
        <v>27</v>
      </c>
      <c r="G2150" s="9" t="s">
        <v>27</v>
      </c>
      <c r="H2150" s="11" t="n">
        <v>20</v>
      </c>
      <c r="I2150" s="11" t="s">
        <v>117</v>
      </c>
      <c r="J2150" s="14" t="n">
        <v>10</v>
      </c>
      <c r="K2150" s="14"/>
      <c r="L2150" s="16"/>
      <c r="M2150" s="27" t="n">
        <f aca="false">J2150+(K2150/20)+(L2150/240)</f>
        <v>10</v>
      </c>
      <c r="N2150" s="17" t="s">
        <v>64</v>
      </c>
      <c r="O2150" s="11"/>
      <c r="P2150" s="28" t="n">
        <f aca="false">2120/100</f>
        <v>21.2</v>
      </c>
      <c r="Q2150" s="28" t="n">
        <v>212</v>
      </c>
      <c r="R2150" s="28"/>
      <c r="S2150" s="28" t="n">
        <f aca="false">R2150*$M2150</f>
        <v>0</v>
      </c>
      <c r="T2150" s="28" t="n">
        <f aca="false">4184/100</f>
        <v>41.84</v>
      </c>
      <c r="U2150" s="28" t="n">
        <v>418</v>
      </c>
      <c r="V2150" s="28"/>
      <c r="W2150" s="28" t="n">
        <f aca="false">V2150*$M2150</f>
        <v>0</v>
      </c>
      <c r="X2150" s="28"/>
      <c r="Y2150" s="28" t="n">
        <f aca="false">X2150*$M2150</f>
        <v>0</v>
      </c>
      <c r="Z2150" s="28" t="n">
        <f aca="false">4467/100</f>
        <v>44.67</v>
      </c>
      <c r="AA2150" s="28" t="n">
        <v>447</v>
      </c>
      <c r="AB2150" s="28"/>
      <c r="AC2150" s="28" t="n">
        <f aca="false">AB2150*$M2150</f>
        <v>0</v>
      </c>
      <c r="AD2150" s="28"/>
      <c r="AE2150" s="28" t="n">
        <f aca="false">AD2150*$M2150</f>
        <v>0</v>
      </c>
      <c r="AF2150" s="28"/>
      <c r="AG2150" s="28" t="n">
        <f aca="false">AF2150*$M2150</f>
        <v>0</v>
      </c>
      <c r="AH2150" s="28" t="n">
        <f aca="false">37604/100</f>
        <v>376.04</v>
      </c>
      <c r="AI2150" s="28" t="n">
        <v>3760</v>
      </c>
      <c r="AJ2150" s="28"/>
      <c r="AK2150" s="28" t="n">
        <f aca="false">AJ2150*$M2150</f>
        <v>0</v>
      </c>
      <c r="AL2150" s="28"/>
      <c r="AM2150" s="28" t="n">
        <f aca="false">AL2150*$M2150</f>
        <v>0</v>
      </c>
      <c r="AN2150" s="28"/>
      <c r="AO2150" s="28" t="n">
        <f aca="false">AN2150*$M2150</f>
        <v>0</v>
      </c>
      <c r="AP2150" s="28"/>
      <c r="AQ2150" s="28" t="n">
        <f aca="false">AP2150*$M2150</f>
        <v>0</v>
      </c>
      <c r="AR2150" s="28"/>
      <c r="AS2150" s="28" t="n">
        <f aca="false">AR2150*$M2150</f>
        <v>0</v>
      </c>
      <c r="AT2150" s="28"/>
      <c r="AU2150" s="28" t="n">
        <f aca="false">AT2150*$M2150</f>
        <v>0</v>
      </c>
      <c r="AV2150" s="28"/>
      <c r="AW2150" s="28" t="n">
        <f aca="false">AV2150*$M2150</f>
        <v>0</v>
      </c>
      <c r="AX2150" s="28"/>
      <c r="AY2150" s="28" t="n">
        <f aca="false">AX2150*$M2150</f>
        <v>0</v>
      </c>
      <c r="AZ2150" s="30" t="n">
        <f aca="false">46255/100</f>
        <v>462.55</v>
      </c>
      <c r="BA2150" s="11" t="n">
        <v>4837</v>
      </c>
      <c r="BB2150" s="31" t="n">
        <f aca="false">SUM(Q2150,S2150,U2150,W2150,Y2150,AA2150,AC2150,AE2150,AG2150,AI2150,AK2150,AM2150,AO2150,AQ2150,AS2150,AU2150,AW2150,AY2150)</f>
        <v>4837</v>
      </c>
      <c r="BC2150" s="28" t="n">
        <f aca="false">BA2150-BB2150</f>
        <v>0</v>
      </c>
      <c r="BD2150" s="32" t="n">
        <f aca="false">SUM(P2150,R2150,T2150,V2150,X2150,Z2150,AB2150,AD2150,AF2150,AH2150,AJ2150,AL2150,AN2150,AP2150,AR2150,AT2150,AV2150,AX2150)</f>
        <v>483.75</v>
      </c>
      <c r="BE2150" s="33" t="n">
        <f aca="false">AZ2150-BD2150</f>
        <v>-21.2</v>
      </c>
      <c r="BF2150" s="34" t="n">
        <f aca="false">BD2150*M2150</f>
        <v>4837.5</v>
      </c>
      <c r="BG2150" s="35" t="n">
        <f aca="false">BA2150-BF2150</f>
        <v>-0.50000000000091</v>
      </c>
      <c r="BH2150" s="19" t="str">
        <f aca="false">IF(BG2150=0,"",IF(BG2150&lt;&gt;BA2150,"erreur de calcul",IF(BD2150&lt;&gt;0,"pas de prix",IF(M2150&lt;&gt; 0,"pas de quantité","pas de prix, ni de quantité"))))</f>
        <v>erreur de calcul</v>
      </c>
      <c r="BI2150" s="19"/>
    </row>
    <row r="2151" customFormat="false" ht="15" hidden="false" customHeight="false" outlineLevel="0" collapsed="false">
      <c r="A2151" s="0" t="n">
        <v>2</v>
      </c>
      <c r="B2151" s="8" t="s">
        <v>24</v>
      </c>
      <c r="C2151" s="9" t="s">
        <v>25</v>
      </c>
      <c r="D2151" s="9" t="s">
        <v>26</v>
      </c>
      <c r="E2151" s="10" t="n">
        <v>1789</v>
      </c>
      <c r="F2151" s="9" t="s">
        <v>27</v>
      </c>
      <c r="G2151" s="9" t="s">
        <v>27</v>
      </c>
      <c r="H2151" s="11" t="n">
        <v>20</v>
      </c>
      <c r="I2151" s="11" t="s">
        <v>118</v>
      </c>
      <c r="J2151" s="14" t="n">
        <v>10</v>
      </c>
      <c r="K2151" s="14"/>
      <c r="L2151" s="16"/>
      <c r="M2151" s="27" t="n">
        <f aca="false">J2151+(K2151/20)+(L2151/240)</f>
        <v>10</v>
      </c>
      <c r="N2151" s="17" t="s">
        <v>64</v>
      </c>
      <c r="O2151" s="11"/>
      <c r="P2151" s="28" t="n">
        <f aca="false">6450193/100</f>
        <v>64501.93</v>
      </c>
      <c r="Q2151" s="28" t="n">
        <v>645019</v>
      </c>
      <c r="R2151" s="28"/>
      <c r="S2151" s="28" t="n">
        <f aca="false">R2151*$M2151</f>
        <v>0</v>
      </c>
      <c r="T2151" s="28"/>
      <c r="U2151" s="28" t="n">
        <f aca="false">T2151*$M2151</f>
        <v>0</v>
      </c>
      <c r="V2151" s="28"/>
      <c r="W2151" s="28" t="n">
        <f aca="false">V2151*$M2151</f>
        <v>0</v>
      </c>
      <c r="X2151" s="28"/>
      <c r="Y2151" s="28" t="n">
        <f aca="false">X2151*$M2151</f>
        <v>0</v>
      </c>
      <c r="Z2151" s="28"/>
      <c r="AA2151" s="28" t="n">
        <f aca="false">Z2151*$M2151</f>
        <v>0</v>
      </c>
      <c r="AB2151" s="28" t="n">
        <f aca="false">601547/100</f>
        <v>6015.47</v>
      </c>
      <c r="AC2151" s="28" t="n">
        <v>60155</v>
      </c>
      <c r="AD2151" s="28"/>
      <c r="AE2151" s="28" t="n">
        <f aca="false">AD2151*$M2151</f>
        <v>0</v>
      </c>
      <c r="AF2151" s="28" t="n">
        <f aca="false">727551/100</f>
        <v>7275.51</v>
      </c>
      <c r="AG2151" s="28" t="n">
        <v>72755</v>
      </c>
      <c r="AH2151" s="28" t="n">
        <f aca="false">52982/100</f>
        <v>529.82</v>
      </c>
      <c r="AI2151" s="28" t="n">
        <v>5299</v>
      </c>
      <c r="AJ2151" s="28"/>
      <c r="AK2151" s="28" t="n">
        <f aca="false">AJ2151*$M2151</f>
        <v>0</v>
      </c>
      <c r="AL2151" s="28"/>
      <c r="AM2151" s="28" t="n">
        <f aca="false">AL2151*$M2151</f>
        <v>0</v>
      </c>
      <c r="AN2151" s="28"/>
      <c r="AO2151" s="28" t="n">
        <f aca="false">AN2151*$M2151</f>
        <v>0</v>
      </c>
      <c r="AP2151" s="28"/>
      <c r="AQ2151" s="28" t="n">
        <f aca="false">AP2151*$M2151</f>
        <v>0</v>
      </c>
      <c r="AR2151" s="28"/>
      <c r="AS2151" s="28" t="n">
        <f aca="false">AR2151*$M2151</f>
        <v>0</v>
      </c>
      <c r="AT2151" s="28"/>
      <c r="AU2151" s="28" t="n">
        <f aca="false">AT2151*$M2151</f>
        <v>0</v>
      </c>
      <c r="AV2151" s="28"/>
      <c r="AW2151" s="28" t="n">
        <f aca="false">AV2151*$M2151</f>
        <v>0</v>
      </c>
      <c r="AX2151" s="28"/>
      <c r="AY2151" s="28" t="n">
        <f aca="false">AX2151*$M2151</f>
        <v>0</v>
      </c>
      <c r="AZ2151" s="30" t="n">
        <f aca="false">7832273/100</f>
        <v>78322.73</v>
      </c>
      <c r="BA2151" s="11" t="n">
        <v>783228</v>
      </c>
      <c r="BB2151" s="31" t="n">
        <f aca="false">SUM(Q2151,S2151,U2151,W2151,Y2151,AA2151,AC2151,AE2151,AG2151,AI2151,AK2151,AM2151,AO2151,AQ2151,AS2151,AU2151,AW2151,AY2151)</f>
        <v>783228</v>
      </c>
      <c r="BC2151" s="28" t="n">
        <f aca="false">BA2151-BB2151</f>
        <v>0</v>
      </c>
      <c r="BD2151" s="32" t="n">
        <f aca="false">SUM(P2151,R2151,T2151,V2151,X2151,Z2151,AB2151,AD2151,AF2151,AH2151,AJ2151,AL2151,AN2151,AP2151,AR2151,AT2151,AV2151,AX2151)</f>
        <v>78322.73</v>
      </c>
      <c r="BE2151" s="33" t="n">
        <f aca="false">AZ2151-BD2151</f>
        <v>0</v>
      </c>
      <c r="BF2151" s="34" t="n">
        <f aca="false">BD2151*M2151</f>
        <v>783227.3</v>
      </c>
      <c r="BG2151" s="35" t="n">
        <f aca="false">BA2151-BF2151</f>
        <v>0.700000000069849</v>
      </c>
      <c r="BH2151" s="19" t="str">
        <f aca="false">IF(BG2151=0,"",IF(BG2151&lt;&gt;BA2151,"erreur de calcul",IF(BD2151&lt;&gt;0,"pas de prix",IF(M2151&lt;&gt; 0,"pas de quantité","pas de prix, ni de quantité"))))</f>
        <v>erreur de calcul</v>
      </c>
      <c r="BI2151" s="19"/>
    </row>
    <row r="2152" customFormat="false" ht="15" hidden="false" customHeight="false" outlineLevel="0" collapsed="false">
      <c r="A2152" s="0" t="n">
        <v>3</v>
      </c>
      <c r="B2152" s="8" t="s">
        <v>24</v>
      </c>
      <c r="C2152" s="9" t="s">
        <v>25</v>
      </c>
      <c r="D2152" s="9" t="s">
        <v>26</v>
      </c>
      <c r="E2152" s="10" t="n">
        <v>1789</v>
      </c>
      <c r="F2152" s="9" t="s">
        <v>27</v>
      </c>
      <c r="G2152" s="9" t="s">
        <v>27</v>
      </c>
      <c r="H2152" s="11" t="n">
        <v>20</v>
      </c>
      <c r="I2152" s="11" t="s">
        <v>119</v>
      </c>
      <c r="J2152" s="14" t="n">
        <v>10</v>
      </c>
      <c r="K2152" s="14"/>
      <c r="L2152" s="16"/>
      <c r="M2152" s="27" t="n">
        <f aca="false">J2152+(K2152/20)+(L2152/240)</f>
        <v>10</v>
      </c>
      <c r="N2152" s="17" t="s">
        <v>64</v>
      </c>
      <c r="O2152" s="11"/>
      <c r="P2152" s="28" t="n">
        <f aca="false">2617064/100</f>
        <v>26170.64</v>
      </c>
      <c r="Q2152" s="28" t="n">
        <v>261706</v>
      </c>
      <c r="R2152" s="28"/>
      <c r="S2152" s="28" t="n">
        <f aca="false">R2152*$M2152</f>
        <v>0</v>
      </c>
      <c r="T2152" s="28" t="n">
        <f aca="false">251959/100</f>
        <v>2519.59</v>
      </c>
      <c r="U2152" s="28" t="n">
        <v>25196</v>
      </c>
      <c r="V2152" s="28"/>
      <c r="W2152" s="28" t="n">
        <f aca="false">V2152*$M2152</f>
        <v>0</v>
      </c>
      <c r="X2152" s="28"/>
      <c r="Y2152" s="28" t="n">
        <f aca="false">X2152*$M2152</f>
        <v>0</v>
      </c>
      <c r="Z2152" s="28"/>
      <c r="AA2152" s="28" t="n">
        <f aca="false">Z2152*$M2152</f>
        <v>0</v>
      </c>
      <c r="AB2152" s="28"/>
      <c r="AC2152" s="28" t="n">
        <f aca="false">AB2152*$M2152</f>
        <v>0</v>
      </c>
      <c r="AD2152" s="28"/>
      <c r="AE2152" s="28" t="n">
        <f aca="false">AD2152*$M2152</f>
        <v>0</v>
      </c>
      <c r="AF2152" s="28"/>
      <c r="AG2152" s="28" t="n">
        <f aca="false">AF2152*$M2152</f>
        <v>0</v>
      </c>
      <c r="AH2152" s="28"/>
      <c r="AI2152" s="28" t="n">
        <f aca="false">AH2152*$M2152</f>
        <v>0</v>
      </c>
      <c r="AJ2152" s="28"/>
      <c r="AK2152" s="28" t="n">
        <f aca="false">AJ2152*$M2152</f>
        <v>0</v>
      </c>
      <c r="AL2152" s="28"/>
      <c r="AM2152" s="28" t="n">
        <f aca="false">AL2152*$M2152</f>
        <v>0</v>
      </c>
      <c r="AN2152" s="28"/>
      <c r="AO2152" s="28" t="n">
        <f aca="false">AN2152*$M2152</f>
        <v>0</v>
      </c>
      <c r="AP2152" s="28"/>
      <c r="AQ2152" s="28" t="n">
        <f aca="false">AP2152*$M2152</f>
        <v>0</v>
      </c>
      <c r="AR2152" s="28"/>
      <c r="AS2152" s="28" t="n">
        <f aca="false">AR2152*$M2152</f>
        <v>0</v>
      </c>
      <c r="AT2152" s="28"/>
      <c r="AU2152" s="28" t="n">
        <f aca="false">AT2152*$M2152</f>
        <v>0</v>
      </c>
      <c r="AV2152" s="28"/>
      <c r="AW2152" s="28" t="n">
        <f aca="false">AV2152*$M2152</f>
        <v>0</v>
      </c>
      <c r="AX2152" s="28"/>
      <c r="AY2152" s="28" t="n">
        <f aca="false">AX2152*$M2152</f>
        <v>0</v>
      </c>
      <c r="AZ2152" s="30" t="n">
        <f aca="false">2869023/100</f>
        <v>28690.23</v>
      </c>
      <c r="BA2152" s="11" t="n">
        <v>286902</v>
      </c>
      <c r="BB2152" s="31" t="n">
        <f aca="false">SUM(Q2152,S2152,U2152,W2152,Y2152,AA2152,AC2152,AE2152,AG2152,AI2152,AK2152,AM2152,AO2152,AQ2152,AS2152,AU2152,AW2152,AY2152)</f>
        <v>286902</v>
      </c>
      <c r="BC2152" s="28" t="n">
        <f aca="false">BA2152-BB2152</f>
        <v>0</v>
      </c>
      <c r="BD2152" s="32" t="n">
        <f aca="false">SUM(P2152,R2152,T2152,V2152,X2152,Z2152,AB2152,AD2152,AF2152,AH2152,AJ2152,AL2152,AN2152,AP2152,AR2152,AT2152,AV2152,AX2152)</f>
        <v>28690.23</v>
      </c>
      <c r="BE2152" s="33" t="n">
        <f aca="false">AZ2152-BD2152</f>
        <v>0</v>
      </c>
      <c r="BF2152" s="34" t="n">
        <f aca="false">BD2152*M2152</f>
        <v>286902.3</v>
      </c>
      <c r="BG2152" s="35" t="n">
        <f aca="false">BA2152-BF2152</f>
        <v>-0.299999999988358</v>
      </c>
      <c r="BH2152" s="19" t="str">
        <f aca="false">IF(BG2152=0,"",IF(BG2152&lt;&gt;BA2152,"erreur de calcul",IF(BD2152&lt;&gt;0,"pas de prix",IF(M2152&lt;&gt; 0,"pas de quantité","pas de prix, ni de quantité"))))</f>
        <v>erreur de calcul</v>
      </c>
      <c r="BI2152" s="19"/>
    </row>
    <row r="2153" customFormat="false" ht="16.65" hidden="false" customHeight="false" outlineLevel="0" collapsed="false">
      <c r="A2153" s="0" t="n">
        <v>4</v>
      </c>
      <c r="B2153" s="8" t="s">
        <v>24</v>
      </c>
      <c r="C2153" s="9" t="s">
        <v>25</v>
      </c>
      <c r="D2153" s="9" t="s">
        <v>26</v>
      </c>
      <c r="E2153" s="10" t="n">
        <v>1789</v>
      </c>
      <c r="F2153" s="9" t="s">
        <v>27</v>
      </c>
      <c r="G2153" s="9" t="s">
        <v>27</v>
      </c>
      <c r="H2153" s="11" t="n">
        <v>20</v>
      </c>
      <c r="I2153" s="11" t="s">
        <v>120</v>
      </c>
      <c r="J2153" s="14" t="n">
        <v>12</v>
      </c>
      <c r="K2153" s="14"/>
      <c r="L2153" s="16"/>
      <c r="M2153" s="27" t="n">
        <f aca="false">J2153+(K2153/20)+(L2153/240)</f>
        <v>12</v>
      </c>
      <c r="N2153" s="17" t="s">
        <v>64</v>
      </c>
      <c r="O2153" s="11" t="s">
        <v>77</v>
      </c>
      <c r="P2153" s="28"/>
      <c r="Q2153" s="28" t="n">
        <f aca="false">P2153*$M2153</f>
        <v>0</v>
      </c>
      <c r="R2153" s="28"/>
      <c r="S2153" s="28" t="n">
        <f aca="false">R2153*$M2153</f>
        <v>0</v>
      </c>
      <c r="T2153" s="28"/>
      <c r="U2153" s="28" t="n">
        <f aca="false">T2153*$M2153</f>
        <v>0</v>
      </c>
      <c r="V2153" s="28" t="n">
        <f aca="false">15268/100</f>
        <v>152.68</v>
      </c>
      <c r="W2153" s="28" t="n">
        <v>1832</v>
      </c>
      <c r="X2153" s="28"/>
      <c r="Y2153" s="28" t="n">
        <f aca="false">X2153*$M2153</f>
        <v>0</v>
      </c>
      <c r="Z2153" s="28"/>
      <c r="AA2153" s="28" t="n">
        <f aca="false">Z2153*$M2153</f>
        <v>0</v>
      </c>
      <c r="AB2153" s="28"/>
      <c r="AC2153" s="28" t="n">
        <f aca="false">AB2153*$M2153</f>
        <v>0</v>
      </c>
      <c r="AD2153" s="28"/>
      <c r="AE2153" s="28" t="n">
        <f aca="false">AD2153*$M2153</f>
        <v>0</v>
      </c>
      <c r="AF2153" s="28"/>
      <c r="AG2153" s="28" t="n">
        <f aca="false">AF2153*$M2153</f>
        <v>0</v>
      </c>
      <c r="AH2153" s="28" t="n">
        <f aca="false">26667/100</f>
        <v>266.67</v>
      </c>
      <c r="AI2153" s="28" t="n">
        <v>3200</v>
      </c>
      <c r="AJ2153" s="28"/>
      <c r="AK2153" s="28" t="n">
        <f aca="false">AJ2153*$M2153</f>
        <v>0</v>
      </c>
      <c r="AL2153" s="28"/>
      <c r="AM2153" s="28" t="n">
        <f aca="false">AL2153*$M2153</f>
        <v>0</v>
      </c>
      <c r="AN2153" s="28"/>
      <c r="AO2153" s="28" t="n">
        <f aca="false">AN2153*$M2153</f>
        <v>0</v>
      </c>
      <c r="AP2153" s="28"/>
      <c r="AQ2153" s="28" t="n">
        <f aca="false">AP2153*$M2153</f>
        <v>0</v>
      </c>
      <c r="AR2153" s="28"/>
      <c r="AS2153" s="28" t="n">
        <f aca="false">AR2153*$M2153</f>
        <v>0</v>
      </c>
      <c r="AT2153" s="28"/>
      <c r="AU2153" s="28" t="n">
        <f aca="false">AT2153*$M2153</f>
        <v>0</v>
      </c>
      <c r="AV2153" s="28"/>
      <c r="AW2153" s="28" t="n">
        <f aca="false">AV2153*$M2153</f>
        <v>0</v>
      </c>
      <c r="AX2153" s="28"/>
      <c r="AY2153" s="28" t="n">
        <f aca="false">AX2153*$M2153</f>
        <v>0</v>
      </c>
      <c r="AZ2153" s="30" t="n">
        <f aca="false">41935/100</f>
        <v>419.35</v>
      </c>
      <c r="BA2153" s="11" t="n">
        <v>5032</v>
      </c>
      <c r="BB2153" s="31" t="n">
        <f aca="false">SUM(Q2153,S2153,U2153,W2153,Y2153,AA2153,AC2153,AE2153,AG2153,AI2153,AK2153,AM2153,AO2153,AQ2153,AS2153,AU2153,AW2153,AY2153)</f>
        <v>5032</v>
      </c>
      <c r="BC2153" s="28" t="n">
        <f aca="false">BA2153-BB2153</f>
        <v>0</v>
      </c>
      <c r="BD2153" s="32" t="n">
        <f aca="false">SUM(P2153,R2153,T2153,V2153,X2153,Z2153,AB2153,AD2153,AF2153,AH2153,AJ2153,AL2153,AN2153,AP2153,AR2153,AT2153,AV2153,AX2153)</f>
        <v>419.35</v>
      </c>
      <c r="BE2153" s="33" t="n">
        <f aca="false">AZ2153-BD2153</f>
        <v>0</v>
      </c>
      <c r="BF2153" s="34" t="n">
        <f aca="false">BD2153*M2153</f>
        <v>5032.2</v>
      </c>
      <c r="BG2153" s="35" t="n">
        <f aca="false">BA2153-BF2153</f>
        <v>-0.200000000000728</v>
      </c>
      <c r="BH2153" s="19" t="str">
        <f aca="false">IF(BG2153=0,"",IF(BG2153&lt;&gt;BA2153,"erreur de calcul",IF(BD2153&lt;&gt;0,"pas de prix",IF(M2153&lt;&gt; 0,"pas de quantité","pas de prix, ni de quantité"))))</f>
        <v>erreur de calcul</v>
      </c>
      <c r="BI2153" s="19"/>
    </row>
    <row r="2154" customFormat="false" ht="15" hidden="false" customHeight="false" outlineLevel="0" collapsed="false">
      <c r="A2154" s="0" t="n">
        <v>5</v>
      </c>
      <c r="B2154" s="8" t="s">
        <v>24</v>
      </c>
      <c r="C2154" s="9" t="s">
        <v>25</v>
      </c>
      <c r="D2154" s="9" t="s">
        <v>26</v>
      </c>
      <c r="E2154" s="10" t="n">
        <v>1789</v>
      </c>
      <c r="F2154" s="9" t="s">
        <v>27</v>
      </c>
      <c r="G2154" s="9" t="s">
        <v>27</v>
      </c>
      <c r="H2154" s="11" t="n">
        <v>20</v>
      </c>
      <c r="I2154" s="11" t="s">
        <v>121</v>
      </c>
      <c r="J2154" s="14" t="n">
        <v>28</v>
      </c>
      <c r="K2154" s="14"/>
      <c r="L2154" s="16"/>
      <c r="M2154" s="27" t="n">
        <f aca="false">J2154+(K2154/20)+(L2154/240)</f>
        <v>28</v>
      </c>
      <c r="N2154" s="17" t="s">
        <v>64</v>
      </c>
      <c r="O2154" s="11"/>
      <c r="P2154" s="28"/>
      <c r="Q2154" s="28" t="n">
        <f aca="false">P2154*$M2154</f>
        <v>0</v>
      </c>
      <c r="R2154" s="28"/>
      <c r="S2154" s="28" t="n">
        <f aca="false">R2154*$M2154</f>
        <v>0</v>
      </c>
      <c r="T2154" s="28"/>
      <c r="U2154" s="28" t="n">
        <f aca="false">T2154*$M2154</f>
        <v>0</v>
      </c>
      <c r="V2154" s="28"/>
      <c r="W2154" s="28" t="n">
        <f aca="false">V2154*$M2154</f>
        <v>0</v>
      </c>
      <c r="X2154" s="28" t="n">
        <f aca="false">187504/100</f>
        <v>1875.04</v>
      </c>
      <c r="Y2154" s="28" t="n">
        <v>52501</v>
      </c>
      <c r="Z2154" s="28" t="n">
        <f aca="false">1041667/100</f>
        <v>10416.67</v>
      </c>
      <c r="AA2154" s="28" t="n">
        <v>291667</v>
      </c>
      <c r="AB2154" s="28"/>
      <c r="AC2154" s="28" t="n">
        <f aca="false">AB2154*$M2154</f>
        <v>0</v>
      </c>
      <c r="AD2154" s="28"/>
      <c r="AE2154" s="28" t="n">
        <f aca="false">AD2154*$M2154</f>
        <v>0</v>
      </c>
      <c r="AF2154" s="28"/>
      <c r="AG2154" s="28" t="n">
        <f aca="false">AF2154*$M2154</f>
        <v>0</v>
      </c>
      <c r="AH2154" s="28"/>
      <c r="AI2154" s="28" t="n">
        <f aca="false">AH2154*$M2154</f>
        <v>0</v>
      </c>
      <c r="AJ2154" s="28"/>
      <c r="AK2154" s="28" t="n">
        <f aca="false">AJ2154*$M2154</f>
        <v>0</v>
      </c>
      <c r="AL2154" s="28"/>
      <c r="AM2154" s="28" t="n">
        <f aca="false">AL2154*$M2154</f>
        <v>0</v>
      </c>
      <c r="AN2154" s="28"/>
      <c r="AO2154" s="28" t="n">
        <f aca="false">AN2154*$M2154</f>
        <v>0</v>
      </c>
      <c r="AP2154" s="28"/>
      <c r="AQ2154" s="28" t="n">
        <f aca="false">AP2154*$M2154</f>
        <v>0</v>
      </c>
      <c r="AR2154" s="28"/>
      <c r="AS2154" s="28" t="n">
        <f aca="false">AR2154*$M2154</f>
        <v>0</v>
      </c>
      <c r="AT2154" s="28"/>
      <c r="AU2154" s="28" t="n">
        <f aca="false">AT2154*$M2154</f>
        <v>0</v>
      </c>
      <c r="AV2154" s="28"/>
      <c r="AW2154" s="28" t="n">
        <f aca="false">AV2154*$M2154</f>
        <v>0</v>
      </c>
      <c r="AX2154" s="28"/>
      <c r="AY2154" s="28" t="n">
        <f aca="false">AX2154*$M2154</f>
        <v>0</v>
      </c>
      <c r="AZ2154" s="30" t="n">
        <f aca="false">1229171/100</f>
        <v>12291.71</v>
      </c>
      <c r="BA2154" s="11" t="n">
        <v>344168</v>
      </c>
      <c r="BB2154" s="31" t="n">
        <f aca="false">SUM(Q2154,S2154,U2154,W2154,Y2154,AA2154,AC2154,AE2154,AG2154,AI2154,AK2154,AM2154,AO2154,AQ2154,AS2154,AU2154,AW2154,AY2154)</f>
        <v>344168</v>
      </c>
      <c r="BC2154" s="28" t="n">
        <f aca="false">BA2154-BB2154</f>
        <v>0</v>
      </c>
      <c r="BD2154" s="32" t="n">
        <f aca="false">SUM(P2154,R2154,T2154,V2154,X2154,Z2154,AB2154,AD2154,AF2154,AH2154,AJ2154,AL2154,AN2154,AP2154,AR2154,AT2154,AV2154,AX2154)</f>
        <v>12291.71</v>
      </c>
      <c r="BE2154" s="33" t="n">
        <f aca="false">AZ2154-BD2154</f>
        <v>0</v>
      </c>
      <c r="BF2154" s="34" t="n">
        <f aca="false">BD2154*M2154</f>
        <v>344167.88</v>
      </c>
      <c r="BG2154" s="35" t="n">
        <f aca="false">BA2154-BF2154</f>
        <v>0.119999999995343</v>
      </c>
      <c r="BH2154" s="19" t="str">
        <f aca="false">IF(BG2154=0,"",IF(BG2154&lt;&gt;BA2154,"erreur de calcul",IF(BD2154&lt;&gt;0,"pas de prix",IF(M2154&lt;&gt; 0,"pas de quantité","pas de prix, ni de quantité"))))</f>
        <v>erreur de calcul</v>
      </c>
      <c r="BI2154" s="19"/>
    </row>
    <row r="2155" customFormat="false" ht="15" hidden="false" customHeight="false" outlineLevel="0" collapsed="false">
      <c r="A2155" s="0" t="n">
        <v>6</v>
      </c>
      <c r="B2155" s="8" t="s">
        <v>24</v>
      </c>
      <c r="C2155" s="9" t="s">
        <v>25</v>
      </c>
      <c r="D2155" s="9" t="s">
        <v>26</v>
      </c>
      <c r="E2155" s="10" t="n">
        <v>1789</v>
      </c>
      <c r="F2155" s="9" t="s">
        <v>27</v>
      </c>
      <c r="G2155" s="9" t="s">
        <v>27</v>
      </c>
      <c r="H2155" s="11" t="n">
        <v>20</v>
      </c>
      <c r="I2155" s="11" t="s">
        <v>122</v>
      </c>
      <c r="J2155" s="14" t="n">
        <v>16</v>
      </c>
      <c r="K2155" s="14"/>
      <c r="L2155" s="16"/>
      <c r="M2155" s="27" t="n">
        <f aca="false">J2155+(K2155/20)+(L2155/240)</f>
        <v>16</v>
      </c>
      <c r="N2155" s="17" t="s">
        <v>64</v>
      </c>
      <c r="O2155" s="11"/>
      <c r="P2155" s="28" t="n">
        <f aca="false">1774951/100</f>
        <v>17749.51</v>
      </c>
      <c r="Q2155" s="28" t="n">
        <v>283992</v>
      </c>
      <c r="R2155" s="28"/>
      <c r="S2155" s="28" t="n">
        <f aca="false">R2155*$M2155</f>
        <v>0</v>
      </c>
      <c r="T2155" s="28"/>
      <c r="U2155" s="28" t="n">
        <f aca="false">T2155*$M2155</f>
        <v>0</v>
      </c>
      <c r="V2155" s="28" t="n">
        <f aca="false">20834/100</f>
        <v>208.34</v>
      </c>
      <c r="W2155" s="28" t="n">
        <v>3333</v>
      </c>
      <c r="X2155" s="28" t="n">
        <f aca="false">85901/100</f>
        <v>859.01</v>
      </c>
      <c r="Y2155" s="28" t="n">
        <v>13744</v>
      </c>
      <c r="Z2155" s="28"/>
      <c r="AA2155" s="28" t="n">
        <f aca="false">Z2155*$M2155</f>
        <v>0</v>
      </c>
      <c r="AB2155" s="28" t="n">
        <f aca="false">6847841/100</f>
        <v>68478.41</v>
      </c>
      <c r="AC2155" s="28" t="n">
        <v>1095654</v>
      </c>
      <c r="AD2155" s="28"/>
      <c r="AE2155" s="28" t="n">
        <f aca="false">AD2155*$M2155</f>
        <v>0</v>
      </c>
      <c r="AF2155" s="28"/>
      <c r="AG2155" s="28" t="n">
        <f aca="false">AF2155*$M2155</f>
        <v>0</v>
      </c>
      <c r="AH2155" s="28" t="n">
        <f aca="false">50417/100</f>
        <v>504.17</v>
      </c>
      <c r="AI2155" s="28" t="n">
        <v>8067</v>
      </c>
      <c r="AJ2155" s="28"/>
      <c r="AK2155" s="28" t="n">
        <f aca="false">AJ2155*$M2155</f>
        <v>0</v>
      </c>
      <c r="AL2155" s="28"/>
      <c r="AM2155" s="28" t="n">
        <f aca="false">AL2155*$M2155</f>
        <v>0</v>
      </c>
      <c r="AN2155" s="28"/>
      <c r="AO2155" s="28" t="n">
        <f aca="false">AN2155*$M2155</f>
        <v>0</v>
      </c>
      <c r="AP2155" s="28"/>
      <c r="AQ2155" s="28" t="n">
        <f aca="false">AP2155*$M2155</f>
        <v>0</v>
      </c>
      <c r="AR2155" s="28"/>
      <c r="AS2155" s="28" t="n">
        <f aca="false">AR2155*$M2155</f>
        <v>0</v>
      </c>
      <c r="AT2155" s="28"/>
      <c r="AU2155" s="28" t="n">
        <f aca="false">AT2155*$M2155</f>
        <v>0</v>
      </c>
      <c r="AV2155" s="28"/>
      <c r="AW2155" s="28" t="n">
        <f aca="false">AV2155*$M2155</f>
        <v>0</v>
      </c>
      <c r="AX2155" s="28"/>
      <c r="AY2155" s="28" t="n">
        <f aca="false">AX2155*$M2155</f>
        <v>0</v>
      </c>
      <c r="AZ2155" s="30" t="n">
        <f aca="false">8779944/100</f>
        <v>87799.44</v>
      </c>
      <c r="BA2155" s="11" t="n">
        <v>1404790</v>
      </c>
      <c r="BB2155" s="31" t="n">
        <f aca="false">SUM(Q2155,S2155,U2155,W2155,Y2155,AA2155,AC2155,AE2155,AG2155,AI2155,AK2155,AM2155,AO2155,AQ2155,AS2155,AU2155,AW2155,AY2155)</f>
        <v>1404790</v>
      </c>
      <c r="BC2155" s="28" t="n">
        <f aca="false">BA2155-BB2155</f>
        <v>0</v>
      </c>
      <c r="BD2155" s="32" t="n">
        <f aca="false">SUM(P2155,R2155,T2155,V2155,X2155,Z2155,AB2155,AD2155,AF2155,AH2155,AJ2155,AL2155,AN2155,AP2155,AR2155,AT2155,AV2155,AX2155)</f>
        <v>87799.44</v>
      </c>
      <c r="BE2155" s="33" t="n">
        <f aca="false">AZ2155-BD2155</f>
        <v>0</v>
      </c>
      <c r="BF2155" s="34" t="n">
        <f aca="false">BD2155*M2155</f>
        <v>1404791.04</v>
      </c>
      <c r="BG2155" s="35" t="n">
        <f aca="false">BA2155-BF2155</f>
        <v>-1.03999999980442</v>
      </c>
      <c r="BH2155" s="19" t="str">
        <f aca="false">IF(BG2155=0,"",IF(BG2155&lt;&gt;BA2155,"erreur de calcul",IF(BD2155&lt;&gt;0,"pas de prix",IF(M2155&lt;&gt; 0,"pas de quantité","pas de prix, ni de quantité"))))</f>
        <v>erreur de calcul</v>
      </c>
      <c r="BI2155" s="19"/>
    </row>
    <row r="2156" customFormat="false" ht="15" hidden="false" customHeight="false" outlineLevel="0" collapsed="false">
      <c r="A2156" s="0" t="n">
        <v>7</v>
      </c>
      <c r="B2156" s="8" t="s">
        <v>24</v>
      </c>
      <c r="C2156" s="9" t="s">
        <v>25</v>
      </c>
      <c r="D2156" s="9" t="s">
        <v>26</v>
      </c>
      <c r="E2156" s="10" t="n">
        <v>1789</v>
      </c>
      <c r="F2156" s="9" t="s">
        <v>27</v>
      </c>
      <c r="G2156" s="9" t="s">
        <v>27</v>
      </c>
      <c r="H2156" s="11" t="n">
        <v>20</v>
      </c>
      <c r="I2156" s="11" t="s">
        <v>123</v>
      </c>
      <c r="J2156" s="14" t="n">
        <v>12</v>
      </c>
      <c r="K2156" s="14"/>
      <c r="L2156" s="16"/>
      <c r="M2156" s="27" t="n">
        <f aca="false">J2156+(K2156/20)+(L2156/240)</f>
        <v>12</v>
      </c>
      <c r="N2156" s="17" t="s">
        <v>64</v>
      </c>
      <c r="O2156" s="11"/>
      <c r="P2156" s="28"/>
      <c r="Q2156" s="28" t="n">
        <f aca="false">P2156*$M2156</f>
        <v>0</v>
      </c>
      <c r="R2156" s="28"/>
      <c r="S2156" s="28" t="n">
        <f aca="false">R2156*$M2156</f>
        <v>0</v>
      </c>
      <c r="T2156" s="28"/>
      <c r="U2156" s="28" t="n">
        <f aca="false">T2156*$M2156</f>
        <v>0</v>
      </c>
      <c r="V2156" s="28"/>
      <c r="W2156" s="28" t="n">
        <f aca="false">V2156*$M2156</f>
        <v>0</v>
      </c>
      <c r="X2156" s="28"/>
      <c r="Y2156" s="28" t="n">
        <f aca="false">X2156*$M2156</f>
        <v>0</v>
      </c>
      <c r="Z2156" s="28"/>
      <c r="AA2156" s="28" t="n">
        <f aca="false">Z2156*$M2156</f>
        <v>0</v>
      </c>
      <c r="AB2156" s="28"/>
      <c r="AC2156" s="28" t="n">
        <f aca="false">AB2156*$M2156</f>
        <v>0</v>
      </c>
      <c r="AD2156" s="28"/>
      <c r="AE2156" s="28" t="n">
        <f aca="false">AD2156*$M2156</f>
        <v>0</v>
      </c>
      <c r="AF2156" s="28"/>
      <c r="AG2156" s="28" t="n">
        <f aca="false">AF2156*$M2156</f>
        <v>0</v>
      </c>
      <c r="AH2156" s="28" t="n">
        <f aca="false">5697511/100</f>
        <v>56975.11</v>
      </c>
      <c r="AI2156" s="28" t="n">
        <v>683701</v>
      </c>
      <c r="AJ2156" s="28"/>
      <c r="AK2156" s="28" t="n">
        <f aca="false">AJ2156*$M2156</f>
        <v>0</v>
      </c>
      <c r="AL2156" s="28"/>
      <c r="AM2156" s="28" t="n">
        <f aca="false">AL2156*$M2156</f>
        <v>0</v>
      </c>
      <c r="AN2156" s="28"/>
      <c r="AO2156" s="28" t="n">
        <f aca="false">AN2156*$M2156</f>
        <v>0</v>
      </c>
      <c r="AP2156" s="28"/>
      <c r="AQ2156" s="28" t="n">
        <f aca="false">AP2156*$M2156</f>
        <v>0</v>
      </c>
      <c r="AR2156" s="28"/>
      <c r="AS2156" s="28" t="n">
        <f aca="false">AR2156*$M2156</f>
        <v>0</v>
      </c>
      <c r="AT2156" s="28"/>
      <c r="AU2156" s="28" t="n">
        <f aca="false">AT2156*$M2156</f>
        <v>0</v>
      </c>
      <c r="AV2156" s="28"/>
      <c r="AW2156" s="28" t="n">
        <f aca="false">AV2156*$M2156</f>
        <v>0</v>
      </c>
      <c r="AX2156" s="28"/>
      <c r="AY2156" s="28" t="n">
        <f aca="false">AX2156*$M2156</f>
        <v>0</v>
      </c>
      <c r="AZ2156" s="30" t="n">
        <f aca="false">5697511/100</f>
        <v>56975.11</v>
      </c>
      <c r="BA2156" s="11" t="n">
        <v>683701</v>
      </c>
      <c r="BB2156" s="31" t="n">
        <f aca="false">SUM(Q2156,S2156,U2156,W2156,Y2156,AA2156,AC2156,AE2156,AG2156,AI2156,AK2156,AM2156,AO2156,AQ2156,AS2156,AU2156,AW2156,AY2156)</f>
        <v>683701</v>
      </c>
      <c r="BC2156" s="28" t="n">
        <f aca="false">BA2156-BB2156</f>
        <v>0</v>
      </c>
      <c r="BD2156" s="32" t="n">
        <f aca="false">SUM(P2156,R2156,T2156,V2156,X2156,Z2156,AB2156,AD2156,AF2156,AH2156,AJ2156,AL2156,AN2156,AP2156,AR2156,AT2156,AV2156,AX2156)</f>
        <v>56975.11</v>
      </c>
      <c r="BE2156" s="33" t="n">
        <f aca="false">AZ2156-BD2156</f>
        <v>0</v>
      </c>
      <c r="BF2156" s="34" t="n">
        <f aca="false">BD2156*M2156</f>
        <v>683701.32</v>
      </c>
      <c r="BG2156" s="35" t="n">
        <f aca="false">BA2156-BF2156</f>
        <v>-0.320000000065193</v>
      </c>
      <c r="BH2156" s="19" t="str">
        <f aca="false">IF(BG2156=0,"",IF(BG2156&lt;&gt;BA2156,"erreur de calcul",IF(BD2156&lt;&gt;0,"pas de prix",IF(M2156&lt;&gt; 0,"pas de quantité","pas de prix, ni de quantité"))))</f>
        <v>erreur de calcul</v>
      </c>
      <c r="BI2156" s="19"/>
    </row>
    <row r="2157" customFormat="false" ht="15" hidden="false" customHeight="false" outlineLevel="0" collapsed="false">
      <c r="A2157" s="0" t="n">
        <v>8</v>
      </c>
      <c r="B2157" s="8" t="s">
        <v>24</v>
      </c>
      <c r="C2157" s="9" t="s">
        <v>25</v>
      </c>
      <c r="D2157" s="9" t="s">
        <v>26</v>
      </c>
      <c r="E2157" s="10" t="n">
        <v>1789</v>
      </c>
      <c r="F2157" s="9" t="s">
        <v>27</v>
      </c>
      <c r="G2157" s="9" t="s">
        <v>27</v>
      </c>
      <c r="H2157" s="11" t="n">
        <v>20</v>
      </c>
      <c r="I2157" s="11" t="s">
        <v>124</v>
      </c>
      <c r="J2157" s="14" t="n">
        <v>34</v>
      </c>
      <c r="K2157" s="14"/>
      <c r="L2157" s="16"/>
      <c r="M2157" s="27" t="n">
        <f aca="false">J2157+(K2157/20)+(L2157/240)</f>
        <v>34</v>
      </c>
      <c r="N2157" s="17" t="s">
        <v>64</v>
      </c>
      <c r="O2157" s="11"/>
      <c r="P2157" s="28"/>
      <c r="Q2157" s="28" t="n">
        <f aca="false">P2157*$M2157</f>
        <v>0</v>
      </c>
      <c r="R2157" s="28"/>
      <c r="S2157" s="28" t="n">
        <f aca="false">R2157*$M2157</f>
        <v>0</v>
      </c>
      <c r="T2157" s="28" t="n">
        <f aca="false">528/100</f>
        <v>5.28</v>
      </c>
      <c r="U2157" s="28" t="n">
        <v>179</v>
      </c>
      <c r="V2157" s="28"/>
      <c r="W2157" s="28" t="n">
        <f aca="false">V2157*$M2157</f>
        <v>0</v>
      </c>
      <c r="X2157" s="28" t="n">
        <f aca="false">1014/100</f>
        <v>10.14</v>
      </c>
      <c r="Y2157" s="36" t="n">
        <v>243</v>
      </c>
      <c r="Z2157" s="28"/>
      <c r="AA2157" s="28" t="n">
        <f aca="false">Z2157*$M2157</f>
        <v>0</v>
      </c>
      <c r="AB2157" s="28"/>
      <c r="AC2157" s="28" t="n">
        <f aca="false">AB2157*$M2157</f>
        <v>0</v>
      </c>
      <c r="AD2157" s="28"/>
      <c r="AE2157" s="28" t="n">
        <f aca="false">AD2157*$M2157</f>
        <v>0</v>
      </c>
      <c r="AF2157" s="28"/>
      <c r="AG2157" s="28" t="n">
        <f aca="false">AF2157*$M2157</f>
        <v>0</v>
      </c>
      <c r="AH2157" s="28"/>
      <c r="AI2157" s="28" t="n">
        <f aca="false">AH2157*$M2157</f>
        <v>0</v>
      </c>
      <c r="AJ2157" s="28" t="n">
        <f aca="false">1917/100</f>
        <v>19.17</v>
      </c>
      <c r="AK2157" s="28" t="n">
        <v>652</v>
      </c>
      <c r="AL2157" s="28"/>
      <c r="AM2157" s="28" t="n">
        <f aca="false">AL2157*$M2157</f>
        <v>0</v>
      </c>
      <c r="AN2157" s="28"/>
      <c r="AO2157" s="28" t="n">
        <f aca="false">AN2157*$M2157</f>
        <v>0</v>
      </c>
      <c r="AP2157" s="28"/>
      <c r="AQ2157" s="28" t="n">
        <f aca="false">AP2157*$M2157</f>
        <v>0</v>
      </c>
      <c r="AR2157" s="28"/>
      <c r="AS2157" s="28" t="n">
        <f aca="false">AR2157*$M2157</f>
        <v>0</v>
      </c>
      <c r="AT2157" s="28"/>
      <c r="AU2157" s="28" t="n">
        <f aca="false">AT2157*$M2157</f>
        <v>0</v>
      </c>
      <c r="AV2157" s="28"/>
      <c r="AW2157" s="28" t="n">
        <f aca="false">AV2157*$M2157</f>
        <v>0</v>
      </c>
      <c r="AX2157" s="28"/>
      <c r="AY2157" s="28" t="n">
        <f aca="false">AX2157*$M2157</f>
        <v>0</v>
      </c>
      <c r="AZ2157" s="30" t="n">
        <f aca="false">3459/100</f>
        <v>34.59</v>
      </c>
      <c r="BA2157" s="11" t="n">
        <v>1074</v>
      </c>
      <c r="BB2157" s="31" t="n">
        <f aca="false">SUM(Q2157,S2157,U2157,W2157,Y2157,AA2157,AC2157,AE2157,AG2157,AI2157,AK2157,AM2157,AO2157,AQ2157,AS2157,AU2157,AW2157,AY2157)</f>
        <v>1074</v>
      </c>
      <c r="BC2157" s="28" t="n">
        <f aca="false">BA2157-BB2157</f>
        <v>0</v>
      </c>
      <c r="BD2157" s="32" t="n">
        <f aca="false">SUM(P2157,R2157,T2157,V2157,X2157,Z2157,AB2157,AD2157,AF2157,AH2157,AJ2157,AL2157,AN2157,AP2157,AR2157,AT2157,AV2157,AX2157)</f>
        <v>34.59</v>
      </c>
      <c r="BE2157" s="33" t="n">
        <f aca="false">AZ2157-BD2157</f>
        <v>0</v>
      </c>
      <c r="BF2157" s="34" t="n">
        <f aca="false">BD2157*M2157</f>
        <v>1176.06</v>
      </c>
      <c r="BG2157" s="35" t="n">
        <f aca="false">BA2157-BF2157</f>
        <v>-102.06</v>
      </c>
      <c r="BH2157" s="19" t="str">
        <f aca="false">IF(BG2157=0,"",IF(BG2157&lt;&gt;BA2157,"erreur de calcul",IF(BD2157&lt;&gt;0,"pas de prix",IF(M2157&lt;&gt; 0,"pas de quantité","pas de prix, ni de quantité"))))</f>
        <v>erreur de calcul</v>
      </c>
      <c r="BI2157" s="19"/>
    </row>
    <row r="2158" customFormat="false" ht="15" hidden="false" customHeight="false" outlineLevel="0" collapsed="false">
      <c r="A2158" s="0" t="n">
        <v>9</v>
      </c>
      <c r="B2158" s="8" t="s">
        <v>24</v>
      </c>
      <c r="C2158" s="9" t="s">
        <v>25</v>
      </c>
      <c r="D2158" s="9" t="s">
        <v>26</v>
      </c>
      <c r="E2158" s="10" t="n">
        <v>1789</v>
      </c>
      <c r="F2158" s="9" t="s">
        <v>27</v>
      </c>
      <c r="G2158" s="9" t="s">
        <v>27</v>
      </c>
      <c r="H2158" s="11" t="n">
        <v>20</v>
      </c>
      <c r="I2158" s="11" t="s">
        <v>125</v>
      </c>
      <c r="J2158" s="14" t="n">
        <v>30</v>
      </c>
      <c r="K2158" s="14"/>
      <c r="L2158" s="16"/>
      <c r="M2158" s="27" t="n">
        <f aca="false">J2158+(K2158/20)+(L2158/240)</f>
        <v>30</v>
      </c>
      <c r="N2158" s="17" t="s">
        <v>64</v>
      </c>
      <c r="O2158" s="11"/>
      <c r="P2158" s="28" t="n">
        <f aca="false">31476/100</f>
        <v>314.76</v>
      </c>
      <c r="Q2158" s="28" t="n">
        <v>9443</v>
      </c>
      <c r="R2158" s="28"/>
      <c r="S2158" s="28" t="n">
        <f aca="false">R2158*$M2158</f>
        <v>0</v>
      </c>
      <c r="T2158" s="28"/>
      <c r="U2158" s="28" t="n">
        <f aca="false">T2158*$M2158</f>
        <v>0</v>
      </c>
      <c r="V2158" s="28"/>
      <c r="W2158" s="28" t="n">
        <f aca="false">V2158*$M2158</f>
        <v>0</v>
      </c>
      <c r="X2158" s="28" t="n">
        <f aca="false">2320/100</f>
        <v>23.2</v>
      </c>
      <c r="Y2158" s="28" t="n">
        <v>696</v>
      </c>
      <c r="Z2158" s="28"/>
      <c r="AA2158" s="28" t="n">
        <f aca="false">Z2158*$M2158</f>
        <v>0</v>
      </c>
      <c r="AB2158" s="28"/>
      <c r="AC2158" s="28" t="n">
        <f aca="false">AB2158*$M2158</f>
        <v>0</v>
      </c>
      <c r="AD2158" s="28"/>
      <c r="AE2158" s="28" t="n">
        <f aca="false">AD2158*$M2158</f>
        <v>0</v>
      </c>
      <c r="AF2158" s="28"/>
      <c r="AG2158" s="28" t="n">
        <f aca="false">AF2158*$M2158</f>
        <v>0</v>
      </c>
      <c r="AH2158" s="28"/>
      <c r="AI2158" s="28" t="n">
        <f aca="false">AH2158*$M2158</f>
        <v>0</v>
      </c>
      <c r="AJ2158" s="28"/>
      <c r="AK2158" s="28" t="n">
        <f aca="false">AJ2158*$M2158</f>
        <v>0</v>
      </c>
      <c r="AL2158" s="28"/>
      <c r="AM2158" s="28" t="n">
        <f aca="false">AL2158*$M2158</f>
        <v>0</v>
      </c>
      <c r="AN2158" s="28"/>
      <c r="AO2158" s="28" t="n">
        <f aca="false">AN2158*$M2158</f>
        <v>0</v>
      </c>
      <c r="AP2158" s="28" t="n">
        <f aca="false">5100/100</f>
        <v>51</v>
      </c>
      <c r="AQ2158" s="28" t="n">
        <v>1530</v>
      </c>
      <c r="AR2158" s="28"/>
      <c r="AS2158" s="28" t="n">
        <f aca="false">AR2158*$M2158</f>
        <v>0</v>
      </c>
      <c r="AT2158" s="28"/>
      <c r="AU2158" s="28" t="n">
        <f aca="false">AT2158*$M2158</f>
        <v>0</v>
      </c>
      <c r="AV2158" s="28"/>
      <c r="AW2158" s="28" t="n">
        <f aca="false">AV2158*$M2158</f>
        <v>0</v>
      </c>
      <c r="AX2158" s="28" t="n">
        <f aca="false">26345/100</f>
        <v>263.45</v>
      </c>
      <c r="AY2158" s="28" t="n">
        <v>7903</v>
      </c>
      <c r="AZ2158" s="30" t="n">
        <f aca="false">65241/100</f>
        <v>652.41</v>
      </c>
      <c r="BA2158" s="11" t="n">
        <v>19572</v>
      </c>
      <c r="BB2158" s="31" t="n">
        <f aca="false">SUM(Q2158,S2158,U2158,W2158,Y2158,AA2158,AC2158,AE2158,AG2158,AI2158,AK2158,AM2158,AO2158,AQ2158,AS2158,AU2158,AW2158,AY2158)</f>
        <v>19572</v>
      </c>
      <c r="BC2158" s="28" t="n">
        <f aca="false">BA2158-BB2158</f>
        <v>0</v>
      </c>
      <c r="BD2158" s="32" t="n">
        <f aca="false">SUM(P2158,R2158,T2158,V2158,X2158,Z2158,AB2158,AD2158,AF2158,AH2158,AJ2158,AL2158,AN2158,AP2158,AR2158,AT2158,AV2158,AX2158)</f>
        <v>652.41</v>
      </c>
      <c r="BE2158" s="33" t="n">
        <f aca="false">AZ2158-BD2158</f>
        <v>0</v>
      </c>
      <c r="BF2158" s="34" t="n">
        <f aca="false">BD2158*M2158</f>
        <v>19572.3</v>
      </c>
      <c r="BG2158" s="35" t="n">
        <f aca="false">BA2158-BF2158</f>
        <v>-0.299999999999272</v>
      </c>
      <c r="BH2158" s="19" t="str">
        <f aca="false">IF(BG2158=0,"",IF(BG2158&lt;&gt;BA2158,"erreur de calcul",IF(BD2158&lt;&gt;0,"pas de prix",IF(M2158&lt;&gt; 0,"pas de quantité","pas de prix, ni de quantité"))))</f>
        <v>erreur de calcul</v>
      </c>
      <c r="BI2158" s="19"/>
    </row>
    <row r="2159" customFormat="false" ht="15" hidden="false" customHeight="false" outlineLevel="0" collapsed="false">
      <c r="A2159" s="0" t="n">
        <v>10</v>
      </c>
      <c r="B2159" s="8" t="s">
        <v>24</v>
      </c>
      <c r="C2159" s="9" t="s">
        <v>25</v>
      </c>
      <c r="D2159" s="9" t="s">
        <v>26</v>
      </c>
      <c r="E2159" s="10" t="n">
        <v>1789</v>
      </c>
      <c r="F2159" s="9" t="s">
        <v>27</v>
      </c>
      <c r="G2159" s="9" t="s">
        <v>27</v>
      </c>
      <c r="H2159" s="11" t="n">
        <v>20</v>
      </c>
      <c r="I2159" s="11" t="s">
        <v>126</v>
      </c>
      <c r="J2159" s="14" t="n">
        <v>75</v>
      </c>
      <c r="K2159" s="14"/>
      <c r="L2159" s="16"/>
      <c r="M2159" s="27" t="n">
        <f aca="false">J2159+(K2159/20)+(L2159/240)</f>
        <v>75</v>
      </c>
      <c r="N2159" s="17" t="s">
        <v>64</v>
      </c>
      <c r="O2159" s="11"/>
      <c r="P2159" s="28"/>
      <c r="Q2159" s="28" t="n">
        <f aca="false">P2159*$M2159</f>
        <v>0</v>
      </c>
      <c r="R2159" s="28"/>
      <c r="S2159" s="28" t="n">
        <f aca="false">R2159*$M2159</f>
        <v>0</v>
      </c>
      <c r="T2159" s="28"/>
      <c r="U2159" s="28" t="n">
        <f aca="false">T2159*$M2159</f>
        <v>0</v>
      </c>
      <c r="V2159" s="28" t="n">
        <f aca="false">223/100</f>
        <v>2.23</v>
      </c>
      <c r="W2159" s="28" t="n">
        <v>167</v>
      </c>
      <c r="X2159" s="28" t="n">
        <f aca="false">2897/100</f>
        <v>28.97</v>
      </c>
      <c r="Y2159" s="28" t="n">
        <v>2173</v>
      </c>
      <c r="Z2159" s="28"/>
      <c r="AA2159" s="28" t="n">
        <f aca="false">Z2159*$M2159</f>
        <v>0</v>
      </c>
      <c r="AB2159" s="28"/>
      <c r="AC2159" s="28" t="n">
        <f aca="false">AB2159*$M2159</f>
        <v>0</v>
      </c>
      <c r="AD2159" s="28"/>
      <c r="AE2159" s="28" t="n">
        <f aca="false">AD2159*$M2159</f>
        <v>0</v>
      </c>
      <c r="AF2159" s="28"/>
      <c r="AG2159" s="28" t="n">
        <f aca="false">AF2159*$M2159</f>
        <v>0</v>
      </c>
      <c r="AH2159" s="28"/>
      <c r="AI2159" s="28" t="n">
        <f aca="false">AH2159*$M2159</f>
        <v>0</v>
      </c>
      <c r="AJ2159" s="28"/>
      <c r="AK2159" s="28" t="n">
        <f aca="false">AJ2159*$M2159</f>
        <v>0</v>
      </c>
      <c r="AL2159" s="28"/>
      <c r="AM2159" s="28" t="n">
        <f aca="false">AL2159*$M2159</f>
        <v>0</v>
      </c>
      <c r="AN2159" s="28"/>
      <c r="AO2159" s="28" t="n">
        <f aca="false">AN2159*$M2159</f>
        <v>0</v>
      </c>
      <c r="AP2159" s="28"/>
      <c r="AQ2159" s="28" t="n">
        <f aca="false">AP2159*$M2159</f>
        <v>0</v>
      </c>
      <c r="AR2159" s="28"/>
      <c r="AS2159" s="28" t="n">
        <f aca="false">AR2159*$M2159</f>
        <v>0</v>
      </c>
      <c r="AT2159" s="28"/>
      <c r="AU2159" s="28" t="n">
        <f aca="false">AT2159*$M2159</f>
        <v>0</v>
      </c>
      <c r="AV2159" s="28"/>
      <c r="AW2159" s="28" t="n">
        <f aca="false">AV2159*$M2159</f>
        <v>0</v>
      </c>
      <c r="AX2159" s="28"/>
      <c r="AY2159" s="28" t="n">
        <f aca="false">AX2159*$M2159</f>
        <v>0</v>
      </c>
      <c r="AZ2159" s="30" t="n">
        <f aca="false">3120/100</f>
        <v>31.2</v>
      </c>
      <c r="BA2159" s="11" t="n">
        <v>2340</v>
      </c>
      <c r="BB2159" s="31" t="n">
        <f aca="false">SUM(Q2159,S2159,U2159,W2159,Y2159,AA2159,AC2159,AE2159,AG2159,AI2159,AK2159,AM2159,AO2159,AQ2159,AS2159,AU2159,AW2159,AY2159)</f>
        <v>2340</v>
      </c>
      <c r="BC2159" s="28" t="n">
        <f aca="false">BA2159-BB2159</f>
        <v>0</v>
      </c>
      <c r="BD2159" s="32" t="n">
        <f aca="false">SUM(P2159,R2159,T2159,V2159,X2159,Z2159,AB2159,AD2159,AF2159,AH2159,AJ2159,AL2159,AN2159,AP2159,AR2159,AT2159,AV2159,AX2159)</f>
        <v>31.2</v>
      </c>
      <c r="BE2159" s="33" t="n">
        <f aca="false">AZ2159-BD2159</f>
        <v>0</v>
      </c>
      <c r="BF2159" s="34" t="n">
        <f aca="false">BD2159*M2159</f>
        <v>2340</v>
      </c>
      <c r="BG2159" s="35" t="n">
        <f aca="false">BA2159-BF2159</f>
        <v>0</v>
      </c>
      <c r="BH2159" s="19" t="str">
        <f aca="false">IF(BG2159=0,"",IF(BG2159&lt;&gt;BA2159,"erreur de calcul",IF(BD2159&lt;&gt;0,"pas de prix",IF(M2159&lt;&gt; 0,"pas de quantité","pas de prix, ni de quantité"))))</f>
        <v/>
      </c>
      <c r="BI2159" s="19"/>
    </row>
    <row r="2160" customFormat="false" ht="15" hidden="false" customHeight="false" outlineLevel="0" collapsed="false">
      <c r="A2160" s="0" t="n">
        <v>11</v>
      </c>
      <c r="B2160" s="8" t="s">
        <v>24</v>
      </c>
      <c r="C2160" s="9" t="s">
        <v>25</v>
      </c>
      <c r="D2160" s="9" t="s">
        <v>26</v>
      </c>
      <c r="E2160" s="10" t="n">
        <v>1789</v>
      </c>
      <c r="F2160" s="9" t="s">
        <v>27</v>
      </c>
      <c r="G2160" s="9" t="s">
        <v>27</v>
      </c>
      <c r="H2160" s="11" t="n">
        <v>20</v>
      </c>
      <c r="I2160" s="11" t="s">
        <v>127</v>
      </c>
      <c r="J2160" s="14" t="n">
        <v>75</v>
      </c>
      <c r="K2160" s="14"/>
      <c r="L2160" s="16"/>
      <c r="M2160" s="27" t="n">
        <f aca="false">J2160+(K2160/20)+(L2160/240)</f>
        <v>75</v>
      </c>
      <c r="N2160" s="17" t="s">
        <v>64</v>
      </c>
      <c r="O2160" s="11"/>
      <c r="P2160" s="28"/>
      <c r="Q2160" s="28" t="n">
        <f aca="false">P2160*$M2160</f>
        <v>0</v>
      </c>
      <c r="R2160" s="28"/>
      <c r="S2160" s="28" t="n">
        <f aca="false">R2160*$M2160</f>
        <v>0</v>
      </c>
      <c r="T2160" s="28" t="n">
        <f aca="false">5807/100</f>
        <v>58.07</v>
      </c>
      <c r="U2160" s="28" t="n">
        <v>4355</v>
      </c>
      <c r="V2160" s="28"/>
      <c r="W2160" s="28" t="n">
        <f aca="false">V2160*$M2160</f>
        <v>0</v>
      </c>
      <c r="X2160" s="28"/>
      <c r="Y2160" s="28" t="n">
        <f aca="false">X2160*$M2160</f>
        <v>0</v>
      </c>
      <c r="Z2160" s="28"/>
      <c r="AA2160" s="28" t="n">
        <f aca="false">Z2160*$M2160</f>
        <v>0</v>
      </c>
      <c r="AB2160" s="28"/>
      <c r="AC2160" s="28" t="n">
        <f aca="false">AB2160*$M2160</f>
        <v>0</v>
      </c>
      <c r="AD2160" s="28"/>
      <c r="AE2160" s="28" t="n">
        <f aca="false">AD2160*$M2160</f>
        <v>0</v>
      </c>
      <c r="AF2160" s="28"/>
      <c r="AG2160" s="28" t="n">
        <f aca="false">AF2160*$M2160</f>
        <v>0</v>
      </c>
      <c r="AH2160" s="28"/>
      <c r="AI2160" s="28" t="n">
        <f aca="false">AH2160*$M2160</f>
        <v>0</v>
      </c>
      <c r="AJ2160" s="28"/>
      <c r="AK2160" s="28" t="n">
        <f aca="false">AJ2160*$M2160</f>
        <v>0</v>
      </c>
      <c r="AL2160" s="28"/>
      <c r="AM2160" s="28" t="n">
        <f aca="false">AL2160*$M2160</f>
        <v>0</v>
      </c>
      <c r="AN2160" s="28"/>
      <c r="AO2160" s="28" t="n">
        <f aca="false">AN2160*$M2160</f>
        <v>0</v>
      </c>
      <c r="AP2160" s="28"/>
      <c r="AQ2160" s="28" t="n">
        <f aca="false">AP2160*$M2160</f>
        <v>0</v>
      </c>
      <c r="AR2160" s="28"/>
      <c r="AS2160" s="28" t="n">
        <f aca="false">AR2160*$M2160</f>
        <v>0</v>
      </c>
      <c r="AT2160" s="28"/>
      <c r="AU2160" s="28" t="n">
        <f aca="false">AT2160*$M2160</f>
        <v>0</v>
      </c>
      <c r="AV2160" s="28"/>
      <c r="AW2160" s="28" t="n">
        <f aca="false">AV2160*$M2160</f>
        <v>0</v>
      </c>
      <c r="AX2160" s="28"/>
      <c r="AY2160" s="28" t="n">
        <f aca="false">AX2160*$M2160</f>
        <v>0</v>
      </c>
      <c r="AZ2160" s="30" t="n">
        <f aca="false">5807/100</f>
        <v>58.07</v>
      </c>
      <c r="BA2160" s="11" t="n">
        <v>4355</v>
      </c>
      <c r="BB2160" s="31" t="n">
        <f aca="false">SUM(Q2160,S2160,U2160,W2160,Y2160,AA2160,AC2160,AE2160,AG2160,AI2160,AK2160,AM2160,AO2160,AQ2160,AS2160,AU2160,AW2160,AY2160)</f>
        <v>4355</v>
      </c>
      <c r="BC2160" s="28" t="n">
        <f aca="false">BA2160-BB2160</f>
        <v>0</v>
      </c>
      <c r="BD2160" s="32" t="n">
        <f aca="false">SUM(P2160,R2160,T2160,V2160,X2160,Z2160,AB2160,AD2160,AF2160,AH2160,AJ2160,AL2160,AN2160,AP2160,AR2160,AT2160,AV2160,AX2160)</f>
        <v>58.07</v>
      </c>
      <c r="BE2160" s="33" t="n">
        <f aca="false">AZ2160-BD2160</f>
        <v>0</v>
      </c>
      <c r="BF2160" s="34" t="n">
        <f aca="false">BD2160*M2160</f>
        <v>4355.25</v>
      </c>
      <c r="BG2160" s="35" t="n">
        <f aca="false">BA2160-BF2160</f>
        <v>-0.25</v>
      </c>
      <c r="BH2160" s="19" t="str">
        <f aca="false">IF(BG2160=0,"",IF(BG2160&lt;&gt;BA2160,"erreur de calcul",IF(BD2160&lt;&gt;0,"pas de prix",IF(M2160&lt;&gt; 0,"pas de quantité","pas de prix, ni de quantité"))))</f>
        <v>erreur de calcul</v>
      </c>
      <c r="BI2160" s="19"/>
    </row>
    <row r="2161" customFormat="false" ht="15" hidden="false" customHeight="false" outlineLevel="0" collapsed="false">
      <c r="A2161" s="0" t="n">
        <v>12</v>
      </c>
      <c r="B2161" s="8" t="s">
        <v>24</v>
      </c>
      <c r="C2161" s="9" t="s">
        <v>25</v>
      </c>
      <c r="D2161" s="9" t="s">
        <v>26</v>
      </c>
      <c r="E2161" s="10" t="n">
        <v>1789</v>
      </c>
      <c r="F2161" s="9" t="s">
        <v>27</v>
      </c>
      <c r="G2161" s="9" t="s">
        <v>27</v>
      </c>
      <c r="H2161" s="11" t="n">
        <v>20</v>
      </c>
      <c r="I2161" s="11" t="s">
        <v>128</v>
      </c>
      <c r="J2161" s="14" t="n">
        <v>42</v>
      </c>
      <c r="K2161" s="14"/>
      <c r="L2161" s="16"/>
      <c r="M2161" s="27" t="n">
        <f aca="false">J2161+(K2161/20)+(L2161/240)</f>
        <v>42</v>
      </c>
      <c r="N2161" s="17" t="s">
        <v>64</v>
      </c>
      <c r="O2161" s="11"/>
      <c r="P2161" s="28"/>
      <c r="Q2161" s="28" t="n">
        <f aca="false">P2161*$M2161</f>
        <v>0</v>
      </c>
      <c r="R2161" s="28"/>
      <c r="S2161" s="28" t="n">
        <f aca="false">R2161*$M2161</f>
        <v>0</v>
      </c>
      <c r="T2161" s="28" t="n">
        <f aca="false">347073/100</f>
        <v>3470.73</v>
      </c>
      <c r="U2161" s="28" t="n">
        <v>145771</v>
      </c>
      <c r="V2161" s="28" t="n">
        <f aca="false">188616/100</f>
        <v>1886.16</v>
      </c>
      <c r="W2161" s="28" t="n">
        <v>79219</v>
      </c>
      <c r="X2161" s="28" t="n">
        <f aca="false">518894/100</f>
        <v>5188.94</v>
      </c>
      <c r="Y2161" s="28" t="n">
        <v>217935</v>
      </c>
      <c r="Z2161" s="28" t="n">
        <f aca="false">965148/100</f>
        <v>9651.48</v>
      </c>
      <c r="AA2161" s="28" t="n">
        <v>405362</v>
      </c>
      <c r="AB2161" s="28" t="n">
        <f aca="false">759238/100</f>
        <v>7592.38</v>
      </c>
      <c r="AC2161" s="28" t="n">
        <v>318880</v>
      </c>
      <c r="AD2161" s="28" t="n">
        <f aca="false">254167/100</f>
        <v>2541.67</v>
      </c>
      <c r="AE2161" s="28" t="n">
        <v>106750</v>
      </c>
      <c r="AF2161" s="28"/>
      <c r="AG2161" s="28" t="n">
        <f aca="false">AF2161*$M2161</f>
        <v>0</v>
      </c>
      <c r="AH2161" s="28"/>
      <c r="AI2161" s="28" t="n">
        <f aca="false">AH2161*$M2161</f>
        <v>0</v>
      </c>
      <c r="AJ2161" s="28"/>
      <c r="AK2161" s="28" t="n">
        <f aca="false">AJ2161*$M2161</f>
        <v>0</v>
      </c>
      <c r="AL2161" s="28" t="n">
        <f aca="false">73551/100</f>
        <v>735.51</v>
      </c>
      <c r="AM2161" s="28" t="n">
        <v>30891</v>
      </c>
      <c r="AN2161" s="28"/>
      <c r="AO2161" s="28" t="n">
        <f aca="false">AN2161*$M2161</f>
        <v>0</v>
      </c>
      <c r="AP2161" s="28" t="n">
        <f aca="false">45836/100</f>
        <v>458.36</v>
      </c>
      <c r="AQ2161" s="28" t="n">
        <v>19251</v>
      </c>
      <c r="AR2161" s="28"/>
      <c r="AS2161" s="28" t="n">
        <f aca="false">AR2161*$M2161</f>
        <v>0</v>
      </c>
      <c r="AT2161" s="28"/>
      <c r="AU2161" s="28" t="n">
        <f aca="false">AT2161*$M2161</f>
        <v>0</v>
      </c>
      <c r="AV2161" s="28" t="n">
        <f aca="false">566574/100</f>
        <v>5665.74</v>
      </c>
      <c r="AW2161" s="28" t="n">
        <v>237961</v>
      </c>
      <c r="AX2161" s="28"/>
      <c r="AY2161" s="28" t="n">
        <f aca="false">AX2161*$M2161</f>
        <v>0</v>
      </c>
      <c r="AZ2161" s="30" t="n">
        <f aca="false">3719097/100</f>
        <v>37190.97</v>
      </c>
      <c r="BA2161" s="11" t="n">
        <v>1562020</v>
      </c>
      <c r="BB2161" s="31" t="n">
        <f aca="false">SUM(Q2161,S2161,U2161,W2161,Y2161,AA2161,AC2161,AE2161,AG2161,AI2161,AK2161,AM2161,AO2161,AQ2161,AS2161,AU2161,AW2161,AY2161)</f>
        <v>1562020</v>
      </c>
      <c r="BC2161" s="28" t="n">
        <f aca="false">BA2161-BB2161</f>
        <v>0</v>
      </c>
      <c r="BD2161" s="32" t="n">
        <f aca="false">SUM(P2161,R2161,T2161,V2161,X2161,Z2161,AB2161,AD2161,AF2161,AH2161,AJ2161,AL2161,AN2161,AP2161,AR2161,AT2161,AV2161,AX2161)</f>
        <v>37190.97</v>
      </c>
      <c r="BE2161" s="33" t="n">
        <f aca="false">AZ2161-BD2161</f>
        <v>0</v>
      </c>
      <c r="BF2161" s="34" t="n">
        <f aca="false">BD2161*M2161</f>
        <v>1562020.74</v>
      </c>
      <c r="BG2161" s="35" t="n">
        <f aca="false">BA2161-BF2161</f>
        <v>-0.739999999990687</v>
      </c>
      <c r="BH2161" s="19" t="str">
        <f aca="false">IF(BG2161=0,"",IF(BG2161&lt;&gt;BA2161,"erreur de calcul",IF(BD2161&lt;&gt;0,"pas de prix",IF(M2161&lt;&gt; 0,"pas de quantité","pas de prix, ni de quantité"))))</f>
        <v>erreur de calcul</v>
      </c>
      <c r="BI2161" s="19"/>
    </row>
    <row r="2162" customFormat="false" ht="15" hidden="false" customHeight="false" outlineLevel="0" collapsed="false">
      <c r="A2162" s="0" t="n">
        <v>13</v>
      </c>
      <c r="B2162" s="8" t="s">
        <v>24</v>
      </c>
      <c r="C2162" s="9" t="s">
        <v>25</v>
      </c>
      <c r="D2162" s="9" t="s">
        <v>26</v>
      </c>
      <c r="E2162" s="10" t="n">
        <v>1789</v>
      </c>
      <c r="F2162" s="9" t="s">
        <v>27</v>
      </c>
      <c r="G2162" s="9" t="s">
        <v>27</v>
      </c>
      <c r="H2162" s="11" t="n">
        <v>20</v>
      </c>
      <c r="I2162" s="11" t="s">
        <v>129</v>
      </c>
      <c r="J2162" s="14" t="n">
        <v>75</v>
      </c>
      <c r="K2162" s="14"/>
      <c r="L2162" s="16"/>
      <c r="M2162" s="27" t="n">
        <f aca="false">J2162+(K2162/20)+(L2162/240)</f>
        <v>75</v>
      </c>
      <c r="N2162" s="17" t="s">
        <v>64</v>
      </c>
      <c r="O2162" s="11"/>
      <c r="P2162" s="28"/>
      <c r="Q2162" s="28" t="n">
        <f aca="false">P2162*$M2162</f>
        <v>0</v>
      </c>
      <c r="R2162" s="28"/>
      <c r="S2162" s="28" t="n">
        <f aca="false">R2162*$M2162</f>
        <v>0</v>
      </c>
      <c r="T2162" s="28"/>
      <c r="U2162" s="28" t="n">
        <f aca="false">T2162*$M2162</f>
        <v>0</v>
      </c>
      <c r="V2162" s="28" t="n">
        <f aca="false">3418/100</f>
        <v>34.18</v>
      </c>
      <c r="W2162" s="28" t="n">
        <v>2563</v>
      </c>
      <c r="X2162" s="28" t="n">
        <f aca="false">3755/100</f>
        <v>37.55</v>
      </c>
      <c r="Y2162" s="28" t="n">
        <v>2817</v>
      </c>
      <c r="Z2162" s="28"/>
      <c r="AA2162" s="28" t="n">
        <f aca="false">Z2162*$M2162</f>
        <v>0</v>
      </c>
      <c r="AB2162" s="28" t="n">
        <f aca="false">75529/100</f>
        <v>755.29</v>
      </c>
      <c r="AC2162" s="28" t="n">
        <v>56647</v>
      </c>
      <c r="AD2162" s="28"/>
      <c r="AE2162" s="28" t="n">
        <f aca="false">AD2162*$M2162</f>
        <v>0</v>
      </c>
      <c r="AF2162" s="28"/>
      <c r="AG2162" s="28" t="n">
        <f aca="false">AF2162*$M2162</f>
        <v>0</v>
      </c>
      <c r="AH2162" s="28"/>
      <c r="AI2162" s="28" t="n">
        <f aca="false">AH2162*$M2162</f>
        <v>0</v>
      </c>
      <c r="AJ2162" s="28"/>
      <c r="AK2162" s="28" t="n">
        <f aca="false">AJ2162*$M2162</f>
        <v>0</v>
      </c>
      <c r="AL2162" s="28"/>
      <c r="AM2162" s="28" t="n">
        <f aca="false">AL2162*$M2162</f>
        <v>0</v>
      </c>
      <c r="AN2162" s="28"/>
      <c r="AO2162" s="28" t="n">
        <f aca="false">AN2162*$M2162</f>
        <v>0</v>
      </c>
      <c r="AP2162" s="28"/>
      <c r="AQ2162" s="28" t="n">
        <f aca="false">AP2162*$M2162</f>
        <v>0</v>
      </c>
      <c r="AR2162" s="28"/>
      <c r="AS2162" s="28" t="n">
        <f aca="false">AR2162*$M2162</f>
        <v>0</v>
      </c>
      <c r="AT2162" s="28"/>
      <c r="AU2162" s="28" t="n">
        <f aca="false">AT2162*$M2162</f>
        <v>0</v>
      </c>
      <c r="AV2162" s="28"/>
      <c r="AW2162" s="28" t="n">
        <f aca="false">AV2162*$M2162</f>
        <v>0</v>
      </c>
      <c r="AX2162" s="28"/>
      <c r="AY2162" s="28" t="n">
        <f aca="false">AX2162*$M2162</f>
        <v>0</v>
      </c>
      <c r="AZ2162" s="30" t="n">
        <f aca="false">82702/100</f>
        <v>827.02</v>
      </c>
      <c r="BA2162" s="11" t="n">
        <v>62027</v>
      </c>
      <c r="BB2162" s="31" t="n">
        <f aca="false">SUM(Q2162,S2162,U2162,W2162,Y2162,AA2162,AC2162,AE2162,AG2162,AI2162,AK2162,AM2162,AO2162,AQ2162,AS2162,AU2162,AW2162,AY2162)</f>
        <v>62027</v>
      </c>
      <c r="BC2162" s="28" t="n">
        <f aca="false">BA2162-BB2162</f>
        <v>0</v>
      </c>
      <c r="BD2162" s="32" t="n">
        <f aca="false">SUM(P2162,R2162,T2162,V2162,X2162,Z2162,AB2162,AD2162,AF2162,AH2162,AJ2162,AL2162,AN2162,AP2162,AR2162,AT2162,AV2162,AX2162)</f>
        <v>827.02</v>
      </c>
      <c r="BE2162" s="33" t="n">
        <f aca="false">AZ2162-BD2162</f>
        <v>0</v>
      </c>
      <c r="BF2162" s="34" t="n">
        <f aca="false">BD2162*M2162</f>
        <v>62026.5</v>
      </c>
      <c r="BG2162" s="35" t="n">
        <f aca="false">BA2162-BF2162</f>
        <v>0.500000000007276</v>
      </c>
      <c r="BH2162" s="19" t="str">
        <f aca="false">IF(BG2162=0,"",IF(BG2162&lt;&gt;BA2162,"erreur de calcul",IF(BD2162&lt;&gt;0,"pas de prix",IF(M2162&lt;&gt; 0,"pas de quantité","pas de prix, ni de quantité"))))</f>
        <v>erreur de calcul</v>
      </c>
      <c r="BI2162" s="19"/>
    </row>
    <row r="2163" customFormat="false" ht="15" hidden="false" customHeight="false" outlineLevel="0" collapsed="false">
      <c r="A2163" s="0" t="n">
        <v>14</v>
      </c>
      <c r="B2163" s="8" t="s">
        <v>24</v>
      </c>
      <c r="C2163" s="9" t="s">
        <v>25</v>
      </c>
      <c r="D2163" s="9" t="s">
        <v>26</v>
      </c>
      <c r="E2163" s="10" t="n">
        <v>1789</v>
      </c>
      <c r="F2163" s="9" t="s">
        <v>27</v>
      </c>
      <c r="G2163" s="9" t="s">
        <v>27</v>
      </c>
      <c r="H2163" s="11" t="n">
        <v>20</v>
      </c>
      <c r="I2163" s="11" t="s">
        <v>130</v>
      </c>
      <c r="J2163" s="14" t="n">
        <v>170</v>
      </c>
      <c r="K2163" s="14"/>
      <c r="L2163" s="16"/>
      <c r="M2163" s="27" t="n">
        <f aca="false">J2163+(K2163/20)+(L2163/240)</f>
        <v>170</v>
      </c>
      <c r="N2163" s="17" t="s">
        <v>64</v>
      </c>
      <c r="O2163" s="11"/>
      <c r="P2163" s="28"/>
      <c r="Q2163" s="28" t="n">
        <f aca="false">P2163*$M2163</f>
        <v>0</v>
      </c>
      <c r="R2163" s="28"/>
      <c r="S2163" s="28" t="n">
        <f aca="false">R2163*$M2163</f>
        <v>0</v>
      </c>
      <c r="T2163" s="28" t="n">
        <f aca="false">488/100</f>
        <v>4.88</v>
      </c>
      <c r="U2163" s="28" t="n">
        <v>830</v>
      </c>
      <c r="V2163" s="28"/>
      <c r="W2163" s="28" t="n">
        <f aca="false">V2163*$M2163</f>
        <v>0</v>
      </c>
      <c r="X2163" s="28" t="n">
        <f aca="false">8480/100</f>
        <v>84.8</v>
      </c>
      <c r="Y2163" s="28" t="n">
        <v>14416</v>
      </c>
      <c r="Z2163" s="28"/>
      <c r="AA2163" s="28" t="n">
        <f aca="false">Z2163*$M2163</f>
        <v>0</v>
      </c>
      <c r="AB2163" s="28" t="n">
        <f aca="false">291/100</f>
        <v>2.91</v>
      </c>
      <c r="AC2163" s="28" t="n">
        <v>495</v>
      </c>
      <c r="AD2163" s="28"/>
      <c r="AE2163" s="28" t="n">
        <f aca="false">AD2163*$M2163</f>
        <v>0</v>
      </c>
      <c r="AF2163" s="28"/>
      <c r="AG2163" s="28" t="n">
        <f aca="false">AF2163*$M2163</f>
        <v>0</v>
      </c>
      <c r="AH2163" s="28"/>
      <c r="AI2163" s="28" t="n">
        <f aca="false">AH2163*$M2163</f>
        <v>0</v>
      </c>
      <c r="AJ2163" s="28"/>
      <c r="AK2163" s="28" t="n">
        <f aca="false">AJ2163*$M2163</f>
        <v>0</v>
      </c>
      <c r="AL2163" s="28"/>
      <c r="AM2163" s="28" t="n">
        <f aca="false">AL2163*$M2163</f>
        <v>0</v>
      </c>
      <c r="AN2163" s="28"/>
      <c r="AO2163" s="28" t="n">
        <f aca="false">AN2163*$M2163</f>
        <v>0</v>
      </c>
      <c r="AP2163" s="28"/>
      <c r="AQ2163" s="28" t="n">
        <f aca="false">AP2163*$M2163</f>
        <v>0</v>
      </c>
      <c r="AR2163" s="28"/>
      <c r="AS2163" s="28" t="n">
        <f aca="false">AR2163*$M2163</f>
        <v>0</v>
      </c>
      <c r="AT2163" s="28"/>
      <c r="AU2163" s="28" t="n">
        <f aca="false">AT2163*$M2163</f>
        <v>0</v>
      </c>
      <c r="AV2163" s="28"/>
      <c r="AW2163" s="28" t="n">
        <f aca="false">AV2163*$M2163</f>
        <v>0</v>
      </c>
      <c r="AX2163" s="28"/>
      <c r="AY2163" s="28" t="n">
        <f aca="false">AX2163*$M2163</f>
        <v>0</v>
      </c>
      <c r="AZ2163" s="30" t="n">
        <f aca="false">9259/100</f>
        <v>92.59</v>
      </c>
      <c r="BA2163" s="11" t="n">
        <v>15741</v>
      </c>
      <c r="BB2163" s="31" t="n">
        <f aca="false">SUM(Q2163,S2163,U2163,W2163,Y2163,AA2163,AC2163,AE2163,AG2163,AI2163,AK2163,AM2163,AO2163,AQ2163,AS2163,AU2163,AW2163,AY2163)</f>
        <v>15741</v>
      </c>
      <c r="BC2163" s="28" t="n">
        <f aca="false">BA2163-BB2163</f>
        <v>0</v>
      </c>
      <c r="BD2163" s="32" t="n">
        <f aca="false">SUM(P2163,R2163,T2163,V2163,X2163,Z2163,AB2163,AD2163,AF2163,AH2163,AJ2163,AL2163,AN2163,AP2163,AR2163,AT2163,AV2163,AX2163)</f>
        <v>92.59</v>
      </c>
      <c r="BE2163" s="33" t="n">
        <f aca="false">AZ2163-BD2163</f>
        <v>0</v>
      </c>
      <c r="BF2163" s="34" t="n">
        <f aca="false">BD2163*M2163</f>
        <v>15740.3</v>
      </c>
      <c r="BG2163" s="35" t="n">
        <f aca="false">BA2163-BF2163</f>
        <v>0.700000000002547</v>
      </c>
      <c r="BH2163" s="19" t="str">
        <f aca="false">IF(BG2163=0,"",IF(BG2163&lt;&gt;BA2163,"erreur de calcul",IF(BD2163&lt;&gt;0,"pas de prix",IF(M2163&lt;&gt; 0,"pas de quantité","pas de prix, ni de quantité"))))</f>
        <v>erreur de calcul</v>
      </c>
      <c r="BI2163" s="19"/>
    </row>
    <row r="2164" customFormat="false" ht="15" hidden="false" customHeight="false" outlineLevel="0" collapsed="false">
      <c r="A2164" s="0" t="n">
        <v>15</v>
      </c>
      <c r="B2164" s="8" t="s">
        <v>24</v>
      </c>
      <c r="C2164" s="9" t="s">
        <v>25</v>
      </c>
      <c r="D2164" s="9" t="s">
        <v>26</v>
      </c>
      <c r="E2164" s="10" t="n">
        <v>1789</v>
      </c>
      <c r="F2164" s="9" t="s">
        <v>27</v>
      </c>
      <c r="G2164" s="9" t="s">
        <v>27</v>
      </c>
      <c r="H2164" s="11" t="n">
        <v>20</v>
      </c>
      <c r="I2164" s="11" t="s">
        <v>131</v>
      </c>
      <c r="J2164" s="14"/>
      <c r="K2164" s="14" t="n">
        <v>55</v>
      </c>
      <c r="L2164" s="16"/>
      <c r="M2164" s="27" t="n">
        <f aca="false">J2164+(K2164/20)+(L2164/240)</f>
        <v>2.75</v>
      </c>
      <c r="N2164" s="17" t="s">
        <v>64</v>
      </c>
      <c r="O2164" s="11"/>
      <c r="P2164" s="28"/>
      <c r="Q2164" s="28" t="n">
        <f aca="false">P2164*$M2164</f>
        <v>0</v>
      </c>
      <c r="R2164" s="28"/>
      <c r="S2164" s="28" t="n">
        <f aca="false">R2164*$M2164</f>
        <v>0</v>
      </c>
      <c r="T2164" s="28"/>
      <c r="U2164" s="28" t="n">
        <f aca="false">T2164*$M2164</f>
        <v>0</v>
      </c>
      <c r="V2164" s="28"/>
      <c r="W2164" s="28" t="n">
        <f aca="false">V2164*$M2164</f>
        <v>0</v>
      </c>
      <c r="X2164" s="28" t="n">
        <f aca="false">3875617/100</f>
        <v>38756.17</v>
      </c>
      <c r="Y2164" s="28" t="n">
        <v>106579</v>
      </c>
      <c r="Z2164" s="28" t="n">
        <f aca="false">62500/100</f>
        <v>625</v>
      </c>
      <c r="AA2164" s="28" t="n">
        <v>1719</v>
      </c>
      <c r="AB2164" s="28" t="n">
        <f aca="false">360000/100</f>
        <v>3600</v>
      </c>
      <c r="AC2164" s="28" t="n">
        <v>9900</v>
      </c>
      <c r="AD2164" s="28"/>
      <c r="AE2164" s="28" t="n">
        <f aca="false">AD2164*$M2164</f>
        <v>0</v>
      </c>
      <c r="AF2164" s="28"/>
      <c r="AG2164" s="28" t="n">
        <f aca="false">AF2164*$M2164</f>
        <v>0</v>
      </c>
      <c r="AH2164" s="28"/>
      <c r="AI2164" s="28" t="n">
        <f aca="false">AH2164*$M2164</f>
        <v>0</v>
      </c>
      <c r="AJ2164" s="28"/>
      <c r="AK2164" s="28" t="n">
        <f aca="false">AJ2164*$M2164</f>
        <v>0</v>
      </c>
      <c r="AL2164" s="28"/>
      <c r="AM2164" s="28" t="n">
        <f aca="false">AL2164*$M2164</f>
        <v>0</v>
      </c>
      <c r="AN2164" s="28"/>
      <c r="AO2164" s="28" t="n">
        <f aca="false">AN2164*$M2164</f>
        <v>0</v>
      </c>
      <c r="AP2164" s="28"/>
      <c r="AQ2164" s="28" t="n">
        <f aca="false">AP2164*$M2164</f>
        <v>0</v>
      </c>
      <c r="AR2164" s="28"/>
      <c r="AS2164" s="28" t="n">
        <f aca="false">AR2164*$M2164</f>
        <v>0</v>
      </c>
      <c r="AT2164" s="28"/>
      <c r="AU2164" s="28" t="n">
        <f aca="false">AT2164*$M2164</f>
        <v>0</v>
      </c>
      <c r="AV2164" s="28"/>
      <c r="AW2164" s="28" t="n">
        <f aca="false">AV2164*$M2164</f>
        <v>0</v>
      </c>
      <c r="AX2164" s="28"/>
      <c r="AY2164" s="28" t="n">
        <f aca="false">AX2164*$M2164</f>
        <v>0</v>
      </c>
      <c r="AZ2164" s="30" t="n">
        <f aca="false">4298117/100</f>
        <v>42981.17</v>
      </c>
      <c r="BA2164" s="11" t="n">
        <v>118198</v>
      </c>
      <c r="BB2164" s="31" t="n">
        <f aca="false">SUM(Q2164,S2164,U2164,W2164,Y2164,AA2164,AC2164,AE2164,AG2164,AI2164,AK2164,AM2164,AO2164,AQ2164,AS2164,AU2164,AW2164,AY2164)</f>
        <v>118198</v>
      </c>
      <c r="BC2164" s="28" t="n">
        <f aca="false">BA2164-BB2164</f>
        <v>0</v>
      </c>
      <c r="BD2164" s="32" t="n">
        <f aca="false">SUM(P2164,R2164,T2164,V2164,X2164,Z2164,AB2164,AD2164,AF2164,AH2164,AJ2164,AL2164,AN2164,AP2164,AR2164,AT2164,AV2164,AX2164)</f>
        <v>42981.17</v>
      </c>
      <c r="BE2164" s="33" t="n">
        <f aca="false">AZ2164-BD2164</f>
        <v>0</v>
      </c>
      <c r="BF2164" s="34" t="n">
        <f aca="false">BD2164*M2164</f>
        <v>118198.2175</v>
      </c>
      <c r="BG2164" s="35" t="n">
        <f aca="false">BA2164-BF2164</f>
        <v>-0.217499999998836</v>
      </c>
      <c r="BH2164" s="19" t="str">
        <f aca="false">IF(BG2164=0,"",IF(BG2164&lt;&gt;BA2164,"erreur de calcul",IF(BD2164&lt;&gt;0,"pas de prix",IF(M2164&lt;&gt; 0,"pas de quantité","pas de prix, ni de quantité"))))</f>
        <v>erreur de calcul</v>
      </c>
      <c r="BI2164" s="19"/>
    </row>
    <row r="2165" customFormat="false" ht="15" hidden="false" customHeight="false" outlineLevel="0" collapsed="false">
      <c r="A2165" s="0" t="n">
        <v>16</v>
      </c>
      <c r="B2165" s="8" t="s">
        <v>24</v>
      </c>
      <c r="C2165" s="9" t="s">
        <v>25</v>
      </c>
      <c r="D2165" s="9" t="s">
        <v>26</v>
      </c>
      <c r="E2165" s="10" t="n">
        <v>1789</v>
      </c>
      <c r="F2165" s="9" t="s">
        <v>27</v>
      </c>
      <c r="G2165" s="9" t="s">
        <v>27</v>
      </c>
      <c r="H2165" s="11" t="n">
        <v>20</v>
      </c>
      <c r="I2165" s="11" t="s">
        <v>132</v>
      </c>
      <c r="J2165" s="14"/>
      <c r="K2165" s="14" t="n">
        <v>50</v>
      </c>
      <c r="L2165" s="16"/>
      <c r="M2165" s="27" t="n">
        <f aca="false">J2165+(K2165/20)+(L2165/240)</f>
        <v>2.5</v>
      </c>
      <c r="N2165" s="17" t="s">
        <v>64</v>
      </c>
      <c r="O2165" s="11"/>
      <c r="P2165" s="28"/>
      <c r="Q2165" s="28" t="n">
        <f aca="false">P2165*$M2165</f>
        <v>0</v>
      </c>
      <c r="R2165" s="28"/>
      <c r="S2165" s="28" t="n">
        <f aca="false">R2165*$M2165</f>
        <v>0</v>
      </c>
      <c r="T2165" s="28"/>
      <c r="U2165" s="28" t="n">
        <f aca="false">T2165*$M2165</f>
        <v>0</v>
      </c>
      <c r="V2165" s="28" t="n">
        <f aca="false">25000/100</f>
        <v>250</v>
      </c>
      <c r="W2165" s="28" t="n">
        <v>625</v>
      </c>
      <c r="X2165" s="28" t="n">
        <f aca="false">9335/100</f>
        <v>93.35</v>
      </c>
      <c r="Y2165" s="28" t="n">
        <v>233</v>
      </c>
      <c r="Z2165" s="28"/>
      <c r="AA2165" s="28" t="n">
        <f aca="false">Z2165*$M2165</f>
        <v>0</v>
      </c>
      <c r="AB2165" s="28"/>
      <c r="AC2165" s="28" t="n">
        <f aca="false">AB2165*$M2165</f>
        <v>0</v>
      </c>
      <c r="AD2165" s="28"/>
      <c r="AE2165" s="28" t="n">
        <f aca="false">AD2165*$M2165</f>
        <v>0</v>
      </c>
      <c r="AF2165" s="28"/>
      <c r="AG2165" s="28" t="n">
        <f aca="false">AF2165*$M2165</f>
        <v>0</v>
      </c>
      <c r="AH2165" s="28"/>
      <c r="AI2165" s="28" t="n">
        <f aca="false">AH2165*$M2165</f>
        <v>0</v>
      </c>
      <c r="AJ2165" s="28"/>
      <c r="AK2165" s="28" t="n">
        <f aca="false">AJ2165*$M2165</f>
        <v>0</v>
      </c>
      <c r="AL2165" s="28"/>
      <c r="AM2165" s="28" t="n">
        <f aca="false">AL2165*$M2165</f>
        <v>0</v>
      </c>
      <c r="AN2165" s="28"/>
      <c r="AO2165" s="28" t="n">
        <f aca="false">AN2165*$M2165</f>
        <v>0</v>
      </c>
      <c r="AP2165" s="28"/>
      <c r="AQ2165" s="28" t="n">
        <f aca="false">AP2165*$M2165</f>
        <v>0</v>
      </c>
      <c r="AR2165" s="28"/>
      <c r="AS2165" s="28" t="n">
        <f aca="false">AR2165*$M2165</f>
        <v>0</v>
      </c>
      <c r="AT2165" s="28"/>
      <c r="AU2165" s="28" t="n">
        <f aca="false">AT2165*$M2165</f>
        <v>0</v>
      </c>
      <c r="AV2165" s="28"/>
      <c r="AW2165" s="28" t="n">
        <f aca="false">AV2165*$M2165</f>
        <v>0</v>
      </c>
      <c r="AX2165" s="28"/>
      <c r="AY2165" s="28" t="n">
        <f aca="false">AX2165*$M2165</f>
        <v>0</v>
      </c>
      <c r="AZ2165" s="30" t="n">
        <f aca="false">34335/100</f>
        <v>343.35</v>
      </c>
      <c r="BA2165" s="11" t="n">
        <v>858</v>
      </c>
      <c r="BB2165" s="31" t="n">
        <f aca="false">SUM(Q2165,S2165,U2165,W2165,Y2165,AA2165,AC2165,AE2165,AG2165,AI2165,AK2165,AM2165,AO2165,AQ2165,AS2165,AU2165,AW2165,AY2165)</f>
        <v>858</v>
      </c>
      <c r="BC2165" s="28" t="n">
        <f aca="false">BA2165-BB2165</f>
        <v>0</v>
      </c>
      <c r="BD2165" s="32" t="n">
        <f aca="false">SUM(P2165,R2165,T2165,V2165,X2165,Z2165,AB2165,AD2165,AF2165,AH2165,AJ2165,AL2165,AN2165,AP2165,AR2165,AT2165,AV2165,AX2165)</f>
        <v>343.35</v>
      </c>
      <c r="BE2165" s="33" t="n">
        <f aca="false">AZ2165-BD2165</f>
        <v>0</v>
      </c>
      <c r="BF2165" s="34" t="n">
        <f aca="false">BD2165*M2165</f>
        <v>858.375</v>
      </c>
      <c r="BG2165" s="35" t="n">
        <f aca="false">BA2165-BF2165</f>
        <v>-0.375</v>
      </c>
      <c r="BH2165" s="19" t="str">
        <f aca="false">IF(BG2165=0,"",IF(BG2165&lt;&gt;BA2165,"erreur de calcul",IF(BD2165&lt;&gt;0,"pas de prix",IF(M2165&lt;&gt; 0,"pas de quantité","pas de prix, ni de quantité"))))</f>
        <v>erreur de calcul</v>
      </c>
      <c r="BI2165" s="19"/>
    </row>
    <row r="2166" customFormat="false" ht="15" hidden="false" customHeight="false" outlineLevel="0" collapsed="false">
      <c r="A2166" s="0" t="n">
        <v>17</v>
      </c>
      <c r="B2166" s="8" t="s">
        <v>24</v>
      </c>
      <c r="C2166" s="9" t="s">
        <v>25</v>
      </c>
      <c r="D2166" s="9" t="s">
        <v>26</v>
      </c>
      <c r="E2166" s="10" t="n">
        <v>1789</v>
      </c>
      <c r="F2166" s="9" t="s">
        <v>27</v>
      </c>
      <c r="G2166" s="9" t="s">
        <v>27</v>
      </c>
      <c r="H2166" s="11" t="n">
        <v>20</v>
      </c>
      <c r="I2166" s="11" t="s">
        <v>133</v>
      </c>
      <c r="J2166" s="14" t="n">
        <v>175</v>
      </c>
      <c r="K2166" s="14"/>
      <c r="L2166" s="16"/>
      <c r="M2166" s="27" t="n">
        <f aca="false">J2166+(K2166/20)+(L2166/240)</f>
        <v>175</v>
      </c>
      <c r="N2166" s="17" t="s">
        <v>64</v>
      </c>
      <c r="O2166" s="11"/>
      <c r="P2166" s="28" t="n">
        <f aca="false">84/100</f>
        <v>0.84</v>
      </c>
      <c r="Q2166" s="28" t="n">
        <v>147</v>
      </c>
      <c r="R2166" s="28"/>
      <c r="S2166" s="28" t="n">
        <f aca="false">R2166*$M2166</f>
        <v>0</v>
      </c>
      <c r="T2166" s="28"/>
      <c r="U2166" s="28" t="n">
        <f aca="false">T2166*$M2166</f>
        <v>0</v>
      </c>
      <c r="V2166" s="28" t="n">
        <f aca="false">124/100</f>
        <v>1.24</v>
      </c>
      <c r="W2166" s="28" t="n">
        <v>217</v>
      </c>
      <c r="X2166" s="28" t="n">
        <f aca="false">6034/100</f>
        <v>60.34</v>
      </c>
      <c r="Y2166" s="28" t="n">
        <v>10559</v>
      </c>
      <c r="Z2166" s="28" t="n">
        <f aca="false">147/100</f>
        <v>1.47</v>
      </c>
      <c r="AA2166" s="28" t="n">
        <v>257</v>
      </c>
      <c r="AB2166" s="28" t="n">
        <f aca="false">195/100</f>
        <v>1.95</v>
      </c>
      <c r="AC2166" s="28" t="n">
        <v>341</v>
      </c>
      <c r="AD2166" s="28"/>
      <c r="AE2166" s="28" t="n">
        <f aca="false">AD2166*$M2166</f>
        <v>0</v>
      </c>
      <c r="AF2166" s="28"/>
      <c r="AG2166" s="28" t="n">
        <f aca="false">AF2166*$M2166</f>
        <v>0</v>
      </c>
      <c r="AH2166" s="28"/>
      <c r="AI2166" s="28" t="n">
        <f aca="false">AH2166*$M2166</f>
        <v>0</v>
      </c>
      <c r="AJ2166" s="28"/>
      <c r="AK2166" s="28" t="n">
        <f aca="false">AJ2166*$M2166</f>
        <v>0</v>
      </c>
      <c r="AL2166" s="28"/>
      <c r="AM2166" s="28" t="n">
        <f aca="false">AL2166*$M2166</f>
        <v>0</v>
      </c>
      <c r="AN2166" s="28"/>
      <c r="AO2166" s="28" t="n">
        <f aca="false">AN2166*$M2166</f>
        <v>0</v>
      </c>
      <c r="AP2166" s="28"/>
      <c r="AQ2166" s="28" t="n">
        <f aca="false">AP2166*$M2166</f>
        <v>0</v>
      </c>
      <c r="AR2166" s="28"/>
      <c r="AS2166" s="28" t="n">
        <f aca="false">AR2166*$M2166</f>
        <v>0</v>
      </c>
      <c r="AT2166" s="28"/>
      <c r="AU2166" s="28" t="n">
        <f aca="false">AT2166*$M2166</f>
        <v>0</v>
      </c>
      <c r="AV2166" s="28"/>
      <c r="AW2166" s="28" t="n">
        <f aca="false">AV2166*$M2166</f>
        <v>0</v>
      </c>
      <c r="AX2166" s="28"/>
      <c r="AY2166" s="28" t="n">
        <f aca="false">AX2166*$M2166</f>
        <v>0</v>
      </c>
      <c r="AZ2166" s="30" t="n">
        <f aca="false">6584/100</f>
        <v>65.84</v>
      </c>
      <c r="BA2166" s="11" t="n">
        <v>11521</v>
      </c>
      <c r="BB2166" s="31" t="n">
        <f aca="false">SUM(Q2166,S2166,U2166,W2166,Y2166,AA2166,AC2166,AE2166,AG2166,AI2166,AK2166,AM2166,AO2166,AQ2166,AS2166,AU2166,AW2166,AY2166)</f>
        <v>11521</v>
      </c>
      <c r="BC2166" s="28" t="n">
        <f aca="false">BA2166-BB2166</f>
        <v>0</v>
      </c>
      <c r="BD2166" s="32" t="n">
        <f aca="false">SUM(P2166,R2166,T2166,V2166,X2166,Z2166,AB2166,AD2166,AF2166,AH2166,AJ2166,AL2166,AN2166,AP2166,AR2166,AT2166,AV2166,AX2166)</f>
        <v>65.84</v>
      </c>
      <c r="BE2166" s="33" t="n">
        <f aca="false">AZ2166-BD2166</f>
        <v>0</v>
      </c>
      <c r="BF2166" s="34" t="n">
        <f aca="false">BD2166*M2166</f>
        <v>11522</v>
      </c>
      <c r="BG2166" s="35" t="n">
        <f aca="false">BA2166-BF2166</f>
        <v>-1</v>
      </c>
      <c r="BH2166" s="19" t="str">
        <f aca="false">IF(BG2166=0,"",IF(BG2166&lt;&gt;BA2166,"erreur de calcul",IF(BD2166&lt;&gt;0,"pas de prix",IF(M2166&lt;&gt; 0,"pas de quantité","pas de prix, ni de quantité"))))</f>
        <v>erreur de calcul</v>
      </c>
      <c r="BI2166" s="19"/>
    </row>
    <row r="2167" customFormat="false" ht="15" hidden="false" customHeight="false" outlineLevel="0" collapsed="false">
      <c r="A2167" s="0" t="n">
        <v>18</v>
      </c>
      <c r="B2167" s="8" t="s">
        <v>24</v>
      </c>
      <c r="C2167" s="9" t="s">
        <v>25</v>
      </c>
      <c r="D2167" s="9" t="s">
        <v>26</v>
      </c>
      <c r="E2167" s="10" t="n">
        <v>1789</v>
      </c>
      <c r="F2167" s="9" t="s">
        <v>27</v>
      </c>
      <c r="G2167" s="9" t="s">
        <v>27</v>
      </c>
      <c r="H2167" s="11" t="n">
        <v>20</v>
      </c>
      <c r="I2167" s="11" t="s">
        <v>134</v>
      </c>
      <c r="J2167" s="14" t="n">
        <v>210</v>
      </c>
      <c r="K2167" s="14"/>
      <c r="L2167" s="16"/>
      <c r="M2167" s="27" t="n">
        <f aca="false">J2167+(K2167/20)+(L2167/240)</f>
        <v>210</v>
      </c>
      <c r="N2167" s="17" t="s">
        <v>64</v>
      </c>
      <c r="O2167" s="11"/>
      <c r="P2167" s="28"/>
      <c r="Q2167" s="28" t="n">
        <f aca="false">P2167*$M2167</f>
        <v>0</v>
      </c>
      <c r="R2167" s="28"/>
      <c r="S2167" s="28" t="n">
        <f aca="false">R2167*$M2167</f>
        <v>0</v>
      </c>
      <c r="T2167" s="28"/>
      <c r="U2167" s="28" t="n">
        <f aca="false">T2167*$M2167</f>
        <v>0</v>
      </c>
      <c r="V2167" s="28" t="n">
        <f aca="false">869/100</f>
        <v>8.69</v>
      </c>
      <c r="W2167" s="28" t="n">
        <v>1825</v>
      </c>
      <c r="X2167" s="28"/>
      <c r="Y2167" s="28" t="n">
        <f aca="false">X2167*$M2167</f>
        <v>0</v>
      </c>
      <c r="Z2167" s="28"/>
      <c r="AA2167" s="28" t="n">
        <f aca="false">Z2167*$M2167</f>
        <v>0</v>
      </c>
      <c r="AB2167" s="28"/>
      <c r="AC2167" s="28" t="n">
        <f aca="false">AB2167*$M2167</f>
        <v>0</v>
      </c>
      <c r="AD2167" s="28"/>
      <c r="AE2167" s="28" t="n">
        <f aca="false">AD2167*$M2167</f>
        <v>0</v>
      </c>
      <c r="AF2167" s="28"/>
      <c r="AG2167" s="28" t="n">
        <f aca="false">AF2167*$M2167</f>
        <v>0</v>
      </c>
      <c r="AH2167" s="28"/>
      <c r="AI2167" s="28" t="n">
        <f aca="false">AH2167*$M2167</f>
        <v>0</v>
      </c>
      <c r="AJ2167" s="28"/>
      <c r="AK2167" s="28" t="n">
        <f aca="false">AJ2167*$M2167</f>
        <v>0</v>
      </c>
      <c r="AL2167" s="28"/>
      <c r="AM2167" s="28" t="n">
        <f aca="false">AL2167*$M2167</f>
        <v>0</v>
      </c>
      <c r="AN2167" s="28"/>
      <c r="AO2167" s="28" t="n">
        <f aca="false">AN2167*$M2167</f>
        <v>0</v>
      </c>
      <c r="AP2167" s="28"/>
      <c r="AQ2167" s="28" t="n">
        <f aca="false">AP2167*$M2167</f>
        <v>0</v>
      </c>
      <c r="AR2167" s="28"/>
      <c r="AS2167" s="28" t="n">
        <f aca="false">AR2167*$M2167</f>
        <v>0</v>
      </c>
      <c r="AT2167" s="28"/>
      <c r="AU2167" s="28" t="n">
        <f aca="false">AT2167*$M2167</f>
        <v>0</v>
      </c>
      <c r="AV2167" s="28"/>
      <c r="AW2167" s="28" t="n">
        <f aca="false">AV2167*$M2167</f>
        <v>0</v>
      </c>
      <c r="AX2167" s="28"/>
      <c r="AY2167" s="28" t="n">
        <f aca="false">AX2167*$M2167</f>
        <v>0</v>
      </c>
      <c r="AZ2167" s="30" t="n">
        <f aca="false">869/100</f>
        <v>8.69</v>
      </c>
      <c r="BA2167" s="11" t="n">
        <v>1825</v>
      </c>
      <c r="BB2167" s="31" t="n">
        <f aca="false">SUM(Q2167,S2167,U2167,W2167,Y2167,AA2167,AC2167,AE2167,AG2167,AI2167,AK2167,AM2167,AO2167,AQ2167,AS2167,AU2167,AW2167,AY2167)</f>
        <v>1825</v>
      </c>
      <c r="BC2167" s="28" t="n">
        <f aca="false">BA2167-BB2167</f>
        <v>0</v>
      </c>
      <c r="BD2167" s="32" t="n">
        <f aca="false">SUM(P2167,R2167,T2167,V2167,X2167,Z2167,AB2167,AD2167,AF2167,AH2167,AJ2167,AL2167,AN2167,AP2167,AR2167,AT2167,AV2167,AX2167)</f>
        <v>8.69</v>
      </c>
      <c r="BE2167" s="33" t="n">
        <f aca="false">AZ2167-BD2167</f>
        <v>0</v>
      </c>
      <c r="BF2167" s="34" t="n">
        <f aca="false">BD2167*M2167</f>
        <v>1824.9</v>
      </c>
      <c r="BG2167" s="35" t="n">
        <f aca="false">BA2167-BF2167</f>
        <v>0.100000000000136</v>
      </c>
      <c r="BH2167" s="19" t="str">
        <f aca="false">IF(BG2167=0,"",IF(BG2167&lt;&gt;BA2167,"erreur de calcul",IF(BD2167&lt;&gt;0,"pas de prix",IF(M2167&lt;&gt; 0,"pas de quantité","pas de prix, ni de quantité"))))</f>
        <v>erreur de calcul</v>
      </c>
      <c r="BI2167" s="19"/>
    </row>
    <row r="2168" customFormat="false" ht="15" hidden="false" customHeight="false" outlineLevel="0" collapsed="false">
      <c r="A2168" s="0" t="n">
        <v>19</v>
      </c>
      <c r="B2168" s="8" t="s">
        <v>24</v>
      </c>
      <c r="C2168" s="9" t="s">
        <v>25</v>
      </c>
      <c r="D2168" s="9" t="s">
        <v>26</v>
      </c>
      <c r="E2168" s="10" t="n">
        <v>1789</v>
      </c>
      <c r="F2168" s="9" t="s">
        <v>27</v>
      </c>
      <c r="G2168" s="9" t="s">
        <v>27</v>
      </c>
      <c r="H2168" s="11" t="n">
        <v>20</v>
      </c>
      <c r="I2168" s="11" t="s">
        <v>135</v>
      </c>
      <c r="J2168" s="14" t="n">
        <v>170</v>
      </c>
      <c r="K2168" s="14"/>
      <c r="L2168" s="16"/>
      <c r="M2168" s="27" t="n">
        <f aca="false">J2168+(K2168/20)+(L2168/240)</f>
        <v>170</v>
      </c>
      <c r="N2168" s="17" t="s">
        <v>64</v>
      </c>
      <c r="O2168" s="11" t="s">
        <v>77</v>
      </c>
      <c r="P2168" s="28"/>
      <c r="Q2168" s="28" t="n">
        <f aca="false">P2168*$M2168</f>
        <v>0</v>
      </c>
      <c r="R2168" s="28"/>
      <c r="S2168" s="28" t="n">
        <f aca="false">R2168*$M2168</f>
        <v>0</v>
      </c>
      <c r="T2168" s="28"/>
      <c r="U2168" s="28" t="n">
        <f aca="false">T2168*$M2168</f>
        <v>0</v>
      </c>
      <c r="V2168" s="28"/>
      <c r="W2168" s="28" t="n">
        <f aca="false">V2168*$M2168</f>
        <v>0</v>
      </c>
      <c r="X2168" s="28"/>
      <c r="Y2168" s="28" t="n">
        <f aca="false">X2168*$M2168</f>
        <v>0</v>
      </c>
      <c r="Z2168" s="28"/>
      <c r="AA2168" s="28" t="n">
        <f aca="false">Z2168*$M2168</f>
        <v>0</v>
      </c>
      <c r="AB2168" s="28"/>
      <c r="AC2168" s="28" t="n">
        <f aca="false">AB2168*$M2168</f>
        <v>0</v>
      </c>
      <c r="AD2168" s="28"/>
      <c r="AE2168" s="28" t="n">
        <f aca="false">AD2168*$M2168</f>
        <v>0</v>
      </c>
      <c r="AF2168" s="28" t="n">
        <f aca="false">229459/100</f>
        <v>2294.59</v>
      </c>
      <c r="AG2168" s="28" t="n">
        <v>390080</v>
      </c>
      <c r="AH2168" s="28" t="n">
        <f aca="false">202301/100</f>
        <v>2023.01</v>
      </c>
      <c r="AI2168" s="28" t="n">
        <v>343912</v>
      </c>
      <c r="AJ2168" s="28"/>
      <c r="AK2168" s="28" t="n">
        <f aca="false">AJ2168*$M2168</f>
        <v>0</v>
      </c>
      <c r="AL2168" s="28"/>
      <c r="AM2168" s="28" t="n">
        <f aca="false">AL2168*$M2168</f>
        <v>0</v>
      </c>
      <c r="AN2168" s="28"/>
      <c r="AO2168" s="28" t="n">
        <f aca="false">AN2168*$M2168</f>
        <v>0</v>
      </c>
      <c r="AP2168" s="28"/>
      <c r="AQ2168" s="28" t="n">
        <f aca="false">AP2168*$M2168</f>
        <v>0</v>
      </c>
      <c r="AR2168" s="28"/>
      <c r="AS2168" s="28" t="n">
        <f aca="false">AR2168*$M2168</f>
        <v>0</v>
      </c>
      <c r="AT2168" s="28"/>
      <c r="AU2168" s="28" t="n">
        <f aca="false">AT2168*$M2168</f>
        <v>0</v>
      </c>
      <c r="AV2168" s="28"/>
      <c r="AW2168" s="28" t="n">
        <f aca="false">AV2168*$M2168</f>
        <v>0</v>
      </c>
      <c r="AX2168" s="28" t="n">
        <f aca="false">2736/100</f>
        <v>27.36</v>
      </c>
      <c r="AY2168" s="28" t="n">
        <v>4651</v>
      </c>
      <c r="AZ2168" s="30" t="n">
        <f aca="false">434496/100</f>
        <v>4344.96</v>
      </c>
      <c r="BA2168" s="11" t="n">
        <v>738643</v>
      </c>
      <c r="BB2168" s="31" t="n">
        <f aca="false">SUM(Q2168,S2168,U2168,W2168,Y2168,AA2168,AC2168,AE2168,AG2168,AI2168,AK2168,AM2168,AO2168,AQ2168,AS2168,AU2168,AW2168,AY2168)</f>
        <v>738643</v>
      </c>
      <c r="BC2168" s="28" t="n">
        <f aca="false">BA2168-BB2168</f>
        <v>0</v>
      </c>
      <c r="BD2168" s="32" t="n">
        <f aca="false">SUM(P2168,R2168,T2168,V2168,X2168,Z2168,AB2168,AD2168,AF2168,AH2168,AJ2168,AL2168,AN2168,AP2168,AR2168,AT2168,AV2168,AX2168)</f>
        <v>4344.96</v>
      </c>
      <c r="BE2168" s="33" t="n">
        <f aca="false">AZ2168-BD2168</f>
        <v>0</v>
      </c>
      <c r="BF2168" s="34" t="n">
        <f aca="false">BD2168*M2168</f>
        <v>738643.2</v>
      </c>
      <c r="BG2168" s="35" t="n">
        <f aca="false">BA2168-BF2168</f>
        <v>-0.199999999953434</v>
      </c>
      <c r="BH2168" s="19" t="str">
        <f aca="false">IF(BG2168=0,"",IF(BG2168&lt;&gt;BA2168,"erreur de calcul",IF(BD2168&lt;&gt;0,"pas de prix",IF(M2168&lt;&gt; 0,"pas de quantité","pas de prix, ni de quantité"))))</f>
        <v>erreur de calcul</v>
      </c>
      <c r="BI2168" s="19"/>
    </row>
    <row r="2169" customFormat="false" ht="15" hidden="false" customHeight="false" outlineLevel="0" collapsed="false">
      <c r="A2169" s="0" t="n">
        <v>20</v>
      </c>
      <c r="B2169" s="8" t="s">
        <v>24</v>
      </c>
      <c r="C2169" s="9" t="s">
        <v>25</v>
      </c>
      <c r="D2169" s="9" t="s">
        <v>26</v>
      </c>
      <c r="E2169" s="10" t="n">
        <v>1789</v>
      </c>
      <c r="F2169" s="9" t="s">
        <v>27</v>
      </c>
      <c r="G2169" s="9" t="s">
        <v>27</v>
      </c>
      <c r="H2169" s="11" t="n">
        <v>20</v>
      </c>
      <c r="I2169" s="11" t="s">
        <v>136</v>
      </c>
      <c r="J2169" s="14" t="n">
        <v>41</v>
      </c>
      <c r="K2169" s="14"/>
      <c r="L2169" s="16"/>
      <c r="M2169" s="27" t="n">
        <f aca="false">J2169+(K2169/20)+(L2169/240)</f>
        <v>41</v>
      </c>
      <c r="N2169" s="17" t="s">
        <v>64</v>
      </c>
      <c r="O2169" s="11"/>
      <c r="P2169" s="28" t="n">
        <f aca="false">1210/100</f>
        <v>12.1</v>
      </c>
      <c r="Q2169" s="28" t="n">
        <v>496</v>
      </c>
      <c r="R2169" s="28"/>
      <c r="S2169" s="28" t="n">
        <f aca="false">R2169*$M2169</f>
        <v>0</v>
      </c>
      <c r="T2169" s="28"/>
      <c r="U2169" s="28" t="n">
        <f aca="false">T2169*$M2169</f>
        <v>0</v>
      </c>
      <c r="V2169" s="28"/>
      <c r="W2169" s="28" t="n">
        <f aca="false">V2169*$M2169</f>
        <v>0</v>
      </c>
      <c r="X2169" s="28"/>
      <c r="Y2169" s="28" t="n">
        <f aca="false">X2169*$M2169</f>
        <v>0</v>
      </c>
      <c r="Z2169" s="28"/>
      <c r="AA2169" s="28" t="n">
        <f aca="false">Z2169*$M2169</f>
        <v>0</v>
      </c>
      <c r="AB2169" s="28"/>
      <c r="AC2169" s="28" t="n">
        <f aca="false">AB2169*$M2169</f>
        <v>0</v>
      </c>
      <c r="AD2169" s="28"/>
      <c r="AE2169" s="28" t="n">
        <f aca="false">AD2169*$M2169</f>
        <v>0</v>
      </c>
      <c r="AF2169" s="28"/>
      <c r="AG2169" s="28" t="n">
        <f aca="false">AF2169*$M2169</f>
        <v>0</v>
      </c>
      <c r="AH2169" s="28"/>
      <c r="AI2169" s="28" t="n">
        <f aca="false">AH2169*$M2169</f>
        <v>0</v>
      </c>
      <c r="AJ2169" s="28" t="n">
        <f aca="false">85034/100</f>
        <v>850.34</v>
      </c>
      <c r="AK2169" s="28" t="n">
        <v>34864</v>
      </c>
      <c r="AL2169" s="28" t="n">
        <f aca="false">1024/100</f>
        <v>10.24</v>
      </c>
      <c r="AM2169" s="28" t="n">
        <v>420</v>
      </c>
      <c r="AN2169" s="28"/>
      <c r="AO2169" s="28" t="n">
        <f aca="false">AN2169*$M2169</f>
        <v>0</v>
      </c>
      <c r="AP2169" s="28"/>
      <c r="AQ2169" s="28" t="n">
        <f aca="false">AP2169*$M2169</f>
        <v>0</v>
      </c>
      <c r="AR2169" s="28"/>
      <c r="AS2169" s="28" t="n">
        <f aca="false">AR2169*$M2169</f>
        <v>0</v>
      </c>
      <c r="AT2169" s="28"/>
      <c r="AU2169" s="28" t="n">
        <f aca="false">AT2169*$M2169</f>
        <v>0</v>
      </c>
      <c r="AV2169" s="28"/>
      <c r="AW2169" s="28" t="n">
        <f aca="false">AV2169*$M2169</f>
        <v>0</v>
      </c>
      <c r="AX2169" s="28"/>
      <c r="AY2169" s="28" t="n">
        <f aca="false">AX2169*$M2169</f>
        <v>0</v>
      </c>
      <c r="AZ2169" s="30" t="n">
        <f aca="false">87268/100</f>
        <v>872.68</v>
      </c>
      <c r="BA2169" s="11" t="n">
        <v>35780</v>
      </c>
      <c r="BB2169" s="31" t="n">
        <f aca="false">SUM(Q2169,S2169,U2169,W2169,Y2169,AA2169,AC2169,AE2169,AG2169,AI2169,AK2169,AM2169,AO2169,AQ2169,AS2169,AU2169,AW2169,AY2169)</f>
        <v>35780</v>
      </c>
      <c r="BC2169" s="28" t="n">
        <f aca="false">BA2169-BB2169</f>
        <v>0</v>
      </c>
      <c r="BD2169" s="32" t="n">
        <f aca="false">SUM(P2169,R2169,T2169,V2169,X2169,Z2169,AB2169,AD2169,AF2169,AH2169,AJ2169,AL2169,AN2169,AP2169,AR2169,AT2169,AV2169,AX2169)</f>
        <v>872.68</v>
      </c>
      <c r="BE2169" s="33" t="n">
        <f aca="false">AZ2169-BD2169</f>
        <v>0</v>
      </c>
      <c r="BF2169" s="34" t="n">
        <f aca="false">BD2169*M2169</f>
        <v>35779.88</v>
      </c>
      <c r="BG2169" s="35" t="n">
        <f aca="false">BA2169-BF2169</f>
        <v>0.119999999995343</v>
      </c>
      <c r="BH2169" s="19" t="str">
        <f aca="false">IF(BG2169=0,"",IF(BG2169&lt;&gt;BA2169,"erreur de calcul",IF(BD2169&lt;&gt;0,"pas de prix",IF(M2169&lt;&gt; 0,"pas de quantité","pas de prix, ni de quantité"))))</f>
        <v>erreur de calcul</v>
      </c>
      <c r="BI2169" s="19"/>
    </row>
    <row r="2170" customFormat="false" ht="15" hidden="false" customHeight="false" outlineLevel="0" collapsed="false">
      <c r="A2170" s="0" t="n">
        <v>21</v>
      </c>
      <c r="B2170" s="8" t="s">
        <v>24</v>
      </c>
      <c r="C2170" s="9" t="s">
        <v>25</v>
      </c>
      <c r="D2170" s="9" t="s">
        <v>26</v>
      </c>
      <c r="E2170" s="10" t="n">
        <v>1789</v>
      </c>
      <c r="F2170" s="9" t="s">
        <v>27</v>
      </c>
      <c r="G2170" s="9" t="s">
        <v>27</v>
      </c>
      <c r="H2170" s="11" t="n">
        <v>20</v>
      </c>
      <c r="I2170" s="11" t="s">
        <v>137</v>
      </c>
      <c r="J2170" s="14"/>
      <c r="K2170" s="14"/>
      <c r="L2170" s="16"/>
      <c r="M2170" s="27" t="n">
        <f aca="false">J2170+(K2170/20)+(L2170/240)</f>
        <v>0</v>
      </c>
      <c r="N2170" s="39" t="s">
        <v>138</v>
      </c>
      <c r="O2170" s="11"/>
      <c r="P2170" s="28" t="n">
        <v>337</v>
      </c>
      <c r="Q2170" s="28" t="n">
        <v>6250</v>
      </c>
      <c r="R2170" s="28"/>
      <c r="S2170" s="28" t="n">
        <f aca="false">R2170*$M2170</f>
        <v>0</v>
      </c>
      <c r="T2170" s="28"/>
      <c r="U2170" s="28" t="n">
        <f aca="false">T2170*$M2170</f>
        <v>0</v>
      </c>
      <c r="V2170" s="28" t="n">
        <v>760</v>
      </c>
      <c r="W2170" s="28" t="n">
        <v>18259</v>
      </c>
      <c r="X2170" s="28"/>
      <c r="Y2170" s="28" t="n">
        <f aca="false">X2170*$M2170</f>
        <v>0</v>
      </c>
      <c r="Z2170" s="28"/>
      <c r="AA2170" s="28" t="n">
        <f aca="false">Z2170*$M2170</f>
        <v>0</v>
      </c>
      <c r="AB2170" s="28"/>
      <c r="AC2170" s="28" t="n">
        <f aca="false">AB2170*$M2170</f>
        <v>0</v>
      </c>
      <c r="AD2170" s="28"/>
      <c r="AE2170" s="28" t="n">
        <f aca="false">AD2170*$M2170</f>
        <v>0</v>
      </c>
      <c r="AF2170" s="28"/>
      <c r="AG2170" s="28" t="n">
        <f aca="false">AF2170*$M2170</f>
        <v>0</v>
      </c>
      <c r="AH2170" s="28"/>
      <c r="AI2170" s="28" t="n">
        <f aca="false">AH2170*$M2170</f>
        <v>0</v>
      </c>
      <c r="AJ2170" s="28"/>
      <c r="AK2170" s="28" t="n">
        <f aca="false">AJ2170*$M2170</f>
        <v>0</v>
      </c>
      <c r="AL2170" s="28"/>
      <c r="AM2170" s="28" t="n">
        <f aca="false">AL2170*$M2170</f>
        <v>0</v>
      </c>
      <c r="AN2170" s="28"/>
      <c r="AO2170" s="28" t="n">
        <f aca="false">AN2170*$M2170</f>
        <v>0</v>
      </c>
      <c r="AP2170" s="28"/>
      <c r="AQ2170" s="28" t="n">
        <f aca="false">AP2170*$M2170</f>
        <v>0</v>
      </c>
      <c r="AR2170" s="28"/>
      <c r="AS2170" s="28" t="n">
        <f aca="false">AR2170*$M2170</f>
        <v>0</v>
      </c>
      <c r="AT2170" s="28"/>
      <c r="AU2170" s="28" t="n">
        <f aca="false">AT2170*$M2170</f>
        <v>0</v>
      </c>
      <c r="AV2170" s="28"/>
      <c r="AW2170" s="28" t="n">
        <f aca="false">AV2170*$M2170</f>
        <v>0</v>
      </c>
      <c r="AX2170" s="28"/>
      <c r="AY2170" s="28" t="n">
        <f aca="false">AX2170*$M2170</f>
        <v>0</v>
      </c>
      <c r="AZ2170" s="30" t="n">
        <f aca="false">1097</f>
        <v>1097</v>
      </c>
      <c r="BA2170" s="11" t="n">
        <v>24509</v>
      </c>
      <c r="BB2170" s="31" t="n">
        <f aca="false">SUM(Q2170,S2170,U2170,W2170,Y2170,AA2170,AC2170,AE2170,AG2170,AI2170,AK2170,AM2170,AO2170,AQ2170,AS2170,AU2170,AW2170,AY2170)</f>
        <v>24509</v>
      </c>
      <c r="BC2170" s="28" t="n">
        <f aca="false">BA2170-BB2170</f>
        <v>0</v>
      </c>
      <c r="BD2170" s="32" t="n">
        <f aca="false">SUM(P2170,R2170,T2170,V2170,X2170,Z2170,AB2170,AD2170,AF2170,AH2170,AJ2170,AL2170,AN2170,AP2170,AR2170,AT2170,AV2170,AX2170)</f>
        <v>1097</v>
      </c>
      <c r="BE2170" s="33" t="n">
        <f aca="false">AZ2170-BD2170</f>
        <v>0</v>
      </c>
      <c r="BF2170" s="34" t="n">
        <f aca="false">BD2170*M2170</f>
        <v>0</v>
      </c>
      <c r="BG2170" s="35" t="n">
        <f aca="false">BA2170-BF2170</f>
        <v>24509</v>
      </c>
      <c r="BH2170" s="19" t="str">
        <f aca="false">IF(BG2170=0,"",IF(BG2170&lt;&gt;BA2170,"erreur de calcul",IF(BD2170&lt;&gt;0,"pas de prix",IF(M2170&lt;&gt; 0,"pas de quantité","pas de prix, ni de quantité"))))</f>
        <v>pas de prix</v>
      </c>
      <c r="BI2170" s="19" t="s">
        <v>139</v>
      </c>
    </row>
    <row r="2171" customFormat="false" ht="15" hidden="false" customHeight="false" outlineLevel="0" collapsed="false">
      <c r="A2171" s="0" t="n">
        <v>22</v>
      </c>
      <c r="B2171" s="8" t="s">
        <v>24</v>
      </c>
      <c r="C2171" s="9" t="s">
        <v>25</v>
      </c>
      <c r="D2171" s="9" t="s">
        <v>26</v>
      </c>
      <c r="E2171" s="10" t="n">
        <v>1789</v>
      </c>
      <c r="F2171" s="9" t="s">
        <v>27</v>
      </c>
      <c r="G2171" s="9" t="s">
        <v>27</v>
      </c>
      <c r="H2171" s="11" t="n">
        <v>20</v>
      </c>
      <c r="I2171" s="11" t="s">
        <v>140</v>
      </c>
      <c r="J2171" s="14" t="n">
        <v>28</v>
      </c>
      <c r="K2171" s="14"/>
      <c r="L2171" s="16"/>
      <c r="M2171" s="27" t="n">
        <f aca="false">J2171+(K2171/20)+(L2171/240)</f>
        <v>28</v>
      </c>
      <c r="N2171" s="17" t="s">
        <v>64</v>
      </c>
      <c r="O2171" s="11"/>
      <c r="P2171" s="28"/>
      <c r="Q2171" s="28" t="n">
        <f aca="false">P2171*$M2171</f>
        <v>0</v>
      </c>
      <c r="R2171" s="28"/>
      <c r="S2171" s="28" t="n">
        <f aca="false">R2171*$M2171</f>
        <v>0</v>
      </c>
      <c r="T2171" s="28"/>
      <c r="U2171" s="28" t="n">
        <f aca="false">T2171*$M2171</f>
        <v>0</v>
      </c>
      <c r="V2171" s="28"/>
      <c r="W2171" s="28" t="n">
        <f aca="false">V2171*$M2171</f>
        <v>0</v>
      </c>
      <c r="X2171" s="28" t="n">
        <f aca="false">2572/100</f>
        <v>25.72</v>
      </c>
      <c r="Y2171" s="28" t="n">
        <v>720</v>
      </c>
      <c r="Z2171" s="28"/>
      <c r="AA2171" s="28" t="n">
        <f aca="false">Z2171*$M2171</f>
        <v>0</v>
      </c>
      <c r="AB2171" s="28"/>
      <c r="AC2171" s="28" t="n">
        <f aca="false">AB2171*$M2171</f>
        <v>0</v>
      </c>
      <c r="AD2171" s="28"/>
      <c r="AE2171" s="28" t="n">
        <f aca="false">AD2171*$M2171</f>
        <v>0</v>
      </c>
      <c r="AF2171" s="28" t="n">
        <f aca="false">3367/100</f>
        <v>33.67</v>
      </c>
      <c r="AG2171" s="36" t="n">
        <v>915</v>
      </c>
      <c r="AH2171" s="28"/>
      <c r="AI2171" s="28" t="n">
        <f aca="false">AH2171*$M2171</f>
        <v>0</v>
      </c>
      <c r="AJ2171" s="28"/>
      <c r="AK2171" s="28" t="n">
        <f aca="false">AJ2171*$M2171</f>
        <v>0</v>
      </c>
      <c r="AL2171" s="28"/>
      <c r="AM2171" s="28" t="n">
        <f aca="false">AL2171*$M2171</f>
        <v>0</v>
      </c>
      <c r="AN2171" s="28"/>
      <c r="AO2171" s="28" t="n">
        <f aca="false">AN2171*$M2171</f>
        <v>0</v>
      </c>
      <c r="AP2171" s="28"/>
      <c r="AQ2171" s="28" t="n">
        <f aca="false">AP2171*$M2171</f>
        <v>0</v>
      </c>
      <c r="AR2171" s="28"/>
      <c r="AS2171" s="28" t="n">
        <f aca="false">AR2171*$M2171</f>
        <v>0</v>
      </c>
      <c r="AT2171" s="28"/>
      <c r="AU2171" s="28" t="n">
        <f aca="false">AT2171*$M2171</f>
        <v>0</v>
      </c>
      <c r="AV2171" s="28"/>
      <c r="AW2171" s="28" t="n">
        <f aca="false">AV2171*$M2171</f>
        <v>0</v>
      </c>
      <c r="AX2171" s="28"/>
      <c r="AY2171" s="28" t="n">
        <f aca="false">AX2171*$M2171</f>
        <v>0</v>
      </c>
      <c r="AZ2171" s="30" t="n">
        <f aca="false">5939/100</f>
        <v>59.39</v>
      </c>
      <c r="BA2171" s="11" t="n">
        <v>1635</v>
      </c>
      <c r="BB2171" s="31" t="n">
        <f aca="false">SUM(Q2171,S2171,U2171,W2171,Y2171,AA2171,AC2171,AE2171,AG2171,AI2171,AK2171,AM2171,AO2171,AQ2171,AS2171,AU2171,AW2171,AY2171)</f>
        <v>1635</v>
      </c>
      <c r="BC2171" s="28" t="n">
        <f aca="false">BA2171-BB2171</f>
        <v>0</v>
      </c>
      <c r="BD2171" s="32" t="n">
        <f aca="false">SUM(P2171,R2171,T2171,V2171,X2171,Z2171,AB2171,AD2171,AF2171,AH2171,AJ2171,AL2171,AN2171,AP2171,AR2171,AT2171,AV2171,AX2171)</f>
        <v>59.39</v>
      </c>
      <c r="BE2171" s="33" t="n">
        <f aca="false">AZ2171-BD2171</f>
        <v>0</v>
      </c>
      <c r="BF2171" s="34" t="n">
        <f aca="false">BD2171*M2171</f>
        <v>1662.92</v>
      </c>
      <c r="BG2171" s="35" t="n">
        <f aca="false">BA2171-BF2171</f>
        <v>-27.9200000000001</v>
      </c>
      <c r="BH2171" s="19" t="str">
        <f aca="false">IF(BG2171=0,"",IF(BG2171&lt;&gt;BA2171,"erreur de calcul",IF(BD2171&lt;&gt;0,"pas de prix",IF(M2171&lt;&gt; 0,"pas de quantité","pas de prix, ni de quantité"))))</f>
        <v>erreur de calcul</v>
      </c>
      <c r="BI2171" s="19"/>
    </row>
    <row r="2172" customFormat="false" ht="15" hidden="false" customHeight="false" outlineLevel="0" collapsed="false">
      <c r="A2172" s="0" t="n">
        <v>23</v>
      </c>
      <c r="B2172" s="8" t="s">
        <v>24</v>
      </c>
      <c r="C2172" s="9" t="s">
        <v>25</v>
      </c>
      <c r="D2172" s="9" t="s">
        <v>26</v>
      </c>
      <c r="E2172" s="10" t="n">
        <v>1789</v>
      </c>
      <c r="F2172" s="9" t="s">
        <v>27</v>
      </c>
      <c r="G2172" s="9" t="s">
        <v>27</v>
      </c>
      <c r="H2172" s="11" t="n">
        <v>20</v>
      </c>
      <c r="I2172" s="11" t="s">
        <v>141</v>
      </c>
      <c r="J2172" s="14" t="n">
        <v>50</v>
      </c>
      <c r="K2172" s="14"/>
      <c r="L2172" s="16"/>
      <c r="M2172" s="27" t="n">
        <f aca="false">J2172+(K2172/20)+(L2172/240)</f>
        <v>50</v>
      </c>
      <c r="N2172" s="17" t="s">
        <v>64</v>
      </c>
      <c r="O2172" s="11"/>
      <c r="P2172" s="28" t="n">
        <f aca="false">79168/100</f>
        <v>791.68</v>
      </c>
      <c r="Q2172" s="28" t="n">
        <v>39584</v>
      </c>
      <c r="R2172" s="28"/>
      <c r="S2172" s="28" t="n">
        <f aca="false">R2172*$M2172</f>
        <v>0</v>
      </c>
      <c r="T2172" s="28" t="n">
        <f aca="false">18545/100</f>
        <v>185.45</v>
      </c>
      <c r="U2172" s="28" t="n">
        <v>9272</v>
      </c>
      <c r="V2172" s="28" t="n">
        <f aca="false">10784/100</f>
        <v>107.84</v>
      </c>
      <c r="W2172" s="28" t="n">
        <v>5392</v>
      </c>
      <c r="X2172" s="28" t="n">
        <f aca="false">22033/100</f>
        <v>220.33</v>
      </c>
      <c r="Y2172" s="28" t="n">
        <v>11016</v>
      </c>
      <c r="Z2172" s="28" t="n">
        <f aca="false">4478/100</f>
        <v>44.78</v>
      </c>
      <c r="AA2172" s="28" t="n">
        <v>2239</v>
      </c>
      <c r="AB2172" s="28" t="n">
        <f aca="false">8901/100</f>
        <v>89.01</v>
      </c>
      <c r="AC2172" s="28" t="n">
        <v>4450</v>
      </c>
      <c r="AD2172" s="28"/>
      <c r="AE2172" s="28" t="n">
        <f aca="false">AD2172*$M2172</f>
        <v>0</v>
      </c>
      <c r="AF2172" s="28"/>
      <c r="AG2172" s="28" t="n">
        <f aca="false">AF2172*$M2172</f>
        <v>0</v>
      </c>
      <c r="AH2172" s="28"/>
      <c r="AI2172" s="28" t="n">
        <f aca="false">AH2172*$M2172</f>
        <v>0</v>
      </c>
      <c r="AJ2172" s="28" t="n">
        <f aca="false">2917/100</f>
        <v>29.17</v>
      </c>
      <c r="AK2172" s="28" t="n">
        <v>1458</v>
      </c>
      <c r="AL2172" s="28"/>
      <c r="AM2172" s="28" t="n">
        <f aca="false">AL2172*$M2172</f>
        <v>0</v>
      </c>
      <c r="AN2172" s="28"/>
      <c r="AO2172" s="28" t="n">
        <f aca="false">AN2172*$M2172</f>
        <v>0</v>
      </c>
      <c r="AP2172" s="28"/>
      <c r="AQ2172" s="28" t="n">
        <f aca="false">AP2172*$M2172</f>
        <v>0</v>
      </c>
      <c r="AR2172" s="28"/>
      <c r="AS2172" s="28" t="n">
        <f aca="false">AR2172*$M2172</f>
        <v>0</v>
      </c>
      <c r="AT2172" s="28"/>
      <c r="AU2172" s="28" t="n">
        <f aca="false">AT2172*$M2172</f>
        <v>0</v>
      </c>
      <c r="AV2172" s="28" t="n">
        <f aca="false">6667/100</f>
        <v>66.67</v>
      </c>
      <c r="AW2172" s="28" t="n">
        <v>3333</v>
      </c>
      <c r="AX2172" s="28"/>
      <c r="AY2172" s="28" t="n">
        <f aca="false">AX2172*$M2172</f>
        <v>0</v>
      </c>
      <c r="AZ2172" s="30" t="n">
        <f aca="false">153493/100</f>
        <v>1534.93</v>
      </c>
      <c r="BA2172" s="11" t="n">
        <v>76744</v>
      </c>
      <c r="BB2172" s="31" t="n">
        <f aca="false">SUM(Q2172,S2172,U2172,W2172,Y2172,AA2172,AC2172,AE2172,AG2172,AI2172,AK2172,AM2172,AO2172,AQ2172,AS2172,AU2172,AW2172,AY2172)</f>
        <v>76744</v>
      </c>
      <c r="BC2172" s="28" t="n">
        <f aca="false">BA2172-BB2172</f>
        <v>0</v>
      </c>
      <c r="BD2172" s="32" t="n">
        <f aca="false">SUM(P2172,R2172,T2172,V2172,X2172,Z2172,AB2172,AD2172,AF2172,AH2172,AJ2172,AL2172,AN2172,AP2172,AR2172,AT2172,AV2172,AX2172)</f>
        <v>1534.93</v>
      </c>
      <c r="BE2172" s="33" t="n">
        <f aca="false">AZ2172-BD2172</f>
        <v>0</v>
      </c>
      <c r="BF2172" s="34" t="n">
        <f aca="false">BD2172*M2172</f>
        <v>76746.5</v>
      </c>
      <c r="BG2172" s="35" t="n">
        <f aca="false">BA2172-BF2172</f>
        <v>-2.49999999998545</v>
      </c>
      <c r="BH2172" s="19" t="str">
        <f aca="false">IF(BG2172=0,"",IF(BG2172&lt;&gt;BA2172,"erreur de calcul",IF(BD2172&lt;&gt;0,"pas de prix",IF(M2172&lt;&gt; 0,"pas de quantité","pas de prix, ni de quantité"))))</f>
        <v>erreur de calcul</v>
      </c>
      <c r="BI2172" s="19"/>
    </row>
    <row r="2173" customFormat="false" ht="15" hidden="false" customHeight="false" outlineLevel="0" collapsed="false">
      <c r="A2173" s="0" t="n">
        <v>24</v>
      </c>
      <c r="B2173" s="8" t="s">
        <v>24</v>
      </c>
      <c r="C2173" s="9" t="s">
        <v>25</v>
      </c>
      <c r="D2173" s="9" t="s">
        <v>26</v>
      </c>
      <c r="E2173" s="10" t="n">
        <v>1789</v>
      </c>
      <c r="F2173" s="9" t="s">
        <v>27</v>
      </c>
      <c r="G2173" s="9" t="s">
        <v>27</v>
      </c>
      <c r="H2173" s="11" t="n">
        <v>20</v>
      </c>
      <c r="I2173" s="11" t="s">
        <v>142</v>
      </c>
      <c r="J2173" s="14" t="n">
        <v>12</v>
      </c>
      <c r="K2173" s="14"/>
      <c r="L2173" s="16"/>
      <c r="M2173" s="27" t="n">
        <f aca="false">J2173+(K2173/20)+(L2173/240)</f>
        <v>12</v>
      </c>
      <c r="N2173" s="17" t="s">
        <v>66</v>
      </c>
      <c r="O2173" s="11"/>
      <c r="P2173" s="28"/>
      <c r="Q2173" s="28" t="n">
        <f aca="false">P2173*$M2173</f>
        <v>0</v>
      </c>
      <c r="R2173" s="28"/>
      <c r="S2173" s="28" t="n">
        <f aca="false">R2173*$M2173</f>
        <v>0</v>
      </c>
      <c r="T2173" s="28"/>
      <c r="U2173" s="28" t="n">
        <f aca="false">T2173*$M2173</f>
        <v>0</v>
      </c>
      <c r="V2173" s="28"/>
      <c r="W2173" s="28" t="n">
        <f aca="false">V2173*$M2173</f>
        <v>0</v>
      </c>
      <c r="X2173" s="28"/>
      <c r="Y2173" s="28" t="n">
        <f aca="false">X2173*$M2173</f>
        <v>0</v>
      </c>
      <c r="Z2173" s="28" t="n">
        <v>21</v>
      </c>
      <c r="AA2173" s="28" t="n">
        <v>252</v>
      </c>
      <c r="AB2173" s="28" t="n">
        <v>672</v>
      </c>
      <c r="AC2173" s="28" t="n">
        <v>8064</v>
      </c>
      <c r="AD2173" s="28"/>
      <c r="AE2173" s="28" t="n">
        <f aca="false">AD2173*$M2173</f>
        <v>0</v>
      </c>
      <c r="AF2173" s="28"/>
      <c r="AG2173" s="28" t="n">
        <f aca="false">AF2173*$M2173</f>
        <v>0</v>
      </c>
      <c r="AH2173" s="28"/>
      <c r="AI2173" s="28" t="n">
        <f aca="false">AH2173*$M2173</f>
        <v>0</v>
      </c>
      <c r="AJ2173" s="28"/>
      <c r="AK2173" s="28" t="n">
        <f aca="false">AJ2173*$M2173</f>
        <v>0</v>
      </c>
      <c r="AL2173" s="28"/>
      <c r="AM2173" s="28" t="n">
        <f aca="false">AL2173*$M2173</f>
        <v>0</v>
      </c>
      <c r="AN2173" s="28"/>
      <c r="AO2173" s="28" t="n">
        <f aca="false">AN2173*$M2173</f>
        <v>0</v>
      </c>
      <c r="AP2173" s="28"/>
      <c r="AQ2173" s="28" t="n">
        <f aca="false">AP2173*$M2173</f>
        <v>0</v>
      </c>
      <c r="AR2173" s="28"/>
      <c r="AS2173" s="28" t="n">
        <f aca="false">AR2173*$M2173</f>
        <v>0</v>
      </c>
      <c r="AT2173" s="28"/>
      <c r="AU2173" s="28" t="n">
        <f aca="false">AT2173*$M2173</f>
        <v>0</v>
      </c>
      <c r="AV2173" s="28"/>
      <c r="AW2173" s="28" t="n">
        <f aca="false">AV2173*$M2173</f>
        <v>0</v>
      </c>
      <c r="AX2173" s="28"/>
      <c r="AY2173" s="28" t="n">
        <f aca="false">AX2173*$M2173</f>
        <v>0</v>
      </c>
      <c r="AZ2173" s="30" t="n">
        <v>693</v>
      </c>
      <c r="BA2173" s="11" t="n">
        <v>8316</v>
      </c>
      <c r="BB2173" s="31" t="n">
        <f aca="false">SUM(Q2173,S2173,U2173,W2173,Y2173,AA2173,AC2173,AE2173,AG2173,AI2173,AK2173,AM2173,AO2173,AQ2173,AS2173,AU2173,AW2173,AY2173)</f>
        <v>8316</v>
      </c>
      <c r="BC2173" s="28" t="n">
        <f aca="false">BA2173-BB2173</f>
        <v>0</v>
      </c>
      <c r="BD2173" s="32" t="n">
        <f aca="false">SUM(P2173,R2173,T2173,V2173,X2173,Z2173,AB2173,AD2173,AF2173,AH2173,AJ2173,AL2173,AN2173,AP2173,AR2173,AT2173,AV2173,AX2173)</f>
        <v>693</v>
      </c>
      <c r="BE2173" s="33" t="n">
        <f aca="false">AZ2173-BD2173</f>
        <v>0</v>
      </c>
      <c r="BF2173" s="34" t="n">
        <f aca="false">BD2173*M2173</f>
        <v>8316</v>
      </c>
      <c r="BG2173" s="35" t="n">
        <f aca="false">BA2173-BF2173</f>
        <v>0</v>
      </c>
      <c r="BH2173" s="19" t="str">
        <f aca="false">IF(BG2173=0,"",IF(BG2173&lt;&gt;BA2173,"erreur de calcul",IF(BD2173&lt;&gt;0,"pas de prix",IF(M2173&lt;&gt; 0,"pas de quantité","pas de prix, ni de quantité"))))</f>
        <v/>
      </c>
      <c r="BI2173" s="19"/>
    </row>
    <row r="2174" customFormat="false" ht="15" hidden="false" customHeight="false" outlineLevel="0" collapsed="false">
      <c r="A2174" s="0" t="n">
        <v>25</v>
      </c>
      <c r="B2174" s="8" t="s">
        <v>24</v>
      </c>
      <c r="C2174" s="9" t="s">
        <v>25</v>
      </c>
      <c r="D2174" s="9" t="s">
        <v>26</v>
      </c>
      <c r="E2174" s="10" t="n">
        <v>1789</v>
      </c>
      <c r="F2174" s="9" t="s">
        <v>27</v>
      </c>
      <c r="G2174" s="9" t="s">
        <v>27</v>
      </c>
      <c r="H2174" s="11" t="n">
        <v>20</v>
      </c>
      <c r="I2174" s="11" t="s">
        <v>143</v>
      </c>
      <c r="J2174" s="14" t="n">
        <v>8</v>
      </c>
      <c r="K2174" s="14"/>
      <c r="L2174" s="16"/>
      <c r="M2174" s="27" t="n">
        <f aca="false">J2174+(K2174/20)+(L2174/240)</f>
        <v>8</v>
      </c>
      <c r="N2174" s="17" t="s">
        <v>85</v>
      </c>
      <c r="O2174" s="11"/>
      <c r="P2174" s="28" t="n">
        <f aca="false">74969/100</f>
        <v>749.69</v>
      </c>
      <c r="Q2174" s="28" t="n">
        <v>5997</v>
      </c>
      <c r="R2174" s="28"/>
      <c r="S2174" s="28" t="n">
        <f aca="false">R2174*$M2174</f>
        <v>0</v>
      </c>
      <c r="T2174" s="28" t="n">
        <f aca="false">58256/100</f>
        <v>582.56</v>
      </c>
      <c r="U2174" s="28" t="n">
        <v>4660</v>
      </c>
      <c r="V2174" s="28" t="n">
        <f aca="false">14450/100</f>
        <v>144.5</v>
      </c>
      <c r="W2174" s="28" t="n">
        <v>1156</v>
      </c>
      <c r="X2174" s="28" t="n">
        <f aca="false">4397/100</f>
        <v>43.97</v>
      </c>
      <c r="Y2174" s="28" t="n">
        <v>352</v>
      </c>
      <c r="Z2174" s="28"/>
      <c r="AA2174" s="28" t="n">
        <f aca="false">Z2174*$M2174</f>
        <v>0</v>
      </c>
      <c r="AB2174" s="28" t="n">
        <f aca="false">6400/100</f>
        <v>64</v>
      </c>
      <c r="AC2174" s="28" t="n">
        <v>512</v>
      </c>
      <c r="AD2174" s="28" t="n">
        <f aca="false">19450/100</f>
        <v>194.5</v>
      </c>
      <c r="AE2174" s="28" t="n">
        <v>1556</v>
      </c>
      <c r="AF2174" s="28" t="n">
        <f aca="false">2496/100</f>
        <v>24.96</v>
      </c>
      <c r="AG2174" s="28" t="n">
        <v>200</v>
      </c>
      <c r="AH2174" s="28"/>
      <c r="AI2174" s="28" t="n">
        <f aca="false">AH2174*$M2174</f>
        <v>0</v>
      </c>
      <c r="AJ2174" s="28"/>
      <c r="AK2174" s="28" t="n">
        <f aca="false">AJ2174*$M2174</f>
        <v>0</v>
      </c>
      <c r="AL2174" s="28"/>
      <c r="AM2174" s="28" t="n">
        <f aca="false">AL2174*$M2174</f>
        <v>0</v>
      </c>
      <c r="AN2174" s="28"/>
      <c r="AO2174" s="28" t="n">
        <f aca="false">AN2174*$M2174</f>
        <v>0</v>
      </c>
      <c r="AP2174" s="28"/>
      <c r="AQ2174" s="28" t="n">
        <f aca="false">AP2174*$M2174</f>
        <v>0</v>
      </c>
      <c r="AR2174" s="28"/>
      <c r="AS2174" s="28" t="n">
        <f aca="false">AR2174*$M2174</f>
        <v>0</v>
      </c>
      <c r="AT2174" s="28"/>
      <c r="AU2174" s="28" t="n">
        <f aca="false">AT2174*$M2174</f>
        <v>0</v>
      </c>
      <c r="AV2174" s="28"/>
      <c r="AW2174" s="28" t="n">
        <f aca="false">AV2174*$M2174</f>
        <v>0</v>
      </c>
      <c r="AX2174" s="28"/>
      <c r="AY2174" s="28" t="n">
        <f aca="false">AX2174*$M2174</f>
        <v>0</v>
      </c>
      <c r="AZ2174" s="30" t="n">
        <f aca="false">180418/100</f>
        <v>1804.18</v>
      </c>
      <c r="BA2174" s="11" t="n">
        <v>14433</v>
      </c>
      <c r="BB2174" s="31" t="n">
        <f aca="false">SUM(Q2174,S2174,U2174,W2174,Y2174,AA2174,AC2174,AE2174,AG2174,AI2174,AK2174,AM2174,AO2174,AQ2174,AS2174,AU2174,AW2174,AY2174)</f>
        <v>14433</v>
      </c>
      <c r="BC2174" s="28" t="n">
        <f aca="false">BA2174-BB2174</f>
        <v>0</v>
      </c>
      <c r="BD2174" s="32" t="n">
        <f aca="false">SUM(P2174,R2174,T2174,V2174,X2174,Z2174,AB2174,AD2174,AF2174,AH2174,AJ2174,AL2174,AN2174,AP2174,AR2174,AT2174,AV2174,AX2174)</f>
        <v>1804.18</v>
      </c>
      <c r="BE2174" s="33" t="n">
        <f aca="false">AZ2174-BD2174</f>
        <v>0</v>
      </c>
      <c r="BF2174" s="34" t="n">
        <f aca="false">BD2174*M2174</f>
        <v>14433.44</v>
      </c>
      <c r="BG2174" s="35" t="n">
        <f aca="false">BA2174-BF2174</f>
        <v>-0.440000000000509</v>
      </c>
      <c r="BH2174" s="19" t="str">
        <f aca="false">IF(BG2174=0,"",IF(BG2174&lt;&gt;BA2174,"erreur de calcul",IF(BD2174&lt;&gt;0,"pas de prix",IF(M2174&lt;&gt; 0,"pas de quantité","pas de prix, ni de quantité"))))</f>
        <v>erreur de calcul</v>
      </c>
      <c r="BI2174" s="19"/>
    </row>
    <row r="2175" customFormat="false" ht="15" hidden="false" customHeight="false" outlineLevel="0" collapsed="false">
      <c r="A2175" s="0" t="n">
        <v>26</v>
      </c>
      <c r="B2175" s="8" t="s">
        <v>24</v>
      </c>
      <c r="C2175" s="9" t="s">
        <v>25</v>
      </c>
      <c r="D2175" s="9" t="s">
        <v>26</v>
      </c>
      <c r="E2175" s="10" t="n">
        <v>1789</v>
      </c>
      <c r="F2175" s="9" t="s">
        <v>27</v>
      </c>
      <c r="G2175" s="9" t="s">
        <v>27</v>
      </c>
      <c r="H2175" s="11" t="n">
        <v>20</v>
      </c>
      <c r="I2175" s="11" t="s">
        <v>144</v>
      </c>
      <c r="J2175" s="14" t="n">
        <v>3</v>
      </c>
      <c r="K2175" s="14"/>
      <c r="L2175" s="16"/>
      <c r="M2175" s="27" t="n">
        <f aca="false">J2175+(K2175/20)+(L2175/240)</f>
        <v>3</v>
      </c>
      <c r="N2175" s="17" t="s">
        <v>66</v>
      </c>
      <c r="O2175" s="11"/>
      <c r="P2175" s="28"/>
      <c r="Q2175" s="28" t="n">
        <f aca="false">P2175*$M2175</f>
        <v>0</v>
      </c>
      <c r="R2175" s="28"/>
      <c r="S2175" s="28" t="n">
        <f aca="false">R2175*$M2175</f>
        <v>0</v>
      </c>
      <c r="T2175" s="28" t="n">
        <v>24347</v>
      </c>
      <c r="U2175" s="28" t="n">
        <v>73041</v>
      </c>
      <c r="V2175" s="28" t="n">
        <v>2300</v>
      </c>
      <c r="W2175" s="28" t="n">
        <v>6900</v>
      </c>
      <c r="X2175" s="28" t="n">
        <v>152</v>
      </c>
      <c r="Y2175" s="28" t="n">
        <v>456</v>
      </c>
      <c r="Z2175" s="28"/>
      <c r="AA2175" s="28" t="n">
        <f aca="false">Z2175*$M2175</f>
        <v>0</v>
      </c>
      <c r="AB2175" s="28" t="n">
        <v>53940</v>
      </c>
      <c r="AC2175" s="28" t="n">
        <v>161820</v>
      </c>
      <c r="AD2175" s="28"/>
      <c r="AE2175" s="28" t="n">
        <f aca="false">AD2175*$M2175</f>
        <v>0</v>
      </c>
      <c r="AF2175" s="28"/>
      <c r="AG2175" s="28" t="n">
        <f aca="false">AF2175*$M2175</f>
        <v>0</v>
      </c>
      <c r="AH2175" s="28" t="n">
        <v>1668909</v>
      </c>
      <c r="AI2175" s="28" t="n">
        <v>5006727</v>
      </c>
      <c r="AJ2175" s="28"/>
      <c r="AK2175" s="28" t="n">
        <f aca="false">AJ2175*$M2175</f>
        <v>0</v>
      </c>
      <c r="AL2175" s="28"/>
      <c r="AM2175" s="28" t="n">
        <f aca="false">AL2175*$M2175</f>
        <v>0</v>
      </c>
      <c r="AN2175" s="28" t="n">
        <v>165</v>
      </c>
      <c r="AO2175" s="28" t="n">
        <v>495</v>
      </c>
      <c r="AP2175" s="28"/>
      <c r="AQ2175" s="28" t="n">
        <f aca="false">AP2175*$M2175</f>
        <v>0</v>
      </c>
      <c r="AR2175" s="28"/>
      <c r="AS2175" s="28" t="n">
        <f aca="false">AR2175*$M2175</f>
        <v>0</v>
      </c>
      <c r="AT2175" s="28"/>
      <c r="AU2175" s="28" t="n">
        <f aca="false">AT2175*$M2175</f>
        <v>0</v>
      </c>
      <c r="AV2175" s="28"/>
      <c r="AW2175" s="28" t="n">
        <f aca="false">AV2175*$M2175</f>
        <v>0</v>
      </c>
      <c r="AX2175" s="28"/>
      <c r="AY2175" s="28" t="n">
        <f aca="false">AX2175*$M2175</f>
        <v>0</v>
      </c>
      <c r="AZ2175" s="30" t="n">
        <v>1736540</v>
      </c>
      <c r="BA2175" s="11" t="n">
        <v>5249439</v>
      </c>
      <c r="BB2175" s="31" t="n">
        <f aca="false">SUM(Q2175,S2175,U2175,W2175,Y2175,AA2175,AC2175,AE2175,AG2175,AI2175,AK2175,AM2175,AO2175,AQ2175,AS2175,AU2175,AW2175,AY2175)</f>
        <v>5249439</v>
      </c>
      <c r="BC2175" s="28" t="n">
        <f aca="false">BA2175-BB2175</f>
        <v>0</v>
      </c>
      <c r="BD2175" s="32" t="n">
        <f aca="false">SUM(P2175,R2175,T2175,V2175,X2175,Z2175,AB2175,AD2175,AF2175,AH2175,AJ2175,AL2175,AN2175,AP2175,AR2175,AT2175,AV2175,AX2175)</f>
        <v>1749813</v>
      </c>
      <c r="BE2175" s="33" t="n">
        <f aca="false">AZ2175-BD2175</f>
        <v>-13273</v>
      </c>
      <c r="BF2175" s="34" t="n">
        <f aca="false">BD2175*M2175</f>
        <v>5249439</v>
      </c>
      <c r="BG2175" s="35" t="n">
        <f aca="false">BA2175-BF2175</f>
        <v>0</v>
      </c>
      <c r="BH2175" s="19" t="str">
        <f aca="false">IF(BG2175=0,"",IF(BG2175&lt;&gt;BA2175,"erreur de calcul",IF(BD2175&lt;&gt;0,"pas de prix",IF(M2175&lt;&gt; 0,"pas de quantité","pas de prix, ni de quantité"))))</f>
        <v/>
      </c>
      <c r="BI2175" s="19"/>
    </row>
    <row r="2176" customFormat="false" ht="15" hidden="false" customHeight="false" outlineLevel="0" collapsed="false">
      <c r="A2176" s="0" t="n">
        <v>27</v>
      </c>
      <c r="B2176" s="8" t="s">
        <v>24</v>
      </c>
      <c r="C2176" s="9" t="s">
        <v>25</v>
      </c>
      <c r="D2176" s="9" t="s">
        <v>26</v>
      </c>
      <c r="E2176" s="10" t="n">
        <v>1789</v>
      </c>
      <c r="F2176" s="9" t="s">
        <v>27</v>
      </c>
      <c r="G2176" s="9" t="s">
        <v>27</v>
      </c>
      <c r="H2176" s="11" t="n">
        <v>20</v>
      </c>
      <c r="I2176" s="11" t="s">
        <v>145</v>
      </c>
      <c r="J2176" s="14" t="n">
        <v>4</v>
      </c>
      <c r="K2176" s="14" t="n">
        <v>18</v>
      </c>
      <c r="L2176" s="16"/>
      <c r="M2176" s="27" t="n">
        <f aca="false">J2176+(K2176/20)+(L2176/240)</f>
        <v>4.9</v>
      </c>
      <c r="N2176" s="17" t="s">
        <v>66</v>
      </c>
      <c r="O2176" s="11"/>
      <c r="P2176" s="28"/>
      <c r="Q2176" s="28" t="n">
        <f aca="false">P2176*$M2176</f>
        <v>0</v>
      </c>
      <c r="R2176" s="28"/>
      <c r="S2176" s="28" t="n">
        <f aca="false">R2176*$M2176</f>
        <v>0</v>
      </c>
      <c r="T2176" s="28"/>
      <c r="U2176" s="28" t="n">
        <f aca="false">T2176*$M2176</f>
        <v>0</v>
      </c>
      <c r="V2176" s="28"/>
      <c r="W2176" s="28" t="n">
        <f aca="false">V2176*$M2176</f>
        <v>0</v>
      </c>
      <c r="X2176" s="28"/>
      <c r="Y2176" s="28" t="n">
        <f aca="false">X2176*$M2176</f>
        <v>0</v>
      </c>
      <c r="Z2176" s="28"/>
      <c r="AA2176" s="28" t="n">
        <f aca="false">Z2176*$M2176</f>
        <v>0</v>
      </c>
      <c r="AB2176" s="28"/>
      <c r="AC2176" s="28" t="n">
        <f aca="false">AB2176*$M2176</f>
        <v>0</v>
      </c>
      <c r="AD2176" s="28"/>
      <c r="AE2176" s="28" t="n">
        <f aca="false">AD2176*$M2176</f>
        <v>0</v>
      </c>
      <c r="AF2176" s="28"/>
      <c r="AG2176" s="28" t="n">
        <f aca="false">AF2176*$M2176</f>
        <v>0</v>
      </c>
      <c r="AH2176" s="28" t="n">
        <v>14916</v>
      </c>
      <c r="AI2176" s="28" t="n">
        <v>73088</v>
      </c>
      <c r="AJ2176" s="28"/>
      <c r="AK2176" s="28" t="n">
        <f aca="false">AJ2176*$M2176</f>
        <v>0</v>
      </c>
      <c r="AL2176" s="28"/>
      <c r="AM2176" s="28" t="n">
        <f aca="false">AL2176*$M2176</f>
        <v>0</v>
      </c>
      <c r="AN2176" s="28"/>
      <c r="AO2176" s="28" t="n">
        <f aca="false">AN2176*$M2176</f>
        <v>0</v>
      </c>
      <c r="AP2176" s="28"/>
      <c r="AQ2176" s="28" t="n">
        <f aca="false">AP2176*$M2176</f>
        <v>0</v>
      </c>
      <c r="AR2176" s="28"/>
      <c r="AS2176" s="28" t="n">
        <f aca="false">AR2176*$M2176</f>
        <v>0</v>
      </c>
      <c r="AT2176" s="28"/>
      <c r="AU2176" s="28" t="n">
        <f aca="false">AT2176*$M2176</f>
        <v>0</v>
      </c>
      <c r="AV2176" s="28"/>
      <c r="AW2176" s="28" t="n">
        <f aca="false">AV2176*$M2176</f>
        <v>0</v>
      </c>
      <c r="AX2176" s="28"/>
      <c r="AY2176" s="28" t="n">
        <f aca="false">AX2176*$M2176</f>
        <v>0</v>
      </c>
      <c r="AZ2176" s="30" t="n">
        <v>14916</v>
      </c>
      <c r="BA2176" s="11" t="n">
        <v>73088</v>
      </c>
      <c r="BB2176" s="31" t="n">
        <f aca="false">SUM(Q2176,S2176,U2176,W2176,Y2176,AA2176,AC2176,AE2176,AG2176,AI2176,AK2176,AM2176,AO2176,AQ2176,AS2176,AU2176,AW2176,AY2176)</f>
        <v>73088</v>
      </c>
      <c r="BC2176" s="28" t="n">
        <f aca="false">BA2176-BB2176</f>
        <v>0</v>
      </c>
      <c r="BD2176" s="32" t="n">
        <f aca="false">SUM(P2176,R2176,T2176,V2176,X2176,Z2176,AB2176,AD2176,AF2176,AH2176,AJ2176,AL2176,AN2176,AP2176,AR2176,AT2176,AV2176,AX2176)</f>
        <v>14916</v>
      </c>
      <c r="BE2176" s="33" t="n">
        <f aca="false">AZ2176-BD2176</f>
        <v>0</v>
      </c>
      <c r="BF2176" s="34" t="n">
        <f aca="false">BD2176*M2176</f>
        <v>73088.4</v>
      </c>
      <c r="BG2176" s="35" t="n">
        <f aca="false">BA2176-BF2176</f>
        <v>-0.400000000008731</v>
      </c>
      <c r="BH2176" s="19" t="str">
        <f aca="false">IF(BG2176=0,"",IF(BG2176&lt;&gt;BA2176,"erreur de calcul",IF(BD2176&lt;&gt;0,"pas de prix",IF(M2176&lt;&gt; 0,"pas de quantité","pas de prix, ni de quantité"))))</f>
        <v>erreur de calcul</v>
      </c>
      <c r="BI2176" s="19"/>
    </row>
    <row r="2177" customFormat="false" ht="15" hidden="false" customHeight="false" outlineLevel="0" collapsed="false">
      <c r="A2177" s="0" t="n">
        <v>28</v>
      </c>
      <c r="B2177" s="8" t="s">
        <v>24</v>
      </c>
      <c r="C2177" s="9" t="s">
        <v>25</v>
      </c>
      <c r="D2177" s="9" t="s">
        <v>26</v>
      </c>
      <c r="E2177" s="10" t="n">
        <v>1789</v>
      </c>
      <c r="F2177" s="9" t="s">
        <v>27</v>
      </c>
      <c r="G2177" s="9" t="s">
        <v>27</v>
      </c>
      <c r="H2177" s="11" t="n">
        <v>20</v>
      </c>
      <c r="I2177" s="11" t="s">
        <v>146</v>
      </c>
      <c r="J2177" s="14" t="n">
        <v>126</v>
      </c>
      <c r="K2177" s="14"/>
      <c r="L2177" s="16"/>
      <c r="M2177" s="27"/>
      <c r="N2177" s="17" t="s">
        <v>66</v>
      </c>
      <c r="O2177" s="11" t="s">
        <v>98</v>
      </c>
      <c r="P2177" s="28"/>
      <c r="Q2177" s="28" t="n">
        <f aca="false">P2177*$M2177</f>
        <v>0</v>
      </c>
      <c r="R2177" s="28" t="n">
        <v>82676</v>
      </c>
      <c r="S2177" s="28" t="n">
        <v>28572</v>
      </c>
      <c r="T2177" s="28"/>
      <c r="U2177" s="28" t="n">
        <f aca="false">T2177*$M2177</f>
        <v>0</v>
      </c>
      <c r="V2177" s="28"/>
      <c r="W2177" s="28" t="n">
        <f aca="false">V2177*$M2177</f>
        <v>0</v>
      </c>
      <c r="X2177" s="28"/>
      <c r="Y2177" s="28" t="n">
        <f aca="false">X2177*$M2177</f>
        <v>0</v>
      </c>
      <c r="Z2177" s="28"/>
      <c r="AA2177" s="28" t="n">
        <f aca="false">Z2177*$M2177</f>
        <v>0</v>
      </c>
      <c r="AB2177" s="28"/>
      <c r="AC2177" s="28" t="n">
        <f aca="false">AB2177*$M2177</f>
        <v>0</v>
      </c>
      <c r="AD2177" s="28"/>
      <c r="AE2177" s="28" t="n">
        <f aca="false">AD2177*$M2177</f>
        <v>0</v>
      </c>
      <c r="AF2177" s="28"/>
      <c r="AG2177" s="28" t="n">
        <f aca="false">AF2177*$M2177</f>
        <v>0</v>
      </c>
      <c r="AH2177" s="28" t="n">
        <v>6408925</v>
      </c>
      <c r="AI2177" s="28" t="n">
        <v>8075245</v>
      </c>
      <c r="AJ2177" s="28"/>
      <c r="AK2177" s="28" t="n">
        <f aca="false">AJ2177*$M2177</f>
        <v>0</v>
      </c>
      <c r="AL2177" s="28"/>
      <c r="AM2177" s="28" t="n">
        <f aca="false">AL2177*$M2177</f>
        <v>0</v>
      </c>
      <c r="AN2177" s="28"/>
      <c r="AO2177" s="28" t="n">
        <f aca="false">AN2177*$M2177</f>
        <v>0</v>
      </c>
      <c r="AP2177" s="28"/>
      <c r="AQ2177" s="28" t="n">
        <f aca="false">AP2177*$M2177</f>
        <v>0</v>
      </c>
      <c r="AR2177" s="28"/>
      <c r="AS2177" s="28" t="n">
        <f aca="false">AR2177*$M2177</f>
        <v>0</v>
      </c>
      <c r="AT2177" s="28"/>
      <c r="AU2177" s="28" t="n">
        <f aca="false">AT2177*$M2177</f>
        <v>0</v>
      </c>
      <c r="AV2177" s="28"/>
      <c r="AW2177" s="28" t="n">
        <f aca="false">AV2177*$M2177</f>
        <v>0</v>
      </c>
      <c r="AX2177" s="28"/>
      <c r="AY2177" s="28" t="n">
        <f aca="false">AX2177*$M2177</f>
        <v>0</v>
      </c>
      <c r="AZ2177" s="11" t="n">
        <v>6431601</v>
      </c>
      <c r="BA2177" s="11" t="n">
        <v>8103817</v>
      </c>
      <c r="BB2177" s="31" t="n">
        <f aca="false">SUM(Q2177,S2177,U2177,W2177,Y2177,AA2177,AC2177,AE2177,AG2177,AI2177,AK2177,AM2177,AO2177,AQ2177,AS2177,AU2177,AW2177,AY2177)</f>
        <v>8103817</v>
      </c>
      <c r="BC2177" s="28" t="n">
        <f aca="false">BA2177-BB2177</f>
        <v>0</v>
      </c>
      <c r="BD2177" s="32" t="n">
        <f aca="false">SUM(P2177,R2177,T2177,V2177,X2177,Z2177,AB2177,AD2177,AF2177,AH2177,AJ2177,AL2177,AN2177,AP2177,AR2177,AT2177,AV2177,AX2177)</f>
        <v>6491601</v>
      </c>
      <c r="BE2177" s="33" t="n">
        <f aca="false">AZ2177-BD2177</f>
        <v>-60000</v>
      </c>
      <c r="BF2177" s="34" t="n">
        <f aca="false">BD2177*M2177</f>
        <v>0</v>
      </c>
      <c r="BG2177" s="35" t="n">
        <f aca="false">BA2177-BF2177</f>
        <v>8103817</v>
      </c>
      <c r="BH2177" s="19" t="str">
        <f aca="false">IF(BG2177=0,"",IF(BG2177&lt;&gt;BA2177,"erreur de calcul",IF(BD2177&lt;&gt;0,"pas de prix",IF(M2177&lt;&gt; 0,"pas de quantité","pas de prix, ni de quantité"))))</f>
        <v>pas de prix</v>
      </c>
      <c r="BI2177" s="19" t="s">
        <v>147</v>
      </c>
    </row>
    <row r="2178" customFormat="false" ht="15" hidden="false" customHeight="false" outlineLevel="0" collapsed="false">
      <c r="A2178" s="0" t="n">
        <v>29</v>
      </c>
      <c r="B2178" s="8" t="s">
        <v>24</v>
      </c>
      <c r="C2178" s="9" t="s">
        <v>25</v>
      </c>
      <c r="D2178" s="9" t="s">
        <v>26</v>
      </c>
      <c r="E2178" s="10" t="n">
        <v>1789</v>
      </c>
      <c r="F2178" s="9" t="s">
        <v>27</v>
      </c>
      <c r="G2178" s="9" t="s">
        <v>27</v>
      </c>
      <c r="H2178" s="11" t="n">
        <v>20</v>
      </c>
      <c r="I2178" s="11" t="s">
        <v>148</v>
      </c>
      <c r="J2178" s="14"/>
      <c r="K2178" s="14" t="n">
        <v>20</v>
      </c>
      <c r="L2178" s="16"/>
      <c r="M2178" s="27" t="n">
        <f aca="false">J2178+(K2178/20)+(L2178/240)</f>
        <v>1</v>
      </c>
      <c r="N2178" s="17" t="s">
        <v>66</v>
      </c>
      <c r="O2178" s="11"/>
      <c r="P2178" s="28"/>
      <c r="Q2178" s="28" t="n">
        <f aca="false">P2178*$M2178</f>
        <v>0</v>
      </c>
      <c r="R2178" s="28"/>
      <c r="S2178" s="28" t="n">
        <f aca="false">R2178*$M2178</f>
        <v>0</v>
      </c>
      <c r="T2178" s="28" t="n">
        <v>392</v>
      </c>
      <c r="U2178" s="28" t="n">
        <v>392</v>
      </c>
      <c r="V2178" s="28"/>
      <c r="W2178" s="28" t="n">
        <f aca="false">V2178*$M2178</f>
        <v>0</v>
      </c>
      <c r="X2178" s="28"/>
      <c r="Y2178" s="28" t="n">
        <f aca="false">X2178*$M2178</f>
        <v>0</v>
      </c>
      <c r="Z2178" s="28"/>
      <c r="AA2178" s="28" t="n">
        <f aca="false">Z2178*$M2178</f>
        <v>0</v>
      </c>
      <c r="AB2178" s="28" t="n">
        <v>7596</v>
      </c>
      <c r="AC2178" s="28" t="n">
        <v>7596</v>
      </c>
      <c r="AD2178" s="28"/>
      <c r="AE2178" s="28" t="n">
        <f aca="false">AD2178*$M2178</f>
        <v>0</v>
      </c>
      <c r="AF2178" s="28"/>
      <c r="AG2178" s="28" t="n">
        <f aca="false">AF2178*$M2178</f>
        <v>0</v>
      </c>
      <c r="AH2178" s="28"/>
      <c r="AI2178" s="28" t="n">
        <f aca="false">AH2178*$M2178</f>
        <v>0</v>
      </c>
      <c r="AJ2178" s="28"/>
      <c r="AK2178" s="28" t="n">
        <f aca="false">AJ2178*$M2178</f>
        <v>0</v>
      </c>
      <c r="AL2178" s="28"/>
      <c r="AM2178" s="28" t="n">
        <f aca="false">AL2178*$M2178</f>
        <v>0</v>
      </c>
      <c r="AN2178" s="28"/>
      <c r="AO2178" s="28" t="n">
        <f aca="false">AN2178*$M2178</f>
        <v>0</v>
      </c>
      <c r="AP2178" s="28"/>
      <c r="AQ2178" s="28" t="n">
        <f aca="false">AP2178*$M2178</f>
        <v>0</v>
      </c>
      <c r="AR2178" s="28"/>
      <c r="AS2178" s="28" t="n">
        <f aca="false">AR2178*$M2178</f>
        <v>0</v>
      </c>
      <c r="AT2178" s="28"/>
      <c r="AU2178" s="28" t="n">
        <f aca="false">AT2178*$M2178</f>
        <v>0</v>
      </c>
      <c r="AV2178" s="28"/>
      <c r="AW2178" s="28" t="n">
        <f aca="false">AV2178*$M2178</f>
        <v>0</v>
      </c>
      <c r="AX2178" s="28"/>
      <c r="AY2178" s="28" t="n">
        <f aca="false">AX2178*$M2178</f>
        <v>0</v>
      </c>
      <c r="AZ2178" s="30" t="n">
        <v>7988</v>
      </c>
      <c r="BA2178" s="11" t="n">
        <v>7988</v>
      </c>
      <c r="BB2178" s="31" t="n">
        <f aca="false">SUM(Q2178,S2178,U2178,W2178,Y2178,AA2178,AC2178,AE2178,AG2178,AI2178,AK2178,AM2178,AO2178,AQ2178,AS2178,AU2178,AW2178,AY2178)</f>
        <v>7988</v>
      </c>
      <c r="BC2178" s="28" t="n">
        <f aca="false">BA2178-BB2178</f>
        <v>0</v>
      </c>
      <c r="BD2178" s="32" t="n">
        <f aca="false">SUM(P2178,R2178,T2178,V2178,X2178,Z2178,AB2178,AD2178,AF2178,AH2178,AJ2178,AL2178,AN2178,AP2178,AR2178,AT2178,AV2178,AX2178)</f>
        <v>7988</v>
      </c>
      <c r="BE2178" s="33" t="n">
        <f aca="false">AZ2178-BD2178</f>
        <v>0</v>
      </c>
      <c r="BF2178" s="34" t="n">
        <f aca="false">BD2178*M2178</f>
        <v>7988</v>
      </c>
      <c r="BG2178" s="35" t="n">
        <f aca="false">BA2178-BF2178</f>
        <v>0</v>
      </c>
      <c r="BH2178" s="19" t="str">
        <f aca="false">IF(BG2178=0,"",IF(BG2178&lt;&gt;BA2178,"erreur de calcul",IF(BD2178&lt;&gt;0,"pas de prix",IF(M2178&lt;&gt; 0,"pas de quantité","pas de prix, ni de quantité"))))</f>
        <v/>
      </c>
      <c r="BI2178" s="19"/>
    </row>
    <row r="2179" customFormat="false" ht="15" hidden="false" customHeight="false" outlineLevel="0" collapsed="false">
      <c r="A2179" s="0" t="n">
        <v>30</v>
      </c>
      <c r="B2179" s="8" t="s">
        <v>24</v>
      </c>
      <c r="C2179" s="9" t="s">
        <v>25</v>
      </c>
      <c r="D2179" s="9" t="s">
        <v>26</v>
      </c>
      <c r="E2179" s="10" t="n">
        <v>1789</v>
      </c>
      <c r="F2179" s="9" t="s">
        <v>27</v>
      </c>
      <c r="G2179" s="9" t="s">
        <v>27</v>
      </c>
      <c r="H2179" s="11" t="n">
        <v>20</v>
      </c>
      <c r="I2179" s="11" t="s">
        <v>149</v>
      </c>
      <c r="J2179" s="14" t="n">
        <v>70</v>
      </c>
      <c r="K2179" s="14"/>
      <c r="L2179" s="16"/>
      <c r="M2179" s="27" t="n">
        <f aca="false">J2179+(K2179/20)+(L2179/240)</f>
        <v>70</v>
      </c>
      <c r="N2179" s="17" t="s">
        <v>64</v>
      </c>
      <c r="O2179" s="11"/>
      <c r="P2179" s="28"/>
      <c r="Q2179" s="28" t="n">
        <f aca="false">P2179*$M2179</f>
        <v>0</v>
      </c>
      <c r="R2179" s="28"/>
      <c r="S2179" s="28" t="n">
        <f aca="false">R2179*$M2179</f>
        <v>0</v>
      </c>
      <c r="T2179" s="28"/>
      <c r="U2179" s="28" t="n">
        <f aca="false">T2179*$M2179</f>
        <v>0</v>
      </c>
      <c r="V2179" s="28"/>
      <c r="W2179" s="28" t="n">
        <f aca="false">V2179*$M2179</f>
        <v>0</v>
      </c>
      <c r="X2179" s="28" t="n">
        <f aca="false">1904/100</f>
        <v>19.04</v>
      </c>
      <c r="Y2179" s="28" t="n">
        <v>1333</v>
      </c>
      <c r="Z2179" s="28"/>
      <c r="AA2179" s="28" t="n">
        <f aca="false">Z2179*$M2179</f>
        <v>0</v>
      </c>
      <c r="AB2179" s="28" t="n">
        <f aca="false">51370/100</f>
        <v>513.7</v>
      </c>
      <c r="AC2179" s="28" t="n">
        <v>35959</v>
      </c>
      <c r="AD2179" s="28"/>
      <c r="AE2179" s="28" t="n">
        <f aca="false">AD2179*$M2179</f>
        <v>0</v>
      </c>
      <c r="AF2179" s="28" t="n">
        <f aca="false">8872/100</f>
        <v>88.72</v>
      </c>
      <c r="AG2179" s="28" t="n">
        <v>6210</v>
      </c>
      <c r="AH2179" s="28" t="n">
        <f aca="false">14751/100</f>
        <v>147.51</v>
      </c>
      <c r="AI2179" s="28" t="n">
        <v>10326</v>
      </c>
      <c r="AJ2179" s="28"/>
      <c r="AK2179" s="28" t="n">
        <f aca="false">AJ2179*$M2179</f>
        <v>0</v>
      </c>
      <c r="AL2179" s="28"/>
      <c r="AM2179" s="28" t="n">
        <f aca="false">AL2179*$M2179</f>
        <v>0</v>
      </c>
      <c r="AN2179" s="28"/>
      <c r="AO2179" s="28" t="n">
        <f aca="false">AN2179*$M2179</f>
        <v>0</v>
      </c>
      <c r="AP2179" s="28"/>
      <c r="AQ2179" s="28" t="n">
        <f aca="false">AP2179*$M2179</f>
        <v>0</v>
      </c>
      <c r="AR2179" s="28"/>
      <c r="AS2179" s="28" t="n">
        <f aca="false">AR2179*$M2179</f>
        <v>0</v>
      </c>
      <c r="AT2179" s="28"/>
      <c r="AU2179" s="28" t="n">
        <f aca="false">AT2179*$M2179</f>
        <v>0</v>
      </c>
      <c r="AV2179" s="28"/>
      <c r="AW2179" s="28" t="n">
        <f aca="false">AV2179*$M2179</f>
        <v>0</v>
      </c>
      <c r="AX2179" s="28"/>
      <c r="AY2179" s="28" t="n">
        <f aca="false">AX2179*$M2179</f>
        <v>0</v>
      </c>
      <c r="AZ2179" s="30" t="n">
        <f aca="false">76897/100</f>
        <v>768.97</v>
      </c>
      <c r="BA2179" s="11" t="n">
        <v>53828</v>
      </c>
      <c r="BB2179" s="31" t="n">
        <f aca="false">SUM(Q2179,S2179,U2179,W2179,Y2179,AA2179,AC2179,AE2179,AG2179,AI2179,AK2179,AM2179,AO2179,AQ2179,AS2179,AU2179,AW2179,AY2179)</f>
        <v>53828</v>
      </c>
      <c r="BC2179" s="28" t="n">
        <f aca="false">BA2179-BB2179</f>
        <v>0</v>
      </c>
      <c r="BD2179" s="32" t="n">
        <f aca="false">SUM(P2179,R2179,T2179,V2179,X2179,Z2179,AB2179,AD2179,AF2179,AH2179,AJ2179,AL2179,AN2179,AP2179,AR2179,AT2179,AV2179,AX2179)</f>
        <v>768.97</v>
      </c>
      <c r="BE2179" s="33" t="n">
        <f aca="false">AZ2179-BD2179</f>
        <v>0</v>
      </c>
      <c r="BF2179" s="34" t="n">
        <f aca="false">BD2179*M2179</f>
        <v>53827.9</v>
      </c>
      <c r="BG2179" s="35" t="n">
        <f aca="false">BA2179-BF2179</f>
        <v>0.0999999999985448</v>
      </c>
      <c r="BH2179" s="19" t="str">
        <f aca="false">IF(BG2179=0,"",IF(BG2179&lt;&gt;BA2179,"erreur de calcul",IF(BD2179&lt;&gt;0,"pas de prix",IF(M2179&lt;&gt; 0,"pas de quantité","pas de prix, ni de quantité"))))</f>
        <v>erreur de calcul</v>
      </c>
      <c r="BI2179" s="19"/>
    </row>
    <row r="2180" customFormat="false" ht="15" hidden="false" customHeight="false" outlineLevel="0" collapsed="false">
      <c r="A2180" s="0" t="n">
        <v>31</v>
      </c>
      <c r="B2180" s="8" t="s">
        <v>24</v>
      </c>
      <c r="C2180" s="9" t="s">
        <v>25</v>
      </c>
      <c r="D2180" s="9" t="s">
        <v>26</v>
      </c>
      <c r="E2180" s="10" t="n">
        <v>1789</v>
      </c>
      <c r="F2180" s="9" t="s">
        <v>27</v>
      </c>
      <c r="G2180" s="9" t="s">
        <v>27</v>
      </c>
      <c r="H2180" s="11" t="n">
        <v>20</v>
      </c>
      <c r="I2180" s="11" t="s">
        <v>150</v>
      </c>
      <c r="J2180" s="14" t="n">
        <v>70</v>
      </c>
      <c r="K2180" s="14"/>
      <c r="L2180" s="16"/>
      <c r="M2180" s="27" t="n">
        <f aca="false">J2180+(K2180/20)+(L2180/240)</f>
        <v>70</v>
      </c>
      <c r="N2180" s="17" t="s">
        <v>64</v>
      </c>
      <c r="O2180" s="11" t="s">
        <v>77</v>
      </c>
      <c r="P2180" s="28"/>
      <c r="Q2180" s="28" t="n">
        <f aca="false">P2180*$M2180</f>
        <v>0</v>
      </c>
      <c r="R2180" s="28"/>
      <c r="S2180" s="28" t="n">
        <f aca="false">R2180*$M2180</f>
        <v>0</v>
      </c>
      <c r="T2180" s="28"/>
      <c r="U2180" s="28" t="n">
        <f aca="false">T2180*$M2180</f>
        <v>0</v>
      </c>
      <c r="V2180" s="28"/>
      <c r="W2180" s="28" t="n">
        <f aca="false">V2180*$M2180</f>
        <v>0</v>
      </c>
      <c r="X2180" s="28"/>
      <c r="Y2180" s="28" t="n">
        <f aca="false">X2180*$M2180</f>
        <v>0</v>
      </c>
      <c r="Z2180" s="28"/>
      <c r="AA2180" s="28" t="n">
        <f aca="false">Z2180*$M2180</f>
        <v>0</v>
      </c>
      <c r="AB2180" s="28"/>
      <c r="AC2180" s="28" t="n">
        <f aca="false">AB2180*$M2180</f>
        <v>0</v>
      </c>
      <c r="AD2180" s="28"/>
      <c r="AE2180" s="28" t="n">
        <f aca="false">AD2180*$M2180</f>
        <v>0</v>
      </c>
      <c r="AF2180" s="28"/>
      <c r="AG2180" s="28" t="n">
        <f aca="false">AF2180*$M2180</f>
        <v>0</v>
      </c>
      <c r="AH2180" s="28"/>
      <c r="AI2180" s="28" t="n">
        <f aca="false">AH2180*$M2180</f>
        <v>0</v>
      </c>
      <c r="AJ2180" s="28"/>
      <c r="AK2180" s="28" t="n">
        <f aca="false">AJ2180*$M2180</f>
        <v>0</v>
      </c>
      <c r="AL2180" s="28"/>
      <c r="AM2180" s="28" t="n">
        <f aca="false">AL2180*$M2180</f>
        <v>0</v>
      </c>
      <c r="AN2180" s="28"/>
      <c r="AO2180" s="28" t="n">
        <f aca="false">AN2180*$M2180</f>
        <v>0</v>
      </c>
      <c r="AP2180" s="28"/>
      <c r="AQ2180" s="28" t="n">
        <f aca="false">AP2180*$M2180</f>
        <v>0</v>
      </c>
      <c r="AR2180" s="28"/>
      <c r="AS2180" s="28" t="n">
        <f aca="false">AR2180*$M2180</f>
        <v>0</v>
      </c>
      <c r="AT2180" s="28"/>
      <c r="AU2180" s="28" t="n">
        <f aca="false">AT2180*$M2180</f>
        <v>0</v>
      </c>
      <c r="AV2180" s="28"/>
      <c r="AW2180" s="28" t="n">
        <f aca="false">AV2180*$M2180</f>
        <v>0</v>
      </c>
      <c r="AX2180" s="28"/>
      <c r="AY2180" s="28" t="n">
        <f aca="false">AX2180*$M2180</f>
        <v>0</v>
      </c>
      <c r="AZ2180" s="30"/>
      <c r="BA2180" s="11"/>
      <c r="BB2180" s="31" t="n">
        <f aca="false">SUM(Q2180,S2180,U2180,W2180,Y2180,AA2180,AC2180,AE2180,AG2180,AI2180,AK2180,AM2180,AO2180,AQ2180,AS2180,AU2180,AW2180,AY2180)</f>
        <v>0</v>
      </c>
      <c r="BC2180" s="28" t="n">
        <f aca="false">BA2180-BB2180</f>
        <v>0</v>
      </c>
      <c r="BD2180" s="32" t="n">
        <f aca="false">SUM(P2180,R2180,T2180,V2180,X2180,Z2180,AB2180,AD2180,AF2180,AH2180,AJ2180,AL2180,AN2180,AP2180,AR2180,AT2180,AV2180,AX2180)</f>
        <v>0</v>
      </c>
      <c r="BE2180" s="33" t="n">
        <f aca="false">AZ2180-BD2180</f>
        <v>0</v>
      </c>
      <c r="BF2180" s="34" t="n">
        <f aca="false">BD2180*M2180</f>
        <v>0</v>
      </c>
      <c r="BG2180" s="35" t="n">
        <f aca="false">BA2180-BF2180</f>
        <v>0</v>
      </c>
      <c r="BH2180" s="19" t="str">
        <f aca="false">IF(BG2180=0,"",IF(BG2180&lt;&gt;BA2180,"erreur de calcul",IF(BD2180&lt;&gt;0,"pas de prix",IF(M2180&lt;&gt; 0,"pas de quantité","pas de prix, ni de quantité"))))</f>
        <v/>
      </c>
      <c r="BI2180" s="19"/>
    </row>
    <row r="2181" customFormat="false" ht="15" hidden="false" customHeight="false" outlineLevel="0" collapsed="false">
      <c r="A2181" s="0" t="n">
        <v>32</v>
      </c>
      <c r="B2181" s="8" t="s">
        <v>24</v>
      </c>
      <c r="C2181" s="9" t="s">
        <v>25</v>
      </c>
      <c r="D2181" s="9" t="s">
        <v>26</v>
      </c>
      <c r="E2181" s="10" t="n">
        <v>1789</v>
      </c>
      <c r="F2181" s="9" t="s">
        <v>27</v>
      </c>
      <c r="G2181" s="9" t="s">
        <v>27</v>
      </c>
      <c r="H2181" s="11" t="n">
        <v>20</v>
      </c>
      <c r="I2181" s="11" t="s">
        <v>150</v>
      </c>
      <c r="J2181" s="14" t="n">
        <v>70</v>
      </c>
      <c r="K2181" s="14"/>
      <c r="L2181" s="16"/>
      <c r="M2181" s="27" t="n">
        <f aca="false">J2181+(K2181/20)+(L2181/240)</f>
        <v>70</v>
      </c>
      <c r="N2181" s="17" t="s">
        <v>64</v>
      </c>
      <c r="O2181" s="11" t="s">
        <v>98</v>
      </c>
      <c r="P2181" s="28" t="n">
        <f aca="false">382028/100</f>
        <v>3820.28</v>
      </c>
      <c r="Q2181" s="28" t="n">
        <v>267420</v>
      </c>
      <c r="R2181" s="28" t="n">
        <f aca="false">131361/100</f>
        <v>1313.61</v>
      </c>
      <c r="S2181" s="28" t="n">
        <v>91953</v>
      </c>
      <c r="T2181" s="28" t="n">
        <f aca="false">8856/100</f>
        <v>88.56</v>
      </c>
      <c r="U2181" s="28" t="n">
        <v>6199</v>
      </c>
      <c r="V2181" s="28" t="n">
        <f aca="false">171125/100</f>
        <v>1711.25</v>
      </c>
      <c r="W2181" s="28" t="n">
        <v>119787</v>
      </c>
      <c r="X2181" s="28" t="n">
        <f aca="false">24259/100</f>
        <v>242.59</v>
      </c>
      <c r="Y2181" s="28" t="n">
        <v>16981</v>
      </c>
      <c r="Z2181" s="28"/>
      <c r="AA2181" s="28" t="n">
        <f aca="false">Z2181*$M2181</f>
        <v>0</v>
      </c>
      <c r="AB2181" s="28" t="n">
        <f aca="false">33694/100</f>
        <v>336.94</v>
      </c>
      <c r="AC2181" s="28" t="n">
        <v>23586</v>
      </c>
      <c r="AD2181" s="28" t="n">
        <f aca="false">89734/100</f>
        <v>897.34</v>
      </c>
      <c r="AE2181" s="28" t="n">
        <v>62814</v>
      </c>
      <c r="AF2181" s="28" t="n">
        <f aca="false">1955727/100</f>
        <v>19557.27</v>
      </c>
      <c r="AG2181" s="28" t="n">
        <v>1369009</v>
      </c>
      <c r="AH2181" s="28" t="n">
        <f aca="false">11740/100</f>
        <v>117.4</v>
      </c>
      <c r="AI2181" s="28" t="n">
        <v>8218</v>
      </c>
      <c r="AJ2181" s="28"/>
      <c r="AK2181" s="28" t="n">
        <f aca="false">AJ2181*$M2181</f>
        <v>0</v>
      </c>
      <c r="AL2181" s="28"/>
      <c r="AM2181" s="28" t="n">
        <f aca="false">AL2181*$M2181</f>
        <v>0</v>
      </c>
      <c r="AN2181" s="28"/>
      <c r="AO2181" s="28" t="n">
        <f aca="false">AN2181*$M2181</f>
        <v>0</v>
      </c>
      <c r="AP2181" s="28"/>
      <c r="AQ2181" s="28" t="n">
        <f aca="false">AP2181*$M2181</f>
        <v>0</v>
      </c>
      <c r="AR2181" s="28"/>
      <c r="AS2181" s="28" t="n">
        <f aca="false">AR2181*$M2181</f>
        <v>0</v>
      </c>
      <c r="AT2181" s="28"/>
      <c r="AU2181" s="28" t="n">
        <f aca="false">AT2181*$M2181</f>
        <v>0</v>
      </c>
      <c r="AV2181" s="28" t="n">
        <f aca="false">15000/100</f>
        <v>150</v>
      </c>
      <c r="AW2181" s="28" t="n">
        <v>10500</v>
      </c>
      <c r="AX2181" s="28"/>
      <c r="AY2181" s="28" t="n">
        <f aca="false">AX2181*$M2181</f>
        <v>0</v>
      </c>
      <c r="AZ2181" s="30" t="n">
        <f aca="false">2823524/100</f>
        <v>28235.24</v>
      </c>
      <c r="BA2181" s="11" t="n">
        <v>1976467</v>
      </c>
      <c r="BB2181" s="31" t="n">
        <f aca="false">SUM(Q2181,S2181,U2181,W2181,Y2181,AA2181,AC2181,AE2181,AG2181,AI2181,AK2181,AM2181,AO2181,AQ2181,AS2181,AU2181,AW2181,AY2181)</f>
        <v>1976467</v>
      </c>
      <c r="BC2181" s="28" t="n">
        <f aca="false">BA2181-BB2181</f>
        <v>0</v>
      </c>
      <c r="BD2181" s="32" t="n">
        <f aca="false">SUM(P2181,R2181,T2181,V2181,X2181,Z2181,AB2181,AD2181,AF2181,AH2181,AJ2181,AL2181,AN2181,AP2181,AR2181,AT2181,AV2181,AX2181)</f>
        <v>28235.24</v>
      </c>
      <c r="BE2181" s="33" t="n">
        <f aca="false">AZ2181-BD2181</f>
        <v>0</v>
      </c>
      <c r="BF2181" s="34" t="n">
        <f aca="false">BD2181*M2181</f>
        <v>1976466.8</v>
      </c>
      <c r="BG2181" s="35" t="n">
        <f aca="false">BA2181-BF2181</f>
        <v>0.199999999953434</v>
      </c>
      <c r="BH2181" s="19" t="str">
        <f aca="false">IF(BG2181=0,"",IF(BG2181&lt;&gt;BA2181,"erreur de calcul",IF(BD2181&lt;&gt;0,"pas de prix",IF(M2181&lt;&gt; 0,"pas de quantité","pas de prix, ni de quantité"))))</f>
        <v>erreur de calcul</v>
      </c>
      <c r="BI2181" s="19"/>
    </row>
    <row r="2182" customFormat="false" ht="15" hidden="false" customHeight="false" outlineLevel="0" collapsed="false">
      <c r="A2182" s="0" t="n">
        <v>33</v>
      </c>
      <c r="B2182" s="8" t="s">
        <v>24</v>
      </c>
      <c r="C2182" s="9" t="s">
        <v>25</v>
      </c>
      <c r="D2182" s="9" t="s">
        <v>26</v>
      </c>
      <c r="E2182" s="10" t="n">
        <v>1789</v>
      </c>
      <c r="F2182" s="9" t="s">
        <v>27</v>
      </c>
      <c r="G2182" s="9" t="s">
        <v>27</v>
      </c>
      <c r="H2182" s="11" t="n">
        <v>20</v>
      </c>
      <c r="I2182" s="11" t="s">
        <v>151</v>
      </c>
      <c r="J2182" s="14" t="n">
        <v>150</v>
      </c>
      <c r="K2182" s="14"/>
      <c r="L2182" s="16"/>
      <c r="M2182" s="27" t="n">
        <f aca="false">J2182+(K2182/20)+(L2182/240)</f>
        <v>150</v>
      </c>
      <c r="N2182" s="17" t="s">
        <v>64</v>
      </c>
      <c r="O2182" s="11"/>
      <c r="P2182" s="28"/>
      <c r="Q2182" s="28" t="n">
        <f aca="false">P2182*$M2182</f>
        <v>0</v>
      </c>
      <c r="R2182" s="28"/>
      <c r="S2182" s="28" t="n">
        <f aca="false">R2182*$M2182</f>
        <v>0</v>
      </c>
      <c r="T2182" s="28"/>
      <c r="U2182" s="28" t="n">
        <f aca="false">T2182*$M2182</f>
        <v>0</v>
      </c>
      <c r="V2182" s="28"/>
      <c r="W2182" s="28" t="n">
        <f aca="false">V2182*$M2182</f>
        <v>0</v>
      </c>
      <c r="X2182" s="28"/>
      <c r="Y2182" s="28" t="n">
        <f aca="false">X2182*$M2182</f>
        <v>0</v>
      </c>
      <c r="Z2182" s="28"/>
      <c r="AA2182" s="28" t="n">
        <f aca="false">Z2182*$M2182</f>
        <v>0</v>
      </c>
      <c r="AB2182" s="28"/>
      <c r="AC2182" s="28" t="n">
        <f aca="false">AB2182*$M2182</f>
        <v>0</v>
      </c>
      <c r="AD2182" s="28"/>
      <c r="AE2182" s="28" t="n">
        <f aca="false">AD2182*$M2182</f>
        <v>0</v>
      </c>
      <c r="AF2182" s="28"/>
      <c r="AG2182" s="28" t="n">
        <f aca="false">AF2182*$M2182</f>
        <v>0</v>
      </c>
      <c r="AH2182" s="28"/>
      <c r="AI2182" s="28" t="n">
        <f aca="false">AH2182*$M2182</f>
        <v>0</v>
      </c>
      <c r="AJ2182" s="28"/>
      <c r="AK2182" s="28" t="n">
        <f aca="false">AJ2182*$M2182</f>
        <v>0</v>
      </c>
      <c r="AL2182" s="28" t="n">
        <f aca="false">118785/100</f>
        <v>1187.85</v>
      </c>
      <c r="AM2182" s="28" t="n">
        <v>178177</v>
      </c>
      <c r="AN2182" s="28"/>
      <c r="AO2182" s="28" t="n">
        <f aca="false">AN2182*$M2182</f>
        <v>0</v>
      </c>
      <c r="AP2182" s="28"/>
      <c r="AQ2182" s="28" t="n">
        <f aca="false">AP2182*$M2182</f>
        <v>0</v>
      </c>
      <c r="AR2182" s="28"/>
      <c r="AS2182" s="28" t="n">
        <f aca="false">AR2182*$M2182</f>
        <v>0</v>
      </c>
      <c r="AT2182" s="28"/>
      <c r="AU2182" s="28" t="n">
        <f aca="false">AT2182*$M2182</f>
        <v>0</v>
      </c>
      <c r="AV2182" s="28"/>
      <c r="AW2182" s="28" t="n">
        <f aca="false">AV2182*$M2182</f>
        <v>0</v>
      </c>
      <c r="AX2182" s="28"/>
      <c r="AY2182" s="28" t="n">
        <f aca="false">AX2182*$M2182</f>
        <v>0</v>
      </c>
      <c r="AZ2182" s="30" t="n">
        <f aca="false">118785/100</f>
        <v>1187.85</v>
      </c>
      <c r="BA2182" s="11" t="n">
        <v>178177</v>
      </c>
      <c r="BB2182" s="31" t="n">
        <f aca="false">SUM(Q2182,S2182,U2182,W2182,Y2182,AA2182,AC2182,AE2182,AG2182,AI2182,AK2182,AM2182,AO2182,AQ2182,AS2182,AU2182,AW2182,AY2182)</f>
        <v>178177</v>
      </c>
      <c r="BC2182" s="28" t="n">
        <f aca="false">BA2182-BB2182</f>
        <v>0</v>
      </c>
      <c r="BD2182" s="32" t="n">
        <f aca="false">SUM(P2182,R2182,T2182,V2182,X2182,Z2182,AB2182,AD2182,AF2182,AH2182,AJ2182,AL2182,AN2182,AP2182,AR2182,AT2182,AV2182,AX2182)</f>
        <v>1187.85</v>
      </c>
      <c r="BE2182" s="33" t="n">
        <f aca="false">AZ2182-BD2182</f>
        <v>0</v>
      </c>
      <c r="BF2182" s="34" t="n">
        <f aca="false">BD2182*M2182</f>
        <v>178177.5</v>
      </c>
      <c r="BG2182" s="35" t="n">
        <f aca="false">BA2182-BF2182</f>
        <v>-0.5</v>
      </c>
      <c r="BH2182" s="19" t="str">
        <f aca="false">IF(BG2182=0,"",IF(BG2182&lt;&gt;BA2182,"erreur de calcul",IF(BD2182&lt;&gt;0,"pas de prix",IF(M2182&lt;&gt; 0,"pas de quantité","pas de prix, ni de quantité"))))</f>
        <v>erreur de calcul</v>
      </c>
      <c r="BI2182" s="19"/>
    </row>
    <row r="2183" customFormat="false" ht="15" hidden="false" customHeight="false" outlineLevel="0" collapsed="false">
      <c r="A2183" s="0" t="n">
        <v>34</v>
      </c>
      <c r="B2183" s="8" t="s">
        <v>24</v>
      </c>
      <c r="C2183" s="9" t="s">
        <v>25</v>
      </c>
      <c r="D2183" s="9" t="s">
        <v>26</v>
      </c>
      <c r="E2183" s="10" t="n">
        <v>1789</v>
      </c>
      <c r="F2183" s="9" t="s">
        <v>27</v>
      </c>
      <c r="G2183" s="9" t="s">
        <v>27</v>
      </c>
      <c r="H2183" s="11" t="n">
        <v>20</v>
      </c>
      <c r="I2183" s="11" t="s">
        <v>152</v>
      </c>
      <c r="J2183" s="14" t="n">
        <v>80</v>
      </c>
      <c r="K2183" s="14"/>
      <c r="L2183" s="16"/>
      <c r="M2183" s="27" t="n">
        <f aca="false">J2183+(K2183/20)+(L2183/240)</f>
        <v>80</v>
      </c>
      <c r="N2183" s="17" t="s">
        <v>64</v>
      </c>
      <c r="O2183" s="11"/>
      <c r="P2183" s="28"/>
      <c r="Q2183" s="28" t="n">
        <f aca="false">P2183*$M2183</f>
        <v>0</v>
      </c>
      <c r="R2183" s="28"/>
      <c r="S2183" s="28" t="n">
        <f aca="false">R2183*$M2183</f>
        <v>0</v>
      </c>
      <c r="T2183" s="28"/>
      <c r="U2183" s="28" t="n">
        <f aca="false">T2183*$M2183</f>
        <v>0</v>
      </c>
      <c r="V2183" s="28"/>
      <c r="W2183" s="28" t="n">
        <f aca="false">V2183*$M2183</f>
        <v>0</v>
      </c>
      <c r="X2183" s="28"/>
      <c r="Y2183" s="28" t="n">
        <f aca="false">X2183*$M2183</f>
        <v>0</v>
      </c>
      <c r="Z2183" s="28"/>
      <c r="AA2183" s="28" t="n">
        <f aca="false">Z2183*$M2183</f>
        <v>0</v>
      </c>
      <c r="AB2183" s="28" t="n">
        <f aca="false">3142/100</f>
        <v>31.42</v>
      </c>
      <c r="AC2183" s="28" t="n">
        <v>2514</v>
      </c>
      <c r="AD2183" s="28"/>
      <c r="AE2183" s="28" t="n">
        <f aca="false">AD2183*$M2183</f>
        <v>0</v>
      </c>
      <c r="AF2183" s="28" t="n">
        <f aca="false">4868/100</f>
        <v>48.68</v>
      </c>
      <c r="AG2183" s="36" t="n">
        <v>3874</v>
      </c>
      <c r="AH2183" s="28" t="n">
        <f aca="false">1541601/100</f>
        <v>15416.01</v>
      </c>
      <c r="AI2183" s="28" t="n">
        <v>1233281</v>
      </c>
      <c r="AJ2183" s="28"/>
      <c r="AK2183" s="28" t="n">
        <f aca="false">AJ2183*$M2183</f>
        <v>0</v>
      </c>
      <c r="AL2183" s="28"/>
      <c r="AM2183" s="28" t="n">
        <f aca="false">AL2183*$M2183</f>
        <v>0</v>
      </c>
      <c r="AN2183" s="28"/>
      <c r="AO2183" s="28" t="n">
        <f aca="false">AN2183*$M2183</f>
        <v>0</v>
      </c>
      <c r="AP2183" s="28"/>
      <c r="AQ2183" s="28" t="n">
        <f aca="false">AP2183*$M2183</f>
        <v>0</v>
      </c>
      <c r="AR2183" s="28"/>
      <c r="AS2183" s="28" t="n">
        <f aca="false">AR2183*$M2183</f>
        <v>0</v>
      </c>
      <c r="AT2183" s="28"/>
      <c r="AU2183" s="28" t="n">
        <f aca="false">AT2183*$M2183</f>
        <v>0</v>
      </c>
      <c r="AV2183" s="28"/>
      <c r="AW2183" s="28" t="n">
        <f aca="false">AV2183*$M2183</f>
        <v>0</v>
      </c>
      <c r="AX2183" s="28"/>
      <c r="AY2183" s="28" t="n">
        <f aca="false">AX2183*$M2183</f>
        <v>0</v>
      </c>
      <c r="AZ2183" s="30" t="n">
        <f aca="false">1549611/100</f>
        <v>15496.11</v>
      </c>
      <c r="BA2183" s="11" t="n">
        <v>1239669</v>
      </c>
      <c r="BB2183" s="31" t="n">
        <f aca="false">SUM(Q2183,S2183,U2183,W2183,Y2183,AA2183,AC2183,AE2183,AG2183,AI2183,AK2183,AM2183,AO2183,AQ2183,AS2183,AU2183,AW2183,AY2183)</f>
        <v>1239669</v>
      </c>
      <c r="BC2183" s="28" t="n">
        <f aca="false">BA2183-BB2183</f>
        <v>0</v>
      </c>
      <c r="BD2183" s="32" t="n">
        <f aca="false">SUM(P2183,R2183,T2183,V2183,X2183,Z2183,AB2183,AD2183,AF2183,AH2183,AJ2183,AL2183,AN2183,AP2183,AR2183,AT2183,AV2183,AX2183)</f>
        <v>15496.11</v>
      </c>
      <c r="BE2183" s="33" t="n">
        <f aca="false">AZ2183-BD2183</f>
        <v>0</v>
      </c>
      <c r="BF2183" s="34" t="n">
        <f aca="false">BD2183*M2183</f>
        <v>1239688.8</v>
      </c>
      <c r="BG2183" s="35" t="n">
        <f aca="false">BA2183-BF2183</f>
        <v>-19.8000000000466</v>
      </c>
      <c r="BH2183" s="19" t="str">
        <f aca="false">IF(BG2183=0,"",IF(BG2183&lt;&gt;BA2183,"erreur de calcul",IF(BD2183&lt;&gt;0,"pas de prix",IF(M2183&lt;&gt; 0,"pas de quantité","pas de prix, ni de quantité"))))</f>
        <v>erreur de calcul</v>
      </c>
      <c r="BI2183" s="19"/>
    </row>
    <row r="2184" customFormat="false" ht="15" hidden="false" customHeight="false" outlineLevel="0" collapsed="false">
      <c r="A2184" s="0" t="n">
        <v>35</v>
      </c>
      <c r="B2184" s="8" t="s">
        <v>24</v>
      </c>
      <c r="C2184" s="9" t="s">
        <v>25</v>
      </c>
      <c r="D2184" s="9" t="s">
        <v>26</v>
      </c>
      <c r="E2184" s="10" t="n">
        <v>1789</v>
      </c>
      <c r="F2184" s="9" t="s">
        <v>27</v>
      </c>
      <c r="G2184" s="9" t="s">
        <v>27</v>
      </c>
      <c r="H2184" s="11" t="n">
        <v>20</v>
      </c>
      <c r="I2184" s="11" t="s">
        <v>153</v>
      </c>
      <c r="J2184" s="14" t="n">
        <v>148</v>
      </c>
      <c r="K2184" s="14"/>
      <c r="L2184" s="16"/>
      <c r="M2184" s="27" t="n">
        <f aca="false">J2184+(K2184/20)+(L2184/240)</f>
        <v>148</v>
      </c>
      <c r="N2184" s="17" t="s">
        <v>64</v>
      </c>
      <c r="O2184" s="11"/>
      <c r="P2184" s="28"/>
      <c r="Q2184" s="28" t="n">
        <f aca="false">P2184*$M2184</f>
        <v>0</v>
      </c>
      <c r="R2184" s="28"/>
      <c r="S2184" s="28" t="n">
        <f aca="false">R2184*$M2184</f>
        <v>0</v>
      </c>
      <c r="T2184" s="28"/>
      <c r="U2184" s="28" t="n">
        <f aca="false">T2184*$M2184</f>
        <v>0</v>
      </c>
      <c r="V2184" s="28"/>
      <c r="W2184" s="28" t="n">
        <f aca="false">V2184*$M2184</f>
        <v>0</v>
      </c>
      <c r="X2184" s="28"/>
      <c r="Y2184" s="28" t="n">
        <f aca="false">X2184*$M2184</f>
        <v>0</v>
      </c>
      <c r="Z2184" s="28"/>
      <c r="AA2184" s="28" t="n">
        <f aca="false">Z2184*$M2184</f>
        <v>0</v>
      </c>
      <c r="AB2184" s="28"/>
      <c r="AC2184" s="28" t="n">
        <f aca="false">AB2184*$M2184</f>
        <v>0</v>
      </c>
      <c r="AD2184" s="28"/>
      <c r="AE2184" s="28" t="n">
        <f aca="false">AD2184*$M2184</f>
        <v>0</v>
      </c>
      <c r="AF2184" s="28"/>
      <c r="AG2184" s="28" t="n">
        <f aca="false">AF2184*$M2184</f>
        <v>0</v>
      </c>
      <c r="AH2184" s="28"/>
      <c r="AI2184" s="28" t="n">
        <f aca="false">AH2184*$M2184</f>
        <v>0</v>
      </c>
      <c r="AJ2184" s="28" t="n">
        <f aca="false">1472/100</f>
        <v>14.72</v>
      </c>
      <c r="AK2184" s="28" t="n">
        <v>2178</v>
      </c>
      <c r="AL2184" s="28"/>
      <c r="AM2184" s="28" t="n">
        <f aca="false">AL2184*$M2184</f>
        <v>0</v>
      </c>
      <c r="AN2184" s="28"/>
      <c r="AO2184" s="28" t="n">
        <f aca="false">AN2184*$M2184</f>
        <v>0</v>
      </c>
      <c r="AP2184" s="28"/>
      <c r="AQ2184" s="28" t="n">
        <f aca="false">AP2184*$M2184</f>
        <v>0</v>
      </c>
      <c r="AR2184" s="28"/>
      <c r="AS2184" s="28" t="n">
        <f aca="false">AR2184*$M2184</f>
        <v>0</v>
      </c>
      <c r="AT2184" s="28"/>
      <c r="AU2184" s="28" t="n">
        <f aca="false">AT2184*$M2184</f>
        <v>0</v>
      </c>
      <c r="AV2184" s="28"/>
      <c r="AW2184" s="28" t="n">
        <f aca="false">AV2184*$M2184</f>
        <v>0</v>
      </c>
      <c r="AX2184" s="28"/>
      <c r="AY2184" s="28" t="n">
        <f aca="false">AX2184*$M2184</f>
        <v>0</v>
      </c>
      <c r="AZ2184" s="30" t="n">
        <f aca="false">1472/100</f>
        <v>14.72</v>
      </c>
      <c r="BA2184" s="11" t="n">
        <v>2178</v>
      </c>
      <c r="BB2184" s="31" t="n">
        <f aca="false">SUM(Q2184,S2184,U2184,W2184,Y2184,AA2184,AC2184,AE2184,AG2184,AI2184,AK2184,AM2184,AO2184,AQ2184,AS2184,AU2184,AW2184,AY2184)</f>
        <v>2178</v>
      </c>
      <c r="BC2184" s="28" t="n">
        <f aca="false">BA2184-BB2184</f>
        <v>0</v>
      </c>
      <c r="BD2184" s="32" t="n">
        <f aca="false">SUM(P2184,R2184,T2184,V2184,X2184,Z2184,AB2184,AD2184,AF2184,AH2184,AJ2184,AL2184,AN2184,AP2184,AR2184,AT2184,AV2184,AX2184)</f>
        <v>14.72</v>
      </c>
      <c r="BE2184" s="33" t="n">
        <f aca="false">AZ2184-BD2184</f>
        <v>0</v>
      </c>
      <c r="BF2184" s="34" t="n">
        <f aca="false">BD2184*M2184</f>
        <v>2178.56</v>
      </c>
      <c r="BG2184" s="35" t="n">
        <f aca="false">BA2184-BF2184</f>
        <v>-0.559999999999945</v>
      </c>
      <c r="BH2184" s="19" t="str">
        <f aca="false">IF(BG2184=0,"",IF(BG2184&lt;&gt;BA2184,"erreur de calcul",IF(BD2184&lt;&gt;0,"pas de prix",IF(M2184&lt;&gt; 0,"pas de quantité","pas de prix, ni de quantité"))))</f>
        <v>erreur de calcul</v>
      </c>
      <c r="BI2184" s="19"/>
    </row>
    <row r="2185" customFormat="false" ht="15" hidden="false" customHeight="false" outlineLevel="0" collapsed="false">
      <c r="A2185" s="0" t="n">
        <v>36</v>
      </c>
      <c r="B2185" s="8" t="s">
        <v>24</v>
      </c>
      <c r="C2185" s="9" t="s">
        <v>25</v>
      </c>
      <c r="D2185" s="9" t="s">
        <v>26</v>
      </c>
      <c r="E2185" s="10" t="n">
        <v>1789</v>
      </c>
      <c r="F2185" s="9" t="s">
        <v>27</v>
      </c>
      <c r="G2185" s="9" t="s">
        <v>27</v>
      </c>
      <c r="H2185" s="11" t="n">
        <v>20</v>
      </c>
      <c r="I2185" s="11" t="s">
        <v>154</v>
      </c>
      <c r="J2185" s="14" t="n">
        <v>75</v>
      </c>
      <c r="K2185" s="14"/>
      <c r="L2185" s="16"/>
      <c r="M2185" s="27" t="n">
        <f aca="false">J2185+(K2185/20)+(L2185/240)</f>
        <v>75</v>
      </c>
      <c r="N2185" s="17" t="s">
        <v>64</v>
      </c>
      <c r="O2185" s="11"/>
      <c r="P2185" s="28"/>
      <c r="Q2185" s="28" t="n">
        <f aca="false">P2185*$M2185</f>
        <v>0</v>
      </c>
      <c r="R2185" s="28"/>
      <c r="S2185" s="28" t="n">
        <f aca="false">R2185*$M2185</f>
        <v>0</v>
      </c>
      <c r="T2185" s="28" t="n">
        <f aca="false">627/100</f>
        <v>6.27</v>
      </c>
      <c r="U2185" s="28" t="n">
        <v>470</v>
      </c>
      <c r="V2185" s="28"/>
      <c r="W2185" s="28" t="n">
        <f aca="false">V2185*$M2185</f>
        <v>0</v>
      </c>
      <c r="X2185" s="28"/>
      <c r="Y2185" s="28" t="n">
        <f aca="false">X2185*$M2185</f>
        <v>0</v>
      </c>
      <c r="Z2185" s="28"/>
      <c r="AA2185" s="28" t="n">
        <f aca="false">Z2185*$M2185</f>
        <v>0</v>
      </c>
      <c r="AB2185" s="28"/>
      <c r="AC2185" s="28" t="n">
        <f aca="false">AB2185*$M2185</f>
        <v>0</v>
      </c>
      <c r="AD2185" s="28"/>
      <c r="AE2185" s="28" t="n">
        <f aca="false">AD2185*$M2185</f>
        <v>0</v>
      </c>
      <c r="AF2185" s="28"/>
      <c r="AG2185" s="28" t="n">
        <f aca="false">AF2185*$M2185</f>
        <v>0</v>
      </c>
      <c r="AH2185" s="28"/>
      <c r="AI2185" s="28" t="n">
        <f aca="false">AH2185*$M2185</f>
        <v>0</v>
      </c>
      <c r="AJ2185" s="28"/>
      <c r="AK2185" s="28" t="n">
        <f aca="false">AJ2185*$M2185</f>
        <v>0</v>
      </c>
      <c r="AL2185" s="28"/>
      <c r="AM2185" s="28" t="n">
        <f aca="false">AL2185*$M2185</f>
        <v>0</v>
      </c>
      <c r="AN2185" s="28"/>
      <c r="AO2185" s="28" t="n">
        <f aca="false">AN2185*$M2185</f>
        <v>0</v>
      </c>
      <c r="AP2185" s="28"/>
      <c r="AQ2185" s="28" t="n">
        <f aca="false">AP2185*$M2185</f>
        <v>0</v>
      </c>
      <c r="AR2185" s="28"/>
      <c r="AS2185" s="28" t="n">
        <f aca="false">AR2185*$M2185</f>
        <v>0</v>
      </c>
      <c r="AT2185" s="28"/>
      <c r="AU2185" s="28" t="n">
        <f aca="false">AT2185*$M2185</f>
        <v>0</v>
      </c>
      <c r="AV2185" s="28"/>
      <c r="AW2185" s="28" t="n">
        <f aca="false">AV2185*$M2185</f>
        <v>0</v>
      </c>
      <c r="AX2185" s="28"/>
      <c r="AY2185" s="28" t="n">
        <f aca="false">AX2185*$M2185</f>
        <v>0</v>
      </c>
      <c r="AZ2185" s="30" t="n">
        <f aca="false">627/100</f>
        <v>6.27</v>
      </c>
      <c r="BA2185" s="11" t="n">
        <v>470</v>
      </c>
      <c r="BB2185" s="31" t="n">
        <f aca="false">SUM(Q2185,S2185,U2185,W2185,Y2185,AA2185,AC2185,AE2185,AG2185,AI2185,AK2185,AM2185,AO2185,AQ2185,AS2185,AU2185,AW2185,AY2185)</f>
        <v>470</v>
      </c>
      <c r="BC2185" s="28" t="n">
        <f aca="false">BA2185-BB2185</f>
        <v>0</v>
      </c>
      <c r="BD2185" s="32" t="n">
        <f aca="false">SUM(P2185,R2185,T2185,V2185,X2185,Z2185,AB2185,AD2185,AF2185,AH2185,AJ2185,AL2185,AN2185,AP2185,AR2185,AT2185,AV2185,AX2185)</f>
        <v>6.27</v>
      </c>
      <c r="BE2185" s="33" t="n">
        <f aca="false">AZ2185-BD2185</f>
        <v>0</v>
      </c>
      <c r="BF2185" s="34" t="n">
        <f aca="false">BD2185*M2185</f>
        <v>470.25</v>
      </c>
      <c r="BG2185" s="35" t="n">
        <f aca="false">BA2185-BF2185</f>
        <v>-0.249999999999943</v>
      </c>
      <c r="BH2185" s="19" t="str">
        <f aca="false">IF(BG2185=0,"",IF(BG2185&lt;&gt;BA2185,"erreur de calcul",IF(BD2185&lt;&gt;0,"pas de prix",IF(M2185&lt;&gt; 0,"pas de quantité","pas de prix, ni de quantité"))))</f>
        <v>erreur de calcul</v>
      </c>
      <c r="BI2185" s="19"/>
    </row>
    <row r="2186" customFormat="false" ht="15" hidden="false" customHeight="false" outlineLevel="0" collapsed="false">
      <c r="A2186" s="0" t="n">
        <v>1</v>
      </c>
      <c r="B2186" s="8" t="s">
        <v>24</v>
      </c>
      <c r="C2186" s="9" t="s">
        <v>25</v>
      </c>
      <c r="D2186" s="9" t="s">
        <v>26</v>
      </c>
      <c r="E2186" s="10" t="n">
        <v>1789</v>
      </c>
      <c r="F2186" s="9" t="s">
        <v>27</v>
      </c>
      <c r="G2186" s="9" t="s">
        <v>27</v>
      </c>
      <c r="H2186" s="11" t="n">
        <v>21</v>
      </c>
      <c r="I2186" s="11" t="s">
        <v>155</v>
      </c>
      <c r="J2186" s="14" t="n">
        <v>60</v>
      </c>
      <c r="K2186" s="14"/>
      <c r="L2186" s="16"/>
      <c r="M2186" s="27" t="n">
        <f aca="false">J2186+(K2186/20)+(L2186/240)</f>
        <v>60</v>
      </c>
      <c r="N2186" s="17" t="s">
        <v>66</v>
      </c>
      <c r="O2186" s="11"/>
      <c r="P2186" s="28"/>
      <c r="Q2186" s="28" t="n">
        <f aca="false">P2186*$M2186</f>
        <v>0</v>
      </c>
      <c r="R2186" s="28"/>
      <c r="S2186" s="28" t="n">
        <f aca="false">R2186*$M2186</f>
        <v>0</v>
      </c>
      <c r="T2186" s="28"/>
      <c r="U2186" s="28" t="n">
        <f aca="false">T2186*$M2186</f>
        <v>0</v>
      </c>
      <c r="V2186" s="28" t="n">
        <v>10</v>
      </c>
      <c r="W2186" s="28" t="n">
        <v>600</v>
      </c>
      <c r="X2186" s="28"/>
      <c r="Y2186" s="28" t="n">
        <f aca="false">X2186*$M2186</f>
        <v>0</v>
      </c>
      <c r="Z2186" s="28"/>
      <c r="AA2186" s="28" t="n">
        <f aca="false">Z2186*$M2186</f>
        <v>0</v>
      </c>
      <c r="AB2186" s="28"/>
      <c r="AC2186" s="28" t="n">
        <f aca="false">AB2186*$M2186</f>
        <v>0</v>
      </c>
      <c r="AD2186" s="28"/>
      <c r="AE2186" s="28" t="n">
        <f aca="false">AD2186*$M2186</f>
        <v>0</v>
      </c>
      <c r="AF2186" s="28"/>
      <c r="AG2186" s="28" t="n">
        <f aca="false">AF2186*$M2186</f>
        <v>0</v>
      </c>
      <c r="AH2186" s="28"/>
      <c r="AI2186" s="28" t="n">
        <f aca="false">AH2186*$M2186</f>
        <v>0</v>
      </c>
      <c r="AJ2186" s="28"/>
      <c r="AK2186" s="28" t="n">
        <f aca="false">AJ2186*$M2186</f>
        <v>0</v>
      </c>
      <c r="AL2186" s="28"/>
      <c r="AM2186" s="28" t="n">
        <f aca="false">AL2186*$M2186</f>
        <v>0</v>
      </c>
      <c r="AN2186" s="28"/>
      <c r="AO2186" s="28" t="n">
        <f aca="false">AN2186*$M2186</f>
        <v>0</v>
      </c>
      <c r="AP2186" s="28"/>
      <c r="AQ2186" s="28" t="n">
        <f aca="false">AP2186*$M2186</f>
        <v>0</v>
      </c>
      <c r="AR2186" s="28"/>
      <c r="AS2186" s="28" t="n">
        <f aca="false">AR2186*$M2186</f>
        <v>0</v>
      </c>
      <c r="AT2186" s="28"/>
      <c r="AU2186" s="28" t="n">
        <f aca="false">AT2186*$M2186</f>
        <v>0</v>
      </c>
      <c r="AV2186" s="28"/>
      <c r="AW2186" s="28" t="n">
        <f aca="false">AV2186*$M2186</f>
        <v>0</v>
      </c>
      <c r="AX2186" s="28"/>
      <c r="AY2186" s="28" t="n">
        <f aca="false">AX2186*$M2186</f>
        <v>0</v>
      </c>
      <c r="AZ2186" s="30" t="n">
        <v>10</v>
      </c>
      <c r="BA2186" s="11" t="n">
        <v>600</v>
      </c>
      <c r="BB2186" s="31" t="n">
        <f aca="false">SUM(Q2186,S2186,U2186,W2186,Y2186,AA2186,AC2186,AE2186,AG2186,AI2186,AK2186,AM2186,AO2186,AQ2186,AS2186,AU2186,AW2186,AY2186)</f>
        <v>600</v>
      </c>
      <c r="BC2186" s="28" t="n">
        <f aca="false">BA2186-BB2186</f>
        <v>0</v>
      </c>
      <c r="BD2186" s="32" t="n">
        <f aca="false">SUM(P2186,R2186,T2186,V2186,X2186,Z2186,AB2186,AD2186,AF2186,AH2186,AJ2186,AL2186,AN2186,AP2186,AR2186,AT2186,AV2186,AX2186)</f>
        <v>10</v>
      </c>
      <c r="BE2186" s="33" t="n">
        <f aca="false">AZ2186-BD2186</f>
        <v>0</v>
      </c>
      <c r="BF2186" s="34" t="n">
        <f aca="false">BD2186*M2186</f>
        <v>600</v>
      </c>
      <c r="BG2186" s="35" t="n">
        <f aca="false">BA2186-BF2186</f>
        <v>0</v>
      </c>
      <c r="BH2186" s="19" t="str">
        <f aca="false">IF(BG2186=0,"",IF(BG2186&lt;&gt;BA2186,"erreur de calcul",IF(BD2186&lt;&gt;0,"pas de prix",IF(M2186&lt;&gt; 0,"pas de quantité","pas de prix, ni de quantité"))))</f>
        <v/>
      </c>
      <c r="BI2186" s="19"/>
    </row>
    <row r="2187" customFormat="false" ht="15" hidden="false" customHeight="false" outlineLevel="0" collapsed="false">
      <c r="A2187" s="0" t="n">
        <v>2</v>
      </c>
      <c r="B2187" s="8" t="s">
        <v>24</v>
      </c>
      <c r="C2187" s="9" t="s">
        <v>25</v>
      </c>
      <c r="D2187" s="9" t="s">
        <v>26</v>
      </c>
      <c r="E2187" s="10" t="n">
        <v>1789</v>
      </c>
      <c r="F2187" s="9" t="s">
        <v>27</v>
      </c>
      <c r="G2187" s="9" t="s">
        <v>27</v>
      </c>
      <c r="H2187" s="11" t="n">
        <v>21</v>
      </c>
      <c r="I2187" s="11" t="s">
        <v>156</v>
      </c>
      <c r="J2187" s="14"/>
      <c r="K2187" s="14"/>
      <c r="L2187" s="16"/>
      <c r="M2187" s="27" t="n">
        <f aca="false">J2187+(K2187/20)+(L2187/240)</f>
        <v>0</v>
      </c>
      <c r="N2187" s="17"/>
      <c r="O2187" s="11"/>
      <c r="P2187" s="28"/>
      <c r="Q2187" s="28" t="n">
        <v>304</v>
      </c>
      <c r="R2187" s="28"/>
      <c r="S2187" s="28" t="n">
        <f aca="false">R2187*$M2187</f>
        <v>0</v>
      </c>
      <c r="T2187" s="28"/>
      <c r="U2187" s="28" t="n">
        <f aca="false">T2187*$M2187</f>
        <v>0</v>
      </c>
      <c r="V2187" s="28"/>
      <c r="W2187" s="28" t="n">
        <f aca="false">V2187*$M2187</f>
        <v>0</v>
      </c>
      <c r="X2187" s="28"/>
      <c r="Y2187" s="28" t="n">
        <v>270</v>
      </c>
      <c r="Z2187" s="28"/>
      <c r="AA2187" s="28" t="n">
        <f aca="false">Z2187*$M2187</f>
        <v>0</v>
      </c>
      <c r="AB2187" s="28"/>
      <c r="AC2187" s="28" t="n">
        <f aca="false">AB2187*$M2187</f>
        <v>0</v>
      </c>
      <c r="AD2187" s="28"/>
      <c r="AE2187" s="28" t="n">
        <v>175</v>
      </c>
      <c r="AF2187" s="28"/>
      <c r="AG2187" s="28" t="n">
        <f aca="false">AF2187*$M2187</f>
        <v>0</v>
      </c>
      <c r="AH2187" s="28"/>
      <c r="AI2187" s="28" t="n">
        <f aca="false">AH2187*$M2187</f>
        <v>0</v>
      </c>
      <c r="AJ2187" s="28"/>
      <c r="AK2187" s="28" t="n">
        <v>240</v>
      </c>
      <c r="AL2187" s="28"/>
      <c r="AM2187" s="28" t="n">
        <v>808</v>
      </c>
      <c r="AN2187" s="28"/>
      <c r="AO2187" s="28" t="n">
        <f aca="false">AN2187*$M2187</f>
        <v>0</v>
      </c>
      <c r="AP2187" s="28"/>
      <c r="AQ2187" s="28" t="n">
        <f aca="false">AP2187*$M2187</f>
        <v>0</v>
      </c>
      <c r="AR2187" s="28"/>
      <c r="AS2187" s="28" t="n">
        <f aca="false">AR2187*$M2187</f>
        <v>0</v>
      </c>
      <c r="AT2187" s="28"/>
      <c r="AU2187" s="28" t="n">
        <f aca="false">AT2187*$M2187</f>
        <v>0</v>
      </c>
      <c r="AV2187" s="28"/>
      <c r="AW2187" s="28" t="n">
        <f aca="false">AV2187*$M2187</f>
        <v>0</v>
      </c>
      <c r="AX2187" s="28"/>
      <c r="AY2187" s="28" t="n">
        <f aca="false">AX2187*$M2187</f>
        <v>0</v>
      </c>
      <c r="AZ2187" s="30"/>
      <c r="BA2187" s="11" t="n">
        <v>1797</v>
      </c>
      <c r="BB2187" s="31" t="n">
        <f aca="false">SUM(Q2187,S2187,U2187,W2187,Y2187,AA2187,AC2187,AE2187,AG2187,AI2187,AK2187,AM2187,AO2187,AQ2187,AS2187,AU2187,AW2187,AY2187)</f>
        <v>1797</v>
      </c>
      <c r="BC2187" s="28" t="n">
        <f aca="false">BA2187-BB2187</f>
        <v>0</v>
      </c>
      <c r="BD2187" s="32" t="n">
        <f aca="false">SUM(P2187,R2187,T2187,V2187,X2187,Z2187,AB2187,AD2187,AF2187,AH2187,AJ2187,AL2187,AN2187,AP2187,AR2187,AT2187,AV2187,AX2187)</f>
        <v>0</v>
      </c>
      <c r="BE2187" s="33" t="n">
        <f aca="false">AZ2187-BD2187</f>
        <v>0</v>
      </c>
      <c r="BF2187" s="34" t="n">
        <f aca="false">BD2187*M2187</f>
        <v>0</v>
      </c>
      <c r="BG2187" s="35" t="n">
        <f aca="false">BA2187-BF2187</f>
        <v>1797</v>
      </c>
      <c r="BH2187" s="19" t="str">
        <f aca="false">IF(BG2187=0,"",IF(BG2187&lt;&gt;BA2187,"erreur de calcul",IF(BD2187&lt;&gt;0,"pas de prix",IF(M2187&lt;&gt; 0,"pas de quantité","pas de prix, ni de quantité"))))</f>
        <v>pas de prix, ni de quantité</v>
      </c>
      <c r="BI2187" s="19"/>
    </row>
    <row r="2188" customFormat="false" ht="15" hidden="false" customHeight="false" outlineLevel="0" collapsed="false">
      <c r="A2188" s="0" t="n">
        <v>3</v>
      </c>
      <c r="B2188" s="8" t="s">
        <v>24</v>
      </c>
      <c r="C2188" s="9" t="s">
        <v>25</v>
      </c>
      <c r="D2188" s="9" t="s">
        <v>26</v>
      </c>
      <c r="E2188" s="10" t="n">
        <v>1789</v>
      </c>
      <c r="F2188" s="9" t="s">
        <v>27</v>
      </c>
      <c r="G2188" s="9" t="s">
        <v>27</v>
      </c>
      <c r="H2188" s="11" t="n">
        <v>21</v>
      </c>
      <c r="I2188" s="11" t="s">
        <v>156</v>
      </c>
      <c r="J2188" s="14" t="n">
        <v>175</v>
      </c>
      <c r="K2188" s="14"/>
      <c r="L2188" s="16"/>
      <c r="M2188" s="27" t="n">
        <f aca="false">J2188+(K2188/20)+(L2188/240)</f>
        <v>175</v>
      </c>
      <c r="N2188" s="17" t="s">
        <v>64</v>
      </c>
      <c r="O2188" s="11" t="s">
        <v>98</v>
      </c>
      <c r="P2188" s="28" t="n">
        <f aca="false">3429/100</f>
        <v>34.29</v>
      </c>
      <c r="Q2188" s="28" t="n">
        <v>6001</v>
      </c>
      <c r="R2188" s="28"/>
      <c r="S2188" s="28" t="n">
        <f aca="false">R2188*$M2188</f>
        <v>0</v>
      </c>
      <c r="T2188" s="28" t="n">
        <f aca="false">5135/100</f>
        <v>51.35</v>
      </c>
      <c r="U2188" s="28" t="n">
        <v>8986</v>
      </c>
      <c r="V2188" s="28" t="n">
        <f aca="false">33716/100</f>
        <v>337.16</v>
      </c>
      <c r="W2188" s="28" t="n">
        <v>59003</v>
      </c>
      <c r="X2188" s="28" t="n">
        <f aca="false">14982/100</f>
        <v>149.82</v>
      </c>
      <c r="Y2188" s="28" t="n">
        <v>26218</v>
      </c>
      <c r="Z2188" s="28"/>
      <c r="AA2188" s="28" t="n">
        <f aca="false">Z2188*$M2188</f>
        <v>0</v>
      </c>
      <c r="AB2188" s="28"/>
      <c r="AC2188" s="28" t="n">
        <f aca="false">AB2188*$M2188</f>
        <v>0</v>
      </c>
      <c r="AD2188" s="28"/>
      <c r="AE2188" s="28" t="n">
        <f aca="false">AD2188*$M2188</f>
        <v>0</v>
      </c>
      <c r="AF2188" s="28" t="n">
        <f aca="false">439/100</f>
        <v>4.39</v>
      </c>
      <c r="AG2188" s="28" t="n">
        <v>768</v>
      </c>
      <c r="AH2188" s="28" t="n">
        <f aca="false">163722/100</f>
        <v>1637.22</v>
      </c>
      <c r="AI2188" s="28" t="n">
        <v>286513</v>
      </c>
      <c r="AJ2188" s="28" t="n">
        <f aca="false">17649/100</f>
        <v>176.49</v>
      </c>
      <c r="AK2188" s="28" t="n">
        <v>30886</v>
      </c>
      <c r="AL2188" s="28" t="n">
        <f aca="false">6852/100</f>
        <v>68.52</v>
      </c>
      <c r="AM2188" s="28" t="n">
        <v>11991</v>
      </c>
      <c r="AN2188" s="28"/>
      <c r="AO2188" s="28" t="n">
        <f aca="false">AN2188*$M2188</f>
        <v>0</v>
      </c>
      <c r="AP2188" s="28"/>
      <c r="AQ2188" s="28" t="n">
        <f aca="false">AP2188*$M2188</f>
        <v>0</v>
      </c>
      <c r="AR2188" s="28"/>
      <c r="AS2188" s="28" t="n">
        <f aca="false">AR2188*$M2188</f>
        <v>0</v>
      </c>
      <c r="AT2188" s="28"/>
      <c r="AU2188" s="28" t="n">
        <f aca="false">AT2188*$M2188</f>
        <v>0</v>
      </c>
      <c r="AV2188" s="28"/>
      <c r="AW2188" s="28" t="n">
        <f aca="false">AV2188*$M2188</f>
        <v>0</v>
      </c>
      <c r="AX2188" s="28"/>
      <c r="AY2188" s="28" t="n">
        <f aca="false">AX2188*$M2188</f>
        <v>0</v>
      </c>
      <c r="AZ2188" s="30" t="n">
        <f aca="false">245924/100</f>
        <v>2459.24</v>
      </c>
      <c r="BA2188" s="11" t="n">
        <v>430366</v>
      </c>
      <c r="BB2188" s="31" t="n">
        <f aca="false">SUM(Q2188,S2188,U2188,W2188,Y2188,AA2188,AC2188,AE2188,AG2188,AI2188,AK2188,AM2188,AO2188,AQ2188,AS2188,AU2188,AW2188,AY2188)</f>
        <v>430366</v>
      </c>
      <c r="BC2188" s="28" t="n">
        <f aca="false">BA2188-BB2188</f>
        <v>0</v>
      </c>
      <c r="BD2188" s="32" t="n">
        <f aca="false">SUM(P2188,R2188,T2188,V2188,X2188,Z2188,AB2188,AD2188,AF2188,AH2188,AJ2188,AL2188,AN2188,AP2188,AR2188,AT2188,AV2188,AX2188)</f>
        <v>2459.24</v>
      </c>
      <c r="BE2188" s="33" t="n">
        <f aca="false">AZ2188-BD2188</f>
        <v>0</v>
      </c>
      <c r="BF2188" s="34" t="n">
        <f aca="false">BD2188*M2188</f>
        <v>430367</v>
      </c>
      <c r="BG2188" s="35" t="n">
        <f aca="false">BA2188-BF2188</f>
        <v>-0.999999999941792</v>
      </c>
      <c r="BH2188" s="19" t="str">
        <f aca="false">IF(BG2188=0,"",IF(BG2188&lt;&gt;BA2188,"erreur de calcul",IF(BD2188&lt;&gt;0,"pas de prix",IF(M2188&lt;&gt; 0,"pas de quantité","pas de prix, ni de quantité"))))</f>
        <v>erreur de calcul</v>
      </c>
      <c r="BI2188" s="19"/>
    </row>
    <row r="2189" customFormat="false" ht="15" hidden="false" customHeight="false" outlineLevel="0" collapsed="false">
      <c r="A2189" s="0" t="n">
        <v>4</v>
      </c>
      <c r="B2189" s="8" t="s">
        <v>24</v>
      </c>
      <c r="C2189" s="9" t="s">
        <v>25</v>
      </c>
      <c r="D2189" s="9" t="s">
        <v>26</v>
      </c>
      <c r="E2189" s="10" t="n">
        <v>1789</v>
      </c>
      <c r="F2189" s="9" t="s">
        <v>27</v>
      </c>
      <c r="G2189" s="9" t="s">
        <v>27</v>
      </c>
      <c r="H2189" s="11" t="n">
        <v>21</v>
      </c>
      <c r="I2189" s="11" t="s">
        <v>157</v>
      </c>
      <c r="J2189" s="14" t="n">
        <v>240</v>
      </c>
      <c r="K2189" s="14"/>
      <c r="L2189" s="16"/>
      <c r="M2189" s="27" t="n">
        <f aca="false">J2189+(K2189/20)+(L2189/240)</f>
        <v>240</v>
      </c>
      <c r="N2189" s="17" t="s">
        <v>64</v>
      </c>
      <c r="O2189" s="11"/>
      <c r="P2189" s="28"/>
      <c r="Q2189" s="28" t="n">
        <f aca="false">P2189*$M2189</f>
        <v>0</v>
      </c>
      <c r="R2189" s="28"/>
      <c r="S2189" s="28" t="n">
        <f aca="false">R2189*$M2189</f>
        <v>0</v>
      </c>
      <c r="T2189" s="28"/>
      <c r="U2189" s="28" t="n">
        <f aca="false">T2189*$M2189</f>
        <v>0</v>
      </c>
      <c r="V2189" s="28"/>
      <c r="W2189" s="28" t="n">
        <f aca="false">V2189*$M2189</f>
        <v>0</v>
      </c>
      <c r="X2189" s="28"/>
      <c r="Y2189" s="28" t="n">
        <f aca="false">X2189*$M2189</f>
        <v>0</v>
      </c>
      <c r="Z2189" s="28"/>
      <c r="AA2189" s="28" t="n">
        <f aca="false">Z2189*$M2189</f>
        <v>0</v>
      </c>
      <c r="AB2189" s="28"/>
      <c r="AC2189" s="28" t="n">
        <f aca="false">AB2189*$M2189</f>
        <v>0</v>
      </c>
      <c r="AD2189" s="28"/>
      <c r="AE2189" s="28" t="n">
        <f aca="false">AD2189*$M2189</f>
        <v>0</v>
      </c>
      <c r="AF2189" s="28"/>
      <c r="AG2189" s="28" t="n">
        <f aca="false">AF2189*$M2189</f>
        <v>0</v>
      </c>
      <c r="AH2189" s="28"/>
      <c r="AI2189" s="28" t="n">
        <f aca="false">AH2189*$M2189</f>
        <v>0</v>
      </c>
      <c r="AJ2189" s="28" t="n">
        <f aca="false">290/100</f>
        <v>2.9</v>
      </c>
      <c r="AK2189" s="36" t="n">
        <v>2208</v>
      </c>
      <c r="AL2189" s="28"/>
      <c r="AM2189" s="28" t="n">
        <f aca="false">AL2189*$M2189</f>
        <v>0</v>
      </c>
      <c r="AN2189" s="28"/>
      <c r="AO2189" s="28" t="n">
        <f aca="false">AN2189*$M2189</f>
        <v>0</v>
      </c>
      <c r="AP2189" s="28"/>
      <c r="AQ2189" s="28" t="n">
        <f aca="false">AP2189*$M2189</f>
        <v>0</v>
      </c>
      <c r="AR2189" s="28"/>
      <c r="AS2189" s="28" t="n">
        <f aca="false">AR2189*$M2189</f>
        <v>0</v>
      </c>
      <c r="AT2189" s="28"/>
      <c r="AU2189" s="28" t="n">
        <f aca="false">AT2189*$M2189</f>
        <v>0</v>
      </c>
      <c r="AV2189" s="28"/>
      <c r="AW2189" s="28" t="n">
        <f aca="false">AV2189*$M2189</f>
        <v>0</v>
      </c>
      <c r="AX2189" s="28"/>
      <c r="AY2189" s="28" t="n">
        <f aca="false">AX2189*$M2189</f>
        <v>0</v>
      </c>
      <c r="AZ2189" s="30" t="n">
        <f aca="false">290/100</f>
        <v>2.9</v>
      </c>
      <c r="BA2189" s="11" t="n">
        <v>2208</v>
      </c>
      <c r="BB2189" s="31" t="n">
        <f aca="false">SUM(Q2189,S2189,U2189,W2189,Y2189,AA2189,AC2189,AE2189,AG2189,AI2189,AK2189,AM2189,AO2189,AQ2189,AS2189,AU2189,AW2189,AY2189)</f>
        <v>2208</v>
      </c>
      <c r="BC2189" s="28" t="n">
        <f aca="false">BA2189-BB2189</f>
        <v>0</v>
      </c>
      <c r="BD2189" s="32" t="n">
        <f aca="false">SUM(P2189,R2189,T2189,V2189,X2189,Z2189,AB2189,AD2189,AF2189,AH2189,AJ2189,AL2189,AN2189,AP2189,AR2189,AT2189,AV2189,AX2189)</f>
        <v>2.9</v>
      </c>
      <c r="BE2189" s="33" t="n">
        <f aca="false">AZ2189-BD2189</f>
        <v>0</v>
      </c>
      <c r="BF2189" s="34" t="n">
        <f aca="false">BD2189*M2189</f>
        <v>696</v>
      </c>
      <c r="BG2189" s="35" t="n">
        <f aca="false">BA2189-BF2189</f>
        <v>1512</v>
      </c>
      <c r="BH2189" s="19" t="str">
        <f aca="false">IF(BG2189=0,"",IF(BG2189&lt;&gt;BA2189,"erreur de calcul",IF(BD2189&lt;&gt;0,"pas de prix",IF(M2189&lt;&gt; 0,"pas de quantité","pas de prix, ni de quantité"))))</f>
        <v>erreur de calcul</v>
      </c>
      <c r="BI2189" s="19"/>
    </row>
    <row r="2190" customFormat="false" ht="15" hidden="false" customHeight="false" outlineLevel="0" collapsed="false">
      <c r="A2190" s="0" t="n">
        <v>5</v>
      </c>
      <c r="B2190" s="8" t="s">
        <v>24</v>
      </c>
      <c r="C2190" s="9" t="s">
        <v>25</v>
      </c>
      <c r="D2190" s="9" t="s">
        <v>26</v>
      </c>
      <c r="E2190" s="10" t="n">
        <v>1789</v>
      </c>
      <c r="F2190" s="9" t="s">
        <v>27</v>
      </c>
      <c r="G2190" s="9" t="s">
        <v>27</v>
      </c>
      <c r="H2190" s="11" t="n">
        <v>21</v>
      </c>
      <c r="I2190" s="11" t="s">
        <v>158</v>
      </c>
      <c r="J2190" s="14" t="n">
        <v>115</v>
      </c>
      <c r="K2190" s="14"/>
      <c r="L2190" s="16"/>
      <c r="M2190" s="27" t="n">
        <f aca="false">J2190+(K2190/20)+(L2190/240)</f>
        <v>115</v>
      </c>
      <c r="N2190" s="17" t="s">
        <v>64</v>
      </c>
      <c r="O2190" s="11"/>
      <c r="P2190" s="28"/>
      <c r="Q2190" s="28" t="n">
        <f aca="false">P2190*$M2190</f>
        <v>0</v>
      </c>
      <c r="R2190" s="28"/>
      <c r="S2190" s="28" t="n">
        <f aca="false">R2190*$M2190</f>
        <v>0</v>
      </c>
      <c r="T2190" s="28"/>
      <c r="U2190" s="28" t="n">
        <f aca="false">T2190*$M2190</f>
        <v>0</v>
      </c>
      <c r="V2190" s="28"/>
      <c r="W2190" s="28" t="n">
        <f aca="false">V2190*$M2190</f>
        <v>0</v>
      </c>
      <c r="X2190" s="28"/>
      <c r="Y2190" s="28" t="n">
        <f aca="false">X2190*$M2190</f>
        <v>0</v>
      </c>
      <c r="Z2190" s="28"/>
      <c r="AA2190" s="28" t="n">
        <f aca="false">Z2190*$M2190</f>
        <v>0</v>
      </c>
      <c r="AB2190" s="28"/>
      <c r="AC2190" s="28" t="n">
        <f aca="false">AB2190*$M2190</f>
        <v>0</v>
      </c>
      <c r="AD2190" s="28"/>
      <c r="AE2190" s="28" t="n">
        <f aca="false">AD2190*$M2190</f>
        <v>0</v>
      </c>
      <c r="AF2190" s="28"/>
      <c r="AG2190" s="28" t="n">
        <f aca="false">AF2190*$M2190</f>
        <v>0</v>
      </c>
      <c r="AH2190" s="28" t="n">
        <f aca="false">491552/100</f>
        <v>4915.52</v>
      </c>
      <c r="AI2190" s="28" t="n">
        <v>565285</v>
      </c>
      <c r="AJ2190" s="28"/>
      <c r="AK2190" s="28" t="n">
        <f aca="false">AJ2190*$M2190</f>
        <v>0</v>
      </c>
      <c r="AL2190" s="28"/>
      <c r="AM2190" s="28" t="n">
        <f aca="false">AL2190*$M2190</f>
        <v>0</v>
      </c>
      <c r="AN2190" s="28"/>
      <c r="AO2190" s="28" t="n">
        <f aca="false">AN2190*$M2190</f>
        <v>0</v>
      </c>
      <c r="AP2190" s="28"/>
      <c r="AQ2190" s="28" t="n">
        <f aca="false">AP2190*$M2190</f>
        <v>0</v>
      </c>
      <c r="AR2190" s="28"/>
      <c r="AS2190" s="28" t="n">
        <f aca="false">AR2190*$M2190</f>
        <v>0</v>
      </c>
      <c r="AT2190" s="28"/>
      <c r="AU2190" s="28" t="n">
        <f aca="false">AT2190*$M2190</f>
        <v>0</v>
      </c>
      <c r="AV2190" s="28"/>
      <c r="AW2190" s="28" t="n">
        <f aca="false">AV2190*$M2190</f>
        <v>0</v>
      </c>
      <c r="AX2190" s="28"/>
      <c r="AY2190" s="28" t="n">
        <f aca="false">AX2190*$M2190</f>
        <v>0</v>
      </c>
      <c r="AZ2190" s="30" t="n">
        <f aca="false">491552/100</f>
        <v>4915.52</v>
      </c>
      <c r="BA2190" s="11" t="n">
        <v>565285</v>
      </c>
      <c r="BB2190" s="31" t="n">
        <f aca="false">SUM(Q2190,S2190,U2190,W2190,Y2190,AA2190,AC2190,AE2190,AG2190,AI2190,AK2190,AM2190,AO2190,AQ2190,AS2190,AU2190,AW2190,AY2190)</f>
        <v>565285</v>
      </c>
      <c r="BC2190" s="28" t="n">
        <f aca="false">BA2190-BB2190</f>
        <v>0</v>
      </c>
      <c r="BD2190" s="32" t="n">
        <f aca="false">SUM(P2190,R2190,T2190,V2190,X2190,Z2190,AB2190,AD2190,AF2190,AH2190,AJ2190,AL2190,AN2190,AP2190,AR2190,AT2190,AV2190,AX2190)</f>
        <v>4915.52</v>
      </c>
      <c r="BE2190" s="33" t="n">
        <f aca="false">AZ2190-BD2190</f>
        <v>0</v>
      </c>
      <c r="BF2190" s="34" t="n">
        <f aca="false">BD2190*M2190</f>
        <v>565284.8</v>
      </c>
      <c r="BG2190" s="35" t="n">
        <f aca="false">BA2190-BF2190</f>
        <v>0.199999999953434</v>
      </c>
      <c r="BH2190" s="19" t="str">
        <f aca="false">IF(BG2190=0,"",IF(BG2190&lt;&gt;BA2190,"erreur de calcul",IF(BD2190&lt;&gt;0,"pas de prix",IF(M2190&lt;&gt; 0,"pas de quantité","pas de prix, ni de quantité"))))</f>
        <v>erreur de calcul</v>
      </c>
      <c r="BI2190" s="19"/>
    </row>
    <row r="2191" customFormat="false" ht="15" hidden="false" customHeight="false" outlineLevel="0" collapsed="false">
      <c r="A2191" s="0" t="n">
        <v>6</v>
      </c>
      <c r="B2191" s="8" t="s">
        <v>24</v>
      </c>
      <c r="C2191" s="9" t="s">
        <v>25</v>
      </c>
      <c r="D2191" s="9" t="s">
        <v>26</v>
      </c>
      <c r="E2191" s="10" t="n">
        <v>1789</v>
      </c>
      <c r="F2191" s="9" t="s">
        <v>27</v>
      </c>
      <c r="G2191" s="9" t="s">
        <v>27</v>
      </c>
      <c r="H2191" s="11" t="n">
        <v>21</v>
      </c>
      <c r="I2191" s="11" t="s">
        <v>159</v>
      </c>
      <c r="J2191" s="14" t="n">
        <v>240</v>
      </c>
      <c r="K2191" s="14"/>
      <c r="L2191" s="16"/>
      <c r="M2191" s="27" t="n">
        <f aca="false">J2191+(K2191/20)+(L2191/240)</f>
        <v>240</v>
      </c>
      <c r="N2191" s="17" t="s">
        <v>64</v>
      </c>
      <c r="O2191" s="11"/>
      <c r="P2191" s="28"/>
      <c r="Q2191" s="28" t="n">
        <f aca="false">P2191*$M2191</f>
        <v>0</v>
      </c>
      <c r="R2191" s="28"/>
      <c r="S2191" s="28" t="n">
        <f aca="false">R2191*$M2191</f>
        <v>0</v>
      </c>
      <c r="T2191" s="28"/>
      <c r="U2191" s="28" t="n">
        <f aca="false">T2191*$M2191</f>
        <v>0</v>
      </c>
      <c r="V2191" s="28"/>
      <c r="W2191" s="28" t="n">
        <f aca="false">V2191*$M2191</f>
        <v>0</v>
      </c>
      <c r="X2191" s="28"/>
      <c r="Y2191" s="28" t="n">
        <f aca="false">X2191*$M2191</f>
        <v>0</v>
      </c>
      <c r="Z2191" s="28"/>
      <c r="AA2191" s="28" t="n">
        <f aca="false">Z2191*$M2191</f>
        <v>0</v>
      </c>
      <c r="AB2191" s="28"/>
      <c r="AC2191" s="28" t="n">
        <f aca="false">AB2191*$M2191</f>
        <v>0</v>
      </c>
      <c r="AD2191" s="28"/>
      <c r="AE2191" s="28" t="n">
        <f aca="false">AD2191*$M2191</f>
        <v>0</v>
      </c>
      <c r="AF2191" s="28"/>
      <c r="AG2191" s="28" t="n">
        <f aca="false">AF2191*$M2191</f>
        <v>0</v>
      </c>
      <c r="AH2191" s="28" t="n">
        <f aca="false">46293/100</f>
        <v>462.93</v>
      </c>
      <c r="AI2191" s="28" t="n">
        <v>111103</v>
      </c>
      <c r="AJ2191" s="28"/>
      <c r="AK2191" s="28" t="n">
        <f aca="false">AJ2191*$M2191</f>
        <v>0</v>
      </c>
      <c r="AL2191" s="28"/>
      <c r="AM2191" s="28" t="n">
        <f aca="false">AL2191*$M2191</f>
        <v>0</v>
      </c>
      <c r="AN2191" s="28"/>
      <c r="AO2191" s="28" t="n">
        <f aca="false">AN2191*$M2191</f>
        <v>0</v>
      </c>
      <c r="AP2191" s="28"/>
      <c r="AQ2191" s="28" t="n">
        <f aca="false">AP2191*$M2191</f>
        <v>0</v>
      </c>
      <c r="AR2191" s="28"/>
      <c r="AS2191" s="28" t="n">
        <f aca="false">AR2191*$M2191</f>
        <v>0</v>
      </c>
      <c r="AT2191" s="28"/>
      <c r="AU2191" s="28" t="n">
        <f aca="false">AT2191*$M2191</f>
        <v>0</v>
      </c>
      <c r="AV2191" s="28"/>
      <c r="AW2191" s="28" t="n">
        <f aca="false">AV2191*$M2191</f>
        <v>0</v>
      </c>
      <c r="AX2191" s="28"/>
      <c r="AY2191" s="28" t="n">
        <f aca="false">AX2191*$M2191</f>
        <v>0</v>
      </c>
      <c r="AZ2191" s="30" t="n">
        <f aca="false">46293/100</f>
        <v>462.93</v>
      </c>
      <c r="BA2191" s="11" t="n">
        <v>111103</v>
      </c>
      <c r="BB2191" s="31" t="n">
        <f aca="false">SUM(Q2191,S2191,U2191,W2191,Y2191,AA2191,AC2191,AE2191,AG2191,AI2191,AK2191,AM2191,AO2191,AQ2191,AS2191,AU2191,AW2191,AY2191)</f>
        <v>111103</v>
      </c>
      <c r="BC2191" s="28" t="n">
        <f aca="false">BA2191-BB2191</f>
        <v>0</v>
      </c>
      <c r="BD2191" s="32" t="n">
        <f aca="false">SUM(P2191,R2191,T2191,V2191,X2191,Z2191,AB2191,AD2191,AF2191,AH2191,AJ2191,AL2191,AN2191,AP2191,AR2191,AT2191,AV2191,AX2191)</f>
        <v>462.93</v>
      </c>
      <c r="BE2191" s="33" t="n">
        <f aca="false">AZ2191-BD2191</f>
        <v>0</v>
      </c>
      <c r="BF2191" s="34" t="n">
        <f aca="false">BD2191*M2191</f>
        <v>111103.2</v>
      </c>
      <c r="BG2191" s="35" t="n">
        <f aca="false">BA2191-BF2191</f>
        <v>-0.19999999999709</v>
      </c>
      <c r="BH2191" s="19" t="str">
        <f aca="false">IF(BG2191=0,"",IF(BG2191&lt;&gt;BA2191,"erreur de calcul",IF(BD2191&lt;&gt;0,"pas de prix",IF(M2191&lt;&gt; 0,"pas de quantité","pas de prix, ni de quantité"))))</f>
        <v>erreur de calcul</v>
      </c>
      <c r="BI2191" s="19"/>
    </row>
    <row r="2192" customFormat="false" ht="15" hidden="false" customHeight="false" outlineLevel="0" collapsed="false">
      <c r="A2192" s="0" t="n">
        <v>7</v>
      </c>
      <c r="B2192" s="8" t="s">
        <v>24</v>
      </c>
      <c r="C2192" s="9" t="s">
        <v>25</v>
      </c>
      <c r="D2192" s="9" t="s">
        <v>26</v>
      </c>
      <c r="E2192" s="10" t="n">
        <v>1789</v>
      </c>
      <c r="F2192" s="9" t="s">
        <v>27</v>
      </c>
      <c r="G2192" s="9" t="s">
        <v>27</v>
      </c>
      <c r="H2192" s="11" t="n">
        <v>21</v>
      </c>
      <c r="I2192" s="11" t="s">
        <v>160</v>
      </c>
      <c r="J2192" s="14" t="n">
        <v>70</v>
      </c>
      <c r="K2192" s="14"/>
      <c r="L2192" s="16"/>
      <c r="M2192" s="27" t="n">
        <f aca="false">J2192+(K2192/20)+(L2192/240)</f>
        <v>70</v>
      </c>
      <c r="N2192" s="17" t="s">
        <v>64</v>
      </c>
      <c r="O2192" s="11"/>
      <c r="P2192" s="28"/>
      <c r="Q2192" s="28" t="n">
        <f aca="false">P2192*$M2192</f>
        <v>0</v>
      </c>
      <c r="R2192" s="28"/>
      <c r="S2192" s="28" t="n">
        <f aca="false">R2192*$M2192</f>
        <v>0</v>
      </c>
      <c r="T2192" s="28"/>
      <c r="U2192" s="28" t="n">
        <f aca="false">T2192*$M2192</f>
        <v>0</v>
      </c>
      <c r="V2192" s="28"/>
      <c r="W2192" s="28" t="n">
        <f aca="false">V2192*$M2192</f>
        <v>0</v>
      </c>
      <c r="X2192" s="28"/>
      <c r="Y2192" s="28" t="n">
        <f aca="false">X2192*$M2192</f>
        <v>0</v>
      </c>
      <c r="Z2192" s="28"/>
      <c r="AA2192" s="28" t="n">
        <f aca="false">Z2192*$M2192</f>
        <v>0</v>
      </c>
      <c r="AB2192" s="28"/>
      <c r="AC2192" s="28" t="n">
        <f aca="false">AB2192*$M2192</f>
        <v>0</v>
      </c>
      <c r="AD2192" s="28"/>
      <c r="AE2192" s="28" t="n">
        <f aca="false">AD2192*$M2192</f>
        <v>0</v>
      </c>
      <c r="AF2192" s="28" t="n">
        <f aca="false">125849/100</f>
        <v>1258.49</v>
      </c>
      <c r="AG2192" s="28" t="n">
        <v>88094</v>
      </c>
      <c r="AH2192" s="28"/>
      <c r="AI2192" s="28" t="n">
        <f aca="false">AH2192*$M2192</f>
        <v>0</v>
      </c>
      <c r="AJ2192" s="28"/>
      <c r="AK2192" s="28" t="n">
        <f aca="false">AJ2192*$M2192</f>
        <v>0</v>
      </c>
      <c r="AL2192" s="28"/>
      <c r="AM2192" s="28" t="n">
        <f aca="false">AL2192*$M2192</f>
        <v>0</v>
      </c>
      <c r="AN2192" s="28"/>
      <c r="AO2192" s="28" t="n">
        <f aca="false">AN2192*$M2192</f>
        <v>0</v>
      </c>
      <c r="AP2192" s="28"/>
      <c r="AQ2192" s="28" t="n">
        <f aca="false">AP2192*$M2192</f>
        <v>0</v>
      </c>
      <c r="AR2192" s="28"/>
      <c r="AS2192" s="28" t="n">
        <f aca="false">AR2192*$M2192</f>
        <v>0</v>
      </c>
      <c r="AT2192" s="28"/>
      <c r="AU2192" s="28" t="n">
        <f aca="false">AT2192*$M2192</f>
        <v>0</v>
      </c>
      <c r="AV2192" s="28"/>
      <c r="AW2192" s="28" t="n">
        <f aca="false">AV2192*$M2192</f>
        <v>0</v>
      </c>
      <c r="AX2192" s="28"/>
      <c r="AY2192" s="28" t="n">
        <f aca="false">AX2192*$M2192</f>
        <v>0</v>
      </c>
      <c r="AZ2192" s="30" t="n">
        <f aca="false">125849/100</f>
        <v>1258.49</v>
      </c>
      <c r="BA2192" s="11" t="n">
        <v>88094</v>
      </c>
      <c r="BB2192" s="31" t="n">
        <f aca="false">SUM(Q2192,S2192,U2192,W2192,Y2192,AA2192,AC2192,AE2192,AG2192,AI2192,AK2192,AM2192,AO2192,AQ2192,AS2192,AU2192,AW2192,AY2192)</f>
        <v>88094</v>
      </c>
      <c r="BC2192" s="28" t="n">
        <f aca="false">BA2192-BB2192</f>
        <v>0</v>
      </c>
      <c r="BD2192" s="32" t="n">
        <f aca="false">SUM(P2192,R2192,T2192,V2192,X2192,Z2192,AB2192,AD2192,AF2192,AH2192,AJ2192,AL2192,AN2192,AP2192,AR2192,AT2192,AV2192,AX2192)</f>
        <v>1258.49</v>
      </c>
      <c r="BE2192" s="33" t="n">
        <f aca="false">AZ2192-BD2192</f>
        <v>0</v>
      </c>
      <c r="BF2192" s="34" t="n">
        <f aca="false">BD2192*M2192</f>
        <v>88094.3</v>
      </c>
      <c r="BG2192" s="35" t="n">
        <f aca="false">BA2192-BF2192</f>
        <v>-0.30000000000291</v>
      </c>
      <c r="BH2192" s="19" t="str">
        <f aca="false">IF(BG2192=0,"",IF(BG2192&lt;&gt;BA2192,"erreur de calcul",IF(BD2192&lt;&gt;0,"pas de prix",IF(M2192&lt;&gt; 0,"pas de quantité","pas de prix, ni de quantité"))))</f>
        <v>erreur de calcul</v>
      </c>
      <c r="BI2192" s="19"/>
    </row>
    <row r="2193" customFormat="false" ht="15" hidden="false" customHeight="false" outlineLevel="0" collapsed="false">
      <c r="A2193" s="0" t="n">
        <v>8</v>
      </c>
      <c r="B2193" s="8" t="s">
        <v>24</v>
      </c>
      <c r="C2193" s="9" t="s">
        <v>25</v>
      </c>
      <c r="D2193" s="9" t="s">
        <v>26</v>
      </c>
      <c r="E2193" s="10" t="n">
        <v>1789</v>
      </c>
      <c r="F2193" s="9" t="s">
        <v>27</v>
      </c>
      <c r="G2193" s="9" t="s">
        <v>27</v>
      </c>
      <c r="H2193" s="11" t="n">
        <v>21</v>
      </c>
      <c r="I2193" s="11" t="s">
        <v>161</v>
      </c>
      <c r="J2193" s="14" t="n">
        <v>50</v>
      </c>
      <c r="K2193" s="14"/>
      <c r="L2193" s="16"/>
      <c r="M2193" s="27" t="n">
        <f aca="false">J2193+(K2193/20)+(L2193/240)</f>
        <v>50</v>
      </c>
      <c r="N2193" s="17" t="s">
        <v>64</v>
      </c>
      <c r="O2193" s="11"/>
      <c r="P2193" s="28"/>
      <c r="Q2193" s="28" t="n">
        <f aca="false">P2193*$M2193</f>
        <v>0</v>
      </c>
      <c r="R2193" s="28"/>
      <c r="S2193" s="28" t="n">
        <f aca="false">R2193*$M2193</f>
        <v>0</v>
      </c>
      <c r="T2193" s="28"/>
      <c r="U2193" s="28" t="n">
        <f aca="false">T2193*$M2193</f>
        <v>0</v>
      </c>
      <c r="V2193" s="28" t="n">
        <f aca="false">18055/100</f>
        <v>180.55</v>
      </c>
      <c r="W2193" s="28" t="n">
        <v>9027</v>
      </c>
      <c r="X2193" s="28" t="n">
        <f aca="false">17880/100</f>
        <v>178.8</v>
      </c>
      <c r="Y2193" s="28" t="n">
        <v>8940</v>
      </c>
      <c r="Z2193" s="28"/>
      <c r="AA2193" s="28" t="n">
        <f aca="false">Z2193*$M2193</f>
        <v>0</v>
      </c>
      <c r="AB2193" s="28" t="n">
        <f aca="false">104483/100</f>
        <v>1044.83</v>
      </c>
      <c r="AC2193" s="28" t="n">
        <v>52241</v>
      </c>
      <c r="AD2193" s="28"/>
      <c r="AE2193" s="28" t="n">
        <f aca="false">AD2193*$M2193</f>
        <v>0</v>
      </c>
      <c r="AF2193" s="28"/>
      <c r="AG2193" s="28" t="n">
        <f aca="false">AF2193*$M2193</f>
        <v>0</v>
      </c>
      <c r="AH2193" s="28"/>
      <c r="AI2193" s="28" t="n">
        <f aca="false">AH2193*$M2193</f>
        <v>0</v>
      </c>
      <c r="AJ2193" s="28"/>
      <c r="AK2193" s="28" t="n">
        <f aca="false">AJ2193*$M2193</f>
        <v>0</v>
      </c>
      <c r="AL2193" s="28"/>
      <c r="AM2193" s="28" t="n">
        <f aca="false">AL2193*$M2193</f>
        <v>0</v>
      </c>
      <c r="AN2193" s="28"/>
      <c r="AO2193" s="28" t="n">
        <f aca="false">AN2193*$M2193</f>
        <v>0</v>
      </c>
      <c r="AP2193" s="28"/>
      <c r="AQ2193" s="28" t="n">
        <f aca="false">AP2193*$M2193</f>
        <v>0</v>
      </c>
      <c r="AR2193" s="28"/>
      <c r="AS2193" s="28" t="n">
        <f aca="false">AR2193*$M2193</f>
        <v>0</v>
      </c>
      <c r="AT2193" s="28"/>
      <c r="AU2193" s="28" t="n">
        <f aca="false">AT2193*$M2193</f>
        <v>0</v>
      </c>
      <c r="AV2193" s="28"/>
      <c r="AW2193" s="28" t="n">
        <f aca="false">AV2193*$M2193</f>
        <v>0</v>
      </c>
      <c r="AX2193" s="28"/>
      <c r="AY2193" s="28" t="n">
        <f aca="false">AX2193*$M2193</f>
        <v>0</v>
      </c>
      <c r="AZ2193" s="30" t="n">
        <f aca="false">140418/100</f>
        <v>1404.18</v>
      </c>
      <c r="BA2193" s="11" t="n">
        <v>70208</v>
      </c>
      <c r="BB2193" s="31" t="n">
        <f aca="false">SUM(Q2193,S2193,U2193,W2193,Y2193,AA2193,AC2193,AE2193,AG2193,AI2193,AK2193,AM2193,AO2193,AQ2193,AS2193,AU2193,AW2193,AY2193)</f>
        <v>70208</v>
      </c>
      <c r="BC2193" s="28" t="n">
        <f aca="false">BA2193-BB2193</f>
        <v>0</v>
      </c>
      <c r="BD2193" s="32" t="n">
        <f aca="false">SUM(P2193,R2193,T2193,V2193,X2193,Z2193,AB2193,AD2193,AF2193,AH2193,AJ2193,AL2193,AN2193,AP2193,AR2193,AT2193,AV2193,AX2193)</f>
        <v>1404.18</v>
      </c>
      <c r="BE2193" s="33" t="n">
        <f aca="false">AZ2193-BD2193</f>
        <v>0</v>
      </c>
      <c r="BF2193" s="34" t="n">
        <f aca="false">BD2193*M2193</f>
        <v>70209</v>
      </c>
      <c r="BG2193" s="35" t="n">
        <f aca="false">BA2193-BF2193</f>
        <v>-0.999999999985448</v>
      </c>
      <c r="BH2193" s="19" t="str">
        <f aca="false">IF(BG2193=0,"",IF(BG2193&lt;&gt;BA2193,"erreur de calcul",IF(BD2193&lt;&gt;0,"pas de prix",IF(M2193&lt;&gt; 0,"pas de quantité","pas de prix, ni de quantité"))))</f>
        <v>erreur de calcul</v>
      </c>
      <c r="BI2193" s="19"/>
    </row>
    <row r="2194" customFormat="false" ht="15" hidden="false" customHeight="false" outlineLevel="0" collapsed="false">
      <c r="A2194" s="0" t="n">
        <v>9</v>
      </c>
      <c r="B2194" s="8" t="s">
        <v>24</v>
      </c>
      <c r="C2194" s="9" t="s">
        <v>25</v>
      </c>
      <c r="D2194" s="9" t="s">
        <v>26</v>
      </c>
      <c r="E2194" s="10" t="n">
        <v>1789</v>
      </c>
      <c r="F2194" s="9" t="s">
        <v>27</v>
      </c>
      <c r="G2194" s="9" t="s">
        <v>27</v>
      </c>
      <c r="H2194" s="11" t="n">
        <v>21</v>
      </c>
      <c r="I2194" s="11" t="s">
        <v>162</v>
      </c>
      <c r="J2194" s="14" t="n">
        <v>250</v>
      </c>
      <c r="K2194" s="14"/>
      <c r="L2194" s="16"/>
      <c r="M2194" s="27" t="n">
        <f aca="false">J2194+(K2194/20)+(L2194/240)</f>
        <v>250</v>
      </c>
      <c r="N2194" s="17" t="s">
        <v>64</v>
      </c>
      <c r="O2194" s="11"/>
      <c r="P2194" s="28"/>
      <c r="Q2194" s="28" t="n">
        <f aca="false">P2194*$M2194</f>
        <v>0</v>
      </c>
      <c r="R2194" s="28"/>
      <c r="S2194" s="28" t="n">
        <f aca="false">R2194*$M2194</f>
        <v>0</v>
      </c>
      <c r="T2194" s="28"/>
      <c r="U2194" s="28" t="n">
        <f aca="false">T2194*$M2194</f>
        <v>0</v>
      </c>
      <c r="V2194" s="28"/>
      <c r="W2194" s="28" t="n">
        <f aca="false">V2194*$M2194</f>
        <v>0</v>
      </c>
      <c r="X2194" s="28"/>
      <c r="Y2194" s="28" t="n">
        <f aca="false">X2194*$M2194</f>
        <v>0</v>
      </c>
      <c r="Z2194" s="28"/>
      <c r="AA2194" s="28" t="n">
        <f aca="false">Z2194*$M2194</f>
        <v>0</v>
      </c>
      <c r="AB2194" s="28"/>
      <c r="AC2194" s="28" t="n">
        <f aca="false">AB2194*$M2194</f>
        <v>0</v>
      </c>
      <c r="AD2194" s="28"/>
      <c r="AE2194" s="28" t="n">
        <f aca="false">AD2194*$M2194</f>
        <v>0</v>
      </c>
      <c r="AF2194" s="28"/>
      <c r="AG2194" s="28" t="n">
        <f aca="false">AF2194*$M2194</f>
        <v>0</v>
      </c>
      <c r="AH2194" s="28" t="n">
        <f aca="false">2306/100</f>
        <v>23.06</v>
      </c>
      <c r="AI2194" s="36" t="n">
        <v>5073</v>
      </c>
      <c r="AJ2194" s="28"/>
      <c r="AK2194" s="28" t="n">
        <f aca="false">AJ2194*$M2194</f>
        <v>0</v>
      </c>
      <c r="AL2194" s="28"/>
      <c r="AM2194" s="28" t="n">
        <f aca="false">AL2194*$M2194</f>
        <v>0</v>
      </c>
      <c r="AN2194" s="28"/>
      <c r="AO2194" s="28" t="n">
        <f aca="false">AN2194*$M2194</f>
        <v>0</v>
      </c>
      <c r="AP2194" s="28"/>
      <c r="AQ2194" s="28" t="n">
        <f aca="false">AP2194*$M2194</f>
        <v>0</v>
      </c>
      <c r="AR2194" s="28"/>
      <c r="AS2194" s="28" t="n">
        <f aca="false">AR2194*$M2194</f>
        <v>0</v>
      </c>
      <c r="AT2194" s="28"/>
      <c r="AU2194" s="28" t="n">
        <f aca="false">AT2194*$M2194</f>
        <v>0</v>
      </c>
      <c r="AV2194" s="28"/>
      <c r="AW2194" s="28" t="n">
        <f aca="false">AV2194*$M2194</f>
        <v>0</v>
      </c>
      <c r="AX2194" s="28"/>
      <c r="AY2194" s="28" t="n">
        <f aca="false">AX2194*$M2194</f>
        <v>0</v>
      </c>
      <c r="AZ2194" s="30" t="n">
        <f aca="false">2306/100</f>
        <v>23.06</v>
      </c>
      <c r="BA2194" s="11" t="n">
        <v>5073</v>
      </c>
      <c r="BB2194" s="31" t="n">
        <f aca="false">SUM(Q2194,S2194,U2194,W2194,Y2194,AA2194,AC2194,AE2194,AG2194,AI2194,AK2194,AM2194,AO2194,AQ2194,AS2194,AU2194,AW2194,AY2194)</f>
        <v>5073</v>
      </c>
      <c r="BC2194" s="28" t="n">
        <f aca="false">BA2194-BB2194</f>
        <v>0</v>
      </c>
      <c r="BD2194" s="32" t="n">
        <f aca="false">SUM(P2194,R2194,T2194,V2194,X2194,Z2194,AB2194,AD2194,AF2194,AH2194,AJ2194,AL2194,AN2194,AP2194,AR2194,AT2194,AV2194,AX2194)</f>
        <v>23.06</v>
      </c>
      <c r="BE2194" s="33" t="n">
        <f aca="false">AZ2194-BD2194</f>
        <v>0</v>
      </c>
      <c r="BF2194" s="34" t="n">
        <f aca="false">BD2194*M2194</f>
        <v>5765</v>
      </c>
      <c r="BG2194" s="35" t="n">
        <f aca="false">BA2194-BF2194</f>
        <v>-692</v>
      </c>
      <c r="BH2194" s="19" t="str">
        <f aca="false">IF(BG2194=0,"",IF(BG2194&lt;&gt;BA2194,"erreur de calcul",IF(BD2194&lt;&gt;0,"pas de prix",IF(M2194&lt;&gt; 0,"pas de quantité","pas de prix, ni de quantité"))))</f>
        <v>erreur de calcul</v>
      </c>
      <c r="BI2194" s="19"/>
    </row>
    <row r="2195" customFormat="false" ht="15" hidden="false" customHeight="false" outlineLevel="0" collapsed="false">
      <c r="A2195" s="0" t="n">
        <v>10</v>
      </c>
      <c r="B2195" s="8" t="s">
        <v>24</v>
      </c>
      <c r="C2195" s="9" t="s">
        <v>25</v>
      </c>
      <c r="D2195" s="9" t="s">
        <v>26</v>
      </c>
      <c r="E2195" s="10" t="n">
        <v>1789</v>
      </c>
      <c r="F2195" s="9" t="s">
        <v>27</v>
      </c>
      <c r="G2195" s="9" t="s">
        <v>27</v>
      </c>
      <c r="H2195" s="11" t="n">
        <v>21</v>
      </c>
      <c r="I2195" s="11" t="s">
        <v>163</v>
      </c>
      <c r="J2195" s="14"/>
      <c r="K2195" s="14"/>
      <c r="L2195" s="16"/>
      <c r="M2195" s="27" t="n">
        <f aca="false">J2195+(K2195/20)+(L2195/240)</f>
        <v>0</v>
      </c>
      <c r="N2195" s="17"/>
      <c r="O2195" s="11"/>
      <c r="P2195" s="28"/>
      <c r="Q2195" s="28" t="n">
        <v>1571</v>
      </c>
      <c r="R2195" s="28"/>
      <c r="S2195" s="28" t="n">
        <f aca="false">R2195*$M2195</f>
        <v>0</v>
      </c>
      <c r="T2195" s="28"/>
      <c r="U2195" s="28" t="n">
        <v>182</v>
      </c>
      <c r="V2195" s="28"/>
      <c r="W2195" s="28" t="n">
        <v>1801</v>
      </c>
      <c r="X2195" s="28"/>
      <c r="Y2195" s="28" t="n">
        <v>214</v>
      </c>
      <c r="Z2195" s="28"/>
      <c r="AA2195" s="28" t="n">
        <f aca="false">Z2195*$M2195</f>
        <v>0</v>
      </c>
      <c r="AB2195" s="28"/>
      <c r="AC2195" s="28" t="n">
        <v>401</v>
      </c>
      <c r="AD2195" s="28"/>
      <c r="AE2195" s="28" t="n">
        <f aca="false">AD2195*$M2195</f>
        <v>0</v>
      </c>
      <c r="AF2195" s="28"/>
      <c r="AG2195" s="28" t="n">
        <f aca="false">AF2195*$M2195</f>
        <v>0</v>
      </c>
      <c r="AH2195" s="28"/>
      <c r="AI2195" s="28" t="n">
        <f aca="false">AH2195*$M2195</f>
        <v>0</v>
      </c>
      <c r="AJ2195" s="28"/>
      <c r="AK2195" s="28" t="n">
        <v>760</v>
      </c>
      <c r="AL2195" s="28"/>
      <c r="AM2195" s="28" t="n">
        <f aca="false">AL2195*$M2195</f>
        <v>0</v>
      </c>
      <c r="AN2195" s="28"/>
      <c r="AO2195" s="28" t="n">
        <f aca="false">AN2195*$M2195</f>
        <v>0</v>
      </c>
      <c r="AP2195" s="28"/>
      <c r="AQ2195" s="28" t="n">
        <f aca="false">AP2195*$M2195</f>
        <v>0</v>
      </c>
      <c r="AR2195" s="28"/>
      <c r="AS2195" s="28" t="n">
        <f aca="false">AR2195*$M2195</f>
        <v>0</v>
      </c>
      <c r="AT2195" s="28"/>
      <c r="AU2195" s="28" t="n">
        <f aca="false">AT2195*$M2195</f>
        <v>0</v>
      </c>
      <c r="AV2195" s="28"/>
      <c r="AW2195" s="28" t="n">
        <f aca="false">AV2195*$M2195</f>
        <v>0</v>
      </c>
      <c r="AX2195" s="28"/>
      <c r="AY2195" s="28" t="n">
        <f aca="false">AX2195*$M2195</f>
        <v>0</v>
      </c>
      <c r="AZ2195" s="30"/>
      <c r="BA2195" s="11" t="n">
        <v>4929</v>
      </c>
      <c r="BB2195" s="31" t="n">
        <f aca="false">SUM(Q2195,S2195,U2195,W2195,Y2195,AA2195,AC2195,AE2195,AG2195,AI2195,AK2195,AM2195,AO2195,AQ2195,AS2195,AU2195,AW2195,AY2195)</f>
        <v>4929</v>
      </c>
      <c r="BC2195" s="28" t="n">
        <f aca="false">BA2195-BB2195</f>
        <v>0</v>
      </c>
      <c r="BD2195" s="32" t="n">
        <f aca="false">SUM(P2195,R2195,T2195,V2195,X2195,Z2195,AB2195,AD2195,AF2195,AH2195,AJ2195,AL2195,AN2195,AP2195,AR2195,AT2195,AV2195,AX2195)</f>
        <v>0</v>
      </c>
      <c r="BE2195" s="33" t="n">
        <f aca="false">AZ2195-BD2195</f>
        <v>0</v>
      </c>
      <c r="BF2195" s="34" t="n">
        <f aca="false">BD2195*M2195</f>
        <v>0</v>
      </c>
      <c r="BG2195" s="35" t="n">
        <f aca="false">BA2195-BF2195</f>
        <v>4929</v>
      </c>
      <c r="BH2195" s="19" t="str">
        <f aca="false">IF(BG2195=0,"",IF(BG2195&lt;&gt;BA2195,"erreur de calcul",IF(BD2195&lt;&gt;0,"pas de prix",IF(M2195&lt;&gt; 0,"pas de quantité","pas de prix, ni de quantité"))))</f>
        <v>pas de prix, ni de quantité</v>
      </c>
      <c r="BI2195" s="19"/>
    </row>
    <row r="2196" customFormat="false" ht="15" hidden="false" customHeight="false" outlineLevel="0" collapsed="false">
      <c r="A2196" s="0" t="n">
        <v>11</v>
      </c>
      <c r="B2196" s="8" t="s">
        <v>24</v>
      </c>
      <c r="C2196" s="9" t="s">
        <v>25</v>
      </c>
      <c r="D2196" s="9" t="s">
        <v>26</v>
      </c>
      <c r="E2196" s="10" t="n">
        <v>1789</v>
      </c>
      <c r="F2196" s="9" t="s">
        <v>27</v>
      </c>
      <c r="G2196" s="9" t="s">
        <v>27</v>
      </c>
      <c r="H2196" s="11" t="n">
        <v>21</v>
      </c>
      <c r="I2196" s="11" t="s">
        <v>164</v>
      </c>
      <c r="J2196" s="14" t="n">
        <v>580</v>
      </c>
      <c r="K2196" s="14"/>
      <c r="L2196" s="16"/>
      <c r="M2196" s="27" t="n">
        <f aca="false">J2196+(K2196/20)+(L2196/240)</f>
        <v>580</v>
      </c>
      <c r="N2196" s="17" t="s">
        <v>64</v>
      </c>
      <c r="O2196" s="11"/>
      <c r="P2196" s="28" t="n">
        <f aca="false">294/100</f>
        <v>2.94</v>
      </c>
      <c r="Q2196" s="28" t="n">
        <v>1705</v>
      </c>
      <c r="R2196" s="28"/>
      <c r="S2196" s="28" t="n">
        <f aca="false">R2196*$M2196</f>
        <v>0</v>
      </c>
      <c r="T2196" s="28"/>
      <c r="U2196" s="28" t="n">
        <f aca="false">T2196*$M2196</f>
        <v>0</v>
      </c>
      <c r="V2196" s="28"/>
      <c r="W2196" s="28" t="n">
        <f aca="false">V2196*$M2196</f>
        <v>0</v>
      </c>
      <c r="X2196" s="28"/>
      <c r="Y2196" s="28" t="n">
        <f aca="false">X2196*$M2196</f>
        <v>0</v>
      </c>
      <c r="Z2196" s="28"/>
      <c r="AA2196" s="28" t="n">
        <f aca="false">Z2196*$M2196</f>
        <v>0</v>
      </c>
      <c r="AB2196" s="28"/>
      <c r="AC2196" s="28" t="n">
        <f aca="false">AB2196*$M2196</f>
        <v>0</v>
      </c>
      <c r="AD2196" s="28"/>
      <c r="AE2196" s="28" t="n">
        <f aca="false">AD2196*$M2196</f>
        <v>0</v>
      </c>
      <c r="AF2196" s="28"/>
      <c r="AG2196" s="28" t="n">
        <f aca="false">AF2196*$M2196</f>
        <v>0</v>
      </c>
      <c r="AH2196" s="28"/>
      <c r="AI2196" s="28" t="n">
        <f aca="false">AH2196*$M2196</f>
        <v>0</v>
      </c>
      <c r="AJ2196" s="28"/>
      <c r="AK2196" s="28" t="n">
        <f aca="false">AJ2196*$M2196</f>
        <v>0</v>
      </c>
      <c r="AL2196" s="28"/>
      <c r="AM2196" s="28" t="n">
        <f aca="false">AL2196*$M2196</f>
        <v>0</v>
      </c>
      <c r="AN2196" s="28"/>
      <c r="AO2196" s="28" t="n">
        <f aca="false">AN2196*$M2196</f>
        <v>0</v>
      </c>
      <c r="AP2196" s="28"/>
      <c r="AQ2196" s="28" t="n">
        <f aca="false">AP2196*$M2196</f>
        <v>0</v>
      </c>
      <c r="AR2196" s="28"/>
      <c r="AS2196" s="28" t="n">
        <f aca="false">AR2196*$M2196</f>
        <v>0</v>
      </c>
      <c r="AT2196" s="28"/>
      <c r="AU2196" s="28" t="n">
        <f aca="false">AT2196*$M2196</f>
        <v>0</v>
      </c>
      <c r="AV2196" s="28"/>
      <c r="AW2196" s="28" t="n">
        <f aca="false">AV2196*$M2196</f>
        <v>0</v>
      </c>
      <c r="AX2196" s="28"/>
      <c r="AY2196" s="28" t="n">
        <f aca="false">AX2196*$M2196</f>
        <v>0</v>
      </c>
      <c r="AZ2196" s="30" t="n">
        <f aca="false">294/100</f>
        <v>2.94</v>
      </c>
      <c r="BA2196" s="11" t="n">
        <v>1705</v>
      </c>
      <c r="BB2196" s="31" t="n">
        <f aca="false">SUM(Q2196,S2196,U2196,W2196,Y2196,AA2196,AC2196,AE2196,AG2196,AI2196,AK2196,AM2196,AO2196,AQ2196,AS2196,AU2196,AW2196,AY2196)</f>
        <v>1705</v>
      </c>
      <c r="BC2196" s="28" t="n">
        <f aca="false">BA2196-BB2196</f>
        <v>0</v>
      </c>
      <c r="BD2196" s="32" t="n">
        <f aca="false">SUM(P2196,R2196,T2196,V2196,X2196,Z2196,AB2196,AD2196,AF2196,AH2196,AJ2196,AL2196,AN2196,AP2196,AR2196,AT2196,AV2196,AX2196)</f>
        <v>2.94</v>
      </c>
      <c r="BE2196" s="33" t="n">
        <f aca="false">AZ2196-BD2196</f>
        <v>0</v>
      </c>
      <c r="BF2196" s="34" t="n">
        <f aca="false">BD2196*M2196</f>
        <v>1705.2</v>
      </c>
      <c r="BG2196" s="35" t="n">
        <f aca="false">BA2196-BF2196</f>
        <v>-0.200000000000045</v>
      </c>
      <c r="BH2196" s="19" t="str">
        <f aca="false">IF(BG2196=0,"",IF(BG2196&lt;&gt;BA2196,"erreur de calcul",IF(BD2196&lt;&gt;0,"pas de prix",IF(M2196&lt;&gt; 0,"pas de quantité","pas de prix, ni de quantité"))))</f>
        <v>erreur de calcul</v>
      </c>
      <c r="BI2196" s="19"/>
    </row>
    <row r="2197" customFormat="false" ht="15" hidden="false" customHeight="false" outlineLevel="0" collapsed="false">
      <c r="A2197" s="0" t="n">
        <v>12</v>
      </c>
      <c r="B2197" s="8" t="s">
        <v>24</v>
      </c>
      <c r="C2197" s="9" t="s">
        <v>25</v>
      </c>
      <c r="D2197" s="9" t="s">
        <v>26</v>
      </c>
      <c r="E2197" s="10" t="n">
        <v>1789</v>
      </c>
      <c r="F2197" s="9" t="s">
        <v>27</v>
      </c>
      <c r="G2197" s="9" t="s">
        <v>27</v>
      </c>
      <c r="H2197" s="11" t="n">
        <v>21</v>
      </c>
      <c r="I2197" s="11" t="s">
        <v>165</v>
      </c>
      <c r="J2197" s="14" t="n">
        <v>180</v>
      </c>
      <c r="K2197" s="14"/>
      <c r="L2197" s="16"/>
      <c r="M2197" s="27" t="n">
        <f aca="false">J2197+(K2197/20)+(L2197/240)</f>
        <v>180</v>
      </c>
      <c r="N2197" s="17" t="s">
        <v>64</v>
      </c>
      <c r="O2197" s="11"/>
      <c r="P2197" s="28"/>
      <c r="Q2197" s="28" t="n">
        <f aca="false">P2197*$M2197</f>
        <v>0</v>
      </c>
      <c r="R2197" s="28"/>
      <c r="S2197" s="28" t="n">
        <f aca="false">R2197*$M2197</f>
        <v>0</v>
      </c>
      <c r="T2197" s="28"/>
      <c r="U2197" s="28" t="n">
        <f aca="false">T2197*$M2197</f>
        <v>0</v>
      </c>
      <c r="V2197" s="28"/>
      <c r="W2197" s="28" t="n">
        <f aca="false">V2197*$M2197</f>
        <v>0</v>
      </c>
      <c r="X2197" s="28"/>
      <c r="Y2197" s="28" t="n">
        <f aca="false">X2197*$M2197</f>
        <v>0</v>
      </c>
      <c r="Z2197" s="28"/>
      <c r="AA2197" s="28" t="n">
        <f aca="false">Z2197*$M2197</f>
        <v>0</v>
      </c>
      <c r="AB2197" s="28"/>
      <c r="AC2197" s="28" t="n">
        <f aca="false">AB2197*$M2197</f>
        <v>0</v>
      </c>
      <c r="AD2197" s="28"/>
      <c r="AE2197" s="28" t="n">
        <f aca="false">AD2197*$M2197</f>
        <v>0</v>
      </c>
      <c r="AF2197" s="28"/>
      <c r="AG2197" s="28" t="n">
        <f aca="false">AF2197*$M2197</f>
        <v>0</v>
      </c>
      <c r="AH2197" s="28"/>
      <c r="AI2197" s="28" t="n">
        <f aca="false">AH2197*$M2197</f>
        <v>0</v>
      </c>
      <c r="AJ2197" s="28"/>
      <c r="AK2197" s="28" t="n">
        <f aca="false">AJ2197*$M2197</f>
        <v>0</v>
      </c>
      <c r="AL2197" s="28"/>
      <c r="AM2197" s="28" t="n">
        <f aca="false">AL2197*$M2197</f>
        <v>0</v>
      </c>
      <c r="AN2197" s="28" t="n">
        <f aca="false">13754/100</f>
        <v>137.54</v>
      </c>
      <c r="AO2197" s="28" t="n">
        <v>24757</v>
      </c>
      <c r="AP2197" s="28"/>
      <c r="AQ2197" s="28" t="n">
        <f aca="false">AP2197*$M2197</f>
        <v>0</v>
      </c>
      <c r="AR2197" s="28"/>
      <c r="AS2197" s="28" t="n">
        <f aca="false">AR2197*$M2197</f>
        <v>0</v>
      </c>
      <c r="AT2197" s="28"/>
      <c r="AU2197" s="28" t="n">
        <f aca="false">AT2197*$M2197</f>
        <v>0</v>
      </c>
      <c r="AV2197" s="28"/>
      <c r="AW2197" s="28" t="n">
        <f aca="false">AV2197*$M2197</f>
        <v>0</v>
      </c>
      <c r="AX2197" s="28"/>
      <c r="AY2197" s="28" t="n">
        <f aca="false">AX2197*$M2197</f>
        <v>0</v>
      </c>
      <c r="AZ2197" s="30" t="n">
        <f aca="false">17360/100</f>
        <v>173.6</v>
      </c>
      <c r="BA2197" s="11" t="n">
        <v>24757</v>
      </c>
      <c r="BB2197" s="31" t="n">
        <f aca="false">SUM(Q2197,S2197,U2197,W2197,Y2197,AA2197,AC2197,AE2197,AG2197,AI2197,AK2197,AM2197,AO2197,AQ2197,AS2197,AU2197,AW2197,AY2197)</f>
        <v>24757</v>
      </c>
      <c r="BC2197" s="28" t="n">
        <f aca="false">BA2197-BB2197</f>
        <v>0</v>
      </c>
      <c r="BD2197" s="32" t="n">
        <f aca="false">SUM(P2197,R2197,T2197,V2197,X2197,Z2197,AB2197,AD2197,AF2197,AH2197,AJ2197,AL2197,AN2197,AP2197,AR2197,AT2197,AV2197,AX2197)</f>
        <v>137.54</v>
      </c>
      <c r="BE2197" s="33" t="n">
        <f aca="false">AZ2197-BD2197</f>
        <v>36.06</v>
      </c>
      <c r="BF2197" s="34" t="n">
        <f aca="false">BD2197*M2197</f>
        <v>24757.2</v>
      </c>
      <c r="BG2197" s="35" t="n">
        <f aca="false">BA2197-BF2197</f>
        <v>-0.19999999999709</v>
      </c>
      <c r="BH2197" s="19" t="str">
        <f aca="false">IF(BG2197=0,"",IF(BG2197&lt;&gt;BA2197,"erreur de calcul",IF(BD2197&lt;&gt;0,"pas de prix",IF(M2197&lt;&gt; 0,"pas de quantité","pas de prix, ni de quantité"))))</f>
        <v>erreur de calcul</v>
      </c>
      <c r="BI2197" s="19"/>
    </row>
    <row r="2198" customFormat="false" ht="15" hidden="false" customHeight="false" outlineLevel="0" collapsed="false">
      <c r="A2198" s="0" t="n">
        <v>13</v>
      </c>
      <c r="B2198" s="8" t="s">
        <v>24</v>
      </c>
      <c r="C2198" s="9" t="s">
        <v>25</v>
      </c>
      <c r="D2198" s="9" t="s">
        <v>26</v>
      </c>
      <c r="E2198" s="10" t="n">
        <v>1789</v>
      </c>
      <c r="F2198" s="9" t="s">
        <v>27</v>
      </c>
      <c r="G2198" s="9" t="s">
        <v>27</v>
      </c>
      <c r="H2198" s="11" t="n">
        <v>21</v>
      </c>
      <c r="I2198" s="11" t="s">
        <v>166</v>
      </c>
      <c r="J2198" s="14" t="n">
        <v>90</v>
      </c>
      <c r="K2198" s="14"/>
      <c r="L2198" s="16"/>
      <c r="M2198" s="27" t="n">
        <f aca="false">J2198+(K2198/20)+(L2198/240)</f>
        <v>90</v>
      </c>
      <c r="N2198" s="17" t="s">
        <v>64</v>
      </c>
      <c r="O2198" s="11"/>
      <c r="P2198" s="28" t="n">
        <f aca="false">3606/100</f>
        <v>36.06</v>
      </c>
      <c r="Q2198" s="28" t="n">
        <v>3245</v>
      </c>
      <c r="R2198" s="28"/>
      <c r="S2198" s="28" t="n">
        <f aca="false">R2198*$M2198</f>
        <v>0</v>
      </c>
      <c r="T2198" s="28"/>
      <c r="U2198" s="28" t="n">
        <f aca="false">T2198*$M2198</f>
        <v>0</v>
      </c>
      <c r="V2198" s="28"/>
      <c r="W2198" s="28" t="n">
        <f aca="false">V2198*$M2198</f>
        <v>0</v>
      </c>
      <c r="X2198" s="28"/>
      <c r="Y2198" s="28" t="n">
        <f aca="false">X2198*$M2198</f>
        <v>0</v>
      </c>
      <c r="Z2198" s="28"/>
      <c r="AA2198" s="28" t="n">
        <f aca="false">Z2198*$M2198</f>
        <v>0</v>
      </c>
      <c r="AB2198" s="28"/>
      <c r="AC2198" s="28" t="n">
        <f aca="false">AB2198*$M2198</f>
        <v>0</v>
      </c>
      <c r="AD2198" s="28"/>
      <c r="AE2198" s="28" t="n">
        <f aca="false">AD2198*$M2198</f>
        <v>0</v>
      </c>
      <c r="AF2198" s="28"/>
      <c r="AG2198" s="28" t="n">
        <f aca="false">AF2198*$M2198</f>
        <v>0</v>
      </c>
      <c r="AH2198" s="28"/>
      <c r="AI2198" s="28" t="n">
        <f aca="false">AH2198*$M2198</f>
        <v>0</v>
      </c>
      <c r="AJ2198" s="28"/>
      <c r="AK2198" s="28" t="n">
        <f aca="false">AJ2198*$M2198</f>
        <v>0</v>
      </c>
      <c r="AL2198" s="28"/>
      <c r="AM2198" s="28" t="n">
        <f aca="false">AL2198*$M2198</f>
        <v>0</v>
      </c>
      <c r="AN2198" s="28"/>
      <c r="AO2198" s="28" t="n">
        <f aca="false">AN2198*$M2198</f>
        <v>0</v>
      </c>
      <c r="AP2198" s="28"/>
      <c r="AQ2198" s="28" t="n">
        <f aca="false">AP2198*$M2198</f>
        <v>0</v>
      </c>
      <c r="AR2198" s="28"/>
      <c r="AS2198" s="28" t="n">
        <f aca="false">AR2198*$M2198</f>
        <v>0</v>
      </c>
      <c r="AT2198" s="28"/>
      <c r="AU2198" s="28" t="n">
        <f aca="false">AT2198*$M2198</f>
        <v>0</v>
      </c>
      <c r="AV2198" s="28"/>
      <c r="AW2198" s="28" t="n">
        <f aca="false">AV2198*$M2198</f>
        <v>0</v>
      </c>
      <c r="AX2198" s="28"/>
      <c r="AY2198" s="28" t="n">
        <f aca="false">AX2198*$M2198</f>
        <v>0</v>
      </c>
      <c r="AZ2198" s="30" t="n">
        <f aca="false">3606/100</f>
        <v>36.06</v>
      </c>
      <c r="BA2198" s="11" t="n">
        <v>3245</v>
      </c>
      <c r="BB2198" s="31" t="n">
        <f aca="false">SUM(Q2198,S2198,U2198,W2198,Y2198,AA2198,AC2198,AE2198,AG2198,AI2198,AK2198,AM2198,AO2198,AQ2198,AS2198,AU2198,AW2198,AY2198)</f>
        <v>3245</v>
      </c>
      <c r="BC2198" s="28" t="n">
        <f aca="false">BA2198-BB2198</f>
        <v>0</v>
      </c>
      <c r="BD2198" s="32" t="n">
        <f aca="false">SUM(P2198,R2198,T2198,V2198,X2198,Z2198,AB2198,AD2198,AF2198,AH2198,AJ2198,AL2198,AN2198,AP2198,AR2198,AT2198,AV2198,AX2198)</f>
        <v>36.06</v>
      </c>
      <c r="BE2198" s="33" t="n">
        <f aca="false">AZ2198-BD2198</f>
        <v>0</v>
      </c>
      <c r="BF2198" s="34" t="n">
        <f aca="false">BD2198*M2198</f>
        <v>3245.4</v>
      </c>
      <c r="BG2198" s="35" t="n">
        <f aca="false">BA2198-BF2198</f>
        <v>-0.400000000000091</v>
      </c>
      <c r="BH2198" s="19" t="str">
        <f aca="false">IF(BG2198=0,"",IF(BG2198&lt;&gt;BA2198,"erreur de calcul",IF(BD2198&lt;&gt;0,"pas de prix",IF(M2198&lt;&gt; 0,"pas de quantité","pas de prix, ni de quantité"))))</f>
        <v>erreur de calcul</v>
      </c>
      <c r="BI2198" s="19"/>
    </row>
    <row r="2199" customFormat="false" ht="15" hidden="false" customHeight="false" outlineLevel="0" collapsed="false">
      <c r="A2199" s="0" t="n">
        <v>14</v>
      </c>
      <c r="B2199" s="8" t="s">
        <v>24</v>
      </c>
      <c r="C2199" s="9" t="s">
        <v>25</v>
      </c>
      <c r="D2199" s="9" t="s">
        <v>26</v>
      </c>
      <c r="E2199" s="10" t="n">
        <v>1789</v>
      </c>
      <c r="F2199" s="9" t="s">
        <v>27</v>
      </c>
      <c r="G2199" s="9" t="s">
        <v>27</v>
      </c>
      <c r="H2199" s="11" t="n">
        <v>21</v>
      </c>
      <c r="I2199" s="11" t="s">
        <v>167</v>
      </c>
      <c r="J2199" s="14" t="n">
        <v>60</v>
      </c>
      <c r="K2199" s="14"/>
      <c r="L2199" s="16"/>
      <c r="M2199" s="27" t="n">
        <f aca="false">J2199+(K2199/20)+(L2199/240)</f>
        <v>60</v>
      </c>
      <c r="N2199" s="17" t="s">
        <v>64</v>
      </c>
      <c r="O2199" s="11"/>
      <c r="P2199" s="28" t="n">
        <f aca="false">19377/100</f>
        <v>193.77</v>
      </c>
      <c r="Q2199" s="28" t="n">
        <v>11626</v>
      </c>
      <c r="R2199" s="28"/>
      <c r="S2199" s="28" t="n">
        <f aca="false">R2199*$M2199</f>
        <v>0</v>
      </c>
      <c r="T2199" s="28"/>
      <c r="U2199" s="28" t="n">
        <f aca="false">T2199*$M2199</f>
        <v>0</v>
      </c>
      <c r="V2199" s="28"/>
      <c r="W2199" s="28" t="n">
        <f aca="false">V2199*$M2199</f>
        <v>0</v>
      </c>
      <c r="X2199" s="28"/>
      <c r="Y2199" s="28" t="n">
        <f aca="false">X2199*$M2199</f>
        <v>0</v>
      </c>
      <c r="Z2199" s="28"/>
      <c r="AA2199" s="28" t="n">
        <f aca="false">Z2199*$M2199</f>
        <v>0</v>
      </c>
      <c r="AB2199" s="28"/>
      <c r="AC2199" s="28" t="n">
        <f aca="false">AB2199*$M2199</f>
        <v>0</v>
      </c>
      <c r="AD2199" s="28"/>
      <c r="AE2199" s="28" t="n">
        <f aca="false">AD2199*$M2199</f>
        <v>0</v>
      </c>
      <c r="AF2199" s="28"/>
      <c r="AG2199" s="28" t="n">
        <f aca="false">AF2199*$M2199</f>
        <v>0</v>
      </c>
      <c r="AH2199" s="28"/>
      <c r="AI2199" s="28" t="n">
        <f aca="false">AH2199*$M2199</f>
        <v>0</v>
      </c>
      <c r="AJ2199" s="28"/>
      <c r="AK2199" s="28" t="n">
        <f aca="false">AJ2199*$M2199</f>
        <v>0</v>
      </c>
      <c r="AL2199" s="28"/>
      <c r="AM2199" s="28" t="n">
        <f aca="false">AL2199*$M2199</f>
        <v>0</v>
      </c>
      <c r="AN2199" s="28"/>
      <c r="AO2199" s="28" t="n">
        <f aca="false">AN2199*$M2199</f>
        <v>0</v>
      </c>
      <c r="AP2199" s="28"/>
      <c r="AQ2199" s="28" t="n">
        <f aca="false">AP2199*$M2199</f>
        <v>0</v>
      </c>
      <c r="AR2199" s="28"/>
      <c r="AS2199" s="28" t="n">
        <f aca="false">AR2199*$M2199</f>
        <v>0</v>
      </c>
      <c r="AT2199" s="28"/>
      <c r="AU2199" s="28" t="n">
        <f aca="false">AT2199*$M2199</f>
        <v>0</v>
      </c>
      <c r="AV2199" s="28"/>
      <c r="AW2199" s="28" t="n">
        <f aca="false">AV2199*$M2199</f>
        <v>0</v>
      </c>
      <c r="AX2199" s="28"/>
      <c r="AY2199" s="28" t="n">
        <f aca="false">AX2199*$M2199</f>
        <v>0</v>
      </c>
      <c r="AZ2199" s="30" t="n">
        <f aca="false">19377/100</f>
        <v>193.77</v>
      </c>
      <c r="BA2199" s="11" t="n">
        <v>11626</v>
      </c>
      <c r="BB2199" s="31" t="n">
        <f aca="false">SUM(Q2199,S2199,U2199,W2199,Y2199,AA2199,AC2199,AE2199,AG2199,AI2199,AK2199,AM2199,AO2199,AQ2199,AS2199,AU2199,AW2199,AY2199)</f>
        <v>11626</v>
      </c>
      <c r="BC2199" s="28" t="n">
        <f aca="false">BA2199-BB2199</f>
        <v>0</v>
      </c>
      <c r="BD2199" s="32" t="n">
        <f aca="false">SUM(P2199,R2199,T2199,V2199,X2199,Z2199,AB2199,AD2199,AF2199,AH2199,AJ2199,AL2199,AN2199,AP2199,AR2199,AT2199,AV2199,AX2199)</f>
        <v>193.77</v>
      </c>
      <c r="BE2199" s="33" t="n">
        <f aca="false">AZ2199-BD2199</f>
        <v>0</v>
      </c>
      <c r="BF2199" s="34" t="n">
        <f aca="false">BD2199*M2199</f>
        <v>11626.2</v>
      </c>
      <c r="BG2199" s="35" t="n">
        <f aca="false">BA2199-BF2199</f>
        <v>-0.200000000000728</v>
      </c>
      <c r="BH2199" s="19" t="str">
        <f aca="false">IF(BG2199=0,"",IF(BG2199&lt;&gt;BA2199,"erreur de calcul",IF(BD2199&lt;&gt;0,"pas de prix",IF(M2199&lt;&gt; 0,"pas de quantité","pas de prix, ni de quantité"))))</f>
        <v>erreur de calcul</v>
      </c>
      <c r="BI2199" s="19"/>
    </row>
    <row r="2200" customFormat="false" ht="15" hidden="false" customHeight="false" outlineLevel="0" collapsed="false">
      <c r="A2200" s="0" t="n">
        <v>15</v>
      </c>
      <c r="B2200" s="8" t="s">
        <v>24</v>
      </c>
      <c r="C2200" s="9" t="s">
        <v>25</v>
      </c>
      <c r="D2200" s="9" t="s">
        <v>26</v>
      </c>
      <c r="E2200" s="10" t="n">
        <v>1789</v>
      </c>
      <c r="F2200" s="9" t="s">
        <v>27</v>
      </c>
      <c r="G2200" s="9" t="s">
        <v>27</v>
      </c>
      <c r="H2200" s="11" t="n">
        <v>21</v>
      </c>
      <c r="I2200" s="11" t="s">
        <v>168</v>
      </c>
      <c r="J2200" s="14" t="n">
        <v>345</v>
      </c>
      <c r="K2200" s="14"/>
      <c r="L2200" s="16"/>
      <c r="M2200" s="27" t="n">
        <f aca="false">J2200+(K2200/20)+(L2200/240)</f>
        <v>345</v>
      </c>
      <c r="N2200" s="17" t="s">
        <v>64</v>
      </c>
      <c r="O2200" s="11"/>
      <c r="P2200" s="28" t="n">
        <f aca="false">617/100</f>
        <v>6.17</v>
      </c>
      <c r="Q2200" s="28" t="n">
        <v>2129</v>
      </c>
      <c r="R2200" s="28"/>
      <c r="S2200" s="28" t="n">
        <f aca="false">R2200*$M2200</f>
        <v>0</v>
      </c>
      <c r="T2200" s="28"/>
      <c r="U2200" s="28" t="n">
        <f aca="false">T2200*$M2200</f>
        <v>0</v>
      </c>
      <c r="V2200" s="28"/>
      <c r="W2200" s="28" t="n">
        <f aca="false">V2200*$M2200</f>
        <v>0</v>
      </c>
      <c r="X2200" s="28"/>
      <c r="Y2200" s="28" t="n">
        <f aca="false">X2200*$M2200</f>
        <v>0</v>
      </c>
      <c r="Z2200" s="28"/>
      <c r="AA2200" s="28" t="n">
        <f aca="false">Z2200*$M2200</f>
        <v>0</v>
      </c>
      <c r="AB2200" s="28" t="n">
        <f aca="false">1270/100</f>
        <v>12.7</v>
      </c>
      <c r="AC2200" s="28" t="n">
        <v>4381</v>
      </c>
      <c r="AD2200" s="28"/>
      <c r="AE2200" s="28" t="n">
        <f aca="false">AD2200*$M2200</f>
        <v>0</v>
      </c>
      <c r="AF2200" s="28"/>
      <c r="AG2200" s="28" t="n">
        <f aca="false">AF2200*$M2200</f>
        <v>0</v>
      </c>
      <c r="AH2200" s="28"/>
      <c r="AI2200" s="28" t="n">
        <f aca="false">AH2200*$M2200</f>
        <v>0</v>
      </c>
      <c r="AJ2200" s="28"/>
      <c r="AK2200" s="28" t="n">
        <f aca="false">AJ2200*$M2200</f>
        <v>0</v>
      </c>
      <c r="AL2200" s="28"/>
      <c r="AM2200" s="28" t="n">
        <f aca="false">AL2200*$M2200</f>
        <v>0</v>
      </c>
      <c r="AN2200" s="28"/>
      <c r="AO2200" s="28" t="n">
        <f aca="false">AN2200*$M2200</f>
        <v>0</v>
      </c>
      <c r="AP2200" s="28"/>
      <c r="AQ2200" s="28" t="n">
        <f aca="false">AP2200*$M2200</f>
        <v>0</v>
      </c>
      <c r="AR2200" s="28"/>
      <c r="AS2200" s="28" t="n">
        <f aca="false">AR2200*$M2200</f>
        <v>0</v>
      </c>
      <c r="AT2200" s="28"/>
      <c r="AU2200" s="28" t="n">
        <f aca="false">AT2200*$M2200</f>
        <v>0</v>
      </c>
      <c r="AV2200" s="28"/>
      <c r="AW2200" s="28" t="n">
        <f aca="false">AV2200*$M2200</f>
        <v>0</v>
      </c>
      <c r="AX2200" s="28"/>
      <c r="AY2200" s="28" t="n">
        <f aca="false">AX2200*$M2200</f>
        <v>0</v>
      </c>
      <c r="AZ2200" s="30" t="n">
        <f aca="false">1887/100</f>
        <v>18.87</v>
      </c>
      <c r="BA2200" s="11" t="n">
        <v>6510</v>
      </c>
      <c r="BB2200" s="31" t="n">
        <f aca="false">SUM(Q2200,S2200,U2200,W2200,Y2200,AA2200,AC2200,AE2200,AG2200,AI2200,AK2200,AM2200,AO2200,AQ2200,AS2200,AU2200,AW2200,AY2200)</f>
        <v>6510</v>
      </c>
      <c r="BC2200" s="28" t="n">
        <f aca="false">BA2200-BB2200</f>
        <v>0</v>
      </c>
      <c r="BD2200" s="32" t="n">
        <f aca="false">SUM(P2200,R2200,T2200,V2200,X2200,Z2200,AB2200,AD2200,AF2200,AH2200,AJ2200,AL2200,AN2200,AP2200,AR2200,AT2200,AV2200,AX2200)</f>
        <v>18.87</v>
      </c>
      <c r="BE2200" s="33" t="n">
        <f aca="false">AZ2200-BD2200</f>
        <v>0</v>
      </c>
      <c r="BF2200" s="34" t="n">
        <f aca="false">BD2200*M2200</f>
        <v>6510.15</v>
      </c>
      <c r="BG2200" s="35" t="n">
        <f aca="false">BA2200-BF2200</f>
        <v>-0.149999999998727</v>
      </c>
      <c r="BH2200" s="19" t="str">
        <f aca="false">IF(BG2200=0,"",IF(BG2200&lt;&gt;BA2200,"erreur de calcul",IF(BD2200&lt;&gt;0,"pas de prix",IF(M2200&lt;&gt; 0,"pas de quantité","pas de prix, ni de quantité"))))</f>
        <v>erreur de calcul</v>
      </c>
      <c r="BI2200" s="19"/>
    </row>
    <row r="2201" customFormat="false" ht="15" hidden="false" customHeight="false" outlineLevel="0" collapsed="false">
      <c r="A2201" s="0" t="n">
        <v>16</v>
      </c>
      <c r="B2201" s="8" t="s">
        <v>24</v>
      </c>
      <c r="C2201" s="9" t="s">
        <v>25</v>
      </c>
      <c r="D2201" s="9" t="s">
        <v>26</v>
      </c>
      <c r="E2201" s="10" t="n">
        <v>1789</v>
      </c>
      <c r="F2201" s="9" t="s">
        <v>27</v>
      </c>
      <c r="G2201" s="9" t="s">
        <v>27</v>
      </c>
      <c r="H2201" s="11" t="n">
        <v>21</v>
      </c>
      <c r="I2201" s="11" t="s">
        <v>169</v>
      </c>
      <c r="J2201" s="14" t="n">
        <v>6</v>
      </c>
      <c r="K2201" s="14"/>
      <c r="L2201" s="16"/>
      <c r="M2201" s="27" t="n">
        <f aca="false">J2201+(K2201/20)+(L2201/240)</f>
        <v>6</v>
      </c>
      <c r="N2201" s="17" t="s">
        <v>64</v>
      </c>
      <c r="O2201" s="11"/>
      <c r="P2201" s="28"/>
      <c r="Q2201" s="28" t="n">
        <f aca="false">P2201*$M2201</f>
        <v>0</v>
      </c>
      <c r="R2201" s="28"/>
      <c r="S2201" s="28" t="n">
        <f aca="false">R2201*$M2201</f>
        <v>0</v>
      </c>
      <c r="T2201" s="28"/>
      <c r="U2201" s="28" t="n">
        <f aca="false">T2201*$M2201</f>
        <v>0</v>
      </c>
      <c r="V2201" s="28" t="n">
        <f aca="false">39752/100</f>
        <v>397.52</v>
      </c>
      <c r="W2201" s="28" t="n">
        <v>2385</v>
      </c>
      <c r="X2201" s="28"/>
      <c r="Y2201" s="28" t="n">
        <f aca="false">X2201*$M2201</f>
        <v>0</v>
      </c>
      <c r="Z2201" s="28"/>
      <c r="AA2201" s="28" t="n">
        <f aca="false">Z2201*$M2201</f>
        <v>0</v>
      </c>
      <c r="AB2201" s="28"/>
      <c r="AC2201" s="28" t="n">
        <f aca="false">AB2201*$M2201</f>
        <v>0</v>
      </c>
      <c r="AD2201" s="28"/>
      <c r="AE2201" s="28" t="n">
        <f aca="false">AD2201*$M2201</f>
        <v>0</v>
      </c>
      <c r="AF2201" s="28"/>
      <c r="AG2201" s="28" t="n">
        <f aca="false">AF2201*$M2201</f>
        <v>0</v>
      </c>
      <c r="AH2201" s="28"/>
      <c r="AI2201" s="28" t="n">
        <f aca="false">AH2201*$M2201</f>
        <v>0</v>
      </c>
      <c r="AJ2201" s="28"/>
      <c r="AK2201" s="28" t="n">
        <f aca="false">AJ2201*$M2201</f>
        <v>0</v>
      </c>
      <c r="AL2201" s="28"/>
      <c r="AM2201" s="28" t="n">
        <f aca="false">AL2201*$M2201</f>
        <v>0</v>
      </c>
      <c r="AN2201" s="28"/>
      <c r="AO2201" s="28" t="n">
        <f aca="false">AN2201*$M2201</f>
        <v>0</v>
      </c>
      <c r="AP2201" s="28"/>
      <c r="AQ2201" s="28" t="n">
        <f aca="false">AP2201*$M2201</f>
        <v>0</v>
      </c>
      <c r="AR2201" s="28"/>
      <c r="AS2201" s="28" t="n">
        <f aca="false">AR2201*$M2201</f>
        <v>0</v>
      </c>
      <c r="AT2201" s="28"/>
      <c r="AU2201" s="28" t="n">
        <f aca="false">AT2201*$M2201</f>
        <v>0</v>
      </c>
      <c r="AV2201" s="28"/>
      <c r="AW2201" s="28" t="n">
        <f aca="false">AV2201*$M2201</f>
        <v>0</v>
      </c>
      <c r="AX2201" s="28"/>
      <c r="AY2201" s="28" t="n">
        <f aca="false">AX2201*$M2201</f>
        <v>0</v>
      </c>
      <c r="AZ2201" s="30" t="n">
        <f aca="false">39752/100</f>
        <v>397.52</v>
      </c>
      <c r="BA2201" s="11" t="n">
        <v>2385</v>
      </c>
      <c r="BB2201" s="31" t="n">
        <f aca="false">SUM(Q2201,S2201,U2201,W2201,Y2201,AA2201,AC2201,AE2201,AG2201,AI2201,AK2201,AM2201,AO2201,AQ2201,AS2201,AU2201,AW2201,AY2201)</f>
        <v>2385</v>
      </c>
      <c r="BC2201" s="28" t="n">
        <f aca="false">BA2201-BB2201</f>
        <v>0</v>
      </c>
      <c r="BD2201" s="32" t="n">
        <f aca="false">SUM(P2201,R2201,T2201,V2201,X2201,Z2201,AB2201,AD2201,AF2201,AH2201,AJ2201,AL2201,AN2201,AP2201,AR2201,AT2201,AV2201,AX2201)</f>
        <v>397.52</v>
      </c>
      <c r="BE2201" s="33" t="n">
        <f aca="false">AZ2201-BD2201</f>
        <v>0</v>
      </c>
      <c r="BF2201" s="34" t="n">
        <f aca="false">BD2201*M2201</f>
        <v>2385.12</v>
      </c>
      <c r="BG2201" s="35" t="n">
        <f aca="false">BA2201-BF2201</f>
        <v>-0.119999999999891</v>
      </c>
      <c r="BH2201" s="19" t="str">
        <f aca="false">IF(BG2201=0,"",IF(BG2201&lt;&gt;BA2201,"erreur de calcul",IF(BD2201&lt;&gt;0,"pas de prix",IF(M2201&lt;&gt; 0,"pas de quantité","pas de prix, ni de quantité"))))</f>
        <v>erreur de calcul</v>
      </c>
      <c r="BI2201" s="19"/>
    </row>
    <row r="2202" customFormat="false" ht="15" hidden="false" customHeight="false" outlineLevel="0" collapsed="false">
      <c r="A2202" s="0" t="n">
        <v>17</v>
      </c>
      <c r="B2202" s="8" t="s">
        <v>24</v>
      </c>
      <c r="C2202" s="9" t="s">
        <v>25</v>
      </c>
      <c r="D2202" s="9" t="s">
        <v>26</v>
      </c>
      <c r="E2202" s="10" t="n">
        <v>1789</v>
      </c>
      <c r="F2202" s="9" t="s">
        <v>27</v>
      </c>
      <c r="G2202" s="9" t="s">
        <v>27</v>
      </c>
      <c r="H2202" s="11" t="n">
        <v>21</v>
      </c>
      <c r="I2202" s="11" t="s">
        <v>170</v>
      </c>
      <c r="J2202" s="14" t="n">
        <v>90</v>
      </c>
      <c r="K2202" s="14"/>
      <c r="L2202" s="16"/>
      <c r="M2202" s="27" t="n">
        <f aca="false">J2202+(K2202/20)+(L2202/240)</f>
        <v>90</v>
      </c>
      <c r="N2202" s="17" t="s">
        <v>64</v>
      </c>
      <c r="O2202" s="11"/>
      <c r="P2202" s="28"/>
      <c r="Q2202" s="28" t="n">
        <f aca="false">P2202*$M2202</f>
        <v>0</v>
      </c>
      <c r="R2202" s="28"/>
      <c r="S2202" s="28" t="n">
        <f aca="false">R2202*$M2202</f>
        <v>0</v>
      </c>
      <c r="T2202" s="28"/>
      <c r="U2202" s="28" t="n">
        <f aca="false">T2202*$M2202</f>
        <v>0</v>
      </c>
      <c r="V2202" s="28"/>
      <c r="W2202" s="28" t="n">
        <f aca="false">V2202*$M2202</f>
        <v>0</v>
      </c>
      <c r="X2202" s="28" t="n">
        <f aca="false">3136/100</f>
        <v>31.36</v>
      </c>
      <c r="Y2202" s="28" t="n">
        <v>2822</v>
      </c>
      <c r="Z2202" s="28"/>
      <c r="AA2202" s="28" t="n">
        <f aca="false">Z2202*$M2202</f>
        <v>0</v>
      </c>
      <c r="AB2202" s="28"/>
      <c r="AC2202" s="28" t="n">
        <f aca="false">AB2202*$M2202</f>
        <v>0</v>
      </c>
      <c r="AD2202" s="28"/>
      <c r="AE2202" s="28" t="n">
        <f aca="false">AD2202*$M2202</f>
        <v>0</v>
      </c>
      <c r="AF2202" s="28"/>
      <c r="AG2202" s="28" t="n">
        <f aca="false">AF2202*$M2202</f>
        <v>0</v>
      </c>
      <c r="AH2202" s="28"/>
      <c r="AI2202" s="28" t="n">
        <f aca="false">AH2202*$M2202</f>
        <v>0</v>
      </c>
      <c r="AJ2202" s="28"/>
      <c r="AK2202" s="28" t="n">
        <f aca="false">AJ2202*$M2202</f>
        <v>0</v>
      </c>
      <c r="AL2202" s="28"/>
      <c r="AM2202" s="28" t="n">
        <f aca="false">AL2202*$M2202</f>
        <v>0</v>
      </c>
      <c r="AN2202" s="28"/>
      <c r="AO2202" s="28" t="n">
        <f aca="false">AN2202*$M2202</f>
        <v>0</v>
      </c>
      <c r="AP2202" s="28"/>
      <c r="AQ2202" s="28" t="n">
        <f aca="false">AP2202*$M2202</f>
        <v>0</v>
      </c>
      <c r="AR2202" s="28"/>
      <c r="AS2202" s="28" t="n">
        <f aca="false">AR2202*$M2202</f>
        <v>0</v>
      </c>
      <c r="AT2202" s="28"/>
      <c r="AU2202" s="28" t="n">
        <f aca="false">AT2202*$M2202</f>
        <v>0</v>
      </c>
      <c r="AV2202" s="28"/>
      <c r="AW2202" s="28" t="n">
        <f aca="false">AV2202*$M2202</f>
        <v>0</v>
      </c>
      <c r="AX2202" s="28"/>
      <c r="AY2202" s="28" t="n">
        <f aca="false">AX2202*$M2202</f>
        <v>0</v>
      </c>
      <c r="AZ2202" s="30" t="n">
        <f aca="false">3136/100</f>
        <v>31.36</v>
      </c>
      <c r="BA2202" s="11" t="n">
        <v>2822</v>
      </c>
      <c r="BB2202" s="31" t="n">
        <f aca="false">SUM(Q2202,S2202,U2202,W2202,Y2202,AA2202,AC2202,AE2202,AG2202,AI2202,AK2202,AM2202,AO2202,AQ2202,AS2202,AU2202,AW2202,AY2202)</f>
        <v>2822</v>
      </c>
      <c r="BC2202" s="28" t="n">
        <f aca="false">BA2202-BB2202</f>
        <v>0</v>
      </c>
      <c r="BD2202" s="32" t="n">
        <f aca="false">SUM(P2202,R2202,T2202,V2202,X2202,Z2202,AB2202,AD2202,AF2202,AH2202,AJ2202,AL2202,AN2202,AP2202,AR2202,AT2202,AV2202,AX2202)</f>
        <v>31.36</v>
      </c>
      <c r="BE2202" s="33" t="n">
        <f aca="false">AZ2202-BD2202</f>
        <v>0</v>
      </c>
      <c r="BF2202" s="34" t="n">
        <f aca="false">BD2202*M2202</f>
        <v>2822.4</v>
      </c>
      <c r="BG2202" s="35" t="n">
        <f aca="false">BA2202-BF2202</f>
        <v>-0.400000000000091</v>
      </c>
      <c r="BH2202" s="19" t="str">
        <f aca="false">IF(BG2202=0,"",IF(BG2202&lt;&gt;BA2202,"erreur de calcul",IF(BD2202&lt;&gt;0,"pas de prix",IF(M2202&lt;&gt; 0,"pas de quantité","pas de prix, ni de quantité"))))</f>
        <v>erreur de calcul</v>
      </c>
      <c r="BI2202" s="19"/>
    </row>
    <row r="2203" customFormat="false" ht="15" hidden="false" customHeight="false" outlineLevel="0" collapsed="false">
      <c r="A2203" s="0" t="n">
        <v>18</v>
      </c>
      <c r="B2203" s="8" t="s">
        <v>24</v>
      </c>
      <c r="C2203" s="9" t="s">
        <v>25</v>
      </c>
      <c r="D2203" s="9" t="s">
        <v>26</v>
      </c>
      <c r="E2203" s="10" t="n">
        <v>1789</v>
      </c>
      <c r="F2203" s="9" t="s">
        <v>27</v>
      </c>
      <c r="G2203" s="9" t="s">
        <v>27</v>
      </c>
      <c r="H2203" s="11" t="n">
        <v>21</v>
      </c>
      <c r="I2203" s="11" t="s">
        <v>171</v>
      </c>
      <c r="J2203" s="14" t="n">
        <v>90</v>
      </c>
      <c r="K2203" s="14"/>
      <c r="L2203" s="16"/>
      <c r="M2203" s="27" t="n">
        <f aca="false">J2203+(K2203/20)+(L2203/240)</f>
        <v>90</v>
      </c>
      <c r="N2203" s="17" t="s">
        <v>64</v>
      </c>
      <c r="O2203" s="11"/>
      <c r="P2203" s="28"/>
      <c r="Q2203" s="28" t="n">
        <f aca="false">P2203*$M2203</f>
        <v>0</v>
      </c>
      <c r="R2203" s="28"/>
      <c r="S2203" s="28" t="n">
        <f aca="false">R2203*$M2203</f>
        <v>0</v>
      </c>
      <c r="T2203" s="28"/>
      <c r="U2203" s="28" t="n">
        <f aca="false">T2203*$M2203</f>
        <v>0</v>
      </c>
      <c r="V2203" s="28"/>
      <c r="W2203" s="28" t="n">
        <f aca="false">V2203*$M2203</f>
        <v>0</v>
      </c>
      <c r="X2203" s="28"/>
      <c r="Y2203" s="28" t="n">
        <f aca="false">X2203*$M2203</f>
        <v>0</v>
      </c>
      <c r="Z2203" s="28"/>
      <c r="AA2203" s="28" t="n">
        <f aca="false">Z2203*$M2203</f>
        <v>0</v>
      </c>
      <c r="AB2203" s="28"/>
      <c r="AC2203" s="28" t="n">
        <f aca="false">AB2203*$M2203</f>
        <v>0</v>
      </c>
      <c r="AD2203" s="28"/>
      <c r="AE2203" s="28" t="n">
        <f aca="false">AD2203*$M2203</f>
        <v>0</v>
      </c>
      <c r="AF2203" s="28"/>
      <c r="AG2203" s="28" t="n">
        <f aca="false">AF2203*$M2203</f>
        <v>0</v>
      </c>
      <c r="AH2203" s="28" t="n">
        <f aca="false">5337/100</f>
        <v>53.37</v>
      </c>
      <c r="AI2203" s="28" t="n">
        <v>4803</v>
      </c>
      <c r="AJ2203" s="28"/>
      <c r="AK2203" s="28" t="n">
        <f aca="false">AJ2203*$M2203</f>
        <v>0</v>
      </c>
      <c r="AL2203" s="28"/>
      <c r="AM2203" s="28" t="n">
        <f aca="false">AL2203*$M2203</f>
        <v>0</v>
      </c>
      <c r="AN2203" s="28"/>
      <c r="AO2203" s="28" t="n">
        <f aca="false">AN2203*$M2203</f>
        <v>0</v>
      </c>
      <c r="AP2203" s="28"/>
      <c r="AQ2203" s="28" t="n">
        <f aca="false">AP2203*$M2203</f>
        <v>0</v>
      </c>
      <c r="AR2203" s="28"/>
      <c r="AS2203" s="28" t="n">
        <f aca="false">AR2203*$M2203</f>
        <v>0</v>
      </c>
      <c r="AT2203" s="28"/>
      <c r="AU2203" s="28" t="n">
        <f aca="false">AT2203*$M2203</f>
        <v>0</v>
      </c>
      <c r="AV2203" s="28"/>
      <c r="AW2203" s="28" t="n">
        <f aca="false">AV2203*$M2203</f>
        <v>0</v>
      </c>
      <c r="AX2203" s="28"/>
      <c r="AY2203" s="28" t="n">
        <f aca="false">AX2203*$M2203</f>
        <v>0</v>
      </c>
      <c r="AZ2203" s="30" t="n">
        <f aca="false">5337/100</f>
        <v>53.37</v>
      </c>
      <c r="BA2203" s="11" t="n">
        <v>4803</v>
      </c>
      <c r="BB2203" s="31" t="n">
        <f aca="false">SUM(Q2203,S2203,U2203,W2203,Y2203,AA2203,AC2203,AE2203,AG2203,AI2203,AK2203,AM2203,AO2203,AQ2203,AS2203,AU2203,AW2203,AY2203)</f>
        <v>4803</v>
      </c>
      <c r="BC2203" s="28" t="n">
        <f aca="false">BA2203-BB2203</f>
        <v>0</v>
      </c>
      <c r="BD2203" s="32" t="n">
        <f aca="false">SUM(P2203,R2203,T2203,V2203,X2203,Z2203,AB2203,AD2203,AF2203,AH2203,AJ2203,AL2203,AN2203,AP2203,AR2203,AT2203,AV2203,AX2203)</f>
        <v>53.37</v>
      </c>
      <c r="BE2203" s="33" t="n">
        <f aca="false">AZ2203-BD2203</f>
        <v>0</v>
      </c>
      <c r="BF2203" s="34" t="n">
        <f aca="false">BD2203*M2203</f>
        <v>4803.3</v>
      </c>
      <c r="BG2203" s="35" t="n">
        <f aca="false">BA2203-BF2203</f>
        <v>-0.300000000000182</v>
      </c>
      <c r="BH2203" s="19" t="str">
        <f aca="false">IF(BG2203=0,"",IF(BG2203&lt;&gt;BA2203,"erreur de calcul",IF(BD2203&lt;&gt;0,"pas de prix",IF(M2203&lt;&gt; 0,"pas de quantité","pas de prix, ni de quantité"))))</f>
        <v>erreur de calcul</v>
      </c>
      <c r="BI2203" s="19"/>
    </row>
    <row r="2204" customFormat="false" ht="15" hidden="false" customHeight="false" outlineLevel="0" collapsed="false">
      <c r="A2204" s="0" t="n">
        <v>19</v>
      </c>
      <c r="B2204" s="8" t="s">
        <v>24</v>
      </c>
      <c r="C2204" s="9" t="s">
        <v>25</v>
      </c>
      <c r="D2204" s="9" t="s">
        <v>26</v>
      </c>
      <c r="E2204" s="10" t="n">
        <v>1789</v>
      </c>
      <c r="F2204" s="9" t="s">
        <v>27</v>
      </c>
      <c r="G2204" s="9" t="s">
        <v>27</v>
      </c>
      <c r="H2204" s="11" t="n">
        <v>21</v>
      </c>
      <c r="I2204" s="11" t="s">
        <v>172</v>
      </c>
      <c r="J2204" s="14" t="n">
        <v>15</v>
      </c>
      <c r="K2204" s="14"/>
      <c r="L2204" s="16"/>
      <c r="M2204" s="27" t="n">
        <f aca="false">J2204+(K2204/20)+(L2204/240)</f>
        <v>15</v>
      </c>
      <c r="N2204" s="17" t="s">
        <v>64</v>
      </c>
      <c r="O2204" s="11" t="s">
        <v>77</v>
      </c>
      <c r="P2204" s="28"/>
      <c r="Q2204" s="28" t="n">
        <f aca="false">P2204*$M2204</f>
        <v>0</v>
      </c>
      <c r="R2204" s="28"/>
      <c r="S2204" s="28" t="n">
        <f aca="false">R2204*$M2204</f>
        <v>0</v>
      </c>
      <c r="T2204" s="28"/>
      <c r="U2204" s="28" t="n">
        <f aca="false">T2204*$M2204</f>
        <v>0</v>
      </c>
      <c r="V2204" s="28"/>
      <c r="W2204" s="28" t="n">
        <f aca="false">V2204*$M2204</f>
        <v>0</v>
      </c>
      <c r="X2204" s="28"/>
      <c r="Y2204" s="28" t="n">
        <f aca="false">X2204*$M2204</f>
        <v>0</v>
      </c>
      <c r="Z2204" s="28"/>
      <c r="AA2204" s="28" t="n">
        <f aca="false">Z2204*$M2204</f>
        <v>0</v>
      </c>
      <c r="AB2204" s="28"/>
      <c r="AC2204" s="28" t="n">
        <f aca="false">AB2204*$M2204</f>
        <v>0</v>
      </c>
      <c r="AD2204" s="28"/>
      <c r="AE2204" s="28" t="n">
        <f aca="false">AD2204*$M2204</f>
        <v>0</v>
      </c>
      <c r="AF2204" s="28"/>
      <c r="AG2204" s="28" t="n">
        <f aca="false">AF2204*$M2204</f>
        <v>0</v>
      </c>
      <c r="AH2204" s="28"/>
      <c r="AI2204" s="28" t="n">
        <f aca="false">AH2204*$M2204</f>
        <v>0</v>
      </c>
      <c r="AJ2204" s="28"/>
      <c r="AK2204" s="28" t="n">
        <f aca="false">AJ2204*$M2204</f>
        <v>0</v>
      </c>
      <c r="AL2204" s="28"/>
      <c r="AM2204" s="28" t="n">
        <f aca="false">AL2204*$M2204</f>
        <v>0</v>
      </c>
      <c r="AN2204" s="28"/>
      <c r="AO2204" s="28" t="n">
        <f aca="false">AN2204*$M2204</f>
        <v>0</v>
      </c>
      <c r="AP2204" s="28"/>
      <c r="AQ2204" s="28" t="n">
        <f aca="false">AP2204*$M2204</f>
        <v>0</v>
      </c>
      <c r="AR2204" s="28"/>
      <c r="AS2204" s="28" t="n">
        <f aca="false">AR2204*$M2204</f>
        <v>0</v>
      </c>
      <c r="AT2204" s="28"/>
      <c r="AU2204" s="28" t="n">
        <f aca="false">AT2204*$M2204</f>
        <v>0</v>
      </c>
      <c r="AV2204" s="28"/>
      <c r="AW2204" s="28" t="n">
        <f aca="false">AV2204*$M2204</f>
        <v>0</v>
      </c>
      <c r="AX2204" s="28"/>
      <c r="AY2204" s="28" t="n">
        <f aca="false">AX2204*$M2204</f>
        <v>0</v>
      </c>
      <c r="AZ2204" s="30"/>
      <c r="BA2204" s="11"/>
      <c r="BB2204" s="31" t="n">
        <f aca="false">SUM(Q2204,S2204,U2204,W2204,Y2204,AA2204,AC2204,AE2204,AG2204,AI2204,AK2204,AM2204,AO2204,AQ2204,AS2204,AU2204,AW2204,AY2204)</f>
        <v>0</v>
      </c>
      <c r="BC2204" s="28" t="n">
        <f aca="false">BA2204-BB2204</f>
        <v>0</v>
      </c>
      <c r="BD2204" s="32" t="n">
        <f aca="false">SUM(P2204,R2204,T2204,V2204,X2204,Z2204,AB2204,AD2204,AF2204,AH2204,AJ2204,AL2204,AN2204,AP2204,AR2204,AT2204,AV2204,AX2204)</f>
        <v>0</v>
      </c>
      <c r="BE2204" s="33" t="n">
        <f aca="false">AZ2204-BD2204</f>
        <v>0</v>
      </c>
      <c r="BF2204" s="34" t="n">
        <f aca="false">BD2204*M2204</f>
        <v>0</v>
      </c>
      <c r="BG2204" s="35" t="n">
        <f aca="false">BA2204-BF2204</f>
        <v>0</v>
      </c>
      <c r="BH2204" s="19" t="str">
        <f aca="false">IF(BG2204=0,"",IF(BG2204&lt;&gt;BA2204,"erreur de calcul",IF(BD2204&lt;&gt;0,"pas de prix",IF(M2204&lt;&gt; 0,"pas de quantité","pas de prix, ni de quantité"))))</f>
        <v/>
      </c>
      <c r="BI2204" s="19"/>
    </row>
    <row r="2205" customFormat="false" ht="15" hidden="false" customHeight="false" outlineLevel="0" collapsed="false">
      <c r="A2205" s="0" t="n">
        <v>20</v>
      </c>
      <c r="B2205" s="8" t="s">
        <v>24</v>
      </c>
      <c r="C2205" s="9" t="s">
        <v>25</v>
      </c>
      <c r="D2205" s="9" t="s">
        <v>26</v>
      </c>
      <c r="E2205" s="10" t="n">
        <v>1789</v>
      </c>
      <c r="F2205" s="9" t="s">
        <v>27</v>
      </c>
      <c r="G2205" s="9" t="s">
        <v>27</v>
      </c>
      <c r="H2205" s="11" t="n">
        <v>21</v>
      </c>
      <c r="I2205" s="11" t="s">
        <v>173</v>
      </c>
      <c r="J2205" s="14" t="n">
        <v>36</v>
      </c>
      <c r="K2205" s="14"/>
      <c r="L2205" s="16"/>
      <c r="M2205" s="27" t="n">
        <f aca="false">J2205+(K2205/20)+(L2205/240)</f>
        <v>36</v>
      </c>
      <c r="N2205" s="17" t="s">
        <v>64</v>
      </c>
      <c r="O2205" s="11"/>
      <c r="P2205" s="28"/>
      <c r="Q2205" s="28" t="n">
        <f aca="false">P2205*$M2205</f>
        <v>0</v>
      </c>
      <c r="R2205" s="28"/>
      <c r="S2205" s="28" t="n">
        <f aca="false">R2205*$M2205</f>
        <v>0</v>
      </c>
      <c r="T2205" s="28"/>
      <c r="U2205" s="28" t="n">
        <f aca="false">T2205*$M2205</f>
        <v>0</v>
      </c>
      <c r="V2205" s="28"/>
      <c r="W2205" s="28" t="n">
        <f aca="false">V2205*$M2205</f>
        <v>0</v>
      </c>
      <c r="X2205" s="28"/>
      <c r="Y2205" s="28" t="n">
        <f aca="false">X2205*$M2205</f>
        <v>0</v>
      </c>
      <c r="Z2205" s="28"/>
      <c r="AA2205" s="28" t="n">
        <f aca="false">Z2205*$M2205</f>
        <v>0</v>
      </c>
      <c r="AB2205" s="28" t="n">
        <f aca="false">80722/100</f>
        <v>807.22</v>
      </c>
      <c r="AC2205" s="28" t="n">
        <v>29060</v>
      </c>
      <c r="AD2205" s="28"/>
      <c r="AE2205" s="28" t="n">
        <f aca="false">AD2205*$M2205</f>
        <v>0</v>
      </c>
      <c r="AF2205" s="28"/>
      <c r="AG2205" s="28" t="n">
        <f aca="false">AF2205*$M2205</f>
        <v>0</v>
      </c>
      <c r="AH2205" s="28"/>
      <c r="AI2205" s="28" t="n">
        <f aca="false">AH2205*$M2205</f>
        <v>0</v>
      </c>
      <c r="AJ2205" s="28"/>
      <c r="AK2205" s="28" t="n">
        <f aca="false">AJ2205*$M2205</f>
        <v>0</v>
      </c>
      <c r="AL2205" s="28"/>
      <c r="AM2205" s="28" t="n">
        <f aca="false">AL2205*$M2205</f>
        <v>0</v>
      </c>
      <c r="AN2205" s="28"/>
      <c r="AO2205" s="28" t="n">
        <f aca="false">AN2205*$M2205</f>
        <v>0</v>
      </c>
      <c r="AP2205" s="28"/>
      <c r="AQ2205" s="28" t="n">
        <f aca="false">AP2205*$M2205</f>
        <v>0</v>
      </c>
      <c r="AR2205" s="28"/>
      <c r="AS2205" s="28" t="n">
        <f aca="false">AR2205*$M2205</f>
        <v>0</v>
      </c>
      <c r="AT2205" s="28"/>
      <c r="AU2205" s="28" t="n">
        <f aca="false">AT2205*$M2205</f>
        <v>0</v>
      </c>
      <c r="AV2205" s="28"/>
      <c r="AW2205" s="28" t="n">
        <f aca="false">AV2205*$M2205</f>
        <v>0</v>
      </c>
      <c r="AX2205" s="28"/>
      <c r="AY2205" s="28" t="n">
        <f aca="false">AX2205*$M2205</f>
        <v>0</v>
      </c>
      <c r="AZ2205" s="30" t="n">
        <f aca="false">80722/100</f>
        <v>807.22</v>
      </c>
      <c r="BA2205" s="11" t="n">
        <v>29060</v>
      </c>
      <c r="BB2205" s="31" t="n">
        <f aca="false">SUM(Q2205,S2205,U2205,W2205,Y2205,AA2205,AC2205,AE2205,AG2205,AI2205,AK2205,AM2205,AO2205,AQ2205,AS2205,AU2205,AW2205,AY2205)</f>
        <v>29060</v>
      </c>
      <c r="BC2205" s="28" t="n">
        <f aca="false">BA2205-BB2205</f>
        <v>0</v>
      </c>
      <c r="BD2205" s="32" t="n">
        <f aca="false">SUM(P2205,R2205,T2205,V2205,X2205,Z2205,AB2205,AD2205,AF2205,AH2205,AJ2205,AL2205,AN2205,AP2205,AR2205,AT2205,AV2205,AX2205)</f>
        <v>807.22</v>
      </c>
      <c r="BE2205" s="33" t="n">
        <f aca="false">AZ2205-BD2205</f>
        <v>0</v>
      </c>
      <c r="BF2205" s="34" t="n">
        <f aca="false">BD2205*M2205</f>
        <v>29059.92</v>
      </c>
      <c r="BG2205" s="35" t="n">
        <f aca="false">BA2205-BF2205</f>
        <v>0.0799999999981083</v>
      </c>
      <c r="BH2205" s="19" t="str">
        <f aca="false">IF(BG2205=0,"",IF(BG2205&lt;&gt;BA2205,"erreur de calcul",IF(BD2205&lt;&gt;0,"pas de prix",IF(M2205&lt;&gt; 0,"pas de quantité","pas de prix, ni de quantité"))))</f>
        <v>erreur de calcul</v>
      </c>
      <c r="BI2205" s="19"/>
    </row>
    <row r="2206" customFormat="false" ht="15" hidden="false" customHeight="false" outlineLevel="0" collapsed="false">
      <c r="A2206" s="0" t="n">
        <v>21</v>
      </c>
      <c r="B2206" s="8" t="s">
        <v>24</v>
      </c>
      <c r="C2206" s="9" t="s">
        <v>25</v>
      </c>
      <c r="D2206" s="9" t="s">
        <v>26</v>
      </c>
      <c r="E2206" s="10" t="n">
        <v>1789</v>
      </c>
      <c r="F2206" s="9" t="s">
        <v>27</v>
      </c>
      <c r="G2206" s="9" t="s">
        <v>27</v>
      </c>
      <c r="H2206" s="11" t="n">
        <v>21</v>
      </c>
      <c r="I2206" s="11" t="s">
        <v>174</v>
      </c>
      <c r="J2206" s="14" t="n">
        <v>31</v>
      </c>
      <c r="K2206" s="14"/>
      <c r="L2206" s="16"/>
      <c r="M2206" s="27" t="n">
        <f aca="false">J2206+(K2206/20)+(L2206/240)</f>
        <v>31</v>
      </c>
      <c r="N2206" s="17" t="s">
        <v>64</v>
      </c>
      <c r="O2206" s="11"/>
      <c r="P2206" s="28"/>
      <c r="Q2206" s="28" t="n">
        <f aca="false">P2206*$M2206</f>
        <v>0</v>
      </c>
      <c r="R2206" s="28"/>
      <c r="S2206" s="28" t="n">
        <f aca="false">R2206*$M2206</f>
        <v>0</v>
      </c>
      <c r="T2206" s="28"/>
      <c r="U2206" s="28" t="n">
        <f aca="false">T2206*$M2206</f>
        <v>0</v>
      </c>
      <c r="V2206" s="28"/>
      <c r="W2206" s="28" t="n">
        <f aca="false">V2206*$M2206</f>
        <v>0</v>
      </c>
      <c r="X2206" s="28"/>
      <c r="Y2206" s="28" t="n">
        <f aca="false">X2206*$M2206</f>
        <v>0</v>
      </c>
      <c r="Z2206" s="28"/>
      <c r="AA2206" s="28" t="n">
        <f aca="false">Z2206*$M2206</f>
        <v>0</v>
      </c>
      <c r="AB2206" s="28"/>
      <c r="AC2206" s="28" t="n">
        <f aca="false">AB2206*$M2206</f>
        <v>0</v>
      </c>
      <c r="AD2206" s="28"/>
      <c r="AE2206" s="28" t="n">
        <f aca="false">AD2206*$M2206</f>
        <v>0</v>
      </c>
      <c r="AF2206" s="28" t="n">
        <f aca="false">4599/100</f>
        <v>45.99</v>
      </c>
      <c r="AG2206" s="28" t="n">
        <v>1426</v>
      </c>
      <c r="AH2206" s="28" t="n">
        <f aca="false">12691/100</f>
        <v>126.91</v>
      </c>
      <c r="AI2206" s="28" t="n">
        <v>3934</v>
      </c>
      <c r="AJ2206" s="28"/>
      <c r="AK2206" s="28" t="n">
        <f aca="false">AJ2206*$M2206</f>
        <v>0</v>
      </c>
      <c r="AL2206" s="28"/>
      <c r="AM2206" s="28" t="n">
        <f aca="false">AL2206*$M2206</f>
        <v>0</v>
      </c>
      <c r="AN2206" s="28"/>
      <c r="AO2206" s="28" t="n">
        <f aca="false">AN2206*$M2206</f>
        <v>0</v>
      </c>
      <c r="AP2206" s="28"/>
      <c r="AQ2206" s="28" t="n">
        <f aca="false">AP2206*$M2206</f>
        <v>0</v>
      </c>
      <c r="AR2206" s="28"/>
      <c r="AS2206" s="28" t="n">
        <f aca="false">AR2206*$M2206</f>
        <v>0</v>
      </c>
      <c r="AT2206" s="28"/>
      <c r="AU2206" s="28" t="n">
        <f aca="false">AT2206*$M2206</f>
        <v>0</v>
      </c>
      <c r="AV2206" s="28"/>
      <c r="AW2206" s="28" t="n">
        <f aca="false">AV2206*$M2206</f>
        <v>0</v>
      </c>
      <c r="AX2206" s="28"/>
      <c r="AY2206" s="28" t="n">
        <f aca="false">AX2206*$M2206</f>
        <v>0</v>
      </c>
      <c r="AZ2206" s="30" t="n">
        <f aca="false">17290/100</f>
        <v>172.9</v>
      </c>
      <c r="BA2206" s="11" t="n">
        <v>5360</v>
      </c>
      <c r="BB2206" s="31" t="n">
        <f aca="false">SUM(Q2206,S2206,U2206,W2206,Y2206,AA2206,AC2206,AE2206,AG2206,AI2206,AK2206,AM2206,AO2206,AQ2206,AS2206,AU2206,AW2206,AY2206)</f>
        <v>5360</v>
      </c>
      <c r="BC2206" s="28" t="n">
        <f aca="false">BA2206-BB2206</f>
        <v>0</v>
      </c>
      <c r="BD2206" s="32" t="n">
        <f aca="false">SUM(P2206,R2206,T2206,V2206,X2206,Z2206,AB2206,AD2206,AF2206,AH2206,AJ2206,AL2206,AN2206,AP2206,AR2206,AT2206,AV2206,AX2206)</f>
        <v>172.9</v>
      </c>
      <c r="BE2206" s="33" t="n">
        <f aca="false">AZ2206-BD2206</f>
        <v>0</v>
      </c>
      <c r="BF2206" s="34" t="n">
        <f aca="false">BD2206*M2206</f>
        <v>5359.9</v>
      </c>
      <c r="BG2206" s="35" t="n">
        <f aca="false">BA2206-BF2206</f>
        <v>0.0999999999994543</v>
      </c>
      <c r="BH2206" s="19" t="str">
        <f aca="false">IF(BG2206=0,"",IF(BG2206&lt;&gt;BA2206,"erreur de calcul",IF(BD2206&lt;&gt;0,"pas de prix",IF(M2206&lt;&gt; 0,"pas de quantité","pas de prix, ni de quantité"))))</f>
        <v>erreur de calcul</v>
      </c>
      <c r="BI2206" s="19"/>
    </row>
    <row r="2207" customFormat="false" ht="15" hidden="false" customHeight="false" outlineLevel="0" collapsed="false">
      <c r="A2207" s="0" t="n">
        <v>22</v>
      </c>
      <c r="B2207" s="8" t="s">
        <v>24</v>
      </c>
      <c r="C2207" s="9" t="s">
        <v>25</v>
      </c>
      <c r="D2207" s="9" t="s">
        <v>26</v>
      </c>
      <c r="E2207" s="10" t="n">
        <v>1789</v>
      </c>
      <c r="F2207" s="9" t="s">
        <v>27</v>
      </c>
      <c r="G2207" s="9" t="s">
        <v>27</v>
      </c>
      <c r="H2207" s="11" t="n">
        <v>21</v>
      </c>
      <c r="I2207" s="11" t="s">
        <v>175</v>
      </c>
      <c r="J2207" s="14" t="n">
        <v>120</v>
      </c>
      <c r="K2207" s="14"/>
      <c r="L2207" s="16"/>
      <c r="M2207" s="27" t="n">
        <f aca="false">J2207+(K2207/20)+(L2207/240)</f>
        <v>120</v>
      </c>
      <c r="N2207" s="17" t="s">
        <v>64</v>
      </c>
      <c r="O2207" s="11"/>
      <c r="P2207" s="28"/>
      <c r="Q2207" s="28" t="n">
        <f aca="false">P2207*$M2207</f>
        <v>0</v>
      </c>
      <c r="R2207" s="28"/>
      <c r="S2207" s="28" t="n">
        <f aca="false">R2207*$M2207</f>
        <v>0</v>
      </c>
      <c r="T2207" s="28"/>
      <c r="U2207" s="28" t="n">
        <f aca="false">T2207*$M2207</f>
        <v>0</v>
      </c>
      <c r="V2207" s="28" t="n">
        <f aca="false">2364/100</f>
        <v>23.64</v>
      </c>
      <c r="W2207" s="28" t="n">
        <v>2837</v>
      </c>
      <c r="X2207" s="28"/>
      <c r="Y2207" s="28" t="n">
        <f aca="false">X2207*$M2207</f>
        <v>0</v>
      </c>
      <c r="Z2207" s="28"/>
      <c r="AA2207" s="28" t="n">
        <f aca="false">Z2207*$M2207</f>
        <v>0</v>
      </c>
      <c r="AB2207" s="28"/>
      <c r="AC2207" s="28" t="n">
        <f aca="false">AB2207*$M2207</f>
        <v>0</v>
      </c>
      <c r="AD2207" s="28"/>
      <c r="AE2207" s="28" t="n">
        <f aca="false">AD2207*$M2207</f>
        <v>0</v>
      </c>
      <c r="AF2207" s="28"/>
      <c r="AG2207" s="28" t="n">
        <f aca="false">AF2207*$M2207</f>
        <v>0</v>
      </c>
      <c r="AH2207" s="28"/>
      <c r="AI2207" s="28" t="n">
        <f aca="false">AH2207*$M2207</f>
        <v>0</v>
      </c>
      <c r="AJ2207" s="28"/>
      <c r="AK2207" s="28" t="n">
        <f aca="false">AJ2207*$M2207</f>
        <v>0</v>
      </c>
      <c r="AL2207" s="28"/>
      <c r="AM2207" s="28" t="n">
        <f aca="false">AL2207*$M2207</f>
        <v>0</v>
      </c>
      <c r="AN2207" s="28"/>
      <c r="AO2207" s="28" t="n">
        <f aca="false">AN2207*$M2207</f>
        <v>0</v>
      </c>
      <c r="AP2207" s="28"/>
      <c r="AQ2207" s="28" t="n">
        <f aca="false">AP2207*$M2207</f>
        <v>0</v>
      </c>
      <c r="AR2207" s="28"/>
      <c r="AS2207" s="28" t="n">
        <f aca="false">AR2207*$M2207</f>
        <v>0</v>
      </c>
      <c r="AT2207" s="28"/>
      <c r="AU2207" s="28" t="n">
        <f aca="false">AT2207*$M2207</f>
        <v>0</v>
      </c>
      <c r="AV2207" s="28"/>
      <c r="AW2207" s="28" t="n">
        <f aca="false">AV2207*$M2207</f>
        <v>0</v>
      </c>
      <c r="AX2207" s="28"/>
      <c r="AY2207" s="28" t="n">
        <f aca="false">AX2207*$M2207</f>
        <v>0</v>
      </c>
      <c r="AZ2207" s="30" t="n">
        <f aca="false">2364/100</f>
        <v>23.64</v>
      </c>
      <c r="BA2207" s="11" t="n">
        <v>2837</v>
      </c>
      <c r="BB2207" s="31" t="n">
        <f aca="false">SUM(Q2207,S2207,U2207,W2207,Y2207,AA2207,AC2207,AE2207,AG2207,AI2207,AK2207,AM2207,AO2207,AQ2207,AS2207,AU2207,AW2207,AY2207)</f>
        <v>2837</v>
      </c>
      <c r="BC2207" s="28" t="n">
        <f aca="false">BA2207-BB2207</f>
        <v>0</v>
      </c>
      <c r="BD2207" s="32" t="n">
        <f aca="false">SUM(P2207,R2207,T2207,V2207,X2207,Z2207,AB2207,AD2207,AF2207,AH2207,AJ2207,AL2207,AN2207,AP2207,AR2207,AT2207,AV2207,AX2207)</f>
        <v>23.64</v>
      </c>
      <c r="BE2207" s="33" t="n">
        <f aca="false">AZ2207-BD2207</f>
        <v>0</v>
      </c>
      <c r="BF2207" s="34" t="n">
        <f aca="false">BD2207*M2207</f>
        <v>2836.8</v>
      </c>
      <c r="BG2207" s="35" t="n">
        <f aca="false">BA2207-BF2207</f>
        <v>0.199999999999818</v>
      </c>
      <c r="BH2207" s="19" t="str">
        <f aca="false">IF(BG2207=0,"",IF(BG2207&lt;&gt;BA2207,"erreur de calcul",IF(BD2207&lt;&gt;0,"pas de prix",IF(M2207&lt;&gt; 0,"pas de quantité","pas de prix, ni de quantité"))))</f>
        <v>erreur de calcul</v>
      </c>
      <c r="BI2207" s="19"/>
    </row>
    <row r="2208" customFormat="false" ht="15" hidden="false" customHeight="false" outlineLevel="0" collapsed="false">
      <c r="A2208" s="0" t="n">
        <v>23</v>
      </c>
      <c r="B2208" s="8" t="s">
        <v>24</v>
      </c>
      <c r="C2208" s="9" t="s">
        <v>25</v>
      </c>
      <c r="D2208" s="9" t="s">
        <v>26</v>
      </c>
      <c r="E2208" s="10" t="n">
        <v>1789</v>
      </c>
      <c r="F2208" s="9" t="s">
        <v>27</v>
      </c>
      <c r="G2208" s="9" t="s">
        <v>27</v>
      </c>
      <c r="H2208" s="11" t="n">
        <v>21</v>
      </c>
      <c r="I2208" s="11" t="s">
        <v>176</v>
      </c>
      <c r="J2208" s="14" t="n">
        <v>170</v>
      </c>
      <c r="K2208" s="14"/>
      <c r="L2208" s="16"/>
      <c r="M2208" s="27" t="n">
        <f aca="false">J2208+(K2208/20)+(L2208/240)</f>
        <v>170</v>
      </c>
      <c r="N2208" s="17" t="s">
        <v>64</v>
      </c>
      <c r="O2208" s="11"/>
      <c r="P2208" s="28" t="n">
        <f aca="false">9760/100</f>
        <v>97.6</v>
      </c>
      <c r="Q2208" s="28" t="n">
        <v>16592</v>
      </c>
      <c r="R2208" s="28"/>
      <c r="S2208" s="28" t="n">
        <f aca="false">R2208*$M2208</f>
        <v>0</v>
      </c>
      <c r="T2208" s="28"/>
      <c r="U2208" s="28" t="n">
        <f aca="false">T2208*$M2208</f>
        <v>0</v>
      </c>
      <c r="V2208" s="28"/>
      <c r="W2208" s="28" t="n">
        <f aca="false">V2208*$M2208</f>
        <v>0</v>
      </c>
      <c r="X2208" s="28" t="n">
        <f aca="false">1589/100</f>
        <v>15.89</v>
      </c>
      <c r="Y2208" s="28" t="n">
        <v>2701</v>
      </c>
      <c r="Z2208" s="28"/>
      <c r="AA2208" s="28" t="n">
        <f aca="false">Z2208*$M2208</f>
        <v>0</v>
      </c>
      <c r="AB2208" s="28"/>
      <c r="AC2208" s="28" t="n">
        <f aca="false">AB2208*$M2208</f>
        <v>0</v>
      </c>
      <c r="AD2208" s="28"/>
      <c r="AE2208" s="28" t="n">
        <f aca="false">AD2208*$M2208</f>
        <v>0</v>
      </c>
      <c r="AF2208" s="28"/>
      <c r="AG2208" s="28" t="n">
        <f aca="false">AF2208*$M2208</f>
        <v>0</v>
      </c>
      <c r="AH2208" s="28"/>
      <c r="AI2208" s="28" t="n">
        <f aca="false">AH2208*$M2208</f>
        <v>0</v>
      </c>
      <c r="AJ2208" s="28"/>
      <c r="AK2208" s="28" t="n">
        <f aca="false">AJ2208*$M2208</f>
        <v>0</v>
      </c>
      <c r="AL2208" s="28"/>
      <c r="AM2208" s="28" t="n">
        <f aca="false">AL2208*$M2208</f>
        <v>0</v>
      </c>
      <c r="AN2208" s="28"/>
      <c r="AO2208" s="28" t="n">
        <f aca="false">AN2208*$M2208</f>
        <v>0</v>
      </c>
      <c r="AP2208" s="28"/>
      <c r="AQ2208" s="28" t="n">
        <f aca="false">AP2208*$M2208</f>
        <v>0</v>
      </c>
      <c r="AR2208" s="28"/>
      <c r="AS2208" s="28" t="n">
        <f aca="false">AR2208*$M2208</f>
        <v>0</v>
      </c>
      <c r="AT2208" s="28"/>
      <c r="AU2208" s="28" t="n">
        <f aca="false">AT2208*$M2208</f>
        <v>0</v>
      </c>
      <c r="AV2208" s="28"/>
      <c r="AW2208" s="28" t="n">
        <f aca="false">AV2208*$M2208</f>
        <v>0</v>
      </c>
      <c r="AX2208" s="28"/>
      <c r="AY2208" s="28" t="n">
        <f aca="false">AX2208*$M2208</f>
        <v>0</v>
      </c>
      <c r="AZ2208" s="30" t="n">
        <f aca="false">11349/100</f>
        <v>113.49</v>
      </c>
      <c r="BA2208" s="11" t="n">
        <v>19293</v>
      </c>
      <c r="BB2208" s="31" t="n">
        <f aca="false">SUM(Q2208,S2208,U2208,W2208,Y2208,AA2208,AC2208,AE2208,AG2208,AI2208,AK2208,AM2208,AO2208,AQ2208,AS2208,AU2208,AW2208,AY2208)</f>
        <v>19293</v>
      </c>
      <c r="BC2208" s="28" t="n">
        <f aca="false">BA2208-BB2208</f>
        <v>0</v>
      </c>
      <c r="BD2208" s="32" t="n">
        <f aca="false">SUM(P2208,R2208,T2208,V2208,X2208,Z2208,AB2208,AD2208,AF2208,AH2208,AJ2208,AL2208,AN2208,AP2208,AR2208,AT2208,AV2208,AX2208)</f>
        <v>113.49</v>
      </c>
      <c r="BE2208" s="33" t="n">
        <f aca="false">AZ2208-BD2208</f>
        <v>0</v>
      </c>
      <c r="BF2208" s="34" t="n">
        <f aca="false">BD2208*M2208</f>
        <v>19293.3</v>
      </c>
      <c r="BG2208" s="35" t="n">
        <f aca="false">BA2208-BF2208</f>
        <v>-0.299999999999272</v>
      </c>
      <c r="BH2208" s="19" t="str">
        <f aca="false">IF(BG2208=0,"",IF(BG2208&lt;&gt;BA2208,"erreur de calcul",IF(BD2208&lt;&gt;0,"pas de prix",IF(M2208&lt;&gt; 0,"pas de quantité","pas de prix, ni de quantité"))))</f>
        <v>erreur de calcul</v>
      </c>
      <c r="BI2208" s="19"/>
    </row>
    <row r="2209" customFormat="false" ht="15" hidden="false" customHeight="false" outlineLevel="0" collapsed="false">
      <c r="A2209" s="0" t="n">
        <v>24</v>
      </c>
      <c r="B2209" s="8" t="s">
        <v>24</v>
      </c>
      <c r="C2209" s="9" t="s">
        <v>25</v>
      </c>
      <c r="D2209" s="9" t="s">
        <v>26</v>
      </c>
      <c r="E2209" s="10" t="n">
        <v>1789</v>
      </c>
      <c r="F2209" s="9" t="s">
        <v>27</v>
      </c>
      <c r="G2209" s="9" t="s">
        <v>27</v>
      </c>
      <c r="H2209" s="11" t="n">
        <v>21</v>
      </c>
      <c r="I2209" s="11" t="s">
        <v>177</v>
      </c>
      <c r="J2209" s="14" t="n">
        <v>9</v>
      </c>
      <c r="K2209" s="14"/>
      <c r="L2209" s="16"/>
      <c r="M2209" s="27" t="n">
        <f aca="false">J2209+(K2209/20)+(L2209/240)</f>
        <v>9</v>
      </c>
      <c r="N2209" s="17" t="s">
        <v>66</v>
      </c>
      <c r="O2209" s="11"/>
      <c r="P2209" s="28"/>
      <c r="Q2209" s="28" t="n">
        <f aca="false">P2209*$M2209</f>
        <v>0</v>
      </c>
      <c r="R2209" s="28" t="n">
        <v>349</v>
      </c>
      <c r="S2209" s="28" t="n">
        <v>3141</v>
      </c>
      <c r="T2209" s="28"/>
      <c r="U2209" s="28" t="n">
        <f aca="false">T2209*$M2209</f>
        <v>0</v>
      </c>
      <c r="V2209" s="28" t="n">
        <v>315</v>
      </c>
      <c r="W2209" s="28" t="n">
        <v>2835</v>
      </c>
      <c r="X2209" s="28" t="n">
        <v>733</v>
      </c>
      <c r="Y2209" s="28" t="n">
        <v>6597</v>
      </c>
      <c r="Z2209" s="28"/>
      <c r="AA2209" s="28" t="n">
        <f aca="false">Z2209*$M2209</f>
        <v>0</v>
      </c>
      <c r="AB2209" s="28" t="n">
        <v>162</v>
      </c>
      <c r="AC2209" s="28" t="n">
        <v>1458</v>
      </c>
      <c r="AD2209" s="28"/>
      <c r="AE2209" s="28" t="n">
        <f aca="false">AD2209*$M2209</f>
        <v>0</v>
      </c>
      <c r="AF2209" s="28"/>
      <c r="AG2209" s="28" t="n">
        <f aca="false">AF2209*$M2209</f>
        <v>0</v>
      </c>
      <c r="AH2209" s="28"/>
      <c r="AI2209" s="28" t="n">
        <f aca="false">AH2209*$M2209</f>
        <v>0</v>
      </c>
      <c r="AJ2209" s="28"/>
      <c r="AK2209" s="28" t="n">
        <f aca="false">AJ2209*$M2209</f>
        <v>0</v>
      </c>
      <c r="AL2209" s="28"/>
      <c r="AM2209" s="28" t="n">
        <f aca="false">AL2209*$M2209</f>
        <v>0</v>
      </c>
      <c r="AN2209" s="28"/>
      <c r="AO2209" s="28" t="n">
        <f aca="false">AN2209*$M2209</f>
        <v>0</v>
      </c>
      <c r="AP2209" s="28"/>
      <c r="AQ2209" s="28" t="n">
        <f aca="false">AP2209*$M2209</f>
        <v>0</v>
      </c>
      <c r="AR2209" s="28"/>
      <c r="AS2209" s="28" t="n">
        <f aca="false">AR2209*$M2209</f>
        <v>0</v>
      </c>
      <c r="AT2209" s="28"/>
      <c r="AU2209" s="28" t="n">
        <f aca="false">AT2209*$M2209</f>
        <v>0</v>
      </c>
      <c r="AV2209" s="28"/>
      <c r="AW2209" s="28" t="n">
        <f aca="false">AV2209*$M2209</f>
        <v>0</v>
      </c>
      <c r="AX2209" s="28"/>
      <c r="AY2209" s="28" t="n">
        <f aca="false">AX2209*$M2209</f>
        <v>0</v>
      </c>
      <c r="AZ2209" s="30" t="n">
        <f aca="false">1559</f>
        <v>1559</v>
      </c>
      <c r="BA2209" s="11" t="n">
        <v>14031</v>
      </c>
      <c r="BB2209" s="31" t="n">
        <f aca="false">SUM(Q2209,S2209,U2209,W2209,Y2209,AA2209,AC2209,AE2209,AG2209,AI2209,AK2209,AM2209,AO2209,AQ2209,AS2209,AU2209,AW2209,AY2209)</f>
        <v>14031</v>
      </c>
      <c r="BC2209" s="28" t="n">
        <f aca="false">BA2209-BB2209</f>
        <v>0</v>
      </c>
      <c r="BD2209" s="32" t="n">
        <f aca="false">SUM(P2209,R2209,T2209,V2209,X2209,Z2209,AB2209,AD2209,AF2209,AH2209,AJ2209,AL2209,AN2209,AP2209,AR2209,AT2209,AV2209,AX2209)</f>
        <v>1559</v>
      </c>
      <c r="BE2209" s="33" t="n">
        <f aca="false">AZ2209-BD2209</f>
        <v>0</v>
      </c>
      <c r="BF2209" s="34" t="n">
        <f aca="false">BD2209*M2209</f>
        <v>14031</v>
      </c>
      <c r="BG2209" s="35" t="n">
        <f aca="false">BA2209-BF2209</f>
        <v>0</v>
      </c>
      <c r="BH2209" s="19" t="str">
        <f aca="false">IF(BG2209=0,"",IF(BG2209&lt;&gt;BA2209,"erreur de calcul",IF(BD2209&lt;&gt;0,"pas de prix",IF(M2209&lt;&gt; 0,"pas de quantité","pas de prix, ni de quantité"))))</f>
        <v/>
      </c>
      <c r="BI2209" s="19"/>
    </row>
    <row r="2210" customFormat="false" ht="15" hidden="false" customHeight="false" outlineLevel="0" collapsed="false">
      <c r="A2210" s="0" t="n">
        <v>25</v>
      </c>
      <c r="B2210" s="8" t="s">
        <v>24</v>
      </c>
      <c r="C2210" s="9" t="s">
        <v>25</v>
      </c>
      <c r="D2210" s="9" t="s">
        <v>26</v>
      </c>
      <c r="E2210" s="10" t="n">
        <v>1789</v>
      </c>
      <c r="F2210" s="9" t="s">
        <v>27</v>
      </c>
      <c r="G2210" s="9" t="s">
        <v>27</v>
      </c>
      <c r="H2210" s="11" t="n">
        <v>21</v>
      </c>
      <c r="I2210" s="11" t="s">
        <v>178</v>
      </c>
      <c r="J2210" s="14" t="n">
        <v>125</v>
      </c>
      <c r="K2210" s="14"/>
      <c r="L2210" s="16"/>
      <c r="M2210" s="27" t="n">
        <f aca="false">J2210+(K2210/20)+(L2210/240)</f>
        <v>125</v>
      </c>
      <c r="N2210" s="17" t="s">
        <v>64</v>
      </c>
      <c r="O2210" s="11"/>
      <c r="P2210" s="28"/>
      <c r="Q2210" s="28" t="n">
        <f aca="false">P2210*$M2210</f>
        <v>0</v>
      </c>
      <c r="R2210" s="28"/>
      <c r="S2210" s="28" t="n">
        <f aca="false">R2210*$M2210</f>
        <v>0</v>
      </c>
      <c r="T2210" s="28"/>
      <c r="U2210" s="28" t="n">
        <f aca="false">T2210*$M2210</f>
        <v>0</v>
      </c>
      <c r="V2210" s="28" t="n">
        <f aca="false">10764/100</f>
        <v>107.64</v>
      </c>
      <c r="W2210" s="28" t="n">
        <v>13455</v>
      </c>
      <c r="X2210" s="28" t="n">
        <f aca="false">13215/100</f>
        <v>132.15</v>
      </c>
      <c r="Y2210" s="28" t="n">
        <v>16519</v>
      </c>
      <c r="Z2210" s="28"/>
      <c r="AA2210" s="28" t="n">
        <f aca="false">Z2210*$M2210</f>
        <v>0</v>
      </c>
      <c r="AB2210" s="28" t="n">
        <f aca="false">188461/100</f>
        <v>1884.61</v>
      </c>
      <c r="AC2210" s="28" t="n">
        <v>235576</v>
      </c>
      <c r="AD2210" s="28"/>
      <c r="AE2210" s="28" t="n">
        <f aca="false">AD2210*$M2210</f>
        <v>0</v>
      </c>
      <c r="AF2210" s="28"/>
      <c r="AG2210" s="28" t="n">
        <f aca="false">AF2210*$M2210</f>
        <v>0</v>
      </c>
      <c r="AH2210" s="28"/>
      <c r="AI2210" s="28" t="n">
        <f aca="false">AH2210*$M2210</f>
        <v>0</v>
      </c>
      <c r="AJ2210" s="28"/>
      <c r="AK2210" s="28" t="n">
        <f aca="false">AJ2210*$M2210</f>
        <v>0</v>
      </c>
      <c r="AL2210" s="28"/>
      <c r="AM2210" s="28" t="n">
        <f aca="false">AL2210*$M2210</f>
        <v>0</v>
      </c>
      <c r="AN2210" s="28"/>
      <c r="AO2210" s="28" t="n">
        <f aca="false">AN2210*$M2210</f>
        <v>0</v>
      </c>
      <c r="AP2210" s="28"/>
      <c r="AQ2210" s="28" t="n">
        <f aca="false">AP2210*$M2210</f>
        <v>0</v>
      </c>
      <c r="AR2210" s="28"/>
      <c r="AS2210" s="28" t="n">
        <f aca="false">AR2210*$M2210</f>
        <v>0</v>
      </c>
      <c r="AT2210" s="28"/>
      <c r="AU2210" s="28" t="n">
        <f aca="false">AT2210*$M2210</f>
        <v>0</v>
      </c>
      <c r="AV2210" s="28"/>
      <c r="AW2210" s="28" t="n">
        <f aca="false">AV2210*$M2210</f>
        <v>0</v>
      </c>
      <c r="AX2210" s="28"/>
      <c r="AY2210" s="28" t="n">
        <f aca="false">AX2210*$M2210</f>
        <v>0</v>
      </c>
      <c r="AZ2210" s="30" t="n">
        <f aca="false">212440/100</f>
        <v>2124.4</v>
      </c>
      <c r="BA2210" s="11" t="n">
        <v>265550</v>
      </c>
      <c r="BB2210" s="31" t="n">
        <f aca="false">SUM(Q2210,S2210,U2210,W2210,Y2210,AA2210,AC2210,AE2210,AG2210,AI2210,AK2210,AM2210,AO2210,AQ2210,AS2210,AU2210,AW2210,AY2210)</f>
        <v>265550</v>
      </c>
      <c r="BC2210" s="28" t="n">
        <f aca="false">BA2210-BB2210</f>
        <v>0</v>
      </c>
      <c r="BD2210" s="32" t="n">
        <f aca="false">SUM(P2210,R2210,T2210,V2210,X2210,Z2210,AB2210,AD2210,AF2210,AH2210,AJ2210,AL2210,AN2210,AP2210,AR2210,AT2210,AV2210,AX2210)</f>
        <v>2124.4</v>
      </c>
      <c r="BE2210" s="33" t="n">
        <f aca="false">AZ2210-BD2210</f>
        <v>0</v>
      </c>
      <c r="BF2210" s="34" t="n">
        <f aca="false">BD2210*M2210</f>
        <v>265550</v>
      </c>
      <c r="BG2210" s="35" t="n">
        <f aca="false">BA2210-BF2210</f>
        <v>0</v>
      </c>
      <c r="BH2210" s="19" t="str">
        <f aca="false">IF(BG2210=0,"",IF(BG2210&lt;&gt;BA2210,"erreur de calcul",IF(BD2210&lt;&gt;0,"pas de prix",IF(M2210&lt;&gt; 0,"pas de quantité","pas de prix, ni de quantité"))))</f>
        <v/>
      </c>
      <c r="BI2210" s="19"/>
    </row>
    <row r="2211" customFormat="false" ht="15" hidden="false" customHeight="false" outlineLevel="0" collapsed="false">
      <c r="A2211" s="0" t="n">
        <v>26</v>
      </c>
      <c r="B2211" s="8" t="s">
        <v>24</v>
      </c>
      <c r="C2211" s="9" t="s">
        <v>25</v>
      </c>
      <c r="D2211" s="9" t="s">
        <v>26</v>
      </c>
      <c r="E2211" s="10" t="n">
        <v>1789</v>
      </c>
      <c r="F2211" s="9" t="s">
        <v>27</v>
      </c>
      <c r="G2211" s="9" t="s">
        <v>27</v>
      </c>
      <c r="H2211" s="11" t="n">
        <v>21</v>
      </c>
      <c r="I2211" s="11" t="s">
        <v>179</v>
      </c>
      <c r="J2211" s="14" t="n">
        <v>7</v>
      </c>
      <c r="K2211" s="14"/>
      <c r="L2211" s="16"/>
      <c r="M2211" s="27" t="n">
        <f aca="false">J2211+(K2211/20)+(L2211/240)</f>
        <v>7</v>
      </c>
      <c r="N2211" s="17" t="s">
        <v>66</v>
      </c>
      <c r="O2211" s="11"/>
      <c r="P2211" s="28" t="n">
        <v>8441</v>
      </c>
      <c r="Q2211" s="28" t="n">
        <v>59087</v>
      </c>
      <c r="R2211" s="28"/>
      <c r="S2211" s="28" t="n">
        <f aca="false">R2211*$M2211</f>
        <v>0</v>
      </c>
      <c r="T2211" s="28"/>
      <c r="U2211" s="28" t="n">
        <f aca="false">T2211*$M2211</f>
        <v>0</v>
      </c>
      <c r="V2211" s="28"/>
      <c r="W2211" s="28" t="n">
        <f aca="false">V2211*$M2211</f>
        <v>0</v>
      </c>
      <c r="X2211" s="28"/>
      <c r="Y2211" s="28" t="n">
        <f aca="false">X2211*$M2211</f>
        <v>0</v>
      </c>
      <c r="Z2211" s="28" t="n">
        <v>357</v>
      </c>
      <c r="AA2211" s="28" t="n">
        <v>2499</v>
      </c>
      <c r="AB2211" s="28"/>
      <c r="AC2211" s="28" t="n">
        <f aca="false">AB2211*$M2211</f>
        <v>0</v>
      </c>
      <c r="AD2211" s="28"/>
      <c r="AE2211" s="28" t="n">
        <f aca="false">AD2211*$M2211</f>
        <v>0</v>
      </c>
      <c r="AF2211" s="28"/>
      <c r="AG2211" s="28" t="n">
        <f aca="false">AF2211*$M2211</f>
        <v>0</v>
      </c>
      <c r="AH2211" s="28"/>
      <c r="AI2211" s="28" t="n">
        <f aca="false">AH2211*$M2211</f>
        <v>0</v>
      </c>
      <c r="AJ2211" s="28"/>
      <c r="AK2211" s="28" t="n">
        <f aca="false">AJ2211*$M2211</f>
        <v>0</v>
      </c>
      <c r="AL2211" s="28"/>
      <c r="AM2211" s="28" t="n">
        <f aca="false">AL2211*$M2211</f>
        <v>0</v>
      </c>
      <c r="AN2211" s="28"/>
      <c r="AO2211" s="28" t="n">
        <f aca="false">AN2211*$M2211</f>
        <v>0</v>
      </c>
      <c r="AP2211" s="28"/>
      <c r="AQ2211" s="28" t="n">
        <f aca="false">AP2211*$M2211</f>
        <v>0</v>
      </c>
      <c r="AR2211" s="28"/>
      <c r="AS2211" s="28" t="n">
        <f aca="false">AR2211*$M2211</f>
        <v>0</v>
      </c>
      <c r="AT2211" s="28"/>
      <c r="AU2211" s="28" t="n">
        <f aca="false">AT2211*$M2211</f>
        <v>0</v>
      </c>
      <c r="AV2211" s="28"/>
      <c r="AW2211" s="28" t="n">
        <f aca="false">AV2211*$M2211</f>
        <v>0</v>
      </c>
      <c r="AX2211" s="28"/>
      <c r="AY2211" s="28" t="n">
        <f aca="false">AX2211*$M2211</f>
        <v>0</v>
      </c>
      <c r="AZ2211" s="30" t="n">
        <v>8798</v>
      </c>
      <c r="BA2211" s="11" t="n">
        <v>61586</v>
      </c>
      <c r="BB2211" s="31" t="n">
        <f aca="false">SUM(Q2211,S2211,U2211,W2211,Y2211,AA2211,AC2211,AE2211,AG2211,AI2211,AK2211,AM2211,AO2211,AQ2211,AS2211,AU2211,AW2211,AY2211)</f>
        <v>61586</v>
      </c>
      <c r="BC2211" s="28" t="n">
        <f aca="false">BA2211-BB2211</f>
        <v>0</v>
      </c>
      <c r="BD2211" s="32" t="n">
        <f aca="false">SUM(P2211,R2211,T2211,V2211,X2211,Z2211,AB2211,AD2211,AF2211,AH2211,AJ2211,AL2211,AN2211,AP2211,AR2211,AT2211,AV2211,AX2211)</f>
        <v>8798</v>
      </c>
      <c r="BE2211" s="33" t="n">
        <f aca="false">AZ2211-BD2211</f>
        <v>0</v>
      </c>
      <c r="BF2211" s="34" t="n">
        <f aca="false">BD2211*M2211</f>
        <v>61586</v>
      </c>
      <c r="BG2211" s="35" t="n">
        <f aca="false">BA2211-BF2211</f>
        <v>0</v>
      </c>
      <c r="BH2211" s="19" t="str">
        <f aca="false">IF(BG2211=0,"",IF(BG2211&lt;&gt;BA2211,"erreur de calcul",IF(BD2211&lt;&gt;0,"pas de prix",IF(M2211&lt;&gt; 0,"pas de quantité","pas de prix, ni de quantité"))))</f>
        <v/>
      </c>
      <c r="BI2211" s="19"/>
    </row>
    <row r="2212" customFormat="false" ht="15" hidden="false" customHeight="false" outlineLevel="0" collapsed="false">
      <c r="A2212" s="0" t="n">
        <v>27</v>
      </c>
      <c r="B2212" s="8" t="s">
        <v>24</v>
      </c>
      <c r="C2212" s="9" t="s">
        <v>25</v>
      </c>
      <c r="D2212" s="9" t="s">
        <v>26</v>
      </c>
      <c r="E2212" s="10" t="n">
        <v>1789</v>
      </c>
      <c r="F2212" s="9" t="s">
        <v>27</v>
      </c>
      <c r="G2212" s="9" t="s">
        <v>27</v>
      </c>
      <c r="H2212" s="11" t="n">
        <v>21</v>
      </c>
      <c r="I2212" s="11" t="s">
        <v>180</v>
      </c>
      <c r="J2212" s="14" t="n">
        <v>9</v>
      </c>
      <c r="K2212" s="14"/>
      <c r="L2212" s="16"/>
      <c r="M2212" s="27" t="n">
        <f aca="false">J2212+(K2212/20)+(L2212/240)</f>
        <v>9</v>
      </c>
      <c r="N2212" s="17" t="s">
        <v>64</v>
      </c>
      <c r="O2212" s="11"/>
      <c r="P2212" s="28" t="n">
        <f aca="false">22662/100</f>
        <v>226.62</v>
      </c>
      <c r="Q2212" s="28" t="n">
        <v>2039</v>
      </c>
      <c r="R2212" s="28"/>
      <c r="S2212" s="28" t="n">
        <f aca="false">R2212*$M2212</f>
        <v>0</v>
      </c>
      <c r="T2212" s="28"/>
      <c r="U2212" s="28" t="n">
        <f aca="false">T2212*$M2212</f>
        <v>0</v>
      </c>
      <c r="V2212" s="28"/>
      <c r="W2212" s="28" t="n">
        <f aca="false">V2212*$M2212</f>
        <v>0</v>
      </c>
      <c r="X2212" s="28"/>
      <c r="Y2212" s="28" t="n">
        <f aca="false">X2212*$M2212</f>
        <v>0</v>
      </c>
      <c r="Z2212" s="28"/>
      <c r="AA2212" s="28" t="n">
        <f aca="false">Z2212*$M2212</f>
        <v>0</v>
      </c>
      <c r="AB2212" s="28"/>
      <c r="AC2212" s="28" t="n">
        <f aca="false">AB2212*$M2212</f>
        <v>0</v>
      </c>
      <c r="AD2212" s="28"/>
      <c r="AE2212" s="28" t="n">
        <f aca="false">AD2212*$M2212</f>
        <v>0</v>
      </c>
      <c r="AF2212" s="28"/>
      <c r="AG2212" s="28" t="n">
        <f aca="false">AF2212*$M2212</f>
        <v>0</v>
      </c>
      <c r="AH2212" s="28"/>
      <c r="AI2212" s="28" t="n">
        <f aca="false">AH2212*$M2212</f>
        <v>0</v>
      </c>
      <c r="AJ2212" s="28"/>
      <c r="AK2212" s="28" t="n">
        <f aca="false">AJ2212*$M2212</f>
        <v>0</v>
      </c>
      <c r="AL2212" s="28"/>
      <c r="AM2212" s="28" t="n">
        <f aca="false">AL2212*$M2212</f>
        <v>0</v>
      </c>
      <c r="AN2212" s="28"/>
      <c r="AO2212" s="28" t="n">
        <f aca="false">AN2212*$M2212</f>
        <v>0</v>
      </c>
      <c r="AP2212" s="28"/>
      <c r="AQ2212" s="28" t="n">
        <f aca="false">AP2212*$M2212</f>
        <v>0</v>
      </c>
      <c r="AR2212" s="28"/>
      <c r="AS2212" s="28" t="n">
        <f aca="false">AR2212*$M2212</f>
        <v>0</v>
      </c>
      <c r="AT2212" s="28"/>
      <c r="AU2212" s="28" t="n">
        <f aca="false">AT2212*$M2212</f>
        <v>0</v>
      </c>
      <c r="AV2212" s="28"/>
      <c r="AW2212" s="28" t="n">
        <f aca="false">AV2212*$M2212</f>
        <v>0</v>
      </c>
      <c r="AX2212" s="28"/>
      <c r="AY2212" s="28" t="n">
        <f aca="false">AX2212*$M2212</f>
        <v>0</v>
      </c>
      <c r="AZ2212" s="30" t="n">
        <f aca="false">22662/100</f>
        <v>226.62</v>
      </c>
      <c r="BA2212" s="11" t="n">
        <v>2039</v>
      </c>
      <c r="BB2212" s="31" t="n">
        <f aca="false">SUM(Q2212,S2212,U2212,W2212,Y2212,AA2212,AC2212,AE2212,AG2212,AI2212,AK2212,AM2212,AO2212,AQ2212,AS2212,AU2212,AW2212,AY2212)</f>
        <v>2039</v>
      </c>
      <c r="BC2212" s="28" t="n">
        <f aca="false">BA2212-BB2212</f>
        <v>0</v>
      </c>
      <c r="BD2212" s="32" t="n">
        <f aca="false">SUM(P2212,R2212,T2212,V2212,X2212,Z2212,AB2212,AD2212,AF2212,AH2212,AJ2212,AL2212,AN2212,AP2212,AR2212,AT2212,AV2212,AX2212)</f>
        <v>226.62</v>
      </c>
      <c r="BE2212" s="33" t="n">
        <f aca="false">AZ2212-BD2212</f>
        <v>0</v>
      </c>
      <c r="BF2212" s="34" t="n">
        <f aca="false">BD2212*M2212</f>
        <v>2039.58</v>
      </c>
      <c r="BG2212" s="35" t="n">
        <f aca="false">BA2212-BF2212</f>
        <v>-0.579999999999927</v>
      </c>
      <c r="BH2212" s="19" t="str">
        <f aca="false">IF(BG2212=0,"",IF(BG2212&lt;&gt;BA2212,"erreur de calcul",IF(BD2212&lt;&gt;0,"pas de prix",IF(M2212&lt;&gt; 0,"pas de quantité","pas de prix, ni de quantité"))))</f>
        <v>erreur de calcul</v>
      </c>
      <c r="BI2212" s="19"/>
    </row>
    <row r="2213" customFormat="false" ht="15" hidden="false" customHeight="false" outlineLevel="0" collapsed="false">
      <c r="A2213" s="0" t="n">
        <v>28</v>
      </c>
      <c r="B2213" s="8" t="s">
        <v>24</v>
      </c>
      <c r="C2213" s="9" t="s">
        <v>25</v>
      </c>
      <c r="D2213" s="9" t="s">
        <v>26</v>
      </c>
      <c r="E2213" s="10" t="n">
        <v>1789</v>
      </c>
      <c r="F2213" s="9" t="s">
        <v>27</v>
      </c>
      <c r="G2213" s="9" t="s">
        <v>27</v>
      </c>
      <c r="H2213" s="11" t="n">
        <v>21</v>
      </c>
      <c r="I2213" s="11" t="s">
        <v>181</v>
      </c>
      <c r="J2213" s="14" t="n">
        <v>8</v>
      </c>
      <c r="K2213" s="14" t="n">
        <v>10</v>
      </c>
      <c r="L2213" s="16"/>
      <c r="M2213" s="27" t="n">
        <f aca="false">J2213+(K2213/20)+(L2213/240)</f>
        <v>8.5</v>
      </c>
      <c r="N2213" s="17" t="s">
        <v>66</v>
      </c>
      <c r="O2213" s="11"/>
      <c r="P2213" s="28" t="n">
        <v>1770</v>
      </c>
      <c r="Q2213" s="28" t="n">
        <v>15045</v>
      </c>
      <c r="R2213" s="28"/>
      <c r="S2213" s="28" t="n">
        <f aca="false">R2213*$M2213</f>
        <v>0</v>
      </c>
      <c r="T2213" s="28"/>
      <c r="U2213" s="28" t="n">
        <f aca="false">T2213*$M2213</f>
        <v>0</v>
      </c>
      <c r="V2213" s="28"/>
      <c r="W2213" s="28" t="n">
        <f aca="false">V2213*$M2213</f>
        <v>0</v>
      </c>
      <c r="X2213" s="28"/>
      <c r="Y2213" s="28" t="n">
        <f aca="false">X2213*$M2213</f>
        <v>0</v>
      </c>
      <c r="Z2213" s="28"/>
      <c r="AA2213" s="28" t="n">
        <f aca="false">Z2213*$M2213</f>
        <v>0</v>
      </c>
      <c r="AB2213" s="28"/>
      <c r="AC2213" s="28" t="n">
        <f aca="false">AB2213*$M2213</f>
        <v>0</v>
      </c>
      <c r="AD2213" s="28"/>
      <c r="AE2213" s="28" t="n">
        <f aca="false">AD2213*$M2213</f>
        <v>0</v>
      </c>
      <c r="AF2213" s="28"/>
      <c r="AG2213" s="28" t="n">
        <f aca="false">AF2213*$M2213</f>
        <v>0</v>
      </c>
      <c r="AH2213" s="28" t="n">
        <v>323</v>
      </c>
      <c r="AI2213" s="28" t="n">
        <v>2745</v>
      </c>
      <c r="AJ2213" s="28"/>
      <c r="AK2213" s="28" t="n">
        <f aca="false">AJ2213*$M2213</f>
        <v>0</v>
      </c>
      <c r="AL2213" s="28"/>
      <c r="AM2213" s="28" t="n">
        <f aca="false">AL2213*$M2213</f>
        <v>0</v>
      </c>
      <c r="AN2213" s="28"/>
      <c r="AO2213" s="28" t="n">
        <f aca="false">AN2213*$M2213</f>
        <v>0</v>
      </c>
      <c r="AP2213" s="28"/>
      <c r="AQ2213" s="28" t="n">
        <f aca="false">AP2213*$M2213</f>
        <v>0</v>
      </c>
      <c r="AR2213" s="28"/>
      <c r="AS2213" s="28" t="n">
        <f aca="false">AR2213*$M2213</f>
        <v>0</v>
      </c>
      <c r="AT2213" s="28"/>
      <c r="AU2213" s="28" t="n">
        <f aca="false">AT2213*$M2213</f>
        <v>0</v>
      </c>
      <c r="AV2213" s="28"/>
      <c r="AW2213" s="28" t="n">
        <f aca="false">AV2213*$M2213</f>
        <v>0</v>
      </c>
      <c r="AX2213" s="28"/>
      <c r="AY2213" s="28" t="n">
        <f aca="false">AX2213*$M2213</f>
        <v>0</v>
      </c>
      <c r="AZ2213" s="30" t="n">
        <v>2093</v>
      </c>
      <c r="BA2213" s="11" t="n">
        <v>17790</v>
      </c>
      <c r="BB2213" s="31" t="n">
        <f aca="false">SUM(Q2213,S2213,U2213,W2213,Y2213,AA2213,AC2213,AE2213,AG2213,AI2213,AK2213,AM2213,AO2213,AQ2213,AS2213,AU2213,AW2213,AY2213)</f>
        <v>17790</v>
      </c>
      <c r="BC2213" s="28" t="n">
        <f aca="false">BA2213-BB2213</f>
        <v>0</v>
      </c>
      <c r="BD2213" s="32" t="n">
        <f aca="false">SUM(P2213,R2213,T2213,V2213,X2213,Z2213,AB2213,AD2213,AF2213,AH2213,AJ2213,AL2213,AN2213,AP2213,AR2213,AT2213,AV2213,AX2213)</f>
        <v>2093</v>
      </c>
      <c r="BE2213" s="33" t="n">
        <f aca="false">AZ2213-BD2213</f>
        <v>0</v>
      </c>
      <c r="BF2213" s="34" t="n">
        <f aca="false">BD2213*M2213</f>
        <v>17790.5</v>
      </c>
      <c r="BG2213" s="35" t="n">
        <f aca="false">BA2213-BF2213</f>
        <v>-0.5</v>
      </c>
      <c r="BH2213" s="19" t="str">
        <f aca="false">IF(BG2213=0,"",IF(BG2213&lt;&gt;BA2213,"erreur de calcul",IF(BD2213&lt;&gt;0,"pas de prix",IF(M2213&lt;&gt; 0,"pas de quantité","pas de prix, ni de quantité"))))</f>
        <v>erreur de calcul</v>
      </c>
      <c r="BI2213" s="19"/>
    </row>
    <row r="2214" customFormat="false" ht="15" hidden="false" customHeight="false" outlineLevel="0" collapsed="false">
      <c r="A2214" s="0" t="n">
        <v>29</v>
      </c>
      <c r="B2214" s="8" t="s">
        <v>24</v>
      </c>
      <c r="C2214" s="9" t="s">
        <v>25</v>
      </c>
      <c r="D2214" s="9" t="s">
        <v>26</v>
      </c>
      <c r="E2214" s="10" t="n">
        <v>1789</v>
      </c>
      <c r="F2214" s="9" t="s">
        <v>27</v>
      </c>
      <c r="G2214" s="9" t="s">
        <v>27</v>
      </c>
      <c r="H2214" s="11" t="n">
        <v>21</v>
      </c>
      <c r="I2214" s="11" t="s">
        <v>182</v>
      </c>
      <c r="J2214" s="14" t="n">
        <v>24</v>
      </c>
      <c r="K2214" s="14"/>
      <c r="L2214" s="16"/>
      <c r="M2214" s="27" t="n">
        <f aca="false">J2214+(K2214/20)+(L2214/240)</f>
        <v>24</v>
      </c>
      <c r="N2214" s="17" t="s">
        <v>66</v>
      </c>
      <c r="O2214" s="11"/>
      <c r="P2214" s="28" t="n">
        <v>478</v>
      </c>
      <c r="Q2214" s="28" t="n">
        <v>11472</v>
      </c>
      <c r="R2214" s="28"/>
      <c r="S2214" s="28" t="n">
        <f aca="false">R2214*$M2214</f>
        <v>0</v>
      </c>
      <c r="T2214" s="28" t="n">
        <v>38</v>
      </c>
      <c r="U2214" s="28" t="n">
        <v>912</v>
      </c>
      <c r="V2214" s="28"/>
      <c r="W2214" s="28" t="n">
        <f aca="false">V2214*$M2214</f>
        <v>0</v>
      </c>
      <c r="X2214" s="28"/>
      <c r="Y2214" s="28" t="n">
        <f aca="false">X2214*$M2214</f>
        <v>0</v>
      </c>
      <c r="Z2214" s="28"/>
      <c r="AA2214" s="28" t="n">
        <f aca="false">Z2214*$M2214</f>
        <v>0</v>
      </c>
      <c r="AB2214" s="28"/>
      <c r="AC2214" s="28" t="n">
        <f aca="false">AB2214*$M2214</f>
        <v>0</v>
      </c>
      <c r="AD2214" s="28"/>
      <c r="AE2214" s="28" t="n">
        <f aca="false">AD2214*$M2214</f>
        <v>0</v>
      </c>
      <c r="AF2214" s="28"/>
      <c r="AG2214" s="28" t="n">
        <f aca="false">AF2214*$M2214</f>
        <v>0</v>
      </c>
      <c r="AH2214" s="28"/>
      <c r="AI2214" s="28" t="n">
        <f aca="false">AH2214*$M2214</f>
        <v>0</v>
      </c>
      <c r="AJ2214" s="28"/>
      <c r="AK2214" s="28" t="n">
        <f aca="false">AJ2214*$M2214</f>
        <v>0</v>
      </c>
      <c r="AL2214" s="28"/>
      <c r="AM2214" s="28" t="n">
        <f aca="false">AL2214*$M2214</f>
        <v>0</v>
      </c>
      <c r="AN2214" s="28"/>
      <c r="AO2214" s="28" t="n">
        <f aca="false">AN2214*$M2214</f>
        <v>0</v>
      </c>
      <c r="AP2214" s="28"/>
      <c r="AQ2214" s="28" t="n">
        <f aca="false">AP2214*$M2214</f>
        <v>0</v>
      </c>
      <c r="AR2214" s="28"/>
      <c r="AS2214" s="28" t="n">
        <f aca="false">AR2214*$M2214</f>
        <v>0</v>
      </c>
      <c r="AT2214" s="28"/>
      <c r="AU2214" s="28" t="n">
        <f aca="false">AT2214*$M2214</f>
        <v>0</v>
      </c>
      <c r="AV2214" s="28"/>
      <c r="AW2214" s="28" t="n">
        <f aca="false">AV2214*$M2214</f>
        <v>0</v>
      </c>
      <c r="AX2214" s="28"/>
      <c r="AY2214" s="28" t="n">
        <f aca="false">AX2214*$M2214</f>
        <v>0</v>
      </c>
      <c r="AZ2214" s="30" t="n">
        <v>516</v>
      </c>
      <c r="BA2214" s="11" t="n">
        <v>12384</v>
      </c>
      <c r="BB2214" s="31" t="n">
        <f aca="false">SUM(Q2214,S2214,U2214,W2214,Y2214,AA2214,AC2214,AE2214,AG2214,AI2214,AK2214,AM2214,AO2214,AQ2214,AS2214,AU2214,AW2214,AY2214)</f>
        <v>12384</v>
      </c>
      <c r="BC2214" s="28" t="n">
        <f aca="false">BA2214-BB2214</f>
        <v>0</v>
      </c>
      <c r="BD2214" s="32" t="n">
        <f aca="false">SUM(P2214,R2214,T2214,V2214,X2214,Z2214,AB2214,AD2214,AF2214,AH2214,AJ2214,AL2214,AN2214,AP2214,AR2214,AT2214,AV2214,AX2214)</f>
        <v>516</v>
      </c>
      <c r="BE2214" s="33" t="n">
        <f aca="false">AZ2214-BD2214</f>
        <v>0</v>
      </c>
      <c r="BF2214" s="34" t="n">
        <f aca="false">BD2214*M2214</f>
        <v>12384</v>
      </c>
      <c r="BG2214" s="35" t="n">
        <f aca="false">BA2214-BF2214</f>
        <v>0</v>
      </c>
      <c r="BH2214" s="19" t="str">
        <f aca="false">IF(BG2214=0,"",IF(BG2214&lt;&gt;BA2214,"erreur de calcul",IF(BD2214&lt;&gt;0,"pas de prix",IF(M2214&lt;&gt; 0,"pas de quantité","pas de prix, ni de quantité"))))</f>
        <v/>
      </c>
      <c r="BI2214" s="19"/>
    </row>
    <row r="2215" customFormat="false" ht="15" hidden="false" customHeight="false" outlineLevel="0" collapsed="false">
      <c r="A2215" s="0" t="n">
        <v>30</v>
      </c>
      <c r="B2215" s="8" t="s">
        <v>24</v>
      </c>
      <c r="C2215" s="9" t="s">
        <v>25</v>
      </c>
      <c r="D2215" s="9" t="s">
        <v>26</v>
      </c>
      <c r="E2215" s="10" t="n">
        <v>1789</v>
      </c>
      <c r="F2215" s="9" t="s">
        <v>27</v>
      </c>
      <c r="G2215" s="9" t="s">
        <v>27</v>
      </c>
      <c r="H2215" s="11" t="n">
        <v>21</v>
      </c>
      <c r="I2215" s="11" t="s">
        <v>183</v>
      </c>
      <c r="J2215" s="14" t="n">
        <v>240</v>
      </c>
      <c r="K2215" s="14"/>
      <c r="L2215" s="16"/>
      <c r="M2215" s="27" t="n">
        <f aca="false">J2215+(K2215/20)+(L2215/240)</f>
        <v>240</v>
      </c>
      <c r="N2215" s="17" t="s">
        <v>64</v>
      </c>
      <c r="O2215" s="11"/>
      <c r="P2215" s="28" t="n">
        <f aca="false">52196/100</f>
        <v>521.96</v>
      </c>
      <c r="Q2215" s="28" t="n">
        <v>125270</v>
      </c>
      <c r="R2215" s="28" t="n">
        <f aca="false">29767/100</f>
        <v>297.67</v>
      </c>
      <c r="S2215" s="28" t="n">
        <v>71441</v>
      </c>
      <c r="T2215" s="28"/>
      <c r="U2215" s="28" t="n">
        <f aca="false">T2215*$M2215</f>
        <v>0</v>
      </c>
      <c r="V2215" s="28"/>
      <c r="W2215" s="28" t="n">
        <f aca="false">V2215*$M2215</f>
        <v>0</v>
      </c>
      <c r="X2215" s="28"/>
      <c r="Y2215" s="28" t="n">
        <f aca="false">X2215*$M2215</f>
        <v>0</v>
      </c>
      <c r="Z2215" s="28"/>
      <c r="AA2215" s="28" t="n">
        <f aca="false">Z2215*$M2215</f>
        <v>0</v>
      </c>
      <c r="AB2215" s="28"/>
      <c r="AC2215" s="28" t="n">
        <f aca="false">AB2215*$M2215</f>
        <v>0</v>
      </c>
      <c r="AD2215" s="28"/>
      <c r="AE2215" s="28" t="n">
        <f aca="false">AD2215*$M2215</f>
        <v>0</v>
      </c>
      <c r="AF2215" s="28"/>
      <c r="AG2215" s="28" t="n">
        <f aca="false">AF2215*$M2215</f>
        <v>0</v>
      </c>
      <c r="AH2215" s="28"/>
      <c r="AI2215" s="28" t="n">
        <f aca="false">AH2215*$M2215</f>
        <v>0</v>
      </c>
      <c r="AJ2215" s="28"/>
      <c r="AK2215" s="28" t="n">
        <f aca="false">AJ2215*$M2215</f>
        <v>0</v>
      </c>
      <c r="AL2215" s="28"/>
      <c r="AM2215" s="28" t="n">
        <f aca="false">AL2215*$M2215</f>
        <v>0</v>
      </c>
      <c r="AN2215" s="28"/>
      <c r="AO2215" s="28" t="n">
        <f aca="false">AN2215*$M2215</f>
        <v>0</v>
      </c>
      <c r="AP2215" s="28"/>
      <c r="AQ2215" s="28" t="n">
        <f aca="false">AP2215*$M2215</f>
        <v>0</v>
      </c>
      <c r="AR2215" s="28"/>
      <c r="AS2215" s="28" t="n">
        <f aca="false">AR2215*$M2215</f>
        <v>0</v>
      </c>
      <c r="AT2215" s="28"/>
      <c r="AU2215" s="28" t="n">
        <f aca="false">AT2215*$M2215</f>
        <v>0</v>
      </c>
      <c r="AV2215" s="28"/>
      <c r="AW2215" s="28" t="n">
        <f aca="false">AV2215*$M2215</f>
        <v>0</v>
      </c>
      <c r="AX2215" s="28"/>
      <c r="AY2215" s="28" t="n">
        <f aca="false">AX2215*$M2215</f>
        <v>0</v>
      </c>
      <c r="AZ2215" s="30" t="n">
        <f aca="false">81963/100</f>
        <v>819.63</v>
      </c>
      <c r="BA2215" s="11" t="n">
        <v>196711</v>
      </c>
      <c r="BB2215" s="31" t="n">
        <f aca="false">SUM(Q2215,S2215,U2215,W2215,Y2215,AA2215,AC2215,AE2215,AG2215,AI2215,AK2215,AM2215,AO2215,AQ2215,AS2215,AU2215,AW2215,AY2215)</f>
        <v>196711</v>
      </c>
      <c r="BC2215" s="28" t="n">
        <f aca="false">BA2215-BB2215</f>
        <v>0</v>
      </c>
      <c r="BD2215" s="32" t="n">
        <f aca="false">SUM(P2215,R2215,T2215,V2215,X2215,Z2215,AB2215,AD2215,AF2215,AH2215,AJ2215,AL2215,AN2215,AP2215,AR2215,AT2215,AV2215,AX2215)</f>
        <v>819.63</v>
      </c>
      <c r="BE2215" s="33" t="n">
        <f aca="false">AZ2215-BD2215</f>
        <v>0</v>
      </c>
      <c r="BF2215" s="34" t="n">
        <f aca="false">BD2215*M2215</f>
        <v>196711.2</v>
      </c>
      <c r="BG2215" s="35" t="n">
        <f aca="false">BA2215-BF2215</f>
        <v>-0.200000000011642</v>
      </c>
      <c r="BH2215" s="19" t="str">
        <f aca="false">IF(BG2215=0,"",IF(BG2215&lt;&gt;BA2215,"erreur de calcul",IF(BD2215&lt;&gt;0,"pas de prix",IF(M2215&lt;&gt; 0,"pas de quantité","pas de prix, ni de quantité"))))</f>
        <v>erreur de calcul</v>
      </c>
      <c r="BI2215" s="19"/>
    </row>
    <row r="2216" customFormat="false" ht="15" hidden="false" customHeight="false" outlineLevel="0" collapsed="false">
      <c r="A2216" s="0" t="n">
        <v>31</v>
      </c>
      <c r="B2216" s="8" t="s">
        <v>24</v>
      </c>
      <c r="C2216" s="9" t="s">
        <v>25</v>
      </c>
      <c r="D2216" s="9" t="s">
        <v>26</v>
      </c>
      <c r="E2216" s="10" t="n">
        <v>1789</v>
      </c>
      <c r="F2216" s="9" t="s">
        <v>27</v>
      </c>
      <c r="G2216" s="9" t="s">
        <v>27</v>
      </c>
      <c r="H2216" s="11" t="n">
        <v>21</v>
      </c>
      <c r="I2216" s="11" t="s">
        <v>184</v>
      </c>
      <c r="J2216" s="14" t="n">
        <v>13</v>
      </c>
      <c r="K2216" s="14"/>
      <c r="L2216" s="16"/>
      <c r="M2216" s="27" t="n">
        <f aca="false">J2216+(K2216/20)+(L2216/240)</f>
        <v>13</v>
      </c>
      <c r="N2216" s="17" t="s">
        <v>66</v>
      </c>
      <c r="O2216" s="11"/>
      <c r="P2216" s="28"/>
      <c r="Q2216" s="28" t="n">
        <f aca="false">P2216*$M2216</f>
        <v>0</v>
      </c>
      <c r="R2216" s="28"/>
      <c r="S2216" s="28" t="n">
        <f aca="false">R2216*$M2216</f>
        <v>0</v>
      </c>
      <c r="T2216" s="28"/>
      <c r="U2216" s="28" t="n">
        <f aca="false">T2216*$M2216</f>
        <v>0</v>
      </c>
      <c r="V2216" s="28"/>
      <c r="W2216" s="28" t="n">
        <f aca="false">V2216*$M2216</f>
        <v>0</v>
      </c>
      <c r="X2216" s="28"/>
      <c r="Y2216" s="28" t="n">
        <f aca="false">X2216*$M2216</f>
        <v>0</v>
      </c>
      <c r="Z2216" s="28"/>
      <c r="AA2216" s="28" t="n">
        <f aca="false">Z2216*$M2216</f>
        <v>0</v>
      </c>
      <c r="AB2216" s="28"/>
      <c r="AC2216" s="28" t="n">
        <f aca="false">AB2216*$M2216</f>
        <v>0</v>
      </c>
      <c r="AD2216" s="28"/>
      <c r="AE2216" s="28" t="n">
        <f aca="false">AD2216*$M2216</f>
        <v>0</v>
      </c>
      <c r="AF2216" s="28"/>
      <c r="AG2216" s="28" t="n">
        <f aca="false">AF2216*$M2216</f>
        <v>0</v>
      </c>
      <c r="AH2216" s="28" t="n">
        <v>354</v>
      </c>
      <c r="AI2216" s="28" t="n">
        <v>4602</v>
      </c>
      <c r="AJ2216" s="28"/>
      <c r="AK2216" s="28" t="n">
        <f aca="false">AJ2216*$M2216</f>
        <v>0</v>
      </c>
      <c r="AL2216" s="28"/>
      <c r="AM2216" s="28" t="n">
        <f aca="false">AL2216*$M2216</f>
        <v>0</v>
      </c>
      <c r="AN2216" s="28"/>
      <c r="AO2216" s="28" t="n">
        <f aca="false">AN2216*$M2216</f>
        <v>0</v>
      </c>
      <c r="AP2216" s="28"/>
      <c r="AQ2216" s="28" t="n">
        <f aca="false">AP2216*$M2216</f>
        <v>0</v>
      </c>
      <c r="AR2216" s="28"/>
      <c r="AS2216" s="28" t="n">
        <f aca="false">AR2216*$M2216</f>
        <v>0</v>
      </c>
      <c r="AT2216" s="28"/>
      <c r="AU2216" s="28" t="n">
        <f aca="false">AT2216*$M2216</f>
        <v>0</v>
      </c>
      <c r="AV2216" s="28"/>
      <c r="AW2216" s="28" t="n">
        <f aca="false">AV2216*$M2216</f>
        <v>0</v>
      </c>
      <c r="AX2216" s="28"/>
      <c r="AY2216" s="28" t="n">
        <f aca="false">AX2216*$M2216</f>
        <v>0</v>
      </c>
      <c r="AZ2216" s="30" t="n">
        <v>354</v>
      </c>
      <c r="BA2216" s="11" t="n">
        <v>4602</v>
      </c>
      <c r="BB2216" s="31" t="n">
        <f aca="false">SUM(Q2216,S2216,U2216,W2216,Y2216,AA2216,AC2216,AE2216,AG2216,AI2216,AK2216,AM2216,AO2216,AQ2216,AS2216,AU2216,AW2216,AY2216)</f>
        <v>4602</v>
      </c>
      <c r="BC2216" s="28" t="n">
        <f aca="false">BA2216-BB2216</f>
        <v>0</v>
      </c>
      <c r="BD2216" s="32" t="n">
        <f aca="false">SUM(P2216,R2216,T2216,V2216,X2216,Z2216,AB2216,AD2216,AF2216,AH2216,AJ2216,AL2216,AN2216,AP2216,AR2216,AT2216,AV2216,AX2216)</f>
        <v>354</v>
      </c>
      <c r="BE2216" s="33" t="n">
        <f aca="false">AZ2216-BD2216</f>
        <v>0</v>
      </c>
      <c r="BF2216" s="34" t="n">
        <f aca="false">BD2216*M2216</f>
        <v>4602</v>
      </c>
      <c r="BG2216" s="35" t="n">
        <f aca="false">BA2216-BF2216</f>
        <v>0</v>
      </c>
      <c r="BH2216" s="19" t="str">
        <f aca="false">IF(BG2216=0,"",IF(BG2216&lt;&gt;BA2216,"erreur de calcul",IF(BD2216&lt;&gt;0,"pas de prix",IF(M2216&lt;&gt; 0,"pas de quantité","pas de prix, ni de quantité"))))</f>
        <v/>
      </c>
      <c r="BI2216" s="19"/>
    </row>
    <row r="2217" customFormat="false" ht="15" hidden="false" customHeight="false" outlineLevel="0" collapsed="false">
      <c r="A2217" s="0" t="n">
        <v>32</v>
      </c>
      <c r="B2217" s="8" t="s">
        <v>24</v>
      </c>
      <c r="C2217" s="9" t="s">
        <v>25</v>
      </c>
      <c r="D2217" s="9" t="s">
        <v>26</v>
      </c>
      <c r="E2217" s="10" t="n">
        <v>1789</v>
      </c>
      <c r="F2217" s="9" t="s">
        <v>27</v>
      </c>
      <c r="G2217" s="9" t="s">
        <v>27</v>
      </c>
      <c r="H2217" s="11" t="n">
        <v>21</v>
      </c>
      <c r="I2217" s="11" t="s">
        <v>185</v>
      </c>
      <c r="J2217" s="14" t="n">
        <v>245</v>
      </c>
      <c r="K2217" s="14"/>
      <c r="L2217" s="16"/>
      <c r="M2217" s="27" t="n">
        <f aca="false">J2217+(K2217/20)+(L2217/240)</f>
        <v>245</v>
      </c>
      <c r="N2217" s="17" t="s">
        <v>64</v>
      </c>
      <c r="O2217" s="11"/>
      <c r="P2217" s="28"/>
      <c r="Q2217" s="28" t="n">
        <f aca="false">P2217*$M2217</f>
        <v>0</v>
      </c>
      <c r="R2217" s="28"/>
      <c r="S2217" s="28" t="n">
        <f aca="false">R2217*$M2217</f>
        <v>0</v>
      </c>
      <c r="T2217" s="28"/>
      <c r="U2217" s="28" t="n">
        <f aca="false">T2217*$M2217</f>
        <v>0</v>
      </c>
      <c r="V2217" s="28" t="n">
        <f aca="false">720/100</f>
        <v>7.2</v>
      </c>
      <c r="W2217" s="28" t="n">
        <v>1764</v>
      </c>
      <c r="X2217" s="28" t="n">
        <f aca="false">40366/100</f>
        <v>403.66</v>
      </c>
      <c r="Y2217" s="28" t="n">
        <v>98897</v>
      </c>
      <c r="Z2217" s="28"/>
      <c r="AA2217" s="28" t="n">
        <f aca="false">Z2217*$M2217</f>
        <v>0</v>
      </c>
      <c r="AB2217" s="28"/>
      <c r="AC2217" s="28" t="n">
        <f aca="false">AB2217*$M2217</f>
        <v>0</v>
      </c>
      <c r="AD2217" s="28"/>
      <c r="AE2217" s="28" t="n">
        <f aca="false">AD2217*$M2217</f>
        <v>0</v>
      </c>
      <c r="AF2217" s="28"/>
      <c r="AG2217" s="28" t="n">
        <f aca="false">AF2217*$M2217</f>
        <v>0</v>
      </c>
      <c r="AH2217" s="28" t="n">
        <f aca="false">83243/100</f>
        <v>832.43</v>
      </c>
      <c r="AI2217" s="28" t="n">
        <v>203945</v>
      </c>
      <c r="AJ2217" s="28"/>
      <c r="AK2217" s="28" t="n">
        <f aca="false">AJ2217*$M2217</f>
        <v>0</v>
      </c>
      <c r="AL2217" s="28"/>
      <c r="AM2217" s="28" t="n">
        <f aca="false">AL2217*$M2217</f>
        <v>0</v>
      </c>
      <c r="AN2217" s="28"/>
      <c r="AO2217" s="28" t="n">
        <f aca="false">AN2217*$M2217</f>
        <v>0</v>
      </c>
      <c r="AP2217" s="28"/>
      <c r="AQ2217" s="28" t="n">
        <f aca="false">AP2217*$M2217</f>
        <v>0</v>
      </c>
      <c r="AR2217" s="28"/>
      <c r="AS2217" s="28" t="n">
        <f aca="false">AR2217*$M2217</f>
        <v>0</v>
      </c>
      <c r="AT2217" s="28"/>
      <c r="AU2217" s="28" t="n">
        <f aca="false">AT2217*$M2217</f>
        <v>0</v>
      </c>
      <c r="AV2217" s="28"/>
      <c r="AW2217" s="28" t="n">
        <f aca="false">AV2217*$M2217</f>
        <v>0</v>
      </c>
      <c r="AX2217" s="28"/>
      <c r="AY2217" s="28" t="n">
        <f aca="false">AX2217*$M2217</f>
        <v>0</v>
      </c>
      <c r="AZ2217" s="30" t="n">
        <f aca="false">124329/100</f>
        <v>1243.29</v>
      </c>
      <c r="BA2217" s="11" t="n">
        <v>304606</v>
      </c>
      <c r="BB2217" s="31" t="n">
        <f aca="false">SUM(Q2217,S2217,U2217,W2217,Y2217,AA2217,AC2217,AE2217,AG2217,AI2217,AK2217,AM2217,AO2217,AQ2217,AS2217,AU2217,AW2217,AY2217)</f>
        <v>304606</v>
      </c>
      <c r="BC2217" s="28" t="n">
        <f aca="false">BA2217-BB2217</f>
        <v>0</v>
      </c>
      <c r="BD2217" s="32" t="n">
        <f aca="false">SUM(P2217,R2217,T2217,V2217,X2217,Z2217,AB2217,AD2217,AF2217,AH2217,AJ2217,AL2217,AN2217,AP2217,AR2217,AT2217,AV2217,AX2217)</f>
        <v>1243.29</v>
      </c>
      <c r="BE2217" s="33" t="n">
        <f aca="false">AZ2217-BD2217</f>
        <v>0</v>
      </c>
      <c r="BF2217" s="34" t="n">
        <f aca="false">BD2217*M2217</f>
        <v>304606.05</v>
      </c>
      <c r="BG2217" s="35" t="n">
        <f aca="false">BA2217-BF2217</f>
        <v>-0.0499999999883585</v>
      </c>
      <c r="BH2217" s="19" t="str">
        <f aca="false">IF(BG2217=0,"",IF(BG2217&lt;&gt;BA2217,"erreur de calcul",IF(BD2217&lt;&gt;0,"pas de prix",IF(M2217&lt;&gt; 0,"pas de quantité","pas de prix, ni de quantité"))))</f>
        <v>erreur de calcul</v>
      </c>
      <c r="BI2217" s="19"/>
    </row>
    <row r="2218" customFormat="false" ht="15" hidden="false" customHeight="false" outlineLevel="0" collapsed="false">
      <c r="A2218" s="0" t="n">
        <v>33</v>
      </c>
      <c r="B2218" s="8" t="s">
        <v>24</v>
      </c>
      <c r="C2218" s="9" t="s">
        <v>25</v>
      </c>
      <c r="D2218" s="9" t="s">
        <v>26</v>
      </c>
      <c r="E2218" s="10" t="n">
        <v>1789</v>
      </c>
      <c r="F2218" s="9" t="s">
        <v>27</v>
      </c>
      <c r="G2218" s="9" t="s">
        <v>27</v>
      </c>
      <c r="H2218" s="11" t="n">
        <v>21</v>
      </c>
      <c r="I2218" s="11" t="s">
        <v>186</v>
      </c>
      <c r="J2218" s="14" t="n">
        <v>240</v>
      </c>
      <c r="K2218" s="14"/>
      <c r="L2218" s="16"/>
      <c r="M2218" s="27" t="n">
        <f aca="false">J2218+(K2218/20)+(L2218/240)</f>
        <v>240</v>
      </c>
      <c r="N2218" s="17" t="s">
        <v>64</v>
      </c>
      <c r="O2218" s="11"/>
      <c r="P2218" s="28"/>
      <c r="Q2218" s="28" t="n">
        <f aca="false">P2218*$M2218</f>
        <v>0</v>
      </c>
      <c r="R2218" s="28"/>
      <c r="S2218" s="28" t="n">
        <f aca="false">R2218*$M2218</f>
        <v>0</v>
      </c>
      <c r="T2218" s="28"/>
      <c r="U2218" s="28" t="n">
        <f aca="false">T2218*$M2218</f>
        <v>0</v>
      </c>
      <c r="V2218" s="28"/>
      <c r="W2218" s="28" t="n">
        <f aca="false">V2218*$M2218</f>
        <v>0</v>
      </c>
      <c r="X2218" s="28"/>
      <c r="Y2218" s="28" t="n">
        <f aca="false">X2218*$M2218</f>
        <v>0</v>
      </c>
      <c r="Z2218" s="28"/>
      <c r="AA2218" s="28" t="n">
        <f aca="false">Z2218*$M2218</f>
        <v>0</v>
      </c>
      <c r="AB2218" s="28"/>
      <c r="AC2218" s="28" t="n">
        <f aca="false">AB2218*$M2218</f>
        <v>0</v>
      </c>
      <c r="AD2218" s="28"/>
      <c r="AE2218" s="28" t="n">
        <f aca="false">AD2218*$M2218</f>
        <v>0</v>
      </c>
      <c r="AF2218" s="28"/>
      <c r="AG2218" s="28" t="n">
        <f aca="false">AF2218*$M2218</f>
        <v>0</v>
      </c>
      <c r="AH2218" s="28" t="n">
        <f aca="false">803/100</f>
        <v>8.03</v>
      </c>
      <c r="AI2218" s="28" t="n">
        <v>1927</v>
      </c>
      <c r="AJ2218" s="28"/>
      <c r="AK2218" s="28" t="n">
        <f aca="false">AJ2218*$M2218</f>
        <v>0</v>
      </c>
      <c r="AL2218" s="28"/>
      <c r="AM2218" s="28" t="n">
        <f aca="false">AL2218*$M2218</f>
        <v>0</v>
      </c>
      <c r="AN2218" s="28"/>
      <c r="AO2218" s="28" t="n">
        <f aca="false">AN2218*$M2218</f>
        <v>0</v>
      </c>
      <c r="AP2218" s="28"/>
      <c r="AQ2218" s="28" t="n">
        <f aca="false">AP2218*$M2218</f>
        <v>0</v>
      </c>
      <c r="AR2218" s="28"/>
      <c r="AS2218" s="28" t="n">
        <f aca="false">AR2218*$M2218</f>
        <v>0</v>
      </c>
      <c r="AT2218" s="28"/>
      <c r="AU2218" s="28" t="n">
        <f aca="false">AT2218*$M2218</f>
        <v>0</v>
      </c>
      <c r="AV2218" s="28"/>
      <c r="AW2218" s="28" t="n">
        <f aca="false">AV2218*$M2218</f>
        <v>0</v>
      </c>
      <c r="AX2218" s="28"/>
      <c r="AY2218" s="28" t="n">
        <f aca="false">AX2218*$M2218</f>
        <v>0</v>
      </c>
      <c r="AZ2218" s="30" t="n">
        <f aca="false">803/100</f>
        <v>8.03</v>
      </c>
      <c r="BA2218" s="11" t="n">
        <v>1927</v>
      </c>
      <c r="BB2218" s="31" t="n">
        <f aca="false">SUM(Q2218,S2218,U2218,W2218,Y2218,AA2218,AC2218,AE2218,AG2218,AI2218,AK2218,AM2218,AO2218,AQ2218,AS2218,AU2218,AW2218,AY2218)</f>
        <v>1927</v>
      </c>
      <c r="BC2218" s="28" t="n">
        <f aca="false">BA2218-BB2218</f>
        <v>0</v>
      </c>
      <c r="BD2218" s="32" t="n">
        <f aca="false">SUM(P2218,R2218,T2218,V2218,X2218,Z2218,AB2218,AD2218,AF2218,AH2218,AJ2218,AL2218,AN2218,AP2218,AR2218,AT2218,AV2218,AX2218)</f>
        <v>8.03</v>
      </c>
      <c r="BE2218" s="33" t="n">
        <f aca="false">AZ2218-BD2218</f>
        <v>0</v>
      </c>
      <c r="BF2218" s="34" t="n">
        <f aca="false">BD2218*M2218</f>
        <v>1927.2</v>
      </c>
      <c r="BG2218" s="35" t="n">
        <f aca="false">BA2218-BF2218</f>
        <v>-0.199999999999818</v>
      </c>
      <c r="BH2218" s="19" t="str">
        <f aca="false">IF(BG2218=0,"",IF(BG2218&lt;&gt;BA2218,"erreur de calcul",IF(BD2218&lt;&gt;0,"pas de prix",IF(M2218&lt;&gt; 0,"pas de quantité","pas de prix, ni de quantité"))))</f>
        <v>erreur de calcul</v>
      </c>
      <c r="BI2218" s="19"/>
    </row>
    <row r="2219" customFormat="false" ht="15" hidden="false" customHeight="false" outlineLevel="0" collapsed="false">
      <c r="A2219" s="0" t="n">
        <v>34</v>
      </c>
      <c r="B2219" s="8" t="s">
        <v>24</v>
      </c>
      <c r="C2219" s="9" t="s">
        <v>25</v>
      </c>
      <c r="D2219" s="9" t="s">
        <v>26</v>
      </c>
      <c r="E2219" s="10" t="n">
        <v>1789</v>
      </c>
      <c r="F2219" s="9" t="s">
        <v>27</v>
      </c>
      <c r="G2219" s="9" t="s">
        <v>27</v>
      </c>
      <c r="H2219" s="11" t="n">
        <v>21</v>
      </c>
      <c r="I2219" s="11" t="s">
        <v>187</v>
      </c>
      <c r="J2219" s="14" t="n">
        <v>45</v>
      </c>
      <c r="K2219" s="14"/>
      <c r="L2219" s="16"/>
      <c r="M2219" s="27" t="n">
        <f aca="false">J2219+(K2219/20)+(L2219/240)</f>
        <v>45</v>
      </c>
      <c r="N2219" s="17" t="s">
        <v>64</v>
      </c>
      <c r="O2219" s="11"/>
      <c r="P2219" s="28" t="n">
        <f aca="false">8827/100</f>
        <v>88.27</v>
      </c>
      <c r="Q2219" s="28" t="n">
        <v>3972</v>
      </c>
      <c r="R2219" s="28"/>
      <c r="S2219" s="28" t="n">
        <f aca="false">R2219*$M2219</f>
        <v>0</v>
      </c>
      <c r="T2219" s="28"/>
      <c r="U2219" s="28" t="n">
        <f aca="false">T2219*$M2219</f>
        <v>0</v>
      </c>
      <c r="V2219" s="28" t="n">
        <f aca="false">8951/100</f>
        <v>89.51</v>
      </c>
      <c r="W2219" s="28" t="n">
        <v>4028</v>
      </c>
      <c r="X2219" s="28" t="n">
        <f aca="false">49106/100</f>
        <v>491.06</v>
      </c>
      <c r="Y2219" s="28" t="n">
        <v>22098</v>
      </c>
      <c r="Z2219" s="28"/>
      <c r="AA2219" s="28" t="n">
        <f aca="false">Z2219*$M2219</f>
        <v>0</v>
      </c>
      <c r="AB2219" s="28" t="n">
        <f aca="false">313412/100</f>
        <v>3134.12</v>
      </c>
      <c r="AC2219" s="28" t="n">
        <v>141035</v>
      </c>
      <c r="AD2219" s="28"/>
      <c r="AE2219" s="28" t="n">
        <f aca="false">AD2219*$M2219</f>
        <v>0</v>
      </c>
      <c r="AF2219" s="28"/>
      <c r="AG2219" s="28" t="n">
        <f aca="false">AF2219*$M2219</f>
        <v>0</v>
      </c>
      <c r="AH2219" s="28"/>
      <c r="AI2219" s="28" t="n">
        <f aca="false">AH2219*$M2219</f>
        <v>0</v>
      </c>
      <c r="AJ2219" s="28"/>
      <c r="AK2219" s="28" t="n">
        <f aca="false">AJ2219*$M2219</f>
        <v>0</v>
      </c>
      <c r="AL2219" s="28"/>
      <c r="AM2219" s="28" t="n">
        <f aca="false">AL2219*$M2219</f>
        <v>0</v>
      </c>
      <c r="AN2219" s="28"/>
      <c r="AO2219" s="28" t="n">
        <f aca="false">AN2219*$M2219</f>
        <v>0</v>
      </c>
      <c r="AP2219" s="28"/>
      <c r="AQ2219" s="28" t="n">
        <f aca="false">AP2219*$M2219</f>
        <v>0</v>
      </c>
      <c r="AR2219" s="28"/>
      <c r="AS2219" s="28" t="n">
        <f aca="false">AR2219*$M2219</f>
        <v>0</v>
      </c>
      <c r="AT2219" s="28"/>
      <c r="AU2219" s="28" t="n">
        <f aca="false">AT2219*$M2219</f>
        <v>0</v>
      </c>
      <c r="AV2219" s="28"/>
      <c r="AW2219" s="28" t="n">
        <f aca="false">AV2219*$M2219</f>
        <v>0</v>
      </c>
      <c r="AX2219" s="28"/>
      <c r="AY2219" s="28" t="n">
        <f aca="false">AX2219*$M2219</f>
        <v>0</v>
      </c>
      <c r="AZ2219" s="30" t="n">
        <f aca="false">380296/100</f>
        <v>3802.96</v>
      </c>
      <c r="BA2219" s="11" t="n">
        <v>171133</v>
      </c>
      <c r="BB2219" s="31" t="n">
        <f aca="false">SUM(Q2219,S2219,U2219,W2219,Y2219,AA2219,AC2219,AE2219,AG2219,AI2219,AK2219,AM2219,AO2219,AQ2219,AS2219,AU2219,AW2219,AY2219)</f>
        <v>171133</v>
      </c>
      <c r="BC2219" s="28" t="n">
        <f aca="false">BA2219-BB2219</f>
        <v>0</v>
      </c>
      <c r="BD2219" s="32" t="n">
        <f aca="false">SUM(P2219,R2219,T2219,V2219,X2219,Z2219,AB2219,AD2219,AF2219,AH2219,AJ2219,AL2219,AN2219,AP2219,AR2219,AT2219,AV2219,AX2219)</f>
        <v>3802.96</v>
      </c>
      <c r="BE2219" s="33" t="n">
        <f aca="false">AZ2219-BD2219</f>
        <v>0</v>
      </c>
      <c r="BF2219" s="34" t="n">
        <f aca="false">BD2219*M2219</f>
        <v>171133.2</v>
      </c>
      <c r="BG2219" s="35" t="n">
        <f aca="false">BA2219-BF2219</f>
        <v>-0.200000000011642</v>
      </c>
      <c r="BH2219" s="19" t="str">
        <f aca="false">IF(BG2219=0,"",IF(BG2219&lt;&gt;BA2219,"erreur de calcul",IF(BD2219&lt;&gt;0,"pas de prix",IF(M2219&lt;&gt; 0,"pas de quantité","pas de prix, ni de quantité"))))</f>
        <v>erreur de calcul</v>
      </c>
      <c r="BI2219" s="19"/>
    </row>
    <row r="2220" customFormat="false" ht="15" hidden="false" customHeight="false" outlineLevel="0" collapsed="false">
      <c r="A2220" s="0" t="n">
        <v>35</v>
      </c>
      <c r="B2220" s="8" t="s">
        <v>24</v>
      </c>
      <c r="C2220" s="9" t="s">
        <v>25</v>
      </c>
      <c r="D2220" s="9" t="s">
        <v>26</v>
      </c>
      <c r="E2220" s="10" t="n">
        <v>1789</v>
      </c>
      <c r="F2220" s="9" t="s">
        <v>27</v>
      </c>
      <c r="G2220" s="9" t="s">
        <v>27</v>
      </c>
      <c r="H2220" s="11" t="n">
        <v>21</v>
      </c>
      <c r="I2220" s="11" t="s">
        <v>188</v>
      </c>
      <c r="J2220" s="14" t="n">
        <v>60</v>
      </c>
      <c r="K2220" s="14"/>
      <c r="L2220" s="16"/>
      <c r="M2220" s="27" t="n">
        <f aca="false">J2220+(K2220/20)+(L2220/240)</f>
        <v>60</v>
      </c>
      <c r="N2220" s="17" t="s">
        <v>64</v>
      </c>
      <c r="O2220" s="11"/>
      <c r="P2220" s="28"/>
      <c r="Q2220" s="28" t="n">
        <f aca="false">P2220*$M2220</f>
        <v>0</v>
      </c>
      <c r="R2220" s="28"/>
      <c r="S2220" s="28" t="n">
        <f aca="false">R2220*$M2220</f>
        <v>0</v>
      </c>
      <c r="T2220" s="28"/>
      <c r="U2220" s="28" t="n">
        <f aca="false">T2220*$M2220</f>
        <v>0</v>
      </c>
      <c r="V2220" s="28"/>
      <c r="W2220" s="28" t="n">
        <f aca="false">V2220*$M2220</f>
        <v>0</v>
      </c>
      <c r="X2220" s="28"/>
      <c r="Y2220" s="28" t="n">
        <f aca="false">X2220*$M2220</f>
        <v>0</v>
      </c>
      <c r="Z2220" s="28"/>
      <c r="AA2220" s="28" t="n">
        <f aca="false">Z2220*$M2220</f>
        <v>0</v>
      </c>
      <c r="AB2220" s="28"/>
      <c r="AC2220" s="28" t="n">
        <f aca="false">AB2220*$M2220</f>
        <v>0</v>
      </c>
      <c r="AD2220" s="28"/>
      <c r="AE2220" s="28" t="n">
        <f aca="false">AD2220*$M2220</f>
        <v>0</v>
      </c>
      <c r="AF2220" s="28"/>
      <c r="AG2220" s="28" t="n">
        <f aca="false">AF2220*$M2220</f>
        <v>0</v>
      </c>
      <c r="AH2220" s="28" t="n">
        <f aca="false">6391/100</f>
        <v>63.91</v>
      </c>
      <c r="AI2220" s="28" t="n">
        <v>3835</v>
      </c>
      <c r="AJ2220" s="28"/>
      <c r="AK2220" s="28" t="n">
        <f aca="false">AJ2220*$M2220</f>
        <v>0</v>
      </c>
      <c r="AL2220" s="28"/>
      <c r="AM2220" s="28" t="n">
        <f aca="false">AL2220*$M2220</f>
        <v>0</v>
      </c>
      <c r="AN2220" s="28"/>
      <c r="AO2220" s="28" t="n">
        <f aca="false">AN2220*$M2220</f>
        <v>0</v>
      </c>
      <c r="AP2220" s="28"/>
      <c r="AQ2220" s="28" t="n">
        <f aca="false">AP2220*$M2220</f>
        <v>0</v>
      </c>
      <c r="AR2220" s="28"/>
      <c r="AS2220" s="28" t="n">
        <f aca="false">AR2220*$M2220</f>
        <v>0</v>
      </c>
      <c r="AT2220" s="28"/>
      <c r="AU2220" s="28" t="n">
        <f aca="false">AT2220*$M2220</f>
        <v>0</v>
      </c>
      <c r="AV2220" s="28"/>
      <c r="AW2220" s="28" t="n">
        <f aca="false">AV2220*$M2220</f>
        <v>0</v>
      </c>
      <c r="AX2220" s="28"/>
      <c r="AY2220" s="28" t="n">
        <f aca="false">AX2220*$M2220</f>
        <v>0</v>
      </c>
      <c r="AZ2220" s="30" t="n">
        <f aca="false">6391/100</f>
        <v>63.91</v>
      </c>
      <c r="BA2220" s="11" t="n">
        <v>3835</v>
      </c>
      <c r="BB2220" s="31" t="n">
        <f aca="false">SUM(Q2220,S2220,U2220,W2220,Y2220,AA2220,AC2220,AE2220,AG2220,AI2220,AK2220,AM2220,AO2220,AQ2220,AS2220,AU2220,AW2220,AY2220)</f>
        <v>3835</v>
      </c>
      <c r="BC2220" s="28" t="n">
        <f aca="false">BA2220-BB2220</f>
        <v>0</v>
      </c>
      <c r="BD2220" s="32" t="n">
        <f aca="false">SUM(P2220,R2220,T2220,V2220,X2220,Z2220,AB2220,AD2220,AF2220,AH2220,AJ2220,AL2220,AN2220,AP2220,AR2220,AT2220,AV2220,AX2220)</f>
        <v>63.91</v>
      </c>
      <c r="BE2220" s="33" t="n">
        <f aca="false">AZ2220-BD2220</f>
        <v>0</v>
      </c>
      <c r="BF2220" s="34" t="n">
        <f aca="false">BD2220*M2220</f>
        <v>3834.6</v>
      </c>
      <c r="BG2220" s="35" t="n">
        <f aca="false">BA2220-BF2220</f>
        <v>0.400000000000091</v>
      </c>
      <c r="BH2220" s="19" t="str">
        <f aca="false">IF(BG2220=0,"",IF(BG2220&lt;&gt;BA2220,"erreur de calcul",IF(BD2220&lt;&gt;0,"pas de prix",IF(M2220&lt;&gt; 0,"pas de quantité","pas de prix, ni de quantité"))))</f>
        <v>erreur de calcul</v>
      </c>
      <c r="BI2220" s="19"/>
    </row>
    <row r="2221" customFormat="false" ht="15" hidden="false" customHeight="false" outlineLevel="0" collapsed="false">
      <c r="A2221" s="0" t="n">
        <v>36</v>
      </c>
      <c r="B2221" s="8" t="s">
        <v>24</v>
      </c>
      <c r="C2221" s="9" t="s">
        <v>25</v>
      </c>
      <c r="D2221" s="9" t="s">
        <v>26</v>
      </c>
      <c r="E2221" s="10" t="n">
        <v>1789</v>
      </c>
      <c r="F2221" s="9" t="s">
        <v>27</v>
      </c>
      <c r="G2221" s="9" t="s">
        <v>27</v>
      </c>
      <c r="H2221" s="11" t="n">
        <v>21</v>
      </c>
      <c r="I2221" s="11" t="s">
        <v>189</v>
      </c>
      <c r="J2221" s="14" t="n">
        <v>30</v>
      </c>
      <c r="K2221" s="14"/>
      <c r="L2221" s="16"/>
      <c r="M2221" s="27" t="n">
        <f aca="false">J2221+(K2221/20)+(L2221/240)</f>
        <v>30</v>
      </c>
      <c r="N2221" s="17" t="s">
        <v>66</v>
      </c>
      <c r="O2221" s="11"/>
      <c r="P2221" s="28"/>
      <c r="Q2221" s="28" t="n">
        <f aca="false">P2221*$M2221</f>
        <v>0</v>
      </c>
      <c r="R2221" s="28"/>
      <c r="S2221" s="28" t="n">
        <f aca="false">R2221*$M2221</f>
        <v>0</v>
      </c>
      <c r="T2221" s="28"/>
      <c r="U2221" s="28" t="n">
        <f aca="false">T2221*$M2221</f>
        <v>0</v>
      </c>
      <c r="V2221" s="28" t="n">
        <v>146</v>
      </c>
      <c r="W2221" s="28" t="n">
        <v>4380</v>
      </c>
      <c r="X2221" s="28"/>
      <c r="Y2221" s="28" t="n">
        <f aca="false">X2221*$M2221</f>
        <v>0</v>
      </c>
      <c r="Z2221" s="28"/>
      <c r="AA2221" s="28" t="n">
        <f aca="false">Z2221*$M2221</f>
        <v>0</v>
      </c>
      <c r="AB2221" s="28"/>
      <c r="AC2221" s="28" t="n">
        <f aca="false">AB2221*$M2221</f>
        <v>0</v>
      </c>
      <c r="AD2221" s="28"/>
      <c r="AE2221" s="28" t="n">
        <f aca="false">AD2221*$M2221</f>
        <v>0</v>
      </c>
      <c r="AF2221" s="28"/>
      <c r="AG2221" s="28" t="n">
        <f aca="false">AF2221*$M2221</f>
        <v>0</v>
      </c>
      <c r="AH2221" s="28"/>
      <c r="AI2221" s="28" t="n">
        <f aca="false">AH2221*$M2221</f>
        <v>0</v>
      </c>
      <c r="AJ2221" s="28"/>
      <c r="AK2221" s="28" t="n">
        <f aca="false">AJ2221*$M2221</f>
        <v>0</v>
      </c>
      <c r="AL2221" s="28"/>
      <c r="AM2221" s="28" t="n">
        <f aca="false">AL2221*$M2221</f>
        <v>0</v>
      </c>
      <c r="AN2221" s="28"/>
      <c r="AO2221" s="28" t="n">
        <f aca="false">AN2221*$M2221</f>
        <v>0</v>
      </c>
      <c r="AP2221" s="28"/>
      <c r="AQ2221" s="28" t="n">
        <f aca="false">AP2221*$M2221</f>
        <v>0</v>
      </c>
      <c r="AR2221" s="28"/>
      <c r="AS2221" s="28" t="n">
        <f aca="false">AR2221*$M2221</f>
        <v>0</v>
      </c>
      <c r="AT2221" s="28"/>
      <c r="AU2221" s="28" t="n">
        <f aca="false">AT2221*$M2221</f>
        <v>0</v>
      </c>
      <c r="AV2221" s="28"/>
      <c r="AW2221" s="28" t="n">
        <f aca="false">AV2221*$M2221</f>
        <v>0</v>
      </c>
      <c r="AX2221" s="28"/>
      <c r="AY2221" s="28" t="n">
        <f aca="false">AX2221*$M2221</f>
        <v>0</v>
      </c>
      <c r="AZ2221" s="30" t="n">
        <v>146</v>
      </c>
      <c r="BA2221" s="11" t="n">
        <v>4380</v>
      </c>
      <c r="BB2221" s="31" t="n">
        <f aca="false">SUM(Q2221,S2221,U2221,W2221,Y2221,AA2221,AC2221,AE2221,AG2221,AI2221,AK2221,AM2221,AO2221,AQ2221,AS2221,AU2221,AW2221,AY2221)</f>
        <v>4380</v>
      </c>
      <c r="BC2221" s="28" t="n">
        <f aca="false">BA2221-BB2221</f>
        <v>0</v>
      </c>
      <c r="BD2221" s="32" t="n">
        <f aca="false">SUM(P2221,R2221,T2221,V2221,X2221,Z2221,AB2221,AD2221,AF2221,AH2221,AJ2221,AL2221,AN2221,AP2221,AR2221,AT2221,AV2221,AX2221)</f>
        <v>146</v>
      </c>
      <c r="BE2221" s="33" t="n">
        <f aca="false">AZ2221-BD2221</f>
        <v>0</v>
      </c>
      <c r="BF2221" s="34" t="n">
        <f aca="false">BD2221*M2221</f>
        <v>4380</v>
      </c>
      <c r="BG2221" s="35" t="n">
        <f aca="false">BA2221-BF2221</f>
        <v>0</v>
      </c>
      <c r="BH2221" s="19" t="str">
        <f aca="false">IF(BG2221=0,"",IF(BG2221&lt;&gt;BA2221,"erreur de calcul",IF(BD2221&lt;&gt;0,"pas de prix",IF(M2221&lt;&gt; 0,"pas de quantité","pas de prix, ni de quantité"))))</f>
        <v/>
      </c>
      <c r="BI2221" s="19"/>
    </row>
    <row r="2222" customFormat="false" ht="15" hidden="false" customHeight="false" outlineLevel="0" collapsed="false">
      <c r="A2222" s="0" t="n">
        <v>37</v>
      </c>
      <c r="B2222" s="8" t="s">
        <v>24</v>
      </c>
      <c r="C2222" s="9" t="s">
        <v>25</v>
      </c>
      <c r="D2222" s="9" t="s">
        <v>26</v>
      </c>
      <c r="E2222" s="10" t="n">
        <v>1789</v>
      </c>
      <c r="F2222" s="9" t="s">
        <v>27</v>
      </c>
      <c r="G2222" s="9" t="s">
        <v>27</v>
      </c>
      <c r="H2222" s="11" t="n">
        <v>21</v>
      </c>
      <c r="I2222" s="11" t="s">
        <v>190</v>
      </c>
      <c r="J2222" s="14" t="n">
        <v>3</v>
      </c>
      <c r="K2222" s="14"/>
      <c r="L2222" s="16"/>
      <c r="M2222" s="27" t="n">
        <f aca="false">J2222+(K2222/20)+(L2222/240)</f>
        <v>3</v>
      </c>
      <c r="N2222" s="17" t="s">
        <v>66</v>
      </c>
      <c r="O2222" s="11"/>
      <c r="P2222" s="28"/>
      <c r="Q2222" s="28" t="n">
        <f aca="false">P2222*$M2222</f>
        <v>0</v>
      </c>
      <c r="R2222" s="28"/>
      <c r="S2222" s="28" t="n">
        <f aca="false">R2222*$M2222</f>
        <v>0</v>
      </c>
      <c r="T2222" s="28"/>
      <c r="U2222" s="28" t="n">
        <f aca="false">T2222*$M2222</f>
        <v>0</v>
      </c>
      <c r="V2222" s="28" t="n">
        <v>284</v>
      </c>
      <c r="W2222" s="28" t="n">
        <v>852</v>
      </c>
      <c r="X2222" s="28" t="n">
        <v>8028</v>
      </c>
      <c r="Y2222" s="28" t="n">
        <v>24084</v>
      </c>
      <c r="Z2222" s="28"/>
      <c r="AA2222" s="28" t="n">
        <f aca="false">Z2222*$M2222</f>
        <v>0</v>
      </c>
      <c r="AB2222" s="28"/>
      <c r="AC2222" s="28" t="n">
        <f aca="false">AB2222*$M2222</f>
        <v>0</v>
      </c>
      <c r="AD2222" s="28"/>
      <c r="AE2222" s="28" t="n">
        <f aca="false">AD2222*$M2222</f>
        <v>0</v>
      </c>
      <c r="AF2222" s="28"/>
      <c r="AG2222" s="28" t="n">
        <f aca="false">AF2222*$M2222</f>
        <v>0</v>
      </c>
      <c r="AH2222" s="28"/>
      <c r="AI2222" s="28" t="n">
        <f aca="false">AH2222*$M2222</f>
        <v>0</v>
      </c>
      <c r="AJ2222" s="28"/>
      <c r="AK2222" s="28" t="n">
        <f aca="false">AJ2222*$M2222</f>
        <v>0</v>
      </c>
      <c r="AL2222" s="28" t="n">
        <v>2127</v>
      </c>
      <c r="AM2222" s="28" t="n">
        <v>6381</v>
      </c>
      <c r="AN2222" s="28"/>
      <c r="AO2222" s="28" t="n">
        <f aca="false">AN2222*$M2222</f>
        <v>0</v>
      </c>
      <c r="AP2222" s="28"/>
      <c r="AQ2222" s="28" t="n">
        <f aca="false">AP2222*$M2222</f>
        <v>0</v>
      </c>
      <c r="AR2222" s="28"/>
      <c r="AS2222" s="28" t="n">
        <f aca="false">AR2222*$M2222</f>
        <v>0</v>
      </c>
      <c r="AT2222" s="28"/>
      <c r="AU2222" s="28" t="n">
        <f aca="false">AT2222*$M2222</f>
        <v>0</v>
      </c>
      <c r="AV2222" s="28"/>
      <c r="AW2222" s="28" t="n">
        <f aca="false">AV2222*$M2222</f>
        <v>0</v>
      </c>
      <c r="AX2222" s="28"/>
      <c r="AY2222" s="28" t="n">
        <f aca="false">AX2222*$M2222</f>
        <v>0</v>
      </c>
      <c r="AZ2222" s="30" t="n">
        <v>10439</v>
      </c>
      <c r="BA2222" s="11" t="n">
        <v>31317</v>
      </c>
      <c r="BB2222" s="31" t="n">
        <f aca="false">SUM(Q2222,S2222,U2222,W2222,Y2222,AA2222,AC2222,AE2222,AG2222,AI2222,AK2222,AM2222,AO2222,AQ2222,AS2222,AU2222,AW2222,AY2222)</f>
        <v>31317</v>
      </c>
      <c r="BC2222" s="28" t="n">
        <f aca="false">BA2222-BB2222</f>
        <v>0</v>
      </c>
      <c r="BD2222" s="32" t="n">
        <f aca="false">SUM(P2222,R2222,T2222,V2222,X2222,Z2222,AB2222,AD2222,AF2222,AH2222,AJ2222,AL2222,AN2222,AP2222,AR2222,AT2222,AV2222,AX2222)</f>
        <v>10439</v>
      </c>
      <c r="BE2222" s="33" t="n">
        <f aca="false">AZ2222-BD2222</f>
        <v>0</v>
      </c>
      <c r="BF2222" s="34" t="n">
        <f aca="false">BD2222*M2222</f>
        <v>31317</v>
      </c>
      <c r="BG2222" s="35" t="n">
        <f aca="false">BA2222-BF2222</f>
        <v>0</v>
      </c>
      <c r="BH2222" s="19" t="str">
        <f aca="false">IF(BG2222=0,"",IF(BG2222&lt;&gt;BA2222,"erreur de calcul",IF(BD2222&lt;&gt;0,"pas de prix",IF(M2222&lt;&gt; 0,"pas de quantité","pas de prix, ni de quantité"))))</f>
        <v/>
      </c>
      <c r="BI2222" s="19"/>
    </row>
    <row r="2223" customFormat="false" ht="15" hidden="false" customHeight="false" outlineLevel="0" collapsed="false">
      <c r="A2223" s="0" t="n">
        <v>38</v>
      </c>
      <c r="B2223" s="8" t="s">
        <v>24</v>
      </c>
      <c r="C2223" s="9" t="s">
        <v>25</v>
      </c>
      <c r="D2223" s="9" t="s">
        <v>26</v>
      </c>
      <c r="E2223" s="10" t="n">
        <v>1789</v>
      </c>
      <c r="F2223" s="9" t="s">
        <v>27</v>
      </c>
      <c r="G2223" s="9" t="s">
        <v>27</v>
      </c>
      <c r="H2223" s="11" t="n">
        <v>21</v>
      </c>
      <c r="I2223" s="11" t="s">
        <v>191</v>
      </c>
      <c r="J2223" s="14" t="n">
        <v>25</v>
      </c>
      <c r="K2223" s="14"/>
      <c r="L2223" s="16"/>
      <c r="M2223" s="27" t="n">
        <f aca="false">J2223+(K2223/20)+(L2223/240)</f>
        <v>25</v>
      </c>
      <c r="N2223" s="17" t="s">
        <v>64</v>
      </c>
      <c r="O2223" s="11"/>
      <c r="P2223" s="28"/>
      <c r="Q2223" s="28" t="n">
        <f aca="false">P2223*$M2223</f>
        <v>0</v>
      </c>
      <c r="R2223" s="28"/>
      <c r="S2223" s="28" t="n">
        <f aca="false">R2223*$M2223</f>
        <v>0</v>
      </c>
      <c r="T2223" s="28"/>
      <c r="U2223" s="28" t="n">
        <f aca="false">T2223*$M2223</f>
        <v>0</v>
      </c>
      <c r="V2223" s="28"/>
      <c r="W2223" s="28" t="n">
        <f aca="false">V2223*$M2223</f>
        <v>0</v>
      </c>
      <c r="X2223" s="28" t="n">
        <f aca="false">5034/100</f>
        <v>50.34</v>
      </c>
      <c r="Y2223" s="28" t="n">
        <v>1258</v>
      </c>
      <c r="Z2223" s="28"/>
      <c r="AA2223" s="28" t="n">
        <f aca="false">Z2223*$M2223</f>
        <v>0</v>
      </c>
      <c r="AB2223" s="28"/>
      <c r="AC2223" s="28" t="n">
        <f aca="false">AB2223*$M2223</f>
        <v>0</v>
      </c>
      <c r="AD2223" s="28"/>
      <c r="AE2223" s="28" t="n">
        <f aca="false">AD2223*$M2223</f>
        <v>0</v>
      </c>
      <c r="AF2223" s="28"/>
      <c r="AG2223" s="28" t="n">
        <f aca="false">AF2223*$M2223</f>
        <v>0</v>
      </c>
      <c r="AH2223" s="28"/>
      <c r="AI2223" s="28" t="n">
        <f aca="false">AH2223*$M2223</f>
        <v>0</v>
      </c>
      <c r="AJ2223" s="28" t="n">
        <f aca="false">1375/100</f>
        <v>13.75</v>
      </c>
      <c r="AK2223" s="28" t="n">
        <v>344</v>
      </c>
      <c r="AL2223" s="28" t="n">
        <f aca="false">6710/100</f>
        <v>67.1</v>
      </c>
      <c r="AM2223" s="28" t="n">
        <v>1677</v>
      </c>
      <c r="AN2223" s="28"/>
      <c r="AO2223" s="28" t="n">
        <f aca="false">AN2223*$M2223</f>
        <v>0</v>
      </c>
      <c r="AP2223" s="28"/>
      <c r="AQ2223" s="28" t="n">
        <f aca="false">AP2223*$M2223</f>
        <v>0</v>
      </c>
      <c r="AR2223" s="28"/>
      <c r="AS2223" s="28" t="n">
        <f aca="false">AR2223*$M2223</f>
        <v>0</v>
      </c>
      <c r="AT2223" s="28"/>
      <c r="AU2223" s="28" t="n">
        <f aca="false">AT2223*$M2223</f>
        <v>0</v>
      </c>
      <c r="AV2223" s="28"/>
      <c r="AW2223" s="28" t="n">
        <f aca="false">AV2223*$M2223</f>
        <v>0</v>
      </c>
      <c r="AX2223" s="28"/>
      <c r="AY2223" s="28" t="n">
        <f aca="false">AX2223*$M2223</f>
        <v>0</v>
      </c>
      <c r="AZ2223" s="30" t="n">
        <f aca="false">13119/100</f>
        <v>131.19</v>
      </c>
      <c r="BA2223" s="11" t="n">
        <v>3279</v>
      </c>
      <c r="BB2223" s="31" t="n">
        <f aca="false">SUM(Q2223,S2223,U2223,W2223,Y2223,AA2223,AC2223,AE2223,AG2223,AI2223,AK2223,AM2223,AO2223,AQ2223,AS2223,AU2223,AW2223,AY2223)</f>
        <v>3279</v>
      </c>
      <c r="BC2223" s="28" t="n">
        <f aca="false">BA2223-BB2223</f>
        <v>0</v>
      </c>
      <c r="BD2223" s="32" t="n">
        <f aca="false">SUM(P2223,R2223,T2223,V2223,X2223,Z2223,AB2223,AD2223,AF2223,AH2223,AJ2223,AL2223,AN2223,AP2223,AR2223,AT2223,AV2223,AX2223)</f>
        <v>131.19</v>
      </c>
      <c r="BE2223" s="33" t="n">
        <f aca="false">AZ2223-BD2223</f>
        <v>0</v>
      </c>
      <c r="BF2223" s="34" t="n">
        <f aca="false">BD2223*M2223</f>
        <v>3279.75</v>
      </c>
      <c r="BG2223" s="35" t="n">
        <f aca="false">BA2223-BF2223</f>
        <v>-0.75</v>
      </c>
      <c r="BH2223" s="19" t="str">
        <f aca="false">IF(BG2223=0,"",IF(BG2223&lt;&gt;BA2223,"erreur de calcul",IF(BD2223&lt;&gt;0,"pas de prix",IF(M2223&lt;&gt; 0,"pas de quantité","pas de prix, ni de quantité"))))</f>
        <v>erreur de calcul</v>
      </c>
      <c r="BI2223" s="19"/>
    </row>
    <row r="2224" customFormat="false" ht="15" hidden="false" customHeight="false" outlineLevel="0" collapsed="false">
      <c r="A2224" s="0" t="n">
        <v>39</v>
      </c>
      <c r="B2224" s="8" t="s">
        <v>24</v>
      </c>
      <c r="C2224" s="9" t="s">
        <v>25</v>
      </c>
      <c r="D2224" s="9" t="s">
        <v>26</v>
      </c>
      <c r="E2224" s="10" t="n">
        <v>1789</v>
      </c>
      <c r="F2224" s="9" t="s">
        <v>27</v>
      </c>
      <c r="G2224" s="9" t="s">
        <v>27</v>
      </c>
      <c r="H2224" s="11" t="n">
        <v>21</v>
      </c>
      <c r="I2224" s="11" t="s">
        <v>192</v>
      </c>
      <c r="J2224" s="14" t="n">
        <v>25</v>
      </c>
      <c r="K2224" s="14"/>
      <c r="L2224" s="16"/>
      <c r="M2224" s="27" t="n">
        <f aca="false">J2224+(K2224/20)+(L2224/240)</f>
        <v>25</v>
      </c>
      <c r="N2224" s="17" t="s">
        <v>64</v>
      </c>
      <c r="O2224" s="11"/>
      <c r="P2224" s="28"/>
      <c r="Q2224" s="28" t="n">
        <f aca="false">P2224*$M2224</f>
        <v>0</v>
      </c>
      <c r="R2224" s="28"/>
      <c r="S2224" s="28" t="n">
        <f aca="false">R2224*$M2224</f>
        <v>0</v>
      </c>
      <c r="T2224" s="28"/>
      <c r="U2224" s="28" t="n">
        <f aca="false">T2224*$M2224</f>
        <v>0</v>
      </c>
      <c r="V2224" s="28"/>
      <c r="W2224" s="28" t="n">
        <f aca="false">V2224*$M2224</f>
        <v>0</v>
      </c>
      <c r="X2224" s="28" t="n">
        <f aca="false">5561/100</f>
        <v>55.61</v>
      </c>
      <c r="Y2224" s="28" t="n">
        <v>1390</v>
      </c>
      <c r="Z2224" s="28"/>
      <c r="AA2224" s="28" t="n">
        <f aca="false">Z2224*$M2224</f>
        <v>0</v>
      </c>
      <c r="AB2224" s="28"/>
      <c r="AC2224" s="28" t="n">
        <f aca="false">AB2224*$M2224</f>
        <v>0</v>
      </c>
      <c r="AD2224" s="28"/>
      <c r="AE2224" s="28" t="n">
        <f aca="false">AD2224*$M2224</f>
        <v>0</v>
      </c>
      <c r="AF2224" s="28"/>
      <c r="AG2224" s="28" t="n">
        <f aca="false">AF2224*$M2224</f>
        <v>0</v>
      </c>
      <c r="AH2224" s="28"/>
      <c r="AI2224" s="28" t="n">
        <f aca="false">AH2224*$M2224</f>
        <v>0</v>
      </c>
      <c r="AJ2224" s="28"/>
      <c r="AK2224" s="28" t="n">
        <f aca="false">AJ2224*$M2224</f>
        <v>0</v>
      </c>
      <c r="AL2224" s="28"/>
      <c r="AM2224" s="28" t="n">
        <f aca="false">AL2224*$M2224</f>
        <v>0</v>
      </c>
      <c r="AN2224" s="28"/>
      <c r="AO2224" s="28" t="n">
        <f aca="false">AN2224*$M2224</f>
        <v>0</v>
      </c>
      <c r="AP2224" s="28"/>
      <c r="AQ2224" s="28" t="n">
        <f aca="false">AP2224*$M2224</f>
        <v>0</v>
      </c>
      <c r="AR2224" s="28"/>
      <c r="AS2224" s="28" t="n">
        <f aca="false">AR2224*$M2224</f>
        <v>0</v>
      </c>
      <c r="AT2224" s="28"/>
      <c r="AU2224" s="28" t="n">
        <f aca="false">AT2224*$M2224</f>
        <v>0</v>
      </c>
      <c r="AV2224" s="28"/>
      <c r="AW2224" s="28" t="n">
        <f aca="false">AV2224*$M2224</f>
        <v>0</v>
      </c>
      <c r="AX2224" s="28"/>
      <c r="AY2224" s="28" t="n">
        <f aca="false">AX2224*$M2224</f>
        <v>0</v>
      </c>
      <c r="AZ2224" s="30" t="n">
        <f aca="false">5561/100</f>
        <v>55.61</v>
      </c>
      <c r="BA2224" s="11" t="n">
        <v>1390</v>
      </c>
      <c r="BB2224" s="31" t="n">
        <f aca="false">SUM(Q2224,S2224,U2224,W2224,Y2224,AA2224,AC2224,AE2224,AG2224,AI2224,AK2224,AM2224,AO2224,AQ2224,AS2224,AU2224,AW2224,AY2224)</f>
        <v>1390</v>
      </c>
      <c r="BC2224" s="28" t="n">
        <f aca="false">BA2224-BB2224</f>
        <v>0</v>
      </c>
      <c r="BD2224" s="32" t="n">
        <f aca="false">SUM(P2224,R2224,T2224,V2224,X2224,Z2224,AB2224,AD2224,AF2224,AH2224,AJ2224,AL2224,AN2224,AP2224,AR2224,AT2224,AV2224,AX2224)</f>
        <v>55.61</v>
      </c>
      <c r="BE2224" s="33" t="n">
        <f aca="false">AZ2224-BD2224</f>
        <v>0</v>
      </c>
      <c r="BF2224" s="34" t="n">
        <f aca="false">BD2224*M2224</f>
        <v>1390.25</v>
      </c>
      <c r="BG2224" s="35" t="n">
        <f aca="false">BA2224-BF2224</f>
        <v>-0.25</v>
      </c>
      <c r="BH2224" s="19" t="str">
        <f aca="false">IF(BG2224=0,"",IF(BG2224&lt;&gt;BA2224,"erreur de calcul",IF(BD2224&lt;&gt;0,"pas de prix",IF(M2224&lt;&gt; 0,"pas de quantité","pas de prix, ni de quantité"))))</f>
        <v>erreur de calcul</v>
      </c>
      <c r="BI2224" s="19"/>
    </row>
    <row r="2225" customFormat="false" ht="15" hidden="false" customHeight="false" outlineLevel="0" collapsed="false">
      <c r="A2225" s="0" t="n">
        <v>40</v>
      </c>
      <c r="B2225" s="8" t="s">
        <v>24</v>
      </c>
      <c r="C2225" s="9" t="s">
        <v>25</v>
      </c>
      <c r="D2225" s="9" t="s">
        <v>26</v>
      </c>
      <c r="E2225" s="10" t="n">
        <v>1789</v>
      </c>
      <c r="F2225" s="9" t="s">
        <v>27</v>
      </c>
      <c r="G2225" s="9" t="s">
        <v>27</v>
      </c>
      <c r="H2225" s="11" t="n">
        <v>21</v>
      </c>
      <c r="I2225" s="11" t="s">
        <v>193</v>
      </c>
      <c r="J2225" s="14" t="n">
        <v>168</v>
      </c>
      <c r="K2225" s="14"/>
      <c r="L2225" s="16"/>
      <c r="M2225" s="27" t="n">
        <f aca="false">J2225+(K2225/20)+(L2225/240)</f>
        <v>168</v>
      </c>
      <c r="N2225" s="17" t="s">
        <v>64</v>
      </c>
      <c r="O2225" s="11"/>
      <c r="P2225" s="28"/>
      <c r="Q2225" s="28" t="n">
        <f aca="false">P2225*$M2225</f>
        <v>0</v>
      </c>
      <c r="R2225" s="28"/>
      <c r="S2225" s="28" t="n">
        <f aca="false">R2225*$M2225</f>
        <v>0</v>
      </c>
      <c r="T2225" s="28"/>
      <c r="U2225" s="28" t="n">
        <f aca="false">T2225*$M2225</f>
        <v>0</v>
      </c>
      <c r="V2225" s="28"/>
      <c r="W2225" s="28" t="n">
        <f aca="false">V2225*$M2225</f>
        <v>0</v>
      </c>
      <c r="X2225" s="28"/>
      <c r="Y2225" s="28" t="n">
        <f aca="false">X2225*$M2225</f>
        <v>0</v>
      </c>
      <c r="Z2225" s="28"/>
      <c r="AA2225" s="28" t="n">
        <f aca="false">Z2225*$M2225</f>
        <v>0</v>
      </c>
      <c r="AB2225" s="28"/>
      <c r="AC2225" s="28" t="n">
        <f aca="false">AB2225*$M2225</f>
        <v>0</v>
      </c>
      <c r="AD2225" s="28"/>
      <c r="AE2225" s="28" t="n">
        <f aca="false">AD2225*$M2225</f>
        <v>0</v>
      </c>
      <c r="AF2225" s="28"/>
      <c r="AG2225" s="28" t="n">
        <f aca="false">AF2225*$M2225</f>
        <v>0</v>
      </c>
      <c r="AH2225" s="28" t="n">
        <f aca="false">14590/100</f>
        <v>145.9</v>
      </c>
      <c r="AI2225" s="28" t="n">
        <v>24511</v>
      </c>
      <c r="AJ2225" s="28"/>
      <c r="AK2225" s="28" t="n">
        <f aca="false">AJ2225*$M2225</f>
        <v>0</v>
      </c>
      <c r="AL2225" s="28"/>
      <c r="AM2225" s="28" t="n">
        <f aca="false">AL2225*$M2225</f>
        <v>0</v>
      </c>
      <c r="AN2225" s="28"/>
      <c r="AO2225" s="28" t="n">
        <f aca="false">AN2225*$M2225</f>
        <v>0</v>
      </c>
      <c r="AP2225" s="28"/>
      <c r="AQ2225" s="28" t="n">
        <f aca="false">AP2225*$M2225</f>
        <v>0</v>
      </c>
      <c r="AR2225" s="28"/>
      <c r="AS2225" s="28" t="n">
        <f aca="false">AR2225*$M2225</f>
        <v>0</v>
      </c>
      <c r="AT2225" s="28"/>
      <c r="AU2225" s="28" t="n">
        <f aca="false">AT2225*$M2225</f>
        <v>0</v>
      </c>
      <c r="AV2225" s="28"/>
      <c r="AW2225" s="28" t="n">
        <f aca="false">AV2225*$M2225</f>
        <v>0</v>
      </c>
      <c r="AX2225" s="28"/>
      <c r="AY2225" s="28" t="n">
        <f aca="false">AX2225*$M2225</f>
        <v>0</v>
      </c>
      <c r="AZ2225" s="30" t="n">
        <f aca="false">14590/100</f>
        <v>145.9</v>
      </c>
      <c r="BA2225" s="11" t="n">
        <v>24511</v>
      </c>
      <c r="BB2225" s="31" t="n">
        <f aca="false">SUM(Q2225,S2225,U2225,W2225,Y2225,AA2225,AC2225,AE2225,AG2225,AI2225,AK2225,AM2225,AO2225,AQ2225,AS2225,AU2225,AW2225,AY2225)</f>
        <v>24511</v>
      </c>
      <c r="BC2225" s="28" t="n">
        <f aca="false">BA2225-BB2225</f>
        <v>0</v>
      </c>
      <c r="BD2225" s="32" t="n">
        <f aca="false">SUM(P2225,R2225,T2225,V2225,X2225,Z2225,AB2225,AD2225,AF2225,AH2225,AJ2225,AL2225,AN2225,AP2225,AR2225,AT2225,AV2225,AX2225)</f>
        <v>145.9</v>
      </c>
      <c r="BE2225" s="33" t="n">
        <f aca="false">AZ2225-BD2225</f>
        <v>0</v>
      </c>
      <c r="BF2225" s="34" t="n">
        <f aca="false">BD2225*M2225</f>
        <v>24511.2</v>
      </c>
      <c r="BG2225" s="35" t="n">
        <f aca="false">BA2225-BF2225</f>
        <v>-0.200000000000728</v>
      </c>
      <c r="BH2225" s="19" t="str">
        <f aca="false">IF(BG2225=0,"",IF(BG2225&lt;&gt;BA2225,"erreur de calcul",IF(BD2225&lt;&gt;0,"pas de prix",IF(M2225&lt;&gt; 0,"pas de quantité","pas de prix, ni de quantité"))))</f>
        <v>erreur de calcul</v>
      </c>
      <c r="BI2225" s="19"/>
    </row>
    <row r="2226" customFormat="false" ht="15" hidden="false" customHeight="false" outlineLevel="0" collapsed="false">
      <c r="A2226" s="0" t="n">
        <v>41</v>
      </c>
      <c r="B2226" s="8" t="s">
        <v>24</v>
      </c>
      <c r="C2226" s="9" t="s">
        <v>25</v>
      </c>
      <c r="D2226" s="9" t="s">
        <v>26</v>
      </c>
      <c r="E2226" s="10" t="n">
        <v>1789</v>
      </c>
      <c r="F2226" s="9" t="s">
        <v>27</v>
      </c>
      <c r="G2226" s="9" t="s">
        <v>27</v>
      </c>
      <c r="H2226" s="11" t="n">
        <v>21</v>
      </c>
      <c r="I2226" s="11" t="s">
        <v>194</v>
      </c>
      <c r="J2226" s="14" t="n">
        <v>120</v>
      </c>
      <c r="K2226" s="14"/>
      <c r="L2226" s="16"/>
      <c r="M2226" s="27" t="n">
        <f aca="false">J2226+(K2226/20)+(L2226/240)</f>
        <v>120</v>
      </c>
      <c r="N2226" s="17" t="s">
        <v>64</v>
      </c>
      <c r="O2226" s="11"/>
      <c r="P2226" s="28"/>
      <c r="Q2226" s="28" t="n">
        <f aca="false">P2226*$M2226</f>
        <v>0</v>
      </c>
      <c r="R2226" s="28"/>
      <c r="S2226" s="28" t="n">
        <f aca="false">R2226*$M2226</f>
        <v>0</v>
      </c>
      <c r="T2226" s="28"/>
      <c r="U2226" s="28" t="n">
        <f aca="false">T2226*$M2226</f>
        <v>0</v>
      </c>
      <c r="V2226" s="28"/>
      <c r="W2226" s="28" t="n">
        <f aca="false">V2226*$M2226</f>
        <v>0</v>
      </c>
      <c r="X2226" s="28"/>
      <c r="Y2226" s="28" t="n">
        <f aca="false">X2226*$M2226</f>
        <v>0</v>
      </c>
      <c r="Z2226" s="28"/>
      <c r="AA2226" s="28" t="n">
        <f aca="false">Z2226*$M2226</f>
        <v>0</v>
      </c>
      <c r="AB2226" s="28" t="n">
        <f aca="false">6930/100</f>
        <v>69.3</v>
      </c>
      <c r="AC2226" s="28" t="n">
        <v>8316</v>
      </c>
      <c r="AD2226" s="28"/>
      <c r="AE2226" s="28" t="n">
        <f aca="false">AD2226*$M2226</f>
        <v>0</v>
      </c>
      <c r="AF2226" s="28"/>
      <c r="AG2226" s="28" t="n">
        <f aca="false">AF2226*$M2226</f>
        <v>0</v>
      </c>
      <c r="AH2226" s="28"/>
      <c r="AI2226" s="28" t="n">
        <f aca="false">AH2226*$M2226</f>
        <v>0</v>
      </c>
      <c r="AJ2226" s="28"/>
      <c r="AK2226" s="28" t="n">
        <f aca="false">AJ2226*$M2226</f>
        <v>0</v>
      </c>
      <c r="AL2226" s="28"/>
      <c r="AM2226" s="28" t="n">
        <f aca="false">AL2226*$M2226</f>
        <v>0</v>
      </c>
      <c r="AN2226" s="28"/>
      <c r="AO2226" s="28" t="n">
        <f aca="false">AN2226*$M2226</f>
        <v>0</v>
      </c>
      <c r="AP2226" s="28"/>
      <c r="AQ2226" s="28" t="n">
        <f aca="false">AP2226*$M2226</f>
        <v>0</v>
      </c>
      <c r="AR2226" s="28"/>
      <c r="AS2226" s="28" t="n">
        <f aca="false">AR2226*$M2226</f>
        <v>0</v>
      </c>
      <c r="AT2226" s="28"/>
      <c r="AU2226" s="28" t="n">
        <f aca="false">AT2226*$M2226</f>
        <v>0</v>
      </c>
      <c r="AV2226" s="28"/>
      <c r="AW2226" s="28" t="n">
        <f aca="false">AV2226*$M2226</f>
        <v>0</v>
      </c>
      <c r="AX2226" s="28"/>
      <c r="AY2226" s="28" t="n">
        <f aca="false">AX2226*$M2226</f>
        <v>0</v>
      </c>
      <c r="AZ2226" s="30" t="n">
        <f aca="false">6930/100</f>
        <v>69.3</v>
      </c>
      <c r="BA2226" s="11" t="n">
        <v>8316</v>
      </c>
      <c r="BB2226" s="31" t="n">
        <f aca="false">SUM(Q2226,S2226,U2226,W2226,Y2226,AA2226,AC2226,AE2226,AG2226,AI2226,AK2226,AM2226,AO2226,AQ2226,AS2226,AU2226,AW2226,AY2226)</f>
        <v>8316</v>
      </c>
      <c r="BC2226" s="28" t="n">
        <f aca="false">BA2226-BB2226</f>
        <v>0</v>
      </c>
      <c r="BD2226" s="32" t="n">
        <f aca="false">SUM(P2226,R2226,T2226,V2226,X2226,Z2226,AB2226,AD2226,AF2226,AH2226,AJ2226,AL2226,AN2226,AP2226,AR2226,AT2226,AV2226,AX2226)</f>
        <v>69.3</v>
      </c>
      <c r="BE2226" s="33" t="n">
        <f aca="false">AZ2226-BD2226</f>
        <v>0</v>
      </c>
      <c r="BF2226" s="34" t="n">
        <f aca="false">BD2226*M2226</f>
        <v>8316</v>
      </c>
      <c r="BG2226" s="35" t="n">
        <f aca="false">BA2226-BF2226</f>
        <v>0</v>
      </c>
      <c r="BH2226" s="19" t="str">
        <f aca="false">IF(BG2226=0,"",IF(BG2226&lt;&gt;BA2226,"erreur de calcul",IF(BD2226&lt;&gt;0,"pas de prix",IF(M2226&lt;&gt; 0,"pas de quantité","pas de prix, ni de quantité"))))</f>
        <v/>
      </c>
      <c r="BI2226" s="19"/>
    </row>
    <row r="2227" customFormat="false" ht="16.65" hidden="false" customHeight="false" outlineLevel="0" collapsed="false">
      <c r="A2227" s="0" t="n">
        <v>42</v>
      </c>
      <c r="B2227" s="8" t="s">
        <v>24</v>
      </c>
      <c r="C2227" s="9" t="s">
        <v>25</v>
      </c>
      <c r="D2227" s="9" t="s">
        <v>26</v>
      </c>
      <c r="E2227" s="10" t="n">
        <v>1789</v>
      </c>
      <c r="F2227" s="9" t="s">
        <v>27</v>
      </c>
      <c r="G2227" s="9" t="s">
        <v>27</v>
      </c>
      <c r="H2227" s="11" t="n">
        <v>21</v>
      </c>
      <c r="I2227" s="11" t="s">
        <v>195</v>
      </c>
      <c r="J2227" s="14" t="n">
        <v>70</v>
      </c>
      <c r="K2227" s="14"/>
      <c r="L2227" s="16"/>
      <c r="M2227" s="27" t="n">
        <f aca="false">J2227+(K2227/20)+(L2227/240)</f>
        <v>70</v>
      </c>
      <c r="N2227" s="17" t="s">
        <v>64</v>
      </c>
      <c r="O2227" s="11"/>
      <c r="P2227" s="28"/>
      <c r="Q2227" s="28" t="n">
        <f aca="false">P2227*$M2227</f>
        <v>0</v>
      </c>
      <c r="R2227" s="28"/>
      <c r="S2227" s="28" t="n">
        <f aca="false">R2227*$M2227</f>
        <v>0</v>
      </c>
      <c r="T2227" s="28"/>
      <c r="U2227" s="28" t="n">
        <f aca="false">T2227*$M2227</f>
        <v>0</v>
      </c>
      <c r="V2227" s="28"/>
      <c r="W2227" s="28" t="n">
        <f aca="false">V2227*$M2227</f>
        <v>0</v>
      </c>
      <c r="X2227" s="28"/>
      <c r="Y2227" s="28" t="n">
        <f aca="false">X2227*$M2227</f>
        <v>0</v>
      </c>
      <c r="Z2227" s="28"/>
      <c r="AA2227" s="28" t="n">
        <f aca="false">Z2227*$M2227</f>
        <v>0</v>
      </c>
      <c r="AB2227" s="28"/>
      <c r="AC2227" s="28" t="n">
        <f aca="false">AB2227*$M2227</f>
        <v>0</v>
      </c>
      <c r="AD2227" s="28"/>
      <c r="AE2227" s="28" t="n">
        <f aca="false">AD2227*$M2227</f>
        <v>0</v>
      </c>
      <c r="AF2227" s="28"/>
      <c r="AG2227" s="28" t="n">
        <f aca="false">AF2227*$M2227</f>
        <v>0</v>
      </c>
      <c r="AH2227" s="28"/>
      <c r="AI2227" s="28" t="n">
        <f aca="false">AH2227*$M2227</f>
        <v>0</v>
      </c>
      <c r="AJ2227" s="28"/>
      <c r="AK2227" s="28" t="n">
        <f aca="false">AJ2227*$M2227</f>
        <v>0</v>
      </c>
      <c r="AL2227" s="28"/>
      <c r="AM2227" s="28" t="n">
        <f aca="false">AL2227*$M2227</f>
        <v>0</v>
      </c>
      <c r="AN2227" s="28" t="n">
        <f aca="false">13200/100</f>
        <v>132</v>
      </c>
      <c r="AO2227" s="28" t="n">
        <v>9240</v>
      </c>
      <c r="AP2227" s="28"/>
      <c r="AQ2227" s="28" t="n">
        <f aca="false">AP2227*$M2227</f>
        <v>0</v>
      </c>
      <c r="AR2227" s="28"/>
      <c r="AS2227" s="28" t="n">
        <f aca="false">AR2227*$M2227</f>
        <v>0</v>
      </c>
      <c r="AT2227" s="28"/>
      <c r="AU2227" s="28" t="n">
        <f aca="false">AT2227*$M2227</f>
        <v>0</v>
      </c>
      <c r="AV2227" s="28"/>
      <c r="AW2227" s="28" t="n">
        <f aca="false">AV2227*$M2227</f>
        <v>0</v>
      </c>
      <c r="AX2227" s="28"/>
      <c r="AY2227" s="28" t="n">
        <f aca="false">AX2227*$M2227</f>
        <v>0</v>
      </c>
      <c r="AZ2227" s="30" t="n">
        <f aca="false">13200/100</f>
        <v>132</v>
      </c>
      <c r="BA2227" s="11" t="n">
        <v>9240</v>
      </c>
      <c r="BB2227" s="31" t="n">
        <f aca="false">SUM(Q2227,S2227,U2227,W2227,Y2227,AA2227,AC2227,AE2227,AG2227,AI2227,AK2227,AM2227,AO2227,AQ2227,AS2227,AU2227,AW2227,AY2227)</f>
        <v>9240</v>
      </c>
      <c r="BC2227" s="28" t="n">
        <f aca="false">BA2227-BB2227</f>
        <v>0</v>
      </c>
      <c r="BD2227" s="32" t="n">
        <f aca="false">SUM(P2227,R2227,T2227,V2227,X2227,Z2227,AB2227,AD2227,AF2227,AH2227,AJ2227,AL2227,AN2227,AP2227,AR2227,AT2227,AV2227,AX2227)</f>
        <v>132</v>
      </c>
      <c r="BE2227" s="33" t="n">
        <f aca="false">AZ2227-BD2227</f>
        <v>0</v>
      </c>
      <c r="BF2227" s="34" t="n">
        <f aca="false">BD2227*M2227</f>
        <v>9240</v>
      </c>
      <c r="BG2227" s="35" t="n">
        <f aca="false">BA2227-BF2227</f>
        <v>0</v>
      </c>
      <c r="BH2227" s="19" t="str">
        <f aca="false">IF(BG2227=0,"",IF(BG2227&lt;&gt;BA2227,"erreur de calcul",IF(BD2227&lt;&gt;0,"pas de prix",IF(M2227&lt;&gt; 0,"pas de quantité","pas de prix, ni de quantité"))))</f>
        <v/>
      </c>
      <c r="BI2227" s="19"/>
    </row>
    <row r="2228" customFormat="false" ht="15" hidden="false" customHeight="false" outlineLevel="0" collapsed="false">
      <c r="A2228" s="0" t="n">
        <v>43</v>
      </c>
      <c r="B2228" s="8" t="s">
        <v>24</v>
      </c>
      <c r="C2228" s="9" t="s">
        <v>25</v>
      </c>
      <c r="D2228" s="9" t="s">
        <v>26</v>
      </c>
      <c r="E2228" s="10" t="n">
        <v>1789</v>
      </c>
      <c r="F2228" s="9" t="s">
        <v>27</v>
      </c>
      <c r="G2228" s="9" t="s">
        <v>27</v>
      </c>
      <c r="H2228" s="11" t="n">
        <v>21</v>
      </c>
      <c r="I2228" s="11" t="s">
        <v>196</v>
      </c>
      <c r="J2228" s="14" t="n">
        <v>65</v>
      </c>
      <c r="K2228" s="14"/>
      <c r="L2228" s="16"/>
      <c r="M2228" s="27" t="n">
        <f aca="false">J2228+(K2228/20)+(L2228/240)</f>
        <v>65</v>
      </c>
      <c r="N2228" s="17" t="s">
        <v>64</v>
      </c>
      <c r="O2228" s="11"/>
      <c r="P2228" s="28"/>
      <c r="Q2228" s="28" t="n">
        <f aca="false">P2228*$M2228</f>
        <v>0</v>
      </c>
      <c r="R2228" s="28"/>
      <c r="S2228" s="28" t="n">
        <f aca="false">R2228*$M2228</f>
        <v>0</v>
      </c>
      <c r="T2228" s="28"/>
      <c r="U2228" s="28" t="n">
        <f aca="false">T2228*$M2228</f>
        <v>0</v>
      </c>
      <c r="V2228" s="28"/>
      <c r="W2228" s="28" t="n">
        <f aca="false">V2228*$M2228</f>
        <v>0</v>
      </c>
      <c r="X2228" s="28" t="n">
        <f aca="false">44247/100</f>
        <v>442.47</v>
      </c>
      <c r="Y2228" s="28" t="n">
        <v>28760</v>
      </c>
      <c r="Z2228" s="28" t="n">
        <f aca="false">1906/100</f>
        <v>19.06</v>
      </c>
      <c r="AA2228" s="28" t="n">
        <v>1239</v>
      </c>
      <c r="AB2228" s="28"/>
      <c r="AC2228" s="28" t="n">
        <f aca="false">AB2228*$M2228</f>
        <v>0</v>
      </c>
      <c r="AD2228" s="28"/>
      <c r="AE2228" s="28" t="n">
        <f aca="false">AD2228*$M2228</f>
        <v>0</v>
      </c>
      <c r="AF2228" s="28"/>
      <c r="AG2228" s="28" t="n">
        <f aca="false">AF2228*$M2228</f>
        <v>0</v>
      </c>
      <c r="AH2228" s="28"/>
      <c r="AI2228" s="28" t="n">
        <f aca="false">AH2228*$M2228</f>
        <v>0</v>
      </c>
      <c r="AJ2228" s="28" t="n">
        <f aca="false">625/100</f>
        <v>6.25</v>
      </c>
      <c r="AK2228" s="28" t="n">
        <v>406</v>
      </c>
      <c r="AL2228" s="28"/>
      <c r="AM2228" s="28" t="n">
        <f aca="false">AL2228*$M2228</f>
        <v>0</v>
      </c>
      <c r="AN2228" s="28"/>
      <c r="AO2228" s="28" t="n">
        <f aca="false">AN2228*$M2228</f>
        <v>0</v>
      </c>
      <c r="AP2228" s="28"/>
      <c r="AQ2228" s="28" t="n">
        <f aca="false">AP2228*$M2228</f>
        <v>0</v>
      </c>
      <c r="AR2228" s="28"/>
      <c r="AS2228" s="28" t="n">
        <f aca="false">AR2228*$M2228</f>
        <v>0</v>
      </c>
      <c r="AT2228" s="28"/>
      <c r="AU2228" s="28" t="n">
        <f aca="false">AT2228*$M2228</f>
        <v>0</v>
      </c>
      <c r="AV2228" s="28"/>
      <c r="AW2228" s="28" t="n">
        <f aca="false">AV2228*$M2228</f>
        <v>0</v>
      </c>
      <c r="AX2228" s="28"/>
      <c r="AY2228" s="28" t="n">
        <f aca="false">AX2228*$M2228</f>
        <v>0</v>
      </c>
      <c r="AZ2228" s="30" t="n">
        <f aca="false">46778/100</f>
        <v>467.78</v>
      </c>
      <c r="BA2228" s="11" t="n">
        <v>30405</v>
      </c>
      <c r="BB2228" s="31" t="n">
        <f aca="false">SUM(Q2228,S2228,U2228,W2228,Y2228,AA2228,AC2228,AE2228,AG2228,AI2228,AK2228,AM2228,AO2228,AQ2228,AS2228,AU2228,AW2228,AY2228)</f>
        <v>30405</v>
      </c>
      <c r="BC2228" s="28" t="n">
        <f aca="false">BA2228-BB2228</f>
        <v>0</v>
      </c>
      <c r="BD2228" s="32" t="n">
        <f aca="false">SUM(P2228,R2228,T2228,V2228,X2228,Z2228,AB2228,AD2228,AF2228,AH2228,AJ2228,AL2228,AN2228,AP2228,AR2228,AT2228,AV2228,AX2228)</f>
        <v>467.78</v>
      </c>
      <c r="BE2228" s="33" t="n">
        <f aca="false">AZ2228-BD2228</f>
        <v>0</v>
      </c>
      <c r="BF2228" s="34" t="n">
        <f aca="false">BD2228*M2228</f>
        <v>30405.7</v>
      </c>
      <c r="BG2228" s="35" t="n">
        <f aca="false">BA2228-BF2228</f>
        <v>-0.700000000000728</v>
      </c>
      <c r="BH2228" s="19" t="str">
        <f aca="false">IF(BG2228=0,"",IF(BG2228&lt;&gt;BA2228,"erreur de calcul",IF(BD2228&lt;&gt;0,"pas de prix",IF(M2228&lt;&gt; 0,"pas de quantité","pas de prix, ni de quantité"))))</f>
        <v>erreur de calcul</v>
      </c>
      <c r="BI2228" s="19"/>
    </row>
    <row r="2229" customFormat="false" ht="15" hidden="false" customHeight="false" outlineLevel="0" collapsed="false">
      <c r="A2229" s="0" t="n">
        <v>44</v>
      </c>
      <c r="B2229" s="8" t="s">
        <v>24</v>
      </c>
      <c r="C2229" s="9" t="s">
        <v>25</v>
      </c>
      <c r="D2229" s="9" t="s">
        <v>26</v>
      </c>
      <c r="E2229" s="10" t="n">
        <v>1789</v>
      </c>
      <c r="F2229" s="9" t="s">
        <v>27</v>
      </c>
      <c r="G2229" s="9" t="s">
        <v>27</v>
      </c>
      <c r="H2229" s="11" t="n">
        <v>21</v>
      </c>
      <c r="I2229" s="11" t="s">
        <v>197</v>
      </c>
      <c r="J2229" s="14" t="n">
        <v>70</v>
      </c>
      <c r="K2229" s="14"/>
      <c r="L2229" s="16"/>
      <c r="M2229" s="27" t="n">
        <f aca="false">J2229+(K2229/20)+(L2229/240)</f>
        <v>70</v>
      </c>
      <c r="N2229" s="17" t="s">
        <v>64</v>
      </c>
      <c r="O2229" s="11"/>
      <c r="P2229" s="28"/>
      <c r="Q2229" s="28" t="n">
        <f aca="false">P2229*$M2229</f>
        <v>0</v>
      </c>
      <c r="R2229" s="28"/>
      <c r="S2229" s="28" t="n">
        <f aca="false">R2229*$M2229</f>
        <v>0</v>
      </c>
      <c r="T2229" s="28"/>
      <c r="U2229" s="28" t="n">
        <f aca="false">T2229*$M2229</f>
        <v>0</v>
      </c>
      <c r="V2229" s="28"/>
      <c r="W2229" s="28" t="n">
        <f aca="false">V2229*$M2229</f>
        <v>0</v>
      </c>
      <c r="X2229" s="28"/>
      <c r="Y2229" s="28" t="n">
        <f aca="false">X2229*$M2229</f>
        <v>0</v>
      </c>
      <c r="Z2229" s="28"/>
      <c r="AA2229" s="28" t="n">
        <f aca="false">Z2229*$M2229</f>
        <v>0</v>
      </c>
      <c r="AB2229" s="28"/>
      <c r="AC2229" s="28" t="n">
        <f aca="false">AB2229*$M2229</f>
        <v>0</v>
      </c>
      <c r="AD2229" s="28"/>
      <c r="AE2229" s="28" t="n">
        <f aca="false">AD2229*$M2229</f>
        <v>0</v>
      </c>
      <c r="AF2229" s="28"/>
      <c r="AG2229" s="28" t="n">
        <f aca="false">AF2229*$M2229</f>
        <v>0</v>
      </c>
      <c r="AH2229" s="28" t="n">
        <f aca="false">156436/100</f>
        <v>1564.36</v>
      </c>
      <c r="AI2229" s="28" t="n">
        <v>109505</v>
      </c>
      <c r="AJ2229" s="28"/>
      <c r="AK2229" s="28" t="n">
        <f aca="false">AJ2229*$M2229</f>
        <v>0</v>
      </c>
      <c r="AL2229" s="28"/>
      <c r="AM2229" s="28" t="n">
        <f aca="false">AL2229*$M2229</f>
        <v>0</v>
      </c>
      <c r="AN2229" s="28"/>
      <c r="AO2229" s="28" t="n">
        <f aca="false">AN2229*$M2229</f>
        <v>0</v>
      </c>
      <c r="AP2229" s="28"/>
      <c r="AQ2229" s="28" t="n">
        <f aca="false">AP2229*$M2229</f>
        <v>0</v>
      </c>
      <c r="AR2229" s="28"/>
      <c r="AS2229" s="28" t="n">
        <f aca="false">AR2229*$M2229</f>
        <v>0</v>
      </c>
      <c r="AT2229" s="28"/>
      <c r="AU2229" s="28" t="n">
        <f aca="false">AT2229*$M2229</f>
        <v>0</v>
      </c>
      <c r="AV2229" s="28"/>
      <c r="AW2229" s="28" t="n">
        <f aca="false">AV2229*$M2229</f>
        <v>0</v>
      </c>
      <c r="AX2229" s="28"/>
      <c r="AY2229" s="28" t="n">
        <f aca="false">AX2229*$M2229</f>
        <v>0</v>
      </c>
      <c r="AZ2229" s="30" t="n">
        <f aca="false">156436/100</f>
        <v>1564.36</v>
      </c>
      <c r="BA2229" s="11" t="n">
        <v>109505</v>
      </c>
      <c r="BB2229" s="31" t="n">
        <f aca="false">SUM(Q2229,S2229,U2229,W2229,Y2229,AA2229,AC2229,AE2229,AG2229,AI2229,AK2229,AM2229,AO2229,AQ2229,AS2229,AU2229,AW2229,AY2229)</f>
        <v>109505</v>
      </c>
      <c r="BC2229" s="28" t="n">
        <f aca="false">BA2229-BB2229</f>
        <v>0</v>
      </c>
      <c r="BD2229" s="32" t="n">
        <f aca="false">SUM(P2229,R2229,T2229,V2229,X2229,Z2229,AB2229,AD2229,AF2229,AH2229,AJ2229,AL2229,AN2229,AP2229,AR2229,AT2229,AV2229,AX2229)</f>
        <v>1564.36</v>
      </c>
      <c r="BE2229" s="33" t="n">
        <f aca="false">AZ2229-BD2229</f>
        <v>0</v>
      </c>
      <c r="BF2229" s="34" t="n">
        <f aca="false">BD2229*M2229</f>
        <v>109505.2</v>
      </c>
      <c r="BG2229" s="35" t="n">
        <f aca="false">BA2229-BF2229</f>
        <v>-0.19999999999709</v>
      </c>
      <c r="BH2229" s="19" t="str">
        <f aca="false">IF(BG2229=0,"",IF(BG2229&lt;&gt;BA2229,"erreur de calcul",IF(BD2229&lt;&gt;0,"pas de prix",IF(M2229&lt;&gt; 0,"pas de quantité","pas de prix, ni de quantité"))))</f>
        <v>erreur de calcul</v>
      </c>
      <c r="BI2229" s="19"/>
    </row>
    <row r="2230" customFormat="false" ht="15" hidden="false" customHeight="false" outlineLevel="0" collapsed="false">
      <c r="A2230" s="0" t="n">
        <v>45</v>
      </c>
      <c r="B2230" s="8" t="s">
        <v>24</v>
      </c>
      <c r="C2230" s="9" t="s">
        <v>25</v>
      </c>
      <c r="D2230" s="9" t="s">
        <v>26</v>
      </c>
      <c r="E2230" s="10" t="n">
        <v>1789</v>
      </c>
      <c r="F2230" s="9" t="s">
        <v>27</v>
      </c>
      <c r="G2230" s="9" t="s">
        <v>27</v>
      </c>
      <c r="H2230" s="11" t="n">
        <v>21</v>
      </c>
      <c r="I2230" s="11" t="s">
        <v>198</v>
      </c>
      <c r="J2230" s="14"/>
      <c r="K2230" s="14"/>
      <c r="L2230" s="16"/>
      <c r="M2230" s="27" t="n">
        <f aca="false">J2230+(K2230/20)+(L2230/240)</f>
        <v>0</v>
      </c>
      <c r="N2230" s="17"/>
      <c r="O2230" s="11" t="s">
        <v>98</v>
      </c>
      <c r="P2230" s="28"/>
      <c r="Q2230" s="28" t="n">
        <v>387</v>
      </c>
      <c r="R2230" s="28"/>
      <c r="S2230" s="28" t="n">
        <f aca="false">R2230*$M2230</f>
        <v>0</v>
      </c>
      <c r="T2230" s="28"/>
      <c r="U2230" s="28" t="n">
        <v>2349</v>
      </c>
      <c r="V2230" s="28"/>
      <c r="W2230" s="28" t="n">
        <v>978</v>
      </c>
      <c r="X2230" s="28"/>
      <c r="Y2230" s="28" t="n">
        <f aca="false">X2230*$M2230</f>
        <v>0</v>
      </c>
      <c r="Z2230" s="28"/>
      <c r="AA2230" s="28" t="n">
        <f aca="false">Z2230*$M2230</f>
        <v>0</v>
      </c>
      <c r="AB2230" s="28"/>
      <c r="AC2230" s="28" t="n">
        <v>328</v>
      </c>
      <c r="AD2230" s="28"/>
      <c r="AE2230" s="28" t="n">
        <f aca="false">AD2230*$M2230</f>
        <v>0</v>
      </c>
      <c r="AF2230" s="28"/>
      <c r="AG2230" s="28" t="n">
        <f aca="false">AF2230*$M2230</f>
        <v>0</v>
      </c>
      <c r="AH2230" s="28"/>
      <c r="AI2230" s="28" t="n">
        <v>878</v>
      </c>
      <c r="AJ2230" s="28"/>
      <c r="AK2230" s="28" t="n">
        <v>1546</v>
      </c>
      <c r="AL2230" s="28"/>
      <c r="AM2230" s="28" t="n">
        <f aca="false">AL2230*$M2230</f>
        <v>0</v>
      </c>
      <c r="AN2230" s="28"/>
      <c r="AO2230" s="28" t="n">
        <f aca="false">AN2230*$M2230</f>
        <v>0</v>
      </c>
      <c r="AP2230" s="28"/>
      <c r="AQ2230" s="28" t="n">
        <f aca="false">AP2230*$M2230</f>
        <v>0</v>
      </c>
      <c r="AR2230" s="28"/>
      <c r="AS2230" s="28" t="n">
        <f aca="false">AR2230*$M2230</f>
        <v>0</v>
      </c>
      <c r="AT2230" s="28"/>
      <c r="AU2230" s="28" t="n">
        <f aca="false">AT2230*$M2230</f>
        <v>0</v>
      </c>
      <c r="AV2230" s="28"/>
      <c r="AW2230" s="28" t="n">
        <f aca="false">AV2230*$M2230</f>
        <v>0</v>
      </c>
      <c r="AX2230" s="28"/>
      <c r="AY2230" s="28" t="n">
        <f aca="false">AX2230*$M2230</f>
        <v>0</v>
      </c>
      <c r="AZ2230" s="30"/>
      <c r="BA2230" s="11" t="n">
        <v>6466</v>
      </c>
      <c r="BB2230" s="31" t="n">
        <f aca="false">SUM(Q2230,S2230,U2230,W2230,Y2230,AA2230,AC2230,AE2230,AG2230,AI2230,AK2230,AM2230,AO2230,AQ2230,AS2230,AU2230,AW2230,AY2230)</f>
        <v>6466</v>
      </c>
      <c r="BC2230" s="28" t="n">
        <f aca="false">BA2230-BB2230</f>
        <v>0</v>
      </c>
      <c r="BD2230" s="32" t="n">
        <f aca="false">SUM(P2230,R2230,T2230,V2230,X2230,Z2230,AB2230,AD2230,AF2230,AH2230,AJ2230,AL2230,AN2230,AP2230,AR2230,AT2230,AV2230,AX2230)</f>
        <v>0</v>
      </c>
      <c r="BE2230" s="33" t="n">
        <f aca="false">AZ2230-BD2230</f>
        <v>0</v>
      </c>
      <c r="BF2230" s="34" t="n">
        <f aca="false">BD2230*M2230</f>
        <v>0</v>
      </c>
      <c r="BG2230" s="35" t="n">
        <f aca="false">BA2230-BF2230</f>
        <v>6466</v>
      </c>
      <c r="BH2230" s="19" t="str">
        <f aca="false">IF(BG2230=0,"",IF(BG2230&lt;&gt;BA2230,"erreur de calcul",IF(BD2230&lt;&gt;0,"pas de prix",IF(M2230&lt;&gt; 0,"pas de quantité","pas de prix, ni de quantité"))))</f>
        <v>pas de prix, ni de quantité</v>
      </c>
      <c r="BI2230" s="19"/>
    </row>
    <row r="2231" customFormat="false" ht="15" hidden="false" customHeight="false" outlineLevel="0" collapsed="false">
      <c r="A2231" s="0" t="n">
        <v>46</v>
      </c>
      <c r="B2231" s="8" t="s">
        <v>24</v>
      </c>
      <c r="C2231" s="9" t="s">
        <v>25</v>
      </c>
      <c r="D2231" s="9" t="s">
        <v>26</v>
      </c>
      <c r="E2231" s="10" t="n">
        <v>1789</v>
      </c>
      <c r="F2231" s="9" t="s">
        <v>27</v>
      </c>
      <c r="G2231" s="9" t="s">
        <v>27</v>
      </c>
      <c r="H2231" s="11" t="n">
        <v>21</v>
      </c>
      <c r="I2231" s="11" t="s">
        <v>199</v>
      </c>
      <c r="J2231" s="14" t="n">
        <v>27</v>
      </c>
      <c r="K2231" s="14"/>
      <c r="L2231" s="16"/>
      <c r="M2231" s="27" t="n">
        <f aca="false">J2231+(K2231/20)+(L2231/240)</f>
        <v>27</v>
      </c>
      <c r="N2231" s="17" t="s">
        <v>64</v>
      </c>
      <c r="O2231" s="11"/>
      <c r="P2231" s="28" t="n">
        <f aca="false">108627/100</f>
        <v>1086.27</v>
      </c>
      <c r="Q2231" s="28" t="n">
        <v>29329</v>
      </c>
      <c r="R2231" s="28"/>
      <c r="S2231" s="28" t="n">
        <f aca="false">R2231*$M2231</f>
        <v>0</v>
      </c>
      <c r="T2231" s="28"/>
      <c r="U2231" s="28" t="n">
        <f aca="false">T2231*$M2231</f>
        <v>0</v>
      </c>
      <c r="V2231" s="28"/>
      <c r="W2231" s="28" t="n">
        <f aca="false">V2231*$M2231</f>
        <v>0</v>
      </c>
      <c r="X2231" s="28"/>
      <c r="Y2231" s="28" t="n">
        <f aca="false">X2231*$M2231</f>
        <v>0</v>
      </c>
      <c r="Z2231" s="28" t="n">
        <f aca="false">535243/100</f>
        <v>5352.43</v>
      </c>
      <c r="AA2231" s="28" t="n">
        <v>144516</v>
      </c>
      <c r="AB2231" s="28"/>
      <c r="AC2231" s="28" t="n">
        <f aca="false">AB2231*$M2231</f>
        <v>0</v>
      </c>
      <c r="AD2231" s="28" t="n">
        <f aca="false">75759/100</f>
        <v>757.59</v>
      </c>
      <c r="AE2231" s="28" t="n">
        <v>20455</v>
      </c>
      <c r="AF2231" s="28"/>
      <c r="AG2231" s="28" t="n">
        <f aca="false">AF2231*$M2231</f>
        <v>0</v>
      </c>
      <c r="AH2231" s="28" t="n">
        <f aca="false">77800/100</f>
        <v>778</v>
      </c>
      <c r="AI2231" s="36" t="n">
        <v>21016</v>
      </c>
      <c r="AJ2231" s="28" t="n">
        <f aca="false">28078/100</f>
        <v>280.78</v>
      </c>
      <c r="AK2231" s="28" t="n">
        <v>7581</v>
      </c>
      <c r="AL2231" s="28" t="n">
        <f aca="false">15417/100</f>
        <v>154.17</v>
      </c>
      <c r="AM2231" s="28" t="n">
        <v>4162</v>
      </c>
      <c r="AN2231" s="28"/>
      <c r="AO2231" s="28" t="n">
        <f aca="false">AN2231*$M2231</f>
        <v>0</v>
      </c>
      <c r="AP2231" s="28"/>
      <c r="AQ2231" s="28" t="n">
        <f aca="false">AP2231*$M2231</f>
        <v>0</v>
      </c>
      <c r="AR2231" s="28"/>
      <c r="AS2231" s="28" t="n">
        <f aca="false">AR2231*$M2231</f>
        <v>0</v>
      </c>
      <c r="AT2231" s="28"/>
      <c r="AU2231" s="28" t="n">
        <f aca="false">AT2231*$M2231</f>
        <v>0</v>
      </c>
      <c r="AV2231" s="28"/>
      <c r="AW2231" s="28" t="n">
        <f aca="false">AV2231*$M2231</f>
        <v>0</v>
      </c>
      <c r="AX2231" s="28"/>
      <c r="AY2231" s="28" t="n">
        <f aca="false">AX2231*$M2231</f>
        <v>0</v>
      </c>
      <c r="AZ2231" s="30" t="n">
        <f aca="false">840924/100</f>
        <v>8409.24</v>
      </c>
      <c r="BA2231" s="11" t="n">
        <v>227059</v>
      </c>
      <c r="BB2231" s="31" t="n">
        <f aca="false">SUM(Q2231,S2231,U2231,W2231,Y2231,AA2231,AC2231,AE2231,AG2231,AI2231,AK2231,AM2231,AO2231,AQ2231,AS2231,AU2231,AW2231,AY2231)</f>
        <v>227059</v>
      </c>
      <c r="BC2231" s="28" t="n">
        <f aca="false">BA2231-BB2231</f>
        <v>0</v>
      </c>
      <c r="BD2231" s="32" t="n">
        <f aca="false">SUM(P2231,R2231,T2231,V2231,X2231,Z2231,AB2231,AD2231,AF2231,AH2231,AJ2231,AL2231,AN2231,AP2231,AR2231,AT2231,AV2231,AX2231)</f>
        <v>8409.24</v>
      </c>
      <c r="BE2231" s="33" t="n">
        <f aca="false">AZ2231-BD2231</f>
        <v>0</v>
      </c>
      <c r="BF2231" s="34" t="n">
        <f aca="false">BD2231*M2231</f>
        <v>227049.48</v>
      </c>
      <c r="BG2231" s="35" t="n">
        <f aca="false">BA2231-BF2231</f>
        <v>9.52000000001863</v>
      </c>
      <c r="BH2231" s="19" t="str">
        <f aca="false">IF(BG2231=0,"",IF(BG2231&lt;&gt;BA2231,"erreur de calcul",IF(BD2231&lt;&gt;0,"pas de prix",IF(M2231&lt;&gt; 0,"pas de quantité","pas de prix, ni de quantité"))))</f>
        <v>erreur de calcul</v>
      </c>
      <c r="BI2231" s="19"/>
    </row>
    <row r="2232" customFormat="false" ht="15" hidden="false" customHeight="false" outlineLevel="0" collapsed="false">
      <c r="A2232" s="0" t="n">
        <v>47</v>
      </c>
      <c r="B2232" s="8" t="s">
        <v>24</v>
      </c>
      <c r="C2232" s="9" t="s">
        <v>25</v>
      </c>
      <c r="D2232" s="9" t="s">
        <v>26</v>
      </c>
      <c r="E2232" s="10" t="n">
        <v>1789</v>
      </c>
      <c r="F2232" s="9" t="s">
        <v>27</v>
      </c>
      <c r="G2232" s="9" t="s">
        <v>27</v>
      </c>
      <c r="H2232" s="11" t="n">
        <v>21</v>
      </c>
      <c r="I2232" s="11" t="s">
        <v>200</v>
      </c>
      <c r="J2232" s="14" t="n">
        <v>25</v>
      </c>
      <c r="K2232" s="14"/>
      <c r="L2232" s="16"/>
      <c r="M2232" s="27" t="n">
        <f aca="false">J2232+(K2232/20)+(L2232/240)</f>
        <v>25</v>
      </c>
      <c r="N2232" s="17" t="s">
        <v>64</v>
      </c>
      <c r="O2232" s="11"/>
      <c r="P2232" s="28"/>
      <c r="Q2232" s="28" t="n">
        <f aca="false">P2232*$M2232</f>
        <v>0</v>
      </c>
      <c r="R2232" s="28"/>
      <c r="S2232" s="28" t="n">
        <f aca="false">R2232*$M2232</f>
        <v>0</v>
      </c>
      <c r="T2232" s="28" t="n">
        <f aca="false">56427/100</f>
        <v>564.27</v>
      </c>
      <c r="U2232" s="28" t="n">
        <v>14107</v>
      </c>
      <c r="V2232" s="28"/>
      <c r="W2232" s="28" t="n">
        <f aca="false">V2232*$M2232</f>
        <v>0</v>
      </c>
      <c r="X2232" s="28" t="n">
        <f aca="false">98758/100</f>
        <v>987.58</v>
      </c>
      <c r="Y2232" s="28" t="n">
        <v>24689</v>
      </c>
      <c r="Z2232" s="28"/>
      <c r="AA2232" s="28" t="n">
        <f aca="false">Z2232*$M2232</f>
        <v>0</v>
      </c>
      <c r="AB2232" s="28"/>
      <c r="AC2232" s="28" t="n">
        <f aca="false">AB2232*$M2232</f>
        <v>0</v>
      </c>
      <c r="AD2232" s="28"/>
      <c r="AE2232" s="28" t="n">
        <f aca="false">AD2232*$M2232</f>
        <v>0</v>
      </c>
      <c r="AF2232" s="28"/>
      <c r="AG2232" s="28" t="n">
        <f aca="false">AF2232*$M2232</f>
        <v>0</v>
      </c>
      <c r="AH2232" s="28"/>
      <c r="AI2232" s="28" t="n">
        <f aca="false">AH2232*$M2232</f>
        <v>0</v>
      </c>
      <c r="AJ2232" s="28"/>
      <c r="AK2232" s="28" t="n">
        <f aca="false">AJ2232*$M2232</f>
        <v>0</v>
      </c>
      <c r="AL2232" s="28"/>
      <c r="AM2232" s="28" t="n">
        <f aca="false">AL2232*$M2232</f>
        <v>0</v>
      </c>
      <c r="AN2232" s="28"/>
      <c r="AO2232" s="28" t="n">
        <f aca="false">AN2232*$M2232</f>
        <v>0</v>
      </c>
      <c r="AP2232" s="28"/>
      <c r="AQ2232" s="28" t="n">
        <f aca="false">AP2232*$M2232</f>
        <v>0</v>
      </c>
      <c r="AR2232" s="28"/>
      <c r="AS2232" s="28" t="n">
        <f aca="false">AR2232*$M2232</f>
        <v>0</v>
      </c>
      <c r="AT2232" s="28"/>
      <c r="AU2232" s="28" t="n">
        <f aca="false">AT2232*$M2232</f>
        <v>0</v>
      </c>
      <c r="AV2232" s="28"/>
      <c r="AW2232" s="28" t="n">
        <f aca="false">AV2232*$M2232</f>
        <v>0</v>
      </c>
      <c r="AX2232" s="28"/>
      <c r="AY2232" s="28" t="n">
        <f aca="false">AX2232*$M2232</f>
        <v>0</v>
      </c>
      <c r="AZ2232" s="30" t="n">
        <f aca="false">155115/100</f>
        <v>1551.15</v>
      </c>
      <c r="BA2232" s="11" t="n">
        <v>38796</v>
      </c>
      <c r="BB2232" s="31" t="n">
        <f aca="false">SUM(Q2232,S2232,U2232,W2232,Y2232,AA2232,AC2232,AE2232,AG2232,AI2232,AK2232,AM2232,AO2232,AQ2232,AS2232,AU2232,AW2232,AY2232)</f>
        <v>38796</v>
      </c>
      <c r="BC2232" s="28" t="n">
        <f aca="false">BA2232-BB2232</f>
        <v>0</v>
      </c>
      <c r="BD2232" s="32" t="n">
        <f aca="false">SUM(P2232,R2232,T2232,V2232,X2232,Z2232,AB2232,AD2232,AF2232,AH2232,AJ2232,AL2232,AN2232,AP2232,AR2232,AT2232,AV2232,AX2232)</f>
        <v>1551.85</v>
      </c>
      <c r="BE2232" s="33" t="n">
        <f aca="false">AZ2232-BD2232</f>
        <v>-0.699999999999818</v>
      </c>
      <c r="BF2232" s="34" t="n">
        <f aca="false">BD2232*M2232</f>
        <v>38796.25</v>
      </c>
      <c r="BG2232" s="35" t="n">
        <f aca="false">BA2232-BF2232</f>
        <v>-0.25</v>
      </c>
      <c r="BH2232" s="19" t="str">
        <f aca="false">IF(BG2232=0,"",IF(BG2232&lt;&gt;BA2232,"erreur de calcul",IF(BD2232&lt;&gt;0,"pas de prix",IF(M2232&lt;&gt; 0,"pas de quantité","pas de prix, ni de quantité"))))</f>
        <v>erreur de calcul</v>
      </c>
      <c r="BI2232" s="19"/>
    </row>
    <row r="2233" customFormat="false" ht="15" hidden="false" customHeight="false" outlineLevel="0" collapsed="false">
      <c r="A2233" s="0" t="n">
        <v>48</v>
      </c>
      <c r="B2233" s="8" t="s">
        <v>24</v>
      </c>
      <c r="C2233" s="9" t="s">
        <v>25</v>
      </c>
      <c r="D2233" s="9" t="s">
        <v>26</v>
      </c>
      <c r="E2233" s="10" t="n">
        <v>1789</v>
      </c>
      <c r="F2233" s="9" t="s">
        <v>27</v>
      </c>
      <c r="G2233" s="9" t="s">
        <v>27</v>
      </c>
      <c r="H2233" s="11" t="n">
        <v>21</v>
      </c>
      <c r="I2233" s="11" t="s">
        <v>201</v>
      </c>
      <c r="J2233" s="14"/>
      <c r="K2233" s="14" t="n">
        <v>15</v>
      </c>
      <c r="L2233" s="16"/>
      <c r="M2233" s="27" t="n">
        <f aca="false">J2233+(K2233/20)+(L2233/240)</f>
        <v>0.75</v>
      </c>
      <c r="N2233" s="17" t="s">
        <v>66</v>
      </c>
      <c r="O2233" s="11"/>
      <c r="P2233" s="28"/>
      <c r="Q2233" s="28" t="n">
        <f aca="false">P2233*$M2233</f>
        <v>0</v>
      </c>
      <c r="R2233" s="28"/>
      <c r="S2233" s="28" t="n">
        <f aca="false">R2233*$M2233</f>
        <v>0</v>
      </c>
      <c r="T2233" s="28"/>
      <c r="U2233" s="28" t="n">
        <f aca="false">T2233*$M2233</f>
        <v>0</v>
      </c>
      <c r="V2233" s="28"/>
      <c r="W2233" s="28" t="n">
        <f aca="false">V2233*$M2233</f>
        <v>0</v>
      </c>
      <c r="X2233" s="28"/>
      <c r="Y2233" s="28" t="n">
        <f aca="false">X2233*$M2233</f>
        <v>0</v>
      </c>
      <c r="Z2233" s="28"/>
      <c r="AA2233" s="28" t="n">
        <f aca="false">Z2233*$M2233</f>
        <v>0</v>
      </c>
      <c r="AB2233" s="28"/>
      <c r="AC2233" s="28" t="n">
        <f aca="false">AB2233*$M2233</f>
        <v>0</v>
      </c>
      <c r="AD2233" s="28"/>
      <c r="AE2233" s="28" t="n">
        <f aca="false">AD2233*$M2233</f>
        <v>0</v>
      </c>
      <c r="AF2233" s="28"/>
      <c r="AG2233" s="28" t="n">
        <f aca="false">AF2233*$M2233</f>
        <v>0</v>
      </c>
      <c r="AH2233" s="28"/>
      <c r="AI2233" s="28" t="n">
        <f aca="false">AH2233*$M2233</f>
        <v>0</v>
      </c>
      <c r="AJ2233" s="28" t="n">
        <v>6171</v>
      </c>
      <c r="AK2233" s="28" t="n">
        <v>4628</v>
      </c>
      <c r="AL2233" s="28"/>
      <c r="AM2233" s="28" t="n">
        <f aca="false">AL2233*$M2233</f>
        <v>0</v>
      </c>
      <c r="AN2233" s="28"/>
      <c r="AO2233" s="28" t="n">
        <f aca="false">AN2233*$M2233</f>
        <v>0</v>
      </c>
      <c r="AP2233" s="28"/>
      <c r="AQ2233" s="28" t="n">
        <f aca="false">AP2233*$M2233</f>
        <v>0</v>
      </c>
      <c r="AR2233" s="28"/>
      <c r="AS2233" s="28" t="n">
        <f aca="false">AR2233*$M2233</f>
        <v>0</v>
      </c>
      <c r="AT2233" s="28"/>
      <c r="AU2233" s="28" t="n">
        <f aca="false">AT2233*$M2233</f>
        <v>0</v>
      </c>
      <c r="AV2233" s="28"/>
      <c r="AW2233" s="28" t="n">
        <f aca="false">AV2233*$M2233</f>
        <v>0</v>
      </c>
      <c r="AX2233" s="28"/>
      <c r="AY2233" s="28" t="n">
        <f aca="false">AX2233*$M2233</f>
        <v>0</v>
      </c>
      <c r="AZ2233" s="30" t="n">
        <v>6171</v>
      </c>
      <c r="BA2233" s="11" t="n">
        <v>4628</v>
      </c>
      <c r="BB2233" s="31" t="n">
        <f aca="false">SUM(Q2233,S2233,U2233,W2233,Y2233,AA2233,AC2233,AE2233,AG2233,AI2233,AK2233,AM2233,AO2233,AQ2233,AS2233,AU2233,AW2233,AY2233)</f>
        <v>4628</v>
      </c>
      <c r="BC2233" s="28" t="n">
        <f aca="false">BA2233-BB2233</f>
        <v>0</v>
      </c>
      <c r="BD2233" s="32" t="n">
        <f aca="false">SUM(P2233,R2233,T2233,V2233,X2233,Z2233,AB2233,AD2233,AF2233,AH2233,AJ2233,AL2233,AN2233,AP2233,AR2233,AT2233,AV2233,AX2233)</f>
        <v>6171</v>
      </c>
      <c r="BE2233" s="33" t="n">
        <f aca="false">AZ2233-BD2233</f>
        <v>0</v>
      </c>
      <c r="BF2233" s="34" t="n">
        <f aca="false">BD2233*M2233</f>
        <v>4628.25</v>
      </c>
      <c r="BG2233" s="35" t="n">
        <f aca="false">BA2233-BF2233</f>
        <v>-0.25</v>
      </c>
      <c r="BH2233" s="19" t="str">
        <f aca="false">IF(BG2233=0,"",IF(BG2233&lt;&gt;BA2233,"erreur de calcul",IF(BD2233&lt;&gt;0,"pas de prix",IF(M2233&lt;&gt; 0,"pas de quantité","pas de prix, ni de quantité"))))</f>
        <v>erreur de calcul</v>
      </c>
      <c r="BI2233" s="19"/>
    </row>
    <row r="2234" customFormat="false" ht="15" hidden="false" customHeight="false" outlineLevel="0" collapsed="false">
      <c r="A2234" s="0" t="n">
        <v>1</v>
      </c>
      <c r="B2234" s="8" t="s">
        <v>24</v>
      </c>
      <c r="C2234" s="9" t="s">
        <v>25</v>
      </c>
      <c r="D2234" s="9" t="s">
        <v>26</v>
      </c>
      <c r="E2234" s="10" t="n">
        <v>1789</v>
      </c>
      <c r="F2234" s="9" t="s">
        <v>27</v>
      </c>
      <c r="G2234" s="9" t="s">
        <v>27</v>
      </c>
      <c r="H2234" s="11" t="n">
        <v>22</v>
      </c>
      <c r="I2234" s="11" t="s">
        <v>202</v>
      </c>
      <c r="J2234" s="14" t="n">
        <v>10</v>
      </c>
      <c r="K2234" s="14"/>
      <c r="L2234" s="16"/>
      <c r="M2234" s="27" t="n">
        <f aca="false">J2234+(K2234/20)+(L2234/240)</f>
        <v>10</v>
      </c>
      <c r="N2234" s="17" t="s">
        <v>64</v>
      </c>
      <c r="O2234" s="11"/>
      <c r="P2234" s="28" t="n">
        <f aca="false">36147/100</f>
        <v>361.47</v>
      </c>
      <c r="Q2234" s="28" t="n">
        <v>3615</v>
      </c>
      <c r="R2234" s="28"/>
      <c r="S2234" s="28" t="n">
        <f aca="false">R2234*$M2234</f>
        <v>0</v>
      </c>
      <c r="T2234" s="28"/>
      <c r="U2234" s="28" t="n">
        <f aca="false">T2234*$M2234</f>
        <v>0</v>
      </c>
      <c r="V2234" s="28"/>
      <c r="W2234" s="28" t="n">
        <f aca="false">V2234*$M2234</f>
        <v>0</v>
      </c>
      <c r="X2234" s="28"/>
      <c r="Y2234" s="28" t="n">
        <f aca="false">X2234*$M2234</f>
        <v>0</v>
      </c>
      <c r="Z2234" s="28"/>
      <c r="AA2234" s="28" t="n">
        <f aca="false">Z2234*$M2234</f>
        <v>0</v>
      </c>
      <c r="AB2234" s="28" t="n">
        <f aca="false">14437/100</f>
        <v>144.37</v>
      </c>
      <c r="AC2234" s="28" t="n">
        <v>1444</v>
      </c>
      <c r="AD2234" s="28"/>
      <c r="AE2234" s="28" t="n">
        <f aca="false">AD2234*$M2234</f>
        <v>0</v>
      </c>
      <c r="AF2234" s="28"/>
      <c r="AG2234" s="28" t="n">
        <f aca="false">AF2234*$M2234</f>
        <v>0</v>
      </c>
      <c r="AH2234" s="28"/>
      <c r="AI2234" s="28" t="n">
        <f aca="false">AH2234*$M2234</f>
        <v>0</v>
      </c>
      <c r="AJ2234" s="28" t="n">
        <f aca="false">36351/100</f>
        <v>363.51</v>
      </c>
      <c r="AK2234" s="28" t="n">
        <v>3635</v>
      </c>
      <c r="AL2234" s="28"/>
      <c r="AM2234" s="28" t="n">
        <f aca="false">AL2234*$M2234</f>
        <v>0</v>
      </c>
      <c r="AN2234" s="28"/>
      <c r="AO2234" s="28" t="n">
        <f aca="false">AN2234*$M2234</f>
        <v>0</v>
      </c>
      <c r="AP2234" s="28"/>
      <c r="AQ2234" s="28" t="n">
        <f aca="false">AP2234*$M2234</f>
        <v>0</v>
      </c>
      <c r="AR2234" s="28" t="n">
        <f aca="false">25120/100</f>
        <v>251.2</v>
      </c>
      <c r="AS2234" s="28" t="n">
        <v>2512</v>
      </c>
      <c r="AT2234" s="28"/>
      <c r="AU2234" s="28" t="n">
        <f aca="false">AT2234*$M2234</f>
        <v>0</v>
      </c>
      <c r="AV2234" s="28"/>
      <c r="AW2234" s="28" t="n">
        <f aca="false">AV2234*$M2234</f>
        <v>0</v>
      </c>
      <c r="AX2234" s="28"/>
      <c r="AY2234" s="28" t="n">
        <f aca="false">AX2234*$M2234</f>
        <v>0</v>
      </c>
      <c r="AZ2234" s="30" t="n">
        <f aca="false">112055/100</f>
        <v>1120.55</v>
      </c>
      <c r="BA2234" s="11" t="n">
        <v>11206</v>
      </c>
      <c r="BB2234" s="31" t="n">
        <f aca="false">SUM(Q2234,S2234,U2234,W2234,Y2234,AA2234,AC2234,AE2234,AG2234,AI2234,AK2234,AM2234,AO2234,AQ2234,AS2234,AU2234,AW2234,AY2234)</f>
        <v>11206</v>
      </c>
      <c r="BC2234" s="28" t="n">
        <f aca="false">BA2234-BB2234</f>
        <v>0</v>
      </c>
      <c r="BD2234" s="32" t="n">
        <f aca="false">SUM(P2234,R2234,T2234,V2234,X2234,Z2234,AB2234,AD2234,AF2234,AH2234,AJ2234,AL2234,AN2234,AP2234,AR2234,AT2234,AV2234,AX2234)</f>
        <v>1120.55</v>
      </c>
      <c r="BE2234" s="33" t="n">
        <f aca="false">AZ2234-BD2234</f>
        <v>0</v>
      </c>
      <c r="BF2234" s="34" t="n">
        <f aca="false">BD2234*M2234</f>
        <v>11205.5</v>
      </c>
      <c r="BG2234" s="35" t="n">
        <f aca="false">BA2234-BF2234</f>
        <v>0.499999999998181</v>
      </c>
      <c r="BH2234" s="19" t="str">
        <f aca="false">IF(BG2234=0,"",IF(BG2234&lt;&gt;BA2234,"erreur de calcul",IF(BD2234&lt;&gt;0,"pas de prix",IF(M2234&lt;&gt; 0,"pas de quantité","pas de prix, ni de quantité"))))</f>
        <v>erreur de calcul</v>
      </c>
      <c r="BI2234" s="19"/>
    </row>
    <row r="2235" customFormat="false" ht="15" hidden="false" customHeight="false" outlineLevel="0" collapsed="false">
      <c r="A2235" s="0" t="n">
        <v>2</v>
      </c>
      <c r="B2235" s="8" t="s">
        <v>24</v>
      </c>
      <c r="C2235" s="9" t="s">
        <v>25</v>
      </c>
      <c r="D2235" s="9" t="s">
        <v>26</v>
      </c>
      <c r="E2235" s="10" t="n">
        <v>1789</v>
      </c>
      <c r="F2235" s="9" t="s">
        <v>27</v>
      </c>
      <c r="G2235" s="9" t="s">
        <v>27</v>
      </c>
      <c r="H2235" s="11" t="n">
        <v>22</v>
      </c>
      <c r="I2235" s="11" t="s">
        <v>203</v>
      </c>
      <c r="J2235" s="14" t="n">
        <v>20</v>
      </c>
      <c r="K2235" s="14"/>
      <c r="L2235" s="16"/>
      <c r="M2235" s="27" t="n">
        <f aca="false">J2235+(K2235/20)+(L2235/240)</f>
        <v>20</v>
      </c>
      <c r="N2235" s="17" t="s">
        <v>64</v>
      </c>
      <c r="O2235" s="11"/>
      <c r="P2235" s="28"/>
      <c r="Q2235" s="28" t="n">
        <f aca="false">P2235*$M2235</f>
        <v>0</v>
      </c>
      <c r="R2235" s="28"/>
      <c r="S2235" s="28" t="n">
        <f aca="false">R2235*$M2235</f>
        <v>0</v>
      </c>
      <c r="T2235" s="28"/>
      <c r="U2235" s="28" t="n">
        <f aca="false">T2235*$M2235</f>
        <v>0</v>
      </c>
      <c r="V2235" s="28"/>
      <c r="W2235" s="28" t="n">
        <f aca="false">V2235*$M2235</f>
        <v>0</v>
      </c>
      <c r="X2235" s="28"/>
      <c r="Y2235" s="28" t="n">
        <f aca="false">X2235*$M2235</f>
        <v>0</v>
      </c>
      <c r="Z2235" s="28"/>
      <c r="AA2235" s="28" t="n">
        <f aca="false">Z2235*$M2235</f>
        <v>0</v>
      </c>
      <c r="AB2235" s="28"/>
      <c r="AC2235" s="28" t="n">
        <f aca="false">AB2235*$M2235</f>
        <v>0</v>
      </c>
      <c r="AD2235" s="28"/>
      <c r="AE2235" s="28" t="n">
        <f aca="false">AD2235*$M2235</f>
        <v>0</v>
      </c>
      <c r="AF2235" s="28"/>
      <c r="AG2235" s="28" t="n">
        <f aca="false">AF2235*$M2235</f>
        <v>0</v>
      </c>
      <c r="AH2235" s="28"/>
      <c r="AI2235" s="28" t="n">
        <f aca="false">AH2235*$M2235</f>
        <v>0</v>
      </c>
      <c r="AJ2235" s="28" t="n">
        <f aca="false">109254/100</f>
        <v>1092.54</v>
      </c>
      <c r="AK2235" s="28" t="n">
        <v>21851</v>
      </c>
      <c r="AL2235" s="28"/>
      <c r="AM2235" s="28" t="n">
        <f aca="false">AL2235*$M2235</f>
        <v>0</v>
      </c>
      <c r="AN2235" s="28"/>
      <c r="AO2235" s="28" t="n">
        <f aca="false">AN2235*$M2235</f>
        <v>0</v>
      </c>
      <c r="AP2235" s="28"/>
      <c r="AQ2235" s="28" t="n">
        <f aca="false">AP2235*$M2235</f>
        <v>0</v>
      </c>
      <c r="AR2235" s="28"/>
      <c r="AS2235" s="28" t="n">
        <f aca="false">AR2235*$M2235</f>
        <v>0</v>
      </c>
      <c r="AT2235" s="28"/>
      <c r="AU2235" s="28" t="n">
        <f aca="false">AT2235*$M2235</f>
        <v>0</v>
      </c>
      <c r="AV2235" s="28"/>
      <c r="AW2235" s="28" t="n">
        <f aca="false">AV2235*$M2235</f>
        <v>0</v>
      </c>
      <c r="AX2235" s="28"/>
      <c r="AY2235" s="28" t="n">
        <f aca="false">AX2235*$M2235</f>
        <v>0</v>
      </c>
      <c r="AZ2235" s="30" t="n">
        <f aca="false">109254/100</f>
        <v>1092.54</v>
      </c>
      <c r="BA2235" s="11" t="n">
        <v>21851</v>
      </c>
      <c r="BB2235" s="31" t="n">
        <f aca="false">SUM(Q2235,S2235,U2235,W2235,Y2235,AA2235,AC2235,AE2235,AG2235,AI2235,AK2235,AM2235,AO2235,AQ2235,AS2235,AU2235,AW2235,AY2235)</f>
        <v>21851</v>
      </c>
      <c r="BC2235" s="28" t="n">
        <f aca="false">BA2235-BB2235</f>
        <v>0</v>
      </c>
      <c r="BD2235" s="32" t="n">
        <f aca="false">SUM(P2235,R2235,T2235,V2235,X2235,Z2235,AB2235,AD2235,AF2235,AH2235,AJ2235,AL2235,AN2235,AP2235,AR2235,AT2235,AV2235,AX2235)</f>
        <v>1092.54</v>
      </c>
      <c r="BE2235" s="33" t="n">
        <f aca="false">AZ2235-BD2235</f>
        <v>0</v>
      </c>
      <c r="BF2235" s="34" t="n">
        <f aca="false">BD2235*M2235</f>
        <v>21850.8</v>
      </c>
      <c r="BG2235" s="35" t="n">
        <f aca="false">BA2235-BF2235</f>
        <v>0.200000000000728</v>
      </c>
      <c r="BH2235" s="19" t="str">
        <f aca="false">IF(BG2235=0,"",IF(BG2235&lt;&gt;BA2235,"erreur de calcul",IF(BD2235&lt;&gt;0,"pas de prix",IF(M2235&lt;&gt; 0,"pas de quantité","pas de prix, ni de quantité"))))</f>
        <v>erreur de calcul</v>
      </c>
      <c r="BI2235" s="19"/>
    </row>
    <row r="2236" customFormat="false" ht="15" hidden="false" customHeight="false" outlineLevel="0" collapsed="false">
      <c r="A2236" s="0" t="n">
        <v>3</v>
      </c>
      <c r="B2236" s="8" t="s">
        <v>24</v>
      </c>
      <c r="C2236" s="9" t="s">
        <v>25</v>
      </c>
      <c r="D2236" s="9" t="s">
        <v>26</v>
      </c>
      <c r="E2236" s="10" t="n">
        <v>1789</v>
      </c>
      <c r="F2236" s="9" t="s">
        <v>27</v>
      </c>
      <c r="G2236" s="9" t="s">
        <v>27</v>
      </c>
      <c r="H2236" s="11" t="n">
        <v>22</v>
      </c>
      <c r="I2236" s="11" t="s">
        <v>204</v>
      </c>
      <c r="J2236" s="14" t="n">
        <v>20</v>
      </c>
      <c r="K2236" s="14"/>
      <c r="L2236" s="16"/>
      <c r="M2236" s="27" t="n">
        <f aca="false">J2236+(K2236/20)+(L2236/240)</f>
        <v>20</v>
      </c>
      <c r="N2236" s="17" t="s">
        <v>66</v>
      </c>
      <c r="O2236" s="11"/>
      <c r="P2236" s="28" t="n">
        <v>106125</v>
      </c>
      <c r="Q2236" s="36" t="n">
        <v>2162500</v>
      </c>
      <c r="R2236" s="28"/>
      <c r="S2236" s="28" t="n">
        <f aca="false">R2236*$M2236</f>
        <v>0</v>
      </c>
      <c r="T2236" s="28"/>
      <c r="U2236" s="28" t="n">
        <f aca="false">T2236*$M2236</f>
        <v>0</v>
      </c>
      <c r="V2236" s="28"/>
      <c r="W2236" s="28" t="n">
        <f aca="false">V2236*$M2236</f>
        <v>0</v>
      </c>
      <c r="X2236" s="28"/>
      <c r="Y2236" s="28" t="n">
        <f aca="false">X2236*$M2236</f>
        <v>0</v>
      </c>
      <c r="Z2236" s="28"/>
      <c r="AA2236" s="28" t="n">
        <f aca="false">Z2236*$M2236</f>
        <v>0</v>
      </c>
      <c r="AB2236" s="28"/>
      <c r="AC2236" s="28" t="n">
        <f aca="false">AB2236*$M2236</f>
        <v>0</v>
      </c>
      <c r="AD2236" s="28"/>
      <c r="AE2236" s="28" t="n">
        <f aca="false">AD2236*$M2236</f>
        <v>0</v>
      </c>
      <c r="AF2236" s="28"/>
      <c r="AG2236" s="28" t="n">
        <f aca="false">AF2236*$M2236</f>
        <v>0</v>
      </c>
      <c r="AH2236" s="28"/>
      <c r="AI2236" s="28" t="n">
        <f aca="false">AH2236*$M2236</f>
        <v>0</v>
      </c>
      <c r="AJ2236" s="28"/>
      <c r="AK2236" s="28" t="n">
        <f aca="false">AJ2236*$M2236</f>
        <v>0</v>
      </c>
      <c r="AL2236" s="28"/>
      <c r="AM2236" s="28" t="n">
        <f aca="false">AL2236*$M2236</f>
        <v>0</v>
      </c>
      <c r="AN2236" s="28"/>
      <c r="AO2236" s="28" t="n">
        <f aca="false">AN2236*$M2236</f>
        <v>0</v>
      </c>
      <c r="AP2236" s="28"/>
      <c r="AQ2236" s="28" t="n">
        <f aca="false">AP2236*$M2236</f>
        <v>0</v>
      </c>
      <c r="AR2236" s="28"/>
      <c r="AS2236" s="28" t="n">
        <f aca="false">AR2236*$M2236</f>
        <v>0</v>
      </c>
      <c r="AT2236" s="28"/>
      <c r="AU2236" s="28" t="n">
        <f aca="false">AT2236*$M2236</f>
        <v>0</v>
      </c>
      <c r="AV2236" s="28"/>
      <c r="AW2236" s="28" t="n">
        <f aca="false">AV2236*$M2236</f>
        <v>0</v>
      </c>
      <c r="AX2236" s="28"/>
      <c r="AY2236" s="28" t="n">
        <f aca="false">AX2236*$M2236</f>
        <v>0</v>
      </c>
      <c r="AZ2236" s="30" t="n">
        <v>108125</v>
      </c>
      <c r="BA2236" s="11" t="n">
        <v>2162500</v>
      </c>
      <c r="BB2236" s="31" t="n">
        <f aca="false">SUM(Q2236,S2236,U2236,W2236,Y2236,AA2236,AC2236,AE2236,AG2236,AI2236,AK2236,AM2236,AO2236,AQ2236,AS2236,AU2236,AW2236,AY2236)</f>
        <v>2162500</v>
      </c>
      <c r="BC2236" s="28" t="n">
        <f aca="false">BA2236-BB2236</f>
        <v>0</v>
      </c>
      <c r="BD2236" s="32" t="n">
        <f aca="false">SUM(P2236,R2236,T2236,V2236,X2236,Z2236,AB2236,AD2236,AF2236,AH2236,AJ2236,AL2236,AN2236,AP2236,AR2236,AT2236,AV2236,AX2236)</f>
        <v>106125</v>
      </c>
      <c r="BE2236" s="33" t="n">
        <f aca="false">AZ2236-BD2236</f>
        <v>2000</v>
      </c>
      <c r="BF2236" s="34" t="n">
        <f aca="false">BD2236*M2236</f>
        <v>2122500</v>
      </c>
      <c r="BG2236" s="35" t="n">
        <f aca="false">BA2236-BF2236</f>
        <v>40000</v>
      </c>
      <c r="BH2236" s="19" t="str">
        <f aca="false">IF(BG2236=0,"",IF(BG2236&lt;&gt;BA2236,"erreur de calcul",IF(BD2236&lt;&gt;0,"pas de prix",IF(M2236&lt;&gt; 0,"pas de quantité","pas de prix, ni de quantité"))))</f>
        <v>erreur de calcul</v>
      </c>
      <c r="BI2236" s="19"/>
    </row>
    <row r="2237" customFormat="false" ht="15" hidden="false" customHeight="false" outlineLevel="0" collapsed="false">
      <c r="A2237" s="0" t="n">
        <v>4</v>
      </c>
      <c r="B2237" s="8" t="s">
        <v>24</v>
      </c>
      <c r="C2237" s="9" t="s">
        <v>25</v>
      </c>
      <c r="D2237" s="9" t="s">
        <v>26</v>
      </c>
      <c r="E2237" s="10" t="n">
        <v>1789</v>
      </c>
      <c r="F2237" s="9" t="s">
        <v>27</v>
      </c>
      <c r="G2237" s="9" t="s">
        <v>27</v>
      </c>
      <c r="H2237" s="11" t="n">
        <v>22</v>
      </c>
      <c r="I2237" s="11" t="s">
        <v>205</v>
      </c>
      <c r="J2237" s="14" t="n">
        <v>15</v>
      </c>
      <c r="K2237" s="14"/>
      <c r="L2237" s="16"/>
      <c r="M2237" s="27" t="n">
        <f aca="false">J2237+(K2237/20)+(L2237/240)</f>
        <v>15</v>
      </c>
      <c r="N2237" s="17" t="s">
        <v>64</v>
      </c>
      <c r="O2237" s="11"/>
      <c r="P2237" s="28"/>
      <c r="Q2237" s="28" t="n">
        <f aca="false">P2237*$M2237</f>
        <v>0</v>
      </c>
      <c r="R2237" s="28"/>
      <c r="S2237" s="28" t="n">
        <f aca="false">R2237*$M2237</f>
        <v>0</v>
      </c>
      <c r="T2237" s="28"/>
      <c r="U2237" s="28" t="n">
        <f aca="false">T2237*$M2237</f>
        <v>0</v>
      </c>
      <c r="V2237" s="28"/>
      <c r="W2237" s="28" t="n">
        <f aca="false">V2237*$M2237</f>
        <v>0</v>
      </c>
      <c r="X2237" s="28" t="n">
        <f aca="false">27897/100</f>
        <v>278.97</v>
      </c>
      <c r="Y2237" s="28" t="n">
        <v>4184</v>
      </c>
      <c r="Z2237" s="28"/>
      <c r="AA2237" s="28" t="n">
        <f aca="false">Z2237*$M2237</f>
        <v>0</v>
      </c>
      <c r="AB2237" s="28"/>
      <c r="AC2237" s="28" t="n">
        <f aca="false">AB2237*$M2237</f>
        <v>0</v>
      </c>
      <c r="AD2237" s="28"/>
      <c r="AE2237" s="28" t="n">
        <f aca="false">AD2237*$M2237</f>
        <v>0</v>
      </c>
      <c r="AF2237" s="28"/>
      <c r="AG2237" s="28" t="n">
        <f aca="false">AF2237*$M2237</f>
        <v>0</v>
      </c>
      <c r="AH2237" s="28"/>
      <c r="AI2237" s="28" t="n">
        <f aca="false">AH2237*$M2237</f>
        <v>0</v>
      </c>
      <c r="AJ2237" s="28" t="n">
        <f aca="false">63734/100</f>
        <v>637.34</v>
      </c>
      <c r="AK2237" s="28" t="n">
        <v>9560</v>
      </c>
      <c r="AL2237" s="28"/>
      <c r="AM2237" s="28" t="n">
        <f aca="false">AL2237*$M2237</f>
        <v>0</v>
      </c>
      <c r="AN2237" s="28"/>
      <c r="AO2237" s="28" t="n">
        <f aca="false">AN2237*$M2237</f>
        <v>0</v>
      </c>
      <c r="AP2237" s="28"/>
      <c r="AQ2237" s="28" t="n">
        <f aca="false">AP2237*$M2237</f>
        <v>0</v>
      </c>
      <c r="AR2237" s="28"/>
      <c r="AS2237" s="28" t="n">
        <f aca="false">AR2237*$M2237</f>
        <v>0</v>
      </c>
      <c r="AT2237" s="28"/>
      <c r="AU2237" s="28" t="n">
        <f aca="false">AT2237*$M2237</f>
        <v>0</v>
      </c>
      <c r="AV2237" s="28"/>
      <c r="AW2237" s="28" t="n">
        <f aca="false">AV2237*$M2237</f>
        <v>0</v>
      </c>
      <c r="AX2237" s="28"/>
      <c r="AY2237" s="28" t="n">
        <f aca="false">AX2237*$M2237</f>
        <v>0</v>
      </c>
      <c r="AZ2237" s="30" t="n">
        <f aca="false">91631/100</f>
        <v>916.31</v>
      </c>
      <c r="BA2237" s="11" t="n">
        <v>13744</v>
      </c>
      <c r="BB2237" s="31" t="n">
        <f aca="false">SUM(Q2237,S2237,U2237,W2237,Y2237,AA2237,AC2237,AE2237,AG2237,AI2237,AK2237,AM2237,AO2237,AQ2237,AS2237,AU2237,AW2237,AY2237)</f>
        <v>13744</v>
      </c>
      <c r="BC2237" s="28" t="n">
        <f aca="false">BA2237-BB2237</f>
        <v>0</v>
      </c>
      <c r="BD2237" s="32" t="n">
        <f aca="false">SUM(P2237,R2237,T2237,V2237,X2237,Z2237,AB2237,AD2237,AF2237,AH2237,AJ2237,AL2237,AN2237,AP2237,AR2237,AT2237,AV2237,AX2237)</f>
        <v>916.31</v>
      </c>
      <c r="BE2237" s="33" t="n">
        <f aca="false">AZ2237-BD2237</f>
        <v>0</v>
      </c>
      <c r="BF2237" s="34" t="n">
        <f aca="false">BD2237*M2237</f>
        <v>13744.65</v>
      </c>
      <c r="BG2237" s="35" t="n">
        <f aca="false">BA2237-BF2237</f>
        <v>-0.650000000001455</v>
      </c>
      <c r="BH2237" s="19" t="str">
        <f aca="false">IF(BG2237=0,"",IF(BG2237&lt;&gt;BA2237,"erreur de calcul",IF(BD2237&lt;&gt;0,"pas de prix",IF(M2237&lt;&gt; 0,"pas de quantité","pas de prix, ni de quantité"))))</f>
        <v>erreur de calcul</v>
      </c>
      <c r="BI2237" s="19"/>
    </row>
    <row r="2238" customFormat="false" ht="15" hidden="false" customHeight="false" outlineLevel="0" collapsed="false">
      <c r="A2238" s="0" t="n">
        <v>5</v>
      </c>
      <c r="B2238" s="8" t="s">
        <v>24</v>
      </c>
      <c r="C2238" s="9" t="s">
        <v>25</v>
      </c>
      <c r="D2238" s="9" t="s">
        <v>26</v>
      </c>
      <c r="E2238" s="10" t="n">
        <v>1789</v>
      </c>
      <c r="F2238" s="9" t="s">
        <v>27</v>
      </c>
      <c r="G2238" s="9" t="s">
        <v>27</v>
      </c>
      <c r="H2238" s="11" t="n">
        <v>22</v>
      </c>
      <c r="I2238" s="11" t="s">
        <v>206</v>
      </c>
      <c r="J2238" s="14" t="n">
        <v>30</v>
      </c>
      <c r="K2238" s="14"/>
      <c r="L2238" s="16"/>
      <c r="M2238" s="27" t="n">
        <f aca="false">J2238+(K2238/20)+(L2238/240)</f>
        <v>30</v>
      </c>
      <c r="N2238" s="17" t="s">
        <v>64</v>
      </c>
      <c r="O2238" s="11"/>
      <c r="P2238" s="28" t="n">
        <f aca="false">8334/100</f>
        <v>83.34</v>
      </c>
      <c r="Q2238" s="28" t="n">
        <v>2500</v>
      </c>
      <c r="R2238" s="28"/>
      <c r="S2238" s="28" t="n">
        <f aca="false">R2238*$M2238</f>
        <v>0</v>
      </c>
      <c r="T2238" s="28"/>
      <c r="U2238" s="28" t="n">
        <f aca="false">T2238*$M2238</f>
        <v>0</v>
      </c>
      <c r="V2238" s="28"/>
      <c r="W2238" s="28" t="n">
        <f aca="false">V2238*$M2238</f>
        <v>0</v>
      </c>
      <c r="X2238" s="28"/>
      <c r="Y2238" s="28" t="n">
        <f aca="false">X2238*$M2238</f>
        <v>0</v>
      </c>
      <c r="Z2238" s="28"/>
      <c r="AA2238" s="28" t="n">
        <f aca="false">Z2238*$M2238</f>
        <v>0</v>
      </c>
      <c r="AB2238" s="28"/>
      <c r="AC2238" s="28" t="n">
        <f aca="false">AB2238*$M2238</f>
        <v>0</v>
      </c>
      <c r="AD2238" s="28"/>
      <c r="AE2238" s="28" t="n">
        <f aca="false">AD2238*$M2238</f>
        <v>0</v>
      </c>
      <c r="AF2238" s="28"/>
      <c r="AG2238" s="28" t="n">
        <f aca="false">AF2238*$M2238</f>
        <v>0</v>
      </c>
      <c r="AH2238" s="28"/>
      <c r="AI2238" s="28" t="n">
        <f aca="false">AH2238*$M2238</f>
        <v>0</v>
      </c>
      <c r="AJ2238" s="28"/>
      <c r="AK2238" s="28" t="n">
        <f aca="false">AJ2238*$M2238</f>
        <v>0</v>
      </c>
      <c r="AL2238" s="28"/>
      <c r="AM2238" s="28" t="n">
        <f aca="false">AL2238*$M2238</f>
        <v>0</v>
      </c>
      <c r="AN2238" s="28"/>
      <c r="AO2238" s="28" t="n">
        <f aca="false">AN2238*$M2238</f>
        <v>0</v>
      </c>
      <c r="AP2238" s="28"/>
      <c r="AQ2238" s="28" t="n">
        <f aca="false">AP2238*$M2238</f>
        <v>0</v>
      </c>
      <c r="AR2238" s="28"/>
      <c r="AS2238" s="28" t="n">
        <f aca="false">AR2238*$M2238</f>
        <v>0</v>
      </c>
      <c r="AT2238" s="28"/>
      <c r="AU2238" s="28" t="n">
        <f aca="false">AT2238*$M2238</f>
        <v>0</v>
      </c>
      <c r="AV2238" s="28"/>
      <c r="AW2238" s="28" t="n">
        <f aca="false">AV2238*$M2238</f>
        <v>0</v>
      </c>
      <c r="AX2238" s="28"/>
      <c r="AY2238" s="28" t="n">
        <f aca="false">AX2238*$M2238</f>
        <v>0</v>
      </c>
      <c r="AZ2238" s="30" t="n">
        <f aca="false">8334/100</f>
        <v>83.34</v>
      </c>
      <c r="BA2238" s="11" t="n">
        <v>2500</v>
      </c>
      <c r="BB2238" s="31" t="n">
        <f aca="false">SUM(Q2238,S2238,U2238,W2238,Y2238,AA2238,AC2238,AE2238,AG2238,AI2238,AK2238,AM2238,AO2238,AQ2238,AS2238,AU2238,AW2238,AY2238)</f>
        <v>2500</v>
      </c>
      <c r="BC2238" s="28" t="n">
        <f aca="false">BA2238-BB2238</f>
        <v>0</v>
      </c>
      <c r="BD2238" s="32" t="n">
        <f aca="false">SUM(P2238,R2238,T2238,V2238,X2238,Z2238,AB2238,AD2238,AF2238,AH2238,AJ2238,AL2238,AN2238,AP2238,AR2238,AT2238,AV2238,AX2238)</f>
        <v>83.34</v>
      </c>
      <c r="BE2238" s="33" t="n">
        <f aca="false">AZ2238-BD2238</f>
        <v>0</v>
      </c>
      <c r="BF2238" s="34" t="n">
        <f aca="false">BD2238*M2238</f>
        <v>2500.2</v>
      </c>
      <c r="BG2238" s="35" t="n">
        <f aca="false">BA2238-BF2238</f>
        <v>-0.200000000000273</v>
      </c>
      <c r="BH2238" s="19" t="str">
        <f aca="false">IF(BG2238=0,"",IF(BG2238&lt;&gt;BA2238,"erreur de calcul",IF(BD2238&lt;&gt;0,"pas de prix",IF(M2238&lt;&gt; 0,"pas de quantité","pas de prix, ni de quantité"))))</f>
        <v>erreur de calcul</v>
      </c>
      <c r="BI2238" s="19"/>
    </row>
    <row r="2239" customFormat="false" ht="15" hidden="false" customHeight="false" outlineLevel="0" collapsed="false">
      <c r="A2239" s="0" t="n">
        <v>6</v>
      </c>
      <c r="B2239" s="8" t="s">
        <v>24</v>
      </c>
      <c r="C2239" s="9" t="s">
        <v>25</v>
      </c>
      <c r="D2239" s="9" t="s">
        <v>26</v>
      </c>
      <c r="E2239" s="10" t="n">
        <v>1789</v>
      </c>
      <c r="F2239" s="9" t="s">
        <v>27</v>
      </c>
      <c r="G2239" s="9" t="s">
        <v>27</v>
      </c>
      <c r="H2239" s="11" t="n">
        <v>22</v>
      </c>
      <c r="I2239" s="11" t="s">
        <v>207</v>
      </c>
      <c r="J2239" s="14"/>
      <c r="K2239" s="14" t="n">
        <v>20</v>
      </c>
      <c r="L2239" s="16"/>
      <c r="M2239" s="27" t="n">
        <f aca="false">J2239+(K2239/20)+(L2239/240)</f>
        <v>1</v>
      </c>
      <c r="N2239" s="17" t="s">
        <v>66</v>
      </c>
      <c r="O2239" s="11"/>
      <c r="P2239" s="28"/>
      <c r="Q2239" s="28" t="n">
        <f aca="false">P2239*$M2239</f>
        <v>0</v>
      </c>
      <c r="R2239" s="28"/>
      <c r="S2239" s="28" t="n">
        <f aca="false">R2239*$M2239</f>
        <v>0</v>
      </c>
      <c r="T2239" s="28"/>
      <c r="U2239" s="28" t="n">
        <f aca="false">T2239*$M2239</f>
        <v>0</v>
      </c>
      <c r="V2239" s="28" t="n">
        <v>33010</v>
      </c>
      <c r="W2239" s="28" t="n">
        <v>33010</v>
      </c>
      <c r="X2239" s="28" t="n">
        <v>292003</v>
      </c>
      <c r="Y2239" s="28" t="n">
        <v>292003</v>
      </c>
      <c r="Z2239" s="28" t="n">
        <v>15558</v>
      </c>
      <c r="AA2239" s="28" t="n">
        <v>15558</v>
      </c>
      <c r="AB2239" s="28" t="n">
        <v>80515</v>
      </c>
      <c r="AC2239" s="28" t="n">
        <v>80515</v>
      </c>
      <c r="AD2239" s="28"/>
      <c r="AE2239" s="28" t="n">
        <f aca="false">AD2239*$M2239</f>
        <v>0</v>
      </c>
      <c r="AF2239" s="28"/>
      <c r="AG2239" s="28" t="n">
        <f aca="false">AF2239*$M2239</f>
        <v>0</v>
      </c>
      <c r="AH2239" s="28" t="n">
        <v>515373</v>
      </c>
      <c r="AI2239" s="28" t="n">
        <v>515373</v>
      </c>
      <c r="AJ2239" s="28"/>
      <c r="AK2239" s="28" t="n">
        <f aca="false">AJ2239*$M2239</f>
        <v>0</v>
      </c>
      <c r="AL2239" s="28" t="n">
        <v>3480</v>
      </c>
      <c r="AM2239" s="28" t="n">
        <v>3480</v>
      </c>
      <c r="AN2239" s="28"/>
      <c r="AO2239" s="28" t="n">
        <f aca="false">AN2239*$M2239</f>
        <v>0</v>
      </c>
      <c r="AP2239" s="28"/>
      <c r="AQ2239" s="28" t="n">
        <f aca="false">AP2239*$M2239</f>
        <v>0</v>
      </c>
      <c r="AR2239" s="28"/>
      <c r="AS2239" s="28" t="n">
        <f aca="false">AR2239*$M2239</f>
        <v>0</v>
      </c>
      <c r="AT2239" s="28"/>
      <c r="AU2239" s="28" t="n">
        <f aca="false">AT2239*$M2239</f>
        <v>0</v>
      </c>
      <c r="AV2239" s="28"/>
      <c r="AW2239" s="28" t="n">
        <f aca="false">AV2239*$M2239</f>
        <v>0</v>
      </c>
      <c r="AX2239" s="28"/>
      <c r="AY2239" s="28" t="n">
        <f aca="false">AX2239*$M2239</f>
        <v>0</v>
      </c>
      <c r="AZ2239" s="30" t="n">
        <v>939939</v>
      </c>
      <c r="BA2239" s="11" t="n">
        <v>939939</v>
      </c>
      <c r="BB2239" s="31" t="n">
        <f aca="false">SUM(Q2239,S2239,U2239,W2239,Y2239,AA2239,AC2239,AE2239,AG2239,AI2239,AK2239,AM2239,AO2239,AQ2239,AS2239,AU2239,AW2239,AY2239)</f>
        <v>939939</v>
      </c>
      <c r="BC2239" s="28" t="n">
        <f aca="false">BA2239-BB2239</f>
        <v>0</v>
      </c>
      <c r="BD2239" s="32" t="n">
        <f aca="false">SUM(P2239,R2239,T2239,V2239,X2239,Z2239,AB2239,AD2239,AF2239,AH2239,AJ2239,AL2239,AN2239,AP2239,AR2239,AT2239,AV2239,AX2239)</f>
        <v>939939</v>
      </c>
      <c r="BE2239" s="33" t="n">
        <f aca="false">AZ2239-BD2239</f>
        <v>0</v>
      </c>
      <c r="BF2239" s="34" t="n">
        <f aca="false">BD2239*M2239</f>
        <v>939939</v>
      </c>
      <c r="BG2239" s="35" t="n">
        <f aca="false">BA2239-BF2239</f>
        <v>0</v>
      </c>
      <c r="BH2239" s="19" t="str">
        <f aca="false">IF(BG2239=0,"",IF(BG2239&lt;&gt;BA2239,"erreur de calcul",IF(BD2239&lt;&gt;0,"pas de prix",IF(M2239&lt;&gt; 0,"pas de quantité","pas de prix, ni de quantité"))))</f>
        <v/>
      </c>
      <c r="BI2239" s="19"/>
    </row>
    <row r="2240" customFormat="false" ht="15" hidden="false" customHeight="false" outlineLevel="0" collapsed="false">
      <c r="A2240" s="0" t="n">
        <v>7</v>
      </c>
      <c r="B2240" s="8" t="s">
        <v>24</v>
      </c>
      <c r="C2240" s="9" t="s">
        <v>25</v>
      </c>
      <c r="D2240" s="9" t="s">
        <v>26</v>
      </c>
      <c r="E2240" s="10" t="n">
        <v>1789</v>
      </c>
      <c r="F2240" s="9" t="s">
        <v>27</v>
      </c>
      <c r="G2240" s="9" t="s">
        <v>27</v>
      </c>
      <c r="H2240" s="11" t="n">
        <v>22</v>
      </c>
      <c r="I2240" s="11" t="s">
        <v>208</v>
      </c>
      <c r="J2240" s="14" t="n">
        <v>60</v>
      </c>
      <c r="K2240" s="14"/>
      <c r="L2240" s="16"/>
      <c r="M2240" s="27" t="n">
        <f aca="false">J2240+(K2240/20)+(L2240/240)</f>
        <v>60</v>
      </c>
      <c r="N2240" s="17" t="s">
        <v>64</v>
      </c>
      <c r="O2240" s="11"/>
      <c r="P2240" s="28"/>
      <c r="Q2240" s="28" t="n">
        <f aca="false">P2240*$M2240</f>
        <v>0</v>
      </c>
      <c r="R2240" s="28"/>
      <c r="S2240" s="28" t="n">
        <f aca="false">R2240*$M2240</f>
        <v>0</v>
      </c>
      <c r="T2240" s="28"/>
      <c r="U2240" s="28" t="n">
        <f aca="false">T2240*$M2240</f>
        <v>0</v>
      </c>
      <c r="V2240" s="28"/>
      <c r="W2240" s="28" t="n">
        <f aca="false">V2240*$M2240</f>
        <v>0</v>
      </c>
      <c r="X2240" s="28"/>
      <c r="Y2240" s="28" t="n">
        <f aca="false">X2240*$M2240</f>
        <v>0</v>
      </c>
      <c r="Z2240" s="28"/>
      <c r="AA2240" s="28" t="n">
        <f aca="false">Z2240*$M2240</f>
        <v>0</v>
      </c>
      <c r="AB2240" s="28"/>
      <c r="AC2240" s="28" t="n">
        <f aca="false">AB2240*$M2240</f>
        <v>0</v>
      </c>
      <c r="AD2240" s="28"/>
      <c r="AE2240" s="28" t="n">
        <f aca="false">AD2240*$M2240</f>
        <v>0</v>
      </c>
      <c r="AF2240" s="28"/>
      <c r="AG2240" s="28" t="n">
        <f aca="false">AF2240*$M2240</f>
        <v>0</v>
      </c>
      <c r="AH2240" s="28"/>
      <c r="AI2240" s="28" t="n">
        <f aca="false">AH2240*$M2240</f>
        <v>0</v>
      </c>
      <c r="AJ2240" s="28" t="n">
        <f aca="false">28692/100</f>
        <v>286.92</v>
      </c>
      <c r="AK2240" s="28" t="n">
        <v>17215</v>
      </c>
      <c r="AL2240" s="28"/>
      <c r="AM2240" s="28" t="n">
        <f aca="false">AL2240*$M2240</f>
        <v>0</v>
      </c>
      <c r="AN2240" s="28"/>
      <c r="AO2240" s="28" t="n">
        <f aca="false">AN2240*$M2240</f>
        <v>0</v>
      </c>
      <c r="AP2240" s="28"/>
      <c r="AQ2240" s="28" t="n">
        <f aca="false">AP2240*$M2240</f>
        <v>0</v>
      </c>
      <c r="AR2240" s="28"/>
      <c r="AS2240" s="28" t="n">
        <f aca="false">AR2240*$M2240</f>
        <v>0</v>
      </c>
      <c r="AT2240" s="28"/>
      <c r="AU2240" s="28" t="n">
        <f aca="false">AT2240*$M2240</f>
        <v>0</v>
      </c>
      <c r="AV2240" s="28"/>
      <c r="AW2240" s="28" t="n">
        <f aca="false">AV2240*$M2240</f>
        <v>0</v>
      </c>
      <c r="AX2240" s="28"/>
      <c r="AY2240" s="28" t="n">
        <f aca="false">AX2240*$M2240</f>
        <v>0</v>
      </c>
      <c r="AZ2240" s="30" t="n">
        <f aca="false">28692/100</f>
        <v>286.92</v>
      </c>
      <c r="BA2240" s="11" t="n">
        <v>17215</v>
      </c>
      <c r="BB2240" s="31" t="n">
        <f aca="false">SUM(Q2240,S2240,U2240,W2240,Y2240,AA2240,AC2240,AE2240,AG2240,AI2240,AK2240,AM2240,AO2240,AQ2240,AS2240,AU2240,AW2240,AY2240)</f>
        <v>17215</v>
      </c>
      <c r="BC2240" s="28" t="n">
        <f aca="false">BA2240-BB2240</f>
        <v>0</v>
      </c>
      <c r="BD2240" s="32" t="n">
        <f aca="false">SUM(P2240,R2240,T2240,V2240,X2240,Z2240,AB2240,AD2240,AF2240,AH2240,AJ2240,AL2240,AN2240,AP2240,AR2240,AT2240,AV2240,AX2240)</f>
        <v>286.92</v>
      </c>
      <c r="BE2240" s="33" t="n">
        <f aca="false">AZ2240-BD2240</f>
        <v>0</v>
      </c>
      <c r="BF2240" s="34" t="n">
        <f aca="false">BD2240*M2240</f>
        <v>17215.2</v>
      </c>
      <c r="BG2240" s="35" t="n">
        <f aca="false">BA2240-BF2240</f>
        <v>-0.200000000000728</v>
      </c>
      <c r="BH2240" s="19" t="str">
        <f aca="false">IF(BG2240=0,"",IF(BG2240&lt;&gt;BA2240,"erreur de calcul",IF(BD2240&lt;&gt;0,"pas de prix",IF(M2240&lt;&gt; 0,"pas de quantité","pas de prix, ni de quantité"))))</f>
        <v>erreur de calcul</v>
      </c>
      <c r="BI2240" s="19"/>
    </row>
    <row r="2241" customFormat="false" ht="15" hidden="false" customHeight="false" outlineLevel="0" collapsed="false">
      <c r="A2241" s="0" t="n">
        <v>8</v>
      </c>
      <c r="B2241" s="8" t="s">
        <v>24</v>
      </c>
      <c r="C2241" s="9" t="s">
        <v>25</v>
      </c>
      <c r="D2241" s="9" t="s">
        <v>26</v>
      </c>
      <c r="E2241" s="10" t="n">
        <v>1789</v>
      </c>
      <c r="F2241" s="9" t="s">
        <v>27</v>
      </c>
      <c r="G2241" s="9" t="s">
        <v>27</v>
      </c>
      <c r="H2241" s="11" t="n">
        <v>22</v>
      </c>
      <c r="I2241" s="11" t="s">
        <v>209</v>
      </c>
      <c r="J2241" s="14" t="n">
        <v>26</v>
      </c>
      <c r="K2241" s="14"/>
      <c r="L2241" s="16"/>
      <c r="M2241" s="27" t="n">
        <f aca="false">J2241+(K2241/20)+(L2241/240)</f>
        <v>26</v>
      </c>
      <c r="N2241" s="17" t="s">
        <v>64</v>
      </c>
      <c r="O2241" s="11"/>
      <c r="P2241" s="28" t="n">
        <f aca="false">9675/100</f>
        <v>96.75</v>
      </c>
      <c r="Q2241" s="28" t="n">
        <v>2515</v>
      </c>
      <c r="R2241" s="28"/>
      <c r="S2241" s="28" t="n">
        <f aca="false">R2241*$M2241</f>
        <v>0</v>
      </c>
      <c r="T2241" s="28"/>
      <c r="U2241" s="28" t="n">
        <f aca="false">T2241*$M2241</f>
        <v>0</v>
      </c>
      <c r="V2241" s="28"/>
      <c r="W2241" s="28" t="n">
        <f aca="false">V2241*$M2241</f>
        <v>0</v>
      </c>
      <c r="X2241" s="28"/>
      <c r="Y2241" s="28" t="n">
        <f aca="false">X2241*$M2241</f>
        <v>0</v>
      </c>
      <c r="Z2241" s="28"/>
      <c r="AA2241" s="28" t="n">
        <f aca="false">Z2241*$M2241</f>
        <v>0</v>
      </c>
      <c r="AB2241" s="28"/>
      <c r="AC2241" s="28" t="n">
        <f aca="false">AB2241*$M2241</f>
        <v>0</v>
      </c>
      <c r="AD2241" s="28"/>
      <c r="AE2241" s="28" t="n">
        <f aca="false">AD2241*$M2241</f>
        <v>0</v>
      </c>
      <c r="AF2241" s="28"/>
      <c r="AG2241" s="28" t="n">
        <f aca="false">AF2241*$M2241</f>
        <v>0</v>
      </c>
      <c r="AH2241" s="28"/>
      <c r="AI2241" s="28" t="n">
        <f aca="false">AH2241*$M2241</f>
        <v>0</v>
      </c>
      <c r="AJ2241" s="28"/>
      <c r="AK2241" s="28" t="n">
        <f aca="false">AJ2241*$M2241</f>
        <v>0</v>
      </c>
      <c r="AL2241" s="28"/>
      <c r="AM2241" s="28" t="n">
        <f aca="false">AL2241*$M2241</f>
        <v>0</v>
      </c>
      <c r="AN2241" s="28"/>
      <c r="AO2241" s="28" t="n">
        <f aca="false">AN2241*$M2241</f>
        <v>0</v>
      </c>
      <c r="AP2241" s="28"/>
      <c r="AQ2241" s="28" t="n">
        <f aca="false">AP2241*$M2241</f>
        <v>0</v>
      </c>
      <c r="AR2241" s="28"/>
      <c r="AS2241" s="28" t="n">
        <f aca="false">AR2241*$M2241</f>
        <v>0</v>
      </c>
      <c r="AT2241" s="28"/>
      <c r="AU2241" s="28" t="n">
        <f aca="false">AT2241*$M2241</f>
        <v>0</v>
      </c>
      <c r="AV2241" s="28"/>
      <c r="AW2241" s="28" t="n">
        <f aca="false">AV2241*$M2241</f>
        <v>0</v>
      </c>
      <c r="AX2241" s="28"/>
      <c r="AY2241" s="28" t="n">
        <f aca="false">AX2241*$M2241</f>
        <v>0</v>
      </c>
      <c r="AZ2241" s="30" t="n">
        <f aca="false">9675/100</f>
        <v>96.75</v>
      </c>
      <c r="BA2241" s="11" t="n">
        <v>2515</v>
      </c>
      <c r="BB2241" s="31" t="n">
        <f aca="false">SUM(Q2241,S2241,U2241,W2241,Y2241,AA2241,AC2241,AE2241,AG2241,AI2241,AK2241,AM2241,AO2241,AQ2241,AS2241,AU2241,AW2241,AY2241)</f>
        <v>2515</v>
      </c>
      <c r="BC2241" s="28" t="n">
        <f aca="false">BA2241-BB2241</f>
        <v>0</v>
      </c>
      <c r="BD2241" s="32" t="n">
        <f aca="false">SUM(P2241,R2241,T2241,V2241,X2241,Z2241,AB2241,AD2241,AF2241,AH2241,AJ2241,AL2241,AN2241,AP2241,AR2241,AT2241,AV2241,AX2241)</f>
        <v>96.75</v>
      </c>
      <c r="BE2241" s="33" t="n">
        <f aca="false">AZ2241-BD2241</f>
        <v>0</v>
      </c>
      <c r="BF2241" s="34" t="n">
        <f aca="false">BD2241*M2241</f>
        <v>2515.5</v>
      </c>
      <c r="BG2241" s="35" t="n">
        <f aca="false">BA2241-BF2241</f>
        <v>-0.5</v>
      </c>
      <c r="BH2241" s="19" t="str">
        <f aca="false">IF(BG2241=0,"",IF(BG2241&lt;&gt;BA2241,"erreur de calcul",IF(BD2241&lt;&gt;0,"pas de prix",IF(M2241&lt;&gt; 0,"pas de quantité","pas de prix, ni de quantité"))))</f>
        <v>erreur de calcul</v>
      </c>
      <c r="BI2241" s="19"/>
    </row>
    <row r="2242" customFormat="false" ht="15" hidden="false" customHeight="false" outlineLevel="0" collapsed="false">
      <c r="A2242" s="0" t="n">
        <v>9</v>
      </c>
      <c r="B2242" s="8" t="s">
        <v>24</v>
      </c>
      <c r="C2242" s="9" t="s">
        <v>25</v>
      </c>
      <c r="D2242" s="9" t="s">
        <v>26</v>
      </c>
      <c r="E2242" s="10" t="n">
        <v>1789</v>
      </c>
      <c r="F2242" s="9" t="s">
        <v>27</v>
      </c>
      <c r="G2242" s="9" t="s">
        <v>27</v>
      </c>
      <c r="H2242" s="11" t="n">
        <v>22</v>
      </c>
      <c r="I2242" s="11" t="s">
        <v>210</v>
      </c>
      <c r="J2242" s="14" t="n">
        <v>8</v>
      </c>
      <c r="K2242" s="14" t="n">
        <v>15</v>
      </c>
      <c r="L2242" s="16"/>
      <c r="M2242" s="27" t="n">
        <f aca="false">J2242+(K2242/20)+(L2242/240)</f>
        <v>8.75</v>
      </c>
      <c r="N2242" s="17" t="s">
        <v>66</v>
      </c>
      <c r="O2242" s="11"/>
      <c r="P2242" s="28"/>
      <c r="Q2242" s="28" t="n">
        <f aca="false">P2242*$M2242</f>
        <v>0</v>
      </c>
      <c r="R2242" s="28"/>
      <c r="S2242" s="28" t="n">
        <f aca="false">R2242*$M2242</f>
        <v>0</v>
      </c>
      <c r="T2242" s="28" t="n">
        <v>2562</v>
      </c>
      <c r="U2242" s="36" t="n">
        <v>21777</v>
      </c>
      <c r="V2242" s="28" t="n">
        <v>127</v>
      </c>
      <c r="W2242" s="28" t="n">
        <v>1111</v>
      </c>
      <c r="X2242" s="28" t="n">
        <v>1945</v>
      </c>
      <c r="Y2242" s="28" t="n">
        <v>17018</v>
      </c>
      <c r="Z2242" s="28"/>
      <c r="AA2242" s="28" t="n">
        <f aca="false">Z2242*$M2242</f>
        <v>0</v>
      </c>
      <c r="AB2242" s="28"/>
      <c r="AC2242" s="28" t="n">
        <f aca="false">AB2242*$M2242</f>
        <v>0</v>
      </c>
      <c r="AD2242" s="28"/>
      <c r="AE2242" s="28" t="n">
        <f aca="false">AD2242*$M2242</f>
        <v>0</v>
      </c>
      <c r="AF2242" s="28"/>
      <c r="AG2242" s="28" t="n">
        <f aca="false">AF2242*$M2242</f>
        <v>0</v>
      </c>
      <c r="AH2242" s="28"/>
      <c r="AI2242" s="28" t="n">
        <f aca="false">AH2242*$M2242</f>
        <v>0</v>
      </c>
      <c r="AJ2242" s="28" t="n">
        <v>3538</v>
      </c>
      <c r="AK2242" s="36" t="n">
        <v>30073</v>
      </c>
      <c r="AL2242" s="28"/>
      <c r="AM2242" s="28" t="n">
        <f aca="false">AL2242*$M2242</f>
        <v>0</v>
      </c>
      <c r="AN2242" s="28"/>
      <c r="AO2242" s="28" t="n">
        <f aca="false">AN2242*$M2242</f>
        <v>0</v>
      </c>
      <c r="AP2242" s="28"/>
      <c r="AQ2242" s="28" t="n">
        <f aca="false">AP2242*$M2242</f>
        <v>0</v>
      </c>
      <c r="AR2242" s="28"/>
      <c r="AS2242" s="28" t="n">
        <f aca="false">AR2242*$M2242</f>
        <v>0</v>
      </c>
      <c r="AT2242" s="28"/>
      <c r="AU2242" s="28" t="n">
        <f aca="false">AT2242*$M2242</f>
        <v>0</v>
      </c>
      <c r="AV2242" s="28"/>
      <c r="AW2242" s="28" t="n">
        <f aca="false">AV2242*$M2242</f>
        <v>0</v>
      </c>
      <c r="AX2242" s="28" t="n">
        <v>11559</v>
      </c>
      <c r="AY2242" s="28" t="n">
        <v>101141</v>
      </c>
      <c r="AZ2242" s="30" t="n">
        <v>19731</v>
      </c>
      <c r="BA2242" s="11" t="n">
        <v>171120</v>
      </c>
      <c r="BB2242" s="31" t="n">
        <f aca="false">SUM(Q2242,S2242,U2242,W2242,Y2242,AA2242,AC2242,AE2242,AG2242,AI2242,AK2242,AM2242,AO2242,AQ2242,AS2242,AU2242,AW2242,AY2242)</f>
        <v>171120</v>
      </c>
      <c r="BC2242" s="28" t="n">
        <f aca="false">BA2242-BB2242</f>
        <v>0</v>
      </c>
      <c r="BD2242" s="32" t="n">
        <f aca="false">SUM(P2242,R2242,T2242,V2242,X2242,Z2242,AB2242,AD2242,AF2242,AH2242,AJ2242,AL2242,AN2242,AP2242,AR2242,AT2242,AV2242,AX2242)</f>
        <v>19731</v>
      </c>
      <c r="BE2242" s="33" t="n">
        <f aca="false">AZ2242-BD2242</f>
        <v>0</v>
      </c>
      <c r="BF2242" s="34" t="n">
        <f aca="false">BD2242*M2242</f>
        <v>172646.25</v>
      </c>
      <c r="BG2242" s="35" t="n">
        <f aca="false">BA2242-BF2242</f>
        <v>-1526.25</v>
      </c>
      <c r="BH2242" s="19" t="str">
        <f aca="false">IF(BG2242=0,"",IF(BG2242&lt;&gt;BA2242,"erreur de calcul",IF(BD2242&lt;&gt;0,"pas de prix",IF(M2242&lt;&gt; 0,"pas de quantité","pas de prix, ni de quantité"))))</f>
        <v>erreur de calcul</v>
      </c>
      <c r="BI2242" s="19"/>
    </row>
    <row r="2243" customFormat="false" ht="15" hidden="false" customHeight="false" outlineLevel="0" collapsed="false">
      <c r="A2243" s="0" t="n">
        <v>10</v>
      </c>
      <c r="B2243" s="8" t="s">
        <v>24</v>
      </c>
      <c r="C2243" s="9" t="s">
        <v>25</v>
      </c>
      <c r="D2243" s="9" t="s">
        <v>26</v>
      </c>
      <c r="E2243" s="10" t="n">
        <v>1789</v>
      </c>
      <c r="F2243" s="9" t="s">
        <v>27</v>
      </c>
      <c r="G2243" s="9" t="s">
        <v>27</v>
      </c>
      <c r="H2243" s="11" t="n">
        <v>22</v>
      </c>
      <c r="I2243" s="11" t="s">
        <v>211</v>
      </c>
      <c r="J2243" s="14" t="n">
        <v>11</v>
      </c>
      <c r="K2243" s="14"/>
      <c r="L2243" s="16"/>
      <c r="M2243" s="27" t="n">
        <f aca="false">J2243+(K2243/20)+(L2243/240)</f>
        <v>11</v>
      </c>
      <c r="N2243" s="17" t="s">
        <v>66</v>
      </c>
      <c r="O2243" s="11"/>
      <c r="P2243" s="28" t="n">
        <v>95190</v>
      </c>
      <c r="Q2243" s="28" t="n">
        <v>1047090</v>
      </c>
      <c r="R2243" s="28"/>
      <c r="S2243" s="28" t="n">
        <f aca="false">R2243*$M2243</f>
        <v>0</v>
      </c>
      <c r="T2243" s="28"/>
      <c r="U2243" s="28" t="n">
        <f aca="false">T2243*$M2243</f>
        <v>0</v>
      </c>
      <c r="V2243" s="28"/>
      <c r="W2243" s="28" t="n">
        <f aca="false">V2243*$M2243</f>
        <v>0</v>
      </c>
      <c r="X2243" s="28"/>
      <c r="Y2243" s="28" t="n">
        <f aca="false">X2243*$M2243</f>
        <v>0</v>
      </c>
      <c r="Z2243" s="28"/>
      <c r="AA2243" s="28" t="n">
        <f aca="false">Z2243*$M2243</f>
        <v>0</v>
      </c>
      <c r="AB2243" s="28"/>
      <c r="AC2243" s="28" t="n">
        <f aca="false">AB2243*$M2243</f>
        <v>0</v>
      </c>
      <c r="AD2243" s="28"/>
      <c r="AE2243" s="28" t="n">
        <f aca="false">AD2243*$M2243</f>
        <v>0</v>
      </c>
      <c r="AF2243" s="28"/>
      <c r="AG2243" s="28" t="n">
        <f aca="false">AF2243*$M2243</f>
        <v>0</v>
      </c>
      <c r="AH2243" s="28"/>
      <c r="AI2243" s="28" t="n">
        <f aca="false">AH2243*$M2243</f>
        <v>0</v>
      </c>
      <c r="AJ2243" s="28"/>
      <c r="AK2243" s="28" t="n">
        <f aca="false">AJ2243*$M2243</f>
        <v>0</v>
      </c>
      <c r="AL2243" s="28"/>
      <c r="AM2243" s="28" t="n">
        <f aca="false">AL2243*$M2243</f>
        <v>0</v>
      </c>
      <c r="AN2243" s="28"/>
      <c r="AO2243" s="28" t="n">
        <f aca="false">AN2243*$M2243</f>
        <v>0</v>
      </c>
      <c r="AP2243" s="28"/>
      <c r="AQ2243" s="28" t="n">
        <f aca="false">AP2243*$M2243</f>
        <v>0</v>
      </c>
      <c r="AR2243" s="28"/>
      <c r="AS2243" s="28" t="n">
        <f aca="false">AR2243*$M2243</f>
        <v>0</v>
      </c>
      <c r="AT2243" s="28"/>
      <c r="AU2243" s="28" t="n">
        <f aca="false">AT2243*$M2243</f>
        <v>0</v>
      </c>
      <c r="AV2243" s="28"/>
      <c r="AW2243" s="28" t="n">
        <f aca="false">AV2243*$M2243</f>
        <v>0</v>
      </c>
      <c r="AX2243" s="28"/>
      <c r="AY2243" s="28" t="n">
        <f aca="false">AX2243*$M2243</f>
        <v>0</v>
      </c>
      <c r="AZ2243" s="30" t="n">
        <v>95190</v>
      </c>
      <c r="BA2243" s="11" t="n">
        <v>1047090</v>
      </c>
      <c r="BB2243" s="31" t="n">
        <f aca="false">SUM(Q2243,S2243,U2243,W2243,Y2243,AA2243,AC2243,AE2243,AG2243,AI2243,AK2243,AM2243,AO2243,AQ2243,AS2243,AU2243,AW2243,AY2243)</f>
        <v>1047090</v>
      </c>
      <c r="BC2243" s="28" t="n">
        <f aca="false">BA2243-BB2243</f>
        <v>0</v>
      </c>
      <c r="BD2243" s="32" t="n">
        <f aca="false">SUM(P2243,R2243,T2243,V2243,X2243,Z2243,AB2243,AD2243,AF2243,AH2243,AJ2243,AL2243,AN2243,AP2243,AR2243,AT2243,AV2243,AX2243)</f>
        <v>95190</v>
      </c>
      <c r="BE2243" s="33" t="n">
        <f aca="false">AZ2243-BD2243</f>
        <v>0</v>
      </c>
      <c r="BF2243" s="34" t="n">
        <f aca="false">BD2243*M2243</f>
        <v>1047090</v>
      </c>
      <c r="BG2243" s="35" t="n">
        <f aca="false">BA2243-BF2243</f>
        <v>0</v>
      </c>
      <c r="BH2243" s="19" t="str">
        <f aca="false">IF(BG2243=0,"",IF(BG2243&lt;&gt;BA2243,"erreur de calcul",IF(BD2243&lt;&gt;0,"pas de prix",IF(M2243&lt;&gt; 0,"pas de quantité","pas de prix, ni de quantité"))))</f>
        <v/>
      </c>
      <c r="BI2243" s="19"/>
    </row>
    <row r="2244" customFormat="false" ht="17.15" hidden="false" customHeight="false" outlineLevel="0" collapsed="false">
      <c r="A2244" s="0" t="n">
        <v>11</v>
      </c>
      <c r="B2244" s="8" t="s">
        <v>24</v>
      </c>
      <c r="C2244" s="9" t="s">
        <v>25</v>
      </c>
      <c r="D2244" s="9" t="s">
        <v>26</v>
      </c>
      <c r="E2244" s="10" t="n">
        <v>1789</v>
      </c>
      <c r="F2244" s="9" t="s">
        <v>27</v>
      </c>
      <c r="G2244" s="9" t="s">
        <v>27</v>
      </c>
      <c r="H2244" s="11" t="n">
        <v>22</v>
      </c>
      <c r="I2244" s="40" t="s">
        <v>212</v>
      </c>
      <c r="J2244" s="14" t="n">
        <v>75</v>
      </c>
      <c r="K2244" s="14"/>
      <c r="L2244" s="16"/>
      <c r="M2244" s="27" t="n">
        <f aca="false">J2244+(K2244/20)+(L2244/240)</f>
        <v>75</v>
      </c>
      <c r="N2244" s="17" t="s">
        <v>64</v>
      </c>
      <c r="O2244" s="11"/>
      <c r="P2244" s="28"/>
      <c r="Q2244" s="28" t="n">
        <f aca="false">P2244*$M2244</f>
        <v>0</v>
      </c>
      <c r="R2244" s="28"/>
      <c r="S2244" s="28" t="n">
        <f aca="false">R2244*$M2244</f>
        <v>0</v>
      </c>
      <c r="T2244" s="28"/>
      <c r="U2244" s="28" t="n">
        <f aca="false">T2244*$M2244</f>
        <v>0</v>
      </c>
      <c r="V2244" s="28"/>
      <c r="W2244" s="28" t="n">
        <f aca="false">V2244*$M2244</f>
        <v>0</v>
      </c>
      <c r="X2244" s="28"/>
      <c r="Y2244" s="28" t="n">
        <f aca="false">X2244*$M2244</f>
        <v>0</v>
      </c>
      <c r="Z2244" s="28"/>
      <c r="AA2244" s="28" t="n">
        <f aca="false">Z2244*$M2244</f>
        <v>0</v>
      </c>
      <c r="AB2244" s="28"/>
      <c r="AC2244" s="28" t="n">
        <f aca="false">AB2244*$M2244</f>
        <v>0</v>
      </c>
      <c r="AD2244" s="28"/>
      <c r="AE2244" s="28" t="n">
        <f aca="false">AD2244*$M2244</f>
        <v>0</v>
      </c>
      <c r="AF2244" s="28"/>
      <c r="AG2244" s="28" t="n">
        <f aca="false">AF2244*$M2244</f>
        <v>0</v>
      </c>
      <c r="AH2244" s="28"/>
      <c r="AI2244" s="28" t="n">
        <f aca="false">AH2244*$M2244</f>
        <v>0</v>
      </c>
      <c r="AJ2244" s="28" t="n">
        <f aca="false">2372/100</f>
        <v>23.72</v>
      </c>
      <c r="AK2244" s="28" t="n">
        <v>1779</v>
      </c>
      <c r="AL2244" s="28"/>
      <c r="AM2244" s="28" t="n">
        <f aca="false">AL2244*$M2244</f>
        <v>0</v>
      </c>
      <c r="AN2244" s="28"/>
      <c r="AO2244" s="28" t="n">
        <f aca="false">AN2244*$M2244</f>
        <v>0</v>
      </c>
      <c r="AP2244" s="28"/>
      <c r="AQ2244" s="28" t="n">
        <f aca="false">AP2244*$M2244</f>
        <v>0</v>
      </c>
      <c r="AR2244" s="28"/>
      <c r="AS2244" s="28" t="n">
        <f aca="false">AR2244*$M2244</f>
        <v>0</v>
      </c>
      <c r="AT2244" s="28"/>
      <c r="AU2244" s="28" t="n">
        <f aca="false">AT2244*$M2244</f>
        <v>0</v>
      </c>
      <c r="AV2244" s="28"/>
      <c r="AW2244" s="28" t="n">
        <f aca="false">AV2244*$M2244</f>
        <v>0</v>
      </c>
      <c r="AX2244" s="28"/>
      <c r="AY2244" s="28" t="n">
        <f aca="false">AX2244*$M2244</f>
        <v>0</v>
      </c>
      <c r="AZ2244" s="30" t="n">
        <f aca="false">2372/100</f>
        <v>23.72</v>
      </c>
      <c r="BA2244" s="11" t="n">
        <v>1779</v>
      </c>
      <c r="BB2244" s="31" t="n">
        <f aca="false">SUM(Q2244,S2244,U2244,W2244,Y2244,AA2244,AC2244,AE2244,AG2244,AI2244,AK2244,AM2244,AO2244,AQ2244,AS2244,AU2244,AW2244,AY2244)</f>
        <v>1779</v>
      </c>
      <c r="BC2244" s="28" t="n">
        <f aca="false">BA2244-BB2244</f>
        <v>0</v>
      </c>
      <c r="BD2244" s="32" t="n">
        <f aca="false">SUM(P2244,R2244,T2244,V2244,X2244,Z2244,AB2244,AD2244,AF2244,AH2244,AJ2244,AL2244,AN2244,AP2244,AR2244,AT2244,AV2244,AX2244)</f>
        <v>23.72</v>
      </c>
      <c r="BE2244" s="33" t="n">
        <f aca="false">AZ2244-BD2244</f>
        <v>0</v>
      </c>
      <c r="BF2244" s="34" t="n">
        <f aca="false">BD2244*M2244</f>
        <v>1779</v>
      </c>
      <c r="BG2244" s="35" t="n">
        <f aca="false">BA2244-BF2244</f>
        <v>0</v>
      </c>
      <c r="BH2244" s="19" t="str">
        <f aca="false">IF(BG2244=0,"",IF(BG2244&lt;&gt;BA2244,"erreur de calcul",IF(BD2244&lt;&gt;0,"pas de prix",IF(M2244&lt;&gt; 0,"pas de quantité","pas de prix, ni de quantité"))))</f>
        <v/>
      </c>
      <c r="BI2244" s="19"/>
    </row>
    <row r="2245" customFormat="false" ht="15" hidden="false" customHeight="false" outlineLevel="0" collapsed="false">
      <c r="A2245" s="0" t="n">
        <v>12</v>
      </c>
      <c r="B2245" s="8" t="s">
        <v>24</v>
      </c>
      <c r="C2245" s="9" t="s">
        <v>25</v>
      </c>
      <c r="D2245" s="9" t="s">
        <v>26</v>
      </c>
      <c r="E2245" s="10" t="n">
        <v>1789</v>
      </c>
      <c r="F2245" s="9" t="s">
        <v>27</v>
      </c>
      <c r="G2245" s="9" t="s">
        <v>27</v>
      </c>
      <c r="H2245" s="11" t="n">
        <v>22</v>
      </c>
      <c r="I2245" s="11" t="s">
        <v>213</v>
      </c>
      <c r="J2245" s="14" t="n">
        <v>31</v>
      </c>
      <c r="K2245" s="14"/>
      <c r="L2245" s="16"/>
      <c r="M2245" s="27" t="n">
        <f aca="false">J2245+(K2245/20)+(L2245/240)</f>
        <v>31</v>
      </c>
      <c r="N2245" s="17" t="s">
        <v>64</v>
      </c>
      <c r="O2245" s="11"/>
      <c r="P2245" s="28"/>
      <c r="Q2245" s="28" t="n">
        <f aca="false">P2245*$M2245</f>
        <v>0</v>
      </c>
      <c r="R2245" s="28"/>
      <c r="S2245" s="28" t="n">
        <f aca="false">R2245*$M2245</f>
        <v>0</v>
      </c>
      <c r="T2245" s="28"/>
      <c r="U2245" s="28" t="n">
        <f aca="false">T2245*$M2245</f>
        <v>0</v>
      </c>
      <c r="V2245" s="28"/>
      <c r="W2245" s="28" t="n">
        <f aca="false">V2245*$M2245</f>
        <v>0</v>
      </c>
      <c r="X2245" s="28" t="n">
        <f aca="false">18202/100</f>
        <v>182.02</v>
      </c>
      <c r="Y2245" s="28" t="n">
        <v>5643</v>
      </c>
      <c r="Z2245" s="28"/>
      <c r="AA2245" s="28" t="n">
        <f aca="false">Z2245*$M2245</f>
        <v>0</v>
      </c>
      <c r="AB2245" s="28"/>
      <c r="AC2245" s="28" t="n">
        <f aca="false">AB2245*$M2245</f>
        <v>0</v>
      </c>
      <c r="AD2245" s="28"/>
      <c r="AE2245" s="28" t="n">
        <f aca="false">AD2245*$M2245</f>
        <v>0</v>
      </c>
      <c r="AF2245" s="28"/>
      <c r="AG2245" s="28" t="n">
        <f aca="false">AF2245*$M2245</f>
        <v>0</v>
      </c>
      <c r="AH2245" s="28"/>
      <c r="AI2245" s="28" t="n">
        <f aca="false">AH2245*$M2245</f>
        <v>0</v>
      </c>
      <c r="AJ2245" s="28"/>
      <c r="AK2245" s="28" t="n">
        <f aca="false">AJ2245*$M2245</f>
        <v>0</v>
      </c>
      <c r="AL2245" s="28"/>
      <c r="AM2245" s="28" t="n">
        <f aca="false">AL2245*$M2245</f>
        <v>0</v>
      </c>
      <c r="AN2245" s="28"/>
      <c r="AO2245" s="28" t="n">
        <f aca="false">AN2245*$M2245</f>
        <v>0</v>
      </c>
      <c r="AP2245" s="28"/>
      <c r="AQ2245" s="28" t="n">
        <f aca="false">AP2245*$M2245</f>
        <v>0</v>
      </c>
      <c r="AR2245" s="28"/>
      <c r="AS2245" s="28" t="n">
        <f aca="false">AR2245*$M2245</f>
        <v>0</v>
      </c>
      <c r="AT2245" s="28"/>
      <c r="AU2245" s="28" t="n">
        <f aca="false">AT2245*$M2245</f>
        <v>0</v>
      </c>
      <c r="AV2245" s="28"/>
      <c r="AW2245" s="28" t="n">
        <f aca="false">AV2245*$M2245</f>
        <v>0</v>
      </c>
      <c r="AX2245" s="28"/>
      <c r="AY2245" s="28" t="n">
        <f aca="false">AX2245*$M2245</f>
        <v>0</v>
      </c>
      <c r="AZ2245" s="30" t="n">
        <f aca="false">18202/100</f>
        <v>182.02</v>
      </c>
      <c r="BA2245" s="11" t="n">
        <v>5643</v>
      </c>
      <c r="BB2245" s="31" t="n">
        <f aca="false">SUM(Q2245,S2245,U2245,W2245,Y2245,AA2245,AC2245,AE2245,AG2245,AI2245,AK2245,AM2245,AO2245,AQ2245,AS2245,AU2245,AW2245,AY2245)</f>
        <v>5643</v>
      </c>
      <c r="BC2245" s="28" t="n">
        <f aca="false">BA2245-BB2245</f>
        <v>0</v>
      </c>
      <c r="BD2245" s="32" t="n">
        <f aca="false">SUM(P2245,R2245,T2245,V2245,X2245,Z2245,AB2245,AD2245,AF2245,AH2245,AJ2245,AL2245,AN2245,AP2245,AR2245,AT2245,AV2245,AX2245)</f>
        <v>182.02</v>
      </c>
      <c r="BE2245" s="33" t="n">
        <f aca="false">AZ2245-BD2245</f>
        <v>0</v>
      </c>
      <c r="BF2245" s="34" t="n">
        <f aca="false">BD2245*M2245</f>
        <v>5642.62</v>
      </c>
      <c r="BG2245" s="35" t="n">
        <f aca="false">BA2245-BF2245</f>
        <v>0.380000000000109</v>
      </c>
      <c r="BH2245" s="19" t="str">
        <f aca="false">IF(BG2245=0,"",IF(BG2245&lt;&gt;BA2245,"erreur de calcul",IF(BD2245&lt;&gt;0,"pas de prix",IF(M2245&lt;&gt; 0,"pas de quantité","pas de prix, ni de quantité"))))</f>
        <v>erreur de calcul</v>
      </c>
      <c r="BI2245" s="19"/>
    </row>
    <row r="2246" customFormat="false" ht="15" hidden="false" customHeight="false" outlineLevel="0" collapsed="false">
      <c r="A2246" s="0" t="n">
        <v>13</v>
      </c>
      <c r="B2246" s="8" t="s">
        <v>24</v>
      </c>
      <c r="C2246" s="9" t="s">
        <v>25</v>
      </c>
      <c r="D2246" s="9" t="s">
        <v>26</v>
      </c>
      <c r="E2246" s="10" t="n">
        <v>1789</v>
      </c>
      <c r="F2246" s="9" t="s">
        <v>27</v>
      </c>
      <c r="G2246" s="9" t="s">
        <v>27</v>
      </c>
      <c r="H2246" s="11" t="n">
        <v>22</v>
      </c>
      <c r="I2246" s="11" t="s">
        <v>214</v>
      </c>
      <c r="J2246" s="14"/>
      <c r="K2246" s="14" t="n">
        <v>20</v>
      </c>
      <c r="L2246" s="16"/>
      <c r="M2246" s="27" t="n">
        <f aca="false">J2246+(K2246/20)+(L2246/240)</f>
        <v>1</v>
      </c>
      <c r="N2246" s="17" t="s">
        <v>66</v>
      </c>
      <c r="O2246" s="11"/>
      <c r="P2246" s="28"/>
      <c r="Q2246" s="28" t="n">
        <f aca="false">P2246*$M2246</f>
        <v>0</v>
      </c>
      <c r="R2246" s="28"/>
      <c r="S2246" s="28" t="n">
        <f aca="false">R2246*$M2246</f>
        <v>0</v>
      </c>
      <c r="T2246" s="28"/>
      <c r="U2246" s="28" t="n">
        <f aca="false">T2246*$M2246</f>
        <v>0</v>
      </c>
      <c r="V2246" s="28"/>
      <c r="W2246" s="28" t="n">
        <f aca="false">V2246*$M2246</f>
        <v>0</v>
      </c>
      <c r="X2246" s="28"/>
      <c r="Y2246" s="28" t="n">
        <f aca="false">X2246*$M2246</f>
        <v>0</v>
      </c>
      <c r="Z2246" s="28"/>
      <c r="AA2246" s="28" t="n">
        <f aca="false">Z2246*$M2246</f>
        <v>0</v>
      </c>
      <c r="AB2246" s="28"/>
      <c r="AC2246" s="28" t="n">
        <f aca="false">AB2246*$M2246</f>
        <v>0</v>
      </c>
      <c r="AD2246" s="28" t="n">
        <v>2831</v>
      </c>
      <c r="AE2246" s="28" t="n">
        <v>2831</v>
      </c>
      <c r="AF2246" s="28"/>
      <c r="AG2246" s="28" t="n">
        <f aca="false">AF2246*$M2246</f>
        <v>0</v>
      </c>
      <c r="AH2246" s="28"/>
      <c r="AI2246" s="28" t="n">
        <f aca="false">AH2246*$M2246</f>
        <v>0</v>
      </c>
      <c r="AJ2246" s="28"/>
      <c r="AK2246" s="28" t="n">
        <f aca="false">AJ2246*$M2246</f>
        <v>0</v>
      </c>
      <c r="AL2246" s="28"/>
      <c r="AM2246" s="28" t="n">
        <f aca="false">AL2246*$M2246</f>
        <v>0</v>
      </c>
      <c r="AN2246" s="28"/>
      <c r="AO2246" s="28" t="n">
        <f aca="false">AN2246*$M2246</f>
        <v>0</v>
      </c>
      <c r="AP2246" s="28"/>
      <c r="AQ2246" s="28" t="n">
        <f aca="false">AP2246*$M2246</f>
        <v>0</v>
      </c>
      <c r="AR2246" s="28"/>
      <c r="AS2246" s="28" t="n">
        <f aca="false">AR2246*$M2246</f>
        <v>0</v>
      </c>
      <c r="AT2246" s="28"/>
      <c r="AU2246" s="28" t="n">
        <f aca="false">AT2246*$M2246</f>
        <v>0</v>
      </c>
      <c r="AV2246" s="28"/>
      <c r="AW2246" s="28" t="n">
        <f aca="false">AV2246*$M2246</f>
        <v>0</v>
      </c>
      <c r="AX2246" s="28"/>
      <c r="AY2246" s="28" t="n">
        <f aca="false">AX2246*$M2246</f>
        <v>0</v>
      </c>
      <c r="AZ2246" s="30" t="n">
        <v>2831</v>
      </c>
      <c r="BA2246" s="11" t="n">
        <v>2831</v>
      </c>
      <c r="BB2246" s="31" t="n">
        <f aca="false">SUM(Q2246,S2246,U2246,W2246,Y2246,AA2246,AC2246,AE2246,AG2246,AI2246,AK2246,AM2246,AO2246,AQ2246,AS2246,AU2246,AW2246,AY2246)</f>
        <v>2831</v>
      </c>
      <c r="BC2246" s="28" t="n">
        <f aca="false">BA2246-BB2246</f>
        <v>0</v>
      </c>
      <c r="BD2246" s="32" t="n">
        <f aca="false">SUM(P2246,R2246,T2246,V2246,X2246,Z2246,AB2246,AD2246,AF2246,AH2246,AJ2246,AL2246,AN2246,AP2246,AR2246,AT2246,AV2246,AX2246)</f>
        <v>2831</v>
      </c>
      <c r="BE2246" s="33" t="n">
        <f aca="false">AZ2246-BD2246</f>
        <v>0</v>
      </c>
      <c r="BF2246" s="34" t="n">
        <f aca="false">BD2246*M2246</f>
        <v>2831</v>
      </c>
      <c r="BG2246" s="35" t="n">
        <f aca="false">BA2246-BF2246</f>
        <v>0</v>
      </c>
      <c r="BH2246" s="19" t="str">
        <f aca="false">IF(BG2246=0,"",IF(BG2246&lt;&gt;BA2246,"erreur de calcul",IF(BD2246&lt;&gt;0,"pas de prix",IF(M2246&lt;&gt; 0,"pas de quantité","pas de prix, ni de quantité"))))</f>
        <v/>
      </c>
      <c r="BI2246" s="19"/>
    </row>
    <row r="2247" customFormat="false" ht="15" hidden="false" customHeight="false" outlineLevel="0" collapsed="false">
      <c r="A2247" s="0" t="n">
        <v>14</v>
      </c>
      <c r="B2247" s="8" t="s">
        <v>24</v>
      </c>
      <c r="C2247" s="9" t="s">
        <v>25</v>
      </c>
      <c r="D2247" s="9" t="s">
        <v>26</v>
      </c>
      <c r="E2247" s="10" t="n">
        <v>1789</v>
      </c>
      <c r="F2247" s="9" t="s">
        <v>27</v>
      </c>
      <c r="G2247" s="9" t="s">
        <v>27</v>
      </c>
      <c r="H2247" s="11" t="n">
        <v>22</v>
      </c>
      <c r="I2247" s="11" t="s">
        <v>215</v>
      </c>
      <c r="J2247" s="14" t="n">
        <v>36</v>
      </c>
      <c r="K2247" s="14"/>
      <c r="L2247" s="16"/>
      <c r="M2247" s="27" t="n">
        <f aca="false">J2247+(K2247/20)+(L2247/240)</f>
        <v>36</v>
      </c>
      <c r="N2247" s="17" t="s">
        <v>64</v>
      </c>
      <c r="O2247" s="11"/>
      <c r="P2247" s="28"/>
      <c r="Q2247" s="28" t="n">
        <f aca="false">P2247*$M2247</f>
        <v>0</v>
      </c>
      <c r="R2247" s="28"/>
      <c r="S2247" s="28" t="n">
        <f aca="false">R2247*$M2247</f>
        <v>0</v>
      </c>
      <c r="T2247" s="28"/>
      <c r="U2247" s="28" t="n">
        <f aca="false">T2247*$M2247</f>
        <v>0</v>
      </c>
      <c r="V2247" s="28"/>
      <c r="W2247" s="28" t="n">
        <f aca="false">V2247*$M2247</f>
        <v>0</v>
      </c>
      <c r="X2247" s="28"/>
      <c r="Y2247" s="28" t="n">
        <f aca="false">X2247*$M2247</f>
        <v>0</v>
      </c>
      <c r="Z2247" s="28"/>
      <c r="AA2247" s="28" t="n">
        <f aca="false">Z2247*$M2247</f>
        <v>0</v>
      </c>
      <c r="AB2247" s="28"/>
      <c r="AC2247" s="28" t="n">
        <f aca="false">AB2247*$M2247</f>
        <v>0</v>
      </c>
      <c r="AD2247" s="28"/>
      <c r="AE2247" s="28" t="n">
        <f aca="false">AD2247*$M2247</f>
        <v>0</v>
      </c>
      <c r="AF2247" s="28" t="n">
        <f aca="false">92472/100</f>
        <v>924.72</v>
      </c>
      <c r="AG2247" s="28" t="n">
        <v>33290</v>
      </c>
      <c r="AH2247" s="28" t="n">
        <f aca="false">490633/100</f>
        <v>4906.33</v>
      </c>
      <c r="AI2247" s="28" t="n">
        <v>176628</v>
      </c>
      <c r="AJ2247" s="28"/>
      <c r="AK2247" s="28" t="n">
        <f aca="false">AJ2247*$M2247</f>
        <v>0</v>
      </c>
      <c r="AL2247" s="28"/>
      <c r="AM2247" s="28" t="n">
        <f aca="false">AL2247*$M2247</f>
        <v>0</v>
      </c>
      <c r="AN2247" s="28"/>
      <c r="AO2247" s="28" t="n">
        <f aca="false">AN2247*$M2247</f>
        <v>0</v>
      </c>
      <c r="AP2247" s="28"/>
      <c r="AQ2247" s="28" t="n">
        <f aca="false">AP2247*$M2247</f>
        <v>0</v>
      </c>
      <c r="AR2247" s="28"/>
      <c r="AS2247" s="28" t="n">
        <f aca="false">AR2247*$M2247</f>
        <v>0</v>
      </c>
      <c r="AT2247" s="28"/>
      <c r="AU2247" s="28" t="n">
        <f aca="false">AT2247*$M2247</f>
        <v>0</v>
      </c>
      <c r="AV2247" s="28"/>
      <c r="AW2247" s="28" t="n">
        <f aca="false">AV2247*$M2247</f>
        <v>0</v>
      </c>
      <c r="AX2247" s="28"/>
      <c r="AY2247" s="28" t="n">
        <f aca="false">AX2247*$M2247</f>
        <v>0</v>
      </c>
      <c r="AZ2247" s="30" t="n">
        <f aca="false">583105/100</f>
        <v>5831.05</v>
      </c>
      <c r="BA2247" s="11" t="n">
        <v>209918</v>
      </c>
      <c r="BB2247" s="31" t="n">
        <f aca="false">SUM(Q2247,S2247,U2247,W2247,Y2247,AA2247,AC2247,AE2247,AG2247,AI2247,AK2247,AM2247,AO2247,AQ2247,AS2247,AU2247,AW2247,AY2247)</f>
        <v>209918</v>
      </c>
      <c r="BC2247" s="28" t="n">
        <f aca="false">BA2247-BB2247</f>
        <v>0</v>
      </c>
      <c r="BD2247" s="32" t="n">
        <f aca="false">SUM(P2247,R2247,T2247,V2247,X2247,Z2247,AB2247,AD2247,AF2247,AH2247,AJ2247,AL2247,AN2247,AP2247,AR2247,AT2247,AV2247,AX2247)</f>
        <v>5831.05</v>
      </c>
      <c r="BE2247" s="33" t="n">
        <f aca="false">AZ2247-BD2247</f>
        <v>0</v>
      </c>
      <c r="BF2247" s="34" t="n">
        <f aca="false">BD2247*M2247</f>
        <v>209917.8</v>
      </c>
      <c r="BG2247" s="35" t="n">
        <f aca="false">BA2247-BF2247</f>
        <v>0.199999999982538</v>
      </c>
      <c r="BH2247" s="19" t="str">
        <f aca="false">IF(BG2247=0,"",IF(BG2247&lt;&gt;BA2247,"erreur de calcul",IF(BD2247&lt;&gt;0,"pas de prix",IF(M2247&lt;&gt; 0,"pas de quantité","pas de prix, ni de quantité"))))</f>
        <v>erreur de calcul</v>
      </c>
      <c r="BI2247" s="19"/>
    </row>
    <row r="2248" customFormat="false" ht="15" hidden="false" customHeight="false" outlineLevel="0" collapsed="false">
      <c r="A2248" s="0" t="n">
        <v>15</v>
      </c>
      <c r="B2248" s="8" t="s">
        <v>24</v>
      </c>
      <c r="C2248" s="9" t="s">
        <v>25</v>
      </c>
      <c r="D2248" s="9" t="s">
        <v>26</v>
      </c>
      <c r="E2248" s="10" t="n">
        <v>1789</v>
      </c>
      <c r="F2248" s="9" t="s">
        <v>27</v>
      </c>
      <c r="G2248" s="9" t="s">
        <v>27</v>
      </c>
      <c r="H2248" s="11" t="n">
        <v>22</v>
      </c>
      <c r="I2248" s="11" t="s">
        <v>216</v>
      </c>
      <c r="J2248" s="14"/>
      <c r="K2248" s="14" t="n">
        <v>22</v>
      </c>
      <c r="L2248" s="16"/>
      <c r="M2248" s="27" t="n">
        <f aca="false">J2248+(K2248/20)+(L2248/240)</f>
        <v>1.1</v>
      </c>
      <c r="N2248" s="17" t="s">
        <v>66</v>
      </c>
      <c r="O2248" s="11"/>
      <c r="P2248" s="28"/>
      <c r="Q2248" s="28" t="n">
        <f aca="false">P2248*$M2248</f>
        <v>0</v>
      </c>
      <c r="R2248" s="28"/>
      <c r="S2248" s="28" t="n">
        <f aca="false">R2248*$M2248</f>
        <v>0</v>
      </c>
      <c r="T2248" s="28" t="n">
        <v>2875</v>
      </c>
      <c r="U2248" s="28" t="n">
        <v>3162</v>
      </c>
      <c r="V2248" s="28"/>
      <c r="W2248" s="28" t="n">
        <f aca="false">V2248*$M2248</f>
        <v>0</v>
      </c>
      <c r="X2248" s="28"/>
      <c r="Y2248" s="28" t="n">
        <f aca="false">X2248*$M2248</f>
        <v>0</v>
      </c>
      <c r="Z2248" s="28"/>
      <c r="AA2248" s="28" t="n">
        <f aca="false">Z2248*$M2248</f>
        <v>0</v>
      </c>
      <c r="AB2248" s="28"/>
      <c r="AC2248" s="28" t="n">
        <f aca="false">AB2248*$M2248</f>
        <v>0</v>
      </c>
      <c r="AD2248" s="28"/>
      <c r="AE2248" s="28" t="n">
        <f aca="false">AD2248*$M2248</f>
        <v>0</v>
      </c>
      <c r="AF2248" s="28"/>
      <c r="AG2248" s="28" t="n">
        <f aca="false">AF2248*$M2248</f>
        <v>0</v>
      </c>
      <c r="AH2248" s="28"/>
      <c r="AI2248" s="28" t="n">
        <f aca="false">AH2248*$M2248</f>
        <v>0</v>
      </c>
      <c r="AJ2248" s="28"/>
      <c r="AK2248" s="28" t="n">
        <f aca="false">AJ2248*$M2248</f>
        <v>0</v>
      </c>
      <c r="AL2248" s="28"/>
      <c r="AM2248" s="28" t="n">
        <f aca="false">AL2248*$M2248</f>
        <v>0</v>
      </c>
      <c r="AN2248" s="28"/>
      <c r="AO2248" s="28" t="n">
        <f aca="false">AN2248*$M2248</f>
        <v>0</v>
      </c>
      <c r="AP2248" s="28"/>
      <c r="AQ2248" s="28" t="n">
        <f aca="false">AP2248*$M2248</f>
        <v>0</v>
      </c>
      <c r="AR2248" s="28"/>
      <c r="AS2248" s="28" t="n">
        <f aca="false">AR2248*$M2248</f>
        <v>0</v>
      </c>
      <c r="AT2248" s="28"/>
      <c r="AU2248" s="28" t="n">
        <f aca="false">AT2248*$M2248</f>
        <v>0</v>
      </c>
      <c r="AV2248" s="28"/>
      <c r="AW2248" s="28" t="n">
        <f aca="false">AV2248*$M2248</f>
        <v>0</v>
      </c>
      <c r="AX2248" s="28"/>
      <c r="AY2248" s="28" t="n">
        <f aca="false">AX2248*$M2248</f>
        <v>0</v>
      </c>
      <c r="AZ2248" s="30" t="n">
        <v>2875</v>
      </c>
      <c r="BA2248" s="11" t="n">
        <v>3162</v>
      </c>
      <c r="BB2248" s="31" t="n">
        <f aca="false">SUM(Q2248,S2248,U2248,W2248,Y2248,AA2248,AC2248,AE2248,AG2248,AI2248,AK2248,AM2248,AO2248,AQ2248,AS2248,AU2248,AW2248,AY2248)</f>
        <v>3162</v>
      </c>
      <c r="BC2248" s="28" t="n">
        <f aca="false">BA2248-BB2248</f>
        <v>0</v>
      </c>
      <c r="BD2248" s="32" t="n">
        <f aca="false">SUM(P2248,R2248,T2248,V2248,X2248,Z2248,AB2248,AD2248,AF2248,AH2248,AJ2248,AL2248,AN2248,AP2248,AR2248,AT2248,AV2248,AX2248)</f>
        <v>2875</v>
      </c>
      <c r="BE2248" s="33" t="n">
        <f aca="false">AZ2248-BD2248</f>
        <v>0</v>
      </c>
      <c r="BF2248" s="34" t="n">
        <f aca="false">BD2248*M2248</f>
        <v>3162.5</v>
      </c>
      <c r="BG2248" s="35" t="n">
        <f aca="false">BA2248-BF2248</f>
        <v>-0.500000000000455</v>
      </c>
      <c r="BH2248" s="19" t="str">
        <f aca="false">IF(BG2248=0,"",IF(BG2248&lt;&gt;BA2248,"erreur de calcul",IF(BD2248&lt;&gt;0,"pas de prix",IF(M2248&lt;&gt; 0,"pas de quantité","pas de prix, ni de quantité"))))</f>
        <v>erreur de calcul</v>
      </c>
      <c r="BI2248" s="19"/>
    </row>
    <row r="2249" customFormat="false" ht="15" hidden="false" customHeight="false" outlineLevel="0" collapsed="false">
      <c r="A2249" s="0" t="n">
        <v>16</v>
      </c>
      <c r="B2249" s="8" t="s">
        <v>24</v>
      </c>
      <c r="C2249" s="9" t="s">
        <v>25</v>
      </c>
      <c r="D2249" s="9" t="s">
        <v>26</v>
      </c>
      <c r="E2249" s="10" t="n">
        <v>1789</v>
      </c>
      <c r="F2249" s="9" t="s">
        <v>27</v>
      </c>
      <c r="G2249" s="9" t="s">
        <v>27</v>
      </c>
      <c r="H2249" s="11" t="n">
        <v>22</v>
      </c>
      <c r="I2249" s="11" t="s">
        <v>217</v>
      </c>
      <c r="J2249" s="14" t="n">
        <v>90</v>
      </c>
      <c r="K2249" s="14"/>
      <c r="L2249" s="16"/>
      <c r="M2249" s="27" t="n">
        <f aca="false">J2249+(K2249/20)+(L2249/240)</f>
        <v>90</v>
      </c>
      <c r="N2249" s="17" t="s">
        <v>64</v>
      </c>
      <c r="O2249" s="11"/>
      <c r="P2249" s="28"/>
      <c r="Q2249" s="28" t="n">
        <f aca="false">P2249*$M2249</f>
        <v>0</v>
      </c>
      <c r="R2249" s="28"/>
      <c r="S2249" s="28" t="n">
        <f aca="false">R2249*$M2249</f>
        <v>0</v>
      </c>
      <c r="T2249" s="28"/>
      <c r="U2249" s="28" t="n">
        <f aca="false">T2249*$M2249</f>
        <v>0</v>
      </c>
      <c r="V2249" s="28"/>
      <c r="W2249" s="28" t="n">
        <f aca="false">V2249*$M2249</f>
        <v>0</v>
      </c>
      <c r="X2249" s="28" t="n">
        <f aca="false">2440/100</f>
        <v>24.4</v>
      </c>
      <c r="Y2249" s="28" t="n">
        <v>2196</v>
      </c>
      <c r="Z2249" s="28"/>
      <c r="AA2249" s="28" t="n">
        <f aca="false">Z2249*$M2249</f>
        <v>0</v>
      </c>
      <c r="AB2249" s="28"/>
      <c r="AC2249" s="28" t="n">
        <f aca="false">AB2249*$M2249</f>
        <v>0</v>
      </c>
      <c r="AD2249" s="28"/>
      <c r="AE2249" s="28" t="n">
        <f aca="false">AD2249*$M2249</f>
        <v>0</v>
      </c>
      <c r="AF2249" s="28"/>
      <c r="AG2249" s="28" t="n">
        <f aca="false">AF2249*$M2249</f>
        <v>0</v>
      </c>
      <c r="AH2249" s="28" t="n">
        <f aca="false">524577/100</f>
        <v>5245.77</v>
      </c>
      <c r="AI2249" s="28" t="n">
        <v>472116</v>
      </c>
      <c r="AJ2249" s="28"/>
      <c r="AK2249" s="28" t="n">
        <f aca="false">AJ2249*$M2249</f>
        <v>0</v>
      </c>
      <c r="AL2249" s="28"/>
      <c r="AM2249" s="28" t="n">
        <f aca="false">AL2249*$M2249</f>
        <v>0</v>
      </c>
      <c r="AN2249" s="28"/>
      <c r="AO2249" s="28" t="n">
        <f aca="false">AN2249*$M2249</f>
        <v>0</v>
      </c>
      <c r="AP2249" s="28"/>
      <c r="AQ2249" s="28" t="n">
        <f aca="false">AP2249*$M2249</f>
        <v>0</v>
      </c>
      <c r="AR2249" s="28"/>
      <c r="AS2249" s="28" t="n">
        <f aca="false">AR2249*$M2249</f>
        <v>0</v>
      </c>
      <c r="AT2249" s="28"/>
      <c r="AU2249" s="28" t="n">
        <f aca="false">AT2249*$M2249</f>
        <v>0</v>
      </c>
      <c r="AV2249" s="28"/>
      <c r="AW2249" s="28" t="n">
        <f aca="false">AV2249*$M2249</f>
        <v>0</v>
      </c>
      <c r="AX2249" s="28"/>
      <c r="AY2249" s="28" t="n">
        <f aca="false">AX2249*$M2249</f>
        <v>0</v>
      </c>
      <c r="AZ2249" s="30" t="n">
        <f aca="false">526980/100</f>
        <v>5269.8</v>
      </c>
      <c r="BA2249" s="11" t="n">
        <v>474312</v>
      </c>
      <c r="BB2249" s="31" t="n">
        <f aca="false">SUM(Q2249,S2249,U2249,W2249,Y2249,AA2249,AC2249,AE2249,AG2249,AI2249,AK2249,AM2249,AO2249,AQ2249,AS2249,AU2249,AW2249,AY2249)</f>
        <v>474312</v>
      </c>
      <c r="BC2249" s="28" t="n">
        <f aca="false">BA2249-BB2249</f>
        <v>0</v>
      </c>
      <c r="BD2249" s="32" t="n">
        <f aca="false">SUM(P2249,R2249,T2249,V2249,X2249,Z2249,AB2249,AD2249,AF2249,AH2249,AJ2249,AL2249,AN2249,AP2249,AR2249,AT2249,AV2249,AX2249)</f>
        <v>5270.17</v>
      </c>
      <c r="BE2249" s="33" t="n">
        <f aca="false">AZ2249-BD2249</f>
        <v>-0.369999999999891</v>
      </c>
      <c r="BF2249" s="34" t="n">
        <f aca="false">BD2249*M2249</f>
        <v>474315.3</v>
      </c>
      <c r="BG2249" s="35" t="n">
        <f aca="false">BA2249-BF2249</f>
        <v>-3.29999999998836</v>
      </c>
      <c r="BH2249" s="19" t="str">
        <f aca="false">IF(BG2249=0,"",IF(BG2249&lt;&gt;BA2249,"erreur de calcul",IF(BD2249&lt;&gt;0,"pas de prix",IF(M2249&lt;&gt; 0,"pas de quantité","pas de prix, ni de quantité"))))</f>
        <v>erreur de calcul</v>
      </c>
      <c r="BI2249" s="19"/>
    </row>
    <row r="2250" customFormat="false" ht="15" hidden="false" customHeight="false" outlineLevel="0" collapsed="false">
      <c r="A2250" s="0" t="n">
        <v>17</v>
      </c>
      <c r="B2250" s="8" t="s">
        <v>24</v>
      </c>
      <c r="C2250" s="9" t="s">
        <v>25</v>
      </c>
      <c r="D2250" s="9" t="s">
        <v>26</v>
      </c>
      <c r="E2250" s="10" t="n">
        <v>1789</v>
      </c>
      <c r="F2250" s="9" t="s">
        <v>27</v>
      </c>
      <c r="G2250" s="9" t="s">
        <v>27</v>
      </c>
      <c r="H2250" s="11" t="n">
        <v>22</v>
      </c>
      <c r="I2250" s="11" t="s">
        <v>218</v>
      </c>
      <c r="J2250" s="14" t="n">
        <v>15</v>
      </c>
      <c r="K2250" s="14"/>
      <c r="L2250" s="16"/>
      <c r="M2250" s="27" t="n">
        <f aca="false">J2250+(K2250/20)+(L2250/240)</f>
        <v>15</v>
      </c>
      <c r="N2250" s="17" t="s">
        <v>64</v>
      </c>
      <c r="O2250" s="11"/>
      <c r="P2250" s="28" t="n">
        <f aca="false">12250/100</f>
        <v>122.5</v>
      </c>
      <c r="Q2250" s="28" t="n">
        <v>1837</v>
      </c>
      <c r="R2250" s="28"/>
      <c r="S2250" s="28" t="n">
        <f aca="false">R2250*$M2250</f>
        <v>0</v>
      </c>
      <c r="T2250" s="28"/>
      <c r="U2250" s="28" t="n">
        <f aca="false">T2250*$M2250</f>
        <v>0</v>
      </c>
      <c r="V2250" s="28" t="n">
        <f aca="false">118493/100</f>
        <v>1184.93</v>
      </c>
      <c r="W2250" s="28" t="n">
        <v>17774</v>
      </c>
      <c r="X2250" s="28" t="n">
        <f aca="false">16835/100</f>
        <v>168.35</v>
      </c>
      <c r="Y2250" s="28" t="n">
        <v>2525</v>
      </c>
      <c r="Z2250" s="28"/>
      <c r="AA2250" s="28" t="n">
        <f aca="false">Z2250*$M2250</f>
        <v>0</v>
      </c>
      <c r="AB2250" s="28" t="n">
        <f aca="false">268622/100</f>
        <v>2686.22</v>
      </c>
      <c r="AC2250" s="28" t="n">
        <v>40293</v>
      </c>
      <c r="AD2250" s="28"/>
      <c r="AE2250" s="28" t="n">
        <f aca="false">AD2250*$M2250</f>
        <v>0</v>
      </c>
      <c r="AF2250" s="28"/>
      <c r="AG2250" s="28" t="n">
        <f aca="false">AF2250*$M2250</f>
        <v>0</v>
      </c>
      <c r="AH2250" s="28" t="n">
        <f aca="false">70164/100</f>
        <v>701.64</v>
      </c>
      <c r="AI2250" s="28" t="n">
        <v>10524</v>
      </c>
      <c r="AJ2250" s="28"/>
      <c r="AK2250" s="28" t="n">
        <f aca="false">AJ2250*$M2250</f>
        <v>0</v>
      </c>
      <c r="AL2250" s="28"/>
      <c r="AM2250" s="28" t="n">
        <f aca="false">AL2250*$M2250</f>
        <v>0</v>
      </c>
      <c r="AN2250" s="28"/>
      <c r="AO2250" s="28" t="n">
        <f aca="false">AN2250*$M2250</f>
        <v>0</v>
      </c>
      <c r="AP2250" s="28"/>
      <c r="AQ2250" s="28" t="n">
        <f aca="false">AP2250*$M2250</f>
        <v>0</v>
      </c>
      <c r="AR2250" s="28"/>
      <c r="AS2250" s="28" t="n">
        <f aca="false">AR2250*$M2250</f>
        <v>0</v>
      </c>
      <c r="AT2250" s="28"/>
      <c r="AU2250" s="28" t="n">
        <f aca="false">AT2250*$M2250</f>
        <v>0</v>
      </c>
      <c r="AV2250" s="28"/>
      <c r="AW2250" s="28" t="n">
        <f aca="false">AV2250*$M2250</f>
        <v>0</v>
      </c>
      <c r="AX2250" s="28"/>
      <c r="AY2250" s="28" t="n">
        <f aca="false">AX2250*$M2250</f>
        <v>0</v>
      </c>
      <c r="AZ2250" s="30" t="n">
        <f aca="false">486364/100</f>
        <v>4863.64</v>
      </c>
      <c r="BA2250" s="11" t="n">
        <v>72953</v>
      </c>
      <c r="BB2250" s="31" t="n">
        <f aca="false">SUM(Q2250,S2250,U2250,W2250,Y2250,AA2250,AC2250,AE2250,AG2250,AI2250,AK2250,AM2250,AO2250,AQ2250,AS2250,AU2250,AW2250,AY2250)</f>
        <v>72953</v>
      </c>
      <c r="BC2250" s="28" t="n">
        <f aca="false">BA2250-BB2250</f>
        <v>0</v>
      </c>
      <c r="BD2250" s="32" t="n">
        <f aca="false">SUM(P2250,R2250,T2250,V2250,X2250,Z2250,AB2250,AD2250,AF2250,AH2250,AJ2250,AL2250,AN2250,AP2250,AR2250,AT2250,AV2250,AX2250)</f>
        <v>4863.64</v>
      </c>
      <c r="BE2250" s="33" t="n">
        <f aca="false">AZ2250-BD2250</f>
        <v>0</v>
      </c>
      <c r="BF2250" s="34" t="n">
        <f aca="false">BD2250*M2250</f>
        <v>72954.6</v>
      </c>
      <c r="BG2250" s="35" t="n">
        <f aca="false">BA2250-BF2250</f>
        <v>-1.59999999999127</v>
      </c>
      <c r="BH2250" s="19" t="str">
        <f aca="false">IF(BG2250=0,"",IF(BG2250&lt;&gt;BA2250,"erreur de calcul",IF(BD2250&lt;&gt;0,"pas de prix",IF(M2250&lt;&gt; 0,"pas de quantité","pas de prix, ni de quantité"))))</f>
        <v>erreur de calcul</v>
      </c>
      <c r="BI2250" s="19"/>
    </row>
    <row r="2251" customFormat="false" ht="15" hidden="false" customHeight="false" outlineLevel="0" collapsed="false">
      <c r="A2251" s="0" t="n">
        <v>18</v>
      </c>
      <c r="B2251" s="8" t="s">
        <v>24</v>
      </c>
      <c r="C2251" s="9" t="s">
        <v>25</v>
      </c>
      <c r="D2251" s="9" t="s">
        <v>26</v>
      </c>
      <c r="E2251" s="10" t="n">
        <v>1789</v>
      </c>
      <c r="F2251" s="9" t="s">
        <v>27</v>
      </c>
      <c r="G2251" s="9" t="s">
        <v>27</v>
      </c>
      <c r="H2251" s="11" t="n">
        <v>22</v>
      </c>
      <c r="I2251" s="11" t="s">
        <v>219</v>
      </c>
      <c r="J2251" s="14" t="n">
        <v>12</v>
      </c>
      <c r="K2251" s="14"/>
      <c r="L2251" s="16"/>
      <c r="M2251" s="27" t="n">
        <f aca="false">J2251+(K2251/20)+(L2251/240)</f>
        <v>12</v>
      </c>
      <c r="N2251" s="17" t="s">
        <v>64</v>
      </c>
      <c r="O2251" s="11"/>
      <c r="P2251" s="28"/>
      <c r="Q2251" s="28" t="n">
        <f aca="false">P2251*$M2251</f>
        <v>0</v>
      </c>
      <c r="R2251" s="28"/>
      <c r="S2251" s="28" t="n">
        <f aca="false">R2251*$M2251</f>
        <v>0</v>
      </c>
      <c r="T2251" s="28"/>
      <c r="U2251" s="28" t="n">
        <f aca="false">T2251*$M2251</f>
        <v>0</v>
      </c>
      <c r="V2251" s="28" t="n">
        <f aca="false">26072/100</f>
        <v>260.72</v>
      </c>
      <c r="W2251" s="28" t="n">
        <v>3129</v>
      </c>
      <c r="X2251" s="28" t="n">
        <f aca="false">16340/100</f>
        <v>163.4</v>
      </c>
      <c r="Y2251" s="28" t="n">
        <v>1961</v>
      </c>
      <c r="Z2251" s="28"/>
      <c r="AA2251" s="28" t="n">
        <f aca="false">Z2251*$M2251</f>
        <v>0</v>
      </c>
      <c r="AB2251" s="28" t="n">
        <f aca="false">76351/100</f>
        <v>763.51</v>
      </c>
      <c r="AC2251" s="28" t="n">
        <v>9162</v>
      </c>
      <c r="AD2251" s="28"/>
      <c r="AE2251" s="28" t="n">
        <f aca="false">AD2251*$M2251</f>
        <v>0</v>
      </c>
      <c r="AF2251" s="28"/>
      <c r="AG2251" s="28" t="n">
        <f aca="false">AF2251*$M2251</f>
        <v>0</v>
      </c>
      <c r="AH2251" s="28"/>
      <c r="AI2251" s="28" t="n">
        <f aca="false">AH2251*$M2251</f>
        <v>0</v>
      </c>
      <c r="AJ2251" s="28"/>
      <c r="AK2251" s="28" t="n">
        <f aca="false">AJ2251*$M2251</f>
        <v>0</v>
      </c>
      <c r="AL2251" s="28"/>
      <c r="AM2251" s="28" t="n">
        <f aca="false">AL2251*$M2251</f>
        <v>0</v>
      </c>
      <c r="AN2251" s="28"/>
      <c r="AO2251" s="28" t="n">
        <f aca="false">AN2251*$M2251</f>
        <v>0</v>
      </c>
      <c r="AP2251" s="28"/>
      <c r="AQ2251" s="28" t="n">
        <f aca="false">AP2251*$M2251</f>
        <v>0</v>
      </c>
      <c r="AR2251" s="28"/>
      <c r="AS2251" s="28" t="n">
        <f aca="false">AR2251*$M2251</f>
        <v>0</v>
      </c>
      <c r="AT2251" s="28"/>
      <c r="AU2251" s="28" t="n">
        <f aca="false">AT2251*$M2251</f>
        <v>0</v>
      </c>
      <c r="AV2251" s="28"/>
      <c r="AW2251" s="28" t="n">
        <f aca="false">AV2251*$M2251</f>
        <v>0</v>
      </c>
      <c r="AX2251" s="28"/>
      <c r="AY2251" s="28" t="n">
        <f aca="false">AX2251*$M2251</f>
        <v>0</v>
      </c>
      <c r="AZ2251" s="30" t="n">
        <f aca="false">118763/100</f>
        <v>1187.63</v>
      </c>
      <c r="BA2251" s="11" t="n">
        <v>14252</v>
      </c>
      <c r="BB2251" s="31" t="n">
        <f aca="false">SUM(Q2251,S2251,U2251,W2251,Y2251,AA2251,AC2251,AE2251,AG2251,AI2251,AK2251,AM2251,AO2251,AQ2251,AS2251,AU2251,AW2251,AY2251)</f>
        <v>14252</v>
      </c>
      <c r="BC2251" s="28" t="n">
        <f aca="false">BA2251-BB2251</f>
        <v>0</v>
      </c>
      <c r="BD2251" s="32" t="n">
        <f aca="false">SUM(P2251,R2251,T2251,V2251,X2251,Z2251,AB2251,AD2251,AF2251,AH2251,AJ2251,AL2251,AN2251,AP2251,AR2251,AT2251,AV2251,AX2251)</f>
        <v>1187.63</v>
      </c>
      <c r="BE2251" s="33" t="n">
        <f aca="false">AZ2251-BD2251</f>
        <v>0</v>
      </c>
      <c r="BF2251" s="34" t="n">
        <f aca="false">BD2251*M2251</f>
        <v>14251.56</v>
      </c>
      <c r="BG2251" s="35" t="n">
        <f aca="false">BA2251-BF2251</f>
        <v>0.43999999999869</v>
      </c>
      <c r="BH2251" s="19" t="str">
        <f aca="false">IF(BG2251=0,"",IF(BG2251&lt;&gt;BA2251,"erreur de calcul",IF(BD2251&lt;&gt;0,"pas de prix",IF(M2251&lt;&gt; 0,"pas de quantité","pas de prix, ni de quantité"))))</f>
        <v>erreur de calcul</v>
      </c>
      <c r="BI2251" s="19"/>
    </row>
    <row r="2252" customFormat="false" ht="15" hidden="false" customHeight="false" outlineLevel="0" collapsed="false">
      <c r="A2252" s="0" t="n">
        <v>19</v>
      </c>
      <c r="B2252" s="8" t="s">
        <v>24</v>
      </c>
      <c r="C2252" s="9" t="s">
        <v>25</v>
      </c>
      <c r="D2252" s="9" t="s">
        <v>26</v>
      </c>
      <c r="E2252" s="10" t="n">
        <v>1789</v>
      </c>
      <c r="F2252" s="9" t="s">
        <v>27</v>
      </c>
      <c r="G2252" s="9" t="s">
        <v>27</v>
      </c>
      <c r="H2252" s="11" t="n">
        <v>22</v>
      </c>
      <c r="I2252" s="11" t="s">
        <v>220</v>
      </c>
      <c r="J2252" s="14" t="n">
        <v>8</v>
      </c>
      <c r="K2252" s="14"/>
      <c r="L2252" s="16"/>
      <c r="M2252" s="27" t="n">
        <f aca="false">J2252+(K2252/20)+(L2252/240)</f>
        <v>8</v>
      </c>
      <c r="N2252" s="17" t="s">
        <v>66</v>
      </c>
      <c r="O2252" s="11"/>
      <c r="P2252" s="28" t="n">
        <v>3798</v>
      </c>
      <c r="Q2252" s="28" t="n">
        <v>30384</v>
      </c>
      <c r="R2252" s="28"/>
      <c r="S2252" s="28" t="n">
        <f aca="false">R2252*$M2252</f>
        <v>0</v>
      </c>
      <c r="T2252" s="28"/>
      <c r="U2252" s="28" t="n">
        <f aca="false">T2252*$M2252</f>
        <v>0</v>
      </c>
      <c r="V2252" s="28"/>
      <c r="W2252" s="28" t="n">
        <f aca="false">V2252*$M2252</f>
        <v>0</v>
      </c>
      <c r="X2252" s="28"/>
      <c r="Y2252" s="28" t="n">
        <f aca="false">X2252*$M2252</f>
        <v>0</v>
      </c>
      <c r="Z2252" s="28"/>
      <c r="AA2252" s="28" t="n">
        <f aca="false">Z2252*$M2252</f>
        <v>0</v>
      </c>
      <c r="AB2252" s="28"/>
      <c r="AC2252" s="28" t="n">
        <f aca="false">AB2252*$M2252</f>
        <v>0</v>
      </c>
      <c r="AD2252" s="28"/>
      <c r="AE2252" s="28" t="n">
        <f aca="false">AD2252*$M2252</f>
        <v>0</v>
      </c>
      <c r="AF2252" s="28"/>
      <c r="AG2252" s="28" t="n">
        <f aca="false">AF2252*$M2252</f>
        <v>0</v>
      </c>
      <c r="AH2252" s="28" t="n">
        <v>322</v>
      </c>
      <c r="AI2252" s="28" t="n">
        <v>2576</v>
      </c>
      <c r="AJ2252" s="28"/>
      <c r="AK2252" s="28" t="n">
        <f aca="false">AJ2252*$M2252</f>
        <v>0</v>
      </c>
      <c r="AL2252" s="28"/>
      <c r="AM2252" s="28" t="n">
        <f aca="false">AL2252*$M2252</f>
        <v>0</v>
      </c>
      <c r="AN2252" s="28"/>
      <c r="AO2252" s="28" t="n">
        <f aca="false">AN2252*$M2252</f>
        <v>0</v>
      </c>
      <c r="AP2252" s="28"/>
      <c r="AQ2252" s="28" t="n">
        <f aca="false">AP2252*$M2252</f>
        <v>0</v>
      </c>
      <c r="AR2252" s="28"/>
      <c r="AS2252" s="28" t="n">
        <f aca="false">AR2252*$M2252</f>
        <v>0</v>
      </c>
      <c r="AT2252" s="28"/>
      <c r="AU2252" s="28" t="n">
        <f aca="false">AT2252*$M2252</f>
        <v>0</v>
      </c>
      <c r="AV2252" s="28"/>
      <c r="AW2252" s="28" t="n">
        <f aca="false">AV2252*$M2252</f>
        <v>0</v>
      </c>
      <c r="AX2252" s="28"/>
      <c r="AY2252" s="28" t="n">
        <f aca="false">AX2252*$M2252</f>
        <v>0</v>
      </c>
      <c r="AZ2252" s="30" t="n">
        <v>4120</v>
      </c>
      <c r="BA2252" s="11" t="n">
        <v>32960</v>
      </c>
      <c r="BB2252" s="31" t="n">
        <f aca="false">SUM(Q2252,S2252,U2252,W2252,Y2252,AA2252,AC2252,AE2252,AG2252,AI2252,AK2252,AM2252,AO2252,AQ2252,AS2252,AU2252,AW2252,AY2252)</f>
        <v>32960</v>
      </c>
      <c r="BC2252" s="28" t="n">
        <f aca="false">BA2252-BB2252</f>
        <v>0</v>
      </c>
      <c r="BD2252" s="32" t="n">
        <f aca="false">SUM(P2252,R2252,T2252,V2252,X2252,Z2252,AB2252,AD2252,AF2252,AH2252,AJ2252,AL2252,AN2252,AP2252,AR2252,AT2252,AV2252,AX2252)</f>
        <v>4120</v>
      </c>
      <c r="BE2252" s="33" t="n">
        <f aca="false">AZ2252-BD2252</f>
        <v>0</v>
      </c>
      <c r="BF2252" s="34" t="n">
        <f aca="false">BD2252*M2252</f>
        <v>32960</v>
      </c>
      <c r="BG2252" s="35" t="n">
        <f aca="false">BA2252-BF2252</f>
        <v>0</v>
      </c>
      <c r="BH2252" s="19" t="str">
        <f aca="false">IF(BG2252=0,"",IF(BG2252&lt;&gt;BA2252,"erreur de calcul",IF(BD2252&lt;&gt;0,"pas de prix",IF(M2252&lt;&gt; 0,"pas de quantité","pas de prix, ni de quantité"))))</f>
        <v/>
      </c>
      <c r="BI2252" s="19"/>
    </row>
    <row r="2253" customFormat="false" ht="15" hidden="false" customHeight="false" outlineLevel="0" collapsed="false">
      <c r="A2253" s="0" t="n">
        <v>20</v>
      </c>
      <c r="B2253" s="8" t="s">
        <v>24</v>
      </c>
      <c r="C2253" s="9" t="s">
        <v>25</v>
      </c>
      <c r="D2253" s="9" t="s">
        <v>26</v>
      </c>
      <c r="E2253" s="10" t="n">
        <v>1789</v>
      </c>
      <c r="F2253" s="9" t="s">
        <v>27</v>
      </c>
      <c r="G2253" s="9" t="s">
        <v>27</v>
      </c>
      <c r="H2253" s="11" t="n">
        <v>22</v>
      </c>
      <c r="I2253" s="11" t="s">
        <v>221</v>
      </c>
      <c r="J2253" s="14"/>
      <c r="K2253" s="14" t="n">
        <v>20</v>
      </c>
      <c r="L2253" s="16"/>
      <c r="M2253" s="27" t="n">
        <f aca="false">J2253+(K2253/20)+(L2253/240)</f>
        <v>1</v>
      </c>
      <c r="N2253" s="17" t="s">
        <v>66</v>
      </c>
      <c r="O2253" s="11"/>
      <c r="P2253" s="28" t="n">
        <v>1353</v>
      </c>
      <c r="Q2253" s="28" t="n">
        <v>1353</v>
      </c>
      <c r="R2253" s="28"/>
      <c r="S2253" s="28" t="n">
        <f aca="false">R2253*$M2253</f>
        <v>0</v>
      </c>
      <c r="T2253" s="28"/>
      <c r="U2253" s="28" t="n">
        <f aca="false">T2253*$M2253</f>
        <v>0</v>
      </c>
      <c r="V2253" s="28"/>
      <c r="W2253" s="28" t="n">
        <f aca="false">V2253*$M2253</f>
        <v>0</v>
      </c>
      <c r="X2253" s="28"/>
      <c r="Y2253" s="28" t="n">
        <f aca="false">X2253*$M2253</f>
        <v>0</v>
      </c>
      <c r="Z2253" s="28"/>
      <c r="AA2253" s="28" t="n">
        <f aca="false">Z2253*$M2253</f>
        <v>0</v>
      </c>
      <c r="AB2253" s="28"/>
      <c r="AC2253" s="28" t="n">
        <f aca="false">AB2253*$M2253</f>
        <v>0</v>
      </c>
      <c r="AD2253" s="28"/>
      <c r="AE2253" s="28" t="n">
        <f aca="false">AD2253*$M2253</f>
        <v>0</v>
      </c>
      <c r="AF2253" s="28"/>
      <c r="AG2253" s="28" t="n">
        <f aca="false">AF2253*$M2253</f>
        <v>0</v>
      </c>
      <c r="AH2253" s="28"/>
      <c r="AI2253" s="28" t="n">
        <f aca="false">AH2253*$M2253</f>
        <v>0</v>
      </c>
      <c r="AJ2253" s="28"/>
      <c r="AK2253" s="28" t="n">
        <f aca="false">AJ2253*$M2253</f>
        <v>0</v>
      </c>
      <c r="AL2253" s="28"/>
      <c r="AM2253" s="28" t="n">
        <f aca="false">AL2253*$M2253</f>
        <v>0</v>
      </c>
      <c r="AN2253" s="28"/>
      <c r="AO2253" s="28" t="n">
        <f aca="false">AN2253*$M2253</f>
        <v>0</v>
      </c>
      <c r="AP2253" s="28"/>
      <c r="AQ2253" s="28" t="n">
        <f aca="false">AP2253*$M2253</f>
        <v>0</v>
      </c>
      <c r="AR2253" s="28"/>
      <c r="AS2253" s="28" t="n">
        <f aca="false">AR2253*$M2253</f>
        <v>0</v>
      </c>
      <c r="AT2253" s="28"/>
      <c r="AU2253" s="28" t="n">
        <f aca="false">AT2253*$M2253</f>
        <v>0</v>
      </c>
      <c r="AV2253" s="28"/>
      <c r="AW2253" s="28" t="n">
        <f aca="false">AV2253*$M2253</f>
        <v>0</v>
      </c>
      <c r="AX2253" s="28"/>
      <c r="AY2253" s="28" t="n">
        <f aca="false">AX2253*$M2253</f>
        <v>0</v>
      </c>
      <c r="AZ2253" s="30" t="n">
        <v>1353</v>
      </c>
      <c r="BA2253" s="11" t="n">
        <v>1353</v>
      </c>
      <c r="BB2253" s="31" t="n">
        <f aca="false">SUM(Q2253,S2253,U2253,W2253,Y2253,AA2253,AC2253,AE2253,AG2253,AI2253,AK2253,AM2253,AO2253,AQ2253,AS2253,AU2253,AW2253,AY2253)</f>
        <v>1353</v>
      </c>
      <c r="BC2253" s="28" t="n">
        <f aca="false">BA2253-BB2253</f>
        <v>0</v>
      </c>
      <c r="BD2253" s="32" t="n">
        <f aca="false">SUM(P2253,R2253,T2253,V2253,X2253,Z2253,AB2253,AD2253,AF2253,AH2253,AJ2253,AL2253,AN2253,AP2253,AR2253,AT2253,AV2253,AX2253)</f>
        <v>1353</v>
      </c>
      <c r="BE2253" s="33" t="n">
        <f aca="false">AZ2253-BD2253</f>
        <v>0</v>
      </c>
      <c r="BF2253" s="34" t="n">
        <f aca="false">BD2253*M2253</f>
        <v>1353</v>
      </c>
      <c r="BG2253" s="35" t="n">
        <f aca="false">BA2253-BF2253</f>
        <v>0</v>
      </c>
      <c r="BH2253" s="19" t="str">
        <f aca="false">IF(BG2253=0,"",IF(BG2253&lt;&gt;BA2253,"erreur de calcul",IF(BD2253&lt;&gt;0,"pas de prix",IF(M2253&lt;&gt; 0,"pas de quantité","pas de prix, ni de quantité"))))</f>
        <v/>
      </c>
      <c r="BI2253" s="19"/>
    </row>
    <row r="2254" customFormat="false" ht="15" hidden="false" customHeight="false" outlineLevel="0" collapsed="false">
      <c r="A2254" s="0" t="n">
        <v>21</v>
      </c>
      <c r="B2254" s="8" t="s">
        <v>24</v>
      </c>
      <c r="C2254" s="9" t="s">
        <v>25</v>
      </c>
      <c r="D2254" s="9" t="s">
        <v>26</v>
      </c>
      <c r="E2254" s="10" t="n">
        <v>1789</v>
      </c>
      <c r="F2254" s="9" t="s">
        <v>27</v>
      </c>
      <c r="G2254" s="9" t="s">
        <v>27</v>
      </c>
      <c r="H2254" s="11" t="n">
        <v>22</v>
      </c>
      <c r="I2254" s="11" t="s">
        <v>222</v>
      </c>
      <c r="J2254" s="14" t="n">
        <v>85</v>
      </c>
      <c r="K2254" s="14"/>
      <c r="L2254" s="16"/>
      <c r="M2254" s="27" t="n">
        <f aca="false">J2254+(K2254/20)+(L2254/240)</f>
        <v>85</v>
      </c>
      <c r="N2254" s="17" t="s">
        <v>64</v>
      </c>
      <c r="O2254" s="11"/>
      <c r="P2254" s="28"/>
      <c r="Q2254" s="28" t="n">
        <f aca="false">P2254*$M2254</f>
        <v>0</v>
      </c>
      <c r="R2254" s="28"/>
      <c r="S2254" s="28" t="n">
        <f aca="false">R2254*$M2254</f>
        <v>0</v>
      </c>
      <c r="T2254" s="28" t="n">
        <f aca="false">10813/100</f>
        <v>108.13</v>
      </c>
      <c r="U2254" s="28" t="n">
        <v>9191</v>
      </c>
      <c r="V2254" s="28" t="n">
        <f aca="false">43400/100</f>
        <v>434</v>
      </c>
      <c r="W2254" s="28" t="n">
        <v>36890</v>
      </c>
      <c r="X2254" s="28" t="n">
        <f aca="false">702/100</f>
        <v>7.02</v>
      </c>
      <c r="Y2254" s="28" t="n">
        <v>597</v>
      </c>
      <c r="Z2254" s="28"/>
      <c r="AA2254" s="28" t="n">
        <f aca="false">Z2254*$M2254</f>
        <v>0</v>
      </c>
      <c r="AB2254" s="28" t="n">
        <f aca="false">171/100</f>
        <v>1.71</v>
      </c>
      <c r="AC2254" s="28" t="n">
        <v>145</v>
      </c>
      <c r="AD2254" s="28"/>
      <c r="AE2254" s="28" t="n">
        <f aca="false">AD2254*$M2254</f>
        <v>0</v>
      </c>
      <c r="AF2254" s="28"/>
      <c r="AG2254" s="28" t="n">
        <f aca="false">AF2254*$M2254</f>
        <v>0</v>
      </c>
      <c r="AH2254" s="28" t="n">
        <f aca="false">17388/100</f>
        <v>173.88</v>
      </c>
      <c r="AI2254" s="28" t="n">
        <v>14780</v>
      </c>
      <c r="AJ2254" s="28"/>
      <c r="AK2254" s="28" t="n">
        <f aca="false">AJ2254*$M2254</f>
        <v>0</v>
      </c>
      <c r="AL2254" s="28"/>
      <c r="AM2254" s="28" t="n">
        <f aca="false">AL2254*$M2254</f>
        <v>0</v>
      </c>
      <c r="AN2254" s="28"/>
      <c r="AO2254" s="28" t="n">
        <f aca="false">AN2254*$M2254</f>
        <v>0</v>
      </c>
      <c r="AP2254" s="28"/>
      <c r="AQ2254" s="28" t="n">
        <f aca="false">AP2254*$M2254</f>
        <v>0</v>
      </c>
      <c r="AR2254" s="28"/>
      <c r="AS2254" s="28" t="n">
        <f aca="false">AR2254*$M2254</f>
        <v>0</v>
      </c>
      <c r="AT2254" s="28"/>
      <c r="AU2254" s="28" t="n">
        <f aca="false">AT2254*$M2254</f>
        <v>0</v>
      </c>
      <c r="AV2254" s="28"/>
      <c r="AW2254" s="28" t="n">
        <f aca="false">AV2254*$M2254</f>
        <v>0</v>
      </c>
      <c r="AX2254" s="28"/>
      <c r="AY2254" s="28" t="n">
        <f aca="false">AX2254*$M2254</f>
        <v>0</v>
      </c>
      <c r="AZ2254" s="30" t="n">
        <f aca="false">72474/100</f>
        <v>724.74</v>
      </c>
      <c r="BA2254" s="11" t="n">
        <v>61603</v>
      </c>
      <c r="BB2254" s="31" t="n">
        <f aca="false">SUM(Q2254,S2254,U2254,W2254,Y2254,AA2254,AC2254,AE2254,AG2254,AI2254,AK2254,AM2254,AO2254,AQ2254,AS2254,AU2254,AW2254,AY2254)</f>
        <v>61603</v>
      </c>
      <c r="BC2254" s="28" t="n">
        <f aca="false">BA2254-BB2254</f>
        <v>0</v>
      </c>
      <c r="BD2254" s="32" t="n">
        <f aca="false">SUM(P2254,R2254,T2254,V2254,X2254,Z2254,AB2254,AD2254,AF2254,AH2254,AJ2254,AL2254,AN2254,AP2254,AR2254,AT2254,AV2254,AX2254)</f>
        <v>724.74</v>
      </c>
      <c r="BE2254" s="33" t="n">
        <f aca="false">AZ2254-BD2254</f>
        <v>0</v>
      </c>
      <c r="BF2254" s="34" t="n">
        <f aca="false">BD2254*M2254</f>
        <v>61602.9</v>
      </c>
      <c r="BG2254" s="35" t="n">
        <f aca="false">BA2254-BF2254</f>
        <v>0.0999999999985448</v>
      </c>
      <c r="BH2254" s="19" t="str">
        <f aca="false">IF(BG2254=0,"",IF(BG2254&lt;&gt;BA2254,"erreur de calcul",IF(BD2254&lt;&gt;0,"pas de prix",IF(M2254&lt;&gt; 0,"pas de quantité","pas de prix, ni de quantité"))))</f>
        <v>erreur de calcul</v>
      </c>
      <c r="BI2254" s="19"/>
    </row>
    <row r="2255" customFormat="false" ht="15" hidden="false" customHeight="false" outlineLevel="0" collapsed="false">
      <c r="A2255" s="0" t="n">
        <v>22</v>
      </c>
      <c r="B2255" s="8" t="s">
        <v>24</v>
      </c>
      <c r="C2255" s="9" t="s">
        <v>25</v>
      </c>
      <c r="D2255" s="9" t="s">
        <v>26</v>
      </c>
      <c r="E2255" s="10" t="n">
        <v>1789</v>
      </c>
      <c r="F2255" s="9" t="s">
        <v>27</v>
      </c>
      <c r="G2255" s="9" t="s">
        <v>27</v>
      </c>
      <c r="H2255" s="11" t="n">
        <v>22</v>
      </c>
      <c r="I2255" s="11" t="s">
        <v>223</v>
      </c>
      <c r="J2255" s="14" t="n">
        <v>150</v>
      </c>
      <c r="K2255" s="14"/>
      <c r="L2255" s="16"/>
      <c r="M2255" s="27" t="n">
        <f aca="false">J2255+(K2255/20)+(L2255/240)</f>
        <v>150</v>
      </c>
      <c r="N2255" s="17" t="s">
        <v>64</v>
      </c>
      <c r="O2255" s="11"/>
      <c r="P2255" s="28"/>
      <c r="Q2255" s="28" t="n">
        <f aca="false">P2255*$M2255</f>
        <v>0</v>
      </c>
      <c r="R2255" s="28"/>
      <c r="S2255" s="28" t="n">
        <f aca="false">R2255*$M2255</f>
        <v>0</v>
      </c>
      <c r="T2255" s="28"/>
      <c r="U2255" s="28" t="n">
        <f aca="false">T2255*$M2255</f>
        <v>0</v>
      </c>
      <c r="V2255" s="28" t="n">
        <f aca="false">1415/100</f>
        <v>14.15</v>
      </c>
      <c r="W2255" s="28" t="n">
        <v>2122</v>
      </c>
      <c r="X2255" s="28"/>
      <c r="Y2255" s="28" t="n">
        <f aca="false">X2255*$M2255</f>
        <v>0</v>
      </c>
      <c r="Z2255" s="28"/>
      <c r="AA2255" s="28" t="n">
        <f aca="false">Z2255*$M2255</f>
        <v>0</v>
      </c>
      <c r="AB2255" s="28" t="n">
        <f aca="false">1806/100</f>
        <v>18.06</v>
      </c>
      <c r="AC2255" s="28" t="n">
        <v>2709</v>
      </c>
      <c r="AD2255" s="28"/>
      <c r="AE2255" s="28" t="n">
        <f aca="false">AD2255*$M2255</f>
        <v>0</v>
      </c>
      <c r="AF2255" s="28"/>
      <c r="AG2255" s="28" t="n">
        <f aca="false">AF2255*$M2255</f>
        <v>0</v>
      </c>
      <c r="AH2255" s="28"/>
      <c r="AI2255" s="28" t="n">
        <f aca="false">AH2255*$M2255</f>
        <v>0</v>
      </c>
      <c r="AJ2255" s="28"/>
      <c r="AK2255" s="28" t="n">
        <f aca="false">AJ2255*$M2255</f>
        <v>0</v>
      </c>
      <c r="AL2255" s="28"/>
      <c r="AM2255" s="28" t="n">
        <f aca="false">AL2255*$M2255</f>
        <v>0</v>
      </c>
      <c r="AN2255" s="28"/>
      <c r="AO2255" s="28" t="n">
        <f aca="false">AN2255*$M2255</f>
        <v>0</v>
      </c>
      <c r="AP2255" s="28"/>
      <c r="AQ2255" s="28" t="n">
        <f aca="false">AP2255*$M2255</f>
        <v>0</v>
      </c>
      <c r="AR2255" s="28"/>
      <c r="AS2255" s="28" t="n">
        <f aca="false">AR2255*$M2255</f>
        <v>0</v>
      </c>
      <c r="AT2255" s="28"/>
      <c r="AU2255" s="28" t="n">
        <f aca="false">AT2255*$M2255</f>
        <v>0</v>
      </c>
      <c r="AV2255" s="28"/>
      <c r="AW2255" s="28" t="n">
        <f aca="false">AV2255*$M2255</f>
        <v>0</v>
      </c>
      <c r="AX2255" s="28"/>
      <c r="AY2255" s="28" t="n">
        <f aca="false">AX2255*$M2255</f>
        <v>0</v>
      </c>
      <c r="AZ2255" s="30" t="n">
        <f aca="false">3221/100</f>
        <v>32.21</v>
      </c>
      <c r="BA2255" s="11" t="n">
        <v>4831</v>
      </c>
      <c r="BB2255" s="31" t="n">
        <f aca="false">SUM(Q2255,S2255,U2255,W2255,Y2255,AA2255,AC2255,AE2255,AG2255,AI2255,AK2255,AM2255,AO2255,AQ2255,AS2255,AU2255,AW2255,AY2255)</f>
        <v>4831</v>
      </c>
      <c r="BC2255" s="28" t="n">
        <f aca="false">BA2255-BB2255</f>
        <v>0</v>
      </c>
      <c r="BD2255" s="32" t="n">
        <f aca="false">SUM(P2255,R2255,T2255,V2255,X2255,Z2255,AB2255,AD2255,AF2255,AH2255,AJ2255,AL2255,AN2255,AP2255,AR2255,AT2255,AV2255,AX2255)</f>
        <v>32.21</v>
      </c>
      <c r="BE2255" s="33" t="n">
        <f aca="false">AZ2255-BD2255</f>
        <v>0</v>
      </c>
      <c r="BF2255" s="34" t="n">
        <f aca="false">BD2255*M2255</f>
        <v>4831.5</v>
      </c>
      <c r="BG2255" s="35" t="n">
        <f aca="false">BA2255-BF2255</f>
        <v>-0.5</v>
      </c>
      <c r="BH2255" s="19" t="str">
        <f aca="false">IF(BG2255=0,"",IF(BG2255&lt;&gt;BA2255,"erreur de calcul",IF(BD2255&lt;&gt;0,"pas de prix",IF(M2255&lt;&gt; 0,"pas de quantité","pas de prix, ni de quantité"))))</f>
        <v>erreur de calcul</v>
      </c>
      <c r="BI2255" s="19"/>
    </row>
    <row r="2256" customFormat="false" ht="15" hidden="false" customHeight="false" outlineLevel="0" collapsed="false">
      <c r="A2256" s="0" t="n">
        <v>23</v>
      </c>
      <c r="B2256" s="8" t="s">
        <v>24</v>
      </c>
      <c r="C2256" s="9" t="s">
        <v>25</v>
      </c>
      <c r="D2256" s="9" t="s">
        <v>26</v>
      </c>
      <c r="E2256" s="10" t="n">
        <v>1789</v>
      </c>
      <c r="F2256" s="9" t="s">
        <v>27</v>
      </c>
      <c r="G2256" s="9" t="s">
        <v>27</v>
      </c>
      <c r="H2256" s="11" t="n">
        <v>22</v>
      </c>
      <c r="I2256" s="11" t="s">
        <v>224</v>
      </c>
      <c r="J2256" s="14"/>
      <c r="K2256" s="14"/>
      <c r="L2256" s="16"/>
      <c r="M2256" s="27" t="n">
        <f aca="false">J2256+(K2256/20)+(L2256/240)</f>
        <v>0</v>
      </c>
      <c r="N2256" s="17" t="s">
        <v>225</v>
      </c>
      <c r="O2256" s="11"/>
      <c r="P2256" s="28" t="n">
        <f aca="false">2+121/288</f>
        <v>2.42013888888889</v>
      </c>
      <c r="Q2256" s="28" t="n">
        <v>275</v>
      </c>
      <c r="R2256" s="28"/>
      <c r="S2256" s="28" t="n">
        <f aca="false">R2256*$M2256</f>
        <v>0</v>
      </c>
      <c r="T2256" s="28"/>
      <c r="U2256" s="28" t="n">
        <f aca="false">T2256*$M2256</f>
        <v>0</v>
      </c>
      <c r="V2256" s="28"/>
      <c r="W2256" s="28" t="n">
        <f aca="false">V2256*$M2256</f>
        <v>0</v>
      </c>
      <c r="X2256" s="28"/>
      <c r="Y2256" s="28" t="n">
        <f aca="false">X2256*$M2256</f>
        <v>0</v>
      </c>
      <c r="Z2256" s="28"/>
      <c r="AA2256" s="28" t="n">
        <f aca="false">Z2256*$M2256</f>
        <v>0</v>
      </c>
      <c r="AB2256" s="28"/>
      <c r="AC2256" s="28" t="n">
        <f aca="false">AB2256*$M2256</f>
        <v>0</v>
      </c>
      <c r="AD2256" s="28"/>
      <c r="AE2256" s="28" t="n">
        <f aca="false">AD2256*$M2256</f>
        <v>0</v>
      </c>
      <c r="AF2256" s="28"/>
      <c r="AG2256" s="28" t="n">
        <f aca="false">AF2256*$M2256</f>
        <v>0</v>
      </c>
      <c r="AH2256" s="28"/>
      <c r="AI2256" s="28" t="n">
        <f aca="false">AH2256*$M2256</f>
        <v>0</v>
      </c>
      <c r="AJ2256" s="28"/>
      <c r="AK2256" s="28" t="n">
        <f aca="false">AJ2256*$M2256</f>
        <v>0</v>
      </c>
      <c r="AL2256" s="28"/>
      <c r="AM2256" s="28" t="n">
        <f aca="false">AL2256*$M2256</f>
        <v>0</v>
      </c>
      <c r="AN2256" s="28"/>
      <c r="AO2256" s="28" t="n">
        <f aca="false">AN2256*$M2256</f>
        <v>0</v>
      </c>
      <c r="AP2256" s="28"/>
      <c r="AQ2256" s="28" t="n">
        <f aca="false">AP2256*$M2256</f>
        <v>0</v>
      </c>
      <c r="AR2256" s="28"/>
      <c r="AS2256" s="28" t="n">
        <f aca="false">AR2256*$M2256</f>
        <v>0</v>
      </c>
      <c r="AT2256" s="28"/>
      <c r="AU2256" s="28" t="n">
        <f aca="false">AT2256*$M2256</f>
        <v>0</v>
      </c>
      <c r="AV2256" s="28"/>
      <c r="AW2256" s="28" t="n">
        <f aca="false">AV2256*$M2256</f>
        <v>0</v>
      </c>
      <c r="AX2256" s="28"/>
      <c r="AY2256" s="28" t="n">
        <f aca="false">AX2256*$M2256</f>
        <v>0</v>
      </c>
      <c r="AZ2256" s="30" t="n">
        <f aca="false">2+121/288</f>
        <v>2.42013888888889</v>
      </c>
      <c r="BA2256" s="11" t="n">
        <v>275</v>
      </c>
      <c r="BB2256" s="31" t="n">
        <f aca="false">SUM(Q2256,S2256,U2256,W2256,Y2256,AA2256,AC2256,AE2256,AG2256,AI2256,AK2256,AM2256,AO2256,AQ2256,AS2256,AU2256,AW2256,AY2256)</f>
        <v>275</v>
      </c>
      <c r="BC2256" s="28" t="n">
        <f aca="false">BA2256-BB2256</f>
        <v>0</v>
      </c>
      <c r="BD2256" s="32" t="n">
        <f aca="false">SUM(P2256,R2256,T2256,V2256,X2256,Z2256,AB2256,AD2256,AF2256,AH2256,AJ2256,AL2256,AN2256,AP2256,AR2256,AT2256,AV2256,AX2256)</f>
        <v>2.42013888888889</v>
      </c>
      <c r="BE2256" s="33" t="n">
        <f aca="false">AZ2256-BD2256</f>
        <v>0</v>
      </c>
      <c r="BF2256" s="34" t="n">
        <f aca="false">BD2256*M2256</f>
        <v>0</v>
      </c>
      <c r="BG2256" s="35" t="n">
        <f aca="false">BA2256-BF2256</f>
        <v>275</v>
      </c>
      <c r="BH2256" s="19" t="str">
        <f aca="false">IF(BG2256=0,"",IF(BG2256&lt;&gt;BA2256,"erreur de calcul",IF(BD2256&lt;&gt;0,"pas de prix",IF(M2256&lt;&gt; 0,"pas de quantité","pas de prix, ni de quantité"))))</f>
        <v>pas de prix</v>
      </c>
      <c r="BI2256" s="19" t="s">
        <v>226</v>
      </c>
    </row>
    <row r="2257" customFormat="false" ht="15" hidden="false" customHeight="false" outlineLevel="0" collapsed="false">
      <c r="A2257" s="0" t="n">
        <v>24</v>
      </c>
      <c r="B2257" s="8" t="s">
        <v>24</v>
      </c>
      <c r="C2257" s="9" t="s">
        <v>25</v>
      </c>
      <c r="D2257" s="9" t="s">
        <v>26</v>
      </c>
      <c r="E2257" s="10" t="n">
        <v>1789</v>
      </c>
      <c r="F2257" s="9" t="s">
        <v>27</v>
      </c>
      <c r="G2257" s="9" t="s">
        <v>27</v>
      </c>
      <c r="H2257" s="11" t="n">
        <v>22</v>
      </c>
      <c r="I2257" s="11" t="s">
        <v>227</v>
      </c>
      <c r="J2257" s="14" t="n">
        <v>8</v>
      </c>
      <c r="K2257" s="14"/>
      <c r="L2257" s="16"/>
      <c r="M2257" s="27" t="n">
        <f aca="false">J2257+(K2257/20)+(L2257/240)</f>
        <v>8</v>
      </c>
      <c r="N2257" s="17" t="s">
        <v>64</v>
      </c>
      <c r="O2257" s="11" t="s">
        <v>77</v>
      </c>
      <c r="P2257" s="28" t="n">
        <f aca="false">267216/100</f>
        <v>2672.16</v>
      </c>
      <c r="Q2257" s="28" t="n">
        <v>21377</v>
      </c>
      <c r="R2257" s="28"/>
      <c r="S2257" s="28" t="n">
        <f aca="false">R2257*$M2257</f>
        <v>0</v>
      </c>
      <c r="T2257" s="28"/>
      <c r="U2257" s="28" t="n">
        <f aca="false">T2257*$M2257</f>
        <v>0</v>
      </c>
      <c r="V2257" s="28"/>
      <c r="W2257" s="28" t="n">
        <f aca="false">V2257*$M2257</f>
        <v>0</v>
      </c>
      <c r="X2257" s="28"/>
      <c r="Y2257" s="28" t="n">
        <f aca="false">X2257*$M2257</f>
        <v>0</v>
      </c>
      <c r="Z2257" s="28"/>
      <c r="AA2257" s="28" t="n">
        <f aca="false">Z2257*$M2257</f>
        <v>0</v>
      </c>
      <c r="AB2257" s="28" t="n">
        <f aca="false">3334/100</f>
        <v>33.34</v>
      </c>
      <c r="AC2257" s="28" t="n">
        <v>267</v>
      </c>
      <c r="AD2257" s="28"/>
      <c r="AE2257" s="28" t="n">
        <f aca="false">AD2257*$M2257</f>
        <v>0</v>
      </c>
      <c r="AF2257" s="28"/>
      <c r="AG2257" s="28" t="n">
        <f aca="false">AF2257*$M2257</f>
        <v>0</v>
      </c>
      <c r="AH2257" s="28"/>
      <c r="AI2257" s="28" t="n">
        <f aca="false">AH2257*$M2257</f>
        <v>0</v>
      </c>
      <c r="AJ2257" s="28"/>
      <c r="AK2257" s="28" t="n">
        <f aca="false">AJ2257*$M2257</f>
        <v>0</v>
      </c>
      <c r="AL2257" s="28"/>
      <c r="AM2257" s="28" t="n">
        <f aca="false">AL2257*$M2257</f>
        <v>0</v>
      </c>
      <c r="AN2257" s="28"/>
      <c r="AO2257" s="28" t="n">
        <f aca="false">AN2257*$M2257</f>
        <v>0</v>
      </c>
      <c r="AP2257" s="28"/>
      <c r="AQ2257" s="28" t="n">
        <f aca="false">AP2257*$M2257</f>
        <v>0</v>
      </c>
      <c r="AR2257" s="28"/>
      <c r="AS2257" s="28" t="n">
        <f aca="false">AR2257*$M2257</f>
        <v>0</v>
      </c>
      <c r="AT2257" s="28"/>
      <c r="AU2257" s="28" t="n">
        <f aca="false">AT2257*$M2257</f>
        <v>0</v>
      </c>
      <c r="AV2257" s="28"/>
      <c r="AW2257" s="28" t="n">
        <f aca="false">AV2257*$M2257</f>
        <v>0</v>
      </c>
      <c r="AX2257" s="28"/>
      <c r="AY2257" s="28" t="n">
        <f aca="false">AX2257*$M2257</f>
        <v>0</v>
      </c>
      <c r="AZ2257" s="30" t="n">
        <f aca="false">270550/100</f>
        <v>2705.5</v>
      </c>
      <c r="BA2257" s="11" t="n">
        <v>21644</v>
      </c>
      <c r="BB2257" s="31" t="n">
        <f aca="false">SUM(Q2257,S2257,U2257,W2257,Y2257,AA2257,AC2257,AE2257,AG2257,AI2257,AK2257,AM2257,AO2257,AQ2257,AS2257,AU2257,AW2257,AY2257)</f>
        <v>21644</v>
      </c>
      <c r="BC2257" s="28" t="n">
        <f aca="false">BA2257-BB2257</f>
        <v>0</v>
      </c>
      <c r="BD2257" s="32" t="n">
        <f aca="false">SUM(P2257,R2257,T2257,V2257,X2257,Z2257,AB2257,AD2257,AF2257,AH2257,AJ2257,AL2257,AN2257,AP2257,AR2257,AT2257,AV2257,AX2257)</f>
        <v>2705.5</v>
      </c>
      <c r="BE2257" s="33" t="n">
        <f aca="false">AZ2257-BD2257</f>
        <v>0</v>
      </c>
      <c r="BF2257" s="34" t="n">
        <f aca="false">BD2257*M2257</f>
        <v>21644</v>
      </c>
      <c r="BG2257" s="35" t="n">
        <f aca="false">BA2257-BF2257</f>
        <v>0</v>
      </c>
      <c r="BH2257" s="19" t="str">
        <f aca="false">IF(BG2257=0,"",IF(BG2257&lt;&gt;BA2257,"erreur de calcul",IF(BD2257&lt;&gt;0,"pas de prix",IF(M2257&lt;&gt; 0,"pas de quantité","pas de prix, ni de quantité"))))</f>
        <v/>
      </c>
      <c r="BI2257" s="19"/>
    </row>
    <row r="2258" customFormat="false" ht="15" hidden="false" customHeight="false" outlineLevel="0" collapsed="false">
      <c r="A2258" s="0" t="n">
        <v>25</v>
      </c>
      <c r="B2258" s="8" t="s">
        <v>24</v>
      </c>
      <c r="C2258" s="9" t="s">
        <v>25</v>
      </c>
      <c r="D2258" s="9" t="s">
        <v>26</v>
      </c>
      <c r="E2258" s="10" t="n">
        <v>1789</v>
      </c>
      <c r="F2258" s="9" t="s">
        <v>27</v>
      </c>
      <c r="G2258" s="9" t="s">
        <v>27</v>
      </c>
      <c r="H2258" s="11" t="n">
        <v>22</v>
      </c>
      <c r="I2258" s="11" t="s">
        <v>228</v>
      </c>
      <c r="J2258" s="14" t="n">
        <v>11</v>
      </c>
      <c r="K2258" s="14"/>
      <c r="L2258" s="16"/>
      <c r="M2258" s="27" t="n">
        <f aca="false">J2258+(K2258/20)+(L2258/240)</f>
        <v>11</v>
      </c>
      <c r="N2258" s="17" t="s">
        <v>66</v>
      </c>
      <c r="O2258" s="11"/>
      <c r="P2258" s="28"/>
      <c r="Q2258" s="28" t="n">
        <f aca="false">P2258*$M2258</f>
        <v>0</v>
      </c>
      <c r="R2258" s="28" t="n">
        <v>2017</v>
      </c>
      <c r="S2258" s="28" t="n">
        <v>22187</v>
      </c>
      <c r="T2258" s="28"/>
      <c r="U2258" s="28" t="n">
        <f aca="false">T2258*$M2258</f>
        <v>0</v>
      </c>
      <c r="V2258" s="28"/>
      <c r="W2258" s="28" t="n">
        <f aca="false">V2258*$M2258</f>
        <v>0</v>
      </c>
      <c r="X2258" s="28" t="n">
        <v>3804</v>
      </c>
      <c r="Y2258" s="28" t="n">
        <v>41844</v>
      </c>
      <c r="Z2258" s="28"/>
      <c r="AA2258" s="28" t="n">
        <f aca="false">Z2258*$M2258</f>
        <v>0</v>
      </c>
      <c r="AB2258" s="28"/>
      <c r="AC2258" s="28" t="n">
        <f aca="false">AB2258*$M2258</f>
        <v>0</v>
      </c>
      <c r="AD2258" s="28"/>
      <c r="AE2258" s="28" t="n">
        <f aca="false">AD2258*$M2258</f>
        <v>0</v>
      </c>
      <c r="AF2258" s="28"/>
      <c r="AG2258" s="28" t="n">
        <f aca="false">AF2258*$M2258</f>
        <v>0</v>
      </c>
      <c r="AH2258" s="28" t="n">
        <v>117</v>
      </c>
      <c r="AI2258" s="28" t="n">
        <v>1287</v>
      </c>
      <c r="AJ2258" s="28" t="n">
        <v>8694</v>
      </c>
      <c r="AK2258" s="28" t="n">
        <v>95634</v>
      </c>
      <c r="AL2258" s="28"/>
      <c r="AM2258" s="28" t="n">
        <f aca="false">AL2258*$M2258</f>
        <v>0</v>
      </c>
      <c r="AN2258" s="28" t="n">
        <v>5697</v>
      </c>
      <c r="AO2258" s="28" t="n">
        <v>62667</v>
      </c>
      <c r="AP2258" s="28"/>
      <c r="AQ2258" s="28" t="n">
        <f aca="false">AP2258*$M2258</f>
        <v>0</v>
      </c>
      <c r="AR2258" s="28"/>
      <c r="AS2258" s="28" t="n">
        <f aca="false">AR2258*$M2258</f>
        <v>0</v>
      </c>
      <c r="AT2258" s="28"/>
      <c r="AU2258" s="28" t="n">
        <f aca="false">AT2258*$M2258</f>
        <v>0</v>
      </c>
      <c r="AV2258" s="28"/>
      <c r="AW2258" s="28" t="n">
        <f aca="false">AV2258*$M2258</f>
        <v>0</v>
      </c>
      <c r="AX2258" s="28"/>
      <c r="AY2258" s="28" t="n">
        <f aca="false">AX2258*$M2258</f>
        <v>0</v>
      </c>
      <c r="AZ2258" s="30" t="n">
        <v>20329</v>
      </c>
      <c r="BA2258" s="11" t="n">
        <v>223619</v>
      </c>
      <c r="BB2258" s="31" t="n">
        <f aca="false">SUM(Q2258,S2258,U2258,W2258,Y2258,AA2258,AC2258,AE2258,AG2258,AI2258,AK2258,AM2258,AO2258,AQ2258,AS2258,AU2258,AW2258,AY2258)</f>
        <v>223619</v>
      </c>
      <c r="BC2258" s="28" t="n">
        <f aca="false">BA2258-BB2258</f>
        <v>0</v>
      </c>
      <c r="BD2258" s="32" t="n">
        <f aca="false">SUM(P2258,R2258,T2258,V2258,X2258,Z2258,AB2258,AD2258,AF2258,AH2258,AJ2258,AL2258,AN2258,AP2258,AR2258,AT2258,AV2258,AX2258)</f>
        <v>20329</v>
      </c>
      <c r="BE2258" s="33" t="n">
        <f aca="false">AZ2258-BD2258</f>
        <v>0</v>
      </c>
      <c r="BF2258" s="34" t="n">
        <f aca="false">BD2258*M2258</f>
        <v>223619</v>
      </c>
      <c r="BG2258" s="35" t="n">
        <f aca="false">BA2258-BF2258</f>
        <v>0</v>
      </c>
      <c r="BH2258" s="19" t="str">
        <f aca="false">IF(BG2258=0,"",IF(BG2258&lt;&gt;BA2258,"erreur de calcul",IF(BD2258&lt;&gt;0,"pas de prix",IF(M2258&lt;&gt; 0,"pas de quantité","pas de prix, ni de quantité"))))</f>
        <v/>
      </c>
      <c r="BI2258" s="19"/>
    </row>
    <row r="2259" customFormat="false" ht="15" hidden="false" customHeight="false" outlineLevel="0" collapsed="false">
      <c r="A2259" s="0" t="n">
        <v>26</v>
      </c>
      <c r="B2259" s="8" t="s">
        <v>24</v>
      </c>
      <c r="C2259" s="9" t="s">
        <v>25</v>
      </c>
      <c r="D2259" s="9" t="s">
        <v>26</v>
      </c>
      <c r="E2259" s="10" t="n">
        <v>1789</v>
      </c>
      <c r="F2259" s="9" t="s">
        <v>27</v>
      </c>
      <c r="G2259" s="9" t="s">
        <v>27</v>
      </c>
      <c r="H2259" s="11" t="n">
        <v>22</v>
      </c>
      <c r="I2259" s="11" t="s">
        <v>229</v>
      </c>
      <c r="J2259" s="14" t="n">
        <v>5</v>
      </c>
      <c r="K2259" s="14"/>
      <c r="L2259" s="16"/>
      <c r="M2259" s="27" t="n">
        <f aca="false">J2259+(K2259/20)+(L2259/240)</f>
        <v>5</v>
      </c>
      <c r="N2259" s="17" t="s">
        <v>66</v>
      </c>
      <c r="O2259" s="11"/>
      <c r="P2259" s="28"/>
      <c r="Q2259" s="28" t="n">
        <f aca="false">P2259*$M2259</f>
        <v>0</v>
      </c>
      <c r="R2259" s="28" t="n">
        <v>4117</v>
      </c>
      <c r="S2259" s="28" t="n">
        <v>20585</v>
      </c>
      <c r="T2259" s="28"/>
      <c r="U2259" s="28" t="n">
        <f aca="false">T2259*$M2259</f>
        <v>0</v>
      </c>
      <c r="V2259" s="28"/>
      <c r="W2259" s="28" t="n">
        <f aca="false">V2259*$M2259</f>
        <v>0</v>
      </c>
      <c r="X2259" s="28"/>
      <c r="Y2259" s="28" t="n">
        <f aca="false">X2259*$M2259</f>
        <v>0</v>
      </c>
      <c r="Z2259" s="28"/>
      <c r="AA2259" s="28" t="n">
        <f aca="false">Z2259*$M2259</f>
        <v>0</v>
      </c>
      <c r="AB2259" s="28"/>
      <c r="AC2259" s="28" t="n">
        <f aca="false">AB2259*$M2259</f>
        <v>0</v>
      </c>
      <c r="AD2259" s="28"/>
      <c r="AE2259" s="28" t="n">
        <f aca="false">AD2259*$M2259</f>
        <v>0</v>
      </c>
      <c r="AF2259" s="28"/>
      <c r="AG2259" s="28" t="n">
        <f aca="false">AF2259*$M2259</f>
        <v>0</v>
      </c>
      <c r="AH2259" s="28"/>
      <c r="AI2259" s="28" t="n">
        <f aca="false">AH2259*$M2259</f>
        <v>0</v>
      </c>
      <c r="AJ2259" s="28"/>
      <c r="AK2259" s="28" t="n">
        <f aca="false">AJ2259*$M2259</f>
        <v>0</v>
      </c>
      <c r="AL2259" s="28"/>
      <c r="AM2259" s="28" t="n">
        <f aca="false">AL2259*$M2259</f>
        <v>0</v>
      </c>
      <c r="AN2259" s="28"/>
      <c r="AO2259" s="28" t="n">
        <f aca="false">AN2259*$M2259</f>
        <v>0</v>
      </c>
      <c r="AP2259" s="28"/>
      <c r="AQ2259" s="28" t="n">
        <f aca="false">AP2259*$M2259</f>
        <v>0</v>
      </c>
      <c r="AR2259" s="28"/>
      <c r="AS2259" s="28" t="n">
        <f aca="false">AR2259*$M2259</f>
        <v>0</v>
      </c>
      <c r="AT2259" s="28"/>
      <c r="AU2259" s="28" t="n">
        <f aca="false">AT2259*$M2259</f>
        <v>0</v>
      </c>
      <c r="AV2259" s="28"/>
      <c r="AW2259" s="28" t="n">
        <f aca="false">AV2259*$M2259</f>
        <v>0</v>
      </c>
      <c r="AX2259" s="28"/>
      <c r="AY2259" s="28" t="n">
        <f aca="false">AX2259*$M2259</f>
        <v>0</v>
      </c>
      <c r="AZ2259" s="30" t="n">
        <v>4117</v>
      </c>
      <c r="BA2259" s="11" t="n">
        <v>20585</v>
      </c>
      <c r="BB2259" s="31" t="n">
        <f aca="false">SUM(Q2259,S2259,U2259,W2259,Y2259,AA2259,AC2259,AE2259,AG2259,AI2259,AK2259,AM2259,AO2259,AQ2259,AS2259,AU2259,AW2259,AY2259)</f>
        <v>20585</v>
      </c>
      <c r="BC2259" s="28" t="n">
        <f aca="false">BA2259-BB2259</f>
        <v>0</v>
      </c>
      <c r="BD2259" s="32" t="n">
        <f aca="false">SUM(P2259,R2259,T2259,V2259,X2259,Z2259,AB2259,AD2259,AF2259,AH2259,AJ2259,AL2259,AN2259,AP2259,AR2259,AT2259,AV2259,AX2259)</f>
        <v>4117</v>
      </c>
      <c r="BE2259" s="33" t="n">
        <f aca="false">AZ2259-BD2259</f>
        <v>0</v>
      </c>
      <c r="BF2259" s="34" t="n">
        <f aca="false">BD2259*M2259</f>
        <v>20585</v>
      </c>
      <c r="BG2259" s="35" t="n">
        <f aca="false">BA2259-BF2259</f>
        <v>0</v>
      </c>
      <c r="BH2259" s="19" t="str">
        <f aca="false">IF(BG2259=0,"",IF(BG2259&lt;&gt;BA2259,"erreur de calcul",IF(BD2259&lt;&gt;0,"pas de prix",IF(M2259&lt;&gt; 0,"pas de quantité","pas de prix, ni de quantité"))))</f>
        <v/>
      </c>
      <c r="BI2259" s="19"/>
    </row>
    <row r="2260" customFormat="false" ht="15" hidden="false" customHeight="false" outlineLevel="0" collapsed="false">
      <c r="A2260" s="0" t="n">
        <v>27</v>
      </c>
      <c r="B2260" s="8" t="s">
        <v>24</v>
      </c>
      <c r="C2260" s="9" t="s">
        <v>25</v>
      </c>
      <c r="D2260" s="9" t="s">
        <v>26</v>
      </c>
      <c r="E2260" s="10" t="n">
        <v>1789</v>
      </c>
      <c r="F2260" s="9" t="s">
        <v>27</v>
      </c>
      <c r="G2260" s="9" t="s">
        <v>27</v>
      </c>
      <c r="H2260" s="11" t="n">
        <v>22</v>
      </c>
      <c r="I2260" s="11" t="s">
        <v>230</v>
      </c>
      <c r="J2260" s="14" t="n">
        <v>11</v>
      </c>
      <c r="K2260" s="14"/>
      <c r="L2260" s="16"/>
      <c r="M2260" s="27" t="n">
        <f aca="false">J2260+(K2260/20)+(L2260/240)</f>
        <v>11</v>
      </c>
      <c r="N2260" s="17" t="s">
        <v>66</v>
      </c>
      <c r="O2260" s="11"/>
      <c r="P2260" s="28"/>
      <c r="Q2260" s="28" t="n">
        <f aca="false">P2260*$M2260</f>
        <v>0</v>
      </c>
      <c r="R2260" s="28"/>
      <c r="S2260" s="28" t="n">
        <f aca="false">R2260*$M2260</f>
        <v>0</v>
      </c>
      <c r="T2260" s="28"/>
      <c r="U2260" s="28" t="n">
        <f aca="false">T2260*$M2260</f>
        <v>0</v>
      </c>
      <c r="V2260" s="28"/>
      <c r="W2260" s="28" t="n">
        <f aca="false">V2260*$M2260</f>
        <v>0</v>
      </c>
      <c r="X2260" s="28"/>
      <c r="Y2260" s="28" t="n">
        <f aca="false">X2260*$M2260</f>
        <v>0</v>
      </c>
      <c r="Z2260" s="28"/>
      <c r="AA2260" s="28" t="n">
        <f aca="false">Z2260*$M2260</f>
        <v>0</v>
      </c>
      <c r="AB2260" s="28"/>
      <c r="AC2260" s="28" t="n">
        <f aca="false">AB2260*$M2260</f>
        <v>0</v>
      </c>
      <c r="AD2260" s="28"/>
      <c r="AE2260" s="28" t="n">
        <f aca="false">AD2260*$M2260</f>
        <v>0</v>
      </c>
      <c r="AF2260" s="28"/>
      <c r="AG2260" s="28" t="n">
        <f aca="false">AF2260*$M2260</f>
        <v>0</v>
      </c>
      <c r="AH2260" s="28"/>
      <c r="AI2260" s="28" t="n">
        <f aca="false">AH2260*$M2260</f>
        <v>0</v>
      </c>
      <c r="AJ2260" s="28" t="n">
        <v>34854</v>
      </c>
      <c r="AK2260" s="28" t="n">
        <v>383394</v>
      </c>
      <c r="AL2260" s="28"/>
      <c r="AM2260" s="28" t="n">
        <f aca="false">AL2260*$M2260</f>
        <v>0</v>
      </c>
      <c r="AN2260" s="28"/>
      <c r="AO2260" s="28" t="n">
        <f aca="false">AN2260*$M2260</f>
        <v>0</v>
      </c>
      <c r="AP2260" s="28"/>
      <c r="AQ2260" s="28" t="n">
        <f aca="false">AP2260*$M2260</f>
        <v>0</v>
      </c>
      <c r="AR2260" s="28"/>
      <c r="AS2260" s="28" t="n">
        <f aca="false">AR2260*$M2260</f>
        <v>0</v>
      </c>
      <c r="AT2260" s="28"/>
      <c r="AU2260" s="28" t="n">
        <f aca="false">AT2260*$M2260</f>
        <v>0</v>
      </c>
      <c r="AV2260" s="28"/>
      <c r="AW2260" s="28" t="n">
        <f aca="false">AV2260*$M2260</f>
        <v>0</v>
      </c>
      <c r="AX2260" s="28"/>
      <c r="AY2260" s="28" t="n">
        <f aca="false">AX2260*$M2260</f>
        <v>0</v>
      </c>
      <c r="AZ2260" s="30" t="n">
        <v>34854</v>
      </c>
      <c r="BA2260" s="11" t="n">
        <v>383394</v>
      </c>
      <c r="BB2260" s="31" t="n">
        <f aca="false">SUM(Q2260,S2260,U2260,W2260,Y2260,AA2260,AC2260,AE2260,AG2260,AI2260,AK2260,AM2260,AO2260,AQ2260,AS2260,AU2260,AW2260,AY2260)</f>
        <v>383394</v>
      </c>
      <c r="BC2260" s="28" t="n">
        <f aca="false">BA2260-BB2260</f>
        <v>0</v>
      </c>
      <c r="BD2260" s="32" t="n">
        <f aca="false">SUM(P2260,R2260,T2260,V2260,X2260,Z2260,AB2260,AD2260,AF2260,AH2260,AJ2260,AL2260,AN2260,AP2260,AR2260,AT2260,AV2260,AX2260)</f>
        <v>34854</v>
      </c>
      <c r="BE2260" s="33" t="n">
        <f aca="false">AZ2260-BD2260</f>
        <v>0</v>
      </c>
      <c r="BF2260" s="34" t="n">
        <f aca="false">BD2260*M2260</f>
        <v>383394</v>
      </c>
      <c r="BG2260" s="35" t="n">
        <f aca="false">BA2260-BF2260</f>
        <v>0</v>
      </c>
      <c r="BH2260" s="19" t="str">
        <f aca="false">IF(BG2260=0,"",IF(BG2260&lt;&gt;BA2260,"erreur de calcul",IF(BD2260&lt;&gt;0,"pas de prix",IF(M2260&lt;&gt; 0,"pas de quantité","pas de prix, ni de quantité"))))</f>
        <v/>
      </c>
      <c r="BI2260" s="19"/>
    </row>
    <row r="2261" customFormat="false" ht="15" hidden="false" customHeight="false" outlineLevel="0" collapsed="false">
      <c r="A2261" s="0" t="n">
        <v>28</v>
      </c>
      <c r="B2261" s="8" t="s">
        <v>24</v>
      </c>
      <c r="C2261" s="9" t="s">
        <v>25</v>
      </c>
      <c r="D2261" s="9" t="s">
        <v>26</v>
      </c>
      <c r="E2261" s="10" t="n">
        <v>1789</v>
      </c>
      <c r="F2261" s="9" t="s">
        <v>27</v>
      </c>
      <c r="G2261" s="9" t="s">
        <v>27</v>
      </c>
      <c r="H2261" s="11" t="n">
        <v>22</v>
      </c>
      <c r="I2261" s="11" t="s">
        <v>231</v>
      </c>
      <c r="J2261" s="14" t="n">
        <v>18</v>
      </c>
      <c r="K2261" s="14"/>
      <c r="L2261" s="16"/>
      <c r="M2261" s="27" t="n">
        <f aca="false">J2261+(K2261/20)+(L2261/240)</f>
        <v>18</v>
      </c>
      <c r="N2261" s="17" t="s">
        <v>66</v>
      </c>
      <c r="O2261" s="11"/>
      <c r="P2261" s="28"/>
      <c r="Q2261" s="28" t="n">
        <f aca="false">P2261*$M2261</f>
        <v>0</v>
      </c>
      <c r="R2261" s="28"/>
      <c r="S2261" s="28" t="n">
        <f aca="false">R2261*$M2261</f>
        <v>0</v>
      </c>
      <c r="T2261" s="28"/>
      <c r="U2261" s="28" t="n">
        <f aca="false">T2261*$M2261</f>
        <v>0</v>
      </c>
      <c r="V2261" s="28"/>
      <c r="W2261" s="28" t="n">
        <f aca="false">V2261*$M2261</f>
        <v>0</v>
      </c>
      <c r="X2261" s="28"/>
      <c r="Y2261" s="28" t="n">
        <f aca="false">X2261*$M2261</f>
        <v>0</v>
      </c>
      <c r="Z2261" s="28"/>
      <c r="AA2261" s="28" t="n">
        <f aca="false">Z2261*$M2261</f>
        <v>0</v>
      </c>
      <c r="AB2261" s="28"/>
      <c r="AC2261" s="28" t="n">
        <f aca="false">AB2261*$M2261</f>
        <v>0</v>
      </c>
      <c r="AD2261" s="28"/>
      <c r="AE2261" s="28" t="n">
        <f aca="false">AD2261*$M2261</f>
        <v>0</v>
      </c>
      <c r="AF2261" s="28"/>
      <c r="AG2261" s="28" t="n">
        <f aca="false">AF2261*$M2261</f>
        <v>0</v>
      </c>
      <c r="AH2261" s="28"/>
      <c r="AI2261" s="28" t="n">
        <f aca="false">AH2261*$M2261</f>
        <v>0</v>
      </c>
      <c r="AJ2261" s="28" t="n">
        <v>623</v>
      </c>
      <c r="AK2261" s="28" t="n">
        <v>11214</v>
      </c>
      <c r="AL2261" s="28"/>
      <c r="AM2261" s="28" t="n">
        <f aca="false">AL2261*$M2261</f>
        <v>0</v>
      </c>
      <c r="AN2261" s="28"/>
      <c r="AO2261" s="28" t="n">
        <f aca="false">AN2261*$M2261</f>
        <v>0</v>
      </c>
      <c r="AP2261" s="28"/>
      <c r="AQ2261" s="28" t="n">
        <f aca="false">AP2261*$M2261</f>
        <v>0</v>
      </c>
      <c r="AR2261" s="28"/>
      <c r="AS2261" s="28" t="n">
        <f aca="false">AR2261*$M2261</f>
        <v>0</v>
      </c>
      <c r="AT2261" s="28"/>
      <c r="AU2261" s="28" t="n">
        <f aca="false">AT2261*$M2261</f>
        <v>0</v>
      </c>
      <c r="AV2261" s="28"/>
      <c r="AW2261" s="28" t="n">
        <f aca="false">AV2261*$M2261</f>
        <v>0</v>
      </c>
      <c r="AX2261" s="28"/>
      <c r="AY2261" s="28" t="n">
        <f aca="false">AX2261*$M2261</f>
        <v>0</v>
      </c>
      <c r="AZ2261" s="30" t="n">
        <v>623</v>
      </c>
      <c r="BA2261" s="11" t="n">
        <v>11214</v>
      </c>
      <c r="BB2261" s="31" t="n">
        <f aca="false">SUM(Q2261,S2261,U2261,W2261,Y2261,AA2261,AC2261,AE2261,AG2261,AI2261,AK2261,AM2261,AO2261,AQ2261,AS2261,AU2261,AW2261,AY2261)</f>
        <v>11214</v>
      </c>
      <c r="BC2261" s="28" t="n">
        <f aca="false">BA2261-BB2261</f>
        <v>0</v>
      </c>
      <c r="BD2261" s="32" t="n">
        <f aca="false">SUM(P2261,R2261,T2261,V2261,X2261,Z2261,AB2261,AD2261,AF2261,AH2261,AJ2261,AL2261,AN2261,AP2261,AR2261,AT2261,AV2261,AX2261)</f>
        <v>623</v>
      </c>
      <c r="BE2261" s="33" t="n">
        <f aca="false">AZ2261-BD2261</f>
        <v>0</v>
      </c>
      <c r="BF2261" s="34" t="n">
        <f aca="false">BD2261*M2261</f>
        <v>11214</v>
      </c>
      <c r="BG2261" s="35" t="n">
        <f aca="false">BA2261-BF2261</f>
        <v>0</v>
      </c>
      <c r="BH2261" s="19" t="str">
        <f aca="false">IF(BG2261=0,"",IF(BG2261&lt;&gt;BA2261,"erreur de calcul",IF(BD2261&lt;&gt;0,"pas de prix",IF(M2261&lt;&gt; 0,"pas de quantité","pas de prix, ni de quantité"))))</f>
        <v/>
      </c>
      <c r="BI2261" s="19"/>
    </row>
    <row r="2262" customFormat="false" ht="15" hidden="false" customHeight="false" outlineLevel="0" collapsed="false">
      <c r="A2262" s="0" t="n">
        <v>29</v>
      </c>
      <c r="B2262" s="8" t="s">
        <v>24</v>
      </c>
      <c r="C2262" s="9" t="s">
        <v>25</v>
      </c>
      <c r="D2262" s="9" t="s">
        <v>26</v>
      </c>
      <c r="E2262" s="10" t="n">
        <v>1789</v>
      </c>
      <c r="F2262" s="9" t="s">
        <v>27</v>
      </c>
      <c r="G2262" s="9" t="s">
        <v>27</v>
      </c>
      <c r="H2262" s="11" t="n">
        <v>22</v>
      </c>
      <c r="I2262" s="11" t="s">
        <v>232</v>
      </c>
      <c r="J2262" s="14" t="n">
        <v>66</v>
      </c>
      <c r="K2262" s="14"/>
      <c r="L2262" s="16"/>
      <c r="M2262" s="27" t="n">
        <f aca="false">J2262+(K2262/20)+(L2262/240)</f>
        <v>66</v>
      </c>
      <c r="N2262" s="17" t="s">
        <v>64</v>
      </c>
      <c r="O2262" s="11"/>
      <c r="P2262" s="28"/>
      <c r="Q2262" s="28" t="n">
        <f aca="false">P2262*$M2262</f>
        <v>0</v>
      </c>
      <c r="R2262" s="28" t="n">
        <f aca="false">4580/100</f>
        <v>45.8</v>
      </c>
      <c r="S2262" s="28" t="n">
        <v>3023</v>
      </c>
      <c r="T2262" s="28"/>
      <c r="U2262" s="28" t="n">
        <f aca="false">T2262*$M2262</f>
        <v>0</v>
      </c>
      <c r="V2262" s="28"/>
      <c r="W2262" s="28" t="n">
        <f aca="false">V2262*$M2262</f>
        <v>0</v>
      </c>
      <c r="X2262" s="28"/>
      <c r="Y2262" s="28" t="n">
        <f aca="false">X2262*$M2262</f>
        <v>0</v>
      </c>
      <c r="Z2262" s="28"/>
      <c r="AA2262" s="28" t="n">
        <f aca="false">Z2262*$M2262</f>
        <v>0</v>
      </c>
      <c r="AB2262" s="28"/>
      <c r="AC2262" s="28" t="n">
        <f aca="false">AB2262*$M2262</f>
        <v>0</v>
      </c>
      <c r="AD2262" s="28"/>
      <c r="AE2262" s="28" t="n">
        <f aca="false">AD2262*$M2262</f>
        <v>0</v>
      </c>
      <c r="AF2262" s="28"/>
      <c r="AG2262" s="28" t="n">
        <f aca="false">AF2262*$M2262</f>
        <v>0</v>
      </c>
      <c r="AH2262" s="28"/>
      <c r="AI2262" s="28" t="n">
        <f aca="false">AH2262*$M2262</f>
        <v>0</v>
      </c>
      <c r="AJ2262" s="28"/>
      <c r="AK2262" s="28" t="n">
        <f aca="false">AJ2262*$M2262</f>
        <v>0</v>
      </c>
      <c r="AL2262" s="28"/>
      <c r="AM2262" s="28" t="n">
        <f aca="false">AL2262*$M2262</f>
        <v>0</v>
      </c>
      <c r="AN2262" s="28"/>
      <c r="AO2262" s="28" t="n">
        <f aca="false">AN2262*$M2262</f>
        <v>0</v>
      </c>
      <c r="AP2262" s="28"/>
      <c r="AQ2262" s="28" t="n">
        <f aca="false">AP2262*$M2262</f>
        <v>0</v>
      </c>
      <c r="AR2262" s="28"/>
      <c r="AS2262" s="28" t="n">
        <f aca="false">AR2262*$M2262</f>
        <v>0</v>
      </c>
      <c r="AT2262" s="28"/>
      <c r="AU2262" s="28" t="n">
        <f aca="false">AT2262*$M2262</f>
        <v>0</v>
      </c>
      <c r="AV2262" s="28"/>
      <c r="AW2262" s="28" t="n">
        <f aca="false">AV2262*$M2262</f>
        <v>0</v>
      </c>
      <c r="AX2262" s="28"/>
      <c r="AY2262" s="28" t="n">
        <f aca="false">AX2262*$M2262</f>
        <v>0</v>
      </c>
      <c r="AZ2262" s="30" t="n">
        <f aca="false">4580/100</f>
        <v>45.8</v>
      </c>
      <c r="BA2262" s="11" t="n">
        <v>3023</v>
      </c>
      <c r="BB2262" s="31" t="n">
        <f aca="false">SUM(Q2262,S2262,U2262,W2262,Y2262,AA2262,AC2262,AE2262,AG2262,AI2262,AK2262,AM2262,AO2262,AQ2262,AS2262,AU2262,AW2262,AY2262)</f>
        <v>3023</v>
      </c>
      <c r="BC2262" s="28" t="n">
        <f aca="false">BA2262-BB2262</f>
        <v>0</v>
      </c>
      <c r="BD2262" s="32" t="n">
        <f aca="false">SUM(P2262,R2262,T2262,V2262,X2262,Z2262,AB2262,AD2262,AF2262,AH2262,AJ2262,AL2262,AN2262,AP2262,AR2262,AT2262,AV2262,AX2262)</f>
        <v>45.8</v>
      </c>
      <c r="BE2262" s="33" t="n">
        <f aca="false">AZ2262-BD2262</f>
        <v>0</v>
      </c>
      <c r="BF2262" s="34" t="n">
        <f aca="false">BD2262*M2262</f>
        <v>3022.8</v>
      </c>
      <c r="BG2262" s="35" t="n">
        <f aca="false">BA2262-BF2262</f>
        <v>0.200000000000273</v>
      </c>
      <c r="BH2262" s="19" t="str">
        <f aca="false">IF(BG2262=0,"",IF(BG2262&lt;&gt;BA2262,"erreur de calcul",IF(BD2262&lt;&gt;0,"pas de prix",IF(M2262&lt;&gt; 0,"pas de quantité","pas de prix, ni de quantité"))))</f>
        <v>erreur de calcul</v>
      </c>
      <c r="BI2262" s="19"/>
    </row>
    <row r="2263" customFormat="false" ht="15" hidden="false" customHeight="false" outlineLevel="0" collapsed="false">
      <c r="A2263" s="0" t="n">
        <v>30</v>
      </c>
      <c r="B2263" s="8" t="s">
        <v>24</v>
      </c>
      <c r="C2263" s="9" t="s">
        <v>25</v>
      </c>
      <c r="D2263" s="9" t="s">
        <v>26</v>
      </c>
      <c r="E2263" s="10" t="n">
        <v>1789</v>
      </c>
      <c r="F2263" s="9" t="s">
        <v>27</v>
      </c>
      <c r="G2263" s="9" t="s">
        <v>27</v>
      </c>
      <c r="H2263" s="11" t="n">
        <v>22</v>
      </c>
      <c r="I2263" s="11" t="s">
        <v>233</v>
      </c>
      <c r="J2263" s="14" t="n">
        <v>155</v>
      </c>
      <c r="K2263" s="14"/>
      <c r="L2263" s="16"/>
      <c r="M2263" s="27" t="n">
        <f aca="false">J2263+(K2263/20)+(L2263/240)</f>
        <v>155</v>
      </c>
      <c r="N2263" s="17" t="s">
        <v>64</v>
      </c>
      <c r="O2263" s="11"/>
      <c r="P2263" s="28" t="n">
        <f aca="false">27574/100</f>
        <v>275.74</v>
      </c>
      <c r="Q2263" s="28" t="n">
        <v>42740</v>
      </c>
      <c r="R2263" s="28" t="n">
        <f aca="false">7820/100</f>
        <v>78.2</v>
      </c>
      <c r="S2263" s="28" t="n">
        <v>12121</v>
      </c>
      <c r="T2263" s="28"/>
      <c r="U2263" s="28" t="n">
        <f aca="false">T2263*$M2263</f>
        <v>0</v>
      </c>
      <c r="V2263" s="28" t="n">
        <f aca="false">37316/100</f>
        <v>373.16</v>
      </c>
      <c r="W2263" s="28" t="n">
        <v>57840</v>
      </c>
      <c r="X2263" s="28" t="n">
        <f aca="false">1394/100</f>
        <v>13.94</v>
      </c>
      <c r="Y2263" s="28" t="n">
        <v>2161</v>
      </c>
      <c r="Z2263" s="28"/>
      <c r="AA2263" s="28" t="n">
        <f aca="false">Z2263*$M2263</f>
        <v>0</v>
      </c>
      <c r="AB2263" s="28"/>
      <c r="AC2263" s="28" t="n">
        <f aca="false">AB2263*$M2263</f>
        <v>0</v>
      </c>
      <c r="AD2263" s="28"/>
      <c r="AE2263" s="28" t="n">
        <f aca="false">AD2263*$M2263</f>
        <v>0</v>
      </c>
      <c r="AF2263" s="28"/>
      <c r="AG2263" s="28" t="n">
        <f aca="false">AF2263*$M2263</f>
        <v>0</v>
      </c>
      <c r="AH2263" s="28"/>
      <c r="AI2263" s="28" t="n">
        <f aca="false">AH2263*$M2263</f>
        <v>0</v>
      </c>
      <c r="AJ2263" s="28" t="n">
        <f aca="false">158255/100</f>
        <v>1582.55</v>
      </c>
      <c r="AK2263" s="28" t="n">
        <v>245295</v>
      </c>
      <c r="AL2263" s="28"/>
      <c r="AM2263" s="28" t="n">
        <f aca="false">AL2263*$M2263</f>
        <v>0</v>
      </c>
      <c r="AN2263" s="28" t="n">
        <f aca="false">417945/100</f>
        <v>4179.45</v>
      </c>
      <c r="AO2263" s="28" t="n">
        <v>647815</v>
      </c>
      <c r="AP2263" s="28"/>
      <c r="AQ2263" s="28" t="n">
        <f aca="false">AP2263*$M2263</f>
        <v>0</v>
      </c>
      <c r="AR2263" s="28"/>
      <c r="AS2263" s="28" t="n">
        <f aca="false">AR2263*$M2263</f>
        <v>0</v>
      </c>
      <c r="AT2263" s="28"/>
      <c r="AU2263" s="28" t="n">
        <f aca="false">AT2263*$M2263</f>
        <v>0</v>
      </c>
      <c r="AV2263" s="28"/>
      <c r="AW2263" s="28" t="n">
        <f aca="false">AV2263*$M2263</f>
        <v>0</v>
      </c>
      <c r="AX2263" s="28"/>
      <c r="AY2263" s="28" t="n">
        <f aca="false">AX2263*$M2263</f>
        <v>0</v>
      </c>
      <c r="AZ2263" s="30" t="n">
        <f aca="false">650304/100</f>
        <v>6503.04</v>
      </c>
      <c r="BA2263" s="11" t="n">
        <v>1007972</v>
      </c>
      <c r="BB2263" s="31" t="n">
        <f aca="false">SUM(Q2263,S2263,U2263,W2263,Y2263,AA2263,AC2263,AE2263,AG2263,AI2263,AK2263,AM2263,AO2263,AQ2263,AS2263,AU2263,AW2263,AY2263)</f>
        <v>1007972</v>
      </c>
      <c r="BC2263" s="28" t="n">
        <f aca="false">BA2263-BB2263</f>
        <v>0</v>
      </c>
      <c r="BD2263" s="32" t="n">
        <f aca="false">SUM(P2263,R2263,T2263,V2263,X2263,Z2263,AB2263,AD2263,AF2263,AH2263,AJ2263,AL2263,AN2263,AP2263,AR2263,AT2263,AV2263,AX2263)</f>
        <v>6503.04</v>
      </c>
      <c r="BE2263" s="33" t="n">
        <f aca="false">AZ2263-BD2263</f>
        <v>0</v>
      </c>
      <c r="BF2263" s="34" t="n">
        <f aca="false">BD2263*M2263</f>
        <v>1007971.2</v>
      </c>
      <c r="BG2263" s="35" t="n">
        <f aca="false">BA2263-BF2263</f>
        <v>0.800000000162981</v>
      </c>
      <c r="BH2263" s="19" t="str">
        <f aca="false">IF(BG2263=0,"",IF(BG2263&lt;&gt;BA2263,"erreur de calcul",IF(BD2263&lt;&gt;0,"pas de prix",IF(M2263&lt;&gt; 0,"pas de quantité","pas de prix, ni de quantité"))))</f>
        <v>erreur de calcul</v>
      </c>
      <c r="BI2263" s="19"/>
    </row>
    <row r="2264" customFormat="false" ht="15" hidden="false" customHeight="false" outlineLevel="0" collapsed="false">
      <c r="A2264" s="0" t="n">
        <v>31</v>
      </c>
      <c r="B2264" s="8" t="s">
        <v>24</v>
      </c>
      <c r="C2264" s="9" t="s">
        <v>25</v>
      </c>
      <c r="D2264" s="9" t="s">
        <v>26</v>
      </c>
      <c r="E2264" s="10" t="n">
        <v>1789</v>
      </c>
      <c r="F2264" s="9" t="s">
        <v>27</v>
      </c>
      <c r="G2264" s="9" t="s">
        <v>27</v>
      </c>
      <c r="H2264" s="11" t="n">
        <v>22</v>
      </c>
      <c r="I2264" s="11" t="s">
        <v>234</v>
      </c>
      <c r="J2264" s="14" t="n">
        <v>110</v>
      </c>
      <c r="K2264" s="14"/>
      <c r="L2264" s="16"/>
      <c r="M2264" s="27" t="n">
        <f aca="false">J2264+(K2264/20)+(L2264/240)</f>
        <v>110</v>
      </c>
      <c r="N2264" s="17" t="s">
        <v>64</v>
      </c>
      <c r="O2264" s="11"/>
      <c r="P2264" s="28" t="n">
        <f aca="false">73942/100</f>
        <v>739.42</v>
      </c>
      <c r="Q2264" s="28" t="n">
        <v>81336</v>
      </c>
      <c r="R2264" s="28"/>
      <c r="S2264" s="28" t="n">
        <f aca="false">R2264*$M2264</f>
        <v>0</v>
      </c>
      <c r="T2264" s="28"/>
      <c r="U2264" s="28" t="n">
        <f aca="false">T2264*$M2264</f>
        <v>0</v>
      </c>
      <c r="V2264" s="28"/>
      <c r="W2264" s="28" t="n">
        <f aca="false">V2264*$M2264</f>
        <v>0</v>
      </c>
      <c r="X2264" s="28"/>
      <c r="Y2264" s="28" t="n">
        <f aca="false">X2264*$M2264</f>
        <v>0</v>
      </c>
      <c r="Z2264" s="28"/>
      <c r="AA2264" s="28" t="n">
        <f aca="false">Z2264*$M2264</f>
        <v>0</v>
      </c>
      <c r="AB2264" s="28"/>
      <c r="AC2264" s="28" t="n">
        <f aca="false">AB2264*$M2264</f>
        <v>0</v>
      </c>
      <c r="AD2264" s="28"/>
      <c r="AE2264" s="28" t="n">
        <f aca="false">AD2264*$M2264</f>
        <v>0</v>
      </c>
      <c r="AF2264" s="28"/>
      <c r="AG2264" s="28" t="n">
        <f aca="false">AF2264*$M2264</f>
        <v>0</v>
      </c>
      <c r="AH2264" s="28"/>
      <c r="AI2264" s="28" t="n">
        <f aca="false">AH2264*$M2264</f>
        <v>0</v>
      </c>
      <c r="AJ2264" s="28"/>
      <c r="AK2264" s="28" t="n">
        <f aca="false">AJ2264*$M2264</f>
        <v>0</v>
      </c>
      <c r="AL2264" s="28"/>
      <c r="AM2264" s="28" t="n">
        <f aca="false">AL2264*$M2264</f>
        <v>0</v>
      </c>
      <c r="AN2264" s="28"/>
      <c r="AO2264" s="28" t="n">
        <f aca="false">AN2264*$M2264</f>
        <v>0</v>
      </c>
      <c r="AP2264" s="28"/>
      <c r="AQ2264" s="28" t="n">
        <f aca="false">AP2264*$M2264</f>
        <v>0</v>
      </c>
      <c r="AR2264" s="28"/>
      <c r="AS2264" s="28" t="n">
        <f aca="false">AR2264*$M2264</f>
        <v>0</v>
      </c>
      <c r="AT2264" s="28"/>
      <c r="AU2264" s="28" t="n">
        <f aca="false">AT2264*$M2264</f>
        <v>0</v>
      </c>
      <c r="AV2264" s="28"/>
      <c r="AW2264" s="28" t="n">
        <f aca="false">AV2264*$M2264</f>
        <v>0</v>
      </c>
      <c r="AX2264" s="28"/>
      <c r="AY2264" s="28" t="n">
        <f aca="false">AX2264*$M2264</f>
        <v>0</v>
      </c>
      <c r="AZ2264" s="30" t="n">
        <f aca="false">73942/100</f>
        <v>739.42</v>
      </c>
      <c r="BA2264" s="11" t="n">
        <v>81336</v>
      </c>
      <c r="BB2264" s="31" t="n">
        <f aca="false">SUM(Q2264,S2264,U2264,W2264,Y2264,AA2264,AC2264,AE2264,AG2264,AI2264,AK2264,AM2264,AO2264,AQ2264,AS2264,AU2264,AW2264,AY2264)</f>
        <v>81336</v>
      </c>
      <c r="BC2264" s="28" t="n">
        <f aca="false">BA2264-BB2264</f>
        <v>0</v>
      </c>
      <c r="BD2264" s="32" t="n">
        <f aca="false">SUM(P2264,R2264,T2264,V2264,X2264,Z2264,AB2264,AD2264,AF2264,AH2264,AJ2264,AL2264,AN2264,AP2264,AR2264,AT2264,AV2264,AX2264)</f>
        <v>739.42</v>
      </c>
      <c r="BE2264" s="33" t="n">
        <f aca="false">AZ2264-BD2264</f>
        <v>0</v>
      </c>
      <c r="BF2264" s="34" t="n">
        <f aca="false">BD2264*M2264</f>
        <v>81336.2</v>
      </c>
      <c r="BG2264" s="35" t="n">
        <f aca="false">BA2264-BF2264</f>
        <v>-0.19999999999709</v>
      </c>
      <c r="BH2264" s="19" t="str">
        <f aca="false">IF(BG2264=0,"",IF(BG2264&lt;&gt;BA2264,"erreur de calcul",IF(BD2264&lt;&gt;0,"pas de prix",IF(M2264&lt;&gt; 0,"pas de quantité","pas de prix, ni de quantité"))))</f>
        <v>erreur de calcul</v>
      </c>
      <c r="BI2264" s="19"/>
    </row>
    <row r="2265" customFormat="false" ht="15" hidden="false" customHeight="false" outlineLevel="0" collapsed="false">
      <c r="A2265" s="0" t="n">
        <v>32</v>
      </c>
      <c r="B2265" s="8" t="s">
        <v>24</v>
      </c>
      <c r="C2265" s="9" t="s">
        <v>25</v>
      </c>
      <c r="D2265" s="9" t="s">
        <v>26</v>
      </c>
      <c r="E2265" s="10" t="n">
        <v>1789</v>
      </c>
      <c r="F2265" s="9" t="s">
        <v>27</v>
      </c>
      <c r="G2265" s="9" t="s">
        <v>27</v>
      </c>
      <c r="H2265" s="11" t="n">
        <v>22</v>
      </c>
      <c r="I2265" s="11" t="s">
        <v>235</v>
      </c>
      <c r="J2265" s="14" t="n">
        <v>60</v>
      </c>
      <c r="K2265" s="14"/>
      <c r="L2265" s="16"/>
      <c r="M2265" s="27" t="n">
        <f aca="false">J2265+(K2265/20)+(L2265/240)</f>
        <v>60</v>
      </c>
      <c r="N2265" s="17" t="s">
        <v>64</v>
      </c>
      <c r="O2265" s="11"/>
      <c r="P2265" s="28"/>
      <c r="Q2265" s="28" t="n">
        <f aca="false">P2265*$M2265</f>
        <v>0</v>
      </c>
      <c r="R2265" s="28"/>
      <c r="S2265" s="28" t="n">
        <f aca="false">R2265*$M2265</f>
        <v>0</v>
      </c>
      <c r="T2265" s="28"/>
      <c r="U2265" s="28" t="n">
        <f aca="false">T2265*$M2265</f>
        <v>0</v>
      </c>
      <c r="V2265" s="28" t="n">
        <f aca="false">232/100</f>
        <v>2.32</v>
      </c>
      <c r="W2265" s="28" t="n">
        <v>139</v>
      </c>
      <c r="X2265" s="28" t="n">
        <f aca="false">5603/100</f>
        <v>56.03</v>
      </c>
      <c r="Y2265" s="28" t="n">
        <v>3362</v>
      </c>
      <c r="Z2265" s="28"/>
      <c r="AA2265" s="28" t="n">
        <f aca="false">Z2265*$M2265</f>
        <v>0</v>
      </c>
      <c r="AB2265" s="28" t="n">
        <f aca="false">1410/100</f>
        <v>14.1</v>
      </c>
      <c r="AC2265" s="28" t="n">
        <v>846</v>
      </c>
      <c r="AD2265" s="28"/>
      <c r="AE2265" s="28" t="n">
        <f aca="false">AD2265*$M2265</f>
        <v>0</v>
      </c>
      <c r="AF2265" s="28" t="n">
        <f aca="false">162899/100</f>
        <v>1628.99</v>
      </c>
      <c r="AG2265" s="28" t="n">
        <v>97739</v>
      </c>
      <c r="AH2265" s="28" t="n">
        <f aca="false">6506/100</f>
        <v>65.06</v>
      </c>
      <c r="AI2265" s="28" t="n">
        <v>3904</v>
      </c>
      <c r="AJ2265" s="28"/>
      <c r="AK2265" s="28" t="n">
        <f aca="false">AJ2265*$M2265</f>
        <v>0</v>
      </c>
      <c r="AL2265" s="28"/>
      <c r="AM2265" s="28" t="n">
        <f aca="false">AL2265*$M2265</f>
        <v>0</v>
      </c>
      <c r="AN2265" s="28"/>
      <c r="AO2265" s="28" t="n">
        <f aca="false">AN2265*$M2265</f>
        <v>0</v>
      </c>
      <c r="AP2265" s="28"/>
      <c r="AQ2265" s="28" t="n">
        <f aca="false">AP2265*$M2265</f>
        <v>0</v>
      </c>
      <c r="AR2265" s="28"/>
      <c r="AS2265" s="28" t="n">
        <f aca="false">AR2265*$M2265</f>
        <v>0</v>
      </c>
      <c r="AT2265" s="28"/>
      <c r="AU2265" s="28" t="n">
        <f aca="false">AT2265*$M2265</f>
        <v>0</v>
      </c>
      <c r="AV2265" s="28"/>
      <c r="AW2265" s="28" t="n">
        <f aca="false">AV2265*$M2265</f>
        <v>0</v>
      </c>
      <c r="AX2265" s="28"/>
      <c r="AY2265" s="28" t="n">
        <f aca="false">AX2265*$M2265</f>
        <v>0</v>
      </c>
      <c r="AZ2265" s="30" t="n">
        <f aca="false">176650/100</f>
        <v>1766.5</v>
      </c>
      <c r="BA2265" s="11" t="n">
        <v>105990</v>
      </c>
      <c r="BB2265" s="31" t="n">
        <f aca="false">SUM(Q2265,S2265,U2265,W2265,Y2265,AA2265,AC2265,AE2265,AG2265,AI2265,AK2265,AM2265,AO2265,AQ2265,AS2265,AU2265,AW2265,AY2265)</f>
        <v>105990</v>
      </c>
      <c r="BC2265" s="28" t="n">
        <f aca="false">BA2265-BB2265</f>
        <v>0</v>
      </c>
      <c r="BD2265" s="32" t="n">
        <f aca="false">SUM(P2265,R2265,T2265,V2265,X2265,Z2265,AB2265,AD2265,AF2265,AH2265,AJ2265,AL2265,AN2265,AP2265,AR2265,AT2265,AV2265,AX2265)</f>
        <v>1766.5</v>
      </c>
      <c r="BE2265" s="33" t="n">
        <f aca="false">AZ2265-BD2265</f>
        <v>0</v>
      </c>
      <c r="BF2265" s="34" t="n">
        <f aca="false">BD2265*M2265</f>
        <v>105990</v>
      </c>
      <c r="BG2265" s="35" t="n">
        <f aca="false">BA2265-BF2265</f>
        <v>0</v>
      </c>
      <c r="BH2265" s="19" t="str">
        <f aca="false">IF(BG2265=0,"",IF(BG2265&lt;&gt;BA2265,"erreur de calcul",IF(BD2265&lt;&gt;0,"pas de prix",IF(M2265&lt;&gt; 0,"pas de quantité","pas de prix, ni de quantité"))))</f>
        <v/>
      </c>
      <c r="BI2265" s="19"/>
    </row>
    <row r="2266" customFormat="false" ht="15" hidden="false" customHeight="false" outlineLevel="0" collapsed="false">
      <c r="A2266" s="0" t="n">
        <v>33</v>
      </c>
      <c r="B2266" s="8" t="s">
        <v>24</v>
      </c>
      <c r="C2266" s="9" t="s">
        <v>25</v>
      </c>
      <c r="D2266" s="9" t="s">
        <v>26</v>
      </c>
      <c r="E2266" s="10" t="n">
        <v>1789</v>
      </c>
      <c r="F2266" s="9" t="s">
        <v>27</v>
      </c>
      <c r="G2266" s="9" t="s">
        <v>27</v>
      </c>
      <c r="H2266" s="11" t="n">
        <v>22</v>
      </c>
      <c r="I2266" s="11" t="s">
        <v>236</v>
      </c>
      <c r="J2266" s="14" t="n">
        <v>710</v>
      </c>
      <c r="K2266" s="14"/>
      <c r="L2266" s="16"/>
      <c r="M2266" s="27" t="n">
        <f aca="false">J2266+(K2266/20)+(L2266/240)</f>
        <v>710</v>
      </c>
      <c r="N2266" s="17" t="s">
        <v>64</v>
      </c>
      <c r="O2266" s="11"/>
      <c r="P2266" s="28"/>
      <c r="Q2266" s="28" t="n">
        <f aca="false">P2266*$M2266</f>
        <v>0</v>
      </c>
      <c r="R2266" s="28"/>
      <c r="S2266" s="28" t="n">
        <f aca="false">R2266*$M2266</f>
        <v>0</v>
      </c>
      <c r="T2266" s="28" t="n">
        <f aca="false">108/100</f>
        <v>1.08</v>
      </c>
      <c r="U2266" s="28" t="n">
        <v>767</v>
      </c>
      <c r="V2266" s="28" t="n">
        <f aca="false">1190/100</f>
        <v>11.9</v>
      </c>
      <c r="W2266" s="28" t="n">
        <v>8449</v>
      </c>
      <c r="X2266" s="28" t="n">
        <f aca="false">487/100</f>
        <v>4.87</v>
      </c>
      <c r="Y2266" s="28" t="n">
        <v>3458</v>
      </c>
      <c r="Z2266" s="28"/>
      <c r="AA2266" s="28" t="n">
        <f aca="false">Z2266*$M2266</f>
        <v>0</v>
      </c>
      <c r="AB2266" s="28" t="n">
        <f aca="false">9170/100</f>
        <v>91.7</v>
      </c>
      <c r="AC2266" s="28" t="n">
        <v>65107</v>
      </c>
      <c r="AD2266" s="28" t="n">
        <f aca="false">531/100</f>
        <v>5.31</v>
      </c>
      <c r="AE2266" s="28" t="n">
        <v>3770</v>
      </c>
      <c r="AF2266" s="28"/>
      <c r="AG2266" s="28" t="n">
        <f aca="false">AF2266*$M2266</f>
        <v>0</v>
      </c>
      <c r="AH2266" s="28"/>
      <c r="AI2266" s="28" t="n">
        <f aca="false">AH2266*$M2266</f>
        <v>0</v>
      </c>
      <c r="AJ2266" s="28"/>
      <c r="AK2266" s="28" t="n">
        <f aca="false">AJ2266*$M2266</f>
        <v>0</v>
      </c>
      <c r="AL2266" s="28"/>
      <c r="AM2266" s="28" t="n">
        <f aca="false">AL2266*$M2266</f>
        <v>0</v>
      </c>
      <c r="AN2266" s="28"/>
      <c r="AO2266" s="28" t="n">
        <f aca="false">AN2266*$M2266</f>
        <v>0</v>
      </c>
      <c r="AP2266" s="28"/>
      <c r="AQ2266" s="28" t="n">
        <f aca="false">AP2266*$M2266</f>
        <v>0</v>
      </c>
      <c r="AR2266" s="28"/>
      <c r="AS2266" s="28" t="n">
        <f aca="false">AR2266*$M2266</f>
        <v>0</v>
      </c>
      <c r="AT2266" s="28"/>
      <c r="AU2266" s="28" t="n">
        <f aca="false">AT2266*$M2266</f>
        <v>0</v>
      </c>
      <c r="AV2266" s="28"/>
      <c r="AW2266" s="28" t="n">
        <f aca="false">AV2266*$M2266</f>
        <v>0</v>
      </c>
      <c r="AX2266" s="28"/>
      <c r="AY2266" s="28" t="n">
        <f aca="false">AX2266*$M2266</f>
        <v>0</v>
      </c>
      <c r="AZ2266" s="30" t="n">
        <f aca="false">11486/100</f>
        <v>114.86</v>
      </c>
      <c r="BA2266" s="11" t="n">
        <v>81551</v>
      </c>
      <c r="BB2266" s="31" t="n">
        <f aca="false">SUM(Q2266,S2266,U2266,W2266,Y2266,AA2266,AC2266,AE2266,AG2266,AI2266,AK2266,AM2266,AO2266,AQ2266,AS2266,AU2266,AW2266,AY2266)</f>
        <v>81551</v>
      </c>
      <c r="BC2266" s="28" t="n">
        <f aca="false">BA2266-BB2266</f>
        <v>0</v>
      </c>
      <c r="BD2266" s="32" t="n">
        <f aca="false">SUM(P2266,R2266,T2266,V2266,X2266,Z2266,AB2266,AD2266,AF2266,AH2266,AJ2266,AL2266,AN2266,AP2266,AR2266,AT2266,AV2266,AX2266)</f>
        <v>114.86</v>
      </c>
      <c r="BE2266" s="33" t="n">
        <f aca="false">AZ2266-BD2266</f>
        <v>0</v>
      </c>
      <c r="BF2266" s="34" t="n">
        <f aca="false">BD2266*M2266</f>
        <v>81550.6</v>
      </c>
      <c r="BG2266" s="35" t="n">
        <f aca="false">BA2266-BF2266</f>
        <v>0.399999999994179</v>
      </c>
      <c r="BH2266" s="19" t="str">
        <f aca="false">IF(BG2266=0,"",IF(BG2266&lt;&gt;BA2266,"erreur de calcul",IF(BD2266&lt;&gt;0,"pas de prix",IF(M2266&lt;&gt; 0,"pas de quantité","pas de prix, ni de quantité"))))</f>
        <v>erreur de calcul</v>
      </c>
      <c r="BI2266" s="19"/>
    </row>
    <row r="2267" customFormat="false" ht="15" hidden="false" customHeight="false" outlineLevel="0" collapsed="false">
      <c r="A2267" s="0" t="n">
        <v>34</v>
      </c>
      <c r="B2267" s="8" t="s">
        <v>24</v>
      </c>
      <c r="C2267" s="9" t="s">
        <v>25</v>
      </c>
      <c r="D2267" s="9" t="s">
        <v>26</v>
      </c>
      <c r="E2267" s="10" t="n">
        <v>1789</v>
      </c>
      <c r="F2267" s="9" t="s">
        <v>27</v>
      </c>
      <c r="G2267" s="9" t="s">
        <v>27</v>
      </c>
      <c r="H2267" s="11" t="n">
        <v>22</v>
      </c>
      <c r="I2267" s="11" t="s">
        <v>237</v>
      </c>
      <c r="J2267" s="14" t="n">
        <v>91</v>
      </c>
      <c r="K2267" s="14"/>
      <c r="L2267" s="16"/>
      <c r="M2267" s="27" t="n">
        <f aca="false">J2267+(K2267/20)+(L2267/240)</f>
        <v>91</v>
      </c>
      <c r="N2267" s="17" t="s">
        <v>64</v>
      </c>
      <c r="O2267" s="11"/>
      <c r="P2267" s="28"/>
      <c r="Q2267" s="28" t="n">
        <f aca="false">P2267*$M2267</f>
        <v>0</v>
      </c>
      <c r="R2267" s="28"/>
      <c r="S2267" s="28" t="n">
        <f aca="false">R2267*$M2267</f>
        <v>0</v>
      </c>
      <c r="T2267" s="28"/>
      <c r="U2267" s="28" t="n">
        <f aca="false">T2267*$M2267</f>
        <v>0</v>
      </c>
      <c r="V2267" s="28" t="n">
        <f aca="false">3384/100</f>
        <v>33.84</v>
      </c>
      <c r="W2267" s="28" t="n">
        <v>3079</v>
      </c>
      <c r="X2267" s="28" t="n">
        <f aca="false">18105/100</f>
        <v>181.05</v>
      </c>
      <c r="Y2267" s="28" t="n">
        <v>16475</v>
      </c>
      <c r="Z2267" s="28"/>
      <c r="AA2267" s="28" t="n">
        <f aca="false">Z2267*$M2267</f>
        <v>0</v>
      </c>
      <c r="AB2267" s="28"/>
      <c r="AC2267" s="28" t="n">
        <f aca="false">AB2267*$M2267</f>
        <v>0</v>
      </c>
      <c r="AD2267" s="28"/>
      <c r="AE2267" s="28" t="n">
        <f aca="false">AD2267*$M2267</f>
        <v>0</v>
      </c>
      <c r="AF2267" s="28"/>
      <c r="AG2267" s="28" t="n">
        <f aca="false">AF2267*$M2267</f>
        <v>0</v>
      </c>
      <c r="AH2267" s="28"/>
      <c r="AI2267" s="28" t="n">
        <f aca="false">AH2267*$M2267</f>
        <v>0</v>
      </c>
      <c r="AJ2267" s="28"/>
      <c r="AK2267" s="28" t="n">
        <f aca="false">AJ2267*$M2267</f>
        <v>0</v>
      </c>
      <c r="AL2267" s="28"/>
      <c r="AM2267" s="28" t="n">
        <f aca="false">AL2267*$M2267</f>
        <v>0</v>
      </c>
      <c r="AN2267" s="28"/>
      <c r="AO2267" s="28" t="n">
        <f aca="false">AN2267*$M2267</f>
        <v>0</v>
      </c>
      <c r="AP2267" s="28"/>
      <c r="AQ2267" s="28" t="n">
        <f aca="false">AP2267*$M2267</f>
        <v>0</v>
      </c>
      <c r="AR2267" s="28"/>
      <c r="AS2267" s="28" t="n">
        <f aca="false">AR2267*$M2267</f>
        <v>0</v>
      </c>
      <c r="AT2267" s="28"/>
      <c r="AU2267" s="28" t="n">
        <f aca="false">AT2267*$M2267</f>
        <v>0</v>
      </c>
      <c r="AV2267" s="28"/>
      <c r="AW2267" s="28" t="n">
        <f aca="false">AV2267*$M2267</f>
        <v>0</v>
      </c>
      <c r="AX2267" s="28"/>
      <c r="AY2267" s="28" t="n">
        <f aca="false">AX2267*$M2267</f>
        <v>0</v>
      </c>
      <c r="AZ2267" s="30" t="n">
        <f aca="false">21489/100</f>
        <v>214.89</v>
      </c>
      <c r="BA2267" s="11" t="n">
        <v>19554</v>
      </c>
      <c r="BB2267" s="31" t="n">
        <f aca="false">SUM(Q2267,S2267,U2267,W2267,Y2267,AA2267,AC2267,AE2267,AG2267,AI2267,AK2267,AM2267,AO2267,AQ2267,AS2267,AU2267,AW2267,AY2267)</f>
        <v>19554</v>
      </c>
      <c r="BC2267" s="28" t="n">
        <f aca="false">BA2267-BB2267</f>
        <v>0</v>
      </c>
      <c r="BD2267" s="32" t="n">
        <f aca="false">SUM(P2267,R2267,T2267,V2267,X2267,Z2267,AB2267,AD2267,AF2267,AH2267,AJ2267,AL2267,AN2267,AP2267,AR2267,AT2267,AV2267,AX2267)</f>
        <v>214.89</v>
      </c>
      <c r="BE2267" s="33" t="n">
        <f aca="false">AZ2267-BD2267</f>
        <v>0</v>
      </c>
      <c r="BF2267" s="34" t="n">
        <f aca="false">BD2267*M2267</f>
        <v>19554.99</v>
      </c>
      <c r="BG2267" s="35" t="n">
        <f aca="false">BA2267-BF2267</f>
        <v>-0.990000000001601</v>
      </c>
      <c r="BH2267" s="19" t="str">
        <f aca="false">IF(BG2267=0,"",IF(BG2267&lt;&gt;BA2267,"erreur de calcul",IF(BD2267&lt;&gt;0,"pas de prix",IF(M2267&lt;&gt; 0,"pas de quantité","pas de prix, ni de quantité"))))</f>
        <v>erreur de calcul</v>
      </c>
      <c r="BI2267" s="19"/>
    </row>
    <row r="2268" customFormat="false" ht="15" hidden="false" customHeight="false" outlineLevel="0" collapsed="false">
      <c r="A2268" s="0" t="n">
        <v>35</v>
      </c>
      <c r="B2268" s="8" t="s">
        <v>24</v>
      </c>
      <c r="C2268" s="9" t="s">
        <v>25</v>
      </c>
      <c r="D2268" s="9" t="s">
        <v>26</v>
      </c>
      <c r="E2268" s="10" t="n">
        <v>1789</v>
      </c>
      <c r="F2268" s="9" t="s">
        <v>27</v>
      </c>
      <c r="G2268" s="9" t="s">
        <v>27</v>
      </c>
      <c r="H2268" s="11" t="n">
        <v>22</v>
      </c>
      <c r="I2268" s="11" t="s">
        <v>238</v>
      </c>
      <c r="J2268" s="14" t="n">
        <v>40</v>
      </c>
      <c r="K2268" s="14"/>
      <c r="L2268" s="16"/>
      <c r="M2268" s="27" t="n">
        <f aca="false">J2268+(K2268/20)+(L2268/240)</f>
        <v>40</v>
      </c>
      <c r="N2268" s="17" t="s">
        <v>66</v>
      </c>
      <c r="O2268" s="11"/>
      <c r="P2268" s="28" t="n">
        <v>150</v>
      </c>
      <c r="Q2268" s="28" t="n">
        <v>6000</v>
      </c>
      <c r="R2268" s="28"/>
      <c r="S2268" s="28" t="n">
        <f aca="false">R2268*$M2268</f>
        <v>0</v>
      </c>
      <c r="T2268" s="28" t="n">
        <v>467</v>
      </c>
      <c r="U2268" s="28" t="n">
        <v>18680</v>
      </c>
      <c r="V2268" s="28" t="n">
        <v>1124</v>
      </c>
      <c r="W2268" s="28" t="n">
        <v>44960</v>
      </c>
      <c r="X2268" s="28" t="n">
        <v>591</v>
      </c>
      <c r="Y2268" s="28" t="n">
        <v>23640</v>
      </c>
      <c r="Z2268" s="28"/>
      <c r="AA2268" s="28" t="n">
        <f aca="false">Z2268*$M2268</f>
        <v>0</v>
      </c>
      <c r="AB2268" s="28" t="n">
        <v>554</v>
      </c>
      <c r="AC2268" s="28" t="n">
        <v>22160</v>
      </c>
      <c r="AD2268" s="28"/>
      <c r="AE2268" s="28" t="n">
        <f aca="false">AD2268*$M2268</f>
        <v>0</v>
      </c>
      <c r="AF2268" s="28"/>
      <c r="AG2268" s="28" t="n">
        <f aca="false">AF2268*$M2268</f>
        <v>0</v>
      </c>
      <c r="AH2268" s="28" t="n">
        <v>1109</v>
      </c>
      <c r="AI2268" s="28" t="n">
        <v>44360</v>
      </c>
      <c r="AJ2268" s="28"/>
      <c r="AK2268" s="28" t="n">
        <f aca="false">AJ2268*$M2268</f>
        <v>0</v>
      </c>
      <c r="AL2268" s="28"/>
      <c r="AM2268" s="28" t="n">
        <f aca="false">AL2268*$M2268</f>
        <v>0</v>
      </c>
      <c r="AN2268" s="28"/>
      <c r="AO2268" s="28" t="n">
        <f aca="false">AN2268*$M2268</f>
        <v>0</v>
      </c>
      <c r="AP2268" s="28"/>
      <c r="AQ2268" s="28" t="n">
        <f aca="false">AP2268*$M2268</f>
        <v>0</v>
      </c>
      <c r="AR2268" s="28"/>
      <c r="AS2268" s="28" t="n">
        <f aca="false">AR2268*$M2268</f>
        <v>0</v>
      </c>
      <c r="AT2268" s="28"/>
      <c r="AU2268" s="28" t="n">
        <f aca="false">AT2268*$M2268</f>
        <v>0</v>
      </c>
      <c r="AV2268" s="28"/>
      <c r="AW2268" s="28" t="n">
        <f aca="false">AV2268*$M2268</f>
        <v>0</v>
      </c>
      <c r="AX2268" s="28"/>
      <c r="AY2268" s="28" t="n">
        <f aca="false">AX2268*$M2268</f>
        <v>0</v>
      </c>
      <c r="AZ2268" s="30" t="n">
        <v>3995</v>
      </c>
      <c r="BA2268" s="11" t="n">
        <v>159800</v>
      </c>
      <c r="BB2268" s="31" t="n">
        <f aca="false">SUM(Q2268,S2268,U2268,W2268,Y2268,AA2268,AC2268,AE2268,AG2268,AI2268,AK2268,AM2268,AO2268,AQ2268,AS2268,AU2268,AW2268,AY2268)</f>
        <v>159800</v>
      </c>
      <c r="BC2268" s="28" t="n">
        <f aca="false">BA2268-BB2268</f>
        <v>0</v>
      </c>
      <c r="BD2268" s="32" t="n">
        <f aca="false">SUM(P2268,R2268,T2268,V2268,X2268,Z2268,AB2268,AD2268,AF2268,AH2268,AJ2268,AL2268,AN2268,AP2268,AR2268,AT2268,AV2268,AX2268)</f>
        <v>3995</v>
      </c>
      <c r="BE2268" s="33" t="n">
        <f aca="false">AZ2268-BD2268</f>
        <v>0</v>
      </c>
      <c r="BF2268" s="34" t="n">
        <f aca="false">BD2268*M2268</f>
        <v>159800</v>
      </c>
      <c r="BG2268" s="35" t="n">
        <f aca="false">BA2268-BF2268</f>
        <v>0</v>
      </c>
      <c r="BH2268" s="19" t="str">
        <f aca="false">IF(BG2268=0,"",IF(BG2268&lt;&gt;BA2268,"erreur de calcul",IF(BD2268&lt;&gt;0,"pas de prix",IF(M2268&lt;&gt; 0,"pas de quantité","pas de prix, ni de quantité"))))</f>
        <v/>
      </c>
      <c r="BI2268" s="19"/>
    </row>
    <row r="2269" customFormat="false" ht="15" hidden="false" customHeight="false" outlineLevel="0" collapsed="false">
      <c r="A2269" s="0" t="n">
        <v>36</v>
      </c>
      <c r="B2269" s="8" t="s">
        <v>24</v>
      </c>
      <c r="C2269" s="9" t="s">
        <v>25</v>
      </c>
      <c r="D2269" s="9" t="s">
        <v>26</v>
      </c>
      <c r="E2269" s="10" t="n">
        <v>1789</v>
      </c>
      <c r="F2269" s="9" t="s">
        <v>27</v>
      </c>
      <c r="G2269" s="9" t="s">
        <v>27</v>
      </c>
      <c r="H2269" s="11" t="n">
        <v>22</v>
      </c>
      <c r="I2269" s="11" t="s">
        <v>239</v>
      </c>
      <c r="J2269" s="14" t="n">
        <v>48</v>
      </c>
      <c r="K2269" s="14"/>
      <c r="L2269" s="16"/>
      <c r="M2269" s="27" t="n">
        <f aca="false">J2269+(K2269/20)+(L2269/240)</f>
        <v>48</v>
      </c>
      <c r="N2269" s="17" t="s">
        <v>66</v>
      </c>
      <c r="O2269" s="11"/>
      <c r="P2269" s="28"/>
      <c r="Q2269" s="28" t="n">
        <f aca="false">P2269*$M2269</f>
        <v>0</v>
      </c>
      <c r="R2269" s="28"/>
      <c r="S2269" s="28" t="n">
        <f aca="false">R2269*$M2269</f>
        <v>0</v>
      </c>
      <c r="T2269" s="28" t="n">
        <v>690</v>
      </c>
      <c r="U2269" s="28" t="n">
        <v>33120</v>
      </c>
      <c r="V2269" s="28" t="n">
        <v>3577</v>
      </c>
      <c r="W2269" s="28" t="n">
        <v>171696</v>
      </c>
      <c r="X2269" s="28"/>
      <c r="Y2269" s="28" t="n">
        <f aca="false">X2269*$M2269</f>
        <v>0</v>
      </c>
      <c r="Z2269" s="28"/>
      <c r="AA2269" s="28" t="n">
        <f aca="false">Z2269*$M2269</f>
        <v>0</v>
      </c>
      <c r="AB2269" s="28"/>
      <c r="AC2269" s="28" t="n">
        <f aca="false">AB2269*$M2269</f>
        <v>0</v>
      </c>
      <c r="AD2269" s="28"/>
      <c r="AE2269" s="28" t="n">
        <f aca="false">AD2269*$M2269</f>
        <v>0</v>
      </c>
      <c r="AF2269" s="28"/>
      <c r="AG2269" s="28" t="n">
        <f aca="false">AF2269*$M2269</f>
        <v>0</v>
      </c>
      <c r="AH2269" s="28"/>
      <c r="AI2269" s="28" t="n">
        <f aca="false">AH2269*$M2269</f>
        <v>0</v>
      </c>
      <c r="AJ2269" s="28"/>
      <c r="AK2269" s="28" t="n">
        <f aca="false">AJ2269*$M2269</f>
        <v>0</v>
      </c>
      <c r="AL2269" s="28"/>
      <c r="AM2269" s="28" t="n">
        <f aca="false">AL2269*$M2269</f>
        <v>0</v>
      </c>
      <c r="AN2269" s="28"/>
      <c r="AO2269" s="28" t="n">
        <f aca="false">AN2269*$M2269</f>
        <v>0</v>
      </c>
      <c r="AP2269" s="28"/>
      <c r="AQ2269" s="28" t="n">
        <f aca="false">AP2269*$M2269</f>
        <v>0</v>
      </c>
      <c r="AR2269" s="28"/>
      <c r="AS2269" s="28" t="n">
        <f aca="false">AR2269*$M2269</f>
        <v>0</v>
      </c>
      <c r="AT2269" s="28"/>
      <c r="AU2269" s="28" t="n">
        <f aca="false">AT2269*$M2269</f>
        <v>0</v>
      </c>
      <c r="AV2269" s="28"/>
      <c r="AW2269" s="28" t="n">
        <f aca="false">AV2269*$M2269</f>
        <v>0</v>
      </c>
      <c r="AX2269" s="28"/>
      <c r="AY2269" s="28" t="n">
        <f aca="false">AX2269*$M2269</f>
        <v>0</v>
      </c>
      <c r="AZ2269" s="30" t="n">
        <v>4267</v>
      </c>
      <c r="BA2269" s="11" t="n">
        <v>204816</v>
      </c>
      <c r="BB2269" s="31" t="n">
        <f aca="false">SUM(Q2269,S2269,U2269,W2269,Y2269,AA2269,AC2269,AE2269,AG2269,AI2269,AK2269,AM2269,AO2269,AQ2269,AS2269,AU2269,AW2269,AY2269)</f>
        <v>204816</v>
      </c>
      <c r="BC2269" s="28" t="n">
        <f aca="false">BA2269-BB2269</f>
        <v>0</v>
      </c>
      <c r="BD2269" s="32" t="n">
        <f aca="false">SUM(P2269,R2269,T2269,V2269,X2269,Z2269,AB2269,AD2269,AF2269,AH2269,AJ2269,AL2269,AN2269,AP2269,AR2269,AT2269,AV2269,AX2269)</f>
        <v>4267</v>
      </c>
      <c r="BE2269" s="33" t="n">
        <f aca="false">AZ2269-BD2269</f>
        <v>0</v>
      </c>
      <c r="BF2269" s="34" t="n">
        <f aca="false">BD2269*M2269</f>
        <v>204816</v>
      </c>
      <c r="BG2269" s="35" t="n">
        <f aca="false">BA2269-BF2269</f>
        <v>0</v>
      </c>
      <c r="BH2269" s="19" t="str">
        <f aca="false">IF(BG2269=0,"",IF(BG2269&lt;&gt;BA2269,"erreur de calcul",IF(BD2269&lt;&gt;0,"pas de prix",IF(M2269&lt;&gt; 0,"pas de quantité","pas de prix, ni de quantité"))))</f>
        <v/>
      </c>
      <c r="BI2269" s="19"/>
    </row>
    <row r="2270" customFormat="false" ht="15" hidden="false" customHeight="false" outlineLevel="0" collapsed="false">
      <c r="A2270" s="0" t="n">
        <v>37</v>
      </c>
      <c r="B2270" s="8" t="s">
        <v>24</v>
      </c>
      <c r="C2270" s="9" t="s">
        <v>25</v>
      </c>
      <c r="D2270" s="9" t="s">
        <v>26</v>
      </c>
      <c r="E2270" s="10" t="n">
        <v>1789</v>
      </c>
      <c r="F2270" s="9" t="s">
        <v>27</v>
      </c>
      <c r="G2270" s="9" t="s">
        <v>27</v>
      </c>
      <c r="H2270" s="11" t="n">
        <v>22</v>
      </c>
      <c r="I2270" s="11" t="s">
        <v>240</v>
      </c>
      <c r="J2270" s="14" t="n">
        <v>30</v>
      </c>
      <c r="K2270" s="14"/>
      <c r="L2270" s="16"/>
      <c r="M2270" s="27" t="n">
        <f aca="false">J2270+(K2270/20)+(L2270/240)</f>
        <v>30</v>
      </c>
      <c r="N2270" s="17" t="s">
        <v>66</v>
      </c>
      <c r="O2270" s="11"/>
      <c r="P2270" s="28"/>
      <c r="Q2270" s="28" t="n">
        <f aca="false">P2270*$M2270</f>
        <v>0</v>
      </c>
      <c r="R2270" s="28"/>
      <c r="S2270" s="28" t="n">
        <f aca="false">R2270*$M2270</f>
        <v>0</v>
      </c>
      <c r="T2270" s="28"/>
      <c r="U2270" s="28" t="n">
        <f aca="false">T2270*$M2270</f>
        <v>0</v>
      </c>
      <c r="V2270" s="28"/>
      <c r="W2270" s="28" t="n">
        <f aca="false">V2270*$M2270</f>
        <v>0</v>
      </c>
      <c r="X2270" s="28"/>
      <c r="Y2270" s="28" t="n">
        <f aca="false">X2270*$M2270</f>
        <v>0</v>
      </c>
      <c r="Z2270" s="28"/>
      <c r="AA2270" s="28" t="n">
        <f aca="false">Z2270*$M2270</f>
        <v>0</v>
      </c>
      <c r="AB2270" s="28"/>
      <c r="AC2270" s="28" t="n">
        <f aca="false">AB2270*$M2270</f>
        <v>0</v>
      </c>
      <c r="AD2270" s="28"/>
      <c r="AE2270" s="28" t="n">
        <f aca="false">AD2270*$M2270</f>
        <v>0</v>
      </c>
      <c r="AF2270" s="28"/>
      <c r="AG2270" s="28" t="n">
        <f aca="false">AF2270*$M2270</f>
        <v>0</v>
      </c>
      <c r="AH2270" s="28" t="n">
        <v>4770</v>
      </c>
      <c r="AI2270" s="28" t="n">
        <v>143100</v>
      </c>
      <c r="AJ2270" s="28"/>
      <c r="AK2270" s="28" t="n">
        <f aca="false">AJ2270*$M2270</f>
        <v>0</v>
      </c>
      <c r="AL2270" s="28"/>
      <c r="AM2270" s="28" t="n">
        <f aca="false">AL2270*$M2270</f>
        <v>0</v>
      </c>
      <c r="AN2270" s="28"/>
      <c r="AO2270" s="28" t="n">
        <f aca="false">AN2270*$M2270</f>
        <v>0</v>
      </c>
      <c r="AP2270" s="28"/>
      <c r="AQ2270" s="28" t="n">
        <f aca="false">AP2270*$M2270</f>
        <v>0</v>
      </c>
      <c r="AR2270" s="28"/>
      <c r="AS2270" s="28" t="n">
        <f aca="false">AR2270*$M2270</f>
        <v>0</v>
      </c>
      <c r="AT2270" s="28"/>
      <c r="AU2270" s="28" t="n">
        <f aca="false">AT2270*$M2270</f>
        <v>0</v>
      </c>
      <c r="AV2270" s="28"/>
      <c r="AW2270" s="28" t="n">
        <f aca="false">AV2270*$M2270</f>
        <v>0</v>
      </c>
      <c r="AX2270" s="28"/>
      <c r="AY2270" s="28" t="n">
        <f aca="false">AX2270*$M2270</f>
        <v>0</v>
      </c>
      <c r="AZ2270" s="30" t="n">
        <v>4770</v>
      </c>
      <c r="BA2270" s="11" t="n">
        <v>143100</v>
      </c>
      <c r="BB2270" s="31" t="n">
        <f aca="false">SUM(Q2270,S2270,U2270,W2270,Y2270,AA2270,AC2270,AE2270,AG2270,AI2270,AK2270,AM2270,AO2270,AQ2270,AS2270,AU2270,AW2270,AY2270)</f>
        <v>143100</v>
      </c>
      <c r="BC2270" s="28" t="n">
        <f aca="false">BA2270-BB2270</f>
        <v>0</v>
      </c>
      <c r="BD2270" s="32" t="n">
        <f aca="false">SUM(P2270,R2270,T2270,V2270,X2270,Z2270,AB2270,AD2270,AF2270,AH2270,AJ2270,AL2270,AN2270,AP2270,AR2270,AT2270,AV2270,AX2270)</f>
        <v>4770</v>
      </c>
      <c r="BE2270" s="33" t="n">
        <f aca="false">AZ2270-BD2270</f>
        <v>0</v>
      </c>
      <c r="BF2270" s="34" t="n">
        <f aca="false">BD2270*M2270</f>
        <v>143100</v>
      </c>
      <c r="BG2270" s="35" t="n">
        <f aca="false">BA2270-BF2270</f>
        <v>0</v>
      </c>
      <c r="BH2270" s="19" t="str">
        <f aca="false">IF(BG2270=0,"",IF(BG2270&lt;&gt;BA2270,"erreur de calcul",IF(BD2270&lt;&gt;0,"pas de prix",IF(M2270&lt;&gt; 0,"pas de quantité","pas de prix, ni de quantité"))))</f>
        <v/>
      </c>
      <c r="BI2270" s="19"/>
    </row>
    <row r="2271" customFormat="false" ht="15" hidden="false" customHeight="false" outlineLevel="0" collapsed="false">
      <c r="A2271" s="0" t="n">
        <v>38</v>
      </c>
      <c r="B2271" s="8" t="s">
        <v>24</v>
      </c>
      <c r="C2271" s="9" t="s">
        <v>25</v>
      </c>
      <c r="D2271" s="9" t="s">
        <v>26</v>
      </c>
      <c r="E2271" s="10" t="n">
        <v>1789</v>
      </c>
      <c r="F2271" s="9" t="s">
        <v>27</v>
      </c>
      <c r="G2271" s="9" t="s">
        <v>27</v>
      </c>
      <c r="H2271" s="11" t="n">
        <v>22</v>
      </c>
      <c r="I2271" s="11" t="s">
        <v>241</v>
      </c>
      <c r="J2271" s="14" t="n">
        <v>24</v>
      </c>
      <c r="K2271" s="14"/>
      <c r="L2271" s="16"/>
      <c r="M2271" s="27" t="n">
        <f aca="false">J2271+(K2271/20)+(L2271/240)</f>
        <v>24</v>
      </c>
      <c r="N2271" s="17" t="s">
        <v>64</v>
      </c>
      <c r="O2271" s="11"/>
      <c r="P2271" s="28" t="n">
        <f aca="false">188958/100</f>
        <v>1889.58</v>
      </c>
      <c r="Q2271" s="28" t="n">
        <v>45350</v>
      </c>
      <c r="R2271" s="28"/>
      <c r="S2271" s="28" t="n">
        <f aca="false">R2271*$M2271</f>
        <v>0</v>
      </c>
      <c r="T2271" s="28"/>
      <c r="U2271" s="28" t="n">
        <f aca="false">T2271*$M2271</f>
        <v>0</v>
      </c>
      <c r="V2271" s="28" t="n">
        <f aca="false">10567/100</f>
        <v>105.67</v>
      </c>
      <c r="W2271" s="28" t="n">
        <v>2536</v>
      </c>
      <c r="X2271" s="28" t="n">
        <f aca="false">9467/100</f>
        <v>94.67</v>
      </c>
      <c r="Y2271" s="28" t="n">
        <v>2272</v>
      </c>
      <c r="Z2271" s="28"/>
      <c r="AA2271" s="28" t="n">
        <f aca="false">Z2271*$M2271</f>
        <v>0</v>
      </c>
      <c r="AB2271" s="28"/>
      <c r="AC2271" s="28" t="n">
        <f aca="false">AB2271*$M2271</f>
        <v>0</v>
      </c>
      <c r="AD2271" s="28"/>
      <c r="AE2271" s="28" t="n">
        <f aca="false">AD2271*$M2271</f>
        <v>0</v>
      </c>
      <c r="AF2271" s="28"/>
      <c r="AG2271" s="28" t="n">
        <f aca="false">AF2271*$M2271</f>
        <v>0</v>
      </c>
      <c r="AH2271" s="28"/>
      <c r="AI2271" s="28" t="n">
        <f aca="false">AH2271*$M2271</f>
        <v>0</v>
      </c>
      <c r="AJ2271" s="28"/>
      <c r="AK2271" s="28" t="n">
        <f aca="false">AJ2271*$M2271</f>
        <v>0</v>
      </c>
      <c r="AL2271" s="28"/>
      <c r="AM2271" s="28" t="n">
        <f aca="false">AL2271*$M2271</f>
        <v>0</v>
      </c>
      <c r="AN2271" s="28"/>
      <c r="AO2271" s="28" t="n">
        <f aca="false">AN2271*$M2271</f>
        <v>0</v>
      </c>
      <c r="AP2271" s="28"/>
      <c r="AQ2271" s="28" t="n">
        <f aca="false">AP2271*$M2271</f>
        <v>0</v>
      </c>
      <c r="AR2271" s="28"/>
      <c r="AS2271" s="28" t="n">
        <f aca="false">AR2271*$M2271</f>
        <v>0</v>
      </c>
      <c r="AT2271" s="28"/>
      <c r="AU2271" s="28" t="n">
        <f aca="false">AT2271*$M2271</f>
        <v>0</v>
      </c>
      <c r="AV2271" s="28"/>
      <c r="AW2271" s="28" t="n">
        <f aca="false">AV2271*$M2271</f>
        <v>0</v>
      </c>
      <c r="AX2271" s="28" t="n">
        <f aca="false">328659/100</f>
        <v>3286.59</v>
      </c>
      <c r="AY2271" s="28" t="n">
        <v>78878</v>
      </c>
      <c r="AZ2271" s="30" t="n">
        <f aca="false">537651/100</f>
        <v>5376.51</v>
      </c>
      <c r="BA2271" s="11" t="n">
        <v>129036</v>
      </c>
      <c r="BB2271" s="31" t="n">
        <f aca="false">SUM(Q2271,S2271,U2271,W2271,Y2271,AA2271,AC2271,AE2271,AG2271,AI2271,AK2271,AM2271,AO2271,AQ2271,AS2271,AU2271,AW2271,AY2271)</f>
        <v>129036</v>
      </c>
      <c r="BC2271" s="28" t="n">
        <f aca="false">BA2271-BB2271</f>
        <v>0</v>
      </c>
      <c r="BD2271" s="32" t="n">
        <f aca="false">SUM(P2271,R2271,T2271,V2271,X2271,Z2271,AB2271,AD2271,AF2271,AH2271,AJ2271,AL2271,AN2271,AP2271,AR2271,AT2271,AV2271,AX2271)</f>
        <v>5376.51</v>
      </c>
      <c r="BE2271" s="33" t="n">
        <f aca="false">AZ2271-BD2271</f>
        <v>0</v>
      </c>
      <c r="BF2271" s="34" t="n">
        <f aca="false">BD2271*M2271</f>
        <v>129036.24</v>
      </c>
      <c r="BG2271" s="35" t="n">
        <f aca="false">BA2271-BF2271</f>
        <v>-0.240000000005239</v>
      </c>
      <c r="BH2271" s="19" t="str">
        <f aca="false">IF(BG2271=0,"",IF(BG2271&lt;&gt;BA2271,"erreur de calcul",IF(BD2271&lt;&gt;0,"pas de prix",IF(M2271&lt;&gt; 0,"pas de quantité","pas de prix, ni de quantité"))))</f>
        <v>erreur de calcul</v>
      </c>
      <c r="BI2271" s="19"/>
    </row>
    <row r="2272" customFormat="false" ht="15" hidden="false" customHeight="false" outlineLevel="0" collapsed="false">
      <c r="A2272" s="0" t="n">
        <v>39</v>
      </c>
      <c r="B2272" s="8" t="s">
        <v>24</v>
      </c>
      <c r="C2272" s="9" t="s">
        <v>25</v>
      </c>
      <c r="D2272" s="9" t="s">
        <v>26</v>
      </c>
      <c r="E2272" s="10" t="n">
        <v>1789</v>
      </c>
      <c r="F2272" s="9" t="s">
        <v>27</v>
      </c>
      <c r="G2272" s="9" t="s">
        <v>27</v>
      </c>
      <c r="H2272" s="11" t="n">
        <v>22</v>
      </c>
      <c r="I2272" s="11" t="s">
        <v>242</v>
      </c>
      <c r="J2272" s="14" t="n">
        <v>41</v>
      </c>
      <c r="K2272" s="14"/>
      <c r="L2272" s="16"/>
      <c r="M2272" s="27" t="n">
        <f aca="false">J2272+(K2272/20)+(L2272/240)</f>
        <v>41</v>
      </c>
      <c r="N2272" s="17" t="s">
        <v>64</v>
      </c>
      <c r="O2272" s="11"/>
      <c r="P2272" s="28"/>
      <c r="Q2272" s="28" t="n">
        <f aca="false">P2272*$M2272</f>
        <v>0</v>
      </c>
      <c r="R2272" s="28"/>
      <c r="S2272" s="28" t="n">
        <f aca="false">R2272*$M2272</f>
        <v>0</v>
      </c>
      <c r="T2272" s="28" t="n">
        <f aca="false">441/100</f>
        <v>4.41</v>
      </c>
      <c r="U2272" s="28" t="n">
        <v>181</v>
      </c>
      <c r="V2272" s="28"/>
      <c r="W2272" s="28" t="n">
        <f aca="false">V2272*$M2272</f>
        <v>0</v>
      </c>
      <c r="X2272" s="28"/>
      <c r="Y2272" s="28" t="n">
        <f aca="false">X2272*$M2272</f>
        <v>0</v>
      </c>
      <c r="Z2272" s="28"/>
      <c r="AA2272" s="28" t="n">
        <f aca="false">Z2272*$M2272</f>
        <v>0</v>
      </c>
      <c r="AB2272" s="28"/>
      <c r="AC2272" s="28" t="n">
        <f aca="false">AB2272*$M2272</f>
        <v>0</v>
      </c>
      <c r="AD2272" s="28"/>
      <c r="AE2272" s="28" t="n">
        <f aca="false">AD2272*$M2272</f>
        <v>0</v>
      </c>
      <c r="AF2272" s="28"/>
      <c r="AG2272" s="28" t="n">
        <f aca="false">AF2272*$M2272</f>
        <v>0</v>
      </c>
      <c r="AH2272" s="28"/>
      <c r="AI2272" s="28" t="n">
        <f aca="false">AH2272*$M2272</f>
        <v>0</v>
      </c>
      <c r="AJ2272" s="28"/>
      <c r="AK2272" s="28" t="n">
        <f aca="false">AJ2272*$M2272</f>
        <v>0</v>
      </c>
      <c r="AL2272" s="28"/>
      <c r="AM2272" s="28" t="n">
        <f aca="false">AL2272*$M2272</f>
        <v>0</v>
      </c>
      <c r="AN2272" s="28"/>
      <c r="AO2272" s="28" t="n">
        <f aca="false">AN2272*$M2272</f>
        <v>0</v>
      </c>
      <c r="AP2272" s="28"/>
      <c r="AQ2272" s="28" t="n">
        <f aca="false">AP2272*$M2272</f>
        <v>0</v>
      </c>
      <c r="AR2272" s="28"/>
      <c r="AS2272" s="28" t="n">
        <f aca="false">AR2272*$M2272</f>
        <v>0</v>
      </c>
      <c r="AT2272" s="28"/>
      <c r="AU2272" s="28" t="n">
        <f aca="false">AT2272*$M2272</f>
        <v>0</v>
      </c>
      <c r="AV2272" s="28"/>
      <c r="AW2272" s="28" t="n">
        <f aca="false">AV2272*$M2272</f>
        <v>0</v>
      </c>
      <c r="AX2272" s="28"/>
      <c r="AY2272" s="28" t="n">
        <f aca="false">AX2272*$M2272</f>
        <v>0</v>
      </c>
      <c r="AZ2272" s="30" t="n">
        <f aca="false">441/100</f>
        <v>4.41</v>
      </c>
      <c r="BA2272" s="11" t="n">
        <v>181</v>
      </c>
      <c r="BB2272" s="31" t="n">
        <f aca="false">SUM(Q2272,S2272,U2272,W2272,Y2272,AA2272,AC2272,AE2272,AG2272,AI2272,AK2272,AM2272,AO2272,AQ2272,AS2272,AU2272,AW2272,AY2272)</f>
        <v>181</v>
      </c>
      <c r="BC2272" s="28" t="n">
        <f aca="false">BA2272-BB2272</f>
        <v>0</v>
      </c>
      <c r="BD2272" s="32" t="n">
        <f aca="false">SUM(P2272,R2272,T2272,V2272,X2272,Z2272,AB2272,AD2272,AF2272,AH2272,AJ2272,AL2272,AN2272,AP2272,AR2272,AT2272,AV2272,AX2272)</f>
        <v>4.41</v>
      </c>
      <c r="BE2272" s="33" t="n">
        <f aca="false">AZ2272-BD2272</f>
        <v>0</v>
      </c>
      <c r="BF2272" s="34" t="n">
        <f aca="false">BD2272*M2272</f>
        <v>180.81</v>
      </c>
      <c r="BG2272" s="35" t="n">
        <f aca="false">BA2272-BF2272</f>
        <v>0.189999999999998</v>
      </c>
      <c r="BH2272" s="19" t="str">
        <f aca="false">IF(BG2272=0,"",IF(BG2272&lt;&gt;BA2272,"erreur de calcul",IF(BD2272&lt;&gt;0,"pas de prix",IF(M2272&lt;&gt; 0,"pas de quantité","pas de prix, ni de quantité"))))</f>
        <v>erreur de calcul</v>
      </c>
      <c r="BI2272" s="19"/>
    </row>
    <row r="2273" customFormat="false" ht="15" hidden="false" customHeight="false" outlineLevel="0" collapsed="false">
      <c r="A2273" s="0" t="n">
        <v>1</v>
      </c>
      <c r="B2273" s="8" t="s">
        <v>24</v>
      </c>
      <c r="C2273" s="9" t="s">
        <v>25</v>
      </c>
      <c r="D2273" s="9" t="s">
        <v>26</v>
      </c>
      <c r="E2273" s="10" t="n">
        <v>1789</v>
      </c>
      <c r="F2273" s="9" t="s">
        <v>27</v>
      </c>
      <c r="G2273" s="9" t="s">
        <v>27</v>
      </c>
      <c r="H2273" s="11" t="n">
        <v>23</v>
      </c>
      <c r="I2273" s="11" t="s">
        <v>243</v>
      </c>
      <c r="J2273" s="14"/>
      <c r="K2273" s="14"/>
      <c r="L2273" s="16"/>
      <c r="M2273" s="27" t="n">
        <f aca="false">J2273+(K2273/20)+(L2273/240)</f>
        <v>0</v>
      </c>
      <c r="N2273" s="17"/>
      <c r="O2273" s="11"/>
      <c r="P2273" s="28"/>
      <c r="Q2273" s="28" t="n">
        <f aca="false">P2273*$M2273</f>
        <v>0</v>
      </c>
      <c r="R2273" s="28"/>
      <c r="S2273" s="28" t="n">
        <f aca="false">R2273*$M2273</f>
        <v>0</v>
      </c>
      <c r="T2273" s="28"/>
      <c r="U2273" s="28" t="n">
        <f aca="false">T2273*$M2273</f>
        <v>0</v>
      </c>
      <c r="V2273" s="28"/>
      <c r="W2273" s="28" t="n">
        <v>100</v>
      </c>
      <c r="X2273" s="28"/>
      <c r="Y2273" s="28" t="n">
        <v>563</v>
      </c>
      <c r="Z2273" s="28"/>
      <c r="AA2273" s="28" t="n">
        <f aca="false">Z2273*$M2273</f>
        <v>0</v>
      </c>
      <c r="AB2273" s="28"/>
      <c r="AC2273" s="28" t="n">
        <f aca="false">AB2273*$M2273</f>
        <v>0</v>
      </c>
      <c r="AD2273" s="28"/>
      <c r="AE2273" s="28" t="n">
        <f aca="false">AD2273*$M2273</f>
        <v>0</v>
      </c>
      <c r="AF2273" s="28"/>
      <c r="AG2273" s="28" t="n">
        <f aca="false">AF2273*$M2273</f>
        <v>0</v>
      </c>
      <c r="AH2273" s="28"/>
      <c r="AI2273" s="28" t="n">
        <f aca="false">AH2273*$M2273</f>
        <v>0</v>
      </c>
      <c r="AJ2273" s="28"/>
      <c r="AK2273" s="28" t="n">
        <v>1015</v>
      </c>
      <c r="AL2273" s="28"/>
      <c r="AM2273" s="28" t="n">
        <f aca="false">AL2273*$M2273</f>
        <v>0</v>
      </c>
      <c r="AN2273" s="28"/>
      <c r="AO2273" s="28" t="n">
        <f aca="false">AN2273*$M2273</f>
        <v>0</v>
      </c>
      <c r="AP2273" s="28"/>
      <c r="AQ2273" s="28" t="n">
        <f aca="false">AP2273*$M2273</f>
        <v>0</v>
      </c>
      <c r="AR2273" s="28"/>
      <c r="AS2273" s="28" t="n">
        <f aca="false">AR2273*$M2273</f>
        <v>0</v>
      </c>
      <c r="AT2273" s="28"/>
      <c r="AU2273" s="28" t="n">
        <f aca="false">AT2273*$M2273</f>
        <v>0</v>
      </c>
      <c r="AV2273" s="28"/>
      <c r="AW2273" s="28" t="n">
        <f aca="false">AV2273*$M2273</f>
        <v>0</v>
      </c>
      <c r="AX2273" s="28"/>
      <c r="AY2273" s="28" t="n">
        <f aca="false">AX2273*$M2273</f>
        <v>0</v>
      </c>
      <c r="AZ2273" s="30"/>
      <c r="BA2273" s="11" t="n">
        <v>1678</v>
      </c>
      <c r="BB2273" s="31" t="n">
        <f aca="false">SUM(Q2273,S2273,U2273,W2273,Y2273,AA2273,AC2273,AE2273,AG2273,AI2273,AK2273,AM2273,AO2273,AQ2273,AS2273,AU2273,AW2273,AY2273)</f>
        <v>1678</v>
      </c>
      <c r="BC2273" s="28" t="n">
        <f aca="false">BA2273-BB2273</f>
        <v>0</v>
      </c>
      <c r="BD2273" s="32" t="n">
        <f aca="false">SUM(P2273,R2273,T2273,V2273,X2273,Z2273,AB2273,AD2273,AF2273,AH2273,AJ2273,AL2273,AN2273,AP2273,AR2273,AT2273,AV2273,AX2273)</f>
        <v>0</v>
      </c>
      <c r="BE2273" s="33" t="n">
        <f aca="false">AZ2273-BD2273</f>
        <v>0</v>
      </c>
      <c r="BF2273" s="34" t="n">
        <f aca="false">BD2273*M2273</f>
        <v>0</v>
      </c>
      <c r="BG2273" s="35" t="n">
        <f aca="false">BA2273-BF2273</f>
        <v>1678</v>
      </c>
      <c r="BH2273" s="19" t="str">
        <f aca="false">IF(BG2273=0,"",IF(BG2273&lt;&gt;BA2273,"erreur de calcul",IF(BD2273&lt;&gt;0,"pas de prix",IF(M2273&lt;&gt; 0,"pas de quantité","pas de prix, ni de quantité"))))</f>
        <v>pas de prix, ni de quantité</v>
      </c>
      <c r="BI2273" s="19"/>
    </row>
    <row r="2274" customFormat="false" ht="15" hidden="false" customHeight="false" outlineLevel="0" collapsed="false">
      <c r="A2274" s="0" t="n">
        <v>2</v>
      </c>
      <c r="B2274" s="8" t="s">
        <v>24</v>
      </c>
      <c r="C2274" s="9" t="s">
        <v>25</v>
      </c>
      <c r="D2274" s="9" t="s">
        <v>26</v>
      </c>
      <c r="E2274" s="10" t="n">
        <v>1789</v>
      </c>
      <c r="F2274" s="9" t="s">
        <v>27</v>
      </c>
      <c r="G2274" s="9" t="s">
        <v>27</v>
      </c>
      <c r="H2274" s="11" t="n">
        <v>23</v>
      </c>
      <c r="I2274" s="11" t="s">
        <v>244</v>
      </c>
      <c r="J2274" s="14" t="n">
        <v>22</v>
      </c>
      <c r="K2274" s="14"/>
      <c r="L2274" s="16"/>
      <c r="M2274" s="27" t="n">
        <f aca="false">J2274+(K2274/20)+(L2274/240)</f>
        <v>22</v>
      </c>
      <c r="N2274" s="17" t="s">
        <v>64</v>
      </c>
      <c r="O2274" s="11"/>
      <c r="P2274" s="28"/>
      <c r="Q2274" s="28" t="n">
        <f aca="false">P2274*$M2274</f>
        <v>0</v>
      </c>
      <c r="R2274" s="28"/>
      <c r="S2274" s="28" t="n">
        <f aca="false">R2274*$M2274</f>
        <v>0</v>
      </c>
      <c r="T2274" s="28"/>
      <c r="U2274" s="28" t="n">
        <f aca="false">T2274*$M2274</f>
        <v>0</v>
      </c>
      <c r="V2274" s="28" t="n">
        <f aca="false">15346/100</f>
        <v>153.46</v>
      </c>
      <c r="W2274" s="28" t="n">
        <v>3376</v>
      </c>
      <c r="X2274" s="28"/>
      <c r="Y2274" s="28" t="n">
        <f aca="false">X2274*$M2274</f>
        <v>0</v>
      </c>
      <c r="Z2274" s="28"/>
      <c r="AA2274" s="28" t="n">
        <f aca="false">Z2274*$M2274</f>
        <v>0</v>
      </c>
      <c r="AB2274" s="28"/>
      <c r="AC2274" s="28" t="n">
        <f aca="false">AB2274*$M2274</f>
        <v>0</v>
      </c>
      <c r="AD2274" s="28"/>
      <c r="AE2274" s="28" t="n">
        <f aca="false">AD2274*$M2274</f>
        <v>0</v>
      </c>
      <c r="AF2274" s="28"/>
      <c r="AG2274" s="28" t="n">
        <f aca="false">AF2274*$M2274</f>
        <v>0</v>
      </c>
      <c r="AH2274" s="28"/>
      <c r="AI2274" s="28" t="n">
        <f aca="false">AH2274*$M2274</f>
        <v>0</v>
      </c>
      <c r="AJ2274" s="28" t="n">
        <f aca="false">9084/100</f>
        <v>90.84</v>
      </c>
      <c r="AK2274" s="28" t="n">
        <v>1998</v>
      </c>
      <c r="AL2274" s="28" t="n">
        <f aca="false">8917/100</f>
        <v>89.17</v>
      </c>
      <c r="AM2274" s="28" t="n">
        <v>1962</v>
      </c>
      <c r="AN2274" s="28"/>
      <c r="AO2274" s="28" t="n">
        <f aca="false">AN2274*$M2274</f>
        <v>0</v>
      </c>
      <c r="AP2274" s="28"/>
      <c r="AQ2274" s="28" t="n">
        <f aca="false">AP2274*$M2274</f>
        <v>0</v>
      </c>
      <c r="AR2274" s="28"/>
      <c r="AS2274" s="28" t="n">
        <f aca="false">AR2274*$M2274</f>
        <v>0</v>
      </c>
      <c r="AT2274" s="28"/>
      <c r="AU2274" s="28" t="n">
        <f aca="false">AT2274*$M2274</f>
        <v>0</v>
      </c>
      <c r="AV2274" s="28"/>
      <c r="AW2274" s="28" t="n">
        <f aca="false">AV2274*$M2274</f>
        <v>0</v>
      </c>
      <c r="AX2274" s="28"/>
      <c r="AY2274" s="28" t="n">
        <f aca="false">AX2274*$M2274</f>
        <v>0</v>
      </c>
      <c r="AZ2274" s="30" t="n">
        <f aca="false">3347/100</f>
        <v>33.47</v>
      </c>
      <c r="BA2274" s="11" t="n">
        <v>7336</v>
      </c>
      <c r="BB2274" s="31" t="n">
        <f aca="false">SUM(Q2274,S2274,U2274,W2274,Y2274,AA2274,AC2274,AE2274,AG2274,AI2274,AK2274,AM2274,AO2274,AQ2274,AS2274,AU2274,AW2274,AY2274)</f>
        <v>7336</v>
      </c>
      <c r="BC2274" s="28" t="n">
        <f aca="false">BA2274-BB2274</f>
        <v>0</v>
      </c>
      <c r="BD2274" s="32" t="n">
        <f aca="false">SUM(P2274,R2274,T2274,V2274,X2274,Z2274,AB2274,AD2274,AF2274,AH2274,AJ2274,AL2274,AN2274,AP2274,AR2274,AT2274,AV2274,AX2274)</f>
        <v>333.47</v>
      </c>
      <c r="BE2274" s="33" t="n">
        <f aca="false">AZ2274-BD2274</f>
        <v>-300</v>
      </c>
      <c r="BF2274" s="34" t="n">
        <f aca="false">BD2274*M2274</f>
        <v>7336.34</v>
      </c>
      <c r="BG2274" s="35" t="n">
        <f aca="false">BA2274-BF2274</f>
        <v>-0.340000000000146</v>
      </c>
      <c r="BH2274" s="19" t="str">
        <f aca="false">IF(BG2274=0,"",IF(BG2274&lt;&gt;BA2274,"erreur de calcul",IF(BD2274&lt;&gt;0,"pas de prix",IF(M2274&lt;&gt; 0,"pas de quantité","pas de prix, ni de quantité"))))</f>
        <v>erreur de calcul</v>
      </c>
      <c r="BI2274" s="19"/>
    </row>
    <row r="2275" customFormat="false" ht="15" hidden="false" customHeight="false" outlineLevel="0" collapsed="false">
      <c r="A2275" s="0" t="n">
        <v>3</v>
      </c>
      <c r="B2275" s="8" t="s">
        <v>24</v>
      </c>
      <c r="C2275" s="9" t="s">
        <v>25</v>
      </c>
      <c r="D2275" s="9" t="s">
        <v>26</v>
      </c>
      <c r="E2275" s="10" t="n">
        <v>1789</v>
      </c>
      <c r="F2275" s="9" t="s">
        <v>27</v>
      </c>
      <c r="G2275" s="9" t="s">
        <v>27</v>
      </c>
      <c r="H2275" s="11" t="n">
        <v>23</v>
      </c>
      <c r="I2275" s="11" t="s">
        <v>245</v>
      </c>
      <c r="J2275" s="14" t="n">
        <v>28</v>
      </c>
      <c r="K2275" s="14"/>
      <c r="L2275" s="16"/>
      <c r="M2275" s="27" t="n">
        <f aca="false">J2275+(K2275/20)+(L2275/240)</f>
        <v>28</v>
      </c>
      <c r="N2275" s="17" t="s">
        <v>64</v>
      </c>
      <c r="O2275" s="11"/>
      <c r="P2275" s="28"/>
      <c r="Q2275" s="28" t="n">
        <f aca="false">P2275*$M2275</f>
        <v>0</v>
      </c>
      <c r="R2275" s="28"/>
      <c r="S2275" s="28" t="n">
        <f aca="false">R2275*$M2275</f>
        <v>0</v>
      </c>
      <c r="T2275" s="28"/>
      <c r="U2275" s="28" t="n">
        <f aca="false">T2275*$M2275</f>
        <v>0</v>
      </c>
      <c r="V2275" s="28" t="n">
        <f aca="false">61654/100</f>
        <v>616.54</v>
      </c>
      <c r="W2275" s="28" t="n">
        <v>17263</v>
      </c>
      <c r="X2275" s="28"/>
      <c r="Y2275" s="28" t="n">
        <f aca="false">X2275*$M2275</f>
        <v>0</v>
      </c>
      <c r="Z2275" s="28"/>
      <c r="AA2275" s="28" t="n">
        <f aca="false">Z2275*$M2275</f>
        <v>0</v>
      </c>
      <c r="AB2275" s="28"/>
      <c r="AC2275" s="28" t="n">
        <f aca="false">AB2275*$M2275</f>
        <v>0</v>
      </c>
      <c r="AD2275" s="28"/>
      <c r="AE2275" s="28" t="n">
        <f aca="false">AD2275*$M2275</f>
        <v>0</v>
      </c>
      <c r="AF2275" s="28"/>
      <c r="AG2275" s="28" t="n">
        <f aca="false">AF2275*$M2275</f>
        <v>0</v>
      </c>
      <c r="AH2275" s="28"/>
      <c r="AI2275" s="28" t="n">
        <f aca="false">AH2275*$M2275</f>
        <v>0</v>
      </c>
      <c r="AJ2275" s="28"/>
      <c r="AK2275" s="28" t="n">
        <f aca="false">AJ2275*$M2275</f>
        <v>0</v>
      </c>
      <c r="AL2275" s="28" t="n">
        <f aca="false">6250/100</f>
        <v>62.5</v>
      </c>
      <c r="AM2275" s="28" t="n">
        <v>1750</v>
      </c>
      <c r="AN2275" s="28"/>
      <c r="AO2275" s="28" t="n">
        <f aca="false">AN2275*$M2275</f>
        <v>0</v>
      </c>
      <c r="AP2275" s="28"/>
      <c r="AQ2275" s="28" t="n">
        <f aca="false">AP2275*$M2275</f>
        <v>0</v>
      </c>
      <c r="AR2275" s="28"/>
      <c r="AS2275" s="28" t="n">
        <f aca="false">AR2275*$M2275</f>
        <v>0</v>
      </c>
      <c r="AT2275" s="28"/>
      <c r="AU2275" s="28" t="n">
        <f aca="false">AT2275*$M2275</f>
        <v>0</v>
      </c>
      <c r="AV2275" s="28"/>
      <c r="AW2275" s="28" t="n">
        <f aca="false">AV2275*$M2275</f>
        <v>0</v>
      </c>
      <c r="AX2275" s="28"/>
      <c r="AY2275" s="28" t="n">
        <f aca="false">AX2275*$M2275</f>
        <v>0</v>
      </c>
      <c r="AZ2275" s="30" t="n">
        <f aca="false">67904/100</f>
        <v>679.04</v>
      </c>
      <c r="BA2275" s="11" t="n">
        <v>19013</v>
      </c>
      <c r="BB2275" s="31" t="n">
        <f aca="false">SUM(Q2275,S2275,U2275,W2275,Y2275,AA2275,AC2275,AE2275,AG2275,AI2275,AK2275,AM2275,AO2275,AQ2275,AS2275,AU2275,AW2275,AY2275)</f>
        <v>19013</v>
      </c>
      <c r="BC2275" s="28" t="n">
        <f aca="false">BA2275-BB2275</f>
        <v>0</v>
      </c>
      <c r="BD2275" s="32" t="n">
        <f aca="false">SUM(P2275,R2275,T2275,V2275,X2275,Z2275,AB2275,AD2275,AF2275,AH2275,AJ2275,AL2275,AN2275,AP2275,AR2275,AT2275,AV2275,AX2275)</f>
        <v>679.04</v>
      </c>
      <c r="BE2275" s="33" t="n">
        <f aca="false">AZ2275-BD2275</f>
        <v>0</v>
      </c>
      <c r="BF2275" s="34" t="n">
        <f aca="false">BD2275*M2275</f>
        <v>19013.12</v>
      </c>
      <c r="BG2275" s="35" t="n">
        <f aca="false">BA2275-BF2275</f>
        <v>-0.119999999998981</v>
      </c>
      <c r="BH2275" s="19" t="str">
        <f aca="false">IF(BG2275=0,"",IF(BG2275&lt;&gt;BA2275,"erreur de calcul",IF(BD2275&lt;&gt;0,"pas de prix",IF(M2275&lt;&gt; 0,"pas de quantité","pas de prix, ni de quantité"))))</f>
        <v>erreur de calcul</v>
      </c>
      <c r="BI2275" s="19"/>
    </row>
    <row r="2276" customFormat="false" ht="15" hidden="false" customHeight="false" outlineLevel="0" collapsed="false">
      <c r="A2276" s="0" t="n">
        <v>4</v>
      </c>
      <c r="B2276" s="8" t="s">
        <v>24</v>
      </c>
      <c r="C2276" s="9" t="s">
        <v>25</v>
      </c>
      <c r="D2276" s="9" t="s">
        <v>26</v>
      </c>
      <c r="E2276" s="10" t="n">
        <v>1789</v>
      </c>
      <c r="F2276" s="9" t="s">
        <v>27</v>
      </c>
      <c r="G2276" s="9" t="s">
        <v>27</v>
      </c>
      <c r="H2276" s="11" t="n">
        <v>23</v>
      </c>
      <c r="I2276" s="11" t="s">
        <v>246</v>
      </c>
      <c r="J2276" s="14" t="n">
        <v>17</v>
      </c>
      <c r="K2276" s="14"/>
      <c r="L2276" s="16"/>
      <c r="M2276" s="27" t="n">
        <f aca="false">J2276+(K2276/20)+(L2276/240)</f>
        <v>17</v>
      </c>
      <c r="N2276" s="17" t="s">
        <v>64</v>
      </c>
      <c r="O2276" s="11"/>
      <c r="P2276" s="28"/>
      <c r="Q2276" s="28" t="n">
        <f aca="false">P2276*$M2276</f>
        <v>0</v>
      </c>
      <c r="R2276" s="28"/>
      <c r="S2276" s="28" t="n">
        <f aca="false">R2276*$M2276</f>
        <v>0</v>
      </c>
      <c r="T2276" s="28" t="n">
        <f aca="false">25000/100</f>
        <v>250</v>
      </c>
      <c r="U2276" s="28" t="n">
        <v>4250</v>
      </c>
      <c r="V2276" s="28" t="n">
        <f aca="false">78153/100</f>
        <v>781.53</v>
      </c>
      <c r="W2276" s="28" t="n">
        <v>13286</v>
      </c>
      <c r="X2276" s="28"/>
      <c r="Y2276" s="28" t="n">
        <f aca="false">X2276*$M2276</f>
        <v>0</v>
      </c>
      <c r="Z2276" s="28"/>
      <c r="AA2276" s="28" t="n">
        <f aca="false">Z2276*$M2276</f>
        <v>0</v>
      </c>
      <c r="AB2276" s="28"/>
      <c r="AC2276" s="28" t="n">
        <f aca="false">AB2276*$M2276</f>
        <v>0</v>
      </c>
      <c r="AD2276" s="28"/>
      <c r="AE2276" s="28" t="n">
        <f aca="false">AD2276*$M2276</f>
        <v>0</v>
      </c>
      <c r="AF2276" s="28"/>
      <c r="AG2276" s="28" t="n">
        <f aca="false">AF2276*$M2276</f>
        <v>0</v>
      </c>
      <c r="AH2276" s="28"/>
      <c r="AI2276" s="28" t="n">
        <f aca="false">AH2276*$M2276</f>
        <v>0</v>
      </c>
      <c r="AJ2276" s="28" t="n">
        <f aca="false">113774/100</f>
        <v>1137.74</v>
      </c>
      <c r="AK2276" s="28" t="n">
        <v>19341</v>
      </c>
      <c r="AL2276" s="28" t="n">
        <f aca="false">749547/100</f>
        <v>7495.47</v>
      </c>
      <c r="AM2276" s="28" t="n">
        <v>127423</v>
      </c>
      <c r="AN2276" s="28"/>
      <c r="AO2276" s="28" t="n">
        <f aca="false">AN2276*$M2276</f>
        <v>0</v>
      </c>
      <c r="AP2276" s="28" t="n">
        <f aca="false">578251/100</f>
        <v>5782.51</v>
      </c>
      <c r="AQ2276" s="28" t="n">
        <v>98303</v>
      </c>
      <c r="AR2276" s="28" t="n">
        <f aca="false">9141217/100</f>
        <v>91412.17</v>
      </c>
      <c r="AS2276" s="28" t="n">
        <v>1554007</v>
      </c>
      <c r="AT2276" s="28"/>
      <c r="AU2276" s="28" t="n">
        <f aca="false">AT2276*$M2276</f>
        <v>0</v>
      </c>
      <c r="AV2276" s="28" t="n">
        <f aca="false">314570/100</f>
        <v>3145.7</v>
      </c>
      <c r="AW2276" s="28" t="n">
        <v>53477</v>
      </c>
      <c r="AX2276" s="28"/>
      <c r="AY2276" s="28" t="n">
        <f aca="false">AX2276*$M2276</f>
        <v>0</v>
      </c>
      <c r="AZ2276" s="30" t="n">
        <f aca="false">11004767/100</f>
        <v>110047.67</v>
      </c>
      <c r="BA2276" s="11" t="n">
        <v>1870087</v>
      </c>
      <c r="BB2276" s="31" t="n">
        <f aca="false">SUM(Q2276,S2276,U2276,W2276,Y2276,AA2276,AC2276,AE2276,AG2276,AI2276,AK2276,AM2276,AO2276,AQ2276,AS2276,AU2276,AW2276,AY2276)</f>
        <v>1870087</v>
      </c>
      <c r="BC2276" s="28" t="n">
        <f aca="false">BA2276-BB2276</f>
        <v>0</v>
      </c>
      <c r="BD2276" s="32" t="n">
        <f aca="false">SUM(P2276,R2276,T2276,V2276,X2276,Z2276,AB2276,AD2276,AF2276,AH2276,AJ2276,AL2276,AN2276,AP2276,AR2276,AT2276,AV2276,AX2276)</f>
        <v>110005.12</v>
      </c>
      <c r="BE2276" s="33" t="n">
        <f aca="false">AZ2276-BD2276</f>
        <v>42.5500000000029</v>
      </c>
      <c r="BF2276" s="34" t="n">
        <f aca="false">BD2276*M2276</f>
        <v>1870087.04</v>
      </c>
      <c r="BG2276" s="35" t="n">
        <f aca="false">BA2276-BF2276</f>
        <v>-0.0400000000372529</v>
      </c>
      <c r="BH2276" s="19" t="str">
        <f aca="false">IF(BG2276=0,"",IF(BG2276&lt;&gt;BA2276,"erreur de calcul",IF(BD2276&lt;&gt;0,"pas de prix",IF(M2276&lt;&gt; 0,"pas de quantité","pas de prix, ni de quantité"))))</f>
        <v>erreur de calcul</v>
      </c>
      <c r="BI2276" s="19"/>
    </row>
    <row r="2277" customFormat="false" ht="15" hidden="false" customHeight="false" outlineLevel="0" collapsed="false">
      <c r="A2277" s="0" t="n">
        <v>5</v>
      </c>
      <c r="B2277" s="8" t="s">
        <v>24</v>
      </c>
      <c r="C2277" s="9" t="s">
        <v>25</v>
      </c>
      <c r="D2277" s="9" t="s">
        <v>26</v>
      </c>
      <c r="E2277" s="10" t="n">
        <v>1789</v>
      </c>
      <c r="F2277" s="9" t="s">
        <v>27</v>
      </c>
      <c r="G2277" s="9" t="s">
        <v>27</v>
      </c>
      <c r="H2277" s="11" t="n">
        <v>23</v>
      </c>
      <c r="I2277" s="11" t="s">
        <v>247</v>
      </c>
      <c r="J2277" s="14" t="n">
        <v>60</v>
      </c>
      <c r="K2277" s="14"/>
      <c r="L2277" s="16"/>
      <c r="M2277" s="27" t="n">
        <f aca="false">J2277+(K2277/20)+(L2277/240)</f>
        <v>60</v>
      </c>
      <c r="N2277" s="17" t="s">
        <v>64</v>
      </c>
      <c r="O2277" s="11"/>
      <c r="P2277" s="28" t="n">
        <f aca="false">17500/100</f>
        <v>175</v>
      </c>
      <c r="Q2277" s="28" t="n">
        <v>10500</v>
      </c>
      <c r="R2277" s="28"/>
      <c r="S2277" s="28" t="n">
        <f aca="false">R2277*$M2277</f>
        <v>0</v>
      </c>
      <c r="T2277" s="28"/>
      <c r="U2277" s="28" t="n">
        <f aca="false">T2277*$M2277</f>
        <v>0</v>
      </c>
      <c r="V2277" s="28"/>
      <c r="W2277" s="28" t="n">
        <f aca="false">V2277*$M2277</f>
        <v>0</v>
      </c>
      <c r="X2277" s="28"/>
      <c r="Y2277" s="28" t="n">
        <f aca="false">X2277*$M2277</f>
        <v>0</v>
      </c>
      <c r="Z2277" s="28"/>
      <c r="AA2277" s="28" t="n">
        <f aca="false">Z2277*$M2277</f>
        <v>0</v>
      </c>
      <c r="AB2277" s="28"/>
      <c r="AC2277" s="28" t="n">
        <f aca="false">AB2277*$M2277</f>
        <v>0</v>
      </c>
      <c r="AD2277" s="28"/>
      <c r="AE2277" s="28" t="n">
        <f aca="false">AD2277*$M2277</f>
        <v>0</v>
      </c>
      <c r="AF2277" s="28"/>
      <c r="AG2277" s="28" t="n">
        <f aca="false">AF2277*$M2277</f>
        <v>0</v>
      </c>
      <c r="AH2277" s="28"/>
      <c r="AI2277" s="28" t="n">
        <f aca="false">AH2277*$M2277</f>
        <v>0</v>
      </c>
      <c r="AJ2277" s="28"/>
      <c r="AK2277" s="28" t="n">
        <f aca="false">AJ2277*$M2277</f>
        <v>0</v>
      </c>
      <c r="AL2277" s="28" t="n">
        <f aca="false">107571/100</f>
        <v>1075.71</v>
      </c>
      <c r="AM2277" s="28" t="n">
        <v>64543</v>
      </c>
      <c r="AN2277" s="28"/>
      <c r="AO2277" s="28" t="n">
        <f aca="false">AN2277*$M2277</f>
        <v>0</v>
      </c>
      <c r="AP2277" s="28"/>
      <c r="AQ2277" s="28" t="n">
        <f aca="false">AP2277*$M2277</f>
        <v>0</v>
      </c>
      <c r="AR2277" s="28"/>
      <c r="AS2277" s="28" t="n">
        <f aca="false">AR2277*$M2277</f>
        <v>0</v>
      </c>
      <c r="AT2277" s="28"/>
      <c r="AU2277" s="28" t="n">
        <f aca="false">AT2277*$M2277</f>
        <v>0</v>
      </c>
      <c r="AV2277" s="28"/>
      <c r="AW2277" s="28" t="n">
        <f aca="false">AV2277*$M2277</f>
        <v>0</v>
      </c>
      <c r="AX2277" s="28"/>
      <c r="AY2277" s="28" t="n">
        <f aca="false">AX2277*$M2277</f>
        <v>0</v>
      </c>
      <c r="AZ2277" s="30" t="n">
        <f aca="false">125071/100</f>
        <v>1250.71</v>
      </c>
      <c r="BA2277" s="11" t="n">
        <v>75043</v>
      </c>
      <c r="BB2277" s="31" t="n">
        <f aca="false">SUM(Q2277,S2277,U2277,W2277,Y2277,AA2277,AC2277,AE2277,AG2277,AI2277,AK2277,AM2277,AO2277,AQ2277,AS2277,AU2277,AW2277,AY2277)</f>
        <v>75043</v>
      </c>
      <c r="BC2277" s="28" t="n">
        <f aca="false">BA2277-BB2277</f>
        <v>0</v>
      </c>
      <c r="BD2277" s="32" t="n">
        <f aca="false">SUM(P2277,R2277,T2277,V2277,X2277,Z2277,AB2277,AD2277,AF2277,AH2277,AJ2277,AL2277,AN2277,AP2277,AR2277,AT2277,AV2277,AX2277)</f>
        <v>1250.71</v>
      </c>
      <c r="BE2277" s="33" t="n">
        <f aca="false">AZ2277-BD2277</f>
        <v>0</v>
      </c>
      <c r="BF2277" s="34" t="n">
        <f aca="false">BD2277*M2277</f>
        <v>75042.6</v>
      </c>
      <c r="BG2277" s="35" t="n">
        <f aca="false">BA2277-BF2277</f>
        <v>0.399999999994179</v>
      </c>
      <c r="BH2277" s="19" t="str">
        <f aca="false">IF(BG2277=0,"",IF(BG2277&lt;&gt;BA2277,"erreur de calcul",IF(BD2277&lt;&gt;0,"pas de prix",IF(M2277&lt;&gt; 0,"pas de quantité","pas de prix, ni de quantité"))))</f>
        <v>erreur de calcul</v>
      </c>
      <c r="BI2277" s="19"/>
    </row>
    <row r="2278" customFormat="false" ht="15" hidden="false" customHeight="false" outlineLevel="0" collapsed="false">
      <c r="A2278" s="0" t="n">
        <v>6</v>
      </c>
      <c r="B2278" s="8" t="s">
        <v>24</v>
      </c>
      <c r="C2278" s="9" t="s">
        <v>25</v>
      </c>
      <c r="D2278" s="9" t="s">
        <v>26</v>
      </c>
      <c r="E2278" s="10" t="n">
        <v>1789</v>
      </c>
      <c r="F2278" s="9" t="s">
        <v>27</v>
      </c>
      <c r="G2278" s="9" t="s">
        <v>27</v>
      </c>
      <c r="H2278" s="11" t="n">
        <v>23</v>
      </c>
      <c r="I2278" s="11" t="s">
        <v>248</v>
      </c>
      <c r="J2278" s="14" t="n">
        <v>30</v>
      </c>
      <c r="K2278" s="14"/>
      <c r="L2278" s="16"/>
      <c r="M2278" s="27" t="n">
        <f aca="false">J2278+(K2278/20)+(L2278/240)</f>
        <v>30</v>
      </c>
      <c r="N2278" s="17" t="s">
        <v>64</v>
      </c>
      <c r="O2278" s="11"/>
      <c r="P2278" s="28"/>
      <c r="Q2278" s="28" t="n">
        <f aca="false">P2278*$M2278</f>
        <v>0</v>
      </c>
      <c r="R2278" s="28"/>
      <c r="S2278" s="28" t="n">
        <f aca="false">R2278*$M2278</f>
        <v>0</v>
      </c>
      <c r="T2278" s="28"/>
      <c r="U2278" s="28" t="n">
        <f aca="false">T2278*$M2278</f>
        <v>0</v>
      </c>
      <c r="V2278" s="28" t="n">
        <f aca="false">8491/100</f>
        <v>84.91</v>
      </c>
      <c r="W2278" s="28" t="n">
        <v>2547</v>
      </c>
      <c r="X2278" s="28"/>
      <c r="Y2278" s="28" t="n">
        <f aca="false">X2278*$M2278</f>
        <v>0</v>
      </c>
      <c r="Z2278" s="28"/>
      <c r="AA2278" s="28" t="n">
        <f aca="false">Z2278*$M2278</f>
        <v>0</v>
      </c>
      <c r="AB2278" s="28"/>
      <c r="AC2278" s="28" t="n">
        <f aca="false">AB2278*$M2278</f>
        <v>0</v>
      </c>
      <c r="AD2278" s="28"/>
      <c r="AE2278" s="28" t="n">
        <f aca="false">AD2278*$M2278</f>
        <v>0</v>
      </c>
      <c r="AF2278" s="28"/>
      <c r="AG2278" s="28" t="n">
        <f aca="false">AF2278*$M2278</f>
        <v>0</v>
      </c>
      <c r="AH2278" s="28"/>
      <c r="AI2278" s="28" t="n">
        <f aca="false">AH2278*$M2278</f>
        <v>0</v>
      </c>
      <c r="AJ2278" s="28"/>
      <c r="AK2278" s="28" t="n">
        <f aca="false">AJ2278*$M2278</f>
        <v>0</v>
      </c>
      <c r="AL2278" s="28"/>
      <c r="AM2278" s="28" t="n">
        <f aca="false">AL2278*$M2278</f>
        <v>0</v>
      </c>
      <c r="AN2278" s="28"/>
      <c r="AO2278" s="28" t="n">
        <f aca="false">AN2278*$M2278</f>
        <v>0</v>
      </c>
      <c r="AP2278" s="28"/>
      <c r="AQ2278" s="28" t="n">
        <f aca="false">AP2278*$M2278</f>
        <v>0</v>
      </c>
      <c r="AR2278" s="28"/>
      <c r="AS2278" s="28" t="n">
        <f aca="false">AR2278*$M2278</f>
        <v>0</v>
      </c>
      <c r="AT2278" s="28"/>
      <c r="AU2278" s="28" t="n">
        <f aca="false">AT2278*$M2278</f>
        <v>0</v>
      </c>
      <c r="AV2278" s="28"/>
      <c r="AW2278" s="28" t="n">
        <f aca="false">AV2278*$M2278</f>
        <v>0</v>
      </c>
      <c r="AX2278" s="28"/>
      <c r="AY2278" s="28" t="n">
        <f aca="false">AX2278*$M2278</f>
        <v>0</v>
      </c>
      <c r="AZ2278" s="30" t="n">
        <f aca="false">8491/100</f>
        <v>84.91</v>
      </c>
      <c r="BA2278" s="11" t="n">
        <v>2547</v>
      </c>
      <c r="BB2278" s="31" t="n">
        <f aca="false">SUM(Q2278,S2278,U2278,W2278,Y2278,AA2278,AC2278,AE2278,AG2278,AI2278,AK2278,AM2278,AO2278,AQ2278,AS2278,AU2278,AW2278,AY2278)</f>
        <v>2547</v>
      </c>
      <c r="BC2278" s="28" t="n">
        <f aca="false">BA2278-BB2278</f>
        <v>0</v>
      </c>
      <c r="BD2278" s="32" t="n">
        <f aca="false">SUM(P2278,R2278,T2278,V2278,X2278,Z2278,AB2278,AD2278,AF2278,AH2278,AJ2278,AL2278,AN2278,AP2278,AR2278,AT2278,AV2278,AX2278)</f>
        <v>84.91</v>
      </c>
      <c r="BE2278" s="33" t="n">
        <f aca="false">AZ2278-BD2278</f>
        <v>0</v>
      </c>
      <c r="BF2278" s="34" t="n">
        <f aca="false">BD2278*M2278</f>
        <v>2547.3</v>
      </c>
      <c r="BG2278" s="35" t="n">
        <f aca="false">BA2278-BF2278</f>
        <v>-0.299999999999727</v>
      </c>
      <c r="BH2278" s="19" t="str">
        <f aca="false">IF(BG2278=0,"",IF(BG2278&lt;&gt;BA2278,"erreur de calcul",IF(BD2278&lt;&gt;0,"pas de prix",IF(M2278&lt;&gt; 0,"pas de quantité","pas de prix, ni de quantité"))))</f>
        <v>erreur de calcul</v>
      </c>
      <c r="BI2278" s="19"/>
    </row>
    <row r="2279" customFormat="false" ht="15" hidden="false" customHeight="false" outlineLevel="0" collapsed="false">
      <c r="A2279" s="0" t="n">
        <v>7</v>
      </c>
      <c r="B2279" s="8" t="s">
        <v>24</v>
      </c>
      <c r="C2279" s="9" t="s">
        <v>25</v>
      </c>
      <c r="D2279" s="9" t="s">
        <v>26</v>
      </c>
      <c r="E2279" s="10" t="n">
        <v>1789</v>
      </c>
      <c r="F2279" s="9" t="s">
        <v>27</v>
      </c>
      <c r="G2279" s="9" t="s">
        <v>27</v>
      </c>
      <c r="H2279" s="11" t="n">
        <v>23</v>
      </c>
      <c r="I2279" s="11" t="s">
        <v>249</v>
      </c>
      <c r="J2279" s="14" t="n">
        <v>27</v>
      </c>
      <c r="K2279" s="14"/>
      <c r="L2279" s="16"/>
      <c r="M2279" s="27" t="n">
        <f aca="false">J2279+(K2279/20)+(L2279/240)</f>
        <v>27</v>
      </c>
      <c r="N2279" s="17" t="s">
        <v>64</v>
      </c>
      <c r="O2279" s="11"/>
      <c r="P2279" s="28"/>
      <c r="Q2279" s="28" t="n">
        <f aca="false">P2279*$M2279</f>
        <v>0</v>
      </c>
      <c r="R2279" s="28"/>
      <c r="S2279" s="28" t="n">
        <f aca="false">R2279*$M2279</f>
        <v>0</v>
      </c>
      <c r="T2279" s="28"/>
      <c r="U2279" s="28" t="n">
        <f aca="false">T2279*$M2279</f>
        <v>0</v>
      </c>
      <c r="V2279" s="28"/>
      <c r="W2279" s="28" t="n">
        <f aca="false">V2279*$M2279</f>
        <v>0</v>
      </c>
      <c r="X2279" s="28"/>
      <c r="Y2279" s="28" t="n">
        <f aca="false">X2279*$M2279</f>
        <v>0</v>
      </c>
      <c r="Z2279" s="28"/>
      <c r="AA2279" s="28" t="n">
        <f aca="false">Z2279*$M2279</f>
        <v>0</v>
      </c>
      <c r="AB2279" s="28"/>
      <c r="AC2279" s="28" t="n">
        <f aca="false">AB2279*$M2279</f>
        <v>0</v>
      </c>
      <c r="AD2279" s="28"/>
      <c r="AE2279" s="28" t="n">
        <f aca="false">AD2279*$M2279</f>
        <v>0</v>
      </c>
      <c r="AF2279" s="28"/>
      <c r="AG2279" s="28" t="n">
        <f aca="false">AF2279*$M2279</f>
        <v>0</v>
      </c>
      <c r="AH2279" s="28"/>
      <c r="AI2279" s="28" t="n">
        <f aca="false">AH2279*$M2279</f>
        <v>0</v>
      </c>
      <c r="AJ2279" s="28" t="n">
        <f aca="false">168254/100</f>
        <v>1682.54</v>
      </c>
      <c r="AK2279" s="28" t="n">
        <v>45428</v>
      </c>
      <c r="AL2279" s="28"/>
      <c r="AM2279" s="28" t="n">
        <f aca="false">AL2279*$M2279</f>
        <v>0</v>
      </c>
      <c r="AN2279" s="28"/>
      <c r="AO2279" s="28" t="n">
        <f aca="false">AN2279*$M2279</f>
        <v>0</v>
      </c>
      <c r="AP2279" s="28"/>
      <c r="AQ2279" s="28" t="n">
        <f aca="false">AP2279*$M2279</f>
        <v>0</v>
      </c>
      <c r="AR2279" s="28"/>
      <c r="AS2279" s="28" t="n">
        <f aca="false">AR2279*$M2279</f>
        <v>0</v>
      </c>
      <c r="AT2279" s="28"/>
      <c r="AU2279" s="28" t="n">
        <f aca="false">AT2279*$M2279</f>
        <v>0</v>
      </c>
      <c r="AV2279" s="28"/>
      <c r="AW2279" s="28" t="n">
        <f aca="false">AV2279*$M2279</f>
        <v>0</v>
      </c>
      <c r="AX2279" s="28"/>
      <c r="AY2279" s="28" t="n">
        <f aca="false">AX2279*$M2279</f>
        <v>0</v>
      </c>
      <c r="AZ2279" s="30" t="n">
        <f aca="false">168254/100</f>
        <v>1682.54</v>
      </c>
      <c r="BA2279" s="11" t="n">
        <v>45428</v>
      </c>
      <c r="BB2279" s="31" t="n">
        <f aca="false">SUM(Q2279,S2279,U2279,W2279,Y2279,AA2279,AC2279,AE2279,AG2279,AI2279,AK2279,AM2279,AO2279,AQ2279,AS2279,AU2279,AW2279,AY2279)</f>
        <v>45428</v>
      </c>
      <c r="BC2279" s="28" t="n">
        <f aca="false">BA2279-BB2279</f>
        <v>0</v>
      </c>
      <c r="BD2279" s="32" t="n">
        <f aca="false">SUM(P2279,R2279,T2279,V2279,X2279,Z2279,AB2279,AD2279,AF2279,AH2279,AJ2279,AL2279,AN2279,AP2279,AR2279,AT2279,AV2279,AX2279)</f>
        <v>1682.54</v>
      </c>
      <c r="BE2279" s="33" t="n">
        <f aca="false">AZ2279-BD2279</f>
        <v>0</v>
      </c>
      <c r="BF2279" s="34" t="n">
        <f aca="false">BD2279*M2279</f>
        <v>45428.58</v>
      </c>
      <c r="BG2279" s="35" t="n">
        <f aca="false">BA2279-BF2279</f>
        <v>-0.580000000001746</v>
      </c>
      <c r="BH2279" s="19" t="str">
        <f aca="false">IF(BG2279=0,"",IF(BG2279&lt;&gt;BA2279,"erreur de calcul",IF(BD2279&lt;&gt;0,"pas de prix",IF(M2279&lt;&gt; 0,"pas de quantité","pas de prix, ni de quantité"))))</f>
        <v>erreur de calcul</v>
      </c>
      <c r="BI2279" s="19"/>
    </row>
    <row r="2280" customFormat="false" ht="15" hidden="false" customHeight="false" outlineLevel="0" collapsed="false">
      <c r="A2280" s="0" t="n">
        <v>8</v>
      </c>
      <c r="B2280" s="8" t="s">
        <v>24</v>
      </c>
      <c r="C2280" s="9" t="s">
        <v>25</v>
      </c>
      <c r="D2280" s="9" t="s">
        <v>26</v>
      </c>
      <c r="E2280" s="10" t="n">
        <v>1789</v>
      </c>
      <c r="F2280" s="9" t="s">
        <v>27</v>
      </c>
      <c r="G2280" s="9" t="s">
        <v>27</v>
      </c>
      <c r="H2280" s="11" t="n">
        <v>23</v>
      </c>
      <c r="I2280" s="11" t="s">
        <v>250</v>
      </c>
      <c r="J2280" s="14" t="n">
        <v>27</v>
      </c>
      <c r="K2280" s="14"/>
      <c r="L2280" s="16"/>
      <c r="M2280" s="27" t="n">
        <f aca="false">J2280+(K2280/20)+(L2280/240)</f>
        <v>27</v>
      </c>
      <c r="N2280" s="17" t="s">
        <v>64</v>
      </c>
      <c r="O2280" s="11"/>
      <c r="P2280" s="28"/>
      <c r="Q2280" s="28" t="n">
        <f aca="false">P2280*$M2280</f>
        <v>0</v>
      </c>
      <c r="R2280" s="28"/>
      <c r="S2280" s="28" t="n">
        <f aca="false">R2280*$M2280</f>
        <v>0</v>
      </c>
      <c r="T2280" s="28"/>
      <c r="U2280" s="28" t="n">
        <f aca="false">T2280*$M2280</f>
        <v>0</v>
      </c>
      <c r="V2280" s="28"/>
      <c r="W2280" s="28" t="n">
        <f aca="false">V2280*$M2280</f>
        <v>0</v>
      </c>
      <c r="X2280" s="28"/>
      <c r="Y2280" s="28" t="n">
        <f aca="false">X2280*$M2280</f>
        <v>0</v>
      </c>
      <c r="Z2280" s="28"/>
      <c r="AA2280" s="28" t="n">
        <f aca="false">Z2280*$M2280</f>
        <v>0</v>
      </c>
      <c r="AB2280" s="28"/>
      <c r="AC2280" s="28" t="n">
        <f aca="false">AB2280*$M2280</f>
        <v>0</v>
      </c>
      <c r="AD2280" s="28"/>
      <c r="AE2280" s="28" t="n">
        <f aca="false">AD2280*$M2280</f>
        <v>0</v>
      </c>
      <c r="AF2280" s="28"/>
      <c r="AG2280" s="28" t="n">
        <f aca="false">AF2280*$M2280</f>
        <v>0</v>
      </c>
      <c r="AH2280" s="28"/>
      <c r="AI2280" s="28" t="n">
        <f aca="false">AH2280*$M2280</f>
        <v>0</v>
      </c>
      <c r="AJ2280" s="28"/>
      <c r="AK2280" s="28" t="n">
        <f aca="false">AJ2280*$M2280</f>
        <v>0</v>
      </c>
      <c r="AL2280" s="28" t="n">
        <f aca="false">4108/100</f>
        <v>41.08</v>
      </c>
      <c r="AM2280" s="28" t="n">
        <v>1109</v>
      </c>
      <c r="AN2280" s="28"/>
      <c r="AO2280" s="28" t="n">
        <f aca="false">AN2280*$M2280</f>
        <v>0</v>
      </c>
      <c r="AP2280" s="28"/>
      <c r="AQ2280" s="28" t="n">
        <f aca="false">AP2280*$M2280</f>
        <v>0</v>
      </c>
      <c r="AR2280" s="28" t="n">
        <f aca="false">37084/100</f>
        <v>370.84</v>
      </c>
      <c r="AS2280" s="36" t="n">
        <v>9963</v>
      </c>
      <c r="AT2280" s="28"/>
      <c r="AU2280" s="28" t="n">
        <f aca="false">AT2280*$M2280</f>
        <v>0</v>
      </c>
      <c r="AV2280" s="28"/>
      <c r="AW2280" s="28" t="n">
        <f aca="false">AV2280*$M2280</f>
        <v>0</v>
      </c>
      <c r="AX2280" s="28"/>
      <c r="AY2280" s="28" t="n">
        <f aca="false">AX2280*$M2280</f>
        <v>0</v>
      </c>
      <c r="AZ2280" s="30" t="n">
        <f aca="false">41192/100</f>
        <v>411.92</v>
      </c>
      <c r="BA2280" s="11" t="n">
        <v>11072</v>
      </c>
      <c r="BB2280" s="31" t="n">
        <f aca="false">SUM(Q2280,S2280,U2280,W2280,Y2280,AA2280,AC2280,AE2280,AG2280,AI2280,AK2280,AM2280,AO2280,AQ2280,AS2280,AU2280,AW2280,AY2280)</f>
        <v>11072</v>
      </c>
      <c r="BC2280" s="28" t="n">
        <f aca="false">BA2280-BB2280</f>
        <v>0</v>
      </c>
      <c r="BD2280" s="32" t="n">
        <f aca="false">SUM(P2280,R2280,T2280,V2280,X2280,Z2280,AB2280,AD2280,AF2280,AH2280,AJ2280,AL2280,AN2280,AP2280,AR2280,AT2280,AV2280,AX2280)</f>
        <v>411.92</v>
      </c>
      <c r="BE2280" s="33" t="n">
        <f aca="false">AZ2280-BD2280</f>
        <v>0</v>
      </c>
      <c r="BF2280" s="34" t="n">
        <f aca="false">BD2280*M2280</f>
        <v>11121.84</v>
      </c>
      <c r="BG2280" s="35" t="n">
        <f aca="false">BA2280-BF2280</f>
        <v>-49.8399999999983</v>
      </c>
      <c r="BH2280" s="19" t="str">
        <f aca="false">IF(BG2280=0,"",IF(BG2280&lt;&gt;BA2280,"erreur de calcul",IF(BD2280&lt;&gt;0,"pas de prix",IF(M2280&lt;&gt; 0,"pas de quantité","pas de prix, ni de quantité"))))</f>
        <v>erreur de calcul</v>
      </c>
      <c r="BI2280" s="19"/>
    </row>
    <row r="2281" customFormat="false" ht="15" hidden="false" customHeight="false" outlineLevel="0" collapsed="false">
      <c r="A2281" s="0" t="n">
        <v>9</v>
      </c>
      <c r="B2281" s="8" t="s">
        <v>24</v>
      </c>
      <c r="C2281" s="9" t="s">
        <v>25</v>
      </c>
      <c r="D2281" s="9" t="s">
        <v>26</v>
      </c>
      <c r="E2281" s="10" t="n">
        <v>1789</v>
      </c>
      <c r="F2281" s="9" t="s">
        <v>27</v>
      </c>
      <c r="G2281" s="9" t="s">
        <v>27</v>
      </c>
      <c r="H2281" s="11" t="n">
        <v>23</v>
      </c>
      <c r="I2281" s="11" t="s">
        <v>251</v>
      </c>
      <c r="J2281" s="14" t="n">
        <v>6</v>
      </c>
      <c r="K2281" s="14"/>
      <c r="L2281" s="16"/>
      <c r="M2281" s="27" t="n">
        <f aca="false">J2281+(K2281/20)+(L2281/240)</f>
        <v>6</v>
      </c>
      <c r="N2281" s="17" t="s">
        <v>64</v>
      </c>
      <c r="O2281" s="11"/>
      <c r="P2281" s="28"/>
      <c r="Q2281" s="28" t="n">
        <f aca="false">P2281*$M2281</f>
        <v>0</v>
      </c>
      <c r="R2281" s="28"/>
      <c r="S2281" s="28" t="n">
        <f aca="false">R2281*$M2281</f>
        <v>0</v>
      </c>
      <c r="T2281" s="28"/>
      <c r="U2281" s="28" t="n">
        <f aca="false">T2281*$M2281</f>
        <v>0</v>
      </c>
      <c r="V2281" s="28"/>
      <c r="W2281" s="28" t="n">
        <f aca="false">V2281*$M2281</f>
        <v>0</v>
      </c>
      <c r="X2281" s="28"/>
      <c r="Y2281" s="28" t="n">
        <f aca="false">X2281*$M2281</f>
        <v>0</v>
      </c>
      <c r="Z2281" s="28"/>
      <c r="AA2281" s="28" t="n">
        <f aca="false">Z2281*$M2281</f>
        <v>0</v>
      </c>
      <c r="AB2281" s="28"/>
      <c r="AC2281" s="28" t="n">
        <f aca="false">AB2281*$M2281</f>
        <v>0</v>
      </c>
      <c r="AD2281" s="28"/>
      <c r="AE2281" s="28" t="n">
        <f aca="false">AD2281*$M2281</f>
        <v>0</v>
      </c>
      <c r="AF2281" s="28"/>
      <c r="AG2281" s="28" t="n">
        <f aca="false">AF2281*$M2281</f>
        <v>0</v>
      </c>
      <c r="AH2281" s="28"/>
      <c r="AI2281" s="28" t="n">
        <f aca="false">AH2281*$M2281</f>
        <v>0</v>
      </c>
      <c r="AJ2281" s="28"/>
      <c r="AK2281" s="28" t="n">
        <f aca="false">AJ2281*$M2281</f>
        <v>0</v>
      </c>
      <c r="AL2281" s="28"/>
      <c r="AM2281" s="28" t="n">
        <f aca="false">AL2281*$M2281</f>
        <v>0</v>
      </c>
      <c r="AN2281" s="28"/>
      <c r="AO2281" s="28" t="n">
        <f aca="false">AN2281*$M2281</f>
        <v>0</v>
      </c>
      <c r="AP2281" s="28"/>
      <c r="AQ2281" s="28" t="n">
        <f aca="false">AP2281*$M2281</f>
        <v>0</v>
      </c>
      <c r="AR2281" s="28"/>
      <c r="AS2281" s="28" t="n">
        <f aca="false">AR2281*$M2281</f>
        <v>0</v>
      </c>
      <c r="AT2281" s="28"/>
      <c r="AU2281" s="28" t="n">
        <f aca="false">AT2281*$M2281</f>
        <v>0</v>
      </c>
      <c r="AV2281" s="28"/>
      <c r="AW2281" s="28" t="n">
        <f aca="false">AV2281*$M2281</f>
        <v>0</v>
      </c>
      <c r="AX2281" s="28"/>
      <c r="AY2281" s="28" t="n">
        <f aca="false">AX2281*$M2281</f>
        <v>0</v>
      </c>
      <c r="AZ2281" s="30"/>
      <c r="BA2281" s="11"/>
      <c r="BB2281" s="31" t="n">
        <f aca="false">SUM(Q2281,S2281,U2281,W2281,Y2281,AA2281,AC2281,AE2281,AG2281,AI2281,AK2281,AM2281,AO2281,AQ2281,AS2281,AU2281,AW2281,AY2281)</f>
        <v>0</v>
      </c>
      <c r="BC2281" s="28" t="n">
        <f aca="false">BA2281-BB2281</f>
        <v>0</v>
      </c>
      <c r="BD2281" s="32" t="n">
        <f aca="false">SUM(P2281,R2281,T2281,V2281,X2281,Z2281,AB2281,AD2281,AF2281,AH2281,AJ2281,AL2281,AN2281,AP2281,AR2281,AT2281,AV2281,AX2281)</f>
        <v>0</v>
      </c>
      <c r="BE2281" s="33" t="n">
        <f aca="false">AZ2281-BD2281</f>
        <v>0</v>
      </c>
      <c r="BF2281" s="34" t="n">
        <f aca="false">BD2281*M2281</f>
        <v>0</v>
      </c>
      <c r="BG2281" s="35" t="n">
        <f aca="false">BA2281-BF2281</f>
        <v>0</v>
      </c>
      <c r="BH2281" s="19" t="str">
        <f aca="false">IF(BG2281=0,"",IF(BG2281&lt;&gt;BA2281,"erreur de calcul",IF(BD2281&lt;&gt;0,"pas de prix",IF(M2281&lt;&gt; 0,"pas de quantité","pas de prix, ni de quantité"))))</f>
        <v/>
      </c>
      <c r="BI2281" s="19"/>
    </row>
    <row r="2282" customFormat="false" ht="15" hidden="false" customHeight="false" outlineLevel="0" collapsed="false">
      <c r="A2282" s="0" t="n">
        <v>10</v>
      </c>
      <c r="B2282" s="8" t="s">
        <v>24</v>
      </c>
      <c r="C2282" s="9" t="s">
        <v>25</v>
      </c>
      <c r="D2282" s="9" t="s">
        <v>26</v>
      </c>
      <c r="E2282" s="10" t="n">
        <v>1789</v>
      </c>
      <c r="F2282" s="9" t="s">
        <v>27</v>
      </c>
      <c r="G2282" s="9" t="s">
        <v>27</v>
      </c>
      <c r="H2282" s="11" t="n">
        <v>23</v>
      </c>
      <c r="I2282" s="11" t="s">
        <v>252</v>
      </c>
      <c r="J2282" s="14" t="n">
        <v>240</v>
      </c>
      <c r="K2282" s="14"/>
      <c r="L2282" s="16"/>
      <c r="M2282" s="27" t="n">
        <f aca="false">J2282+(K2282/20)+(L2282/240)</f>
        <v>240</v>
      </c>
      <c r="N2282" s="17" t="s">
        <v>64</v>
      </c>
      <c r="O2282" s="11"/>
      <c r="P2282" s="28"/>
      <c r="Q2282" s="28" t="n">
        <f aca="false">P2282*$M2282</f>
        <v>0</v>
      </c>
      <c r="R2282" s="28"/>
      <c r="S2282" s="28" t="n">
        <f aca="false">R2282*$M2282</f>
        <v>0</v>
      </c>
      <c r="T2282" s="28" t="n">
        <f aca="false">4204/100</f>
        <v>42.04</v>
      </c>
      <c r="U2282" s="28" t="n">
        <v>10090</v>
      </c>
      <c r="V2282" s="28" t="n">
        <f aca="false">2799/100</f>
        <v>27.99</v>
      </c>
      <c r="W2282" s="28" t="n">
        <v>6718</v>
      </c>
      <c r="X2282" s="28" t="n">
        <f aca="false">2536/100</f>
        <v>25.36</v>
      </c>
      <c r="Y2282" s="28" t="n">
        <v>6086</v>
      </c>
      <c r="Z2282" s="28" t="n">
        <f aca="false">3393/100</f>
        <v>33.93</v>
      </c>
      <c r="AA2282" s="28" t="n">
        <v>8143</v>
      </c>
      <c r="AB2282" s="28" t="n">
        <f aca="false">242/100</f>
        <v>2.42</v>
      </c>
      <c r="AC2282" s="28" t="n">
        <v>581</v>
      </c>
      <c r="AD2282" s="28"/>
      <c r="AE2282" s="28" t="n">
        <f aca="false">AD2282*$M2282</f>
        <v>0</v>
      </c>
      <c r="AF2282" s="28"/>
      <c r="AG2282" s="28" t="n">
        <f aca="false">AF2282*$M2282</f>
        <v>0</v>
      </c>
      <c r="AH2282" s="28"/>
      <c r="AI2282" s="28" t="n">
        <f aca="false">AH2282*$M2282</f>
        <v>0</v>
      </c>
      <c r="AJ2282" s="28"/>
      <c r="AK2282" s="28" t="n">
        <f aca="false">AJ2282*$M2282</f>
        <v>0</v>
      </c>
      <c r="AL2282" s="28"/>
      <c r="AM2282" s="28" t="n">
        <f aca="false">AL2282*$M2282</f>
        <v>0</v>
      </c>
      <c r="AN2282" s="28"/>
      <c r="AO2282" s="28" t="n">
        <f aca="false">AN2282*$M2282</f>
        <v>0</v>
      </c>
      <c r="AP2282" s="28"/>
      <c r="AQ2282" s="28" t="n">
        <f aca="false">AP2282*$M2282</f>
        <v>0</v>
      </c>
      <c r="AR2282" s="28"/>
      <c r="AS2282" s="28" t="n">
        <f aca="false">AR2282*$M2282</f>
        <v>0</v>
      </c>
      <c r="AT2282" s="28"/>
      <c r="AU2282" s="28" t="n">
        <f aca="false">AT2282*$M2282</f>
        <v>0</v>
      </c>
      <c r="AV2282" s="28"/>
      <c r="AW2282" s="28" t="n">
        <f aca="false">AV2282*$M2282</f>
        <v>0</v>
      </c>
      <c r="AX2282" s="28"/>
      <c r="AY2282" s="28" t="n">
        <f aca="false">AX2282*$M2282</f>
        <v>0</v>
      </c>
      <c r="AZ2282" s="30" t="n">
        <f aca="false">13174/100</f>
        <v>131.74</v>
      </c>
      <c r="BA2282" s="11" t="n">
        <v>31618</v>
      </c>
      <c r="BB2282" s="31" t="n">
        <f aca="false">SUM(Q2282,S2282,U2282,W2282,Y2282,AA2282,AC2282,AE2282,AG2282,AI2282,AK2282,AM2282,AO2282,AQ2282,AS2282,AU2282,AW2282,AY2282)</f>
        <v>31618</v>
      </c>
      <c r="BC2282" s="28" t="n">
        <f aca="false">BA2282-BB2282</f>
        <v>0</v>
      </c>
      <c r="BD2282" s="32" t="n">
        <f aca="false">SUM(P2282,R2282,T2282,V2282,X2282,Z2282,AB2282,AD2282,AF2282,AH2282,AJ2282,AL2282,AN2282,AP2282,AR2282,AT2282,AV2282,AX2282)</f>
        <v>131.74</v>
      </c>
      <c r="BE2282" s="33" t="n">
        <f aca="false">AZ2282-BD2282</f>
        <v>0</v>
      </c>
      <c r="BF2282" s="34" t="n">
        <f aca="false">BD2282*M2282</f>
        <v>31617.6</v>
      </c>
      <c r="BG2282" s="35" t="n">
        <f aca="false">BA2282-BF2282</f>
        <v>0.399999999997817</v>
      </c>
      <c r="BH2282" s="19" t="str">
        <f aca="false">IF(BG2282=0,"",IF(BG2282&lt;&gt;BA2282,"erreur de calcul",IF(BD2282&lt;&gt;0,"pas de prix",IF(M2282&lt;&gt; 0,"pas de quantité","pas de prix, ni de quantité"))))</f>
        <v>erreur de calcul</v>
      </c>
      <c r="BI2282" s="19"/>
    </row>
    <row r="2283" customFormat="false" ht="15" hidden="false" customHeight="false" outlineLevel="0" collapsed="false">
      <c r="A2283" s="0" t="n">
        <v>11</v>
      </c>
      <c r="B2283" s="8" t="s">
        <v>24</v>
      </c>
      <c r="C2283" s="9" t="s">
        <v>25</v>
      </c>
      <c r="D2283" s="9" t="s">
        <v>26</v>
      </c>
      <c r="E2283" s="10" t="n">
        <v>1789</v>
      </c>
      <c r="F2283" s="9" t="s">
        <v>27</v>
      </c>
      <c r="G2283" s="9" t="s">
        <v>27</v>
      </c>
      <c r="H2283" s="11" t="n">
        <v>23</v>
      </c>
      <c r="I2283" s="11" t="s">
        <v>253</v>
      </c>
      <c r="J2283" s="14" t="n">
        <v>190</v>
      </c>
      <c r="K2283" s="14"/>
      <c r="L2283" s="16"/>
      <c r="M2283" s="27" t="n">
        <f aca="false">J2283+(K2283/20)+(L2283/240)</f>
        <v>190</v>
      </c>
      <c r="N2283" s="17" t="s">
        <v>64</v>
      </c>
      <c r="O2283" s="11"/>
      <c r="P2283" s="28"/>
      <c r="Q2283" s="28" t="n">
        <f aca="false">P2283*$M2283</f>
        <v>0</v>
      </c>
      <c r="R2283" s="28"/>
      <c r="S2283" s="28" t="n">
        <f aca="false">R2283*$M2283</f>
        <v>0</v>
      </c>
      <c r="T2283" s="28"/>
      <c r="U2283" s="28" t="n">
        <f aca="false">T2283*$M2283</f>
        <v>0</v>
      </c>
      <c r="V2283" s="28" t="n">
        <f aca="false">14963/100</f>
        <v>149.63</v>
      </c>
      <c r="W2283" s="36" t="n">
        <v>28420</v>
      </c>
      <c r="X2283" s="28"/>
      <c r="Y2283" s="28" t="n">
        <f aca="false">X2283*$M2283</f>
        <v>0</v>
      </c>
      <c r="Z2283" s="28"/>
      <c r="AA2283" s="28" t="n">
        <f aca="false">Z2283*$M2283</f>
        <v>0</v>
      </c>
      <c r="AB2283" s="28"/>
      <c r="AC2283" s="28" t="n">
        <f aca="false">AB2283*$M2283</f>
        <v>0</v>
      </c>
      <c r="AD2283" s="28"/>
      <c r="AE2283" s="28" t="n">
        <f aca="false">AD2283*$M2283</f>
        <v>0</v>
      </c>
      <c r="AF2283" s="28"/>
      <c r="AG2283" s="28" t="n">
        <f aca="false">AF2283*$M2283</f>
        <v>0</v>
      </c>
      <c r="AH2283" s="28"/>
      <c r="AI2283" s="28" t="n">
        <f aca="false">AH2283*$M2283</f>
        <v>0</v>
      </c>
      <c r="AJ2283" s="28"/>
      <c r="AK2283" s="28" t="n">
        <f aca="false">AJ2283*$M2283</f>
        <v>0</v>
      </c>
      <c r="AL2283" s="28"/>
      <c r="AM2283" s="28" t="n">
        <f aca="false">AL2283*$M2283</f>
        <v>0</v>
      </c>
      <c r="AN2283" s="28"/>
      <c r="AO2283" s="28" t="n">
        <f aca="false">AN2283*$M2283</f>
        <v>0</v>
      </c>
      <c r="AP2283" s="28"/>
      <c r="AQ2283" s="28" t="n">
        <f aca="false">AP2283*$M2283</f>
        <v>0</v>
      </c>
      <c r="AR2283" s="28"/>
      <c r="AS2283" s="28" t="n">
        <f aca="false">AR2283*$M2283</f>
        <v>0</v>
      </c>
      <c r="AT2283" s="28"/>
      <c r="AU2283" s="28" t="n">
        <f aca="false">AT2283*$M2283</f>
        <v>0</v>
      </c>
      <c r="AV2283" s="28"/>
      <c r="AW2283" s="28" t="n">
        <f aca="false">AV2283*$M2283</f>
        <v>0</v>
      </c>
      <c r="AX2283" s="28"/>
      <c r="AY2283" s="28" t="n">
        <f aca="false">AX2283*$M2283</f>
        <v>0</v>
      </c>
      <c r="AZ2283" s="30" t="n">
        <f aca="false">14963/100</f>
        <v>149.63</v>
      </c>
      <c r="BA2283" s="11" t="n">
        <v>28420</v>
      </c>
      <c r="BB2283" s="31" t="n">
        <f aca="false">SUM(Q2283,S2283,U2283,W2283,Y2283,AA2283,AC2283,AE2283,AG2283,AI2283,AK2283,AM2283,AO2283,AQ2283,AS2283,AU2283,AW2283,AY2283)</f>
        <v>28420</v>
      </c>
      <c r="BC2283" s="28" t="n">
        <f aca="false">BA2283-BB2283</f>
        <v>0</v>
      </c>
      <c r="BD2283" s="32" t="n">
        <f aca="false">SUM(P2283,R2283,T2283,V2283,X2283,Z2283,AB2283,AD2283,AF2283,AH2283,AJ2283,AL2283,AN2283,AP2283,AR2283,AT2283,AV2283,AX2283)</f>
        <v>149.63</v>
      </c>
      <c r="BE2283" s="33" t="n">
        <f aca="false">AZ2283-BD2283</f>
        <v>0</v>
      </c>
      <c r="BF2283" s="34" t="n">
        <f aca="false">BD2283*M2283</f>
        <v>28429.7</v>
      </c>
      <c r="BG2283" s="35" t="n">
        <f aca="false">BA2283-BF2283</f>
        <v>-9.70000000000073</v>
      </c>
      <c r="BH2283" s="19" t="str">
        <f aca="false">IF(BG2283=0,"",IF(BG2283&lt;&gt;BA2283,"erreur de calcul",IF(BD2283&lt;&gt;0,"pas de prix",IF(M2283&lt;&gt; 0,"pas de quantité","pas de prix, ni de quantité"))))</f>
        <v>erreur de calcul</v>
      </c>
      <c r="BI2283" s="19"/>
    </row>
    <row r="2284" customFormat="false" ht="15" hidden="false" customHeight="false" outlineLevel="0" collapsed="false">
      <c r="A2284" s="0" t="n">
        <v>12</v>
      </c>
      <c r="B2284" s="8" t="s">
        <v>24</v>
      </c>
      <c r="C2284" s="9" t="s">
        <v>25</v>
      </c>
      <c r="D2284" s="9" t="s">
        <v>26</v>
      </c>
      <c r="E2284" s="10" t="n">
        <v>1789</v>
      </c>
      <c r="F2284" s="9" t="s">
        <v>27</v>
      </c>
      <c r="G2284" s="9" t="s">
        <v>27</v>
      </c>
      <c r="H2284" s="11" t="n">
        <v>23</v>
      </c>
      <c r="I2284" s="11" t="s">
        <v>254</v>
      </c>
      <c r="J2284" s="14" t="n">
        <v>14</v>
      </c>
      <c r="K2284" s="14"/>
      <c r="L2284" s="16"/>
      <c r="M2284" s="27" t="n">
        <f aca="false">J2284+(K2284/20)+(L2284/240)</f>
        <v>14</v>
      </c>
      <c r="N2284" s="17" t="s">
        <v>64</v>
      </c>
      <c r="O2284" s="11"/>
      <c r="P2284" s="28"/>
      <c r="Q2284" s="28" t="n">
        <f aca="false">P2284*$M2284</f>
        <v>0</v>
      </c>
      <c r="R2284" s="28"/>
      <c r="S2284" s="28" t="n">
        <f aca="false">R2284*$M2284</f>
        <v>0</v>
      </c>
      <c r="T2284" s="28"/>
      <c r="U2284" s="28" t="n">
        <f aca="false">T2284*$M2284</f>
        <v>0</v>
      </c>
      <c r="V2284" s="28"/>
      <c r="W2284" s="28" t="n">
        <f aca="false">V2284*$M2284</f>
        <v>0</v>
      </c>
      <c r="X2284" s="28" t="n">
        <f aca="false">445483/100</f>
        <v>4454.83</v>
      </c>
      <c r="Y2284" s="28" t="n">
        <v>62368</v>
      </c>
      <c r="Z2284" s="28"/>
      <c r="AA2284" s="28" t="n">
        <f aca="false">Z2284*$M2284</f>
        <v>0</v>
      </c>
      <c r="AB2284" s="28"/>
      <c r="AC2284" s="28" t="n">
        <f aca="false">AB2284*$M2284</f>
        <v>0</v>
      </c>
      <c r="AD2284" s="28"/>
      <c r="AE2284" s="28" t="n">
        <f aca="false">AD2284*$M2284</f>
        <v>0</v>
      </c>
      <c r="AF2284" s="28"/>
      <c r="AG2284" s="28" t="n">
        <f aca="false">AF2284*$M2284</f>
        <v>0</v>
      </c>
      <c r="AH2284" s="28"/>
      <c r="AI2284" s="28" t="n">
        <f aca="false">AH2284*$M2284</f>
        <v>0</v>
      </c>
      <c r="AJ2284" s="28"/>
      <c r="AK2284" s="28" t="n">
        <f aca="false">AJ2284*$M2284</f>
        <v>0</v>
      </c>
      <c r="AL2284" s="28"/>
      <c r="AM2284" s="28" t="n">
        <f aca="false">AL2284*$M2284</f>
        <v>0</v>
      </c>
      <c r="AN2284" s="28"/>
      <c r="AO2284" s="28" t="n">
        <f aca="false">AN2284*$M2284</f>
        <v>0</v>
      </c>
      <c r="AP2284" s="28"/>
      <c r="AQ2284" s="28" t="n">
        <f aca="false">AP2284*$M2284</f>
        <v>0</v>
      </c>
      <c r="AR2284" s="28"/>
      <c r="AS2284" s="28" t="n">
        <f aca="false">AR2284*$M2284</f>
        <v>0</v>
      </c>
      <c r="AT2284" s="28"/>
      <c r="AU2284" s="28" t="n">
        <f aca="false">AT2284*$M2284</f>
        <v>0</v>
      </c>
      <c r="AV2284" s="28"/>
      <c r="AW2284" s="28" t="n">
        <f aca="false">AV2284*$M2284</f>
        <v>0</v>
      </c>
      <c r="AX2284" s="28"/>
      <c r="AY2284" s="28" t="n">
        <f aca="false">AX2284*$M2284</f>
        <v>0</v>
      </c>
      <c r="AZ2284" s="30" t="n">
        <f aca="false">445483/100</f>
        <v>4454.83</v>
      </c>
      <c r="BA2284" s="11" t="n">
        <v>62368</v>
      </c>
      <c r="BB2284" s="31" t="n">
        <f aca="false">SUM(Q2284,S2284,U2284,W2284,Y2284,AA2284,AC2284,AE2284,AG2284,AI2284,AK2284,AM2284,AO2284,AQ2284,AS2284,AU2284,AW2284,AY2284)</f>
        <v>62368</v>
      </c>
      <c r="BC2284" s="28" t="n">
        <f aca="false">BA2284-BB2284</f>
        <v>0</v>
      </c>
      <c r="BD2284" s="32" t="n">
        <f aca="false">SUM(P2284,R2284,T2284,V2284,X2284,Z2284,AB2284,AD2284,AF2284,AH2284,AJ2284,AL2284,AN2284,AP2284,AR2284,AT2284,AV2284,AX2284)</f>
        <v>4454.83</v>
      </c>
      <c r="BE2284" s="33" t="n">
        <f aca="false">AZ2284-BD2284</f>
        <v>0</v>
      </c>
      <c r="BF2284" s="34" t="n">
        <f aca="false">BD2284*M2284</f>
        <v>62367.62</v>
      </c>
      <c r="BG2284" s="35" t="n">
        <f aca="false">BA2284-BF2284</f>
        <v>0.380000000004657</v>
      </c>
      <c r="BH2284" s="19" t="str">
        <f aca="false">IF(BG2284=0,"",IF(BG2284&lt;&gt;BA2284,"erreur de calcul",IF(BD2284&lt;&gt;0,"pas de prix",IF(M2284&lt;&gt; 0,"pas de quantité","pas de prix, ni de quantité"))))</f>
        <v>erreur de calcul</v>
      </c>
      <c r="BI2284" s="19"/>
    </row>
    <row r="2285" customFormat="false" ht="15" hidden="false" customHeight="false" outlineLevel="0" collapsed="false">
      <c r="A2285" s="0" t="n">
        <v>13</v>
      </c>
      <c r="B2285" s="8" t="s">
        <v>24</v>
      </c>
      <c r="C2285" s="9" t="s">
        <v>25</v>
      </c>
      <c r="D2285" s="9" t="s">
        <v>26</v>
      </c>
      <c r="E2285" s="10" t="n">
        <v>1789</v>
      </c>
      <c r="F2285" s="9" t="s">
        <v>27</v>
      </c>
      <c r="G2285" s="9" t="s">
        <v>27</v>
      </c>
      <c r="H2285" s="11" t="n">
        <v>23</v>
      </c>
      <c r="I2285" s="11" t="s">
        <v>255</v>
      </c>
      <c r="J2285" s="14" t="n">
        <v>6</v>
      </c>
      <c r="K2285" s="14"/>
      <c r="L2285" s="16"/>
      <c r="M2285" s="27" t="n">
        <f aca="false">J2285+(K2285/20)+(L2285/240)</f>
        <v>6</v>
      </c>
      <c r="N2285" s="17" t="s">
        <v>64</v>
      </c>
      <c r="O2285" s="11"/>
      <c r="P2285" s="28"/>
      <c r="Q2285" s="28" t="n">
        <f aca="false">P2285*$M2285</f>
        <v>0</v>
      </c>
      <c r="R2285" s="28"/>
      <c r="S2285" s="28" t="n">
        <f aca="false">R2285*$M2285</f>
        <v>0</v>
      </c>
      <c r="T2285" s="28"/>
      <c r="U2285" s="28" t="n">
        <f aca="false">T2285*$M2285</f>
        <v>0</v>
      </c>
      <c r="V2285" s="28" t="n">
        <f aca="false">8263/100</f>
        <v>82.63</v>
      </c>
      <c r="W2285" s="28" t="n">
        <v>496</v>
      </c>
      <c r="X2285" s="28"/>
      <c r="Y2285" s="28" t="n">
        <f aca="false">X2285*$M2285</f>
        <v>0</v>
      </c>
      <c r="Z2285" s="28" t="n">
        <f aca="false">62695/100</f>
        <v>626.95</v>
      </c>
      <c r="AA2285" s="28" t="n">
        <v>3762</v>
      </c>
      <c r="AB2285" s="28"/>
      <c r="AC2285" s="28" t="n">
        <f aca="false">AB2285*$M2285</f>
        <v>0</v>
      </c>
      <c r="AD2285" s="28"/>
      <c r="AE2285" s="28" t="n">
        <f aca="false">AD2285*$M2285</f>
        <v>0</v>
      </c>
      <c r="AF2285" s="28"/>
      <c r="AG2285" s="28" t="n">
        <f aca="false">AF2285*$M2285</f>
        <v>0</v>
      </c>
      <c r="AH2285" s="28"/>
      <c r="AI2285" s="28" t="n">
        <f aca="false">AH2285*$M2285</f>
        <v>0</v>
      </c>
      <c r="AJ2285" s="28"/>
      <c r="AK2285" s="28" t="n">
        <f aca="false">AJ2285*$M2285</f>
        <v>0</v>
      </c>
      <c r="AL2285" s="28"/>
      <c r="AM2285" s="28" t="n">
        <f aca="false">AL2285*$M2285</f>
        <v>0</v>
      </c>
      <c r="AN2285" s="28"/>
      <c r="AO2285" s="28" t="n">
        <f aca="false">AN2285*$M2285</f>
        <v>0</v>
      </c>
      <c r="AP2285" s="28"/>
      <c r="AQ2285" s="28" t="n">
        <f aca="false">AP2285*$M2285</f>
        <v>0</v>
      </c>
      <c r="AR2285" s="28"/>
      <c r="AS2285" s="28" t="n">
        <f aca="false">AR2285*$M2285</f>
        <v>0</v>
      </c>
      <c r="AT2285" s="28"/>
      <c r="AU2285" s="28" t="n">
        <f aca="false">AT2285*$M2285</f>
        <v>0</v>
      </c>
      <c r="AV2285" s="28"/>
      <c r="AW2285" s="28" t="n">
        <f aca="false">AV2285*$M2285</f>
        <v>0</v>
      </c>
      <c r="AX2285" s="28"/>
      <c r="AY2285" s="28" t="n">
        <f aca="false">AX2285*$M2285</f>
        <v>0</v>
      </c>
      <c r="AZ2285" s="30" t="n">
        <f aca="false">70958/100</f>
        <v>709.58</v>
      </c>
      <c r="BA2285" s="11" t="n">
        <v>4258</v>
      </c>
      <c r="BB2285" s="31" t="n">
        <f aca="false">SUM(Q2285,S2285,U2285,W2285,Y2285,AA2285,AC2285,AE2285,AG2285,AI2285,AK2285,AM2285,AO2285,AQ2285,AS2285,AU2285,AW2285,AY2285)</f>
        <v>4258</v>
      </c>
      <c r="BC2285" s="28" t="n">
        <f aca="false">BA2285-BB2285</f>
        <v>0</v>
      </c>
      <c r="BD2285" s="32" t="n">
        <f aca="false">SUM(P2285,R2285,T2285,V2285,X2285,Z2285,AB2285,AD2285,AF2285,AH2285,AJ2285,AL2285,AN2285,AP2285,AR2285,AT2285,AV2285,AX2285)</f>
        <v>709.58</v>
      </c>
      <c r="BE2285" s="33" t="n">
        <f aca="false">AZ2285-BD2285</f>
        <v>0</v>
      </c>
      <c r="BF2285" s="34" t="n">
        <f aca="false">BD2285*M2285</f>
        <v>4257.48</v>
      </c>
      <c r="BG2285" s="35" t="n">
        <f aca="false">BA2285-BF2285</f>
        <v>0.519999999999527</v>
      </c>
      <c r="BH2285" s="19" t="str">
        <f aca="false">IF(BG2285=0,"",IF(BG2285&lt;&gt;BA2285,"erreur de calcul",IF(BD2285&lt;&gt;0,"pas de prix",IF(M2285&lt;&gt; 0,"pas de quantité","pas de prix, ni de quantité"))))</f>
        <v>erreur de calcul</v>
      </c>
      <c r="BI2285" s="19"/>
    </row>
    <row r="2286" customFormat="false" ht="15" hidden="false" customHeight="false" outlineLevel="0" collapsed="false">
      <c r="A2286" s="0" t="n">
        <v>14</v>
      </c>
      <c r="B2286" s="8" t="s">
        <v>24</v>
      </c>
      <c r="C2286" s="9" t="s">
        <v>25</v>
      </c>
      <c r="D2286" s="9" t="s">
        <v>26</v>
      </c>
      <c r="E2286" s="10" t="n">
        <v>1789</v>
      </c>
      <c r="F2286" s="9" t="s">
        <v>27</v>
      </c>
      <c r="G2286" s="9" t="s">
        <v>27</v>
      </c>
      <c r="H2286" s="11" t="n">
        <v>23</v>
      </c>
      <c r="I2286" s="11" t="s">
        <v>256</v>
      </c>
      <c r="J2286" s="14" t="n">
        <v>30</v>
      </c>
      <c r="K2286" s="14"/>
      <c r="L2286" s="16"/>
      <c r="M2286" s="27" t="n">
        <f aca="false">J2286+(K2286/20)+(L2286/240)</f>
        <v>30</v>
      </c>
      <c r="N2286" s="17" t="s">
        <v>64</v>
      </c>
      <c r="O2286" s="11"/>
      <c r="P2286" s="28" t="n">
        <f aca="false">1584/100</f>
        <v>15.84</v>
      </c>
      <c r="Q2286" s="28" t="n">
        <v>475</v>
      </c>
      <c r="R2286" s="28"/>
      <c r="S2286" s="28" t="n">
        <f aca="false">R2286*$M2286</f>
        <v>0</v>
      </c>
      <c r="T2286" s="28" t="n">
        <f aca="false">78834/100</f>
        <v>788.34</v>
      </c>
      <c r="U2286" s="28" t="n">
        <v>23650</v>
      </c>
      <c r="V2286" s="28"/>
      <c r="W2286" s="28" t="n">
        <f aca="false">V2286*$M2286</f>
        <v>0</v>
      </c>
      <c r="X2286" s="28"/>
      <c r="Y2286" s="28" t="n">
        <f aca="false">X2286*$M2286</f>
        <v>0</v>
      </c>
      <c r="Z2286" s="28"/>
      <c r="AA2286" s="28" t="n">
        <f aca="false">Z2286*$M2286</f>
        <v>0</v>
      </c>
      <c r="AB2286" s="28"/>
      <c r="AC2286" s="28" t="n">
        <f aca="false">AB2286*$M2286</f>
        <v>0</v>
      </c>
      <c r="AD2286" s="28"/>
      <c r="AE2286" s="28" t="n">
        <f aca="false">AD2286*$M2286</f>
        <v>0</v>
      </c>
      <c r="AF2286" s="28"/>
      <c r="AG2286" s="28" t="n">
        <f aca="false">AF2286*$M2286</f>
        <v>0</v>
      </c>
      <c r="AH2286" s="28"/>
      <c r="AI2286" s="28" t="n">
        <f aca="false">AH2286*$M2286</f>
        <v>0</v>
      </c>
      <c r="AJ2286" s="28"/>
      <c r="AK2286" s="28" t="n">
        <f aca="false">AJ2286*$M2286</f>
        <v>0</v>
      </c>
      <c r="AL2286" s="28"/>
      <c r="AM2286" s="28" t="n">
        <f aca="false">AL2286*$M2286</f>
        <v>0</v>
      </c>
      <c r="AN2286" s="28"/>
      <c r="AO2286" s="28" t="n">
        <f aca="false">AN2286*$M2286</f>
        <v>0</v>
      </c>
      <c r="AP2286" s="28"/>
      <c r="AQ2286" s="28" t="n">
        <f aca="false">AP2286*$M2286</f>
        <v>0</v>
      </c>
      <c r="AR2286" s="28"/>
      <c r="AS2286" s="28" t="n">
        <f aca="false">AR2286*$M2286</f>
        <v>0</v>
      </c>
      <c r="AT2286" s="28"/>
      <c r="AU2286" s="28" t="n">
        <f aca="false">AT2286*$M2286</f>
        <v>0</v>
      </c>
      <c r="AV2286" s="28"/>
      <c r="AW2286" s="28" t="n">
        <f aca="false">AV2286*$M2286</f>
        <v>0</v>
      </c>
      <c r="AX2286" s="28"/>
      <c r="AY2286" s="28" t="n">
        <f aca="false">AX2286*$M2286</f>
        <v>0</v>
      </c>
      <c r="AZ2286" s="30" t="n">
        <f aca="false">80418/100</f>
        <v>804.18</v>
      </c>
      <c r="BA2286" s="11" t="n">
        <v>24125</v>
      </c>
      <c r="BB2286" s="31" t="n">
        <f aca="false">SUM(Q2286,S2286,U2286,W2286,Y2286,AA2286,AC2286,AE2286,AG2286,AI2286,AK2286,AM2286,AO2286,AQ2286,AS2286,AU2286,AW2286,AY2286)</f>
        <v>24125</v>
      </c>
      <c r="BC2286" s="28" t="n">
        <f aca="false">BA2286-BB2286</f>
        <v>0</v>
      </c>
      <c r="BD2286" s="32" t="n">
        <f aca="false">SUM(P2286,R2286,T2286,V2286,X2286,Z2286,AB2286,AD2286,AF2286,AH2286,AJ2286,AL2286,AN2286,AP2286,AR2286,AT2286,AV2286,AX2286)</f>
        <v>804.18</v>
      </c>
      <c r="BE2286" s="33" t="n">
        <f aca="false">AZ2286-BD2286</f>
        <v>0</v>
      </c>
      <c r="BF2286" s="34" t="n">
        <f aca="false">BD2286*M2286</f>
        <v>24125.4</v>
      </c>
      <c r="BG2286" s="35" t="n">
        <f aca="false">BA2286-BF2286</f>
        <v>-0.400000000001455</v>
      </c>
      <c r="BH2286" s="19" t="str">
        <f aca="false">IF(BG2286=0,"",IF(BG2286&lt;&gt;BA2286,"erreur de calcul",IF(BD2286&lt;&gt;0,"pas de prix",IF(M2286&lt;&gt; 0,"pas de quantité","pas de prix, ni de quantité"))))</f>
        <v>erreur de calcul</v>
      </c>
      <c r="BI2286" s="19"/>
    </row>
    <row r="2287" customFormat="false" ht="15" hidden="false" customHeight="false" outlineLevel="0" collapsed="false">
      <c r="A2287" s="0" t="n">
        <v>15</v>
      </c>
      <c r="B2287" s="8" t="s">
        <v>24</v>
      </c>
      <c r="C2287" s="9" t="s">
        <v>25</v>
      </c>
      <c r="D2287" s="9" t="s">
        <v>26</v>
      </c>
      <c r="E2287" s="10" t="n">
        <v>1789</v>
      </c>
      <c r="F2287" s="9" t="s">
        <v>27</v>
      </c>
      <c r="G2287" s="9" t="s">
        <v>27</v>
      </c>
      <c r="H2287" s="11" t="n">
        <v>23</v>
      </c>
      <c r="I2287" s="11" t="s">
        <v>257</v>
      </c>
      <c r="J2287" s="14" t="n">
        <v>40</v>
      </c>
      <c r="K2287" s="14"/>
      <c r="L2287" s="16"/>
      <c r="M2287" s="27" t="n">
        <f aca="false">J2287+(K2287/20)+(L2287/240)</f>
        <v>40</v>
      </c>
      <c r="N2287" s="17" t="s">
        <v>64</v>
      </c>
      <c r="O2287" s="11"/>
      <c r="P2287" s="28"/>
      <c r="Q2287" s="28" t="n">
        <f aca="false">P2287*$M2287</f>
        <v>0</v>
      </c>
      <c r="R2287" s="28"/>
      <c r="S2287" s="28" t="n">
        <f aca="false">R2287*$M2287</f>
        <v>0</v>
      </c>
      <c r="T2287" s="28"/>
      <c r="U2287" s="28" t="n">
        <f aca="false">T2287*$M2287</f>
        <v>0</v>
      </c>
      <c r="V2287" s="28"/>
      <c r="W2287" s="28" t="n">
        <f aca="false">V2287*$M2287</f>
        <v>0</v>
      </c>
      <c r="X2287" s="28"/>
      <c r="Y2287" s="28" t="n">
        <f aca="false">X2287*$M2287</f>
        <v>0</v>
      </c>
      <c r="Z2287" s="28"/>
      <c r="AA2287" s="28" t="n">
        <f aca="false">Z2287*$M2287</f>
        <v>0</v>
      </c>
      <c r="AB2287" s="28"/>
      <c r="AC2287" s="28" t="n">
        <f aca="false">AB2287*$M2287</f>
        <v>0</v>
      </c>
      <c r="AD2287" s="28"/>
      <c r="AE2287" s="28" t="n">
        <f aca="false">AD2287*$M2287</f>
        <v>0</v>
      </c>
      <c r="AF2287" s="28"/>
      <c r="AG2287" s="28" t="n">
        <f aca="false">AF2287*$M2287</f>
        <v>0</v>
      </c>
      <c r="AH2287" s="28"/>
      <c r="AI2287" s="28" t="n">
        <f aca="false">AH2287*$M2287</f>
        <v>0</v>
      </c>
      <c r="AJ2287" s="28" t="n">
        <f aca="false">784564/100</f>
        <v>7845.64</v>
      </c>
      <c r="AK2287" s="28" t="n">
        <v>313826</v>
      </c>
      <c r="AL2287" s="28" t="n">
        <f aca="false">33500/100</f>
        <v>335</v>
      </c>
      <c r="AM2287" s="28" t="n">
        <v>13400</v>
      </c>
      <c r="AN2287" s="28"/>
      <c r="AO2287" s="28" t="n">
        <f aca="false">AN2287*$M2287</f>
        <v>0</v>
      </c>
      <c r="AP2287" s="28"/>
      <c r="AQ2287" s="28" t="n">
        <f aca="false">AP2287*$M2287</f>
        <v>0</v>
      </c>
      <c r="AR2287" s="28"/>
      <c r="AS2287" s="28" t="n">
        <f aca="false">AR2287*$M2287</f>
        <v>0</v>
      </c>
      <c r="AT2287" s="28"/>
      <c r="AU2287" s="28" t="n">
        <f aca="false">AT2287*$M2287</f>
        <v>0</v>
      </c>
      <c r="AV2287" s="28"/>
      <c r="AW2287" s="28" t="n">
        <f aca="false">AV2287*$M2287</f>
        <v>0</v>
      </c>
      <c r="AX2287" s="28"/>
      <c r="AY2287" s="28" t="n">
        <f aca="false">AX2287*$M2287</f>
        <v>0</v>
      </c>
      <c r="AZ2287" s="30" t="n">
        <f aca="false">818064/100</f>
        <v>8180.64</v>
      </c>
      <c r="BA2287" s="11" t="n">
        <v>327226</v>
      </c>
      <c r="BB2287" s="31" t="n">
        <f aca="false">SUM(Q2287,S2287,U2287,W2287,Y2287,AA2287,AC2287,AE2287,AG2287,AI2287,AK2287,AM2287,AO2287,AQ2287,AS2287,AU2287,AW2287,AY2287)</f>
        <v>327226</v>
      </c>
      <c r="BC2287" s="28" t="n">
        <f aca="false">BA2287-BB2287</f>
        <v>0</v>
      </c>
      <c r="BD2287" s="32" t="n">
        <f aca="false">SUM(P2287,R2287,T2287,V2287,X2287,Z2287,AB2287,AD2287,AF2287,AH2287,AJ2287,AL2287,AN2287,AP2287,AR2287,AT2287,AV2287,AX2287)</f>
        <v>8180.64</v>
      </c>
      <c r="BE2287" s="33" t="n">
        <f aca="false">AZ2287-BD2287</f>
        <v>0</v>
      </c>
      <c r="BF2287" s="34" t="n">
        <f aca="false">BD2287*M2287</f>
        <v>327225.6</v>
      </c>
      <c r="BG2287" s="35" t="n">
        <f aca="false">BA2287-BF2287</f>
        <v>0.399999999965075</v>
      </c>
      <c r="BH2287" s="19" t="str">
        <f aca="false">IF(BG2287=0,"",IF(BG2287&lt;&gt;BA2287,"erreur de calcul",IF(BD2287&lt;&gt;0,"pas de prix",IF(M2287&lt;&gt; 0,"pas de quantité","pas de prix, ni de quantité"))))</f>
        <v>erreur de calcul</v>
      </c>
      <c r="BI2287" s="19"/>
    </row>
    <row r="2288" customFormat="false" ht="15" hidden="false" customHeight="false" outlineLevel="0" collapsed="false">
      <c r="A2288" s="0" t="n">
        <v>16</v>
      </c>
      <c r="B2288" s="8" t="s">
        <v>24</v>
      </c>
      <c r="C2288" s="9" t="s">
        <v>25</v>
      </c>
      <c r="D2288" s="9" t="s">
        <v>26</v>
      </c>
      <c r="E2288" s="10" t="n">
        <v>1789</v>
      </c>
      <c r="F2288" s="9" t="s">
        <v>27</v>
      </c>
      <c r="G2288" s="9" t="s">
        <v>27</v>
      </c>
      <c r="H2288" s="11" t="n">
        <v>23</v>
      </c>
      <c r="I2288" s="11" t="s">
        <v>258</v>
      </c>
      <c r="J2288" s="14" t="n">
        <v>75</v>
      </c>
      <c r="K2288" s="14"/>
      <c r="L2288" s="16"/>
      <c r="M2288" s="27" t="n">
        <f aca="false">J2288+(K2288/20)+(L2288/240)</f>
        <v>75</v>
      </c>
      <c r="N2288" s="17" t="s">
        <v>64</v>
      </c>
      <c r="O2288" s="11"/>
      <c r="P2288" s="28"/>
      <c r="Q2288" s="28" t="n">
        <f aca="false">P2288*$M2288</f>
        <v>0</v>
      </c>
      <c r="R2288" s="28"/>
      <c r="S2288" s="28" t="n">
        <f aca="false">R2288*$M2288</f>
        <v>0</v>
      </c>
      <c r="T2288" s="28" t="n">
        <f aca="false">1000/100</f>
        <v>10</v>
      </c>
      <c r="U2288" s="28" t="n">
        <v>750</v>
      </c>
      <c r="V2288" s="28" t="n">
        <f aca="false">17232/100</f>
        <v>172.32</v>
      </c>
      <c r="W2288" s="28" t="n">
        <v>12924</v>
      </c>
      <c r="X2288" s="28" t="n">
        <f aca="false">942/100</f>
        <v>9.42</v>
      </c>
      <c r="Y2288" s="28" t="n">
        <v>706</v>
      </c>
      <c r="Z2288" s="28"/>
      <c r="AA2288" s="28" t="n">
        <f aca="false">Z2288*$M2288</f>
        <v>0</v>
      </c>
      <c r="AB2288" s="28" t="n">
        <f aca="false">415/100</f>
        <v>4.15</v>
      </c>
      <c r="AC2288" s="28" t="n">
        <v>311</v>
      </c>
      <c r="AD2288" s="28"/>
      <c r="AE2288" s="28" t="n">
        <f aca="false">AD2288*$M2288</f>
        <v>0</v>
      </c>
      <c r="AF2288" s="28"/>
      <c r="AG2288" s="28" t="n">
        <f aca="false">AF2288*$M2288</f>
        <v>0</v>
      </c>
      <c r="AH2288" s="28"/>
      <c r="AI2288" s="28" t="n">
        <f aca="false">AH2288*$M2288</f>
        <v>0</v>
      </c>
      <c r="AJ2288" s="28"/>
      <c r="AK2288" s="28" t="n">
        <f aca="false">AJ2288*$M2288</f>
        <v>0</v>
      </c>
      <c r="AL2288" s="28"/>
      <c r="AM2288" s="28" t="n">
        <f aca="false">AL2288*$M2288</f>
        <v>0</v>
      </c>
      <c r="AN2288" s="28"/>
      <c r="AO2288" s="28" t="n">
        <f aca="false">AN2288*$M2288</f>
        <v>0</v>
      </c>
      <c r="AP2288" s="28"/>
      <c r="AQ2288" s="28" t="n">
        <f aca="false">AP2288*$M2288</f>
        <v>0</v>
      </c>
      <c r="AR2288" s="28"/>
      <c r="AS2288" s="28" t="n">
        <f aca="false">AR2288*$M2288</f>
        <v>0</v>
      </c>
      <c r="AT2288" s="28"/>
      <c r="AU2288" s="28" t="n">
        <f aca="false">AT2288*$M2288</f>
        <v>0</v>
      </c>
      <c r="AV2288" s="28"/>
      <c r="AW2288" s="28" t="n">
        <f aca="false">AV2288*$M2288</f>
        <v>0</v>
      </c>
      <c r="AX2288" s="28"/>
      <c r="AY2288" s="28" t="n">
        <f aca="false">AX2288*$M2288</f>
        <v>0</v>
      </c>
      <c r="AZ2288" s="30" t="n">
        <f aca="false">19589/100</f>
        <v>195.89</v>
      </c>
      <c r="BA2288" s="11" t="n">
        <v>14691</v>
      </c>
      <c r="BB2288" s="31" t="n">
        <f aca="false">SUM(Q2288,S2288,U2288,W2288,Y2288,AA2288,AC2288,AE2288,AG2288,AI2288,AK2288,AM2288,AO2288,AQ2288,AS2288,AU2288,AW2288,AY2288)</f>
        <v>14691</v>
      </c>
      <c r="BC2288" s="28" t="n">
        <f aca="false">BA2288-BB2288</f>
        <v>0</v>
      </c>
      <c r="BD2288" s="32" t="n">
        <f aca="false">SUM(P2288,R2288,T2288,V2288,X2288,Z2288,AB2288,AD2288,AF2288,AH2288,AJ2288,AL2288,AN2288,AP2288,AR2288,AT2288,AV2288,AX2288)</f>
        <v>195.89</v>
      </c>
      <c r="BE2288" s="33" t="n">
        <f aca="false">AZ2288-BD2288</f>
        <v>0</v>
      </c>
      <c r="BF2288" s="34" t="n">
        <f aca="false">BD2288*M2288</f>
        <v>14691.75</v>
      </c>
      <c r="BG2288" s="35" t="n">
        <f aca="false">BA2288-BF2288</f>
        <v>-0.749999999998181</v>
      </c>
      <c r="BH2288" s="19" t="str">
        <f aca="false">IF(BG2288=0,"",IF(BG2288&lt;&gt;BA2288,"erreur de calcul",IF(BD2288&lt;&gt;0,"pas de prix",IF(M2288&lt;&gt; 0,"pas de quantité","pas de prix, ni de quantité"))))</f>
        <v>erreur de calcul</v>
      </c>
      <c r="BI2288" s="19"/>
    </row>
    <row r="2289" customFormat="false" ht="15" hidden="false" customHeight="false" outlineLevel="0" collapsed="false">
      <c r="A2289" s="0" t="n">
        <v>17</v>
      </c>
      <c r="B2289" s="8" t="s">
        <v>24</v>
      </c>
      <c r="C2289" s="9" t="s">
        <v>25</v>
      </c>
      <c r="D2289" s="9" t="s">
        <v>26</v>
      </c>
      <c r="E2289" s="10" t="n">
        <v>1789</v>
      </c>
      <c r="F2289" s="9" t="s">
        <v>27</v>
      </c>
      <c r="G2289" s="9" t="s">
        <v>27</v>
      </c>
      <c r="H2289" s="11" t="n">
        <v>23</v>
      </c>
      <c r="I2289" s="11" t="s">
        <v>259</v>
      </c>
      <c r="J2289" s="14"/>
      <c r="K2289" s="14"/>
      <c r="L2289" s="16"/>
      <c r="M2289" s="27" t="n">
        <f aca="false">J2289+(K2289/20)+(L2289/240)</f>
        <v>0</v>
      </c>
      <c r="N2289" s="17"/>
      <c r="O2289" s="11"/>
      <c r="P2289" s="28"/>
      <c r="Q2289" s="28" t="n">
        <v>957</v>
      </c>
      <c r="R2289" s="28"/>
      <c r="S2289" s="28" t="n">
        <f aca="false">R2289*$M2289</f>
        <v>0</v>
      </c>
      <c r="T2289" s="28"/>
      <c r="U2289" s="28" t="n">
        <v>354</v>
      </c>
      <c r="V2289" s="28"/>
      <c r="W2289" s="28" t="n">
        <v>398</v>
      </c>
      <c r="X2289" s="28"/>
      <c r="Y2289" s="28" t="n">
        <v>685</v>
      </c>
      <c r="Z2289" s="28"/>
      <c r="AA2289" s="28" t="n">
        <v>120</v>
      </c>
      <c r="AB2289" s="28"/>
      <c r="AC2289" s="28" t="n">
        <v>2994</v>
      </c>
      <c r="AD2289" s="28"/>
      <c r="AE2289" s="28" t="n">
        <f aca="false">AD2289*$M2289</f>
        <v>0</v>
      </c>
      <c r="AF2289" s="28"/>
      <c r="AG2289" s="28" t="n">
        <f aca="false">AF2289*$M2289</f>
        <v>0</v>
      </c>
      <c r="AH2289" s="28"/>
      <c r="AI2289" s="28" t="n">
        <v>144</v>
      </c>
      <c r="AJ2289" s="28"/>
      <c r="AK2289" s="28" t="n">
        <f aca="false">AJ2289*$M2289</f>
        <v>0</v>
      </c>
      <c r="AL2289" s="28"/>
      <c r="AM2289" s="28" t="n">
        <f aca="false">AL2289*$M2289</f>
        <v>0</v>
      </c>
      <c r="AN2289" s="28"/>
      <c r="AO2289" s="28" t="n">
        <f aca="false">AN2289*$M2289</f>
        <v>0</v>
      </c>
      <c r="AP2289" s="28"/>
      <c r="AQ2289" s="28" t="n">
        <f aca="false">AP2289*$M2289</f>
        <v>0</v>
      </c>
      <c r="AR2289" s="28"/>
      <c r="AS2289" s="28" t="n">
        <f aca="false">AR2289*$M2289</f>
        <v>0</v>
      </c>
      <c r="AT2289" s="28"/>
      <c r="AU2289" s="28" t="n">
        <f aca="false">AT2289*$M2289</f>
        <v>0</v>
      </c>
      <c r="AV2289" s="28"/>
      <c r="AW2289" s="28" t="n">
        <f aca="false">AV2289*$M2289</f>
        <v>0</v>
      </c>
      <c r="AX2289" s="28"/>
      <c r="AY2289" s="28" t="n">
        <f aca="false">AX2289*$M2289</f>
        <v>0</v>
      </c>
      <c r="AZ2289" s="30"/>
      <c r="BA2289" s="11" t="n">
        <v>5652</v>
      </c>
      <c r="BB2289" s="31" t="n">
        <f aca="false">SUM(Q2289,S2289,U2289,W2289,Y2289,AA2289,AC2289,AE2289,AG2289,AI2289,AK2289,AM2289,AO2289,AQ2289,AS2289,AU2289,AW2289,AY2289)</f>
        <v>5652</v>
      </c>
      <c r="BC2289" s="28" t="n">
        <f aca="false">BA2289-BB2289</f>
        <v>0</v>
      </c>
      <c r="BD2289" s="32" t="n">
        <f aca="false">SUM(P2289,R2289,T2289,V2289,X2289,Z2289,AB2289,AD2289,AF2289,AH2289,AJ2289,AL2289,AN2289,AP2289,AR2289,AT2289,AV2289,AX2289)</f>
        <v>0</v>
      </c>
      <c r="BE2289" s="33" t="n">
        <f aca="false">AZ2289-BD2289</f>
        <v>0</v>
      </c>
      <c r="BF2289" s="34" t="n">
        <f aca="false">BD2289*M2289</f>
        <v>0</v>
      </c>
      <c r="BG2289" s="35" t="n">
        <f aca="false">BA2289-BF2289</f>
        <v>5652</v>
      </c>
      <c r="BH2289" s="19" t="str">
        <f aca="false">IF(BG2289=0,"",IF(BG2289&lt;&gt;BA2289,"erreur de calcul",IF(BD2289&lt;&gt;0,"pas de prix",IF(M2289&lt;&gt; 0,"pas de quantité","pas de prix, ni de quantité"))))</f>
        <v>pas de prix, ni de quantité</v>
      </c>
      <c r="BI2289" s="19"/>
    </row>
    <row r="2290" customFormat="false" ht="15" hidden="false" customHeight="false" outlineLevel="0" collapsed="false">
      <c r="A2290" s="0" t="n">
        <v>18</v>
      </c>
      <c r="B2290" s="8" t="s">
        <v>24</v>
      </c>
      <c r="C2290" s="9" t="s">
        <v>25</v>
      </c>
      <c r="D2290" s="9" t="s">
        <v>26</v>
      </c>
      <c r="E2290" s="10" t="n">
        <v>1789</v>
      </c>
      <c r="F2290" s="9" t="s">
        <v>27</v>
      </c>
      <c r="G2290" s="9" t="s">
        <v>27</v>
      </c>
      <c r="H2290" s="11" t="n">
        <v>23</v>
      </c>
      <c r="I2290" s="11" t="s">
        <v>260</v>
      </c>
      <c r="J2290" s="14" t="n">
        <v>88</v>
      </c>
      <c r="K2290" s="14"/>
      <c r="L2290" s="16"/>
      <c r="M2290" s="27" t="n">
        <f aca="false">J2290+(K2290/20)+(L2290/240)</f>
        <v>88</v>
      </c>
      <c r="N2290" s="17" t="s">
        <v>64</v>
      </c>
      <c r="O2290" s="11"/>
      <c r="P2290" s="28"/>
      <c r="Q2290" s="28" t="n">
        <f aca="false">P2290*$M2290</f>
        <v>0</v>
      </c>
      <c r="R2290" s="28"/>
      <c r="S2290" s="28" t="n">
        <f aca="false">R2290*$M2290</f>
        <v>0</v>
      </c>
      <c r="T2290" s="28"/>
      <c r="U2290" s="28" t="n">
        <f aca="false">T2290*$M2290</f>
        <v>0</v>
      </c>
      <c r="V2290" s="28" t="n">
        <f aca="false">21004/100</f>
        <v>210.04</v>
      </c>
      <c r="W2290" s="28" t="n">
        <v>18483</v>
      </c>
      <c r="X2290" s="28"/>
      <c r="Y2290" s="28" t="n">
        <f aca="false">X2290*$M2290</f>
        <v>0</v>
      </c>
      <c r="Z2290" s="28"/>
      <c r="AA2290" s="28" t="n">
        <f aca="false">Z2290*$M2290</f>
        <v>0</v>
      </c>
      <c r="AB2290" s="28"/>
      <c r="AC2290" s="28" t="n">
        <f aca="false">AB2290*$M2290</f>
        <v>0</v>
      </c>
      <c r="AD2290" s="28"/>
      <c r="AE2290" s="28" t="n">
        <f aca="false">AD2290*$M2290</f>
        <v>0</v>
      </c>
      <c r="AF2290" s="28"/>
      <c r="AG2290" s="28" t="n">
        <f aca="false">AF2290*$M2290</f>
        <v>0</v>
      </c>
      <c r="AH2290" s="28"/>
      <c r="AI2290" s="28" t="n">
        <f aca="false">AH2290*$M2290</f>
        <v>0</v>
      </c>
      <c r="AJ2290" s="28"/>
      <c r="AK2290" s="28" t="n">
        <f aca="false">AJ2290*$M2290</f>
        <v>0</v>
      </c>
      <c r="AL2290" s="28"/>
      <c r="AM2290" s="28" t="n">
        <f aca="false">AL2290*$M2290</f>
        <v>0</v>
      </c>
      <c r="AN2290" s="28"/>
      <c r="AO2290" s="28" t="n">
        <f aca="false">AN2290*$M2290</f>
        <v>0</v>
      </c>
      <c r="AP2290" s="28"/>
      <c r="AQ2290" s="28" t="n">
        <f aca="false">AP2290*$M2290</f>
        <v>0</v>
      </c>
      <c r="AR2290" s="28"/>
      <c r="AS2290" s="28" t="n">
        <f aca="false">AR2290*$M2290</f>
        <v>0</v>
      </c>
      <c r="AT2290" s="28"/>
      <c r="AU2290" s="28" t="n">
        <f aca="false">AT2290*$M2290</f>
        <v>0</v>
      </c>
      <c r="AV2290" s="28"/>
      <c r="AW2290" s="28" t="n">
        <f aca="false">AV2290*$M2290</f>
        <v>0</v>
      </c>
      <c r="AX2290" s="28"/>
      <c r="AY2290" s="28" t="n">
        <f aca="false">AX2290*$M2290</f>
        <v>0</v>
      </c>
      <c r="AZ2290" s="30" t="n">
        <f aca="false">21004/100</f>
        <v>210.04</v>
      </c>
      <c r="BA2290" s="11" t="n">
        <v>18483</v>
      </c>
      <c r="BB2290" s="31" t="n">
        <f aca="false">SUM(Q2290,S2290,U2290,W2290,Y2290,AA2290,AC2290,AE2290,AG2290,AI2290,AK2290,AM2290,AO2290,AQ2290,AS2290,AU2290,AW2290,AY2290)</f>
        <v>18483</v>
      </c>
      <c r="BC2290" s="28" t="n">
        <f aca="false">BA2290-BB2290</f>
        <v>0</v>
      </c>
      <c r="BD2290" s="32" t="n">
        <f aca="false">SUM(P2290,R2290,T2290,V2290,X2290,Z2290,AB2290,AD2290,AF2290,AH2290,AJ2290,AL2290,AN2290,AP2290,AR2290,AT2290,AV2290,AX2290)</f>
        <v>210.04</v>
      </c>
      <c r="BE2290" s="33" t="n">
        <f aca="false">AZ2290-BD2290</f>
        <v>0</v>
      </c>
      <c r="BF2290" s="34" t="n">
        <f aca="false">BD2290*M2290</f>
        <v>18483.52</v>
      </c>
      <c r="BG2290" s="35" t="n">
        <f aca="false">BA2290-BF2290</f>
        <v>-0.520000000000437</v>
      </c>
      <c r="BH2290" s="19" t="str">
        <f aca="false">IF(BG2290=0,"",IF(BG2290&lt;&gt;BA2290,"erreur de calcul",IF(BD2290&lt;&gt;0,"pas de prix",IF(M2290&lt;&gt; 0,"pas de quantité","pas de prix, ni de quantité"))))</f>
        <v>erreur de calcul</v>
      </c>
      <c r="BI2290" s="19"/>
    </row>
    <row r="2291" customFormat="false" ht="15" hidden="false" customHeight="false" outlineLevel="0" collapsed="false">
      <c r="A2291" s="0" t="n">
        <v>19</v>
      </c>
      <c r="B2291" s="8" t="s">
        <v>24</v>
      </c>
      <c r="C2291" s="9" t="s">
        <v>25</v>
      </c>
      <c r="D2291" s="9" t="s">
        <v>26</v>
      </c>
      <c r="E2291" s="10" t="n">
        <v>1789</v>
      </c>
      <c r="F2291" s="9" t="s">
        <v>27</v>
      </c>
      <c r="G2291" s="9" t="s">
        <v>27</v>
      </c>
      <c r="H2291" s="11" t="n">
        <v>23</v>
      </c>
      <c r="I2291" s="11" t="s">
        <v>261</v>
      </c>
      <c r="J2291" s="14" t="n">
        <v>35</v>
      </c>
      <c r="K2291" s="14"/>
      <c r="L2291" s="16"/>
      <c r="M2291" s="27" t="n">
        <f aca="false">J2291+(K2291/20)+(L2291/240)</f>
        <v>35</v>
      </c>
      <c r="N2291" s="17" t="s">
        <v>64</v>
      </c>
      <c r="O2291" s="11"/>
      <c r="P2291" s="28" t="n">
        <f aca="false">2877/100</f>
        <v>28.77</v>
      </c>
      <c r="Q2291" s="28" t="n">
        <v>1007</v>
      </c>
      <c r="R2291" s="28"/>
      <c r="S2291" s="28" t="n">
        <f aca="false">R2291*$M2291</f>
        <v>0</v>
      </c>
      <c r="T2291" s="28"/>
      <c r="U2291" s="28" t="n">
        <f aca="false">T2291*$M2291</f>
        <v>0</v>
      </c>
      <c r="V2291" s="28"/>
      <c r="W2291" s="28" t="n">
        <f aca="false">V2291*$M2291</f>
        <v>0</v>
      </c>
      <c r="X2291" s="28"/>
      <c r="Y2291" s="28" t="n">
        <f aca="false">X2291*$M2291</f>
        <v>0</v>
      </c>
      <c r="Z2291" s="28"/>
      <c r="AA2291" s="28" t="n">
        <f aca="false">Z2291*$M2291</f>
        <v>0</v>
      </c>
      <c r="AB2291" s="28"/>
      <c r="AC2291" s="28" t="n">
        <f aca="false">AB2291*$M2291</f>
        <v>0</v>
      </c>
      <c r="AD2291" s="28"/>
      <c r="AE2291" s="28" t="n">
        <f aca="false">AD2291*$M2291</f>
        <v>0</v>
      </c>
      <c r="AF2291" s="28"/>
      <c r="AG2291" s="28" t="n">
        <f aca="false">AF2291*$M2291</f>
        <v>0</v>
      </c>
      <c r="AH2291" s="28"/>
      <c r="AI2291" s="28" t="n">
        <f aca="false">AH2291*$M2291</f>
        <v>0</v>
      </c>
      <c r="AJ2291" s="28"/>
      <c r="AK2291" s="28" t="n">
        <f aca="false">AJ2291*$M2291</f>
        <v>0</v>
      </c>
      <c r="AL2291" s="28"/>
      <c r="AM2291" s="28" t="n">
        <f aca="false">AL2291*$M2291</f>
        <v>0</v>
      </c>
      <c r="AN2291" s="28"/>
      <c r="AO2291" s="28" t="n">
        <f aca="false">AN2291*$M2291</f>
        <v>0</v>
      </c>
      <c r="AP2291" s="28"/>
      <c r="AQ2291" s="28" t="n">
        <f aca="false">AP2291*$M2291</f>
        <v>0</v>
      </c>
      <c r="AR2291" s="28"/>
      <c r="AS2291" s="28" t="n">
        <f aca="false">AR2291*$M2291</f>
        <v>0</v>
      </c>
      <c r="AT2291" s="28"/>
      <c r="AU2291" s="28" t="n">
        <f aca="false">AT2291*$M2291</f>
        <v>0</v>
      </c>
      <c r="AV2291" s="28"/>
      <c r="AW2291" s="28" t="n">
        <f aca="false">AV2291*$M2291</f>
        <v>0</v>
      </c>
      <c r="AX2291" s="28"/>
      <c r="AY2291" s="28" t="n">
        <f aca="false">AX2291*$M2291</f>
        <v>0</v>
      </c>
      <c r="AZ2291" s="30" t="n">
        <f aca="false">2877/100</f>
        <v>28.77</v>
      </c>
      <c r="BA2291" s="11" t="n">
        <v>1007</v>
      </c>
      <c r="BB2291" s="31" t="n">
        <f aca="false">SUM(Q2291,S2291,U2291,W2291,Y2291,AA2291,AC2291,AE2291,AG2291,AI2291,AK2291,AM2291,AO2291,AQ2291,AS2291,AU2291,AW2291,AY2291)</f>
        <v>1007</v>
      </c>
      <c r="BC2291" s="28" t="n">
        <f aca="false">BA2291-BB2291</f>
        <v>0</v>
      </c>
      <c r="BD2291" s="32" t="n">
        <f aca="false">SUM(P2291,R2291,T2291,V2291,X2291,Z2291,AB2291,AD2291,AF2291,AH2291,AJ2291,AL2291,AN2291,AP2291,AR2291,AT2291,AV2291,AX2291)</f>
        <v>28.77</v>
      </c>
      <c r="BE2291" s="33" t="n">
        <f aca="false">AZ2291-BD2291</f>
        <v>0</v>
      </c>
      <c r="BF2291" s="34" t="n">
        <f aca="false">BD2291*M2291</f>
        <v>1006.95</v>
      </c>
      <c r="BG2291" s="35" t="n">
        <f aca="false">BA2291-BF2291</f>
        <v>0.0500000000000682</v>
      </c>
      <c r="BH2291" s="19" t="str">
        <f aca="false">IF(BG2291=0,"",IF(BG2291&lt;&gt;BA2291,"erreur de calcul",IF(BD2291&lt;&gt;0,"pas de prix",IF(M2291&lt;&gt; 0,"pas de quantité","pas de prix, ni de quantité"))))</f>
        <v>erreur de calcul</v>
      </c>
      <c r="BI2291" s="19"/>
    </row>
    <row r="2292" customFormat="false" ht="15" hidden="false" customHeight="false" outlineLevel="0" collapsed="false">
      <c r="A2292" s="0" t="n">
        <v>20</v>
      </c>
      <c r="B2292" s="8" t="s">
        <v>24</v>
      </c>
      <c r="C2292" s="9" t="s">
        <v>25</v>
      </c>
      <c r="D2292" s="9" t="s">
        <v>26</v>
      </c>
      <c r="E2292" s="10" t="n">
        <v>1789</v>
      </c>
      <c r="F2292" s="9" t="s">
        <v>27</v>
      </c>
      <c r="G2292" s="9" t="s">
        <v>27</v>
      </c>
      <c r="H2292" s="11" t="n">
        <v>23</v>
      </c>
      <c r="I2292" s="11" t="s">
        <v>262</v>
      </c>
      <c r="J2292" s="14" t="n">
        <v>40</v>
      </c>
      <c r="K2292" s="14"/>
      <c r="L2292" s="16"/>
      <c r="M2292" s="27" t="n">
        <f aca="false">J2292+(K2292/20)+(L2292/240)</f>
        <v>40</v>
      </c>
      <c r="N2292" s="17" t="s">
        <v>64</v>
      </c>
      <c r="O2292" s="11"/>
      <c r="P2292" s="28"/>
      <c r="Q2292" s="28" t="n">
        <f aca="false">P2292*$M2292</f>
        <v>0</v>
      </c>
      <c r="R2292" s="28"/>
      <c r="S2292" s="28" t="n">
        <f aca="false">R2292*$M2292</f>
        <v>0</v>
      </c>
      <c r="T2292" s="28"/>
      <c r="U2292" s="28" t="n">
        <f aca="false">T2292*$M2292</f>
        <v>0</v>
      </c>
      <c r="V2292" s="28"/>
      <c r="W2292" s="28" t="n">
        <f aca="false">V2292*$M2292</f>
        <v>0</v>
      </c>
      <c r="X2292" s="28"/>
      <c r="Y2292" s="28" t="n">
        <f aca="false">X2292*$M2292</f>
        <v>0</v>
      </c>
      <c r="Z2292" s="28"/>
      <c r="AA2292" s="28" t="n">
        <f aca="false">Z2292*$M2292</f>
        <v>0</v>
      </c>
      <c r="AB2292" s="28"/>
      <c r="AC2292" s="28" t="n">
        <f aca="false">AB2292*$M2292</f>
        <v>0</v>
      </c>
      <c r="AD2292" s="28"/>
      <c r="AE2292" s="28" t="n">
        <f aca="false">AD2292*$M2292</f>
        <v>0</v>
      </c>
      <c r="AF2292" s="28" t="n">
        <f aca="false">108620/100</f>
        <v>1086.2</v>
      </c>
      <c r="AG2292" s="28" t="n">
        <v>43448</v>
      </c>
      <c r="AH2292" s="28"/>
      <c r="AI2292" s="28" t="n">
        <f aca="false">AH2292*$M2292</f>
        <v>0</v>
      </c>
      <c r="AJ2292" s="28"/>
      <c r="AK2292" s="28" t="n">
        <f aca="false">AJ2292*$M2292</f>
        <v>0</v>
      </c>
      <c r="AL2292" s="28"/>
      <c r="AM2292" s="28" t="n">
        <f aca="false">AL2292*$M2292</f>
        <v>0</v>
      </c>
      <c r="AN2292" s="28"/>
      <c r="AO2292" s="28" t="n">
        <f aca="false">AN2292*$M2292</f>
        <v>0</v>
      </c>
      <c r="AP2292" s="28"/>
      <c r="AQ2292" s="28" t="n">
        <f aca="false">AP2292*$M2292</f>
        <v>0</v>
      </c>
      <c r="AR2292" s="28"/>
      <c r="AS2292" s="28" t="n">
        <f aca="false">AR2292*$M2292</f>
        <v>0</v>
      </c>
      <c r="AT2292" s="28"/>
      <c r="AU2292" s="28" t="n">
        <f aca="false">AT2292*$M2292</f>
        <v>0</v>
      </c>
      <c r="AV2292" s="28"/>
      <c r="AW2292" s="28" t="n">
        <f aca="false">AV2292*$M2292</f>
        <v>0</v>
      </c>
      <c r="AX2292" s="28"/>
      <c r="AY2292" s="28" t="n">
        <f aca="false">AX2292*$M2292</f>
        <v>0</v>
      </c>
      <c r="AZ2292" s="30" t="n">
        <f aca="false">108620/100</f>
        <v>1086.2</v>
      </c>
      <c r="BA2292" s="11" t="n">
        <v>43448</v>
      </c>
      <c r="BB2292" s="31" t="n">
        <f aca="false">SUM(Q2292,S2292,U2292,W2292,Y2292,AA2292,AC2292,AE2292,AG2292,AI2292,AK2292,AM2292,AO2292,AQ2292,AS2292,AU2292,AW2292,AY2292)</f>
        <v>43448</v>
      </c>
      <c r="BC2292" s="28" t="n">
        <f aca="false">BA2292-BB2292</f>
        <v>0</v>
      </c>
      <c r="BD2292" s="32" t="n">
        <f aca="false">SUM(P2292,R2292,T2292,V2292,X2292,Z2292,AB2292,AD2292,AF2292,AH2292,AJ2292,AL2292,AN2292,AP2292,AR2292,AT2292,AV2292,AX2292)</f>
        <v>1086.2</v>
      </c>
      <c r="BE2292" s="33" t="n">
        <f aca="false">AZ2292-BD2292</f>
        <v>0</v>
      </c>
      <c r="BF2292" s="34" t="n">
        <f aca="false">BD2292*M2292</f>
        <v>43448</v>
      </c>
      <c r="BG2292" s="35" t="n">
        <f aca="false">BA2292-BF2292</f>
        <v>0</v>
      </c>
      <c r="BH2292" s="19" t="str">
        <f aca="false">IF(BG2292=0,"",IF(BG2292&lt;&gt;BA2292,"erreur de calcul",IF(BD2292&lt;&gt;0,"pas de prix",IF(M2292&lt;&gt; 0,"pas de quantité","pas de prix, ni de quantité"))))</f>
        <v/>
      </c>
      <c r="BI2292" s="19"/>
    </row>
    <row r="2293" customFormat="false" ht="15" hidden="false" customHeight="false" outlineLevel="0" collapsed="false">
      <c r="A2293" s="0" t="n">
        <v>21</v>
      </c>
      <c r="B2293" s="8" t="s">
        <v>24</v>
      </c>
      <c r="C2293" s="9" t="s">
        <v>25</v>
      </c>
      <c r="D2293" s="9" t="s">
        <v>26</v>
      </c>
      <c r="E2293" s="10" t="n">
        <v>1789</v>
      </c>
      <c r="F2293" s="9" t="s">
        <v>27</v>
      </c>
      <c r="G2293" s="9" t="s">
        <v>27</v>
      </c>
      <c r="H2293" s="11" t="n">
        <v>23</v>
      </c>
      <c r="I2293" s="11" t="s">
        <v>263</v>
      </c>
      <c r="J2293" s="14" t="n">
        <v>12</v>
      </c>
      <c r="K2293" s="14"/>
      <c r="L2293" s="16"/>
      <c r="M2293" s="27" t="n">
        <f aca="false">J2293+(K2293/20)+(L2293/240)</f>
        <v>12</v>
      </c>
      <c r="N2293" s="17" t="s">
        <v>64</v>
      </c>
      <c r="O2293" s="11"/>
      <c r="P2293" s="28"/>
      <c r="Q2293" s="28" t="n">
        <f aca="false">P2293*$M2293</f>
        <v>0</v>
      </c>
      <c r="R2293" s="28"/>
      <c r="S2293" s="28" t="n">
        <f aca="false">R2293*$M2293</f>
        <v>0</v>
      </c>
      <c r="T2293" s="28"/>
      <c r="U2293" s="28" t="n">
        <f aca="false">T2293*$M2293</f>
        <v>0</v>
      </c>
      <c r="V2293" s="28"/>
      <c r="W2293" s="28" t="n">
        <f aca="false">V2293*$M2293</f>
        <v>0</v>
      </c>
      <c r="X2293" s="28"/>
      <c r="Y2293" s="28" t="n">
        <f aca="false">X2293*$M2293</f>
        <v>0</v>
      </c>
      <c r="Z2293" s="28"/>
      <c r="AA2293" s="28" t="n">
        <f aca="false">Z2293*$M2293</f>
        <v>0</v>
      </c>
      <c r="AB2293" s="28" t="n">
        <f aca="false">485726/100</f>
        <v>4857.26</v>
      </c>
      <c r="AC2293" s="28" t="n">
        <v>58287</v>
      </c>
      <c r="AD2293" s="28"/>
      <c r="AE2293" s="28" t="n">
        <f aca="false">AD2293*$M2293</f>
        <v>0</v>
      </c>
      <c r="AF2293" s="28"/>
      <c r="AG2293" s="28" t="n">
        <f aca="false">AF2293*$M2293</f>
        <v>0</v>
      </c>
      <c r="AH2293" s="28" t="n">
        <f aca="false">259291/100</f>
        <v>2592.91</v>
      </c>
      <c r="AI2293" s="28" t="n">
        <v>31115</v>
      </c>
      <c r="AJ2293" s="28"/>
      <c r="AK2293" s="28" t="n">
        <f aca="false">AJ2293*$M2293</f>
        <v>0</v>
      </c>
      <c r="AL2293" s="28"/>
      <c r="AM2293" s="28" t="n">
        <f aca="false">AL2293*$M2293</f>
        <v>0</v>
      </c>
      <c r="AN2293" s="28"/>
      <c r="AO2293" s="28" t="n">
        <f aca="false">AN2293*$M2293</f>
        <v>0</v>
      </c>
      <c r="AP2293" s="28"/>
      <c r="AQ2293" s="28" t="n">
        <f aca="false">AP2293*$M2293</f>
        <v>0</v>
      </c>
      <c r="AR2293" s="28"/>
      <c r="AS2293" s="28" t="n">
        <f aca="false">AR2293*$M2293</f>
        <v>0</v>
      </c>
      <c r="AT2293" s="28"/>
      <c r="AU2293" s="28" t="n">
        <f aca="false">AT2293*$M2293</f>
        <v>0</v>
      </c>
      <c r="AV2293" s="28"/>
      <c r="AW2293" s="28" t="n">
        <f aca="false">AV2293*$M2293</f>
        <v>0</v>
      </c>
      <c r="AX2293" s="28"/>
      <c r="AY2293" s="28" t="n">
        <f aca="false">AX2293*$M2293</f>
        <v>0</v>
      </c>
      <c r="AZ2293" s="30" t="n">
        <f aca="false">745017/100</f>
        <v>7450.17</v>
      </c>
      <c r="BA2293" s="11" t="n">
        <v>89402</v>
      </c>
      <c r="BB2293" s="31" t="n">
        <f aca="false">SUM(Q2293,S2293,U2293,W2293,Y2293,AA2293,AC2293,AE2293,AG2293,AI2293,AK2293,AM2293,AO2293,AQ2293,AS2293,AU2293,AW2293,AY2293)</f>
        <v>89402</v>
      </c>
      <c r="BC2293" s="28" t="n">
        <f aca="false">BA2293-BB2293</f>
        <v>0</v>
      </c>
      <c r="BD2293" s="32" t="n">
        <f aca="false">SUM(P2293,R2293,T2293,V2293,X2293,Z2293,AB2293,AD2293,AF2293,AH2293,AJ2293,AL2293,AN2293,AP2293,AR2293,AT2293,AV2293,AX2293)</f>
        <v>7450.17</v>
      </c>
      <c r="BE2293" s="33" t="n">
        <f aca="false">AZ2293-BD2293</f>
        <v>0</v>
      </c>
      <c r="BF2293" s="34" t="n">
        <f aca="false">BD2293*M2293</f>
        <v>89402.04</v>
      </c>
      <c r="BG2293" s="35" t="n">
        <f aca="false">BA2293-BF2293</f>
        <v>-0.0400000000081491</v>
      </c>
      <c r="BH2293" s="19" t="str">
        <f aca="false">IF(BG2293=0,"",IF(BG2293&lt;&gt;BA2293,"erreur de calcul",IF(BD2293&lt;&gt;0,"pas de prix",IF(M2293&lt;&gt; 0,"pas de quantité","pas de prix, ni de quantité"))))</f>
        <v>erreur de calcul</v>
      </c>
      <c r="BI2293" s="19"/>
    </row>
    <row r="2294" customFormat="false" ht="15" hidden="false" customHeight="false" outlineLevel="0" collapsed="false">
      <c r="A2294" s="0" t="n">
        <v>22</v>
      </c>
      <c r="B2294" s="8" t="s">
        <v>24</v>
      </c>
      <c r="C2294" s="9" t="s">
        <v>25</v>
      </c>
      <c r="D2294" s="9" t="s">
        <v>26</v>
      </c>
      <c r="E2294" s="10" t="n">
        <v>1789</v>
      </c>
      <c r="F2294" s="9" t="s">
        <v>27</v>
      </c>
      <c r="G2294" s="9" t="s">
        <v>27</v>
      </c>
      <c r="H2294" s="11" t="n">
        <v>23</v>
      </c>
      <c r="I2294" s="11" t="s">
        <v>264</v>
      </c>
      <c r="J2294" s="14" t="n">
        <v>15</v>
      </c>
      <c r="K2294" s="14"/>
      <c r="L2294" s="16"/>
      <c r="M2294" s="27" t="n">
        <f aca="false">J2294+(K2294/20)+(L2294/240)</f>
        <v>15</v>
      </c>
      <c r="N2294" s="17" t="s">
        <v>64</v>
      </c>
      <c r="O2294" s="11"/>
      <c r="P2294" s="28"/>
      <c r="Q2294" s="28" t="n">
        <f aca="false">P2294*$M2294</f>
        <v>0</v>
      </c>
      <c r="R2294" s="28"/>
      <c r="S2294" s="28" t="n">
        <f aca="false">R2294*$M2294</f>
        <v>0</v>
      </c>
      <c r="T2294" s="28"/>
      <c r="U2294" s="28" t="n">
        <f aca="false">T2294*$M2294</f>
        <v>0</v>
      </c>
      <c r="V2294" s="28"/>
      <c r="W2294" s="28" t="n">
        <f aca="false">V2294*$M2294</f>
        <v>0</v>
      </c>
      <c r="X2294" s="28" t="n">
        <f aca="false">65502/100</f>
        <v>655.02</v>
      </c>
      <c r="Y2294" s="28" t="n">
        <v>9825</v>
      </c>
      <c r="Z2294" s="28"/>
      <c r="AA2294" s="28" t="n">
        <f aca="false">Z2294*$M2294</f>
        <v>0</v>
      </c>
      <c r="AB2294" s="28" t="n">
        <f aca="false">207046/100</f>
        <v>2070.46</v>
      </c>
      <c r="AC2294" s="28" t="n">
        <v>31057</v>
      </c>
      <c r="AD2294" s="28"/>
      <c r="AE2294" s="28" t="n">
        <f aca="false">AD2294*$M2294</f>
        <v>0</v>
      </c>
      <c r="AF2294" s="28"/>
      <c r="AG2294" s="28" t="n">
        <f aca="false">AF2294*$M2294</f>
        <v>0</v>
      </c>
      <c r="AH2294" s="28" t="n">
        <f aca="false">11048/100</f>
        <v>110.48</v>
      </c>
      <c r="AI2294" s="28" t="n">
        <v>1657</v>
      </c>
      <c r="AJ2294" s="28"/>
      <c r="AK2294" s="28" t="n">
        <f aca="false">AJ2294*$M2294</f>
        <v>0</v>
      </c>
      <c r="AL2294" s="28"/>
      <c r="AM2294" s="28" t="n">
        <f aca="false">AL2294*$M2294</f>
        <v>0</v>
      </c>
      <c r="AN2294" s="28"/>
      <c r="AO2294" s="28" t="n">
        <f aca="false">AN2294*$M2294</f>
        <v>0</v>
      </c>
      <c r="AP2294" s="28"/>
      <c r="AQ2294" s="28" t="n">
        <f aca="false">AP2294*$M2294</f>
        <v>0</v>
      </c>
      <c r="AR2294" s="28"/>
      <c r="AS2294" s="28" t="n">
        <f aca="false">AR2294*$M2294</f>
        <v>0</v>
      </c>
      <c r="AT2294" s="28"/>
      <c r="AU2294" s="28" t="n">
        <f aca="false">AT2294*$M2294</f>
        <v>0</v>
      </c>
      <c r="AV2294" s="28"/>
      <c r="AW2294" s="28" t="n">
        <f aca="false">AV2294*$M2294</f>
        <v>0</v>
      </c>
      <c r="AX2294" s="28"/>
      <c r="AY2294" s="28" t="n">
        <f aca="false">AX2294*$M2294</f>
        <v>0</v>
      </c>
      <c r="AZ2294" s="30" t="n">
        <f aca="false">283596/100</f>
        <v>2835.96</v>
      </c>
      <c r="BA2294" s="11" t="n">
        <v>42539</v>
      </c>
      <c r="BB2294" s="31" t="n">
        <f aca="false">SUM(Q2294,S2294,U2294,W2294,Y2294,AA2294,AC2294,AE2294,AG2294,AI2294,AK2294,AM2294,AO2294,AQ2294,AS2294,AU2294,AW2294,AY2294)</f>
        <v>42539</v>
      </c>
      <c r="BC2294" s="28" t="n">
        <f aca="false">BA2294-BB2294</f>
        <v>0</v>
      </c>
      <c r="BD2294" s="32" t="n">
        <f aca="false">SUM(P2294,R2294,T2294,V2294,X2294,Z2294,AB2294,AD2294,AF2294,AH2294,AJ2294,AL2294,AN2294,AP2294,AR2294,AT2294,AV2294,AX2294)</f>
        <v>2835.96</v>
      </c>
      <c r="BE2294" s="33" t="n">
        <f aca="false">AZ2294-BD2294</f>
        <v>0</v>
      </c>
      <c r="BF2294" s="34" t="n">
        <f aca="false">BD2294*M2294</f>
        <v>42539.4</v>
      </c>
      <c r="BG2294" s="35" t="n">
        <f aca="false">BA2294-BF2294</f>
        <v>-0.400000000001455</v>
      </c>
      <c r="BH2294" s="19" t="str">
        <f aca="false">IF(BG2294=0,"",IF(BG2294&lt;&gt;BA2294,"erreur de calcul",IF(BD2294&lt;&gt;0,"pas de prix",IF(M2294&lt;&gt; 0,"pas de quantité","pas de prix, ni de quantité"))))</f>
        <v>erreur de calcul</v>
      </c>
      <c r="BI2294" s="19"/>
    </row>
    <row r="2295" customFormat="false" ht="15" hidden="false" customHeight="false" outlineLevel="0" collapsed="false">
      <c r="A2295" s="0" t="n">
        <v>23</v>
      </c>
      <c r="B2295" s="8" t="s">
        <v>24</v>
      </c>
      <c r="C2295" s="9" t="s">
        <v>25</v>
      </c>
      <c r="D2295" s="9" t="s">
        <v>26</v>
      </c>
      <c r="E2295" s="10" t="n">
        <v>1789</v>
      </c>
      <c r="F2295" s="9" t="s">
        <v>27</v>
      </c>
      <c r="G2295" s="9" t="s">
        <v>27</v>
      </c>
      <c r="H2295" s="11" t="n">
        <v>23</v>
      </c>
      <c r="I2295" s="11" t="s">
        <v>265</v>
      </c>
      <c r="J2295" s="14"/>
      <c r="K2295" s="14" t="n">
        <v>40</v>
      </c>
      <c r="L2295" s="16"/>
      <c r="M2295" s="27" t="n">
        <f aca="false">J2295+(K2295/20)+(L2295/240)</f>
        <v>2</v>
      </c>
      <c r="N2295" s="17" t="s">
        <v>66</v>
      </c>
      <c r="O2295" s="11"/>
      <c r="P2295" s="28"/>
      <c r="Q2295" s="28" t="n">
        <f aca="false">P2295*$M2295</f>
        <v>0</v>
      </c>
      <c r="R2295" s="28"/>
      <c r="S2295" s="28" t="n">
        <f aca="false">R2295*$M2295</f>
        <v>0</v>
      </c>
      <c r="T2295" s="28"/>
      <c r="U2295" s="28" t="n">
        <f aca="false">T2295*$M2295</f>
        <v>0</v>
      </c>
      <c r="V2295" s="28" t="n">
        <v>6275</v>
      </c>
      <c r="W2295" s="28" t="n">
        <v>12550</v>
      </c>
      <c r="X2295" s="28" t="n">
        <v>8662</v>
      </c>
      <c r="Y2295" s="28" t="n">
        <v>17324</v>
      </c>
      <c r="Z2295" s="28"/>
      <c r="AA2295" s="28" t="n">
        <f aca="false">Z2295*$M2295</f>
        <v>0</v>
      </c>
      <c r="AB2295" s="28" t="n">
        <v>2196</v>
      </c>
      <c r="AC2295" s="28" t="n">
        <v>4392</v>
      </c>
      <c r="AD2295" s="28"/>
      <c r="AE2295" s="28" t="n">
        <f aca="false">AD2295*$M2295</f>
        <v>0</v>
      </c>
      <c r="AF2295" s="28"/>
      <c r="AG2295" s="28" t="n">
        <f aca="false">AF2295*$M2295</f>
        <v>0</v>
      </c>
      <c r="AH2295" s="28"/>
      <c r="AI2295" s="28" t="n">
        <f aca="false">AH2295*$M2295</f>
        <v>0</v>
      </c>
      <c r="AJ2295" s="28"/>
      <c r="AK2295" s="28" t="n">
        <f aca="false">AJ2295*$M2295</f>
        <v>0</v>
      </c>
      <c r="AL2295" s="28"/>
      <c r="AM2295" s="28" t="n">
        <f aca="false">AL2295*$M2295</f>
        <v>0</v>
      </c>
      <c r="AN2295" s="28"/>
      <c r="AO2295" s="28" t="n">
        <f aca="false">AN2295*$M2295</f>
        <v>0</v>
      </c>
      <c r="AP2295" s="28"/>
      <c r="AQ2295" s="28" t="n">
        <f aca="false">AP2295*$M2295</f>
        <v>0</v>
      </c>
      <c r="AR2295" s="28"/>
      <c r="AS2295" s="28" t="n">
        <f aca="false">AR2295*$M2295</f>
        <v>0</v>
      </c>
      <c r="AT2295" s="28"/>
      <c r="AU2295" s="28" t="n">
        <f aca="false">AT2295*$M2295</f>
        <v>0</v>
      </c>
      <c r="AV2295" s="28"/>
      <c r="AW2295" s="28" t="n">
        <f aca="false">AV2295*$M2295</f>
        <v>0</v>
      </c>
      <c r="AX2295" s="28"/>
      <c r="AY2295" s="28" t="n">
        <f aca="false">AX2295*$M2295</f>
        <v>0</v>
      </c>
      <c r="AZ2295" s="30" t="n">
        <v>17133</v>
      </c>
      <c r="BA2295" s="11" t="n">
        <v>34266</v>
      </c>
      <c r="BB2295" s="31" t="n">
        <f aca="false">SUM(Q2295,S2295,U2295,W2295,Y2295,AA2295,AC2295,AE2295,AG2295,AI2295,AK2295,AM2295,AO2295,AQ2295,AS2295,AU2295,AW2295,AY2295)</f>
        <v>34266</v>
      </c>
      <c r="BC2295" s="28" t="n">
        <f aca="false">BA2295-BB2295</f>
        <v>0</v>
      </c>
      <c r="BD2295" s="32" t="n">
        <f aca="false">SUM(P2295,R2295,T2295,V2295,X2295,Z2295,AB2295,AD2295,AF2295,AH2295,AJ2295,AL2295,AN2295,AP2295,AR2295,AT2295,AV2295,AX2295)</f>
        <v>17133</v>
      </c>
      <c r="BE2295" s="33" t="n">
        <f aca="false">AZ2295-BD2295</f>
        <v>0</v>
      </c>
      <c r="BF2295" s="34" t="n">
        <f aca="false">BD2295*M2295</f>
        <v>34266</v>
      </c>
      <c r="BG2295" s="35" t="n">
        <f aca="false">BA2295-BF2295</f>
        <v>0</v>
      </c>
      <c r="BH2295" s="19" t="str">
        <f aca="false">IF(BG2295=0,"",IF(BG2295&lt;&gt;BA2295,"erreur de calcul",IF(BD2295&lt;&gt;0,"pas de prix",IF(M2295&lt;&gt; 0,"pas de quantité","pas de prix, ni de quantité"))))</f>
        <v/>
      </c>
      <c r="BI2295" s="19"/>
    </row>
    <row r="2296" customFormat="false" ht="15" hidden="false" customHeight="false" outlineLevel="0" collapsed="false">
      <c r="A2296" s="0" t="n">
        <v>24</v>
      </c>
      <c r="B2296" s="8" t="s">
        <v>24</v>
      </c>
      <c r="C2296" s="9" t="s">
        <v>25</v>
      </c>
      <c r="D2296" s="9" t="s">
        <v>26</v>
      </c>
      <c r="E2296" s="10" t="n">
        <v>1789</v>
      </c>
      <c r="F2296" s="9" t="s">
        <v>27</v>
      </c>
      <c r="G2296" s="9" t="s">
        <v>27</v>
      </c>
      <c r="H2296" s="11" t="n">
        <v>23</v>
      </c>
      <c r="I2296" s="11" t="s">
        <v>266</v>
      </c>
      <c r="J2296" s="14" t="n">
        <v>17</v>
      </c>
      <c r="K2296" s="14" t="n">
        <v>10</v>
      </c>
      <c r="L2296" s="16"/>
      <c r="M2296" s="27" t="n">
        <f aca="false">J2296+(K2296/20)+(L2296/240)</f>
        <v>17.5</v>
      </c>
      <c r="N2296" s="17" t="s">
        <v>64</v>
      </c>
      <c r="O2296" s="11"/>
      <c r="P2296" s="28" t="n">
        <f aca="false">147621/100</f>
        <v>1476.21</v>
      </c>
      <c r="Q2296" s="28" t="n">
        <v>25834</v>
      </c>
      <c r="R2296" s="28"/>
      <c r="S2296" s="28" t="n">
        <f aca="false">R2296*$M2296</f>
        <v>0</v>
      </c>
      <c r="T2296" s="28"/>
      <c r="U2296" s="28" t="n">
        <f aca="false">T2296*$M2296</f>
        <v>0</v>
      </c>
      <c r="V2296" s="28"/>
      <c r="W2296" s="28" t="n">
        <f aca="false">V2296*$M2296</f>
        <v>0</v>
      </c>
      <c r="X2296" s="28" t="n">
        <f aca="false">7220/100</f>
        <v>72.2</v>
      </c>
      <c r="Y2296" s="28" t="n">
        <v>1263</v>
      </c>
      <c r="Z2296" s="28"/>
      <c r="AA2296" s="28" t="n">
        <f aca="false">Z2296*$M2296</f>
        <v>0</v>
      </c>
      <c r="AB2296" s="28" t="n">
        <f aca="false">524444/100</f>
        <v>5244.44</v>
      </c>
      <c r="AC2296" s="36" t="n">
        <v>91767</v>
      </c>
      <c r="AD2296" s="28"/>
      <c r="AE2296" s="28" t="n">
        <f aca="false">AD2296*$M2296</f>
        <v>0</v>
      </c>
      <c r="AF2296" s="28"/>
      <c r="AG2296" s="28" t="n">
        <f aca="false">AF2296*$M2296</f>
        <v>0</v>
      </c>
      <c r="AH2296" s="28" t="n">
        <f aca="false">124394/100</f>
        <v>1243.94</v>
      </c>
      <c r="AI2296" s="28" t="n">
        <v>21769</v>
      </c>
      <c r="AJ2296" s="28"/>
      <c r="AK2296" s="28" t="n">
        <f aca="false">AJ2296*$M2296</f>
        <v>0</v>
      </c>
      <c r="AL2296" s="28"/>
      <c r="AM2296" s="28" t="n">
        <f aca="false">AL2296*$M2296</f>
        <v>0</v>
      </c>
      <c r="AN2296" s="28"/>
      <c r="AO2296" s="28" t="n">
        <f aca="false">AN2296*$M2296</f>
        <v>0</v>
      </c>
      <c r="AP2296" s="28"/>
      <c r="AQ2296" s="28" t="n">
        <f aca="false">AP2296*$M2296</f>
        <v>0</v>
      </c>
      <c r="AR2296" s="28"/>
      <c r="AS2296" s="28" t="n">
        <f aca="false">AR2296*$M2296</f>
        <v>0</v>
      </c>
      <c r="AT2296" s="28"/>
      <c r="AU2296" s="28" t="n">
        <f aca="false">AT2296*$M2296</f>
        <v>0</v>
      </c>
      <c r="AV2296" s="28"/>
      <c r="AW2296" s="28" t="n">
        <f aca="false">AV2296*$M2296</f>
        <v>0</v>
      </c>
      <c r="AX2296" s="28"/>
      <c r="AY2296" s="28" t="n">
        <f aca="false">AX2296*$M2296</f>
        <v>0</v>
      </c>
      <c r="AZ2296" s="30" t="n">
        <f aca="false">803679/100</f>
        <v>8036.79</v>
      </c>
      <c r="BA2296" s="11" t="n">
        <v>140633</v>
      </c>
      <c r="BB2296" s="31" t="n">
        <f aca="false">SUM(Q2296,S2296,U2296,W2296,Y2296,AA2296,AC2296,AE2296,AG2296,AI2296,AK2296,AM2296,AO2296,AQ2296,AS2296,AU2296,AW2296,AY2296)</f>
        <v>140633</v>
      </c>
      <c r="BC2296" s="28" t="n">
        <f aca="false">BA2296-BB2296</f>
        <v>0</v>
      </c>
      <c r="BD2296" s="32" t="n">
        <f aca="false">SUM(P2296,R2296,T2296,V2296,X2296,Z2296,AB2296,AD2296,AF2296,AH2296,AJ2296,AL2296,AN2296,AP2296,AR2296,AT2296,AV2296,AX2296)</f>
        <v>8036.79</v>
      </c>
      <c r="BE2296" s="33" t="n">
        <f aca="false">AZ2296-BD2296</f>
        <v>0</v>
      </c>
      <c r="BF2296" s="34" t="n">
        <f aca="false">BD2296*M2296</f>
        <v>140643.825</v>
      </c>
      <c r="BG2296" s="35" t="n">
        <f aca="false">BA2296-BF2296</f>
        <v>-10.8249999999825</v>
      </c>
      <c r="BH2296" s="19" t="str">
        <f aca="false">IF(BG2296=0,"",IF(BG2296&lt;&gt;BA2296,"erreur de calcul",IF(BD2296&lt;&gt;0,"pas de prix",IF(M2296&lt;&gt; 0,"pas de quantité","pas de prix, ni de quantité"))))</f>
        <v>erreur de calcul</v>
      </c>
      <c r="BI2296" s="19"/>
    </row>
    <row r="2297" customFormat="false" ht="15" hidden="false" customHeight="false" outlineLevel="0" collapsed="false">
      <c r="A2297" s="0" t="n">
        <v>25</v>
      </c>
      <c r="B2297" s="8" t="s">
        <v>24</v>
      </c>
      <c r="C2297" s="9" t="s">
        <v>25</v>
      </c>
      <c r="D2297" s="9" t="s">
        <v>26</v>
      </c>
      <c r="E2297" s="10" t="n">
        <v>1789</v>
      </c>
      <c r="F2297" s="9" t="s">
        <v>27</v>
      </c>
      <c r="G2297" s="9" t="s">
        <v>27</v>
      </c>
      <c r="H2297" s="11" t="n">
        <v>23</v>
      </c>
      <c r="I2297" s="11" t="s">
        <v>267</v>
      </c>
      <c r="J2297" s="14" t="n">
        <v>25</v>
      </c>
      <c r="K2297" s="14"/>
      <c r="L2297" s="16"/>
      <c r="M2297" s="27" t="n">
        <f aca="false">J2297+(K2297/20)+(L2297/240)</f>
        <v>25</v>
      </c>
      <c r="N2297" s="17" t="s">
        <v>64</v>
      </c>
      <c r="O2297" s="11"/>
      <c r="P2297" s="28"/>
      <c r="Q2297" s="28" t="n">
        <f aca="false">P2297*$M2297</f>
        <v>0</v>
      </c>
      <c r="R2297" s="28"/>
      <c r="S2297" s="28" t="n">
        <f aca="false">R2297*$M2297</f>
        <v>0</v>
      </c>
      <c r="T2297" s="28"/>
      <c r="U2297" s="28" t="n">
        <f aca="false">T2297*$M2297</f>
        <v>0</v>
      </c>
      <c r="V2297" s="28"/>
      <c r="W2297" s="28" t="n">
        <f aca="false">V2297*$M2297</f>
        <v>0</v>
      </c>
      <c r="X2297" s="28"/>
      <c r="Y2297" s="28" t="n">
        <f aca="false">X2297*$M2297</f>
        <v>0</v>
      </c>
      <c r="Z2297" s="28"/>
      <c r="AA2297" s="28" t="n">
        <f aca="false">Z2297*$M2297</f>
        <v>0</v>
      </c>
      <c r="AB2297" s="28" t="n">
        <f aca="false">136004/100</f>
        <v>1360.04</v>
      </c>
      <c r="AC2297" s="28" t="n">
        <v>34001</v>
      </c>
      <c r="AD2297" s="28"/>
      <c r="AE2297" s="28" t="n">
        <f aca="false">AD2297*$M2297</f>
        <v>0</v>
      </c>
      <c r="AF2297" s="28"/>
      <c r="AG2297" s="28" t="n">
        <f aca="false">AF2297*$M2297</f>
        <v>0</v>
      </c>
      <c r="AH2297" s="28" t="n">
        <f aca="false">173052/100</f>
        <v>1730.52</v>
      </c>
      <c r="AI2297" s="28" t="n">
        <v>43263</v>
      </c>
      <c r="AJ2297" s="28"/>
      <c r="AK2297" s="28" t="n">
        <f aca="false">AJ2297*$M2297</f>
        <v>0</v>
      </c>
      <c r="AL2297" s="28"/>
      <c r="AM2297" s="28" t="n">
        <f aca="false">AL2297*$M2297</f>
        <v>0</v>
      </c>
      <c r="AN2297" s="28"/>
      <c r="AO2297" s="28" t="n">
        <f aca="false">AN2297*$M2297</f>
        <v>0</v>
      </c>
      <c r="AP2297" s="28"/>
      <c r="AQ2297" s="28" t="n">
        <f aca="false">AP2297*$M2297</f>
        <v>0</v>
      </c>
      <c r="AR2297" s="28"/>
      <c r="AS2297" s="28" t="n">
        <f aca="false">AR2297*$M2297</f>
        <v>0</v>
      </c>
      <c r="AT2297" s="28"/>
      <c r="AU2297" s="28" t="n">
        <f aca="false">AT2297*$M2297</f>
        <v>0</v>
      </c>
      <c r="AV2297" s="28"/>
      <c r="AW2297" s="28" t="n">
        <f aca="false">AV2297*$M2297</f>
        <v>0</v>
      </c>
      <c r="AX2297" s="28"/>
      <c r="AY2297" s="28" t="n">
        <f aca="false">AX2297*$M2297</f>
        <v>0</v>
      </c>
      <c r="AZ2297" s="30" t="n">
        <f aca="false">309056/100</f>
        <v>3090.56</v>
      </c>
      <c r="BA2297" s="11" t="n">
        <v>77264</v>
      </c>
      <c r="BB2297" s="31" t="n">
        <f aca="false">SUM(Q2297,S2297,U2297,W2297,Y2297,AA2297,AC2297,AE2297,AG2297,AI2297,AK2297,AM2297,AO2297,AQ2297,AS2297,AU2297,AW2297,AY2297)</f>
        <v>77264</v>
      </c>
      <c r="BC2297" s="28" t="n">
        <f aca="false">BA2297-BB2297</f>
        <v>0</v>
      </c>
      <c r="BD2297" s="32" t="n">
        <f aca="false">SUM(P2297,R2297,T2297,V2297,X2297,Z2297,AB2297,AD2297,AF2297,AH2297,AJ2297,AL2297,AN2297,AP2297,AR2297,AT2297,AV2297,AX2297)</f>
        <v>3090.56</v>
      </c>
      <c r="BE2297" s="33" t="n">
        <f aca="false">AZ2297-BD2297</f>
        <v>0</v>
      </c>
      <c r="BF2297" s="34" t="n">
        <f aca="false">BD2297*M2297</f>
        <v>77264</v>
      </c>
      <c r="BG2297" s="35" t="n">
        <f aca="false">BA2297-BF2297</f>
        <v>0</v>
      </c>
      <c r="BH2297" s="19" t="str">
        <f aca="false">IF(BG2297=0,"",IF(BG2297&lt;&gt;BA2297,"erreur de calcul",IF(BD2297&lt;&gt;0,"pas de prix",IF(M2297&lt;&gt; 0,"pas de quantité","pas de prix, ni de quantité"))))</f>
        <v/>
      </c>
      <c r="BI2297" s="19"/>
    </row>
    <row r="2298" customFormat="false" ht="15" hidden="false" customHeight="false" outlineLevel="0" collapsed="false">
      <c r="A2298" s="0" t="n">
        <v>26</v>
      </c>
      <c r="B2298" s="8" t="s">
        <v>24</v>
      </c>
      <c r="C2298" s="9" t="s">
        <v>25</v>
      </c>
      <c r="D2298" s="9" t="s">
        <v>26</v>
      </c>
      <c r="E2298" s="10" t="n">
        <v>1789</v>
      </c>
      <c r="F2298" s="9" t="s">
        <v>27</v>
      </c>
      <c r="G2298" s="9" t="s">
        <v>27</v>
      </c>
      <c r="H2298" s="11" t="n">
        <v>23</v>
      </c>
      <c r="I2298" s="11" t="s">
        <v>268</v>
      </c>
      <c r="J2298" s="14" t="n">
        <v>8</v>
      </c>
      <c r="K2298" s="14"/>
      <c r="L2298" s="16"/>
      <c r="M2298" s="27" t="n">
        <f aca="false">J2298+(K2298/20)+(L2298/240)</f>
        <v>8</v>
      </c>
      <c r="N2298" s="17" t="s">
        <v>64</v>
      </c>
      <c r="O2298" s="11"/>
      <c r="P2298" s="28"/>
      <c r="Q2298" s="28" t="n">
        <f aca="false">P2298*$M2298</f>
        <v>0</v>
      </c>
      <c r="R2298" s="28"/>
      <c r="S2298" s="28" t="n">
        <f aca="false">R2298*$M2298</f>
        <v>0</v>
      </c>
      <c r="T2298" s="28" t="n">
        <f aca="false">260752/100</f>
        <v>2607.52</v>
      </c>
      <c r="U2298" s="28" t="n">
        <v>20860</v>
      </c>
      <c r="V2298" s="28" t="n">
        <f aca="false">170453/100</f>
        <v>1704.53</v>
      </c>
      <c r="W2298" s="28" t="n">
        <v>13636</v>
      </c>
      <c r="X2298" s="28"/>
      <c r="Y2298" s="28" t="n">
        <f aca="false">X2298*$M2298</f>
        <v>0</v>
      </c>
      <c r="Z2298" s="28"/>
      <c r="AA2298" s="28" t="n">
        <f aca="false">Z2298*$M2298</f>
        <v>0</v>
      </c>
      <c r="AB2298" s="28"/>
      <c r="AC2298" s="28" t="n">
        <f aca="false">AB2298*$M2298</f>
        <v>0</v>
      </c>
      <c r="AD2298" s="28"/>
      <c r="AE2298" s="28" t="n">
        <f aca="false">AD2298*$M2298</f>
        <v>0</v>
      </c>
      <c r="AF2298" s="28"/>
      <c r="AG2298" s="28" t="n">
        <f aca="false">AF2298*$M2298</f>
        <v>0</v>
      </c>
      <c r="AH2298" s="28"/>
      <c r="AI2298" s="28" t="n">
        <f aca="false">AH2298*$M2298</f>
        <v>0</v>
      </c>
      <c r="AJ2298" s="28"/>
      <c r="AK2298" s="28" t="n">
        <f aca="false">AJ2298*$M2298</f>
        <v>0</v>
      </c>
      <c r="AL2298" s="28"/>
      <c r="AM2298" s="28" t="n">
        <f aca="false">AL2298*$M2298</f>
        <v>0</v>
      </c>
      <c r="AN2298" s="28"/>
      <c r="AO2298" s="28" t="n">
        <f aca="false">AN2298*$M2298</f>
        <v>0</v>
      </c>
      <c r="AP2298" s="28"/>
      <c r="AQ2298" s="28" t="n">
        <f aca="false">AP2298*$M2298</f>
        <v>0</v>
      </c>
      <c r="AR2298" s="28"/>
      <c r="AS2298" s="28" t="n">
        <f aca="false">AR2298*$M2298</f>
        <v>0</v>
      </c>
      <c r="AT2298" s="28"/>
      <c r="AU2298" s="28" t="n">
        <f aca="false">AT2298*$M2298</f>
        <v>0</v>
      </c>
      <c r="AV2298" s="28"/>
      <c r="AW2298" s="28" t="n">
        <f aca="false">AV2298*$M2298</f>
        <v>0</v>
      </c>
      <c r="AX2298" s="28"/>
      <c r="AY2298" s="28" t="n">
        <f aca="false">AX2298*$M2298</f>
        <v>0</v>
      </c>
      <c r="AZ2298" s="30" t="n">
        <f aca="false">431205/100</f>
        <v>4312.05</v>
      </c>
      <c r="BA2298" s="11" t="n">
        <v>34496</v>
      </c>
      <c r="BB2298" s="31" t="n">
        <f aca="false">SUM(Q2298,S2298,U2298,W2298,Y2298,AA2298,AC2298,AE2298,AG2298,AI2298,AK2298,AM2298,AO2298,AQ2298,AS2298,AU2298,AW2298,AY2298)</f>
        <v>34496</v>
      </c>
      <c r="BC2298" s="28" t="n">
        <f aca="false">BA2298-BB2298</f>
        <v>0</v>
      </c>
      <c r="BD2298" s="32" t="n">
        <f aca="false">SUM(P2298,R2298,T2298,V2298,X2298,Z2298,AB2298,AD2298,AF2298,AH2298,AJ2298,AL2298,AN2298,AP2298,AR2298,AT2298,AV2298,AX2298)</f>
        <v>4312.05</v>
      </c>
      <c r="BE2298" s="33" t="n">
        <f aca="false">AZ2298-BD2298</f>
        <v>0</v>
      </c>
      <c r="BF2298" s="34" t="n">
        <f aca="false">BD2298*M2298</f>
        <v>34496.4</v>
      </c>
      <c r="BG2298" s="35" t="n">
        <f aca="false">BA2298-BF2298</f>
        <v>-0.400000000001455</v>
      </c>
      <c r="BH2298" s="19" t="str">
        <f aca="false">IF(BG2298=0,"",IF(BG2298&lt;&gt;BA2298,"erreur de calcul",IF(BD2298&lt;&gt;0,"pas de prix",IF(M2298&lt;&gt; 0,"pas de quantité","pas de prix, ni de quantité"))))</f>
        <v>erreur de calcul</v>
      </c>
      <c r="BI2298" s="19"/>
    </row>
    <row r="2299" customFormat="false" ht="15" hidden="false" customHeight="false" outlineLevel="0" collapsed="false">
      <c r="A2299" s="0" t="n">
        <v>27</v>
      </c>
      <c r="B2299" s="8" t="s">
        <v>24</v>
      </c>
      <c r="C2299" s="9" t="s">
        <v>25</v>
      </c>
      <c r="D2299" s="9" t="s">
        <v>26</v>
      </c>
      <c r="E2299" s="10" t="n">
        <v>1789</v>
      </c>
      <c r="F2299" s="9" t="s">
        <v>27</v>
      </c>
      <c r="G2299" s="9" t="s">
        <v>27</v>
      </c>
      <c r="H2299" s="11" t="n">
        <v>23</v>
      </c>
      <c r="I2299" s="11" t="s">
        <v>269</v>
      </c>
      <c r="J2299" s="14"/>
      <c r="K2299" s="14" t="n">
        <v>50</v>
      </c>
      <c r="L2299" s="16"/>
      <c r="M2299" s="27" t="n">
        <f aca="false">J2299+(K2299/20)+(L2299/240)</f>
        <v>2.5</v>
      </c>
      <c r="N2299" s="17" t="s">
        <v>85</v>
      </c>
      <c r="O2299" s="11"/>
      <c r="P2299" s="28"/>
      <c r="Q2299" s="28" t="n">
        <f aca="false">P2299*$M2299</f>
        <v>0</v>
      </c>
      <c r="R2299" s="28"/>
      <c r="S2299" s="28" t="n">
        <f aca="false">R2299*$M2299</f>
        <v>0</v>
      </c>
      <c r="T2299" s="28" t="n">
        <f aca="false">221150/100</f>
        <v>2211.5</v>
      </c>
      <c r="U2299" s="28" t="n">
        <v>5529</v>
      </c>
      <c r="V2299" s="28" t="n">
        <f aca="false">3922156/100</f>
        <v>39221.56</v>
      </c>
      <c r="W2299" s="28" t="n">
        <v>98054</v>
      </c>
      <c r="X2299" s="28"/>
      <c r="Y2299" s="28" t="n">
        <f aca="false">X2299*$M2299</f>
        <v>0</v>
      </c>
      <c r="Z2299" s="28"/>
      <c r="AA2299" s="28" t="n">
        <f aca="false">Z2299*$M2299</f>
        <v>0</v>
      </c>
      <c r="AB2299" s="28" t="n">
        <f aca="false">297900/100</f>
        <v>2979</v>
      </c>
      <c r="AC2299" s="28" t="n">
        <v>7447</v>
      </c>
      <c r="AD2299" s="28"/>
      <c r="AE2299" s="28" t="n">
        <f aca="false">AD2299*$M2299</f>
        <v>0</v>
      </c>
      <c r="AF2299" s="28"/>
      <c r="AG2299" s="28" t="n">
        <f aca="false">AF2299*$M2299</f>
        <v>0</v>
      </c>
      <c r="AH2299" s="28"/>
      <c r="AI2299" s="28" t="n">
        <f aca="false">AH2299*$M2299</f>
        <v>0</v>
      </c>
      <c r="AJ2299" s="28"/>
      <c r="AK2299" s="28" t="n">
        <f aca="false">AJ2299*$M2299</f>
        <v>0</v>
      </c>
      <c r="AL2299" s="28"/>
      <c r="AM2299" s="28" t="n">
        <f aca="false">AL2299*$M2299</f>
        <v>0</v>
      </c>
      <c r="AN2299" s="28"/>
      <c r="AO2299" s="28" t="n">
        <f aca="false">AN2299*$M2299</f>
        <v>0</v>
      </c>
      <c r="AP2299" s="28"/>
      <c r="AQ2299" s="28" t="n">
        <f aca="false">AP2299*$M2299</f>
        <v>0</v>
      </c>
      <c r="AR2299" s="28"/>
      <c r="AS2299" s="28" t="n">
        <f aca="false">AR2299*$M2299</f>
        <v>0</v>
      </c>
      <c r="AT2299" s="28"/>
      <c r="AU2299" s="28" t="n">
        <f aca="false">AT2299*$M2299</f>
        <v>0</v>
      </c>
      <c r="AV2299" s="28"/>
      <c r="AW2299" s="28" t="n">
        <f aca="false">AV2299*$M2299</f>
        <v>0</v>
      </c>
      <c r="AX2299" s="28"/>
      <c r="AY2299" s="28" t="n">
        <f aca="false">AX2299*$M2299</f>
        <v>0</v>
      </c>
      <c r="AZ2299" s="30" t="n">
        <f aca="false">4441206/100</f>
        <v>44412.06</v>
      </c>
      <c r="BA2299" s="11" t="n">
        <v>111030</v>
      </c>
      <c r="BB2299" s="31" t="n">
        <f aca="false">SUM(Q2299,S2299,U2299,W2299,Y2299,AA2299,AC2299,AE2299,AG2299,AI2299,AK2299,AM2299,AO2299,AQ2299,AS2299,AU2299,AW2299,AY2299)</f>
        <v>111030</v>
      </c>
      <c r="BC2299" s="28" t="n">
        <f aca="false">BA2299-BB2299</f>
        <v>0</v>
      </c>
      <c r="BD2299" s="32" t="n">
        <f aca="false">SUM(P2299,R2299,T2299,V2299,X2299,Z2299,AB2299,AD2299,AF2299,AH2299,AJ2299,AL2299,AN2299,AP2299,AR2299,AT2299,AV2299,AX2299)</f>
        <v>44412.06</v>
      </c>
      <c r="BE2299" s="33" t="n">
        <f aca="false">AZ2299-BD2299</f>
        <v>0</v>
      </c>
      <c r="BF2299" s="34" t="n">
        <f aca="false">BD2299*M2299</f>
        <v>111030.15</v>
      </c>
      <c r="BG2299" s="35" t="n">
        <f aca="false">BA2299-BF2299</f>
        <v>-0.149999999994179</v>
      </c>
      <c r="BH2299" s="19" t="str">
        <f aca="false">IF(BG2299=0,"",IF(BG2299&lt;&gt;BA2299,"erreur de calcul",IF(BD2299&lt;&gt;0,"pas de prix",IF(M2299&lt;&gt; 0,"pas de quantité","pas de prix, ni de quantité"))))</f>
        <v>erreur de calcul</v>
      </c>
      <c r="BI2299" s="19"/>
    </row>
    <row r="2300" customFormat="false" ht="15" hidden="false" customHeight="false" outlineLevel="0" collapsed="false">
      <c r="A2300" s="0" t="n">
        <v>28</v>
      </c>
      <c r="B2300" s="8" t="s">
        <v>24</v>
      </c>
      <c r="C2300" s="9" t="s">
        <v>25</v>
      </c>
      <c r="D2300" s="9" t="s">
        <v>26</v>
      </c>
      <c r="E2300" s="10" t="n">
        <v>1789</v>
      </c>
      <c r="F2300" s="9" t="s">
        <v>27</v>
      </c>
      <c r="G2300" s="9" t="s">
        <v>27</v>
      </c>
      <c r="H2300" s="11" t="n">
        <v>23</v>
      </c>
      <c r="I2300" s="11" t="s">
        <v>270</v>
      </c>
      <c r="J2300" s="14" t="n">
        <v>5</v>
      </c>
      <c r="K2300" s="14"/>
      <c r="L2300" s="16"/>
      <c r="M2300" s="27" t="n">
        <f aca="false">J2300+(K2300/20)+(L2300/240)</f>
        <v>5</v>
      </c>
      <c r="N2300" s="17" t="s">
        <v>85</v>
      </c>
      <c r="O2300" s="11"/>
      <c r="P2300" s="28" t="n">
        <f aca="false">328200/100</f>
        <v>3282</v>
      </c>
      <c r="Q2300" s="28" t="n">
        <v>16410</v>
      </c>
      <c r="R2300" s="28"/>
      <c r="S2300" s="28" t="n">
        <f aca="false">R2300*$M2300</f>
        <v>0</v>
      </c>
      <c r="T2300" s="28" t="n">
        <f aca="false">667000/100</f>
        <v>6670</v>
      </c>
      <c r="U2300" s="36" t="n">
        <v>33360</v>
      </c>
      <c r="V2300" s="28" t="n">
        <f aca="false">506800/100</f>
        <v>5068</v>
      </c>
      <c r="W2300" s="28" t="n">
        <v>25340</v>
      </c>
      <c r="X2300" s="28"/>
      <c r="Y2300" s="28" t="n">
        <f aca="false">X2300*$M2300</f>
        <v>0</v>
      </c>
      <c r="Z2300" s="28"/>
      <c r="AA2300" s="28" t="n">
        <f aca="false">Z2300*$M2300</f>
        <v>0</v>
      </c>
      <c r="AB2300" s="28"/>
      <c r="AC2300" s="28" t="n">
        <f aca="false">AB2300*$M2300</f>
        <v>0</v>
      </c>
      <c r="AD2300" s="28"/>
      <c r="AE2300" s="28" t="n">
        <f aca="false">AD2300*$M2300</f>
        <v>0</v>
      </c>
      <c r="AF2300" s="28"/>
      <c r="AG2300" s="28" t="n">
        <f aca="false">AF2300*$M2300</f>
        <v>0</v>
      </c>
      <c r="AH2300" s="28" t="n">
        <f aca="false">320500/100</f>
        <v>3205</v>
      </c>
      <c r="AI2300" s="28" t="n">
        <v>16025</v>
      </c>
      <c r="AJ2300" s="28"/>
      <c r="AK2300" s="28" t="n">
        <f aca="false">AJ2300*$M2300</f>
        <v>0</v>
      </c>
      <c r="AL2300" s="28"/>
      <c r="AM2300" s="28" t="n">
        <f aca="false">AL2300*$M2300</f>
        <v>0</v>
      </c>
      <c r="AN2300" s="28"/>
      <c r="AO2300" s="28" t="n">
        <f aca="false">AN2300*$M2300</f>
        <v>0</v>
      </c>
      <c r="AP2300" s="28"/>
      <c r="AQ2300" s="28" t="n">
        <f aca="false">AP2300*$M2300</f>
        <v>0</v>
      </c>
      <c r="AR2300" s="28"/>
      <c r="AS2300" s="28" t="n">
        <f aca="false">AR2300*$M2300</f>
        <v>0</v>
      </c>
      <c r="AT2300" s="28"/>
      <c r="AU2300" s="28" t="n">
        <f aca="false">AT2300*$M2300</f>
        <v>0</v>
      </c>
      <c r="AV2300" s="28"/>
      <c r="AW2300" s="28" t="n">
        <f aca="false">AV2300*$M2300</f>
        <v>0</v>
      </c>
      <c r="AX2300" s="28"/>
      <c r="AY2300" s="28" t="n">
        <f aca="false">AX2300*$M2300</f>
        <v>0</v>
      </c>
      <c r="AZ2300" s="30" t="n">
        <f aca="false">1822500/100</f>
        <v>18225</v>
      </c>
      <c r="BA2300" s="11" t="n">
        <v>91135</v>
      </c>
      <c r="BB2300" s="31" t="n">
        <f aca="false">SUM(Q2300,S2300,U2300,W2300,Y2300,AA2300,AC2300,AE2300,AG2300,AI2300,AK2300,AM2300,AO2300,AQ2300,AS2300,AU2300,AW2300,AY2300)</f>
        <v>91135</v>
      </c>
      <c r="BC2300" s="28" t="n">
        <f aca="false">BA2300-BB2300</f>
        <v>0</v>
      </c>
      <c r="BD2300" s="32" t="n">
        <f aca="false">SUM(P2300,R2300,T2300,V2300,X2300,Z2300,AB2300,AD2300,AF2300,AH2300,AJ2300,AL2300,AN2300,AP2300,AR2300,AT2300,AV2300,AX2300)</f>
        <v>18225</v>
      </c>
      <c r="BE2300" s="33" t="n">
        <f aca="false">AZ2300-BD2300</f>
        <v>0</v>
      </c>
      <c r="BF2300" s="34" t="n">
        <f aca="false">BD2300*M2300</f>
        <v>91125</v>
      </c>
      <c r="BG2300" s="35" t="n">
        <f aca="false">BA2300-BF2300</f>
        <v>10</v>
      </c>
      <c r="BH2300" s="19" t="str">
        <f aca="false">IF(BG2300=0,"",IF(BG2300&lt;&gt;BA2300,"erreur de calcul",IF(BD2300&lt;&gt;0,"pas de prix",IF(M2300&lt;&gt; 0,"pas de quantité","pas de prix, ni de quantité"))))</f>
        <v>erreur de calcul</v>
      </c>
      <c r="BI2300" s="19"/>
    </row>
    <row r="2301" customFormat="false" ht="15" hidden="false" customHeight="false" outlineLevel="0" collapsed="false">
      <c r="A2301" s="0" t="n">
        <v>29</v>
      </c>
      <c r="B2301" s="8" t="s">
        <v>24</v>
      </c>
      <c r="C2301" s="9" t="s">
        <v>25</v>
      </c>
      <c r="D2301" s="9" t="s">
        <v>26</v>
      </c>
      <c r="E2301" s="10" t="n">
        <v>1789</v>
      </c>
      <c r="F2301" s="9" t="s">
        <v>27</v>
      </c>
      <c r="G2301" s="9" t="s">
        <v>27</v>
      </c>
      <c r="H2301" s="11" t="n">
        <v>23</v>
      </c>
      <c r="I2301" s="11" t="s">
        <v>271</v>
      </c>
      <c r="J2301" s="14" t="n">
        <v>7</v>
      </c>
      <c r="K2301" s="14" t="n">
        <v>10</v>
      </c>
      <c r="L2301" s="16"/>
      <c r="M2301" s="27" t="n">
        <f aca="false">J2301+(K2301/20)+(L2301/240)</f>
        <v>7.5</v>
      </c>
      <c r="N2301" s="17" t="s">
        <v>64</v>
      </c>
      <c r="O2301" s="11"/>
      <c r="P2301" s="28"/>
      <c r="Q2301" s="28" t="n">
        <f aca="false">P2301*$M2301</f>
        <v>0</v>
      </c>
      <c r="R2301" s="28"/>
      <c r="S2301" s="28" t="n">
        <f aca="false">R2301*$M2301</f>
        <v>0</v>
      </c>
      <c r="T2301" s="28"/>
      <c r="U2301" s="28" t="n">
        <f aca="false">T2301*$M2301</f>
        <v>0</v>
      </c>
      <c r="V2301" s="28" t="n">
        <f aca="false">191888/100</f>
        <v>1918.88</v>
      </c>
      <c r="W2301" s="28" t="n">
        <v>14392</v>
      </c>
      <c r="X2301" s="28"/>
      <c r="Y2301" s="28" t="n">
        <f aca="false">X2301*$M2301</f>
        <v>0</v>
      </c>
      <c r="Z2301" s="28"/>
      <c r="AA2301" s="28" t="n">
        <f aca="false">Z2301*$M2301</f>
        <v>0</v>
      </c>
      <c r="AB2301" s="28"/>
      <c r="AC2301" s="28" t="n">
        <f aca="false">AB2301*$M2301</f>
        <v>0</v>
      </c>
      <c r="AD2301" s="28"/>
      <c r="AE2301" s="28" t="n">
        <f aca="false">AD2301*$M2301</f>
        <v>0</v>
      </c>
      <c r="AF2301" s="28"/>
      <c r="AG2301" s="28" t="n">
        <f aca="false">AF2301*$M2301</f>
        <v>0</v>
      </c>
      <c r="AH2301" s="28"/>
      <c r="AI2301" s="28" t="n">
        <f aca="false">AH2301*$M2301</f>
        <v>0</v>
      </c>
      <c r="AJ2301" s="28"/>
      <c r="AK2301" s="28" t="n">
        <f aca="false">AJ2301*$M2301</f>
        <v>0</v>
      </c>
      <c r="AL2301" s="28"/>
      <c r="AM2301" s="28" t="n">
        <f aca="false">AL2301*$M2301</f>
        <v>0</v>
      </c>
      <c r="AN2301" s="28"/>
      <c r="AO2301" s="28" t="n">
        <f aca="false">AN2301*$M2301</f>
        <v>0</v>
      </c>
      <c r="AP2301" s="28"/>
      <c r="AQ2301" s="28" t="n">
        <f aca="false">AP2301*$M2301</f>
        <v>0</v>
      </c>
      <c r="AR2301" s="28"/>
      <c r="AS2301" s="28" t="n">
        <f aca="false">AR2301*$M2301</f>
        <v>0</v>
      </c>
      <c r="AT2301" s="28"/>
      <c r="AU2301" s="28" t="n">
        <f aca="false">AT2301*$M2301</f>
        <v>0</v>
      </c>
      <c r="AV2301" s="28"/>
      <c r="AW2301" s="28" t="n">
        <f aca="false">AV2301*$M2301</f>
        <v>0</v>
      </c>
      <c r="AX2301" s="28"/>
      <c r="AY2301" s="28" t="n">
        <f aca="false">AX2301*$M2301</f>
        <v>0</v>
      </c>
      <c r="AZ2301" s="30" t="n">
        <f aca="false">191888/100</f>
        <v>1918.88</v>
      </c>
      <c r="BA2301" s="11" t="n">
        <v>14392</v>
      </c>
      <c r="BB2301" s="31" t="n">
        <f aca="false">SUM(Q2301,S2301,U2301,W2301,Y2301,AA2301,AC2301,AE2301,AG2301,AI2301,AK2301,AM2301,AO2301,AQ2301,AS2301,AU2301,AW2301,AY2301)</f>
        <v>14392</v>
      </c>
      <c r="BC2301" s="28" t="n">
        <f aca="false">BA2301-BB2301</f>
        <v>0</v>
      </c>
      <c r="BD2301" s="32" t="n">
        <f aca="false">SUM(P2301,R2301,T2301,V2301,X2301,Z2301,AB2301,AD2301,AF2301,AH2301,AJ2301,AL2301,AN2301,AP2301,AR2301,AT2301,AV2301,AX2301)</f>
        <v>1918.88</v>
      </c>
      <c r="BE2301" s="33" t="n">
        <f aca="false">AZ2301-BD2301</f>
        <v>0</v>
      </c>
      <c r="BF2301" s="34" t="n">
        <f aca="false">BD2301*M2301</f>
        <v>14391.6</v>
      </c>
      <c r="BG2301" s="35" t="n">
        <f aca="false">BA2301-BF2301</f>
        <v>0.399999999999636</v>
      </c>
      <c r="BH2301" s="19" t="str">
        <f aca="false">IF(BG2301=0,"",IF(BG2301&lt;&gt;BA2301,"erreur de calcul",IF(BD2301&lt;&gt;0,"pas de prix",IF(M2301&lt;&gt; 0,"pas de quantité","pas de prix, ni de quantité"))))</f>
        <v>erreur de calcul</v>
      </c>
      <c r="BI2301" s="19"/>
    </row>
    <row r="2302" customFormat="false" ht="15" hidden="false" customHeight="false" outlineLevel="0" collapsed="false">
      <c r="A2302" s="0" t="n">
        <v>30</v>
      </c>
      <c r="B2302" s="8" t="s">
        <v>24</v>
      </c>
      <c r="C2302" s="9" t="s">
        <v>25</v>
      </c>
      <c r="D2302" s="9" t="s">
        <v>26</v>
      </c>
      <c r="E2302" s="10" t="n">
        <v>1789</v>
      </c>
      <c r="F2302" s="9" t="s">
        <v>27</v>
      </c>
      <c r="G2302" s="9" t="s">
        <v>27</v>
      </c>
      <c r="H2302" s="11" t="n">
        <v>23</v>
      </c>
      <c r="I2302" s="11" t="s">
        <v>272</v>
      </c>
      <c r="J2302" s="14" t="n">
        <v>6</v>
      </c>
      <c r="K2302" s="14"/>
      <c r="L2302" s="16"/>
      <c r="M2302" s="27" t="n">
        <f aca="false">J2302+(K2302/20)+(L2302/240)</f>
        <v>6</v>
      </c>
      <c r="N2302" s="17" t="s">
        <v>64</v>
      </c>
      <c r="O2302" s="11"/>
      <c r="P2302" s="28"/>
      <c r="Q2302" s="28" t="n">
        <f aca="false">P2302*$M2302</f>
        <v>0</v>
      </c>
      <c r="R2302" s="28"/>
      <c r="S2302" s="28" t="n">
        <f aca="false">R2302*$M2302</f>
        <v>0</v>
      </c>
      <c r="T2302" s="28" t="n">
        <f aca="false">26711/100</f>
        <v>267.11</v>
      </c>
      <c r="U2302" s="28" t="n">
        <v>1603</v>
      </c>
      <c r="V2302" s="28" t="n">
        <f aca="false">790699/100</f>
        <v>7906.99</v>
      </c>
      <c r="W2302" s="28" t="n">
        <v>47442</v>
      </c>
      <c r="X2302" s="28" t="n">
        <f aca="false">50169/100</f>
        <v>501.69</v>
      </c>
      <c r="Y2302" s="28" t="n">
        <v>3010</v>
      </c>
      <c r="Z2302" s="28"/>
      <c r="AA2302" s="28" t="n">
        <f aca="false">Z2302*$M2302</f>
        <v>0</v>
      </c>
      <c r="AB2302" s="28"/>
      <c r="AC2302" s="28" t="n">
        <f aca="false">AB2302*$M2302</f>
        <v>0</v>
      </c>
      <c r="AD2302" s="28"/>
      <c r="AE2302" s="28" t="n">
        <f aca="false">AD2302*$M2302</f>
        <v>0</v>
      </c>
      <c r="AF2302" s="28"/>
      <c r="AG2302" s="28" t="n">
        <f aca="false">AF2302*$M2302</f>
        <v>0</v>
      </c>
      <c r="AH2302" s="28"/>
      <c r="AI2302" s="28" t="n">
        <f aca="false">AH2302*$M2302</f>
        <v>0</v>
      </c>
      <c r="AJ2302" s="28"/>
      <c r="AK2302" s="28" t="n">
        <f aca="false">AJ2302*$M2302</f>
        <v>0</v>
      </c>
      <c r="AL2302" s="28"/>
      <c r="AM2302" s="28" t="n">
        <f aca="false">AL2302*$M2302</f>
        <v>0</v>
      </c>
      <c r="AN2302" s="28"/>
      <c r="AO2302" s="28" t="n">
        <f aca="false">AN2302*$M2302</f>
        <v>0</v>
      </c>
      <c r="AP2302" s="28"/>
      <c r="AQ2302" s="28" t="n">
        <f aca="false">AP2302*$M2302</f>
        <v>0</v>
      </c>
      <c r="AR2302" s="28"/>
      <c r="AS2302" s="28" t="n">
        <f aca="false">AR2302*$M2302</f>
        <v>0</v>
      </c>
      <c r="AT2302" s="28"/>
      <c r="AU2302" s="28" t="n">
        <f aca="false">AT2302*$M2302</f>
        <v>0</v>
      </c>
      <c r="AV2302" s="28"/>
      <c r="AW2302" s="28" t="n">
        <f aca="false">AV2302*$M2302</f>
        <v>0</v>
      </c>
      <c r="AX2302" s="28"/>
      <c r="AY2302" s="28" t="n">
        <f aca="false">AX2302*$M2302</f>
        <v>0</v>
      </c>
      <c r="AZ2302" s="30" t="n">
        <f aca="false">867559/100</f>
        <v>8675.59</v>
      </c>
      <c r="BA2302" s="11" t="n">
        <v>52055</v>
      </c>
      <c r="BB2302" s="31" t="n">
        <f aca="false">SUM(Q2302,S2302,U2302,W2302,Y2302,AA2302,AC2302,AE2302,AG2302,AI2302,AK2302,AM2302,AO2302,AQ2302,AS2302,AU2302,AW2302,AY2302)</f>
        <v>52055</v>
      </c>
      <c r="BC2302" s="28" t="n">
        <f aca="false">BA2302-BB2302</f>
        <v>0</v>
      </c>
      <c r="BD2302" s="32" t="n">
        <f aca="false">SUM(P2302,R2302,T2302,V2302,X2302,Z2302,AB2302,AD2302,AF2302,AH2302,AJ2302,AL2302,AN2302,AP2302,AR2302,AT2302,AV2302,AX2302)</f>
        <v>8675.79</v>
      </c>
      <c r="BE2302" s="33" t="n">
        <f aca="false">AZ2302-BD2302</f>
        <v>-0.200000000000728</v>
      </c>
      <c r="BF2302" s="34" t="n">
        <f aca="false">BD2302*M2302</f>
        <v>52054.74</v>
      </c>
      <c r="BG2302" s="35" t="n">
        <f aca="false">BA2302-BF2302</f>
        <v>0.259999999994761</v>
      </c>
      <c r="BH2302" s="19" t="str">
        <f aca="false">IF(BG2302=0,"",IF(BG2302&lt;&gt;BA2302,"erreur de calcul",IF(BD2302&lt;&gt;0,"pas de prix",IF(M2302&lt;&gt; 0,"pas de quantité","pas de prix, ni de quantité"))))</f>
        <v>erreur de calcul</v>
      </c>
      <c r="BI2302" s="19"/>
    </row>
    <row r="2303" customFormat="false" ht="15" hidden="false" customHeight="false" outlineLevel="0" collapsed="false">
      <c r="A2303" s="0" t="n">
        <v>31</v>
      </c>
      <c r="B2303" s="8" t="s">
        <v>24</v>
      </c>
      <c r="C2303" s="9" t="s">
        <v>25</v>
      </c>
      <c r="D2303" s="9" t="s">
        <v>26</v>
      </c>
      <c r="E2303" s="10" t="n">
        <v>1789</v>
      </c>
      <c r="F2303" s="9" t="s">
        <v>27</v>
      </c>
      <c r="G2303" s="9" t="s">
        <v>27</v>
      </c>
      <c r="H2303" s="11" t="n">
        <v>23</v>
      </c>
      <c r="I2303" s="11" t="s">
        <v>273</v>
      </c>
      <c r="J2303" s="14" t="n">
        <v>8</v>
      </c>
      <c r="K2303" s="14"/>
      <c r="L2303" s="16"/>
      <c r="M2303" s="27" t="n">
        <f aca="false">J2303+(K2303/20)+(L2303/240)</f>
        <v>8</v>
      </c>
      <c r="N2303" s="17" t="s">
        <v>81</v>
      </c>
      <c r="O2303" s="11"/>
      <c r="P2303" s="28" t="n">
        <v>27</v>
      </c>
      <c r="Q2303" s="28" t="n">
        <v>216</v>
      </c>
      <c r="R2303" s="28"/>
      <c r="S2303" s="28" t="n">
        <f aca="false">R2303*$M2303</f>
        <v>0</v>
      </c>
      <c r="T2303" s="28"/>
      <c r="U2303" s="28" t="n">
        <f aca="false">T2303*$M2303</f>
        <v>0</v>
      </c>
      <c r="V2303" s="28" t="n">
        <v>40</v>
      </c>
      <c r="W2303" s="28" t="n">
        <v>320</v>
      </c>
      <c r="X2303" s="28"/>
      <c r="Y2303" s="28" t="n">
        <f aca="false">X2303*$M2303</f>
        <v>0</v>
      </c>
      <c r="Z2303" s="28"/>
      <c r="AA2303" s="28" t="n">
        <f aca="false">Z2303*$M2303</f>
        <v>0</v>
      </c>
      <c r="AB2303" s="28" t="n">
        <v>164</v>
      </c>
      <c r="AC2303" s="28" t="n">
        <v>1312</v>
      </c>
      <c r="AD2303" s="28"/>
      <c r="AE2303" s="28" t="n">
        <f aca="false">AD2303*$M2303</f>
        <v>0</v>
      </c>
      <c r="AF2303" s="28" t="n">
        <v>263</v>
      </c>
      <c r="AG2303" s="28" t="n">
        <v>2104</v>
      </c>
      <c r="AH2303" s="28"/>
      <c r="AI2303" s="28" t="n">
        <f aca="false">AH2303*$M2303</f>
        <v>0</v>
      </c>
      <c r="AJ2303" s="28"/>
      <c r="AK2303" s="28" t="n">
        <f aca="false">AJ2303*$M2303</f>
        <v>0</v>
      </c>
      <c r="AL2303" s="28"/>
      <c r="AM2303" s="28" t="n">
        <f aca="false">AL2303*$M2303</f>
        <v>0</v>
      </c>
      <c r="AN2303" s="28"/>
      <c r="AO2303" s="28" t="n">
        <f aca="false">AN2303*$M2303</f>
        <v>0</v>
      </c>
      <c r="AP2303" s="28" t="n">
        <v>278</v>
      </c>
      <c r="AQ2303" s="28" t="n">
        <v>2224</v>
      </c>
      <c r="AR2303" s="28"/>
      <c r="AS2303" s="28" t="n">
        <f aca="false">AR2303*$M2303</f>
        <v>0</v>
      </c>
      <c r="AT2303" s="28"/>
      <c r="AU2303" s="28" t="n">
        <f aca="false">AT2303*$M2303</f>
        <v>0</v>
      </c>
      <c r="AV2303" s="28"/>
      <c r="AW2303" s="28" t="n">
        <f aca="false">AV2303*$M2303</f>
        <v>0</v>
      </c>
      <c r="AX2303" s="28"/>
      <c r="AY2303" s="28" t="n">
        <f aca="false">AX2303*$M2303</f>
        <v>0</v>
      </c>
      <c r="AZ2303" s="30" t="n">
        <v>772</v>
      </c>
      <c r="BA2303" s="11" t="n">
        <v>6176</v>
      </c>
      <c r="BB2303" s="31" t="n">
        <f aca="false">SUM(Q2303,S2303,U2303,W2303,Y2303,AA2303,AC2303,AE2303,AG2303,AI2303,AK2303,AM2303,AO2303,AQ2303,AS2303,AU2303,AW2303,AY2303)</f>
        <v>6176</v>
      </c>
      <c r="BC2303" s="28" t="n">
        <f aca="false">BA2303-BB2303</f>
        <v>0</v>
      </c>
      <c r="BD2303" s="32" t="n">
        <f aca="false">SUM(P2303,R2303,T2303,V2303,X2303,Z2303,AB2303,AD2303,AF2303,AH2303,AJ2303,AL2303,AN2303,AP2303,AR2303,AT2303,AV2303,AX2303)</f>
        <v>772</v>
      </c>
      <c r="BE2303" s="33" t="n">
        <f aca="false">AZ2303-BD2303</f>
        <v>0</v>
      </c>
      <c r="BF2303" s="34" t="n">
        <f aca="false">BD2303*M2303</f>
        <v>6176</v>
      </c>
      <c r="BG2303" s="35" t="n">
        <f aca="false">BA2303-BF2303</f>
        <v>0</v>
      </c>
      <c r="BH2303" s="19" t="str">
        <f aca="false">IF(BG2303=0,"",IF(BG2303&lt;&gt;BA2303,"erreur de calcul",IF(BD2303&lt;&gt;0,"pas de prix",IF(M2303&lt;&gt; 0,"pas de quantité","pas de prix, ni de quantité"))))</f>
        <v/>
      </c>
      <c r="BI2303" s="19"/>
    </row>
    <row r="2304" customFormat="false" ht="15" hidden="false" customHeight="false" outlineLevel="0" collapsed="false">
      <c r="A2304" s="0" t="n">
        <v>32</v>
      </c>
      <c r="B2304" s="8" t="s">
        <v>24</v>
      </c>
      <c r="C2304" s="9" t="s">
        <v>25</v>
      </c>
      <c r="D2304" s="9" t="s">
        <v>26</v>
      </c>
      <c r="E2304" s="10" t="n">
        <v>1789</v>
      </c>
      <c r="F2304" s="9" t="s">
        <v>27</v>
      </c>
      <c r="G2304" s="9" t="s">
        <v>27</v>
      </c>
      <c r="H2304" s="11" t="n">
        <v>23</v>
      </c>
      <c r="I2304" s="11" t="s">
        <v>274</v>
      </c>
      <c r="J2304" s="14" t="n">
        <v>17</v>
      </c>
      <c r="K2304" s="14"/>
      <c r="L2304" s="16"/>
      <c r="M2304" s="27" t="n">
        <f aca="false">J2304+(K2304/20)+(L2304/240)</f>
        <v>17</v>
      </c>
      <c r="N2304" s="17" t="s">
        <v>275</v>
      </c>
      <c r="O2304" s="11"/>
      <c r="P2304" s="28" t="n">
        <v>200</v>
      </c>
      <c r="Q2304" s="28" t="n">
        <v>3400</v>
      </c>
      <c r="R2304" s="28"/>
      <c r="S2304" s="28" t="n">
        <f aca="false">R2304*$M2304</f>
        <v>0</v>
      </c>
      <c r="T2304" s="28"/>
      <c r="U2304" s="28" t="n">
        <f aca="false">T2304*$M2304</f>
        <v>0</v>
      </c>
      <c r="V2304" s="28"/>
      <c r="W2304" s="28" t="n">
        <f aca="false">V2304*$M2304</f>
        <v>0</v>
      </c>
      <c r="X2304" s="28" t="n">
        <v>145</v>
      </c>
      <c r="Y2304" s="28" t="n">
        <v>2465</v>
      </c>
      <c r="Z2304" s="28"/>
      <c r="AA2304" s="28" t="n">
        <f aca="false">Z2304*$M2304</f>
        <v>0</v>
      </c>
      <c r="AB2304" s="28"/>
      <c r="AC2304" s="28" t="n">
        <f aca="false">AB2304*$M2304</f>
        <v>0</v>
      </c>
      <c r="AD2304" s="28"/>
      <c r="AE2304" s="28" t="n">
        <f aca="false">AD2304*$M2304</f>
        <v>0</v>
      </c>
      <c r="AF2304" s="28"/>
      <c r="AG2304" s="28" t="n">
        <f aca="false">AF2304*$M2304</f>
        <v>0</v>
      </c>
      <c r="AH2304" s="28"/>
      <c r="AI2304" s="28" t="n">
        <f aca="false">AH2304*$M2304</f>
        <v>0</v>
      </c>
      <c r="AJ2304" s="28"/>
      <c r="AK2304" s="28" t="n">
        <f aca="false">AJ2304*$M2304</f>
        <v>0</v>
      </c>
      <c r="AL2304" s="28" t="n">
        <v>12</v>
      </c>
      <c r="AM2304" s="28" t="n">
        <v>204</v>
      </c>
      <c r="AN2304" s="28"/>
      <c r="AO2304" s="28" t="n">
        <f aca="false">AN2304*$M2304</f>
        <v>0</v>
      </c>
      <c r="AP2304" s="28"/>
      <c r="AQ2304" s="28" t="n">
        <f aca="false">AP2304*$M2304</f>
        <v>0</v>
      </c>
      <c r="AR2304" s="28"/>
      <c r="AS2304" s="28" t="n">
        <f aca="false">AR2304*$M2304</f>
        <v>0</v>
      </c>
      <c r="AT2304" s="28"/>
      <c r="AU2304" s="28" t="n">
        <f aca="false">AT2304*$M2304</f>
        <v>0</v>
      </c>
      <c r="AV2304" s="28"/>
      <c r="AW2304" s="28" t="n">
        <f aca="false">AV2304*$M2304</f>
        <v>0</v>
      </c>
      <c r="AX2304" s="28"/>
      <c r="AY2304" s="28" t="n">
        <f aca="false">AX2304*$M2304</f>
        <v>0</v>
      </c>
      <c r="AZ2304" s="30" t="n">
        <v>357</v>
      </c>
      <c r="BA2304" s="11" t="n">
        <v>6069</v>
      </c>
      <c r="BB2304" s="31" t="n">
        <f aca="false">SUM(Q2304,S2304,U2304,W2304,Y2304,AA2304,AC2304,AE2304,AG2304,AI2304,AK2304,AM2304,AO2304,AQ2304,AS2304,AU2304,AW2304,AY2304)</f>
        <v>6069</v>
      </c>
      <c r="BC2304" s="28" t="n">
        <f aca="false">BA2304-BB2304</f>
        <v>0</v>
      </c>
      <c r="BD2304" s="32" t="n">
        <f aca="false">SUM(P2304,R2304,T2304,V2304,X2304,Z2304,AB2304,AD2304,AF2304,AH2304,AJ2304,AL2304,AN2304,AP2304,AR2304,AT2304,AV2304,AX2304)</f>
        <v>357</v>
      </c>
      <c r="BE2304" s="33" t="n">
        <f aca="false">AZ2304-BD2304</f>
        <v>0</v>
      </c>
      <c r="BF2304" s="34" t="n">
        <f aca="false">BD2304*M2304</f>
        <v>6069</v>
      </c>
      <c r="BG2304" s="35" t="n">
        <f aca="false">BA2304-BF2304</f>
        <v>0</v>
      </c>
      <c r="BH2304" s="19" t="str">
        <f aca="false">IF(BG2304=0,"",IF(BG2304&lt;&gt;BA2304,"erreur de calcul",IF(BD2304&lt;&gt;0,"pas de prix",IF(M2304&lt;&gt; 0,"pas de quantité","pas de prix, ni de quantité"))))</f>
        <v/>
      </c>
      <c r="BI2304" s="19" t="s">
        <v>275</v>
      </c>
    </row>
    <row r="2305" customFormat="false" ht="15" hidden="false" customHeight="false" outlineLevel="0" collapsed="false">
      <c r="A2305" s="0" t="n">
        <v>33</v>
      </c>
      <c r="B2305" s="8" t="s">
        <v>24</v>
      </c>
      <c r="C2305" s="9" t="s">
        <v>25</v>
      </c>
      <c r="D2305" s="9" t="s">
        <v>26</v>
      </c>
      <c r="E2305" s="10" t="n">
        <v>1789</v>
      </c>
      <c r="F2305" s="9" t="s">
        <v>27</v>
      </c>
      <c r="G2305" s="9" t="s">
        <v>27</v>
      </c>
      <c r="H2305" s="11" t="n">
        <v>23</v>
      </c>
      <c r="I2305" s="11" t="s">
        <v>276</v>
      </c>
      <c r="J2305" s="14" t="n">
        <v>36</v>
      </c>
      <c r="K2305" s="14"/>
      <c r="L2305" s="16"/>
      <c r="M2305" s="27" t="n">
        <f aca="false">J2305+(K2305/20)+(L2305/240)</f>
        <v>36</v>
      </c>
      <c r="N2305" s="17" t="s">
        <v>275</v>
      </c>
      <c r="O2305" s="11" t="s">
        <v>277</v>
      </c>
      <c r="P2305" s="28"/>
      <c r="Q2305" s="28" t="n">
        <f aca="false">P2305*$M2305</f>
        <v>0</v>
      </c>
      <c r="R2305" s="28"/>
      <c r="S2305" s="28" t="n">
        <f aca="false">R2305*$M2305</f>
        <v>0</v>
      </c>
      <c r="T2305" s="28"/>
      <c r="U2305" s="28" t="n">
        <f aca="false">T2305*$M2305</f>
        <v>0</v>
      </c>
      <c r="V2305" s="28"/>
      <c r="W2305" s="28" t="n">
        <f aca="false">V2305*$M2305</f>
        <v>0</v>
      </c>
      <c r="X2305" s="28"/>
      <c r="Y2305" s="28" t="n">
        <f aca="false">X2305*$M2305</f>
        <v>0</v>
      </c>
      <c r="Z2305" s="28"/>
      <c r="AA2305" s="28" t="n">
        <f aca="false">Z2305*$M2305</f>
        <v>0</v>
      </c>
      <c r="AB2305" s="28"/>
      <c r="AC2305" s="28" t="n">
        <f aca="false">AB2305*$M2305</f>
        <v>0</v>
      </c>
      <c r="AD2305" s="28"/>
      <c r="AE2305" s="28" t="n">
        <f aca="false">AD2305*$M2305</f>
        <v>0</v>
      </c>
      <c r="AF2305" s="28"/>
      <c r="AG2305" s="28" t="n">
        <f aca="false">AF2305*$M2305</f>
        <v>0</v>
      </c>
      <c r="AH2305" s="28"/>
      <c r="AI2305" s="28" t="n">
        <f aca="false">AH2305*$M2305</f>
        <v>0</v>
      </c>
      <c r="AJ2305" s="28"/>
      <c r="AK2305" s="28" t="n">
        <f aca="false">AJ2305*$M2305</f>
        <v>0</v>
      </c>
      <c r="AL2305" s="28"/>
      <c r="AM2305" s="28" t="n">
        <f aca="false">AL2305*$M2305</f>
        <v>0</v>
      </c>
      <c r="AN2305" s="28"/>
      <c r="AO2305" s="28" t="n">
        <f aca="false">AN2305*$M2305</f>
        <v>0</v>
      </c>
      <c r="AP2305" s="28"/>
      <c r="AQ2305" s="28" t="n">
        <f aca="false">AP2305*$M2305</f>
        <v>0</v>
      </c>
      <c r="AR2305" s="28"/>
      <c r="AS2305" s="28" t="n">
        <f aca="false">AR2305*$M2305</f>
        <v>0</v>
      </c>
      <c r="AT2305" s="28"/>
      <c r="AU2305" s="28" t="n">
        <f aca="false">AT2305*$M2305</f>
        <v>0</v>
      </c>
      <c r="AV2305" s="28"/>
      <c r="AW2305" s="28" t="n">
        <f aca="false">AV2305*$M2305</f>
        <v>0</v>
      </c>
      <c r="AX2305" s="28"/>
      <c r="AY2305" s="28" t="n">
        <f aca="false">AX2305*$M2305</f>
        <v>0</v>
      </c>
      <c r="AZ2305" s="30"/>
      <c r="BA2305" s="11"/>
      <c r="BB2305" s="31" t="n">
        <f aca="false">SUM(Q2305,S2305,U2305,W2305,Y2305,AA2305,AC2305,AE2305,AG2305,AI2305,AK2305,AM2305,AO2305,AQ2305,AS2305,AU2305,AW2305,AY2305)</f>
        <v>0</v>
      </c>
      <c r="BC2305" s="28" t="n">
        <f aca="false">BA2305-BB2305</f>
        <v>0</v>
      </c>
      <c r="BD2305" s="32" t="n">
        <f aca="false">SUM(P2305,R2305,T2305,V2305,X2305,Z2305,AB2305,AD2305,AF2305,AH2305,AJ2305,AL2305,AN2305,AP2305,AR2305,AT2305,AV2305,AX2305)</f>
        <v>0</v>
      </c>
      <c r="BE2305" s="33" t="n">
        <f aca="false">AZ2305-BD2305</f>
        <v>0</v>
      </c>
      <c r="BF2305" s="34" t="n">
        <f aca="false">BD2305*M2305</f>
        <v>0</v>
      </c>
      <c r="BG2305" s="35" t="n">
        <f aca="false">BA2305-BF2305</f>
        <v>0</v>
      </c>
      <c r="BH2305" s="19" t="str">
        <f aca="false">IF(BG2305=0,"",IF(BG2305&lt;&gt;BA2305,"erreur de calcul",IF(BD2305&lt;&gt;0,"pas de prix",IF(M2305&lt;&gt; 0,"pas de quantité","pas de prix, ni de quantité"))))</f>
        <v/>
      </c>
      <c r="BI2305" s="19" t="s">
        <v>275</v>
      </c>
    </row>
    <row r="2306" customFormat="false" ht="15" hidden="false" customHeight="false" outlineLevel="0" collapsed="false">
      <c r="A2306" s="0" t="n">
        <v>34</v>
      </c>
      <c r="B2306" s="8" t="s">
        <v>24</v>
      </c>
      <c r="C2306" s="9" t="s">
        <v>25</v>
      </c>
      <c r="D2306" s="9" t="s">
        <v>26</v>
      </c>
      <c r="E2306" s="10" t="n">
        <v>1789</v>
      </c>
      <c r="F2306" s="9" t="s">
        <v>27</v>
      </c>
      <c r="G2306" s="9" t="s">
        <v>27</v>
      </c>
      <c r="H2306" s="11" t="n">
        <v>23</v>
      </c>
      <c r="I2306" s="11" t="s">
        <v>276</v>
      </c>
      <c r="J2306" s="14" t="n">
        <v>36</v>
      </c>
      <c r="K2306" s="14"/>
      <c r="L2306" s="16"/>
      <c r="M2306" s="27" t="n">
        <f aca="false">J2306+(K2306/20)+(L2306/240)</f>
        <v>36</v>
      </c>
      <c r="N2306" s="17" t="s">
        <v>275</v>
      </c>
      <c r="O2306" s="11" t="s">
        <v>77</v>
      </c>
      <c r="P2306" s="28" t="n">
        <v>7250</v>
      </c>
      <c r="Q2306" s="28" t="n">
        <v>261000</v>
      </c>
      <c r="R2306" s="28"/>
      <c r="S2306" s="28" t="n">
        <f aca="false">R2306*$M2306</f>
        <v>0</v>
      </c>
      <c r="T2306" s="28" t="n">
        <v>38389</v>
      </c>
      <c r="U2306" s="28" t="n">
        <v>1382004</v>
      </c>
      <c r="V2306" s="28" t="n">
        <v>19350</v>
      </c>
      <c r="W2306" s="28" t="n">
        <v>696600</v>
      </c>
      <c r="X2306" s="28" t="n">
        <v>25392</v>
      </c>
      <c r="Y2306" s="28" t="n">
        <v>914112</v>
      </c>
      <c r="Z2306" s="28" t="n">
        <v>31863</v>
      </c>
      <c r="AA2306" s="28" t="n">
        <v>1147068</v>
      </c>
      <c r="AB2306" s="28" t="n">
        <v>149064</v>
      </c>
      <c r="AC2306" s="28" t="n">
        <v>5366304</v>
      </c>
      <c r="AD2306" s="28" t="n">
        <v>1270</v>
      </c>
      <c r="AE2306" s="28" t="n">
        <v>45720</v>
      </c>
      <c r="AF2306" s="28" t="n">
        <v>54784</v>
      </c>
      <c r="AG2306" s="28" t="n">
        <v>1972224</v>
      </c>
      <c r="AH2306" s="28" t="n">
        <v>1200</v>
      </c>
      <c r="AI2306" s="28" t="n">
        <v>43200</v>
      </c>
      <c r="AJ2306" s="28" t="n">
        <v>10055</v>
      </c>
      <c r="AK2306" s="28" t="n">
        <v>361980</v>
      </c>
      <c r="AL2306" s="28"/>
      <c r="AM2306" s="28" t="n">
        <f aca="false">AL2306*$M2306</f>
        <v>0</v>
      </c>
      <c r="AN2306" s="28"/>
      <c r="AO2306" s="28" t="n">
        <f aca="false">AN2306*$M2306</f>
        <v>0</v>
      </c>
      <c r="AP2306" s="28" t="n">
        <v>220</v>
      </c>
      <c r="AQ2306" s="28" t="n">
        <f aca="false">AP2306*$M2306</f>
        <v>7920</v>
      </c>
      <c r="AR2306" s="28"/>
      <c r="AS2306" s="28" t="n">
        <f aca="false">AR2306*$M2306</f>
        <v>0</v>
      </c>
      <c r="AT2306" s="28"/>
      <c r="AU2306" s="28" t="n">
        <f aca="false">AT2306*$M2306</f>
        <v>0</v>
      </c>
      <c r="AV2306" s="28" t="n">
        <v>100</v>
      </c>
      <c r="AW2306" s="28" t="n">
        <v>3600</v>
      </c>
      <c r="AX2306" s="28" t="n">
        <v>9241</v>
      </c>
      <c r="AY2306" s="28" t="n">
        <v>332676</v>
      </c>
      <c r="AZ2306" s="30" t="n">
        <v>348178</v>
      </c>
      <c r="BA2306" s="11" t="n">
        <v>12534408</v>
      </c>
      <c r="BB2306" s="31" t="n">
        <f aca="false">SUM(Q2306,S2306,U2306,W2306,Y2306,AA2306,AC2306,AE2306,AG2306,AI2306,AK2306,AM2306,AO2306,AQ2306,AS2306,AU2306,AW2306,AY2306)</f>
        <v>12534408</v>
      </c>
      <c r="BC2306" s="28" t="n">
        <f aca="false">BA2306-BB2306</f>
        <v>0</v>
      </c>
      <c r="BD2306" s="32" t="n">
        <f aca="false">SUM(P2306,R2306,T2306,V2306,X2306,Z2306,AB2306,AD2306,AF2306,AH2306,AJ2306,AL2306,AN2306,AP2306,AR2306,AT2306,AV2306,AX2306)</f>
        <v>348178</v>
      </c>
      <c r="BE2306" s="33" t="n">
        <f aca="false">AZ2306-BD2306</f>
        <v>0</v>
      </c>
      <c r="BF2306" s="34" t="n">
        <f aca="false">BD2306*M2306</f>
        <v>12534408</v>
      </c>
      <c r="BG2306" s="35" t="n">
        <f aca="false">BA2306-BF2306</f>
        <v>0</v>
      </c>
      <c r="BH2306" s="19" t="str">
        <f aca="false">IF(BG2306=0,"",IF(BG2306&lt;&gt;BA2306,"erreur de calcul",IF(BD2306&lt;&gt;0,"pas de prix",IF(M2306&lt;&gt; 0,"pas de quantité","pas de prix, ni de quantité"))))</f>
        <v/>
      </c>
      <c r="BI2306" s="19"/>
    </row>
    <row r="2307" customFormat="false" ht="15" hidden="false" customHeight="false" outlineLevel="0" collapsed="false">
      <c r="A2307" s="0" t="n">
        <v>35</v>
      </c>
      <c r="B2307" s="8" t="s">
        <v>24</v>
      </c>
      <c r="C2307" s="9" t="s">
        <v>25</v>
      </c>
      <c r="D2307" s="9" t="s">
        <v>26</v>
      </c>
      <c r="E2307" s="10" t="n">
        <v>1789</v>
      </c>
      <c r="F2307" s="9" t="s">
        <v>27</v>
      </c>
      <c r="G2307" s="9" t="s">
        <v>27</v>
      </c>
      <c r="H2307" s="11" t="n">
        <v>23</v>
      </c>
      <c r="I2307" s="11" t="s">
        <v>278</v>
      </c>
      <c r="J2307" s="14" t="n">
        <v>12</v>
      </c>
      <c r="K2307" s="14"/>
      <c r="L2307" s="16"/>
      <c r="M2307" s="27" t="n">
        <f aca="false">J2307+(K2307/20)+(L2307/240)</f>
        <v>12</v>
      </c>
      <c r="N2307" s="17" t="s">
        <v>64</v>
      </c>
      <c r="O2307" s="11" t="s">
        <v>77</v>
      </c>
      <c r="P2307" s="28" t="n">
        <f aca="false">351312/100</f>
        <v>3513.12</v>
      </c>
      <c r="Q2307" s="28" t="n">
        <v>42157</v>
      </c>
      <c r="R2307" s="28"/>
      <c r="S2307" s="28" t="n">
        <f aca="false">R2307*$M2307</f>
        <v>0</v>
      </c>
      <c r="T2307" s="28" t="n">
        <f aca="false">52251/100</f>
        <v>522.51</v>
      </c>
      <c r="U2307" s="28" t="n">
        <v>6270</v>
      </c>
      <c r="V2307" s="28" t="n">
        <f aca="false">2393/100</f>
        <v>23.93</v>
      </c>
      <c r="W2307" s="28" t="n">
        <v>287</v>
      </c>
      <c r="X2307" s="28" t="n">
        <f aca="false">44842/100</f>
        <v>448.42</v>
      </c>
      <c r="Y2307" s="28" t="n">
        <v>5381</v>
      </c>
      <c r="Z2307" s="28"/>
      <c r="AA2307" s="28" t="n">
        <f aca="false">Z2307*$M2307</f>
        <v>0</v>
      </c>
      <c r="AB2307" s="28"/>
      <c r="AC2307" s="28" t="n">
        <f aca="false">AB2307*$M2307</f>
        <v>0</v>
      </c>
      <c r="AD2307" s="28"/>
      <c r="AE2307" s="28" t="n">
        <f aca="false">AD2307*$M2307</f>
        <v>0</v>
      </c>
      <c r="AF2307" s="28" t="n">
        <f aca="false">164167/100</f>
        <v>1641.67</v>
      </c>
      <c r="AG2307" s="28" t="n">
        <v>19700</v>
      </c>
      <c r="AH2307" s="28"/>
      <c r="AI2307" s="28" t="n">
        <f aca="false">AH2307*$M2307</f>
        <v>0</v>
      </c>
      <c r="AJ2307" s="28"/>
      <c r="AK2307" s="28" t="n">
        <f aca="false">AJ2307*$M2307</f>
        <v>0</v>
      </c>
      <c r="AL2307" s="28"/>
      <c r="AM2307" s="28" t="n">
        <f aca="false">AL2307*$M2307</f>
        <v>0</v>
      </c>
      <c r="AN2307" s="28"/>
      <c r="AO2307" s="28" t="n">
        <f aca="false">AN2307*$M2307</f>
        <v>0</v>
      </c>
      <c r="AP2307" s="28"/>
      <c r="AQ2307" s="28" t="n">
        <f aca="false">AP2307*$M2307</f>
        <v>0</v>
      </c>
      <c r="AR2307" s="28"/>
      <c r="AS2307" s="28" t="n">
        <f aca="false">AR2307*$M2307</f>
        <v>0</v>
      </c>
      <c r="AT2307" s="28"/>
      <c r="AU2307" s="28" t="n">
        <f aca="false">AT2307*$M2307</f>
        <v>0</v>
      </c>
      <c r="AV2307" s="28"/>
      <c r="AW2307" s="28" t="n">
        <f aca="false">AV2307*$M2307</f>
        <v>0</v>
      </c>
      <c r="AX2307" s="28" t="n">
        <f aca="false">25000/100</f>
        <v>250</v>
      </c>
      <c r="AY2307" s="28" t="n">
        <v>3000</v>
      </c>
      <c r="AZ2307" s="30"/>
      <c r="BA2307" s="11" t="n">
        <v>76795</v>
      </c>
      <c r="BB2307" s="31" t="n">
        <f aca="false">SUM(Q2307,S2307,U2307,W2307,Y2307,AA2307,AC2307,AE2307,AG2307,AI2307,AK2307,AM2307,AO2307,AQ2307,AS2307,AU2307,AW2307,AY2307)</f>
        <v>76795</v>
      </c>
      <c r="BC2307" s="28" t="n">
        <f aca="false">BA2307-BB2307</f>
        <v>0</v>
      </c>
      <c r="BD2307" s="32" t="n">
        <f aca="false">SUM(P2307,R2307,T2307,V2307,X2307,Z2307,AB2307,AD2307,AF2307,AH2307,AJ2307,AL2307,AN2307,AP2307,AR2307,AT2307,AV2307,AX2307)</f>
        <v>6399.65</v>
      </c>
      <c r="BE2307" s="33" t="n">
        <f aca="false">AZ2307-BD2307</f>
        <v>-6399.65</v>
      </c>
      <c r="BF2307" s="34" t="n">
        <f aca="false">BD2307*M2307</f>
        <v>76795.8</v>
      </c>
      <c r="BG2307" s="35" t="n">
        <f aca="false">BA2307-BF2307</f>
        <v>-0.799999999988359</v>
      </c>
      <c r="BH2307" s="19" t="str">
        <f aca="false">IF(BG2307=0,"",IF(BG2307&lt;&gt;BA2307,"erreur de calcul",IF(BD2307&lt;&gt;0,"pas de prix",IF(M2307&lt;&gt; 0,"pas de quantité","pas de prix, ni de quantité"))))</f>
        <v>erreur de calcul</v>
      </c>
      <c r="BI2307" s="19"/>
    </row>
    <row r="2308" customFormat="false" ht="15" hidden="false" customHeight="false" outlineLevel="0" collapsed="false">
      <c r="A2308" s="0" t="n">
        <v>36</v>
      </c>
      <c r="B2308" s="8" t="s">
        <v>24</v>
      </c>
      <c r="C2308" s="9" t="s">
        <v>25</v>
      </c>
      <c r="D2308" s="9" t="s">
        <v>26</v>
      </c>
      <c r="E2308" s="10" t="n">
        <v>1789</v>
      </c>
      <c r="F2308" s="9" t="s">
        <v>27</v>
      </c>
      <c r="G2308" s="9" t="s">
        <v>27</v>
      </c>
      <c r="H2308" s="11" t="n">
        <v>23</v>
      </c>
      <c r="I2308" s="11" t="s">
        <v>279</v>
      </c>
      <c r="J2308" s="14" t="n">
        <v>18</v>
      </c>
      <c r="K2308" s="14"/>
      <c r="L2308" s="16"/>
      <c r="M2308" s="27" t="n">
        <f aca="false">J2308+(K2308/20)+(L2308/240)</f>
        <v>18</v>
      </c>
      <c r="N2308" s="17" t="s">
        <v>275</v>
      </c>
      <c r="O2308" s="11"/>
      <c r="P2308" s="28"/>
      <c r="Q2308" s="28" t="n">
        <f aca="false">P2308*$M2308</f>
        <v>0</v>
      </c>
      <c r="R2308" s="28"/>
      <c r="S2308" s="28" t="n">
        <f aca="false">R2308*$M2308</f>
        <v>0</v>
      </c>
      <c r="T2308" s="28" t="n">
        <v>100</v>
      </c>
      <c r="U2308" s="28" t="n">
        <v>1800</v>
      </c>
      <c r="V2308" s="28"/>
      <c r="W2308" s="28" t="n">
        <f aca="false">V2308*$M2308</f>
        <v>0</v>
      </c>
      <c r="X2308" s="28"/>
      <c r="Y2308" s="28" t="n">
        <f aca="false">X2308*$M2308</f>
        <v>0</v>
      </c>
      <c r="Z2308" s="28"/>
      <c r="AA2308" s="28" t="n">
        <f aca="false">Z2308*$M2308</f>
        <v>0</v>
      </c>
      <c r="AB2308" s="28" t="n">
        <v>1936</v>
      </c>
      <c r="AC2308" s="28" t="n">
        <v>34848</v>
      </c>
      <c r="AD2308" s="28"/>
      <c r="AE2308" s="28" t="n">
        <f aca="false">AD2308*$M2308</f>
        <v>0</v>
      </c>
      <c r="AF2308" s="28" t="n">
        <v>600</v>
      </c>
      <c r="AG2308" s="28" t="n">
        <v>10800</v>
      </c>
      <c r="AH2308" s="28"/>
      <c r="AI2308" s="28" t="n">
        <f aca="false">AH2308*$M2308</f>
        <v>0</v>
      </c>
      <c r="AJ2308" s="28"/>
      <c r="AK2308" s="28" t="n">
        <f aca="false">AJ2308*$M2308</f>
        <v>0</v>
      </c>
      <c r="AL2308" s="28" t="n">
        <v>12</v>
      </c>
      <c r="AM2308" s="28" t="n">
        <v>216</v>
      </c>
      <c r="AN2308" s="28"/>
      <c r="AO2308" s="28" t="n">
        <f aca="false">AN2308*$M2308</f>
        <v>0</v>
      </c>
      <c r="AP2308" s="28" t="n">
        <v>12</v>
      </c>
      <c r="AQ2308" s="28" t="n">
        <v>216</v>
      </c>
      <c r="AR2308" s="28"/>
      <c r="AS2308" s="28" t="n">
        <f aca="false">AR2308*$M2308</f>
        <v>0</v>
      </c>
      <c r="AT2308" s="28"/>
      <c r="AU2308" s="28" t="n">
        <f aca="false">AT2308*$M2308</f>
        <v>0</v>
      </c>
      <c r="AV2308" s="28"/>
      <c r="AW2308" s="28" t="n">
        <f aca="false">AV2308*$M2308</f>
        <v>0</v>
      </c>
      <c r="AX2308" s="28"/>
      <c r="AY2308" s="28" t="n">
        <f aca="false">AX2308*$M2308</f>
        <v>0</v>
      </c>
      <c r="AZ2308" s="30" t="n">
        <v>2660</v>
      </c>
      <c r="BA2308" s="11" t="n">
        <v>47880</v>
      </c>
      <c r="BB2308" s="31" t="n">
        <f aca="false">SUM(Q2308,S2308,U2308,W2308,Y2308,AA2308,AC2308,AE2308,AG2308,AI2308,AK2308,AM2308,AO2308,AQ2308,AS2308,AU2308,AW2308,AY2308)</f>
        <v>47880</v>
      </c>
      <c r="BC2308" s="28" t="n">
        <f aca="false">BA2308-BB2308</f>
        <v>0</v>
      </c>
      <c r="BD2308" s="32" t="n">
        <f aca="false">SUM(P2308,R2308,T2308,V2308,X2308,Z2308,AB2308,AD2308,AF2308,AH2308,AJ2308,AL2308,AN2308,AP2308,AR2308,AT2308,AV2308,AX2308)</f>
        <v>2660</v>
      </c>
      <c r="BE2308" s="33" t="n">
        <f aca="false">AZ2308-BD2308</f>
        <v>0</v>
      </c>
      <c r="BF2308" s="34" t="n">
        <f aca="false">BD2308*M2308</f>
        <v>47880</v>
      </c>
      <c r="BG2308" s="35" t="n">
        <f aca="false">BA2308-BF2308</f>
        <v>0</v>
      </c>
      <c r="BH2308" s="19" t="str">
        <f aca="false">IF(BG2308=0,"",IF(BG2308&lt;&gt;BA2308,"erreur de calcul",IF(BD2308&lt;&gt;0,"pas de prix",IF(M2308&lt;&gt; 0,"pas de quantité","pas de prix, ni de quantité"))))</f>
        <v/>
      </c>
      <c r="BI2308" s="19"/>
    </row>
    <row r="2309" customFormat="false" ht="15" hidden="false" customHeight="false" outlineLevel="0" collapsed="false">
      <c r="A2309" s="0" t="n">
        <v>37</v>
      </c>
      <c r="B2309" s="8" t="s">
        <v>24</v>
      </c>
      <c r="C2309" s="9" t="s">
        <v>25</v>
      </c>
      <c r="D2309" s="9" t="s">
        <v>26</v>
      </c>
      <c r="E2309" s="10" t="n">
        <v>1789</v>
      </c>
      <c r="F2309" s="9" t="s">
        <v>27</v>
      </c>
      <c r="G2309" s="9" t="s">
        <v>27</v>
      </c>
      <c r="H2309" s="11" t="n">
        <v>23</v>
      </c>
      <c r="I2309" s="11" t="s">
        <v>280</v>
      </c>
      <c r="J2309" s="14" t="n">
        <v>25</v>
      </c>
      <c r="K2309" s="14"/>
      <c r="L2309" s="16"/>
      <c r="M2309" s="27" t="n">
        <f aca="false">J2309+(K2309/20)+(L2309/240)</f>
        <v>25</v>
      </c>
      <c r="N2309" s="17" t="s">
        <v>64</v>
      </c>
      <c r="O2309" s="11"/>
      <c r="P2309" s="28"/>
      <c r="Q2309" s="28" t="n">
        <f aca="false">P2309*$M2309</f>
        <v>0</v>
      </c>
      <c r="R2309" s="28"/>
      <c r="S2309" s="28" t="n">
        <f aca="false">R2309*$M2309</f>
        <v>0</v>
      </c>
      <c r="T2309" s="28" t="n">
        <f aca="false">1664501/100</f>
        <v>16645.01</v>
      </c>
      <c r="U2309" s="28" t="n">
        <v>416125</v>
      </c>
      <c r="V2309" s="28" t="n">
        <f aca="false">2171980/100</f>
        <v>21719.8</v>
      </c>
      <c r="W2309" s="28" t="n">
        <v>542995</v>
      </c>
      <c r="X2309" s="28" t="n">
        <f aca="false">11567/100</f>
        <v>115.67</v>
      </c>
      <c r="Y2309" s="28" t="n">
        <v>2892</v>
      </c>
      <c r="Z2309" s="28" t="n">
        <f aca="false">985/100</f>
        <v>9.85</v>
      </c>
      <c r="AA2309" s="28" t="n">
        <v>246</v>
      </c>
      <c r="AB2309" s="28" t="n">
        <f aca="false">399494/100</f>
        <v>3994.94</v>
      </c>
      <c r="AC2309" s="28" t="n">
        <v>99873</v>
      </c>
      <c r="AD2309" s="28"/>
      <c r="AE2309" s="28" t="n">
        <f aca="false">AD2309*$M2309</f>
        <v>0</v>
      </c>
      <c r="AF2309" s="28"/>
      <c r="AG2309" s="28" t="n">
        <f aca="false">AF2309*$M2309</f>
        <v>0</v>
      </c>
      <c r="AH2309" s="28"/>
      <c r="AI2309" s="28" t="n">
        <f aca="false">AH2309*$M2309</f>
        <v>0</v>
      </c>
      <c r="AJ2309" s="28"/>
      <c r="AK2309" s="28" t="n">
        <f aca="false">AJ2309*$M2309</f>
        <v>0</v>
      </c>
      <c r="AL2309" s="28"/>
      <c r="AM2309" s="28" t="n">
        <f aca="false">AL2309*$M2309</f>
        <v>0</v>
      </c>
      <c r="AN2309" s="28"/>
      <c r="AO2309" s="28" t="n">
        <f aca="false">AN2309*$M2309</f>
        <v>0</v>
      </c>
      <c r="AP2309" s="28"/>
      <c r="AQ2309" s="28" t="n">
        <f aca="false">AP2309*$M2309</f>
        <v>0</v>
      </c>
      <c r="AR2309" s="28"/>
      <c r="AS2309" s="28" t="n">
        <f aca="false">AR2309*$M2309</f>
        <v>0</v>
      </c>
      <c r="AT2309" s="28"/>
      <c r="AU2309" s="28" t="n">
        <f aca="false">AT2309*$M2309</f>
        <v>0</v>
      </c>
      <c r="AV2309" s="28"/>
      <c r="AW2309" s="28" t="n">
        <f aca="false">AV2309*$M2309</f>
        <v>0</v>
      </c>
      <c r="AX2309" s="28" t="n">
        <f aca="false">57000/100</f>
        <v>570</v>
      </c>
      <c r="AY2309" s="28" t="n">
        <v>14250</v>
      </c>
      <c r="AZ2309" s="30" t="n">
        <f aca="false">4305527/100</f>
        <v>43055.27</v>
      </c>
      <c r="BA2309" s="11" t="n">
        <v>1076381</v>
      </c>
      <c r="BB2309" s="31" t="n">
        <f aca="false">SUM(Q2309,S2309,U2309,W2309,Y2309,AA2309,AC2309,AE2309,AG2309,AI2309,AK2309,AM2309,AO2309,AQ2309,AS2309,AU2309,AW2309,AY2309)</f>
        <v>1076381</v>
      </c>
      <c r="BC2309" s="28" t="n">
        <f aca="false">BA2309-BB2309</f>
        <v>0</v>
      </c>
      <c r="BD2309" s="32" t="n">
        <f aca="false">SUM(P2309,R2309,T2309,V2309,X2309,Z2309,AB2309,AD2309,AF2309,AH2309,AJ2309,AL2309,AN2309,AP2309,AR2309,AT2309,AV2309,AX2309)</f>
        <v>43055.27</v>
      </c>
      <c r="BE2309" s="33" t="n">
        <f aca="false">AZ2309-BD2309</f>
        <v>0</v>
      </c>
      <c r="BF2309" s="34" t="n">
        <f aca="false">BD2309*M2309</f>
        <v>1076381.75</v>
      </c>
      <c r="BG2309" s="35" t="n">
        <f aca="false">BA2309-BF2309</f>
        <v>-0.75</v>
      </c>
      <c r="BH2309" s="19" t="str">
        <f aca="false">IF(BG2309=0,"",IF(BG2309&lt;&gt;BA2309,"erreur de calcul",IF(BD2309&lt;&gt;0,"pas de prix",IF(M2309&lt;&gt; 0,"pas de quantité","pas de prix, ni de quantité"))))</f>
        <v>erreur de calcul</v>
      </c>
      <c r="BI2309" s="19"/>
    </row>
    <row r="2310" customFormat="false" ht="15" hidden="false" customHeight="false" outlineLevel="0" collapsed="false">
      <c r="A2310" s="0" t="n">
        <v>38</v>
      </c>
      <c r="B2310" s="8" t="s">
        <v>24</v>
      </c>
      <c r="C2310" s="9" t="s">
        <v>25</v>
      </c>
      <c r="D2310" s="9" t="s">
        <v>26</v>
      </c>
      <c r="E2310" s="10" t="n">
        <v>1789</v>
      </c>
      <c r="F2310" s="9" t="s">
        <v>27</v>
      </c>
      <c r="G2310" s="9" t="s">
        <v>27</v>
      </c>
      <c r="H2310" s="11" t="n">
        <v>23</v>
      </c>
      <c r="I2310" s="11" t="s">
        <v>281</v>
      </c>
      <c r="J2310" s="14" t="n">
        <v>18</v>
      </c>
      <c r="K2310" s="14"/>
      <c r="L2310" s="16"/>
      <c r="M2310" s="27" t="n">
        <f aca="false">J2310+(K2310/20)+(L2310/240)</f>
        <v>18</v>
      </c>
      <c r="N2310" s="17" t="s">
        <v>275</v>
      </c>
      <c r="O2310" s="11"/>
      <c r="P2310" s="28"/>
      <c r="Q2310" s="28" t="n">
        <f aca="false">P2310*$M2310</f>
        <v>0</v>
      </c>
      <c r="R2310" s="28"/>
      <c r="S2310" s="28" t="n">
        <f aca="false">R2310*$M2310</f>
        <v>0</v>
      </c>
      <c r="T2310" s="28" t="n">
        <v>537</v>
      </c>
      <c r="U2310" s="28" t="n">
        <v>9666</v>
      </c>
      <c r="V2310" s="28"/>
      <c r="W2310" s="28" t="n">
        <f aca="false">V2310*$M2310</f>
        <v>0</v>
      </c>
      <c r="X2310" s="28"/>
      <c r="Y2310" s="28" t="n">
        <f aca="false">X2310*$M2310</f>
        <v>0</v>
      </c>
      <c r="Z2310" s="28"/>
      <c r="AA2310" s="28" t="n">
        <f aca="false">Z2310*$M2310</f>
        <v>0</v>
      </c>
      <c r="AB2310" s="28"/>
      <c r="AC2310" s="28" t="n">
        <f aca="false">AB2310*$M2310</f>
        <v>0</v>
      </c>
      <c r="AD2310" s="28"/>
      <c r="AE2310" s="28" t="n">
        <f aca="false">AD2310*$M2310</f>
        <v>0</v>
      </c>
      <c r="AF2310" s="28"/>
      <c r="AG2310" s="28" t="n">
        <f aca="false">AF2310*$M2310</f>
        <v>0</v>
      </c>
      <c r="AH2310" s="28"/>
      <c r="AI2310" s="28" t="n">
        <f aca="false">AH2310*$M2310</f>
        <v>0</v>
      </c>
      <c r="AJ2310" s="28"/>
      <c r="AK2310" s="28" t="n">
        <f aca="false">AJ2310*$M2310</f>
        <v>0</v>
      </c>
      <c r="AL2310" s="28"/>
      <c r="AM2310" s="28" t="n">
        <f aca="false">AL2310*$M2310</f>
        <v>0</v>
      </c>
      <c r="AN2310" s="28"/>
      <c r="AO2310" s="28" t="n">
        <f aca="false">AN2310*$M2310</f>
        <v>0</v>
      </c>
      <c r="AP2310" s="28"/>
      <c r="AQ2310" s="28" t="n">
        <f aca="false">AP2310*$M2310</f>
        <v>0</v>
      </c>
      <c r="AR2310" s="28"/>
      <c r="AS2310" s="28" t="n">
        <f aca="false">AR2310*$M2310</f>
        <v>0</v>
      </c>
      <c r="AT2310" s="28"/>
      <c r="AU2310" s="28" t="n">
        <f aca="false">AT2310*$M2310</f>
        <v>0</v>
      </c>
      <c r="AV2310" s="28" t="n">
        <v>1700</v>
      </c>
      <c r="AW2310" s="36" t="n">
        <v>33600</v>
      </c>
      <c r="AX2310" s="28"/>
      <c r="AY2310" s="28" t="n">
        <f aca="false">AX2310*$M2310</f>
        <v>0</v>
      </c>
      <c r="AZ2310" s="30" t="n">
        <v>2237</v>
      </c>
      <c r="BA2310" s="11" t="n">
        <v>43266</v>
      </c>
      <c r="BB2310" s="31" t="n">
        <f aca="false">SUM(Q2310,S2310,U2310,W2310,Y2310,AA2310,AC2310,AE2310,AG2310,AI2310,AK2310,AM2310,AO2310,AQ2310,AS2310,AU2310,AW2310,AY2310)</f>
        <v>43266</v>
      </c>
      <c r="BC2310" s="28" t="n">
        <f aca="false">BA2310-BB2310</f>
        <v>0</v>
      </c>
      <c r="BD2310" s="32" t="n">
        <f aca="false">SUM(P2310,R2310,T2310,V2310,X2310,Z2310,AB2310,AD2310,AF2310,AH2310,AJ2310,AL2310,AN2310,AP2310,AR2310,AT2310,AV2310,AX2310)</f>
        <v>2237</v>
      </c>
      <c r="BE2310" s="33" t="n">
        <f aca="false">AZ2310-BD2310</f>
        <v>0</v>
      </c>
      <c r="BF2310" s="34" t="n">
        <f aca="false">BD2310*M2310</f>
        <v>40266</v>
      </c>
      <c r="BG2310" s="35" t="n">
        <f aca="false">BA2310-BF2310</f>
        <v>3000</v>
      </c>
      <c r="BH2310" s="19" t="str">
        <f aca="false">IF(BG2310=0,"",IF(BG2310&lt;&gt;BA2310,"erreur de calcul",IF(BD2310&lt;&gt;0,"pas de prix",IF(M2310&lt;&gt; 0,"pas de quantité","pas de prix, ni de quantité"))))</f>
        <v>erreur de calcul</v>
      </c>
      <c r="BI2310" s="19"/>
    </row>
    <row r="2311" customFormat="false" ht="15" hidden="false" customHeight="false" outlineLevel="0" collapsed="false">
      <c r="A2311" s="0" t="n">
        <v>39</v>
      </c>
      <c r="B2311" s="8" t="s">
        <v>24</v>
      </c>
      <c r="C2311" s="9" t="s">
        <v>25</v>
      </c>
      <c r="D2311" s="9" t="s">
        <v>26</v>
      </c>
      <c r="E2311" s="10" t="n">
        <v>1789</v>
      </c>
      <c r="F2311" s="9" t="s">
        <v>27</v>
      </c>
      <c r="G2311" s="9" t="s">
        <v>27</v>
      </c>
      <c r="H2311" s="11" t="n">
        <v>23</v>
      </c>
      <c r="I2311" s="11" t="s">
        <v>282</v>
      </c>
      <c r="J2311" s="14"/>
      <c r="K2311" s="14"/>
      <c r="L2311" s="16"/>
      <c r="M2311" s="27" t="n">
        <f aca="false">J2311+(K2311/20)+(L2311/240)</f>
        <v>0</v>
      </c>
      <c r="N2311" s="17"/>
      <c r="O2311" s="11"/>
      <c r="P2311" s="28"/>
      <c r="Q2311" s="28" t="n">
        <f aca="false">P2311*$M2311</f>
        <v>0</v>
      </c>
      <c r="R2311" s="28"/>
      <c r="S2311" s="28" t="n">
        <f aca="false">R2311*$M2311</f>
        <v>0</v>
      </c>
      <c r="T2311" s="28"/>
      <c r="U2311" s="28" t="n">
        <v>1962</v>
      </c>
      <c r="V2311" s="28"/>
      <c r="W2311" s="28" t="n">
        <v>148</v>
      </c>
      <c r="X2311" s="28"/>
      <c r="Y2311" s="28" t="n">
        <v>221</v>
      </c>
      <c r="Z2311" s="28"/>
      <c r="AA2311" s="28" t="n">
        <f aca="false">Z2311*$M2311</f>
        <v>0</v>
      </c>
      <c r="AB2311" s="28"/>
      <c r="AC2311" s="28" t="n">
        <v>725</v>
      </c>
      <c r="AD2311" s="28"/>
      <c r="AE2311" s="28" t="n">
        <f aca="false">AD2311*$M2311</f>
        <v>0</v>
      </c>
      <c r="AF2311" s="28"/>
      <c r="AG2311" s="28" t="n">
        <v>414</v>
      </c>
      <c r="AH2311" s="28"/>
      <c r="AI2311" s="28" t="n">
        <f aca="false">AH2311*$M2311</f>
        <v>0</v>
      </c>
      <c r="AJ2311" s="28"/>
      <c r="AK2311" s="28" t="n">
        <f aca="false">AJ2311*$M2311</f>
        <v>0</v>
      </c>
      <c r="AL2311" s="28"/>
      <c r="AM2311" s="28" t="n">
        <f aca="false">AL2311*$M2311</f>
        <v>0</v>
      </c>
      <c r="AN2311" s="28"/>
      <c r="AO2311" s="28" t="n">
        <f aca="false">AN2311*$M2311</f>
        <v>0</v>
      </c>
      <c r="AP2311" s="28"/>
      <c r="AQ2311" s="28" t="n">
        <f aca="false">AP2311*$M2311</f>
        <v>0</v>
      </c>
      <c r="AR2311" s="28"/>
      <c r="AS2311" s="28" t="n">
        <f aca="false">AR2311*$M2311</f>
        <v>0</v>
      </c>
      <c r="AT2311" s="28"/>
      <c r="AU2311" s="28" t="n">
        <v>276</v>
      </c>
      <c r="AV2311" s="28"/>
      <c r="AW2311" s="28" t="n">
        <f aca="false">AV2311*$M2311</f>
        <v>0</v>
      </c>
      <c r="AX2311" s="28"/>
      <c r="AY2311" s="28" t="n">
        <f aca="false">AX2311*$M2311</f>
        <v>0</v>
      </c>
      <c r="AZ2311" s="30"/>
      <c r="BA2311" s="11" t="n">
        <v>3746</v>
      </c>
      <c r="BB2311" s="31" t="n">
        <f aca="false">SUM(Q2311,S2311,U2311,W2311,Y2311,AA2311,AC2311,AE2311,AG2311,AI2311,AK2311,AM2311,AO2311,AQ2311,AS2311,AU2311,AW2311,AY2311)</f>
        <v>3746</v>
      </c>
      <c r="BC2311" s="28" t="n">
        <f aca="false">BA2311-BB2311</f>
        <v>0</v>
      </c>
      <c r="BD2311" s="32" t="n">
        <f aca="false">SUM(P2311,R2311,T2311,V2311,X2311,Z2311,AB2311,AD2311,AF2311,AH2311,AJ2311,AL2311,AN2311,AP2311,AR2311,AT2311,AV2311,AX2311)</f>
        <v>0</v>
      </c>
      <c r="BE2311" s="33" t="n">
        <f aca="false">AZ2311-BD2311</f>
        <v>0</v>
      </c>
      <c r="BF2311" s="34" t="n">
        <f aca="false">BD2311*M2311</f>
        <v>0</v>
      </c>
      <c r="BG2311" s="35" t="n">
        <f aca="false">BA2311-BF2311</f>
        <v>3746</v>
      </c>
      <c r="BH2311" s="19" t="str">
        <f aca="false">IF(BG2311=0,"",IF(BG2311&lt;&gt;BA2311,"erreur de calcul",IF(BD2311&lt;&gt;0,"pas de prix",IF(M2311&lt;&gt; 0,"pas de quantité","pas de prix, ni de quantité"))))</f>
        <v>pas de prix, ni de quantité</v>
      </c>
      <c r="BI2311" s="19"/>
    </row>
    <row r="2312" customFormat="false" ht="15" hidden="false" customHeight="false" outlineLevel="0" collapsed="false">
      <c r="A2312" s="0" t="n">
        <v>40</v>
      </c>
      <c r="B2312" s="8" t="s">
        <v>24</v>
      </c>
      <c r="C2312" s="9" t="s">
        <v>25</v>
      </c>
      <c r="D2312" s="9" t="s">
        <v>26</v>
      </c>
      <c r="E2312" s="10" t="n">
        <v>1789</v>
      </c>
      <c r="F2312" s="9" t="s">
        <v>27</v>
      </c>
      <c r="G2312" s="9" t="s">
        <v>27</v>
      </c>
      <c r="H2312" s="11" t="n">
        <v>23</v>
      </c>
      <c r="I2312" s="11" t="s">
        <v>283</v>
      </c>
      <c r="J2312" s="14" t="n">
        <v>25</v>
      </c>
      <c r="K2312" s="14"/>
      <c r="L2312" s="16"/>
      <c r="M2312" s="27" t="n">
        <f aca="false">J2312+(K2312/20)+(L2312/240)</f>
        <v>25</v>
      </c>
      <c r="N2312" s="17" t="s">
        <v>64</v>
      </c>
      <c r="O2312" s="11"/>
      <c r="P2312" s="28" t="n">
        <f aca="false">12568/100</f>
        <v>125.68</v>
      </c>
      <c r="Q2312" s="28" t="n">
        <v>3142</v>
      </c>
      <c r="R2312" s="28"/>
      <c r="S2312" s="28" t="n">
        <f aca="false">R2312*$M2312</f>
        <v>0</v>
      </c>
      <c r="T2312" s="28"/>
      <c r="U2312" s="28" t="n">
        <f aca="false">T2312*$M2312</f>
        <v>0</v>
      </c>
      <c r="V2312" s="28"/>
      <c r="W2312" s="28" t="n">
        <f aca="false">V2312*$M2312</f>
        <v>0</v>
      </c>
      <c r="X2312" s="28"/>
      <c r="Y2312" s="28" t="n">
        <f aca="false">X2312*$M2312</f>
        <v>0</v>
      </c>
      <c r="Z2312" s="28"/>
      <c r="AA2312" s="28" t="n">
        <f aca="false">Z2312*$M2312</f>
        <v>0</v>
      </c>
      <c r="AB2312" s="28"/>
      <c r="AC2312" s="28" t="n">
        <f aca="false">AB2312*$M2312</f>
        <v>0</v>
      </c>
      <c r="AD2312" s="28"/>
      <c r="AE2312" s="28" t="n">
        <f aca="false">AD2312*$M2312</f>
        <v>0</v>
      </c>
      <c r="AF2312" s="28"/>
      <c r="AG2312" s="28" t="n">
        <f aca="false">AF2312*$M2312</f>
        <v>0</v>
      </c>
      <c r="AH2312" s="28" t="n">
        <f aca="false">5355/100</f>
        <v>53.55</v>
      </c>
      <c r="AI2312" s="28" t="n">
        <v>1339</v>
      </c>
      <c r="AJ2312" s="28"/>
      <c r="AK2312" s="28" t="n">
        <f aca="false">AJ2312*$M2312</f>
        <v>0</v>
      </c>
      <c r="AL2312" s="28"/>
      <c r="AM2312" s="28" t="n">
        <f aca="false">AL2312*$M2312</f>
        <v>0</v>
      </c>
      <c r="AN2312" s="28"/>
      <c r="AO2312" s="28" t="n">
        <f aca="false">AN2312*$M2312</f>
        <v>0</v>
      </c>
      <c r="AP2312" s="28"/>
      <c r="AQ2312" s="28" t="n">
        <f aca="false">AP2312*$M2312</f>
        <v>0</v>
      </c>
      <c r="AR2312" s="28"/>
      <c r="AS2312" s="28" t="n">
        <f aca="false">AR2312*$M2312</f>
        <v>0</v>
      </c>
      <c r="AT2312" s="28"/>
      <c r="AU2312" s="28" t="n">
        <f aca="false">AT2312*$M2312</f>
        <v>0</v>
      </c>
      <c r="AV2312" s="28"/>
      <c r="AW2312" s="28" t="n">
        <f aca="false">AV2312*$M2312</f>
        <v>0</v>
      </c>
      <c r="AX2312" s="28"/>
      <c r="AY2312" s="28" t="n">
        <f aca="false">AX2312*$M2312</f>
        <v>0</v>
      </c>
      <c r="AZ2312" s="30" t="n">
        <f aca="false">17923/100</f>
        <v>179.23</v>
      </c>
      <c r="BA2312" s="11" t="n">
        <v>4481</v>
      </c>
      <c r="BB2312" s="31" t="n">
        <f aca="false">SUM(Q2312,S2312,U2312,W2312,Y2312,AA2312,AC2312,AE2312,AG2312,AI2312,AK2312,AM2312,AO2312,AQ2312,AS2312,AU2312,AW2312,AY2312)</f>
        <v>4481</v>
      </c>
      <c r="BC2312" s="28" t="n">
        <f aca="false">BA2312-BB2312</f>
        <v>0</v>
      </c>
      <c r="BD2312" s="32" t="n">
        <f aca="false">SUM(P2312,R2312,T2312,V2312,X2312,Z2312,AB2312,AD2312,AF2312,AH2312,AJ2312,AL2312,AN2312,AP2312,AR2312,AT2312,AV2312,AX2312)</f>
        <v>179.23</v>
      </c>
      <c r="BE2312" s="33" t="n">
        <f aca="false">AZ2312-BD2312</f>
        <v>0</v>
      </c>
      <c r="BF2312" s="34" t="n">
        <f aca="false">BD2312*M2312</f>
        <v>4480.75</v>
      </c>
      <c r="BG2312" s="35" t="n">
        <f aca="false">BA2312-BF2312</f>
        <v>0.25</v>
      </c>
      <c r="BH2312" s="19" t="str">
        <f aca="false">IF(BG2312=0,"",IF(BG2312&lt;&gt;BA2312,"erreur de calcul",IF(BD2312&lt;&gt;0,"pas de prix",IF(M2312&lt;&gt; 0,"pas de quantité","pas de prix, ni de quantité"))))</f>
        <v>erreur de calcul</v>
      </c>
      <c r="BI2312" s="19"/>
    </row>
    <row r="2313" customFormat="false" ht="15" hidden="false" customHeight="false" outlineLevel="0" collapsed="false">
      <c r="A2313" s="0" t="n">
        <v>41</v>
      </c>
      <c r="B2313" s="8" t="s">
        <v>24</v>
      </c>
      <c r="C2313" s="9" t="s">
        <v>25</v>
      </c>
      <c r="D2313" s="9" t="s">
        <v>26</v>
      </c>
      <c r="E2313" s="10" t="n">
        <v>1789</v>
      </c>
      <c r="F2313" s="9" t="s">
        <v>27</v>
      </c>
      <c r="G2313" s="9" t="s">
        <v>27</v>
      </c>
      <c r="H2313" s="11" t="n">
        <v>23</v>
      </c>
      <c r="I2313" s="11" t="s">
        <v>284</v>
      </c>
      <c r="J2313" s="14" t="n">
        <v>17</v>
      </c>
      <c r="K2313" s="14"/>
      <c r="L2313" s="16"/>
      <c r="M2313" s="27" t="n">
        <f aca="false">J2313+(K2313/20)+(L2313/240)</f>
        <v>17</v>
      </c>
      <c r="N2313" s="17" t="s">
        <v>64</v>
      </c>
      <c r="O2313" s="11"/>
      <c r="P2313" s="28" t="n">
        <f aca="false">56873/100</f>
        <v>568.73</v>
      </c>
      <c r="Q2313" s="36" t="n">
        <v>3981</v>
      </c>
      <c r="R2313" s="28"/>
      <c r="S2313" s="28" t="n">
        <f aca="false">R2313*$M2313</f>
        <v>0</v>
      </c>
      <c r="T2313" s="28"/>
      <c r="U2313" s="28" t="n">
        <f aca="false">T2313*$M2313</f>
        <v>0</v>
      </c>
      <c r="V2313" s="28"/>
      <c r="W2313" s="28" t="n">
        <f aca="false">V2313*$M2313</f>
        <v>0</v>
      </c>
      <c r="X2313" s="28"/>
      <c r="Y2313" s="28" t="n">
        <f aca="false">X2313*$M2313</f>
        <v>0</v>
      </c>
      <c r="Z2313" s="28"/>
      <c r="AA2313" s="28" t="n">
        <f aca="false">Z2313*$M2313</f>
        <v>0</v>
      </c>
      <c r="AB2313" s="28"/>
      <c r="AC2313" s="28" t="n">
        <f aca="false">AB2313*$M2313</f>
        <v>0</v>
      </c>
      <c r="AD2313" s="28"/>
      <c r="AE2313" s="28" t="n">
        <f aca="false">AD2313*$M2313</f>
        <v>0</v>
      </c>
      <c r="AF2313" s="28"/>
      <c r="AG2313" s="28" t="n">
        <f aca="false">AF2313*$M2313</f>
        <v>0</v>
      </c>
      <c r="AH2313" s="28"/>
      <c r="AI2313" s="28" t="n">
        <f aca="false">AH2313*$M2313</f>
        <v>0</v>
      </c>
      <c r="AJ2313" s="28" t="n">
        <f aca="false">19651/100</f>
        <v>196.51</v>
      </c>
      <c r="AK2313" s="28" t="n">
        <v>3341</v>
      </c>
      <c r="AL2313" s="28"/>
      <c r="AM2313" s="28" t="n">
        <f aca="false">AL2313*$M2313</f>
        <v>0</v>
      </c>
      <c r="AN2313" s="28"/>
      <c r="AO2313" s="28" t="n">
        <f aca="false">AN2313*$M2313</f>
        <v>0</v>
      </c>
      <c r="AP2313" s="28"/>
      <c r="AQ2313" s="28" t="n">
        <f aca="false">AP2313*$M2313</f>
        <v>0</v>
      </c>
      <c r="AR2313" s="28"/>
      <c r="AS2313" s="28" t="n">
        <f aca="false">AR2313*$M2313</f>
        <v>0</v>
      </c>
      <c r="AT2313" s="28"/>
      <c r="AU2313" s="28" t="n">
        <f aca="false">AT2313*$M2313</f>
        <v>0</v>
      </c>
      <c r="AV2313" s="28"/>
      <c r="AW2313" s="28" t="n">
        <f aca="false">AV2313*$M2313</f>
        <v>0</v>
      </c>
      <c r="AX2313" s="28"/>
      <c r="AY2313" s="28" t="n">
        <f aca="false">AX2313*$M2313</f>
        <v>0</v>
      </c>
      <c r="AZ2313" s="30" t="n">
        <f aca="false">76524/100</f>
        <v>765.24</v>
      </c>
      <c r="BA2313" s="11" t="n">
        <v>7322</v>
      </c>
      <c r="BB2313" s="31" t="n">
        <f aca="false">SUM(Q2313,S2313,U2313,W2313,Y2313,AA2313,AC2313,AE2313,AG2313,AI2313,AK2313,AM2313,AO2313,AQ2313,AS2313,AU2313,AW2313,AY2313)</f>
        <v>7322</v>
      </c>
      <c r="BC2313" s="28" t="n">
        <f aca="false">BA2313-BB2313</f>
        <v>0</v>
      </c>
      <c r="BD2313" s="32" t="n">
        <f aca="false">SUM(P2313,R2313,T2313,V2313,X2313,Z2313,AB2313,AD2313,AF2313,AH2313,AJ2313,AL2313,AN2313,AP2313,AR2313,AT2313,AV2313,AX2313)</f>
        <v>765.24</v>
      </c>
      <c r="BE2313" s="33" t="n">
        <f aca="false">AZ2313-BD2313</f>
        <v>0</v>
      </c>
      <c r="BF2313" s="34" t="n">
        <f aca="false">BD2313*M2313</f>
        <v>13009.08</v>
      </c>
      <c r="BG2313" s="35" t="n">
        <f aca="false">BA2313-BF2313</f>
        <v>-5687.08</v>
      </c>
      <c r="BH2313" s="19" t="str">
        <f aca="false">IF(BG2313=0,"",IF(BG2313&lt;&gt;BA2313,"erreur de calcul",IF(BD2313&lt;&gt;0,"pas de prix",IF(M2313&lt;&gt; 0,"pas de quantité","pas de prix, ni de quantité"))))</f>
        <v>erreur de calcul</v>
      </c>
      <c r="BI2313" s="19"/>
    </row>
    <row r="2314" customFormat="false" ht="15" hidden="false" customHeight="false" outlineLevel="0" collapsed="false">
      <c r="A2314" s="0" t="n">
        <v>42</v>
      </c>
      <c r="B2314" s="8" t="s">
        <v>24</v>
      </c>
      <c r="C2314" s="9" t="s">
        <v>25</v>
      </c>
      <c r="D2314" s="9" t="s">
        <v>26</v>
      </c>
      <c r="E2314" s="10" t="n">
        <v>1789</v>
      </c>
      <c r="F2314" s="9" t="s">
        <v>27</v>
      </c>
      <c r="G2314" s="9" t="s">
        <v>27</v>
      </c>
      <c r="H2314" s="11" t="n">
        <v>23</v>
      </c>
      <c r="I2314" s="11" t="s">
        <v>285</v>
      </c>
      <c r="J2314" s="14" t="n">
        <v>15</v>
      </c>
      <c r="K2314" s="14"/>
      <c r="L2314" s="16"/>
      <c r="M2314" s="27" t="n">
        <f aca="false">J2314+(K2314/20)+(L2314/240)</f>
        <v>15</v>
      </c>
      <c r="N2314" s="17" t="s">
        <v>64</v>
      </c>
      <c r="O2314" s="11"/>
      <c r="P2314" s="28" t="n">
        <f aca="false">10520/100</f>
        <v>105.2</v>
      </c>
      <c r="Q2314" s="28" t="n">
        <v>1578</v>
      </c>
      <c r="R2314" s="28"/>
      <c r="S2314" s="28" t="n">
        <f aca="false">R2314*$M2314</f>
        <v>0</v>
      </c>
      <c r="T2314" s="28"/>
      <c r="U2314" s="28" t="n">
        <f aca="false">T2314*$M2314</f>
        <v>0</v>
      </c>
      <c r="V2314" s="28"/>
      <c r="W2314" s="28" t="n">
        <f aca="false">V2314*$M2314</f>
        <v>0</v>
      </c>
      <c r="X2314" s="28" t="n">
        <f aca="false">39052/100</f>
        <v>390.52</v>
      </c>
      <c r="Y2314" s="28" t="n">
        <v>5858</v>
      </c>
      <c r="Z2314" s="28"/>
      <c r="AA2314" s="28" t="n">
        <f aca="false">Z2314*$M2314</f>
        <v>0</v>
      </c>
      <c r="AB2314" s="28" t="n">
        <f aca="false">101189/100</f>
        <v>1011.89</v>
      </c>
      <c r="AC2314" s="28" t="n">
        <v>15178</v>
      </c>
      <c r="AD2314" s="28"/>
      <c r="AE2314" s="28" t="n">
        <f aca="false">AD2314*$M2314</f>
        <v>0</v>
      </c>
      <c r="AF2314" s="28" t="n">
        <f aca="false">48408/100</f>
        <v>484.08</v>
      </c>
      <c r="AG2314" s="28" t="n">
        <v>7261</v>
      </c>
      <c r="AH2314" s="28" t="n">
        <f aca="false">17847/100</f>
        <v>178.47</v>
      </c>
      <c r="AI2314" s="28" t="n">
        <v>2677</v>
      </c>
      <c r="AJ2314" s="28"/>
      <c r="AK2314" s="28" t="n">
        <f aca="false">AJ2314*$M2314</f>
        <v>0</v>
      </c>
      <c r="AL2314" s="28"/>
      <c r="AM2314" s="28" t="n">
        <f aca="false">AL2314*$M2314</f>
        <v>0</v>
      </c>
      <c r="AN2314" s="28"/>
      <c r="AO2314" s="28" t="n">
        <f aca="false">AN2314*$M2314</f>
        <v>0</v>
      </c>
      <c r="AP2314" s="28"/>
      <c r="AQ2314" s="28" t="n">
        <f aca="false">AP2314*$M2314</f>
        <v>0</v>
      </c>
      <c r="AR2314" s="28"/>
      <c r="AS2314" s="28" t="n">
        <f aca="false">AR2314*$M2314</f>
        <v>0</v>
      </c>
      <c r="AT2314" s="28"/>
      <c r="AU2314" s="28" t="n">
        <f aca="false">AT2314*$M2314</f>
        <v>0</v>
      </c>
      <c r="AV2314" s="28"/>
      <c r="AW2314" s="28" t="n">
        <f aca="false">AV2314*$M2314</f>
        <v>0</v>
      </c>
      <c r="AX2314" s="28"/>
      <c r="AY2314" s="28" t="n">
        <f aca="false">AX2314*$M2314</f>
        <v>0</v>
      </c>
      <c r="AZ2314" s="30" t="n">
        <f aca="false">217016/100</f>
        <v>2170.16</v>
      </c>
      <c r="BA2314" s="11" t="n">
        <v>32552</v>
      </c>
      <c r="BB2314" s="31" t="n">
        <f aca="false">SUM(Q2314,S2314,U2314,W2314,Y2314,AA2314,AC2314,AE2314,AG2314,AI2314,AK2314,AM2314,AO2314,AQ2314,AS2314,AU2314,AW2314,AY2314)</f>
        <v>32552</v>
      </c>
      <c r="BC2314" s="28" t="n">
        <f aca="false">BA2314-BB2314</f>
        <v>0</v>
      </c>
      <c r="BD2314" s="32" t="n">
        <f aca="false">SUM(P2314,R2314,T2314,V2314,X2314,Z2314,AB2314,AD2314,AF2314,AH2314,AJ2314,AL2314,AN2314,AP2314,AR2314,AT2314,AV2314,AX2314)</f>
        <v>2170.16</v>
      </c>
      <c r="BE2314" s="33" t="n">
        <f aca="false">AZ2314-BD2314</f>
        <v>0</v>
      </c>
      <c r="BF2314" s="34" t="n">
        <f aca="false">BD2314*M2314</f>
        <v>32552.4</v>
      </c>
      <c r="BG2314" s="35" t="n">
        <f aca="false">BA2314-BF2314</f>
        <v>-0.399999999997817</v>
      </c>
      <c r="BH2314" s="19" t="str">
        <f aca="false">IF(BG2314=0,"",IF(BG2314&lt;&gt;BA2314,"erreur de calcul",IF(BD2314&lt;&gt;0,"pas de prix",IF(M2314&lt;&gt; 0,"pas de quantité","pas de prix, ni de quantité"))))</f>
        <v>erreur de calcul</v>
      </c>
      <c r="BI2314" s="19"/>
    </row>
    <row r="2315" customFormat="false" ht="15" hidden="false" customHeight="false" outlineLevel="0" collapsed="false">
      <c r="A2315" s="0" t="n">
        <v>43</v>
      </c>
      <c r="B2315" s="8" t="s">
        <v>24</v>
      </c>
      <c r="C2315" s="9" t="s">
        <v>25</v>
      </c>
      <c r="D2315" s="9" t="s">
        <v>26</v>
      </c>
      <c r="E2315" s="10" t="n">
        <v>1789</v>
      </c>
      <c r="F2315" s="9" t="s">
        <v>27</v>
      </c>
      <c r="G2315" s="9" t="s">
        <v>27</v>
      </c>
      <c r="H2315" s="11" t="n">
        <v>23</v>
      </c>
      <c r="I2315" s="11" t="s">
        <v>286</v>
      </c>
      <c r="J2315" s="14" t="n">
        <v>20</v>
      </c>
      <c r="K2315" s="14"/>
      <c r="L2315" s="16"/>
      <c r="M2315" s="27" t="n">
        <f aca="false">J2315+(K2315/20)+(L2315/240)</f>
        <v>20</v>
      </c>
      <c r="N2315" s="17" t="s">
        <v>64</v>
      </c>
      <c r="O2315" s="11"/>
      <c r="P2315" s="28"/>
      <c r="Q2315" s="28" t="n">
        <f aca="false">P2315*$M2315</f>
        <v>0</v>
      </c>
      <c r="R2315" s="28"/>
      <c r="S2315" s="28" t="n">
        <f aca="false">R2315*$M2315</f>
        <v>0</v>
      </c>
      <c r="T2315" s="28"/>
      <c r="U2315" s="28" t="n">
        <f aca="false">T2315*$M2315</f>
        <v>0</v>
      </c>
      <c r="V2315" s="28"/>
      <c r="W2315" s="28" t="n">
        <f aca="false">V2315*$M2315</f>
        <v>0</v>
      </c>
      <c r="X2315" s="28"/>
      <c r="Y2315" s="28" t="n">
        <f aca="false">X2315*$M2315</f>
        <v>0</v>
      </c>
      <c r="Z2315" s="28"/>
      <c r="AA2315" s="28" t="n">
        <f aca="false">Z2315*$M2315</f>
        <v>0</v>
      </c>
      <c r="AB2315" s="28" t="n">
        <f aca="false">8852/100</f>
        <v>88.52</v>
      </c>
      <c r="AC2315" s="28" t="n">
        <v>1770</v>
      </c>
      <c r="AD2315" s="28"/>
      <c r="AE2315" s="28" t="n">
        <f aca="false">AD2315*$M2315</f>
        <v>0</v>
      </c>
      <c r="AF2315" s="28"/>
      <c r="AG2315" s="28" t="n">
        <f aca="false">AF2315*$M2315</f>
        <v>0</v>
      </c>
      <c r="AH2315" s="28"/>
      <c r="AI2315" s="28" t="n">
        <f aca="false">AH2315*$M2315</f>
        <v>0</v>
      </c>
      <c r="AJ2315" s="28"/>
      <c r="AK2315" s="28" t="n">
        <f aca="false">AJ2315*$M2315</f>
        <v>0</v>
      </c>
      <c r="AL2315" s="28"/>
      <c r="AM2315" s="28" t="n">
        <f aca="false">AL2315*$M2315</f>
        <v>0</v>
      </c>
      <c r="AN2315" s="28"/>
      <c r="AO2315" s="28" t="n">
        <f aca="false">AN2315*$M2315</f>
        <v>0</v>
      </c>
      <c r="AP2315" s="28"/>
      <c r="AQ2315" s="28" t="n">
        <f aca="false">AP2315*$M2315</f>
        <v>0</v>
      </c>
      <c r="AR2315" s="28"/>
      <c r="AS2315" s="28" t="n">
        <f aca="false">AR2315*$M2315</f>
        <v>0</v>
      </c>
      <c r="AT2315" s="28"/>
      <c r="AU2315" s="28" t="n">
        <f aca="false">AT2315*$M2315</f>
        <v>0</v>
      </c>
      <c r="AV2315" s="28"/>
      <c r="AW2315" s="28" t="n">
        <f aca="false">AV2315*$M2315</f>
        <v>0</v>
      </c>
      <c r="AX2315" s="28"/>
      <c r="AY2315" s="28" t="n">
        <f aca="false">AX2315*$M2315</f>
        <v>0</v>
      </c>
      <c r="AZ2315" s="30" t="n">
        <f aca="false">8852/100</f>
        <v>88.52</v>
      </c>
      <c r="BA2315" s="11" t="n">
        <v>1770</v>
      </c>
      <c r="BB2315" s="31" t="n">
        <f aca="false">SUM(Q2315,S2315,U2315,W2315,Y2315,AA2315,AC2315,AE2315,AG2315,AI2315,AK2315,AM2315,AO2315,AQ2315,AS2315,AU2315,AW2315,AY2315)</f>
        <v>1770</v>
      </c>
      <c r="BC2315" s="28" t="n">
        <f aca="false">BA2315-BB2315</f>
        <v>0</v>
      </c>
      <c r="BD2315" s="32" t="n">
        <f aca="false">SUM(P2315,R2315,T2315,V2315,X2315,Z2315,AB2315,AD2315,AF2315,AH2315,AJ2315,AL2315,AN2315,AP2315,AR2315,AT2315,AV2315,AX2315)</f>
        <v>88.52</v>
      </c>
      <c r="BE2315" s="33" t="n">
        <f aca="false">AZ2315-BD2315</f>
        <v>0</v>
      </c>
      <c r="BF2315" s="34" t="n">
        <f aca="false">BD2315*M2315</f>
        <v>1770.4</v>
      </c>
      <c r="BG2315" s="35" t="n">
        <f aca="false">BA2315-BF2315</f>
        <v>-0.399999999999864</v>
      </c>
      <c r="BH2315" s="19" t="str">
        <f aca="false">IF(BG2315=0,"",IF(BG2315&lt;&gt;BA2315,"erreur de calcul",IF(BD2315&lt;&gt;0,"pas de prix",IF(M2315&lt;&gt; 0,"pas de quantité","pas de prix, ni de quantité"))))</f>
        <v>erreur de calcul</v>
      </c>
      <c r="BI2315" s="19"/>
    </row>
    <row r="2316" customFormat="false" ht="15" hidden="false" customHeight="false" outlineLevel="0" collapsed="false">
      <c r="A2316" s="0" t="n">
        <v>44</v>
      </c>
      <c r="B2316" s="8" t="s">
        <v>24</v>
      </c>
      <c r="C2316" s="9" t="s">
        <v>25</v>
      </c>
      <c r="D2316" s="9" t="s">
        <v>26</v>
      </c>
      <c r="E2316" s="10" t="n">
        <v>1789</v>
      </c>
      <c r="F2316" s="9" t="s">
        <v>27</v>
      </c>
      <c r="G2316" s="9" t="s">
        <v>27</v>
      </c>
      <c r="H2316" s="11" t="n">
        <v>23</v>
      </c>
      <c r="I2316" s="11" t="s">
        <v>287</v>
      </c>
      <c r="J2316" s="14" t="n">
        <v>25</v>
      </c>
      <c r="K2316" s="14"/>
      <c r="L2316" s="16"/>
      <c r="M2316" s="27" t="n">
        <f aca="false">J2316+(K2316/20)+(L2316/240)</f>
        <v>25</v>
      </c>
      <c r="N2316" s="17" t="s">
        <v>64</v>
      </c>
      <c r="O2316" s="11" t="s">
        <v>77</v>
      </c>
      <c r="P2316" s="28" t="n">
        <f aca="false">13782/100</f>
        <v>137.82</v>
      </c>
      <c r="Q2316" s="28" t="n">
        <v>3445</v>
      </c>
      <c r="R2316" s="28"/>
      <c r="S2316" s="28" t="n">
        <f aca="false">R2316*$M2316</f>
        <v>0</v>
      </c>
      <c r="T2316" s="28"/>
      <c r="U2316" s="28" t="n">
        <f aca="false">T2316*$M2316</f>
        <v>0</v>
      </c>
      <c r="V2316" s="28" t="n">
        <f aca="false">4293/100</f>
        <v>42.93</v>
      </c>
      <c r="W2316" s="28" t="n">
        <v>1073</v>
      </c>
      <c r="X2316" s="28"/>
      <c r="Y2316" s="28" t="n">
        <f aca="false">X2316*$M2316</f>
        <v>0</v>
      </c>
      <c r="Z2316" s="28"/>
      <c r="AA2316" s="28" t="n">
        <f aca="false">Z2316*$M2316</f>
        <v>0</v>
      </c>
      <c r="AB2316" s="28"/>
      <c r="AC2316" s="28" t="n">
        <f aca="false">AB2316*$M2316</f>
        <v>0</v>
      </c>
      <c r="AD2316" s="28"/>
      <c r="AE2316" s="28" t="n">
        <f aca="false">AD2316*$M2316</f>
        <v>0</v>
      </c>
      <c r="AF2316" s="28"/>
      <c r="AG2316" s="28" t="n">
        <f aca="false">AF2316*$M2316</f>
        <v>0</v>
      </c>
      <c r="AH2316" s="28"/>
      <c r="AI2316" s="28" t="n">
        <f aca="false">AH2316*$M2316</f>
        <v>0</v>
      </c>
      <c r="AJ2316" s="28"/>
      <c r="AK2316" s="28" t="n">
        <f aca="false">AJ2316*$M2316</f>
        <v>0</v>
      </c>
      <c r="AL2316" s="28"/>
      <c r="AM2316" s="28" t="n">
        <f aca="false">AL2316*$M2316</f>
        <v>0</v>
      </c>
      <c r="AN2316" s="28"/>
      <c r="AO2316" s="28" t="n">
        <f aca="false">AN2316*$M2316</f>
        <v>0</v>
      </c>
      <c r="AP2316" s="28"/>
      <c r="AQ2316" s="28" t="n">
        <f aca="false">AP2316*$M2316</f>
        <v>0</v>
      </c>
      <c r="AR2316" s="28"/>
      <c r="AS2316" s="28" t="n">
        <f aca="false">AR2316*$M2316</f>
        <v>0</v>
      </c>
      <c r="AT2316" s="28"/>
      <c r="AU2316" s="28" t="n">
        <f aca="false">AT2316*$M2316</f>
        <v>0</v>
      </c>
      <c r="AV2316" s="28"/>
      <c r="AW2316" s="28" t="n">
        <f aca="false">AV2316*$M2316</f>
        <v>0</v>
      </c>
      <c r="AX2316" s="28"/>
      <c r="AY2316" s="28" t="n">
        <f aca="false">AX2316*$M2316</f>
        <v>0</v>
      </c>
      <c r="AZ2316" s="30" t="n">
        <f aca="false">18075/100</f>
        <v>180.75</v>
      </c>
      <c r="BA2316" s="11" t="n">
        <v>4518</v>
      </c>
      <c r="BB2316" s="31" t="n">
        <f aca="false">SUM(Q2316,S2316,U2316,W2316,Y2316,AA2316,AC2316,AE2316,AG2316,AI2316,AK2316,AM2316,AO2316,AQ2316,AS2316,AU2316,AW2316,AY2316)</f>
        <v>4518</v>
      </c>
      <c r="BC2316" s="28" t="n">
        <f aca="false">BA2316-BB2316</f>
        <v>0</v>
      </c>
      <c r="BD2316" s="32" t="n">
        <f aca="false">SUM(P2316,R2316,T2316,V2316,X2316,Z2316,AB2316,AD2316,AF2316,AH2316,AJ2316,AL2316,AN2316,AP2316,AR2316,AT2316,AV2316,AX2316)</f>
        <v>180.75</v>
      </c>
      <c r="BE2316" s="33" t="n">
        <f aca="false">AZ2316-BD2316</f>
        <v>0</v>
      </c>
      <c r="BF2316" s="34" t="n">
        <f aca="false">BD2316*M2316</f>
        <v>4518.75</v>
      </c>
      <c r="BG2316" s="35" t="n">
        <f aca="false">BA2316-BF2316</f>
        <v>-0.75</v>
      </c>
      <c r="BH2316" s="19" t="str">
        <f aca="false">IF(BG2316=0,"",IF(BG2316&lt;&gt;BA2316,"erreur de calcul",IF(BD2316&lt;&gt;0,"pas de prix",IF(M2316&lt;&gt; 0,"pas de quantité","pas de prix, ni de quantité"))))</f>
        <v>erreur de calcul</v>
      </c>
      <c r="BI2316" s="19"/>
    </row>
    <row r="2317" customFormat="false" ht="15" hidden="false" customHeight="false" outlineLevel="0" collapsed="false">
      <c r="A2317" s="0" t="n">
        <v>1</v>
      </c>
      <c r="B2317" s="8" t="s">
        <v>24</v>
      </c>
      <c r="C2317" s="9" t="s">
        <v>25</v>
      </c>
      <c r="D2317" s="9" t="s">
        <v>26</v>
      </c>
      <c r="E2317" s="10" t="n">
        <v>1789</v>
      </c>
      <c r="F2317" s="9" t="s">
        <v>27</v>
      </c>
      <c r="G2317" s="9" t="s">
        <v>27</v>
      </c>
      <c r="H2317" s="11" t="n">
        <v>24</v>
      </c>
      <c r="I2317" s="11" t="s">
        <v>288</v>
      </c>
      <c r="J2317" s="14" t="n">
        <v>250</v>
      </c>
      <c r="K2317" s="14"/>
      <c r="L2317" s="16"/>
      <c r="M2317" s="27" t="n">
        <f aca="false">J2317+(K2317/20)+(L2317/240)</f>
        <v>250</v>
      </c>
      <c r="N2317" s="17" t="s">
        <v>64</v>
      </c>
      <c r="O2317" s="11"/>
      <c r="P2317" s="28"/>
      <c r="Q2317" s="28" t="n">
        <f aca="false">P2317*$M2317</f>
        <v>0</v>
      </c>
      <c r="R2317" s="28"/>
      <c r="S2317" s="28" t="n">
        <f aca="false">R2317*$M2317</f>
        <v>0</v>
      </c>
      <c r="T2317" s="28"/>
      <c r="U2317" s="28" t="n">
        <f aca="false">T2317*$M2317</f>
        <v>0</v>
      </c>
      <c r="V2317" s="28"/>
      <c r="W2317" s="28" t="n">
        <f aca="false">V2317*$M2317</f>
        <v>0</v>
      </c>
      <c r="X2317" s="28"/>
      <c r="Y2317" s="28" t="n">
        <f aca="false">X2317*$M2317</f>
        <v>0</v>
      </c>
      <c r="Z2317" s="28"/>
      <c r="AA2317" s="28" t="n">
        <f aca="false">Z2317*$M2317</f>
        <v>0</v>
      </c>
      <c r="AB2317" s="28"/>
      <c r="AC2317" s="28" t="n">
        <f aca="false">AB2317*$M2317</f>
        <v>0</v>
      </c>
      <c r="AD2317" s="28"/>
      <c r="AE2317" s="28" t="n">
        <f aca="false">AD2317*$M2317</f>
        <v>0</v>
      </c>
      <c r="AF2317" s="28"/>
      <c r="AG2317" s="28" t="n">
        <f aca="false">AF2317*$M2317</f>
        <v>0</v>
      </c>
      <c r="AH2317" s="28" t="n">
        <f aca="false">5374/100</f>
        <v>53.74</v>
      </c>
      <c r="AI2317" s="28" t="n">
        <v>13435</v>
      </c>
      <c r="AJ2317" s="28"/>
      <c r="AK2317" s="28" t="n">
        <f aca="false">AJ2317*$M2317</f>
        <v>0</v>
      </c>
      <c r="AL2317" s="28"/>
      <c r="AM2317" s="28" t="n">
        <f aca="false">AL2317*$M2317</f>
        <v>0</v>
      </c>
      <c r="AN2317" s="28"/>
      <c r="AO2317" s="28" t="n">
        <f aca="false">AN2317*$M2317</f>
        <v>0</v>
      </c>
      <c r="AP2317" s="28"/>
      <c r="AQ2317" s="28" t="n">
        <f aca="false">AP2317*$M2317</f>
        <v>0</v>
      </c>
      <c r="AR2317" s="28"/>
      <c r="AS2317" s="28" t="n">
        <f aca="false">AR2317*$M2317</f>
        <v>0</v>
      </c>
      <c r="AT2317" s="28"/>
      <c r="AU2317" s="28" t="n">
        <f aca="false">AT2317*$M2317</f>
        <v>0</v>
      </c>
      <c r="AV2317" s="28"/>
      <c r="AW2317" s="28" t="n">
        <f aca="false">AV2317*$M2317</f>
        <v>0</v>
      </c>
      <c r="AX2317" s="28"/>
      <c r="AY2317" s="28" t="n">
        <f aca="false">AX2317*$M2317</f>
        <v>0</v>
      </c>
      <c r="AZ2317" s="30" t="n">
        <f aca="false">5374/100</f>
        <v>53.74</v>
      </c>
      <c r="BA2317" s="11" t="n">
        <v>13435</v>
      </c>
      <c r="BB2317" s="31" t="n">
        <f aca="false">SUM(Q2317,S2317,U2317,W2317,Y2317,AA2317,AC2317,AE2317,AG2317,AI2317,AK2317,AM2317,AO2317,AQ2317,AS2317,AU2317,AW2317,AY2317)</f>
        <v>13435</v>
      </c>
      <c r="BC2317" s="28" t="n">
        <f aca="false">BA2317-BB2317</f>
        <v>0</v>
      </c>
      <c r="BD2317" s="32" t="n">
        <f aca="false">SUM(P2317,R2317,T2317,V2317,X2317,Z2317,AB2317,AD2317,AF2317,AH2317,AJ2317,AL2317,AN2317,AP2317,AR2317,AT2317,AV2317,AX2317)</f>
        <v>53.74</v>
      </c>
      <c r="BE2317" s="33" t="n">
        <f aca="false">AZ2317-BD2317</f>
        <v>0</v>
      </c>
      <c r="BF2317" s="34" t="n">
        <f aca="false">BD2317*M2317</f>
        <v>13435</v>
      </c>
      <c r="BG2317" s="35" t="n">
        <f aca="false">BA2317-BF2317</f>
        <v>0</v>
      </c>
      <c r="BH2317" s="19" t="str">
        <f aca="false">IF(BG2317=0,"",IF(BG2317&lt;&gt;BA2317,"erreur de calcul",IF(BD2317&lt;&gt;0,"pas de prix",IF(M2317&lt;&gt; 0,"pas de quantité","pas de prix, ni de quantité"))))</f>
        <v/>
      </c>
      <c r="BI2317" s="19"/>
    </row>
    <row r="2318" customFormat="false" ht="15" hidden="false" customHeight="false" outlineLevel="0" collapsed="false">
      <c r="A2318" s="0" t="n">
        <v>2</v>
      </c>
      <c r="B2318" s="8" t="s">
        <v>24</v>
      </c>
      <c r="C2318" s="9" t="s">
        <v>25</v>
      </c>
      <c r="D2318" s="9" t="s">
        <v>26</v>
      </c>
      <c r="E2318" s="10" t="n">
        <v>1789</v>
      </c>
      <c r="F2318" s="9" t="s">
        <v>27</v>
      </c>
      <c r="G2318" s="9" t="s">
        <v>27</v>
      </c>
      <c r="H2318" s="11" t="n">
        <v>24</v>
      </c>
      <c r="I2318" s="11" t="s">
        <v>289</v>
      </c>
      <c r="J2318" s="14" t="n">
        <v>3</v>
      </c>
      <c r="K2318" s="14"/>
      <c r="L2318" s="16"/>
      <c r="M2318" s="27" t="n">
        <f aca="false">J2318+(K2318/20)+(L2318/240)</f>
        <v>3</v>
      </c>
      <c r="N2318" s="17" t="s">
        <v>66</v>
      </c>
      <c r="O2318" s="11"/>
      <c r="P2318" s="28"/>
      <c r="Q2318" s="28" t="n">
        <f aca="false">P2318*$M2318</f>
        <v>0</v>
      </c>
      <c r="R2318" s="28"/>
      <c r="S2318" s="28" t="n">
        <f aca="false">R2318*$M2318</f>
        <v>0</v>
      </c>
      <c r="T2318" s="28"/>
      <c r="U2318" s="28" t="n">
        <f aca="false">T2318*$M2318</f>
        <v>0</v>
      </c>
      <c r="V2318" s="28"/>
      <c r="W2318" s="28" t="n">
        <f aca="false">V2318*$M2318</f>
        <v>0</v>
      </c>
      <c r="X2318" s="28"/>
      <c r="Y2318" s="28" t="n">
        <f aca="false">X2318*$M2318</f>
        <v>0</v>
      </c>
      <c r="Z2318" s="28"/>
      <c r="AA2318" s="28" t="n">
        <f aca="false">Z2318*$M2318</f>
        <v>0</v>
      </c>
      <c r="AB2318" s="28"/>
      <c r="AC2318" s="28" t="n">
        <f aca="false">AB2318*$M2318</f>
        <v>0</v>
      </c>
      <c r="AD2318" s="28"/>
      <c r="AE2318" s="28" t="n">
        <f aca="false">AD2318*$M2318</f>
        <v>0</v>
      </c>
      <c r="AF2318" s="28"/>
      <c r="AG2318" s="28" t="n">
        <f aca="false">AF2318*$M2318</f>
        <v>0</v>
      </c>
      <c r="AH2318" s="28" t="n">
        <v>261</v>
      </c>
      <c r="AI2318" s="28" t="n">
        <v>783</v>
      </c>
      <c r="AJ2318" s="28"/>
      <c r="AK2318" s="28" t="n">
        <f aca="false">AJ2318*$M2318</f>
        <v>0</v>
      </c>
      <c r="AL2318" s="28"/>
      <c r="AM2318" s="28" t="n">
        <f aca="false">AL2318*$M2318</f>
        <v>0</v>
      </c>
      <c r="AN2318" s="28"/>
      <c r="AO2318" s="28" t="n">
        <f aca="false">AN2318*$M2318</f>
        <v>0</v>
      </c>
      <c r="AP2318" s="28"/>
      <c r="AQ2318" s="28" t="n">
        <f aca="false">AP2318*$M2318</f>
        <v>0</v>
      </c>
      <c r="AR2318" s="28"/>
      <c r="AS2318" s="28" t="n">
        <f aca="false">AR2318*$M2318</f>
        <v>0</v>
      </c>
      <c r="AT2318" s="28"/>
      <c r="AU2318" s="28" t="n">
        <f aca="false">AT2318*$M2318</f>
        <v>0</v>
      </c>
      <c r="AV2318" s="28"/>
      <c r="AW2318" s="28" t="n">
        <f aca="false">AV2318*$M2318</f>
        <v>0</v>
      </c>
      <c r="AX2318" s="28"/>
      <c r="AY2318" s="28" t="n">
        <f aca="false">AX2318*$M2318</f>
        <v>0</v>
      </c>
      <c r="AZ2318" s="30" t="n">
        <v>261</v>
      </c>
      <c r="BA2318" s="11" t="n">
        <v>783</v>
      </c>
      <c r="BB2318" s="31" t="n">
        <f aca="false">SUM(Q2318,S2318,U2318,W2318,Y2318,AA2318,AC2318,AE2318,AG2318,AI2318,AK2318,AM2318,AO2318,AQ2318,AS2318,AU2318,AW2318,AY2318)</f>
        <v>783</v>
      </c>
      <c r="BC2318" s="28" t="n">
        <f aca="false">BA2318-BB2318</f>
        <v>0</v>
      </c>
      <c r="BD2318" s="32" t="n">
        <f aca="false">SUM(P2318,R2318,T2318,V2318,X2318,Z2318,AB2318,AD2318,AF2318,AH2318,AJ2318,AL2318,AN2318,AP2318,AR2318,AT2318,AV2318,AX2318)</f>
        <v>261</v>
      </c>
      <c r="BE2318" s="33" t="n">
        <f aca="false">AZ2318-BD2318</f>
        <v>0</v>
      </c>
      <c r="BF2318" s="34" t="n">
        <f aca="false">BD2318*M2318</f>
        <v>783</v>
      </c>
      <c r="BG2318" s="35" t="n">
        <f aca="false">BA2318-BF2318</f>
        <v>0</v>
      </c>
      <c r="BH2318" s="19" t="str">
        <f aca="false">IF(BG2318=0,"",IF(BG2318&lt;&gt;BA2318,"erreur de calcul",IF(BD2318&lt;&gt;0,"pas de prix",IF(M2318&lt;&gt; 0,"pas de quantité","pas de prix, ni de quantité"))))</f>
        <v/>
      </c>
      <c r="BI2318" s="19"/>
    </row>
    <row r="2319" customFormat="false" ht="15" hidden="false" customHeight="false" outlineLevel="0" collapsed="false">
      <c r="A2319" s="0" t="n">
        <v>3</v>
      </c>
      <c r="B2319" s="8" t="s">
        <v>24</v>
      </c>
      <c r="C2319" s="9" t="s">
        <v>25</v>
      </c>
      <c r="D2319" s="9" t="s">
        <v>26</v>
      </c>
      <c r="E2319" s="10" t="n">
        <v>1789</v>
      </c>
      <c r="F2319" s="9" t="s">
        <v>27</v>
      </c>
      <c r="G2319" s="9" t="s">
        <v>27</v>
      </c>
      <c r="H2319" s="11" t="n">
        <v>24</v>
      </c>
      <c r="I2319" s="11" t="s">
        <v>290</v>
      </c>
      <c r="J2319" s="14" t="n">
        <v>5</v>
      </c>
      <c r="K2319" s="14"/>
      <c r="L2319" s="16"/>
      <c r="M2319" s="27" t="n">
        <f aca="false">J2319+(K2319/20)+(L2319/240)</f>
        <v>5</v>
      </c>
      <c r="N2319" s="17" t="s">
        <v>66</v>
      </c>
      <c r="O2319" s="11"/>
      <c r="P2319" s="28"/>
      <c r="Q2319" s="28" t="n">
        <f aca="false">P2319*$M2319</f>
        <v>0</v>
      </c>
      <c r="R2319" s="28"/>
      <c r="S2319" s="28" t="n">
        <f aca="false">R2319*$M2319</f>
        <v>0</v>
      </c>
      <c r="T2319" s="28"/>
      <c r="U2319" s="28" t="n">
        <v>4765</v>
      </c>
      <c r="V2319" s="28"/>
      <c r="W2319" s="28" t="n">
        <f aca="false">V2319*$M2319</f>
        <v>0</v>
      </c>
      <c r="X2319" s="28"/>
      <c r="Y2319" s="28" t="n">
        <f aca="false">X2319*$M2319</f>
        <v>0</v>
      </c>
      <c r="Z2319" s="28"/>
      <c r="AA2319" s="28" t="n">
        <f aca="false">Z2319*$M2319</f>
        <v>0</v>
      </c>
      <c r="AB2319" s="28"/>
      <c r="AC2319" s="28" t="n">
        <f aca="false">AB2319*$M2319</f>
        <v>0</v>
      </c>
      <c r="AD2319" s="28"/>
      <c r="AE2319" s="28" t="n">
        <f aca="false">AD2319*$M2319</f>
        <v>0</v>
      </c>
      <c r="AF2319" s="28"/>
      <c r="AG2319" s="28" t="n">
        <f aca="false">AF2319*$M2319</f>
        <v>0</v>
      </c>
      <c r="AH2319" s="28"/>
      <c r="AI2319" s="28" t="n">
        <f aca="false">AH2319*$M2319</f>
        <v>0</v>
      </c>
      <c r="AJ2319" s="28"/>
      <c r="AK2319" s="28" t="n">
        <f aca="false">AJ2319*$M2319</f>
        <v>0</v>
      </c>
      <c r="AL2319" s="28"/>
      <c r="AM2319" s="28" t="n">
        <f aca="false">AL2319*$M2319</f>
        <v>0</v>
      </c>
      <c r="AN2319" s="28"/>
      <c r="AO2319" s="28" t="n">
        <f aca="false">AN2319*$M2319</f>
        <v>0</v>
      </c>
      <c r="AP2319" s="28"/>
      <c r="AQ2319" s="28" t="n">
        <f aca="false">AP2319*$M2319</f>
        <v>0</v>
      </c>
      <c r="AR2319" s="28"/>
      <c r="AS2319" s="28" t="n">
        <f aca="false">AR2319*$M2319</f>
        <v>0</v>
      </c>
      <c r="AT2319" s="28"/>
      <c r="AU2319" s="28" t="n">
        <f aca="false">AT2319*$M2319</f>
        <v>0</v>
      </c>
      <c r="AV2319" s="28"/>
      <c r="AW2319" s="28" t="n">
        <f aca="false">AV2319*$M2319</f>
        <v>0</v>
      </c>
      <c r="AX2319" s="28"/>
      <c r="AY2319" s="28" t="n">
        <f aca="false">AX2319*$M2319</f>
        <v>0</v>
      </c>
      <c r="AZ2319" s="30"/>
      <c r="BA2319" s="11" t="n">
        <v>4765</v>
      </c>
      <c r="BB2319" s="31" t="n">
        <f aca="false">SUM(Q2319,S2319,U2319,W2319,Y2319,AA2319,AC2319,AE2319,AG2319,AI2319,AK2319,AM2319,AO2319,AQ2319,AS2319,AU2319,AW2319,AY2319)</f>
        <v>4765</v>
      </c>
      <c r="BC2319" s="28" t="n">
        <f aca="false">BA2319-BB2319</f>
        <v>0</v>
      </c>
      <c r="BD2319" s="32" t="n">
        <f aca="false">SUM(P2319,R2319,T2319,V2319,X2319,Z2319,AB2319,AD2319,AF2319,AH2319,AJ2319,AL2319,AN2319,AP2319,AR2319,AT2319,AV2319,AX2319)</f>
        <v>0</v>
      </c>
      <c r="BE2319" s="33" t="n">
        <f aca="false">AZ2319-BD2319</f>
        <v>0</v>
      </c>
      <c r="BF2319" s="34" t="n">
        <f aca="false">BD2319*M2319</f>
        <v>0</v>
      </c>
      <c r="BG2319" s="35" t="n">
        <f aca="false">BA2319-BF2319</f>
        <v>4765</v>
      </c>
      <c r="BH2319" s="19" t="str">
        <f aca="false">IF(BG2319=0,"",IF(BG2319&lt;&gt;BA2319,"erreur de calcul",IF(BD2319&lt;&gt;0,"pas de prix",IF(M2319&lt;&gt; 0,"pas de quantité","pas de prix, ni de quantité"))))</f>
        <v>pas de quantité</v>
      </c>
      <c r="BI2319" s="19"/>
    </row>
    <row r="2320" customFormat="false" ht="15" hidden="false" customHeight="false" outlineLevel="0" collapsed="false">
      <c r="A2320" s="0" t="n">
        <v>4</v>
      </c>
      <c r="B2320" s="8" t="s">
        <v>24</v>
      </c>
      <c r="C2320" s="9" t="s">
        <v>25</v>
      </c>
      <c r="D2320" s="9" t="s">
        <v>26</v>
      </c>
      <c r="E2320" s="10" t="n">
        <v>1789</v>
      </c>
      <c r="F2320" s="9" t="s">
        <v>27</v>
      </c>
      <c r="G2320" s="9" t="s">
        <v>27</v>
      </c>
      <c r="H2320" s="11" t="n">
        <v>24</v>
      </c>
      <c r="I2320" s="11" t="s">
        <v>291</v>
      </c>
      <c r="J2320" s="14" t="n">
        <v>36</v>
      </c>
      <c r="K2320" s="14"/>
      <c r="L2320" s="16"/>
      <c r="M2320" s="27" t="n">
        <f aca="false">J2320+(K2320/20)+(L2320/240)</f>
        <v>36</v>
      </c>
      <c r="N2320" s="17" t="s">
        <v>66</v>
      </c>
      <c r="O2320" s="11"/>
      <c r="P2320" s="28"/>
      <c r="Q2320" s="28" t="n">
        <f aca="false">P2320*$M2320</f>
        <v>0</v>
      </c>
      <c r="R2320" s="28"/>
      <c r="S2320" s="28" t="n">
        <f aca="false">R2320*$M2320</f>
        <v>0</v>
      </c>
      <c r="T2320" s="28"/>
      <c r="U2320" s="28" t="n">
        <f aca="false">T2320*$M2320</f>
        <v>0</v>
      </c>
      <c r="V2320" s="28"/>
      <c r="W2320" s="28" t="n">
        <f aca="false">V2320*$M2320</f>
        <v>0</v>
      </c>
      <c r="X2320" s="28"/>
      <c r="Y2320" s="28" t="n">
        <f aca="false">X2320*$M2320</f>
        <v>0</v>
      </c>
      <c r="Z2320" s="28"/>
      <c r="AA2320" s="28" t="n">
        <f aca="false">Z2320*$M2320</f>
        <v>0</v>
      </c>
      <c r="AB2320" s="28"/>
      <c r="AC2320" s="28" t="n">
        <f aca="false">AB2320*$M2320</f>
        <v>0</v>
      </c>
      <c r="AD2320" s="28"/>
      <c r="AE2320" s="28" t="n">
        <f aca="false">AD2320*$M2320</f>
        <v>0</v>
      </c>
      <c r="AF2320" s="28"/>
      <c r="AG2320" s="28" t="n">
        <f aca="false">AF2320*$M2320</f>
        <v>0</v>
      </c>
      <c r="AH2320" s="28"/>
      <c r="AI2320" s="28" t="n">
        <f aca="false">AH2320*$M2320</f>
        <v>0</v>
      </c>
      <c r="AJ2320" s="28" t="n">
        <v>387</v>
      </c>
      <c r="AK2320" s="28" t="n">
        <v>13932</v>
      </c>
      <c r="AL2320" s="28"/>
      <c r="AM2320" s="28" t="n">
        <f aca="false">AL2320*$M2320</f>
        <v>0</v>
      </c>
      <c r="AN2320" s="28"/>
      <c r="AO2320" s="28" t="n">
        <f aca="false">AN2320*$M2320</f>
        <v>0</v>
      </c>
      <c r="AP2320" s="28"/>
      <c r="AQ2320" s="28" t="n">
        <f aca="false">AP2320*$M2320</f>
        <v>0</v>
      </c>
      <c r="AR2320" s="28"/>
      <c r="AS2320" s="28" t="n">
        <f aca="false">AR2320*$M2320</f>
        <v>0</v>
      </c>
      <c r="AT2320" s="28"/>
      <c r="AU2320" s="28" t="n">
        <f aca="false">AT2320*$M2320</f>
        <v>0</v>
      </c>
      <c r="AV2320" s="28"/>
      <c r="AW2320" s="28" t="n">
        <f aca="false">AV2320*$M2320</f>
        <v>0</v>
      </c>
      <c r="AX2320" s="28"/>
      <c r="AY2320" s="28" t="n">
        <f aca="false">AX2320*$M2320</f>
        <v>0</v>
      </c>
      <c r="AZ2320" s="30" t="n">
        <v>387</v>
      </c>
      <c r="BA2320" s="11" t="n">
        <v>13932</v>
      </c>
      <c r="BB2320" s="31" t="n">
        <f aca="false">SUM(Q2320,S2320,U2320,W2320,Y2320,AA2320,AC2320,AE2320,AG2320,AI2320,AK2320,AM2320,AO2320,AQ2320,AS2320,AU2320,AW2320,AY2320)</f>
        <v>13932</v>
      </c>
      <c r="BC2320" s="28" t="n">
        <f aca="false">BA2320-BB2320</f>
        <v>0</v>
      </c>
      <c r="BD2320" s="32" t="n">
        <f aca="false">SUM(P2320,R2320,T2320,V2320,X2320,Z2320,AB2320,AD2320,AF2320,AH2320,AJ2320,AL2320,AN2320,AP2320,AR2320,AT2320,AV2320,AX2320)</f>
        <v>387</v>
      </c>
      <c r="BE2320" s="33" t="n">
        <f aca="false">AZ2320-BD2320</f>
        <v>0</v>
      </c>
      <c r="BF2320" s="34" t="n">
        <f aca="false">BD2320*M2320</f>
        <v>13932</v>
      </c>
      <c r="BG2320" s="35" t="n">
        <f aca="false">BA2320-BF2320</f>
        <v>0</v>
      </c>
      <c r="BH2320" s="19" t="str">
        <f aca="false">IF(BG2320=0,"",IF(BG2320&lt;&gt;BA2320,"erreur de calcul",IF(BD2320&lt;&gt;0,"pas de prix",IF(M2320&lt;&gt; 0,"pas de quantité","pas de prix, ni de quantité"))))</f>
        <v/>
      </c>
      <c r="BI2320" s="19"/>
    </row>
    <row r="2321" customFormat="false" ht="15" hidden="false" customHeight="false" outlineLevel="0" collapsed="false">
      <c r="A2321" s="0" t="n">
        <v>5</v>
      </c>
      <c r="B2321" s="8" t="s">
        <v>24</v>
      </c>
      <c r="C2321" s="9" t="s">
        <v>25</v>
      </c>
      <c r="D2321" s="9" t="s">
        <v>26</v>
      </c>
      <c r="E2321" s="10" t="n">
        <v>1789</v>
      </c>
      <c r="F2321" s="9" t="s">
        <v>27</v>
      </c>
      <c r="G2321" s="9" t="s">
        <v>27</v>
      </c>
      <c r="H2321" s="11" t="n">
        <v>24</v>
      </c>
      <c r="I2321" s="11" t="s">
        <v>292</v>
      </c>
      <c r="J2321" s="14" t="n">
        <v>40</v>
      </c>
      <c r="K2321" s="14"/>
      <c r="L2321" s="16"/>
      <c r="M2321" s="27" t="n">
        <f aca="false">J2321+(K2321/20)+(L2321/240)</f>
        <v>40</v>
      </c>
      <c r="N2321" s="17" t="s">
        <v>64</v>
      </c>
      <c r="O2321" s="11" t="s">
        <v>277</v>
      </c>
      <c r="P2321" s="28"/>
      <c r="Q2321" s="28" t="n">
        <f aca="false">P2321*$M2321</f>
        <v>0</v>
      </c>
      <c r="R2321" s="28"/>
      <c r="S2321" s="28" t="n">
        <f aca="false">R2321*$M2321</f>
        <v>0</v>
      </c>
      <c r="T2321" s="28" t="n">
        <f aca="false">5917/100</f>
        <v>59.17</v>
      </c>
      <c r="U2321" s="28" t="n">
        <v>2367</v>
      </c>
      <c r="V2321" s="28" t="n">
        <f aca="false">12510/100</f>
        <v>125.1</v>
      </c>
      <c r="W2321" s="28" t="n">
        <f aca="false">V2321*$M2321</f>
        <v>5004</v>
      </c>
      <c r="X2321" s="28"/>
      <c r="Y2321" s="28" t="n">
        <f aca="false">X2321*$M2321</f>
        <v>0</v>
      </c>
      <c r="Z2321" s="28"/>
      <c r="AA2321" s="28" t="n">
        <f aca="false">Z2321*$M2321</f>
        <v>0</v>
      </c>
      <c r="AB2321" s="28" t="n">
        <f aca="false">50338/100</f>
        <v>503.38</v>
      </c>
      <c r="AC2321" s="28" t="n">
        <v>20135</v>
      </c>
      <c r="AD2321" s="28"/>
      <c r="AE2321" s="28" t="n">
        <f aca="false">AD2321*$M2321</f>
        <v>0</v>
      </c>
      <c r="AF2321" s="28"/>
      <c r="AG2321" s="28" t="n">
        <f aca="false">AF2321*$M2321</f>
        <v>0</v>
      </c>
      <c r="AH2321" s="28" t="n">
        <f aca="false">440/100</f>
        <v>4.4</v>
      </c>
      <c r="AI2321" s="28" t="n">
        <v>176</v>
      </c>
      <c r="AJ2321" s="28" t="n">
        <f aca="false">18094/100</f>
        <v>180.94</v>
      </c>
      <c r="AK2321" s="28" t="n">
        <v>7238</v>
      </c>
      <c r="AL2321" s="28"/>
      <c r="AM2321" s="28" t="n">
        <f aca="false">AL2321*$M2321</f>
        <v>0</v>
      </c>
      <c r="AN2321" s="28"/>
      <c r="AO2321" s="28" t="n">
        <f aca="false">AN2321*$M2321</f>
        <v>0</v>
      </c>
      <c r="AP2321" s="28"/>
      <c r="AQ2321" s="28" t="n">
        <f aca="false">AP2321*$M2321</f>
        <v>0</v>
      </c>
      <c r="AR2321" s="28"/>
      <c r="AS2321" s="28" t="n">
        <f aca="false">AR2321*$M2321</f>
        <v>0</v>
      </c>
      <c r="AT2321" s="28"/>
      <c r="AU2321" s="28" t="n">
        <f aca="false">AT2321*$M2321</f>
        <v>0</v>
      </c>
      <c r="AV2321" s="28"/>
      <c r="AW2321" s="28" t="n">
        <f aca="false">AV2321*$M2321</f>
        <v>0</v>
      </c>
      <c r="AX2321" s="28"/>
      <c r="AY2321" s="28" t="n">
        <f aca="false">AX2321*$M2321</f>
        <v>0</v>
      </c>
      <c r="AZ2321" s="30" t="n">
        <f aca="false">87279/100</f>
        <v>872.79</v>
      </c>
      <c r="BA2321" s="11" t="n">
        <v>34920</v>
      </c>
      <c r="BB2321" s="31" t="n">
        <f aca="false">SUM(Q2321,S2321,U2321,W2321,Y2321,AA2321,AC2321,AE2321,AG2321,AI2321,AK2321,AM2321,AO2321,AQ2321,AS2321,AU2321,AW2321,AY2321)</f>
        <v>34920</v>
      </c>
      <c r="BC2321" s="28" t="n">
        <f aca="false">BA2321-BB2321</f>
        <v>0</v>
      </c>
      <c r="BD2321" s="32" t="n">
        <f aca="false">SUM(P2321,R2321,T2321,V2321,X2321,Z2321,AB2321,AD2321,AF2321,AH2321,AJ2321,AL2321,AN2321,AP2321,AR2321,AT2321,AV2321,AX2321)</f>
        <v>872.99</v>
      </c>
      <c r="BE2321" s="33" t="n">
        <f aca="false">AZ2321-BD2321</f>
        <v>-0.200000000000045</v>
      </c>
      <c r="BF2321" s="34" t="n">
        <f aca="false">BD2321*M2321</f>
        <v>34919.6</v>
      </c>
      <c r="BG2321" s="35" t="n">
        <f aca="false">BA2321-BF2321</f>
        <v>0.400000000001455</v>
      </c>
      <c r="BH2321" s="19" t="str">
        <f aca="false">IF(BG2321=0,"",IF(BG2321&lt;&gt;BA2321,"erreur de calcul",IF(BD2321&lt;&gt;0,"pas de prix",IF(M2321&lt;&gt; 0,"pas de quantité","pas de prix, ni de quantité"))))</f>
        <v>erreur de calcul</v>
      </c>
      <c r="BI2321" s="19"/>
    </row>
    <row r="2322" customFormat="false" ht="15" hidden="false" customHeight="false" outlineLevel="0" collapsed="false">
      <c r="A2322" s="0" t="n">
        <v>6</v>
      </c>
      <c r="B2322" s="8" t="s">
        <v>24</v>
      </c>
      <c r="C2322" s="9" t="s">
        <v>25</v>
      </c>
      <c r="D2322" s="9" t="s">
        <v>26</v>
      </c>
      <c r="E2322" s="10" t="n">
        <v>1789</v>
      </c>
      <c r="F2322" s="9" t="s">
        <v>27</v>
      </c>
      <c r="G2322" s="9" t="s">
        <v>27</v>
      </c>
      <c r="H2322" s="11" t="n">
        <v>24</v>
      </c>
      <c r="I2322" s="11" t="s">
        <v>293</v>
      </c>
      <c r="J2322" s="14" t="n">
        <v>72</v>
      </c>
      <c r="K2322" s="14"/>
      <c r="L2322" s="16"/>
      <c r="M2322" s="27" t="n">
        <f aca="false">J2322+(K2322/20)+(L2322/240)</f>
        <v>72</v>
      </c>
      <c r="N2322" s="17" t="s">
        <v>294</v>
      </c>
      <c r="O2322" s="11"/>
      <c r="P2322" s="28" t="n">
        <v>16096</v>
      </c>
      <c r="Q2322" s="28" t="n">
        <v>1158912</v>
      </c>
      <c r="R2322" s="28"/>
      <c r="S2322" s="28" t="n">
        <f aca="false">R2322*$M2322</f>
        <v>0</v>
      </c>
      <c r="T2322" s="28" t="n">
        <v>6580</v>
      </c>
      <c r="U2322" s="28" t="n">
        <v>473760</v>
      </c>
      <c r="V2322" s="28" t="n">
        <v>21336</v>
      </c>
      <c r="W2322" s="28" t="n">
        <v>1536192</v>
      </c>
      <c r="X2322" s="28" t="n">
        <v>905</v>
      </c>
      <c r="Y2322" s="28" t="n">
        <v>65160</v>
      </c>
      <c r="Z2322" s="28" t="n">
        <v>250</v>
      </c>
      <c r="AA2322" s="28" t="n">
        <v>18000</v>
      </c>
      <c r="AB2322" s="28" t="n">
        <v>155034</v>
      </c>
      <c r="AC2322" s="28" t="n">
        <v>11162448</v>
      </c>
      <c r="AD2322" s="28"/>
      <c r="AE2322" s="28" t="n">
        <f aca="false">AD2322*$M2322</f>
        <v>0</v>
      </c>
      <c r="AF2322" s="28" t="n">
        <v>18739</v>
      </c>
      <c r="AG2322" s="28" t="n">
        <v>1349208</v>
      </c>
      <c r="AH2322" s="28" t="n">
        <v>44032</v>
      </c>
      <c r="AI2322" s="28" t="n">
        <v>3170304</v>
      </c>
      <c r="AJ2322" s="28"/>
      <c r="AK2322" s="28" t="n">
        <f aca="false">AJ2322*$M2322</f>
        <v>0</v>
      </c>
      <c r="AL2322" s="28"/>
      <c r="AM2322" s="28" t="n">
        <f aca="false">AL2322*$M2322</f>
        <v>0</v>
      </c>
      <c r="AN2322" s="28"/>
      <c r="AO2322" s="28" t="n">
        <f aca="false">AN2322*$M2322</f>
        <v>0</v>
      </c>
      <c r="AP2322" s="28"/>
      <c r="AQ2322" s="28" t="n">
        <f aca="false">AP2322*$M2322</f>
        <v>0</v>
      </c>
      <c r="AR2322" s="28"/>
      <c r="AS2322" s="28" t="n">
        <f aca="false">AR2322*$M2322</f>
        <v>0</v>
      </c>
      <c r="AT2322" s="28"/>
      <c r="AU2322" s="28" t="n">
        <f aca="false">AT2322*$M2322</f>
        <v>0</v>
      </c>
      <c r="AV2322" s="28"/>
      <c r="AW2322" s="28" t="n">
        <f aca="false">AV2322*$M2322</f>
        <v>0</v>
      </c>
      <c r="AX2322" s="28"/>
      <c r="AY2322" s="28" t="n">
        <f aca="false">AX2322*$M2322</f>
        <v>0</v>
      </c>
      <c r="AZ2322" s="30" t="n">
        <v>262972</v>
      </c>
      <c r="BA2322" s="11" t="n">
        <v>18933984</v>
      </c>
      <c r="BB2322" s="31" t="n">
        <f aca="false">SUM(Q2322,S2322,U2322,W2322,Y2322,AA2322,AC2322,AE2322,AG2322,AI2322,AK2322,AM2322,AO2322,AQ2322,AS2322,AU2322,AW2322,AY2322)</f>
        <v>18933984</v>
      </c>
      <c r="BC2322" s="28" t="n">
        <f aca="false">BA2322-BB2322</f>
        <v>0</v>
      </c>
      <c r="BD2322" s="32" t="n">
        <f aca="false">SUM(P2322,R2322,T2322,V2322,X2322,Z2322,AB2322,AD2322,AF2322,AH2322,AJ2322,AL2322,AN2322,AP2322,AR2322,AT2322,AV2322,AX2322)</f>
        <v>262972</v>
      </c>
      <c r="BE2322" s="33" t="n">
        <f aca="false">AZ2322-BD2322</f>
        <v>0</v>
      </c>
      <c r="BF2322" s="34" t="n">
        <f aca="false">BD2322*M2322</f>
        <v>18933984</v>
      </c>
      <c r="BG2322" s="35" t="n">
        <f aca="false">BA2322-BF2322</f>
        <v>0</v>
      </c>
      <c r="BH2322" s="19" t="str">
        <f aca="false">IF(BG2322=0,"",IF(BG2322&lt;&gt;BA2322,"erreur de calcul",IF(BD2322&lt;&gt;0,"pas de prix",IF(M2322&lt;&gt; 0,"pas de quantité","pas de prix, ni de quantité"))))</f>
        <v/>
      </c>
      <c r="BI2322" s="19" t="s">
        <v>295</v>
      </c>
    </row>
    <row r="2323" customFormat="false" ht="15" hidden="false" customHeight="false" outlineLevel="0" collapsed="false">
      <c r="A2323" s="0" t="n">
        <v>7</v>
      </c>
      <c r="B2323" s="8" t="s">
        <v>24</v>
      </c>
      <c r="C2323" s="9" t="s">
        <v>25</v>
      </c>
      <c r="D2323" s="9" t="s">
        <v>26</v>
      </c>
      <c r="E2323" s="10" t="n">
        <v>1789</v>
      </c>
      <c r="F2323" s="9" t="s">
        <v>27</v>
      </c>
      <c r="G2323" s="9" t="s">
        <v>27</v>
      </c>
      <c r="H2323" s="11" t="n">
        <v>24</v>
      </c>
      <c r="I2323" s="11" t="s">
        <v>296</v>
      </c>
      <c r="J2323" s="14" t="n">
        <v>35</v>
      </c>
      <c r="K2323" s="14"/>
      <c r="L2323" s="16"/>
      <c r="M2323" s="27" t="n">
        <f aca="false">J2323+(K2323/20)+(L2323/240)</f>
        <v>35</v>
      </c>
      <c r="N2323" s="17" t="s">
        <v>64</v>
      </c>
      <c r="O2323" s="11" t="s">
        <v>98</v>
      </c>
      <c r="P2323" s="28"/>
      <c r="Q2323" s="28" t="n">
        <f aca="false">P2323*$M2323</f>
        <v>0</v>
      </c>
      <c r="R2323" s="28"/>
      <c r="S2323" s="28" t="n">
        <f aca="false">R2323*$M2323</f>
        <v>0</v>
      </c>
      <c r="T2323" s="28"/>
      <c r="U2323" s="28" t="n">
        <f aca="false">T2323*$M2323</f>
        <v>0</v>
      </c>
      <c r="V2323" s="28"/>
      <c r="W2323" s="28" t="n">
        <f aca="false">V2323*$M2323</f>
        <v>0</v>
      </c>
      <c r="X2323" s="28"/>
      <c r="Y2323" s="28" t="n">
        <f aca="false">X2323*$M2323</f>
        <v>0</v>
      </c>
      <c r="Z2323" s="28"/>
      <c r="AA2323" s="28" t="n">
        <f aca="false">Z2323*$M2323</f>
        <v>0</v>
      </c>
      <c r="AB2323" s="28"/>
      <c r="AC2323" s="28" t="n">
        <f aca="false">AB2323*$M2323</f>
        <v>0</v>
      </c>
      <c r="AD2323" s="28"/>
      <c r="AE2323" s="28" t="n">
        <f aca="false">AD2323*$M2323</f>
        <v>0</v>
      </c>
      <c r="AF2323" s="28"/>
      <c r="AG2323" s="28" t="n">
        <f aca="false">AF2323*$M2323</f>
        <v>0</v>
      </c>
      <c r="AH2323" s="28"/>
      <c r="AI2323" s="28" t="n">
        <f aca="false">AH2323*$M2323</f>
        <v>0</v>
      </c>
      <c r="AJ2323" s="28"/>
      <c r="AK2323" s="28" t="n">
        <f aca="false">AJ2323*$M2323</f>
        <v>0</v>
      </c>
      <c r="AL2323" s="28"/>
      <c r="AM2323" s="28" t="n">
        <f aca="false">AL2323*$M2323</f>
        <v>0</v>
      </c>
      <c r="AN2323" s="28"/>
      <c r="AO2323" s="28" t="n">
        <f aca="false">AN2323*$M2323</f>
        <v>0</v>
      </c>
      <c r="AP2323" s="28"/>
      <c r="AQ2323" s="28" t="n">
        <f aca="false">AP2323*$M2323</f>
        <v>0</v>
      </c>
      <c r="AR2323" s="28"/>
      <c r="AS2323" s="28" t="n">
        <f aca="false">AR2323*$M2323</f>
        <v>0</v>
      </c>
      <c r="AT2323" s="28"/>
      <c r="AU2323" s="28" t="n">
        <f aca="false">AT2323*$M2323</f>
        <v>0</v>
      </c>
      <c r="AV2323" s="28"/>
      <c r="AW2323" s="28" t="n">
        <f aca="false">AV2323*$M2323</f>
        <v>0</v>
      </c>
      <c r="AX2323" s="28"/>
      <c r="AY2323" s="28" t="n">
        <f aca="false">AX2323*$M2323</f>
        <v>0</v>
      </c>
      <c r="AZ2323" s="30"/>
      <c r="BA2323" s="11"/>
      <c r="BB2323" s="31" t="n">
        <f aca="false">SUM(Q2323,S2323,U2323,W2323,Y2323,AA2323,AC2323,AE2323,AG2323,AI2323,AK2323,AM2323,AO2323,AQ2323,AS2323,AU2323,AW2323,AY2323)</f>
        <v>0</v>
      </c>
      <c r="BC2323" s="28" t="n">
        <f aca="false">BA2323-BB2323</f>
        <v>0</v>
      </c>
      <c r="BD2323" s="32" t="n">
        <f aca="false">SUM(P2323,R2323,T2323,V2323,X2323,Z2323,AB2323,AD2323,AF2323,AH2323,AJ2323,AL2323,AN2323,AP2323,AR2323,AT2323,AV2323,AX2323)</f>
        <v>0</v>
      </c>
      <c r="BE2323" s="33" t="n">
        <f aca="false">AZ2323-BD2323</f>
        <v>0</v>
      </c>
      <c r="BF2323" s="34" t="n">
        <f aca="false">BD2323*M2323</f>
        <v>0</v>
      </c>
      <c r="BG2323" s="35" t="n">
        <f aca="false">BA2323-BF2323</f>
        <v>0</v>
      </c>
      <c r="BH2323" s="19" t="str">
        <f aca="false">IF(BG2323=0,"",IF(BG2323&lt;&gt;BA2323,"erreur de calcul",IF(BD2323&lt;&gt;0,"pas de prix",IF(M2323&lt;&gt; 0,"pas de quantité","pas de prix, ni de quantité"))))</f>
        <v/>
      </c>
      <c r="BI2323" s="19"/>
    </row>
    <row r="2324" customFormat="false" ht="15" hidden="false" customHeight="false" outlineLevel="0" collapsed="false">
      <c r="A2324" s="0" t="n">
        <v>8</v>
      </c>
      <c r="B2324" s="8" t="s">
        <v>24</v>
      </c>
      <c r="C2324" s="9" t="s">
        <v>25</v>
      </c>
      <c r="D2324" s="9" t="s">
        <v>26</v>
      </c>
      <c r="E2324" s="10" t="n">
        <v>1789</v>
      </c>
      <c r="F2324" s="9" t="s">
        <v>27</v>
      </c>
      <c r="G2324" s="9" t="s">
        <v>27</v>
      </c>
      <c r="H2324" s="11" t="n">
        <v>24</v>
      </c>
      <c r="I2324" s="11" t="s">
        <v>297</v>
      </c>
      <c r="J2324" s="14" t="n">
        <v>45</v>
      </c>
      <c r="K2324" s="14"/>
      <c r="L2324" s="16"/>
      <c r="M2324" s="27" t="n">
        <f aca="false">J2324+(K2324/20)+(L2324/240)</f>
        <v>45</v>
      </c>
      <c r="N2324" s="17" t="s">
        <v>64</v>
      </c>
      <c r="O2324" s="11"/>
      <c r="P2324" s="28"/>
      <c r="Q2324" s="28" t="n">
        <f aca="false">P2324*$M2324</f>
        <v>0</v>
      </c>
      <c r="R2324" s="28"/>
      <c r="S2324" s="28" t="n">
        <f aca="false">R2324*$M2324</f>
        <v>0</v>
      </c>
      <c r="T2324" s="28"/>
      <c r="U2324" s="28" t="n">
        <f aca="false">T2324*$M2324</f>
        <v>0</v>
      </c>
      <c r="V2324" s="28"/>
      <c r="W2324" s="28" t="n">
        <f aca="false">V2324*$M2324</f>
        <v>0</v>
      </c>
      <c r="X2324" s="28"/>
      <c r="Y2324" s="28" t="n">
        <f aca="false">X2324*$M2324</f>
        <v>0</v>
      </c>
      <c r="Z2324" s="28"/>
      <c r="AA2324" s="28" t="n">
        <f aca="false">Z2324*$M2324</f>
        <v>0</v>
      </c>
      <c r="AB2324" s="28"/>
      <c r="AC2324" s="28" t="n">
        <f aca="false">AB2324*$M2324</f>
        <v>0</v>
      </c>
      <c r="AD2324" s="28"/>
      <c r="AE2324" s="28" t="n">
        <f aca="false">AD2324*$M2324</f>
        <v>0</v>
      </c>
      <c r="AF2324" s="28"/>
      <c r="AG2324" s="28" t="n">
        <f aca="false">AF2324*$M2324</f>
        <v>0</v>
      </c>
      <c r="AH2324" s="28"/>
      <c r="AI2324" s="28" t="n">
        <f aca="false">AH2324*$M2324</f>
        <v>0</v>
      </c>
      <c r="AJ2324" s="28"/>
      <c r="AK2324" s="28" t="n">
        <f aca="false">AJ2324*$M2324</f>
        <v>0</v>
      </c>
      <c r="AL2324" s="28"/>
      <c r="AM2324" s="28" t="n">
        <f aca="false">AL2324*$M2324</f>
        <v>0</v>
      </c>
      <c r="AN2324" s="28"/>
      <c r="AO2324" s="28" t="n">
        <f aca="false">AN2324*$M2324</f>
        <v>0</v>
      </c>
      <c r="AP2324" s="28"/>
      <c r="AQ2324" s="28" t="n">
        <f aca="false">AP2324*$M2324</f>
        <v>0</v>
      </c>
      <c r="AR2324" s="28"/>
      <c r="AS2324" s="28" t="n">
        <f aca="false">AR2324*$M2324</f>
        <v>0</v>
      </c>
      <c r="AT2324" s="28"/>
      <c r="AU2324" s="28" t="n">
        <f aca="false">AT2324*$M2324</f>
        <v>0</v>
      </c>
      <c r="AV2324" s="28"/>
      <c r="AW2324" s="28" t="n">
        <f aca="false">AV2324*$M2324</f>
        <v>0</v>
      </c>
      <c r="AX2324" s="28" t="n">
        <f aca="false">44459/100</f>
        <v>444.59</v>
      </c>
      <c r="AY2324" s="28" t="n">
        <v>20006</v>
      </c>
      <c r="AZ2324" s="30" t="n">
        <f aca="false">44459/100</f>
        <v>444.59</v>
      </c>
      <c r="BA2324" s="11" t="n">
        <v>20006</v>
      </c>
      <c r="BB2324" s="31" t="n">
        <f aca="false">SUM(Q2324,S2324,U2324,W2324,Y2324,AA2324,AC2324,AE2324,AG2324,AI2324,AK2324,AM2324,AO2324,AQ2324,AS2324,AU2324,AW2324,AY2324)</f>
        <v>20006</v>
      </c>
      <c r="BC2324" s="28" t="n">
        <f aca="false">BA2324-BB2324</f>
        <v>0</v>
      </c>
      <c r="BD2324" s="32" t="n">
        <f aca="false">SUM(P2324,R2324,T2324,V2324,X2324,Z2324,AB2324,AD2324,AF2324,AH2324,AJ2324,AL2324,AN2324,AP2324,AR2324,AT2324,AV2324,AX2324)</f>
        <v>444.59</v>
      </c>
      <c r="BE2324" s="33" t="n">
        <f aca="false">AZ2324-BD2324</f>
        <v>0</v>
      </c>
      <c r="BF2324" s="34" t="n">
        <f aca="false">BD2324*M2324</f>
        <v>20006.55</v>
      </c>
      <c r="BG2324" s="35" t="n">
        <f aca="false">BA2324-BF2324</f>
        <v>-0.549999999999272</v>
      </c>
      <c r="BH2324" s="19" t="str">
        <f aca="false">IF(BG2324=0,"",IF(BG2324&lt;&gt;BA2324,"erreur de calcul",IF(BD2324&lt;&gt;0,"pas de prix",IF(M2324&lt;&gt; 0,"pas de quantité","pas de prix, ni de quantité"))))</f>
        <v>erreur de calcul</v>
      </c>
      <c r="BI2324" s="19"/>
    </row>
    <row r="2325" customFormat="false" ht="15" hidden="false" customHeight="false" outlineLevel="0" collapsed="false">
      <c r="A2325" s="0" t="n">
        <v>9</v>
      </c>
      <c r="B2325" s="8" t="s">
        <v>24</v>
      </c>
      <c r="C2325" s="9" t="s">
        <v>25</v>
      </c>
      <c r="D2325" s="9" t="s">
        <v>26</v>
      </c>
      <c r="E2325" s="10" t="n">
        <v>1789</v>
      </c>
      <c r="F2325" s="9" t="s">
        <v>27</v>
      </c>
      <c r="G2325" s="9" t="s">
        <v>27</v>
      </c>
      <c r="H2325" s="11" t="n">
        <v>24</v>
      </c>
      <c r="I2325" s="11" t="s">
        <v>298</v>
      </c>
      <c r="J2325" s="14" t="n">
        <v>550</v>
      </c>
      <c r="K2325" s="14"/>
      <c r="L2325" s="16"/>
      <c r="M2325" s="27" t="n">
        <f aca="false">J2325+(K2325/20)+(L2325/240)</f>
        <v>550</v>
      </c>
      <c r="N2325" s="17" t="s">
        <v>64</v>
      </c>
      <c r="O2325" s="11"/>
      <c r="P2325" s="28"/>
      <c r="Q2325" s="28" t="n">
        <f aca="false">P2325*$M2325</f>
        <v>0</v>
      </c>
      <c r="R2325" s="28"/>
      <c r="S2325" s="28" t="n">
        <f aca="false">R2325*$M2325</f>
        <v>0</v>
      </c>
      <c r="T2325" s="28"/>
      <c r="U2325" s="28" t="n">
        <f aca="false">T2325*$M2325</f>
        <v>0</v>
      </c>
      <c r="V2325" s="28"/>
      <c r="W2325" s="28" t="n">
        <f aca="false">V2325*$M2325</f>
        <v>0</v>
      </c>
      <c r="X2325" s="28"/>
      <c r="Y2325" s="28" t="n">
        <f aca="false">X2325*$M2325</f>
        <v>0</v>
      </c>
      <c r="Z2325" s="28"/>
      <c r="AA2325" s="28" t="n">
        <f aca="false">Z2325*$M2325</f>
        <v>0</v>
      </c>
      <c r="AB2325" s="28"/>
      <c r="AC2325" s="28" t="n">
        <f aca="false">AB2325*$M2325</f>
        <v>0</v>
      </c>
      <c r="AD2325" s="28"/>
      <c r="AE2325" s="28" t="n">
        <f aca="false">AD2325*$M2325</f>
        <v>0</v>
      </c>
      <c r="AF2325" s="28" t="n">
        <f aca="false">200/100</f>
        <v>2</v>
      </c>
      <c r="AG2325" s="28" t="n">
        <v>1100</v>
      </c>
      <c r="AH2325" s="28"/>
      <c r="AI2325" s="28" t="n">
        <f aca="false">AH2325*$M2325</f>
        <v>0</v>
      </c>
      <c r="AJ2325" s="28"/>
      <c r="AK2325" s="28" t="n">
        <f aca="false">AJ2325*$M2325</f>
        <v>0</v>
      </c>
      <c r="AL2325" s="28"/>
      <c r="AM2325" s="28" t="n">
        <f aca="false">AL2325*$M2325</f>
        <v>0</v>
      </c>
      <c r="AN2325" s="28"/>
      <c r="AO2325" s="28" t="n">
        <f aca="false">AN2325*$M2325</f>
        <v>0</v>
      </c>
      <c r="AP2325" s="28"/>
      <c r="AQ2325" s="28" t="n">
        <f aca="false">AP2325*$M2325</f>
        <v>0</v>
      </c>
      <c r="AR2325" s="28"/>
      <c r="AS2325" s="28" t="n">
        <f aca="false">AR2325*$M2325</f>
        <v>0</v>
      </c>
      <c r="AT2325" s="28"/>
      <c r="AU2325" s="28" t="n">
        <f aca="false">AT2325*$M2325</f>
        <v>0</v>
      </c>
      <c r="AV2325" s="28"/>
      <c r="AW2325" s="28" t="n">
        <f aca="false">AV2325*$M2325</f>
        <v>0</v>
      </c>
      <c r="AX2325" s="28"/>
      <c r="AY2325" s="28" t="n">
        <f aca="false">AX2325*$M2325</f>
        <v>0</v>
      </c>
      <c r="AZ2325" s="30" t="n">
        <f aca="false">200/100</f>
        <v>2</v>
      </c>
      <c r="BA2325" s="11" t="n">
        <v>1100</v>
      </c>
      <c r="BB2325" s="31" t="n">
        <f aca="false">SUM(Q2325,S2325,U2325,W2325,Y2325,AA2325,AC2325,AE2325,AG2325,AI2325,AK2325,AM2325,AO2325,AQ2325,AS2325,AU2325,AW2325,AY2325)</f>
        <v>1100</v>
      </c>
      <c r="BC2325" s="28" t="n">
        <f aca="false">BA2325-BB2325</f>
        <v>0</v>
      </c>
      <c r="BD2325" s="32" t="n">
        <f aca="false">SUM(P2325,R2325,T2325,V2325,X2325,Z2325,AB2325,AD2325,AF2325,AH2325,AJ2325,AL2325,AN2325,AP2325,AR2325,AT2325,AV2325,AX2325)</f>
        <v>2</v>
      </c>
      <c r="BE2325" s="33" t="n">
        <f aca="false">AZ2325-BD2325</f>
        <v>0</v>
      </c>
      <c r="BF2325" s="34" t="n">
        <f aca="false">BD2325*M2325</f>
        <v>1100</v>
      </c>
      <c r="BG2325" s="35" t="n">
        <f aca="false">BA2325-BF2325</f>
        <v>0</v>
      </c>
      <c r="BH2325" s="19" t="str">
        <f aca="false">IF(BG2325=0,"",IF(BG2325&lt;&gt;BA2325,"erreur de calcul",IF(BD2325&lt;&gt;0,"pas de prix",IF(M2325&lt;&gt; 0,"pas de quantité","pas de prix, ni de quantité"))))</f>
        <v/>
      </c>
      <c r="BI2325" s="19"/>
    </row>
    <row r="2326" customFormat="false" ht="15" hidden="false" customHeight="false" outlineLevel="0" collapsed="false">
      <c r="A2326" s="0" t="n">
        <v>10</v>
      </c>
      <c r="B2326" s="8" t="s">
        <v>24</v>
      </c>
      <c r="C2326" s="9" t="s">
        <v>25</v>
      </c>
      <c r="D2326" s="9" t="s">
        <v>26</v>
      </c>
      <c r="E2326" s="10" t="n">
        <v>1789</v>
      </c>
      <c r="F2326" s="9" t="s">
        <v>27</v>
      </c>
      <c r="G2326" s="9" t="s">
        <v>27</v>
      </c>
      <c r="H2326" s="11" t="n">
        <v>24</v>
      </c>
      <c r="I2326" s="11" t="s">
        <v>299</v>
      </c>
      <c r="J2326" s="14" t="n">
        <v>16</v>
      </c>
      <c r="K2326" s="14"/>
      <c r="L2326" s="16"/>
      <c r="M2326" s="27" t="n">
        <f aca="false">J2326+(K2326/20)+(L2326/240)</f>
        <v>16</v>
      </c>
      <c r="N2326" s="17" t="s">
        <v>64</v>
      </c>
      <c r="O2326" s="11"/>
      <c r="P2326" s="28" t="n">
        <f aca="false">20*288*0.02+252*0.02</f>
        <v>120.24</v>
      </c>
      <c r="Q2326" s="28" t="n">
        <v>1924</v>
      </c>
      <c r="R2326" s="28"/>
      <c r="S2326" s="28" t="n">
        <f aca="false">R2326*$M2326</f>
        <v>0</v>
      </c>
      <c r="T2326" s="28"/>
      <c r="U2326" s="28" t="n">
        <f aca="false">T2326*$M2326</f>
        <v>0</v>
      </c>
      <c r="V2326" s="28" t="n">
        <f aca="false">16*288*0.02+15*0.02</f>
        <v>92.46</v>
      </c>
      <c r="W2326" s="28" t="n">
        <v>1479</v>
      </c>
      <c r="X2326" s="28" t="n">
        <f aca="false">25*288*0.02+152*0.02</f>
        <v>147.04</v>
      </c>
      <c r="Y2326" s="28" t="n">
        <v>2353</v>
      </c>
      <c r="Z2326" s="28"/>
      <c r="AA2326" s="28" t="n">
        <f aca="false">Z2326*$M2326</f>
        <v>0</v>
      </c>
      <c r="AB2326" s="28" t="n">
        <f aca="false">127*288*0.02+236*0.02</f>
        <v>736.24</v>
      </c>
      <c r="AC2326" s="28" t="n">
        <v>11780</v>
      </c>
      <c r="AD2326" s="28"/>
      <c r="AE2326" s="28" t="n">
        <f aca="false">AD2326*$M2326</f>
        <v>0</v>
      </c>
      <c r="AF2326" s="28"/>
      <c r="AG2326" s="28" t="n">
        <f aca="false">AF2326*$M2326</f>
        <v>0</v>
      </c>
      <c r="AH2326" s="28"/>
      <c r="AI2326" s="28" t="n">
        <f aca="false">AH2326*$M2326</f>
        <v>0</v>
      </c>
      <c r="AJ2326" s="28"/>
      <c r="AK2326" s="28" t="n">
        <f aca="false">AJ2326*$M2326</f>
        <v>0</v>
      </c>
      <c r="AL2326" s="28"/>
      <c r="AM2326" s="28" t="n">
        <f aca="false">AL2326*$M2326</f>
        <v>0</v>
      </c>
      <c r="AN2326" s="28"/>
      <c r="AO2326" s="28" t="n">
        <f aca="false">AN2326*$M2326</f>
        <v>0</v>
      </c>
      <c r="AP2326" s="28"/>
      <c r="AQ2326" s="28" t="n">
        <f aca="false">AP2326*$M2326</f>
        <v>0</v>
      </c>
      <c r="AR2326" s="28"/>
      <c r="AS2326" s="28" t="n">
        <f aca="false">AR2326*$M2326</f>
        <v>0</v>
      </c>
      <c r="AT2326" s="28"/>
      <c r="AU2326" s="28" t="n">
        <f aca="false">AT2326*$M2326</f>
        <v>0</v>
      </c>
      <c r="AV2326" s="28"/>
      <c r="AW2326" s="28" t="n">
        <f aca="false">AV2326*$M2326</f>
        <v>0</v>
      </c>
      <c r="AX2326" s="28"/>
      <c r="AY2326" s="28" t="n">
        <f aca="false">AX2326*$M2326</f>
        <v>0</v>
      </c>
      <c r="AZ2326" s="30" t="n">
        <f aca="false">190*288*0.02+82*0.02</f>
        <v>1096.04</v>
      </c>
      <c r="BA2326" s="11" t="n">
        <v>17536</v>
      </c>
      <c r="BB2326" s="31" t="n">
        <f aca="false">SUM(Q2326,S2326,U2326,W2326,Y2326,AA2326,AC2326,AE2326,AG2326,AI2326,AK2326,AM2326,AO2326,AQ2326,AS2326,AU2326,AW2326,AY2326)</f>
        <v>17536</v>
      </c>
      <c r="BC2326" s="28" t="n">
        <f aca="false">BA2326-BB2326</f>
        <v>0</v>
      </c>
      <c r="BD2326" s="32" t="n">
        <f aca="false">SUM(P2326,R2326,T2326,V2326,X2326,Z2326,AB2326,AD2326,AF2326,AH2326,AJ2326,AL2326,AN2326,AP2326,AR2326,AT2326,AV2326,AX2326)</f>
        <v>1095.98</v>
      </c>
      <c r="BE2326" s="33" t="n">
        <f aca="false">AZ2326-BD2326</f>
        <v>0.0600000000001728</v>
      </c>
      <c r="BF2326" s="34" t="n">
        <f aca="false">BD2326*M2326</f>
        <v>17535.68</v>
      </c>
      <c r="BG2326" s="35" t="n">
        <f aca="false">BA2326-BF2326</f>
        <v>0.319999999999709</v>
      </c>
      <c r="BH2326" s="19" t="str">
        <f aca="false">IF(BG2326=0,"",IF(BG2326&lt;&gt;BA2326,"erreur de calcul",IF(BD2326&lt;&gt;0,"pas de prix",IF(M2326&lt;&gt; 0,"pas de quantité","pas de prix, ni de quantité"))))</f>
        <v>erreur de calcul</v>
      </c>
      <c r="BI2326" s="19"/>
    </row>
    <row r="2327" customFormat="false" ht="15" hidden="false" customHeight="false" outlineLevel="0" collapsed="false">
      <c r="A2327" s="0" t="n">
        <v>11</v>
      </c>
      <c r="B2327" s="8" t="s">
        <v>24</v>
      </c>
      <c r="C2327" s="9" t="s">
        <v>25</v>
      </c>
      <c r="D2327" s="9" t="s">
        <v>26</v>
      </c>
      <c r="E2327" s="10" t="n">
        <v>1789</v>
      </c>
      <c r="F2327" s="9" t="s">
        <v>27</v>
      </c>
      <c r="G2327" s="9" t="s">
        <v>27</v>
      </c>
      <c r="H2327" s="11" t="n">
        <v>24</v>
      </c>
      <c r="I2327" s="11" t="s">
        <v>300</v>
      </c>
      <c r="J2327" s="14" t="n">
        <v>360</v>
      </c>
      <c r="K2327" s="14"/>
      <c r="L2327" s="16"/>
      <c r="M2327" s="27" t="n">
        <f aca="false">J2327+(K2327/20)+(L2327/240)</f>
        <v>360</v>
      </c>
      <c r="N2327" s="17" t="s">
        <v>64</v>
      </c>
      <c r="O2327" s="11"/>
      <c r="P2327" s="28"/>
      <c r="Q2327" s="28" t="n">
        <f aca="false">P2327*$M2327</f>
        <v>0</v>
      </c>
      <c r="R2327" s="28"/>
      <c r="S2327" s="28" t="n">
        <f aca="false">R2327*$M2327</f>
        <v>0</v>
      </c>
      <c r="T2327" s="28"/>
      <c r="U2327" s="28" t="n">
        <f aca="false">T2327*$M2327</f>
        <v>0</v>
      </c>
      <c r="V2327" s="28"/>
      <c r="W2327" s="28" t="n">
        <f aca="false">V2327*$M2327</f>
        <v>0</v>
      </c>
      <c r="X2327" s="28"/>
      <c r="Y2327" s="28" t="n">
        <f aca="false">X2327*$M2327</f>
        <v>0</v>
      </c>
      <c r="Z2327" s="28"/>
      <c r="AA2327" s="28" t="n">
        <f aca="false">Z2327*$M2327</f>
        <v>0</v>
      </c>
      <c r="AB2327" s="28"/>
      <c r="AC2327" s="28" t="n">
        <f aca="false">AB2327*$M2327</f>
        <v>0</v>
      </c>
      <c r="AD2327" s="28"/>
      <c r="AE2327" s="28" t="n">
        <f aca="false">AD2327*$M2327</f>
        <v>0</v>
      </c>
      <c r="AF2327" s="28"/>
      <c r="AG2327" s="28" t="n">
        <f aca="false">AF2327*$M2327</f>
        <v>0</v>
      </c>
      <c r="AH2327" s="28" t="n">
        <f aca="false">371073/100</f>
        <v>3710.73</v>
      </c>
      <c r="AI2327" s="28" t="n">
        <v>1335863</v>
      </c>
      <c r="AJ2327" s="28"/>
      <c r="AK2327" s="28" t="n">
        <f aca="false">AJ2327*$M2327</f>
        <v>0</v>
      </c>
      <c r="AL2327" s="28"/>
      <c r="AM2327" s="28" t="n">
        <f aca="false">AL2327*$M2327</f>
        <v>0</v>
      </c>
      <c r="AN2327" s="28"/>
      <c r="AO2327" s="28" t="n">
        <f aca="false">AN2327*$M2327</f>
        <v>0</v>
      </c>
      <c r="AP2327" s="28"/>
      <c r="AQ2327" s="28" t="n">
        <f aca="false">AP2327*$M2327</f>
        <v>0</v>
      </c>
      <c r="AR2327" s="28"/>
      <c r="AS2327" s="28" t="n">
        <f aca="false">AR2327*$M2327</f>
        <v>0</v>
      </c>
      <c r="AT2327" s="28"/>
      <c r="AU2327" s="28" t="n">
        <f aca="false">AT2327*$M2327</f>
        <v>0</v>
      </c>
      <c r="AV2327" s="28"/>
      <c r="AW2327" s="28" t="n">
        <f aca="false">AV2327*$M2327</f>
        <v>0</v>
      </c>
      <c r="AX2327" s="28"/>
      <c r="AY2327" s="28" t="n">
        <f aca="false">AX2327*$M2327</f>
        <v>0</v>
      </c>
      <c r="AZ2327" s="30" t="n">
        <f aca="false">371073/100</f>
        <v>3710.73</v>
      </c>
      <c r="BA2327" s="11" t="n">
        <v>1335863</v>
      </c>
      <c r="BB2327" s="31" t="n">
        <f aca="false">SUM(Q2327,S2327,U2327,W2327,Y2327,AA2327,AC2327,AE2327,AG2327,AI2327,AK2327,AM2327,AO2327,AQ2327,AS2327,AU2327,AW2327,AY2327)</f>
        <v>1335863</v>
      </c>
      <c r="BC2327" s="28" t="n">
        <f aca="false">BA2327-BB2327</f>
        <v>0</v>
      </c>
      <c r="BD2327" s="32" t="n">
        <f aca="false">SUM(P2327,R2327,T2327,V2327,X2327,Z2327,AB2327,AD2327,AF2327,AH2327,AJ2327,AL2327,AN2327,AP2327,AR2327,AT2327,AV2327,AX2327)</f>
        <v>3710.73</v>
      </c>
      <c r="BE2327" s="33" t="n">
        <f aca="false">AZ2327-BD2327</f>
        <v>0</v>
      </c>
      <c r="BF2327" s="34" t="n">
        <f aca="false">BD2327*M2327</f>
        <v>1335862.8</v>
      </c>
      <c r="BG2327" s="35" t="n">
        <f aca="false">BA2327-BF2327</f>
        <v>0.199999999953434</v>
      </c>
      <c r="BH2327" s="19" t="str">
        <f aca="false">IF(BG2327=0,"",IF(BG2327&lt;&gt;BA2327,"erreur de calcul",IF(BD2327&lt;&gt;0,"pas de prix",IF(M2327&lt;&gt; 0,"pas de quantité","pas de prix, ni de quantité"))))</f>
        <v>erreur de calcul</v>
      </c>
      <c r="BI2327" s="19"/>
    </row>
    <row r="2328" customFormat="false" ht="15" hidden="false" customHeight="false" outlineLevel="0" collapsed="false">
      <c r="A2328" s="0" t="n">
        <v>12</v>
      </c>
      <c r="B2328" s="8" t="s">
        <v>24</v>
      </c>
      <c r="C2328" s="9" t="s">
        <v>25</v>
      </c>
      <c r="D2328" s="9" t="s">
        <v>26</v>
      </c>
      <c r="E2328" s="10" t="n">
        <v>1789</v>
      </c>
      <c r="F2328" s="9" t="s">
        <v>27</v>
      </c>
      <c r="G2328" s="9" t="s">
        <v>27</v>
      </c>
      <c r="H2328" s="11" t="n">
        <v>24</v>
      </c>
      <c r="I2328" s="11" t="s">
        <v>301</v>
      </c>
      <c r="J2328" s="14" t="n">
        <v>3</v>
      </c>
      <c r="K2328" s="14"/>
      <c r="L2328" s="16"/>
      <c r="M2328" s="27" t="n">
        <f aca="false">J2328+(K2328/20)+(L2328/240)</f>
        <v>3</v>
      </c>
      <c r="N2328" s="17" t="s">
        <v>66</v>
      </c>
      <c r="O2328" s="11"/>
      <c r="P2328" s="28"/>
      <c r="Q2328" s="28" t="n">
        <f aca="false">P2328*$M2328</f>
        <v>0</v>
      </c>
      <c r="R2328" s="28"/>
      <c r="S2328" s="28" t="n">
        <f aca="false">R2328*$M2328</f>
        <v>0</v>
      </c>
      <c r="T2328" s="28"/>
      <c r="U2328" s="28" t="n">
        <f aca="false">T2328*$M2328</f>
        <v>0</v>
      </c>
      <c r="V2328" s="28"/>
      <c r="W2328" s="28" t="n">
        <f aca="false">V2328*$M2328</f>
        <v>0</v>
      </c>
      <c r="X2328" s="28"/>
      <c r="Y2328" s="28" t="n">
        <f aca="false">X2328*$M2328</f>
        <v>0</v>
      </c>
      <c r="Z2328" s="28"/>
      <c r="AA2328" s="28" t="n">
        <f aca="false">Z2328*$M2328</f>
        <v>0</v>
      </c>
      <c r="AB2328" s="28"/>
      <c r="AC2328" s="28" t="n">
        <f aca="false">AB2328*$M2328</f>
        <v>0</v>
      </c>
      <c r="AD2328" s="28"/>
      <c r="AE2328" s="28" t="n">
        <f aca="false">AD2328*$M2328</f>
        <v>0</v>
      </c>
      <c r="AF2328" s="28"/>
      <c r="AG2328" s="28" t="n">
        <f aca="false">AF2328*$M2328</f>
        <v>0</v>
      </c>
      <c r="AH2328" s="28" t="n">
        <v>19281</v>
      </c>
      <c r="AI2328" s="28" t="n">
        <v>57843</v>
      </c>
      <c r="AJ2328" s="28"/>
      <c r="AK2328" s="28" t="n">
        <f aca="false">AJ2328*$M2328</f>
        <v>0</v>
      </c>
      <c r="AL2328" s="28"/>
      <c r="AM2328" s="28" t="n">
        <f aca="false">AL2328*$M2328</f>
        <v>0</v>
      </c>
      <c r="AN2328" s="28"/>
      <c r="AO2328" s="28" t="n">
        <f aca="false">AN2328*$M2328</f>
        <v>0</v>
      </c>
      <c r="AP2328" s="28"/>
      <c r="AQ2328" s="28" t="n">
        <f aca="false">AP2328*$M2328</f>
        <v>0</v>
      </c>
      <c r="AR2328" s="28"/>
      <c r="AS2328" s="28" t="n">
        <f aca="false">AR2328*$M2328</f>
        <v>0</v>
      </c>
      <c r="AT2328" s="28"/>
      <c r="AU2328" s="28" t="n">
        <f aca="false">AT2328*$M2328</f>
        <v>0</v>
      </c>
      <c r="AV2328" s="28"/>
      <c r="AW2328" s="28" t="n">
        <f aca="false">AV2328*$M2328</f>
        <v>0</v>
      </c>
      <c r="AX2328" s="28"/>
      <c r="AY2328" s="28" t="n">
        <f aca="false">AX2328*$M2328</f>
        <v>0</v>
      </c>
      <c r="AZ2328" s="30" t="n">
        <v>19281</v>
      </c>
      <c r="BA2328" s="11" t="n">
        <v>57843</v>
      </c>
      <c r="BB2328" s="31" t="n">
        <f aca="false">SUM(Q2328,S2328,U2328,W2328,Y2328,AA2328,AC2328,AE2328,AG2328,AI2328,AK2328,AM2328,AO2328,AQ2328,AS2328,AU2328,AW2328,AY2328)</f>
        <v>57843</v>
      </c>
      <c r="BC2328" s="28" t="n">
        <f aca="false">BA2328-BB2328</f>
        <v>0</v>
      </c>
      <c r="BD2328" s="32" t="n">
        <f aca="false">SUM(P2328,R2328,T2328,V2328,X2328,Z2328,AB2328,AD2328,AF2328,AH2328,AJ2328,AL2328,AN2328,AP2328,AR2328,AT2328,AV2328,AX2328)</f>
        <v>19281</v>
      </c>
      <c r="BE2328" s="33" t="n">
        <f aca="false">AZ2328-BD2328</f>
        <v>0</v>
      </c>
      <c r="BF2328" s="34" t="n">
        <f aca="false">BD2328*M2328</f>
        <v>57843</v>
      </c>
      <c r="BG2328" s="35" t="n">
        <f aca="false">BA2328-BF2328</f>
        <v>0</v>
      </c>
      <c r="BH2328" s="19" t="str">
        <f aca="false">IF(BG2328=0,"",IF(BG2328&lt;&gt;BA2328,"erreur de calcul",IF(BD2328&lt;&gt;0,"pas de prix",IF(M2328&lt;&gt; 0,"pas de quantité","pas de prix, ni de quantité"))))</f>
        <v/>
      </c>
      <c r="BI2328" s="19"/>
    </row>
    <row r="2329" customFormat="false" ht="15" hidden="false" customHeight="false" outlineLevel="0" collapsed="false">
      <c r="A2329" s="0" t="n">
        <v>13</v>
      </c>
      <c r="B2329" s="8" t="s">
        <v>24</v>
      </c>
      <c r="C2329" s="9" t="s">
        <v>25</v>
      </c>
      <c r="D2329" s="9" t="s">
        <v>26</v>
      </c>
      <c r="E2329" s="10" t="n">
        <v>1789</v>
      </c>
      <c r="F2329" s="9" t="s">
        <v>27</v>
      </c>
      <c r="G2329" s="9" t="s">
        <v>27</v>
      </c>
      <c r="H2329" s="11" t="n">
        <v>24</v>
      </c>
      <c r="I2329" s="11" t="s">
        <v>302</v>
      </c>
      <c r="J2329" s="14" t="n">
        <v>112</v>
      </c>
      <c r="K2329" s="14"/>
      <c r="L2329" s="16"/>
      <c r="M2329" s="27" t="n">
        <f aca="false">J2329+(K2329/20)+(L2329/240)</f>
        <v>112</v>
      </c>
      <c r="N2329" s="17" t="s">
        <v>64</v>
      </c>
      <c r="O2329" s="11"/>
      <c r="P2329" s="28" t="n">
        <f aca="false">99503/100</f>
        <v>995.03</v>
      </c>
      <c r="Q2329" s="28" t="n">
        <v>111443</v>
      </c>
      <c r="R2329" s="28"/>
      <c r="S2329" s="28" t="n">
        <f aca="false">R2329*$M2329</f>
        <v>0</v>
      </c>
      <c r="T2329" s="28" t="n">
        <f aca="false">8445/100</f>
        <v>84.45</v>
      </c>
      <c r="U2329" s="28" t="n">
        <v>9458</v>
      </c>
      <c r="V2329" s="28" t="n">
        <f aca="false">2517/100</f>
        <v>25.17</v>
      </c>
      <c r="W2329" s="28" t="n">
        <v>2819</v>
      </c>
      <c r="X2329" s="28" t="n">
        <f aca="false">4729/100</f>
        <v>47.29</v>
      </c>
      <c r="Y2329" s="28" t="n">
        <v>5296</v>
      </c>
      <c r="Z2329" s="28" t="n">
        <f aca="false">198115/100</f>
        <v>1981.15</v>
      </c>
      <c r="AA2329" s="28" t="n">
        <v>221889</v>
      </c>
      <c r="AB2329" s="28"/>
      <c r="AC2329" s="28" t="n">
        <f aca="false">AB2329*$M2329</f>
        <v>0</v>
      </c>
      <c r="AD2329" s="28"/>
      <c r="AE2329" s="28" t="n">
        <f aca="false">AD2329*$M2329</f>
        <v>0</v>
      </c>
      <c r="AF2329" s="28" t="n">
        <f aca="false">67420/100</f>
        <v>674.2</v>
      </c>
      <c r="AG2329" s="28" t="n">
        <v>75510</v>
      </c>
      <c r="AH2329" s="28" t="n">
        <f aca="false">415806/100</f>
        <v>4158.06</v>
      </c>
      <c r="AI2329" s="28" t="n">
        <v>465703</v>
      </c>
      <c r="AJ2329" s="28"/>
      <c r="AK2329" s="28" t="n">
        <f aca="false">AJ2329*$M2329</f>
        <v>0</v>
      </c>
      <c r="AL2329" s="28" t="n">
        <f aca="false">324/100</f>
        <v>3.24</v>
      </c>
      <c r="AM2329" s="28" t="n">
        <v>363</v>
      </c>
      <c r="AN2329" s="28"/>
      <c r="AO2329" s="28" t="n">
        <f aca="false">AN2329*$M2329</f>
        <v>0</v>
      </c>
      <c r="AP2329" s="28"/>
      <c r="AQ2329" s="28" t="n">
        <f aca="false">AP2329*$M2329</f>
        <v>0</v>
      </c>
      <c r="AR2329" s="28"/>
      <c r="AS2329" s="28" t="n">
        <f aca="false">AR2329*$M2329</f>
        <v>0</v>
      </c>
      <c r="AT2329" s="28"/>
      <c r="AU2329" s="28" t="n">
        <f aca="false">AT2329*$M2329</f>
        <v>0</v>
      </c>
      <c r="AV2329" s="28"/>
      <c r="AW2329" s="28" t="n">
        <f aca="false">AV2329*$M2329</f>
        <v>0</v>
      </c>
      <c r="AX2329" s="28"/>
      <c r="AY2329" s="28" t="n">
        <f aca="false">AX2329*$M2329</f>
        <v>0</v>
      </c>
      <c r="AZ2329" s="30" t="n">
        <f aca="false">796859/100</f>
        <v>7968.59</v>
      </c>
      <c r="BA2329" s="11" t="n">
        <v>892481</v>
      </c>
      <c r="BB2329" s="31" t="n">
        <f aca="false">SUM(Q2329,S2329,U2329,W2329,Y2329,AA2329,AC2329,AE2329,AG2329,AI2329,AK2329,AM2329,AO2329,AQ2329,AS2329,AU2329,AW2329,AY2329)</f>
        <v>892481</v>
      </c>
      <c r="BC2329" s="28" t="n">
        <f aca="false">BA2329-BB2329</f>
        <v>0</v>
      </c>
      <c r="BD2329" s="32" t="n">
        <f aca="false">SUM(P2329,R2329,T2329,V2329,X2329,Z2329,AB2329,AD2329,AF2329,AH2329,AJ2329,AL2329,AN2329,AP2329,AR2329,AT2329,AV2329,AX2329)</f>
        <v>7968.59</v>
      </c>
      <c r="BE2329" s="33" t="n">
        <f aca="false">AZ2329-BD2329</f>
        <v>0</v>
      </c>
      <c r="BF2329" s="34" t="n">
        <f aca="false">BD2329*M2329</f>
        <v>892482.08</v>
      </c>
      <c r="BG2329" s="35" t="n">
        <f aca="false">BA2329-BF2329</f>
        <v>-1.07999999995809</v>
      </c>
      <c r="BH2329" s="19" t="str">
        <f aca="false">IF(BG2329=0,"",IF(BG2329&lt;&gt;BA2329,"erreur de calcul",IF(BD2329&lt;&gt;0,"pas de prix",IF(M2329&lt;&gt; 0,"pas de quantité","pas de prix, ni de quantité"))))</f>
        <v>erreur de calcul</v>
      </c>
      <c r="BI2329" s="19"/>
    </row>
    <row r="2330" customFormat="false" ht="15" hidden="false" customHeight="false" outlineLevel="0" collapsed="false">
      <c r="A2330" s="0" t="n">
        <v>14</v>
      </c>
      <c r="B2330" s="8" t="s">
        <v>24</v>
      </c>
      <c r="C2330" s="9" t="s">
        <v>25</v>
      </c>
      <c r="D2330" s="9" t="s">
        <v>26</v>
      </c>
      <c r="E2330" s="10" t="n">
        <v>1789</v>
      </c>
      <c r="F2330" s="9" t="s">
        <v>27</v>
      </c>
      <c r="G2330" s="9" t="s">
        <v>27</v>
      </c>
      <c r="H2330" s="11" t="n">
        <v>24</v>
      </c>
      <c r="I2330" s="11" t="s">
        <v>303</v>
      </c>
      <c r="J2330" s="14" t="n">
        <v>50</v>
      </c>
      <c r="K2330" s="14"/>
      <c r="L2330" s="16"/>
      <c r="M2330" s="27" t="n">
        <f aca="false">J2330+(K2330/20)+(L2330/240)</f>
        <v>50</v>
      </c>
      <c r="N2330" s="17" t="s">
        <v>64</v>
      </c>
      <c r="O2330" s="11"/>
      <c r="P2330" s="28"/>
      <c r="Q2330" s="28" t="n">
        <f aca="false">P2330*$M2330</f>
        <v>0</v>
      </c>
      <c r="R2330" s="28"/>
      <c r="S2330" s="28" t="n">
        <f aca="false">R2330*$M2330</f>
        <v>0</v>
      </c>
      <c r="T2330" s="28"/>
      <c r="U2330" s="28" t="n">
        <f aca="false">T2330*$M2330</f>
        <v>0</v>
      </c>
      <c r="V2330" s="28"/>
      <c r="W2330" s="28" t="n">
        <f aca="false">V2330*$M2330</f>
        <v>0</v>
      </c>
      <c r="X2330" s="28"/>
      <c r="Y2330" s="28" t="n">
        <f aca="false">X2330*$M2330</f>
        <v>0</v>
      </c>
      <c r="Z2330" s="28"/>
      <c r="AA2330" s="28" t="n">
        <f aca="false">Z2330*$M2330</f>
        <v>0</v>
      </c>
      <c r="AB2330" s="28"/>
      <c r="AC2330" s="28" t="n">
        <f aca="false">AB2330*$M2330</f>
        <v>0</v>
      </c>
      <c r="AD2330" s="28"/>
      <c r="AE2330" s="28" t="n">
        <f aca="false">AD2330*$M2330</f>
        <v>0</v>
      </c>
      <c r="AF2330" s="28" t="n">
        <f aca="false">208461/100</f>
        <v>2084.61</v>
      </c>
      <c r="AG2330" s="28" t="n">
        <v>104230</v>
      </c>
      <c r="AH2330" s="28" t="n">
        <f aca="false">757624/100</f>
        <v>7576.24</v>
      </c>
      <c r="AI2330" s="28" t="n">
        <v>378812</v>
      </c>
      <c r="AJ2330" s="28"/>
      <c r="AK2330" s="28" t="n">
        <f aca="false">AJ2330*$M2330</f>
        <v>0</v>
      </c>
      <c r="AL2330" s="28"/>
      <c r="AM2330" s="28" t="n">
        <f aca="false">AL2330*$M2330</f>
        <v>0</v>
      </c>
      <c r="AN2330" s="28"/>
      <c r="AO2330" s="28" t="n">
        <f aca="false">AN2330*$M2330</f>
        <v>0</v>
      </c>
      <c r="AP2330" s="28"/>
      <c r="AQ2330" s="28" t="n">
        <f aca="false">AP2330*$M2330</f>
        <v>0</v>
      </c>
      <c r="AR2330" s="28"/>
      <c r="AS2330" s="28" t="n">
        <f aca="false">AR2330*$M2330</f>
        <v>0</v>
      </c>
      <c r="AT2330" s="28"/>
      <c r="AU2330" s="28" t="n">
        <f aca="false">AT2330*$M2330</f>
        <v>0</v>
      </c>
      <c r="AV2330" s="28"/>
      <c r="AW2330" s="28" t="n">
        <f aca="false">AV2330*$M2330</f>
        <v>0</v>
      </c>
      <c r="AX2330" s="28"/>
      <c r="AY2330" s="28" t="n">
        <f aca="false">AX2330*$M2330</f>
        <v>0</v>
      </c>
      <c r="AZ2330" s="30" t="n">
        <f aca="false">966085/100</f>
        <v>9660.85</v>
      </c>
      <c r="BA2330" s="11" t="n">
        <v>483042</v>
      </c>
      <c r="BB2330" s="31" t="n">
        <f aca="false">SUM(Q2330,S2330,U2330,W2330,Y2330,AA2330,AC2330,AE2330,AG2330,AI2330,AK2330,AM2330,AO2330,AQ2330,AS2330,AU2330,AW2330,AY2330)</f>
        <v>483042</v>
      </c>
      <c r="BC2330" s="28" t="n">
        <f aca="false">BA2330-BB2330</f>
        <v>0</v>
      </c>
      <c r="BD2330" s="32" t="n">
        <f aca="false">SUM(P2330,R2330,T2330,V2330,X2330,Z2330,AB2330,AD2330,AF2330,AH2330,AJ2330,AL2330,AN2330,AP2330,AR2330,AT2330,AV2330,AX2330)</f>
        <v>9660.85</v>
      </c>
      <c r="BE2330" s="33" t="n">
        <f aca="false">AZ2330-BD2330</f>
        <v>0</v>
      </c>
      <c r="BF2330" s="34" t="n">
        <f aca="false">BD2330*M2330</f>
        <v>483042.5</v>
      </c>
      <c r="BG2330" s="35" t="n">
        <f aca="false">BA2330-BF2330</f>
        <v>-0.5</v>
      </c>
      <c r="BH2330" s="19" t="str">
        <f aca="false">IF(BG2330=0,"",IF(BG2330&lt;&gt;BA2330,"erreur de calcul",IF(BD2330&lt;&gt;0,"pas de prix",IF(M2330&lt;&gt; 0,"pas de quantité","pas de prix, ni de quantité"))))</f>
        <v>erreur de calcul</v>
      </c>
      <c r="BI2330" s="19"/>
    </row>
    <row r="2331" customFormat="false" ht="15" hidden="false" customHeight="false" outlineLevel="0" collapsed="false">
      <c r="A2331" s="0" t="n">
        <v>15</v>
      </c>
      <c r="B2331" s="8" t="s">
        <v>24</v>
      </c>
      <c r="C2331" s="9" t="s">
        <v>25</v>
      </c>
      <c r="D2331" s="9" t="s">
        <v>26</v>
      </c>
      <c r="E2331" s="10" t="n">
        <v>1789</v>
      </c>
      <c r="F2331" s="9" t="s">
        <v>27</v>
      </c>
      <c r="G2331" s="9" t="s">
        <v>27</v>
      </c>
      <c r="H2331" s="11" t="n">
        <v>24</v>
      </c>
      <c r="I2331" s="11" t="s">
        <v>304</v>
      </c>
      <c r="J2331" s="14" t="n">
        <v>340</v>
      </c>
      <c r="K2331" s="14"/>
      <c r="L2331" s="16"/>
      <c r="M2331" s="27" t="n">
        <f aca="false">J2331+(K2331/20)+(L2331/240)</f>
        <v>340</v>
      </c>
      <c r="N2331" s="17" t="s">
        <v>64</v>
      </c>
      <c r="O2331" s="11"/>
      <c r="P2331" s="28"/>
      <c r="Q2331" s="28" t="n">
        <f aca="false">P2331*$M2331</f>
        <v>0</v>
      </c>
      <c r="R2331" s="28"/>
      <c r="S2331" s="28" t="n">
        <f aca="false">R2331*$M2331</f>
        <v>0</v>
      </c>
      <c r="T2331" s="28"/>
      <c r="U2331" s="28" t="n">
        <f aca="false">T2331*$M2331</f>
        <v>0</v>
      </c>
      <c r="V2331" s="28"/>
      <c r="W2331" s="28" t="n">
        <f aca="false">V2331*$M2331</f>
        <v>0</v>
      </c>
      <c r="X2331" s="28"/>
      <c r="Y2331" s="28" t="n">
        <f aca="false">X2331*$M2331</f>
        <v>0</v>
      </c>
      <c r="Z2331" s="28"/>
      <c r="AA2331" s="28" t="n">
        <f aca="false">Z2331*$M2331</f>
        <v>0</v>
      </c>
      <c r="AB2331" s="28" t="n">
        <f aca="false">339883/100</f>
        <v>3398.83</v>
      </c>
      <c r="AC2331" s="28" t="n">
        <v>1155602</v>
      </c>
      <c r="AD2331" s="28"/>
      <c r="AE2331" s="28" t="n">
        <f aca="false">AD2331*$M2331</f>
        <v>0</v>
      </c>
      <c r="AF2331" s="28"/>
      <c r="AG2331" s="28" t="n">
        <f aca="false">AF2331*$M2331</f>
        <v>0</v>
      </c>
      <c r="AH2331" s="28"/>
      <c r="AI2331" s="28" t="n">
        <f aca="false">AH2331*$M2331</f>
        <v>0</v>
      </c>
      <c r="AJ2331" s="28"/>
      <c r="AK2331" s="28" t="n">
        <f aca="false">AJ2331*$M2331</f>
        <v>0</v>
      </c>
      <c r="AL2331" s="28"/>
      <c r="AM2331" s="28" t="n">
        <f aca="false">AL2331*$M2331</f>
        <v>0</v>
      </c>
      <c r="AN2331" s="28"/>
      <c r="AO2331" s="28" t="n">
        <f aca="false">AN2331*$M2331</f>
        <v>0</v>
      </c>
      <c r="AP2331" s="28"/>
      <c r="AQ2331" s="28" t="n">
        <f aca="false">AP2331*$M2331</f>
        <v>0</v>
      </c>
      <c r="AR2331" s="28"/>
      <c r="AS2331" s="28" t="n">
        <f aca="false">AR2331*$M2331</f>
        <v>0</v>
      </c>
      <c r="AT2331" s="28"/>
      <c r="AU2331" s="28" t="n">
        <f aca="false">AT2331*$M2331</f>
        <v>0</v>
      </c>
      <c r="AV2331" s="28"/>
      <c r="AW2331" s="28" t="n">
        <f aca="false">AV2331*$M2331</f>
        <v>0</v>
      </c>
      <c r="AX2331" s="28"/>
      <c r="AY2331" s="28" t="n">
        <f aca="false">AX2331*$M2331</f>
        <v>0</v>
      </c>
      <c r="AZ2331" s="30" t="n">
        <f aca="false">339883/100</f>
        <v>3398.83</v>
      </c>
      <c r="BA2331" s="11" t="n">
        <v>1155602</v>
      </c>
      <c r="BB2331" s="31" t="n">
        <f aca="false">SUM(Q2331,S2331,U2331,W2331,Y2331,AA2331,AC2331,AE2331,AG2331,AI2331,AK2331,AM2331,AO2331,AQ2331,AS2331,AU2331,AW2331,AY2331)</f>
        <v>1155602</v>
      </c>
      <c r="BC2331" s="28" t="n">
        <f aca="false">BA2331-BB2331</f>
        <v>0</v>
      </c>
      <c r="BD2331" s="32" t="n">
        <f aca="false">SUM(P2331,R2331,T2331,V2331,X2331,Z2331,AB2331,AD2331,AF2331,AH2331,AJ2331,AL2331,AN2331,AP2331,AR2331,AT2331,AV2331,AX2331)</f>
        <v>3398.83</v>
      </c>
      <c r="BE2331" s="33" t="n">
        <f aca="false">AZ2331-BD2331</f>
        <v>0</v>
      </c>
      <c r="BF2331" s="34" t="n">
        <f aca="false">BD2331*M2331</f>
        <v>1155602.2</v>
      </c>
      <c r="BG2331" s="35" t="n">
        <f aca="false">BA2331-BF2331</f>
        <v>-0.199999999953434</v>
      </c>
      <c r="BH2331" s="19" t="str">
        <f aca="false">IF(BG2331=0,"",IF(BG2331&lt;&gt;BA2331,"erreur de calcul",IF(BD2331&lt;&gt;0,"pas de prix",IF(M2331&lt;&gt; 0,"pas de quantité","pas de prix, ni de quantité"))))</f>
        <v>erreur de calcul</v>
      </c>
      <c r="BI2331" s="19"/>
    </row>
    <row r="2332" customFormat="false" ht="15" hidden="false" customHeight="false" outlineLevel="0" collapsed="false">
      <c r="A2332" s="0" t="n">
        <v>16</v>
      </c>
      <c r="B2332" s="8" t="s">
        <v>24</v>
      </c>
      <c r="C2332" s="9" t="s">
        <v>25</v>
      </c>
      <c r="D2332" s="9" t="s">
        <v>26</v>
      </c>
      <c r="E2332" s="10" t="n">
        <v>1789</v>
      </c>
      <c r="F2332" s="9" t="s">
        <v>27</v>
      </c>
      <c r="G2332" s="9" t="s">
        <v>27</v>
      </c>
      <c r="H2332" s="11" t="n">
        <v>24</v>
      </c>
      <c r="I2332" s="11" t="s">
        <v>305</v>
      </c>
      <c r="J2332" s="14" t="n">
        <v>235</v>
      </c>
      <c r="K2332" s="14"/>
      <c r="L2332" s="16"/>
      <c r="M2332" s="27" t="n">
        <f aca="false">J2332+(K2332/20)+(L2332/240)</f>
        <v>235</v>
      </c>
      <c r="N2332" s="17" t="s">
        <v>64</v>
      </c>
      <c r="O2332" s="11"/>
      <c r="P2332" s="28" t="n">
        <f aca="false">34642/100</f>
        <v>346.42</v>
      </c>
      <c r="Q2332" s="28" t="n">
        <v>81409</v>
      </c>
      <c r="R2332" s="28"/>
      <c r="S2332" s="28" t="n">
        <f aca="false">R2332*$M2332</f>
        <v>0</v>
      </c>
      <c r="T2332" s="28"/>
      <c r="U2332" s="28" t="n">
        <f aca="false">T2332*$M2332</f>
        <v>0</v>
      </c>
      <c r="V2332" s="28"/>
      <c r="W2332" s="28" t="n">
        <f aca="false">V2332*$M2332</f>
        <v>0</v>
      </c>
      <c r="X2332" s="28"/>
      <c r="Y2332" s="28" t="n">
        <f aca="false">X2332*$M2332</f>
        <v>0</v>
      </c>
      <c r="Z2332" s="28"/>
      <c r="AA2332" s="28" t="n">
        <f aca="false">Z2332*$M2332</f>
        <v>0</v>
      </c>
      <c r="AB2332" s="28"/>
      <c r="AC2332" s="28" t="n">
        <f aca="false">AB2332*$M2332</f>
        <v>0</v>
      </c>
      <c r="AD2332" s="28"/>
      <c r="AE2332" s="28" t="n">
        <f aca="false">AD2332*$M2332</f>
        <v>0</v>
      </c>
      <c r="AF2332" s="28"/>
      <c r="AG2332" s="28" t="n">
        <f aca="false">AF2332*$M2332</f>
        <v>0</v>
      </c>
      <c r="AH2332" s="28"/>
      <c r="AI2332" s="28" t="n">
        <f aca="false">AH2332*$M2332</f>
        <v>0</v>
      </c>
      <c r="AJ2332" s="28"/>
      <c r="AK2332" s="28" t="n">
        <f aca="false">AJ2332*$M2332</f>
        <v>0</v>
      </c>
      <c r="AL2332" s="28"/>
      <c r="AM2332" s="28" t="n">
        <f aca="false">AL2332*$M2332</f>
        <v>0</v>
      </c>
      <c r="AN2332" s="28"/>
      <c r="AO2332" s="28" t="n">
        <f aca="false">AN2332*$M2332</f>
        <v>0</v>
      </c>
      <c r="AP2332" s="28"/>
      <c r="AQ2332" s="28" t="n">
        <f aca="false">AP2332*$M2332</f>
        <v>0</v>
      </c>
      <c r="AR2332" s="28"/>
      <c r="AS2332" s="28" t="n">
        <f aca="false">AR2332*$M2332</f>
        <v>0</v>
      </c>
      <c r="AT2332" s="28"/>
      <c r="AU2332" s="28" t="n">
        <f aca="false">AT2332*$M2332</f>
        <v>0</v>
      </c>
      <c r="AV2332" s="28"/>
      <c r="AW2332" s="28" t="n">
        <f aca="false">AV2332*$M2332</f>
        <v>0</v>
      </c>
      <c r="AX2332" s="28"/>
      <c r="AY2332" s="28" t="n">
        <f aca="false">AX2332*$M2332</f>
        <v>0</v>
      </c>
      <c r="AZ2332" s="30" t="n">
        <f aca="false">34642/100</f>
        <v>346.42</v>
      </c>
      <c r="BA2332" s="11" t="n">
        <v>81409</v>
      </c>
      <c r="BB2332" s="31" t="n">
        <f aca="false">SUM(Q2332,S2332,U2332,W2332,Y2332,AA2332,AC2332,AE2332,AG2332,AI2332,AK2332,AM2332,AO2332,AQ2332,AS2332,AU2332,AW2332,AY2332)</f>
        <v>81409</v>
      </c>
      <c r="BC2332" s="28" t="n">
        <f aca="false">BA2332-BB2332</f>
        <v>0</v>
      </c>
      <c r="BD2332" s="32" t="n">
        <f aca="false">SUM(P2332,R2332,T2332,V2332,X2332,Z2332,AB2332,AD2332,AF2332,AH2332,AJ2332,AL2332,AN2332,AP2332,AR2332,AT2332,AV2332,AX2332)</f>
        <v>346.42</v>
      </c>
      <c r="BE2332" s="33" t="n">
        <f aca="false">AZ2332-BD2332</f>
        <v>0</v>
      </c>
      <c r="BF2332" s="34" t="n">
        <f aca="false">BD2332*M2332</f>
        <v>81408.7</v>
      </c>
      <c r="BG2332" s="35" t="n">
        <f aca="false">BA2332-BF2332</f>
        <v>0.30000000000291</v>
      </c>
      <c r="BH2332" s="19" t="str">
        <f aca="false">IF(BG2332=0,"",IF(BG2332&lt;&gt;BA2332,"erreur de calcul",IF(BD2332&lt;&gt;0,"pas de prix",IF(M2332&lt;&gt; 0,"pas de quantité","pas de prix, ni de quantité"))))</f>
        <v>erreur de calcul</v>
      </c>
      <c r="BI2332" s="19"/>
    </row>
    <row r="2333" customFormat="false" ht="15" hidden="false" customHeight="false" outlineLevel="0" collapsed="false">
      <c r="A2333" s="0" t="n">
        <v>17</v>
      </c>
      <c r="B2333" s="8" t="s">
        <v>24</v>
      </c>
      <c r="C2333" s="9" t="s">
        <v>25</v>
      </c>
      <c r="D2333" s="9" t="s">
        <v>26</v>
      </c>
      <c r="E2333" s="10" t="n">
        <v>1789</v>
      </c>
      <c r="F2333" s="9" t="s">
        <v>27</v>
      </c>
      <c r="G2333" s="9" t="s">
        <v>27</v>
      </c>
      <c r="H2333" s="11" t="n">
        <v>24</v>
      </c>
      <c r="I2333" s="11" t="s">
        <v>306</v>
      </c>
      <c r="J2333" s="14" t="n">
        <v>71</v>
      </c>
      <c r="K2333" s="14"/>
      <c r="L2333" s="16"/>
      <c r="M2333" s="27" t="n">
        <f aca="false">J2333+(K2333/20)+(L2333/240)</f>
        <v>71</v>
      </c>
      <c r="N2333" s="17" t="s">
        <v>64</v>
      </c>
      <c r="O2333" s="11"/>
      <c r="P2333" s="28"/>
      <c r="Q2333" s="28" t="n">
        <f aca="false">P2333*$M2333</f>
        <v>0</v>
      </c>
      <c r="R2333" s="28"/>
      <c r="S2333" s="28" t="n">
        <f aca="false">R2333*$M2333</f>
        <v>0</v>
      </c>
      <c r="T2333" s="28" t="n">
        <f aca="false">12674/100</f>
        <v>126.74</v>
      </c>
      <c r="U2333" s="28" t="n">
        <v>8998</v>
      </c>
      <c r="V2333" s="28"/>
      <c r="W2333" s="28" t="n">
        <f aca="false">V2333*$M2333</f>
        <v>0</v>
      </c>
      <c r="X2333" s="28"/>
      <c r="Y2333" s="28" t="n">
        <f aca="false">X2333*$M2333</f>
        <v>0</v>
      </c>
      <c r="Z2333" s="28"/>
      <c r="AA2333" s="28" t="n">
        <f aca="false">Z2333*$M2333</f>
        <v>0</v>
      </c>
      <c r="AB2333" s="28"/>
      <c r="AC2333" s="28" t="n">
        <f aca="false">AB2333*$M2333</f>
        <v>0</v>
      </c>
      <c r="AD2333" s="28" t="n">
        <f aca="false">4283/100</f>
        <v>42.83</v>
      </c>
      <c r="AE2333" s="28" t="n">
        <v>3041</v>
      </c>
      <c r="AF2333" s="28" t="n">
        <f aca="false">2978140/100</f>
        <v>29781.4</v>
      </c>
      <c r="AG2333" s="28" t="n">
        <v>2114479</v>
      </c>
      <c r="AH2333" s="28" t="n">
        <f aca="false">4119032/100</f>
        <v>41190.32</v>
      </c>
      <c r="AI2333" s="28" t="n">
        <v>2924512</v>
      </c>
      <c r="AJ2333" s="28"/>
      <c r="AK2333" s="28" t="n">
        <f aca="false">AJ2333*$M2333</f>
        <v>0</v>
      </c>
      <c r="AL2333" s="28"/>
      <c r="AM2333" s="28" t="n">
        <f aca="false">AL2333*$M2333</f>
        <v>0</v>
      </c>
      <c r="AN2333" s="28"/>
      <c r="AO2333" s="28" t="n">
        <f aca="false">AN2333*$M2333</f>
        <v>0</v>
      </c>
      <c r="AP2333" s="28"/>
      <c r="AQ2333" s="28" t="n">
        <f aca="false">AP2333*$M2333</f>
        <v>0</v>
      </c>
      <c r="AR2333" s="28"/>
      <c r="AS2333" s="28" t="n">
        <f aca="false">AR2333*$M2333</f>
        <v>0</v>
      </c>
      <c r="AT2333" s="28"/>
      <c r="AU2333" s="28" t="n">
        <f aca="false">AT2333*$M2333</f>
        <v>0</v>
      </c>
      <c r="AV2333" s="28"/>
      <c r="AW2333" s="28" t="n">
        <f aca="false">AV2333*$M2333</f>
        <v>0</v>
      </c>
      <c r="AX2333" s="28"/>
      <c r="AY2333" s="28" t="n">
        <f aca="false">AX2333*$M2333</f>
        <v>0</v>
      </c>
      <c r="AZ2333" s="30" t="n">
        <f aca="false">7114129/100</f>
        <v>71141.29</v>
      </c>
      <c r="BA2333" s="11" t="n">
        <v>5051030</v>
      </c>
      <c r="BB2333" s="31" t="n">
        <f aca="false">SUM(Q2333,S2333,U2333,W2333,Y2333,AA2333,AC2333,AE2333,AG2333,AI2333,AK2333,AM2333,AO2333,AQ2333,AS2333,AU2333,AW2333,AY2333)</f>
        <v>5051030</v>
      </c>
      <c r="BC2333" s="28" t="n">
        <f aca="false">BA2333-BB2333</f>
        <v>0</v>
      </c>
      <c r="BD2333" s="32" t="n">
        <f aca="false">SUM(P2333,R2333,T2333,V2333,X2333,Z2333,AB2333,AD2333,AF2333,AH2333,AJ2333,AL2333,AN2333,AP2333,AR2333,AT2333,AV2333,AX2333)</f>
        <v>71141.29</v>
      </c>
      <c r="BE2333" s="33" t="n">
        <f aca="false">AZ2333-BD2333</f>
        <v>0</v>
      </c>
      <c r="BF2333" s="34" t="n">
        <f aca="false">BD2333*M2333</f>
        <v>5051031.59</v>
      </c>
      <c r="BG2333" s="35" t="n">
        <f aca="false">BA2333-BF2333</f>
        <v>-1.59000000078231</v>
      </c>
      <c r="BH2333" s="19" t="str">
        <f aca="false">IF(BG2333=0,"",IF(BG2333&lt;&gt;BA2333,"erreur de calcul",IF(BD2333&lt;&gt;0,"pas de prix",IF(M2333&lt;&gt; 0,"pas de quantité","pas de prix, ni de quantité"))))</f>
        <v>erreur de calcul</v>
      </c>
      <c r="BI2333" s="19"/>
    </row>
    <row r="2334" customFormat="false" ht="15" hidden="false" customHeight="false" outlineLevel="0" collapsed="false">
      <c r="A2334" s="0" t="n">
        <v>18</v>
      </c>
      <c r="B2334" s="8" t="s">
        <v>24</v>
      </c>
      <c r="C2334" s="9" t="s">
        <v>25</v>
      </c>
      <c r="D2334" s="9" t="s">
        <v>26</v>
      </c>
      <c r="E2334" s="10" t="n">
        <v>1789</v>
      </c>
      <c r="F2334" s="9" t="s">
        <v>27</v>
      </c>
      <c r="G2334" s="9" t="s">
        <v>27</v>
      </c>
      <c r="H2334" s="11" t="n">
        <v>24</v>
      </c>
      <c r="I2334" s="11" t="s">
        <v>307</v>
      </c>
      <c r="J2334" s="14" t="n">
        <v>45</v>
      </c>
      <c r="K2334" s="14"/>
      <c r="L2334" s="16"/>
      <c r="M2334" s="27" t="n">
        <f aca="false">J2334+(K2334/20)+(L2334/240)</f>
        <v>45</v>
      </c>
      <c r="N2334" s="17" t="s">
        <v>64</v>
      </c>
      <c r="O2334" s="11"/>
      <c r="P2334" s="28"/>
      <c r="Q2334" s="28" t="n">
        <f aca="false">P2334*$M2334</f>
        <v>0</v>
      </c>
      <c r="R2334" s="28"/>
      <c r="S2334" s="28" t="n">
        <f aca="false">R2334*$M2334</f>
        <v>0</v>
      </c>
      <c r="T2334" s="28"/>
      <c r="U2334" s="28" t="n">
        <f aca="false">T2334*$M2334</f>
        <v>0</v>
      </c>
      <c r="V2334" s="28"/>
      <c r="W2334" s="28" t="n">
        <f aca="false">V2334*$M2334</f>
        <v>0</v>
      </c>
      <c r="X2334" s="28"/>
      <c r="Y2334" s="28" t="n">
        <f aca="false">X2334*$M2334</f>
        <v>0</v>
      </c>
      <c r="Z2334" s="28"/>
      <c r="AA2334" s="28" t="n">
        <f aca="false">Z2334*$M2334</f>
        <v>0</v>
      </c>
      <c r="AB2334" s="28"/>
      <c r="AC2334" s="28" t="n">
        <f aca="false">AB2334*$M2334</f>
        <v>0</v>
      </c>
      <c r="AD2334" s="28"/>
      <c r="AE2334" s="28" t="n">
        <f aca="false">AD2334*$M2334</f>
        <v>0</v>
      </c>
      <c r="AF2334" s="28"/>
      <c r="AG2334" s="28" t="n">
        <f aca="false">AF2334*$M2334</f>
        <v>0</v>
      </c>
      <c r="AH2334" s="28"/>
      <c r="AI2334" s="28" t="n">
        <f aca="false">AH2334*$M2334</f>
        <v>0</v>
      </c>
      <c r="AJ2334" s="28"/>
      <c r="AK2334" s="28" t="n">
        <f aca="false">AJ2334*$M2334</f>
        <v>0</v>
      </c>
      <c r="AL2334" s="28" t="n">
        <f aca="false">971/100</f>
        <v>9.71</v>
      </c>
      <c r="AM2334" s="28" t="n">
        <v>437</v>
      </c>
      <c r="AN2334" s="28"/>
      <c r="AO2334" s="28" t="n">
        <f aca="false">AN2334*$M2334</f>
        <v>0</v>
      </c>
      <c r="AP2334" s="28"/>
      <c r="AQ2334" s="28" t="n">
        <f aca="false">AP2334*$M2334</f>
        <v>0</v>
      </c>
      <c r="AR2334" s="28"/>
      <c r="AS2334" s="28" t="n">
        <f aca="false">AR2334*$M2334</f>
        <v>0</v>
      </c>
      <c r="AT2334" s="28"/>
      <c r="AU2334" s="28" t="n">
        <f aca="false">AT2334*$M2334</f>
        <v>0</v>
      </c>
      <c r="AV2334" s="28"/>
      <c r="AW2334" s="28" t="n">
        <f aca="false">AV2334*$M2334</f>
        <v>0</v>
      </c>
      <c r="AX2334" s="28"/>
      <c r="AY2334" s="28" t="n">
        <f aca="false">AX2334*$M2334</f>
        <v>0</v>
      </c>
      <c r="AZ2334" s="30" t="n">
        <f aca="false">971/100</f>
        <v>9.71</v>
      </c>
      <c r="BA2334" s="11" t="n">
        <v>437</v>
      </c>
      <c r="BB2334" s="31" t="n">
        <f aca="false">SUM(Q2334,S2334,U2334,W2334,Y2334,AA2334,AC2334,AE2334,AG2334,AI2334,AK2334,AM2334,AO2334,AQ2334,AS2334,AU2334,AW2334,AY2334)</f>
        <v>437</v>
      </c>
      <c r="BC2334" s="28" t="n">
        <f aca="false">BA2334-BB2334</f>
        <v>0</v>
      </c>
      <c r="BD2334" s="32" t="n">
        <f aca="false">SUM(P2334,R2334,T2334,V2334,X2334,Z2334,AB2334,AD2334,AF2334,AH2334,AJ2334,AL2334,AN2334,AP2334,AR2334,AT2334,AV2334,AX2334)</f>
        <v>9.71</v>
      </c>
      <c r="BE2334" s="33" t="n">
        <f aca="false">AZ2334-BD2334</f>
        <v>0</v>
      </c>
      <c r="BF2334" s="34" t="n">
        <f aca="false">BD2334*M2334</f>
        <v>436.95</v>
      </c>
      <c r="BG2334" s="35" t="n">
        <f aca="false">BA2334-BF2334</f>
        <v>0.0499999999999545</v>
      </c>
      <c r="BH2334" s="19" t="str">
        <f aca="false">IF(BG2334=0,"",IF(BG2334&lt;&gt;BA2334,"erreur de calcul",IF(BD2334&lt;&gt;0,"pas de prix",IF(M2334&lt;&gt; 0,"pas de quantité","pas de prix, ni de quantité"))))</f>
        <v>erreur de calcul</v>
      </c>
      <c r="BI2334" s="19"/>
    </row>
    <row r="2335" customFormat="false" ht="15" hidden="false" customHeight="false" outlineLevel="0" collapsed="false">
      <c r="A2335" s="0" t="n">
        <v>19</v>
      </c>
      <c r="B2335" s="8" t="s">
        <v>24</v>
      </c>
      <c r="C2335" s="9" t="s">
        <v>25</v>
      </c>
      <c r="D2335" s="9" t="s">
        <v>26</v>
      </c>
      <c r="E2335" s="10" t="n">
        <v>1789</v>
      </c>
      <c r="F2335" s="9" t="s">
        <v>27</v>
      </c>
      <c r="G2335" s="9" t="s">
        <v>27</v>
      </c>
      <c r="H2335" s="11" t="n">
        <v>24</v>
      </c>
      <c r="I2335" s="11" t="s">
        <v>308</v>
      </c>
      <c r="J2335" s="14" t="n">
        <v>240</v>
      </c>
      <c r="K2335" s="14"/>
      <c r="L2335" s="16"/>
      <c r="M2335" s="27" t="n">
        <f aca="false">J2335+(K2335/20)+(L2335/240)</f>
        <v>240</v>
      </c>
      <c r="N2335" s="17" t="s">
        <v>64</v>
      </c>
      <c r="O2335" s="11"/>
      <c r="P2335" s="28"/>
      <c r="Q2335" s="28" t="n">
        <f aca="false">P2335*$M2335</f>
        <v>0</v>
      </c>
      <c r="R2335" s="28"/>
      <c r="S2335" s="28" t="n">
        <f aca="false">R2335*$M2335</f>
        <v>0</v>
      </c>
      <c r="T2335" s="28"/>
      <c r="U2335" s="28" t="n">
        <f aca="false">T2335*$M2335</f>
        <v>0</v>
      </c>
      <c r="V2335" s="28"/>
      <c r="W2335" s="28" t="n">
        <f aca="false">V2335*$M2335</f>
        <v>0</v>
      </c>
      <c r="X2335" s="28"/>
      <c r="Y2335" s="28" t="n">
        <f aca="false">X2335*$M2335</f>
        <v>0</v>
      </c>
      <c r="Z2335" s="28"/>
      <c r="AA2335" s="28" t="n">
        <f aca="false">Z2335*$M2335</f>
        <v>0</v>
      </c>
      <c r="AB2335" s="28"/>
      <c r="AC2335" s="28" t="n">
        <f aca="false">AB2335*$M2335</f>
        <v>0</v>
      </c>
      <c r="AD2335" s="28"/>
      <c r="AE2335" s="28" t="n">
        <f aca="false">AD2335*$M2335</f>
        <v>0</v>
      </c>
      <c r="AF2335" s="28"/>
      <c r="AG2335" s="28" t="n">
        <f aca="false">AF2335*$M2335</f>
        <v>0</v>
      </c>
      <c r="AH2335" s="28"/>
      <c r="AI2335" s="28" t="n">
        <f aca="false">AH2335*$M2335</f>
        <v>0</v>
      </c>
      <c r="AJ2335" s="28" t="n">
        <f aca="false">2173/100</f>
        <v>21.73</v>
      </c>
      <c r="AK2335" s="28" t="n">
        <v>5215</v>
      </c>
      <c r="AL2335" s="28"/>
      <c r="AM2335" s="28" t="n">
        <f aca="false">AL2335*$M2335</f>
        <v>0</v>
      </c>
      <c r="AN2335" s="28"/>
      <c r="AO2335" s="28" t="n">
        <f aca="false">AN2335*$M2335</f>
        <v>0</v>
      </c>
      <c r="AP2335" s="28"/>
      <c r="AQ2335" s="28" t="n">
        <f aca="false">AP2335*$M2335</f>
        <v>0</v>
      </c>
      <c r="AR2335" s="28"/>
      <c r="AS2335" s="28" t="n">
        <f aca="false">AR2335*$M2335</f>
        <v>0</v>
      </c>
      <c r="AT2335" s="28"/>
      <c r="AU2335" s="28" t="n">
        <f aca="false">AT2335*$M2335</f>
        <v>0</v>
      </c>
      <c r="AV2335" s="28"/>
      <c r="AW2335" s="28" t="n">
        <f aca="false">AV2335*$M2335</f>
        <v>0</v>
      </c>
      <c r="AX2335" s="28"/>
      <c r="AY2335" s="28" t="n">
        <f aca="false">AX2335*$M2335</f>
        <v>0</v>
      </c>
      <c r="AZ2335" s="30" t="n">
        <f aca="false">2173/100</f>
        <v>21.73</v>
      </c>
      <c r="BA2335" s="11" t="n">
        <v>5215</v>
      </c>
      <c r="BB2335" s="31" t="n">
        <f aca="false">SUM(Q2335,S2335,U2335,W2335,Y2335,AA2335,AC2335,AE2335,AG2335,AI2335,AK2335,AM2335,AO2335,AQ2335,AS2335,AU2335,AW2335,AY2335)</f>
        <v>5215</v>
      </c>
      <c r="BC2335" s="28" t="n">
        <f aca="false">BA2335-BB2335</f>
        <v>0</v>
      </c>
      <c r="BD2335" s="32" t="n">
        <f aca="false">SUM(P2335,R2335,T2335,V2335,X2335,Z2335,AB2335,AD2335,AF2335,AH2335,AJ2335,AL2335,AN2335,AP2335,AR2335,AT2335,AV2335,AX2335)</f>
        <v>21.73</v>
      </c>
      <c r="BE2335" s="33" t="n">
        <f aca="false">AZ2335-BD2335</f>
        <v>0</v>
      </c>
      <c r="BF2335" s="34" t="n">
        <f aca="false">BD2335*M2335</f>
        <v>5215.2</v>
      </c>
      <c r="BG2335" s="35" t="n">
        <f aca="false">BA2335-BF2335</f>
        <v>-0.199999999999818</v>
      </c>
      <c r="BH2335" s="19" t="str">
        <f aca="false">IF(BG2335=0,"",IF(BG2335&lt;&gt;BA2335,"erreur de calcul",IF(BD2335&lt;&gt;0,"pas de prix",IF(M2335&lt;&gt; 0,"pas de quantité","pas de prix, ni de quantité"))))</f>
        <v>erreur de calcul</v>
      </c>
      <c r="BI2335" s="19"/>
    </row>
    <row r="2336" customFormat="false" ht="15" hidden="false" customHeight="false" outlineLevel="0" collapsed="false">
      <c r="A2336" s="0" t="n">
        <v>20</v>
      </c>
      <c r="B2336" s="8" t="s">
        <v>24</v>
      </c>
      <c r="C2336" s="9" t="s">
        <v>25</v>
      </c>
      <c r="D2336" s="9" t="s">
        <v>26</v>
      </c>
      <c r="E2336" s="10" t="n">
        <v>1789</v>
      </c>
      <c r="F2336" s="9" t="s">
        <v>27</v>
      </c>
      <c r="G2336" s="9" t="s">
        <v>27</v>
      </c>
      <c r="H2336" s="11" t="n">
        <v>24</v>
      </c>
      <c r="I2336" s="11" t="s">
        <v>309</v>
      </c>
      <c r="J2336" s="14"/>
      <c r="K2336" s="14"/>
      <c r="L2336" s="16"/>
      <c r="M2336" s="27" t="n">
        <f aca="false">J2336+(K2336/20)+(L2336/240)</f>
        <v>0</v>
      </c>
      <c r="N2336" s="17"/>
      <c r="O2336" s="11"/>
      <c r="P2336" s="28"/>
      <c r="Q2336" s="28" t="n">
        <f aca="false">P2336*$M2336</f>
        <v>0</v>
      </c>
      <c r="R2336" s="28"/>
      <c r="S2336" s="28" t="n">
        <f aca="false">R2336*$M2336</f>
        <v>0</v>
      </c>
      <c r="T2336" s="28"/>
      <c r="U2336" s="28" t="n">
        <v>195</v>
      </c>
      <c r="V2336" s="28"/>
      <c r="W2336" s="28" t="n">
        <v>640</v>
      </c>
      <c r="X2336" s="28"/>
      <c r="Y2336" s="28" t="n">
        <f aca="false">X2336*$M2336</f>
        <v>0</v>
      </c>
      <c r="Z2336" s="28"/>
      <c r="AA2336" s="28" t="n">
        <f aca="false">Z2336*$M2336</f>
        <v>0</v>
      </c>
      <c r="AB2336" s="28"/>
      <c r="AC2336" s="28" t="n">
        <f aca="false">AB2336*$M2336</f>
        <v>0</v>
      </c>
      <c r="AD2336" s="28"/>
      <c r="AE2336" s="28" t="n">
        <f aca="false">AD2336*$M2336</f>
        <v>0</v>
      </c>
      <c r="AF2336" s="28"/>
      <c r="AG2336" s="28" t="n">
        <f aca="false">AF2336*$M2336</f>
        <v>0</v>
      </c>
      <c r="AH2336" s="28"/>
      <c r="AI2336" s="28" t="n">
        <v>121</v>
      </c>
      <c r="AJ2336" s="28"/>
      <c r="AK2336" s="28" t="n">
        <v>412</v>
      </c>
      <c r="AL2336" s="28"/>
      <c r="AM2336" s="28" t="n">
        <f aca="false">AL2336*$M2336</f>
        <v>0</v>
      </c>
      <c r="AN2336" s="28"/>
      <c r="AO2336" s="28" t="n">
        <f aca="false">AN2336*$M2336</f>
        <v>0</v>
      </c>
      <c r="AP2336" s="28"/>
      <c r="AQ2336" s="28" t="n">
        <f aca="false">AP2336*$M2336</f>
        <v>0</v>
      </c>
      <c r="AR2336" s="28"/>
      <c r="AS2336" s="28" t="n">
        <f aca="false">AR2336*$M2336</f>
        <v>0</v>
      </c>
      <c r="AT2336" s="28"/>
      <c r="AU2336" s="28" t="n">
        <f aca="false">AT2336*$M2336</f>
        <v>0</v>
      </c>
      <c r="AV2336" s="28"/>
      <c r="AW2336" s="28" t="n">
        <f aca="false">AV2336*$M2336</f>
        <v>0</v>
      </c>
      <c r="AX2336" s="28"/>
      <c r="AY2336" s="28" t="n">
        <f aca="false">AX2336*$M2336</f>
        <v>0</v>
      </c>
      <c r="AZ2336" s="30"/>
      <c r="BA2336" s="11" t="n">
        <v>1368</v>
      </c>
      <c r="BB2336" s="31" t="n">
        <f aca="false">SUM(Q2336,S2336,U2336,W2336,Y2336,AA2336,AC2336,AE2336,AG2336,AI2336,AK2336,AM2336,AO2336,AQ2336,AS2336,AU2336,AW2336,AY2336)</f>
        <v>1368</v>
      </c>
      <c r="BC2336" s="28" t="n">
        <f aca="false">BA2336-BB2336</f>
        <v>0</v>
      </c>
      <c r="BD2336" s="32" t="n">
        <f aca="false">SUM(P2336,R2336,T2336,V2336,X2336,Z2336,AB2336,AD2336,AF2336,AH2336,AJ2336,AL2336,AN2336,AP2336,AR2336,AT2336,AV2336,AX2336)</f>
        <v>0</v>
      </c>
      <c r="BE2336" s="33" t="n">
        <f aca="false">AZ2336-BD2336</f>
        <v>0</v>
      </c>
      <c r="BF2336" s="34" t="n">
        <f aca="false">BD2336*M2336</f>
        <v>0</v>
      </c>
      <c r="BG2336" s="35" t="n">
        <f aca="false">BA2336-BF2336</f>
        <v>1368</v>
      </c>
      <c r="BH2336" s="19" t="str">
        <f aca="false">IF(BG2336=0,"",IF(BG2336&lt;&gt;BA2336,"erreur de calcul",IF(BD2336&lt;&gt;0,"pas de prix",IF(M2336&lt;&gt; 0,"pas de quantité","pas de prix, ni de quantité"))))</f>
        <v>pas de prix, ni de quantité</v>
      </c>
      <c r="BI2336" s="19"/>
    </row>
    <row r="2337" customFormat="false" ht="15" hidden="false" customHeight="false" outlineLevel="0" collapsed="false">
      <c r="A2337" s="0" t="n">
        <v>21</v>
      </c>
      <c r="B2337" s="8" t="s">
        <v>24</v>
      </c>
      <c r="C2337" s="9" t="s">
        <v>25</v>
      </c>
      <c r="D2337" s="9" t="s">
        <v>26</v>
      </c>
      <c r="E2337" s="10" t="n">
        <v>1789</v>
      </c>
      <c r="F2337" s="9" t="s">
        <v>27</v>
      </c>
      <c r="G2337" s="9" t="s">
        <v>27</v>
      </c>
      <c r="H2337" s="11" t="n">
        <v>24</v>
      </c>
      <c r="I2337" s="11" t="s">
        <v>310</v>
      </c>
      <c r="J2337" s="14"/>
      <c r="K2337" s="14" t="n">
        <v>3</v>
      </c>
      <c r="L2337" s="16"/>
      <c r="M2337" s="27" t="n">
        <f aca="false">J2337+(K2337/20)+(L2337/240)</f>
        <v>0.15</v>
      </c>
      <c r="N2337" s="17" t="s">
        <v>311</v>
      </c>
      <c r="O2337" s="11"/>
      <c r="P2337" s="28"/>
      <c r="Q2337" s="28" t="n">
        <f aca="false">P2337*$M2337</f>
        <v>0</v>
      </c>
      <c r="R2337" s="28"/>
      <c r="S2337" s="28" t="n">
        <f aca="false">R2337*$M2337</f>
        <v>0</v>
      </c>
      <c r="T2337" s="28"/>
      <c r="U2337" s="28" t="n">
        <f aca="false">T2337*$M2337</f>
        <v>0</v>
      </c>
      <c r="V2337" s="28" t="n">
        <v>32065</v>
      </c>
      <c r="W2337" s="28" t="n">
        <v>4810</v>
      </c>
      <c r="X2337" s="28" t="n">
        <v>20652</v>
      </c>
      <c r="Y2337" s="28" t="n">
        <v>3098</v>
      </c>
      <c r="Z2337" s="28"/>
      <c r="AA2337" s="28" t="n">
        <f aca="false">Z2337*$M2337</f>
        <v>0</v>
      </c>
      <c r="AB2337" s="28"/>
      <c r="AC2337" s="28" t="n">
        <f aca="false">AB2337*$M2337</f>
        <v>0</v>
      </c>
      <c r="AD2337" s="28"/>
      <c r="AE2337" s="28" t="n">
        <f aca="false">AD2337*$M2337</f>
        <v>0</v>
      </c>
      <c r="AF2337" s="28"/>
      <c r="AG2337" s="28" t="n">
        <f aca="false">AF2337*$M2337</f>
        <v>0</v>
      </c>
      <c r="AH2337" s="28"/>
      <c r="AI2337" s="28" t="n">
        <f aca="false">AH2337*$M2337</f>
        <v>0</v>
      </c>
      <c r="AJ2337" s="28"/>
      <c r="AK2337" s="28" t="n">
        <f aca="false">AJ2337*$M2337</f>
        <v>0</v>
      </c>
      <c r="AL2337" s="28"/>
      <c r="AM2337" s="28" t="n">
        <f aca="false">AL2337*$M2337</f>
        <v>0</v>
      </c>
      <c r="AN2337" s="28"/>
      <c r="AO2337" s="28" t="n">
        <f aca="false">AN2337*$M2337</f>
        <v>0</v>
      </c>
      <c r="AP2337" s="28"/>
      <c r="AQ2337" s="28" t="n">
        <f aca="false">AP2337*$M2337</f>
        <v>0</v>
      </c>
      <c r="AR2337" s="28"/>
      <c r="AS2337" s="28" t="n">
        <f aca="false">AR2337*$M2337</f>
        <v>0</v>
      </c>
      <c r="AT2337" s="28"/>
      <c r="AU2337" s="28" t="n">
        <f aca="false">AT2337*$M2337</f>
        <v>0</v>
      </c>
      <c r="AV2337" s="28"/>
      <c r="AW2337" s="28" t="n">
        <f aca="false">AV2337*$M2337</f>
        <v>0</v>
      </c>
      <c r="AX2337" s="28"/>
      <c r="AY2337" s="28" t="n">
        <f aca="false">AX2337*$M2337</f>
        <v>0</v>
      </c>
      <c r="AZ2337" s="30" t="n">
        <v>52717</v>
      </c>
      <c r="BA2337" s="11" t="n">
        <v>7908</v>
      </c>
      <c r="BB2337" s="31" t="n">
        <f aca="false">SUM(Q2337,S2337,U2337,W2337,Y2337,AA2337,AC2337,AE2337,AG2337,AI2337,AK2337,AM2337,AO2337,AQ2337,AS2337,AU2337,AW2337,AY2337)</f>
        <v>7908</v>
      </c>
      <c r="BC2337" s="28" t="n">
        <f aca="false">BA2337-BB2337</f>
        <v>0</v>
      </c>
      <c r="BD2337" s="32" t="n">
        <f aca="false">SUM(P2337,R2337,T2337,V2337,X2337,Z2337,AB2337,AD2337,AF2337,AH2337,AJ2337,AL2337,AN2337,AP2337,AR2337,AT2337,AV2337,AX2337)</f>
        <v>52717</v>
      </c>
      <c r="BE2337" s="33" t="n">
        <f aca="false">AZ2337-BD2337</f>
        <v>0</v>
      </c>
      <c r="BF2337" s="34" t="n">
        <f aca="false">BD2337*M2337</f>
        <v>7907.55</v>
      </c>
      <c r="BG2337" s="35" t="n">
        <f aca="false">BA2337-BF2337</f>
        <v>0.450000000000728</v>
      </c>
      <c r="BH2337" s="19" t="str">
        <f aca="false">IF(BG2337=0,"",IF(BG2337&lt;&gt;BA2337,"erreur de calcul",IF(BD2337&lt;&gt;0,"pas de prix",IF(M2337&lt;&gt; 0,"pas de quantité","pas de prix, ni de quantité"))))</f>
        <v>erreur de calcul</v>
      </c>
      <c r="BI2337" s="19"/>
    </row>
    <row r="2338" customFormat="false" ht="15" hidden="false" customHeight="false" outlineLevel="0" collapsed="false">
      <c r="A2338" s="0" t="n">
        <v>22</v>
      </c>
      <c r="B2338" s="8" t="s">
        <v>24</v>
      </c>
      <c r="C2338" s="9" t="s">
        <v>25</v>
      </c>
      <c r="D2338" s="9" t="s">
        <v>26</v>
      </c>
      <c r="E2338" s="10" t="n">
        <v>1789</v>
      </c>
      <c r="F2338" s="9" t="s">
        <v>27</v>
      </c>
      <c r="G2338" s="9" t="s">
        <v>27</v>
      </c>
      <c r="H2338" s="11" t="n">
        <v>24</v>
      </c>
      <c r="I2338" s="11" t="s">
        <v>312</v>
      </c>
      <c r="J2338" s="14" t="n">
        <v>15</v>
      </c>
      <c r="K2338" s="14"/>
      <c r="L2338" s="16"/>
      <c r="M2338" s="27" t="n">
        <f aca="false">J2338+(K2338/20)+(L2338/240)</f>
        <v>15</v>
      </c>
      <c r="N2338" s="17" t="s">
        <v>275</v>
      </c>
      <c r="O2338" s="11"/>
      <c r="P2338" s="28"/>
      <c r="Q2338" s="28" t="n">
        <f aca="false">P2338*$M2338</f>
        <v>0</v>
      </c>
      <c r="R2338" s="28"/>
      <c r="S2338" s="28" t="n">
        <f aca="false">R2338*$M2338</f>
        <v>0</v>
      </c>
      <c r="T2338" s="28" t="n">
        <v>1479</v>
      </c>
      <c r="U2338" s="28" t="n">
        <v>22185</v>
      </c>
      <c r="V2338" s="28" t="n">
        <v>1500</v>
      </c>
      <c r="W2338" s="28" t="n">
        <v>22500</v>
      </c>
      <c r="X2338" s="28" t="n">
        <v>300</v>
      </c>
      <c r="Y2338" s="28" t="n">
        <v>4500</v>
      </c>
      <c r="Z2338" s="28" t="n">
        <v>168</v>
      </c>
      <c r="AA2338" s="28" t="n">
        <v>2520</v>
      </c>
      <c r="AB2338" s="28" t="n">
        <v>14570</v>
      </c>
      <c r="AC2338" s="28" t="n">
        <v>218550</v>
      </c>
      <c r="AD2338" s="28"/>
      <c r="AE2338" s="28" t="n">
        <f aca="false">AD2338*$M2338</f>
        <v>0</v>
      </c>
      <c r="AF2338" s="28" t="n">
        <v>5748</v>
      </c>
      <c r="AG2338" s="28" t="n">
        <v>86220</v>
      </c>
      <c r="AH2338" s="28"/>
      <c r="AI2338" s="28" t="n">
        <f aca="false">AH2338*$M2338</f>
        <v>0</v>
      </c>
      <c r="AJ2338" s="28" t="n">
        <v>710</v>
      </c>
      <c r="AK2338" s="28" t="n">
        <v>10650</v>
      </c>
      <c r="AL2338" s="28" t="n">
        <v>600</v>
      </c>
      <c r="AM2338" s="28" t="n">
        <v>9000</v>
      </c>
      <c r="AN2338" s="28"/>
      <c r="AO2338" s="28" t="n">
        <f aca="false">AN2338*$M2338</f>
        <v>0</v>
      </c>
      <c r="AP2338" s="28" t="n">
        <v>1200</v>
      </c>
      <c r="AQ2338" s="28" t="n">
        <v>18000</v>
      </c>
      <c r="AR2338" s="28"/>
      <c r="AS2338" s="28" t="n">
        <f aca="false">AR2338*$M2338</f>
        <v>0</v>
      </c>
      <c r="AT2338" s="28"/>
      <c r="AU2338" s="28" t="n">
        <f aca="false">AT2338*$M2338</f>
        <v>0</v>
      </c>
      <c r="AV2338" s="28"/>
      <c r="AW2338" s="28" t="n">
        <f aca="false">AV2338*$M2338</f>
        <v>0</v>
      </c>
      <c r="AX2338" s="28"/>
      <c r="AY2338" s="28" t="n">
        <f aca="false">AX2338*$M2338</f>
        <v>0</v>
      </c>
      <c r="AZ2338" s="30" t="n">
        <v>26275</v>
      </c>
      <c r="BA2338" s="11" t="n">
        <v>394125</v>
      </c>
      <c r="BB2338" s="31" t="n">
        <f aca="false">SUM(Q2338,S2338,U2338,W2338,Y2338,AA2338,AC2338,AE2338,AG2338,AI2338,AK2338,AM2338,AO2338,AQ2338,AS2338,AU2338,AW2338,AY2338)</f>
        <v>394125</v>
      </c>
      <c r="BC2338" s="28" t="n">
        <f aca="false">BA2338-BB2338</f>
        <v>0</v>
      </c>
      <c r="BD2338" s="32" t="n">
        <f aca="false">SUM(P2338,R2338,T2338,V2338,X2338,Z2338,AB2338,AD2338,AF2338,AH2338,AJ2338,AL2338,AN2338,AP2338,AR2338,AT2338,AV2338,AX2338)</f>
        <v>26275</v>
      </c>
      <c r="BE2338" s="33" t="n">
        <f aca="false">AZ2338-BD2338</f>
        <v>0</v>
      </c>
      <c r="BF2338" s="34" t="n">
        <f aca="false">BD2338*M2338</f>
        <v>394125</v>
      </c>
      <c r="BG2338" s="35" t="n">
        <f aca="false">BA2338-BF2338</f>
        <v>0</v>
      </c>
      <c r="BH2338" s="19" t="str">
        <f aca="false">IF(BG2338=0,"",IF(BG2338&lt;&gt;BA2338,"erreur de calcul",IF(BD2338&lt;&gt;0,"pas de prix",IF(M2338&lt;&gt; 0,"pas de quantité","pas de prix, ni de quantité"))))</f>
        <v/>
      </c>
      <c r="BI2338" s="19"/>
    </row>
    <row r="2339" customFormat="false" ht="15" hidden="false" customHeight="false" outlineLevel="0" collapsed="false">
      <c r="A2339" s="0" t="n">
        <v>23</v>
      </c>
      <c r="B2339" s="8" t="s">
        <v>24</v>
      </c>
      <c r="C2339" s="9" t="s">
        <v>25</v>
      </c>
      <c r="D2339" s="9" t="s">
        <v>26</v>
      </c>
      <c r="E2339" s="10" t="n">
        <v>1789</v>
      </c>
      <c r="F2339" s="9" t="s">
        <v>27</v>
      </c>
      <c r="G2339" s="9" t="s">
        <v>27</v>
      </c>
      <c r="H2339" s="11" t="n">
        <v>24</v>
      </c>
      <c r="I2339" s="11" t="s">
        <v>313</v>
      </c>
      <c r="J2339" s="14" t="n">
        <v>9</v>
      </c>
      <c r="K2339" s="14"/>
      <c r="L2339" s="16"/>
      <c r="M2339" s="27" t="n">
        <f aca="false">J2339+(K2339/20)+(L2339/240)</f>
        <v>9</v>
      </c>
      <c r="N2339" s="17" t="s">
        <v>64</v>
      </c>
      <c r="O2339" s="11"/>
      <c r="P2339" s="28"/>
      <c r="Q2339" s="28" t="n">
        <f aca="false">P2339*$M2339</f>
        <v>0</v>
      </c>
      <c r="R2339" s="28"/>
      <c r="S2339" s="28" t="n">
        <f aca="false">R2339*$M2339</f>
        <v>0</v>
      </c>
      <c r="T2339" s="28"/>
      <c r="U2339" s="28" t="n">
        <f aca="false">T2339*$M2339</f>
        <v>0</v>
      </c>
      <c r="V2339" s="28" t="n">
        <f aca="false">145504/100</f>
        <v>1455.04</v>
      </c>
      <c r="W2339" s="28" t="n">
        <v>13095</v>
      </c>
      <c r="X2339" s="28" t="n">
        <f aca="false">58504/100</f>
        <v>585.04</v>
      </c>
      <c r="Y2339" s="28" t="n">
        <v>5265</v>
      </c>
      <c r="Z2339" s="28" t="n">
        <f aca="false">17027/100</f>
        <v>170.27</v>
      </c>
      <c r="AA2339" s="28" t="n">
        <v>1532</v>
      </c>
      <c r="AB2339" s="28" t="n">
        <f aca="false">84396/100</f>
        <v>843.96</v>
      </c>
      <c r="AC2339" s="28" t="n">
        <v>7596</v>
      </c>
      <c r="AD2339" s="28"/>
      <c r="AE2339" s="28" t="n">
        <f aca="false">AD2339*$M2339</f>
        <v>0</v>
      </c>
      <c r="AF2339" s="28" t="n">
        <f aca="false">14807/100</f>
        <v>148.07</v>
      </c>
      <c r="AG2339" s="28" t="n">
        <v>1333</v>
      </c>
      <c r="AH2339" s="28"/>
      <c r="AI2339" s="28" t="n">
        <f aca="false">AH2339*$M2339</f>
        <v>0</v>
      </c>
      <c r="AJ2339" s="28"/>
      <c r="AK2339" s="28" t="n">
        <f aca="false">AJ2339*$M2339</f>
        <v>0</v>
      </c>
      <c r="AL2339" s="28"/>
      <c r="AM2339" s="28" t="n">
        <f aca="false">AL2339*$M2339</f>
        <v>0</v>
      </c>
      <c r="AN2339" s="28"/>
      <c r="AO2339" s="28" t="n">
        <f aca="false">AN2339*$M2339</f>
        <v>0</v>
      </c>
      <c r="AP2339" s="28"/>
      <c r="AQ2339" s="28" t="n">
        <f aca="false">AP2339*$M2339</f>
        <v>0</v>
      </c>
      <c r="AR2339" s="28"/>
      <c r="AS2339" s="28" t="n">
        <f aca="false">AR2339*$M2339</f>
        <v>0</v>
      </c>
      <c r="AT2339" s="28"/>
      <c r="AU2339" s="28" t="n">
        <f aca="false">AT2339*$M2339</f>
        <v>0</v>
      </c>
      <c r="AV2339" s="28"/>
      <c r="AW2339" s="28" t="n">
        <f aca="false">AV2339*$M2339</f>
        <v>0</v>
      </c>
      <c r="AX2339" s="28"/>
      <c r="AY2339" s="28" t="n">
        <f aca="false">AX2339*$M2339</f>
        <v>0</v>
      </c>
      <c r="AZ2339" s="30" t="n">
        <f aca="false">320238/100</f>
        <v>3202.38</v>
      </c>
      <c r="BA2339" s="11" t="n">
        <v>28821</v>
      </c>
      <c r="BB2339" s="31" t="n">
        <f aca="false">SUM(Q2339,S2339,U2339,W2339,Y2339,AA2339,AC2339,AE2339,AG2339,AI2339,AK2339,AM2339,AO2339,AQ2339,AS2339,AU2339,AW2339,AY2339)</f>
        <v>28821</v>
      </c>
      <c r="BC2339" s="28" t="n">
        <f aca="false">BA2339-BB2339</f>
        <v>0</v>
      </c>
      <c r="BD2339" s="32" t="n">
        <f aca="false">SUM(P2339,R2339,T2339,V2339,X2339,Z2339,AB2339,AD2339,AF2339,AH2339,AJ2339,AL2339,AN2339,AP2339,AR2339,AT2339,AV2339,AX2339)</f>
        <v>3202.38</v>
      </c>
      <c r="BE2339" s="33" t="n">
        <f aca="false">AZ2339-BD2339</f>
        <v>0</v>
      </c>
      <c r="BF2339" s="34" t="n">
        <f aca="false">BD2339*M2339</f>
        <v>28821.42</v>
      </c>
      <c r="BG2339" s="35" t="n">
        <f aca="false">BA2339-BF2339</f>
        <v>-0.420000000001892</v>
      </c>
      <c r="BH2339" s="19" t="str">
        <f aca="false">IF(BG2339=0,"",IF(BG2339&lt;&gt;BA2339,"erreur de calcul",IF(BD2339&lt;&gt;0,"pas de prix",IF(M2339&lt;&gt; 0,"pas de quantité","pas de prix, ni de quantité"))))</f>
        <v>erreur de calcul</v>
      </c>
      <c r="BI2339" s="19"/>
    </row>
    <row r="2340" customFormat="false" ht="15" hidden="false" customHeight="false" outlineLevel="0" collapsed="false">
      <c r="A2340" s="0" t="n">
        <v>24</v>
      </c>
      <c r="B2340" s="8" t="s">
        <v>24</v>
      </c>
      <c r="C2340" s="9" t="s">
        <v>25</v>
      </c>
      <c r="D2340" s="9" t="s">
        <v>26</v>
      </c>
      <c r="E2340" s="10" t="n">
        <v>1789</v>
      </c>
      <c r="F2340" s="9" t="s">
        <v>27</v>
      </c>
      <c r="G2340" s="9" t="s">
        <v>27</v>
      </c>
      <c r="H2340" s="11" t="n">
        <v>24</v>
      </c>
      <c r="I2340" s="11" t="s">
        <v>314</v>
      </c>
      <c r="J2340" s="14"/>
      <c r="K2340" s="14" t="n">
        <v>4</v>
      </c>
      <c r="L2340" s="16"/>
      <c r="M2340" s="27" t="n">
        <f aca="false">J2340+(K2340/20)+(L2340/240)</f>
        <v>0.2</v>
      </c>
      <c r="N2340" s="17" t="s">
        <v>311</v>
      </c>
      <c r="O2340" s="11"/>
      <c r="P2340" s="28"/>
      <c r="Q2340" s="28" t="n">
        <f aca="false">P2340*$M2340</f>
        <v>0</v>
      </c>
      <c r="R2340" s="28"/>
      <c r="S2340" s="28" t="n">
        <f aca="false">R2340*$M2340</f>
        <v>0</v>
      </c>
      <c r="T2340" s="28"/>
      <c r="U2340" s="28" t="n">
        <f aca="false">T2340*$M2340</f>
        <v>0</v>
      </c>
      <c r="V2340" s="28" t="n">
        <v>5800</v>
      </c>
      <c r="W2340" s="28" t="n">
        <v>1160</v>
      </c>
      <c r="X2340" s="28"/>
      <c r="Y2340" s="28" t="n">
        <f aca="false">X2340*$M2340</f>
        <v>0</v>
      </c>
      <c r="Z2340" s="28"/>
      <c r="AA2340" s="28" t="n">
        <f aca="false">Z2340*$M2340</f>
        <v>0</v>
      </c>
      <c r="AB2340" s="28"/>
      <c r="AC2340" s="28" t="n">
        <f aca="false">AB2340*$M2340</f>
        <v>0</v>
      </c>
      <c r="AD2340" s="28"/>
      <c r="AE2340" s="28" t="n">
        <f aca="false">AD2340*$M2340</f>
        <v>0</v>
      </c>
      <c r="AF2340" s="28"/>
      <c r="AG2340" s="28" t="n">
        <f aca="false">AF2340*$M2340</f>
        <v>0</v>
      </c>
      <c r="AH2340" s="28"/>
      <c r="AI2340" s="28" t="n">
        <f aca="false">AH2340*$M2340</f>
        <v>0</v>
      </c>
      <c r="AJ2340" s="28"/>
      <c r="AK2340" s="28" t="n">
        <f aca="false">AJ2340*$M2340</f>
        <v>0</v>
      </c>
      <c r="AL2340" s="28"/>
      <c r="AM2340" s="28" t="n">
        <f aca="false">AL2340*$M2340</f>
        <v>0</v>
      </c>
      <c r="AN2340" s="28"/>
      <c r="AO2340" s="28" t="n">
        <f aca="false">AN2340*$M2340</f>
        <v>0</v>
      </c>
      <c r="AP2340" s="28"/>
      <c r="AQ2340" s="28" t="n">
        <f aca="false">AP2340*$M2340</f>
        <v>0</v>
      </c>
      <c r="AR2340" s="28"/>
      <c r="AS2340" s="28" t="n">
        <f aca="false">AR2340*$M2340</f>
        <v>0</v>
      </c>
      <c r="AT2340" s="28"/>
      <c r="AU2340" s="28" t="n">
        <f aca="false">AT2340*$M2340</f>
        <v>0</v>
      </c>
      <c r="AV2340" s="28"/>
      <c r="AW2340" s="28" t="n">
        <f aca="false">AV2340*$M2340</f>
        <v>0</v>
      </c>
      <c r="AX2340" s="28"/>
      <c r="AY2340" s="28" t="n">
        <f aca="false">AX2340*$M2340</f>
        <v>0</v>
      </c>
      <c r="AZ2340" s="30" t="n">
        <v>5800</v>
      </c>
      <c r="BA2340" s="11" t="n">
        <v>1160</v>
      </c>
      <c r="BB2340" s="31" t="n">
        <f aca="false">SUM(Q2340,S2340,U2340,W2340,Y2340,AA2340,AC2340,AE2340,AG2340,AI2340,AK2340,AM2340,AO2340,AQ2340,AS2340,AU2340,AW2340,AY2340)</f>
        <v>1160</v>
      </c>
      <c r="BC2340" s="28" t="n">
        <f aca="false">BA2340-BB2340</f>
        <v>0</v>
      </c>
      <c r="BD2340" s="32" t="n">
        <f aca="false">SUM(P2340,R2340,T2340,V2340,X2340,Z2340,AB2340,AD2340,AF2340,AH2340,AJ2340,AL2340,AN2340,AP2340,AR2340,AT2340,AV2340,AX2340)</f>
        <v>5800</v>
      </c>
      <c r="BE2340" s="33" t="n">
        <f aca="false">AZ2340-BD2340</f>
        <v>0</v>
      </c>
      <c r="BF2340" s="34" t="n">
        <f aca="false">BD2340*M2340</f>
        <v>1160</v>
      </c>
      <c r="BG2340" s="35" t="n">
        <f aca="false">BA2340-BF2340</f>
        <v>0</v>
      </c>
      <c r="BH2340" s="19" t="str">
        <f aca="false">IF(BG2340=0,"",IF(BG2340&lt;&gt;BA2340,"erreur de calcul",IF(BD2340&lt;&gt;0,"pas de prix",IF(M2340&lt;&gt; 0,"pas de quantité","pas de prix, ni de quantité"))))</f>
        <v/>
      </c>
      <c r="BI2340" s="19"/>
    </row>
    <row r="2341" customFormat="false" ht="15" hidden="false" customHeight="false" outlineLevel="0" collapsed="false">
      <c r="A2341" s="0" t="n">
        <v>25</v>
      </c>
      <c r="B2341" s="8" t="s">
        <v>24</v>
      </c>
      <c r="C2341" s="9" t="s">
        <v>25</v>
      </c>
      <c r="D2341" s="9" t="s">
        <v>26</v>
      </c>
      <c r="E2341" s="10" t="n">
        <v>1789</v>
      </c>
      <c r="F2341" s="9" t="s">
        <v>27</v>
      </c>
      <c r="G2341" s="9" t="s">
        <v>27</v>
      </c>
      <c r="H2341" s="11" t="n">
        <v>24</v>
      </c>
      <c r="I2341" s="11" t="s">
        <v>315</v>
      </c>
      <c r="J2341" s="14" t="n">
        <v>10</v>
      </c>
      <c r="K2341" s="14"/>
      <c r="L2341" s="16"/>
      <c r="M2341" s="27" t="n">
        <f aca="false">J2341+(K2341/20)+(L2341/240)</f>
        <v>10</v>
      </c>
      <c r="N2341" s="17" t="s">
        <v>64</v>
      </c>
      <c r="O2341" s="11"/>
      <c r="P2341" s="28"/>
      <c r="Q2341" s="28" t="n">
        <f aca="false">P2341*$M2341</f>
        <v>0</v>
      </c>
      <c r="R2341" s="28"/>
      <c r="S2341" s="28" t="n">
        <f aca="false">R2341*$M2341</f>
        <v>0</v>
      </c>
      <c r="T2341" s="28"/>
      <c r="U2341" s="28" t="n">
        <f aca="false">T2341*$M2341</f>
        <v>0</v>
      </c>
      <c r="V2341" s="28"/>
      <c r="W2341" s="28" t="n">
        <f aca="false">V2341*$M2341</f>
        <v>0</v>
      </c>
      <c r="X2341" s="28"/>
      <c r="Y2341" s="28" t="n">
        <f aca="false">X2341*$M2341</f>
        <v>0</v>
      </c>
      <c r="Z2341" s="28"/>
      <c r="AA2341" s="28" t="n">
        <f aca="false">Z2341*$M2341</f>
        <v>0</v>
      </c>
      <c r="AB2341" s="28"/>
      <c r="AC2341" s="28" t="n">
        <f aca="false">AB2341*$M2341</f>
        <v>0</v>
      </c>
      <c r="AD2341" s="28"/>
      <c r="AE2341" s="28" t="n">
        <f aca="false">AD2341*$M2341</f>
        <v>0</v>
      </c>
      <c r="AF2341" s="28"/>
      <c r="AG2341" s="28" t="n">
        <f aca="false">AF2341*$M2341</f>
        <v>0</v>
      </c>
      <c r="AH2341" s="28"/>
      <c r="AI2341" s="28" t="n">
        <f aca="false">AH2341*$M2341</f>
        <v>0</v>
      </c>
      <c r="AJ2341" s="28" t="n">
        <f aca="false">13584/100</f>
        <v>135.84</v>
      </c>
      <c r="AK2341" s="28" t="n">
        <v>1358</v>
      </c>
      <c r="AL2341" s="28"/>
      <c r="AM2341" s="28" t="n">
        <f aca="false">AL2341*$M2341</f>
        <v>0</v>
      </c>
      <c r="AN2341" s="28"/>
      <c r="AO2341" s="28" t="n">
        <f aca="false">AN2341*$M2341</f>
        <v>0</v>
      </c>
      <c r="AP2341" s="28"/>
      <c r="AQ2341" s="28" t="n">
        <f aca="false">AP2341*$M2341</f>
        <v>0</v>
      </c>
      <c r="AR2341" s="28"/>
      <c r="AS2341" s="28" t="n">
        <f aca="false">AR2341*$M2341</f>
        <v>0</v>
      </c>
      <c r="AT2341" s="28"/>
      <c r="AU2341" s="28" t="n">
        <f aca="false">AT2341*$M2341</f>
        <v>0</v>
      </c>
      <c r="AV2341" s="28"/>
      <c r="AW2341" s="28" t="n">
        <f aca="false">AV2341*$M2341</f>
        <v>0</v>
      </c>
      <c r="AX2341" s="28"/>
      <c r="AY2341" s="28" t="n">
        <f aca="false">AX2341*$M2341</f>
        <v>0</v>
      </c>
      <c r="AZ2341" s="30" t="n">
        <f aca="false">13584/100</f>
        <v>135.84</v>
      </c>
      <c r="BA2341" s="11" t="n">
        <v>1358</v>
      </c>
      <c r="BB2341" s="31" t="n">
        <f aca="false">SUM(Q2341,S2341,U2341,W2341,Y2341,AA2341,AC2341,AE2341,AG2341,AI2341,AK2341,AM2341,AO2341,AQ2341,AS2341,AU2341,AW2341,AY2341)</f>
        <v>1358</v>
      </c>
      <c r="BC2341" s="28" t="n">
        <f aca="false">BA2341-BB2341</f>
        <v>0</v>
      </c>
      <c r="BD2341" s="32" t="n">
        <f aca="false">SUM(P2341,R2341,T2341,V2341,X2341,Z2341,AB2341,AD2341,AF2341,AH2341,AJ2341,AL2341,AN2341,AP2341,AR2341,AT2341,AV2341,AX2341)</f>
        <v>135.84</v>
      </c>
      <c r="BE2341" s="33" t="n">
        <f aca="false">AZ2341-BD2341</f>
        <v>0</v>
      </c>
      <c r="BF2341" s="34" t="n">
        <f aca="false">BD2341*M2341</f>
        <v>1358.4</v>
      </c>
      <c r="BG2341" s="35" t="n">
        <f aca="false">BA2341-BF2341</f>
        <v>-0.400000000000091</v>
      </c>
      <c r="BH2341" s="19" t="str">
        <f aca="false">IF(BG2341=0,"",IF(BG2341&lt;&gt;BA2341,"erreur de calcul",IF(BD2341&lt;&gt;0,"pas de prix",IF(M2341&lt;&gt; 0,"pas de quantité","pas de prix, ni de quantité"))))</f>
        <v>erreur de calcul</v>
      </c>
      <c r="BI2341" s="19"/>
    </row>
    <row r="2342" customFormat="false" ht="15" hidden="false" customHeight="false" outlineLevel="0" collapsed="false">
      <c r="A2342" s="0" t="n">
        <v>26</v>
      </c>
      <c r="B2342" s="8" t="s">
        <v>24</v>
      </c>
      <c r="C2342" s="9" t="s">
        <v>25</v>
      </c>
      <c r="D2342" s="9" t="s">
        <v>26</v>
      </c>
      <c r="E2342" s="10" t="n">
        <v>1789</v>
      </c>
      <c r="F2342" s="9" t="s">
        <v>27</v>
      </c>
      <c r="G2342" s="9" t="s">
        <v>27</v>
      </c>
      <c r="H2342" s="11" t="n">
        <v>24</v>
      </c>
      <c r="I2342" s="11" t="s">
        <v>316</v>
      </c>
      <c r="J2342" s="14" t="n">
        <v>12</v>
      </c>
      <c r="K2342" s="14"/>
      <c r="L2342" s="16"/>
      <c r="M2342" s="27" t="n">
        <f aca="false">J2342+(K2342/20)+(L2342/240)</f>
        <v>12</v>
      </c>
      <c r="N2342" s="17" t="s">
        <v>64</v>
      </c>
      <c r="O2342" s="11"/>
      <c r="P2342" s="28" t="n">
        <f aca="false">8690/100</f>
        <v>86.9</v>
      </c>
      <c r="Q2342" s="28" t="n">
        <v>1043</v>
      </c>
      <c r="R2342" s="28"/>
      <c r="S2342" s="28" t="n">
        <f aca="false">R2342*$M2342</f>
        <v>0</v>
      </c>
      <c r="T2342" s="28"/>
      <c r="U2342" s="28" t="n">
        <f aca="false">T2342*$M2342</f>
        <v>0</v>
      </c>
      <c r="V2342" s="28"/>
      <c r="W2342" s="28" t="n">
        <f aca="false">V2342*$M2342</f>
        <v>0</v>
      </c>
      <c r="X2342" s="28" t="n">
        <f aca="false">10000/100</f>
        <v>100</v>
      </c>
      <c r="Y2342" s="28" t="n">
        <v>1200</v>
      </c>
      <c r="Z2342" s="28"/>
      <c r="AA2342" s="28" t="n">
        <f aca="false">Z2342*$M2342</f>
        <v>0</v>
      </c>
      <c r="AB2342" s="28"/>
      <c r="AC2342" s="28" t="n">
        <f aca="false">AB2342*$M2342</f>
        <v>0</v>
      </c>
      <c r="AD2342" s="28"/>
      <c r="AE2342" s="28" t="n">
        <f aca="false">AD2342*$M2342</f>
        <v>0</v>
      </c>
      <c r="AF2342" s="28"/>
      <c r="AG2342" s="28" t="n">
        <f aca="false">AF2342*$M2342</f>
        <v>0</v>
      </c>
      <c r="AH2342" s="28"/>
      <c r="AI2342" s="28" t="n">
        <f aca="false">AH2342*$M2342</f>
        <v>0</v>
      </c>
      <c r="AJ2342" s="28"/>
      <c r="AK2342" s="28" t="n">
        <f aca="false">AJ2342*$M2342</f>
        <v>0</v>
      </c>
      <c r="AL2342" s="28"/>
      <c r="AM2342" s="28" t="n">
        <f aca="false">AL2342*$M2342</f>
        <v>0</v>
      </c>
      <c r="AN2342" s="28"/>
      <c r="AO2342" s="28" t="n">
        <f aca="false">AN2342*$M2342</f>
        <v>0</v>
      </c>
      <c r="AP2342" s="28"/>
      <c r="AQ2342" s="28" t="n">
        <f aca="false">AP2342*$M2342</f>
        <v>0</v>
      </c>
      <c r="AR2342" s="28"/>
      <c r="AS2342" s="28" t="n">
        <f aca="false">AR2342*$M2342</f>
        <v>0</v>
      </c>
      <c r="AT2342" s="28"/>
      <c r="AU2342" s="28" t="n">
        <f aca="false">AT2342*$M2342</f>
        <v>0</v>
      </c>
      <c r="AV2342" s="28"/>
      <c r="AW2342" s="28" t="n">
        <f aca="false">AV2342*$M2342</f>
        <v>0</v>
      </c>
      <c r="AX2342" s="28"/>
      <c r="AY2342" s="28" t="n">
        <f aca="false">AX2342*$M2342</f>
        <v>0</v>
      </c>
      <c r="AZ2342" s="30" t="n">
        <f aca="false">18690/100</f>
        <v>186.9</v>
      </c>
      <c r="BA2342" s="11" t="n">
        <v>2243</v>
      </c>
      <c r="BB2342" s="31" t="n">
        <f aca="false">SUM(Q2342,S2342,U2342,W2342,Y2342,AA2342,AC2342,AE2342,AG2342,AI2342,AK2342,AM2342,AO2342,AQ2342,AS2342,AU2342,AW2342,AY2342)</f>
        <v>2243</v>
      </c>
      <c r="BC2342" s="28" t="n">
        <f aca="false">BA2342-BB2342</f>
        <v>0</v>
      </c>
      <c r="BD2342" s="32" t="n">
        <f aca="false">SUM(P2342,R2342,T2342,V2342,X2342,Z2342,AB2342,AD2342,AF2342,AH2342,AJ2342,AL2342,AN2342,AP2342,AR2342,AT2342,AV2342,AX2342)</f>
        <v>186.9</v>
      </c>
      <c r="BE2342" s="33" t="n">
        <f aca="false">AZ2342-BD2342</f>
        <v>0</v>
      </c>
      <c r="BF2342" s="34" t="n">
        <f aca="false">BD2342*M2342</f>
        <v>2242.8</v>
      </c>
      <c r="BG2342" s="35" t="n">
        <f aca="false">BA2342-BF2342</f>
        <v>0.199999999999818</v>
      </c>
      <c r="BH2342" s="19" t="str">
        <f aca="false">IF(BG2342=0,"",IF(BG2342&lt;&gt;BA2342,"erreur de calcul",IF(BD2342&lt;&gt;0,"pas de prix",IF(M2342&lt;&gt; 0,"pas de quantité","pas de prix, ni de quantité"))))</f>
        <v>erreur de calcul</v>
      </c>
      <c r="BI2342" s="19"/>
    </row>
    <row r="2343" customFormat="false" ht="15" hidden="false" customHeight="false" outlineLevel="0" collapsed="false">
      <c r="A2343" s="0" t="n">
        <v>27</v>
      </c>
      <c r="B2343" s="8" t="s">
        <v>24</v>
      </c>
      <c r="C2343" s="9" t="s">
        <v>25</v>
      </c>
      <c r="D2343" s="9" t="s">
        <v>26</v>
      </c>
      <c r="E2343" s="10" t="n">
        <v>1789</v>
      </c>
      <c r="F2343" s="9" t="s">
        <v>27</v>
      </c>
      <c r="G2343" s="9" t="s">
        <v>27</v>
      </c>
      <c r="H2343" s="11" t="n">
        <v>24</v>
      </c>
      <c r="I2343" s="11" t="s">
        <v>317</v>
      </c>
      <c r="J2343" s="14" t="n">
        <v>2</v>
      </c>
      <c r="K2343" s="14"/>
      <c r="L2343" s="16"/>
      <c r="M2343" s="27" t="n">
        <f aca="false">J2343+(K2343/20)+(L2343/240)</f>
        <v>2</v>
      </c>
      <c r="N2343" s="17" t="s">
        <v>64</v>
      </c>
      <c r="O2343" s="11"/>
      <c r="P2343" s="28"/>
      <c r="Q2343" s="28" t="n">
        <f aca="false">P2343*$M2343</f>
        <v>0</v>
      </c>
      <c r="R2343" s="28"/>
      <c r="S2343" s="28" t="n">
        <f aca="false">R2343*$M2343</f>
        <v>0</v>
      </c>
      <c r="T2343" s="28"/>
      <c r="U2343" s="28" t="n">
        <f aca="false">T2343*$M2343</f>
        <v>0</v>
      </c>
      <c r="V2343" s="28"/>
      <c r="W2343" s="28" t="n">
        <f aca="false">V2343*$M2343</f>
        <v>0</v>
      </c>
      <c r="X2343" s="28"/>
      <c r="Y2343" s="28" t="n">
        <f aca="false">X2343*$M2343</f>
        <v>0</v>
      </c>
      <c r="Z2343" s="28"/>
      <c r="AA2343" s="28" t="n">
        <f aca="false">Z2343*$M2343</f>
        <v>0</v>
      </c>
      <c r="AB2343" s="28" t="n">
        <f aca="false">15417/100</f>
        <v>154.17</v>
      </c>
      <c r="AC2343" s="28" t="n">
        <v>308</v>
      </c>
      <c r="AD2343" s="28"/>
      <c r="AE2343" s="28" t="n">
        <f aca="false">AD2343*$M2343</f>
        <v>0</v>
      </c>
      <c r="AF2343" s="28"/>
      <c r="AG2343" s="28" t="n">
        <f aca="false">AF2343*$M2343</f>
        <v>0</v>
      </c>
      <c r="AH2343" s="28"/>
      <c r="AI2343" s="28" t="n">
        <f aca="false">AH2343*$M2343</f>
        <v>0</v>
      </c>
      <c r="AJ2343" s="28"/>
      <c r="AK2343" s="28" t="n">
        <f aca="false">AJ2343*$M2343</f>
        <v>0</v>
      </c>
      <c r="AL2343" s="28"/>
      <c r="AM2343" s="28" t="n">
        <f aca="false">AL2343*$M2343</f>
        <v>0</v>
      </c>
      <c r="AN2343" s="28"/>
      <c r="AO2343" s="28" t="n">
        <f aca="false">AN2343*$M2343</f>
        <v>0</v>
      </c>
      <c r="AP2343" s="28"/>
      <c r="AQ2343" s="28" t="n">
        <f aca="false">AP2343*$M2343</f>
        <v>0</v>
      </c>
      <c r="AR2343" s="28"/>
      <c r="AS2343" s="28" t="n">
        <f aca="false">AR2343*$M2343</f>
        <v>0</v>
      </c>
      <c r="AT2343" s="28"/>
      <c r="AU2343" s="28" t="n">
        <f aca="false">AT2343*$M2343</f>
        <v>0</v>
      </c>
      <c r="AV2343" s="28"/>
      <c r="AW2343" s="28" t="n">
        <f aca="false">AV2343*$M2343</f>
        <v>0</v>
      </c>
      <c r="AX2343" s="28"/>
      <c r="AY2343" s="28" t="n">
        <f aca="false">AX2343*$M2343</f>
        <v>0</v>
      </c>
      <c r="AZ2343" s="30" t="n">
        <f aca="false">15417/100</f>
        <v>154.17</v>
      </c>
      <c r="BA2343" s="11" t="n">
        <v>308</v>
      </c>
      <c r="BB2343" s="31" t="n">
        <f aca="false">SUM(Q2343,S2343,U2343,W2343,Y2343,AA2343,AC2343,AE2343,AG2343,AI2343,AK2343,AM2343,AO2343,AQ2343,AS2343,AU2343,AW2343,AY2343)</f>
        <v>308</v>
      </c>
      <c r="BC2343" s="28" t="n">
        <f aca="false">BA2343-BB2343</f>
        <v>0</v>
      </c>
      <c r="BD2343" s="32" t="n">
        <f aca="false">SUM(P2343,R2343,T2343,V2343,X2343,Z2343,AB2343,AD2343,AF2343,AH2343,AJ2343,AL2343,AN2343,AP2343,AR2343,AT2343,AV2343,AX2343)</f>
        <v>154.17</v>
      </c>
      <c r="BE2343" s="33" t="n">
        <f aca="false">AZ2343-BD2343</f>
        <v>0</v>
      </c>
      <c r="BF2343" s="34" t="n">
        <f aca="false">BD2343*M2343</f>
        <v>308.34</v>
      </c>
      <c r="BG2343" s="35" t="n">
        <f aca="false">BA2343-BF2343</f>
        <v>-0.339999999999975</v>
      </c>
      <c r="BH2343" s="19" t="str">
        <f aca="false">IF(BG2343=0,"",IF(BG2343&lt;&gt;BA2343,"erreur de calcul",IF(BD2343&lt;&gt;0,"pas de prix",IF(M2343&lt;&gt; 0,"pas de quantité","pas de prix, ni de quantité"))))</f>
        <v>erreur de calcul</v>
      </c>
      <c r="BI2343" s="19"/>
    </row>
    <row r="2344" customFormat="false" ht="15" hidden="false" customHeight="false" outlineLevel="0" collapsed="false">
      <c r="A2344" s="0" t="n">
        <v>28</v>
      </c>
      <c r="B2344" s="8" t="s">
        <v>24</v>
      </c>
      <c r="C2344" s="9" t="s">
        <v>25</v>
      </c>
      <c r="D2344" s="9" t="s">
        <v>26</v>
      </c>
      <c r="E2344" s="10" t="n">
        <v>1789</v>
      </c>
      <c r="F2344" s="9" t="s">
        <v>27</v>
      </c>
      <c r="G2344" s="9" t="s">
        <v>27</v>
      </c>
      <c r="H2344" s="11" t="n">
        <v>24</v>
      </c>
      <c r="I2344" s="11" t="s">
        <v>318</v>
      </c>
      <c r="J2344" s="14" t="n">
        <v>30</v>
      </c>
      <c r="K2344" s="14"/>
      <c r="L2344" s="16"/>
      <c r="M2344" s="27" t="n">
        <f aca="false">J2344+(K2344/20)+(L2344/240)</f>
        <v>30</v>
      </c>
      <c r="N2344" s="17" t="s">
        <v>64</v>
      </c>
      <c r="O2344" s="11"/>
      <c r="P2344" s="28" t="n">
        <f aca="false">55459/100</f>
        <v>554.59</v>
      </c>
      <c r="Q2344" s="28" t="n">
        <v>16638</v>
      </c>
      <c r="R2344" s="28"/>
      <c r="S2344" s="28" t="n">
        <f aca="false">R2344*$M2344</f>
        <v>0</v>
      </c>
      <c r="T2344" s="28"/>
      <c r="U2344" s="28" t="n">
        <f aca="false">T2344*$M2344</f>
        <v>0</v>
      </c>
      <c r="V2344" s="28"/>
      <c r="W2344" s="28" t="n">
        <f aca="false">V2344*$M2344</f>
        <v>0</v>
      </c>
      <c r="X2344" s="28"/>
      <c r="Y2344" s="28" t="n">
        <f aca="false">X2344*$M2344</f>
        <v>0</v>
      </c>
      <c r="Z2344" s="28"/>
      <c r="AA2344" s="28" t="n">
        <f aca="false">Z2344*$M2344</f>
        <v>0</v>
      </c>
      <c r="AB2344" s="28"/>
      <c r="AC2344" s="28" t="n">
        <f aca="false">AB2344*$M2344</f>
        <v>0</v>
      </c>
      <c r="AD2344" s="28"/>
      <c r="AE2344" s="28" t="n">
        <f aca="false">AD2344*$M2344</f>
        <v>0</v>
      </c>
      <c r="AF2344" s="28"/>
      <c r="AG2344" s="28" t="n">
        <f aca="false">AF2344*$M2344</f>
        <v>0</v>
      </c>
      <c r="AH2344" s="28"/>
      <c r="AI2344" s="28" t="n">
        <f aca="false">AH2344*$M2344</f>
        <v>0</v>
      </c>
      <c r="AJ2344" s="28"/>
      <c r="AK2344" s="28" t="n">
        <f aca="false">AJ2344*$M2344</f>
        <v>0</v>
      </c>
      <c r="AL2344" s="28"/>
      <c r="AM2344" s="28" t="n">
        <f aca="false">AL2344*$M2344</f>
        <v>0</v>
      </c>
      <c r="AN2344" s="28"/>
      <c r="AO2344" s="28" t="n">
        <f aca="false">AN2344*$M2344</f>
        <v>0</v>
      </c>
      <c r="AP2344" s="28"/>
      <c r="AQ2344" s="28" t="n">
        <f aca="false">AP2344*$M2344</f>
        <v>0</v>
      </c>
      <c r="AR2344" s="28"/>
      <c r="AS2344" s="28" t="n">
        <f aca="false">AR2344*$M2344</f>
        <v>0</v>
      </c>
      <c r="AT2344" s="28"/>
      <c r="AU2344" s="28" t="n">
        <f aca="false">AT2344*$M2344</f>
        <v>0</v>
      </c>
      <c r="AV2344" s="28"/>
      <c r="AW2344" s="28" t="n">
        <f aca="false">AV2344*$M2344</f>
        <v>0</v>
      </c>
      <c r="AX2344" s="28"/>
      <c r="AY2344" s="28" t="n">
        <f aca="false">AX2344*$M2344</f>
        <v>0</v>
      </c>
      <c r="AZ2344" s="30" t="n">
        <f aca="false">55459/100</f>
        <v>554.59</v>
      </c>
      <c r="BA2344" s="11" t="n">
        <v>16638</v>
      </c>
      <c r="BB2344" s="31" t="n">
        <f aca="false">SUM(Q2344,S2344,U2344,W2344,Y2344,AA2344,AC2344,AE2344,AG2344,AI2344,AK2344,AM2344,AO2344,AQ2344,AS2344,AU2344,AW2344,AY2344)</f>
        <v>16638</v>
      </c>
      <c r="BC2344" s="28" t="n">
        <f aca="false">BA2344-BB2344</f>
        <v>0</v>
      </c>
      <c r="BD2344" s="32" t="n">
        <f aca="false">SUM(P2344,R2344,T2344,V2344,X2344,Z2344,AB2344,AD2344,AF2344,AH2344,AJ2344,AL2344,AN2344,AP2344,AR2344,AT2344,AV2344,AX2344)</f>
        <v>554.59</v>
      </c>
      <c r="BE2344" s="33" t="n">
        <f aca="false">AZ2344-BD2344</f>
        <v>0</v>
      </c>
      <c r="BF2344" s="34" t="n">
        <f aca="false">BD2344*M2344</f>
        <v>16637.7</v>
      </c>
      <c r="BG2344" s="35" t="n">
        <f aca="false">BA2344-BF2344</f>
        <v>0.299999999999272</v>
      </c>
      <c r="BH2344" s="19" t="str">
        <f aca="false">IF(BG2344=0,"",IF(BG2344&lt;&gt;BA2344,"erreur de calcul",IF(BD2344&lt;&gt;0,"pas de prix",IF(M2344&lt;&gt; 0,"pas de quantité","pas de prix, ni de quantité"))))</f>
        <v>erreur de calcul</v>
      </c>
      <c r="BI2344" s="19"/>
    </row>
    <row r="2345" customFormat="false" ht="15" hidden="false" customHeight="false" outlineLevel="0" collapsed="false">
      <c r="A2345" s="0" t="n">
        <v>29</v>
      </c>
      <c r="B2345" s="8" t="s">
        <v>24</v>
      </c>
      <c r="C2345" s="9" t="s">
        <v>25</v>
      </c>
      <c r="D2345" s="9" t="s">
        <v>26</v>
      </c>
      <c r="E2345" s="10" t="n">
        <v>1789</v>
      </c>
      <c r="F2345" s="9" t="s">
        <v>27</v>
      </c>
      <c r="G2345" s="9" t="s">
        <v>27</v>
      </c>
      <c r="H2345" s="11" t="n">
        <v>24</v>
      </c>
      <c r="I2345" s="11" t="s">
        <v>319</v>
      </c>
      <c r="J2345" s="14" t="n">
        <v>10</v>
      </c>
      <c r="K2345" s="14"/>
      <c r="L2345" s="16"/>
      <c r="M2345" s="27" t="n">
        <f aca="false">J2345+(K2345/20)+(L2345/240)</f>
        <v>10</v>
      </c>
      <c r="N2345" s="17" t="s">
        <v>64</v>
      </c>
      <c r="O2345" s="11"/>
      <c r="P2345" s="28" t="n">
        <f aca="false">48819/100</f>
        <v>488.19</v>
      </c>
      <c r="Q2345" s="28" t="n">
        <v>4882</v>
      </c>
      <c r="R2345" s="28"/>
      <c r="S2345" s="28" t="n">
        <f aca="false">R2345*$M2345</f>
        <v>0</v>
      </c>
      <c r="T2345" s="28" t="n">
        <f aca="false">2500/100</f>
        <v>25</v>
      </c>
      <c r="U2345" s="28" t="n">
        <v>250</v>
      </c>
      <c r="V2345" s="28"/>
      <c r="W2345" s="28" t="n">
        <f aca="false">V2345*$M2345</f>
        <v>0</v>
      </c>
      <c r="X2345" s="28" t="n">
        <f aca="false">6667/100</f>
        <v>66.67</v>
      </c>
      <c r="Y2345" s="28" t="n">
        <v>667</v>
      </c>
      <c r="Z2345" s="28"/>
      <c r="AA2345" s="28" t="n">
        <f aca="false">Z2345*$M2345</f>
        <v>0</v>
      </c>
      <c r="AB2345" s="28"/>
      <c r="AC2345" s="28" t="n">
        <f aca="false">AB2345*$M2345</f>
        <v>0</v>
      </c>
      <c r="AD2345" s="28"/>
      <c r="AE2345" s="28" t="n">
        <f aca="false">AD2345*$M2345</f>
        <v>0</v>
      </c>
      <c r="AF2345" s="28"/>
      <c r="AG2345" s="28" t="n">
        <f aca="false">AF2345*$M2345</f>
        <v>0</v>
      </c>
      <c r="AH2345" s="28"/>
      <c r="AI2345" s="28" t="n">
        <f aca="false">AH2345*$M2345</f>
        <v>0</v>
      </c>
      <c r="AJ2345" s="28"/>
      <c r="AK2345" s="28" t="n">
        <f aca="false">AJ2345*$M2345</f>
        <v>0</v>
      </c>
      <c r="AL2345" s="28"/>
      <c r="AM2345" s="28" t="n">
        <f aca="false">AL2345*$M2345</f>
        <v>0</v>
      </c>
      <c r="AN2345" s="28"/>
      <c r="AO2345" s="28" t="n">
        <f aca="false">AN2345*$M2345</f>
        <v>0</v>
      </c>
      <c r="AP2345" s="28"/>
      <c r="AQ2345" s="28" t="n">
        <f aca="false">AP2345*$M2345</f>
        <v>0</v>
      </c>
      <c r="AR2345" s="28"/>
      <c r="AS2345" s="28" t="n">
        <f aca="false">AR2345*$M2345</f>
        <v>0</v>
      </c>
      <c r="AT2345" s="28"/>
      <c r="AU2345" s="28" t="n">
        <f aca="false">AT2345*$M2345</f>
        <v>0</v>
      </c>
      <c r="AV2345" s="28"/>
      <c r="AW2345" s="28" t="n">
        <f aca="false">AV2345*$M2345</f>
        <v>0</v>
      </c>
      <c r="AX2345" s="28"/>
      <c r="AY2345" s="28" t="n">
        <f aca="false">AX2345*$M2345</f>
        <v>0</v>
      </c>
      <c r="AZ2345" s="30" t="n">
        <f aca="false">57986/100</f>
        <v>579.86</v>
      </c>
      <c r="BA2345" s="11" t="n">
        <v>5799</v>
      </c>
      <c r="BB2345" s="31" t="n">
        <f aca="false">SUM(Q2345,S2345,U2345,W2345,Y2345,AA2345,AC2345,AE2345,AG2345,AI2345,AK2345,AM2345,AO2345,AQ2345,AS2345,AU2345,AW2345,AY2345)</f>
        <v>5799</v>
      </c>
      <c r="BC2345" s="28" t="n">
        <f aca="false">BA2345-BB2345</f>
        <v>0</v>
      </c>
      <c r="BD2345" s="32" t="n">
        <f aca="false">SUM(P2345,R2345,T2345,V2345,X2345,Z2345,AB2345,AD2345,AF2345,AH2345,AJ2345,AL2345,AN2345,AP2345,AR2345,AT2345,AV2345,AX2345)</f>
        <v>579.86</v>
      </c>
      <c r="BE2345" s="33" t="n">
        <f aca="false">AZ2345-BD2345</f>
        <v>0</v>
      </c>
      <c r="BF2345" s="34" t="n">
        <f aca="false">BD2345*M2345</f>
        <v>5798.6</v>
      </c>
      <c r="BG2345" s="35" t="n">
        <f aca="false">BA2345-BF2345</f>
        <v>0.399999999999636</v>
      </c>
      <c r="BH2345" s="19" t="str">
        <f aca="false">IF(BG2345=0,"",IF(BG2345&lt;&gt;BA2345,"erreur de calcul",IF(BD2345&lt;&gt;0,"pas de prix",IF(M2345&lt;&gt; 0,"pas de quantité","pas de prix, ni de quantité"))))</f>
        <v>erreur de calcul</v>
      </c>
      <c r="BI2345" s="19"/>
    </row>
    <row r="2346" customFormat="false" ht="15" hidden="false" customHeight="false" outlineLevel="0" collapsed="false">
      <c r="A2346" s="0" t="n">
        <v>30</v>
      </c>
      <c r="B2346" s="8" t="s">
        <v>24</v>
      </c>
      <c r="C2346" s="9" t="s">
        <v>25</v>
      </c>
      <c r="D2346" s="9" t="s">
        <v>26</v>
      </c>
      <c r="E2346" s="10" t="n">
        <v>1789</v>
      </c>
      <c r="F2346" s="9" t="s">
        <v>27</v>
      </c>
      <c r="G2346" s="9" t="s">
        <v>27</v>
      </c>
      <c r="H2346" s="11" t="n">
        <v>24</v>
      </c>
      <c r="I2346" s="11" t="s">
        <v>320</v>
      </c>
      <c r="J2346" s="14" t="n">
        <v>90</v>
      </c>
      <c r="K2346" s="14"/>
      <c r="L2346" s="16"/>
      <c r="M2346" s="27" t="n">
        <f aca="false">J2346+(K2346/20)+(L2346/240)</f>
        <v>90</v>
      </c>
      <c r="N2346" s="17" t="s">
        <v>64</v>
      </c>
      <c r="O2346" s="11"/>
      <c r="P2346" s="28"/>
      <c r="Q2346" s="28" t="n">
        <f aca="false">P2346*$M2346</f>
        <v>0</v>
      </c>
      <c r="R2346" s="28"/>
      <c r="S2346" s="28" t="n">
        <f aca="false">R2346*$M2346</f>
        <v>0</v>
      </c>
      <c r="T2346" s="28"/>
      <c r="U2346" s="28" t="n">
        <f aca="false">T2346*$M2346</f>
        <v>0</v>
      </c>
      <c r="V2346" s="28"/>
      <c r="W2346" s="28" t="n">
        <f aca="false">V2346*$M2346</f>
        <v>0</v>
      </c>
      <c r="X2346" s="28"/>
      <c r="Y2346" s="28" t="n">
        <f aca="false">X2346*$M2346</f>
        <v>0</v>
      </c>
      <c r="Z2346" s="28"/>
      <c r="AA2346" s="28" t="n">
        <f aca="false">Z2346*$M2346</f>
        <v>0</v>
      </c>
      <c r="AB2346" s="28"/>
      <c r="AC2346" s="28" t="n">
        <f aca="false">AB2346*$M2346</f>
        <v>0</v>
      </c>
      <c r="AD2346" s="28"/>
      <c r="AE2346" s="28" t="n">
        <f aca="false">AD2346*$M2346</f>
        <v>0</v>
      </c>
      <c r="AF2346" s="28"/>
      <c r="AG2346" s="28" t="n">
        <f aca="false">AF2346*$M2346</f>
        <v>0</v>
      </c>
      <c r="AH2346" s="28"/>
      <c r="AI2346" s="28" t="n">
        <f aca="false">AH2346*$M2346</f>
        <v>0</v>
      </c>
      <c r="AJ2346" s="28"/>
      <c r="AK2346" s="28" t="n">
        <f aca="false">AJ2346*$M2346</f>
        <v>0</v>
      </c>
      <c r="AL2346" s="28" t="n">
        <f aca="false">2950/100</f>
        <v>29.5</v>
      </c>
      <c r="AM2346" s="28" t="n">
        <v>2655</v>
      </c>
      <c r="AN2346" s="28"/>
      <c r="AO2346" s="28" t="n">
        <f aca="false">AN2346*$M2346</f>
        <v>0</v>
      </c>
      <c r="AP2346" s="28"/>
      <c r="AQ2346" s="28" t="n">
        <f aca="false">AP2346*$M2346</f>
        <v>0</v>
      </c>
      <c r="AR2346" s="28"/>
      <c r="AS2346" s="28" t="n">
        <f aca="false">AR2346*$M2346</f>
        <v>0</v>
      </c>
      <c r="AT2346" s="28"/>
      <c r="AU2346" s="28" t="n">
        <f aca="false">AT2346*$M2346</f>
        <v>0</v>
      </c>
      <c r="AV2346" s="28"/>
      <c r="AW2346" s="28" t="n">
        <f aca="false">AV2346*$M2346</f>
        <v>0</v>
      </c>
      <c r="AX2346" s="28"/>
      <c r="AY2346" s="28" t="n">
        <f aca="false">AX2346*$M2346</f>
        <v>0</v>
      </c>
      <c r="AZ2346" s="30" t="n">
        <f aca="false">2950/100</f>
        <v>29.5</v>
      </c>
      <c r="BA2346" s="11" t="n">
        <v>2655</v>
      </c>
      <c r="BB2346" s="31" t="n">
        <f aca="false">SUM(Q2346,S2346,U2346,W2346,Y2346,AA2346,AC2346,AE2346,AG2346,AI2346,AK2346,AM2346,AO2346,AQ2346,AS2346,AU2346,AW2346,AY2346)</f>
        <v>2655</v>
      </c>
      <c r="BC2346" s="28" t="n">
        <f aca="false">BA2346-BB2346</f>
        <v>0</v>
      </c>
      <c r="BD2346" s="32" t="n">
        <f aca="false">SUM(P2346,R2346,T2346,V2346,X2346,Z2346,AB2346,AD2346,AF2346,AH2346,AJ2346,AL2346,AN2346,AP2346,AR2346,AT2346,AV2346,AX2346)</f>
        <v>29.5</v>
      </c>
      <c r="BE2346" s="33" t="n">
        <f aca="false">AZ2346-BD2346</f>
        <v>0</v>
      </c>
      <c r="BF2346" s="34" t="n">
        <f aca="false">BD2346*M2346</f>
        <v>2655</v>
      </c>
      <c r="BG2346" s="35" t="n">
        <f aca="false">BA2346-BF2346</f>
        <v>0</v>
      </c>
      <c r="BH2346" s="19" t="str">
        <f aca="false">IF(BG2346=0,"",IF(BG2346&lt;&gt;BA2346,"erreur de calcul",IF(BD2346&lt;&gt;0,"pas de prix",IF(M2346&lt;&gt; 0,"pas de quantité","pas de prix, ni de quantité"))))</f>
        <v/>
      </c>
      <c r="BI2346" s="19"/>
    </row>
    <row r="2347" customFormat="false" ht="15" hidden="false" customHeight="false" outlineLevel="0" collapsed="false">
      <c r="A2347" s="0" t="n">
        <v>31</v>
      </c>
      <c r="B2347" s="8" t="s">
        <v>24</v>
      </c>
      <c r="C2347" s="9" t="s">
        <v>25</v>
      </c>
      <c r="D2347" s="9" t="s">
        <v>26</v>
      </c>
      <c r="E2347" s="10" t="n">
        <v>1789</v>
      </c>
      <c r="F2347" s="9" t="s">
        <v>27</v>
      </c>
      <c r="G2347" s="9" t="s">
        <v>27</v>
      </c>
      <c r="H2347" s="11" t="n">
        <v>24</v>
      </c>
      <c r="I2347" s="11" t="s">
        <v>321</v>
      </c>
      <c r="J2347" s="14" t="n">
        <v>50</v>
      </c>
      <c r="K2347" s="14"/>
      <c r="L2347" s="16"/>
      <c r="M2347" s="27" t="n">
        <f aca="false">J2347+(K2347/20)+(L2347/240)</f>
        <v>50</v>
      </c>
      <c r="N2347" s="17" t="s">
        <v>64</v>
      </c>
      <c r="O2347" s="11" t="s">
        <v>277</v>
      </c>
      <c r="P2347" s="28"/>
      <c r="Q2347" s="28" t="n">
        <f aca="false">P2347*$M2347</f>
        <v>0</v>
      </c>
      <c r="R2347" s="28"/>
      <c r="S2347" s="28" t="n">
        <f aca="false">R2347*$M2347</f>
        <v>0</v>
      </c>
      <c r="T2347" s="28" t="n">
        <f aca="false">2*288*0.02+153*0.02</f>
        <v>14.58</v>
      </c>
      <c r="U2347" s="28" t="n">
        <v>729</v>
      </c>
      <c r="V2347" s="28" t="n">
        <f aca="false">2*288*0.02+118*0.02</f>
        <v>13.88</v>
      </c>
      <c r="W2347" s="28" t="n">
        <v>694</v>
      </c>
      <c r="X2347" s="28" t="n">
        <f aca="false">25*288*0.02+103*0.02</f>
        <v>146.06</v>
      </c>
      <c r="Y2347" s="28" t="n">
        <v>7303</v>
      </c>
      <c r="Z2347" s="28"/>
      <c r="AA2347" s="28" t="n">
        <f aca="false">Z2347*$M2347</f>
        <v>0</v>
      </c>
      <c r="AB2347" s="28" t="n">
        <f aca="false">1*288*0.02+74*0.02</f>
        <v>7.24</v>
      </c>
      <c r="AC2347" s="28" t="n">
        <v>362</v>
      </c>
      <c r="AD2347" s="28" t="n">
        <f aca="false">276*0.02</f>
        <v>5.52</v>
      </c>
      <c r="AE2347" s="28" t="n">
        <v>276</v>
      </c>
      <c r="AF2347" s="28"/>
      <c r="AG2347" s="28" t="n">
        <f aca="false">AF2347*$M2347</f>
        <v>0</v>
      </c>
      <c r="AH2347" s="28" t="n">
        <f aca="false">1*288*0.02+75*0.02</f>
        <v>7.26</v>
      </c>
      <c r="AI2347" s="28" t="n">
        <v>363</v>
      </c>
      <c r="AJ2347" s="28" t="n">
        <f aca="false">2*288*0.02+176*0.02</f>
        <v>15.04</v>
      </c>
      <c r="AK2347" s="28" t="n">
        <v>752</v>
      </c>
      <c r="AL2347" s="28"/>
      <c r="AM2347" s="28" t="n">
        <f aca="false">AL2347*$M2347</f>
        <v>0</v>
      </c>
      <c r="AN2347" s="28"/>
      <c r="AO2347" s="28" t="n">
        <f aca="false">AN2347*$M2347</f>
        <v>0</v>
      </c>
      <c r="AP2347" s="28"/>
      <c r="AQ2347" s="28" t="n">
        <f aca="false">AP2347*$M2347</f>
        <v>0</v>
      </c>
      <c r="AR2347" s="28"/>
      <c r="AS2347" s="28" t="n">
        <f aca="false">AR2347*$M2347</f>
        <v>0</v>
      </c>
      <c r="AT2347" s="28"/>
      <c r="AU2347" s="28" t="n">
        <f aca="false">AT2347*$M2347</f>
        <v>0</v>
      </c>
      <c r="AV2347" s="28"/>
      <c r="AW2347" s="28" t="n">
        <f aca="false">AV2347*$M2347</f>
        <v>0</v>
      </c>
      <c r="AX2347" s="28"/>
      <c r="AY2347" s="28" t="n">
        <f aca="false">AX2347*$M2347</f>
        <v>0</v>
      </c>
      <c r="AZ2347" s="30" t="n">
        <f aca="false">36*288*0.02+111*0.02</f>
        <v>209.58</v>
      </c>
      <c r="BA2347" s="11" t="n">
        <v>10479</v>
      </c>
      <c r="BB2347" s="31" t="n">
        <f aca="false">SUM(Q2347,S2347,U2347,W2347,Y2347,AA2347,AC2347,AE2347,AG2347,AI2347,AK2347,AM2347,AO2347,AQ2347,AS2347,AU2347,AW2347,AY2347)</f>
        <v>10479</v>
      </c>
      <c r="BC2347" s="28" t="n">
        <f aca="false">BA2347-BB2347</f>
        <v>0</v>
      </c>
      <c r="BD2347" s="32" t="n">
        <f aca="false">SUM(P2347,R2347,T2347,V2347,X2347,Z2347,AB2347,AD2347,AF2347,AH2347,AJ2347,AL2347,AN2347,AP2347,AR2347,AT2347,AV2347,AX2347)</f>
        <v>209.58</v>
      </c>
      <c r="BE2347" s="33" t="n">
        <f aca="false">AZ2347-BD2347</f>
        <v>0</v>
      </c>
      <c r="BF2347" s="34" t="n">
        <f aca="false">BD2347*M2347</f>
        <v>10479</v>
      </c>
      <c r="BG2347" s="35" t="n">
        <f aca="false">BA2347-BF2347</f>
        <v>0</v>
      </c>
      <c r="BH2347" s="19" t="str">
        <f aca="false">IF(BG2347=0,"",IF(BG2347&lt;&gt;BA2347,"erreur de calcul",IF(BD2347&lt;&gt;0,"pas de prix",IF(M2347&lt;&gt; 0,"pas de quantité","pas de prix, ni de quantité"))))</f>
        <v/>
      </c>
      <c r="BI2347" s="19"/>
    </row>
    <row r="2348" customFormat="false" ht="15" hidden="false" customHeight="false" outlineLevel="0" collapsed="false">
      <c r="A2348" s="0" t="n">
        <v>32</v>
      </c>
      <c r="B2348" s="8" t="s">
        <v>24</v>
      </c>
      <c r="C2348" s="9" t="s">
        <v>25</v>
      </c>
      <c r="D2348" s="9" t="s">
        <v>26</v>
      </c>
      <c r="E2348" s="10" t="n">
        <v>1789</v>
      </c>
      <c r="F2348" s="9" t="s">
        <v>27</v>
      </c>
      <c r="G2348" s="9" t="s">
        <v>27</v>
      </c>
      <c r="H2348" s="11" t="n">
        <v>24</v>
      </c>
      <c r="I2348" s="11" t="s">
        <v>322</v>
      </c>
      <c r="J2348" s="14" t="n">
        <v>70</v>
      </c>
      <c r="K2348" s="14"/>
      <c r="L2348" s="16"/>
      <c r="M2348" s="27" t="n">
        <f aca="false">J2348+(K2348/20)+(L2348/240)</f>
        <v>70</v>
      </c>
      <c r="N2348" s="17" t="s">
        <v>64</v>
      </c>
      <c r="O2348" s="11"/>
      <c r="P2348" s="28"/>
      <c r="Q2348" s="28" t="n">
        <f aca="false">P2348*$M2348</f>
        <v>0</v>
      </c>
      <c r="R2348" s="28"/>
      <c r="S2348" s="28" t="n">
        <f aca="false">R2348*$M2348</f>
        <v>0</v>
      </c>
      <c r="T2348" s="28"/>
      <c r="U2348" s="28" t="n">
        <f aca="false">T2348*$M2348</f>
        <v>0</v>
      </c>
      <c r="V2348" s="28"/>
      <c r="W2348" s="28" t="n">
        <f aca="false">V2348*$M2348</f>
        <v>0</v>
      </c>
      <c r="X2348" s="28" t="n">
        <f aca="false">2*288*0.02+217*0.02</f>
        <v>15.86</v>
      </c>
      <c r="Y2348" s="28" t="n">
        <v>1111</v>
      </c>
      <c r="Z2348" s="28"/>
      <c r="AA2348" s="28" t="n">
        <f aca="false">Z2348*$M2348</f>
        <v>0</v>
      </c>
      <c r="AB2348" s="28"/>
      <c r="AC2348" s="28" t="n">
        <f aca="false">AB2348*$M2348</f>
        <v>0</v>
      </c>
      <c r="AD2348" s="28"/>
      <c r="AE2348" s="28" t="n">
        <f aca="false">AD2348*$M2348</f>
        <v>0</v>
      </c>
      <c r="AF2348" s="28"/>
      <c r="AG2348" s="28" t="n">
        <f aca="false">AF2348*$M2348</f>
        <v>0</v>
      </c>
      <c r="AH2348" s="28"/>
      <c r="AI2348" s="28" t="n">
        <f aca="false">AH2348*$M2348</f>
        <v>0</v>
      </c>
      <c r="AJ2348" s="28"/>
      <c r="AK2348" s="28" t="n">
        <f aca="false">AJ2348*$M2348</f>
        <v>0</v>
      </c>
      <c r="AL2348" s="28"/>
      <c r="AM2348" s="28" t="n">
        <f aca="false">AL2348*$M2348</f>
        <v>0</v>
      </c>
      <c r="AN2348" s="28"/>
      <c r="AO2348" s="28" t="n">
        <f aca="false">AN2348*$M2348</f>
        <v>0</v>
      </c>
      <c r="AP2348" s="28"/>
      <c r="AQ2348" s="28" t="n">
        <f aca="false">AP2348*$M2348</f>
        <v>0</v>
      </c>
      <c r="AR2348" s="28"/>
      <c r="AS2348" s="28" t="n">
        <f aca="false">AR2348*$M2348</f>
        <v>0</v>
      </c>
      <c r="AT2348" s="28"/>
      <c r="AU2348" s="28" t="n">
        <f aca="false">AT2348*$M2348</f>
        <v>0</v>
      </c>
      <c r="AV2348" s="28"/>
      <c r="AW2348" s="28" t="n">
        <f aca="false">AV2348*$M2348</f>
        <v>0</v>
      </c>
      <c r="AX2348" s="28"/>
      <c r="AY2348" s="28" t="n">
        <f aca="false">AX2348*$M2348</f>
        <v>0</v>
      </c>
      <c r="AZ2348" s="30" t="n">
        <f aca="false">2*288*0.02+217*0.02</f>
        <v>15.86</v>
      </c>
      <c r="BA2348" s="11" t="n">
        <v>1111</v>
      </c>
      <c r="BB2348" s="31" t="n">
        <f aca="false">SUM(Q2348,S2348,U2348,W2348,Y2348,AA2348,AC2348,AE2348,AG2348,AI2348,AK2348,AM2348,AO2348,AQ2348,AS2348,AU2348,AW2348,AY2348)</f>
        <v>1111</v>
      </c>
      <c r="BC2348" s="28" t="n">
        <f aca="false">BA2348-BB2348</f>
        <v>0</v>
      </c>
      <c r="BD2348" s="32" t="n">
        <f aca="false">SUM(P2348,R2348,T2348,V2348,X2348,Z2348,AB2348,AD2348,AF2348,AH2348,AJ2348,AL2348,AN2348,AP2348,AR2348,AT2348,AV2348,AX2348)</f>
        <v>15.86</v>
      </c>
      <c r="BE2348" s="33" t="n">
        <f aca="false">AZ2348-BD2348</f>
        <v>0</v>
      </c>
      <c r="BF2348" s="34" t="n">
        <f aca="false">BD2348*M2348</f>
        <v>1110.2</v>
      </c>
      <c r="BG2348" s="35" t="n">
        <f aca="false">BA2348-BF2348</f>
        <v>0.799999999999955</v>
      </c>
      <c r="BH2348" s="19" t="str">
        <f aca="false">IF(BG2348=0,"",IF(BG2348&lt;&gt;BA2348,"erreur de calcul",IF(BD2348&lt;&gt;0,"pas de prix",IF(M2348&lt;&gt; 0,"pas de quantité","pas de prix, ni de quantité"))))</f>
        <v>erreur de calcul</v>
      </c>
      <c r="BI2348" s="19"/>
    </row>
    <row r="2349" customFormat="false" ht="15" hidden="false" customHeight="false" outlineLevel="0" collapsed="false">
      <c r="A2349" s="0" t="n">
        <v>33</v>
      </c>
      <c r="B2349" s="8" t="s">
        <v>24</v>
      </c>
      <c r="C2349" s="9" t="s">
        <v>25</v>
      </c>
      <c r="D2349" s="9" t="s">
        <v>26</v>
      </c>
      <c r="E2349" s="10" t="n">
        <v>1789</v>
      </c>
      <c r="F2349" s="9" t="s">
        <v>27</v>
      </c>
      <c r="G2349" s="9" t="s">
        <v>27</v>
      </c>
      <c r="H2349" s="11" t="n">
        <v>24</v>
      </c>
      <c r="I2349" s="11" t="s">
        <v>323</v>
      </c>
      <c r="J2349" s="14"/>
      <c r="K2349" s="14" t="n">
        <v>40</v>
      </c>
      <c r="L2349" s="16"/>
      <c r="M2349" s="27" t="n">
        <f aca="false">J2349+(K2349/20)+(L2349/240)</f>
        <v>2</v>
      </c>
      <c r="N2349" s="17" t="s">
        <v>66</v>
      </c>
      <c r="O2349" s="11"/>
      <c r="P2349" s="28" t="n">
        <v>780</v>
      </c>
      <c r="Q2349" s="28" t="n">
        <v>1560</v>
      </c>
      <c r="R2349" s="28"/>
      <c r="S2349" s="28" t="n">
        <f aca="false">R2349*$M2349</f>
        <v>0</v>
      </c>
      <c r="T2349" s="28" t="n">
        <v>1552</v>
      </c>
      <c r="U2349" s="28" t="n">
        <v>3104</v>
      </c>
      <c r="V2349" s="28" t="n">
        <v>1051</v>
      </c>
      <c r="W2349" s="28" t="n">
        <v>2102</v>
      </c>
      <c r="X2349" s="28" t="n">
        <v>1486</v>
      </c>
      <c r="Y2349" s="28" t="n">
        <v>2972</v>
      </c>
      <c r="Z2349" s="28" t="n">
        <v>847</v>
      </c>
      <c r="AA2349" s="28" t="n">
        <v>1694</v>
      </c>
      <c r="AB2349" s="28" t="n">
        <v>114</v>
      </c>
      <c r="AC2349" s="28" t="n">
        <v>228</v>
      </c>
      <c r="AD2349" s="28" t="n">
        <v>407</v>
      </c>
      <c r="AE2349" s="28" t="n">
        <v>814</v>
      </c>
      <c r="AF2349" s="28"/>
      <c r="AG2349" s="28" t="n">
        <f aca="false">AF2349*$M2349</f>
        <v>0</v>
      </c>
      <c r="AH2349" s="28"/>
      <c r="AI2349" s="28" t="n">
        <f aca="false">AH2349*$M2349</f>
        <v>0</v>
      </c>
      <c r="AJ2349" s="28" t="n">
        <v>1297</v>
      </c>
      <c r="AK2349" s="28" t="n">
        <v>2594</v>
      </c>
      <c r="AL2349" s="28"/>
      <c r="AM2349" s="28" t="n">
        <f aca="false">AL2349*$M2349</f>
        <v>0</v>
      </c>
      <c r="AN2349" s="28"/>
      <c r="AO2349" s="28" t="n">
        <f aca="false">AN2349*$M2349</f>
        <v>0</v>
      </c>
      <c r="AP2349" s="28"/>
      <c r="AQ2349" s="28" t="n">
        <f aca="false">AP2349*$M2349</f>
        <v>0</v>
      </c>
      <c r="AR2349" s="28"/>
      <c r="AS2349" s="28" t="n">
        <f aca="false">AR2349*$M2349</f>
        <v>0</v>
      </c>
      <c r="AT2349" s="28"/>
      <c r="AU2349" s="28" t="n">
        <f aca="false">AT2349*$M2349</f>
        <v>0</v>
      </c>
      <c r="AV2349" s="28"/>
      <c r="AW2349" s="28" t="n">
        <f aca="false">AV2349*$M2349</f>
        <v>0</v>
      </c>
      <c r="AX2349" s="28"/>
      <c r="AY2349" s="28" t="n">
        <f aca="false">AX2349*$M2349</f>
        <v>0</v>
      </c>
      <c r="AZ2349" s="30" t="n">
        <v>7534</v>
      </c>
      <c r="BA2349" s="11" t="n">
        <v>15068</v>
      </c>
      <c r="BB2349" s="31" t="n">
        <f aca="false">SUM(Q2349,S2349,U2349,W2349,Y2349,AA2349,AC2349,AE2349,AG2349,AI2349,AK2349,AM2349,AO2349,AQ2349,AS2349,AU2349,AW2349,AY2349)</f>
        <v>15068</v>
      </c>
      <c r="BC2349" s="28" t="n">
        <f aca="false">BA2349-BB2349</f>
        <v>0</v>
      </c>
      <c r="BD2349" s="32" t="n">
        <f aca="false">SUM(P2349,R2349,T2349,V2349,X2349,Z2349,AB2349,AD2349,AF2349,AH2349,AJ2349,AL2349,AN2349,AP2349,AR2349,AT2349,AV2349,AX2349)</f>
        <v>7534</v>
      </c>
      <c r="BE2349" s="33" t="n">
        <f aca="false">AZ2349-BD2349</f>
        <v>0</v>
      </c>
      <c r="BF2349" s="34" t="n">
        <f aca="false">BD2349*M2349</f>
        <v>15068</v>
      </c>
      <c r="BG2349" s="35" t="n">
        <f aca="false">BA2349-BF2349</f>
        <v>0</v>
      </c>
      <c r="BH2349" s="19" t="str">
        <f aca="false">IF(BG2349=0,"",IF(BG2349&lt;&gt;BA2349,"erreur de calcul",IF(BD2349&lt;&gt;0,"pas de prix",IF(M2349&lt;&gt; 0,"pas de quantité","pas de prix, ni de quantité"))))</f>
        <v/>
      </c>
      <c r="BI2349" s="19"/>
    </row>
    <row r="2350" customFormat="false" ht="15" hidden="false" customHeight="false" outlineLevel="0" collapsed="false">
      <c r="A2350" s="0" t="n">
        <v>34</v>
      </c>
      <c r="B2350" s="8" t="s">
        <v>24</v>
      </c>
      <c r="C2350" s="9" t="s">
        <v>25</v>
      </c>
      <c r="D2350" s="9" t="s">
        <v>26</v>
      </c>
      <c r="E2350" s="10" t="n">
        <v>1789</v>
      </c>
      <c r="F2350" s="9" t="s">
        <v>27</v>
      </c>
      <c r="G2350" s="9" t="s">
        <v>27</v>
      </c>
      <c r="H2350" s="11" t="n">
        <v>24</v>
      </c>
      <c r="I2350" s="11" t="s">
        <v>324</v>
      </c>
      <c r="J2350" s="14" t="n">
        <v>15</v>
      </c>
      <c r="K2350" s="14"/>
      <c r="L2350" s="16"/>
      <c r="M2350" s="27" t="n">
        <f aca="false">J2350+(K2350/20)+(L2350/240)</f>
        <v>15</v>
      </c>
      <c r="N2350" s="17" t="s">
        <v>64</v>
      </c>
      <c r="O2350" s="11"/>
      <c r="P2350" s="28" t="n">
        <f aca="false">6834/100</f>
        <v>68.34</v>
      </c>
      <c r="Q2350" s="28" t="n">
        <v>1025</v>
      </c>
      <c r="R2350" s="28"/>
      <c r="S2350" s="28" t="n">
        <f aca="false">R2350*$M2350</f>
        <v>0</v>
      </c>
      <c r="T2350" s="28" t="n">
        <f aca="false">834/100</f>
        <v>8.34</v>
      </c>
      <c r="U2350" s="28" t="n">
        <v>125</v>
      </c>
      <c r="V2350" s="28" t="n">
        <f aca="false">197372/100</f>
        <v>1973.72</v>
      </c>
      <c r="W2350" s="28" t="n">
        <v>29606</v>
      </c>
      <c r="X2350" s="28" t="n">
        <f aca="false">2334702/100</f>
        <v>23347.02</v>
      </c>
      <c r="Y2350" s="28" t="n">
        <v>350205</v>
      </c>
      <c r="Z2350" s="28"/>
      <c r="AA2350" s="28" t="n">
        <f aca="false">Z2350*$M2350</f>
        <v>0</v>
      </c>
      <c r="AB2350" s="28" t="n">
        <f aca="false">1417/100</f>
        <v>14.17</v>
      </c>
      <c r="AC2350" s="28" t="n">
        <v>212</v>
      </c>
      <c r="AD2350" s="28"/>
      <c r="AE2350" s="28" t="n">
        <f aca="false">AD2350*$M2350</f>
        <v>0</v>
      </c>
      <c r="AF2350" s="28"/>
      <c r="AG2350" s="28" t="n">
        <f aca="false">AF2350*$M2350</f>
        <v>0</v>
      </c>
      <c r="AH2350" s="28"/>
      <c r="AI2350" s="28" t="n">
        <f aca="false">AH2350*$M2350</f>
        <v>0</v>
      </c>
      <c r="AJ2350" s="28"/>
      <c r="AK2350" s="28" t="n">
        <f aca="false">AJ2350*$M2350</f>
        <v>0</v>
      </c>
      <c r="AL2350" s="28"/>
      <c r="AM2350" s="28" t="n">
        <f aca="false">AL2350*$M2350</f>
        <v>0</v>
      </c>
      <c r="AN2350" s="28"/>
      <c r="AO2350" s="28" t="n">
        <f aca="false">AN2350*$M2350</f>
        <v>0</v>
      </c>
      <c r="AP2350" s="28"/>
      <c r="AQ2350" s="28" t="n">
        <f aca="false">AP2350*$M2350</f>
        <v>0</v>
      </c>
      <c r="AR2350" s="28"/>
      <c r="AS2350" s="28" t="n">
        <f aca="false">AR2350*$M2350</f>
        <v>0</v>
      </c>
      <c r="AT2350" s="28"/>
      <c r="AU2350" s="28" t="n">
        <f aca="false">AT2350*$M2350</f>
        <v>0</v>
      </c>
      <c r="AV2350" s="28"/>
      <c r="AW2350" s="28" t="n">
        <f aca="false">AV2350*$M2350</f>
        <v>0</v>
      </c>
      <c r="AX2350" s="28"/>
      <c r="AY2350" s="28" t="n">
        <f aca="false">AX2350*$M2350</f>
        <v>0</v>
      </c>
      <c r="AZ2350" s="30" t="n">
        <f aca="false">2541159/100</f>
        <v>25411.59</v>
      </c>
      <c r="BA2350" s="11" t="n">
        <v>381173</v>
      </c>
      <c r="BB2350" s="31" t="n">
        <f aca="false">SUM(Q2350,S2350,U2350,W2350,Y2350,AA2350,AC2350,AE2350,AG2350,AI2350,AK2350,AM2350,AO2350,AQ2350,AS2350,AU2350,AW2350,AY2350)</f>
        <v>381173</v>
      </c>
      <c r="BC2350" s="28" t="n">
        <f aca="false">BA2350-BB2350</f>
        <v>0</v>
      </c>
      <c r="BD2350" s="32" t="n">
        <f aca="false">SUM(P2350,R2350,T2350,V2350,X2350,Z2350,AB2350,AD2350,AF2350,AH2350,AJ2350,AL2350,AN2350,AP2350,AR2350,AT2350,AV2350,AX2350)</f>
        <v>25411.59</v>
      </c>
      <c r="BE2350" s="33" t="n">
        <f aca="false">AZ2350-BD2350</f>
        <v>0</v>
      </c>
      <c r="BF2350" s="34" t="n">
        <f aca="false">BD2350*M2350</f>
        <v>381173.85</v>
      </c>
      <c r="BG2350" s="35" t="n">
        <f aca="false">BA2350-BF2350</f>
        <v>-0.849999999976717</v>
      </c>
      <c r="BH2350" s="19" t="str">
        <f aca="false">IF(BG2350=0,"",IF(BG2350&lt;&gt;BA2350,"erreur de calcul",IF(BD2350&lt;&gt;0,"pas de prix",IF(M2350&lt;&gt; 0,"pas de quantité","pas de prix, ni de quantité"))))</f>
        <v>erreur de calcul</v>
      </c>
      <c r="BI2350" s="19"/>
    </row>
    <row r="2351" customFormat="false" ht="15" hidden="false" customHeight="false" outlineLevel="0" collapsed="false">
      <c r="A2351" s="0" t="n">
        <v>35</v>
      </c>
      <c r="B2351" s="8" t="s">
        <v>24</v>
      </c>
      <c r="C2351" s="9" t="s">
        <v>25</v>
      </c>
      <c r="D2351" s="9" t="s">
        <v>26</v>
      </c>
      <c r="E2351" s="10" t="n">
        <v>1789</v>
      </c>
      <c r="F2351" s="9" t="s">
        <v>27</v>
      </c>
      <c r="G2351" s="9" t="s">
        <v>27</v>
      </c>
      <c r="H2351" s="11" t="n">
        <v>24</v>
      </c>
      <c r="I2351" s="11" t="s">
        <v>325</v>
      </c>
      <c r="J2351" s="14" t="n">
        <v>25</v>
      </c>
      <c r="K2351" s="14"/>
      <c r="L2351" s="16"/>
      <c r="M2351" s="27" t="n">
        <f aca="false">J2351+(K2351/20)+(L2351/240)</f>
        <v>25</v>
      </c>
      <c r="N2351" s="17" t="s">
        <v>64</v>
      </c>
      <c r="O2351" s="11"/>
      <c r="P2351" s="28"/>
      <c r="Q2351" s="28" t="n">
        <f aca="false">P2351*$M2351</f>
        <v>0</v>
      </c>
      <c r="R2351" s="28"/>
      <c r="S2351" s="28" t="n">
        <f aca="false">R2351*$M2351</f>
        <v>0</v>
      </c>
      <c r="T2351" s="28"/>
      <c r="U2351" s="28" t="n">
        <f aca="false">T2351*$M2351</f>
        <v>0</v>
      </c>
      <c r="V2351" s="28"/>
      <c r="W2351" s="28" t="n">
        <f aca="false">V2351*$M2351</f>
        <v>0</v>
      </c>
      <c r="X2351" s="28" t="n">
        <f aca="false">4971/100</f>
        <v>49.71</v>
      </c>
      <c r="Y2351" s="28" t="n">
        <v>1243</v>
      </c>
      <c r="Z2351" s="28" t="n">
        <f aca="false">14812/100</f>
        <v>148.12</v>
      </c>
      <c r="AA2351" s="28" t="n">
        <v>3703</v>
      </c>
      <c r="AB2351" s="28"/>
      <c r="AC2351" s="28" t="n">
        <f aca="false">AB2351*$M2351</f>
        <v>0</v>
      </c>
      <c r="AD2351" s="28"/>
      <c r="AE2351" s="28" t="n">
        <f aca="false">AD2351*$M2351</f>
        <v>0</v>
      </c>
      <c r="AF2351" s="28"/>
      <c r="AG2351" s="28" t="n">
        <f aca="false">AF2351*$M2351</f>
        <v>0</v>
      </c>
      <c r="AH2351" s="28"/>
      <c r="AI2351" s="28" t="n">
        <f aca="false">AH2351*$M2351</f>
        <v>0</v>
      </c>
      <c r="AJ2351" s="28"/>
      <c r="AK2351" s="28" t="n">
        <f aca="false">AJ2351*$M2351</f>
        <v>0</v>
      </c>
      <c r="AL2351" s="28"/>
      <c r="AM2351" s="28" t="n">
        <f aca="false">AL2351*$M2351</f>
        <v>0</v>
      </c>
      <c r="AN2351" s="28"/>
      <c r="AO2351" s="28" t="n">
        <f aca="false">AN2351*$M2351</f>
        <v>0</v>
      </c>
      <c r="AP2351" s="28"/>
      <c r="AQ2351" s="28" t="n">
        <f aca="false">AP2351*$M2351</f>
        <v>0</v>
      </c>
      <c r="AR2351" s="28"/>
      <c r="AS2351" s="28" t="n">
        <f aca="false">AR2351*$M2351</f>
        <v>0</v>
      </c>
      <c r="AT2351" s="28"/>
      <c r="AU2351" s="28" t="n">
        <f aca="false">AT2351*$M2351</f>
        <v>0</v>
      </c>
      <c r="AV2351" s="28"/>
      <c r="AW2351" s="28" t="n">
        <f aca="false">AV2351*$M2351</f>
        <v>0</v>
      </c>
      <c r="AX2351" s="28"/>
      <c r="AY2351" s="28" t="n">
        <f aca="false">AX2351*$M2351</f>
        <v>0</v>
      </c>
      <c r="AZ2351" s="30" t="n">
        <f aca="false">19783/100</f>
        <v>197.83</v>
      </c>
      <c r="BA2351" s="11" t="n">
        <v>4946</v>
      </c>
      <c r="BB2351" s="31" t="n">
        <f aca="false">SUM(Q2351,S2351,U2351,W2351,Y2351,AA2351,AC2351,AE2351,AG2351,AI2351,AK2351,AM2351,AO2351,AQ2351,AS2351,AU2351,AW2351,AY2351)</f>
        <v>4946</v>
      </c>
      <c r="BC2351" s="28" t="n">
        <f aca="false">BA2351-BB2351</f>
        <v>0</v>
      </c>
      <c r="BD2351" s="32" t="n">
        <f aca="false">SUM(P2351,R2351,T2351,V2351,X2351,Z2351,AB2351,AD2351,AF2351,AH2351,AJ2351,AL2351,AN2351,AP2351,AR2351,AT2351,AV2351,AX2351)</f>
        <v>197.83</v>
      </c>
      <c r="BE2351" s="33" t="n">
        <f aca="false">AZ2351-BD2351</f>
        <v>0</v>
      </c>
      <c r="BF2351" s="34" t="n">
        <f aca="false">BD2351*M2351</f>
        <v>4945.75</v>
      </c>
      <c r="BG2351" s="35" t="n">
        <f aca="false">BA2351-BF2351</f>
        <v>0.25</v>
      </c>
      <c r="BH2351" s="19" t="str">
        <f aca="false">IF(BG2351=0,"",IF(BG2351&lt;&gt;BA2351,"erreur de calcul",IF(BD2351&lt;&gt;0,"pas de prix",IF(M2351&lt;&gt; 0,"pas de quantité","pas de prix, ni de quantité"))))</f>
        <v>erreur de calcul</v>
      </c>
      <c r="BI2351" s="19"/>
    </row>
    <row r="2352" customFormat="false" ht="15" hidden="false" customHeight="false" outlineLevel="0" collapsed="false">
      <c r="A2352" s="0" t="n">
        <v>36</v>
      </c>
      <c r="B2352" s="8" t="s">
        <v>24</v>
      </c>
      <c r="C2352" s="9" t="s">
        <v>25</v>
      </c>
      <c r="D2352" s="9" t="s">
        <v>26</v>
      </c>
      <c r="E2352" s="10" t="n">
        <v>1789</v>
      </c>
      <c r="F2352" s="9" t="s">
        <v>27</v>
      </c>
      <c r="G2352" s="9" t="s">
        <v>27</v>
      </c>
      <c r="H2352" s="11" t="n">
        <v>24</v>
      </c>
      <c r="I2352" s="11" t="s">
        <v>326</v>
      </c>
      <c r="J2352" s="14"/>
      <c r="K2352" s="14"/>
      <c r="L2352" s="16"/>
      <c r="M2352" s="27" t="n">
        <f aca="false">J2352+(K2352/20)+(L2352/240)</f>
        <v>0</v>
      </c>
      <c r="N2352" s="17"/>
      <c r="O2352" s="11" t="s">
        <v>77</v>
      </c>
      <c r="P2352" s="28"/>
      <c r="Q2352" s="28" t="n">
        <v>84</v>
      </c>
      <c r="R2352" s="28"/>
      <c r="S2352" s="28" t="n">
        <v>80</v>
      </c>
      <c r="T2352" s="28"/>
      <c r="U2352" s="28" t="n">
        <v>115</v>
      </c>
      <c r="V2352" s="28"/>
      <c r="W2352" s="28" t="n">
        <f aca="false">V2352*$M2352</f>
        <v>0</v>
      </c>
      <c r="X2352" s="28"/>
      <c r="Y2352" s="28" t="n">
        <v>82</v>
      </c>
      <c r="Z2352" s="28"/>
      <c r="AA2352" s="28" t="n">
        <v>32</v>
      </c>
      <c r="AB2352" s="28"/>
      <c r="AC2352" s="28" t="n">
        <v>82</v>
      </c>
      <c r="AD2352" s="28"/>
      <c r="AE2352" s="28" t="n">
        <f aca="false">AD2352*$M2352</f>
        <v>0</v>
      </c>
      <c r="AF2352" s="28"/>
      <c r="AG2352" s="28" t="n">
        <v>129</v>
      </c>
      <c r="AH2352" s="28"/>
      <c r="AI2352" s="28" t="n">
        <f aca="false">AH2352*$M2352</f>
        <v>0</v>
      </c>
      <c r="AJ2352" s="28"/>
      <c r="AK2352" s="28" t="n">
        <v>79</v>
      </c>
      <c r="AL2352" s="28"/>
      <c r="AM2352" s="28" t="n">
        <v>106</v>
      </c>
      <c r="AN2352" s="28"/>
      <c r="AO2352" s="28" t="n">
        <f aca="false">AN2352*$M2352</f>
        <v>0</v>
      </c>
      <c r="AP2352" s="28"/>
      <c r="AQ2352" s="28" t="n">
        <f aca="false">AP2352*$M2352</f>
        <v>0</v>
      </c>
      <c r="AR2352" s="28"/>
      <c r="AS2352" s="28" t="n">
        <f aca="false">AR2352*$M2352</f>
        <v>0</v>
      </c>
      <c r="AT2352" s="28"/>
      <c r="AU2352" s="28" t="n">
        <f aca="false">AT2352*$M2352</f>
        <v>0</v>
      </c>
      <c r="AV2352" s="28"/>
      <c r="AW2352" s="28" t="n">
        <f aca="false">AV2352*$M2352</f>
        <v>0</v>
      </c>
      <c r="AX2352" s="28"/>
      <c r="AY2352" s="28" t="n">
        <f aca="false">AX2352*$M2352</f>
        <v>0</v>
      </c>
      <c r="AZ2352" s="30"/>
      <c r="BA2352" s="11" t="n">
        <v>789</v>
      </c>
      <c r="BB2352" s="31" t="n">
        <f aca="false">SUM(Q2352,S2352,U2352,W2352,Y2352,AA2352,AC2352,AE2352,AG2352,AI2352,AK2352,AM2352,AO2352,AQ2352,AS2352,AU2352,AW2352,AY2352)</f>
        <v>789</v>
      </c>
      <c r="BC2352" s="28" t="n">
        <f aca="false">BA2352-BB2352</f>
        <v>0</v>
      </c>
      <c r="BD2352" s="32" t="n">
        <f aca="false">SUM(P2352,R2352,T2352,V2352,X2352,Z2352,AB2352,AD2352,AF2352,AH2352,AJ2352,AL2352,AN2352,AP2352,AR2352,AT2352,AV2352,AX2352)</f>
        <v>0</v>
      </c>
      <c r="BE2352" s="33" t="n">
        <f aca="false">AZ2352-BD2352</f>
        <v>0</v>
      </c>
      <c r="BF2352" s="34" t="n">
        <f aca="false">BD2352*M2352</f>
        <v>0</v>
      </c>
      <c r="BG2352" s="35" t="n">
        <f aca="false">BA2352-BF2352</f>
        <v>789</v>
      </c>
      <c r="BH2352" s="19" t="str">
        <f aca="false">IF(BG2352=0,"",IF(BG2352&lt;&gt;BA2352,"erreur de calcul",IF(BD2352&lt;&gt;0,"pas de prix",IF(M2352&lt;&gt; 0,"pas de quantité","pas de prix, ni de quantité"))))</f>
        <v>pas de prix, ni de quantité</v>
      </c>
      <c r="BI2352" s="19"/>
    </row>
    <row r="2353" customFormat="false" ht="15" hidden="false" customHeight="false" outlineLevel="0" collapsed="false">
      <c r="A2353" s="0" t="n">
        <v>37</v>
      </c>
      <c r="B2353" s="8" t="s">
        <v>24</v>
      </c>
      <c r="C2353" s="9" t="s">
        <v>25</v>
      </c>
      <c r="D2353" s="9" t="s">
        <v>26</v>
      </c>
      <c r="E2353" s="10" t="n">
        <v>1789</v>
      </c>
      <c r="F2353" s="9" t="s">
        <v>27</v>
      </c>
      <c r="G2353" s="9" t="s">
        <v>27</v>
      </c>
      <c r="H2353" s="11" t="n">
        <v>24</v>
      </c>
      <c r="I2353" s="11" t="s">
        <v>327</v>
      </c>
      <c r="J2353" s="14"/>
      <c r="K2353" s="14" t="n">
        <v>20</v>
      </c>
      <c r="L2353" s="16"/>
      <c r="M2353" s="27" t="n">
        <f aca="false">J2353+(K2353/20)+(L2353/240)</f>
        <v>1</v>
      </c>
      <c r="N2353" s="17" t="s">
        <v>66</v>
      </c>
      <c r="O2353" s="11"/>
      <c r="P2353" s="28"/>
      <c r="Q2353" s="28" t="n">
        <f aca="false">P2353*$M2353</f>
        <v>0</v>
      </c>
      <c r="R2353" s="28"/>
      <c r="S2353" s="28" t="n">
        <f aca="false">R2353*$M2353</f>
        <v>0</v>
      </c>
      <c r="T2353" s="28"/>
      <c r="U2353" s="28" t="n">
        <f aca="false">T2353*$M2353</f>
        <v>0</v>
      </c>
      <c r="V2353" s="28" t="n">
        <v>1705</v>
      </c>
      <c r="W2353" s="28" t="n">
        <v>1705</v>
      </c>
      <c r="X2353" s="28"/>
      <c r="Y2353" s="28" t="n">
        <f aca="false">X2353*$M2353</f>
        <v>0</v>
      </c>
      <c r="Z2353" s="28"/>
      <c r="AA2353" s="28" t="n">
        <f aca="false">Z2353*$M2353</f>
        <v>0</v>
      </c>
      <c r="AB2353" s="28" t="n">
        <v>226</v>
      </c>
      <c r="AC2353" s="28" t="n">
        <v>226</v>
      </c>
      <c r="AD2353" s="28"/>
      <c r="AE2353" s="28" t="n">
        <f aca="false">AD2353*$M2353</f>
        <v>0</v>
      </c>
      <c r="AF2353" s="28"/>
      <c r="AG2353" s="28" t="n">
        <f aca="false">AF2353*$M2353</f>
        <v>0</v>
      </c>
      <c r="AH2353" s="28"/>
      <c r="AI2353" s="28" t="n">
        <f aca="false">AH2353*$M2353</f>
        <v>0</v>
      </c>
      <c r="AJ2353" s="28"/>
      <c r="AK2353" s="28" t="n">
        <f aca="false">AJ2353*$M2353</f>
        <v>0</v>
      </c>
      <c r="AL2353" s="28"/>
      <c r="AM2353" s="28" t="n">
        <f aca="false">AL2353*$M2353</f>
        <v>0</v>
      </c>
      <c r="AN2353" s="28"/>
      <c r="AO2353" s="28" t="n">
        <f aca="false">AN2353*$M2353</f>
        <v>0</v>
      </c>
      <c r="AP2353" s="28"/>
      <c r="AQ2353" s="28" t="n">
        <f aca="false">AP2353*$M2353</f>
        <v>0</v>
      </c>
      <c r="AR2353" s="28"/>
      <c r="AS2353" s="28" t="n">
        <f aca="false">AR2353*$M2353</f>
        <v>0</v>
      </c>
      <c r="AT2353" s="28"/>
      <c r="AU2353" s="28" t="n">
        <f aca="false">AT2353*$M2353</f>
        <v>0</v>
      </c>
      <c r="AV2353" s="28"/>
      <c r="AW2353" s="28" t="n">
        <f aca="false">AV2353*$M2353</f>
        <v>0</v>
      </c>
      <c r="AX2353" s="28"/>
      <c r="AY2353" s="28" t="n">
        <f aca="false">AX2353*$M2353</f>
        <v>0</v>
      </c>
      <c r="AZ2353" s="30" t="n">
        <v>1931</v>
      </c>
      <c r="BA2353" s="11" t="n">
        <v>1931</v>
      </c>
      <c r="BB2353" s="31" t="n">
        <f aca="false">SUM(Q2353,S2353,U2353,W2353,Y2353,AA2353,AC2353,AE2353,AG2353,AI2353,AK2353,AM2353,AO2353,AQ2353,AS2353,AU2353,AW2353,AY2353)</f>
        <v>1931</v>
      </c>
      <c r="BC2353" s="28" t="n">
        <f aca="false">BA2353-BB2353</f>
        <v>0</v>
      </c>
      <c r="BD2353" s="32" t="n">
        <f aca="false">SUM(P2353,R2353,T2353,V2353,X2353,Z2353,AB2353,AD2353,AF2353,AH2353,AJ2353,AL2353,AN2353,AP2353,AR2353,AT2353,AV2353,AX2353)</f>
        <v>1931</v>
      </c>
      <c r="BE2353" s="33" t="n">
        <f aca="false">AZ2353-BD2353</f>
        <v>0</v>
      </c>
      <c r="BF2353" s="34" t="n">
        <f aca="false">BD2353*M2353</f>
        <v>1931</v>
      </c>
      <c r="BG2353" s="35" t="n">
        <f aca="false">BA2353-BF2353</f>
        <v>0</v>
      </c>
      <c r="BH2353" s="19" t="str">
        <f aca="false">IF(BG2353=0,"",IF(BG2353&lt;&gt;BA2353,"erreur de calcul",IF(BD2353&lt;&gt;0,"pas de prix",IF(M2353&lt;&gt; 0,"pas de quantité","pas de prix, ni de quantité"))))</f>
        <v/>
      </c>
      <c r="BI2353" s="19"/>
    </row>
    <row r="2354" customFormat="false" ht="15" hidden="false" customHeight="false" outlineLevel="0" collapsed="false">
      <c r="A2354" s="0" t="n">
        <v>38</v>
      </c>
      <c r="B2354" s="8" t="s">
        <v>24</v>
      </c>
      <c r="C2354" s="9" t="s">
        <v>25</v>
      </c>
      <c r="D2354" s="9" t="s">
        <v>26</v>
      </c>
      <c r="E2354" s="10" t="n">
        <v>1789</v>
      </c>
      <c r="F2354" s="9" t="s">
        <v>27</v>
      </c>
      <c r="G2354" s="9" t="s">
        <v>27</v>
      </c>
      <c r="H2354" s="11" t="n">
        <v>24</v>
      </c>
      <c r="I2354" s="11" t="s">
        <v>328</v>
      </c>
      <c r="J2354" s="14" t="n">
        <v>208</v>
      </c>
      <c r="K2354" s="14"/>
      <c r="L2354" s="16"/>
      <c r="M2354" s="27" t="n">
        <f aca="false">J2354+(K2354/20)+(L2354/240)</f>
        <v>208</v>
      </c>
      <c r="N2354" s="17" t="s">
        <v>64</v>
      </c>
      <c r="O2354" s="11" t="s">
        <v>277</v>
      </c>
      <c r="P2354" s="28"/>
      <c r="Q2354" s="28" t="n">
        <f aca="false">P2354*$M2354</f>
        <v>0</v>
      </c>
      <c r="R2354" s="28"/>
      <c r="S2354" s="28" t="n">
        <f aca="false">R2354*$M2354</f>
        <v>0</v>
      </c>
      <c r="T2354" s="28" t="n">
        <f aca="false">536/100</f>
        <v>5.36</v>
      </c>
      <c r="U2354" s="28" t="n">
        <v>1115</v>
      </c>
      <c r="V2354" s="28" t="n">
        <f aca="false">1983/100</f>
        <v>19.83</v>
      </c>
      <c r="W2354" s="28" t="n">
        <v>4125</v>
      </c>
      <c r="X2354" s="28" t="n">
        <f aca="false">37641/100</f>
        <v>376.41</v>
      </c>
      <c r="Y2354" s="28" t="n">
        <v>78293</v>
      </c>
      <c r="Z2354" s="28" t="n">
        <f aca="false">1281/100</f>
        <v>12.81</v>
      </c>
      <c r="AA2354" s="28" t="n">
        <v>2664</v>
      </c>
      <c r="AB2354" s="28"/>
      <c r="AC2354" s="28" t="n">
        <f aca="false">AB2354*$M2354</f>
        <v>0</v>
      </c>
      <c r="AD2354" s="28"/>
      <c r="AE2354" s="28" t="n">
        <f aca="false">AD2354*$M2354</f>
        <v>0</v>
      </c>
      <c r="AF2354" s="28"/>
      <c r="AG2354" s="28" t="n">
        <f aca="false">AF2354*$M2354</f>
        <v>0</v>
      </c>
      <c r="AH2354" s="28"/>
      <c r="AI2354" s="28" t="n">
        <f aca="false">AH2354*$M2354</f>
        <v>0</v>
      </c>
      <c r="AJ2354" s="28" t="n">
        <f aca="false">20789/100</f>
        <v>207.89</v>
      </c>
      <c r="AK2354" s="28" t="n">
        <v>43241</v>
      </c>
      <c r="AL2354" s="28" t="n">
        <f aca="false">2470/100</f>
        <v>24.7</v>
      </c>
      <c r="AM2354" s="28" t="n">
        <v>5138</v>
      </c>
      <c r="AN2354" s="28"/>
      <c r="AO2354" s="28" t="n">
        <f aca="false">AN2354*$M2354</f>
        <v>0</v>
      </c>
      <c r="AP2354" s="28"/>
      <c r="AQ2354" s="28" t="n">
        <f aca="false">AP2354*$M2354</f>
        <v>0</v>
      </c>
      <c r="AR2354" s="28"/>
      <c r="AS2354" s="28" t="n">
        <f aca="false">AR2354*$M2354</f>
        <v>0</v>
      </c>
      <c r="AT2354" s="28"/>
      <c r="AU2354" s="28" t="n">
        <f aca="false">AT2354*$M2354</f>
        <v>0</v>
      </c>
      <c r="AV2354" s="28"/>
      <c r="AW2354" s="28" t="n">
        <f aca="false">AV2354*$M2354</f>
        <v>0</v>
      </c>
      <c r="AX2354" s="28"/>
      <c r="AY2354" s="28" t="n">
        <f aca="false">AX2354*$M2354</f>
        <v>0</v>
      </c>
      <c r="AZ2354" s="30" t="n">
        <f aca="false">64700/100</f>
        <v>647</v>
      </c>
      <c r="BA2354" s="11" t="n">
        <v>134576</v>
      </c>
      <c r="BB2354" s="31" t="n">
        <f aca="false">SUM(Q2354,S2354,U2354,W2354,Y2354,AA2354,AC2354,AE2354,AG2354,AI2354,AK2354,AM2354,AO2354,AQ2354,AS2354,AU2354,AW2354,AY2354)</f>
        <v>134576</v>
      </c>
      <c r="BC2354" s="28" t="n">
        <f aca="false">BA2354-BB2354</f>
        <v>0</v>
      </c>
      <c r="BD2354" s="32" t="n">
        <f aca="false">SUM(P2354,R2354,T2354,V2354,X2354,Z2354,AB2354,AD2354,AF2354,AH2354,AJ2354,AL2354,AN2354,AP2354,AR2354,AT2354,AV2354,AX2354)</f>
        <v>647</v>
      </c>
      <c r="BE2354" s="33" t="n">
        <f aca="false">AZ2354-BD2354</f>
        <v>0</v>
      </c>
      <c r="BF2354" s="34" t="n">
        <f aca="false">BD2354*M2354</f>
        <v>134576</v>
      </c>
      <c r="BG2354" s="35" t="n">
        <f aca="false">BA2354-BF2354</f>
        <v>0</v>
      </c>
      <c r="BH2354" s="19" t="str">
        <f aca="false">IF(BG2354=0,"",IF(BG2354&lt;&gt;BA2354,"erreur de calcul",IF(BD2354&lt;&gt;0,"pas de prix",IF(M2354&lt;&gt; 0,"pas de quantité","pas de prix, ni de quantité"))))</f>
        <v/>
      </c>
      <c r="BI2354" s="19"/>
    </row>
    <row r="2355" customFormat="false" ht="15" hidden="false" customHeight="false" outlineLevel="0" collapsed="false">
      <c r="A2355" s="0" t="n">
        <v>1</v>
      </c>
      <c r="B2355" s="8" t="s">
        <v>24</v>
      </c>
      <c r="C2355" s="9" t="s">
        <v>25</v>
      </c>
      <c r="D2355" s="9" t="s">
        <v>26</v>
      </c>
      <c r="E2355" s="10" t="n">
        <v>1789</v>
      </c>
      <c r="F2355" s="9" t="s">
        <v>27</v>
      </c>
      <c r="G2355" s="9" t="s">
        <v>27</v>
      </c>
      <c r="H2355" s="11" t="n">
        <v>25</v>
      </c>
      <c r="I2355" s="11" t="s">
        <v>329</v>
      </c>
      <c r="J2355" s="14" t="n">
        <v>30</v>
      </c>
      <c r="K2355" s="14"/>
      <c r="L2355" s="16"/>
      <c r="M2355" s="27" t="n">
        <f aca="false">J2355+(K2355/20)+(L2355/240)</f>
        <v>30</v>
      </c>
      <c r="N2355" s="17" t="s">
        <v>64</v>
      </c>
      <c r="O2355" s="11"/>
      <c r="P2355" s="28" t="n">
        <f aca="false">888/100</f>
        <v>8.88</v>
      </c>
      <c r="Q2355" s="28" t="n">
        <v>266</v>
      </c>
      <c r="R2355" s="28"/>
      <c r="S2355" s="28" t="n">
        <f aca="false">R2355*$M2355</f>
        <v>0</v>
      </c>
      <c r="T2355" s="28" t="n">
        <f aca="false">1151/100</f>
        <v>11.51</v>
      </c>
      <c r="U2355" s="28" t="n">
        <v>345</v>
      </c>
      <c r="V2355" s="28"/>
      <c r="W2355" s="28" t="n">
        <f aca="false">V2355*$M2355</f>
        <v>0</v>
      </c>
      <c r="X2355" s="28"/>
      <c r="Y2355" s="28" t="n">
        <f aca="false">X2355*$M2355</f>
        <v>0</v>
      </c>
      <c r="Z2355" s="28"/>
      <c r="AA2355" s="28" t="n">
        <f aca="false">Z2355*$M2355</f>
        <v>0</v>
      </c>
      <c r="AB2355" s="28"/>
      <c r="AC2355" s="28" t="n">
        <f aca="false">AB2355*$M2355</f>
        <v>0</v>
      </c>
      <c r="AD2355" s="28"/>
      <c r="AE2355" s="28" t="n">
        <f aca="false">AD2355*$M2355</f>
        <v>0</v>
      </c>
      <c r="AF2355" s="28"/>
      <c r="AG2355" s="28" t="n">
        <f aca="false">AF2355*$M2355</f>
        <v>0</v>
      </c>
      <c r="AH2355" s="28"/>
      <c r="AI2355" s="28" t="n">
        <f aca="false">AH2355*$M2355</f>
        <v>0</v>
      </c>
      <c r="AJ2355" s="28"/>
      <c r="AK2355" s="28" t="n">
        <f aca="false">AJ2355*$M2355</f>
        <v>0</v>
      </c>
      <c r="AL2355" s="28"/>
      <c r="AM2355" s="28" t="n">
        <f aca="false">AL2355*$M2355</f>
        <v>0</v>
      </c>
      <c r="AN2355" s="28"/>
      <c r="AO2355" s="28" t="n">
        <f aca="false">AN2355*$M2355</f>
        <v>0</v>
      </c>
      <c r="AP2355" s="28"/>
      <c r="AQ2355" s="28" t="n">
        <f aca="false">AP2355*$M2355</f>
        <v>0</v>
      </c>
      <c r="AR2355" s="28"/>
      <c r="AS2355" s="28" t="n">
        <f aca="false">AR2355*$M2355</f>
        <v>0</v>
      </c>
      <c r="AT2355" s="28"/>
      <c r="AU2355" s="28" t="n">
        <f aca="false">AT2355*$M2355</f>
        <v>0</v>
      </c>
      <c r="AV2355" s="28"/>
      <c r="AW2355" s="28" t="n">
        <f aca="false">AV2355*$M2355</f>
        <v>0</v>
      </c>
      <c r="AX2355" s="28"/>
      <c r="AY2355" s="28" t="n">
        <f aca="false">AX2355*$M2355</f>
        <v>0</v>
      </c>
      <c r="AZ2355" s="30" t="n">
        <f aca="false">2039/100</f>
        <v>20.39</v>
      </c>
      <c r="BA2355" s="11" t="n">
        <v>611</v>
      </c>
      <c r="BB2355" s="31" t="n">
        <f aca="false">SUM(Q2355,S2355,U2355,W2355,Y2355,AA2355,AC2355,AE2355,AG2355,AI2355,AK2355,AM2355,AO2355,AQ2355,AS2355,AU2355,AW2355,AY2355)</f>
        <v>611</v>
      </c>
      <c r="BC2355" s="28" t="n">
        <f aca="false">BA2355-BB2355</f>
        <v>0</v>
      </c>
      <c r="BD2355" s="32" t="n">
        <f aca="false">SUM(P2355,R2355,T2355,V2355,X2355,Z2355,AB2355,AD2355,AF2355,AH2355,AJ2355,AL2355,AN2355,AP2355,AR2355,AT2355,AV2355,AX2355)</f>
        <v>20.39</v>
      </c>
      <c r="BE2355" s="33" t="n">
        <f aca="false">AZ2355-BD2355</f>
        <v>0</v>
      </c>
      <c r="BF2355" s="34" t="n">
        <f aca="false">BD2355*M2355</f>
        <v>611.7</v>
      </c>
      <c r="BG2355" s="35" t="n">
        <f aca="false">BA2355-BF2355</f>
        <v>-0.700000000000046</v>
      </c>
      <c r="BH2355" s="19" t="str">
        <f aca="false">IF(BG2355=0,"",IF(BG2355&lt;&gt;BA2355,"erreur de calcul",IF(BD2355&lt;&gt;0,"pas de prix",IF(M2355&lt;&gt; 0,"pas de quantité","pas de prix, ni de quantité"))))</f>
        <v>erreur de calcul</v>
      </c>
      <c r="BI2355" s="19"/>
    </row>
    <row r="2356" customFormat="false" ht="15" hidden="false" customHeight="false" outlineLevel="0" collapsed="false">
      <c r="A2356" s="0" t="n">
        <v>2</v>
      </c>
      <c r="B2356" s="8" t="s">
        <v>24</v>
      </c>
      <c r="C2356" s="9" t="s">
        <v>25</v>
      </c>
      <c r="D2356" s="9" t="s">
        <v>26</v>
      </c>
      <c r="E2356" s="10" t="n">
        <v>1789</v>
      </c>
      <c r="F2356" s="9" t="s">
        <v>27</v>
      </c>
      <c r="G2356" s="9" t="s">
        <v>27</v>
      </c>
      <c r="H2356" s="11" t="n">
        <v>25</v>
      </c>
      <c r="I2356" s="11" t="s">
        <v>330</v>
      </c>
      <c r="J2356" s="14"/>
      <c r="K2356" s="14" t="n">
        <v>20</v>
      </c>
      <c r="L2356" s="16"/>
      <c r="M2356" s="27" t="n">
        <f aca="false">J2356+(K2356/20)+(L2356/240)</f>
        <v>1</v>
      </c>
      <c r="N2356" s="17" t="s">
        <v>66</v>
      </c>
      <c r="O2356" s="11"/>
      <c r="P2356" s="28"/>
      <c r="Q2356" s="28" t="n">
        <f aca="false">P2356*$M2356</f>
        <v>0</v>
      </c>
      <c r="R2356" s="28"/>
      <c r="S2356" s="28" t="n">
        <f aca="false">R2356*$M2356</f>
        <v>0</v>
      </c>
      <c r="T2356" s="28"/>
      <c r="U2356" s="28" t="n">
        <f aca="false">T2356*$M2356</f>
        <v>0</v>
      </c>
      <c r="V2356" s="28"/>
      <c r="W2356" s="28" t="n">
        <f aca="false">V2356*$M2356</f>
        <v>0</v>
      </c>
      <c r="X2356" s="28"/>
      <c r="Y2356" s="28" t="n">
        <f aca="false">X2356*$M2356</f>
        <v>0</v>
      </c>
      <c r="Z2356" s="28"/>
      <c r="AA2356" s="28" t="n">
        <f aca="false">Z2356*$M2356</f>
        <v>0</v>
      </c>
      <c r="AB2356" s="28"/>
      <c r="AC2356" s="28" t="n">
        <f aca="false">AB2356*$M2356</f>
        <v>0</v>
      </c>
      <c r="AD2356" s="28"/>
      <c r="AE2356" s="28" t="n">
        <f aca="false">AD2356*$M2356</f>
        <v>0</v>
      </c>
      <c r="AF2356" s="28"/>
      <c r="AG2356" s="28" t="n">
        <f aca="false">AF2356*$M2356</f>
        <v>0</v>
      </c>
      <c r="AH2356" s="28"/>
      <c r="AI2356" s="28" t="n">
        <f aca="false">AH2356*$M2356</f>
        <v>0</v>
      </c>
      <c r="AJ2356" s="28" t="n">
        <v>4241</v>
      </c>
      <c r="AK2356" s="28" t="n">
        <v>4241</v>
      </c>
      <c r="AL2356" s="28"/>
      <c r="AM2356" s="28" t="n">
        <f aca="false">AL2356*$M2356</f>
        <v>0</v>
      </c>
      <c r="AN2356" s="28"/>
      <c r="AO2356" s="28" t="n">
        <f aca="false">AN2356*$M2356</f>
        <v>0</v>
      </c>
      <c r="AP2356" s="28"/>
      <c r="AQ2356" s="28" t="n">
        <f aca="false">AP2356*$M2356</f>
        <v>0</v>
      </c>
      <c r="AR2356" s="28"/>
      <c r="AS2356" s="28" t="n">
        <f aca="false">AR2356*$M2356</f>
        <v>0</v>
      </c>
      <c r="AT2356" s="28"/>
      <c r="AU2356" s="28" t="n">
        <f aca="false">AT2356*$M2356</f>
        <v>0</v>
      </c>
      <c r="AV2356" s="28"/>
      <c r="AW2356" s="28" t="n">
        <f aca="false">AV2356*$M2356</f>
        <v>0</v>
      </c>
      <c r="AX2356" s="28"/>
      <c r="AY2356" s="28" t="n">
        <f aca="false">AX2356*$M2356</f>
        <v>0</v>
      </c>
      <c r="AZ2356" s="30" t="n">
        <v>4241</v>
      </c>
      <c r="BA2356" s="11" t="n">
        <v>4241</v>
      </c>
      <c r="BB2356" s="31" t="n">
        <f aca="false">SUM(Q2356,S2356,U2356,W2356,Y2356,AA2356,AC2356,AE2356,AG2356,AI2356,AK2356,AM2356,AO2356,AQ2356,AS2356,AU2356,AW2356,AY2356)</f>
        <v>4241</v>
      </c>
      <c r="BC2356" s="28" t="n">
        <f aca="false">BA2356-BB2356</f>
        <v>0</v>
      </c>
      <c r="BD2356" s="32" t="n">
        <f aca="false">SUM(P2356,R2356,T2356,V2356,X2356,Z2356,AB2356,AD2356,AF2356,AH2356,AJ2356,AL2356,AN2356,AP2356,AR2356,AT2356,AV2356,AX2356)</f>
        <v>4241</v>
      </c>
      <c r="BE2356" s="33" t="n">
        <f aca="false">AZ2356-BD2356</f>
        <v>0</v>
      </c>
      <c r="BF2356" s="34" t="n">
        <f aca="false">BD2356*M2356</f>
        <v>4241</v>
      </c>
      <c r="BG2356" s="35" t="n">
        <f aca="false">BA2356-BF2356</f>
        <v>0</v>
      </c>
      <c r="BH2356" s="19" t="str">
        <f aca="false">IF(BG2356=0,"",IF(BG2356&lt;&gt;BA2356,"erreur de calcul",IF(BD2356&lt;&gt;0,"pas de prix",IF(M2356&lt;&gt; 0,"pas de quantité","pas de prix, ni de quantité"))))</f>
        <v/>
      </c>
      <c r="BI2356" s="19"/>
    </row>
    <row r="2357" customFormat="false" ht="15" hidden="false" customHeight="false" outlineLevel="0" collapsed="false">
      <c r="A2357" s="0" t="n">
        <v>3</v>
      </c>
      <c r="B2357" s="8" t="s">
        <v>24</v>
      </c>
      <c r="C2357" s="9" t="s">
        <v>25</v>
      </c>
      <c r="D2357" s="9" t="s">
        <v>26</v>
      </c>
      <c r="E2357" s="10" t="n">
        <v>1789</v>
      </c>
      <c r="F2357" s="9" t="s">
        <v>27</v>
      </c>
      <c r="G2357" s="9" t="s">
        <v>27</v>
      </c>
      <c r="H2357" s="11" t="n">
        <v>25</v>
      </c>
      <c r="I2357" s="11" t="s">
        <v>331</v>
      </c>
      <c r="J2357" s="14" t="n">
        <v>18</v>
      </c>
      <c r="K2357" s="14"/>
      <c r="L2357" s="16"/>
      <c r="M2357" s="27" t="n">
        <f aca="false">J2357+(K2357/20)+(L2357/240)</f>
        <v>18</v>
      </c>
      <c r="N2357" s="17" t="s">
        <v>66</v>
      </c>
      <c r="O2357" s="11" t="s">
        <v>98</v>
      </c>
      <c r="P2357" s="28"/>
      <c r="Q2357" s="28" t="n">
        <f aca="false">P2357*$M2357</f>
        <v>0</v>
      </c>
      <c r="R2357" s="28"/>
      <c r="S2357" s="28" t="n">
        <f aca="false">R2357*$M2357</f>
        <v>0</v>
      </c>
      <c r="T2357" s="28"/>
      <c r="U2357" s="28" t="n">
        <f aca="false">T2357*$M2357</f>
        <v>0</v>
      </c>
      <c r="V2357" s="28"/>
      <c r="W2357" s="28" t="n">
        <f aca="false">V2357*$M2357</f>
        <v>0</v>
      </c>
      <c r="X2357" s="28"/>
      <c r="Y2357" s="28" t="n">
        <f aca="false">X2357*$M2357</f>
        <v>0</v>
      </c>
      <c r="Z2357" s="28"/>
      <c r="AA2357" s="28" t="n">
        <f aca="false">Z2357*$M2357</f>
        <v>0</v>
      </c>
      <c r="AB2357" s="28"/>
      <c r="AC2357" s="28" t="n">
        <f aca="false">AB2357*$M2357</f>
        <v>0</v>
      </c>
      <c r="AD2357" s="28"/>
      <c r="AE2357" s="28" t="n">
        <f aca="false">AD2357*$M2357</f>
        <v>0</v>
      </c>
      <c r="AF2357" s="28"/>
      <c r="AG2357" s="28" t="n">
        <f aca="false">AF2357*$M2357</f>
        <v>0</v>
      </c>
      <c r="AH2357" s="28"/>
      <c r="AI2357" s="28" t="n">
        <f aca="false">AH2357*$M2357</f>
        <v>0</v>
      </c>
      <c r="AJ2357" s="28"/>
      <c r="AK2357" s="28" t="n">
        <f aca="false">AJ2357*$M2357</f>
        <v>0</v>
      </c>
      <c r="AL2357" s="28"/>
      <c r="AM2357" s="28" t="n">
        <f aca="false">AL2357*$M2357</f>
        <v>0</v>
      </c>
      <c r="AN2357" s="28"/>
      <c r="AO2357" s="28" t="n">
        <f aca="false">AN2357*$M2357</f>
        <v>0</v>
      </c>
      <c r="AP2357" s="28"/>
      <c r="AQ2357" s="28" t="n">
        <f aca="false">AP2357*$M2357</f>
        <v>0</v>
      </c>
      <c r="AR2357" s="28"/>
      <c r="AS2357" s="28" t="n">
        <f aca="false">AR2357*$M2357</f>
        <v>0</v>
      </c>
      <c r="AT2357" s="28"/>
      <c r="AU2357" s="28" t="n">
        <f aca="false">AT2357*$M2357</f>
        <v>0</v>
      </c>
      <c r="AV2357" s="28"/>
      <c r="AW2357" s="28" t="n">
        <f aca="false">AV2357*$M2357</f>
        <v>0</v>
      </c>
      <c r="AX2357" s="28"/>
      <c r="AY2357" s="28" t="n">
        <f aca="false">AX2357*$M2357</f>
        <v>0</v>
      </c>
      <c r="AZ2357" s="30"/>
      <c r="BA2357" s="11"/>
      <c r="BB2357" s="31" t="n">
        <f aca="false">SUM(Q2357,S2357,U2357,W2357,Y2357,AA2357,AC2357,AE2357,AG2357,AI2357,AK2357,AM2357,AO2357,AQ2357,AS2357,AU2357,AW2357,AY2357)</f>
        <v>0</v>
      </c>
      <c r="BC2357" s="28" t="n">
        <f aca="false">BA2357-BB2357</f>
        <v>0</v>
      </c>
      <c r="BD2357" s="32" t="n">
        <f aca="false">SUM(P2357,R2357,T2357,V2357,X2357,Z2357,AB2357,AD2357,AF2357,AH2357,AJ2357,AL2357,AN2357,AP2357,AR2357,AT2357,AV2357,AX2357)</f>
        <v>0</v>
      </c>
      <c r="BE2357" s="33" t="n">
        <f aca="false">AZ2357-BD2357</f>
        <v>0</v>
      </c>
      <c r="BF2357" s="34" t="n">
        <f aca="false">BD2357*M2357</f>
        <v>0</v>
      </c>
      <c r="BG2357" s="35" t="n">
        <f aca="false">BA2357-BF2357</f>
        <v>0</v>
      </c>
      <c r="BH2357" s="19" t="str">
        <f aca="false">IF(BG2357=0,"",IF(BG2357&lt;&gt;BA2357,"erreur de calcul",IF(BD2357&lt;&gt;0,"pas de prix",IF(M2357&lt;&gt; 0,"pas de quantité","pas de prix, ni de quantité"))))</f>
        <v/>
      </c>
      <c r="BI2357" s="19"/>
    </row>
    <row r="2358" customFormat="false" ht="15" hidden="false" customHeight="false" outlineLevel="0" collapsed="false">
      <c r="A2358" s="0" t="n">
        <v>4</v>
      </c>
      <c r="B2358" s="8" t="s">
        <v>24</v>
      </c>
      <c r="C2358" s="9" t="s">
        <v>25</v>
      </c>
      <c r="D2358" s="9" t="s">
        <v>26</v>
      </c>
      <c r="E2358" s="10" t="n">
        <v>1789</v>
      </c>
      <c r="F2358" s="9" t="s">
        <v>27</v>
      </c>
      <c r="G2358" s="9" t="s">
        <v>27</v>
      </c>
      <c r="H2358" s="11" t="n">
        <v>25</v>
      </c>
      <c r="I2358" s="11" t="s">
        <v>332</v>
      </c>
      <c r="J2358" s="14" t="n">
        <v>18</v>
      </c>
      <c r="K2358" s="14"/>
      <c r="L2358" s="16"/>
      <c r="M2358" s="27" t="n">
        <f aca="false">J2358+(K2358/20)+(L2358/240)</f>
        <v>18</v>
      </c>
      <c r="N2358" s="17" t="s">
        <v>66</v>
      </c>
      <c r="O2358" s="11" t="s">
        <v>98</v>
      </c>
      <c r="P2358" s="28"/>
      <c r="Q2358" s="28" t="n">
        <f aca="false">P2358*$M2358</f>
        <v>0</v>
      </c>
      <c r="R2358" s="28"/>
      <c r="S2358" s="28" t="n">
        <f aca="false">R2358*$M2358</f>
        <v>0</v>
      </c>
      <c r="T2358" s="28"/>
      <c r="U2358" s="28" t="n">
        <f aca="false">T2358*$M2358</f>
        <v>0</v>
      </c>
      <c r="V2358" s="28"/>
      <c r="W2358" s="28" t="n">
        <f aca="false">V2358*$M2358</f>
        <v>0</v>
      </c>
      <c r="X2358" s="28"/>
      <c r="Y2358" s="28" t="n">
        <f aca="false">X2358*$M2358</f>
        <v>0</v>
      </c>
      <c r="Z2358" s="28"/>
      <c r="AA2358" s="28" t="n">
        <f aca="false">Z2358*$M2358</f>
        <v>0</v>
      </c>
      <c r="AB2358" s="28"/>
      <c r="AC2358" s="28" t="n">
        <f aca="false">AB2358*$M2358</f>
        <v>0</v>
      </c>
      <c r="AD2358" s="28"/>
      <c r="AE2358" s="28" t="n">
        <f aca="false">AD2358*$M2358</f>
        <v>0</v>
      </c>
      <c r="AF2358" s="28"/>
      <c r="AG2358" s="28" t="n">
        <f aca="false">AF2358*$M2358</f>
        <v>0</v>
      </c>
      <c r="AH2358" s="28"/>
      <c r="AI2358" s="28" t="n">
        <f aca="false">AH2358*$M2358</f>
        <v>0</v>
      </c>
      <c r="AJ2358" s="28"/>
      <c r="AK2358" s="28" t="n">
        <f aca="false">AJ2358*$M2358</f>
        <v>0</v>
      </c>
      <c r="AL2358" s="28"/>
      <c r="AM2358" s="28" t="n">
        <f aca="false">AL2358*$M2358</f>
        <v>0</v>
      </c>
      <c r="AN2358" s="28"/>
      <c r="AO2358" s="28" t="n">
        <f aca="false">AN2358*$M2358</f>
        <v>0</v>
      </c>
      <c r="AP2358" s="28"/>
      <c r="AQ2358" s="28" t="n">
        <f aca="false">AP2358*$M2358</f>
        <v>0</v>
      </c>
      <c r="AR2358" s="28"/>
      <c r="AS2358" s="28" t="n">
        <f aca="false">AR2358*$M2358</f>
        <v>0</v>
      </c>
      <c r="AT2358" s="28"/>
      <c r="AU2358" s="28" t="n">
        <f aca="false">AT2358*$M2358</f>
        <v>0</v>
      </c>
      <c r="AV2358" s="28"/>
      <c r="AW2358" s="28" t="n">
        <f aca="false">AV2358*$M2358</f>
        <v>0</v>
      </c>
      <c r="AX2358" s="28"/>
      <c r="AY2358" s="28" t="n">
        <f aca="false">AX2358*$M2358</f>
        <v>0</v>
      </c>
      <c r="AZ2358" s="30"/>
      <c r="BA2358" s="11"/>
      <c r="BB2358" s="31" t="n">
        <f aca="false">SUM(Q2358,S2358,U2358,W2358,Y2358,AA2358,AC2358,AE2358,AG2358,AI2358,AK2358,AM2358,AO2358,AQ2358,AS2358,AU2358,AW2358,AY2358)</f>
        <v>0</v>
      </c>
      <c r="BC2358" s="28" t="n">
        <f aca="false">BA2358-BB2358</f>
        <v>0</v>
      </c>
      <c r="BD2358" s="32" t="n">
        <f aca="false">SUM(P2358,R2358,T2358,V2358,X2358,Z2358,AB2358,AD2358,AF2358,AH2358,AJ2358,AL2358,AN2358,AP2358,AR2358,AT2358,AV2358,AX2358)</f>
        <v>0</v>
      </c>
      <c r="BE2358" s="33" t="n">
        <f aca="false">AZ2358-BD2358</f>
        <v>0</v>
      </c>
      <c r="BF2358" s="34" t="n">
        <f aca="false">BD2358*M2358</f>
        <v>0</v>
      </c>
      <c r="BG2358" s="35" t="n">
        <f aca="false">BA2358-BF2358</f>
        <v>0</v>
      </c>
      <c r="BH2358" s="19" t="str">
        <f aca="false">IF(BG2358=0,"",IF(BG2358&lt;&gt;BA2358,"erreur de calcul",IF(BD2358&lt;&gt;0,"pas de prix",IF(M2358&lt;&gt; 0,"pas de quantité","pas de prix, ni de quantité"))))</f>
        <v/>
      </c>
      <c r="BI2358" s="19"/>
    </row>
    <row r="2359" customFormat="false" ht="15" hidden="false" customHeight="false" outlineLevel="0" collapsed="false">
      <c r="A2359" s="0" t="n">
        <v>5</v>
      </c>
      <c r="B2359" s="8" t="s">
        <v>24</v>
      </c>
      <c r="C2359" s="9" t="s">
        <v>25</v>
      </c>
      <c r="D2359" s="9" t="s">
        <v>26</v>
      </c>
      <c r="E2359" s="10" t="n">
        <v>1789</v>
      </c>
      <c r="F2359" s="9" t="s">
        <v>27</v>
      </c>
      <c r="G2359" s="9" t="s">
        <v>27</v>
      </c>
      <c r="H2359" s="11" t="n">
        <v>25</v>
      </c>
      <c r="I2359" s="11" t="s">
        <v>333</v>
      </c>
      <c r="J2359" s="14" t="n">
        <v>44</v>
      </c>
      <c r="K2359" s="14"/>
      <c r="L2359" s="16"/>
      <c r="M2359" s="27" t="n">
        <f aca="false">J2359+(K2359/20)+(L2359/240)</f>
        <v>44</v>
      </c>
      <c r="N2359" s="17" t="s">
        <v>66</v>
      </c>
      <c r="O2359" s="11"/>
      <c r="P2359" s="28" t="n">
        <v>1391</v>
      </c>
      <c r="Q2359" s="28" t="n">
        <v>61204</v>
      </c>
      <c r="R2359" s="28"/>
      <c r="S2359" s="28" t="n">
        <f aca="false">R2359*$M2359</f>
        <v>0</v>
      </c>
      <c r="T2359" s="28"/>
      <c r="U2359" s="28" t="n">
        <f aca="false">T2359*$M2359</f>
        <v>0</v>
      </c>
      <c r="V2359" s="28"/>
      <c r="W2359" s="28" t="n">
        <f aca="false">V2359*$M2359</f>
        <v>0</v>
      </c>
      <c r="X2359" s="28"/>
      <c r="Y2359" s="28" t="n">
        <f aca="false">X2359*$M2359</f>
        <v>0</v>
      </c>
      <c r="Z2359" s="28"/>
      <c r="AA2359" s="28" t="n">
        <f aca="false">Z2359*$M2359</f>
        <v>0</v>
      </c>
      <c r="AB2359" s="28"/>
      <c r="AC2359" s="28" t="n">
        <f aca="false">AB2359*$M2359</f>
        <v>0</v>
      </c>
      <c r="AD2359" s="28"/>
      <c r="AE2359" s="28" t="n">
        <f aca="false">AD2359*$M2359</f>
        <v>0</v>
      </c>
      <c r="AF2359" s="28"/>
      <c r="AG2359" s="28" t="n">
        <f aca="false">AF2359*$M2359</f>
        <v>0</v>
      </c>
      <c r="AH2359" s="28"/>
      <c r="AI2359" s="28" t="n">
        <f aca="false">AH2359*$M2359</f>
        <v>0</v>
      </c>
      <c r="AJ2359" s="28"/>
      <c r="AK2359" s="28" t="n">
        <f aca="false">AJ2359*$M2359</f>
        <v>0</v>
      </c>
      <c r="AL2359" s="28"/>
      <c r="AM2359" s="28" t="n">
        <f aca="false">AL2359*$M2359</f>
        <v>0</v>
      </c>
      <c r="AN2359" s="28"/>
      <c r="AO2359" s="28" t="n">
        <f aca="false">AN2359*$M2359</f>
        <v>0</v>
      </c>
      <c r="AP2359" s="28"/>
      <c r="AQ2359" s="28" t="n">
        <f aca="false">AP2359*$M2359</f>
        <v>0</v>
      </c>
      <c r="AR2359" s="28"/>
      <c r="AS2359" s="28" t="n">
        <f aca="false">AR2359*$M2359</f>
        <v>0</v>
      </c>
      <c r="AT2359" s="28"/>
      <c r="AU2359" s="28" t="n">
        <f aca="false">AT2359*$M2359</f>
        <v>0</v>
      </c>
      <c r="AV2359" s="28"/>
      <c r="AW2359" s="28" t="n">
        <f aca="false">AV2359*$M2359</f>
        <v>0</v>
      </c>
      <c r="AX2359" s="28"/>
      <c r="AY2359" s="28" t="n">
        <f aca="false">AX2359*$M2359</f>
        <v>0</v>
      </c>
      <c r="AZ2359" s="30" t="n">
        <v>1391</v>
      </c>
      <c r="BA2359" s="11" t="n">
        <v>61204</v>
      </c>
      <c r="BB2359" s="31" t="n">
        <f aca="false">SUM(Q2359,S2359,U2359,W2359,Y2359,AA2359,AC2359,AE2359,AG2359,AI2359,AK2359,AM2359,AO2359,AQ2359,AS2359,AU2359,AW2359,AY2359)</f>
        <v>61204</v>
      </c>
      <c r="BC2359" s="28" t="n">
        <f aca="false">BA2359-BB2359</f>
        <v>0</v>
      </c>
      <c r="BD2359" s="32" t="n">
        <f aca="false">SUM(P2359,R2359,T2359,V2359,X2359,Z2359,AB2359,AD2359,AF2359,AH2359,AJ2359,AL2359,AN2359,AP2359,AR2359,AT2359,AV2359,AX2359)</f>
        <v>1391</v>
      </c>
      <c r="BE2359" s="33" t="n">
        <f aca="false">AZ2359-BD2359</f>
        <v>0</v>
      </c>
      <c r="BF2359" s="34" t="n">
        <f aca="false">BD2359*M2359</f>
        <v>61204</v>
      </c>
      <c r="BG2359" s="35" t="n">
        <f aca="false">BA2359-BF2359</f>
        <v>0</v>
      </c>
      <c r="BH2359" s="19" t="str">
        <f aca="false">IF(BG2359=0,"",IF(BG2359&lt;&gt;BA2359,"erreur de calcul",IF(BD2359&lt;&gt;0,"pas de prix",IF(M2359&lt;&gt; 0,"pas de quantité","pas de prix, ni de quantité"))))</f>
        <v/>
      </c>
      <c r="BI2359" s="19"/>
    </row>
    <row r="2360" customFormat="false" ht="15" hidden="false" customHeight="false" outlineLevel="0" collapsed="false">
      <c r="A2360" s="0" t="n">
        <v>6</v>
      </c>
      <c r="B2360" s="8" t="s">
        <v>24</v>
      </c>
      <c r="C2360" s="9" t="s">
        <v>25</v>
      </c>
      <c r="D2360" s="9" t="s">
        <v>26</v>
      </c>
      <c r="E2360" s="10" t="n">
        <v>1789</v>
      </c>
      <c r="F2360" s="9" t="s">
        <v>27</v>
      </c>
      <c r="G2360" s="9" t="s">
        <v>27</v>
      </c>
      <c r="H2360" s="11" t="n">
        <v>25</v>
      </c>
      <c r="I2360" s="11" t="s">
        <v>334</v>
      </c>
      <c r="J2360" s="14" t="n">
        <v>12</v>
      </c>
      <c r="K2360" s="14"/>
      <c r="L2360" s="16"/>
      <c r="M2360" s="27" t="n">
        <f aca="false">J2360+(K2360/20)+(L2360/240)</f>
        <v>12</v>
      </c>
      <c r="N2360" s="17" t="s">
        <v>64</v>
      </c>
      <c r="O2360" s="11"/>
      <c r="P2360" s="28"/>
      <c r="Q2360" s="28" t="n">
        <f aca="false">P2360*$M2360</f>
        <v>0</v>
      </c>
      <c r="R2360" s="28"/>
      <c r="S2360" s="28" t="n">
        <f aca="false">R2360*$M2360</f>
        <v>0</v>
      </c>
      <c r="T2360" s="28"/>
      <c r="U2360" s="28" t="n">
        <f aca="false">T2360*$M2360</f>
        <v>0</v>
      </c>
      <c r="V2360" s="28"/>
      <c r="W2360" s="28" t="n">
        <f aca="false">V2360*$M2360</f>
        <v>0</v>
      </c>
      <c r="X2360" s="28" t="n">
        <f aca="false">1111/100</f>
        <v>11.11</v>
      </c>
      <c r="Y2360" s="28" t="n">
        <v>133</v>
      </c>
      <c r="Z2360" s="28"/>
      <c r="AA2360" s="28" t="n">
        <f aca="false">Z2360*$M2360</f>
        <v>0</v>
      </c>
      <c r="AB2360" s="28"/>
      <c r="AC2360" s="28" t="n">
        <f aca="false">AB2360*$M2360</f>
        <v>0</v>
      </c>
      <c r="AD2360" s="28"/>
      <c r="AE2360" s="28" t="n">
        <f aca="false">AD2360*$M2360</f>
        <v>0</v>
      </c>
      <c r="AF2360" s="28"/>
      <c r="AG2360" s="28" t="n">
        <f aca="false">AF2360*$M2360</f>
        <v>0</v>
      </c>
      <c r="AH2360" s="28"/>
      <c r="AI2360" s="28" t="n">
        <f aca="false">AH2360*$M2360</f>
        <v>0</v>
      </c>
      <c r="AJ2360" s="28"/>
      <c r="AK2360" s="28" t="n">
        <f aca="false">AJ2360*$M2360</f>
        <v>0</v>
      </c>
      <c r="AL2360" s="28"/>
      <c r="AM2360" s="28" t="n">
        <f aca="false">AL2360*$M2360</f>
        <v>0</v>
      </c>
      <c r="AN2360" s="28"/>
      <c r="AO2360" s="28" t="n">
        <f aca="false">AN2360*$M2360</f>
        <v>0</v>
      </c>
      <c r="AP2360" s="28"/>
      <c r="AQ2360" s="28" t="n">
        <f aca="false">AP2360*$M2360</f>
        <v>0</v>
      </c>
      <c r="AR2360" s="28"/>
      <c r="AS2360" s="28" t="n">
        <f aca="false">AR2360*$M2360</f>
        <v>0</v>
      </c>
      <c r="AT2360" s="28"/>
      <c r="AU2360" s="28" t="n">
        <f aca="false">AT2360*$M2360</f>
        <v>0</v>
      </c>
      <c r="AV2360" s="28"/>
      <c r="AW2360" s="28" t="n">
        <f aca="false">AV2360*$M2360</f>
        <v>0</v>
      </c>
      <c r="AX2360" s="28"/>
      <c r="AY2360" s="28" t="n">
        <f aca="false">AX2360*$M2360</f>
        <v>0</v>
      </c>
      <c r="AZ2360" s="30" t="n">
        <f aca="false">1111/100</f>
        <v>11.11</v>
      </c>
      <c r="BA2360" s="11" t="n">
        <v>133</v>
      </c>
      <c r="BB2360" s="31" t="n">
        <f aca="false">SUM(Q2360,S2360,U2360,W2360,Y2360,AA2360,AC2360,AE2360,AG2360,AI2360,AK2360,AM2360,AO2360,AQ2360,AS2360,AU2360,AW2360,AY2360)</f>
        <v>133</v>
      </c>
      <c r="BC2360" s="28" t="n">
        <f aca="false">BA2360-BB2360</f>
        <v>0</v>
      </c>
      <c r="BD2360" s="32" t="n">
        <f aca="false">SUM(P2360,R2360,T2360,V2360,X2360,Z2360,AB2360,AD2360,AF2360,AH2360,AJ2360,AL2360,AN2360,AP2360,AR2360,AT2360,AV2360,AX2360)</f>
        <v>11.11</v>
      </c>
      <c r="BE2360" s="33" t="n">
        <f aca="false">AZ2360-BD2360</f>
        <v>0</v>
      </c>
      <c r="BF2360" s="34" t="n">
        <f aca="false">BD2360*M2360</f>
        <v>133.32</v>
      </c>
      <c r="BG2360" s="35" t="n">
        <f aca="false">BA2360-BF2360</f>
        <v>-0.319999999999993</v>
      </c>
      <c r="BH2360" s="19" t="str">
        <f aca="false">IF(BG2360=0,"",IF(BG2360&lt;&gt;BA2360,"erreur de calcul",IF(BD2360&lt;&gt;0,"pas de prix",IF(M2360&lt;&gt; 0,"pas de quantité","pas de prix, ni de quantité"))))</f>
        <v>erreur de calcul</v>
      </c>
      <c r="BI2360" s="19"/>
    </row>
    <row r="2361" customFormat="false" ht="16.65" hidden="false" customHeight="false" outlineLevel="0" collapsed="false">
      <c r="A2361" s="0" t="n">
        <v>7</v>
      </c>
      <c r="B2361" s="8" t="s">
        <v>24</v>
      </c>
      <c r="C2361" s="9" t="s">
        <v>25</v>
      </c>
      <c r="D2361" s="9" t="s">
        <v>26</v>
      </c>
      <c r="E2361" s="10" t="n">
        <v>1789</v>
      </c>
      <c r="F2361" s="9" t="s">
        <v>27</v>
      </c>
      <c r="G2361" s="9" t="s">
        <v>27</v>
      </c>
      <c r="H2361" s="11" t="n">
        <v>25</v>
      </c>
      <c r="I2361" s="11" t="s">
        <v>335</v>
      </c>
      <c r="J2361" s="14" t="n">
        <v>4</v>
      </c>
      <c r="K2361" s="14" t="n">
        <v>10</v>
      </c>
      <c r="L2361" s="16"/>
      <c r="M2361" s="27" t="n">
        <f aca="false">J2361+(K2361/20)+(L2361/240)</f>
        <v>4.5</v>
      </c>
      <c r="N2361" s="17" t="s">
        <v>64</v>
      </c>
      <c r="O2361" s="11" t="s">
        <v>77</v>
      </c>
      <c r="P2361" s="28" t="n">
        <f aca="false">8366/100</f>
        <v>83.66</v>
      </c>
      <c r="Q2361" s="28" t="n">
        <v>376</v>
      </c>
      <c r="R2361" s="28"/>
      <c r="S2361" s="28" t="n">
        <f aca="false">R2361*$M2361</f>
        <v>0</v>
      </c>
      <c r="T2361" s="28"/>
      <c r="U2361" s="28" t="n">
        <f aca="false">T2361*$M2361</f>
        <v>0</v>
      </c>
      <c r="V2361" s="28"/>
      <c r="W2361" s="28" t="n">
        <f aca="false">V2361*$M2361</f>
        <v>0</v>
      </c>
      <c r="X2361" s="28"/>
      <c r="Y2361" s="28" t="n">
        <f aca="false">X2361*$M2361</f>
        <v>0</v>
      </c>
      <c r="Z2361" s="28"/>
      <c r="AA2361" s="28" t="n">
        <f aca="false">Z2361*$M2361</f>
        <v>0</v>
      </c>
      <c r="AB2361" s="28"/>
      <c r="AC2361" s="28" t="n">
        <f aca="false">AB2361*$M2361</f>
        <v>0</v>
      </c>
      <c r="AD2361" s="28"/>
      <c r="AE2361" s="28" t="n">
        <f aca="false">AD2361*$M2361</f>
        <v>0</v>
      </c>
      <c r="AF2361" s="28"/>
      <c r="AG2361" s="28" t="n">
        <f aca="false">AF2361*$M2361</f>
        <v>0</v>
      </c>
      <c r="AH2361" s="28"/>
      <c r="AI2361" s="28" t="n">
        <f aca="false">AH2361*$M2361</f>
        <v>0</v>
      </c>
      <c r="AJ2361" s="28"/>
      <c r="AK2361" s="28" t="n">
        <f aca="false">AJ2361*$M2361</f>
        <v>0</v>
      </c>
      <c r="AL2361" s="28"/>
      <c r="AM2361" s="28" t="n">
        <f aca="false">AL2361*$M2361</f>
        <v>0</v>
      </c>
      <c r="AN2361" s="28"/>
      <c r="AO2361" s="28" t="n">
        <f aca="false">AN2361*$M2361</f>
        <v>0</v>
      </c>
      <c r="AP2361" s="28"/>
      <c r="AQ2361" s="28" t="n">
        <f aca="false">AP2361*$M2361</f>
        <v>0</v>
      </c>
      <c r="AR2361" s="28"/>
      <c r="AS2361" s="28" t="n">
        <f aca="false">AR2361*$M2361</f>
        <v>0</v>
      </c>
      <c r="AT2361" s="28"/>
      <c r="AU2361" s="28" t="n">
        <f aca="false">AT2361*$M2361</f>
        <v>0</v>
      </c>
      <c r="AV2361" s="28"/>
      <c r="AW2361" s="28" t="n">
        <f aca="false">AV2361*$M2361</f>
        <v>0</v>
      </c>
      <c r="AX2361" s="28"/>
      <c r="AY2361" s="28" t="n">
        <f aca="false">AX2361*$M2361</f>
        <v>0</v>
      </c>
      <c r="AZ2361" s="30" t="n">
        <f aca="false">8366/100</f>
        <v>83.66</v>
      </c>
      <c r="BA2361" s="11" t="n">
        <v>376</v>
      </c>
      <c r="BB2361" s="31" t="n">
        <f aca="false">SUM(Q2361,S2361,U2361,W2361,Y2361,AA2361,AC2361,AE2361,AG2361,AI2361,AK2361,AM2361,AO2361,AQ2361,AS2361,AU2361,AW2361,AY2361)</f>
        <v>376</v>
      </c>
      <c r="BC2361" s="28" t="n">
        <f aca="false">BA2361-BB2361</f>
        <v>0</v>
      </c>
      <c r="BD2361" s="32" t="n">
        <f aca="false">SUM(P2361,R2361,T2361,V2361,X2361,Z2361,AB2361,AD2361,AF2361,AH2361,AJ2361,AL2361,AN2361,AP2361,AR2361,AT2361,AV2361,AX2361)</f>
        <v>83.66</v>
      </c>
      <c r="BE2361" s="33" t="n">
        <f aca="false">AZ2361-BD2361</f>
        <v>0</v>
      </c>
      <c r="BF2361" s="34" t="n">
        <f aca="false">BD2361*M2361</f>
        <v>376.47</v>
      </c>
      <c r="BG2361" s="35" t="n">
        <f aca="false">BA2361-BF2361</f>
        <v>-0.46999999999997</v>
      </c>
      <c r="BH2361" s="19" t="str">
        <f aca="false">IF(BG2361=0,"",IF(BG2361&lt;&gt;BA2361,"erreur de calcul",IF(BD2361&lt;&gt;0,"pas de prix",IF(M2361&lt;&gt; 0,"pas de quantité","pas de prix, ni de quantité"))))</f>
        <v>erreur de calcul</v>
      </c>
      <c r="BI2361" s="19"/>
    </row>
    <row r="2362" customFormat="false" ht="15" hidden="false" customHeight="false" outlineLevel="0" collapsed="false">
      <c r="A2362" s="0" t="n">
        <v>8</v>
      </c>
      <c r="B2362" s="8" t="s">
        <v>24</v>
      </c>
      <c r="C2362" s="9" t="s">
        <v>25</v>
      </c>
      <c r="D2362" s="9" t="s">
        <v>26</v>
      </c>
      <c r="E2362" s="10" t="n">
        <v>1789</v>
      </c>
      <c r="F2362" s="9" t="s">
        <v>27</v>
      </c>
      <c r="G2362" s="9" t="s">
        <v>27</v>
      </c>
      <c r="H2362" s="11" t="n">
        <v>25</v>
      </c>
      <c r="I2362" s="11" t="s">
        <v>336</v>
      </c>
      <c r="J2362" s="14" t="n">
        <v>64</v>
      </c>
      <c r="K2362" s="14"/>
      <c r="L2362" s="16"/>
      <c r="M2362" s="27" t="n">
        <f aca="false">J2362+(K2362/20)+(L2362/240)</f>
        <v>64</v>
      </c>
      <c r="N2362" s="17" t="s">
        <v>337</v>
      </c>
      <c r="O2362" s="11"/>
      <c r="P2362" s="28"/>
      <c r="Q2362" s="28" t="n">
        <f aca="false">P2362*$M2362</f>
        <v>0</v>
      </c>
      <c r="R2362" s="28"/>
      <c r="S2362" s="28" t="n">
        <f aca="false">R2362*$M2362</f>
        <v>0</v>
      </c>
      <c r="T2362" s="28" t="n">
        <v>42</v>
      </c>
      <c r="U2362" s="28" t="n">
        <v>2688</v>
      </c>
      <c r="V2362" s="28"/>
      <c r="W2362" s="28" t="n">
        <f aca="false">V2362*$M2362</f>
        <v>0</v>
      </c>
      <c r="X2362" s="28"/>
      <c r="Y2362" s="28" t="n">
        <f aca="false">X2362*$M2362</f>
        <v>0</v>
      </c>
      <c r="Z2362" s="28"/>
      <c r="AA2362" s="28" t="n">
        <f aca="false">Z2362*$M2362</f>
        <v>0</v>
      </c>
      <c r="AB2362" s="28" t="n">
        <v>66</v>
      </c>
      <c r="AC2362" s="28" t="n">
        <v>4224</v>
      </c>
      <c r="AD2362" s="28"/>
      <c r="AE2362" s="28" t="n">
        <f aca="false">AD2362*$M2362</f>
        <v>0</v>
      </c>
      <c r="AF2362" s="28"/>
      <c r="AG2362" s="28" t="n">
        <f aca="false">AF2362*$M2362</f>
        <v>0</v>
      </c>
      <c r="AH2362" s="28"/>
      <c r="AI2362" s="28" t="n">
        <f aca="false">AH2362*$M2362</f>
        <v>0</v>
      </c>
      <c r="AJ2362" s="28"/>
      <c r="AK2362" s="28" t="n">
        <f aca="false">AJ2362*$M2362</f>
        <v>0</v>
      </c>
      <c r="AL2362" s="28"/>
      <c r="AM2362" s="28" t="n">
        <f aca="false">AL2362*$M2362</f>
        <v>0</v>
      </c>
      <c r="AN2362" s="28"/>
      <c r="AO2362" s="28" t="n">
        <f aca="false">AN2362*$M2362</f>
        <v>0</v>
      </c>
      <c r="AP2362" s="28"/>
      <c r="AQ2362" s="28" t="n">
        <f aca="false">AP2362*$M2362</f>
        <v>0</v>
      </c>
      <c r="AR2362" s="28"/>
      <c r="AS2362" s="28" t="n">
        <f aca="false">AR2362*$M2362</f>
        <v>0</v>
      </c>
      <c r="AT2362" s="28"/>
      <c r="AU2362" s="28" t="n">
        <f aca="false">AT2362*$M2362</f>
        <v>0</v>
      </c>
      <c r="AV2362" s="28"/>
      <c r="AW2362" s="28" t="n">
        <f aca="false">AV2362*$M2362</f>
        <v>0</v>
      </c>
      <c r="AX2362" s="28"/>
      <c r="AY2362" s="28" t="n">
        <f aca="false">AX2362*$M2362</f>
        <v>0</v>
      </c>
      <c r="AZ2362" s="30" t="n">
        <v>108</v>
      </c>
      <c r="BA2362" s="11" t="n">
        <v>6912</v>
      </c>
      <c r="BB2362" s="31" t="n">
        <f aca="false">SUM(Q2362,S2362,U2362,W2362,Y2362,AA2362,AC2362,AE2362,AG2362,AI2362,AK2362,AM2362,AO2362,AQ2362,AS2362,AU2362,AW2362,AY2362)</f>
        <v>6912</v>
      </c>
      <c r="BC2362" s="28" t="n">
        <f aca="false">BA2362-BB2362</f>
        <v>0</v>
      </c>
      <c r="BD2362" s="32" t="n">
        <f aca="false">SUM(P2362,R2362,T2362,V2362,X2362,Z2362,AB2362,AD2362,AF2362,AH2362,AJ2362,AL2362,AN2362,AP2362,AR2362,AT2362,AV2362,AX2362)</f>
        <v>108</v>
      </c>
      <c r="BE2362" s="33" t="n">
        <f aca="false">AZ2362-BD2362</f>
        <v>0</v>
      </c>
      <c r="BF2362" s="34" t="n">
        <f aca="false">BD2362*M2362</f>
        <v>6912</v>
      </c>
      <c r="BG2362" s="35" t="n">
        <f aca="false">BA2362-BF2362</f>
        <v>0</v>
      </c>
      <c r="BH2362" s="19" t="str">
        <f aca="false">IF(BG2362=0,"",IF(BG2362&lt;&gt;BA2362,"erreur de calcul",IF(BD2362&lt;&gt;0,"pas de prix",IF(M2362&lt;&gt; 0,"pas de quantité","pas de prix, ni de quantité"))))</f>
        <v/>
      </c>
      <c r="BI2362" s="19"/>
    </row>
    <row r="2363" customFormat="false" ht="15" hidden="false" customHeight="false" outlineLevel="0" collapsed="false">
      <c r="A2363" s="0" t="n">
        <v>9</v>
      </c>
      <c r="B2363" s="8" t="s">
        <v>24</v>
      </c>
      <c r="C2363" s="9" t="s">
        <v>25</v>
      </c>
      <c r="D2363" s="9" t="s">
        <v>26</v>
      </c>
      <c r="E2363" s="10" t="n">
        <v>1789</v>
      </c>
      <c r="F2363" s="9" t="s">
        <v>27</v>
      </c>
      <c r="G2363" s="9" t="s">
        <v>27</v>
      </c>
      <c r="H2363" s="11" t="n">
        <v>25</v>
      </c>
      <c r="I2363" s="11" t="s">
        <v>338</v>
      </c>
      <c r="J2363" s="14"/>
      <c r="K2363" s="14"/>
      <c r="L2363" s="16"/>
      <c r="M2363" s="27" t="n">
        <f aca="false">J2363+(K2363/20)+(L2363/240)</f>
        <v>0</v>
      </c>
      <c r="N2363" s="17"/>
      <c r="O2363" s="11"/>
      <c r="P2363" s="28"/>
      <c r="Q2363" s="28" t="n">
        <f aca="false">P2363*$M2363</f>
        <v>0</v>
      </c>
      <c r="R2363" s="28"/>
      <c r="S2363" s="28" t="n">
        <f aca="false">R2363*$M2363</f>
        <v>0</v>
      </c>
      <c r="T2363" s="28"/>
      <c r="U2363" s="28" t="n">
        <v>135</v>
      </c>
      <c r="V2363" s="28"/>
      <c r="W2363" s="28" t="n">
        <v>642</v>
      </c>
      <c r="X2363" s="28"/>
      <c r="Y2363" s="28" t="n">
        <f aca="false">X2363*$M2363</f>
        <v>0</v>
      </c>
      <c r="Z2363" s="28"/>
      <c r="AA2363" s="28" t="n">
        <f aca="false">Z2363*$M2363</f>
        <v>0</v>
      </c>
      <c r="AB2363" s="28"/>
      <c r="AC2363" s="28" t="n">
        <f aca="false">AB2363*$M2363</f>
        <v>0</v>
      </c>
      <c r="AD2363" s="28"/>
      <c r="AE2363" s="28" t="n">
        <f aca="false">AD2363*$M2363</f>
        <v>0</v>
      </c>
      <c r="AF2363" s="28"/>
      <c r="AG2363" s="28" t="n">
        <f aca="false">AF2363*$M2363</f>
        <v>0</v>
      </c>
      <c r="AH2363" s="28"/>
      <c r="AI2363" s="28" t="n">
        <f aca="false">AH2363*$M2363</f>
        <v>0</v>
      </c>
      <c r="AJ2363" s="28"/>
      <c r="AK2363" s="28" t="n">
        <v>375</v>
      </c>
      <c r="AL2363" s="28"/>
      <c r="AM2363" s="28" t="n">
        <f aca="false">AL2363*$M2363</f>
        <v>0</v>
      </c>
      <c r="AN2363" s="28"/>
      <c r="AO2363" s="28" t="n">
        <f aca="false">AN2363*$M2363</f>
        <v>0</v>
      </c>
      <c r="AP2363" s="28"/>
      <c r="AQ2363" s="28" t="n">
        <f aca="false">AP2363*$M2363</f>
        <v>0</v>
      </c>
      <c r="AR2363" s="28"/>
      <c r="AS2363" s="28" t="n">
        <f aca="false">AR2363*$M2363</f>
        <v>0</v>
      </c>
      <c r="AT2363" s="28"/>
      <c r="AU2363" s="28" t="n">
        <f aca="false">AT2363*$M2363</f>
        <v>0</v>
      </c>
      <c r="AV2363" s="28"/>
      <c r="AW2363" s="28" t="n">
        <v>765</v>
      </c>
      <c r="AX2363" s="28"/>
      <c r="AY2363" s="28" t="n">
        <f aca="false">AX2363*$M2363</f>
        <v>0</v>
      </c>
      <c r="AZ2363" s="30"/>
      <c r="BA2363" s="11" t="n">
        <v>1917</v>
      </c>
      <c r="BB2363" s="31" t="n">
        <f aca="false">SUM(Q2363,S2363,U2363,W2363,Y2363,AA2363,AC2363,AE2363,AG2363,AI2363,AK2363,AM2363,AO2363,AQ2363,AS2363,AU2363,AW2363,AY2363)</f>
        <v>1917</v>
      </c>
      <c r="BC2363" s="28" t="n">
        <f aca="false">BA2363-BB2363</f>
        <v>0</v>
      </c>
      <c r="BD2363" s="32" t="n">
        <f aca="false">SUM(P2363,R2363,T2363,V2363,X2363,Z2363,AB2363,AD2363,AF2363,AH2363,AJ2363,AL2363,AN2363,AP2363,AR2363,AT2363,AV2363,AX2363)</f>
        <v>0</v>
      </c>
      <c r="BE2363" s="33" t="n">
        <f aca="false">AZ2363-BD2363</f>
        <v>0</v>
      </c>
      <c r="BF2363" s="34" t="n">
        <f aca="false">BD2363*M2363</f>
        <v>0</v>
      </c>
      <c r="BG2363" s="35" t="n">
        <f aca="false">BA2363-BF2363</f>
        <v>1917</v>
      </c>
      <c r="BH2363" s="19" t="str">
        <f aca="false">IF(BG2363=0,"",IF(BG2363&lt;&gt;BA2363,"erreur de calcul",IF(BD2363&lt;&gt;0,"pas de prix",IF(M2363&lt;&gt; 0,"pas de quantité","pas de prix, ni de quantité"))))</f>
        <v>pas de prix, ni de quantité</v>
      </c>
      <c r="BI2363" s="19"/>
    </row>
    <row r="2364" customFormat="false" ht="15" hidden="false" customHeight="false" outlineLevel="0" collapsed="false">
      <c r="A2364" s="0" t="n">
        <v>10</v>
      </c>
      <c r="B2364" s="8" t="s">
        <v>24</v>
      </c>
      <c r="C2364" s="9" t="s">
        <v>25</v>
      </c>
      <c r="D2364" s="9" t="s">
        <v>26</v>
      </c>
      <c r="E2364" s="10" t="n">
        <v>1789</v>
      </c>
      <c r="F2364" s="9" t="s">
        <v>27</v>
      </c>
      <c r="G2364" s="9" t="s">
        <v>27</v>
      </c>
      <c r="H2364" s="11" t="n">
        <v>25</v>
      </c>
      <c r="I2364" s="11" t="s">
        <v>339</v>
      </c>
      <c r="J2364" s="14" t="n">
        <v>7</v>
      </c>
      <c r="K2364" s="14"/>
      <c r="L2364" s="16"/>
      <c r="M2364" s="27" t="n">
        <f aca="false">J2364+(K2364/20)+(L2364/240)</f>
        <v>7</v>
      </c>
      <c r="N2364" s="17" t="s">
        <v>69</v>
      </c>
      <c r="O2364" s="11"/>
      <c r="P2364" s="28"/>
      <c r="Q2364" s="28" t="n">
        <f aca="false">P2364*$M2364</f>
        <v>0</v>
      </c>
      <c r="R2364" s="28"/>
      <c r="S2364" s="28" t="n">
        <f aca="false">R2364*$M2364</f>
        <v>0</v>
      </c>
      <c r="T2364" s="28"/>
      <c r="U2364" s="28" t="n">
        <f aca="false">T2364*$M2364</f>
        <v>0</v>
      </c>
      <c r="V2364" s="28" t="n">
        <v>554</v>
      </c>
      <c r="W2364" s="28" t="n">
        <v>3878</v>
      </c>
      <c r="X2364" s="28"/>
      <c r="Y2364" s="28" t="n">
        <f aca="false">X2364*$M2364</f>
        <v>0</v>
      </c>
      <c r="Z2364" s="28"/>
      <c r="AA2364" s="28" t="n">
        <f aca="false">Z2364*$M2364</f>
        <v>0</v>
      </c>
      <c r="AB2364" s="28"/>
      <c r="AC2364" s="28" t="n">
        <f aca="false">AB2364*$M2364</f>
        <v>0</v>
      </c>
      <c r="AD2364" s="28"/>
      <c r="AE2364" s="28" t="n">
        <f aca="false">AD2364*$M2364</f>
        <v>0</v>
      </c>
      <c r="AF2364" s="28"/>
      <c r="AG2364" s="28" t="n">
        <f aca="false">AF2364*$M2364</f>
        <v>0</v>
      </c>
      <c r="AH2364" s="28"/>
      <c r="AI2364" s="28" t="n">
        <f aca="false">AH2364*$M2364</f>
        <v>0</v>
      </c>
      <c r="AJ2364" s="28"/>
      <c r="AK2364" s="28" t="n">
        <f aca="false">AJ2364*$M2364</f>
        <v>0</v>
      </c>
      <c r="AL2364" s="28"/>
      <c r="AM2364" s="28" t="n">
        <f aca="false">AL2364*$M2364</f>
        <v>0</v>
      </c>
      <c r="AN2364" s="28"/>
      <c r="AO2364" s="28" t="n">
        <f aca="false">AN2364*$M2364</f>
        <v>0</v>
      </c>
      <c r="AP2364" s="28"/>
      <c r="AQ2364" s="28" t="n">
        <f aca="false">AP2364*$M2364</f>
        <v>0</v>
      </c>
      <c r="AR2364" s="28"/>
      <c r="AS2364" s="28" t="n">
        <f aca="false">AR2364*$M2364</f>
        <v>0</v>
      </c>
      <c r="AT2364" s="28"/>
      <c r="AU2364" s="28" t="n">
        <f aca="false">AT2364*$M2364</f>
        <v>0</v>
      </c>
      <c r="AV2364" s="28"/>
      <c r="AW2364" s="28" t="n">
        <f aca="false">AV2364*$M2364</f>
        <v>0</v>
      </c>
      <c r="AX2364" s="28"/>
      <c r="AY2364" s="28" t="n">
        <f aca="false">AX2364*$M2364</f>
        <v>0</v>
      </c>
      <c r="AZ2364" s="30" t="n">
        <v>554</v>
      </c>
      <c r="BA2364" s="11" t="n">
        <v>3878</v>
      </c>
      <c r="BB2364" s="31" t="n">
        <f aca="false">SUM(Q2364,S2364,U2364,W2364,Y2364,AA2364,AC2364,AE2364,AG2364,AI2364,AK2364,AM2364,AO2364,AQ2364,AS2364,AU2364,AW2364,AY2364)</f>
        <v>3878</v>
      </c>
      <c r="BC2364" s="28" t="n">
        <f aca="false">BA2364-BB2364</f>
        <v>0</v>
      </c>
      <c r="BD2364" s="32" t="n">
        <f aca="false">SUM(P2364,R2364,T2364,V2364,X2364,Z2364,AB2364,AD2364,AF2364,AH2364,AJ2364,AL2364,AN2364,AP2364,AR2364,AT2364,AV2364,AX2364)</f>
        <v>554</v>
      </c>
      <c r="BE2364" s="33" t="n">
        <f aca="false">AZ2364-BD2364</f>
        <v>0</v>
      </c>
      <c r="BF2364" s="34" t="n">
        <f aca="false">BD2364*M2364</f>
        <v>3878</v>
      </c>
      <c r="BG2364" s="35" t="n">
        <f aca="false">BA2364-BF2364</f>
        <v>0</v>
      </c>
      <c r="BH2364" s="19" t="str">
        <f aca="false">IF(BG2364=0,"",IF(BG2364&lt;&gt;BA2364,"erreur de calcul",IF(BD2364&lt;&gt;0,"pas de prix",IF(M2364&lt;&gt; 0,"pas de quantité","pas de prix, ni de quantité"))))</f>
        <v/>
      </c>
      <c r="BI2364" s="19"/>
    </row>
    <row r="2365" customFormat="false" ht="15" hidden="false" customHeight="false" outlineLevel="0" collapsed="false">
      <c r="A2365" s="0" t="n">
        <v>11</v>
      </c>
      <c r="B2365" s="8" t="s">
        <v>24</v>
      </c>
      <c r="C2365" s="9" t="s">
        <v>25</v>
      </c>
      <c r="D2365" s="9" t="s">
        <v>26</v>
      </c>
      <c r="E2365" s="10" t="n">
        <v>1789</v>
      </c>
      <c r="F2365" s="9" t="s">
        <v>27</v>
      </c>
      <c r="G2365" s="9" t="s">
        <v>27</v>
      </c>
      <c r="H2365" s="11" t="n">
        <v>25</v>
      </c>
      <c r="I2365" s="11" t="s">
        <v>340</v>
      </c>
      <c r="J2365" s="14" t="n">
        <v>15</v>
      </c>
      <c r="K2365" s="14"/>
      <c r="L2365" s="16"/>
      <c r="M2365" s="27" t="n">
        <f aca="false">J2365+(K2365/20)+(L2365/240)</f>
        <v>15</v>
      </c>
      <c r="N2365" s="17" t="s">
        <v>64</v>
      </c>
      <c r="O2365" s="11"/>
      <c r="P2365" s="28" t="n">
        <f aca="false">470959/100</f>
        <v>4709.59</v>
      </c>
      <c r="Q2365" s="28" t="n">
        <v>70644</v>
      </c>
      <c r="R2365" s="28"/>
      <c r="S2365" s="28" t="n">
        <f aca="false">R2365*$M2365</f>
        <v>0</v>
      </c>
      <c r="T2365" s="28"/>
      <c r="U2365" s="28" t="n">
        <f aca="false">T2365*$M2365</f>
        <v>0</v>
      </c>
      <c r="V2365" s="28"/>
      <c r="W2365" s="28" t="n">
        <f aca="false">V2365*$M2365</f>
        <v>0</v>
      </c>
      <c r="X2365" s="28"/>
      <c r="Y2365" s="28" t="n">
        <f aca="false">X2365*$M2365</f>
        <v>0</v>
      </c>
      <c r="Z2365" s="28"/>
      <c r="AA2365" s="28" t="n">
        <f aca="false">Z2365*$M2365</f>
        <v>0</v>
      </c>
      <c r="AB2365" s="28" t="n">
        <f aca="false">50000/100</f>
        <v>500</v>
      </c>
      <c r="AC2365" s="28" t="n">
        <v>7500</v>
      </c>
      <c r="AD2365" s="28"/>
      <c r="AE2365" s="28" t="n">
        <f aca="false">AD2365*$M2365</f>
        <v>0</v>
      </c>
      <c r="AF2365" s="28" t="n">
        <f aca="false">15584/100</f>
        <v>155.84</v>
      </c>
      <c r="AG2365" s="28" t="n">
        <v>2338</v>
      </c>
      <c r="AH2365" s="28"/>
      <c r="AI2365" s="28" t="n">
        <f aca="false">AH2365*$M2365</f>
        <v>0</v>
      </c>
      <c r="AJ2365" s="28"/>
      <c r="AK2365" s="28" t="n">
        <f aca="false">AJ2365*$M2365</f>
        <v>0</v>
      </c>
      <c r="AL2365" s="28"/>
      <c r="AM2365" s="28" t="n">
        <f aca="false">AL2365*$M2365</f>
        <v>0</v>
      </c>
      <c r="AN2365" s="28"/>
      <c r="AO2365" s="28" t="n">
        <f aca="false">AN2365*$M2365</f>
        <v>0</v>
      </c>
      <c r="AP2365" s="28"/>
      <c r="AQ2365" s="28" t="n">
        <f aca="false">AP2365*$M2365</f>
        <v>0</v>
      </c>
      <c r="AR2365" s="28"/>
      <c r="AS2365" s="28" t="n">
        <f aca="false">AR2365*$M2365</f>
        <v>0</v>
      </c>
      <c r="AT2365" s="28"/>
      <c r="AU2365" s="28" t="n">
        <f aca="false">AT2365*$M2365</f>
        <v>0</v>
      </c>
      <c r="AV2365" s="28"/>
      <c r="AW2365" s="28" t="n">
        <f aca="false">AV2365*$M2365</f>
        <v>0</v>
      </c>
      <c r="AX2365" s="28"/>
      <c r="AY2365" s="28" t="n">
        <f aca="false">AX2365*$M2365</f>
        <v>0</v>
      </c>
      <c r="AZ2365" s="30" t="n">
        <f aca="false">535959/100</f>
        <v>5359.59</v>
      </c>
      <c r="BA2365" s="11" t="n">
        <v>80482</v>
      </c>
      <c r="BB2365" s="31" t="n">
        <f aca="false">SUM(Q2365,S2365,U2365,W2365,Y2365,AA2365,AC2365,AE2365,AG2365,AI2365,AK2365,AM2365,AO2365,AQ2365,AS2365,AU2365,AW2365,AY2365)</f>
        <v>80482</v>
      </c>
      <c r="BC2365" s="28" t="n">
        <f aca="false">BA2365-BB2365</f>
        <v>0</v>
      </c>
      <c r="BD2365" s="32" t="n">
        <f aca="false">SUM(P2365,R2365,T2365,V2365,X2365,Z2365,AB2365,AD2365,AF2365,AH2365,AJ2365,AL2365,AN2365,AP2365,AR2365,AT2365,AV2365,AX2365)</f>
        <v>5365.43</v>
      </c>
      <c r="BE2365" s="33" t="n">
        <f aca="false">AZ2365-BD2365</f>
        <v>-5.84000000000015</v>
      </c>
      <c r="BF2365" s="34" t="n">
        <f aca="false">BD2365*M2365</f>
        <v>80481.45</v>
      </c>
      <c r="BG2365" s="35" t="n">
        <f aca="false">BA2365-BF2365</f>
        <v>0.549999999988359</v>
      </c>
      <c r="BH2365" s="19" t="str">
        <f aca="false">IF(BG2365=0,"",IF(BG2365&lt;&gt;BA2365,"erreur de calcul",IF(BD2365&lt;&gt;0,"pas de prix",IF(M2365&lt;&gt; 0,"pas de quantité","pas de prix, ni de quantité"))))</f>
        <v>erreur de calcul</v>
      </c>
      <c r="BI2365" s="19"/>
    </row>
    <row r="2366" customFormat="false" ht="15" hidden="false" customHeight="false" outlineLevel="0" collapsed="false">
      <c r="A2366" s="0" t="n">
        <v>12</v>
      </c>
      <c r="B2366" s="8" t="s">
        <v>24</v>
      </c>
      <c r="C2366" s="9" t="s">
        <v>25</v>
      </c>
      <c r="D2366" s="9" t="s">
        <v>26</v>
      </c>
      <c r="E2366" s="10" t="n">
        <v>1789</v>
      </c>
      <c r="F2366" s="9" t="s">
        <v>27</v>
      </c>
      <c r="G2366" s="9" t="s">
        <v>27</v>
      </c>
      <c r="H2366" s="11" t="n">
        <v>25</v>
      </c>
      <c r="I2366" s="11" t="s">
        <v>341</v>
      </c>
      <c r="J2366" s="14" t="n">
        <v>75</v>
      </c>
      <c r="K2366" s="14"/>
      <c r="L2366" s="16"/>
      <c r="M2366" s="27" t="n">
        <f aca="false">J2366+(K2366/20)+(L2366/240)</f>
        <v>75</v>
      </c>
      <c r="N2366" s="17" t="s">
        <v>85</v>
      </c>
      <c r="O2366" s="11"/>
      <c r="P2366" s="28"/>
      <c r="Q2366" s="28" t="n">
        <f aca="false">P2366*$M2366</f>
        <v>0</v>
      </c>
      <c r="R2366" s="28"/>
      <c r="S2366" s="28" t="n">
        <f aca="false">R2366*$M2366</f>
        <v>0</v>
      </c>
      <c r="T2366" s="28"/>
      <c r="U2366" s="28" t="n">
        <f aca="false">T2366*$M2366</f>
        <v>0</v>
      </c>
      <c r="V2366" s="28"/>
      <c r="W2366" s="28" t="n">
        <f aca="false">V2366*$M2366</f>
        <v>0</v>
      </c>
      <c r="X2366" s="28"/>
      <c r="Y2366" s="28" t="n">
        <f aca="false">X2366*$M2366</f>
        <v>0</v>
      </c>
      <c r="Z2366" s="28"/>
      <c r="AA2366" s="28" t="n">
        <f aca="false">Z2366*$M2366</f>
        <v>0</v>
      </c>
      <c r="AB2366" s="28"/>
      <c r="AC2366" s="28" t="n">
        <f aca="false">AB2366*$M2366</f>
        <v>0</v>
      </c>
      <c r="AD2366" s="28"/>
      <c r="AE2366" s="28" t="n">
        <f aca="false">AD2366*$M2366</f>
        <v>0</v>
      </c>
      <c r="AF2366" s="28"/>
      <c r="AG2366" s="28" t="n">
        <f aca="false">AF2366*$M2366</f>
        <v>0</v>
      </c>
      <c r="AH2366" s="28"/>
      <c r="AI2366" s="28" t="n">
        <f aca="false">AH2366*$M2366</f>
        <v>0</v>
      </c>
      <c r="AJ2366" s="28"/>
      <c r="AK2366" s="28" t="n">
        <f aca="false">AJ2366*$M2366</f>
        <v>0</v>
      </c>
      <c r="AL2366" s="28" t="n">
        <f aca="false">2584/100</f>
        <v>25.84</v>
      </c>
      <c r="AM2366" s="28" t="n">
        <v>1938</v>
      </c>
      <c r="AN2366" s="28"/>
      <c r="AO2366" s="28" t="n">
        <f aca="false">AN2366*$M2366</f>
        <v>0</v>
      </c>
      <c r="AP2366" s="28"/>
      <c r="AQ2366" s="28" t="n">
        <f aca="false">AP2366*$M2366</f>
        <v>0</v>
      </c>
      <c r="AR2366" s="28"/>
      <c r="AS2366" s="28" t="n">
        <f aca="false">AR2366*$M2366</f>
        <v>0</v>
      </c>
      <c r="AT2366" s="28"/>
      <c r="AU2366" s="28" t="n">
        <f aca="false">AT2366*$M2366</f>
        <v>0</v>
      </c>
      <c r="AV2366" s="28"/>
      <c r="AW2366" s="28" t="n">
        <f aca="false">AV2366*$M2366</f>
        <v>0</v>
      </c>
      <c r="AX2366" s="28"/>
      <c r="AY2366" s="28" t="n">
        <f aca="false">AX2366*$M2366</f>
        <v>0</v>
      </c>
      <c r="AZ2366" s="30" t="n">
        <f aca="false">2584/100</f>
        <v>25.84</v>
      </c>
      <c r="BA2366" s="11" t="n">
        <v>1938</v>
      </c>
      <c r="BB2366" s="31" t="n">
        <f aca="false">SUM(Q2366,S2366,U2366,W2366,Y2366,AA2366,AC2366,AE2366,AG2366,AI2366,AK2366,AM2366,AO2366,AQ2366,AS2366,AU2366,AW2366,AY2366)</f>
        <v>1938</v>
      </c>
      <c r="BC2366" s="28" t="n">
        <f aca="false">BA2366-BB2366</f>
        <v>0</v>
      </c>
      <c r="BD2366" s="32" t="n">
        <f aca="false">SUM(P2366,R2366,T2366,V2366,X2366,Z2366,AB2366,AD2366,AF2366,AH2366,AJ2366,AL2366,AN2366,AP2366,AR2366,AT2366,AV2366,AX2366)</f>
        <v>25.84</v>
      </c>
      <c r="BE2366" s="33" t="n">
        <f aca="false">AZ2366-BD2366</f>
        <v>0</v>
      </c>
      <c r="BF2366" s="34" t="n">
        <f aca="false">BD2366*M2366</f>
        <v>1938</v>
      </c>
      <c r="BG2366" s="35" t="n">
        <f aca="false">BA2366-BF2366</f>
        <v>0</v>
      </c>
      <c r="BH2366" s="19" t="str">
        <f aca="false">IF(BG2366=0,"",IF(BG2366&lt;&gt;BA2366,"erreur de calcul",IF(BD2366&lt;&gt;0,"pas de prix",IF(M2366&lt;&gt; 0,"pas de quantité","pas de prix, ni de quantité"))))</f>
        <v/>
      </c>
      <c r="BI2366" s="19"/>
    </row>
    <row r="2367" customFormat="false" ht="15" hidden="false" customHeight="false" outlineLevel="0" collapsed="false">
      <c r="A2367" s="0" t="n">
        <v>13</v>
      </c>
      <c r="B2367" s="8" t="s">
        <v>24</v>
      </c>
      <c r="C2367" s="9" t="s">
        <v>25</v>
      </c>
      <c r="D2367" s="9" t="s">
        <v>26</v>
      </c>
      <c r="E2367" s="10" t="n">
        <v>1789</v>
      </c>
      <c r="F2367" s="9" t="s">
        <v>27</v>
      </c>
      <c r="G2367" s="9" t="s">
        <v>27</v>
      </c>
      <c r="H2367" s="11" t="n">
        <v>25</v>
      </c>
      <c r="I2367" s="11" t="s">
        <v>342</v>
      </c>
      <c r="J2367" s="14" t="n">
        <v>10</v>
      </c>
      <c r="K2367" s="14"/>
      <c r="L2367" s="16"/>
      <c r="M2367" s="27" t="n">
        <f aca="false">J2367+(K2367/20)+(L2367/240)</f>
        <v>10</v>
      </c>
      <c r="N2367" s="17" t="s">
        <v>66</v>
      </c>
      <c r="O2367" s="11"/>
      <c r="P2367" s="28"/>
      <c r="Q2367" s="28" t="n">
        <f aca="false">P2367*$M2367</f>
        <v>0</v>
      </c>
      <c r="R2367" s="28" t="n">
        <v>827</v>
      </c>
      <c r="S2367" s="28" t="n">
        <v>8270</v>
      </c>
      <c r="T2367" s="28"/>
      <c r="U2367" s="28" t="n">
        <f aca="false">T2367*$M2367</f>
        <v>0</v>
      </c>
      <c r="V2367" s="28"/>
      <c r="W2367" s="28" t="n">
        <f aca="false">V2367*$M2367</f>
        <v>0</v>
      </c>
      <c r="X2367" s="28"/>
      <c r="Y2367" s="28" t="n">
        <f aca="false">X2367*$M2367</f>
        <v>0</v>
      </c>
      <c r="Z2367" s="28"/>
      <c r="AA2367" s="28" t="n">
        <f aca="false">Z2367*$M2367</f>
        <v>0</v>
      </c>
      <c r="AB2367" s="28"/>
      <c r="AC2367" s="28" t="n">
        <f aca="false">AB2367*$M2367</f>
        <v>0</v>
      </c>
      <c r="AD2367" s="28"/>
      <c r="AE2367" s="28" t="n">
        <f aca="false">AD2367*$M2367</f>
        <v>0</v>
      </c>
      <c r="AF2367" s="28"/>
      <c r="AG2367" s="28" t="n">
        <f aca="false">AF2367*$M2367</f>
        <v>0</v>
      </c>
      <c r="AH2367" s="28"/>
      <c r="AI2367" s="28" t="n">
        <f aca="false">AH2367*$M2367</f>
        <v>0</v>
      </c>
      <c r="AJ2367" s="28"/>
      <c r="AK2367" s="28" t="n">
        <f aca="false">AJ2367*$M2367</f>
        <v>0</v>
      </c>
      <c r="AL2367" s="28"/>
      <c r="AM2367" s="28" t="n">
        <f aca="false">AL2367*$M2367</f>
        <v>0</v>
      </c>
      <c r="AN2367" s="28"/>
      <c r="AO2367" s="28" t="n">
        <f aca="false">AN2367*$M2367</f>
        <v>0</v>
      </c>
      <c r="AP2367" s="28"/>
      <c r="AQ2367" s="28" t="n">
        <f aca="false">AP2367*$M2367</f>
        <v>0</v>
      </c>
      <c r="AR2367" s="28"/>
      <c r="AS2367" s="28" t="n">
        <f aca="false">AR2367*$M2367</f>
        <v>0</v>
      </c>
      <c r="AT2367" s="28"/>
      <c r="AU2367" s="28" t="n">
        <f aca="false">AT2367*$M2367</f>
        <v>0</v>
      </c>
      <c r="AV2367" s="28"/>
      <c r="AW2367" s="28" t="n">
        <f aca="false">AV2367*$M2367</f>
        <v>0</v>
      </c>
      <c r="AX2367" s="28"/>
      <c r="AY2367" s="28" t="n">
        <f aca="false">AX2367*$M2367</f>
        <v>0</v>
      </c>
      <c r="AZ2367" s="30" t="n">
        <v>827</v>
      </c>
      <c r="BA2367" s="11" t="n">
        <v>8270</v>
      </c>
      <c r="BB2367" s="31" t="n">
        <f aca="false">SUM(Q2367,S2367,U2367,W2367,Y2367,AA2367,AC2367,AE2367,AG2367,AI2367,AK2367,AM2367,AO2367,AQ2367,AS2367,AU2367,AW2367,AY2367)</f>
        <v>8270</v>
      </c>
      <c r="BC2367" s="28" t="n">
        <f aca="false">BA2367-BB2367</f>
        <v>0</v>
      </c>
      <c r="BD2367" s="32" t="n">
        <f aca="false">SUM(P2367,R2367,T2367,V2367,X2367,Z2367,AB2367,AD2367,AF2367,AH2367,AJ2367,AL2367,AN2367,AP2367,AR2367,AT2367,AV2367,AX2367)</f>
        <v>827</v>
      </c>
      <c r="BE2367" s="33" t="n">
        <f aca="false">AZ2367-BD2367</f>
        <v>0</v>
      </c>
      <c r="BF2367" s="34" t="n">
        <f aca="false">BD2367*M2367</f>
        <v>8270</v>
      </c>
      <c r="BG2367" s="35" t="n">
        <f aca="false">BA2367-BF2367</f>
        <v>0</v>
      </c>
      <c r="BH2367" s="19" t="str">
        <f aca="false">IF(BG2367=0,"",IF(BG2367&lt;&gt;BA2367,"erreur de calcul",IF(BD2367&lt;&gt;0,"pas de prix",IF(M2367&lt;&gt; 0,"pas de quantité","pas de prix, ni de quantité"))))</f>
        <v/>
      </c>
      <c r="BI2367" s="19"/>
    </row>
    <row r="2368" customFormat="false" ht="15" hidden="false" customHeight="false" outlineLevel="0" collapsed="false">
      <c r="A2368" s="0" t="n">
        <v>14</v>
      </c>
      <c r="B2368" s="8" t="s">
        <v>24</v>
      </c>
      <c r="C2368" s="9" t="s">
        <v>25</v>
      </c>
      <c r="D2368" s="9" t="s">
        <v>26</v>
      </c>
      <c r="E2368" s="10" t="n">
        <v>1789</v>
      </c>
      <c r="F2368" s="9" t="s">
        <v>27</v>
      </c>
      <c r="G2368" s="9" t="s">
        <v>27</v>
      </c>
      <c r="H2368" s="11" t="n">
        <v>25</v>
      </c>
      <c r="I2368" s="11" t="s">
        <v>343</v>
      </c>
      <c r="J2368" s="14" t="n">
        <v>4</v>
      </c>
      <c r="K2368" s="14"/>
      <c r="L2368" s="16"/>
      <c r="M2368" s="27" t="n">
        <f aca="false">J2368+(K2368/20)+(L2368/240)</f>
        <v>4</v>
      </c>
      <c r="N2368" s="17" t="s">
        <v>69</v>
      </c>
      <c r="O2368" s="11"/>
      <c r="P2368" s="28"/>
      <c r="Q2368" s="28" t="n">
        <f aca="false">P2368*$M2368</f>
        <v>0</v>
      </c>
      <c r="R2368" s="28"/>
      <c r="S2368" s="28" t="n">
        <f aca="false">R2368*$M2368</f>
        <v>0</v>
      </c>
      <c r="T2368" s="28"/>
      <c r="U2368" s="28" t="n">
        <f aca="false">T2368*$M2368</f>
        <v>0</v>
      </c>
      <c r="V2368" s="28" t="n">
        <v>2198</v>
      </c>
      <c r="W2368" s="28" t="n">
        <v>8792</v>
      </c>
      <c r="X2368" s="28"/>
      <c r="Y2368" s="28" t="n">
        <f aca="false">X2368*$M2368</f>
        <v>0</v>
      </c>
      <c r="Z2368" s="28"/>
      <c r="AA2368" s="28" t="n">
        <f aca="false">Z2368*$M2368</f>
        <v>0</v>
      </c>
      <c r="AB2368" s="28"/>
      <c r="AC2368" s="28" t="n">
        <f aca="false">AB2368*$M2368</f>
        <v>0</v>
      </c>
      <c r="AD2368" s="28"/>
      <c r="AE2368" s="28" t="n">
        <f aca="false">AD2368*$M2368</f>
        <v>0</v>
      </c>
      <c r="AF2368" s="28"/>
      <c r="AG2368" s="28" t="n">
        <f aca="false">AF2368*$M2368</f>
        <v>0</v>
      </c>
      <c r="AH2368" s="28"/>
      <c r="AI2368" s="28" t="n">
        <f aca="false">AH2368*$M2368</f>
        <v>0</v>
      </c>
      <c r="AJ2368" s="28"/>
      <c r="AK2368" s="28" t="n">
        <f aca="false">AJ2368*$M2368</f>
        <v>0</v>
      </c>
      <c r="AL2368" s="28"/>
      <c r="AM2368" s="28" t="n">
        <f aca="false">AL2368*$M2368</f>
        <v>0</v>
      </c>
      <c r="AN2368" s="28"/>
      <c r="AO2368" s="28" t="n">
        <f aca="false">AN2368*$M2368</f>
        <v>0</v>
      </c>
      <c r="AP2368" s="28"/>
      <c r="AQ2368" s="28" t="n">
        <f aca="false">AP2368*$M2368</f>
        <v>0</v>
      </c>
      <c r="AR2368" s="28"/>
      <c r="AS2368" s="28" t="n">
        <f aca="false">AR2368*$M2368</f>
        <v>0</v>
      </c>
      <c r="AT2368" s="28"/>
      <c r="AU2368" s="28" t="n">
        <f aca="false">AT2368*$M2368</f>
        <v>0</v>
      </c>
      <c r="AV2368" s="28"/>
      <c r="AW2368" s="28" t="n">
        <f aca="false">AV2368*$M2368</f>
        <v>0</v>
      </c>
      <c r="AX2368" s="28"/>
      <c r="AY2368" s="28" t="n">
        <f aca="false">AX2368*$M2368</f>
        <v>0</v>
      </c>
      <c r="AZ2368" s="30" t="n">
        <v>2198</v>
      </c>
      <c r="BA2368" s="11" t="n">
        <v>8792</v>
      </c>
      <c r="BB2368" s="31" t="n">
        <f aca="false">SUM(Q2368,S2368,U2368,W2368,Y2368,AA2368,AC2368,AE2368,AG2368,AI2368,AK2368,AM2368,AO2368,AQ2368,AS2368,AU2368,AW2368,AY2368)</f>
        <v>8792</v>
      </c>
      <c r="BC2368" s="28" t="n">
        <f aca="false">BA2368-BB2368</f>
        <v>0</v>
      </c>
      <c r="BD2368" s="32" t="n">
        <f aca="false">SUM(P2368,R2368,T2368,V2368,X2368,Z2368,AB2368,AD2368,AF2368,AH2368,AJ2368,AL2368,AN2368,AP2368,AR2368,AT2368,AV2368,AX2368)</f>
        <v>2198</v>
      </c>
      <c r="BE2368" s="33" t="n">
        <f aca="false">AZ2368-BD2368</f>
        <v>0</v>
      </c>
      <c r="BF2368" s="34" t="n">
        <f aca="false">BD2368*M2368</f>
        <v>8792</v>
      </c>
      <c r="BG2368" s="35" t="n">
        <f aca="false">BA2368-BF2368</f>
        <v>0</v>
      </c>
      <c r="BH2368" s="19" t="str">
        <f aca="false">IF(BG2368=0,"",IF(BG2368&lt;&gt;BA2368,"erreur de calcul",IF(BD2368&lt;&gt;0,"pas de prix",IF(M2368&lt;&gt; 0,"pas de quantité","pas de prix, ni de quantité"))))</f>
        <v/>
      </c>
      <c r="BI2368" s="19"/>
    </row>
    <row r="2369" customFormat="false" ht="15" hidden="false" customHeight="false" outlineLevel="0" collapsed="false">
      <c r="A2369" s="0" t="n">
        <v>15</v>
      </c>
      <c r="B2369" s="8" t="s">
        <v>24</v>
      </c>
      <c r="C2369" s="9" t="s">
        <v>25</v>
      </c>
      <c r="D2369" s="9" t="s">
        <v>26</v>
      </c>
      <c r="E2369" s="10" t="n">
        <v>1789</v>
      </c>
      <c r="F2369" s="9" t="s">
        <v>27</v>
      </c>
      <c r="G2369" s="9" t="s">
        <v>27</v>
      </c>
      <c r="H2369" s="11" t="n">
        <v>25</v>
      </c>
      <c r="I2369" s="11" t="s">
        <v>344</v>
      </c>
      <c r="J2369" s="14" t="n">
        <v>2000</v>
      </c>
      <c r="K2369" s="14"/>
      <c r="L2369" s="16"/>
      <c r="M2369" s="27" t="n">
        <f aca="false">J2369+(K2369/20)+(L2369/240)</f>
        <v>2000</v>
      </c>
      <c r="N2369" s="17" t="s">
        <v>64</v>
      </c>
      <c r="O2369" s="11" t="s">
        <v>277</v>
      </c>
      <c r="P2369" s="28"/>
      <c r="Q2369" s="28" t="n">
        <f aca="false">P2369*$M2369</f>
        <v>0</v>
      </c>
      <c r="R2369" s="28"/>
      <c r="S2369" s="28" t="n">
        <f aca="false">R2369*$M2369</f>
        <v>0</v>
      </c>
      <c r="T2369" s="28"/>
      <c r="U2369" s="28" t="n">
        <f aca="false">T2369*$M2369</f>
        <v>0</v>
      </c>
      <c r="V2369" s="28"/>
      <c r="W2369" s="28" t="n">
        <f aca="false">V2369*$M2369</f>
        <v>0</v>
      </c>
      <c r="X2369" s="28"/>
      <c r="Y2369" s="28" t="n">
        <f aca="false">X2369*$M2369</f>
        <v>0</v>
      </c>
      <c r="Z2369" s="28"/>
      <c r="AA2369" s="28" t="n">
        <f aca="false">Z2369*$M2369</f>
        <v>0</v>
      </c>
      <c r="AB2369" s="28"/>
      <c r="AC2369" s="28" t="n">
        <f aca="false">AB2369*$M2369</f>
        <v>0</v>
      </c>
      <c r="AD2369" s="28"/>
      <c r="AE2369" s="28" t="n">
        <f aca="false">AD2369*$M2369</f>
        <v>0</v>
      </c>
      <c r="AF2369" s="28"/>
      <c r="AG2369" s="28" t="n">
        <f aca="false">AF2369*$M2369</f>
        <v>0</v>
      </c>
      <c r="AH2369" s="28"/>
      <c r="AI2369" s="28" t="n">
        <f aca="false">AH2369*$M2369</f>
        <v>0</v>
      </c>
      <c r="AJ2369" s="28"/>
      <c r="AK2369" s="28" t="n">
        <f aca="false">AJ2369*$M2369</f>
        <v>0</v>
      </c>
      <c r="AL2369" s="28"/>
      <c r="AM2369" s="28" t="n">
        <f aca="false">AL2369*$M2369</f>
        <v>0</v>
      </c>
      <c r="AN2369" s="28"/>
      <c r="AO2369" s="28" t="n">
        <f aca="false">AN2369*$M2369</f>
        <v>0</v>
      </c>
      <c r="AP2369" s="28"/>
      <c r="AQ2369" s="28" t="n">
        <f aca="false">AP2369*$M2369</f>
        <v>0</v>
      </c>
      <c r="AR2369" s="28"/>
      <c r="AS2369" s="28" t="n">
        <f aca="false">AR2369*$M2369</f>
        <v>0</v>
      </c>
      <c r="AT2369" s="28"/>
      <c r="AU2369" s="28" t="n">
        <f aca="false">AT2369*$M2369</f>
        <v>0</v>
      </c>
      <c r="AV2369" s="28"/>
      <c r="AW2369" s="28" t="n">
        <f aca="false">AV2369*$M2369</f>
        <v>0</v>
      </c>
      <c r="AX2369" s="28"/>
      <c r="AY2369" s="28" t="n">
        <f aca="false">AX2369*$M2369</f>
        <v>0</v>
      </c>
      <c r="AZ2369" s="30"/>
      <c r="BA2369" s="11"/>
      <c r="BB2369" s="31" t="n">
        <f aca="false">SUM(Q2369,S2369,U2369,W2369,Y2369,AA2369,AC2369,AE2369,AG2369,AI2369,AK2369,AM2369,AO2369,AQ2369,AS2369,AU2369,AW2369,AY2369)</f>
        <v>0</v>
      </c>
      <c r="BC2369" s="28" t="n">
        <f aca="false">BA2369-BB2369</f>
        <v>0</v>
      </c>
      <c r="BD2369" s="32" t="n">
        <f aca="false">SUM(P2369,R2369,T2369,V2369,X2369,Z2369,AB2369,AD2369,AF2369,AH2369,AJ2369,AL2369,AN2369,AP2369,AR2369,AT2369,AV2369,AX2369)</f>
        <v>0</v>
      </c>
      <c r="BE2369" s="33" t="n">
        <f aca="false">AZ2369-BD2369</f>
        <v>0</v>
      </c>
      <c r="BF2369" s="34" t="n">
        <f aca="false">BD2369*M2369</f>
        <v>0</v>
      </c>
      <c r="BG2369" s="35" t="n">
        <f aca="false">BA2369-BF2369</f>
        <v>0</v>
      </c>
      <c r="BH2369" s="19" t="str">
        <f aca="false">IF(BG2369=0,"",IF(BG2369&lt;&gt;BA2369,"erreur de calcul",IF(BD2369&lt;&gt;0,"pas de prix",IF(M2369&lt;&gt; 0,"pas de quantité","pas de prix, ni de quantité"))))</f>
        <v/>
      </c>
      <c r="BI2369" s="19"/>
    </row>
    <row r="2370" customFormat="false" ht="15" hidden="false" customHeight="false" outlineLevel="0" collapsed="false">
      <c r="A2370" s="0" t="n">
        <v>16</v>
      </c>
      <c r="B2370" s="8" t="s">
        <v>24</v>
      </c>
      <c r="C2370" s="9" t="s">
        <v>25</v>
      </c>
      <c r="D2370" s="9" t="s">
        <v>26</v>
      </c>
      <c r="E2370" s="10" t="n">
        <v>1789</v>
      </c>
      <c r="F2370" s="9" t="s">
        <v>27</v>
      </c>
      <c r="G2370" s="9" t="s">
        <v>27</v>
      </c>
      <c r="H2370" s="11" t="n">
        <v>25</v>
      </c>
      <c r="I2370" s="11" t="s">
        <v>344</v>
      </c>
      <c r="J2370" s="14" t="n">
        <v>2000</v>
      </c>
      <c r="K2370" s="14"/>
      <c r="L2370" s="16"/>
      <c r="M2370" s="27" t="n">
        <f aca="false">J2370+(K2370/20)+(L2370/240)</f>
        <v>2000</v>
      </c>
      <c r="N2370" s="17" t="s">
        <v>64</v>
      </c>
      <c r="O2370" s="11" t="s">
        <v>98</v>
      </c>
      <c r="P2370" s="28"/>
      <c r="Q2370" s="28" t="n">
        <f aca="false">P2370*$M2370</f>
        <v>0</v>
      </c>
      <c r="R2370" s="28"/>
      <c r="S2370" s="28" t="n">
        <f aca="false">R2370*$M2370</f>
        <v>0</v>
      </c>
      <c r="T2370" s="28"/>
      <c r="U2370" s="28" t="n">
        <f aca="false">T2370*$M2370</f>
        <v>0</v>
      </c>
      <c r="V2370" s="28"/>
      <c r="W2370" s="28" t="n">
        <f aca="false">V2370*$M2370</f>
        <v>0</v>
      </c>
      <c r="X2370" s="28" t="n">
        <f aca="false">607/100</f>
        <v>6.07</v>
      </c>
      <c r="Y2370" s="28" t="n">
        <f aca="false">X2370*$M2370</f>
        <v>12140</v>
      </c>
      <c r="Z2370" s="28"/>
      <c r="AA2370" s="28" t="n">
        <f aca="false">Z2370*$M2370</f>
        <v>0</v>
      </c>
      <c r="AB2370" s="28"/>
      <c r="AC2370" s="28" t="n">
        <f aca="false">AB2370*$M2370</f>
        <v>0</v>
      </c>
      <c r="AD2370" s="28"/>
      <c r="AE2370" s="28" t="n">
        <f aca="false">AD2370*$M2370</f>
        <v>0</v>
      </c>
      <c r="AF2370" s="28"/>
      <c r="AG2370" s="28" t="n">
        <f aca="false">AF2370*$M2370</f>
        <v>0</v>
      </c>
      <c r="AH2370" s="28"/>
      <c r="AI2370" s="28" t="n">
        <f aca="false">AH2370*$M2370</f>
        <v>0</v>
      </c>
      <c r="AJ2370" s="28"/>
      <c r="AK2370" s="28" t="n">
        <f aca="false">AJ2370*$M2370</f>
        <v>0</v>
      </c>
      <c r="AL2370" s="28" t="n">
        <f aca="false">145/100</f>
        <v>1.45</v>
      </c>
      <c r="AM2370" s="28" t="n">
        <f aca="false">AL2370*$M2370</f>
        <v>2900</v>
      </c>
      <c r="AN2370" s="28" t="n">
        <f aca="false">3865/100</f>
        <v>38.65</v>
      </c>
      <c r="AO2370" s="28" t="n">
        <v>77300</v>
      </c>
      <c r="AP2370" s="28"/>
      <c r="AQ2370" s="28" t="n">
        <f aca="false">AP2370*$M2370</f>
        <v>0</v>
      </c>
      <c r="AR2370" s="28"/>
      <c r="AS2370" s="28" t="n">
        <f aca="false">AR2370*$M2370</f>
        <v>0</v>
      </c>
      <c r="AT2370" s="28"/>
      <c r="AU2370" s="28" t="n">
        <f aca="false">AT2370*$M2370</f>
        <v>0</v>
      </c>
      <c r="AV2370" s="28"/>
      <c r="AW2370" s="28" t="n">
        <f aca="false">AV2370*$M2370</f>
        <v>0</v>
      </c>
      <c r="AX2370" s="28"/>
      <c r="AY2370" s="28" t="n">
        <f aca="false">AX2370*$M2370</f>
        <v>0</v>
      </c>
      <c r="AZ2370" s="30" t="n">
        <f aca="false">4617/100</f>
        <v>46.17</v>
      </c>
      <c r="BA2370" s="11" t="n">
        <v>92340</v>
      </c>
      <c r="BB2370" s="31" t="n">
        <f aca="false">SUM(Q2370,S2370,U2370,W2370,Y2370,AA2370,AC2370,AE2370,AG2370,AI2370,AK2370,AM2370,AO2370,AQ2370,AS2370,AU2370,AW2370,AY2370)</f>
        <v>92340</v>
      </c>
      <c r="BC2370" s="28" t="n">
        <f aca="false">BA2370-BB2370</f>
        <v>0</v>
      </c>
      <c r="BD2370" s="32" t="n">
        <f aca="false">SUM(P2370,R2370,T2370,V2370,X2370,Z2370,AB2370,AD2370,AF2370,AH2370,AJ2370,AL2370,AN2370,AP2370,AR2370,AT2370,AV2370,AX2370)</f>
        <v>46.17</v>
      </c>
      <c r="BE2370" s="33" t="n">
        <f aca="false">AZ2370-BD2370</f>
        <v>0</v>
      </c>
      <c r="BF2370" s="34" t="n">
        <f aca="false">BD2370*M2370</f>
        <v>92340</v>
      </c>
      <c r="BG2370" s="35" t="n">
        <f aca="false">BA2370-BF2370</f>
        <v>0</v>
      </c>
      <c r="BH2370" s="19" t="str">
        <f aca="false">IF(BG2370=0,"",IF(BG2370&lt;&gt;BA2370,"erreur de calcul",IF(BD2370&lt;&gt;0,"pas de prix",IF(M2370&lt;&gt; 0,"pas de quantité","pas de prix, ni de quantité"))))</f>
        <v/>
      </c>
      <c r="BI2370" s="19"/>
    </row>
    <row r="2371" customFormat="false" ht="15" hidden="false" customHeight="false" outlineLevel="0" collapsed="false">
      <c r="A2371" s="0" t="n">
        <v>17</v>
      </c>
      <c r="B2371" s="8" t="s">
        <v>24</v>
      </c>
      <c r="C2371" s="9" t="s">
        <v>25</v>
      </c>
      <c r="D2371" s="9" t="s">
        <v>26</v>
      </c>
      <c r="E2371" s="10" t="n">
        <v>1789</v>
      </c>
      <c r="F2371" s="9" t="s">
        <v>27</v>
      </c>
      <c r="G2371" s="9" t="s">
        <v>27</v>
      </c>
      <c r="H2371" s="11" t="n">
        <v>25</v>
      </c>
      <c r="I2371" s="11" t="s">
        <v>345</v>
      </c>
      <c r="J2371" s="14"/>
      <c r="K2371" s="14" t="n">
        <v>12</v>
      </c>
      <c r="L2371" s="16"/>
      <c r="M2371" s="27" t="n">
        <f aca="false">J2371+(K2371/20)+(L2371/240)</f>
        <v>0.6</v>
      </c>
      <c r="N2371" s="17" t="s">
        <v>66</v>
      </c>
      <c r="O2371" s="11"/>
      <c r="P2371" s="28"/>
      <c r="Q2371" s="28" t="n">
        <f aca="false">P2371*$M2371</f>
        <v>0</v>
      </c>
      <c r="R2371" s="28"/>
      <c r="S2371" s="28" t="n">
        <f aca="false">R2371*$M2371</f>
        <v>0</v>
      </c>
      <c r="T2371" s="28"/>
      <c r="U2371" s="28" t="n">
        <f aca="false">T2371*$M2371</f>
        <v>0</v>
      </c>
      <c r="V2371" s="28"/>
      <c r="W2371" s="28" t="n">
        <f aca="false">V2371*$M2371</f>
        <v>0</v>
      </c>
      <c r="X2371" s="28"/>
      <c r="Y2371" s="28" t="n">
        <f aca="false">X2371*$M2371</f>
        <v>0</v>
      </c>
      <c r="Z2371" s="28"/>
      <c r="AA2371" s="28" t="n">
        <f aca="false">Z2371*$M2371</f>
        <v>0</v>
      </c>
      <c r="AB2371" s="28"/>
      <c r="AC2371" s="28" t="n">
        <f aca="false">AB2371*$M2371</f>
        <v>0</v>
      </c>
      <c r="AD2371" s="28"/>
      <c r="AE2371" s="28" t="n">
        <f aca="false">AD2371*$M2371</f>
        <v>0</v>
      </c>
      <c r="AF2371" s="28"/>
      <c r="AG2371" s="28" t="n">
        <f aca="false">AF2371*$M2371</f>
        <v>0</v>
      </c>
      <c r="AH2371" s="28"/>
      <c r="AI2371" s="28" t="n">
        <f aca="false">AH2371*$M2371</f>
        <v>0</v>
      </c>
      <c r="AJ2371" s="28" t="n">
        <v>41194</v>
      </c>
      <c r="AK2371" s="28" t="n">
        <v>24716</v>
      </c>
      <c r="AL2371" s="28"/>
      <c r="AM2371" s="28" t="n">
        <f aca="false">AL2371*$M2371</f>
        <v>0</v>
      </c>
      <c r="AN2371" s="28"/>
      <c r="AO2371" s="28" t="n">
        <f aca="false">AN2371*$M2371</f>
        <v>0</v>
      </c>
      <c r="AP2371" s="28"/>
      <c r="AQ2371" s="28" t="n">
        <f aca="false">AP2371*$M2371</f>
        <v>0</v>
      </c>
      <c r="AR2371" s="28"/>
      <c r="AS2371" s="28" t="n">
        <f aca="false">AR2371*$M2371</f>
        <v>0</v>
      </c>
      <c r="AT2371" s="28"/>
      <c r="AU2371" s="28" t="n">
        <f aca="false">AT2371*$M2371</f>
        <v>0</v>
      </c>
      <c r="AV2371" s="28"/>
      <c r="AW2371" s="28" t="n">
        <f aca="false">AV2371*$M2371</f>
        <v>0</v>
      </c>
      <c r="AX2371" s="28"/>
      <c r="AY2371" s="28" t="n">
        <f aca="false">AX2371*$M2371</f>
        <v>0</v>
      </c>
      <c r="AZ2371" s="30" t="n">
        <v>41194</v>
      </c>
      <c r="BA2371" s="11" t="n">
        <v>24716</v>
      </c>
      <c r="BB2371" s="31" t="n">
        <f aca="false">SUM(Q2371,S2371,U2371,W2371,Y2371,AA2371,AC2371,AE2371,AG2371,AI2371,AK2371,AM2371,AO2371,AQ2371,AS2371,AU2371,AW2371,AY2371)</f>
        <v>24716</v>
      </c>
      <c r="BC2371" s="28" t="n">
        <f aca="false">BA2371-BB2371</f>
        <v>0</v>
      </c>
      <c r="BD2371" s="32" t="n">
        <f aca="false">SUM(P2371,R2371,T2371,V2371,X2371,Z2371,AB2371,AD2371,AF2371,AH2371,AJ2371,AL2371,AN2371,AP2371,AR2371,AT2371,AV2371,AX2371)</f>
        <v>41194</v>
      </c>
      <c r="BE2371" s="33" t="n">
        <f aca="false">AZ2371-BD2371</f>
        <v>0</v>
      </c>
      <c r="BF2371" s="34" t="n">
        <f aca="false">BD2371*M2371</f>
        <v>24716.4</v>
      </c>
      <c r="BG2371" s="35" t="n">
        <f aca="false">BA2371-BF2371</f>
        <v>-0.399999999997817</v>
      </c>
      <c r="BH2371" s="19" t="str">
        <f aca="false">IF(BG2371=0,"",IF(BG2371&lt;&gt;BA2371,"erreur de calcul",IF(BD2371&lt;&gt;0,"pas de prix",IF(M2371&lt;&gt; 0,"pas de quantité","pas de prix, ni de quantité"))))</f>
        <v>erreur de calcul</v>
      </c>
      <c r="BI2371" s="19"/>
    </row>
    <row r="2372" customFormat="false" ht="15" hidden="false" customHeight="false" outlineLevel="0" collapsed="false">
      <c r="A2372" s="0" t="n">
        <v>18</v>
      </c>
      <c r="B2372" s="8" t="s">
        <v>24</v>
      </c>
      <c r="C2372" s="9" t="s">
        <v>25</v>
      </c>
      <c r="D2372" s="9" t="s">
        <v>26</v>
      </c>
      <c r="E2372" s="10" t="n">
        <v>1789</v>
      </c>
      <c r="F2372" s="9" t="s">
        <v>27</v>
      </c>
      <c r="G2372" s="9" t="s">
        <v>27</v>
      </c>
      <c r="H2372" s="11" t="n">
        <v>25</v>
      </c>
      <c r="I2372" s="11" t="s">
        <v>346</v>
      </c>
      <c r="J2372" s="14"/>
      <c r="K2372" s="14" t="n">
        <v>50</v>
      </c>
      <c r="L2372" s="16"/>
      <c r="M2372" s="27" t="n">
        <f aca="false">J2372+(K2372/20)+(L2372/240)</f>
        <v>2.5</v>
      </c>
      <c r="N2372" s="17" t="s">
        <v>85</v>
      </c>
      <c r="O2372" s="11"/>
      <c r="P2372" s="28" t="n">
        <f aca="false">371167/100</f>
        <v>3711.67</v>
      </c>
      <c r="Q2372" s="28" t="n">
        <v>9279</v>
      </c>
      <c r="R2372" s="28"/>
      <c r="S2372" s="28" t="n">
        <f aca="false">R2372*$M2372</f>
        <v>0</v>
      </c>
      <c r="T2372" s="28"/>
      <c r="U2372" s="28" t="n">
        <f aca="false">T2372*$M2372</f>
        <v>0</v>
      </c>
      <c r="V2372" s="28"/>
      <c r="W2372" s="28" t="n">
        <f aca="false">V2372*$M2372</f>
        <v>0</v>
      </c>
      <c r="X2372" s="28"/>
      <c r="Y2372" s="28" t="n">
        <f aca="false">X2372*$M2372</f>
        <v>0</v>
      </c>
      <c r="Z2372" s="28"/>
      <c r="AA2372" s="28" t="n">
        <f aca="false">Z2372*$M2372</f>
        <v>0</v>
      </c>
      <c r="AB2372" s="28"/>
      <c r="AC2372" s="28" t="n">
        <f aca="false">AB2372*$M2372</f>
        <v>0</v>
      </c>
      <c r="AD2372" s="28"/>
      <c r="AE2372" s="28" t="n">
        <f aca="false">AD2372*$M2372</f>
        <v>0</v>
      </c>
      <c r="AF2372" s="28"/>
      <c r="AG2372" s="28" t="n">
        <f aca="false">AF2372*$M2372</f>
        <v>0</v>
      </c>
      <c r="AH2372" s="28"/>
      <c r="AI2372" s="28" t="n">
        <f aca="false">AH2372*$M2372</f>
        <v>0</v>
      </c>
      <c r="AJ2372" s="28"/>
      <c r="AK2372" s="28" t="n">
        <f aca="false">AJ2372*$M2372</f>
        <v>0</v>
      </c>
      <c r="AL2372" s="28"/>
      <c r="AM2372" s="28" t="n">
        <f aca="false">AL2372*$M2372</f>
        <v>0</v>
      </c>
      <c r="AN2372" s="28"/>
      <c r="AO2372" s="28" t="n">
        <f aca="false">AN2372*$M2372</f>
        <v>0</v>
      </c>
      <c r="AP2372" s="28"/>
      <c r="AQ2372" s="28" t="n">
        <f aca="false">AP2372*$M2372</f>
        <v>0</v>
      </c>
      <c r="AR2372" s="28"/>
      <c r="AS2372" s="28" t="n">
        <f aca="false">AR2372*$M2372</f>
        <v>0</v>
      </c>
      <c r="AT2372" s="28"/>
      <c r="AU2372" s="28" t="n">
        <f aca="false">AT2372*$M2372</f>
        <v>0</v>
      </c>
      <c r="AV2372" s="28"/>
      <c r="AW2372" s="28" t="n">
        <f aca="false">AV2372*$M2372</f>
        <v>0</v>
      </c>
      <c r="AX2372" s="28"/>
      <c r="AY2372" s="28" t="n">
        <f aca="false">AX2372*$M2372</f>
        <v>0</v>
      </c>
      <c r="AZ2372" s="30" t="n">
        <f aca="false">371167/100</f>
        <v>3711.67</v>
      </c>
      <c r="BA2372" s="11" t="n">
        <v>9279</v>
      </c>
      <c r="BB2372" s="31" t="n">
        <f aca="false">SUM(Q2372,S2372,U2372,W2372,Y2372,AA2372,AC2372,AE2372,AG2372,AI2372,AK2372,AM2372,AO2372,AQ2372,AS2372,AU2372,AW2372,AY2372)</f>
        <v>9279</v>
      </c>
      <c r="BC2372" s="28" t="n">
        <f aca="false">BA2372-BB2372</f>
        <v>0</v>
      </c>
      <c r="BD2372" s="32" t="n">
        <f aca="false">SUM(P2372,R2372,T2372,V2372,X2372,Z2372,AB2372,AD2372,AF2372,AH2372,AJ2372,AL2372,AN2372,AP2372,AR2372,AT2372,AV2372,AX2372)</f>
        <v>3711.67</v>
      </c>
      <c r="BE2372" s="33" t="n">
        <f aca="false">AZ2372-BD2372</f>
        <v>0</v>
      </c>
      <c r="BF2372" s="34" t="n">
        <f aca="false">BD2372*M2372</f>
        <v>9279.175</v>
      </c>
      <c r="BG2372" s="35" t="n">
        <f aca="false">BA2372-BF2372</f>
        <v>-0.174999999999272</v>
      </c>
      <c r="BH2372" s="19" t="str">
        <f aca="false">IF(BG2372=0,"",IF(BG2372&lt;&gt;BA2372,"erreur de calcul",IF(BD2372&lt;&gt;0,"pas de prix",IF(M2372&lt;&gt; 0,"pas de quantité","pas de prix, ni de quantité"))))</f>
        <v>erreur de calcul</v>
      </c>
      <c r="BI2372" s="19"/>
    </row>
    <row r="2373" customFormat="false" ht="16.65" hidden="false" customHeight="false" outlineLevel="0" collapsed="false">
      <c r="A2373" s="0" t="n">
        <v>19</v>
      </c>
      <c r="B2373" s="8" t="s">
        <v>24</v>
      </c>
      <c r="C2373" s="9" t="s">
        <v>25</v>
      </c>
      <c r="D2373" s="9" t="s">
        <v>26</v>
      </c>
      <c r="E2373" s="10" t="n">
        <v>1789</v>
      </c>
      <c r="F2373" s="9" t="s">
        <v>27</v>
      </c>
      <c r="G2373" s="9" t="s">
        <v>27</v>
      </c>
      <c r="H2373" s="11" t="n">
        <v>25</v>
      </c>
      <c r="I2373" s="11" t="s">
        <v>347</v>
      </c>
      <c r="J2373" s="14" t="n">
        <v>60</v>
      </c>
      <c r="K2373" s="14"/>
      <c r="L2373" s="16"/>
      <c r="M2373" s="27" t="n">
        <f aca="false">J2373+(K2373/20)+(L2373/240)</f>
        <v>60</v>
      </c>
      <c r="N2373" s="17" t="s">
        <v>64</v>
      </c>
      <c r="O2373" s="11"/>
      <c r="P2373" s="28"/>
      <c r="Q2373" s="28" t="n">
        <f aca="false">P2373*$M2373</f>
        <v>0</v>
      </c>
      <c r="R2373" s="28"/>
      <c r="S2373" s="28" t="n">
        <f aca="false">R2373*$M2373</f>
        <v>0</v>
      </c>
      <c r="T2373" s="28"/>
      <c r="U2373" s="28" t="n">
        <f aca="false">T2373*$M2373</f>
        <v>0</v>
      </c>
      <c r="V2373" s="28" t="n">
        <f aca="false">4151/100</f>
        <v>41.51</v>
      </c>
      <c r="W2373" s="28" t="n">
        <v>2491</v>
      </c>
      <c r="X2373" s="28" t="n">
        <f aca="false">13344/100</f>
        <v>133.44</v>
      </c>
      <c r="Y2373" s="28" t="n">
        <v>8006</v>
      </c>
      <c r="Z2373" s="28" t="n">
        <f aca="false">3323/100</f>
        <v>33.23</v>
      </c>
      <c r="AA2373" s="28" t="n">
        <v>1994</v>
      </c>
      <c r="AB2373" s="28"/>
      <c r="AC2373" s="28" t="n">
        <f aca="false">AB2373*$M2373</f>
        <v>0</v>
      </c>
      <c r="AD2373" s="28" t="n">
        <f aca="false">15268/100</f>
        <v>152.68</v>
      </c>
      <c r="AE2373" s="28" t="n">
        <v>9161</v>
      </c>
      <c r="AF2373" s="28"/>
      <c r="AG2373" s="28" t="n">
        <f aca="false">AF2373*$M2373</f>
        <v>0</v>
      </c>
      <c r="AH2373" s="28"/>
      <c r="AI2373" s="28" t="n">
        <f aca="false">AH2373*$M2373</f>
        <v>0</v>
      </c>
      <c r="AJ2373" s="28"/>
      <c r="AK2373" s="28" t="n">
        <f aca="false">AJ2373*$M2373</f>
        <v>0</v>
      </c>
      <c r="AL2373" s="28"/>
      <c r="AM2373" s="28" t="n">
        <f aca="false">AL2373*$M2373</f>
        <v>0</v>
      </c>
      <c r="AN2373" s="28"/>
      <c r="AO2373" s="28" t="n">
        <f aca="false">AN2373*$M2373</f>
        <v>0</v>
      </c>
      <c r="AP2373" s="28"/>
      <c r="AQ2373" s="28" t="n">
        <f aca="false">AP2373*$M2373</f>
        <v>0</v>
      </c>
      <c r="AR2373" s="28"/>
      <c r="AS2373" s="28" t="n">
        <f aca="false">AR2373*$M2373</f>
        <v>0</v>
      </c>
      <c r="AT2373" s="28"/>
      <c r="AU2373" s="28" t="n">
        <f aca="false">AT2373*$M2373</f>
        <v>0</v>
      </c>
      <c r="AV2373" s="28"/>
      <c r="AW2373" s="28" t="n">
        <f aca="false">AV2373*$M2373</f>
        <v>0</v>
      </c>
      <c r="AX2373" s="28"/>
      <c r="AY2373" s="28" t="n">
        <f aca="false">AX2373*$M2373</f>
        <v>0</v>
      </c>
      <c r="AZ2373" s="30" t="n">
        <f aca="false">32763/100</f>
        <v>327.63</v>
      </c>
      <c r="BA2373" s="11" t="n">
        <v>21652</v>
      </c>
      <c r="BB2373" s="31" t="n">
        <f aca="false">SUM(Q2373,S2373,U2373,W2373,Y2373,AA2373,AC2373,AE2373,AG2373,AI2373,AK2373,AM2373,AO2373,AQ2373,AS2373,AU2373,AW2373,AY2373)</f>
        <v>21652</v>
      </c>
      <c r="BC2373" s="28" t="n">
        <f aca="false">BA2373-BB2373</f>
        <v>0</v>
      </c>
      <c r="BD2373" s="32" t="n">
        <f aca="false">SUM(P2373,R2373,T2373,V2373,X2373,Z2373,AB2373,AD2373,AF2373,AH2373,AJ2373,AL2373,AN2373,AP2373,AR2373,AT2373,AV2373,AX2373)</f>
        <v>360.86</v>
      </c>
      <c r="BE2373" s="33" t="n">
        <f aca="false">AZ2373-BD2373</f>
        <v>-33.23</v>
      </c>
      <c r="BF2373" s="34" t="n">
        <f aca="false">BD2373*M2373</f>
        <v>21651.6</v>
      </c>
      <c r="BG2373" s="35" t="n">
        <f aca="false">BA2373-BF2373</f>
        <v>0.399999999997817</v>
      </c>
      <c r="BH2373" s="19" t="str">
        <f aca="false">IF(BG2373=0,"",IF(BG2373&lt;&gt;BA2373,"erreur de calcul",IF(BD2373&lt;&gt;0,"pas de prix",IF(M2373&lt;&gt; 0,"pas de quantité","pas de prix, ni de quantité"))))</f>
        <v>erreur de calcul</v>
      </c>
      <c r="BI2373" s="19"/>
    </row>
    <row r="2374" customFormat="false" ht="15" hidden="false" customHeight="false" outlineLevel="0" collapsed="false">
      <c r="A2374" s="0" t="n">
        <v>20</v>
      </c>
      <c r="B2374" s="8" t="s">
        <v>24</v>
      </c>
      <c r="C2374" s="9" t="s">
        <v>25</v>
      </c>
      <c r="D2374" s="9" t="s">
        <v>26</v>
      </c>
      <c r="E2374" s="10" t="n">
        <v>1789</v>
      </c>
      <c r="F2374" s="9" t="s">
        <v>27</v>
      </c>
      <c r="G2374" s="9" t="s">
        <v>27</v>
      </c>
      <c r="H2374" s="11" t="n">
        <v>25</v>
      </c>
      <c r="I2374" s="11" t="s">
        <v>348</v>
      </c>
      <c r="J2374" s="14" t="n">
        <v>9</v>
      </c>
      <c r="K2374" s="14"/>
      <c r="L2374" s="16"/>
      <c r="M2374" s="27" t="n">
        <f aca="false">J2374+(K2374/20)+(L2374/240)</f>
        <v>9</v>
      </c>
      <c r="N2374" s="17" t="s">
        <v>349</v>
      </c>
      <c r="O2374" s="11"/>
      <c r="P2374" s="28"/>
      <c r="Q2374" s="28" t="n">
        <f aca="false">P2374*$M2374</f>
        <v>0</v>
      </c>
      <c r="R2374" s="28"/>
      <c r="S2374" s="28" t="n">
        <f aca="false">R2374*$M2374</f>
        <v>0</v>
      </c>
      <c r="T2374" s="28"/>
      <c r="U2374" s="28" t="n">
        <f aca="false">T2374*$M2374</f>
        <v>0</v>
      </c>
      <c r="V2374" s="28" t="n">
        <v>545</v>
      </c>
      <c r="W2374" s="28" t="n">
        <v>4905</v>
      </c>
      <c r="X2374" s="28"/>
      <c r="Y2374" s="28" t="n">
        <f aca="false">X2374*$M2374</f>
        <v>0</v>
      </c>
      <c r="Z2374" s="28"/>
      <c r="AA2374" s="28" t="n">
        <f aca="false">Z2374*$M2374</f>
        <v>0</v>
      </c>
      <c r="AB2374" s="28"/>
      <c r="AC2374" s="28" t="n">
        <f aca="false">AB2374*$M2374</f>
        <v>0</v>
      </c>
      <c r="AD2374" s="28"/>
      <c r="AE2374" s="28" t="n">
        <f aca="false">AD2374*$M2374</f>
        <v>0</v>
      </c>
      <c r="AF2374" s="28"/>
      <c r="AG2374" s="28" t="n">
        <f aca="false">AF2374*$M2374</f>
        <v>0</v>
      </c>
      <c r="AH2374" s="28"/>
      <c r="AI2374" s="28" t="n">
        <f aca="false">AH2374*$M2374</f>
        <v>0</v>
      </c>
      <c r="AJ2374" s="28" t="n">
        <v>592</v>
      </c>
      <c r="AK2374" s="28" t="n">
        <v>5328</v>
      </c>
      <c r="AL2374" s="28"/>
      <c r="AM2374" s="28" t="n">
        <f aca="false">AL2374*$M2374</f>
        <v>0</v>
      </c>
      <c r="AN2374" s="28"/>
      <c r="AO2374" s="28" t="n">
        <f aca="false">AN2374*$M2374</f>
        <v>0</v>
      </c>
      <c r="AP2374" s="28"/>
      <c r="AQ2374" s="28" t="n">
        <f aca="false">AP2374*$M2374</f>
        <v>0</v>
      </c>
      <c r="AR2374" s="28"/>
      <c r="AS2374" s="28" t="n">
        <f aca="false">AR2374*$M2374</f>
        <v>0</v>
      </c>
      <c r="AT2374" s="28"/>
      <c r="AU2374" s="28" t="n">
        <f aca="false">AT2374*$M2374</f>
        <v>0</v>
      </c>
      <c r="AV2374" s="28"/>
      <c r="AW2374" s="28" t="n">
        <f aca="false">AV2374*$M2374</f>
        <v>0</v>
      </c>
      <c r="AX2374" s="28"/>
      <c r="AY2374" s="28" t="n">
        <f aca="false">AX2374*$M2374</f>
        <v>0</v>
      </c>
      <c r="AZ2374" s="30" t="n">
        <v>1137</v>
      </c>
      <c r="BA2374" s="11" t="n">
        <v>10233</v>
      </c>
      <c r="BB2374" s="31" t="n">
        <f aca="false">SUM(Q2374,S2374,U2374,W2374,Y2374,AA2374,AC2374,AE2374,AG2374,AI2374,AK2374,AM2374,AO2374,AQ2374,AS2374,AU2374,AW2374,AY2374)</f>
        <v>10233</v>
      </c>
      <c r="BC2374" s="28" t="n">
        <f aca="false">BA2374-BB2374</f>
        <v>0</v>
      </c>
      <c r="BD2374" s="32" t="n">
        <f aca="false">SUM(P2374,R2374,T2374,V2374,X2374,Z2374,AB2374,AD2374,AF2374,AH2374,AJ2374,AL2374,AN2374,AP2374,AR2374,AT2374,AV2374,AX2374)</f>
        <v>1137</v>
      </c>
      <c r="BE2374" s="33" t="n">
        <f aca="false">AZ2374-BD2374</f>
        <v>0</v>
      </c>
      <c r="BF2374" s="34" t="n">
        <f aca="false">BD2374*M2374</f>
        <v>10233</v>
      </c>
      <c r="BG2374" s="35" t="n">
        <f aca="false">BA2374-BF2374</f>
        <v>0</v>
      </c>
      <c r="BH2374" s="19" t="str">
        <f aca="false">IF(BG2374=0,"",IF(BG2374&lt;&gt;BA2374,"erreur de calcul",IF(BD2374&lt;&gt;0,"pas de prix",IF(M2374&lt;&gt; 0,"pas de quantité","pas de prix, ni de quantité"))))</f>
        <v/>
      </c>
      <c r="BI2374" s="19"/>
    </row>
    <row r="2375" customFormat="false" ht="15" hidden="false" customHeight="false" outlineLevel="0" collapsed="false">
      <c r="A2375" s="0" t="n">
        <v>21</v>
      </c>
      <c r="B2375" s="8" t="s">
        <v>24</v>
      </c>
      <c r="C2375" s="9" t="s">
        <v>25</v>
      </c>
      <c r="D2375" s="9" t="s">
        <v>26</v>
      </c>
      <c r="E2375" s="10" t="n">
        <v>1789</v>
      </c>
      <c r="F2375" s="9" t="s">
        <v>27</v>
      </c>
      <c r="G2375" s="9" t="s">
        <v>27</v>
      </c>
      <c r="H2375" s="11" t="n">
        <v>25</v>
      </c>
      <c r="I2375" s="11" t="s">
        <v>350</v>
      </c>
      <c r="J2375" s="14"/>
      <c r="K2375" s="14" t="n">
        <v>40</v>
      </c>
      <c r="L2375" s="16"/>
      <c r="M2375" s="27" t="n">
        <f aca="false">J2375+(K2375/20)+(L2375/240)</f>
        <v>2</v>
      </c>
      <c r="N2375" s="17" t="s">
        <v>349</v>
      </c>
      <c r="O2375" s="11"/>
      <c r="P2375" s="28"/>
      <c r="Q2375" s="28" t="n">
        <f aca="false">P2375*$M2375</f>
        <v>0</v>
      </c>
      <c r="R2375" s="28"/>
      <c r="S2375" s="28" t="n">
        <f aca="false">R2375*$M2375</f>
        <v>0</v>
      </c>
      <c r="T2375" s="28"/>
      <c r="U2375" s="28" t="n">
        <f aca="false">T2375*$M2375</f>
        <v>0</v>
      </c>
      <c r="V2375" s="28" t="n">
        <v>2688</v>
      </c>
      <c r="W2375" s="28" t="n">
        <v>5376</v>
      </c>
      <c r="X2375" s="28" t="n">
        <v>775</v>
      </c>
      <c r="Y2375" s="28" t="n">
        <v>1550</v>
      </c>
      <c r="Z2375" s="28"/>
      <c r="AA2375" s="28" t="n">
        <f aca="false">Z2375*$M2375</f>
        <v>0</v>
      </c>
      <c r="AB2375" s="28"/>
      <c r="AC2375" s="28" t="n">
        <f aca="false">AB2375*$M2375</f>
        <v>0</v>
      </c>
      <c r="AD2375" s="28"/>
      <c r="AE2375" s="28" t="n">
        <f aca="false">AD2375*$M2375</f>
        <v>0</v>
      </c>
      <c r="AF2375" s="28"/>
      <c r="AG2375" s="28" t="n">
        <f aca="false">AF2375*$M2375</f>
        <v>0</v>
      </c>
      <c r="AH2375" s="28"/>
      <c r="AI2375" s="28" t="n">
        <f aca="false">AH2375*$M2375</f>
        <v>0</v>
      </c>
      <c r="AJ2375" s="28"/>
      <c r="AK2375" s="28" t="n">
        <f aca="false">AJ2375*$M2375</f>
        <v>0</v>
      </c>
      <c r="AL2375" s="28"/>
      <c r="AM2375" s="28" t="n">
        <f aca="false">AL2375*$M2375</f>
        <v>0</v>
      </c>
      <c r="AN2375" s="28"/>
      <c r="AO2375" s="28" t="n">
        <f aca="false">AN2375*$M2375</f>
        <v>0</v>
      </c>
      <c r="AP2375" s="28"/>
      <c r="AQ2375" s="28" t="n">
        <f aca="false">AP2375*$M2375</f>
        <v>0</v>
      </c>
      <c r="AR2375" s="28"/>
      <c r="AS2375" s="28" t="n">
        <f aca="false">AR2375*$M2375</f>
        <v>0</v>
      </c>
      <c r="AT2375" s="28"/>
      <c r="AU2375" s="28" t="n">
        <f aca="false">AT2375*$M2375</f>
        <v>0</v>
      </c>
      <c r="AV2375" s="28"/>
      <c r="AW2375" s="28" t="n">
        <f aca="false">AV2375*$M2375</f>
        <v>0</v>
      </c>
      <c r="AX2375" s="28"/>
      <c r="AY2375" s="28" t="n">
        <f aca="false">AX2375*$M2375</f>
        <v>0</v>
      </c>
      <c r="AZ2375" s="30" t="n">
        <v>3463</v>
      </c>
      <c r="BA2375" s="11" t="n">
        <v>6926</v>
      </c>
      <c r="BB2375" s="31" t="n">
        <f aca="false">SUM(Q2375,S2375,U2375,W2375,Y2375,AA2375,AC2375,AE2375,AG2375,AI2375,AK2375,AM2375,AO2375,AQ2375,AS2375,AU2375,AW2375,AY2375)</f>
        <v>6926</v>
      </c>
      <c r="BC2375" s="28" t="n">
        <f aca="false">BA2375-BB2375</f>
        <v>0</v>
      </c>
      <c r="BD2375" s="32" t="n">
        <f aca="false">SUM(P2375,R2375,T2375,V2375,X2375,Z2375,AB2375,AD2375,AF2375,AH2375,AJ2375,AL2375,AN2375,AP2375,AR2375,AT2375,AV2375,AX2375)</f>
        <v>3463</v>
      </c>
      <c r="BE2375" s="33" t="n">
        <f aca="false">AZ2375-BD2375</f>
        <v>0</v>
      </c>
      <c r="BF2375" s="34" t="n">
        <f aca="false">BD2375*M2375</f>
        <v>6926</v>
      </c>
      <c r="BG2375" s="35" t="n">
        <f aca="false">BA2375-BF2375</f>
        <v>0</v>
      </c>
      <c r="BH2375" s="19" t="str">
        <f aca="false">IF(BG2375=0,"",IF(BG2375&lt;&gt;BA2375,"erreur de calcul",IF(BD2375&lt;&gt;0,"pas de prix",IF(M2375&lt;&gt; 0,"pas de quantité","pas de prix, ni de quantité"))))</f>
        <v/>
      </c>
      <c r="BI2375" s="19"/>
    </row>
    <row r="2376" customFormat="false" ht="15" hidden="false" customHeight="false" outlineLevel="0" collapsed="false">
      <c r="A2376" s="0" t="n">
        <v>22</v>
      </c>
      <c r="B2376" s="8" t="s">
        <v>24</v>
      </c>
      <c r="C2376" s="9" t="s">
        <v>25</v>
      </c>
      <c r="D2376" s="9" t="s">
        <v>26</v>
      </c>
      <c r="E2376" s="10" t="n">
        <v>1789</v>
      </c>
      <c r="F2376" s="9" t="s">
        <v>27</v>
      </c>
      <c r="G2376" s="9" t="s">
        <v>27</v>
      </c>
      <c r="H2376" s="11" t="n">
        <v>25</v>
      </c>
      <c r="I2376" s="11" t="s">
        <v>351</v>
      </c>
      <c r="J2376" s="14" t="n">
        <v>60</v>
      </c>
      <c r="K2376" s="14"/>
      <c r="L2376" s="16"/>
      <c r="M2376" s="27" t="n">
        <f aca="false">J2376+(K2376/20)+(L2376/240)</f>
        <v>60</v>
      </c>
      <c r="N2376" s="17" t="s">
        <v>69</v>
      </c>
      <c r="O2376" s="11"/>
      <c r="P2376" s="28"/>
      <c r="Q2376" s="28" t="n">
        <f aca="false">P2376*$M2376</f>
        <v>0</v>
      </c>
      <c r="R2376" s="28"/>
      <c r="S2376" s="28" t="n">
        <f aca="false">R2376*$M2376</f>
        <v>0</v>
      </c>
      <c r="T2376" s="28" t="n">
        <v>20</v>
      </c>
      <c r="U2376" s="28" t="n">
        <v>1200</v>
      </c>
      <c r="V2376" s="28" t="n">
        <v>82</v>
      </c>
      <c r="W2376" s="28" t="n">
        <v>4920</v>
      </c>
      <c r="X2376" s="28"/>
      <c r="Y2376" s="28" t="n">
        <f aca="false">X2376*$M2376</f>
        <v>0</v>
      </c>
      <c r="Z2376" s="28"/>
      <c r="AA2376" s="28" t="n">
        <f aca="false">Z2376*$M2376</f>
        <v>0</v>
      </c>
      <c r="AB2376" s="28"/>
      <c r="AC2376" s="28" t="n">
        <f aca="false">AB2376*$M2376</f>
        <v>0</v>
      </c>
      <c r="AD2376" s="28"/>
      <c r="AE2376" s="28" t="n">
        <f aca="false">AD2376*$M2376</f>
        <v>0</v>
      </c>
      <c r="AF2376" s="28"/>
      <c r="AG2376" s="28" t="n">
        <f aca="false">AF2376*$M2376</f>
        <v>0</v>
      </c>
      <c r="AH2376" s="28"/>
      <c r="AI2376" s="28" t="n">
        <f aca="false">AH2376*$M2376</f>
        <v>0</v>
      </c>
      <c r="AJ2376" s="28"/>
      <c r="AK2376" s="28" t="n">
        <f aca="false">AJ2376*$M2376</f>
        <v>0</v>
      </c>
      <c r="AL2376" s="28"/>
      <c r="AM2376" s="28" t="n">
        <f aca="false">AL2376*$M2376</f>
        <v>0</v>
      </c>
      <c r="AN2376" s="28"/>
      <c r="AO2376" s="28" t="n">
        <f aca="false">AN2376*$M2376</f>
        <v>0</v>
      </c>
      <c r="AP2376" s="28"/>
      <c r="AQ2376" s="28" t="n">
        <f aca="false">AP2376*$M2376</f>
        <v>0</v>
      </c>
      <c r="AR2376" s="28"/>
      <c r="AS2376" s="28" t="n">
        <f aca="false">AR2376*$M2376</f>
        <v>0</v>
      </c>
      <c r="AT2376" s="28"/>
      <c r="AU2376" s="28" t="n">
        <f aca="false">AT2376*$M2376</f>
        <v>0</v>
      </c>
      <c r="AV2376" s="28"/>
      <c r="AW2376" s="28" t="n">
        <f aca="false">AV2376*$M2376</f>
        <v>0</v>
      </c>
      <c r="AX2376" s="28"/>
      <c r="AY2376" s="28" t="n">
        <f aca="false">AX2376*$M2376</f>
        <v>0</v>
      </c>
      <c r="AZ2376" s="30" t="n">
        <v>102</v>
      </c>
      <c r="BA2376" s="11" t="n">
        <v>6120</v>
      </c>
      <c r="BB2376" s="31" t="n">
        <f aca="false">SUM(Q2376,S2376,U2376,W2376,Y2376,AA2376,AC2376,AE2376,AG2376,AI2376,AK2376,AM2376,AO2376,AQ2376,AS2376,AU2376,AW2376,AY2376)</f>
        <v>6120</v>
      </c>
      <c r="BC2376" s="28" t="n">
        <f aca="false">BA2376-BB2376</f>
        <v>0</v>
      </c>
      <c r="BD2376" s="32" t="n">
        <f aca="false">SUM(P2376,R2376,T2376,V2376,X2376,Z2376,AB2376,AD2376,AF2376,AH2376,AJ2376,AL2376,AN2376,AP2376,AR2376,AT2376,AV2376,AX2376)</f>
        <v>102</v>
      </c>
      <c r="BE2376" s="33" t="n">
        <f aca="false">AZ2376-BD2376</f>
        <v>0</v>
      </c>
      <c r="BF2376" s="34" t="n">
        <f aca="false">BD2376*M2376</f>
        <v>6120</v>
      </c>
      <c r="BG2376" s="35" t="n">
        <f aca="false">BA2376-BF2376</f>
        <v>0</v>
      </c>
      <c r="BH2376" s="19" t="str">
        <f aca="false">IF(BG2376=0,"",IF(BG2376&lt;&gt;BA2376,"erreur de calcul",IF(BD2376&lt;&gt;0,"pas de prix",IF(M2376&lt;&gt; 0,"pas de quantité","pas de prix, ni de quantité"))))</f>
        <v/>
      </c>
      <c r="BI2376" s="19"/>
    </row>
    <row r="2377" customFormat="false" ht="15" hidden="false" customHeight="false" outlineLevel="0" collapsed="false">
      <c r="A2377" s="0" t="n">
        <v>23</v>
      </c>
      <c r="B2377" s="8" t="s">
        <v>24</v>
      </c>
      <c r="C2377" s="9" t="s">
        <v>25</v>
      </c>
      <c r="D2377" s="9" t="s">
        <v>26</v>
      </c>
      <c r="E2377" s="10" t="n">
        <v>1789</v>
      </c>
      <c r="F2377" s="9" t="s">
        <v>27</v>
      </c>
      <c r="G2377" s="9" t="s">
        <v>27</v>
      </c>
      <c r="H2377" s="11" t="n">
        <v>25</v>
      </c>
      <c r="I2377" s="11" t="s">
        <v>352</v>
      </c>
      <c r="J2377" s="14" t="n">
        <v>150</v>
      </c>
      <c r="K2377" s="14"/>
      <c r="L2377" s="16"/>
      <c r="M2377" s="27" t="n">
        <f aca="false">J2377+(K2377/20)+(L2377/240)</f>
        <v>150</v>
      </c>
      <c r="N2377" s="17" t="s">
        <v>64</v>
      </c>
      <c r="O2377" s="11"/>
      <c r="P2377" s="28" t="n">
        <f aca="false">274/100</f>
        <v>2.74</v>
      </c>
      <c r="Q2377" s="28" t="n">
        <v>411</v>
      </c>
      <c r="R2377" s="28"/>
      <c r="S2377" s="28" t="n">
        <f aca="false">R2377*$M2377</f>
        <v>0</v>
      </c>
      <c r="T2377" s="28" t="n">
        <f aca="false">3042/100</f>
        <v>30.42</v>
      </c>
      <c r="U2377" s="28" t="n">
        <v>4563</v>
      </c>
      <c r="V2377" s="28"/>
      <c r="W2377" s="28" t="n">
        <f aca="false">V2377*$M2377</f>
        <v>0</v>
      </c>
      <c r="X2377" s="28"/>
      <c r="Y2377" s="28" t="n">
        <f aca="false">X2377*$M2377</f>
        <v>0</v>
      </c>
      <c r="Z2377" s="28"/>
      <c r="AA2377" s="28" t="n">
        <f aca="false">Z2377*$M2377</f>
        <v>0</v>
      </c>
      <c r="AB2377" s="28" t="n">
        <f aca="false">92/100</f>
        <v>0.92</v>
      </c>
      <c r="AC2377" s="28" t="n">
        <v>138</v>
      </c>
      <c r="AD2377" s="28"/>
      <c r="AE2377" s="28" t="n">
        <f aca="false">AD2377*$M2377</f>
        <v>0</v>
      </c>
      <c r="AF2377" s="28"/>
      <c r="AG2377" s="28" t="n">
        <f aca="false">AF2377*$M2377</f>
        <v>0</v>
      </c>
      <c r="AH2377" s="28"/>
      <c r="AI2377" s="28" t="n">
        <f aca="false">AH2377*$M2377</f>
        <v>0</v>
      </c>
      <c r="AJ2377" s="28"/>
      <c r="AK2377" s="28" t="n">
        <f aca="false">AJ2377*$M2377</f>
        <v>0</v>
      </c>
      <c r="AL2377" s="28"/>
      <c r="AM2377" s="28" t="n">
        <f aca="false">AL2377*$M2377</f>
        <v>0</v>
      </c>
      <c r="AN2377" s="28"/>
      <c r="AO2377" s="28" t="n">
        <f aca="false">AN2377*$M2377</f>
        <v>0</v>
      </c>
      <c r="AP2377" s="28"/>
      <c r="AQ2377" s="28" t="n">
        <f aca="false">AP2377*$M2377</f>
        <v>0</v>
      </c>
      <c r="AR2377" s="28"/>
      <c r="AS2377" s="28" t="n">
        <f aca="false">AR2377*$M2377</f>
        <v>0</v>
      </c>
      <c r="AT2377" s="28"/>
      <c r="AU2377" s="28" t="n">
        <f aca="false">AT2377*$M2377</f>
        <v>0</v>
      </c>
      <c r="AV2377" s="28"/>
      <c r="AW2377" s="28" t="n">
        <f aca="false">AV2377*$M2377</f>
        <v>0</v>
      </c>
      <c r="AX2377" s="28"/>
      <c r="AY2377" s="28" t="n">
        <f aca="false">AX2377*$M2377</f>
        <v>0</v>
      </c>
      <c r="AZ2377" s="30" t="n">
        <f aca="false">3408/100</f>
        <v>34.08</v>
      </c>
      <c r="BA2377" s="11" t="n">
        <v>5112</v>
      </c>
      <c r="BB2377" s="31" t="n">
        <f aca="false">SUM(Q2377,S2377,U2377,W2377,Y2377,AA2377,AC2377,AE2377,AG2377,AI2377,AK2377,AM2377,AO2377,AQ2377,AS2377,AU2377,AW2377,AY2377)</f>
        <v>5112</v>
      </c>
      <c r="BC2377" s="28" t="n">
        <f aca="false">BA2377-BB2377</f>
        <v>0</v>
      </c>
      <c r="BD2377" s="32" t="n">
        <f aca="false">SUM(P2377,R2377,T2377,V2377,X2377,Z2377,AB2377,AD2377,AF2377,AH2377,AJ2377,AL2377,AN2377,AP2377,AR2377,AT2377,AV2377,AX2377)</f>
        <v>34.08</v>
      </c>
      <c r="BE2377" s="33" t="n">
        <f aca="false">AZ2377-BD2377</f>
        <v>0</v>
      </c>
      <c r="BF2377" s="34" t="n">
        <f aca="false">BD2377*M2377</f>
        <v>5112</v>
      </c>
      <c r="BG2377" s="35" t="n">
        <f aca="false">BA2377-BF2377</f>
        <v>0</v>
      </c>
      <c r="BH2377" s="19" t="str">
        <f aca="false">IF(BG2377=0,"",IF(BG2377&lt;&gt;BA2377,"erreur de calcul",IF(BD2377&lt;&gt;0,"pas de prix",IF(M2377&lt;&gt; 0,"pas de quantité","pas de prix, ni de quantité"))))</f>
        <v/>
      </c>
      <c r="BI2377" s="19"/>
    </row>
    <row r="2378" customFormat="false" ht="15" hidden="false" customHeight="false" outlineLevel="0" collapsed="false">
      <c r="A2378" s="0" t="n">
        <v>24</v>
      </c>
      <c r="B2378" s="8" t="s">
        <v>24</v>
      </c>
      <c r="C2378" s="9" t="s">
        <v>25</v>
      </c>
      <c r="D2378" s="9" t="s">
        <v>26</v>
      </c>
      <c r="E2378" s="10" t="n">
        <v>1789</v>
      </c>
      <c r="F2378" s="9" t="s">
        <v>27</v>
      </c>
      <c r="G2378" s="9" t="s">
        <v>27</v>
      </c>
      <c r="H2378" s="11" t="n">
        <v>25</v>
      </c>
      <c r="I2378" s="11" t="s">
        <v>353</v>
      </c>
      <c r="J2378" s="14" t="n">
        <v>40</v>
      </c>
      <c r="K2378" s="14"/>
      <c r="L2378" s="16"/>
      <c r="M2378" s="27" t="n">
        <f aca="false">J2378+(K2378/20)+(L2378/240)</f>
        <v>40</v>
      </c>
      <c r="N2378" s="17" t="s">
        <v>64</v>
      </c>
      <c r="O2378" s="11"/>
      <c r="P2378" s="28"/>
      <c r="Q2378" s="28" t="n">
        <f aca="false">P2378*$M2378</f>
        <v>0</v>
      </c>
      <c r="R2378" s="28"/>
      <c r="S2378" s="28" t="n">
        <f aca="false">R2378*$M2378</f>
        <v>0</v>
      </c>
      <c r="T2378" s="28"/>
      <c r="U2378" s="28" t="n">
        <f aca="false">T2378*$M2378</f>
        <v>0</v>
      </c>
      <c r="V2378" s="28" t="n">
        <f aca="false">4960/100</f>
        <v>49.6</v>
      </c>
      <c r="W2378" s="28" t="n">
        <v>1984</v>
      </c>
      <c r="X2378" s="28" t="n">
        <f aca="false">394/100</f>
        <v>3.94</v>
      </c>
      <c r="Y2378" s="28" t="n">
        <v>158</v>
      </c>
      <c r="Z2378" s="28"/>
      <c r="AA2378" s="28" t="n">
        <f aca="false">Z2378*$M2378</f>
        <v>0</v>
      </c>
      <c r="AB2378" s="28"/>
      <c r="AC2378" s="28" t="n">
        <f aca="false">AB2378*$M2378</f>
        <v>0</v>
      </c>
      <c r="AD2378" s="28"/>
      <c r="AE2378" s="28" t="n">
        <f aca="false">AD2378*$M2378</f>
        <v>0</v>
      </c>
      <c r="AF2378" s="28"/>
      <c r="AG2378" s="28" t="n">
        <f aca="false">AF2378*$M2378</f>
        <v>0</v>
      </c>
      <c r="AH2378" s="28"/>
      <c r="AI2378" s="28" t="n">
        <f aca="false">AH2378*$M2378</f>
        <v>0</v>
      </c>
      <c r="AJ2378" s="28"/>
      <c r="AK2378" s="28" t="n">
        <f aca="false">AJ2378*$M2378</f>
        <v>0</v>
      </c>
      <c r="AL2378" s="28"/>
      <c r="AM2378" s="28" t="n">
        <f aca="false">AL2378*$M2378</f>
        <v>0</v>
      </c>
      <c r="AN2378" s="28"/>
      <c r="AO2378" s="28" t="n">
        <f aca="false">AN2378*$M2378</f>
        <v>0</v>
      </c>
      <c r="AP2378" s="28"/>
      <c r="AQ2378" s="28" t="n">
        <f aca="false">AP2378*$M2378</f>
        <v>0</v>
      </c>
      <c r="AR2378" s="28"/>
      <c r="AS2378" s="28" t="n">
        <f aca="false">AR2378*$M2378</f>
        <v>0</v>
      </c>
      <c r="AT2378" s="28"/>
      <c r="AU2378" s="28" t="n">
        <f aca="false">AT2378*$M2378</f>
        <v>0</v>
      </c>
      <c r="AV2378" s="28"/>
      <c r="AW2378" s="28" t="n">
        <f aca="false">AV2378*$M2378</f>
        <v>0</v>
      </c>
      <c r="AX2378" s="28"/>
      <c r="AY2378" s="28" t="n">
        <f aca="false">AX2378*$M2378</f>
        <v>0</v>
      </c>
      <c r="AZ2378" s="30" t="n">
        <f aca="false">5354/100</f>
        <v>53.54</v>
      </c>
      <c r="BA2378" s="11" t="n">
        <v>2142</v>
      </c>
      <c r="BB2378" s="31" t="n">
        <f aca="false">SUM(Q2378,S2378,U2378,W2378,Y2378,AA2378,AC2378,AE2378,AG2378,AI2378,AK2378,AM2378,AO2378,AQ2378,AS2378,AU2378,AW2378,AY2378)</f>
        <v>2142</v>
      </c>
      <c r="BC2378" s="28" t="n">
        <f aca="false">BA2378-BB2378</f>
        <v>0</v>
      </c>
      <c r="BD2378" s="32" t="n">
        <f aca="false">SUM(P2378,R2378,T2378,V2378,X2378,Z2378,AB2378,AD2378,AF2378,AH2378,AJ2378,AL2378,AN2378,AP2378,AR2378,AT2378,AV2378,AX2378)</f>
        <v>53.54</v>
      </c>
      <c r="BE2378" s="33" t="n">
        <f aca="false">AZ2378-BD2378</f>
        <v>0</v>
      </c>
      <c r="BF2378" s="34" t="n">
        <f aca="false">BD2378*M2378</f>
        <v>2141.6</v>
      </c>
      <c r="BG2378" s="35" t="n">
        <f aca="false">BA2378-BF2378</f>
        <v>0.400000000000091</v>
      </c>
      <c r="BH2378" s="19" t="str">
        <f aca="false">IF(BG2378=0,"",IF(BG2378&lt;&gt;BA2378,"erreur de calcul",IF(BD2378&lt;&gt;0,"pas de prix",IF(M2378&lt;&gt; 0,"pas de quantité","pas de prix, ni de quantité"))))</f>
        <v>erreur de calcul</v>
      </c>
      <c r="BI2378" s="19"/>
    </row>
    <row r="2379" customFormat="false" ht="15" hidden="false" customHeight="false" outlineLevel="0" collapsed="false">
      <c r="A2379" s="0" t="n">
        <v>25</v>
      </c>
      <c r="B2379" s="8" t="s">
        <v>24</v>
      </c>
      <c r="C2379" s="9" t="s">
        <v>25</v>
      </c>
      <c r="D2379" s="9" t="s">
        <v>26</v>
      </c>
      <c r="E2379" s="10" t="n">
        <v>1789</v>
      </c>
      <c r="F2379" s="9" t="s">
        <v>27</v>
      </c>
      <c r="G2379" s="9" t="s">
        <v>27</v>
      </c>
      <c r="H2379" s="11" t="n">
        <v>25</v>
      </c>
      <c r="I2379" s="11" t="s">
        <v>354</v>
      </c>
      <c r="J2379" s="14" t="n">
        <v>200</v>
      </c>
      <c r="K2379" s="14"/>
      <c r="L2379" s="16"/>
      <c r="M2379" s="27" t="n">
        <f aca="false">J2379+(K2379/20)+(L2379/240)</f>
        <v>200</v>
      </c>
      <c r="N2379" s="17" t="s">
        <v>64</v>
      </c>
      <c r="O2379" s="11"/>
      <c r="P2379" s="28"/>
      <c r="Q2379" s="28" t="n">
        <f aca="false">P2379*$M2379</f>
        <v>0</v>
      </c>
      <c r="R2379" s="28"/>
      <c r="S2379" s="28" t="n">
        <f aca="false">R2379*$M2379</f>
        <v>0</v>
      </c>
      <c r="T2379" s="28" t="n">
        <f aca="false">4367/100</f>
        <v>43.67</v>
      </c>
      <c r="U2379" s="28" t="n">
        <v>8734</v>
      </c>
      <c r="V2379" s="28" t="n">
        <f aca="false">346/100</f>
        <v>3.46</v>
      </c>
      <c r="W2379" s="28" t="n">
        <v>692</v>
      </c>
      <c r="X2379" s="28"/>
      <c r="Y2379" s="28" t="n">
        <f aca="false">X2379*$M2379</f>
        <v>0</v>
      </c>
      <c r="Z2379" s="28"/>
      <c r="AA2379" s="28" t="n">
        <f aca="false">Z2379*$M2379</f>
        <v>0</v>
      </c>
      <c r="AB2379" s="28"/>
      <c r="AC2379" s="28" t="n">
        <f aca="false">AB2379*$M2379</f>
        <v>0</v>
      </c>
      <c r="AD2379" s="28"/>
      <c r="AE2379" s="28" t="n">
        <f aca="false">AD2379*$M2379</f>
        <v>0</v>
      </c>
      <c r="AF2379" s="28"/>
      <c r="AG2379" s="28" t="n">
        <f aca="false">AF2379*$M2379</f>
        <v>0</v>
      </c>
      <c r="AH2379" s="28"/>
      <c r="AI2379" s="28" t="n">
        <f aca="false">AH2379*$M2379</f>
        <v>0</v>
      </c>
      <c r="AJ2379" s="28"/>
      <c r="AK2379" s="28" t="n">
        <f aca="false">AJ2379*$M2379</f>
        <v>0</v>
      </c>
      <c r="AL2379" s="28"/>
      <c r="AM2379" s="28" t="n">
        <f aca="false">AL2379*$M2379</f>
        <v>0</v>
      </c>
      <c r="AN2379" s="28"/>
      <c r="AO2379" s="28" t="n">
        <f aca="false">AN2379*$M2379</f>
        <v>0</v>
      </c>
      <c r="AP2379" s="28"/>
      <c r="AQ2379" s="28" t="n">
        <f aca="false">AP2379*$M2379</f>
        <v>0</v>
      </c>
      <c r="AR2379" s="28"/>
      <c r="AS2379" s="28" t="n">
        <f aca="false">AR2379*$M2379</f>
        <v>0</v>
      </c>
      <c r="AT2379" s="28"/>
      <c r="AU2379" s="28" t="n">
        <f aca="false">AT2379*$M2379</f>
        <v>0</v>
      </c>
      <c r="AV2379" s="28"/>
      <c r="AW2379" s="28" t="n">
        <f aca="false">AV2379*$M2379</f>
        <v>0</v>
      </c>
      <c r="AX2379" s="28"/>
      <c r="AY2379" s="28" t="n">
        <f aca="false">AX2379*$M2379</f>
        <v>0</v>
      </c>
      <c r="AZ2379" s="30" t="n">
        <f aca="false">4713/100</f>
        <v>47.13</v>
      </c>
      <c r="BA2379" s="11" t="n">
        <v>9426</v>
      </c>
      <c r="BB2379" s="31" t="n">
        <f aca="false">SUM(Q2379,S2379,U2379,W2379,Y2379,AA2379,AC2379,AE2379,AG2379,AI2379,AK2379,AM2379,AO2379,AQ2379,AS2379,AU2379,AW2379,AY2379)</f>
        <v>9426</v>
      </c>
      <c r="BC2379" s="28" t="n">
        <f aca="false">BA2379-BB2379</f>
        <v>0</v>
      </c>
      <c r="BD2379" s="32" t="n">
        <f aca="false">SUM(P2379,R2379,T2379,V2379,X2379,Z2379,AB2379,AD2379,AF2379,AH2379,AJ2379,AL2379,AN2379,AP2379,AR2379,AT2379,AV2379,AX2379)</f>
        <v>47.13</v>
      </c>
      <c r="BE2379" s="33" t="n">
        <f aca="false">AZ2379-BD2379</f>
        <v>0</v>
      </c>
      <c r="BF2379" s="34" t="n">
        <f aca="false">BD2379*M2379</f>
        <v>9426</v>
      </c>
      <c r="BG2379" s="35" t="n">
        <f aca="false">BA2379-BF2379</f>
        <v>0</v>
      </c>
      <c r="BH2379" s="19" t="str">
        <f aca="false">IF(BG2379=0,"",IF(BG2379&lt;&gt;BA2379,"erreur de calcul",IF(BD2379&lt;&gt;0,"pas de prix",IF(M2379&lt;&gt; 0,"pas de quantité","pas de prix, ni de quantité"))))</f>
        <v/>
      </c>
      <c r="BI2379" s="19"/>
    </row>
    <row r="2380" customFormat="false" ht="15" hidden="false" customHeight="false" outlineLevel="0" collapsed="false">
      <c r="A2380" s="0" t="n">
        <v>26</v>
      </c>
      <c r="B2380" s="8" t="s">
        <v>24</v>
      </c>
      <c r="C2380" s="9" t="s">
        <v>25</v>
      </c>
      <c r="D2380" s="9" t="s">
        <v>26</v>
      </c>
      <c r="E2380" s="10" t="n">
        <v>1789</v>
      </c>
      <c r="F2380" s="9" t="s">
        <v>27</v>
      </c>
      <c r="G2380" s="9" t="s">
        <v>27</v>
      </c>
      <c r="H2380" s="11" t="n">
        <v>25</v>
      </c>
      <c r="I2380" s="11" t="s">
        <v>355</v>
      </c>
      <c r="J2380" s="14" t="n">
        <v>200</v>
      </c>
      <c r="K2380" s="14"/>
      <c r="L2380" s="16"/>
      <c r="M2380" s="27" t="n">
        <f aca="false">J2380+(K2380/20)+(L2380/240)</f>
        <v>200</v>
      </c>
      <c r="N2380" s="17" t="s">
        <v>64</v>
      </c>
      <c r="O2380" s="11"/>
      <c r="P2380" s="28"/>
      <c r="Q2380" s="28" t="n">
        <f aca="false">P2380*$M2380</f>
        <v>0</v>
      </c>
      <c r="R2380" s="28"/>
      <c r="S2380" s="28" t="n">
        <f aca="false">R2380*$M2380</f>
        <v>0</v>
      </c>
      <c r="T2380" s="28" t="n">
        <f aca="false">2471/100</f>
        <v>24.71</v>
      </c>
      <c r="U2380" s="28" t="n">
        <v>4942</v>
      </c>
      <c r="V2380" s="28"/>
      <c r="W2380" s="28" t="n">
        <f aca="false">V2380*$M2380</f>
        <v>0</v>
      </c>
      <c r="X2380" s="28"/>
      <c r="Y2380" s="28" t="n">
        <f aca="false">X2380*$M2380</f>
        <v>0</v>
      </c>
      <c r="Z2380" s="28"/>
      <c r="AA2380" s="28" t="n">
        <f aca="false">Z2380*$M2380</f>
        <v>0</v>
      </c>
      <c r="AB2380" s="28"/>
      <c r="AC2380" s="28" t="n">
        <f aca="false">AB2380*$M2380</f>
        <v>0</v>
      </c>
      <c r="AD2380" s="28"/>
      <c r="AE2380" s="28" t="n">
        <f aca="false">AD2380*$M2380</f>
        <v>0</v>
      </c>
      <c r="AF2380" s="28"/>
      <c r="AG2380" s="28" t="n">
        <f aca="false">AF2380*$M2380</f>
        <v>0</v>
      </c>
      <c r="AH2380" s="28"/>
      <c r="AI2380" s="28" t="n">
        <f aca="false">AH2380*$M2380</f>
        <v>0</v>
      </c>
      <c r="AJ2380" s="28"/>
      <c r="AK2380" s="28" t="n">
        <f aca="false">AJ2380*$M2380</f>
        <v>0</v>
      </c>
      <c r="AL2380" s="28"/>
      <c r="AM2380" s="28" t="n">
        <f aca="false">AL2380*$M2380</f>
        <v>0</v>
      </c>
      <c r="AN2380" s="28"/>
      <c r="AO2380" s="28" t="n">
        <f aca="false">AN2380*$M2380</f>
        <v>0</v>
      </c>
      <c r="AP2380" s="28"/>
      <c r="AQ2380" s="28" t="n">
        <f aca="false">AP2380*$M2380</f>
        <v>0</v>
      </c>
      <c r="AR2380" s="28"/>
      <c r="AS2380" s="28" t="n">
        <f aca="false">AR2380*$M2380</f>
        <v>0</v>
      </c>
      <c r="AT2380" s="28"/>
      <c r="AU2380" s="28" t="n">
        <f aca="false">AT2380*$M2380</f>
        <v>0</v>
      </c>
      <c r="AV2380" s="28"/>
      <c r="AW2380" s="28" t="n">
        <f aca="false">AV2380*$M2380</f>
        <v>0</v>
      </c>
      <c r="AX2380" s="28"/>
      <c r="AY2380" s="28" t="n">
        <f aca="false">AX2380*$M2380</f>
        <v>0</v>
      </c>
      <c r="AZ2380" s="30" t="n">
        <f aca="false">2471/100</f>
        <v>24.71</v>
      </c>
      <c r="BA2380" s="11" t="n">
        <v>4942</v>
      </c>
      <c r="BB2380" s="31" t="n">
        <f aca="false">SUM(Q2380,S2380,U2380,W2380,Y2380,AA2380,AC2380,AE2380,AG2380,AI2380,AK2380,AM2380,AO2380,AQ2380,AS2380,AU2380,AW2380,AY2380)</f>
        <v>4942</v>
      </c>
      <c r="BC2380" s="28" t="n">
        <f aca="false">BA2380-BB2380</f>
        <v>0</v>
      </c>
      <c r="BD2380" s="32" t="n">
        <f aca="false">SUM(P2380,R2380,T2380,V2380,X2380,Z2380,AB2380,AD2380,AF2380,AH2380,AJ2380,AL2380,AN2380,AP2380,AR2380,AT2380,AV2380,AX2380)</f>
        <v>24.71</v>
      </c>
      <c r="BE2380" s="33" t="n">
        <f aca="false">AZ2380-BD2380</f>
        <v>0</v>
      </c>
      <c r="BF2380" s="34" t="n">
        <f aca="false">BD2380*M2380</f>
        <v>4942</v>
      </c>
      <c r="BG2380" s="35" t="n">
        <f aca="false">BA2380-BF2380</f>
        <v>0</v>
      </c>
      <c r="BH2380" s="19" t="str">
        <f aca="false">IF(BG2380=0,"",IF(BG2380&lt;&gt;BA2380,"erreur de calcul",IF(BD2380&lt;&gt;0,"pas de prix",IF(M2380&lt;&gt; 0,"pas de quantité","pas de prix, ni de quantité"))))</f>
        <v/>
      </c>
      <c r="BI2380" s="19"/>
    </row>
    <row r="2381" customFormat="false" ht="15" hidden="false" customHeight="false" outlineLevel="0" collapsed="false">
      <c r="A2381" s="0" t="n">
        <v>27</v>
      </c>
      <c r="B2381" s="8" t="s">
        <v>24</v>
      </c>
      <c r="C2381" s="9" t="s">
        <v>25</v>
      </c>
      <c r="D2381" s="9" t="s">
        <v>26</v>
      </c>
      <c r="E2381" s="10" t="n">
        <v>1789</v>
      </c>
      <c r="F2381" s="9" t="s">
        <v>27</v>
      </c>
      <c r="G2381" s="9" t="s">
        <v>27</v>
      </c>
      <c r="H2381" s="11" t="n">
        <v>25</v>
      </c>
      <c r="I2381" s="11" t="s">
        <v>356</v>
      </c>
      <c r="J2381" s="14" t="n">
        <v>120</v>
      </c>
      <c r="K2381" s="14"/>
      <c r="L2381" s="16"/>
      <c r="M2381" s="27" t="n">
        <f aca="false">J2381+(K2381/20)+(L2381/240)</f>
        <v>120</v>
      </c>
      <c r="N2381" s="17" t="s">
        <v>64</v>
      </c>
      <c r="O2381" s="11"/>
      <c r="P2381" s="28"/>
      <c r="Q2381" s="28" t="n">
        <f aca="false">P2381*$M2381</f>
        <v>0</v>
      </c>
      <c r="R2381" s="28"/>
      <c r="S2381" s="28" t="n">
        <f aca="false">R2381*$M2381</f>
        <v>0</v>
      </c>
      <c r="T2381" s="28"/>
      <c r="U2381" s="28" t="n">
        <f aca="false">T2381*$M2381</f>
        <v>0</v>
      </c>
      <c r="V2381" s="28"/>
      <c r="W2381" s="28" t="n">
        <f aca="false">V2381*$M2381</f>
        <v>0</v>
      </c>
      <c r="X2381" s="28"/>
      <c r="Y2381" s="28" t="n">
        <f aca="false">X2381*$M2381</f>
        <v>0</v>
      </c>
      <c r="Z2381" s="28"/>
      <c r="AA2381" s="28" t="n">
        <f aca="false">Z2381*$M2381</f>
        <v>0</v>
      </c>
      <c r="AB2381" s="28"/>
      <c r="AC2381" s="28" t="n">
        <f aca="false">AB2381*$M2381</f>
        <v>0</v>
      </c>
      <c r="AD2381" s="28"/>
      <c r="AE2381" s="28" t="n">
        <f aca="false">AD2381*$M2381</f>
        <v>0</v>
      </c>
      <c r="AF2381" s="28"/>
      <c r="AG2381" s="28" t="n">
        <f aca="false">AF2381*$M2381</f>
        <v>0</v>
      </c>
      <c r="AH2381" s="28"/>
      <c r="AI2381" s="28" t="n">
        <f aca="false">AH2381*$M2381</f>
        <v>0</v>
      </c>
      <c r="AJ2381" s="28"/>
      <c r="AK2381" s="28" t="n">
        <f aca="false">AJ2381*$M2381</f>
        <v>0</v>
      </c>
      <c r="AL2381" s="28"/>
      <c r="AM2381" s="28" t="n">
        <f aca="false">AL2381*$M2381</f>
        <v>0</v>
      </c>
      <c r="AN2381" s="28" t="n">
        <f aca="false">407/100</f>
        <v>4.07</v>
      </c>
      <c r="AO2381" s="28" t="n">
        <v>488</v>
      </c>
      <c r="AP2381" s="28"/>
      <c r="AQ2381" s="28" t="n">
        <f aca="false">AP2381*$M2381</f>
        <v>0</v>
      </c>
      <c r="AR2381" s="28"/>
      <c r="AS2381" s="28" t="n">
        <f aca="false">AR2381*$M2381</f>
        <v>0</v>
      </c>
      <c r="AT2381" s="28"/>
      <c r="AU2381" s="28" t="n">
        <f aca="false">AT2381*$M2381</f>
        <v>0</v>
      </c>
      <c r="AV2381" s="28"/>
      <c r="AW2381" s="28" t="n">
        <f aca="false">AV2381*$M2381</f>
        <v>0</v>
      </c>
      <c r="AX2381" s="28"/>
      <c r="AY2381" s="28" t="n">
        <f aca="false">AX2381*$M2381</f>
        <v>0</v>
      </c>
      <c r="AZ2381" s="30" t="n">
        <f aca="false">407/100</f>
        <v>4.07</v>
      </c>
      <c r="BA2381" s="11" t="n">
        <v>488</v>
      </c>
      <c r="BB2381" s="31" t="n">
        <f aca="false">SUM(Q2381,S2381,U2381,W2381,Y2381,AA2381,AC2381,AE2381,AG2381,AI2381,AK2381,AM2381,AO2381,AQ2381,AS2381,AU2381,AW2381,AY2381)</f>
        <v>488</v>
      </c>
      <c r="BC2381" s="28" t="n">
        <f aca="false">BA2381-BB2381</f>
        <v>0</v>
      </c>
      <c r="BD2381" s="32" t="n">
        <f aca="false">SUM(P2381,R2381,T2381,V2381,X2381,Z2381,AB2381,AD2381,AF2381,AH2381,AJ2381,AL2381,AN2381,AP2381,AR2381,AT2381,AV2381,AX2381)</f>
        <v>4.07</v>
      </c>
      <c r="BE2381" s="33" t="n">
        <f aca="false">AZ2381-BD2381</f>
        <v>0</v>
      </c>
      <c r="BF2381" s="34" t="n">
        <f aca="false">BD2381*M2381</f>
        <v>488.4</v>
      </c>
      <c r="BG2381" s="35" t="n">
        <f aca="false">BA2381-BF2381</f>
        <v>-0.400000000000034</v>
      </c>
      <c r="BH2381" s="19" t="str">
        <f aca="false">IF(BG2381=0,"",IF(BG2381&lt;&gt;BA2381,"erreur de calcul",IF(BD2381&lt;&gt;0,"pas de prix",IF(M2381&lt;&gt; 0,"pas de quantité","pas de prix, ni de quantité"))))</f>
        <v>erreur de calcul</v>
      </c>
      <c r="BI2381" s="19"/>
    </row>
    <row r="2382" customFormat="false" ht="15" hidden="false" customHeight="false" outlineLevel="0" collapsed="false">
      <c r="A2382" s="0" t="n">
        <v>28</v>
      </c>
      <c r="B2382" s="8" t="s">
        <v>24</v>
      </c>
      <c r="C2382" s="9" t="s">
        <v>25</v>
      </c>
      <c r="D2382" s="9" t="s">
        <v>26</v>
      </c>
      <c r="E2382" s="10" t="n">
        <v>1789</v>
      </c>
      <c r="F2382" s="9" t="s">
        <v>27</v>
      </c>
      <c r="G2382" s="9" t="s">
        <v>27</v>
      </c>
      <c r="H2382" s="11" t="n">
        <v>25</v>
      </c>
      <c r="I2382" s="11" t="s">
        <v>357</v>
      </c>
      <c r="J2382" s="14" t="n">
        <v>30</v>
      </c>
      <c r="K2382" s="14"/>
      <c r="L2382" s="16"/>
      <c r="M2382" s="27" t="n">
        <f aca="false">J2382+(K2382/20)+(L2382/240)</f>
        <v>30</v>
      </c>
      <c r="N2382" s="17" t="s">
        <v>64</v>
      </c>
      <c r="O2382" s="11"/>
      <c r="P2382" s="28"/>
      <c r="Q2382" s="28" t="n">
        <f aca="false">P2382*$M2382</f>
        <v>0</v>
      </c>
      <c r="R2382" s="28"/>
      <c r="S2382" s="28" t="n">
        <f aca="false">R2382*$M2382</f>
        <v>0</v>
      </c>
      <c r="T2382" s="28" t="n">
        <f aca="false">8903/100</f>
        <v>89.03</v>
      </c>
      <c r="U2382" s="28" t="n">
        <v>2671</v>
      </c>
      <c r="V2382" s="28" t="n">
        <f aca="false">2591/100</f>
        <v>25.91</v>
      </c>
      <c r="W2382" s="28" t="n">
        <v>777</v>
      </c>
      <c r="X2382" s="28"/>
      <c r="Y2382" s="28" t="n">
        <f aca="false">X2382*$M2382</f>
        <v>0</v>
      </c>
      <c r="Z2382" s="28" t="n">
        <f aca="false">17041/100</f>
        <v>170.41</v>
      </c>
      <c r="AA2382" s="28" t="n">
        <v>5112</v>
      </c>
      <c r="AB2382" s="28" t="n">
        <f aca="false">42963/100</f>
        <v>429.63</v>
      </c>
      <c r="AC2382" s="28" t="n">
        <v>12889</v>
      </c>
      <c r="AD2382" s="28"/>
      <c r="AE2382" s="28" t="n">
        <f aca="false">AD2382*$M2382</f>
        <v>0</v>
      </c>
      <c r="AF2382" s="28" t="n">
        <f aca="false">138369/100</f>
        <v>1383.69</v>
      </c>
      <c r="AG2382" s="28" t="n">
        <v>41511</v>
      </c>
      <c r="AH2382" s="28"/>
      <c r="AI2382" s="28" t="n">
        <f aca="false">AH2382*$M2382</f>
        <v>0</v>
      </c>
      <c r="AJ2382" s="28"/>
      <c r="AK2382" s="28" t="n">
        <f aca="false">AJ2382*$M2382</f>
        <v>0</v>
      </c>
      <c r="AL2382" s="28"/>
      <c r="AM2382" s="28" t="n">
        <f aca="false">AL2382*$M2382</f>
        <v>0</v>
      </c>
      <c r="AN2382" s="28"/>
      <c r="AO2382" s="28" t="n">
        <f aca="false">AN2382*$M2382</f>
        <v>0</v>
      </c>
      <c r="AP2382" s="28"/>
      <c r="AQ2382" s="28" t="n">
        <f aca="false">AP2382*$M2382</f>
        <v>0</v>
      </c>
      <c r="AR2382" s="28"/>
      <c r="AS2382" s="28" t="n">
        <f aca="false">AR2382*$M2382</f>
        <v>0</v>
      </c>
      <c r="AT2382" s="28"/>
      <c r="AU2382" s="28" t="n">
        <f aca="false">AT2382*$M2382</f>
        <v>0</v>
      </c>
      <c r="AV2382" s="28"/>
      <c r="AW2382" s="28" t="n">
        <f aca="false">AV2382*$M2382</f>
        <v>0</v>
      </c>
      <c r="AX2382" s="28"/>
      <c r="AY2382" s="28" t="n">
        <f aca="false">AX2382*$M2382</f>
        <v>0</v>
      </c>
      <c r="AZ2382" s="30" t="n">
        <f aca="false">209867/100</f>
        <v>2098.67</v>
      </c>
      <c r="BA2382" s="11" t="n">
        <v>62960</v>
      </c>
      <c r="BB2382" s="31" t="n">
        <f aca="false">SUM(Q2382,S2382,U2382,W2382,Y2382,AA2382,AC2382,AE2382,AG2382,AI2382,AK2382,AM2382,AO2382,AQ2382,AS2382,AU2382,AW2382,AY2382)</f>
        <v>62960</v>
      </c>
      <c r="BC2382" s="28" t="n">
        <f aca="false">BA2382-BB2382</f>
        <v>0</v>
      </c>
      <c r="BD2382" s="32" t="n">
        <f aca="false">SUM(P2382,R2382,T2382,V2382,X2382,Z2382,AB2382,AD2382,AF2382,AH2382,AJ2382,AL2382,AN2382,AP2382,AR2382,AT2382,AV2382,AX2382)</f>
        <v>2098.67</v>
      </c>
      <c r="BE2382" s="33" t="n">
        <f aca="false">AZ2382-BD2382</f>
        <v>0</v>
      </c>
      <c r="BF2382" s="34" t="n">
        <f aca="false">BD2382*M2382</f>
        <v>62960.1</v>
      </c>
      <c r="BG2382" s="35" t="n">
        <f aca="false">BA2382-BF2382</f>
        <v>-0.100000000013097</v>
      </c>
      <c r="BH2382" s="19" t="str">
        <f aca="false">IF(BG2382=0,"",IF(BG2382&lt;&gt;BA2382,"erreur de calcul",IF(BD2382&lt;&gt;0,"pas de prix",IF(M2382&lt;&gt; 0,"pas de quantité","pas de prix, ni de quantité"))))</f>
        <v>erreur de calcul</v>
      </c>
      <c r="BI2382" s="19"/>
    </row>
    <row r="2383" customFormat="false" ht="15" hidden="false" customHeight="false" outlineLevel="0" collapsed="false">
      <c r="A2383" s="0" t="n">
        <v>29</v>
      </c>
      <c r="B2383" s="8" t="s">
        <v>24</v>
      </c>
      <c r="C2383" s="9" t="s">
        <v>25</v>
      </c>
      <c r="D2383" s="9" t="s">
        <v>26</v>
      </c>
      <c r="E2383" s="10" t="n">
        <v>1789</v>
      </c>
      <c r="F2383" s="9" t="s">
        <v>27</v>
      </c>
      <c r="G2383" s="9" t="s">
        <v>27</v>
      </c>
      <c r="H2383" s="11" t="n">
        <v>25</v>
      </c>
      <c r="I2383" s="11" t="s">
        <v>358</v>
      </c>
      <c r="J2383" s="14" t="n">
        <v>35</v>
      </c>
      <c r="K2383" s="14"/>
      <c r="L2383" s="16"/>
      <c r="M2383" s="27" t="n">
        <f aca="false">J2383+(K2383/20)+(L2383/240)</f>
        <v>35</v>
      </c>
      <c r="N2383" s="17" t="s">
        <v>64</v>
      </c>
      <c r="O2383" s="11"/>
      <c r="P2383" s="28"/>
      <c r="Q2383" s="28" t="n">
        <f aca="false">P2383*$M2383</f>
        <v>0</v>
      </c>
      <c r="R2383" s="28"/>
      <c r="S2383" s="28" t="n">
        <f aca="false">R2383*$M2383</f>
        <v>0</v>
      </c>
      <c r="T2383" s="28" t="n">
        <f aca="false">62095/100</f>
        <v>620.95</v>
      </c>
      <c r="U2383" s="28" t="n">
        <v>21733</v>
      </c>
      <c r="V2383" s="28" t="n">
        <f aca="false">257918/100</f>
        <v>2579.18</v>
      </c>
      <c r="W2383" s="28" t="n">
        <v>90271</v>
      </c>
      <c r="X2383" s="28" t="n">
        <f aca="false">10723/100</f>
        <v>107.23</v>
      </c>
      <c r="Y2383" s="28" t="n">
        <v>3753</v>
      </c>
      <c r="Z2383" s="28" t="n">
        <f aca="false">21191/100</f>
        <v>211.91</v>
      </c>
      <c r="AA2383" s="28" t="n">
        <v>7417</v>
      </c>
      <c r="AB2383" s="28" t="n">
        <f aca="false">308781/100</f>
        <v>3087.81</v>
      </c>
      <c r="AC2383" s="28" t="n">
        <v>108073</v>
      </c>
      <c r="AD2383" s="28"/>
      <c r="AE2383" s="28" t="n">
        <f aca="false">AD2383*$M2383</f>
        <v>0</v>
      </c>
      <c r="AF2383" s="28" t="n">
        <f aca="false">5225/100</f>
        <v>52.25</v>
      </c>
      <c r="AG2383" s="28" t="n">
        <v>1829</v>
      </c>
      <c r="AH2383" s="28"/>
      <c r="AI2383" s="28" t="n">
        <f aca="false">AH2383*$M2383</f>
        <v>0</v>
      </c>
      <c r="AJ2383" s="28"/>
      <c r="AK2383" s="28" t="n">
        <f aca="false">AJ2383*$M2383</f>
        <v>0</v>
      </c>
      <c r="AL2383" s="28"/>
      <c r="AM2383" s="28" t="n">
        <f aca="false">AL2383*$M2383</f>
        <v>0</v>
      </c>
      <c r="AN2383" s="28"/>
      <c r="AO2383" s="28" t="n">
        <f aca="false">AN2383*$M2383</f>
        <v>0</v>
      </c>
      <c r="AP2383" s="28"/>
      <c r="AQ2383" s="28" t="n">
        <f aca="false">AP2383*$M2383</f>
        <v>0</v>
      </c>
      <c r="AR2383" s="28"/>
      <c r="AS2383" s="28" t="n">
        <f aca="false">AR2383*$M2383</f>
        <v>0</v>
      </c>
      <c r="AT2383" s="28"/>
      <c r="AU2383" s="28" t="n">
        <f aca="false">AT2383*$M2383</f>
        <v>0</v>
      </c>
      <c r="AV2383" s="28"/>
      <c r="AW2383" s="28" t="n">
        <f aca="false">AV2383*$M2383</f>
        <v>0</v>
      </c>
      <c r="AX2383" s="28"/>
      <c r="AY2383" s="28" t="n">
        <f aca="false">AX2383*$M2383</f>
        <v>0</v>
      </c>
      <c r="AZ2383" s="30" t="n">
        <f aca="false">665933/100</f>
        <v>6659.33</v>
      </c>
      <c r="BA2383" s="11" t="n">
        <v>233076</v>
      </c>
      <c r="BB2383" s="31" t="n">
        <f aca="false">SUM(Q2383,S2383,U2383,W2383,Y2383,AA2383,AC2383,AE2383,AG2383,AI2383,AK2383,AM2383,AO2383,AQ2383,AS2383,AU2383,AW2383,AY2383)</f>
        <v>233076</v>
      </c>
      <c r="BC2383" s="28" t="n">
        <f aca="false">BA2383-BB2383</f>
        <v>0</v>
      </c>
      <c r="BD2383" s="32" t="n">
        <f aca="false">SUM(P2383,R2383,T2383,V2383,X2383,Z2383,AB2383,AD2383,AF2383,AH2383,AJ2383,AL2383,AN2383,AP2383,AR2383,AT2383,AV2383,AX2383)</f>
        <v>6659.33</v>
      </c>
      <c r="BE2383" s="33" t="n">
        <f aca="false">AZ2383-BD2383</f>
        <v>0</v>
      </c>
      <c r="BF2383" s="34" t="n">
        <f aca="false">BD2383*M2383</f>
        <v>233076.55</v>
      </c>
      <c r="BG2383" s="35" t="n">
        <f aca="false">BA2383-BF2383</f>
        <v>-0.549999999959255</v>
      </c>
      <c r="BH2383" s="19" t="str">
        <f aca="false">IF(BG2383=0,"",IF(BG2383&lt;&gt;BA2383,"erreur de calcul",IF(BD2383&lt;&gt;0,"pas de prix",IF(M2383&lt;&gt; 0,"pas de quantité","pas de prix, ni de quantité"))))</f>
        <v>erreur de calcul</v>
      </c>
      <c r="BI2383" s="19"/>
    </row>
    <row r="2384" customFormat="false" ht="15" hidden="false" customHeight="false" outlineLevel="0" collapsed="false">
      <c r="A2384" s="0" t="n">
        <v>30</v>
      </c>
      <c r="B2384" s="8" t="s">
        <v>24</v>
      </c>
      <c r="C2384" s="9" t="s">
        <v>25</v>
      </c>
      <c r="D2384" s="9" t="s">
        <v>26</v>
      </c>
      <c r="E2384" s="10" t="n">
        <v>1789</v>
      </c>
      <c r="F2384" s="9" t="s">
        <v>27</v>
      </c>
      <c r="G2384" s="9" t="s">
        <v>27</v>
      </c>
      <c r="H2384" s="11" t="n">
        <v>25</v>
      </c>
      <c r="I2384" s="11" t="s">
        <v>359</v>
      </c>
      <c r="J2384" s="14"/>
      <c r="K2384" s="14"/>
      <c r="L2384" s="16"/>
      <c r="M2384" s="27" t="n">
        <f aca="false">J2384+(K2384/20)+(L2384/240)</f>
        <v>0</v>
      </c>
      <c r="N2384" s="17"/>
      <c r="O2384" s="11" t="s">
        <v>109</v>
      </c>
      <c r="P2384" s="28"/>
      <c r="Q2384" s="28" t="n">
        <f aca="false">P2384*$M2384</f>
        <v>0</v>
      </c>
      <c r="R2384" s="28"/>
      <c r="S2384" s="28" t="n">
        <f aca="false">R2384*$M2384</f>
        <v>0</v>
      </c>
      <c r="T2384" s="28"/>
      <c r="U2384" s="28" t="n">
        <f aca="false">T2384*$M2384</f>
        <v>0</v>
      </c>
      <c r="V2384" s="28"/>
      <c r="W2384" s="28" t="n">
        <f aca="false">V2384*$M2384</f>
        <v>0</v>
      </c>
      <c r="X2384" s="28"/>
      <c r="Y2384" s="28" t="n">
        <f aca="false">X2384*$M2384</f>
        <v>0</v>
      </c>
      <c r="Z2384" s="28"/>
      <c r="AA2384" s="28" t="n">
        <f aca="false">Z2384*$M2384</f>
        <v>0</v>
      </c>
      <c r="AB2384" s="28"/>
      <c r="AC2384" s="28" t="n">
        <f aca="false">AB2384*$M2384</f>
        <v>0</v>
      </c>
      <c r="AD2384" s="28"/>
      <c r="AE2384" s="28" t="n">
        <f aca="false">AD2384*$M2384</f>
        <v>0</v>
      </c>
      <c r="AF2384" s="28"/>
      <c r="AG2384" s="28" t="n">
        <f aca="false">AF2384*$M2384</f>
        <v>0</v>
      </c>
      <c r="AH2384" s="28"/>
      <c r="AI2384" s="28" t="n">
        <f aca="false">AH2384*$M2384</f>
        <v>0</v>
      </c>
      <c r="AJ2384" s="28"/>
      <c r="AK2384" s="28" t="n">
        <f aca="false">AJ2384*$M2384</f>
        <v>0</v>
      </c>
      <c r="AL2384" s="28"/>
      <c r="AM2384" s="28" t="n">
        <f aca="false">AL2384*$M2384</f>
        <v>0</v>
      </c>
      <c r="AN2384" s="28"/>
      <c r="AO2384" s="28" t="n">
        <f aca="false">AN2384*$M2384</f>
        <v>0</v>
      </c>
      <c r="AP2384" s="28"/>
      <c r="AQ2384" s="28" t="n">
        <f aca="false">AP2384*$M2384</f>
        <v>0</v>
      </c>
      <c r="AR2384" s="28"/>
      <c r="AS2384" s="28" t="n">
        <f aca="false">AR2384*$M2384</f>
        <v>0</v>
      </c>
      <c r="AT2384" s="28"/>
      <c r="AU2384" s="28" t="n">
        <f aca="false">AT2384*$M2384</f>
        <v>0</v>
      </c>
      <c r="AV2384" s="28"/>
      <c r="AW2384" s="28" t="n">
        <f aca="false">AV2384*$M2384</f>
        <v>0</v>
      </c>
      <c r="AX2384" s="28"/>
      <c r="AY2384" s="28" t="n">
        <f aca="false">AX2384*$M2384</f>
        <v>0</v>
      </c>
      <c r="AZ2384" s="30"/>
      <c r="BA2384" s="11"/>
      <c r="BB2384" s="31" t="n">
        <f aca="false">SUM(Q2384,S2384,U2384,W2384,Y2384,AA2384,AC2384,AE2384,AG2384,AI2384,AK2384,AM2384,AO2384,AQ2384,AS2384,AU2384,AW2384,AY2384)</f>
        <v>0</v>
      </c>
      <c r="BC2384" s="28" t="n">
        <f aca="false">BA2384-BB2384</f>
        <v>0</v>
      </c>
      <c r="BD2384" s="32" t="n">
        <f aca="false">SUM(P2384,R2384,T2384,V2384,X2384,Z2384,AB2384,AD2384,AF2384,AH2384,AJ2384,AL2384,AN2384,AP2384,AR2384,AT2384,AV2384,AX2384)</f>
        <v>0</v>
      </c>
      <c r="BE2384" s="33" t="n">
        <f aca="false">AZ2384-BD2384</f>
        <v>0</v>
      </c>
      <c r="BF2384" s="34" t="n">
        <f aca="false">BD2384*M2384</f>
        <v>0</v>
      </c>
      <c r="BG2384" s="35" t="n">
        <f aca="false">BA2384-BF2384</f>
        <v>0</v>
      </c>
      <c r="BH2384" s="19" t="str">
        <f aca="false">IF(BG2384=0,"",IF(BG2384&lt;&gt;BA2384,"erreur de calcul",IF(BD2384&lt;&gt;0,"pas de prix",IF(M2384&lt;&gt; 0,"pas de quantité","pas de prix, ni de quantité"))))</f>
        <v/>
      </c>
      <c r="BI2384" s="19"/>
    </row>
    <row r="2385" customFormat="false" ht="15" hidden="false" customHeight="false" outlineLevel="0" collapsed="false">
      <c r="A2385" s="0" t="n">
        <v>31</v>
      </c>
      <c r="B2385" s="8" t="s">
        <v>24</v>
      </c>
      <c r="C2385" s="9" t="s">
        <v>25</v>
      </c>
      <c r="D2385" s="9" t="s">
        <v>26</v>
      </c>
      <c r="E2385" s="10" t="n">
        <v>1789</v>
      </c>
      <c r="F2385" s="9" t="s">
        <v>27</v>
      </c>
      <c r="G2385" s="9" t="s">
        <v>27</v>
      </c>
      <c r="H2385" s="11" t="n">
        <v>25</v>
      </c>
      <c r="I2385" s="11" t="s">
        <v>359</v>
      </c>
      <c r="J2385" s="14"/>
      <c r="K2385" s="14"/>
      <c r="L2385" s="16"/>
      <c r="M2385" s="27" t="n">
        <f aca="false">J2385+(K2385/20)+(L2385/240)</f>
        <v>0</v>
      </c>
      <c r="N2385" s="17"/>
      <c r="O2385" s="11" t="s">
        <v>277</v>
      </c>
      <c r="P2385" s="28"/>
      <c r="Q2385" s="28" t="n">
        <f aca="false">P2385*$M2385</f>
        <v>0</v>
      </c>
      <c r="R2385" s="28"/>
      <c r="S2385" s="28" t="n">
        <f aca="false">R2385*$M2385</f>
        <v>0</v>
      </c>
      <c r="T2385" s="28"/>
      <c r="U2385" s="28" t="n">
        <f aca="false">T2385*$M2385</f>
        <v>0</v>
      </c>
      <c r="V2385" s="28"/>
      <c r="W2385" s="28" t="n">
        <f aca="false">V2385*$M2385</f>
        <v>0</v>
      </c>
      <c r="X2385" s="28"/>
      <c r="Y2385" s="28" t="n">
        <v>1361</v>
      </c>
      <c r="Z2385" s="28"/>
      <c r="AA2385" s="28" t="n">
        <f aca="false">Z2385*$M2385</f>
        <v>0</v>
      </c>
      <c r="AB2385" s="28"/>
      <c r="AC2385" s="28" t="n">
        <v>1182</v>
      </c>
      <c r="AD2385" s="28"/>
      <c r="AE2385" s="28" t="n">
        <v>649</v>
      </c>
      <c r="AF2385" s="28"/>
      <c r="AG2385" s="28" t="n">
        <f aca="false">AF2385*$M2385</f>
        <v>0</v>
      </c>
      <c r="AH2385" s="28"/>
      <c r="AI2385" s="28" t="n">
        <v>862</v>
      </c>
      <c r="AJ2385" s="28"/>
      <c r="AK2385" s="28" t="n">
        <f aca="false">AJ2385*$M2385</f>
        <v>0</v>
      </c>
      <c r="AL2385" s="28"/>
      <c r="AM2385" s="28" t="n">
        <f aca="false">AL2385*$M2385</f>
        <v>0</v>
      </c>
      <c r="AN2385" s="28"/>
      <c r="AO2385" s="28" t="n">
        <f aca="false">AN2385*$M2385</f>
        <v>0</v>
      </c>
      <c r="AP2385" s="28"/>
      <c r="AQ2385" s="28" t="n">
        <f aca="false">AP2385*$M2385</f>
        <v>0</v>
      </c>
      <c r="AR2385" s="28"/>
      <c r="AS2385" s="28" t="n">
        <f aca="false">AR2385*$M2385</f>
        <v>0</v>
      </c>
      <c r="AT2385" s="28"/>
      <c r="AU2385" s="28" t="n">
        <f aca="false">AT2385*$M2385</f>
        <v>0</v>
      </c>
      <c r="AV2385" s="28"/>
      <c r="AW2385" s="28" t="n">
        <f aca="false">AV2385*$M2385</f>
        <v>0</v>
      </c>
      <c r="AX2385" s="28"/>
      <c r="AY2385" s="28" t="n">
        <f aca="false">AX2385*$M2385</f>
        <v>0</v>
      </c>
      <c r="AZ2385" s="30"/>
      <c r="BA2385" s="11" t="n">
        <v>4054</v>
      </c>
      <c r="BB2385" s="31" t="n">
        <f aca="false">SUM(Q2385,S2385,U2385,W2385,Y2385,AA2385,AC2385,AE2385,AG2385,AI2385,AK2385,AM2385,AO2385,AQ2385,AS2385,AU2385,AW2385,AY2385)</f>
        <v>4054</v>
      </c>
      <c r="BC2385" s="28" t="n">
        <f aca="false">BA2385-BB2385</f>
        <v>0</v>
      </c>
      <c r="BD2385" s="32" t="n">
        <f aca="false">SUM(P2385,R2385,T2385,V2385,X2385,Z2385,AB2385,AD2385,AF2385,AH2385,AJ2385,AL2385,AN2385,AP2385,AR2385,AT2385,AV2385,AX2385)</f>
        <v>0</v>
      </c>
      <c r="BE2385" s="33" t="n">
        <f aca="false">AZ2385-BD2385</f>
        <v>0</v>
      </c>
      <c r="BF2385" s="34" t="n">
        <f aca="false">BD2385*M2385</f>
        <v>0</v>
      </c>
      <c r="BG2385" s="35" t="n">
        <f aca="false">BA2385-BF2385</f>
        <v>4054</v>
      </c>
      <c r="BH2385" s="19" t="str">
        <f aca="false">IF(BG2385=0,"",IF(BG2385&lt;&gt;BA2385,"erreur de calcul",IF(BD2385&lt;&gt;0,"pas de prix",IF(M2385&lt;&gt; 0,"pas de quantité","pas de prix, ni de quantité"))))</f>
        <v>pas de prix, ni de quantité</v>
      </c>
      <c r="BI2385" s="19"/>
    </row>
    <row r="2386" customFormat="false" ht="15" hidden="false" customHeight="false" outlineLevel="0" collapsed="false">
      <c r="A2386" s="0" t="n">
        <v>32</v>
      </c>
      <c r="B2386" s="8" t="s">
        <v>24</v>
      </c>
      <c r="C2386" s="9" t="s">
        <v>25</v>
      </c>
      <c r="D2386" s="9" t="s">
        <v>26</v>
      </c>
      <c r="E2386" s="10" t="n">
        <v>1789</v>
      </c>
      <c r="F2386" s="9" t="s">
        <v>27</v>
      </c>
      <c r="G2386" s="9" t="s">
        <v>27</v>
      </c>
      <c r="H2386" s="11" t="n">
        <v>25</v>
      </c>
      <c r="I2386" s="11" t="s">
        <v>360</v>
      </c>
      <c r="J2386" s="14" t="n">
        <v>66</v>
      </c>
      <c r="K2386" s="14"/>
      <c r="L2386" s="16"/>
      <c r="M2386" s="27" t="n">
        <f aca="false">J2386+(K2386/20)+(L2386/240)</f>
        <v>66</v>
      </c>
      <c r="N2386" s="17" t="s">
        <v>64</v>
      </c>
      <c r="O2386" s="11"/>
      <c r="P2386" s="28"/>
      <c r="Q2386" s="28" t="n">
        <f aca="false">P2386*$M2386</f>
        <v>0</v>
      </c>
      <c r="R2386" s="28"/>
      <c r="S2386" s="28" t="n">
        <f aca="false">R2386*$M2386</f>
        <v>0</v>
      </c>
      <c r="T2386" s="28"/>
      <c r="U2386" s="28" t="n">
        <f aca="false">T2386*$M2386</f>
        <v>0</v>
      </c>
      <c r="V2386" s="28"/>
      <c r="W2386" s="28" t="n">
        <f aca="false">V2386*$M2386</f>
        <v>0</v>
      </c>
      <c r="X2386" s="28"/>
      <c r="Y2386" s="28" t="n">
        <f aca="false">X2386*$M2386</f>
        <v>0</v>
      </c>
      <c r="Z2386" s="28"/>
      <c r="AA2386" s="28" t="n">
        <f aca="false">Z2386*$M2386</f>
        <v>0</v>
      </c>
      <c r="AB2386" s="28"/>
      <c r="AC2386" s="28" t="n">
        <f aca="false">AB2386*$M2386</f>
        <v>0</v>
      </c>
      <c r="AD2386" s="28"/>
      <c r="AE2386" s="28" t="n">
        <f aca="false">AD2386*$M2386</f>
        <v>0</v>
      </c>
      <c r="AF2386" s="28"/>
      <c r="AG2386" s="28" t="n">
        <f aca="false">AF2386*$M2386</f>
        <v>0</v>
      </c>
      <c r="AH2386" s="28" t="n">
        <f aca="false">75475/100</f>
        <v>754.75</v>
      </c>
      <c r="AI2386" s="28" t="n">
        <v>49813</v>
      </c>
      <c r="AJ2386" s="28"/>
      <c r="AK2386" s="28" t="n">
        <f aca="false">AJ2386*$M2386</f>
        <v>0</v>
      </c>
      <c r="AL2386" s="28"/>
      <c r="AM2386" s="28" t="n">
        <f aca="false">AL2386*$M2386</f>
        <v>0</v>
      </c>
      <c r="AN2386" s="28"/>
      <c r="AO2386" s="28" t="n">
        <f aca="false">AN2386*$M2386</f>
        <v>0</v>
      </c>
      <c r="AP2386" s="28"/>
      <c r="AQ2386" s="28" t="n">
        <f aca="false">AP2386*$M2386</f>
        <v>0</v>
      </c>
      <c r="AR2386" s="28"/>
      <c r="AS2386" s="28" t="n">
        <f aca="false">AR2386*$M2386</f>
        <v>0</v>
      </c>
      <c r="AT2386" s="28"/>
      <c r="AU2386" s="28" t="n">
        <f aca="false">AT2386*$M2386</f>
        <v>0</v>
      </c>
      <c r="AV2386" s="28"/>
      <c r="AW2386" s="28" t="n">
        <f aca="false">AV2386*$M2386</f>
        <v>0</v>
      </c>
      <c r="AX2386" s="28"/>
      <c r="AY2386" s="28" t="n">
        <f aca="false">AX2386*$M2386</f>
        <v>0</v>
      </c>
      <c r="AZ2386" s="30" t="n">
        <f aca="false">75475/100</f>
        <v>754.75</v>
      </c>
      <c r="BA2386" s="11" t="n">
        <v>49813</v>
      </c>
      <c r="BB2386" s="31" t="n">
        <f aca="false">SUM(Q2386,S2386,U2386,W2386,Y2386,AA2386,AC2386,AE2386,AG2386,AI2386,AK2386,AM2386,AO2386,AQ2386,AS2386,AU2386,AW2386,AY2386)</f>
        <v>49813</v>
      </c>
      <c r="BC2386" s="28" t="n">
        <f aca="false">BA2386-BB2386</f>
        <v>0</v>
      </c>
      <c r="BD2386" s="32" t="n">
        <f aca="false">SUM(P2386,R2386,T2386,V2386,X2386,Z2386,AB2386,AD2386,AF2386,AH2386,AJ2386,AL2386,AN2386,AP2386,AR2386,AT2386,AV2386,AX2386)</f>
        <v>754.75</v>
      </c>
      <c r="BE2386" s="33" t="n">
        <f aca="false">AZ2386-BD2386</f>
        <v>0</v>
      </c>
      <c r="BF2386" s="34" t="n">
        <f aca="false">BD2386*M2386</f>
        <v>49813.5</v>
      </c>
      <c r="BG2386" s="35" t="n">
        <f aca="false">BA2386-BF2386</f>
        <v>-0.5</v>
      </c>
      <c r="BH2386" s="19" t="str">
        <f aca="false">IF(BG2386=0,"",IF(BG2386&lt;&gt;BA2386,"erreur de calcul",IF(BD2386&lt;&gt;0,"pas de prix",IF(M2386&lt;&gt; 0,"pas de quantité","pas de prix, ni de quantité"))))</f>
        <v>erreur de calcul</v>
      </c>
      <c r="BI2386" s="19"/>
    </row>
    <row r="2387" customFormat="false" ht="15" hidden="false" customHeight="false" outlineLevel="0" collapsed="false">
      <c r="A2387" s="0" t="n">
        <v>33</v>
      </c>
      <c r="B2387" s="8" t="s">
        <v>24</v>
      </c>
      <c r="C2387" s="9" t="s">
        <v>25</v>
      </c>
      <c r="D2387" s="9" t="s">
        <v>26</v>
      </c>
      <c r="E2387" s="10" t="n">
        <v>1789</v>
      </c>
      <c r="F2387" s="9" t="s">
        <v>27</v>
      </c>
      <c r="G2387" s="9" t="s">
        <v>27</v>
      </c>
      <c r="H2387" s="11" t="n">
        <v>25</v>
      </c>
      <c r="I2387" s="11" t="s">
        <v>361</v>
      </c>
      <c r="J2387" s="14" t="n">
        <v>175</v>
      </c>
      <c r="K2387" s="14"/>
      <c r="L2387" s="16"/>
      <c r="M2387" s="27" t="n">
        <f aca="false">J2387+(K2387/20)+(L2387/240)</f>
        <v>175</v>
      </c>
      <c r="N2387" s="17" t="s">
        <v>64</v>
      </c>
      <c r="O2387" s="11" t="s">
        <v>77</v>
      </c>
      <c r="P2387" s="28" t="n">
        <f aca="false">1514/100</f>
        <v>15.14</v>
      </c>
      <c r="Q2387" s="28" t="n">
        <v>2649</v>
      </c>
      <c r="R2387" s="28"/>
      <c r="S2387" s="28" t="n">
        <f aca="false">R2387*$M2387</f>
        <v>0</v>
      </c>
      <c r="T2387" s="28" t="n">
        <f aca="false">170926/100</f>
        <v>1709.26</v>
      </c>
      <c r="U2387" s="28" t="n">
        <v>299120</v>
      </c>
      <c r="V2387" s="28" t="n">
        <f aca="false">16985/100</f>
        <v>169.85</v>
      </c>
      <c r="W2387" s="28" t="n">
        <v>29724</v>
      </c>
      <c r="X2387" s="28" t="n">
        <f aca="false">4530/100</f>
        <v>45.3</v>
      </c>
      <c r="Y2387" s="28" t="n">
        <v>7927</v>
      </c>
      <c r="Z2387" s="28"/>
      <c r="AA2387" s="28" t="n">
        <f aca="false">Z2387*$M2387</f>
        <v>0</v>
      </c>
      <c r="AB2387" s="28" t="n">
        <f aca="false">33770/100</f>
        <v>337.7</v>
      </c>
      <c r="AC2387" s="28" t="n">
        <v>59097</v>
      </c>
      <c r="AD2387" s="28"/>
      <c r="AE2387" s="28" t="n">
        <f aca="false">AD2387*$M2387</f>
        <v>0</v>
      </c>
      <c r="AF2387" s="28" t="n">
        <f aca="false">4712/100</f>
        <v>47.12</v>
      </c>
      <c r="AG2387" s="28" t="n">
        <v>8246</v>
      </c>
      <c r="AH2387" s="28" t="n">
        <f aca="false">55822/100</f>
        <v>558.22</v>
      </c>
      <c r="AI2387" s="28" t="n">
        <v>97688</v>
      </c>
      <c r="AJ2387" s="28"/>
      <c r="AK2387" s="28" t="n">
        <f aca="false">AJ2387*$M2387</f>
        <v>0</v>
      </c>
      <c r="AL2387" s="28"/>
      <c r="AM2387" s="28" t="n">
        <f aca="false">AL2387*$M2387</f>
        <v>0</v>
      </c>
      <c r="AN2387" s="28"/>
      <c r="AO2387" s="28" t="n">
        <f aca="false">AN2387*$M2387</f>
        <v>0</v>
      </c>
      <c r="AP2387" s="28"/>
      <c r="AQ2387" s="28" t="n">
        <f aca="false">AP2387*$M2387</f>
        <v>0</v>
      </c>
      <c r="AR2387" s="28"/>
      <c r="AS2387" s="28" t="n">
        <f aca="false">AR2387*$M2387</f>
        <v>0</v>
      </c>
      <c r="AT2387" s="28"/>
      <c r="AU2387" s="28" t="n">
        <f aca="false">AT2387*$M2387</f>
        <v>0</v>
      </c>
      <c r="AV2387" s="28"/>
      <c r="AW2387" s="28" t="n">
        <f aca="false">AV2387*$M2387</f>
        <v>0</v>
      </c>
      <c r="AX2387" s="28"/>
      <c r="AY2387" s="28" t="n">
        <f aca="false">AX2387*$M2387</f>
        <v>0</v>
      </c>
      <c r="AZ2387" s="30" t="n">
        <f aca="false">288259/100</f>
        <v>2882.59</v>
      </c>
      <c r="BA2387" s="11" t="n">
        <v>504451</v>
      </c>
      <c r="BB2387" s="31" t="n">
        <f aca="false">SUM(Q2387,S2387,U2387,W2387,Y2387,AA2387,AC2387,AE2387,AG2387,AI2387,AK2387,AM2387,AO2387,AQ2387,AS2387,AU2387,AW2387,AY2387)</f>
        <v>504451</v>
      </c>
      <c r="BC2387" s="28" t="n">
        <f aca="false">BA2387-BB2387</f>
        <v>0</v>
      </c>
      <c r="BD2387" s="32" t="n">
        <f aca="false">SUM(P2387,R2387,T2387,V2387,X2387,Z2387,AB2387,AD2387,AF2387,AH2387,AJ2387,AL2387,AN2387,AP2387,AR2387,AT2387,AV2387,AX2387)</f>
        <v>2882.59</v>
      </c>
      <c r="BE2387" s="33" t="n">
        <f aca="false">AZ2387-BD2387</f>
        <v>0</v>
      </c>
      <c r="BF2387" s="34" t="n">
        <f aca="false">BD2387*M2387</f>
        <v>504453.25</v>
      </c>
      <c r="BG2387" s="35" t="n">
        <f aca="false">BA2387-BF2387</f>
        <v>-2.24999999994179</v>
      </c>
      <c r="BH2387" s="19" t="str">
        <f aca="false">IF(BG2387=0,"",IF(BG2387&lt;&gt;BA2387,"erreur de calcul",IF(BD2387&lt;&gt;0,"pas de prix",IF(M2387&lt;&gt; 0,"pas de quantité","pas de prix, ni de quantité"))))</f>
        <v>erreur de calcul</v>
      </c>
      <c r="BI2387" s="19"/>
    </row>
    <row r="2388" customFormat="false" ht="15" hidden="false" customHeight="false" outlineLevel="0" collapsed="false">
      <c r="A2388" s="0" t="n">
        <v>34</v>
      </c>
      <c r="B2388" s="8" t="s">
        <v>24</v>
      </c>
      <c r="C2388" s="9" t="s">
        <v>25</v>
      </c>
      <c r="D2388" s="9" t="s">
        <v>26</v>
      </c>
      <c r="E2388" s="10" t="n">
        <v>1789</v>
      </c>
      <c r="F2388" s="9" t="s">
        <v>27</v>
      </c>
      <c r="G2388" s="9" t="s">
        <v>27</v>
      </c>
      <c r="H2388" s="11" t="n">
        <v>25</v>
      </c>
      <c r="I2388" s="11" t="s">
        <v>362</v>
      </c>
      <c r="J2388" s="14" t="n">
        <v>150</v>
      </c>
      <c r="K2388" s="14"/>
      <c r="L2388" s="16"/>
      <c r="M2388" s="27" t="n">
        <f aca="false">J2388+(K2388/20)+(L2388/240)</f>
        <v>150</v>
      </c>
      <c r="N2388" s="17" t="s">
        <v>64</v>
      </c>
      <c r="O2388" s="11"/>
      <c r="P2388" s="28"/>
      <c r="Q2388" s="28" t="n">
        <f aca="false">P2388*$M2388</f>
        <v>0</v>
      </c>
      <c r="R2388" s="28"/>
      <c r="S2388" s="28" t="n">
        <f aca="false">R2388*$M2388</f>
        <v>0</v>
      </c>
      <c r="T2388" s="28" t="n">
        <f aca="false">1842/100</f>
        <v>18.42</v>
      </c>
      <c r="U2388" s="28" t="n">
        <v>2763</v>
      </c>
      <c r="V2388" s="28" t="n">
        <f aca="false">684/100</f>
        <v>6.84</v>
      </c>
      <c r="W2388" s="28" t="n">
        <v>1026</v>
      </c>
      <c r="X2388" s="28"/>
      <c r="Y2388" s="28" t="n">
        <f aca="false">X2388*$M2388</f>
        <v>0</v>
      </c>
      <c r="Z2388" s="28"/>
      <c r="AA2388" s="28" t="n">
        <f aca="false">Z2388*$M2388</f>
        <v>0</v>
      </c>
      <c r="AB2388" s="28"/>
      <c r="AC2388" s="28" t="n">
        <f aca="false">AB2388*$M2388</f>
        <v>0</v>
      </c>
      <c r="AD2388" s="28"/>
      <c r="AE2388" s="28" t="n">
        <f aca="false">AD2388*$M2388</f>
        <v>0</v>
      </c>
      <c r="AF2388" s="28"/>
      <c r="AG2388" s="28" t="n">
        <f aca="false">AF2388*$M2388</f>
        <v>0</v>
      </c>
      <c r="AH2388" s="28"/>
      <c r="AI2388" s="28" t="n">
        <f aca="false">AH2388*$M2388</f>
        <v>0</v>
      </c>
      <c r="AJ2388" s="28"/>
      <c r="AK2388" s="28" t="n">
        <f aca="false">AJ2388*$M2388</f>
        <v>0</v>
      </c>
      <c r="AL2388" s="28"/>
      <c r="AM2388" s="28" t="n">
        <f aca="false">AL2388*$M2388</f>
        <v>0</v>
      </c>
      <c r="AN2388" s="28"/>
      <c r="AO2388" s="28" t="n">
        <f aca="false">AN2388*$M2388</f>
        <v>0</v>
      </c>
      <c r="AP2388" s="28"/>
      <c r="AQ2388" s="28" t="n">
        <f aca="false">AP2388*$M2388</f>
        <v>0</v>
      </c>
      <c r="AR2388" s="28"/>
      <c r="AS2388" s="28" t="n">
        <f aca="false">AR2388*$M2388</f>
        <v>0</v>
      </c>
      <c r="AT2388" s="28"/>
      <c r="AU2388" s="28" t="n">
        <f aca="false">AT2388*$M2388</f>
        <v>0</v>
      </c>
      <c r="AV2388" s="28"/>
      <c r="AW2388" s="28" t="n">
        <f aca="false">AV2388*$M2388</f>
        <v>0</v>
      </c>
      <c r="AX2388" s="28"/>
      <c r="AY2388" s="28" t="n">
        <f aca="false">AX2388*$M2388</f>
        <v>0</v>
      </c>
      <c r="AZ2388" s="30" t="n">
        <f aca="false">2526/100</f>
        <v>25.26</v>
      </c>
      <c r="BA2388" s="11" t="n">
        <v>3789</v>
      </c>
      <c r="BB2388" s="31" t="n">
        <f aca="false">SUM(Q2388,S2388,U2388,W2388,Y2388,AA2388,AC2388,AE2388,AG2388,AI2388,AK2388,AM2388,AO2388,AQ2388,AS2388,AU2388,AW2388,AY2388)</f>
        <v>3789</v>
      </c>
      <c r="BC2388" s="28" t="n">
        <f aca="false">BA2388-BB2388</f>
        <v>0</v>
      </c>
      <c r="BD2388" s="32" t="n">
        <f aca="false">SUM(P2388,R2388,T2388,V2388,X2388,Z2388,AB2388,AD2388,AF2388,AH2388,AJ2388,AL2388,AN2388,AP2388,AR2388,AT2388,AV2388,AX2388)</f>
        <v>25.26</v>
      </c>
      <c r="BE2388" s="33" t="n">
        <f aca="false">AZ2388-BD2388</f>
        <v>0</v>
      </c>
      <c r="BF2388" s="34" t="n">
        <f aca="false">BD2388*M2388</f>
        <v>3789</v>
      </c>
      <c r="BG2388" s="35" t="n">
        <f aca="false">BA2388-BF2388</f>
        <v>0</v>
      </c>
      <c r="BH2388" s="19" t="str">
        <f aca="false">IF(BG2388=0,"",IF(BG2388&lt;&gt;BA2388,"erreur de calcul",IF(BD2388&lt;&gt;0,"pas de prix",IF(M2388&lt;&gt; 0,"pas de quantité","pas de prix, ni de quantité"))))</f>
        <v/>
      </c>
      <c r="BI2388" s="19"/>
    </row>
    <row r="2389" customFormat="false" ht="15" hidden="false" customHeight="false" outlineLevel="0" collapsed="false">
      <c r="A2389" s="0" t="n">
        <v>35</v>
      </c>
      <c r="B2389" s="8" t="s">
        <v>24</v>
      </c>
      <c r="C2389" s="9" t="s">
        <v>25</v>
      </c>
      <c r="D2389" s="9" t="s">
        <v>26</v>
      </c>
      <c r="E2389" s="10" t="n">
        <v>1789</v>
      </c>
      <c r="F2389" s="9" t="s">
        <v>27</v>
      </c>
      <c r="G2389" s="9" t="s">
        <v>27</v>
      </c>
      <c r="H2389" s="11" t="n">
        <v>25</v>
      </c>
      <c r="I2389" s="11" t="s">
        <v>363</v>
      </c>
      <c r="J2389" s="14" t="n">
        <v>150</v>
      </c>
      <c r="K2389" s="14"/>
      <c r="L2389" s="16"/>
      <c r="M2389" s="27" t="n">
        <f aca="false">J2389+(K2389/20)+(L2389/240)</f>
        <v>150</v>
      </c>
      <c r="N2389" s="17" t="s">
        <v>64</v>
      </c>
      <c r="O2389" s="11" t="s">
        <v>77</v>
      </c>
      <c r="P2389" s="28"/>
      <c r="Q2389" s="28" t="n">
        <f aca="false">P2389*$M2389</f>
        <v>0</v>
      </c>
      <c r="R2389" s="28"/>
      <c r="S2389" s="28" t="n">
        <f aca="false">R2389*$M2389</f>
        <v>0</v>
      </c>
      <c r="T2389" s="28"/>
      <c r="U2389" s="28" t="n">
        <f aca="false">T2389*$M2389</f>
        <v>0</v>
      </c>
      <c r="V2389" s="28" t="n">
        <f aca="false">1501/100</f>
        <v>15.01</v>
      </c>
      <c r="W2389" s="28" t="n">
        <v>2251</v>
      </c>
      <c r="X2389" s="28"/>
      <c r="Y2389" s="28" t="n">
        <f aca="false">X2389*$M2389</f>
        <v>0</v>
      </c>
      <c r="Z2389" s="28" t="n">
        <f aca="false">6420/100</f>
        <v>64.2</v>
      </c>
      <c r="AA2389" s="28" t="n">
        <v>9630</v>
      </c>
      <c r="AB2389" s="28"/>
      <c r="AC2389" s="28" t="n">
        <f aca="false">AB2389*$M2389</f>
        <v>0</v>
      </c>
      <c r="AD2389" s="28"/>
      <c r="AE2389" s="28" t="n">
        <f aca="false">AD2389*$M2389</f>
        <v>0</v>
      </c>
      <c r="AF2389" s="28"/>
      <c r="AG2389" s="28" t="n">
        <f aca="false">AF2389*$M2389</f>
        <v>0</v>
      </c>
      <c r="AH2389" s="28" t="n">
        <f aca="false">138039/100</f>
        <v>1380.39</v>
      </c>
      <c r="AI2389" s="28" t="n">
        <v>207058</v>
      </c>
      <c r="AJ2389" s="28"/>
      <c r="AK2389" s="28" t="n">
        <f aca="false">AJ2389*$M2389</f>
        <v>0</v>
      </c>
      <c r="AL2389" s="28" t="n">
        <f aca="false">917/100</f>
        <v>9.17</v>
      </c>
      <c r="AM2389" s="28" t="n">
        <v>1375</v>
      </c>
      <c r="AN2389" s="28"/>
      <c r="AO2389" s="28" t="n">
        <f aca="false">AN2389*$M2389</f>
        <v>0</v>
      </c>
      <c r="AP2389" s="28"/>
      <c r="AQ2389" s="28" t="n">
        <f aca="false">AP2389*$M2389</f>
        <v>0</v>
      </c>
      <c r="AR2389" s="28"/>
      <c r="AS2389" s="28" t="n">
        <f aca="false">AR2389*$M2389</f>
        <v>0</v>
      </c>
      <c r="AT2389" s="28"/>
      <c r="AU2389" s="28" t="n">
        <f aca="false">AT2389*$M2389</f>
        <v>0</v>
      </c>
      <c r="AV2389" s="28"/>
      <c r="AW2389" s="28" t="n">
        <f aca="false">AV2389*$M2389</f>
        <v>0</v>
      </c>
      <c r="AX2389" s="28"/>
      <c r="AY2389" s="28" t="n">
        <f aca="false">AX2389*$M2389</f>
        <v>0</v>
      </c>
      <c r="AZ2389" s="30" t="n">
        <f aca="false">146877/100</f>
        <v>1468.77</v>
      </c>
      <c r="BA2389" s="11" t="n">
        <v>220314</v>
      </c>
      <c r="BB2389" s="31" t="n">
        <f aca="false">SUM(Q2389,S2389,U2389,W2389,Y2389,AA2389,AC2389,AE2389,AG2389,AI2389,AK2389,AM2389,AO2389,AQ2389,AS2389,AU2389,AW2389,AY2389)</f>
        <v>220314</v>
      </c>
      <c r="BC2389" s="28" t="n">
        <f aca="false">BA2389-BB2389</f>
        <v>0</v>
      </c>
      <c r="BD2389" s="32" t="n">
        <f aca="false">SUM(P2389,R2389,T2389,V2389,X2389,Z2389,AB2389,AD2389,AF2389,AH2389,AJ2389,AL2389,AN2389,AP2389,AR2389,AT2389,AV2389,AX2389)</f>
        <v>1468.77</v>
      </c>
      <c r="BE2389" s="33" t="n">
        <f aca="false">AZ2389-BD2389</f>
        <v>0</v>
      </c>
      <c r="BF2389" s="34" t="n">
        <f aca="false">BD2389*M2389</f>
        <v>220315.5</v>
      </c>
      <c r="BG2389" s="35" t="n">
        <f aca="false">BA2389-BF2389</f>
        <v>-1.5000000000291</v>
      </c>
      <c r="BH2389" s="19" t="str">
        <f aca="false">IF(BG2389=0,"",IF(BG2389&lt;&gt;BA2389,"erreur de calcul",IF(BD2389&lt;&gt;0,"pas de prix",IF(M2389&lt;&gt; 0,"pas de quantité","pas de prix, ni de quantité"))))</f>
        <v>erreur de calcul</v>
      </c>
      <c r="BI2389" s="19"/>
    </row>
    <row r="2390" customFormat="false" ht="15" hidden="false" customHeight="false" outlineLevel="0" collapsed="false">
      <c r="A2390" s="0" t="n">
        <v>36</v>
      </c>
      <c r="B2390" s="8" t="s">
        <v>24</v>
      </c>
      <c r="C2390" s="9" t="s">
        <v>25</v>
      </c>
      <c r="D2390" s="9" t="s">
        <v>26</v>
      </c>
      <c r="E2390" s="10" t="n">
        <v>1789</v>
      </c>
      <c r="F2390" s="9" t="s">
        <v>27</v>
      </c>
      <c r="G2390" s="9" t="s">
        <v>27</v>
      </c>
      <c r="H2390" s="11" t="n">
        <v>25</v>
      </c>
      <c r="I2390" s="11" t="s">
        <v>364</v>
      </c>
      <c r="J2390" s="14" t="n">
        <v>122</v>
      </c>
      <c r="K2390" s="14"/>
      <c r="L2390" s="16"/>
      <c r="M2390" s="27" t="n">
        <f aca="false">J2390+(K2390/20)+(L2390/240)</f>
        <v>122</v>
      </c>
      <c r="N2390" s="17" t="s">
        <v>64</v>
      </c>
      <c r="O2390" s="11" t="s">
        <v>77</v>
      </c>
      <c r="P2390" s="28" t="n">
        <f aca="false">2402/100</f>
        <v>24.02</v>
      </c>
      <c r="Q2390" s="28" t="n">
        <v>2930</v>
      </c>
      <c r="R2390" s="28"/>
      <c r="S2390" s="28" t="n">
        <f aca="false">R2390*$M2390</f>
        <v>0</v>
      </c>
      <c r="T2390" s="28" t="n">
        <f aca="false">3566/100</f>
        <v>35.66</v>
      </c>
      <c r="U2390" s="36" t="n">
        <v>4550</v>
      </c>
      <c r="V2390" s="28" t="n">
        <f aca="false">917/100</f>
        <v>9.17</v>
      </c>
      <c r="W2390" s="28" t="n">
        <v>1119</v>
      </c>
      <c r="X2390" s="28"/>
      <c r="Y2390" s="28" t="n">
        <f aca="false">X2390*$M2390</f>
        <v>0</v>
      </c>
      <c r="Z2390" s="28"/>
      <c r="AA2390" s="28" t="n">
        <f aca="false">Z2390*$M2390</f>
        <v>0</v>
      </c>
      <c r="AB2390" s="28" t="n">
        <f aca="false">28087/100</f>
        <v>280.87</v>
      </c>
      <c r="AC2390" s="28" t="n">
        <v>34266</v>
      </c>
      <c r="AD2390" s="28" t="n">
        <f aca="false">1505/100</f>
        <v>15.05</v>
      </c>
      <c r="AE2390" s="28" t="n">
        <v>1836</v>
      </c>
      <c r="AF2390" s="28"/>
      <c r="AG2390" s="28" t="n">
        <f aca="false">AF2390*$M2390</f>
        <v>0</v>
      </c>
      <c r="AH2390" s="28" t="n">
        <f aca="false">15314/100</f>
        <v>153.14</v>
      </c>
      <c r="AI2390" s="28" t="n">
        <v>18683</v>
      </c>
      <c r="AJ2390" s="28"/>
      <c r="AK2390" s="28" t="n">
        <f aca="false">AJ2390*$M2390</f>
        <v>0</v>
      </c>
      <c r="AL2390" s="28"/>
      <c r="AM2390" s="28" t="n">
        <f aca="false">AL2390*$M2390</f>
        <v>0</v>
      </c>
      <c r="AN2390" s="28"/>
      <c r="AO2390" s="28" t="n">
        <f aca="false">AN2390*$M2390</f>
        <v>0</v>
      </c>
      <c r="AP2390" s="28"/>
      <c r="AQ2390" s="28" t="n">
        <f aca="false">AP2390*$M2390</f>
        <v>0</v>
      </c>
      <c r="AR2390" s="28"/>
      <c r="AS2390" s="28" t="n">
        <f aca="false">AR2390*$M2390</f>
        <v>0</v>
      </c>
      <c r="AT2390" s="28"/>
      <c r="AU2390" s="28" t="n">
        <f aca="false">AT2390*$M2390</f>
        <v>0</v>
      </c>
      <c r="AV2390" s="28"/>
      <c r="AW2390" s="28" t="n">
        <f aca="false">AV2390*$M2390</f>
        <v>0</v>
      </c>
      <c r="AX2390" s="28"/>
      <c r="AY2390" s="28" t="n">
        <f aca="false">AX2390*$M2390</f>
        <v>0</v>
      </c>
      <c r="AZ2390" s="30" t="n">
        <f aca="false">51791/100</f>
        <v>517.91</v>
      </c>
      <c r="BA2390" s="11" t="n">
        <v>63384</v>
      </c>
      <c r="BB2390" s="31" t="n">
        <f aca="false">SUM(Q2390,S2390,U2390,W2390,Y2390,AA2390,AC2390,AE2390,AG2390,AI2390,AK2390,AM2390,AO2390,AQ2390,AS2390,AU2390,AW2390,AY2390)</f>
        <v>63384</v>
      </c>
      <c r="BC2390" s="28" t="n">
        <f aca="false">BA2390-BB2390</f>
        <v>0</v>
      </c>
      <c r="BD2390" s="32" t="n">
        <f aca="false">SUM(P2390,R2390,T2390,V2390,X2390,Z2390,AB2390,AD2390,AF2390,AH2390,AJ2390,AL2390,AN2390,AP2390,AR2390,AT2390,AV2390,AX2390)</f>
        <v>517.91</v>
      </c>
      <c r="BE2390" s="33" t="n">
        <f aca="false">AZ2390-BD2390</f>
        <v>0</v>
      </c>
      <c r="BF2390" s="34" t="n">
        <f aca="false">BD2390*M2390</f>
        <v>63185.02</v>
      </c>
      <c r="BG2390" s="35" t="n">
        <f aca="false">BA2390-BF2390</f>
        <v>198.980000000003</v>
      </c>
      <c r="BH2390" s="19" t="str">
        <f aca="false">IF(BG2390=0,"",IF(BG2390&lt;&gt;BA2390,"erreur de calcul",IF(BD2390&lt;&gt;0,"pas de prix",IF(M2390&lt;&gt; 0,"pas de quantité","pas de prix, ni de quantité"))))</f>
        <v>erreur de calcul</v>
      </c>
      <c r="BI2390" s="19"/>
    </row>
    <row r="2391" customFormat="false" ht="15" hidden="false" customHeight="false" outlineLevel="0" collapsed="false">
      <c r="A2391" s="0" t="n">
        <v>37</v>
      </c>
      <c r="B2391" s="8" t="s">
        <v>24</v>
      </c>
      <c r="C2391" s="9" t="s">
        <v>25</v>
      </c>
      <c r="D2391" s="9" t="s">
        <v>26</v>
      </c>
      <c r="E2391" s="10" t="n">
        <v>1789</v>
      </c>
      <c r="F2391" s="9" t="s">
        <v>27</v>
      </c>
      <c r="G2391" s="9" t="s">
        <v>27</v>
      </c>
      <c r="H2391" s="11" t="n">
        <v>25</v>
      </c>
      <c r="I2391" s="11" t="s">
        <v>365</v>
      </c>
      <c r="J2391" s="14" t="n">
        <v>107</v>
      </c>
      <c r="K2391" s="14"/>
      <c r="L2391" s="16"/>
      <c r="M2391" s="27" t="n">
        <f aca="false">J2391+(K2391/20)+(L2391/240)</f>
        <v>107</v>
      </c>
      <c r="N2391" s="17" t="s">
        <v>64</v>
      </c>
      <c r="O2391" s="11" t="s">
        <v>77</v>
      </c>
      <c r="P2391" s="28"/>
      <c r="Q2391" s="28" t="n">
        <f aca="false">P2391*$M2391</f>
        <v>0</v>
      </c>
      <c r="R2391" s="28"/>
      <c r="S2391" s="28" t="n">
        <f aca="false">R2391*$M2391</f>
        <v>0</v>
      </c>
      <c r="T2391" s="28" t="n">
        <f aca="false">1834/100</f>
        <v>18.34</v>
      </c>
      <c r="U2391" s="28" t="n">
        <v>1962</v>
      </c>
      <c r="V2391" s="28"/>
      <c r="W2391" s="28" t="n">
        <f aca="false">V2391*$M2391</f>
        <v>0</v>
      </c>
      <c r="X2391" s="28"/>
      <c r="Y2391" s="28" t="n">
        <f aca="false">X2391*$M2391</f>
        <v>0</v>
      </c>
      <c r="Z2391" s="28"/>
      <c r="AA2391" s="28" t="n">
        <f aca="false">Z2391*$M2391</f>
        <v>0</v>
      </c>
      <c r="AB2391" s="28"/>
      <c r="AC2391" s="28" t="n">
        <f aca="false">AB2391*$M2391</f>
        <v>0</v>
      </c>
      <c r="AD2391" s="28"/>
      <c r="AE2391" s="28" t="n">
        <f aca="false">AD2391*$M2391</f>
        <v>0</v>
      </c>
      <c r="AF2391" s="28" t="n">
        <f aca="false">5202/100</f>
        <v>52.02</v>
      </c>
      <c r="AG2391" s="28" t="n">
        <v>5566</v>
      </c>
      <c r="AH2391" s="28"/>
      <c r="AI2391" s="28" t="n">
        <f aca="false">AH2391*$M2391</f>
        <v>0</v>
      </c>
      <c r="AJ2391" s="28" t="n">
        <f aca="false">3209/100</f>
        <v>32.09</v>
      </c>
      <c r="AK2391" s="28" t="n">
        <v>3434</v>
      </c>
      <c r="AL2391" s="28" t="n">
        <f aca="false">80682/100</f>
        <v>806.82</v>
      </c>
      <c r="AM2391" s="28" t="n">
        <v>86329</v>
      </c>
      <c r="AN2391" s="28"/>
      <c r="AO2391" s="28" t="n">
        <f aca="false">AN2391*$M2391</f>
        <v>0</v>
      </c>
      <c r="AP2391" s="28"/>
      <c r="AQ2391" s="28" t="n">
        <f aca="false">AP2391*$M2391</f>
        <v>0</v>
      </c>
      <c r="AR2391" s="28"/>
      <c r="AS2391" s="28" t="n">
        <f aca="false">AR2391*$M2391</f>
        <v>0</v>
      </c>
      <c r="AT2391" s="28"/>
      <c r="AU2391" s="28" t="n">
        <f aca="false">AT2391*$M2391</f>
        <v>0</v>
      </c>
      <c r="AV2391" s="28"/>
      <c r="AW2391" s="28" t="n">
        <f aca="false">AV2391*$M2391</f>
        <v>0</v>
      </c>
      <c r="AX2391" s="28"/>
      <c r="AY2391" s="28" t="n">
        <f aca="false">AX2391*$M2391</f>
        <v>0</v>
      </c>
      <c r="AZ2391" s="30" t="n">
        <f aca="false">90927/100</f>
        <v>909.27</v>
      </c>
      <c r="BA2391" s="11" t="n">
        <v>97291</v>
      </c>
      <c r="BB2391" s="31" t="n">
        <f aca="false">SUM(Q2391,S2391,U2391,W2391,Y2391,AA2391,AC2391,AE2391,AG2391,AI2391,AK2391,AM2391,AO2391,AQ2391,AS2391,AU2391,AW2391,AY2391)</f>
        <v>97291</v>
      </c>
      <c r="BC2391" s="28" t="n">
        <f aca="false">BA2391-BB2391</f>
        <v>0</v>
      </c>
      <c r="BD2391" s="32" t="n">
        <f aca="false">SUM(P2391,R2391,T2391,V2391,X2391,Z2391,AB2391,AD2391,AF2391,AH2391,AJ2391,AL2391,AN2391,AP2391,AR2391,AT2391,AV2391,AX2391)</f>
        <v>909.27</v>
      </c>
      <c r="BE2391" s="33" t="n">
        <f aca="false">AZ2391-BD2391</f>
        <v>0</v>
      </c>
      <c r="BF2391" s="34" t="n">
        <f aca="false">BD2391*M2391</f>
        <v>97291.89</v>
      </c>
      <c r="BG2391" s="35" t="n">
        <f aca="false">BA2391-BF2391</f>
        <v>-0.89000000001397</v>
      </c>
      <c r="BH2391" s="19" t="str">
        <f aca="false">IF(BG2391=0,"",IF(BG2391&lt;&gt;BA2391,"erreur de calcul",IF(BD2391&lt;&gt;0,"pas de prix",IF(M2391&lt;&gt; 0,"pas de quantité","pas de prix, ni de quantité"))))</f>
        <v>erreur de calcul</v>
      </c>
      <c r="BI2391" s="19"/>
    </row>
    <row r="2392" customFormat="false" ht="15" hidden="false" customHeight="false" outlineLevel="0" collapsed="false">
      <c r="A2392" s="0" t="n">
        <v>38</v>
      </c>
      <c r="B2392" s="8" t="s">
        <v>24</v>
      </c>
      <c r="C2392" s="9" t="s">
        <v>25</v>
      </c>
      <c r="D2392" s="9" t="s">
        <v>26</v>
      </c>
      <c r="E2392" s="10" t="n">
        <v>1789</v>
      </c>
      <c r="F2392" s="9" t="s">
        <v>27</v>
      </c>
      <c r="G2392" s="9" t="s">
        <v>27</v>
      </c>
      <c r="H2392" s="11" t="n">
        <v>25</v>
      </c>
      <c r="I2392" s="11" t="s">
        <v>366</v>
      </c>
      <c r="J2392" s="14"/>
      <c r="K2392" s="14"/>
      <c r="L2392" s="16"/>
      <c r="M2392" s="27" t="n">
        <f aca="false">J2392+(K2392/20)+(L2392/240)</f>
        <v>0</v>
      </c>
      <c r="N2392" s="17" t="s">
        <v>66</v>
      </c>
      <c r="O2392" s="11"/>
      <c r="P2392" s="28"/>
      <c r="Q2392" s="28" t="n">
        <f aca="false">P2392*$M2392</f>
        <v>0</v>
      </c>
      <c r="R2392" s="28"/>
      <c r="S2392" s="28" t="n">
        <f aca="false">R2392*$M2392</f>
        <v>0</v>
      </c>
      <c r="T2392" s="28"/>
      <c r="U2392" s="28" t="n">
        <f aca="false">T2392*$M2392</f>
        <v>0</v>
      </c>
      <c r="V2392" s="28" t="n">
        <v>797</v>
      </c>
      <c r="W2392" s="28" t="n">
        <v>720</v>
      </c>
      <c r="X2392" s="28"/>
      <c r="Y2392" s="28" t="n">
        <f aca="false">X2392*$M2392</f>
        <v>0</v>
      </c>
      <c r="Z2392" s="28"/>
      <c r="AA2392" s="28" t="n">
        <f aca="false">Z2392*$M2392</f>
        <v>0</v>
      </c>
      <c r="AB2392" s="28"/>
      <c r="AC2392" s="28" t="n">
        <f aca="false">AB2392*$M2392</f>
        <v>0</v>
      </c>
      <c r="AD2392" s="28"/>
      <c r="AE2392" s="28" t="n">
        <f aca="false">AD2392*$M2392</f>
        <v>0</v>
      </c>
      <c r="AF2392" s="28"/>
      <c r="AG2392" s="28" t="n">
        <f aca="false">AF2392*$M2392</f>
        <v>0</v>
      </c>
      <c r="AH2392" s="28"/>
      <c r="AI2392" s="28" t="n">
        <f aca="false">AH2392*$M2392</f>
        <v>0</v>
      </c>
      <c r="AJ2392" s="28"/>
      <c r="AK2392" s="28" t="n">
        <f aca="false">AJ2392*$M2392</f>
        <v>0</v>
      </c>
      <c r="AL2392" s="28"/>
      <c r="AM2392" s="28" t="n">
        <f aca="false">AL2392*$M2392</f>
        <v>0</v>
      </c>
      <c r="AN2392" s="28"/>
      <c r="AO2392" s="28" t="n">
        <f aca="false">AN2392*$M2392</f>
        <v>0</v>
      </c>
      <c r="AP2392" s="28"/>
      <c r="AQ2392" s="28" t="n">
        <f aca="false">AP2392*$M2392</f>
        <v>0</v>
      </c>
      <c r="AR2392" s="28"/>
      <c r="AS2392" s="28" t="n">
        <f aca="false">AR2392*$M2392</f>
        <v>0</v>
      </c>
      <c r="AT2392" s="28"/>
      <c r="AU2392" s="28" t="n">
        <f aca="false">AT2392*$M2392</f>
        <v>0</v>
      </c>
      <c r="AV2392" s="28"/>
      <c r="AW2392" s="28" t="n">
        <f aca="false">AV2392*$M2392</f>
        <v>0</v>
      </c>
      <c r="AX2392" s="28"/>
      <c r="AY2392" s="28" t="n">
        <f aca="false">AX2392*$M2392</f>
        <v>0</v>
      </c>
      <c r="AZ2392" s="30" t="n">
        <v>797</v>
      </c>
      <c r="BA2392" s="11" t="n">
        <v>720</v>
      </c>
      <c r="BB2392" s="31" t="n">
        <f aca="false">SUM(Q2392,S2392,U2392,W2392,Y2392,AA2392,AC2392,AE2392,AG2392,AI2392,AK2392,AM2392,AO2392,AQ2392,AS2392,AU2392,AW2392,AY2392)</f>
        <v>720</v>
      </c>
      <c r="BC2392" s="28" t="n">
        <f aca="false">BA2392-BB2392</f>
        <v>0</v>
      </c>
      <c r="BD2392" s="32" t="n">
        <f aca="false">SUM(P2392,R2392,T2392,V2392,X2392,Z2392,AB2392,AD2392,AF2392,AH2392,AJ2392,AL2392,AN2392,AP2392,AR2392,AT2392,AV2392,AX2392)</f>
        <v>797</v>
      </c>
      <c r="BE2392" s="33" t="n">
        <f aca="false">AZ2392-BD2392</f>
        <v>0</v>
      </c>
      <c r="BF2392" s="34" t="n">
        <f aca="false">BD2392*M2392</f>
        <v>0</v>
      </c>
      <c r="BG2392" s="35" t="n">
        <f aca="false">BA2392-BF2392</f>
        <v>720</v>
      </c>
      <c r="BH2392" s="19" t="str">
        <f aca="false">IF(BG2392=0,"",IF(BG2392&lt;&gt;BA2392,"erreur de calcul",IF(BD2392&lt;&gt;0,"pas de prix",IF(M2392&lt;&gt; 0,"pas de quantité","pas de prix, ni de quantité"))))</f>
        <v>pas de prix</v>
      </c>
      <c r="BI2392" s="19" t="s">
        <v>367</v>
      </c>
    </row>
    <row r="2393" customFormat="false" ht="15" hidden="false" customHeight="false" outlineLevel="0" collapsed="false">
      <c r="A2393" s="0" t="n">
        <v>39</v>
      </c>
      <c r="B2393" s="8" t="s">
        <v>24</v>
      </c>
      <c r="C2393" s="9" t="s">
        <v>25</v>
      </c>
      <c r="D2393" s="9" t="s">
        <v>26</v>
      </c>
      <c r="E2393" s="10" t="n">
        <v>1789</v>
      </c>
      <c r="F2393" s="9" t="s">
        <v>27</v>
      </c>
      <c r="G2393" s="9" t="s">
        <v>27</v>
      </c>
      <c r="H2393" s="11" t="n">
        <v>25</v>
      </c>
      <c r="I2393" s="11" t="s">
        <v>368</v>
      </c>
      <c r="J2393" s="14" t="n">
        <v>4</v>
      </c>
      <c r="K2393" s="14"/>
      <c r="L2393" s="16"/>
      <c r="M2393" s="27" t="n">
        <f aca="false">J2393+(K2393/20)+(L2393/240)</f>
        <v>4</v>
      </c>
      <c r="N2393" s="17" t="s">
        <v>64</v>
      </c>
      <c r="O2393" s="11"/>
      <c r="P2393" s="28"/>
      <c r="Q2393" s="28" t="n">
        <f aca="false">P2393*$M2393</f>
        <v>0</v>
      </c>
      <c r="R2393" s="28"/>
      <c r="S2393" s="28" t="n">
        <f aca="false">R2393*$M2393</f>
        <v>0</v>
      </c>
      <c r="T2393" s="28"/>
      <c r="U2393" s="28" t="n">
        <f aca="false">T2393*$M2393</f>
        <v>0</v>
      </c>
      <c r="V2393" s="28" t="n">
        <f aca="false">23693/100</f>
        <v>236.93</v>
      </c>
      <c r="W2393" s="28" t="n">
        <v>948</v>
      </c>
      <c r="X2393" s="28"/>
      <c r="Y2393" s="28" t="n">
        <f aca="false">X2393*$M2393</f>
        <v>0</v>
      </c>
      <c r="Z2393" s="28"/>
      <c r="AA2393" s="28" t="n">
        <f aca="false">Z2393*$M2393</f>
        <v>0</v>
      </c>
      <c r="AB2393" s="28"/>
      <c r="AC2393" s="28" t="n">
        <f aca="false">AB2393*$M2393</f>
        <v>0</v>
      </c>
      <c r="AD2393" s="28"/>
      <c r="AE2393" s="28" t="n">
        <f aca="false">AD2393*$M2393</f>
        <v>0</v>
      </c>
      <c r="AF2393" s="28"/>
      <c r="AG2393" s="28" t="n">
        <f aca="false">AF2393*$M2393</f>
        <v>0</v>
      </c>
      <c r="AH2393" s="28"/>
      <c r="AI2393" s="28" t="n">
        <f aca="false">AH2393*$M2393</f>
        <v>0</v>
      </c>
      <c r="AJ2393" s="28"/>
      <c r="AK2393" s="28" t="n">
        <f aca="false">AJ2393*$M2393</f>
        <v>0</v>
      </c>
      <c r="AL2393" s="28"/>
      <c r="AM2393" s="28" t="n">
        <f aca="false">AL2393*$M2393</f>
        <v>0</v>
      </c>
      <c r="AN2393" s="28"/>
      <c r="AO2393" s="28" t="n">
        <f aca="false">AN2393*$M2393</f>
        <v>0</v>
      </c>
      <c r="AP2393" s="28"/>
      <c r="AQ2393" s="28" t="n">
        <f aca="false">AP2393*$M2393</f>
        <v>0</v>
      </c>
      <c r="AR2393" s="28"/>
      <c r="AS2393" s="28" t="n">
        <f aca="false">AR2393*$M2393</f>
        <v>0</v>
      </c>
      <c r="AT2393" s="28"/>
      <c r="AU2393" s="28" t="n">
        <f aca="false">AT2393*$M2393</f>
        <v>0</v>
      </c>
      <c r="AV2393" s="28"/>
      <c r="AW2393" s="28" t="n">
        <f aca="false">AV2393*$M2393</f>
        <v>0</v>
      </c>
      <c r="AX2393" s="28"/>
      <c r="AY2393" s="28" t="n">
        <f aca="false">AX2393*$M2393</f>
        <v>0</v>
      </c>
      <c r="AZ2393" s="30" t="n">
        <f aca="false">23693/100</f>
        <v>236.93</v>
      </c>
      <c r="BA2393" s="11" t="n">
        <v>948</v>
      </c>
      <c r="BB2393" s="31" t="n">
        <f aca="false">SUM(Q2393,S2393,U2393,W2393,Y2393,AA2393,AC2393,AE2393,AG2393,AI2393,AK2393,AM2393,AO2393,AQ2393,AS2393,AU2393,AW2393,AY2393)</f>
        <v>948</v>
      </c>
      <c r="BC2393" s="28" t="n">
        <f aca="false">BA2393-BB2393</f>
        <v>0</v>
      </c>
      <c r="BD2393" s="32" t="n">
        <f aca="false">SUM(P2393,R2393,T2393,V2393,X2393,Z2393,AB2393,AD2393,AF2393,AH2393,AJ2393,AL2393,AN2393,AP2393,AR2393,AT2393,AV2393,AX2393)</f>
        <v>236.93</v>
      </c>
      <c r="BE2393" s="33" t="n">
        <f aca="false">AZ2393-BD2393</f>
        <v>0</v>
      </c>
      <c r="BF2393" s="34" t="n">
        <f aca="false">BD2393*M2393</f>
        <v>947.72</v>
      </c>
      <c r="BG2393" s="35" t="n">
        <f aca="false">BA2393-BF2393</f>
        <v>0.279999999999973</v>
      </c>
      <c r="BH2393" s="19" t="str">
        <f aca="false">IF(BG2393=0,"",IF(BG2393&lt;&gt;BA2393,"erreur de calcul",IF(BD2393&lt;&gt;0,"pas de prix",IF(M2393&lt;&gt; 0,"pas de quantité","pas de prix, ni de quantité"))))</f>
        <v>erreur de calcul</v>
      </c>
      <c r="BI2393" s="19"/>
    </row>
    <row r="2394" customFormat="false" ht="15" hidden="false" customHeight="false" outlineLevel="0" collapsed="false">
      <c r="A2394" s="0" t="n">
        <v>40</v>
      </c>
      <c r="B2394" s="8" t="s">
        <v>24</v>
      </c>
      <c r="C2394" s="9" t="s">
        <v>25</v>
      </c>
      <c r="D2394" s="9" t="s">
        <v>26</v>
      </c>
      <c r="E2394" s="10" t="n">
        <v>1789</v>
      </c>
      <c r="F2394" s="9" t="s">
        <v>27</v>
      </c>
      <c r="G2394" s="9" t="s">
        <v>27</v>
      </c>
      <c r="H2394" s="11" t="n">
        <v>25</v>
      </c>
      <c r="I2394" s="11" t="s">
        <v>369</v>
      </c>
      <c r="J2394" s="14" t="n">
        <v>92</v>
      </c>
      <c r="K2394" s="14"/>
      <c r="L2394" s="16"/>
      <c r="M2394" s="27" t="n">
        <f aca="false">J2394+(K2394/20)+(L2394/240)</f>
        <v>92</v>
      </c>
      <c r="N2394" s="17" t="s">
        <v>64</v>
      </c>
      <c r="O2394" s="11"/>
      <c r="P2394" s="28"/>
      <c r="Q2394" s="28" t="n">
        <f aca="false">P2394*$M2394</f>
        <v>0</v>
      </c>
      <c r="R2394" s="28"/>
      <c r="S2394" s="28" t="n">
        <f aca="false">R2394*$M2394</f>
        <v>0</v>
      </c>
      <c r="T2394" s="28"/>
      <c r="U2394" s="28" t="n">
        <f aca="false">T2394*$M2394</f>
        <v>0</v>
      </c>
      <c r="V2394" s="28" t="n">
        <f aca="false">82878/100</f>
        <v>828.78</v>
      </c>
      <c r="W2394" s="28" t="n">
        <v>76248</v>
      </c>
      <c r="X2394" s="28" t="n">
        <f aca="false">44264/100</f>
        <v>442.64</v>
      </c>
      <c r="Y2394" s="36" t="n">
        <v>41023</v>
      </c>
      <c r="Z2394" s="28"/>
      <c r="AA2394" s="28" t="n">
        <f aca="false">Z2394*$M2394</f>
        <v>0</v>
      </c>
      <c r="AB2394" s="28"/>
      <c r="AC2394" s="28" t="n">
        <f aca="false">AB2394*$M2394</f>
        <v>0</v>
      </c>
      <c r="AD2394" s="28"/>
      <c r="AE2394" s="28" t="n">
        <f aca="false">AD2394*$M2394</f>
        <v>0</v>
      </c>
      <c r="AF2394" s="28"/>
      <c r="AG2394" s="28" t="n">
        <f aca="false">AF2394*$M2394</f>
        <v>0</v>
      </c>
      <c r="AH2394" s="28"/>
      <c r="AI2394" s="28" t="n">
        <f aca="false">AH2394*$M2394</f>
        <v>0</v>
      </c>
      <c r="AJ2394" s="28"/>
      <c r="AK2394" s="28" t="n">
        <f aca="false">AJ2394*$M2394</f>
        <v>0</v>
      </c>
      <c r="AL2394" s="28"/>
      <c r="AM2394" s="28" t="n">
        <f aca="false">AL2394*$M2394</f>
        <v>0</v>
      </c>
      <c r="AN2394" s="28"/>
      <c r="AO2394" s="28" t="n">
        <f aca="false">AN2394*$M2394</f>
        <v>0</v>
      </c>
      <c r="AP2394" s="28"/>
      <c r="AQ2394" s="28" t="n">
        <f aca="false">AP2394*$M2394</f>
        <v>0</v>
      </c>
      <c r="AR2394" s="28"/>
      <c r="AS2394" s="28" t="n">
        <f aca="false">AR2394*$M2394</f>
        <v>0</v>
      </c>
      <c r="AT2394" s="28"/>
      <c r="AU2394" s="28" t="n">
        <f aca="false">AT2394*$M2394</f>
        <v>0</v>
      </c>
      <c r="AV2394" s="28"/>
      <c r="AW2394" s="28" t="n">
        <f aca="false">AV2394*$M2394</f>
        <v>0</v>
      </c>
      <c r="AX2394" s="28"/>
      <c r="AY2394" s="28" t="n">
        <f aca="false">AX2394*$M2394</f>
        <v>0</v>
      </c>
      <c r="AZ2394" s="30" t="n">
        <f aca="false">127142/100</f>
        <v>1271.42</v>
      </c>
      <c r="BA2394" s="11" t="n">
        <v>117271</v>
      </c>
      <c r="BB2394" s="31" t="n">
        <f aca="false">SUM(Q2394,S2394,U2394,W2394,Y2394,AA2394,AC2394,AE2394,AG2394,AI2394,AK2394,AM2394,AO2394,AQ2394,AS2394,AU2394,AW2394,AY2394)</f>
        <v>117271</v>
      </c>
      <c r="BC2394" s="28" t="n">
        <f aca="false">BA2394-BB2394</f>
        <v>0</v>
      </c>
      <c r="BD2394" s="32" t="n">
        <f aca="false">SUM(P2394,R2394,T2394,V2394,X2394,Z2394,AB2394,AD2394,AF2394,AH2394,AJ2394,AL2394,AN2394,AP2394,AR2394,AT2394,AV2394,AX2394)</f>
        <v>1271.42</v>
      </c>
      <c r="BE2394" s="33" t="n">
        <f aca="false">AZ2394-BD2394</f>
        <v>0</v>
      </c>
      <c r="BF2394" s="34" t="n">
        <f aca="false">BD2394*M2394</f>
        <v>116970.64</v>
      </c>
      <c r="BG2394" s="35" t="n">
        <f aca="false">BA2394-BF2394</f>
        <v>300.359999999986</v>
      </c>
      <c r="BH2394" s="19" t="str">
        <f aca="false">IF(BG2394=0,"",IF(BG2394&lt;&gt;BA2394,"erreur de calcul",IF(BD2394&lt;&gt;0,"pas de prix",IF(M2394&lt;&gt; 0,"pas de quantité","pas de prix, ni de quantité"))))</f>
        <v>erreur de calcul</v>
      </c>
      <c r="BI2394" s="19"/>
    </row>
    <row r="2395" customFormat="false" ht="15" hidden="false" customHeight="false" outlineLevel="0" collapsed="false">
      <c r="A2395" s="0" t="n">
        <v>41</v>
      </c>
      <c r="B2395" s="8" t="s">
        <v>24</v>
      </c>
      <c r="C2395" s="9" t="s">
        <v>25</v>
      </c>
      <c r="D2395" s="9" t="s">
        <v>26</v>
      </c>
      <c r="E2395" s="10" t="n">
        <v>1789</v>
      </c>
      <c r="F2395" s="9" t="s">
        <v>27</v>
      </c>
      <c r="G2395" s="9" t="s">
        <v>27</v>
      </c>
      <c r="H2395" s="11" t="n">
        <v>25</v>
      </c>
      <c r="I2395" s="11" t="s">
        <v>370</v>
      </c>
      <c r="J2395" s="14" t="n">
        <v>12</v>
      </c>
      <c r="K2395" s="14"/>
      <c r="L2395" s="16"/>
      <c r="M2395" s="27" t="n">
        <f aca="false">J2395+(K2395/20)+(L2395/240)</f>
        <v>12</v>
      </c>
      <c r="N2395" s="17" t="s">
        <v>64</v>
      </c>
      <c r="O2395" s="11"/>
      <c r="P2395" s="28"/>
      <c r="Q2395" s="28" t="n">
        <f aca="false">P2395*$M2395</f>
        <v>0</v>
      </c>
      <c r="R2395" s="28"/>
      <c r="S2395" s="28" t="n">
        <f aca="false">R2395*$M2395</f>
        <v>0</v>
      </c>
      <c r="T2395" s="28"/>
      <c r="U2395" s="28" t="n">
        <f aca="false">T2395*$M2395</f>
        <v>0</v>
      </c>
      <c r="V2395" s="28"/>
      <c r="W2395" s="28" t="n">
        <f aca="false">V2395*$M2395</f>
        <v>0</v>
      </c>
      <c r="X2395" s="28"/>
      <c r="Y2395" s="28" t="n">
        <f aca="false">X2395*$M2395</f>
        <v>0</v>
      </c>
      <c r="Z2395" s="28"/>
      <c r="AA2395" s="28" t="n">
        <f aca="false">Z2395*$M2395</f>
        <v>0</v>
      </c>
      <c r="AB2395" s="28"/>
      <c r="AC2395" s="28" t="n">
        <f aca="false">AB2395*$M2395</f>
        <v>0</v>
      </c>
      <c r="AD2395" s="28"/>
      <c r="AE2395" s="28" t="n">
        <f aca="false">AD2395*$M2395</f>
        <v>0</v>
      </c>
      <c r="AF2395" s="28"/>
      <c r="AG2395" s="28" t="n">
        <f aca="false">AF2395*$M2395</f>
        <v>0</v>
      </c>
      <c r="AH2395" s="28" t="n">
        <f aca="false">12168/100</f>
        <v>121.68</v>
      </c>
      <c r="AI2395" s="28" t="n">
        <v>1460</v>
      </c>
      <c r="AJ2395" s="28"/>
      <c r="AK2395" s="28" t="n">
        <f aca="false">AJ2395*$M2395</f>
        <v>0</v>
      </c>
      <c r="AL2395" s="28"/>
      <c r="AM2395" s="28" t="n">
        <f aca="false">AL2395*$M2395</f>
        <v>0</v>
      </c>
      <c r="AN2395" s="28"/>
      <c r="AO2395" s="28" t="n">
        <f aca="false">AN2395*$M2395</f>
        <v>0</v>
      </c>
      <c r="AP2395" s="28"/>
      <c r="AQ2395" s="28" t="n">
        <f aca="false">AP2395*$M2395</f>
        <v>0</v>
      </c>
      <c r="AR2395" s="28"/>
      <c r="AS2395" s="28" t="n">
        <f aca="false">AR2395*$M2395</f>
        <v>0</v>
      </c>
      <c r="AT2395" s="28"/>
      <c r="AU2395" s="28" t="n">
        <f aca="false">AT2395*$M2395</f>
        <v>0</v>
      </c>
      <c r="AV2395" s="28"/>
      <c r="AW2395" s="28" t="n">
        <f aca="false">AV2395*$M2395</f>
        <v>0</v>
      </c>
      <c r="AX2395" s="28"/>
      <c r="AY2395" s="28" t="n">
        <f aca="false">AX2395*$M2395</f>
        <v>0</v>
      </c>
      <c r="AZ2395" s="30" t="n">
        <f aca="false">12168/100</f>
        <v>121.68</v>
      </c>
      <c r="BA2395" s="11" t="n">
        <v>1460</v>
      </c>
      <c r="BB2395" s="31" t="n">
        <f aca="false">SUM(Q2395,S2395,U2395,W2395,Y2395,AA2395,AC2395,AE2395,AG2395,AI2395,AK2395,AM2395,AO2395,AQ2395,AS2395,AU2395,AW2395,AY2395)</f>
        <v>1460</v>
      </c>
      <c r="BC2395" s="28" t="n">
        <f aca="false">BA2395-BB2395</f>
        <v>0</v>
      </c>
      <c r="BD2395" s="32" t="n">
        <f aca="false">SUM(P2395,R2395,T2395,V2395,X2395,Z2395,AB2395,AD2395,AF2395,AH2395,AJ2395,AL2395,AN2395,AP2395,AR2395,AT2395,AV2395,AX2395)</f>
        <v>121.68</v>
      </c>
      <c r="BE2395" s="33" t="n">
        <f aca="false">AZ2395-BD2395</f>
        <v>0</v>
      </c>
      <c r="BF2395" s="34" t="n">
        <f aca="false">BD2395*M2395</f>
        <v>1460.16</v>
      </c>
      <c r="BG2395" s="35" t="n">
        <f aca="false">BA2395-BF2395</f>
        <v>-0.160000000000082</v>
      </c>
      <c r="BH2395" s="19" t="str">
        <f aca="false">IF(BG2395=0,"",IF(BG2395&lt;&gt;BA2395,"erreur de calcul",IF(BD2395&lt;&gt;0,"pas de prix",IF(M2395&lt;&gt; 0,"pas de quantité","pas de prix, ni de quantité"))))</f>
        <v>erreur de calcul</v>
      </c>
      <c r="BI2395" s="19"/>
    </row>
    <row r="2396" customFormat="false" ht="15" hidden="false" customHeight="false" outlineLevel="0" collapsed="false">
      <c r="A2396" s="0" t="n">
        <v>42</v>
      </c>
      <c r="B2396" s="8" t="s">
        <v>24</v>
      </c>
      <c r="C2396" s="9" t="s">
        <v>25</v>
      </c>
      <c r="D2396" s="9" t="s">
        <v>26</v>
      </c>
      <c r="E2396" s="10" t="n">
        <v>1789</v>
      </c>
      <c r="F2396" s="9" t="s">
        <v>27</v>
      </c>
      <c r="G2396" s="9" t="s">
        <v>27</v>
      </c>
      <c r="H2396" s="11" t="n">
        <v>25</v>
      </c>
      <c r="I2396" s="11" t="s">
        <v>371</v>
      </c>
      <c r="J2396" s="14" t="n">
        <v>7</v>
      </c>
      <c r="K2396" s="14"/>
      <c r="L2396" s="16"/>
      <c r="M2396" s="27" t="n">
        <f aca="false">J2396+(K2396/20)+(L2396/240)</f>
        <v>7</v>
      </c>
      <c r="N2396" s="17" t="s">
        <v>64</v>
      </c>
      <c r="O2396" s="11"/>
      <c r="P2396" s="28"/>
      <c r="Q2396" s="28" t="n">
        <f aca="false">P2396*$M2396</f>
        <v>0</v>
      </c>
      <c r="R2396" s="28"/>
      <c r="S2396" s="28" t="n">
        <f aca="false">R2396*$M2396</f>
        <v>0</v>
      </c>
      <c r="T2396" s="28"/>
      <c r="U2396" s="28" t="n">
        <f aca="false">T2396*$M2396</f>
        <v>0</v>
      </c>
      <c r="V2396" s="28"/>
      <c r="W2396" s="28" t="n">
        <f aca="false">V2396*$M2396</f>
        <v>0</v>
      </c>
      <c r="X2396" s="28"/>
      <c r="Y2396" s="28" t="n">
        <f aca="false">X2396*$M2396</f>
        <v>0</v>
      </c>
      <c r="Z2396" s="28"/>
      <c r="AA2396" s="28" t="n">
        <f aca="false">Z2396*$M2396</f>
        <v>0</v>
      </c>
      <c r="AB2396" s="28" t="n">
        <f aca="false">58003/100</f>
        <v>580.03</v>
      </c>
      <c r="AC2396" s="28" t="n">
        <v>4060</v>
      </c>
      <c r="AD2396" s="28"/>
      <c r="AE2396" s="28" t="n">
        <f aca="false">AD2396*$M2396</f>
        <v>0</v>
      </c>
      <c r="AF2396" s="28"/>
      <c r="AG2396" s="28" t="n">
        <f aca="false">AF2396*$M2396</f>
        <v>0</v>
      </c>
      <c r="AH2396" s="28"/>
      <c r="AI2396" s="28" t="n">
        <f aca="false">AH2396*$M2396</f>
        <v>0</v>
      </c>
      <c r="AJ2396" s="28"/>
      <c r="AK2396" s="28" t="n">
        <f aca="false">AJ2396*$M2396</f>
        <v>0</v>
      </c>
      <c r="AL2396" s="28"/>
      <c r="AM2396" s="28" t="n">
        <f aca="false">AL2396*$M2396</f>
        <v>0</v>
      </c>
      <c r="AN2396" s="28"/>
      <c r="AO2396" s="28" t="n">
        <f aca="false">AN2396*$M2396</f>
        <v>0</v>
      </c>
      <c r="AP2396" s="28"/>
      <c r="AQ2396" s="28" t="n">
        <f aca="false">AP2396*$M2396</f>
        <v>0</v>
      </c>
      <c r="AR2396" s="28"/>
      <c r="AS2396" s="28" t="n">
        <f aca="false">AR2396*$M2396</f>
        <v>0</v>
      </c>
      <c r="AT2396" s="28"/>
      <c r="AU2396" s="28" t="n">
        <f aca="false">AT2396*$M2396</f>
        <v>0</v>
      </c>
      <c r="AV2396" s="28"/>
      <c r="AW2396" s="28" t="n">
        <f aca="false">AV2396*$M2396</f>
        <v>0</v>
      </c>
      <c r="AX2396" s="28"/>
      <c r="AY2396" s="28" t="n">
        <f aca="false">AX2396*$M2396</f>
        <v>0</v>
      </c>
      <c r="AZ2396" s="30" t="n">
        <f aca="false">58003/100</f>
        <v>580.03</v>
      </c>
      <c r="BA2396" s="11" t="n">
        <v>4060</v>
      </c>
      <c r="BB2396" s="31" t="n">
        <f aca="false">SUM(Q2396,S2396,U2396,W2396,Y2396,AA2396,AC2396,AE2396,AG2396,AI2396,AK2396,AM2396,AO2396,AQ2396,AS2396,AU2396,AW2396,AY2396)</f>
        <v>4060</v>
      </c>
      <c r="BC2396" s="28" t="n">
        <f aca="false">BA2396-BB2396</f>
        <v>0</v>
      </c>
      <c r="BD2396" s="32" t="n">
        <f aca="false">SUM(P2396,R2396,T2396,V2396,X2396,Z2396,AB2396,AD2396,AF2396,AH2396,AJ2396,AL2396,AN2396,AP2396,AR2396,AT2396,AV2396,AX2396)</f>
        <v>580.03</v>
      </c>
      <c r="BE2396" s="33" t="n">
        <f aca="false">AZ2396-BD2396</f>
        <v>0</v>
      </c>
      <c r="BF2396" s="34" t="n">
        <f aca="false">BD2396*M2396</f>
        <v>4060.21</v>
      </c>
      <c r="BG2396" s="35" t="n">
        <f aca="false">BA2396-BF2396</f>
        <v>-0.210000000000036</v>
      </c>
      <c r="BH2396" s="19" t="str">
        <f aca="false">IF(BG2396=0,"",IF(BG2396&lt;&gt;BA2396,"erreur de calcul",IF(BD2396&lt;&gt;0,"pas de prix",IF(M2396&lt;&gt; 0,"pas de quantité","pas de prix, ni de quantité"))))</f>
        <v>erreur de calcul</v>
      </c>
      <c r="BI2396" s="19"/>
    </row>
    <row r="2397" customFormat="false" ht="15" hidden="false" customHeight="false" outlineLevel="0" collapsed="false">
      <c r="A2397" s="0" t="n">
        <v>1</v>
      </c>
      <c r="B2397" s="8" t="s">
        <v>24</v>
      </c>
      <c r="C2397" s="9" t="s">
        <v>25</v>
      </c>
      <c r="D2397" s="9" t="s">
        <v>26</v>
      </c>
      <c r="E2397" s="10" t="n">
        <v>1789</v>
      </c>
      <c r="F2397" s="9" t="s">
        <v>27</v>
      </c>
      <c r="G2397" s="9" t="s">
        <v>27</v>
      </c>
      <c r="H2397" s="11" t="n">
        <v>26</v>
      </c>
      <c r="I2397" s="11" t="s">
        <v>372</v>
      </c>
      <c r="J2397" s="14" t="n">
        <v>30</v>
      </c>
      <c r="K2397" s="14"/>
      <c r="L2397" s="16"/>
      <c r="M2397" s="27" t="n">
        <f aca="false">J2397+(K2397/20)+(L2397/240)</f>
        <v>30</v>
      </c>
      <c r="N2397" s="17" t="s">
        <v>64</v>
      </c>
      <c r="O2397" s="11"/>
      <c r="P2397" s="28"/>
      <c r="Q2397" s="28" t="n">
        <f aca="false">P2397*$M2397</f>
        <v>0</v>
      </c>
      <c r="R2397" s="28"/>
      <c r="S2397" s="28" t="n">
        <f aca="false">R2397*$M2397</f>
        <v>0</v>
      </c>
      <c r="T2397" s="28"/>
      <c r="U2397" s="28" t="n">
        <f aca="false">T2397*$M2397</f>
        <v>0</v>
      </c>
      <c r="V2397" s="28" t="n">
        <f aca="false">1500/100</f>
        <v>15</v>
      </c>
      <c r="W2397" s="28" t="n">
        <v>450</v>
      </c>
      <c r="X2397" s="28"/>
      <c r="Y2397" s="28" t="n">
        <f aca="false">X2397*$M2397</f>
        <v>0</v>
      </c>
      <c r="Z2397" s="28"/>
      <c r="AA2397" s="28" t="n">
        <f aca="false">Z2397*$M2397</f>
        <v>0</v>
      </c>
      <c r="AB2397" s="28"/>
      <c r="AC2397" s="28" t="n">
        <f aca="false">AB2397*$M2397</f>
        <v>0</v>
      </c>
      <c r="AD2397" s="28"/>
      <c r="AE2397" s="28" t="n">
        <f aca="false">AD2397*$M2397</f>
        <v>0</v>
      </c>
      <c r="AF2397" s="28"/>
      <c r="AG2397" s="28" t="n">
        <f aca="false">AF2397*$M2397</f>
        <v>0</v>
      </c>
      <c r="AH2397" s="28"/>
      <c r="AI2397" s="28" t="n">
        <f aca="false">AH2397*$M2397</f>
        <v>0</v>
      </c>
      <c r="AJ2397" s="28"/>
      <c r="AK2397" s="28" t="n">
        <f aca="false">AJ2397*$M2397</f>
        <v>0</v>
      </c>
      <c r="AL2397" s="28"/>
      <c r="AM2397" s="28" t="n">
        <f aca="false">AL2397*$M2397</f>
        <v>0</v>
      </c>
      <c r="AN2397" s="28"/>
      <c r="AO2397" s="28" t="n">
        <f aca="false">AN2397*$M2397</f>
        <v>0</v>
      </c>
      <c r="AP2397" s="28"/>
      <c r="AQ2397" s="28" t="n">
        <f aca="false">AP2397*$M2397</f>
        <v>0</v>
      </c>
      <c r="AR2397" s="28"/>
      <c r="AS2397" s="28" t="n">
        <f aca="false">AR2397*$M2397</f>
        <v>0</v>
      </c>
      <c r="AT2397" s="28"/>
      <c r="AU2397" s="28" t="n">
        <f aca="false">AT2397*$M2397</f>
        <v>0</v>
      </c>
      <c r="AV2397" s="28"/>
      <c r="AW2397" s="28" t="n">
        <f aca="false">AV2397*$M2397</f>
        <v>0</v>
      </c>
      <c r="AX2397" s="28"/>
      <c r="AY2397" s="28" t="n">
        <f aca="false">AX2397*$M2397</f>
        <v>0</v>
      </c>
      <c r="AZ2397" s="30" t="n">
        <f aca="false">1500/100</f>
        <v>15</v>
      </c>
      <c r="BA2397" s="11" t="n">
        <v>450</v>
      </c>
      <c r="BB2397" s="31" t="n">
        <f aca="false">SUM(Q2397,S2397,U2397,W2397,Y2397,AA2397,AC2397,AE2397,AG2397,AI2397,AK2397,AM2397,AO2397,AQ2397,AS2397,AU2397,AW2397,AY2397)</f>
        <v>450</v>
      </c>
      <c r="BC2397" s="28" t="n">
        <f aca="false">BA2397-BB2397</f>
        <v>0</v>
      </c>
      <c r="BD2397" s="32" t="n">
        <f aca="false">SUM(P2397,R2397,T2397,V2397,X2397,Z2397,AB2397,AD2397,AF2397,AH2397,AJ2397,AL2397,AN2397,AP2397,AR2397,AT2397,AV2397,AX2397)</f>
        <v>15</v>
      </c>
      <c r="BE2397" s="33" t="n">
        <f aca="false">AZ2397-BD2397</f>
        <v>0</v>
      </c>
      <c r="BF2397" s="34" t="n">
        <f aca="false">BD2397*M2397</f>
        <v>450</v>
      </c>
      <c r="BG2397" s="35" t="n">
        <f aca="false">BA2397-BF2397</f>
        <v>0</v>
      </c>
      <c r="BH2397" s="19" t="str">
        <f aca="false">IF(BG2397=0,"",IF(BG2397&lt;&gt;BA2397,"erreur de calcul",IF(BD2397&lt;&gt;0,"pas de prix",IF(M2397&lt;&gt; 0,"pas de quantité","pas de prix, ni de quantité"))))</f>
        <v/>
      </c>
      <c r="BI2397" s="19"/>
    </row>
    <row r="2398" customFormat="false" ht="15" hidden="false" customHeight="false" outlineLevel="0" collapsed="false">
      <c r="A2398" s="0" t="n">
        <v>2</v>
      </c>
      <c r="B2398" s="8" t="s">
        <v>24</v>
      </c>
      <c r="C2398" s="9" t="s">
        <v>25</v>
      </c>
      <c r="D2398" s="9" t="s">
        <v>26</v>
      </c>
      <c r="E2398" s="10" t="n">
        <v>1789</v>
      </c>
      <c r="F2398" s="9" t="s">
        <v>27</v>
      </c>
      <c r="G2398" s="9" t="s">
        <v>27</v>
      </c>
      <c r="H2398" s="11" t="n">
        <v>26</v>
      </c>
      <c r="I2398" s="11" t="s">
        <v>373</v>
      </c>
      <c r="J2398" s="14" t="n">
        <v>25</v>
      </c>
      <c r="K2398" s="14"/>
      <c r="L2398" s="16"/>
      <c r="M2398" s="27" t="n">
        <f aca="false">J2398+(K2398/20)+(L2398/240)</f>
        <v>25</v>
      </c>
      <c r="N2398" s="17" t="s">
        <v>64</v>
      </c>
      <c r="O2398" s="11"/>
      <c r="P2398" s="28"/>
      <c r="Q2398" s="28" t="n">
        <f aca="false">P2398*$M2398</f>
        <v>0</v>
      </c>
      <c r="R2398" s="28"/>
      <c r="S2398" s="28" t="n">
        <f aca="false">R2398*$M2398</f>
        <v>0</v>
      </c>
      <c r="T2398" s="28" t="n">
        <f aca="false">34168/100</f>
        <v>341.68</v>
      </c>
      <c r="U2398" s="28" t="n">
        <v>8542</v>
      </c>
      <c r="V2398" s="28" t="n">
        <f aca="false">128249/100</f>
        <v>1282.49</v>
      </c>
      <c r="W2398" s="28" t="n">
        <v>32062</v>
      </c>
      <c r="X2398" s="28" t="n">
        <f aca="false">21365/100</f>
        <v>213.65</v>
      </c>
      <c r="Y2398" s="28" t="n">
        <v>5341</v>
      </c>
      <c r="Z2398" s="28"/>
      <c r="AA2398" s="28" t="n">
        <f aca="false">Z2398*$M2398</f>
        <v>0</v>
      </c>
      <c r="AB2398" s="28"/>
      <c r="AC2398" s="28" t="n">
        <f aca="false">AB2398*$M2398</f>
        <v>0</v>
      </c>
      <c r="AD2398" s="28"/>
      <c r="AE2398" s="28" t="n">
        <f aca="false">AD2398*$M2398</f>
        <v>0</v>
      </c>
      <c r="AF2398" s="28"/>
      <c r="AG2398" s="28" t="n">
        <f aca="false">AF2398*$M2398</f>
        <v>0</v>
      </c>
      <c r="AH2398" s="28"/>
      <c r="AI2398" s="28" t="n">
        <f aca="false">AH2398*$M2398</f>
        <v>0</v>
      </c>
      <c r="AJ2398" s="28" t="n">
        <f aca="false">155251/100</f>
        <v>1552.51</v>
      </c>
      <c r="AK2398" s="28" t="n">
        <v>38813</v>
      </c>
      <c r="AL2398" s="28" t="n">
        <f aca="false">185000/100</f>
        <v>1850</v>
      </c>
      <c r="AM2398" s="28" t="n">
        <v>46250</v>
      </c>
      <c r="AN2398" s="28"/>
      <c r="AO2398" s="28" t="n">
        <f aca="false">AN2398*$M2398</f>
        <v>0</v>
      </c>
      <c r="AP2398" s="28"/>
      <c r="AQ2398" s="28" t="n">
        <f aca="false">AP2398*$M2398</f>
        <v>0</v>
      </c>
      <c r="AR2398" s="28"/>
      <c r="AS2398" s="28" t="n">
        <f aca="false">AR2398*$M2398</f>
        <v>0</v>
      </c>
      <c r="AT2398" s="28"/>
      <c r="AU2398" s="28" t="n">
        <f aca="false">AT2398*$M2398</f>
        <v>0</v>
      </c>
      <c r="AV2398" s="28"/>
      <c r="AW2398" s="28" t="n">
        <f aca="false">AV2398*$M2398</f>
        <v>0</v>
      </c>
      <c r="AX2398" s="28"/>
      <c r="AY2398" s="28" t="n">
        <f aca="false">AX2398*$M2398</f>
        <v>0</v>
      </c>
      <c r="AZ2398" s="30" t="n">
        <f aca="false">524033/100</f>
        <v>5240.33</v>
      </c>
      <c r="BA2398" s="11" t="n">
        <v>131008</v>
      </c>
      <c r="BB2398" s="31" t="n">
        <f aca="false">SUM(Q2398,S2398,U2398,W2398,Y2398,AA2398,AC2398,AE2398,AG2398,AI2398,AK2398,AM2398,AO2398,AQ2398,AS2398,AU2398,AW2398,AY2398)</f>
        <v>131008</v>
      </c>
      <c r="BC2398" s="28" t="n">
        <f aca="false">BA2398-BB2398</f>
        <v>0</v>
      </c>
      <c r="BD2398" s="32" t="n">
        <f aca="false">SUM(P2398,R2398,T2398,V2398,X2398,Z2398,AB2398,AD2398,AF2398,AH2398,AJ2398,AL2398,AN2398,AP2398,AR2398,AT2398,AV2398,AX2398)</f>
        <v>5240.33</v>
      </c>
      <c r="BE2398" s="33" t="n">
        <f aca="false">AZ2398-BD2398</f>
        <v>0</v>
      </c>
      <c r="BF2398" s="34" t="n">
        <f aca="false">BD2398*M2398</f>
        <v>131008.25</v>
      </c>
      <c r="BG2398" s="35" t="n">
        <f aca="false">BA2398-BF2398</f>
        <v>-0.250000000014552</v>
      </c>
      <c r="BH2398" s="19" t="str">
        <f aca="false">IF(BG2398=0,"",IF(BG2398&lt;&gt;BA2398,"erreur de calcul",IF(BD2398&lt;&gt;0,"pas de prix",IF(M2398&lt;&gt; 0,"pas de quantité","pas de prix, ni de quantité"))))</f>
        <v>erreur de calcul</v>
      </c>
      <c r="BI2398" s="19"/>
    </row>
    <row r="2399" customFormat="false" ht="15" hidden="false" customHeight="false" outlineLevel="0" collapsed="false">
      <c r="A2399" s="0" t="n">
        <v>3</v>
      </c>
      <c r="B2399" s="8" t="s">
        <v>24</v>
      </c>
      <c r="C2399" s="9" t="s">
        <v>25</v>
      </c>
      <c r="D2399" s="9" t="s">
        <v>26</v>
      </c>
      <c r="E2399" s="10" t="n">
        <v>1789</v>
      </c>
      <c r="F2399" s="9" t="s">
        <v>27</v>
      </c>
      <c r="G2399" s="9" t="s">
        <v>27</v>
      </c>
      <c r="H2399" s="11" t="n">
        <v>26</v>
      </c>
      <c r="I2399" s="11" t="s">
        <v>374</v>
      </c>
      <c r="J2399" s="14" t="n">
        <v>70</v>
      </c>
      <c r="K2399" s="14"/>
      <c r="L2399" s="16"/>
      <c r="M2399" s="27" t="n">
        <f aca="false">J2399+(K2399/20)+(L2399/240)</f>
        <v>70</v>
      </c>
      <c r="N2399" s="17" t="s">
        <v>64</v>
      </c>
      <c r="O2399" s="11"/>
      <c r="P2399" s="28"/>
      <c r="Q2399" s="28" t="n">
        <f aca="false">P2399*$M2399</f>
        <v>0</v>
      </c>
      <c r="R2399" s="28"/>
      <c r="S2399" s="28" t="n">
        <f aca="false">R2399*$M2399</f>
        <v>0</v>
      </c>
      <c r="T2399" s="28"/>
      <c r="U2399" s="28" t="n">
        <f aca="false">T2399*$M2399</f>
        <v>0</v>
      </c>
      <c r="V2399" s="28" t="n">
        <f aca="false">4560/100</f>
        <v>45.6</v>
      </c>
      <c r="W2399" s="28" t="n">
        <v>3192</v>
      </c>
      <c r="X2399" s="28" t="n">
        <f aca="false">1115/100</f>
        <v>11.15</v>
      </c>
      <c r="Y2399" s="28" t="n">
        <v>780</v>
      </c>
      <c r="Z2399" s="28"/>
      <c r="AA2399" s="28" t="n">
        <f aca="false">Z2399*$M2399</f>
        <v>0</v>
      </c>
      <c r="AB2399" s="28" t="n">
        <f aca="false">9431/100</f>
        <v>94.31</v>
      </c>
      <c r="AC2399" s="28" t="n">
        <v>6602</v>
      </c>
      <c r="AD2399" s="28"/>
      <c r="AE2399" s="28" t="n">
        <f aca="false">AD2399*$M2399</f>
        <v>0</v>
      </c>
      <c r="AF2399" s="28"/>
      <c r="AG2399" s="28" t="n">
        <f aca="false">AF2399*$M2399</f>
        <v>0</v>
      </c>
      <c r="AH2399" s="28"/>
      <c r="AI2399" s="28" t="n">
        <f aca="false">AH2399*$M2399</f>
        <v>0</v>
      </c>
      <c r="AJ2399" s="28"/>
      <c r="AK2399" s="28" t="n">
        <f aca="false">AJ2399*$M2399</f>
        <v>0</v>
      </c>
      <c r="AL2399" s="28"/>
      <c r="AM2399" s="28" t="n">
        <f aca="false">AL2399*$M2399</f>
        <v>0</v>
      </c>
      <c r="AN2399" s="28"/>
      <c r="AO2399" s="28" t="n">
        <f aca="false">AN2399*$M2399</f>
        <v>0</v>
      </c>
      <c r="AP2399" s="28"/>
      <c r="AQ2399" s="28" t="n">
        <f aca="false">AP2399*$M2399</f>
        <v>0</v>
      </c>
      <c r="AR2399" s="28"/>
      <c r="AS2399" s="28" t="n">
        <f aca="false">AR2399*$M2399</f>
        <v>0</v>
      </c>
      <c r="AT2399" s="28"/>
      <c r="AU2399" s="28" t="n">
        <f aca="false">AT2399*$M2399</f>
        <v>0</v>
      </c>
      <c r="AV2399" s="28"/>
      <c r="AW2399" s="28" t="n">
        <f aca="false">AV2399*$M2399</f>
        <v>0</v>
      </c>
      <c r="AX2399" s="28"/>
      <c r="AY2399" s="28" t="n">
        <f aca="false">AX2399*$M2399</f>
        <v>0</v>
      </c>
      <c r="AZ2399" s="30" t="n">
        <f aca="false">15106/100</f>
        <v>151.06</v>
      </c>
      <c r="BA2399" s="11" t="n">
        <v>10574</v>
      </c>
      <c r="BB2399" s="31" t="n">
        <f aca="false">SUM(Q2399,S2399,U2399,W2399,Y2399,AA2399,AC2399,AE2399,AG2399,AI2399,AK2399,AM2399,AO2399,AQ2399,AS2399,AU2399,AW2399,AY2399)</f>
        <v>10574</v>
      </c>
      <c r="BC2399" s="28" t="n">
        <f aca="false">BA2399-BB2399</f>
        <v>0</v>
      </c>
      <c r="BD2399" s="32" t="n">
        <f aca="false">SUM(P2399,R2399,T2399,V2399,X2399,Z2399,AB2399,AD2399,AF2399,AH2399,AJ2399,AL2399,AN2399,AP2399,AR2399,AT2399,AV2399,AX2399)</f>
        <v>151.06</v>
      </c>
      <c r="BE2399" s="33" t="n">
        <f aca="false">AZ2399-BD2399</f>
        <v>0</v>
      </c>
      <c r="BF2399" s="34" t="n">
        <f aca="false">BD2399*M2399</f>
        <v>10574.2</v>
      </c>
      <c r="BG2399" s="35" t="n">
        <f aca="false">BA2399-BF2399</f>
        <v>-0.200000000000728</v>
      </c>
      <c r="BH2399" s="19" t="str">
        <f aca="false">IF(BG2399=0,"",IF(BG2399&lt;&gt;BA2399,"erreur de calcul",IF(BD2399&lt;&gt;0,"pas de prix",IF(M2399&lt;&gt; 0,"pas de quantité","pas de prix, ni de quantité"))))</f>
        <v>erreur de calcul</v>
      </c>
      <c r="BI2399" s="19"/>
    </row>
    <row r="2400" customFormat="false" ht="15" hidden="false" customHeight="false" outlineLevel="0" collapsed="false">
      <c r="A2400" s="0" t="n">
        <v>4</v>
      </c>
      <c r="B2400" s="8" t="s">
        <v>24</v>
      </c>
      <c r="C2400" s="9" t="s">
        <v>25</v>
      </c>
      <c r="D2400" s="9" t="s">
        <v>26</v>
      </c>
      <c r="E2400" s="10" t="n">
        <v>1789</v>
      </c>
      <c r="F2400" s="9" t="s">
        <v>27</v>
      </c>
      <c r="G2400" s="9" t="s">
        <v>27</v>
      </c>
      <c r="H2400" s="11" t="n">
        <v>26</v>
      </c>
      <c r="I2400" s="11" t="s">
        <v>375</v>
      </c>
      <c r="J2400" s="14" t="n">
        <v>245</v>
      </c>
      <c r="K2400" s="14"/>
      <c r="L2400" s="16"/>
      <c r="M2400" s="27" t="n">
        <f aca="false">J2400+(K2400/20)+(L2400/240)</f>
        <v>245</v>
      </c>
      <c r="N2400" s="17" t="s">
        <v>64</v>
      </c>
      <c r="O2400" s="11"/>
      <c r="P2400" s="28"/>
      <c r="Q2400" s="28" t="n">
        <f aca="false">P2400*$M2400</f>
        <v>0</v>
      </c>
      <c r="R2400" s="28"/>
      <c r="S2400" s="28" t="n">
        <f aca="false">R2400*$M2400</f>
        <v>0</v>
      </c>
      <c r="T2400" s="28"/>
      <c r="U2400" s="28" t="n">
        <f aca="false">T2400*$M2400</f>
        <v>0</v>
      </c>
      <c r="V2400" s="28"/>
      <c r="W2400" s="28" t="n">
        <f aca="false">V2400*$M2400</f>
        <v>0</v>
      </c>
      <c r="X2400" s="28"/>
      <c r="Y2400" s="28" t="n">
        <f aca="false">X2400*$M2400</f>
        <v>0</v>
      </c>
      <c r="Z2400" s="28"/>
      <c r="AA2400" s="28" t="n">
        <f aca="false">Z2400*$M2400</f>
        <v>0</v>
      </c>
      <c r="AB2400" s="28"/>
      <c r="AC2400" s="28" t="n">
        <f aca="false">AB2400*$M2400</f>
        <v>0</v>
      </c>
      <c r="AD2400" s="28"/>
      <c r="AE2400" s="28" t="n">
        <f aca="false">AD2400*$M2400</f>
        <v>0</v>
      </c>
      <c r="AF2400" s="28"/>
      <c r="AG2400" s="28" t="n">
        <f aca="false">AF2400*$M2400</f>
        <v>0</v>
      </c>
      <c r="AH2400" s="28" t="n">
        <f aca="false">751/100</f>
        <v>7.51</v>
      </c>
      <c r="AI2400" s="28" t="n">
        <v>1840</v>
      </c>
      <c r="AJ2400" s="28"/>
      <c r="AK2400" s="28" t="n">
        <f aca="false">AJ2400*$M2400</f>
        <v>0</v>
      </c>
      <c r="AL2400" s="28"/>
      <c r="AM2400" s="28" t="n">
        <f aca="false">AL2400*$M2400</f>
        <v>0</v>
      </c>
      <c r="AN2400" s="28"/>
      <c r="AO2400" s="28" t="n">
        <f aca="false">AN2400*$M2400</f>
        <v>0</v>
      </c>
      <c r="AP2400" s="28"/>
      <c r="AQ2400" s="28" t="n">
        <f aca="false">AP2400*$M2400</f>
        <v>0</v>
      </c>
      <c r="AR2400" s="28"/>
      <c r="AS2400" s="28" t="n">
        <f aca="false">AR2400*$M2400</f>
        <v>0</v>
      </c>
      <c r="AT2400" s="28"/>
      <c r="AU2400" s="28" t="n">
        <f aca="false">AT2400*$M2400</f>
        <v>0</v>
      </c>
      <c r="AV2400" s="28"/>
      <c r="AW2400" s="28" t="n">
        <f aca="false">AV2400*$M2400</f>
        <v>0</v>
      </c>
      <c r="AX2400" s="28"/>
      <c r="AY2400" s="28" t="n">
        <f aca="false">AX2400*$M2400</f>
        <v>0</v>
      </c>
      <c r="AZ2400" s="30" t="n">
        <f aca="false">751/100</f>
        <v>7.51</v>
      </c>
      <c r="BA2400" s="11" t="n">
        <v>1840</v>
      </c>
      <c r="BB2400" s="31" t="n">
        <f aca="false">SUM(Q2400,S2400,U2400,W2400,Y2400,AA2400,AC2400,AE2400,AG2400,AI2400,AK2400,AM2400,AO2400,AQ2400,AS2400,AU2400,AW2400,AY2400)</f>
        <v>1840</v>
      </c>
      <c r="BC2400" s="28" t="n">
        <f aca="false">BA2400-BB2400</f>
        <v>0</v>
      </c>
      <c r="BD2400" s="32" t="n">
        <f aca="false">SUM(P2400,R2400,T2400,V2400,X2400,Z2400,AB2400,AD2400,AF2400,AH2400,AJ2400,AL2400,AN2400,AP2400,AR2400,AT2400,AV2400,AX2400)</f>
        <v>7.51</v>
      </c>
      <c r="BE2400" s="33" t="n">
        <f aca="false">AZ2400-BD2400</f>
        <v>0</v>
      </c>
      <c r="BF2400" s="34" t="n">
        <f aca="false">BD2400*M2400</f>
        <v>1839.95</v>
      </c>
      <c r="BG2400" s="35" t="n">
        <f aca="false">BA2400-BF2400</f>
        <v>0.0499999999999545</v>
      </c>
      <c r="BH2400" s="19" t="str">
        <f aca="false">IF(BG2400=0,"",IF(BG2400&lt;&gt;BA2400,"erreur de calcul",IF(BD2400&lt;&gt;0,"pas de prix",IF(M2400&lt;&gt; 0,"pas de quantité","pas de prix, ni de quantité"))))</f>
        <v>erreur de calcul</v>
      </c>
      <c r="BI2400" s="19"/>
    </row>
    <row r="2401" customFormat="false" ht="15" hidden="false" customHeight="false" outlineLevel="0" collapsed="false">
      <c r="A2401" s="0" t="n">
        <v>5</v>
      </c>
      <c r="B2401" s="8" t="s">
        <v>24</v>
      </c>
      <c r="C2401" s="9" t="s">
        <v>25</v>
      </c>
      <c r="D2401" s="9" t="s">
        <v>26</v>
      </c>
      <c r="E2401" s="10" t="n">
        <v>1789</v>
      </c>
      <c r="F2401" s="9" t="s">
        <v>27</v>
      </c>
      <c r="G2401" s="9" t="s">
        <v>27</v>
      </c>
      <c r="H2401" s="11" t="n">
        <v>26</v>
      </c>
      <c r="I2401" s="11" t="s">
        <v>376</v>
      </c>
      <c r="J2401" s="14" t="n">
        <v>550</v>
      </c>
      <c r="K2401" s="14"/>
      <c r="L2401" s="16"/>
      <c r="M2401" s="27" t="n">
        <f aca="false">J2401+(K2401/20)+(L2401/240)</f>
        <v>550</v>
      </c>
      <c r="N2401" s="17" t="s">
        <v>64</v>
      </c>
      <c r="O2401" s="11"/>
      <c r="P2401" s="28"/>
      <c r="Q2401" s="28" t="n">
        <f aca="false">P2401*$M2401</f>
        <v>0</v>
      </c>
      <c r="R2401" s="28"/>
      <c r="S2401" s="28" t="n">
        <f aca="false">R2401*$M2401</f>
        <v>0</v>
      </c>
      <c r="T2401" s="28"/>
      <c r="U2401" s="28" t="n">
        <f aca="false">T2401*$M2401</f>
        <v>0</v>
      </c>
      <c r="V2401" s="28"/>
      <c r="W2401" s="28" t="n">
        <f aca="false">V2401*$M2401</f>
        <v>0</v>
      </c>
      <c r="X2401" s="28"/>
      <c r="Y2401" s="28" t="n">
        <f aca="false">X2401*$M2401</f>
        <v>0</v>
      </c>
      <c r="Z2401" s="28"/>
      <c r="AA2401" s="28" t="n">
        <f aca="false">Z2401*$M2401</f>
        <v>0</v>
      </c>
      <c r="AB2401" s="28"/>
      <c r="AC2401" s="28" t="n">
        <f aca="false">AB2401*$M2401</f>
        <v>0</v>
      </c>
      <c r="AD2401" s="28"/>
      <c r="AE2401" s="28" t="n">
        <f aca="false">AD2401*$M2401</f>
        <v>0</v>
      </c>
      <c r="AF2401" s="28"/>
      <c r="AG2401" s="28" t="n">
        <f aca="false">AF2401*$M2401</f>
        <v>0</v>
      </c>
      <c r="AH2401" s="28" t="n">
        <f aca="false">215551/100</f>
        <v>2155.51</v>
      </c>
      <c r="AI2401" s="28" t="n">
        <v>1185530</v>
      </c>
      <c r="AJ2401" s="28"/>
      <c r="AK2401" s="28" t="n">
        <f aca="false">AJ2401*$M2401</f>
        <v>0</v>
      </c>
      <c r="AL2401" s="28"/>
      <c r="AM2401" s="28" t="n">
        <f aca="false">AL2401*$M2401</f>
        <v>0</v>
      </c>
      <c r="AN2401" s="28"/>
      <c r="AO2401" s="28" t="n">
        <f aca="false">AN2401*$M2401</f>
        <v>0</v>
      </c>
      <c r="AP2401" s="28"/>
      <c r="AQ2401" s="28" t="n">
        <f aca="false">AP2401*$M2401</f>
        <v>0</v>
      </c>
      <c r="AR2401" s="28"/>
      <c r="AS2401" s="28" t="n">
        <f aca="false">AR2401*$M2401</f>
        <v>0</v>
      </c>
      <c r="AT2401" s="28"/>
      <c r="AU2401" s="28" t="n">
        <f aca="false">AT2401*$M2401</f>
        <v>0</v>
      </c>
      <c r="AV2401" s="28"/>
      <c r="AW2401" s="28" t="n">
        <f aca="false">AV2401*$M2401</f>
        <v>0</v>
      </c>
      <c r="AX2401" s="28"/>
      <c r="AY2401" s="28" t="n">
        <f aca="false">AX2401*$M2401</f>
        <v>0</v>
      </c>
      <c r="AZ2401" s="30" t="n">
        <f aca="false">215551/100</f>
        <v>2155.51</v>
      </c>
      <c r="BA2401" s="11" t="n">
        <v>1185530</v>
      </c>
      <c r="BB2401" s="31" t="n">
        <f aca="false">SUM(Q2401,S2401,U2401,W2401,Y2401,AA2401,AC2401,AE2401,AG2401,AI2401,AK2401,AM2401,AO2401,AQ2401,AS2401,AU2401,AW2401,AY2401)</f>
        <v>1185530</v>
      </c>
      <c r="BC2401" s="28" t="n">
        <f aca="false">BA2401-BB2401</f>
        <v>0</v>
      </c>
      <c r="BD2401" s="32" t="n">
        <f aca="false">SUM(P2401,R2401,T2401,V2401,X2401,Z2401,AB2401,AD2401,AF2401,AH2401,AJ2401,AL2401,AN2401,AP2401,AR2401,AT2401,AV2401,AX2401)</f>
        <v>2155.51</v>
      </c>
      <c r="BE2401" s="33" t="n">
        <f aca="false">AZ2401-BD2401</f>
        <v>0</v>
      </c>
      <c r="BF2401" s="34" t="n">
        <f aca="false">BD2401*M2401</f>
        <v>1185530.5</v>
      </c>
      <c r="BG2401" s="35" t="n">
        <f aca="false">BA2401-BF2401</f>
        <v>-0.500000000232831</v>
      </c>
      <c r="BH2401" s="19" t="str">
        <f aca="false">IF(BG2401=0,"",IF(BG2401&lt;&gt;BA2401,"erreur de calcul",IF(BD2401&lt;&gt;0,"pas de prix",IF(M2401&lt;&gt; 0,"pas de quantité","pas de prix, ni de quantité"))))</f>
        <v>erreur de calcul</v>
      </c>
      <c r="BI2401" s="19"/>
    </row>
    <row r="2402" customFormat="false" ht="15" hidden="false" customHeight="false" outlineLevel="0" collapsed="false">
      <c r="A2402" s="0" t="n">
        <v>6</v>
      </c>
      <c r="B2402" s="8" t="s">
        <v>24</v>
      </c>
      <c r="C2402" s="9" t="s">
        <v>25</v>
      </c>
      <c r="D2402" s="9" t="s">
        <v>26</v>
      </c>
      <c r="E2402" s="10" t="n">
        <v>1789</v>
      </c>
      <c r="F2402" s="9" t="s">
        <v>27</v>
      </c>
      <c r="G2402" s="9" t="s">
        <v>27</v>
      </c>
      <c r="H2402" s="11" t="n">
        <v>26</v>
      </c>
      <c r="I2402" s="11" t="s">
        <v>377</v>
      </c>
      <c r="J2402" s="14"/>
      <c r="K2402" s="14"/>
      <c r="L2402" s="16"/>
      <c r="M2402" s="27" t="n">
        <f aca="false">J2402+(K2402/20)+(L2402/240)</f>
        <v>0</v>
      </c>
      <c r="N2402" s="17"/>
      <c r="O2402" s="11"/>
      <c r="P2402" s="28"/>
      <c r="Q2402" s="28" t="n">
        <f aca="false">P2402*$M2402</f>
        <v>0</v>
      </c>
      <c r="R2402" s="28"/>
      <c r="S2402" s="28" t="n">
        <f aca="false">R2402*$M2402</f>
        <v>0</v>
      </c>
      <c r="T2402" s="28"/>
      <c r="U2402" s="28" t="n">
        <v>517</v>
      </c>
      <c r="V2402" s="28"/>
      <c r="W2402" s="28" t="n">
        <v>1243</v>
      </c>
      <c r="X2402" s="28"/>
      <c r="Y2402" s="28" t="n">
        <f aca="false">X2402*$M2402</f>
        <v>0</v>
      </c>
      <c r="Z2402" s="28"/>
      <c r="AA2402" s="28" t="n">
        <f aca="false">Z2402*$M2402</f>
        <v>0</v>
      </c>
      <c r="AB2402" s="28"/>
      <c r="AC2402" s="28" t="n">
        <v>694</v>
      </c>
      <c r="AD2402" s="28"/>
      <c r="AE2402" s="28" t="n">
        <f aca="false">AD2402*$M2402</f>
        <v>0</v>
      </c>
      <c r="AF2402" s="28"/>
      <c r="AG2402" s="28" t="n">
        <f aca="false">AF2402*$M2402</f>
        <v>0</v>
      </c>
      <c r="AH2402" s="28"/>
      <c r="AI2402" s="28" t="n">
        <f aca="false">AH2402*$M2402</f>
        <v>0</v>
      </c>
      <c r="AJ2402" s="28"/>
      <c r="AK2402" s="28" t="n">
        <v>664</v>
      </c>
      <c r="AL2402" s="28"/>
      <c r="AM2402" s="28" t="n">
        <v>161</v>
      </c>
      <c r="AN2402" s="28"/>
      <c r="AO2402" s="28" t="n">
        <f aca="false">AN2402*$M2402</f>
        <v>0</v>
      </c>
      <c r="AP2402" s="28"/>
      <c r="AQ2402" s="28" t="n">
        <f aca="false">AP2402*$M2402</f>
        <v>0</v>
      </c>
      <c r="AR2402" s="28"/>
      <c r="AS2402" s="28" t="n">
        <f aca="false">AR2402*$M2402</f>
        <v>0</v>
      </c>
      <c r="AT2402" s="28"/>
      <c r="AU2402" s="28" t="n">
        <f aca="false">AT2402*$M2402</f>
        <v>0</v>
      </c>
      <c r="AV2402" s="28"/>
      <c r="AW2402" s="28" t="n">
        <f aca="false">AV2402*$M2402</f>
        <v>0</v>
      </c>
      <c r="AX2402" s="28"/>
      <c r="AY2402" s="28" t="n">
        <f aca="false">AX2402*$M2402</f>
        <v>0</v>
      </c>
      <c r="AZ2402" s="30"/>
      <c r="BA2402" s="11" t="n">
        <v>3279</v>
      </c>
      <c r="BB2402" s="31" t="n">
        <f aca="false">SUM(Q2402,S2402,U2402,W2402,Y2402,AA2402,AC2402,AE2402,AG2402,AI2402,AK2402,AM2402,AO2402,AQ2402,AS2402,AU2402,AW2402,AY2402)</f>
        <v>3279</v>
      </c>
      <c r="BC2402" s="28" t="n">
        <f aca="false">BA2402-BB2402</f>
        <v>0</v>
      </c>
      <c r="BD2402" s="32" t="n">
        <f aca="false">SUM(P2402,R2402,T2402,V2402,X2402,Z2402,AB2402,AD2402,AF2402,AH2402,AJ2402,AL2402,AN2402,AP2402,AR2402,AT2402,AV2402,AX2402)</f>
        <v>0</v>
      </c>
      <c r="BE2402" s="33" t="n">
        <f aca="false">AZ2402-BD2402</f>
        <v>0</v>
      </c>
      <c r="BF2402" s="34" t="n">
        <f aca="false">BD2402*M2402</f>
        <v>0</v>
      </c>
      <c r="BG2402" s="35" t="n">
        <f aca="false">BA2402-BF2402</f>
        <v>3279</v>
      </c>
      <c r="BH2402" s="19" t="str">
        <f aca="false">IF(BG2402=0,"",IF(BG2402&lt;&gt;BA2402,"erreur de calcul",IF(BD2402&lt;&gt;0,"pas de prix",IF(M2402&lt;&gt; 0,"pas de quantité","pas de prix, ni de quantité"))))</f>
        <v>pas de prix, ni de quantité</v>
      </c>
      <c r="BI2402" s="19"/>
    </row>
    <row r="2403" customFormat="false" ht="15" hidden="false" customHeight="false" outlineLevel="0" collapsed="false">
      <c r="A2403" s="0" t="n">
        <v>7</v>
      </c>
      <c r="B2403" s="8" t="s">
        <v>24</v>
      </c>
      <c r="C2403" s="9" t="s">
        <v>25</v>
      </c>
      <c r="D2403" s="9" t="s">
        <v>26</v>
      </c>
      <c r="E2403" s="10" t="n">
        <v>1789</v>
      </c>
      <c r="F2403" s="9" t="s">
        <v>27</v>
      </c>
      <c r="G2403" s="9" t="s">
        <v>27</v>
      </c>
      <c r="H2403" s="11" t="n">
        <v>26</v>
      </c>
      <c r="I2403" s="11" t="s">
        <v>378</v>
      </c>
      <c r="J2403" s="14" t="n">
        <v>27</v>
      </c>
      <c r="K2403" s="14"/>
      <c r="L2403" s="16"/>
      <c r="M2403" s="27" t="n">
        <f aca="false">J2403+(K2403/20)+(L2403/240)</f>
        <v>27</v>
      </c>
      <c r="N2403" s="17" t="s">
        <v>379</v>
      </c>
      <c r="O2403" s="11" t="s">
        <v>98</v>
      </c>
      <c r="P2403" s="28"/>
      <c r="Q2403" s="28" t="n">
        <f aca="false">P2403*$M2403</f>
        <v>0</v>
      </c>
      <c r="R2403" s="28"/>
      <c r="S2403" s="28" t="n">
        <f aca="false">R2403*$M2403</f>
        <v>0</v>
      </c>
      <c r="T2403" s="28"/>
      <c r="U2403" s="28" t="n">
        <f aca="false">T2403*$M2403</f>
        <v>0</v>
      </c>
      <c r="V2403" s="28"/>
      <c r="W2403" s="28" t="n">
        <f aca="false">V2403*$M2403</f>
        <v>0</v>
      </c>
      <c r="X2403" s="28"/>
      <c r="Y2403" s="28" t="n">
        <f aca="false">X2403*$M2403</f>
        <v>0</v>
      </c>
      <c r="Z2403" s="28"/>
      <c r="AA2403" s="28" t="n">
        <f aca="false">Z2403*$M2403</f>
        <v>0</v>
      </c>
      <c r="AB2403" s="28"/>
      <c r="AC2403" s="28" t="n">
        <f aca="false">AB2403*$M2403</f>
        <v>0</v>
      </c>
      <c r="AD2403" s="28"/>
      <c r="AE2403" s="28" t="n">
        <f aca="false">AD2403*$M2403</f>
        <v>0</v>
      </c>
      <c r="AF2403" s="28"/>
      <c r="AG2403" s="28" t="n">
        <f aca="false">AF2403*$M2403</f>
        <v>0</v>
      </c>
      <c r="AH2403" s="28"/>
      <c r="AI2403" s="28" t="n">
        <f aca="false">AH2403*$M2403</f>
        <v>0</v>
      </c>
      <c r="AJ2403" s="28"/>
      <c r="AK2403" s="28" t="n">
        <f aca="false">AJ2403*$M2403</f>
        <v>0</v>
      </c>
      <c r="AL2403" s="28"/>
      <c r="AM2403" s="28" t="n">
        <f aca="false">AL2403*$M2403</f>
        <v>0</v>
      </c>
      <c r="AN2403" s="28"/>
      <c r="AO2403" s="28" t="n">
        <f aca="false">AN2403*$M2403</f>
        <v>0</v>
      </c>
      <c r="AP2403" s="28"/>
      <c r="AQ2403" s="28" t="n">
        <f aca="false">AP2403*$M2403</f>
        <v>0</v>
      </c>
      <c r="AR2403" s="28"/>
      <c r="AS2403" s="28" t="n">
        <f aca="false">AR2403*$M2403</f>
        <v>0</v>
      </c>
      <c r="AT2403" s="28"/>
      <c r="AU2403" s="28" t="n">
        <f aca="false">AT2403*$M2403</f>
        <v>0</v>
      </c>
      <c r="AV2403" s="28"/>
      <c r="AW2403" s="28" t="n">
        <f aca="false">AV2403*$M2403</f>
        <v>0</v>
      </c>
      <c r="AX2403" s="28"/>
      <c r="AY2403" s="28" t="n">
        <f aca="false">AX2403*$M2403</f>
        <v>0</v>
      </c>
      <c r="AZ2403" s="30"/>
      <c r="BA2403" s="11"/>
      <c r="BB2403" s="31" t="n">
        <f aca="false">SUM(Q2403,S2403,U2403,W2403,Y2403,AA2403,AC2403,AE2403,AG2403,AI2403,AK2403,AM2403,AO2403,AQ2403,AS2403,AU2403,AW2403,AY2403)</f>
        <v>0</v>
      </c>
      <c r="BC2403" s="28" t="n">
        <f aca="false">BA2403-BB2403</f>
        <v>0</v>
      </c>
      <c r="BD2403" s="32" t="n">
        <f aca="false">SUM(P2403,R2403,T2403,V2403,X2403,Z2403,AB2403,AD2403,AF2403,AH2403,AJ2403,AL2403,AN2403,AP2403,AR2403,AT2403,AV2403,AX2403)</f>
        <v>0</v>
      </c>
      <c r="BE2403" s="33" t="n">
        <f aca="false">AZ2403-BD2403</f>
        <v>0</v>
      </c>
      <c r="BF2403" s="34" t="n">
        <f aca="false">BD2403*M2403</f>
        <v>0</v>
      </c>
      <c r="BG2403" s="35" t="n">
        <f aca="false">BA2403-BF2403</f>
        <v>0</v>
      </c>
      <c r="BH2403" s="19" t="str">
        <f aca="false">IF(BG2403=0,"",IF(BG2403&lt;&gt;BA2403,"erreur de calcul",IF(BD2403&lt;&gt;0,"pas de prix",IF(M2403&lt;&gt; 0,"pas de quantité","pas de prix, ni de quantité"))))</f>
        <v/>
      </c>
      <c r="BI2403" s="19"/>
    </row>
    <row r="2404" customFormat="false" ht="15" hidden="false" customHeight="false" outlineLevel="0" collapsed="false">
      <c r="A2404" s="0" t="n">
        <v>8</v>
      </c>
      <c r="B2404" s="8" t="s">
        <v>24</v>
      </c>
      <c r="C2404" s="9" t="s">
        <v>25</v>
      </c>
      <c r="D2404" s="9" t="s">
        <v>26</v>
      </c>
      <c r="E2404" s="10" t="n">
        <v>1789</v>
      </c>
      <c r="F2404" s="9" t="s">
        <v>27</v>
      </c>
      <c r="G2404" s="9" t="s">
        <v>27</v>
      </c>
      <c r="H2404" s="11" t="n">
        <v>26</v>
      </c>
      <c r="I2404" s="11" t="s">
        <v>380</v>
      </c>
      <c r="J2404" s="14" t="n">
        <v>30</v>
      </c>
      <c r="K2404" s="14"/>
      <c r="L2404" s="16"/>
      <c r="M2404" s="27" t="n">
        <f aca="false">J2404+(K2404/20)+(L2404/240)</f>
        <v>30</v>
      </c>
      <c r="N2404" s="17" t="s">
        <v>64</v>
      </c>
      <c r="O2404" s="11"/>
      <c r="P2404" s="28"/>
      <c r="Q2404" s="28" t="n">
        <f aca="false">P2404*$M2404</f>
        <v>0</v>
      </c>
      <c r="R2404" s="28"/>
      <c r="S2404" s="28" t="n">
        <f aca="false">R2404*$M2404</f>
        <v>0</v>
      </c>
      <c r="T2404" s="28"/>
      <c r="U2404" s="28" t="n">
        <f aca="false">T2404*$M2404</f>
        <v>0</v>
      </c>
      <c r="V2404" s="28"/>
      <c r="W2404" s="28" t="n">
        <f aca="false">V2404*$M2404</f>
        <v>0</v>
      </c>
      <c r="X2404" s="28"/>
      <c r="Y2404" s="28" t="n">
        <f aca="false">X2404*$M2404</f>
        <v>0</v>
      </c>
      <c r="Z2404" s="28"/>
      <c r="AA2404" s="28" t="n">
        <f aca="false">Z2404*$M2404</f>
        <v>0</v>
      </c>
      <c r="AB2404" s="28"/>
      <c r="AC2404" s="28" t="n">
        <f aca="false">AB2404*$M2404</f>
        <v>0</v>
      </c>
      <c r="AD2404" s="28"/>
      <c r="AE2404" s="28" t="n">
        <f aca="false">AD2404*$M2404</f>
        <v>0</v>
      </c>
      <c r="AF2404" s="28"/>
      <c r="AG2404" s="28" t="n">
        <f aca="false">AF2404*$M2404</f>
        <v>0</v>
      </c>
      <c r="AH2404" s="28"/>
      <c r="AI2404" s="28" t="n">
        <f aca="false">AH2404*$M2404</f>
        <v>0</v>
      </c>
      <c r="AJ2404" s="28"/>
      <c r="AK2404" s="28" t="n">
        <f aca="false">AJ2404*$M2404</f>
        <v>0</v>
      </c>
      <c r="AL2404" s="28"/>
      <c r="AM2404" s="28" t="n">
        <f aca="false">AL2404*$M2404</f>
        <v>0</v>
      </c>
      <c r="AN2404" s="28"/>
      <c r="AO2404" s="28" t="n">
        <f aca="false">AN2404*$M2404</f>
        <v>0</v>
      </c>
      <c r="AP2404" s="28"/>
      <c r="AQ2404" s="28" t="n">
        <f aca="false">AP2404*$M2404</f>
        <v>0</v>
      </c>
      <c r="AR2404" s="28"/>
      <c r="AS2404" s="28" t="n">
        <f aca="false">AR2404*$M2404</f>
        <v>0</v>
      </c>
      <c r="AT2404" s="28"/>
      <c r="AU2404" s="28" t="n">
        <f aca="false">AT2404*$M2404</f>
        <v>0</v>
      </c>
      <c r="AV2404" s="28" t="n">
        <f aca="false">5417/100</f>
        <v>54.17</v>
      </c>
      <c r="AW2404" s="28" t="n">
        <v>1625</v>
      </c>
      <c r="AX2404" s="28"/>
      <c r="AY2404" s="28" t="n">
        <f aca="false">AX2404*$M2404</f>
        <v>0</v>
      </c>
      <c r="AZ2404" s="30"/>
      <c r="BA2404" s="11" t="n">
        <v>1625</v>
      </c>
      <c r="BB2404" s="31" t="n">
        <f aca="false">SUM(Q2404,S2404,U2404,W2404,Y2404,AA2404,AC2404,AE2404,AG2404,AI2404,AK2404,AM2404,AO2404,AQ2404,AS2404,AU2404,AW2404,AY2404)</f>
        <v>1625</v>
      </c>
      <c r="BC2404" s="28" t="n">
        <f aca="false">BA2404-BB2404</f>
        <v>0</v>
      </c>
      <c r="BD2404" s="32" t="n">
        <f aca="false">SUM(P2404,R2404,T2404,V2404,X2404,Z2404,AB2404,AD2404,AF2404,AH2404,AJ2404,AL2404,AN2404,AP2404,AR2404,AT2404,AV2404,AX2404)</f>
        <v>54.17</v>
      </c>
      <c r="BE2404" s="33" t="n">
        <f aca="false">AZ2404-BD2404</f>
        <v>-54.17</v>
      </c>
      <c r="BF2404" s="34" t="n">
        <f aca="false">BD2404*M2404</f>
        <v>1625.1</v>
      </c>
      <c r="BG2404" s="35" t="n">
        <f aca="false">BA2404-BF2404</f>
        <v>-0.100000000000136</v>
      </c>
      <c r="BH2404" s="19" t="str">
        <f aca="false">IF(BG2404=0,"",IF(BG2404&lt;&gt;BA2404,"erreur de calcul",IF(BD2404&lt;&gt;0,"pas de prix",IF(M2404&lt;&gt; 0,"pas de quantité","pas de prix, ni de quantité"))))</f>
        <v>erreur de calcul</v>
      </c>
      <c r="BI2404" s="19"/>
    </row>
    <row r="2405" customFormat="false" ht="15" hidden="false" customHeight="false" outlineLevel="0" collapsed="false">
      <c r="A2405" s="0" t="n">
        <v>9</v>
      </c>
      <c r="B2405" s="8" t="s">
        <v>24</v>
      </c>
      <c r="C2405" s="9" t="s">
        <v>25</v>
      </c>
      <c r="D2405" s="9" t="s">
        <v>26</v>
      </c>
      <c r="E2405" s="10" t="n">
        <v>1789</v>
      </c>
      <c r="F2405" s="9" t="s">
        <v>27</v>
      </c>
      <c r="G2405" s="9" t="s">
        <v>27</v>
      </c>
      <c r="H2405" s="11" t="n">
        <v>26</v>
      </c>
      <c r="I2405" s="11" t="s">
        <v>381</v>
      </c>
      <c r="J2405" s="14" t="n">
        <v>6</v>
      </c>
      <c r="K2405" s="14"/>
      <c r="L2405" s="16"/>
      <c r="M2405" s="27" t="n">
        <f aca="false">J2405+(K2405/20)+(L2405/240)</f>
        <v>6</v>
      </c>
      <c r="N2405" s="17" t="s">
        <v>379</v>
      </c>
      <c r="O2405" s="11" t="s">
        <v>98</v>
      </c>
      <c r="P2405" s="28"/>
      <c r="Q2405" s="28" t="n">
        <f aca="false">P2405*$M2405</f>
        <v>0</v>
      </c>
      <c r="R2405" s="28"/>
      <c r="S2405" s="28" t="n">
        <f aca="false">R2405*$M2405</f>
        <v>0</v>
      </c>
      <c r="T2405" s="28"/>
      <c r="U2405" s="28" t="n">
        <f aca="false">T2405*$M2405</f>
        <v>0</v>
      </c>
      <c r="V2405" s="28"/>
      <c r="W2405" s="28" t="n">
        <f aca="false">V2405*$M2405</f>
        <v>0</v>
      </c>
      <c r="X2405" s="28"/>
      <c r="Y2405" s="28" t="n">
        <f aca="false">X2405*$M2405</f>
        <v>0</v>
      </c>
      <c r="Z2405" s="28"/>
      <c r="AA2405" s="28" t="n">
        <f aca="false">Z2405*$M2405</f>
        <v>0</v>
      </c>
      <c r="AB2405" s="28"/>
      <c r="AC2405" s="28" t="n">
        <f aca="false">AB2405*$M2405</f>
        <v>0</v>
      </c>
      <c r="AD2405" s="28"/>
      <c r="AE2405" s="28" t="n">
        <f aca="false">AD2405*$M2405</f>
        <v>0</v>
      </c>
      <c r="AF2405" s="28"/>
      <c r="AG2405" s="28" t="n">
        <f aca="false">AF2405*$M2405</f>
        <v>0</v>
      </c>
      <c r="AH2405" s="28"/>
      <c r="AI2405" s="28" t="n">
        <f aca="false">AH2405*$M2405</f>
        <v>0</v>
      </c>
      <c r="AJ2405" s="28"/>
      <c r="AK2405" s="28" t="n">
        <f aca="false">AJ2405*$M2405</f>
        <v>0</v>
      </c>
      <c r="AL2405" s="28"/>
      <c r="AM2405" s="28" t="n">
        <f aca="false">AL2405*$M2405</f>
        <v>0</v>
      </c>
      <c r="AN2405" s="28"/>
      <c r="AO2405" s="28" t="n">
        <f aca="false">AN2405*$M2405</f>
        <v>0</v>
      </c>
      <c r="AP2405" s="28"/>
      <c r="AQ2405" s="28" t="n">
        <f aca="false">AP2405*$M2405</f>
        <v>0</v>
      </c>
      <c r="AR2405" s="28"/>
      <c r="AS2405" s="28" t="n">
        <f aca="false">AR2405*$M2405</f>
        <v>0</v>
      </c>
      <c r="AT2405" s="28"/>
      <c r="AU2405" s="28" t="n">
        <f aca="false">AT2405*$M2405</f>
        <v>0</v>
      </c>
      <c r="AV2405" s="28"/>
      <c r="AW2405" s="28" t="n">
        <f aca="false">AV2405*$M2405</f>
        <v>0</v>
      </c>
      <c r="AX2405" s="28"/>
      <c r="AY2405" s="28" t="n">
        <f aca="false">AX2405*$M2405</f>
        <v>0</v>
      </c>
      <c r="AZ2405" s="30"/>
      <c r="BA2405" s="11"/>
      <c r="BB2405" s="31" t="n">
        <f aca="false">SUM(Q2405,S2405,U2405,W2405,Y2405,AA2405,AC2405,AE2405,AG2405,AI2405,AK2405,AM2405,AO2405,AQ2405,AS2405,AU2405,AW2405,AY2405)</f>
        <v>0</v>
      </c>
      <c r="BC2405" s="28" t="n">
        <f aca="false">BA2405-BB2405</f>
        <v>0</v>
      </c>
      <c r="BD2405" s="32" t="n">
        <f aca="false">SUM(P2405,R2405,T2405,V2405,X2405,Z2405,AB2405,AD2405,AF2405,AH2405,AJ2405,AL2405,AN2405,AP2405,AR2405,AT2405,AV2405,AX2405)</f>
        <v>0</v>
      </c>
      <c r="BE2405" s="33" t="n">
        <f aca="false">AZ2405-BD2405</f>
        <v>0</v>
      </c>
      <c r="BF2405" s="34" t="n">
        <f aca="false">BD2405*M2405</f>
        <v>0</v>
      </c>
      <c r="BG2405" s="35" t="n">
        <f aca="false">BA2405-BF2405</f>
        <v>0</v>
      </c>
      <c r="BH2405" s="19" t="str">
        <f aca="false">IF(BG2405=0,"",IF(BG2405&lt;&gt;BA2405,"erreur de calcul",IF(BD2405&lt;&gt;0,"pas de prix",IF(M2405&lt;&gt; 0,"pas de quantité","pas de prix, ni de quantité"))))</f>
        <v/>
      </c>
      <c r="BI2405" s="19"/>
    </row>
    <row r="2406" customFormat="false" ht="15" hidden="false" customHeight="false" outlineLevel="0" collapsed="false">
      <c r="A2406" s="0" t="n">
        <v>10</v>
      </c>
      <c r="B2406" s="8" t="s">
        <v>24</v>
      </c>
      <c r="C2406" s="9" t="s">
        <v>25</v>
      </c>
      <c r="D2406" s="9" t="s">
        <v>26</v>
      </c>
      <c r="E2406" s="10" t="n">
        <v>1789</v>
      </c>
      <c r="F2406" s="9" t="s">
        <v>27</v>
      </c>
      <c r="G2406" s="9" t="s">
        <v>27</v>
      </c>
      <c r="H2406" s="11" t="n">
        <v>26</v>
      </c>
      <c r="I2406" s="11" t="s">
        <v>381</v>
      </c>
      <c r="J2406" s="14" t="n">
        <v>40</v>
      </c>
      <c r="K2406" s="14"/>
      <c r="L2406" s="16"/>
      <c r="M2406" s="27" t="n">
        <f aca="false">J2406+(K2406/20)+(L2406/240)</f>
        <v>40</v>
      </c>
      <c r="N2406" s="17" t="s">
        <v>382</v>
      </c>
      <c r="O2406" s="11" t="s">
        <v>98</v>
      </c>
      <c r="P2406" s="28"/>
      <c r="Q2406" s="28" t="n">
        <f aca="false">P2406*$M2406</f>
        <v>0</v>
      </c>
      <c r="R2406" s="28"/>
      <c r="S2406" s="28" t="n">
        <f aca="false">R2406*$M2406</f>
        <v>0</v>
      </c>
      <c r="T2406" s="28"/>
      <c r="U2406" s="28" t="n">
        <f aca="false">T2406*$M2406</f>
        <v>0</v>
      </c>
      <c r="V2406" s="28"/>
      <c r="W2406" s="28" t="n">
        <f aca="false">V2406*$M2406</f>
        <v>0</v>
      </c>
      <c r="X2406" s="28"/>
      <c r="Y2406" s="28" t="n">
        <f aca="false">X2406*$M2406</f>
        <v>0</v>
      </c>
      <c r="Z2406" s="28"/>
      <c r="AA2406" s="28" t="n">
        <f aca="false">Z2406*$M2406</f>
        <v>0</v>
      </c>
      <c r="AB2406" s="28"/>
      <c r="AC2406" s="28" t="n">
        <f aca="false">AB2406*$M2406</f>
        <v>0</v>
      </c>
      <c r="AD2406" s="28"/>
      <c r="AE2406" s="28" t="n">
        <f aca="false">AD2406*$M2406</f>
        <v>0</v>
      </c>
      <c r="AF2406" s="28"/>
      <c r="AG2406" s="28" t="n">
        <f aca="false">AF2406*$M2406</f>
        <v>0</v>
      </c>
      <c r="AH2406" s="28"/>
      <c r="AI2406" s="28" t="n">
        <f aca="false">AH2406*$M2406</f>
        <v>0</v>
      </c>
      <c r="AJ2406" s="28"/>
      <c r="AK2406" s="28" t="n">
        <f aca="false">AJ2406*$M2406</f>
        <v>0</v>
      </c>
      <c r="AL2406" s="28"/>
      <c r="AM2406" s="28" t="n">
        <f aca="false">AL2406*$M2406</f>
        <v>0</v>
      </c>
      <c r="AN2406" s="28"/>
      <c r="AO2406" s="28" t="n">
        <f aca="false">AN2406*$M2406</f>
        <v>0</v>
      </c>
      <c r="AP2406" s="28"/>
      <c r="AQ2406" s="28" t="n">
        <f aca="false">AP2406*$M2406</f>
        <v>0</v>
      </c>
      <c r="AR2406" s="28"/>
      <c r="AS2406" s="28" t="n">
        <f aca="false">AR2406*$M2406</f>
        <v>0</v>
      </c>
      <c r="AT2406" s="28"/>
      <c r="AU2406" s="28" t="n">
        <f aca="false">AT2406*$M2406</f>
        <v>0</v>
      </c>
      <c r="AV2406" s="28"/>
      <c r="AW2406" s="28" t="n">
        <f aca="false">AV2406*$M2406</f>
        <v>0</v>
      </c>
      <c r="AX2406" s="28"/>
      <c r="AY2406" s="28" t="n">
        <f aca="false">AX2406*$M2406</f>
        <v>0</v>
      </c>
      <c r="AZ2406" s="30"/>
      <c r="BA2406" s="11"/>
      <c r="BB2406" s="31" t="n">
        <f aca="false">SUM(Q2406,S2406,U2406,W2406,Y2406,AA2406,AC2406,AE2406,AG2406,AI2406,AK2406,AM2406,AO2406,AQ2406,AS2406,AU2406,AW2406,AY2406)</f>
        <v>0</v>
      </c>
      <c r="BC2406" s="28" t="n">
        <f aca="false">BA2406-BB2406</f>
        <v>0</v>
      </c>
      <c r="BD2406" s="32" t="n">
        <f aca="false">SUM(P2406,R2406,T2406,V2406,X2406,Z2406,AB2406,AD2406,AF2406,AH2406,AJ2406,AL2406,AN2406,AP2406,AR2406,AT2406,AV2406,AX2406)</f>
        <v>0</v>
      </c>
      <c r="BE2406" s="33" t="n">
        <f aca="false">AZ2406-BD2406</f>
        <v>0</v>
      </c>
      <c r="BF2406" s="34" t="n">
        <f aca="false">BD2406*M2406</f>
        <v>0</v>
      </c>
      <c r="BG2406" s="35" t="n">
        <f aca="false">BA2406-BF2406</f>
        <v>0</v>
      </c>
      <c r="BH2406" s="19" t="str">
        <f aca="false">IF(BG2406=0,"",IF(BG2406&lt;&gt;BA2406,"erreur de calcul",IF(BD2406&lt;&gt;0,"pas de prix",IF(M2406&lt;&gt; 0,"pas de quantité","pas de prix, ni de quantité"))))</f>
        <v/>
      </c>
      <c r="BI2406" s="19"/>
    </row>
    <row r="2407" customFormat="false" ht="15" hidden="false" customHeight="false" outlineLevel="0" collapsed="false">
      <c r="A2407" s="0" t="n">
        <v>11</v>
      </c>
      <c r="B2407" s="8" t="s">
        <v>24</v>
      </c>
      <c r="C2407" s="9" t="s">
        <v>25</v>
      </c>
      <c r="D2407" s="9" t="s">
        <v>26</v>
      </c>
      <c r="E2407" s="10" t="n">
        <v>1789</v>
      </c>
      <c r="F2407" s="9" t="s">
        <v>27</v>
      </c>
      <c r="G2407" s="9" t="s">
        <v>27</v>
      </c>
      <c r="H2407" s="11" t="n">
        <v>26</v>
      </c>
      <c r="I2407" s="11" t="s">
        <v>383</v>
      </c>
      <c r="J2407" s="14" t="n">
        <v>50</v>
      </c>
      <c r="K2407" s="14"/>
      <c r="L2407" s="16"/>
      <c r="M2407" s="27" t="n">
        <f aca="false">J2407+(K2407/20)+(L2407/240)</f>
        <v>50</v>
      </c>
      <c r="N2407" s="17" t="s">
        <v>64</v>
      </c>
      <c r="O2407" s="11"/>
      <c r="P2407" s="28" t="n">
        <f aca="false">54967/100</f>
        <v>549.67</v>
      </c>
      <c r="Q2407" s="28" t="n">
        <v>27483</v>
      </c>
      <c r="R2407" s="28"/>
      <c r="S2407" s="28" t="n">
        <f aca="false">R2407*$M2407</f>
        <v>0</v>
      </c>
      <c r="T2407" s="28" t="n">
        <f aca="false">74693/100</f>
        <v>746.93</v>
      </c>
      <c r="U2407" s="28" t="n">
        <v>37346</v>
      </c>
      <c r="V2407" s="28" t="n">
        <f aca="false">161729/100</f>
        <v>1617.29</v>
      </c>
      <c r="W2407" s="28" t="n">
        <v>80864</v>
      </c>
      <c r="X2407" s="28" t="n">
        <f aca="false">106689/100</f>
        <v>1066.89</v>
      </c>
      <c r="Y2407" s="28" t="n">
        <v>53344</v>
      </c>
      <c r="Z2407" s="28"/>
      <c r="AA2407" s="28" t="n">
        <f aca="false">Z2407*$M2407</f>
        <v>0</v>
      </c>
      <c r="AB2407" s="28"/>
      <c r="AC2407" s="28" t="n">
        <f aca="false">AB2407*$M2407</f>
        <v>0</v>
      </c>
      <c r="AD2407" s="28"/>
      <c r="AE2407" s="28" t="n">
        <f aca="false">AD2407*$M2407</f>
        <v>0</v>
      </c>
      <c r="AF2407" s="28"/>
      <c r="AG2407" s="28" t="n">
        <f aca="false">AF2407*$M2407</f>
        <v>0</v>
      </c>
      <c r="AH2407" s="28"/>
      <c r="AI2407" s="28" t="n">
        <f aca="false">AH2407*$M2407</f>
        <v>0</v>
      </c>
      <c r="AJ2407" s="28"/>
      <c r="AK2407" s="28" t="n">
        <f aca="false">AJ2407*$M2407</f>
        <v>0</v>
      </c>
      <c r="AL2407" s="28"/>
      <c r="AM2407" s="28" t="n">
        <f aca="false">AL2407*$M2407</f>
        <v>0</v>
      </c>
      <c r="AN2407" s="28"/>
      <c r="AO2407" s="28" t="n">
        <f aca="false">AN2407*$M2407</f>
        <v>0</v>
      </c>
      <c r="AP2407" s="28"/>
      <c r="AQ2407" s="28" t="n">
        <f aca="false">AP2407*$M2407</f>
        <v>0</v>
      </c>
      <c r="AR2407" s="28"/>
      <c r="AS2407" s="28" t="n">
        <f aca="false">AR2407*$M2407</f>
        <v>0</v>
      </c>
      <c r="AT2407" s="28"/>
      <c r="AU2407" s="28" t="n">
        <f aca="false">AT2407*$M2407</f>
        <v>0</v>
      </c>
      <c r="AV2407" s="28"/>
      <c r="AW2407" s="28" t="n">
        <f aca="false">AV2407*$M2407</f>
        <v>0</v>
      </c>
      <c r="AX2407" s="28"/>
      <c r="AY2407" s="28" t="n">
        <f aca="false">AX2407*$M2407</f>
        <v>0</v>
      </c>
      <c r="AZ2407" s="30" t="n">
        <f aca="false">398078/100</f>
        <v>3980.78</v>
      </c>
      <c r="BA2407" s="11" t="n">
        <v>199037</v>
      </c>
      <c r="BB2407" s="31" t="n">
        <f aca="false">SUM(Q2407,S2407,U2407,W2407,Y2407,AA2407,AC2407,AE2407,AG2407,AI2407,AK2407,AM2407,AO2407,AQ2407,AS2407,AU2407,AW2407,AY2407)</f>
        <v>199037</v>
      </c>
      <c r="BC2407" s="28" t="n">
        <f aca="false">BA2407-BB2407</f>
        <v>0</v>
      </c>
      <c r="BD2407" s="32" t="n">
        <f aca="false">SUM(P2407,R2407,T2407,V2407,X2407,Z2407,AB2407,AD2407,AF2407,AH2407,AJ2407,AL2407,AN2407,AP2407,AR2407,AT2407,AV2407,AX2407)</f>
        <v>3980.78</v>
      </c>
      <c r="BE2407" s="33" t="n">
        <f aca="false">AZ2407-BD2407</f>
        <v>0</v>
      </c>
      <c r="BF2407" s="34" t="n">
        <f aca="false">BD2407*M2407</f>
        <v>199039</v>
      </c>
      <c r="BG2407" s="35" t="n">
        <f aca="false">BA2407-BF2407</f>
        <v>-2</v>
      </c>
      <c r="BH2407" s="19" t="str">
        <f aca="false">IF(BG2407=0,"",IF(BG2407&lt;&gt;BA2407,"erreur de calcul",IF(BD2407&lt;&gt;0,"pas de prix",IF(M2407&lt;&gt; 0,"pas de quantité","pas de prix, ni de quantité"))))</f>
        <v>erreur de calcul</v>
      </c>
      <c r="BI2407" s="19"/>
    </row>
    <row r="2408" customFormat="false" ht="15" hidden="false" customHeight="false" outlineLevel="0" collapsed="false">
      <c r="A2408" s="0" t="n">
        <v>12</v>
      </c>
      <c r="B2408" s="8" t="s">
        <v>24</v>
      </c>
      <c r="C2408" s="9" t="s">
        <v>25</v>
      </c>
      <c r="D2408" s="9" t="s">
        <v>26</v>
      </c>
      <c r="E2408" s="10" t="n">
        <v>1789</v>
      </c>
      <c r="F2408" s="9" t="s">
        <v>27</v>
      </c>
      <c r="G2408" s="9" t="s">
        <v>27</v>
      </c>
      <c r="H2408" s="11" t="n">
        <v>26</v>
      </c>
      <c r="I2408" s="11" t="s">
        <v>384</v>
      </c>
      <c r="J2408" s="14" t="n">
        <v>27</v>
      </c>
      <c r="K2408" s="14"/>
      <c r="L2408" s="16"/>
      <c r="M2408" s="27" t="n">
        <f aca="false">J2408+(K2408/20)+(L2408/240)</f>
        <v>27</v>
      </c>
      <c r="N2408" s="17" t="s">
        <v>64</v>
      </c>
      <c r="O2408" s="11"/>
      <c r="P2408" s="28"/>
      <c r="Q2408" s="28" t="n">
        <f aca="false">P2408*$M2408</f>
        <v>0</v>
      </c>
      <c r="R2408" s="28"/>
      <c r="S2408" s="28" t="n">
        <f aca="false">R2408*$M2408</f>
        <v>0</v>
      </c>
      <c r="T2408" s="28"/>
      <c r="U2408" s="28" t="n">
        <f aca="false">T2408*$M2408</f>
        <v>0</v>
      </c>
      <c r="V2408" s="28"/>
      <c r="W2408" s="28" t="n">
        <f aca="false">V2408*$M2408</f>
        <v>0</v>
      </c>
      <c r="X2408" s="28" t="n">
        <f aca="false">13334/100</f>
        <v>133.34</v>
      </c>
      <c r="Y2408" s="28" t="n">
        <v>3600</v>
      </c>
      <c r="Z2408" s="28"/>
      <c r="AA2408" s="28" t="n">
        <f aca="false">Z2408*$M2408</f>
        <v>0</v>
      </c>
      <c r="AB2408" s="28"/>
      <c r="AC2408" s="28" t="n">
        <f aca="false">AB2408*$M2408</f>
        <v>0</v>
      </c>
      <c r="AD2408" s="28"/>
      <c r="AE2408" s="28" t="n">
        <f aca="false">AD2408*$M2408</f>
        <v>0</v>
      </c>
      <c r="AF2408" s="28"/>
      <c r="AG2408" s="28" t="n">
        <f aca="false">AF2408*$M2408</f>
        <v>0</v>
      </c>
      <c r="AH2408" s="28"/>
      <c r="AI2408" s="28" t="n">
        <f aca="false">AH2408*$M2408</f>
        <v>0</v>
      </c>
      <c r="AJ2408" s="28"/>
      <c r="AK2408" s="28" t="n">
        <f aca="false">AJ2408*$M2408</f>
        <v>0</v>
      </c>
      <c r="AL2408" s="28"/>
      <c r="AM2408" s="28" t="n">
        <f aca="false">AL2408*$M2408</f>
        <v>0</v>
      </c>
      <c r="AN2408" s="28"/>
      <c r="AO2408" s="28" t="n">
        <f aca="false">AN2408*$M2408</f>
        <v>0</v>
      </c>
      <c r="AP2408" s="28"/>
      <c r="AQ2408" s="28" t="n">
        <f aca="false">AP2408*$M2408</f>
        <v>0</v>
      </c>
      <c r="AR2408" s="28"/>
      <c r="AS2408" s="28" t="n">
        <f aca="false">AR2408*$M2408</f>
        <v>0</v>
      </c>
      <c r="AT2408" s="28"/>
      <c r="AU2408" s="28" t="n">
        <f aca="false">AT2408*$M2408</f>
        <v>0</v>
      </c>
      <c r="AV2408" s="28"/>
      <c r="AW2408" s="28" t="n">
        <f aca="false">AV2408*$M2408</f>
        <v>0</v>
      </c>
      <c r="AX2408" s="28"/>
      <c r="AY2408" s="28" t="n">
        <f aca="false">AX2408*$M2408</f>
        <v>0</v>
      </c>
      <c r="AZ2408" s="30" t="n">
        <f aca="false">13334/100</f>
        <v>133.34</v>
      </c>
      <c r="BA2408" s="11" t="n">
        <v>3600</v>
      </c>
      <c r="BB2408" s="31" t="n">
        <f aca="false">SUM(Q2408,S2408,U2408,W2408,Y2408,AA2408,AC2408,AE2408,AG2408,AI2408,AK2408,AM2408,AO2408,AQ2408,AS2408,AU2408,AW2408,AY2408)</f>
        <v>3600</v>
      </c>
      <c r="BC2408" s="28" t="n">
        <f aca="false">BA2408-BB2408</f>
        <v>0</v>
      </c>
      <c r="BD2408" s="32" t="n">
        <f aca="false">SUM(P2408,R2408,T2408,V2408,X2408,Z2408,AB2408,AD2408,AF2408,AH2408,AJ2408,AL2408,AN2408,AP2408,AR2408,AT2408,AV2408,AX2408)</f>
        <v>133.34</v>
      </c>
      <c r="BE2408" s="33" t="n">
        <f aca="false">AZ2408-BD2408</f>
        <v>0</v>
      </c>
      <c r="BF2408" s="34" t="n">
        <f aca="false">BD2408*M2408</f>
        <v>3600.18</v>
      </c>
      <c r="BG2408" s="35" t="n">
        <f aca="false">BA2408-BF2408</f>
        <v>-0.180000000000291</v>
      </c>
      <c r="BH2408" s="19" t="str">
        <f aca="false">IF(BG2408=0,"",IF(BG2408&lt;&gt;BA2408,"erreur de calcul",IF(BD2408&lt;&gt;0,"pas de prix",IF(M2408&lt;&gt; 0,"pas de quantité","pas de prix, ni de quantité"))))</f>
        <v>erreur de calcul</v>
      </c>
      <c r="BI2408" s="19"/>
    </row>
    <row r="2409" customFormat="false" ht="15" hidden="false" customHeight="false" outlineLevel="0" collapsed="false">
      <c r="A2409" s="0" t="n">
        <v>13</v>
      </c>
      <c r="B2409" s="8" t="s">
        <v>24</v>
      </c>
      <c r="C2409" s="9" t="s">
        <v>25</v>
      </c>
      <c r="D2409" s="9" t="s">
        <v>26</v>
      </c>
      <c r="E2409" s="10" t="n">
        <v>1789</v>
      </c>
      <c r="F2409" s="9" t="s">
        <v>27</v>
      </c>
      <c r="G2409" s="9" t="s">
        <v>27</v>
      </c>
      <c r="H2409" s="11" t="n">
        <v>26</v>
      </c>
      <c r="I2409" s="11" t="s">
        <v>385</v>
      </c>
      <c r="J2409" s="14" t="n">
        <v>40</v>
      </c>
      <c r="K2409" s="14"/>
      <c r="L2409" s="16"/>
      <c r="M2409" s="27" t="n">
        <f aca="false">J2409+(K2409/20)+(L2409/240)</f>
        <v>40</v>
      </c>
      <c r="N2409" s="17" t="s">
        <v>64</v>
      </c>
      <c r="O2409" s="11"/>
      <c r="P2409" s="28"/>
      <c r="Q2409" s="28" t="n">
        <f aca="false">P2409*$M2409</f>
        <v>0</v>
      </c>
      <c r="R2409" s="28"/>
      <c r="S2409" s="28" t="n">
        <f aca="false">R2409*$M2409</f>
        <v>0</v>
      </c>
      <c r="T2409" s="28" t="n">
        <f aca="false">13801/100</f>
        <v>138.01</v>
      </c>
      <c r="U2409" s="28" t="n">
        <v>5520</v>
      </c>
      <c r="V2409" s="28"/>
      <c r="W2409" s="28" t="n">
        <f aca="false">V2409*$M2409</f>
        <v>0</v>
      </c>
      <c r="X2409" s="28"/>
      <c r="Y2409" s="28" t="n">
        <f aca="false">X2409*$M2409</f>
        <v>0</v>
      </c>
      <c r="Z2409" s="28"/>
      <c r="AA2409" s="28" t="n">
        <f aca="false">Z2409*$M2409</f>
        <v>0</v>
      </c>
      <c r="AB2409" s="28"/>
      <c r="AC2409" s="28" t="n">
        <f aca="false">AB2409*$M2409</f>
        <v>0</v>
      </c>
      <c r="AD2409" s="28"/>
      <c r="AE2409" s="28" t="n">
        <f aca="false">AD2409*$M2409</f>
        <v>0</v>
      </c>
      <c r="AF2409" s="28"/>
      <c r="AG2409" s="28" t="n">
        <f aca="false">AF2409*$M2409</f>
        <v>0</v>
      </c>
      <c r="AH2409" s="28"/>
      <c r="AI2409" s="28" t="n">
        <f aca="false">AH2409*$M2409</f>
        <v>0</v>
      </c>
      <c r="AJ2409" s="28"/>
      <c r="AK2409" s="28" t="n">
        <f aca="false">AJ2409*$M2409</f>
        <v>0</v>
      </c>
      <c r="AL2409" s="28"/>
      <c r="AM2409" s="28" t="n">
        <f aca="false">AL2409*$M2409</f>
        <v>0</v>
      </c>
      <c r="AN2409" s="28"/>
      <c r="AO2409" s="28" t="n">
        <f aca="false">AN2409*$M2409</f>
        <v>0</v>
      </c>
      <c r="AP2409" s="28"/>
      <c r="AQ2409" s="28" t="n">
        <f aca="false">AP2409*$M2409</f>
        <v>0</v>
      </c>
      <c r="AR2409" s="28"/>
      <c r="AS2409" s="28" t="n">
        <f aca="false">AR2409*$M2409</f>
        <v>0</v>
      </c>
      <c r="AT2409" s="28"/>
      <c r="AU2409" s="28" t="n">
        <f aca="false">AT2409*$M2409</f>
        <v>0</v>
      </c>
      <c r="AV2409" s="28"/>
      <c r="AW2409" s="28" t="n">
        <f aca="false">AV2409*$M2409</f>
        <v>0</v>
      </c>
      <c r="AX2409" s="28"/>
      <c r="AY2409" s="28" t="n">
        <f aca="false">AX2409*$M2409</f>
        <v>0</v>
      </c>
      <c r="AZ2409" s="30" t="n">
        <f aca="false">13801/100</f>
        <v>138.01</v>
      </c>
      <c r="BA2409" s="11" t="n">
        <v>5520</v>
      </c>
      <c r="BB2409" s="31" t="n">
        <f aca="false">SUM(Q2409,S2409,U2409,W2409,Y2409,AA2409,AC2409,AE2409,AG2409,AI2409,AK2409,AM2409,AO2409,AQ2409,AS2409,AU2409,AW2409,AY2409)</f>
        <v>5520</v>
      </c>
      <c r="BC2409" s="28" t="n">
        <f aca="false">BA2409-BB2409</f>
        <v>0</v>
      </c>
      <c r="BD2409" s="32" t="n">
        <f aca="false">SUM(P2409,R2409,T2409,V2409,X2409,Z2409,AB2409,AD2409,AF2409,AH2409,AJ2409,AL2409,AN2409,AP2409,AR2409,AT2409,AV2409,AX2409)</f>
        <v>138.01</v>
      </c>
      <c r="BE2409" s="33" t="n">
        <f aca="false">AZ2409-BD2409</f>
        <v>0</v>
      </c>
      <c r="BF2409" s="34" t="n">
        <f aca="false">BD2409*M2409</f>
        <v>5520.4</v>
      </c>
      <c r="BG2409" s="35" t="n">
        <f aca="false">BA2409-BF2409</f>
        <v>-0.399999999999636</v>
      </c>
      <c r="BH2409" s="19" t="str">
        <f aca="false">IF(BG2409=0,"",IF(BG2409&lt;&gt;BA2409,"erreur de calcul",IF(BD2409&lt;&gt;0,"pas de prix",IF(M2409&lt;&gt; 0,"pas de quantité","pas de prix, ni de quantité"))))</f>
        <v>erreur de calcul</v>
      </c>
      <c r="BI2409" s="19"/>
    </row>
    <row r="2410" customFormat="false" ht="15" hidden="false" customHeight="false" outlineLevel="0" collapsed="false">
      <c r="A2410" s="0" t="n">
        <v>14</v>
      </c>
      <c r="B2410" s="8" t="s">
        <v>24</v>
      </c>
      <c r="C2410" s="9" t="s">
        <v>25</v>
      </c>
      <c r="D2410" s="9" t="s">
        <v>26</v>
      </c>
      <c r="E2410" s="10" t="n">
        <v>1789</v>
      </c>
      <c r="F2410" s="9" t="s">
        <v>27</v>
      </c>
      <c r="G2410" s="9" t="s">
        <v>27</v>
      </c>
      <c r="H2410" s="11" t="n">
        <v>26</v>
      </c>
      <c r="I2410" s="11" t="s">
        <v>386</v>
      </c>
      <c r="J2410" s="14" t="n">
        <v>10</v>
      </c>
      <c r="K2410" s="14"/>
      <c r="L2410" s="16"/>
      <c r="M2410" s="27" t="n">
        <f aca="false">J2410+(K2410/20)+(L2410/240)</f>
        <v>10</v>
      </c>
      <c r="N2410" s="17" t="s">
        <v>387</v>
      </c>
      <c r="O2410" s="11" t="s">
        <v>77</v>
      </c>
      <c r="P2410" s="28" t="n">
        <v>30740</v>
      </c>
      <c r="Q2410" s="28" t="n">
        <v>307400</v>
      </c>
      <c r="R2410" s="28"/>
      <c r="S2410" s="28" t="n">
        <f aca="false">R2410*$M2410</f>
        <v>0</v>
      </c>
      <c r="T2410" s="28" t="n">
        <v>1357</v>
      </c>
      <c r="U2410" s="28" t="n">
        <v>13570</v>
      </c>
      <c r="V2410" s="28" t="n">
        <v>115</v>
      </c>
      <c r="W2410" s="28" t="n">
        <v>1150</v>
      </c>
      <c r="X2410" s="28"/>
      <c r="Y2410" s="28" t="n">
        <f aca="false">X2410*$M2410</f>
        <v>0</v>
      </c>
      <c r="Z2410" s="28"/>
      <c r="AA2410" s="28" t="n">
        <f aca="false">Z2410*$M2410</f>
        <v>0</v>
      </c>
      <c r="AB2410" s="28"/>
      <c r="AC2410" s="28" t="n">
        <f aca="false">AB2410*$M2410</f>
        <v>0</v>
      </c>
      <c r="AD2410" s="28"/>
      <c r="AE2410" s="28" t="n">
        <f aca="false">AD2410*$M2410</f>
        <v>0</v>
      </c>
      <c r="AF2410" s="28"/>
      <c r="AG2410" s="28" t="n">
        <f aca="false">AF2410*$M2410</f>
        <v>0</v>
      </c>
      <c r="AH2410" s="28"/>
      <c r="AI2410" s="28" t="n">
        <f aca="false">AH2410*$M2410</f>
        <v>0</v>
      </c>
      <c r="AJ2410" s="28"/>
      <c r="AK2410" s="28" t="n">
        <f aca="false">AJ2410*$M2410</f>
        <v>0</v>
      </c>
      <c r="AL2410" s="28"/>
      <c r="AM2410" s="28" t="n">
        <f aca="false">AL2410*$M2410</f>
        <v>0</v>
      </c>
      <c r="AN2410" s="28"/>
      <c r="AO2410" s="28" t="n">
        <f aca="false">AN2410*$M2410</f>
        <v>0</v>
      </c>
      <c r="AP2410" s="28"/>
      <c r="AQ2410" s="28" t="n">
        <f aca="false">AP2410*$M2410</f>
        <v>0</v>
      </c>
      <c r="AR2410" s="28"/>
      <c r="AS2410" s="28" t="n">
        <f aca="false">AR2410*$M2410</f>
        <v>0</v>
      </c>
      <c r="AT2410" s="28"/>
      <c r="AU2410" s="28" t="n">
        <f aca="false">AT2410*$M2410</f>
        <v>0</v>
      </c>
      <c r="AV2410" s="28"/>
      <c r="AW2410" s="28" t="n">
        <f aca="false">AV2410*$M2410</f>
        <v>0</v>
      </c>
      <c r="AX2410" s="28"/>
      <c r="AY2410" s="28" t="n">
        <f aca="false">AX2410*$M2410</f>
        <v>0</v>
      </c>
      <c r="AZ2410" s="30" t="n">
        <f aca="false">32212/100</f>
        <v>322.12</v>
      </c>
      <c r="BA2410" s="11" t="n">
        <v>322120</v>
      </c>
      <c r="BB2410" s="31" t="n">
        <f aca="false">SUM(Q2410,S2410,U2410,W2410,Y2410,AA2410,AC2410,AE2410,AG2410,AI2410,AK2410,AM2410,AO2410,AQ2410,AS2410,AU2410,AW2410,AY2410)</f>
        <v>322120</v>
      </c>
      <c r="BC2410" s="28" t="n">
        <f aca="false">BA2410-BB2410</f>
        <v>0</v>
      </c>
      <c r="BD2410" s="32" t="n">
        <f aca="false">SUM(P2410,R2410,T2410,V2410,X2410,Z2410,AB2410,AD2410,AF2410,AH2410,AJ2410,AL2410,AN2410,AP2410,AR2410,AT2410,AV2410,AX2410)</f>
        <v>32212</v>
      </c>
      <c r="BE2410" s="33" t="n">
        <f aca="false">AZ2410-BD2410</f>
        <v>-31889.88</v>
      </c>
      <c r="BF2410" s="34" t="n">
        <f aca="false">BD2410*M2410</f>
        <v>322120</v>
      </c>
      <c r="BG2410" s="35" t="n">
        <f aca="false">BA2410-BF2410</f>
        <v>0</v>
      </c>
      <c r="BH2410" s="19" t="str">
        <f aca="false">IF(BG2410=0,"",IF(BG2410&lt;&gt;BA2410,"erreur de calcul",IF(BD2410&lt;&gt;0,"pas de prix",IF(M2410&lt;&gt; 0,"pas de quantité","pas de prix, ni de quantité"))))</f>
        <v/>
      </c>
      <c r="BI2410" s="19"/>
    </row>
    <row r="2411" customFormat="false" ht="15" hidden="false" customHeight="false" outlineLevel="0" collapsed="false">
      <c r="A2411" s="0" t="n">
        <v>15</v>
      </c>
      <c r="B2411" s="8" t="s">
        <v>24</v>
      </c>
      <c r="C2411" s="9" t="s">
        <v>25</v>
      </c>
      <c r="D2411" s="9" t="s">
        <v>26</v>
      </c>
      <c r="E2411" s="10" t="n">
        <v>1789</v>
      </c>
      <c r="F2411" s="9" t="s">
        <v>27</v>
      </c>
      <c r="G2411" s="9" t="s">
        <v>27</v>
      </c>
      <c r="H2411" s="11" t="n">
        <v>26</v>
      </c>
      <c r="I2411" s="11" t="s">
        <v>385</v>
      </c>
      <c r="J2411" s="14" t="n">
        <v>60</v>
      </c>
      <c r="K2411" s="14"/>
      <c r="L2411" s="16"/>
      <c r="M2411" s="27" t="n">
        <f aca="false">J2411+(K2411/20)+(L2411/240)</f>
        <v>60</v>
      </c>
      <c r="N2411" s="17" t="s">
        <v>64</v>
      </c>
      <c r="O2411" s="11"/>
      <c r="P2411" s="28"/>
      <c r="Q2411" s="28" t="n">
        <f aca="false">P2411*$M2411</f>
        <v>0</v>
      </c>
      <c r="R2411" s="28"/>
      <c r="S2411" s="28" t="n">
        <f aca="false">R2411*$M2411</f>
        <v>0</v>
      </c>
      <c r="T2411" s="28" t="n">
        <f aca="false">204759/100</f>
        <v>2047.59</v>
      </c>
      <c r="U2411" s="28" t="n">
        <v>122855</v>
      </c>
      <c r="V2411" s="28"/>
      <c r="W2411" s="28" t="n">
        <f aca="false">V2411*$M2411</f>
        <v>0</v>
      </c>
      <c r="X2411" s="28"/>
      <c r="Y2411" s="28" t="n">
        <f aca="false">X2411*$M2411</f>
        <v>0</v>
      </c>
      <c r="Z2411" s="28"/>
      <c r="AA2411" s="28" t="n">
        <f aca="false">Z2411*$M2411</f>
        <v>0</v>
      </c>
      <c r="AB2411" s="28"/>
      <c r="AC2411" s="28" t="n">
        <f aca="false">AB2411*$M2411</f>
        <v>0</v>
      </c>
      <c r="AD2411" s="28"/>
      <c r="AE2411" s="28" t="n">
        <f aca="false">AD2411*$M2411</f>
        <v>0</v>
      </c>
      <c r="AF2411" s="28"/>
      <c r="AG2411" s="28" t="n">
        <f aca="false">AF2411*$M2411</f>
        <v>0</v>
      </c>
      <c r="AH2411" s="28"/>
      <c r="AI2411" s="28" t="n">
        <f aca="false">AH2411*$M2411</f>
        <v>0</v>
      </c>
      <c r="AJ2411" s="28"/>
      <c r="AK2411" s="28" t="n">
        <f aca="false">AJ2411*$M2411</f>
        <v>0</v>
      </c>
      <c r="AL2411" s="28"/>
      <c r="AM2411" s="28" t="n">
        <f aca="false">AL2411*$M2411</f>
        <v>0</v>
      </c>
      <c r="AN2411" s="28"/>
      <c r="AO2411" s="28" t="n">
        <f aca="false">AN2411*$M2411</f>
        <v>0</v>
      </c>
      <c r="AP2411" s="28"/>
      <c r="AQ2411" s="28" t="n">
        <f aca="false">AP2411*$M2411</f>
        <v>0</v>
      </c>
      <c r="AR2411" s="28"/>
      <c r="AS2411" s="28" t="n">
        <f aca="false">AR2411*$M2411</f>
        <v>0</v>
      </c>
      <c r="AT2411" s="28"/>
      <c r="AU2411" s="28" t="n">
        <f aca="false">AT2411*$M2411</f>
        <v>0</v>
      </c>
      <c r="AV2411" s="28"/>
      <c r="AW2411" s="28" t="n">
        <f aca="false">AV2411*$M2411</f>
        <v>0</v>
      </c>
      <c r="AX2411" s="28"/>
      <c r="AY2411" s="28" t="n">
        <f aca="false">AX2411*$M2411</f>
        <v>0</v>
      </c>
      <c r="AZ2411" s="30" t="n">
        <f aca="false">204759/100</f>
        <v>2047.59</v>
      </c>
      <c r="BA2411" s="11" t="n">
        <v>122855</v>
      </c>
      <c r="BB2411" s="31" t="n">
        <f aca="false">SUM(Q2411,S2411,U2411,W2411,Y2411,AA2411,AC2411,AE2411,AG2411,AI2411,AK2411,AM2411,AO2411,AQ2411,AS2411,AU2411,AW2411,AY2411)</f>
        <v>122855</v>
      </c>
      <c r="BC2411" s="28" t="n">
        <f aca="false">BA2411-BB2411</f>
        <v>0</v>
      </c>
      <c r="BD2411" s="32" t="n">
        <f aca="false">SUM(P2411,R2411,T2411,V2411,X2411,Z2411,AB2411,AD2411,AF2411,AH2411,AJ2411,AL2411,AN2411,AP2411,AR2411,AT2411,AV2411,AX2411)</f>
        <v>2047.59</v>
      </c>
      <c r="BE2411" s="33" t="n">
        <f aca="false">AZ2411-BD2411</f>
        <v>0</v>
      </c>
      <c r="BF2411" s="34" t="n">
        <f aca="false">BD2411*M2411</f>
        <v>122855.4</v>
      </c>
      <c r="BG2411" s="35" t="n">
        <f aca="false">BA2411-BF2411</f>
        <v>-0.399999999994179</v>
      </c>
      <c r="BH2411" s="19" t="str">
        <f aca="false">IF(BG2411=0,"",IF(BG2411&lt;&gt;BA2411,"erreur de calcul",IF(BD2411&lt;&gt;0,"pas de prix",IF(M2411&lt;&gt; 0,"pas de quantité","pas de prix, ni de quantité"))))</f>
        <v>erreur de calcul</v>
      </c>
      <c r="BI2411" s="19"/>
    </row>
    <row r="2412" customFormat="false" ht="15" hidden="false" customHeight="false" outlineLevel="0" collapsed="false">
      <c r="A2412" s="0" t="n">
        <v>16</v>
      </c>
      <c r="B2412" s="8" t="s">
        <v>24</v>
      </c>
      <c r="C2412" s="9" t="s">
        <v>25</v>
      </c>
      <c r="D2412" s="9" t="s">
        <v>26</v>
      </c>
      <c r="E2412" s="10" t="n">
        <v>1789</v>
      </c>
      <c r="F2412" s="9" t="s">
        <v>27</v>
      </c>
      <c r="G2412" s="9" t="s">
        <v>27</v>
      </c>
      <c r="H2412" s="11" t="n">
        <v>26</v>
      </c>
      <c r="I2412" s="11" t="s">
        <v>388</v>
      </c>
      <c r="J2412" s="14" t="n">
        <v>4</v>
      </c>
      <c r="K2412" s="14" t="n">
        <v>10</v>
      </c>
      <c r="L2412" s="16"/>
      <c r="M2412" s="27" t="n">
        <f aca="false">J2412+(K2412/20)+(L2412/240)</f>
        <v>4.5</v>
      </c>
      <c r="N2412" s="17" t="s">
        <v>66</v>
      </c>
      <c r="O2412" s="11"/>
      <c r="P2412" s="28" t="n">
        <v>20973</v>
      </c>
      <c r="Q2412" s="28" t="n">
        <v>94378</v>
      </c>
      <c r="R2412" s="28"/>
      <c r="S2412" s="28" t="n">
        <f aca="false">R2412*$M2412</f>
        <v>0</v>
      </c>
      <c r="T2412" s="28"/>
      <c r="U2412" s="28" t="n">
        <f aca="false">T2412*$M2412</f>
        <v>0</v>
      </c>
      <c r="V2412" s="28"/>
      <c r="W2412" s="28" t="n">
        <f aca="false">V2412*$M2412</f>
        <v>0</v>
      </c>
      <c r="X2412" s="28"/>
      <c r="Y2412" s="28" t="n">
        <f aca="false">X2412*$M2412</f>
        <v>0</v>
      </c>
      <c r="Z2412" s="28"/>
      <c r="AA2412" s="28" t="n">
        <f aca="false">Z2412*$M2412</f>
        <v>0</v>
      </c>
      <c r="AB2412" s="28"/>
      <c r="AC2412" s="28" t="n">
        <f aca="false">AB2412*$M2412</f>
        <v>0</v>
      </c>
      <c r="AD2412" s="28"/>
      <c r="AE2412" s="28" t="n">
        <f aca="false">AD2412*$M2412</f>
        <v>0</v>
      </c>
      <c r="AF2412" s="28"/>
      <c r="AG2412" s="28" t="n">
        <f aca="false">AF2412*$M2412</f>
        <v>0</v>
      </c>
      <c r="AH2412" s="28"/>
      <c r="AI2412" s="28" t="n">
        <f aca="false">AH2412*$M2412</f>
        <v>0</v>
      </c>
      <c r="AJ2412" s="28"/>
      <c r="AK2412" s="28" t="n">
        <f aca="false">AJ2412*$M2412</f>
        <v>0</v>
      </c>
      <c r="AL2412" s="28"/>
      <c r="AM2412" s="28" t="n">
        <f aca="false">AL2412*$M2412</f>
        <v>0</v>
      </c>
      <c r="AN2412" s="28"/>
      <c r="AO2412" s="28" t="n">
        <f aca="false">AN2412*$M2412</f>
        <v>0</v>
      </c>
      <c r="AP2412" s="28"/>
      <c r="AQ2412" s="28" t="n">
        <f aca="false">AP2412*$M2412</f>
        <v>0</v>
      </c>
      <c r="AR2412" s="28"/>
      <c r="AS2412" s="28" t="n">
        <f aca="false">AR2412*$M2412</f>
        <v>0</v>
      </c>
      <c r="AT2412" s="28"/>
      <c r="AU2412" s="28" t="n">
        <f aca="false">AT2412*$M2412</f>
        <v>0</v>
      </c>
      <c r="AV2412" s="28"/>
      <c r="AW2412" s="28" t="n">
        <f aca="false">AV2412*$M2412</f>
        <v>0</v>
      </c>
      <c r="AX2412" s="28"/>
      <c r="AY2412" s="28" t="n">
        <f aca="false">AX2412*$M2412</f>
        <v>0</v>
      </c>
      <c r="AZ2412" s="30" t="n">
        <v>20973</v>
      </c>
      <c r="BA2412" s="11" t="n">
        <v>94378</v>
      </c>
      <c r="BB2412" s="31" t="n">
        <f aca="false">SUM(Q2412,S2412,U2412,W2412,Y2412,AA2412,AC2412,AE2412,AG2412,AI2412,AK2412,AM2412,AO2412,AQ2412,AS2412,AU2412,AW2412,AY2412)</f>
        <v>94378</v>
      </c>
      <c r="BC2412" s="28" t="n">
        <f aca="false">BA2412-BB2412</f>
        <v>0</v>
      </c>
      <c r="BD2412" s="32" t="n">
        <f aca="false">SUM(P2412,R2412,T2412,V2412,X2412,Z2412,AB2412,AD2412,AF2412,AH2412,AJ2412,AL2412,AN2412,AP2412,AR2412,AT2412,AV2412,AX2412)</f>
        <v>20973</v>
      </c>
      <c r="BE2412" s="33" t="n">
        <f aca="false">AZ2412-BD2412</f>
        <v>0</v>
      </c>
      <c r="BF2412" s="34" t="n">
        <f aca="false">BD2412*M2412</f>
        <v>94378.5</v>
      </c>
      <c r="BG2412" s="35" t="n">
        <f aca="false">BA2412-BF2412</f>
        <v>-0.5</v>
      </c>
      <c r="BH2412" s="19" t="str">
        <f aca="false">IF(BG2412=0,"",IF(BG2412&lt;&gt;BA2412,"erreur de calcul",IF(BD2412&lt;&gt;0,"pas de prix",IF(M2412&lt;&gt; 0,"pas de quantité","pas de prix, ni de quantité"))))</f>
        <v>erreur de calcul</v>
      </c>
      <c r="BI2412" s="19"/>
    </row>
    <row r="2413" customFormat="false" ht="15" hidden="false" customHeight="false" outlineLevel="0" collapsed="false">
      <c r="A2413" s="0" t="n">
        <v>17</v>
      </c>
      <c r="B2413" s="8" t="s">
        <v>24</v>
      </c>
      <c r="C2413" s="9" t="s">
        <v>25</v>
      </c>
      <c r="D2413" s="9" t="s">
        <v>26</v>
      </c>
      <c r="E2413" s="10" t="n">
        <v>1789</v>
      </c>
      <c r="F2413" s="9" t="s">
        <v>27</v>
      </c>
      <c r="G2413" s="9" t="s">
        <v>27</v>
      </c>
      <c r="H2413" s="11" t="n">
        <v>26</v>
      </c>
      <c r="I2413" s="11" t="s">
        <v>389</v>
      </c>
      <c r="J2413" s="14"/>
      <c r="K2413" s="14"/>
      <c r="L2413" s="16"/>
      <c r="M2413" s="27" t="n">
        <f aca="false">J2413+(K2413/20)+(L2413/240)</f>
        <v>0</v>
      </c>
      <c r="N2413" s="17"/>
      <c r="O2413" s="11" t="s">
        <v>277</v>
      </c>
      <c r="P2413" s="28"/>
      <c r="Q2413" s="28" t="n">
        <f aca="false">P2413*$M2413</f>
        <v>0</v>
      </c>
      <c r="R2413" s="28"/>
      <c r="S2413" s="28" t="n">
        <f aca="false">R2413*$M2413</f>
        <v>0</v>
      </c>
      <c r="T2413" s="28"/>
      <c r="U2413" s="28" t="n">
        <v>189</v>
      </c>
      <c r="V2413" s="28"/>
      <c r="W2413" s="28" t="n">
        <v>540</v>
      </c>
      <c r="X2413" s="28"/>
      <c r="Y2413" s="28" t="n">
        <f aca="false">X2413*$M2413</f>
        <v>0</v>
      </c>
      <c r="Z2413" s="28"/>
      <c r="AA2413" s="28" t="n">
        <f aca="false">Z2413*$M2413</f>
        <v>0</v>
      </c>
      <c r="AB2413" s="28"/>
      <c r="AC2413" s="28" t="n">
        <f aca="false">AB2413*$M2413</f>
        <v>0</v>
      </c>
      <c r="AD2413" s="28"/>
      <c r="AE2413" s="28" t="n">
        <f aca="false">AD2413*$M2413</f>
        <v>0</v>
      </c>
      <c r="AF2413" s="28"/>
      <c r="AG2413" s="28" t="n">
        <f aca="false">AF2413*$M2413</f>
        <v>0</v>
      </c>
      <c r="AH2413" s="28"/>
      <c r="AI2413" s="28" t="n">
        <f aca="false">AH2413*$M2413</f>
        <v>0</v>
      </c>
      <c r="AJ2413" s="28"/>
      <c r="AK2413" s="28" t="n">
        <v>317</v>
      </c>
      <c r="AL2413" s="28"/>
      <c r="AM2413" s="28" t="n">
        <f aca="false">AL2413*$M2413</f>
        <v>0</v>
      </c>
      <c r="AN2413" s="28"/>
      <c r="AO2413" s="28" t="n">
        <f aca="false">AN2413*$M2413</f>
        <v>0</v>
      </c>
      <c r="AP2413" s="28"/>
      <c r="AQ2413" s="28" t="n">
        <f aca="false">AP2413*$M2413</f>
        <v>0</v>
      </c>
      <c r="AR2413" s="28"/>
      <c r="AS2413" s="28" t="n">
        <f aca="false">AR2413*$M2413</f>
        <v>0</v>
      </c>
      <c r="AT2413" s="28"/>
      <c r="AU2413" s="28" t="n">
        <f aca="false">AT2413*$M2413</f>
        <v>0</v>
      </c>
      <c r="AV2413" s="28"/>
      <c r="AW2413" s="28" t="n">
        <f aca="false">AV2413*$M2413</f>
        <v>0</v>
      </c>
      <c r="AX2413" s="28"/>
      <c r="AY2413" s="28" t="n">
        <f aca="false">AX2413*$M2413</f>
        <v>0</v>
      </c>
      <c r="AZ2413" s="30"/>
      <c r="BA2413" s="11" t="n">
        <v>1046</v>
      </c>
      <c r="BB2413" s="31" t="n">
        <f aca="false">SUM(Q2413,S2413,U2413,W2413,Y2413,AA2413,AC2413,AE2413,AG2413,AI2413,AK2413,AM2413,AO2413,AQ2413,AS2413,AU2413,AW2413,AY2413)</f>
        <v>1046</v>
      </c>
      <c r="BC2413" s="28" t="n">
        <f aca="false">BA2413-BB2413</f>
        <v>0</v>
      </c>
      <c r="BD2413" s="32" t="n">
        <f aca="false">SUM(P2413,R2413,T2413,V2413,X2413,Z2413,AB2413,AD2413,AF2413,AH2413,AJ2413,AL2413,AN2413,AP2413,AR2413,AT2413,AV2413,AX2413)</f>
        <v>0</v>
      </c>
      <c r="BE2413" s="33" t="n">
        <f aca="false">AZ2413-BD2413</f>
        <v>0</v>
      </c>
      <c r="BF2413" s="34" t="n">
        <f aca="false">BD2413*M2413</f>
        <v>0</v>
      </c>
      <c r="BG2413" s="35" t="n">
        <f aca="false">BA2413-BF2413</f>
        <v>1046</v>
      </c>
      <c r="BH2413" s="19" t="str">
        <f aca="false">IF(BG2413=0,"",IF(BG2413&lt;&gt;BA2413,"erreur de calcul",IF(BD2413&lt;&gt;0,"pas de prix",IF(M2413&lt;&gt; 0,"pas de quantité","pas de prix, ni de quantité"))))</f>
        <v>pas de prix, ni de quantité</v>
      </c>
      <c r="BI2413" s="19"/>
    </row>
    <row r="2414" customFormat="false" ht="15" hidden="false" customHeight="false" outlineLevel="0" collapsed="false">
      <c r="A2414" s="0" t="n">
        <v>18</v>
      </c>
      <c r="B2414" s="8" t="s">
        <v>24</v>
      </c>
      <c r="C2414" s="9" t="s">
        <v>25</v>
      </c>
      <c r="D2414" s="9" t="s">
        <v>26</v>
      </c>
      <c r="E2414" s="10" t="n">
        <v>1789</v>
      </c>
      <c r="F2414" s="9" t="s">
        <v>27</v>
      </c>
      <c r="G2414" s="9" t="s">
        <v>27</v>
      </c>
      <c r="H2414" s="11" t="n">
        <v>26</v>
      </c>
      <c r="I2414" s="11" t="s">
        <v>389</v>
      </c>
      <c r="J2414" s="14" t="n">
        <v>90</v>
      </c>
      <c r="K2414" s="14"/>
      <c r="L2414" s="16"/>
      <c r="M2414" s="27" t="n">
        <f aca="false">J2414+(K2414/20)+(L2414/240)</f>
        <v>90</v>
      </c>
      <c r="N2414" s="17" t="s">
        <v>64</v>
      </c>
      <c r="O2414" s="11"/>
      <c r="P2414" s="28"/>
      <c r="Q2414" s="28" t="n">
        <f aca="false">P2414*$M2414</f>
        <v>0</v>
      </c>
      <c r="R2414" s="28"/>
      <c r="S2414" s="28" t="n">
        <f aca="false">R2414*$M2414</f>
        <v>0</v>
      </c>
      <c r="T2414" s="28"/>
      <c r="U2414" s="28" t="n">
        <f aca="false">T2414*$M2414</f>
        <v>0</v>
      </c>
      <c r="V2414" s="28" t="n">
        <f aca="false">6341/100</f>
        <v>63.41</v>
      </c>
      <c r="W2414" s="28" t="n">
        <v>5707</v>
      </c>
      <c r="X2414" s="28" t="n">
        <f aca="false">10903/100</f>
        <v>109.03</v>
      </c>
      <c r="Y2414" s="28" t="n">
        <v>9813</v>
      </c>
      <c r="Z2414" s="28"/>
      <c r="AA2414" s="28" t="n">
        <f aca="false">Z2414*$M2414</f>
        <v>0</v>
      </c>
      <c r="AB2414" s="28"/>
      <c r="AC2414" s="28" t="n">
        <f aca="false">AB2414*$M2414</f>
        <v>0</v>
      </c>
      <c r="AD2414" s="28"/>
      <c r="AE2414" s="28" t="n">
        <f aca="false">AD2414*$M2414</f>
        <v>0</v>
      </c>
      <c r="AF2414" s="28"/>
      <c r="AG2414" s="28" t="n">
        <f aca="false">AF2414*$M2414</f>
        <v>0</v>
      </c>
      <c r="AH2414" s="28"/>
      <c r="AI2414" s="28" t="n">
        <f aca="false">AH2414*$M2414</f>
        <v>0</v>
      </c>
      <c r="AJ2414" s="28" t="n">
        <f aca="false">127232/100</f>
        <v>1272.32</v>
      </c>
      <c r="AK2414" s="28" t="n">
        <v>114509</v>
      </c>
      <c r="AL2414" s="28" t="n">
        <f aca="false">1835/100</f>
        <v>18.35</v>
      </c>
      <c r="AM2414" s="28" t="n">
        <v>1651</v>
      </c>
      <c r="AN2414" s="28"/>
      <c r="AO2414" s="28" t="n">
        <f aca="false">AN2414*$M2414</f>
        <v>0</v>
      </c>
      <c r="AP2414" s="28"/>
      <c r="AQ2414" s="28" t="n">
        <f aca="false">AP2414*$M2414</f>
        <v>0</v>
      </c>
      <c r="AR2414" s="28"/>
      <c r="AS2414" s="28" t="n">
        <f aca="false">AR2414*$M2414</f>
        <v>0</v>
      </c>
      <c r="AT2414" s="28"/>
      <c r="AU2414" s="28" t="n">
        <f aca="false">AT2414*$M2414</f>
        <v>0</v>
      </c>
      <c r="AV2414" s="28"/>
      <c r="AW2414" s="28" t="n">
        <f aca="false">AV2414*$M2414</f>
        <v>0</v>
      </c>
      <c r="AX2414" s="28"/>
      <c r="AY2414" s="28" t="n">
        <f aca="false">AX2414*$M2414</f>
        <v>0</v>
      </c>
      <c r="AZ2414" s="30" t="n">
        <f aca="false">146311/100</f>
        <v>1463.11</v>
      </c>
      <c r="BA2414" s="11" t="n">
        <v>131680</v>
      </c>
      <c r="BB2414" s="31" t="n">
        <f aca="false">SUM(Q2414,S2414,U2414,W2414,Y2414,AA2414,AC2414,AE2414,AG2414,AI2414,AK2414,AM2414,AO2414,AQ2414,AS2414,AU2414,AW2414,AY2414)</f>
        <v>131680</v>
      </c>
      <c r="BC2414" s="28" t="n">
        <f aca="false">BA2414-BB2414</f>
        <v>0</v>
      </c>
      <c r="BD2414" s="32" t="n">
        <f aca="false">SUM(P2414,R2414,T2414,V2414,X2414,Z2414,AB2414,AD2414,AF2414,AH2414,AJ2414,AL2414,AN2414,AP2414,AR2414,AT2414,AV2414,AX2414)</f>
        <v>1463.11</v>
      </c>
      <c r="BE2414" s="33" t="n">
        <f aca="false">AZ2414-BD2414</f>
        <v>0</v>
      </c>
      <c r="BF2414" s="34" t="n">
        <f aca="false">BD2414*M2414</f>
        <v>131679.9</v>
      </c>
      <c r="BG2414" s="35" t="n">
        <f aca="false">BA2414-BF2414</f>
        <v>0.100000000005821</v>
      </c>
      <c r="BH2414" s="19" t="str">
        <f aca="false">IF(BG2414=0,"",IF(BG2414&lt;&gt;BA2414,"erreur de calcul",IF(BD2414&lt;&gt;0,"pas de prix",IF(M2414&lt;&gt; 0,"pas de quantité","pas de prix, ni de quantité"))))</f>
        <v>erreur de calcul</v>
      </c>
      <c r="BI2414" s="19"/>
    </row>
    <row r="2415" customFormat="false" ht="15" hidden="false" customHeight="false" outlineLevel="0" collapsed="false">
      <c r="A2415" s="0" t="n">
        <v>19</v>
      </c>
      <c r="B2415" s="8" t="s">
        <v>24</v>
      </c>
      <c r="C2415" s="9" t="s">
        <v>25</v>
      </c>
      <c r="D2415" s="9" t="s">
        <v>26</v>
      </c>
      <c r="E2415" s="10" t="n">
        <v>1789</v>
      </c>
      <c r="F2415" s="9" t="s">
        <v>27</v>
      </c>
      <c r="G2415" s="9" t="s">
        <v>27</v>
      </c>
      <c r="H2415" s="11" t="n">
        <v>26</v>
      </c>
      <c r="I2415" s="11" t="s">
        <v>390</v>
      </c>
      <c r="J2415" s="14" t="n">
        <v>25</v>
      </c>
      <c r="K2415" s="14"/>
      <c r="L2415" s="16"/>
      <c r="M2415" s="27" t="n">
        <f aca="false">J2415+(K2415/20)+(L2415/240)</f>
        <v>25</v>
      </c>
      <c r="N2415" s="17" t="s">
        <v>64</v>
      </c>
      <c r="O2415" s="11" t="s">
        <v>277</v>
      </c>
      <c r="P2415" s="28"/>
      <c r="Q2415" s="28" t="n">
        <f aca="false">P2415*$M2415</f>
        <v>0</v>
      </c>
      <c r="R2415" s="28"/>
      <c r="S2415" s="28" t="n">
        <f aca="false">R2415*$M2415</f>
        <v>0</v>
      </c>
      <c r="T2415" s="28"/>
      <c r="U2415" s="28" t="n">
        <f aca="false">T2415*$M2415</f>
        <v>0</v>
      </c>
      <c r="V2415" s="28"/>
      <c r="W2415" s="28" t="n">
        <f aca="false">V2415*$M2415</f>
        <v>0</v>
      </c>
      <c r="X2415" s="28"/>
      <c r="Y2415" s="28" t="n">
        <f aca="false">X2415*$M2415</f>
        <v>0</v>
      </c>
      <c r="Z2415" s="28"/>
      <c r="AA2415" s="28" t="n">
        <f aca="false">Z2415*$M2415</f>
        <v>0</v>
      </c>
      <c r="AB2415" s="28"/>
      <c r="AC2415" s="28" t="n">
        <f aca="false">AB2415*$M2415</f>
        <v>0</v>
      </c>
      <c r="AD2415" s="28"/>
      <c r="AE2415" s="28" t="n">
        <f aca="false">AD2415*$M2415</f>
        <v>0</v>
      </c>
      <c r="AF2415" s="28"/>
      <c r="AG2415" s="28" t="n">
        <f aca="false">AF2415*$M2415</f>
        <v>0</v>
      </c>
      <c r="AH2415" s="28"/>
      <c r="AI2415" s="28" t="n">
        <f aca="false">AH2415*$M2415</f>
        <v>0</v>
      </c>
      <c r="AJ2415" s="28"/>
      <c r="AK2415" s="28" t="n">
        <f aca="false">AJ2415*$M2415</f>
        <v>0</v>
      </c>
      <c r="AL2415" s="28"/>
      <c r="AM2415" s="28" t="n">
        <f aca="false">AL2415*$M2415</f>
        <v>0</v>
      </c>
      <c r="AN2415" s="28"/>
      <c r="AO2415" s="28" t="n">
        <f aca="false">AN2415*$M2415</f>
        <v>0</v>
      </c>
      <c r="AP2415" s="28"/>
      <c r="AQ2415" s="28" t="n">
        <f aca="false">AP2415*$M2415</f>
        <v>0</v>
      </c>
      <c r="AR2415" s="28"/>
      <c r="AS2415" s="28" t="n">
        <f aca="false">AR2415*$M2415</f>
        <v>0</v>
      </c>
      <c r="AT2415" s="28"/>
      <c r="AU2415" s="28" t="n">
        <f aca="false">AT2415*$M2415</f>
        <v>0</v>
      </c>
      <c r="AV2415" s="28"/>
      <c r="AW2415" s="28" t="n">
        <f aca="false">AV2415*$M2415</f>
        <v>0</v>
      </c>
      <c r="AX2415" s="28"/>
      <c r="AY2415" s="28" t="n">
        <f aca="false">AX2415*$M2415</f>
        <v>0</v>
      </c>
      <c r="AZ2415" s="30"/>
      <c r="BA2415" s="11"/>
      <c r="BB2415" s="31" t="n">
        <f aca="false">SUM(Q2415,S2415,U2415,W2415,Y2415,AA2415,AC2415,AE2415,AG2415,AI2415,AK2415,AM2415,AO2415,AQ2415,AS2415,AU2415,AW2415,AY2415)</f>
        <v>0</v>
      </c>
      <c r="BC2415" s="28" t="n">
        <f aca="false">BA2415-BB2415</f>
        <v>0</v>
      </c>
      <c r="BD2415" s="32" t="n">
        <f aca="false">SUM(P2415,R2415,T2415,V2415,X2415,Z2415,AB2415,AD2415,AF2415,AH2415,AJ2415,AL2415,AN2415,AP2415,AR2415,AT2415,AV2415,AX2415)</f>
        <v>0</v>
      </c>
      <c r="BE2415" s="33" t="n">
        <f aca="false">AZ2415-BD2415</f>
        <v>0</v>
      </c>
      <c r="BF2415" s="34" t="n">
        <f aca="false">BD2415*M2415</f>
        <v>0</v>
      </c>
      <c r="BG2415" s="35" t="n">
        <f aca="false">BA2415-BF2415</f>
        <v>0</v>
      </c>
      <c r="BH2415" s="19" t="str">
        <f aca="false">IF(BG2415=0,"",IF(BG2415&lt;&gt;BA2415,"erreur de calcul",IF(BD2415&lt;&gt;0,"pas de prix",IF(M2415&lt;&gt; 0,"pas de quantité","pas de prix, ni de quantité"))))</f>
        <v/>
      </c>
      <c r="BI2415" s="19"/>
    </row>
    <row r="2416" customFormat="false" ht="15" hidden="false" customHeight="false" outlineLevel="0" collapsed="false">
      <c r="A2416" s="0" t="n">
        <v>20</v>
      </c>
      <c r="B2416" s="8" t="s">
        <v>24</v>
      </c>
      <c r="C2416" s="9" t="s">
        <v>25</v>
      </c>
      <c r="D2416" s="9" t="s">
        <v>26</v>
      </c>
      <c r="E2416" s="10" t="n">
        <v>1789</v>
      </c>
      <c r="F2416" s="9" t="s">
        <v>27</v>
      </c>
      <c r="G2416" s="9" t="s">
        <v>27</v>
      </c>
      <c r="H2416" s="11" t="n">
        <v>26</v>
      </c>
      <c r="I2416" s="11" t="s">
        <v>391</v>
      </c>
      <c r="J2416" s="14" t="n">
        <v>35</v>
      </c>
      <c r="K2416" s="14"/>
      <c r="L2416" s="16"/>
      <c r="M2416" s="27" t="n">
        <f aca="false">J2416+(K2416/20)+(L2416/240)</f>
        <v>35</v>
      </c>
      <c r="N2416" s="17" t="s">
        <v>64</v>
      </c>
      <c r="O2416" s="11"/>
      <c r="P2416" s="28"/>
      <c r="Q2416" s="28" t="n">
        <f aca="false">P2416*$M2416</f>
        <v>0</v>
      </c>
      <c r="R2416" s="28"/>
      <c r="S2416" s="28" t="n">
        <f aca="false">R2416*$M2416</f>
        <v>0</v>
      </c>
      <c r="T2416" s="28"/>
      <c r="U2416" s="28" t="n">
        <f aca="false">T2416*$M2416</f>
        <v>0</v>
      </c>
      <c r="V2416" s="28"/>
      <c r="W2416" s="28" t="n">
        <f aca="false">V2416*$M2416</f>
        <v>0</v>
      </c>
      <c r="X2416" s="28"/>
      <c r="Y2416" s="28" t="n">
        <f aca="false">X2416*$M2416</f>
        <v>0</v>
      </c>
      <c r="Z2416" s="28"/>
      <c r="AA2416" s="28" t="n">
        <f aca="false">Z2416*$M2416</f>
        <v>0</v>
      </c>
      <c r="AB2416" s="28"/>
      <c r="AC2416" s="28" t="n">
        <f aca="false">AB2416*$M2416</f>
        <v>0</v>
      </c>
      <c r="AD2416" s="28"/>
      <c r="AE2416" s="28" t="n">
        <f aca="false">AD2416*$M2416</f>
        <v>0</v>
      </c>
      <c r="AF2416" s="28"/>
      <c r="AG2416" s="28" t="n">
        <f aca="false">AF2416*$M2416</f>
        <v>0</v>
      </c>
      <c r="AH2416" s="28"/>
      <c r="AI2416" s="28" t="n">
        <f aca="false">AH2416*$M2416</f>
        <v>0</v>
      </c>
      <c r="AJ2416" s="28" t="n">
        <f aca="false">3950/100</f>
        <v>39.5</v>
      </c>
      <c r="AK2416" s="28" t="n">
        <v>1382</v>
      </c>
      <c r="AL2416" s="28"/>
      <c r="AM2416" s="28" t="n">
        <f aca="false">AL2416*$M2416</f>
        <v>0</v>
      </c>
      <c r="AN2416" s="28"/>
      <c r="AO2416" s="28" t="n">
        <f aca="false">AN2416*$M2416</f>
        <v>0</v>
      </c>
      <c r="AP2416" s="28"/>
      <c r="AQ2416" s="28" t="n">
        <f aca="false">AP2416*$M2416</f>
        <v>0</v>
      </c>
      <c r="AR2416" s="28"/>
      <c r="AS2416" s="28" t="n">
        <f aca="false">AR2416*$M2416</f>
        <v>0</v>
      </c>
      <c r="AT2416" s="28"/>
      <c r="AU2416" s="28" t="n">
        <f aca="false">AT2416*$M2416</f>
        <v>0</v>
      </c>
      <c r="AV2416" s="28"/>
      <c r="AW2416" s="28" t="n">
        <f aca="false">AV2416*$M2416</f>
        <v>0</v>
      </c>
      <c r="AX2416" s="28"/>
      <c r="AY2416" s="28" t="n">
        <f aca="false">AX2416*$M2416</f>
        <v>0</v>
      </c>
      <c r="AZ2416" s="30" t="n">
        <f aca="false">3950/100</f>
        <v>39.5</v>
      </c>
      <c r="BA2416" s="11" t="n">
        <v>1382</v>
      </c>
      <c r="BB2416" s="31" t="n">
        <f aca="false">SUM(Q2416,S2416,U2416,W2416,Y2416,AA2416,AC2416,AE2416,AG2416,AI2416,AK2416,AM2416,AO2416,AQ2416,AS2416,AU2416,AW2416,AY2416)</f>
        <v>1382</v>
      </c>
      <c r="BC2416" s="28" t="n">
        <f aca="false">BA2416-BB2416</f>
        <v>0</v>
      </c>
      <c r="BD2416" s="32" t="n">
        <f aca="false">SUM(P2416,R2416,T2416,V2416,X2416,Z2416,AB2416,AD2416,AF2416,AH2416,AJ2416,AL2416,AN2416,AP2416,AR2416,AT2416,AV2416,AX2416)</f>
        <v>39.5</v>
      </c>
      <c r="BE2416" s="33" t="n">
        <f aca="false">AZ2416-BD2416</f>
        <v>0</v>
      </c>
      <c r="BF2416" s="34" t="n">
        <f aca="false">BD2416*M2416</f>
        <v>1382.5</v>
      </c>
      <c r="BG2416" s="35" t="n">
        <f aca="false">BA2416-BF2416</f>
        <v>-0.5</v>
      </c>
      <c r="BH2416" s="19" t="str">
        <f aca="false">IF(BG2416=0,"",IF(BG2416&lt;&gt;BA2416,"erreur de calcul",IF(BD2416&lt;&gt;0,"pas de prix",IF(M2416&lt;&gt; 0,"pas de quantité","pas de prix, ni de quantité"))))</f>
        <v>erreur de calcul</v>
      </c>
      <c r="BI2416" s="19"/>
    </row>
    <row r="2417" customFormat="false" ht="15" hidden="false" customHeight="false" outlineLevel="0" collapsed="false">
      <c r="A2417" s="0" t="n">
        <v>21</v>
      </c>
      <c r="B2417" s="8" t="s">
        <v>24</v>
      </c>
      <c r="C2417" s="9" t="s">
        <v>25</v>
      </c>
      <c r="D2417" s="9" t="s">
        <v>26</v>
      </c>
      <c r="E2417" s="10" t="n">
        <v>1789</v>
      </c>
      <c r="F2417" s="9" t="s">
        <v>27</v>
      </c>
      <c r="G2417" s="9" t="s">
        <v>27</v>
      </c>
      <c r="H2417" s="11" t="n">
        <v>26</v>
      </c>
      <c r="I2417" s="11" t="s">
        <v>392</v>
      </c>
      <c r="J2417" s="14" t="n">
        <v>60</v>
      </c>
      <c r="K2417" s="14"/>
      <c r="L2417" s="16"/>
      <c r="M2417" s="27" t="n">
        <f aca="false">J2417+(K2417/20)+(L2417/240)</f>
        <v>60</v>
      </c>
      <c r="N2417" s="17" t="s">
        <v>64</v>
      </c>
      <c r="O2417" s="11"/>
      <c r="P2417" s="28"/>
      <c r="Q2417" s="28" t="n">
        <f aca="false">P2417*$M2417</f>
        <v>0</v>
      </c>
      <c r="R2417" s="28"/>
      <c r="S2417" s="28" t="n">
        <f aca="false">R2417*$M2417</f>
        <v>0</v>
      </c>
      <c r="T2417" s="28"/>
      <c r="U2417" s="28" t="n">
        <f aca="false">T2417*$M2417</f>
        <v>0</v>
      </c>
      <c r="V2417" s="28"/>
      <c r="W2417" s="28" t="n">
        <f aca="false">V2417*$M2417</f>
        <v>0</v>
      </c>
      <c r="X2417" s="28" t="n">
        <f aca="false">12306/100</f>
        <v>123.06</v>
      </c>
      <c r="Y2417" s="28" t="n">
        <v>7384</v>
      </c>
      <c r="Z2417" s="28"/>
      <c r="AA2417" s="28" t="n">
        <f aca="false">Z2417*$M2417</f>
        <v>0</v>
      </c>
      <c r="AB2417" s="28"/>
      <c r="AC2417" s="28" t="n">
        <f aca="false">AB2417*$M2417</f>
        <v>0</v>
      </c>
      <c r="AD2417" s="28"/>
      <c r="AE2417" s="28" t="n">
        <f aca="false">AD2417*$M2417</f>
        <v>0</v>
      </c>
      <c r="AF2417" s="28"/>
      <c r="AG2417" s="28" t="n">
        <f aca="false">AF2417*$M2417</f>
        <v>0</v>
      </c>
      <c r="AH2417" s="28"/>
      <c r="AI2417" s="28" t="n">
        <f aca="false">AH2417*$M2417</f>
        <v>0</v>
      </c>
      <c r="AJ2417" s="28" t="n">
        <f aca="false">2557/100</f>
        <v>25.57</v>
      </c>
      <c r="AK2417" s="28" t="n">
        <v>1534</v>
      </c>
      <c r="AL2417" s="28"/>
      <c r="AM2417" s="28" t="n">
        <f aca="false">AL2417*$M2417</f>
        <v>0</v>
      </c>
      <c r="AN2417" s="28"/>
      <c r="AO2417" s="28" t="n">
        <f aca="false">AN2417*$M2417</f>
        <v>0</v>
      </c>
      <c r="AP2417" s="28"/>
      <c r="AQ2417" s="28" t="n">
        <f aca="false">AP2417*$M2417</f>
        <v>0</v>
      </c>
      <c r="AR2417" s="28" t="n">
        <f aca="false">7204/100</f>
        <v>72.04</v>
      </c>
      <c r="AS2417" s="28" t="n">
        <v>4322</v>
      </c>
      <c r="AT2417" s="28"/>
      <c r="AU2417" s="28" t="n">
        <f aca="false">AT2417*$M2417</f>
        <v>0</v>
      </c>
      <c r="AV2417" s="28"/>
      <c r="AW2417" s="28" t="n">
        <f aca="false">AV2417*$M2417</f>
        <v>0</v>
      </c>
      <c r="AX2417" s="28"/>
      <c r="AY2417" s="28" t="n">
        <f aca="false">AX2417*$M2417</f>
        <v>0</v>
      </c>
      <c r="AZ2417" s="30" t="n">
        <f aca="false">22067/100</f>
        <v>220.67</v>
      </c>
      <c r="BA2417" s="11" t="n">
        <v>13240</v>
      </c>
      <c r="BB2417" s="31" t="n">
        <f aca="false">SUM(Q2417,S2417,U2417,W2417,Y2417,AA2417,AC2417,AE2417,AG2417,AI2417,AK2417,AM2417,AO2417,AQ2417,AS2417,AU2417,AW2417,AY2417)</f>
        <v>13240</v>
      </c>
      <c r="BC2417" s="28" t="n">
        <f aca="false">BA2417-BB2417</f>
        <v>0</v>
      </c>
      <c r="BD2417" s="32" t="n">
        <f aca="false">SUM(P2417,R2417,T2417,V2417,X2417,Z2417,AB2417,AD2417,AF2417,AH2417,AJ2417,AL2417,AN2417,AP2417,AR2417,AT2417,AV2417,AX2417)</f>
        <v>220.67</v>
      </c>
      <c r="BE2417" s="33" t="n">
        <f aca="false">AZ2417-BD2417</f>
        <v>0</v>
      </c>
      <c r="BF2417" s="34" t="n">
        <f aca="false">BD2417*M2417</f>
        <v>13240.2</v>
      </c>
      <c r="BG2417" s="35" t="n">
        <f aca="false">BA2417-BF2417</f>
        <v>-0.200000000000728</v>
      </c>
      <c r="BH2417" s="19" t="str">
        <f aca="false">IF(BG2417=0,"",IF(BG2417&lt;&gt;BA2417,"erreur de calcul",IF(BD2417&lt;&gt;0,"pas de prix",IF(M2417&lt;&gt; 0,"pas de quantité","pas de prix, ni de quantité"))))</f>
        <v>erreur de calcul</v>
      </c>
      <c r="BI2417" s="19"/>
    </row>
    <row r="2418" customFormat="false" ht="15" hidden="false" customHeight="false" outlineLevel="0" collapsed="false">
      <c r="A2418" s="0" t="n">
        <v>22</v>
      </c>
      <c r="B2418" s="8" t="s">
        <v>24</v>
      </c>
      <c r="C2418" s="9" t="s">
        <v>25</v>
      </c>
      <c r="D2418" s="9" t="s">
        <v>26</v>
      </c>
      <c r="E2418" s="10" t="n">
        <v>1789</v>
      </c>
      <c r="F2418" s="9" t="s">
        <v>27</v>
      </c>
      <c r="G2418" s="9" t="s">
        <v>27</v>
      </c>
      <c r="H2418" s="11" t="n">
        <v>26</v>
      </c>
      <c r="I2418" s="11" t="s">
        <v>393</v>
      </c>
      <c r="J2418" s="14" t="n">
        <v>120</v>
      </c>
      <c r="K2418" s="14"/>
      <c r="L2418" s="16"/>
      <c r="M2418" s="27" t="n">
        <f aca="false">J2418+(K2418/20)+(L2418/240)</f>
        <v>120</v>
      </c>
      <c r="N2418" s="17" t="s">
        <v>64</v>
      </c>
      <c r="O2418" s="11"/>
      <c r="P2418" s="28"/>
      <c r="Q2418" s="28" t="n">
        <f aca="false">P2418*$M2418</f>
        <v>0</v>
      </c>
      <c r="R2418" s="28"/>
      <c r="S2418" s="28" t="n">
        <f aca="false">R2418*$M2418</f>
        <v>0</v>
      </c>
      <c r="T2418" s="28"/>
      <c r="U2418" s="28" t="n">
        <f aca="false">T2418*$M2418</f>
        <v>0</v>
      </c>
      <c r="V2418" s="28"/>
      <c r="W2418" s="28" t="n">
        <f aca="false">V2418*$M2418</f>
        <v>0</v>
      </c>
      <c r="X2418" s="28"/>
      <c r="Y2418" s="28" t="n">
        <f aca="false">X2418*$M2418</f>
        <v>0</v>
      </c>
      <c r="Z2418" s="28"/>
      <c r="AA2418" s="28" t="n">
        <f aca="false">Z2418*$M2418</f>
        <v>0</v>
      </c>
      <c r="AB2418" s="28"/>
      <c r="AC2418" s="28" t="n">
        <f aca="false">AB2418*$M2418</f>
        <v>0</v>
      </c>
      <c r="AD2418" s="28"/>
      <c r="AE2418" s="28" t="n">
        <f aca="false">AD2418*$M2418</f>
        <v>0</v>
      </c>
      <c r="AF2418" s="28"/>
      <c r="AG2418" s="28" t="n">
        <f aca="false">AF2418*$M2418</f>
        <v>0</v>
      </c>
      <c r="AH2418" s="28" t="n">
        <f aca="false">1810/100</f>
        <v>18.1</v>
      </c>
      <c r="AI2418" s="28" t="n">
        <v>2172</v>
      </c>
      <c r="AJ2418" s="28"/>
      <c r="AK2418" s="28" t="n">
        <f aca="false">AJ2418*$M2418</f>
        <v>0</v>
      </c>
      <c r="AL2418" s="28"/>
      <c r="AM2418" s="28" t="n">
        <f aca="false">AL2418*$M2418</f>
        <v>0</v>
      </c>
      <c r="AN2418" s="28"/>
      <c r="AO2418" s="28" t="n">
        <f aca="false">AN2418*$M2418</f>
        <v>0</v>
      </c>
      <c r="AP2418" s="28"/>
      <c r="AQ2418" s="28" t="n">
        <f aca="false">AP2418*$M2418</f>
        <v>0</v>
      </c>
      <c r="AR2418" s="28"/>
      <c r="AS2418" s="28" t="n">
        <f aca="false">AR2418*$M2418</f>
        <v>0</v>
      </c>
      <c r="AT2418" s="28"/>
      <c r="AU2418" s="28" t="n">
        <f aca="false">AT2418*$M2418</f>
        <v>0</v>
      </c>
      <c r="AV2418" s="28"/>
      <c r="AW2418" s="28" t="n">
        <f aca="false">AV2418*$M2418</f>
        <v>0</v>
      </c>
      <c r="AX2418" s="28"/>
      <c r="AY2418" s="28" t="n">
        <f aca="false">AX2418*$M2418</f>
        <v>0</v>
      </c>
      <c r="AZ2418" s="30" t="n">
        <f aca="false">1810/100</f>
        <v>18.1</v>
      </c>
      <c r="BA2418" s="11" t="n">
        <v>2172</v>
      </c>
      <c r="BB2418" s="31" t="n">
        <f aca="false">SUM(Q2418,S2418,U2418,W2418,Y2418,AA2418,AC2418,AE2418,AG2418,AI2418,AK2418,AM2418,AO2418,AQ2418,AS2418,AU2418,AW2418,AY2418)</f>
        <v>2172</v>
      </c>
      <c r="BC2418" s="28" t="n">
        <f aca="false">BA2418-BB2418</f>
        <v>0</v>
      </c>
      <c r="BD2418" s="32" t="n">
        <f aca="false">SUM(P2418,R2418,T2418,V2418,X2418,Z2418,AB2418,AD2418,AF2418,AH2418,AJ2418,AL2418,AN2418,AP2418,AR2418,AT2418,AV2418,AX2418)</f>
        <v>18.1</v>
      </c>
      <c r="BE2418" s="33" t="n">
        <f aca="false">AZ2418-BD2418</f>
        <v>0</v>
      </c>
      <c r="BF2418" s="34" t="n">
        <f aca="false">BD2418*M2418</f>
        <v>2172</v>
      </c>
      <c r="BG2418" s="35" t="n">
        <f aca="false">BA2418-BF2418</f>
        <v>0</v>
      </c>
      <c r="BH2418" s="19" t="str">
        <f aca="false">IF(BG2418=0,"",IF(BG2418&lt;&gt;BA2418,"erreur de calcul",IF(BD2418&lt;&gt;0,"pas de prix",IF(M2418&lt;&gt; 0,"pas de quantité","pas de prix, ni de quantité"))))</f>
        <v/>
      </c>
      <c r="BI2418" s="19"/>
    </row>
    <row r="2419" customFormat="false" ht="15" hidden="false" customHeight="false" outlineLevel="0" collapsed="false">
      <c r="A2419" s="0" t="n">
        <v>23</v>
      </c>
      <c r="B2419" s="8" t="s">
        <v>24</v>
      </c>
      <c r="C2419" s="9" t="s">
        <v>25</v>
      </c>
      <c r="D2419" s="9" t="s">
        <v>26</v>
      </c>
      <c r="E2419" s="10" t="n">
        <v>1789</v>
      </c>
      <c r="F2419" s="9" t="s">
        <v>27</v>
      </c>
      <c r="G2419" s="9" t="s">
        <v>27</v>
      </c>
      <c r="H2419" s="11" t="n">
        <v>26</v>
      </c>
      <c r="I2419" s="41" t="s">
        <v>394</v>
      </c>
      <c r="J2419" s="14" t="n">
        <v>7</v>
      </c>
      <c r="K2419" s="14"/>
      <c r="L2419" s="16"/>
      <c r="M2419" s="27" t="n">
        <f aca="false">J2419+(K2419/20)+(L2419/240)</f>
        <v>7</v>
      </c>
      <c r="N2419" s="17" t="s">
        <v>64</v>
      </c>
      <c r="O2419" s="11"/>
      <c r="P2419" s="28" t="n">
        <f aca="false">11428/100</f>
        <v>114.28</v>
      </c>
      <c r="Q2419" s="28" t="n">
        <v>800</v>
      </c>
      <c r="R2419" s="28"/>
      <c r="S2419" s="28" t="n">
        <f aca="false">R2419*$M2419</f>
        <v>0</v>
      </c>
      <c r="T2419" s="28" t="n">
        <f aca="false">2084/100</f>
        <v>20.84</v>
      </c>
      <c r="U2419" s="36" t="n">
        <v>246</v>
      </c>
      <c r="V2419" s="28"/>
      <c r="W2419" s="28" t="n">
        <f aca="false">V2419*$M2419</f>
        <v>0</v>
      </c>
      <c r="X2419" s="28"/>
      <c r="Y2419" s="28" t="n">
        <f aca="false">X2419*$M2419</f>
        <v>0</v>
      </c>
      <c r="Z2419" s="28"/>
      <c r="AA2419" s="28" t="n">
        <f aca="false">Z2419*$M2419</f>
        <v>0</v>
      </c>
      <c r="AB2419" s="28"/>
      <c r="AC2419" s="28" t="n">
        <f aca="false">AB2419*$M2419</f>
        <v>0</v>
      </c>
      <c r="AD2419" s="28"/>
      <c r="AE2419" s="28" t="n">
        <f aca="false">AD2419*$M2419</f>
        <v>0</v>
      </c>
      <c r="AF2419" s="28" t="n">
        <f aca="false">6709/100</f>
        <v>67.09</v>
      </c>
      <c r="AG2419" s="28" t="n">
        <v>470</v>
      </c>
      <c r="AH2419" s="28"/>
      <c r="AI2419" s="28" t="n">
        <f aca="false">AH2419*$M2419</f>
        <v>0</v>
      </c>
      <c r="AJ2419" s="28"/>
      <c r="AK2419" s="28" t="n">
        <f aca="false">AJ2419*$M2419</f>
        <v>0</v>
      </c>
      <c r="AL2419" s="28"/>
      <c r="AM2419" s="28" t="n">
        <f aca="false">AL2419*$M2419</f>
        <v>0</v>
      </c>
      <c r="AN2419" s="28"/>
      <c r="AO2419" s="28" t="n">
        <f aca="false">AN2419*$M2419</f>
        <v>0</v>
      </c>
      <c r="AP2419" s="28"/>
      <c r="AQ2419" s="28" t="n">
        <f aca="false">AP2419*$M2419</f>
        <v>0</v>
      </c>
      <c r="AR2419" s="28"/>
      <c r="AS2419" s="28" t="n">
        <f aca="false">AR2419*$M2419</f>
        <v>0</v>
      </c>
      <c r="AT2419" s="28"/>
      <c r="AU2419" s="28" t="n">
        <f aca="false">AT2419*$M2419</f>
        <v>0</v>
      </c>
      <c r="AV2419" s="28"/>
      <c r="AW2419" s="28" t="n">
        <f aca="false">AV2419*$M2419</f>
        <v>0</v>
      </c>
      <c r="AX2419" s="28"/>
      <c r="AY2419" s="28" t="n">
        <f aca="false">AX2419*$M2419</f>
        <v>0</v>
      </c>
      <c r="AZ2419" s="30" t="n">
        <f aca="false">20221/100</f>
        <v>202.21</v>
      </c>
      <c r="BA2419" s="11" t="n">
        <v>1516</v>
      </c>
      <c r="BB2419" s="31" t="n">
        <f aca="false">SUM(Q2419,S2419,U2419,W2419,Y2419,AA2419,AC2419,AE2419,AG2419,AI2419,AK2419,AM2419,AO2419,AQ2419,AS2419,AU2419,AW2419,AY2419)</f>
        <v>1516</v>
      </c>
      <c r="BC2419" s="28" t="n">
        <f aca="false">BA2419-BB2419</f>
        <v>0</v>
      </c>
      <c r="BD2419" s="32" t="n">
        <f aca="false">SUM(P2419,R2419,T2419,V2419,X2419,Z2419,AB2419,AD2419,AF2419,AH2419,AJ2419,AL2419,AN2419,AP2419,AR2419,AT2419,AV2419,AX2419)</f>
        <v>202.21</v>
      </c>
      <c r="BE2419" s="33" t="n">
        <f aca="false">AZ2419-BD2419</f>
        <v>0</v>
      </c>
      <c r="BF2419" s="34" t="n">
        <f aca="false">BD2419*M2419</f>
        <v>1415.47</v>
      </c>
      <c r="BG2419" s="35" t="n">
        <f aca="false">BA2419-BF2419</f>
        <v>100.53</v>
      </c>
      <c r="BH2419" s="19" t="str">
        <f aca="false">IF(BG2419=0,"",IF(BG2419&lt;&gt;BA2419,"erreur de calcul",IF(BD2419&lt;&gt;0,"pas de prix",IF(M2419&lt;&gt; 0,"pas de quantité","pas de prix, ni de quantité"))))</f>
        <v>erreur de calcul</v>
      </c>
      <c r="BI2419" s="19"/>
    </row>
    <row r="2420" customFormat="false" ht="15" hidden="false" customHeight="false" outlineLevel="0" collapsed="false">
      <c r="A2420" s="0" t="n">
        <v>24</v>
      </c>
      <c r="B2420" s="8" t="s">
        <v>24</v>
      </c>
      <c r="C2420" s="9" t="s">
        <v>25</v>
      </c>
      <c r="D2420" s="9" t="s">
        <v>26</v>
      </c>
      <c r="E2420" s="10" t="n">
        <v>1789</v>
      </c>
      <c r="F2420" s="9" t="s">
        <v>27</v>
      </c>
      <c r="G2420" s="9" t="s">
        <v>27</v>
      </c>
      <c r="H2420" s="11" t="n">
        <v>26</v>
      </c>
      <c r="I2420" s="11" t="s">
        <v>395</v>
      </c>
      <c r="J2420" s="14" t="n">
        <v>40</v>
      </c>
      <c r="K2420" s="14"/>
      <c r="L2420" s="16"/>
      <c r="M2420" s="27" t="n">
        <f aca="false">J2420+(K2420/20)+(L2420/240)</f>
        <v>40</v>
      </c>
      <c r="N2420" s="17" t="s">
        <v>66</v>
      </c>
      <c r="O2420" s="11"/>
      <c r="P2420" s="28"/>
      <c r="Q2420" s="28" t="n">
        <f aca="false">P2420*$M2420</f>
        <v>0</v>
      </c>
      <c r="R2420" s="28"/>
      <c r="S2420" s="28" t="n">
        <f aca="false">R2420*$M2420</f>
        <v>0</v>
      </c>
      <c r="T2420" s="28" t="n">
        <v>2339</v>
      </c>
      <c r="U2420" s="28" t="n">
        <v>93560</v>
      </c>
      <c r="V2420" s="28" t="n">
        <v>38</v>
      </c>
      <c r="W2420" s="28" t="n">
        <v>1520</v>
      </c>
      <c r="X2420" s="28"/>
      <c r="Y2420" s="28" t="n">
        <f aca="false">X2420*$M2420</f>
        <v>0</v>
      </c>
      <c r="Z2420" s="28"/>
      <c r="AA2420" s="28" t="n">
        <f aca="false">Z2420*$M2420</f>
        <v>0</v>
      </c>
      <c r="AB2420" s="28"/>
      <c r="AC2420" s="28" t="n">
        <f aca="false">AB2420*$M2420</f>
        <v>0</v>
      </c>
      <c r="AD2420" s="28"/>
      <c r="AE2420" s="28" t="n">
        <f aca="false">AD2420*$M2420</f>
        <v>0</v>
      </c>
      <c r="AF2420" s="28"/>
      <c r="AG2420" s="28" t="n">
        <f aca="false">AF2420*$M2420</f>
        <v>0</v>
      </c>
      <c r="AH2420" s="28"/>
      <c r="AI2420" s="28" t="n">
        <f aca="false">AH2420*$M2420</f>
        <v>0</v>
      </c>
      <c r="AJ2420" s="28"/>
      <c r="AK2420" s="28" t="n">
        <f aca="false">AJ2420*$M2420</f>
        <v>0</v>
      </c>
      <c r="AL2420" s="28"/>
      <c r="AM2420" s="28" t="n">
        <f aca="false">AL2420*$M2420</f>
        <v>0</v>
      </c>
      <c r="AN2420" s="28"/>
      <c r="AO2420" s="28" t="n">
        <f aca="false">AN2420*$M2420</f>
        <v>0</v>
      </c>
      <c r="AP2420" s="28"/>
      <c r="AQ2420" s="28" t="n">
        <f aca="false">AP2420*$M2420</f>
        <v>0</v>
      </c>
      <c r="AR2420" s="28"/>
      <c r="AS2420" s="28" t="n">
        <f aca="false">AR2420*$M2420</f>
        <v>0</v>
      </c>
      <c r="AT2420" s="28"/>
      <c r="AU2420" s="28" t="n">
        <f aca="false">AT2420*$M2420</f>
        <v>0</v>
      </c>
      <c r="AV2420" s="28"/>
      <c r="AW2420" s="28" t="n">
        <f aca="false">AV2420*$M2420</f>
        <v>0</v>
      </c>
      <c r="AX2420" s="28"/>
      <c r="AY2420" s="28" t="n">
        <f aca="false">AX2420*$M2420</f>
        <v>0</v>
      </c>
      <c r="AZ2420" s="30" t="n">
        <v>2377</v>
      </c>
      <c r="BA2420" s="11" t="n">
        <v>95080</v>
      </c>
      <c r="BB2420" s="31" t="n">
        <f aca="false">SUM(Q2420,S2420,U2420,W2420,Y2420,AA2420,AC2420,AE2420,AG2420,AI2420,AK2420,AM2420,AO2420,AQ2420,AS2420,AU2420,AW2420,AY2420)</f>
        <v>95080</v>
      </c>
      <c r="BC2420" s="28" t="n">
        <f aca="false">BA2420-BB2420</f>
        <v>0</v>
      </c>
      <c r="BD2420" s="32" t="n">
        <f aca="false">SUM(P2420,R2420,T2420,V2420,X2420,Z2420,AB2420,AD2420,AF2420,AH2420,AJ2420,AL2420,AN2420,AP2420,AR2420,AT2420,AV2420,AX2420)</f>
        <v>2377</v>
      </c>
      <c r="BE2420" s="33" t="n">
        <f aca="false">AZ2420-BD2420</f>
        <v>0</v>
      </c>
      <c r="BF2420" s="34" t="n">
        <f aca="false">BD2420*M2420</f>
        <v>95080</v>
      </c>
      <c r="BG2420" s="35" t="n">
        <f aca="false">BA2420-BF2420</f>
        <v>0</v>
      </c>
      <c r="BH2420" s="19" t="str">
        <f aca="false">IF(BG2420=0,"",IF(BG2420&lt;&gt;BA2420,"erreur de calcul",IF(BD2420&lt;&gt;0,"pas de prix",IF(M2420&lt;&gt; 0,"pas de quantité","pas de prix, ni de quantité"))))</f>
        <v/>
      </c>
      <c r="BI2420" s="19"/>
    </row>
    <row r="2421" customFormat="false" ht="15" hidden="false" customHeight="false" outlineLevel="0" collapsed="false">
      <c r="A2421" s="0" t="n">
        <v>25</v>
      </c>
      <c r="B2421" s="8" t="s">
        <v>24</v>
      </c>
      <c r="C2421" s="9" t="s">
        <v>25</v>
      </c>
      <c r="D2421" s="9" t="s">
        <v>26</v>
      </c>
      <c r="E2421" s="10" t="n">
        <v>1789</v>
      </c>
      <c r="F2421" s="9" t="s">
        <v>27</v>
      </c>
      <c r="G2421" s="9" t="s">
        <v>27</v>
      </c>
      <c r="H2421" s="11" t="n">
        <v>26</v>
      </c>
      <c r="I2421" s="11" t="s">
        <v>396</v>
      </c>
      <c r="J2421" s="14" t="n">
        <v>2</v>
      </c>
      <c r="K2421" s="14" t="n">
        <v>10</v>
      </c>
      <c r="L2421" s="16"/>
      <c r="M2421" s="27" t="n">
        <f aca="false">J2421+(K2421/20)+(L2421/240)</f>
        <v>2.5</v>
      </c>
      <c r="N2421" s="17" t="s">
        <v>66</v>
      </c>
      <c r="O2421" s="11"/>
      <c r="P2421" s="28"/>
      <c r="Q2421" s="28" t="n">
        <f aca="false">P2421*$M2421</f>
        <v>0</v>
      </c>
      <c r="R2421" s="28"/>
      <c r="S2421" s="28" t="n">
        <f aca="false">R2421*$M2421</f>
        <v>0</v>
      </c>
      <c r="T2421" s="28"/>
      <c r="U2421" s="28" t="n">
        <f aca="false">T2421*$M2421</f>
        <v>0</v>
      </c>
      <c r="V2421" s="28"/>
      <c r="W2421" s="28" t="n">
        <f aca="false">V2421*$M2421</f>
        <v>0</v>
      </c>
      <c r="X2421" s="28"/>
      <c r="Y2421" s="28" t="n">
        <f aca="false">X2421*$M2421</f>
        <v>0</v>
      </c>
      <c r="Z2421" s="28"/>
      <c r="AA2421" s="28" t="n">
        <f aca="false">Z2421*$M2421</f>
        <v>0</v>
      </c>
      <c r="AB2421" s="28"/>
      <c r="AC2421" s="28" t="n">
        <f aca="false">AB2421*$M2421</f>
        <v>0</v>
      </c>
      <c r="AD2421" s="28"/>
      <c r="AE2421" s="28" t="n">
        <f aca="false">AD2421*$M2421</f>
        <v>0</v>
      </c>
      <c r="AF2421" s="28"/>
      <c r="AG2421" s="28" t="n">
        <f aca="false">AF2421*$M2421</f>
        <v>0</v>
      </c>
      <c r="AH2421" s="28"/>
      <c r="AI2421" s="28" t="n">
        <f aca="false">AH2421*$M2421</f>
        <v>0</v>
      </c>
      <c r="AJ2421" s="28" t="n">
        <v>7127</v>
      </c>
      <c r="AK2421" s="28" t="n">
        <v>17817</v>
      </c>
      <c r="AL2421" s="28"/>
      <c r="AM2421" s="28" t="n">
        <f aca="false">AL2421*$M2421</f>
        <v>0</v>
      </c>
      <c r="AN2421" s="28"/>
      <c r="AO2421" s="28" t="n">
        <f aca="false">AN2421*$M2421</f>
        <v>0</v>
      </c>
      <c r="AP2421" s="28"/>
      <c r="AQ2421" s="28" t="n">
        <f aca="false">AP2421*$M2421</f>
        <v>0</v>
      </c>
      <c r="AR2421" s="28"/>
      <c r="AS2421" s="28" t="n">
        <f aca="false">AR2421*$M2421</f>
        <v>0</v>
      </c>
      <c r="AT2421" s="28"/>
      <c r="AU2421" s="28" t="n">
        <f aca="false">AT2421*$M2421</f>
        <v>0</v>
      </c>
      <c r="AV2421" s="28"/>
      <c r="AW2421" s="28" t="n">
        <f aca="false">AV2421*$M2421</f>
        <v>0</v>
      </c>
      <c r="AX2421" s="28"/>
      <c r="AY2421" s="28" t="n">
        <f aca="false">AX2421*$M2421</f>
        <v>0</v>
      </c>
      <c r="AZ2421" s="30" t="n">
        <v>7127</v>
      </c>
      <c r="BA2421" s="11" t="n">
        <v>17817</v>
      </c>
      <c r="BB2421" s="31" t="n">
        <f aca="false">SUM(Q2421,S2421,U2421,W2421,Y2421,AA2421,AC2421,AE2421,AG2421,AI2421,AK2421,AM2421,AO2421,AQ2421,AS2421,AU2421,AW2421,AY2421)</f>
        <v>17817</v>
      </c>
      <c r="BC2421" s="28" t="n">
        <f aca="false">BA2421-BB2421</f>
        <v>0</v>
      </c>
      <c r="BD2421" s="32" t="n">
        <f aca="false">SUM(P2421,R2421,T2421,V2421,X2421,Z2421,AB2421,AD2421,AF2421,AH2421,AJ2421,AL2421,AN2421,AP2421,AR2421,AT2421,AV2421,AX2421)</f>
        <v>7127</v>
      </c>
      <c r="BE2421" s="33" t="n">
        <f aca="false">AZ2421-BD2421</f>
        <v>0</v>
      </c>
      <c r="BF2421" s="34" t="n">
        <f aca="false">BD2421*M2421</f>
        <v>17817.5</v>
      </c>
      <c r="BG2421" s="35" t="n">
        <f aca="false">BA2421-BF2421</f>
        <v>-0.5</v>
      </c>
      <c r="BH2421" s="19" t="str">
        <f aca="false">IF(BG2421=0,"",IF(BG2421&lt;&gt;BA2421,"erreur de calcul",IF(BD2421&lt;&gt;0,"pas de prix",IF(M2421&lt;&gt; 0,"pas de quantité","pas de prix, ni de quantité"))))</f>
        <v>erreur de calcul</v>
      </c>
      <c r="BI2421" s="19"/>
    </row>
    <row r="2422" customFormat="false" ht="15" hidden="false" customHeight="false" outlineLevel="0" collapsed="false">
      <c r="A2422" s="0" t="n">
        <v>26</v>
      </c>
      <c r="B2422" s="8" t="s">
        <v>24</v>
      </c>
      <c r="C2422" s="9" t="s">
        <v>25</v>
      </c>
      <c r="D2422" s="9" t="s">
        <v>26</v>
      </c>
      <c r="E2422" s="10" t="n">
        <v>1789</v>
      </c>
      <c r="F2422" s="9" t="s">
        <v>27</v>
      </c>
      <c r="G2422" s="9" t="s">
        <v>27</v>
      </c>
      <c r="H2422" s="11" t="n">
        <v>26</v>
      </c>
      <c r="I2422" s="11" t="s">
        <v>397</v>
      </c>
      <c r="J2422" s="14" t="n">
        <v>6</v>
      </c>
      <c r="K2422" s="14" t="n">
        <v>10</v>
      </c>
      <c r="L2422" s="16"/>
      <c r="M2422" s="27" t="n">
        <f aca="false">J2422+(K2422/20)+(L2422/240)</f>
        <v>6.5</v>
      </c>
      <c r="N2422" s="17" t="s">
        <v>64</v>
      </c>
      <c r="O2422" s="11"/>
      <c r="P2422" s="28"/>
      <c r="Q2422" s="28" t="n">
        <f aca="false">P2422*$M2422</f>
        <v>0</v>
      </c>
      <c r="R2422" s="28"/>
      <c r="S2422" s="28" t="n">
        <f aca="false">R2422*$M2422</f>
        <v>0</v>
      </c>
      <c r="T2422" s="28"/>
      <c r="U2422" s="28" t="n">
        <f aca="false">T2422*$M2422</f>
        <v>0</v>
      </c>
      <c r="V2422" s="28"/>
      <c r="W2422" s="28" t="n">
        <f aca="false">V2422*$M2422</f>
        <v>0</v>
      </c>
      <c r="X2422" s="28" t="n">
        <f aca="false">22000/100</f>
        <v>220</v>
      </c>
      <c r="Y2422" s="28" t="n">
        <v>1430</v>
      </c>
      <c r="Z2422" s="28"/>
      <c r="AA2422" s="28" t="n">
        <f aca="false">Z2422*$M2422</f>
        <v>0</v>
      </c>
      <c r="AB2422" s="28" t="n">
        <f aca="false">3575715/100</f>
        <v>35757.15</v>
      </c>
      <c r="AC2422" s="36" t="n">
        <v>214543</v>
      </c>
      <c r="AD2422" s="28"/>
      <c r="AE2422" s="28" t="n">
        <f aca="false">AD2422*$M2422</f>
        <v>0</v>
      </c>
      <c r="AF2422" s="28"/>
      <c r="AG2422" s="28" t="n">
        <f aca="false">AF2422*$M2422</f>
        <v>0</v>
      </c>
      <c r="AH2422" s="28"/>
      <c r="AI2422" s="28" t="n">
        <f aca="false">AH2422*$M2422</f>
        <v>0</v>
      </c>
      <c r="AJ2422" s="28"/>
      <c r="AK2422" s="28" t="n">
        <f aca="false">AJ2422*$M2422</f>
        <v>0</v>
      </c>
      <c r="AL2422" s="28"/>
      <c r="AM2422" s="28" t="n">
        <f aca="false">AL2422*$M2422</f>
        <v>0</v>
      </c>
      <c r="AN2422" s="28"/>
      <c r="AO2422" s="28" t="n">
        <f aca="false">AN2422*$M2422</f>
        <v>0</v>
      </c>
      <c r="AP2422" s="28"/>
      <c r="AQ2422" s="28" t="n">
        <f aca="false">AP2422*$M2422</f>
        <v>0</v>
      </c>
      <c r="AR2422" s="28"/>
      <c r="AS2422" s="28" t="n">
        <f aca="false">AR2422*$M2422</f>
        <v>0</v>
      </c>
      <c r="AT2422" s="28"/>
      <c r="AU2422" s="28" t="n">
        <f aca="false">AT2422*$M2422</f>
        <v>0</v>
      </c>
      <c r="AV2422" s="28"/>
      <c r="AW2422" s="28" t="n">
        <f aca="false">AV2422*$M2422</f>
        <v>0</v>
      </c>
      <c r="AX2422" s="28"/>
      <c r="AY2422" s="28" t="n">
        <f aca="false">AX2422*$M2422</f>
        <v>0</v>
      </c>
      <c r="AZ2422" s="30" t="n">
        <f aca="false">3597715/100</f>
        <v>35977.15</v>
      </c>
      <c r="BA2422" s="11" t="n">
        <v>215973</v>
      </c>
      <c r="BB2422" s="31" t="n">
        <f aca="false">SUM(Q2422,S2422,U2422,W2422,Y2422,AA2422,AC2422,AE2422,AG2422,AI2422,AK2422,AM2422,AO2422,AQ2422,AS2422,AU2422,AW2422,AY2422)</f>
        <v>215973</v>
      </c>
      <c r="BC2422" s="28" t="n">
        <f aca="false">BA2422-BB2422</f>
        <v>0</v>
      </c>
      <c r="BD2422" s="32" t="n">
        <f aca="false">SUM(P2422,R2422,T2422,V2422,X2422,Z2422,AB2422,AD2422,AF2422,AH2422,AJ2422,AL2422,AN2422,AP2422,AR2422,AT2422,AV2422,AX2422)</f>
        <v>35977.15</v>
      </c>
      <c r="BE2422" s="33" t="n">
        <f aca="false">AZ2422-BD2422</f>
        <v>0</v>
      </c>
      <c r="BF2422" s="34" t="n">
        <f aca="false">BD2422*M2422</f>
        <v>233851.475</v>
      </c>
      <c r="BG2422" s="35" t="n">
        <f aca="false">BA2422-BF2422</f>
        <v>-17878.475</v>
      </c>
      <c r="BH2422" s="19" t="str">
        <f aca="false">IF(BG2422=0,"",IF(BG2422&lt;&gt;BA2422,"erreur de calcul",IF(BD2422&lt;&gt;0,"pas de prix",IF(M2422&lt;&gt; 0,"pas de quantité","pas de prix, ni de quantité"))))</f>
        <v>erreur de calcul</v>
      </c>
      <c r="BI2422" s="19"/>
    </row>
    <row r="2423" customFormat="false" ht="15" hidden="false" customHeight="false" outlineLevel="0" collapsed="false">
      <c r="A2423" s="0" t="n">
        <v>27</v>
      </c>
      <c r="B2423" s="8" t="s">
        <v>24</v>
      </c>
      <c r="C2423" s="9" t="s">
        <v>25</v>
      </c>
      <c r="D2423" s="9" t="s">
        <v>26</v>
      </c>
      <c r="E2423" s="10" t="n">
        <v>1789</v>
      </c>
      <c r="F2423" s="9" t="s">
        <v>27</v>
      </c>
      <c r="G2423" s="9" t="s">
        <v>27</v>
      </c>
      <c r="H2423" s="11" t="n">
        <v>26</v>
      </c>
      <c r="I2423" s="11" t="s">
        <v>398</v>
      </c>
      <c r="J2423" s="14" t="n">
        <v>11</v>
      </c>
      <c r="K2423" s="14"/>
      <c r="L2423" s="16"/>
      <c r="M2423" s="27" t="n">
        <f aca="false">J2423+(K2423/20)+(L2423/240)</f>
        <v>11</v>
      </c>
      <c r="N2423" s="17" t="s">
        <v>64</v>
      </c>
      <c r="O2423" s="11"/>
      <c r="P2423" s="28" t="n">
        <f aca="false">166667/100</f>
        <v>1666.67</v>
      </c>
      <c r="Q2423" s="28" t="n">
        <v>18333</v>
      </c>
      <c r="R2423" s="28"/>
      <c r="S2423" s="28" t="n">
        <f aca="false">R2423*$M2423</f>
        <v>0</v>
      </c>
      <c r="T2423" s="28"/>
      <c r="U2423" s="28" t="n">
        <f aca="false">T2423*$M2423</f>
        <v>0</v>
      </c>
      <c r="V2423" s="28"/>
      <c r="W2423" s="28" t="n">
        <f aca="false">V2423*$M2423</f>
        <v>0</v>
      </c>
      <c r="X2423" s="28"/>
      <c r="Y2423" s="28" t="n">
        <f aca="false">X2423*$M2423</f>
        <v>0</v>
      </c>
      <c r="Z2423" s="28"/>
      <c r="AA2423" s="28" t="n">
        <f aca="false">Z2423*$M2423</f>
        <v>0</v>
      </c>
      <c r="AB2423" s="28" t="n">
        <f aca="false">3312/100</f>
        <v>33.12</v>
      </c>
      <c r="AC2423" s="28" t="n">
        <v>364</v>
      </c>
      <c r="AD2423" s="28"/>
      <c r="AE2423" s="28" t="n">
        <f aca="false">AD2423*$M2423</f>
        <v>0</v>
      </c>
      <c r="AF2423" s="28"/>
      <c r="AG2423" s="28" t="n">
        <f aca="false">AF2423*$M2423</f>
        <v>0</v>
      </c>
      <c r="AH2423" s="28"/>
      <c r="AI2423" s="28" t="n">
        <f aca="false">AH2423*$M2423</f>
        <v>0</v>
      </c>
      <c r="AJ2423" s="28"/>
      <c r="AK2423" s="28" t="n">
        <f aca="false">AJ2423*$M2423</f>
        <v>0</v>
      </c>
      <c r="AL2423" s="28"/>
      <c r="AM2423" s="28" t="n">
        <f aca="false">AL2423*$M2423</f>
        <v>0</v>
      </c>
      <c r="AN2423" s="28"/>
      <c r="AO2423" s="28" t="n">
        <f aca="false">AN2423*$M2423</f>
        <v>0</v>
      </c>
      <c r="AP2423" s="28"/>
      <c r="AQ2423" s="28" t="n">
        <f aca="false">AP2423*$M2423</f>
        <v>0</v>
      </c>
      <c r="AR2423" s="28"/>
      <c r="AS2423" s="28" t="n">
        <f aca="false">AR2423*$M2423</f>
        <v>0</v>
      </c>
      <c r="AT2423" s="28"/>
      <c r="AU2423" s="28" t="n">
        <f aca="false">AT2423*$M2423</f>
        <v>0</v>
      </c>
      <c r="AV2423" s="28"/>
      <c r="AW2423" s="28" t="n">
        <f aca="false">AV2423*$M2423</f>
        <v>0</v>
      </c>
      <c r="AX2423" s="28"/>
      <c r="AY2423" s="28" t="n">
        <f aca="false">AX2423*$M2423</f>
        <v>0</v>
      </c>
      <c r="AZ2423" s="30" t="n">
        <f aca="false">169979/100</f>
        <v>1699.79</v>
      </c>
      <c r="BA2423" s="11" t="n">
        <v>18697</v>
      </c>
      <c r="BB2423" s="31" t="n">
        <f aca="false">SUM(Q2423,S2423,U2423,W2423,Y2423,AA2423,AC2423,AE2423,AG2423,AI2423,AK2423,AM2423,AO2423,AQ2423,AS2423,AU2423,AW2423,AY2423)</f>
        <v>18697</v>
      </c>
      <c r="BC2423" s="28" t="n">
        <f aca="false">BA2423-BB2423</f>
        <v>0</v>
      </c>
      <c r="BD2423" s="32" t="n">
        <f aca="false">SUM(P2423,R2423,T2423,V2423,X2423,Z2423,AB2423,AD2423,AF2423,AH2423,AJ2423,AL2423,AN2423,AP2423,AR2423,AT2423,AV2423,AX2423)</f>
        <v>1699.79</v>
      </c>
      <c r="BE2423" s="33" t="n">
        <f aca="false">AZ2423-BD2423</f>
        <v>0</v>
      </c>
      <c r="BF2423" s="34" t="n">
        <f aca="false">BD2423*M2423</f>
        <v>18697.69</v>
      </c>
      <c r="BG2423" s="35" t="n">
        <f aca="false">BA2423-BF2423</f>
        <v>-0.68999999999869</v>
      </c>
      <c r="BH2423" s="19" t="str">
        <f aca="false">IF(BG2423=0,"",IF(BG2423&lt;&gt;BA2423,"erreur de calcul",IF(BD2423&lt;&gt;0,"pas de prix",IF(M2423&lt;&gt; 0,"pas de quantité","pas de prix, ni de quantité"))))</f>
        <v>erreur de calcul</v>
      </c>
      <c r="BI2423" s="19"/>
    </row>
    <row r="2424" customFormat="false" ht="15" hidden="false" customHeight="false" outlineLevel="0" collapsed="false">
      <c r="A2424" s="0" t="n">
        <v>28</v>
      </c>
      <c r="B2424" s="8" t="s">
        <v>24</v>
      </c>
      <c r="C2424" s="9" t="s">
        <v>25</v>
      </c>
      <c r="D2424" s="9" t="s">
        <v>26</v>
      </c>
      <c r="E2424" s="10" t="n">
        <v>1789</v>
      </c>
      <c r="F2424" s="9" t="s">
        <v>27</v>
      </c>
      <c r="G2424" s="9" t="s">
        <v>27</v>
      </c>
      <c r="H2424" s="11" t="n">
        <v>26</v>
      </c>
      <c r="I2424" s="11" t="s">
        <v>399</v>
      </c>
      <c r="J2424" s="14" t="n">
        <v>18</v>
      </c>
      <c r="K2424" s="14"/>
      <c r="L2424" s="16"/>
      <c r="M2424" s="27" t="n">
        <f aca="false">J2424+(K2424/20)+(L2424/240)</f>
        <v>18</v>
      </c>
      <c r="N2424" s="17" t="s">
        <v>66</v>
      </c>
      <c r="O2424" s="11"/>
      <c r="P2424" s="28"/>
      <c r="Q2424" s="28" t="n">
        <f aca="false">P2424*$M2424</f>
        <v>0</v>
      </c>
      <c r="R2424" s="28"/>
      <c r="S2424" s="28" t="n">
        <f aca="false">R2424*$M2424</f>
        <v>0</v>
      </c>
      <c r="T2424" s="28"/>
      <c r="U2424" s="28" t="n">
        <f aca="false">T2424*$M2424</f>
        <v>0</v>
      </c>
      <c r="V2424" s="28"/>
      <c r="W2424" s="28" t="n">
        <f aca="false">V2424*$M2424</f>
        <v>0</v>
      </c>
      <c r="X2424" s="28"/>
      <c r="Y2424" s="28" t="n">
        <f aca="false">X2424*$M2424</f>
        <v>0</v>
      </c>
      <c r="Z2424" s="28"/>
      <c r="AA2424" s="28" t="n">
        <f aca="false">Z2424*$M2424</f>
        <v>0</v>
      </c>
      <c r="AB2424" s="28"/>
      <c r="AC2424" s="28" t="n">
        <f aca="false">AB2424*$M2424</f>
        <v>0</v>
      </c>
      <c r="AD2424" s="28"/>
      <c r="AE2424" s="28" t="n">
        <f aca="false">AD2424*$M2424</f>
        <v>0</v>
      </c>
      <c r="AF2424" s="28"/>
      <c r="AG2424" s="28" t="n">
        <f aca="false">AF2424*$M2424</f>
        <v>0</v>
      </c>
      <c r="AH2424" s="28" t="n">
        <v>72036</v>
      </c>
      <c r="AI2424" s="28" t="n">
        <v>1296648</v>
      </c>
      <c r="AJ2424" s="28"/>
      <c r="AK2424" s="28" t="n">
        <f aca="false">AJ2424*$M2424</f>
        <v>0</v>
      </c>
      <c r="AL2424" s="28"/>
      <c r="AM2424" s="28" t="n">
        <f aca="false">AL2424*$M2424</f>
        <v>0</v>
      </c>
      <c r="AN2424" s="28"/>
      <c r="AO2424" s="28" t="n">
        <f aca="false">AN2424*$M2424</f>
        <v>0</v>
      </c>
      <c r="AP2424" s="28"/>
      <c r="AQ2424" s="28" t="n">
        <f aca="false">AP2424*$M2424</f>
        <v>0</v>
      </c>
      <c r="AR2424" s="28"/>
      <c r="AS2424" s="28" t="n">
        <f aca="false">AR2424*$M2424</f>
        <v>0</v>
      </c>
      <c r="AT2424" s="28"/>
      <c r="AU2424" s="28" t="n">
        <f aca="false">AT2424*$M2424</f>
        <v>0</v>
      </c>
      <c r="AV2424" s="28"/>
      <c r="AW2424" s="28" t="n">
        <f aca="false">AV2424*$M2424</f>
        <v>0</v>
      </c>
      <c r="AX2424" s="28"/>
      <c r="AY2424" s="28" t="n">
        <f aca="false">AX2424*$M2424</f>
        <v>0</v>
      </c>
      <c r="AZ2424" s="30" t="n">
        <v>72036</v>
      </c>
      <c r="BA2424" s="11" t="n">
        <v>1296648</v>
      </c>
      <c r="BB2424" s="31" t="n">
        <f aca="false">SUM(Q2424,S2424,U2424,W2424,Y2424,AA2424,AC2424,AE2424,AG2424,AI2424,AK2424,AM2424,AO2424,AQ2424,AS2424,AU2424,AW2424,AY2424)</f>
        <v>1296648</v>
      </c>
      <c r="BC2424" s="28" t="n">
        <f aca="false">BA2424-BB2424</f>
        <v>0</v>
      </c>
      <c r="BD2424" s="32" t="n">
        <f aca="false">SUM(P2424,R2424,T2424,V2424,X2424,Z2424,AB2424,AD2424,AF2424,AH2424,AJ2424,AL2424,AN2424,AP2424,AR2424,AT2424,AV2424,AX2424)</f>
        <v>72036</v>
      </c>
      <c r="BE2424" s="33" t="n">
        <f aca="false">AZ2424-BD2424</f>
        <v>0</v>
      </c>
      <c r="BF2424" s="34" t="n">
        <f aca="false">BD2424*M2424</f>
        <v>1296648</v>
      </c>
      <c r="BG2424" s="35" t="n">
        <f aca="false">BA2424-BF2424</f>
        <v>0</v>
      </c>
      <c r="BH2424" s="19" t="str">
        <f aca="false">IF(BG2424=0,"",IF(BG2424&lt;&gt;BA2424,"erreur de calcul",IF(BD2424&lt;&gt;0,"pas de prix",IF(M2424&lt;&gt; 0,"pas de quantité","pas de prix, ni de quantité"))))</f>
        <v/>
      </c>
      <c r="BI2424" s="19"/>
    </row>
    <row r="2425" customFormat="false" ht="15" hidden="false" customHeight="false" outlineLevel="0" collapsed="false">
      <c r="A2425" s="0" t="n">
        <v>29</v>
      </c>
      <c r="B2425" s="8" t="s">
        <v>24</v>
      </c>
      <c r="C2425" s="9" t="s">
        <v>25</v>
      </c>
      <c r="D2425" s="9" t="s">
        <v>26</v>
      </c>
      <c r="E2425" s="10" t="n">
        <v>1789</v>
      </c>
      <c r="F2425" s="9" t="s">
        <v>27</v>
      </c>
      <c r="G2425" s="9" t="s">
        <v>27</v>
      </c>
      <c r="H2425" s="11" t="n">
        <v>26</v>
      </c>
      <c r="I2425" s="11" t="s">
        <v>400</v>
      </c>
      <c r="J2425" s="14" t="n">
        <v>19</v>
      </c>
      <c r="K2425" s="14"/>
      <c r="L2425" s="16"/>
      <c r="M2425" s="27" t="n">
        <f aca="false">J2425+(K2425/20)+(L2425/240)</f>
        <v>19</v>
      </c>
      <c r="N2425" s="17" t="s">
        <v>66</v>
      </c>
      <c r="O2425" s="11"/>
      <c r="P2425" s="28"/>
      <c r="Q2425" s="28" t="n">
        <f aca="false">P2425*$M2425</f>
        <v>0</v>
      </c>
      <c r="R2425" s="28"/>
      <c r="S2425" s="28" t="n">
        <f aca="false">R2425*$M2425</f>
        <v>0</v>
      </c>
      <c r="T2425" s="28"/>
      <c r="U2425" s="28" t="n">
        <f aca="false">T2425*$M2425</f>
        <v>0</v>
      </c>
      <c r="V2425" s="28"/>
      <c r="W2425" s="28" t="n">
        <f aca="false">V2425*$M2425</f>
        <v>0</v>
      </c>
      <c r="X2425" s="28"/>
      <c r="Y2425" s="28" t="n">
        <f aca="false">X2425*$M2425</f>
        <v>0</v>
      </c>
      <c r="Z2425" s="28"/>
      <c r="AA2425" s="28" t="n">
        <f aca="false">Z2425*$M2425</f>
        <v>0</v>
      </c>
      <c r="AB2425" s="28" t="n">
        <v>1176</v>
      </c>
      <c r="AC2425" s="28" t="n">
        <v>22344</v>
      </c>
      <c r="AD2425" s="28"/>
      <c r="AE2425" s="28" t="n">
        <f aca="false">AD2425*$M2425</f>
        <v>0</v>
      </c>
      <c r="AF2425" s="28"/>
      <c r="AG2425" s="28" t="n">
        <f aca="false">AF2425*$M2425</f>
        <v>0</v>
      </c>
      <c r="AH2425" s="28"/>
      <c r="AI2425" s="28" t="n">
        <f aca="false">AH2425*$M2425</f>
        <v>0</v>
      </c>
      <c r="AJ2425" s="28"/>
      <c r="AK2425" s="28" t="n">
        <f aca="false">AJ2425*$M2425</f>
        <v>0</v>
      </c>
      <c r="AL2425" s="28"/>
      <c r="AM2425" s="28" t="n">
        <f aca="false">AL2425*$M2425</f>
        <v>0</v>
      </c>
      <c r="AN2425" s="28"/>
      <c r="AO2425" s="28" t="n">
        <f aca="false">AN2425*$M2425</f>
        <v>0</v>
      </c>
      <c r="AP2425" s="28"/>
      <c r="AQ2425" s="28" t="n">
        <f aca="false">AP2425*$M2425</f>
        <v>0</v>
      </c>
      <c r="AR2425" s="28"/>
      <c r="AS2425" s="28" t="n">
        <f aca="false">AR2425*$M2425</f>
        <v>0</v>
      </c>
      <c r="AT2425" s="28"/>
      <c r="AU2425" s="28" t="n">
        <f aca="false">AT2425*$M2425</f>
        <v>0</v>
      </c>
      <c r="AV2425" s="28"/>
      <c r="AW2425" s="28" t="n">
        <f aca="false">AV2425*$M2425</f>
        <v>0</v>
      </c>
      <c r="AX2425" s="28"/>
      <c r="AY2425" s="28" t="n">
        <f aca="false">AX2425*$M2425</f>
        <v>0</v>
      </c>
      <c r="AZ2425" s="30" t="n">
        <v>1176</v>
      </c>
      <c r="BA2425" s="11" t="n">
        <v>22344</v>
      </c>
      <c r="BB2425" s="31" t="n">
        <f aca="false">SUM(Q2425,S2425,U2425,W2425,Y2425,AA2425,AC2425,AE2425,AG2425,AI2425,AK2425,AM2425,AO2425,AQ2425,AS2425,AU2425,AW2425,AY2425)</f>
        <v>22344</v>
      </c>
      <c r="BC2425" s="28" t="n">
        <f aca="false">BA2425-BB2425</f>
        <v>0</v>
      </c>
      <c r="BD2425" s="32" t="n">
        <f aca="false">SUM(P2425,R2425,T2425,V2425,X2425,Z2425,AB2425,AD2425,AF2425,AH2425,AJ2425,AL2425,AN2425,AP2425,AR2425,AT2425,AV2425,AX2425)</f>
        <v>1176</v>
      </c>
      <c r="BE2425" s="33" t="n">
        <f aca="false">AZ2425-BD2425</f>
        <v>0</v>
      </c>
      <c r="BF2425" s="34" t="n">
        <f aca="false">BD2425*M2425</f>
        <v>22344</v>
      </c>
      <c r="BG2425" s="35" t="n">
        <f aca="false">BA2425-BF2425</f>
        <v>0</v>
      </c>
      <c r="BH2425" s="19" t="str">
        <f aca="false">IF(BG2425=0,"",IF(BG2425&lt;&gt;BA2425,"erreur de calcul",IF(BD2425&lt;&gt;0,"pas de prix",IF(M2425&lt;&gt; 0,"pas de quantité","pas de prix, ni de quantité"))))</f>
        <v/>
      </c>
      <c r="BI2425" s="19"/>
    </row>
    <row r="2426" customFormat="false" ht="15" hidden="false" customHeight="false" outlineLevel="0" collapsed="false">
      <c r="A2426" s="0" t="n">
        <v>30</v>
      </c>
      <c r="B2426" s="8" t="s">
        <v>24</v>
      </c>
      <c r="C2426" s="9" t="s">
        <v>25</v>
      </c>
      <c r="D2426" s="9" t="s">
        <v>26</v>
      </c>
      <c r="E2426" s="10" t="n">
        <v>1789</v>
      </c>
      <c r="F2426" s="9" t="s">
        <v>27</v>
      </c>
      <c r="G2426" s="9" t="s">
        <v>27</v>
      </c>
      <c r="H2426" s="11" t="n">
        <v>26</v>
      </c>
      <c r="I2426" s="11" t="s">
        <v>401</v>
      </c>
      <c r="J2426" s="14" t="n">
        <v>20</v>
      </c>
      <c r="K2426" s="14"/>
      <c r="L2426" s="16"/>
      <c r="M2426" s="27" t="n">
        <f aca="false">J2426+(K2426/20)+(L2426/240)</f>
        <v>20</v>
      </c>
      <c r="N2426" s="17" t="s">
        <v>66</v>
      </c>
      <c r="O2426" s="11"/>
      <c r="P2426" s="28"/>
      <c r="Q2426" s="28" t="n">
        <f aca="false">P2426*$M2426</f>
        <v>0</v>
      </c>
      <c r="R2426" s="28"/>
      <c r="S2426" s="28" t="n">
        <f aca="false">R2426*$M2426</f>
        <v>0</v>
      </c>
      <c r="T2426" s="28" t="n">
        <v>7478</v>
      </c>
      <c r="U2426" s="28" t="n">
        <v>149560</v>
      </c>
      <c r="V2426" s="28" t="n">
        <v>3386</v>
      </c>
      <c r="W2426" s="36" t="n">
        <v>66720</v>
      </c>
      <c r="X2426" s="28" t="n">
        <v>2233</v>
      </c>
      <c r="Y2426" s="28" t="n">
        <v>44660</v>
      </c>
      <c r="Z2426" s="28" t="n">
        <v>867</v>
      </c>
      <c r="AA2426" s="28" t="n">
        <v>17340</v>
      </c>
      <c r="AB2426" s="28" t="n">
        <v>32380</v>
      </c>
      <c r="AC2426" s="28" t="n">
        <v>647600</v>
      </c>
      <c r="AD2426" s="28"/>
      <c r="AE2426" s="28" t="n">
        <f aca="false">AD2426*$M2426</f>
        <v>0</v>
      </c>
      <c r="AF2426" s="28"/>
      <c r="AG2426" s="28" t="n">
        <f aca="false">AF2426*$M2426</f>
        <v>0</v>
      </c>
      <c r="AH2426" s="28" t="n">
        <v>12038</v>
      </c>
      <c r="AI2426" s="28" t="n">
        <v>240760</v>
      </c>
      <c r="AJ2426" s="28"/>
      <c r="AK2426" s="28" t="n">
        <f aca="false">AJ2426*$M2426</f>
        <v>0</v>
      </c>
      <c r="AL2426" s="28"/>
      <c r="AM2426" s="28" t="n">
        <f aca="false">AL2426*$M2426</f>
        <v>0</v>
      </c>
      <c r="AN2426" s="28"/>
      <c r="AO2426" s="28" t="n">
        <f aca="false">AN2426*$M2426</f>
        <v>0</v>
      </c>
      <c r="AP2426" s="28"/>
      <c r="AQ2426" s="28" t="n">
        <f aca="false">AP2426*$M2426</f>
        <v>0</v>
      </c>
      <c r="AR2426" s="28"/>
      <c r="AS2426" s="28" t="n">
        <f aca="false">AR2426*$M2426</f>
        <v>0</v>
      </c>
      <c r="AT2426" s="28"/>
      <c r="AU2426" s="28" t="n">
        <f aca="false">AT2426*$M2426</f>
        <v>0</v>
      </c>
      <c r="AV2426" s="28"/>
      <c r="AW2426" s="28" t="n">
        <f aca="false">AV2426*$M2426</f>
        <v>0</v>
      </c>
      <c r="AX2426" s="28"/>
      <c r="AY2426" s="28" t="n">
        <f aca="false">AX2426*$M2426</f>
        <v>0</v>
      </c>
      <c r="AZ2426" s="30" t="n">
        <v>58382</v>
      </c>
      <c r="BA2426" s="11" t="n">
        <v>1166640</v>
      </c>
      <c r="BB2426" s="31" t="n">
        <f aca="false">SUM(Q2426,S2426,U2426,W2426,Y2426,AA2426,AC2426,AE2426,AG2426,AI2426,AK2426,AM2426,AO2426,AQ2426,AS2426,AU2426,AW2426,AY2426)</f>
        <v>1166640</v>
      </c>
      <c r="BC2426" s="28" t="n">
        <f aca="false">BA2426-BB2426</f>
        <v>0</v>
      </c>
      <c r="BD2426" s="32" t="n">
        <f aca="false">SUM(P2426,R2426,T2426,V2426,X2426,Z2426,AB2426,AD2426,AF2426,AH2426,AJ2426,AL2426,AN2426,AP2426,AR2426,AT2426,AV2426,AX2426)</f>
        <v>58382</v>
      </c>
      <c r="BE2426" s="33" t="n">
        <f aca="false">AZ2426-BD2426</f>
        <v>0</v>
      </c>
      <c r="BF2426" s="34" t="n">
        <f aca="false">BD2426*M2426</f>
        <v>1167640</v>
      </c>
      <c r="BG2426" s="35" t="n">
        <f aca="false">BA2426-BF2426</f>
        <v>-1000</v>
      </c>
      <c r="BH2426" s="19" t="str">
        <f aca="false">IF(BG2426=0,"",IF(BG2426&lt;&gt;BA2426,"erreur de calcul",IF(BD2426&lt;&gt;0,"pas de prix",IF(M2426&lt;&gt; 0,"pas de quantité","pas de prix, ni de quantité"))))</f>
        <v>erreur de calcul</v>
      </c>
      <c r="BI2426" s="19"/>
    </row>
    <row r="2427" customFormat="false" ht="15" hidden="false" customHeight="false" outlineLevel="0" collapsed="false">
      <c r="A2427" s="0" t="n">
        <v>31</v>
      </c>
      <c r="B2427" s="8" t="s">
        <v>24</v>
      </c>
      <c r="C2427" s="9" t="s">
        <v>25</v>
      </c>
      <c r="D2427" s="9" t="s">
        <v>26</v>
      </c>
      <c r="E2427" s="10" t="n">
        <v>1789</v>
      </c>
      <c r="F2427" s="9" t="s">
        <v>27</v>
      </c>
      <c r="G2427" s="9" t="s">
        <v>27</v>
      </c>
      <c r="H2427" s="11" t="n">
        <v>26</v>
      </c>
      <c r="I2427" s="11" t="s">
        <v>402</v>
      </c>
      <c r="J2427" s="14" t="n">
        <v>17</v>
      </c>
      <c r="K2427" s="14"/>
      <c r="L2427" s="16"/>
      <c r="M2427" s="27" t="n">
        <f aca="false">J2427+(K2427/20)+(L2427/240)</f>
        <v>17</v>
      </c>
      <c r="N2427" s="17" t="s">
        <v>66</v>
      </c>
      <c r="O2427" s="11"/>
      <c r="P2427" s="28"/>
      <c r="Q2427" s="28" t="n">
        <f aca="false">P2427*$M2427</f>
        <v>0</v>
      </c>
      <c r="R2427" s="28"/>
      <c r="S2427" s="28" t="n">
        <f aca="false">R2427*$M2427</f>
        <v>0</v>
      </c>
      <c r="T2427" s="28" t="n">
        <v>126481</v>
      </c>
      <c r="U2427" s="28" t="n">
        <v>2150177</v>
      </c>
      <c r="V2427" s="28"/>
      <c r="W2427" s="28" t="n">
        <f aca="false">V2427*$M2427</f>
        <v>0</v>
      </c>
      <c r="X2427" s="28"/>
      <c r="Y2427" s="28" t="n">
        <f aca="false">X2427*$M2427</f>
        <v>0</v>
      </c>
      <c r="Z2427" s="28"/>
      <c r="AA2427" s="28" t="n">
        <f aca="false">Z2427*$M2427</f>
        <v>0</v>
      </c>
      <c r="AB2427" s="28"/>
      <c r="AC2427" s="28" t="n">
        <f aca="false">AB2427*$M2427</f>
        <v>0</v>
      </c>
      <c r="AD2427" s="28"/>
      <c r="AE2427" s="28" t="n">
        <f aca="false">AD2427*$M2427</f>
        <v>0</v>
      </c>
      <c r="AF2427" s="28"/>
      <c r="AG2427" s="28" t="n">
        <f aca="false">AF2427*$M2427</f>
        <v>0</v>
      </c>
      <c r="AH2427" s="28"/>
      <c r="AI2427" s="28" t="n">
        <f aca="false">AH2427*$M2427</f>
        <v>0</v>
      </c>
      <c r="AJ2427" s="28"/>
      <c r="AK2427" s="28" t="n">
        <f aca="false">AJ2427*$M2427</f>
        <v>0</v>
      </c>
      <c r="AL2427" s="28"/>
      <c r="AM2427" s="28" t="n">
        <f aca="false">AL2427*$M2427</f>
        <v>0</v>
      </c>
      <c r="AN2427" s="28"/>
      <c r="AO2427" s="28" t="n">
        <f aca="false">AN2427*$M2427</f>
        <v>0</v>
      </c>
      <c r="AP2427" s="28"/>
      <c r="AQ2427" s="28" t="n">
        <f aca="false">AP2427*$M2427</f>
        <v>0</v>
      </c>
      <c r="AR2427" s="28"/>
      <c r="AS2427" s="28" t="n">
        <f aca="false">AR2427*$M2427</f>
        <v>0</v>
      </c>
      <c r="AT2427" s="28"/>
      <c r="AU2427" s="28" t="n">
        <f aca="false">AT2427*$M2427</f>
        <v>0</v>
      </c>
      <c r="AV2427" s="28"/>
      <c r="AW2427" s="28" t="n">
        <f aca="false">AV2427*$M2427</f>
        <v>0</v>
      </c>
      <c r="AX2427" s="28"/>
      <c r="AY2427" s="28" t="n">
        <f aca="false">AX2427*$M2427</f>
        <v>0</v>
      </c>
      <c r="AZ2427" s="30" t="n">
        <v>126481</v>
      </c>
      <c r="BA2427" s="11" t="n">
        <v>2150177</v>
      </c>
      <c r="BB2427" s="31" t="n">
        <f aca="false">SUM(Q2427,S2427,U2427,W2427,Y2427,AA2427,AC2427,AE2427,AG2427,AI2427,AK2427,AM2427,AO2427,AQ2427,AS2427,AU2427,AW2427,AY2427)</f>
        <v>2150177</v>
      </c>
      <c r="BC2427" s="28" t="n">
        <f aca="false">BA2427-BB2427</f>
        <v>0</v>
      </c>
      <c r="BD2427" s="32" t="n">
        <f aca="false">SUM(P2427,R2427,T2427,V2427,X2427,Z2427,AB2427,AD2427,AF2427,AH2427,AJ2427,AL2427,AN2427,AP2427,AR2427,AT2427,AV2427,AX2427)</f>
        <v>126481</v>
      </c>
      <c r="BE2427" s="33" t="n">
        <f aca="false">AZ2427-BD2427</f>
        <v>0</v>
      </c>
      <c r="BF2427" s="34" t="n">
        <f aca="false">BD2427*M2427</f>
        <v>2150177</v>
      </c>
      <c r="BG2427" s="35" t="n">
        <f aca="false">BA2427-BF2427</f>
        <v>0</v>
      </c>
      <c r="BH2427" s="19" t="str">
        <f aca="false">IF(BG2427=0,"",IF(BG2427&lt;&gt;BA2427,"erreur de calcul",IF(BD2427&lt;&gt;0,"pas de prix",IF(M2427&lt;&gt; 0,"pas de quantité","pas de prix, ni de quantité"))))</f>
        <v/>
      </c>
      <c r="BI2427" s="19"/>
    </row>
    <row r="2428" customFormat="false" ht="15" hidden="false" customHeight="false" outlineLevel="0" collapsed="false">
      <c r="A2428" s="0" t="n">
        <v>32</v>
      </c>
      <c r="B2428" s="8" t="s">
        <v>24</v>
      </c>
      <c r="C2428" s="9" t="s">
        <v>25</v>
      </c>
      <c r="D2428" s="9" t="s">
        <v>26</v>
      </c>
      <c r="E2428" s="10" t="n">
        <v>1789</v>
      </c>
      <c r="F2428" s="9" t="s">
        <v>27</v>
      </c>
      <c r="G2428" s="9" t="s">
        <v>27</v>
      </c>
      <c r="H2428" s="11" t="n">
        <v>26</v>
      </c>
      <c r="I2428" s="11" t="s">
        <v>403</v>
      </c>
      <c r="J2428" s="14" t="n">
        <v>28</v>
      </c>
      <c r="K2428" s="14"/>
      <c r="L2428" s="16"/>
      <c r="M2428" s="27" t="n">
        <f aca="false">J2428+(K2428/20)+(L2428/240)</f>
        <v>28</v>
      </c>
      <c r="N2428" s="17" t="s">
        <v>66</v>
      </c>
      <c r="O2428" s="11"/>
      <c r="P2428" s="28"/>
      <c r="Q2428" s="28" t="n">
        <f aca="false">P2428*$M2428</f>
        <v>0</v>
      </c>
      <c r="R2428" s="28"/>
      <c r="S2428" s="28" t="n">
        <f aca="false">R2428*$M2428</f>
        <v>0</v>
      </c>
      <c r="T2428" s="28"/>
      <c r="U2428" s="28" t="n">
        <f aca="false">T2428*$M2428</f>
        <v>0</v>
      </c>
      <c r="V2428" s="28" t="n">
        <v>1923</v>
      </c>
      <c r="W2428" s="28" t="n">
        <v>53844</v>
      </c>
      <c r="X2428" s="28" t="n">
        <v>7280</v>
      </c>
      <c r="Y2428" s="36" t="n">
        <v>203860</v>
      </c>
      <c r="Z2428" s="28"/>
      <c r="AA2428" s="28" t="n">
        <f aca="false">Z2428*$M2428</f>
        <v>0</v>
      </c>
      <c r="AB2428" s="28" t="n">
        <v>128803</v>
      </c>
      <c r="AC2428" s="28" t="n">
        <v>3606484</v>
      </c>
      <c r="AD2428" s="28"/>
      <c r="AE2428" s="28" t="n">
        <f aca="false">AD2428*$M2428</f>
        <v>0</v>
      </c>
      <c r="AF2428" s="28"/>
      <c r="AG2428" s="28" t="n">
        <f aca="false">AF2428*$M2428</f>
        <v>0</v>
      </c>
      <c r="AH2428" s="28"/>
      <c r="AI2428" s="28" t="n">
        <f aca="false">AH2428*$M2428</f>
        <v>0</v>
      </c>
      <c r="AJ2428" s="28"/>
      <c r="AK2428" s="28" t="n">
        <f aca="false">AJ2428*$M2428</f>
        <v>0</v>
      </c>
      <c r="AL2428" s="28"/>
      <c r="AM2428" s="28" t="n">
        <f aca="false">AL2428*$M2428</f>
        <v>0</v>
      </c>
      <c r="AN2428" s="28"/>
      <c r="AO2428" s="28" t="n">
        <f aca="false">AN2428*$M2428</f>
        <v>0</v>
      </c>
      <c r="AP2428" s="28"/>
      <c r="AQ2428" s="28" t="n">
        <f aca="false">AP2428*$M2428</f>
        <v>0</v>
      </c>
      <c r="AR2428" s="28"/>
      <c r="AS2428" s="28" t="n">
        <f aca="false">AR2428*$M2428</f>
        <v>0</v>
      </c>
      <c r="AT2428" s="28"/>
      <c r="AU2428" s="28" t="n">
        <f aca="false">AT2428*$M2428</f>
        <v>0</v>
      </c>
      <c r="AV2428" s="28"/>
      <c r="AW2428" s="28" t="n">
        <f aca="false">AV2428*$M2428</f>
        <v>0</v>
      </c>
      <c r="AX2428" s="28"/>
      <c r="AY2428" s="28" t="n">
        <f aca="false">AX2428*$M2428</f>
        <v>0</v>
      </c>
      <c r="AZ2428" s="30" t="n">
        <v>138006</v>
      </c>
      <c r="BA2428" s="11" t="n">
        <v>3864188</v>
      </c>
      <c r="BB2428" s="31" t="n">
        <f aca="false">SUM(Q2428,S2428,U2428,W2428,Y2428,AA2428,AC2428,AE2428,AG2428,AI2428,AK2428,AM2428,AO2428,AQ2428,AS2428,AU2428,AW2428,AY2428)</f>
        <v>3864188</v>
      </c>
      <c r="BC2428" s="28" t="n">
        <f aca="false">BA2428-BB2428</f>
        <v>0</v>
      </c>
      <c r="BD2428" s="32" t="n">
        <f aca="false">SUM(P2428,R2428,T2428,V2428,X2428,Z2428,AB2428,AD2428,AF2428,AH2428,AJ2428,AL2428,AN2428,AP2428,AR2428,AT2428,AV2428,AX2428)</f>
        <v>138006</v>
      </c>
      <c r="BE2428" s="33" t="n">
        <f aca="false">AZ2428-BD2428</f>
        <v>0</v>
      </c>
      <c r="BF2428" s="34" t="n">
        <f aca="false">BD2428*M2428</f>
        <v>3864168</v>
      </c>
      <c r="BG2428" s="35" t="n">
        <f aca="false">BA2428-BF2428</f>
        <v>20</v>
      </c>
      <c r="BH2428" s="19" t="str">
        <f aca="false">IF(BG2428=0,"",IF(BG2428&lt;&gt;BA2428,"erreur de calcul",IF(BD2428&lt;&gt;0,"pas de prix",IF(M2428&lt;&gt; 0,"pas de quantité","pas de prix, ni de quantité"))))</f>
        <v>erreur de calcul</v>
      </c>
      <c r="BI2428" s="19"/>
    </row>
    <row r="2429" customFormat="false" ht="15" hidden="false" customHeight="false" outlineLevel="0" collapsed="false">
      <c r="A2429" s="0" t="n">
        <v>33</v>
      </c>
      <c r="B2429" s="8" t="s">
        <v>24</v>
      </c>
      <c r="C2429" s="9" t="s">
        <v>25</v>
      </c>
      <c r="D2429" s="9" t="s">
        <v>26</v>
      </c>
      <c r="E2429" s="10" t="n">
        <v>1789</v>
      </c>
      <c r="F2429" s="9" t="s">
        <v>27</v>
      </c>
      <c r="G2429" s="9" t="s">
        <v>27</v>
      </c>
      <c r="H2429" s="11" t="n">
        <v>26</v>
      </c>
      <c r="I2429" s="11" t="s">
        <v>404</v>
      </c>
      <c r="J2429" s="14"/>
      <c r="K2429" s="14" t="n">
        <v>30</v>
      </c>
      <c r="L2429" s="16"/>
      <c r="M2429" s="27" t="n">
        <f aca="false">J2429+(K2429/20)+(L2429/240)</f>
        <v>1.5</v>
      </c>
      <c r="N2429" s="17" t="s">
        <v>66</v>
      </c>
      <c r="O2429" s="11"/>
      <c r="P2429" s="28"/>
      <c r="Q2429" s="28" t="n">
        <f aca="false">P2429*$M2429</f>
        <v>0</v>
      </c>
      <c r="R2429" s="28"/>
      <c r="S2429" s="28" t="n">
        <f aca="false">R2429*$M2429</f>
        <v>0</v>
      </c>
      <c r="T2429" s="28" t="n">
        <v>11245</v>
      </c>
      <c r="U2429" s="28" t="n">
        <v>16867</v>
      </c>
      <c r="V2429" s="28"/>
      <c r="W2429" s="28" t="n">
        <f aca="false">V2429*$M2429</f>
        <v>0</v>
      </c>
      <c r="X2429" s="28"/>
      <c r="Y2429" s="28" t="n">
        <f aca="false">X2429*$M2429</f>
        <v>0</v>
      </c>
      <c r="Z2429" s="28"/>
      <c r="AA2429" s="28" t="n">
        <f aca="false">Z2429*$M2429</f>
        <v>0</v>
      </c>
      <c r="AB2429" s="28"/>
      <c r="AC2429" s="28" t="n">
        <f aca="false">AB2429*$M2429</f>
        <v>0</v>
      </c>
      <c r="AD2429" s="28"/>
      <c r="AE2429" s="28" t="n">
        <f aca="false">AD2429*$M2429</f>
        <v>0</v>
      </c>
      <c r="AF2429" s="28"/>
      <c r="AG2429" s="28" t="n">
        <f aca="false">AF2429*$M2429</f>
        <v>0</v>
      </c>
      <c r="AH2429" s="28"/>
      <c r="AI2429" s="28" t="n">
        <f aca="false">AH2429*$M2429</f>
        <v>0</v>
      </c>
      <c r="AJ2429" s="28"/>
      <c r="AK2429" s="28" t="n">
        <f aca="false">AJ2429*$M2429</f>
        <v>0</v>
      </c>
      <c r="AL2429" s="28"/>
      <c r="AM2429" s="28" t="n">
        <f aca="false">AL2429*$M2429</f>
        <v>0</v>
      </c>
      <c r="AN2429" s="28"/>
      <c r="AO2429" s="28" t="n">
        <f aca="false">AN2429*$M2429</f>
        <v>0</v>
      </c>
      <c r="AP2429" s="28"/>
      <c r="AQ2429" s="28" t="n">
        <f aca="false">AP2429*$M2429</f>
        <v>0</v>
      </c>
      <c r="AR2429" s="28"/>
      <c r="AS2429" s="28" t="n">
        <f aca="false">AR2429*$M2429</f>
        <v>0</v>
      </c>
      <c r="AT2429" s="28"/>
      <c r="AU2429" s="28" t="n">
        <f aca="false">AT2429*$M2429</f>
        <v>0</v>
      </c>
      <c r="AV2429" s="28"/>
      <c r="AW2429" s="28" t="n">
        <f aca="false">AV2429*$M2429</f>
        <v>0</v>
      </c>
      <c r="AX2429" s="28"/>
      <c r="AY2429" s="28" t="n">
        <f aca="false">AX2429*$M2429</f>
        <v>0</v>
      </c>
      <c r="AZ2429" s="30" t="n">
        <v>11245</v>
      </c>
      <c r="BA2429" s="11" t="n">
        <v>16867</v>
      </c>
      <c r="BB2429" s="31" t="n">
        <f aca="false">SUM(Q2429,S2429,U2429,W2429,Y2429,AA2429,AC2429,AE2429,AG2429,AI2429,AK2429,AM2429,AO2429,AQ2429,AS2429,AU2429,AW2429,AY2429)</f>
        <v>16867</v>
      </c>
      <c r="BC2429" s="28" t="n">
        <f aca="false">BA2429-BB2429</f>
        <v>0</v>
      </c>
      <c r="BD2429" s="32" t="n">
        <f aca="false">SUM(P2429,R2429,T2429,V2429,X2429,Z2429,AB2429,AD2429,AF2429,AH2429,AJ2429,AL2429,AN2429,AP2429,AR2429,AT2429,AV2429,AX2429)</f>
        <v>11245</v>
      </c>
      <c r="BE2429" s="33" t="n">
        <f aca="false">AZ2429-BD2429</f>
        <v>0</v>
      </c>
      <c r="BF2429" s="34" t="n">
        <f aca="false">BD2429*M2429</f>
        <v>16867.5</v>
      </c>
      <c r="BG2429" s="35" t="n">
        <f aca="false">BA2429-BF2429</f>
        <v>-0.5</v>
      </c>
      <c r="BH2429" s="19" t="str">
        <f aca="false">IF(BG2429=0,"",IF(BG2429&lt;&gt;BA2429,"erreur de calcul",IF(BD2429&lt;&gt;0,"pas de prix",IF(M2429&lt;&gt; 0,"pas de quantité","pas de prix, ni de quantité"))))</f>
        <v>erreur de calcul</v>
      </c>
      <c r="BI2429" s="19"/>
    </row>
    <row r="2430" customFormat="false" ht="15" hidden="false" customHeight="false" outlineLevel="0" collapsed="false">
      <c r="A2430" s="0" t="n">
        <v>34</v>
      </c>
      <c r="B2430" s="8" t="s">
        <v>24</v>
      </c>
      <c r="C2430" s="9" t="s">
        <v>25</v>
      </c>
      <c r="D2430" s="9" t="s">
        <v>26</v>
      </c>
      <c r="E2430" s="10" t="n">
        <v>1789</v>
      </c>
      <c r="F2430" s="9" t="s">
        <v>27</v>
      </c>
      <c r="G2430" s="9" t="s">
        <v>27</v>
      </c>
      <c r="H2430" s="11" t="n">
        <v>26</v>
      </c>
      <c r="I2430" s="11" t="s">
        <v>405</v>
      </c>
      <c r="J2430" s="14"/>
      <c r="K2430" s="14" t="n">
        <v>40</v>
      </c>
      <c r="L2430" s="16"/>
      <c r="M2430" s="27" t="n">
        <f aca="false">J2430+(K2430/20)+(L2430/240)</f>
        <v>2</v>
      </c>
      <c r="N2430" s="17" t="s">
        <v>66</v>
      </c>
      <c r="O2430" s="11"/>
      <c r="P2430" s="28"/>
      <c r="Q2430" s="28" t="n">
        <f aca="false">P2430*$M2430</f>
        <v>0</v>
      </c>
      <c r="R2430" s="28"/>
      <c r="S2430" s="28" t="n">
        <f aca="false">R2430*$M2430</f>
        <v>0</v>
      </c>
      <c r="T2430" s="28"/>
      <c r="U2430" s="28" t="n">
        <f aca="false">T2430*$M2430</f>
        <v>0</v>
      </c>
      <c r="V2430" s="28"/>
      <c r="W2430" s="28" t="n">
        <f aca="false">V2430*$M2430</f>
        <v>0</v>
      </c>
      <c r="X2430" s="28"/>
      <c r="Y2430" s="28" t="n">
        <f aca="false">X2430*$M2430</f>
        <v>0</v>
      </c>
      <c r="Z2430" s="28"/>
      <c r="AA2430" s="28" t="n">
        <f aca="false">Z2430*$M2430</f>
        <v>0</v>
      </c>
      <c r="AB2430" s="28"/>
      <c r="AC2430" s="28" t="n">
        <f aca="false">AB2430*$M2430</f>
        <v>0</v>
      </c>
      <c r="AD2430" s="28"/>
      <c r="AE2430" s="28" t="n">
        <f aca="false">AD2430*$M2430</f>
        <v>0</v>
      </c>
      <c r="AF2430" s="28"/>
      <c r="AG2430" s="28" t="n">
        <f aca="false">AF2430*$M2430</f>
        <v>0</v>
      </c>
      <c r="AH2430" s="28" t="n">
        <v>9380</v>
      </c>
      <c r="AI2430" s="28" t="n">
        <v>18760</v>
      </c>
      <c r="AJ2430" s="28"/>
      <c r="AK2430" s="28" t="n">
        <f aca="false">AJ2430*$M2430</f>
        <v>0</v>
      </c>
      <c r="AL2430" s="28"/>
      <c r="AM2430" s="28" t="n">
        <f aca="false">AL2430*$M2430</f>
        <v>0</v>
      </c>
      <c r="AN2430" s="28"/>
      <c r="AO2430" s="28" t="n">
        <f aca="false">AN2430*$M2430</f>
        <v>0</v>
      </c>
      <c r="AP2430" s="28"/>
      <c r="AQ2430" s="28" t="n">
        <f aca="false">AP2430*$M2430</f>
        <v>0</v>
      </c>
      <c r="AR2430" s="28"/>
      <c r="AS2430" s="28" t="n">
        <f aca="false">AR2430*$M2430</f>
        <v>0</v>
      </c>
      <c r="AT2430" s="28"/>
      <c r="AU2430" s="28" t="n">
        <f aca="false">AT2430*$M2430</f>
        <v>0</v>
      </c>
      <c r="AV2430" s="28"/>
      <c r="AW2430" s="28" t="n">
        <f aca="false">AV2430*$M2430</f>
        <v>0</v>
      </c>
      <c r="AX2430" s="28"/>
      <c r="AY2430" s="28" t="n">
        <f aca="false">AX2430*$M2430</f>
        <v>0</v>
      </c>
      <c r="AZ2430" s="30" t="n">
        <v>9380</v>
      </c>
      <c r="BA2430" s="11" t="n">
        <v>18760</v>
      </c>
      <c r="BB2430" s="31" t="n">
        <f aca="false">SUM(Q2430,S2430,U2430,W2430,Y2430,AA2430,AC2430,AE2430,AG2430,AI2430,AK2430,AM2430,AO2430,AQ2430,AS2430,AU2430,AW2430,AY2430)</f>
        <v>18760</v>
      </c>
      <c r="BC2430" s="28" t="n">
        <f aca="false">BA2430-BB2430</f>
        <v>0</v>
      </c>
      <c r="BD2430" s="32" t="n">
        <f aca="false">SUM(P2430,R2430,T2430,V2430,X2430,Z2430,AB2430,AD2430,AF2430,AH2430,AJ2430,AL2430,AN2430,AP2430,AR2430,AT2430,AV2430,AX2430)</f>
        <v>9380</v>
      </c>
      <c r="BE2430" s="33" t="n">
        <f aca="false">AZ2430-BD2430</f>
        <v>0</v>
      </c>
      <c r="BF2430" s="34" t="n">
        <f aca="false">BD2430*M2430</f>
        <v>18760</v>
      </c>
      <c r="BG2430" s="35" t="n">
        <f aca="false">BA2430-BF2430</f>
        <v>0</v>
      </c>
      <c r="BH2430" s="19" t="str">
        <f aca="false">IF(BG2430=0,"",IF(BG2430&lt;&gt;BA2430,"erreur de calcul",IF(BD2430&lt;&gt;0,"pas de prix",IF(M2430&lt;&gt; 0,"pas de quantité","pas de prix, ni de quantité"))))</f>
        <v/>
      </c>
      <c r="BI2430" s="19"/>
    </row>
    <row r="2431" customFormat="false" ht="15" hidden="false" customHeight="false" outlineLevel="0" collapsed="false">
      <c r="A2431" s="0" t="n">
        <v>35</v>
      </c>
      <c r="B2431" s="8" t="s">
        <v>24</v>
      </c>
      <c r="C2431" s="9" t="s">
        <v>25</v>
      </c>
      <c r="D2431" s="9" t="s">
        <v>26</v>
      </c>
      <c r="E2431" s="10" t="n">
        <v>1789</v>
      </c>
      <c r="F2431" s="9" t="s">
        <v>27</v>
      </c>
      <c r="G2431" s="9" t="s">
        <v>27</v>
      </c>
      <c r="H2431" s="11" t="n">
        <v>26</v>
      </c>
      <c r="I2431" s="11" t="s">
        <v>406</v>
      </c>
      <c r="J2431" s="14" t="n">
        <v>55</v>
      </c>
      <c r="K2431" s="14"/>
      <c r="L2431" s="16"/>
      <c r="M2431" s="27" t="n">
        <f aca="false">J2431+(K2431/20)+(L2431/240)</f>
        <v>55</v>
      </c>
      <c r="N2431" s="17" t="s">
        <v>64</v>
      </c>
      <c r="O2431" s="11"/>
      <c r="P2431" s="28" t="n">
        <f aca="false">634/100</f>
        <v>6.34</v>
      </c>
      <c r="Q2431" s="28" t="n">
        <v>349</v>
      </c>
      <c r="R2431" s="28"/>
      <c r="S2431" s="28" t="n">
        <f aca="false">R2431*$M2431</f>
        <v>0</v>
      </c>
      <c r="T2431" s="28" t="n">
        <f aca="false">2450/100</f>
        <v>24.5</v>
      </c>
      <c r="U2431" s="28" t="n">
        <v>1347</v>
      </c>
      <c r="V2431" s="28" t="n">
        <f aca="false">9685/100</f>
        <v>96.85</v>
      </c>
      <c r="W2431" s="28" t="n">
        <v>5327</v>
      </c>
      <c r="X2431" s="28"/>
      <c r="Y2431" s="28" t="n">
        <f aca="false">X2431*$M2431</f>
        <v>0</v>
      </c>
      <c r="Z2431" s="28"/>
      <c r="AA2431" s="28" t="n">
        <f aca="false">Z2431*$M2431</f>
        <v>0</v>
      </c>
      <c r="AB2431" s="28"/>
      <c r="AC2431" s="28" t="n">
        <f aca="false">AB2431*$M2431</f>
        <v>0</v>
      </c>
      <c r="AD2431" s="28"/>
      <c r="AE2431" s="28" t="n">
        <f aca="false">AD2431*$M2431</f>
        <v>0</v>
      </c>
      <c r="AF2431" s="28"/>
      <c r="AG2431" s="28" t="n">
        <f aca="false">AF2431*$M2431</f>
        <v>0</v>
      </c>
      <c r="AH2431" s="28"/>
      <c r="AI2431" s="28" t="n">
        <f aca="false">AH2431*$M2431</f>
        <v>0</v>
      </c>
      <c r="AJ2431" s="28"/>
      <c r="AK2431" s="28" t="n">
        <f aca="false">AJ2431*$M2431</f>
        <v>0</v>
      </c>
      <c r="AL2431" s="28"/>
      <c r="AM2431" s="28" t="n">
        <f aca="false">AL2431*$M2431</f>
        <v>0</v>
      </c>
      <c r="AN2431" s="28"/>
      <c r="AO2431" s="28" t="n">
        <f aca="false">AN2431*$M2431</f>
        <v>0</v>
      </c>
      <c r="AP2431" s="28"/>
      <c r="AQ2431" s="28" t="n">
        <f aca="false">AP2431*$M2431</f>
        <v>0</v>
      </c>
      <c r="AR2431" s="28"/>
      <c r="AS2431" s="28" t="n">
        <f aca="false">AR2431*$M2431</f>
        <v>0</v>
      </c>
      <c r="AT2431" s="28"/>
      <c r="AU2431" s="28" t="n">
        <f aca="false">AT2431*$M2431</f>
        <v>0</v>
      </c>
      <c r="AV2431" s="28"/>
      <c r="AW2431" s="28" t="n">
        <f aca="false">AV2431*$M2431</f>
        <v>0</v>
      </c>
      <c r="AX2431" s="28"/>
      <c r="AY2431" s="28" t="n">
        <f aca="false">AX2431*$M2431</f>
        <v>0</v>
      </c>
      <c r="AZ2431" s="30" t="n">
        <f aca="false">12769/100</f>
        <v>127.69</v>
      </c>
      <c r="BA2431" s="11" t="n">
        <v>7023</v>
      </c>
      <c r="BB2431" s="31" t="n">
        <f aca="false">SUM(Q2431,S2431,U2431,W2431,Y2431,AA2431,AC2431,AE2431,AG2431,AI2431,AK2431,AM2431,AO2431,AQ2431,AS2431,AU2431,AW2431,AY2431)</f>
        <v>7023</v>
      </c>
      <c r="BC2431" s="28" t="n">
        <f aca="false">BA2431-BB2431</f>
        <v>0</v>
      </c>
      <c r="BD2431" s="32" t="n">
        <f aca="false">SUM(P2431,R2431,T2431,V2431,X2431,Z2431,AB2431,AD2431,AF2431,AH2431,AJ2431,AL2431,AN2431,AP2431,AR2431,AT2431,AV2431,AX2431)</f>
        <v>127.69</v>
      </c>
      <c r="BE2431" s="33" t="n">
        <f aca="false">AZ2431-BD2431</f>
        <v>0</v>
      </c>
      <c r="BF2431" s="34" t="n">
        <f aca="false">BD2431*M2431</f>
        <v>7022.95</v>
      </c>
      <c r="BG2431" s="35" t="n">
        <f aca="false">BA2431-BF2431</f>
        <v>0.0500000000001819</v>
      </c>
      <c r="BH2431" s="19" t="str">
        <f aca="false">IF(BG2431=0,"",IF(BG2431&lt;&gt;BA2431,"erreur de calcul",IF(BD2431&lt;&gt;0,"pas de prix",IF(M2431&lt;&gt; 0,"pas de quantité","pas de prix, ni de quantité"))))</f>
        <v>erreur de calcul</v>
      </c>
      <c r="BI2431" s="19"/>
    </row>
    <row r="2432" customFormat="false" ht="15" hidden="false" customHeight="false" outlineLevel="0" collapsed="false">
      <c r="A2432" s="0" t="n">
        <v>36</v>
      </c>
      <c r="B2432" s="8" t="s">
        <v>24</v>
      </c>
      <c r="C2432" s="9" t="s">
        <v>25</v>
      </c>
      <c r="D2432" s="9" t="s">
        <v>26</v>
      </c>
      <c r="E2432" s="10" t="n">
        <v>1789</v>
      </c>
      <c r="F2432" s="9" t="s">
        <v>27</v>
      </c>
      <c r="G2432" s="9" t="s">
        <v>27</v>
      </c>
      <c r="H2432" s="11" t="n">
        <v>26</v>
      </c>
      <c r="I2432" s="11" t="s">
        <v>407</v>
      </c>
      <c r="J2432" s="14" t="n">
        <v>44</v>
      </c>
      <c r="K2432" s="14"/>
      <c r="L2432" s="16"/>
      <c r="M2432" s="27" t="n">
        <f aca="false">J2432+(K2432/20)+(L2432/240)</f>
        <v>44</v>
      </c>
      <c r="N2432" s="17" t="s">
        <v>64</v>
      </c>
      <c r="O2432" s="11" t="s">
        <v>77</v>
      </c>
      <c r="P2432" s="28" t="n">
        <f aca="false">68669/100</f>
        <v>686.69</v>
      </c>
      <c r="Q2432" s="28" t="n">
        <v>30214</v>
      </c>
      <c r="R2432" s="28"/>
      <c r="S2432" s="28" t="n">
        <f aca="false">R2432*$M2432</f>
        <v>0</v>
      </c>
      <c r="T2432" s="28" t="n">
        <f aca="false">7101/100</f>
        <v>71.01</v>
      </c>
      <c r="U2432" s="28" t="n">
        <v>3124</v>
      </c>
      <c r="V2432" s="28" t="n">
        <f aca="false">27549/100</f>
        <v>275.49</v>
      </c>
      <c r="W2432" s="28" t="n">
        <v>12121</v>
      </c>
      <c r="X2432" s="28" t="n">
        <f aca="false">947914/100</f>
        <v>9479.14</v>
      </c>
      <c r="Y2432" s="28" t="n">
        <v>417082</v>
      </c>
      <c r="Z2432" s="28" t="n">
        <f aca="false">183606/100</f>
        <v>1836.06</v>
      </c>
      <c r="AA2432" s="28" t="n">
        <v>80787</v>
      </c>
      <c r="AB2432" s="28" t="n">
        <f aca="false">36047/100</f>
        <v>360.47</v>
      </c>
      <c r="AC2432" s="28" t="n">
        <v>15861</v>
      </c>
      <c r="AD2432" s="28" t="n">
        <f aca="false">12322/100</f>
        <v>123.22</v>
      </c>
      <c r="AE2432" s="28" t="n">
        <v>5422</v>
      </c>
      <c r="AF2432" s="28"/>
      <c r="AG2432" s="28" t="n">
        <f aca="false">AF2432*$M2432</f>
        <v>0</v>
      </c>
      <c r="AH2432" s="28" t="n">
        <f aca="false">3318/100</f>
        <v>33.18</v>
      </c>
      <c r="AI2432" s="28" t="n">
        <v>1460</v>
      </c>
      <c r="AJ2432" s="28"/>
      <c r="AK2432" s="28" t="n">
        <f aca="false">AJ2432*$M2432</f>
        <v>0</v>
      </c>
      <c r="AL2432" s="28" t="n">
        <f aca="false">28260/100</f>
        <v>282.6</v>
      </c>
      <c r="AM2432" s="28" t="n">
        <v>12434</v>
      </c>
      <c r="AN2432" s="28"/>
      <c r="AO2432" s="28" t="n">
        <f aca="false">AN2432*$M2432</f>
        <v>0</v>
      </c>
      <c r="AP2432" s="28"/>
      <c r="AQ2432" s="28" t="n">
        <f aca="false">AP2432*$M2432</f>
        <v>0</v>
      </c>
      <c r="AR2432" s="28"/>
      <c r="AS2432" s="28" t="n">
        <f aca="false">AR2432*$M2432</f>
        <v>0</v>
      </c>
      <c r="AT2432" s="28"/>
      <c r="AU2432" s="28" t="n">
        <f aca="false">AT2432*$M2432</f>
        <v>0</v>
      </c>
      <c r="AV2432" s="28"/>
      <c r="AW2432" s="28" t="n">
        <f aca="false">AV2432*$M2432</f>
        <v>0</v>
      </c>
      <c r="AX2432" s="28"/>
      <c r="AY2432" s="28" t="n">
        <f aca="false">AX2432*$M2432</f>
        <v>0</v>
      </c>
      <c r="AZ2432" s="30" t="n">
        <f aca="false">1314786/100</f>
        <v>13147.86</v>
      </c>
      <c r="BA2432" s="11" t="n">
        <v>578505</v>
      </c>
      <c r="BB2432" s="31" t="n">
        <f aca="false">SUM(Q2432,S2432,U2432,W2432,Y2432,AA2432,AC2432,AE2432,AG2432,AI2432,AK2432,AM2432,AO2432,AQ2432,AS2432,AU2432,AW2432,AY2432)</f>
        <v>578505</v>
      </c>
      <c r="BC2432" s="28" t="n">
        <f aca="false">BA2432-BB2432</f>
        <v>0</v>
      </c>
      <c r="BD2432" s="32" t="n">
        <f aca="false">SUM(P2432,R2432,T2432,V2432,X2432,Z2432,AB2432,AD2432,AF2432,AH2432,AJ2432,AL2432,AN2432,AP2432,AR2432,AT2432,AV2432,AX2432)</f>
        <v>13147.86</v>
      </c>
      <c r="BE2432" s="33" t="n">
        <f aca="false">AZ2432-BD2432</f>
        <v>0</v>
      </c>
      <c r="BF2432" s="34" t="n">
        <f aca="false">BD2432*M2432</f>
        <v>578505.84</v>
      </c>
      <c r="BG2432" s="35" t="n">
        <f aca="false">BA2432-BF2432</f>
        <v>-0.839999999967404</v>
      </c>
      <c r="BH2432" s="19" t="str">
        <f aca="false">IF(BG2432=0,"",IF(BG2432&lt;&gt;BA2432,"erreur de calcul",IF(BD2432&lt;&gt;0,"pas de prix",IF(M2432&lt;&gt; 0,"pas de quantité","pas de prix, ni de quantité"))))</f>
        <v>erreur de calcul</v>
      </c>
      <c r="BI2432" s="19"/>
    </row>
    <row r="2433" customFormat="false" ht="15" hidden="false" customHeight="false" outlineLevel="0" collapsed="false">
      <c r="A2433" s="0" t="n">
        <v>37</v>
      </c>
      <c r="B2433" s="8" t="s">
        <v>24</v>
      </c>
      <c r="C2433" s="9" t="s">
        <v>25</v>
      </c>
      <c r="D2433" s="9" t="s">
        <v>26</v>
      </c>
      <c r="E2433" s="10" t="n">
        <v>1789</v>
      </c>
      <c r="F2433" s="9" t="s">
        <v>27</v>
      </c>
      <c r="G2433" s="9" t="s">
        <v>27</v>
      </c>
      <c r="H2433" s="11" t="n">
        <v>26</v>
      </c>
      <c r="I2433" s="11" t="s">
        <v>408</v>
      </c>
      <c r="J2433" s="14" t="n">
        <v>40</v>
      </c>
      <c r="K2433" s="14"/>
      <c r="L2433" s="16"/>
      <c r="M2433" s="27" t="n">
        <f aca="false">J2433+(K2433/20)+(L2433/240)</f>
        <v>40</v>
      </c>
      <c r="N2433" s="17" t="s">
        <v>64</v>
      </c>
      <c r="O2433" s="11"/>
      <c r="P2433" s="28"/>
      <c r="Q2433" s="28" t="n">
        <f aca="false">P2433*$M2433</f>
        <v>0</v>
      </c>
      <c r="R2433" s="28"/>
      <c r="S2433" s="28" t="n">
        <f aca="false">R2433*$M2433</f>
        <v>0</v>
      </c>
      <c r="T2433" s="28"/>
      <c r="U2433" s="28" t="n">
        <f aca="false">T2433*$M2433</f>
        <v>0</v>
      </c>
      <c r="V2433" s="28" t="n">
        <f aca="false">4827/100</f>
        <v>48.27</v>
      </c>
      <c r="W2433" s="28" t="n">
        <v>1931</v>
      </c>
      <c r="X2433" s="28"/>
      <c r="Y2433" s="28" t="n">
        <f aca="false">X2433*$M2433</f>
        <v>0</v>
      </c>
      <c r="Z2433" s="28"/>
      <c r="AA2433" s="28" t="n">
        <f aca="false">Z2433*$M2433</f>
        <v>0</v>
      </c>
      <c r="AB2433" s="28"/>
      <c r="AC2433" s="28" t="n">
        <f aca="false">AB2433*$M2433</f>
        <v>0</v>
      </c>
      <c r="AD2433" s="28"/>
      <c r="AE2433" s="28" t="n">
        <f aca="false">AD2433*$M2433</f>
        <v>0</v>
      </c>
      <c r="AF2433" s="28"/>
      <c r="AG2433" s="28" t="n">
        <f aca="false">AF2433*$M2433</f>
        <v>0</v>
      </c>
      <c r="AH2433" s="28"/>
      <c r="AI2433" s="28" t="n">
        <f aca="false">AH2433*$M2433</f>
        <v>0</v>
      </c>
      <c r="AJ2433" s="28"/>
      <c r="AK2433" s="28" t="n">
        <f aca="false">AJ2433*$M2433</f>
        <v>0</v>
      </c>
      <c r="AL2433" s="28"/>
      <c r="AM2433" s="28" t="n">
        <f aca="false">AL2433*$M2433</f>
        <v>0</v>
      </c>
      <c r="AN2433" s="28"/>
      <c r="AO2433" s="28" t="n">
        <f aca="false">AN2433*$M2433</f>
        <v>0</v>
      </c>
      <c r="AP2433" s="28"/>
      <c r="AQ2433" s="28" t="n">
        <f aca="false">AP2433*$M2433</f>
        <v>0</v>
      </c>
      <c r="AR2433" s="28"/>
      <c r="AS2433" s="28" t="n">
        <f aca="false">AR2433*$M2433</f>
        <v>0</v>
      </c>
      <c r="AT2433" s="28"/>
      <c r="AU2433" s="28" t="n">
        <f aca="false">AT2433*$M2433</f>
        <v>0</v>
      </c>
      <c r="AV2433" s="28"/>
      <c r="AW2433" s="28" t="n">
        <f aca="false">AV2433*$M2433</f>
        <v>0</v>
      </c>
      <c r="AX2433" s="28" t="n">
        <f aca="false">835109/100</f>
        <v>8351.09</v>
      </c>
      <c r="AY2433" s="28" t="n">
        <v>334044</v>
      </c>
      <c r="AZ2433" s="30" t="n">
        <f aca="false">839936/100</f>
        <v>8399.36</v>
      </c>
      <c r="BA2433" s="11" t="n">
        <v>335975</v>
      </c>
      <c r="BB2433" s="31" t="n">
        <f aca="false">SUM(Q2433,S2433,U2433,W2433,Y2433,AA2433,AC2433,AE2433,AG2433,AI2433,AK2433,AM2433,AO2433,AQ2433,AS2433,AU2433,AW2433,AY2433)</f>
        <v>335975</v>
      </c>
      <c r="BC2433" s="28" t="n">
        <f aca="false">BA2433-BB2433</f>
        <v>0</v>
      </c>
      <c r="BD2433" s="32" t="n">
        <f aca="false">SUM(P2433,R2433,T2433,V2433,X2433,Z2433,AB2433,AD2433,AF2433,AH2433,AJ2433,AL2433,AN2433,AP2433,AR2433,AT2433,AV2433,AX2433)</f>
        <v>8399.36</v>
      </c>
      <c r="BE2433" s="33" t="n">
        <f aca="false">AZ2433-BD2433</f>
        <v>0</v>
      </c>
      <c r="BF2433" s="34" t="n">
        <f aca="false">BD2433*M2433</f>
        <v>335974.4</v>
      </c>
      <c r="BG2433" s="35" t="n">
        <f aca="false">BA2433-BF2433</f>
        <v>0.599999999976717</v>
      </c>
      <c r="BH2433" s="19" t="str">
        <f aca="false">IF(BG2433=0,"",IF(BG2433&lt;&gt;BA2433,"erreur de calcul",IF(BD2433&lt;&gt;0,"pas de prix",IF(M2433&lt;&gt; 0,"pas de quantité","pas de prix, ni de quantité"))))</f>
        <v>erreur de calcul</v>
      </c>
      <c r="BI2433" s="19"/>
    </row>
    <row r="2434" customFormat="false" ht="16.65" hidden="false" customHeight="false" outlineLevel="0" collapsed="false">
      <c r="A2434" s="0" t="n">
        <v>38</v>
      </c>
      <c r="B2434" s="8" t="s">
        <v>24</v>
      </c>
      <c r="C2434" s="9" t="s">
        <v>25</v>
      </c>
      <c r="D2434" s="9" t="s">
        <v>26</v>
      </c>
      <c r="E2434" s="10" t="n">
        <v>1789</v>
      </c>
      <c r="F2434" s="9" t="s">
        <v>27</v>
      </c>
      <c r="G2434" s="9" t="s">
        <v>27</v>
      </c>
      <c r="H2434" s="11" t="n">
        <v>26</v>
      </c>
      <c r="I2434" s="11" t="s">
        <v>409</v>
      </c>
      <c r="J2434" s="14"/>
      <c r="K2434" s="14" t="n">
        <v>13</v>
      </c>
      <c r="L2434" s="16"/>
      <c r="M2434" s="27" t="n">
        <f aca="false">J2434+(K2434/20)+(L2434/240)</f>
        <v>0.65</v>
      </c>
      <c r="N2434" s="17" t="s">
        <v>64</v>
      </c>
      <c r="O2434" s="11"/>
      <c r="P2434" s="28"/>
      <c r="Q2434" s="28" t="n">
        <f aca="false">P2434*$M2434</f>
        <v>0</v>
      </c>
      <c r="R2434" s="28"/>
      <c r="S2434" s="28" t="n">
        <f aca="false">R2434*$M2434</f>
        <v>0</v>
      </c>
      <c r="T2434" s="28"/>
      <c r="U2434" s="28" t="n">
        <f aca="false">T2434*$M2434</f>
        <v>0</v>
      </c>
      <c r="V2434" s="28"/>
      <c r="W2434" s="28" t="n">
        <f aca="false">V2434*$M2434</f>
        <v>0</v>
      </c>
      <c r="X2434" s="28"/>
      <c r="Y2434" s="28" t="n">
        <f aca="false">X2434*$M2434</f>
        <v>0</v>
      </c>
      <c r="Z2434" s="28" t="n">
        <f aca="false">2471002/100</f>
        <v>24710.02</v>
      </c>
      <c r="AA2434" s="28" t="n">
        <v>16061</v>
      </c>
      <c r="AB2434" s="28"/>
      <c r="AC2434" s="28" t="n">
        <f aca="false">AB2434*$M2434</f>
        <v>0</v>
      </c>
      <c r="AD2434" s="28"/>
      <c r="AE2434" s="28" t="n">
        <f aca="false">AD2434*$M2434</f>
        <v>0</v>
      </c>
      <c r="AF2434" s="28"/>
      <c r="AG2434" s="28" t="n">
        <f aca="false">AF2434*$M2434</f>
        <v>0</v>
      </c>
      <c r="AH2434" s="28"/>
      <c r="AI2434" s="28" t="n">
        <f aca="false">AH2434*$M2434</f>
        <v>0</v>
      </c>
      <c r="AJ2434" s="28"/>
      <c r="AK2434" s="28" t="n">
        <f aca="false">AJ2434*$M2434</f>
        <v>0</v>
      </c>
      <c r="AL2434" s="28"/>
      <c r="AM2434" s="28" t="n">
        <f aca="false">AL2434*$M2434</f>
        <v>0</v>
      </c>
      <c r="AN2434" s="28"/>
      <c r="AO2434" s="28" t="n">
        <f aca="false">AN2434*$M2434</f>
        <v>0</v>
      </c>
      <c r="AP2434" s="28"/>
      <c r="AQ2434" s="28" t="n">
        <f aca="false">AP2434*$M2434</f>
        <v>0</v>
      </c>
      <c r="AR2434" s="28"/>
      <c r="AS2434" s="28" t="n">
        <f aca="false">AR2434*$M2434</f>
        <v>0</v>
      </c>
      <c r="AT2434" s="28"/>
      <c r="AU2434" s="28" t="n">
        <f aca="false">AT2434*$M2434</f>
        <v>0</v>
      </c>
      <c r="AV2434" s="28"/>
      <c r="AW2434" s="28" t="n">
        <f aca="false">AV2434*$M2434</f>
        <v>0</v>
      </c>
      <c r="AX2434" s="28"/>
      <c r="AY2434" s="28" t="n">
        <f aca="false">AX2434*$M2434</f>
        <v>0</v>
      </c>
      <c r="AZ2434" s="30" t="n">
        <f aca="false">2471002</f>
        <v>2471002</v>
      </c>
      <c r="BA2434" s="11" t="n">
        <v>16061</v>
      </c>
      <c r="BB2434" s="31" t="n">
        <f aca="false">SUM(Q2434,S2434,U2434,W2434,Y2434,AA2434,AC2434,AE2434,AG2434,AI2434,AK2434,AM2434,AO2434,AQ2434,AS2434,AU2434,AW2434,AY2434)</f>
        <v>16061</v>
      </c>
      <c r="BC2434" s="28" t="n">
        <f aca="false">BA2434-BB2434</f>
        <v>0</v>
      </c>
      <c r="BD2434" s="32" t="n">
        <f aca="false">SUM(P2434,R2434,T2434,V2434,X2434,Z2434,AB2434,AD2434,AF2434,AH2434,AJ2434,AL2434,AN2434,AP2434,AR2434,AT2434,AV2434,AX2434)</f>
        <v>24710.02</v>
      </c>
      <c r="BE2434" s="33" t="n">
        <f aca="false">AZ2434-BD2434</f>
        <v>2446291.98</v>
      </c>
      <c r="BF2434" s="34" t="n">
        <f aca="false">BD2434*M2434</f>
        <v>16061.513</v>
      </c>
      <c r="BG2434" s="35" t="n">
        <f aca="false">BA2434-BF2434</f>
        <v>-0.513000000000829</v>
      </c>
      <c r="BH2434" s="19" t="str">
        <f aca="false">IF(BG2434=0,"",IF(BG2434&lt;&gt;BA2434,"erreur de calcul",IF(BD2434&lt;&gt;0,"pas de prix",IF(M2434&lt;&gt; 0,"pas de quantité","pas de prix, ni de quantité"))))</f>
        <v>erreur de calcul</v>
      </c>
      <c r="BI2434" s="19"/>
    </row>
    <row r="2435" customFormat="false" ht="15" hidden="false" customHeight="false" outlineLevel="0" collapsed="false">
      <c r="A2435" s="0" t="n">
        <v>39</v>
      </c>
      <c r="B2435" s="8" t="s">
        <v>24</v>
      </c>
      <c r="C2435" s="9" t="s">
        <v>25</v>
      </c>
      <c r="D2435" s="9" t="s">
        <v>26</v>
      </c>
      <c r="E2435" s="10" t="n">
        <v>1789</v>
      </c>
      <c r="F2435" s="9" t="s">
        <v>27</v>
      </c>
      <c r="G2435" s="9" t="s">
        <v>27</v>
      </c>
      <c r="H2435" s="11" t="n">
        <v>26</v>
      </c>
      <c r="I2435" s="11" t="s">
        <v>410</v>
      </c>
      <c r="J2435" s="14" t="n">
        <v>10</v>
      </c>
      <c r="K2435" s="14"/>
      <c r="L2435" s="16"/>
      <c r="M2435" s="27" t="n">
        <f aca="false">J2435+(K2435/20)+(L2435/240)</f>
        <v>10</v>
      </c>
      <c r="N2435" s="17" t="s">
        <v>64</v>
      </c>
      <c r="O2435" s="11"/>
      <c r="P2435" s="28"/>
      <c r="Q2435" s="28" t="n">
        <f aca="false">P2435*$M2435</f>
        <v>0</v>
      </c>
      <c r="R2435" s="28"/>
      <c r="S2435" s="28" t="n">
        <f aca="false">R2435*$M2435</f>
        <v>0</v>
      </c>
      <c r="T2435" s="28"/>
      <c r="U2435" s="28" t="n">
        <f aca="false">T2435*$M2435</f>
        <v>0</v>
      </c>
      <c r="V2435" s="28"/>
      <c r="W2435" s="28" t="n">
        <f aca="false">V2435*$M2435</f>
        <v>0</v>
      </c>
      <c r="X2435" s="28" t="n">
        <f aca="false">2481/100</f>
        <v>24.81</v>
      </c>
      <c r="Y2435" s="28" t="n">
        <v>248</v>
      </c>
      <c r="Z2435" s="28"/>
      <c r="AA2435" s="28" t="n">
        <f aca="false">Z2435*$M2435</f>
        <v>0</v>
      </c>
      <c r="AB2435" s="28"/>
      <c r="AC2435" s="28" t="n">
        <f aca="false">AB2435*$M2435</f>
        <v>0</v>
      </c>
      <c r="AD2435" s="28"/>
      <c r="AE2435" s="28" t="n">
        <f aca="false">AD2435*$M2435</f>
        <v>0</v>
      </c>
      <c r="AF2435" s="28"/>
      <c r="AG2435" s="28" t="n">
        <f aca="false">AF2435*$M2435</f>
        <v>0</v>
      </c>
      <c r="AH2435" s="28"/>
      <c r="AI2435" s="28" t="n">
        <f aca="false">AH2435*$M2435</f>
        <v>0</v>
      </c>
      <c r="AJ2435" s="28"/>
      <c r="AK2435" s="28" t="n">
        <f aca="false">AJ2435*$M2435</f>
        <v>0</v>
      </c>
      <c r="AL2435" s="28"/>
      <c r="AM2435" s="28" t="n">
        <f aca="false">AL2435*$M2435</f>
        <v>0</v>
      </c>
      <c r="AN2435" s="28"/>
      <c r="AO2435" s="28" t="n">
        <f aca="false">AN2435*$M2435</f>
        <v>0</v>
      </c>
      <c r="AP2435" s="28"/>
      <c r="AQ2435" s="28" t="n">
        <f aca="false">AP2435*$M2435</f>
        <v>0</v>
      </c>
      <c r="AR2435" s="28"/>
      <c r="AS2435" s="28" t="n">
        <f aca="false">AR2435*$M2435</f>
        <v>0</v>
      </c>
      <c r="AT2435" s="28"/>
      <c r="AU2435" s="28" t="n">
        <f aca="false">AT2435*$M2435</f>
        <v>0</v>
      </c>
      <c r="AV2435" s="28"/>
      <c r="AW2435" s="28" t="n">
        <f aca="false">AV2435*$M2435</f>
        <v>0</v>
      </c>
      <c r="AX2435" s="28"/>
      <c r="AY2435" s="28" t="n">
        <f aca="false">AX2435*$M2435</f>
        <v>0</v>
      </c>
      <c r="AZ2435" s="30" t="n">
        <f aca="false">2481/100</f>
        <v>24.81</v>
      </c>
      <c r="BA2435" s="11" t="n">
        <v>248</v>
      </c>
      <c r="BB2435" s="31" t="n">
        <f aca="false">SUM(Q2435,S2435,U2435,W2435,Y2435,AA2435,AC2435,AE2435,AG2435,AI2435,AK2435,AM2435,AO2435,AQ2435,AS2435,AU2435,AW2435,AY2435)</f>
        <v>248</v>
      </c>
      <c r="BC2435" s="28" t="n">
        <f aca="false">BA2435-BB2435</f>
        <v>0</v>
      </c>
      <c r="BD2435" s="32" t="n">
        <f aca="false">SUM(P2435,R2435,T2435,V2435,X2435,Z2435,AB2435,AD2435,AF2435,AH2435,AJ2435,AL2435,AN2435,AP2435,AR2435,AT2435,AV2435,AX2435)</f>
        <v>24.81</v>
      </c>
      <c r="BE2435" s="33" t="n">
        <f aca="false">AZ2435-BD2435</f>
        <v>0</v>
      </c>
      <c r="BF2435" s="34" t="n">
        <f aca="false">BD2435*M2435</f>
        <v>248.1</v>
      </c>
      <c r="BG2435" s="35" t="n">
        <f aca="false">BA2435-BF2435</f>
        <v>-0.0999999999999943</v>
      </c>
      <c r="BH2435" s="19" t="str">
        <f aca="false">IF(BG2435=0,"",IF(BG2435&lt;&gt;BA2435,"erreur de calcul",IF(BD2435&lt;&gt;0,"pas de prix",IF(M2435&lt;&gt; 0,"pas de quantité","pas de prix, ni de quantité"))))</f>
        <v>erreur de calcul</v>
      </c>
      <c r="BI2435" s="19"/>
    </row>
    <row r="2436" customFormat="false" ht="15" hidden="false" customHeight="false" outlineLevel="0" collapsed="false">
      <c r="A2436" s="0" t="n">
        <v>40</v>
      </c>
      <c r="B2436" s="8" t="s">
        <v>24</v>
      </c>
      <c r="C2436" s="9" t="s">
        <v>25</v>
      </c>
      <c r="D2436" s="9" t="s">
        <v>26</v>
      </c>
      <c r="E2436" s="10" t="n">
        <v>1789</v>
      </c>
      <c r="F2436" s="9" t="s">
        <v>27</v>
      </c>
      <c r="G2436" s="9" t="s">
        <v>27</v>
      </c>
      <c r="H2436" s="11" t="n">
        <v>26</v>
      </c>
      <c r="I2436" s="11" t="s">
        <v>411</v>
      </c>
      <c r="J2436" s="14" t="n">
        <v>5</v>
      </c>
      <c r="K2436" s="14"/>
      <c r="L2436" s="16"/>
      <c r="M2436" s="27" t="n">
        <f aca="false">J2436+(K2436/20)+(L2436/240)</f>
        <v>5</v>
      </c>
      <c r="N2436" s="17" t="s">
        <v>66</v>
      </c>
      <c r="O2436" s="11" t="s">
        <v>98</v>
      </c>
      <c r="P2436" s="28"/>
      <c r="Q2436" s="28" t="n">
        <f aca="false">P2436*$M2436</f>
        <v>0</v>
      </c>
      <c r="R2436" s="28"/>
      <c r="S2436" s="28" t="n">
        <f aca="false">R2436*$M2436</f>
        <v>0</v>
      </c>
      <c r="T2436" s="28"/>
      <c r="U2436" s="28" t="n">
        <f aca="false">T2436*$M2436</f>
        <v>0</v>
      </c>
      <c r="V2436" s="28"/>
      <c r="W2436" s="28" t="n">
        <f aca="false">V2436*$M2436</f>
        <v>0</v>
      </c>
      <c r="X2436" s="28"/>
      <c r="Y2436" s="28" t="n">
        <f aca="false">X2436*$M2436</f>
        <v>0</v>
      </c>
      <c r="Z2436" s="28"/>
      <c r="AA2436" s="28" t="n">
        <f aca="false">Z2436*$M2436</f>
        <v>0</v>
      </c>
      <c r="AB2436" s="28"/>
      <c r="AC2436" s="28" t="n">
        <f aca="false">AB2436*$M2436</f>
        <v>0</v>
      </c>
      <c r="AD2436" s="28"/>
      <c r="AE2436" s="28" t="n">
        <f aca="false">AD2436*$M2436</f>
        <v>0</v>
      </c>
      <c r="AF2436" s="28" t="n">
        <v>22</v>
      </c>
      <c r="AG2436" s="28" t="n">
        <v>110</v>
      </c>
      <c r="AH2436" s="28" t="n">
        <v>2657</v>
      </c>
      <c r="AI2436" s="28" t="n">
        <v>13285</v>
      </c>
      <c r="AJ2436" s="28"/>
      <c r="AK2436" s="28" t="n">
        <f aca="false">AJ2436*$M2436</f>
        <v>0</v>
      </c>
      <c r="AL2436" s="28"/>
      <c r="AM2436" s="28" t="n">
        <f aca="false">AL2436*$M2436</f>
        <v>0</v>
      </c>
      <c r="AN2436" s="28"/>
      <c r="AO2436" s="28" t="n">
        <f aca="false">AN2436*$M2436</f>
        <v>0</v>
      </c>
      <c r="AP2436" s="28"/>
      <c r="AQ2436" s="28" t="n">
        <f aca="false">AP2436*$M2436</f>
        <v>0</v>
      </c>
      <c r="AR2436" s="28"/>
      <c r="AS2436" s="28" t="n">
        <f aca="false">AR2436*$M2436</f>
        <v>0</v>
      </c>
      <c r="AT2436" s="28"/>
      <c r="AU2436" s="28" t="n">
        <f aca="false">AT2436*$M2436</f>
        <v>0</v>
      </c>
      <c r="AV2436" s="28"/>
      <c r="AW2436" s="28" t="n">
        <f aca="false">AV2436*$M2436</f>
        <v>0</v>
      </c>
      <c r="AX2436" s="28"/>
      <c r="AY2436" s="28" t="n">
        <f aca="false">AX2436*$M2436</f>
        <v>0</v>
      </c>
      <c r="AZ2436" s="30" t="n">
        <v>2679</v>
      </c>
      <c r="BA2436" s="11" t="n">
        <v>13395</v>
      </c>
      <c r="BB2436" s="31" t="n">
        <f aca="false">SUM(Q2436,S2436,U2436,W2436,Y2436,AA2436,AC2436,AE2436,AG2436,AI2436,AK2436,AM2436,AO2436,AQ2436,AS2436,AU2436,AW2436,AY2436)</f>
        <v>13395</v>
      </c>
      <c r="BC2436" s="28" t="n">
        <f aca="false">BA2436-BB2436</f>
        <v>0</v>
      </c>
      <c r="BD2436" s="32" t="n">
        <f aca="false">SUM(P2436,R2436,T2436,V2436,X2436,Z2436,AB2436,AD2436,AF2436,AH2436,AJ2436,AL2436,AN2436,AP2436,AR2436,AT2436,AV2436,AX2436)</f>
        <v>2679</v>
      </c>
      <c r="BE2436" s="33" t="n">
        <f aca="false">AZ2436-BD2436</f>
        <v>0</v>
      </c>
      <c r="BF2436" s="34" t="n">
        <f aca="false">BD2436*M2436</f>
        <v>13395</v>
      </c>
      <c r="BG2436" s="35" t="n">
        <f aca="false">BA2436-BF2436</f>
        <v>0</v>
      </c>
      <c r="BH2436" s="19" t="str">
        <f aca="false">IF(BG2436=0,"",IF(BG2436&lt;&gt;BA2436,"erreur de calcul",IF(BD2436&lt;&gt;0,"pas de prix",IF(M2436&lt;&gt; 0,"pas de quantité","pas de prix, ni de quantité"))))</f>
        <v/>
      </c>
      <c r="BI2436" s="19"/>
    </row>
    <row r="2437" customFormat="false" ht="15" hidden="false" customHeight="false" outlineLevel="0" collapsed="false">
      <c r="A2437" s="0" t="n">
        <v>1</v>
      </c>
      <c r="B2437" s="8" t="s">
        <v>24</v>
      </c>
      <c r="C2437" s="9" t="s">
        <v>25</v>
      </c>
      <c r="D2437" s="9" t="s">
        <v>26</v>
      </c>
      <c r="E2437" s="10" t="n">
        <v>1789</v>
      </c>
      <c r="F2437" s="9" t="s">
        <v>27</v>
      </c>
      <c r="G2437" s="9" t="s">
        <v>27</v>
      </c>
      <c r="H2437" s="11" t="n">
        <v>27</v>
      </c>
      <c r="I2437" s="11" t="s">
        <v>412</v>
      </c>
      <c r="J2437" s="14" t="n">
        <v>7</v>
      </c>
      <c r="K2437" s="14" t="n">
        <v>10</v>
      </c>
      <c r="L2437" s="16"/>
      <c r="M2437" s="27" t="n">
        <f aca="false">J2437+(K2437/20)+(L2437/240)</f>
        <v>7.5</v>
      </c>
      <c r="N2437" s="17" t="s">
        <v>64</v>
      </c>
      <c r="O2437" s="11"/>
      <c r="P2437" s="28" t="n">
        <f aca="false">16667/100</f>
        <v>166.67</v>
      </c>
      <c r="Q2437" s="28" t="n">
        <v>1250</v>
      </c>
      <c r="R2437" s="28"/>
      <c r="S2437" s="28" t="n">
        <f aca="false">R2437*$M2437</f>
        <v>0</v>
      </c>
      <c r="T2437" s="28"/>
      <c r="U2437" s="28" t="n">
        <f aca="false">T2437*$M2437</f>
        <v>0</v>
      </c>
      <c r="V2437" s="28" t="n">
        <f aca="false">407887/100</f>
        <v>4078.87</v>
      </c>
      <c r="W2437" s="28" t="n">
        <v>30591</v>
      </c>
      <c r="X2437" s="28" t="n">
        <f aca="false">4444/100</f>
        <v>44.44</v>
      </c>
      <c r="Y2437" s="28" t="n">
        <v>333</v>
      </c>
      <c r="Z2437" s="28" t="n">
        <f aca="false">16084/100</f>
        <v>160.84</v>
      </c>
      <c r="AA2437" s="28" t="n">
        <v>1206</v>
      </c>
      <c r="AB2437" s="28" t="n">
        <f aca="false">20834/100</f>
        <v>208.34</v>
      </c>
      <c r="AC2437" s="28" t="n">
        <v>1562</v>
      </c>
      <c r="AD2437" s="28"/>
      <c r="AE2437" s="28" t="n">
        <f aca="false">AD2437*$M2437</f>
        <v>0</v>
      </c>
      <c r="AF2437" s="28"/>
      <c r="AG2437" s="28" t="n">
        <f aca="false">AF2437*$M2437</f>
        <v>0</v>
      </c>
      <c r="AH2437" s="28"/>
      <c r="AI2437" s="28" t="n">
        <f aca="false">AH2437*$M2437</f>
        <v>0</v>
      </c>
      <c r="AJ2437" s="28"/>
      <c r="AK2437" s="28" t="n">
        <f aca="false">AJ2437*$M2437</f>
        <v>0</v>
      </c>
      <c r="AL2437" s="28"/>
      <c r="AM2437" s="28" t="n">
        <f aca="false">AL2437*$M2437</f>
        <v>0</v>
      </c>
      <c r="AN2437" s="28"/>
      <c r="AO2437" s="28" t="n">
        <f aca="false">AN2437*$M2437</f>
        <v>0</v>
      </c>
      <c r="AP2437" s="28"/>
      <c r="AQ2437" s="28" t="n">
        <f aca="false">AP2437*$M2437</f>
        <v>0</v>
      </c>
      <c r="AR2437" s="28"/>
      <c r="AS2437" s="28" t="n">
        <f aca="false">AR2437*$M2437</f>
        <v>0</v>
      </c>
      <c r="AT2437" s="28"/>
      <c r="AU2437" s="28" t="n">
        <f aca="false">AT2437*$M2437</f>
        <v>0</v>
      </c>
      <c r="AV2437" s="28"/>
      <c r="AW2437" s="28" t="n">
        <f aca="false">AV2437*$M2437</f>
        <v>0</v>
      </c>
      <c r="AX2437" s="28"/>
      <c r="AY2437" s="28" t="n">
        <f aca="false">AX2437*$M2437</f>
        <v>0</v>
      </c>
      <c r="AZ2437" s="30" t="n">
        <f aca="false">465916/100</f>
        <v>4659.16</v>
      </c>
      <c r="BA2437" s="11" t="n">
        <v>34942</v>
      </c>
      <c r="BB2437" s="31" t="n">
        <f aca="false">SUM(Q2437,S2437,U2437,W2437,Y2437,AA2437,AC2437,AE2437,AG2437,AI2437,AK2437,AM2437,AO2437,AQ2437,AS2437,AU2437,AW2437,AY2437)</f>
        <v>34942</v>
      </c>
      <c r="BC2437" s="28" t="n">
        <f aca="false">BA2437-BB2437</f>
        <v>0</v>
      </c>
      <c r="BD2437" s="32" t="n">
        <f aca="false">SUM(P2437,R2437,T2437,V2437,X2437,Z2437,AB2437,AD2437,AF2437,AH2437,AJ2437,AL2437,AN2437,AP2437,AR2437,AT2437,AV2437,AX2437)</f>
        <v>4659.16</v>
      </c>
      <c r="BE2437" s="33" t="n">
        <f aca="false">AZ2437-BD2437</f>
        <v>0</v>
      </c>
      <c r="BF2437" s="34" t="n">
        <f aca="false">BD2437*M2437</f>
        <v>34943.7</v>
      </c>
      <c r="BG2437" s="35" t="n">
        <f aca="false">BA2437-BF2437</f>
        <v>-1.69999999999709</v>
      </c>
      <c r="BH2437" s="19" t="str">
        <f aca="false">IF(BG2437=0,"",IF(BG2437&lt;&gt;BA2437,"erreur de calcul",IF(BD2437&lt;&gt;0,"pas de prix",IF(M2437&lt;&gt; 0,"pas de quantité","pas de prix, ni de quantité"))))</f>
        <v>erreur de calcul</v>
      </c>
      <c r="BI2437" s="19"/>
    </row>
    <row r="2438" customFormat="false" ht="15" hidden="false" customHeight="false" outlineLevel="0" collapsed="false">
      <c r="A2438" s="0" t="n">
        <v>2</v>
      </c>
      <c r="B2438" s="8" t="s">
        <v>24</v>
      </c>
      <c r="C2438" s="9" t="s">
        <v>25</v>
      </c>
      <c r="D2438" s="9" t="s">
        <v>26</v>
      </c>
      <c r="E2438" s="10" t="n">
        <v>1789</v>
      </c>
      <c r="F2438" s="9" t="s">
        <v>27</v>
      </c>
      <c r="G2438" s="9" t="s">
        <v>27</v>
      </c>
      <c r="H2438" s="11" t="n">
        <v>27</v>
      </c>
      <c r="I2438" s="11" t="s">
        <v>413</v>
      </c>
      <c r="J2438" s="14" t="n">
        <v>3</v>
      </c>
      <c r="K2438" s="14"/>
      <c r="L2438" s="16"/>
      <c r="M2438" s="27" t="n">
        <f aca="false">J2438+(K2438/20)+(L2438/240)</f>
        <v>3</v>
      </c>
      <c r="N2438" s="17" t="s">
        <v>66</v>
      </c>
      <c r="O2438" s="11"/>
      <c r="P2438" s="28"/>
      <c r="Q2438" s="28" t="n">
        <f aca="false">P2438*$M2438</f>
        <v>0</v>
      </c>
      <c r="R2438" s="28"/>
      <c r="S2438" s="28" t="n">
        <f aca="false">R2438*$M2438</f>
        <v>0</v>
      </c>
      <c r="T2438" s="28"/>
      <c r="U2438" s="28" t="n">
        <f aca="false">T2438*$M2438</f>
        <v>0</v>
      </c>
      <c r="V2438" s="28"/>
      <c r="W2438" s="28" t="n">
        <f aca="false">V2438*$M2438</f>
        <v>0</v>
      </c>
      <c r="X2438" s="28"/>
      <c r="Y2438" s="28" t="n">
        <f aca="false">X2438*$M2438</f>
        <v>0</v>
      </c>
      <c r="Z2438" s="28"/>
      <c r="AA2438" s="28" t="n">
        <f aca="false">Z2438*$M2438</f>
        <v>0</v>
      </c>
      <c r="AB2438" s="28"/>
      <c r="AC2438" s="28" t="n">
        <f aca="false">AB2438*$M2438</f>
        <v>0</v>
      </c>
      <c r="AD2438" s="28"/>
      <c r="AE2438" s="28" t="n">
        <f aca="false">AD2438*$M2438</f>
        <v>0</v>
      </c>
      <c r="AF2438" s="28"/>
      <c r="AG2438" s="28" t="n">
        <f aca="false">AF2438*$M2438</f>
        <v>0</v>
      </c>
      <c r="AH2438" s="28" t="n">
        <v>58272</v>
      </c>
      <c r="AI2438" s="28" t="n">
        <v>174816</v>
      </c>
      <c r="AJ2438" s="28"/>
      <c r="AK2438" s="28" t="n">
        <f aca="false">AJ2438*$M2438</f>
        <v>0</v>
      </c>
      <c r="AL2438" s="28"/>
      <c r="AM2438" s="28" t="n">
        <f aca="false">AL2438*$M2438</f>
        <v>0</v>
      </c>
      <c r="AN2438" s="28"/>
      <c r="AO2438" s="28" t="n">
        <f aca="false">AN2438*$M2438</f>
        <v>0</v>
      </c>
      <c r="AP2438" s="28"/>
      <c r="AQ2438" s="28" t="n">
        <f aca="false">AP2438*$M2438</f>
        <v>0</v>
      </c>
      <c r="AR2438" s="28"/>
      <c r="AS2438" s="28" t="n">
        <f aca="false">AR2438*$M2438</f>
        <v>0</v>
      </c>
      <c r="AT2438" s="28"/>
      <c r="AU2438" s="28" t="n">
        <f aca="false">AT2438*$M2438</f>
        <v>0</v>
      </c>
      <c r="AV2438" s="28"/>
      <c r="AW2438" s="28" t="n">
        <f aca="false">AV2438*$M2438</f>
        <v>0</v>
      </c>
      <c r="AX2438" s="28"/>
      <c r="AY2438" s="28" t="n">
        <f aca="false">AX2438*$M2438</f>
        <v>0</v>
      </c>
      <c r="AZ2438" s="30" t="n">
        <f aca="false">58272</f>
        <v>58272</v>
      </c>
      <c r="BA2438" s="11" t="n">
        <v>174816</v>
      </c>
      <c r="BB2438" s="31" t="n">
        <f aca="false">SUM(Q2438,S2438,U2438,W2438,Y2438,AA2438,AC2438,AE2438,AG2438,AI2438,AK2438,AM2438,AO2438,AQ2438,AS2438,AU2438,AW2438,AY2438)</f>
        <v>174816</v>
      </c>
      <c r="BC2438" s="28" t="n">
        <f aca="false">BA2438-BB2438</f>
        <v>0</v>
      </c>
      <c r="BD2438" s="32" t="n">
        <f aca="false">SUM(P2438,R2438,T2438,V2438,X2438,Z2438,AB2438,AD2438,AF2438,AH2438,AJ2438,AL2438,AN2438,AP2438,AR2438,AT2438,AV2438,AX2438)</f>
        <v>58272</v>
      </c>
      <c r="BE2438" s="33" t="n">
        <f aca="false">AZ2438-BD2438</f>
        <v>0</v>
      </c>
      <c r="BF2438" s="34" t="n">
        <f aca="false">BD2438*M2438</f>
        <v>174816</v>
      </c>
      <c r="BG2438" s="35" t="n">
        <f aca="false">BA2438-BF2438</f>
        <v>0</v>
      </c>
      <c r="BH2438" s="19" t="str">
        <f aca="false">IF(BG2438=0,"",IF(BG2438&lt;&gt;BA2438,"erreur de calcul",IF(BD2438&lt;&gt;0,"pas de prix",IF(M2438&lt;&gt; 0,"pas de quantité","pas de prix, ni de quantité"))))</f>
        <v/>
      </c>
      <c r="BI2438" s="19"/>
    </row>
    <row r="2439" customFormat="false" ht="15" hidden="false" customHeight="false" outlineLevel="0" collapsed="false">
      <c r="A2439" s="0" t="n">
        <v>3</v>
      </c>
      <c r="B2439" s="8" t="s">
        <v>24</v>
      </c>
      <c r="C2439" s="9" t="s">
        <v>25</v>
      </c>
      <c r="D2439" s="9" t="s">
        <v>26</v>
      </c>
      <c r="E2439" s="10" t="n">
        <v>1789</v>
      </c>
      <c r="F2439" s="9" t="s">
        <v>27</v>
      </c>
      <c r="G2439" s="9" t="s">
        <v>27</v>
      </c>
      <c r="H2439" s="11" t="n">
        <v>27</v>
      </c>
      <c r="I2439" s="11" t="s">
        <v>414</v>
      </c>
      <c r="J2439" s="14" t="n">
        <v>3</v>
      </c>
      <c r="K2439" s="14"/>
      <c r="L2439" s="16"/>
      <c r="M2439" s="27" t="n">
        <f aca="false">J2439+(K2439/20)+(L2439/240)</f>
        <v>3</v>
      </c>
      <c r="N2439" s="17" t="s">
        <v>66</v>
      </c>
      <c r="O2439" s="11" t="s">
        <v>98</v>
      </c>
      <c r="P2439" s="28"/>
      <c r="Q2439" s="28" t="n">
        <f aca="false">P2439*$M2439</f>
        <v>0</v>
      </c>
      <c r="R2439" s="28"/>
      <c r="S2439" s="28" t="n">
        <f aca="false">R2439*$M2439</f>
        <v>0</v>
      </c>
      <c r="T2439" s="28"/>
      <c r="U2439" s="28" t="n">
        <f aca="false">T2439*$M2439</f>
        <v>0</v>
      </c>
      <c r="V2439" s="28"/>
      <c r="W2439" s="28" t="n">
        <f aca="false">V2439*$M2439</f>
        <v>0</v>
      </c>
      <c r="X2439" s="28"/>
      <c r="Y2439" s="28" t="n">
        <f aca="false">X2439*$M2439</f>
        <v>0</v>
      </c>
      <c r="Z2439" s="28"/>
      <c r="AA2439" s="28" t="n">
        <f aca="false">Z2439*$M2439</f>
        <v>0</v>
      </c>
      <c r="AB2439" s="28"/>
      <c r="AC2439" s="28" t="n">
        <f aca="false">AB2439*$M2439</f>
        <v>0</v>
      </c>
      <c r="AD2439" s="28"/>
      <c r="AE2439" s="28" t="n">
        <f aca="false">AD2439*$M2439</f>
        <v>0</v>
      </c>
      <c r="AF2439" s="28"/>
      <c r="AG2439" s="28" t="n">
        <f aca="false">AF2439*$M2439</f>
        <v>0</v>
      </c>
      <c r="AH2439" s="28" t="n">
        <v>110560</v>
      </c>
      <c r="AI2439" s="28" t="n">
        <v>331680</v>
      </c>
      <c r="AJ2439" s="28"/>
      <c r="AK2439" s="28" t="n">
        <f aca="false">AJ2439*$M2439</f>
        <v>0</v>
      </c>
      <c r="AL2439" s="28"/>
      <c r="AM2439" s="28" t="n">
        <f aca="false">AL2439*$M2439</f>
        <v>0</v>
      </c>
      <c r="AN2439" s="28"/>
      <c r="AO2439" s="28" t="n">
        <f aca="false">AN2439*$M2439</f>
        <v>0</v>
      </c>
      <c r="AP2439" s="28"/>
      <c r="AQ2439" s="28" t="n">
        <f aca="false">AP2439*$M2439</f>
        <v>0</v>
      </c>
      <c r="AR2439" s="28"/>
      <c r="AS2439" s="28" t="n">
        <f aca="false">AR2439*$M2439</f>
        <v>0</v>
      </c>
      <c r="AT2439" s="28"/>
      <c r="AU2439" s="28" t="n">
        <f aca="false">AT2439*$M2439</f>
        <v>0</v>
      </c>
      <c r="AV2439" s="28"/>
      <c r="AW2439" s="28" t="n">
        <f aca="false">AV2439*$M2439</f>
        <v>0</v>
      </c>
      <c r="AX2439" s="28"/>
      <c r="AY2439" s="28" t="n">
        <f aca="false">AX2439*$M2439</f>
        <v>0</v>
      </c>
      <c r="AZ2439" s="30" t="n">
        <v>110560</v>
      </c>
      <c r="BA2439" s="11" t="n">
        <v>331680</v>
      </c>
      <c r="BB2439" s="31" t="n">
        <f aca="false">SUM(Q2439,S2439,U2439,W2439,Y2439,AA2439,AC2439,AE2439,AG2439,AI2439,AK2439,AM2439,AO2439,AQ2439,AS2439,AU2439,AW2439,AY2439)</f>
        <v>331680</v>
      </c>
      <c r="BC2439" s="28" t="n">
        <f aca="false">BA2439-BB2439</f>
        <v>0</v>
      </c>
      <c r="BD2439" s="32" t="n">
        <f aca="false">SUM(P2439,R2439,T2439,V2439,X2439,Z2439,AB2439,AD2439,AF2439,AH2439,AJ2439,AL2439,AN2439,AP2439,AR2439,AT2439,AV2439,AX2439)</f>
        <v>110560</v>
      </c>
      <c r="BE2439" s="33" t="n">
        <f aca="false">AZ2439-BD2439</f>
        <v>0</v>
      </c>
      <c r="BF2439" s="34" t="n">
        <f aca="false">BD2439*M2439</f>
        <v>331680</v>
      </c>
      <c r="BG2439" s="35" t="n">
        <f aca="false">BA2439-BF2439</f>
        <v>0</v>
      </c>
      <c r="BH2439" s="19" t="str">
        <f aca="false">IF(BG2439=0,"",IF(BG2439&lt;&gt;BA2439,"erreur de calcul",IF(BD2439&lt;&gt;0,"pas de prix",IF(M2439&lt;&gt; 0,"pas de quantité","pas de prix, ni de quantité"))))</f>
        <v/>
      </c>
      <c r="BI2439" s="19"/>
    </row>
    <row r="2440" customFormat="false" ht="15" hidden="false" customHeight="false" outlineLevel="0" collapsed="false">
      <c r="A2440" s="0" t="n">
        <v>4</v>
      </c>
      <c r="B2440" s="8" t="s">
        <v>24</v>
      </c>
      <c r="C2440" s="9" t="s">
        <v>25</v>
      </c>
      <c r="D2440" s="9" t="s">
        <v>26</v>
      </c>
      <c r="E2440" s="10" t="n">
        <v>1789</v>
      </c>
      <c r="F2440" s="9" t="s">
        <v>27</v>
      </c>
      <c r="G2440" s="9" t="s">
        <v>27</v>
      </c>
      <c r="H2440" s="11" t="n">
        <v>27</v>
      </c>
      <c r="I2440" s="11" t="s">
        <v>415</v>
      </c>
      <c r="J2440" s="14" t="n">
        <v>3</v>
      </c>
      <c r="K2440" s="14" t="n">
        <v>10</v>
      </c>
      <c r="L2440" s="16"/>
      <c r="M2440" s="27" t="n">
        <f aca="false">J2440+(K2440/20)+(L2440/240)</f>
        <v>3.5</v>
      </c>
      <c r="N2440" s="17" t="s">
        <v>66</v>
      </c>
      <c r="O2440" s="11" t="s">
        <v>98</v>
      </c>
      <c r="P2440" s="28"/>
      <c r="Q2440" s="28" t="n">
        <f aca="false">P2440*$M2440</f>
        <v>0</v>
      </c>
      <c r="R2440" s="28"/>
      <c r="S2440" s="28" t="n">
        <f aca="false">R2440*$M2440</f>
        <v>0</v>
      </c>
      <c r="T2440" s="28"/>
      <c r="U2440" s="28" t="n">
        <f aca="false">T2440*$M2440</f>
        <v>0</v>
      </c>
      <c r="V2440" s="28"/>
      <c r="W2440" s="28" t="n">
        <f aca="false">V2440*$M2440</f>
        <v>0</v>
      </c>
      <c r="X2440" s="28" t="n">
        <v>218</v>
      </c>
      <c r="Y2440" s="28" t="n">
        <v>763</v>
      </c>
      <c r="Z2440" s="28"/>
      <c r="AA2440" s="28" t="n">
        <f aca="false">Z2440*$M2440</f>
        <v>0</v>
      </c>
      <c r="AB2440" s="28"/>
      <c r="AC2440" s="28" t="n">
        <f aca="false">AB2440*$M2440</f>
        <v>0</v>
      </c>
      <c r="AD2440" s="28"/>
      <c r="AE2440" s="28" t="n">
        <f aca="false">AD2440*$M2440</f>
        <v>0</v>
      </c>
      <c r="AF2440" s="28"/>
      <c r="AG2440" s="28" t="n">
        <f aca="false">AF2440*$M2440</f>
        <v>0</v>
      </c>
      <c r="AH2440" s="28" t="n">
        <v>25905</v>
      </c>
      <c r="AI2440" s="28" t="n">
        <v>90667</v>
      </c>
      <c r="AJ2440" s="28"/>
      <c r="AK2440" s="28" t="n">
        <f aca="false">AJ2440*$M2440</f>
        <v>0</v>
      </c>
      <c r="AL2440" s="28"/>
      <c r="AM2440" s="28" t="n">
        <f aca="false">AL2440*$M2440</f>
        <v>0</v>
      </c>
      <c r="AN2440" s="28"/>
      <c r="AO2440" s="28" t="n">
        <f aca="false">AN2440*$M2440</f>
        <v>0</v>
      </c>
      <c r="AP2440" s="28"/>
      <c r="AQ2440" s="28" t="n">
        <f aca="false">AP2440*$M2440</f>
        <v>0</v>
      </c>
      <c r="AR2440" s="28"/>
      <c r="AS2440" s="28" t="n">
        <f aca="false">AR2440*$M2440</f>
        <v>0</v>
      </c>
      <c r="AT2440" s="28"/>
      <c r="AU2440" s="28" t="n">
        <f aca="false">AT2440*$M2440</f>
        <v>0</v>
      </c>
      <c r="AV2440" s="28"/>
      <c r="AW2440" s="28" t="n">
        <f aca="false">AV2440*$M2440</f>
        <v>0</v>
      </c>
      <c r="AX2440" s="28"/>
      <c r="AY2440" s="28" t="n">
        <f aca="false">AX2440*$M2440</f>
        <v>0</v>
      </c>
      <c r="AZ2440" s="30" t="n">
        <v>26123</v>
      </c>
      <c r="BA2440" s="11" t="n">
        <v>91430</v>
      </c>
      <c r="BB2440" s="31" t="n">
        <f aca="false">SUM(Q2440,S2440,U2440,W2440,Y2440,AA2440,AC2440,AE2440,AG2440,AI2440,AK2440,AM2440,AO2440,AQ2440,AS2440,AU2440,AW2440,AY2440)</f>
        <v>91430</v>
      </c>
      <c r="BC2440" s="28" t="n">
        <f aca="false">BA2440-BB2440</f>
        <v>0</v>
      </c>
      <c r="BD2440" s="32" t="n">
        <f aca="false">SUM(P2440,R2440,T2440,V2440,X2440,Z2440,AB2440,AD2440,AF2440,AH2440,AJ2440,AL2440,AN2440,AP2440,AR2440,AT2440,AV2440,AX2440)</f>
        <v>26123</v>
      </c>
      <c r="BE2440" s="33" t="n">
        <f aca="false">AZ2440-BD2440</f>
        <v>0</v>
      </c>
      <c r="BF2440" s="34" t="n">
        <f aca="false">BD2440*M2440</f>
        <v>91430.5</v>
      </c>
      <c r="BG2440" s="35" t="n">
        <f aca="false">BA2440-BF2440</f>
        <v>-0.5</v>
      </c>
      <c r="BH2440" s="19" t="str">
        <f aca="false">IF(BG2440=0,"",IF(BG2440&lt;&gt;BA2440,"erreur de calcul",IF(BD2440&lt;&gt;0,"pas de prix",IF(M2440&lt;&gt; 0,"pas de quantité","pas de prix, ni de quantité"))))</f>
        <v>erreur de calcul</v>
      </c>
      <c r="BI2440" s="19"/>
    </row>
    <row r="2441" customFormat="false" ht="15" hidden="false" customHeight="false" outlineLevel="0" collapsed="false">
      <c r="A2441" s="0" t="n">
        <v>5</v>
      </c>
      <c r="B2441" s="8" t="s">
        <v>24</v>
      </c>
      <c r="C2441" s="9" t="s">
        <v>25</v>
      </c>
      <c r="D2441" s="9" t="s">
        <v>26</v>
      </c>
      <c r="E2441" s="10" t="n">
        <v>1789</v>
      </c>
      <c r="F2441" s="9" t="s">
        <v>27</v>
      </c>
      <c r="G2441" s="9" t="s">
        <v>27</v>
      </c>
      <c r="H2441" s="11" t="n">
        <v>27</v>
      </c>
      <c r="I2441" s="11" t="s">
        <v>416</v>
      </c>
      <c r="J2441" s="14"/>
      <c r="K2441" s="14" t="n">
        <v>30</v>
      </c>
      <c r="L2441" s="16"/>
      <c r="M2441" s="27" t="n">
        <f aca="false">J2441+(K2441/20)+(L2441/240)</f>
        <v>1.5</v>
      </c>
      <c r="N2441" s="17" t="s">
        <v>66</v>
      </c>
      <c r="O2441" s="11"/>
      <c r="P2441" s="28"/>
      <c r="Q2441" s="28" t="n">
        <f aca="false">P2441*$M2441</f>
        <v>0</v>
      </c>
      <c r="R2441" s="28"/>
      <c r="S2441" s="28" t="n">
        <f aca="false">R2441*$M2441</f>
        <v>0</v>
      </c>
      <c r="T2441" s="28"/>
      <c r="U2441" s="28" t="n">
        <f aca="false">T2441*$M2441</f>
        <v>0</v>
      </c>
      <c r="V2441" s="28"/>
      <c r="W2441" s="28" t="n">
        <f aca="false">V2441*$M2441</f>
        <v>0</v>
      </c>
      <c r="X2441" s="28"/>
      <c r="Y2441" s="28" t="n">
        <f aca="false">X2441*$M2441</f>
        <v>0</v>
      </c>
      <c r="Z2441" s="28"/>
      <c r="AA2441" s="28" t="n">
        <f aca="false">Z2441*$M2441</f>
        <v>0</v>
      </c>
      <c r="AB2441" s="28"/>
      <c r="AC2441" s="28" t="n">
        <f aca="false">AB2441*$M2441</f>
        <v>0</v>
      </c>
      <c r="AD2441" s="28"/>
      <c r="AE2441" s="28" t="n">
        <f aca="false">AD2441*$M2441</f>
        <v>0</v>
      </c>
      <c r="AF2441" s="28"/>
      <c r="AG2441" s="28" t="n">
        <f aca="false">AF2441*$M2441</f>
        <v>0</v>
      </c>
      <c r="AH2441" s="28" t="n">
        <v>75870</v>
      </c>
      <c r="AI2441" s="28" t="n">
        <v>113805</v>
      </c>
      <c r="AJ2441" s="28"/>
      <c r="AK2441" s="28" t="n">
        <f aca="false">AJ2441*$M2441</f>
        <v>0</v>
      </c>
      <c r="AL2441" s="28"/>
      <c r="AM2441" s="28" t="n">
        <f aca="false">AL2441*$M2441</f>
        <v>0</v>
      </c>
      <c r="AN2441" s="28"/>
      <c r="AO2441" s="28" t="n">
        <f aca="false">AN2441*$M2441</f>
        <v>0</v>
      </c>
      <c r="AP2441" s="28"/>
      <c r="AQ2441" s="28" t="n">
        <f aca="false">AP2441*$M2441</f>
        <v>0</v>
      </c>
      <c r="AR2441" s="28"/>
      <c r="AS2441" s="28" t="n">
        <f aca="false">AR2441*$M2441</f>
        <v>0</v>
      </c>
      <c r="AT2441" s="28"/>
      <c r="AU2441" s="28" t="n">
        <f aca="false">AT2441*$M2441</f>
        <v>0</v>
      </c>
      <c r="AV2441" s="28"/>
      <c r="AW2441" s="28" t="n">
        <f aca="false">AV2441*$M2441</f>
        <v>0</v>
      </c>
      <c r="AX2441" s="28"/>
      <c r="AY2441" s="28" t="n">
        <f aca="false">AX2441*$M2441</f>
        <v>0</v>
      </c>
      <c r="AZ2441" s="30" t="n">
        <v>75870</v>
      </c>
      <c r="BA2441" s="11" t="n">
        <v>113805</v>
      </c>
      <c r="BB2441" s="31" t="n">
        <f aca="false">SUM(Q2441,S2441,U2441,W2441,Y2441,AA2441,AC2441,AE2441,AG2441,AI2441,AK2441,AM2441,AO2441,AQ2441,AS2441,AU2441,AW2441,AY2441)</f>
        <v>113805</v>
      </c>
      <c r="BC2441" s="28" t="n">
        <f aca="false">BA2441-BB2441</f>
        <v>0</v>
      </c>
      <c r="BD2441" s="32" t="n">
        <f aca="false">SUM(P2441,R2441,T2441,V2441,X2441,Z2441,AB2441,AD2441,AF2441,AH2441,AJ2441,AL2441,AN2441,AP2441,AR2441,AT2441,AV2441,AX2441)</f>
        <v>75870</v>
      </c>
      <c r="BE2441" s="33" t="n">
        <f aca="false">AZ2441-BD2441</f>
        <v>0</v>
      </c>
      <c r="BF2441" s="34" t="n">
        <f aca="false">BD2441*M2441</f>
        <v>113805</v>
      </c>
      <c r="BG2441" s="35" t="n">
        <f aca="false">BA2441-BF2441</f>
        <v>0</v>
      </c>
      <c r="BH2441" s="19" t="str">
        <f aca="false">IF(BG2441=0,"",IF(BG2441&lt;&gt;BA2441,"erreur de calcul",IF(BD2441&lt;&gt;0,"pas de prix",IF(M2441&lt;&gt; 0,"pas de quantité","pas de prix, ni de quantité"))))</f>
        <v/>
      </c>
      <c r="BI2441" s="19"/>
    </row>
    <row r="2442" customFormat="false" ht="15" hidden="false" customHeight="false" outlineLevel="0" collapsed="false">
      <c r="A2442" s="0" t="n">
        <v>6</v>
      </c>
      <c r="B2442" s="8" t="s">
        <v>24</v>
      </c>
      <c r="C2442" s="9" t="s">
        <v>25</v>
      </c>
      <c r="D2442" s="9" t="s">
        <v>26</v>
      </c>
      <c r="E2442" s="10" t="n">
        <v>1789</v>
      </c>
      <c r="F2442" s="9" t="s">
        <v>27</v>
      </c>
      <c r="G2442" s="9" t="s">
        <v>27</v>
      </c>
      <c r="H2442" s="11" t="n">
        <v>27</v>
      </c>
      <c r="I2442" s="11" t="s">
        <v>417</v>
      </c>
      <c r="J2442" s="14" t="n">
        <v>3</v>
      </c>
      <c r="K2442" s="14"/>
      <c r="L2442" s="16"/>
      <c r="M2442" s="27" t="n">
        <f aca="false">J2442+(K2442/20)+(L2442/240)</f>
        <v>3</v>
      </c>
      <c r="N2442" s="17" t="s">
        <v>66</v>
      </c>
      <c r="O2442" s="11"/>
      <c r="P2442" s="28"/>
      <c r="Q2442" s="28" t="n">
        <f aca="false">P2442*$M2442</f>
        <v>0</v>
      </c>
      <c r="R2442" s="28"/>
      <c r="S2442" s="28" t="n">
        <f aca="false">R2442*$M2442</f>
        <v>0</v>
      </c>
      <c r="T2442" s="28"/>
      <c r="U2442" s="28" t="n">
        <f aca="false">T2442*$M2442</f>
        <v>0</v>
      </c>
      <c r="V2442" s="28"/>
      <c r="W2442" s="28" t="n">
        <f aca="false">V2442*$M2442</f>
        <v>0</v>
      </c>
      <c r="X2442" s="28"/>
      <c r="Y2442" s="28" t="n">
        <f aca="false">X2442*$M2442</f>
        <v>0</v>
      </c>
      <c r="Z2442" s="28"/>
      <c r="AA2442" s="28" t="n">
        <f aca="false">Z2442*$M2442</f>
        <v>0</v>
      </c>
      <c r="AB2442" s="28"/>
      <c r="AC2442" s="28" t="n">
        <f aca="false">AB2442*$M2442</f>
        <v>0</v>
      </c>
      <c r="AD2442" s="28"/>
      <c r="AE2442" s="28" t="n">
        <f aca="false">AD2442*$M2442</f>
        <v>0</v>
      </c>
      <c r="AF2442" s="28"/>
      <c r="AG2442" s="28" t="n">
        <f aca="false">AF2442*$M2442</f>
        <v>0</v>
      </c>
      <c r="AH2442" s="28" t="n">
        <v>121588</v>
      </c>
      <c r="AI2442" s="28" t="n">
        <v>364764</v>
      </c>
      <c r="AJ2442" s="28"/>
      <c r="AK2442" s="28" t="n">
        <f aca="false">AJ2442*$M2442</f>
        <v>0</v>
      </c>
      <c r="AL2442" s="28"/>
      <c r="AM2442" s="28" t="n">
        <f aca="false">AL2442*$M2442</f>
        <v>0</v>
      </c>
      <c r="AN2442" s="28"/>
      <c r="AO2442" s="28" t="n">
        <f aca="false">AN2442*$M2442</f>
        <v>0</v>
      </c>
      <c r="AP2442" s="28"/>
      <c r="AQ2442" s="28" t="n">
        <f aca="false">AP2442*$M2442</f>
        <v>0</v>
      </c>
      <c r="AR2442" s="28"/>
      <c r="AS2442" s="28" t="n">
        <f aca="false">AR2442*$M2442</f>
        <v>0</v>
      </c>
      <c r="AT2442" s="28"/>
      <c r="AU2442" s="28" t="n">
        <f aca="false">AT2442*$M2442</f>
        <v>0</v>
      </c>
      <c r="AV2442" s="28"/>
      <c r="AW2442" s="28" t="n">
        <f aca="false">AV2442*$M2442</f>
        <v>0</v>
      </c>
      <c r="AX2442" s="28"/>
      <c r="AY2442" s="28" t="n">
        <f aca="false">AX2442*$M2442</f>
        <v>0</v>
      </c>
      <c r="AZ2442" s="30" t="n">
        <v>121588</v>
      </c>
      <c r="BA2442" s="11" t="n">
        <v>364764</v>
      </c>
      <c r="BB2442" s="31" t="n">
        <f aca="false">SUM(Q2442,S2442,U2442,W2442,Y2442,AA2442,AC2442,AE2442,AG2442,AI2442,AK2442,AM2442,AO2442,AQ2442,AS2442,AU2442,AW2442,AY2442)</f>
        <v>364764</v>
      </c>
      <c r="BC2442" s="28" t="n">
        <f aca="false">BA2442-BB2442</f>
        <v>0</v>
      </c>
      <c r="BD2442" s="32" t="n">
        <f aca="false">SUM(P2442,R2442,T2442,V2442,X2442,Z2442,AB2442,AD2442,AF2442,AH2442,AJ2442,AL2442,AN2442,AP2442,AR2442,AT2442,AV2442,AX2442)</f>
        <v>121588</v>
      </c>
      <c r="BE2442" s="33" t="n">
        <f aca="false">AZ2442-BD2442</f>
        <v>0</v>
      </c>
      <c r="BF2442" s="34" t="n">
        <f aca="false">BD2442*M2442</f>
        <v>364764</v>
      </c>
      <c r="BG2442" s="35" t="n">
        <f aca="false">BA2442-BF2442</f>
        <v>0</v>
      </c>
      <c r="BH2442" s="19" t="str">
        <f aca="false">IF(BG2442=0,"",IF(BG2442&lt;&gt;BA2442,"erreur de calcul",IF(BD2442&lt;&gt;0,"pas de prix",IF(M2442&lt;&gt; 0,"pas de quantité","pas de prix, ni de quantité"))))</f>
        <v/>
      </c>
      <c r="BI2442" s="19"/>
    </row>
    <row r="2443" customFormat="false" ht="15" hidden="false" customHeight="false" outlineLevel="0" collapsed="false">
      <c r="A2443" s="0" t="n">
        <v>7</v>
      </c>
      <c r="B2443" s="8" t="s">
        <v>24</v>
      </c>
      <c r="C2443" s="9" t="s">
        <v>25</v>
      </c>
      <c r="D2443" s="9" t="s">
        <v>26</v>
      </c>
      <c r="E2443" s="10" t="n">
        <v>1789</v>
      </c>
      <c r="F2443" s="9" t="s">
        <v>27</v>
      </c>
      <c r="G2443" s="9" t="s">
        <v>27</v>
      </c>
      <c r="H2443" s="11" t="n">
        <v>27</v>
      </c>
      <c r="I2443" s="11" t="s">
        <v>418</v>
      </c>
      <c r="J2443" s="14"/>
      <c r="K2443" s="14" t="n">
        <v>24</v>
      </c>
      <c r="L2443" s="16"/>
      <c r="M2443" s="27" t="n">
        <f aca="false">J2443+(K2443/20)+(L2443/240)</f>
        <v>1.2</v>
      </c>
      <c r="N2443" s="17" t="s">
        <v>66</v>
      </c>
      <c r="O2443" s="11"/>
      <c r="P2443" s="28"/>
      <c r="Q2443" s="28" t="n">
        <f aca="false">P2443*$M2443</f>
        <v>0</v>
      </c>
      <c r="R2443" s="28"/>
      <c r="S2443" s="28" t="n">
        <f aca="false">R2443*$M2443</f>
        <v>0</v>
      </c>
      <c r="T2443" s="28"/>
      <c r="U2443" s="28" t="n">
        <f aca="false">T2443*$M2443</f>
        <v>0</v>
      </c>
      <c r="V2443" s="28"/>
      <c r="W2443" s="28" t="n">
        <f aca="false">V2443*$M2443</f>
        <v>0</v>
      </c>
      <c r="X2443" s="28"/>
      <c r="Y2443" s="28" t="n">
        <f aca="false">X2443*$M2443</f>
        <v>0</v>
      </c>
      <c r="Z2443" s="28"/>
      <c r="AA2443" s="28" t="n">
        <f aca="false">Z2443*$M2443</f>
        <v>0</v>
      </c>
      <c r="AB2443" s="28"/>
      <c r="AC2443" s="28" t="n">
        <f aca="false">AB2443*$M2443</f>
        <v>0</v>
      </c>
      <c r="AD2443" s="28"/>
      <c r="AE2443" s="28" t="n">
        <f aca="false">AD2443*$M2443</f>
        <v>0</v>
      </c>
      <c r="AF2443" s="28"/>
      <c r="AG2443" s="28" t="n">
        <f aca="false">AF2443*$M2443</f>
        <v>0</v>
      </c>
      <c r="AH2443" s="28" t="n">
        <v>50204</v>
      </c>
      <c r="AI2443" s="28" t="n">
        <v>60245</v>
      </c>
      <c r="AJ2443" s="28"/>
      <c r="AK2443" s="28" t="n">
        <f aca="false">AJ2443*$M2443</f>
        <v>0</v>
      </c>
      <c r="AL2443" s="28"/>
      <c r="AM2443" s="28" t="n">
        <f aca="false">AL2443*$M2443</f>
        <v>0</v>
      </c>
      <c r="AN2443" s="28"/>
      <c r="AO2443" s="28" t="n">
        <f aca="false">AN2443*$M2443</f>
        <v>0</v>
      </c>
      <c r="AP2443" s="28"/>
      <c r="AQ2443" s="28" t="n">
        <f aca="false">AP2443*$M2443</f>
        <v>0</v>
      </c>
      <c r="AR2443" s="28"/>
      <c r="AS2443" s="28" t="n">
        <f aca="false">AR2443*$M2443</f>
        <v>0</v>
      </c>
      <c r="AT2443" s="28"/>
      <c r="AU2443" s="28" t="n">
        <f aca="false">AT2443*$M2443</f>
        <v>0</v>
      </c>
      <c r="AV2443" s="28"/>
      <c r="AW2443" s="28" t="n">
        <f aca="false">AV2443*$M2443</f>
        <v>0</v>
      </c>
      <c r="AX2443" s="28"/>
      <c r="AY2443" s="28" t="n">
        <f aca="false">AX2443*$M2443</f>
        <v>0</v>
      </c>
      <c r="AZ2443" s="30" t="n">
        <v>50204</v>
      </c>
      <c r="BA2443" s="11" t="n">
        <v>60245</v>
      </c>
      <c r="BB2443" s="31" t="n">
        <f aca="false">SUM(Q2443,S2443,U2443,W2443,Y2443,AA2443,AC2443,AE2443,AG2443,AI2443,AK2443,AM2443,AO2443,AQ2443,AS2443,AU2443,AW2443,AY2443)</f>
        <v>60245</v>
      </c>
      <c r="BC2443" s="28" t="n">
        <f aca="false">BA2443-BB2443</f>
        <v>0</v>
      </c>
      <c r="BD2443" s="32" t="n">
        <f aca="false">SUM(P2443,R2443,T2443,V2443,X2443,Z2443,AB2443,AD2443,AF2443,AH2443,AJ2443,AL2443,AN2443,AP2443,AR2443,AT2443,AV2443,AX2443)</f>
        <v>50204</v>
      </c>
      <c r="BE2443" s="33" t="n">
        <f aca="false">AZ2443-BD2443</f>
        <v>0</v>
      </c>
      <c r="BF2443" s="34" t="n">
        <f aca="false">BD2443*M2443</f>
        <v>60244.8</v>
      </c>
      <c r="BG2443" s="35" t="n">
        <f aca="false">BA2443-BF2443</f>
        <v>0.200000000004366</v>
      </c>
      <c r="BH2443" s="19" t="str">
        <f aca="false">IF(BG2443=0,"",IF(BG2443&lt;&gt;BA2443,"erreur de calcul",IF(BD2443&lt;&gt;0,"pas de prix",IF(M2443&lt;&gt; 0,"pas de quantité","pas de prix, ni de quantité"))))</f>
        <v>erreur de calcul</v>
      </c>
      <c r="BI2443" s="19"/>
    </row>
    <row r="2444" customFormat="false" ht="15" hidden="false" customHeight="false" outlineLevel="0" collapsed="false">
      <c r="A2444" s="0" t="n">
        <v>8</v>
      </c>
      <c r="B2444" s="8" t="s">
        <v>24</v>
      </c>
      <c r="C2444" s="9" t="s">
        <v>25</v>
      </c>
      <c r="D2444" s="9" t="s">
        <v>26</v>
      </c>
      <c r="E2444" s="10" t="n">
        <v>1789</v>
      </c>
      <c r="F2444" s="9" t="s">
        <v>27</v>
      </c>
      <c r="G2444" s="9" t="s">
        <v>27</v>
      </c>
      <c r="H2444" s="11" t="n">
        <v>27</v>
      </c>
      <c r="I2444" s="11" t="s">
        <v>419</v>
      </c>
      <c r="J2444" s="14" t="n">
        <v>40</v>
      </c>
      <c r="K2444" s="14"/>
      <c r="L2444" s="16"/>
      <c r="M2444" s="27" t="n">
        <f aca="false">J2444+(K2444/20)+(L2444/240)</f>
        <v>40</v>
      </c>
      <c r="N2444" s="17" t="s">
        <v>66</v>
      </c>
      <c r="O2444" s="11" t="s">
        <v>98</v>
      </c>
      <c r="P2444" s="28"/>
      <c r="Q2444" s="28" t="n">
        <f aca="false">P2444*$M2444</f>
        <v>0</v>
      </c>
      <c r="R2444" s="28"/>
      <c r="S2444" s="28" t="n">
        <f aca="false">R2444*$M2444</f>
        <v>0</v>
      </c>
      <c r="T2444" s="28"/>
      <c r="U2444" s="28" t="n">
        <f aca="false">T2444*$M2444</f>
        <v>0</v>
      </c>
      <c r="V2444" s="28"/>
      <c r="W2444" s="28" t="n">
        <f aca="false">V2444*$M2444</f>
        <v>0</v>
      </c>
      <c r="X2444" s="28"/>
      <c r="Y2444" s="28" t="n">
        <f aca="false">X2444*$M2444</f>
        <v>0</v>
      </c>
      <c r="Z2444" s="28"/>
      <c r="AA2444" s="28" t="n">
        <f aca="false">Z2444*$M2444</f>
        <v>0</v>
      </c>
      <c r="AB2444" s="28"/>
      <c r="AC2444" s="28" t="n">
        <f aca="false">AB2444*$M2444</f>
        <v>0</v>
      </c>
      <c r="AD2444" s="28"/>
      <c r="AE2444" s="28" t="n">
        <f aca="false">AD2444*$M2444</f>
        <v>0</v>
      </c>
      <c r="AF2444" s="28"/>
      <c r="AG2444" s="28" t="n">
        <f aca="false">AF2444*$M2444</f>
        <v>0</v>
      </c>
      <c r="AH2444" s="28"/>
      <c r="AI2444" s="28" t="n">
        <f aca="false">AH2444*$M2444</f>
        <v>0</v>
      </c>
      <c r="AJ2444" s="28"/>
      <c r="AK2444" s="28" t="n">
        <f aca="false">AJ2444*$M2444</f>
        <v>0</v>
      </c>
      <c r="AL2444" s="28"/>
      <c r="AM2444" s="28" t="n">
        <f aca="false">AL2444*$M2444</f>
        <v>0</v>
      </c>
      <c r="AN2444" s="28"/>
      <c r="AO2444" s="28" t="n">
        <f aca="false">AN2444*$M2444</f>
        <v>0</v>
      </c>
      <c r="AP2444" s="28"/>
      <c r="AQ2444" s="28" t="n">
        <f aca="false">AP2444*$M2444</f>
        <v>0</v>
      </c>
      <c r="AR2444" s="28"/>
      <c r="AS2444" s="28" t="n">
        <f aca="false">AR2444*$M2444</f>
        <v>0</v>
      </c>
      <c r="AT2444" s="28"/>
      <c r="AU2444" s="28" t="n">
        <f aca="false">AT2444*$M2444</f>
        <v>0</v>
      </c>
      <c r="AV2444" s="28"/>
      <c r="AW2444" s="28" t="n">
        <f aca="false">AV2444*$M2444</f>
        <v>0</v>
      </c>
      <c r="AX2444" s="28"/>
      <c r="AY2444" s="28" t="n">
        <f aca="false">AX2444*$M2444</f>
        <v>0</v>
      </c>
      <c r="AZ2444" s="30"/>
      <c r="BA2444" s="11"/>
      <c r="BB2444" s="31" t="n">
        <f aca="false">SUM(Q2444,S2444,U2444,W2444,Y2444,AA2444,AC2444,AE2444,AG2444,AI2444,AK2444,AM2444,AO2444,AQ2444,AS2444,AU2444,AW2444,AY2444)</f>
        <v>0</v>
      </c>
      <c r="BC2444" s="28" t="n">
        <f aca="false">BA2444-BB2444</f>
        <v>0</v>
      </c>
      <c r="BD2444" s="32" t="n">
        <f aca="false">SUM(P2444,R2444,T2444,V2444,X2444,Z2444,AB2444,AD2444,AF2444,AH2444,AJ2444,AL2444,AN2444,AP2444,AR2444,AT2444,AV2444,AX2444)</f>
        <v>0</v>
      </c>
      <c r="BE2444" s="33" t="n">
        <f aca="false">AZ2444-BD2444</f>
        <v>0</v>
      </c>
      <c r="BF2444" s="34" t="n">
        <f aca="false">BD2444*M2444</f>
        <v>0</v>
      </c>
      <c r="BG2444" s="35" t="n">
        <f aca="false">BA2444-BF2444</f>
        <v>0</v>
      </c>
      <c r="BH2444" s="19" t="str">
        <f aca="false">IF(BG2444=0,"",IF(BG2444&lt;&gt;BA2444,"erreur de calcul",IF(BD2444&lt;&gt;0,"pas de prix",IF(M2444&lt;&gt; 0,"pas de quantité","pas de prix, ni de quantité"))))</f>
        <v/>
      </c>
      <c r="BI2444" s="19"/>
    </row>
    <row r="2445" customFormat="false" ht="15" hidden="false" customHeight="false" outlineLevel="0" collapsed="false">
      <c r="A2445" s="0" t="n">
        <v>9</v>
      </c>
      <c r="B2445" s="8" t="s">
        <v>24</v>
      </c>
      <c r="C2445" s="9" t="s">
        <v>25</v>
      </c>
      <c r="D2445" s="9" t="s">
        <v>26</v>
      </c>
      <c r="E2445" s="10" t="n">
        <v>1789</v>
      </c>
      <c r="F2445" s="9" t="s">
        <v>27</v>
      </c>
      <c r="G2445" s="9" t="s">
        <v>27</v>
      </c>
      <c r="H2445" s="11" t="n">
        <v>27</v>
      </c>
      <c r="I2445" s="11" t="s">
        <v>420</v>
      </c>
      <c r="J2445" s="14" t="n">
        <v>9</v>
      </c>
      <c r="K2445" s="14"/>
      <c r="L2445" s="16"/>
      <c r="M2445" s="27" t="n">
        <f aca="false">J2445+(K2445/20)+(L2445/240)</f>
        <v>9</v>
      </c>
      <c r="N2445" s="17" t="s">
        <v>81</v>
      </c>
      <c r="O2445" s="11" t="s">
        <v>98</v>
      </c>
      <c r="P2445" s="28"/>
      <c r="Q2445" s="28" t="n">
        <f aca="false">P2445*$M2445</f>
        <v>0</v>
      </c>
      <c r="R2445" s="28"/>
      <c r="S2445" s="28" t="n">
        <f aca="false">R2445*$M2445</f>
        <v>0</v>
      </c>
      <c r="T2445" s="28"/>
      <c r="U2445" s="28" t="n">
        <f aca="false">T2445*$M2445</f>
        <v>0</v>
      </c>
      <c r="V2445" s="28"/>
      <c r="W2445" s="28" t="n">
        <f aca="false">V2445*$M2445</f>
        <v>0</v>
      </c>
      <c r="X2445" s="28"/>
      <c r="Y2445" s="28" t="n">
        <f aca="false">X2445*$M2445</f>
        <v>0</v>
      </c>
      <c r="Z2445" s="28"/>
      <c r="AA2445" s="28" t="n">
        <f aca="false">Z2445*$M2445</f>
        <v>0</v>
      </c>
      <c r="AB2445" s="28"/>
      <c r="AC2445" s="28" t="n">
        <f aca="false">AB2445*$M2445</f>
        <v>0</v>
      </c>
      <c r="AD2445" s="28"/>
      <c r="AE2445" s="28" t="n">
        <f aca="false">AD2445*$M2445</f>
        <v>0</v>
      </c>
      <c r="AF2445" s="28"/>
      <c r="AG2445" s="28" t="n">
        <f aca="false">AF2445*$M2445</f>
        <v>0</v>
      </c>
      <c r="AH2445" s="28"/>
      <c r="AI2445" s="28" t="n">
        <f aca="false">AH2445*$M2445</f>
        <v>0</v>
      </c>
      <c r="AJ2445" s="28"/>
      <c r="AK2445" s="28" t="n">
        <f aca="false">AJ2445*$M2445</f>
        <v>0</v>
      </c>
      <c r="AL2445" s="28"/>
      <c r="AM2445" s="28" t="n">
        <f aca="false">AL2445*$M2445</f>
        <v>0</v>
      </c>
      <c r="AN2445" s="28"/>
      <c r="AO2445" s="28" t="n">
        <f aca="false">AN2445*$M2445</f>
        <v>0</v>
      </c>
      <c r="AP2445" s="28"/>
      <c r="AQ2445" s="28" t="n">
        <f aca="false">AP2445*$M2445</f>
        <v>0</v>
      </c>
      <c r="AR2445" s="28"/>
      <c r="AS2445" s="28" t="n">
        <f aca="false">AR2445*$M2445</f>
        <v>0</v>
      </c>
      <c r="AT2445" s="28"/>
      <c r="AU2445" s="28" t="n">
        <f aca="false">AT2445*$M2445</f>
        <v>0</v>
      </c>
      <c r="AV2445" s="28"/>
      <c r="AW2445" s="28" t="n">
        <f aca="false">AV2445*$M2445</f>
        <v>0</v>
      </c>
      <c r="AX2445" s="28"/>
      <c r="AY2445" s="28" t="n">
        <f aca="false">AX2445*$M2445</f>
        <v>0</v>
      </c>
      <c r="AZ2445" s="30"/>
      <c r="BA2445" s="11"/>
      <c r="BB2445" s="31" t="n">
        <f aca="false">SUM(Q2445,S2445,U2445,W2445,Y2445,AA2445,AC2445,AE2445,AG2445,AI2445,AK2445,AM2445,AO2445,AQ2445,AS2445,AU2445,AW2445,AY2445)</f>
        <v>0</v>
      </c>
      <c r="BC2445" s="28" t="n">
        <f aca="false">BA2445-BB2445</f>
        <v>0</v>
      </c>
      <c r="BD2445" s="32" t="n">
        <f aca="false">SUM(P2445,R2445,T2445,V2445,X2445,Z2445,AB2445,AD2445,AF2445,AH2445,AJ2445,AL2445,AN2445,AP2445,AR2445,AT2445,AV2445,AX2445)</f>
        <v>0</v>
      </c>
      <c r="BE2445" s="33" t="n">
        <f aca="false">AZ2445-BD2445</f>
        <v>0</v>
      </c>
      <c r="BF2445" s="34" t="n">
        <f aca="false">BD2445*M2445</f>
        <v>0</v>
      </c>
      <c r="BG2445" s="35" t="n">
        <f aca="false">BA2445-BF2445</f>
        <v>0</v>
      </c>
      <c r="BH2445" s="19" t="str">
        <f aca="false">IF(BG2445=0,"",IF(BG2445&lt;&gt;BA2445,"erreur de calcul",IF(BD2445&lt;&gt;0,"pas de prix",IF(M2445&lt;&gt; 0,"pas de quantité","pas de prix, ni de quantité"))))</f>
        <v/>
      </c>
      <c r="BI2445" s="19"/>
    </row>
    <row r="2446" customFormat="false" ht="15" hidden="false" customHeight="false" outlineLevel="0" collapsed="false">
      <c r="A2446" s="0" t="n">
        <v>10</v>
      </c>
      <c r="B2446" s="8" t="s">
        <v>24</v>
      </c>
      <c r="C2446" s="9" t="s">
        <v>25</v>
      </c>
      <c r="D2446" s="9" t="s">
        <v>26</v>
      </c>
      <c r="E2446" s="10" t="n">
        <v>1789</v>
      </c>
      <c r="F2446" s="9" t="s">
        <v>27</v>
      </c>
      <c r="G2446" s="9" t="s">
        <v>27</v>
      </c>
      <c r="H2446" s="11" t="n">
        <v>27</v>
      </c>
      <c r="I2446" s="11" t="s">
        <v>421</v>
      </c>
      <c r="J2446" s="14" t="n">
        <v>220</v>
      </c>
      <c r="K2446" s="14"/>
      <c r="L2446" s="16"/>
      <c r="M2446" s="27" t="n">
        <f aca="false">J2446+(K2446/20)+(L2446/240)</f>
        <v>220</v>
      </c>
      <c r="N2446" s="17" t="s">
        <v>64</v>
      </c>
      <c r="O2446" s="11" t="s">
        <v>277</v>
      </c>
      <c r="P2446" s="28" t="n">
        <f aca="false">245/100</f>
        <v>2.45</v>
      </c>
      <c r="Q2446" s="28" t="n">
        <v>539</v>
      </c>
      <c r="R2446" s="28"/>
      <c r="S2446" s="28" t="n">
        <f aca="false">R2446*$M2446</f>
        <v>0</v>
      </c>
      <c r="T2446" s="28" t="n">
        <f aca="false">40119/100</f>
        <v>401.19</v>
      </c>
      <c r="U2446" s="28" t="n">
        <v>88262</v>
      </c>
      <c r="V2446" s="28" t="n">
        <f aca="false">14285/100</f>
        <v>142.85</v>
      </c>
      <c r="W2446" s="28" t="n">
        <v>31427</v>
      </c>
      <c r="X2446" s="28" t="n">
        <f aca="false">62608/100</f>
        <v>626.08</v>
      </c>
      <c r="Y2446" s="28" t="n">
        <v>137738</v>
      </c>
      <c r="Z2446" s="28" t="n">
        <f aca="false">523/100</f>
        <v>5.23</v>
      </c>
      <c r="AA2446" s="28" t="n">
        <v>1151</v>
      </c>
      <c r="AB2446" s="28" t="n">
        <f aca="false">56/100</f>
        <v>0.56</v>
      </c>
      <c r="AC2446" s="28" t="n">
        <v>123</v>
      </c>
      <c r="AD2446" s="28"/>
      <c r="AE2446" s="28" t="n">
        <f aca="false">AD2446*$M2446</f>
        <v>0</v>
      </c>
      <c r="AF2446" s="28"/>
      <c r="AG2446" s="28" t="n">
        <f aca="false">AF2446*$M2446</f>
        <v>0</v>
      </c>
      <c r="AH2446" s="28"/>
      <c r="AI2446" s="28" t="n">
        <f aca="false">AH2446*$M2446</f>
        <v>0</v>
      </c>
      <c r="AJ2446" s="28" t="n">
        <f aca="false">3845/100</f>
        <v>38.45</v>
      </c>
      <c r="AK2446" s="28" t="n">
        <v>8459</v>
      </c>
      <c r="AL2446" s="28" t="n">
        <f aca="false">26510/100</f>
        <v>265.1</v>
      </c>
      <c r="AM2446" s="28" t="n">
        <v>58322</v>
      </c>
      <c r="AN2446" s="28" t="n">
        <f aca="false">330/100</f>
        <v>3.3</v>
      </c>
      <c r="AO2446" s="28" t="n">
        <v>726</v>
      </c>
      <c r="AP2446" s="28"/>
      <c r="AQ2446" s="28" t="n">
        <f aca="false">AP2446*$M2446</f>
        <v>0</v>
      </c>
      <c r="AR2446" s="28"/>
      <c r="AS2446" s="28" t="n">
        <f aca="false">AR2446*$M2446</f>
        <v>0</v>
      </c>
      <c r="AT2446" s="28"/>
      <c r="AU2446" s="28" t="n">
        <f aca="false">AT2446*$M2446</f>
        <v>0</v>
      </c>
      <c r="AV2446" s="28" t="n">
        <f aca="false">1487/100</f>
        <v>14.87</v>
      </c>
      <c r="AW2446" s="28" t="n">
        <v>3271</v>
      </c>
      <c r="AX2446" s="28"/>
      <c r="AY2446" s="28" t="n">
        <f aca="false">AX2446*$M2446</f>
        <v>0</v>
      </c>
      <c r="AZ2446" s="30" t="n">
        <f aca="false">150008/100</f>
        <v>1500.08</v>
      </c>
      <c r="BA2446" s="11" t="n">
        <v>330018</v>
      </c>
      <c r="BB2446" s="31" t="n">
        <f aca="false">SUM(Q2446,S2446,U2446,W2446,Y2446,AA2446,AC2446,AE2446,AG2446,AI2446,AK2446,AM2446,AO2446,AQ2446,AS2446,AU2446,AW2446,AY2446)</f>
        <v>330018</v>
      </c>
      <c r="BC2446" s="28" t="n">
        <f aca="false">BA2446-BB2446</f>
        <v>0</v>
      </c>
      <c r="BD2446" s="32" t="n">
        <f aca="false">SUM(P2446,R2446,T2446,V2446,X2446,Z2446,AB2446,AD2446,AF2446,AH2446,AJ2446,AL2446,AN2446,AP2446,AR2446,AT2446,AV2446,AX2446)</f>
        <v>1500.08</v>
      </c>
      <c r="BE2446" s="33" t="n">
        <f aca="false">AZ2446-BD2446</f>
        <v>0</v>
      </c>
      <c r="BF2446" s="34" t="n">
        <f aca="false">BD2446*M2446</f>
        <v>330017.6</v>
      </c>
      <c r="BG2446" s="35" t="n">
        <f aca="false">BA2446-BF2446</f>
        <v>0.399999999965075</v>
      </c>
      <c r="BH2446" s="19" t="str">
        <f aca="false">IF(BG2446=0,"",IF(BG2446&lt;&gt;BA2446,"erreur de calcul",IF(BD2446&lt;&gt;0,"pas de prix",IF(M2446&lt;&gt; 0,"pas de quantité","pas de prix, ni de quantité"))))</f>
        <v>erreur de calcul</v>
      </c>
      <c r="BI2446" s="19"/>
    </row>
    <row r="2447" customFormat="false" ht="15" hidden="false" customHeight="false" outlineLevel="0" collapsed="false">
      <c r="A2447" s="0" t="n">
        <v>11</v>
      </c>
      <c r="B2447" s="8" t="s">
        <v>24</v>
      </c>
      <c r="C2447" s="9" t="s">
        <v>25</v>
      </c>
      <c r="D2447" s="9" t="s">
        <v>26</v>
      </c>
      <c r="E2447" s="10" t="n">
        <v>1789</v>
      </c>
      <c r="F2447" s="9" t="s">
        <v>27</v>
      </c>
      <c r="G2447" s="9" t="s">
        <v>27</v>
      </c>
      <c r="H2447" s="11" t="n">
        <v>27</v>
      </c>
      <c r="I2447" s="11" t="s">
        <v>422</v>
      </c>
      <c r="J2447" s="14" t="n">
        <v>35</v>
      </c>
      <c r="K2447" s="14"/>
      <c r="L2447" s="16"/>
      <c r="M2447" s="27" t="n">
        <f aca="false">J2447+(K2447/20)+(L2447/240)</f>
        <v>35</v>
      </c>
      <c r="N2447" s="17" t="s">
        <v>64</v>
      </c>
      <c r="O2447" s="11"/>
      <c r="P2447" s="28"/>
      <c r="Q2447" s="28" t="n">
        <f aca="false">P2447*$M2447</f>
        <v>0</v>
      </c>
      <c r="R2447" s="28"/>
      <c r="S2447" s="28" t="n">
        <f aca="false">R2447*$M2447</f>
        <v>0</v>
      </c>
      <c r="T2447" s="28"/>
      <c r="U2447" s="28" t="n">
        <f aca="false">T2447*$M2447</f>
        <v>0</v>
      </c>
      <c r="V2447" s="28"/>
      <c r="W2447" s="28" t="n">
        <f aca="false">V2447*$M2447</f>
        <v>0</v>
      </c>
      <c r="X2447" s="28" t="n">
        <f aca="false">9982/100</f>
        <v>99.82</v>
      </c>
      <c r="Y2447" s="28" t="n">
        <v>3494</v>
      </c>
      <c r="Z2447" s="28"/>
      <c r="AA2447" s="28" t="n">
        <f aca="false">Z2447*$M2447</f>
        <v>0</v>
      </c>
      <c r="AB2447" s="28"/>
      <c r="AC2447" s="28" t="n">
        <f aca="false">AB2447*$M2447</f>
        <v>0</v>
      </c>
      <c r="AD2447" s="28"/>
      <c r="AE2447" s="28" t="n">
        <f aca="false">AD2447*$M2447</f>
        <v>0</v>
      </c>
      <c r="AF2447" s="28"/>
      <c r="AG2447" s="28" t="n">
        <f aca="false">AF2447*$M2447</f>
        <v>0</v>
      </c>
      <c r="AH2447" s="28"/>
      <c r="AI2447" s="28" t="n">
        <f aca="false">AH2447*$M2447</f>
        <v>0</v>
      </c>
      <c r="AJ2447" s="28" t="n">
        <f aca="false">28200/100</f>
        <v>282</v>
      </c>
      <c r="AK2447" s="28" t="n">
        <v>9870</v>
      </c>
      <c r="AL2447" s="28" t="n">
        <f aca="false">163472/100</f>
        <v>1634.72</v>
      </c>
      <c r="AM2447" s="28" t="n">
        <v>57215</v>
      </c>
      <c r="AN2447" s="28"/>
      <c r="AO2447" s="28" t="n">
        <f aca="false">AN2447*$M2447</f>
        <v>0</v>
      </c>
      <c r="AP2447" s="28"/>
      <c r="AQ2447" s="28" t="n">
        <f aca="false">AP2447*$M2447</f>
        <v>0</v>
      </c>
      <c r="AR2447" s="28"/>
      <c r="AS2447" s="28" t="n">
        <f aca="false">AR2447*$M2447</f>
        <v>0</v>
      </c>
      <c r="AT2447" s="28"/>
      <c r="AU2447" s="28" t="n">
        <f aca="false">AT2447*$M2447</f>
        <v>0</v>
      </c>
      <c r="AV2447" s="28" t="n">
        <f aca="false">49250/100</f>
        <v>492.5</v>
      </c>
      <c r="AW2447" s="28" t="n">
        <v>17237</v>
      </c>
      <c r="AX2447" s="28"/>
      <c r="AY2447" s="28" t="n">
        <f aca="false">AX2447*$M2447</f>
        <v>0</v>
      </c>
      <c r="AZ2447" s="30" t="n">
        <f aca="false">250904/100</f>
        <v>2509.04</v>
      </c>
      <c r="BA2447" s="11" t="n">
        <v>87816</v>
      </c>
      <c r="BB2447" s="31" t="n">
        <f aca="false">SUM(Q2447,S2447,U2447,W2447,Y2447,AA2447,AC2447,AE2447,AG2447,AI2447,AK2447,AM2447,AO2447,AQ2447,AS2447,AU2447,AW2447,AY2447)</f>
        <v>87816</v>
      </c>
      <c r="BC2447" s="28" t="n">
        <f aca="false">BA2447-BB2447</f>
        <v>0</v>
      </c>
      <c r="BD2447" s="32" t="n">
        <f aca="false">SUM(P2447,R2447,T2447,V2447,X2447,Z2447,AB2447,AD2447,AF2447,AH2447,AJ2447,AL2447,AN2447,AP2447,AR2447,AT2447,AV2447,AX2447)</f>
        <v>2509.04</v>
      </c>
      <c r="BE2447" s="33" t="n">
        <f aca="false">AZ2447-BD2447</f>
        <v>0</v>
      </c>
      <c r="BF2447" s="34" t="n">
        <f aca="false">BD2447*M2447</f>
        <v>87816.4</v>
      </c>
      <c r="BG2447" s="35" t="n">
        <f aca="false">BA2447-BF2447</f>
        <v>-0.400000000008731</v>
      </c>
      <c r="BH2447" s="19" t="str">
        <f aca="false">IF(BG2447=0,"",IF(BG2447&lt;&gt;BA2447,"erreur de calcul",IF(BD2447&lt;&gt;0,"pas de prix",IF(M2447&lt;&gt; 0,"pas de quantité","pas de prix, ni de quantité"))))</f>
        <v>erreur de calcul</v>
      </c>
      <c r="BI2447" s="19"/>
    </row>
    <row r="2448" customFormat="false" ht="15" hidden="false" customHeight="false" outlineLevel="0" collapsed="false">
      <c r="A2448" s="0" t="n">
        <v>12</v>
      </c>
      <c r="B2448" s="8" t="s">
        <v>24</v>
      </c>
      <c r="C2448" s="9" t="s">
        <v>25</v>
      </c>
      <c r="D2448" s="9" t="s">
        <v>26</v>
      </c>
      <c r="E2448" s="10" t="n">
        <v>1789</v>
      </c>
      <c r="F2448" s="9" t="s">
        <v>27</v>
      </c>
      <c r="G2448" s="9" t="s">
        <v>27</v>
      </c>
      <c r="H2448" s="11" t="n">
        <v>27</v>
      </c>
      <c r="I2448" s="11" t="s">
        <v>423</v>
      </c>
      <c r="J2448" s="14" t="n">
        <v>75</v>
      </c>
      <c r="K2448" s="14"/>
      <c r="L2448" s="16"/>
      <c r="M2448" s="27" t="n">
        <f aca="false">J2448+(K2448/20)+(L2448/240)</f>
        <v>75</v>
      </c>
      <c r="N2448" s="17" t="s">
        <v>64</v>
      </c>
      <c r="O2448" s="11"/>
      <c r="P2448" s="28"/>
      <c r="Q2448" s="28" t="n">
        <f aca="false">P2448*$M2448</f>
        <v>0</v>
      </c>
      <c r="R2448" s="28"/>
      <c r="S2448" s="28" t="n">
        <f aca="false">R2448*$M2448</f>
        <v>0</v>
      </c>
      <c r="T2448" s="28"/>
      <c r="U2448" s="28" t="n">
        <f aca="false">T2448*$M2448</f>
        <v>0</v>
      </c>
      <c r="V2448" s="28" t="n">
        <f aca="false">1030/100</f>
        <v>10.3</v>
      </c>
      <c r="W2448" s="28" t="n">
        <v>772</v>
      </c>
      <c r="X2448" s="28"/>
      <c r="Y2448" s="28" t="n">
        <f aca="false">X2448*$M2448</f>
        <v>0</v>
      </c>
      <c r="Z2448" s="28"/>
      <c r="AA2448" s="28" t="n">
        <f aca="false">Z2448*$M2448</f>
        <v>0</v>
      </c>
      <c r="AB2448" s="28"/>
      <c r="AC2448" s="28" t="n">
        <f aca="false">AB2448*$M2448</f>
        <v>0</v>
      </c>
      <c r="AD2448" s="28"/>
      <c r="AE2448" s="28" t="n">
        <f aca="false">AD2448*$M2448</f>
        <v>0</v>
      </c>
      <c r="AF2448" s="28"/>
      <c r="AG2448" s="28" t="n">
        <f aca="false">AF2448*$M2448</f>
        <v>0</v>
      </c>
      <c r="AH2448" s="28"/>
      <c r="AI2448" s="28" t="n">
        <f aca="false">AH2448*$M2448</f>
        <v>0</v>
      </c>
      <c r="AJ2448" s="28"/>
      <c r="AK2448" s="28" t="n">
        <f aca="false">AJ2448*$M2448</f>
        <v>0</v>
      </c>
      <c r="AL2448" s="28"/>
      <c r="AM2448" s="28" t="n">
        <f aca="false">AL2448*$M2448</f>
        <v>0</v>
      </c>
      <c r="AN2448" s="28"/>
      <c r="AO2448" s="28" t="n">
        <f aca="false">AN2448*$M2448</f>
        <v>0</v>
      </c>
      <c r="AP2448" s="28"/>
      <c r="AQ2448" s="28" t="n">
        <f aca="false">AP2448*$M2448</f>
        <v>0</v>
      </c>
      <c r="AR2448" s="28"/>
      <c r="AS2448" s="28" t="n">
        <f aca="false">AR2448*$M2448</f>
        <v>0</v>
      </c>
      <c r="AT2448" s="28"/>
      <c r="AU2448" s="28" t="n">
        <f aca="false">AT2448*$M2448</f>
        <v>0</v>
      </c>
      <c r="AV2448" s="28"/>
      <c r="AW2448" s="28" t="n">
        <f aca="false">AV2448*$M2448</f>
        <v>0</v>
      </c>
      <c r="AX2448" s="28"/>
      <c r="AY2448" s="28" t="n">
        <f aca="false">AX2448*$M2448</f>
        <v>0</v>
      </c>
      <c r="AZ2448" s="30" t="n">
        <f aca="false">1030/100</f>
        <v>10.3</v>
      </c>
      <c r="BA2448" s="11" t="n">
        <v>772</v>
      </c>
      <c r="BB2448" s="31" t="n">
        <f aca="false">SUM(Q2448,S2448,U2448,W2448,Y2448,AA2448,AC2448,AE2448,AG2448,AI2448,AK2448,AM2448,AO2448,AQ2448,AS2448,AU2448,AW2448,AY2448)</f>
        <v>772</v>
      </c>
      <c r="BC2448" s="28" t="n">
        <f aca="false">BA2448-BB2448</f>
        <v>0</v>
      </c>
      <c r="BD2448" s="32" t="n">
        <f aca="false">SUM(P2448,R2448,T2448,V2448,X2448,Z2448,AB2448,AD2448,AF2448,AH2448,AJ2448,AL2448,AN2448,AP2448,AR2448,AT2448,AV2448,AX2448)</f>
        <v>10.3</v>
      </c>
      <c r="BE2448" s="33" t="n">
        <f aca="false">AZ2448-BD2448</f>
        <v>0</v>
      </c>
      <c r="BF2448" s="34" t="n">
        <f aca="false">BD2448*M2448</f>
        <v>772.5</v>
      </c>
      <c r="BG2448" s="35" t="n">
        <f aca="false">BA2448-BF2448</f>
        <v>-0.5</v>
      </c>
      <c r="BH2448" s="19" t="str">
        <f aca="false">IF(BG2448=0,"",IF(BG2448&lt;&gt;BA2448,"erreur de calcul",IF(BD2448&lt;&gt;0,"pas de prix",IF(M2448&lt;&gt; 0,"pas de quantité","pas de prix, ni de quantité"))))</f>
        <v>erreur de calcul</v>
      </c>
      <c r="BI2448" s="19"/>
    </row>
    <row r="2449" customFormat="false" ht="15" hidden="false" customHeight="false" outlineLevel="0" collapsed="false">
      <c r="A2449" s="0" t="n">
        <v>13</v>
      </c>
      <c r="B2449" s="8" t="s">
        <v>24</v>
      </c>
      <c r="C2449" s="9" t="s">
        <v>25</v>
      </c>
      <c r="D2449" s="9" t="s">
        <v>26</v>
      </c>
      <c r="E2449" s="10" t="n">
        <v>1789</v>
      </c>
      <c r="F2449" s="9" t="s">
        <v>27</v>
      </c>
      <c r="G2449" s="9" t="s">
        <v>27</v>
      </c>
      <c r="H2449" s="11" t="n">
        <v>27</v>
      </c>
      <c r="I2449" s="11" t="s">
        <v>424</v>
      </c>
      <c r="J2449" s="14" t="n">
        <v>6</v>
      </c>
      <c r="K2449" s="14"/>
      <c r="L2449" s="16"/>
      <c r="M2449" s="27" t="n">
        <f aca="false">J2449+(K2449/20)+(L2449/240)</f>
        <v>6</v>
      </c>
      <c r="N2449" s="17" t="s">
        <v>64</v>
      </c>
      <c r="O2449" s="11" t="s">
        <v>277</v>
      </c>
      <c r="P2449" s="28"/>
      <c r="Q2449" s="28" t="n">
        <f aca="false">P2449*$M2449</f>
        <v>0</v>
      </c>
      <c r="R2449" s="28"/>
      <c r="S2449" s="28" t="n">
        <f aca="false">R2449*$M2449</f>
        <v>0</v>
      </c>
      <c r="T2449" s="28"/>
      <c r="U2449" s="28" t="n">
        <f aca="false">T2449*$M2449</f>
        <v>0</v>
      </c>
      <c r="V2449" s="28"/>
      <c r="W2449" s="28" t="n">
        <f aca="false">V2449*$M2449</f>
        <v>0</v>
      </c>
      <c r="X2449" s="28"/>
      <c r="Y2449" s="28" t="n">
        <f aca="false">X2449*$M2449</f>
        <v>0</v>
      </c>
      <c r="Z2449" s="28"/>
      <c r="AA2449" s="28" t="n">
        <f aca="false">Z2449*$M2449</f>
        <v>0</v>
      </c>
      <c r="AB2449" s="28"/>
      <c r="AC2449" s="28" t="n">
        <f aca="false">AB2449*$M2449</f>
        <v>0</v>
      </c>
      <c r="AD2449" s="28"/>
      <c r="AE2449" s="28" t="n">
        <f aca="false">AD2449*$M2449</f>
        <v>0</v>
      </c>
      <c r="AF2449" s="28"/>
      <c r="AG2449" s="28" t="n">
        <f aca="false">AF2449*$M2449</f>
        <v>0</v>
      </c>
      <c r="AH2449" s="28" t="n">
        <f aca="false">9050/100</f>
        <v>90.5</v>
      </c>
      <c r="AI2449" s="28" t="n">
        <v>543</v>
      </c>
      <c r="AJ2449" s="28"/>
      <c r="AK2449" s="28" t="n">
        <f aca="false">AJ2449*$M2449</f>
        <v>0</v>
      </c>
      <c r="AL2449" s="28" t="n">
        <f aca="false">48717/100</f>
        <v>487.17</v>
      </c>
      <c r="AM2449" s="28" t="n">
        <v>2923</v>
      </c>
      <c r="AN2449" s="28"/>
      <c r="AO2449" s="28" t="n">
        <f aca="false">AN2449*$M2449</f>
        <v>0</v>
      </c>
      <c r="AP2449" s="28"/>
      <c r="AQ2449" s="28" t="n">
        <f aca="false">AP2449*$M2449</f>
        <v>0</v>
      </c>
      <c r="AR2449" s="28"/>
      <c r="AS2449" s="28" t="n">
        <f aca="false">AR2449*$M2449</f>
        <v>0</v>
      </c>
      <c r="AT2449" s="28"/>
      <c r="AU2449" s="28" t="n">
        <f aca="false">AT2449*$M2449</f>
        <v>0</v>
      </c>
      <c r="AV2449" s="28"/>
      <c r="AW2449" s="28" t="n">
        <f aca="false">AV2449*$M2449</f>
        <v>0</v>
      </c>
      <c r="AX2449" s="28"/>
      <c r="AY2449" s="28" t="n">
        <f aca="false">AX2449*$M2449</f>
        <v>0</v>
      </c>
      <c r="AZ2449" s="30" t="n">
        <f aca="false">57767/100</f>
        <v>577.67</v>
      </c>
      <c r="BA2449" s="11" t="n">
        <v>3466</v>
      </c>
      <c r="BB2449" s="31" t="n">
        <f aca="false">SUM(Q2449,S2449,U2449,W2449,Y2449,AA2449,AC2449,AE2449,AG2449,AI2449,AK2449,AM2449,AO2449,AQ2449,AS2449,AU2449,AW2449,AY2449)</f>
        <v>3466</v>
      </c>
      <c r="BC2449" s="28" t="n">
        <f aca="false">BA2449-BB2449</f>
        <v>0</v>
      </c>
      <c r="BD2449" s="32" t="n">
        <f aca="false">SUM(P2449,R2449,T2449,V2449,X2449,Z2449,AB2449,AD2449,AF2449,AH2449,AJ2449,AL2449,AN2449,AP2449,AR2449,AT2449,AV2449,AX2449)</f>
        <v>577.67</v>
      </c>
      <c r="BE2449" s="33" t="n">
        <f aca="false">AZ2449-BD2449</f>
        <v>0</v>
      </c>
      <c r="BF2449" s="34" t="n">
        <f aca="false">BD2449*M2449</f>
        <v>3466.02</v>
      </c>
      <c r="BG2449" s="35" t="n">
        <f aca="false">BA2449-BF2449</f>
        <v>-0.0200000000004366</v>
      </c>
      <c r="BH2449" s="19" t="str">
        <f aca="false">IF(BG2449=0,"",IF(BG2449&lt;&gt;BA2449,"erreur de calcul",IF(BD2449&lt;&gt;0,"pas de prix",IF(M2449&lt;&gt; 0,"pas de quantité","pas de prix, ni de quantité"))))</f>
        <v>erreur de calcul</v>
      </c>
      <c r="BI2449" s="19"/>
    </row>
    <row r="2450" customFormat="false" ht="15" hidden="false" customHeight="false" outlineLevel="0" collapsed="false">
      <c r="A2450" s="0" t="n">
        <v>14</v>
      </c>
      <c r="B2450" s="8" t="s">
        <v>24</v>
      </c>
      <c r="C2450" s="9" t="s">
        <v>25</v>
      </c>
      <c r="D2450" s="9" t="s">
        <v>26</v>
      </c>
      <c r="E2450" s="10" t="n">
        <v>1789</v>
      </c>
      <c r="F2450" s="9" t="s">
        <v>27</v>
      </c>
      <c r="G2450" s="9" t="s">
        <v>27</v>
      </c>
      <c r="H2450" s="11" t="n">
        <v>27</v>
      </c>
      <c r="I2450" s="11" t="s">
        <v>425</v>
      </c>
      <c r="J2450" s="14" t="n">
        <v>25</v>
      </c>
      <c r="K2450" s="14"/>
      <c r="L2450" s="16"/>
      <c r="M2450" s="27" t="n">
        <f aca="false">J2450+(K2450/20)+(L2450/240)</f>
        <v>25</v>
      </c>
      <c r="N2450" s="17" t="s">
        <v>64</v>
      </c>
      <c r="O2450" s="11"/>
      <c r="P2450" s="28"/>
      <c r="Q2450" s="28" t="n">
        <f aca="false">P2450*$M2450</f>
        <v>0</v>
      </c>
      <c r="R2450" s="28"/>
      <c r="S2450" s="28" t="n">
        <f aca="false">R2450*$M2450</f>
        <v>0</v>
      </c>
      <c r="T2450" s="28" t="n">
        <f aca="false">10*288*0.02+114*0.02</f>
        <v>59.88</v>
      </c>
      <c r="U2450" s="28" t="n">
        <v>1497</v>
      </c>
      <c r="V2450" s="28"/>
      <c r="W2450" s="28" t="n">
        <f aca="false">V2450*$M2450</f>
        <v>0</v>
      </c>
      <c r="X2450" s="28"/>
      <c r="Y2450" s="28" t="n">
        <f aca="false">X2450*$M2450</f>
        <v>0</v>
      </c>
      <c r="Z2450" s="28"/>
      <c r="AA2450" s="28" t="n">
        <f aca="false">Z2450*$M2450</f>
        <v>0</v>
      </c>
      <c r="AB2450" s="28"/>
      <c r="AC2450" s="28" t="n">
        <f aca="false">AB2450*$M2450</f>
        <v>0</v>
      </c>
      <c r="AD2450" s="28"/>
      <c r="AE2450" s="28" t="n">
        <f aca="false">AD2450*$M2450</f>
        <v>0</v>
      </c>
      <c r="AF2450" s="28"/>
      <c r="AG2450" s="28" t="n">
        <f aca="false">AF2450*$M2450</f>
        <v>0</v>
      </c>
      <c r="AH2450" s="28"/>
      <c r="AI2450" s="28" t="n">
        <f aca="false">AH2450*$M2450</f>
        <v>0</v>
      </c>
      <c r="AJ2450" s="28"/>
      <c r="AK2450" s="28" t="n">
        <f aca="false">AJ2450*$M2450</f>
        <v>0</v>
      </c>
      <c r="AL2450" s="28"/>
      <c r="AM2450" s="28" t="n">
        <f aca="false">AL2450*$M2450</f>
        <v>0</v>
      </c>
      <c r="AN2450" s="28"/>
      <c r="AO2450" s="28" t="n">
        <f aca="false">AN2450*$M2450</f>
        <v>0</v>
      </c>
      <c r="AP2450" s="28"/>
      <c r="AQ2450" s="28" t="n">
        <f aca="false">AP2450*$M2450</f>
        <v>0</v>
      </c>
      <c r="AR2450" s="28"/>
      <c r="AS2450" s="28" t="n">
        <f aca="false">AR2450*$M2450</f>
        <v>0</v>
      </c>
      <c r="AT2450" s="28"/>
      <c r="AU2450" s="28" t="n">
        <f aca="false">AT2450*$M2450</f>
        <v>0</v>
      </c>
      <c r="AV2450" s="28"/>
      <c r="AW2450" s="28" t="n">
        <f aca="false">AV2450*$M2450</f>
        <v>0</v>
      </c>
      <c r="AX2450" s="28"/>
      <c r="AY2450" s="28" t="n">
        <f aca="false">AX2450*$M2450</f>
        <v>0</v>
      </c>
      <c r="AZ2450" s="30" t="n">
        <f aca="false">10*288*0.02+114*0.02</f>
        <v>59.88</v>
      </c>
      <c r="BA2450" s="11" t="n">
        <v>1497</v>
      </c>
      <c r="BB2450" s="31" t="n">
        <f aca="false">SUM(Q2450,S2450,U2450,W2450,Y2450,AA2450,AC2450,AE2450,AG2450,AI2450,AK2450,AM2450,AO2450,AQ2450,AS2450,AU2450,AW2450,AY2450)</f>
        <v>1497</v>
      </c>
      <c r="BC2450" s="28" t="n">
        <f aca="false">BA2450-BB2450</f>
        <v>0</v>
      </c>
      <c r="BD2450" s="32" t="n">
        <f aca="false">SUM(P2450,R2450,T2450,V2450,X2450,Z2450,AB2450,AD2450,AF2450,AH2450,AJ2450,AL2450,AN2450,AP2450,AR2450,AT2450,AV2450,AX2450)</f>
        <v>59.88</v>
      </c>
      <c r="BE2450" s="33" t="n">
        <f aca="false">AZ2450-BD2450</f>
        <v>0</v>
      </c>
      <c r="BF2450" s="34" t="n">
        <f aca="false">BD2450*M2450</f>
        <v>1497</v>
      </c>
      <c r="BG2450" s="35" t="n">
        <f aca="false">BA2450-BF2450</f>
        <v>0</v>
      </c>
      <c r="BH2450" s="19" t="str">
        <f aca="false">IF(BG2450=0,"",IF(BG2450&lt;&gt;BA2450,"erreur de calcul",IF(BD2450&lt;&gt;0,"pas de prix",IF(M2450&lt;&gt; 0,"pas de quantité","pas de prix, ni de quantité"))))</f>
        <v/>
      </c>
      <c r="BI2450" s="19"/>
    </row>
    <row r="2451" customFormat="false" ht="15" hidden="false" customHeight="false" outlineLevel="0" collapsed="false">
      <c r="A2451" s="0" t="n">
        <v>15</v>
      </c>
      <c r="B2451" s="8" t="s">
        <v>24</v>
      </c>
      <c r="C2451" s="9" t="s">
        <v>25</v>
      </c>
      <c r="D2451" s="9" t="s">
        <v>26</v>
      </c>
      <c r="E2451" s="10" t="n">
        <v>1789</v>
      </c>
      <c r="F2451" s="9" t="s">
        <v>27</v>
      </c>
      <c r="G2451" s="9" t="s">
        <v>27</v>
      </c>
      <c r="H2451" s="11" t="n">
        <v>27</v>
      </c>
      <c r="I2451" s="11" t="s">
        <v>426</v>
      </c>
      <c r="J2451" s="14" t="n">
        <v>40</v>
      </c>
      <c r="K2451" s="14"/>
      <c r="L2451" s="16"/>
      <c r="M2451" s="27" t="n">
        <f aca="false">J2451+(K2451/20)+(L2451/240)</f>
        <v>40</v>
      </c>
      <c r="N2451" s="17" t="s">
        <v>64</v>
      </c>
      <c r="O2451" s="11"/>
      <c r="P2451" s="28"/>
      <c r="Q2451" s="28" t="n">
        <f aca="false">P2451*$M2451</f>
        <v>0</v>
      </c>
      <c r="R2451" s="28"/>
      <c r="S2451" s="28" t="n">
        <f aca="false">R2451*$M2451</f>
        <v>0</v>
      </c>
      <c r="T2451" s="28"/>
      <c r="U2451" s="28" t="n">
        <f aca="false">T2451*$M2451</f>
        <v>0</v>
      </c>
      <c r="V2451" s="28"/>
      <c r="W2451" s="28" t="n">
        <f aca="false">V2451*$M2451</f>
        <v>0</v>
      </c>
      <c r="X2451" s="28"/>
      <c r="Y2451" s="28" t="n">
        <f aca="false">X2451*$M2451</f>
        <v>0</v>
      </c>
      <c r="Z2451" s="28"/>
      <c r="AA2451" s="28" t="n">
        <f aca="false">Z2451*$M2451</f>
        <v>0</v>
      </c>
      <c r="AB2451" s="28"/>
      <c r="AC2451" s="28" t="n">
        <f aca="false">AB2451*$M2451</f>
        <v>0</v>
      </c>
      <c r="AD2451" s="28"/>
      <c r="AE2451" s="28" t="n">
        <f aca="false">AD2451*$M2451</f>
        <v>0</v>
      </c>
      <c r="AF2451" s="28"/>
      <c r="AG2451" s="28" t="n">
        <f aca="false">AF2451*$M2451</f>
        <v>0</v>
      </c>
      <c r="AH2451" s="28" t="n">
        <f aca="false">1*288*0.02+59*0.02</f>
        <v>6.94</v>
      </c>
      <c r="AI2451" s="28" t="n">
        <v>278</v>
      </c>
      <c r="AJ2451" s="28"/>
      <c r="AK2451" s="28" t="n">
        <f aca="false">AJ2451*$M2451</f>
        <v>0</v>
      </c>
      <c r="AL2451" s="28"/>
      <c r="AM2451" s="28" t="n">
        <f aca="false">AL2451*$M2451</f>
        <v>0</v>
      </c>
      <c r="AN2451" s="28"/>
      <c r="AO2451" s="28" t="n">
        <f aca="false">AN2451*$M2451</f>
        <v>0</v>
      </c>
      <c r="AP2451" s="28"/>
      <c r="AQ2451" s="28" t="n">
        <f aca="false">AP2451*$M2451</f>
        <v>0</v>
      </c>
      <c r="AR2451" s="28"/>
      <c r="AS2451" s="28" t="n">
        <f aca="false">AR2451*$M2451</f>
        <v>0</v>
      </c>
      <c r="AT2451" s="28"/>
      <c r="AU2451" s="28" t="n">
        <f aca="false">AT2451*$M2451</f>
        <v>0</v>
      </c>
      <c r="AV2451" s="28"/>
      <c r="AW2451" s="28" t="n">
        <f aca="false">AV2451*$M2451</f>
        <v>0</v>
      </c>
      <c r="AX2451" s="28"/>
      <c r="AY2451" s="28" t="n">
        <f aca="false">AX2451*$M2451</f>
        <v>0</v>
      </c>
      <c r="AZ2451" s="30" t="n">
        <f aca="false">1*288*0.02+59*0.02</f>
        <v>6.94</v>
      </c>
      <c r="BA2451" s="11" t="n">
        <v>278</v>
      </c>
      <c r="BB2451" s="31" t="n">
        <f aca="false">SUM(Q2451,S2451,U2451,W2451,Y2451,AA2451,AC2451,AE2451,AG2451,AI2451,AK2451,AM2451,AO2451,AQ2451,AS2451,AU2451,AW2451,AY2451)</f>
        <v>278</v>
      </c>
      <c r="BC2451" s="28" t="n">
        <f aca="false">BA2451-BB2451</f>
        <v>0</v>
      </c>
      <c r="BD2451" s="32" t="n">
        <f aca="false">SUM(P2451,R2451,T2451,V2451,X2451,Z2451,AB2451,AD2451,AF2451,AH2451,AJ2451,AL2451,AN2451,AP2451,AR2451,AT2451,AV2451,AX2451)</f>
        <v>6.94</v>
      </c>
      <c r="BE2451" s="33" t="n">
        <f aca="false">AZ2451-BD2451</f>
        <v>0</v>
      </c>
      <c r="BF2451" s="34" t="n">
        <f aca="false">BD2451*M2451</f>
        <v>277.6</v>
      </c>
      <c r="BG2451" s="35" t="n">
        <f aca="false">BA2451-BF2451</f>
        <v>0.400000000000034</v>
      </c>
      <c r="BH2451" s="19" t="str">
        <f aca="false">IF(BG2451=0,"",IF(BG2451&lt;&gt;BA2451,"erreur de calcul",IF(BD2451&lt;&gt;0,"pas de prix",IF(M2451&lt;&gt; 0,"pas de quantité","pas de prix, ni de quantité"))))</f>
        <v>erreur de calcul</v>
      </c>
      <c r="BI2451" s="19"/>
    </row>
    <row r="2452" customFormat="false" ht="15" hidden="false" customHeight="false" outlineLevel="0" collapsed="false">
      <c r="A2452" s="0" t="n">
        <v>16</v>
      </c>
      <c r="B2452" s="8" t="s">
        <v>24</v>
      </c>
      <c r="C2452" s="9" t="s">
        <v>25</v>
      </c>
      <c r="D2452" s="9" t="s">
        <v>26</v>
      </c>
      <c r="E2452" s="10" t="n">
        <v>1789</v>
      </c>
      <c r="F2452" s="9" t="s">
        <v>27</v>
      </c>
      <c r="G2452" s="9" t="s">
        <v>27</v>
      </c>
      <c r="H2452" s="11" t="n">
        <v>27</v>
      </c>
      <c r="I2452" s="11" t="s">
        <v>427</v>
      </c>
      <c r="J2452" s="14" t="n">
        <v>32</v>
      </c>
      <c r="K2452" s="14"/>
      <c r="L2452" s="16"/>
      <c r="M2452" s="27" t="n">
        <f aca="false">J2452+(K2452/20)+(L2452/240)</f>
        <v>32</v>
      </c>
      <c r="N2452" s="17" t="s">
        <v>64</v>
      </c>
      <c r="O2452" s="11"/>
      <c r="P2452" s="28" t="n">
        <f aca="false">33*288*0.02+179*0.02</f>
        <v>193.66</v>
      </c>
      <c r="Q2452" s="28" t="n">
        <v>6197</v>
      </c>
      <c r="R2452" s="28"/>
      <c r="S2452" s="28" t="n">
        <f aca="false">R2452*$M2452</f>
        <v>0</v>
      </c>
      <c r="T2452" s="28"/>
      <c r="U2452" s="28" t="n">
        <f aca="false">T2452*$M2452</f>
        <v>0</v>
      </c>
      <c r="V2452" s="28"/>
      <c r="W2452" s="28" t="n">
        <f aca="false">V2452*$M2452</f>
        <v>0</v>
      </c>
      <c r="X2452" s="28"/>
      <c r="Y2452" s="28" t="n">
        <f aca="false">X2452*$M2452</f>
        <v>0</v>
      </c>
      <c r="Z2452" s="28"/>
      <c r="AA2452" s="28" t="n">
        <f aca="false">Z2452*$M2452</f>
        <v>0</v>
      </c>
      <c r="AB2452" s="28"/>
      <c r="AC2452" s="28" t="n">
        <f aca="false">AB2452*$M2452</f>
        <v>0</v>
      </c>
      <c r="AD2452" s="28"/>
      <c r="AE2452" s="28" t="n">
        <f aca="false">AD2452*$M2452</f>
        <v>0</v>
      </c>
      <c r="AF2452" s="28"/>
      <c r="AG2452" s="28" t="n">
        <f aca="false">AF2452*$M2452</f>
        <v>0</v>
      </c>
      <c r="AH2452" s="28"/>
      <c r="AI2452" s="28" t="n">
        <f aca="false">AH2452*$M2452</f>
        <v>0</v>
      </c>
      <c r="AJ2452" s="28"/>
      <c r="AK2452" s="28" t="n">
        <f aca="false">AJ2452*$M2452</f>
        <v>0</v>
      </c>
      <c r="AL2452" s="28"/>
      <c r="AM2452" s="28" t="n">
        <f aca="false">AL2452*$M2452</f>
        <v>0</v>
      </c>
      <c r="AN2452" s="28"/>
      <c r="AO2452" s="28" t="n">
        <f aca="false">AN2452*$M2452</f>
        <v>0</v>
      </c>
      <c r="AP2452" s="28"/>
      <c r="AQ2452" s="28" t="n">
        <f aca="false">AP2452*$M2452</f>
        <v>0</v>
      </c>
      <c r="AR2452" s="28"/>
      <c r="AS2452" s="28" t="n">
        <f aca="false">AR2452*$M2452</f>
        <v>0</v>
      </c>
      <c r="AT2452" s="28"/>
      <c r="AU2452" s="28" t="n">
        <f aca="false">AT2452*$M2452</f>
        <v>0</v>
      </c>
      <c r="AV2452" s="28"/>
      <c r="AW2452" s="28" t="n">
        <f aca="false">AV2452*$M2452</f>
        <v>0</v>
      </c>
      <c r="AX2452" s="28"/>
      <c r="AY2452" s="28" t="n">
        <f aca="false">AX2452*$M2452</f>
        <v>0</v>
      </c>
      <c r="AZ2452" s="30" t="n">
        <f aca="false">33*288*0.02+179*0.02</f>
        <v>193.66</v>
      </c>
      <c r="BA2452" s="11" t="n">
        <v>6197</v>
      </c>
      <c r="BB2452" s="31" t="n">
        <f aca="false">SUM(Q2452,S2452,U2452,W2452,Y2452,AA2452,AC2452,AE2452,AG2452,AI2452,AK2452,AM2452,AO2452,AQ2452,AS2452,AU2452,AW2452,AY2452)</f>
        <v>6197</v>
      </c>
      <c r="BC2452" s="28" t="n">
        <f aca="false">BA2452-BB2452</f>
        <v>0</v>
      </c>
      <c r="BD2452" s="32" t="n">
        <f aca="false">SUM(P2452,R2452,T2452,V2452,X2452,Z2452,AB2452,AD2452,AF2452,AH2452,AJ2452,AL2452,AN2452,AP2452,AR2452,AT2452,AV2452,AX2452)</f>
        <v>193.66</v>
      </c>
      <c r="BE2452" s="33" t="n">
        <f aca="false">AZ2452-BD2452</f>
        <v>0</v>
      </c>
      <c r="BF2452" s="34" t="n">
        <f aca="false">BD2452*M2452</f>
        <v>6197.12</v>
      </c>
      <c r="BG2452" s="35" t="n">
        <f aca="false">BA2452-BF2452</f>
        <v>-0.1200000000008</v>
      </c>
      <c r="BH2452" s="19" t="str">
        <f aca="false">IF(BG2452=0,"",IF(BG2452&lt;&gt;BA2452,"erreur de calcul",IF(BD2452&lt;&gt;0,"pas de prix",IF(M2452&lt;&gt; 0,"pas de quantité","pas de prix, ni de quantité"))))</f>
        <v>erreur de calcul</v>
      </c>
      <c r="BI2452" s="19"/>
    </row>
    <row r="2453" customFormat="false" ht="15" hidden="false" customHeight="false" outlineLevel="0" collapsed="false">
      <c r="A2453" s="0" t="n">
        <v>17</v>
      </c>
      <c r="B2453" s="8" t="s">
        <v>24</v>
      </c>
      <c r="C2453" s="9" t="s">
        <v>25</v>
      </c>
      <c r="D2453" s="9" t="s">
        <v>26</v>
      </c>
      <c r="E2453" s="10" t="n">
        <v>1789</v>
      </c>
      <c r="F2453" s="9" t="s">
        <v>27</v>
      </c>
      <c r="G2453" s="9" t="s">
        <v>27</v>
      </c>
      <c r="H2453" s="11" t="n">
        <v>27</v>
      </c>
      <c r="I2453" s="11" t="s">
        <v>428</v>
      </c>
      <c r="J2453" s="14"/>
      <c r="K2453" s="14" t="n">
        <v>12</v>
      </c>
      <c r="L2453" s="16"/>
      <c r="M2453" s="27" t="n">
        <f aca="false">J2453+(K2453/20)+(L2453/240)</f>
        <v>0.6</v>
      </c>
      <c r="N2453" s="17" t="s">
        <v>429</v>
      </c>
      <c r="O2453" s="11"/>
      <c r="P2453" s="28" t="n">
        <f aca="false">620*288+173</f>
        <v>178733</v>
      </c>
      <c r="Q2453" s="28" t="n">
        <v>107240</v>
      </c>
      <c r="R2453" s="28"/>
      <c r="S2453" s="28" t="n">
        <f aca="false">R2453*$M2453</f>
        <v>0</v>
      </c>
      <c r="T2453" s="28"/>
      <c r="U2453" s="28" t="n">
        <f aca="false">T2453*$M2453</f>
        <v>0</v>
      </c>
      <c r="V2453" s="28" t="n">
        <f aca="false">4*288+179</f>
        <v>1331</v>
      </c>
      <c r="W2453" s="28" t="n">
        <v>799</v>
      </c>
      <c r="X2453" s="28"/>
      <c r="Y2453" s="28" t="n">
        <f aca="false">X2453*$M2453</f>
        <v>0</v>
      </c>
      <c r="Z2453" s="28"/>
      <c r="AA2453" s="28" t="n">
        <f aca="false">Z2453*$M2453</f>
        <v>0</v>
      </c>
      <c r="AB2453" s="28"/>
      <c r="AC2453" s="28" t="n">
        <f aca="false">AB2453*$M2453</f>
        <v>0</v>
      </c>
      <c r="AD2453" s="28"/>
      <c r="AE2453" s="28" t="n">
        <f aca="false">AD2453*$M2453</f>
        <v>0</v>
      </c>
      <c r="AF2453" s="28"/>
      <c r="AG2453" s="28" t="n">
        <f aca="false">AF2453*$M2453</f>
        <v>0</v>
      </c>
      <c r="AH2453" s="28" t="n">
        <f aca="false">12*288+227</f>
        <v>3683</v>
      </c>
      <c r="AI2453" s="28" t="n">
        <v>2210</v>
      </c>
      <c r="AJ2453" s="28"/>
      <c r="AK2453" s="28" t="n">
        <f aca="false">AJ2453*$M2453</f>
        <v>0</v>
      </c>
      <c r="AL2453" s="28"/>
      <c r="AM2453" s="28" t="n">
        <f aca="false">AL2453*$M2453</f>
        <v>0</v>
      </c>
      <c r="AN2453" s="28"/>
      <c r="AO2453" s="28" t="n">
        <f aca="false">AN2453*$M2453</f>
        <v>0</v>
      </c>
      <c r="AP2453" s="28"/>
      <c r="AQ2453" s="28" t="n">
        <f aca="false">AP2453*$M2453</f>
        <v>0</v>
      </c>
      <c r="AR2453" s="28"/>
      <c r="AS2453" s="28" t="n">
        <f aca="false">AR2453*$M2453</f>
        <v>0</v>
      </c>
      <c r="AT2453" s="28"/>
      <c r="AU2453" s="28" t="n">
        <f aca="false">AT2453*$M2453</f>
        <v>0</v>
      </c>
      <c r="AV2453" s="28"/>
      <c r="AW2453" s="28" t="n">
        <f aca="false">AV2453*$M2453</f>
        <v>0</v>
      </c>
      <c r="AX2453" s="28"/>
      <c r="AY2453" s="28" t="n">
        <f aca="false">AX2453*$M2453</f>
        <v>0</v>
      </c>
      <c r="AZ2453" s="30" t="n">
        <f aca="false">638*288+3</f>
        <v>183747</v>
      </c>
      <c r="BA2453" s="11" t="n">
        <v>110249</v>
      </c>
      <c r="BB2453" s="31" t="n">
        <f aca="false">SUM(Q2453,S2453,U2453,W2453,Y2453,AA2453,AC2453,AE2453,AG2453,AI2453,AK2453,AM2453,AO2453,AQ2453,AS2453,AU2453,AW2453,AY2453)</f>
        <v>110249</v>
      </c>
      <c r="BC2453" s="28" t="n">
        <f aca="false">BA2453-BB2453</f>
        <v>0</v>
      </c>
      <c r="BD2453" s="32" t="n">
        <f aca="false">SUM(P2453,R2453,T2453,V2453,X2453,Z2453,AB2453,AD2453,AF2453,AH2453,AJ2453,AL2453,AN2453,AP2453,AR2453,AT2453,AV2453,AX2453)</f>
        <v>183747</v>
      </c>
      <c r="BE2453" s="33" t="n">
        <f aca="false">AZ2453-BD2453</f>
        <v>0</v>
      </c>
      <c r="BF2453" s="34" t="n">
        <f aca="false">BD2453*M2453</f>
        <v>110248.2</v>
      </c>
      <c r="BG2453" s="35" t="n">
        <f aca="false">BA2453-BF2453</f>
        <v>0.80000000000291</v>
      </c>
      <c r="BH2453" s="19" t="str">
        <f aca="false">IF(BG2453=0,"",IF(BG2453&lt;&gt;BA2453,"erreur de calcul",IF(BD2453&lt;&gt;0,"pas de prix",IF(M2453&lt;&gt; 0,"pas de quantité","pas de prix, ni de quantité"))))</f>
        <v>erreur de calcul</v>
      </c>
      <c r="BI2453" s="19"/>
    </row>
    <row r="2454" customFormat="false" ht="15" hidden="false" customHeight="false" outlineLevel="0" collapsed="false">
      <c r="A2454" s="0" t="n">
        <v>18</v>
      </c>
      <c r="B2454" s="8" t="s">
        <v>24</v>
      </c>
      <c r="C2454" s="9" t="s">
        <v>25</v>
      </c>
      <c r="D2454" s="9" t="s">
        <v>26</v>
      </c>
      <c r="E2454" s="10" t="n">
        <v>1789</v>
      </c>
      <c r="F2454" s="9" t="s">
        <v>27</v>
      </c>
      <c r="G2454" s="9" t="s">
        <v>27</v>
      </c>
      <c r="H2454" s="11" t="n">
        <v>27</v>
      </c>
      <c r="I2454" s="11" t="s">
        <v>430</v>
      </c>
      <c r="J2454" s="14" t="n">
        <v>30</v>
      </c>
      <c r="K2454" s="14"/>
      <c r="L2454" s="16"/>
      <c r="M2454" s="27" t="n">
        <f aca="false">J2454+(K2454/20)+(L2454/240)</f>
        <v>30</v>
      </c>
      <c r="N2454" s="17" t="s">
        <v>64</v>
      </c>
      <c r="O2454" s="11" t="s">
        <v>77</v>
      </c>
      <c r="P2454" s="28"/>
      <c r="Q2454" s="28" t="n">
        <f aca="false">P2454*$M2454</f>
        <v>0</v>
      </c>
      <c r="R2454" s="28"/>
      <c r="S2454" s="28" t="n">
        <f aca="false">R2454*$M2454</f>
        <v>0</v>
      </c>
      <c r="T2454" s="28" t="n">
        <f aca="false">3*288*0.02+162*0.02</f>
        <v>20.52</v>
      </c>
      <c r="U2454" s="28" t="n">
        <v>616</v>
      </c>
      <c r="V2454" s="28"/>
      <c r="W2454" s="28" t="n">
        <f aca="false">V2454*$M2454</f>
        <v>0</v>
      </c>
      <c r="X2454" s="28" t="n">
        <f aca="false">4*288*0.02+17*0.02</f>
        <v>23.38</v>
      </c>
      <c r="Y2454" s="28" t="n">
        <v>702</v>
      </c>
      <c r="Z2454" s="28" t="n">
        <f aca="false">3*288*0.02+169*0.02</f>
        <v>20.66</v>
      </c>
      <c r="AA2454" s="28" t="n">
        <v>620</v>
      </c>
      <c r="AB2454" s="28" t="n">
        <f aca="false">10*288*0.02+224*0.02</f>
        <v>62.08</v>
      </c>
      <c r="AC2454" s="28" t="n">
        <v>1863</v>
      </c>
      <c r="AD2454" s="28"/>
      <c r="AE2454" s="28" t="n">
        <f aca="false">AD2454*$M2454</f>
        <v>0</v>
      </c>
      <c r="AF2454" s="28"/>
      <c r="AG2454" s="28" t="n">
        <f aca="false">AF2454*$M2454</f>
        <v>0</v>
      </c>
      <c r="AH2454" s="28" t="n">
        <f aca="false">200*0.02</f>
        <v>4</v>
      </c>
      <c r="AI2454" s="28" t="n">
        <v>120</v>
      </c>
      <c r="AJ2454" s="28"/>
      <c r="AK2454" s="28" t="n">
        <f aca="false">AJ2454*$M2454</f>
        <v>0</v>
      </c>
      <c r="AL2454" s="28"/>
      <c r="AM2454" s="28" t="n">
        <f aca="false">AL2454*$M2454</f>
        <v>0</v>
      </c>
      <c r="AN2454" s="28"/>
      <c r="AO2454" s="28" t="n">
        <f aca="false">AN2454*$M2454</f>
        <v>0</v>
      </c>
      <c r="AP2454" s="28"/>
      <c r="AQ2454" s="28" t="n">
        <f aca="false">AP2454*$M2454</f>
        <v>0</v>
      </c>
      <c r="AR2454" s="28"/>
      <c r="AS2454" s="28" t="n">
        <f aca="false">AR2454*$M2454</f>
        <v>0</v>
      </c>
      <c r="AT2454" s="28"/>
      <c r="AU2454" s="28" t="n">
        <f aca="false">AT2454*$M2454</f>
        <v>0</v>
      </c>
      <c r="AV2454" s="28"/>
      <c r="AW2454" s="28" t="n">
        <f aca="false">AV2454*$M2454</f>
        <v>0</v>
      </c>
      <c r="AX2454" s="28"/>
      <c r="AY2454" s="28" t="n">
        <f aca="false">AX2454*$M2454</f>
        <v>0</v>
      </c>
      <c r="AZ2454" s="30" t="n">
        <f aca="false">22*288*0.02+196*0.02</f>
        <v>130.64</v>
      </c>
      <c r="BA2454" s="11" t="n">
        <v>3921</v>
      </c>
      <c r="BB2454" s="31" t="n">
        <f aca="false">SUM(Q2454,S2454,U2454,W2454,Y2454,AA2454,AC2454,AE2454,AG2454,AI2454,AK2454,AM2454,AO2454,AQ2454,AS2454,AU2454,AW2454,AY2454)</f>
        <v>3921</v>
      </c>
      <c r="BC2454" s="28" t="n">
        <f aca="false">BA2454-BB2454</f>
        <v>0</v>
      </c>
      <c r="BD2454" s="32" t="n">
        <f aca="false">SUM(P2454,R2454,T2454,V2454,X2454,Z2454,AB2454,AD2454,AF2454,AH2454,AJ2454,AL2454,AN2454,AP2454,AR2454,AT2454,AV2454,AX2454)</f>
        <v>130.64</v>
      </c>
      <c r="BE2454" s="33" t="n">
        <f aca="false">AZ2454-BD2454</f>
        <v>0</v>
      </c>
      <c r="BF2454" s="34" t="n">
        <f aca="false">BD2454*M2454</f>
        <v>3919.2</v>
      </c>
      <c r="BG2454" s="35" t="n">
        <f aca="false">BA2454-BF2454</f>
        <v>1.80000000000018</v>
      </c>
      <c r="BH2454" s="19" t="str">
        <f aca="false">IF(BG2454=0,"",IF(BG2454&lt;&gt;BA2454,"erreur de calcul",IF(BD2454&lt;&gt;0,"pas de prix",IF(M2454&lt;&gt; 0,"pas de quantité","pas de prix, ni de quantité"))))</f>
        <v>erreur de calcul</v>
      </c>
      <c r="BI2454" s="19"/>
    </row>
    <row r="2455" customFormat="false" ht="15" hidden="false" customHeight="false" outlineLevel="0" collapsed="false">
      <c r="A2455" s="0" t="n">
        <v>19</v>
      </c>
      <c r="B2455" s="8" t="s">
        <v>24</v>
      </c>
      <c r="C2455" s="9" t="s">
        <v>25</v>
      </c>
      <c r="D2455" s="9" t="s">
        <v>26</v>
      </c>
      <c r="E2455" s="10" t="n">
        <v>1789</v>
      </c>
      <c r="F2455" s="9" t="s">
        <v>27</v>
      </c>
      <c r="G2455" s="9" t="s">
        <v>27</v>
      </c>
      <c r="H2455" s="11" t="n">
        <v>27</v>
      </c>
      <c r="I2455" s="11" t="s">
        <v>431</v>
      </c>
      <c r="J2455" s="14" t="n">
        <v>10</v>
      </c>
      <c r="K2455" s="14"/>
      <c r="L2455" s="16"/>
      <c r="M2455" s="27" t="n">
        <f aca="false">J2455+(K2455/20)+(L2455/240)</f>
        <v>10</v>
      </c>
      <c r="N2455" s="17" t="s">
        <v>432</v>
      </c>
      <c r="O2455" s="11" t="s">
        <v>109</v>
      </c>
      <c r="P2455" s="28" t="n">
        <f aca="false">105*(288/62.5)+135/62.5</f>
        <v>486</v>
      </c>
      <c r="Q2455" s="28" t="n">
        <v>4860</v>
      </c>
      <c r="R2455" s="28"/>
      <c r="S2455" s="28" t="n">
        <f aca="false">R2455*$M2455</f>
        <v>0</v>
      </c>
      <c r="T2455" s="28" t="n">
        <f aca="false">8*(288/62.5)+196/62.5</f>
        <v>40</v>
      </c>
      <c r="U2455" s="28" t="n">
        <v>400</v>
      </c>
      <c r="V2455" s="28"/>
      <c r="W2455" s="28" t="n">
        <f aca="false">V2455*$M2455</f>
        <v>0</v>
      </c>
      <c r="X2455" s="28"/>
      <c r="Y2455" s="28" t="n">
        <f aca="false">X2455*$M2455</f>
        <v>0</v>
      </c>
      <c r="Z2455" s="28"/>
      <c r="AA2455" s="28" t="n">
        <f aca="false">Z2455*$M2455</f>
        <v>0</v>
      </c>
      <c r="AB2455" s="28"/>
      <c r="AC2455" s="28" t="n">
        <f aca="false">AB2455*$M2455</f>
        <v>0</v>
      </c>
      <c r="AD2455" s="28"/>
      <c r="AE2455" s="28" t="n">
        <f aca="false">AD2455*$M2455</f>
        <v>0</v>
      </c>
      <c r="AF2455" s="28"/>
      <c r="AG2455" s="28" t="n">
        <f aca="false">AF2455*$M2455</f>
        <v>0</v>
      </c>
      <c r="AH2455" s="28"/>
      <c r="AI2455" s="28" t="n">
        <f aca="false">AH2455*$M2455</f>
        <v>0</v>
      </c>
      <c r="AJ2455" s="28"/>
      <c r="AK2455" s="28" t="n">
        <f aca="false">AJ2455*$M2455</f>
        <v>0</v>
      </c>
      <c r="AL2455" s="28"/>
      <c r="AM2455" s="28" t="n">
        <f aca="false">AL2455*$M2455</f>
        <v>0</v>
      </c>
      <c r="AN2455" s="28"/>
      <c r="AO2455" s="28" t="n">
        <f aca="false">AN2455*$M2455</f>
        <v>0</v>
      </c>
      <c r="AP2455" s="28"/>
      <c r="AQ2455" s="28" t="n">
        <f aca="false">AP2455*$M2455</f>
        <v>0</v>
      </c>
      <c r="AR2455" s="28"/>
      <c r="AS2455" s="28" t="n">
        <f aca="false">AR2455*$M2455</f>
        <v>0</v>
      </c>
      <c r="AT2455" s="28"/>
      <c r="AU2455" s="28" t="n">
        <f aca="false">AT2455*$M2455</f>
        <v>0</v>
      </c>
      <c r="AV2455" s="28"/>
      <c r="AW2455" s="28" t="n">
        <f aca="false">AV2455*$M2455</f>
        <v>0</v>
      </c>
      <c r="AX2455" s="28"/>
      <c r="AY2455" s="28" t="n">
        <f aca="false">AX2455*$M2455</f>
        <v>0</v>
      </c>
      <c r="AZ2455" s="30" t="n">
        <f aca="false">114*(288/62.5)+43/62.5</f>
        <v>526</v>
      </c>
      <c r="BA2455" s="11" t="n">
        <v>5260</v>
      </c>
      <c r="BB2455" s="31" t="n">
        <f aca="false">SUM(Q2455,S2455,U2455,W2455,Y2455,AA2455,AC2455,AE2455,AG2455,AI2455,AK2455,AM2455,AO2455,AQ2455,AS2455,AU2455,AW2455,AY2455)</f>
        <v>5260</v>
      </c>
      <c r="BC2455" s="28" t="n">
        <f aca="false">BA2455-BB2455</f>
        <v>0</v>
      </c>
      <c r="BD2455" s="32" t="n">
        <f aca="false">SUM(P2455,R2455,T2455,V2455,X2455,Z2455,AB2455,AD2455,AF2455,AH2455,AJ2455,AL2455,AN2455,AP2455,AR2455,AT2455,AV2455,AX2455)</f>
        <v>526</v>
      </c>
      <c r="BE2455" s="33" t="n">
        <f aca="false">AZ2455-BD2455</f>
        <v>0</v>
      </c>
      <c r="BF2455" s="34" t="n">
        <f aca="false">BD2455*M2455</f>
        <v>5260</v>
      </c>
      <c r="BG2455" s="35" t="n">
        <f aca="false">BA2455-BF2455</f>
        <v>0</v>
      </c>
      <c r="BH2455" s="19" t="str">
        <f aca="false">IF(BG2455=0,"",IF(BG2455&lt;&gt;BA2455,"erreur de calcul",IF(BD2455&lt;&gt;0,"pas de prix",IF(M2455&lt;&gt; 0,"pas de quantité","pas de prix, ni de quantité"))))</f>
        <v/>
      </c>
      <c r="BI2455" s="19"/>
    </row>
    <row r="2456" customFormat="false" ht="15" hidden="false" customHeight="false" outlineLevel="0" collapsed="false">
      <c r="A2456" s="0" t="n">
        <v>20</v>
      </c>
      <c r="B2456" s="8" t="s">
        <v>24</v>
      </c>
      <c r="C2456" s="9" t="s">
        <v>25</v>
      </c>
      <c r="D2456" s="9" t="s">
        <v>26</v>
      </c>
      <c r="E2456" s="10" t="n">
        <v>1789</v>
      </c>
      <c r="F2456" s="9" t="s">
        <v>27</v>
      </c>
      <c r="G2456" s="9" t="s">
        <v>27</v>
      </c>
      <c r="H2456" s="11" t="n">
        <v>27</v>
      </c>
      <c r="I2456" s="11" t="s">
        <v>433</v>
      </c>
      <c r="J2456" s="14"/>
      <c r="K2456" s="14" t="n">
        <v>14</v>
      </c>
      <c r="L2456" s="16"/>
      <c r="M2456" s="27" t="n">
        <f aca="false">J2456+(K2456/20)+(L2456/240)</f>
        <v>0.7</v>
      </c>
      <c r="N2456" s="17" t="s">
        <v>429</v>
      </c>
      <c r="O2456" s="11"/>
      <c r="P2456" s="28" t="n">
        <f aca="false">103*288+190</f>
        <v>29854</v>
      </c>
      <c r="Q2456" s="28" t="n">
        <v>20898</v>
      </c>
      <c r="R2456" s="28"/>
      <c r="S2456" s="28" t="n">
        <f aca="false">R2456*$M2456</f>
        <v>0</v>
      </c>
      <c r="T2456" s="28"/>
      <c r="U2456" s="28" t="n">
        <f aca="false">T2456*$M2456</f>
        <v>0</v>
      </c>
      <c r="V2456" s="28"/>
      <c r="W2456" s="28" t="n">
        <f aca="false">V2456*$M2456</f>
        <v>0</v>
      </c>
      <c r="X2456" s="28"/>
      <c r="Y2456" s="28" t="n">
        <f aca="false">X2456*$M2456</f>
        <v>0</v>
      </c>
      <c r="Z2456" s="28"/>
      <c r="AA2456" s="28" t="n">
        <f aca="false">Z2456*$M2456</f>
        <v>0</v>
      </c>
      <c r="AB2456" s="28"/>
      <c r="AC2456" s="28" t="n">
        <f aca="false">AB2456*$M2456</f>
        <v>0</v>
      </c>
      <c r="AD2456" s="28"/>
      <c r="AE2456" s="28" t="n">
        <f aca="false">AD2456*$M2456</f>
        <v>0</v>
      </c>
      <c r="AF2456" s="28"/>
      <c r="AG2456" s="28" t="n">
        <f aca="false">AF2456*$M2456</f>
        <v>0</v>
      </c>
      <c r="AH2456" s="28"/>
      <c r="AI2456" s="28" t="n">
        <f aca="false">AH2456*$M2456</f>
        <v>0</v>
      </c>
      <c r="AJ2456" s="28"/>
      <c r="AK2456" s="28" t="n">
        <f aca="false">AJ2456*$M2456</f>
        <v>0</v>
      </c>
      <c r="AL2456" s="28"/>
      <c r="AM2456" s="28" t="n">
        <f aca="false">AL2456*$M2456</f>
        <v>0</v>
      </c>
      <c r="AN2456" s="28"/>
      <c r="AO2456" s="28" t="n">
        <f aca="false">AN2456*$M2456</f>
        <v>0</v>
      </c>
      <c r="AP2456" s="28"/>
      <c r="AQ2456" s="28" t="n">
        <f aca="false">AP2456*$M2456</f>
        <v>0</v>
      </c>
      <c r="AR2456" s="28"/>
      <c r="AS2456" s="28" t="n">
        <f aca="false">AR2456*$M2456</f>
        <v>0</v>
      </c>
      <c r="AT2456" s="28"/>
      <c r="AU2456" s="28" t="n">
        <f aca="false">AT2456*$M2456</f>
        <v>0</v>
      </c>
      <c r="AV2456" s="28"/>
      <c r="AW2456" s="28" t="n">
        <f aca="false">AV2456*$M2456</f>
        <v>0</v>
      </c>
      <c r="AX2456" s="28"/>
      <c r="AY2456" s="28" t="n">
        <f aca="false">AX2456*$M2456</f>
        <v>0</v>
      </c>
      <c r="AZ2456" s="30" t="n">
        <f aca="false">103*288+190</f>
        <v>29854</v>
      </c>
      <c r="BA2456" s="11" t="n">
        <v>20898</v>
      </c>
      <c r="BB2456" s="31" t="n">
        <f aca="false">SUM(Q2456,S2456,U2456,W2456,Y2456,AA2456,AC2456,AE2456,AG2456,AI2456,AK2456,AM2456,AO2456,AQ2456,AS2456,AU2456,AW2456,AY2456)</f>
        <v>20898</v>
      </c>
      <c r="BC2456" s="28" t="n">
        <f aca="false">BA2456-BB2456</f>
        <v>0</v>
      </c>
      <c r="BD2456" s="32" t="n">
        <f aca="false">SUM(P2456,R2456,T2456,V2456,X2456,Z2456,AB2456,AD2456,AF2456,AH2456,AJ2456,AL2456,AN2456,AP2456,AR2456,AT2456,AV2456,AX2456)</f>
        <v>29854</v>
      </c>
      <c r="BE2456" s="33" t="n">
        <f aca="false">AZ2456-BD2456</f>
        <v>0</v>
      </c>
      <c r="BF2456" s="34" t="n">
        <f aca="false">BD2456*M2456</f>
        <v>20897.8</v>
      </c>
      <c r="BG2456" s="35" t="n">
        <f aca="false">BA2456-BF2456</f>
        <v>0.200000000000728</v>
      </c>
      <c r="BH2456" s="19" t="str">
        <f aca="false">IF(BG2456=0,"",IF(BG2456&lt;&gt;BA2456,"erreur de calcul",IF(BD2456&lt;&gt;0,"pas de prix",IF(M2456&lt;&gt; 0,"pas de quantité","pas de prix, ni de quantité"))))</f>
        <v>erreur de calcul</v>
      </c>
      <c r="BI2456" s="19"/>
    </row>
    <row r="2457" customFormat="false" ht="15" hidden="false" customHeight="false" outlineLevel="0" collapsed="false">
      <c r="A2457" s="0" t="n">
        <v>21</v>
      </c>
      <c r="B2457" s="8" t="s">
        <v>24</v>
      </c>
      <c r="C2457" s="9" t="s">
        <v>25</v>
      </c>
      <c r="D2457" s="9" t="s">
        <v>26</v>
      </c>
      <c r="E2457" s="10" t="n">
        <v>1789</v>
      </c>
      <c r="F2457" s="9" t="s">
        <v>27</v>
      </c>
      <c r="G2457" s="9" t="s">
        <v>27</v>
      </c>
      <c r="H2457" s="11" t="n">
        <v>27</v>
      </c>
      <c r="I2457" s="11" t="s">
        <v>434</v>
      </c>
      <c r="J2457" s="14"/>
      <c r="K2457" s="14" t="n">
        <v>5</v>
      </c>
      <c r="L2457" s="16"/>
      <c r="M2457" s="27" t="n">
        <f aca="false">J2457+(K2457/20)+(L2457/240)</f>
        <v>0.25</v>
      </c>
      <c r="N2457" s="17" t="s">
        <v>79</v>
      </c>
      <c r="O2457" s="11"/>
      <c r="P2457" s="28" t="n">
        <v>300402</v>
      </c>
      <c r="Q2457" s="28" t="n">
        <v>75100</v>
      </c>
      <c r="R2457" s="28"/>
      <c r="S2457" s="28" t="n">
        <f aca="false">R2457*$M2457</f>
        <v>0</v>
      </c>
      <c r="T2457" s="28"/>
      <c r="U2457" s="28" t="n">
        <f aca="false">T2457*$M2457</f>
        <v>0</v>
      </c>
      <c r="V2457" s="28" t="n">
        <v>448</v>
      </c>
      <c r="W2457" s="28" t="n">
        <v>112</v>
      </c>
      <c r="X2457" s="28"/>
      <c r="Y2457" s="28" t="n">
        <f aca="false">X2457*$M2457</f>
        <v>0</v>
      </c>
      <c r="Z2457" s="28"/>
      <c r="AA2457" s="28" t="n">
        <f aca="false">Z2457*$M2457</f>
        <v>0</v>
      </c>
      <c r="AB2457" s="28"/>
      <c r="AC2457" s="28" t="n">
        <f aca="false">AB2457*$M2457</f>
        <v>0</v>
      </c>
      <c r="AD2457" s="28"/>
      <c r="AE2457" s="28" t="n">
        <f aca="false">AD2457*$M2457</f>
        <v>0</v>
      </c>
      <c r="AF2457" s="28"/>
      <c r="AG2457" s="28" t="n">
        <f aca="false">AF2457*$M2457</f>
        <v>0</v>
      </c>
      <c r="AH2457" s="28"/>
      <c r="AI2457" s="28" t="n">
        <f aca="false">AH2457*$M2457</f>
        <v>0</v>
      </c>
      <c r="AJ2457" s="28"/>
      <c r="AK2457" s="28" t="n">
        <f aca="false">AJ2457*$M2457</f>
        <v>0</v>
      </c>
      <c r="AL2457" s="28"/>
      <c r="AM2457" s="28" t="n">
        <f aca="false">AL2457*$M2457</f>
        <v>0</v>
      </c>
      <c r="AN2457" s="28"/>
      <c r="AO2457" s="28" t="n">
        <f aca="false">AN2457*$M2457</f>
        <v>0</v>
      </c>
      <c r="AP2457" s="28"/>
      <c r="AQ2457" s="28" t="n">
        <f aca="false">AP2457*$M2457</f>
        <v>0</v>
      </c>
      <c r="AR2457" s="28"/>
      <c r="AS2457" s="28" t="n">
        <f aca="false">AR2457*$M2457</f>
        <v>0</v>
      </c>
      <c r="AT2457" s="28"/>
      <c r="AU2457" s="28" t="n">
        <f aca="false">AT2457*$M2457</f>
        <v>0</v>
      </c>
      <c r="AV2457" s="28"/>
      <c r="AW2457" s="28" t="n">
        <f aca="false">AV2457*$M2457</f>
        <v>0</v>
      </c>
      <c r="AX2457" s="28"/>
      <c r="AY2457" s="28" t="n">
        <f aca="false">AX2457*$M2457</f>
        <v>0</v>
      </c>
      <c r="AZ2457" s="30" t="n">
        <v>300850</v>
      </c>
      <c r="BA2457" s="11" t="n">
        <v>75212</v>
      </c>
      <c r="BB2457" s="31" t="n">
        <f aca="false">SUM(Q2457,S2457,U2457,W2457,Y2457,AA2457,AC2457,AE2457,AG2457,AI2457,AK2457,AM2457,AO2457,AQ2457,AS2457,AU2457,AW2457,AY2457)</f>
        <v>75212</v>
      </c>
      <c r="BC2457" s="28" t="n">
        <f aca="false">BA2457-BB2457</f>
        <v>0</v>
      </c>
      <c r="BD2457" s="32" t="n">
        <f aca="false">SUM(P2457,R2457,T2457,V2457,X2457,Z2457,AB2457,AD2457,AF2457,AH2457,AJ2457,AL2457,AN2457,AP2457,AR2457,AT2457,AV2457,AX2457)</f>
        <v>300850</v>
      </c>
      <c r="BE2457" s="33" t="n">
        <f aca="false">AZ2457-BD2457</f>
        <v>0</v>
      </c>
      <c r="BF2457" s="34" t="n">
        <f aca="false">BD2457*M2457</f>
        <v>75212.5</v>
      </c>
      <c r="BG2457" s="35" t="n">
        <f aca="false">BA2457-BF2457</f>
        <v>-0.5</v>
      </c>
      <c r="BH2457" s="19" t="str">
        <f aca="false">IF(BG2457=0,"",IF(BG2457&lt;&gt;BA2457,"erreur de calcul",IF(BD2457&lt;&gt;0,"pas de prix",IF(M2457&lt;&gt; 0,"pas de quantité","pas de prix, ni de quantité"))))</f>
        <v>erreur de calcul</v>
      </c>
      <c r="BI2457" s="19"/>
    </row>
    <row r="2458" customFormat="false" ht="78.4" hidden="false" customHeight="true" outlineLevel="0" collapsed="false">
      <c r="A2458" s="0" t="s">
        <v>31</v>
      </c>
      <c r="B2458" s="2" t="s">
        <v>0</v>
      </c>
      <c r="C2458" s="2" t="s">
        <v>1</v>
      </c>
      <c r="D2458" s="2" t="s">
        <v>2</v>
      </c>
      <c r="E2458" s="2" t="s">
        <v>3</v>
      </c>
      <c r="F2458" s="2" t="s">
        <v>4</v>
      </c>
      <c r="G2458" s="2" t="s">
        <v>5</v>
      </c>
      <c r="H2458" s="2" t="s">
        <v>6</v>
      </c>
      <c r="I2458" s="3" t="s">
        <v>7</v>
      </c>
      <c r="J2458" s="5" t="s">
        <v>12</v>
      </c>
      <c r="K2458" s="5" t="s">
        <v>13</v>
      </c>
      <c r="L2458" s="5" t="s">
        <v>14</v>
      </c>
      <c r="M2458" s="7" t="s">
        <v>15</v>
      </c>
      <c r="N2458" s="6" t="s">
        <v>32</v>
      </c>
      <c r="O2458" s="6" t="s">
        <v>33</v>
      </c>
      <c r="P2458" s="6" t="s">
        <v>34</v>
      </c>
      <c r="Q2458" s="6"/>
      <c r="R2458" s="6" t="s">
        <v>35</v>
      </c>
      <c r="S2458" s="6"/>
      <c r="T2458" s="6" t="s">
        <v>36</v>
      </c>
      <c r="U2458" s="6"/>
      <c r="V2458" s="6" t="s">
        <v>37</v>
      </c>
      <c r="W2458" s="6"/>
      <c r="X2458" s="6" t="s">
        <v>38</v>
      </c>
      <c r="Y2458" s="6"/>
      <c r="Z2458" s="6" t="s">
        <v>39</v>
      </c>
      <c r="AA2458" s="6"/>
      <c r="AB2458" s="6" t="s">
        <v>40</v>
      </c>
      <c r="AC2458" s="6"/>
      <c r="AD2458" s="6" t="s">
        <v>41</v>
      </c>
      <c r="AE2458" s="6"/>
      <c r="AF2458" s="6" t="s">
        <v>42</v>
      </c>
      <c r="AG2458" s="6"/>
      <c r="AH2458" s="6" t="s">
        <v>43</v>
      </c>
      <c r="AI2458" s="6"/>
      <c r="AJ2458" s="6" t="s">
        <v>44</v>
      </c>
      <c r="AK2458" s="6"/>
      <c r="AL2458" s="6" t="s">
        <v>45</v>
      </c>
      <c r="AM2458" s="6"/>
      <c r="AN2458" s="6" t="s">
        <v>46</v>
      </c>
      <c r="AO2458" s="6"/>
      <c r="AP2458" s="6" t="s">
        <v>47</v>
      </c>
      <c r="AQ2458" s="6"/>
      <c r="AR2458" s="6" t="s">
        <v>48</v>
      </c>
      <c r="AS2458" s="6"/>
      <c r="AT2458" s="6" t="s">
        <v>49</v>
      </c>
      <c r="AU2458" s="6"/>
      <c r="AV2458" s="6" t="s">
        <v>50</v>
      </c>
      <c r="AW2458" s="6"/>
      <c r="AX2458" s="6" t="s">
        <v>51</v>
      </c>
      <c r="AY2458" s="6"/>
      <c r="AZ2458" s="6" t="s">
        <v>52</v>
      </c>
      <c r="BA2458" s="6"/>
      <c r="BB2458" s="6"/>
      <c r="BC2458" s="6"/>
      <c r="BD2458" s="6" t="s">
        <v>53</v>
      </c>
      <c r="BE2458" s="6" t="s">
        <v>54</v>
      </c>
      <c r="BF2458" s="6" t="s">
        <v>55</v>
      </c>
      <c r="BG2458" s="6" t="s">
        <v>56</v>
      </c>
      <c r="BH2458" s="6" t="s">
        <v>57</v>
      </c>
      <c r="BI2458" s="6" t="s">
        <v>23</v>
      </c>
    </row>
    <row r="2459" customFormat="false" ht="15" hidden="false" customHeight="false" outlineLevel="0" collapsed="false">
      <c r="B2459" s="20"/>
      <c r="C2459" s="20"/>
      <c r="D2459" s="20"/>
      <c r="E2459" s="21"/>
      <c r="F2459" s="20"/>
      <c r="G2459" s="20"/>
      <c r="H2459" s="20"/>
      <c r="I2459" s="22"/>
      <c r="J2459" s="23"/>
      <c r="K2459" s="23"/>
      <c r="L2459" s="24"/>
      <c r="M2459" s="25"/>
      <c r="N2459" s="25"/>
      <c r="O2459" s="26" t="s">
        <v>58</v>
      </c>
      <c r="P2459" s="25" t="s">
        <v>59</v>
      </c>
      <c r="Q2459" s="25" t="s">
        <v>60</v>
      </c>
      <c r="R2459" s="25" t="s">
        <v>59</v>
      </c>
      <c r="S2459" s="25" t="s">
        <v>60</v>
      </c>
      <c r="T2459" s="25" t="s">
        <v>59</v>
      </c>
      <c r="U2459" s="25" t="s">
        <v>60</v>
      </c>
      <c r="V2459" s="25" t="s">
        <v>59</v>
      </c>
      <c r="W2459" s="25" t="s">
        <v>60</v>
      </c>
      <c r="X2459" s="25" t="s">
        <v>59</v>
      </c>
      <c r="Y2459" s="25" t="s">
        <v>60</v>
      </c>
      <c r="Z2459" s="25" t="s">
        <v>59</v>
      </c>
      <c r="AA2459" s="25" t="s">
        <v>60</v>
      </c>
      <c r="AB2459" s="25" t="s">
        <v>59</v>
      </c>
      <c r="AC2459" s="25" t="s">
        <v>60</v>
      </c>
      <c r="AD2459" s="25" t="s">
        <v>59</v>
      </c>
      <c r="AE2459" s="25" t="s">
        <v>60</v>
      </c>
      <c r="AF2459" s="25" t="s">
        <v>59</v>
      </c>
      <c r="AG2459" s="25" t="s">
        <v>60</v>
      </c>
      <c r="AH2459" s="25" t="s">
        <v>59</v>
      </c>
      <c r="AI2459" s="25" t="s">
        <v>60</v>
      </c>
      <c r="AJ2459" s="25" t="s">
        <v>59</v>
      </c>
      <c r="AK2459" s="25" t="s">
        <v>60</v>
      </c>
      <c r="AL2459" s="25" t="s">
        <v>59</v>
      </c>
      <c r="AM2459" s="25" t="s">
        <v>60</v>
      </c>
      <c r="AN2459" s="25" t="s">
        <v>59</v>
      </c>
      <c r="AO2459" s="25" t="s">
        <v>60</v>
      </c>
      <c r="AP2459" s="25" t="s">
        <v>59</v>
      </c>
      <c r="AQ2459" s="25" t="s">
        <v>60</v>
      </c>
      <c r="AR2459" s="25" t="s">
        <v>59</v>
      </c>
      <c r="AS2459" s="25" t="s">
        <v>60</v>
      </c>
      <c r="AT2459" s="25" t="s">
        <v>59</v>
      </c>
      <c r="AU2459" s="25" t="s">
        <v>60</v>
      </c>
      <c r="AV2459" s="25" t="s">
        <v>59</v>
      </c>
      <c r="AW2459" s="25" t="s">
        <v>60</v>
      </c>
      <c r="AX2459" s="25" t="s">
        <v>59</v>
      </c>
      <c r="AY2459" s="25" t="s">
        <v>60</v>
      </c>
      <c r="AZ2459" s="25" t="s">
        <v>59</v>
      </c>
      <c r="BA2459" s="25" t="s">
        <v>60</v>
      </c>
      <c r="BB2459" s="25" t="s">
        <v>61</v>
      </c>
      <c r="BC2459" s="25" t="s">
        <v>62</v>
      </c>
      <c r="BD2459" s="20"/>
      <c r="BE2459" s="20"/>
      <c r="BF2459" s="20"/>
      <c r="BG2459" s="20"/>
      <c r="BH2459" s="20"/>
      <c r="BI2459" s="20"/>
    </row>
    <row r="2460" customFormat="false" ht="15" hidden="false" customHeight="false" outlineLevel="0" collapsed="false">
      <c r="A2460" s="0" t="n">
        <v>1</v>
      </c>
      <c r="B2460" s="8" t="s">
        <v>24</v>
      </c>
      <c r="C2460" s="9" t="s">
        <v>25</v>
      </c>
      <c r="D2460" s="9" t="s">
        <v>26</v>
      </c>
      <c r="E2460" s="10" t="n">
        <v>1789</v>
      </c>
      <c r="F2460" s="9" t="s">
        <v>27</v>
      </c>
      <c r="G2460" s="9" t="s">
        <v>27</v>
      </c>
      <c r="H2460" s="11" t="n">
        <v>18</v>
      </c>
      <c r="I2460" s="11" t="s">
        <v>63</v>
      </c>
      <c r="J2460" s="14" t="n">
        <v>27</v>
      </c>
      <c r="K2460" s="14"/>
      <c r="L2460" s="16"/>
      <c r="M2460" s="27" t="n">
        <f aca="false">J2460+(K2460/20)+(L2460/240)</f>
        <v>27</v>
      </c>
      <c r="N2460" s="17" t="s">
        <v>64</v>
      </c>
      <c r="O2460" s="11"/>
      <c r="P2460" s="28"/>
      <c r="Q2460" s="28" t="n">
        <f aca="false">P2460*$M2460</f>
        <v>0</v>
      </c>
      <c r="R2460" s="28"/>
      <c r="S2460" s="28" t="n">
        <f aca="false">R2460*$M2460</f>
        <v>0</v>
      </c>
      <c r="T2460" s="28"/>
      <c r="U2460" s="28" t="n">
        <f aca="false">T2460*$M2460</f>
        <v>0</v>
      </c>
      <c r="V2460" s="28" t="n">
        <f aca="false">700/100</f>
        <v>7</v>
      </c>
      <c r="W2460" s="28" t="n">
        <v>189</v>
      </c>
      <c r="X2460" s="29"/>
      <c r="Y2460" s="28" t="n">
        <v>9506</v>
      </c>
      <c r="Z2460" s="28"/>
      <c r="AA2460" s="28" t="n">
        <f aca="false">Z2460*$M2460</f>
        <v>0</v>
      </c>
      <c r="AB2460" s="28"/>
      <c r="AC2460" s="28" t="n">
        <f aca="false">AB2460*$M2460</f>
        <v>0</v>
      </c>
      <c r="AD2460" s="28"/>
      <c r="AE2460" s="28" t="n">
        <f aca="false">AD2460*$M2460</f>
        <v>0</v>
      </c>
      <c r="AF2460" s="28"/>
      <c r="AG2460" s="28" t="n">
        <f aca="false">AF2460*$M2460</f>
        <v>0</v>
      </c>
      <c r="AH2460" s="28"/>
      <c r="AI2460" s="28" t="n">
        <f aca="false">AH2460*$M2460</f>
        <v>0</v>
      </c>
      <c r="AJ2460" s="28" t="n">
        <f aca="false">72509/100</f>
        <v>725.09</v>
      </c>
      <c r="AK2460" s="28" t="n">
        <v>19577</v>
      </c>
      <c r="AL2460" s="28"/>
      <c r="AM2460" s="28" t="n">
        <f aca="false">AL2460*$M2460</f>
        <v>0</v>
      </c>
      <c r="AN2460" s="28"/>
      <c r="AO2460" s="28" t="n">
        <f aca="false">AN2460*$M2460</f>
        <v>0</v>
      </c>
      <c r="AP2460" s="28"/>
      <c r="AQ2460" s="28" t="n">
        <f aca="false">AP2460*$M2460</f>
        <v>0</v>
      </c>
      <c r="AR2460" s="28" t="n">
        <f aca="false">36750/100</f>
        <v>367.5</v>
      </c>
      <c r="AS2460" s="28" t="n">
        <v>9922</v>
      </c>
      <c r="AT2460" s="28"/>
      <c r="AU2460" s="28" t="n">
        <f aca="false">AT2460*$M2460</f>
        <v>0</v>
      </c>
      <c r="AV2460" s="28"/>
      <c r="AW2460" s="28" t="n">
        <f aca="false">AV2460*$M2460</f>
        <v>0</v>
      </c>
      <c r="AX2460" s="28"/>
      <c r="AY2460" s="28" t="n">
        <f aca="false">AX2460*$M2460</f>
        <v>0</v>
      </c>
      <c r="AZ2460" s="30" t="n">
        <f aca="false">145166/100</f>
        <v>1451.66</v>
      </c>
      <c r="BA2460" s="11" t="n">
        <v>39194</v>
      </c>
      <c r="BB2460" s="31" t="n">
        <f aca="false">SUM(Q2460,S2460,U2460,W2460,Y2460,AA2460,AC2460,AE2460,AG2460,AI2460,AK2460,AM2460,AO2460,AQ2460,AS2460,AU2460,AW2460,AY2460)</f>
        <v>39194</v>
      </c>
      <c r="BC2460" s="28" t="n">
        <f aca="false">BA2460-BB2460</f>
        <v>0</v>
      </c>
      <c r="BD2460" s="32" t="n">
        <f aca="false">SUM(P2460,R2460,T2460,V2460,X2460,Z2460,AB2460,AD2460,AF2460,AH2460,AJ2460,AL2460,AN2460,AP2460,AR2460,AT2460,AV2460,AX2460)</f>
        <v>1099.59</v>
      </c>
      <c r="BE2460" s="33" t="n">
        <f aca="false">AZ2460-BD2460</f>
        <v>352.07</v>
      </c>
      <c r="BF2460" s="34" t="n">
        <f aca="false">BD2460*M2460</f>
        <v>29688.93</v>
      </c>
      <c r="BG2460" s="35" t="n">
        <f aca="false">BA2460-BF2460</f>
        <v>9505.07</v>
      </c>
      <c r="BH2460" s="19" t="str">
        <f aca="false">IF(BG2460=0,"",IF(BG2460&lt;&gt;BA2460,"erreur de calcul",IF(BD2460&lt;&gt;0,"pas de prix",IF(M2460&lt;&gt; 0,"pas de quantité","pas de prix, ni de quantité"))))</f>
        <v>erreur de calcul</v>
      </c>
      <c r="BI2460" s="19"/>
    </row>
    <row r="2461" customFormat="false" ht="15" hidden="false" customHeight="false" outlineLevel="0" collapsed="false">
      <c r="A2461" s="0" t="n">
        <v>2</v>
      </c>
      <c r="B2461" s="8" t="s">
        <v>24</v>
      </c>
      <c r="C2461" s="9" t="s">
        <v>25</v>
      </c>
      <c r="D2461" s="9" t="s">
        <v>26</v>
      </c>
      <c r="E2461" s="10" t="n">
        <v>1789</v>
      </c>
      <c r="F2461" s="9" t="s">
        <v>27</v>
      </c>
      <c r="G2461" s="9" t="s">
        <v>27</v>
      </c>
      <c r="H2461" s="11" t="n">
        <v>18</v>
      </c>
      <c r="I2461" s="11" t="s">
        <v>65</v>
      </c>
      <c r="J2461" s="14"/>
      <c r="K2461" s="14" t="n">
        <v>20</v>
      </c>
      <c r="L2461" s="16"/>
      <c r="M2461" s="27" t="n">
        <f aca="false">J2461+(K2461/20)+(L2461/240)</f>
        <v>1</v>
      </c>
      <c r="N2461" s="17" t="s">
        <v>66</v>
      </c>
      <c r="O2461" s="11"/>
      <c r="P2461" s="28"/>
      <c r="Q2461" s="28" t="n">
        <f aca="false">P2461*$M2461</f>
        <v>0</v>
      </c>
      <c r="R2461" s="28"/>
      <c r="S2461" s="28" t="n">
        <f aca="false">R2461*$M2461</f>
        <v>0</v>
      </c>
      <c r="T2461" s="28"/>
      <c r="U2461" s="28" t="n">
        <f aca="false">T2461*$M2461</f>
        <v>0</v>
      </c>
      <c r="V2461" s="28" t="n">
        <v>2365</v>
      </c>
      <c r="W2461" s="28" t="n">
        <v>2365</v>
      </c>
      <c r="X2461" s="29" t="n">
        <v>234</v>
      </c>
      <c r="Y2461" s="28" t="n">
        <v>234</v>
      </c>
      <c r="Z2461" s="28"/>
      <c r="AA2461" s="28" t="n">
        <f aca="false">Z2461*$M2461</f>
        <v>0</v>
      </c>
      <c r="AB2461" s="28" t="n">
        <v>17776</v>
      </c>
      <c r="AC2461" s="28" t="n">
        <v>17776</v>
      </c>
      <c r="AD2461" s="28"/>
      <c r="AE2461" s="28" t="n">
        <f aca="false">AD2461*$M2461</f>
        <v>0</v>
      </c>
      <c r="AF2461" s="28"/>
      <c r="AG2461" s="28" t="n">
        <f aca="false">AF2461*$M2461</f>
        <v>0</v>
      </c>
      <c r="AH2461" s="28"/>
      <c r="AI2461" s="28" t="n">
        <f aca="false">AH2461*$M2461</f>
        <v>0</v>
      </c>
      <c r="AJ2461" s="28"/>
      <c r="AK2461" s="28" t="n">
        <f aca="false">AJ2461*$M2461</f>
        <v>0</v>
      </c>
      <c r="AL2461" s="28"/>
      <c r="AM2461" s="28" t="n">
        <f aca="false">AL2461*$M2461</f>
        <v>0</v>
      </c>
      <c r="AN2461" s="28"/>
      <c r="AO2461" s="28" t="n">
        <f aca="false">AN2461*$M2461</f>
        <v>0</v>
      </c>
      <c r="AP2461" s="28"/>
      <c r="AQ2461" s="28" t="n">
        <f aca="false">AP2461*$M2461</f>
        <v>0</v>
      </c>
      <c r="AR2461" s="28"/>
      <c r="AS2461" s="28" t="n">
        <f aca="false">AR2461*$M2461</f>
        <v>0</v>
      </c>
      <c r="AT2461" s="28"/>
      <c r="AU2461" s="28" t="n">
        <f aca="false">AT2461*$M2461</f>
        <v>0</v>
      </c>
      <c r="AV2461" s="28"/>
      <c r="AW2461" s="28" t="n">
        <f aca="false">AV2461*$M2461</f>
        <v>0</v>
      </c>
      <c r="AX2461" s="28"/>
      <c r="AY2461" s="28" t="n">
        <f aca="false">AX2461*$M2461</f>
        <v>0</v>
      </c>
      <c r="AZ2461" s="30" t="n">
        <v>20375</v>
      </c>
      <c r="BA2461" s="11" t="n">
        <v>20375</v>
      </c>
      <c r="BB2461" s="31" t="n">
        <f aca="false">SUM(Q2461,S2461,U2461,W2461,Y2461,AA2461,AC2461,AE2461,AG2461,AI2461,AK2461,AM2461,AO2461,AQ2461,AS2461,AU2461,AW2461,AY2461)</f>
        <v>20375</v>
      </c>
      <c r="BC2461" s="28" t="n">
        <f aca="false">BA2461-BB2461</f>
        <v>0</v>
      </c>
      <c r="BD2461" s="32" t="n">
        <f aca="false">SUM(P2461,R2461,T2461,V2461,X2461,Z2461,AB2461,AD2461,AF2461,AH2461,AJ2461,AL2461,AN2461,AP2461,AR2461,AT2461,AV2461,AX2461)</f>
        <v>20375</v>
      </c>
      <c r="BE2461" s="33" t="n">
        <f aca="false">AZ2461-BD2461</f>
        <v>0</v>
      </c>
      <c r="BF2461" s="34" t="n">
        <f aca="false">BD2461*M2461</f>
        <v>20375</v>
      </c>
      <c r="BG2461" s="35" t="n">
        <f aca="false">BA2461-BF2461</f>
        <v>0</v>
      </c>
      <c r="BH2461" s="19" t="str">
        <f aca="false">IF(BG2461=0,"",IF(BG2461&lt;&gt;BA2461,"erreur de calcul",IF(BD2461&lt;&gt;0,"pas de prix",IF(M2461&lt;&gt; 0,"pas de quantité","pas de prix, ni de quantité"))))</f>
        <v/>
      </c>
      <c r="BI2461" s="19"/>
    </row>
    <row r="2462" customFormat="false" ht="15" hidden="false" customHeight="false" outlineLevel="0" collapsed="false">
      <c r="A2462" s="0" t="n">
        <v>3</v>
      </c>
      <c r="B2462" s="8" t="s">
        <v>24</v>
      </c>
      <c r="C2462" s="9" t="s">
        <v>25</v>
      </c>
      <c r="D2462" s="9" t="s">
        <v>26</v>
      </c>
      <c r="E2462" s="10" t="n">
        <v>1789</v>
      </c>
      <c r="F2462" s="9" t="s">
        <v>27</v>
      </c>
      <c r="G2462" s="9" t="s">
        <v>27</v>
      </c>
      <c r="H2462" s="11" t="n">
        <v>18</v>
      </c>
      <c r="I2462" s="11" t="s">
        <v>67</v>
      </c>
      <c r="J2462" s="14" t="n">
        <v>56</v>
      </c>
      <c r="K2462" s="14"/>
      <c r="L2462" s="16"/>
      <c r="M2462" s="27" t="n">
        <f aca="false">J2462+(K2462/20)+(L2462/240)</f>
        <v>56</v>
      </c>
      <c r="N2462" s="17" t="s">
        <v>64</v>
      </c>
      <c r="O2462" s="11"/>
      <c r="P2462" s="28" t="n">
        <f aca="false">27159/100</f>
        <v>271.59</v>
      </c>
      <c r="Q2462" s="28" t="n">
        <v>15209</v>
      </c>
      <c r="R2462" s="28"/>
      <c r="S2462" s="28" t="n">
        <f aca="false">R2462*$M2462</f>
        <v>0</v>
      </c>
      <c r="T2462" s="28" t="n">
        <f aca="false">1044/100</f>
        <v>10.44</v>
      </c>
      <c r="U2462" s="28" t="n">
        <v>585</v>
      </c>
      <c r="V2462" s="28" t="n">
        <f aca="false">1838/100</f>
        <v>18.38</v>
      </c>
      <c r="W2462" s="36" t="n">
        <v>4557</v>
      </c>
      <c r="X2462" s="29"/>
      <c r="Y2462" s="28" t="n">
        <v>2566</v>
      </c>
      <c r="Z2462" s="28"/>
      <c r="AA2462" s="28" t="n">
        <f aca="false">Z2462*$M2462</f>
        <v>0</v>
      </c>
      <c r="AB2462" s="28" t="n">
        <f aca="false">17833/100</f>
        <v>178.33</v>
      </c>
      <c r="AC2462" s="28" t="n">
        <v>9986</v>
      </c>
      <c r="AD2462" s="28"/>
      <c r="AE2462" s="28" t="n">
        <f aca="false">AD2462*$M2462</f>
        <v>0</v>
      </c>
      <c r="AF2462" s="28" t="n">
        <f aca="false">30595/100</f>
        <v>305.95</v>
      </c>
      <c r="AG2462" s="28" t="n">
        <v>17133</v>
      </c>
      <c r="AH2462" s="28"/>
      <c r="AI2462" s="28" t="n">
        <f aca="false">AH2462*$M2462</f>
        <v>0</v>
      </c>
      <c r="AJ2462" s="28"/>
      <c r="AK2462" s="28" t="n">
        <f aca="false">AJ2462*$M2462</f>
        <v>0</v>
      </c>
      <c r="AL2462" s="28"/>
      <c r="AM2462" s="28" t="n">
        <f aca="false">AL2462*$M2462</f>
        <v>0</v>
      </c>
      <c r="AN2462" s="28"/>
      <c r="AO2462" s="28" t="n">
        <f aca="false">AN2462*$M2462</f>
        <v>0</v>
      </c>
      <c r="AP2462" s="28"/>
      <c r="AQ2462" s="28" t="n">
        <f aca="false">AP2462*$M2462</f>
        <v>0</v>
      </c>
      <c r="AR2462" s="28"/>
      <c r="AS2462" s="28" t="n">
        <f aca="false">AR2462*$M2462</f>
        <v>0</v>
      </c>
      <c r="AT2462" s="28"/>
      <c r="AU2462" s="28" t="n">
        <f aca="false">AT2462*$M2462</f>
        <v>0</v>
      </c>
      <c r="AV2462" s="28"/>
      <c r="AW2462" s="28" t="n">
        <f aca="false">AV2462*$M2462</f>
        <v>0</v>
      </c>
      <c r="AX2462" s="28"/>
      <c r="AY2462" s="28" t="n">
        <f aca="false">AX2462*$M2462</f>
        <v>0</v>
      </c>
      <c r="AZ2462" s="30" t="n">
        <f aca="false">83051/100</f>
        <v>830.51</v>
      </c>
      <c r="BA2462" s="11" t="n">
        <v>50036</v>
      </c>
      <c r="BB2462" s="31" t="n">
        <f aca="false">SUM(Q2462,S2462,U2462,W2462,Y2462,AA2462,AC2462,AE2462,AG2462,AI2462,AK2462,AM2462,AO2462,AQ2462,AS2462,AU2462,AW2462,AY2462)</f>
        <v>50036</v>
      </c>
      <c r="BC2462" s="28" t="n">
        <f aca="false">BA2462-BB2462</f>
        <v>0</v>
      </c>
      <c r="BD2462" s="32" t="n">
        <f aca="false">SUM(P2462,R2462,T2462,V2462,X2462,Z2462,AB2462,AD2462,AF2462,AH2462,AJ2462,AL2462,AN2462,AP2462,AR2462,AT2462,AV2462,AX2462)</f>
        <v>784.69</v>
      </c>
      <c r="BE2462" s="33" t="n">
        <f aca="false">AZ2462-BD2462</f>
        <v>45.8199999999999</v>
      </c>
      <c r="BF2462" s="34" t="n">
        <f aca="false">BD2462*M2462</f>
        <v>43942.64</v>
      </c>
      <c r="BG2462" s="35" t="n">
        <f aca="false">BA2462-BF2462</f>
        <v>6093.36</v>
      </c>
      <c r="BH2462" s="19" t="str">
        <f aca="false">IF(BG2462=0,"",IF(BG2462&lt;&gt;BA2462,"erreur de calcul",IF(BD2462&lt;&gt;0,"pas de prix",IF(M2462&lt;&gt; 0,"pas de quantité","pas de prix, ni de quantité"))))</f>
        <v>erreur de calcul</v>
      </c>
      <c r="BI2462" s="19"/>
    </row>
    <row r="2463" customFormat="false" ht="15" hidden="false" customHeight="false" outlineLevel="0" collapsed="false">
      <c r="A2463" s="0" t="n">
        <v>4</v>
      </c>
      <c r="B2463" s="8" t="s">
        <v>24</v>
      </c>
      <c r="C2463" s="9" t="s">
        <v>25</v>
      </c>
      <c r="D2463" s="9" t="s">
        <v>26</v>
      </c>
      <c r="E2463" s="10" t="n">
        <v>1789</v>
      </c>
      <c r="F2463" s="9" t="s">
        <v>27</v>
      </c>
      <c r="G2463" s="9" t="s">
        <v>27</v>
      </c>
      <c r="H2463" s="11" t="n">
        <v>18</v>
      </c>
      <c r="I2463" s="11" t="s">
        <v>68</v>
      </c>
      <c r="J2463" s="14"/>
      <c r="K2463" s="14" t="n">
        <v>30</v>
      </c>
      <c r="L2463" s="16"/>
      <c r="M2463" s="27" t="n">
        <f aca="false">J2463+(K2463/20)+(L2463/240)</f>
        <v>1.5</v>
      </c>
      <c r="N2463" s="17" t="s">
        <v>69</v>
      </c>
      <c r="O2463" s="11"/>
      <c r="P2463" s="28" t="n">
        <v>5460</v>
      </c>
      <c r="Q2463" s="28" t="n">
        <v>8190</v>
      </c>
      <c r="R2463" s="28"/>
      <c r="S2463" s="28" t="n">
        <f aca="false">R2463*$M2463</f>
        <v>0</v>
      </c>
      <c r="T2463" s="28"/>
      <c r="U2463" s="28" t="n">
        <f aca="false">T2463*$M2463</f>
        <v>0</v>
      </c>
      <c r="V2463" s="28" t="n">
        <v>1061</v>
      </c>
      <c r="W2463" s="28" t="n">
        <v>1591</v>
      </c>
      <c r="X2463" s="29"/>
      <c r="Y2463" s="28" t="n">
        <v>5766</v>
      </c>
      <c r="Z2463" s="28"/>
      <c r="AA2463" s="28" t="n">
        <f aca="false">Z2463*$M2463</f>
        <v>0</v>
      </c>
      <c r="AB2463" s="28"/>
      <c r="AC2463" s="28" t="n">
        <f aca="false">AB2463*$M2463</f>
        <v>0</v>
      </c>
      <c r="AD2463" s="28"/>
      <c r="AE2463" s="28" t="n">
        <f aca="false">AD2463*$M2463</f>
        <v>0</v>
      </c>
      <c r="AF2463" s="28"/>
      <c r="AG2463" s="28" t="n">
        <f aca="false">AF2463*$M2463</f>
        <v>0</v>
      </c>
      <c r="AH2463" s="28"/>
      <c r="AI2463" s="28" t="n">
        <f aca="false">AH2463*$M2463</f>
        <v>0</v>
      </c>
      <c r="AJ2463" s="28"/>
      <c r="AK2463" s="28" t="n">
        <f aca="false">AJ2463*$M2463</f>
        <v>0</v>
      </c>
      <c r="AL2463" s="28"/>
      <c r="AM2463" s="28" t="n">
        <f aca="false">AL2463*$M2463</f>
        <v>0</v>
      </c>
      <c r="AN2463" s="28"/>
      <c r="AO2463" s="28" t="n">
        <f aca="false">AN2463*$M2463</f>
        <v>0</v>
      </c>
      <c r="AP2463" s="28"/>
      <c r="AQ2463" s="28" t="n">
        <f aca="false">AP2463*$M2463</f>
        <v>0</v>
      </c>
      <c r="AR2463" s="28"/>
      <c r="AS2463" s="28" t="n">
        <f aca="false">AR2463*$M2463</f>
        <v>0</v>
      </c>
      <c r="AT2463" s="28"/>
      <c r="AU2463" s="28" t="n">
        <f aca="false">AT2463*$M2463</f>
        <v>0</v>
      </c>
      <c r="AV2463" s="28"/>
      <c r="AW2463" s="28" t="n">
        <f aca="false">AV2463*$M2463</f>
        <v>0</v>
      </c>
      <c r="AX2463" s="28"/>
      <c r="AY2463" s="28" t="n">
        <f aca="false">AX2463*$M2463</f>
        <v>0</v>
      </c>
      <c r="AZ2463" s="30" t="n">
        <v>10365</v>
      </c>
      <c r="BA2463" s="11" t="n">
        <v>15547</v>
      </c>
      <c r="BB2463" s="31" t="n">
        <f aca="false">SUM(Q2463,S2463,U2463,W2463,Y2463,AA2463,AC2463,AE2463,AG2463,AI2463,AK2463,AM2463,AO2463,AQ2463,AS2463,AU2463,AW2463,AY2463)</f>
        <v>15547</v>
      </c>
      <c r="BC2463" s="28" t="n">
        <f aca="false">BA2463-BB2463</f>
        <v>0</v>
      </c>
      <c r="BD2463" s="32" t="n">
        <f aca="false">SUM(P2463,R2463,T2463,V2463,X2463,Z2463,AB2463,AD2463,AF2463,AH2463,AJ2463,AL2463,AN2463,AP2463,AR2463,AT2463,AV2463,AX2463)</f>
        <v>6521</v>
      </c>
      <c r="BE2463" s="33" t="n">
        <f aca="false">AZ2463-BD2463</f>
        <v>3844</v>
      </c>
      <c r="BF2463" s="34" t="n">
        <f aca="false">BD2463*M2463</f>
        <v>9781.5</v>
      </c>
      <c r="BG2463" s="35" t="n">
        <f aca="false">BA2463-BF2463</f>
        <v>5765.5</v>
      </c>
      <c r="BH2463" s="19" t="str">
        <f aca="false">IF(BG2463=0,"",IF(BG2463&lt;&gt;BA2463,"erreur de calcul",IF(BD2463&lt;&gt;0,"pas de prix",IF(M2463&lt;&gt; 0,"pas de quantité","pas de prix, ni de quantité"))))</f>
        <v>erreur de calcul</v>
      </c>
      <c r="BI2463" s="19"/>
    </row>
    <row r="2464" customFormat="false" ht="15" hidden="false" customHeight="false" outlineLevel="0" collapsed="false">
      <c r="A2464" s="0" t="n">
        <v>5</v>
      </c>
      <c r="B2464" s="8" t="s">
        <v>24</v>
      </c>
      <c r="C2464" s="9" t="s">
        <v>25</v>
      </c>
      <c r="D2464" s="9" t="s">
        <v>26</v>
      </c>
      <c r="E2464" s="10" t="n">
        <v>1789</v>
      </c>
      <c r="F2464" s="9" t="s">
        <v>27</v>
      </c>
      <c r="G2464" s="9" t="s">
        <v>27</v>
      </c>
      <c r="H2464" s="11" t="n">
        <v>18</v>
      </c>
      <c r="I2464" s="11" t="s">
        <v>70</v>
      </c>
      <c r="J2464" s="14" t="n">
        <v>190</v>
      </c>
      <c r="K2464" s="14"/>
      <c r="L2464" s="16"/>
      <c r="M2464" s="27" t="n">
        <f aca="false">J2464+(K2464/20)+(L2464/240)</f>
        <v>190</v>
      </c>
      <c r="N2464" s="17" t="s">
        <v>64</v>
      </c>
      <c r="O2464" s="11"/>
      <c r="P2464" s="28"/>
      <c r="Q2464" s="28" t="n">
        <f aca="false">P2464*$M2464</f>
        <v>0</v>
      </c>
      <c r="R2464" s="28" t="n">
        <f aca="false">22283/100</f>
        <v>222.83</v>
      </c>
      <c r="S2464" s="28" t="n">
        <v>42338</v>
      </c>
      <c r="T2464" s="28" t="n">
        <f aca="false">1289/100</f>
        <v>12.89</v>
      </c>
      <c r="U2464" s="28" t="n">
        <v>2449</v>
      </c>
      <c r="V2464" s="28"/>
      <c r="W2464" s="28" t="n">
        <f aca="false">V2464*$M2464</f>
        <v>0</v>
      </c>
      <c r="X2464" s="29"/>
      <c r="Y2464" s="28" t="n">
        <f aca="false">X2464*$M2464</f>
        <v>0</v>
      </c>
      <c r="Z2464" s="28"/>
      <c r="AA2464" s="28" t="n">
        <f aca="false">Z2464*$M2464</f>
        <v>0</v>
      </c>
      <c r="AB2464" s="28"/>
      <c r="AC2464" s="28" t="n">
        <f aca="false">AB2464*$M2464</f>
        <v>0</v>
      </c>
      <c r="AD2464" s="28"/>
      <c r="AE2464" s="28" t="n">
        <f aca="false">AD2464*$M2464</f>
        <v>0</v>
      </c>
      <c r="AF2464" s="28"/>
      <c r="AG2464" s="28" t="n">
        <f aca="false">AF2464*$M2464</f>
        <v>0</v>
      </c>
      <c r="AH2464" s="28"/>
      <c r="AI2464" s="28" t="n">
        <f aca="false">AH2464*$M2464</f>
        <v>0</v>
      </c>
      <c r="AJ2464" s="28"/>
      <c r="AK2464" s="28" t="n">
        <f aca="false">AJ2464*$M2464</f>
        <v>0</v>
      </c>
      <c r="AL2464" s="28"/>
      <c r="AM2464" s="28" t="n">
        <f aca="false">AL2464*$M2464</f>
        <v>0</v>
      </c>
      <c r="AN2464" s="28"/>
      <c r="AO2464" s="28" t="n">
        <f aca="false">AN2464*$M2464</f>
        <v>0</v>
      </c>
      <c r="AP2464" s="28"/>
      <c r="AQ2464" s="28" t="n">
        <f aca="false">AP2464*$M2464</f>
        <v>0</v>
      </c>
      <c r="AR2464" s="28"/>
      <c r="AS2464" s="28" t="n">
        <f aca="false">AR2464*$M2464</f>
        <v>0</v>
      </c>
      <c r="AT2464" s="28"/>
      <c r="AU2464" s="28" t="n">
        <f aca="false">AT2464*$M2464</f>
        <v>0</v>
      </c>
      <c r="AV2464" s="28"/>
      <c r="AW2464" s="28" t="n">
        <f aca="false">AV2464*$M2464</f>
        <v>0</v>
      </c>
      <c r="AX2464" s="28"/>
      <c r="AY2464" s="28" t="n">
        <f aca="false">AX2464*$M2464</f>
        <v>0</v>
      </c>
      <c r="AZ2464" s="30" t="n">
        <f aca="false">23572/100</f>
        <v>235.72</v>
      </c>
      <c r="BA2464" s="11" t="n">
        <v>44787</v>
      </c>
      <c r="BB2464" s="31" t="n">
        <f aca="false">SUM(Q2464,S2464,U2464,W2464,Y2464,AA2464,AC2464,AE2464,AG2464,AI2464,AK2464,AM2464,AO2464,AQ2464,AS2464,AU2464,AW2464,AY2464)</f>
        <v>44787</v>
      </c>
      <c r="BC2464" s="28" t="n">
        <f aca="false">BA2464-BB2464</f>
        <v>0</v>
      </c>
      <c r="BD2464" s="32" t="n">
        <f aca="false">SUM(P2464,R2464,T2464,V2464,X2464,Z2464,AB2464,AD2464,AF2464,AH2464,AJ2464,AL2464,AN2464,AP2464,AR2464,AT2464,AV2464,AX2464)</f>
        <v>235.72</v>
      </c>
      <c r="BE2464" s="33" t="n">
        <f aca="false">AZ2464-BD2464</f>
        <v>0</v>
      </c>
      <c r="BF2464" s="34" t="n">
        <f aca="false">BD2464*M2464</f>
        <v>44786.8</v>
      </c>
      <c r="BG2464" s="35" t="n">
        <f aca="false">BA2464-BF2464</f>
        <v>0.19999999999709</v>
      </c>
      <c r="BH2464" s="19" t="str">
        <f aca="false">IF(BG2464=0,"",IF(BG2464&lt;&gt;BA2464,"erreur de calcul",IF(BD2464&lt;&gt;0,"pas de prix",IF(M2464&lt;&gt; 0,"pas de quantité","pas de prix, ni de quantité"))))</f>
        <v>erreur de calcul</v>
      </c>
      <c r="BI2464" s="19"/>
    </row>
    <row r="2465" customFormat="false" ht="15" hidden="false" customHeight="false" outlineLevel="0" collapsed="false">
      <c r="A2465" s="0" t="n">
        <v>6</v>
      </c>
      <c r="B2465" s="8" t="s">
        <v>24</v>
      </c>
      <c r="C2465" s="9" t="s">
        <v>25</v>
      </c>
      <c r="D2465" s="9" t="s">
        <v>26</v>
      </c>
      <c r="E2465" s="10" t="n">
        <v>1789</v>
      </c>
      <c r="F2465" s="9" t="s">
        <v>27</v>
      </c>
      <c r="G2465" s="9" t="s">
        <v>27</v>
      </c>
      <c r="H2465" s="11" t="n">
        <v>18</v>
      </c>
      <c r="I2465" s="11" t="s">
        <v>71</v>
      </c>
      <c r="J2465" s="14" t="n">
        <v>60</v>
      </c>
      <c r="K2465" s="14"/>
      <c r="L2465" s="16"/>
      <c r="M2465" s="27" t="n">
        <f aca="false">J2465+(K2465/20)+(L2465/240)</f>
        <v>60</v>
      </c>
      <c r="N2465" s="17" t="s">
        <v>64</v>
      </c>
      <c r="O2465" s="11"/>
      <c r="P2465" s="28" t="n">
        <f aca="false">674/100</f>
        <v>6.74</v>
      </c>
      <c r="Q2465" s="28" t="n">
        <v>404</v>
      </c>
      <c r="R2465" s="28"/>
      <c r="S2465" s="28" t="n">
        <f aca="false">R2465*$M2465</f>
        <v>0</v>
      </c>
      <c r="T2465" s="28"/>
      <c r="U2465" s="28" t="n">
        <f aca="false">T2465*$M2465</f>
        <v>0</v>
      </c>
      <c r="V2465" s="28"/>
      <c r="W2465" s="28" t="n">
        <f aca="false">V2465*$M2465</f>
        <v>0</v>
      </c>
      <c r="X2465" s="29"/>
      <c r="Y2465" s="28" t="n">
        <f aca="false">X2465*$M2465</f>
        <v>0</v>
      </c>
      <c r="Z2465" s="28"/>
      <c r="AA2465" s="28" t="n">
        <f aca="false">Z2465*$M2465</f>
        <v>0</v>
      </c>
      <c r="AB2465" s="28"/>
      <c r="AC2465" s="28" t="n">
        <f aca="false">AB2465*$M2465</f>
        <v>0</v>
      </c>
      <c r="AD2465" s="28"/>
      <c r="AE2465" s="28" t="n">
        <f aca="false">AD2465*$M2465</f>
        <v>0</v>
      </c>
      <c r="AF2465" s="28"/>
      <c r="AG2465" s="28" t="n">
        <f aca="false">AF2465*$M2465</f>
        <v>0</v>
      </c>
      <c r="AH2465" s="28"/>
      <c r="AI2465" s="28" t="n">
        <f aca="false">AH2465*$M2465</f>
        <v>0</v>
      </c>
      <c r="AJ2465" s="28" t="n">
        <f aca="false">1133/100</f>
        <v>11.33</v>
      </c>
      <c r="AK2465" s="28" t="n">
        <v>680</v>
      </c>
      <c r="AL2465" s="28" t="n">
        <f aca="false">3140/100</f>
        <v>31.4</v>
      </c>
      <c r="AM2465" s="28" t="n">
        <v>1884</v>
      </c>
      <c r="AN2465" s="28"/>
      <c r="AO2465" s="28" t="n">
        <f aca="false">AN2465*$M2465</f>
        <v>0</v>
      </c>
      <c r="AP2465" s="28"/>
      <c r="AQ2465" s="28" t="n">
        <f aca="false">AP2465*$M2465</f>
        <v>0</v>
      </c>
      <c r="AR2465" s="28"/>
      <c r="AS2465" s="28" t="n">
        <f aca="false">AR2465*$M2465</f>
        <v>0</v>
      </c>
      <c r="AT2465" s="28"/>
      <c r="AU2465" s="28" t="n">
        <f aca="false">AT2465*$M2465</f>
        <v>0</v>
      </c>
      <c r="AV2465" s="28"/>
      <c r="AW2465" s="28" t="n">
        <f aca="false">AV2465*$M2465</f>
        <v>0</v>
      </c>
      <c r="AX2465" s="28"/>
      <c r="AY2465" s="28" t="n">
        <f aca="false">AX2465*$M2465</f>
        <v>0</v>
      </c>
      <c r="AZ2465" s="30" t="n">
        <f aca="false">4947/100</f>
        <v>49.47</v>
      </c>
      <c r="BA2465" s="11" t="n">
        <v>2968</v>
      </c>
      <c r="BB2465" s="31" t="n">
        <f aca="false">SUM(Q2465,S2465,U2465,W2465,Y2465,AA2465,AC2465,AE2465,AG2465,AI2465,AK2465,AM2465,AO2465,AQ2465,AS2465,AU2465,AW2465,AY2465)</f>
        <v>2968</v>
      </c>
      <c r="BC2465" s="28" t="n">
        <f aca="false">BA2465-BB2465</f>
        <v>0</v>
      </c>
      <c r="BD2465" s="32" t="n">
        <f aca="false">SUM(P2465,R2465,T2465,V2465,X2465,Z2465,AB2465,AD2465,AF2465,AH2465,AJ2465,AL2465,AN2465,AP2465,AR2465,AT2465,AV2465,AX2465)</f>
        <v>49.47</v>
      </c>
      <c r="BE2465" s="33" t="n">
        <f aca="false">AZ2465-BD2465</f>
        <v>0</v>
      </c>
      <c r="BF2465" s="34" t="n">
        <f aca="false">BD2465*M2465</f>
        <v>2968.2</v>
      </c>
      <c r="BG2465" s="35" t="n">
        <f aca="false">BA2465-BF2465</f>
        <v>-0.199999999999818</v>
      </c>
      <c r="BH2465" s="19" t="str">
        <f aca="false">IF(BG2465=0,"",IF(BG2465&lt;&gt;BA2465,"erreur de calcul",IF(BD2465&lt;&gt;0,"pas de prix",IF(M2465&lt;&gt; 0,"pas de quantité","pas de prix, ni de quantité"))))</f>
        <v>erreur de calcul</v>
      </c>
      <c r="BI2465" s="19"/>
    </row>
    <row r="2466" customFormat="false" ht="15" hidden="false" customHeight="false" outlineLevel="0" collapsed="false">
      <c r="A2466" s="0" t="n">
        <v>7</v>
      </c>
      <c r="B2466" s="8" t="s">
        <v>24</v>
      </c>
      <c r="C2466" s="9" t="s">
        <v>25</v>
      </c>
      <c r="D2466" s="9" t="s">
        <v>26</v>
      </c>
      <c r="E2466" s="10" t="n">
        <v>1789</v>
      </c>
      <c r="F2466" s="9" t="s">
        <v>27</v>
      </c>
      <c r="G2466" s="9" t="s">
        <v>27</v>
      </c>
      <c r="H2466" s="11" t="n">
        <v>18</v>
      </c>
      <c r="I2466" s="11" t="s">
        <v>72</v>
      </c>
      <c r="J2466" s="14" t="n">
        <v>15</v>
      </c>
      <c r="K2466" s="14"/>
      <c r="L2466" s="16"/>
      <c r="M2466" s="27" t="n">
        <f aca="false">J2466+(K2466/20)+(L2466/240)</f>
        <v>15</v>
      </c>
      <c r="N2466" s="17" t="s">
        <v>64</v>
      </c>
      <c r="O2466" s="11"/>
      <c r="P2466" s="28"/>
      <c r="Q2466" s="28" t="n">
        <f aca="false">P2466*$M2466</f>
        <v>0</v>
      </c>
      <c r="R2466" s="28"/>
      <c r="S2466" s="28" t="n">
        <f aca="false">R2466*$M2466</f>
        <v>0</v>
      </c>
      <c r="T2466" s="28"/>
      <c r="U2466" s="28" t="n">
        <f aca="false">T2466*$M2466</f>
        <v>0</v>
      </c>
      <c r="V2466" s="28"/>
      <c r="W2466" s="28" t="n">
        <f aca="false">V2466*$M2466</f>
        <v>0</v>
      </c>
      <c r="X2466" s="29"/>
      <c r="Y2466" s="28" t="n">
        <f aca="false">X2466*$M2466</f>
        <v>0</v>
      </c>
      <c r="Z2466" s="28"/>
      <c r="AA2466" s="28" t="n">
        <f aca="false">Z2466*$M2466</f>
        <v>0</v>
      </c>
      <c r="AB2466" s="28"/>
      <c r="AC2466" s="28" t="n">
        <f aca="false">AB2466*$M2466</f>
        <v>0</v>
      </c>
      <c r="AD2466" s="28"/>
      <c r="AE2466" s="28" t="n">
        <f aca="false">AD2466*$M2466</f>
        <v>0</v>
      </c>
      <c r="AF2466" s="28"/>
      <c r="AG2466" s="28" t="n">
        <f aca="false">AF2466*$M2466</f>
        <v>0</v>
      </c>
      <c r="AH2466" s="28"/>
      <c r="AI2466" s="28" t="n">
        <f aca="false">AH2466*$M2466</f>
        <v>0</v>
      </c>
      <c r="AJ2466" s="28" t="n">
        <f aca="false">119*288*0.02+88*0.02</f>
        <v>687.2</v>
      </c>
      <c r="AK2466" s="28" t="n">
        <v>10308</v>
      </c>
      <c r="AL2466" s="28"/>
      <c r="AM2466" s="28" t="n">
        <f aca="false">AL2466*$M2466</f>
        <v>0</v>
      </c>
      <c r="AN2466" s="28"/>
      <c r="AO2466" s="28" t="n">
        <f aca="false">AN2466*$M2466</f>
        <v>0</v>
      </c>
      <c r="AP2466" s="28"/>
      <c r="AQ2466" s="28" t="n">
        <f aca="false">AP2466*$M2466</f>
        <v>0</v>
      </c>
      <c r="AR2466" s="28"/>
      <c r="AS2466" s="28" t="n">
        <f aca="false">AR2466*$M2466</f>
        <v>0</v>
      </c>
      <c r="AT2466" s="28"/>
      <c r="AU2466" s="28" t="n">
        <f aca="false">AT2466*$M2466</f>
        <v>0</v>
      </c>
      <c r="AV2466" s="28"/>
      <c r="AW2466" s="28" t="n">
        <f aca="false">AV2466*$M2466</f>
        <v>0</v>
      </c>
      <c r="AX2466" s="28"/>
      <c r="AY2466" s="28" t="n">
        <f aca="false">AX2466*$M2466</f>
        <v>0</v>
      </c>
      <c r="AZ2466" s="30" t="n">
        <f aca="false">119*288*0.02+88*0.02</f>
        <v>687.2</v>
      </c>
      <c r="BA2466" s="11" t="n">
        <v>10308</v>
      </c>
      <c r="BB2466" s="31" t="n">
        <f aca="false">SUM(Q2466,S2466,U2466,W2466,Y2466,AA2466,AC2466,AE2466,AG2466,AI2466,AK2466,AM2466,AO2466,AQ2466,AS2466,AU2466,AW2466,AY2466)</f>
        <v>10308</v>
      </c>
      <c r="BC2466" s="28" t="n">
        <f aca="false">BA2466-BB2466</f>
        <v>0</v>
      </c>
      <c r="BD2466" s="32" t="n">
        <f aca="false">SUM(P2466,R2466,T2466,V2466,X2466,Z2466,AB2466,AD2466,AF2466,AH2466,AJ2466,AL2466,AN2466,AP2466,AR2466,AT2466,AV2466,AX2466)</f>
        <v>687.2</v>
      </c>
      <c r="BE2466" s="33" t="n">
        <f aca="false">AZ2466-BD2466</f>
        <v>0</v>
      </c>
      <c r="BF2466" s="34" t="n">
        <f aca="false">BD2466*M2466</f>
        <v>10308</v>
      </c>
      <c r="BG2466" s="35" t="n">
        <f aca="false">BA2466-BF2466</f>
        <v>0</v>
      </c>
      <c r="BH2466" s="19" t="str">
        <f aca="false">IF(BG2466=0,"",IF(BG2466&lt;&gt;BA2466,"erreur de calcul",IF(BD2466&lt;&gt;0,"pas de prix",IF(M2466&lt;&gt; 0,"pas de quantité","pas de prix, ni de quantité"))))</f>
        <v/>
      </c>
      <c r="BI2466" s="19"/>
    </row>
    <row r="2467" customFormat="false" ht="15" hidden="false" customHeight="false" outlineLevel="0" collapsed="false">
      <c r="A2467" s="0" t="n">
        <v>8</v>
      </c>
      <c r="B2467" s="8" t="s">
        <v>24</v>
      </c>
      <c r="C2467" s="9" t="s">
        <v>25</v>
      </c>
      <c r="D2467" s="9" t="s">
        <v>26</v>
      </c>
      <c r="E2467" s="10" t="n">
        <v>1789</v>
      </c>
      <c r="F2467" s="9" t="s">
        <v>27</v>
      </c>
      <c r="G2467" s="9" t="s">
        <v>27</v>
      </c>
      <c r="H2467" s="11" t="n">
        <v>18</v>
      </c>
      <c r="I2467" s="11" t="s">
        <v>73</v>
      </c>
      <c r="J2467" s="14"/>
      <c r="K2467" s="14"/>
      <c r="L2467" s="16"/>
      <c r="M2467" s="27" t="n">
        <f aca="false">J2467+(K2467/20)+(L2467/240)</f>
        <v>0</v>
      </c>
      <c r="N2467" s="17"/>
      <c r="O2467" s="11"/>
      <c r="P2467" s="28"/>
      <c r="Q2467" s="28" t="n">
        <f aca="false">P2467*$M2467</f>
        <v>0</v>
      </c>
      <c r="R2467" s="28"/>
      <c r="S2467" s="28" t="n">
        <f aca="false">R2467*$M2467</f>
        <v>0</v>
      </c>
      <c r="T2467" s="28"/>
      <c r="U2467" s="28" t="n">
        <v>3356</v>
      </c>
      <c r="V2467" s="28"/>
      <c r="W2467" s="28" t="n">
        <v>1444</v>
      </c>
      <c r="X2467" s="29"/>
      <c r="Y2467" s="28" t="n">
        <f aca="false">X2467*$M2467</f>
        <v>0</v>
      </c>
      <c r="Z2467" s="28"/>
      <c r="AA2467" s="28" t="n">
        <f aca="false">Z2467*$M2467</f>
        <v>0</v>
      </c>
      <c r="AB2467" s="28"/>
      <c r="AC2467" s="28" t="n">
        <f aca="false">AB2467*$M2467</f>
        <v>0</v>
      </c>
      <c r="AD2467" s="28"/>
      <c r="AE2467" s="28" t="n">
        <f aca="false">AD2467*$M2467</f>
        <v>0</v>
      </c>
      <c r="AF2467" s="28"/>
      <c r="AG2467" s="28" t="n">
        <f aca="false">AF2467*$M2467</f>
        <v>0</v>
      </c>
      <c r="AH2467" s="28"/>
      <c r="AI2467" s="28" t="n">
        <f aca="false">AH2467*$M2467</f>
        <v>0</v>
      </c>
      <c r="AJ2467" s="28"/>
      <c r="AK2467" s="28" t="n">
        <f aca="false">AJ2467*$M2467</f>
        <v>0</v>
      </c>
      <c r="AL2467" s="28"/>
      <c r="AM2467" s="28" t="n">
        <f aca="false">AL2467*$M2467</f>
        <v>0</v>
      </c>
      <c r="AN2467" s="28"/>
      <c r="AO2467" s="28" t="n">
        <f aca="false">AN2467*$M2467</f>
        <v>0</v>
      </c>
      <c r="AP2467" s="28"/>
      <c r="AQ2467" s="28" t="n">
        <f aca="false">AP2467*$M2467</f>
        <v>0</v>
      </c>
      <c r="AR2467" s="28"/>
      <c r="AS2467" s="28" t="n">
        <f aca="false">AR2467*$M2467</f>
        <v>0</v>
      </c>
      <c r="AT2467" s="28"/>
      <c r="AU2467" s="28" t="n">
        <f aca="false">AT2467*$M2467</f>
        <v>0</v>
      </c>
      <c r="AV2467" s="28"/>
      <c r="AW2467" s="28" t="n">
        <f aca="false">AV2467*$M2467</f>
        <v>0</v>
      </c>
      <c r="AX2467" s="28"/>
      <c r="AY2467" s="28" t="n">
        <f aca="false">AX2467*$M2467</f>
        <v>0</v>
      </c>
      <c r="AZ2467" s="30"/>
      <c r="BA2467" s="11" t="n">
        <v>4800</v>
      </c>
      <c r="BB2467" s="31" t="n">
        <f aca="false">SUM(Q2467,S2467,U2467,W2467,Y2467,AA2467,AC2467,AE2467,AG2467,AI2467,AK2467,AM2467,AO2467,AQ2467,AS2467,AU2467,AW2467,AY2467)</f>
        <v>4800</v>
      </c>
      <c r="BC2467" s="28" t="n">
        <f aca="false">BA2467-BB2467</f>
        <v>0</v>
      </c>
      <c r="BD2467" s="32" t="n">
        <f aca="false">SUM(P2467,R2467,T2467,V2467,X2467,Z2467,AB2467,AD2467,AF2467,AH2467,AJ2467,AL2467,AN2467,AP2467,AR2467,AT2467,AV2467,AX2467)</f>
        <v>0</v>
      </c>
      <c r="BE2467" s="33" t="n">
        <f aca="false">AZ2467-BD2467</f>
        <v>0</v>
      </c>
      <c r="BF2467" s="34" t="n">
        <f aca="false">BD2467*M2467</f>
        <v>0</v>
      </c>
      <c r="BG2467" s="35" t="n">
        <f aca="false">BA2467-BF2467</f>
        <v>4800</v>
      </c>
      <c r="BH2467" s="19" t="str">
        <f aca="false">IF(BG2467=0,"",IF(BG2467&lt;&gt;BA2467,"erreur de calcul",IF(BD2467&lt;&gt;0,"pas de prix",IF(M2467&lt;&gt; 0,"pas de quantité","pas de prix, ni de quantité"))))</f>
        <v>pas de prix, ni de quantité</v>
      </c>
      <c r="BI2467" s="19"/>
    </row>
    <row r="2468" customFormat="false" ht="15" hidden="false" customHeight="false" outlineLevel="0" collapsed="false">
      <c r="A2468" s="0" t="n">
        <v>9</v>
      </c>
      <c r="B2468" s="8" t="s">
        <v>24</v>
      </c>
      <c r="C2468" s="9" t="s">
        <v>25</v>
      </c>
      <c r="D2468" s="9" t="s">
        <v>26</v>
      </c>
      <c r="E2468" s="10" t="n">
        <v>1789</v>
      </c>
      <c r="F2468" s="9" t="s">
        <v>27</v>
      </c>
      <c r="G2468" s="9" t="s">
        <v>27</v>
      </c>
      <c r="H2468" s="11" t="n">
        <v>18</v>
      </c>
      <c r="I2468" s="11" t="s">
        <v>74</v>
      </c>
      <c r="J2468" s="14"/>
      <c r="K2468" s="14"/>
      <c r="L2468" s="16"/>
      <c r="M2468" s="27" t="n">
        <f aca="false">J2468+(K2468/20)+(L2468/240)</f>
        <v>0</v>
      </c>
      <c r="N2468" s="17" t="s">
        <v>66</v>
      </c>
      <c r="O2468" s="11"/>
      <c r="P2468" s="28"/>
      <c r="Q2468" s="28" t="n">
        <f aca="false">P2468*$M2468</f>
        <v>0</v>
      </c>
      <c r="R2468" s="28"/>
      <c r="S2468" s="28" t="n">
        <f aca="false">R2468*$M2468</f>
        <v>0</v>
      </c>
      <c r="T2468" s="28"/>
      <c r="U2468" s="28" t="n">
        <f aca="false">T2468*$M2468</f>
        <v>0</v>
      </c>
      <c r="V2468" s="28"/>
      <c r="W2468" s="28" t="n">
        <f aca="false">V2468*$M2468</f>
        <v>0</v>
      </c>
      <c r="X2468" s="29"/>
      <c r="Y2468" s="28"/>
      <c r="Z2468" s="28"/>
      <c r="AA2468" s="28" t="n">
        <f aca="false">Z2468*$M2468</f>
        <v>0</v>
      </c>
      <c r="AB2468" s="28"/>
      <c r="AC2468" s="28" t="n">
        <f aca="false">AB2468*$M2468</f>
        <v>0</v>
      </c>
      <c r="AD2468" s="28"/>
      <c r="AE2468" s="28" t="n">
        <f aca="false">AD2468*$M2468</f>
        <v>0</v>
      </c>
      <c r="AF2468" s="28"/>
      <c r="AG2468" s="28" t="n">
        <f aca="false">AF2468*$M2468</f>
        <v>0</v>
      </c>
      <c r="AH2468" s="28" t="n">
        <v>45346</v>
      </c>
      <c r="AI2468" s="28" t="n">
        <v>3174</v>
      </c>
      <c r="AJ2468" s="28"/>
      <c r="AK2468" s="28" t="n">
        <f aca="false">AJ2468*$M2468</f>
        <v>0</v>
      </c>
      <c r="AL2468" s="28"/>
      <c r="AM2468" s="28" t="n">
        <f aca="false">AL2468*$M2468</f>
        <v>0</v>
      </c>
      <c r="AN2468" s="28"/>
      <c r="AO2468" s="28" t="n">
        <f aca="false">AN2468*$M2468</f>
        <v>0</v>
      </c>
      <c r="AP2468" s="28"/>
      <c r="AQ2468" s="28" t="n">
        <f aca="false">AP2468*$M2468</f>
        <v>0</v>
      </c>
      <c r="AR2468" s="28"/>
      <c r="AS2468" s="28" t="n">
        <f aca="false">AR2468*$M2468</f>
        <v>0</v>
      </c>
      <c r="AT2468" s="28"/>
      <c r="AU2468" s="28" t="n">
        <f aca="false">AT2468*$M2468</f>
        <v>0</v>
      </c>
      <c r="AV2468" s="28"/>
      <c r="AW2468" s="28" t="n">
        <f aca="false">AV2468*$M2468</f>
        <v>0</v>
      </c>
      <c r="AX2468" s="28"/>
      <c r="AY2468" s="28" t="n">
        <f aca="false">AX2468*$M2468</f>
        <v>0</v>
      </c>
      <c r="AZ2468" s="30" t="n">
        <v>45346</v>
      </c>
      <c r="BA2468" s="11" t="n">
        <v>3174</v>
      </c>
      <c r="BB2468" s="31" t="n">
        <f aca="false">SUM(Q2468,S2468,U2468,W2468,Y2468,AA2468,AC2468,AE2468,AG2468,AI2468,AK2468,AM2468,AO2468,AQ2468,AS2468,AU2468,AW2468,AY2468)</f>
        <v>3174</v>
      </c>
      <c r="BC2468" s="28" t="n">
        <f aca="false">BA2468-BB2468</f>
        <v>0</v>
      </c>
      <c r="BD2468" s="32" t="n">
        <f aca="false">SUM(P2468,R2468,T2468,V2468,X2468,Z2468,AB2468,AD2468,AF2468,AH2468,AJ2468,AL2468,AN2468,AP2468,AR2468,AT2468,AV2468,AX2468)</f>
        <v>45346</v>
      </c>
      <c r="BE2468" s="33" t="n">
        <f aca="false">AZ2468-BD2468</f>
        <v>0</v>
      </c>
      <c r="BF2468" s="34" t="n">
        <f aca="false">BD2468*M2468</f>
        <v>0</v>
      </c>
      <c r="BG2468" s="35" t="n">
        <f aca="false">BA2468-BF2468</f>
        <v>3174</v>
      </c>
      <c r="BH2468" s="19" t="str">
        <f aca="false">IF(BG2468=0,"",IF(BG2468&lt;&gt;BA2468,"erreur de calcul",IF(BD2468&lt;&gt;0,"pas de prix",IF(M2468&lt;&gt; 0,"pas de quantité","pas de prix, ni de quantité"))))</f>
        <v>pas de prix</v>
      </c>
      <c r="BI2468" s="19" t="s">
        <v>75</v>
      </c>
    </row>
    <row r="2469" customFormat="false" ht="15" hidden="false" customHeight="false" outlineLevel="0" collapsed="false">
      <c r="A2469" s="0" t="n">
        <v>10</v>
      </c>
      <c r="B2469" s="8" t="s">
        <v>24</v>
      </c>
      <c r="C2469" s="9" t="s">
        <v>25</v>
      </c>
      <c r="D2469" s="9" t="s">
        <v>26</v>
      </c>
      <c r="E2469" s="10" t="n">
        <v>1789</v>
      </c>
      <c r="F2469" s="9" t="s">
        <v>27</v>
      </c>
      <c r="G2469" s="9" t="s">
        <v>27</v>
      </c>
      <c r="H2469" s="11" t="n">
        <v>18</v>
      </c>
      <c r="I2469" s="11" t="s">
        <v>76</v>
      </c>
      <c r="J2469" s="14"/>
      <c r="K2469" s="14" t="n">
        <v>20</v>
      </c>
      <c r="L2469" s="16"/>
      <c r="M2469" s="27" t="n">
        <f aca="false">J2469+(K2469/20)+(L2469/240)</f>
        <v>1</v>
      </c>
      <c r="N2469" s="17" t="s">
        <v>64</v>
      </c>
      <c r="O2469" s="11" t="s">
        <v>77</v>
      </c>
      <c r="P2469" s="28" t="n">
        <f aca="false">66667/100</f>
        <v>666.67</v>
      </c>
      <c r="Q2469" s="28" t="n">
        <v>667</v>
      </c>
      <c r="R2469" s="28"/>
      <c r="S2469" s="28" t="n">
        <f aca="false">R2469*$M2469</f>
        <v>0</v>
      </c>
      <c r="T2469" s="28"/>
      <c r="U2469" s="28" t="n">
        <f aca="false">T2469*$M2469</f>
        <v>0</v>
      </c>
      <c r="V2469" s="28" t="n">
        <f aca="false">281532/100</f>
        <v>2815.32</v>
      </c>
      <c r="W2469" s="28" t="n">
        <v>2815</v>
      </c>
      <c r="X2469" s="29" t="n">
        <f aca="false">366667/100</f>
        <v>3666.67</v>
      </c>
      <c r="Y2469" s="28" t="n">
        <v>3666</v>
      </c>
      <c r="Z2469" s="28" t="n">
        <f aca="false">33334/100</f>
        <v>333.34</v>
      </c>
      <c r="AA2469" s="28" t="n">
        <v>333</v>
      </c>
      <c r="AB2469" s="28"/>
      <c r="AC2469" s="28" t="n">
        <f aca="false">AB2469*$M2469</f>
        <v>0</v>
      </c>
      <c r="AD2469" s="28"/>
      <c r="AE2469" s="28" t="n">
        <f aca="false">AD2469*$M2469</f>
        <v>0</v>
      </c>
      <c r="AF2469" s="28"/>
      <c r="AG2469" s="28" t="n">
        <f aca="false">AF2469*$M2469</f>
        <v>0</v>
      </c>
      <c r="AH2469" s="28"/>
      <c r="AI2469" s="28" t="n">
        <f aca="false">AH2469*$M2469</f>
        <v>0</v>
      </c>
      <c r="AJ2469" s="28"/>
      <c r="AK2469" s="28" t="n">
        <f aca="false">AJ2469*$M2469</f>
        <v>0</v>
      </c>
      <c r="AL2469" s="28"/>
      <c r="AM2469" s="28" t="n">
        <f aca="false">AL2469*$M2469</f>
        <v>0</v>
      </c>
      <c r="AN2469" s="28"/>
      <c r="AO2469" s="28" t="n">
        <f aca="false">AN2469*$M2469</f>
        <v>0</v>
      </c>
      <c r="AP2469" s="28"/>
      <c r="AQ2469" s="28" t="n">
        <f aca="false">AP2469*$M2469</f>
        <v>0</v>
      </c>
      <c r="AR2469" s="28"/>
      <c r="AS2469" s="28" t="n">
        <f aca="false">AR2469*$M2469</f>
        <v>0</v>
      </c>
      <c r="AT2469" s="28"/>
      <c r="AU2469" s="28" t="n">
        <f aca="false">AT2469*$M2469</f>
        <v>0</v>
      </c>
      <c r="AV2469" s="28"/>
      <c r="AW2469" s="28" t="n">
        <f aca="false">AV2469*$M2469</f>
        <v>0</v>
      </c>
      <c r="AX2469" s="28"/>
      <c r="AY2469" s="28" t="n">
        <f aca="false">AX2469*$M2469</f>
        <v>0</v>
      </c>
      <c r="AZ2469" s="30" t="n">
        <f aca="false">748200/100</f>
        <v>7482</v>
      </c>
      <c r="BA2469" s="11" t="n">
        <v>7481</v>
      </c>
      <c r="BB2469" s="31" t="n">
        <f aca="false">SUM(Q2469,S2469,U2469,W2469,Y2469,AA2469,AC2469,AE2469,AG2469,AI2469,AK2469,AM2469,AO2469,AQ2469,AS2469,AU2469,AW2469,AY2469)</f>
        <v>7481</v>
      </c>
      <c r="BC2469" s="28" t="n">
        <f aca="false">BA2469-BB2469</f>
        <v>0</v>
      </c>
      <c r="BD2469" s="32" t="n">
        <f aca="false">SUM(P2469,R2469,T2469,V2469,X2469,Z2469,AB2469,AD2469,AF2469,AH2469,AJ2469,AL2469,AN2469,AP2469,AR2469,AT2469,AV2469,AX2469)</f>
        <v>7482</v>
      </c>
      <c r="BE2469" s="33" t="n">
        <f aca="false">AZ2469-BD2469</f>
        <v>0</v>
      </c>
      <c r="BF2469" s="34" t="n">
        <f aca="false">BD2469*M2469</f>
        <v>7482</v>
      </c>
      <c r="BG2469" s="35" t="n">
        <f aca="false">BA2469-BF2469</f>
        <v>-1</v>
      </c>
      <c r="BH2469" s="19" t="str">
        <f aca="false">IF(BG2469=0,"",IF(BG2469&lt;&gt;BA2469,"erreur de calcul",IF(BD2469&lt;&gt;0,"pas de prix",IF(M2469&lt;&gt; 0,"pas de quantité","pas de prix, ni de quantité"))))</f>
        <v>erreur de calcul</v>
      </c>
      <c r="BI2469" s="19"/>
    </row>
    <row r="2470" customFormat="false" ht="15" hidden="false" customHeight="false" outlineLevel="0" collapsed="false">
      <c r="A2470" s="0" t="n">
        <v>11</v>
      </c>
      <c r="B2470" s="8" t="s">
        <v>24</v>
      </c>
      <c r="C2470" s="9" t="s">
        <v>25</v>
      </c>
      <c r="D2470" s="9" t="s">
        <v>26</v>
      </c>
      <c r="E2470" s="10" t="n">
        <v>1789</v>
      </c>
      <c r="F2470" s="9" t="s">
        <v>27</v>
      </c>
      <c r="G2470" s="9" t="s">
        <v>27</v>
      </c>
      <c r="H2470" s="11" t="n">
        <v>18</v>
      </c>
      <c r="I2470" s="11" t="s">
        <v>78</v>
      </c>
      <c r="J2470" s="14"/>
      <c r="K2470" s="14" t="n">
        <v>50</v>
      </c>
      <c r="L2470" s="16"/>
      <c r="M2470" s="27" t="n">
        <f aca="false">J2470+(K2470/20)+(L2470/240)</f>
        <v>2.5</v>
      </c>
      <c r="N2470" s="17" t="s">
        <v>79</v>
      </c>
      <c r="O2470" s="11"/>
      <c r="P2470" s="28"/>
      <c r="Q2470" s="28" t="n">
        <f aca="false">P2470*$M2470</f>
        <v>0</v>
      </c>
      <c r="R2470" s="28"/>
      <c r="S2470" s="28" t="n">
        <f aca="false">R2470*$M2470</f>
        <v>0</v>
      </c>
      <c r="T2470" s="28"/>
      <c r="U2470" s="28" t="n">
        <f aca="false">T2470*$M2470</f>
        <v>0</v>
      </c>
      <c r="V2470" s="28" t="n">
        <v>61807</v>
      </c>
      <c r="W2470" s="28" t="n">
        <v>154517</v>
      </c>
      <c r="X2470" s="29"/>
      <c r="Y2470" s="28" t="n">
        <f aca="false">X2470*$M2470</f>
        <v>0</v>
      </c>
      <c r="Z2470" s="28"/>
      <c r="AA2470" s="28" t="n">
        <f aca="false">Z2470*$M2470</f>
        <v>0</v>
      </c>
      <c r="AB2470" s="28" t="n">
        <v>43640</v>
      </c>
      <c r="AC2470" s="28" t="n">
        <v>109100</v>
      </c>
      <c r="AD2470" s="28"/>
      <c r="AE2470" s="28" t="n">
        <f aca="false">AD2470*$M2470</f>
        <v>0</v>
      </c>
      <c r="AF2470" s="28"/>
      <c r="AG2470" s="28" t="n">
        <f aca="false">AF2470*$M2470</f>
        <v>0</v>
      </c>
      <c r="AH2470" s="28"/>
      <c r="AI2470" s="28" t="n">
        <f aca="false">AH2470*$M2470</f>
        <v>0</v>
      </c>
      <c r="AJ2470" s="28"/>
      <c r="AK2470" s="28" t="n">
        <f aca="false">AJ2470*$M2470</f>
        <v>0</v>
      </c>
      <c r="AL2470" s="28"/>
      <c r="AM2470" s="28" t="n">
        <f aca="false">AL2470*$M2470</f>
        <v>0</v>
      </c>
      <c r="AN2470" s="28"/>
      <c r="AO2470" s="28" t="n">
        <f aca="false">AN2470*$M2470</f>
        <v>0</v>
      </c>
      <c r="AP2470" s="28"/>
      <c r="AQ2470" s="28" t="n">
        <f aca="false">AP2470*$M2470</f>
        <v>0</v>
      </c>
      <c r="AR2470" s="28"/>
      <c r="AS2470" s="28" t="n">
        <f aca="false">AR2470*$M2470</f>
        <v>0</v>
      </c>
      <c r="AT2470" s="28"/>
      <c r="AU2470" s="28" t="n">
        <f aca="false">AT2470*$M2470</f>
        <v>0</v>
      </c>
      <c r="AV2470" s="28"/>
      <c r="AW2470" s="28" t="n">
        <f aca="false">AV2470*$M2470</f>
        <v>0</v>
      </c>
      <c r="AX2470" s="28"/>
      <c r="AY2470" s="28" t="n">
        <f aca="false">AX2470*$M2470</f>
        <v>0</v>
      </c>
      <c r="AZ2470" s="30" t="n">
        <v>105447</v>
      </c>
      <c r="BA2470" s="11" t="n">
        <v>263617</v>
      </c>
      <c r="BB2470" s="31" t="n">
        <f aca="false">SUM(Q2470,S2470,U2470,W2470,Y2470,AA2470,AC2470,AE2470,AG2470,AI2470,AK2470,AM2470,AO2470,AQ2470,AS2470,AU2470,AW2470,AY2470)</f>
        <v>263617</v>
      </c>
      <c r="BC2470" s="28" t="n">
        <f aca="false">BA2470-BB2470</f>
        <v>0</v>
      </c>
      <c r="BD2470" s="32" t="n">
        <f aca="false">SUM(P2470,R2470,T2470,V2470,X2470,Z2470,AB2470,AD2470,AF2470,AH2470,AJ2470,AL2470,AN2470,AP2470,AR2470,AT2470,AV2470,AX2470)</f>
        <v>105447</v>
      </c>
      <c r="BE2470" s="33" t="n">
        <f aca="false">AZ2470-BD2470</f>
        <v>0</v>
      </c>
      <c r="BF2470" s="34" t="n">
        <f aca="false">BD2470*M2470</f>
        <v>263617.5</v>
      </c>
      <c r="BG2470" s="35" t="n">
        <f aca="false">BA2470-BF2470</f>
        <v>-0.5</v>
      </c>
      <c r="BH2470" s="19" t="str">
        <f aca="false">IF(BG2470=0,"",IF(BG2470&lt;&gt;BA2470,"erreur de calcul",IF(BD2470&lt;&gt;0,"pas de prix",IF(M2470&lt;&gt; 0,"pas de quantité","pas de prix, ni de quantité"))))</f>
        <v>erreur de calcul</v>
      </c>
      <c r="BI2470" s="19"/>
    </row>
    <row r="2471" customFormat="false" ht="15" hidden="false" customHeight="false" outlineLevel="0" collapsed="false">
      <c r="A2471" s="0" t="n">
        <v>12</v>
      </c>
      <c r="B2471" s="8" t="s">
        <v>24</v>
      </c>
      <c r="C2471" s="9" t="s">
        <v>25</v>
      </c>
      <c r="D2471" s="9" t="s">
        <v>26</v>
      </c>
      <c r="E2471" s="10" t="n">
        <v>1789</v>
      </c>
      <c r="F2471" s="9" t="s">
        <v>27</v>
      </c>
      <c r="G2471" s="9" t="s">
        <v>27</v>
      </c>
      <c r="H2471" s="11" t="n">
        <v>18</v>
      </c>
      <c r="I2471" s="11" t="s">
        <v>80</v>
      </c>
      <c r="J2471" s="14"/>
      <c r="K2471" s="14" t="n">
        <v>4</v>
      </c>
      <c r="L2471" s="16"/>
      <c r="M2471" s="27" t="n">
        <f aca="false">J2471+(K2471/20)+(L2471/240)</f>
        <v>0.2</v>
      </c>
      <c r="N2471" s="17" t="s">
        <v>81</v>
      </c>
      <c r="O2471" s="11"/>
      <c r="P2471" s="28"/>
      <c r="Q2471" s="28" t="n">
        <f aca="false">P2471*$M2471</f>
        <v>0</v>
      </c>
      <c r="R2471" s="28"/>
      <c r="S2471" s="28" t="n">
        <f aca="false">R2471*$M2471</f>
        <v>0</v>
      </c>
      <c r="T2471" s="28"/>
      <c r="U2471" s="28" t="n">
        <f aca="false">T2471*$M2471</f>
        <v>0</v>
      </c>
      <c r="V2471" s="28" t="n">
        <v>5800</v>
      </c>
      <c r="W2471" s="28" t="n">
        <v>1160</v>
      </c>
      <c r="X2471" s="29"/>
      <c r="Y2471" s="28" t="n">
        <v>1069</v>
      </c>
      <c r="Z2471" s="28"/>
      <c r="AA2471" s="28" t="n">
        <f aca="false">Z2471*$M2471</f>
        <v>0</v>
      </c>
      <c r="AB2471" s="28"/>
      <c r="AC2471" s="28" t="n">
        <f aca="false">AB2471*$M2471</f>
        <v>0</v>
      </c>
      <c r="AD2471" s="28"/>
      <c r="AE2471" s="28" t="n">
        <f aca="false">AD2471*$M2471</f>
        <v>0</v>
      </c>
      <c r="AF2471" s="28"/>
      <c r="AG2471" s="28" t="n">
        <f aca="false">AF2471*$M2471</f>
        <v>0</v>
      </c>
      <c r="AH2471" s="28"/>
      <c r="AI2471" s="28" t="n">
        <f aca="false">AH2471*$M2471</f>
        <v>0</v>
      </c>
      <c r="AJ2471" s="28"/>
      <c r="AK2471" s="28" t="n">
        <f aca="false">AJ2471*$M2471</f>
        <v>0</v>
      </c>
      <c r="AL2471" s="28"/>
      <c r="AM2471" s="28" t="n">
        <f aca="false">AL2471*$M2471</f>
        <v>0</v>
      </c>
      <c r="AN2471" s="28"/>
      <c r="AO2471" s="28" t="n">
        <f aca="false">AN2471*$M2471</f>
        <v>0</v>
      </c>
      <c r="AP2471" s="28"/>
      <c r="AQ2471" s="28" t="n">
        <f aca="false">AP2471*$M2471</f>
        <v>0</v>
      </c>
      <c r="AR2471" s="28"/>
      <c r="AS2471" s="28" t="n">
        <f aca="false">AR2471*$M2471</f>
        <v>0</v>
      </c>
      <c r="AT2471" s="28"/>
      <c r="AU2471" s="28" t="n">
        <f aca="false">AT2471*$M2471</f>
        <v>0</v>
      </c>
      <c r="AV2471" s="28"/>
      <c r="AW2471" s="28" t="n">
        <f aca="false">AV2471*$M2471</f>
        <v>0</v>
      </c>
      <c r="AX2471" s="28"/>
      <c r="AY2471" s="28" t="n">
        <f aca="false">AX2471*$M2471</f>
        <v>0</v>
      </c>
      <c r="AZ2471" s="30" t="n">
        <v>11144</v>
      </c>
      <c r="BA2471" s="11" t="n">
        <v>2229</v>
      </c>
      <c r="BB2471" s="31" t="n">
        <f aca="false">SUM(Q2471,S2471,U2471,W2471,Y2471,AA2471,AC2471,AE2471,AG2471,AI2471,AK2471,AM2471,AO2471,AQ2471,AS2471,AU2471,AW2471,AY2471)</f>
        <v>2229</v>
      </c>
      <c r="BC2471" s="28" t="n">
        <f aca="false">BA2471-BB2471</f>
        <v>0</v>
      </c>
      <c r="BD2471" s="32" t="n">
        <f aca="false">SUM(P2471,R2471,T2471,V2471,X2471,Z2471,AB2471,AD2471,AF2471,AH2471,AJ2471,AL2471,AN2471,AP2471,AR2471,AT2471,AV2471,AX2471)</f>
        <v>5800</v>
      </c>
      <c r="BE2471" s="33" t="n">
        <f aca="false">AZ2471-BD2471</f>
        <v>5344</v>
      </c>
      <c r="BF2471" s="34" t="n">
        <f aca="false">BD2471*M2471</f>
        <v>1160</v>
      </c>
      <c r="BG2471" s="35" t="n">
        <f aca="false">BA2471-BF2471</f>
        <v>1069</v>
      </c>
      <c r="BH2471" s="19" t="str">
        <f aca="false">IF(BG2471=0,"",IF(BG2471&lt;&gt;BA2471,"erreur de calcul",IF(BD2471&lt;&gt;0,"pas de prix",IF(M2471&lt;&gt; 0,"pas de quantité","pas de prix, ni de quantité"))))</f>
        <v>erreur de calcul</v>
      </c>
      <c r="BI2471" s="19"/>
    </row>
    <row r="2472" customFormat="false" ht="15" hidden="false" customHeight="false" outlineLevel="0" collapsed="false">
      <c r="A2472" s="0" t="n">
        <v>13</v>
      </c>
      <c r="B2472" s="8" t="s">
        <v>24</v>
      </c>
      <c r="C2472" s="9" t="s">
        <v>25</v>
      </c>
      <c r="D2472" s="9" t="s">
        <v>26</v>
      </c>
      <c r="E2472" s="10" t="n">
        <v>1789</v>
      </c>
      <c r="F2472" s="9" t="s">
        <v>27</v>
      </c>
      <c r="G2472" s="9" t="s">
        <v>27</v>
      </c>
      <c r="H2472" s="11" t="n">
        <v>18</v>
      </c>
      <c r="I2472" s="11" t="s">
        <v>82</v>
      </c>
      <c r="J2472" s="14" t="n">
        <v>17</v>
      </c>
      <c r="K2472" s="14"/>
      <c r="L2472" s="16"/>
      <c r="M2472" s="27" t="n">
        <f aca="false">J2472+(K2472/20)+(L2472/240)</f>
        <v>17</v>
      </c>
      <c r="N2472" s="17" t="s">
        <v>69</v>
      </c>
      <c r="O2472" s="11"/>
      <c r="P2472" s="28"/>
      <c r="Q2472" s="28" t="n">
        <f aca="false">P2472*$M2472</f>
        <v>0</v>
      </c>
      <c r="R2472" s="28"/>
      <c r="S2472" s="28" t="n">
        <f aca="false">R2472*$M2472</f>
        <v>0</v>
      </c>
      <c r="T2472" s="28"/>
      <c r="U2472" s="28" t="n">
        <f aca="false">T2472*$M2472</f>
        <v>0</v>
      </c>
      <c r="V2472" s="28" t="n">
        <v>600</v>
      </c>
      <c r="W2472" s="28" t="n">
        <v>10200</v>
      </c>
      <c r="X2472" s="29"/>
      <c r="Y2472" s="28" t="n">
        <f aca="false">X2472*$M2472</f>
        <v>0</v>
      </c>
      <c r="Z2472" s="28"/>
      <c r="AA2472" s="28" t="n">
        <f aca="false">Z2472*$M2472</f>
        <v>0</v>
      </c>
      <c r="AB2472" s="28"/>
      <c r="AC2472" s="28" t="n">
        <f aca="false">AB2472*$M2472</f>
        <v>0</v>
      </c>
      <c r="AD2472" s="28"/>
      <c r="AE2472" s="28" t="n">
        <f aca="false">AD2472*$M2472</f>
        <v>0</v>
      </c>
      <c r="AF2472" s="28"/>
      <c r="AG2472" s="28" t="n">
        <f aca="false">AF2472*$M2472</f>
        <v>0</v>
      </c>
      <c r="AH2472" s="28"/>
      <c r="AI2472" s="28" t="n">
        <f aca="false">AH2472*$M2472</f>
        <v>0</v>
      </c>
      <c r="AJ2472" s="28"/>
      <c r="AK2472" s="28" t="n">
        <f aca="false">AJ2472*$M2472</f>
        <v>0</v>
      </c>
      <c r="AL2472" s="28"/>
      <c r="AM2472" s="28" t="n">
        <f aca="false">AL2472*$M2472</f>
        <v>0</v>
      </c>
      <c r="AN2472" s="28"/>
      <c r="AO2472" s="28" t="n">
        <f aca="false">AN2472*$M2472</f>
        <v>0</v>
      </c>
      <c r="AP2472" s="28"/>
      <c r="AQ2472" s="28" t="n">
        <f aca="false">AP2472*$M2472</f>
        <v>0</v>
      </c>
      <c r="AR2472" s="28"/>
      <c r="AS2472" s="28" t="n">
        <f aca="false">AR2472*$M2472</f>
        <v>0</v>
      </c>
      <c r="AT2472" s="28"/>
      <c r="AU2472" s="28" t="n">
        <f aca="false">AT2472*$M2472</f>
        <v>0</v>
      </c>
      <c r="AV2472" s="28"/>
      <c r="AW2472" s="28" t="n">
        <f aca="false">AV2472*$M2472</f>
        <v>0</v>
      </c>
      <c r="AX2472" s="28"/>
      <c r="AY2472" s="28" t="n">
        <f aca="false">AX2472*$M2472</f>
        <v>0</v>
      </c>
      <c r="AZ2472" s="30" t="n">
        <v>600</v>
      </c>
      <c r="BA2472" s="11" t="n">
        <v>10200</v>
      </c>
      <c r="BB2472" s="31" t="n">
        <f aca="false">SUM(Q2472,S2472,U2472,W2472,Y2472,AA2472,AC2472,AE2472,AG2472,AI2472,AK2472,AM2472,AO2472,AQ2472,AS2472,AU2472,AW2472,AY2472)</f>
        <v>10200</v>
      </c>
      <c r="BC2472" s="28" t="n">
        <f aca="false">BA2472-BB2472</f>
        <v>0</v>
      </c>
      <c r="BD2472" s="32" t="n">
        <f aca="false">SUM(P2472,R2472,T2472,V2472,X2472,Z2472,AB2472,AD2472,AF2472,AH2472,AJ2472,AL2472,AN2472,AP2472,AR2472,AT2472,AV2472,AX2472)</f>
        <v>600</v>
      </c>
      <c r="BE2472" s="33" t="n">
        <f aca="false">AZ2472-BD2472</f>
        <v>0</v>
      </c>
      <c r="BF2472" s="34" t="n">
        <f aca="false">BD2472*M2472</f>
        <v>10200</v>
      </c>
      <c r="BG2472" s="35" t="n">
        <f aca="false">BA2472-BF2472</f>
        <v>0</v>
      </c>
      <c r="BH2472" s="19" t="str">
        <f aca="false">IF(BG2472=0,"",IF(BG2472&lt;&gt;BA2472,"erreur de calcul",IF(BD2472&lt;&gt;0,"pas de prix",IF(M2472&lt;&gt; 0,"pas de quantité","pas de prix, ni de quantité"))))</f>
        <v/>
      </c>
      <c r="BI2472" s="19"/>
    </row>
    <row r="2473" customFormat="false" ht="15" hidden="false" customHeight="false" outlineLevel="0" collapsed="false">
      <c r="A2473" s="0" t="n">
        <v>14</v>
      </c>
      <c r="B2473" s="8" t="s">
        <v>24</v>
      </c>
      <c r="C2473" s="9" t="s">
        <v>25</v>
      </c>
      <c r="D2473" s="9" t="s">
        <v>26</v>
      </c>
      <c r="E2473" s="10" t="n">
        <v>1789</v>
      </c>
      <c r="F2473" s="9" t="s">
        <v>27</v>
      </c>
      <c r="G2473" s="9" t="s">
        <v>27</v>
      </c>
      <c r="H2473" s="11" t="n">
        <v>18</v>
      </c>
      <c r="I2473" s="11" t="s">
        <v>83</v>
      </c>
      <c r="J2473" s="14" t="n">
        <v>20</v>
      </c>
      <c r="K2473" s="14"/>
      <c r="L2473" s="16"/>
      <c r="M2473" s="27" t="n">
        <f aca="false">J2473+(K2473/20)+(L2473/240)</f>
        <v>20</v>
      </c>
      <c r="N2473" s="17" t="s">
        <v>81</v>
      </c>
      <c r="O2473" s="11"/>
      <c r="P2473" s="28"/>
      <c r="Q2473" s="28" t="n">
        <f aca="false">P2473*$M2473</f>
        <v>0</v>
      </c>
      <c r="R2473" s="28"/>
      <c r="S2473" s="28" t="n">
        <f aca="false">R2473*$M2473</f>
        <v>0</v>
      </c>
      <c r="T2473" s="28"/>
      <c r="U2473" s="28" t="n">
        <f aca="false">T2473*$M2473</f>
        <v>0</v>
      </c>
      <c r="V2473" s="28"/>
      <c r="W2473" s="28" t="n">
        <f aca="false">V2473*$M2473</f>
        <v>0</v>
      </c>
      <c r="X2473" s="29"/>
      <c r="Y2473" s="28" t="n">
        <f aca="false">X2473*$M2473</f>
        <v>0</v>
      </c>
      <c r="Z2473" s="28" t="n">
        <v>460</v>
      </c>
      <c r="AA2473" s="28" t="n">
        <v>9200</v>
      </c>
      <c r="AB2473" s="28"/>
      <c r="AC2473" s="28" t="n">
        <f aca="false">AB2473*$M2473</f>
        <v>0</v>
      </c>
      <c r="AD2473" s="28"/>
      <c r="AE2473" s="28" t="n">
        <f aca="false">AD2473*$M2473</f>
        <v>0</v>
      </c>
      <c r="AF2473" s="28"/>
      <c r="AG2473" s="28" t="n">
        <f aca="false">AF2473*$M2473</f>
        <v>0</v>
      </c>
      <c r="AH2473" s="28"/>
      <c r="AI2473" s="28" t="n">
        <f aca="false">AH2473*$M2473</f>
        <v>0</v>
      </c>
      <c r="AJ2473" s="28"/>
      <c r="AK2473" s="28" t="n">
        <f aca="false">AJ2473*$M2473</f>
        <v>0</v>
      </c>
      <c r="AL2473" s="28"/>
      <c r="AM2473" s="28" t="n">
        <f aca="false">AL2473*$M2473</f>
        <v>0</v>
      </c>
      <c r="AN2473" s="28"/>
      <c r="AO2473" s="28" t="n">
        <f aca="false">AN2473*$M2473</f>
        <v>0</v>
      </c>
      <c r="AP2473" s="28"/>
      <c r="AQ2473" s="28" t="n">
        <f aca="false">AP2473*$M2473</f>
        <v>0</v>
      </c>
      <c r="AR2473" s="28"/>
      <c r="AS2473" s="28" t="n">
        <f aca="false">AR2473*$M2473</f>
        <v>0</v>
      </c>
      <c r="AT2473" s="28"/>
      <c r="AU2473" s="28" t="n">
        <f aca="false">AT2473*$M2473</f>
        <v>0</v>
      </c>
      <c r="AV2473" s="28"/>
      <c r="AW2473" s="28" t="n">
        <f aca="false">AV2473*$M2473</f>
        <v>0</v>
      </c>
      <c r="AX2473" s="28"/>
      <c r="AY2473" s="28" t="n">
        <f aca="false">AX2473*$M2473</f>
        <v>0</v>
      </c>
      <c r="AZ2473" s="30" t="n">
        <v>460</v>
      </c>
      <c r="BA2473" s="11" t="n">
        <v>9200</v>
      </c>
      <c r="BB2473" s="31" t="n">
        <f aca="false">SUM(Q2473,S2473,U2473,W2473,Y2473,AA2473,AC2473,AE2473,AG2473,AI2473,AK2473,AM2473,AO2473,AQ2473,AS2473,AU2473,AW2473,AY2473)</f>
        <v>9200</v>
      </c>
      <c r="BC2473" s="28" t="n">
        <f aca="false">BA2473-BB2473</f>
        <v>0</v>
      </c>
      <c r="BD2473" s="32" t="n">
        <f aca="false">SUM(P2473,R2473,T2473,V2473,X2473,Z2473,AB2473,AD2473,AF2473,AH2473,AJ2473,AL2473,AN2473,AP2473,AR2473,AT2473,AV2473,AX2473)</f>
        <v>460</v>
      </c>
      <c r="BE2473" s="33" t="n">
        <f aca="false">AZ2473-BD2473</f>
        <v>0</v>
      </c>
      <c r="BF2473" s="34" t="n">
        <f aca="false">BD2473*M2473</f>
        <v>9200</v>
      </c>
      <c r="BG2473" s="35" t="n">
        <f aca="false">BA2473-BF2473</f>
        <v>0</v>
      </c>
      <c r="BH2473" s="19" t="str">
        <f aca="false">IF(BG2473=0,"",IF(BG2473&lt;&gt;BA2473,"erreur de calcul",IF(BD2473&lt;&gt;0,"pas de prix",IF(M2473&lt;&gt; 0,"pas de quantité","pas de prix, ni de quantité"))))</f>
        <v/>
      </c>
      <c r="BI2473" s="19"/>
    </row>
    <row r="2474" customFormat="false" ht="15" hidden="false" customHeight="false" outlineLevel="0" collapsed="false">
      <c r="A2474" s="0" t="n">
        <v>15</v>
      </c>
      <c r="B2474" s="8" t="s">
        <v>24</v>
      </c>
      <c r="C2474" s="9" t="s">
        <v>25</v>
      </c>
      <c r="D2474" s="9" t="s">
        <v>26</v>
      </c>
      <c r="E2474" s="10" t="n">
        <v>1789</v>
      </c>
      <c r="F2474" s="9" t="s">
        <v>27</v>
      </c>
      <c r="G2474" s="9" t="s">
        <v>27</v>
      </c>
      <c r="H2474" s="11" t="n">
        <v>18</v>
      </c>
      <c r="I2474" s="11" t="s">
        <v>84</v>
      </c>
      <c r="J2474" s="14" t="n">
        <v>16</v>
      </c>
      <c r="K2474" s="14"/>
      <c r="L2474" s="16"/>
      <c r="M2474" s="27" t="n">
        <f aca="false">J2474+(K2474/20)+(L2474/240)</f>
        <v>16</v>
      </c>
      <c r="N2474" s="17" t="s">
        <v>85</v>
      </c>
      <c r="O2474" s="11"/>
      <c r="P2474" s="28"/>
      <c r="Q2474" s="28" t="n">
        <f aca="false">P2474*$M2474</f>
        <v>0</v>
      </c>
      <c r="R2474" s="28"/>
      <c r="S2474" s="28" t="n">
        <f aca="false">R2474*$M2474</f>
        <v>0</v>
      </c>
      <c r="T2474" s="28" t="n">
        <f aca="false">1600/100</f>
        <v>16</v>
      </c>
      <c r="U2474" s="28" t="n">
        <v>256</v>
      </c>
      <c r="V2474" s="28" t="n">
        <f aca="false">227136/100</f>
        <v>2271.36</v>
      </c>
      <c r="W2474" s="28" t="n">
        <v>36342</v>
      </c>
      <c r="X2474" s="29"/>
      <c r="Y2474" s="28" t="n">
        <v>304</v>
      </c>
      <c r="Z2474" s="28" t="n">
        <f aca="false">6850/100</f>
        <v>68.5</v>
      </c>
      <c r="AA2474" s="28" t="n">
        <v>1096</v>
      </c>
      <c r="AB2474" s="28" t="n">
        <f aca="false">204300/100</f>
        <v>2043</v>
      </c>
      <c r="AC2474" s="28" t="n">
        <v>32688</v>
      </c>
      <c r="AD2474" s="28" t="n">
        <f aca="false">9750/100</f>
        <v>97.5</v>
      </c>
      <c r="AE2474" s="28" t="n">
        <v>1560</v>
      </c>
      <c r="AF2474" s="28"/>
      <c r="AG2474" s="28" t="n">
        <f aca="false">AF2474*$M2474</f>
        <v>0</v>
      </c>
      <c r="AH2474" s="28"/>
      <c r="AI2474" s="28" t="n">
        <f aca="false">AH2474*$M2474</f>
        <v>0</v>
      </c>
      <c r="AJ2474" s="28" t="n">
        <f aca="false">1414/100</f>
        <v>14.14</v>
      </c>
      <c r="AK2474" s="28" t="n">
        <v>226</v>
      </c>
      <c r="AL2474" s="28" t="n">
        <f aca="false">29500/100</f>
        <v>295</v>
      </c>
      <c r="AM2474" s="28" t="n">
        <v>4720</v>
      </c>
      <c r="AN2474" s="28"/>
      <c r="AO2474" s="28" t="n">
        <f aca="false">AN2474*$M2474</f>
        <v>0</v>
      </c>
      <c r="AP2474" s="28" t="n">
        <f aca="false">1520/100</f>
        <v>15.2</v>
      </c>
      <c r="AQ2474" s="28" t="n">
        <v>243</v>
      </c>
      <c r="AR2474" s="28"/>
      <c r="AS2474" s="28" t="n">
        <f aca="false">AR2474*$M2474</f>
        <v>0</v>
      </c>
      <c r="AT2474" s="28" t="n">
        <f aca="false">2100/100</f>
        <v>21</v>
      </c>
      <c r="AU2474" s="28" t="n">
        <v>336</v>
      </c>
      <c r="AV2474" s="28" t="n">
        <f aca="false">1320/100</f>
        <v>13.2</v>
      </c>
      <c r="AW2474" s="28" t="n">
        <v>211</v>
      </c>
      <c r="AX2474" s="28" t="n">
        <f aca="false">177746/100</f>
        <v>1777.46</v>
      </c>
      <c r="AY2474" s="28" t="n">
        <v>28439</v>
      </c>
      <c r="AZ2474" s="30" t="n">
        <f aca="false">665136/100</f>
        <v>6651.36</v>
      </c>
      <c r="BA2474" s="11" t="n">
        <v>106421</v>
      </c>
      <c r="BB2474" s="31" t="n">
        <f aca="false">SUM(Q2474,S2474,U2474,W2474,Y2474,AA2474,AC2474,AE2474,AG2474,AI2474,AK2474,AM2474,AO2474,AQ2474,AS2474,AU2474,AW2474,AY2474)</f>
        <v>106421</v>
      </c>
      <c r="BC2474" s="28" t="n">
        <f aca="false">BA2474-BB2474</f>
        <v>0</v>
      </c>
      <c r="BD2474" s="32" t="n">
        <f aca="false">SUM(P2474,R2474,T2474,V2474,X2474,Z2474,AB2474,AD2474,AF2474,AH2474,AJ2474,AL2474,AN2474,AP2474,AR2474,AT2474,AV2474,AX2474)</f>
        <v>6632.36</v>
      </c>
      <c r="BE2474" s="33" t="n">
        <f aca="false">AZ2474-BD2474</f>
        <v>18.9999999999991</v>
      </c>
      <c r="BF2474" s="34" t="n">
        <f aca="false">BD2474*M2474</f>
        <v>106117.76</v>
      </c>
      <c r="BG2474" s="35" t="n">
        <f aca="false">BA2474-BF2474</f>
        <v>303.239999999991</v>
      </c>
      <c r="BH2474" s="19" t="str">
        <f aca="false">IF(BG2474=0,"",IF(BG2474&lt;&gt;BA2474,"erreur de calcul",IF(BD2474&lt;&gt;0,"pas de prix",IF(M2474&lt;&gt; 0,"pas de quantité","pas de prix, ni de quantité"))))</f>
        <v>erreur de calcul</v>
      </c>
      <c r="BI2474" s="19"/>
    </row>
    <row r="2475" customFormat="false" ht="15" hidden="false" customHeight="false" outlineLevel="0" collapsed="false">
      <c r="A2475" s="0" t="n">
        <v>16</v>
      </c>
      <c r="B2475" s="8" t="s">
        <v>24</v>
      </c>
      <c r="C2475" s="9" t="s">
        <v>25</v>
      </c>
      <c r="D2475" s="9" t="s">
        <v>26</v>
      </c>
      <c r="E2475" s="10" t="n">
        <v>1789</v>
      </c>
      <c r="F2475" s="9" t="s">
        <v>27</v>
      </c>
      <c r="G2475" s="9" t="s">
        <v>27</v>
      </c>
      <c r="H2475" s="11" t="n">
        <v>18</v>
      </c>
      <c r="I2475" s="11" t="s">
        <v>86</v>
      </c>
      <c r="J2475" s="14" t="n">
        <v>55</v>
      </c>
      <c r="K2475" s="14"/>
      <c r="L2475" s="16"/>
      <c r="M2475" s="27" t="n">
        <f aca="false">J2475+(K2475/20)+(L2475/240)</f>
        <v>55</v>
      </c>
      <c r="N2475" s="17" t="s">
        <v>81</v>
      </c>
      <c r="O2475" s="11"/>
      <c r="P2475" s="28"/>
      <c r="Q2475" s="28" t="n">
        <f aca="false">P2475*$M2475</f>
        <v>0</v>
      </c>
      <c r="R2475" s="28"/>
      <c r="S2475" s="28" t="n">
        <f aca="false">R2475*$M2475</f>
        <v>0</v>
      </c>
      <c r="T2475" s="28"/>
      <c r="U2475" s="28" t="n">
        <f aca="false">T2475*$M2475</f>
        <v>0</v>
      </c>
      <c r="V2475" s="28"/>
      <c r="W2475" s="28" t="n">
        <f aca="false">V2475*$M2475</f>
        <v>0</v>
      </c>
      <c r="X2475" s="29"/>
      <c r="Y2475" s="28" t="n">
        <f aca="false">X2475*$M2475</f>
        <v>0</v>
      </c>
      <c r="Z2475" s="28"/>
      <c r="AA2475" s="28" t="n">
        <f aca="false">Z2475*$M2475</f>
        <v>0</v>
      </c>
      <c r="AB2475" s="28"/>
      <c r="AC2475" s="28" t="n">
        <f aca="false">AB2475*$M2475</f>
        <v>0</v>
      </c>
      <c r="AD2475" s="28"/>
      <c r="AE2475" s="28" t="n">
        <f aca="false">AD2475*$M2475</f>
        <v>0</v>
      </c>
      <c r="AF2475" s="28"/>
      <c r="AG2475" s="28" t="n">
        <f aca="false">AF2475*$M2475</f>
        <v>0</v>
      </c>
      <c r="AH2475" s="28"/>
      <c r="AI2475" s="28" t="n">
        <f aca="false">AH2475*$M2475</f>
        <v>0</v>
      </c>
      <c r="AJ2475" s="28"/>
      <c r="AK2475" s="28" t="n">
        <f aca="false">AJ2475*$M2475</f>
        <v>0</v>
      </c>
      <c r="AL2475" s="28"/>
      <c r="AM2475" s="28" t="n">
        <f aca="false">AL2475*$M2475</f>
        <v>0</v>
      </c>
      <c r="AN2475" s="28"/>
      <c r="AO2475" s="28" t="n">
        <f aca="false">AN2475*$M2475</f>
        <v>0</v>
      </c>
      <c r="AP2475" s="28"/>
      <c r="AQ2475" s="28" t="n">
        <f aca="false">AP2475*$M2475</f>
        <v>0</v>
      </c>
      <c r="AR2475" s="28"/>
      <c r="AS2475" s="28" t="n">
        <f aca="false">AR2475*$M2475</f>
        <v>0</v>
      </c>
      <c r="AT2475" s="28" t="n">
        <v>319</v>
      </c>
      <c r="AU2475" s="28" t="n">
        <v>17545</v>
      </c>
      <c r="AV2475" s="28"/>
      <c r="AW2475" s="28" t="n">
        <f aca="false">AV2475*$M2475</f>
        <v>0</v>
      </c>
      <c r="AX2475" s="28"/>
      <c r="AY2475" s="28" t="n">
        <f aca="false">AX2475*$M2475</f>
        <v>0</v>
      </c>
      <c r="AZ2475" s="30" t="n">
        <v>319</v>
      </c>
      <c r="BA2475" s="11" t="n">
        <v>17545</v>
      </c>
      <c r="BB2475" s="31" t="n">
        <f aca="false">SUM(Q2475,S2475,U2475,W2475,Y2475,AA2475,AC2475,AE2475,AG2475,AI2475,AK2475,AM2475,AO2475,AQ2475,AS2475,AU2475,AW2475,AY2475)</f>
        <v>17545</v>
      </c>
      <c r="BC2475" s="28" t="n">
        <f aca="false">BA2475-BB2475</f>
        <v>0</v>
      </c>
      <c r="BD2475" s="32" t="n">
        <f aca="false">SUM(P2475,R2475,T2475,V2475,X2475,Z2475,AB2475,AD2475,AF2475,AH2475,AJ2475,AL2475,AN2475,AP2475,AR2475,AT2475,AV2475,AX2475)</f>
        <v>319</v>
      </c>
      <c r="BE2475" s="33" t="n">
        <f aca="false">AZ2475-BD2475</f>
        <v>0</v>
      </c>
      <c r="BF2475" s="34" t="n">
        <f aca="false">BD2475*M2475</f>
        <v>17545</v>
      </c>
      <c r="BG2475" s="35" t="n">
        <f aca="false">BA2475-BF2475</f>
        <v>0</v>
      </c>
      <c r="BH2475" s="19" t="str">
        <f aca="false">IF(BG2475=0,"",IF(BG2475&lt;&gt;BA2475,"erreur de calcul",IF(BD2475&lt;&gt;0,"pas de prix",IF(M2475&lt;&gt; 0,"pas de quantité","pas de prix, ni de quantité"))))</f>
        <v/>
      </c>
      <c r="BI2475" s="19"/>
    </row>
    <row r="2476" customFormat="false" ht="15" hidden="false" customHeight="false" outlineLevel="0" collapsed="false">
      <c r="A2476" s="0" t="n">
        <v>17</v>
      </c>
      <c r="B2476" s="8" t="s">
        <v>24</v>
      </c>
      <c r="C2476" s="9" t="s">
        <v>25</v>
      </c>
      <c r="D2476" s="9" t="s">
        <v>26</v>
      </c>
      <c r="E2476" s="10" t="n">
        <v>1789</v>
      </c>
      <c r="F2476" s="9" t="s">
        <v>27</v>
      </c>
      <c r="G2476" s="9" t="s">
        <v>27</v>
      </c>
      <c r="H2476" s="11" t="n">
        <v>18</v>
      </c>
      <c r="I2476" s="11" t="s">
        <v>87</v>
      </c>
      <c r="J2476" s="14" t="n">
        <v>6</v>
      </c>
      <c r="K2476" s="14"/>
      <c r="L2476" s="16"/>
      <c r="M2476" s="27" t="n">
        <f aca="false">J2476+(K2476/20)+(L2476/240)</f>
        <v>6</v>
      </c>
      <c r="N2476" s="17" t="s">
        <v>69</v>
      </c>
      <c r="O2476" s="11" t="s">
        <v>77</v>
      </c>
      <c r="P2476" s="28"/>
      <c r="Q2476" s="28" t="n">
        <f aca="false">P2476*$M2476</f>
        <v>0</v>
      </c>
      <c r="R2476" s="28" t="n">
        <v>63</v>
      </c>
      <c r="S2476" s="28" t="n">
        <v>378</v>
      </c>
      <c r="T2476" s="28" t="n">
        <v>2406</v>
      </c>
      <c r="U2476" s="28" t="n">
        <v>14436</v>
      </c>
      <c r="V2476" s="28" t="n">
        <v>222</v>
      </c>
      <c r="W2476" s="28" t="n">
        <v>1332</v>
      </c>
      <c r="X2476" s="29"/>
      <c r="Y2476" s="28" t="n">
        <f aca="false">X2476*$M2476</f>
        <v>0</v>
      </c>
      <c r="Z2476" s="28"/>
      <c r="AA2476" s="28" t="n">
        <f aca="false">Z2476*$M2476</f>
        <v>0</v>
      </c>
      <c r="AB2476" s="28"/>
      <c r="AC2476" s="28" t="n">
        <f aca="false">AB2476*$M2476</f>
        <v>0</v>
      </c>
      <c r="AD2476" s="28" t="n">
        <v>330</v>
      </c>
      <c r="AE2476" s="28" t="n">
        <v>1980</v>
      </c>
      <c r="AF2476" s="28"/>
      <c r="AG2476" s="28" t="n">
        <f aca="false">AF2476*$M2476</f>
        <v>0</v>
      </c>
      <c r="AH2476" s="28"/>
      <c r="AI2476" s="28" t="n">
        <f aca="false">AH2476*$M2476</f>
        <v>0</v>
      </c>
      <c r="AJ2476" s="28"/>
      <c r="AK2476" s="28" t="n">
        <f aca="false">AJ2476*$M2476</f>
        <v>0</v>
      </c>
      <c r="AL2476" s="28"/>
      <c r="AM2476" s="28" t="n">
        <f aca="false">AL2476*$M2476</f>
        <v>0</v>
      </c>
      <c r="AN2476" s="28"/>
      <c r="AO2476" s="28" t="n">
        <f aca="false">AN2476*$M2476</f>
        <v>0</v>
      </c>
      <c r="AP2476" s="28"/>
      <c r="AQ2476" s="28" t="n">
        <f aca="false">AP2476*$M2476</f>
        <v>0</v>
      </c>
      <c r="AR2476" s="28"/>
      <c r="AS2476" s="28" t="n">
        <f aca="false">AR2476*$M2476</f>
        <v>0</v>
      </c>
      <c r="AT2476" s="28"/>
      <c r="AU2476" s="28" t="n">
        <f aca="false">AT2476*$M2476</f>
        <v>0</v>
      </c>
      <c r="AV2476" s="28"/>
      <c r="AW2476" s="28" t="n">
        <f aca="false">AV2476*$M2476</f>
        <v>0</v>
      </c>
      <c r="AX2476" s="28"/>
      <c r="AY2476" s="28" t="n">
        <f aca="false">AX2476*$M2476</f>
        <v>0</v>
      </c>
      <c r="AZ2476" s="30" t="n">
        <v>3021</v>
      </c>
      <c r="BA2476" s="11" t="n">
        <v>18126</v>
      </c>
      <c r="BB2476" s="31" t="n">
        <f aca="false">SUM(Q2476,S2476,U2476,W2476,Y2476,AA2476,AC2476,AE2476,AG2476,AI2476,AK2476,AM2476,AO2476,AQ2476,AS2476,AU2476,AW2476,AY2476)</f>
        <v>18126</v>
      </c>
      <c r="BC2476" s="28" t="n">
        <f aca="false">BA2476-BB2476</f>
        <v>0</v>
      </c>
      <c r="BD2476" s="32" t="n">
        <f aca="false">SUM(P2476,R2476,T2476,V2476,X2476,Z2476,AB2476,AD2476,AF2476,AH2476,AJ2476,AL2476,AN2476,AP2476,AR2476,AT2476,AV2476,AX2476)</f>
        <v>3021</v>
      </c>
      <c r="BE2476" s="33" t="n">
        <f aca="false">AZ2476-BD2476</f>
        <v>0</v>
      </c>
      <c r="BF2476" s="34" t="n">
        <f aca="false">BD2476*M2476</f>
        <v>18126</v>
      </c>
      <c r="BG2476" s="35" t="n">
        <f aca="false">BA2476-BF2476</f>
        <v>0</v>
      </c>
      <c r="BH2476" s="19" t="str">
        <f aca="false">IF(BG2476=0,"",IF(BG2476&lt;&gt;BA2476,"erreur de calcul",IF(BD2476&lt;&gt;0,"pas de prix",IF(M2476&lt;&gt; 0,"pas de quantité","pas de prix, ni de quantité"))))</f>
        <v/>
      </c>
      <c r="BI2476" s="19"/>
    </row>
    <row r="2477" customFormat="false" ht="15" hidden="false" customHeight="false" outlineLevel="0" collapsed="false">
      <c r="A2477" s="0" t="n">
        <v>18</v>
      </c>
      <c r="B2477" s="8" t="s">
        <v>24</v>
      </c>
      <c r="C2477" s="9" t="s">
        <v>25</v>
      </c>
      <c r="D2477" s="9" t="s">
        <v>26</v>
      </c>
      <c r="E2477" s="10" t="n">
        <v>1789</v>
      </c>
      <c r="F2477" s="9" t="s">
        <v>27</v>
      </c>
      <c r="G2477" s="9" t="s">
        <v>27</v>
      </c>
      <c r="H2477" s="11" t="n">
        <v>18</v>
      </c>
      <c r="I2477" s="11" t="s">
        <v>88</v>
      </c>
      <c r="J2477" s="14" t="n">
        <v>26</v>
      </c>
      <c r="K2477" s="14"/>
      <c r="L2477" s="16"/>
      <c r="M2477" s="27" t="n">
        <f aca="false">J2477+(K2477/20)+(L2477/240)</f>
        <v>26</v>
      </c>
      <c r="N2477" s="17" t="s">
        <v>69</v>
      </c>
      <c r="O2477" s="11"/>
      <c r="P2477" s="28"/>
      <c r="Q2477" s="28" t="n">
        <f aca="false">P2477*$M2477</f>
        <v>0</v>
      </c>
      <c r="R2477" s="28"/>
      <c r="S2477" s="28" t="n">
        <f aca="false">R2477*$M2477</f>
        <v>0</v>
      </c>
      <c r="T2477" s="28"/>
      <c r="U2477" s="28" t="n">
        <f aca="false">T2477*$M2477</f>
        <v>0</v>
      </c>
      <c r="V2477" s="28"/>
      <c r="W2477" s="28" t="n">
        <f aca="false">V2477*$M2477</f>
        <v>0</v>
      </c>
      <c r="X2477" s="29"/>
      <c r="Y2477" s="28" t="n">
        <f aca="false">X2477*$M2477</f>
        <v>0</v>
      </c>
      <c r="Z2477" s="28"/>
      <c r="AA2477" s="28" t="n">
        <f aca="false">Z2477*$M2477</f>
        <v>0</v>
      </c>
      <c r="AB2477" s="28"/>
      <c r="AC2477" s="28" t="n">
        <f aca="false">AB2477*$M2477</f>
        <v>0</v>
      </c>
      <c r="AD2477" s="28"/>
      <c r="AE2477" s="28" t="n">
        <f aca="false">AD2477*$M2477</f>
        <v>0</v>
      </c>
      <c r="AF2477" s="28"/>
      <c r="AG2477" s="28" t="n">
        <f aca="false">AF2477*$M2477</f>
        <v>0</v>
      </c>
      <c r="AH2477" s="28"/>
      <c r="AI2477" s="28" t="n">
        <f aca="false">AH2477*$M2477</f>
        <v>0</v>
      </c>
      <c r="AJ2477" s="28"/>
      <c r="AK2477" s="28" t="n">
        <f aca="false">AJ2477*$M2477</f>
        <v>0</v>
      </c>
      <c r="AL2477" s="28" t="n">
        <v>150</v>
      </c>
      <c r="AM2477" s="28" t="n">
        <v>3900</v>
      </c>
      <c r="AN2477" s="28"/>
      <c r="AO2477" s="28" t="n">
        <f aca="false">AN2477*$M2477</f>
        <v>0</v>
      </c>
      <c r="AP2477" s="28" t="n">
        <v>4140</v>
      </c>
      <c r="AQ2477" s="28" t="n">
        <v>107640</v>
      </c>
      <c r="AR2477" s="28" t="n">
        <v>6957</v>
      </c>
      <c r="AS2477" s="28" t="n">
        <v>180882</v>
      </c>
      <c r="AT2477" s="28" t="n">
        <v>171</v>
      </c>
      <c r="AU2477" s="28" t="n">
        <v>4446</v>
      </c>
      <c r="AV2477" s="28" t="n">
        <v>838</v>
      </c>
      <c r="AW2477" s="28" t="n">
        <v>21788</v>
      </c>
      <c r="AX2477" s="28" t="n">
        <v>35</v>
      </c>
      <c r="AY2477" s="28" t="n">
        <v>910</v>
      </c>
      <c r="AZ2477" s="30" t="n">
        <v>12291</v>
      </c>
      <c r="BA2477" s="11" t="n">
        <v>319566</v>
      </c>
      <c r="BB2477" s="31" t="n">
        <f aca="false">SUM(Q2477,S2477,U2477,W2477,Y2477,AA2477,AC2477,AE2477,AG2477,AI2477,AK2477,AM2477,AO2477,AQ2477,AS2477,AU2477,AW2477,AY2477)</f>
        <v>319566</v>
      </c>
      <c r="BC2477" s="28" t="n">
        <f aca="false">BA2477-BB2477</f>
        <v>0</v>
      </c>
      <c r="BD2477" s="32" t="n">
        <f aca="false">SUM(P2477,R2477,T2477,V2477,X2477,Z2477,AB2477,AD2477,AF2477,AH2477,AJ2477,AL2477,AN2477,AP2477,AR2477,AT2477,AV2477,AX2477)</f>
        <v>12291</v>
      </c>
      <c r="BE2477" s="33" t="n">
        <f aca="false">AZ2477-BD2477</f>
        <v>0</v>
      </c>
      <c r="BF2477" s="34" t="n">
        <f aca="false">BD2477*M2477</f>
        <v>319566</v>
      </c>
      <c r="BG2477" s="35" t="n">
        <f aca="false">BA2477-BF2477</f>
        <v>0</v>
      </c>
      <c r="BH2477" s="19" t="str">
        <f aca="false">IF(BG2477=0,"",IF(BG2477&lt;&gt;BA2477,"erreur de calcul",IF(BD2477&lt;&gt;0,"pas de prix",IF(M2477&lt;&gt; 0,"pas de quantité","pas de prix, ni de quantité"))))</f>
        <v/>
      </c>
      <c r="BI2477" s="19"/>
    </row>
    <row r="2478" customFormat="false" ht="15" hidden="false" customHeight="false" outlineLevel="0" collapsed="false">
      <c r="A2478" s="0" t="n">
        <v>19</v>
      </c>
      <c r="B2478" s="8" t="s">
        <v>24</v>
      </c>
      <c r="C2478" s="9" t="s">
        <v>25</v>
      </c>
      <c r="D2478" s="9" t="s">
        <v>26</v>
      </c>
      <c r="E2478" s="10" t="n">
        <v>1789</v>
      </c>
      <c r="F2478" s="9" t="s">
        <v>27</v>
      </c>
      <c r="G2478" s="9" t="s">
        <v>27</v>
      </c>
      <c r="H2478" s="11" t="n">
        <v>18</v>
      </c>
      <c r="I2478" s="11" t="s">
        <v>89</v>
      </c>
      <c r="J2478" s="14" t="n">
        <v>7</v>
      </c>
      <c r="K2478" s="14"/>
      <c r="L2478" s="16"/>
      <c r="M2478" s="27" t="n">
        <f aca="false">J2478+(K2478/20)+(L2478/240)</f>
        <v>7</v>
      </c>
      <c r="N2478" s="17" t="s">
        <v>81</v>
      </c>
      <c r="O2478" s="11" t="s">
        <v>77</v>
      </c>
      <c r="P2478" s="28"/>
      <c r="Q2478" s="28" t="n">
        <f aca="false">P2478*$M2478</f>
        <v>0</v>
      </c>
      <c r="R2478" s="28"/>
      <c r="S2478" s="28" t="n">
        <f aca="false">R2478*$M2478</f>
        <v>0</v>
      </c>
      <c r="T2478" s="28"/>
      <c r="U2478" s="28" t="n">
        <f aca="false">T2478*$M2478</f>
        <v>0</v>
      </c>
      <c r="V2478" s="28"/>
      <c r="W2478" s="28" t="n">
        <f aca="false">V2478*$M2478</f>
        <v>0</v>
      </c>
      <c r="X2478" s="29"/>
      <c r="Y2478" s="28" t="n">
        <f aca="false">X2478*$M2478</f>
        <v>0</v>
      </c>
      <c r="Z2478" s="28"/>
      <c r="AA2478" s="28" t="n">
        <f aca="false">Z2478*$M2478</f>
        <v>0</v>
      </c>
      <c r="AB2478" s="28"/>
      <c r="AC2478" s="28" t="n">
        <f aca="false">AB2478*$M2478</f>
        <v>0</v>
      </c>
      <c r="AD2478" s="28"/>
      <c r="AE2478" s="28" t="n">
        <f aca="false">AD2478*$M2478</f>
        <v>0</v>
      </c>
      <c r="AF2478" s="28"/>
      <c r="AG2478" s="28" t="n">
        <f aca="false">AF2478*$M2478</f>
        <v>0</v>
      </c>
      <c r="AH2478" s="28"/>
      <c r="AI2478" s="28" t="n">
        <f aca="false">AH2478*$M2478</f>
        <v>0</v>
      </c>
      <c r="AJ2478" s="28"/>
      <c r="AK2478" s="28" t="n">
        <f aca="false">AJ2478*$M2478</f>
        <v>0</v>
      </c>
      <c r="AL2478" s="28"/>
      <c r="AM2478" s="28" t="n">
        <f aca="false">AL2478*$M2478</f>
        <v>0</v>
      </c>
      <c r="AN2478" s="28"/>
      <c r="AO2478" s="28" t="n">
        <f aca="false">AN2478*$M2478</f>
        <v>0</v>
      </c>
      <c r="AP2478" s="38" t="n">
        <v>1763</v>
      </c>
      <c r="AQ2478" s="28" t="n">
        <v>42312</v>
      </c>
      <c r="AR2478" s="28"/>
      <c r="AS2478" s="28" t="n">
        <f aca="false">AR2478*$M2478</f>
        <v>0</v>
      </c>
      <c r="AT2478" s="28"/>
      <c r="AU2478" s="28" t="n">
        <f aca="false">AT2478*$M2478</f>
        <v>0</v>
      </c>
      <c r="AV2478" s="38" t="n">
        <v>377</v>
      </c>
      <c r="AW2478" s="28" t="n">
        <v>9425</v>
      </c>
      <c r="AX2478" s="28"/>
      <c r="AY2478" s="28" t="n">
        <f aca="false">AX2478*$M2478</f>
        <v>0</v>
      </c>
      <c r="AZ2478" s="30" t="n">
        <v>2140</v>
      </c>
      <c r="BA2478" s="11" t="n">
        <v>51737</v>
      </c>
      <c r="BB2478" s="31" t="n">
        <f aca="false">SUM(Q2478,S2478,U2478,W2478,Y2478,AA2478,AC2478,AE2478,AG2478,AI2478,AK2478,AM2478,AO2478,AQ2478,AS2478,AU2478,AW2478,AY2478)</f>
        <v>51737</v>
      </c>
      <c r="BC2478" s="28" t="n">
        <f aca="false">BA2478-BB2478</f>
        <v>0</v>
      </c>
      <c r="BD2478" s="32" t="n">
        <f aca="false">SUM(P2478,R2478,T2478,V2478,X2478,Z2478,AB2478,AD2478,AF2478,AH2478,AJ2478,AL2478,AN2478,AP2478,AR2478,AT2478,AV2478,AX2478)</f>
        <v>2140</v>
      </c>
      <c r="BE2478" s="33" t="n">
        <f aca="false">AZ2478-BD2478</f>
        <v>0</v>
      </c>
      <c r="BF2478" s="34" t="n">
        <f aca="false">BD2478*M2478</f>
        <v>14980</v>
      </c>
      <c r="BG2478" s="35" t="n">
        <f aca="false">BA2478-BF2478</f>
        <v>36757</v>
      </c>
      <c r="BH2478" s="19" t="str">
        <f aca="false">IF(BG2478=0,"",IF(BG2478&lt;&gt;BA2478,"erreur de calcul",IF(BD2478&lt;&gt;0,"pas de prix",IF(M2478&lt;&gt; 0,"pas de quantité","pas de prix, ni de quantité"))))</f>
        <v>erreur de calcul</v>
      </c>
      <c r="BI2478" s="19" t="s">
        <v>90</v>
      </c>
    </row>
    <row r="2479" customFormat="false" ht="15" hidden="false" customHeight="false" outlineLevel="0" collapsed="false">
      <c r="A2479" s="0" t="n">
        <v>20</v>
      </c>
      <c r="B2479" s="8" t="s">
        <v>24</v>
      </c>
      <c r="C2479" s="9" t="s">
        <v>25</v>
      </c>
      <c r="D2479" s="9" t="s">
        <v>26</v>
      </c>
      <c r="E2479" s="10" t="n">
        <v>1789</v>
      </c>
      <c r="F2479" s="9" t="s">
        <v>27</v>
      </c>
      <c r="G2479" s="9" t="s">
        <v>27</v>
      </c>
      <c r="H2479" s="11" t="n">
        <v>18</v>
      </c>
      <c r="I2479" s="11" t="s">
        <v>91</v>
      </c>
      <c r="J2479" s="14" t="n">
        <v>30</v>
      </c>
      <c r="K2479" s="14"/>
      <c r="L2479" s="16"/>
      <c r="M2479" s="27" t="n">
        <f aca="false">J2479+(K2479/20)+(L2479/240)</f>
        <v>30</v>
      </c>
      <c r="N2479" s="17" t="s">
        <v>64</v>
      </c>
      <c r="O2479" s="11"/>
      <c r="P2479" s="28"/>
      <c r="Q2479" s="28" t="n">
        <f aca="false">P2479*$M2479</f>
        <v>0</v>
      </c>
      <c r="R2479" s="28"/>
      <c r="S2479" s="28" t="n">
        <f aca="false">R2479*$M2479</f>
        <v>0</v>
      </c>
      <c r="T2479" s="28"/>
      <c r="U2479" s="28" t="n">
        <f aca="false">T2479*$M2479</f>
        <v>0</v>
      </c>
      <c r="V2479" s="28" t="n">
        <f aca="false">12300/100</f>
        <v>123</v>
      </c>
      <c r="W2479" s="28" t="n">
        <v>3690</v>
      </c>
      <c r="X2479" s="29"/>
      <c r="Y2479" s="28" t="n">
        <f aca="false">X2479*$M2479</f>
        <v>0</v>
      </c>
      <c r="Z2479" s="28"/>
      <c r="AA2479" s="28" t="n">
        <f aca="false">Z2479*$M2479</f>
        <v>0</v>
      </c>
      <c r="AB2479" s="28" t="n">
        <f aca="false">16277/100</f>
        <v>162.77</v>
      </c>
      <c r="AC2479" s="28" t="n">
        <v>4883</v>
      </c>
      <c r="AD2479" s="28"/>
      <c r="AE2479" s="28" t="n">
        <f aca="false">AD2479*$M2479</f>
        <v>0</v>
      </c>
      <c r="AF2479" s="28"/>
      <c r="AG2479" s="28" t="n">
        <f aca="false">AF2479*$M2479</f>
        <v>0</v>
      </c>
      <c r="AH2479" s="28"/>
      <c r="AI2479" s="28" t="n">
        <f aca="false">AH2479*$M2479</f>
        <v>0</v>
      </c>
      <c r="AJ2479" s="28"/>
      <c r="AK2479" s="28" t="n">
        <f aca="false">AJ2479*$M2479</f>
        <v>0</v>
      </c>
      <c r="AL2479" s="28"/>
      <c r="AM2479" s="28" t="n">
        <f aca="false">AL2479*$M2479</f>
        <v>0</v>
      </c>
      <c r="AN2479" s="28"/>
      <c r="AO2479" s="28" t="n">
        <f aca="false">AN2479*$M2479</f>
        <v>0</v>
      </c>
      <c r="AP2479" s="28"/>
      <c r="AQ2479" s="28" t="n">
        <f aca="false">AP2479*$M2479</f>
        <v>0</v>
      </c>
      <c r="AR2479" s="28"/>
      <c r="AS2479" s="28" t="n">
        <f aca="false">AR2479*$M2479</f>
        <v>0</v>
      </c>
      <c r="AT2479" s="28"/>
      <c r="AU2479" s="28" t="n">
        <f aca="false">AT2479*$M2479</f>
        <v>0</v>
      </c>
      <c r="AV2479" s="28"/>
      <c r="AW2479" s="28" t="n">
        <f aca="false">AV2479*$M2479</f>
        <v>0</v>
      </c>
      <c r="AX2479" s="28"/>
      <c r="AY2479" s="28" t="n">
        <f aca="false">AX2479*$M2479</f>
        <v>0</v>
      </c>
      <c r="AZ2479" s="30" t="n">
        <f aca="false">28577/100</f>
        <v>285.77</v>
      </c>
      <c r="BA2479" s="11" t="n">
        <v>8573</v>
      </c>
      <c r="BB2479" s="31" t="n">
        <f aca="false">SUM(Q2479,S2479,U2479,W2479,Y2479,AA2479,AC2479,AE2479,AG2479,AI2479,AK2479,AM2479,AO2479,AQ2479,AS2479,AU2479,AW2479,AY2479)</f>
        <v>8573</v>
      </c>
      <c r="BC2479" s="28" t="n">
        <f aca="false">BA2479-BB2479</f>
        <v>0</v>
      </c>
      <c r="BD2479" s="32" t="n">
        <f aca="false">SUM(P2479,R2479,T2479,V2479,X2479,Z2479,AB2479,AD2479,AF2479,AH2479,AJ2479,AL2479,AN2479,AP2479,AR2479,AT2479,AV2479,AX2479)</f>
        <v>285.77</v>
      </c>
      <c r="BE2479" s="33" t="n">
        <f aca="false">AZ2479-BD2479</f>
        <v>0</v>
      </c>
      <c r="BF2479" s="34" t="n">
        <f aca="false">BD2479*M2479</f>
        <v>8573.1</v>
      </c>
      <c r="BG2479" s="35" t="n">
        <f aca="false">BA2479-BF2479</f>
        <v>-0.0999999999985448</v>
      </c>
      <c r="BH2479" s="19" t="str">
        <f aca="false">IF(BG2479=0,"",IF(BG2479&lt;&gt;BA2479,"erreur de calcul",IF(BD2479&lt;&gt;0,"pas de prix",IF(M2479&lt;&gt; 0,"pas de quantité","pas de prix, ni de quantité"))))</f>
        <v>erreur de calcul</v>
      </c>
      <c r="BI2479" s="19"/>
    </row>
    <row r="2480" customFormat="false" ht="15" hidden="false" customHeight="false" outlineLevel="0" collapsed="false">
      <c r="A2480" s="0" t="n">
        <v>21</v>
      </c>
      <c r="B2480" s="8" t="s">
        <v>24</v>
      </c>
      <c r="C2480" s="9" t="s">
        <v>25</v>
      </c>
      <c r="D2480" s="9" t="s">
        <v>26</v>
      </c>
      <c r="E2480" s="10" t="n">
        <v>1789</v>
      </c>
      <c r="F2480" s="9" t="s">
        <v>27</v>
      </c>
      <c r="G2480" s="9" t="s">
        <v>27</v>
      </c>
      <c r="H2480" s="11" t="n">
        <v>18</v>
      </c>
      <c r="I2480" s="11" t="s">
        <v>92</v>
      </c>
      <c r="J2480" s="14"/>
      <c r="K2480" s="14" t="n">
        <v>25</v>
      </c>
      <c r="L2480" s="16"/>
      <c r="M2480" s="27" t="n">
        <f aca="false">J2480+(K2480/20)+(L2480/240)</f>
        <v>1.25</v>
      </c>
      <c r="N2480" s="17" t="s">
        <v>81</v>
      </c>
      <c r="O2480" s="11"/>
      <c r="P2480" s="28"/>
      <c r="Q2480" s="28" t="n">
        <f aca="false">P2480*$M2480</f>
        <v>0</v>
      </c>
      <c r="R2480" s="28"/>
      <c r="S2480" s="28" t="n">
        <f aca="false">R2480*$M2480</f>
        <v>0</v>
      </c>
      <c r="T2480" s="28"/>
      <c r="U2480" s="28" t="n">
        <f aca="false">T2480*$M2480</f>
        <v>0</v>
      </c>
      <c r="V2480" s="28" t="n">
        <v>17192</v>
      </c>
      <c r="W2480" s="28" t="n">
        <v>21490</v>
      </c>
      <c r="X2480" s="29"/>
      <c r="Y2480" s="28" t="n">
        <f aca="false">X2480*$M2480</f>
        <v>0</v>
      </c>
      <c r="Z2480" s="28"/>
      <c r="AA2480" s="28" t="n">
        <f aca="false">Z2480*$M2480</f>
        <v>0</v>
      </c>
      <c r="AB2480" s="28"/>
      <c r="AC2480" s="28" t="n">
        <f aca="false">AB2480*$M2480</f>
        <v>0</v>
      </c>
      <c r="AD2480" s="28"/>
      <c r="AE2480" s="28" t="n">
        <f aca="false">AD2480*$M2480</f>
        <v>0</v>
      </c>
      <c r="AF2480" s="28"/>
      <c r="AG2480" s="28" t="n">
        <f aca="false">AF2480*$M2480</f>
        <v>0</v>
      </c>
      <c r="AH2480" s="28"/>
      <c r="AI2480" s="28" t="n">
        <f aca="false">AH2480*$M2480</f>
        <v>0</v>
      </c>
      <c r="AJ2480" s="28"/>
      <c r="AK2480" s="28" t="n">
        <f aca="false">AJ2480*$M2480</f>
        <v>0</v>
      </c>
      <c r="AL2480" s="28"/>
      <c r="AM2480" s="28" t="n">
        <f aca="false">AL2480*$M2480</f>
        <v>0</v>
      </c>
      <c r="AN2480" s="28"/>
      <c r="AO2480" s="28" t="n">
        <f aca="false">AN2480*$M2480</f>
        <v>0</v>
      </c>
      <c r="AP2480" s="28"/>
      <c r="AQ2480" s="28" t="n">
        <f aca="false">AP2480*$M2480</f>
        <v>0</v>
      </c>
      <c r="AR2480" s="28"/>
      <c r="AS2480" s="28" t="n">
        <f aca="false">AR2480*$M2480</f>
        <v>0</v>
      </c>
      <c r="AT2480" s="28"/>
      <c r="AU2480" s="28" t="n">
        <f aca="false">AT2480*$M2480</f>
        <v>0</v>
      </c>
      <c r="AV2480" s="28"/>
      <c r="AW2480" s="28" t="n">
        <f aca="false">AV2480*$M2480</f>
        <v>0</v>
      </c>
      <c r="AX2480" s="28"/>
      <c r="AY2480" s="28" t="n">
        <f aca="false">AX2480*$M2480</f>
        <v>0</v>
      </c>
      <c r="AZ2480" s="30" t="n">
        <v>17192</v>
      </c>
      <c r="BA2480" s="11" t="n">
        <v>21490</v>
      </c>
      <c r="BB2480" s="31" t="n">
        <f aca="false">SUM(Q2480,S2480,U2480,W2480,Y2480,AA2480,AC2480,AE2480,AG2480,AI2480,AK2480,AM2480,AO2480,AQ2480,AS2480,AU2480,AW2480,AY2480)</f>
        <v>21490</v>
      </c>
      <c r="BC2480" s="28" t="n">
        <f aca="false">BA2480-BB2480</f>
        <v>0</v>
      </c>
      <c r="BD2480" s="32" t="n">
        <f aca="false">SUM(P2480,R2480,T2480,V2480,X2480,Z2480,AB2480,AD2480,AF2480,AH2480,AJ2480,AL2480,AN2480,AP2480,AR2480,AT2480,AV2480,AX2480)</f>
        <v>17192</v>
      </c>
      <c r="BE2480" s="33" t="n">
        <f aca="false">AZ2480-BD2480</f>
        <v>0</v>
      </c>
      <c r="BF2480" s="34" t="n">
        <f aca="false">BD2480*M2480</f>
        <v>21490</v>
      </c>
      <c r="BG2480" s="35" t="n">
        <f aca="false">BA2480-BF2480</f>
        <v>0</v>
      </c>
      <c r="BH2480" s="19" t="str">
        <f aca="false">IF(BG2480=0,"",IF(BG2480&lt;&gt;BA2480,"erreur de calcul",IF(BD2480&lt;&gt;0,"pas de prix",IF(M2480&lt;&gt; 0,"pas de quantité","pas de prix, ni de quantité"))))</f>
        <v/>
      </c>
      <c r="BI2480" s="19"/>
    </row>
    <row r="2481" customFormat="false" ht="15" hidden="false" customHeight="false" outlineLevel="0" collapsed="false">
      <c r="A2481" s="0" t="n">
        <v>22</v>
      </c>
      <c r="B2481" s="8" t="s">
        <v>24</v>
      </c>
      <c r="C2481" s="9" t="s">
        <v>25</v>
      </c>
      <c r="D2481" s="9" t="s">
        <v>26</v>
      </c>
      <c r="E2481" s="10" t="n">
        <v>1789</v>
      </c>
      <c r="F2481" s="9" t="s">
        <v>27</v>
      </c>
      <c r="G2481" s="9" t="s">
        <v>27</v>
      </c>
      <c r="H2481" s="11" t="n">
        <v>18</v>
      </c>
      <c r="I2481" s="11" t="s">
        <v>93</v>
      </c>
      <c r="J2481" s="14" t="n">
        <v>4</v>
      </c>
      <c r="K2481" s="14"/>
      <c r="L2481" s="16"/>
      <c r="M2481" s="27" t="n">
        <f aca="false">J2481+(K2481/20)+(L2481/240)</f>
        <v>4</v>
      </c>
      <c r="N2481" s="17" t="s">
        <v>94</v>
      </c>
      <c r="O2481" s="11"/>
      <c r="P2481" s="28"/>
      <c r="Q2481" s="28" t="n">
        <f aca="false">P2481*$M2481</f>
        <v>0</v>
      </c>
      <c r="R2481" s="28"/>
      <c r="S2481" s="28" t="n">
        <f aca="false">R2481*$M2481</f>
        <v>0</v>
      </c>
      <c r="T2481" s="28"/>
      <c r="U2481" s="28" t="n">
        <f aca="false">T2481*$M2481</f>
        <v>0</v>
      </c>
      <c r="V2481" s="28"/>
      <c r="W2481" s="28" t="n">
        <f aca="false">V2481*$M2481</f>
        <v>0</v>
      </c>
      <c r="X2481" s="29"/>
      <c r="Y2481" s="28" t="n">
        <f aca="false">X2481*$M2481</f>
        <v>0</v>
      </c>
      <c r="Z2481" s="28"/>
      <c r="AA2481" s="28" t="n">
        <f aca="false">Z2481*$M2481</f>
        <v>0</v>
      </c>
      <c r="AB2481" s="28"/>
      <c r="AC2481" s="28" t="n">
        <f aca="false">AB2481*$M2481</f>
        <v>0</v>
      </c>
      <c r="AD2481" s="28" t="n">
        <v>900</v>
      </c>
      <c r="AE2481" s="28" t="n">
        <v>3600</v>
      </c>
      <c r="AF2481" s="28"/>
      <c r="AG2481" s="28" t="n">
        <f aca="false">AF2481*$M2481</f>
        <v>0</v>
      </c>
      <c r="AH2481" s="28"/>
      <c r="AI2481" s="28" t="n">
        <f aca="false">AH2481*$M2481</f>
        <v>0</v>
      </c>
      <c r="AJ2481" s="28"/>
      <c r="AK2481" s="28" t="n">
        <f aca="false">AJ2481*$M2481</f>
        <v>0</v>
      </c>
      <c r="AL2481" s="28"/>
      <c r="AM2481" s="28" t="n">
        <f aca="false">AL2481*$M2481</f>
        <v>0</v>
      </c>
      <c r="AN2481" s="28"/>
      <c r="AO2481" s="28" t="n">
        <f aca="false">AN2481*$M2481</f>
        <v>0</v>
      </c>
      <c r="AP2481" s="28" t="n">
        <v>36</v>
      </c>
      <c r="AQ2481" s="28" t="n">
        <v>144</v>
      </c>
      <c r="AR2481" s="28"/>
      <c r="AS2481" s="28" t="n">
        <f aca="false">AR2481*$M2481</f>
        <v>0</v>
      </c>
      <c r="AT2481" s="28"/>
      <c r="AU2481" s="28" t="n">
        <f aca="false">AT2481*$M2481</f>
        <v>0</v>
      </c>
      <c r="AV2481" s="28"/>
      <c r="AW2481" s="28" t="n">
        <f aca="false">AV2481*$M2481</f>
        <v>0</v>
      </c>
      <c r="AX2481" s="28"/>
      <c r="AY2481" s="28" t="n">
        <f aca="false">AX2481*$M2481</f>
        <v>0</v>
      </c>
      <c r="AZ2481" s="30" t="n">
        <v>936</v>
      </c>
      <c r="BA2481" s="11" t="n">
        <v>3744</v>
      </c>
      <c r="BB2481" s="31" t="n">
        <f aca="false">SUM(Q2481,S2481,U2481,W2481,Y2481,AA2481,AC2481,AE2481,AG2481,AI2481,AK2481,AM2481,AO2481,AQ2481,AS2481,AU2481,AW2481,AY2481)</f>
        <v>3744</v>
      </c>
      <c r="BC2481" s="28" t="n">
        <f aca="false">BA2481-BB2481</f>
        <v>0</v>
      </c>
      <c r="BD2481" s="32" t="n">
        <f aca="false">SUM(P2481,R2481,T2481,V2481,X2481,Z2481,AB2481,AD2481,AF2481,AH2481,AJ2481,AL2481,AN2481,AP2481,AR2481,AT2481,AV2481,AX2481)</f>
        <v>936</v>
      </c>
      <c r="BE2481" s="33" t="n">
        <f aca="false">AZ2481-BD2481</f>
        <v>0</v>
      </c>
      <c r="BF2481" s="34" t="n">
        <f aca="false">BD2481*M2481</f>
        <v>3744</v>
      </c>
      <c r="BG2481" s="35" t="n">
        <f aca="false">BA2481-BF2481</f>
        <v>0</v>
      </c>
      <c r="BH2481" s="19" t="str">
        <f aca="false">IF(BG2481=0,"",IF(BG2481&lt;&gt;BA2481,"erreur de calcul",IF(BD2481&lt;&gt;0,"pas de prix",IF(M2481&lt;&gt; 0,"pas de quantité","pas de prix, ni de quantité"))))</f>
        <v/>
      </c>
      <c r="BI2481" s="19"/>
    </row>
    <row r="2482" customFormat="false" ht="15" hidden="false" customHeight="false" outlineLevel="0" collapsed="false">
      <c r="A2482" s="0" t="n">
        <v>23</v>
      </c>
      <c r="B2482" s="8" t="s">
        <v>24</v>
      </c>
      <c r="C2482" s="9" t="s">
        <v>25</v>
      </c>
      <c r="D2482" s="9" t="s">
        <v>26</v>
      </c>
      <c r="E2482" s="10" t="n">
        <v>1789</v>
      </c>
      <c r="F2482" s="9" t="s">
        <v>27</v>
      </c>
      <c r="G2482" s="9" t="s">
        <v>27</v>
      </c>
      <c r="H2482" s="11" t="n">
        <v>18</v>
      </c>
      <c r="I2482" s="11" t="s">
        <v>95</v>
      </c>
      <c r="J2482" s="14" t="n">
        <v>40</v>
      </c>
      <c r="K2482" s="14"/>
      <c r="L2482" s="16"/>
      <c r="M2482" s="27" t="n">
        <f aca="false">J2482+(K2482/20)+(L2482/240)</f>
        <v>40</v>
      </c>
      <c r="N2482" s="17" t="s">
        <v>64</v>
      </c>
      <c r="O2482" s="11"/>
      <c r="P2482" s="28" t="n">
        <f aca="false">16000/100</f>
        <v>160</v>
      </c>
      <c r="Q2482" s="28" t="n">
        <v>6400</v>
      </c>
      <c r="R2482" s="28"/>
      <c r="S2482" s="28" t="n">
        <f aca="false">R2482*$M2482</f>
        <v>0</v>
      </c>
      <c r="T2482" s="28"/>
      <c r="U2482" s="28" t="n">
        <f aca="false">T2482*$M2482</f>
        <v>0</v>
      </c>
      <c r="V2482" s="28"/>
      <c r="W2482" s="28" t="n">
        <f aca="false">V2482*$M2482</f>
        <v>0</v>
      </c>
      <c r="X2482" s="29"/>
      <c r="Y2482" s="28" t="n">
        <f aca="false">X2482*$M2482</f>
        <v>0</v>
      </c>
      <c r="Z2482" s="28"/>
      <c r="AA2482" s="28" t="n">
        <f aca="false">Z2482*$M2482</f>
        <v>0</v>
      </c>
      <c r="AB2482" s="28"/>
      <c r="AC2482" s="28" t="n">
        <f aca="false">AB2482*$M2482</f>
        <v>0</v>
      </c>
      <c r="AD2482" s="28"/>
      <c r="AE2482" s="28" t="n">
        <f aca="false">AD2482*$M2482</f>
        <v>0</v>
      </c>
      <c r="AF2482" s="28"/>
      <c r="AG2482" s="28" t="n">
        <f aca="false">AF2482*$M2482</f>
        <v>0</v>
      </c>
      <c r="AH2482" s="28"/>
      <c r="AI2482" s="28" t="n">
        <f aca="false">AH2482*$M2482</f>
        <v>0</v>
      </c>
      <c r="AJ2482" s="28"/>
      <c r="AK2482" s="28" t="n">
        <f aca="false">AJ2482*$M2482</f>
        <v>0</v>
      </c>
      <c r="AL2482" s="28"/>
      <c r="AM2482" s="28" t="n">
        <f aca="false">AL2482*$M2482</f>
        <v>0</v>
      </c>
      <c r="AN2482" s="28"/>
      <c r="AO2482" s="28" t="n">
        <f aca="false">AN2482*$M2482</f>
        <v>0</v>
      </c>
      <c r="AP2482" s="28"/>
      <c r="AQ2482" s="28" t="n">
        <f aca="false">AP2482*$M2482</f>
        <v>0</v>
      </c>
      <c r="AR2482" s="28"/>
      <c r="AS2482" s="28" t="n">
        <f aca="false">AR2482*$M2482</f>
        <v>0</v>
      </c>
      <c r="AT2482" s="28"/>
      <c r="AU2482" s="28" t="n">
        <f aca="false">AT2482*$M2482</f>
        <v>0</v>
      </c>
      <c r="AV2482" s="28"/>
      <c r="AW2482" s="28" t="n">
        <f aca="false">AV2482*$M2482</f>
        <v>0</v>
      </c>
      <c r="AX2482" s="28"/>
      <c r="AY2482" s="28" t="n">
        <f aca="false">AX2482*$M2482</f>
        <v>0</v>
      </c>
      <c r="AZ2482" s="30" t="n">
        <f aca="false">16000/100</f>
        <v>160</v>
      </c>
      <c r="BA2482" s="11" t="n">
        <v>6400</v>
      </c>
      <c r="BB2482" s="31" t="n">
        <f aca="false">SUM(Q2482,S2482,U2482,W2482,Y2482,AA2482,AC2482,AE2482,AG2482,AI2482,AK2482,AM2482,AO2482,AQ2482,AS2482,AU2482,AW2482,AY2482)</f>
        <v>6400</v>
      </c>
      <c r="BC2482" s="28" t="n">
        <f aca="false">BA2482-BB2482</f>
        <v>0</v>
      </c>
      <c r="BD2482" s="32" t="n">
        <f aca="false">SUM(P2482,R2482,T2482,V2482,X2482,Z2482,AB2482,AD2482,AF2482,AH2482,AJ2482,AL2482,AN2482,AP2482,AR2482,AT2482,AV2482,AX2482)</f>
        <v>160</v>
      </c>
      <c r="BE2482" s="33" t="n">
        <f aca="false">AZ2482-BD2482</f>
        <v>0</v>
      </c>
      <c r="BF2482" s="34" t="n">
        <f aca="false">BD2482*M2482</f>
        <v>6400</v>
      </c>
      <c r="BG2482" s="35" t="n">
        <f aca="false">BA2482-BF2482</f>
        <v>0</v>
      </c>
      <c r="BH2482" s="19" t="str">
        <f aca="false">IF(BG2482=0,"",IF(BG2482&lt;&gt;BA2482,"erreur de calcul",IF(BD2482&lt;&gt;0,"pas de prix",IF(M2482&lt;&gt; 0,"pas de quantité","pas de prix, ni de quantité"))))</f>
        <v/>
      </c>
      <c r="BI2482" s="19"/>
    </row>
    <row r="2483" customFormat="false" ht="15" hidden="false" customHeight="false" outlineLevel="0" collapsed="false">
      <c r="A2483" s="0" t="n">
        <v>24</v>
      </c>
      <c r="B2483" s="8" t="s">
        <v>24</v>
      </c>
      <c r="C2483" s="9" t="s">
        <v>25</v>
      </c>
      <c r="D2483" s="9" t="s">
        <v>26</v>
      </c>
      <c r="E2483" s="10" t="n">
        <v>1789</v>
      </c>
      <c r="F2483" s="9" t="s">
        <v>27</v>
      </c>
      <c r="G2483" s="9" t="s">
        <v>27</v>
      </c>
      <c r="H2483" s="11" t="n">
        <v>18</v>
      </c>
      <c r="I2483" s="11" t="s">
        <v>96</v>
      </c>
      <c r="J2483" s="14" t="n">
        <v>25</v>
      </c>
      <c r="K2483" s="14"/>
      <c r="L2483" s="16"/>
      <c r="M2483" s="27" t="n">
        <f aca="false">J2483+(K2483/20)+(L2483/240)</f>
        <v>25</v>
      </c>
      <c r="N2483" s="17" t="s">
        <v>64</v>
      </c>
      <c r="O2483" s="11"/>
      <c r="P2483" s="28" t="n">
        <f aca="false">968306/100</f>
        <v>9683.06</v>
      </c>
      <c r="Q2483" s="28" t="n">
        <v>242076</v>
      </c>
      <c r="R2483" s="28"/>
      <c r="S2483" s="28" t="n">
        <f aca="false">R2483*$M2483</f>
        <v>0</v>
      </c>
      <c r="T2483" s="28"/>
      <c r="U2483" s="28" t="n">
        <f aca="false">T2483*$M2483</f>
        <v>0</v>
      </c>
      <c r="V2483" s="28" t="n">
        <f aca="false">39234/100</f>
        <v>392.34</v>
      </c>
      <c r="W2483" s="28" t="n">
        <v>9808</v>
      </c>
      <c r="X2483" s="29"/>
      <c r="Y2483" s="28" t="n">
        <v>3410</v>
      </c>
      <c r="Z2483" s="28"/>
      <c r="AA2483" s="28" t="n">
        <f aca="false">Z2483*$M2483</f>
        <v>0</v>
      </c>
      <c r="AB2483" s="28"/>
      <c r="AC2483" s="28" t="n">
        <f aca="false">AB2483*$M2483</f>
        <v>0</v>
      </c>
      <c r="AD2483" s="28"/>
      <c r="AE2483" s="28" t="n">
        <f aca="false">AD2483*$M2483</f>
        <v>0</v>
      </c>
      <c r="AF2483" s="28"/>
      <c r="AG2483" s="28" t="n">
        <f aca="false">AF2483*$M2483</f>
        <v>0</v>
      </c>
      <c r="AH2483" s="28"/>
      <c r="AI2483" s="28" t="n">
        <f aca="false">AH2483*$M2483</f>
        <v>0</v>
      </c>
      <c r="AJ2483" s="28" t="n">
        <f aca="false">2665/100</f>
        <v>26.65</v>
      </c>
      <c r="AK2483" s="28" t="n">
        <v>666</v>
      </c>
      <c r="AL2483" s="28"/>
      <c r="AM2483" s="28" t="n">
        <f aca="false">AL2483*$M2483</f>
        <v>0</v>
      </c>
      <c r="AN2483" s="28"/>
      <c r="AO2483" s="28" t="n">
        <f aca="false">AN2483*$M2483</f>
        <v>0</v>
      </c>
      <c r="AP2483" s="28"/>
      <c r="AQ2483" s="28" t="n">
        <f aca="false">AP2483*$M2483</f>
        <v>0</v>
      </c>
      <c r="AR2483" s="28"/>
      <c r="AS2483" s="28" t="n">
        <f aca="false">AR2483*$M2483</f>
        <v>0</v>
      </c>
      <c r="AT2483" s="28"/>
      <c r="AU2483" s="28" t="n">
        <f aca="false">AT2483*$M2483</f>
        <v>0</v>
      </c>
      <c r="AV2483" s="28"/>
      <c r="AW2483" s="28" t="n">
        <f aca="false">AV2483*$M2483</f>
        <v>0</v>
      </c>
      <c r="AX2483" s="28" t="n">
        <f aca="false">118115/100</f>
        <v>1181.15</v>
      </c>
      <c r="AY2483" s="28" t="n">
        <v>29529</v>
      </c>
      <c r="AZ2483" s="30" t="n">
        <f aca="false">1141960/100</f>
        <v>11419.6</v>
      </c>
      <c r="BA2483" s="11" t="n">
        <v>285489</v>
      </c>
      <c r="BB2483" s="31" t="n">
        <f aca="false">SUM(Q2483,S2483,U2483,W2483,Y2483,AA2483,AC2483,AE2483,AG2483,AI2483,AK2483,AM2483,AO2483,AQ2483,AS2483,AU2483,AW2483,AY2483)</f>
        <v>285489</v>
      </c>
      <c r="BC2483" s="28" t="n">
        <f aca="false">BA2483-BB2483</f>
        <v>0</v>
      </c>
      <c r="BD2483" s="32" t="n">
        <f aca="false">SUM(P2483,R2483,T2483,V2483,X2483,Z2483,AB2483,AD2483,AF2483,AH2483,AJ2483,AL2483,AN2483,AP2483,AR2483,AT2483,AV2483,AX2483)</f>
        <v>11283.2</v>
      </c>
      <c r="BE2483" s="33" t="n">
        <f aca="false">AZ2483-BD2483</f>
        <v>136.400000000001</v>
      </c>
      <c r="BF2483" s="34" t="n">
        <f aca="false">BD2483*M2483</f>
        <v>282080</v>
      </c>
      <c r="BG2483" s="35" t="n">
        <f aca="false">BA2483-BF2483</f>
        <v>3409</v>
      </c>
      <c r="BH2483" s="19" t="str">
        <f aca="false">IF(BG2483=0,"",IF(BG2483&lt;&gt;BA2483,"erreur de calcul",IF(BD2483&lt;&gt;0,"pas de prix",IF(M2483&lt;&gt; 0,"pas de quantité","pas de prix, ni de quantité"))))</f>
        <v>erreur de calcul</v>
      </c>
      <c r="BI2483" s="19"/>
    </row>
    <row r="2484" customFormat="false" ht="15" hidden="false" customHeight="false" outlineLevel="0" collapsed="false">
      <c r="A2484" s="0" t="n">
        <v>25</v>
      </c>
      <c r="B2484" s="8" t="s">
        <v>24</v>
      </c>
      <c r="C2484" s="9" t="s">
        <v>25</v>
      </c>
      <c r="D2484" s="9" t="s">
        <v>26</v>
      </c>
      <c r="E2484" s="10" t="n">
        <v>1789</v>
      </c>
      <c r="F2484" s="9" t="s">
        <v>27</v>
      </c>
      <c r="G2484" s="9" t="s">
        <v>27</v>
      </c>
      <c r="H2484" s="11" t="n">
        <v>18</v>
      </c>
      <c r="I2484" s="11" t="s">
        <v>97</v>
      </c>
      <c r="J2484" s="14" t="n">
        <v>30</v>
      </c>
      <c r="K2484" s="14"/>
      <c r="L2484" s="16"/>
      <c r="M2484" s="27" t="n">
        <f aca="false">J2484+(K2484/20)+(L2484/240)</f>
        <v>30</v>
      </c>
      <c r="N2484" s="17" t="s">
        <v>64</v>
      </c>
      <c r="O2484" s="11" t="s">
        <v>98</v>
      </c>
      <c r="P2484" s="28"/>
      <c r="Q2484" s="28" t="n">
        <f aca="false">P2484*$M2484</f>
        <v>0</v>
      </c>
      <c r="R2484" s="28"/>
      <c r="S2484" s="28" t="n">
        <f aca="false">R2484*$M2484</f>
        <v>0</v>
      </c>
      <c r="T2484" s="28"/>
      <c r="U2484" s="28" t="n">
        <f aca="false">T2484*$M2484</f>
        <v>0</v>
      </c>
      <c r="V2484" s="28"/>
      <c r="W2484" s="28" t="n">
        <f aca="false">V2484*$M2484</f>
        <v>0</v>
      </c>
      <c r="X2484" s="29"/>
      <c r="Y2484" s="28" t="n">
        <f aca="false">X2484*$M2484</f>
        <v>0</v>
      </c>
      <c r="Z2484" s="28"/>
      <c r="AA2484" s="28" t="n">
        <f aca="false">Z2484*$M2484</f>
        <v>0</v>
      </c>
      <c r="AB2484" s="28"/>
      <c r="AC2484" s="28" t="n">
        <f aca="false">AB2484*$M2484</f>
        <v>0</v>
      </c>
      <c r="AD2484" s="28"/>
      <c r="AE2484" s="28" t="n">
        <f aca="false">AD2484*$M2484</f>
        <v>0</v>
      </c>
      <c r="AF2484" s="28"/>
      <c r="AG2484" s="28" t="n">
        <f aca="false">AF2484*$M2484</f>
        <v>0</v>
      </c>
      <c r="AH2484" s="28"/>
      <c r="AI2484" s="28" t="n">
        <f aca="false">AH2484*$M2484</f>
        <v>0</v>
      </c>
      <c r="AJ2484" s="28"/>
      <c r="AK2484" s="28" t="n">
        <f aca="false">AJ2484*$M2484</f>
        <v>0</v>
      </c>
      <c r="AL2484" s="28"/>
      <c r="AM2484" s="28" t="n">
        <f aca="false">AL2484*$M2484</f>
        <v>0</v>
      </c>
      <c r="AN2484" s="28"/>
      <c r="AO2484" s="28" t="n">
        <f aca="false">AN2484*$M2484</f>
        <v>0</v>
      </c>
      <c r="AP2484" s="28"/>
      <c r="AQ2484" s="28" t="n">
        <f aca="false">AP2484*$M2484</f>
        <v>0</v>
      </c>
      <c r="AR2484" s="28"/>
      <c r="AS2484" s="28" t="n">
        <f aca="false">AR2484*$M2484</f>
        <v>0</v>
      </c>
      <c r="AT2484" s="28"/>
      <c r="AU2484" s="28" t="n">
        <f aca="false">AT2484*$M2484</f>
        <v>0</v>
      </c>
      <c r="AV2484" s="28"/>
      <c r="AW2484" s="28" t="n">
        <f aca="false">AV2484*$M2484</f>
        <v>0</v>
      </c>
      <c r="AX2484" s="28"/>
      <c r="AY2484" s="28" t="n">
        <f aca="false">AX2484*$M2484</f>
        <v>0</v>
      </c>
      <c r="AZ2484" s="30"/>
      <c r="BA2484" s="11"/>
      <c r="BB2484" s="31" t="n">
        <f aca="false">SUM(Q2484,S2484,U2484,W2484,Y2484,AA2484,AC2484,AE2484,AG2484,AI2484,AK2484,AM2484,AO2484,AQ2484,AS2484,AU2484,AW2484,AY2484)</f>
        <v>0</v>
      </c>
      <c r="BC2484" s="28" t="n">
        <f aca="false">BA2484-BB2484</f>
        <v>0</v>
      </c>
      <c r="BD2484" s="32" t="n">
        <f aca="false">SUM(P2484,R2484,T2484,V2484,X2484,Z2484,AB2484,AD2484,AF2484,AH2484,AJ2484,AL2484,AN2484,AP2484,AR2484,AT2484,AV2484,AX2484)</f>
        <v>0</v>
      </c>
      <c r="BE2484" s="33" t="n">
        <f aca="false">AZ2484-BD2484</f>
        <v>0</v>
      </c>
      <c r="BF2484" s="34" t="n">
        <f aca="false">BD2484*M2484</f>
        <v>0</v>
      </c>
      <c r="BG2484" s="35" t="n">
        <f aca="false">BA2484-BF2484</f>
        <v>0</v>
      </c>
      <c r="BH2484" s="19" t="str">
        <f aca="false">IF(BG2484=0,"",IF(BG2484&lt;&gt;BA2484,"erreur de calcul",IF(BD2484&lt;&gt;0,"pas de prix",IF(M2484&lt;&gt; 0,"pas de quantité","pas de prix, ni de quantité"))))</f>
        <v/>
      </c>
      <c r="BI2484" s="19"/>
    </row>
    <row r="2485" customFormat="false" ht="15" hidden="false" customHeight="false" outlineLevel="0" collapsed="false">
      <c r="A2485" s="0" t="n">
        <v>26</v>
      </c>
      <c r="B2485" s="8" t="s">
        <v>24</v>
      </c>
      <c r="C2485" s="9" t="s">
        <v>25</v>
      </c>
      <c r="D2485" s="9" t="s">
        <v>26</v>
      </c>
      <c r="E2485" s="10" t="n">
        <v>1789</v>
      </c>
      <c r="F2485" s="9" t="s">
        <v>27</v>
      </c>
      <c r="G2485" s="9" t="s">
        <v>27</v>
      </c>
      <c r="H2485" s="11" t="n">
        <v>18</v>
      </c>
      <c r="I2485" s="11" t="s">
        <v>99</v>
      </c>
      <c r="J2485" s="14" t="n">
        <v>12</v>
      </c>
      <c r="K2485" s="14"/>
      <c r="L2485" s="16"/>
      <c r="M2485" s="27" t="n">
        <f aca="false">J2485+(K2485/20)+(L2485/240)</f>
        <v>12</v>
      </c>
      <c r="N2485" s="17" t="s">
        <v>64</v>
      </c>
      <c r="O2485" s="11"/>
      <c r="P2485" s="28" t="n">
        <f aca="false">7077/100</f>
        <v>70.77</v>
      </c>
      <c r="Q2485" s="28" t="n">
        <v>849</v>
      </c>
      <c r="R2485" s="28"/>
      <c r="S2485" s="28" t="n">
        <f aca="false">R2485*$M2485</f>
        <v>0</v>
      </c>
      <c r="T2485" s="28"/>
      <c r="U2485" s="28" t="n">
        <f aca="false">T2485*$M2485</f>
        <v>0</v>
      </c>
      <c r="V2485" s="28"/>
      <c r="W2485" s="28" t="n">
        <f aca="false">V2485*$M2485</f>
        <v>0</v>
      </c>
      <c r="X2485" s="29"/>
      <c r="Y2485" s="28" t="n">
        <v>866</v>
      </c>
      <c r="Z2485" s="28"/>
      <c r="AA2485" s="28" t="n">
        <f aca="false">Z2485*$M2485</f>
        <v>0</v>
      </c>
      <c r="AB2485" s="28"/>
      <c r="AC2485" s="28" t="n">
        <f aca="false">AB2485*$M2485</f>
        <v>0</v>
      </c>
      <c r="AD2485" s="28"/>
      <c r="AE2485" s="28" t="n">
        <f aca="false">AD2485*$M2485</f>
        <v>0</v>
      </c>
      <c r="AF2485" s="28"/>
      <c r="AG2485" s="28" t="n">
        <f aca="false">AF2485*$M2485</f>
        <v>0</v>
      </c>
      <c r="AH2485" s="28"/>
      <c r="AI2485" s="28" t="n">
        <f aca="false">AH2485*$M2485</f>
        <v>0</v>
      </c>
      <c r="AJ2485" s="28"/>
      <c r="AK2485" s="28" t="n">
        <f aca="false">AJ2485*$M2485</f>
        <v>0</v>
      </c>
      <c r="AL2485" s="28"/>
      <c r="AM2485" s="28" t="n">
        <f aca="false">AL2485*$M2485</f>
        <v>0</v>
      </c>
      <c r="AN2485" s="28"/>
      <c r="AO2485" s="28" t="n">
        <f aca="false">AN2485*$M2485</f>
        <v>0</v>
      </c>
      <c r="AP2485" s="28"/>
      <c r="AQ2485" s="28" t="n">
        <f aca="false">AP2485*$M2485</f>
        <v>0</v>
      </c>
      <c r="AR2485" s="28"/>
      <c r="AS2485" s="28" t="n">
        <f aca="false">AR2485*$M2485</f>
        <v>0</v>
      </c>
      <c r="AT2485" s="28"/>
      <c r="AU2485" s="28" t="n">
        <f aca="false">AT2485*$M2485</f>
        <v>0</v>
      </c>
      <c r="AV2485" s="28"/>
      <c r="AW2485" s="28" t="n">
        <f aca="false">AV2485*$M2485</f>
        <v>0</v>
      </c>
      <c r="AX2485" s="28"/>
      <c r="AY2485" s="28" t="n">
        <f aca="false">AX2485*$M2485</f>
        <v>0</v>
      </c>
      <c r="AZ2485" s="30" t="n">
        <f aca="false">14294/100</f>
        <v>142.94</v>
      </c>
      <c r="BA2485" s="11" t="n">
        <v>1715</v>
      </c>
      <c r="BB2485" s="31" t="n">
        <f aca="false">SUM(Q2485,S2485,U2485,W2485,Y2485,AA2485,AC2485,AE2485,AG2485,AI2485,AK2485,AM2485,AO2485,AQ2485,AS2485,AU2485,AW2485,AY2485)</f>
        <v>1715</v>
      </c>
      <c r="BC2485" s="28" t="n">
        <f aca="false">BA2485-BB2485</f>
        <v>0</v>
      </c>
      <c r="BD2485" s="32" t="n">
        <f aca="false">SUM(P2485,R2485,T2485,V2485,X2485,Z2485,AB2485,AD2485,AF2485,AH2485,AJ2485,AL2485,AN2485,AP2485,AR2485,AT2485,AV2485,AX2485)</f>
        <v>70.77</v>
      </c>
      <c r="BE2485" s="33" t="n">
        <f aca="false">AZ2485-BD2485</f>
        <v>72.17</v>
      </c>
      <c r="BF2485" s="34" t="n">
        <f aca="false">BD2485*M2485</f>
        <v>849.24</v>
      </c>
      <c r="BG2485" s="35" t="n">
        <f aca="false">BA2485-BF2485</f>
        <v>865.76</v>
      </c>
      <c r="BH2485" s="19" t="str">
        <f aca="false">IF(BG2485=0,"",IF(BG2485&lt;&gt;BA2485,"erreur de calcul",IF(BD2485&lt;&gt;0,"pas de prix",IF(M2485&lt;&gt; 0,"pas de quantité","pas de prix, ni de quantité"))))</f>
        <v>erreur de calcul</v>
      </c>
      <c r="BI2485" s="19"/>
    </row>
    <row r="2486" customFormat="false" ht="15" hidden="false" customHeight="false" outlineLevel="0" collapsed="false">
      <c r="A2486" s="0" t="n">
        <v>27</v>
      </c>
      <c r="B2486" s="8" t="s">
        <v>24</v>
      </c>
      <c r="C2486" s="9" t="s">
        <v>25</v>
      </c>
      <c r="D2486" s="9" t="s">
        <v>26</v>
      </c>
      <c r="E2486" s="10" t="n">
        <v>1789</v>
      </c>
      <c r="F2486" s="9" t="s">
        <v>27</v>
      </c>
      <c r="G2486" s="9" t="s">
        <v>27</v>
      </c>
      <c r="H2486" s="11" t="n">
        <v>18</v>
      </c>
      <c r="I2486" s="11" t="s">
        <v>100</v>
      </c>
      <c r="J2486" s="14" t="n">
        <v>13</v>
      </c>
      <c r="K2486" s="14"/>
      <c r="L2486" s="16"/>
      <c r="M2486" s="27" t="n">
        <f aca="false">J2486+(K2486/20)+(L2486/240)</f>
        <v>13</v>
      </c>
      <c r="N2486" s="17" t="s">
        <v>64</v>
      </c>
      <c r="O2486" s="11"/>
      <c r="P2486" s="28"/>
      <c r="Q2486" s="28" t="n">
        <f aca="false">P2486*$M2486</f>
        <v>0</v>
      </c>
      <c r="R2486" s="28"/>
      <c r="S2486" s="28" t="n">
        <f aca="false">R2486*$M2486</f>
        <v>0</v>
      </c>
      <c r="T2486" s="28"/>
      <c r="U2486" s="28" t="n">
        <f aca="false">T2486*$M2486</f>
        <v>0</v>
      </c>
      <c r="V2486" s="28"/>
      <c r="W2486" s="28" t="n">
        <f aca="false">V2486*$M2486</f>
        <v>0</v>
      </c>
      <c r="X2486" s="29"/>
      <c r="Y2486" s="28" t="n">
        <f aca="false">X2486*$M2486</f>
        <v>0</v>
      </c>
      <c r="Z2486" s="28"/>
      <c r="AA2486" s="28" t="n">
        <f aca="false">Z2486*$M2486</f>
        <v>0</v>
      </c>
      <c r="AB2486" s="28"/>
      <c r="AC2486" s="28" t="n">
        <f aca="false">AB2486*$M2486</f>
        <v>0</v>
      </c>
      <c r="AD2486" s="28"/>
      <c r="AE2486" s="28" t="n">
        <f aca="false">AD2486*$M2486</f>
        <v>0</v>
      </c>
      <c r="AF2486" s="28"/>
      <c r="AG2486" s="28" t="n">
        <f aca="false">AF2486*$M2486</f>
        <v>0</v>
      </c>
      <c r="AH2486" s="28" t="n">
        <f aca="false">7819/100</f>
        <v>78.19</v>
      </c>
      <c r="AI2486" s="28" t="n">
        <v>1016</v>
      </c>
      <c r="AJ2486" s="28" t="n">
        <f aca="false">10382/100</f>
        <v>103.82</v>
      </c>
      <c r="AK2486" s="28" t="n">
        <v>1350</v>
      </c>
      <c r="AL2486" s="28"/>
      <c r="AM2486" s="28" t="n">
        <f aca="false">AL2486*$M2486</f>
        <v>0</v>
      </c>
      <c r="AN2486" s="28"/>
      <c r="AO2486" s="28" t="n">
        <f aca="false">AN2486*$M2486</f>
        <v>0</v>
      </c>
      <c r="AP2486" s="28"/>
      <c r="AQ2486" s="28" t="n">
        <f aca="false">AP2486*$M2486</f>
        <v>0</v>
      </c>
      <c r="AR2486" s="28"/>
      <c r="AS2486" s="28" t="n">
        <f aca="false">AR2486*$M2486</f>
        <v>0</v>
      </c>
      <c r="AT2486" s="28"/>
      <c r="AU2486" s="28" t="n">
        <f aca="false">AT2486*$M2486</f>
        <v>0</v>
      </c>
      <c r="AV2486" s="28"/>
      <c r="AW2486" s="28" t="n">
        <f aca="false">AV2486*$M2486</f>
        <v>0</v>
      </c>
      <c r="AX2486" s="28"/>
      <c r="AY2486" s="28" t="n">
        <f aca="false">AX2486*$M2486</f>
        <v>0</v>
      </c>
      <c r="AZ2486" s="30" t="n">
        <f aca="false">18201/100</f>
        <v>182.01</v>
      </c>
      <c r="BA2486" s="11" t="n">
        <v>2366</v>
      </c>
      <c r="BB2486" s="31" t="n">
        <f aca="false">SUM(Q2486,S2486,U2486,W2486,Y2486,AA2486,AC2486,AE2486,AG2486,AI2486,AK2486,AM2486,AO2486,AQ2486,AS2486,AU2486,AW2486,AY2486)</f>
        <v>2366</v>
      </c>
      <c r="BC2486" s="28" t="n">
        <f aca="false">BA2486-BB2486</f>
        <v>0</v>
      </c>
      <c r="BD2486" s="32" t="n">
        <f aca="false">SUM(P2486,R2486,T2486,V2486,X2486,Z2486,AB2486,AD2486,AF2486,AH2486,AJ2486,AL2486,AN2486,AP2486,AR2486,AT2486,AV2486,AX2486)</f>
        <v>182.01</v>
      </c>
      <c r="BE2486" s="33" t="n">
        <f aca="false">AZ2486-BD2486</f>
        <v>0</v>
      </c>
      <c r="BF2486" s="34" t="n">
        <f aca="false">BD2486*M2486</f>
        <v>2366.13</v>
      </c>
      <c r="BG2486" s="35" t="n">
        <f aca="false">BA2486-BF2486</f>
        <v>-0.130000000000109</v>
      </c>
      <c r="BH2486" s="19" t="str">
        <f aca="false">IF(BG2486=0,"",IF(BG2486&lt;&gt;BA2486,"erreur de calcul",IF(BD2486&lt;&gt;0,"pas de prix",IF(M2486&lt;&gt; 0,"pas de quantité","pas de prix, ni de quantité"))))</f>
        <v>erreur de calcul</v>
      </c>
      <c r="BI2486" s="19"/>
    </row>
    <row r="2487" customFormat="false" ht="15" hidden="false" customHeight="false" outlineLevel="0" collapsed="false">
      <c r="A2487" s="0" t="n">
        <v>28</v>
      </c>
      <c r="B2487" s="8" t="s">
        <v>24</v>
      </c>
      <c r="C2487" s="9" t="s">
        <v>25</v>
      </c>
      <c r="D2487" s="9" t="s">
        <v>26</v>
      </c>
      <c r="E2487" s="10" t="n">
        <v>1789</v>
      </c>
      <c r="F2487" s="9" t="s">
        <v>27</v>
      </c>
      <c r="G2487" s="9" t="s">
        <v>27</v>
      </c>
      <c r="H2487" s="11" t="n">
        <v>18</v>
      </c>
      <c r="I2487" s="11" t="s">
        <v>101</v>
      </c>
      <c r="J2487" s="14" t="n">
        <v>35</v>
      </c>
      <c r="K2487" s="14"/>
      <c r="L2487" s="16"/>
      <c r="M2487" s="27" t="n">
        <f aca="false">J2487+(K2487/20)+(L2487/240)</f>
        <v>35</v>
      </c>
      <c r="N2487" s="17" t="s">
        <v>64</v>
      </c>
      <c r="O2487" s="11"/>
      <c r="P2487" s="28"/>
      <c r="Q2487" s="28" t="n">
        <f aca="false">P2487*$M2487</f>
        <v>0</v>
      </c>
      <c r="R2487" s="28"/>
      <c r="S2487" s="28" t="n">
        <f aca="false">R2487*$M2487</f>
        <v>0</v>
      </c>
      <c r="T2487" s="28"/>
      <c r="U2487" s="28" t="n">
        <f aca="false">T2487*$M2487</f>
        <v>0</v>
      </c>
      <c r="V2487" s="28"/>
      <c r="W2487" s="28" t="n">
        <f aca="false">V2487*$M2487</f>
        <v>0</v>
      </c>
      <c r="X2487" s="29"/>
      <c r="Y2487" s="28" t="n">
        <f aca="false">X2487*$M2487</f>
        <v>0</v>
      </c>
      <c r="Z2487" s="28"/>
      <c r="AA2487" s="28" t="n">
        <f aca="false">Z2487*$M2487</f>
        <v>0</v>
      </c>
      <c r="AB2487" s="28"/>
      <c r="AC2487" s="28" t="n">
        <f aca="false">AB2487*$M2487</f>
        <v>0</v>
      </c>
      <c r="AD2487" s="28"/>
      <c r="AE2487" s="28" t="n">
        <f aca="false">AD2487*$M2487</f>
        <v>0</v>
      </c>
      <c r="AF2487" s="28"/>
      <c r="AG2487" s="28" t="n">
        <f aca="false">AF2487*$M2487</f>
        <v>0</v>
      </c>
      <c r="AH2487" s="28"/>
      <c r="AI2487" s="28" t="n">
        <f aca="false">AH2487*$M2487</f>
        <v>0</v>
      </c>
      <c r="AJ2487" s="28" t="n">
        <f aca="false">65277/100</f>
        <v>652.77</v>
      </c>
      <c r="AK2487" s="28" t="n">
        <v>22847</v>
      </c>
      <c r="AL2487" s="28"/>
      <c r="AM2487" s="28" t="n">
        <f aca="false">AL2487*$M2487</f>
        <v>0</v>
      </c>
      <c r="AN2487" s="28"/>
      <c r="AO2487" s="28" t="n">
        <f aca="false">AN2487*$M2487</f>
        <v>0</v>
      </c>
      <c r="AP2487" s="28"/>
      <c r="AQ2487" s="28" t="n">
        <f aca="false">AP2487*$M2487</f>
        <v>0</v>
      </c>
      <c r="AR2487" s="28"/>
      <c r="AS2487" s="28" t="n">
        <f aca="false">AR2487*$M2487</f>
        <v>0</v>
      </c>
      <c r="AT2487" s="28"/>
      <c r="AU2487" s="28" t="n">
        <f aca="false">AT2487*$M2487</f>
        <v>0</v>
      </c>
      <c r="AV2487" s="28"/>
      <c r="AW2487" s="28" t="n">
        <f aca="false">AV2487*$M2487</f>
        <v>0</v>
      </c>
      <c r="AX2487" s="28"/>
      <c r="AY2487" s="28" t="n">
        <f aca="false">AX2487*$M2487</f>
        <v>0</v>
      </c>
      <c r="AZ2487" s="30" t="n">
        <f aca="false">65277/100</f>
        <v>652.77</v>
      </c>
      <c r="BA2487" s="11" t="n">
        <v>22847</v>
      </c>
      <c r="BB2487" s="31" t="n">
        <f aca="false">SUM(Q2487,S2487,U2487,W2487,Y2487,AA2487,AC2487,AE2487,AG2487,AI2487,AK2487,AM2487,AO2487,AQ2487,AS2487,AU2487,AW2487,AY2487)</f>
        <v>22847</v>
      </c>
      <c r="BC2487" s="28" t="n">
        <f aca="false">BA2487-BB2487</f>
        <v>0</v>
      </c>
      <c r="BD2487" s="32" t="n">
        <f aca="false">SUM(P2487,R2487,T2487,V2487,X2487,Z2487,AB2487,AD2487,AF2487,AH2487,AJ2487,AL2487,AN2487,AP2487,AR2487,AT2487,AV2487,AX2487)</f>
        <v>652.77</v>
      </c>
      <c r="BE2487" s="33" t="n">
        <f aca="false">AZ2487-BD2487</f>
        <v>0</v>
      </c>
      <c r="BF2487" s="34" t="n">
        <f aca="false">BD2487*M2487</f>
        <v>22846.95</v>
      </c>
      <c r="BG2487" s="35" t="n">
        <f aca="false">BA2487-BF2487</f>
        <v>0.0499999999992724</v>
      </c>
      <c r="BH2487" s="19" t="str">
        <f aca="false">IF(BG2487=0,"",IF(BG2487&lt;&gt;BA2487,"erreur de calcul",IF(BD2487&lt;&gt;0,"pas de prix",IF(M2487&lt;&gt; 0,"pas de quantité","pas de prix, ni de quantité"))))</f>
        <v>erreur de calcul</v>
      </c>
      <c r="BI2487" s="19"/>
    </row>
    <row r="2488" customFormat="false" ht="16.65" hidden="false" customHeight="false" outlineLevel="0" collapsed="false">
      <c r="A2488" s="0" t="n">
        <v>29</v>
      </c>
      <c r="B2488" s="8" t="s">
        <v>24</v>
      </c>
      <c r="C2488" s="9" t="s">
        <v>25</v>
      </c>
      <c r="D2488" s="9" t="s">
        <v>26</v>
      </c>
      <c r="E2488" s="10" t="n">
        <v>1789</v>
      </c>
      <c r="F2488" s="9" t="s">
        <v>27</v>
      </c>
      <c r="G2488" s="9" t="s">
        <v>27</v>
      </c>
      <c r="H2488" s="11" t="n">
        <v>18</v>
      </c>
      <c r="I2488" s="11" t="s">
        <v>102</v>
      </c>
      <c r="J2488" s="14" t="n">
        <v>47</v>
      </c>
      <c r="K2488" s="14"/>
      <c r="L2488" s="16"/>
      <c r="M2488" s="27" t="n">
        <f aca="false">J2488+(K2488/20)+(L2488/240)</f>
        <v>47</v>
      </c>
      <c r="N2488" s="17" t="s">
        <v>64</v>
      </c>
      <c r="O2488" s="11"/>
      <c r="P2488" s="28" t="n">
        <f aca="false">8467/100</f>
        <v>84.67</v>
      </c>
      <c r="Q2488" s="28" t="n">
        <v>3979</v>
      </c>
      <c r="R2488" s="28"/>
      <c r="S2488" s="28" t="n">
        <f aca="false">R2488*$M2488</f>
        <v>0</v>
      </c>
      <c r="T2488" s="28"/>
      <c r="U2488" s="28" t="n">
        <f aca="false">T2488*$M2488</f>
        <v>0</v>
      </c>
      <c r="V2488" s="28"/>
      <c r="W2488" s="28" t="n">
        <f aca="false">V2488*$M2488</f>
        <v>0</v>
      </c>
      <c r="X2488" s="29"/>
      <c r="Y2488" s="28" t="n">
        <f aca="false">X2488*$M2488</f>
        <v>0</v>
      </c>
      <c r="Z2488" s="28"/>
      <c r="AA2488" s="28" t="n">
        <f aca="false">Z2488*$M2488</f>
        <v>0</v>
      </c>
      <c r="AB2488" s="28"/>
      <c r="AC2488" s="28" t="n">
        <f aca="false">AB2488*$M2488</f>
        <v>0</v>
      </c>
      <c r="AD2488" s="28"/>
      <c r="AE2488" s="28" t="n">
        <f aca="false">AD2488*$M2488</f>
        <v>0</v>
      </c>
      <c r="AF2488" s="28"/>
      <c r="AG2488" s="28" t="n">
        <f aca="false">AF2488*$M2488</f>
        <v>0</v>
      </c>
      <c r="AH2488" s="28"/>
      <c r="AI2488" s="28" t="n">
        <f aca="false">AH2488*$M2488</f>
        <v>0</v>
      </c>
      <c r="AJ2488" s="28"/>
      <c r="AK2488" s="28" t="n">
        <f aca="false">AJ2488*$M2488</f>
        <v>0</v>
      </c>
      <c r="AL2488" s="28"/>
      <c r="AM2488" s="28" t="n">
        <f aca="false">AL2488*$M2488</f>
        <v>0</v>
      </c>
      <c r="AN2488" s="28"/>
      <c r="AO2488" s="28" t="n">
        <f aca="false">AN2488*$M2488</f>
        <v>0</v>
      </c>
      <c r="AP2488" s="28"/>
      <c r="AQ2488" s="28" t="n">
        <f aca="false">AP2488*$M2488</f>
        <v>0</v>
      </c>
      <c r="AR2488" s="28"/>
      <c r="AS2488" s="28" t="n">
        <f aca="false">AR2488*$M2488</f>
        <v>0</v>
      </c>
      <c r="AT2488" s="28"/>
      <c r="AU2488" s="28" t="n">
        <f aca="false">AT2488*$M2488</f>
        <v>0</v>
      </c>
      <c r="AV2488" s="28"/>
      <c r="AW2488" s="28" t="n">
        <f aca="false">AV2488*$M2488</f>
        <v>0</v>
      </c>
      <c r="AX2488" s="28"/>
      <c r="AY2488" s="28" t="n">
        <f aca="false">AX2488*$M2488</f>
        <v>0</v>
      </c>
      <c r="AZ2488" s="30" t="n">
        <f aca="false">8467/100</f>
        <v>84.67</v>
      </c>
      <c r="BA2488" s="11" t="n">
        <v>3979</v>
      </c>
      <c r="BB2488" s="31" t="n">
        <f aca="false">SUM(Q2488,S2488,U2488,W2488,Y2488,AA2488,AC2488,AE2488,AG2488,AI2488,AK2488,AM2488,AO2488,AQ2488,AS2488,AU2488,AW2488,AY2488)</f>
        <v>3979</v>
      </c>
      <c r="BC2488" s="28" t="n">
        <f aca="false">BA2488-BB2488</f>
        <v>0</v>
      </c>
      <c r="BD2488" s="32" t="n">
        <f aca="false">SUM(P2488,R2488,T2488,V2488,X2488,Z2488,AB2488,AD2488,AF2488,AH2488,AJ2488,AL2488,AN2488,AP2488,AR2488,AT2488,AV2488,AX2488)</f>
        <v>84.67</v>
      </c>
      <c r="BE2488" s="33" t="n">
        <f aca="false">AZ2488-BD2488</f>
        <v>0</v>
      </c>
      <c r="BF2488" s="34" t="n">
        <f aca="false">BD2488*M2488</f>
        <v>3979.49</v>
      </c>
      <c r="BG2488" s="35" t="n">
        <f aca="false">BA2488-BF2488</f>
        <v>-0.490000000000237</v>
      </c>
      <c r="BH2488" s="19" t="str">
        <f aca="false">IF(BG2488=0,"",IF(BG2488&lt;&gt;BA2488,"erreur de calcul",IF(BD2488&lt;&gt;0,"pas de prix",IF(M2488&lt;&gt; 0,"pas de quantité","pas de prix, ni de quantité"))))</f>
        <v>erreur de calcul</v>
      </c>
      <c r="BI2488" s="19"/>
    </row>
    <row r="2489" customFormat="false" ht="15" hidden="false" customHeight="false" outlineLevel="0" collapsed="false">
      <c r="A2489" s="0" t="n">
        <v>30</v>
      </c>
      <c r="B2489" s="8" t="s">
        <v>24</v>
      </c>
      <c r="C2489" s="9" t="s">
        <v>25</v>
      </c>
      <c r="D2489" s="9" t="s">
        <v>26</v>
      </c>
      <c r="E2489" s="10" t="n">
        <v>1789</v>
      </c>
      <c r="F2489" s="9" t="s">
        <v>27</v>
      </c>
      <c r="G2489" s="9" t="s">
        <v>27</v>
      </c>
      <c r="H2489" s="11" t="n">
        <v>18</v>
      </c>
      <c r="I2489" s="11" t="s">
        <v>103</v>
      </c>
      <c r="J2489" s="14" t="n">
        <v>475</v>
      </c>
      <c r="K2489" s="14"/>
      <c r="L2489" s="16"/>
      <c r="M2489" s="27" t="n">
        <f aca="false">J2489+(K2489/20)+(L2489/240)</f>
        <v>475</v>
      </c>
      <c r="N2489" s="17" t="s">
        <v>64</v>
      </c>
      <c r="O2489" s="11"/>
      <c r="P2489" s="28"/>
      <c r="Q2489" s="28" t="n">
        <f aca="false">P2489*$M2489</f>
        <v>0</v>
      </c>
      <c r="R2489" s="28"/>
      <c r="S2489" s="28" t="n">
        <f aca="false">R2489*$M2489</f>
        <v>0</v>
      </c>
      <c r="T2489" s="28" t="n">
        <f aca="false">1746/100</f>
        <v>17.46</v>
      </c>
      <c r="U2489" s="28" t="n">
        <v>8293</v>
      </c>
      <c r="V2489" s="28"/>
      <c r="W2489" s="28" t="n">
        <f aca="false">V2489*$M2489</f>
        <v>0</v>
      </c>
      <c r="X2489" s="29"/>
      <c r="Y2489" s="28" t="n">
        <f aca="false">X2489*$M2489</f>
        <v>0</v>
      </c>
      <c r="Z2489" s="28"/>
      <c r="AA2489" s="28" t="n">
        <f aca="false">Z2489*$M2489</f>
        <v>0</v>
      </c>
      <c r="AB2489" s="28"/>
      <c r="AC2489" s="28" t="n">
        <f aca="false">AB2489*$M2489</f>
        <v>0</v>
      </c>
      <c r="AD2489" s="28"/>
      <c r="AE2489" s="28" t="n">
        <f aca="false">AD2489*$M2489</f>
        <v>0</v>
      </c>
      <c r="AF2489" s="28"/>
      <c r="AG2489" s="28" t="n">
        <f aca="false">AF2489*$M2489</f>
        <v>0</v>
      </c>
      <c r="AH2489" s="28" t="n">
        <f aca="false">1667/100</f>
        <v>16.67</v>
      </c>
      <c r="AI2489" s="28" t="n">
        <v>7918</v>
      </c>
      <c r="AJ2489" s="28"/>
      <c r="AK2489" s="28" t="n">
        <f aca="false">AJ2489*$M2489</f>
        <v>0</v>
      </c>
      <c r="AL2489" s="28"/>
      <c r="AM2489" s="28" t="n">
        <f aca="false">AL2489*$M2489</f>
        <v>0</v>
      </c>
      <c r="AN2489" s="28"/>
      <c r="AO2489" s="28" t="n">
        <f aca="false">AN2489*$M2489</f>
        <v>0</v>
      </c>
      <c r="AP2489" s="28"/>
      <c r="AQ2489" s="28" t="n">
        <f aca="false">AP2489*$M2489</f>
        <v>0</v>
      </c>
      <c r="AR2489" s="28"/>
      <c r="AS2489" s="28" t="n">
        <f aca="false">AR2489*$M2489</f>
        <v>0</v>
      </c>
      <c r="AT2489" s="28"/>
      <c r="AU2489" s="28" t="n">
        <f aca="false">AT2489*$M2489</f>
        <v>0</v>
      </c>
      <c r="AV2489" s="28"/>
      <c r="AW2489" s="28" t="n">
        <f aca="false">AV2489*$M2489</f>
        <v>0</v>
      </c>
      <c r="AX2489" s="28"/>
      <c r="AY2489" s="28" t="n">
        <f aca="false">AX2489*$M2489</f>
        <v>0</v>
      </c>
      <c r="AZ2489" s="30" t="n">
        <f aca="false">3413/100</f>
        <v>34.13</v>
      </c>
      <c r="BA2489" s="11" t="n">
        <v>16211</v>
      </c>
      <c r="BB2489" s="31" t="n">
        <f aca="false">SUM(Q2489,S2489,U2489,W2489,Y2489,AA2489,AC2489,AE2489,AG2489,AI2489,AK2489,AM2489,AO2489,AQ2489,AS2489,AU2489,AW2489,AY2489)</f>
        <v>16211</v>
      </c>
      <c r="BC2489" s="28" t="n">
        <f aca="false">BA2489-BB2489</f>
        <v>0</v>
      </c>
      <c r="BD2489" s="32" t="n">
        <f aca="false">SUM(P2489,R2489,T2489,V2489,X2489,Z2489,AB2489,AD2489,AF2489,AH2489,AJ2489,AL2489,AN2489,AP2489,AR2489,AT2489,AV2489,AX2489)</f>
        <v>34.13</v>
      </c>
      <c r="BE2489" s="33" t="n">
        <f aca="false">AZ2489-BD2489</f>
        <v>0</v>
      </c>
      <c r="BF2489" s="34" t="n">
        <f aca="false">BD2489*M2489</f>
        <v>16211.75</v>
      </c>
      <c r="BG2489" s="35" t="n">
        <f aca="false">BA2489-BF2489</f>
        <v>-0.750000000001819</v>
      </c>
      <c r="BH2489" s="19" t="str">
        <f aca="false">IF(BG2489=0,"",IF(BG2489&lt;&gt;BA2489,"erreur de calcul",IF(BD2489&lt;&gt;0,"pas de prix",IF(M2489&lt;&gt; 0,"pas de quantité","pas de prix, ni de quantité"))))</f>
        <v>erreur de calcul</v>
      </c>
      <c r="BI2489" s="19"/>
    </row>
    <row r="2490" customFormat="false" ht="15" hidden="false" customHeight="false" outlineLevel="0" collapsed="false">
      <c r="A2490" s="0" t="n">
        <v>31</v>
      </c>
      <c r="B2490" s="8" t="s">
        <v>24</v>
      </c>
      <c r="C2490" s="9" t="s">
        <v>25</v>
      </c>
      <c r="D2490" s="9" t="s">
        <v>26</v>
      </c>
      <c r="E2490" s="10" t="n">
        <v>1789</v>
      </c>
      <c r="F2490" s="9" t="s">
        <v>27</v>
      </c>
      <c r="G2490" s="9" t="s">
        <v>27</v>
      </c>
      <c r="H2490" s="11" t="n">
        <v>18</v>
      </c>
      <c r="I2490" s="11" t="s">
        <v>104</v>
      </c>
      <c r="J2490" s="14" t="n">
        <v>310</v>
      </c>
      <c r="K2490" s="14"/>
      <c r="L2490" s="16"/>
      <c r="M2490" s="27" t="n">
        <f aca="false">J2490+(K2490/20)+(L2490/240)</f>
        <v>310</v>
      </c>
      <c r="N2490" s="17" t="s">
        <v>64</v>
      </c>
      <c r="O2490" s="11"/>
      <c r="P2490" s="28"/>
      <c r="Q2490" s="28" t="n">
        <f aca="false">P2490*$M2490</f>
        <v>0</v>
      </c>
      <c r="R2490" s="28"/>
      <c r="S2490" s="28" t="n">
        <f aca="false">R2490*$M2490</f>
        <v>0</v>
      </c>
      <c r="T2490" s="28" t="n">
        <f aca="false">1087/100</f>
        <v>10.87</v>
      </c>
      <c r="U2490" s="28" t="n">
        <v>3370</v>
      </c>
      <c r="V2490" s="28" t="n">
        <f aca="false">285/100</f>
        <v>2.85</v>
      </c>
      <c r="W2490" s="28" t="n">
        <v>883</v>
      </c>
      <c r="X2490" s="29"/>
      <c r="Y2490" s="28" t="n">
        <f aca="false">X2490*$M2490</f>
        <v>0</v>
      </c>
      <c r="Z2490" s="28"/>
      <c r="AA2490" s="28" t="n">
        <f aca="false">Z2490*$M2490</f>
        <v>0</v>
      </c>
      <c r="AB2490" s="28"/>
      <c r="AC2490" s="28" t="n">
        <f aca="false">AB2490*$M2490</f>
        <v>0</v>
      </c>
      <c r="AD2490" s="28"/>
      <c r="AE2490" s="28" t="n">
        <f aca="false">AD2490*$M2490</f>
        <v>0</v>
      </c>
      <c r="AF2490" s="28"/>
      <c r="AG2490" s="28" t="n">
        <f aca="false">AF2490*$M2490</f>
        <v>0</v>
      </c>
      <c r="AH2490" s="28"/>
      <c r="AI2490" s="28" t="n">
        <f aca="false">AH2490*$M2490</f>
        <v>0</v>
      </c>
      <c r="AJ2490" s="28"/>
      <c r="AK2490" s="28" t="n">
        <f aca="false">AJ2490*$M2490</f>
        <v>0</v>
      </c>
      <c r="AL2490" s="28"/>
      <c r="AM2490" s="28" t="n">
        <f aca="false">AL2490*$M2490</f>
        <v>0</v>
      </c>
      <c r="AN2490" s="28"/>
      <c r="AO2490" s="28" t="n">
        <f aca="false">AN2490*$M2490</f>
        <v>0</v>
      </c>
      <c r="AP2490" s="28"/>
      <c r="AQ2490" s="28" t="n">
        <f aca="false">AP2490*$M2490</f>
        <v>0</v>
      </c>
      <c r="AR2490" s="28"/>
      <c r="AS2490" s="28" t="n">
        <f aca="false">AR2490*$M2490</f>
        <v>0</v>
      </c>
      <c r="AT2490" s="28"/>
      <c r="AU2490" s="28" t="n">
        <f aca="false">AT2490*$M2490</f>
        <v>0</v>
      </c>
      <c r="AV2490" s="28"/>
      <c r="AW2490" s="28" t="n">
        <f aca="false">AV2490*$M2490</f>
        <v>0</v>
      </c>
      <c r="AX2490" s="28"/>
      <c r="AY2490" s="28" t="n">
        <f aca="false">AX2490*$M2490</f>
        <v>0</v>
      </c>
      <c r="AZ2490" s="30" t="n">
        <f aca="false">1372/100</f>
        <v>13.72</v>
      </c>
      <c r="BA2490" s="11" t="n">
        <v>4253</v>
      </c>
      <c r="BB2490" s="31" t="n">
        <f aca="false">SUM(Q2490,S2490,U2490,W2490,Y2490,AA2490,AC2490,AE2490,AG2490,AI2490,AK2490,AM2490,AO2490,AQ2490,AS2490,AU2490,AW2490,AY2490)</f>
        <v>4253</v>
      </c>
      <c r="BC2490" s="28" t="n">
        <f aca="false">BA2490-BB2490</f>
        <v>0</v>
      </c>
      <c r="BD2490" s="32" t="n">
        <f aca="false">SUM(P2490,R2490,T2490,V2490,X2490,Z2490,AB2490,AD2490,AF2490,AH2490,AJ2490,AL2490,AN2490,AP2490,AR2490,AT2490,AV2490,AX2490)</f>
        <v>13.72</v>
      </c>
      <c r="BE2490" s="33" t="n">
        <f aca="false">AZ2490-BD2490</f>
        <v>0</v>
      </c>
      <c r="BF2490" s="34" t="n">
        <f aca="false">BD2490*M2490</f>
        <v>4253.2</v>
      </c>
      <c r="BG2490" s="35" t="n">
        <f aca="false">BA2490-BF2490</f>
        <v>-0.199999999999818</v>
      </c>
      <c r="BH2490" s="19" t="str">
        <f aca="false">IF(BG2490=0,"",IF(BG2490&lt;&gt;BA2490,"erreur de calcul",IF(BD2490&lt;&gt;0,"pas de prix",IF(M2490&lt;&gt; 0,"pas de quantité","pas de prix, ni de quantité"))))</f>
        <v>erreur de calcul</v>
      </c>
      <c r="BI2490" s="19"/>
    </row>
    <row r="2491" customFormat="false" ht="15" hidden="false" customHeight="false" outlineLevel="0" collapsed="false">
      <c r="A2491" s="0" t="n">
        <v>32</v>
      </c>
      <c r="B2491" s="8" t="s">
        <v>24</v>
      </c>
      <c r="C2491" s="9" t="s">
        <v>25</v>
      </c>
      <c r="D2491" s="9" t="s">
        <v>26</v>
      </c>
      <c r="E2491" s="10" t="n">
        <v>1789</v>
      </c>
      <c r="F2491" s="9" t="s">
        <v>27</v>
      </c>
      <c r="G2491" s="9" t="s">
        <v>27</v>
      </c>
      <c r="H2491" s="11" t="n">
        <v>18</v>
      </c>
      <c r="I2491" s="11" t="s">
        <v>105</v>
      </c>
      <c r="J2491" s="14" t="n">
        <v>570</v>
      </c>
      <c r="K2491" s="14"/>
      <c r="L2491" s="16"/>
      <c r="M2491" s="27" t="n">
        <f aca="false">J2491+(K2491/20)+(L2491/240)</f>
        <v>570</v>
      </c>
      <c r="N2491" s="17" t="s">
        <v>64</v>
      </c>
      <c r="O2491" s="11"/>
      <c r="P2491" s="28"/>
      <c r="Q2491" s="28" t="n">
        <f aca="false">P2491*$M2491</f>
        <v>0</v>
      </c>
      <c r="R2491" s="28"/>
      <c r="S2491" s="28" t="n">
        <f aca="false">R2491*$M2491</f>
        <v>0</v>
      </c>
      <c r="T2491" s="28" t="n">
        <f aca="false">7423/100</f>
        <v>74.23</v>
      </c>
      <c r="U2491" s="28" t="n">
        <v>42311</v>
      </c>
      <c r="V2491" s="28" t="n">
        <f aca="false">798/100</f>
        <v>7.98</v>
      </c>
      <c r="W2491" s="28" t="n">
        <v>4549</v>
      </c>
      <c r="X2491" s="29" t="n">
        <f aca="false">2068/100</f>
        <v>20.68</v>
      </c>
      <c r="Y2491" s="28" t="n">
        <v>8368</v>
      </c>
      <c r="Z2491" s="28"/>
      <c r="AA2491" s="28" t="n">
        <f aca="false">Z2491*$M2491</f>
        <v>0</v>
      </c>
      <c r="AB2491" s="28" t="n">
        <f aca="false">226/100</f>
        <v>2.26</v>
      </c>
      <c r="AC2491" s="28" t="n">
        <v>1288</v>
      </c>
      <c r="AD2491" s="28"/>
      <c r="AE2491" s="28" t="n">
        <f aca="false">AD2491*$M2491</f>
        <v>0</v>
      </c>
      <c r="AF2491" s="28"/>
      <c r="AG2491" s="28" t="n">
        <f aca="false">AF2491*$M2491</f>
        <v>0</v>
      </c>
      <c r="AH2491" s="28"/>
      <c r="AI2491" s="28" t="n">
        <f aca="false">AH2491*$M2491</f>
        <v>0</v>
      </c>
      <c r="AJ2491" s="28"/>
      <c r="AK2491" s="28" t="n">
        <f aca="false">AJ2491*$M2491</f>
        <v>0</v>
      </c>
      <c r="AL2491" s="28"/>
      <c r="AM2491" s="28" t="n">
        <f aca="false">AL2491*$M2491</f>
        <v>0</v>
      </c>
      <c r="AN2491" s="28"/>
      <c r="AO2491" s="28" t="n">
        <f aca="false">AN2491*$M2491</f>
        <v>0</v>
      </c>
      <c r="AP2491" s="28"/>
      <c r="AQ2491" s="28" t="n">
        <f aca="false">AP2491*$M2491</f>
        <v>0</v>
      </c>
      <c r="AR2491" s="28"/>
      <c r="AS2491" s="28" t="n">
        <f aca="false">AR2491*$M2491</f>
        <v>0</v>
      </c>
      <c r="AT2491" s="28"/>
      <c r="AU2491" s="28" t="n">
        <f aca="false">AT2491*$M2491</f>
        <v>0</v>
      </c>
      <c r="AV2491" s="28"/>
      <c r="AW2491" s="28" t="n">
        <f aca="false">AV2491*$M2491</f>
        <v>0</v>
      </c>
      <c r="AX2491" s="28"/>
      <c r="AY2491" s="28" t="n">
        <f aca="false">AX2491*$M2491</f>
        <v>0</v>
      </c>
      <c r="AZ2491" s="30" t="n">
        <f aca="false">10515/100</f>
        <v>105.15</v>
      </c>
      <c r="BA2491" s="11" t="n">
        <v>56516</v>
      </c>
      <c r="BB2491" s="31" t="n">
        <f aca="false">SUM(Q2491,S2491,U2491,W2491,Y2491,AA2491,AC2491,AE2491,AG2491,AI2491,AK2491,AM2491,AO2491,AQ2491,AS2491,AU2491,AW2491,AY2491)</f>
        <v>56516</v>
      </c>
      <c r="BC2491" s="28" t="n">
        <f aca="false">BA2491-BB2491</f>
        <v>0</v>
      </c>
      <c r="BD2491" s="32" t="n">
        <f aca="false">SUM(P2491,R2491,T2491,V2491,X2491,Z2491,AB2491,AD2491,AF2491,AH2491,AJ2491,AL2491,AN2491,AP2491,AR2491,AT2491,AV2491,AX2491)</f>
        <v>105.15</v>
      </c>
      <c r="BE2491" s="33" t="n">
        <f aca="false">AZ2491-BD2491</f>
        <v>0</v>
      </c>
      <c r="BF2491" s="34" t="n">
        <f aca="false">BD2491*M2491</f>
        <v>59935.5</v>
      </c>
      <c r="BG2491" s="35" t="n">
        <f aca="false">BA2491-BF2491</f>
        <v>-3419.5</v>
      </c>
      <c r="BH2491" s="19" t="str">
        <f aca="false">IF(BG2491=0,"",IF(BG2491&lt;&gt;BA2491,"erreur de calcul",IF(BD2491&lt;&gt;0,"pas de prix",IF(M2491&lt;&gt; 0,"pas de quantité","pas de prix, ni de quantité"))))</f>
        <v>erreur de calcul</v>
      </c>
      <c r="BI2491" s="19"/>
    </row>
    <row r="2492" customFormat="false" ht="15" hidden="false" customHeight="false" outlineLevel="0" collapsed="false">
      <c r="A2492" s="0" t="n">
        <v>33</v>
      </c>
      <c r="B2492" s="8" t="s">
        <v>24</v>
      </c>
      <c r="C2492" s="9" t="s">
        <v>25</v>
      </c>
      <c r="D2492" s="9" t="s">
        <v>26</v>
      </c>
      <c r="E2492" s="10" t="n">
        <v>1789</v>
      </c>
      <c r="F2492" s="9" t="s">
        <v>27</v>
      </c>
      <c r="G2492" s="9" t="s">
        <v>27</v>
      </c>
      <c r="H2492" s="11" t="n">
        <v>18</v>
      </c>
      <c r="I2492" s="11" t="s">
        <v>106</v>
      </c>
      <c r="J2492" s="14"/>
      <c r="K2492" s="14" t="n">
        <v>40</v>
      </c>
      <c r="L2492" s="16"/>
      <c r="M2492" s="27" t="n">
        <f aca="false">J2492+(K2492/20)+(L2492/240)</f>
        <v>2</v>
      </c>
      <c r="N2492" s="17" t="s">
        <v>66</v>
      </c>
      <c r="O2492" s="11"/>
      <c r="P2492" s="28"/>
      <c r="Q2492" s="28" t="n">
        <f aca="false">P2492*$M2492</f>
        <v>0</v>
      </c>
      <c r="R2492" s="28"/>
      <c r="S2492" s="28" t="n">
        <f aca="false">R2492*$M2492</f>
        <v>0</v>
      </c>
      <c r="T2492" s="28"/>
      <c r="U2492" s="28" t="n">
        <f aca="false">T2492*$M2492</f>
        <v>0</v>
      </c>
      <c r="V2492" s="28" t="n">
        <v>892</v>
      </c>
      <c r="W2492" s="28" t="n">
        <v>1784</v>
      </c>
      <c r="X2492" s="29"/>
      <c r="Y2492" s="28" t="n">
        <f aca="false">X2492*$M2492</f>
        <v>0</v>
      </c>
      <c r="Z2492" s="28"/>
      <c r="AA2492" s="28" t="n">
        <f aca="false">Z2492*$M2492</f>
        <v>0</v>
      </c>
      <c r="AB2492" s="28"/>
      <c r="AC2492" s="28" t="n">
        <f aca="false">AB2492*$M2492</f>
        <v>0</v>
      </c>
      <c r="AD2492" s="28"/>
      <c r="AE2492" s="28" t="n">
        <f aca="false">AD2492*$M2492</f>
        <v>0</v>
      </c>
      <c r="AF2492" s="28"/>
      <c r="AG2492" s="28" t="n">
        <f aca="false">AF2492*$M2492</f>
        <v>0</v>
      </c>
      <c r="AH2492" s="28" t="n">
        <v>1961</v>
      </c>
      <c r="AI2492" s="28" t="n">
        <v>3922</v>
      </c>
      <c r="AJ2492" s="28"/>
      <c r="AK2492" s="28" t="n">
        <f aca="false">AJ2492*$M2492</f>
        <v>0</v>
      </c>
      <c r="AL2492" s="28"/>
      <c r="AM2492" s="28" t="n">
        <f aca="false">AL2492*$M2492</f>
        <v>0</v>
      </c>
      <c r="AN2492" s="28"/>
      <c r="AO2492" s="28" t="n">
        <f aca="false">AN2492*$M2492</f>
        <v>0</v>
      </c>
      <c r="AP2492" s="28"/>
      <c r="AQ2492" s="28" t="n">
        <f aca="false">AP2492*$M2492</f>
        <v>0</v>
      </c>
      <c r="AR2492" s="28"/>
      <c r="AS2492" s="28" t="n">
        <f aca="false">AR2492*$M2492</f>
        <v>0</v>
      </c>
      <c r="AT2492" s="28"/>
      <c r="AU2492" s="28" t="n">
        <f aca="false">AT2492*$M2492</f>
        <v>0</v>
      </c>
      <c r="AV2492" s="28"/>
      <c r="AW2492" s="28" t="n">
        <f aca="false">AV2492*$M2492</f>
        <v>0</v>
      </c>
      <c r="AX2492" s="28"/>
      <c r="AY2492" s="28" t="n">
        <f aca="false">AX2492*$M2492</f>
        <v>0</v>
      </c>
      <c r="AZ2492" s="30" t="n">
        <v>2853</v>
      </c>
      <c r="BA2492" s="11" t="n">
        <v>5706</v>
      </c>
      <c r="BB2492" s="31" t="n">
        <f aca="false">SUM(Q2492,S2492,U2492,W2492,Y2492,AA2492,AC2492,AE2492,AG2492,AI2492,AK2492,AM2492,AO2492,AQ2492,AS2492,AU2492,AW2492,AY2492)</f>
        <v>5706</v>
      </c>
      <c r="BC2492" s="28" t="n">
        <f aca="false">BA2492-BB2492</f>
        <v>0</v>
      </c>
      <c r="BD2492" s="32" t="n">
        <f aca="false">SUM(P2492,R2492,T2492,V2492,X2492,Z2492,AB2492,AD2492,AF2492,AH2492,AJ2492,AL2492,AN2492,AP2492,AR2492,AT2492,AV2492,AX2492)</f>
        <v>2853</v>
      </c>
      <c r="BE2492" s="33" t="n">
        <f aca="false">AZ2492-BD2492</f>
        <v>0</v>
      </c>
      <c r="BF2492" s="34" t="n">
        <f aca="false">BD2492*M2492</f>
        <v>5706</v>
      </c>
      <c r="BG2492" s="35" t="n">
        <f aca="false">BA2492-BF2492</f>
        <v>0</v>
      </c>
      <c r="BH2492" s="19" t="str">
        <f aca="false">IF(BG2492=0,"",IF(BG2492&lt;&gt;BA2492,"erreur de calcul",IF(BD2492&lt;&gt;0,"pas de prix",IF(M2492&lt;&gt; 0,"pas de quantité","pas de prix, ni de quantité"))))</f>
        <v/>
      </c>
      <c r="BI2492" s="19"/>
    </row>
    <row r="2493" customFormat="false" ht="15" hidden="false" customHeight="false" outlineLevel="0" collapsed="false">
      <c r="A2493" s="0" t="n">
        <v>34</v>
      </c>
      <c r="B2493" s="8" t="s">
        <v>24</v>
      </c>
      <c r="C2493" s="9" t="s">
        <v>25</v>
      </c>
      <c r="D2493" s="9" t="s">
        <v>26</v>
      </c>
      <c r="E2493" s="10" t="n">
        <v>1789</v>
      </c>
      <c r="F2493" s="9" t="s">
        <v>27</v>
      </c>
      <c r="G2493" s="9" t="s">
        <v>27</v>
      </c>
      <c r="H2493" s="11" t="n">
        <v>18</v>
      </c>
      <c r="I2493" s="11" t="s">
        <v>107</v>
      </c>
      <c r="J2493" s="14" t="n">
        <v>180</v>
      </c>
      <c r="K2493" s="14"/>
      <c r="L2493" s="16"/>
      <c r="M2493" s="27" t="n">
        <f aca="false">J2493+(K2493/20)+(L2493/240)</f>
        <v>180</v>
      </c>
      <c r="N2493" s="17" t="s">
        <v>64</v>
      </c>
      <c r="O2493" s="11"/>
      <c r="P2493" s="28"/>
      <c r="Q2493" s="28" t="n">
        <f aca="false">P2493*$M2493</f>
        <v>0</v>
      </c>
      <c r="R2493" s="28"/>
      <c r="S2493" s="28" t="n">
        <f aca="false">R2493*$M2493</f>
        <v>0</v>
      </c>
      <c r="T2493" s="28"/>
      <c r="U2493" s="28" t="n">
        <f aca="false">T2493*$M2493</f>
        <v>0</v>
      </c>
      <c r="V2493" s="28"/>
      <c r="W2493" s="28" t="n">
        <f aca="false">V2493*$M2493</f>
        <v>0</v>
      </c>
      <c r="X2493" s="29"/>
      <c r="Y2493" s="28" t="n">
        <f aca="false">X2493*$M2493</f>
        <v>0</v>
      </c>
      <c r="Z2493" s="28"/>
      <c r="AA2493" s="28" t="n">
        <f aca="false">Z2493*$M2493</f>
        <v>0</v>
      </c>
      <c r="AB2493" s="28"/>
      <c r="AC2493" s="28" t="n">
        <f aca="false">AB2493*$M2493</f>
        <v>0</v>
      </c>
      <c r="AD2493" s="28"/>
      <c r="AE2493" s="28" t="n">
        <f aca="false">AD2493*$M2493</f>
        <v>0</v>
      </c>
      <c r="AF2493" s="28"/>
      <c r="AG2493" s="28" t="n">
        <f aca="false">AF2493*$M2493</f>
        <v>0</v>
      </c>
      <c r="AH2493" s="28" t="n">
        <f aca="false">28680/100</f>
        <v>286.8</v>
      </c>
      <c r="AI2493" s="28" t="n">
        <v>51624</v>
      </c>
      <c r="AJ2493" s="28"/>
      <c r="AK2493" s="28" t="n">
        <f aca="false">AJ2493*$M2493</f>
        <v>0</v>
      </c>
      <c r="AL2493" s="28"/>
      <c r="AM2493" s="28" t="n">
        <f aca="false">AL2493*$M2493</f>
        <v>0</v>
      </c>
      <c r="AN2493" s="28"/>
      <c r="AO2493" s="28" t="n">
        <f aca="false">AN2493*$M2493</f>
        <v>0</v>
      </c>
      <c r="AP2493" s="28"/>
      <c r="AQ2493" s="28" t="n">
        <f aca="false">AP2493*$M2493</f>
        <v>0</v>
      </c>
      <c r="AR2493" s="28"/>
      <c r="AS2493" s="28" t="n">
        <f aca="false">AR2493*$M2493</f>
        <v>0</v>
      </c>
      <c r="AT2493" s="28"/>
      <c r="AU2493" s="28" t="n">
        <f aca="false">AT2493*$M2493</f>
        <v>0</v>
      </c>
      <c r="AV2493" s="28"/>
      <c r="AW2493" s="28" t="n">
        <f aca="false">AV2493*$M2493</f>
        <v>0</v>
      </c>
      <c r="AX2493" s="28"/>
      <c r="AY2493" s="28" t="n">
        <f aca="false">AX2493*$M2493</f>
        <v>0</v>
      </c>
      <c r="AZ2493" s="30" t="n">
        <f aca="false">28680/100</f>
        <v>286.8</v>
      </c>
      <c r="BA2493" s="11" t="n">
        <v>51624</v>
      </c>
      <c r="BB2493" s="31" t="n">
        <f aca="false">SUM(Q2493,S2493,U2493,W2493,Y2493,AA2493,AC2493,AE2493,AG2493,AI2493,AK2493,AM2493,AO2493,AQ2493,AS2493,AU2493,AW2493,AY2493)</f>
        <v>51624</v>
      </c>
      <c r="BC2493" s="28" t="n">
        <f aca="false">BA2493-BB2493</f>
        <v>0</v>
      </c>
      <c r="BD2493" s="32" t="n">
        <f aca="false">SUM(P2493,R2493,T2493,V2493,X2493,Z2493,AB2493,AD2493,AF2493,AH2493,AJ2493,AL2493,AN2493,AP2493,AR2493,AT2493,AV2493,AX2493)</f>
        <v>286.8</v>
      </c>
      <c r="BE2493" s="33" t="n">
        <f aca="false">AZ2493-BD2493</f>
        <v>0</v>
      </c>
      <c r="BF2493" s="34" t="n">
        <f aca="false">BD2493*M2493</f>
        <v>51624</v>
      </c>
      <c r="BG2493" s="35" t="n">
        <f aca="false">BA2493-BF2493</f>
        <v>0</v>
      </c>
      <c r="BH2493" s="19" t="str">
        <f aca="false">IF(BG2493=0,"",IF(BG2493&lt;&gt;BA2493,"erreur de calcul",IF(BD2493&lt;&gt;0,"pas de prix",IF(M2493&lt;&gt; 0,"pas de quantité","pas de prix, ni de quantité"))))</f>
        <v/>
      </c>
      <c r="BI2493" s="19"/>
    </row>
    <row r="2494" customFormat="false" ht="15" hidden="false" customHeight="false" outlineLevel="0" collapsed="false">
      <c r="A2494" s="0" t="n">
        <v>35</v>
      </c>
      <c r="B2494" s="8" t="s">
        <v>24</v>
      </c>
      <c r="C2494" s="9" t="s">
        <v>25</v>
      </c>
      <c r="D2494" s="9" t="s">
        <v>26</v>
      </c>
      <c r="E2494" s="10" t="n">
        <v>1789</v>
      </c>
      <c r="F2494" s="9" t="s">
        <v>27</v>
      </c>
      <c r="G2494" s="9" t="s">
        <v>27</v>
      </c>
      <c r="H2494" s="11" t="n">
        <v>18</v>
      </c>
      <c r="I2494" s="11" t="s">
        <v>108</v>
      </c>
      <c r="J2494" s="14" t="n">
        <v>11</v>
      </c>
      <c r="K2494" s="14"/>
      <c r="L2494" s="16"/>
      <c r="M2494" s="27" t="n">
        <f aca="false">J2494+(K2494/20)+(L2494/240)</f>
        <v>11</v>
      </c>
      <c r="N2494" s="17" t="s">
        <v>64</v>
      </c>
      <c r="O2494" s="11" t="s">
        <v>109</v>
      </c>
      <c r="P2494" s="28"/>
      <c r="Q2494" s="28" t="n">
        <f aca="false">P2494*$M2494</f>
        <v>0</v>
      </c>
      <c r="R2494" s="28"/>
      <c r="S2494" s="28" t="n">
        <f aca="false">R2494*$M2494</f>
        <v>0</v>
      </c>
      <c r="T2494" s="28"/>
      <c r="U2494" s="28" t="n">
        <f aca="false">T2494*$M2494</f>
        <v>0</v>
      </c>
      <c r="V2494" s="28"/>
      <c r="W2494" s="28" t="n">
        <f aca="false">V2494*$M2494</f>
        <v>0</v>
      </c>
      <c r="X2494" s="29"/>
      <c r="Y2494" s="28" t="n">
        <f aca="false">X2494*$M2494</f>
        <v>0</v>
      </c>
      <c r="Z2494" s="28"/>
      <c r="AA2494" s="28" t="n">
        <f aca="false">Z2494*$M2494</f>
        <v>0</v>
      </c>
      <c r="AB2494" s="28"/>
      <c r="AC2494" s="28" t="n">
        <f aca="false">AB2494*$M2494</f>
        <v>0</v>
      </c>
      <c r="AD2494" s="28"/>
      <c r="AE2494" s="28" t="n">
        <f aca="false">AD2494*$M2494</f>
        <v>0</v>
      </c>
      <c r="AF2494" s="28"/>
      <c r="AG2494" s="28" t="n">
        <f aca="false">AF2494*$M2494</f>
        <v>0</v>
      </c>
      <c r="AH2494" s="28"/>
      <c r="AI2494" s="28" t="n">
        <f aca="false">AH2494*$M2494</f>
        <v>0</v>
      </c>
      <c r="AJ2494" s="28" t="n">
        <f aca="false">1784/100</f>
        <v>17.84</v>
      </c>
      <c r="AK2494" s="28" t="n">
        <v>196</v>
      </c>
      <c r="AL2494" s="28" t="n">
        <f aca="false">7942/100</f>
        <v>79.42</v>
      </c>
      <c r="AM2494" s="28" t="n">
        <v>874</v>
      </c>
      <c r="AN2494" s="28"/>
      <c r="AO2494" s="28" t="n">
        <f aca="false">AN2494*$M2494</f>
        <v>0</v>
      </c>
      <c r="AP2494" s="28" t="n">
        <f aca="false">13980/100</f>
        <v>139.8</v>
      </c>
      <c r="AQ2494" s="28" t="n">
        <v>1538</v>
      </c>
      <c r="AR2494" s="28" t="n">
        <f aca="false">96390/100</f>
        <v>963.9</v>
      </c>
      <c r="AS2494" s="28" t="n">
        <v>10603</v>
      </c>
      <c r="AT2494" s="28"/>
      <c r="AU2494" s="28" t="n">
        <f aca="false">AT2494*$M2494</f>
        <v>0</v>
      </c>
      <c r="AV2494" s="28"/>
      <c r="AW2494" s="28" t="n">
        <f aca="false">AV2494*$M2494</f>
        <v>0</v>
      </c>
      <c r="AX2494" s="28"/>
      <c r="AY2494" s="28" t="n">
        <f aca="false">AX2494*$M2494</f>
        <v>0</v>
      </c>
      <c r="AZ2494" s="30" t="n">
        <f aca="false">120096/100</f>
        <v>1200.96</v>
      </c>
      <c r="BA2494" s="11" t="n">
        <v>13211</v>
      </c>
      <c r="BB2494" s="31" t="n">
        <f aca="false">SUM(Q2494,S2494,U2494,W2494,Y2494,AA2494,AC2494,AE2494,AG2494,AI2494,AK2494,AM2494,AO2494,AQ2494,AS2494,AU2494,AW2494,AY2494)</f>
        <v>13211</v>
      </c>
      <c r="BC2494" s="28" t="n">
        <f aca="false">BA2494-BB2494</f>
        <v>0</v>
      </c>
      <c r="BD2494" s="32" t="n">
        <f aca="false">SUM(P2494,R2494,T2494,V2494,X2494,Z2494,AB2494,AD2494,AF2494,AH2494,AJ2494,AL2494,AN2494,AP2494,AR2494,AT2494,AV2494,AX2494)</f>
        <v>1200.96</v>
      </c>
      <c r="BE2494" s="33" t="n">
        <f aca="false">AZ2494-BD2494</f>
        <v>0</v>
      </c>
      <c r="BF2494" s="34" t="n">
        <f aca="false">BD2494*M2494</f>
        <v>13210.56</v>
      </c>
      <c r="BG2494" s="35" t="n">
        <f aca="false">BA2494-BF2494</f>
        <v>0.43999999999869</v>
      </c>
      <c r="BH2494" s="19" t="str">
        <f aca="false">IF(BG2494=0,"",IF(BG2494&lt;&gt;BA2494,"erreur de calcul",IF(BD2494&lt;&gt;0,"pas de prix",IF(M2494&lt;&gt; 0,"pas de quantité","pas de prix, ni de quantité"))))</f>
        <v>erreur de calcul</v>
      </c>
      <c r="BI2494" s="19"/>
    </row>
    <row r="2495" customFormat="false" ht="15" hidden="false" customHeight="false" outlineLevel="0" collapsed="false">
      <c r="A2495" s="0" t="n">
        <v>36</v>
      </c>
      <c r="B2495" s="8" t="s">
        <v>24</v>
      </c>
      <c r="C2495" s="9" t="s">
        <v>25</v>
      </c>
      <c r="D2495" s="9" t="s">
        <v>26</v>
      </c>
      <c r="E2495" s="10" t="n">
        <v>1789</v>
      </c>
      <c r="F2495" s="9" t="s">
        <v>27</v>
      </c>
      <c r="G2495" s="9" t="s">
        <v>27</v>
      </c>
      <c r="H2495" s="11" t="n">
        <v>18</v>
      </c>
      <c r="I2495" s="11" t="s">
        <v>110</v>
      </c>
      <c r="J2495" s="14" t="n">
        <v>12</v>
      </c>
      <c r="K2495" s="14"/>
      <c r="L2495" s="16"/>
      <c r="M2495" s="27" t="n">
        <f aca="false">J2495+(K2495/20)+(L2495/240)</f>
        <v>12</v>
      </c>
      <c r="N2495" s="17" t="s">
        <v>64</v>
      </c>
      <c r="O2495" s="11" t="s">
        <v>109</v>
      </c>
      <c r="P2495" s="28" t="n">
        <f aca="false">30663/100</f>
        <v>306.63</v>
      </c>
      <c r="Q2495" s="28" t="n">
        <v>3679</v>
      </c>
      <c r="R2495" s="28"/>
      <c r="S2495" s="28" t="n">
        <f aca="false">R2495*$M2495</f>
        <v>0</v>
      </c>
      <c r="T2495" s="28"/>
      <c r="U2495" s="28" t="n">
        <f aca="false">T2495*$M2495</f>
        <v>0</v>
      </c>
      <c r="V2495" s="28"/>
      <c r="W2495" s="28" t="n">
        <f aca="false">V2495*$M2495</f>
        <v>0</v>
      </c>
      <c r="X2495" s="29"/>
      <c r="Y2495" s="28" t="n">
        <f aca="false">X2495*$M2495</f>
        <v>0</v>
      </c>
      <c r="Z2495" s="28"/>
      <c r="AA2495" s="28" t="n">
        <f aca="false">Z2495*$M2495</f>
        <v>0</v>
      </c>
      <c r="AB2495" s="28"/>
      <c r="AC2495" s="28" t="n">
        <f aca="false">AB2495*$M2495</f>
        <v>0</v>
      </c>
      <c r="AD2495" s="28"/>
      <c r="AE2495" s="28" t="n">
        <f aca="false">AD2495*$M2495</f>
        <v>0</v>
      </c>
      <c r="AF2495" s="28"/>
      <c r="AG2495" s="28" t="n">
        <f aca="false">AF2495*$M2495</f>
        <v>0</v>
      </c>
      <c r="AH2495" s="28"/>
      <c r="AI2495" s="28" t="n">
        <f aca="false">AH2495*$M2495</f>
        <v>0</v>
      </c>
      <c r="AJ2495" s="28"/>
      <c r="AK2495" s="28" t="n">
        <f aca="false">AJ2495*$M2495</f>
        <v>0</v>
      </c>
      <c r="AL2495" s="28" t="n">
        <f aca="false">114207/100</f>
        <v>1142.07</v>
      </c>
      <c r="AM2495" s="28" t="n">
        <v>13705</v>
      </c>
      <c r="AN2495" s="28" t="n">
        <f aca="false">2100/100</f>
        <v>21</v>
      </c>
      <c r="AO2495" s="28" t="n">
        <v>252</v>
      </c>
      <c r="AP2495" s="28" t="n">
        <f aca="false">16107/100</f>
        <v>161.07</v>
      </c>
      <c r="AQ2495" s="28" t="n">
        <v>1933</v>
      </c>
      <c r="AR2495" s="28" t="n">
        <f aca="false">553069/100</f>
        <v>5530.69</v>
      </c>
      <c r="AS2495" s="28" t="n">
        <v>66368</v>
      </c>
      <c r="AT2495" s="28" t="n">
        <f aca="false">6160/100</f>
        <v>61.6</v>
      </c>
      <c r="AU2495" s="28" t="n">
        <v>739</v>
      </c>
      <c r="AV2495" s="28" t="n">
        <f aca="false">2640/100</f>
        <v>26.4</v>
      </c>
      <c r="AW2495" s="28" t="n">
        <v>317</v>
      </c>
      <c r="AX2495" s="28" t="n">
        <f aca="false">8767/100</f>
        <v>87.67</v>
      </c>
      <c r="AY2495" s="36" t="n">
        <v>1085</v>
      </c>
      <c r="AZ2495" s="30" t="n">
        <f aca="false">733753/100</f>
        <v>7337.53</v>
      </c>
      <c r="BA2495" s="11" t="n">
        <v>88078</v>
      </c>
      <c r="BB2495" s="31" t="n">
        <f aca="false">SUM(Q2495,S2495,U2495,W2495,Y2495,AA2495,AC2495,AE2495,AG2495,AI2495,AK2495,AM2495,AO2495,AQ2495,AS2495,AU2495,AW2495,AY2495)</f>
        <v>88078</v>
      </c>
      <c r="BC2495" s="28" t="n">
        <f aca="false">BA2495-BB2495</f>
        <v>0</v>
      </c>
      <c r="BD2495" s="32" t="n">
        <f aca="false">SUM(P2495,R2495,T2495,V2495,X2495,Z2495,AB2495,AD2495,AF2495,AH2495,AJ2495,AL2495,AN2495,AP2495,AR2495,AT2495,AV2495,AX2495)</f>
        <v>7337.13</v>
      </c>
      <c r="BE2495" s="33" t="n">
        <f aca="false">AZ2495-BD2495</f>
        <v>0.400000000000546</v>
      </c>
      <c r="BF2495" s="34" t="n">
        <f aca="false">BD2495*M2495</f>
        <v>88045.56</v>
      </c>
      <c r="BG2495" s="35" t="n">
        <f aca="false">BA2495-BF2495</f>
        <v>32.4400000000023</v>
      </c>
      <c r="BH2495" s="19" t="str">
        <f aca="false">IF(BG2495=0,"",IF(BG2495&lt;&gt;BA2495,"erreur de calcul",IF(BD2495&lt;&gt;0,"pas de prix",IF(M2495&lt;&gt; 0,"pas de quantité","pas de prix, ni de quantité"))))</f>
        <v>erreur de calcul</v>
      </c>
      <c r="BI2495" s="19"/>
    </row>
    <row r="2496" customFormat="false" ht="15" hidden="false" customHeight="false" outlineLevel="0" collapsed="false">
      <c r="A2496" s="0" t="n">
        <v>37</v>
      </c>
      <c r="B2496" s="8" t="s">
        <v>24</v>
      </c>
      <c r="C2496" s="9" t="s">
        <v>25</v>
      </c>
      <c r="D2496" s="9" t="s">
        <v>26</v>
      </c>
      <c r="E2496" s="10" t="n">
        <v>1789</v>
      </c>
      <c r="F2496" s="9" t="s">
        <v>27</v>
      </c>
      <c r="G2496" s="9" t="s">
        <v>27</v>
      </c>
      <c r="H2496" s="11" t="n">
        <v>18</v>
      </c>
      <c r="I2496" s="11" t="s">
        <v>111</v>
      </c>
      <c r="J2496" s="14" t="n">
        <v>10</v>
      </c>
      <c r="K2496" s="14"/>
      <c r="L2496" s="16"/>
      <c r="M2496" s="27" t="n">
        <f aca="false">J2496+(K2496/20)+(L2496/240)</f>
        <v>10</v>
      </c>
      <c r="N2496" s="17" t="s">
        <v>64</v>
      </c>
      <c r="O2496" s="11"/>
      <c r="P2496" s="28"/>
      <c r="Q2496" s="28" t="n">
        <f aca="false">P2496*$M2496</f>
        <v>0</v>
      </c>
      <c r="R2496" s="28"/>
      <c r="S2496" s="28" t="n">
        <f aca="false">R2496*$M2496</f>
        <v>0</v>
      </c>
      <c r="T2496" s="28"/>
      <c r="U2496" s="28" t="n">
        <f aca="false">T2496*$M2496</f>
        <v>0</v>
      </c>
      <c r="V2496" s="28"/>
      <c r="W2496" s="28" t="n">
        <f aca="false">V2496*$M2496</f>
        <v>0</v>
      </c>
      <c r="X2496" s="29"/>
      <c r="Y2496" s="28" t="n">
        <f aca="false">X2496*$M2496</f>
        <v>0</v>
      </c>
      <c r="Z2496" s="28"/>
      <c r="AA2496" s="28" t="n">
        <f aca="false">Z2496*$M2496</f>
        <v>0</v>
      </c>
      <c r="AB2496" s="28"/>
      <c r="AC2496" s="28" t="n">
        <f aca="false">AB2496*$M2496</f>
        <v>0</v>
      </c>
      <c r="AD2496" s="28"/>
      <c r="AE2496" s="28" t="n">
        <f aca="false">AD2496*$M2496</f>
        <v>0</v>
      </c>
      <c r="AF2496" s="28"/>
      <c r="AG2496" s="28" t="n">
        <f aca="false">AF2496*$M2496</f>
        <v>0</v>
      </c>
      <c r="AH2496" s="28"/>
      <c r="AI2496" s="28" t="n">
        <f aca="false">AH2496*$M2496</f>
        <v>0</v>
      </c>
      <c r="AJ2496" s="28"/>
      <c r="AK2496" s="28" t="n">
        <f aca="false">AJ2496*$M2496</f>
        <v>0</v>
      </c>
      <c r="AL2496" s="28"/>
      <c r="AM2496" s="28" t="n">
        <f aca="false">AL2496*$M2496</f>
        <v>0</v>
      </c>
      <c r="AN2496" s="28"/>
      <c r="AO2496" s="28" t="n">
        <f aca="false">AN2496*$M2496</f>
        <v>0</v>
      </c>
      <c r="AP2496" s="28"/>
      <c r="AQ2496" s="28" t="n">
        <f aca="false">AP2496*$M2496</f>
        <v>0</v>
      </c>
      <c r="AR2496" s="28"/>
      <c r="AS2496" s="28" t="n">
        <f aca="false">AR2496*$M2496</f>
        <v>0</v>
      </c>
      <c r="AT2496" s="28"/>
      <c r="AU2496" s="28" t="n">
        <f aca="false">AT2496*$M2496</f>
        <v>0</v>
      </c>
      <c r="AV2496" s="28"/>
      <c r="AW2496" s="28" t="n">
        <f aca="false">AV2496*$M2496</f>
        <v>0</v>
      </c>
      <c r="AX2496" s="28" t="n">
        <f aca="false">16133/100</f>
        <v>161.33</v>
      </c>
      <c r="AY2496" s="28" t="n">
        <v>1613</v>
      </c>
      <c r="AZ2496" s="30"/>
      <c r="BA2496" s="11" t="n">
        <v>1613</v>
      </c>
      <c r="BB2496" s="31" t="n">
        <f aca="false">SUM(Q2496,S2496,U2496,W2496,Y2496,AA2496,AC2496,AE2496,AG2496,AI2496,AK2496,AM2496,AO2496,AQ2496,AS2496,AU2496,AW2496,AY2496)</f>
        <v>1613</v>
      </c>
      <c r="BC2496" s="28" t="n">
        <f aca="false">BA2496-BB2496</f>
        <v>0</v>
      </c>
      <c r="BD2496" s="32" t="n">
        <f aca="false">SUM(P2496,R2496,T2496,V2496,X2496,Z2496,AB2496,AD2496,AF2496,AH2496,AJ2496,AL2496,AN2496,AP2496,AR2496,AT2496,AV2496,AX2496)</f>
        <v>161.33</v>
      </c>
      <c r="BE2496" s="33" t="n">
        <f aca="false">AZ2496-BD2496</f>
        <v>-161.33</v>
      </c>
      <c r="BF2496" s="34" t="n">
        <f aca="false">BD2496*M2496</f>
        <v>1613.3</v>
      </c>
      <c r="BG2496" s="35" t="n">
        <f aca="false">BA2496-BF2496</f>
        <v>-0.300000000000182</v>
      </c>
      <c r="BH2496" s="19" t="str">
        <f aca="false">IF(BG2496=0,"",IF(BG2496&lt;&gt;BA2496,"erreur de calcul",IF(BD2496&lt;&gt;0,"pas de prix",IF(M2496&lt;&gt; 0,"pas de quantité","pas de prix, ni de quantité"))))</f>
        <v>erreur de calcul</v>
      </c>
      <c r="BI2496" s="19"/>
    </row>
    <row r="2497" customFormat="false" ht="15" hidden="false" customHeight="false" outlineLevel="0" collapsed="false">
      <c r="A2497" s="0" t="n">
        <v>38</v>
      </c>
      <c r="B2497" s="8" t="s">
        <v>24</v>
      </c>
      <c r="C2497" s="9" t="s">
        <v>25</v>
      </c>
      <c r="D2497" s="9" t="s">
        <v>26</v>
      </c>
      <c r="E2497" s="10" t="n">
        <v>1789</v>
      </c>
      <c r="F2497" s="9" t="s">
        <v>27</v>
      </c>
      <c r="G2497" s="9" t="s">
        <v>27</v>
      </c>
      <c r="H2497" s="11" t="n">
        <v>18</v>
      </c>
      <c r="I2497" s="11" t="s">
        <v>112</v>
      </c>
      <c r="J2497" s="14" t="n">
        <v>100</v>
      </c>
      <c r="K2497" s="14"/>
      <c r="L2497" s="16"/>
      <c r="M2497" s="27" t="n">
        <f aca="false">J2497+(K2497/20)+(L2497/240)</f>
        <v>100</v>
      </c>
      <c r="N2497" s="17" t="s">
        <v>64</v>
      </c>
      <c r="O2497" s="11"/>
      <c r="P2497" s="28" t="n">
        <f aca="false">69730/100</f>
        <v>697.3</v>
      </c>
      <c r="Q2497" s="28" t="n">
        <v>69730</v>
      </c>
      <c r="R2497" s="28"/>
      <c r="S2497" s="28" t="n">
        <f aca="false">R2497*$M2497</f>
        <v>0</v>
      </c>
      <c r="T2497" s="28"/>
      <c r="U2497" s="28" t="n">
        <f aca="false">T2497*$M2497</f>
        <v>0</v>
      </c>
      <c r="V2497" s="28"/>
      <c r="W2497" s="28" t="n">
        <f aca="false">V2497*$M2497</f>
        <v>0</v>
      </c>
      <c r="X2497" s="29"/>
      <c r="Y2497" s="28" t="n">
        <f aca="false">X2497*$M2497</f>
        <v>0</v>
      </c>
      <c r="Z2497" s="28"/>
      <c r="AA2497" s="28" t="n">
        <f aca="false">Z2497*$M2497</f>
        <v>0</v>
      </c>
      <c r="AB2497" s="28"/>
      <c r="AC2497" s="28" t="n">
        <f aca="false">AB2497*$M2497</f>
        <v>0</v>
      </c>
      <c r="AD2497" s="28"/>
      <c r="AE2497" s="28" t="n">
        <f aca="false">AD2497*$M2497</f>
        <v>0</v>
      </c>
      <c r="AF2497" s="28"/>
      <c r="AG2497" s="28" t="n">
        <f aca="false">AF2497*$M2497</f>
        <v>0</v>
      </c>
      <c r="AH2497" s="28"/>
      <c r="AI2497" s="28" t="n">
        <f aca="false">AH2497*$M2497</f>
        <v>0</v>
      </c>
      <c r="AJ2497" s="28"/>
      <c r="AK2497" s="28" t="n">
        <f aca="false">AJ2497*$M2497</f>
        <v>0</v>
      </c>
      <c r="AL2497" s="28"/>
      <c r="AM2497" s="28" t="n">
        <f aca="false">AL2497*$M2497</f>
        <v>0</v>
      </c>
      <c r="AN2497" s="28"/>
      <c r="AO2497" s="28" t="n">
        <f aca="false">AN2497*$M2497</f>
        <v>0</v>
      </c>
      <c r="AP2497" s="28"/>
      <c r="AQ2497" s="28" t="n">
        <f aca="false">AP2497*$M2497</f>
        <v>0</v>
      </c>
      <c r="AR2497" s="28"/>
      <c r="AS2497" s="28" t="n">
        <f aca="false">AR2497*$M2497</f>
        <v>0</v>
      </c>
      <c r="AT2497" s="28"/>
      <c r="AU2497" s="28" t="n">
        <f aca="false">AT2497*$M2497</f>
        <v>0</v>
      </c>
      <c r="AV2497" s="28"/>
      <c r="AW2497" s="28" t="n">
        <f aca="false">AV2497*$M2497</f>
        <v>0</v>
      </c>
      <c r="AX2497" s="28"/>
      <c r="AY2497" s="28" t="n">
        <f aca="false">AX2497*$M2497</f>
        <v>0</v>
      </c>
      <c r="AZ2497" s="30" t="n">
        <f aca="false">69730/100</f>
        <v>697.3</v>
      </c>
      <c r="BA2497" s="11" t="n">
        <v>69730</v>
      </c>
      <c r="BB2497" s="31" t="n">
        <f aca="false">SUM(Q2497,S2497,U2497,W2497,Y2497,AA2497,AC2497,AE2497,AG2497,AI2497,AK2497,AM2497,AO2497,AQ2497,AS2497,AU2497,AW2497,AY2497)</f>
        <v>69730</v>
      </c>
      <c r="BC2497" s="28" t="n">
        <f aca="false">BA2497-BB2497</f>
        <v>0</v>
      </c>
      <c r="BD2497" s="32" t="n">
        <f aca="false">SUM(P2497,R2497,T2497,V2497,X2497,Z2497,AB2497,AD2497,AF2497,AH2497,AJ2497,AL2497,AN2497,AP2497,AR2497,AT2497,AV2497,AX2497)</f>
        <v>697.3</v>
      </c>
      <c r="BE2497" s="33" t="n">
        <f aca="false">AZ2497-BD2497</f>
        <v>0</v>
      </c>
      <c r="BF2497" s="34" t="n">
        <f aca="false">BD2497*M2497</f>
        <v>69730</v>
      </c>
      <c r="BG2497" s="35" t="n">
        <f aca="false">BA2497-BF2497</f>
        <v>0</v>
      </c>
      <c r="BH2497" s="19" t="str">
        <f aca="false">IF(BG2497=0,"",IF(BG2497&lt;&gt;BA2497,"erreur de calcul",IF(BD2497&lt;&gt;0,"pas de prix",IF(M2497&lt;&gt; 0,"pas de quantité","pas de prix, ni de quantité"))))</f>
        <v/>
      </c>
      <c r="BI2497" s="19" t="s">
        <v>113</v>
      </c>
    </row>
    <row r="2498" customFormat="false" ht="15" hidden="false" customHeight="false" outlineLevel="0" collapsed="false">
      <c r="A2498" s="0" t="n">
        <v>39</v>
      </c>
      <c r="B2498" s="8" t="s">
        <v>24</v>
      </c>
      <c r="C2498" s="9" t="s">
        <v>25</v>
      </c>
      <c r="D2498" s="9" t="s">
        <v>26</v>
      </c>
      <c r="E2498" s="10" t="n">
        <v>1789</v>
      </c>
      <c r="F2498" s="9" t="s">
        <v>27</v>
      </c>
      <c r="G2498" s="9" t="s">
        <v>27</v>
      </c>
      <c r="H2498" s="11" t="n">
        <v>18</v>
      </c>
      <c r="I2498" s="11" t="s">
        <v>112</v>
      </c>
      <c r="J2498" s="14" t="n">
        <v>50</v>
      </c>
      <c r="K2498" s="14"/>
      <c r="L2498" s="16"/>
      <c r="M2498" s="27" t="n">
        <f aca="false">J2498+(K2498/20)+(L2498/240)</f>
        <v>50</v>
      </c>
      <c r="N2498" s="17" t="s">
        <v>64</v>
      </c>
      <c r="O2498" s="11"/>
      <c r="P2498" s="28"/>
      <c r="Q2498" s="28" t="n">
        <f aca="false">P2498*$M2498</f>
        <v>0</v>
      </c>
      <c r="R2498" s="28"/>
      <c r="S2498" s="28" t="n">
        <f aca="false">R2498*$M2498</f>
        <v>0</v>
      </c>
      <c r="T2498" s="28"/>
      <c r="U2498" s="28" t="n">
        <f aca="false">T2498*$M2498</f>
        <v>0</v>
      </c>
      <c r="V2498" s="28" t="n">
        <f aca="false">38043/100</f>
        <v>380.43</v>
      </c>
      <c r="W2498" s="28" t="n">
        <v>19021</v>
      </c>
      <c r="X2498" s="29" t="n">
        <f aca="false">10658/100</f>
        <v>106.58</v>
      </c>
      <c r="Y2498" s="28" t="n">
        <v>5329</v>
      </c>
      <c r="Z2498" s="28"/>
      <c r="AA2498" s="28" t="n">
        <f aca="false">Z2498*$M2498</f>
        <v>0</v>
      </c>
      <c r="AB2498" s="28"/>
      <c r="AC2498" s="28" t="n">
        <f aca="false">AB2498*$M2498</f>
        <v>0</v>
      </c>
      <c r="AD2498" s="28"/>
      <c r="AE2498" s="28" t="n">
        <f aca="false">AD2498*$M2498</f>
        <v>0</v>
      </c>
      <c r="AF2498" s="28"/>
      <c r="AG2498" s="28" t="n">
        <f aca="false">AF2498*$M2498</f>
        <v>0</v>
      </c>
      <c r="AH2498" s="28"/>
      <c r="AI2498" s="28" t="n">
        <f aca="false">AH2498*$M2498</f>
        <v>0</v>
      </c>
      <c r="AJ2498" s="28" t="n">
        <f aca="false">39321/100</f>
        <v>393.21</v>
      </c>
      <c r="AK2498" s="28" t="n">
        <v>19660</v>
      </c>
      <c r="AL2498" s="28"/>
      <c r="AM2498" s="28" t="n">
        <f aca="false">AL2498*$M2498</f>
        <v>0</v>
      </c>
      <c r="AN2498" s="28"/>
      <c r="AO2498" s="28" t="n">
        <f aca="false">AN2498*$M2498</f>
        <v>0</v>
      </c>
      <c r="AP2498" s="28"/>
      <c r="AQ2498" s="28" t="n">
        <f aca="false">AP2498*$M2498</f>
        <v>0</v>
      </c>
      <c r="AR2498" s="28"/>
      <c r="AS2498" s="28" t="n">
        <f aca="false">AR2498*$M2498</f>
        <v>0</v>
      </c>
      <c r="AT2498" s="28"/>
      <c r="AU2498" s="28" t="n">
        <f aca="false">AT2498*$M2498</f>
        <v>0</v>
      </c>
      <c r="AV2498" s="28"/>
      <c r="AW2498" s="28" t="n">
        <f aca="false">AV2498*$M2498</f>
        <v>0</v>
      </c>
      <c r="AX2498" s="28"/>
      <c r="AY2498" s="28" t="n">
        <f aca="false">AX2498*$M2498</f>
        <v>0</v>
      </c>
      <c r="AZ2498" s="30" t="n">
        <f aca="false">88022/100</f>
        <v>880.22</v>
      </c>
      <c r="BA2498" s="11" t="n">
        <v>44010</v>
      </c>
      <c r="BB2498" s="31" t="n">
        <f aca="false">SUM(Q2498,S2498,U2498,W2498,Y2498,AA2498,AC2498,AE2498,AG2498,AI2498,AK2498,AM2498,AO2498,AQ2498,AS2498,AU2498,AW2498,AY2498)</f>
        <v>44010</v>
      </c>
      <c r="BC2498" s="28" t="n">
        <f aca="false">BA2498-BB2498</f>
        <v>0</v>
      </c>
      <c r="BD2498" s="32" t="n">
        <f aca="false">SUM(P2498,R2498,T2498,V2498,X2498,Z2498,AB2498,AD2498,AF2498,AH2498,AJ2498,AL2498,AN2498,AP2498,AR2498,AT2498,AV2498,AX2498)</f>
        <v>880.22</v>
      </c>
      <c r="BE2498" s="33" t="n">
        <f aca="false">AZ2498-BD2498</f>
        <v>0</v>
      </c>
      <c r="BF2498" s="34" t="n">
        <f aca="false">BD2498*M2498</f>
        <v>44011</v>
      </c>
      <c r="BG2498" s="35" t="n">
        <f aca="false">BA2498-BF2498</f>
        <v>-1</v>
      </c>
      <c r="BH2498" s="19" t="str">
        <f aca="false">IF(BG2498=0,"",IF(BG2498&lt;&gt;BA2498,"erreur de calcul",IF(BD2498&lt;&gt;0,"pas de prix",IF(M2498&lt;&gt; 0,"pas de quantité","pas de prix, ni de quantité"))))</f>
        <v>erreur de calcul</v>
      </c>
      <c r="BI2498" s="19" t="s">
        <v>114</v>
      </c>
    </row>
    <row r="2499" customFormat="false" ht="15" hidden="false" customHeight="false" outlineLevel="0" collapsed="false">
      <c r="A2499" s="0" t="n">
        <v>40</v>
      </c>
      <c r="B2499" s="8" t="s">
        <v>24</v>
      </c>
      <c r="C2499" s="9" t="s">
        <v>25</v>
      </c>
      <c r="D2499" s="9" t="s">
        <v>26</v>
      </c>
      <c r="E2499" s="10" t="n">
        <v>1789</v>
      </c>
      <c r="F2499" s="9" t="s">
        <v>27</v>
      </c>
      <c r="G2499" s="9" t="s">
        <v>27</v>
      </c>
      <c r="H2499" s="11" t="n">
        <v>18</v>
      </c>
      <c r="I2499" s="11" t="s">
        <v>115</v>
      </c>
      <c r="J2499" s="14"/>
      <c r="K2499" s="14" t="n">
        <v>28</v>
      </c>
      <c r="L2499" s="16"/>
      <c r="M2499" s="27" t="n">
        <f aca="false">J2499+(K2499/20)+(L2499/240)</f>
        <v>1.4</v>
      </c>
      <c r="N2499" s="17" t="s">
        <v>66</v>
      </c>
      <c r="O2499" s="11" t="s">
        <v>98</v>
      </c>
      <c r="P2499" s="28"/>
      <c r="Q2499" s="28" t="n">
        <f aca="false">P2499*$M2499</f>
        <v>0</v>
      </c>
      <c r="R2499" s="28"/>
      <c r="S2499" s="28" t="n">
        <f aca="false">R2499*$M2499</f>
        <v>0</v>
      </c>
      <c r="T2499" s="28" t="n">
        <v>426</v>
      </c>
      <c r="U2499" s="28" t="n">
        <v>596</v>
      </c>
      <c r="V2499" s="28"/>
      <c r="W2499" s="28" t="n">
        <f aca="false">V2499*$M2499</f>
        <v>0</v>
      </c>
      <c r="X2499" s="29"/>
      <c r="Y2499" s="28" t="n">
        <f aca="false">X2499*$M2499</f>
        <v>0</v>
      </c>
      <c r="Z2499" s="28"/>
      <c r="AA2499" s="28" t="n">
        <f aca="false">Z2499*$M2499</f>
        <v>0</v>
      </c>
      <c r="AB2499" s="28"/>
      <c r="AC2499" s="28" t="n">
        <f aca="false">AB2499*$M2499</f>
        <v>0</v>
      </c>
      <c r="AD2499" s="28"/>
      <c r="AE2499" s="28" t="n">
        <f aca="false">AD2499*$M2499</f>
        <v>0</v>
      </c>
      <c r="AF2499" s="28"/>
      <c r="AG2499" s="28" t="n">
        <f aca="false">AF2499*$M2499</f>
        <v>0</v>
      </c>
      <c r="AH2499" s="28"/>
      <c r="AI2499" s="28" t="n">
        <f aca="false">AH2499*$M2499</f>
        <v>0</v>
      </c>
      <c r="AJ2499" s="28" t="n">
        <v>142</v>
      </c>
      <c r="AK2499" s="28" t="n">
        <v>199</v>
      </c>
      <c r="AL2499" s="28"/>
      <c r="AM2499" s="28" t="n">
        <f aca="false">AL2499*$M2499</f>
        <v>0</v>
      </c>
      <c r="AN2499" s="28"/>
      <c r="AO2499" s="28" t="n">
        <f aca="false">AN2499*$M2499</f>
        <v>0</v>
      </c>
      <c r="AP2499" s="28"/>
      <c r="AQ2499" s="28" t="n">
        <f aca="false">AP2499*$M2499</f>
        <v>0</v>
      </c>
      <c r="AR2499" s="28"/>
      <c r="AS2499" s="28" t="n">
        <f aca="false">AR2499*$M2499</f>
        <v>0</v>
      </c>
      <c r="AT2499" s="28"/>
      <c r="AU2499" s="28" t="n">
        <f aca="false">AT2499*$M2499</f>
        <v>0</v>
      </c>
      <c r="AV2499" s="28"/>
      <c r="AW2499" s="28" t="n">
        <f aca="false">AV2499*$M2499</f>
        <v>0</v>
      </c>
      <c r="AX2499" s="28"/>
      <c r="AY2499" s="28" t="n">
        <f aca="false">AX2499*$M2499</f>
        <v>0</v>
      </c>
      <c r="AZ2499" s="30" t="n">
        <v>568</v>
      </c>
      <c r="BA2499" s="11" t="n">
        <v>795</v>
      </c>
      <c r="BB2499" s="31" t="n">
        <f aca="false">SUM(Q2499,S2499,U2499,W2499,Y2499,AA2499,AC2499,AE2499,AG2499,AI2499,AK2499,AM2499,AO2499,AQ2499,AS2499,AU2499,AW2499,AY2499)</f>
        <v>795</v>
      </c>
      <c r="BC2499" s="28" t="n">
        <f aca="false">BA2499-BB2499</f>
        <v>0</v>
      </c>
      <c r="BD2499" s="32" t="n">
        <f aca="false">SUM(P2499,R2499,T2499,V2499,X2499,Z2499,AB2499,AD2499,AF2499,AH2499,AJ2499,AL2499,AN2499,AP2499,AR2499,AT2499,AV2499,AX2499)</f>
        <v>568</v>
      </c>
      <c r="BE2499" s="33" t="n">
        <f aca="false">AZ2499-BD2499</f>
        <v>0</v>
      </c>
      <c r="BF2499" s="34" t="n">
        <f aca="false">BD2499*M2499</f>
        <v>795.2</v>
      </c>
      <c r="BG2499" s="35" t="n">
        <f aca="false">BA2499-BF2499</f>
        <v>-0.199999999999932</v>
      </c>
      <c r="BH2499" s="19" t="str">
        <f aca="false">IF(BG2499=0,"",IF(BG2499&lt;&gt;BA2499,"erreur de calcul",IF(BD2499&lt;&gt;0,"pas de prix",IF(M2499&lt;&gt; 0,"pas de quantité","pas de prix, ni de quantité"))))</f>
        <v>erreur de calcul</v>
      </c>
      <c r="BI2499" s="19"/>
    </row>
    <row r="2500" customFormat="false" ht="15" hidden="false" customHeight="false" outlineLevel="0" collapsed="false">
      <c r="A2500" s="0" t="n">
        <v>41</v>
      </c>
      <c r="B2500" s="8" t="s">
        <v>24</v>
      </c>
      <c r="C2500" s="9" t="s">
        <v>25</v>
      </c>
      <c r="D2500" s="9" t="s">
        <v>26</v>
      </c>
      <c r="E2500" s="10" t="n">
        <v>1789</v>
      </c>
      <c r="F2500" s="9" t="s">
        <v>27</v>
      </c>
      <c r="G2500" s="9" t="s">
        <v>27</v>
      </c>
      <c r="H2500" s="11" t="n">
        <v>18</v>
      </c>
      <c r="I2500" s="11" t="s">
        <v>116</v>
      </c>
      <c r="J2500" s="14"/>
      <c r="K2500" s="14" t="n">
        <v>40</v>
      </c>
      <c r="L2500" s="16"/>
      <c r="M2500" s="27" t="n">
        <f aca="false">J2500+(K2500/20)+(L2500/240)</f>
        <v>2</v>
      </c>
      <c r="N2500" s="17" t="s">
        <v>66</v>
      </c>
      <c r="O2500" s="11"/>
      <c r="P2500" s="28"/>
      <c r="Q2500" s="28" t="n">
        <f aca="false">P2500*$M2500</f>
        <v>0</v>
      </c>
      <c r="R2500" s="28"/>
      <c r="S2500" s="28" t="n">
        <f aca="false">R2500*$M2500</f>
        <v>0</v>
      </c>
      <c r="T2500" s="28"/>
      <c r="U2500" s="28" t="n">
        <f aca="false">T2500*$M2500</f>
        <v>0</v>
      </c>
      <c r="V2500" s="28"/>
      <c r="W2500" s="28" t="n">
        <f aca="false">V2500*$M2500</f>
        <v>0</v>
      </c>
      <c r="X2500" s="29"/>
      <c r="Y2500" s="28" t="n">
        <f aca="false">X2500*$M2500</f>
        <v>0</v>
      </c>
      <c r="Z2500" s="28"/>
      <c r="AA2500" s="28" t="n">
        <f aca="false">Z2500*$M2500</f>
        <v>0</v>
      </c>
      <c r="AB2500" s="28"/>
      <c r="AC2500" s="28" t="n">
        <f aca="false">AB2500*$M2500</f>
        <v>0</v>
      </c>
      <c r="AD2500" s="28"/>
      <c r="AE2500" s="28" t="n">
        <f aca="false">AD2500*$M2500</f>
        <v>0</v>
      </c>
      <c r="AF2500" s="28"/>
      <c r="AG2500" s="28" t="n">
        <f aca="false">AF2500*$M2500</f>
        <v>0</v>
      </c>
      <c r="AH2500" s="28" t="n">
        <v>232710</v>
      </c>
      <c r="AI2500" s="28" t="n">
        <v>465420</v>
      </c>
      <c r="AJ2500" s="28"/>
      <c r="AK2500" s="28" t="n">
        <f aca="false">AJ2500*$M2500</f>
        <v>0</v>
      </c>
      <c r="AL2500" s="28"/>
      <c r="AM2500" s="28" t="n">
        <f aca="false">AL2500*$M2500</f>
        <v>0</v>
      </c>
      <c r="AN2500" s="28"/>
      <c r="AO2500" s="28" t="n">
        <f aca="false">AN2500*$M2500</f>
        <v>0</v>
      </c>
      <c r="AP2500" s="28"/>
      <c r="AQ2500" s="28" t="n">
        <f aca="false">AP2500*$M2500</f>
        <v>0</v>
      </c>
      <c r="AR2500" s="28"/>
      <c r="AS2500" s="28" t="n">
        <f aca="false">AR2500*$M2500</f>
        <v>0</v>
      </c>
      <c r="AT2500" s="28"/>
      <c r="AU2500" s="28" t="n">
        <f aca="false">AT2500*$M2500</f>
        <v>0</v>
      </c>
      <c r="AV2500" s="28"/>
      <c r="AW2500" s="28" t="n">
        <f aca="false">AV2500*$M2500</f>
        <v>0</v>
      </c>
      <c r="AX2500" s="28"/>
      <c r="AY2500" s="28" t="n">
        <f aca="false">AX2500*$M2500</f>
        <v>0</v>
      </c>
      <c r="AZ2500" s="30" t="n">
        <v>232710</v>
      </c>
      <c r="BA2500" s="11" t="n">
        <v>465420</v>
      </c>
      <c r="BB2500" s="31" t="n">
        <f aca="false">SUM(Q2500,S2500,U2500,W2500,Y2500,AA2500,AC2500,AE2500,AG2500,AI2500,AK2500,AM2500,AO2500,AQ2500,AS2500,AU2500,AW2500,AY2500)</f>
        <v>465420</v>
      </c>
      <c r="BC2500" s="28" t="n">
        <f aca="false">BA2500-BB2500</f>
        <v>0</v>
      </c>
      <c r="BD2500" s="32" t="n">
        <f aca="false">SUM(P2500,R2500,T2500,V2500,X2500,Z2500,AB2500,AD2500,AF2500,AH2500,AJ2500,AL2500,AN2500,AP2500,AR2500,AT2500,AV2500,AX2500)</f>
        <v>232710</v>
      </c>
      <c r="BE2500" s="33" t="n">
        <f aca="false">AZ2500-BD2500</f>
        <v>0</v>
      </c>
      <c r="BF2500" s="34" t="n">
        <f aca="false">BD2500*M2500</f>
        <v>465420</v>
      </c>
      <c r="BG2500" s="35" t="n">
        <f aca="false">BA2500-BF2500</f>
        <v>0</v>
      </c>
      <c r="BH2500" s="19" t="str">
        <f aca="false">IF(BG2500=0,"",IF(BG2500&lt;&gt;BA2500,"erreur de calcul",IF(BD2500&lt;&gt;0,"pas de prix",IF(M2500&lt;&gt; 0,"pas de quantité","pas de prix, ni de quantité"))))</f>
        <v/>
      </c>
      <c r="BI2500" s="19"/>
    </row>
    <row r="2501" customFormat="false" ht="15" hidden="false" customHeight="false" outlineLevel="0" collapsed="false">
      <c r="A2501" s="0" t="n">
        <v>1</v>
      </c>
      <c r="B2501" s="8" t="s">
        <v>24</v>
      </c>
      <c r="C2501" s="9" t="s">
        <v>25</v>
      </c>
      <c r="D2501" s="9" t="s">
        <v>26</v>
      </c>
      <c r="E2501" s="10" t="n">
        <v>1789</v>
      </c>
      <c r="F2501" s="9" t="s">
        <v>27</v>
      </c>
      <c r="G2501" s="9" t="s">
        <v>27</v>
      </c>
      <c r="H2501" s="11" t="n">
        <v>20</v>
      </c>
      <c r="I2501" s="11" t="s">
        <v>117</v>
      </c>
      <c r="J2501" s="14" t="n">
        <v>10</v>
      </c>
      <c r="K2501" s="14"/>
      <c r="L2501" s="16"/>
      <c r="M2501" s="27" t="n">
        <f aca="false">J2501+(K2501/20)+(L2501/240)</f>
        <v>10</v>
      </c>
      <c r="N2501" s="17" t="s">
        <v>64</v>
      </c>
      <c r="O2501" s="11"/>
      <c r="P2501" s="28" t="n">
        <f aca="false">2120/100</f>
        <v>21.2</v>
      </c>
      <c r="Q2501" s="28" t="n">
        <v>212</v>
      </c>
      <c r="R2501" s="28"/>
      <c r="S2501" s="28" t="n">
        <f aca="false">R2501*$M2501</f>
        <v>0</v>
      </c>
      <c r="T2501" s="28" t="n">
        <f aca="false">4184/100</f>
        <v>41.84</v>
      </c>
      <c r="U2501" s="28" t="n">
        <v>418</v>
      </c>
      <c r="V2501" s="28"/>
      <c r="W2501" s="28" t="n">
        <f aca="false">V2501*$M2501</f>
        <v>0</v>
      </c>
      <c r="X2501" s="28"/>
      <c r="Y2501" s="28" t="n">
        <f aca="false">X2501*$M2501</f>
        <v>0</v>
      </c>
      <c r="Z2501" s="28" t="n">
        <f aca="false">4467/100</f>
        <v>44.67</v>
      </c>
      <c r="AA2501" s="28" t="n">
        <v>447</v>
      </c>
      <c r="AB2501" s="28"/>
      <c r="AC2501" s="28" t="n">
        <f aca="false">AB2501*$M2501</f>
        <v>0</v>
      </c>
      <c r="AD2501" s="28"/>
      <c r="AE2501" s="28" t="n">
        <f aca="false">AD2501*$M2501</f>
        <v>0</v>
      </c>
      <c r="AF2501" s="28"/>
      <c r="AG2501" s="28" t="n">
        <f aca="false">AF2501*$M2501</f>
        <v>0</v>
      </c>
      <c r="AH2501" s="28" t="n">
        <f aca="false">37604/100</f>
        <v>376.04</v>
      </c>
      <c r="AI2501" s="28" t="n">
        <v>3760</v>
      </c>
      <c r="AJ2501" s="28"/>
      <c r="AK2501" s="28" t="n">
        <f aca="false">AJ2501*$M2501</f>
        <v>0</v>
      </c>
      <c r="AL2501" s="28"/>
      <c r="AM2501" s="28" t="n">
        <f aca="false">AL2501*$M2501</f>
        <v>0</v>
      </c>
      <c r="AN2501" s="28"/>
      <c r="AO2501" s="28" t="n">
        <f aca="false">AN2501*$M2501</f>
        <v>0</v>
      </c>
      <c r="AP2501" s="28"/>
      <c r="AQ2501" s="28" t="n">
        <f aca="false">AP2501*$M2501</f>
        <v>0</v>
      </c>
      <c r="AR2501" s="28"/>
      <c r="AS2501" s="28" t="n">
        <f aca="false">AR2501*$M2501</f>
        <v>0</v>
      </c>
      <c r="AT2501" s="28"/>
      <c r="AU2501" s="28" t="n">
        <f aca="false">AT2501*$M2501</f>
        <v>0</v>
      </c>
      <c r="AV2501" s="28"/>
      <c r="AW2501" s="28" t="n">
        <f aca="false">AV2501*$M2501</f>
        <v>0</v>
      </c>
      <c r="AX2501" s="28"/>
      <c r="AY2501" s="28" t="n">
        <f aca="false">AX2501*$M2501</f>
        <v>0</v>
      </c>
      <c r="AZ2501" s="30" t="n">
        <f aca="false">46255/100</f>
        <v>462.55</v>
      </c>
      <c r="BA2501" s="11" t="n">
        <v>4837</v>
      </c>
      <c r="BB2501" s="31" t="n">
        <f aca="false">SUM(Q2501,S2501,U2501,W2501,Y2501,AA2501,AC2501,AE2501,AG2501,AI2501,AK2501,AM2501,AO2501,AQ2501,AS2501,AU2501,AW2501,AY2501)</f>
        <v>4837</v>
      </c>
      <c r="BC2501" s="28" t="n">
        <f aca="false">BA2501-BB2501</f>
        <v>0</v>
      </c>
      <c r="BD2501" s="32" t="n">
        <f aca="false">SUM(P2501,R2501,T2501,V2501,X2501,Z2501,AB2501,AD2501,AF2501,AH2501,AJ2501,AL2501,AN2501,AP2501,AR2501,AT2501,AV2501,AX2501)</f>
        <v>483.75</v>
      </c>
      <c r="BE2501" s="33" t="n">
        <f aca="false">AZ2501-BD2501</f>
        <v>-21.2</v>
      </c>
      <c r="BF2501" s="34" t="n">
        <f aca="false">BD2501*M2501</f>
        <v>4837.5</v>
      </c>
      <c r="BG2501" s="35" t="n">
        <f aca="false">BA2501-BF2501</f>
        <v>-0.50000000000091</v>
      </c>
      <c r="BH2501" s="19" t="str">
        <f aca="false">IF(BG2501=0,"",IF(BG2501&lt;&gt;BA2501,"erreur de calcul",IF(BD2501&lt;&gt;0,"pas de prix",IF(M2501&lt;&gt; 0,"pas de quantité","pas de prix, ni de quantité"))))</f>
        <v>erreur de calcul</v>
      </c>
      <c r="BI2501" s="19"/>
    </row>
    <row r="2502" customFormat="false" ht="15" hidden="false" customHeight="false" outlineLevel="0" collapsed="false">
      <c r="A2502" s="0" t="n">
        <v>2</v>
      </c>
      <c r="B2502" s="8" t="s">
        <v>24</v>
      </c>
      <c r="C2502" s="9" t="s">
        <v>25</v>
      </c>
      <c r="D2502" s="9" t="s">
        <v>26</v>
      </c>
      <c r="E2502" s="10" t="n">
        <v>1789</v>
      </c>
      <c r="F2502" s="9" t="s">
        <v>27</v>
      </c>
      <c r="G2502" s="9" t="s">
        <v>27</v>
      </c>
      <c r="H2502" s="11" t="n">
        <v>20</v>
      </c>
      <c r="I2502" s="11" t="s">
        <v>118</v>
      </c>
      <c r="J2502" s="14" t="n">
        <v>10</v>
      </c>
      <c r="K2502" s="14"/>
      <c r="L2502" s="16"/>
      <c r="M2502" s="27" t="n">
        <f aca="false">J2502+(K2502/20)+(L2502/240)</f>
        <v>10</v>
      </c>
      <c r="N2502" s="17" t="s">
        <v>64</v>
      </c>
      <c r="O2502" s="11"/>
      <c r="P2502" s="28" t="n">
        <f aca="false">6450193/100</f>
        <v>64501.93</v>
      </c>
      <c r="Q2502" s="28" t="n">
        <v>645019</v>
      </c>
      <c r="R2502" s="28"/>
      <c r="S2502" s="28" t="n">
        <f aca="false">R2502*$M2502</f>
        <v>0</v>
      </c>
      <c r="T2502" s="28"/>
      <c r="U2502" s="28" t="n">
        <f aca="false">T2502*$M2502</f>
        <v>0</v>
      </c>
      <c r="V2502" s="28"/>
      <c r="W2502" s="28" t="n">
        <f aca="false">V2502*$M2502</f>
        <v>0</v>
      </c>
      <c r="X2502" s="28"/>
      <c r="Y2502" s="28" t="n">
        <f aca="false">X2502*$M2502</f>
        <v>0</v>
      </c>
      <c r="Z2502" s="28"/>
      <c r="AA2502" s="28" t="n">
        <f aca="false">Z2502*$M2502</f>
        <v>0</v>
      </c>
      <c r="AB2502" s="28" t="n">
        <f aca="false">601547/100</f>
        <v>6015.47</v>
      </c>
      <c r="AC2502" s="28" t="n">
        <v>60155</v>
      </c>
      <c r="AD2502" s="28"/>
      <c r="AE2502" s="28" t="n">
        <f aca="false">AD2502*$M2502</f>
        <v>0</v>
      </c>
      <c r="AF2502" s="28" t="n">
        <f aca="false">727551/100</f>
        <v>7275.51</v>
      </c>
      <c r="AG2502" s="28" t="n">
        <v>72755</v>
      </c>
      <c r="AH2502" s="28" t="n">
        <f aca="false">52982/100</f>
        <v>529.82</v>
      </c>
      <c r="AI2502" s="28" t="n">
        <v>5299</v>
      </c>
      <c r="AJ2502" s="28"/>
      <c r="AK2502" s="28" t="n">
        <f aca="false">AJ2502*$M2502</f>
        <v>0</v>
      </c>
      <c r="AL2502" s="28"/>
      <c r="AM2502" s="28" t="n">
        <f aca="false">AL2502*$M2502</f>
        <v>0</v>
      </c>
      <c r="AN2502" s="28"/>
      <c r="AO2502" s="28" t="n">
        <f aca="false">AN2502*$M2502</f>
        <v>0</v>
      </c>
      <c r="AP2502" s="28"/>
      <c r="AQ2502" s="28" t="n">
        <f aca="false">AP2502*$M2502</f>
        <v>0</v>
      </c>
      <c r="AR2502" s="28"/>
      <c r="AS2502" s="28" t="n">
        <f aca="false">AR2502*$M2502</f>
        <v>0</v>
      </c>
      <c r="AT2502" s="28"/>
      <c r="AU2502" s="28" t="n">
        <f aca="false">AT2502*$M2502</f>
        <v>0</v>
      </c>
      <c r="AV2502" s="28"/>
      <c r="AW2502" s="28" t="n">
        <f aca="false">AV2502*$M2502</f>
        <v>0</v>
      </c>
      <c r="AX2502" s="28"/>
      <c r="AY2502" s="28" t="n">
        <f aca="false">AX2502*$M2502</f>
        <v>0</v>
      </c>
      <c r="AZ2502" s="30" t="n">
        <f aca="false">7832273/100</f>
        <v>78322.73</v>
      </c>
      <c r="BA2502" s="11" t="n">
        <v>783228</v>
      </c>
      <c r="BB2502" s="31" t="n">
        <f aca="false">SUM(Q2502,S2502,U2502,W2502,Y2502,AA2502,AC2502,AE2502,AG2502,AI2502,AK2502,AM2502,AO2502,AQ2502,AS2502,AU2502,AW2502,AY2502)</f>
        <v>783228</v>
      </c>
      <c r="BC2502" s="28" t="n">
        <f aca="false">BA2502-BB2502</f>
        <v>0</v>
      </c>
      <c r="BD2502" s="32" t="n">
        <f aca="false">SUM(P2502,R2502,T2502,V2502,X2502,Z2502,AB2502,AD2502,AF2502,AH2502,AJ2502,AL2502,AN2502,AP2502,AR2502,AT2502,AV2502,AX2502)</f>
        <v>78322.73</v>
      </c>
      <c r="BE2502" s="33" t="n">
        <f aca="false">AZ2502-BD2502</f>
        <v>0</v>
      </c>
      <c r="BF2502" s="34" t="n">
        <f aca="false">BD2502*M2502</f>
        <v>783227.3</v>
      </c>
      <c r="BG2502" s="35" t="n">
        <f aca="false">BA2502-BF2502</f>
        <v>0.700000000069849</v>
      </c>
      <c r="BH2502" s="19" t="str">
        <f aca="false">IF(BG2502=0,"",IF(BG2502&lt;&gt;BA2502,"erreur de calcul",IF(BD2502&lt;&gt;0,"pas de prix",IF(M2502&lt;&gt; 0,"pas de quantité","pas de prix, ni de quantité"))))</f>
        <v>erreur de calcul</v>
      </c>
      <c r="BI2502" s="19"/>
    </row>
    <row r="2503" customFormat="false" ht="15" hidden="false" customHeight="false" outlineLevel="0" collapsed="false">
      <c r="A2503" s="0" t="n">
        <v>3</v>
      </c>
      <c r="B2503" s="8" t="s">
        <v>24</v>
      </c>
      <c r="C2503" s="9" t="s">
        <v>25</v>
      </c>
      <c r="D2503" s="9" t="s">
        <v>26</v>
      </c>
      <c r="E2503" s="10" t="n">
        <v>1789</v>
      </c>
      <c r="F2503" s="9" t="s">
        <v>27</v>
      </c>
      <c r="G2503" s="9" t="s">
        <v>27</v>
      </c>
      <c r="H2503" s="11" t="n">
        <v>20</v>
      </c>
      <c r="I2503" s="11" t="s">
        <v>119</v>
      </c>
      <c r="J2503" s="14" t="n">
        <v>10</v>
      </c>
      <c r="K2503" s="14"/>
      <c r="L2503" s="16"/>
      <c r="M2503" s="27" t="n">
        <f aca="false">J2503+(K2503/20)+(L2503/240)</f>
        <v>10</v>
      </c>
      <c r="N2503" s="17" t="s">
        <v>64</v>
      </c>
      <c r="O2503" s="11"/>
      <c r="P2503" s="28" t="n">
        <f aca="false">2617064/100</f>
        <v>26170.64</v>
      </c>
      <c r="Q2503" s="28" t="n">
        <v>261706</v>
      </c>
      <c r="R2503" s="28"/>
      <c r="S2503" s="28" t="n">
        <f aca="false">R2503*$M2503</f>
        <v>0</v>
      </c>
      <c r="T2503" s="28" t="n">
        <f aca="false">251959/100</f>
        <v>2519.59</v>
      </c>
      <c r="U2503" s="28" t="n">
        <v>25196</v>
      </c>
      <c r="V2503" s="28"/>
      <c r="W2503" s="28" t="n">
        <f aca="false">V2503*$M2503</f>
        <v>0</v>
      </c>
      <c r="X2503" s="28"/>
      <c r="Y2503" s="28" t="n">
        <f aca="false">X2503*$M2503</f>
        <v>0</v>
      </c>
      <c r="Z2503" s="28"/>
      <c r="AA2503" s="28" t="n">
        <f aca="false">Z2503*$M2503</f>
        <v>0</v>
      </c>
      <c r="AB2503" s="28"/>
      <c r="AC2503" s="28" t="n">
        <f aca="false">AB2503*$M2503</f>
        <v>0</v>
      </c>
      <c r="AD2503" s="28"/>
      <c r="AE2503" s="28" t="n">
        <f aca="false">AD2503*$M2503</f>
        <v>0</v>
      </c>
      <c r="AF2503" s="28"/>
      <c r="AG2503" s="28" t="n">
        <f aca="false">AF2503*$M2503</f>
        <v>0</v>
      </c>
      <c r="AH2503" s="28"/>
      <c r="AI2503" s="28" t="n">
        <f aca="false">AH2503*$M2503</f>
        <v>0</v>
      </c>
      <c r="AJ2503" s="28"/>
      <c r="AK2503" s="28" t="n">
        <f aca="false">AJ2503*$M2503</f>
        <v>0</v>
      </c>
      <c r="AL2503" s="28"/>
      <c r="AM2503" s="28" t="n">
        <f aca="false">AL2503*$M2503</f>
        <v>0</v>
      </c>
      <c r="AN2503" s="28"/>
      <c r="AO2503" s="28" t="n">
        <f aca="false">AN2503*$M2503</f>
        <v>0</v>
      </c>
      <c r="AP2503" s="28"/>
      <c r="AQ2503" s="28" t="n">
        <f aca="false">AP2503*$M2503</f>
        <v>0</v>
      </c>
      <c r="AR2503" s="28"/>
      <c r="AS2503" s="28" t="n">
        <f aca="false">AR2503*$M2503</f>
        <v>0</v>
      </c>
      <c r="AT2503" s="28"/>
      <c r="AU2503" s="28" t="n">
        <f aca="false">AT2503*$M2503</f>
        <v>0</v>
      </c>
      <c r="AV2503" s="28"/>
      <c r="AW2503" s="28" t="n">
        <f aca="false">AV2503*$M2503</f>
        <v>0</v>
      </c>
      <c r="AX2503" s="28"/>
      <c r="AY2503" s="28" t="n">
        <f aca="false">AX2503*$M2503</f>
        <v>0</v>
      </c>
      <c r="AZ2503" s="30" t="n">
        <f aca="false">2869023/100</f>
        <v>28690.23</v>
      </c>
      <c r="BA2503" s="11" t="n">
        <v>286902</v>
      </c>
      <c r="BB2503" s="31" t="n">
        <f aca="false">SUM(Q2503,S2503,U2503,W2503,Y2503,AA2503,AC2503,AE2503,AG2503,AI2503,AK2503,AM2503,AO2503,AQ2503,AS2503,AU2503,AW2503,AY2503)</f>
        <v>286902</v>
      </c>
      <c r="BC2503" s="28" t="n">
        <f aca="false">BA2503-BB2503</f>
        <v>0</v>
      </c>
      <c r="BD2503" s="32" t="n">
        <f aca="false">SUM(P2503,R2503,T2503,V2503,X2503,Z2503,AB2503,AD2503,AF2503,AH2503,AJ2503,AL2503,AN2503,AP2503,AR2503,AT2503,AV2503,AX2503)</f>
        <v>28690.23</v>
      </c>
      <c r="BE2503" s="33" t="n">
        <f aca="false">AZ2503-BD2503</f>
        <v>0</v>
      </c>
      <c r="BF2503" s="34" t="n">
        <f aca="false">BD2503*M2503</f>
        <v>286902.3</v>
      </c>
      <c r="BG2503" s="35" t="n">
        <f aca="false">BA2503-BF2503</f>
        <v>-0.299999999988358</v>
      </c>
      <c r="BH2503" s="19" t="str">
        <f aca="false">IF(BG2503=0,"",IF(BG2503&lt;&gt;BA2503,"erreur de calcul",IF(BD2503&lt;&gt;0,"pas de prix",IF(M2503&lt;&gt; 0,"pas de quantité","pas de prix, ni de quantité"))))</f>
        <v>erreur de calcul</v>
      </c>
      <c r="BI2503" s="19"/>
    </row>
    <row r="2504" customFormat="false" ht="16.65" hidden="false" customHeight="false" outlineLevel="0" collapsed="false">
      <c r="A2504" s="0" t="n">
        <v>4</v>
      </c>
      <c r="B2504" s="8" t="s">
        <v>24</v>
      </c>
      <c r="C2504" s="9" t="s">
        <v>25</v>
      </c>
      <c r="D2504" s="9" t="s">
        <v>26</v>
      </c>
      <c r="E2504" s="10" t="n">
        <v>1789</v>
      </c>
      <c r="F2504" s="9" t="s">
        <v>27</v>
      </c>
      <c r="G2504" s="9" t="s">
        <v>27</v>
      </c>
      <c r="H2504" s="11" t="n">
        <v>20</v>
      </c>
      <c r="I2504" s="11" t="s">
        <v>120</v>
      </c>
      <c r="J2504" s="14" t="n">
        <v>12</v>
      </c>
      <c r="K2504" s="14"/>
      <c r="L2504" s="16"/>
      <c r="M2504" s="27" t="n">
        <f aca="false">J2504+(K2504/20)+(L2504/240)</f>
        <v>12</v>
      </c>
      <c r="N2504" s="17" t="s">
        <v>64</v>
      </c>
      <c r="O2504" s="11" t="s">
        <v>77</v>
      </c>
      <c r="P2504" s="28"/>
      <c r="Q2504" s="28" t="n">
        <f aca="false">P2504*$M2504</f>
        <v>0</v>
      </c>
      <c r="R2504" s="28"/>
      <c r="S2504" s="28" t="n">
        <f aca="false">R2504*$M2504</f>
        <v>0</v>
      </c>
      <c r="T2504" s="28"/>
      <c r="U2504" s="28" t="n">
        <f aca="false">T2504*$M2504</f>
        <v>0</v>
      </c>
      <c r="V2504" s="28" t="n">
        <f aca="false">15268/100</f>
        <v>152.68</v>
      </c>
      <c r="W2504" s="28" t="n">
        <v>1832</v>
      </c>
      <c r="X2504" s="28"/>
      <c r="Y2504" s="28" t="n">
        <f aca="false">X2504*$M2504</f>
        <v>0</v>
      </c>
      <c r="Z2504" s="28"/>
      <c r="AA2504" s="28" t="n">
        <f aca="false">Z2504*$M2504</f>
        <v>0</v>
      </c>
      <c r="AB2504" s="28"/>
      <c r="AC2504" s="28" t="n">
        <f aca="false">AB2504*$M2504</f>
        <v>0</v>
      </c>
      <c r="AD2504" s="28"/>
      <c r="AE2504" s="28" t="n">
        <f aca="false">AD2504*$M2504</f>
        <v>0</v>
      </c>
      <c r="AF2504" s="28"/>
      <c r="AG2504" s="28" t="n">
        <f aca="false">AF2504*$M2504</f>
        <v>0</v>
      </c>
      <c r="AH2504" s="28" t="n">
        <f aca="false">26667/100</f>
        <v>266.67</v>
      </c>
      <c r="AI2504" s="28" t="n">
        <v>3200</v>
      </c>
      <c r="AJ2504" s="28"/>
      <c r="AK2504" s="28" t="n">
        <f aca="false">AJ2504*$M2504</f>
        <v>0</v>
      </c>
      <c r="AL2504" s="28"/>
      <c r="AM2504" s="28" t="n">
        <f aca="false">AL2504*$M2504</f>
        <v>0</v>
      </c>
      <c r="AN2504" s="28"/>
      <c r="AO2504" s="28" t="n">
        <f aca="false">AN2504*$M2504</f>
        <v>0</v>
      </c>
      <c r="AP2504" s="28"/>
      <c r="AQ2504" s="28" t="n">
        <f aca="false">AP2504*$M2504</f>
        <v>0</v>
      </c>
      <c r="AR2504" s="28"/>
      <c r="AS2504" s="28" t="n">
        <f aca="false">AR2504*$M2504</f>
        <v>0</v>
      </c>
      <c r="AT2504" s="28"/>
      <c r="AU2504" s="28" t="n">
        <f aca="false">AT2504*$M2504</f>
        <v>0</v>
      </c>
      <c r="AV2504" s="28"/>
      <c r="AW2504" s="28" t="n">
        <f aca="false">AV2504*$M2504</f>
        <v>0</v>
      </c>
      <c r="AX2504" s="28"/>
      <c r="AY2504" s="28" t="n">
        <f aca="false">AX2504*$M2504</f>
        <v>0</v>
      </c>
      <c r="AZ2504" s="30" t="n">
        <f aca="false">41935/100</f>
        <v>419.35</v>
      </c>
      <c r="BA2504" s="11" t="n">
        <v>5032</v>
      </c>
      <c r="BB2504" s="31" t="n">
        <f aca="false">SUM(Q2504,S2504,U2504,W2504,Y2504,AA2504,AC2504,AE2504,AG2504,AI2504,AK2504,AM2504,AO2504,AQ2504,AS2504,AU2504,AW2504,AY2504)</f>
        <v>5032</v>
      </c>
      <c r="BC2504" s="28" t="n">
        <f aca="false">BA2504-BB2504</f>
        <v>0</v>
      </c>
      <c r="BD2504" s="32" t="n">
        <f aca="false">SUM(P2504,R2504,T2504,V2504,X2504,Z2504,AB2504,AD2504,AF2504,AH2504,AJ2504,AL2504,AN2504,AP2504,AR2504,AT2504,AV2504,AX2504)</f>
        <v>419.35</v>
      </c>
      <c r="BE2504" s="33" t="n">
        <f aca="false">AZ2504-BD2504</f>
        <v>0</v>
      </c>
      <c r="BF2504" s="34" t="n">
        <f aca="false">BD2504*M2504</f>
        <v>5032.2</v>
      </c>
      <c r="BG2504" s="35" t="n">
        <f aca="false">BA2504-BF2504</f>
        <v>-0.200000000000728</v>
      </c>
      <c r="BH2504" s="19" t="str">
        <f aca="false">IF(BG2504=0,"",IF(BG2504&lt;&gt;BA2504,"erreur de calcul",IF(BD2504&lt;&gt;0,"pas de prix",IF(M2504&lt;&gt; 0,"pas de quantité","pas de prix, ni de quantité"))))</f>
        <v>erreur de calcul</v>
      </c>
      <c r="BI2504" s="19"/>
    </row>
    <row r="2505" customFormat="false" ht="15" hidden="false" customHeight="false" outlineLevel="0" collapsed="false">
      <c r="A2505" s="0" t="n">
        <v>5</v>
      </c>
      <c r="B2505" s="8" t="s">
        <v>24</v>
      </c>
      <c r="C2505" s="9" t="s">
        <v>25</v>
      </c>
      <c r="D2505" s="9" t="s">
        <v>26</v>
      </c>
      <c r="E2505" s="10" t="n">
        <v>1789</v>
      </c>
      <c r="F2505" s="9" t="s">
        <v>27</v>
      </c>
      <c r="G2505" s="9" t="s">
        <v>27</v>
      </c>
      <c r="H2505" s="11" t="n">
        <v>20</v>
      </c>
      <c r="I2505" s="11" t="s">
        <v>121</v>
      </c>
      <c r="J2505" s="14" t="n">
        <v>28</v>
      </c>
      <c r="K2505" s="14"/>
      <c r="L2505" s="16"/>
      <c r="M2505" s="27" t="n">
        <f aca="false">J2505+(K2505/20)+(L2505/240)</f>
        <v>28</v>
      </c>
      <c r="N2505" s="17" t="s">
        <v>64</v>
      </c>
      <c r="O2505" s="11"/>
      <c r="P2505" s="28"/>
      <c r="Q2505" s="28" t="n">
        <f aca="false">P2505*$M2505</f>
        <v>0</v>
      </c>
      <c r="R2505" s="28"/>
      <c r="S2505" s="28" t="n">
        <f aca="false">R2505*$M2505</f>
        <v>0</v>
      </c>
      <c r="T2505" s="28"/>
      <c r="U2505" s="28" t="n">
        <f aca="false">T2505*$M2505</f>
        <v>0</v>
      </c>
      <c r="V2505" s="28"/>
      <c r="W2505" s="28" t="n">
        <f aca="false">V2505*$M2505</f>
        <v>0</v>
      </c>
      <c r="X2505" s="28" t="n">
        <f aca="false">187504/100</f>
        <v>1875.04</v>
      </c>
      <c r="Y2505" s="28" t="n">
        <v>52501</v>
      </c>
      <c r="Z2505" s="28" t="n">
        <f aca="false">1041667/100</f>
        <v>10416.67</v>
      </c>
      <c r="AA2505" s="28" t="n">
        <v>291667</v>
      </c>
      <c r="AB2505" s="28"/>
      <c r="AC2505" s="28" t="n">
        <f aca="false">AB2505*$M2505</f>
        <v>0</v>
      </c>
      <c r="AD2505" s="28"/>
      <c r="AE2505" s="28" t="n">
        <f aca="false">AD2505*$M2505</f>
        <v>0</v>
      </c>
      <c r="AF2505" s="28"/>
      <c r="AG2505" s="28" t="n">
        <f aca="false">AF2505*$M2505</f>
        <v>0</v>
      </c>
      <c r="AH2505" s="28"/>
      <c r="AI2505" s="28" t="n">
        <f aca="false">AH2505*$M2505</f>
        <v>0</v>
      </c>
      <c r="AJ2505" s="28"/>
      <c r="AK2505" s="28" t="n">
        <f aca="false">AJ2505*$M2505</f>
        <v>0</v>
      </c>
      <c r="AL2505" s="28"/>
      <c r="AM2505" s="28" t="n">
        <f aca="false">AL2505*$M2505</f>
        <v>0</v>
      </c>
      <c r="AN2505" s="28"/>
      <c r="AO2505" s="28" t="n">
        <f aca="false">AN2505*$M2505</f>
        <v>0</v>
      </c>
      <c r="AP2505" s="28"/>
      <c r="AQ2505" s="28" t="n">
        <f aca="false">AP2505*$M2505</f>
        <v>0</v>
      </c>
      <c r="AR2505" s="28"/>
      <c r="AS2505" s="28" t="n">
        <f aca="false">AR2505*$M2505</f>
        <v>0</v>
      </c>
      <c r="AT2505" s="28"/>
      <c r="AU2505" s="28" t="n">
        <f aca="false">AT2505*$M2505</f>
        <v>0</v>
      </c>
      <c r="AV2505" s="28"/>
      <c r="AW2505" s="28" t="n">
        <f aca="false">AV2505*$M2505</f>
        <v>0</v>
      </c>
      <c r="AX2505" s="28"/>
      <c r="AY2505" s="28" t="n">
        <f aca="false">AX2505*$M2505</f>
        <v>0</v>
      </c>
      <c r="AZ2505" s="30" t="n">
        <f aca="false">1229171/100</f>
        <v>12291.71</v>
      </c>
      <c r="BA2505" s="11" t="n">
        <v>344168</v>
      </c>
      <c r="BB2505" s="31" t="n">
        <f aca="false">SUM(Q2505,S2505,U2505,W2505,Y2505,AA2505,AC2505,AE2505,AG2505,AI2505,AK2505,AM2505,AO2505,AQ2505,AS2505,AU2505,AW2505,AY2505)</f>
        <v>344168</v>
      </c>
      <c r="BC2505" s="28" t="n">
        <f aca="false">BA2505-BB2505</f>
        <v>0</v>
      </c>
      <c r="BD2505" s="32" t="n">
        <f aca="false">SUM(P2505,R2505,T2505,V2505,X2505,Z2505,AB2505,AD2505,AF2505,AH2505,AJ2505,AL2505,AN2505,AP2505,AR2505,AT2505,AV2505,AX2505)</f>
        <v>12291.71</v>
      </c>
      <c r="BE2505" s="33" t="n">
        <f aca="false">AZ2505-BD2505</f>
        <v>0</v>
      </c>
      <c r="BF2505" s="34" t="n">
        <f aca="false">BD2505*M2505</f>
        <v>344167.88</v>
      </c>
      <c r="BG2505" s="35" t="n">
        <f aca="false">BA2505-BF2505</f>
        <v>0.119999999995343</v>
      </c>
      <c r="BH2505" s="19" t="str">
        <f aca="false">IF(BG2505=0,"",IF(BG2505&lt;&gt;BA2505,"erreur de calcul",IF(BD2505&lt;&gt;0,"pas de prix",IF(M2505&lt;&gt; 0,"pas de quantité","pas de prix, ni de quantité"))))</f>
        <v>erreur de calcul</v>
      </c>
      <c r="BI2505" s="19"/>
    </row>
    <row r="2506" customFormat="false" ht="15" hidden="false" customHeight="false" outlineLevel="0" collapsed="false">
      <c r="A2506" s="0" t="n">
        <v>6</v>
      </c>
      <c r="B2506" s="8" t="s">
        <v>24</v>
      </c>
      <c r="C2506" s="9" t="s">
        <v>25</v>
      </c>
      <c r="D2506" s="9" t="s">
        <v>26</v>
      </c>
      <c r="E2506" s="10" t="n">
        <v>1789</v>
      </c>
      <c r="F2506" s="9" t="s">
        <v>27</v>
      </c>
      <c r="G2506" s="9" t="s">
        <v>27</v>
      </c>
      <c r="H2506" s="11" t="n">
        <v>20</v>
      </c>
      <c r="I2506" s="11" t="s">
        <v>122</v>
      </c>
      <c r="J2506" s="14" t="n">
        <v>16</v>
      </c>
      <c r="K2506" s="14"/>
      <c r="L2506" s="16"/>
      <c r="M2506" s="27" t="n">
        <f aca="false">J2506+(K2506/20)+(L2506/240)</f>
        <v>16</v>
      </c>
      <c r="N2506" s="17" t="s">
        <v>64</v>
      </c>
      <c r="O2506" s="11"/>
      <c r="P2506" s="28" t="n">
        <f aca="false">1774951/100</f>
        <v>17749.51</v>
      </c>
      <c r="Q2506" s="28" t="n">
        <v>283992</v>
      </c>
      <c r="R2506" s="28"/>
      <c r="S2506" s="28" t="n">
        <f aca="false">R2506*$M2506</f>
        <v>0</v>
      </c>
      <c r="T2506" s="28"/>
      <c r="U2506" s="28" t="n">
        <f aca="false">T2506*$M2506</f>
        <v>0</v>
      </c>
      <c r="V2506" s="28" t="n">
        <f aca="false">20834/100</f>
        <v>208.34</v>
      </c>
      <c r="W2506" s="28" t="n">
        <v>3333</v>
      </c>
      <c r="X2506" s="28" t="n">
        <f aca="false">85901/100</f>
        <v>859.01</v>
      </c>
      <c r="Y2506" s="28" t="n">
        <v>13744</v>
      </c>
      <c r="Z2506" s="28"/>
      <c r="AA2506" s="28" t="n">
        <f aca="false">Z2506*$M2506</f>
        <v>0</v>
      </c>
      <c r="AB2506" s="28" t="n">
        <f aca="false">6847841/100</f>
        <v>68478.41</v>
      </c>
      <c r="AC2506" s="28" t="n">
        <v>1095654</v>
      </c>
      <c r="AD2506" s="28"/>
      <c r="AE2506" s="28" t="n">
        <f aca="false">AD2506*$M2506</f>
        <v>0</v>
      </c>
      <c r="AF2506" s="28"/>
      <c r="AG2506" s="28" t="n">
        <f aca="false">AF2506*$M2506</f>
        <v>0</v>
      </c>
      <c r="AH2506" s="28" t="n">
        <f aca="false">50417/100</f>
        <v>504.17</v>
      </c>
      <c r="AI2506" s="28" t="n">
        <v>8067</v>
      </c>
      <c r="AJ2506" s="28"/>
      <c r="AK2506" s="28" t="n">
        <f aca="false">AJ2506*$M2506</f>
        <v>0</v>
      </c>
      <c r="AL2506" s="28"/>
      <c r="AM2506" s="28" t="n">
        <f aca="false">AL2506*$M2506</f>
        <v>0</v>
      </c>
      <c r="AN2506" s="28"/>
      <c r="AO2506" s="28" t="n">
        <f aca="false">AN2506*$M2506</f>
        <v>0</v>
      </c>
      <c r="AP2506" s="28"/>
      <c r="AQ2506" s="28" t="n">
        <f aca="false">AP2506*$M2506</f>
        <v>0</v>
      </c>
      <c r="AR2506" s="28"/>
      <c r="AS2506" s="28" t="n">
        <f aca="false">AR2506*$M2506</f>
        <v>0</v>
      </c>
      <c r="AT2506" s="28"/>
      <c r="AU2506" s="28" t="n">
        <f aca="false">AT2506*$M2506</f>
        <v>0</v>
      </c>
      <c r="AV2506" s="28"/>
      <c r="AW2506" s="28" t="n">
        <f aca="false">AV2506*$M2506</f>
        <v>0</v>
      </c>
      <c r="AX2506" s="28"/>
      <c r="AY2506" s="28" t="n">
        <f aca="false">AX2506*$M2506</f>
        <v>0</v>
      </c>
      <c r="AZ2506" s="30" t="n">
        <f aca="false">8779944/100</f>
        <v>87799.44</v>
      </c>
      <c r="BA2506" s="11" t="n">
        <v>1404790</v>
      </c>
      <c r="BB2506" s="31" t="n">
        <f aca="false">SUM(Q2506,S2506,U2506,W2506,Y2506,AA2506,AC2506,AE2506,AG2506,AI2506,AK2506,AM2506,AO2506,AQ2506,AS2506,AU2506,AW2506,AY2506)</f>
        <v>1404790</v>
      </c>
      <c r="BC2506" s="28" t="n">
        <f aca="false">BA2506-BB2506</f>
        <v>0</v>
      </c>
      <c r="BD2506" s="32" t="n">
        <f aca="false">SUM(P2506,R2506,T2506,V2506,X2506,Z2506,AB2506,AD2506,AF2506,AH2506,AJ2506,AL2506,AN2506,AP2506,AR2506,AT2506,AV2506,AX2506)</f>
        <v>87799.44</v>
      </c>
      <c r="BE2506" s="33" t="n">
        <f aca="false">AZ2506-BD2506</f>
        <v>0</v>
      </c>
      <c r="BF2506" s="34" t="n">
        <f aca="false">BD2506*M2506</f>
        <v>1404791.04</v>
      </c>
      <c r="BG2506" s="35" t="n">
        <f aca="false">BA2506-BF2506</f>
        <v>-1.03999999980442</v>
      </c>
      <c r="BH2506" s="19" t="str">
        <f aca="false">IF(BG2506=0,"",IF(BG2506&lt;&gt;BA2506,"erreur de calcul",IF(BD2506&lt;&gt;0,"pas de prix",IF(M2506&lt;&gt; 0,"pas de quantité","pas de prix, ni de quantité"))))</f>
        <v>erreur de calcul</v>
      </c>
      <c r="BI2506" s="19"/>
    </row>
    <row r="2507" customFormat="false" ht="15" hidden="false" customHeight="false" outlineLevel="0" collapsed="false">
      <c r="A2507" s="0" t="n">
        <v>7</v>
      </c>
      <c r="B2507" s="8" t="s">
        <v>24</v>
      </c>
      <c r="C2507" s="9" t="s">
        <v>25</v>
      </c>
      <c r="D2507" s="9" t="s">
        <v>26</v>
      </c>
      <c r="E2507" s="10" t="n">
        <v>1789</v>
      </c>
      <c r="F2507" s="9" t="s">
        <v>27</v>
      </c>
      <c r="G2507" s="9" t="s">
        <v>27</v>
      </c>
      <c r="H2507" s="11" t="n">
        <v>20</v>
      </c>
      <c r="I2507" s="11" t="s">
        <v>123</v>
      </c>
      <c r="J2507" s="14" t="n">
        <v>12</v>
      </c>
      <c r="K2507" s="14"/>
      <c r="L2507" s="16"/>
      <c r="M2507" s="27" t="n">
        <f aca="false">J2507+(K2507/20)+(L2507/240)</f>
        <v>12</v>
      </c>
      <c r="N2507" s="17" t="s">
        <v>64</v>
      </c>
      <c r="O2507" s="11"/>
      <c r="P2507" s="28"/>
      <c r="Q2507" s="28" t="n">
        <f aca="false">P2507*$M2507</f>
        <v>0</v>
      </c>
      <c r="R2507" s="28"/>
      <c r="S2507" s="28" t="n">
        <f aca="false">R2507*$M2507</f>
        <v>0</v>
      </c>
      <c r="T2507" s="28"/>
      <c r="U2507" s="28" t="n">
        <f aca="false">T2507*$M2507</f>
        <v>0</v>
      </c>
      <c r="V2507" s="28"/>
      <c r="W2507" s="28" t="n">
        <f aca="false">V2507*$M2507</f>
        <v>0</v>
      </c>
      <c r="X2507" s="28"/>
      <c r="Y2507" s="28" t="n">
        <f aca="false">X2507*$M2507</f>
        <v>0</v>
      </c>
      <c r="Z2507" s="28"/>
      <c r="AA2507" s="28" t="n">
        <f aca="false">Z2507*$M2507</f>
        <v>0</v>
      </c>
      <c r="AB2507" s="28"/>
      <c r="AC2507" s="28" t="n">
        <f aca="false">AB2507*$M2507</f>
        <v>0</v>
      </c>
      <c r="AD2507" s="28"/>
      <c r="AE2507" s="28" t="n">
        <f aca="false">AD2507*$M2507</f>
        <v>0</v>
      </c>
      <c r="AF2507" s="28"/>
      <c r="AG2507" s="28" t="n">
        <f aca="false">AF2507*$M2507</f>
        <v>0</v>
      </c>
      <c r="AH2507" s="28" t="n">
        <f aca="false">5697511/100</f>
        <v>56975.11</v>
      </c>
      <c r="AI2507" s="28" t="n">
        <v>683701</v>
      </c>
      <c r="AJ2507" s="28"/>
      <c r="AK2507" s="28" t="n">
        <f aca="false">AJ2507*$M2507</f>
        <v>0</v>
      </c>
      <c r="AL2507" s="28"/>
      <c r="AM2507" s="28" t="n">
        <f aca="false">AL2507*$M2507</f>
        <v>0</v>
      </c>
      <c r="AN2507" s="28"/>
      <c r="AO2507" s="28" t="n">
        <f aca="false">AN2507*$M2507</f>
        <v>0</v>
      </c>
      <c r="AP2507" s="28"/>
      <c r="AQ2507" s="28" t="n">
        <f aca="false">AP2507*$M2507</f>
        <v>0</v>
      </c>
      <c r="AR2507" s="28"/>
      <c r="AS2507" s="28" t="n">
        <f aca="false">AR2507*$M2507</f>
        <v>0</v>
      </c>
      <c r="AT2507" s="28"/>
      <c r="AU2507" s="28" t="n">
        <f aca="false">AT2507*$M2507</f>
        <v>0</v>
      </c>
      <c r="AV2507" s="28"/>
      <c r="AW2507" s="28" t="n">
        <f aca="false">AV2507*$M2507</f>
        <v>0</v>
      </c>
      <c r="AX2507" s="28"/>
      <c r="AY2507" s="28" t="n">
        <f aca="false">AX2507*$M2507</f>
        <v>0</v>
      </c>
      <c r="AZ2507" s="30" t="n">
        <f aca="false">5697511/100</f>
        <v>56975.11</v>
      </c>
      <c r="BA2507" s="11" t="n">
        <v>683701</v>
      </c>
      <c r="BB2507" s="31" t="n">
        <f aca="false">SUM(Q2507,S2507,U2507,W2507,Y2507,AA2507,AC2507,AE2507,AG2507,AI2507,AK2507,AM2507,AO2507,AQ2507,AS2507,AU2507,AW2507,AY2507)</f>
        <v>683701</v>
      </c>
      <c r="BC2507" s="28" t="n">
        <f aca="false">BA2507-BB2507</f>
        <v>0</v>
      </c>
      <c r="BD2507" s="32" t="n">
        <f aca="false">SUM(P2507,R2507,T2507,V2507,X2507,Z2507,AB2507,AD2507,AF2507,AH2507,AJ2507,AL2507,AN2507,AP2507,AR2507,AT2507,AV2507,AX2507)</f>
        <v>56975.11</v>
      </c>
      <c r="BE2507" s="33" t="n">
        <f aca="false">AZ2507-BD2507</f>
        <v>0</v>
      </c>
      <c r="BF2507" s="34" t="n">
        <f aca="false">BD2507*M2507</f>
        <v>683701.32</v>
      </c>
      <c r="BG2507" s="35" t="n">
        <f aca="false">BA2507-BF2507</f>
        <v>-0.320000000065193</v>
      </c>
      <c r="BH2507" s="19" t="str">
        <f aca="false">IF(BG2507=0,"",IF(BG2507&lt;&gt;BA2507,"erreur de calcul",IF(BD2507&lt;&gt;0,"pas de prix",IF(M2507&lt;&gt; 0,"pas de quantité","pas de prix, ni de quantité"))))</f>
        <v>erreur de calcul</v>
      </c>
      <c r="BI2507" s="19"/>
    </row>
    <row r="2508" customFormat="false" ht="15" hidden="false" customHeight="false" outlineLevel="0" collapsed="false">
      <c r="A2508" s="0" t="n">
        <v>8</v>
      </c>
      <c r="B2508" s="8" t="s">
        <v>24</v>
      </c>
      <c r="C2508" s="9" t="s">
        <v>25</v>
      </c>
      <c r="D2508" s="9" t="s">
        <v>26</v>
      </c>
      <c r="E2508" s="10" t="n">
        <v>1789</v>
      </c>
      <c r="F2508" s="9" t="s">
        <v>27</v>
      </c>
      <c r="G2508" s="9" t="s">
        <v>27</v>
      </c>
      <c r="H2508" s="11" t="n">
        <v>20</v>
      </c>
      <c r="I2508" s="11" t="s">
        <v>124</v>
      </c>
      <c r="J2508" s="14" t="n">
        <v>34</v>
      </c>
      <c r="K2508" s="14"/>
      <c r="L2508" s="16"/>
      <c r="M2508" s="27" t="n">
        <f aca="false">J2508+(K2508/20)+(L2508/240)</f>
        <v>34</v>
      </c>
      <c r="N2508" s="17" t="s">
        <v>64</v>
      </c>
      <c r="O2508" s="11"/>
      <c r="P2508" s="28"/>
      <c r="Q2508" s="28" t="n">
        <f aca="false">P2508*$M2508</f>
        <v>0</v>
      </c>
      <c r="R2508" s="28"/>
      <c r="S2508" s="28" t="n">
        <f aca="false">R2508*$M2508</f>
        <v>0</v>
      </c>
      <c r="T2508" s="28" t="n">
        <f aca="false">528/100</f>
        <v>5.28</v>
      </c>
      <c r="U2508" s="28" t="n">
        <v>179</v>
      </c>
      <c r="V2508" s="28"/>
      <c r="W2508" s="28" t="n">
        <f aca="false">V2508*$M2508</f>
        <v>0</v>
      </c>
      <c r="X2508" s="28" t="n">
        <f aca="false">1014/100</f>
        <v>10.14</v>
      </c>
      <c r="Y2508" s="36" t="n">
        <v>243</v>
      </c>
      <c r="Z2508" s="28"/>
      <c r="AA2508" s="28" t="n">
        <f aca="false">Z2508*$M2508</f>
        <v>0</v>
      </c>
      <c r="AB2508" s="28"/>
      <c r="AC2508" s="28" t="n">
        <f aca="false">AB2508*$M2508</f>
        <v>0</v>
      </c>
      <c r="AD2508" s="28"/>
      <c r="AE2508" s="28" t="n">
        <f aca="false">AD2508*$M2508</f>
        <v>0</v>
      </c>
      <c r="AF2508" s="28"/>
      <c r="AG2508" s="28" t="n">
        <f aca="false">AF2508*$M2508</f>
        <v>0</v>
      </c>
      <c r="AH2508" s="28"/>
      <c r="AI2508" s="28" t="n">
        <f aca="false">AH2508*$M2508</f>
        <v>0</v>
      </c>
      <c r="AJ2508" s="28" t="n">
        <f aca="false">1917/100</f>
        <v>19.17</v>
      </c>
      <c r="AK2508" s="28" t="n">
        <v>652</v>
      </c>
      <c r="AL2508" s="28"/>
      <c r="AM2508" s="28" t="n">
        <f aca="false">AL2508*$M2508</f>
        <v>0</v>
      </c>
      <c r="AN2508" s="28"/>
      <c r="AO2508" s="28" t="n">
        <f aca="false">AN2508*$M2508</f>
        <v>0</v>
      </c>
      <c r="AP2508" s="28"/>
      <c r="AQ2508" s="28" t="n">
        <f aca="false">AP2508*$M2508</f>
        <v>0</v>
      </c>
      <c r="AR2508" s="28"/>
      <c r="AS2508" s="28" t="n">
        <f aca="false">AR2508*$M2508</f>
        <v>0</v>
      </c>
      <c r="AT2508" s="28"/>
      <c r="AU2508" s="28" t="n">
        <f aca="false">AT2508*$M2508</f>
        <v>0</v>
      </c>
      <c r="AV2508" s="28"/>
      <c r="AW2508" s="28" t="n">
        <f aca="false">AV2508*$M2508</f>
        <v>0</v>
      </c>
      <c r="AX2508" s="28"/>
      <c r="AY2508" s="28" t="n">
        <f aca="false">AX2508*$M2508</f>
        <v>0</v>
      </c>
      <c r="AZ2508" s="30" t="n">
        <f aca="false">3459/100</f>
        <v>34.59</v>
      </c>
      <c r="BA2508" s="11" t="n">
        <v>1074</v>
      </c>
      <c r="BB2508" s="31" t="n">
        <f aca="false">SUM(Q2508,S2508,U2508,W2508,Y2508,AA2508,AC2508,AE2508,AG2508,AI2508,AK2508,AM2508,AO2508,AQ2508,AS2508,AU2508,AW2508,AY2508)</f>
        <v>1074</v>
      </c>
      <c r="BC2508" s="28" t="n">
        <f aca="false">BA2508-BB2508</f>
        <v>0</v>
      </c>
      <c r="BD2508" s="32" t="n">
        <f aca="false">SUM(P2508,R2508,T2508,V2508,X2508,Z2508,AB2508,AD2508,AF2508,AH2508,AJ2508,AL2508,AN2508,AP2508,AR2508,AT2508,AV2508,AX2508)</f>
        <v>34.59</v>
      </c>
      <c r="BE2508" s="33" t="n">
        <f aca="false">AZ2508-BD2508</f>
        <v>0</v>
      </c>
      <c r="BF2508" s="34" t="n">
        <f aca="false">BD2508*M2508</f>
        <v>1176.06</v>
      </c>
      <c r="BG2508" s="35" t="n">
        <f aca="false">BA2508-BF2508</f>
        <v>-102.06</v>
      </c>
      <c r="BH2508" s="19" t="str">
        <f aca="false">IF(BG2508=0,"",IF(BG2508&lt;&gt;BA2508,"erreur de calcul",IF(BD2508&lt;&gt;0,"pas de prix",IF(M2508&lt;&gt; 0,"pas de quantité","pas de prix, ni de quantité"))))</f>
        <v>erreur de calcul</v>
      </c>
      <c r="BI2508" s="19"/>
    </row>
    <row r="2509" customFormat="false" ht="15" hidden="false" customHeight="false" outlineLevel="0" collapsed="false">
      <c r="A2509" s="0" t="n">
        <v>9</v>
      </c>
      <c r="B2509" s="8" t="s">
        <v>24</v>
      </c>
      <c r="C2509" s="9" t="s">
        <v>25</v>
      </c>
      <c r="D2509" s="9" t="s">
        <v>26</v>
      </c>
      <c r="E2509" s="10" t="n">
        <v>1789</v>
      </c>
      <c r="F2509" s="9" t="s">
        <v>27</v>
      </c>
      <c r="G2509" s="9" t="s">
        <v>27</v>
      </c>
      <c r="H2509" s="11" t="n">
        <v>20</v>
      </c>
      <c r="I2509" s="11" t="s">
        <v>125</v>
      </c>
      <c r="J2509" s="14" t="n">
        <v>30</v>
      </c>
      <c r="K2509" s="14"/>
      <c r="L2509" s="16"/>
      <c r="M2509" s="27" t="n">
        <f aca="false">J2509+(K2509/20)+(L2509/240)</f>
        <v>30</v>
      </c>
      <c r="N2509" s="17" t="s">
        <v>64</v>
      </c>
      <c r="O2509" s="11"/>
      <c r="P2509" s="28" t="n">
        <f aca="false">31476/100</f>
        <v>314.76</v>
      </c>
      <c r="Q2509" s="28" t="n">
        <v>9443</v>
      </c>
      <c r="R2509" s="28"/>
      <c r="S2509" s="28" t="n">
        <f aca="false">R2509*$M2509</f>
        <v>0</v>
      </c>
      <c r="T2509" s="28"/>
      <c r="U2509" s="28" t="n">
        <f aca="false">T2509*$M2509</f>
        <v>0</v>
      </c>
      <c r="V2509" s="28"/>
      <c r="W2509" s="28" t="n">
        <f aca="false">V2509*$M2509</f>
        <v>0</v>
      </c>
      <c r="X2509" s="28" t="n">
        <f aca="false">2320/100</f>
        <v>23.2</v>
      </c>
      <c r="Y2509" s="28" t="n">
        <v>696</v>
      </c>
      <c r="Z2509" s="28"/>
      <c r="AA2509" s="28" t="n">
        <f aca="false">Z2509*$M2509</f>
        <v>0</v>
      </c>
      <c r="AB2509" s="28"/>
      <c r="AC2509" s="28" t="n">
        <f aca="false">AB2509*$M2509</f>
        <v>0</v>
      </c>
      <c r="AD2509" s="28"/>
      <c r="AE2509" s="28" t="n">
        <f aca="false">AD2509*$M2509</f>
        <v>0</v>
      </c>
      <c r="AF2509" s="28"/>
      <c r="AG2509" s="28" t="n">
        <f aca="false">AF2509*$M2509</f>
        <v>0</v>
      </c>
      <c r="AH2509" s="28"/>
      <c r="AI2509" s="28" t="n">
        <f aca="false">AH2509*$M2509</f>
        <v>0</v>
      </c>
      <c r="AJ2509" s="28"/>
      <c r="AK2509" s="28" t="n">
        <f aca="false">AJ2509*$M2509</f>
        <v>0</v>
      </c>
      <c r="AL2509" s="28"/>
      <c r="AM2509" s="28" t="n">
        <f aca="false">AL2509*$M2509</f>
        <v>0</v>
      </c>
      <c r="AN2509" s="28"/>
      <c r="AO2509" s="28" t="n">
        <f aca="false">AN2509*$M2509</f>
        <v>0</v>
      </c>
      <c r="AP2509" s="28" t="n">
        <f aca="false">5100/100</f>
        <v>51</v>
      </c>
      <c r="AQ2509" s="28" t="n">
        <v>1530</v>
      </c>
      <c r="AR2509" s="28"/>
      <c r="AS2509" s="28" t="n">
        <f aca="false">AR2509*$M2509</f>
        <v>0</v>
      </c>
      <c r="AT2509" s="28"/>
      <c r="AU2509" s="28" t="n">
        <f aca="false">AT2509*$M2509</f>
        <v>0</v>
      </c>
      <c r="AV2509" s="28"/>
      <c r="AW2509" s="28" t="n">
        <f aca="false">AV2509*$M2509</f>
        <v>0</v>
      </c>
      <c r="AX2509" s="28" t="n">
        <f aca="false">26345/100</f>
        <v>263.45</v>
      </c>
      <c r="AY2509" s="28" t="n">
        <v>7903</v>
      </c>
      <c r="AZ2509" s="30" t="n">
        <f aca="false">65241/100</f>
        <v>652.41</v>
      </c>
      <c r="BA2509" s="11" t="n">
        <v>19572</v>
      </c>
      <c r="BB2509" s="31" t="n">
        <f aca="false">SUM(Q2509,S2509,U2509,W2509,Y2509,AA2509,AC2509,AE2509,AG2509,AI2509,AK2509,AM2509,AO2509,AQ2509,AS2509,AU2509,AW2509,AY2509)</f>
        <v>19572</v>
      </c>
      <c r="BC2509" s="28" t="n">
        <f aca="false">BA2509-BB2509</f>
        <v>0</v>
      </c>
      <c r="BD2509" s="32" t="n">
        <f aca="false">SUM(P2509,R2509,T2509,V2509,X2509,Z2509,AB2509,AD2509,AF2509,AH2509,AJ2509,AL2509,AN2509,AP2509,AR2509,AT2509,AV2509,AX2509)</f>
        <v>652.41</v>
      </c>
      <c r="BE2509" s="33" t="n">
        <f aca="false">AZ2509-BD2509</f>
        <v>0</v>
      </c>
      <c r="BF2509" s="34" t="n">
        <f aca="false">BD2509*M2509</f>
        <v>19572.3</v>
      </c>
      <c r="BG2509" s="35" t="n">
        <f aca="false">BA2509-BF2509</f>
        <v>-0.299999999999272</v>
      </c>
      <c r="BH2509" s="19" t="str">
        <f aca="false">IF(BG2509=0,"",IF(BG2509&lt;&gt;BA2509,"erreur de calcul",IF(BD2509&lt;&gt;0,"pas de prix",IF(M2509&lt;&gt; 0,"pas de quantité","pas de prix, ni de quantité"))))</f>
        <v>erreur de calcul</v>
      </c>
      <c r="BI2509" s="19"/>
    </row>
    <row r="2510" customFormat="false" ht="15" hidden="false" customHeight="false" outlineLevel="0" collapsed="false">
      <c r="A2510" s="0" t="n">
        <v>10</v>
      </c>
      <c r="B2510" s="8" t="s">
        <v>24</v>
      </c>
      <c r="C2510" s="9" t="s">
        <v>25</v>
      </c>
      <c r="D2510" s="9" t="s">
        <v>26</v>
      </c>
      <c r="E2510" s="10" t="n">
        <v>1789</v>
      </c>
      <c r="F2510" s="9" t="s">
        <v>27</v>
      </c>
      <c r="G2510" s="9" t="s">
        <v>27</v>
      </c>
      <c r="H2510" s="11" t="n">
        <v>20</v>
      </c>
      <c r="I2510" s="11" t="s">
        <v>126</v>
      </c>
      <c r="J2510" s="14" t="n">
        <v>75</v>
      </c>
      <c r="K2510" s="14"/>
      <c r="L2510" s="16"/>
      <c r="M2510" s="27" t="n">
        <f aca="false">J2510+(K2510/20)+(L2510/240)</f>
        <v>75</v>
      </c>
      <c r="N2510" s="17" t="s">
        <v>64</v>
      </c>
      <c r="O2510" s="11"/>
      <c r="P2510" s="28"/>
      <c r="Q2510" s="28" t="n">
        <f aca="false">P2510*$M2510</f>
        <v>0</v>
      </c>
      <c r="R2510" s="28"/>
      <c r="S2510" s="28" t="n">
        <f aca="false">R2510*$M2510</f>
        <v>0</v>
      </c>
      <c r="T2510" s="28"/>
      <c r="U2510" s="28" t="n">
        <f aca="false">T2510*$M2510</f>
        <v>0</v>
      </c>
      <c r="V2510" s="28" t="n">
        <f aca="false">223/100</f>
        <v>2.23</v>
      </c>
      <c r="W2510" s="28" t="n">
        <v>167</v>
      </c>
      <c r="X2510" s="28" t="n">
        <f aca="false">2897/100</f>
        <v>28.97</v>
      </c>
      <c r="Y2510" s="28" t="n">
        <v>2173</v>
      </c>
      <c r="Z2510" s="28"/>
      <c r="AA2510" s="28" t="n">
        <f aca="false">Z2510*$M2510</f>
        <v>0</v>
      </c>
      <c r="AB2510" s="28"/>
      <c r="AC2510" s="28" t="n">
        <f aca="false">AB2510*$M2510</f>
        <v>0</v>
      </c>
      <c r="AD2510" s="28"/>
      <c r="AE2510" s="28" t="n">
        <f aca="false">AD2510*$M2510</f>
        <v>0</v>
      </c>
      <c r="AF2510" s="28"/>
      <c r="AG2510" s="28" t="n">
        <f aca="false">AF2510*$M2510</f>
        <v>0</v>
      </c>
      <c r="AH2510" s="28"/>
      <c r="AI2510" s="28" t="n">
        <f aca="false">AH2510*$M2510</f>
        <v>0</v>
      </c>
      <c r="AJ2510" s="28"/>
      <c r="AK2510" s="28" t="n">
        <f aca="false">AJ2510*$M2510</f>
        <v>0</v>
      </c>
      <c r="AL2510" s="28"/>
      <c r="AM2510" s="28" t="n">
        <f aca="false">AL2510*$M2510</f>
        <v>0</v>
      </c>
      <c r="AN2510" s="28"/>
      <c r="AO2510" s="28" t="n">
        <f aca="false">AN2510*$M2510</f>
        <v>0</v>
      </c>
      <c r="AP2510" s="28"/>
      <c r="AQ2510" s="28" t="n">
        <f aca="false">AP2510*$M2510</f>
        <v>0</v>
      </c>
      <c r="AR2510" s="28"/>
      <c r="AS2510" s="28" t="n">
        <f aca="false">AR2510*$M2510</f>
        <v>0</v>
      </c>
      <c r="AT2510" s="28"/>
      <c r="AU2510" s="28" t="n">
        <f aca="false">AT2510*$M2510</f>
        <v>0</v>
      </c>
      <c r="AV2510" s="28"/>
      <c r="AW2510" s="28" t="n">
        <f aca="false">AV2510*$M2510</f>
        <v>0</v>
      </c>
      <c r="AX2510" s="28"/>
      <c r="AY2510" s="28" t="n">
        <f aca="false">AX2510*$M2510</f>
        <v>0</v>
      </c>
      <c r="AZ2510" s="30" t="n">
        <f aca="false">3120/100</f>
        <v>31.2</v>
      </c>
      <c r="BA2510" s="11" t="n">
        <v>2340</v>
      </c>
      <c r="BB2510" s="31" t="n">
        <f aca="false">SUM(Q2510,S2510,U2510,W2510,Y2510,AA2510,AC2510,AE2510,AG2510,AI2510,AK2510,AM2510,AO2510,AQ2510,AS2510,AU2510,AW2510,AY2510)</f>
        <v>2340</v>
      </c>
      <c r="BC2510" s="28" t="n">
        <f aca="false">BA2510-BB2510</f>
        <v>0</v>
      </c>
      <c r="BD2510" s="32" t="n">
        <f aca="false">SUM(P2510,R2510,T2510,V2510,X2510,Z2510,AB2510,AD2510,AF2510,AH2510,AJ2510,AL2510,AN2510,AP2510,AR2510,AT2510,AV2510,AX2510)</f>
        <v>31.2</v>
      </c>
      <c r="BE2510" s="33" t="n">
        <f aca="false">AZ2510-BD2510</f>
        <v>0</v>
      </c>
      <c r="BF2510" s="34" t="n">
        <f aca="false">BD2510*M2510</f>
        <v>2340</v>
      </c>
      <c r="BG2510" s="35" t="n">
        <f aca="false">BA2510-BF2510</f>
        <v>0</v>
      </c>
      <c r="BH2510" s="19" t="str">
        <f aca="false">IF(BG2510=0,"",IF(BG2510&lt;&gt;BA2510,"erreur de calcul",IF(BD2510&lt;&gt;0,"pas de prix",IF(M2510&lt;&gt; 0,"pas de quantité","pas de prix, ni de quantité"))))</f>
        <v/>
      </c>
      <c r="BI2510" s="19"/>
    </row>
    <row r="2511" customFormat="false" ht="15" hidden="false" customHeight="false" outlineLevel="0" collapsed="false">
      <c r="A2511" s="0" t="n">
        <v>11</v>
      </c>
      <c r="B2511" s="8" t="s">
        <v>24</v>
      </c>
      <c r="C2511" s="9" t="s">
        <v>25</v>
      </c>
      <c r="D2511" s="9" t="s">
        <v>26</v>
      </c>
      <c r="E2511" s="10" t="n">
        <v>1789</v>
      </c>
      <c r="F2511" s="9" t="s">
        <v>27</v>
      </c>
      <c r="G2511" s="9" t="s">
        <v>27</v>
      </c>
      <c r="H2511" s="11" t="n">
        <v>20</v>
      </c>
      <c r="I2511" s="11" t="s">
        <v>127</v>
      </c>
      <c r="J2511" s="14" t="n">
        <v>75</v>
      </c>
      <c r="K2511" s="14"/>
      <c r="L2511" s="16"/>
      <c r="M2511" s="27" t="n">
        <f aca="false">J2511+(K2511/20)+(L2511/240)</f>
        <v>75</v>
      </c>
      <c r="N2511" s="17" t="s">
        <v>64</v>
      </c>
      <c r="O2511" s="11"/>
      <c r="P2511" s="28"/>
      <c r="Q2511" s="28" t="n">
        <f aca="false">P2511*$M2511</f>
        <v>0</v>
      </c>
      <c r="R2511" s="28"/>
      <c r="S2511" s="28" t="n">
        <f aca="false">R2511*$M2511</f>
        <v>0</v>
      </c>
      <c r="T2511" s="28" t="n">
        <f aca="false">5807/100</f>
        <v>58.07</v>
      </c>
      <c r="U2511" s="28" t="n">
        <v>4355</v>
      </c>
      <c r="V2511" s="28"/>
      <c r="W2511" s="28" t="n">
        <f aca="false">V2511*$M2511</f>
        <v>0</v>
      </c>
      <c r="X2511" s="28"/>
      <c r="Y2511" s="28" t="n">
        <f aca="false">X2511*$M2511</f>
        <v>0</v>
      </c>
      <c r="Z2511" s="28"/>
      <c r="AA2511" s="28" t="n">
        <f aca="false">Z2511*$M2511</f>
        <v>0</v>
      </c>
      <c r="AB2511" s="28"/>
      <c r="AC2511" s="28" t="n">
        <f aca="false">AB2511*$M2511</f>
        <v>0</v>
      </c>
      <c r="AD2511" s="28"/>
      <c r="AE2511" s="28" t="n">
        <f aca="false">AD2511*$M2511</f>
        <v>0</v>
      </c>
      <c r="AF2511" s="28"/>
      <c r="AG2511" s="28" t="n">
        <f aca="false">AF2511*$M2511</f>
        <v>0</v>
      </c>
      <c r="AH2511" s="28"/>
      <c r="AI2511" s="28" t="n">
        <f aca="false">AH2511*$M2511</f>
        <v>0</v>
      </c>
      <c r="AJ2511" s="28"/>
      <c r="AK2511" s="28" t="n">
        <f aca="false">AJ2511*$M2511</f>
        <v>0</v>
      </c>
      <c r="AL2511" s="28"/>
      <c r="AM2511" s="28" t="n">
        <f aca="false">AL2511*$M2511</f>
        <v>0</v>
      </c>
      <c r="AN2511" s="28"/>
      <c r="AO2511" s="28" t="n">
        <f aca="false">AN2511*$M2511</f>
        <v>0</v>
      </c>
      <c r="AP2511" s="28"/>
      <c r="AQ2511" s="28" t="n">
        <f aca="false">AP2511*$M2511</f>
        <v>0</v>
      </c>
      <c r="AR2511" s="28"/>
      <c r="AS2511" s="28" t="n">
        <f aca="false">AR2511*$M2511</f>
        <v>0</v>
      </c>
      <c r="AT2511" s="28"/>
      <c r="AU2511" s="28" t="n">
        <f aca="false">AT2511*$M2511</f>
        <v>0</v>
      </c>
      <c r="AV2511" s="28"/>
      <c r="AW2511" s="28" t="n">
        <f aca="false">AV2511*$M2511</f>
        <v>0</v>
      </c>
      <c r="AX2511" s="28"/>
      <c r="AY2511" s="28" t="n">
        <f aca="false">AX2511*$M2511</f>
        <v>0</v>
      </c>
      <c r="AZ2511" s="30" t="n">
        <f aca="false">5807/100</f>
        <v>58.07</v>
      </c>
      <c r="BA2511" s="11" t="n">
        <v>4355</v>
      </c>
      <c r="BB2511" s="31" t="n">
        <f aca="false">SUM(Q2511,S2511,U2511,W2511,Y2511,AA2511,AC2511,AE2511,AG2511,AI2511,AK2511,AM2511,AO2511,AQ2511,AS2511,AU2511,AW2511,AY2511)</f>
        <v>4355</v>
      </c>
      <c r="BC2511" s="28" t="n">
        <f aca="false">BA2511-BB2511</f>
        <v>0</v>
      </c>
      <c r="BD2511" s="32" t="n">
        <f aca="false">SUM(P2511,R2511,T2511,V2511,X2511,Z2511,AB2511,AD2511,AF2511,AH2511,AJ2511,AL2511,AN2511,AP2511,AR2511,AT2511,AV2511,AX2511)</f>
        <v>58.07</v>
      </c>
      <c r="BE2511" s="33" t="n">
        <f aca="false">AZ2511-BD2511</f>
        <v>0</v>
      </c>
      <c r="BF2511" s="34" t="n">
        <f aca="false">BD2511*M2511</f>
        <v>4355.25</v>
      </c>
      <c r="BG2511" s="35" t="n">
        <f aca="false">BA2511-BF2511</f>
        <v>-0.25</v>
      </c>
      <c r="BH2511" s="19" t="str">
        <f aca="false">IF(BG2511=0,"",IF(BG2511&lt;&gt;BA2511,"erreur de calcul",IF(BD2511&lt;&gt;0,"pas de prix",IF(M2511&lt;&gt; 0,"pas de quantité","pas de prix, ni de quantité"))))</f>
        <v>erreur de calcul</v>
      </c>
      <c r="BI2511" s="19"/>
    </row>
    <row r="2512" customFormat="false" ht="15" hidden="false" customHeight="false" outlineLevel="0" collapsed="false">
      <c r="A2512" s="0" t="n">
        <v>12</v>
      </c>
      <c r="B2512" s="8" t="s">
        <v>24</v>
      </c>
      <c r="C2512" s="9" t="s">
        <v>25</v>
      </c>
      <c r="D2512" s="9" t="s">
        <v>26</v>
      </c>
      <c r="E2512" s="10" t="n">
        <v>1789</v>
      </c>
      <c r="F2512" s="9" t="s">
        <v>27</v>
      </c>
      <c r="G2512" s="9" t="s">
        <v>27</v>
      </c>
      <c r="H2512" s="11" t="n">
        <v>20</v>
      </c>
      <c r="I2512" s="11" t="s">
        <v>128</v>
      </c>
      <c r="J2512" s="14" t="n">
        <v>42</v>
      </c>
      <c r="K2512" s="14"/>
      <c r="L2512" s="16"/>
      <c r="M2512" s="27" t="n">
        <f aca="false">J2512+(K2512/20)+(L2512/240)</f>
        <v>42</v>
      </c>
      <c r="N2512" s="17" t="s">
        <v>64</v>
      </c>
      <c r="O2512" s="11"/>
      <c r="P2512" s="28"/>
      <c r="Q2512" s="28" t="n">
        <f aca="false">P2512*$M2512</f>
        <v>0</v>
      </c>
      <c r="R2512" s="28"/>
      <c r="S2512" s="28" t="n">
        <f aca="false">R2512*$M2512</f>
        <v>0</v>
      </c>
      <c r="T2512" s="28" t="n">
        <f aca="false">347073/100</f>
        <v>3470.73</v>
      </c>
      <c r="U2512" s="28" t="n">
        <v>145771</v>
      </c>
      <c r="V2512" s="28" t="n">
        <f aca="false">188616/100</f>
        <v>1886.16</v>
      </c>
      <c r="W2512" s="28" t="n">
        <v>79219</v>
      </c>
      <c r="X2512" s="28" t="n">
        <f aca="false">518894/100</f>
        <v>5188.94</v>
      </c>
      <c r="Y2512" s="28" t="n">
        <v>217935</v>
      </c>
      <c r="Z2512" s="28" t="n">
        <f aca="false">965148/100</f>
        <v>9651.48</v>
      </c>
      <c r="AA2512" s="28" t="n">
        <v>405362</v>
      </c>
      <c r="AB2512" s="28" t="n">
        <f aca="false">759238/100</f>
        <v>7592.38</v>
      </c>
      <c r="AC2512" s="28" t="n">
        <v>318880</v>
      </c>
      <c r="AD2512" s="28" t="n">
        <f aca="false">254167/100</f>
        <v>2541.67</v>
      </c>
      <c r="AE2512" s="28" t="n">
        <v>106750</v>
      </c>
      <c r="AF2512" s="28"/>
      <c r="AG2512" s="28" t="n">
        <f aca="false">AF2512*$M2512</f>
        <v>0</v>
      </c>
      <c r="AH2512" s="28"/>
      <c r="AI2512" s="28" t="n">
        <f aca="false">AH2512*$M2512</f>
        <v>0</v>
      </c>
      <c r="AJ2512" s="28"/>
      <c r="AK2512" s="28" t="n">
        <f aca="false">AJ2512*$M2512</f>
        <v>0</v>
      </c>
      <c r="AL2512" s="28" t="n">
        <f aca="false">73551/100</f>
        <v>735.51</v>
      </c>
      <c r="AM2512" s="28" t="n">
        <v>30891</v>
      </c>
      <c r="AN2512" s="28"/>
      <c r="AO2512" s="28" t="n">
        <f aca="false">AN2512*$M2512</f>
        <v>0</v>
      </c>
      <c r="AP2512" s="28" t="n">
        <f aca="false">45836/100</f>
        <v>458.36</v>
      </c>
      <c r="AQ2512" s="28" t="n">
        <v>19251</v>
      </c>
      <c r="AR2512" s="28"/>
      <c r="AS2512" s="28" t="n">
        <f aca="false">AR2512*$M2512</f>
        <v>0</v>
      </c>
      <c r="AT2512" s="28"/>
      <c r="AU2512" s="28" t="n">
        <f aca="false">AT2512*$M2512</f>
        <v>0</v>
      </c>
      <c r="AV2512" s="28" t="n">
        <f aca="false">566574/100</f>
        <v>5665.74</v>
      </c>
      <c r="AW2512" s="28" t="n">
        <v>237961</v>
      </c>
      <c r="AX2512" s="28"/>
      <c r="AY2512" s="28" t="n">
        <f aca="false">AX2512*$M2512</f>
        <v>0</v>
      </c>
      <c r="AZ2512" s="30" t="n">
        <f aca="false">3719097/100</f>
        <v>37190.97</v>
      </c>
      <c r="BA2512" s="11" t="n">
        <v>1562020</v>
      </c>
      <c r="BB2512" s="31" t="n">
        <f aca="false">SUM(Q2512,S2512,U2512,W2512,Y2512,AA2512,AC2512,AE2512,AG2512,AI2512,AK2512,AM2512,AO2512,AQ2512,AS2512,AU2512,AW2512,AY2512)</f>
        <v>1562020</v>
      </c>
      <c r="BC2512" s="28" t="n">
        <f aca="false">BA2512-BB2512</f>
        <v>0</v>
      </c>
      <c r="BD2512" s="32" t="n">
        <f aca="false">SUM(P2512,R2512,T2512,V2512,X2512,Z2512,AB2512,AD2512,AF2512,AH2512,AJ2512,AL2512,AN2512,AP2512,AR2512,AT2512,AV2512,AX2512)</f>
        <v>37190.97</v>
      </c>
      <c r="BE2512" s="33" t="n">
        <f aca="false">AZ2512-BD2512</f>
        <v>0</v>
      </c>
      <c r="BF2512" s="34" t="n">
        <f aca="false">BD2512*M2512</f>
        <v>1562020.74</v>
      </c>
      <c r="BG2512" s="35" t="n">
        <f aca="false">BA2512-BF2512</f>
        <v>-0.739999999990687</v>
      </c>
      <c r="BH2512" s="19" t="str">
        <f aca="false">IF(BG2512=0,"",IF(BG2512&lt;&gt;BA2512,"erreur de calcul",IF(BD2512&lt;&gt;0,"pas de prix",IF(M2512&lt;&gt; 0,"pas de quantité","pas de prix, ni de quantité"))))</f>
        <v>erreur de calcul</v>
      </c>
      <c r="BI2512" s="19"/>
    </row>
    <row r="2513" customFormat="false" ht="15" hidden="false" customHeight="false" outlineLevel="0" collapsed="false">
      <c r="A2513" s="0" t="n">
        <v>13</v>
      </c>
      <c r="B2513" s="8" t="s">
        <v>24</v>
      </c>
      <c r="C2513" s="9" t="s">
        <v>25</v>
      </c>
      <c r="D2513" s="9" t="s">
        <v>26</v>
      </c>
      <c r="E2513" s="10" t="n">
        <v>1789</v>
      </c>
      <c r="F2513" s="9" t="s">
        <v>27</v>
      </c>
      <c r="G2513" s="9" t="s">
        <v>27</v>
      </c>
      <c r="H2513" s="11" t="n">
        <v>20</v>
      </c>
      <c r="I2513" s="11" t="s">
        <v>129</v>
      </c>
      <c r="J2513" s="14" t="n">
        <v>75</v>
      </c>
      <c r="K2513" s="14"/>
      <c r="L2513" s="16"/>
      <c r="M2513" s="27" t="n">
        <f aca="false">J2513+(K2513/20)+(L2513/240)</f>
        <v>75</v>
      </c>
      <c r="N2513" s="17" t="s">
        <v>64</v>
      </c>
      <c r="O2513" s="11"/>
      <c r="P2513" s="28"/>
      <c r="Q2513" s="28" t="n">
        <f aca="false">P2513*$M2513</f>
        <v>0</v>
      </c>
      <c r="R2513" s="28"/>
      <c r="S2513" s="28" t="n">
        <f aca="false">R2513*$M2513</f>
        <v>0</v>
      </c>
      <c r="T2513" s="28"/>
      <c r="U2513" s="28" t="n">
        <f aca="false">T2513*$M2513</f>
        <v>0</v>
      </c>
      <c r="V2513" s="28" t="n">
        <f aca="false">3418/100</f>
        <v>34.18</v>
      </c>
      <c r="W2513" s="28" t="n">
        <v>2563</v>
      </c>
      <c r="X2513" s="28" t="n">
        <f aca="false">3755/100</f>
        <v>37.55</v>
      </c>
      <c r="Y2513" s="28" t="n">
        <v>2817</v>
      </c>
      <c r="Z2513" s="28"/>
      <c r="AA2513" s="28" t="n">
        <f aca="false">Z2513*$M2513</f>
        <v>0</v>
      </c>
      <c r="AB2513" s="28" t="n">
        <f aca="false">75529/100</f>
        <v>755.29</v>
      </c>
      <c r="AC2513" s="28" t="n">
        <v>56647</v>
      </c>
      <c r="AD2513" s="28"/>
      <c r="AE2513" s="28" t="n">
        <f aca="false">AD2513*$M2513</f>
        <v>0</v>
      </c>
      <c r="AF2513" s="28"/>
      <c r="AG2513" s="28" t="n">
        <f aca="false">AF2513*$M2513</f>
        <v>0</v>
      </c>
      <c r="AH2513" s="28"/>
      <c r="AI2513" s="28" t="n">
        <f aca="false">AH2513*$M2513</f>
        <v>0</v>
      </c>
      <c r="AJ2513" s="28"/>
      <c r="AK2513" s="28" t="n">
        <f aca="false">AJ2513*$M2513</f>
        <v>0</v>
      </c>
      <c r="AL2513" s="28"/>
      <c r="AM2513" s="28" t="n">
        <f aca="false">AL2513*$M2513</f>
        <v>0</v>
      </c>
      <c r="AN2513" s="28"/>
      <c r="AO2513" s="28" t="n">
        <f aca="false">AN2513*$M2513</f>
        <v>0</v>
      </c>
      <c r="AP2513" s="28"/>
      <c r="AQ2513" s="28" t="n">
        <f aca="false">AP2513*$M2513</f>
        <v>0</v>
      </c>
      <c r="AR2513" s="28"/>
      <c r="AS2513" s="28" t="n">
        <f aca="false">AR2513*$M2513</f>
        <v>0</v>
      </c>
      <c r="AT2513" s="28"/>
      <c r="AU2513" s="28" t="n">
        <f aca="false">AT2513*$M2513</f>
        <v>0</v>
      </c>
      <c r="AV2513" s="28"/>
      <c r="AW2513" s="28" t="n">
        <f aca="false">AV2513*$M2513</f>
        <v>0</v>
      </c>
      <c r="AX2513" s="28"/>
      <c r="AY2513" s="28" t="n">
        <f aca="false">AX2513*$M2513</f>
        <v>0</v>
      </c>
      <c r="AZ2513" s="30" t="n">
        <f aca="false">82702/100</f>
        <v>827.02</v>
      </c>
      <c r="BA2513" s="11" t="n">
        <v>62027</v>
      </c>
      <c r="BB2513" s="31" t="n">
        <f aca="false">SUM(Q2513,S2513,U2513,W2513,Y2513,AA2513,AC2513,AE2513,AG2513,AI2513,AK2513,AM2513,AO2513,AQ2513,AS2513,AU2513,AW2513,AY2513)</f>
        <v>62027</v>
      </c>
      <c r="BC2513" s="28" t="n">
        <f aca="false">BA2513-BB2513</f>
        <v>0</v>
      </c>
      <c r="BD2513" s="32" t="n">
        <f aca="false">SUM(P2513,R2513,T2513,V2513,X2513,Z2513,AB2513,AD2513,AF2513,AH2513,AJ2513,AL2513,AN2513,AP2513,AR2513,AT2513,AV2513,AX2513)</f>
        <v>827.02</v>
      </c>
      <c r="BE2513" s="33" t="n">
        <f aca="false">AZ2513-BD2513</f>
        <v>0</v>
      </c>
      <c r="BF2513" s="34" t="n">
        <f aca="false">BD2513*M2513</f>
        <v>62026.5</v>
      </c>
      <c r="BG2513" s="35" t="n">
        <f aca="false">BA2513-BF2513</f>
        <v>0.500000000007276</v>
      </c>
      <c r="BH2513" s="19" t="str">
        <f aca="false">IF(BG2513=0,"",IF(BG2513&lt;&gt;BA2513,"erreur de calcul",IF(BD2513&lt;&gt;0,"pas de prix",IF(M2513&lt;&gt; 0,"pas de quantité","pas de prix, ni de quantité"))))</f>
        <v>erreur de calcul</v>
      </c>
      <c r="BI2513" s="19"/>
    </row>
    <row r="2514" customFormat="false" ht="15" hidden="false" customHeight="false" outlineLevel="0" collapsed="false">
      <c r="A2514" s="0" t="n">
        <v>14</v>
      </c>
      <c r="B2514" s="8" t="s">
        <v>24</v>
      </c>
      <c r="C2514" s="9" t="s">
        <v>25</v>
      </c>
      <c r="D2514" s="9" t="s">
        <v>26</v>
      </c>
      <c r="E2514" s="10" t="n">
        <v>1789</v>
      </c>
      <c r="F2514" s="9" t="s">
        <v>27</v>
      </c>
      <c r="G2514" s="9" t="s">
        <v>27</v>
      </c>
      <c r="H2514" s="11" t="n">
        <v>20</v>
      </c>
      <c r="I2514" s="11" t="s">
        <v>130</v>
      </c>
      <c r="J2514" s="14" t="n">
        <v>170</v>
      </c>
      <c r="K2514" s="14"/>
      <c r="L2514" s="16"/>
      <c r="M2514" s="27" t="n">
        <f aca="false">J2514+(K2514/20)+(L2514/240)</f>
        <v>170</v>
      </c>
      <c r="N2514" s="17" t="s">
        <v>64</v>
      </c>
      <c r="O2514" s="11"/>
      <c r="P2514" s="28"/>
      <c r="Q2514" s="28" t="n">
        <f aca="false">P2514*$M2514</f>
        <v>0</v>
      </c>
      <c r="R2514" s="28"/>
      <c r="S2514" s="28" t="n">
        <f aca="false">R2514*$M2514</f>
        <v>0</v>
      </c>
      <c r="T2514" s="28" t="n">
        <f aca="false">488/100</f>
        <v>4.88</v>
      </c>
      <c r="U2514" s="28" t="n">
        <v>830</v>
      </c>
      <c r="V2514" s="28"/>
      <c r="W2514" s="28" t="n">
        <f aca="false">V2514*$M2514</f>
        <v>0</v>
      </c>
      <c r="X2514" s="28" t="n">
        <f aca="false">8480/100</f>
        <v>84.8</v>
      </c>
      <c r="Y2514" s="28" t="n">
        <v>14416</v>
      </c>
      <c r="Z2514" s="28"/>
      <c r="AA2514" s="28" t="n">
        <f aca="false">Z2514*$M2514</f>
        <v>0</v>
      </c>
      <c r="AB2514" s="28" t="n">
        <f aca="false">291/100</f>
        <v>2.91</v>
      </c>
      <c r="AC2514" s="28" t="n">
        <v>495</v>
      </c>
      <c r="AD2514" s="28"/>
      <c r="AE2514" s="28" t="n">
        <f aca="false">AD2514*$M2514</f>
        <v>0</v>
      </c>
      <c r="AF2514" s="28"/>
      <c r="AG2514" s="28" t="n">
        <f aca="false">AF2514*$M2514</f>
        <v>0</v>
      </c>
      <c r="AH2514" s="28"/>
      <c r="AI2514" s="28" t="n">
        <f aca="false">AH2514*$M2514</f>
        <v>0</v>
      </c>
      <c r="AJ2514" s="28"/>
      <c r="AK2514" s="28" t="n">
        <f aca="false">AJ2514*$M2514</f>
        <v>0</v>
      </c>
      <c r="AL2514" s="28"/>
      <c r="AM2514" s="28" t="n">
        <f aca="false">AL2514*$M2514</f>
        <v>0</v>
      </c>
      <c r="AN2514" s="28"/>
      <c r="AO2514" s="28" t="n">
        <f aca="false">AN2514*$M2514</f>
        <v>0</v>
      </c>
      <c r="AP2514" s="28"/>
      <c r="AQ2514" s="28" t="n">
        <f aca="false">AP2514*$M2514</f>
        <v>0</v>
      </c>
      <c r="AR2514" s="28"/>
      <c r="AS2514" s="28" t="n">
        <f aca="false">AR2514*$M2514</f>
        <v>0</v>
      </c>
      <c r="AT2514" s="28"/>
      <c r="AU2514" s="28" t="n">
        <f aca="false">AT2514*$M2514</f>
        <v>0</v>
      </c>
      <c r="AV2514" s="28"/>
      <c r="AW2514" s="28" t="n">
        <f aca="false">AV2514*$M2514</f>
        <v>0</v>
      </c>
      <c r="AX2514" s="28"/>
      <c r="AY2514" s="28" t="n">
        <f aca="false">AX2514*$M2514</f>
        <v>0</v>
      </c>
      <c r="AZ2514" s="30" t="n">
        <f aca="false">9259/100</f>
        <v>92.59</v>
      </c>
      <c r="BA2514" s="11" t="n">
        <v>15741</v>
      </c>
      <c r="BB2514" s="31" t="n">
        <f aca="false">SUM(Q2514,S2514,U2514,W2514,Y2514,AA2514,AC2514,AE2514,AG2514,AI2514,AK2514,AM2514,AO2514,AQ2514,AS2514,AU2514,AW2514,AY2514)</f>
        <v>15741</v>
      </c>
      <c r="BC2514" s="28" t="n">
        <f aca="false">BA2514-BB2514</f>
        <v>0</v>
      </c>
      <c r="BD2514" s="32" t="n">
        <f aca="false">SUM(P2514,R2514,T2514,V2514,X2514,Z2514,AB2514,AD2514,AF2514,AH2514,AJ2514,AL2514,AN2514,AP2514,AR2514,AT2514,AV2514,AX2514)</f>
        <v>92.59</v>
      </c>
      <c r="BE2514" s="33" t="n">
        <f aca="false">AZ2514-BD2514</f>
        <v>0</v>
      </c>
      <c r="BF2514" s="34" t="n">
        <f aca="false">BD2514*M2514</f>
        <v>15740.3</v>
      </c>
      <c r="BG2514" s="35" t="n">
        <f aca="false">BA2514-BF2514</f>
        <v>0.700000000002547</v>
      </c>
      <c r="BH2514" s="19" t="str">
        <f aca="false">IF(BG2514=0,"",IF(BG2514&lt;&gt;BA2514,"erreur de calcul",IF(BD2514&lt;&gt;0,"pas de prix",IF(M2514&lt;&gt; 0,"pas de quantité","pas de prix, ni de quantité"))))</f>
        <v>erreur de calcul</v>
      </c>
      <c r="BI2514" s="19"/>
    </row>
    <row r="2515" customFormat="false" ht="15" hidden="false" customHeight="false" outlineLevel="0" collapsed="false">
      <c r="A2515" s="0" t="n">
        <v>15</v>
      </c>
      <c r="B2515" s="8" t="s">
        <v>24</v>
      </c>
      <c r="C2515" s="9" t="s">
        <v>25</v>
      </c>
      <c r="D2515" s="9" t="s">
        <v>26</v>
      </c>
      <c r="E2515" s="10" t="n">
        <v>1789</v>
      </c>
      <c r="F2515" s="9" t="s">
        <v>27</v>
      </c>
      <c r="G2515" s="9" t="s">
        <v>27</v>
      </c>
      <c r="H2515" s="11" t="n">
        <v>20</v>
      </c>
      <c r="I2515" s="11" t="s">
        <v>131</v>
      </c>
      <c r="J2515" s="14"/>
      <c r="K2515" s="14" t="n">
        <v>55</v>
      </c>
      <c r="L2515" s="16"/>
      <c r="M2515" s="27" t="n">
        <f aca="false">J2515+(K2515/20)+(L2515/240)</f>
        <v>2.75</v>
      </c>
      <c r="N2515" s="17" t="s">
        <v>64</v>
      </c>
      <c r="O2515" s="11"/>
      <c r="P2515" s="28"/>
      <c r="Q2515" s="28" t="n">
        <f aca="false">P2515*$M2515</f>
        <v>0</v>
      </c>
      <c r="R2515" s="28"/>
      <c r="S2515" s="28" t="n">
        <f aca="false">R2515*$M2515</f>
        <v>0</v>
      </c>
      <c r="T2515" s="28"/>
      <c r="U2515" s="28" t="n">
        <f aca="false">T2515*$M2515</f>
        <v>0</v>
      </c>
      <c r="V2515" s="28"/>
      <c r="W2515" s="28" t="n">
        <f aca="false">V2515*$M2515</f>
        <v>0</v>
      </c>
      <c r="X2515" s="28" t="n">
        <f aca="false">3875617/100</f>
        <v>38756.17</v>
      </c>
      <c r="Y2515" s="28" t="n">
        <v>106579</v>
      </c>
      <c r="Z2515" s="28" t="n">
        <f aca="false">62500/100</f>
        <v>625</v>
      </c>
      <c r="AA2515" s="28" t="n">
        <v>1719</v>
      </c>
      <c r="AB2515" s="28" t="n">
        <f aca="false">360000/100</f>
        <v>3600</v>
      </c>
      <c r="AC2515" s="28" t="n">
        <v>9900</v>
      </c>
      <c r="AD2515" s="28"/>
      <c r="AE2515" s="28" t="n">
        <f aca="false">AD2515*$M2515</f>
        <v>0</v>
      </c>
      <c r="AF2515" s="28"/>
      <c r="AG2515" s="28" t="n">
        <f aca="false">AF2515*$M2515</f>
        <v>0</v>
      </c>
      <c r="AH2515" s="28"/>
      <c r="AI2515" s="28" t="n">
        <f aca="false">AH2515*$M2515</f>
        <v>0</v>
      </c>
      <c r="AJ2515" s="28"/>
      <c r="AK2515" s="28" t="n">
        <f aca="false">AJ2515*$M2515</f>
        <v>0</v>
      </c>
      <c r="AL2515" s="28"/>
      <c r="AM2515" s="28" t="n">
        <f aca="false">AL2515*$M2515</f>
        <v>0</v>
      </c>
      <c r="AN2515" s="28"/>
      <c r="AO2515" s="28" t="n">
        <f aca="false">AN2515*$M2515</f>
        <v>0</v>
      </c>
      <c r="AP2515" s="28"/>
      <c r="AQ2515" s="28" t="n">
        <f aca="false">AP2515*$M2515</f>
        <v>0</v>
      </c>
      <c r="AR2515" s="28"/>
      <c r="AS2515" s="28" t="n">
        <f aca="false">AR2515*$M2515</f>
        <v>0</v>
      </c>
      <c r="AT2515" s="28"/>
      <c r="AU2515" s="28" t="n">
        <f aca="false">AT2515*$M2515</f>
        <v>0</v>
      </c>
      <c r="AV2515" s="28"/>
      <c r="AW2515" s="28" t="n">
        <f aca="false">AV2515*$M2515</f>
        <v>0</v>
      </c>
      <c r="AX2515" s="28"/>
      <c r="AY2515" s="28" t="n">
        <f aca="false">AX2515*$M2515</f>
        <v>0</v>
      </c>
      <c r="AZ2515" s="30" t="n">
        <f aca="false">4298117/100</f>
        <v>42981.17</v>
      </c>
      <c r="BA2515" s="11" t="n">
        <v>118198</v>
      </c>
      <c r="BB2515" s="31" t="n">
        <f aca="false">SUM(Q2515,S2515,U2515,W2515,Y2515,AA2515,AC2515,AE2515,AG2515,AI2515,AK2515,AM2515,AO2515,AQ2515,AS2515,AU2515,AW2515,AY2515)</f>
        <v>118198</v>
      </c>
      <c r="BC2515" s="28" t="n">
        <f aca="false">BA2515-BB2515</f>
        <v>0</v>
      </c>
      <c r="BD2515" s="32" t="n">
        <f aca="false">SUM(P2515,R2515,T2515,V2515,X2515,Z2515,AB2515,AD2515,AF2515,AH2515,AJ2515,AL2515,AN2515,AP2515,AR2515,AT2515,AV2515,AX2515)</f>
        <v>42981.17</v>
      </c>
      <c r="BE2515" s="33" t="n">
        <f aca="false">AZ2515-BD2515</f>
        <v>0</v>
      </c>
      <c r="BF2515" s="34" t="n">
        <f aca="false">BD2515*M2515</f>
        <v>118198.2175</v>
      </c>
      <c r="BG2515" s="35" t="n">
        <f aca="false">BA2515-BF2515</f>
        <v>-0.217499999998836</v>
      </c>
      <c r="BH2515" s="19" t="str">
        <f aca="false">IF(BG2515=0,"",IF(BG2515&lt;&gt;BA2515,"erreur de calcul",IF(BD2515&lt;&gt;0,"pas de prix",IF(M2515&lt;&gt; 0,"pas de quantité","pas de prix, ni de quantité"))))</f>
        <v>erreur de calcul</v>
      </c>
      <c r="BI2515" s="19"/>
    </row>
    <row r="2516" customFormat="false" ht="15" hidden="false" customHeight="false" outlineLevel="0" collapsed="false">
      <c r="A2516" s="0" t="n">
        <v>16</v>
      </c>
      <c r="B2516" s="8" t="s">
        <v>24</v>
      </c>
      <c r="C2516" s="9" t="s">
        <v>25</v>
      </c>
      <c r="D2516" s="9" t="s">
        <v>26</v>
      </c>
      <c r="E2516" s="10" t="n">
        <v>1789</v>
      </c>
      <c r="F2516" s="9" t="s">
        <v>27</v>
      </c>
      <c r="G2516" s="9" t="s">
        <v>27</v>
      </c>
      <c r="H2516" s="11" t="n">
        <v>20</v>
      </c>
      <c r="I2516" s="11" t="s">
        <v>132</v>
      </c>
      <c r="J2516" s="14"/>
      <c r="K2516" s="14" t="n">
        <v>50</v>
      </c>
      <c r="L2516" s="16"/>
      <c r="M2516" s="27" t="n">
        <f aca="false">J2516+(K2516/20)+(L2516/240)</f>
        <v>2.5</v>
      </c>
      <c r="N2516" s="17" t="s">
        <v>64</v>
      </c>
      <c r="O2516" s="11"/>
      <c r="P2516" s="28"/>
      <c r="Q2516" s="28" t="n">
        <f aca="false">P2516*$M2516</f>
        <v>0</v>
      </c>
      <c r="R2516" s="28"/>
      <c r="S2516" s="28" t="n">
        <f aca="false">R2516*$M2516</f>
        <v>0</v>
      </c>
      <c r="T2516" s="28"/>
      <c r="U2516" s="28" t="n">
        <f aca="false">T2516*$M2516</f>
        <v>0</v>
      </c>
      <c r="V2516" s="28" t="n">
        <f aca="false">25000/100</f>
        <v>250</v>
      </c>
      <c r="W2516" s="28" t="n">
        <v>625</v>
      </c>
      <c r="X2516" s="28" t="n">
        <f aca="false">9335/100</f>
        <v>93.35</v>
      </c>
      <c r="Y2516" s="28" t="n">
        <v>233</v>
      </c>
      <c r="Z2516" s="28"/>
      <c r="AA2516" s="28" t="n">
        <f aca="false">Z2516*$M2516</f>
        <v>0</v>
      </c>
      <c r="AB2516" s="28"/>
      <c r="AC2516" s="28" t="n">
        <f aca="false">AB2516*$M2516</f>
        <v>0</v>
      </c>
      <c r="AD2516" s="28"/>
      <c r="AE2516" s="28" t="n">
        <f aca="false">AD2516*$M2516</f>
        <v>0</v>
      </c>
      <c r="AF2516" s="28"/>
      <c r="AG2516" s="28" t="n">
        <f aca="false">AF2516*$M2516</f>
        <v>0</v>
      </c>
      <c r="AH2516" s="28"/>
      <c r="AI2516" s="28" t="n">
        <f aca="false">AH2516*$M2516</f>
        <v>0</v>
      </c>
      <c r="AJ2516" s="28"/>
      <c r="AK2516" s="28" t="n">
        <f aca="false">AJ2516*$M2516</f>
        <v>0</v>
      </c>
      <c r="AL2516" s="28"/>
      <c r="AM2516" s="28" t="n">
        <f aca="false">AL2516*$M2516</f>
        <v>0</v>
      </c>
      <c r="AN2516" s="28"/>
      <c r="AO2516" s="28" t="n">
        <f aca="false">AN2516*$M2516</f>
        <v>0</v>
      </c>
      <c r="AP2516" s="28"/>
      <c r="AQ2516" s="28" t="n">
        <f aca="false">AP2516*$M2516</f>
        <v>0</v>
      </c>
      <c r="AR2516" s="28"/>
      <c r="AS2516" s="28" t="n">
        <f aca="false">AR2516*$M2516</f>
        <v>0</v>
      </c>
      <c r="AT2516" s="28"/>
      <c r="AU2516" s="28" t="n">
        <f aca="false">AT2516*$M2516</f>
        <v>0</v>
      </c>
      <c r="AV2516" s="28"/>
      <c r="AW2516" s="28" t="n">
        <f aca="false">AV2516*$M2516</f>
        <v>0</v>
      </c>
      <c r="AX2516" s="28"/>
      <c r="AY2516" s="28" t="n">
        <f aca="false">AX2516*$M2516</f>
        <v>0</v>
      </c>
      <c r="AZ2516" s="30" t="n">
        <f aca="false">34335/100</f>
        <v>343.35</v>
      </c>
      <c r="BA2516" s="11" t="n">
        <v>858</v>
      </c>
      <c r="BB2516" s="31" t="n">
        <f aca="false">SUM(Q2516,S2516,U2516,W2516,Y2516,AA2516,AC2516,AE2516,AG2516,AI2516,AK2516,AM2516,AO2516,AQ2516,AS2516,AU2516,AW2516,AY2516)</f>
        <v>858</v>
      </c>
      <c r="BC2516" s="28" t="n">
        <f aca="false">BA2516-BB2516</f>
        <v>0</v>
      </c>
      <c r="BD2516" s="32" t="n">
        <f aca="false">SUM(P2516,R2516,T2516,V2516,X2516,Z2516,AB2516,AD2516,AF2516,AH2516,AJ2516,AL2516,AN2516,AP2516,AR2516,AT2516,AV2516,AX2516)</f>
        <v>343.35</v>
      </c>
      <c r="BE2516" s="33" t="n">
        <f aca="false">AZ2516-BD2516</f>
        <v>0</v>
      </c>
      <c r="BF2516" s="34" t="n">
        <f aca="false">BD2516*M2516</f>
        <v>858.375</v>
      </c>
      <c r="BG2516" s="35" t="n">
        <f aca="false">BA2516-BF2516</f>
        <v>-0.375</v>
      </c>
      <c r="BH2516" s="19" t="str">
        <f aca="false">IF(BG2516=0,"",IF(BG2516&lt;&gt;BA2516,"erreur de calcul",IF(BD2516&lt;&gt;0,"pas de prix",IF(M2516&lt;&gt; 0,"pas de quantité","pas de prix, ni de quantité"))))</f>
        <v>erreur de calcul</v>
      </c>
      <c r="BI2516" s="19"/>
    </row>
    <row r="2517" customFormat="false" ht="15" hidden="false" customHeight="false" outlineLevel="0" collapsed="false">
      <c r="A2517" s="0" t="n">
        <v>17</v>
      </c>
      <c r="B2517" s="8" t="s">
        <v>24</v>
      </c>
      <c r="C2517" s="9" t="s">
        <v>25</v>
      </c>
      <c r="D2517" s="9" t="s">
        <v>26</v>
      </c>
      <c r="E2517" s="10" t="n">
        <v>1789</v>
      </c>
      <c r="F2517" s="9" t="s">
        <v>27</v>
      </c>
      <c r="G2517" s="9" t="s">
        <v>27</v>
      </c>
      <c r="H2517" s="11" t="n">
        <v>20</v>
      </c>
      <c r="I2517" s="11" t="s">
        <v>133</v>
      </c>
      <c r="J2517" s="14" t="n">
        <v>175</v>
      </c>
      <c r="K2517" s="14"/>
      <c r="L2517" s="16"/>
      <c r="M2517" s="27" t="n">
        <f aca="false">J2517+(K2517/20)+(L2517/240)</f>
        <v>175</v>
      </c>
      <c r="N2517" s="17" t="s">
        <v>64</v>
      </c>
      <c r="O2517" s="11"/>
      <c r="P2517" s="28" t="n">
        <f aca="false">84/100</f>
        <v>0.84</v>
      </c>
      <c r="Q2517" s="28" t="n">
        <v>147</v>
      </c>
      <c r="R2517" s="28"/>
      <c r="S2517" s="28" t="n">
        <f aca="false">R2517*$M2517</f>
        <v>0</v>
      </c>
      <c r="T2517" s="28"/>
      <c r="U2517" s="28" t="n">
        <f aca="false">T2517*$M2517</f>
        <v>0</v>
      </c>
      <c r="V2517" s="28" t="n">
        <f aca="false">124/100</f>
        <v>1.24</v>
      </c>
      <c r="W2517" s="28" t="n">
        <v>217</v>
      </c>
      <c r="X2517" s="28" t="n">
        <f aca="false">6034/100</f>
        <v>60.34</v>
      </c>
      <c r="Y2517" s="28" t="n">
        <v>10559</v>
      </c>
      <c r="Z2517" s="28" t="n">
        <f aca="false">147/100</f>
        <v>1.47</v>
      </c>
      <c r="AA2517" s="28" t="n">
        <v>257</v>
      </c>
      <c r="AB2517" s="28" t="n">
        <f aca="false">195/100</f>
        <v>1.95</v>
      </c>
      <c r="AC2517" s="28" t="n">
        <v>341</v>
      </c>
      <c r="AD2517" s="28"/>
      <c r="AE2517" s="28" t="n">
        <f aca="false">AD2517*$M2517</f>
        <v>0</v>
      </c>
      <c r="AF2517" s="28"/>
      <c r="AG2517" s="28" t="n">
        <f aca="false">AF2517*$M2517</f>
        <v>0</v>
      </c>
      <c r="AH2517" s="28"/>
      <c r="AI2517" s="28" t="n">
        <f aca="false">AH2517*$M2517</f>
        <v>0</v>
      </c>
      <c r="AJ2517" s="28"/>
      <c r="AK2517" s="28" t="n">
        <f aca="false">AJ2517*$M2517</f>
        <v>0</v>
      </c>
      <c r="AL2517" s="28"/>
      <c r="AM2517" s="28" t="n">
        <f aca="false">AL2517*$M2517</f>
        <v>0</v>
      </c>
      <c r="AN2517" s="28"/>
      <c r="AO2517" s="28" t="n">
        <f aca="false">AN2517*$M2517</f>
        <v>0</v>
      </c>
      <c r="AP2517" s="28"/>
      <c r="AQ2517" s="28" t="n">
        <f aca="false">AP2517*$M2517</f>
        <v>0</v>
      </c>
      <c r="AR2517" s="28"/>
      <c r="AS2517" s="28" t="n">
        <f aca="false">AR2517*$M2517</f>
        <v>0</v>
      </c>
      <c r="AT2517" s="28"/>
      <c r="AU2517" s="28" t="n">
        <f aca="false">AT2517*$M2517</f>
        <v>0</v>
      </c>
      <c r="AV2517" s="28"/>
      <c r="AW2517" s="28" t="n">
        <f aca="false">AV2517*$M2517</f>
        <v>0</v>
      </c>
      <c r="AX2517" s="28"/>
      <c r="AY2517" s="28" t="n">
        <f aca="false">AX2517*$M2517</f>
        <v>0</v>
      </c>
      <c r="AZ2517" s="30" t="n">
        <f aca="false">6584/100</f>
        <v>65.84</v>
      </c>
      <c r="BA2517" s="11" t="n">
        <v>11521</v>
      </c>
      <c r="BB2517" s="31" t="n">
        <f aca="false">SUM(Q2517,S2517,U2517,W2517,Y2517,AA2517,AC2517,AE2517,AG2517,AI2517,AK2517,AM2517,AO2517,AQ2517,AS2517,AU2517,AW2517,AY2517)</f>
        <v>11521</v>
      </c>
      <c r="BC2517" s="28" t="n">
        <f aca="false">BA2517-BB2517</f>
        <v>0</v>
      </c>
      <c r="BD2517" s="32" t="n">
        <f aca="false">SUM(P2517,R2517,T2517,V2517,X2517,Z2517,AB2517,AD2517,AF2517,AH2517,AJ2517,AL2517,AN2517,AP2517,AR2517,AT2517,AV2517,AX2517)</f>
        <v>65.84</v>
      </c>
      <c r="BE2517" s="33" t="n">
        <f aca="false">AZ2517-BD2517</f>
        <v>0</v>
      </c>
      <c r="BF2517" s="34" t="n">
        <f aca="false">BD2517*M2517</f>
        <v>11522</v>
      </c>
      <c r="BG2517" s="35" t="n">
        <f aca="false">BA2517-BF2517</f>
        <v>-1</v>
      </c>
      <c r="BH2517" s="19" t="str">
        <f aca="false">IF(BG2517=0,"",IF(BG2517&lt;&gt;BA2517,"erreur de calcul",IF(BD2517&lt;&gt;0,"pas de prix",IF(M2517&lt;&gt; 0,"pas de quantité","pas de prix, ni de quantité"))))</f>
        <v>erreur de calcul</v>
      </c>
      <c r="BI2517" s="19"/>
    </row>
    <row r="2518" customFormat="false" ht="15" hidden="false" customHeight="false" outlineLevel="0" collapsed="false">
      <c r="A2518" s="0" t="n">
        <v>18</v>
      </c>
      <c r="B2518" s="8" t="s">
        <v>24</v>
      </c>
      <c r="C2518" s="9" t="s">
        <v>25</v>
      </c>
      <c r="D2518" s="9" t="s">
        <v>26</v>
      </c>
      <c r="E2518" s="10" t="n">
        <v>1789</v>
      </c>
      <c r="F2518" s="9" t="s">
        <v>27</v>
      </c>
      <c r="G2518" s="9" t="s">
        <v>27</v>
      </c>
      <c r="H2518" s="11" t="n">
        <v>20</v>
      </c>
      <c r="I2518" s="11" t="s">
        <v>134</v>
      </c>
      <c r="J2518" s="14" t="n">
        <v>210</v>
      </c>
      <c r="K2518" s="14"/>
      <c r="L2518" s="16"/>
      <c r="M2518" s="27" t="n">
        <f aca="false">J2518+(K2518/20)+(L2518/240)</f>
        <v>210</v>
      </c>
      <c r="N2518" s="17" t="s">
        <v>64</v>
      </c>
      <c r="O2518" s="11"/>
      <c r="P2518" s="28"/>
      <c r="Q2518" s="28" t="n">
        <f aca="false">P2518*$M2518</f>
        <v>0</v>
      </c>
      <c r="R2518" s="28"/>
      <c r="S2518" s="28" t="n">
        <f aca="false">R2518*$M2518</f>
        <v>0</v>
      </c>
      <c r="T2518" s="28"/>
      <c r="U2518" s="28" t="n">
        <f aca="false">T2518*$M2518</f>
        <v>0</v>
      </c>
      <c r="V2518" s="28" t="n">
        <f aca="false">869/100</f>
        <v>8.69</v>
      </c>
      <c r="W2518" s="28" t="n">
        <v>1825</v>
      </c>
      <c r="X2518" s="28"/>
      <c r="Y2518" s="28" t="n">
        <f aca="false">X2518*$M2518</f>
        <v>0</v>
      </c>
      <c r="Z2518" s="28"/>
      <c r="AA2518" s="28" t="n">
        <f aca="false">Z2518*$M2518</f>
        <v>0</v>
      </c>
      <c r="AB2518" s="28"/>
      <c r="AC2518" s="28" t="n">
        <f aca="false">AB2518*$M2518</f>
        <v>0</v>
      </c>
      <c r="AD2518" s="28"/>
      <c r="AE2518" s="28" t="n">
        <f aca="false">AD2518*$M2518</f>
        <v>0</v>
      </c>
      <c r="AF2518" s="28"/>
      <c r="AG2518" s="28" t="n">
        <f aca="false">AF2518*$M2518</f>
        <v>0</v>
      </c>
      <c r="AH2518" s="28"/>
      <c r="AI2518" s="28" t="n">
        <f aca="false">AH2518*$M2518</f>
        <v>0</v>
      </c>
      <c r="AJ2518" s="28"/>
      <c r="AK2518" s="28" t="n">
        <f aca="false">AJ2518*$M2518</f>
        <v>0</v>
      </c>
      <c r="AL2518" s="28"/>
      <c r="AM2518" s="28" t="n">
        <f aca="false">AL2518*$M2518</f>
        <v>0</v>
      </c>
      <c r="AN2518" s="28"/>
      <c r="AO2518" s="28" t="n">
        <f aca="false">AN2518*$M2518</f>
        <v>0</v>
      </c>
      <c r="AP2518" s="28"/>
      <c r="AQ2518" s="28" t="n">
        <f aca="false">AP2518*$M2518</f>
        <v>0</v>
      </c>
      <c r="AR2518" s="28"/>
      <c r="AS2518" s="28" t="n">
        <f aca="false">AR2518*$M2518</f>
        <v>0</v>
      </c>
      <c r="AT2518" s="28"/>
      <c r="AU2518" s="28" t="n">
        <f aca="false">AT2518*$M2518</f>
        <v>0</v>
      </c>
      <c r="AV2518" s="28"/>
      <c r="AW2518" s="28" t="n">
        <f aca="false">AV2518*$M2518</f>
        <v>0</v>
      </c>
      <c r="AX2518" s="28"/>
      <c r="AY2518" s="28" t="n">
        <f aca="false">AX2518*$M2518</f>
        <v>0</v>
      </c>
      <c r="AZ2518" s="30" t="n">
        <f aca="false">869/100</f>
        <v>8.69</v>
      </c>
      <c r="BA2518" s="11" t="n">
        <v>1825</v>
      </c>
      <c r="BB2518" s="31" t="n">
        <f aca="false">SUM(Q2518,S2518,U2518,W2518,Y2518,AA2518,AC2518,AE2518,AG2518,AI2518,AK2518,AM2518,AO2518,AQ2518,AS2518,AU2518,AW2518,AY2518)</f>
        <v>1825</v>
      </c>
      <c r="BC2518" s="28" t="n">
        <f aca="false">BA2518-BB2518</f>
        <v>0</v>
      </c>
      <c r="BD2518" s="32" t="n">
        <f aca="false">SUM(P2518,R2518,T2518,V2518,X2518,Z2518,AB2518,AD2518,AF2518,AH2518,AJ2518,AL2518,AN2518,AP2518,AR2518,AT2518,AV2518,AX2518)</f>
        <v>8.69</v>
      </c>
      <c r="BE2518" s="33" t="n">
        <f aca="false">AZ2518-BD2518</f>
        <v>0</v>
      </c>
      <c r="BF2518" s="34" t="n">
        <f aca="false">BD2518*M2518</f>
        <v>1824.9</v>
      </c>
      <c r="BG2518" s="35" t="n">
        <f aca="false">BA2518-BF2518</f>
        <v>0.100000000000136</v>
      </c>
      <c r="BH2518" s="19" t="str">
        <f aca="false">IF(BG2518=0,"",IF(BG2518&lt;&gt;BA2518,"erreur de calcul",IF(BD2518&lt;&gt;0,"pas de prix",IF(M2518&lt;&gt; 0,"pas de quantité","pas de prix, ni de quantité"))))</f>
        <v>erreur de calcul</v>
      </c>
      <c r="BI2518" s="19"/>
    </row>
    <row r="2519" customFormat="false" ht="15" hidden="false" customHeight="false" outlineLevel="0" collapsed="false">
      <c r="A2519" s="0" t="n">
        <v>19</v>
      </c>
      <c r="B2519" s="8" t="s">
        <v>24</v>
      </c>
      <c r="C2519" s="9" t="s">
        <v>25</v>
      </c>
      <c r="D2519" s="9" t="s">
        <v>26</v>
      </c>
      <c r="E2519" s="10" t="n">
        <v>1789</v>
      </c>
      <c r="F2519" s="9" t="s">
        <v>27</v>
      </c>
      <c r="G2519" s="9" t="s">
        <v>27</v>
      </c>
      <c r="H2519" s="11" t="n">
        <v>20</v>
      </c>
      <c r="I2519" s="11" t="s">
        <v>135</v>
      </c>
      <c r="J2519" s="14" t="n">
        <v>170</v>
      </c>
      <c r="K2519" s="14"/>
      <c r="L2519" s="16"/>
      <c r="M2519" s="27" t="n">
        <f aca="false">J2519+(K2519/20)+(L2519/240)</f>
        <v>170</v>
      </c>
      <c r="N2519" s="17" t="s">
        <v>64</v>
      </c>
      <c r="O2519" s="11" t="s">
        <v>77</v>
      </c>
      <c r="P2519" s="28"/>
      <c r="Q2519" s="28" t="n">
        <f aca="false">P2519*$M2519</f>
        <v>0</v>
      </c>
      <c r="R2519" s="28"/>
      <c r="S2519" s="28" t="n">
        <f aca="false">R2519*$M2519</f>
        <v>0</v>
      </c>
      <c r="T2519" s="28"/>
      <c r="U2519" s="28" t="n">
        <f aca="false">T2519*$M2519</f>
        <v>0</v>
      </c>
      <c r="V2519" s="28"/>
      <c r="W2519" s="28" t="n">
        <f aca="false">V2519*$M2519</f>
        <v>0</v>
      </c>
      <c r="X2519" s="28"/>
      <c r="Y2519" s="28" t="n">
        <f aca="false">X2519*$M2519</f>
        <v>0</v>
      </c>
      <c r="Z2519" s="28"/>
      <c r="AA2519" s="28" t="n">
        <f aca="false">Z2519*$M2519</f>
        <v>0</v>
      </c>
      <c r="AB2519" s="28"/>
      <c r="AC2519" s="28" t="n">
        <f aca="false">AB2519*$M2519</f>
        <v>0</v>
      </c>
      <c r="AD2519" s="28"/>
      <c r="AE2519" s="28" t="n">
        <f aca="false">AD2519*$M2519</f>
        <v>0</v>
      </c>
      <c r="AF2519" s="28" t="n">
        <f aca="false">229459/100</f>
        <v>2294.59</v>
      </c>
      <c r="AG2519" s="28" t="n">
        <v>390080</v>
      </c>
      <c r="AH2519" s="28" t="n">
        <f aca="false">202301/100</f>
        <v>2023.01</v>
      </c>
      <c r="AI2519" s="28" t="n">
        <v>343912</v>
      </c>
      <c r="AJ2519" s="28"/>
      <c r="AK2519" s="28" t="n">
        <f aca="false">AJ2519*$M2519</f>
        <v>0</v>
      </c>
      <c r="AL2519" s="28"/>
      <c r="AM2519" s="28" t="n">
        <f aca="false">AL2519*$M2519</f>
        <v>0</v>
      </c>
      <c r="AN2519" s="28"/>
      <c r="AO2519" s="28" t="n">
        <f aca="false">AN2519*$M2519</f>
        <v>0</v>
      </c>
      <c r="AP2519" s="28"/>
      <c r="AQ2519" s="28" t="n">
        <f aca="false">AP2519*$M2519</f>
        <v>0</v>
      </c>
      <c r="AR2519" s="28"/>
      <c r="AS2519" s="28" t="n">
        <f aca="false">AR2519*$M2519</f>
        <v>0</v>
      </c>
      <c r="AT2519" s="28"/>
      <c r="AU2519" s="28" t="n">
        <f aca="false">AT2519*$M2519</f>
        <v>0</v>
      </c>
      <c r="AV2519" s="28"/>
      <c r="AW2519" s="28" t="n">
        <f aca="false">AV2519*$M2519</f>
        <v>0</v>
      </c>
      <c r="AX2519" s="28" t="n">
        <f aca="false">2736/100</f>
        <v>27.36</v>
      </c>
      <c r="AY2519" s="28" t="n">
        <v>4651</v>
      </c>
      <c r="AZ2519" s="30" t="n">
        <f aca="false">434496/100</f>
        <v>4344.96</v>
      </c>
      <c r="BA2519" s="11" t="n">
        <v>738643</v>
      </c>
      <c r="BB2519" s="31" t="n">
        <f aca="false">SUM(Q2519,S2519,U2519,W2519,Y2519,AA2519,AC2519,AE2519,AG2519,AI2519,AK2519,AM2519,AO2519,AQ2519,AS2519,AU2519,AW2519,AY2519)</f>
        <v>738643</v>
      </c>
      <c r="BC2519" s="28" t="n">
        <f aca="false">BA2519-BB2519</f>
        <v>0</v>
      </c>
      <c r="BD2519" s="32" t="n">
        <f aca="false">SUM(P2519,R2519,T2519,V2519,X2519,Z2519,AB2519,AD2519,AF2519,AH2519,AJ2519,AL2519,AN2519,AP2519,AR2519,AT2519,AV2519,AX2519)</f>
        <v>4344.96</v>
      </c>
      <c r="BE2519" s="33" t="n">
        <f aca="false">AZ2519-BD2519</f>
        <v>0</v>
      </c>
      <c r="BF2519" s="34" t="n">
        <f aca="false">BD2519*M2519</f>
        <v>738643.2</v>
      </c>
      <c r="BG2519" s="35" t="n">
        <f aca="false">BA2519-BF2519</f>
        <v>-0.199999999953434</v>
      </c>
      <c r="BH2519" s="19" t="str">
        <f aca="false">IF(BG2519=0,"",IF(BG2519&lt;&gt;BA2519,"erreur de calcul",IF(BD2519&lt;&gt;0,"pas de prix",IF(M2519&lt;&gt; 0,"pas de quantité","pas de prix, ni de quantité"))))</f>
        <v>erreur de calcul</v>
      </c>
      <c r="BI2519" s="19"/>
    </row>
    <row r="2520" customFormat="false" ht="15" hidden="false" customHeight="false" outlineLevel="0" collapsed="false">
      <c r="A2520" s="0" t="n">
        <v>20</v>
      </c>
      <c r="B2520" s="8" t="s">
        <v>24</v>
      </c>
      <c r="C2520" s="9" t="s">
        <v>25</v>
      </c>
      <c r="D2520" s="9" t="s">
        <v>26</v>
      </c>
      <c r="E2520" s="10" t="n">
        <v>1789</v>
      </c>
      <c r="F2520" s="9" t="s">
        <v>27</v>
      </c>
      <c r="G2520" s="9" t="s">
        <v>27</v>
      </c>
      <c r="H2520" s="11" t="n">
        <v>20</v>
      </c>
      <c r="I2520" s="11" t="s">
        <v>136</v>
      </c>
      <c r="J2520" s="14" t="n">
        <v>41</v>
      </c>
      <c r="K2520" s="14"/>
      <c r="L2520" s="16"/>
      <c r="M2520" s="27" t="n">
        <f aca="false">J2520+(K2520/20)+(L2520/240)</f>
        <v>41</v>
      </c>
      <c r="N2520" s="17" t="s">
        <v>64</v>
      </c>
      <c r="O2520" s="11"/>
      <c r="P2520" s="28" t="n">
        <f aca="false">1210/100</f>
        <v>12.1</v>
      </c>
      <c r="Q2520" s="28" t="n">
        <v>496</v>
      </c>
      <c r="R2520" s="28"/>
      <c r="S2520" s="28" t="n">
        <f aca="false">R2520*$M2520</f>
        <v>0</v>
      </c>
      <c r="T2520" s="28"/>
      <c r="U2520" s="28" t="n">
        <f aca="false">T2520*$M2520</f>
        <v>0</v>
      </c>
      <c r="V2520" s="28"/>
      <c r="W2520" s="28" t="n">
        <f aca="false">V2520*$M2520</f>
        <v>0</v>
      </c>
      <c r="X2520" s="28"/>
      <c r="Y2520" s="28" t="n">
        <f aca="false">X2520*$M2520</f>
        <v>0</v>
      </c>
      <c r="Z2520" s="28"/>
      <c r="AA2520" s="28" t="n">
        <f aca="false">Z2520*$M2520</f>
        <v>0</v>
      </c>
      <c r="AB2520" s="28"/>
      <c r="AC2520" s="28" t="n">
        <f aca="false">AB2520*$M2520</f>
        <v>0</v>
      </c>
      <c r="AD2520" s="28"/>
      <c r="AE2520" s="28" t="n">
        <f aca="false">AD2520*$M2520</f>
        <v>0</v>
      </c>
      <c r="AF2520" s="28"/>
      <c r="AG2520" s="28" t="n">
        <f aca="false">AF2520*$M2520</f>
        <v>0</v>
      </c>
      <c r="AH2520" s="28"/>
      <c r="AI2520" s="28" t="n">
        <f aca="false">AH2520*$M2520</f>
        <v>0</v>
      </c>
      <c r="AJ2520" s="28" t="n">
        <f aca="false">85034/100</f>
        <v>850.34</v>
      </c>
      <c r="AK2520" s="28" t="n">
        <v>34864</v>
      </c>
      <c r="AL2520" s="28" t="n">
        <f aca="false">1024/100</f>
        <v>10.24</v>
      </c>
      <c r="AM2520" s="28" t="n">
        <v>420</v>
      </c>
      <c r="AN2520" s="28"/>
      <c r="AO2520" s="28" t="n">
        <f aca="false">AN2520*$M2520</f>
        <v>0</v>
      </c>
      <c r="AP2520" s="28"/>
      <c r="AQ2520" s="28" t="n">
        <f aca="false">AP2520*$M2520</f>
        <v>0</v>
      </c>
      <c r="AR2520" s="28"/>
      <c r="AS2520" s="28" t="n">
        <f aca="false">AR2520*$M2520</f>
        <v>0</v>
      </c>
      <c r="AT2520" s="28"/>
      <c r="AU2520" s="28" t="n">
        <f aca="false">AT2520*$M2520</f>
        <v>0</v>
      </c>
      <c r="AV2520" s="28"/>
      <c r="AW2520" s="28" t="n">
        <f aca="false">AV2520*$M2520</f>
        <v>0</v>
      </c>
      <c r="AX2520" s="28"/>
      <c r="AY2520" s="28" t="n">
        <f aca="false">AX2520*$M2520</f>
        <v>0</v>
      </c>
      <c r="AZ2520" s="30" t="n">
        <f aca="false">87268/100</f>
        <v>872.68</v>
      </c>
      <c r="BA2520" s="11" t="n">
        <v>35780</v>
      </c>
      <c r="BB2520" s="31" t="n">
        <f aca="false">SUM(Q2520,S2520,U2520,W2520,Y2520,AA2520,AC2520,AE2520,AG2520,AI2520,AK2520,AM2520,AO2520,AQ2520,AS2520,AU2520,AW2520,AY2520)</f>
        <v>35780</v>
      </c>
      <c r="BC2520" s="28" t="n">
        <f aca="false">BA2520-BB2520</f>
        <v>0</v>
      </c>
      <c r="BD2520" s="32" t="n">
        <f aca="false">SUM(P2520,R2520,T2520,V2520,X2520,Z2520,AB2520,AD2520,AF2520,AH2520,AJ2520,AL2520,AN2520,AP2520,AR2520,AT2520,AV2520,AX2520)</f>
        <v>872.68</v>
      </c>
      <c r="BE2520" s="33" t="n">
        <f aca="false">AZ2520-BD2520</f>
        <v>0</v>
      </c>
      <c r="BF2520" s="34" t="n">
        <f aca="false">BD2520*M2520</f>
        <v>35779.88</v>
      </c>
      <c r="BG2520" s="35" t="n">
        <f aca="false">BA2520-BF2520</f>
        <v>0.119999999995343</v>
      </c>
      <c r="BH2520" s="19" t="str">
        <f aca="false">IF(BG2520=0,"",IF(BG2520&lt;&gt;BA2520,"erreur de calcul",IF(BD2520&lt;&gt;0,"pas de prix",IF(M2520&lt;&gt; 0,"pas de quantité","pas de prix, ni de quantité"))))</f>
        <v>erreur de calcul</v>
      </c>
      <c r="BI2520" s="19"/>
    </row>
    <row r="2521" customFormat="false" ht="15" hidden="false" customHeight="false" outlineLevel="0" collapsed="false">
      <c r="A2521" s="0" t="n">
        <v>21</v>
      </c>
      <c r="B2521" s="8" t="s">
        <v>24</v>
      </c>
      <c r="C2521" s="9" t="s">
        <v>25</v>
      </c>
      <c r="D2521" s="9" t="s">
        <v>26</v>
      </c>
      <c r="E2521" s="10" t="n">
        <v>1789</v>
      </c>
      <c r="F2521" s="9" t="s">
        <v>27</v>
      </c>
      <c r="G2521" s="9" t="s">
        <v>27</v>
      </c>
      <c r="H2521" s="11" t="n">
        <v>20</v>
      </c>
      <c r="I2521" s="11" t="s">
        <v>137</v>
      </c>
      <c r="J2521" s="14"/>
      <c r="K2521" s="14"/>
      <c r="L2521" s="16"/>
      <c r="M2521" s="27" t="n">
        <f aca="false">J2521+(K2521/20)+(L2521/240)</f>
        <v>0</v>
      </c>
      <c r="N2521" s="39" t="s">
        <v>138</v>
      </c>
      <c r="O2521" s="11"/>
      <c r="P2521" s="28" t="n">
        <v>337</v>
      </c>
      <c r="Q2521" s="28" t="n">
        <v>6250</v>
      </c>
      <c r="R2521" s="28"/>
      <c r="S2521" s="28" t="n">
        <f aca="false">R2521*$M2521</f>
        <v>0</v>
      </c>
      <c r="T2521" s="28"/>
      <c r="U2521" s="28" t="n">
        <f aca="false">T2521*$M2521</f>
        <v>0</v>
      </c>
      <c r="V2521" s="28" t="n">
        <v>760</v>
      </c>
      <c r="W2521" s="28" t="n">
        <v>18259</v>
      </c>
      <c r="X2521" s="28"/>
      <c r="Y2521" s="28" t="n">
        <f aca="false">X2521*$M2521</f>
        <v>0</v>
      </c>
      <c r="Z2521" s="28"/>
      <c r="AA2521" s="28" t="n">
        <f aca="false">Z2521*$M2521</f>
        <v>0</v>
      </c>
      <c r="AB2521" s="28"/>
      <c r="AC2521" s="28" t="n">
        <f aca="false">AB2521*$M2521</f>
        <v>0</v>
      </c>
      <c r="AD2521" s="28"/>
      <c r="AE2521" s="28" t="n">
        <f aca="false">AD2521*$M2521</f>
        <v>0</v>
      </c>
      <c r="AF2521" s="28"/>
      <c r="AG2521" s="28" t="n">
        <f aca="false">AF2521*$M2521</f>
        <v>0</v>
      </c>
      <c r="AH2521" s="28"/>
      <c r="AI2521" s="28" t="n">
        <f aca="false">AH2521*$M2521</f>
        <v>0</v>
      </c>
      <c r="AJ2521" s="28"/>
      <c r="AK2521" s="28" t="n">
        <f aca="false">AJ2521*$M2521</f>
        <v>0</v>
      </c>
      <c r="AL2521" s="28"/>
      <c r="AM2521" s="28" t="n">
        <f aca="false">AL2521*$M2521</f>
        <v>0</v>
      </c>
      <c r="AN2521" s="28"/>
      <c r="AO2521" s="28" t="n">
        <f aca="false">AN2521*$M2521</f>
        <v>0</v>
      </c>
      <c r="AP2521" s="28"/>
      <c r="AQ2521" s="28" t="n">
        <f aca="false">AP2521*$M2521</f>
        <v>0</v>
      </c>
      <c r="AR2521" s="28"/>
      <c r="AS2521" s="28" t="n">
        <f aca="false">AR2521*$M2521</f>
        <v>0</v>
      </c>
      <c r="AT2521" s="28"/>
      <c r="AU2521" s="28" t="n">
        <f aca="false">AT2521*$M2521</f>
        <v>0</v>
      </c>
      <c r="AV2521" s="28"/>
      <c r="AW2521" s="28" t="n">
        <f aca="false">AV2521*$M2521</f>
        <v>0</v>
      </c>
      <c r="AX2521" s="28"/>
      <c r="AY2521" s="28" t="n">
        <f aca="false">AX2521*$M2521</f>
        <v>0</v>
      </c>
      <c r="AZ2521" s="30" t="n">
        <f aca="false">1097</f>
        <v>1097</v>
      </c>
      <c r="BA2521" s="11" t="n">
        <v>24509</v>
      </c>
      <c r="BB2521" s="31" t="n">
        <f aca="false">SUM(Q2521,S2521,U2521,W2521,Y2521,AA2521,AC2521,AE2521,AG2521,AI2521,AK2521,AM2521,AO2521,AQ2521,AS2521,AU2521,AW2521,AY2521)</f>
        <v>24509</v>
      </c>
      <c r="BC2521" s="28" t="n">
        <f aca="false">BA2521-BB2521</f>
        <v>0</v>
      </c>
      <c r="BD2521" s="32" t="n">
        <f aca="false">SUM(P2521,R2521,T2521,V2521,X2521,Z2521,AB2521,AD2521,AF2521,AH2521,AJ2521,AL2521,AN2521,AP2521,AR2521,AT2521,AV2521,AX2521)</f>
        <v>1097</v>
      </c>
      <c r="BE2521" s="33" t="n">
        <f aca="false">AZ2521-BD2521</f>
        <v>0</v>
      </c>
      <c r="BF2521" s="34" t="n">
        <f aca="false">BD2521*M2521</f>
        <v>0</v>
      </c>
      <c r="BG2521" s="35" t="n">
        <f aca="false">BA2521-BF2521</f>
        <v>24509</v>
      </c>
      <c r="BH2521" s="19" t="str">
        <f aca="false">IF(BG2521=0,"",IF(BG2521&lt;&gt;BA2521,"erreur de calcul",IF(BD2521&lt;&gt;0,"pas de prix",IF(M2521&lt;&gt; 0,"pas de quantité","pas de prix, ni de quantité"))))</f>
        <v>pas de prix</v>
      </c>
      <c r="BI2521" s="19" t="s">
        <v>139</v>
      </c>
    </row>
    <row r="2522" customFormat="false" ht="15" hidden="false" customHeight="false" outlineLevel="0" collapsed="false">
      <c r="A2522" s="0" t="n">
        <v>22</v>
      </c>
      <c r="B2522" s="8" t="s">
        <v>24</v>
      </c>
      <c r="C2522" s="9" t="s">
        <v>25</v>
      </c>
      <c r="D2522" s="9" t="s">
        <v>26</v>
      </c>
      <c r="E2522" s="10" t="n">
        <v>1789</v>
      </c>
      <c r="F2522" s="9" t="s">
        <v>27</v>
      </c>
      <c r="G2522" s="9" t="s">
        <v>27</v>
      </c>
      <c r="H2522" s="11" t="n">
        <v>20</v>
      </c>
      <c r="I2522" s="11" t="s">
        <v>140</v>
      </c>
      <c r="J2522" s="14" t="n">
        <v>28</v>
      </c>
      <c r="K2522" s="14"/>
      <c r="L2522" s="16"/>
      <c r="M2522" s="27" t="n">
        <f aca="false">J2522+(K2522/20)+(L2522/240)</f>
        <v>28</v>
      </c>
      <c r="N2522" s="17" t="s">
        <v>64</v>
      </c>
      <c r="O2522" s="11"/>
      <c r="P2522" s="28"/>
      <c r="Q2522" s="28" t="n">
        <f aca="false">P2522*$M2522</f>
        <v>0</v>
      </c>
      <c r="R2522" s="28"/>
      <c r="S2522" s="28" t="n">
        <f aca="false">R2522*$M2522</f>
        <v>0</v>
      </c>
      <c r="T2522" s="28"/>
      <c r="U2522" s="28" t="n">
        <f aca="false">T2522*$M2522</f>
        <v>0</v>
      </c>
      <c r="V2522" s="28"/>
      <c r="W2522" s="28" t="n">
        <f aca="false">V2522*$M2522</f>
        <v>0</v>
      </c>
      <c r="X2522" s="28" t="n">
        <f aca="false">2572/100</f>
        <v>25.72</v>
      </c>
      <c r="Y2522" s="28" t="n">
        <v>720</v>
      </c>
      <c r="Z2522" s="28"/>
      <c r="AA2522" s="28" t="n">
        <f aca="false">Z2522*$M2522</f>
        <v>0</v>
      </c>
      <c r="AB2522" s="28"/>
      <c r="AC2522" s="28" t="n">
        <f aca="false">AB2522*$M2522</f>
        <v>0</v>
      </c>
      <c r="AD2522" s="28"/>
      <c r="AE2522" s="28" t="n">
        <f aca="false">AD2522*$M2522</f>
        <v>0</v>
      </c>
      <c r="AF2522" s="28" t="n">
        <f aca="false">3367/100</f>
        <v>33.67</v>
      </c>
      <c r="AG2522" s="36" t="n">
        <v>915</v>
      </c>
      <c r="AH2522" s="28"/>
      <c r="AI2522" s="28" t="n">
        <f aca="false">AH2522*$M2522</f>
        <v>0</v>
      </c>
      <c r="AJ2522" s="28"/>
      <c r="AK2522" s="28" t="n">
        <f aca="false">AJ2522*$M2522</f>
        <v>0</v>
      </c>
      <c r="AL2522" s="28"/>
      <c r="AM2522" s="28" t="n">
        <f aca="false">AL2522*$M2522</f>
        <v>0</v>
      </c>
      <c r="AN2522" s="28"/>
      <c r="AO2522" s="28" t="n">
        <f aca="false">AN2522*$M2522</f>
        <v>0</v>
      </c>
      <c r="AP2522" s="28"/>
      <c r="AQ2522" s="28" t="n">
        <f aca="false">AP2522*$M2522</f>
        <v>0</v>
      </c>
      <c r="AR2522" s="28"/>
      <c r="AS2522" s="28" t="n">
        <f aca="false">AR2522*$M2522</f>
        <v>0</v>
      </c>
      <c r="AT2522" s="28"/>
      <c r="AU2522" s="28" t="n">
        <f aca="false">AT2522*$M2522</f>
        <v>0</v>
      </c>
      <c r="AV2522" s="28"/>
      <c r="AW2522" s="28" t="n">
        <f aca="false">AV2522*$M2522</f>
        <v>0</v>
      </c>
      <c r="AX2522" s="28"/>
      <c r="AY2522" s="28" t="n">
        <f aca="false">AX2522*$M2522</f>
        <v>0</v>
      </c>
      <c r="AZ2522" s="30" t="n">
        <f aca="false">5939/100</f>
        <v>59.39</v>
      </c>
      <c r="BA2522" s="11" t="n">
        <v>1635</v>
      </c>
      <c r="BB2522" s="31" t="n">
        <f aca="false">SUM(Q2522,S2522,U2522,W2522,Y2522,AA2522,AC2522,AE2522,AG2522,AI2522,AK2522,AM2522,AO2522,AQ2522,AS2522,AU2522,AW2522,AY2522)</f>
        <v>1635</v>
      </c>
      <c r="BC2522" s="28" t="n">
        <f aca="false">BA2522-BB2522</f>
        <v>0</v>
      </c>
      <c r="BD2522" s="32" t="n">
        <f aca="false">SUM(P2522,R2522,T2522,V2522,X2522,Z2522,AB2522,AD2522,AF2522,AH2522,AJ2522,AL2522,AN2522,AP2522,AR2522,AT2522,AV2522,AX2522)</f>
        <v>59.39</v>
      </c>
      <c r="BE2522" s="33" t="n">
        <f aca="false">AZ2522-BD2522</f>
        <v>0</v>
      </c>
      <c r="BF2522" s="34" t="n">
        <f aca="false">BD2522*M2522</f>
        <v>1662.92</v>
      </c>
      <c r="BG2522" s="35" t="n">
        <f aca="false">BA2522-BF2522</f>
        <v>-27.9200000000001</v>
      </c>
      <c r="BH2522" s="19" t="str">
        <f aca="false">IF(BG2522=0,"",IF(BG2522&lt;&gt;BA2522,"erreur de calcul",IF(BD2522&lt;&gt;0,"pas de prix",IF(M2522&lt;&gt; 0,"pas de quantité","pas de prix, ni de quantité"))))</f>
        <v>erreur de calcul</v>
      </c>
      <c r="BI2522" s="19"/>
    </row>
    <row r="2523" customFormat="false" ht="15" hidden="false" customHeight="false" outlineLevel="0" collapsed="false">
      <c r="A2523" s="0" t="n">
        <v>23</v>
      </c>
      <c r="B2523" s="8" t="s">
        <v>24</v>
      </c>
      <c r="C2523" s="9" t="s">
        <v>25</v>
      </c>
      <c r="D2523" s="9" t="s">
        <v>26</v>
      </c>
      <c r="E2523" s="10" t="n">
        <v>1789</v>
      </c>
      <c r="F2523" s="9" t="s">
        <v>27</v>
      </c>
      <c r="G2523" s="9" t="s">
        <v>27</v>
      </c>
      <c r="H2523" s="11" t="n">
        <v>20</v>
      </c>
      <c r="I2523" s="11" t="s">
        <v>141</v>
      </c>
      <c r="J2523" s="14" t="n">
        <v>50</v>
      </c>
      <c r="K2523" s="14"/>
      <c r="L2523" s="16"/>
      <c r="M2523" s="27" t="n">
        <f aca="false">J2523+(K2523/20)+(L2523/240)</f>
        <v>50</v>
      </c>
      <c r="N2523" s="17" t="s">
        <v>64</v>
      </c>
      <c r="O2523" s="11"/>
      <c r="P2523" s="28" t="n">
        <f aca="false">79168/100</f>
        <v>791.68</v>
      </c>
      <c r="Q2523" s="28" t="n">
        <v>39584</v>
      </c>
      <c r="R2523" s="28"/>
      <c r="S2523" s="28" t="n">
        <f aca="false">R2523*$M2523</f>
        <v>0</v>
      </c>
      <c r="T2523" s="28" t="n">
        <f aca="false">18545/100</f>
        <v>185.45</v>
      </c>
      <c r="U2523" s="28" t="n">
        <v>9272</v>
      </c>
      <c r="V2523" s="28" t="n">
        <f aca="false">10784/100</f>
        <v>107.84</v>
      </c>
      <c r="W2523" s="28" t="n">
        <v>5392</v>
      </c>
      <c r="X2523" s="28" t="n">
        <f aca="false">22033/100</f>
        <v>220.33</v>
      </c>
      <c r="Y2523" s="28" t="n">
        <v>11016</v>
      </c>
      <c r="Z2523" s="28" t="n">
        <f aca="false">4478/100</f>
        <v>44.78</v>
      </c>
      <c r="AA2523" s="28" t="n">
        <v>2239</v>
      </c>
      <c r="AB2523" s="28" t="n">
        <f aca="false">8901/100</f>
        <v>89.01</v>
      </c>
      <c r="AC2523" s="28" t="n">
        <v>4450</v>
      </c>
      <c r="AD2523" s="28"/>
      <c r="AE2523" s="28" t="n">
        <f aca="false">AD2523*$M2523</f>
        <v>0</v>
      </c>
      <c r="AF2523" s="28"/>
      <c r="AG2523" s="28" t="n">
        <f aca="false">AF2523*$M2523</f>
        <v>0</v>
      </c>
      <c r="AH2523" s="28"/>
      <c r="AI2523" s="28" t="n">
        <f aca="false">AH2523*$M2523</f>
        <v>0</v>
      </c>
      <c r="AJ2523" s="28" t="n">
        <f aca="false">2917/100</f>
        <v>29.17</v>
      </c>
      <c r="AK2523" s="28" t="n">
        <v>1458</v>
      </c>
      <c r="AL2523" s="28"/>
      <c r="AM2523" s="28" t="n">
        <f aca="false">AL2523*$M2523</f>
        <v>0</v>
      </c>
      <c r="AN2523" s="28"/>
      <c r="AO2523" s="28" t="n">
        <f aca="false">AN2523*$M2523</f>
        <v>0</v>
      </c>
      <c r="AP2523" s="28"/>
      <c r="AQ2523" s="28" t="n">
        <f aca="false">AP2523*$M2523</f>
        <v>0</v>
      </c>
      <c r="AR2523" s="28"/>
      <c r="AS2523" s="28" t="n">
        <f aca="false">AR2523*$M2523</f>
        <v>0</v>
      </c>
      <c r="AT2523" s="28"/>
      <c r="AU2523" s="28" t="n">
        <f aca="false">AT2523*$M2523</f>
        <v>0</v>
      </c>
      <c r="AV2523" s="28" t="n">
        <f aca="false">6667/100</f>
        <v>66.67</v>
      </c>
      <c r="AW2523" s="28" t="n">
        <v>3333</v>
      </c>
      <c r="AX2523" s="28"/>
      <c r="AY2523" s="28" t="n">
        <f aca="false">AX2523*$M2523</f>
        <v>0</v>
      </c>
      <c r="AZ2523" s="30" t="n">
        <f aca="false">153493/100</f>
        <v>1534.93</v>
      </c>
      <c r="BA2523" s="11" t="n">
        <v>76744</v>
      </c>
      <c r="BB2523" s="31" t="n">
        <f aca="false">SUM(Q2523,S2523,U2523,W2523,Y2523,AA2523,AC2523,AE2523,AG2523,AI2523,AK2523,AM2523,AO2523,AQ2523,AS2523,AU2523,AW2523,AY2523)</f>
        <v>76744</v>
      </c>
      <c r="BC2523" s="28" t="n">
        <f aca="false">BA2523-BB2523</f>
        <v>0</v>
      </c>
      <c r="BD2523" s="32" t="n">
        <f aca="false">SUM(P2523,R2523,T2523,V2523,X2523,Z2523,AB2523,AD2523,AF2523,AH2523,AJ2523,AL2523,AN2523,AP2523,AR2523,AT2523,AV2523,AX2523)</f>
        <v>1534.93</v>
      </c>
      <c r="BE2523" s="33" t="n">
        <f aca="false">AZ2523-BD2523</f>
        <v>0</v>
      </c>
      <c r="BF2523" s="34" t="n">
        <f aca="false">BD2523*M2523</f>
        <v>76746.5</v>
      </c>
      <c r="BG2523" s="35" t="n">
        <f aca="false">BA2523-BF2523</f>
        <v>-2.49999999998545</v>
      </c>
      <c r="BH2523" s="19" t="str">
        <f aca="false">IF(BG2523=0,"",IF(BG2523&lt;&gt;BA2523,"erreur de calcul",IF(BD2523&lt;&gt;0,"pas de prix",IF(M2523&lt;&gt; 0,"pas de quantité","pas de prix, ni de quantité"))))</f>
        <v>erreur de calcul</v>
      </c>
      <c r="BI2523" s="19"/>
    </row>
    <row r="2524" customFormat="false" ht="15" hidden="false" customHeight="false" outlineLevel="0" collapsed="false">
      <c r="A2524" s="0" t="n">
        <v>24</v>
      </c>
      <c r="B2524" s="8" t="s">
        <v>24</v>
      </c>
      <c r="C2524" s="9" t="s">
        <v>25</v>
      </c>
      <c r="D2524" s="9" t="s">
        <v>26</v>
      </c>
      <c r="E2524" s="10" t="n">
        <v>1789</v>
      </c>
      <c r="F2524" s="9" t="s">
        <v>27</v>
      </c>
      <c r="G2524" s="9" t="s">
        <v>27</v>
      </c>
      <c r="H2524" s="11" t="n">
        <v>20</v>
      </c>
      <c r="I2524" s="11" t="s">
        <v>142</v>
      </c>
      <c r="J2524" s="14" t="n">
        <v>12</v>
      </c>
      <c r="K2524" s="14"/>
      <c r="L2524" s="16"/>
      <c r="M2524" s="27" t="n">
        <f aca="false">J2524+(K2524/20)+(L2524/240)</f>
        <v>12</v>
      </c>
      <c r="N2524" s="17" t="s">
        <v>66</v>
      </c>
      <c r="O2524" s="11"/>
      <c r="P2524" s="28"/>
      <c r="Q2524" s="28" t="n">
        <f aca="false">P2524*$M2524</f>
        <v>0</v>
      </c>
      <c r="R2524" s="28"/>
      <c r="S2524" s="28" t="n">
        <f aca="false">R2524*$M2524</f>
        <v>0</v>
      </c>
      <c r="T2524" s="28"/>
      <c r="U2524" s="28" t="n">
        <f aca="false">T2524*$M2524</f>
        <v>0</v>
      </c>
      <c r="V2524" s="28"/>
      <c r="W2524" s="28" t="n">
        <f aca="false">V2524*$M2524</f>
        <v>0</v>
      </c>
      <c r="X2524" s="28"/>
      <c r="Y2524" s="28" t="n">
        <f aca="false">X2524*$M2524</f>
        <v>0</v>
      </c>
      <c r="Z2524" s="28" t="n">
        <v>21</v>
      </c>
      <c r="AA2524" s="28" t="n">
        <v>252</v>
      </c>
      <c r="AB2524" s="28" t="n">
        <v>672</v>
      </c>
      <c r="AC2524" s="28" t="n">
        <v>8064</v>
      </c>
      <c r="AD2524" s="28"/>
      <c r="AE2524" s="28" t="n">
        <f aca="false">AD2524*$M2524</f>
        <v>0</v>
      </c>
      <c r="AF2524" s="28"/>
      <c r="AG2524" s="28" t="n">
        <f aca="false">AF2524*$M2524</f>
        <v>0</v>
      </c>
      <c r="AH2524" s="28"/>
      <c r="AI2524" s="28" t="n">
        <f aca="false">AH2524*$M2524</f>
        <v>0</v>
      </c>
      <c r="AJ2524" s="28"/>
      <c r="AK2524" s="28" t="n">
        <f aca="false">AJ2524*$M2524</f>
        <v>0</v>
      </c>
      <c r="AL2524" s="28"/>
      <c r="AM2524" s="28" t="n">
        <f aca="false">AL2524*$M2524</f>
        <v>0</v>
      </c>
      <c r="AN2524" s="28"/>
      <c r="AO2524" s="28" t="n">
        <f aca="false">AN2524*$M2524</f>
        <v>0</v>
      </c>
      <c r="AP2524" s="28"/>
      <c r="AQ2524" s="28" t="n">
        <f aca="false">AP2524*$M2524</f>
        <v>0</v>
      </c>
      <c r="AR2524" s="28"/>
      <c r="AS2524" s="28" t="n">
        <f aca="false">AR2524*$M2524</f>
        <v>0</v>
      </c>
      <c r="AT2524" s="28"/>
      <c r="AU2524" s="28" t="n">
        <f aca="false">AT2524*$M2524</f>
        <v>0</v>
      </c>
      <c r="AV2524" s="28"/>
      <c r="AW2524" s="28" t="n">
        <f aca="false">AV2524*$M2524</f>
        <v>0</v>
      </c>
      <c r="AX2524" s="28"/>
      <c r="AY2524" s="28" t="n">
        <f aca="false">AX2524*$M2524</f>
        <v>0</v>
      </c>
      <c r="AZ2524" s="30" t="n">
        <v>693</v>
      </c>
      <c r="BA2524" s="11" t="n">
        <v>8316</v>
      </c>
      <c r="BB2524" s="31" t="n">
        <f aca="false">SUM(Q2524,S2524,U2524,W2524,Y2524,AA2524,AC2524,AE2524,AG2524,AI2524,AK2524,AM2524,AO2524,AQ2524,AS2524,AU2524,AW2524,AY2524)</f>
        <v>8316</v>
      </c>
      <c r="BC2524" s="28" t="n">
        <f aca="false">BA2524-BB2524</f>
        <v>0</v>
      </c>
      <c r="BD2524" s="32" t="n">
        <f aca="false">SUM(P2524,R2524,T2524,V2524,X2524,Z2524,AB2524,AD2524,AF2524,AH2524,AJ2524,AL2524,AN2524,AP2524,AR2524,AT2524,AV2524,AX2524)</f>
        <v>693</v>
      </c>
      <c r="BE2524" s="33" t="n">
        <f aca="false">AZ2524-BD2524</f>
        <v>0</v>
      </c>
      <c r="BF2524" s="34" t="n">
        <f aca="false">BD2524*M2524</f>
        <v>8316</v>
      </c>
      <c r="BG2524" s="35" t="n">
        <f aca="false">BA2524-BF2524</f>
        <v>0</v>
      </c>
      <c r="BH2524" s="19" t="str">
        <f aca="false">IF(BG2524=0,"",IF(BG2524&lt;&gt;BA2524,"erreur de calcul",IF(BD2524&lt;&gt;0,"pas de prix",IF(M2524&lt;&gt; 0,"pas de quantité","pas de prix, ni de quantité"))))</f>
        <v/>
      </c>
      <c r="BI2524" s="19"/>
    </row>
    <row r="2525" customFormat="false" ht="15" hidden="false" customHeight="false" outlineLevel="0" collapsed="false">
      <c r="A2525" s="0" t="n">
        <v>25</v>
      </c>
      <c r="B2525" s="8" t="s">
        <v>24</v>
      </c>
      <c r="C2525" s="9" t="s">
        <v>25</v>
      </c>
      <c r="D2525" s="9" t="s">
        <v>26</v>
      </c>
      <c r="E2525" s="10" t="n">
        <v>1789</v>
      </c>
      <c r="F2525" s="9" t="s">
        <v>27</v>
      </c>
      <c r="G2525" s="9" t="s">
        <v>27</v>
      </c>
      <c r="H2525" s="11" t="n">
        <v>20</v>
      </c>
      <c r="I2525" s="11" t="s">
        <v>143</v>
      </c>
      <c r="J2525" s="14" t="n">
        <v>8</v>
      </c>
      <c r="K2525" s="14"/>
      <c r="L2525" s="16"/>
      <c r="M2525" s="27" t="n">
        <f aca="false">J2525+(K2525/20)+(L2525/240)</f>
        <v>8</v>
      </c>
      <c r="N2525" s="17" t="s">
        <v>85</v>
      </c>
      <c r="O2525" s="11"/>
      <c r="P2525" s="28" t="n">
        <f aca="false">74969/100</f>
        <v>749.69</v>
      </c>
      <c r="Q2525" s="28" t="n">
        <v>5997</v>
      </c>
      <c r="R2525" s="28"/>
      <c r="S2525" s="28" t="n">
        <f aca="false">R2525*$M2525</f>
        <v>0</v>
      </c>
      <c r="T2525" s="28" t="n">
        <f aca="false">58256/100</f>
        <v>582.56</v>
      </c>
      <c r="U2525" s="28" t="n">
        <v>4660</v>
      </c>
      <c r="V2525" s="28" t="n">
        <f aca="false">14450/100</f>
        <v>144.5</v>
      </c>
      <c r="W2525" s="28" t="n">
        <v>1156</v>
      </c>
      <c r="X2525" s="28" t="n">
        <f aca="false">4397/100</f>
        <v>43.97</v>
      </c>
      <c r="Y2525" s="28" t="n">
        <v>352</v>
      </c>
      <c r="Z2525" s="28"/>
      <c r="AA2525" s="28" t="n">
        <f aca="false">Z2525*$M2525</f>
        <v>0</v>
      </c>
      <c r="AB2525" s="28" t="n">
        <f aca="false">6400/100</f>
        <v>64</v>
      </c>
      <c r="AC2525" s="28" t="n">
        <v>512</v>
      </c>
      <c r="AD2525" s="28" t="n">
        <f aca="false">19450/100</f>
        <v>194.5</v>
      </c>
      <c r="AE2525" s="28" t="n">
        <v>1556</v>
      </c>
      <c r="AF2525" s="28" t="n">
        <f aca="false">2496/100</f>
        <v>24.96</v>
      </c>
      <c r="AG2525" s="28" t="n">
        <v>200</v>
      </c>
      <c r="AH2525" s="28"/>
      <c r="AI2525" s="28" t="n">
        <f aca="false">AH2525*$M2525</f>
        <v>0</v>
      </c>
      <c r="AJ2525" s="28"/>
      <c r="AK2525" s="28" t="n">
        <f aca="false">AJ2525*$M2525</f>
        <v>0</v>
      </c>
      <c r="AL2525" s="28"/>
      <c r="AM2525" s="28" t="n">
        <f aca="false">AL2525*$M2525</f>
        <v>0</v>
      </c>
      <c r="AN2525" s="28"/>
      <c r="AO2525" s="28" t="n">
        <f aca="false">AN2525*$M2525</f>
        <v>0</v>
      </c>
      <c r="AP2525" s="28"/>
      <c r="AQ2525" s="28" t="n">
        <f aca="false">AP2525*$M2525</f>
        <v>0</v>
      </c>
      <c r="AR2525" s="28"/>
      <c r="AS2525" s="28" t="n">
        <f aca="false">AR2525*$M2525</f>
        <v>0</v>
      </c>
      <c r="AT2525" s="28"/>
      <c r="AU2525" s="28" t="n">
        <f aca="false">AT2525*$M2525</f>
        <v>0</v>
      </c>
      <c r="AV2525" s="28"/>
      <c r="AW2525" s="28" t="n">
        <f aca="false">AV2525*$M2525</f>
        <v>0</v>
      </c>
      <c r="AX2525" s="28"/>
      <c r="AY2525" s="28" t="n">
        <f aca="false">AX2525*$M2525</f>
        <v>0</v>
      </c>
      <c r="AZ2525" s="30" t="n">
        <f aca="false">180418/100</f>
        <v>1804.18</v>
      </c>
      <c r="BA2525" s="11" t="n">
        <v>14433</v>
      </c>
      <c r="BB2525" s="31" t="n">
        <f aca="false">SUM(Q2525,S2525,U2525,W2525,Y2525,AA2525,AC2525,AE2525,AG2525,AI2525,AK2525,AM2525,AO2525,AQ2525,AS2525,AU2525,AW2525,AY2525)</f>
        <v>14433</v>
      </c>
      <c r="BC2525" s="28" t="n">
        <f aca="false">BA2525-BB2525</f>
        <v>0</v>
      </c>
      <c r="BD2525" s="32" t="n">
        <f aca="false">SUM(P2525,R2525,T2525,V2525,X2525,Z2525,AB2525,AD2525,AF2525,AH2525,AJ2525,AL2525,AN2525,AP2525,AR2525,AT2525,AV2525,AX2525)</f>
        <v>1804.18</v>
      </c>
      <c r="BE2525" s="33" t="n">
        <f aca="false">AZ2525-BD2525</f>
        <v>0</v>
      </c>
      <c r="BF2525" s="34" t="n">
        <f aca="false">BD2525*M2525</f>
        <v>14433.44</v>
      </c>
      <c r="BG2525" s="35" t="n">
        <f aca="false">BA2525-BF2525</f>
        <v>-0.440000000000509</v>
      </c>
      <c r="BH2525" s="19" t="str">
        <f aca="false">IF(BG2525=0,"",IF(BG2525&lt;&gt;BA2525,"erreur de calcul",IF(BD2525&lt;&gt;0,"pas de prix",IF(M2525&lt;&gt; 0,"pas de quantité","pas de prix, ni de quantité"))))</f>
        <v>erreur de calcul</v>
      </c>
      <c r="BI2525" s="19"/>
    </row>
    <row r="2526" customFormat="false" ht="15" hidden="false" customHeight="false" outlineLevel="0" collapsed="false">
      <c r="A2526" s="0" t="n">
        <v>26</v>
      </c>
      <c r="B2526" s="8" t="s">
        <v>24</v>
      </c>
      <c r="C2526" s="9" t="s">
        <v>25</v>
      </c>
      <c r="D2526" s="9" t="s">
        <v>26</v>
      </c>
      <c r="E2526" s="10" t="n">
        <v>1789</v>
      </c>
      <c r="F2526" s="9" t="s">
        <v>27</v>
      </c>
      <c r="G2526" s="9" t="s">
        <v>27</v>
      </c>
      <c r="H2526" s="11" t="n">
        <v>20</v>
      </c>
      <c r="I2526" s="11" t="s">
        <v>144</v>
      </c>
      <c r="J2526" s="14" t="n">
        <v>3</v>
      </c>
      <c r="K2526" s="14"/>
      <c r="L2526" s="16"/>
      <c r="M2526" s="27" t="n">
        <f aca="false">J2526+(K2526/20)+(L2526/240)</f>
        <v>3</v>
      </c>
      <c r="N2526" s="17" t="s">
        <v>66</v>
      </c>
      <c r="O2526" s="11"/>
      <c r="P2526" s="28"/>
      <c r="Q2526" s="28" t="n">
        <f aca="false">P2526*$M2526</f>
        <v>0</v>
      </c>
      <c r="R2526" s="28"/>
      <c r="S2526" s="28" t="n">
        <f aca="false">R2526*$M2526</f>
        <v>0</v>
      </c>
      <c r="T2526" s="28" t="n">
        <v>24347</v>
      </c>
      <c r="U2526" s="28" t="n">
        <v>73041</v>
      </c>
      <c r="V2526" s="28" t="n">
        <v>2300</v>
      </c>
      <c r="W2526" s="28" t="n">
        <v>6900</v>
      </c>
      <c r="X2526" s="28" t="n">
        <v>152</v>
      </c>
      <c r="Y2526" s="28" t="n">
        <v>456</v>
      </c>
      <c r="Z2526" s="28"/>
      <c r="AA2526" s="28" t="n">
        <f aca="false">Z2526*$M2526</f>
        <v>0</v>
      </c>
      <c r="AB2526" s="28" t="n">
        <v>53940</v>
      </c>
      <c r="AC2526" s="28" t="n">
        <v>161820</v>
      </c>
      <c r="AD2526" s="28"/>
      <c r="AE2526" s="28" t="n">
        <f aca="false">AD2526*$M2526</f>
        <v>0</v>
      </c>
      <c r="AF2526" s="28"/>
      <c r="AG2526" s="28" t="n">
        <f aca="false">AF2526*$M2526</f>
        <v>0</v>
      </c>
      <c r="AH2526" s="28" t="n">
        <v>1668909</v>
      </c>
      <c r="AI2526" s="28" t="n">
        <v>5006727</v>
      </c>
      <c r="AJ2526" s="28"/>
      <c r="AK2526" s="28" t="n">
        <f aca="false">AJ2526*$M2526</f>
        <v>0</v>
      </c>
      <c r="AL2526" s="28"/>
      <c r="AM2526" s="28" t="n">
        <f aca="false">AL2526*$M2526</f>
        <v>0</v>
      </c>
      <c r="AN2526" s="28" t="n">
        <v>165</v>
      </c>
      <c r="AO2526" s="28" t="n">
        <v>495</v>
      </c>
      <c r="AP2526" s="28"/>
      <c r="AQ2526" s="28" t="n">
        <f aca="false">AP2526*$M2526</f>
        <v>0</v>
      </c>
      <c r="AR2526" s="28"/>
      <c r="AS2526" s="28" t="n">
        <f aca="false">AR2526*$M2526</f>
        <v>0</v>
      </c>
      <c r="AT2526" s="28"/>
      <c r="AU2526" s="28" t="n">
        <f aca="false">AT2526*$M2526</f>
        <v>0</v>
      </c>
      <c r="AV2526" s="28"/>
      <c r="AW2526" s="28" t="n">
        <f aca="false">AV2526*$M2526</f>
        <v>0</v>
      </c>
      <c r="AX2526" s="28"/>
      <c r="AY2526" s="28" t="n">
        <f aca="false">AX2526*$M2526</f>
        <v>0</v>
      </c>
      <c r="AZ2526" s="30" t="n">
        <v>1736540</v>
      </c>
      <c r="BA2526" s="11" t="n">
        <v>5249439</v>
      </c>
      <c r="BB2526" s="31" t="n">
        <f aca="false">SUM(Q2526,S2526,U2526,W2526,Y2526,AA2526,AC2526,AE2526,AG2526,AI2526,AK2526,AM2526,AO2526,AQ2526,AS2526,AU2526,AW2526,AY2526)</f>
        <v>5249439</v>
      </c>
      <c r="BC2526" s="28" t="n">
        <f aca="false">BA2526-BB2526</f>
        <v>0</v>
      </c>
      <c r="BD2526" s="32" t="n">
        <f aca="false">SUM(P2526,R2526,T2526,V2526,X2526,Z2526,AB2526,AD2526,AF2526,AH2526,AJ2526,AL2526,AN2526,AP2526,AR2526,AT2526,AV2526,AX2526)</f>
        <v>1749813</v>
      </c>
      <c r="BE2526" s="33" t="n">
        <f aca="false">AZ2526-BD2526</f>
        <v>-13273</v>
      </c>
      <c r="BF2526" s="34" t="n">
        <f aca="false">BD2526*M2526</f>
        <v>5249439</v>
      </c>
      <c r="BG2526" s="35" t="n">
        <f aca="false">BA2526-BF2526</f>
        <v>0</v>
      </c>
      <c r="BH2526" s="19" t="str">
        <f aca="false">IF(BG2526=0,"",IF(BG2526&lt;&gt;BA2526,"erreur de calcul",IF(BD2526&lt;&gt;0,"pas de prix",IF(M2526&lt;&gt; 0,"pas de quantité","pas de prix, ni de quantité"))))</f>
        <v/>
      </c>
      <c r="BI2526" s="19"/>
    </row>
    <row r="2527" customFormat="false" ht="15" hidden="false" customHeight="false" outlineLevel="0" collapsed="false">
      <c r="A2527" s="0" t="n">
        <v>27</v>
      </c>
      <c r="B2527" s="8" t="s">
        <v>24</v>
      </c>
      <c r="C2527" s="9" t="s">
        <v>25</v>
      </c>
      <c r="D2527" s="9" t="s">
        <v>26</v>
      </c>
      <c r="E2527" s="10" t="n">
        <v>1789</v>
      </c>
      <c r="F2527" s="9" t="s">
        <v>27</v>
      </c>
      <c r="G2527" s="9" t="s">
        <v>27</v>
      </c>
      <c r="H2527" s="11" t="n">
        <v>20</v>
      </c>
      <c r="I2527" s="11" t="s">
        <v>145</v>
      </c>
      <c r="J2527" s="14" t="n">
        <v>4</v>
      </c>
      <c r="K2527" s="14" t="n">
        <v>18</v>
      </c>
      <c r="L2527" s="16"/>
      <c r="M2527" s="27" t="n">
        <f aca="false">J2527+(K2527/20)+(L2527/240)</f>
        <v>4.9</v>
      </c>
      <c r="N2527" s="17" t="s">
        <v>66</v>
      </c>
      <c r="O2527" s="11"/>
      <c r="P2527" s="28"/>
      <c r="Q2527" s="28" t="n">
        <f aca="false">P2527*$M2527</f>
        <v>0</v>
      </c>
      <c r="R2527" s="28"/>
      <c r="S2527" s="28" t="n">
        <f aca="false">R2527*$M2527</f>
        <v>0</v>
      </c>
      <c r="T2527" s="28"/>
      <c r="U2527" s="28" t="n">
        <f aca="false">T2527*$M2527</f>
        <v>0</v>
      </c>
      <c r="V2527" s="28"/>
      <c r="W2527" s="28" t="n">
        <f aca="false">V2527*$M2527</f>
        <v>0</v>
      </c>
      <c r="X2527" s="28"/>
      <c r="Y2527" s="28" t="n">
        <f aca="false">X2527*$M2527</f>
        <v>0</v>
      </c>
      <c r="Z2527" s="28"/>
      <c r="AA2527" s="28" t="n">
        <f aca="false">Z2527*$M2527</f>
        <v>0</v>
      </c>
      <c r="AB2527" s="28"/>
      <c r="AC2527" s="28" t="n">
        <f aca="false">AB2527*$M2527</f>
        <v>0</v>
      </c>
      <c r="AD2527" s="28"/>
      <c r="AE2527" s="28" t="n">
        <f aca="false">AD2527*$M2527</f>
        <v>0</v>
      </c>
      <c r="AF2527" s="28"/>
      <c r="AG2527" s="28" t="n">
        <f aca="false">AF2527*$M2527</f>
        <v>0</v>
      </c>
      <c r="AH2527" s="28" t="n">
        <v>14916</v>
      </c>
      <c r="AI2527" s="28" t="n">
        <v>73088</v>
      </c>
      <c r="AJ2527" s="28"/>
      <c r="AK2527" s="28" t="n">
        <f aca="false">AJ2527*$M2527</f>
        <v>0</v>
      </c>
      <c r="AL2527" s="28"/>
      <c r="AM2527" s="28" t="n">
        <f aca="false">AL2527*$M2527</f>
        <v>0</v>
      </c>
      <c r="AN2527" s="28"/>
      <c r="AO2527" s="28" t="n">
        <f aca="false">AN2527*$M2527</f>
        <v>0</v>
      </c>
      <c r="AP2527" s="28"/>
      <c r="AQ2527" s="28" t="n">
        <f aca="false">AP2527*$M2527</f>
        <v>0</v>
      </c>
      <c r="AR2527" s="28"/>
      <c r="AS2527" s="28" t="n">
        <f aca="false">AR2527*$M2527</f>
        <v>0</v>
      </c>
      <c r="AT2527" s="28"/>
      <c r="AU2527" s="28" t="n">
        <f aca="false">AT2527*$M2527</f>
        <v>0</v>
      </c>
      <c r="AV2527" s="28"/>
      <c r="AW2527" s="28" t="n">
        <f aca="false">AV2527*$M2527</f>
        <v>0</v>
      </c>
      <c r="AX2527" s="28"/>
      <c r="AY2527" s="28" t="n">
        <f aca="false">AX2527*$M2527</f>
        <v>0</v>
      </c>
      <c r="AZ2527" s="30" t="n">
        <v>14916</v>
      </c>
      <c r="BA2527" s="11" t="n">
        <v>73088</v>
      </c>
      <c r="BB2527" s="31" t="n">
        <f aca="false">SUM(Q2527,S2527,U2527,W2527,Y2527,AA2527,AC2527,AE2527,AG2527,AI2527,AK2527,AM2527,AO2527,AQ2527,AS2527,AU2527,AW2527,AY2527)</f>
        <v>73088</v>
      </c>
      <c r="BC2527" s="28" t="n">
        <f aca="false">BA2527-BB2527</f>
        <v>0</v>
      </c>
      <c r="BD2527" s="32" t="n">
        <f aca="false">SUM(P2527,R2527,T2527,V2527,X2527,Z2527,AB2527,AD2527,AF2527,AH2527,AJ2527,AL2527,AN2527,AP2527,AR2527,AT2527,AV2527,AX2527)</f>
        <v>14916</v>
      </c>
      <c r="BE2527" s="33" t="n">
        <f aca="false">AZ2527-BD2527</f>
        <v>0</v>
      </c>
      <c r="BF2527" s="34" t="n">
        <f aca="false">BD2527*M2527</f>
        <v>73088.4</v>
      </c>
      <c r="BG2527" s="35" t="n">
        <f aca="false">BA2527-BF2527</f>
        <v>-0.400000000008731</v>
      </c>
      <c r="BH2527" s="19" t="str">
        <f aca="false">IF(BG2527=0,"",IF(BG2527&lt;&gt;BA2527,"erreur de calcul",IF(BD2527&lt;&gt;0,"pas de prix",IF(M2527&lt;&gt; 0,"pas de quantité","pas de prix, ni de quantité"))))</f>
        <v>erreur de calcul</v>
      </c>
      <c r="BI2527" s="19"/>
    </row>
    <row r="2528" customFormat="false" ht="15" hidden="false" customHeight="false" outlineLevel="0" collapsed="false">
      <c r="A2528" s="0" t="n">
        <v>28</v>
      </c>
      <c r="B2528" s="8" t="s">
        <v>24</v>
      </c>
      <c r="C2528" s="9" t="s">
        <v>25</v>
      </c>
      <c r="D2528" s="9" t="s">
        <v>26</v>
      </c>
      <c r="E2528" s="10" t="n">
        <v>1789</v>
      </c>
      <c r="F2528" s="9" t="s">
        <v>27</v>
      </c>
      <c r="G2528" s="9" t="s">
        <v>27</v>
      </c>
      <c r="H2528" s="11" t="n">
        <v>20</v>
      </c>
      <c r="I2528" s="11" t="s">
        <v>146</v>
      </c>
      <c r="J2528" s="14" t="n">
        <v>126</v>
      </c>
      <c r="K2528" s="14"/>
      <c r="L2528" s="16"/>
      <c r="M2528" s="27"/>
      <c r="N2528" s="17" t="s">
        <v>66</v>
      </c>
      <c r="O2528" s="11" t="s">
        <v>98</v>
      </c>
      <c r="P2528" s="28"/>
      <c r="Q2528" s="28" t="n">
        <f aca="false">P2528*$M2528</f>
        <v>0</v>
      </c>
      <c r="R2528" s="28" t="n">
        <v>82676</v>
      </c>
      <c r="S2528" s="28" t="n">
        <v>28572</v>
      </c>
      <c r="T2528" s="28"/>
      <c r="U2528" s="28" t="n">
        <f aca="false">T2528*$M2528</f>
        <v>0</v>
      </c>
      <c r="V2528" s="28"/>
      <c r="W2528" s="28" t="n">
        <f aca="false">V2528*$M2528</f>
        <v>0</v>
      </c>
      <c r="X2528" s="28"/>
      <c r="Y2528" s="28" t="n">
        <f aca="false">X2528*$M2528</f>
        <v>0</v>
      </c>
      <c r="Z2528" s="28"/>
      <c r="AA2528" s="28" t="n">
        <f aca="false">Z2528*$M2528</f>
        <v>0</v>
      </c>
      <c r="AB2528" s="28"/>
      <c r="AC2528" s="28" t="n">
        <f aca="false">AB2528*$M2528</f>
        <v>0</v>
      </c>
      <c r="AD2528" s="28"/>
      <c r="AE2528" s="28" t="n">
        <f aca="false">AD2528*$M2528</f>
        <v>0</v>
      </c>
      <c r="AF2528" s="28"/>
      <c r="AG2528" s="28" t="n">
        <f aca="false">AF2528*$M2528</f>
        <v>0</v>
      </c>
      <c r="AH2528" s="28" t="n">
        <v>6408925</v>
      </c>
      <c r="AI2528" s="28" t="n">
        <v>8075245</v>
      </c>
      <c r="AJ2528" s="28"/>
      <c r="AK2528" s="28" t="n">
        <f aca="false">AJ2528*$M2528</f>
        <v>0</v>
      </c>
      <c r="AL2528" s="28"/>
      <c r="AM2528" s="28" t="n">
        <f aca="false">AL2528*$M2528</f>
        <v>0</v>
      </c>
      <c r="AN2528" s="28"/>
      <c r="AO2528" s="28" t="n">
        <f aca="false">AN2528*$M2528</f>
        <v>0</v>
      </c>
      <c r="AP2528" s="28"/>
      <c r="AQ2528" s="28" t="n">
        <f aca="false">AP2528*$M2528</f>
        <v>0</v>
      </c>
      <c r="AR2528" s="28"/>
      <c r="AS2528" s="28" t="n">
        <f aca="false">AR2528*$M2528</f>
        <v>0</v>
      </c>
      <c r="AT2528" s="28"/>
      <c r="AU2528" s="28" t="n">
        <f aca="false">AT2528*$M2528</f>
        <v>0</v>
      </c>
      <c r="AV2528" s="28"/>
      <c r="AW2528" s="28" t="n">
        <f aca="false">AV2528*$M2528</f>
        <v>0</v>
      </c>
      <c r="AX2528" s="28"/>
      <c r="AY2528" s="28" t="n">
        <f aca="false">AX2528*$M2528</f>
        <v>0</v>
      </c>
      <c r="AZ2528" s="11" t="n">
        <v>6431601</v>
      </c>
      <c r="BA2528" s="11" t="n">
        <v>8103817</v>
      </c>
      <c r="BB2528" s="31" t="n">
        <f aca="false">SUM(Q2528,S2528,U2528,W2528,Y2528,AA2528,AC2528,AE2528,AG2528,AI2528,AK2528,AM2528,AO2528,AQ2528,AS2528,AU2528,AW2528,AY2528)</f>
        <v>8103817</v>
      </c>
      <c r="BC2528" s="28" t="n">
        <f aca="false">BA2528-BB2528</f>
        <v>0</v>
      </c>
      <c r="BD2528" s="32" t="n">
        <f aca="false">SUM(P2528,R2528,T2528,V2528,X2528,Z2528,AB2528,AD2528,AF2528,AH2528,AJ2528,AL2528,AN2528,AP2528,AR2528,AT2528,AV2528,AX2528)</f>
        <v>6491601</v>
      </c>
      <c r="BE2528" s="33" t="n">
        <f aca="false">AZ2528-BD2528</f>
        <v>-60000</v>
      </c>
      <c r="BF2528" s="34" t="n">
        <f aca="false">BD2528*M2528</f>
        <v>0</v>
      </c>
      <c r="BG2528" s="35" t="n">
        <f aca="false">BA2528-BF2528</f>
        <v>8103817</v>
      </c>
      <c r="BH2528" s="19" t="str">
        <f aca="false">IF(BG2528=0,"",IF(BG2528&lt;&gt;BA2528,"erreur de calcul",IF(BD2528&lt;&gt;0,"pas de prix",IF(M2528&lt;&gt; 0,"pas de quantité","pas de prix, ni de quantité"))))</f>
        <v>pas de prix</v>
      </c>
      <c r="BI2528" s="19" t="s">
        <v>147</v>
      </c>
    </row>
    <row r="2529" customFormat="false" ht="15" hidden="false" customHeight="false" outlineLevel="0" collapsed="false">
      <c r="A2529" s="0" t="n">
        <v>29</v>
      </c>
      <c r="B2529" s="8" t="s">
        <v>24</v>
      </c>
      <c r="C2529" s="9" t="s">
        <v>25</v>
      </c>
      <c r="D2529" s="9" t="s">
        <v>26</v>
      </c>
      <c r="E2529" s="10" t="n">
        <v>1789</v>
      </c>
      <c r="F2529" s="9" t="s">
        <v>27</v>
      </c>
      <c r="G2529" s="9" t="s">
        <v>27</v>
      </c>
      <c r="H2529" s="11" t="n">
        <v>20</v>
      </c>
      <c r="I2529" s="11" t="s">
        <v>148</v>
      </c>
      <c r="J2529" s="14"/>
      <c r="K2529" s="14" t="n">
        <v>20</v>
      </c>
      <c r="L2529" s="16"/>
      <c r="M2529" s="27" t="n">
        <f aca="false">J2529+(K2529/20)+(L2529/240)</f>
        <v>1</v>
      </c>
      <c r="N2529" s="17" t="s">
        <v>66</v>
      </c>
      <c r="O2529" s="11"/>
      <c r="P2529" s="28"/>
      <c r="Q2529" s="28" t="n">
        <f aca="false">P2529*$M2529</f>
        <v>0</v>
      </c>
      <c r="R2529" s="28"/>
      <c r="S2529" s="28" t="n">
        <f aca="false">R2529*$M2529</f>
        <v>0</v>
      </c>
      <c r="T2529" s="28" t="n">
        <v>392</v>
      </c>
      <c r="U2529" s="28" t="n">
        <v>392</v>
      </c>
      <c r="V2529" s="28"/>
      <c r="W2529" s="28" t="n">
        <f aca="false">V2529*$M2529</f>
        <v>0</v>
      </c>
      <c r="X2529" s="28"/>
      <c r="Y2529" s="28" t="n">
        <f aca="false">X2529*$M2529</f>
        <v>0</v>
      </c>
      <c r="Z2529" s="28"/>
      <c r="AA2529" s="28" t="n">
        <f aca="false">Z2529*$M2529</f>
        <v>0</v>
      </c>
      <c r="AB2529" s="28" t="n">
        <v>7596</v>
      </c>
      <c r="AC2529" s="28" t="n">
        <v>7596</v>
      </c>
      <c r="AD2529" s="28"/>
      <c r="AE2529" s="28" t="n">
        <f aca="false">AD2529*$M2529</f>
        <v>0</v>
      </c>
      <c r="AF2529" s="28"/>
      <c r="AG2529" s="28" t="n">
        <f aca="false">AF2529*$M2529</f>
        <v>0</v>
      </c>
      <c r="AH2529" s="28"/>
      <c r="AI2529" s="28" t="n">
        <f aca="false">AH2529*$M2529</f>
        <v>0</v>
      </c>
      <c r="AJ2529" s="28"/>
      <c r="AK2529" s="28" t="n">
        <f aca="false">AJ2529*$M2529</f>
        <v>0</v>
      </c>
      <c r="AL2529" s="28"/>
      <c r="AM2529" s="28" t="n">
        <f aca="false">AL2529*$M2529</f>
        <v>0</v>
      </c>
      <c r="AN2529" s="28"/>
      <c r="AO2529" s="28" t="n">
        <f aca="false">AN2529*$M2529</f>
        <v>0</v>
      </c>
      <c r="AP2529" s="28"/>
      <c r="AQ2529" s="28" t="n">
        <f aca="false">AP2529*$M2529</f>
        <v>0</v>
      </c>
      <c r="AR2529" s="28"/>
      <c r="AS2529" s="28" t="n">
        <f aca="false">AR2529*$M2529</f>
        <v>0</v>
      </c>
      <c r="AT2529" s="28"/>
      <c r="AU2529" s="28" t="n">
        <f aca="false">AT2529*$M2529</f>
        <v>0</v>
      </c>
      <c r="AV2529" s="28"/>
      <c r="AW2529" s="28" t="n">
        <f aca="false">AV2529*$M2529</f>
        <v>0</v>
      </c>
      <c r="AX2529" s="28"/>
      <c r="AY2529" s="28" t="n">
        <f aca="false">AX2529*$M2529</f>
        <v>0</v>
      </c>
      <c r="AZ2529" s="30" t="n">
        <v>7988</v>
      </c>
      <c r="BA2529" s="11" t="n">
        <v>7988</v>
      </c>
      <c r="BB2529" s="31" t="n">
        <f aca="false">SUM(Q2529,S2529,U2529,W2529,Y2529,AA2529,AC2529,AE2529,AG2529,AI2529,AK2529,AM2529,AO2529,AQ2529,AS2529,AU2529,AW2529,AY2529)</f>
        <v>7988</v>
      </c>
      <c r="BC2529" s="28" t="n">
        <f aca="false">BA2529-BB2529</f>
        <v>0</v>
      </c>
      <c r="BD2529" s="32" t="n">
        <f aca="false">SUM(P2529,R2529,T2529,V2529,X2529,Z2529,AB2529,AD2529,AF2529,AH2529,AJ2529,AL2529,AN2529,AP2529,AR2529,AT2529,AV2529,AX2529)</f>
        <v>7988</v>
      </c>
      <c r="BE2529" s="33" t="n">
        <f aca="false">AZ2529-BD2529</f>
        <v>0</v>
      </c>
      <c r="BF2529" s="34" t="n">
        <f aca="false">BD2529*M2529</f>
        <v>7988</v>
      </c>
      <c r="BG2529" s="35" t="n">
        <f aca="false">BA2529-BF2529</f>
        <v>0</v>
      </c>
      <c r="BH2529" s="19" t="str">
        <f aca="false">IF(BG2529=0,"",IF(BG2529&lt;&gt;BA2529,"erreur de calcul",IF(BD2529&lt;&gt;0,"pas de prix",IF(M2529&lt;&gt; 0,"pas de quantité","pas de prix, ni de quantité"))))</f>
        <v/>
      </c>
      <c r="BI2529" s="19"/>
    </row>
    <row r="2530" customFormat="false" ht="15" hidden="false" customHeight="false" outlineLevel="0" collapsed="false">
      <c r="A2530" s="0" t="n">
        <v>30</v>
      </c>
      <c r="B2530" s="8" t="s">
        <v>24</v>
      </c>
      <c r="C2530" s="9" t="s">
        <v>25</v>
      </c>
      <c r="D2530" s="9" t="s">
        <v>26</v>
      </c>
      <c r="E2530" s="10" t="n">
        <v>1789</v>
      </c>
      <c r="F2530" s="9" t="s">
        <v>27</v>
      </c>
      <c r="G2530" s="9" t="s">
        <v>27</v>
      </c>
      <c r="H2530" s="11" t="n">
        <v>20</v>
      </c>
      <c r="I2530" s="11" t="s">
        <v>149</v>
      </c>
      <c r="J2530" s="14" t="n">
        <v>70</v>
      </c>
      <c r="K2530" s="14"/>
      <c r="L2530" s="16"/>
      <c r="M2530" s="27" t="n">
        <f aca="false">J2530+(K2530/20)+(L2530/240)</f>
        <v>70</v>
      </c>
      <c r="N2530" s="17" t="s">
        <v>64</v>
      </c>
      <c r="O2530" s="11"/>
      <c r="P2530" s="28"/>
      <c r="Q2530" s="28" t="n">
        <f aca="false">P2530*$M2530</f>
        <v>0</v>
      </c>
      <c r="R2530" s="28"/>
      <c r="S2530" s="28" t="n">
        <f aca="false">R2530*$M2530</f>
        <v>0</v>
      </c>
      <c r="T2530" s="28"/>
      <c r="U2530" s="28" t="n">
        <f aca="false">T2530*$M2530</f>
        <v>0</v>
      </c>
      <c r="V2530" s="28"/>
      <c r="W2530" s="28" t="n">
        <f aca="false">V2530*$M2530</f>
        <v>0</v>
      </c>
      <c r="X2530" s="28" t="n">
        <f aca="false">1904/100</f>
        <v>19.04</v>
      </c>
      <c r="Y2530" s="28" t="n">
        <v>1333</v>
      </c>
      <c r="Z2530" s="28"/>
      <c r="AA2530" s="28" t="n">
        <f aca="false">Z2530*$M2530</f>
        <v>0</v>
      </c>
      <c r="AB2530" s="28" t="n">
        <f aca="false">51370/100</f>
        <v>513.7</v>
      </c>
      <c r="AC2530" s="28" t="n">
        <v>35959</v>
      </c>
      <c r="AD2530" s="28"/>
      <c r="AE2530" s="28" t="n">
        <f aca="false">AD2530*$M2530</f>
        <v>0</v>
      </c>
      <c r="AF2530" s="28" t="n">
        <f aca="false">8872/100</f>
        <v>88.72</v>
      </c>
      <c r="AG2530" s="28" t="n">
        <v>6210</v>
      </c>
      <c r="AH2530" s="28" t="n">
        <f aca="false">14751/100</f>
        <v>147.51</v>
      </c>
      <c r="AI2530" s="28" t="n">
        <v>10326</v>
      </c>
      <c r="AJ2530" s="28"/>
      <c r="AK2530" s="28" t="n">
        <f aca="false">AJ2530*$M2530</f>
        <v>0</v>
      </c>
      <c r="AL2530" s="28"/>
      <c r="AM2530" s="28" t="n">
        <f aca="false">AL2530*$M2530</f>
        <v>0</v>
      </c>
      <c r="AN2530" s="28"/>
      <c r="AO2530" s="28" t="n">
        <f aca="false">AN2530*$M2530</f>
        <v>0</v>
      </c>
      <c r="AP2530" s="28"/>
      <c r="AQ2530" s="28" t="n">
        <f aca="false">AP2530*$M2530</f>
        <v>0</v>
      </c>
      <c r="AR2530" s="28"/>
      <c r="AS2530" s="28" t="n">
        <f aca="false">AR2530*$M2530</f>
        <v>0</v>
      </c>
      <c r="AT2530" s="28"/>
      <c r="AU2530" s="28" t="n">
        <f aca="false">AT2530*$M2530</f>
        <v>0</v>
      </c>
      <c r="AV2530" s="28"/>
      <c r="AW2530" s="28" t="n">
        <f aca="false">AV2530*$M2530</f>
        <v>0</v>
      </c>
      <c r="AX2530" s="28"/>
      <c r="AY2530" s="28" t="n">
        <f aca="false">AX2530*$M2530</f>
        <v>0</v>
      </c>
      <c r="AZ2530" s="30" t="n">
        <f aca="false">76897/100</f>
        <v>768.97</v>
      </c>
      <c r="BA2530" s="11" t="n">
        <v>53828</v>
      </c>
      <c r="BB2530" s="31" t="n">
        <f aca="false">SUM(Q2530,S2530,U2530,W2530,Y2530,AA2530,AC2530,AE2530,AG2530,AI2530,AK2530,AM2530,AO2530,AQ2530,AS2530,AU2530,AW2530,AY2530)</f>
        <v>53828</v>
      </c>
      <c r="BC2530" s="28" t="n">
        <f aca="false">BA2530-BB2530</f>
        <v>0</v>
      </c>
      <c r="BD2530" s="32" t="n">
        <f aca="false">SUM(P2530,R2530,T2530,V2530,X2530,Z2530,AB2530,AD2530,AF2530,AH2530,AJ2530,AL2530,AN2530,AP2530,AR2530,AT2530,AV2530,AX2530)</f>
        <v>768.97</v>
      </c>
      <c r="BE2530" s="33" t="n">
        <f aca="false">AZ2530-BD2530</f>
        <v>0</v>
      </c>
      <c r="BF2530" s="34" t="n">
        <f aca="false">BD2530*M2530</f>
        <v>53827.9</v>
      </c>
      <c r="BG2530" s="35" t="n">
        <f aca="false">BA2530-BF2530</f>
        <v>0.0999999999985448</v>
      </c>
      <c r="BH2530" s="19" t="str">
        <f aca="false">IF(BG2530=0,"",IF(BG2530&lt;&gt;BA2530,"erreur de calcul",IF(BD2530&lt;&gt;0,"pas de prix",IF(M2530&lt;&gt; 0,"pas de quantité","pas de prix, ni de quantité"))))</f>
        <v>erreur de calcul</v>
      </c>
      <c r="BI2530" s="19"/>
    </row>
    <row r="2531" customFormat="false" ht="15" hidden="false" customHeight="false" outlineLevel="0" collapsed="false">
      <c r="A2531" s="0" t="n">
        <v>31</v>
      </c>
      <c r="B2531" s="8" t="s">
        <v>24</v>
      </c>
      <c r="C2531" s="9" t="s">
        <v>25</v>
      </c>
      <c r="D2531" s="9" t="s">
        <v>26</v>
      </c>
      <c r="E2531" s="10" t="n">
        <v>1789</v>
      </c>
      <c r="F2531" s="9" t="s">
        <v>27</v>
      </c>
      <c r="G2531" s="9" t="s">
        <v>27</v>
      </c>
      <c r="H2531" s="11" t="n">
        <v>20</v>
      </c>
      <c r="I2531" s="11" t="s">
        <v>150</v>
      </c>
      <c r="J2531" s="14" t="n">
        <v>70</v>
      </c>
      <c r="K2531" s="14"/>
      <c r="L2531" s="16"/>
      <c r="M2531" s="27" t="n">
        <f aca="false">J2531+(K2531/20)+(L2531/240)</f>
        <v>70</v>
      </c>
      <c r="N2531" s="17" t="s">
        <v>64</v>
      </c>
      <c r="O2531" s="11" t="s">
        <v>77</v>
      </c>
      <c r="P2531" s="28"/>
      <c r="Q2531" s="28" t="n">
        <f aca="false">P2531*$M2531</f>
        <v>0</v>
      </c>
      <c r="R2531" s="28"/>
      <c r="S2531" s="28" t="n">
        <f aca="false">R2531*$M2531</f>
        <v>0</v>
      </c>
      <c r="T2531" s="28"/>
      <c r="U2531" s="28" t="n">
        <f aca="false">T2531*$M2531</f>
        <v>0</v>
      </c>
      <c r="V2531" s="28"/>
      <c r="W2531" s="28" t="n">
        <f aca="false">V2531*$M2531</f>
        <v>0</v>
      </c>
      <c r="X2531" s="28"/>
      <c r="Y2531" s="28" t="n">
        <f aca="false">X2531*$M2531</f>
        <v>0</v>
      </c>
      <c r="Z2531" s="28"/>
      <c r="AA2531" s="28" t="n">
        <f aca="false">Z2531*$M2531</f>
        <v>0</v>
      </c>
      <c r="AB2531" s="28"/>
      <c r="AC2531" s="28" t="n">
        <f aca="false">AB2531*$M2531</f>
        <v>0</v>
      </c>
      <c r="AD2531" s="28"/>
      <c r="AE2531" s="28" t="n">
        <f aca="false">AD2531*$M2531</f>
        <v>0</v>
      </c>
      <c r="AF2531" s="28"/>
      <c r="AG2531" s="28" t="n">
        <f aca="false">AF2531*$M2531</f>
        <v>0</v>
      </c>
      <c r="AH2531" s="28"/>
      <c r="AI2531" s="28" t="n">
        <f aca="false">AH2531*$M2531</f>
        <v>0</v>
      </c>
      <c r="AJ2531" s="28"/>
      <c r="AK2531" s="28" t="n">
        <f aca="false">AJ2531*$M2531</f>
        <v>0</v>
      </c>
      <c r="AL2531" s="28"/>
      <c r="AM2531" s="28" t="n">
        <f aca="false">AL2531*$M2531</f>
        <v>0</v>
      </c>
      <c r="AN2531" s="28"/>
      <c r="AO2531" s="28" t="n">
        <f aca="false">AN2531*$M2531</f>
        <v>0</v>
      </c>
      <c r="AP2531" s="28"/>
      <c r="AQ2531" s="28" t="n">
        <f aca="false">AP2531*$M2531</f>
        <v>0</v>
      </c>
      <c r="AR2531" s="28"/>
      <c r="AS2531" s="28" t="n">
        <f aca="false">AR2531*$M2531</f>
        <v>0</v>
      </c>
      <c r="AT2531" s="28"/>
      <c r="AU2531" s="28" t="n">
        <f aca="false">AT2531*$M2531</f>
        <v>0</v>
      </c>
      <c r="AV2531" s="28"/>
      <c r="AW2531" s="28" t="n">
        <f aca="false">AV2531*$M2531</f>
        <v>0</v>
      </c>
      <c r="AX2531" s="28"/>
      <c r="AY2531" s="28" t="n">
        <f aca="false">AX2531*$M2531</f>
        <v>0</v>
      </c>
      <c r="AZ2531" s="30"/>
      <c r="BA2531" s="11"/>
      <c r="BB2531" s="31" t="n">
        <f aca="false">SUM(Q2531,S2531,U2531,W2531,Y2531,AA2531,AC2531,AE2531,AG2531,AI2531,AK2531,AM2531,AO2531,AQ2531,AS2531,AU2531,AW2531,AY2531)</f>
        <v>0</v>
      </c>
      <c r="BC2531" s="28" t="n">
        <f aca="false">BA2531-BB2531</f>
        <v>0</v>
      </c>
      <c r="BD2531" s="32" t="n">
        <f aca="false">SUM(P2531,R2531,T2531,V2531,X2531,Z2531,AB2531,AD2531,AF2531,AH2531,AJ2531,AL2531,AN2531,AP2531,AR2531,AT2531,AV2531,AX2531)</f>
        <v>0</v>
      </c>
      <c r="BE2531" s="33" t="n">
        <f aca="false">AZ2531-BD2531</f>
        <v>0</v>
      </c>
      <c r="BF2531" s="34" t="n">
        <f aca="false">BD2531*M2531</f>
        <v>0</v>
      </c>
      <c r="BG2531" s="35" t="n">
        <f aca="false">BA2531-BF2531</f>
        <v>0</v>
      </c>
      <c r="BH2531" s="19" t="str">
        <f aca="false">IF(BG2531=0,"",IF(BG2531&lt;&gt;BA2531,"erreur de calcul",IF(BD2531&lt;&gt;0,"pas de prix",IF(M2531&lt;&gt; 0,"pas de quantité","pas de prix, ni de quantité"))))</f>
        <v/>
      </c>
      <c r="BI2531" s="19"/>
    </row>
    <row r="2532" customFormat="false" ht="15" hidden="false" customHeight="false" outlineLevel="0" collapsed="false">
      <c r="A2532" s="0" t="n">
        <v>32</v>
      </c>
      <c r="B2532" s="8" t="s">
        <v>24</v>
      </c>
      <c r="C2532" s="9" t="s">
        <v>25</v>
      </c>
      <c r="D2532" s="9" t="s">
        <v>26</v>
      </c>
      <c r="E2532" s="10" t="n">
        <v>1789</v>
      </c>
      <c r="F2532" s="9" t="s">
        <v>27</v>
      </c>
      <c r="G2532" s="9" t="s">
        <v>27</v>
      </c>
      <c r="H2532" s="11" t="n">
        <v>20</v>
      </c>
      <c r="I2532" s="11" t="s">
        <v>150</v>
      </c>
      <c r="J2532" s="14" t="n">
        <v>70</v>
      </c>
      <c r="K2532" s="14"/>
      <c r="L2532" s="16"/>
      <c r="M2532" s="27" t="n">
        <f aca="false">J2532+(K2532/20)+(L2532/240)</f>
        <v>70</v>
      </c>
      <c r="N2532" s="17" t="s">
        <v>64</v>
      </c>
      <c r="O2532" s="11" t="s">
        <v>98</v>
      </c>
      <c r="P2532" s="28" t="n">
        <f aca="false">382028/100</f>
        <v>3820.28</v>
      </c>
      <c r="Q2532" s="28" t="n">
        <v>267420</v>
      </c>
      <c r="R2532" s="28" t="n">
        <f aca="false">131361/100</f>
        <v>1313.61</v>
      </c>
      <c r="S2532" s="28" t="n">
        <v>91953</v>
      </c>
      <c r="T2532" s="28" t="n">
        <f aca="false">8856/100</f>
        <v>88.56</v>
      </c>
      <c r="U2532" s="28" t="n">
        <v>6199</v>
      </c>
      <c r="V2532" s="28" t="n">
        <f aca="false">171125/100</f>
        <v>1711.25</v>
      </c>
      <c r="W2532" s="28" t="n">
        <v>119787</v>
      </c>
      <c r="X2532" s="28" t="n">
        <f aca="false">24259/100</f>
        <v>242.59</v>
      </c>
      <c r="Y2532" s="28" t="n">
        <v>16981</v>
      </c>
      <c r="Z2532" s="28"/>
      <c r="AA2532" s="28" t="n">
        <f aca="false">Z2532*$M2532</f>
        <v>0</v>
      </c>
      <c r="AB2532" s="28" t="n">
        <f aca="false">33694/100</f>
        <v>336.94</v>
      </c>
      <c r="AC2532" s="28" t="n">
        <v>23586</v>
      </c>
      <c r="AD2532" s="28" t="n">
        <f aca="false">89734/100</f>
        <v>897.34</v>
      </c>
      <c r="AE2532" s="28" t="n">
        <v>62814</v>
      </c>
      <c r="AF2532" s="28" t="n">
        <f aca="false">1955727/100</f>
        <v>19557.27</v>
      </c>
      <c r="AG2532" s="28" t="n">
        <v>1369009</v>
      </c>
      <c r="AH2532" s="28" t="n">
        <f aca="false">11740/100</f>
        <v>117.4</v>
      </c>
      <c r="AI2532" s="28" t="n">
        <v>8218</v>
      </c>
      <c r="AJ2532" s="28"/>
      <c r="AK2532" s="28" t="n">
        <f aca="false">AJ2532*$M2532</f>
        <v>0</v>
      </c>
      <c r="AL2532" s="28"/>
      <c r="AM2532" s="28" t="n">
        <f aca="false">AL2532*$M2532</f>
        <v>0</v>
      </c>
      <c r="AN2532" s="28"/>
      <c r="AO2532" s="28" t="n">
        <f aca="false">AN2532*$M2532</f>
        <v>0</v>
      </c>
      <c r="AP2532" s="28"/>
      <c r="AQ2532" s="28" t="n">
        <f aca="false">AP2532*$M2532</f>
        <v>0</v>
      </c>
      <c r="AR2532" s="28"/>
      <c r="AS2532" s="28" t="n">
        <f aca="false">AR2532*$M2532</f>
        <v>0</v>
      </c>
      <c r="AT2532" s="28"/>
      <c r="AU2532" s="28" t="n">
        <f aca="false">AT2532*$M2532</f>
        <v>0</v>
      </c>
      <c r="AV2532" s="28" t="n">
        <f aca="false">15000/100</f>
        <v>150</v>
      </c>
      <c r="AW2532" s="28" t="n">
        <v>10500</v>
      </c>
      <c r="AX2532" s="28"/>
      <c r="AY2532" s="28" t="n">
        <f aca="false">AX2532*$M2532</f>
        <v>0</v>
      </c>
      <c r="AZ2532" s="30" t="n">
        <f aca="false">2823524/100</f>
        <v>28235.24</v>
      </c>
      <c r="BA2532" s="11" t="n">
        <v>1976467</v>
      </c>
      <c r="BB2532" s="31" t="n">
        <f aca="false">SUM(Q2532,S2532,U2532,W2532,Y2532,AA2532,AC2532,AE2532,AG2532,AI2532,AK2532,AM2532,AO2532,AQ2532,AS2532,AU2532,AW2532,AY2532)</f>
        <v>1976467</v>
      </c>
      <c r="BC2532" s="28" t="n">
        <f aca="false">BA2532-BB2532</f>
        <v>0</v>
      </c>
      <c r="BD2532" s="32" t="n">
        <f aca="false">SUM(P2532,R2532,T2532,V2532,X2532,Z2532,AB2532,AD2532,AF2532,AH2532,AJ2532,AL2532,AN2532,AP2532,AR2532,AT2532,AV2532,AX2532)</f>
        <v>28235.24</v>
      </c>
      <c r="BE2532" s="33" t="n">
        <f aca="false">AZ2532-BD2532</f>
        <v>0</v>
      </c>
      <c r="BF2532" s="34" t="n">
        <f aca="false">BD2532*M2532</f>
        <v>1976466.8</v>
      </c>
      <c r="BG2532" s="35" t="n">
        <f aca="false">BA2532-BF2532</f>
        <v>0.199999999953434</v>
      </c>
      <c r="BH2532" s="19" t="str">
        <f aca="false">IF(BG2532=0,"",IF(BG2532&lt;&gt;BA2532,"erreur de calcul",IF(BD2532&lt;&gt;0,"pas de prix",IF(M2532&lt;&gt; 0,"pas de quantité","pas de prix, ni de quantité"))))</f>
        <v>erreur de calcul</v>
      </c>
      <c r="BI2532" s="19"/>
    </row>
    <row r="2533" customFormat="false" ht="15" hidden="false" customHeight="false" outlineLevel="0" collapsed="false">
      <c r="A2533" s="0" t="n">
        <v>33</v>
      </c>
      <c r="B2533" s="8" t="s">
        <v>24</v>
      </c>
      <c r="C2533" s="9" t="s">
        <v>25</v>
      </c>
      <c r="D2533" s="9" t="s">
        <v>26</v>
      </c>
      <c r="E2533" s="10" t="n">
        <v>1789</v>
      </c>
      <c r="F2533" s="9" t="s">
        <v>27</v>
      </c>
      <c r="G2533" s="9" t="s">
        <v>27</v>
      </c>
      <c r="H2533" s="11" t="n">
        <v>20</v>
      </c>
      <c r="I2533" s="11" t="s">
        <v>151</v>
      </c>
      <c r="J2533" s="14" t="n">
        <v>150</v>
      </c>
      <c r="K2533" s="14"/>
      <c r="L2533" s="16"/>
      <c r="M2533" s="27" t="n">
        <f aca="false">J2533+(K2533/20)+(L2533/240)</f>
        <v>150</v>
      </c>
      <c r="N2533" s="17" t="s">
        <v>64</v>
      </c>
      <c r="O2533" s="11"/>
      <c r="P2533" s="28"/>
      <c r="Q2533" s="28" t="n">
        <f aca="false">P2533*$M2533</f>
        <v>0</v>
      </c>
      <c r="R2533" s="28"/>
      <c r="S2533" s="28" t="n">
        <f aca="false">R2533*$M2533</f>
        <v>0</v>
      </c>
      <c r="T2533" s="28"/>
      <c r="U2533" s="28" t="n">
        <f aca="false">T2533*$M2533</f>
        <v>0</v>
      </c>
      <c r="V2533" s="28"/>
      <c r="W2533" s="28" t="n">
        <f aca="false">V2533*$M2533</f>
        <v>0</v>
      </c>
      <c r="X2533" s="28"/>
      <c r="Y2533" s="28" t="n">
        <f aca="false">X2533*$M2533</f>
        <v>0</v>
      </c>
      <c r="Z2533" s="28"/>
      <c r="AA2533" s="28" t="n">
        <f aca="false">Z2533*$M2533</f>
        <v>0</v>
      </c>
      <c r="AB2533" s="28"/>
      <c r="AC2533" s="28" t="n">
        <f aca="false">AB2533*$M2533</f>
        <v>0</v>
      </c>
      <c r="AD2533" s="28"/>
      <c r="AE2533" s="28" t="n">
        <f aca="false">AD2533*$M2533</f>
        <v>0</v>
      </c>
      <c r="AF2533" s="28"/>
      <c r="AG2533" s="28" t="n">
        <f aca="false">AF2533*$M2533</f>
        <v>0</v>
      </c>
      <c r="AH2533" s="28"/>
      <c r="AI2533" s="28" t="n">
        <f aca="false">AH2533*$M2533</f>
        <v>0</v>
      </c>
      <c r="AJ2533" s="28"/>
      <c r="AK2533" s="28" t="n">
        <f aca="false">AJ2533*$M2533</f>
        <v>0</v>
      </c>
      <c r="AL2533" s="28" t="n">
        <f aca="false">118785/100</f>
        <v>1187.85</v>
      </c>
      <c r="AM2533" s="28" t="n">
        <v>178177</v>
      </c>
      <c r="AN2533" s="28"/>
      <c r="AO2533" s="28" t="n">
        <f aca="false">AN2533*$M2533</f>
        <v>0</v>
      </c>
      <c r="AP2533" s="28"/>
      <c r="AQ2533" s="28" t="n">
        <f aca="false">AP2533*$M2533</f>
        <v>0</v>
      </c>
      <c r="AR2533" s="28"/>
      <c r="AS2533" s="28" t="n">
        <f aca="false">AR2533*$M2533</f>
        <v>0</v>
      </c>
      <c r="AT2533" s="28"/>
      <c r="AU2533" s="28" t="n">
        <f aca="false">AT2533*$M2533</f>
        <v>0</v>
      </c>
      <c r="AV2533" s="28"/>
      <c r="AW2533" s="28" t="n">
        <f aca="false">AV2533*$M2533</f>
        <v>0</v>
      </c>
      <c r="AX2533" s="28"/>
      <c r="AY2533" s="28" t="n">
        <f aca="false">AX2533*$M2533</f>
        <v>0</v>
      </c>
      <c r="AZ2533" s="30" t="n">
        <f aca="false">118785/100</f>
        <v>1187.85</v>
      </c>
      <c r="BA2533" s="11" t="n">
        <v>178177</v>
      </c>
      <c r="BB2533" s="31" t="n">
        <f aca="false">SUM(Q2533,S2533,U2533,W2533,Y2533,AA2533,AC2533,AE2533,AG2533,AI2533,AK2533,AM2533,AO2533,AQ2533,AS2533,AU2533,AW2533,AY2533)</f>
        <v>178177</v>
      </c>
      <c r="BC2533" s="28" t="n">
        <f aca="false">BA2533-BB2533</f>
        <v>0</v>
      </c>
      <c r="BD2533" s="32" t="n">
        <f aca="false">SUM(P2533,R2533,T2533,V2533,X2533,Z2533,AB2533,AD2533,AF2533,AH2533,AJ2533,AL2533,AN2533,AP2533,AR2533,AT2533,AV2533,AX2533)</f>
        <v>1187.85</v>
      </c>
      <c r="BE2533" s="33" t="n">
        <f aca="false">AZ2533-BD2533</f>
        <v>0</v>
      </c>
      <c r="BF2533" s="34" t="n">
        <f aca="false">BD2533*M2533</f>
        <v>178177.5</v>
      </c>
      <c r="BG2533" s="35" t="n">
        <f aca="false">BA2533-BF2533</f>
        <v>-0.5</v>
      </c>
      <c r="BH2533" s="19" t="str">
        <f aca="false">IF(BG2533=0,"",IF(BG2533&lt;&gt;BA2533,"erreur de calcul",IF(BD2533&lt;&gt;0,"pas de prix",IF(M2533&lt;&gt; 0,"pas de quantité","pas de prix, ni de quantité"))))</f>
        <v>erreur de calcul</v>
      </c>
      <c r="BI2533" s="19"/>
    </row>
    <row r="2534" customFormat="false" ht="15" hidden="false" customHeight="false" outlineLevel="0" collapsed="false">
      <c r="A2534" s="0" t="n">
        <v>34</v>
      </c>
      <c r="B2534" s="8" t="s">
        <v>24</v>
      </c>
      <c r="C2534" s="9" t="s">
        <v>25</v>
      </c>
      <c r="D2534" s="9" t="s">
        <v>26</v>
      </c>
      <c r="E2534" s="10" t="n">
        <v>1789</v>
      </c>
      <c r="F2534" s="9" t="s">
        <v>27</v>
      </c>
      <c r="G2534" s="9" t="s">
        <v>27</v>
      </c>
      <c r="H2534" s="11" t="n">
        <v>20</v>
      </c>
      <c r="I2534" s="11" t="s">
        <v>152</v>
      </c>
      <c r="J2534" s="14" t="n">
        <v>80</v>
      </c>
      <c r="K2534" s="14"/>
      <c r="L2534" s="16"/>
      <c r="M2534" s="27" t="n">
        <f aca="false">J2534+(K2534/20)+(L2534/240)</f>
        <v>80</v>
      </c>
      <c r="N2534" s="17" t="s">
        <v>64</v>
      </c>
      <c r="O2534" s="11"/>
      <c r="P2534" s="28"/>
      <c r="Q2534" s="28" t="n">
        <f aca="false">P2534*$M2534</f>
        <v>0</v>
      </c>
      <c r="R2534" s="28"/>
      <c r="S2534" s="28" t="n">
        <f aca="false">R2534*$M2534</f>
        <v>0</v>
      </c>
      <c r="T2534" s="28"/>
      <c r="U2534" s="28" t="n">
        <f aca="false">T2534*$M2534</f>
        <v>0</v>
      </c>
      <c r="V2534" s="28"/>
      <c r="W2534" s="28" t="n">
        <f aca="false">V2534*$M2534</f>
        <v>0</v>
      </c>
      <c r="X2534" s="28"/>
      <c r="Y2534" s="28" t="n">
        <f aca="false">X2534*$M2534</f>
        <v>0</v>
      </c>
      <c r="Z2534" s="28"/>
      <c r="AA2534" s="28" t="n">
        <f aca="false">Z2534*$M2534</f>
        <v>0</v>
      </c>
      <c r="AB2534" s="28" t="n">
        <f aca="false">3142/100</f>
        <v>31.42</v>
      </c>
      <c r="AC2534" s="28" t="n">
        <v>2514</v>
      </c>
      <c r="AD2534" s="28"/>
      <c r="AE2534" s="28" t="n">
        <f aca="false">AD2534*$M2534</f>
        <v>0</v>
      </c>
      <c r="AF2534" s="28" t="n">
        <f aca="false">4868/100</f>
        <v>48.68</v>
      </c>
      <c r="AG2534" s="36" t="n">
        <v>3874</v>
      </c>
      <c r="AH2534" s="28" t="n">
        <f aca="false">1541601/100</f>
        <v>15416.01</v>
      </c>
      <c r="AI2534" s="28" t="n">
        <v>1233281</v>
      </c>
      <c r="AJ2534" s="28"/>
      <c r="AK2534" s="28" t="n">
        <f aca="false">AJ2534*$M2534</f>
        <v>0</v>
      </c>
      <c r="AL2534" s="28"/>
      <c r="AM2534" s="28" t="n">
        <f aca="false">AL2534*$M2534</f>
        <v>0</v>
      </c>
      <c r="AN2534" s="28"/>
      <c r="AO2534" s="28" t="n">
        <f aca="false">AN2534*$M2534</f>
        <v>0</v>
      </c>
      <c r="AP2534" s="28"/>
      <c r="AQ2534" s="28" t="n">
        <f aca="false">AP2534*$M2534</f>
        <v>0</v>
      </c>
      <c r="AR2534" s="28"/>
      <c r="AS2534" s="28" t="n">
        <f aca="false">AR2534*$M2534</f>
        <v>0</v>
      </c>
      <c r="AT2534" s="28"/>
      <c r="AU2534" s="28" t="n">
        <f aca="false">AT2534*$M2534</f>
        <v>0</v>
      </c>
      <c r="AV2534" s="28"/>
      <c r="AW2534" s="28" t="n">
        <f aca="false">AV2534*$M2534</f>
        <v>0</v>
      </c>
      <c r="AX2534" s="28"/>
      <c r="AY2534" s="28" t="n">
        <f aca="false">AX2534*$M2534</f>
        <v>0</v>
      </c>
      <c r="AZ2534" s="30" t="n">
        <f aca="false">1549611/100</f>
        <v>15496.11</v>
      </c>
      <c r="BA2534" s="11" t="n">
        <v>1239669</v>
      </c>
      <c r="BB2534" s="31" t="n">
        <f aca="false">SUM(Q2534,S2534,U2534,W2534,Y2534,AA2534,AC2534,AE2534,AG2534,AI2534,AK2534,AM2534,AO2534,AQ2534,AS2534,AU2534,AW2534,AY2534)</f>
        <v>1239669</v>
      </c>
      <c r="BC2534" s="28" t="n">
        <f aca="false">BA2534-BB2534</f>
        <v>0</v>
      </c>
      <c r="BD2534" s="32" t="n">
        <f aca="false">SUM(P2534,R2534,T2534,V2534,X2534,Z2534,AB2534,AD2534,AF2534,AH2534,AJ2534,AL2534,AN2534,AP2534,AR2534,AT2534,AV2534,AX2534)</f>
        <v>15496.11</v>
      </c>
      <c r="BE2534" s="33" t="n">
        <f aca="false">AZ2534-BD2534</f>
        <v>0</v>
      </c>
      <c r="BF2534" s="34" t="n">
        <f aca="false">BD2534*M2534</f>
        <v>1239688.8</v>
      </c>
      <c r="BG2534" s="35" t="n">
        <f aca="false">BA2534-BF2534</f>
        <v>-19.8000000000466</v>
      </c>
      <c r="BH2534" s="19" t="str">
        <f aca="false">IF(BG2534=0,"",IF(BG2534&lt;&gt;BA2534,"erreur de calcul",IF(BD2534&lt;&gt;0,"pas de prix",IF(M2534&lt;&gt; 0,"pas de quantité","pas de prix, ni de quantité"))))</f>
        <v>erreur de calcul</v>
      </c>
      <c r="BI2534" s="19"/>
    </row>
    <row r="2535" customFormat="false" ht="15" hidden="false" customHeight="false" outlineLevel="0" collapsed="false">
      <c r="A2535" s="0" t="n">
        <v>35</v>
      </c>
      <c r="B2535" s="8" t="s">
        <v>24</v>
      </c>
      <c r="C2535" s="9" t="s">
        <v>25</v>
      </c>
      <c r="D2535" s="9" t="s">
        <v>26</v>
      </c>
      <c r="E2535" s="10" t="n">
        <v>1789</v>
      </c>
      <c r="F2535" s="9" t="s">
        <v>27</v>
      </c>
      <c r="G2535" s="9" t="s">
        <v>27</v>
      </c>
      <c r="H2535" s="11" t="n">
        <v>20</v>
      </c>
      <c r="I2535" s="11" t="s">
        <v>153</v>
      </c>
      <c r="J2535" s="14" t="n">
        <v>148</v>
      </c>
      <c r="K2535" s="14"/>
      <c r="L2535" s="16"/>
      <c r="M2535" s="27" t="n">
        <f aca="false">J2535+(K2535/20)+(L2535/240)</f>
        <v>148</v>
      </c>
      <c r="N2535" s="17" t="s">
        <v>64</v>
      </c>
      <c r="O2535" s="11"/>
      <c r="P2535" s="28"/>
      <c r="Q2535" s="28" t="n">
        <f aca="false">P2535*$M2535</f>
        <v>0</v>
      </c>
      <c r="R2535" s="28"/>
      <c r="S2535" s="28" t="n">
        <f aca="false">R2535*$M2535</f>
        <v>0</v>
      </c>
      <c r="T2535" s="28"/>
      <c r="U2535" s="28" t="n">
        <f aca="false">T2535*$M2535</f>
        <v>0</v>
      </c>
      <c r="V2535" s="28"/>
      <c r="W2535" s="28" t="n">
        <f aca="false">V2535*$M2535</f>
        <v>0</v>
      </c>
      <c r="X2535" s="28"/>
      <c r="Y2535" s="28" t="n">
        <f aca="false">X2535*$M2535</f>
        <v>0</v>
      </c>
      <c r="Z2535" s="28"/>
      <c r="AA2535" s="28" t="n">
        <f aca="false">Z2535*$M2535</f>
        <v>0</v>
      </c>
      <c r="AB2535" s="28"/>
      <c r="AC2535" s="28" t="n">
        <f aca="false">AB2535*$M2535</f>
        <v>0</v>
      </c>
      <c r="AD2535" s="28"/>
      <c r="AE2535" s="28" t="n">
        <f aca="false">AD2535*$M2535</f>
        <v>0</v>
      </c>
      <c r="AF2535" s="28"/>
      <c r="AG2535" s="28" t="n">
        <f aca="false">AF2535*$M2535</f>
        <v>0</v>
      </c>
      <c r="AH2535" s="28"/>
      <c r="AI2535" s="28" t="n">
        <f aca="false">AH2535*$M2535</f>
        <v>0</v>
      </c>
      <c r="AJ2535" s="28" t="n">
        <f aca="false">1472/100</f>
        <v>14.72</v>
      </c>
      <c r="AK2535" s="28" t="n">
        <v>2178</v>
      </c>
      <c r="AL2535" s="28"/>
      <c r="AM2535" s="28" t="n">
        <f aca="false">AL2535*$M2535</f>
        <v>0</v>
      </c>
      <c r="AN2535" s="28"/>
      <c r="AO2535" s="28" t="n">
        <f aca="false">AN2535*$M2535</f>
        <v>0</v>
      </c>
      <c r="AP2535" s="28"/>
      <c r="AQ2535" s="28" t="n">
        <f aca="false">AP2535*$M2535</f>
        <v>0</v>
      </c>
      <c r="AR2535" s="28"/>
      <c r="AS2535" s="28" t="n">
        <f aca="false">AR2535*$M2535</f>
        <v>0</v>
      </c>
      <c r="AT2535" s="28"/>
      <c r="AU2535" s="28" t="n">
        <f aca="false">AT2535*$M2535</f>
        <v>0</v>
      </c>
      <c r="AV2535" s="28"/>
      <c r="AW2535" s="28" t="n">
        <f aca="false">AV2535*$M2535</f>
        <v>0</v>
      </c>
      <c r="AX2535" s="28"/>
      <c r="AY2535" s="28" t="n">
        <f aca="false">AX2535*$M2535</f>
        <v>0</v>
      </c>
      <c r="AZ2535" s="30" t="n">
        <f aca="false">1472/100</f>
        <v>14.72</v>
      </c>
      <c r="BA2535" s="11" t="n">
        <v>2178</v>
      </c>
      <c r="BB2535" s="31" t="n">
        <f aca="false">SUM(Q2535,S2535,U2535,W2535,Y2535,AA2535,AC2535,AE2535,AG2535,AI2535,AK2535,AM2535,AO2535,AQ2535,AS2535,AU2535,AW2535,AY2535)</f>
        <v>2178</v>
      </c>
      <c r="BC2535" s="28" t="n">
        <f aca="false">BA2535-BB2535</f>
        <v>0</v>
      </c>
      <c r="BD2535" s="32" t="n">
        <f aca="false">SUM(P2535,R2535,T2535,V2535,X2535,Z2535,AB2535,AD2535,AF2535,AH2535,AJ2535,AL2535,AN2535,AP2535,AR2535,AT2535,AV2535,AX2535)</f>
        <v>14.72</v>
      </c>
      <c r="BE2535" s="33" t="n">
        <f aca="false">AZ2535-BD2535</f>
        <v>0</v>
      </c>
      <c r="BF2535" s="34" t="n">
        <f aca="false">BD2535*M2535</f>
        <v>2178.56</v>
      </c>
      <c r="BG2535" s="35" t="n">
        <f aca="false">BA2535-BF2535</f>
        <v>-0.559999999999945</v>
      </c>
      <c r="BH2535" s="19" t="str">
        <f aca="false">IF(BG2535=0,"",IF(BG2535&lt;&gt;BA2535,"erreur de calcul",IF(BD2535&lt;&gt;0,"pas de prix",IF(M2535&lt;&gt; 0,"pas de quantité","pas de prix, ni de quantité"))))</f>
        <v>erreur de calcul</v>
      </c>
      <c r="BI2535" s="19"/>
    </row>
    <row r="2536" customFormat="false" ht="15" hidden="false" customHeight="false" outlineLevel="0" collapsed="false">
      <c r="A2536" s="0" t="n">
        <v>36</v>
      </c>
      <c r="B2536" s="8" t="s">
        <v>24</v>
      </c>
      <c r="C2536" s="9" t="s">
        <v>25</v>
      </c>
      <c r="D2536" s="9" t="s">
        <v>26</v>
      </c>
      <c r="E2536" s="10" t="n">
        <v>1789</v>
      </c>
      <c r="F2536" s="9" t="s">
        <v>27</v>
      </c>
      <c r="G2536" s="9" t="s">
        <v>27</v>
      </c>
      <c r="H2536" s="11" t="n">
        <v>20</v>
      </c>
      <c r="I2536" s="11" t="s">
        <v>154</v>
      </c>
      <c r="J2536" s="14" t="n">
        <v>75</v>
      </c>
      <c r="K2536" s="14"/>
      <c r="L2536" s="16"/>
      <c r="M2536" s="27" t="n">
        <f aca="false">J2536+(K2536/20)+(L2536/240)</f>
        <v>75</v>
      </c>
      <c r="N2536" s="17" t="s">
        <v>64</v>
      </c>
      <c r="O2536" s="11"/>
      <c r="P2536" s="28"/>
      <c r="Q2536" s="28" t="n">
        <f aca="false">P2536*$M2536</f>
        <v>0</v>
      </c>
      <c r="R2536" s="28"/>
      <c r="S2536" s="28" t="n">
        <f aca="false">R2536*$M2536</f>
        <v>0</v>
      </c>
      <c r="T2536" s="28" t="n">
        <f aca="false">627/100</f>
        <v>6.27</v>
      </c>
      <c r="U2536" s="28" t="n">
        <v>470</v>
      </c>
      <c r="V2536" s="28"/>
      <c r="W2536" s="28" t="n">
        <f aca="false">V2536*$M2536</f>
        <v>0</v>
      </c>
      <c r="X2536" s="28"/>
      <c r="Y2536" s="28" t="n">
        <f aca="false">X2536*$M2536</f>
        <v>0</v>
      </c>
      <c r="Z2536" s="28"/>
      <c r="AA2536" s="28" t="n">
        <f aca="false">Z2536*$M2536</f>
        <v>0</v>
      </c>
      <c r="AB2536" s="28"/>
      <c r="AC2536" s="28" t="n">
        <f aca="false">AB2536*$M2536</f>
        <v>0</v>
      </c>
      <c r="AD2536" s="28"/>
      <c r="AE2536" s="28" t="n">
        <f aca="false">AD2536*$M2536</f>
        <v>0</v>
      </c>
      <c r="AF2536" s="28"/>
      <c r="AG2536" s="28" t="n">
        <f aca="false">AF2536*$M2536</f>
        <v>0</v>
      </c>
      <c r="AH2536" s="28"/>
      <c r="AI2536" s="28" t="n">
        <f aca="false">AH2536*$M2536</f>
        <v>0</v>
      </c>
      <c r="AJ2536" s="28"/>
      <c r="AK2536" s="28" t="n">
        <f aca="false">AJ2536*$M2536</f>
        <v>0</v>
      </c>
      <c r="AL2536" s="28"/>
      <c r="AM2536" s="28" t="n">
        <f aca="false">AL2536*$M2536</f>
        <v>0</v>
      </c>
      <c r="AN2536" s="28"/>
      <c r="AO2536" s="28" t="n">
        <f aca="false">AN2536*$M2536</f>
        <v>0</v>
      </c>
      <c r="AP2536" s="28"/>
      <c r="AQ2536" s="28" t="n">
        <f aca="false">AP2536*$M2536</f>
        <v>0</v>
      </c>
      <c r="AR2536" s="28"/>
      <c r="AS2536" s="28" t="n">
        <f aca="false">AR2536*$M2536</f>
        <v>0</v>
      </c>
      <c r="AT2536" s="28"/>
      <c r="AU2536" s="28" t="n">
        <f aca="false">AT2536*$M2536</f>
        <v>0</v>
      </c>
      <c r="AV2536" s="28"/>
      <c r="AW2536" s="28" t="n">
        <f aca="false">AV2536*$M2536</f>
        <v>0</v>
      </c>
      <c r="AX2536" s="28"/>
      <c r="AY2536" s="28" t="n">
        <f aca="false">AX2536*$M2536</f>
        <v>0</v>
      </c>
      <c r="AZ2536" s="30" t="n">
        <f aca="false">627/100</f>
        <v>6.27</v>
      </c>
      <c r="BA2536" s="11" t="n">
        <v>470</v>
      </c>
      <c r="BB2536" s="31" t="n">
        <f aca="false">SUM(Q2536,S2536,U2536,W2536,Y2536,AA2536,AC2536,AE2536,AG2536,AI2536,AK2536,AM2536,AO2536,AQ2536,AS2536,AU2536,AW2536,AY2536)</f>
        <v>470</v>
      </c>
      <c r="BC2536" s="28" t="n">
        <f aca="false">BA2536-BB2536</f>
        <v>0</v>
      </c>
      <c r="BD2536" s="32" t="n">
        <f aca="false">SUM(P2536,R2536,T2536,V2536,X2536,Z2536,AB2536,AD2536,AF2536,AH2536,AJ2536,AL2536,AN2536,AP2536,AR2536,AT2536,AV2536,AX2536)</f>
        <v>6.27</v>
      </c>
      <c r="BE2536" s="33" t="n">
        <f aca="false">AZ2536-BD2536</f>
        <v>0</v>
      </c>
      <c r="BF2536" s="34" t="n">
        <f aca="false">BD2536*M2536</f>
        <v>470.25</v>
      </c>
      <c r="BG2536" s="35" t="n">
        <f aca="false">BA2536-BF2536</f>
        <v>-0.249999999999943</v>
      </c>
      <c r="BH2536" s="19" t="str">
        <f aca="false">IF(BG2536=0,"",IF(BG2536&lt;&gt;BA2536,"erreur de calcul",IF(BD2536&lt;&gt;0,"pas de prix",IF(M2536&lt;&gt; 0,"pas de quantité","pas de prix, ni de quantité"))))</f>
        <v>erreur de calcul</v>
      </c>
      <c r="BI2536" s="19"/>
    </row>
    <row r="2537" customFormat="false" ht="15" hidden="false" customHeight="false" outlineLevel="0" collapsed="false">
      <c r="A2537" s="0" t="n">
        <v>1</v>
      </c>
      <c r="B2537" s="8" t="s">
        <v>24</v>
      </c>
      <c r="C2537" s="9" t="s">
        <v>25</v>
      </c>
      <c r="D2537" s="9" t="s">
        <v>26</v>
      </c>
      <c r="E2537" s="10" t="n">
        <v>1789</v>
      </c>
      <c r="F2537" s="9" t="s">
        <v>27</v>
      </c>
      <c r="G2537" s="9" t="s">
        <v>27</v>
      </c>
      <c r="H2537" s="11" t="n">
        <v>21</v>
      </c>
      <c r="I2537" s="11" t="s">
        <v>155</v>
      </c>
      <c r="J2537" s="14" t="n">
        <v>60</v>
      </c>
      <c r="K2537" s="14"/>
      <c r="L2537" s="16"/>
      <c r="M2537" s="27" t="n">
        <f aca="false">J2537+(K2537/20)+(L2537/240)</f>
        <v>60</v>
      </c>
      <c r="N2537" s="17" t="s">
        <v>66</v>
      </c>
      <c r="O2537" s="11"/>
      <c r="P2537" s="28"/>
      <c r="Q2537" s="28" t="n">
        <f aca="false">P2537*$M2537</f>
        <v>0</v>
      </c>
      <c r="R2537" s="28"/>
      <c r="S2537" s="28" t="n">
        <f aca="false">R2537*$M2537</f>
        <v>0</v>
      </c>
      <c r="T2537" s="28"/>
      <c r="U2537" s="28" t="n">
        <f aca="false">T2537*$M2537</f>
        <v>0</v>
      </c>
      <c r="V2537" s="28" t="n">
        <v>10</v>
      </c>
      <c r="W2537" s="28" t="n">
        <v>600</v>
      </c>
      <c r="X2537" s="28"/>
      <c r="Y2537" s="28" t="n">
        <f aca="false">X2537*$M2537</f>
        <v>0</v>
      </c>
      <c r="Z2537" s="28"/>
      <c r="AA2537" s="28" t="n">
        <f aca="false">Z2537*$M2537</f>
        <v>0</v>
      </c>
      <c r="AB2537" s="28"/>
      <c r="AC2537" s="28" t="n">
        <f aca="false">AB2537*$M2537</f>
        <v>0</v>
      </c>
      <c r="AD2537" s="28"/>
      <c r="AE2537" s="28" t="n">
        <f aca="false">AD2537*$M2537</f>
        <v>0</v>
      </c>
      <c r="AF2537" s="28"/>
      <c r="AG2537" s="28" t="n">
        <f aca="false">AF2537*$M2537</f>
        <v>0</v>
      </c>
      <c r="AH2537" s="28"/>
      <c r="AI2537" s="28" t="n">
        <f aca="false">AH2537*$M2537</f>
        <v>0</v>
      </c>
      <c r="AJ2537" s="28"/>
      <c r="AK2537" s="28" t="n">
        <f aca="false">AJ2537*$M2537</f>
        <v>0</v>
      </c>
      <c r="AL2537" s="28"/>
      <c r="AM2537" s="28" t="n">
        <f aca="false">AL2537*$M2537</f>
        <v>0</v>
      </c>
      <c r="AN2537" s="28"/>
      <c r="AO2537" s="28" t="n">
        <f aca="false">AN2537*$M2537</f>
        <v>0</v>
      </c>
      <c r="AP2537" s="28"/>
      <c r="AQ2537" s="28" t="n">
        <f aca="false">AP2537*$M2537</f>
        <v>0</v>
      </c>
      <c r="AR2537" s="28"/>
      <c r="AS2537" s="28" t="n">
        <f aca="false">AR2537*$M2537</f>
        <v>0</v>
      </c>
      <c r="AT2537" s="28"/>
      <c r="AU2537" s="28" t="n">
        <f aca="false">AT2537*$M2537</f>
        <v>0</v>
      </c>
      <c r="AV2537" s="28"/>
      <c r="AW2537" s="28" t="n">
        <f aca="false">AV2537*$M2537</f>
        <v>0</v>
      </c>
      <c r="AX2537" s="28"/>
      <c r="AY2537" s="28" t="n">
        <f aca="false">AX2537*$M2537</f>
        <v>0</v>
      </c>
      <c r="AZ2537" s="30" t="n">
        <v>10</v>
      </c>
      <c r="BA2537" s="11" t="n">
        <v>600</v>
      </c>
      <c r="BB2537" s="31" t="n">
        <f aca="false">SUM(Q2537,S2537,U2537,W2537,Y2537,AA2537,AC2537,AE2537,AG2537,AI2537,AK2537,AM2537,AO2537,AQ2537,AS2537,AU2537,AW2537,AY2537)</f>
        <v>600</v>
      </c>
      <c r="BC2537" s="28" t="n">
        <f aca="false">BA2537-BB2537</f>
        <v>0</v>
      </c>
      <c r="BD2537" s="32" t="n">
        <f aca="false">SUM(P2537,R2537,T2537,V2537,X2537,Z2537,AB2537,AD2537,AF2537,AH2537,AJ2537,AL2537,AN2537,AP2537,AR2537,AT2537,AV2537,AX2537)</f>
        <v>10</v>
      </c>
      <c r="BE2537" s="33" t="n">
        <f aca="false">AZ2537-BD2537</f>
        <v>0</v>
      </c>
      <c r="BF2537" s="34" t="n">
        <f aca="false">BD2537*M2537</f>
        <v>600</v>
      </c>
      <c r="BG2537" s="35" t="n">
        <f aca="false">BA2537-BF2537</f>
        <v>0</v>
      </c>
      <c r="BH2537" s="19" t="str">
        <f aca="false">IF(BG2537=0,"",IF(BG2537&lt;&gt;BA2537,"erreur de calcul",IF(BD2537&lt;&gt;0,"pas de prix",IF(M2537&lt;&gt; 0,"pas de quantité","pas de prix, ni de quantité"))))</f>
        <v/>
      </c>
      <c r="BI2537" s="19"/>
    </row>
    <row r="2538" customFormat="false" ht="15" hidden="false" customHeight="false" outlineLevel="0" collapsed="false">
      <c r="A2538" s="0" t="n">
        <v>2</v>
      </c>
      <c r="B2538" s="8" t="s">
        <v>24</v>
      </c>
      <c r="C2538" s="9" t="s">
        <v>25</v>
      </c>
      <c r="D2538" s="9" t="s">
        <v>26</v>
      </c>
      <c r="E2538" s="10" t="n">
        <v>1789</v>
      </c>
      <c r="F2538" s="9" t="s">
        <v>27</v>
      </c>
      <c r="G2538" s="9" t="s">
        <v>27</v>
      </c>
      <c r="H2538" s="11" t="n">
        <v>21</v>
      </c>
      <c r="I2538" s="11" t="s">
        <v>156</v>
      </c>
      <c r="J2538" s="14"/>
      <c r="K2538" s="14"/>
      <c r="L2538" s="16"/>
      <c r="M2538" s="27" t="n">
        <f aca="false">J2538+(K2538/20)+(L2538/240)</f>
        <v>0</v>
      </c>
      <c r="N2538" s="17"/>
      <c r="O2538" s="11"/>
      <c r="P2538" s="28"/>
      <c r="Q2538" s="28" t="n">
        <v>304</v>
      </c>
      <c r="R2538" s="28"/>
      <c r="S2538" s="28" t="n">
        <f aca="false">R2538*$M2538</f>
        <v>0</v>
      </c>
      <c r="T2538" s="28"/>
      <c r="U2538" s="28" t="n">
        <f aca="false">T2538*$M2538</f>
        <v>0</v>
      </c>
      <c r="V2538" s="28"/>
      <c r="W2538" s="28" t="n">
        <f aca="false">V2538*$M2538</f>
        <v>0</v>
      </c>
      <c r="X2538" s="28"/>
      <c r="Y2538" s="28" t="n">
        <v>270</v>
      </c>
      <c r="Z2538" s="28"/>
      <c r="AA2538" s="28" t="n">
        <f aca="false">Z2538*$M2538</f>
        <v>0</v>
      </c>
      <c r="AB2538" s="28"/>
      <c r="AC2538" s="28" t="n">
        <f aca="false">AB2538*$M2538</f>
        <v>0</v>
      </c>
      <c r="AD2538" s="28"/>
      <c r="AE2538" s="28" t="n">
        <v>175</v>
      </c>
      <c r="AF2538" s="28"/>
      <c r="AG2538" s="28" t="n">
        <f aca="false">AF2538*$M2538</f>
        <v>0</v>
      </c>
      <c r="AH2538" s="28"/>
      <c r="AI2538" s="28" t="n">
        <f aca="false">AH2538*$M2538</f>
        <v>0</v>
      </c>
      <c r="AJ2538" s="28"/>
      <c r="AK2538" s="28" t="n">
        <v>240</v>
      </c>
      <c r="AL2538" s="28"/>
      <c r="AM2538" s="28" t="n">
        <v>808</v>
      </c>
      <c r="AN2538" s="28"/>
      <c r="AO2538" s="28" t="n">
        <f aca="false">AN2538*$M2538</f>
        <v>0</v>
      </c>
      <c r="AP2538" s="28"/>
      <c r="AQ2538" s="28" t="n">
        <f aca="false">AP2538*$M2538</f>
        <v>0</v>
      </c>
      <c r="AR2538" s="28"/>
      <c r="AS2538" s="28" t="n">
        <f aca="false">AR2538*$M2538</f>
        <v>0</v>
      </c>
      <c r="AT2538" s="28"/>
      <c r="AU2538" s="28" t="n">
        <f aca="false">AT2538*$M2538</f>
        <v>0</v>
      </c>
      <c r="AV2538" s="28"/>
      <c r="AW2538" s="28" t="n">
        <f aca="false">AV2538*$M2538</f>
        <v>0</v>
      </c>
      <c r="AX2538" s="28"/>
      <c r="AY2538" s="28" t="n">
        <f aca="false">AX2538*$M2538</f>
        <v>0</v>
      </c>
      <c r="AZ2538" s="30"/>
      <c r="BA2538" s="11" t="n">
        <v>1797</v>
      </c>
      <c r="BB2538" s="31" t="n">
        <f aca="false">SUM(Q2538,S2538,U2538,W2538,Y2538,AA2538,AC2538,AE2538,AG2538,AI2538,AK2538,AM2538,AO2538,AQ2538,AS2538,AU2538,AW2538,AY2538)</f>
        <v>1797</v>
      </c>
      <c r="BC2538" s="28" t="n">
        <f aca="false">BA2538-BB2538</f>
        <v>0</v>
      </c>
      <c r="BD2538" s="32" t="n">
        <f aca="false">SUM(P2538,R2538,T2538,V2538,X2538,Z2538,AB2538,AD2538,AF2538,AH2538,AJ2538,AL2538,AN2538,AP2538,AR2538,AT2538,AV2538,AX2538)</f>
        <v>0</v>
      </c>
      <c r="BE2538" s="33" t="n">
        <f aca="false">AZ2538-BD2538</f>
        <v>0</v>
      </c>
      <c r="BF2538" s="34" t="n">
        <f aca="false">BD2538*M2538</f>
        <v>0</v>
      </c>
      <c r="BG2538" s="35" t="n">
        <f aca="false">BA2538-BF2538</f>
        <v>1797</v>
      </c>
      <c r="BH2538" s="19" t="str">
        <f aca="false">IF(BG2538=0,"",IF(BG2538&lt;&gt;BA2538,"erreur de calcul",IF(BD2538&lt;&gt;0,"pas de prix",IF(M2538&lt;&gt; 0,"pas de quantité","pas de prix, ni de quantité"))))</f>
        <v>pas de prix, ni de quantité</v>
      </c>
      <c r="BI2538" s="19"/>
    </row>
    <row r="2539" customFormat="false" ht="15" hidden="false" customHeight="false" outlineLevel="0" collapsed="false">
      <c r="A2539" s="0" t="n">
        <v>3</v>
      </c>
      <c r="B2539" s="8" t="s">
        <v>24</v>
      </c>
      <c r="C2539" s="9" t="s">
        <v>25</v>
      </c>
      <c r="D2539" s="9" t="s">
        <v>26</v>
      </c>
      <c r="E2539" s="10" t="n">
        <v>1789</v>
      </c>
      <c r="F2539" s="9" t="s">
        <v>27</v>
      </c>
      <c r="G2539" s="9" t="s">
        <v>27</v>
      </c>
      <c r="H2539" s="11" t="n">
        <v>21</v>
      </c>
      <c r="I2539" s="11" t="s">
        <v>156</v>
      </c>
      <c r="J2539" s="14" t="n">
        <v>175</v>
      </c>
      <c r="K2539" s="14"/>
      <c r="L2539" s="16"/>
      <c r="M2539" s="27" t="n">
        <f aca="false">J2539+(K2539/20)+(L2539/240)</f>
        <v>175</v>
      </c>
      <c r="N2539" s="17" t="s">
        <v>64</v>
      </c>
      <c r="O2539" s="11" t="s">
        <v>98</v>
      </c>
      <c r="P2539" s="28" t="n">
        <f aca="false">3429/100</f>
        <v>34.29</v>
      </c>
      <c r="Q2539" s="28" t="n">
        <v>6001</v>
      </c>
      <c r="R2539" s="28"/>
      <c r="S2539" s="28" t="n">
        <f aca="false">R2539*$M2539</f>
        <v>0</v>
      </c>
      <c r="T2539" s="28" t="n">
        <f aca="false">5135/100</f>
        <v>51.35</v>
      </c>
      <c r="U2539" s="28" t="n">
        <v>8986</v>
      </c>
      <c r="V2539" s="28" t="n">
        <f aca="false">33716/100</f>
        <v>337.16</v>
      </c>
      <c r="W2539" s="28" t="n">
        <v>59003</v>
      </c>
      <c r="X2539" s="28" t="n">
        <f aca="false">14982/100</f>
        <v>149.82</v>
      </c>
      <c r="Y2539" s="28" t="n">
        <v>26218</v>
      </c>
      <c r="Z2539" s="28"/>
      <c r="AA2539" s="28" t="n">
        <f aca="false">Z2539*$M2539</f>
        <v>0</v>
      </c>
      <c r="AB2539" s="28"/>
      <c r="AC2539" s="28" t="n">
        <f aca="false">AB2539*$M2539</f>
        <v>0</v>
      </c>
      <c r="AD2539" s="28"/>
      <c r="AE2539" s="28" t="n">
        <f aca="false">AD2539*$M2539</f>
        <v>0</v>
      </c>
      <c r="AF2539" s="28" t="n">
        <f aca="false">439/100</f>
        <v>4.39</v>
      </c>
      <c r="AG2539" s="28" t="n">
        <v>768</v>
      </c>
      <c r="AH2539" s="28" t="n">
        <f aca="false">163722/100</f>
        <v>1637.22</v>
      </c>
      <c r="AI2539" s="28" t="n">
        <v>286513</v>
      </c>
      <c r="AJ2539" s="28" t="n">
        <f aca="false">17649/100</f>
        <v>176.49</v>
      </c>
      <c r="AK2539" s="28" t="n">
        <v>30886</v>
      </c>
      <c r="AL2539" s="28" t="n">
        <f aca="false">6852/100</f>
        <v>68.52</v>
      </c>
      <c r="AM2539" s="28" t="n">
        <v>11991</v>
      </c>
      <c r="AN2539" s="28"/>
      <c r="AO2539" s="28" t="n">
        <f aca="false">AN2539*$M2539</f>
        <v>0</v>
      </c>
      <c r="AP2539" s="28"/>
      <c r="AQ2539" s="28" t="n">
        <f aca="false">AP2539*$M2539</f>
        <v>0</v>
      </c>
      <c r="AR2539" s="28"/>
      <c r="AS2539" s="28" t="n">
        <f aca="false">AR2539*$M2539</f>
        <v>0</v>
      </c>
      <c r="AT2539" s="28"/>
      <c r="AU2539" s="28" t="n">
        <f aca="false">AT2539*$M2539</f>
        <v>0</v>
      </c>
      <c r="AV2539" s="28"/>
      <c r="AW2539" s="28" t="n">
        <f aca="false">AV2539*$M2539</f>
        <v>0</v>
      </c>
      <c r="AX2539" s="28"/>
      <c r="AY2539" s="28" t="n">
        <f aca="false">AX2539*$M2539</f>
        <v>0</v>
      </c>
      <c r="AZ2539" s="30" t="n">
        <f aca="false">245924/100</f>
        <v>2459.24</v>
      </c>
      <c r="BA2539" s="11" t="n">
        <v>430366</v>
      </c>
      <c r="BB2539" s="31" t="n">
        <f aca="false">SUM(Q2539,S2539,U2539,W2539,Y2539,AA2539,AC2539,AE2539,AG2539,AI2539,AK2539,AM2539,AO2539,AQ2539,AS2539,AU2539,AW2539,AY2539)</f>
        <v>430366</v>
      </c>
      <c r="BC2539" s="28" t="n">
        <f aca="false">BA2539-BB2539</f>
        <v>0</v>
      </c>
      <c r="BD2539" s="32" t="n">
        <f aca="false">SUM(P2539,R2539,T2539,V2539,X2539,Z2539,AB2539,AD2539,AF2539,AH2539,AJ2539,AL2539,AN2539,AP2539,AR2539,AT2539,AV2539,AX2539)</f>
        <v>2459.24</v>
      </c>
      <c r="BE2539" s="33" t="n">
        <f aca="false">AZ2539-BD2539</f>
        <v>0</v>
      </c>
      <c r="BF2539" s="34" t="n">
        <f aca="false">BD2539*M2539</f>
        <v>430367</v>
      </c>
      <c r="BG2539" s="35" t="n">
        <f aca="false">BA2539-BF2539</f>
        <v>-0.999999999941792</v>
      </c>
      <c r="BH2539" s="19" t="str">
        <f aca="false">IF(BG2539=0,"",IF(BG2539&lt;&gt;BA2539,"erreur de calcul",IF(BD2539&lt;&gt;0,"pas de prix",IF(M2539&lt;&gt; 0,"pas de quantité","pas de prix, ni de quantité"))))</f>
        <v>erreur de calcul</v>
      </c>
      <c r="BI2539" s="19"/>
    </row>
    <row r="2540" customFormat="false" ht="15" hidden="false" customHeight="false" outlineLevel="0" collapsed="false">
      <c r="A2540" s="0" t="n">
        <v>4</v>
      </c>
      <c r="B2540" s="8" t="s">
        <v>24</v>
      </c>
      <c r="C2540" s="9" t="s">
        <v>25</v>
      </c>
      <c r="D2540" s="9" t="s">
        <v>26</v>
      </c>
      <c r="E2540" s="10" t="n">
        <v>1789</v>
      </c>
      <c r="F2540" s="9" t="s">
        <v>27</v>
      </c>
      <c r="G2540" s="9" t="s">
        <v>27</v>
      </c>
      <c r="H2540" s="11" t="n">
        <v>21</v>
      </c>
      <c r="I2540" s="11" t="s">
        <v>157</v>
      </c>
      <c r="J2540" s="14" t="n">
        <v>240</v>
      </c>
      <c r="K2540" s="14"/>
      <c r="L2540" s="16"/>
      <c r="M2540" s="27" t="n">
        <f aca="false">J2540+(K2540/20)+(L2540/240)</f>
        <v>240</v>
      </c>
      <c r="N2540" s="17" t="s">
        <v>64</v>
      </c>
      <c r="O2540" s="11"/>
      <c r="P2540" s="28"/>
      <c r="Q2540" s="28" t="n">
        <f aca="false">P2540*$M2540</f>
        <v>0</v>
      </c>
      <c r="R2540" s="28"/>
      <c r="S2540" s="28" t="n">
        <f aca="false">R2540*$M2540</f>
        <v>0</v>
      </c>
      <c r="T2540" s="28"/>
      <c r="U2540" s="28" t="n">
        <f aca="false">T2540*$M2540</f>
        <v>0</v>
      </c>
      <c r="V2540" s="28"/>
      <c r="W2540" s="28" t="n">
        <f aca="false">V2540*$M2540</f>
        <v>0</v>
      </c>
      <c r="X2540" s="28"/>
      <c r="Y2540" s="28" t="n">
        <f aca="false">X2540*$M2540</f>
        <v>0</v>
      </c>
      <c r="Z2540" s="28"/>
      <c r="AA2540" s="28" t="n">
        <f aca="false">Z2540*$M2540</f>
        <v>0</v>
      </c>
      <c r="AB2540" s="28"/>
      <c r="AC2540" s="28" t="n">
        <f aca="false">AB2540*$M2540</f>
        <v>0</v>
      </c>
      <c r="AD2540" s="28"/>
      <c r="AE2540" s="28" t="n">
        <f aca="false">AD2540*$M2540</f>
        <v>0</v>
      </c>
      <c r="AF2540" s="28"/>
      <c r="AG2540" s="28" t="n">
        <f aca="false">AF2540*$M2540</f>
        <v>0</v>
      </c>
      <c r="AH2540" s="28"/>
      <c r="AI2540" s="28" t="n">
        <f aca="false">AH2540*$M2540</f>
        <v>0</v>
      </c>
      <c r="AJ2540" s="28" t="n">
        <f aca="false">290/100</f>
        <v>2.9</v>
      </c>
      <c r="AK2540" s="36" t="n">
        <v>2208</v>
      </c>
      <c r="AL2540" s="28"/>
      <c r="AM2540" s="28" t="n">
        <f aca="false">AL2540*$M2540</f>
        <v>0</v>
      </c>
      <c r="AN2540" s="28"/>
      <c r="AO2540" s="28" t="n">
        <f aca="false">AN2540*$M2540</f>
        <v>0</v>
      </c>
      <c r="AP2540" s="28"/>
      <c r="AQ2540" s="28" t="n">
        <f aca="false">AP2540*$M2540</f>
        <v>0</v>
      </c>
      <c r="AR2540" s="28"/>
      <c r="AS2540" s="28" t="n">
        <f aca="false">AR2540*$M2540</f>
        <v>0</v>
      </c>
      <c r="AT2540" s="28"/>
      <c r="AU2540" s="28" t="n">
        <f aca="false">AT2540*$M2540</f>
        <v>0</v>
      </c>
      <c r="AV2540" s="28"/>
      <c r="AW2540" s="28" t="n">
        <f aca="false">AV2540*$M2540</f>
        <v>0</v>
      </c>
      <c r="AX2540" s="28"/>
      <c r="AY2540" s="28" t="n">
        <f aca="false">AX2540*$M2540</f>
        <v>0</v>
      </c>
      <c r="AZ2540" s="30" t="n">
        <f aca="false">290/100</f>
        <v>2.9</v>
      </c>
      <c r="BA2540" s="11" t="n">
        <v>2208</v>
      </c>
      <c r="BB2540" s="31" t="n">
        <f aca="false">SUM(Q2540,S2540,U2540,W2540,Y2540,AA2540,AC2540,AE2540,AG2540,AI2540,AK2540,AM2540,AO2540,AQ2540,AS2540,AU2540,AW2540,AY2540)</f>
        <v>2208</v>
      </c>
      <c r="BC2540" s="28" t="n">
        <f aca="false">BA2540-BB2540</f>
        <v>0</v>
      </c>
      <c r="BD2540" s="32" t="n">
        <f aca="false">SUM(P2540,R2540,T2540,V2540,X2540,Z2540,AB2540,AD2540,AF2540,AH2540,AJ2540,AL2540,AN2540,AP2540,AR2540,AT2540,AV2540,AX2540)</f>
        <v>2.9</v>
      </c>
      <c r="BE2540" s="33" t="n">
        <f aca="false">AZ2540-BD2540</f>
        <v>0</v>
      </c>
      <c r="BF2540" s="34" t="n">
        <f aca="false">BD2540*M2540</f>
        <v>696</v>
      </c>
      <c r="BG2540" s="35" t="n">
        <f aca="false">BA2540-BF2540</f>
        <v>1512</v>
      </c>
      <c r="BH2540" s="19" t="str">
        <f aca="false">IF(BG2540=0,"",IF(BG2540&lt;&gt;BA2540,"erreur de calcul",IF(BD2540&lt;&gt;0,"pas de prix",IF(M2540&lt;&gt; 0,"pas de quantité","pas de prix, ni de quantité"))))</f>
        <v>erreur de calcul</v>
      </c>
      <c r="BI2540" s="19"/>
    </row>
    <row r="2541" customFormat="false" ht="15" hidden="false" customHeight="false" outlineLevel="0" collapsed="false">
      <c r="A2541" s="0" t="n">
        <v>5</v>
      </c>
      <c r="B2541" s="8" t="s">
        <v>24</v>
      </c>
      <c r="C2541" s="9" t="s">
        <v>25</v>
      </c>
      <c r="D2541" s="9" t="s">
        <v>26</v>
      </c>
      <c r="E2541" s="10" t="n">
        <v>1789</v>
      </c>
      <c r="F2541" s="9" t="s">
        <v>27</v>
      </c>
      <c r="G2541" s="9" t="s">
        <v>27</v>
      </c>
      <c r="H2541" s="11" t="n">
        <v>21</v>
      </c>
      <c r="I2541" s="11" t="s">
        <v>158</v>
      </c>
      <c r="J2541" s="14" t="n">
        <v>115</v>
      </c>
      <c r="K2541" s="14"/>
      <c r="L2541" s="16"/>
      <c r="M2541" s="27" t="n">
        <f aca="false">J2541+(K2541/20)+(L2541/240)</f>
        <v>115</v>
      </c>
      <c r="N2541" s="17" t="s">
        <v>64</v>
      </c>
      <c r="O2541" s="11"/>
      <c r="P2541" s="28"/>
      <c r="Q2541" s="28" t="n">
        <f aca="false">P2541*$M2541</f>
        <v>0</v>
      </c>
      <c r="R2541" s="28"/>
      <c r="S2541" s="28" t="n">
        <f aca="false">R2541*$M2541</f>
        <v>0</v>
      </c>
      <c r="T2541" s="28"/>
      <c r="U2541" s="28" t="n">
        <f aca="false">T2541*$M2541</f>
        <v>0</v>
      </c>
      <c r="V2541" s="28"/>
      <c r="W2541" s="28" t="n">
        <f aca="false">V2541*$M2541</f>
        <v>0</v>
      </c>
      <c r="X2541" s="28"/>
      <c r="Y2541" s="28" t="n">
        <f aca="false">X2541*$M2541</f>
        <v>0</v>
      </c>
      <c r="Z2541" s="28"/>
      <c r="AA2541" s="28" t="n">
        <f aca="false">Z2541*$M2541</f>
        <v>0</v>
      </c>
      <c r="AB2541" s="28"/>
      <c r="AC2541" s="28" t="n">
        <f aca="false">AB2541*$M2541</f>
        <v>0</v>
      </c>
      <c r="AD2541" s="28"/>
      <c r="AE2541" s="28" t="n">
        <f aca="false">AD2541*$M2541</f>
        <v>0</v>
      </c>
      <c r="AF2541" s="28"/>
      <c r="AG2541" s="28" t="n">
        <f aca="false">AF2541*$M2541</f>
        <v>0</v>
      </c>
      <c r="AH2541" s="28" t="n">
        <f aca="false">491552/100</f>
        <v>4915.52</v>
      </c>
      <c r="AI2541" s="28" t="n">
        <v>565285</v>
      </c>
      <c r="AJ2541" s="28"/>
      <c r="AK2541" s="28" t="n">
        <f aca="false">AJ2541*$M2541</f>
        <v>0</v>
      </c>
      <c r="AL2541" s="28"/>
      <c r="AM2541" s="28" t="n">
        <f aca="false">AL2541*$M2541</f>
        <v>0</v>
      </c>
      <c r="AN2541" s="28"/>
      <c r="AO2541" s="28" t="n">
        <f aca="false">AN2541*$M2541</f>
        <v>0</v>
      </c>
      <c r="AP2541" s="28"/>
      <c r="AQ2541" s="28" t="n">
        <f aca="false">AP2541*$M2541</f>
        <v>0</v>
      </c>
      <c r="AR2541" s="28"/>
      <c r="AS2541" s="28" t="n">
        <f aca="false">AR2541*$M2541</f>
        <v>0</v>
      </c>
      <c r="AT2541" s="28"/>
      <c r="AU2541" s="28" t="n">
        <f aca="false">AT2541*$M2541</f>
        <v>0</v>
      </c>
      <c r="AV2541" s="28"/>
      <c r="AW2541" s="28" t="n">
        <f aca="false">AV2541*$M2541</f>
        <v>0</v>
      </c>
      <c r="AX2541" s="28"/>
      <c r="AY2541" s="28" t="n">
        <f aca="false">AX2541*$M2541</f>
        <v>0</v>
      </c>
      <c r="AZ2541" s="30" t="n">
        <f aca="false">491552/100</f>
        <v>4915.52</v>
      </c>
      <c r="BA2541" s="11" t="n">
        <v>565285</v>
      </c>
      <c r="BB2541" s="31" t="n">
        <f aca="false">SUM(Q2541,S2541,U2541,W2541,Y2541,AA2541,AC2541,AE2541,AG2541,AI2541,AK2541,AM2541,AO2541,AQ2541,AS2541,AU2541,AW2541,AY2541)</f>
        <v>565285</v>
      </c>
      <c r="BC2541" s="28" t="n">
        <f aca="false">BA2541-BB2541</f>
        <v>0</v>
      </c>
      <c r="BD2541" s="32" t="n">
        <f aca="false">SUM(P2541,R2541,T2541,V2541,X2541,Z2541,AB2541,AD2541,AF2541,AH2541,AJ2541,AL2541,AN2541,AP2541,AR2541,AT2541,AV2541,AX2541)</f>
        <v>4915.52</v>
      </c>
      <c r="BE2541" s="33" t="n">
        <f aca="false">AZ2541-BD2541</f>
        <v>0</v>
      </c>
      <c r="BF2541" s="34" t="n">
        <f aca="false">BD2541*M2541</f>
        <v>565284.8</v>
      </c>
      <c r="BG2541" s="35" t="n">
        <f aca="false">BA2541-BF2541</f>
        <v>0.199999999953434</v>
      </c>
      <c r="BH2541" s="19" t="str">
        <f aca="false">IF(BG2541=0,"",IF(BG2541&lt;&gt;BA2541,"erreur de calcul",IF(BD2541&lt;&gt;0,"pas de prix",IF(M2541&lt;&gt; 0,"pas de quantité","pas de prix, ni de quantité"))))</f>
        <v>erreur de calcul</v>
      </c>
      <c r="BI2541" s="19"/>
    </row>
    <row r="2542" customFormat="false" ht="15" hidden="false" customHeight="false" outlineLevel="0" collapsed="false">
      <c r="A2542" s="0" t="n">
        <v>6</v>
      </c>
      <c r="B2542" s="8" t="s">
        <v>24</v>
      </c>
      <c r="C2542" s="9" t="s">
        <v>25</v>
      </c>
      <c r="D2542" s="9" t="s">
        <v>26</v>
      </c>
      <c r="E2542" s="10" t="n">
        <v>1789</v>
      </c>
      <c r="F2542" s="9" t="s">
        <v>27</v>
      </c>
      <c r="G2542" s="9" t="s">
        <v>27</v>
      </c>
      <c r="H2542" s="11" t="n">
        <v>21</v>
      </c>
      <c r="I2542" s="11" t="s">
        <v>159</v>
      </c>
      <c r="J2542" s="14" t="n">
        <v>240</v>
      </c>
      <c r="K2542" s="14"/>
      <c r="L2542" s="16"/>
      <c r="M2542" s="27" t="n">
        <f aca="false">J2542+(K2542/20)+(L2542/240)</f>
        <v>240</v>
      </c>
      <c r="N2542" s="17" t="s">
        <v>64</v>
      </c>
      <c r="O2542" s="11"/>
      <c r="P2542" s="28"/>
      <c r="Q2542" s="28" t="n">
        <f aca="false">P2542*$M2542</f>
        <v>0</v>
      </c>
      <c r="R2542" s="28"/>
      <c r="S2542" s="28" t="n">
        <f aca="false">R2542*$M2542</f>
        <v>0</v>
      </c>
      <c r="T2542" s="28"/>
      <c r="U2542" s="28" t="n">
        <f aca="false">T2542*$M2542</f>
        <v>0</v>
      </c>
      <c r="V2542" s="28"/>
      <c r="W2542" s="28" t="n">
        <f aca="false">V2542*$M2542</f>
        <v>0</v>
      </c>
      <c r="X2542" s="28"/>
      <c r="Y2542" s="28" t="n">
        <f aca="false">X2542*$M2542</f>
        <v>0</v>
      </c>
      <c r="Z2542" s="28"/>
      <c r="AA2542" s="28" t="n">
        <f aca="false">Z2542*$M2542</f>
        <v>0</v>
      </c>
      <c r="AB2542" s="28"/>
      <c r="AC2542" s="28" t="n">
        <f aca="false">AB2542*$M2542</f>
        <v>0</v>
      </c>
      <c r="AD2542" s="28"/>
      <c r="AE2542" s="28" t="n">
        <f aca="false">AD2542*$M2542</f>
        <v>0</v>
      </c>
      <c r="AF2542" s="28"/>
      <c r="AG2542" s="28" t="n">
        <f aca="false">AF2542*$M2542</f>
        <v>0</v>
      </c>
      <c r="AH2542" s="28" t="n">
        <f aca="false">46293/100</f>
        <v>462.93</v>
      </c>
      <c r="AI2542" s="28" t="n">
        <v>111103</v>
      </c>
      <c r="AJ2542" s="28"/>
      <c r="AK2542" s="28" t="n">
        <f aca="false">AJ2542*$M2542</f>
        <v>0</v>
      </c>
      <c r="AL2542" s="28"/>
      <c r="AM2542" s="28" t="n">
        <f aca="false">AL2542*$M2542</f>
        <v>0</v>
      </c>
      <c r="AN2542" s="28"/>
      <c r="AO2542" s="28" t="n">
        <f aca="false">AN2542*$M2542</f>
        <v>0</v>
      </c>
      <c r="AP2542" s="28"/>
      <c r="AQ2542" s="28" t="n">
        <f aca="false">AP2542*$M2542</f>
        <v>0</v>
      </c>
      <c r="AR2542" s="28"/>
      <c r="AS2542" s="28" t="n">
        <f aca="false">AR2542*$M2542</f>
        <v>0</v>
      </c>
      <c r="AT2542" s="28"/>
      <c r="AU2542" s="28" t="n">
        <f aca="false">AT2542*$M2542</f>
        <v>0</v>
      </c>
      <c r="AV2542" s="28"/>
      <c r="AW2542" s="28" t="n">
        <f aca="false">AV2542*$M2542</f>
        <v>0</v>
      </c>
      <c r="AX2542" s="28"/>
      <c r="AY2542" s="28" t="n">
        <f aca="false">AX2542*$M2542</f>
        <v>0</v>
      </c>
      <c r="AZ2542" s="30" t="n">
        <f aca="false">46293/100</f>
        <v>462.93</v>
      </c>
      <c r="BA2542" s="11" t="n">
        <v>111103</v>
      </c>
      <c r="BB2542" s="31" t="n">
        <f aca="false">SUM(Q2542,S2542,U2542,W2542,Y2542,AA2542,AC2542,AE2542,AG2542,AI2542,AK2542,AM2542,AO2542,AQ2542,AS2542,AU2542,AW2542,AY2542)</f>
        <v>111103</v>
      </c>
      <c r="BC2542" s="28" t="n">
        <f aca="false">BA2542-BB2542</f>
        <v>0</v>
      </c>
      <c r="BD2542" s="32" t="n">
        <f aca="false">SUM(P2542,R2542,T2542,V2542,X2542,Z2542,AB2542,AD2542,AF2542,AH2542,AJ2542,AL2542,AN2542,AP2542,AR2542,AT2542,AV2542,AX2542)</f>
        <v>462.93</v>
      </c>
      <c r="BE2542" s="33" t="n">
        <f aca="false">AZ2542-BD2542</f>
        <v>0</v>
      </c>
      <c r="BF2542" s="34" t="n">
        <f aca="false">BD2542*M2542</f>
        <v>111103.2</v>
      </c>
      <c r="BG2542" s="35" t="n">
        <f aca="false">BA2542-BF2542</f>
        <v>-0.19999999999709</v>
      </c>
      <c r="BH2542" s="19" t="str">
        <f aca="false">IF(BG2542=0,"",IF(BG2542&lt;&gt;BA2542,"erreur de calcul",IF(BD2542&lt;&gt;0,"pas de prix",IF(M2542&lt;&gt; 0,"pas de quantité","pas de prix, ni de quantité"))))</f>
        <v>erreur de calcul</v>
      </c>
      <c r="BI2542" s="19"/>
    </row>
    <row r="2543" customFormat="false" ht="15" hidden="false" customHeight="false" outlineLevel="0" collapsed="false">
      <c r="A2543" s="0" t="n">
        <v>7</v>
      </c>
      <c r="B2543" s="8" t="s">
        <v>24</v>
      </c>
      <c r="C2543" s="9" t="s">
        <v>25</v>
      </c>
      <c r="D2543" s="9" t="s">
        <v>26</v>
      </c>
      <c r="E2543" s="10" t="n">
        <v>1789</v>
      </c>
      <c r="F2543" s="9" t="s">
        <v>27</v>
      </c>
      <c r="G2543" s="9" t="s">
        <v>27</v>
      </c>
      <c r="H2543" s="11" t="n">
        <v>21</v>
      </c>
      <c r="I2543" s="11" t="s">
        <v>160</v>
      </c>
      <c r="J2543" s="14" t="n">
        <v>70</v>
      </c>
      <c r="K2543" s="14"/>
      <c r="L2543" s="16"/>
      <c r="M2543" s="27" t="n">
        <f aca="false">J2543+(K2543/20)+(L2543/240)</f>
        <v>70</v>
      </c>
      <c r="N2543" s="17" t="s">
        <v>64</v>
      </c>
      <c r="O2543" s="11"/>
      <c r="P2543" s="28"/>
      <c r="Q2543" s="28" t="n">
        <f aca="false">P2543*$M2543</f>
        <v>0</v>
      </c>
      <c r="R2543" s="28"/>
      <c r="S2543" s="28" t="n">
        <f aca="false">R2543*$M2543</f>
        <v>0</v>
      </c>
      <c r="T2543" s="28"/>
      <c r="U2543" s="28" t="n">
        <f aca="false">T2543*$M2543</f>
        <v>0</v>
      </c>
      <c r="V2543" s="28"/>
      <c r="W2543" s="28" t="n">
        <f aca="false">V2543*$M2543</f>
        <v>0</v>
      </c>
      <c r="X2543" s="28"/>
      <c r="Y2543" s="28" t="n">
        <f aca="false">X2543*$M2543</f>
        <v>0</v>
      </c>
      <c r="Z2543" s="28"/>
      <c r="AA2543" s="28" t="n">
        <f aca="false">Z2543*$M2543</f>
        <v>0</v>
      </c>
      <c r="AB2543" s="28"/>
      <c r="AC2543" s="28" t="n">
        <f aca="false">AB2543*$M2543</f>
        <v>0</v>
      </c>
      <c r="AD2543" s="28"/>
      <c r="AE2543" s="28" t="n">
        <f aca="false">AD2543*$M2543</f>
        <v>0</v>
      </c>
      <c r="AF2543" s="28" t="n">
        <f aca="false">125849/100</f>
        <v>1258.49</v>
      </c>
      <c r="AG2543" s="28" t="n">
        <v>88094</v>
      </c>
      <c r="AH2543" s="28"/>
      <c r="AI2543" s="28" t="n">
        <f aca="false">AH2543*$M2543</f>
        <v>0</v>
      </c>
      <c r="AJ2543" s="28"/>
      <c r="AK2543" s="28" t="n">
        <f aca="false">AJ2543*$M2543</f>
        <v>0</v>
      </c>
      <c r="AL2543" s="28"/>
      <c r="AM2543" s="28" t="n">
        <f aca="false">AL2543*$M2543</f>
        <v>0</v>
      </c>
      <c r="AN2543" s="28"/>
      <c r="AO2543" s="28" t="n">
        <f aca="false">AN2543*$M2543</f>
        <v>0</v>
      </c>
      <c r="AP2543" s="28"/>
      <c r="AQ2543" s="28" t="n">
        <f aca="false">AP2543*$M2543</f>
        <v>0</v>
      </c>
      <c r="AR2543" s="28"/>
      <c r="AS2543" s="28" t="n">
        <f aca="false">AR2543*$M2543</f>
        <v>0</v>
      </c>
      <c r="AT2543" s="28"/>
      <c r="AU2543" s="28" t="n">
        <f aca="false">AT2543*$M2543</f>
        <v>0</v>
      </c>
      <c r="AV2543" s="28"/>
      <c r="AW2543" s="28" t="n">
        <f aca="false">AV2543*$M2543</f>
        <v>0</v>
      </c>
      <c r="AX2543" s="28"/>
      <c r="AY2543" s="28" t="n">
        <f aca="false">AX2543*$M2543</f>
        <v>0</v>
      </c>
      <c r="AZ2543" s="30" t="n">
        <f aca="false">125849/100</f>
        <v>1258.49</v>
      </c>
      <c r="BA2543" s="11" t="n">
        <v>88094</v>
      </c>
      <c r="BB2543" s="31" t="n">
        <f aca="false">SUM(Q2543,S2543,U2543,W2543,Y2543,AA2543,AC2543,AE2543,AG2543,AI2543,AK2543,AM2543,AO2543,AQ2543,AS2543,AU2543,AW2543,AY2543)</f>
        <v>88094</v>
      </c>
      <c r="BC2543" s="28" t="n">
        <f aca="false">BA2543-BB2543</f>
        <v>0</v>
      </c>
      <c r="BD2543" s="32" t="n">
        <f aca="false">SUM(P2543,R2543,T2543,V2543,X2543,Z2543,AB2543,AD2543,AF2543,AH2543,AJ2543,AL2543,AN2543,AP2543,AR2543,AT2543,AV2543,AX2543)</f>
        <v>1258.49</v>
      </c>
      <c r="BE2543" s="33" t="n">
        <f aca="false">AZ2543-BD2543</f>
        <v>0</v>
      </c>
      <c r="BF2543" s="34" t="n">
        <f aca="false">BD2543*M2543</f>
        <v>88094.3</v>
      </c>
      <c r="BG2543" s="35" t="n">
        <f aca="false">BA2543-BF2543</f>
        <v>-0.30000000000291</v>
      </c>
      <c r="BH2543" s="19" t="str">
        <f aca="false">IF(BG2543=0,"",IF(BG2543&lt;&gt;BA2543,"erreur de calcul",IF(BD2543&lt;&gt;0,"pas de prix",IF(M2543&lt;&gt; 0,"pas de quantité","pas de prix, ni de quantité"))))</f>
        <v>erreur de calcul</v>
      </c>
      <c r="BI2543" s="19"/>
    </row>
    <row r="2544" customFormat="false" ht="15" hidden="false" customHeight="false" outlineLevel="0" collapsed="false">
      <c r="A2544" s="0" t="n">
        <v>8</v>
      </c>
      <c r="B2544" s="8" t="s">
        <v>24</v>
      </c>
      <c r="C2544" s="9" t="s">
        <v>25</v>
      </c>
      <c r="D2544" s="9" t="s">
        <v>26</v>
      </c>
      <c r="E2544" s="10" t="n">
        <v>1789</v>
      </c>
      <c r="F2544" s="9" t="s">
        <v>27</v>
      </c>
      <c r="G2544" s="9" t="s">
        <v>27</v>
      </c>
      <c r="H2544" s="11" t="n">
        <v>21</v>
      </c>
      <c r="I2544" s="11" t="s">
        <v>161</v>
      </c>
      <c r="J2544" s="14" t="n">
        <v>50</v>
      </c>
      <c r="K2544" s="14"/>
      <c r="L2544" s="16"/>
      <c r="M2544" s="27" t="n">
        <f aca="false">J2544+(K2544/20)+(L2544/240)</f>
        <v>50</v>
      </c>
      <c r="N2544" s="17" t="s">
        <v>64</v>
      </c>
      <c r="O2544" s="11"/>
      <c r="P2544" s="28"/>
      <c r="Q2544" s="28" t="n">
        <f aca="false">P2544*$M2544</f>
        <v>0</v>
      </c>
      <c r="R2544" s="28"/>
      <c r="S2544" s="28" t="n">
        <f aca="false">R2544*$M2544</f>
        <v>0</v>
      </c>
      <c r="T2544" s="28"/>
      <c r="U2544" s="28" t="n">
        <f aca="false">T2544*$M2544</f>
        <v>0</v>
      </c>
      <c r="V2544" s="28" t="n">
        <f aca="false">18055/100</f>
        <v>180.55</v>
      </c>
      <c r="W2544" s="28" t="n">
        <v>9027</v>
      </c>
      <c r="X2544" s="28" t="n">
        <f aca="false">17880/100</f>
        <v>178.8</v>
      </c>
      <c r="Y2544" s="28" t="n">
        <v>8940</v>
      </c>
      <c r="Z2544" s="28"/>
      <c r="AA2544" s="28" t="n">
        <f aca="false">Z2544*$M2544</f>
        <v>0</v>
      </c>
      <c r="AB2544" s="28" t="n">
        <f aca="false">104483/100</f>
        <v>1044.83</v>
      </c>
      <c r="AC2544" s="28" t="n">
        <v>52241</v>
      </c>
      <c r="AD2544" s="28"/>
      <c r="AE2544" s="28" t="n">
        <f aca="false">AD2544*$M2544</f>
        <v>0</v>
      </c>
      <c r="AF2544" s="28"/>
      <c r="AG2544" s="28" t="n">
        <f aca="false">AF2544*$M2544</f>
        <v>0</v>
      </c>
      <c r="AH2544" s="28"/>
      <c r="AI2544" s="28" t="n">
        <f aca="false">AH2544*$M2544</f>
        <v>0</v>
      </c>
      <c r="AJ2544" s="28"/>
      <c r="AK2544" s="28" t="n">
        <f aca="false">AJ2544*$M2544</f>
        <v>0</v>
      </c>
      <c r="AL2544" s="28"/>
      <c r="AM2544" s="28" t="n">
        <f aca="false">AL2544*$M2544</f>
        <v>0</v>
      </c>
      <c r="AN2544" s="28"/>
      <c r="AO2544" s="28" t="n">
        <f aca="false">AN2544*$M2544</f>
        <v>0</v>
      </c>
      <c r="AP2544" s="28"/>
      <c r="AQ2544" s="28" t="n">
        <f aca="false">AP2544*$M2544</f>
        <v>0</v>
      </c>
      <c r="AR2544" s="28"/>
      <c r="AS2544" s="28" t="n">
        <f aca="false">AR2544*$M2544</f>
        <v>0</v>
      </c>
      <c r="AT2544" s="28"/>
      <c r="AU2544" s="28" t="n">
        <f aca="false">AT2544*$M2544</f>
        <v>0</v>
      </c>
      <c r="AV2544" s="28"/>
      <c r="AW2544" s="28" t="n">
        <f aca="false">AV2544*$M2544</f>
        <v>0</v>
      </c>
      <c r="AX2544" s="28"/>
      <c r="AY2544" s="28" t="n">
        <f aca="false">AX2544*$M2544</f>
        <v>0</v>
      </c>
      <c r="AZ2544" s="30" t="n">
        <f aca="false">140418/100</f>
        <v>1404.18</v>
      </c>
      <c r="BA2544" s="11" t="n">
        <v>70208</v>
      </c>
      <c r="BB2544" s="31" t="n">
        <f aca="false">SUM(Q2544,S2544,U2544,W2544,Y2544,AA2544,AC2544,AE2544,AG2544,AI2544,AK2544,AM2544,AO2544,AQ2544,AS2544,AU2544,AW2544,AY2544)</f>
        <v>70208</v>
      </c>
      <c r="BC2544" s="28" t="n">
        <f aca="false">BA2544-BB2544</f>
        <v>0</v>
      </c>
      <c r="BD2544" s="32" t="n">
        <f aca="false">SUM(P2544,R2544,T2544,V2544,X2544,Z2544,AB2544,AD2544,AF2544,AH2544,AJ2544,AL2544,AN2544,AP2544,AR2544,AT2544,AV2544,AX2544)</f>
        <v>1404.18</v>
      </c>
      <c r="BE2544" s="33" t="n">
        <f aca="false">AZ2544-BD2544</f>
        <v>0</v>
      </c>
      <c r="BF2544" s="34" t="n">
        <f aca="false">BD2544*M2544</f>
        <v>70209</v>
      </c>
      <c r="BG2544" s="35" t="n">
        <f aca="false">BA2544-BF2544</f>
        <v>-0.999999999985448</v>
      </c>
      <c r="BH2544" s="19" t="str">
        <f aca="false">IF(BG2544=0,"",IF(BG2544&lt;&gt;BA2544,"erreur de calcul",IF(BD2544&lt;&gt;0,"pas de prix",IF(M2544&lt;&gt; 0,"pas de quantité","pas de prix, ni de quantité"))))</f>
        <v>erreur de calcul</v>
      </c>
      <c r="BI2544" s="19"/>
    </row>
    <row r="2545" customFormat="false" ht="15" hidden="false" customHeight="false" outlineLevel="0" collapsed="false">
      <c r="A2545" s="0" t="n">
        <v>9</v>
      </c>
      <c r="B2545" s="8" t="s">
        <v>24</v>
      </c>
      <c r="C2545" s="9" t="s">
        <v>25</v>
      </c>
      <c r="D2545" s="9" t="s">
        <v>26</v>
      </c>
      <c r="E2545" s="10" t="n">
        <v>1789</v>
      </c>
      <c r="F2545" s="9" t="s">
        <v>27</v>
      </c>
      <c r="G2545" s="9" t="s">
        <v>27</v>
      </c>
      <c r="H2545" s="11" t="n">
        <v>21</v>
      </c>
      <c r="I2545" s="11" t="s">
        <v>162</v>
      </c>
      <c r="J2545" s="14" t="n">
        <v>250</v>
      </c>
      <c r="K2545" s="14"/>
      <c r="L2545" s="16"/>
      <c r="M2545" s="27" t="n">
        <f aca="false">J2545+(K2545/20)+(L2545/240)</f>
        <v>250</v>
      </c>
      <c r="N2545" s="17" t="s">
        <v>64</v>
      </c>
      <c r="O2545" s="11"/>
      <c r="P2545" s="28"/>
      <c r="Q2545" s="28" t="n">
        <f aca="false">P2545*$M2545</f>
        <v>0</v>
      </c>
      <c r="R2545" s="28"/>
      <c r="S2545" s="28" t="n">
        <f aca="false">R2545*$M2545</f>
        <v>0</v>
      </c>
      <c r="T2545" s="28"/>
      <c r="U2545" s="28" t="n">
        <f aca="false">T2545*$M2545</f>
        <v>0</v>
      </c>
      <c r="V2545" s="28"/>
      <c r="W2545" s="28" t="n">
        <f aca="false">V2545*$M2545</f>
        <v>0</v>
      </c>
      <c r="X2545" s="28"/>
      <c r="Y2545" s="28" t="n">
        <f aca="false">X2545*$M2545</f>
        <v>0</v>
      </c>
      <c r="Z2545" s="28"/>
      <c r="AA2545" s="28" t="n">
        <f aca="false">Z2545*$M2545</f>
        <v>0</v>
      </c>
      <c r="AB2545" s="28"/>
      <c r="AC2545" s="28" t="n">
        <f aca="false">AB2545*$M2545</f>
        <v>0</v>
      </c>
      <c r="AD2545" s="28"/>
      <c r="AE2545" s="28" t="n">
        <f aca="false">AD2545*$M2545</f>
        <v>0</v>
      </c>
      <c r="AF2545" s="28"/>
      <c r="AG2545" s="28" t="n">
        <f aca="false">AF2545*$M2545</f>
        <v>0</v>
      </c>
      <c r="AH2545" s="28" t="n">
        <f aca="false">2306/100</f>
        <v>23.06</v>
      </c>
      <c r="AI2545" s="36" t="n">
        <v>5073</v>
      </c>
      <c r="AJ2545" s="28"/>
      <c r="AK2545" s="28" t="n">
        <f aca="false">AJ2545*$M2545</f>
        <v>0</v>
      </c>
      <c r="AL2545" s="28"/>
      <c r="AM2545" s="28" t="n">
        <f aca="false">AL2545*$M2545</f>
        <v>0</v>
      </c>
      <c r="AN2545" s="28"/>
      <c r="AO2545" s="28" t="n">
        <f aca="false">AN2545*$M2545</f>
        <v>0</v>
      </c>
      <c r="AP2545" s="28"/>
      <c r="AQ2545" s="28" t="n">
        <f aca="false">AP2545*$M2545</f>
        <v>0</v>
      </c>
      <c r="AR2545" s="28"/>
      <c r="AS2545" s="28" t="n">
        <f aca="false">AR2545*$M2545</f>
        <v>0</v>
      </c>
      <c r="AT2545" s="28"/>
      <c r="AU2545" s="28" t="n">
        <f aca="false">AT2545*$M2545</f>
        <v>0</v>
      </c>
      <c r="AV2545" s="28"/>
      <c r="AW2545" s="28" t="n">
        <f aca="false">AV2545*$M2545</f>
        <v>0</v>
      </c>
      <c r="AX2545" s="28"/>
      <c r="AY2545" s="28" t="n">
        <f aca="false">AX2545*$M2545</f>
        <v>0</v>
      </c>
      <c r="AZ2545" s="30" t="n">
        <f aca="false">2306/100</f>
        <v>23.06</v>
      </c>
      <c r="BA2545" s="11" t="n">
        <v>5073</v>
      </c>
      <c r="BB2545" s="31" t="n">
        <f aca="false">SUM(Q2545,S2545,U2545,W2545,Y2545,AA2545,AC2545,AE2545,AG2545,AI2545,AK2545,AM2545,AO2545,AQ2545,AS2545,AU2545,AW2545,AY2545)</f>
        <v>5073</v>
      </c>
      <c r="BC2545" s="28" t="n">
        <f aca="false">BA2545-BB2545</f>
        <v>0</v>
      </c>
      <c r="BD2545" s="32" t="n">
        <f aca="false">SUM(P2545,R2545,T2545,V2545,X2545,Z2545,AB2545,AD2545,AF2545,AH2545,AJ2545,AL2545,AN2545,AP2545,AR2545,AT2545,AV2545,AX2545)</f>
        <v>23.06</v>
      </c>
      <c r="BE2545" s="33" t="n">
        <f aca="false">AZ2545-BD2545</f>
        <v>0</v>
      </c>
      <c r="BF2545" s="34" t="n">
        <f aca="false">BD2545*M2545</f>
        <v>5765</v>
      </c>
      <c r="BG2545" s="35" t="n">
        <f aca="false">BA2545-BF2545</f>
        <v>-692</v>
      </c>
      <c r="BH2545" s="19" t="str">
        <f aca="false">IF(BG2545=0,"",IF(BG2545&lt;&gt;BA2545,"erreur de calcul",IF(BD2545&lt;&gt;0,"pas de prix",IF(M2545&lt;&gt; 0,"pas de quantité","pas de prix, ni de quantité"))))</f>
        <v>erreur de calcul</v>
      </c>
      <c r="BI2545" s="19"/>
    </row>
    <row r="2546" customFormat="false" ht="15" hidden="false" customHeight="false" outlineLevel="0" collapsed="false">
      <c r="A2546" s="0" t="n">
        <v>10</v>
      </c>
      <c r="B2546" s="8" t="s">
        <v>24</v>
      </c>
      <c r="C2546" s="9" t="s">
        <v>25</v>
      </c>
      <c r="D2546" s="9" t="s">
        <v>26</v>
      </c>
      <c r="E2546" s="10" t="n">
        <v>1789</v>
      </c>
      <c r="F2546" s="9" t="s">
        <v>27</v>
      </c>
      <c r="G2546" s="9" t="s">
        <v>27</v>
      </c>
      <c r="H2546" s="11" t="n">
        <v>21</v>
      </c>
      <c r="I2546" s="11" t="s">
        <v>163</v>
      </c>
      <c r="J2546" s="14"/>
      <c r="K2546" s="14"/>
      <c r="L2546" s="16"/>
      <c r="M2546" s="27" t="n">
        <f aca="false">J2546+(K2546/20)+(L2546/240)</f>
        <v>0</v>
      </c>
      <c r="N2546" s="17"/>
      <c r="O2546" s="11"/>
      <c r="P2546" s="28"/>
      <c r="Q2546" s="28" t="n">
        <v>1571</v>
      </c>
      <c r="R2546" s="28"/>
      <c r="S2546" s="28" t="n">
        <f aca="false">R2546*$M2546</f>
        <v>0</v>
      </c>
      <c r="T2546" s="28"/>
      <c r="U2546" s="28" t="n">
        <v>182</v>
      </c>
      <c r="V2546" s="28"/>
      <c r="W2546" s="28" t="n">
        <v>1801</v>
      </c>
      <c r="X2546" s="28"/>
      <c r="Y2546" s="28" t="n">
        <v>214</v>
      </c>
      <c r="Z2546" s="28"/>
      <c r="AA2546" s="28" t="n">
        <f aca="false">Z2546*$M2546</f>
        <v>0</v>
      </c>
      <c r="AB2546" s="28"/>
      <c r="AC2546" s="28" t="n">
        <v>401</v>
      </c>
      <c r="AD2546" s="28"/>
      <c r="AE2546" s="28" t="n">
        <f aca="false">AD2546*$M2546</f>
        <v>0</v>
      </c>
      <c r="AF2546" s="28"/>
      <c r="AG2546" s="28" t="n">
        <f aca="false">AF2546*$M2546</f>
        <v>0</v>
      </c>
      <c r="AH2546" s="28"/>
      <c r="AI2546" s="28" t="n">
        <f aca="false">AH2546*$M2546</f>
        <v>0</v>
      </c>
      <c r="AJ2546" s="28"/>
      <c r="AK2546" s="28" t="n">
        <v>760</v>
      </c>
      <c r="AL2546" s="28"/>
      <c r="AM2546" s="28" t="n">
        <f aca="false">AL2546*$M2546</f>
        <v>0</v>
      </c>
      <c r="AN2546" s="28"/>
      <c r="AO2546" s="28" t="n">
        <f aca="false">AN2546*$M2546</f>
        <v>0</v>
      </c>
      <c r="AP2546" s="28"/>
      <c r="AQ2546" s="28" t="n">
        <f aca="false">AP2546*$M2546</f>
        <v>0</v>
      </c>
      <c r="AR2546" s="28"/>
      <c r="AS2546" s="28" t="n">
        <f aca="false">AR2546*$M2546</f>
        <v>0</v>
      </c>
      <c r="AT2546" s="28"/>
      <c r="AU2546" s="28" t="n">
        <f aca="false">AT2546*$M2546</f>
        <v>0</v>
      </c>
      <c r="AV2546" s="28"/>
      <c r="AW2546" s="28" t="n">
        <f aca="false">AV2546*$M2546</f>
        <v>0</v>
      </c>
      <c r="AX2546" s="28"/>
      <c r="AY2546" s="28" t="n">
        <f aca="false">AX2546*$M2546</f>
        <v>0</v>
      </c>
      <c r="AZ2546" s="30"/>
      <c r="BA2546" s="11" t="n">
        <v>4929</v>
      </c>
      <c r="BB2546" s="31" t="n">
        <f aca="false">SUM(Q2546,S2546,U2546,W2546,Y2546,AA2546,AC2546,AE2546,AG2546,AI2546,AK2546,AM2546,AO2546,AQ2546,AS2546,AU2546,AW2546,AY2546)</f>
        <v>4929</v>
      </c>
      <c r="BC2546" s="28" t="n">
        <f aca="false">BA2546-BB2546</f>
        <v>0</v>
      </c>
      <c r="BD2546" s="32" t="n">
        <f aca="false">SUM(P2546,R2546,T2546,V2546,X2546,Z2546,AB2546,AD2546,AF2546,AH2546,AJ2546,AL2546,AN2546,AP2546,AR2546,AT2546,AV2546,AX2546)</f>
        <v>0</v>
      </c>
      <c r="BE2546" s="33" t="n">
        <f aca="false">AZ2546-BD2546</f>
        <v>0</v>
      </c>
      <c r="BF2546" s="34" t="n">
        <f aca="false">BD2546*M2546</f>
        <v>0</v>
      </c>
      <c r="BG2546" s="35" t="n">
        <f aca="false">BA2546-BF2546</f>
        <v>4929</v>
      </c>
      <c r="BH2546" s="19" t="str">
        <f aca="false">IF(BG2546=0,"",IF(BG2546&lt;&gt;BA2546,"erreur de calcul",IF(BD2546&lt;&gt;0,"pas de prix",IF(M2546&lt;&gt; 0,"pas de quantité","pas de prix, ni de quantité"))))</f>
        <v>pas de prix, ni de quantité</v>
      </c>
      <c r="BI2546" s="19"/>
    </row>
    <row r="2547" customFormat="false" ht="15" hidden="false" customHeight="false" outlineLevel="0" collapsed="false">
      <c r="A2547" s="0" t="n">
        <v>11</v>
      </c>
      <c r="B2547" s="8" t="s">
        <v>24</v>
      </c>
      <c r="C2547" s="9" t="s">
        <v>25</v>
      </c>
      <c r="D2547" s="9" t="s">
        <v>26</v>
      </c>
      <c r="E2547" s="10" t="n">
        <v>1789</v>
      </c>
      <c r="F2547" s="9" t="s">
        <v>27</v>
      </c>
      <c r="G2547" s="9" t="s">
        <v>27</v>
      </c>
      <c r="H2547" s="11" t="n">
        <v>21</v>
      </c>
      <c r="I2547" s="11" t="s">
        <v>164</v>
      </c>
      <c r="J2547" s="14" t="n">
        <v>580</v>
      </c>
      <c r="K2547" s="14"/>
      <c r="L2547" s="16"/>
      <c r="M2547" s="27" t="n">
        <f aca="false">J2547+(K2547/20)+(L2547/240)</f>
        <v>580</v>
      </c>
      <c r="N2547" s="17" t="s">
        <v>64</v>
      </c>
      <c r="O2547" s="11"/>
      <c r="P2547" s="28" t="n">
        <f aca="false">294/100</f>
        <v>2.94</v>
      </c>
      <c r="Q2547" s="28" t="n">
        <v>1705</v>
      </c>
      <c r="R2547" s="28"/>
      <c r="S2547" s="28" t="n">
        <f aca="false">R2547*$M2547</f>
        <v>0</v>
      </c>
      <c r="T2547" s="28"/>
      <c r="U2547" s="28" t="n">
        <f aca="false">T2547*$M2547</f>
        <v>0</v>
      </c>
      <c r="V2547" s="28"/>
      <c r="W2547" s="28" t="n">
        <f aca="false">V2547*$M2547</f>
        <v>0</v>
      </c>
      <c r="X2547" s="28"/>
      <c r="Y2547" s="28" t="n">
        <f aca="false">X2547*$M2547</f>
        <v>0</v>
      </c>
      <c r="Z2547" s="28"/>
      <c r="AA2547" s="28" t="n">
        <f aca="false">Z2547*$M2547</f>
        <v>0</v>
      </c>
      <c r="AB2547" s="28"/>
      <c r="AC2547" s="28" t="n">
        <f aca="false">AB2547*$M2547</f>
        <v>0</v>
      </c>
      <c r="AD2547" s="28"/>
      <c r="AE2547" s="28" t="n">
        <f aca="false">AD2547*$M2547</f>
        <v>0</v>
      </c>
      <c r="AF2547" s="28"/>
      <c r="AG2547" s="28" t="n">
        <f aca="false">AF2547*$M2547</f>
        <v>0</v>
      </c>
      <c r="AH2547" s="28"/>
      <c r="AI2547" s="28" t="n">
        <f aca="false">AH2547*$M2547</f>
        <v>0</v>
      </c>
      <c r="AJ2547" s="28"/>
      <c r="AK2547" s="28" t="n">
        <f aca="false">AJ2547*$M2547</f>
        <v>0</v>
      </c>
      <c r="AL2547" s="28"/>
      <c r="AM2547" s="28" t="n">
        <f aca="false">AL2547*$M2547</f>
        <v>0</v>
      </c>
      <c r="AN2547" s="28"/>
      <c r="AO2547" s="28" t="n">
        <f aca="false">AN2547*$M2547</f>
        <v>0</v>
      </c>
      <c r="AP2547" s="28"/>
      <c r="AQ2547" s="28" t="n">
        <f aca="false">AP2547*$M2547</f>
        <v>0</v>
      </c>
      <c r="AR2547" s="28"/>
      <c r="AS2547" s="28" t="n">
        <f aca="false">AR2547*$M2547</f>
        <v>0</v>
      </c>
      <c r="AT2547" s="28"/>
      <c r="AU2547" s="28" t="n">
        <f aca="false">AT2547*$M2547</f>
        <v>0</v>
      </c>
      <c r="AV2547" s="28"/>
      <c r="AW2547" s="28" t="n">
        <f aca="false">AV2547*$M2547</f>
        <v>0</v>
      </c>
      <c r="AX2547" s="28"/>
      <c r="AY2547" s="28" t="n">
        <f aca="false">AX2547*$M2547</f>
        <v>0</v>
      </c>
      <c r="AZ2547" s="30" t="n">
        <f aca="false">294/100</f>
        <v>2.94</v>
      </c>
      <c r="BA2547" s="11" t="n">
        <v>1705</v>
      </c>
      <c r="BB2547" s="31" t="n">
        <f aca="false">SUM(Q2547,S2547,U2547,W2547,Y2547,AA2547,AC2547,AE2547,AG2547,AI2547,AK2547,AM2547,AO2547,AQ2547,AS2547,AU2547,AW2547,AY2547)</f>
        <v>1705</v>
      </c>
      <c r="BC2547" s="28" t="n">
        <f aca="false">BA2547-BB2547</f>
        <v>0</v>
      </c>
      <c r="BD2547" s="32" t="n">
        <f aca="false">SUM(P2547,R2547,T2547,V2547,X2547,Z2547,AB2547,AD2547,AF2547,AH2547,AJ2547,AL2547,AN2547,AP2547,AR2547,AT2547,AV2547,AX2547)</f>
        <v>2.94</v>
      </c>
      <c r="BE2547" s="33" t="n">
        <f aca="false">AZ2547-BD2547</f>
        <v>0</v>
      </c>
      <c r="BF2547" s="34" t="n">
        <f aca="false">BD2547*M2547</f>
        <v>1705.2</v>
      </c>
      <c r="BG2547" s="35" t="n">
        <f aca="false">BA2547-BF2547</f>
        <v>-0.200000000000045</v>
      </c>
      <c r="BH2547" s="19" t="str">
        <f aca="false">IF(BG2547=0,"",IF(BG2547&lt;&gt;BA2547,"erreur de calcul",IF(BD2547&lt;&gt;0,"pas de prix",IF(M2547&lt;&gt; 0,"pas de quantité","pas de prix, ni de quantité"))))</f>
        <v>erreur de calcul</v>
      </c>
      <c r="BI2547" s="19"/>
    </row>
    <row r="2548" customFormat="false" ht="15" hidden="false" customHeight="false" outlineLevel="0" collapsed="false">
      <c r="A2548" s="0" t="n">
        <v>12</v>
      </c>
      <c r="B2548" s="8" t="s">
        <v>24</v>
      </c>
      <c r="C2548" s="9" t="s">
        <v>25</v>
      </c>
      <c r="D2548" s="9" t="s">
        <v>26</v>
      </c>
      <c r="E2548" s="10" t="n">
        <v>1789</v>
      </c>
      <c r="F2548" s="9" t="s">
        <v>27</v>
      </c>
      <c r="G2548" s="9" t="s">
        <v>27</v>
      </c>
      <c r="H2548" s="11" t="n">
        <v>21</v>
      </c>
      <c r="I2548" s="11" t="s">
        <v>165</v>
      </c>
      <c r="J2548" s="14" t="n">
        <v>180</v>
      </c>
      <c r="K2548" s="14"/>
      <c r="L2548" s="16"/>
      <c r="M2548" s="27" t="n">
        <f aca="false">J2548+(K2548/20)+(L2548/240)</f>
        <v>180</v>
      </c>
      <c r="N2548" s="17" t="s">
        <v>64</v>
      </c>
      <c r="O2548" s="11"/>
      <c r="P2548" s="28"/>
      <c r="Q2548" s="28" t="n">
        <f aca="false">P2548*$M2548</f>
        <v>0</v>
      </c>
      <c r="R2548" s="28"/>
      <c r="S2548" s="28" t="n">
        <f aca="false">R2548*$M2548</f>
        <v>0</v>
      </c>
      <c r="T2548" s="28"/>
      <c r="U2548" s="28" t="n">
        <f aca="false">T2548*$M2548</f>
        <v>0</v>
      </c>
      <c r="V2548" s="28"/>
      <c r="W2548" s="28" t="n">
        <f aca="false">V2548*$M2548</f>
        <v>0</v>
      </c>
      <c r="X2548" s="28"/>
      <c r="Y2548" s="28" t="n">
        <f aca="false">X2548*$M2548</f>
        <v>0</v>
      </c>
      <c r="Z2548" s="28"/>
      <c r="AA2548" s="28" t="n">
        <f aca="false">Z2548*$M2548</f>
        <v>0</v>
      </c>
      <c r="AB2548" s="28"/>
      <c r="AC2548" s="28" t="n">
        <f aca="false">AB2548*$M2548</f>
        <v>0</v>
      </c>
      <c r="AD2548" s="28"/>
      <c r="AE2548" s="28" t="n">
        <f aca="false">AD2548*$M2548</f>
        <v>0</v>
      </c>
      <c r="AF2548" s="28"/>
      <c r="AG2548" s="28" t="n">
        <f aca="false">AF2548*$M2548</f>
        <v>0</v>
      </c>
      <c r="AH2548" s="28"/>
      <c r="AI2548" s="28" t="n">
        <f aca="false">AH2548*$M2548</f>
        <v>0</v>
      </c>
      <c r="AJ2548" s="28"/>
      <c r="AK2548" s="28" t="n">
        <f aca="false">AJ2548*$M2548</f>
        <v>0</v>
      </c>
      <c r="AL2548" s="28"/>
      <c r="AM2548" s="28" t="n">
        <f aca="false">AL2548*$M2548</f>
        <v>0</v>
      </c>
      <c r="AN2548" s="28" t="n">
        <f aca="false">13754/100</f>
        <v>137.54</v>
      </c>
      <c r="AO2548" s="28" t="n">
        <v>24757</v>
      </c>
      <c r="AP2548" s="28"/>
      <c r="AQ2548" s="28" t="n">
        <f aca="false">AP2548*$M2548</f>
        <v>0</v>
      </c>
      <c r="AR2548" s="28"/>
      <c r="AS2548" s="28" t="n">
        <f aca="false">AR2548*$M2548</f>
        <v>0</v>
      </c>
      <c r="AT2548" s="28"/>
      <c r="AU2548" s="28" t="n">
        <f aca="false">AT2548*$M2548</f>
        <v>0</v>
      </c>
      <c r="AV2548" s="28"/>
      <c r="AW2548" s="28" t="n">
        <f aca="false">AV2548*$M2548</f>
        <v>0</v>
      </c>
      <c r="AX2548" s="28"/>
      <c r="AY2548" s="28" t="n">
        <f aca="false">AX2548*$M2548</f>
        <v>0</v>
      </c>
      <c r="AZ2548" s="30" t="n">
        <f aca="false">17360/100</f>
        <v>173.6</v>
      </c>
      <c r="BA2548" s="11" t="n">
        <v>24757</v>
      </c>
      <c r="BB2548" s="31" t="n">
        <f aca="false">SUM(Q2548,S2548,U2548,W2548,Y2548,AA2548,AC2548,AE2548,AG2548,AI2548,AK2548,AM2548,AO2548,AQ2548,AS2548,AU2548,AW2548,AY2548)</f>
        <v>24757</v>
      </c>
      <c r="BC2548" s="28" t="n">
        <f aca="false">BA2548-BB2548</f>
        <v>0</v>
      </c>
      <c r="BD2548" s="32" t="n">
        <f aca="false">SUM(P2548,R2548,T2548,V2548,X2548,Z2548,AB2548,AD2548,AF2548,AH2548,AJ2548,AL2548,AN2548,AP2548,AR2548,AT2548,AV2548,AX2548)</f>
        <v>137.54</v>
      </c>
      <c r="BE2548" s="33" t="n">
        <f aca="false">AZ2548-BD2548</f>
        <v>36.06</v>
      </c>
      <c r="BF2548" s="34" t="n">
        <f aca="false">BD2548*M2548</f>
        <v>24757.2</v>
      </c>
      <c r="BG2548" s="35" t="n">
        <f aca="false">BA2548-BF2548</f>
        <v>-0.19999999999709</v>
      </c>
      <c r="BH2548" s="19" t="str">
        <f aca="false">IF(BG2548=0,"",IF(BG2548&lt;&gt;BA2548,"erreur de calcul",IF(BD2548&lt;&gt;0,"pas de prix",IF(M2548&lt;&gt; 0,"pas de quantité","pas de prix, ni de quantité"))))</f>
        <v>erreur de calcul</v>
      </c>
      <c r="BI2548" s="19"/>
    </row>
    <row r="2549" customFormat="false" ht="15" hidden="false" customHeight="false" outlineLevel="0" collapsed="false">
      <c r="A2549" s="0" t="n">
        <v>13</v>
      </c>
      <c r="B2549" s="8" t="s">
        <v>24</v>
      </c>
      <c r="C2549" s="9" t="s">
        <v>25</v>
      </c>
      <c r="D2549" s="9" t="s">
        <v>26</v>
      </c>
      <c r="E2549" s="10" t="n">
        <v>1789</v>
      </c>
      <c r="F2549" s="9" t="s">
        <v>27</v>
      </c>
      <c r="G2549" s="9" t="s">
        <v>27</v>
      </c>
      <c r="H2549" s="11" t="n">
        <v>21</v>
      </c>
      <c r="I2549" s="11" t="s">
        <v>166</v>
      </c>
      <c r="J2549" s="14" t="n">
        <v>90</v>
      </c>
      <c r="K2549" s="14"/>
      <c r="L2549" s="16"/>
      <c r="M2549" s="27" t="n">
        <f aca="false">J2549+(K2549/20)+(L2549/240)</f>
        <v>90</v>
      </c>
      <c r="N2549" s="17" t="s">
        <v>64</v>
      </c>
      <c r="O2549" s="11"/>
      <c r="P2549" s="28" t="n">
        <f aca="false">3606/100</f>
        <v>36.06</v>
      </c>
      <c r="Q2549" s="28" t="n">
        <v>3245</v>
      </c>
      <c r="R2549" s="28"/>
      <c r="S2549" s="28" t="n">
        <f aca="false">R2549*$M2549</f>
        <v>0</v>
      </c>
      <c r="T2549" s="28"/>
      <c r="U2549" s="28" t="n">
        <f aca="false">T2549*$M2549</f>
        <v>0</v>
      </c>
      <c r="V2549" s="28"/>
      <c r="W2549" s="28" t="n">
        <f aca="false">V2549*$M2549</f>
        <v>0</v>
      </c>
      <c r="X2549" s="28"/>
      <c r="Y2549" s="28" t="n">
        <f aca="false">X2549*$M2549</f>
        <v>0</v>
      </c>
      <c r="Z2549" s="28"/>
      <c r="AA2549" s="28" t="n">
        <f aca="false">Z2549*$M2549</f>
        <v>0</v>
      </c>
      <c r="AB2549" s="28"/>
      <c r="AC2549" s="28" t="n">
        <f aca="false">AB2549*$M2549</f>
        <v>0</v>
      </c>
      <c r="AD2549" s="28"/>
      <c r="AE2549" s="28" t="n">
        <f aca="false">AD2549*$M2549</f>
        <v>0</v>
      </c>
      <c r="AF2549" s="28"/>
      <c r="AG2549" s="28" t="n">
        <f aca="false">AF2549*$M2549</f>
        <v>0</v>
      </c>
      <c r="AH2549" s="28"/>
      <c r="AI2549" s="28" t="n">
        <f aca="false">AH2549*$M2549</f>
        <v>0</v>
      </c>
      <c r="AJ2549" s="28"/>
      <c r="AK2549" s="28" t="n">
        <f aca="false">AJ2549*$M2549</f>
        <v>0</v>
      </c>
      <c r="AL2549" s="28"/>
      <c r="AM2549" s="28" t="n">
        <f aca="false">AL2549*$M2549</f>
        <v>0</v>
      </c>
      <c r="AN2549" s="28"/>
      <c r="AO2549" s="28" t="n">
        <f aca="false">AN2549*$M2549</f>
        <v>0</v>
      </c>
      <c r="AP2549" s="28"/>
      <c r="AQ2549" s="28" t="n">
        <f aca="false">AP2549*$M2549</f>
        <v>0</v>
      </c>
      <c r="AR2549" s="28"/>
      <c r="AS2549" s="28" t="n">
        <f aca="false">AR2549*$M2549</f>
        <v>0</v>
      </c>
      <c r="AT2549" s="28"/>
      <c r="AU2549" s="28" t="n">
        <f aca="false">AT2549*$M2549</f>
        <v>0</v>
      </c>
      <c r="AV2549" s="28"/>
      <c r="AW2549" s="28" t="n">
        <f aca="false">AV2549*$M2549</f>
        <v>0</v>
      </c>
      <c r="AX2549" s="28"/>
      <c r="AY2549" s="28" t="n">
        <f aca="false">AX2549*$M2549</f>
        <v>0</v>
      </c>
      <c r="AZ2549" s="30" t="n">
        <f aca="false">3606/100</f>
        <v>36.06</v>
      </c>
      <c r="BA2549" s="11" t="n">
        <v>3245</v>
      </c>
      <c r="BB2549" s="31" t="n">
        <f aca="false">SUM(Q2549,S2549,U2549,W2549,Y2549,AA2549,AC2549,AE2549,AG2549,AI2549,AK2549,AM2549,AO2549,AQ2549,AS2549,AU2549,AW2549,AY2549)</f>
        <v>3245</v>
      </c>
      <c r="BC2549" s="28" t="n">
        <f aca="false">BA2549-BB2549</f>
        <v>0</v>
      </c>
      <c r="BD2549" s="32" t="n">
        <f aca="false">SUM(P2549,R2549,T2549,V2549,X2549,Z2549,AB2549,AD2549,AF2549,AH2549,AJ2549,AL2549,AN2549,AP2549,AR2549,AT2549,AV2549,AX2549)</f>
        <v>36.06</v>
      </c>
      <c r="BE2549" s="33" t="n">
        <f aca="false">AZ2549-BD2549</f>
        <v>0</v>
      </c>
      <c r="BF2549" s="34" t="n">
        <f aca="false">BD2549*M2549</f>
        <v>3245.4</v>
      </c>
      <c r="BG2549" s="35" t="n">
        <f aca="false">BA2549-BF2549</f>
        <v>-0.400000000000091</v>
      </c>
      <c r="BH2549" s="19" t="str">
        <f aca="false">IF(BG2549=0,"",IF(BG2549&lt;&gt;BA2549,"erreur de calcul",IF(BD2549&lt;&gt;0,"pas de prix",IF(M2549&lt;&gt; 0,"pas de quantité","pas de prix, ni de quantité"))))</f>
        <v>erreur de calcul</v>
      </c>
      <c r="BI2549" s="19"/>
    </row>
    <row r="2550" customFormat="false" ht="15" hidden="false" customHeight="false" outlineLevel="0" collapsed="false">
      <c r="A2550" s="0" t="n">
        <v>14</v>
      </c>
      <c r="B2550" s="8" t="s">
        <v>24</v>
      </c>
      <c r="C2550" s="9" t="s">
        <v>25</v>
      </c>
      <c r="D2550" s="9" t="s">
        <v>26</v>
      </c>
      <c r="E2550" s="10" t="n">
        <v>1789</v>
      </c>
      <c r="F2550" s="9" t="s">
        <v>27</v>
      </c>
      <c r="G2550" s="9" t="s">
        <v>27</v>
      </c>
      <c r="H2550" s="11" t="n">
        <v>21</v>
      </c>
      <c r="I2550" s="11" t="s">
        <v>167</v>
      </c>
      <c r="J2550" s="14" t="n">
        <v>60</v>
      </c>
      <c r="K2550" s="14"/>
      <c r="L2550" s="16"/>
      <c r="M2550" s="27" t="n">
        <f aca="false">J2550+(K2550/20)+(L2550/240)</f>
        <v>60</v>
      </c>
      <c r="N2550" s="17" t="s">
        <v>64</v>
      </c>
      <c r="O2550" s="11"/>
      <c r="P2550" s="28" t="n">
        <f aca="false">19377/100</f>
        <v>193.77</v>
      </c>
      <c r="Q2550" s="28" t="n">
        <v>11626</v>
      </c>
      <c r="R2550" s="28"/>
      <c r="S2550" s="28" t="n">
        <f aca="false">R2550*$M2550</f>
        <v>0</v>
      </c>
      <c r="T2550" s="28"/>
      <c r="U2550" s="28" t="n">
        <f aca="false">T2550*$M2550</f>
        <v>0</v>
      </c>
      <c r="V2550" s="28"/>
      <c r="W2550" s="28" t="n">
        <f aca="false">V2550*$M2550</f>
        <v>0</v>
      </c>
      <c r="X2550" s="28"/>
      <c r="Y2550" s="28" t="n">
        <f aca="false">X2550*$M2550</f>
        <v>0</v>
      </c>
      <c r="Z2550" s="28"/>
      <c r="AA2550" s="28" t="n">
        <f aca="false">Z2550*$M2550</f>
        <v>0</v>
      </c>
      <c r="AB2550" s="28"/>
      <c r="AC2550" s="28" t="n">
        <f aca="false">AB2550*$M2550</f>
        <v>0</v>
      </c>
      <c r="AD2550" s="28"/>
      <c r="AE2550" s="28" t="n">
        <f aca="false">AD2550*$M2550</f>
        <v>0</v>
      </c>
      <c r="AF2550" s="28"/>
      <c r="AG2550" s="28" t="n">
        <f aca="false">AF2550*$M2550</f>
        <v>0</v>
      </c>
      <c r="AH2550" s="28"/>
      <c r="AI2550" s="28" t="n">
        <f aca="false">AH2550*$M2550</f>
        <v>0</v>
      </c>
      <c r="AJ2550" s="28"/>
      <c r="AK2550" s="28" t="n">
        <f aca="false">AJ2550*$M2550</f>
        <v>0</v>
      </c>
      <c r="AL2550" s="28"/>
      <c r="AM2550" s="28" t="n">
        <f aca="false">AL2550*$M2550</f>
        <v>0</v>
      </c>
      <c r="AN2550" s="28"/>
      <c r="AO2550" s="28" t="n">
        <f aca="false">AN2550*$M2550</f>
        <v>0</v>
      </c>
      <c r="AP2550" s="28"/>
      <c r="AQ2550" s="28" t="n">
        <f aca="false">AP2550*$M2550</f>
        <v>0</v>
      </c>
      <c r="AR2550" s="28"/>
      <c r="AS2550" s="28" t="n">
        <f aca="false">AR2550*$M2550</f>
        <v>0</v>
      </c>
      <c r="AT2550" s="28"/>
      <c r="AU2550" s="28" t="n">
        <f aca="false">AT2550*$M2550</f>
        <v>0</v>
      </c>
      <c r="AV2550" s="28"/>
      <c r="AW2550" s="28" t="n">
        <f aca="false">AV2550*$M2550</f>
        <v>0</v>
      </c>
      <c r="AX2550" s="28"/>
      <c r="AY2550" s="28" t="n">
        <f aca="false">AX2550*$M2550</f>
        <v>0</v>
      </c>
      <c r="AZ2550" s="30" t="n">
        <f aca="false">19377/100</f>
        <v>193.77</v>
      </c>
      <c r="BA2550" s="11" t="n">
        <v>11626</v>
      </c>
      <c r="BB2550" s="31" t="n">
        <f aca="false">SUM(Q2550,S2550,U2550,W2550,Y2550,AA2550,AC2550,AE2550,AG2550,AI2550,AK2550,AM2550,AO2550,AQ2550,AS2550,AU2550,AW2550,AY2550)</f>
        <v>11626</v>
      </c>
      <c r="BC2550" s="28" t="n">
        <f aca="false">BA2550-BB2550</f>
        <v>0</v>
      </c>
      <c r="BD2550" s="32" t="n">
        <f aca="false">SUM(P2550,R2550,T2550,V2550,X2550,Z2550,AB2550,AD2550,AF2550,AH2550,AJ2550,AL2550,AN2550,AP2550,AR2550,AT2550,AV2550,AX2550)</f>
        <v>193.77</v>
      </c>
      <c r="BE2550" s="33" t="n">
        <f aca="false">AZ2550-BD2550</f>
        <v>0</v>
      </c>
      <c r="BF2550" s="34" t="n">
        <f aca="false">BD2550*M2550</f>
        <v>11626.2</v>
      </c>
      <c r="BG2550" s="35" t="n">
        <f aca="false">BA2550-BF2550</f>
        <v>-0.200000000000728</v>
      </c>
      <c r="BH2550" s="19" t="str">
        <f aca="false">IF(BG2550=0,"",IF(BG2550&lt;&gt;BA2550,"erreur de calcul",IF(BD2550&lt;&gt;0,"pas de prix",IF(M2550&lt;&gt; 0,"pas de quantité","pas de prix, ni de quantité"))))</f>
        <v>erreur de calcul</v>
      </c>
      <c r="BI2550" s="19"/>
    </row>
    <row r="2551" customFormat="false" ht="15" hidden="false" customHeight="false" outlineLevel="0" collapsed="false">
      <c r="A2551" s="0" t="n">
        <v>15</v>
      </c>
      <c r="B2551" s="8" t="s">
        <v>24</v>
      </c>
      <c r="C2551" s="9" t="s">
        <v>25</v>
      </c>
      <c r="D2551" s="9" t="s">
        <v>26</v>
      </c>
      <c r="E2551" s="10" t="n">
        <v>1789</v>
      </c>
      <c r="F2551" s="9" t="s">
        <v>27</v>
      </c>
      <c r="G2551" s="9" t="s">
        <v>27</v>
      </c>
      <c r="H2551" s="11" t="n">
        <v>21</v>
      </c>
      <c r="I2551" s="11" t="s">
        <v>168</v>
      </c>
      <c r="J2551" s="14" t="n">
        <v>345</v>
      </c>
      <c r="K2551" s="14"/>
      <c r="L2551" s="16"/>
      <c r="M2551" s="27" t="n">
        <f aca="false">J2551+(K2551/20)+(L2551/240)</f>
        <v>345</v>
      </c>
      <c r="N2551" s="17" t="s">
        <v>64</v>
      </c>
      <c r="O2551" s="11"/>
      <c r="P2551" s="28" t="n">
        <f aca="false">617/100</f>
        <v>6.17</v>
      </c>
      <c r="Q2551" s="28" t="n">
        <v>2129</v>
      </c>
      <c r="R2551" s="28"/>
      <c r="S2551" s="28" t="n">
        <f aca="false">R2551*$M2551</f>
        <v>0</v>
      </c>
      <c r="T2551" s="28"/>
      <c r="U2551" s="28" t="n">
        <f aca="false">T2551*$M2551</f>
        <v>0</v>
      </c>
      <c r="V2551" s="28"/>
      <c r="W2551" s="28" t="n">
        <f aca="false">V2551*$M2551</f>
        <v>0</v>
      </c>
      <c r="X2551" s="28"/>
      <c r="Y2551" s="28" t="n">
        <f aca="false">X2551*$M2551</f>
        <v>0</v>
      </c>
      <c r="Z2551" s="28"/>
      <c r="AA2551" s="28" t="n">
        <f aca="false">Z2551*$M2551</f>
        <v>0</v>
      </c>
      <c r="AB2551" s="28" t="n">
        <f aca="false">1270/100</f>
        <v>12.7</v>
      </c>
      <c r="AC2551" s="28" t="n">
        <v>4381</v>
      </c>
      <c r="AD2551" s="28"/>
      <c r="AE2551" s="28" t="n">
        <f aca="false">AD2551*$M2551</f>
        <v>0</v>
      </c>
      <c r="AF2551" s="28"/>
      <c r="AG2551" s="28" t="n">
        <f aca="false">AF2551*$M2551</f>
        <v>0</v>
      </c>
      <c r="AH2551" s="28"/>
      <c r="AI2551" s="28" t="n">
        <f aca="false">AH2551*$M2551</f>
        <v>0</v>
      </c>
      <c r="AJ2551" s="28"/>
      <c r="AK2551" s="28" t="n">
        <f aca="false">AJ2551*$M2551</f>
        <v>0</v>
      </c>
      <c r="AL2551" s="28"/>
      <c r="AM2551" s="28" t="n">
        <f aca="false">AL2551*$M2551</f>
        <v>0</v>
      </c>
      <c r="AN2551" s="28"/>
      <c r="AO2551" s="28" t="n">
        <f aca="false">AN2551*$M2551</f>
        <v>0</v>
      </c>
      <c r="AP2551" s="28"/>
      <c r="AQ2551" s="28" t="n">
        <f aca="false">AP2551*$M2551</f>
        <v>0</v>
      </c>
      <c r="AR2551" s="28"/>
      <c r="AS2551" s="28" t="n">
        <f aca="false">AR2551*$M2551</f>
        <v>0</v>
      </c>
      <c r="AT2551" s="28"/>
      <c r="AU2551" s="28" t="n">
        <f aca="false">AT2551*$M2551</f>
        <v>0</v>
      </c>
      <c r="AV2551" s="28"/>
      <c r="AW2551" s="28" t="n">
        <f aca="false">AV2551*$M2551</f>
        <v>0</v>
      </c>
      <c r="AX2551" s="28"/>
      <c r="AY2551" s="28" t="n">
        <f aca="false">AX2551*$M2551</f>
        <v>0</v>
      </c>
      <c r="AZ2551" s="30" t="n">
        <f aca="false">1887/100</f>
        <v>18.87</v>
      </c>
      <c r="BA2551" s="11" t="n">
        <v>6510</v>
      </c>
      <c r="BB2551" s="31" t="n">
        <f aca="false">SUM(Q2551,S2551,U2551,W2551,Y2551,AA2551,AC2551,AE2551,AG2551,AI2551,AK2551,AM2551,AO2551,AQ2551,AS2551,AU2551,AW2551,AY2551)</f>
        <v>6510</v>
      </c>
      <c r="BC2551" s="28" t="n">
        <f aca="false">BA2551-BB2551</f>
        <v>0</v>
      </c>
      <c r="BD2551" s="32" t="n">
        <f aca="false">SUM(P2551,R2551,T2551,V2551,X2551,Z2551,AB2551,AD2551,AF2551,AH2551,AJ2551,AL2551,AN2551,AP2551,AR2551,AT2551,AV2551,AX2551)</f>
        <v>18.87</v>
      </c>
      <c r="BE2551" s="33" t="n">
        <f aca="false">AZ2551-BD2551</f>
        <v>0</v>
      </c>
      <c r="BF2551" s="34" t="n">
        <f aca="false">BD2551*M2551</f>
        <v>6510.15</v>
      </c>
      <c r="BG2551" s="35" t="n">
        <f aca="false">BA2551-BF2551</f>
        <v>-0.149999999998727</v>
      </c>
      <c r="BH2551" s="19" t="str">
        <f aca="false">IF(BG2551=0,"",IF(BG2551&lt;&gt;BA2551,"erreur de calcul",IF(BD2551&lt;&gt;0,"pas de prix",IF(M2551&lt;&gt; 0,"pas de quantité","pas de prix, ni de quantité"))))</f>
        <v>erreur de calcul</v>
      </c>
      <c r="BI2551" s="19"/>
    </row>
    <row r="2552" customFormat="false" ht="15" hidden="false" customHeight="false" outlineLevel="0" collapsed="false">
      <c r="A2552" s="0" t="n">
        <v>16</v>
      </c>
      <c r="B2552" s="8" t="s">
        <v>24</v>
      </c>
      <c r="C2552" s="9" t="s">
        <v>25</v>
      </c>
      <c r="D2552" s="9" t="s">
        <v>26</v>
      </c>
      <c r="E2552" s="10" t="n">
        <v>1789</v>
      </c>
      <c r="F2552" s="9" t="s">
        <v>27</v>
      </c>
      <c r="G2552" s="9" t="s">
        <v>27</v>
      </c>
      <c r="H2552" s="11" t="n">
        <v>21</v>
      </c>
      <c r="I2552" s="11" t="s">
        <v>169</v>
      </c>
      <c r="J2552" s="14" t="n">
        <v>6</v>
      </c>
      <c r="K2552" s="14"/>
      <c r="L2552" s="16"/>
      <c r="M2552" s="27" t="n">
        <f aca="false">J2552+(K2552/20)+(L2552/240)</f>
        <v>6</v>
      </c>
      <c r="N2552" s="17" t="s">
        <v>64</v>
      </c>
      <c r="O2552" s="11"/>
      <c r="P2552" s="28"/>
      <c r="Q2552" s="28" t="n">
        <f aca="false">P2552*$M2552</f>
        <v>0</v>
      </c>
      <c r="R2552" s="28"/>
      <c r="S2552" s="28" t="n">
        <f aca="false">R2552*$M2552</f>
        <v>0</v>
      </c>
      <c r="T2552" s="28"/>
      <c r="U2552" s="28" t="n">
        <f aca="false">T2552*$M2552</f>
        <v>0</v>
      </c>
      <c r="V2552" s="28" t="n">
        <f aca="false">39752/100</f>
        <v>397.52</v>
      </c>
      <c r="W2552" s="28" t="n">
        <v>2385</v>
      </c>
      <c r="X2552" s="28"/>
      <c r="Y2552" s="28" t="n">
        <f aca="false">X2552*$M2552</f>
        <v>0</v>
      </c>
      <c r="Z2552" s="28"/>
      <c r="AA2552" s="28" t="n">
        <f aca="false">Z2552*$M2552</f>
        <v>0</v>
      </c>
      <c r="AB2552" s="28"/>
      <c r="AC2552" s="28" t="n">
        <f aca="false">AB2552*$M2552</f>
        <v>0</v>
      </c>
      <c r="AD2552" s="28"/>
      <c r="AE2552" s="28" t="n">
        <f aca="false">AD2552*$M2552</f>
        <v>0</v>
      </c>
      <c r="AF2552" s="28"/>
      <c r="AG2552" s="28" t="n">
        <f aca="false">AF2552*$M2552</f>
        <v>0</v>
      </c>
      <c r="AH2552" s="28"/>
      <c r="AI2552" s="28" t="n">
        <f aca="false">AH2552*$M2552</f>
        <v>0</v>
      </c>
      <c r="AJ2552" s="28"/>
      <c r="AK2552" s="28" t="n">
        <f aca="false">AJ2552*$M2552</f>
        <v>0</v>
      </c>
      <c r="AL2552" s="28"/>
      <c r="AM2552" s="28" t="n">
        <f aca="false">AL2552*$M2552</f>
        <v>0</v>
      </c>
      <c r="AN2552" s="28"/>
      <c r="AO2552" s="28" t="n">
        <f aca="false">AN2552*$M2552</f>
        <v>0</v>
      </c>
      <c r="AP2552" s="28"/>
      <c r="AQ2552" s="28" t="n">
        <f aca="false">AP2552*$M2552</f>
        <v>0</v>
      </c>
      <c r="AR2552" s="28"/>
      <c r="AS2552" s="28" t="n">
        <f aca="false">AR2552*$M2552</f>
        <v>0</v>
      </c>
      <c r="AT2552" s="28"/>
      <c r="AU2552" s="28" t="n">
        <f aca="false">AT2552*$M2552</f>
        <v>0</v>
      </c>
      <c r="AV2552" s="28"/>
      <c r="AW2552" s="28" t="n">
        <f aca="false">AV2552*$M2552</f>
        <v>0</v>
      </c>
      <c r="AX2552" s="28"/>
      <c r="AY2552" s="28" t="n">
        <f aca="false">AX2552*$M2552</f>
        <v>0</v>
      </c>
      <c r="AZ2552" s="30" t="n">
        <f aca="false">39752/100</f>
        <v>397.52</v>
      </c>
      <c r="BA2552" s="11" t="n">
        <v>2385</v>
      </c>
      <c r="BB2552" s="31" t="n">
        <f aca="false">SUM(Q2552,S2552,U2552,W2552,Y2552,AA2552,AC2552,AE2552,AG2552,AI2552,AK2552,AM2552,AO2552,AQ2552,AS2552,AU2552,AW2552,AY2552)</f>
        <v>2385</v>
      </c>
      <c r="BC2552" s="28" t="n">
        <f aca="false">BA2552-BB2552</f>
        <v>0</v>
      </c>
      <c r="BD2552" s="32" t="n">
        <f aca="false">SUM(P2552,R2552,T2552,V2552,X2552,Z2552,AB2552,AD2552,AF2552,AH2552,AJ2552,AL2552,AN2552,AP2552,AR2552,AT2552,AV2552,AX2552)</f>
        <v>397.52</v>
      </c>
      <c r="BE2552" s="33" t="n">
        <f aca="false">AZ2552-BD2552</f>
        <v>0</v>
      </c>
      <c r="BF2552" s="34" t="n">
        <f aca="false">BD2552*M2552</f>
        <v>2385.12</v>
      </c>
      <c r="BG2552" s="35" t="n">
        <f aca="false">BA2552-BF2552</f>
        <v>-0.119999999999891</v>
      </c>
      <c r="BH2552" s="19" t="str">
        <f aca="false">IF(BG2552=0,"",IF(BG2552&lt;&gt;BA2552,"erreur de calcul",IF(BD2552&lt;&gt;0,"pas de prix",IF(M2552&lt;&gt; 0,"pas de quantité","pas de prix, ni de quantité"))))</f>
        <v>erreur de calcul</v>
      </c>
      <c r="BI2552" s="19"/>
    </row>
    <row r="2553" customFormat="false" ht="15" hidden="false" customHeight="false" outlineLevel="0" collapsed="false">
      <c r="A2553" s="0" t="n">
        <v>17</v>
      </c>
      <c r="B2553" s="8" t="s">
        <v>24</v>
      </c>
      <c r="C2553" s="9" t="s">
        <v>25</v>
      </c>
      <c r="D2553" s="9" t="s">
        <v>26</v>
      </c>
      <c r="E2553" s="10" t="n">
        <v>1789</v>
      </c>
      <c r="F2553" s="9" t="s">
        <v>27</v>
      </c>
      <c r="G2553" s="9" t="s">
        <v>27</v>
      </c>
      <c r="H2553" s="11" t="n">
        <v>21</v>
      </c>
      <c r="I2553" s="11" t="s">
        <v>170</v>
      </c>
      <c r="J2553" s="14" t="n">
        <v>90</v>
      </c>
      <c r="K2553" s="14"/>
      <c r="L2553" s="16"/>
      <c r="M2553" s="27" t="n">
        <f aca="false">J2553+(K2553/20)+(L2553/240)</f>
        <v>90</v>
      </c>
      <c r="N2553" s="17" t="s">
        <v>64</v>
      </c>
      <c r="O2553" s="11"/>
      <c r="P2553" s="28"/>
      <c r="Q2553" s="28" t="n">
        <f aca="false">P2553*$M2553</f>
        <v>0</v>
      </c>
      <c r="R2553" s="28"/>
      <c r="S2553" s="28" t="n">
        <f aca="false">R2553*$M2553</f>
        <v>0</v>
      </c>
      <c r="T2553" s="28"/>
      <c r="U2553" s="28" t="n">
        <f aca="false">T2553*$M2553</f>
        <v>0</v>
      </c>
      <c r="V2553" s="28"/>
      <c r="W2553" s="28" t="n">
        <f aca="false">V2553*$M2553</f>
        <v>0</v>
      </c>
      <c r="X2553" s="28" t="n">
        <f aca="false">3136/100</f>
        <v>31.36</v>
      </c>
      <c r="Y2553" s="28" t="n">
        <v>2822</v>
      </c>
      <c r="Z2553" s="28"/>
      <c r="AA2553" s="28" t="n">
        <f aca="false">Z2553*$M2553</f>
        <v>0</v>
      </c>
      <c r="AB2553" s="28"/>
      <c r="AC2553" s="28" t="n">
        <f aca="false">AB2553*$M2553</f>
        <v>0</v>
      </c>
      <c r="AD2553" s="28"/>
      <c r="AE2553" s="28" t="n">
        <f aca="false">AD2553*$M2553</f>
        <v>0</v>
      </c>
      <c r="AF2553" s="28"/>
      <c r="AG2553" s="28" t="n">
        <f aca="false">AF2553*$M2553</f>
        <v>0</v>
      </c>
      <c r="AH2553" s="28"/>
      <c r="AI2553" s="28" t="n">
        <f aca="false">AH2553*$M2553</f>
        <v>0</v>
      </c>
      <c r="AJ2553" s="28"/>
      <c r="AK2553" s="28" t="n">
        <f aca="false">AJ2553*$M2553</f>
        <v>0</v>
      </c>
      <c r="AL2553" s="28"/>
      <c r="AM2553" s="28" t="n">
        <f aca="false">AL2553*$M2553</f>
        <v>0</v>
      </c>
      <c r="AN2553" s="28"/>
      <c r="AO2553" s="28" t="n">
        <f aca="false">AN2553*$M2553</f>
        <v>0</v>
      </c>
      <c r="AP2553" s="28"/>
      <c r="AQ2553" s="28" t="n">
        <f aca="false">AP2553*$M2553</f>
        <v>0</v>
      </c>
      <c r="AR2553" s="28"/>
      <c r="AS2553" s="28" t="n">
        <f aca="false">AR2553*$M2553</f>
        <v>0</v>
      </c>
      <c r="AT2553" s="28"/>
      <c r="AU2553" s="28" t="n">
        <f aca="false">AT2553*$M2553</f>
        <v>0</v>
      </c>
      <c r="AV2553" s="28"/>
      <c r="AW2553" s="28" t="n">
        <f aca="false">AV2553*$M2553</f>
        <v>0</v>
      </c>
      <c r="AX2553" s="28"/>
      <c r="AY2553" s="28" t="n">
        <f aca="false">AX2553*$M2553</f>
        <v>0</v>
      </c>
      <c r="AZ2553" s="30" t="n">
        <f aca="false">3136/100</f>
        <v>31.36</v>
      </c>
      <c r="BA2553" s="11" t="n">
        <v>2822</v>
      </c>
      <c r="BB2553" s="31" t="n">
        <f aca="false">SUM(Q2553,S2553,U2553,W2553,Y2553,AA2553,AC2553,AE2553,AG2553,AI2553,AK2553,AM2553,AO2553,AQ2553,AS2553,AU2553,AW2553,AY2553)</f>
        <v>2822</v>
      </c>
      <c r="BC2553" s="28" t="n">
        <f aca="false">BA2553-BB2553</f>
        <v>0</v>
      </c>
      <c r="BD2553" s="32" t="n">
        <f aca="false">SUM(P2553,R2553,T2553,V2553,X2553,Z2553,AB2553,AD2553,AF2553,AH2553,AJ2553,AL2553,AN2553,AP2553,AR2553,AT2553,AV2553,AX2553)</f>
        <v>31.36</v>
      </c>
      <c r="BE2553" s="33" t="n">
        <f aca="false">AZ2553-BD2553</f>
        <v>0</v>
      </c>
      <c r="BF2553" s="34" t="n">
        <f aca="false">BD2553*M2553</f>
        <v>2822.4</v>
      </c>
      <c r="BG2553" s="35" t="n">
        <f aca="false">BA2553-BF2553</f>
        <v>-0.400000000000091</v>
      </c>
      <c r="BH2553" s="19" t="str">
        <f aca="false">IF(BG2553=0,"",IF(BG2553&lt;&gt;BA2553,"erreur de calcul",IF(BD2553&lt;&gt;0,"pas de prix",IF(M2553&lt;&gt; 0,"pas de quantité","pas de prix, ni de quantité"))))</f>
        <v>erreur de calcul</v>
      </c>
      <c r="BI2553" s="19"/>
    </row>
    <row r="2554" customFormat="false" ht="15" hidden="false" customHeight="false" outlineLevel="0" collapsed="false">
      <c r="A2554" s="0" t="n">
        <v>18</v>
      </c>
      <c r="B2554" s="8" t="s">
        <v>24</v>
      </c>
      <c r="C2554" s="9" t="s">
        <v>25</v>
      </c>
      <c r="D2554" s="9" t="s">
        <v>26</v>
      </c>
      <c r="E2554" s="10" t="n">
        <v>1789</v>
      </c>
      <c r="F2554" s="9" t="s">
        <v>27</v>
      </c>
      <c r="G2554" s="9" t="s">
        <v>27</v>
      </c>
      <c r="H2554" s="11" t="n">
        <v>21</v>
      </c>
      <c r="I2554" s="11" t="s">
        <v>171</v>
      </c>
      <c r="J2554" s="14" t="n">
        <v>90</v>
      </c>
      <c r="K2554" s="14"/>
      <c r="L2554" s="16"/>
      <c r="M2554" s="27" t="n">
        <f aca="false">J2554+(K2554/20)+(L2554/240)</f>
        <v>90</v>
      </c>
      <c r="N2554" s="17" t="s">
        <v>64</v>
      </c>
      <c r="O2554" s="11"/>
      <c r="P2554" s="28"/>
      <c r="Q2554" s="28" t="n">
        <f aca="false">P2554*$M2554</f>
        <v>0</v>
      </c>
      <c r="R2554" s="28"/>
      <c r="S2554" s="28" t="n">
        <f aca="false">R2554*$M2554</f>
        <v>0</v>
      </c>
      <c r="T2554" s="28"/>
      <c r="U2554" s="28" t="n">
        <f aca="false">T2554*$M2554</f>
        <v>0</v>
      </c>
      <c r="V2554" s="28"/>
      <c r="W2554" s="28" t="n">
        <f aca="false">V2554*$M2554</f>
        <v>0</v>
      </c>
      <c r="X2554" s="28"/>
      <c r="Y2554" s="28" t="n">
        <f aca="false">X2554*$M2554</f>
        <v>0</v>
      </c>
      <c r="Z2554" s="28"/>
      <c r="AA2554" s="28" t="n">
        <f aca="false">Z2554*$M2554</f>
        <v>0</v>
      </c>
      <c r="AB2554" s="28"/>
      <c r="AC2554" s="28" t="n">
        <f aca="false">AB2554*$M2554</f>
        <v>0</v>
      </c>
      <c r="AD2554" s="28"/>
      <c r="AE2554" s="28" t="n">
        <f aca="false">AD2554*$M2554</f>
        <v>0</v>
      </c>
      <c r="AF2554" s="28"/>
      <c r="AG2554" s="28" t="n">
        <f aca="false">AF2554*$M2554</f>
        <v>0</v>
      </c>
      <c r="AH2554" s="28" t="n">
        <f aca="false">5337/100</f>
        <v>53.37</v>
      </c>
      <c r="AI2554" s="28" t="n">
        <v>4803</v>
      </c>
      <c r="AJ2554" s="28"/>
      <c r="AK2554" s="28" t="n">
        <f aca="false">AJ2554*$M2554</f>
        <v>0</v>
      </c>
      <c r="AL2554" s="28"/>
      <c r="AM2554" s="28" t="n">
        <f aca="false">AL2554*$M2554</f>
        <v>0</v>
      </c>
      <c r="AN2554" s="28"/>
      <c r="AO2554" s="28" t="n">
        <f aca="false">AN2554*$M2554</f>
        <v>0</v>
      </c>
      <c r="AP2554" s="28"/>
      <c r="AQ2554" s="28" t="n">
        <f aca="false">AP2554*$M2554</f>
        <v>0</v>
      </c>
      <c r="AR2554" s="28"/>
      <c r="AS2554" s="28" t="n">
        <f aca="false">AR2554*$M2554</f>
        <v>0</v>
      </c>
      <c r="AT2554" s="28"/>
      <c r="AU2554" s="28" t="n">
        <f aca="false">AT2554*$M2554</f>
        <v>0</v>
      </c>
      <c r="AV2554" s="28"/>
      <c r="AW2554" s="28" t="n">
        <f aca="false">AV2554*$M2554</f>
        <v>0</v>
      </c>
      <c r="AX2554" s="28"/>
      <c r="AY2554" s="28" t="n">
        <f aca="false">AX2554*$M2554</f>
        <v>0</v>
      </c>
      <c r="AZ2554" s="30" t="n">
        <f aca="false">5337/100</f>
        <v>53.37</v>
      </c>
      <c r="BA2554" s="11" t="n">
        <v>4803</v>
      </c>
      <c r="BB2554" s="31" t="n">
        <f aca="false">SUM(Q2554,S2554,U2554,W2554,Y2554,AA2554,AC2554,AE2554,AG2554,AI2554,AK2554,AM2554,AO2554,AQ2554,AS2554,AU2554,AW2554,AY2554)</f>
        <v>4803</v>
      </c>
      <c r="BC2554" s="28" t="n">
        <f aca="false">BA2554-BB2554</f>
        <v>0</v>
      </c>
      <c r="BD2554" s="32" t="n">
        <f aca="false">SUM(P2554,R2554,T2554,V2554,X2554,Z2554,AB2554,AD2554,AF2554,AH2554,AJ2554,AL2554,AN2554,AP2554,AR2554,AT2554,AV2554,AX2554)</f>
        <v>53.37</v>
      </c>
      <c r="BE2554" s="33" t="n">
        <f aca="false">AZ2554-BD2554</f>
        <v>0</v>
      </c>
      <c r="BF2554" s="34" t="n">
        <f aca="false">BD2554*M2554</f>
        <v>4803.3</v>
      </c>
      <c r="BG2554" s="35" t="n">
        <f aca="false">BA2554-BF2554</f>
        <v>-0.300000000000182</v>
      </c>
      <c r="BH2554" s="19" t="str">
        <f aca="false">IF(BG2554=0,"",IF(BG2554&lt;&gt;BA2554,"erreur de calcul",IF(BD2554&lt;&gt;0,"pas de prix",IF(M2554&lt;&gt; 0,"pas de quantité","pas de prix, ni de quantité"))))</f>
        <v>erreur de calcul</v>
      </c>
      <c r="BI2554" s="19"/>
    </row>
    <row r="2555" customFormat="false" ht="15" hidden="false" customHeight="false" outlineLevel="0" collapsed="false">
      <c r="A2555" s="0" t="n">
        <v>19</v>
      </c>
      <c r="B2555" s="8" t="s">
        <v>24</v>
      </c>
      <c r="C2555" s="9" t="s">
        <v>25</v>
      </c>
      <c r="D2555" s="9" t="s">
        <v>26</v>
      </c>
      <c r="E2555" s="10" t="n">
        <v>1789</v>
      </c>
      <c r="F2555" s="9" t="s">
        <v>27</v>
      </c>
      <c r="G2555" s="9" t="s">
        <v>27</v>
      </c>
      <c r="H2555" s="11" t="n">
        <v>21</v>
      </c>
      <c r="I2555" s="11" t="s">
        <v>172</v>
      </c>
      <c r="J2555" s="14" t="n">
        <v>15</v>
      </c>
      <c r="K2555" s="14"/>
      <c r="L2555" s="16"/>
      <c r="M2555" s="27" t="n">
        <f aca="false">J2555+(K2555/20)+(L2555/240)</f>
        <v>15</v>
      </c>
      <c r="N2555" s="17" t="s">
        <v>64</v>
      </c>
      <c r="O2555" s="11" t="s">
        <v>77</v>
      </c>
      <c r="P2555" s="28"/>
      <c r="Q2555" s="28" t="n">
        <f aca="false">P2555*$M2555</f>
        <v>0</v>
      </c>
      <c r="R2555" s="28"/>
      <c r="S2555" s="28" t="n">
        <f aca="false">R2555*$M2555</f>
        <v>0</v>
      </c>
      <c r="T2555" s="28"/>
      <c r="U2555" s="28" t="n">
        <f aca="false">T2555*$M2555</f>
        <v>0</v>
      </c>
      <c r="V2555" s="28"/>
      <c r="W2555" s="28" t="n">
        <f aca="false">V2555*$M2555</f>
        <v>0</v>
      </c>
      <c r="X2555" s="28"/>
      <c r="Y2555" s="28" t="n">
        <f aca="false">X2555*$M2555</f>
        <v>0</v>
      </c>
      <c r="Z2555" s="28"/>
      <c r="AA2555" s="28" t="n">
        <f aca="false">Z2555*$M2555</f>
        <v>0</v>
      </c>
      <c r="AB2555" s="28"/>
      <c r="AC2555" s="28" t="n">
        <f aca="false">AB2555*$M2555</f>
        <v>0</v>
      </c>
      <c r="AD2555" s="28"/>
      <c r="AE2555" s="28" t="n">
        <f aca="false">AD2555*$M2555</f>
        <v>0</v>
      </c>
      <c r="AF2555" s="28"/>
      <c r="AG2555" s="28" t="n">
        <f aca="false">AF2555*$M2555</f>
        <v>0</v>
      </c>
      <c r="AH2555" s="28"/>
      <c r="AI2555" s="28" t="n">
        <f aca="false">AH2555*$M2555</f>
        <v>0</v>
      </c>
      <c r="AJ2555" s="28"/>
      <c r="AK2555" s="28" t="n">
        <f aca="false">AJ2555*$M2555</f>
        <v>0</v>
      </c>
      <c r="AL2555" s="28"/>
      <c r="AM2555" s="28" t="n">
        <f aca="false">AL2555*$M2555</f>
        <v>0</v>
      </c>
      <c r="AN2555" s="28"/>
      <c r="AO2555" s="28" t="n">
        <f aca="false">AN2555*$M2555</f>
        <v>0</v>
      </c>
      <c r="AP2555" s="28"/>
      <c r="AQ2555" s="28" t="n">
        <f aca="false">AP2555*$M2555</f>
        <v>0</v>
      </c>
      <c r="AR2555" s="28"/>
      <c r="AS2555" s="28" t="n">
        <f aca="false">AR2555*$M2555</f>
        <v>0</v>
      </c>
      <c r="AT2555" s="28"/>
      <c r="AU2555" s="28" t="n">
        <f aca="false">AT2555*$M2555</f>
        <v>0</v>
      </c>
      <c r="AV2555" s="28"/>
      <c r="AW2555" s="28" t="n">
        <f aca="false">AV2555*$M2555</f>
        <v>0</v>
      </c>
      <c r="AX2555" s="28"/>
      <c r="AY2555" s="28" t="n">
        <f aca="false">AX2555*$M2555</f>
        <v>0</v>
      </c>
      <c r="AZ2555" s="30"/>
      <c r="BA2555" s="11"/>
      <c r="BB2555" s="31" t="n">
        <f aca="false">SUM(Q2555,S2555,U2555,W2555,Y2555,AA2555,AC2555,AE2555,AG2555,AI2555,AK2555,AM2555,AO2555,AQ2555,AS2555,AU2555,AW2555,AY2555)</f>
        <v>0</v>
      </c>
      <c r="BC2555" s="28" t="n">
        <f aca="false">BA2555-BB2555</f>
        <v>0</v>
      </c>
      <c r="BD2555" s="32" t="n">
        <f aca="false">SUM(P2555,R2555,T2555,V2555,X2555,Z2555,AB2555,AD2555,AF2555,AH2555,AJ2555,AL2555,AN2555,AP2555,AR2555,AT2555,AV2555,AX2555)</f>
        <v>0</v>
      </c>
      <c r="BE2555" s="33" t="n">
        <f aca="false">AZ2555-BD2555</f>
        <v>0</v>
      </c>
      <c r="BF2555" s="34" t="n">
        <f aca="false">BD2555*M2555</f>
        <v>0</v>
      </c>
      <c r="BG2555" s="35" t="n">
        <f aca="false">BA2555-BF2555</f>
        <v>0</v>
      </c>
      <c r="BH2555" s="19" t="str">
        <f aca="false">IF(BG2555=0,"",IF(BG2555&lt;&gt;BA2555,"erreur de calcul",IF(BD2555&lt;&gt;0,"pas de prix",IF(M2555&lt;&gt; 0,"pas de quantité","pas de prix, ni de quantité"))))</f>
        <v/>
      </c>
      <c r="BI2555" s="19"/>
    </row>
    <row r="2556" customFormat="false" ht="15" hidden="false" customHeight="false" outlineLevel="0" collapsed="false">
      <c r="A2556" s="0" t="n">
        <v>20</v>
      </c>
      <c r="B2556" s="8" t="s">
        <v>24</v>
      </c>
      <c r="C2556" s="9" t="s">
        <v>25</v>
      </c>
      <c r="D2556" s="9" t="s">
        <v>26</v>
      </c>
      <c r="E2556" s="10" t="n">
        <v>1789</v>
      </c>
      <c r="F2556" s="9" t="s">
        <v>27</v>
      </c>
      <c r="G2556" s="9" t="s">
        <v>27</v>
      </c>
      <c r="H2556" s="11" t="n">
        <v>21</v>
      </c>
      <c r="I2556" s="11" t="s">
        <v>173</v>
      </c>
      <c r="J2556" s="14" t="n">
        <v>36</v>
      </c>
      <c r="K2556" s="14"/>
      <c r="L2556" s="16"/>
      <c r="M2556" s="27" t="n">
        <f aca="false">J2556+(K2556/20)+(L2556/240)</f>
        <v>36</v>
      </c>
      <c r="N2556" s="17" t="s">
        <v>64</v>
      </c>
      <c r="O2556" s="11"/>
      <c r="P2556" s="28"/>
      <c r="Q2556" s="28" t="n">
        <f aca="false">P2556*$M2556</f>
        <v>0</v>
      </c>
      <c r="R2556" s="28"/>
      <c r="S2556" s="28" t="n">
        <f aca="false">R2556*$M2556</f>
        <v>0</v>
      </c>
      <c r="T2556" s="28"/>
      <c r="U2556" s="28" t="n">
        <f aca="false">T2556*$M2556</f>
        <v>0</v>
      </c>
      <c r="V2556" s="28"/>
      <c r="W2556" s="28" t="n">
        <f aca="false">V2556*$M2556</f>
        <v>0</v>
      </c>
      <c r="X2556" s="28"/>
      <c r="Y2556" s="28" t="n">
        <f aca="false">X2556*$M2556</f>
        <v>0</v>
      </c>
      <c r="Z2556" s="28"/>
      <c r="AA2556" s="28" t="n">
        <f aca="false">Z2556*$M2556</f>
        <v>0</v>
      </c>
      <c r="AB2556" s="28" t="n">
        <f aca="false">80722/100</f>
        <v>807.22</v>
      </c>
      <c r="AC2556" s="28" t="n">
        <v>29060</v>
      </c>
      <c r="AD2556" s="28"/>
      <c r="AE2556" s="28" t="n">
        <f aca="false">AD2556*$M2556</f>
        <v>0</v>
      </c>
      <c r="AF2556" s="28"/>
      <c r="AG2556" s="28" t="n">
        <f aca="false">AF2556*$M2556</f>
        <v>0</v>
      </c>
      <c r="AH2556" s="28"/>
      <c r="AI2556" s="28" t="n">
        <f aca="false">AH2556*$M2556</f>
        <v>0</v>
      </c>
      <c r="AJ2556" s="28"/>
      <c r="AK2556" s="28" t="n">
        <f aca="false">AJ2556*$M2556</f>
        <v>0</v>
      </c>
      <c r="AL2556" s="28"/>
      <c r="AM2556" s="28" t="n">
        <f aca="false">AL2556*$M2556</f>
        <v>0</v>
      </c>
      <c r="AN2556" s="28"/>
      <c r="AO2556" s="28" t="n">
        <f aca="false">AN2556*$M2556</f>
        <v>0</v>
      </c>
      <c r="AP2556" s="28"/>
      <c r="AQ2556" s="28" t="n">
        <f aca="false">AP2556*$M2556</f>
        <v>0</v>
      </c>
      <c r="AR2556" s="28"/>
      <c r="AS2556" s="28" t="n">
        <f aca="false">AR2556*$M2556</f>
        <v>0</v>
      </c>
      <c r="AT2556" s="28"/>
      <c r="AU2556" s="28" t="n">
        <f aca="false">AT2556*$M2556</f>
        <v>0</v>
      </c>
      <c r="AV2556" s="28"/>
      <c r="AW2556" s="28" t="n">
        <f aca="false">AV2556*$M2556</f>
        <v>0</v>
      </c>
      <c r="AX2556" s="28"/>
      <c r="AY2556" s="28" t="n">
        <f aca="false">AX2556*$M2556</f>
        <v>0</v>
      </c>
      <c r="AZ2556" s="30" t="n">
        <f aca="false">80722/100</f>
        <v>807.22</v>
      </c>
      <c r="BA2556" s="11" t="n">
        <v>29060</v>
      </c>
      <c r="BB2556" s="31" t="n">
        <f aca="false">SUM(Q2556,S2556,U2556,W2556,Y2556,AA2556,AC2556,AE2556,AG2556,AI2556,AK2556,AM2556,AO2556,AQ2556,AS2556,AU2556,AW2556,AY2556)</f>
        <v>29060</v>
      </c>
      <c r="BC2556" s="28" t="n">
        <f aca="false">BA2556-BB2556</f>
        <v>0</v>
      </c>
      <c r="BD2556" s="32" t="n">
        <f aca="false">SUM(P2556,R2556,T2556,V2556,X2556,Z2556,AB2556,AD2556,AF2556,AH2556,AJ2556,AL2556,AN2556,AP2556,AR2556,AT2556,AV2556,AX2556)</f>
        <v>807.22</v>
      </c>
      <c r="BE2556" s="33" t="n">
        <f aca="false">AZ2556-BD2556</f>
        <v>0</v>
      </c>
      <c r="BF2556" s="34" t="n">
        <f aca="false">BD2556*M2556</f>
        <v>29059.92</v>
      </c>
      <c r="BG2556" s="35" t="n">
        <f aca="false">BA2556-BF2556</f>
        <v>0.0799999999981083</v>
      </c>
      <c r="BH2556" s="19" t="str">
        <f aca="false">IF(BG2556=0,"",IF(BG2556&lt;&gt;BA2556,"erreur de calcul",IF(BD2556&lt;&gt;0,"pas de prix",IF(M2556&lt;&gt; 0,"pas de quantité","pas de prix, ni de quantité"))))</f>
        <v>erreur de calcul</v>
      </c>
      <c r="BI2556" s="19"/>
    </row>
    <row r="2557" customFormat="false" ht="15" hidden="false" customHeight="false" outlineLevel="0" collapsed="false">
      <c r="A2557" s="0" t="n">
        <v>21</v>
      </c>
      <c r="B2557" s="8" t="s">
        <v>24</v>
      </c>
      <c r="C2557" s="9" t="s">
        <v>25</v>
      </c>
      <c r="D2557" s="9" t="s">
        <v>26</v>
      </c>
      <c r="E2557" s="10" t="n">
        <v>1789</v>
      </c>
      <c r="F2557" s="9" t="s">
        <v>27</v>
      </c>
      <c r="G2557" s="9" t="s">
        <v>27</v>
      </c>
      <c r="H2557" s="11" t="n">
        <v>21</v>
      </c>
      <c r="I2557" s="11" t="s">
        <v>174</v>
      </c>
      <c r="J2557" s="14" t="n">
        <v>31</v>
      </c>
      <c r="K2557" s="14"/>
      <c r="L2557" s="16"/>
      <c r="M2557" s="27" t="n">
        <f aca="false">J2557+(K2557/20)+(L2557/240)</f>
        <v>31</v>
      </c>
      <c r="N2557" s="17" t="s">
        <v>64</v>
      </c>
      <c r="O2557" s="11"/>
      <c r="P2557" s="28"/>
      <c r="Q2557" s="28" t="n">
        <f aca="false">P2557*$M2557</f>
        <v>0</v>
      </c>
      <c r="R2557" s="28"/>
      <c r="S2557" s="28" t="n">
        <f aca="false">R2557*$M2557</f>
        <v>0</v>
      </c>
      <c r="T2557" s="28"/>
      <c r="U2557" s="28" t="n">
        <f aca="false">T2557*$M2557</f>
        <v>0</v>
      </c>
      <c r="V2557" s="28"/>
      <c r="W2557" s="28" t="n">
        <f aca="false">V2557*$M2557</f>
        <v>0</v>
      </c>
      <c r="X2557" s="28"/>
      <c r="Y2557" s="28" t="n">
        <f aca="false">X2557*$M2557</f>
        <v>0</v>
      </c>
      <c r="Z2557" s="28"/>
      <c r="AA2557" s="28" t="n">
        <f aca="false">Z2557*$M2557</f>
        <v>0</v>
      </c>
      <c r="AB2557" s="28"/>
      <c r="AC2557" s="28" t="n">
        <f aca="false">AB2557*$M2557</f>
        <v>0</v>
      </c>
      <c r="AD2557" s="28"/>
      <c r="AE2557" s="28" t="n">
        <f aca="false">AD2557*$M2557</f>
        <v>0</v>
      </c>
      <c r="AF2557" s="28" t="n">
        <f aca="false">4599/100</f>
        <v>45.99</v>
      </c>
      <c r="AG2557" s="28" t="n">
        <v>1426</v>
      </c>
      <c r="AH2557" s="28" t="n">
        <f aca="false">12691/100</f>
        <v>126.91</v>
      </c>
      <c r="AI2557" s="28" t="n">
        <v>3934</v>
      </c>
      <c r="AJ2557" s="28"/>
      <c r="AK2557" s="28" t="n">
        <f aca="false">AJ2557*$M2557</f>
        <v>0</v>
      </c>
      <c r="AL2557" s="28"/>
      <c r="AM2557" s="28" t="n">
        <f aca="false">AL2557*$M2557</f>
        <v>0</v>
      </c>
      <c r="AN2557" s="28"/>
      <c r="AO2557" s="28" t="n">
        <f aca="false">AN2557*$M2557</f>
        <v>0</v>
      </c>
      <c r="AP2557" s="28"/>
      <c r="AQ2557" s="28" t="n">
        <f aca="false">AP2557*$M2557</f>
        <v>0</v>
      </c>
      <c r="AR2557" s="28"/>
      <c r="AS2557" s="28" t="n">
        <f aca="false">AR2557*$M2557</f>
        <v>0</v>
      </c>
      <c r="AT2557" s="28"/>
      <c r="AU2557" s="28" t="n">
        <f aca="false">AT2557*$M2557</f>
        <v>0</v>
      </c>
      <c r="AV2557" s="28"/>
      <c r="AW2557" s="28" t="n">
        <f aca="false">AV2557*$M2557</f>
        <v>0</v>
      </c>
      <c r="AX2557" s="28"/>
      <c r="AY2557" s="28" t="n">
        <f aca="false">AX2557*$M2557</f>
        <v>0</v>
      </c>
      <c r="AZ2557" s="30" t="n">
        <f aca="false">17290/100</f>
        <v>172.9</v>
      </c>
      <c r="BA2557" s="11" t="n">
        <v>5360</v>
      </c>
      <c r="BB2557" s="31" t="n">
        <f aca="false">SUM(Q2557,S2557,U2557,W2557,Y2557,AA2557,AC2557,AE2557,AG2557,AI2557,AK2557,AM2557,AO2557,AQ2557,AS2557,AU2557,AW2557,AY2557)</f>
        <v>5360</v>
      </c>
      <c r="BC2557" s="28" t="n">
        <f aca="false">BA2557-BB2557</f>
        <v>0</v>
      </c>
      <c r="BD2557" s="32" t="n">
        <f aca="false">SUM(P2557,R2557,T2557,V2557,X2557,Z2557,AB2557,AD2557,AF2557,AH2557,AJ2557,AL2557,AN2557,AP2557,AR2557,AT2557,AV2557,AX2557)</f>
        <v>172.9</v>
      </c>
      <c r="BE2557" s="33" t="n">
        <f aca="false">AZ2557-BD2557</f>
        <v>0</v>
      </c>
      <c r="BF2557" s="34" t="n">
        <f aca="false">BD2557*M2557</f>
        <v>5359.9</v>
      </c>
      <c r="BG2557" s="35" t="n">
        <f aca="false">BA2557-BF2557</f>
        <v>0.0999999999994543</v>
      </c>
      <c r="BH2557" s="19" t="str">
        <f aca="false">IF(BG2557=0,"",IF(BG2557&lt;&gt;BA2557,"erreur de calcul",IF(BD2557&lt;&gt;0,"pas de prix",IF(M2557&lt;&gt; 0,"pas de quantité","pas de prix, ni de quantité"))))</f>
        <v>erreur de calcul</v>
      </c>
      <c r="BI2557" s="19"/>
    </row>
    <row r="2558" customFormat="false" ht="15" hidden="false" customHeight="false" outlineLevel="0" collapsed="false">
      <c r="A2558" s="0" t="n">
        <v>22</v>
      </c>
      <c r="B2558" s="8" t="s">
        <v>24</v>
      </c>
      <c r="C2558" s="9" t="s">
        <v>25</v>
      </c>
      <c r="D2558" s="9" t="s">
        <v>26</v>
      </c>
      <c r="E2558" s="10" t="n">
        <v>1789</v>
      </c>
      <c r="F2558" s="9" t="s">
        <v>27</v>
      </c>
      <c r="G2558" s="9" t="s">
        <v>27</v>
      </c>
      <c r="H2558" s="11" t="n">
        <v>21</v>
      </c>
      <c r="I2558" s="11" t="s">
        <v>175</v>
      </c>
      <c r="J2558" s="14" t="n">
        <v>120</v>
      </c>
      <c r="K2558" s="14"/>
      <c r="L2558" s="16"/>
      <c r="M2558" s="27" t="n">
        <f aca="false">J2558+(K2558/20)+(L2558/240)</f>
        <v>120</v>
      </c>
      <c r="N2558" s="17" t="s">
        <v>64</v>
      </c>
      <c r="O2558" s="11"/>
      <c r="P2558" s="28"/>
      <c r="Q2558" s="28" t="n">
        <f aca="false">P2558*$M2558</f>
        <v>0</v>
      </c>
      <c r="R2558" s="28"/>
      <c r="S2558" s="28" t="n">
        <f aca="false">R2558*$M2558</f>
        <v>0</v>
      </c>
      <c r="T2558" s="28"/>
      <c r="U2558" s="28" t="n">
        <f aca="false">T2558*$M2558</f>
        <v>0</v>
      </c>
      <c r="V2558" s="28" t="n">
        <f aca="false">2364/100</f>
        <v>23.64</v>
      </c>
      <c r="W2558" s="28" t="n">
        <v>2837</v>
      </c>
      <c r="X2558" s="28"/>
      <c r="Y2558" s="28" t="n">
        <f aca="false">X2558*$M2558</f>
        <v>0</v>
      </c>
      <c r="Z2558" s="28"/>
      <c r="AA2558" s="28" t="n">
        <f aca="false">Z2558*$M2558</f>
        <v>0</v>
      </c>
      <c r="AB2558" s="28"/>
      <c r="AC2558" s="28" t="n">
        <f aca="false">AB2558*$M2558</f>
        <v>0</v>
      </c>
      <c r="AD2558" s="28"/>
      <c r="AE2558" s="28" t="n">
        <f aca="false">AD2558*$M2558</f>
        <v>0</v>
      </c>
      <c r="AF2558" s="28"/>
      <c r="AG2558" s="28" t="n">
        <f aca="false">AF2558*$M2558</f>
        <v>0</v>
      </c>
      <c r="AH2558" s="28"/>
      <c r="AI2558" s="28" t="n">
        <f aca="false">AH2558*$M2558</f>
        <v>0</v>
      </c>
      <c r="AJ2558" s="28"/>
      <c r="AK2558" s="28" t="n">
        <f aca="false">AJ2558*$M2558</f>
        <v>0</v>
      </c>
      <c r="AL2558" s="28"/>
      <c r="AM2558" s="28" t="n">
        <f aca="false">AL2558*$M2558</f>
        <v>0</v>
      </c>
      <c r="AN2558" s="28"/>
      <c r="AO2558" s="28" t="n">
        <f aca="false">AN2558*$M2558</f>
        <v>0</v>
      </c>
      <c r="AP2558" s="28"/>
      <c r="AQ2558" s="28" t="n">
        <f aca="false">AP2558*$M2558</f>
        <v>0</v>
      </c>
      <c r="AR2558" s="28"/>
      <c r="AS2558" s="28" t="n">
        <f aca="false">AR2558*$M2558</f>
        <v>0</v>
      </c>
      <c r="AT2558" s="28"/>
      <c r="AU2558" s="28" t="n">
        <f aca="false">AT2558*$M2558</f>
        <v>0</v>
      </c>
      <c r="AV2558" s="28"/>
      <c r="AW2558" s="28" t="n">
        <f aca="false">AV2558*$M2558</f>
        <v>0</v>
      </c>
      <c r="AX2558" s="28"/>
      <c r="AY2558" s="28" t="n">
        <f aca="false">AX2558*$M2558</f>
        <v>0</v>
      </c>
      <c r="AZ2558" s="30" t="n">
        <f aca="false">2364/100</f>
        <v>23.64</v>
      </c>
      <c r="BA2558" s="11" t="n">
        <v>2837</v>
      </c>
      <c r="BB2558" s="31" t="n">
        <f aca="false">SUM(Q2558,S2558,U2558,W2558,Y2558,AA2558,AC2558,AE2558,AG2558,AI2558,AK2558,AM2558,AO2558,AQ2558,AS2558,AU2558,AW2558,AY2558)</f>
        <v>2837</v>
      </c>
      <c r="BC2558" s="28" t="n">
        <f aca="false">BA2558-BB2558</f>
        <v>0</v>
      </c>
      <c r="BD2558" s="32" t="n">
        <f aca="false">SUM(P2558,R2558,T2558,V2558,X2558,Z2558,AB2558,AD2558,AF2558,AH2558,AJ2558,AL2558,AN2558,AP2558,AR2558,AT2558,AV2558,AX2558)</f>
        <v>23.64</v>
      </c>
      <c r="BE2558" s="33" t="n">
        <f aca="false">AZ2558-BD2558</f>
        <v>0</v>
      </c>
      <c r="BF2558" s="34" t="n">
        <f aca="false">BD2558*M2558</f>
        <v>2836.8</v>
      </c>
      <c r="BG2558" s="35" t="n">
        <f aca="false">BA2558-BF2558</f>
        <v>0.199999999999818</v>
      </c>
      <c r="BH2558" s="19" t="str">
        <f aca="false">IF(BG2558=0,"",IF(BG2558&lt;&gt;BA2558,"erreur de calcul",IF(BD2558&lt;&gt;0,"pas de prix",IF(M2558&lt;&gt; 0,"pas de quantité","pas de prix, ni de quantité"))))</f>
        <v>erreur de calcul</v>
      </c>
      <c r="BI2558" s="19"/>
    </row>
    <row r="2559" customFormat="false" ht="15" hidden="false" customHeight="false" outlineLevel="0" collapsed="false">
      <c r="A2559" s="0" t="n">
        <v>23</v>
      </c>
      <c r="B2559" s="8" t="s">
        <v>24</v>
      </c>
      <c r="C2559" s="9" t="s">
        <v>25</v>
      </c>
      <c r="D2559" s="9" t="s">
        <v>26</v>
      </c>
      <c r="E2559" s="10" t="n">
        <v>1789</v>
      </c>
      <c r="F2559" s="9" t="s">
        <v>27</v>
      </c>
      <c r="G2559" s="9" t="s">
        <v>27</v>
      </c>
      <c r="H2559" s="11" t="n">
        <v>21</v>
      </c>
      <c r="I2559" s="11" t="s">
        <v>176</v>
      </c>
      <c r="J2559" s="14" t="n">
        <v>170</v>
      </c>
      <c r="K2559" s="14"/>
      <c r="L2559" s="16"/>
      <c r="M2559" s="27" t="n">
        <f aca="false">J2559+(K2559/20)+(L2559/240)</f>
        <v>170</v>
      </c>
      <c r="N2559" s="17" t="s">
        <v>64</v>
      </c>
      <c r="O2559" s="11"/>
      <c r="P2559" s="28" t="n">
        <f aca="false">9760/100</f>
        <v>97.6</v>
      </c>
      <c r="Q2559" s="28" t="n">
        <v>16592</v>
      </c>
      <c r="R2559" s="28"/>
      <c r="S2559" s="28" t="n">
        <f aca="false">R2559*$M2559</f>
        <v>0</v>
      </c>
      <c r="T2559" s="28"/>
      <c r="U2559" s="28" t="n">
        <f aca="false">T2559*$M2559</f>
        <v>0</v>
      </c>
      <c r="V2559" s="28"/>
      <c r="W2559" s="28" t="n">
        <f aca="false">V2559*$M2559</f>
        <v>0</v>
      </c>
      <c r="X2559" s="28" t="n">
        <f aca="false">1589/100</f>
        <v>15.89</v>
      </c>
      <c r="Y2559" s="28" t="n">
        <v>2701</v>
      </c>
      <c r="Z2559" s="28"/>
      <c r="AA2559" s="28" t="n">
        <f aca="false">Z2559*$M2559</f>
        <v>0</v>
      </c>
      <c r="AB2559" s="28"/>
      <c r="AC2559" s="28" t="n">
        <f aca="false">AB2559*$M2559</f>
        <v>0</v>
      </c>
      <c r="AD2559" s="28"/>
      <c r="AE2559" s="28" t="n">
        <f aca="false">AD2559*$M2559</f>
        <v>0</v>
      </c>
      <c r="AF2559" s="28"/>
      <c r="AG2559" s="28" t="n">
        <f aca="false">AF2559*$M2559</f>
        <v>0</v>
      </c>
      <c r="AH2559" s="28"/>
      <c r="AI2559" s="28" t="n">
        <f aca="false">AH2559*$M2559</f>
        <v>0</v>
      </c>
      <c r="AJ2559" s="28"/>
      <c r="AK2559" s="28" t="n">
        <f aca="false">AJ2559*$M2559</f>
        <v>0</v>
      </c>
      <c r="AL2559" s="28"/>
      <c r="AM2559" s="28" t="n">
        <f aca="false">AL2559*$M2559</f>
        <v>0</v>
      </c>
      <c r="AN2559" s="28"/>
      <c r="AO2559" s="28" t="n">
        <f aca="false">AN2559*$M2559</f>
        <v>0</v>
      </c>
      <c r="AP2559" s="28"/>
      <c r="AQ2559" s="28" t="n">
        <f aca="false">AP2559*$M2559</f>
        <v>0</v>
      </c>
      <c r="AR2559" s="28"/>
      <c r="AS2559" s="28" t="n">
        <f aca="false">AR2559*$M2559</f>
        <v>0</v>
      </c>
      <c r="AT2559" s="28"/>
      <c r="AU2559" s="28" t="n">
        <f aca="false">AT2559*$M2559</f>
        <v>0</v>
      </c>
      <c r="AV2559" s="28"/>
      <c r="AW2559" s="28" t="n">
        <f aca="false">AV2559*$M2559</f>
        <v>0</v>
      </c>
      <c r="AX2559" s="28"/>
      <c r="AY2559" s="28" t="n">
        <f aca="false">AX2559*$M2559</f>
        <v>0</v>
      </c>
      <c r="AZ2559" s="30" t="n">
        <f aca="false">11349/100</f>
        <v>113.49</v>
      </c>
      <c r="BA2559" s="11" t="n">
        <v>19293</v>
      </c>
      <c r="BB2559" s="31" t="n">
        <f aca="false">SUM(Q2559,S2559,U2559,W2559,Y2559,AA2559,AC2559,AE2559,AG2559,AI2559,AK2559,AM2559,AO2559,AQ2559,AS2559,AU2559,AW2559,AY2559)</f>
        <v>19293</v>
      </c>
      <c r="BC2559" s="28" t="n">
        <f aca="false">BA2559-BB2559</f>
        <v>0</v>
      </c>
      <c r="BD2559" s="32" t="n">
        <f aca="false">SUM(P2559,R2559,T2559,V2559,X2559,Z2559,AB2559,AD2559,AF2559,AH2559,AJ2559,AL2559,AN2559,AP2559,AR2559,AT2559,AV2559,AX2559)</f>
        <v>113.49</v>
      </c>
      <c r="BE2559" s="33" t="n">
        <f aca="false">AZ2559-BD2559</f>
        <v>0</v>
      </c>
      <c r="BF2559" s="34" t="n">
        <f aca="false">BD2559*M2559</f>
        <v>19293.3</v>
      </c>
      <c r="BG2559" s="35" t="n">
        <f aca="false">BA2559-BF2559</f>
        <v>-0.299999999999272</v>
      </c>
      <c r="BH2559" s="19" t="str">
        <f aca="false">IF(BG2559=0,"",IF(BG2559&lt;&gt;BA2559,"erreur de calcul",IF(BD2559&lt;&gt;0,"pas de prix",IF(M2559&lt;&gt; 0,"pas de quantité","pas de prix, ni de quantité"))))</f>
        <v>erreur de calcul</v>
      </c>
      <c r="BI2559" s="19"/>
    </row>
    <row r="2560" customFormat="false" ht="15" hidden="false" customHeight="false" outlineLevel="0" collapsed="false">
      <c r="A2560" s="0" t="n">
        <v>24</v>
      </c>
      <c r="B2560" s="8" t="s">
        <v>24</v>
      </c>
      <c r="C2560" s="9" t="s">
        <v>25</v>
      </c>
      <c r="D2560" s="9" t="s">
        <v>26</v>
      </c>
      <c r="E2560" s="10" t="n">
        <v>1789</v>
      </c>
      <c r="F2560" s="9" t="s">
        <v>27</v>
      </c>
      <c r="G2560" s="9" t="s">
        <v>27</v>
      </c>
      <c r="H2560" s="11" t="n">
        <v>21</v>
      </c>
      <c r="I2560" s="11" t="s">
        <v>177</v>
      </c>
      <c r="J2560" s="14" t="n">
        <v>9</v>
      </c>
      <c r="K2560" s="14"/>
      <c r="L2560" s="16"/>
      <c r="M2560" s="27" t="n">
        <f aca="false">J2560+(K2560/20)+(L2560/240)</f>
        <v>9</v>
      </c>
      <c r="N2560" s="17" t="s">
        <v>66</v>
      </c>
      <c r="O2560" s="11"/>
      <c r="P2560" s="28"/>
      <c r="Q2560" s="28" t="n">
        <f aca="false">P2560*$M2560</f>
        <v>0</v>
      </c>
      <c r="R2560" s="28" t="n">
        <v>349</v>
      </c>
      <c r="S2560" s="28" t="n">
        <v>3141</v>
      </c>
      <c r="T2560" s="28"/>
      <c r="U2560" s="28" t="n">
        <f aca="false">T2560*$M2560</f>
        <v>0</v>
      </c>
      <c r="V2560" s="28" t="n">
        <v>315</v>
      </c>
      <c r="W2560" s="28" t="n">
        <v>2835</v>
      </c>
      <c r="X2560" s="28" t="n">
        <v>733</v>
      </c>
      <c r="Y2560" s="28" t="n">
        <v>6597</v>
      </c>
      <c r="Z2560" s="28"/>
      <c r="AA2560" s="28" t="n">
        <f aca="false">Z2560*$M2560</f>
        <v>0</v>
      </c>
      <c r="AB2560" s="28" t="n">
        <v>162</v>
      </c>
      <c r="AC2560" s="28" t="n">
        <v>1458</v>
      </c>
      <c r="AD2560" s="28"/>
      <c r="AE2560" s="28" t="n">
        <f aca="false">AD2560*$M2560</f>
        <v>0</v>
      </c>
      <c r="AF2560" s="28"/>
      <c r="AG2560" s="28" t="n">
        <f aca="false">AF2560*$M2560</f>
        <v>0</v>
      </c>
      <c r="AH2560" s="28"/>
      <c r="AI2560" s="28" t="n">
        <f aca="false">AH2560*$M2560</f>
        <v>0</v>
      </c>
      <c r="AJ2560" s="28"/>
      <c r="AK2560" s="28" t="n">
        <f aca="false">AJ2560*$M2560</f>
        <v>0</v>
      </c>
      <c r="AL2560" s="28"/>
      <c r="AM2560" s="28" t="n">
        <f aca="false">AL2560*$M2560</f>
        <v>0</v>
      </c>
      <c r="AN2560" s="28"/>
      <c r="AO2560" s="28" t="n">
        <f aca="false">AN2560*$M2560</f>
        <v>0</v>
      </c>
      <c r="AP2560" s="28"/>
      <c r="AQ2560" s="28" t="n">
        <f aca="false">AP2560*$M2560</f>
        <v>0</v>
      </c>
      <c r="AR2560" s="28"/>
      <c r="AS2560" s="28" t="n">
        <f aca="false">AR2560*$M2560</f>
        <v>0</v>
      </c>
      <c r="AT2560" s="28"/>
      <c r="AU2560" s="28" t="n">
        <f aca="false">AT2560*$M2560</f>
        <v>0</v>
      </c>
      <c r="AV2560" s="28"/>
      <c r="AW2560" s="28" t="n">
        <f aca="false">AV2560*$M2560</f>
        <v>0</v>
      </c>
      <c r="AX2560" s="28"/>
      <c r="AY2560" s="28" t="n">
        <f aca="false">AX2560*$M2560</f>
        <v>0</v>
      </c>
      <c r="AZ2560" s="30" t="n">
        <f aca="false">1559</f>
        <v>1559</v>
      </c>
      <c r="BA2560" s="11" t="n">
        <v>14031</v>
      </c>
      <c r="BB2560" s="31" t="n">
        <f aca="false">SUM(Q2560,S2560,U2560,W2560,Y2560,AA2560,AC2560,AE2560,AG2560,AI2560,AK2560,AM2560,AO2560,AQ2560,AS2560,AU2560,AW2560,AY2560)</f>
        <v>14031</v>
      </c>
      <c r="BC2560" s="28" t="n">
        <f aca="false">BA2560-BB2560</f>
        <v>0</v>
      </c>
      <c r="BD2560" s="32" t="n">
        <f aca="false">SUM(P2560,R2560,T2560,V2560,X2560,Z2560,AB2560,AD2560,AF2560,AH2560,AJ2560,AL2560,AN2560,AP2560,AR2560,AT2560,AV2560,AX2560)</f>
        <v>1559</v>
      </c>
      <c r="BE2560" s="33" t="n">
        <f aca="false">AZ2560-BD2560</f>
        <v>0</v>
      </c>
      <c r="BF2560" s="34" t="n">
        <f aca="false">BD2560*M2560</f>
        <v>14031</v>
      </c>
      <c r="BG2560" s="35" t="n">
        <f aca="false">BA2560-BF2560</f>
        <v>0</v>
      </c>
      <c r="BH2560" s="19" t="str">
        <f aca="false">IF(BG2560=0,"",IF(BG2560&lt;&gt;BA2560,"erreur de calcul",IF(BD2560&lt;&gt;0,"pas de prix",IF(M2560&lt;&gt; 0,"pas de quantité","pas de prix, ni de quantité"))))</f>
        <v/>
      </c>
      <c r="BI2560" s="19"/>
    </row>
    <row r="2561" customFormat="false" ht="15" hidden="false" customHeight="false" outlineLevel="0" collapsed="false">
      <c r="A2561" s="0" t="n">
        <v>25</v>
      </c>
      <c r="B2561" s="8" t="s">
        <v>24</v>
      </c>
      <c r="C2561" s="9" t="s">
        <v>25</v>
      </c>
      <c r="D2561" s="9" t="s">
        <v>26</v>
      </c>
      <c r="E2561" s="10" t="n">
        <v>1789</v>
      </c>
      <c r="F2561" s="9" t="s">
        <v>27</v>
      </c>
      <c r="G2561" s="9" t="s">
        <v>27</v>
      </c>
      <c r="H2561" s="11" t="n">
        <v>21</v>
      </c>
      <c r="I2561" s="11" t="s">
        <v>178</v>
      </c>
      <c r="J2561" s="14" t="n">
        <v>125</v>
      </c>
      <c r="K2561" s="14"/>
      <c r="L2561" s="16"/>
      <c r="M2561" s="27" t="n">
        <f aca="false">J2561+(K2561/20)+(L2561/240)</f>
        <v>125</v>
      </c>
      <c r="N2561" s="17" t="s">
        <v>64</v>
      </c>
      <c r="O2561" s="11"/>
      <c r="P2561" s="28"/>
      <c r="Q2561" s="28" t="n">
        <f aca="false">P2561*$M2561</f>
        <v>0</v>
      </c>
      <c r="R2561" s="28"/>
      <c r="S2561" s="28" t="n">
        <f aca="false">R2561*$M2561</f>
        <v>0</v>
      </c>
      <c r="T2561" s="28"/>
      <c r="U2561" s="28" t="n">
        <f aca="false">T2561*$M2561</f>
        <v>0</v>
      </c>
      <c r="V2561" s="28" t="n">
        <f aca="false">10764/100</f>
        <v>107.64</v>
      </c>
      <c r="W2561" s="28" t="n">
        <v>13455</v>
      </c>
      <c r="X2561" s="28" t="n">
        <f aca="false">13215/100</f>
        <v>132.15</v>
      </c>
      <c r="Y2561" s="28" t="n">
        <v>16519</v>
      </c>
      <c r="Z2561" s="28"/>
      <c r="AA2561" s="28" t="n">
        <f aca="false">Z2561*$M2561</f>
        <v>0</v>
      </c>
      <c r="AB2561" s="28" t="n">
        <f aca="false">188461/100</f>
        <v>1884.61</v>
      </c>
      <c r="AC2561" s="28" t="n">
        <v>235576</v>
      </c>
      <c r="AD2561" s="28"/>
      <c r="AE2561" s="28" t="n">
        <f aca="false">AD2561*$M2561</f>
        <v>0</v>
      </c>
      <c r="AF2561" s="28"/>
      <c r="AG2561" s="28" t="n">
        <f aca="false">AF2561*$M2561</f>
        <v>0</v>
      </c>
      <c r="AH2561" s="28"/>
      <c r="AI2561" s="28" t="n">
        <f aca="false">AH2561*$M2561</f>
        <v>0</v>
      </c>
      <c r="AJ2561" s="28"/>
      <c r="AK2561" s="28" t="n">
        <f aca="false">AJ2561*$M2561</f>
        <v>0</v>
      </c>
      <c r="AL2561" s="28"/>
      <c r="AM2561" s="28" t="n">
        <f aca="false">AL2561*$M2561</f>
        <v>0</v>
      </c>
      <c r="AN2561" s="28"/>
      <c r="AO2561" s="28" t="n">
        <f aca="false">AN2561*$M2561</f>
        <v>0</v>
      </c>
      <c r="AP2561" s="28"/>
      <c r="AQ2561" s="28" t="n">
        <f aca="false">AP2561*$M2561</f>
        <v>0</v>
      </c>
      <c r="AR2561" s="28"/>
      <c r="AS2561" s="28" t="n">
        <f aca="false">AR2561*$M2561</f>
        <v>0</v>
      </c>
      <c r="AT2561" s="28"/>
      <c r="AU2561" s="28" t="n">
        <f aca="false">AT2561*$M2561</f>
        <v>0</v>
      </c>
      <c r="AV2561" s="28"/>
      <c r="AW2561" s="28" t="n">
        <f aca="false">AV2561*$M2561</f>
        <v>0</v>
      </c>
      <c r="AX2561" s="28"/>
      <c r="AY2561" s="28" t="n">
        <f aca="false">AX2561*$M2561</f>
        <v>0</v>
      </c>
      <c r="AZ2561" s="30" t="n">
        <f aca="false">212440/100</f>
        <v>2124.4</v>
      </c>
      <c r="BA2561" s="11" t="n">
        <v>265550</v>
      </c>
      <c r="BB2561" s="31" t="n">
        <f aca="false">SUM(Q2561,S2561,U2561,W2561,Y2561,AA2561,AC2561,AE2561,AG2561,AI2561,AK2561,AM2561,AO2561,AQ2561,AS2561,AU2561,AW2561,AY2561)</f>
        <v>265550</v>
      </c>
      <c r="BC2561" s="28" t="n">
        <f aca="false">BA2561-BB2561</f>
        <v>0</v>
      </c>
      <c r="BD2561" s="32" t="n">
        <f aca="false">SUM(P2561,R2561,T2561,V2561,X2561,Z2561,AB2561,AD2561,AF2561,AH2561,AJ2561,AL2561,AN2561,AP2561,AR2561,AT2561,AV2561,AX2561)</f>
        <v>2124.4</v>
      </c>
      <c r="BE2561" s="33" t="n">
        <f aca="false">AZ2561-BD2561</f>
        <v>0</v>
      </c>
      <c r="BF2561" s="34" t="n">
        <f aca="false">BD2561*M2561</f>
        <v>265550</v>
      </c>
      <c r="BG2561" s="35" t="n">
        <f aca="false">BA2561-BF2561</f>
        <v>0</v>
      </c>
      <c r="BH2561" s="19" t="str">
        <f aca="false">IF(BG2561=0,"",IF(BG2561&lt;&gt;BA2561,"erreur de calcul",IF(BD2561&lt;&gt;0,"pas de prix",IF(M2561&lt;&gt; 0,"pas de quantité","pas de prix, ni de quantité"))))</f>
        <v/>
      </c>
      <c r="BI2561" s="19"/>
    </row>
    <row r="2562" customFormat="false" ht="15" hidden="false" customHeight="false" outlineLevel="0" collapsed="false">
      <c r="A2562" s="0" t="n">
        <v>26</v>
      </c>
      <c r="B2562" s="8" t="s">
        <v>24</v>
      </c>
      <c r="C2562" s="9" t="s">
        <v>25</v>
      </c>
      <c r="D2562" s="9" t="s">
        <v>26</v>
      </c>
      <c r="E2562" s="10" t="n">
        <v>1789</v>
      </c>
      <c r="F2562" s="9" t="s">
        <v>27</v>
      </c>
      <c r="G2562" s="9" t="s">
        <v>27</v>
      </c>
      <c r="H2562" s="11" t="n">
        <v>21</v>
      </c>
      <c r="I2562" s="11" t="s">
        <v>179</v>
      </c>
      <c r="J2562" s="14" t="n">
        <v>7</v>
      </c>
      <c r="K2562" s="14"/>
      <c r="L2562" s="16"/>
      <c r="M2562" s="27" t="n">
        <f aca="false">J2562+(K2562/20)+(L2562/240)</f>
        <v>7</v>
      </c>
      <c r="N2562" s="17" t="s">
        <v>66</v>
      </c>
      <c r="O2562" s="11"/>
      <c r="P2562" s="28" t="n">
        <v>8441</v>
      </c>
      <c r="Q2562" s="28" t="n">
        <v>59087</v>
      </c>
      <c r="R2562" s="28"/>
      <c r="S2562" s="28" t="n">
        <f aca="false">R2562*$M2562</f>
        <v>0</v>
      </c>
      <c r="T2562" s="28"/>
      <c r="U2562" s="28" t="n">
        <f aca="false">T2562*$M2562</f>
        <v>0</v>
      </c>
      <c r="V2562" s="28"/>
      <c r="W2562" s="28" t="n">
        <f aca="false">V2562*$M2562</f>
        <v>0</v>
      </c>
      <c r="X2562" s="28"/>
      <c r="Y2562" s="28" t="n">
        <f aca="false">X2562*$M2562</f>
        <v>0</v>
      </c>
      <c r="Z2562" s="28" t="n">
        <v>357</v>
      </c>
      <c r="AA2562" s="28" t="n">
        <v>2499</v>
      </c>
      <c r="AB2562" s="28"/>
      <c r="AC2562" s="28" t="n">
        <f aca="false">AB2562*$M2562</f>
        <v>0</v>
      </c>
      <c r="AD2562" s="28"/>
      <c r="AE2562" s="28" t="n">
        <f aca="false">AD2562*$M2562</f>
        <v>0</v>
      </c>
      <c r="AF2562" s="28"/>
      <c r="AG2562" s="28" t="n">
        <f aca="false">AF2562*$M2562</f>
        <v>0</v>
      </c>
      <c r="AH2562" s="28"/>
      <c r="AI2562" s="28" t="n">
        <f aca="false">AH2562*$M2562</f>
        <v>0</v>
      </c>
      <c r="AJ2562" s="28"/>
      <c r="AK2562" s="28" t="n">
        <f aca="false">AJ2562*$M2562</f>
        <v>0</v>
      </c>
      <c r="AL2562" s="28"/>
      <c r="AM2562" s="28" t="n">
        <f aca="false">AL2562*$M2562</f>
        <v>0</v>
      </c>
      <c r="AN2562" s="28"/>
      <c r="AO2562" s="28" t="n">
        <f aca="false">AN2562*$M2562</f>
        <v>0</v>
      </c>
      <c r="AP2562" s="28"/>
      <c r="AQ2562" s="28" t="n">
        <f aca="false">AP2562*$M2562</f>
        <v>0</v>
      </c>
      <c r="AR2562" s="28"/>
      <c r="AS2562" s="28" t="n">
        <f aca="false">AR2562*$M2562</f>
        <v>0</v>
      </c>
      <c r="AT2562" s="28"/>
      <c r="AU2562" s="28" t="n">
        <f aca="false">AT2562*$M2562</f>
        <v>0</v>
      </c>
      <c r="AV2562" s="28"/>
      <c r="AW2562" s="28" t="n">
        <f aca="false">AV2562*$M2562</f>
        <v>0</v>
      </c>
      <c r="AX2562" s="28"/>
      <c r="AY2562" s="28" t="n">
        <f aca="false">AX2562*$M2562</f>
        <v>0</v>
      </c>
      <c r="AZ2562" s="30" t="n">
        <v>8798</v>
      </c>
      <c r="BA2562" s="11" t="n">
        <v>61586</v>
      </c>
      <c r="BB2562" s="31" t="n">
        <f aca="false">SUM(Q2562,S2562,U2562,W2562,Y2562,AA2562,AC2562,AE2562,AG2562,AI2562,AK2562,AM2562,AO2562,AQ2562,AS2562,AU2562,AW2562,AY2562)</f>
        <v>61586</v>
      </c>
      <c r="BC2562" s="28" t="n">
        <f aca="false">BA2562-BB2562</f>
        <v>0</v>
      </c>
      <c r="BD2562" s="32" t="n">
        <f aca="false">SUM(P2562,R2562,T2562,V2562,X2562,Z2562,AB2562,AD2562,AF2562,AH2562,AJ2562,AL2562,AN2562,AP2562,AR2562,AT2562,AV2562,AX2562)</f>
        <v>8798</v>
      </c>
      <c r="BE2562" s="33" t="n">
        <f aca="false">AZ2562-BD2562</f>
        <v>0</v>
      </c>
      <c r="BF2562" s="34" t="n">
        <f aca="false">BD2562*M2562</f>
        <v>61586</v>
      </c>
      <c r="BG2562" s="35" t="n">
        <f aca="false">BA2562-BF2562</f>
        <v>0</v>
      </c>
      <c r="BH2562" s="19" t="str">
        <f aca="false">IF(BG2562=0,"",IF(BG2562&lt;&gt;BA2562,"erreur de calcul",IF(BD2562&lt;&gt;0,"pas de prix",IF(M2562&lt;&gt; 0,"pas de quantité","pas de prix, ni de quantité"))))</f>
        <v/>
      </c>
      <c r="BI2562" s="19"/>
    </row>
    <row r="2563" customFormat="false" ht="15" hidden="false" customHeight="false" outlineLevel="0" collapsed="false">
      <c r="A2563" s="0" t="n">
        <v>27</v>
      </c>
      <c r="B2563" s="8" t="s">
        <v>24</v>
      </c>
      <c r="C2563" s="9" t="s">
        <v>25</v>
      </c>
      <c r="D2563" s="9" t="s">
        <v>26</v>
      </c>
      <c r="E2563" s="10" t="n">
        <v>1789</v>
      </c>
      <c r="F2563" s="9" t="s">
        <v>27</v>
      </c>
      <c r="G2563" s="9" t="s">
        <v>27</v>
      </c>
      <c r="H2563" s="11" t="n">
        <v>21</v>
      </c>
      <c r="I2563" s="11" t="s">
        <v>180</v>
      </c>
      <c r="J2563" s="14" t="n">
        <v>9</v>
      </c>
      <c r="K2563" s="14"/>
      <c r="L2563" s="16"/>
      <c r="M2563" s="27" t="n">
        <f aca="false">J2563+(K2563/20)+(L2563/240)</f>
        <v>9</v>
      </c>
      <c r="N2563" s="17" t="s">
        <v>64</v>
      </c>
      <c r="O2563" s="11"/>
      <c r="P2563" s="28" t="n">
        <f aca="false">22662/100</f>
        <v>226.62</v>
      </c>
      <c r="Q2563" s="28" t="n">
        <v>2039</v>
      </c>
      <c r="R2563" s="28"/>
      <c r="S2563" s="28" t="n">
        <f aca="false">R2563*$M2563</f>
        <v>0</v>
      </c>
      <c r="T2563" s="28"/>
      <c r="U2563" s="28" t="n">
        <f aca="false">T2563*$M2563</f>
        <v>0</v>
      </c>
      <c r="V2563" s="28"/>
      <c r="W2563" s="28" t="n">
        <f aca="false">V2563*$M2563</f>
        <v>0</v>
      </c>
      <c r="X2563" s="28"/>
      <c r="Y2563" s="28" t="n">
        <f aca="false">X2563*$M2563</f>
        <v>0</v>
      </c>
      <c r="Z2563" s="28"/>
      <c r="AA2563" s="28" t="n">
        <f aca="false">Z2563*$M2563</f>
        <v>0</v>
      </c>
      <c r="AB2563" s="28"/>
      <c r="AC2563" s="28" t="n">
        <f aca="false">AB2563*$M2563</f>
        <v>0</v>
      </c>
      <c r="AD2563" s="28"/>
      <c r="AE2563" s="28" t="n">
        <f aca="false">AD2563*$M2563</f>
        <v>0</v>
      </c>
      <c r="AF2563" s="28"/>
      <c r="AG2563" s="28" t="n">
        <f aca="false">AF2563*$M2563</f>
        <v>0</v>
      </c>
      <c r="AH2563" s="28"/>
      <c r="AI2563" s="28" t="n">
        <f aca="false">AH2563*$M2563</f>
        <v>0</v>
      </c>
      <c r="AJ2563" s="28"/>
      <c r="AK2563" s="28" t="n">
        <f aca="false">AJ2563*$M2563</f>
        <v>0</v>
      </c>
      <c r="AL2563" s="28"/>
      <c r="AM2563" s="28" t="n">
        <f aca="false">AL2563*$M2563</f>
        <v>0</v>
      </c>
      <c r="AN2563" s="28"/>
      <c r="AO2563" s="28" t="n">
        <f aca="false">AN2563*$M2563</f>
        <v>0</v>
      </c>
      <c r="AP2563" s="28"/>
      <c r="AQ2563" s="28" t="n">
        <f aca="false">AP2563*$M2563</f>
        <v>0</v>
      </c>
      <c r="AR2563" s="28"/>
      <c r="AS2563" s="28" t="n">
        <f aca="false">AR2563*$M2563</f>
        <v>0</v>
      </c>
      <c r="AT2563" s="28"/>
      <c r="AU2563" s="28" t="n">
        <f aca="false">AT2563*$M2563</f>
        <v>0</v>
      </c>
      <c r="AV2563" s="28"/>
      <c r="AW2563" s="28" t="n">
        <f aca="false">AV2563*$M2563</f>
        <v>0</v>
      </c>
      <c r="AX2563" s="28"/>
      <c r="AY2563" s="28" t="n">
        <f aca="false">AX2563*$M2563</f>
        <v>0</v>
      </c>
      <c r="AZ2563" s="30" t="n">
        <f aca="false">22662/100</f>
        <v>226.62</v>
      </c>
      <c r="BA2563" s="11" t="n">
        <v>2039</v>
      </c>
      <c r="BB2563" s="31" t="n">
        <f aca="false">SUM(Q2563,S2563,U2563,W2563,Y2563,AA2563,AC2563,AE2563,AG2563,AI2563,AK2563,AM2563,AO2563,AQ2563,AS2563,AU2563,AW2563,AY2563)</f>
        <v>2039</v>
      </c>
      <c r="BC2563" s="28" t="n">
        <f aca="false">BA2563-BB2563</f>
        <v>0</v>
      </c>
      <c r="BD2563" s="32" t="n">
        <f aca="false">SUM(P2563,R2563,T2563,V2563,X2563,Z2563,AB2563,AD2563,AF2563,AH2563,AJ2563,AL2563,AN2563,AP2563,AR2563,AT2563,AV2563,AX2563)</f>
        <v>226.62</v>
      </c>
      <c r="BE2563" s="33" t="n">
        <f aca="false">AZ2563-BD2563</f>
        <v>0</v>
      </c>
      <c r="BF2563" s="34" t="n">
        <f aca="false">BD2563*M2563</f>
        <v>2039.58</v>
      </c>
      <c r="BG2563" s="35" t="n">
        <f aca="false">BA2563-BF2563</f>
        <v>-0.579999999999927</v>
      </c>
      <c r="BH2563" s="19" t="str">
        <f aca="false">IF(BG2563=0,"",IF(BG2563&lt;&gt;BA2563,"erreur de calcul",IF(BD2563&lt;&gt;0,"pas de prix",IF(M2563&lt;&gt; 0,"pas de quantité","pas de prix, ni de quantité"))))</f>
        <v>erreur de calcul</v>
      </c>
      <c r="BI2563" s="19"/>
    </row>
    <row r="2564" customFormat="false" ht="15" hidden="false" customHeight="false" outlineLevel="0" collapsed="false">
      <c r="A2564" s="0" t="n">
        <v>28</v>
      </c>
      <c r="B2564" s="8" t="s">
        <v>24</v>
      </c>
      <c r="C2564" s="9" t="s">
        <v>25</v>
      </c>
      <c r="D2564" s="9" t="s">
        <v>26</v>
      </c>
      <c r="E2564" s="10" t="n">
        <v>1789</v>
      </c>
      <c r="F2564" s="9" t="s">
        <v>27</v>
      </c>
      <c r="G2564" s="9" t="s">
        <v>27</v>
      </c>
      <c r="H2564" s="11" t="n">
        <v>21</v>
      </c>
      <c r="I2564" s="11" t="s">
        <v>181</v>
      </c>
      <c r="J2564" s="14" t="n">
        <v>8</v>
      </c>
      <c r="K2564" s="14" t="n">
        <v>10</v>
      </c>
      <c r="L2564" s="16"/>
      <c r="M2564" s="27" t="n">
        <f aca="false">J2564+(K2564/20)+(L2564/240)</f>
        <v>8.5</v>
      </c>
      <c r="N2564" s="17" t="s">
        <v>66</v>
      </c>
      <c r="O2564" s="11"/>
      <c r="P2564" s="28" t="n">
        <v>1770</v>
      </c>
      <c r="Q2564" s="28" t="n">
        <v>15045</v>
      </c>
      <c r="R2564" s="28"/>
      <c r="S2564" s="28" t="n">
        <f aca="false">R2564*$M2564</f>
        <v>0</v>
      </c>
      <c r="T2564" s="28"/>
      <c r="U2564" s="28" t="n">
        <f aca="false">T2564*$M2564</f>
        <v>0</v>
      </c>
      <c r="V2564" s="28"/>
      <c r="W2564" s="28" t="n">
        <f aca="false">V2564*$M2564</f>
        <v>0</v>
      </c>
      <c r="X2564" s="28"/>
      <c r="Y2564" s="28" t="n">
        <f aca="false">X2564*$M2564</f>
        <v>0</v>
      </c>
      <c r="Z2564" s="28"/>
      <c r="AA2564" s="28" t="n">
        <f aca="false">Z2564*$M2564</f>
        <v>0</v>
      </c>
      <c r="AB2564" s="28"/>
      <c r="AC2564" s="28" t="n">
        <f aca="false">AB2564*$M2564</f>
        <v>0</v>
      </c>
      <c r="AD2564" s="28"/>
      <c r="AE2564" s="28" t="n">
        <f aca="false">AD2564*$M2564</f>
        <v>0</v>
      </c>
      <c r="AF2564" s="28"/>
      <c r="AG2564" s="28" t="n">
        <f aca="false">AF2564*$M2564</f>
        <v>0</v>
      </c>
      <c r="AH2564" s="28" t="n">
        <v>323</v>
      </c>
      <c r="AI2564" s="28" t="n">
        <v>2745</v>
      </c>
      <c r="AJ2564" s="28"/>
      <c r="AK2564" s="28" t="n">
        <f aca="false">AJ2564*$M2564</f>
        <v>0</v>
      </c>
      <c r="AL2564" s="28"/>
      <c r="AM2564" s="28" t="n">
        <f aca="false">AL2564*$M2564</f>
        <v>0</v>
      </c>
      <c r="AN2564" s="28"/>
      <c r="AO2564" s="28" t="n">
        <f aca="false">AN2564*$M2564</f>
        <v>0</v>
      </c>
      <c r="AP2564" s="28"/>
      <c r="AQ2564" s="28" t="n">
        <f aca="false">AP2564*$M2564</f>
        <v>0</v>
      </c>
      <c r="AR2564" s="28"/>
      <c r="AS2564" s="28" t="n">
        <f aca="false">AR2564*$M2564</f>
        <v>0</v>
      </c>
      <c r="AT2564" s="28"/>
      <c r="AU2564" s="28" t="n">
        <f aca="false">AT2564*$M2564</f>
        <v>0</v>
      </c>
      <c r="AV2564" s="28"/>
      <c r="AW2564" s="28" t="n">
        <f aca="false">AV2564*$M2564</f>
        <v>0</v>
      </c>
      <c r="AX2564" s="28"/>
      <c r="AY2564" s="28" t="n">
        <f aca="false">AX2564*$M2564</f>
        <v>0</v>
      </c>
      <c r="AZ2564" s="30" t="n">
        <v>2093</v>
      </c>
      <c r="BA2564" s="11" t="n">
        <v>17790</v>
      </c>
      <c r="BB2564" s="31" t="n">
        <f aca="false">SUM(Q2564,S2564,U2564,W2564,Y2564,AA2564,AC2564,AE2564,AG2564,AI2564,AK2564,AM2564,AO2564,AQ2564,AS2564,AU2564,AW2564,AY2564)</f>
        <v>17790</v>
      </c>
      <c r="BC2564" s="28" t="n">
        <f aca="false">BA2564-BB2564</f>
        <v>0</v>
      </c>
      <c r="BD2564" s="32" t="n">
        <f aca="false">SUM(P2564,R2564,T2564,V2564,X2564,Z2564,AB2564,AD2564,AF2564,AH2564,AJ2564,AL2564,AN2564,AP2564,AR2564,AT2564,AV2564,AX2564)</f>
        <v>2093</v>
      </c>
      <c r="BE2564" s="33" t="n">
        <f aca="false">AZ2564-BD2564</f>
        <v>0</v>
      </c>
      <c r="BF2564" s="34" t="n">
        <f aca="false">BD2564*M2564</f>
        <v>17790.5</v>
      </c>
      <c r="BG2564" s="35" t="n">
        <f aca="false">BA2564-BF2564</f>
        <v>-0.5</v>
      </c>
      <c r="BH2564" s="19" t="str">
        <f aca="false">IF(BG2564=0,"",IF(BG2564&lt;&gt;BA2564,"erreur de calcul",IF(BD2564&lt;&gt;0,"pas de prix",IF(M2564&lt;&gt; 0,"pas de quantité","pas de prix, ni de quantité"))))</f>
        <v>erreur de calcul</v>
      </c>
      <c r="BI2564" s="19"/>
    </row>
    <row r="2565" customFormat="false" ht="15" hidden="false" customHeight="false" outlineLevel="0" collapsed="false">
      <c r="A2565" s="0" t="n">
        <v>29</v>
      </c>
      <c r="B2565" s="8" t="s">
        <v>24</v>
      </c>
      <c r="C2565" s="9" t="s">
        <v>25</v>
      </c>
      <c r="D2565" s="9" t="s">
        <v>26</v>
      </c>
      <c r="E2565" s="10" t="n">
        <v>1789</v>
      </c>
      <c r="F2565" s="9" t="s">
        <v>27</v>
      </c>
      <c r="G2565" s="9" t="s">
        <v>27</v>
      </c>
      <c r="H2565" s="11" t="n">
        <v>21</v>
      </c>
      <c r="I2565" s="11" t="s">
        <v>182</v>
      </c>
      <c r="J2565" s="14" t="n">
        <v>24</v>
      </c>
      <c r="K2565" s="14"/>
      <c r="L2565" s="16"/>
      <c r="M2565" s="27" t="n">
        <f aca="false">J2565+(K2565/20)+(L2565/240)</f>
        <v>24</v>
      </c>
      <c r="N2565" s="17" t="s">
        <v>66</v>
      </c>
      <c r="O2565" s="11"/>
      <c r="P2565" s="28" t="n">
        <v>478</v>
      </c>
      <c r="Q2565" s="28" t="n">
        <v>11472</v>
      </c>
      <c r="R2565" s="28"/>
      <c r="S2565" s="28" t="n">
        <f aca="false">R2565*$M2565</f>
        <v>0</v>
      </c>
      <c r="T2565" s="28" t="n">
        <v>38</v>
      </c>
      <c r="U2565" s="28" t="n">
        <v>912</v>
      </c>
      <c r="V2565" s="28"/>
      <c r="W2565" s="28" t="n">
        <f aca="false">V2565*$M2565</f>
        <v>0</v>
      </c>
      <c r="X2565" s="28"/>
      <c r="Y2565" s="28" t="n">
        <f aca="false">X2565*$M2565</f>
        <v>0</v>
      </c>
      <c r="Z2565" s="28"/>
      <c r="AA2565" s="28" t="n">
        <f aca="false">Z2565*$M2565</f>
        <v>0</v>
      </c>
      <c r="AB2565" s="28"/>
      <c r="AC2565" s="28" t="n">
        <f aca="false">AB2565*$M2565</f>
        <v>0</v>
      </c>
      <c r="AD2565" s="28"/>
      <c r="AE2565" s="28" t="n">
        <f aca="false">AD2565*$M2565</f>
        <v>0</v>
      </c>
      <c r="AF2565" s="28"/>
      <c r="AG2565" s="28" t="n">
        <f aca="false">AF2565*$M2565</f>
        <v>0</v>
      </c>
      <c r="AH2565" s="28"/>
      <c r="AI2565" s="28" t="n">
        <f aca="false">AH2565*$M2565</f>
        <v>0</v>
      </c>
      <c r="AJ2565" s="28"/>
      <c r="AK2565" s="28" t="n">
        <f aca="false">AJ2565*$M2565</f>
        <v>0</v>
      </c>
      <c r="AL2565" s="28"/>
      <c r="AM2565" s="28" t="n">
        <f aca="false">AL2565*$M2565</f>
        <v>0</v>
      </c>
      <c r="AN2565" s="28"/>
      <c r="AO2565" s="28" t="n">
        <f aca="false">AN2565*$M2565</f>
        <v>0</v>
      </c>
      <c r="AP2565" s="28"/>
      <c r="AQ2565" s="28" t="n">
        <f aca="false">AP2565*$M2565</f>
        <v>0</v>
      </c>
      <c r="AR2565" s="28"/>
      <c r="AS2565" s="28" t="n">
        <f aca="false">AR2565*$M2565</f>
        <v>0</v>
      </c>
      <c r="AT2565" s="28"/>
      <c r="AU2565" s="28" t="n">
        <f aca="false">AT2565*$M2565</f>
        <v>0</v>
      </c>
      <c r="AV2565" s="28"/>
      <c r="AW2565" s="28" t="n">
        <f aca="false">AV2565*$M2565</f>
        <v>0</v>
      </c>
      <c r="AX2565" s="28"/>
      <c r="AY2565" s="28" t="n">
        <f aca="false">AX2565*$M2565</f>
        <v>0</v>
      </c>
      <c r="AZ2565" s="30" t="n">
        <v>516</v>
      </c>
      <c r="BA2565" s="11" t="n">
        <v>12384</v>
      </c>
      <c r="BB2565" s="31" t="n">
        <f aca="false">SUM(Q2565,S2565,U2565,W2565,Y2565,AA2565,AC2565,AE2565,AG2565,AI2565,AK2565,AM2565,AO2565,AQ2565,AS2565,AU2565,AW2565,AY2565)</f>
        <v>12384</v>
      </c>
      <c r="BC2565" s="28" t="n">
        <f aca="false">BA2565-BB2565</f>
        <v>0</v>
      </c>
      <c r="BD2565" s="32" t="n">
        <f aca="false">SUM(P2565,R2565,T2565,V2565,X2565,Z2565,AB2565,AD2565,AF2565,AH2565,AJ2565,AL2565,AN2565,AP2565,AR2565,AT2565,AV2565,AX2565)</f>
        <v>516</v>
      </c>
      <c r="BE2565" s="33" t="n">
        <f aca="false">AZ2565-BD2565</f>
        <v>0</v>
      </c>
      <c r="BF2565" s="34" t="n">
        <f aca="false">BD2565*M2565</f>
        <v>12384</v>
      </c>
      <c r="BG2565" s="35" t="n">
        <f aca="false">BA2565-BF2565</f>
        <v>0</v>
      </c>
      <c r="BH2565" s="19" t="str">
        <f aca="false">IF(BG2565=0,"",IF(BG2565&lt;&gt;BA2565,"erreur de calcul",IF(BD2565&lt;&gt;0,"pas de prix",IF(M2565&lt;&gt; 0,"pas de quantité","pas de prix, ni de quantité"))))</f>
        <v/>
      </c>
      <c r="BI2565" s="19"/>
    </row>
    <row r="2566" customFormat="false" ht="15" hidden="false" customHeight="false" outlineLevel="0" collapsed="false">
      <c r="A2566" s="0" t="n">
        <v>30</v>
      </c>
      <c r="B2566" s="8" t="s">
        <v>24</v>
      </c>
      <c r="C2566" s="9" t="s">
        <v>25</v>
      </c>
      <c r="D2566" s="9" t="s">
        <v>26</v>
      </c>
      <c r="E2566" s="10" t="n">
        <v>1789</v>
      </c>
      <c r="F2566" s="9" t="s">
        <v>27</v>
      </c>
      <c r="G2566" s="9" t="s">
        <v>27</v>
      </c>
      <c r="H2566" s="11" t="n">
        <v>21</v>
      </c>
      <c r="I2566" s="11" t="s">
        <v>183</v>
      </c>
      <c r="J2566" s="14" t="n">
        <v>240</v>
      </c>
      <c r="K2566" s="14"/>
      <c r="L2566" s="16"/>
      <c r="M2566" s="27" t="n">
        <f aca="false">J2566+(K2566/20)+(L2566/240)</f>
        <v>240</v>
      </c>
      <c r="N2566" s="17" t="s">
        <v>64</v>
      </c>
      <c r="O2566" s="11"/>
      <c r="P2566" s="28" t="n">
        <f aca="false">52196/100</f>
        <v>521.96</v>
      </c>
      <c r="Q2566" s="28" t="n">
        <v>125270</v>
      </c>
      <c r="R2566" s="28" t="n">
        <f aca="false">29767/100</f>
        <v>297.67</v>
      </c>
      <c r="S2566" s="28" t="n">
        <v>71441</v>
      </c>
      <c r="T2566" s="28"/>
      <c r="U2566" s="28" t="n">
        <f aca="false">T2566*$M2566</f>
        <v>0</v>
      </c>
      <c r="V2566" s="28"/>
      <c r="W2566" s="28" t="n">
        <f aca="false">V2566*$M2566</f>
        <v>0</v>
      </c>
      <c r="X2566" s="28"/>
      <c r="Y2566" s="28" t="n">
        <f aca="false">X2566*$M2566</f>
        <v>0</v>
      </c>
      <c r="Z2566" s="28"/>
      <c r="AA2566" s="28" t="n">
        <f aca="false">Z2566*$M2566</f>
        <v>0</v>
      </c>
      <c r="AB2566" s="28"/>
      <c r="AC2566" s="28" t="n">
        <f aca="false">AB2566*$M2566</f>
        <v>0</v>
      </c>
      <c r="AD2566" s="28"/>
      <c r="AE2566" s="28" t="n">
        <f aca="false">AD2566*$M2566</f>
        <v>0</v>
      </c>
      <c r="AF2566" s="28"/>
      <c r="AG2566" s="28" t="n">
        <f aca="false">AF2566*$M2566</f>
        <v>0</v>
      </c>
      <c r="AH2566" s="28"/>
      <c r="AI2566" s="28" t="n">
        <f aca="false">AH2566*$M2566</f>
        <v>0</v>
      </c>
      <c r="AJ2566" s="28"/>
      <c r="AK2566" s="28" t="n">
        <f aca="false">AJ2566*$M2566</f>
        <v>0</v>
      </c>
      <c r="AL2566" s="28"/>
      <c r="AM2566" s="28" t="n">
        <f aca="false">AL2566*$M2566</f>
        <v>0</v>
      </c>
      <c r="AN2566" s="28"/>
      <c r="AO2566" s="28" t="n">
        <f aca="false">AN2566*$M2566</f>
        <v>0</v>
      </c>
      <c r="AP2566" s="28"/>
      <c r="AQ2566" s="28" t="n">
        <f aca="false">AP2566*$M2566</f>
        <v>0</v>
      </c>
      <c r="AR2566" s="28"/>
      <c r="AS2566" s="28" t="n">
        <f aca="false">AR2566*$M2566</f>
        <v>0</v>
      </c>
      <c r="AT2566" s="28"/>
      <c r="AU2566" s="28" t="n">
        <f aca="false">AT2566*$M2566</f>
        <v>0</v>
      </c>
      <c r="AV2566" s="28"/>
      <c r="AW2566" s="28" t="n">
        <f aca="false">AV2566*$M2566</f>
        <v>0</v>
      </c>
      <c r="AX2566" s="28"/>
      <c r="AY2566" s="28" t="n">
        <f aca="false">AX2566*$M2566</f>
        <v>0</v>
      </c>
      <c r="AZ2566" s="30" t="n">
        <f aca="false">81963/100</f>
        <v>819.63</v>
      </c>
      <c r="BA2566" s="11" t="n">
        <v>196711</v>
      </c>
      <c r="BB2566" s="31" t="n">
        <f aca="false">SUM(Q2566,S2566,U2566,W2566,Y2566,AA2566,AC2566,AE2566,AG2566,AI2566,AK2566,AM2566,AO2566,AQ2566,AS2566,AU2566,AW2566,AY2566)</f>
        <v>196711</v>
      </c>
      <c r="BC2566" s="28" t="n">
        <f aca="false">BA2566-BB2566</f>
        <v>0</v>
      </c>
      <c r="BD2566" s="32" t="n">
        <f aca="false">SUM(P2566,R2566,T2566,V2566,X2566,Z2566,AB2566,AD2566,AF2566,AH2566,AJ2566,AL2566,AN2566,AP2566,AR2566,AT2566,AV2566,AX2566)</f>
        <v>819.63</v>
      </c>
      <c r="BE2566" s="33" t="n">
        <f aca="false">AZ2566-BD2566</f>
        <v>0</v>
      </c>
      <c r="BF2566" s="34" t="n">
        <f aca="false">BD2566*M2566</f>
        <v>196711.2</v>
      </c>
      <c r="BG2566" s="35" t="n">
        <f aca="false">BA2566-BF2566</f>
        <v>-0.200000000011642</v>
      </c>
      <c r="BH2566" s="19" t="str">
        <f aca="false">IF(BG2566=0,"",IF(BG2566&lt;&gt;BA2566,"erreur de calcul",IF(BD2566&lt;&gt;0,"pas de prix",IF(M2566&lt;&gt; 0,"pas de quantité","pas de prix, ni de quantité"))))</f>
        <v>erreur de calcul</v>
      </c>
      <c r="BI2566" s="19"/>
    </row>
    <row r="2567" customFormat="false" ht="15" hidden="false" customHeight="false" outlineLevel="0" collapsed="false">
      <c r="A2567" s="0" t="n">
        <v>31</v>
      </c>
      <c r="B2567" s="8" t="s">
        <v>24</v>
      </c>
      <c r="C2567" s="9" t="s">
        <v>25</v>
      </c>
      <c r="D2567" s="9" t="s">
        <v>26</v>
      </c>
      <c r="E2567" s="10" t="n">
        <v>1789</v>
      </c>
      <c r="F2567" s="9" t="s">
        <v>27</v>
      </c>
      <c r="G2567" s="9" t="s">
        <v>27</v>
      </c>
      <c r="H2567" s="11" t="n">
        <v>21</v>
      </c>
      <c r="I2567" s="11" t="s">
        <v>184</v>
      </c>
      <c r="J2567" s="14" t="n">
        <v>13</v>
      </c>
      <c r="K2567" s="14"/>
      <c r="L2567" s="16"/>
      <c r="M2567" s="27" t="n">
        <f aca="false">J2567+(K2567/20)+(L2567/240)</f>
        <v>13</v>
      </c>
      <c r="N2567" s="17" t="s">
        <v>66</v>
      </c>
      <c r="O2567" s="11"/>
      <c r="P2567" s="28"/>
      <c r="Q2567" s="28" t="n">
        <f aca="false">P2567*$M2567</f>
        <v>0</v>
      </c>
      <c r="R2567" s="28"/>
      <c r="S2567" s="28" t="n">
        <f aca="false">R2567*$M2567</f>
        <v>0</v>
      </c>
      <c r="T2567" s="28"/>
      <c r="U2567" s="28" t="n">
        <f aca="false">T2567*$M2567</f>
        <v>0</v>
      </c>
      <c r="V2567" s="28"/>
      <c r="W2567" s="28" t="n">
        <f aca="false">V2567*$M2567</f>
        <v>0</v>
      </c>
      <c r="X2567" s="28"/>
      <c r="Y2567" s="28" t="n">
        <f aca="false">X2567*$M2567</f>
        <v>0</v>
      </c>
      <c r="Z2567" s="28"/>
      <c r="AA2567" s="28" t="n">
        <f aca="false">Z2567*$M2567</f>
        <v>0</v>
      </c>
      <c r="AB2567" s="28"/>
      <c r="AC2567" s="28" t="n">
        <f aca="false">AB2567*$M2567</f>
        <v>0</v>
      </c>
      <c r="AD2567" s="28"/>
      <c r="AE2567" s="28" t="n">
        <f aca="false">AD2567*$M2567</f>
        <v>0</v>
      </c>
      <c r="AF2567" s="28"/>
      <c r="AG2567" s="28" t="n">
        <f aca="false">AF2567*$M2567</f>
        <v>0</v>
      </c>
      <c r="AH2567" s="28" t="n">
        <v>354</v>
      </c>
      <c r="AI2567" s="28" t="n">
        <v>4602</v>
      </c>
      <c r="AJ2567" s="28"/>
      <c r="AK2567" s="28" t="n">
        <f aca="false">AJ2567*$M2567</f>
        <v>0</v>
      </c>
      <c r="AL2567" s="28"/>
      <c r="AM2567" s="28" t="n">
        <f aca="false">AL2567*$M2567</f>
        <v>0</v>
      </c>
      <c r="AN2567" s="28"/>
      <c r="AO2567" s="28" t="n">
        <f aca="false">AN2567*$M2567</f>
        <v>0</v>
      </c>
      <c r="AP2567" s="28"/>
      <c r="AQ2567" s="28" t="n">
        <f aca="false">AP2567*$M2567</f>
        <v>0</v>
      </c>
      <c r="AR2567" s="28"/>
      <c r="AS2567" s="28" t="n">
        <f aca="false">AR2567*$M2567</f>
        <v>0</v>
      </c>
      <c r="AT2567" s="28"/>
      <c r="AU2567" s="28" t="n">
        <f aca="false">AT2567*$M2567</f>
        <v>0</v>
      </c>
      <c r="AV2567" s="28"/>
      <c r="AW2567" s="28" t="n">
        <f aca="false">AV2567*$M2567</f>
        <v>0</v>
      </c>
      <c r="AX2567" s="28"/>
      <c r="AY2567" s="28" t="n">
        <f aca="false">AX2567*$M2567</f>
        <v>0</v>
      </c>
      <c r="AZ2567" s="30" t="n">
        <v>354</v>
      </c>
      <c r="BA2567" s="11" t="n">
        <v>4602</v>
      </c>
      <c r="BB2567" s="31" t="n">
        <f aca="false">SUM(Q2567,S2567,U2567,W2567,Y2567,AA2567,AC2567,AE2567,AG2567,AI2567,AK2567,AM2567,AO2567,AQ2567,AS2567,AU2567,AW2567,AY2567)</f>
        <v>4602</v>
      </c>
      <c r="BC2567" s="28" t="n">
        <f aca="false">BA2567-BB2567</f>
        <v>0</v>
      </c>
      <c r="BD2567" s="32" t="n">
        <f aca="false">SUM(P2567,R2567,T2567,V2567,X2567,Z2567,AB2567,AD2567,AF2567,AH2567,AJ2567,AL2567,AN2567,AP2567,AR2567,AT2567,AV2567,AX2567)</f>
        <v>354</v>
      </c>
      <c r="BE2567" s="33" t="n">
        <f aca="false">AZ2567-BD2567</f>
        <v>0</v>
      </c>
      <c r="BF2567" s="34" t="n">
        <f aca="false">BD2567*M2567</f>
        <v>4602</v>
      </c>
      <c r="BG2567" s="35" t="n">
        <f aca="false">BA2567-BF2567</f>
        <v>0</v>
      </c>
      <c r="BH2567" s="19" t="str">
        <f aca="false">IF(BG2567=0,"",IF(BG2567&lt;&gt;BA2567,"erreur de calcul",IF(BD2567&lt;&gt;0,"pas de prix",IF(M2567&lt;&gt; 0,"pas de quantité","pas de prix, ni de quantité"))))</f>
        <v/>
      </c>
      <c r="BI2567" s="19"/>
    </row>
    <row r="2568" customFormat="false" ht="15" hidden="false" customHeight="false" outlineLevel="0" collapsed="false">
      <c r="A2568" s="0" t="n">
        <v>32</v>
      </c>
      <c r="B2568" s="8" t="s">
        <v>24</v>
      </c>
      <c r="C2568" s="9" t="s">
        <v>25</v>
      </c>
      <c r="D2568" s="9" t="s">
        <v>26</v>
      </c>
      <c r="E2568" s="10" t="n">
        <v>1789</v>
      </c>
      <c r="F2568" s="9" t="s">
        <v>27</v>
      </c>
      <c r="G2568" s="9" t="s">
        <v>27</v>
      </c>
      <c r="H2568" s="11" t="n">
        <v>21</v>
      </c>
      <c r="I2568" s="11" t="s">
        <v>185</v>
      </c>
      <c r="J2568" s="14" t="n">
        <v>245</v>
      </c>
      <c r="K2568" s="14"/>
      <c r="L2568" s="16"/>
      <c r="M2568" s="27" t="n">
        <f aca="false">J2568+(K2568/20)+(L2568/240)</f>
        <v>245</v>
      </c>
      <c r="N2568" s="17" t="s">
        <v>64</v>
      </c>
      <c r="O2568" s="11"/>
      <c r="P2568" s="28"/>
      <c r="Q2568" s="28" t="n">
        <f aca="false">P2568*$M2568</f>
        <v>0</v>
      </c>
      <c r="R2568" s="28"/>
      <c r="S2568" s="28" t="n">
        <f aca="false">R2568*$M2568</f>
        <v>0</v>
      </c>
      <c r="T2568" s="28"/>
      <c r="U2568" s="28" t="n">
        <f aca="false">T2568*$M2568</f>
        <v>0</v>
      </c>
      <c r="V2568" s="28" t="n">
        <f aca="false">720/100</f>
        <v>7.2</v>
      </c>
      <c r="W2568" s="28" t="n">
        <v>1764</v>
      </c>
      <c r="X2568" s="28" t="n">
        <f aca="false">40366/100</f>
        <v>403.66</v>
      </c>
      <c r="Y2568" s="28" t="n">
        <v>98897</v>
      </c>
      <c r="Z2568" s="28"/>
      <c r="AA2568" s="28" t="n">
        <f aca="false">Z2568*$M2568</f>
        <v>0</v>
      </c>
      <c r="AB2568" s="28"/>
      <c r="AC2568" s="28" t="n">
        <f aca="false">AB2568*$M2568</f>
        <v>0</v>
      </c>
      <c r="AD2568" s="28"/>
      <c r="AE2568" s="28" t="n">
        <f aca="false">AD2568*$M2568</f>
        <v>0</v>
      </c>
      <c r="AF2568" s="28"/>
      <c r="AG2568" s="28" t="n">
        <f aca="false">AF2568*$M2568</f>
        <v>0</v>
      </c>
      <c r="AH2568" s="28" t="n">
        <f aca="false">83243/100</f>
        <v>832.43</v>
      </c>
      <c r="AI2568" s="28" t="n">
        <v>203945</v>
      </c>
      <c r="AJ2568" s="28"/>
      <c r="AK2568" s="28" t="n">
        <f aca="false">AJ2568*$M2568</f>
        <v>0</v>
      </c>
      <c r="AL2568" s="28"/>
      <c r="AM2568" s="28" t="n">
        <f aca="false">AL2568*$M2568</f>
        <v>0</v>
      </c>
      <c r="AN2568" s="28"/>
      <c r="AO2568" s="28" t="n">
        <f aca="false">AN2568*$M2568</f>
        <v>0</v>
      </c>
      <c r="AP2568" s="28"/>
      <c r="AQ2568" s="28" t="n">
        <f aca="false">AP2568*$M2568</f>
        <v>0</v>
      </c>
      <c r="AR2568" s="28"/>
      <c r="AS2568" s="28" t="n">
        <f aca="false">AR2568*$M2568</f>
        <v>0</v>
      </c>
      <c r="AT2568" s="28"/>
      <c r="AU2568" s="28" t="n">
        <f aca="false">AT2568*$M2568</f>
        <v>0</v>
      </c>
      <c r="AV2568" s="28"/>
      <c r="AW2568" s="28" t="n">
        <f aca="false">AV2568*$M2568</f>
        <v>0</v>
      </c>
      <c r="AX2568" s="28"/>
      <c r="AY2568" s="28" t="n">
        <f aca="false">AX2568*$M2568</f>
        <v>0</v>
      </c>
      <c r="AZ2568" s="30" t="n">
        <f aca="false">124329/100</f>
        <v>1243.29</v>
      </c>
      <c r="BA2568" s="11" t="n">
        <v>304606</v>
      </c>
      <c r="BB2568" s="31" t="n">
        <f aca="false">SUM(Q2568,S2568,U2568,W2568,Y2568,AA2568,AC2568,AE2568,AG2568,AI2568,AK2568,AM2568,AO2568,AQ2568,AS2568,AU2568,AW2568,AY2568)</f>
        <v>304606</v>
      </c>
      <c r="BC2568" s="28" t="n">
        <f aca="false">BA2568-BB2568</f>
        <v>0</v>
      </c>
      <c r="BD2568" s="32" t="n">
        <f aca="false">SUM(P2568,R2568,T2568,V2568,X2568,Z2568,AB2568,AD2568,AF2568,AH2568,AJ2568,AL2568,AN2568,AP2568,AR2568,AT2568,AV2568,AX2568)</f>
        <v>1243.29</v>
      </c>
      <c r="BE2568" s="33" t="n">
        <f aca="false">AZ2568-BD2568</f>
        <v>0</v>
      </c>
      <c r="BF2568" s="34" t="n">
        <f aca="false">BD2568*M2568</f>
        <v>304606.05</v>
      </c>
      <c r="BG2568" s="35" t="n">
        <f aca="false">BA2568-BF2568</f>
        <v>-0.0499999999883585</v>
      </c>
      <c r="BH2568" s="19" t="str">
        <f aca="false">IF(BG2568=0,"",IF(BG2568&lt;&gt;BA2568,"erreur de calcul",IF(BD2568&lt;&gt;0,"pas de prix",IF(M2568&lt;&gt; 0,"pas de quantité","pas de prix, ni de quantité"))))</f>
        <v>erreur de calcul</v>
      </c>
      <c r="BI2568" s="19"/>
    </row>
    <row r="2569" customFormat="false" ht="15" hidden="false" customHeight="false" outlineLevel="0" collapsed="false">
      <c r="A2569" s="0" t="n">
        <v>33</v>
      </c>
      <c r="B2569" s="8" t="s">
        <v>24</v>
      </c>
      <c r="C2569" s="9" t="s">
        <v>25</v>
      </c>
      <c r="D2569" s="9" t="s">
        <v>26</v>
      </c>
      <c r="E2569" s="10" t="n">
        <v>1789</v>
      </c>
      <c r="F2569" s="9" t="s">
        <v>27</v>
      </c>
      <c r="G2569" s="9" t="s">
        <v>27</v>
      </c>
      <c r="H2569" s="11" t="n">
        <v>21</v>
      </c>
      <c r="I2569" s="11" t="s">
        <v>186</v>
      </c>
      <c r="J2569" s="14" t="n">
        <v>240</v>
      </c>
      <c r="K2569" s="14"/>
      <c r="L2569" s="16"/>
      <c r="M2569" s="27" t="n">
        <f aca="false">J2569+(K2569/20)+(L2569/240)</f>
        <v>240</v>
      </c>
      <c r="N2569" s="17" t="s">
        <v>64</v>
      </c>
      <c r="O2569" s="11"/>
      <c r="P2569" s="28"/>
      <c r="Q2569" s="28" t="n">
        <f aca="false">P2569*$M2569</f>
        <v>0</v>
      </c>
      <c r="R2569" s="28"/>
      <c r="S2569" s="28" t="n">
        <f aca="false">R2569*$M2569</f>
        <v>0</v>
      </c>
      <c r="T2569" s="28"/>
      <c r="U2569" s="28" t="n">
        <f aca="false">T2569*$M2569</f>
        <v>0</v>
      </c>
      <c r="V2569" s="28"/>
      <c r="W2569" s="28" t="n">
        <f aca="false">V2569*$M2569</f>
        <v>0</v>
      </c>
      <c r="X2569" s="28"/>
      <c r="Y2569" s="28" t="n">
        <f aca="false">X2569*$M2569</f>
        <v>0</v>
      </c>
      <c r="Z2569" s="28"/>
      <c r="AA2569" s="28" t="n">
        <f aca="false">Z2569*$M2569</f>
        <v>0</v>
      </c>
      <c r="AB2569" s="28"/>
      <c r="AC2569" s="28" t="n">
        <f aca="false">AB2569*$M2569</f>
        <v>0</v>
      </c>
      <c r="AD2569" s="28"/>
      <c r="AE2569" s="28" t="n">
        <f aca="false">AD2569*$M2569</f>
        <v>0</v>
      </c>
      <c r="AF2569" s="28"/>
      <c r="AG2569" s="28" t="n">
        <f aca="false">AF2569*$M2569</f>
        <v>0</v>
      </c>
      <c r="AH2569" s="28" t="n">
        <f aca="false">803/100</f>
        <v>8.03</v>
      </c>
      <c r="AI2569" s="28" t="n">
        <v>1927</v>
      </c>
      <c r="AJ2569" s="28"/>
      <c r="AK2569" s="28" t="n">
        <f aca="false">AJ2569*$M2569</f>
        <v>0</v>
      </c>
      <c r="AL2569" s="28"/>
      <c r="AM2569" s="28" t="n">
        <f aca="false">AL2569*$M2569</f>
        <v>0</v>
      </c>
      <c r="AN2569" s="28"/>
      <c r="AO2569" s="28" t="n">
        <f aca="false">AN2569*$M2569</f>
        <v>0</v>
      </c>
      <c r="AP2569" s="28"/>
      <c r="AQ2569" s="28" t="n">
        <f aca="false">AP2569*$M2569</f>
        <v>0</v>
      </c>
      <c r="AR2569" s="28"/>
      <c r="AS2569" s="28" t="n">
        <f aca="false">AR2569*$M2569</f>
        <v>0</v>
      </c>
      <c r="AT2569" s="28"/>
      <c r="AU2569" s="28" t="n">
        <f aca="false">AT2569*$M2569</f>
        <v>0</v>
      </c>
      <c r="AV2569" s="28"/>
      <c r="AW2569" s="28" t="n">
        <f aca="false">AV2569*$M2569</f>
        <v>0</v>
      </c>
      <c r="AX2569" s="28"/>
      <c r="AY2569" s="28" t="n">
        <f aca="false">AX2569*$M2569</f>
        <v>0</v>
      </c>
      <c r="AZ2569" s="30" t="n">
        <f aca="false">803/100</f>
        <v>8.03</v>
      </c>
      <c r="BA2569" s="11" t="n">
        <v>1927</v>
      </c>
      <c r="BB2569" s="31" t="n">
        <f aca="false">SUM(Q2569,S2569,U2569,W2569,Y2569,AA2569,AC2569,AE2569,AG2569,AI2569,AK2569,AM2569,AO2569,AQ2569,AS2569,AU2569,AW2569,AY2569)</f>
        <v>1927</v>
      </c>
      <c r="BC2569" s="28" t="n">
        <f aca="false">BA2569-BB2569</f>
        <v>0</v>
      </c>
      <c r="BD2569" s="32" t="n">
        <f aca="false">SUM(P2569,R2569,T2569,V2569,X2569,Z2569,AB2569,AD2569,AF2569,AH2569,AJ2569,AL2569,AN2569,AP2569,AR2569,AT2569,AV2569,AX2569)</f>
        <v>8.03</v>
      </c>
      <c r="BE2569" s="33" t="n">
        <f aca="false">AZ2569-BD2569</f>
        <v>0</v>
      </c>
      <c r="BF2569" s="34" t="n">
        <f aca="false">BD2569*M2569</f>
        <v>1927.2</v>
      </c>
      <c r="BG2569" s="35" t="n">
        <f aca="false">BA2569-BF2569</f>
        <v>-0.199999999999818</v>
      </c>
      <c r="BH2569" s="19" t="str">
        <f aca="false">IF(BG2569=0,"",IF(BG2569&lt;&gt;BA2569,"erreur de calcul",IF(BD2569&lt;&gt;0,"pas de prix",IF(M2569&lt;&gt; 0,"pas de quantité","pas de prix, ni de quantité"))))</f>
        <v>erreur de calcul</v>
      </c>
      <c r="BI2569" s="19"/>
    </row>
    <row r="2570" customFormat="false" ht="15" hidden="false" customHeight="false" outlineLevel="0" collapsed="false">
      <c r="A2570" s="0" t="n">
        <v>34</v>
      </c>
      <c r="B2570" s="8" t="s">
        <v>24</v>
      </c>
      <c r="C2570" s="9" t="s">
        <v>25</v>
      </c>
      <c r="D2570" s="9" t="s">
        <v>26</v>
      </c>
      <c r="E2570" s="10" t="n">
        <v>1789</v>
      </c>
      <c r="F2570" s="9" t="s">
        <v>27</v>
      </c>
      <c r="G2570" s="9" t="s">
        <v>27</v>
      </c>
      <c r="H2570" s="11" t="n">
        <v>21</v>
      </c>
      <c r="I2570" s="11" t="s">
        <v>187</v>
      </c>
      <c r="J2570" s="14" t="n">
        <v>45</v>
      </c>
      <c r="K2570" s="14"/>
      <c r="L2570" s="16"/>
      <c r="M2570" s="27" t="n">
        <f aca="false">J2570+(K2570/20)+(L2570/240)</f>
        <v>45</v>
      </c>
      <c r="N2570" s="17" t="s">
        <v>64</v>
      </c>
      <c r="O2570" s="11"/>
      <c r="P2570" s="28" t="n">
        <f aca="false">8827/100</f>
        <v>88.27</v>
      </c>
      <c r="Q2570" s="28" t="n">
        <v>3972</v>
      </c>
      <c r="R2570" s="28"/>
      <c r="S2570" s="28" t="n">
        <f aca="false">R2570*$M2570</f>
        <v>0</v>
      </c>
      <c r="T2570" s="28"/>
      <c r="U2570" s="28" t="n">
        <f aca="false">T2570*$M2570</f>
        <v>0</v>
      </c>
      <c r="V2570" s="28" t="n">
        <f aca="false">8951/100</f>
        <v>89.51</v>
      </c>
      <c r="W2570" s="28" t="n">
        <v>4028</v>
      </c>
      <c r="X2570" s="28" t="n">
        <f aca="false">49106/100</f>
        <v>491.06</v>
      </c>
      <c r="Y2570" s="28" t="n">
        <v>22098</v>
      </c>
      <c r="Z2570" s="28"/>
      <c r="AA2570" s="28" t="n">
        <f aca="false">Z2570*$M2570</f>
        <v>0</v>
      </c>
      <c r="AB2570" s="28" t="n">
        <f aca="false">313412/100</f>
        <v>3134.12</v>
      </c>
      <c r="AC2570" s="28" t="n">
        <v>141035</v>
      </c>
      <c r="AD2570" s="28"/>
      <c r="AE2570" s="28" t="n">
        <f aca="false">AD2570*$M2570</f>
        <v>0</v>
      </c>
      <c r="AF2570" s="28"/>
      <c r="AG2570" s="28" t="n">
        <f aca="false">AF2570*$M2570</f>
        <v>0</v>
      </c>
      <c r="AH2570" s="28"/>
      <c r="AI2570" s="28" t="n">
        <f aca="false">AH2570*$M2570</f>
        <v>0</v>
      </c>
      <c r="AJ2570" s="28"/>
      <c r="AK2570" s="28" t="n">
        <f aca="false">AJ2570*$M2570</f>
        <v>0</v>
      </c>
      <c r="AL2570" s="28"/>
      <c r="AM2570" s="28" t="n">
        <f aca="false">AL2570*$M2570</f>
        <v>0</v>
      </c>
      <c r="AN2570" s="28"/>
      <c r="AO2570" s="28" t="n">
        <f aca="false">AN2570*$M2570</f>
        <v>0</v>
      </c>
      <c r="AP2570" s="28"/>
      <c r="AQ2570" s="28" t="n">
        <f aca="false">AP2570*$M2570</f>
        <v>0</v>
      </c>
      <c r="AR2570" s="28"/>
      <c r="AS2570" s="28" t="n">
        <f aca="false">AR2570*$M2570</f>
        <v>0</v>
      </c>
      <c r="AT2570" s="28"/>
      <c r="AU2570" s="28" t="n">
        <f aca="false">AT2570*$M2570</f>
        <v>0</v>
      </c>
      <c r="AV2570" s="28"/>
      <c r="AW2570" s="28" t="n">
        <f aca="false">AV2570*$M2570</f>
        <v>0</v>
      </c>
      <c r="AX2570" s="28"/>
      <c r="AY2570" s="28" t="n">
        <f aca="false">AX2570*$M2570</f>
        <v>0</v>
      </c>
      <c r="AZ2570" s="30" t="n">
        <f aca="false">380296/100</f>
        <v>3802.96</v>
      </c>
      <c r="BA2570" s="11" t="n">
        <v>171133</v>
      </c>
      <c r="BB2570" s="31" t="n">
        <f aca="false">SUM(Q2570,S2570,U2570,W2570,Y2570,AA2570,AC2570,AE2570,AG2570,AI2570,AK2570,AM2570,AO2570,AQ2570,AS2570,AU2570,AW2570,AY2570)</f>
        <v>171133</v>
      </c>
      <c r="BC2570" s="28" t="n">
        <f aca="false">BA2570-BB2570</f>
        <v>0</v>
      </c>
      <c r="BD2570" s="32" t="n">
        <f aca="false">SUM(P2570,R2570,T2570,V2570,X2570,Z2570,AB2570,AD2570,AF2570,AH2570,AJ2570,AL2570,AN2570,AP2570,AR2570,AT2570,AV2570,AX2570)</f>
        <v>3802.96</v>
      </c>
      <c r="BE2570" s="33" t="n">
        <f aca="false">AZ2570-BD2570</f>
        <v>0</v>
      </c>
      <c r="BF2570" s="34" t="n">
        <f aca="false">BD2570*M2570</f>
        <v>171133.2</v>
      </c>
      <c r="BG2570" s="35" t="n">
        <f aca="false">BA2570-BF2570</f>
        <v>-0.200000000011642</v>
      </c>
      <c r="BH2570" s="19" t="str">
        <f aca="false">IF(BG2570=0,"",IF(BG2570&lt;&gt;BA2570,"erreur de calcul",IF(BD2570&lt;&gt;0,"pas de prix",IF(M2570&lt;&gt; 0,"pas de quantité","pas de prix, ni de quantité"))))</f>
        <v>erreur de calcul</v>
      </c>
      <c r="BI2570" s="19"/>
    </row>
    <row r="2571" customFormat="false" ht="15" hidden="false" customHeight="false" outlineLevel="0" collapsed="false">
      <c r="A2571" s="0" t="n">
        <v>35</v>
      </c>
      <c r="B2571" s="8" t="s">
        <v>24</v>
      </c>
      <c r="C2571" s="9" t="s">
        <v>25</v>
      </c>
      <c r="D2571" s="9" t="s">
        <v>26</v>
      </c>
      <c r="E2571" s="10" t="n">
        <v>1789</v>
      </c>
      <c r="F2571" s="9" t="s">
        <v>27</v>
      </c>
      <c r="G2571" s="9" t="s">
        <v>27</v>
      </c>
      <c r="H2571" s="11" t="n">
        <v>21</v>
      </c>
      <c r="I2571" s="11" t="s">
        <v>188</v>
      </c>
      <c r="J2571" s="14" t="n">
        <v>60</v>
      </c>
      <c r="K2571" s="14"/>
      <c r="L2571" s="16"/>
      <c r="M2571" s="27" t="n">
        <f aca="false">J2571+(K2571/20)+(L2571/240)</f>
        <v>60</v>
      </c>
      <c r="N2571" s="17" t="s">
        <v>64</v>
      </c>
      <c r="O2571" s="11"/>
      <c r="P2571" s="28"/>
      <c r="Q2571" s="28" t="n">
        <f aca="false">P2571*$M2571</f>
        <v>0</v>
      </c>
      <c r="R2571" s="28"/>
      <c r="S2571" s="28" t="n">
        <f aca="false">R2571*$M2571</f>
        <v>0</v>
      </c>
      <c r="T2571" s="28"/>
      <c r="U2571" s="28" t="n">
        <f aca="false">T2571*$M2571</f>
        <v>0</v>
      </c>
      <c r="V2571" s="28"/>
      <c r="W2571" s="28" t="n">
        <f aca="false">V2571*$M2571</f>
        <v>0</v>
      </c>
      <c r="X2571" s="28"/>
      <c r="Y2571" s="28" t="n">
        <f aca="false">X2571*$M2571</f>
        <v>0</v>
      </c>
      <c r="Z2571" s="28"/>
      <c r="AA2571" s="28" t="n">
        <f aca="false">Z2571*$M2571</f>
        <v>0</v>
      </c>
      <c r="AB2571" s="28"/>
      <c r="AC2571" s="28" t="n">
        <f aca="false">AB2571*$M2571</f>
        <v>0</v>
      </c>
      <c r="AD2571" s="28"/>
      <c r="AE2571" s="28" t="n">
        <f aca="false">AD2571*$M2571</f>
        <v>0</v>
      </c>
      <c r="AF2571" s="28"/>
      <c r="AG2571" s="28" t="n">
        <f aca="false">AF2571*$M2571</f>
        <v>0</v>
      </c>
      <c r="AH2571" s="28" t="n">
        <f aca="false">6391/100</f>
        <v>63.91</v>
      </c>
      <c r="AI2571" s="28" t="n">
        <v>3835</v>
      </c>
      <c r="AJ2571" s="28"/>
      <c r="AK2571" s="28" t="n">
        <f aca="false">AJ2571*$M2571</f>
        <v>0</v>
      </c>
      <c r="AL2571" s="28"/>
      <c r="AM2571" s="28" t="n">
        <f aca="false">AL2571*$M2571</f>
        <v>0</v>
      </c>
      <c r="AN2571" s="28"/>
      <c r="AO2571" s="28" t="n">
        <f aca="false">AN2571*$M2571</f>
        <v>0</v>
      </c>
      <c r="AP2571" s="28"/>
      <c r="AQ2571" s="28" t="n">
        <f aca="false">AP2571*$M2571</f>
        <v>0</v>
      </c>
      <c r="AR2571" s="28"/>
      <c r="AS2571" s="28" t="n">
        <f aca="false">AR2571*$M2571</f>
        <v>0</v>
      </c>
      <c r="AT2571" s="28"/>
      <c r="AU2571" s="28" t="n">
        <f aca="false">AT2571*$M2571</f>
        <v>0</v>
      </c>
      <c r="AV2571" s="28"/>
      <c r="AW2571" s="28" t="n">
        <f aca="false">AV2571*$M2571</f>
        <v>0</v>
      </c>
      <c r="AX2571" s="28"/>
      <c r="AY2571" s="28" t="n">
        <f aca="false">AX2571*$M2571</f>
        <v>0</v>
      </c>
      <c r="AZ2571" s="30" t="n">
        <f aca="false">6391/100</f>
        <v>63.91</v>
      </c>
      <c r="BA2571" s="11" t="n">
        <v>3835</v>
      </c>
      <c r="BB2571" s="31" t="n">
        <f aca="false">SUM(Q2571,S2571,U2571,W2571,Y2571,AA2571,AC2571,AE2571,AG2571,AI2571,AK2571,AM2571,AO2571,AQ2571,AS2571,AU2571,AW2571,AY2571)</f>
        <v>3835</v>
      </c>
      <c r="BC2571" s="28" t="n">
        <f aca="false">BA2571-BB2571</f>
        <v>0</v>
      </c>
      <c r="BD2571" s="32" t="n">
        <f aca="false">SUM(P2571,R2571,T2571,V2571,X2571,Z2571,AB2571,AD2571,AF2571,AH2571,AJ2571,AL2571,AN2571,AP2571,AR2571,AT2571,AV2571,AX2571)</f>
        <v>63.91</v>
      </c>
      <c r="BE2571" s="33" t="n">
        <f aca="false">AZ2571-BD2571</f>
        <v>0</v>
      </c>
      <c r="BF2571" s="34" t="n">
        <f aca="false">BD2571*M2571</f>
        <v>3834.6</v>
      </c>
      <c r="BG2571" s="35" t="n">
        <f aca="false">BA2571-BF2571</f>
        <v>0.400000000000091</v>
      </c>
      <c r="BH2571" s="19" t="str">
        <f aca="false">IF(BG2571=0,"",IF(BG2571&lt;&gt;BA2571,"erreur de calcul",IF(BD2571&lt;&gt;0,"pas de prix",IF(M2571&lt;&gt; 0,"pas de quantité","pas de prix, ni de quantité"))))</f>
        <v>erreur de calcul</v>
      </c>
      <c r="BI2571" s="19"/>
    </row>
    <row r="2572" customFormat="false" ht="15" hidden="false" customHeight="false" outlineLevel="0" collapsed="false">
      <c r="A2572" s="0" t="n">
        <v>36</v>
      </c>
      <c r="B2572" s="8" t="s">
        <v>24</v>
      </c>
      <c r="C2572" s="9" t="s">
        <v>25</v>
      </c>
      <c r="D2572" s="9" t="s">
        <v>26</v>
      </c>
      <c r="E2572" s="10" t="n">
        <v>1789</v>
      </c>
      <c r="F2572" s="9" t="s">
        <v>27</v>
      </c>
      <c r="G2572" s="9" t="s">
        <v>27</v>
      </c>
      <c r="H2572" s="11" t="n">
        <v>21</v>
      </c>
      <c r="I2572" s="11" t="s">
        <v>189</v>
      </c>
      <c r="J2572" s="14" t="n">
        <v>30</v>
      </c>
      <c r="K2572" s="14"/>
      <c r="L2572" s="16"/>
      <c r="M2572" s="27" t="n">
        <f aca="false">J2572+(K2572/20)+(L2572/240)</f>
        <v>30</v>
      </c>
      <c r="N2572" s="17" t="s">
        <v>66</v>
      </c>
      <c r="O2572" s="11"/>
      <c r="P2572" s="28"/>
      <c r="Q2572" s="28" t="n">
        <f aca="false">P2572*$M2572</f>
        <v>0</v>
      </c>
      <c r="R2572" s="28"/>
      <c r="S2572" s="28" t="n">
        <f aca="false">R2572*$M2572</f>
        <v>0</v>
      </c>
      <c r="T2572" s="28"/>
      <c r="U2572" s="28" t="n">
        <f aca="false">T2572*$M2572</f>
        <v>0</v>
      </c>
      <c r="V2572" s="28" t="n">
        <v>146</v>
      </c>
      <c r="W2572" s="28" t="n">
        <v>4380</v>
      </c>
      <c r="X2572" s="28"/>
      <c r="Y2572" s="28" t="n">
        <f aca="false">X2572*$M2572</f>
        <v>0</v>
      </c>
      <c r="Z2572" s="28"/>
      <c r="AA2572" s="28" t="n">
        <f aca="false">Z2572*$M2572</f>
        <v>0</v>
      </c>
      <c r="AB2572" s="28"/>
      <c r="AC2572" s="28" t="n">
        <f aca="false">AB2572*$M2572</f>
        <v>0</v>
      </c>
      <c r="AD2572" s="28"/>
      <c r="AE2572" s="28" t="n">
        <f aca="false">AD2572*$M2572</f>
        <v>0</v>
      </c>
      <c r="AF2572" s="28"/>
      <c r="AG2572" s="28" t="n">
        <f aca="false">AF2572*$M2572</f>
        <v>0</v>
      </c>
      <c r="AH2572" s="28"/>
      <c r="AI2572" s="28" t="n">
        <f aca="false">AH2572*$M2572</f>
        <v>0</v>
      </c>
      <c r="AJ2572" s="28"/>
      <c r="AK2572" s="28" t="n">
        <f aca="false">AJ2572*$M2572</f>
        <v>0</v>
      </c>
      <c r="AL2572" s="28"/>
      <c r="AM2572" s="28" t="n">
        <f aca="false">AL2572*$M2572</f>
        <v>0</v>
      </c>
      <c r="AN2572" s="28"/>
      <c r="AO2572" s="28" t="n">
        <f aca="false">AN2572*$M2572</f>
        <v>0</v>
      </c>
      <c r="AP2572" s="28"/>
      <c r="AQ2572" s="28" t="n">
        <f aca="false">AP2572*$M2572</f>
        <v>0</v>
      </c>
      <c r="AR2572" s="28"/>
      <c r="AS2572" s="28" t="n">
        <f aca="false">AR2572*$M2572</f>
        <v>0</v>
      </c>
      <c r="AT2572" s="28"/>
      <c r="AU2572" s="28" t="n">
        <f aca="false">AT2572*$M2572</f>
        <v>0</v>
      </c>
      <c r="AV2572" s="28"/>
      <c r="AW2572" s="28" t="n">
        <f aca="false">AV2572*$M2572</f>
        <v>0</v>
      </c>
      <c r="AX2572" s="28"/>
      <c r="AY2572" s="28" t="n">
        <f aca="false">AX2572*$M2572</f>
        <v>0</v>
      </c>
      <c r="AZ2572" s="30" t="n">
        <v>146</v>
      </c>
      <c r="BA2572" s="11" t="n">
        <v>4380</v>
      </c>
      <c r="BB2572" s="31" t="n">
        <f aca="false">SUM(Q2572,S2572,U2572,W2572,Y2572,AA2572,AC2572,AE2572,AG2572,AI2572,AK2572,AM2572,AO2572,AQ2572,AS2572,AU2572,AW2572,AY2572)</f>
        <v>4380</v>
      </c>
      <c r="BC2572" s="28" t="n">
        <f aca="false">BA2572-BB2572</f>
        <v>0</v>
      </c>
      <c r="BD2572" s="32" t="n">
        <f aca="false">SUM(P2572,R2572,T2572,V2572,X2572,Z2572,AB2572,AD2572,AF2572,AH2572,AJ2572,AL2572,AN2572,AP2572,AR2572,AT2572,AV2572,AX2572)</f>
        <v>146</v>
      </c>
      <c r="BE2572" s="33" t="n">
        <f aca="false">AZ2572-BD2572</f>
        <v>0</v>
      </c>
      <c r="BF2572" s="34" t="n">
        <f aca="false">BD2572*M2572</f>
        <v>4380</v>
      </c>
      <c r="BG2572" s="35" t="n">
        <f aca="false">BA2572-BF2572</f>
        <v>0</v>
      </c>
      <c r="BH2572" s="19" t="str">
        <f aca="false">IF(BG2572=0,"",IF(BG2572&lt;&gt;BA2572,"erreur de calcul",IF(BD2572&lt;&gt;0,"pas de prix",IF(M2572&lt;&gt; 0,"pas de quantité","pas de prix, ni de quantité"))))</f>
        <v/>
      </c>
      <c r="BI2572" s="19"/>
    </row>
    <row r="2573" customFormat="false" ht="15" hidden="false" customHeight="false" outlineLevel="0" collapsed="false">
      <c r="A2573" s="0" t="n">
        <v>37</v>
      </c>
      <c r="B2573" s="8" t="s">
        <v>24</v>
      </c>
      <c r="C2573" s="9" t="s">
        <v>25</v>
      </c>
      <c r="D2573" s="9" t="s">
        <v>26</v>
      </c>
      <c r="E2573" s="10" t="n">
        <v>1789</v>
      </c>
      <c r="F2573" s="9" t="s">
        <v>27</v>
      </c>
      <c r="G2573" s="9" t="s">
        <v>27</v>
      </c>
      <c r="H2573" s="11" t="n">
        <v>21</v>
      </c>
      <c r="I2573" s="11" t="s">
        <v>190</v>
      </c>
      <c r="J2573" s="14" t="n">
        <v>3</v>
      </c>
      <c r="K2573" s="14"/>
      <c r="L2573" s="16"/>
      <c r="M2573" s="27" t="n">
        <f aca="false">J2573+(K2573/20)+(L2573/240)</f>
        <v>3</v>
      </c>
      <c r="N2573" s="17" t="s">
        <v>66</v>
      </c>
      <c r="O2573" s="11"/>
      <c r="P2573" s="28"/>
      <c r="Q2573" s="28" t="n">
        <f aca="false">P2573*$M2573</f>
        <v>0</v>
      </c>
      <c r="R2573" s="28"/>
      <c r="S2573" s="28" t="n">
        <f aca="false">R2573*$M2573</f>
        <v>0</v>
      </c>
      <c r="T2573" s="28"/>
      <c r="U2573" s="28" t="n">
        <f aca="false">T2573*$M2573</f>
        <v>0</v>
      </c>
      <c r="V2573" s="28" t="n">
        <v>284</v>
      </c>
      <c r="W2573" s="28" t="n">
        <v>852</v>
      </c>
      <c r="X2573" s="28" t="n">
        <v>8028</v>
      </c>
      <c r="Y2573" s="28" t="n">
        <v>24084</v>
      </c>
      <c r="Z2573" s="28"/>
      <c r="AA2573" s="28" t="n">
        <f aca="false">Z2573*$M2573</f>
        <v>0</v>
      </c>
      <c r="AB2573" s="28"/>
      <c r="AC2573" s="28" t="n">
        <f aca="false">AB2573*$M2573</f>
        <v>0</v>
      </c>
      <c r="AD2573" s="28"/>
      <c r="AE2573" s="28" t="n">
        <f aca="false">AD2573*$M2573</f>
        <v>0</v>
      </c>
      <c r="AF2573" s="28"/>
      <c r="AG2573" s="28" t="n">
        <f aca="false">AF2573*$M2573</f>
        <v>0</v>
      </c>
      <c r="AH2573" s="28"/>
      <c r="AI2573" s="28" t="n">
        <f aca="false">AH2573*$M2573</f>
        <v>0</v>
      </c>
      <c r="AJ2573" s="28"/>
      <c r="AK2573" s="28" t="n">
        <f aca="false">AJ2573*$M2573</f>
        <v>0</v>
      </c>
      <c r="AL2573" s="28" t="n">
        <v>2127</v>
      </c>
      <c r="AM2573" s="28" t="n">
        <v>6381</v>
      </c>
      <c r="AN2573" s="28"/>
      <c r="AO2573" s="28" t="n">
        <f aca="false">AN2573*$M2573</f>
        <v>0</v>
      </c>
      <c r="AP2573" s="28"/>
      <c r="AQ2573" s="28" t="n">
        <f aca="false">AP2573*$M2573</f>
        <v>0</v>
      </c>
      <c r="AR2573" s="28"/>
      <c r="AS2573" s="28" t="n">
        <f aca="false">AR2573*$M2573</f>
        <v>0</v>
      </c>
      <c r="AT2573" s="28"/>
      <c r="AU2573" s="28" t="n">
        <f aca="false">AT2573*$M2573</f>
        <v>0</v>
      </c>
      <c r="AV2573" s="28"/>
      <c r="AW2573" s="28" t="n">
        <f aca="false">AV2573*$M2573</f>
        <v>0</v>
      </c>
      <c r="AX2573" s="28"/>
      <c r="AY2573" s="28" t="n">
        <f aca="false">AX2573*$M2573</f>
        <v>0</v>
      </c>
      <c r="AZ2573" s="30" t="n">
        <v>10439</v>
      </c>
      <c r="BA2573" s="11" t="n">
        <v>31317</v>
      </c>
      <c r="BB2573" s="31" t="n">
        <f aca="false">SUM(Q2573,S2573,U2573,W2573,Y2573,AA2573,AC2573,AE2573,AG2573,AI2573,AK2573,AM2573,AO2573,AQ2573,AS2573,AU2573,AW2573,AY2573)</f>
        <v>31317</v>
      </c>
      <c r="BC2573" s="28" t="n">
        <f aca="false">BA2573-BB2573</f>
        <v>0</v>
      </c>
      <c r="BD2573" s="32" t="n">
        <f aca="false">SUM(P2573,R2573,T2573,V2573,X2573,Z2573,AB2573,AD2573,AF2573,AH2573,AJ2573,AL2573,AN2573,AP2573,AR2573,AT2573,AV2573,AX2573)</f>
        <v>10439</v>
      </c>
      <c r="BE2573" s="33" t="n">
        <f aca="false">AZ2573-BD2573</f>
        <v>0</v>
      </c>
      <c r="BF2573" s="34" t="n">
        <f aca="false">BD2573*M2573</f>
        <v>31317</v>
      </c>
      <c r="BG2573" s="35" t="n">
        <f aca="false">BA2573-BF2573</f>
        <v>0</v>
      </c>
      <c r="BH2573" s="19" t="str">
        <f aca="false">IF(BG2573=0,"",IF(BG2573&lt;&gt;BA2573,"erreur de calcul",IF(BD2573&lt;&gt;0,"pas de prix",IF(M2573&lt;&gt; 0,"pas de quantité","pas de prix, ni de quantité"))))</f>
        <v/>
      </c>
      <c r="BI2573" s="19"/>
    </row>
    <row r="2574" customFormat="false" ht="15" hidden="false" customHeight="false" outlineLevel="0" collapsed="false">
      <c r="A2574" s="0" t="n">
        <v>38</v>
      </c>
      <c r="B2574" s="8" t="s">
        <v>24</v>
      </c>
      <c r="C2574" s="9" t="s">
        <v>25</v>
      </c>
      <c r="D2574" s="9" t="s">
        <v>26</v>
      </c>
      <c r="E2574" s="10" t="n">
        <v>1789</v>
      </c>
      <c r="F2574" s="9" t="s">
        <v>27</v>
      </c>
      <c r="G2574" s="9" t="s">
        <v>27</v>
      </c>
      <c r="H2574" s="11" t="n">
        <v>21</v>
      </c>
      <c r="I2574" s="11" t="s">
        <v>191</v>
      </c>
      <c r="J2574" s="14" t="n">
        <v>25</v>
      </c>
      <c r="K2574" s="14"/>
      <c r="L2574" s="16"/>
      <c r="M2574" s="27" t="n">
        <f aca="false">J2574+(K2574/20)+(L2574/240)</f>
        <v>25</v>
      </c>
      <c r="N2574" s="17" t="s">
        <v>64</v>
      </c>
      <c r="O2574" s="11"/>
      <c r="P2574" s="28"/>
      <c r="Q2574" s="28" t="n">
        <f aca="false">P2574*$M2574</f>
        <v>0</v>
      </c>
      <c r="R2574" s="28"/>
      <c r="S2574" s="28" t="n">
        <f aca="false">R2574*$M2574</f>
        <v>0</v>
      </c>
      <c r="T2574" s="28"/>
      <c r="U2574" s="28" t="n">
        <f aca="false">T2574*$M2574</f>
        <v>0</v>
      </c>
      <c r="V2574" s="28"/>
      <c r="W2574" s="28" t="n">
        <f aca="false">V2574*$M2574</f>
        <v>0</v>
      </c>
      <c r="X2574" s="28" t="n">
        <f aca="false">5034/100</f>
        <v>50.34</v>
      </c>
      <c r="Y2574" s="28" t="n">
        <v>1258</v>
      </c>
      <c r="Z2574" s="28"/>
      <c r="AA2574" s="28" t="n">
        <f aca="false">Z2574*$M2574</f>
        <v>0</v>
      </c>
      <c r="AB2574" s="28"/>
      <c r="AC2574" s="28" t="n">
        <f aca="false">AB2574*$M2574</f>
        <v>0</v>
      </c>
      <c r="AD2574" s="28"/>
      <c r="AE2574" s="28" t="n">
        <f aca="false">AD2574*$M2574</f>
        <v>0</v>
      </c>
      <c r="AF2574" s="28"/>
      <c r="AG2574" s="28" t="n">
        <f aca="false">AF2574*$M2574</f>
        <v>0</v>
      </c>
      <c r="AH2574" s="28"/>
      <c r="AI2574" s="28" t="n">
        <f aca="false">AH2574*$M2574</f>
        <v>0</v>
      </c>
      <c r="AJ2574" s="28" t="n">
        <f aca="false">1375/100</f>
        <v>13.75</v>
      </c>
      <c r="AK2574" s="28" t="n">
        <v>344</v>
      </c>
      <c r="AL2574" s="28" t="n">
        <f aca="false">6710/100</f>
        <v>67.1</v>
      </c>
      <c r="AM2574" s="28" t="n">
        <v>1677</v>
      </c>
      <c r="AN2574" s="28"/>
      <c r="AO2574" s="28" t="n">
        <f aca="false">AN2574*$M2574</f>
        <v>0</v>
      </c>
      <c r="AP2574" s="28"/>
      <c r="AQ2574" s="28" t="n">
        <f aca="false">AP2574*$M2574</f>
        <v>0</v>
      </c>
      <c r="AR2574" s="28"/>
      <c r="AS2574" s="28" t="n">
        <f aca="false">AR2574*$M2574</f>
        <v>0</v>
      </c>
      <c r="AT2574" s="28"/>
      <c r="AU2574" s="28" t="n">
        <f aca="false">AT2574*$M2574</f>
        <v>0</v>
      </c>
      <c r="AV2574" s="28"/>
      <c r="AW2574" s="28" t="n">
        <f aca="false">AV2574*$M2574</f>
        <v>0</v>
      </c>
      <c r="AX2574" s="28"/>
      <c r="AY2574" s="28" t="n">
        <f aca="false">AX2574*$M2574</f>
        <v>0</v>
      </c>
      <c r="AZ2574" s="30" t="n">
        <f aca="false">13119/100</f>
        <v>131.19</v>
      </c>
      <c r="BA2574" s="11" t="n">
        <v>3279</v>
      </c>
      <c r="BB2574" s="31" t="n">
        <f aca="false">SUM(Q2574,S2574,U2574,W2574,Y2574,AA2574,AC2574,AE2574,AG2574,AI2574,AK2574,AM2574,AO2574,AQ2574,AS2574,AU2574,AW2574,AY2574)</f>
        <v>3279</v>
      </c>
      <c r="BC2574" s="28" t="n">
        <f aca="false">BA2574-BB2574</f>
        <v>0</v>
      </c>
      <c r="BD2574" s="32" t="n">
        <f aca="false">SUM(P2574,R2574,T2574,V2574,X2574,Z2574,AB2574,AD2574,AF2574,AH2574,AJ2574,AL2574,AN2574,AP2574,AR2574,AT2574,AV2574,AX2574)</f>
        <v>131.19</v>
      </c>
      <c r="BE2574" s="33" t="n">
        <f aca="false">AZ2574-BD2574</f>
        <v>0</v>
      </c>
      <c r="BF2574" s="34" t="n">
        <f aca="false">BD2574*M2574</f>
        <v>3279.75</v>
      </c>
      <c r="BG2574" s="35" t="n">
        <f aca="false">BA2574-BF2574</f>
        <v>-0.75</v>
      </c>
      <c r="BH2574" s="19" t="str">
        <f aca="false">IF(BG2574=0,"",IF(BG2574&lt;&gt;BA2574,"erreur de calcul",IF(BD2574&lt;&gt;0,"pas de prix",IF(M2574&lt;&gt; 0,"pas de quantité","pas de prix, ni de quantité"))))</f>
        <v>erreur de calcul</v>
      </c>
      <c r="BI2574" s="19"/>
    </row>
    <row r="2575" customFormat="false" ht="15" hidden="false" customHeight="false" outlineLevel="0" collapsed="false">
      <c r="A2575" s="0" t="n">
        <v>39</v>
      </c>
      <c r="B2575" s="8" t="s">
        <v>24</v>
      </c>
      <c r="C2575" s="9" t="s">
        <v>25</v>
      </c>
      <c r="D2575" s="9" t="s">
        <v>26</v>
      </c>
      <c r="E2575" s="10" t="n">
        <v>1789</v>
      </c>
      <c r="F2575" s="9" t="s">
        <v>27</v>
      </c>
      <c r="G2575" s="9" t="s">
        <v>27</v>
      </c>
      <c r="H2575" s="11" t="n">
        <v>21</v>
      </c>
      <c r="I2575" s="11" t="s">
        <v>192</v>
      </c>
      <c r="J2575" s="14" t="n">
        <v>25</v>
      </c>
      <c r="K2575" s="14"/>
      <c r="L2575" s="16"/>
      <c r="M2575" s="27" t="n">
        <f aca="false">J2575+(K2575/20)+(L2575/240)</f>
        <v>25</v>
      </c>
      <c r="N2575" s="17" t="s">
        <v>64</v>
      </c>
      <c r="O2575" s="11"/>
      <c r="P2575" s="28"/>
      <c r="Q2575" s="28" t="n">
        <f aca="false">P2575*$M2575</f>
        <v>0</v>
      </c>
      <c r="R2575" s="28"/>
      <c r="S2575" s="28" t="n">
        <f aca="false">R2575*$M2575</f>
        <v>0</v>
      </c>
      <c r="T2575" s="28"/>
      <c r="U2575" s="28" t="n">
        <f aca="false">T2575*$M2575</f>
        <v>0</v>
      </c>
      <c r="V2575" s="28"/>
      <c r="W2575" s="28" t="n">
        <f aca="false">V2575*$M2575</f>
        <v>0</v>
      </c>
      <c r="X2575" s="28" t="n">
        <f aca="false">5561/100</f>
        <v>55.61</v>
      </c>
      <c r="Y2575" s="28" t="n">
        <v>1390</v>
      </c>
      <c r="Z2575" s="28"/>
      <c r="AA2575" s="28" t="n">
        <f aca="false">Z2575*$M2575</f>
        <v>0</v>
      </c>
      <c r="AB2575" s="28"/>
      <c r="AC2575" s="28" t="n">
        <f aca="false">AB2575*$M2575</f>
        <v>0</v>
      </c>
      <c r="AD2575" s="28"/>
      <c r="AE2575" s="28" t="n">
        <f aca="false">AD2575*$M2575</f>
        <v>0</v>
      </c>
      <c r="AF2575" s="28"/>
      <c r="AG2575" s="28" t="n">
        <f aca="false">AF2575*$M2575</f>
        <v>0</v>
      </c>
      <c r="AH2575" s="28"/>
      <c r="AI2575" s="28" t="n">
        <f aca="false">AH2575*$M2575</f>
        <v>0</v>
      </c>
      <c r="AJ2575" s="28"/>
      <c r="AK2575" s="28" t="n">
        <f aca="false">AJ2575*$M2575</f>
        <v>0</v>
      </c>
      <c r="AL2575" s="28"/>
      <c r="AM2575" s="28" t="n">
        <f aca="false">AL2575*$M2575</f>
        <v>0</v>
      </c>
      <c r="AN2575" s="28"/>
      <c r="AO2575" s="28" t="n">
        <f aca="false">AN2575*$M2575</f>
        <v>0</v>
      </c>
      <c r="AP2575" s="28"/>
      <c r="AQ2575" s="28" t="n">
        <f aca="false">AP2575*$M2575</f>
        <v>0</v>
      </c>
      <c r="AR2575" s="28"/>
      <c r="AS2575" s="28" t="n">
        <f aca="false">AR2575*$M2575</f>
        <v>0</v>
      </c>
      <c r="AT2575" s="28"/>
      <c r="AU2575" s="28" t="n">
        <f aca="false">AT2575*$M2575</f>
        <v>0</v>
      </c>
      <c r="AV2575" s="28"/>
      <c r="AW2575" s="28" t="n">
        <f aca="false">AV2575*$M2575</f>
        <v>0</v>
      </c>
      <c r="AX2575" s="28"/>
      <c r="AY2575" s="28" t="n">
        <f aca="false">AX2575*$M2575</f>
        <v>0</v>
      </c>
      <c r="AZ2575" s="30" t="n">
        <f aca="false">5561/100</f>
        <v>55.61</v>
      </c>
      <c r="BA2575" s="11" t="n">
        <v>1390</v>
      </c>
      <c r="BB2575" s="31" t="n">
        <f aca="false">SUM(Q2575,S2575,U2575,W2575,Y2575,AA2575,AC2575,AE2575,AG2575,AI2575,AK2575,AM2575,AO2575,AQ2575,AS2575,AU2575,AW2575,AY2575)</f>
        <v>1390</v>
      </c>
      <c r="BC2575" s="28" t="n">
        <f aca="false">BA2575-BB2575</f>
        <v>0</v>
      </c>
      <c r="BD2575" s="32" t="n">
        <f aca="false">SUM(P2575,R2575,T2575,V2575,X2575,Z2575,AB2575,AD2575,AF2575,AH2575,AJ2575,AL2575,AN2575,AP2575,AR2575,AT2575,AV2575,AX2575)</f>
        <v>55.61</v>
      </c>
      <c r="BE2575" s="33" t="n">
        <f aca="false">AZ2575-BD2575</f>
        <v>0</v>
      </c>
      <c r="BF2575" s="34" t="n">
        <f aca="false">BD2575*M2575</f>
        <v>1390.25</v>
      </c>
      <c r="BG2575" s="35" t="n">
        <f aca="false">BA2575-BF2575</f>
        <v>-0.25</v>
      </c>
      <c r="BH2575" s="19" t="str">
        <f aca="false">IF(BG2575=0,"",IF(BG2575&lt;&gt;BA2575,"erreur de calcul",IF(BD2575&lt;&gt;0,"pas de prix",IF(M2575&lt;&gt; 0,"pas de quantité","pas de prix, ni de quantité"))))</f>
        <v>erreur de calcul</v>
      </c>
      <c r="BI2575" s="19"/>
    </row>
    <row r="2576" customFormat="false" ht="15" hidden="false" customHeight="false" outlineLevel="0" collapsed="false">
      <c r="A2576" s="0" t="n">
        <v>40</v>
      </c>
      <c r="B2576" s="8" t="s">
        <v>24</v>
      </c>
      <c r="C2576" s="9" t="s">
        <v>25</v>
      </c>
      <c r="D2576" s="9" t="s">
        <v>26</v>
      </c>
      <c r="E2576" s="10" t="n">
        <v>1789</v>
      </c>
      <c r="F2576" s="9" t="s">
        <v>27</v>
      </c>
      <c r="G2576" s="9" t="s">
        <v>27</v>
      </c>
      <c r="H2576" s="11" t="n">
        <v>21</v>
      </c>
      <c r="I2576" s="11" t="s">
        <v>193</v>
      </c>
      <c r="J2576" s="14" t="n">
        <v>168</v>
      </c>
      <c r="K2576" s="14"/>
      <c r="L2576" s="16"/>
      <c r="M2576" s="27" t="n">
        <f aca="false">J2576+(K2576/20)+(L2576/240)</f>
        <v>168</v>
      </c>
      <c r="N2576" s="17" t="s">
        <v>64</v>
      </c>
      <c r="O2576" s="11"/>
      <c r="P2576" s="28"/>
      <c r="Q2576" s="28" t="n">
        <f aca="false">P2576*$M2576</f>
        <v>0</v>
      </c>
      <c r="R2576" s="28"/>
      <c r="S2576" s="28" t="n">
        <f aca="false">R2576*$M2576</f>
        <v>0</v>
      </c>
      <c r="T2576" s="28"/>
      <c r="U2576" s="28" t="n">
        <f aca="false">T2576*$M2576</f>
        <v>0</v>
      </c>
      <c r="V2576" s="28"/>
      <c r="W2576" s="28" t="n">
        <f aca="false">V2576*$M2576</f>
        <v>0</v>
      </c>
      <c r="X2576" s="28"/>
      <c r="Y2576" s="28" t="n">
        <f aca="false">X2576*$M2576</f>
        <v>0</v>
      </c>
      <c r="Z2576" s="28"/>
      <c r="AA2576" s="28" t="n">
        <f aca="false">Z2576*$M2576</f>
        <v>0</v>
      </c>
      <c r="AB2576" s="28"/>
      <c r="AC2576" s="28" t="n">
        <f aca="false">AB2576*$M2576</f>
        <v>0</v>
      </c>
      <c r="AD2576" s="28"/>
      <c r="AE2576" s="28" t="n">
        <f aca="false">AD2576*$M2576</f>
        <v>0</v>
      </c>
      <c r="AF2576" s="28"/>
      <c r="AG2576" s="28" t="n">
        <f aca="false">AF2576*$M2576</f>
        <v>0</v>
      </c>
      <c r="AH2576" s="28" t="n">
        <f aca="false">14590/100</f>
        <v>145.9</v>
      </c>
      <c r="AI2576" s="28" t="n">
        <v>24511</v>
      </c>
      <c r="AJ2576" s="28"/>
      <c r="AK2576" s="28" t="n">
        <f aca="false">AJ2576*$M2576</f>
        <v>0</v>
      </c>
      <c r="AL2576" s="28"/>
      <c r="AM2576" s="28" t="n">
        <f aca="false">AL2576*$M2576</f>
        <v>0</v>
      </c>
      <c r="AN2576" s="28"/>
      <c r="AO2576" s="28" t="n">
        <f aca="false">AN2576*$M2576</f>
        <v>0</v>
      </c>
      <c r="AP2576" s="28"/>
      <c r="AQ2576" s="28" t="n">
        <f aca="false">AP2576*$M2576</f>
        <v>0</v>
      </c>
      <c r="AR2576" s="28"/>
      <c r="AS2576" s="28" t="n">
        <f aca="false">AR2576*$M2576</f>
        <v>0</v>
      </c>
      <c r="AT2576" s="28"/>
      <c r="AU2576" s="28" t="n">
        <f aca="false">AT2576*$M2576</f>
        <v>0</v>
      </c>
      <c r="AV2576" s="28"/>
      <c r="AW2576" s="28" t="n">
        <f aca="false">AV2576*$M2576</f>
        <v>0</v>
      </c>
      <c r="AX2576" s="28"/>
      <c r="AY2576" s="28" t="n">
        <f aca="false">AX2576*$M2576</f>
        <v>0</v>
      </c>
      <c r="AZ2576" s="30" t="n">
        <f aca="false">14590/100</f>
        <v>145.9</v>
      </c>
      <c r="BA2576" s="11" t="n">
        <v>24511</v>
      </c>
      <c r="BB2576" s="31" t="n">
        <f aca="false">SUM(Q2576,S2576,U2576,W2576,Y2576,AA2576,AC2576,AE2576,AG2576,AI2576,AK2576,AM2576,AO2576,AQ2576,AS2576,AU2576,AW2576,AY2576)</f>
        <v>24511</v>
      </c>
      <c r="BC2576" s="28" t="n">
        <f aca="false">BA2576-BB2576</f>
        <v>0</v>
      </c>
      <c r="BD2576" s="32" t="n">
        <f aca="false">SUM(P2576,R2576,T2576,V2576,X2576,Z2576,AB2576,AD2576,AF2576,AH2576,AJ2576,AL2576,AN2576,AP2576,AR2576,AT2576,AV2576,AX2576)</f>
        <v>145.9</v>
      </c>
      <c r="BE2576" s="33" t="n">
        <f aca="false">AZ2576-BD2576</f>
        <v>0</v>
      </c>
      <c r="BF2576" s="34" t="n">
        <f aca="false">BD2576*M2576</f>
        <v>24511.2</v>
      </c>
      <c r="BG2576" s="35" t="n">
        <f aca="false">BA2576-BF2576</f>
        <v>-0.200000000000728</v>
      </c>
      <c r="BH2576" s="19" t="str">
        <f aca="false">IF(BG2576=0,"",IF(BG2576&lt;&gt;BA2576,"erreur de calcul",IF(BD2576&lt;&gt;0,"pas de prix",IF(M2576&lt;&gt; 0,"pas de quantité","pas de prix, ni de quantité"))))</f>
        <v>erreur de calcul</v>
      </c>
      <c r="BI2576" s="19"/>
    </row>
    <row r="2577" customFormat="false" ht="15" hidden="false" customHeight="false" outlineLevel="0" collapsed="false">
      <c r="A2577" s="0" t="n">
        <v>41</v>
      </c>
      <c r="B2577" s="8" t="s">
        <v>24</v>
      </c>
      <c r="C2577" s="9" t="s">
        <v>25</v>
      </c>
      <c r="D2577" s="9" t="s">
        <v>26</v>
      </c>
      <c r="E2577" s="10" t="n">
        <v>1789</v>
      </c>
      <c r="F2577" s="9" t="s">
        <v>27</v>
      </c>
      <c r="G2577" s="9" t="s">
        <v>27</v>
      </c>
      <c r="H2577" s="11" t="n">
        <v>21</v>
      </c>
      <c r="I2577" s="11" t="s">
        <v>194</v>
      </c>
      <c r="J2577" s="14" t="n">
        <v>120</v>
      </c>
      <c r="K2577" s="14"/>
      <c r="L2577" s="16"/>
      <c r="M2577" s="27" t="n">
        <f aca="false">J2577+(K2577/20)+(L2577/240)</f>
        <v>120</v>
      </c>
      <c r="N2577" s="17" t="s">
        <v>64</v>
      </c>
      <c r="O2577" s="11"/>
      <c r="P2577" s="28"/>
      <c r="Q2577" s="28" t="n">
        <f aca="false">P2577*$M2577</f>
        <v>0</v>
      </c>
      <c r="R2577" s="28"/>
      <c r="S2577" s="28" t="n">
        <f aca="false">R2577*$M2577</f>
        <v>0</v>
      </c>
      <c r="T2577" s="28"/>
      <c r="U2577" s="28" t="n">
        <f aca="false">T2577*$M2577</f>
        <v>0</v>
      </c>
      <c r="V2577" s="28"/>
      <c r="W2577" s="28" t="n">
        <f aca="false">V2577*$M2577</f>
        <v>0</v>
      </c>
      <c r="X2577" s="28"/>
      <c r="Y2577" s="28" t="n">
        <f aca="false">X2577*$M2577</f>
        <v>0</v>
      </c>
      <c r="Z2577" s="28"/>
      <c r="AA2577" s="28" t="n">
        <f aca="false">Z2577*$M2577</f>
        <v>0</v>
      </c>
      <c r="AB2577" s="28" t="n">
        <f aca="false">6930/100</f>
        <v>69.3</v>
      </c>
      <c r="AC2577" s="28" t="n">
        <v>8316</v>
      </c>
      <c r="AD2577" s="28"/>
      <c r="AE2577" s="28" t="n">
        <f aca="false">AD2577*$M2577</f>
        <v>0</v>
      </c>
      <c r="AF2577" s="28"/>
      <c r="AG2577" s="28" t="n">
        <f aca="false">AF2577*$M2577</f>
        <v>0</v>
      </c>
      <c r="AH2577" s="28"/>
      <c r="AI2577" s="28" t="n">
        <f aca="false">AH2577*$M2577</f>
        <v>0</v>
      </c>
      <c r="AJ2577" s="28"/>
      <c r="AK2577" s="28" t="n">
        <f aca="false">AJ2577*$M2577</f>
        <v>0</v>
      </c>
      <c r="AL2577" s="28"/>
      <c r="AM2577" s="28" t="n">
        <f aca="false">AL2577*$M2577</f>
        <v>0</v>
      </c>
      <c r="AN2577" s="28"/>
      <c r="AO2577" s="28" t="n">
        <f aca="false">AN2577*$M2577</f>
        <v>0</v>
      </c>
      <c r="AP2577" s="28"/>
      <c r="AQ2577" s="28" t="n">
        <f aca="false">AP2577*$M2577</f>
        <v>0</v>
      </c>
      <c r="AR2577" s="28"/>
      <c r="AS2577" s="28" t="n">
        <f aca="false">AR2577*$M2577</f>
        <v>0</v>
      </c>
      <c r="AT2577" s="28"/>
      <c r="AU2577" s="28" t="n">
        <f aca="false">AT2577*$M2577</f>
        <v>0</v>
      </c>
      <c r="AV2577" s="28"/>
      <c r="AW2577" s="28" t="n">
        <f aca="false">AV2577*$M2577</f>
        <v>0</v>
      </c>
      <c r="AX2577" s="28"/>
      <c r="AY2577" s="28" t="n">
        <f aca="false">AX2577*$M2577</f>
        <v>0</v>
      </c>
      <c r="AZ2577" s="30" t="n">
        <f aca="false">6930/100</f>
        <v>69.3</v>
      </c>
      <c r="BA2577" s="11" t="n">
        <v>8316</v>
      </c>
      <c r="BB2577" s="31" t="n">
        <f aca="false">SUM(Q2577,S2577,U2577,W2577,Y2577,AA2577,AC2577,AE2577,AG2577,AI2577,AK2577,AM2577,AO2577,AQ2577,AS2577,AU2577,AW2577,AY2577)</f>
        <v>8316</v>
      </c>
      <c r="BC2577" s="28" t="n">
        <f aca="false">BA2577-BB2577</f>
        <v>0</v>
      </c>
      <c r="BD2577" s="32" t="n">
        <f aca="false">SUM(P2577,R2577,T2577,V2577,X2577,Z2577,AB2577,AD2577,AF2577,AH2577,AJ2577,AL2577,AN2577,AP2577,AR2577,AT2577,AV2577,AX2577)</f>
        <v>69.3</v>
      </c>
      <c r="BE2577" s="33" t="n">
        <f aca="false">AZ2577-BD2577</f>
        <v>0</v>
      </c>
      <c r="BF2577" s="34" t="n">
        <f aca="false">BD2577*M2577</f>
        <v>8316</v>
      </c>
      <c r="BG2577" s="35" t="n">
        <f aca="false">BA2577-BF2577</f>
        <v>0</v>
      </c>
      <c r="BH2577" s="19" t="str">
        <f aca="false">IF(BG2577=0,"",IF(BG2577&lt;&gt;BA2577,"erreur de calcul",IF(BD2577&lt;&gt;0,"pas de prix",IF(M2577&lt;&gt; 0,"pas de quantité","pas de prix, ni de quantité"))))</f>
        <v/>
      </c>
      <c r="BI2577" s="19"/>
    </row>
    <row r="2578" customFormat="false" ht="16.65" hidden="false" customHeight="false" outlineLevel="0" collapsed="false">
      <c r="A2578" s="0" t="n">
        <v>42</v>
      </c>
      <c r="B2578" s="8" t="s">
        <v>24</v>
      </c>
      <c r="C2578" s="9" t="s">
        <v>25</v>
      </c>
      <c r="D2578" s="9" t="s">
        <v>26</v>
      </c>
      <c r="E2578" s="10" t="n">
        <v>1789</v>
      </c>
      <c r="F2578" s="9" t="s">
        <v>27</v>
      </c>
      <c r="G2578" s="9" t="s">
        <v>27</v>
      </c>
      <c r="H2578" s="11" t="n">
        <v>21</v>
      </c>
      <c r="I2578" s="11" t="s">
        <v>195</v>
      </c>
      <c r="J2578" s="14" t="n">
        <v>70</v>
      </c>
      <c r="K2578" s="14"/>
      <c r="L2578" s="16"/>
      <c r="M2578" s="27" t="n">
        <f aca="false">J2578+(K2578/20)+(L2578/240)</f>
        <v>70</v>
      </c>
      <c r="N2578" s="17" t="s">
        <v>64</v>
      </c>
      <c r="O2578" s="11"/>
      <c r="P2578" s="28"/>
      <c r="Q2578" s="28" t="n">
        <f aca="false">P2578*$M2578</f>
        <v>0</v>
      </c>
      <c r="R2578" s="28"/>
      <c r="S2578" s="28" t="n">
        <f aca="false">R2578*$M2578</f>
        <v>0</v>
      </c>
      <c r="T2578" s="28"/>
      <c r="U2578" s="28" t="n">
        <f aca="false">T2578*$M2578</f>
        <v>0</v>
      </c>
      <c r="V2578" s="28"/>
      <c r="W2578" s="28" t="n">
        <f aca="false">V2578*$M2578</f>
        <v>0</v>
      </c>
      <c r="X2578" s="28"/>
      <c r="Y2578" s="28" t="n">
        <f aca="false">X2578*$M2578</f>
        <v>0</v>
      </c>
      <c r="Z2578" s="28"/>
      <c r="AA2578" s="28" t="n">
        <f aca="false">Z2578*$M2578</f>
        <v>0</v>
      </c>
      <c r="AB2578" s="28"/>
      <c r="AC2578" s="28" t="n">
        <f aca="false">AB2578*$M2578</f>
        <v>0</v>
      </c>
      <c r="AD2578" s="28"/>
      <c r="AE2578" s="28" t="n">
        <f aca="false">AD2578*$M2578</f>
        <v>0</v>
      </c>
      <c r="AF2578" s="28"/>
      <c r="AG2578" s="28" t="n">
        <f aca="false">AF2578*$M2578</f>
        <v>0</v>
      </c>
      <c r="AH2578" s="28"/>
      <c r="AI2578" s="28" t="n">
        <f aca="false">AH2578*$M2578</f>
        <v>0</v>
      </c>
      <c r="AJ2578" s="28"/>
      <c r="AK2578" s="28" t="n">
        <f aca="false">AJ2578*$M2578</f>
        <v>0</v>
      </c>
      <c r="AL2578" s="28"/>
      <c r="AM2578" s="28" t="n">
        <f aca="false">AL2578*$M2578</f>
        <v>0</v>
      </c>
      <c r="AN2578" s="28" t="n">
        <f aca="false">13200/100</f>
        <v>132</v>
      </c>
      <c r="AO2578" s="28" t="n">
        <v>9240</v>
      </c>
      <c r="AP2578" s="28"/>
      <c r="AQ2578" s="28" t="n">
        <f aca="false">AP2578*$M2578</f>
        <v>0</v>
      </c>
      <c r="AR2578" s="28"/>
      <c r="AS2578" s="28" t="n">
        <f aca="false">AR2578*$M2578</f>
        <v>0</v>
      </c>
      <c r="AT2578" s="28"/>
      <c r="AU2578" s="28" t="n">
        <f aca="false">AT2578*$M2578</f>
        <v>0</v>
      </c>
      <c r="AV2578" s="28"/>
      <c r="AW2578" s="28" t="n">
        <f aca="false">AV2578*$M2578</f>
        <v>0</v>
      </c>
      <c r="AX2578" s="28"/>
      <c r="AY2578" s="28" t="n">
        <f aca="false">AX2578*$M2578</f>
        <v>0</v>
      </c>
      <c r="AZ2578" s="30" t="n">
        <f aca="false">13200/100</f>
        <v>132</v>
      </c>
      <c r="BA2578" s="11" t="n">
        <v>9240</v>
      </c>
      <c r="BB2578" s="31" t="n">
        <f aca="false">SUM(Q2578,S2578,U2578,W2578,Y2578,AA2578,AC2578,AE2578,AG2578,AI2578,AK2578,AM2578,AO2578,AQ2578,AS2578,AU2578,AW2578,AY2578)</f>
        <v>9240</v>
      </c>
      <c r="BC2578" s="28" t="n">
        <f aca="false">BA2578-BB2578</f>
        <v>0</v>
      </c>
      <c r="BD2578" s="32" t="n">
        <f aca="false">SUM(P2578,R2578,T2578,V2578,X2578,Z2578,AB2578,AD2578,AF2578,AH2578,AJ2578,AL2578,AN2578,AP2578,AR2578,AT2578,AV2578,AX2578)</f>
        <v>132</v>
      </c>
      <c r="BE2578" s="33" t="n">
        <f aca="false">AZ2578-BD2578</f>
        <v>0</v>
      </c>
      <c r="BF2578" s="34" t="n">
        <f aca="false">BD2578*M2578</f>
        <v>9240</v>
      </c>
      <c r="BG2578" s="35" t="n">
        <f aca="false">BA2578-BF2578</f>
        <v>0</v>
      </c>
      <c r="BH2578" s="19" t="str">
        <f aca="false">IF(BG2578=0,"",IF(BG2578&lt;&gt;BA2578,"erreur de calcul",IF(BD2578&lt;&gt;0,"pas de prix",IF(M2578&lt;&gt; 0,"pas de quantité","pas de prix, ni de quantité"))))</f>
        <v/>
      </c>
      <c r="BI2578" s="19"/>
    </row>
    <row r="2579" customFormat="false" ht="15" hidden="false" customHeight="false" outlineLevel="0" collapsed="false">
      <c r="A2579" s="0" t="n">
        <v>43</v>
      </c>
      <c r="B2579" s="8" t="s">
        <v>24</v>
      </c>
      <c r="C2579" s="9" t="s">
        <v>25</v>
      </c>
      <c r="D2579" s="9" t="s">
        <v>26</v>
      </c>
      <c r="E2579" s="10" t="n">
        <v>1789</v>
      </c>
      <c r="F2579" s="9" t="s">
        <v>27</v>
      </c>
      <c r="G2579" s="9" t="s">
        <v>27</v>
      </c>
      <c r="H2579" s="11" t="n">
        <v>21</v>
      </c>
      <c r="I2579" s="11" t="s">
        <v>196</v>
      </c>
      <c r="J2579" s="14" t="n">
        <v>65</v>
      </c>
      <c r="K2579" s="14"/>
      <c r="L2579" s="16"/>
      <c r="M2579" s="27" t="n">
        <f aca="false">J2579+(K2579/20)+(L2579/240)</f>
        <v>65</v>
      </c>
      <c r="N2579" s="17" t="s">
        <v>64</v>
      </c>
      <c r="O2579" s="11"/>
      <c r="P2579" s="28"/>
      <c r="Q2579" s="28" t="n">
        <f aca="false">P2579*$M2579</f>
        <v>0</v>
      </c>
      <c r="R2579" s="28"/>
      <c r="S2579" s="28" t="n">
        <f aca="false">R2579*$M2579</f>
        <v>0</v>
      </c>
      <c r="T2579" s="28"/>
      <c r="U2579" s="28" t="n">
        <f aca="false">T2579*$M2579</f>
        <v>0</v>
      </c>
      <c r="V2579" s="28"/>
      <c r="W2579" s="28" t="n">
        <f aca="false">V2579*$M2579</f>
        <v>0</v>
      </c>
      <c r="X2579" s="28" t="n">
        <f aca="false">44247/100</f>
        <v>442.47</v>
      </c>
      <c r="Y2579" s="28" t="n">
        <v>28760</v>
      </c>
      <c r="Z2579" s="28" t="n">
        <f aca="false">1906/100</f>
        <v>19.06</v>
      </c>
      <c r="AA2579" s="28" t="n">
        <v>1239</v>
      </c>
      <c r="AB2579" s="28"/>
      <c r="AC2579" s="28" t="n">
        <f aca="false">AB2579*$M2579</f>
        <v>0</v>
      </c>
      <c r="AD2579" s="28"/>
      <c r="AE2579" s="28" t="n">
        <f aca="false">AD2579*$M2579</f>
        <v>0</v>
      </c>
      <c r="AF2579" s="28"/>
      <c r="AG2579" s="28" t="n">
        <f aca="false">AF2579*$M2579</f>
        <v>0</v>
      </c>
      <c r="AH2579" s="28"/>
      <c r="AI2579" s="28" t="n">
        <f aca="false">AH2579*$M2579</f>
        <v>0</v>
      </c>
      <c r="AJ2579" s="28" t="n">
        <f aca="false">625/100</f>
        <v>6.25</v>
      </c>
      <c r="AK2579" s="28" t="n">
        <v>406</v>
      </c>
      <c r="AL2579" s="28"/>
      <c r="AM2579" s="28" t="n">
        <f aca="false">AL2579*$M2579</f>
        <v>0</v>
      </c>
      <c r="AN2579" s="28"/>
      <c r="AO2579" s="28" t="n">
        <f aca="false">AN2579*$M2579</f>
        <v>0</v>
      </c>
      <c r="AP2579" s="28"/>
      <c r="AQ2579" s="28" t="n">
        <f aca="false">AP2579*$M2579</f>
        <v>0</v>
      </c>
      <c r="AR2579" s="28"/>
      <c r="AS2579" s="28" t="n">
        <f aca="false">AR2579*$M2579</f>
        <v>0</v>
      </c>
      <c r="AT2579" s="28"/>
      <c r="AU2579" s="28" t="n">
        <f aca="false">AT2579*$M2579</f>
        <v>0</v>
      </c>
      <c r="AV2579" s="28"/>
      <c r="AW2579" s="28" t="n">
        <f aca="false">AV2579*$M2579</f>
        <v>0</v>
      </c>
      <c r="AX2579" s="28"/>
      <c r="AY2579" s="28" t="n">
        <f aca="false">AX2579*$M2579</f>
        <v>0</v>
      </c>
      <c r="AZ2579" s="30" t="n">
        <f aca="false">46778/100</f>
        <v>467.78</v>
      </c>
      <c r="BA2579" s="11" t="n">
        <v>30405</v>
      </c>
      <c r="BB2579" s="31" t="n">
        <f aca="false">SUM(Q2579,S2579,U2579,W2579,Y2579,AA2579,AC2579,AE2579,AG2579,AI2579,AK2579,AM2579,AO2579,AQ2579,AS2579,AU2579,AW2579,AY2579)</f>
        <v>30405</v>
      </c>
      <c r="BC2579" s="28" t="n">
        <f aca="false">BA2579-BB2579</f>
        <v>0</v>
      </c>
      <c r="BD2579" s="32" t="n">
        <f aca="false">SUM(P2579,R2579,T2579,V2579,X2579,Z2579,AB2579,AD2579,AF2579,AH2579,AJ2579,AL2579,AN2579,AP2579,AR2579,AT2579,AV2579,AX2579)</f>
        <v>467.78</v>
      </c>
      <c r="BE2579" s="33" t="n">
        <f aca="false">AZ2579-BD2579</f>
        <v>0</v>
      </c>
      <c r="BF2579" s="34" t="n">
        <f aca="false">BD2579*M2579</f>
        <v>30405.7</v>
      </c>
      <c r="BG2579" s="35" t="n">
        <f aca="false">BA2579-BF2579</f>
        <v>-0.700000000000728</v>
      </c>
      <c r="BH2579" s="19" t="str">
        <f aca="false">IF(BG2579=0,"",IF(BG2579&lt;&gt;BA2579,"erreur de calcul",IF(BD2579&lt;&gt;0,"pas de prix",IF(M2579&lt;&gt; 0,"pas de quantité","pas de prix, ni de quantité"))))</f>
        <v>erreur de calcul</v>
      </c>
      <c r="BI2579" s="19"/>
    </row>
    <row r="2580" customFormat="false" ht="15" hidden="false" customHeight="false" outlineLevel="0" collapsed="false">
      <c r="A2580" s="0" t="n">
        <v>44</v>
      </c>
      <c r="B2580" s="8" t="s">
        <v>24</v>
      </c>
      <c r="C2580" s="9" t="s">
        <v>25</v>
      </c>
      <c r="D2580" s="9" t="s">
        <v>26</v>
      </c>
      <c r="E2580" s="10" t="n">
        <v>1789</v>
      </c>
      <c r="F2580" s="9" t="s">
        <v>27</v>
      </c>
      <c r="G2580" s="9" t="s">
        <v>27</v>
      </c>
      <c r="H2580" s="11" t="n">
        <v>21</v>
      </c>
      <c r="I2580" s="11" t="s">
        <v>197</v>
      </c>
      <c r="J2580" s="14" t="n">
        <v>70</v>
      </c>
      <c r="K2580" s="14"/>
      <c r="L2580" s="16"/>
      <c r="M2580" s="27" t="n">
        <f aca="false">J2580+(K2580/20)+(L2580/240)</f>
        <v>70</v>
      </c>
      <c r="N2580" s="17" t="s">
        <v>64</v>
      </c>
      <c r="O2580" s="11"/>
      <c r="P2580" s="28"/>
      <c r="Q2580" s="28" t="n">
        <f aca="false">P2580*$M2580</f>
        <v>0</v>
      </c>
      <c r="R2580" s="28"/>
      <c r="S2580" s="28" t="n">
        <f aca="false">R2580*$M2580</f>
        <v>0</v>
      </c>
      <c r="T2580" s="28"/>
      <c r="U2580" s="28" t="n">
        <f aca="false">T2580*$M2580</f>
        <v>0</v>
      </c>
      <c r="V2580" s="28"/>
      <c r="W2580" s="28" t="n">
        <f aca="false">V2580*$M2580</f>
        <v>0</v>
      </c>
      <c r="X2580" s="28"/>
      <c r="Y2580" s="28" t="n">
        <f aca="false">X2580*$M2580</f>
        <v>0</v>
      </c>
      <c r="Z2580" s="28"/>
      <c r="AA2580" s="28" t="n">
        <f aca="false">Z2580*$M2580</f>
        <v>0</v>
      </c>
      <c r="AB2580" s="28"/>
      <c r="AC2580" s="28" t="n">
        <f aca="false">AB2580*$M2580</f>
        <v>0</v>
      </c>
      <c r="AD2580" s="28"/>
      <c r="AE2580" s="28" t="n">
        <f aca="false">AD2580*$M2580</f>
        <v>0</v>
      </c>
      <c r="AF2580" s="28"/>
      <c r="AG2580" s="28" t="n">
        <f aca="false">AF2580*$M2580</f>
        <v>0</v>
      </c>
      <c r="AH2580" s="28" t="n">
        <f aca="false">156436/100</f>
        <v>1564.36</v>
      </c>
      <c r="AI2580" s="28" t="n">
        <v>109505</v>
      </c>
      <c r="AJ2580" s="28"/>
      <c r="AK2580" s="28" t="n">
        <f aca="false">AJ2580*$M2580</f>
        <v>0</v>
      </c>
      <c r="AL2580" s="28"/>
      <c r="AM2580" s="28" t="n">
        <f aca="false">AL2580*$M2580</f>
        <v>0</v>
      </c>
      <c r="AN2580" s="28"/>
      <c r="AO2580" s="28" t="n">
        <f aca="false">AN2580*$M2580</f>
        <v>0</v>
      </c>
      <c r="AP2580" s="28"/>
      <c r="AQ2580" s="28" t="n">
        <f aca="false">AP2580*$M2580</f>
        <v>0</v>
      </c>
      <c r="AR2580" s="28"/>
      <c r="AS2580" s="28" t="n">
        <f aca="false">AR2580*$M2580</f>
        <v>0</v>
      </c>
      <c r="AT2580" s="28"/>
      <c r="AU2580" s="28" t="n">
        <f aca="false">AT2580*$M2580</f>
        <v>0</v>
      </c>
      <c r="AV2580" s="28"/>
      <c r="AW2580" s="28" t="n">
        <f aca="false">AV2580*$M2580</f>
        <v>0</v>
      </c>
      <c r="AX2580" s="28"/>
      <c r="AY2580" s="28" t="n">
        <f aca="false">AX2580*$M2580</f>
        <v>0</v>
      </c>
      <c r="AZ2580" s="30" t="n">
        <f aca="false">156436/100</f>
        <v>1564.36</v>
      </c>
      <c r="BA2580" s="11" t="n">
        <v>109505</v>
      </c>
      <c r="BB2580" s="31" t="n">
        <f aca="false">SUM(Q2580,S2580,U2580,W2580,Y2580,AA2580,AC2580,AE2580,AG2580,AI2580,AK2580,AM2580,AO2580,AQ2580,AS2580,AU2580,AW2580,AY2580)</f>
        <v>109505</v>
      </c>
      <c r="BC2580" s="28" t="n">
        <f aca="false">BA2580-BB2580</f>
        <v>0</v>
      </c>
      <c r="BD2580" s="32" t="n">
        <f aca="false">SUM(P2580,R2580,T2580,V2580,X2580,Z2580,AB2580,AD2580,AF2580,AH2580,AJ2580,AL2580,AN2580,AP2580,AR2580,AT2580,AV2580,AX2580)</f>
        <v>1564.36</v>
      </c>
      <c r="BE2580" s="33" t="n">
        <f aca="false">AZ2580-BD2580</f>
        <v>0</v>
      </c>
      <c r="BF2580" s="34" t="n">
        <f aca="false">BD2580*M2580</f>
        <v>109505.2</v>
      </c>
      <c r="BG2580" s="35" t="n">
        <f aca="false">BA2580-BF2580</f>
        <v>-0.19999999999709</v>
      </c>
      <c r="BH2580" s="19" t="str">
        <f aca="false">IF(BG2580=0,"",IF(BG2580&lt;&gt;BA2580,"erreur de calcul",IF(BD2580&lt;&gt;0,"pas de prix",IF(M2580&lt;&gt; 0,"pas de quantité","pas de prix, ni de quantité"))))</f>
        <v>erreur de calcul</v>
      </c>
      <c r="BI2580" s="19"/>
    </row>
    <row r="2581" customFormat="false" ht="15" hidden="false" customHeight="false" outlineLevel="0" collapsed="false">
      <c r="A2581" s="0" t="n">
        <v>45</v>
      </c>
      <c r="B2581" s="8" t="s">
        <v>24</v>
      </c>
      <c r="C2581" s="9" t="s">
        <v>25</v>
      </c>
      <c r="D2581" s="9" t="s">
        <v>26</v>
      </c>
      <c r="E2581" s="10" t="n">
        <v>1789</v>
      </c>
      <c r="F2581" s="9" t="s">
        <v>27</v>
      </c>
      <c r="G2581" s="9" t="s">
        <v>27</v>
      </c>
      <c r="H2581" s="11" t="n">
        <v>21</v>
      </c>
      <c r="I2581" s="11" t="s">
        <v>198</v>
      </c>
      <c r="J2581" s="14"/>
      <c r="K2581" s="14"/>
      <c r="L2581" s="16"/>
      <c r="M2581" s="27" t="n">
        <f aca="false">J2581+(K2581/20)+(L2581/240)</f>
        <v>0</v>
      </c>
      <c r="N2581" s="17"/>
      <c r="O2581" s="11" t="s">
        <v>98</v>
      </c>
      <c r="P2581" s="28"/>
      <c r="Q2581" s="28" t="n">
        <v>387</v>
      </c>
      <c r="R2581" s="28"/>
      <c r="S2581" s="28" t="n">
        <f aca="false">R2581*$M2581</f>
        <v>0</v>
      </c>
      <c r="T2581" s="28"/>
      <c r="U2581" s="28" t="n">
        <v>2349</v>
      </c>
      <c r="V2581" s="28"/>
      <c r="W2581" s="28" t="n">
        <v>978</v>
      </c>
      <c r="X2581" s="28"/>
      <c r="Y2581" s="28" t="n">
        <f aca="false">X2581*$M2581</f>
        <v>0</v>
      </c>
      <c r="Z2581" s="28"/>
      <c r="AA2581" s="28" t="n">
        <f aca="false">Z2581*$M2581</f>
        <v>0</v>
      </c>
      <c r="AB2581" s="28"/>
      <c r="AC2581" s="28" t="n">
        <v>328</v>
      </c>
      <c r="AD2581" s="28"/>
      <c r="AE2581" s="28" t="n">
        <f aca="false">AD2581*$M2581</f>
        <v>0</v>
      </c>
      <c r="AF2581" s="28"/>
      <c r="AG2581" s="28" t="n">
        <f aca="false">AF2581*$M2581</f>
        <v>0</v>
      </c>
      <c r="AH2581" s="28"/>
      <c r="AI2581" s="28" t="n">
        <v>878</v>
      </c>
      <c r="AJ2581" s="28"/>
      <c r="AK2581" s="28" t="n">
        <v>1546</v>
      </c>
      <c r="AL2581" s="28"/>
      <c r="AM2581" s="28" t="n">
        <f aca="false">AL2581*$M2581</f>
        <v>0</v>
      </c>
      <c r="AN2581" s="28"/>
      <c r="AO2581" s="28" t="n">
        <f aca="false">AN2581*$M2581</f>
        <v>0</v>
      </c>
      <c r="AP2581" s="28"/>
      <c r="AQ2581" s="28" t="n">
        <f aca="false">AP2581*$M2581</f>
        <v>0</v>
      </c>
      <c r="AR2581" s="28"/>
      <c r="AS2581" s="28" t="n">
        <f aca="false">AR2581*$M2581</f>
        <v>0</v>
      </c>
      <c r="AT2581" s="28"/>
      <c r="AU2581" s="28" t="n">
        <f aca="false">AT2581*$M2581</f>
        <v>0</v>
      </c>
      <c r="AV2581" s="28"/>
      <c r="AW2581" s="28" t="n">
        <f aca="false">AV2581*$M2581</f>
        <v>0</v>
      </c>
      <c r="AX2581" s="28"/>
      <c r="AY2581" s="28" t="n">
        <f aca="false">AX2581*$M2581</f>
        <v>0</v>
      </c>
      <c r="AZ2581" s="30"/>
      <c r="BA2581" s="11" t="n">
        <v>6466</v>
      </c>
      <c r="BB2581" s="31" t="n">
        <f aca="false">SUM(Q2581,S2581,U2581,W2581,Y2581,AA2581,AC2581,AE2581,AG2581,AI2581,AK2581,AM2581,AO2581,AQ2581,AS2581,AU2581,AW2581,AY2581)</f>
        <v>6466</v>
      </c>
      <c r="BC2581" s="28" t="n">
        <f aca="false">BA2581-BB2581</f>
        <v>0</v>
      </c>
      <c r="BD2581" s="32" t="n">
        <f aca="false">SUM(P2581,R2581,T2581,V2581,X2581,Z2581,AB2581,AD2581,AF2581,AH2581,AJ2581,AL2581,AN2581,AP2581,AR2581,AT2581,AV2581,AX2581)</f>
        <v>0</v>
      </c>
      <c r="BE2581" s="33" t="n">
        <f aca="false">AZ2581-BD2581</f>
        <v>0</v>
      </c>
      <c r="BF2581" s="34" t="n">
        <f aca="false">BD2581*M2581</f>
        <v>0</v>
      </c>
      <c r="BG2581" s="35" t="n">
        <f aca="false">BA2581-BF2581</f>
        <v>6466</v>
      </c>
      <c r="BH2581" s="19" t="str">
        <f aca="false">IF(BG2581=0,"",IF(BG2581&lt;&gt;BA2581,"erreur de calcul",IF(BD2581&lt;&gt;0,"pas de prix",IF(M2581&lt;&gt; 0,"pas de quantité","pas de prix, ni de quantité"))))</f>
        <v>pas de prix, ni de quantité</v>
      </c>
      <c r="BI2581" s="19"/>
    </row>
    <row r="2582" customFormat="false" ht="15" hidden="false" customHeight="false" outlineLevel="0" collapsed="false">
      <c r="A2582" s="0" t="n">
        <v>46</v>
      </c>
      <c r="B2582" s="8" t="s">
        <v>24</v>
      </c>
      <c r="C2582" s="9" t="s">
        <v>25</v>
      </c>
      <c r="D2582" s="9" t="s">
        <v>26</v>
      </c>
      <c r="E2582" s="10" t="n">
        <v>1789</v>
      </c>
      <c r="F2582" s="9" t="s">
        <v>27</v>
      </c>
      <c r="G2582" s="9" t="s">
        <v>27</v>
      </c>
      <c r="H2582" s="11" t="n">
        <v>21</v>
      </c>
      <c r="I2582" s="11" t="s">
        <v>199</v>
      </c>
      <c r="J2582" s="14" t="n">
        <v>27</v>
      </c>
      <c r="K2582" s="14"/>
      <c r="L2582" s="16"/>
      <c r="M2582" s="27" t="n">
        <f aca="false">J2582+(K2582/20)+(L2582/240)</f>
        <v>27</v>
      </c>
      <c r="N2582" s="17" t="s">
        <v>64</v>
      </c>
      <c r="O2582" s="11"/>
      <c r="P2582" s="28" t="n">
        <f aca="false">108627/100</f>
        <v>1086.27</v>
      </c>
      <c r="Q2582" s="28" t="n">
        <v>29329</v>
      </c>
      <c r="R2582" s="28"/>
      <c r="S2582" s="28" t="n">
        <f aca="false">R2582*$M2582</f>
        <v>0</v>
      </c>
      <c r="T2582" s="28"/>
      <c r="U2582" s="28" t="n">
        <f aca="false">T2582*$M2582</f>
        <v>0</v>
      </c>
      <c r="V2582" s="28"/>
      <c r="W2582" s="28" t="n">
        <f aca="false">V2582*$M2582</f>
        <v>0</v>
      </c>
      <c r="X2582" s="28"/>
      <c r="Y2582" s="28" t="n">
        <f aca="false">X2582*$M2582</f>
        <v>0</v>
      </c>
      <c r="Z2582" s="28" t="n">
        <f aca="false">535243/100</f>
        <v>5352.43</v>
      </c>
      <c r="AA2582" s="28" t="n">
        <v>144516</v>
      </c>
      <c r="AB2582" s="28"/>
      <c r="AC2582" s="28" t="n">
        <f aca="false">AB2582*$M2582</f>
        <v>0</v>
      </c>
      <c r="AD2582" s="28" t="n">
        <f aca="false">75759/100</f>
        <v>757.59</v>
      </c>
      <c r="AE2582" s="28" t="n">
        <v>20455</v>
      </c>
      <c r="AF2582" s="28"/>
      <c r="AG2582" s="28" t="n">
        <f aca="false">AF2582*$M2582</f>
        <v>0</v>
      </c>
      <c r="AH2582" s="28" t="n">
        <f aca="false">77800/100</f>
        <v>778</v>
      </c>
      <c r="AI2582" s="36" t="n">
        <v>21016</v>
      </c>
      <c r="AJ2582" s="28" t="n">
        <f aca="false">28078/100</f>
        <v>280.78</v>
      </c>
      <c r="AK2582" s="28" t="n">
        <v>7581</v>
      </c>
      <c r="AL2582" s="28" t="n">
        <f aca="false">15417/100</f>
        <v>154.17</v>
      </c>
      <c r="AM2582" s="28" t="n">
        <v>4162</v>
      </c>
      <c r="AN2582" s="28"/>
      <c r="AO2582" s="28" t="n">
        <f aca="false">AN2582*$M2582</f>
        <v>0</v>
      </c>
      <c r="AP2582" s="28"/>
      <c r="AQ2582" s="28" t="n">
        <f aca="false">AP2582*$M2582</f>
        <v>0</v>
      </c>
      <c r="AR2582" s="28"/>
      <c r="AS2582" s="28" t="n">
        <f aca="false">AR2582*$M2582</f>
        <v>0</v>
      </c>
      <c r="AT2582" s="28"/>
      <c r="AU2582" s="28" t="n">
        <f aca="false">AT2582*$M2582</f>
        <v>0</v>
      </c>
      <c r="AV2582" s="28"/>
      <c r="AW2582" s="28" t="n">
        <f aca="false">AV2582*$M2582</f>
        <v>0</v>
      </c>
      <c r="AX2582" s="28"/>
      <c r="AY2582" s="28" t="n">
        <f aca="false">AX2582*$M2582</f>
        <v>0</v>
      </c>
      <c r="AZ2582" s="30" t="n">
        <f aca="false">840924/100</f>
        <v>8409.24</v>
      </c>
      <c r="BA2582" s="11" t="n">
        <v>227059</v>
      </c>
      <c r="BB2582" s="31" t="n">
        <f aca="false">SUM(Q2582,S2582,U2582,W2582,Y2582,AA2582,AC2582,AE2582,AG2582,AI2582,AK2582,AM2582,AO2582,AQ2582,AS2582,AU2582,AW2582,AY2582)</f>
        <v>227059</v>
      </c>
      <c r="BC2582" s="28" t="n">
        <f aca="false">BA2582-BB2582</f>
        <v>0</v>
      </c>
      <c r="BD2582" s="32" t="n">
        <f aca="false">SUM(P2582,R2582,T2582,V2582,X2582,Z2582,AB2582,AD2582,AF2582,AH2582,AJ2582,AL2582,AN2582,AP2582,AR2582,AT2582,AV2582,AX2582)</f>
        <v>8409.24</v>
      </c>
      <c r="BE2582" s="33" t="n">
        <f aca="false">AZ2582-BD2582</f>
        <v>0</v>
      </c>
      <c r="BF2582" s="34" t="n">
        <f aca="false">BD2582*M2582</f>
        <v>227049.48</v>
      </c>
      <c r="BG2582" s="35" t="n">
        <f aca="false">BA2582-BF2582</f>
        <v>9.52000000001863</v>
      </c>
      <c r="BH2582" s="19" t="str">
        <f aca="false">IF(BG2582=0,"",IF(BG2582&lt;&gt;BA2582,"erreur de calcul",IF(BD2582&lt;&gt;0,"pas de prix",IF(M2582&lt;&gt; 0,"pas de quantité","pas de prix, ni de quantité"))))</f>
        <v>erreur de calcul</v>
      </c>
      <c r="BI2582" s="19"/>
    </row>
    <row r="2583" customFormat="false" ht="15" hidden="false" customHeight="false" outlineLevel="0" collapsed="false">
      <c r="A2583" s="0" t="n">
        <v>47</v>
      </c>
      <c r="B2583" s="8" t="s">
        <v>24</v>
      </c>
      <c r="C2583" s="9" t="s">
        <v>25</v>
      </c>
      <c r="D2583" s="9" t="s">
        <v>26</v>
      </c>
      <c r="E2583" s="10" t="n">
        <v>1789</v>
      </c>
      <c r="F2583" s="9" t="s">
        <v>27</v>
      </c>
      <c r="G2583" s="9" t="s">
        <v>27</v>
      </c>
      <c r="H2583" s="11" t="n">
        <v>21</v>
      </c>
      <c r="I2583" s="11" t="s">
        <v>200</v>
      </c>
      <c r="J2583" s="14" t="n">
        <v>25</v>
      </c>
      <c r="K2583" s="14"/>
      <c r="L2583" s="16"/>
      <c r="M2583" s="27" t="n">
        <f aca="false">J2583+(K2583/20)+(L2583/240)</f>
        <v>25</v>
      </c>
      <c r="N2583" s="17" t="s">
        <v>64</v>
      </c>
      <c r="O2583" s="11"/>
      <c r="P2583" s="28"/>
      <c r="Q2583" s="28" t="n">
        <f aca="false">P2583*$M2583</f>
        <v>0</v>
      </c>
      <c r="R2583" s="28"/>
      <c r="S2583" s="28" t="n">
        <f aca="false">R2583*$M2583</f>
        <v>0</v>
      </c>
      <c r="T2583" s="28" t="n">
        <f aca="false">56427/100</f>
        <v>564.27</v>
      </c>
      <c r="U2583" s="28" t="n">
        <v>14107</v>
      </c>
      <c r="V2583" s="28"/>
      <c r="W2583" s="28" t="n">
        <f aca="false">V2583*$M2583</f>
        <v>0</v>
      </c>
      <c r="X2583" s="28" t="n">
        <f aca="false">98758/100</f>
        <v>987.58</v>
      </c>
      <c r="Y2583" s="28" t="n">
        <v>24689</v>
      </c>
      <c r="Z2583" s="28"/>
      <c r="AA2583" s="28" t="n">
        <f aca="false">Z2583*$M2583</f>
        <v>0</v>
      </c>
      <c r="AB2583" s="28"/>
      <c r="AC2583" s="28" t="n">
        <f aca="false">AB2583*$M2583</f>
        <v>0</v>
      </c>
      <c r="AD2583" s="28"/>
      <c r="AE2583" s="28" t="n">
        <f aca="false">AD2583*$M2583</f>
        <v>0</v>
      </c>
      <c r="AF2583" s="28"/>
      <c r="AG2583" s="28" t="n">
        <f aca="false">AF2583*$M2583</f>
        <v>0</v>
      </c>
      <c r="AH2583" s="28"/>
      <c r="AI2583" s="28" t="n">
        <f aca="false">AH2583*$M2583</f>
        <v>0</v>
      </c>
      <c r="AJ2583" s="28"/>
      <c r="AK2583" s="28" t="n">
        <f aca="false">AJ2583*$M2583</f>
        <v>0</v>
      </c>
      <c r="AL2583" s="28"/>
      <c r="AM2583" s="28" t="n">
        <f aca="false">AL2583*$M2583</f>
        <v>0</v>
      </c>
      <c r="AN2583" s="28"/>
      <c r="AO2583" s="28" t="n">
        <f aca="false">AN2583*$M2583</f>
        <v>0</v>
      </c>
      <c r="AP2583" s="28"/>
      <c r="AQ2583" s="28" t="n">
        <f aca="false">AP2583*$M2583</f>
        <v>0</v>
      </c>
      <c r="AR2583" s="28"/>
      <c r="AS2583" s="28" t="n">
        <f aca="false">AR2583*$M2583</f>
        <v>0</v>
      </c>
      <c r="AT2583" s="28"/>
      <c r="AU2583" s="28" t="n">
        <f aca="false">AT2583*$M2583</f>
        <v>0</v>
      </c>
      <c r="AV2583" s="28"/>
      <c r="AW2583" s="28" t="n">
        <f aca="false">AV2583*$M2583</f>
        <v>0</v>
      </c>
      <c r="AX2583" s="28"/>
      <c r="AY2583" s="28" t="n">
        <f aca="false">AX2583*$M2583</f>
        <v>0</v>
      </c>
      <c r="AZ2583" s="30" t="n">
        <f aca="false">155115/100</f>
        <v>1551.15</v>
      </c>
      <c r="BA2583" s="11" t="n">
        <v>38796</v>
      </c>
      <c r="BB2583" s="31" t="n">
        <f aca="false">SUM(Q2583,S2583,U2583,W2583,Y2583,AA2583,AC2583,AE2583,AG2583,AI2583,AK2583,AM2583,AO2583,AQ2583,AS2583,AU2583,AW2583,AY2583)</f>
        <v>38796</v>
      </c>
      <c r="BC2583" s="28" t="n">
        <f aca="false">BA2583-BB2583</f>
        <v>0</v>
      </c>
      <c r="BD2583" s="32" t="n">
        <f aca="false">SUM(P2583,R2583,T2583,V2583,X2583,Z2583,AB2583,AD2583,AF2583,AH2583,AJ2583,AL2583,AN2583,AP2583,AR2583,AT2583,AV2583,AX2583)</f>
        <v>1551.85</v>
      </c>
      <c r="BE2583" s="33" t="n">
        <f aca="false">AZ2583-BD2583</f>
        <v>-0.699999999999818</v>
      </c>
      <c r="BF2583" s="34" t="n">
        <f aca="false">BD2583*M2583</f>
        <v>38796.25</v>
      </c>
      <c r="BG2583" s="35" t="n">
        <f aca="false">BA2583-BF2583</f>
        <v>-0.25</v>
      </c>
      <c r="BH2583" s="19" t="str">
        <f aca="false">IF(BG2583=0,"",IF(BG2583&lt;&gt;BA2583,"erreur de calcul",IF(BD2583&lt;&gt;0,"pas de prix",IF(M2583&lt;&gt; 0,"pas de quantité","pas de prix, ni de quantité"))))</f>
        <v>erreur de calcul</v>
      </c>
      <c r="BI2583" s="19"/>
    </row>
    <row r="2584" customFormat="false" ht="15" hidden="false" customHeight="false" outlineLevel="0" collapsed="false">
      <c r="A2584" s="0" t="n">
        <v>48</v>
      </c>
      <c r="B2584" s="8" t="s">
        <v>24</v>
      </c>
      <c r="C2584" s="9" t="s">
        <v>25</v>
      </c>
      <c r="D2584" s="9" t="s">
        <v>26</v>
      </c>
      <c r="E2584" s="10" t="n">
        <v>1789</v>
      </c>
      <c r="F2584" s="9" t="s">
        <v>27</v>
      </c>
      <c r="G2584" s="9" t="s">
        <v>27</v>
      </c>
      <c r="H2584" s="11" t="n">
        <v>21</v>
      </c>
      <c r="I2584" s="11" t="s">
        <v>201</v>
      </c>
      <c r="J2584" s="14"/>
      <c r="K2584" s="14" t="n">
        <v>15</v>
      </c>
      <c r="L2584" s="16"/>
      <c r="M2584" s="27" t="n">
        <f aca="false">J2584+(K2584/20)+(L2584/240)</f>
        <v>0.75</v>
      </c>
      <c r="N2584" s="17" t="s">
        <v>66</v>
      </c>
      <c r="O2584" s="11"/>
      <c r="P2584" s="28"/>
      <c r="Q2584" s="28" t="n">
        <f aca="false">P2584*$M2584</f>
        <v>0</v>
      </c>
      <c r="R2584" s="28"/>
      <c r="S2584" s="28" t="n">
        <f aca="false">R2584*$M2584</f>
        <v>0</v>
      </c>
      <c r="T2584" s="28"/>
      <c r="U2584" s="28" t="n">
        <f aca="false">T2584*$M2584</f>
        <v>0</v>
      </c>
      <c r="V2584" s="28"/>
      <c r="W2584" s="28" t="n">
        <f aca="false">V2584*$M2584</f>
        <v>0</v>
      </c>
      <c r="X2584" s="28"/>
      <c r="Y2584" s="28" t="n">
        <f aca="false">X2584*$M2584</f>
        <v>0</v>
      </c>
      <c r="Z2584" s="28"/>
      <c r="AA2584" s="28" t="n">
        <f aca="false">Z2584*$M2584</f>
        <v>0</v>
      </c>
      <c r="AB2584" s="28"/>
      <c r="AC2584" s="28" t="n">
        <f aca="false">AB2584*$M2584</f>
        <v>0</v>
      </c>
      <c r="AD2584" s="28"/>
      <c r="AE2584" s="28" t="n">
        <f aca="false">AD2584*$M2584</f>
        <v>0</v>
      </c>
      <c r="AF2584" s="28"/>
      <c r="AG2584" s="28" t="n">
        <f aca="false">AF2584*$M2584</f>
        <v>0</v>
      </c>
      <c r="AH2584" s="28"/>
      <c r="AI2584" s="28" t="n">
        <f aca="false">AH2584*$M2584</f>
        <v>0</v>
      </c>
      <c r="AJ2584" s="28" t="n">
        <v>6171</v>
      </c>
      <c r="AK2584" s="28" t="n">
        <v>4628</v>
      </c>
      <c r="AL2584" s="28"/>
      <c r="AM2584" s="28" t="n">
        <f aca="false">AL2584*$M2584</f>
        <v>0</v>
      </c>
      <c r="AN2584" s="28"/>
      <c r="AO2584" s="28" t="n">
        <f aca="false">AN2584*$M2584</f>
        <v>0</v>
      </c>
      <c r="AP2584" s="28"/>
      <c r="AQ2584" s="28" t="n">
        <f aca="false">AP2584*$M2584</f>
        <v>0</v>
      </c>
      <c r="AR2584" s="28"/>
      <c r="AS2584" s="28" t="n">
        <f aca="false">AR2584*$M2584</f>
        <v>0</v>
      </c>
      <c r="AT2584" s="28"/>
      <c r="AU2584" s="28" t="n">
        <f aca="false">AT2584*$M2584</f>
        <v>0</v>
      </c>
      <c r="AV2584" s="28"/>
      <c r="AW2584" s="28" t="n">
        <f aca="false">AV2584*$M2584</f>
        <v>0</v>
      </c>
      <c r="AX2584" s="28"/>
      <c r="AY2584" s="28" t="n">
        <f aca="false">AX2584*$M2584</f>
        <v>0</v>
      </c>
      <c r="AZ2584" s="30" t="n">
        <v>6171</v>
      </c>
      <c r="BA2584" s="11" t="n">
        <v>4628</v>
      </c>
      <c r="BB2584" s="31" t="n">
        <f aca="false">SUM(Q2584,S2584,U2584,W2584,Y2584,AA2584,AC2584,AE2584,AG2584,AI2584,AK2584,AM2584,AO2584,AQ2584,AS2584,AU2584,AW2584,AY2584)</f>
        <v>4628</v>
      </c>
      <c r="BC2584" s="28" t="n">
        <f aca="false">BA2584-BB2584</f>
        <v>0</v>
      </c>
      <c r="BD2584" s="32" t="n">
        <f aca="false">SUM(P2584,R2584,T2584,V2584,X2584,Z2584,AB2584,AD2584,AF2584,AH2584,AJ2584,AL2584,AN2584,AP2584,AR2584,AT2584,AV2584,AX2584)</f>
        <v>6171</v>
      </c>
      <c r="BE2584" s="33" t="n">
        <f aca="false">AZ2584-BD2584</f>
        <v>0</v>
      </c>
      <c r="BF2584" s="34" t="n">
        <f aca="false">BD2584*M2584</f>
        <v>4628.25</v>
      </c>
      <c r="BG2584" s="35" t="n">
        <f aca="false">BA2584-BF2584</f>
        <v>-0.25</v>
      </c>
      <c r="BH2584" s="19" t="str">
        <f aca="false">IF(BG2584=0,"",IF(BG2584&lt;&gt;BA2584,"erreur de calcul",IF(BD2584&lt;&gt;0,"pas de prix",IF(M2584&lt;&gt; 0,"pas de quantité","pas de prix, ni de quantité"))))</f>
        <v>erreur de calcul</v>
      </c>
      <c r="BI2584" s="19"/>
    </row>
    <row r="2585" customFormat="false" ht="15" hidden="false" customHeight="false" outlineLevel="0" collapsed="false">
      <c r="A2585" s="0" t="n">
        <v>1</v>
      </c>
      <c r="B2585" s="8" t="s">
        <v>24</v>
      </c>
      <c r="C2585" s="9" t="s">
        <v>25</v>
      </c>
      <c r="D2585" s="9" t="s">
        <v>26</v>
      </c>
      <c r="E2585" s="10" t="n">
        <v>1789</v>
      </c>
      <c r="F2585" s="9" t="s">
        <v>27</v>
      </c>
      <c r="G2585" s="9" t="s">
        <v>27</v>
      </c>
      <c r="H2585" s="11" t="n">
        <v>22</v>
      </c>
      <c r="I2585" s="11" t="s">
        <v>202</v>
      </c>
      <c r="J2585" s="14" t="n">
        <v>10</v>
      </c>
      <c r="K2585" s="14"/>
      <c r="L2585" s="16"/>
      <c r="M2585" s="27" t="n">
        <f aca="false">J2585+(K2585/20)+(L2585/240)</f>
        <v>10</v>
      </c>
      <c r="N2585" s="17" t="s">
        <v>64</v>
      </c>
      <c r="O2585" s="11"/>
      <c r="P2585" s="28" t="n">
        <f aca="false">36147/100</f>
        <v>361.47</v>
      </c>
      <c r="Q2585" s="28" t="n">
        <v>3615</v>
      </c>
      <c r="R2585" s="28"/>
      <c r="S2585" s="28" t="n">
        <f aca="false">R2585*$M2585</f>
        <v>0</v>
      </c>
      <c r="T2585" s="28"/>
      <c r="U2585" s="28" t="n">
        <f aca="false">T2585*$M2585</f>
        <v>0</v>
      </c>
      <c r="V2585" s="28"/>
      <c r="W2585" s="28" t="n">
        <f aca="false">V2585*$M2585</f>
        <v>0</v>
      </c>
      <c r="X2585" s="28"/>
      <c r="Y2585" s="28" t="n">
        <f aca="false">X2585*$M2585</f>
        <v>0</v>
      </c>
      <c r="Z2585" s="28"/>
      <c r="AA2585" s="28" t="n">
        <f aca="false">Z2585*$M2585</f>
        <v>0</v>
      </c>
      <c r="AB2585" s="28" t="n">
        <f aca="false">14437/100</f>
        <v>144.37</v>
      </c>
      <c r="AC2585" s="28" t="n">
        <v>1444</v>
      </c>
      <c r="AD2585" s="28"/>
      <c r="AE2585" s="28" t="n">
        <f aca="false">AD2585*$M2585</f>
        <v>0</v>
      </c>
      <c r="AF2585" s="28"/>
      <c r="AG2585" s="28" t="n">
        <f aca="false">AF2585*$M2585</f>
        <v>0</v>
      </c>
      <c r="AH2585" s="28"/>
      <c r="AI2585" s="28" t="n">
        <f aca="false">AH2585*$M2585</f>
        <v>0</v>
      </c>
      <c r="AJ2585" s="28" t="n">
        <f aca="false">36351/100</f>
        <v>363.51</v>
      </c>
      <c r="AK2585" s="28" t="n">
        <v>3635</v>
      </c>
      <c r="AL2585" s="28"/>
      <c r="AM2585" s="28" t="n">
        <f aca="false">AL2585*$M2585</f>
        <v>0</v>
      </c>
      <c r="AN2585" s="28"/>
      <c r="AO2585" s="28" t="n">
        <f aca="false">AN2585*$M2585</f>
        <v>0</v>
      </c>
      <c r="AP2585" s="28"/>
      <c r="AQ2585" s="28" t="n">
        <f aca="false">AP2585*$M2585</f>
        <v>0</v>
      </c>
      <c r="AR2585" s="28" t="n">
        <f aca="false">25120/100</f>
        <v>251.2</v>
      </c>
      <c r="AS2585" s="28" t="n">
        <v>2512</v>
      </c>
      <c r="AT2585" s="28"/>
      <c r="AU2585" s="28" t="n">
        <f aca="false">AT2585*$M2585</f>
        <v>0</v>
      </c>
      <c r="AV2585" s="28"/>
      <c r="AW2585" s="28" t="n">
        <f aca="false">AV2585*$M2585</f>
        <v>0</v>
      </c>
      <c r="AX2585" s="28"/>
      <c r="AY2585" s="28" t="n">
        <f aca="false">AX2585*$M2585</f>
        <v>0</v>
      </c>
      <c r="AZ2585" s="30" t="n">
        <f aca="false">112055/100</f>
        <v>1120.55</v>
      </c>
      <c r="BA2585" s="11" t="n">
        <v>11206</v>
      </c>
      <c r="BB2585" s="31" t="n">
        <f aca="false">SUM(Q2585,S2585,U2585,W2585,Y2585,AA2585,AC2585,AE2585,AG2585,AI2585,AK2585,AM2585,AO2585,AQ2585,AS2585,AU2585,AW2585,AY2585)</f>
        <v>11206</v>
      </c>
      <c r="BC2585" s="28" t="n">
        <f aca="false">BA2585-BB2585</f>
        <v>0</v>
      </c>
      <c r="BD2585" s="32" t="n">
        <f aca="false">SUM(P2585,R2585,T2585,V2585,X2585,Z2585,AB2585,AD2585,AF2585,AH2585,AJ2585,AL2585,AN2585,AP2585,AR2585,AT2585,AV2585,AX2585)</f>
        <v>1120.55</v>
      </c>
      <c r="BE2585" s="33" t="n">
        <f aca="false">AZ2585-BD2585</f>
        <v>0</v>
      </c>
      <c r="BF2585" s="34" t="n">
        <f aca="false">BD2585*M2585</f>
        <v>11205.5</v>
      </c>
      <c r="BG2585" s="35" t="n">
        <f aca="false">BA2585-BF2585</f>
        <v>0.499999999998181</v>
      </c>
      <c r="BH2585" s="19" t="str">
        <f aca="false">IF(BG2585=0,"",IF(BG2585&lt;&gt;BA2585,"erreur de calcul",IF(BD2585&lt;&gt;0,"pas de prix",IF(M2585&lt;&gt; 0,"pas de quantité","pas de prix, ni de quantité"))))</f>
        <v>erreur de calcul</v>
      </c>
      <c r="BI2585" s="19"/>
    </row>
    <row r="2586" customFormat="false" ht="15" hidden="false" customHeight="false" outlineLevel="0" collapsed="false">
      <c r="A2586" s="0" t="n">
        <v>2</v>
      </c>
      <c r="B2586" s="8" t="s">
        <v>24</v>
      </c>
      <c r="C2586" s="9" t="s">
        <v>25</v>
      </c>
      <c r="D2586" s="9" t="s">
        <v>26</v>
      </c>
      <c r="E2586" s="10" t="n">
        <v>1789</v>
      </c>
      <c r="F2586" s="9" t="s">
        <v>27</v>
      </c>
      <c r="G2586" s="9" t="s">
        <v>27</v>
      </c>
      <c r="H2586" s="11" t="n">
        <v>22</v>
      </c>
      <c r="I2586" s="11" t="s">
        <v>203</v>
      </c>
      <c r="J2586" s="14" t="n">
        <v>20</v>
      </c>
      <c r="K2586" s="14"/>
      <c r="L2586" s="16"/>
      <c r="M2586" s="27" t="n">
        <f aca="false">J2586+(K2586/20)+(L2586/240)</f>
        <v>20</v>
      </c>
      <c r="N2586" s="17" t="s">
        <v>64</v>
      </c>
      <c r="O2586" s="11"/>
      <c r="P2586" s="28"/>
      <c r="Q2586" s="28" t="n">
        <f aca="false">P2586*$M2586</f>
        <v>0</v>
      </c>
      <c r="R2586" s="28"/>
      <c r="S2586" s="28" t="n">
        <f aca="false">R2586*$M2586</f>
        <v>0</v>
      </c>
      <c r="T2586" s="28"/>
      <c r="U2586" s="28" t="n">
        <f aca="false">T2586*$M2586</f>
        <v>0</v>
      </c>
      <c r="V2586" s="28"/>
      <c r="W2586" s="28" t="n">
        <f aca="false">V2586*$M2586</f>
        <v>0</v>
      </c>
      <c r="X2586" s="28"/>
      <c r="Y2586" s="28" t="n">
        <f aca="false">X2586*$M2586</f>
        <v>0</v>
      </c>
      <c r="Z2586" s="28"/>
      <c r="AA2586" s="28" t="n">
        <f aca="false">Z2586*$M2586</f>
        <v>0</v>
      </c>
      <c r="AB2586" s="28"/>
      <c r="AC2586" s="28" t="n">
        <f aca="false">AB2586*$M2586</f>
        <v>0</v>
      </c>
      <c r="AD2586" s="28"/>
      <c r="AE2586" s="28" t="n">
        <f aca="false">AD2586*$M2586</f>
        <v>0</v>
      </c>
      <c r="AF2586" s="28"/>
      <c r="AG2586" s="28" t="n">
        <f aca="false">AF2586*$M2586</f>
        <v>0</v>
      </c>
      <c r="AH2586" s="28"/>
      <c r="AI2586" s="28" t="n">
        <f aca="false">AH2586*$M2586</f>
        <v>0</v>
      </c>
      <c r="AJ2586" s="28" t="n">
        <f aca="false">109254/100</f>
        <v>1092.54</v>
      </c>
      <c r="AK2586" s="28" t="n">
        <v>21851</v>
      </c>
      <c r="AL2586" s="28"/>
      <c r="AM2586" s="28" t="n">
        <f aca="false">AL2586*$M2586</f>
        <v>0</v>
      </c>
      <c r="AN2586" s="28"/>
      <c r="AO2586" s="28" t="n">
        <f aca="false">AN2586*$M2586</f>
        <v>0</v>
      </c>
      <c r="AP2586" s="28"/>
      <c r="AQ2586" s="28" t="n">
        <f aca="false">AP2586*$M2586</f>
        <v>0</v>
      </c>
      <c r="AR2586" s="28"/>
      <c r="AS2586" s="28" t="n">
        <f aca="false">AR2586*$M2586</f>
        <v>0</v>
      </c>
      <c r="AT2586" s="28"/>
      <c r="AU2586" s="28" t="n">
        <f aca="false">AT2586*$M2586</f>
        <v>0</v>
      </c>
      <c r="AV2586" s="28"/>
      <c r="AW2586" s="28" t="n">
        <f aca="false">AV2586*$M2586</f>
        <v>0</v>
      </c>
      <c r="AX2586" s="28"/>
      <c r="AY2586" s="28" t="n">
        <f aca="false">AX2586*$M2586</f>
        <v>0</v>
      </c>
      <c r="AZ2586" s="30" t="n">
        <f aca="false">109254/100</f>
        <v>1092.54</v>
      </c>
      <c r="BA2586" s="11" t="n">
        <v>21851</v>
      </c>
      <c r="BB2586" s="31" t="n">
        <f aca="false">SUM(Q2586,S2586,U2586,W2586,Y2586,AA2586,AC2586,AE2586,AG2586,AI2586,AK2586,AM2586,AO2586,AQ2586,AS2586,AU2586,AW2586,AY2586)</f>
        <v>21851</v>
      </c>
      <c r="BC2586" s="28" t="n">
        <f aca="false">BA2586-BB2586</f>
        <v>0</v>
      </c>
      <c r="BD2586" s="32" t="n">
        <f aca="false">SUM(P2586,R2586,T2586,V2586,X2586,Z2586,AB2586,AD2586,AF2586,AH2586,AJ2586,AL2586,AN2586,AP2586,AR2586,AT2586,AV2586,AX2586)</f>
        <v>1092.54</v>
      </c>
      <c r="BE2586" s="33" t="n">
        <f aca="false">AZ2586-BD2586</f>
        <v>0</v>
      </c>
      <c r="BF2586" s="34" t="n">
        <f aca="false">BD2586*M2586</f>
        <v>21850.8</v>
      </c>
      <c r="BG2586" s="35" t="n">
        <f aca="false">BA2586-BF2586</f>
        <v>0.200000000000728</v>
      </c>
      <c r="BH2586" s="19" t="str">
        <f aca="false">IF(BG2586=0,"",IF(BG2586&lt;&gt;BA2586,"erreur de calcul",IF(BD2586&lt;&gt;0,"pas de prix",IF(M2586&lt;&gt; 0,"pas de quantité","pas de prix, ni de quantité"))))</f>
        <v>erreur de calcul</v>
      </c>
      <c r="BI2586" s="19"/>
    </row>
    <row r="2587" customFormat="false" ht="15" hidden="false" customHeight="false" outlineLevel="0" collapsed="false">
      <c r="A2587" s="0" t="n">
        <v>3</v>
      </c>
      <c r="B2587" s="8" t="s">
        <v>24</v>
      </c>
      <c r="C2587" s="9" t="s">
        <v>25</v>
      </c>
      <c r="D2587" s="9" t="s">
        <v>26</v>
      </c>
      <c r="E2587" s="10" t="n">
        <v>1789</v>
      </c>
      <c r="F2587" s="9" t="s">
        <v>27</v>
      </c>
      <c r="G2587" s="9" t="s">
        <v>27</v>
      </c>
      <c r="H2587" s="11" t="n">
        <v>22</v>
      </c>
      <c r="I2587" s="11" t="s">
        <v>204</v>
      </c>
      <c r="J2587" s="14" t="n">
        <v>20</v>
      </c>
      <c r="K2587" s="14"/>
      <c r="L2587" s="16"/>
      <c r="M2587" s="27" t="n">
        <f aca="false">J2587+(K2587/20)+(L2587/240)</f>
        <v>20</v>
      </c>
      <c r="N2587" s="17" t="s">
        <v>66</v>
      </c>
      <c r="O2587" s="11"/>
      <c r="P2587" s="28" t="n">
        <v>106125</v>
      </c>
      <c r="Q2587" s="36" t="n">
        <v>2162500</v>
      </c>
      <c r="R2587" s="28"/>
      <c r="S2587" s="28" t="n">
        <f aca="false">R2587*$M2587</f>
        <v>0</v>
      </c>
      <c r="T2587" s="28"/>
      <c r="U2587" s="28" t="n">
        <f aca="false">T2587*$M2587</f>
        <v>0</v>
      </c>
      <c r="V2587" s="28"/>
      <c r="W2587" s="28" t="n">
        <f aca="false">V2587*$M2587</f>
        <v>0</v>
      </c>
      <c r="X2587" s="28"/>
      <c r="Y2587" s="28" t="n">
        <f aca="false">X2587*$M2587</f>
        <v>0</v>
      </c>
      <c r="Z2587" s="28"/>
      <c r="AA2587" s="28" t="n">
        <f aca="false">Z2587*$M2587</f>
        <v>0</v>
      </c>
      <c r="AB2587" s="28"/>
      <c r="AC2587" s="28" t="n">
        <f aca="false">AB2587*$M2587</f>
        <v>0</v>
      </c>
      <c r="AD2587" s="28"/>
      <c r="AE2587" s="28" t="n">
        <f aca="false">AD2587*$M2587</f>
        <v>0</v>
      </c>
      <c r="AF2587" s="28"/>
      <c r="AG2587" s="28" t="n">
        <f aca="false">AF2587*$M2587</f>
        <v>0</v>
      </c>
      <c r="AH2587" s="28"/>
      <c r="AI2587" s="28" t="n">
        <f aca="false">AH2587*$M2587</f>
        <v>0</v>
      </c>
      <c r="AJ2587" s="28"/>
      <c r="AK2587" s="28" t="n">
        <f aca="false">AJ2587*$M2587</f>
        <v>0</v>
      </c>
      <c r="AL2587" s="28"/>
      <c r="AM2587" s="28" t="n">
        <f aca="false">AL2587*$M2587</f>
        <v>0</v>
      </c>
      <c r="AN2587" s="28"/>
      <c r="AO2587" s="28" t="n">
        <f aca="false">AN2587*$M2587</f>
        <v>0</v>
      </c>
      <c r="AP2587" s="28"/>
      <c r="AQ2587" s="28" t="n">
        <f aca="false">AP2587*$M2587</f>
        <v>0</v>
      </c>
      <c r="AR2587" s="28"/>
      <c r="AS2587" s="28" t="n">
        <f aca="false">AR2587*$M2587</f>
        <v>0</v>
      </c>
      <c r="AT2587" s="28"/>
      <c r="AU2587" s="28" t="n">
        <f aca="false">AT2587*$M2587</f>
        <v>0</v>
      </c>
      <c r="AV2587" s="28"/>
      <c r="AW2587" s="28" t="n">
        <f aca="false">AV2587*$M2587</f>
        <v>0</v>
      </c>
      <c r="AX2587" s="28"/>
      <c r="AY2587" s="28" t="n">
        <f aca="false">AX2587*$M2587</f>
        <v>0</v>
      </c>
      <c r="AZ2587" s="30" t="n">
        <v>108125</v>
      </c>
      <c r="BA2587" s="11" t="n">
        <v>2162500</v>
      </c>
      <c r="BB2587" s="31" t="n">
        <f aca="false">SUM(Q2587,S2587,U2587,W2587,Y2587,AA2587,AC2587,AE2587,AG2587,AI2587,AK2587,AM2587,AO2587,AQ2587,AS2587,AU2587,AW2587,AY2587)</f>
        <v>2162500</v>
      </c>
      <c r="BC2587" s="28" t="n">
        <f aca="false">BA2587-BB2587</f>
        <v>0</v>
      </c>
      <c r="BD2587" s="32" t="n">
        <f aca="false">SUM(P2587,R2587,T2587,V2587,X2587,Z2587,AB2587,AD2587,AF2587,AH2587,AJ2587,AL2587,AN2587,AP2587,AR2587,AT2587,AV2587,AX2587)</f>
        <v>106125</v>
      </c>
      <c r="BE2587" s="33" t="n">
        <f aca="false">AZ2587-BD2587</f>
        <v>2000</v>
      </c>
      <c r="BF2587" s="34" t="n">
        <f aca="false">BD2587*M2587</f>
        <v>2122500</v>
      </c>
      <c r="BG2587" s="35" t="n">
        <f aca="false">BA2587-BF2587</f>
        <v>40000</v>
      </c>
      <c r="BH2587" s="19" t="str">
        <f aca="false">IF(BG2587=0,"",IF(BG2587&lt;&gt;BA2587,"erreur de calcul",IF(BD2587&lt;&gt;0,"pas de prix",IF(M2587&lt;&gt; 0,"pas de quantité","pas de prix, ni de quantité"))))</f>
        <v>erreur de calcul</v>
      </c>
      <c r="BI2587" s="19"/>
    </row>
    <row r="2588" customFormat="false" ht="15" hidden="false" customHeight="false" outlineLevel="0" collapsed="false">
      <c r="A2588" s="0" t="n">
        <v>4</v>
      </c>
      <c r="B2588" s="8" t="s">
        <v>24</v>
      </c>
      <c r="C2588" s="9" t="s">
        <v>25</v>
      </c>
      <c r="D2588" s="9" t="s">
        <v>26</v>
      </c>
      <c r="E2588" s="10" t="n">
        <v>1789</v>
      </c>
      <c r="F2588" s="9" t="s">
        <v>27</v>
      </c>
      <c r="G2588" s="9" t="s">
        <v>27</v>
      </c>
      <c r="H2588" s="11" t="n">
        <v>22</v>
      </c>
      <c r="I2588" s="11" t="s">
        <v>205</v>
      </c>
      <c r="J2588" s="14" t="n">
        <v>15</v>
      </c>
      <c r="K2588" s="14"/>
      <c r="L2588" s="16"/>
      <c r="M2588" s="27" t="n">
        <f aca="false">J2588+(K2588/20)+(L2588/240)</f>
        <v>15</v>
      </c>
      <c r="N2588" s="17" t="s">
        <v>64</v>
      </c>
      <c r="O2588" s="11"/>
      <c r="P2588" s="28"/>
      <c r="Q2588" s="28" t="n">
        <f aca="false">P2588*$M2588</f>
        <v>0</v>
      </c>
      <c r="R2588" s="28"/>
      <c r="S2588" s="28" t="n">
        <f aca="false">R2588*$M2588</f>
        <v>0</v>
      </c>
      <c r="T2588" s="28"/>
      <c r="U2588" s="28" t="n">
        <f aca="false">T2588*$M2588</f>
        <v>0</v>
      </c>
      <c r="V2588" s="28"/>
      <c r="W2588" s="28" t="n">
        <f aca="false">V2588*$M2588</f>
        <v>0</v>
      </c>
      <c r="X2588" s="28" t="n">
        <f aca="false">27897/100</f>
        <v>278.97</v>
      </c>
      <c r="Y2588" s="28" t="n">
        <v>4184</v>
      </c>
      <c r="Z2588" s="28"/>
      <c r="AA2588" s="28" t="n">
        <f aca="false">Z2588*$M2588</f>
        <v>0</v>
      </c>
      <c r="AB2588" s="28"/>
      <c r="AC2588" s="28" t="n">
        <f aca="false">AB2588*$M2588</f>
        <v>0</v>
      </c>
      <c r="AD2588" s="28"/>
      <c r="AE2588" s="28" t="n">
        <f aca="false">AD2588*$M2588</f>
        <v>0</v>
      </c>
      <c r="AF2588" s="28"/>
      <c r="AG2588" s="28" t="n">
        <f aca="false">AF2588*$M2588</f>
        <v>0</v>
      </c>
      <c r="AH2588" s="28"/>
      <c r="AI2588" s="28" t="n">
        <f aca="false">AH2588*$M2588</f>
        <v>0</v>
      </c>
      <c r="AJ2588" s="28" t="n">
        <f aca="false">63734/100</f>
        <v>637.34</v>
      </c>
      <c r="AK2588" s="28" t="n">
        <v>9560</v>
      </c>
      <c r="AL2588" s="28"/>
      <c r="AM2588" s="28" t="n">
        <f aca="false">AL2588*$M2588</f>
        <v>0</v>
      </c>
      <c r="AN2588" s="28"/>
      <c r="AO2588" s="28" t="n">
        <f aca="false">AN2588*$M2588</f>
        <v>0</v>
      </c>
      <c r="AP2588" s="28"/>
      <c r="AQ2588" s="28" t="n">
        <f aca="false">AP2588*$M2588</f>
        <v>0</v>
      </c>
      <c r="AR2588" s="28"/>
      <c r="AS2588" s="28" t="n">
        <f aca="false">AR2588*$M2588</f>
        <v>0</v>
      </c>
      <c r="AT2588" s="28"/>
      <c r="AU2588" s="28" t="n">
        <f aca="false">AT2588*$M2588</f>
        <v>0</v>
      </c>
      <c r="AV2588" s="28"/>
      <c r="AW2588" s="28" t="n">
        <f aca="false">AV2588*$M2588</f>
        <v>0</v>
      </c>
      <c r="AX2588" s="28"/>
      <c r="AY2588" s="28" t="n">
        <f aca="false">AX2588*$M2588</f>
        <v>0</v>
      </c>
      <c r="AZ2588" s="30" t="n">
        <f aca="false">91631/100</f>
        <v>916.31</v>
      </c>
      <c r="BA2588" s="11" t="n">
        <v>13744</v>
      </c>
      <c r="BB2588" s="31" t="n">
        <f aca="false">SUM(Q2588,S2588,U2588,W2588,Y2588,AA2588,AC2588,AE2588,AG2588,AI2588,AK2588,AM2588,AO2588,AQ2588,AS2588,AU2588,AW2588,AY2588)</f>
        <v>13744</v>
      </c>
      <c r="BC2588" s="28" t="n">
        <f aca="false">BA2588-BB2588</f>
        <v>0</v>
      </c>
      <c r="BD2588" s="32" t="n">
        <f aca="false">SUM(P2588,R2588,T2588,V2588,X2588,Z2588,AB2588,AD2588,AF2588,AH2588,AJ2588,AL2588,AN2588,AP2588,AR2588,AT2588,AV2588,AX2588)</f>
        <v>916.31</v>
      </c>
      <c r="BE2588" s="33" t="n">
        <f aca="false">AZ2588-BD2588</f>
        <v>0</v>
      </c>
      <c r="BF2588" s="34" t="n">
        <f aca="false">BD2588*M2588</f>
        <v>13744.65</v>
      </c>
      <c r="BG2588" s="35" t="n">
        <f aca="false">BA2588-BF2588</f>
        <v>-0.650000000001455</v>
      </c>
      <c r="BH2588" s="19" t="str">
        <f aca="false">IF(BG2588=0,"",IF(BG2588&lt;&gt;BA2588,"erreur de calcul",IF(BD2588&lt;&gt;0,"pas de prix",IF(M2588&lt;&gt; 0,"pas de quantité","pas de prix, ni de quantité"))))</f>
        <v>erreur de calcul</v>
      </c>
      <c r="BI2588" s="19"/>
    </row>
    <row r="2589" customFormat="false" ht="15" hidden="false" customHeight="false" outlineLevel="0" collapsed="false">
      <c r="A2589" s="0" t="n">
        <v>5</v>
      </c>
      <c r="B2589" s="8" t="s">
        <v>24</v>
      </c>
      <c r="C2589" s="9" t="s">
        <v>25</v>
      </c>
      <c r="D2589" s="9" t="s">
        <v>26</v>
      </c>
      <c r="E2589" s="10" t="n">
        <v>1789</v>
      </c>
      <c r="F2589" s="9" t="s">
        <v>27</v>
      </c>
      <c r="G2589" s="9" t="s">
        <v>27</v>
      </c>
      <c r="H2589" s="11" t="n">
        <v>22</v>
      </c>
      <c r="I2589" s="11" t="s">
        <v>206</v>
      </c>
      <c r="J2589" s="14" t="n">
        <v>30</v>
      </c>
      <c r="K2589" s="14"/>
      <c r="L2589" s="16"/>
      <c r="M2589" s="27" t="n">
        <f aca="false">J2589+(K2589/20)+(L2589/240)</f>
        <v>30</v>
      </c>
      <c r="N2589" s="17" t="s">
        <v>64</v>
      </c>
      <c r="O2589" s="11"/>
      <c r="P2589" s="28" t="n">
        <f aca="false">8334/100</f>
        <v>83.34</v>
      </c>
      <c r="Q2589" s="28" t="n">
        <v>2500</v>
      </c>
      <c r="R2589" s="28"/>
      <c r="S2589" s="28" t="n">
        <f aca="false">R2589*$M2589</f>
        <v>0</v>
      </c>
      <c r="T2589" s="28"/>
      <c r="U2589" s="28" t="n">
        <f aca="false">T2589*$M2589</f>
        <v>0</v>
      </c>
      <c r="V2589" s="28"/>
      <c r="W2589" s="28" t="n">
        <f aca="false">V2589*$M2589</f>
        <v>0</v>
      </c>
      <c r="X2589" s="28"/>
      <c r="Y2589" s="28" t="n">
        <f aca="false">X2589*$M2589</f>
        <v>0</v>
      </c>
      <c r="Z2589" s="28"/>
      <c r="AA2589" s="28" t="n">
        <f aca="false">Z2589*$M2589</f>
        <v>0</v>
      </c>
      <c r="AB2589" s="28"/>
      <c r="AC2589" s="28" t="n">
        <f aca="false">AB2589*$M2589</f>
        <v>0</v>
      </c>
      <c r="AD2589" s="28"/>
      <c r="AE2589" s="28" t="n">
        <f aca="false">AD2589*$M2589</f>
        <v>0</v>
      </c>
      <c r="AF2589" s="28"/>
      <c r="AG2589" s="28" t="n">
        <f aca="false">AF2589*$M2589</f>
        <v>0</v>
      </c>
      <c r="AH2589" s="28"/>
      <c r="AI2589" s="28" t="n">
        <f aca="false">AH2589*$M2589</f>
        <v>0</v>
      </c>
      <c r="AJ2589" s="28"/>
      <c r="AK2589" s="28" t="n">
        <f aca="false">AJ2589*$M2589</f>
        <v>0</v>
      </c>
      <c r="AL2589" s="28"/>
      <c r="AM2589" s="28" t="n">
        <f aca="false">AL2589*$M2589</f>
        <v>0</v>
      </c>
      <c r="AN2589" s="28"/>
      <c r="AO2589" s="28" t="n">
        <f aca="false">AN2589*$M2589</f>
        <v>0</v>
      </c>
      <c r="AP2589" s="28"/>
      <c r="AQ2589" s="28" t="n">
        <f aca="false">AP2589*$M2589</f>
        <v>0</v>
      </c>
      <c r="AR2589" s="28"/>
      <c r="AS2589" s="28" t="n">
        <f aca="false">AR2589*$M2589</f>
        <v>0</v>
      </c>
      <c r="AT2589" s="28"/>
      <c r="AU2589" s="28" t="n">
        <f aca="false">AT2589*$M2589</f>
        <v>0</v>
      </c>
      <c r="AV2589" s="28"/>
      <c r="AW2589" s="28" t="n">
        <f aca="false">AV2589*$M2589</f>
        <v>0</v>
      </c>
      <c r="AX2589" s="28"/>
      <c r="AY2589" s="28" t="n">
        <f aca="false">AX2589*$M2589</f>
        <v>0</v>
      </c>
      <c r="AZ2589" s="30" t="n">
        <f aca="false">8334/100</f>
        <v>83.34</v>
      </c>
      <c r="BA2589" s="11" t="n">
        <v>2500</v>
      </c>
      <c r="BB2589" s="31" t="n">
        <f aca="false">SUM(Q2589,S2589,U2589,W2589,Y2589,AA2589,AC2589,AE2589,AG2589,AI2589,AK2589,AM2589,AO2589,AQ2589,AS2589,AU2589,AW2589,AY2589)</f>
        <v>2500</v>
      </c>
      <c r="BC2589" s="28" t="n">
        <f aca="false">BA2589-BB2589</f>
        <v>0</v>
      </c>
      <c r="BD2589" s="32" t="n">
        <f aca="false">SUM(P2589,R2589,T2589,V2589,X2589,Z2589,AB2589,AD2589,AF2589,AH2589,AJ2589,AL2589,AN2589,AP2589,AR2589,AT2589,AV2589,AX2589)</f>
        <v>83.34</v>
      </c>
      <c r="BE2589" s="33" t="n">
        <f aca="false">AZ2589-BD2589</f>
        <v>0</v>
      </c>
      <c r="BF2589" s="34" t="n">
        <f aca="false">BD2589*M2589</f>
        <v>2500.2</v>
      </c>
      <c r="BG2589" s="35" t="n">
        <f aca="false">BA2589-BF2589</f>
        <v>-0.200000000000273</v>
      </c>
      <c r="BH2589" s="19" t="str">
        <f aca="false">IF(BG2589=0,"",IF(BG2589&lt;&gt;BA2589,"erreur de calcul",IF(BD2589&lt;&gt;0,"pas de prix",IF(M2589&lt;&gt; 0,"pas de quantité","pas de prix, ni de quantité"))))</f>
        <v>erreur de calcul</v>
      </c>
      <c r="BI2589" s="19"/>
    </row>
    <row r="2590" customFormat="false" ht="15" hidden="false" customHeight="false" outlineLevel="0" collapsed="false">
      <c r="A2590" s="0" t="n">
        <v>6</v>
      </c>
      <c r="B2590" s="8" t="s">
        <v>24</v>
      </c>
      <c r="C2590" s="9" t="s">
        <v>25</v>
      </c>
      <c r="D2590" s="9" t="s">
        <v>26</v>
      </c>
      <c r="E2590" s="10" t="n">
        <v>1789</v>
      </c>
      <c r="F2590" s="9" t="s">
        <v>27</v>
      </c>
      <c r="G2590" s="9" t="s">
        <v>27</v>
      </c>
      <c r="H2590" s="11" t="n">
        <v>22</v>
      </c>
      <c r="I2590" s="11" t="s">
        <v>207</v>
      </c>
      <c r="J2590" s="14"/>
      <c r="K2590" s="14" t="n">
        <v>20</v>
      </c>
      <c r="L2590" s="16"/>
      <c r="M2590" s="27" t="n">
        <f aca="false">J2590+(K2590/20)+(L2590/240)</f>
        <v>1</v>
      </c>
      <c r="N2590" s="17" t="s">
        <v>66</v>
      </c>
      <c r="O2590" s="11"/>
      <c r="P2590" s="28"/>
      <c r="Q2590" s="28" t="n">
        <f aca="false">P2590*$M2590</f>
        <v>0</v>
      </c>
      <c r="R2590" s="28"/>
      <c r="S2590" s="28" t="n">
        <f aca="false">R2590*$M2590</f>
        <v>0</v>
      </c>
      <c r="T2590" s="28"/>
      <c r="U2590" s="28" t="n">
        <f aca="false">T2590*$M2590</f>
        <v>0</v>
      </c>
      <c r="V2590" s="28" t="n">
        <v>33010</v>
      </c>
      <c r="W2590" s="28" t="n">
        <v>33010</v>
      </c>
      <c r="X2590" s="28" t="n">
        <v>292003</v>
      </c>
      <c r="Y2590" s="28" t="n">
        <v>292003</v>
      </c>
      <c r="Z2590" s="28" t="n">
        <v>15558</v>
      </c>
      <c r="AA2590" s="28" t="n">
        <v>15558</v>
      </c>
      <c r="AB2590" s="28" t="n">
        <v>80515</v>
      </c>
      <c r="AC2590" s="28" t="n">
        <v>80515</v>
      </c>
      <c r="AD2590" s="28"/>
      <c r="AE2590" s="28" t="n">
        <f aca="false">AD2590*$M2590</f>
        <v>0</v>
      </c>
      <c r="AF2590" s="28"/>
      <c r="AG2590" s="28" t="n">
        <f aca="false">AF2590*$M2590</f>
        <v>0</v>
      </c>
      <c r="AH2590" s="28" t="n">
        <v>515373</v>
      </c>
      <c r="AI2590" s="28" t="n">
        <v>515373</v>
      </c>
      <c r="AJ2590" s="28"/>
      <c r="AK2590" s="28" t="n">
        <f aca="false">AJ2590*$M2590</f>
        <v>0</v>
      </c>
      <c r="AL2590" s="28" t="n">
        <v>3480</v>
      </c>
      <c r="AM2590" s="28" t="n">
        <v>3480</v>
      </c>
      <c r="AN2590" s="28"/>
      <c r="AO2590" s="28" t="n">
        <f aca="false">AN2590*$M2590</f>
        <v>0</v>
      </c>
      <c r="AP2590" s="28"/>
      <c r="AQ2590" s="28" t="n">
        <f aca="false">AP2590*$M2590</f>
        <v>0</v>
      </c>
      <c r="AR2590" s="28"/>
      <c r="AS2590" s="28" t="n">
        <f aca="false">AR2590*$M2590</f>
        <v>0</v>
      </c>
      <c r="AT2590" s="28"/>
      <c r="AU2590" s="28" t="n">
        <f aca="false">AT2590*$M2590</f>
        <v>0</v>
      </c>
      <c r="AV2590" s="28"/>
      <c r="AW2590" s="28" t="n">
        <f aca="false">AV2590*$M2590</f>
        <v>0</v>
      </c>
      <c r="AX2590" s="28"/>
      <c r="AY2590" s="28" t="n">
        <f aca="false">AX2590*$M2590</f>
        <v>0</v>
      </c>
      <c r="AZ2590" s="30" t="n">
        <v>939939</v>
      </c>
      <c r="BA2590" s="11" t="n">
        <v>939939</v>
      </c>
      <c r="BB2590" s="31" t="n">
        <f aca="false">SUM(Q2590,S2590,U2590,W2590,Y2590,AA2590,AC2590,AE2590,AG2590,AI2590,AK2590,AM2590,AO2590,AQ2590,AS2590,AU2590,AW2590,AY2590)</f>
        <v>939939</v>
      </c>
      <c r="BC2590" s="28" t="n">
        <f aca="false">BA2590-BB2590</f>
        <v>0</v>
      </c>
      <c r="BD2590" s="32" t="n">
        <f aca="false">SUM(P2590,R2590,T2590,V2590,X2590,Z2590,AB2590,AD2590,AF2590,AH2590,AJ2590,AL2590,AN2590,AP2590,AR2590,AT2590,AV2590,AX2590)</f>
        <v>939939</v>
      </c>
      <c r="BE2590" s="33" t="n">
        <f aca="false">AZ2590-BD2590</f>
        <v>0</v>
      </c>
      <c r="BF2590" s="34" t="n">
        <f aca="false">BD2590*M2590</f>
        <v>939939</v>
      </c>
      <c r="BG2590" s="35" t="n">
        <f aca="false">BA2590-BF2590</f>
        <v>0</v>
      </c>
      <c r="BH2590" s="19" t="str">
        <f aca="false">IF(BG2590=0,"",IF(BG2590&lt;&gt;BA2590,"erreur de calcul",IF(BD2590&lt;&gt;0,"pas de prix",IF(M2590&lt;&gt; 0,"pas de quantité","pas de prix, ni de quantité"))))</f>
        <v/>
      </c>
      <c r="BI2590" s="19"/>
    </row>
    <row r="2591" customFormat="false" ht="15" hidden="false" customHeight="false" outlineLevel="0" collapsed="false">
      <c r="A2591" s="0" t="n">
        <v>7</v>
      </c>
      <c r="B2591" s="8" t="s">
        <v>24</v>
      </c>
      <c r="C2591" s="9" t="s">
        <v>25</v>
      </c>
      <c r="D2591" s="9" t="s">
        <v>26</v>
      </c>
      <c r="E2591" s="10" t="n">
        <v>1789</v>
      </c>
      <c r="F2591" s="9" t="s">
        <v>27</v>
      </c>
      <c r="G2591" s="9" t="s">
        <v>27</v>
      </c>
      <c r="H2591" s="11" t="n">
        <v>22</v>
      </c>
      <c r="I2591" s="11" t="s">
        <v>208</v>
      </c>
      <c r="J2591" s="14" t="n">
        <v>60</v>
      </c>
      <c r="K2591" s="14"/>
      <c r="L2591" s="16"/>
      <c r="M2591" s="27" t="n">
        <f aca="false">J2591+(K2591/20)+(L2591/240)</f>
        <v>60</v>
      </c>
      <c r="N2591" s="17" t="s">
        <v>64</v>
      </c>
      <c r="O2591" s="11"/>
      <c r="P2591" s="28"/>
      <c r="Q2591" s="28" t="n">
        <f aca="false">P2591*$M2591</f>
        <v>0</v>
      </c>
      <c r="R2591" s="28"/>
      <c r="S2591" s="28" t="n">
        <f aca="false">R2591*$M2591</f>
        <v>0</v>
      </c>
      <c r="T2591" s="28"/>
      <c r="U2591" s="28" t="n">
        <f aca="false">T2591*$M2591</f>
        <v>0</v>
      </c>
      <c r="V2591" s="28"/>
      <c r="W2591" s="28" t="n">
        <f aca="false">V2591*$M2591</f>
        <v>0</v>
      </c>
      <c r="X2591" s="28"/>
      <c r="Y2591" s="28" t="n">
        <f aca="false">X2591*$M2591</f>
        <v>0</v>
      </c>
      <c r="Z2591" s="28"/>
      <c r="AA2591" s="28" t="n">
        <f aca="false">Z2591*$M2591</f>
        <v>0</v>
      </c>
      <c r="AB2591" s="28"/>
      <c r="AC2591" s="28" t="n">
        <f aca="false">AB2591*$M2591</f>
        <v>0</v>
      </c>
      <c r="AD2591" s="28"/>
      <c r="AE2591" s="28" t="n">
        <f aca="false">AD2591*$M2591</f>
        <v>0</v>
      </c>
      <c r="AF2591" s="28"/>
      <c r="AG2591" s="28" t="n">
        <f aca="false">AF2591*$M2591</f>
        <v>0</v>
      </c>
      <c r="AH2591" s="28"/>
      <c r="AI2591" s="28" t="n">
        <f aca="false">AH2591*$M2591</f>
        <v>0</v>
      </c>
      <c r="AJ2591" s="28" t="n">
        <f aca="false">28692/100</f>
        <v>286.92</v>
      </c>
      <c r="AK2591" s="28" t="n">
        <v>17215</v>
      </c>
      <c r="AL2591" s="28"/>
      <c r="AM2591" s="28" t="n">
        <f aca="false">AL2591*$M2591</f>
        <v>0</v>
      </c>
      <c r="AN2591" s="28"/>
      <c r="AO2591" s="28" t="n">
        <f aca="false">AN2591*$M2591</f>
        <v>0</v>
      </c>
      <c r="AP2591" s="28"/>
      <c r="AQ2591" s="28" t="n">
        <f aca="false">AP2591*$M2591</f>
        <v>0</v>
      </c>
      <c r="AR2591" s="28"/>
      <c r="AS2591" s="28" t="n">
        <f aca="false">AR2591*$M2591</f>
        <v>0</v>
      </c>
      <c r="AT2591" s="28"/>
      <c r="AU2591" s="28" t="n">
        <f aca="false">AT2591*$M2591</f>
        <v>0</v>
      </c>
      <c r="AV2591" s="28"/>
      <c r="AW2591" s="28" t="n">
        <f aca="false">AV2591*$M2591</f>
        <v>0</v>
      </c>
      <c r="AX2591" s="28"/>
      <c r="AY2591" s="28" t="n">
        <f aca="false">AX2591*$M2591</f>
        <v>0</v>
      </c>
      <c r="AZ2591" s="30" t="n">
        <f aca="false">28692/100</f>
        <v>286.92</v>
      </c>
      <c r="BA2591" s="11" t="n">
        <v>17215</v>
      </c>
      <c r="BB2591" s="31" t="n">
        <f aca="false">SUM(Q2591,S2591,U2591,W2591,Y2591,AA2591,AC2591,AE2591,AG2591,AI2591,AK2591,AM2591,AO2591,AQ2591,AS2591,AU2591,AW2591,AY2591)</f>
        <v>17215</v>
      </c>
      <c r="BC2591" s="28" t="n">
        <f aca="false">BA2591-BB2591</f>
        <v>0</v>
      </c>
      <c r="BD2591" s="32" t="n">
        <f aca="false">SUM(P2591,R2591,T2591,V2591,X2591,Z2591,AB2591,AD2591,AF2591,AH2591,AJ2591,AL2591,AN2591,AP2591,AR2591,AT2591,AV2591,AX2591)</f>
        <v>286.92</v>
      </c>
      <c r="BE2591" s="33" t="n">
        <f aca="false">AZ2591-BD2591</f>
        <v>0</v>
      </c>
      <c r="BF2591" s="34" t="n">
        <f aca="false">BD2591*M2591</f>
        <v>17215.2</v>
      </c>
      <c r="BG2591" s="35" t="n">
        <f aca="false">BA2591-BF2591</f>
        <v>-0.200000000000728</v>
      </c>
      <c r="BH2591" s="19" t="str">
        <f aca="false">IF(BG2591=0,"",IF(BG2591&lt;&gt;BA2591,"erreur de calcul",IF(BD2591&lt;&gt;0,"pas de prix",IF(M2591&lt;&gt; 0,"pas de quantité","pas de prix, ni de quantité"))))</f>
        <v>erreur de calcul</v>
      </c>
      <c r="BI2591" s="19"/>
    </row>
    <row r="2592" customFormat="false" ht="15" hidden="false" customHeight="false" outlineLevel="0" collapsed="false">
      <c r="A2592" s="0" t="n">
        <v>8</v>
      </c>
      <c r="B2592" s="8" t="s">
        <v>24</v>
      </c>
      <c r="C2592" s="9" t="s">
        <v>25</v>
      </c>
      <c r="D2592" s="9" t="s">
        <v>26</v>
      </c>
      <c r="E2592" s="10" t="n">
        <v>1789</v>
      </c>
      <c r="F2592" s="9" t="s">
        <v>27</v>
      </c>
      <c r="G2592" s="9" t="s">
        <v>27</v>
      </c>
      <c r="H2592" s="11" t="n">
        <v>22</v>
      </c>
      <c r="I2592" s="11" t="s">
        <v>209</v>
      </c>
      <c r="J2592" s="14" t="n">
        <v>26</v>
      </c>
      <c r="K2592" s="14"/>
      <c r="L2592" s="16"/>
      <c r="M2592" s="27" t="n">
        <f aca="false">J2592+(K2592/20)+(L2592/240)</f>
        <v>26</v>
      </c>
      <c r="N2592" s="17" t="s">
        <v>64</v>
      </c>
      <c r="O2592" s="11"/>
      <c r="P2592" s="28" t="n">
        <f aca="false">9675/100</f>
        <v>96.75</v>
      </c>
      <c r="Q2592" s="28" t="n">
        <v>2515</v>
      </c>
      <c r="R2592" s="28"/>
      <c r="S2592" s="28" t="n">
        <f aca="false">R2592*$M2592</f>
        <v>0</v>
      </c>
      <c r="T2592" s="28"/>
      <c r="U2592" s="28" t="n">
        <f aca="false">T2592*$M2592</f>
        <v>0</v>
      </c>
      <c r="V2592" s="28"/>
      <c r="W2592" s="28" t="n">
        <f aca="false">V2592*$M2592</f>
        <v>0</v>
      </c>
      <c r="X2592" s="28"/>
      <c r="Y2592" s="28" t="n">
        <f aca="false">X2592*$M2592</f>
        <v>0</v>
      </c>
      <c r="Z2592" s="28"/>
      <c r="AA2592" s="28" t="n">
        <f aca="false">Z2592*$M2592</f>
        <v>0</v>
      </c>
      <c r="AB2592" s="28"/>
      <c r="AC2592" s="28" t="n">
        <f aca="false">AB2592*$M2592</f>
        <v>0</v>
      </c>
      <c r="AD2592" s="28"/>
      <c r="AE2592" s="28" t="n">
        <f aca="false">AD2592*$M2592</f>
        <v>0</v>
      </c>
      <c r="AF2592" s="28"/>
      <c r="AG2592" s="28" t="n">
        <f aca="false">AF2592*$M2592</f>
        <v>0</v>
      </c>
      <c r="AH2592" s="28"/>
      <c r="AI2592" s="28" t="n">
        <f aca="false">AH2592*$M2592</f>
        <v>0</v>
      </c>
      <c r="AJ2592" s="28"/>
      <c r="AK2592" s="28" t="n">
        <f aca="false">AJ2592*$M2592</f>
        <v>0</v>
      </c>
      <c r="AL2592" s="28"/>
      <c r="AM2592" s="28" t="n">
        <f aca="false">AL2592*$M2592</f>
        <v>0</v>
      </c>
      <c r="AN2592" s="28"/>
      <c r="AO2592" s="28" t="n">
        <f aca="false">AN2592*$M2592</f>
        <v>0</v>
      </c>
      <c r="AP2592" s="28"/>
      <c r="AQ2592" s="28" t="n">
        <f aca="false">AP2592*$M2592</f>
        <v>0</v>
      </c>
      <c r="AR2592" s="28"/>
      <c r="AS2592" s="28" t="n">
        <f aca="false">AR2592*$M2592</f>
        <v>0</v>
      </c>
      <c r="AT2592" s="28"/>
      <c r="AU2592" s="28" t="n">
        <f aca="false">AT2592*$M2592</f>
        <v>0</v>
      </c>
      <c r="AV2592" s="28"/>
      <c r="AW2592" s="28" t="n">
        <f aca="false">AV2592*$M2592</f>
        <v>0</v>
      </c>
      <c r="AX2592" s="28"/>
      <c r="AY2592" s="28" t="n">
        <f aca="false">AX2592*$M2592</f>
        <v>0</v>
      </c>
      <c r="AZ2592" s="30" t="n">
        <f aca="false">9675/100</f>
        <v>96.75</v>
      </c>
      <c r="BA2592" s="11" t="n">
        <v>2515</v>
      </c>
      <c r="BB2592" s="31" t="n">
        <f aca="false">SUM(Q2592,S2592,U2592,W2592,Y2592,AA2592,AC2592,AE2592,AG2592,AI2592,AK2592,AM2592,AO2592,AQ2592,AS2592,AU2592,AW2592,AY2592)</f>
        <v>2515</v>
      </c>
      <c r="BC2592" s="28" t="n">
        <f aca="false">BA2592-BB2592</f>
        <v>0</v>
      </c>
      <c r="BD2592" s="32" t="n">
        <f aca="false">SUM(P2592,R2592,T2592,V2592,X2592,Z2592,AB2592,AD2592,AF2592,AH2592,AJ2592,AL2592,AN2592,AP2592,AR2592,AT2592,AV2592,AX2592)</f>
        <v>96.75</v>
      </c>
      <c r="BE2592" s="33" t="n">
        <f aca="false">AZ2592-BD2592</f>
        <v>0</v>
      </c>
      <c r="BF2592" s="34" t="n">
        <f aca="false">BD2592*M2592</f>
        <v>2515.5</v>
      </c>
      <c r="BG2592" s="35" t="n">
        <f aca="false">BA2592-BF2592</f>
        <v>-0.5</v>
      </c>
      <c r="BH2592" s="19" t="str">
        <f aca="false">IF(BG2592=0,"",IF(BG2592&lt;&gt;BA2592,"erreur de calcul",IF(BD2592&lt;&gt;0,"pas de prix",IF(M2592&lt;&gt; 0,"pas de quantité","pas de prix, ni de quantité"))))</f>
        <v>erreur de calcul</v>
      </c>
      <c r="BI2592" s="19"/>
    </row>
    <row r="2593" customFormat="false" ht="15" hidden="false" customHeight="false" outlineLevel="0" collapsed="false">
      <c r="A2593" s="0" t="n">
        <v>9</v>
      </c>
      <c r="B2593" s="8" t="s">
        <v>24</v>
      </c>
      <c r="C2593" s="9" t="s">
        <v>25</v>
      </c>
      <c r="D2593" s="9" t="s">
        <v>26</v>
      </c>
      <c r="E2593" s="10" t="n">
        <v>1789</v>
      </c>
      <c r="F2593" s="9" t="s">
        <v>27</v>
      </c>
      <c r="G2593" s="9" t="s">
        <v>27</v>
      </c>
      <c r="H2593" s="11" t="n">
        <v>22</v>
      </c>
      <c r="I2593" s="11" t="s">
        <v>210</v>
      </c>
      <c r="J2593" s="14" t="n">
        <v>8</v>
      </c>
      <c r="K2593" s="14" t="n">
        <v>15</v>
      </c>
      <c r="L2593" s="16"/>
      <c r="M2593" s="27" t="n">
        <f aca="false">J2593+(K2593/20)+(L2593/240)</f>
        <v>8.75</v>
      </c>
      <c r="N2593" s="17" t="s">
        <v>66</v>
      </c>
      <c r="O2593" s="11"/>
      <c r="P2593" s="28"/>
      <c r="Q2593" s="28" t="n">
        <f aca="false">P2593*$M2593</f>
        <v>0</v>
      </c>
      <c r="R2593" s="28"/>
      <c r="S2593" s="28" t="n">
        <f aca="false">R2593*$M2593</f>
        <v>0</v>
      </c>
      <c r="T2593" s="28" t="n">
        <v>2562</v>
      </c>
      <c r="U2593" s="36" t="n">
        <v>21777</v>
      </c>
      <c r="V2593" s="28" t="n">
        <v>127</v>
      </c>
      <c r="W2593" s="28" t="n">
        <v>1111</v>
      </c>
      <c r="X2593" s="28" t="n">
        <v>1945</v>
      </c>
      <c r="Y2593" s="28" t="n">
        <v>17018</v>
      </c>
      <c r="Z2593" s="28"/>
      <c r="AA2593" s="28" t="n">
        <f aca="false">Z2593*$M2593</f>
        <v>0</v>
      </c>
      <c r="AB2593" s="28"/>
      <c r="AC2593" s="28" t="n">
        <f aca="false">AB2593*$M2593</f>
        <v>0</v>
      </c>
      <c r="AD2593" s="28"/>
      <c r="AE2593" s="28" t="n">
        <f aca="false">AD2593*$M2593</f>
        <v>0</v>
      </c>
      <c r="AF2593" s="28"/>
      <c r="AG2593" s="28" t="n">
        <f aca="false">AF2593*$M2593</f>
        <v>0</v>
      </c>
      <c r="AH2593" s="28"/>
      <c r="AI2593" s="28" t="n">
        <f aca="false">AH2593*$M2593</f>
        <v>0</v>
      </c>
      <c r="AJ2593" s="28" t="n">
        <v>3538</v>
      </c>
      <c r="AK2593" s="36" t="n">
        <v>30073</v>
      </c>
      <c r="AL2593" s="28"/>
      <c r="AM2593" s="28" t="n">
        <f aca="false">AL2593*$M2593</f>
        <v>0</v>
      </c>
      <c r="AN2593" s="28"/>
      <c r="AO2593" s="28" t="n">
        <f aca="false">AN2593*$M2593</f>
        <v>0</v>
      </c>
      <c r="AP2593" s="28"/>
      <c r="AQ2593" s="28" t="n">
        <f aca="false">AP2593*$M2593</f>
        <v>0</v>
      </c>
      <c r="AR2593" s="28"/>
      <c r="AS2593" s="28" t="n">
        <f aca="false">AR2593*$M2593</f>
        <v>0</v>
      </c>
      <c r="AT2593" s="28"/>
      <c r="AU2593" s="28" t="n">
        <f aca="false">AT2593*$M2593</f>
        <v>0</v>
      </c>
      <c r="AV2593" s="28"/>
      <c r="AW2593" s="28" t="n">
        <f aca="false">AV2593*$M2593</f>
        <v>0</v>
      </c>
      <c r="AX2593" s="28" t="n">
        <v>11559</v>
      </c>
      <c r="AY2593" s="28" t="n">
        <v>101141</v>
      </c>
      <c r="AZ2593" s="30" t="n">
        <v>19731</v>
      </c>
      <c r="BA2593" s="11" t="n">
        <v>171120</v>
      </c>
      <c r="BB2593" s="31" t="n">
        <f aca="false">SUM(Q2593,S2593,U2593,W2593,Y2593,AA2593,AC2593,AE2593,AG2593,AI2593,AK2593,AM2593,AO2593,AQ2593,AS2593,AU2593,AW2593,AY2593)</f>
        <v>171120</v>
      </c>
      <c r="BC2593" s="28" t="n">
        <f aca="false">BA2593-BB2593</f>
        <v>0</v>
      </c>
      <c r="BD2593" s="32" t="n">
        <f aca="false">SUM(P2593,R2593,T2593,V2593,X2593,Z2593,AB2593,AD2593,AF2593,AH2593,AJ2593,AL2593,AN2593,AP2593,AR2593,AT2593,AV2593,AX2593)</f>
        <v>19731</v>
      </c>
      <c r="BE2593" s="33" t="n">
        <f aca="false">AZ2593-BD2593</f>
        <v>0</v>
      </c>
      <c r="BF2593" s="34" t="n">
        <f aca="false">BD2593*M2593</f>
        <v>172646.25</v>
      </c>
      <c r="BG2593" s="35" t="n">
        <f aca="false">BA2593-BF2593</f>
        <v>-1526.25</v>
      </c>
      <c r="BH2593" s="19" t="str">
        <f aca="false">IF(BG2593=0,"",IF(BG2593&lt;&gt;BA2593,"erreur de calcul",IF(BD2593&lt;&gt;0,"pas de prix",IF(M2593&lt;&gt; 0,"pas de quantité","pas de prix, ni de quantité"))))</f>
        <v>erreur de calcul</v>
      </c>
      <c r="BI2593" s="19"/>
    </row>
    <row r="2594" customFormat="false" ht="15" hidden="false" customHeight="false" outlineLevel="0" collapsed="false">
      <c r="A2594" s="0" t="n">
        <v>10</v>
      </c>
      <c r="B2594" s="8" t="s">
        <v>24</v>
      </c>
      <c r="C2594" s="9" t="s">
        <v>25</v>
      </c>
      <c r="D2594" s="9" t="s">
        <v>26</v>
      </c>
      <c r="E2594" s="10" t="n">
        <v>1789</v>
      </c>
      <c r="F2594" s="9" t="s">
        <v>27</v>
      </c>
      <c r="G2594" s="9" t="s">
        <v>27</v>
      </c>
      <c r="H2594" s="11" t="n">
        <v>22</v>
      </c>
      <c r="I2594" s="11" t="s">
        <v>211</v>
      </c>
      <c r="J2594" s="14" t="n">
        <v>11</v>
      </c>
      <c r="K2594" s="14"/>
      <c r="L2594" s="16"/>
      <c r="M2594" s="27" t="n">
        <f aca="false">J2594+(K2594/20)+(L2594/240)</f>
        <v>11</v>
      </c>
      <c r="N2594" s="17" t="s">
        <v>66</v>
      </c>
      <c r="O2594" s="11"/>
      <c r="P2594" s="28" t="n">
        <v>95190</v>
      </c>
      <c r="Q2594" s="28" t="n">
        <v>1047090</v>
      </c>
      <c r="R2594" s="28"/>
      <c r="S2594" s="28" t="n">
        <f aca="false">R2594*$M2594</f>
        <v>0</v>
      </c>
      <c r="T2594" s="28"/>
      <c r="U2594" s="28" t="n">
        <f aca="false">T2594*$M2594</f>
        <v>0</v>
      </c>
      <c r="V2594" s="28"/>
      <c r="W2594" s="28" t="n">
        <f aca="false">V2594*$M2594</f>
        <v>0</v>
      </c>
      <c r="X2594" s="28"/>
      <c r="Y2594" s="28" t="n">
        <f aca="false">X2594*$M2594</f>
        <v>0</v>
      </c>
      <c r="Z2594" s="28"/>
      <c r="AA2594" s="28" t="n">
        <f aca="false">Z2594*$M2594</f>
        <v>0</v>
      </c>
      <c r="AB2594" s="28"/>
      <c r="AC2594" s="28" t="n">
        <f aca="false">AB2594*$M2594</f>
        <v>0</v>
      </c>
      <c r="AD2594" s="28"/>
      <c r="AE2594" s="28" t="n">
        <f aca="false">AD2594*$M2594</f>
        <v>0</v>
      </c>
      <c r="AF2594" s="28"/>
      <c r="AG2594" s="28" t="n">
        <f aca="false">AF2594*$M2594</f>
        <v>0</v>
      </c>
      <c r="AH2594" s="28"/>
      <c r="AI2594" s="28" t="n">
        <f aca="false">AH2594*$M2594</f>
        <v>0</v>
      </c>
      <c r="AJ2594" s="28"/>
      <c r="AK2594" s="28" t="n">
        <f aca="false">AJ2594*$M2594</f>
        <v>0</v>
      </c>
      <c r="AL2594" s="28"/>
      <c r="AM2594" s="28" t="n">
        <f aca="false">AL2594*$M2594</f>
        <v>0</v>
      </c>
      <c r="AN2594" s="28"/>
      <c r="AO2594" s="28" t="n">
        <f aca="false">AN2594*$M2594</f>
        <v>0</v>
      </c>
      <c r="AP2594" s="28"/>
      <c r="AQ2594" s="28" t="n">
        <f aca="false">AP2594*$M2594</f>
        <v>0</v>
      </c>
      <c r="AR2594" s="28"/>
      <c r="AS2594" s="28" t="n">
        <f aca="false">AR2594*$M2594</f>
        <v>0</v>
      </c>
      <c r="AT2594" s="28"/>
      <c r="AU2594" s="28" t="n">
        <f aca="false">AT2594*$M2594</f>
        <v>0</v>
      </c>
      <c r="AV2594" s="28"/>
      <c r="AW2594" s="28" t="n">
        <f aca="false">AV2594*$M2594</f>
        <v>0</v>
      </c>
      <c r="AX2594" s="28"/>
      <c r="AY2594" s="28" t="n">
        <f aca="false">AX2594*$M2594</f>
        <v>0</v>
      </c>
      <c r="AZ2594" s="30" t="n">
        <v>95190</v>
      </c>
      <c r="BA2594" s="11" t="n">
        <v>1047090</v>
      </c>
      <c r="BB2594" s="31" t="n">
        <f aca="false">SUM(Q2594,S2594,U2594,W2594,Y2594,AA2594,AC2594,AE2594,AG2594,AI2594,AK2594,AM2594,AO2594,AQ2594,AS2594,AU2594,AW2594,AY2594)</f>
        <v>1047090</v>
      </c>
      <c r="BC2594" s="28" t="n">
        <f aca="false">BA2594-BB2594</f>
        <v>0</v>
      </c>
      <c r="BD2594" s="32" t="n">
        <f aca="false">SUM(P2594,R2594,T2594,V2594,X2594,Z2594,AB2594,AD2594,AF2594,AH2594,AJ2594,AL2594,AN2594,AP2594,AR2594,AT2594,AV2594,AX2594)</f>
        <v>95190</v>
      </c>
      <c r="BE2594" s="33" t="n">
        <f aca="false">AZ2594-BD2594</f>
        <v>0</v>
      </c>
      <c r="BF2594" s="34" t="n">
        <f aca="false">BD2594*M2594</f>
        <v>1047090</v>
      </c>
      <c r="BG2594" s="35" t="n">
        <f aca="false">BA2594-BF2594</f>
        <v>0</v>
      </c>
      <c r="BH2594" s="19" t="str">
        <f aca="false">IF(BG2594=0,"",IF(BG2594&lt;&gt;BA2594,"erreur de calcul",IF(BD2594&lt;&gt;0,"pas de prix",IF(M2594&lt;&gt; 0,"pas de quantité","pas de prix, ni de quantité"))))</f>
        <v/>
      </c>
      <c r="BI2594" s="19"/>
    </row>
    <row r="2595" customFormat="false" ht="17.15" hidden="false" customHeight="false" outlineLevel="0" collapsed="false">
      <c r="A2595" s="0" t="n">
        <v>11</v>
      </c>
      <c r="B2595" s="8" t="s">
        <v>24</v>
      </c>
      <c r="C2595" s="9" t="s">
        <v>25</v>
      </c>
      <c r="D2595" s="9" t="s">
        <v>26</v>
      </c>
      <c r="E2595" s="10" t="n">
        <v>1789</v>
      </c>
      <c r="F2595" s="9" t="s">
        <v>27</v>
      </c>
      <c r="G2595" s="9" t="s">
        <v>27</v>
      </c>
      <c r="H2595" s="11" t="n">
        <v>22</v>
      </c>
      <c r="I2595" s="40" t="s">
        <v>212</v>
      </c>
      <c r="J2595" s="14" t="n">
        <v>75</v>
      </c>
      <c r="K2595" s="14"/>
      <c r="L2595" s="16"/>
      <c r="M2595" s="27" t="n">
        <f aca="false">J2595+(K2595/20)+(L2595/240)</f>
        <v>75</v>
      </c>
      <c r="N2595" s="17" t="s">
        <v>64</v>
      </c>
      <c r="O2595" s="11"/>
      <c r="P2595" s="28"/>
      <c r="Q2595" s="28" t="n">
        <f aca="false">P2595*$M2595</f>
        <v>0</v>
      </c>
      <c r="R2595" s="28"/>
      <c r="S2595" s="28" t="n">
        <f aca="false">R2595*$M2595</f>
        <v>0</v>
      </c>
      <c r="T2595" s="28"/>
      <c r="U2595" s="28" t="n">
        <f aca="false">T2595*$M2595</f>
        <v>0</v>
      </c>
      <c r="V2595" s="28"/>
      <c r="W2595" s="28" t="n">
        <f aca="false">V2595*$M2595</f>
        <v>0</v>
      </c>
      <c r="X2595" s="28"/>
      <c r="Y2595" s="28" t="n">
        <f aca="false">X2595*$M2595</f>
        <v>0</v>
      </c>
      <c r="Z2595" s="28"/>
      <c r="AA2595" s="28" t="n">
        <f aca="false">Z2595*$M2595</f>
        <v>0</v>
      </c>
      <c r="AB2595" s="28"/>
      <c r="AC2595" s="28" t="n">
        <f aca="false">AB2595*$M2595</f>
        <v>0</v>
      </c>
      <c r="AD2595" s="28"/>
      <c r="AE2595" s="28" t="n">
        <f aca="false">AD2595*$M2595</f>
        <v>0</v>
      </c>
      <c r="AF2595" s="28"/>
      <c r="AG2595" s="28" t="n">
        <f aca="false">AF2595*$M2595</f>
        <v>0</v>
      </c>
      <c r="AH2595" s="28"/>
      <c r="AI2595" s="28" t="n">
        <f aca="false">AH2595*$M2595</f>
        <v>0</v>
      </c>
      <c r="AJ2595" s="28" t="n">
        <f aca="false">2372/100</f>
        <v>23.72</v>
      </c>
      <c r="AK2595" s="28" t="n">
        <v>1779</v>
      </c>
      <c r="AL2595" s="28"/>
      <c r="AM2595" s="28" t="n">
        <f aca="false">AL2595*$M2595</f>
        <v>0</v>
      </c>
      <c r="AN2595" s="28"/>
      <c r="AO2595" s="28" t="n">
        <f aca="false">AN2595*$M2595</f>
        <v>0</v>
      </c>
      <c r="AP2595" s="28"/>
      <c r="AQ2595" s="28" t="n">
        <f aca="false">AP2595*$M2595</f>
        <v>0</v>
      </c>
      <c r="AR2595" s="28"/>
      <c r="AS2595" s="28" t="n">
        <f aca="false">AR2595*$M2595</f>
        <v>0</v>
      </c>
      <c r="AT2595" s="28"/>
      <c r="AU2595" s="28" t="n">
        <f aca="false">AT2595*$M2595</f>
        <v>0</v>
      </c>
      <c r="AV2595" s="28"/>
      <c r="AW2595" s="28" t="n">
        <f aca="false">AV2595*$M2595</f>
        <v>0</v>
      </c>
      <c r="AX2595" s="28"/>
      <c r="AY2595" s="28" t="n">
        <f aca="false">AX2595*$M2595</f>
        <v>0</v>
      </c>
      <c r="AZ2595" s="30" t="n">
        <f aca="false">2372/100</f>
        <v>23.72</v>
      </c>
      <c r="BA2595" s="11" t="n">
        <v>1779</v>
      </c>
      <c r="BB2595" s="31" t="n">
        <f aca="false">SUM(Q2595,S2595,U2595,W2595,Y2595,AA2595,AC2595,AE2595,AG2595,AI2595,AK2595,AM2595,AO2595,AQ2595,AS2595,AU2595,AW2595,AY2595)</f>
        <v>1779</v>
      </c>
      <c r="BC2595" s="28" t="n">
        <f aca="false">BA2595-BB2595</f>
        <v>0</v>
      </c>
      <c r="BD2595" s="32" t="n">
        <f aca="false">SUM(P2595,R2595,T2595,V2595,X2595,Z2595,AB2595,AD2595,AF2595,AH2595,AJ2595,AL2595,AN2595,AP2595,AR2595,AT2595,AV2595,AX2595)</f>
        <v>23.72</v>
      </c>
      <c r="BE2595" s="33" t="n">
        <f aca="false">AZ2595-BD2595</f>
        <v>0</v>
      </c>
      <c r="BF2595" s="34" t="n">
        <f aca="false">BD2595*M2595</f>
        <v>1779</v>
      </c>
      <c r="BG2595" s="35" t="n">
        <f aca="false">BA2595-BF2595</f>
        <v>0</v>
      </c>
      <c r="BH2595" s="19" t="str">
        <f aca="false">IF(BG2595=0,"",IF(BG2595&lt;&gt;BA2595,"erreur de calcul",IF(BD2595&lt;&gt;0,"pas de prix",IF(M2595&lt;&gt; 0,"pas de quantité","pas de prix, ni de quantité"))))</f>
        <v/>
      </c>
      <c r="BI2595" s="19"/>
    </row>
    <row r="2596" customFormat="false" ht="15" hidden="false" customHeight="false" outlineLevel="0" collapsed="false">
      <c r="A2596" s="0" t="n">
        <v>12</v>
      </c>
      <c r="B2596" s="8" t="s">
        <v>24</v>
      </c>
      <c r="C2596" s="9" t="s">
        <v>25</v>
      </c>
      <c r="D2596" s="9" t="s">
        <v>26</v>
      </c>
      <c r="E2596" s="10" t="n">
        <v>1789</v>
      </c>
      <c r="F2596" s="9" t="s">
        <v>27</v>
      </c>
      <c r="G2596" s="9" t="s">
        <v>27</v>
      </c>
      <c r="H2596" s="11" t="n">
        <v>22</v>
      </c>
      <c r="I2596" s="11" t="s">
        <v>213</v>
      </c>
      <c r="J2596" s="14" t="n">
        <v>31</v>
      </c>
      <c r="K2596" s="14"/>
      <c r="L2596" s="16"/>
      <c r="M2596" s="27" t="n">
        <f aca="false">J2596+(K2596/20)+(L2596/240)</f>
        <v>31</v>
      </c>
      <c r="N2596" s="17" t="s">
        <v>64</v>
      </c>
      <c r="O2596" s="11"/>
      <c r="P2596" s="28"/>
      <c r="Q2596" s="28" t="n">
        <f aca="false">P2596*$M2596</f>
        <v>0</v>
      </c>
      <c r="R2596" s="28"/>
      <c r="S2596" s="28" t="n">
        <f aca="false">R2596*$M2596</f>
        <v>0</v>
      </c>
      <c r="T2596" s="28"/>
      <c r="U2596" s="28" t="n">
        <f aca="false">T2596*$M2596</f>
        <v>0</v>
      </c>
      <c r="V2596" s="28"/>
      <c r="W2596" s="28" t="n">
        <f aca="false">V2596*$M2596</f>
        <v>0</v>
      </c>
      <c r="X2596" s="28" t="n">
        <f aca="false">18202/100</f>
        <v>182.02</v>
      </c>
      <c r="Y2596" s="28" t="n">
        <v>5643</v>
      </c>
      <c r="Z2596" s="28"/>
      <c r="AA2596" s="28" t="n">
        <f aca="false">Z2596*$M2596</f>
        <v>0</v>
      </c>
      <c r="AB2596" s="28"/>
      <c r="AC2596" s="28" t="n">
        <f aca="false">AB2596*$M2596</f>
        <v>0</v>
      </c>
      <c r="AD2596" s="28"/>
      <c r="AE2596" s="28" t="n">
        <f aca="false">AD2596*$M2596</f>
        <v>0</v>
      </c>
      <c r="AF2596" s="28"/>
      <c r="AG2596" s="28" t="n">
        <f aca="false">AF2596*$M2596</f>
        <v>0</v>
      </c>
      <c r="AH2596" s="28"/>
      <c r="AI2596" s="28" t="n">
        <f aca="false">AH2596*$M2596</f>
        <v>0</v>
      </c>
      <c r="AJ2596" s="28"/>
      <c r="AK2596" s="28" t="n">
        <f aca="false">AJ2596*$M2596</f>
        <v>0</v>
      </c>
      <c r="AL2596" s="28"/>
      <c r="AM2596" s="28" t="n">
        <f aca="false">AL2596*$M2596</f>
        <v>0</v>
      </c>
      <c r="AN2596" s="28"/>
      <c r="AO2596" s="28" t="n">
        <f aca="false">AN2596*$M2596</f>
        <v>0</v>
      </c>
      <c r="AP2596" s="28"/>
      <c r="AQ2596" s="28" t="n">
        <f aca="false">AP2596*$M2596</f>
        <v>0</v>
      </c>
      <c r="AR2596" s="28"/>
      <c r="AS2596" s="28" t="n">
        <f aca="false">AR2596*$M2596</f>
        <v>0</v>
      </c>
      <c r="AT2596" s="28"/>
      <c r="AU2596" s="28" t="n">
        <f aca="false">AT2596*$M2596</f>
        <v>0</v>
      </c>
      <c r="AV2596" s="28"/>
      <c r="AW2596" s="28" t="n">
        <f aca="false">AV2596*$M2596</f>
        <v>0</v>
      </c>
      <c r="AX2596" s="28"/>
      <c r="AY2596" s="28" t="n">
        <f aca="false">AX2596*$M2596</f>
        <v>0</v>
      </c>
      <c r="AZ2596" s="30" t="n">
        <f aca="false">18202/100</f>
        <v>182.02</v>
      </c>
      <c r="BA2596" s="11" t="n">
        <v>5643</v>
      </c>
      <c r="BB2596" s="31" t="n">
        <f aca="false">SUM(Q2596,S2596,U2596,W2596,Y2596,AA2596,AC2596,AE2596,AG2596,AI2596,AK2596,AM2596,AO2596,AQ2596,AS2596,AU2596,AW2596,AY2596)</f>
        <v>5643</v>
      </c>
      <c r="BC2596" s="28" t="n">
        <f aca="false">BA2596-BB2596</f>
        <v>0</v>
      </c>
      <c r="BD2596" s="32" t="n">
        <f aca="false">SUM(P2596,R2596,T2596,V2596,X2596,Z2596,AB2596,AD2596,AF2596,AH2596,AJ2596,AL2596,AN2596,AP2596,AR2596,AT2596,AV2596,AX2596)</f>
        <v>182.02</v>
      </c>
      <c r="BE2596" s="33" t="n">
        <f aca="false">AZ2596-BD2596</f>
        <v>0</v>
      </c>
      <c r="BF2596" s="34" t="n">
        <f aca="false">BD2596*M2596</f>
        <v>5642.62</v>
      </c>
      <c r="BG2596" s="35" t="n">
        <f aca="false">BA2596-BF2596</f>
        <v>0.380000000000109</v>
      </c>
      <c r="BH2596" s="19" t="str">
        <f aca="false">IF(BG2596=0,"",IF(BG2596&lt;&gt;BA2596,"erreur de calcul",IF(BD2596&lt;&gt;0,"pas de prix",IF(M2596&lt;&gt; 0,"pas de quantité","pas de prix, ni de quantité"))))</f>
        <v>erreur de calcul</v>
      </c>
      <c r="BI2596" s="19"/>
    </row>
    <row r="2597" customFormat="false" ht="15" hidden="false" customHeight="false" outlineLevel="0" collapsed="false">
      <c r="A2597" s="0" t="n">
        <v>13</v>
      </c>
      <c r="B2597" s="8" t="s">
        <v>24</v>
      </c>
      <c r="C2597" s="9" t="s">
        <v>25</v>
      </c>
      <c r="D2597" s="9" t="s">
        <v>26</v>
      </c>
      <c r="E2597" s="10" t="n">
        <v>1789</v>
      </c>
      <c r="F2597" s="9" t="s">
        <v>27</v>
      </c>
      <c r="G2597" s="9" t="s">
        <v>27</v>
      </c>
      <c r="H2597" s="11" t="n">
        <v>22</v>
      </c>
      <c r="I2597" s="11" t="s">
        <v>214</v>
      </c>
      <c r="J2597" s="14"/>
      <c r="K2597" s="14" t="n">
        <v>20</v>
      </c>
      <c r="L2597" s="16"/>
      <c r="M2597" s="27" t="n">
        <f aca="false">J2597+(K2597/20)+(L2597/240)</f>
        <v>1</v>
      </c>
      <c r="N2597" s="17" t="s">
        <v>66</v>
      </c>
      <c r="O2597" s="11"/>
      <c r="P2597" s="28"/>
      <c r="Q2597" s="28" t="n">
        <f aca="false">P2597*$M2597</f>
        <v>0</v>
      </c>
      <c r="R2597" s="28"/>
      <c r="S2597" s="28" t="n">
        <f aca="false">R2597*$M2597</f>
        <v>0</v>
      </c>
      <c r="T2597" s="28"/>
      <c r="U2597" s="28" t="n">
        <f aca="false">T2597*$M2597</f>
        <v>0</v>
      </c>
      <c r="V2597" s="28"/>
      <c r="W2597" s="28" t="n">
        <f aca="false">V2597*$M2597</f>
        <v>0</v>
      </c>
      <c r="X2597" s="28"/>
      <c r="Y2597" s="28" t="n">
        <f aca="false">X2597*$M2597</f>
        <v>0</v>
      </c>
      <c r="Z2597" s="28"/>
      <c r="AA2597" s="28" t="n">
        <f aca="false">Z2597*$M2597</f>
        <v>0</v>
      </c>
      <c r="AB2597" s="28"/>
      <c r="AC2597" s="28" t="n">
        <f aca="false">AB2597*$M2597</f>
        <v>0</v>
      </c>
      <c r="AD2597" s="28" t="n">
        <v>2831</v>
      </c>
      <c r="AE2597" s="28" t="n">
        <v>2831</v>
      </c>
      <c r="AF2597" s="28"/>
      <c r="AG2597" s="28" t="n">
        <f aca="false">AF2597*$M2597</f>
        <v>0</v>
      </c>
      <c r="AH2597" s="28"/>
      <c r="AI2597" s="28" t="n">
        <f aca="false">AH2597*$M2597</f>
        <v>0</v>
      </c>
      <c r="AJ2597" s="28"/>
      <c r="AK2597" s="28" t="n">
        <f aca="false">AJ2597*$M2597</f>
        <v>0</v>
      </c>
      <c r="AL2597" s="28"/>
      <c r="AM2597" s="28" t="n">
        <f aca="false">AL2597*$M2597</f>
        <v>0</v>
      </c>
      <c r="AN2597" s="28"/>
      <c r="AO2597" s="28" t="n">
        <f aca="false">AN2597*$M2597</f>
        <v>0</v>
      </c>
      <c r="AP2597" s="28"/>
      <c r="AQ2597" s="28" t="n">
        <f aca="false">AP2597*$M2597</f>
        <v>0</v>
      </c>
      <c r="AR2597" s="28"/>
      <c r="AS2597" s="28" t="n">
        <f aca="false">AR2597*$M2597</f>
        <v>0</v>
      </c>
      <c r="AT2597" s="28"/>
      <c r="AU2597" s="28" t="n">
        <f aca="false">AT2597*$M2597</f>
        <v>0</v>
      </c>
      <c r="AV2597" s="28"/>
      <c r="AW2597" s="28" t="n">
        <f aca="false">AV2597*$M2597</f>
        <v>0</v>
      </c>
      <c r="AX2597" s="28"/>
      <c r="AY2597" s="28" t="n">
        <f aca="false">AX2597*$M2597</f>
        <v>0</v>
      </c>
      <c r="AZ2597" s="30" t="n">
        <v>2831</v>
      </c>
      <c r="BA2597" s="11" t="n">
        <v>2831</v>
      </c>
      <c r="BB2597" s="31" t="n">
        <f aca="false">SUM(Q2597,S2597,U2597,W2597,Y2597,AA2597,AC2597,AE2597,AG2597,AI2597,AK2597,AM2597,AO2597,AQ2597,AS2597,AU2597,AW2597,AY2597)</f>
        <v>2831</v>
      </c>
      <c r="BC2597" s="28" t="n">
        <f aca="false">BA2597-BB2597</f>
        <v>0</v>
      </c>
      <c r="BD2597" s="32" t="n">
        <f aca="false">SUM(P2597,R2597,T2597,V2597,X2597,Z2597,AB2597,AD2597,AF2597,AH2597,AJ2597,AL2597,AN2597,AP2597,AR2597,AT2597,AV2597,AX2597)</f>
        <v>2831</v>
      </c>
      <c r="BE2597" s="33" t="n">
        <f aca="false">AZ2597-BD2597</f>
        <v>0</v>
      </c>
      <c r="BF2597" s="34" t="n">
        <f aca="false">BD2597*M2597</f>
        <v>2831</v>
      </c>
      <c r="BG2597" s="35" t="n">
        <f aca="false">BA2597-BF2597</f>
        <v>0</v>
      </c>
      <c r="BH2597" s="19" t="str">
        <f aca="false">IF(BG2597=0,"",IF(BG2597&lt;&gt;BA2597,"erreur de calcul",IF(BD2597&lt;&gt;0,"pas de prix",IF(M2597&lt;&gt; 0,"pas de quantité","pas de prix, ni de quantité"))))</f>
        <v/>
      </c>
      <c r="BI2597" s="19"/>
    </row>
    <row r="2598" customFormat="false" ht="15" hidden="false" customHeight="false" outlineLevel="0" collapsed="false">
      <c r="A2598" s="0" t="n">
        <v>14</v>
      </c>
      <c r="B2598" s="8" t="s">
        <v>24</v>
      </c>
      <c r="C2598" s="9" t="s">
        <v>25</v>
      </c>
      <c r="D2598" s="9" t="s">
        <v>26</v>
      </c>
      <c r="E2598" s="10" t="n">
        <v>1789</v>
      </c>
      <c r="F2598" s="9" t="s">
        <v>27</v>
      </c>
      <c r="G2598" s="9" t="s">
        <v>27</v>
      </c>
      <c r="H2598" s="11" t="n">
        <v>22</v>
      </c>
      <c r="I2598" s="11" t="s">
        <v>215</v>
      </c>
      <c r="J2598" s="14" t="n">
        <v>36</v>
      </c>
      <c r="K2598" s="14"/>
      <c r="L2598" s="16"/>
      <c r="M2598" s="27" t="n">
        <f aca="false">J2598+(K2598/20)+(L2598/240)</f>
        <v>36</v>
      </c>
      <c r="N2598" s="17" t="s">
        <v>64</v>
      </c>
      <c r="O2598" s="11"/>
      <c r="P2598" s="28"/>
      <c r="Q2598" s="28" t="n">
        <f aca="false">P2598*$M2598</f>
        <v>0</v>
      </c>
      <c r="R2598" s="28"/>
      <c r="S2598" s="28" t="n">
        <f aca="false">R2598*$M2598</f>
        <v>0</v>
      </c>
      <c r="T2598" s="28"/>
      <c r="U2598" s="28" t="n">
        <f aca="false">T2598*$M2598</f>
        <v>0</v>
      </c>
      <c r="V2598" s="28"/>
      <c r="W2598" s="28" t="n">
        <f aca="false">V2598*$M2598</f>
        <v>0</v>
      </c>
      <c r="X2598" s="28"/>
      <c r="Y2598" s="28" t="n">
        <f aca="false">X2598*$M2598</f>
        <v>0</v>
      </c>
      <c r="Z2598" s="28"/>
      <c r="AA2598" s="28" t="n">
        <f aca="false">Z2598*$M2598</f>
        <v>0</v>
      </c>
      <c r="AB2598" s="28"/>
      <c r="AC2598" s="28" t="n">
        <f aca="false">AB2598*$M2598</f>
        <v>0</v>
      </c>
      <c r="AD2598" s="28"/>
      <c r="AE2598" s="28" t="n">
        <f aca="false">AD2598*$M2598</f>
        <v>0</v>
      </c>
      <c r="AF2598" s="28" t="n">
        <f aca="false">92472/100</f>
        <v>924.72</v>
      </c>
      <c r="AG2598" s="28" t="n">
        <v>33290</v>
      </c>
      <c r="AH2598" s="28" t="n">
        <f aca="false">490633/100</f>
        <v>4906.33</v>
      </c>
      <c r="AI2598" s="28" t="n">
        <v>176628</v>
      </c>
      <c r="AJ2598" s="28"/>
      <c r="AK2598" s="28" t="n">
        <f aca="false">AJ2598*$M2598</f>
        <v>0</v>
      </c>
      <c r="AL2598" s="28"/>
      <c r="AM2598" s="28" t="n">
        <f aca="false">AL2598*$M2598</f>
        <v>0</v>
      </c>
      <c r="AN2598" s="28"/>
      <c r="AO2598" s="28" t="n">
        <f aca="false">AN2598*$M2598</f>
        <v>0</v>
      </c>
      <c r="AP2598" s="28"/>
      <c r="AQ2598" s="28" t="n">
        <f aca="false">AP2598*$M2598</f>
        <v>0</v>
      </c>
      <c r="AR2598" s="28"/>
      <c r="AS2598" s="28" t="n">
        <f aca="false">AR2598*$M2598</f>
        <v>0</v>
      </c>
      <c r="AT2598" s="28"/>
      <c r="AU2598" s="28" t="n">
        <f aca="false">AT2598*$M2598</f>
        <v>0</v>
      </c>
      <c r="AV2598" s="28"/>
      <c r="AW2598" s="28" t="n">
        <f aca="false">AV2598*$M2598</f>
        <v>0</v>
      </c>
      <c r="AX2598" s="28"/>
      <c r="AY2598" s="28" t="n">
        <f aca="false">AX2598*$M2598</f>
        <v>0</v>
      </c>
      <c r="AZ2598" s="30" t="n">
        <f aca="false">583105/100</f>
        <v>5831.05</v>
      </c>
      <c r="BA2598" s="11" t="n">
        <v>209918</v>
      </c>
      <c r="BB2598" s="31" t="n">
        <f aca="false">SUM(Q2598,S2598,U2598,W2598,Y2598,AA2598,AC2598,AE2598,AG2598,AI2598,AK2598,AM2598,AO2598,AQ2598,AS2598,AU2598,AW2598,AY2598)</f>
        <v>209918</v>
      </c>
      <c r="BC2598" s="28" t="n">
        <f aca="false">BA2598-BB2598</f>
        <v>0</v>
      </c>
      <c r="BD2598" s="32" t="n">
        <f aca="false">SUM(P2598,R2598,T2598,V2598,X2598,Z2598,AB2598,AD2598,AF2598,AH2598,AJ2598,AL2598,AN2598,AP2598,AR2598,AT2598,AV2598,AX2598)</f>
        <v>5831.05</v>
      </c>
      <c r="BE2598" s="33" t="n">
        <f aca="false">AZ2598-BD2598</f>
        <v>0</v>
      </c>
      <c r="BF2598" s="34" t="n">
        <f aca="false">BD2598*M2598</f>
        <v>209917.8</v>
      </c>
      <c r="BG2598" s="35" t="n">
        <f aca="false">BA2598-BF2598</f>
        <v>0.199999999982538</v>
      </c>
      <c r="BH2598" s="19" t="str">
        <f aca="false">IF(BG2598=0,"",IF(BG2598&lt;&gt;BA2598,"erreur de calcul",IF(BD2598&lt;&gt;0,"pas de prix",IF(M2598&lt;&gt; 0,"pas de quantité","pas de prix, ni de quantité"))))</f>
        <v>erreur de calcul</v>
      </c>
      <c r="BI2598" s="19"/>
    </row>
    <row r="2599" customFormat="false" ht="15" hidden="false" customHeight="false" outlineLevel="0" collapsed="false">
      <c r="A2599" s="0" t="n">
        <v>15</v>
      </c>
      <c r="B2599" s="8" t="s">
        <v>24</v>
      </c>
      <c r="C2599" s="9" t="s">
        <v>25</v>
      </c>
      <c r="D2599" s="9" t="s">
        <v>26</v>
      </c>
      <c r="E2599" s="10" t="n">
        <v>1789</v>
      </c>
      <c r="F2599" s="9" t="s">
        <v>27</v>
      </c>
      <c r="G2599" s="9" t="s">
        <v>27</v>
      </c>
      <c r="H2599" s="11" t="n">
        <v>22</v>
      </c>
      <c r="I2599" s="11" t="s">
        <v>216</v>
      </c>
      <c r="J2599" s="14"/>
      <c r="K2599" s="14" t="n">
        <v>22</v>
      </c>
      <c r="L2599" s="16"/>
      <c r="M2599" s="27" t="n">
        <f aca="false">J2599+(K2599/20)+(L2599/240)</f>
        <v>1.1</v>
      </c>
      <c r="N2599" s="17" t="s">
        <v>66</v>
      </c>
      <c r="O2599" s="11"/>
      <c r="P2599" s="28"/>
      <c r="Q2599" s="28" t="n">
        <f aca="false">P2599*$M2599</f>
        <v>0</v>
      </c>
      <c r="R2599" s="28"/>
      <c r="S2599" s="28" t="n">
        <f aca="false">R2599*$M2599</f>
        <v>0</v>
      </c>
      <c r="T2599" s="28" t="n">
        <v>2875</v>
      </c>
      <c r="U2599" s="28" t="n">
        <v>3162</v>
      </c>
      <c r="V2599" s="28"/>
      <c r="W2599" s="28" t="n">
        <f aca="false">V2599*$M2599</f>
        <v>0</v>
      </c>
      <c r="X2599" s="28"/>
      <c r="Y2599" s="28" t="n">
        <f aca="false">X2599*$M2599</f>
        <v>0</v>
      </c>
      <c r="Z2599" s="28"/>
      <c r="AA2599" s="28" t="n">
        <f aca="false">Z2599*$M2599</f>
        <v>0</v>
      </c>
      <c r="AB2599" s="28"/>
      <c r="AC2599" s="28" t="n">
        <f aca="false">AB2599*$M2599</f>
        <v>0</v>
      </c>
      <c r="AD2599" s="28"/>
      <c r="AE2599" s="28" t="n">
        <f aca="false">AD2599*$M2599</f>
        <v>0</v>
      </c>
      <c r="AF2599" s="28"/>
      <c r="AG2599" s="28" t="n">
        <f aca="false">AF2599*$M2599</f>
        <v>0</v>
      </c>
      <c r="AH2599" s="28"/>
      <c r="AI2599" s="28" t="n">
        <f aca="false">AH2599*$M2599</f>
        <v>0</v>
      </c>
      <c r="AJ2599" s="28"/>
      <c r="AK2599" s="28" t="n">
        <f aca="false">AJ2599*$M2599</f>
        <v>0</v>
      </c>
      <c r="AL2599" s="28"/>
      <c r="AM2599" s="28" t="n">
        <f aca="false">AL2599*$M2599</f>
        <v>0</v>
      </c>
      <c r="AN2599" s="28"/>
      <c r="AO2599" s="28" t="n">
        <f aca="false">AN2599*$M2599</f>
        <v>0</v>
      </c>
      <c r="AP2599" s="28"/>
      <c r="AQ2599" s="28" t="n">
        <f aca="false">AP2599*$M2599</f>
        <v>0</v>
      </c>
      <c r="AR2599" s="28"/>
      <c r="AS2599" s="28" t="n">
        <f aca="false">AR2599*$M2599</f>
        <v>0</v>
      </c>
      <c r="AT2599" s="28"/>
      <c r="AU2599" s="28" t="n">
        <f aca="false">AT2599*$M2599</f>
        <v>0</v>
      </c>
      <c r="AV2599" s="28"/>
      <c r="AW2599" s="28" t="n">
        <f aca="false">AV2599*$M2599</f>
        <v>0</v>
      </c>
      <c r="AX2599" s="28"/>
      <c r="AY2599" s="28" t="n">
        <f aca="false">AX2599*$M2599</f>
        <v>0</v>
      </c>
      <c r="AZ2599" s="30" t="n">
        <v>2875</v>
      </c>
      <c r="BA2599" s="11" t="n">
        <v>3162</v>
      </c>
      <c r="BB2599" s="31" t="n">
        <f aca="false">SUM(Q2599,S2599,U2599,W2599,Y2599,AA2599,AC2599,AE2599,AG2599,AI2599,AK2599,AM2599,AO2599,AQ2599,AS2599,AU2599,AW2599,AY2599)</f>
        <v>3162</v>
      </c>
      <c r="BC2599" s="28" t="n">
        <f aca="false">BA2599-BB2599</f>
        <v>0</v>
      </c>
      <c r="BD2599" s="32" t="n">
        <f aca="false">SUM(P2599,R2599,T2599,V2599,X2599,Z2599,AB2599,AD2599,AF2599,AH2599,AJ2599,AL2599,AN2599,AP2599,AR2599,AT2599,AV2599,AX2599)</f>
        <v>2875</v>
      </c>
      <c r="BE2599" s="33" t="n">
        <f aca="false">AZ2599-BD2599</f>
        <v>0</v>
      </c>
      <c r="BF2599" s="34" t="n">
        <f aca="false">BD2599*M2599</f>
        <v>3162.5</v>
      </c>
      <c r="BG2599" s="35" t="n">
        <f aca="false">BA2599-BF2599</f>
        <v>-0.500000000000455</v>
      </c>
      <c r="BH2599" s="19" t="str">
        <f aca="false">IF(BG2599=0,"",IF(BG2599&lt;&gt;BA2599,"erreur de calcul",IF(BD2599&lt;&gt;0,"pas de prix",IF(M2599&lt;&gt; 0,"pas de quantité","pas de prix, ni de quantité"))))</f>
        <v>erreur de calcul</v>
      </c>
      <c r="BI2599" s="19"/>
    </row>
    <row r="2600" customFormat="false" ht="15" hidden="false" customHeight="false" outlineLevel="0" collapsed="false">
      <c r="A2600" s="0" t="n">
        <v>16</v>
      </c>
      <c r="B2600" s="8" t="s">
        <v>24</v>
      </c>
      <c r="C2600" s="9" t="s">
        <v>25</v>
      </c>
      <c r="D2600" s="9" t="s">
        <v>26</v>
      </c>
      <c r="E2600" s="10" t="n">
        <v>1789</v>
      </c>
      <c r="F2600" s="9" t="s">
        <v>27</v>
      </c>
      <c r="G2600" s="9" t="s">
        <v>27</v>
      </c>
      <c r="H2600" s="11" t="n">
        <v>22</v>
      </c>
      <c r="I2600" s="11" t="s">
        <v>217</v>
      </c>
      <c r="J2600" s="14" t="n">
        <v>90</v>
      </c>
      <c r="K2600" s="14"/>
      <c r="L2600" s="16"/>
      <c r="M2600" s="27" t="n">
        <f aca="false">J2600+(K2600/20)+(L2600/240)</f>
        <v>90</v>
      </c>
      <c r="N2600" s="17" t="s">
        <v>64</v>
      </c>
      <c r="O2600" s="11"/>
      <c r="P2600" s="28"/>
      <c r="Q2600" s="28" t="n">
        <f aca="false">P2600*$M2600</f>
        <v>0</v>
      </c>
      <c r="R2600" s="28"/>
      <c r="S2600" s="28" t="n">
        <f aca="false">R2600*$M2600</f>
        <v>0</v>
      </c>
      <c r="T2600" s="28"/>
      <c r="U2600" s="28" t="n">
        <f aca="false">T2600*$M2600</f>
        <v>0</v>
      </c>
      <c r="V2600" s="28"/>
      <c r="W2600" s="28" t="n">
        <f aca="false">V2600*$M2600</f>
        <v>0</v>
      </c>
      <c r="X2600" s="28" t="n">
        <f aca="false">2440/100</f>
        <v>24.4</v>
      </c>
      <c r="Y2600" s="28" t="n">
        <v>2196</v>
      </c>
      <c r="Z2600" s="28"/>
      <c r="AA2600" s="28" t="n">
        <f aca="false">Z2600*$M2600</f>
        <v>0</v>
      </c>
      <c r="AB2600" s="28"/>
      <c r="AC2600" s="28" t="n">
        <f aca="false">AB2600*$M2600</f>
        <v>0</v>
      </c>
      <c r="AD2600" s="28"/>
      <c r="AE2600" s="28" t="n">
        <f aca="false">AD2600*$M2600</f>
        <v>0</v>
      </c>
      <c r="AF2600" s="28"/>
      <c r="AG2600" s="28" t="n">
        <f aca="false">AF2600*$M2600</f>
        <v>0</v>
      </c>
      <c r="AH2600" s="28" t="n">
        <f aca="false">524577/100</f>
        <v>5245.77</v>
      </c>
      <c r="AI2600" s="28" t="n">
        <v>472116</v>
      </c>
      <c r="AJ2600" s="28"/>
      <c r="AK2600" s="28" t="n">
        <f aca="false">AJ2600*$M2600</f>
        <v>0</v>
      </c>
      <c r="AL2600" s="28"/>
      <c r="AM2600" s="28" t="n">
        <f aca="false">AL2600*$M2600</f>
        <v>0</v>
      </c>
      <c r="AN2600" s="28"/>
      <c r="AO2600" s="28" t="n">
        <f aca="false">AN2600*$M2600</f>
        <v>0</v>
      </c>
      <c r="AP2600" s="28"/>
      <c r="AQ2600" s="28" t="n">
        <f aca="false">AP2600*$M2600</f>
        <v>0</v>
      </c>
      <c r="AR2600" s="28"/>
      <c r="AS2600" s="28" t="n">
        <f aca="false">AR2600*$M2600</f>
        <v>0</v>
      </c>
      <c r="AT2600" s="28"/>
      <c r="AU2600" s="28" t="n">
        <f aca="false">AT2600*$M2600</f>
        <v>0</v>
      </c>
      <c r="AV2600" s="28"/>
      <c r="AW2600" s="28" t="n">
        <f aca="false">AV2600*$M2600</f>
        <v>0</v>
      </c>
      <c r="AX2600" s="28"/>
      <c r="AY2600" s="28" t="n">
        <f aca="false">AX2600*$M2600</f>
        <v>0</v>
      </c>
      <c r="AZ2600" s="30" t="n">
        <f aca="false">526980/100</f>
        <v>5269.8</v>
      </c>
      <c r="BA2600" s="11" t="n">
        <v>474312</v>
      </c>
      <c r="BB2600" s="31" t="n">
        <f aca="false">SUM(Q2600,S2600,U2600,W2600,Y2600,AA2600,AC2600,AE2600,AG2600,AI2600,AK2600,AM2600,AO2600,AQ2600,AS2600,AU2600,AW2600,AY2600)</f>
        <v>474312</v>
      </c>
      <c r="BC2600" s="28" t="n">
        <f aca="false">BA2600-BB2600</f>
        <v>0</v>
      </c>
      <c r="BD2600" s="32" t="n">
        <f aca="false">SUM(P2600,R2600,T2600,V2600,X2600,Z2600,AB2600,AD2600,AF2600,AH2600,AJ2600,AL2600,AN2600,AP2600,AR2600,AT2600,AV2600,AX2600)</f>
        <v>5270.17</v>
      </c>
      <c r="BE2600" s="33" t="n">
        <f aca="false">AZ2600-BD2600</f>
        <v>-0.369999999999891</v>
      </c>
      <c r="BF2600" s="34" t="n">
        <f aca="false">BD2600*M2600</f>
        <v>474315.3</v>
      </c>
      <c r="BG2600" s="35" t="n">
        <f aca="false">BA2600-BF2600</f>
        <v>-3.29999999998836</v>
      </c>
      <c r="BH2600" s="19" t="str">
        <f aca="false">IF(BG2600=0,"",IF(BG2600&lt;&gt;BA2600,"erreur de calcul",IF(BD2600&lt;&gt;0,"pas de prix",IF(M2600&lt;&gt; 0,"pas de quantité","pas de prix, ni de quantité"))))</f>
        <v>erreur de calcul</v>
      </c>
      <c r="BI2600" s="19"/>
    </row>
    <row r="2601" customFormat="false" ht="15" hidden="false" customHeight="false" outlineLevel="0" collapsed="false">
      <c r="A2601" s="0" t="n">
        <v>17</v>
      </c>
      <c r="B2601" s="8" t="s">
        <v>24</v>
      </c>
      <c r="C2601" s="9" t="s">
        <v>25</v>
      </c>
      <c r="D2601" s="9" t="s">
        <v>26</v>
      </c>
      <c r="E2601" s="10" t="n">
        <v>1789</v>
      </c>
      <c r="F2601" s="9" t="s">
        <v>27</v>
      </c>
      <c r="G2601" s="9" t="s">
        <v>27</v>
      </c>
      <c r="H2601" s="11" t="n">
        <v>22</v>
      </c>
      <c r="I2601" s="11" t="s">
        <v>218</v>
      </c>
      <c r="J2601" s="14" t="n">
        <v>15</v>
      </c>
      <c r="K2601" s="14"/>
      <c r="L2601" s="16"/>
      <c r="M2601" s="27" t="n">
        <f aca="false">J2601+(K2601/20)+(L2601/240)</f>
        <v>15</v>
      </c>
      <c r="N2601" s="17" t="s">
        <v>64</v>
      </c>
      <c r="O2601" s="11"/>
      <c r="P2601" s="28" t="n">
        <f aca="false">12250/100</f>
        <v>122.5</v>
      </c>
      <c r="Q2601" s="28" t="n">
        <v>1837</v>
      </c>
      <c r="R2601" s="28"/>
      <c r="S2601" s="28" t="n">
        <f aca="false">R2601*$M2601</f>
        <v>0</v>
      </c>
      <c r="T2601" s="28"/>
      <c r="U2601" s="28" t="n">
        <f aca="false">T2601*$M2601</f>
        <v>0</v>
      </c>
      <c r="V2601" s="28" t="n">
        <f aca="false">118493/100</f>
        <v>1184.93</v>
      </c>
      <c r="W2601" s="28" t="n">
        <v>17774</v>
      </c>
      <c r="X2601" s="28" t="n">
        <f aca="false">16835/100</f>
        <v>168.35</v>
      </c>
      <c r="Y2601" s="28" t="n">
        <v>2525</v>
      </c>
      <c r="Z2601" s="28"/>
      <c r="AA2601" s="28" t="n">
        <f aca="false">Z2601*$M2601</f>
        <v>0</v>
      </c>
      <c r="AB2601" s="28" t="n">
        <f aca="false">268622/100</f>
        <v>2686.22</v>
      </c>
      <c r="AC2601" s="28" t="n">
        <v>40293</v>
      </c>
      <c r="AD2601" s="28"/>
      <c r="AE2601" s="28" t="n">
        <f aca="false">AD2601*$M2601</f>
        <v>0</v>
      </c>
      <c r="AF2601" s="28"/>
      <c r="AG2601" s="28" t="n">
        <f aca="false">AF2601*$M2601</f>
        <v>0</v>
      </c>
      <c r="AH2601" s="28" t="n">
        <f aca="false">70164/100</f>
        <v>701.64</v>
      </c>
      <c r="AI2601" s="28" t="n">
        <v>10524</v>
      </c>
      <c r="AJ2601" s="28"/>
      <c r="AK2601" s="28" t="n">
        <f aca="false">AJ2601*$M2601</f>
        <v>0</v>
      </c>
      <c r="AL2601" s="28"/>
      <c r="AM2601" s="28" t="n">
        <f aca="false">AL2601*$M2601</f>
        <v>0</v>
      </c>
      <c r="AN2601" s="28"/>
      <c r="AO2601" s="28" t="n">
        <f aca="false">AN2601*$M2601</f>
        <v>0</v>
      </c>
      <c r="AP2601" s="28"/>
      <c r="AQ2601" s="28" t="n">
        <f aca="false">AP2601*$M2601</f>
        <v>0</v>
      </c>
      <c r="AR2601" s="28"/>
      <c r="AS2601" s="28" t="n">
        <f aca="false">AR2601*$M2601</f>
        <v>0</v>
      </c>
      <c r="AT2601" s="28"/>
      <c r="AU2601" s="28" t="n">
        <f aca="false">AT2601*$M2601</f>
        <v>0</v>
      </c>
      <c r="AV2601" s="28"/>
      <c r="AW2601" s="28" t="n">
        <f aca="false">AV2601*$M2601</f>
        <v>0</v>
      </c>
      <c r="AX2601" s="28"/>
      <c r="AY2601" s="28" t="n">
        <f aca="false">AX2601*$M2601</f>
        <v>0</v>
      </c>
      <c r="AZ2601" s="30" t="n">
        <f aca="false">486364/100</f>
        <v>4863.64</v>
      </c>
      <c r="BA2601" s="11" t="n">
        <v>72953</v>
      </c>
      <c r="BB2601" s="31" t="n">
        <f aca="false">SUM(Q2601,S2601,U2601,W2601,Y2601,AA2601,AC2601,AE2601,AG2601,AI2601,AK2601,AM2601,AO2601,AQ2601,AS2601,AU2601,AW2601,AY2601)</f>
        <v>72953</v>
      </c>
      <c r="BC2601" s="28" t="n">
        <f aca="false">BA2601-BB2601</f>
        <v>0</v>
      </c>
      <c r="BD2601" s="32" t="n">
        <f aca="false">SUM(P2601,R2601,T2601,V2601,X2601,Z2601,AB2601,AD2601,AF2601,AH2601,AJ2601,AL2601,AN2601,AP2601,AR2601,AT2601,AV2601,AX2601)</f>
        <v>4863.64</v>
      </c>
      <c r="BE2601" s="33" t="n">
        <f aca="false">AZ2601-BD2601</f>
        <v>0</v>
      </c>
      <c r="BF2601" s="34" t="n">
        <f aca="false">BD2601*M2601</f>
        <v>72954.6</v>
      </c>
      <c r="BG2601" s="35" t="n">
        <f aca="false">BA2601-BF2601</f>
        <v>-1.59999999999127</v>
      </c>
      <c r="BH2601" s="19" t="str">
        <f aca="false">IF(BG2601=0,"",IF(BG2601&lt;&gt;BA2601,"erreur de calcul",IF(BD2601&lt;&gt;0,"pas de prix",IF(M2601&lt;&gt; 0,"pas de quantité","pas de prix, ni de quantité"))))</f>
        <v>erreur de calcul</v>
      </c>
      <c r="BI2601" s="19"/>
    </row>
    <row r="2602" customFormat="false" ht="15" hidden="false" customHeight="false" outlineLevel="0" collapsed="false">
      <c r="A2602" s="0" t="n">
        <v>18</v>
      </c>
      <c r="B2602" s="8" t="s">
        <v>24</v>
      </c>
      <c r="C2602" s="9" t="s">
        <v>25</v>
      </c>
      <c r="D2602" s="9" t="s">
        <v>26</v>
      </c>
      <c r="E2602" s="10" t="n">
        <v>1789</v>
      </c>
      <c r="F2602" s="9" t="s">
        <v>27</v>
      </c>
      <c r="G2602" s="9" t="s">
        <v>27</v>
      </c>
      <c r="H2602" s="11" t="n">
        <v>22</v>
      </c>
      <c r="I2602" s="11" t="s">
        <v>219</v>
      </c>
      <c r="J2602" s="14" t="n">
        <v>12</v>
      </c>
      <c r="K2602" s="14"/>
      <c r="L2602" s="16"/>
      <c r="M2602" s="27" t="n">
        <f aca="false">J2602+(K2602/20)+(L2602/240)</f>
        <v>12</v>
      </c>
      <c r="N2602" s="17" t="s">
        <v>64</v>
      </c>
      <c r="O2602" s="11"/>
      <c r="P2602" s="28"/>
      <c r="Q2602" s="28" t="n">
        <f aca="false">P2602*$M2602</f>
        <v>0</v>
      </c>
      <c r="R2602" s="28"/>
      <c r="S2602" s="28" t="n">
        <f aca="false">R2602*$M2602</f>
        <v>0</v>
      </c>
      <c r="T2602" s="28"/>
      <c r="U2602" s="28" t="n">
        <f aca="false">T2602*$M2602</f>
        <v>0</v>
      </c>
      <c r="V2602" s="28" t="n">
        <f aca="false">26072/100</f>
        <v>260.72</v>
      </c>
      <c r="W2602" s="28" t="n">
        <v>3129</v>
      </c>
      <c r="X2602" s="28" t="n">
        <f aca="false">16340/100</f>
        <v>163.4</v>
      </c>
      <c r="Y2602" s="28" t="n">
        <v>1961</v>
      </c>
      <c r="Z2602" s="28"/>
      <c r="AA2602" s="28" t="n">
        <f aca="false">Z2602*$M2602</f>
        <v>0</v>
      </c>
      <c r="AB2602" s="28" t="n">
        <f aca="false">76351/100</f>
        <v>763.51</v>
      </c>
      <c r="AC2602" s="28" t="n">
        <v>9162</v>
      </c>
      <c r="AD2602" s="28"/>
      <c r="AE2602" s="28" t="n">
        <f aca="false">AD2602*$M2602</f>
        <v>0</v>
      </c>
      <c r="AF2602" s="28"/>
      <c r="AG2602" s="28" t="n">
        <f aca="false">AF2602*$M2602</f>
        <v>0</v>
      </c>
      <c r="AH2602" s="28"/>
      <c r="AI2602" s="28" t="n">
        <f aca="false">AH2602*$M2602</f>
        <v>0</v>
      </c>
      <c r="AJ2602" s="28"/>
      <c r="AK2602" s="28" t="n">
        <f aca="false">AJ2602*$M2602</f>
        <v>0</v>
      </c>
      <c r="AL2602" s="28"/>
      <c r="AM2602" s="28" t="n">
        <f aca="false">AL2602*$M2602</f>
        <v>0</v>
      </c>
      <c r="AN2602" s="28"/>
      <c r="AO2602" s="28" t="n">
        <f aca="false">AN2602*$M2602</f>
        <v>0</v>
      </c>
      <c r="AP2602" s="28"/>
      <c r="AQ2602" s="28" t="n">
        <f aca="false">AP2602*$M2602</f>
        <v>0</v>
      </c>
      <c r="AR2602" s="28"/>
      <c r="AS2602" s="28" t="n">
        <f aca="false">AR2602*$M2602</f>
        <v>0</v>
      </c>
      <c r="AT2602" s="28"/>
      <c r="AU2602" s="28" t="n">
        <f aca="false">AT2602*$M2602</f>
        <v>0</v>
      </c>
      <c r="AV2602" s="28"/>
      <c r="AW2602" s="28" t="n">
        <f aca="false">AV2602*$M2602</f>
        <v>0</v>
      </c>
      <c r="AX2602" s="28"/>
      <c r="AY2602" s="28" t="n">
        <f aca="false">AX2602*$M2602</f>
        <v>0</v>
      </c>
      <c r="AZ2602" s="30" t="n">
        <f aca="false">118763/100</f>
        <v>1187.63</v>
      </c>
      <c r="BA2602" s="11" t="n">
        <v>14252</v>
      </c>
      <c r="BB2602" s="31" t="n">
        <f aca="false">SUM(Q2602,S2602,U2602,W2602,Y2602,AA2602,AC2602,AE2602,AG2602,AI2602,AK2602,AM2602,AO2602,AQ2602,AS2602,AU2602,AW2602,AY2602)</f>
        <v>14252</v>
      </c>
      <c r="BC2602" s="28" t="n">
        <f aca="false">BA2602-BB2602</f>
        <v>0</v>
      </c>
      <c r="BD2602" s="32" t="n">
        <f aca="false">SUM(P2602,R2602,T2602,V2602,X2602,Z2602,AB2602,AD2602,AF2602,AH2602,AJ2602,AL2602,AN2602,AP2602,AR2602,AT2602,AV2602,AX2602)</f>
        <v>1187.63</v>
      </c>
      <c r="BE2602" s="33" t="n">
        <f aca="false">AZ2602-BD2602</f>
        <v>0</v>
      </c>
      <c r="BF2602" s="34" t="n">
        <f aca="false">BD2602*M2602</f>
        <v>14251.56</v>
      </c>
      <c r="BG2602" s="35" t="n">
        <f aca="false">BA2602-BF2602</f>
        <v>0.43999999999869</v>
      </c>
      <c r="BH2602" s="19" t="str">
        <f aca="false">IF(BG2602=0,"",IF(BG2602&lt;&gt;BA2602,"erreur de calcul",IF(BD2602&lt;&gt;0,"pas de prix",IF(M2602&lt;&gt; 0,"pas de quantité","pas de prix, ni de quantité"))))</f>
        <v>erreur de calcul</v>
      </c>
      <c r="BI2602" s="19"/>
    </row>
    <row r="2603" customFormat="false" ht="15" hidden="false" customHeight="false" outlineLevel="0" collapsed="false">
      <c r="A2603" s="0" t="n">
        <v>19</v>
      </c>
      <c r="B2603" s="8" t="s">
        <v>24</v>
      </c>
      <c r="C2603" s="9" t="s">
        <v>25</v>
      </c>
      <c r="D2603" s="9" t="s">
        <v>26</v>
      </c>
      <c r="E2603" s="10" t="n">
        <v>1789</v>
      </c>
      <c r="F2603" s="9" t="s">
        <v>27</v>
      </c>
      <c r="G2603" s="9" t="s">
        <v>27</v>
      </c>
      <c r="H2603" s="11" t="n">
        <v>22</v>
      </c>
      <c r="I2603" s="11" t="s">
        <v>220</v>
      </c>
      <c r="J2603" s="14" t="n">
        <v>8</v>
      </c>
      <c r="K2603" s="14"/>
      <c r="L2603" s="16"/>
      <c r="M2603" s="27" t="n">
        <f aca="false">J2603+(K2603/20)+(L2603/240)</f>
        <v>8</v>
      </c>
      <c r="N2603" s="17" t="s">
        <v>66</v>
      </c>
      <c r="O2603" s="11"/>
      <c r="P2603" s="28" t="n">
        <v>3798</v>
      </c>
      <c r="Q2603" s="28" t="n">
        <v>30384</v>
      </c>
      <c r="R2603" s="28"/>
      <c r="S2603" s="28" t="n">
        <f aca="false">R2603*$M2603</f>
        <v>0</v>
      </c>
      <c r="T2603" s="28"/>
      <c r="U2603" s="28" t="n">
        <f aca="false">T2603*$M2603</f>
        <v>0</v>
      </c>
      <c r="V2603" s="28"/>
      <c r="W2603" s="28" t="n">
        <f aca="false">V2603*$M2603</f>
        <v>0</v>
      </c>
      <c r="X2603" s="28"/>
      <c r="Y2603" s="28" t="n">
        <f aca="false">X2603*$M2603</f>
        <v>0</v>
      </c>
      <c r="Z2603" s="28"/>
      <c r="AA2603" s="28" t="n">
        <f aca="false">Z2603*$M2603</f>
        <v>0</v>
      </c>
      <c r="AB2603" s="28"/>
      <c r="AC2603" s="28" t="n">
        <f aca="false">AB2603*$M2603</f>
        <v>0</v>
      </c>
      <c r="AD2603" s="28"/>
      <c r="AE2603" s="28" t="n">
        <f aca="false">AD2603*$M2603</f>
        <v>0</v>
      </c>
      <c r="AF2603" s="28"/>
      <c r="AG2603" s="28" t="n">
        <f aca="false">AF2603*$M2603</f>
        <v>0</v>
      </c>
      <c r="AH2603" s="28" t="n">
        <v>322</v>
      </c>
      <c r="AI2603" s="28" t="n">
        <v>2576</v>
      </c>
      <c r="AJ2603" s="28"/>
      <c r="AK2603" s="28" t="n">
        <f aca="false">AJ2603*$M2603</f>
        <v>0</v>
      </c>
      <c r="AL2603" s="28"/>
      <c r="AM2603" s="28" t="n">
        <f aca="false">AL2603*$M2603</f>
        <v>0</v>
      </c>
      <c r="AN2603" s="28"/>
      <c r="AO2603" s="28" t="n">
        <f aca="false">AN2603*$M2603</f>
        <v>0</v>
      </c>
      <c r="AP2603" s="28"/>
      <c r="AQ2603" s="28" t="n">
        <f aca="false">AP2603*$M2603</f>
        <v>0</v>
      </c>
      <c r="AR2603" s="28"/>
      <c r="AS2603" s="28" t="n">
        <f aca="false">AR2603*$M2603</f>
        <v>0</v>
      </c>
      <c r="AT2603" s="28"/>
      <c r="AU2603" s="28" t="n">
        <f aca="false">AT2603*$M2603</f>
        <v>0</v>
      </c>
      <c r="AV2603" s="28"/>
      <c r="AW2603" s="28" t="n">
        <f aca="false">AV2603*$M2603</f>
        <v>0</v>
      </c>
      <c r="AX2603" s="28"/>
      <c r="AY2603" s="28" t="n">
        <f aca="false">AX2603*$M2603</f>
        <v>0</v>
      </c>
      <c r="AZ2603" s="30" t="n">
        <v>4120</v>
      </c>
      <c r="BA2603" s="11" t="n">
        <v>32960</v>
      </c>
      <c r="BB2603" s="31" t="n">
        <f aca="false">SUM(Q2603,S2603,U2603,W2603,Y2603,AA2603,AC2603,AE2603,AG2603,AI2603,AK2603,AM2603,AO2603,AQ2603,AS2603,AU2603,AW2603,AY2603)</f>
        <v>32960</v>
      </c>
      <c r="BC2603" s="28" t="n">
        <f aca="false">BA2603-BB2603</f>
        <v>0</v>
      </c>
      <c r="BD2603" s="32" t="n">
        <f aca="false">SUM(P2603,R2603,T2603,V2603,X2603,Z2603,AB2603,AD2603,AF2603,AH2603,AJ2603,AL2603,AN2603,AP2603,AR2603,AT2603,AV2603,AX2603)</f>
        <v>4120</v>
      </c>
      <c r="BE2603" s="33" t="n">
        <f aca="false">AZ2603-BD2603</f>
        <v>0</v>
      </c>
      <c r="BF2603" s="34" t="n">
        <f aca="false">BD2603*M2603</f>
        <v>32960</v>
      </c>
      <c r="BG2603" s="35" t="n">
        <f aca="false">BA2603-BF2603</f>
        <v>0</v>
      </c>
      <c r="BH2603" s="19" t="str">
        <f aca="false">IF(BG2603=0,"",IF(BG2603&lt;&gt;BA2603,"erreur de calcul",IF(BD2603&lt;&gt;0,"pas de prix",IF(M2603&lt;&gt; 0,"pas de quantité","pas de prix, ni de quantité"))))</f>
        <v/>
      </c>
      <c r="BI2603" s="19"/>
    </row>
    <row r="2604" customFormat="false" ht="15" hidden="false" customHeight="false" outlineLevel="0" collapsed="false">
      <c r="A2604" s="0" t="n">
        <v>20</v>
      </c>
      <c r="B2604" s="8" t="s">
        <v>24</v>
      </c>
      <c r="C2604" s="9" t="s">
        <v>25</v>
      </c>
      <c r="D2604" s="9" t="s">
        <v>26</v>
      </c>
      <c r="E2604" s="10" t="n">
        <v>1789</v>
      </c>
      <c r="F2604" s="9" t="s">
        <v>27</v>
      </c>
      <c r="G2604" s="9" t="s">
        <v>27</v>
      </c>
      <c r="H2604" s="11" t="n">
        <v>22</v>
      </c>
      <c r="I2604" s="11" t="s">
        <v>221</v>
      </c>
      <c r="J2604" s="14"/>
      <c r="K2604" s="14" t="n">
        <v>20</v>
      </c>
      <c r="L2604" s="16"/>
      <c r="M2604" s="27" t="n">
        <f aca="false">J2604+(K2604/20)+(L2604/240)</f>
        <v>1</v>
      </c>
      <c r="N2604" s="17" t="s">
        <v>66</v>
      </c>
      <c r="O2604" s="11"/>
      <c r="P2604" s="28" t="n">
        <v>1353</v>
      </c>
      <c r="Q2604" s="28" t="n">
        <v>1353</v>
      </c>
      <c r="R2604" s="28"/>
      <c r="S2604" s="28" t="n">
        <f aca="false">R2604*$M2604</f>
        <v>0</v>
      </c>
      <c r="T2604" s="28"/>
      <c r="U2604" s="28" t="n">
        <f aca="false">T2604*$M2604</f>
        <v>0</v>
      </c>
      <c r="V2604" s="28"/>
      <c r="W2604" s="28" t="n">
        <f aca="false">V2604*$M2604</f>
        <v>0</v>
      </c>
      <c r="X2604" s="28"/>
      <c r="Y2604" s="28" t="n">
        <f aca="false">X2604*$M2604</f>
        <v>0</v>
      </c>
      <c r="Z2604" s="28"/>
      <c r="AA2604" s="28" t="n">
        <f aca="false">Z2604*$M2604</f>
        <v>0</v>
      </c>
      <c r="AB2604" s="28"/>
      <c r="AC2604" s="28" t="n">
        <f aca="false">AB2604*$M2604</f>
        <v>0</v>
      </c>
      <c r="AD2604" s="28"/>
      <c r="AE2604" s="28" t="n">
        <f aca="false">AD2604*$M2604</f>
        <v>0</v>
      </c>
      <c r="AF2604" s="28"/>
      <c r="AG2604" s="28" t="n">
        <f aca="false">AF2604*$M2604</f>
        <v>0</v>
      </c>
      <c r="AH2604" s="28"/>
      <c r="AI2604" s="28" t="n">
        <f aca="false">AH2604*$M2604</f>
        <v>0</v>
      </c>
      <c r="AJ2604" s="28"/>
      <c r="AK2604" s="28" t="n">
        <f aca="false">AJ2604*$M2604</f>
        <v>0</v>
      </c>
      <c r="AL2604" s="28"/>
      <c r="AM2604" s="28" t="n">
        <f aca="false">AL2604*$M2604</f>
        <v>0</v>
      </c>
      <c r="AN2604" s="28"/>
      <c r="AO2604" s="28" t="n">
        <f aca="false">AN2604*$M2604</f>
        <v>0</v>
      </c>
      <c r="AP2604" s="28"/>
      <c r="AQ2604" s="28" t="n">
        <f aca="false">AP2604*$M2604</f>
        <v>0</v>
      </c>
      <c r="AR2604" s="28"/>
      <c r="AS2604" s="28" t="n">
        <f aca="false">AR2604*$M2604</f>
        <v>0</v>
      </c>
      <c r="AT2604" s="28"/>
      <c r="AU2604" s="28" t="n">
        <f aca="false">AT2604*$M2604</f>
        <v>0</v>
      </c>
      <c r="AV2604" s="28"/>
      <c r="AW2604" s="28" t="n">
        <f aca="false">AV2604*$M2604</f>
        <v>0</v>
      </c>
      <c r="AX2604" s="28"/>
      <c r="AY2604" s="28" t="n">
        <f aca="false">AX2604*$M2604</f>
        <v>0</v>
      </c>
      <c r="AZ2604" s="30" t="n">
        <v>1353</v>
      </c>
      <c r="BA2604" s="11" t="n">
        <v>1353</v>
      </c>
      <c r="BB2604" s="31" t="n">
        <f aca="false">SUM(Q2604,S2604,U2604,W2604,Y2604,AA2604,AC2604,AE2604,AG2604,AI2604,AK2604,AM2604,AO2604,AQ2604,AS2604,AU2604,AW2604,AY2604)</f>
        <v>1353</v>
      </c>
      <c r="BC2604" s="28" t="n">
        <f aca="false">BA2604-BB2604</f>
        <v>0</v>
      </c>
      <c r="BD2604" s="32" t="n">
        <f aca="false">SUM(P2604,R2604,T2604,V2604,X2604,Z2604,AB2604,AD2604,AF2604,AH2604,AJ2604,AL2604,AN2604,AP2604,AR2604,AT2604,AV2604,AX2604)</f>
        <v>1353</v>
      </c>
      <c r="BE2604" s="33" t="n">
        <f aca="false">AZ2604-BD2604</f>
        <v>0</v>
      </c>
      <c r="BF2604" s="34" t="n">
        <f aca="false">BD2604*M2604</f>
        <v>1353</v>
      </c>
      <c r="BG2604" s="35" t="n">
        <f aca="false">BA2604-BF2604</f>
        <v>0</v>
      </c>
      <c r="BH2604" s="19" t="str">
        <f aca="false">IF(BG2604=0,"",IF(BG2604&lt;&gt;BA2604,"erreur de calcul",IF(BD2604&lt;&gt;0,"pas de prix",IF(M2604&lt;&gt; 0,"pas de quantité","pas de prix, ni de quantité"))))</f>
        <v/>
      </c>
      <c r="BI2604" s="19"/>
    </row>
    <row r="2605" customFormat="false" ht="15" hidden="false" customHeight="false" outlineLevel="0" collapsed="false">
      <c r="A2605" s="0" t="n">
        <v>21</v>
      </c>
      <c r="B2605" s="8" t="s">
        <v>24</v>
      </c>
      <c r="C2605" s="9" t="s">
        <v>25</v>
      </c>
      <c r="D2605" s="9" t="s">
        <v>26</v>
      </c>
      <c r="E2605" s="10" t="n">
        <v>1789</v>
      </c>
      <c r="F2605" s="9" t="s">
        <v>27</v>
      </c>
      <c r="G2605" s="9" t="s">
        <v>27</v>
      </c>
      <c r="H2605" s="11" t="n">
        <v>22</v>
      </c>
      <c r="I2605" s="11" t="s">
        <v>222</v>
      </c>
      <c r="J2605" s="14" t="n">
        <v>85</v>
      </c>
      <c r="K2605" s="14"/>
      <c r="L2605" s="16"/>
      <c r="M2605" s="27" t="n">
        <f aca="false">J2605+(K2605/20)+(L2605/240)</f>
        <v>85</v>
      </c>
      <c r="N2605" s="17" t="s">
        <v>64</v>
      </c>
      <c r="O2605" s="11"/>
      <c r="P2605" s="28"/>
      <c r="Q2605" s="28" t="n">
        <f aca="false">P2605*$M2605</f>
        <v>0</v>
      </c>
      <c r="R2605" s="28"/>
      <c r="S2605" s="28" t="n">
        <f aca="false">R2605*$M2605</f>
        <v>0</v>
      </c>
      <c r="T2605" s="28" t="n">
        <f aca="false">10813/100</f>
        <v>108.13</v>
      </c>
      <c r="U2605" s="28" t="n">
        <v>9191</v>
      </c>
      <c r="V2605" s="28" t="n">
        <f aca="false">43400/100</f>
        <v>434</v>
      </c>
      <c r="W2605" s="28" t="n">
        <v>36890</v>
      </c>
      <c r="X2605" s="28" t="n">
        <f aca="false">702/100</f>
        <v>7.02</v>
      </c>
      <c r="Y2605" s="28" t="n">
        <v>597</v>
      </c>
      <c r="Z2605" s="28"/>
      <c r="AA2605" s="28" t="n">
        <f aca="false">Z2605*$M2605</f>
        <v>0</v>
      </c>
      <c r="AB2605" s="28" t="n">
        <f aca="false">171/100</f>
        <v>1.71</v>
      </c>
      <c r="AC2605" s="28" t="n">
        <v>145</v>
      </c>
      <c r="AD2605" s="28"/>
      <c r="AE2605" s="28" t="n">
        <f aca="false">AD2605*$M2605</f>
        <v>0</v>
      </c>
      <c r="AF2605" s="28"/>
      <c r="AG2605" s="28" t="n">
        <f aca="false">AF2605*$M2605</f>
        <v>0</v>
      </c>
      <c r="AH2605" s="28" t="n">
        <f aca="false">17388/100</f>
        <v>173.88</v>
      </c>
      <c r="AI2605" s="28" t="n">
        <v>14780</v>
      </c>
      <c r="AJ2605" s="28"/>
      <c r="AK2605" s="28" t="n">
        <f aca="false">AJ2605*$M2605</f>
        <v>0</v>
      </c>
      <c r="AL2605" s="28"/>
      <c r="AM2605" s="28" t="n">
        <f aca="false">AL2605*$M2605</f>
        <v>0</v>
      </c>
      <c r="AN2605" s="28"/>
      <c r="AO2605" s="28" t="n">
        <f aca="false">AN2605*$M2605</f>
        <v>0</v>
      </c>
      <c r="AP2605" s="28"/>
      <c r="AQ2605" s="28" t="n">
        <f aca="false">AP2605*$M2605</f>
        <v>0</v>
      </c>
      <c r="AR2605" s="28"/>
      <c r="AS2605" s="28" t="n">
        <f aca="false">AR2605*$M2605</f>
        <v>0</v>
      </c>
      <c r="AT2605" s="28"/>
      <c r="AU2605" s="28" t="n">
        <f aca="false">AT2605*$M2605</f>
        <v>0</v>
      </c>
      <c r="AV2605" s="28"/>
      <c r="AW2605" s="28" t="n">
        <f aca="false">AV2605*$M2605</f>
        <v>0</v>
      </c>
      <c r="AX2605" s="28"/>
      <c r="AY2605" s="28" t="n">
        <f aca="false">AX2605*$M2605</f>
        <v>0</v>
      </c>
      <c r="AZ2605" s="30" t="n">
        <f aca="false">72474/100</f>
        <v>724.74</v>
      </c>
      <c r="BA2605" s="11" t="n">
        <v>61603</v>
      </c>
      <c r="BB2605" s="31" t="n">
        <f aca="false">SUM(Q2605,S2605,U2605,W2605,Y2605,AA2605,AC2605,AE2605,AG2605,AI2605,AK2605,AM2605,AO2605,AQ2605,AS2605,AU2605,AW2605,AY2605)</f>
        <v>61603</v>
      </c>
      <c r="BC2605" s="28" t="n">
        <f aca="false">BA2605-BB2605</f>
        <v>0</v>
      </c>
      <c r="BD2605" s="32" t="n">
        <f aca="false">SUM(P2605,R2605,T2605,V2605,X2605,Z2605,AB2605,AD2605,AF2605,AH2605,AJ2605,AL2605,AN2605,AP2605,AR2605,AT2605,AV2605,AX2605)</f>
        <v>724.74</v>
      </c>
      <c r="BE2605" s="33" t="n">
        <f aca="false">AZ2605-BD2605</f>
        <v>0</v>
      </c>
      <c r="BF2605" s="34" t="n">
        <f aca="false">BD2605*M2605</f>
        <v>61602.9</v>
      </c>
      <c r="BG2605" s="35" t="n">
        <f aca="false">BA2605-BF2605</f>
        <v>0.0999999999985448</v>
      </c>
      <c r="BH2605" s="19" t="str">
        <f aca="false">IF(BG2605=0,"",IF(BG2605&lt;&gt;BA2605,"erreur de calcul",IF(BD2605&lt;&gt;0,"pas de prix",IF(M2605&lt;&gt; 0,"pas de quantité","pas de prix, ni de quantité"))))</f>
        <v>erreur de calcul</v>
      </c>
      <c r="BI2605" s="19"/>
    </row>
    <row r="2606" customFormat="false" ht="15" hidden="false" customHeight="false" outlineLevel="0" collapsed="false">
      <c r="A2606" s="0" t="n">
        <v>22</v>
      </c>
      <c r="B2606" s="8" t="s">
        <v>24</v>
      </c>
      <c r="C2606" s="9" t="s">
        <v>25</v>
      </c>
      <c r="D2606" s="9" t="s">
        <v>26</v>
      </c>
      <c r="E2606" s="10" t="n">
        <v>1789</v>
      </c>
      <c r="F2606" s="9" t="s">
        <v>27</v>
      </c>
      <c r="G2606" s="9" t="s">
        <v>27</v>
      </c>
      <c r="H2606" s="11" t="n">
        <v>22</v>
      </c>
      <c r="I2606" s="11" t="s">
        <v>223</v>
      </c>
      <c r="J2606" s="14" t="n">
        <v>150</v>
      </c>
      <c r="K2606" s="14"/>
      <c r="L2606" s="16"/>
      <c r="M2606" s="27" t="n">
        <f aca="false">J2606+(K2606/20)+(L2606/240)</f>
        <v>150</v>
      </c>
      <c r="N2606" s="17" t="s">
        <v>64</v>
      </c>
      <c r="O2606" s="11"/>
      <c r="P2606" s="28"/>
      <c r="Q2606" s="28" t="n">
        <f aca="false">P2606*$M2606</f>
        <v>0</v>
      </c>
      <c r="R2606" s="28"/>
      <c r="S2606" s="28" t="n">
        <f aca="false">R2606*$M2606</f>
        <v>0</v>
      </c>
      <c r="T2606" s="28"/>
      <c r="U2606" s="28" t="n">
        <f aca="false">T2606*$M2606</f>
        <v>0</v>
      </c>
      <c r="V2606" s="28" t="n">
        <f aca="false">1415/100</f>
        <v>14.15</v>
      </c>
      <c r="W2606" s="28" t="n">
        <v>2122</v>
      </c>
      <c r="X2606" s="28"/>
      <c r="Y2606" s="28" t="n">
        <f aca="false">X2606*$M2606</f>
        <v>0</v>
      </c>
      <c r="Z2606" s="28"/>
      <c r="AA2606" s="28" t="n">
        <f aca="false">Z2606*$M2606</f>
        <v>0</v>
      </c>
      <c r="AB2606" s="28" t="n">
        <f aca="false">1806/100</f>
        <v>18.06</v>
      </c>
      <c r="AC2606" s="28" t="n">
        <v>2709</v>
      </c>
      <c r="AD2606" s="28"/>
      <c r="AE2606" s="28" t="n">
        <f aca="false">AD2606*$M2606</f>
        <v>0</v>
      </c>
      <c r="AF2606" s="28"/>
      <c r="AG2606" s="28" t="n">
        <f aca="false">AF2606*$M2606</f>
        <v>0</v>
      </c>
      <c r="AH2606" s="28"/>
      <c r="AI2606" s="28" t="n">
        <f aca="false">AH2606*$M2606</f>
        <v>0</v>
      </c>
      <c r="AJ2606" s="28"/>
      <c r="AK2606" s="28" t="n">
        <f aca="false">AJ2606*$M2606</f>
        <v>0</v>
      </c>
      <c r="AL2606" s="28"/>
      <c r="AM2606" s="28" t="n">
        <f aca="false">AL2606*$M2606</f>
        <v>0</v>
      </c>
      <c r="AN2606" s="28"/>
      <c r="AO2606" s="28" t="n">
        <f aca="false">AN2606*$M2606</f>
        <v>0</v>
      </c>
      <c r="AP2606" s="28"/>
      <c r="AQ2606" s="28" t="n">
        <f aca="false">AP2606*$M2606</f>
        <v>0</v>
      </c>
      <c r="AR2606" s="28"/>
      <c r="AS2606" s="28" t="n">
        <f aca="false">AR2606*$M2606</f>
        <v>0</v>
      </c>
      <c r="AT2606" s="28"/>
      <c r="AU2606" s="28" t="n">
        <f aca="false">AT2606*$M2606</f>
        <v>0</v>
      </c>
      <c r="AV2606" s="28"/>
      <c r="AW2606" s="28" t="n">
        <f aca="false">AV2606*$M2606</f>
        <v>0</v>
      </c>
      <c r="AX2606" s="28"/>
      <c r="AY2606" s="28" t="n">
        <f aca="false">AX2606*$M2606</f>
        <v>0</v>
      </c>
      <c r="AZ2606" s="30" t="n">
        <f aca="false">3221/100</f>
        <v>32.21</v>
      </c>
      <c r="BA2606" s="11" t="n">
        <v>4831</v>
      </c>
      <c r="BB2606" s="31" t="n">
        <f aca="false">SUM(Q2606,S2606,U2606,W2606,Y2606,AA2606,AC2606,AE2606,AG2606,AI2606,AK2606,AM2606,AO2606,AQ2606,AS2606,AU2606,AW2606,AY2606)</f>
        <v>4831</v>
      </c>
      <c r="BC2606" s="28" t="n">
        <f aca="false">BA2606-BB2606</f>
        <v>0</v>
      </c>
      <c r="BD2606" s="32" t="n">
        <f aca="false">SUM(P2606,R2606,T2606,V2606,X2606,Z2606,AB2606,AD2606,AF2606,AH2606,AJ2606,AL2606,AN2606,AP2606,AR2606,AT2606,AV2606,AX2606)</f>
        <v>32.21</v>
      </c>
      <c r="BE2606" s="33" t="n">
        <f aca="false">AZ2606-BD2606</f>
        <v>0</v>
      </c>
      <c r="BF2606" s="34" t="n">
        <f aca="false">BD2606*M2606</f>
        <v>4831.5</v>
      </c>
      <c r="BG2606" s="35" t="n">
        <f aca="false">BA2606-BF2606</f>
        <v>-0.5</v>
      </c>
      <c r="BH2606" s="19" t="str">
        <f aca="false">IF(BG2606=0,"",IF(BG2606&lt;&gt;BA2606,"erreur de calcul",IF(BD2606&lt;&gt;0,"pas de prix",IF(M2606&lt;&gt; 0,"pas de quantité","pas de prix, ni de quantité"))))</f>
        <v>erreur de calcul</v>
      </c>
      <c r="BI2606" s="19"/>
    </row>
    <row r="2607" customFormat="false" ht="15" hidden="false" customHeight="false" outlineLevel="0" collapsed="false">
      <c r="A2607" s="0" t="n">
        <v>23</v>
      </c>
      <c r="B2607" s="8" t="s">
        <v>24</v>
      </c>
      <c r="C2607" s="9" t="s">
        <v>25</v>
      </c>
      <c r="D2607" s="9" t="s">
        <v>26</v>
      </c>
      <c r="E2607" s="10" t="n">
        <v>1789</v>
      </c>
      <c r="F2607" s="9" t="s">
        <v>27</v>
      </c>
      <c r="G2607" s="9" t="s">
        <v>27</v>
      </c>
      <c r="H2607" s="11" t="n">
        <v>22</v>
      </c>
      <c r="I2607" s="11" t="s">
        <v>224</v>
      </c>
      <c r="J2607" s="14"/>
      <c r="K2607" s="14"/>
      <c r="L2607" s="16"/>
      <c r="M2607" s="27" t="n">
        <f aca="false">J2607+(K2607/20)+(L2607/240)</f>
        <v>0</v>
      </c>
      <c r="N2607" s="17" t="s">
        <v>225</v>
      </c>
      <c r="O2607" s="11"/>
      <c r="P2607" s="28" t="n">
        <f aca="false">2+121/288</f>
        <v>2.42013888888889</v>
      </c>
      <c r="Q2607" s="28" t="n">
        <v>275</v>
      </c>
      <c r="R2607" s="28"/>
      <c r="S2607" s="28" t="n">
        <f aca="false">R2607*$M2607</f>
        <v>0</v>
      </c>
      <c r="T2607" s="28"/>
      <c r="U2607" s="28" t="n">
        <f aca="false">T2607*$M2607</f>
        <v>0</v>
      </c>
      <c r="V2607" s="28"/>
      <c r="W2607" s="28" t="n">
        <f aca="false">V2607*$M2607</f>
        <v>0</v>
      </c>
      <c r="X2607" s="28"/>
      <c r="Y2607" s="28" t="n">
        <f aca="false">X2607*$M2607</f>
        <v>0</v>
      </c>
      <c r="Z2607" s="28"/>
      <c r="AA2607" s="28" t="n">
        <f aca="false">Z2607*$M2607</f>
        <v>0</v>
      </c>
      <c r="AB2607" s="28"/>
      <c r="AC2607" s="28" t="n">
        <f aca="false">AB2607*$M2607</f>
        <v>0</v>
      </c>
      <c r="AD2607" s="28"/>
      <c r="AE2607" s="28" t="n">
        <f aca="false">AD2607*$M2607</f>
        <v>0</v>
      </c>
      <c r="AF2607" s="28"/>
      <c r="AG2607" s="28" t="n">
        <f aca="false">AF2607*$M2607</f>
        <v>0</v>
      </c>
      <c r="AH2607" s="28"/>
      <c r="AI2607" s="28" t="n">
        <f aca="false">AH2607*$M2607</f>
        <v>0</v>
      </c>
      <c r="AJ2607" s="28"/>
      <c r="AK2607" s="28" t="n">
        <f aca="false">AJ2607*$M2607</f>
        <v>0</v>
      </c>
      <c r="AL2607" s="28"/>
      <c r="AM2607" s="28" t="n">
        <f aca="false">AL2607*$M2607</f>
        <v>0</v>
      </c>
      <c r="AN2607" s="28"/>
      <c r="AO2607" s="28" t="n">
        <f aca="false">AN2607*$M2607</f>
        <v>0</v>
      </c>
      <c r="AP2607" s="28"/>
      <c r="AQ2607" s="28" t="n">
        <f aca="false">AP2607*$M2607</f>
        <v>0</v>
      </c>
      <c r="AR2607" s="28"/>
      <c r="AS2607" s="28" t="n">
        <f aca="false">AR2607*$M2607</f>
        <v>0</v>
      </c>
      <c r="AT2607" s="28"/>
      <c r="AU2607" s="28" t="n">
        <f aca="false">AT2607*$M2607</f>
        <v>0</v>
      </c>
      <c r="AV2607" s="28"/>
      <c r="AW2607" s="28" t="n">
        <f aca="false">AV2607*$M2607</f>
        <v>0</v>
      </c>
      <c r="AX2607" s="28"/>
      <c r="AY2607" s="28" t="n">
        <f aca="false">AX2607*$M2607</f>
        <v>0</v>
      </c>
      <c r="AZ2607" s="30" t="n">
        <f aca="false">2+121/288</f>
        <v>2.42013888888889</v>
      </c>
      <c r="BA2607" s="11" t="n">
        <v>275</v>
      </c>
      <c r="BB2607" s="31" t="n">
        <f aca="false">SUM(Q2607,S2607,U2607,W2607,Y2607,AA2607,AC2607,AE2607,AG2607,AI2607,AK2607,AM2607,AO2607,AQ2607,AS2607,AU2607,AW2607,AY2607)</f>
        <v>275</v>
      </c>
      <c r="BC2607" s="28" t="n">
        <f aca="false">BA2607-BB2607</f>
        <v>0</v>
      </c>
      <c r="BD2607" s="32" t="n">
        <f aca="false">SUM(P2607,R2607,T2607,V2607,X2607,Z2607,AB2607,AD2607,AF2607,AH2607,AJ2607,AL2607,AN2607,AP2607,AR2607,AT2607,AV2607,AX2607)</f>
        <v>2.42013888888889</v>
      </c>
      <c r="BE2607" s="33" t="n">
        <f aca="false">AZ2607-BD2607</f>
        <v>0</v>
      </c>
      <c r="BF2607" s="34" t="n">
        <f aca="false">BD2607*M2607</f>
        <v>0</v>
      </c>
      <c r="BG2607" s="35" t="n">
        <f aca="false">BA2607-BF2607</f>
        <v>275</v>
      </c>
      <c r="BH2607" s="19" t="str">
        <f aca="false">IF(BG2607=0,"",IF(BG2607&lt;&gt;BA2607,"erreur de calcul",IF(BD2607&lt;&gt;0,"pas de prix",IF(M2607&lt;&gt; 0,"pas de quantité","pas de prix, ni de quantité"))))</f>
        <v>pas de prix</v>
      </c>
      <c r="BI2607" s="19" t="s">
        <v>226</v>
      </c>
    </row>
    <row r="2608" customFormat="false" ht="15" hidden="false" customHeight="false" outlineLevel="0" collapsed="false">
      <c r="A2608" s="0" t="n">
        <v>24</v>
      </c>
      <c r="B2608" s="8" t="s">
        <v>24</v>
      </c>
      <c r="C2608" s="9" t="s">
        <v>25</v>
      </c>
      <c r="D2608" s="9" t="s">
        <v>26</v>
      </c>
      <c r="E2608" s="10" t="n">
        <v>1789</v>
      </c>
      <c r="F2608" s="9" t="s">
        <v>27</v>
      </c>
      <c r="G2608" s="9" t="s">
        <v>27</v>
      </c>
      <c r="H2608" s="11" t="n">
        <v>22</v>
      </c>
      <c r="I2608" s="11" t="s">
        <v>227</v>
      </c>
      <c r="J2608" s="14" t="n">
        <v>8</v>
      </c>
      <c r="K2608" s="14"/>
      <c r="L2608" s="16"/>
      <c r="M2608" s="27" t="n">
        <f aca="false">J2608+(K2608/20)+(L2608/240)</f>
        <v>8</v>
      </c>
      <c r="N2608" s="17" t="s">
        <v>64</v>
      </c>
      <c r="O2608" s="11" t="s">
        <v>77</v>
      </c>
      <c r="P2608" s="28" t="n">
        <f aca="false">267216/100</f>
        <v>2672.16</v>
      </c>
      <c r="Q2608" s="28" t="n">
        <v>21377</v>
      </c>
      <c r="R2608" s="28"/>
      <c r="S2608" s="28" t="n">
        <f aca="false">R2608*$M2608</f>
        <v>0</v>
      </c>
      <c r="T2608" s="28"/>
      <c r="U2608" s="28" t="n">
        <f aca="false">T2608*$M2608</f>
        <v>0</v>
      </c>
      <c r="V2608" s="28"/>
      <c r="W2608" s="28" t="n">
        <f aca="false">V2608*$M2608</f>
        <v>0</v>
      </c>
      <c r="X2608" s="28"/>
      <c r="Y2608" s="28" t="n">
        <f aca="false">X2608*$M2608</f>
        <v>0</v>
      </c>
      <c r="Z2608" s="28"/>
      <c r="AA2608" s="28" t="n">
        <f aca="false">Z2608*$M2608</f>
        <v>0</v>
      </c>
      <c r="AB2608" s="28" t="n">
        <f aca="false">3334/100</f>
        <v>33.34</v>
      </c>
      <c r="AC2608" s="28" t="n">
        <v>267</v>
      </c>
      <c r="AD2608" s="28"/>
      <c r="AE2608" s="28" t="n">
        <f aca="false">AD2608*$M2608</f>
        <v>0</v>
      </c>
      <c r="AF2608" s="28"/>
      <c r="AG2608" s="28" t="n">
        <f aca="false">AF2608*$M2608</f>
        <v>0</v>
      </c>
      <c r="AH2608" s="28"/>
      <c r="AI2608" s="28" t="n">
        <f aca="false">AH2608*$M2608</f>
        <v>0</v>
      </c>
      <c r="AJ2608" s="28"/>
      <c r="AK2608" s="28" t="n">
        <f aca="false">AJ2608*$M2608</f>
        <v>0</v>
      </c>
      <c r="AL2608" s="28"/>
      <c r="AM2608" s="28" t="n">
        <f aca="false">AL2608*$M2608</f>
        <v>0</v>
      </c>
      <c r="AN2608" s="28"/>
      <c r="AO2608" s="28" t="n">
        <f aca="false">AN2608*$M2608</f>
        <v>0</v>
      </c>
      <c r="AP2608" s="28"/>
      <c r="AQ2608" s="28" t="n">
        <f aca="false">AP2608*$M2608</f>
        <v>0</v>
      </c>
      <c r="AR2608" s="28"/>
      <c r="AS2608" s="28" t="n">
        <f aca="false">AR2608*$M2608</f>
        <v>0</v>
      </c>
      <c r="AT2608" s="28"/>
      <c r="AU2608" s="28" t="n">
        <f aca="false">AT2608*$M2608</f>
        <v>0</v>
      </c>
      <c r="AV2608" s="28"/>
      <c r="AW2608" s="28" t="n">
        <f aca="false">AV2608*$M2608</f>
        <v>0</v>
      </c>
      <c r="AX2608" s="28"/>
      <c r="AY2608" s="28" t="n">
        <f aca="false">AX2608*$M2608</f>
        <v>0</v>
      </c>
      <c r="AZ2608" s="30" t="n">
        <f aca="false">270550/100</f>
        <v>2705.5</v>
      </c>
      <c r="BA2608" s="11" t="n">
        <v>21644</v>
      </c>
      <c r="BB2608" s="31" t="n">
        <f aca="false">SUM(Q2608,S2608,U2608,W2608,Y2608,AA2608,AC2608,AE2608,AG2608,AI2608,AK2608,AM2608,AO2608,AQ2608,AS2608,AU2608,AW2608,AY2608)</f>
        <v>21644</v>
      </c>
      <c r="BC2608" s="28" t="n">
        <f aca="false">BA2608-BB2608</f>
        <v>0</v>
      </c>
      <c r="BD2608" s="32" t="n">
        <f aca="false">SUM(P2608,R2608,T2608,V2608,X2608,Z2608,AB2608,AD2608,AF2608,AH2608,AJ2608,AL2608,AN2608,AP2608,AR2608,AT2608,AV2608,AX2608)</f>
        <v>2705.5</v>
      </c>
      <c r="BE2608" s="33" t="n">
        <f aca="false">AZ2608-BD2608</f>
        <v>0</v>
      </c>
      <c r="BF2608" s="34" t="n">
        <f aca="false">BD2608*M2608</f>
        <v>21644</v>
      </c>
      <c r="BG2608" s="35" t="n">
        <f aca="false">BA2608-BF2608</f>
        <v>0</v>
      </c>
      <c r="BH2608" s="19" t="str">
        <f aca="false">IF(BG2608=0,"",IF(BG2608&lt;&gt;BA2608,"erreur de calcul",IF(BD2608&lt;&gt;0,"pas de prix",IF(M2608&lt;&gt; 0,"pas de quantité","pas de prix, ni de quantité"))))</f>
        <v/>
      </c>
      <c r="BI2608" s="19"/>
    </row>
    <row r="2609" customFormat="false" ht="15" hidden="false" customHeight="false" outlineLevel="0" collapsed="false">
      <c r="A2609" s="0" t="n">
        <v>25</v>
      </c>
      <c r="B2609" s="8" t="s">
        <v>24</v>
      </c>
      <c r="C2609" s="9" t="s">
        <v>25</v>
      </c>
      <c r="D2609" s="9" t="s">
        <v>26</v>
      </c>
      <c r="E2609" s="10" t="n">
        <v>1789</v>
      </c>
      <c r="F2609" s="9" t="s">
        <v>27</v>
      </c>
      <c r="G2609" s="9" t="s">
        <v>27</v>
      </c>
      <c r="H2609" s="11" t="n">
        <v>22</v>
      </c>
      <c r="I2609" s="11" t="s">
        <v>228</v>
      </c>
      <c r="J2609" s="14" t="n">
        <v>11</v>
      </c>
      <c r="K2609" s="14"/>
      <c r="L2609" s="16"/>
      <c r="M2609" s="27" t="n">
        <f aca="false">J2609+(K2609/20)+(L2609/240)</f>
        <v>11</v>
      </c>
      <c r="N2609" s="17" t="s">
        <v>66</v>
      </c>
      <c r="O2609" s="11"/>
      <c r="P2609" s="28"/>
      <c r="Q2609" s="28" t="n">
        <f aca="false">P2609*$M2609</f>
        <v>0</v>
      </c>
      <c r="R2609" s="28" t="n">
        <v>2017</v>
      </c>
      <c r="S2609" s="28" t="n">
        <v>22187</v>
      </c>
      <c r="T2609" s="28"/>
      <c r="U2609" s="28" t="n">
        <f aca="false">T2609*$M2609</f>
        <v>0</v>
      </c>
      <c r="V2609" s="28"/>
      <c r="W2609" s="28" t="n">
        <f aca="false">V2609*$M2609</f>
        <v>0</v>
      </c>
      <c r="X2609" s="28" t="n">
        <v>3804</v>
      </c>
      <c r="Y2609" s="28" t="n">
        <v>41844</v>
      </c>
      <c r="Z2609" s="28"/>
      <c r="AA2609" s="28" t="n">
        <f aca="false">Z2609*$M2609</f>
        <v>0</v>
      </c>
      <c r="AB2609" s="28"/>
      <c r="AC2609" s="28" t="n">
        <f aca="false">AB2609*$M2609</f>
        <v>0</v>
      </c>
      <c r="AD2609" s="28"/>
      <c r="AE2609" s="28" t="n">
        <f aca="false">AD2609*$M2609</f>
        <v>0</v>
      </c>
      <c r="AF2609" s="28"/>
      <c r="AG2609" s="28" t="n">
        <f aca="false">AF2609*$M2609</f>
        <v>0</v>
      </c>
      <c r="AH2609" s="28" t="n">
        <v>117</v>
      </c>
      <c r="AI2609" s="28" t="n">
        <v>1287</v>
      </c>
      <c r="AJ2609" s="28" t="n">
        <v>8694</v>
      </c>
      <c r="AK2609" s="28" t="n">
        <v>95634</v>
      </c>
      <c r="AL2609" s="28"/>
      <c r="AM2609" s="28" t="n">
        <f aca="false">AL2609*$M2609</f>
        <v>0</v>
      </c>
      <c r="AN2609" s="28" t="n">
        <v>5697</v>
      </c>
      <c r="AO2609" s="28" t="n">
        <v>62667</v>
      </c>
      <c r="AP2609" s="28"/>
      <c r="AQ2609" s="28" t="n">
        <f aca="false">AP2609*$M2609</f>
        <v>0</v>
      </c>
      <c r="AR2609" s="28"/>
      <c r="AS2609" s="28" t="n">
        <f aca="false">AR2609*$M2609</f>
        <v>0</v>
      </c>
      <c r="AT2609" s="28"/>
      <c r="AU2609" s="28" t="n">
        <f aca="false">AT2609*$M2609</f>
        <v>0</v>
      </c>
      <c r="AV2609" s="28"/>
      <c r="AW2609" s="28" t="n">
        <f aca="false">AV2609*$M2609</f>
        <v>0</v>
      </c>
      <c r="AX2609" s="28"/>
      <c r="AY2609" s="28" t="n">
        <f aca="false">AX2609*$M2609</f>
        <v>0</v>
      </c>
      <c r="AZ2609" s="30" t="n">
        <v>20329</v>
      </c>
      <c r="BA2609" s="11" t="n">
        <v>223619</v>
      </c>
      <c r="BB2609" s="31" t="n">
        <f aca="false">SUM(Q2609,S2609,U2609,W2609,Y2609,AA2609,AC2609,AE2609,AG2609,AI2609,AK2609,AM2609,AO2609,AQ2609,AS2609,AU2609,AW2609,AY2609)</f>
        <v>223619</v>
      </c>
      <c r="BC2609" s="28" t="n">
        <f aca="false">BA2609-BB2609</f>
        <v>0</v>
      </c>
      <c r="BD2609" s="32" t="n">
        <f aca="false">SUM(P2609,R2609,T2609,V2609,X2609,Z2609,AB2609,AD2609,AF2609,AH2609,AJ2609,AL2609,AN2609,AP2609,AR2609,AT2609,AV2609,AX2609)</f>
        <v>20329</v>
      </c>
      <c r="BE2609" s="33" t="n">
        <f aca="false">AZ2609-BD2609</f>
        <v>0</v>
      </c>
      <c r="BF2609" s="34" t="n">
        <f aca="false">BD2609*M2609</f>
        <v>223619</v>
      </c>
      <c r="BG2609" s="35" t="n">
        <f aca="false">BA2609-BF2609</f>
        <v>0</v>
      </c>
      <c r="BH2609" s="19" t="str">
        <f aca="false">IF(BG2609=0,"",IF(BG2609&lt;&gt;BA2609,"erreur de calcul",IF(BD2609&lt;&gt;0,"pas de prix",IF(M2609&lt;&gt; 0,"pas de quantité","pas de prix, ni de quantité"))))</f>
        <v/>
      </c>
      <c r="BI2609" s="19"/>
    </row>
    <row r="2610" customFormat="false" ht="15" hidden="false" customHeight="false" outlineLevel="0" collapsed="false">
      <c r="A2610" s="0" t="n">
        <v>26</v>
      </c>
      <c r="B2610" s="8" t="s">
        <v>24</v>
      </c>
      <c r="C2610" s="9" t="s">
        <v>25</v>
      </c>
      <c r="D2610" s="9" t="s">
        <v>26</v>
      </c>
      <c r="E2610" s="10" t="n">
        <v>1789</v>
      </c>
      <c r="F2610" s="9" t="s">
        <v>27</v>
      </c>
      <c r="G2610" s="9" t="s">
        <v>27</v>
      </c>
      <c r="H2610" s="11" t="n">
        <v>22</v>
      </c>
      <c r="I2610" s="11" t="s">
        <v>229</v>
      </c>
      <c r="J2610" s="14" t="n">
        <v>5</v>
      </c>
      <c r="K2610" s="14"/>
      <c r="L2610" s="16"/>
      <c r="M2610" s="27" t="n">
        <f aca="false">J2610+(K2610/20)+(L2610/240)</f>
        <v>5</v>
      </c>
      <c r="N2610" s="17" t="s">
        <v>66</v>
      </c>
      <c r="O2610" s="11"/>
      <c r="P2610" s="28"/>
      <c r="Q2610" s="28" t="n">
        <f aca="false">P2610*$M2610</f>
        <v>0</v>
      </c>
      <c r="R2610" s="28" t="n">
        <v>4117</v>
      </c>
      <c r="S2610" s="28" t="n">
        <v>20585</v>
      </c>
      <c r="T2610" s="28"/>
      <c r="U2610" s="28" t="n">
        <f aca="false">T2610*$M2610</f>
        <v>0</v>
      </c>
      <c r="V2610" s="28"/>
      <c r="W2610" s="28" t="n">
        <f aca="false">V2610*$M2610</f>
        <v>0</v>
      </c>
      <c r="X2610" s="28"/>
      <c r="Y2610" s="28" t="n">
        <f aca="false">X2610*$M2610</f>
        <v>0</v>
      </c>
      <c r="Z2610" s="28"/>
      <c r="AA2610" s="28" t="n">
        <f aca="false">Z2610*$M2610</f>
        <v>0</v>
      </c>
      <c r="AB2610" s="28"/>
      <c r="AC2610" s="28" t="n">
        <f aca="false">AB2610*$M2610</f>
        <v>0</v>
      </c>
      <c r="AD2610" s="28"/>
      <c r="AE2610" s="28" t="n">
        <f aca="false">AD2610*$M2610</f>
        <v>0</v>
      </c>
      <c r="AF2610" s="28"/>
      <c r="AG2610" s="28" t="n">
        <f aca="false">AF2610*$M2610</f>
        <v>0</v>
      </c>
      <c r="AH2610" s="28"/>
      <c r="AI2610" s="28" t="n">
        <f aca="false">AH2610*$M2610</f>
        <v>0</v>
      </c>
      <c r="AJ2610" s="28"/>
      <c r="AK2610" s="28" t="n">
        <f aca="false">AJ2610*$M2610</f>
        <v>0</v>
      </c>
      <c r="AL2610" s="28"/>
      <c r="AM2610" s="28" t="n">
        <f aca="false">AL2610*$M2610</f>
        <v>0</v>
      </c>
      <c r="AN2610" s="28"/>
      <c r="AO2610" s="28" t="n">
        <f aca="false">AN2610*$M2610</f>
        <v>0</v>
      </c>
      <c r="AP2610" s="28"/>
      <c r="AQ2610" s="28" t="n">
        <f aca="false">AP2610*$M2610</f>
        <v>0</v>
      </c>
      <c r="AR2610" s="28"/>
      <c r="AS2610" s="28" t="n">
        <f aca="false">AR2610*$M2610</f>
        <v>0</v>
      </c>
      <c r="AT2610" s="28"/>
      <c r="AU2610" s="28" t="n">
        <f aca="false">AT2610*$M2610</f>
        <v>0</v>
      </c>
      <c r="AV2610" s="28"/>
      <c r="AW2610" s="28" t="n">
        <f aca="false">AV2610*$M2610</f>
        <v>0</v>
      </c>
      <c r="AX2610" s="28"/>
      <c r="AY2610" s="28" t="n">
        <f aca="false">AX2610*$M2610</f>
        <v>0</v>
      </c>
      <c r="AZ2610" s="30" t="n">
        <v>4117</v>
      </c>
      <c r="BA2610" s="11" t="n">
        <v>20585</v>
      </c>
      <c r="BB2610" s="31" t="n">
        <f aca="false">SUM(Q2610,S2610,U2610,W2610,Y2610,AA2610,AC2610,AE2610,AG2610,AI2610,AK2610,AM2610,AO2610,AQ2610,AS2610,AU2610,AW2610,AY2610)</f>
        <v>20585</v>
      </c>
      <c r="BC2610" s="28" t="n">
        <f aca="false">BA2610-BB2610</f>
        <v>0</v>
      </c>
      <c r="BD2610" s="32" t="n">
        <f aca="false">SUM(P2610,R2610,T2610,V2610,X2610,Z2610,AB2610,AD2610,AF2610,AH2610,AJ2610,AL2610,AN2610,AP2610,AR2610,AT2610,AV2610,AX2610)</f>
        <v>4117</v>
      </c>
      <c r="BE2610" s="33" t="n">
        <f aca="false">AZ2610-BD2610</f>
        <v>0</v>
      </c>
      <c r="BF2610" s="34" t="n">
        <f aca="false">BD2610*M2610</f>
        <v>20585</v>
      </c>
      <c r="BG2610" s="35" t="n">
        <f aca="false">BA2610-BF2610</f>
        <v>0</v>
      </c>
      <c r="BH2610" s="19" t="str">
        <f aca="false">IF(BG2610=0,"",IF(BG2610&lt;&gt;BA2610,"erreur de calcul",IF(BD2610&lt;&gt;0,"pas de prix",IF(M2610&lt;&gt; 0,"pas de quantité","pas de prix, ni de quantité"))))</f>
        <v/>
      </c>
      <c r="BI2610" s="19"/>
    </row>
    <row r="2611" customFormat="false" ht="15" hidden="false" customHeight="false" outlineLevel="0" collapsed="false">
      <c r="A2611" s="0" t="n">
        <v>27</v>
      </c>
      <c r="B2611" s="8" t="s">
        <v>24</v>
      </c>
      <c r="C2611" s="9" t="s">
        <v>25</v>
      </c>
      <c r="D2611" s="9" t="s">
        <v>26</v>
      </c>
      <c r="E2611" s="10" t="n">
        <v>1789</v>
      </c>
      <c r="F2611" s="9" t="s">
        <v>27</v>
      </c>
      <c r="G2611" s="9" t="s">
        <v>27</v>
      </c>
      <c r="H2611" s="11" t="n">
        <v>22</v>
      </c>
      <c r="I2611" s="11" t="s">
        <v>230</v>
      </c>
      <c r="J2611" s="14" t="n">
        <v>11</v>
      </c>
      <c r="K2611" s="14"/>
      <c r="L2611" s="16"/>
      <c r="M2611" s="27" t="n">
        <f aca="false">J2611+(K2611/20)+(L2611/240)</f>
        <v>11</v>
      </c>
      <c r="N2611" s="17" t="s">
        <v>66</v>
      </c>
      <c r="O2611" s="11"/>
      <c r="P2611" s="28"/>
      <c r="Q2611" s="28" t="n">
        <f aca="false">P2611*$M2611</f>
        <v>0</v>
      </c>
      <c r="R2611" s="28"/>
      <c r="S2611" s="28" t="n">
        <f aca="false">R2611*$M2611</f>
        <v>0</v>
      </c>
      <c r="T2611" s="28"/>
      <c r="U2611" s="28" t="n">
        <f aca="false">T2611*$M2611</f>
        <v>0</v>
      </c>
      <c r="V2611" s="28"/>
      <c r="W2611" s="28" t="n">
        <f aca="false">V2611*$M2611</f>
        <v>0</v>
      </c>
      <c r="X2611" s="28"/>
      <c r="Y2611" s="28" t="n">
        <f aca="false">X2611*$M2611</f>
        <v>0</v>
      </c>
      <c r="Z2611" s="28"/>
      <c r="AA2611" s="28" t="n">
        <f aca="false">Z2611*$M2611</f>
        <v>0</v>
      </c>
      <c r="AB2611" s="28"/>
      <c r="AC2611" s="28" t="n">
        <f aca="false">AB2611*$M2611</f>
        <v>0</v>
      </c>
      <c r="AD2611" s="28"/>
      <c r="AE2611" s="28" t="n">
        <f aca="false">AD2611*$M2611</f>
        <v>0</v>
      </c>
      <c r="AF2611" s="28"/>
      <c r="AG2611" s="28" t="n">
        <f aca="false">AF2611*$M2611</f>
        <v>0</v>
      </c>
      <c r="AH2611" s="28"/>
      <c r="AI2611" s="28" t="n">
        <f aca="false">AH2611*$M2611</f>
        <v>0</v>
      </c>
      <c r="AJ2611" s="28" t="n">
        <v>34854</v>
      </c>
      <c r="AK2611" s="28" t="n">
        <v>383394</v>
      </c>
      <c r="AL2611" s="28"/>
      <c r="AM2611" s="28" t="n">
        <f aca="false">AL2611*$M2611</f>
        <v>0</v>
      </c>
      <c r="AN2611" s="28"/>
      <c r="AO2611" s="28" t="n">
        <f aca="false">AN2611*$M2611</f>
        <v>0</v>
      </c>
      <c r="AP2611" s="28"/>
      <c r="AQ2611" s="28" t="n">
        <f aca="false">AP2611*$M2611</f>
        <v>0</v>
      </c>
      <c r="AR2611" s="28"/>
      <c r="AS2611" s="28" t="n">
        <f aca="false">AR2611*$M2611</f>
        <v>0</v>
      </c>
      <c r="AT2611" s="28"/>
      <c r="AU2611" s="28" t="n">
        <f aca="false">AT2611*$M2611</f>
        <v>0</v>
      </c>
      <c r="AV2611" s="28"/>
      <c r="AW2611" s="28" t="n">
        <f aca="false">AV2611*$M2611</f>
        <v>0</v>
      </c>
      <c r="AX2611" s="28"/>
      <c r="AY2611" s="28" t="n">
        <f aca="false">AX2611*$M2611</f>
        <v>0</v>
      </c>
      <c r="AZ2611" s="30" t="n">
        <v>34854</v>
      </c>
      <c r="BA2611" s="11" t="n">
        <v>383394</v>
      </c>
      <c r="BB2611" s="31" t="n">
        <f aca="false">SUM(Q2611,S2611,U2611,W2611,Y2611,AA2611,AC2611,AE2611,AG2611,AI2611,AK2611,AM2611,AO2611,AQ2611,AS2611,AU2611,AW2611,AY2611)</f>
        <v>383394</v>
      </c>
      <c r="BC2611" s="28" t="n">
        <f aca="false">BA2611-BB2611</f>
        <v>0</v>
      </c>
      <c r="BD2611" s="32" t="n">
        <f aca="false">SUM(P2611,R2611,T2611,V2611,X2611,Z2611,AB2611,AD2611,AF2611,AH2611,AJ2611,AL2611,AN2611,AP2611,AR2611,AT2611,AV2611,AX2611)</f>
        <v>34854</v>
      </c>
      <c r="BE2611" s="33" t="n">
        <f aca="false">AZ2611-BD2611</f>
        <v>0</v>
      </c>
      <c r="BF2611" s="34" t="n">
        <f aca="false">BD2611*M2611</f>
        <v>383394</v>
      </c>
      <c r="BG2611" s="35" t="n">
        <f aca="false">BA2611-BF2611</f>
        <v>0</v>
      </c>
      <c r="BH2611" s="19" t="str">
        <f aca="false">IF(BG2611=0,"",IF(BG2611&lt;&gt;BA2611,"erreur de calcul",IF(BD2611&lt;&gt;0,"pas de prix",IF(M2611&lt;&gt; 0,"pas de quantité","pas de prix, ni de quantité"))))</f>
        <v/>
      </c>
      <c r="BI2611" s="19"/>
    </row>
    <row r="2612" customFormat="false" ht="15" hidden="false" customHeight="false" outlineLevel="0" collapsed="false">
      <c r="A2612" s="0" t="n">
        <v>28</v>
      </c>
      <c r="B2612" s="8" t="s">
        <v>24</v>
      </c>
      <c r="C2612" s="9" t="s">
        <v>25</v>
      </c>
      <c r="D2612" s="9" t="s">
        <v>26</v>
      </c>
      <c r="E2612" s="10" t="n">
        <v>1789</v>
      </c>
      <c r="F2612" s="9" t="s">
        <v>27</v>
      </c>
      <c r="G2612" s="9" t="s">
        <v>27</v>
      </c>
      <c r="H2612" s="11" t="n">
        <v>22</v>
      </c>
      <c r="I2612" s="11" t="s">
        <v>231</v>
      </c>
      <c r="J2612" s="14" t="n">
        <v>18</v>
      </c>
      <c r="K2612" s="14"/>
      <c r="L2612" s="16"/>
      <c r="M2612" s="27" t="n">
        <f aca="false">J2612+(K2612/20)+(L2612/240)</f>
        <v>18</v>
      </c>
      <c r="N2612" s="17" t="s">
        <v>66</v>
      </c>
      <c r="O2612" s="11"/>
      <c r="P2612" s="28"/>
      <c r="Q2612" s="28" t="n">
        <f aca="false">P2612*$M2612</f>
        <v>0</v>
      </c>
      <c r="R2612" s="28"/>
      <c r="S2612" s="28" t="n">
        <f aca="false">R2612*$M2612</f>
        <v>0</v>
      </c>
      <c r="T2612" s="28"/>
      <c r="U2612" s="28" t="n">
        <f aca="false">T2612*$M2612</f>
        <v>0</v>
      </c>
      <c r="V2612" s="28"/>
      <c r="W2612" s="28" t="n">
        <f aca="false">V2612*$M2612</f>
        <v>0</v>
      </c>
      <c r="X2612" s="28"/>
      <c r="Y2612" s="28" t="n">
        <f aca="false">X2612*$M2612</f>
        <v>0</v>
      </c>
      <c r="Z2612" s="28"/>
      <c r="AA2612" s="28" t="n">
        <f aca="false">Z2612*$M2612</f>
        <v>0</v>
      </c>
      <c r="AB2612" s="28"/>
      <c r="AC2612" s="28" t="n">
        <f aca="false">AB2612*$M2612</f>
        <v>0</v>
      </c>
      <c r="AD2612" s="28"/>
      <c r="AE2612" s="28" t="n">
        <f aca="false">AD2612*$M2612</f>
        <v>0</v>
      </c>
      <c r="AF2612" s="28"/>
      <c r="AG2612" s="28" t="n">
        <f aca="false">AF2612*$M2612</f>
        <v>0</v>
      </c>
      <c r="AH2612" s="28"/>
      <c r="AI2612" s="28" t="n">
        <f aca="false">AH2612*$M2612</f>
        <v>0</v>
      </c>
      <c r="AJ2612" s="28" t="n">
        <v>623</v>
      </c>
      <c r="AK2612" s="28" t="n">
        <v>11214</v>
      </c>
      <c r="AL2612" s="28"/>
      <c r="AM2612" s="28" t="n">
        <f aca="false">AL2612*$M2612</f>
        <v>0</v>
      </c>
      <c r="AN2612" s="28"/>
      <c r="AO2612" s="28" t="n">
        <f aca="false">AN2612*$M2612</f>
        <v>0</v>
      </c>
      <c r="AP2612" s="28"/>
      <c r="AQ2612" s="28" t="n">
        <f aca="false">AP2612*$M2612</f>
        <v>0</v>
      </c>
      <c r="AR2612" s="28"/>
      <c r="AS2612" s="28" t="n">
        <f aca="false">AR2612*$M2612</f>
        <v>0</v>
      </c>
      <c r="AT2612" s="28"/>
      <c r="AU2612" s="28" t="n">
        <f aca="false">AT2612*$M2612</f>
        <v>0</v>
      </c>
      <c r="AV2612" s="28"/>
      <c r="AW2612" s="28" t="n">
        <f aca="false">AV2612*$M2612</f>
        <v>0</v>
      </c>
      <c r="AX2612" s="28"/>
      <c r="AY2612" s="28" t="n">
        <f aca="false">AX2612*$M2612</f>
        <v>0</v>
      </c>
      <c r="AZ2612" s="30" t="n">
        <v>623</v>
      </c>
      <c r="BA2612" s="11" t="n">
        <v>11214</v>
      </c>
      <c r="BB2612" s="31" t="n">
        <f aca="false">SUM(Q2612,S2612,U2612,W2612,Y2612,AA2612,AC2612,AE2612,AG2612,AI2612,AK2612,AM2612,AO2612,AQ2612,AS2612,AU2612,AW2612,AY2612)</f>
        <v>11214</v>
      </c>
      <c r="BC2612" s="28" t="n">
        <f aca="false">BA2612-BB2612</f>
        <v>0</v>
      </c>
      <c r="BD2612" s="32" t="n">
        <f aca="false">SUM(P2612,R2612,T2612,V2612,X2612,Z2612,AB2612,AD2612,AF2612,AH2612,AJ2612,AL2612,AN2612,AP2612,AR2612,AT2612,AV2612,AX2612)</f>
        <v>623</v>
      </c>
      <c r="BE2612" s="33" t="n">
        <f aca="false">AZ2612-BD2612</f>
        <v>0</v>
      </c>
      <c r="BF2612" s="34" t="n">
        <f aca="false">BD2612*M2612</f>
        <v>11214</v>
      </c>
      <c r="BG2612" s="35" t="n">
        <f aca="false">BA2612-BF2612</f>
        <v>0</v>
      </c>
      <c r="BH2612" s="19" t="str">
        <f aca="false">IF(BG2612=0,"",IF(BG2612&lt;&gt;BA2612,"erreur de calcul",IF(BD2612&lt;&gt;0,"pas de prix",IF(M2612&lt;&gt; 0,"pas de quantité","pas de prix, ni de quantité"))))</f>
        <v/>
      </c>
      <c r="BI2612" s="19"/>
    </row>
    <row r="2613" customFormat="false" ht="15" hidden="false" customHeight="false" outlineLevel="0" collapsed="false">
      <c r="A2613" s="0" t="n">
        <v>29</v>
      </c>
      <c r="B2613" s="8" t="s">
        <v>24</v>
      </c>
      <c r="C2613" s="9" t="s">
        <v>25</v>
      </c>
      <c r="D2613" s="9" t="s">
        <v>26</v>
      </c>
      <c r="E2613" s="10" t="n">
        <v>1789</v>
      </c>
      <c r="F2613" s="9" t="s">
        <v>27</v>
      </c>
      <c r="G2613" s="9" t="s">
        <v>27</v>
      </c>
      <c r="H2613" s="11" t="n">
        <v>22</v>
      </c>
      <c r="I2613" s="11" t="s">
        <v>232</v>
      </c>
      <c r="J2613" s="14" t="n">
        <v>66</v>
      </c>
      <c r="K2613" s="14"/>
      <c r="L2613" s="16"/>
      <c r="M2613" s="27" t="n">
        <f aca="false">J2613+(K2613/20)+(L2613/240)</f>
        <v>66</v>
      </c>
      <c r="N2613" s="17" t="s">
        <v>64</v>
      </c>
      <c r="O2613" s="11"/>
      <c r="P2613" s="28"/>
      <c r="Q2613" s="28" t="n">
        <f aca="false">P2613*$M2613</f>
        <v>0</v>
      </c>
      <c r="R2613" s="28" t="n">
        <f aca="false">4580/100</f>
        <v>45.8</v>
      </c>
      <c r="S2613" s="28" t="n">
        <v>3023</v>
      </c>
      <c r="T2613" s="28"/>
      <c r="U2613" s="28" t="n">
        <f aca="false">T2613*$M2613</f>
        <v>0</v>
      </c>
      <c r="V2613" s="28"/>
      <c r="W2613" s="28" t="n">
        <f aca="false">V2613*$M2613</f>
        <v>0</v>
      </c>
      <c r="X2613" s="28"/>
      <c r="Y2613" s="28" t="n">
        <f aca="false">X2613*$M2613</f>
        <v>0</v>
      </c>
      <c r="Z2613" s="28"/>
      <c r="AA2613" s="28" t="n">
        <f aca="false">Z2613*$M2613</f>
        <v>0</v>
      </c>
      <c r="AB2613" s="28"/>
      <c r="AC2613" s="28" t="n">
        <f aca="false">AB2613*$M2613</f>
        <v>0</v>
      </c>
      <c r="AD2613" s="28"/>
      <c r="AE2613" s="28" t="n">
        <f aca="false">AD2613*$M2613</f>
        <v>0</v>
      </c>
      <c r="AF2613" s="28"/>
      <c r="AG2613" s="28" t="n">
        <f aca="false">AF2613*$M2613</f>
        <v>0</v>
      </c>
      <c r="AH2613" s="28"/>
      <c r="AI2613" s="28" t="n">
        <f aca="false">AH2613*$M2613</f>
        <v>0</v>
      </c>
      <c r="AJ2613" s="28"/>
      <c r="AK2613" s="28" t="n">
        <f aca="false">AJ2613*$M2613</f>
        <v>0</v>
      </c>
      <c r="AL2613" s="28"/>
      <c r="AM2613" s="28" t="n">
        <f aca="false">AL2613*$M2613</f>
        <v>0</v>
      </c>
      <c r="AN2613" s="28"/>
      <c r="AO2613" s="28" t="n">
        <f aca="false">AN2613*$M2613</f>
        <v>0</v>
      </c>
      <c r="AP2613" s="28"/>
      <c r="AQ2613" s="28" t="n">
        <f aca="false">AP2613*$M2613</f>
        <v>0</v>
      </c>
      <c r="AR2613" s="28"/>
      <c r="AS2613" s="28" t="n">
        <f aca="false">AR2613*$M2613</f>
        <v>0</v>
      </c>
      <c r="AT2613" s="28"/>
      <c r="AU2613" s="28" t="n">
        <f aca="false">AT2613*$M2613</f>
        <v>0</v>
      </c>
      <c r="AV2613" s="28"/>
      <c r="AW2613" s="28" t="n">
        <f aca="false">AV2613*$M2613</f>
        <v>0</v>
      </c>
      <c r="AX2613" s="28"/>
      <c r="AY2613" s="28" t="n">
        <f aca="false">AX2613*$M2613</f>
        <v>0</v>
      </c>
      <c r="AZ2613" s="30" t="n">
        <f aca="false">4580/100</f>
        <v>45.8</v>
      </c>
      <c r="BA2613" s="11" t="n">
        <v>3023</v>
      </c>
      <c r="BB2613" s="31" t="n">
        <f aca="false">SUM(Q2613,S2613,U2613,W2613,Y2613,AA2613,AC2613,AE2613,AG2613,AI2613,AK2613,AM2613,AO2613,AQ2613,AS2613,AU2613,AW2613,AY2613)</f>
        <v>3023</v>
      </c>
      <c r="BC2613" s="28" t="n">
        <f aca="false">BA2613-BB2613</f>
        <v>0</v>
      </c>
      <c r="BD2613" s="32" t="n">
        <f aca="false">SUM(P2613,R2613,T2613,V2613,X2613,Z2613,AB2613,AD2613,AF2613,AH2613,AJ2613,AL2613,AN2613,AP2613,AR2613,AT2613,AV2613,AX2613)</f>
        <v>45.8</v>
      </c>
      <c r="BE2613" s="33" t="n">
        <f aca="false">AZ2613-BD2613</f>
        <v>0</v>
      </c>
      <c r="BF2613" s="34" t="n">
        <f aca="false">BD2613*M2613</f>
        <v>3022.8</v>
      </c>
      <c r="BG2613" s="35" t="n">
        <f aca="false">BA2613-BF2613</f>
        <v>0.200000000000273</v>
      </c>
      <c r="BH2613" s="19" t="str">
        <f aca="false">IF(BG2613=0,"",IF(BG2613&lt;&gt;BA2613,"erreur de calcul",IF(BD2613&lt;&gt;0,"pas de prix",IF(M2613&lt;&gt; 0,"pas de quantité","pas de prix, ni de quantité"))))</f>
        <v>erreur de calcul</v>
      </c>
      <c r="BI2613" s="19"/>
    </row>
    <row r="2614" customFormat="false" ht="15" hidden="false" customHeight="false" outlineLevel="0" collapsed="false">
      <c r="A2614" s="0" t="n">
        <v>30</v>
      </c>
      <c r="B2614" s="8" t="s">
        <v>24</v>
      </c>
      <c r="C2614" s="9" t="s">
        <v>25</v>
      </c>
      <c r="D2614" s="9" t="s">
        <v>26</v>
      </c>
      <c r="E2614" s="10" t="n">
        <v>1789</v>
      </c>
      <c r="F2614" s="9" t="s">
        <v>27</v>
      </c>
      <c r="G2614" s="9" t="s">
        <v>27</v>
      </c>
      <c r="H2614" s="11" t="n">
        <v>22</v>
      </c>
      <c r="I2614" s="11" t="s">
        <v>233</v>
      </c>
      <c r="J2614" s="14" t="n">
        <v>155</v>
      </c>
      <c r="K2614" s="14"/>
      <c r="L2614" s="16"/>
      <c r="M2614" s="27" t="n">
        <f aca="false">J2614+(K2614/20)+(L2614/240)</f>
        <v>155</v>
      </c>
      <c r="N2614" s="17" t="s">
        <v>64</v>
      </c>
      <c r="O2614" s="11"/>
      <c r="P2614" s="28" t="n">
        <f aca="false">27574/100</f>
        <v>275.74</v>
      </c>
      <c r="Q2614" s="28" t="n">
        <v>42740</v>
      </c>
      <c r="R2614" s="28" t="n">
        <f aca="false">7820/100</f>
        <v>78.2</v>
      </c>
      <c r="S2614" s="28" t="n">
        <v>12121</v>
      </c>
      <c r="T2614" s="28"/>
      <c r="U2614" s="28" t="n">
        <f aca="false">T2614*$M2614</f>
        <v>0</v>
      </c>
      <c r="V2614" s="28" t="n">
        <f aca="false">37316/100</f>
        <v>373.16</v>
      </c>
      <c r="W2614" s="28" t="n">
        <v>57840</v>
      </c>
      <c r="X2614" s="28" t="n">
        <f aca="false">1394/100</f>
        <v>13.94</v>
      </c>
      <c r="Y2614" s="28" t="n">
        <v>2161</v>
      </c>
      <c r="Z2614" s="28"/>
      <c r="AA2614" s="28" t="n">
        <f aca="false">Z2614*$M2614</f>
        <v>0</v>
      </c>
      <c r="AB2614" s="28"/>
      <c r="AC2614" s="28" t="n">
        <f aca="false">AB2614*$M2614</f>
        <v>0</v>
      </c>
      <c r="AD2614" s="28"/>
      <c r="AE2614" s="28" t="n">
        <f aca="false">AD2614*$M2614</f>
        <v>0</v>
      </c>
      <c r="AF2614" s="28"/>
      <c r="AG2614" s="28" t="n">
        <f aca="false">AF2614*$M2614</f>
        <v>0</v>
      </c>
      <c r="AH2614" s="28"/>
      <c r="AI2614" s="28" t="n">
        <f aca="false">AH2614*$M2614</f>
        <v>0</v>
      </c>
      <c r="AJ2614" s="28" t="n">
        <f aca="false">158255/100</f>
        <v>1582.55</v>
      </c>
      <c r="AK2614" s="28" t="n">
        <v>245295</v>
      </c>
      <c r="AL2614" s="28"/>
      <c r="AM2614" s="28" t="n">
        <f aca="false">AL2614*$M2614</f>
        <v>0</v>
      </c>
      <c r="AN2614" s="28" t="n">
        <f aca="false">417945/100</f>
        <v>4179.45</v>
      </c>
      <c r="AO2614" s="28" t="n">
        <v>647815</v>
      </c>
      <c r="AP2614" s="28"/>
      <c r="AQ2614" s="28" t="n">
        <f aca="false">AP2614*$M2614</f>
        <v>0</v>
      </c>
      <c r="AR2614" s="28"/>
      <c r="AS2614" s="28" t="n">
        <f aca="false">AR2614*$M2614</f>
        <v>0</v>
      </c>
      <c r="AT2614" s="28"/>
      <c r="AU2614" s="28" t="n">
        <f aca="false">AT2614*$M2614</f>
        <v>0</v>
      </c>
      <c r="AV2614" s="28"/>
      <c r="AW2614" s="28" t="n">
        <f aca="false">AV2614*$M2614</f>
        <v>0</v>
      </c>
      <c r="AX2614" s="28"/>
      <c r="AY2614" s="28" t="n">
        <f aca="false">AX2614*$M2614</f>
        <v>0</v>
      </c>
      <c r="AZ2614" s="30" t="n">
        <f aca="false">650304/100</f>
        <v>6503.04</v>
      </c>
      <c r="BA2614" s="11" t="n">
        <v>1007972</v>
      </c>
      <c r="BB2614" s="31" t="n">
        <f aca="false">SUM(Q2614,S2614,U2614,W2614,Y2614,AA2614,AC2614,AE2614,AG2614,AI2614,AK2614,AM2614,AO2614,AQ2614,AS2614,AU2614,AW2614,AY2614)</f>
        <v>1007972</v>
      </c>
      <c r="BC2614" s="28" t="n">
        <f aca="false">BA2614-BB2614</f>
        <v>0</v>
      </c>
      <c r="BD2614" s="32" t="n">
        <f aca="false">SUM(P2614,R2614,T2614,V2614,X2614,Z2614,AB2614,AD2614,AF2614,AH2614,AJ2614,AL2614,AN2614,AP2614,AR2614,AT2614,AV2614,AX2614)</f>
        <v>6503.04</v>
      </c>
      <c r="BE2614" s="33" t="n">
        <f aca="false">AZ2614-BD2614</f>
        <v>0</v>
      </c>
      <c r="BF2614" s="34" t="n">
        <f aca="false">BD2614*M2614</f>
        <v>1007971.2</v>
      </c>
      <c r="BG2614" s="35" t="n">
        <f aca="false">BA2614-BF2614</f>
        <v>0.800000000162981</v>
      </c>
      <c r="BH2614" s="19" t="str">
        <f aca="false">IF(BG2614=0,"",IF(BG2614&lt;&gt;BA2614,"erreur de calcul",IF(BD2614&lt;&gt;0,"pas de prix",IF(M2614&lt;&gt; 0,"pas de quantité","pas de prix, ni de quantité"))))</f>
        <v>erreur de calcul</v>
      </c>
      <c r="BI2614" s="19"/>
    </row>
    <row r="2615" customFormat="false" ht="15" hidden="false" customHeight="false" outlineLevel="0" collapsed="false">
      <c r="A2615" s="0" t="n">
        <v>31</v>
      </c>
      <c r="B2615" s="8" t="s">
        <v>24</v>
      </c>
      <c r="C2615" s="9" t="s">
        <v>25</v>
      </c>
      <c r="D2615" s="9" t="s">
        <v>26</v>
      </c>
      <c r="E2615" s="10" t="n">
        <v>1789</v>
      </c>
      <c r="F2615" s="9" t="s">
        <v>27</v>
      </c>
      <c r="G2615" s="9" t="s">
        <v>27</v>
      </c>
      <c r="H2615" s="11" t="n">
        <v>22</v>
      </c>
      <c r="I2615" s="11" t="s">
        <v>234</v>
      </c>
      <c r="J2615" s="14" t="n">
        <v>110</v>
      </c>
      <c r="K2615" s="14"/>
      <c r="L2615" s="16"/>
      <c r="M2615" s="27" t="n">
        <f aca="false">J2615+(K2615/20)+(L2615/240)</f>
        <v>110</v>
      </c>
      <c r="N2615" s="17" t="s">
        <v>64</v>
      </c>
      <c r="O2615" s="11"/>
      <c r="P2615" s="28" t="n">
        <f aca="false">73942/100</f>
        <v>739.42</v>
      </c>
      <c r="Q2615" s="28" t="n">
        <v>81336</v>
      </c>
      <c r="R2615" s="28"/>
      <c r="S2615" s="28" t="n">
        <f aca="false">R2615*$M2615</f>
        <v>0</v>
      </c>
      <c r="T2615" s="28"/>
      <c r="U2615" s="28" t="n">
        <f aca="false">T2615*$M2615</f>
        <v>0</v>
      </c>
      <c r="V2615" s="28"/>
      <c r="W2615" s="28" t="n">
        <f aca="false">V2615*$M2615</f>
        <v>0</v>
      </c>
      <c r="X2615" s="28"/>
      <c r="Y2615" s="28" t="n">
        <f aca="false">X2615*$M2615</f>
        <v>0</v>
      </c>
      <c r="Z2615" s="28"/>
      <c r="AA2615" s="28" t="n">
        <f aca="false">Z2615*$M2615</f>
        <v>0</v>
      </c>
      <c r="AB2615" s="28"/>
      <c r="AC2615" s="28" t="n">
        <f aca="false">AB2615*$M2615</f>
        <v>0</v>
      </c>
      <c r="AD2615" s="28"/>
      <c r="AE2615" s="28" t="n">
        <f aca="false">AD2615*$M2615</f>
        <v>0</v>
      </c>
      <c r="AF2615" s="28"/>
      <c r="AG2615" s="28" t="n">
        <f aca="false">AF2615*$M2615</f>
        <v>0</v>
      </c>
      <c r="AH2615" s="28"/>
      <c r="AI2615" s="28" t="n">
        <f aca="false">AH2615*$M2615</f>
        <v>0</v>
      </c>
      <c r="AJ2615" s="28"/>
      <c r="AK2615" s="28" t="n">
        <f aca="false">AJ2615*$M2615</f>
        <v>0</v>
      </c>
      <c r="AL2615" s="28"/>
      <c r="AM2615" s="28" t="n">
        <f aca="false">AL2615*$M2615</f>
        <v>0</v>
      </c>
      <c r="AN2615" s="28"/>
      <c r="AO2615" s="28" t="n">
        <f aca="false">AN2615*$M2615</f>
        <v>0</v>
      </c>
      <c r="AP2615" s="28"/>
      <c r="AQ2615" s="28" t="n">
        <f aca="false">AP2615*$M2615</f>
        <v>0</v>
      </c>
      <c r="AR2615" s="28"/>
      <c r="AS2615" s="28" t="n">
        <f aca="false">AR2615*$M2615</f>
        <v>0</v>
      </c>
      <c r="AT2615" s="28"/>
      <c r="AU2615" s="28" t="n">
        <f aca="false">AT2615*$M2615</f>
        <v>0</v>
      </c>
      <c r="AV2615" s="28"/>
      <c r="AW2615" s="28" t="n">
        <f aca="false">AV2615*$M2615</f>
        <v>0</v>
      </c>
      <c r="AX2615" s="28"/>
      <c r="AY2615" s="28" t="n">
        <f aca="false">AX2615*$M2615</f>
        <v>0</v>
      </c>
      <c r="AZ2615" s="30" t="n">
        <f aca="false">73942/100</f>
        <v>739.42</v>
      </c>
      <c r="BA2615" s="11" t="n">
        <v>81336</v>
      </c>
      <c r="BB2615" s="31" t="n">
        <f aca="false">SUM(Q2615,S2615,U2615,W2615,Y2615,AA2615,AC2615,AE2615,AG2615,AI2615,AK2615,AM2615,AO2615,AQ2615,AS2615,AU2615,AW2615,AY2615)</f>
        <v>81336</v>
      </c>
      <c r="BC2615" s="28" t="n">
        <f aca="false">BA2615-BB2615</f>
        <v>0</v>
      </c>
      <c r="BD2615" s="32" t="n">
        <f aca="false">SUM(P2615,R2615,T2615,V2615,X2615,Z2615,AB2615,AD2615,AF2615,AH2615,AJ2615,AL2615,AN2615,AP2615,AR2615,AT2615,AV2615,AX2615)</f>
        <v>739.42</v>
      </c>
      <c r="BE2615" s="33" t="n">
        <f aca="false">AZ2615-BD2615</f>
        <v>0</v>
      </c>
      <c r="BF2615" s="34" t="n">
        <f aca="false">BD2615*M2615</f>
        <v>81336.2</v>
      </c>
      <c r="BG2615" s="35" t="n">
        <f aca="false">BA2615-BF2615</f>
        <v>-0.19999999999709</v>
      </c>
      <c r="BH2615" s="19" t="str">
        <f aca="false">IF(BG2615=0,"",IF(BG2615&lt;&gt;BA2615,"erreur de calcul",IF(BD2615&lt;&gt;0,"pas de prix",IF(M2615&lt;&gt; 0,"pas de quantité","pas de prix, ni de quantité"))))</f>
        <v>erreur de calcul</v>
      </c>
      <c r="BI2615" s="19"/>
    </row>
    <row r="2616" customFormat="false" ht="15" hidden="false" customHeight="false" outlineLevel="0" collapsed="false">
      <c r="A2616" s="0" t="n">
        <v>32</v>
      </c>
      <c r="B2616" s="8" t="s">
        <v>24</v>
      </c>
      <c r="C2616" s="9" t="s">
        <v>25</v>
      </c>
      <c r="D2616" s="9" t="s">
        <v>26</v>
      </c>
      <c r="E2616" s="10" t="n">
        <v>1789</v>
      </c>
      <c r="F2616" s="9" t="s">
        <v>27</v>
      </c>
      <c r="G2616" s="9" t="s">
        <v>27</v>
      </c>
      <c r="H2616" s="11" t="n">
        <v>22</v>
      </c>
      <c r="I2616" s="11" t="s">
        <v>235</v>
      </c>
      <c r="J2616" s="14" t="n">
        <v>60</v>
      </c>
      <c r="K2616" s="14"/>
      <c r="L2616" s="16"/>
      <c r="M2616" s="27" t="n">
        <f aca="false">J2616+(K2616/20)+(L2616/240)</f>
        <v>60</v>
      </c>
      <c r="N2616" s="17" t="s">
        <v>64</v>
      </c>
      <c r="O2616" s="11"/>
      <c r="P2616" s="28"/>
      <c r="Q2616" s="28" t="n">
        <f aca="false">P2616*$M2616</f>
        <v>0</v>
      </c>
      <c r="R2616" s="28"/>
      <c r="S2616" s="28" t="n">
        <f aca="false">R2616*$M2616</f>
        <v>0</v>
      </c>
      <c r="T2616" s="28"/>
      <c r="U2616" s="28" t="n">
        <f aca="false">T2616*$M2616</f>
        <v>0</v>
      </c>
      <c r="V2616" s="28" t="n">
        <f aca="false">232/100</f>
        <v>2.32</v>
      </c>
      <c r="W2616" s="28" t="n">
        <v>139</v>
      </c>
      <c r="X2616" s="28" t="n">
        <f aca="false">5603/100</f>
        <v>56.03</v>
      </c>
      <c r="Y2616" s="28" t="n">
        <v>3362</v>
      </c>
      <c r="Z2616" s="28"/>
      <c r="AA2616" s="28" t="n">
        <f aca="false">Z2616*$M2616</f>
        <v>0</v>
      </c>
      <c r="AB2616" s="28" t="n">
        <f aca="false">1410/100</f>
        <v>14.1</v>
      </c>
      <c r="AC2616" s="28" t="n">
        <v>846</v>
      </c>
      <c r="AD2616" s="28"/>
      <c r="AE2616" s="28" t="n">
        <f aca="false">AD2616*$M2616</f>
        <v>0</v>
      </c>
      <c r="AF2616" s="28" t="n">
        <f aca="false">162899/100</f>
        <v>1628.99</v>
      </c>
      <c r="AG2616" s="28" t="n">
        <v>97739</v>
      </c>
      <c r="AH2616" s="28" t="n">
        <f aca="false">6506/100</f>
        <v>65.06</v>
      </c>
      <c r="AI2616" s="28" t="n">
        <v>3904</v>
      </c>
      <c r="AJ2616" s="28"/>
      <c r="AK2616" s="28" t="n">
        <f aca="false">AJ2616*$M2616</f>
        <v>0</v>
      </c>
      <c r="AL2616" s="28"/>
      <c r="AM2616" s="28" t="n">
        <f aca="false">AL2616*$M2616</f>
        <v>0</v>
      </c>
      <c r="AN2616" s="28"/>
      <c r="AO2616" s="28" t="n">
        <f aca="false">AN2616*$M2616</f>
        <v>0</v>
      </c>
      <c r="AP2616" s="28"/>
      <c r="AQ2616" s="28" t="n">
        <f aca="false">AP2616*$M2616</f>
        <v>0</v>
      </c>
      <c r="AR2616" s="28"/>
      <c r="AS2616" s="28" t="n">
        <f aca="false">AR2616*$M2616</f>
        <v>0</v>
      </c>
      <c r="AT2616" s="28"/>
      <c r="AU2616" s="28" t="n">
        <f aca="false">AT2616*$M2616</f>
        <v>0</v>
      </c>
      <c r="AV2616" s="28"/>
      <c r="AW2616" s="28" t="n">
        <f aca="false">AV2616*$M2616</f>
        <v>0</v>
      </c>
      <c r="AX2616" s="28"/>
      <c r="AY2616" s="28" t="n">
        <f aca="false">AX2616*$M2616</f>
        <v>0</v>
      </c>
      <c r="AZ2616" s="30" t="n">
        <f aca="false">176650/100</f>
        <v>1766.5</v>
      </c>
      <c r="BA2616" s="11" t="n">
        <v>105990</v>
      </c>
      <c r="BB2616" s="31" t="n">
        <f aca="false">SUM(Q2616,S2616,U2616,W2616,Y2616,AA2616,AC2616,AE2616,AG2616,AI2616,AK2616,AM2616,AO2616,AQ2616,AS2616,AU2616,AW2616,AY2616)</f>
        <v>105990</v>
      </c>
      <c r="BC2616" s="28" t="n">
        <f aca="false">BA2616-BB2616</f>
        <v>0</v>
      </c>
      <c r="BD2616" s="32" t="n">
        <f aca="false">SUM(P2616,R2616,T2616,V2616,X2616,Z2616,AB2616,AD2616,AF2616,AH2616,AJ2616,AL2616,AN2616,AP2616,AR2616,AT2616,AV2616,AX2616)</f>
        <v>1766.5</v>
      </c>
      <c r="BE2616" s="33" t="n">
        <f aca="false">AZ2616-BD2616</f>
        <v>0</v>
      </c>
      <c r="BF2616" s="34" t="n">
        <f aca="false">BD2616*M2616</f>
        <v>105990</v>
      </c>
      <c r="BG2616" s="35" t="n">
        <f aca="false">BA2616-BF2616</f>
        <v>0</v>
      </c>
      <c r="BH2616" s="19" t="str">
        <f aca="false">IF(BG2616=0,"",IF(BG2616&lt;&gt;BA2616,"erreur de calcul",IF(BD2616&lt;&gt;0,"pas de prix",IF(M2616&lt;&gt; 0,"pas de quantité","pas de prix, ni de quantité"))))</f>
        <v/>
      </c>
      <c r="BI2616" s="19"/>
    </row>
    <row r="2617" customFormat="false" ht="15" hidden="false" customHeight="false" outlineLevel="0" collapsed="false">
      <c r="A2617" s="0" t="n">
        <v>33</v>
      </c>
      <c r="B2617" s="8" t="s">
        <v>24</v>
      </c>
      <c r="C2617" s="9" t="s">
        <v>25</v>
      </c>
      <c r="D2617" s="9" t="s">
        <v>26</v>
      </c>
      <c r="E2617" s="10" t="n">
        <v>1789</v>
      </c>
      <c r="F2617" s="9" t="s">
        <v>27</v>
      </c>
      <c r="G2617" s="9" t="s">
        <v>27</v>
      </c>
      <c r="H2617" s="11" t="n">
        <v>22</v>
      </c>
      <c r="I2617" s="11" t="s">
        <v>236</v>
      </c>
      <c r="J2617" s="14" t="n">
        <v>710</v>
      </c>
      <c r="K2617" s="14"/>
      <c r="L2617" s="16"/>
      <c r="M2617" s="27" t="n">
        <f aca="false">J2617+(K2617/20)+(L2617/240)</f>
        <v>710</v>
      </c>
      <c r="N2617" s="17" t="s">
        <v>64</v>
      </c>
      <c r="O2617" s="11"/>
      <c r="P2617" s="28"/>
      <c r="Q2617" s="28" t="n">
        <f aca="false">P2617*$M2617</f>
        <v>0</v>
      </c>
      <c r="R2617" s="28"/>
      <c r="S2617" s="28" t="n">
        <f aca="false">R2617*$M2617</f>
        <v>0</v>
      </c>
      <c r="T2617" s="28" t="n">
        <f aca="false">108/100</f>
        <v>1.08</v>
      </c>
      <c r="U2617" s="28" t="n">
        <v>767</v>
      </c>
      <c r="V2617" s="28" t="n">
        <f aca="false">1190/100</f>
        <v>11.9</v>
      </c>
      <c r="W2617" s="28" t="n">
        <v>8449</v>
      </c>
      <c r="X2617" s="28" t="n">
        <f aca="false">487/100</f>
        <v>4.87</v>
      </c>
      <c r="Y2617" s="28" t="n">
        <v>3458</v>
      </c>
      <c r="Z2617" s="28"/>
      <c r="AA2617" s="28" t="n">
        <f aca="false">Z2617*$M2617</f>
        <v>0</v>
      </c>
      <c r="AB2617" s="28" t="n">
        <f aca="false">9170/100</f>
        <v>91.7</v>
      </c>
      <c r="AC2617" s="28" t="n">
        <v>65107</v>
      </c>
      <c r="AD2617" s="28" t="n">
        <f aca="false">531/100</f>
        <v>5.31</v>
      </c>
      <c r="AE2617" s="28" t="n">
        <v>3770</v>
      </c>
      <c r="AF2617" s="28"/>
      <c r="AG2617" s="28" t="n">
        <f aca="false">AF2617*$M2617</f>
        <v>0</v>
      </c>
      <c r="AH2617" s="28"/>
      <c r="AI2617" s="28" t="n">
        <f aca="false">AH2617*$M2617</f>
        <v>0</v>
      </c>
      <c r="AJ2617" s="28"/>
      <c r="AK2617" s="28" t="n">
        <f aca="false">AJ2617*$M2617</f>
        <v>0</v>
      </c>
      <c r="AL2617" s="28"/>
      <c r="AM2617" s="28" t="n">
        <f aca="false">AL2617*$M2617</f>
        <v>0</v>
      </c>
      <c r="AN2617" s="28"/>
      <c r="AO2617" s="28" t="n">
        <f aca="false">AN2617*$M2617</f>
        <v>0</v>
      </c>
      <c r="AP2617" s="28"/>
      <c r="AQ2617" s="28" t="n">
        <f aca="false">AP2617*$M2617</f>
        <v>0</v>
      </c>
      <c r="AR2617" s="28"/>
      <c r="AS2617" s="28" t="n">
        <f aca="false">AR2617*$M2617</f>
        <v>0</v>
      </c>
      <c r="AT2617" s="28"/>
      <c r="AU2617" s="28" t="n">
        <f aca="false">AT2617*$M2617</f>
        <v>0</v>
      </c>
      <c r="AV2617" s="28"/>
      <c r="AW2617" s="28" t="n">
        <f aca="false">AV2617*$M2617</f>
        <v>0</v>
      </c>
      <c r="AX2617" s="28"/>
      <c r="AY2617" s="28" t="n">
        <f aca="false">AX2617*$M2617</f>
        <v>0</v>
      </c>
      <c r="AZ2617" s="30" t="n">
        <f aca="false">11486/100</f>
        <v>114.86</v>
      </c>
      <c r="BA2617" s="11" t="n">
        <v>81551</v>
      </c>
      <c r="BB2617" s="31" t="n">
        <f aca="false">SUM(Q2617,S2617,U2617,W2617,Y2617,AA2617,AC2617,AE2617,AG2617,AI2617,AK2617,AM2617,AO2617,AQ2617,AS2617,AU2617,AW2617,AY2617)</f>
        <v>81551</v>
      </c>
      <c r="BC2617" s="28" t="n">
        <f aca="false">BA2617-BB2617</f>
        <v>0</v>
      </c>
      <c r="BD2617" s="32" t="n">
        <f aca="false">SUM(P2617,R2617,T2617,V2617,X2617,Z2617,AB2617,AD2617,AF2617,AH2617,AJ2617,AL2617,AN2617,AP2617,AR2617,AT2617,AV2617,AX2617)</f>
        <v>114.86</v>
      </c>
      <c r="BE2617" s="33" t="n">
        <f aca="false">AZ2617-BD2617</f>
        <v>0</v>
      </c>
      <c r="BF2617" s="34" t="n">
        <f aca="false">BD2617*M2617</f>
        <v>81550.6</v>
      </c>
      <c r="BG2617" s="35" t="n">
        <f aca="false">BA2617-BF2617</f>
        <v>0.399999999994179</v>
      </c>
      <c r="BH2617" s="19" t="str">
        <f aca="false">IF(BG2617=0,"",IF(BG2617&lt;&gt;BA2617,"erreur de calcul",IF(BD2617&lt;&gt;0,"pas de prix",IF(M2617&lt;&gt; 0,"pas de quantité","pas de prix, ni de quantité"))))</f>
        <v>erreur de calcul</v>
      </c>
      <c r="BI2617" s="19"/>
    </row>
    <row r="2618" customFormat="false" ht="15" hidden="false" customHeight="false" outlineLevel="0" collapsed="false">
      <c r="A2618" s="0" t="n">
        <v>34</v>
      </c>
      <c r="B2618" s="8" t="s">
        <v>24</v>
      </c>
      <c r="C2618" s="9" t="s">
        <v>25</v>
      </c>
      <c r="D2618" s="9" t="s">
        <v>26</v>
      </c>
      <c r="E2618" s="10" t="n">
        <v>1789</v>
      </c>
      <c r="F2618" s="9" t="s">
        <v>27</v>
      </c>
      <c r="G2618" s="9" t="s">
        <v>27</v>
      </c>
      <c r="H2618" s="11" t="n">
        <v>22</v>
      </c>
      <c r="I2618" s="11" t="s">
        <v>237</v>
      </c>
      <c r="J2618" s="14" t="n">
        <v>91</v>
      </c>
      <c r="K2618" s="14"/>
      <c r="L2618" s="16"/>
      <c r="M2618" s="27" t="n">
        <f aca="false">J2618+(K2618/20)+(L2618/240)</f>
        <v>91</v>
      </c>
      <c r="N2618" s="17" t="s">
        <v>64</v>
      </c>
      <c r="O2618" s="11"/>
      <c r="P2618" s="28"/>
      <c r="Q2618" s="28" t="n">
        <f aca="false">P2618*$M2618</f>
        <v>0</v>
      </c>
      <c r="R2618" s="28"/>
      <c r="S2618" s="28" t="n">
        <f aca="false">R2618*$M2618</f>
        <v>0</v>
      </c>
      <c r="T2618" s="28"/>
      <c r="U2618" s="28" t="n">
        <f aca="false">T2618*$M2618</f>
        <v>0</v>
      </c>
      <c r="V2618" s="28" t="n">
        <f aca="false">3384/100</f>
        <v>33.84</v>
      </c>
      <c r="W2618" s="28" t="n">
        <v>3079</v>
      </c>
      <c r="X2618" s="28" t="n">
        <f aca="false">18105/100</f>
        <v>181.05</v>
      </c>
      <c r="Y2618" s="28" t="n">
        <v>16475</v>
      </c>
      <c r="Z2618" s="28"/>
      <c r="AA2618" s="28" t="n">
        <f aca="false">Z2618*$M2618</f>
        <v>0</v>
      </c>
      <c r="AB2618" s="28"/>
      <c r="AC2618" s="28" t="n">
        <f aca="false">AB2618*$M2618</f>
        <v>0</v>
      </c>
      <c r="AD2618" s="28"/>
      <c r="AE2618" s="28" t="n">
        <f aca="false">AD2618*$M2618</f>
        <v>0</v>
      </c>
      <c r="AF2618" s="28"/>
      <c r="AG2618" s="28" t="n">
        <f aca="false">AF2618*$M2618</f>
        <v>0</v>
      </c>
      <c r="AH2618" s="28"/>
      <c r="AI2618" s="28" t="n">
        <f aca="false">AH2618*$M2618</f>
        <v>0</v>
      </c>
      <c r="AJ2618" s="28"/>
      <c r="AK2618" s="28" t="n">
        <f aca="false">AJ2618*$M2618</f>
        <v>0</v>
      </c>
      <c r="AL2618" s="28"/>
      <c r="AM2618" s="28" t="n">
        <f aca="false">AL2618*$M2618</f>
        <v>0</v>
      </c>
      <c r="AN2618" s="28"/>
      <c r="AO2618" s="28" t="n">
        <f aca="false">AN2618*$M2618</f>
        <v>0</v>
      </c>
      <c r="AP2618" s="28"/>
      <c r="AQ2618" s="28" t="n">
        <f aca="false">AP2618*$M2618</f>
        <v>0</v>
      </c>
      <c r="AR2618" s="28"/>
      <c r="AS2618" s="28" t="n">
        <f aca="false">AR2618*$M2618</f>
        <v>0</v>
      </c>
      <c r="AT2618" s="28"/>
      <c r="AU2618" s="28" t="n">
        <f aca="false">AT2618*$M2618</f>
        <v>0</v>
      </c>
      <c r="AV2618" s="28"/>
      <c r="AW2618" s="28" t="n">
        <f aca="false">AV2618*$M2618</f>
        <v>0</v>
      </c>
      <c r="AX2618" s="28"/>
      <c r="AY2618" s="28" t="n">
        <f aca="false">AX2618*$M2618</f>
        <v>0</v>
      </c>
      <c r="AZ2618" s="30" t="n">
        <f aca="false">21489/100</f>
        <v>214.89</v>
      </c>
      <c r="BA2618" s="11" t="n">
        <v>19554</v>
      </c>
      <c r="BB2618" s="31" t="n">
        <f aca="false">SUM(Q2618,S2618,U2618,W2618,Y2618,AA2618,AC2618,AE2618,AG2618,AI2618,AK2618,AM2618,AO2618,AQ2618,AS2618,AU2618,AW2618,AY2618)</f>
        <v>19554</v>
      </c>
      <c r="BC2618" s="28" t="n">
        <f aca="false">BA2618-BB2618</f>
        <v>0</v>
      </c>
      <c r="BD2618" s="32" t="n">
        <f aca="false">SUM(P2618,R2618,T2618,V2618,X2618,Z2618,AB2618,AD2618,AF2618,AH2618,AJ2618,AL2618,AN2618,AP2618,AR2618,AT2618,AV2618,AX2618)</f>
        <v>214.89</v>
      </c>
      <c r="BE2618" s="33" t="n">
        <f aca="false">AZ2618-BD2618</f>
        <v>0</v>
      </c>
      <c r="BF2618" s="34" t="n">
        <f aca="false">BD2618*M2618</f>
        <v>19554.99</v>
      </c>
      <c r="BG2618" s="35" t="n">
        <f aca="false">BA2618-BF2618</f>
        <v>-0.990000000001601</v>
      </c>
      <c r="BH2618" s="19" t="str">
        <f aca="false">IF(BG2618=0,"",IF(BG2618&lt;&gt;BA2618,"erreur de calcul",IF(BD2618&lt;&gt;0,"pas de prix",IF(M2618&lt;&gt; 0,"pas de quantité","pas de prix, ni de quantité"))))</f>
        <v>erreur de calcul</v>
      </c>
      <c r="BI2618" s="19"/>
    </row>
    <row r="2619" customFormat="false" ht="15" hidden="false" customHeight="false" outlineLevel="0" collapsed="false">
      <c r="A2619" s="0" t="n">
        <v>35</v>
      </c>
      <c r="B2619" s="8" t="s">
        <v>24</v>
      </c>
      <c r="C2619" s="9" t="s">
        <v>25</v>
      </c>
      <c r="D2619" s="9" t="s">
        <v>26</v>
      </c>
      <c r="E2619" s="10" t="n">
        <v>1789</v>
      </c>
      <c r="F2619" s="9" t="s">
        <v>27</v>
      </c>
      <c r="G2619" s="9" t="s">
        <v>27</v>
      </c>
      <c r="H2619" s="11" t="n">
        <v>22</v>
      </c>
      <c r="I2619" s="11" t="s">
        <v>238</v>
      </c>
      <c r="J2619" s="14" t="n">
        <v>40</v>
      </c>
      <c r="K2619" s="14"/>
      <c r="L2619" s="16"/>
      <c r="M2619" s="27" t="n">
        <f aca="false">J2619+(K2619/20)+(L2619/240)</f>
        <v>40</v>
      </c>
      <c r="N2619" s="17" t="s">
        <v>66</v>
      </c>
      <c r="O2619" s="11"/>
      <c r="P2619" s="28" t="n">
        <v>150</v>
      </c>
      <c r="Q2619" s="28" t="n">
        <v>6000</v>
      </c>
      <c r="R2619" s="28"/>
      <c r="S2619" s="28" t="n">
        <f aca="false">R2619*$M2619</f>
        <v>0</v>
      </c>
      <c r="T2619" s="28" t="n">
        <v>467</v>
      </c>
      <c r="U2619" s="28" t="n">
        <v>18680</v>
      </c>
      <c r="V2619" s="28" t="n">
        <v>1124</v>
      </c>
      <c r="W2619" s="28" t="n">
        <v>44960</v>
      </c>
      <c r="X2619" s="28" t="n">
        <v>591</v>
      </c>
      <c r="Y2619" s="28" t="n">
        <v>23640</v>
      </c>
      <c r="Z2619" s="28"/>
      <c r="AA2619" s="28" t="n">
        <f aca="false">Z2619*$M2619</f>
        <v>0</v>
      </c>
      <c r="AB2619" s="28" t="n">
        <v>554</v>
      </c>
      <c r="AC2619" s="28" t="n">
        <v>22160</v>
      </c>
      <c r="AD2619" s="28"/>
      <c r="AE2619" s="28" t="n">
        <f aca="false">AD2619*$M2619</f>
        <v>0</v>
      </c>
      <c r="AF2619" s="28"/>
      <c r="AG2619" s="28" t="n">
        <f aca="false">AF2619*$M2619</f>
        <v>0</v>
      </c>
      <c r="AH2619" s="28" t="n">
        <v>1109</v>
      </c>
      <c r="AI2619" s="28" t="n">
        <v>44360</v>
      </c>
      <c r="AJ2619" s="28"/>
      <c r="AK2619" s="28" t="n">
        <f aca="false">AJ2619*$M2619</f>
        <v>0</v>
      </c>
      <c r="AL2619" s="28"/>
      <c r="AM2619" s="28" t="n">
        <f aca="false">AL2619*$M2619</f>
        <v>0</v>
      </c>
      <c r="AN2619" s="28"/>
      <c r="AO2619" s="28" t="n">
        <f aca="false">AN2619*$M2619</f>
        <v>0</v>
      </c>
      <c r="AP2619" s="28"/>
      <c r="AQ2619" s="28" t="n">
        <f aca="false">AP2619*$M2619</f>
        <v>0</v>
      </c>
      <c r="AR2619" s="28"/>
      <c r="AS2619" s="28" t="n">
        <f aca="false">AR2619*$M2619</f>
        <v>0</v>
      </c>
      <c r="AT2619" s="28"/>
      <c r="AU2619" s="28" t="n">
        <f aca="false">AT2619*$M2619</f>
        <v>0</v>
      </c>
      <c r="AV2619" s="28"/>
      <c r="AW2619" s="28" t="n">
        <f aca="false">AV2619*$M2619</f>
        <v>0</v>
      </c>
      <c r="AX2619" s="28"/>
      <c r="AY2619" s="28" t="n">
        <f aca="false">AX2619*$M2619</f>
        <v>0</v>
      </c>
      <c r="AZ2619" s="30" t="n">
        <v>3995</v>
      </c>
      <c r="BA2619" s="11" t="n">
        <v>159800</v>
      </c>
      <c r="BB2619" s="31" t="n">
        <f aca="false">SUM(Q2619,S2619,U2619,W2619,Y2619,AA2619,AC2619,AE2619,AG2619,AI2619,AK2619,AM2619,AO2619,AQ2619,AS2619,AU2619,AW2619,AY2619)</f>
        <v>159800</v>
      </c>
      <c r="BC2619" s="28" t="n">
        <f aca="false">BA2619-BB2619</f>
        <v>0</v>
      </c>
      <c r="BD2619" s="32" t="n">
        <f aca="false">SUM(P2619,R2619,T2619,V2619,X2619,Z2619,AB2619,AD2619,AF2619,AH2619,AJ2619,AL2619,AN2619,AP2619,AR2619,AT2619,AV2619,AX2619)</f>
        <v>3995</v>
      </c>
      <c r="BE2619" s="33" t="n">
        <f aca="false">AZ2619-BD2619</f>
        <v>0</v>
      </c>
      <c r="BF2619" s="34" t="n">
        <f aca="false">BD2619*M2619</f>
        <v>159800</v>
      </c>
      <c r="BG2619" s="35" t="n">
        <f aca="false">BA2619-BF2619</f>
        <v>0</v>
      </c>
      <c r="BH2619" s="19" t="str">
        <f aca="false">IF(BG2619=0,"",IF(BG2619&lt;&gt;BA2619,"erreur de calcul",IF(BD2619&lt;&gt;0,"pas de prix",IF(M2619&lt;&gt; 0,"pas de quantité","pas de prix, ni de quantité"))))</f>
        <v/>
      </c>
      <c r="BI2619" s="19"/>
    </row>
    <row r="2620" customFormat="false" ht="15" hidden="false" customHeight="false" outlineLevel="0" collapsed="false">
      <c r="A2620" s="0" t="n">
        <v>36</v>
      </c>
      <c r="B2620" s="8" t="s">
        <v>24</v>
      </c>
      <c r="C2620" s="9" t="s">
        <v>25</v>
      </c>
      <c r="D2620" s="9" t="s">
        <v>26</v>
      </c>
      <c r="E2620" s="10" t="n">
        <v>1789</v>
      </c>
      <c r="F2620" s="9" t="s">
        <v>27</v>
      </c>
      <c r="G2620" s="9" t="s">
        <v>27</v>
      </c>
      <c r="H2620" s="11" t="n">
        <v>22</v>
      </c>
      <c r="I2620" s="11" t="s">
        <v>239</v>
      </c>
      <c r="J2620" s="14" t="n">
        <v>48</v>
      </c>
      <c r="K2620" s="14"/>
      <c r="L2620" s="16"/>
      <c r="M2620" s="27" t="n">
        <f aca="false">J2620+(K2620/20)+(L2620/240)</f>
        <v>48</v>
      </c>
      <c r="N2620" s="17" t="s">
        <v>66</v>
      </c>
      <c r="O2620" s="11"/>
      <c r="P2620" s="28"/>
      <c r="Q2620" s="28" t="n">
        <f aca="false">P2620*$M2620</f>
        <v>0</v>
      </c>
      <c r="R2620" s="28"/>
      <c r="S2620" s="28" t="n">
        <f aca="false">R2620*$M2620</f>
        <v>0</v>
      </c>
      <c r="T2620" s="28" t="n">
        <v>690</v>
      </c>
      <c r="U2620" s="28" t="n">
        <v>33120</v>
      </c>
      <c r="V2620" s="28" t="n">
        <v>3577</v>
      </c>
      <c r="W2620" s="28" t="n">
        <v>171696</v>
      </c>
      <c r="X2620" s="28"/>
      <c r="Y2620" s="28" t="n">
        <f aca="false">X2620*$M2620</f>
        <v>0</v>
      </c>
      <c r="Z2620" s="28"/>
      <c r="AA2620" s="28" t="n">
        <f aca="false">Z2620*$M2620</f>
        <v>0</v>
      </c>
      <c r="AB2620" s="28"/>
      <c r="AC2620" s="28" t="n">
        <f aca="false">AB2620*$M2620</f>
        <v>0</v>
      </c>
      <c r="AD2620" s="28"/>
      <c r="AE2620" s="28" t="n">
        <f aca="false">AD2620*$M2620</f>
        <v>0</v>
      </c>
      <c r="AF2620" s="28"/>
      <c r="AG2620" s="28" t="n">
        <f aca="false">AF2620*$M2620</f>
        <v>0</v>
      </c>
      <c r="AH2620" s="28"/>
      <c r="AI2620" s="28" t="n">
        <f aca="false">AH2620*$M2620</f>
        <v>0</v>
      </c>
      <c r="AJ2620" s="28"/>
      <c r="AK2620" s="28" t="n">
        <f aca="false">AJ2620*$M2620</f>
        <v>0</v>
      </c>
      <c r="AL2620" s="28"/>
      <c r="AM2620" s="28" t="n">
        <f aca="false">AL2620*$M2620</f>
        <v>0</v>
      </c>
      <c r="AN2620" s="28"/>
      <c r="AO2620" s="28" t="n">
        <f aca="false">AN2620*$M2620</f>
        <v>0</v>
      </c>
      <c r="AP2620" s="28"/>
      <c r="AQ2620" s="28" t="n">
        <f aca="false">AP2620*$M2620</f>
        <v>0</v>
      </c>
      <c r="AR2620" s="28"/>
      <c r="AS2620" s="28" t="n">
        <f aca="false">AR2620*$M2620</f>
        <v>0</v>
      </c>
      <c r="AT2620" s="28"/>
      <c r="AU2620" s="28" t="n">
        <f aca="false">AT2620*$M2620</f>
        <v>0</v>
      </c>
      <c r="AV2620" s="28"/>
      <c r="AW2620" s="28" t="n">
        <f aca="false">AV2620*$M2620</f>
        <v>0</v>
      </c>
      <c r="AX2620" s="28"/>
      <c r="AY2620" s="28" t="n">
        <f aca="false">AX2620*$M2620</f>
        <v>0</v>
      </c>
      <c r="AZ2620" s="30" t="n">
        <v>4267</v>
      </c>
      <c r="BA2620" s="11" t="n">
        <v>204816</v>
      </c>
      <c r="BB2620" s="31" t="n">
        <f aca="false">SUM(Q2620,S2620,U2620,W2620,Y2620,AA2620,AC2620,AE2620,AG2620,AI2620,AK2620,AM2620,AO2620,AQ2620,AS2620,AU2620,AW2620,AY2620)</f>
        <v>204816</v>
      </c>
      <c r="BC2620" s="28" t="n">
        <f aca="false">BA2620-BB2620</f>
        <v>0</v>
      </c>
      <c r="BD2620" s="32" t="n">
        <f aca="false">SUM(P2620,R2620,T2620,V2620,X2620,Z2620,AB2620,AD2620,AF2620,AH2620,AJ2620,AL2620,AN2620,AP2620,AR2620,AT2620,AV2620,AX2620)</f>
        <v>4267</v>
      </c>
      <c r="BE2620" s="33" t="n">
        <f aca="false">AZ2620-BD2620</f>
        <v>0</v>
      </c>
      <c r="BF2620" s="34" t="n">
        <f aca="false">BD2620*M2620</f>
        <v>204816</v>
      </c>
      <c r="BG2620" s="35" t="n">
        <f aca="false">BA2620-BF2620</f>
        <v>0</v>
      </c>
      <c r="BH2620" s="19" t="str">
        <f aca="false">IF(BG2620=0,"",IF(BG2620&lt;&gt;BA2620,"erreur de calcul",IF(BD2620&lt;&gt;0,"pas de prix",IF(M2620&lt;&gt; 0,"pas de quantité","pas de prix, ni de quantité"))))</f>
        <v/>
      </c>
      <c r="BI2620" s="19"/>
    </row>
    <row r="2621" customFormat="false" ht="15" hidden="false" customHeight="false" outlineLevel="0" collapsed="false">
      <c r="A2621" s="0" t="n">
        <v>37</v>
      </c>
      <c r="B2621" s="8" t="s">
        <v>24</v>
      </c>
      <c r="C2621" s="9" t="s">
        <v>25</v>
      </c>
      <c r="D2621" s="9" t="s">
        <v>26</v>
      </c>
      <c r="E2621" s="10" t="n">
        <v>1789</v>
      </c>
      <c r="F2621" s="9" t="s">
        <v>27</v>
      </c>
      <c r="G2621" s="9" t="s">
        <v>27</v>
      </c>
      <c r="H2621" s="11" t="n">
        <v>22</v>
      </c>
      <c r="I2621" s="11" t="s">
        <v>240</v>
      </c>
      <c r="J2621" s="14" t="n">
        <v>30</v>
      </c>
      <c r="K2621" s="14"/>
      <c r="L2621" s="16"/>
      <c r="M2621" s="27" t="n">
        <f aca="false">J2621+(K2621/20)+(L2621/240)</f>
        <v>30</v>
      </c>
      <c r="N2621" s="17" t="s">
        <v>66</v>
      </c>
      <c r="O2621" s="11"/>
      <c r="P2621" s="28"/>
      <c r="Q2621" s="28" t="n">
        <f aca="false">P2621*$M2621</f>
        <v>0</v>
      </c>
      <c r="R2621" s="28"/>
      <c r="S2621" s="28" t="n">
        <f aca="false">R2621*$M2621</f>
        <v>0</v>
      </c>
      <c r="T2621" s="28"/>
      <c r="U2621" s="28" t="n">
        <f aca="false">T2621*$M2621</f>
        <v>0</v>
      </c>
      <c r="V2621" s="28"/>
      <c r="W2621" s="28" t="n">
        <f aca="false">V2621*$M2621</f>
        <v>0</v>
      </c>
      <c r="X2621" s="28"/>
      <c r="Y2621" s="28" t="n">
        <f aca="false">X2621*$M2621</f>
        <v>0</v>
      </c>
      <c r="Z2621" s="28"/>
      <c r="AA2621" s="28" t="n">
        <f aca="false">Z2621*$M2621</f>
        <v>0</v>
      </c>
      <c r="AB2621" s="28"/>
      <c r="AC2621" s="28" t="n">
        <f aca="false">AB2621*$M2621</f>
        <v>0</v>
      </c>
      <c r="AD2621" s="28"/>
      <c r="AE2621" s="28" t="n">
        <f aca="false">AD2621*$M2621</f>
        <v>0</v>
      </c>
      <c r="AF2621" s="28"/>
      <c r="AG2621" s="28" t="n">
        <f aca="false">AF2621*$M2621</f>
        <v>0</v>
      </c>
      <c r="AH2621" s="28" t="n">
        <v>4770</v>
      </c>
      <c r="AI2621" s="28" t="n">
        <v>143100</v>
      </c>
      <c r="AJ2621" s="28"/>
      <c r="AK2621" s="28" t="n">
        <f aca="false">AJ2621*$M2621</f>
        <v>0</v>
      </c>
      <c r="AL2621" s="28"/>
      <c r="AM2621" s="28" t="n">
        <f aca="false">AL2621*$M2621</f>
        <v>0</v>
      </c>
      <c r="AN2621" s="28"/>
      <c r="AO2621" s="28" t="n">
        <f aca="false">AN2621*$M2621</f>
        <v>0</v>
      </c>
      <c r="AP2621" s="28"/>
      <c r="AQ2621" s="28" t="n">
        <f aca="false">AP2621*$M2621</f>
        <v>0</v>
      </c>
      <c r="AR2621" s="28"/>
      <c r="AS2621" s="28" t="n">
        <f aca="false">AR2621*$M2621</f>
        <v>0</v>
      </c>
      <c r="AT2621" s="28"/>
      <c r="AU2621" s="28" t="n">
        <f aca="false">AT2621*$M2621</f>
        <v>0</v>
      </c>
      <c r="AV2621" s="28"/>
      <c r="AW2621" s="28" t="n">
        <f aca="false">AV2621*$M2621</f>
        <v>0</v>
      </c>
      <c r="AX2621" s="28"/>
      <c r="AY2621" s="28" t="n">
        <f aca="false">AX2621*$M2621</f>
        <v>0</v>
      </c>
      <c r="AZ2621" s="30" t="n">
        <v>4770</v>
      </c>
      <c r="BA2621" s="11" t="n">
        <v>143100</v>
      </c>
      <c r="BB2621" s="31" t="n">
        <f aca="false">SUM(Q2621,S2621,U2621,W2621,Y2621,AA2621,AC2621,AE2621,AG2621,AI2621,AK2621,AM2621,AO2621,AQ2621,AS2621,AU2621,AW2621,AY2621)</f>
        <v>143100</v>
      </c>
      <c r="BC2621" s="28" t="n">
        <f aca="false">BA2621-BB2621</f>
        <v>0</v>
      </c>
      <c r="BD2621" s="32" t="n">
        <f aca="false">SUM(P2621,R2621,T2621,V2621,X2621,Z2621,AB2621,AD2621,AF2621,AH2621,AJ2621,AL2621,AN2621,AP2621,AR2621,AT2621,AV2621,AX2621)</f>
        <v>4770</v>
      </c>
      <c r="BE2621" s="33" t="n">
        <f aca="false">AZ2621-BD2621</f>
        <v>0</v>
      </c>
      <c r="BF2621" s="34" t="n">
        <f aca="false">BD2621*M2621</f>
        <v>143100</v>
      </c>
      <c r="BG2621" s="35" t="n">
        <f aca="false">BA2621-BF2621</f>
        <v>0</v>
      </c>
      <c r="BH2621" s="19" t="str">
        <f aca="false">IF(BG2621=0,"",IF(BG2621&lt;&gt;BA2621,"erreur de calcul",IF(BD2621&lt;&gt;0,"pas de prix",IF(M2621&lt;&gt; 0,"pas de quantité","pas de prix, ni de quantité"))))</f>
        <v/>
      </c>
      <c r="BI2621" s="19"/>
    </row>
    <row r="2622" customFormat="false" ht="15" hidden="false" customHeight="false" outlineLevel="0" collapsed="false">
      <c r="A2622" s="0" t="n">
        <v>38</v>
      </c>
      <c r="B2622" s="8" t="s">
        <v>24</v>
      </c>
      <c r="C2622" s="9" t="s">
        <v>25</v>
      </c>
      <c r="D2622" s="9" t="s">
        <v>26</v>
      </c>
      <c r="E2622" s="10" t="n">
        <v>1789</v>
      </c>
      <c r="F2622" s="9" t="s">
        <v>27</v>
      </c>
      <c r="G2622" s="9" t="s">
        <v>27</v>
      </c>
      <c r="H2622" s="11" t="n">
        <v>22</v>
      </c>
      <c r="I2622" s="11" t="s">
        <v>241</v>
      </c>
      <c r="J2622" s="14" t="n">
        <v>24</v>
      </c>
      <c r="K2622" s="14"/>
      <c r="L2622" s="16"/>
      <c r="M2622" s="27" t="n">
        <f aca="false">J2622+(K2622/20)+(L2622/240)</f>
        <v>24</v>
      </c>
      <c r="N2622" s="17" t="s">
        <v>64</v>
      </c>
      <c r="O2622" s="11"/>
      <c r="P2622" s="28" t="n">
        <f aca="false">188958/100</f>
        <v>1889.58</v>
      </c>
      <c r="Q2622" s="28" t="n">
        <v>45350</v>
      </c>
      <c r="R2622" s="28"/>
      <c r="S2622" s="28" t="n">
        <f aca="false">R2622*$M2622</f>
        <v>0</v>
      </c>
      <c r="T2622" s="28"/>
      <c r="U2622" s="28" t="n">
        <f aca="false">T2622*$M2622</f>
        <v>0</v>
      </c>
      <c r="V2622" s="28" t="n">
        <f aca="false">10567/100</f>
        <v>105.67</v>
      </c>
      <c r="W2622" s="28" t="n">
        <v>2536</v>
      </c>
      <c r="X2622" s="28" t="n">
        <f aca="false">9467/100</f>
        <v>94.67</v>
      </c>
      <c r="Y2622" s="28" t="n">
        <v>2272</v>
      </c>
      <c r="Z2622" s="28"/>
      <c r="AA2622" s="28" t="n">
        <f aca="false">Z2622*$M2622</f>
        <v>0</v>
      </c>
      <c r="AB2622" s="28"/>
      <c r="AC2622" s="28" t="n">
        <f aca="false">AB2622*$M2622</f>
        <v>0</v>
      </c>
      <c r="AD2622" s="28"/>
      <c r="AE2622" s="28" t="n">
        <f aca="false">AD2622*$M2622</f>
        <v>0</v>
      </c>
      <c r="AF2622" s="28"/>
      <c r="AG2622" s="28" t="n">
        <f aca="false">AF2622*$M2622</f>
        <v>0</v>
      </c>
      <c r="AH2622" s="28"/>
      <c r="AI2622" s="28" t="n">
        <f aca="false">AH2622*$M2622</f>
        <v>0</v>
      </c>
      <c r="AJ2622" s="28"/>
      <c r="AK2622" s="28" t="n">
        <f aca="false">AJ2622*$M2622</f>
        <v>0</v>
      </c>
      <c r="AL2622" s="28"/>
      <c r="AM2622" s="28" t="n">
        <f aca="false">AL2622*$M2622</f>
        <v>0</v>
      </c>
      <c r="AN2622" s="28"/>
      <c r="AO2622" s="28" t="n">
        <f aca="false">AN2622*$M2622</f>
        <v>0</v>
      </c>
      <c r="AP2622" s="28"/>
      <c r="AQ2622" s="28" t="n">
        <f aca="false">AP2622*$M2622</f>
        <v>0</v>
      </c>
      <c r="AR2622" s="28"/>
      <c r="AS2622" s="28" t="n">
        <f aca="false">AR2622*$M2622</f>
        <v>0</v>
      </c>
      <c r="AT2622" s="28"/>
      <c r="AU2622" s="28" t="n">
        <f aca="false">AT2622*$M2622</f>
        <v>0</v>
      </c>
      <c r="AV2622" s="28"/>
      <c r="AW2622" s="28" t="n">
        <f aca="false">AV2622*$M2622</f>
        <v>0</v>
      </c>
      <c r="AX2622" s="28" t="n">
        <f aca="false">328659/100</f>
        <v>3286.59</v>
      </c>
      <c r="AY2622" s="28" t="n">
        <v>78878</v>
      </c>
      <c r="AZ2622" s="30" t="n">
        <f aca="false">537651/100</f>
        <v>5376.51</v>
      </c>
      <c r="BA2622" s="11" t="n">
        <v>129036</v>
      </c>
      <c r="BB2622" s="31" t="n">
        <f aca="false">SUM(Q2622,S2622,U2622,W2622,Y2622,AA2622,AC2622,AE2622,AG2622,AI2622,AK2622,AM2622,AO2622,AQ2622,AS2622,AU2622,AW2622,AY2622)</f>
        <v>129036</v>
      </c>
      <c r="BC2622" s="28" t="n">
        <f aca="false">BA2622-BB2622</f>
        <v>0</v>
      </c>
      <c r="BD2622" s="32" t="n">
        <f aca="false">SUM(P2622,R2622,T2622,V2622,X2622,Z2622,AB2622,AD2622,AF2622,AH2622,AJ2622,AL2622,AN2622,AP2622,AR2622,AT2622,AV2622,AX2622)</f>
        <v>5376.51</v>
      </c>
      <c r="BE2622" s="33" t="n">
        <f aca="false">AZ2622-BD2622</f>
        <v>0</v>
      </c>
      <c r="BF2622" s="34" t="n">
        <f aca="false">BD2622*M2622</f>
        <v>129036.24</v>
      </c>
      <c r="BG2622" s="35" t="n">
        <f aca="false">BA2622-BF2622</f>
        <v>-0.240000000005239</v>
      </c>
      <c r="BH2622" s="19" t="str">
        <f aca="false">IF(BG2622=0,"",IF(BG2622&lt;&gt;BA2622,"erreur de calcul",IF(BD2622&lt;&gt;0,"pas de prix",IF(M2622&lt;&gt; 0,"pas de quantité","pas de prix, ni de quantité"))))</f>
        <v>erreur de calcul</v>
      </c>
      <c r="BI2622" s="19"/>
    </row>
    <row r="2623" customFormat="false" ht="15" hidden="false" customHeight="false" outlineLevel="0" collapsed="false">
      <c r="A2623" s="0" t="n">
        <v>39</v>
      </c>
      <c r="B2623" s="8" t="s">
        <v>24</v>
      </c>
      <c r="C2623" s="9" t="s">
        <v>25</v>
      </c>
      <c r="D2623" s="9" t="s">
        <v>26</v>
      </c>
      <c r="E2623" s="10" t="n">
        <v>1789</v>
      </c>
      <c r="F2623" s="9" t="s">
        <v>27</v>
      </c>
      <c r="G2623" s="9" t="s">
        <v>27</v>
      </c>
      <c r="H2623" s="11" t="n">
        <v>22</v>
      </c>
      <c r="I2623" s="11" t="s">
        <v>242</v>
      </c>
      <c r="J2623" s="14" t="n">
        <v>41</v>
      </c>
      <c r="K2623" s="14"/>
      <c r="L2623" s="16"/>
      <c r="M2623" s="27" t="n">
        <f aca="false">J2623+(K2623/20)+(L2623/240)</f>
        <v>41</v>
      </c>
      <c r="N2623" s="17" t="s">
        <v>64</v>
      </c>
      <c r="O2623" s="11"/>
      <c r="P2623" s="28"/>
      <c r="Q2623" s="28" t="n">
        <f aca="false">P2623*$M2623</f>
        <v>0</v>
      </c>
      <c r="R2623" s="28"/>
      <c r="S2623" s="28" t="n">
        <f aca="false">R2623*$M2623</f>
        <v>0</v>
      </c>
      <c r="T2623" s="28" t="n">
        <f aca="false">441/100</f>
        <v>4.41</v>
      </c>
      <c r="U2623" s="28" t="n">
        <v>181</v>
      </c>
      <c r="V2623" s="28"/>
      <c r="W2623" s="28" t="n">
        <f aca="false">V2623*$M2623</f>
        <v>0</v>
      </c>
      <c r="X2623" s="28"/>
      <c r="Y2623" s="28" t="n">
        <f aca="false">X2623*$M2623</f>
        <v>0</v>
      </c>
      <c r="Z2623" s="28"/>
      <c r="AA2623" s="28" t="n">
        <f aca="false">Z2623*$M2623</f>
        <v>0</v>
      </c>
      <c r="AB2623" s="28"/>
      <c r="AC2623" s="28" t="n">
        <f aca="false">AB2623*$M2623</f>
        <v>0</v>
      </c>
      <c r="AD2623" s="28"/>
      <c r="AE2623" s="28" t="n">
        <f aca="false">AD2623*$M2623</f>
        <v>0</v>
      </c>
      <c r="AF2623" s="28"/>
      <c r="AG2623" s="28" t="n">
        <f aca="false">AF2623*$M2623</f>
        <v>0</v>
      </c>
      <c r="AH2623" s="28"/>
      <c r="AI2623" s="28" t="n">
        <f aca="false">AH2623*$M2623</f>
        <v>0</v>
      </c>
      <c r="AJ2623" s="28"/>
      <c r="AK2623" s="28" t="n">
        <f aca="false">AJ2623*$M2623</f>
        <v>0</v>
      </c>
      <c r="AL2623" s="28"/>
      <c r="AM2623" s="28" t="n">
        <f aca="false">AL2623*$M2623</f>
        <v>0</v>
      </c>
      <c r="AN2623" s="28"/>
      <c r="AO2623" s="28" t="n">
        <f aca="false">AN2623*$M2623</f>
        <v>0</v>
      </c>
      <c r="AP2623" s="28"/>
      <c r="AQ2623" s="28" t="n">
        <f aca="false">AP2623*$M2623</f>
        <v>0</v>
      </c>
      <c r="AR2623" s="28"/>
      <c r="AS2623" s="28" t="n">
        <f aca="false">AR2623*$M2623</f>
        <v>0</v>
      </c>
      <c r="AT2623" s="28"/>
      <c r="AU2623" s="28" t="n">
        <f aca="false">AT2623*$M2623</f>
        <v>0</v>
      </c>
      <c r="AV2623" s="28"/>
      <c r="AW2623" s="28" t="n">
        <f aca="false">AV2623*$M2623</f>
        <v>0</v>
      </c>
      <c r="AX2623" s="28"/>
      <c r="AY2623" s="28" t="n">
        <f aca="false">AX2623*$M2623</f>
        <v>0</v>
      </c>
      <c r="AZ2623" s="30" t="n">
        <f aca="false">441/100</f>
        <v>4.41</v>
      </c>
      <c r="BA2623" s="11" t="n">
        <v>181</v>
      </c>
      <c r="BB2623" s="31" t="n">
        <f aca="false">SUM(Q2623,S2623,U2623,W2623,Y2623,AA2623,AC2623,AE2623,AG2623,AI2623,AK2623,AM2623,AO2623,AQ2623,AS2623,AU2623,AW2623,AY2623)</f>
        <v>181</v>
      </c>
      <c r="BC2623" s="28" t="n">
        <f aca="false">BA2623-BB2623</f>
        <v>0</v>
      </c>
      <c r="BD2623" s="32" t="n">
        <f aca="false">SUM(P2623,R2623,T2623,V2623,X2623,Z2623,AB2623,AD2623,AF2623,AH2623,AJ2623,AL2623,AN2623,AP2623,AR2623,AT2623,AV2623,AX2623)</f>
        <v>4.41</v>
      </c>
      <c r="BE2623" s="33" t="n">
        <f aca="false">AZ2623-BD2623</f>
        <v>0</v>
      </c>
      <c r="BF2623" s="34" t="n">
        <f aca="false">BD2623*M2623</f>
        <v>180.81</v>
      </c>
      <c r="BG2623" s="35" t="n">
        <f aca="false">BA2623-BF2623</f>
        <v>0.189999999999998</v>
      </c>
      <c r="BH2623" s="19" t="str">
        <f aca="false">IF(BG2623=0,"",IF(BG2623&lt;&gt;BA2623,"erreur de calcul",IF(BD2623&lt;&gt;0,"pas de prix",IF(M2623&lt;&gt; 0,"pas de quantité","pas de prix, ni de quantité"))))</f>
        <v>erreur de calcul</v>
      </c>
      <c r="BI2623" s="19"/>
    </row>
    <row r="2624" customFormat="false" ht="15" hidden="false" customHeight="false" outlineLevel="0" collapsed="false">
      <c r="A2624" s="0" t="n">
        <v>1</v>
      </c>
      <c r="B2624" s="8" t="s">
        <v>24</v>
      </c>
      <c r="C2624" s="9" t="s">
        <v>25</v>
      </c>
      <c r="D2624" s="9" t="s">
        <v>26</v>
      </c>
      <c r="E2624" s="10" t="n">
        <v>1789</v>
      </c>
      <c r="F2624" s="9" t="s">
        <v>27</v>
      </c>
      <c r="G2624" s="9" t="s">
        <v>27</v>
      </c>
      <c r="H2624" s="11" t="n">
        <v>23</v>
      </c>
      <c r="I2624" s="11" t="s">
        <v>243</v>
      </c>
      <c r="J2624" s="14"/>
      <c r="K2624" s="14"/>
      <c r="L2624" s="16"/>
      <c r="M2624" s="27" t="n">
        <f aca="false">J2624+(K2624/20)+(L2624/240)</f>
        <v>0</v>
      </c>
      <c r="N2624" s="17"/>
      <c r="O2624" s="11"/>
      <c r="P2624" s="28"/>
      <c r="Q2624" s="28" t="n">
        <f aca="false">P2624*$M2624</f>
        <v>0</v>
      </c>
      <c r="R2624" s="28"/>
      <c r="S2624" s="28" t="n">
        <f aca="false">R2624*$M2624</f>
        <v>0</v>
      </c>
      <c r="T2624" s="28"/>
      <c r="U2624" s="28" t="n">
        <f aca="false">T2624*$M2624</f>
        <v>0</v>
      </c>
      <c r="V2624" s="28"/>
      <c r="W2624" s="28" t="n">
        <v>100</v>
      </c>
      <c r="X2624" s="28"/>
      <c r="Y2624" s="28" t="n">
        <v>563</v>
      </c>
      <c r="Z2624" s="28"/>
      <c r="AA2624" s="28" t="n">
        <f aca="false">Z2624*$M2624</f>
        <v>0</v>
      </c>
      <c r="AB2624" s="28"/>
      <c r="AC2624" s="28" t="n">
        <f aca="false">AB2624*$M2624</f>
        <v>0</v>
      </c>
      <c r="AD2624" s="28"/>
      <c r="AE2624" s="28" t="n">
        <f aca="false">AD2624*$M2624</f>
        <v>0</v>
      </c>
      <c r="AF2624" s="28"/>
      <c r="AG2624" s="28" t="n">
        <f aca="false">AF2624*$M2624</f>
        <v>0</v>
      </c>
      <c r="AH2624" s="28"/>
      <c r="AI2624" s="28" t="n">
        <f aca="false">AH2624*$M2624</f>
        <v>0</v>
      </c>
      <c r="AJ2624" s="28"/>
      <c r="AK2624" s="28" t="n">
        <v>1015</v>
      </c>
      <c r="AL2624" s="28"/>
      <c r="AM2624" s="28" t="n">
        <f aca="false">AL2624*$M2624</f>
        <v>0</v>
      </c>
      <c r="AN2624" s="28"/>
      <c r="AO2624" s="28" t="n">
        <f aca="false">AN2624*$M2624</f>
        <v>0</v>
      </c>
      <c r="AP2624" s="28"/>
      <c r="AQ2624" s="28" t="n">
        <f aca="false">AP2624*$M2624</f>
        <v>0</v>
      </c>
      <c r="AR2624" s="28"/>
      <c r="AS2624" s="28" t="n">
        <f aca="false">AR2624*$M2624</f>
        <v>0</v>
      </c>
      <c r="AT2624" s="28"/>
      <c r="AU2624" s="28" t="n">
        <f aca="false">AT2624*$M2624</f>
        <v>0</v>
      </c>
      <c r="AV2624" s="28"/>
      <c r="AW2624" s="28" t="n">
        <f aca="false">AV2624*$M2624</f>
        <v>0</v>
      </c>
      <c r="AX2624" s="28"/>
      <c r="AY2624" s="28" t="n">
        <f aca="false">AX2624*$M2624</f>
        <v>0</v>
      </c>
      <c r="AZ2624" s="30"/>
      <c r="BA2624" s="11" t="n">
        <v>1678</v>
      </c>
      <c r="BB2624" s="31" t="n">
        <f aca="false">SUM(Q2624,S2624,U2624,W2624,Y2624,AA2624,AC2624,AE2624,AG2624,AI2624,AK2624,AM2624,AO2624,AQ2624,AS2624,AU2624,AW2624,AY2624)</f>
        <v>1678</v>
      </c>
      <c r="BC2624" s="28" t="n">
        <f aca="false">BA2624-BB2624</f>
        <v>0</v>
      </c>
      <c r="BD2624" s="32" t="n">
        <f aca="false">SUM(P2624,R2624,T2624,V2624,X2624,Z2624,AB2624,AD2624,AF2624,AH2624,AJ2624,AL2624,AN2624,AP2624,AR2624,AT2624,AV2624,AX2624)</f>
        <v>0</v>
      </c>
      <c r="BE2624" s="33" t="n">
        <f aca="false">AZ2624-BD2624</f>
        <v>0</v>
      </c>
      <c r="BF2624" s="34" t="n">
        <f aca="false">BD2624*M2624</f>
        <v>0</v>
      </c>
      <c r="BG2624" s="35" t="n">
        <f aca="false">BA2624-BF2624</f>
        <v>1678</v>
      </c>
      <c r="BH2624" s="19" t="str">
        <f aca="false">IF(BG2624=0,"",IF(BG2624&lt;&gt;BA2624,"erreur de calcul",IF(BD2624&lt;&gt;0,"pas de prix",IF(M2624&lt;&gt; 0,"pas de quantité","pas de prix, ni de quantité"))))</f>
        <v>pas de prix, ni de quantité</v>
      </c>
      <c r="BI2624" s="19"/>
    </row>
    <row r="2625" customFormat="false" ht="15" hidden="false" customHeight="false" outlineLevel="0" collapsed="false">
      <c r="A2625" s="0" t="n">
        <v>2</v>
      </c>
      <c r="B2625" s="8" t="s">
        <v>24</v>
      </c>
      <c r="C2625" s="9" t="s">
        <v>25</v>
      </c>
      <c r="D2625" s="9" t="s">
        <v>26</v>
      </c>
      <c r="E2625" s="10" t="n">
        <v>1789</v>
      </c>
      <c r="F2625" s="9" t="s">
        <v>27</v>
      </c>
      <c r="G2625" s="9" t="s">
        <v>27</v>
      </c>
      <c r="H2625" s="11" t="n">
        <v>23</v>
      </c>
      <c r="I2625" s="11" t="s">
        <v>244</v>
      </c>
      <c r="J2625" s="14" t="n">
        <v>22</v>
      </c>
      <c r="K2625" s="14"/>
      <c r="L2625" s="16"/>
      <c r="M2625" s="27" t="n">
        <f aca="false">J2625+(K2625/20)+(L2625/240)</f>
        <v>22</v>
      </c>
      <c r="N2625" s="17" t="s">
        <v>64</v>
      </c>
      <c r="O2625" s="11"/>
      <c r="P2625" s="28"/>
      <c r="Q2625" s="28" t="n">
        <f aca="false">P2625*$M2625</f>
        <v>0</v>
      </c>
      <c r="R2625" s="28"/>
      <c r="S2625" s="28" t="n">
        <f aca="false">R2625*$M2625</f>
        <v>0</v>
      </c>
      <c r="T2625" s="28"/>
      <c r="U2625" s="28" t="n">
        <f aca="false">T2625*$M2625</f>
        <v>0</v>
      </c>
      <c r="V2625" s="28" t="n">
        <f aca="false">15346/100</f>
        <v>153.46</v>
      </c>
      <c r="W2625" s="28" t="n">
        <v>3376</v>
      </c>
      <c r="X2625" s="28"/>
      <c r="Y2625" s="28" t="n">
        <f aca="false">X2625*$M2625</f>
        <v>0</v>
      </c>
      <c r="Z2625" s="28"/>
      <c r="AA2625" s="28" t="n">
        <f aca="false">Z2625*$M2625</f>
        <v>0</v>
      </c>
      <c r="AB2625" s="28"/>
      <c r="AC2625" s="28" t="n">
        <f aca="false">AB2625*$M2625</f>
        <v>0</v>
      </c>
      <c r="AD2625" s="28"/>
      <c r="AE2625" s="28" t="n">
        <f aca="false">AD2625*$M2625</f>
        <v>0</v>
      </c>
      <c r="AF2625" s="28"/>
      <c r="AG2625" s="28" t="n">
        <f aca="false">AF2625*$M2625</f>
        <v>0</v>
      </c>
      <c r="AH2625" s="28"/>
      <c r="AI2625" s="28" t="n">
        <f aca="false">AH2625*$M2625</f>
        <v>0</v>
      </c>
      <c r="AJ2625" s="28" t="n">
        <f aca="false">9084/100</f>
        <v>90.84</v>
      </c>
      <c r="AK2625" s="28" t="n">
        <v>1998</v>
      </c>
      <c r="AL2625" s="28" t="n">
        <f aca="false">8917/100</f>
        <v>89.17</v>
      </c>
      <c r="AM2625" s="28" t="n">
        <v>1962</v>
      </c>
      <c r="AN2625" s="28"/>
      <c r="AO2625" s="28" t="n">
        <f aca="false">AN2625*$M2625</f>
        <v>0</v>
      </c>
      <c r="AP2625" s="28"/>
      <c r="AQ2625" s="28" t="n">
        <f aca="false">AP2625*$M2625</f>
        <v>0</v>
      </c>
      <c r="AR2625" s="28"/>
      <c r="AS2625" s="28" t="n">
        <f aca="false">AR2625*$M2625</f>
        <v>0</v>
      </c>
      <c r="AT2625" s="28"/>
      <c r="AU2625" s="28" t="n">
        <f aca="false">AT2625*$M2625</f>
        <v>0</v>
      </c>
      <c r="AV2625" s="28"/>
      <c r="AW2625" s="28" t="n">
        <f aca="false">AV2625*$M2625</f>
        <v>0</v>
      </c>
      <c r="AX2625" s="28"/>
      <c r="AY2625" s="28" t="n">
        <f aca="false">AX2625*$M2625</f>
        <v>0</v>
      </c>
      <c r="AZ2625" s="30" t="n">
        <f aca="false">3347/100</f>
        <v>33.47</v>
      </c>
      <c r="BA2625" s="11" t="n">
        <v>7336</v>
      </c>
      <c r="BB2625" s="31" t="n">
        <f aca="false">SUM(Q2625,S2625,U2625,W2625,Y2625,AA2625,AC2625,AE2625,AG2625,AI2625,AK2625,AM2625,AO2625,AQ2625,AS2625,AU2625,AW2625,AY2625)</f>
        <v>7336</v>
      </c>
      <c r="BC2625" s="28" t="n">
        <f aca="false">BA2625-BB2625</f>
        <v>0</v>
      </c>
      <c r="BD2625" s="32" t="n">
        <f aca="false">SUM(P2625,R2625,T2625,V2625,X2625,Z2625,AB2625,AD2625,AF2625,AH2625,AJ2625,AL2625,AN2625,AP2625,AR2625,AT2625,AV2625,AX2625)</f>
        <v>333.47</v>
      </c>
      <c r="BE2625" s="33" t="n">
        <f aca="false">AZ2625-BD2625</f>
        <v>-300</v>
      </c>
      <c r="BF2625" s="34" t="n">
        <f aca="false">BD2625*M2625</f>
        <v>7336.34</v>
      </c>
      <c r="BG2625" s="35" t="n">
        <f aca="false">BA2625-BF2625</f>
        <v>-0.340000000000146</v>
      </c>
      <c r="BH2625" s="19" t="str">
        <f aca="false">IF(BG2625=0,"",IF(BG2625&lt;&gt;BA2625,"erreur de calcul",IF(BD2625&lt;&gt;0,"pas de prix",IF(M2625&lt;&gt; 0,"pas de quantité","pas de prix, ni de quantité"))))</f>
        <v>erreur de calcul</v>
      </c>
      <c r="BI2625" s="19"/>
    </row>
    <row r="2626" customFormat="false" ht="15" hidden="false" customHeight="false" outlineLevel="0" collapsed="false">
      <c r="A2626" s="0" t="n">
        <v>3</v>
      </c>
      <c r="B2626" s="8" t="s">
        <v>24</v>
      </c>
      <c r="C2626" s="9" t="s">
        <v>25</v>
      </c>
      <c r="D2626" s="9" t="s">
        <v>26</v>
      </c>
      <c r="E2626" s="10" t="n">
        <v>1789</v>
      </c>
      <c r="F2626" s="9" t="s">
        <v>27</v>
      </c>
      <c r="G2626" s="9" t="s">
        <v>27</v>
      </c>
      <c r="H2626" s="11" t="n">
        <v>23</v>
      </c>
      <c r="I2626" s="11" t="s">
        <v>245</v>
      </c>
      <c r="J2626" s="14" t="n">
        <v>28</v>
      </c>
      <c r="K2626" s="14"/>
      <c r="L2626" s="16"/>
      <c r="M2626" s="27" t="n">
        <f aca="false">J2626+(K2626/20)+(L2626/240)</f>
        <v>28</v>
      </c>
      <c r="N2626" s="17" t="s">
        <v>64</v>
      </c>
      <c r="O2626" s="11"/>
      <c r="P2626" s="28"/>
      <c r="Q2626" s="28" t="n">
        <f aca="false">P2626*$M2626</f>
        <v>0</v>
      </c>
      <c r="R2626" s="28"/>
      <c r="S2626" s="28" t="n">
        <f aca="false">R2626*$M2626</f>
        <v>0</v>
      </c>
      <c r="T2626" s="28"/>
      <c r="U2626" s="28" t="n">
        <f aca="false">T2626*$M2626</f>
        <v>0</v>
      </c>
      <c r="V2626" s="28" t="n">
        <f aca="false">61654/100</f>
        <v>616.54</v>
      </c>
      <c r="W2626" s="28" t="n">
        <v>17263</v>
      </c>
      <c r="X2626" s="28"/>
      <c r="Y2626" s="28" t="n">
        <f aca="false">X2626*$M2626</f>
        <v>0</v>
      </c>
      <c r="Z2626" s="28"/>
      <c r="AA2626" s="28" t="n">
        <f aca="false">Z2626*$M2626</f>
        <v>0</v>
      </c>
      <c r="AB2626" s="28"/>
      <c r="AC2626" s="28" t="n">
        <f aca="false">AB2626*$M2626</f>
        <v>0</v>
      </c>
      <c r="AD2626" s="28"/>
      <c r="AE2626" s="28" t="n">
        <f aca="false">AD2626*$M2626</f>
        <v>0</v>
      </c>
      <c r="AF2626" s="28"/>
      <c r="AG2626" s="28" t="n">
        <f aca="false">AF2626*$M2626</f>
        <v>0</v>
      </c>
      <c r="AH2626" s="28"/>
      <c r="AI2626" s="28" t="n">
        <f aca="false">AH2626*$M2626</f>
        <v>0</v>
      </c>
      <c r="AJ2626" s="28"/>
      <c r="AK2626" s="28" t="n">
        <f aca="false">AJ2626*$M2626</f>
        <v>0</v>
      </c>
      <c r="AL2626" s="28" t="n">
        <f aca="false">6250/100</f>
        <v>62.5</v>
      </c>
      <c r="AM2626" s="28" t="n">
        <v>1750</v>
      </c>
      <c r="AN2626" s="28"/>
      <c r="AO2626" s="28" t="n">
        <f aca="false">AN2626*$M2626</f>
        <v>0</v>
      </c>
      <c r="AP2626" s="28"/>
      <c r="AQ2626" s="28" t="n">
        <f aca="false">AP2626*$M2626</f>
        <v>0</v>
      </c>
      <c r="AR2626" s="28"/>
      <c r="AS2626" s="28" t="n">
        <f aca="false">AR2626*$M2626</f>
        <v>0</v>
      </c>
      <c r="AT2626" s="28"/>
      <c r="AU2626" s="28" t="n">
        <f aca="false">AT2626*$M2626</f>
        <v>0</v>
      </c>
      <c r="AV2626" s="28"/>
      <c r="AW2626" s="28" t="n">
        <f aca="false">AV2626*$M2626</f>
        <v>0</v>
      </c>
      <c r="AX2626" s="28"/>
      <c r="AY2626" s="28" t="n">
        <f aca="false">AX2626*$M2626</f>
        <v>0</v>
      </c>
      <c r="AZ2626" s="30" t="n">
        <f aca="false">67904/100</f>
        <v>679.04</v>
      </c>
      <c r="BA2626" s="11" t="n">
        <v>19013</v>
      </c>
      <c r="BB2626" s="31" t="n">
        <f aca="false">SUM(Q2626,S2626,U2626,W2626,Y2626,AA2626,AC2626,AE2626,AG2626,AI2626,AK2626,AM2626,AO2626,AQ2626,AS2626,AU2626,AW2626,AY2626)</f>
        <v>19013</v>
      </c>
      <c r="BC2626" s="28" t="n">
        <f aca="false">BA2626-BB2626</f>
        <v>0</v>
      </c>
      <c r="BD2626" s="32" t="n">
        <f aca="false">SUM(P2626,R2626,T2626,V2626,X2626,Z2626,AB2626,AD2626,AF2626,AH2626,AJ2626,AL2626,AN2626,AP2626,AR2626,AT2626,AV2626,AX2626)</f>
        <v>679.04</v>
      </c>
      <c r="BE2626" s="33" t="n">
        <f aca="false">AZ2626-BD2626</f>
        <v>0</v>
      </c>
      <c r="BF2626" s="34" t="n">
        <f aca="false">BD2626*M2626</f>
        <v>19013.12</v>
      </c>
      <c r="BG2626" s="35" t="n">
        <f aca="false">BA2626-BF2626</f>
        <v>-0.119999999998981</v>
      </c>
      <c r="BH2626" s="19" t="str">
        <f aca="false">IF(BG2626=0,"",IF(BG2626&lt;&gt;BA2626,"erreur de calcul",IF(BD2626&lt;&gt;0,"pas de prix",IF(M2626&lt;&gt; 0,"pas de quantité","pas de prix, ni de quantité"))))</f>
        <v>erreur de calcul</v>
      </c>
      <c r="BI2626" s="19"/>
    </row>
    <row r="2627" customFormat="false" ht="15" hidden="false" customHeight="false" outlineLevel="0" collapsed="false">
      <c r="A2627" s="0" t="n">
        <v>4</v>
      </c>
      <c r="B2627" s="8" t="s">
        <v>24</v>
      </c>
      <c r="C2627" s="9" t="s">
        <v>25</v>
      </c>
      <c r="D2627" s="9" t="s">
        <v>26</v>
      </c>
      <c r="E2627" s="10" t="n">
        <v>1789</v>
      </c>
      <c r="F2627" s="9" t="s">
        <v>27</v>
      </c>
      <c r="G2627" s="9" t="s">
        <v>27</v>
      </c>
      <c r="H2627" s="11" t="n">
        <v>23</v>
      </c>
      <c r="I2627" s="11" t="s">
        <v>246</v>
      </c>
      <c r="J2627" s="14" t="n">
        <v>17</v>
      </c>
      <c r="K2627" s="14"/>
      <c r="L2627" s="16"/>
      <c r="M2627" s="27" t="n">
        <f aca="false">J2627+(K2627/20)+(L2627/240)</f>
        <v>17</v>
      </c>
      <c r="N2627" s="17" t="s">
        <v>64</v>
      </c>
      <c r="O2627" s="11"/>
      <c r="P2627" s="28"/>
      <c r="Q2627" s="28" t="n">
        <f aca="false">P2627*$M2627</f>
        <v>0</v>
      </c>
      <c r="R2627" s="28"/>
      <c r="S2627" s="28" t="n">
        <f aca="false">R2627*$M2627</f>
        <v>0</v>
      </c>
      <c r="T2627" s="28" t="n">
        <f aca="false">25000/100</f>
        <v>250</v>
      </c>
      <c r="U2627" s="28" t="n">
        <v>4250</v>
      </c>
      <c r="V2627" s="28" t="n">
        <f aca="false">78153/100</f>
        <v>781.53</v>
      </c>
      <c r="W2627" s="28" t="n">
        <v>13286</v>
      </c>
      <c r="X2627" s="28"/>
      <c r="Y2627" s="28" t="n">
        <f aca="false">X2627*$M2627</f>
        <v>0</v>
      </c>
      <c r="Z2627" s="28"/>
      <c r="AA2627" s="28" t="n">
        <f aca="false">Z2627*$M2627</f>
        <v>0</v>
      </c>
      <c r="AB2627" s="28"/>
      <c r="AC2627" s="28" t="n">
        <f aca="false">AB2627*$M2627</f>
        <v>0</v>
      </c>
      <c r="AD2627" s="28"/>
      <c r="AE2627" s="28" t="n">
        <f aca="false">AD2627*$M2627</f>
        <v>0</v>
      </c>
      <c r="AF2627" s="28"/>
      <c r="AG2627" s="28" t="n">
        <f aca="false">AF2627*$M2627</f>
        <v>0</v>
      </c>
      <c r="AH2627" s="28"/>
      <c r="AI2627" s="28" t="n">
        <f aca="false">AH2627*$M2627</f>
        <v>0</v>
      </c>
      <c r="AJ2627" s="28" t="n">
        <f aca="false">113774/100</f>
        <v>1137.74</v>
      </c>
      <c r="AK2627" s="28" t="n">
        <v>19341</v>
      </c>
      <c r="AL2627" s="28" t="n">
        <f aca="false">749547/100</f>
        <v>7495.47</v>
      </c>
      <c r="AM2627" s="28" t="n">
        <v>127423</v>
      </c>
      <c r="AN2627" s="28"/>
      <c r="AO2627" s="28" t="n">
        <f aca="false">AN2627*$M2627</f>
        <v>0</v>
      </c>
      <c r="AP2627" s="28" t="n">
        <f aca="false">578251/100</f>
        <v>5782.51</v>
      </c>
      <c r="AQ2627" s="28" t="n">
        <v>98303</v>
      </c>
      <c r="AR2627" s="28" t="n">
        <f aca="false">9141217/100</f>
        <v>91412.17</v>
      </c>
      <c r="AS2627" s="28" t="n">
        <v>1554007</v>
      </c>
      <c r="AT2627" s="28"/>
      <c r="AU2627" s="28" t="n">
        <f aca="false">AT2627*$M2627</f>
        <v>0</v>
      </c>
      <c r="AV2627" s="28" t="n">
        <f aca="false">314570/100</f>
        <v>3145.7</v>
      </c>
      <c r="AW2627" s="28" t="n">
        <v>53477</v>
      </c>
      <c r="AX2627" s="28"/>
      <c r="AY2627" s="28" t="n">
        <f aca="false">AX2627*$M2627</f>
        <v>0</v>
      </c>
      <c r="AZ2627" s="30" t="n">
        <f aca="false">11004767/100</f>
        <v>110047.67</v>
      </c>
      <c r="BA2627" s="11" t="n">
        <v>1870087</v>
      </c>
      <c r="BB2627" s="31" t="n">
        <f aca="false">SUM(Q2627,S2627,U2627,W2627,Y2627,AA2627,AC2627,AE2627,AG2627,AI2627,AK2627,AM2627,AO2627,AQ2627,AS2627,AU2627,AW2627,AY2627)</f>
        <v>1870087</v>
      </c>
      <c r="BC2627" s="28" t="n">
        <f aca="false">BA2627-BB2627</f>
        <v>0</v>
      </c>
      <c r="BD2627" s="32" t="n">
        <f aca="false">SUM(P2627,R2627,T2627,V2627,X2627,Z2627,AB2627,AD2627,AF2627,AH2627,AJ2627,AL2627,AN2627,AP2627,AR2627,AT2627,AV2627,AX2627)</f>
        <v>110005.12</v>
      </c>
      <c r="BE2627" s="33" t="n">
        <f aca="false">AZ2627-BD2627</f>
        <v>42.5500000000029</v>
      </c>
      <c r="BF2627" s="34" t="n">
        <f aca="false">BD2627*M2627</f>
        <v>1870087.04</v>
      </c>
      <c r="BG2627" s="35" t="n">
        <f aca="false">BA2627-BF2627</f>
        <v>-0.0400000000372529</v>
      </c>
      <c r="BH2627" s="19" t="str">
        <f aca="false">IF(BG2627=0,"",IF(BG2627&lt;&gt;BA2627,"erreur de calcul",IF(BD2627&lt;&gt;0,"pas de prix",IF(M2627&lt;&gt; 0,"pas de quantité","pas de prix, ni de quantité"))))</f>
        <v>erreur de calcul</v>
      </c>
      <c r="BI2627" s="19"/>
    </row>
    <row r="2628" customFormat="false" ht="15" hidden="false" customHeight="false" outlineLevel="0" collapsed="false">
      <c r="A2628" s="0" t="n">
        <v>5</v>
      </c>
      <c r="B2628" s="8" t="s">
        <v>24</v>
      </c>
      <c r="C2628" s="9" t="s">
        <v>25</v>
      </c>
      <c r="D2628" s="9" t="s">
        <v>26</v>
      </c>
      <c r="E2628" s="10" t="n">
        <v>1789</v>
      </c>
      <c r="F2628" s="9" t="s">
        <v>27</v>
      </c>
      <c r="G2628" s="9" t="s">
        <v>27</v>
      </c>
      <c r="H2628" s="11" t="n">
        <v>23</v>
      </c>
      <c r="I2628" s="11" t="s">
        <v>247</v>
      </c>
      <c r="J2628" s="14" t="n">
        <v>60</v>
      </c>
      <c r="K2628" s="14"/>
      <c r="L2628" s="16"/>
      <c r="M2628" s="27" t="n">
        <f aca="false">J2628+(K2628/20)+(L2628/240)</f>
        <v>60</v>
      </c>
      <c r="N2628" s="17" t="s">
        <v>64</v>
      </c>
      <c r="O2628" s="11"/>
      <c r="P2628" s="28" t="n">
        <f aca="false">17500/100</f>
        <v>175</v>
      </c>
      <c r="Q2628" s="28" t="n">
        <v>10500</v>
      </c>
      <c r="R2628" s="28"/>
      <c r="S2628" s="28" t="n">
        <f aca="false">R2628*$M2628</f>
        <v>0</v>
      </c>
      <c r="T2628" s="28"/>
      <c r="U2628" s="28" t="n">
        <f aca="false">T2628*$M2628</f>
        <v>0</v>
      </c>
      <c r="V2628" s="28"/>
      <c r="W2628" s="28" t="n">
        <f aca="false">V2628*$M2628</f>
        <v>0</v>
      </c>
      <c r="X2628" s="28"/>
      <c r="Y2628" s="28" t="n">
        <f aca="false">X2628*$M2628</f>
        <v>0</v>
      </c>
      <c r="Z2628" s="28"/>
      <c r="AA2628" s="28" t="n">
        <f aca="false">Z2628*$M2628</f>
        <v>0</v>
      </c>
      <c r="AB2628" s="28"/>
      <c r="AC2628" s="28" t="n">
        <f aca="false">AB2628*$M2628</f>
        <v>0</v>
      </c>
      <c r="AD2628" s="28"/>
      <c r="AE2628" s="28" t="n">
        <f aca="false">AD2628*$M2628</f>
        <v>0</v>
      </c>
      <c r="AF2628" s="28"/>
      <c r="AG2628" s="28" t="n">
        <f aca="false">AF2628*$M2628</f>
        <v>0</v>
      </c>
      <c r="AH2628" s="28"/>
      <c r="AI2628" s="28" t="n">
        <f aca="false">AH2628*$M2628</f>
        <v>0</v>
      </c>
      <c r="AJ2628" s="28"/>
      <c r="AK2628" s="28" t="n">
        <f aca="false">AJ2628*$M2628</f>
        <v>0</v>
      </c>
      <c r="AL2628" s="28" t="n">
        <f aca="false">107571/100</f>
        <v>1075.71</v>
      </c>
      <c r="AM2628" s="28" t="n">
        <v>64543</v>
      </c>
      <c r="AN2628" s="28"/>
      <c r="AO2628" s="28" t="n">
        <f aca="false">AN2628*$M2628</f>
        <v>0</v>
      </c>
      <c r="AP2628" s="28"/>
      <c r="AQ2628" s="28" t="n">
        <f aca="false">AP2628*$M2628</f>
        <v>0</v>
      </c>
      <c r="AR2628" s="28"/>
      <c r="AS2628" s="28" t="n">
        <f aca="false">AR2628*$M2628</f>
        <v>0</v>
      </c>
      <c r="AT2628" s="28"/>
      <c r="AU2628" s="28" t="n">
        <f aca="false">AT2628*$M2628</f>
        <v>0</v>
      </c>
      <c r="AV2628" s="28"/>
      <c r="AW2628" s="28" t="n">
        <f aca="false">AV2628*$M2628</f>
        <v>0</v>
      </c>
      <c r="AX2628" s="28"/>
      <c r="AY2628" s="28" t="n">
        <f aca="false">AX2628*$M2628</f>
        <v>0</v>
      </c>
      <c r="AZ2628" s="30" t="n">
        <f aca="false">125071/100</f>
        <v>1250.71</v>
      </c>
      <c r="BA2628" s="11" t="n">
        <v>75043</v>
      </c>
      <c r="BB2628" s="31" t="n">
        <f aca="false">SUM(Q2628,S2628,U2628,W2628,Y2628,AA2628,AC2628,AE2628,AG2628,AI2628,AK2628,AM2628,AO2628,AQ2628,AS2628,AU2628,AW2628,AY2628)</f>
        <v>75043</v>
      </c>
      <c r="BC2628" s="28" t="n">
        <f aca="false">BA2628-BB2628</f>
        <v>0</v>
      </c>
      <c r="BD2628" s="32" t="n">
        <f aca="false">SUM(P2628,R2628,T2628,V2628,X2628,Z2628,AB2628,AD2628,AF2628,AH2628,AJ2628,AL2628,AN2628,AP2628,AR2628,AT2628,AV2628,AX2628)</f>
        <v>1250.71</v>
      </c>
      <c r="BE2628" s="33" t="n">
        <f aca="false">AZ2628-BD2628</f>
        <v>0</v>
      </c>
      <c r="BF2628" s="34" t="n">
        <f aca="false">BD2628*M2628</f>
        <v>75042.6</v>
      </c>
      <c r="BG2628" s="35" t="n">
        <f aca="false">BA2628-BF2628</f>
        <v>0.399999999994179</v>
      </c>
      <c r="BH2628" s="19" t="str">
        <f aca="false">IF(BG2628=0,"",IF(BG2628&lt;&gt;BA2628,"erreur de calcul",IF(BD2628&lt;&gt;0,"pas de prix",IF(M2628&lt;&gt; 0,"pas de quantité","pas de prix, ni de quantité"))))</f>
        <v>erreur de calcul</v>
      </c>
      <c r="BI2628" s="19"/>
    </row>
    <row r="2629" customFormat="false" ht="15" hidden="false" customHeight="false" outlineLevel="0" collapsed="false">
      <c r="A2629" s="0" t="n">
        <v>6</v>
      </c>
      <c r="B2629" s="8" t="s">
        <v>24</v>
      </c>
      <c r="C2629" s="9" t="s">
        <v>25</v>
      </c>
      <c r="D2629" s="9" t="s">
        <v>26</v>
      </c>
      <c r="E2629" s="10" t="n">
        <v>1789</v>
      </c>
      <c r="F2629" s="9" t="s">
        <v>27</v>
      </c>
      <c r="G2629" s="9" t="s">
        <v>27</v>
      </c>
      <c r="H2629" s="11" t="n">
        <v>23</v>
      </c>
      <c r="I2629" s="11" t="s">
        <v>248</v>
      </c>
      <c r="J2629" s="14" t="n">
        <v>30</v>
      </c>
      <c r="K2629" s="14"/>
      <c r="L2629" s="16"/>
      <c r="M2629" s="27" t="n">
        <f aca="false">J2629+(K2629/20)+(L2629/240)</f>
        <v>30</v>
      </c>
      <c r="N2629" s="17" t="s">
        <v>64</v>
      </c>
      <c r="O2629" s="11"/>
      <c r="P2629" s="28"/>
      <c r="Q2629" s="28" t="n">
        <f aca="false">P2629*$M2629</f>
        <v>0</v>
      </c>
      <c r="R2629" s="28"/>
      <c r="S2629" s="28" t="n">
        <f aca="false">R2629*$M2629</f>
        <v>0</v>
      </c>
      <c r="T2629" s="28"/>
      <c r="U2629" s="28" t="n">
        <f aca="false">T2629*$M2629</f>
        <v>0</v>
      </c>
      <c r="V2629" s="28" t="n">
        <f aca="false">8491/100</f>
        <v>84.91</v>
      </c>
      <c r="W2629" s="28" t="n">
        <v>2547</v>
      </c>
      <c r="X2629" s="28"/>
      <c r="Y2629" s="28" t="n">
        <f aca="false">X2629*$M2629</f>
        <v>0</v>
      </c>
      <c r="Z2629" s="28"/>
      <c r="AA2629" s="28" t="n">
        <f aca="false">Z2629*$M2629</f>
        <v>0</v>
      </c>
      <c r="AB2629" s="28"/>
      <c r="AC2629" s="28" t="n">
        <f aca="false">AB2629*$M2629</f>
        <v>0</v>
      </c>
      <c r="AD2629" s="28"/>
      <c r="AE2629" s="28" t="n">
        <f aca="false">AD2629*$M2629</f>
        <v>0</v>
      </c>
      <c r="AF2629" s="28"/>
      <c r="AG2629" s="28" t="n">
        <f aca="false">AF2629*$M2629</f>
        <v>0</v>
      </c>
      <c r="AH2629" s="28"/>
      <c r="AI2629" s="28" t="n">
        <f aca="false">AH2629*$M2629</f>
        <v>0</v>
      </c>
      <c r="AJ2629" s="28"/>
      <c r="AK2629" s="28" t="n">
        <f aca="false">AJ2629*$M2629</f>
        <v>0</v>
      </c>
      <c r="AL2629" s="28"/>
      <c r="AM2629" s="28" t="n">
        <f aca="false">AL2629*$M2629</f>
        <v>0</v>
      </c>
      <c r="AN2629" s="28"/>
      <c r="AO2629" s="28" t="n">
        <f aca="false">AN2629*$M2629</f>
        <v>0</v>
      </c>
      <c r="AP2629" s="28"/>
      <c r="AQ2629" s="28" t="n">
        <f aca="false">AP2629*$M2629</f>
        <v>0</v>
      </c>
      <c r="AR2629" s="28"/>
      <c r="AS2629" s="28" t="n">
        <f aca="false">AR2629*$M2629</f>
        <v>0</v>
      </c>
      <c r="AT2629" s="28"/>
      <c r="AU2629" s="28" t="n">
        <f aca="false">AT2629*$M2629</f>
        <v>0</v>
      </c>
      <c r="AV2629" s="28"/>
      <c r="AW2629" s="28" t="n">
        <f aca="false">AV2629*$M2629</f>
        <v>0</v>
      </c>
      <c r="AX2629" s="28"/>
      <c r="AY2629" s="28" t="n">
        <f aca="false">AX2629*$M2629</f>
        <v>0</v>
      </c>
      <c r="AZ2629" s="30" t="n">
        <f aca="false">8491/100</f>
        <v>84.91</v>
      </c>
      <c r="BA2629" s="11" t="n">
        <v>2547</v>
      </c>
      <c r="BB2629" s="31" t="n">
        <f aca="false">SUM(Q2629,S2629,U2629,W2629,Y2629,AA2629,AC2629,AE2629,AG2629,AI2629,AK2629,AM2629,AO2629,AQ2629,AS2629,AU2629,AW2629,AY2629)</f>
        <v>2547</v>
      </c>
      <c r="BC2629" s="28" t="n">
        <f aca="false">BA2629-BB2629</f>
        <v>0</v>
      </c>
      <c r="BD2629" s="32" t="n">
        <f aca="false">SUM(P2629,R2629,T2629,V2629,X2629,Z2629,AB2629,AD2629,AF2629,AH2629,AJ2629,AL2629,AN2629,AP2629,AR2629,AT2629,AV2629,AX2629)</f>
        <v>84.91</v>
      </c>
      <c r="BE2629" s="33" t="n">
        <f aca="false">AZ2629-BD2629</f>
        <v>0</v>
      </c>
      <c r="BF2629" s="34" t="n">
        <f aca="false">BD2629*M2629</f>
        <v>2547.3</v>
      </c>
      <c r="BG2629" s="35" t="n">
        <f aca="false">BA2629-BF2629</f>
        <v>-0.299999999999727</v>
      </c>
      <c r="BH2629" s="19" t="str">
        <f aca="false">IF(BG2629=0,"",IF(BG2629&lt;&gt;BA2629,"erreur de calcul",IF(BD2629&lt;&gt;0,"pas de prix",IF(M2629&lt;&gt; 0,"pas de quantité","pas de prix, ni de quantité"))))</f>
        <v>erreur de calcul</v>
      </c>
      <c r="BI2629" s="19"/>
    </row>
    <row r="2630" customFormat="false" ht="15" hidden="false" customHeight="false" outlineLevel="0" collapsed="false">
      <c r="A2630" s="0" t="n">
        <v>7</v>
      </c>
      <c r="B2630" s="8" t="s">
        <v>24</v>
      </c>
      <c r="C2630" s="9" t="s">
        <v>25</v>
      </c>
      <c r="D2630" s="9" t="s">
        <v>26</v>
      </c>
      <c r="E2630" s="10" t="n">
        <v>1789</v>
      </c>
      <c r="F2630" s="9" t="s">
        <v>27</v>
      </c>
      <c r="G2630" s="9" t="s">
        <v>27</v>
      </c>
      <c r="H2630" s="11" t="n">
        <v>23</v>
      </c>
      <c r="I2630" s="11" t="s">
        <v>249</v>
      </c>
      <c r="J2630" s="14" t="n">
        <v>27</v>
      </c>
      <c r="K2630" s="14"/>
      <c r="L2630" s="16"/>
      <c r="M2630" s="27" t="n">
        <f aca="false">J2630+(K2630/20)+(L2630/240)</f>
        <v>27</v>
      </c>
      <c r="N2630" s="17" t="s">
        <v>64</v>
      </c>
      <c r="O2630" s="11"/>
      <c r="P2630" s="28"/>
      <c r="Q2630" s="28" t="n">
        <f aca="false">P2630*$M2630</f>
        <v>0</v>
      </c>
      <c r="R2630" s="28"/>
      <c r="S2630" s="28" t="n">
        <f aca="false">R2630*$M2630</f>
        <v>0</v>
      </c>
      <c r="T2630" s="28"/>
      <c r="U2630" s="28" t="n">
        <f aca="false">T2630*$M2630</f>
        <v>0</v>
      </c>
      <c r="V2630" s="28"/>
      <c r="W2630" s="28" t="n">
        <f aca="false">V2630*$M2630</f>
        <v>0</v>
      </c>
      <c r="X2630" s="28"/>
      <c r="Y2630" s="28" t="n">
        <f aca="false">X2630*$M2630</f>
        <v>0</v>
      </c>
      <c r="Z2630" s="28"/>
      <c r="AA2630" s="28" t="n">
        <f aca="false">Z2630*$M2630</f>
        <v>0</v>
      </c>
      <c r="AB2630" s="28"/>
      <c r="AC2630" s="28" t="n">
        <f aca="false">AB2630*$M2630</f>
        <v>0</v>
      </c>
      <c r="AD2630" s="28"/>
      <c r="AE2630" s="28" t="n">
        <f aca="false">AD2630*$M2630</f>
        <v>0</v>
      </c>
      <c r="AF2630" s="28"/>
      <c r="AG2630" s="28" t="n">
        <f aca="false">AF2630*$M2630</f>
        <v>0</v>
      </c>
      <c r="AH2630" s="28"/>
      <c r="AI2630" s="28" t="n">
        <f aca="false">AH2630*$M2630</f>
        <v>0</v>
      </c>
      <c r="AJ2630" s="28" t="n">
        <f aca="false">168254/100</f>
        <v>1682.54</v>
      </c>
      <c r="AK2630" s="28" t="n">
        <v>45428</v>
      </c>
      <c r="AL2630" s="28"/>
      <c r="AM2630" s="28" t="n">
        <f aca="false">AL2630*$M2630</f>
        <v>0</v>
      </c>
      <c r="AN2630" s="28"/>
      <c r="AO2630" s="28" t="n">
        <f aca="false">AN2630*$M2630</f>
        <v>0</v>
      </c>
      <c r="AP2630" s="28"/>
      <c r="AQ2630" s="28" t="n">
        <f aca="false">AP2630*$M2630</f>
        <v>0</v>
      </c>
      <c r="AR2630" s="28"/>
      <c r="AS2630" s="28" t="n">
        <f aca="false">AR2630*$M2630</f>
        <v>0</v>
      </c>
      <c r="AT2630" s="28"/>
      <c r="AU2630" s="28" t="n">
        <f aca="false">AT2630*$M2630</f>
        <v>0</v>
      </c>
      <c r="AV2630" s="28"/>
      <c r="AW2630" s="28" t="n">
        <f aca="false">AV2630*$M2630</f>
        <v>0</v>
      </c>
      <c r="AX2630" s="28"/>
      <c r="AY2630" s="28" t="n">
        <f aca="false">AX2630*$M2630</f>
        <v>0</v>
      </c>
      <c r="AZ2630" s="30" t="n">
        <f aca="false">168254/100</f>
        <v>1682.54</v>
      </c>
      <c r="BA2630" s="11" t="n">
        <v>45428</v>
      </c>
      <c r="BB2630" s="31" t="n">
        <f aca="false">SUM(Q2630,S2630,U2630,W2630,Y2630,AA2630,AC2630,AE2630,AG2630,AI2630,AK2630,AM2630,AO2630,AQ2630,AS2630,AU2630,AW2630,AY2630)</f>
        <v>45428</v>
      </c>
      <c r="BC2630" s="28" t="n">
        <f aca="false">BA2630-BB2630</f>
        <v>0</v>
      </c>
      <c r="BD2630" s="32" t="n">
        <f aca="false">SUM(P2630,R2630,T2630,V2630,X2630,Z2630,AB2630,AD2630,AF2630,AH2630,AJ2630,AL2630,AN2630,AP2630,AR2630,AT2630,AV2630,AX2630)</f>
        <v>1682.54</v>
      </c>
      <c r="BE2630" s="33" t="n">
        <f aca="false">AZ2630-BD2630</f>
        <v>0</v>
      </c>
      <c r="BF2630" s="34" t="n">
        <f aca="false">BD2630*M2630</f>
        <v>45428.58</v>
      </c>
      <c r="BG2630" s="35" t="n">
        <f aca="false">BA2630-BF2630</f>
        <v>-0.580000000001746</v>
      </c>
      <c r="BH2630" s="19" t="str">
        <f aca="false">IF(BG2630=0,"",IF(BG2630&lt;&gt;BA2630,"erreur de calcul",IF(BD2630&lt;&gt;0,"pas de prix",IF(M2630&lt;&gt; 0,"pas de quantité","pas de prix, ni de quantité"))))</f>
        <v>erreur de calcul</v>
      </c>
      <c r="BI2630" s="19"/>
    </row>
    <row r="2631" customFormat="false" ht="15" hidden="false" customHeight="false" outlineLevel="0" collapsed="false">
      <c r="A2631" s="0" t="n">
        <v>8</v>
      </c>
      <c r="B2631" s="8" t="s">
        <v>24</v>
      </c>
      <c r="C2631" s="9" t="s">
        <v>25</v>
      </c>
      <c r="D2631" s="9" t="s">
        <v>26</v>
      </c>
      <c r="E2631" s="10" t="n">
        <v>1789</v>
      </c>
      <c r="F2631" s="9" t="s">
        <v>27</v>
      </c>
      <c r="G2631" s="9" t="s">
        <v>27</v>
      </c>
      <c r="H2631" s="11" t="n">
        <v>23</v>
      </c>
      <c r="I2631" s="11" t="s">
        <v>250</v>
      </c>
      <c r="J2631" s="14" t="n">
        <v>27</v>
      </c>
      <c r="K2631" s="14"/>
      <c r="L2631" s="16"/>
      <c r="M2631" s="27" t="n">
        <f aca="false">J2631+(K2631/20)+(L2631/240)</f>
        <v>27</v>
      </c>
      <c r="N2631" s="17" t="s">
        <v>64</v>
      </c>
      <c r="O2631" s="11"/>
      <c r="P2631" s="28"/>
      <c r="Q2631" s="28" t="n">
        <f aca="false">P2631*$M2631</f>
        <v>0</v>
      </c>
      <c r="R2631" s="28"/>
      <c r="S2631" s="28" t="n">
        <f aca="false">R2631*$M2631</f>
        <v>0</v>
      </c>
      <c r="T2631" s="28"/>
      <c r="U2631" s="28" t="n">
        <f aca="false">T2631*$M2631</f>
        <v>0</v>
      </c>
      <c r="V2631" s="28"/>
      <c r="W2631" s="28" t="n">
        <f aca="false">V2631*$M2631</f>
        <v>0</v>
      </c>
      <c r="X2631" s="28"/>
      <c r="Y2631" s="28" t="n">
        <f aca="false">X2631*$M2631</f>
        <v>0</v>
      </c>
      <c r="Z2631" s="28"/>
      <c r="AA2631" s="28" t="n">
        <f aca="false">Z2631*$M2631</f>
        <v>0</v>
      </c>
      <c r="AB2631" s="28"/>
      <c r="AC2631" s="28" t="n">
        <f aca="false">AB2631*$M2631</f>
        <v>0</v>
      </c>
      <c r="AD2631" s="28"/>
      <c r="AE2631" s="28" t="n">
        <f aca="false">AD2631*$M2631</f>
        <v>0</v>
      </c>
      <c r="AF2631" s="28"/>
      <c r="AG2631" s="28" t="n">
        <f aca="false">AF2631*$M2631</f>
        <v>0</v>
      </c>
      <c r="AH2631" s="28"/>
      <c r="AI2631" s="28" t="n">
        <f aca="false">AH2631*$M2631</f>
        <v>0</v>
      </c>
      <c r="AJ2631" s="28"/>
      <c r="AK2631" s="28" t="n">
        <f aca="false">AJ2631*$M2631</f>
        <v>0</v>
      </c>
      <c r="AL2631" s="28" t="n">
        <f aca="false">4108/100</f>
        <v>41.08</v>
      </c>
      <c r="AM2631" s="28" t="n">
        <v>1109</v>
      </c>
      <c r="AN2631" s="28"/>
      <c r="AO2631" s="28" t="n">
        <f aca="false">AN2631*$M2631</f>
        <v>0</v>
      </c>
      <c r="AP2631" s="28"/>
      <c r="AQ2631" s="28" t="n">
        <f aca="false">AP2631*$M2631</f>
        <v>0</v>
      </c>
      <c r="AR2631" s="28" t="n">
        <f aca="false">37084/100</f>
        <v>370.84</v>
      </c>
      <c r="AS2631" s="36" t="n">
        <v>9963</v>
      </c>
      <c r="AT2631" s="28"/>
      <c r="AU2631" s="28" t="n">
        <f aca="false">AT2631*$M2631</f>
        <v>0</v>
      </c>
      <c r="AV2631" s="28"/>
      <c r="AW2631" s="28" t="n">
        <f aca="false">AV2631*$M2631</f>
        <v>0</v>
      </c>
      <c r="AX2631" s="28"/>
      <c r="AY2631" s="28" t="n">
        <f aca="false">AX2631*$M2631</f>
        <v>0</v>
      </c>
      <c r="AZ2631" s="30" t="n">
        <f aca="false">41192/100</f>
        <v>411.92</v>
      </c>
      <c r="BA2631" s="11" t="n">
        <v>11072</v>
      </c>
      <c r="BB2631" s="31" t="n">
        <f aca="false">SUM(Q2631,S2631,U2631,W2631,Y2631,AA2631,AC2631,AE2631,AG2631,AI2631,AK2631,AM2631,AO2631,AQ2631,AS2631,AU2631,AW2631,AY2631)</f>
        <v>11072</v>
      </c>
      <c r="BC2631" s="28" t="n">
        <f aca="false">BA2631-BB2631</f>
        <v>0</v>
      </c>
      <c r="BD2631" s="32" t="n">
        <f aca="false">SUM(P2631,R2631,T2631,V2631,X2631,Z2631,AB2631,AD2631,AF2631,AH2631,AJ2631,AL2631,AN2631,AP2631,AR2631,AT2631,AV2631,AX2631)</f>
        <v>411.92</v>
      </c>
      <c r="BE2631" s="33" t="n">
        <f aca="false">AZ2631-BD2631</f>
        <v>0</v>
      </c>
      <c r="BF2631" s="34" t="n">
        <f aca="false">BD2631*M2631</f>
        <v>11121.84</v>
      </c>
      <c r="BG2631" s="35" t="n">
        <f aca="false">BA2631-BF2631</f>
        <v>-49.8399999999983</v>
      </c>
      <c r="BH2631" s="19" t="str">
        <f aca="false">IF(BG2631=0,"",IF(BG2631&lt;&gt;BA2631,"erreur de calcul",IF(BD2631&lt;&gt;0,"pas de prix",IF(M2631&lt;&gt; 0,"pas de quantité","pas de prix, ni de quantité"))))</f>
        <v>erreur de calcul</v>
      </c>
      <c r="BI2631" s="19"/>
    </row>
    <row r="2632" customFormat="false" ht="15" hidden="false" customHeight="false" outlineLevel="0" collapsed="false">
      <c r="A2632" s="0" t="n">
        <v>9</v>
      </c>
      <c r="B2632" s="8" t="s">
        <v>24</v>
      </c>
      <c r="C2632" s="9" t="s">
        <v>25</v>
      </c>
      <c r="D2632" s="9" t="s">
        <v>26</v>
      </c>
      <c r="E2632" s="10" t="n">
        <v>1789</v>
      </c>
      <c r="F2632" s="9" t="s">
        <v>27</v>
      </c>
      <c r="G2632" s="9" t="s">
        <v>27</v>
      </c>
      <c r="H2632" s="11" t="n">
        <v>23</v>
      </c>
      <c r="I2632" s="11" t="s">
        <v>251</v>
      </c>
      <c r="J2632" s="14" t="n">
        <v>6</v>
      </c>
      <c r="K2632" s="14"/>
      <c r="L2632" s="16"/>
      <c r="M2632" s="27" t="n">
        <f aca="false">J2632+(K2632/20)+(L2632/240)</f>
        <v>6</v>
      </c>
      <c r="N2632" s="17" t="s">
        <v>64</v>
      </c>
      <c r="O2632" s="11"/>
      <c r="P2632" s="28"/>
      <c r="Q2632" s="28" t="n">
        <f aca="false">P2632*$M2632</f>
        <v>0</v>
      </c>
      <c r="R2632" s="28"/>
      <c r="S2632" s="28" t="n">
        <f aca="false">R2632*$M2632</f>
        <v>0</v>
      </c>
      <c r="T2632" s="28"/>
      <c r="U2632" s="28" t="n">
        <f aca="false">T2632*$M2632</f>
        <v>0</v>
      </c>
      <c r="V2632" s="28"/>
      <c r="W2632" s="28" t="n">
        <f aca="false">V2632*$M2632</f>
        <v>0</v>
      </c>
      <c r="X2632" s="28"/>
      <c r="Y2632" s="28" t="n">
        <f aca="false">X2632*$M2632</f>
        <v>0</v>
      </c>
      <c r="Z2632" s="28"/>
      <c r="AA2632" s="28" t="n">
        <f aca="false">Z2632*$M2632</f>
        <v>0</v>
      </c>
      <c r="AB2632" s="28"/>
      <c r="AC2632" s="28" t="n">
        <f aca="false">AB2632*$M2632</f>
        <v>0</v>
      </c>
      <c r="AD2632" s="28"/>
      <c r="AE2632" s="28" t="n">
        <f aca="false">AD2632*$M2632</f>
        <v>0</v>
      </c>
      <c r="AF2632" s="28"/>
      <c r="AG2632" s="28" t="n">
        <f aca="false">AF2632*$M2632</f>
        <v>0</v>
      </c>
      <c r="AH2632" s="28"/>
      <c r="AI2632" s="28" t="n">
        <f aca="false">AH2632*$M2632</f>
        <v>0</v>
      </c>
      <c r="AJ2632" s="28"/>
      <c r="AK2632" s="28" t="n">
        <f aca="false">AJ2632*$M2632</f>
        <v>0</v>
      </c>
      <c r="AL2632" s="28"/>
      <c r="AM2632" s="28" t="n">
        <f aca="false">AL2632*$M2632</f>
        <v>0</v>
      </c>
      <c r="AN2632" s="28"/>
      <c r="AO2632" s="28" t="n">
        <f aca="false">AN2632*$M2632</f>
        <v>0</v>
      </c>
      <c r="AP2632" s="28"/>
      <c r="AQ2632" s="28" t="n">
        <f aca="false">AP2632*$M2632</f>
        <v>0</v>
      </c>
      <c r="AR2632" s="28"/>
      <c r="AS2632" s="28" t="n">
        <f aca="false">AR2632*$M2632</f>
        <v>0</v>
      </c>
      <c r="AT2632" s="28"/>
      <c r="AU2632" s="28" t="n">
        <f aca="false">AT2632*$M2632</f>
        <v>0</v>
      </c>
      <c r="AV2632" s="28"/>
      <c r="AW2632" s="28" t="n">
        <f aca="false">AV2632*$M2632</f>
        <v>0</v>
      </c>
      <c r="AX2632" s="28"/>
      <c r="AY2632" s="28" t="n">
        <f aca="false">AX2632*$M2632</f>
        <v>0</v>
      </c>
      <c r="AZ2632" s="30"/>
      <c r="BA2632" s="11"/>
      <c r="BB2632" s="31" t="n">
        <f aca="false">SUM(Q2632,S2632,U2632,W2632,Y2632,AA2632,AC2632,AE2632,AG2632,AI2632,AK2632,AM2632,AO2632,AQ2632,AS2632,AU2632,AW2632,AY2632)</f>
        <v>0</v>
      </c>
      <c r="BC2632" s="28" t="n">
        <f aca="false">BA2632-BB2632</f>
        <v>0</v>
      </c>
      <c r="BD2632" s="32" t="n">
        <f aca="false">SUM(P2632,R2632,T2632,V2632,X2632,Z2632,AB2632,AD2632,AF2632,AH2632,AJ2632,AL2632,AN2632,AP2632,AR2632,AT2632,AV2632,AX2632)</f>
        <v>0</v>
      </c>
      <c r="BE2632" s="33" t="n">
        <f aca="false">AZ2632-BD2632</f>
        <v>0</v>
      </c>
      <c r="BF2632" s="34" t="n">
        <f aca="false">BD2632*M2632</f>
        <v>0</v>
      </c>
      <c r="BG2632" s="35" t="n">
        <f aca="false">BA2632-BF2632</f>
        <v>0</v>
      </c>
      <c r="BH2632" s="19" t="str">
        <f aca="false">IF(BG2632=0,"",IF(BG2632&lt;&gt;BA2632,"erreur de calcul",IF(BD2632&lt;&gt;0,"pas de prix",IF(M2632&lt;&gt; 0,"pas de quantité","pas de prix, ni de quantité"))))</f>
        <v/>
      </c>
      <c r="BI2632" s="19"/>
    </row>
    <row r="2633" customFormat="false" ht="15" hidden="false" customHeight="false" outlineLevel="0" collapsed="false">
      <c r="A2633" s="0" t="n">
        <v>10</v>
      </c>
      <c r="B2633" s="8" t="s">
        <v>24</v>
      </c>
      <c r="C2633" s="9" t="s">
        <v>25</v>
      </c>
      <c r="D2633" s="9" t="s">
        <v>26</v>
      </c>
      <c r="E2633" s="10" t="n">
        <v>1789</v>
      </c>
      <c r="F2633" s="9" t="s">
        <v>27</v>
      </c>
      <c r="G2633" s="9" t="s">
        <v>27</v>
      </c>
      <c r="H2633" s="11" t="n">
        <v>23</v>
      </c>
      <c r="I2633" s="11" t="s">
        <v>252</v>
      </c>
      <c r="J2633" s="14" t="n">
        <v>240</v>
      </c>
      <c r="K2633" s="14"/>
      <c r="L2633" s="16"/>
      <c r="M2633" s="27" t="n">
        <f aca="false">J2633+(K2633/20)+(L2633/240)</f>
        <v>240</v>
      </c>
      <c r="N2633" s="17" t="s">
        <v>64</v>
      </c>
      <c r="O2633" s="11"/>
      <c r="P2633" s="28"/>
      <c r="Q2633" s="28" t="n">
        <f aca="false">P2633*$M2633</f>
        <v>0</v>
      </c>
      <c r="R2633" s="28"/>
      <c r="S2633" s="28" t="n">
        <f aca="false">R2633*$M2633</f>
        <v>0</v>
      </c>
      <c r="T2633" s="28" t="n">
        <f aca="false">4204/100</f>
        <v>42.04</v>
      </c>
      <c r="U2633" s="28" t="n">
        <v>10090</v>
      </c>
      <c r="V2633" s="28" t="n">
        <f aca="false">2799/100</f>
        <v>27.99</v>
      </c>
      <c r="W2633" s="28" t="n">
        <v>6718</v>
      </c>
      <c r="X2633" s="28" t="n">
        <f aca="false">2536/100</f>
        <v>25.36</v>
      </c>
      <c r="Y2633" s="28" t="n">
        <v>6086</v>
      </c>
      <c r="Z2633" s="28" t="n">
        <f aca="false">3393/100</f>
        <v>33.93</v>
      </c>
      <c r="AA2633" s="28" t="n">
        <v>8143</v>
      </c>
      <c r="AB2633" s="28" t="n">
        <f aca="false">242/100</f>
        <v>2.42</v>
      </c>
      <c r="AC2633" s="28" t="n">
        <v>581</v>
      </c>
      <c r="AD2633" s="28"/>
      <c r="AE2633" s="28" t="n">
        <f aca="false">AD2633*$M2633</f>
        <v>0</v>
      </c>
      <c r="AF2633" s="28"/>
      <c r="AG2633" s="28" t="n">
        <f aca="false">AF2633*$M2633</f>
        <v>0</v>
      </c>
      <c r="AH2633" s="28"/>
      <c r="AI2633" s="28" t="n">
        <f aca="false">AH2633*$M2633</f>
        <v>0</v>
      </c>
      <c r="AJ2633" s="28"/>
      <c r="AK2633" s="28" t="n">
        <f aca="false">AJ2633*$M2633</f>
        <v>0</v>
      </c>
      <c r="AL2633" s="28"/>
      <c r="AM2633" s="28" t="n">
        <f aca="false">AL2633*$M2633</f>
        <v>0</v>
      </c>
      <c r="AN2633" s="28"/>
      <c r="AO2633" s="28" t="n">
        <f aca="false">AN2633*$M2633</f>
        <v>0</v>
      </c>
      <c r="AP2633" s="28"/>
      <c r="AQ2633" s="28" t="n">
        <f aca="false">AP2633*$M2633</f>
        <v>0</v>
      </c>
      <c r="AR2633" s="28"/>
      <c r="AS2633" s="28" t="n">
        <f aca="false">AR2633*$M2633</f>
        <v>0</v>
      </c>
      <c r="AT2633" s="28"/>
      <c r="AU2633" s="28" t="n">
        <f aca="false">AT2633*$M2633</f>
        <v>0</v>
      </c>
      <c r="AV2633" s="28"/>
      <c r="AW2633" s="28" t="n">
        <f aca="false">AV2633*$M2633</f>
        <v>0</v>
      </c>
      <c r="AX2633" s="28"/>
      <c r="AY2633" s="28" t="n">
        <f aca="false">AX2633*$M2633</f>
        <v>0</v>
      </c>
      <c r="AZ2633" s="30" t="n">
        <f aca="false">13174/100</f>
        <v>131.74</v>
      </c>
      <c r="BA2633" s="11" t="n">
        <v>31618</v>
      </c>
      <c r="BB2633" s="31" t="n">
        <f aca="false">SUM(Q2633,S2633,U2633,W2633,Y2633,AA2633,AC2633,AE2633,AG2633,AI2633,AK2633,AM2633,AO2633,AQ2633,AS2633,AU2633,AW2633,AY2633)</f>
        <v>31618</v>
      </c>
      <c r="BC2633" s="28" t="n">
        <f aca="false">BA2633-BB2633</f>
        <v>0</v>
      </c>
      <c r="BD2633" s="32" t="n">
        <f aca="false">SUM(P2633,R2633,T2633,V2633,X2633,Z2633,AB2633,AD2633,AF2633,AH2633,AJ2633,AL2633,AN2633,AP2633,AR2633,AT2633,AV2633,AX2633)</f>
        <v>131.74</v>
      </c>
      <c r="BE2633" s="33" t="n">
        <f aca="false">AZ2633-BD2633</f>
        <v>0</v>
      </c>
      <c r="BF2633" s="34" t="n">
        <f aca="false">BD2633*M2633</f>
        <v>31617.6</v>
      </c>
      <c r="BG2633" s="35" t="n">
        <f aca="false">BA2633-BF2633</f>
        <v>0.399999999997817</v>
      </c>
      <c r="BH2633" s="19" t="str">
        <f aca="false">IF(BG2633=0,"",IF(BG2633&lt;&gt;BA2633,"erreur de calcul",IF(BD2633&lt;&gt;0,"pas de prix",IF(M2633&lt;&gt; 0,"pas de quantité","pas de prix, ni de quantité"))))</f>
        <v>erreur de calcul</v>
      </c>
      <c r="BI2633" s="19"/>
    </row>
    <row r="2634" customFormat="false" ht="15" hidden="false" customHeight="false" outlineLevel="0" collapsed="false">
      <c r="A2634" s="0" t="n">
        <v>11</v>
      </c>
      <c r="B2634" s="8" t="s">
        <v>24</v>
      </c>
      <c r="C2634" s="9" t="s">
        <v>25</v>
      </c>
      <c r="D2634" s="9" t="s">
        <v>26</v>
      </c>
      <c r="E2634" s="10" t="n">
        <v>1789</v>
      </c>
      <c r="F2634" s="9" t="s">
        <v>27</v>
      </c>
      <c r="G2634" s="9" t="s">
        <v>27</v>
      </c>
      <c r="H2634" s="11" t="n">
        <v>23</v>
      </c>
      <c r="I2634" s="11" t="s">
        <v>253</v>
      </c>
      <c r="J2634" s="14" t="n">
        <v>190</v>
      </c>
      <c r="K2634" s="14"/>
      <c r="L2634" s="16"/>
      <c r="M2634" s="27" t="n">
        <f aca="false">J2634+(K2634/20)+(L2634/240)</f>
        <v>190</v>
      </c>
      <c r="N2634" s="17" t="s">
        <v>64</v>
      </c>
      <c r="O2634" s="11"/>
      <c r="P2634" s="28"/>
      <c r="Q2634" s="28" t="n">
        <f aca="false">P2634*$M2634</f>
        <v>0</v>
      </c>
      <c r="R2634" s="28"/>
      <c r="S2634" s="28" t="n">
        <f aca="false">R2634*$M2634</f>
        <v>0</v>
      </c>
      <c r="T2634" s="28"/>
      <c r="U2634" s="28" t="n">
        <f aca="false">T2634*$M2634</f>
        <v>0</v>
      </c>
      <c r="V2634" s="28" t="n">
        <f aca="false">14963/100</f>
        <v>149.63</v>
      </c>
      <c r="W2634" s="36" t="n">
        <v>28420</v>
      </c>
      <c r="X2634" s="28"/>
      <c r="Y2634" s="28" t="n">
        <f aca="false">X2634*$M2634</f>
        <v>0</v>
      </c>
      <c r="Z2634" s="28"/>
      <c r="AA2634" s="28" t="n">
        <f aca="false">Z2634*$M2634</f>
        <v>0</v>
      </c>
      <c r="AB2634" s="28"/>
      <c r="AC2634" s="28" t="n">
        <f aca="false">AB2634*$M2634</f>
        <v>0</v>
      </c>
      <c r="AD2634" s="28"/>
      <c r="AE2634" s="28" t="n">
        <f aca="false">AD2634*$M2634</f>
        <v>0</v>
      </c>
      <c r="AF2634" s="28"/>
      <c r="AG2634" s="28" t="n">
        <f aca="false">AF2634*$M2634</f>
        <v>0</v>
      </c>
      <c r="AH2634" s="28"/>
      <c r="AI2634" s="28" t="n">
        <f aca="false">AH2634*$M2634</f>
        <v>0</v>
      </c>
      <c r="AJ2634" s="28"/>
      <c r="AK2634" s="28" t="n">
        <f aca="false">AJ2634*$M2634</f>
        <v>0</v>
      </c>
      <c r="AL2634" s="28"/>
      <c r="AM2634" s="28" t="n">
        <f aca="false">AL2634*$M2634</f>
        <v>0</v>
      </c>
      <c r="AN2634" s="28"/>
      <c r="AO2634" s="28" t="n">
        <f aca="false">AN2634*$M2634</f>
        <v>0</v>
      </c>
      <c r="AP2634" s="28"/>
      <c r="AQ2634" s="28" t="n">
        <f aca="false">AP2634*$M2634</f>
        <v>0</v>
      </c>
      <c r="AR2634" s="28"/>
      <c r="AS2634" s="28" t="n">
        <f aca="false">AR2634*$M2634</f>
        <v>0</v>
      </c>
      <c r="AT2634" s="28"/>
      <c r="AU2634" s="28" t="n">
        <f aca="false">AT2634*$M2634</f>
        <v>0</v>
      </c>
      <c r="AV2634" s="28"/>
      <c r="AW2634" s="28" t="n">
        <f aca="false">AV2634*$M2634</f>
        <v>0</v>
      </c>
      <c r="AX2634" s="28"/>
      <c r="AY2634" s="28" t="n">
        <f aca="false">AX2634*$M2634</f>
        <v>0</v>
      </c>
      <c r="AZ2634" s="30" t="n">
        <f aca="false">14963/100</f>
        <v>149.63</v>
      </c>
      <c r="BA2634" s="11" t="n">
        <v>28420</v>
      </c>
      <c r="BB2634" s="31" t="n">
        <f aca="false">SUM(Q2634,S2634,U2634,W2634,Y2634,AA2634,AC2634,AE2634,AG2634,AI2634,AK2634,AM2634,AO2634,AQ2634,AS2634,AU2634,AW2634,AY2634)</f>
        <v>28420</v>
      </c>
      <c r="BC2634" s="28" t="n">
        <f aca="false">BA2634-BB2634</f>
        <v>0</v>
      </c>
      <c r="BD2634" s="32" t="n">
        <f aca="false">SUM(P2634,R2634,T2634,V2634,X2634,Z2634,AB2634,AD2634,AF2634,AH2634,AJ2634,AL2634,AN2634,AP2634,AR2634,AT2634,AV2634,AX2634)</f>
        <v>149.63</v>
      </c>
      <c r="BE2634" s="33" t="n">
        <f aca="false">AZ2634-BD2634</f>
        <v>0</v>
      </c>
      <c r="BF2634" s="34" t="n">
        <f aca="false">BD2634*M2634</f>
        <v>28429.7</v>
      </c>
      <c r="BG2634" s="35" t="n">
        <f aca="false">BA2634-BF2634</f>
        <v>-9.70000000000073</v>
      </c>
      <c r="BH2634" s="19" t="str">
        <f aca="false">IF(BG2634=0,"",IF(BG2634&lt;&gt;BA2634,"erreur de calcul",IF(BD2634&lt;&gt;0,"pas de prix",IF(M2634&lt;&gt; 0,"pas de quantité","pas de prix, ni de quantité"))))</f>
        <v>erreur de calcul</v>
      </c>
      <c r="BI2634" s="19"/>
    </row>
    <row r="2635" customFormat="false" ht="15" hidden="false" customHeight="false" outlineLevel="0" collapsed="false">
      <c r="A2635" s="0" t="n">
        <v>12</v>
      </c>
      <c r="B2635" s="8" t="s">
        <v>24</v>
      </c>
      <c r="C2635" s="9" t="s">
        <v>25</v>
      </c>
      <c r="D2635" s="9" t="s">
        <v>26</v>
      </c>
      <c r="E2635" s="10" t="n">
        <v>1789</v>
      </c>
      <c r="F2635" s="9" t="s">
        <v>27</v>
      </c>
      <c r="G2635" s="9" t="s">
        <v>27</v>
      </c>
      <c r="H2635" s="11" t="n">
        <v>23</v>
      </c>
      <c r="I2635" s="11" t="s">
        <v>254</v>
      </c>
      <c r="J2635" s="14" t="n">
        <v>14</v>
      </c>
      <c r="K2635" s="14"/>
      <c r="L2635" s="16"/>
      <c r="M2635" s="27" t="n">
        <f aca="false">J2635+(K2635/20)+(L2635/240)</f>
        <v>14</v>
      </c>
      <c r="N2635" s="17" t="s">
        <v>64</v>
      </c>
      <c r="O2635" s="11"/>
      <c r="P2635" s="28"/>
      <c r="Q2635" s="28" t="n">
        <f aca="false">P2635*$M2635</f>
        <v>0</v>
      </c>
      <c r="R2635" s="28"/>
      <c r="S2635" s="28" t="n">
        <f aca="false">R2635*$M2635</f>
        <v>0</v>
      </c>
      <c r="T2635" s="28"/>
      <c r="U2635" s="28" t="n">
        <f aca="false">T2635*$M2635</f>
        <v>0</v>
      </c>
      <c r="V2635" s="28"/>
      <c r="W2635" s="28" t="n">
        <f aca="false">V2635*$M2635</f>
        <v>0</v>
      </c>
      <c r="X2635" s="28" t="n">
        <f aca="false">445483/100</f>
        <v>4454.83</v>
      </c>
      <c r="Y2635" s="28" t="n">
        <v>62368</v>
      </c>
      <c r="Z2635" s="28"/>
      <c r="AA2635" s="28" t="n">
        <f aca="false">Z2635*$M2635</f>
        <v>0</v>
      </c>
      <c r="AB2635" s="28"/>
      <c r="AC2635" s="28" t="n">
        <f aca="false">AB2635*$M2635</f>
        <v>0</v>
      </c>
      <c r="AD2635" s="28"/>
      <c r="AE2635" s="28" t="n">
        <f aca="false">AD2635*$M2635</f>
        <v>0</v>
      </c>
      <c r="AF2635" s="28"/>
      <c r="AG2635" s="28" t="n">
        <f aca="false">AF2635*$M2635</f>
        <v>0</v>
      </c>
      <c r="AH2635" s="28"/>
      <c r="AI2635" s="28" t="n">
        <f aca="false">AH2635*$M2635</f>
        <v>0</v>
      </c>
      <c r="AJ2635" s="28"/>
      <c r="AK2635" s="28" t="n">
        <f aca="false">AJ2635*$M2635</f>
        <v>0</v>
      </c>
      <c r="AL2635" s="28"/>
      <c r="AM2635" s="28" t="n">
        <f aca="false">AL2635*$M2635</f>
        <v>0</v>
      </c>
      <c r="AN2635" s="28"/>
      <c r="AO2635" s="28" t="n">
        <f aca="false">AN2635*$M2635</f>
        <v>0</v>
      </c>
      <c r="AP2635" s="28"/>
      <c r="AQ2635" s="28" t="n">
        <f aca="false">AP2635*$M2635</f>
        <v>0</v>
      </c>
      <c r="AR2635" s="28"/>
      <c r="AS2635" s="28" t="n">
        <f aca="false">AR2635*$M2635</f>
        <v>0</v>
      </c>
      <c r="AT2635" s="28"/>
      <c r="AU2635" s="28" t="n">
        <f aca="false">AT2635*$M2635</f>
        <v>0</v>
      </c>
      <c r="AV2635" s="28"/>
      <c r="AW2635" s="28" t="n">
        <f aca="false">AV2635*$M2635</f>
        <v>0</v>
      </c>
      <c r="AX2635" s="28"/>
      <c r="AY2635" s="28" t="n">
        <f aca="false">AX2635*$M2635</f>
        <v>0</v>
      </c>
      <c r="AZ2635" s="30" t="n">
        <f aca="false">445483/100</f>
        <v>4454.83</v>
      </c>
      <c r="BA2635" s="11" t="n">
        <v>62368</v>
      </c>
      <c r="BB2635" s="31" t="n">
        <f aca="false">SUM(Q2635,S2635,U2635,W2635,Y2635,AA2635,AC2635,AE2635,AG2635,AI2635,AK2635,AM2635,AO2635,AQ2635,AS2635,AU2635,AW2635,AY2635)</f>
        <v>62368</v>
      </c>
      <c r="BC2635" s="28" t="n">
        <f aca="false">BA2635-BB2635</f>
        <v>0</v>
      </c>
      <c r="BD2635" s="32" t="n">
        <f aca="false">SUM(P2635,R2635,T2635,V2635,X2635,Z2635,AB2635,AD2635,AF2635,AH2635,AJ2635,AL2635,AN2635,AP2635,AR2635,AT2635,AV2635,AX2635)</f>
        <v>4454.83</v>
      </c>
      <c r="BE2635" s="33" t="n">
        <f aca="false">AZ2635-BD2635</f>
        <v>0</v>
      </c>
      <c r="BF2635" s="34" t="n">
        <f aca="false">BD2635*M2635</f>
        <v>62367.62</v>
      </c>
      <c r="BG2635" s="35" t="n">
        <f aca="false">BA2635-BF2635</f>
        <v>0.380000000004657</v>
      </c>
      <c r="BH2635" s="19" t="str">
        <f aca="false">IF(BG2635=0,"",IF(BG2635&lt;&gt;BA2635,"erreur de calcul",IF(BD2635&lt;&gt;0,"pas de prix",IF(M2635&lt;&gt; 0,"pas de quantité","pas de prix, ni de quantité"))))</f>
        <v>erreur de calcul</v>
      </c>
      <c r="BI2635" s="19"/>
    </row>
    <row r="2636" customFormat="false" ht="15" hidden="false" customHeight="false" outlineLevel="0" collapsed="false">
      <c r="A2636" s="0" t="n">
        <v>13</v>
      </c>
      <c r="B2636" s="8" t="s">
        <v>24</v>
      </c>
      <c r="C2636" s="9" t="s">
        <v>25</v>
      </c>
      <c r="D2636" s="9" t="s">
        <v>26</v>
      </c>
      <c r="E2636" s="10" t="n">
        <v>1789</v>
      </c>
      <c r="F2636" s="9" t="s">
        <v>27</v>
      </c>
      <c r="G2636" s="9" t="s">
        <v>27</v>
      </c>
      <c r="H2636" s="11" t="n">
        <v>23</v>
      </c>
      <c r="I2636" s="11" t="s">
        <v>255</v>
      </c>
      <c r="J2636" s="14" t="n">
        <v>6</v>
      </c>
      <c r="K2636" s="14"/>
      <c r="L2636" s="16"/>
      <c r="M2636" s="27" t="n">
        <f aca="false">J2636+(K2636/20)+(L2636/240)</f>
        <v>6</v>
      </c>
      <c r="N2636" s="17" t="s">
        <v>64</v>
      </c>
      <c r="O2636" s="11"/>
      <c r="P2636" s="28"/>
      <c r="Q2636" s="28" t="n">
        <f aca="false">P2636*$M2636</f>
        <v>0</v>
      </c>
      <c r="R2636" s="28"/>
      <c r="S2636" s="28" t="n">
        <f aca="false">R2636*$M2636</f>
        <v>0</v>
      </c>
      <c r="T2636" s="28"/>
      <c r="U2636" s="28" t="n">
        <f aca="false">T2636*$M2636</f>
        <v>0</v>
      </c>
      <c r="V2636" s="28" t="n">
        <f aca="false">8263/100</f>
        <v>82.63</v>
      </c>
      <c r="W2636" s="28" t="n">
        <v>496</v>
      </c>
      <c r="X2636" s="28"/>
      <c r="Y2636" s="28" t="n">
        <f aca="false">X2636*$M2636</f>
        <v>0</v>
      </c>
      <c r="Z2636" s="28" t="n">
        <f aca="false">62695/100</f>
        <v>626.95</v>
      </c>
      <c r="AA2636" s="28" t="n">
        <v>3762</v>
      </c>
      <c r="AB2636" s="28"/>
      <c r="AC2636" s="28" t="n">
        <f aca="false">AB2636*$M2636</f>
        <v>0</v>
      </c>
      <c r="AD2636" s="28"/>
      <c r="AE2636" s="28" t="n">
        <f aca="false">AD2636*$M2636</f>
        <v>0</v>
      </c>
      <c r="AF2636" s="28"/>
      <c r="AG2636" s="28" t="n">
        <f aca="false">AF2636*$M2636</f>
        <v>0</v>
      </c>
      <c r="AH2636" s="28"/>
      <c r="AI2636" s="28" t="n">
        <f aca="false">AH2636*$M2636</f>
        <v>0</v>
      </c>
      <c r="AJ2636" s="28"/>
      <c r="AK2636" s="28" t="n">
        <f aca="false">AJ2636*$M2636</f>
        <v>0</v>
      </c>
      <c r="AL2636" s="28"/>
      <c r="AM2636" s="28" t="n">
        <f aca="false">AL2636*$M2636</f>
        <v>0</v>
      </c>
      <c r="AN2636" s="28"/>
      <c r="AO2636" s="28" t="n">
        <f aca="false">AN2636*$M2636</f>
        <v>0</v>
      </c>
      <c r="AP2636" s="28"/>
      <c r="AQ2636" s="28" t="n">
        <f aca="false">AP2636*$M2636</f>
        <v>0</v>
      </c>
      <c r="AR2636" s="28"/>
      <c r="AS2636" s="28" t="n">
        <f aca="false">AR2636*$M2636</f>
        <v>0</v>
      </c>
      <c r="AT2636" s="28"/>
      <c r="AU2636" s="28" t="n">
        <f aca="false">AT2636*$M2636</f>
        <v>0</v>
      </c>
      <c r="AV2636" s="28"/>
      <c r="AW2636" s="28" t="n">
        <f aca="false">AV2636*$M2636</f>
        <v>0</v>
      </c>
      <c r="AX2636" s="28"/>
      <c r="AY2636" s="28" t="n">
        <f aca="false">AX2636*$M2636</f>
        <v>0</v>
      </c>
      <c r="AZ2636" s="30" t="n">
        <f aca="false">70958/100</f>
        <v>709.58</v>
      </c>
      <c r="BA2636" s="11" t="n">
        <v>4258</v>
      </c>
      <c r="BB2636" s="31" t="n">
        <f aca="false">SUM(Q2636,S2636,U2636,W2636,Y2636,AA2636,AC2636,AE2636,AG2636,AI2636,AK2636,AM2636,AO2636,AQ2636,AS2636,AU2636,AW2636,AY2636)</f>
        <v>4258</v>
      </c>
      <c r="BC2636" s="28" t="n">
        <f aca="false">BA2636-BB2636</f>
        <v>0</v>
      </c>
      <c r="BD2636" s="32" t="n">
        <f aca="false">SUM(P2636,R2636,T2636,V2636,X2636,Z2636,AB2636,AD2636,AF2636,AH2636,AJ2636,AL2636,AN2636,AP2636,AR2636,AT2636,AV2636,AX2636)</f>
        <v>709.58</v>
      </c>
      <c r="BE2636" s="33" t="n">
        <f aca="false">AZ2636-BD2636</f>
        <v>0</v>
      </c>
      <c r="BF2636" s="34" t="n">
        <f aca="false">BD2636*M2636</f>
        <v>4257.48</v>
      </c>
      <c r="BG2636" s="35" t="n">
        <f aca="false">BA2636-BF2636</f>
        <v>0.519999999999527</v>
      </c>
      <c r="BH2636" s="19" t="str">
        <f aca="false">IF(BG2636=0,"",IF(BG2636&lt;&gt;BA2636,"erreur de calcul",IF(BD2636&lt;&gt;0,"pas de prix",IF(M2636&lt;&gt; 0,"pas de quantité","pas de prix, ni de quantité"))))</f>
        <v>erreur de calcul</v>
      </c>
      <c r="BI2636" s="19"/>
    </row>
    <row r="2637" customFormat="false" ht="15" hidden="false" customHeight="false" outlineLevel="0" collapsed="false">
      <c r="A2637" s="0" t="n">
        <v>14</v>
      </c>
      <c r="B2637" s="8" t="s">
        <v>24</v>
      </c>
      <c r="C2637" s="9" t="s">
        <v>25</v>
      </c>
      <c r="D2637" s="9" t="s">
        <v>26</v>
      </c>
      <c r="E2637" s="10" t="n">
        <v>1789</v>
      </c>
      <c r="F2637" s="9" t="s">
        <v>27</v>
      </c>
      <c r="G2637" s="9" t="s">
        <v>27</v>
      </c>
      <c r="H2637" s="11" t="n">
        <v>23</v>
      </c>
      <c r="I2637" s="11" t="s">
        <v>256</v>
      </c>
      <c r="J2637" s="14" t="n">
        <v>30</v>
      </c>
      <c r="K2637" s="14"/>
      <c r="L2637" s="16"/>
      <c r="M2637" s="27" t="n">
        <f aca="false">J2637+(K2637/20)+(L2637/240)</f>
        <v>30</v>
      </c>
      <c r="N2637" s="17" t="s">
        <v>64</v>
      </c>
      <c r="O2637" s="11"/>
      <c r="P2637" s="28" t="n">
        <f aca="false">1584/100</f>
        <v>15.84</v>
      </c>
      <c r="Q2637" s="28" t="n">
        <v>475</v>
      </c>
      <c r="R2637" s="28"/>
      <c r="S2637" s="28" t="n">
        <f aca="false">R2637*$M2637</f>
        <v>0</v>
      </c>
      <c r="T2637" s="28" t="n">
        <f aca="false">78834/100</f>
        <v>788.34</v>
      </c>
      <c r="U2637" s="28" t="n">
        <v>23650</v>
      </c>
      <c r="V2637" s="28"/>
      <c r="W2637" s="28" t="n">
        <f aca="false">V2637*$M2637</f>
        <v>0</v>
      </c>
      <c r="X2637" s="28"/>
      <c r="Y2637" s="28" t="n">
        <f aca="false">X2637*$M2637</f>
        <v>0</v>
      </c>
      <c r="Z2637" s="28"/>
      <c r="AA2637" s="28" t="n">
        <f aca="false">Z2637*$M2637</f>
        <v>0</v>
      </c>
      <c r="AB2637" s="28"/>
      <c r="AC2637" s="28" t="n">
        <f aca="false">AB2637*$M2637</f>
        <v>0</v>
      </c>
      <c r="AD2637" s="28"/>
      <c r="AE2637" s="28" t="n">
        <f aca="false">AD2637*$M2637</f>
        <v>0</v>
      </c>
      <c r="AF2637" s="28"/>
      <c r="AG2637" s="28" t="n">
        <f aca="false">AF2637*$M2637</f>
        <v>0</v>
      </c>
      <c r="AH2637" s="28"/>
      <c r="AI2637" s="28" t="n">
        <f aca="false">AH2637*$M2637</f>
        <v>0</v>
      </c>
      <c r="AJ2637" s="28"/>
      <c r="AK2637" s="28" t="n">
        <f aca="false">AJ2637*$M2637</f>
        <v>0</v>
      </c>
      <c r="AL2637" s="28"/>
      <c r="AM2637" s="28" t="n">
        <f aca="false">AL2637*$M2637</f>
        <v>0</v>
      </c>
      <c r="AN2637" s="28"/>
      <c r="AO2637" s="28" t="n">
        <f aca="false">AN2637*$M2637</f>
        <v>0</v>
      </c>
      <c r="AP2637" s="28"/>
      <c r="AQ2637" s="28" t="n">
        <f aca="false">AP2637*$M2637</f>
        <v>0</v>
      </c>
      <c r="AR2637" s="28"/>
      <c r="AS2637" s="28" t="n">
        <f aca="false">AR2637*$M2637</f>
        <v>0</v>
      </c>
      <c r="AT2637" s="28"/>
      <c r="AU2637" s="28" t="n">
        <f aca="false">AT2637*$M2637</f>
        <v>0</v>
      </c>
      <c r="AV2637" s="28"/>
      <c r="AW2637" s="28" t="n">
        <f aca="false">AV2637*$M2637</f>
        <v>0</v>
      </c>
      <c r="AX2637" s="28"/>
      <c r="AY2637" s="28" t="n">
        <f aca="false">AX2637*$M2637</f>
        <v>0</v>
      </c>
      <c r="AZ2637" s="30" t="n">
        <f aca="false">80418/100</f>
        <v>804.18</v>
      </c>
      <c r="BA2637" s="11" t="n">
        <v>24125</v>
      </c>
      <c r="BB2637" s="31" t="n">
        <f aca="false">SUM(Q2637,S2637,U2637,W2637,Y2637,AA2637,AC2637,AE2637,AG2637,AI2637,AK2637,AM2637,AO2637,AQ2637,AS2637,AU2637,AW2637,AY2637)</f>
        <v>24125</v>
      </c>
      <c r="BC2637" s="28" t="n">
        <f aca="false">BA2637-BB2637</f>
        <v>0</v>
      </c>
      <c r="BD2637" s="32" t="n">
        <f aca="false">SUM(P2637,R2637,T2637,V2637,X2637,Z2637,AB2637,AD2637,AF2637,AH2637,AJ2637,AL2637,AN2637,AP2637,AR2637,AT2637,AV2637,AX2637)</f>
        <v>804.18</v>
      </c>
      <c r="BE2637" s="33" t="n">
        <f aca="false">AZ2637-BD2637</f>
        <v>0</v>
      </c>
      <c r="BF2637" s="34" t="n">
        <f aca="false">BD2637*M2637</f>
        <v>24125.4</v>
      </c>
      <c r="BG2637" s="35" t="n">
        <f aca="false">BA2637-BF2637</f>
        <v>-0.400000000001455</v>
      </c>
      <c r="BH2637" s="19" t="str">
        <f aca="false">IF(BG2637=0,"",IF(BG2637&lt;&gt;BA2637,"erreur de calcul",IF(BD2637&lt;&gt;0,"pas de prix",IF(M2637&lt;&gt; 0,"pas de quantité","pas de prix, ni de quantité"))))</f>
        <v>erreur de calcul</v>
      </c>
      <c r="BI2637" s="19"/>
    </row>
    <row r="2638" customFormat="false" ht="15" hidden="false" customHeight="false" outlineLevel="0" collapsed="false">
      <c r="A2638" s="0" t="n">
        <v>15</v>
      </c>
      <c r="B2638" s="8" t="s">
        <v>24</v>
      </c>
      <c r="C2638" s="9" t="s">
        <v>25</v>
      </c>
      <c r="D2638" s="9" t="s">
        <v>26</v>
      </c>
      <c r="E2638" s="10" t="n">
        <v>1789</v>
      </c>
      <c r="F2638" s="9" t="s">
        <v>27</v>
      </c>
      <c r="G2638" s="9" t="s">
        <v>27</v>
      </c>
      <c r="H2638" s="11" t="n">
        <v>23</v>
      </c>
      <c r="I2638" s="11" t="s">
        <v>257</v>
      </c>
      <c r="J2638" s="14" t="n">
        <v>40</v>
      </c>
      <c r="K2638" s="14"/>
      <c r="L2638" s="16"/>
      <c r="M2638" s="27" t="n">
        <f aca="false">J2638+(K2638/20)+(L2638/240)</f>
        <v>40</v>
      </c>
      <c r="N2638" s="17" t="s">
        <v>64</v>
      </c>
      <c r="O2638" s="11"/>
      <c r="P2638" s="28"/>
      <c r="Q2638" s="28" t="n">
        <f aca="false">P2638*$M2638</f>
        <v>0</v>
      </c>
      <c r="R2638" s="28"/>
      <c r="S2638" s="28" t="n">
        <f aca="false">R2638*$M2638</f>
        <v>0</v>
      </c>
      <c r="T2638" s="28"/>
      <c r="U2638" s="28" t="n">
        <f aca="false">T2638*$M2638</f>
        <v>0</v>
      </c>
      <c r="V2638" s="28"/>
      <c r="W2638" s="28" t="n">
        <f aca="false">V2638*$M2638</f>
        <v>0</v>
      </c>
      <c r="X2638" s="28"/>
      <c r="Y2638" s="28" t="n">
        <f aca="false">X2638*$M2638</f>
        <v>0</v>
      </c>
      <c r="Z2638" s="28"/>
      <c r="AA2638" s="28" t="n">
        <f aca="false">Z2638*$M2638</f>
        <v>0</v>
      </c>
      <c r="AB2638" s="28"/>
      <c r="AC2638" s="28" t="n">
        <f aca="false">AB2638*$M2638</f>
        <v>0</v>
      </c>
      <c r="AD2638" s="28"/>
      <c r="AE2638" s="28" t="n">
        <f aca="false">AD2638*$M2638</f>
        <v>0</v>
      </c>
      <c r="AF2638" s="28"/>
      <c r="AG2638" s="28" t="n">
        <f aca="false">AF2638*$M2638</f>
        <v>0</v>
      </c>
      <c r="AH2638" s="28"/>
      <c r="AI2638" s="28" t="n">
        <f aca="false">AH2638*$M2638</f>
        <v>0</v>
      </c>
      <c r="AJ2638" s="28" t="n">
        <f aca="false">784564/100</f>
        <v>7845.64</v>
      </c>
      <c r="AK2638" s="28" t="n">
        <v>313826</v>
      </c>
      <c r="AL2638" s="28" t="n">
        <f aca="false">33500/100</f>
        <v>335</v>
      </c>
      <c r="AM2638" s="28" t="n">
        <v>13400</v>
      </c>
      <c r="AN2638" s="28"/>
      <c r="AO2638" s="28" t="n">
        <f aca="false">AN2638*$M2638</f>
        <v>0</v>
      </c>
      <c r="AP2638" s="28"/>
      <c r="AQ2638" s="28" t="n">
        <f aca="false">AP2638*$M2638</f>
        <v>0</v>
      </c>
      <c r="AR2638" s="28"/>
      <c r="AS2638" s="28" t="n">
        <f aca="false">AR2638*$M2638</f>
        <v>0</v>
      </c>
      <c r="AT2638" s="28"/>
      <c r="AU2638" s="28" t="n">
        <f aca="false">AT2638*$M2638</f>
        <v>0</v>
      </c>
      <c r="AV2638" s="28"/>
      <c r="AW2638" s="28" t="n">
        <f aca="false">AV2638*$M2638</f>
        <v>0</v>
      </c>
      <c r="AX2638" s="28"/>
      <c r="AY2638" s="28" t="n">
        <f aca="false">AX2638*$M2638</f>
        <v>0</v>
      </c>
      <c r="AZ2638" s="30" t="n">
        <f aca="false">818064/100</f>
        <v>8180.64</v>
      </c>
      <c r="BA2638" s="11" t="n">
        <v>327226</v>
      </c>
      <c r="BB2638" s="31" t="n">
        <f aca="false">SUM(Q2638,S2638,U2638,W2638,Y2638,AA2638,AC2638,AE2638,AG2638,AI2638,AK2638,AM2638,AO2638,AQ2638,AS2638,AU2638,AW2638,AY2638)</f>
        <v>327226</v>
      </c>
      <c r="BC2638" s="28" t="n">
        <f aca="false">BA2638-BB2638</f>
        <v>0</v>
      </c>
      <c r="BD2638" s="32" t="n">
        <f aca="false">SUM(P2638,R2638,T2638,V2638,X2638,Z2638,AB2638,AD2638,AF2638,AH2638,AJ2638,AL2638,AN2638,AP2638,AR2638,AT2638,AV2638,AX2638)</f>
        <v>8180.64</v>
      </c>
      <c r="BE2638" s="33" t="n">
        <f aca="false">AZ2638-BD2638</f>
        <v>0</v>
      </c>
      <c r="BF2638" s="34" t="n">
        <f aca="false">BD2638*M2638</f>
        <v>327225.6</v>
      </c>
      <c r="BG2638" s="35" t="n">
        <f aca="false">BA2638-BF2638</f>
        <v>0.399999999965075</v>
      </c>
      <c r="BH2638" s="19" t="str">
        <f aca="false">IF(BG2638=0,"",IF(BG2638&lt;&gt;BA2638,"erreur de calcul",IF(BD2638&lt;&gt;0,"pas de prix",IF(M2638&lt;&gt; 0,"pas de quantité","pas de prix, ni de quantité"))))</f>
        <v>erreur de calcul</v>
      </c>
      <c r="BI2638" s="19"/>
    </row>
    <row r="2639" customFormat="false" ht="15" hidden="false" customHeight="false" outlineLevel="0" collapsed="false">
      <c r="A2639" s="0" t="n">
        <v>16</v>
      </c>
      <c r="B2639" s="8" t="s">
        <v>24</v>
      </c>
      <c r="C2639" s="9" t="s">
        <v>25</v>
      </c>
      <c r="D2639" s="9" t="s">
        <v>26</v>
      </c>
      <c r="E2639" s="10" t="n">
        <v>1789</v>
      </c>
      <c r="F2639" s="9" t="s">
        <v>27</v>
      </c>
      <c r="G2639" s="9" t="s">
        <v>27</v>
      </c>
      <c r="H2639" s="11" t="n">
        <v>23</v>
      </c>
      <c r="I2639" s="11" t="s">
        <v>258</v>
      </c>
      <c r="J2639" s="14" t="n">
        <v>75</v>
      </c>
      <c r="K2639" s="14"/>
      <c r="L2639" s="16"/>
      <c r="M2639" s="27" t="n">
        <f aca="false">J2639+(K2639/20)+(L2639/240)</f>
        <v>75</v>
      </c>
      <c r="N2639" s="17" t="s">
        <v>64</v>
      </c>
      <c r="O2639" s="11"/>
      <c r="P2639" s="28"/>
      <c r="Q2639" s="28" t="n">
        <f aca="false">P2639*$M2639</f>
        <v>0</v>
      </c>
      <c r="R2639" s="28"/>
      <c r="S2639" s="28" t="n">
        <f aca="false">R2639*$M2639</f>
        <v>0</v>
      </c>
      <c r="T2639" s="28" t="n">
        <f aca="false">1000/100</f>
        <v>10</v>
      </c>
      <c r="U2639" s="28" t="n">
        <v>750</v>
      </c>
      <c r="V2639" s="28" t="n">
        <f aca="false">17232/100</f>
        <v>172.32</v>
      </c>
      <c r="W2639" s="28" t="n">
        <v>12924</v>
      </c>
      <c r="X2639" s="28" t="n">
        <f aca="false">942/100</f>
        <v>9.42</v>
      </c>
      <c r="Y2639" s="28" t="n">
        <v>706</v>
      </c>
      <c r="Z2639" s="28"/>
      <c r="AA2639" s="28" t="n">
        <f aca="false">Z2639*$M2639</f>
        <v>0</v>
      </c>
      <c r="AB2639" s="28" t="n">
        <f aca="false">415/100</f>
        <v>4.15</v>
      </c>
      <c r="AC2639" s="28" t="n">
        <v>311</v>
      </c>
      <c r="AD2639" s="28"/>
      <c r="AE2639" s="28" t="n">
        <f aca="false">AD2639*$M2639</f>
        <v>0</v>
      </c>
      <c r="AF2639" s="28"/>
      <c r="AG2639" s="28" t="n">
        <f aca="false">AF2639*$M2639</f>
        <v>0</v>
      </c>
      <c r="AH2639" s="28"/>
      <c r="AI2639" s="28" t="n">
        <f aca="false">AH2639*$M2639</f>
        <v>0</v>
      </c>
      <c r="AJ2639" s="28"/>
      <c r="AK2639" s="28" t="n">
        <f aca="false">AJ2639*$M2639</f>
        <v>0</v>
      </c>
      <c r="AL2639" s="28"/>
      <c r="AM2639" s="28" t="n">
        <f aca="false">AL2639*$M2639</f>
        <v>0</v>
      </c>
      <c r="AN2639" s="28"/>
      <c r="AO2639" s="28" t="n">
        <f aca="false">AN2639*$M2639</f>
        <v>0</v>
      </c>
      <c r="AP2639" s="28"/>
      <c r="AQ2639" s="28" t="n">
        <f aca="false">AP2639*$M2639</f>
        <v>0</v>
      </c>
      <c r="AR2639" s="28"/>
      <c r="AS2639" s="28" t="n">
        <f aca="false">AR2639*$M2639</f>
        <v>0</v>
      </c>
      <c r="AT2639" s="28"/>
      <c r="AU2639" s="28" t="n">
        <f aca="false">AT2639*$M2639</f>
        <v>0</v>
      </c>
      <c r="AV2639" s="28"/>
      <c r="AW2639" s="28" t="n">
        <f aca="false">AV2639*$M2639</f>
        <v>0</v>
      </c>
      <c r="AX2639" s="28"/>
      <c r="AY2639" s="28" t="n">
        <f aca="false">AX2639*$M2639</f>
        <v>0</v>
      </c>
      <c r="AZ2639" s="30" t="n">
        <f aca="false">19589/100</f>
        <v>195.89</v>
      </c>
      <c r="BA2639" s="11" t="n">
        <v>14691</v>
      </c>
      <c r="BB2639" s="31" t="n">
        <f aca="false">SUM(Q2639,S2639,U2639,W2639,Y2639,AA2639,AC2639,AE2639,AG2639,AI2639,AK2639,AM2639,AO2639,AQ2639,AS2639,AU2639,AW2639,AY2639)</f>
        <v>14691</v>
      </c>
      <c r="BC2639" s="28" t="n">
        <f aca="false">BA2639-BB2639</f>
        <v>0</v>
      </c>
      <c r="BD2639" s="32" t="n">
        <f aca="false">SUM(P2639,R2639,T2639,V2639,X2639,Z2639,AB2639,AD2639,AF2639,AH2639,AJ2639,AL2639,AN2639,AP2639,AR2639,AT2639,AV2639,AX2639)</f>
        <v>195.89</v>
      </c>
      <c r="BE2639" s="33" t="n">
        <f aca="false">AZ2639-BD2639</f>
        <v>0</v>
      </c>
      <c r="BF2639" s="34" t="n">
        <f aca="false">BD2639*M2639</f>
        <v>14691.75</v>
      </c>
      <c r="BG2639" s="35" t="n">
        <f aca="false">BA2639-BF2639</f>
        <v>-0.749999999998181</v>
      </c>
      <c r="BH2639" s="19" t="str">
        <f aca="false">IF(BG2639=0,"",IF(BG2639&lt;&gt;BA2639,"erreur de calcul",IF(BD2639&lt;&gt;0,"pas de prix",IF(M2639&lt;&gt; 0,"pas de quantité","pas de prix, ni de quantité"))))</f>
        <v>erreur de calcul</v>
      </c>
      <c r="BI2639" s="19"/>
    </row>
    <row r="2640" customFormat="false" ht="15" hidden="false" customHeight="false" outlineLevel="0" collapsed="false">
      <c r="A2640" s="0" t="n">
        <v>17</v>
      </c>
      <c r="B2640" s="8" t="s">
        <v>24</v>
      </c>
      <c r="C2640" s="9" t="s">
        <v>25</v>
      </c>
      <c r="D2640" s="9" t="s">
        <v>26</v>
      </c>
      <c r="E2640" s="10" t="n">
        <v>1789</v>
      </c>
      <c r="F2640" s="9" t="s">
        <v>27</v>
      </c>
      <c r="G2640" s="9" t="s">
        <v>27</v>
      </c>
      <c r="H2640" s="11" t="n">
        <v>23</v>
      </c>
      <c r="I2640" s="11" t="s">
        <v>259</v>
      </c>
      <c r="J2640" s="14"/>
      <c r="K2640" s="14"/>
      <c r="L2640" s="16"/>
      <c r="M2640" s="27" t="n">
        <f aca="false">J2640+(K2640/20)+(L2640/240)</f>
        <v>0</v>
      </c>
      <c r="N2640" s="17"/>
      <c r="O2640" s="11"/>
      <c r="P2640" s="28"/>
      <c r="Q2640" s="28" t="n">
        <v>957</v>
      </c>
      <c r="R2640" s="28"/>
      <c r="S2640" s="28" t="n">
        <f aca="false">R2640*$M2640</f>
        <v>0</v>
      </c>
      <c r="T2640" s="28"/>
      <c r="U2640" s="28" t="n">
        <v>354</v>
      </c>
      <c r="V2640" s="28"/>
      <c r="W2640" s="28" t="n">
        <v>398</v>
      </c>
      <c r="X2640" s="28"/>
      <c r="Y2640" s="28" t="n">
        <v>685</v>
      </c>
      <c r="Z2640" s="28"/>
      <c r="AA2640" s="28" t="n">
        <v>120</v>
      </c>
      <c r="AB2640" s="28"/>
      <c r="AC2640" s="28" t="n">
        <v>2994</v>
      </c>
      <c r="AD2640" s="28"/>
      <c r="AE2640" s="28" t="n">
        <f aca="false">AD2640*$M2640</f>
        <v>0</v>
      </c>
      <c r="AF2640" s="28"/>
      <c r="AG2640" s="28" t="n">
        <f aca="false">AF2640*$M2640</f>
        <v>0</v>
      </c>
      <c r="AH2640" s="28"/>
      <c r="AI2640" s="28" t="n">
        <v>144</v>
      </c>
      <c r="AJ2640" s="28"/>
      <c r="AK2640" s="28" t="n">
        <f aca="false">AJ2640*$M2640</f>
        <v>0</v>
      </c>
      <c r="AL2640" s="28"/>
      <c r="AM2640" s="28" t="n">
        <f aca="false">AL2640*$M2640</f>
        <v>0</v>
      </c>
      <c r="AN2640" s="28"/>
      <c r="AO2640" s="28" t="n">
        <f aca="false">AN2640*$M2640</f>
        <v>0</v>
      </c>
      <c r="AP2640" s="28"/>
      <c r="AQ2640" s="28" t="n">
        <f aca="false">AP2640*$M2640</f>
        <v>0</v>
      </c>
      <c r="AR2640" s="28"/>
      <c r="AS2640" s="28" t="n">
        <f aca="false">AR2640*$M2640</f>
        <v>0</v>
      </c>
      <c r="AT2640" s="28"/>
      <c r="AU2640" s="28" t="n">
        <f aca="false">AT2640*$M2640</f>
        <v>0</v>
      </c>
      <c r="AV2640" s="28"/>
      <c r="AW2640" s="28" t="n">
        <f aca="false">AV2640*$M2640</f>
        <v>0</v>
      </c>
      <c r="AX2640" s="28"/>
      <c r="AY2640" s="28" t="n">
        <f aca="false">AX2640*$M2640</f>
        <v>0</v>
      </c>
      <c r="AZ2640" s="30"/>
      <c r="BA2640" s="11" t="n">
        <v>5652</v>
      </c>
      <c r="BB2640" s="31" t="n">
        <f aca="false">SUM(Q2640,S2640,U2640,W2640,Y2640,AA2640,AC2640,AE2640,AG2640,AI2640,AK2640,AM2640,AO2640,AQ2640,AS2640,AU2640,AW2640,AY2640)</f>
        <v>5652</v>
      </c>
      <c r="BC2640" s="28" t="n">
        <f aca="false">BA2640-BB2640</f>
        <v>0</v>
      </c>
      <c r="BD2640" s="32" t="n">
        <f aca="false">SUM(P2640,R2640,T2640,V2640,X2640,Z2640,AB2640,AD2640,AF2640,AH2640,AJ2640,AL2640,AN2640,AP2640,AR2640,AT2640,AV2640,AX2640)</f>
        <v>0</v>
      </c>
      <c r="BE2640" s="33" t="n">
        <f aca="false">AZ2640-BD2640</f>
        <v>0</v>
      </c>
      <c r="BF2640" s="34" t="n">
        <f aca="false">BD2640*M2640</f>
        <v>0</v>
      </c>
      <c r="BG2640" s="35" t="n">
        <f aca="false">BA2640-BF2640</f>
        <v>5652</v>
      </c>
      <c r="BH2640" s="19" t="str">
        <f aca="false">IF(BG2640=0,"",IF(BG2640&lt;&gt;BA2640,"erreur de calcul",IF(BD2640&lt;&gt;0,"pas de prix",IF(M2640&lt;&gt; 0,"pas de quantité","pas de prix, ni de quantité"))))</f>
        <v>pas de prix, ni de quantité</v>
      </c>
      <c r="BI2640" s="19"/>
    </row>
    <row r="2641" customFormat="false" ht="15" hidden="false" customHeight="false" outlineLevel="0" collapsed="false">
      <c r="A2641" s="0" t="n">
        <v>18</v>
      </c>
      <c r="B2641" s="8" t="s">
        <v>24</v>
      </c>
      <c r="C2641" s="9" t="s">
        <v>25</v>
      </c>
      <c r="D2641" s="9" t="s">
        <v>26</v>
      </c>
      <c r="E2641" s="10" t="n">
        <v>1789</v>
      </c>
      <c r="F2641" s="9" t="s">
        <v>27</v>
      </c>
      <c r="G2641" s="9" t="s">
        <v>27</v>
      </c>
      <c r="H2641" s="11" t="n">
        <v>23</v>
      </c>
      <c r="I2641" s="11" t="s">
        <v>260</v>
      </c>
      <c r="J2641" s="14" t="n">
        <v>88</v>
      </c>
      <c r="K2641" s="14"/>
      <c r="L2641" s="16"/>
      <c r="M2641" s="27" t="n">
        <f aca="false">J2641+(K2641/20)+(L2641/240)</f>
        <v>88</v>
      </c>
      <c r="N2641" s="17" t="s">
        <v>64</v>
      </c>
      <c r="O2641" s="11"/>
      <c r="P2641" s="28"/>
      <c r="Q2641" s="28" t="n">
        <f aca="false">P2641*$M2641</f>
        <v>0</v>
      </c>
      <c r="R2641" s="28"/>
      <c r="S2641" s="28" t="n">
        <f aca="false">R2641*$M2641</f>
        <v>0</v>
      </c>
      <c r="T2641" s="28"/>
      <c r="U2641" s="28" t="n">
        <f aca="false">T2641*$M2641</f>
        <v>0</v>
      </c>
      <c r="V2641" s="28" t="n">
        <f aca="false">21004/100</f>
        <v>210.04</v>
      </c>
      <c r="W2641" s="28" t="n">
        <v>18483</v>
      </c>
      <c r="X2641" s="28"/>
      <c r="Y2641" s="28" t="n">
        <f aca="false">X2641*$M2641</f>
        <v>0</v>
      </c>
      <c r="Z2641" s="28"/>
      <c r="AA2641" s="28" t="n">
        <f aca="false">Z2641*$M2641</f>
        <v>0</v>
      </c>
      <c r="AB2641" s="28"/>
      <c r="AC2641" s="28" t="n">
        <f aca="false">AB2641*$M2641</f>
        <v>0</v>
      </c>
      <c r="AD2641" s="28"/>
      <c r="AE2641" s="28" t="n">
        <f aca="false">AD2641*$M2641</f>
        <v>0</v>
      </c>
      <c r="AF2641" s="28"/>
      <c r="AG2641" s="28" t="n">
        <f aca="false">AF2641*$M2641</f>
        <v>0</v>
      </c>
      <c r="AH2641" s="28"/>
      <c r="AI2641" s="28" t="n">
        <f aca="false">AH2641*$M2641</f>
        <v>0</v>
      </c>
      <c r="AJ2641" s="28"/>
      <c r="AK2641" s="28" t="n">
        <f aca="false">AJ2641*$M2641</f>
        <v>0</v>
      </c>
      <c r="AL2641" s="28"/>
      <c r="AM2641" s="28" t="n">
        <f aca="false">AL2641*$M2641</f>
        <v>0</v>
      </c>
      <c r="AN2641" s="28"/>
      <c r="AO2641" s="28" t="n">
        <f aca="false">AN2641*$M2641</f>
        <v>0</v>
      </c>
      <c r="AP2641" s="28"/>
      <c r="AQ2641" s="28" t="n">
        <f aca="false">AP2641*$M2641</f>
        <v>0</v>
      </c>
      <c r="AR2641" s="28"/>
      <c r="AS2641" s="28" t="n">
        <f aca="false">AR2641*$M2641</f>
        <v>0</v>
      </c>
      <c r="AT2641" s="28"/>
      <c r="AU2641" s="28" t="n">
        <f aca="false">AT2641*$M2641</f>
        <v>0</v>
      </c>
      <c r="AV2641" s="28"/>
      <c r="AW2641" s="28" t="n">
        <f aca="false">AV2641*$M2641</f>
        <v>0</v>
      </c>
      <c r="AX2641" s="28"/>
      <c r="AY2641" s="28" t="n">
        <f aca="false">AX2641*$M2641</f>
        <v>0</v>
      </c>
      <c r="AZ2641" s="30" t="n">
        <f aca="false">21004/100</f>
        <v>210.04</v>
      </c>
      <c r="BA2641" s="11" t="n">
        <v>18483</v>
      </c>
      <c r="BB2641" s="31" t="n">
        <f aca="false">SUM(Q2641,S2641,U2641,W2641,Y2641,AA2641,AC2641,AE2641,AG2641,AI2641,AK2641,AM2641,AO2641,AQ2641,AS2641,AU2641,AW2641,AY2641)</f>
        <v>18483</v>
      </c>
      <c r="BC2641" s="28" t="n">
        <f aca="false">BA2641-BB2641</f>
        <v>0</v>
      </c>
      <c r="BD2641" s="32" t="n">
        <f aca="false">SUM(P2641,R2641,T2641,V2641,X2641,Z2641,AB2641,AD2641,AF2641,AH2641,AJ2641,AL2641,AN2641,AP2641,AR2641,AT2641,AV2641,AX2641)</f>
        <v>210.04</v>
      </c>
      <c r="BE2641" s="33" t="n">
        <f aca="false">AZ2641-BD2641</f>
        <v>0</v>
      </c>
      <c r="BF2641" s="34" t="n">
        <f aca="false">BD2641*M2641</f>
        <v>18483.52</v>
      </c>
      <c r="BG2641" s="35" t="n">
        <f aca="false">BA2641-BF2641</f>
        <v>-0.520000000000437</v>
      </c>
      <c r="BH2641" s="19" t="str">
        <f aca="false">IF(BG2641=0,"",IF(BG2641&lt;&gt;BA2641,"erreur de calcul",IF(BD2641&lt;&gt;0,"pas de prix",IF(M2641&lt;&gt; 0,"pas de quantité","pas de prix, ni de quantité"))))</f>
        <v>erreur de calcul</v>
      </c>
      <c r="BI2641" s="19"/>
    </row>
    <row r="2642" customFormat="false" ht="15" hidden="false" customHeight="false" outlineLevel="0" collapsed="false">
      <c r="A2642" s="0" t="n">
        <v>19</v>
      </c>
      <c r="B2642" s="8" t="s">
        <v>24</v>
      </c>
      <c r="C2642" s="9" t="s">
        <v>25</v>
      </c>
      <c r="D2642" s="9" t="s">
        <v>26</v>
      </c>
      <c r="E2642" s="10" t="n">
        <v>1789</v>
      </c>
      <c r="F2642" s="9" t="s">
        <v>27</v>
      </c>
      <c r="G2642" s="9" t="s">
        <v>27</v>
      </c>
      <c r="H2642" s="11" t="n">
        <v>23</v>
      </c>
      <c r="I2642" s="11" t="s">
        <v>261</v>
      </c>
      <c r="J2642" s="14" t="n">
        <v>35</v>
      </c>
      <c r="K2642" s="14"/>
      <c r="L2642" s="16"/>
      <c r="M2642" s="27" t="n">
        <f aca="false">J2642+(K2642/20)+(L2642/240)</f>
        <v>35</v>
      </c>
      <c r="N2642" s="17" t="s">
        <v>64</v>
      </c>
      <c r="O2642" s="11"/>
      <c r="P2642" s="28" t="n">
        <f aca="false">2877/100</f>
        <v>28.77</v>
      </c>
      <c r="Q2642" s="28" t="n">
        <v>1007</v>
      </c>
      <c r="R2642" s="28"/>
      <c r="S2642" s="28" t="n">
        <f aca="false">R2642*$M2642</f>
        <v>0</v>
      </c>
      <c r="T2642" s="28"/>
      <c r="U2642" s="28" t="n">
        <f aca="false">T2642*$M2642</f>
        <v>0</v>
      </c>
      <c r="V2642" s="28"/>
      <c r="W2642" s="28" t="n">
        <f aca="false">V2642*$M2642</f>
        <v>0</v>
      </c>
      <c r="X2642" s="28"/>
      <c r="Y2642" s="28" t="n">
        <f aca="false">X2642*$M2642</f>
        <v>0</v>
      </c>
      <c r="Z2642" s="28"/>
      <c r="AA2642" s="28" t="n">
        <f aca="false">Z2642*$M2642</f>
        <v>0</v>
      </c>
      <c r="AB2642" s="28"/>
      <c r="AC2642" s="28" t="n">
        <f aca="false">AB2642*$M2642</f>
        <v>0</v>
      </c>
      <c r="AD2642" s="28"/>
      <c r="AE2642" s="28" t="n">
        <f aca="false">AD2642*$M2642</f>
        <v>0</v>
      </c>
      <c r="AF2642" s="28"/>
      <c r="AG2642" s="28" t="n">
        <f aca="false">AF2642*$M2642</f>
        <v>0</v>
      </c>
      <c r="AH2642" s="28"/>
      <c r="AI2642" s="28" t="n">
        <f aca="false">AH2642*$M2642</f>
        <v>0</v>
      </c>
      <c r="AJ2642" s="28"/>
      <c r="AK2642" s="28" t="n">
        <f aca="false">AJ2642*$M2642</f>
        <v>0</v>
      </c>
      <c r="AL2642" s="28"/>
      <c r="AM2642" s="28" t="n">
        <f aca="false">AL2642*$M2642</f>
        <v>0</v>
      </c>
      <c r="AN2642" s="28"/>
      <c r="AO2642" s="28" t="n">
        <f aca="false">AN2642*$M2642</f>
        <v>0</v>
      </c>
      <c r="AP2642" s="28"/>
      <c r="AQ2642" s="28" t="n">
        <f aca="false">AP2642*$M2642</f>
        <v>0</v>
      </c>
      <c r="AR2642" s="28"/>
      <c r="AS2642" s="28" t="n">
        <f aca="false">AR2642*$M2642</f>
        <v>0</v>
      </c>
      <c r="AT2642" s="28"/>
      <c r="AU2642" s="28" t="n">
        <f aca="false">AT2642*$M2642</f>
        <v>0</v>
      </c>
      <c r="AV2642" s="28"/>
      <c r="AW2642" s="28" t="n">
        <f aca="false">AV2642*$M2642</f>
        <v>0</v>
      </c>
      <c r="AX2642" s="28"/>
      <c r="AY2642" s="28" t="n">
        <f aca="false">AX2642*$M2642</f>
        <v>0</v>
      </c>
      <c r="AZ2642" s="30" t="n">
        <f aca="false">2877/100</f>
        <v>28.77</v>
      </c>
      <c r="BA2642" s="11" t="n">
        <v>1007</v>
      </c>
      <c r="BB2642" s="31" t="n">
        <f aca="false">SUM(Q2642,S2642,U2642,W2642,Y2642,AA2642,AC2642,AE2642,AG2642,AI2642,AK2642,AM2642,AO2642,AQ2642,AS2642,AU2642,AW2642,AY2642)</f>
        <v>1007</v>
      </c>
      <c r="BC2642" s="28" t="n">
        <f aca="false">BA2642-BB2642</f>
        <v>0</v>
      </c>
      <c r="BD2642" s="32" t="n">
        <f aca="false">SUM(P2642,R2642,T2642,V2642,X2642,Z2642,AB2642,AD2642,AF2642,AH2642,AJ2642,AL2642,AN2642,AP2642,AR2642,AT2642,AV2642,AX2642)</f>
        <v>28.77</v>
      </c>
      <c r="BE2642" s="33" t="n">
        <f aca="false">AZ2642-BD2642</f>
        <v>0</v>
      </c>
      <c r="BF2642" s="34" t="n">
        <f aca="false">BD2642*M2642</f>
        <v>1006.95</v>
      </c>
      <c r="BG2642" s="35" t="n">
        <f aca="false">BA2642-BF2642</f>
        <v>0.0500000000000682</v>
      </c>
      <c r="BH2642" s="19" t="str">
        <f aca="false">IF(BG2642=0,"",IF(BG2642&lt;&gt;BA2642,"erreur de calcul",IF(BD2642&lt;&gt;0,"pas de prix",IF(M2642&lt;&gt; 0,"pas de quantité","pas de prix, ni de quantité"))))</f>
        <v>erreur de calcul</v>
      </c>
      <c r="BI2642" s="19"/>
    </row>
    <row r="2643" customFormat="false" ht="15" hidden="false" customHeight="false" outlineLevel="0" collapsed="false">
      <c r="A2643" s="0" t="n">
        <v>20</v>
      </c>
      <c r="B2643" s="8" t="s">
        <v>24</v>
      </c>
      <c r="C2643" s="9" t="s">
        <v>25</v>
      </c>
      <c r="D2643" s="9" t="s">
        <v>26</v>
      </c>
      <c r="E2643" s="10" t="n">
        <v>1789</v>
      </c>
      <c r="F2643" s="9" t="s">
        <v>27</v>
      </c>
      <c r="G2643" s="9" t="s">
        <v>27</v>
      </c>
      <c r="H2643" s="11" t="n">
        <v>23</v>
      </c>
      <c r="I2643" s="11" t="s">
        <v>262</v>
      </c>
      <c r="J2643" s="14" t="n">
        <v>40</v>
      </c>
      <c r="K2643" s="14"/>
      <c r="L2643" s="16"/>
      <c r="M2643" s="27" t="n">
        <f aca="false">J2643+(K2643/20)+(L2643/240)</f>
        <v>40</v>
      </c>
      <c r="N2643" s="17" t="s">
        <v>64</v>
      </c>
      <c r="O2643" s="11"/>
      <c r="P2643" s="28"/>
      <c r="Q2643" s="28" t="n">
        <f aca="false">P2643*$M2643</f>
        <v>0</v>
      </c>
      <c r="R2643" s="28"/>
      <c r="S2643" s="28" t="n">
        <f aca="false">R2643*$M2643</f>
        <v>0</v>
      </c>
      <c r="T2643" s="28"/>
      <c r="U2643" s="28" t="n">
        <f aca="false">T2643*$M2643</f>
        <v>0</v>
      </c>
      <c r="V2643" s="28"/>
      <c r="W2643" s="28" t="n">
        <f aca="false">V2643*$M2643</f>
        <v>0</v>
      </c>
      <c r="X2643" s="28"/>
      <c r="Y2643" s="28" t="n">
        <f aca="false">X2643*$M2643</f>
        <v>0</v>
      </c>
      <c r="Z2643" s="28"/>
      <c r="AA2643" s="28" t="n">
        <f aca="false">Z2643*$M2643</f>
        <v>0</v>
      </c>
      <c r="AB2643" s="28"/>
      <c r="AC2643" s="28" t="n">
        <f aca="false">AB2643*$M2643</f>
        <v>0</v>
      </c>
      <c r="AD2643" s="28"/>
      <c r="AE2643" s="28" t="n">
        <f aca="false">AD2643*$M2643</f>
        <v>0</v>
      </c>
      <c r="AF2643" s="28" t="n">
        <f aca="false">108620/100</f>
        <v>1086.2</v>
      </c>
      <c r="AG2643" s="28" t="n">
        <v>43448</v>
      </c>
      <c r="AH2643" s="28"/>
      <c r="AI2643" s="28" t="n">
        <f aca="false">AH2643*$M2643</f>
        <v>0</v>
      </c>
      <c r="AJ2643" s="28"/>
      <c r="AK2643" s="28" t="n">
        <f aca="false">AJ2643*$M2643</f>
        <v>0</v>
      </c>
      <c r="AL2643" s="28"/>
      <c r="AM2643" s="28" t="n">
        <f aca="false">AL2643*$M2643</f>
        <v>0</v>
      </c>
      <c r="AN2643" s="28"/>
      <c r="AO2643" s="28" t="n">
        <f aca="false">AN2643*$M2643</f>
        <v>0</v>
      </c>
      <c r="AP2643" s="28"/>
      <c r="AQ2643" s="28" t="n">
        <f aca="false">AP2643*$M2643</f>
        <v>0</v>
      </c>
      <c r="AR2643" s="28"/>
      <c r="AS2643" s="28" t="n">
        <f aca="false">AR2643*$M2643</f>
        <v>0</v>
      </c>
      <c r="AT2643" s="28"/>
      <c r="AU2643" s="28" t="n">
        <f aca="false">AT2643*$M2643</f>
        <v>0</v>
      </c>
      <c r="AV2643" s="28"/>
      <c r="AW2643" s="28" t="n">
        <f aca="false">AV2643*$M2643</f>
        <v>0</v>
      </c>
      <c r="AX2643" s="28"/>
      <c r="AY2643" s="28" t="n">
        <f aca="false">AX2643*$M2643</f>
        <v>0</v>
      </c>
      <c r="AZ2643" s="30" t="n">
        <f aca="false">108620/100</f>
        <v>1086.2</v>
      </c>
      <c r="BA2643" s="11" t="n">
        <v>43448</v>
      </c>
      <c r="BB2643" s="31" t="n">
        <f aca="false">SUM(Q2643,S2643,U2643,W2643,Y2643,AA2643,AC2643,AE2643,AG2643,AI2643,AK2643,AM2643,AO2643,AQ2643,AS2643,AU2643,AW2643,AY2643)</f>
        <v>43448</v>
      </c>
      <c r="BC2643" s="28" t="n">
        <f aca="false">BA2643-BB2643</f>
        <v>0</v>
      </c>
      <c r="BD2643" s="32" t="n">
        <f aca="false">SUM(P2643,R2643,T2643,V2643,X2643,Z2643,AB2643,AD2643,AF2643,AH2643,AJ2643,AL2643,AN2643,AP2643,AR2643,AT2643,AV2643,AX2643)</f>
        <v>1086.2</v>
      </c>
      <c r="BE2643" s="33" t="n">
        <f aca="false">AZ2643-BD2643</f>
        <v>0</v>
      </c>
      <c r="BF2643" s="34" t="n">
        <f aca="false">BD2643*M2643</f>
        <v>43448</v>
      </c>
      <c r="BG2643" s="35" t="n">
        <f aca="false">BA2643-BF2643</f>
        <v>0</v>
      </c>
      <c r="BH2643" s="19" t="str">
        <f aca="false">IF(BG2643=0,"",IF(BG2643&lt;&gt;BA2643,"erreur de calcul",IF(BD2643&lt;&gt;0,"pas de prix",IF(M2643&lt;&gt; 0,"pas de quantité","pas de prix, ni de quantité"))))</f>
        <v/>
      </c>
      <c r="BI2643" s="19"/>
    </row>
    <row r="2644" customFormat="false" ht="15" hidden="false" customHeight="false" outlineLevel="0" collapsed="false">
      <c r="A2644" s="0" t="n">
        <v>21</v>
      </c>
      <c r="B2644" s="8" t="s">
        <v>24</v>
      </c>
      <c r="C2644" s="9" t="s">
        <v>25</v>
      </c>
      <c r="D2644" s="9" t="s">
        <v>26</v>
      </c>
      <c r="E2644" s="10" t="n">
        <v>1789</v>
      </c>
      <c r="F2644" s="9" t="s">
        <v>27</v>
      </c>
      <c r="G2644" s="9" t="s">
        <v>27</v>
      </c>
      <c r="H2644" s="11" t="n">
        <v>23</v>
      </c>
      <c r="I2644" s="11" t="s">
        <v>263</v>
      </c>
      <c r="J2644" s="14" t="n">
        <v>12</v>
      </c>
      <c r="K2644" s="14"/>
      <c r="L2644" s="16"/>
      <c r="M2644" s="27" t="n">
        <f aca="false">J2644+(K2644/20)+(L2644/240)</f>
        <v>12</v>
      </c>
      <c r="N2644" s="17" t="s">
        <v>64</v>
      </c>
      <c r="O2644" s="11"/>
      <c r="P2644" s="28"/>
      <c r="Q2644" s="28" t="n">
        <f aca="false">P2644*$M2644</f>
        <v>0</v>
      </c>
      <c r="R2644" s="28"/>
      <c r="S2644" s="28" t="n">
        <f aca="false">R2644*$M2644</f>
        <v>0</v>
      </c>
      <c r="T2644" s="28"/>
      <c r="U2644" s="28" t="n">
        <f aca="false">T2644*$M2644</f>
        <v>0</v>
      </c>
      <c r="V2644" s="28"/>
      <c r="W2644" s="28" t="n">
        <f aca="false">V2644*$M2644</f>
        <v>0</v>
      </c>
      <c r="X2644" s="28"/>
      <c r="Y2644" s="28" t="n">
        <f aca="false">X2644*$M2644</f>
        <v>0</v>
      </c>
      <c r="Z2644" s="28"/>
      <c r="AA2644" s="28" t="n">
        <f aca="false">Z2644*$M2644</f>
        <v>0</v>
      </c>
      <c r="AB2644" s="28" t="n">
        <f aca="false">485726/100</f>
        <v>4857.26</v>
      </c>
      <c r="AC2644" s="28" t="n">
        <v>58287</v>
      </c>
      <c r="AD2644" s="28"/>
      <c r="AE2644" s="28" t="n">
        <f aca="false">AD2644*$M2644</f>
        <v>0</v>
      </c>
      <c r="AF2644" s="28"/>
      <c r="AG2644" s="28" t="n">
        <f aca="false">AF2644*$M2644</f>
        <v>0</v>
      </c>
      <c r="AH2644" s="28" t="n">
        <f aca="false">259291/100</f>
        <v>2592.91</v>
      </c>
      <c r="AI2644" s="28" t="n">
        <v>31115</v>
      </c>
      <c r="AJ2644" s="28"/>
      <c r="AK2644" s="28" t="n">
        <f aca="false">AJ2644*$M2644</f>
        <v>0</v>
      </c>
      <c r="AL2644" s="28"/>
      <c r="AM2644" s="28" t="n">
        <f aca="false">AL2644*$M2644</f>
        <v>0</v>
      </c>
      <c r="AN2644" s="28"/>
      <c r="AO2644" s="28" t="n">
        <f aca="false">AN2644*$M2644</f>
        <v>0</v>
      </c>
      <c r="AP2644" s="28"/>
      <c r="AQ2644" s="28" t="n">
        <f aca="false">AP2644*$M2644</f>
        <v>0</v>
      </c>
      <c r="AR2644" s="28"/>
      <c r="AS2644" s="28" t="n">
        <f aca="false">AR2644*$M2644</f>
        <v>0</v>
      </c>
      <c r="AT2644" s="28"/>
      <c r="AU2644" s="28" t="n">
        <f aca="false">AT2644*$M2644</f>
        <v>0</v>
      </c>
      <c r="AV2644" s="28"/>
      <c r="AW2644" s="28" t="n">
        <f aca="false">AV2644*$M2644</f>
        <v>0</v>
      </c>
      <c r="AX2644" s="28"/>
      <c r="AY2644" s="28" t="n">
        <f aca="false">AX2644*$M2644</f>
        <v>0</v>
      </c>
      <c r="AZ2644" s="30" t="n">
        <f aca="false">745017/100</f>
        <v>7450.17</v>
      </c>
      <c r="BA2644" s="11" t="n">
        <v>89402</v>
      </c>
      <c r="BB2644" s="31" t="n">
        <f aca="false">SUM(Q2644,S2644,U2644,W2644,Y2644,AA2644,AC2644,AE2644,AG2644,AI2644,AK2644,AM2644,AO2644,AQ2644,AS2644,AU2644,AW2644,AY2644)</f>
        <v>89402</v>
      </c>
      <c r="BC2644" s="28" t="n">
        <f aca="false">BA2644-BB2644</f>
        <v>0</v>
      </c>
      <c r="BD2644" s="32" t="n">
        <f aca="false">SUM(P2644,R2644,T2644,V2644,X2644,Z2644,AB2644,AD2644,AF2644,AH2644,AJ2644,AL2644,AN2644,AP2644,AR2644,AT2644,AV2644,AX2644)</f>
        <v>7450.17</v>
      </c>
      <c r="BE2644" s="33" t="n">
        <f aca="false">AZ2644-BD2644</f>
        <v>0</v>
      </c>
      <c r="BF2644" s="34" t="n">
        <f aca="false">BD2644*M2644</f>
        <v>89402.04</v>
      </c>
      <c r="BG2644" s="35" t="n">
        <f aca="false">BA2644-BF2644</f>
        <v>-0.0400000000081491</v>
      </c>
      <c r="BH2644" s="19" t="str">
        <f aca="false">IF(BG2644=0,"",IF(BG2644&lt;&gt;BA2644,"erreur de calcul",IF(BD2644&lt;&gt;0,"pas de prix",IF(M2644&lt;&gt; 0,"pas de quantité","pas de prix, ni de quantité"))))</f>
        <v>erreur de calcul</v>
      </c>
      <c r="BI2644" s="19"/>
    </row>
    <row r="2645" customFormat="false" ht="15" hidden="false" customHeight="false" outlineLevel="0" collapsed="false">
      <c r="A2645" s="0" t="n">
        <v>22</v>
      </c>
      <c r="B2645" s="8" t="s">
        <v>24</v>
      </c>
      <c r="C2645" s="9" t="s">
        <v>25</v>
      </c>
      <c r="D2645" s="9" t="s">
        <v>26</v>
      </c>
      <c r="E2645" s="10" t="n">
        <v>1789</v>
      </c>
      <c r="F2645" s="9" t="s">
        <v>27</v>
      </c>
      <c r="G2645" s="9" t="s">
        <v>27</v>
      </c>
      <c r="H2645" s="11" t="n">
        <v>23</v>
      </c>
      <c r="I2645" s="11" t="s">
        <v>264</v>
      </c>
      <c r="J2645" s="14" t="n">
        <v>15</v>
      </c>
      <c r="K2645" s="14"/>
      <c r="L2645" s="16"/>
      <c r="M2645" s="27" t="n">
        <f aca="false">J2645+(K2645/20)+(L2645/240)</f>
        <v>15</v>
      </c>
      <c r="N2645" s="17" t="s">
        <v>64</v>
      </c>
      <c r="O2645" s="11"/>
      <c r="P2645" s="28"/>
      <c r="Q2645" s="28" t="n">
        <f aca="false">P2645*$M2645</f>
        <v>0</v>
      </c>
      <c r="R2645" s="28"/>
      <c r="S2645" s="28" t="n">
        <f aca="false">R2645*$M2645</f>
        <v>0</v>
      </c>
      <c r="T2645" s="28"/>
      <c r="U2645" s="28" t="n">
        <f aca="false">T2645*$M2645</f>
        <v>0</v>
      </c>
      <c r="V2645" s="28"/>
      <c r="W2645" s="28" t="n">
        <f aca="false">V2645*$M2645</f>
        <v>0</v>
      </c>
      <c r="X2645" s="28" t="n">
        <f aca="false">65502/100</f>
        <v>655.02</v>
      </c>
      <c r="Y2645" s="28" t="n">
        <v>9825</v>
      </c>
      <c r="Z2645" s="28"/>
      <c r="AA2645" s="28" t="n">
        <f aca="false">Z2645*$M2645</f>
        <v>0</v>
      </c>
      <c r="AB2645" s="28" t="n">
        <f aca="false">207046/100</f>
        <v>2070.46</v>
      </c>
      <c r="AC2645" s="28" t="n">
        <v>31057</v>
      </c>
      <c r="AD2645" s="28"/>
      <c r="AE2645" s="28" t="n">
        <f aca="false">AD2645*$M2645</f>
        <v>0</v>
      </c>
      <c r="AF2645" s="28"/>
      <c r="AG2645" s="28" t="n">
        <f aca="false">AF2645*$M2645</f>
        <v>0</v>
      </c>
      <c r="AH2645" s="28" t="n">
        <f aca="false">11048/100</f>
        <v>110.48</v>
      </c>
      <c r="AI2645" s="28" t="n">
        <v>1657</v>
      </c>
      <c r="AJ2645" s="28"/>
      <c r="AK2645" s="28" t="n">
        <f aca="false">AJ2645*$M2645</f>
        <v>0</v>
      </c>
      <c r="AL2645" s="28"/>
      <c r="AM2645" s="28" t="n">
        <f aca="false">AL2645*$M2645</f>
        <v>0</v>
      </c>
      <c r="AN2645" s="28"/>
      <c r="AO2645" s="28" t="n">
        <f aca="false">AN2645*$M2645</f>
        <v>0</v>
      </c>
      <c r="AP2645" s="28"/>
      <c r="AQ2645" s="28" t="n">
        <f aca="false">AP2645*$M2645</f>
        <v>0</v>
      </c>
      <c r="AR2645" s="28"/>
      <c r="AS2645" s="28" t="n">
        <f aca="false">AR2645*$M2645</f>
        <v>0</v>
      </c>
      <c r="AT2645" s="28"/>
      <c r="AU2645" s="28" t="n">
        <f aca="false">AT2645*$M2645</f>
        <v>0</v>
      </c>
      <c r="AV2645" s="28"/>
      <c r="AW2645" s="28" t="n">
        <f aca="false">AV2645*$M2645</f>
        <v>0</v>
      </c>
      <c r="AX2645" s="28"/>
      <c r="AY2645" s="28" t="n">
        <f aca="false">AX2645*$M2645</f>
        <v>0</v>
      </c>
      <c r="AZ2645" s="30" t="n">
        <f aca="false">283596/100</f>
        <v>2835.96</v>
      </c>
      <c r="BA2645" s="11" t="n">
        <v>42539</v>
      </c>
      <c r="BB2645" s="31" t="n">
        <f aca="false">SUM(Q2645,S2645,U2645,W2645,Y2645,AA2645,AC2645,AE2645,AG2645,AI2645,AK2645,AM2645,AO2645,AQ2645,AS2645,AU2645,AW2645,AY2645)</f>
        <v>42539</v>
      </c>
      <c r="BC2645" s="28" t="n">
        <f aca="false">BA2645-BB2645</f>
        <v>0</v>
      </c>
      <c r="BD2645" s="32" t="n">
        <f aca="false">SUM(P2645,R2645,T2645,V2645,X2645,Z2645,AB2645,AD2645,AF2645,AH2645,AJ2645,AL2645,AN2645,AP2645,AR2645,AT2645,AV2645,AX2645)</f>
        <v>2835.96</v>
      </c>
      <c r="BE2645" s="33" t="n">
        <f aca="false">AZ2645-BD2645</f>
        <v>0</v>
      </c>
      <c r="BF2645" s="34" t="n">
        <f aca="false">BD2645*M2645</f>
        <v>42539.4</v>
      </c>
      <c r="BG2645" s="35" t="n">
        <f aca="false">BA2645-BF2645</f>
        <v>-0.400000000001455</v>
      </c>
      <c r="BH2645" s="19" t="str">
        <f aca="false">IF(BG2645=0,"",IF(BG2645&lt;&gt;BA2645,"erreur de calcul",IF(BD2645&lt;&gt;0,"pas de prix",IF(M2645&lt;&gt; 0,"pas de quantité","pas de prix, ni de quantité"))))</f>
        <v>erreur de calcul</v>
      </c>
      <c r="BI2645" s="19"/>
    </row>
    <row r="2646" customFormat="false" ht="15" hidden="false" customHeight="false" outlineLevel="0" collapsed="false">
      <c r="A2646" s="0" t="n">
        <v>23</v>
      </c>
      <c r="B2646" s="8" t="s">
        <v>24</v>
      </c>
      <c r="C2646" s="9" t="s">
        <v>25</v>
      </c>
      <c r="D2646" s="9" t="s">
        <v>26</v>
      </c>
      <c r="E2646" s="10" t="n">
        <v>1789</v>
      </c>
      <c r="F2646" s="9" t="s">
        <v>27</v>
      </c>
      <c r="G2646" s="9" t="s">
        <v>27</v>
      </c>
      <c r="H2646" s="11" t="n">
        <v>23</v>
      </c>
      <c r="I2646" s="11" t="s">
        <v>265</v>
      </c>
      <c r="J2646" s="14"/>
      <c r="K2646" s="14" t="n">
        <v>40</v>
      </c>
      <c r="L2646" s="16"/>
      <c r="M2646" s="27" t="n">
        <f aca="false">J2646+(K2646/20)+(L2646/240)</f>
        <v>2</v>
      </c>
      <c r="N2646" s="17" t="s">
        <v>66</v>
      </c>
      <c r="O2646" s="11"/>
      <c r="P2646" s="28"/>
      <c r="Q2646" s="28" t="n">
        <f aca="false">P2646*$M2646</f>
        <v>0</v>
      </c>
      <c r="R2646" s="28"/>
      <c r="S2646" s="28" t="n">
        <f aca="false">R2646*$M2646</f>
        <v>0</v>
      </c>
      <c r="T2646" s="28"/>
      <c r="U2646" s="28" t="n">
        <f aca="false">T2646*$M2646</f>
        <v>0</v>
      </c>
      <c r="V2646" s="28" t="n">
        <v>6275</v>
      </c>
      <c r="W2646" s="28" t="n">
        <v>12550</v>
      </c>
      <c r="X2646" s="28" t="n">
        <v>8662</v>
      </c>
      <c r="Y2646" s="28" t="n">
        <v>17324</v>
      </c>
      <c r="Z2646" s="28"/>
      <c r="AA2646" s="28" t="n">
        <f aca="false">Z2646*$M2646</f>
        <v>0</v>
      </c>
      <c r="AB2646" s="28" t="n">
        <v>2196</v>
      </c>
      <c r="AC2646" s="28" t="n">
        <v>4392</v>
      </c>
      <c r="AD2646" s="28"/>
      <c r="AE2646" s="28" t="n">
        <f aca="false">AD2646*$M2646</f>
        <v>0</v>
      </c>
      <c r="AF2646" s="28"/>
      <c r="AG2646" s="28" t="n">
        <f aca="false">AF2646*$M2646</f>
        <v>0</v>
      </c>
      <c r="AH2646" s="28"/>
      <c r="AI2646" s="28" t="n">
        <f aca="false">AH2646*$M2646</f>
        <v>0</v>
      </c>
      <c r="AJ2646" s="28"/>
      <c r="AK2646" s="28" t="n">
        <f aca="false">AJ2646*$M2646</f>
        <v>0</v>
      </c>
      <c r="AL2646" s="28"/>
      <c r="AM2646" s="28" t="n">
        <f aca="false">AL2646*$M2646</f>
        <v>0</v>
      </c>
      <c r="AN2646" s="28"/>
      <c r="AO2646" s="28" t="n">
        <f aca="false">AN2646*$M2646</f>
        <v>0</v>
      </c>
      <c r="AP2646" s="28"/>
      <c r="AQ2646" s="28" t="n">
        <f aca="false">AP2646*$M2646</f>
        <v>0</v>
      </c>
      <c r="AR2646" s="28"/>
      <c r="AS2646" s="28" t="n">
        <f aca="false">AR2646*$M2646</f>
        <v>0</v>
      </c>
      <c r="AT2646" s="28"/>
      <c r="AU2646" s="28" t="n">
        <f aca="false">AT2646*$M2646</f>
        <v>0</v>
      </c>
      <c r="AV2646" s="28"/>
      <c r="AW2646" s="28" t="n">
        <f aca="false">AV2646*$M2646</f>
        <v>0</v>
      </c>
      <c r="AX2646" s="28"/>
      <c r="AY2646" s="28" t="n">
        <f aca="false">AX2646*$M2646</f>
        <v>0</v>
      </c>
      <c r="AZ2646" s="30" t="n">
        <v>17133</v>
      </c>
      <c r="BA2646" s="11" t="n">
        <v>34266</v>
      </c>
      <c r="BB2646" s="31" t="n">
        <f aca="false">SUM(Q2646,S2646,U2646,W2646,Y2646,AA2646,AC2646,AE2646,AG2646,AI2646,AK2646,AM2646,AO2646,AQ2646,AS2646,AU2646,AW2646,AY2646)</f>
        <v>34266</v>
      </c>
      <c r="BC2646" s="28" t="n">
        <f aca="false">BA2646-BB2646</f>
        <v>0</v>
      </c>
      <c r="BD2646" s="32" t="n">
        <f aca="false">SUM(P2646,R2646,T2646,V2646,X2646,Z2646,AB2646,AD2646,AF2646,AH2646,AJ2646,AL2646,AN2646,AP2646,AR2646,AT2646,AV2646,AX2646)</f>
        <v>17133</v>
      </c>
      <c r="BE2646" s="33" t="n">
        <f aca="false">AZ2646-BD2646</f>
        <v>0</v>
      </c>
      <c r="BF2646" s="34" t="n">
        <f aca="false">BD2646*M2646</f>
        <v>34266</v>
      </c>
      <c r="BG2646" s="35" t="n">
        <f aca="false">BA2646-BF2646</f>
        <v>0</v>
      </c>
      <c r="BH2646" s="19" t="str">
        <f aca="false">IF(BG2646=0,"",IF(BG2646&lt;&gt;BA2646,"erreur de calcul",IF(BD2646&lt;&gt;0,"pas de prix",IF(M2646&lt;&gt; 0,"pas de quantité","pas de prix, ni de quantité"))))</f>
        <v/>
      </c>
      <c r="BI2646" s="19"/>
    </row>
    <row r="2647" customFormat="false" ht="15" hidden="false" customHeight="false" outlineLevel="0" collapsed="false">
      <c r="A2647" s="0" t="n">
        <v>24</v>
      </c>
      <c r="B2647" s="8" t="s">
        <v>24</v>
      </c>
      <c r="C2647" s="9" t="s">
        <v>25</v>
      </c>
      <c r="D2647" s="9" t="s">
        <v>26</v>
      </c>
      <c r="E2647" s="10" t="n">
        <v>1789</v>
      </c>
      <c r="F2647" s="9" t="s">
        <v>27</v>
      </c>
      <c r="G2647" s="9" t="s">
        <v>27</v>
      </c>
      <c r="H2647" s="11" t="n">
        <v>23</v>
      </c>
      <c r="I2647" s="11" t="s">
        <v>266</v>
      </c>
      <c r="J2647" s="14" t="n">
        <v>17</v>
      </c>
      <c r="K2647" s="14" t="n">
        <v>10</v>
      </c>
      <c r="L2647" s="16"/>
      <c r="M2647" s="27" t="n">
        <f aca="false">J2647+(K2647/20)+(L2647/240)</f>
        <v>17.5</v>
      </c>
      <c r="N2647" s="17" t="s">
        <v>64</v>
      </c>
      <c r="O2647" s="11"/>
      <c r="P2647" s="28" t="n">
        <f aca="false">147621/100</f>
        <v>1476.21</v>
      </c>
      <c r="Q2647" s="28" t="n">
        <v>25834</v>
      </c>
      <c r="R2647" s="28"/>
      <c r="S2647" s="28" t="n">
        <f aca="false">R2647*$M2647</f>
        <v>0</v>
      </c>
      <c r="T2647" s="28"/>
      <c r="U2647" s="28" t="n">
        <f aca="false">T2647*$M2647</f>
        <v>0</v>
      </c>
      <c r="V2647" s="28"/>
      <c r="W2647" s="28" t="n">
        <f aca="false">V2647*$M2647</f>
        <v>0</v>
      </c>
      <c r="X2647" s="28" t="n">
        <f aca="false">7220/100</f>
        <v>72.2</v>
      </c>
      <c r="Y2647" s="28" t="n">
        <v>1263</v>
      </c>
      <c r="Z2647" s="28"/>
      <c r="AA2647" s="28" t="n">
        <f aca="false">Z2647*$M2647</f>
        <v>0</v>
      </c>
      <c r="AB2647" s="28" t="n">
        <f aca="false">524444/100</f>
        <v>5244.44</v>
      </c>
      <c r="AC2647" s="36" t="n">
        <v>91767</v>
      </c>
      <c r="AD2647" s="28"/>
      <c r="AE2647" s="28" t="n">
        <f aca="false">AD2647*$M2647</f>
        <v>0</v>
      </c>
      <c r="AF2647" s="28"/>
      <c r="AG2647" s="28" t="n">
        <f aca="false">AF2647*$M2647</f>
        <v>0</v>
      </c>
      <c r="AH2647" s="28" t="n">
        <f aca="false">124394/100</f>
        <v>1243.94</v>
      </c>
      <c r="AI2647" s="28" t="n">
        <v>21769</v>
      </c>
      <c r="AJ2647" s="28"/>
      <c r="AK2647" s="28" t="n">
        <f aca="false">AJ2647*$M2647</f>
        <v>0</v>
      </c>
      <c r="AL2647" s="28"/>
      <c r="AM2647" s="28" t="n">
        <f aca="false">AL2647*$M2647</f>
        <v>0</v>
      </c>
      <c r="AN2647" s="28"/>
      <c r="AO2647" s="28" t="n">
        <f aca="false">AN2647*$M2647</f>
        <v>0</v>
      </c>
      <c r="AP2647" s="28"/>
      <c r="AQ2647" s="28" t="n">
        <f aca="false">AP2647*$M2647</f>
        <v>0</v>
      </c>
      <c r="AR2647" s="28"/>
      <c r="AS2647" s="28" t="n">
        <f aca="false">AR2647*$M2647</f>
        <v>0</v>
      </c>
      <c r="AT2647" s="28"/>
      <c r="AU2647" s="28" t="n">
        <f aca="false">AT2647*$M2647</f>
        <v>0</v>
      </c>
      <c r="AV2647" s="28"/>
      <c r="AW2647" s="28" t="n">
        <f aca="false">AV2647*$M2647</f>
        <v>0</v>
      </c>
      <c r="AX2647" s="28"/>
      <c r="AY2647" s="28" t="n">
        <f aca="false">AX2647*$M2647</f>
        <v>0</v>
      </c>
      <c r="AZ2647" s="30" t="n">
        <f aca="false">803679/100</f>
        <v>8036.79</v>
      </c>
      <c r="BA2647" s="11" t="n">
        <v>140633</v>
      </c>
      <c r="BB2647" s="31" t="n">
        <f aca="false">SUM(Q2647,S2647,U2647,W2647,Y2647,AA2647,AC2647,AE2647,AG2647,AI2647,AK2647,AM2647,AO2647,AQ2647,AS2647,AU2647,AW2647,AY2647)</f>
        <v>140633</v>
      </c>
      <c r="BC2647" s="28" t="n">
        <f aca="false">BA2647-BB2647</f>
        <v>0</v>
      </c>
      <c r="BD2647" s="32" t="n">
        <f aca="false">SUM(P2647,R2647,T2647,V2647,X2647,Z2647,AB2647,AD2647,AF2647,AH2647,AJ2647,AL2647,AN2647,AP2647,AR2647,AT2647,AV2647,AX2647)</f>
        <v>8036.79</v>
      </c>
      <c r="BE2647" s="33" t="n">
        <f aca="false">AZ2647-BD2647</f>
        <v>0</v>
      </c>
      <c r="BF2647" s="34" t="n">
        <f aca="false">BD2647*M2647</f>
        <v>140643.825</v>
      </c>
      <c r="BG2647" s="35" t="n">
        <f aca="false">BA2647-BF2647</f>
        <v>-10.8249999999825</v>
      </c>
      <c r="BH2647" s="19" t="str">
        <f aca="false">IF(BG2647=0,"",IF(BG2647&lt;&gt;BA2647,"erreur de calcul",IF(BD2647&lt;&gt;0,"pas de prix",IF(M2647&lt;&gt; 0,"pas de quantité","pas de prix, ni de quantité"))))</f>
        <v>erreur de calcul</v>
      </c>
      <c r="BI2647" s="19"/>
    </row>
    <row r="2648" customFormat="false" ht="15" hidden="false" customHeight="false" outlineLevel="0" collapsed="false">
      <c r="A2648" s="0" t="n">
        <v>25</v>
      </c>
      <c r="B2648" s="8" t="s">
        <v>24</v>
      </c>
      <c r="C2648" s="9" t="s">
        <v>25</v>
      </c>
      <c r="D2648" s="9" t="s">
        <v>26</v>
      </c>
      <c r="E2648" s="10" t="n">
        <v>1789</v>
      </c>
      <c r="F2648" s="9" t="s">
        <v>27</v>
      </c>
      <c r="G2648" s="9" t="s">
        <v>27</v>
      </c>
      <c r="H2648" s="11" t="n">
        <v>23</v>
      </c>
      <c r="I2648" s="11" t="s">
        <v>267</v>
      </c>
      <c r="J2648" s="14" t="n">
        <v>25</v>
      </c>
      <c r="K2648" s="14"/>
      <c r="L2648" s="16"/>
      <c r="M2648" s="27" t="n">
        <f aca="false">J2648+(K2648/20)+(L2648/240)</f>
        <v>25</v>
      </c>
      <c r="N2648" s="17" t="s">
        <v>64</v>
      </c>
      <c r="O2648" s="11"/>
      <c r="P2648" s="28"/>
      <c r="Q2648" s="28" t="n">
        <f aca="false">P2648*$M2648</f>
        <v>0</v>
      </c>
      <c r="R2648" s="28"/>
      <c r="S2648" s="28" t="n">
        <f aca="false">R2648*$M2648</f>
        <v>0</v>
      </c>
      <c r="T2648" s="28"/>
      <c r="U2648" s="28" t="n">
        <f aca="false">T2648*$M2648</f>
        <v>0</v>
      </c>
      <c r="V2648" s="28"/>
      <c r="W2648" s="28" t="n">
        <f aca="false">V2648*$M2648</f>
        <v>0</v>
      </c>
      <c r="X2648" s="28"/>
      <c r="Y2648" s="28" t="n">
        <f aca="false">X2648*$M2648</f>
        <v>0</v>
      </c>
      <c r="Z2648" s="28"/>
      <c r="AA2648" s="28" t="n">
        <f aca="false">Z2648*$M2648</f>
        <v>0</v>
      </c>
      <c r="AB2648" s="28" t="n">
        <f aca="false">136004/100</f>
        <v>1360.04</v>
      </c>
      <c r="AC2648" s="28" t="n">
        <v>34001</v>
      </c>
      <c r="AD2648" s="28"/>
      <c r="AE2648" s="28" t="n">
        <f aca="false">AD2648*$M2648</f>
        <v>0</v>
      </c>
      <c r="AF2648" s="28"/>
      <c r="AG2648" s="28" t="n">
        <f aca="false">AF2648*$M2648</f>
        <v>0</v>
      </c>
      <c r="AH2648" s="28" t="n">
        <f aca="false">173052/100</f>
        <v>1730.52</v>
      </c>
      <c r="AI2648" s="28" t="n">
        <v>43263</v>
      </c>
      <c r="AJ2648" s="28"/>
      <c r="AK2648" s="28" t="n">
        <f aca="false">AJ2648*$M2648</f>
        <v>0</v>
      </c>
      <c r="AL2648" s="28"/>
      <c r="AM2648" s="28" t="n">
        <f aca="false">AL2648*$M2648</f>
        <v>0</v>
      </c>
      <c r="AN2648" s="28"/>
      <c r="AO2648" s="28" t="n">
        <f aca="false">AN2648*$M2648</f>
        <v>0</v>
      </c>
      <c r="AP2648" s="28"/>
      <c r="AQ2648" s="28" t="n">
        <f aca="false">AP2648*$M2648</f>
        <v>0</v>
      </c>
      <c r="AR2648" s="28"/>
      <c r="AS2648" s="28" t="n">
        <f aca="false">AR2648*$M2648</f>
        <v>0</v>
      </c>
      <c r="AT2648" s="28"/>
      <c r="AU2648" s="28" t="n">
        <f aca="false">AT2648*$M2648</f>
        <v>0</v>
      </c>
      <c r="AV2648" s="28"/>
      <c r="AW2648" s="28" t="n">
        <f aca="false">AV2648*$M2648</f>
        <v>0</v>
      </c>
      <c r="AX2648" s="28"/>
      <c r="AY2648" s="28" t="n">
        <f aca="false">AX2648*$M2648</f>
        <v>0</v>
      </c>
      <c r="AZ2648" s="30" t="n">
        <f aca="false">309056/100</f>
        <v>3090.56</v>
      </c>
      <c r="BA2648" s="11" t="n">
        <v>77264</v>
      </c>
      <c r="BB2648" s="31" t="n">
        <f aca="false">SUM(Q2648,S2648,U2648,W2648,Y2648,AA2648,AC2648,AE2648,AG2648,AI2648,AK2648,AM2648,AO2648,AQ2648,AS2648,AU2648,AW2648,AY2648)</f>
        <v>77264</v>
      </c>
      <c r="BC2648" s="28" t="n">
        <f aca="false">BA2648-BB2648</f>
        <v>0</v>
      </c>
      <c r="BD2648" s="32" t="n">
        <f aca="false">SUM(P2648,R2648,T2648,V2648,X2648,Z2648,AB2648,AD2648,AF2648,AH2648,AJ2648,AL2648,AN2648,AP2648,AR2648,AT2648,AV2648,AX2648)</f>
        <v>3090.56</v>
      </c>
      <c r="BE2648" s="33" t="n">
        <f aca="false">AZ2648-BD2648</f>
        <v>0</v>
      </c>
      <c r="BF2648" s="34" t="n">
        <f aca="false">BD2648*M2648</f>
        <v>77264</v>
      </c>
      <c r="BG2648" s="35" t="n">
        <f aca="false">BA2648-BF2648</f>
        <v>0</v>
      </c>
      <c r="BH2648" s="19" t="str">
        <f aca="false">IF(BG2648=0,"",IF(BG2648&lt;&gt;BA2648,"erreur de calcul",IF(BD2648&lt;&gt;0,"pas de prix",IF(M2648&lt;&gt; 0,"pas de quantité","pas de prix, ni de quantité"))))</f>
        <v/>
      </c>
      <c r="BI2648" s="19"/>
    </row>
    <row r="2649" customFormat="false" ht="15" hidden="false" customHeight="false" outlineLevel="0" collapsed="false">
      <c r="A2649" s="0" t="n">
        <v>26</v>
      </c>
      <c r="B2649" s="8" t="s">
        <v>24</v>
      </c>
      <c r="C2649" s="9" t="s">
        <v>25</v>
      </c>
      <c r="D2649" s="9" t="s">
        <v>26</v>
      </c>
      <c r="E2649" s="10" t="n">
        <v>1789</v>
      </c>
      <c r="F2649" s="9" t="s">
        <v>27</v>
      </c>
      <c r="G2649" s="9" t="s">
        <v>27</v>
      </c>
      <c r="H2649" s="11" t="n">
        <v>23</v>
      </c>
      <c r="I2649" s="11" t="s">
        <v>268</v>
      </c>
      <c r="J2649" s="14" t="n">
        <v>8</v>
      </c>
      <c r="K2649" s="14"/>
      <c r="L2649" s="16"/>
      <c r="M2649" s="27" t="n">
        <f aca="false">J2649+(K2649/20)+(L2649/240)</f>
        <v>8</v>
      </c>
      <c r="N2649" s="17" t="s">
        <v>64</v>
      </c>
      <c r="O2649" s="11"/>
      <c r="P2649" s="28"/>
      <c r="Q2649" s="28" t="n">
        <f aca="false">P2649*$M2649</f>
        <v>0</v>
      </c>
      <c r="R2649" s="28"/>
      <c r="S2649" s="28" t="n">
        <f aca="false">R2649*$M2649</f>
        <v>0</v>
      </c>
      <c r="T2649" s="28" t="n">
        <f aca="false">260752/100</f>
        <v>2607.52</v>
      </c>
      <c r="U2649" s="28" t="n">
        <v>20860</v>
      </c>
      <c r="V2649" s="28" t="n">
        <f aca="false">170453/100</f>
        <v>1704.53</v>
      </c>
      <c r="W2649" s="28" t="n">
        <v>13636</v>
      </c>
      <c r="X2649" s="28"/>
      <c r="Y2649" s="28" t="n">
        <f aca="false">X2649*$M2649</f>
        <v>0</v>
      </c>
      <c r="Z2649" s="28"/>
      <c r="AA2649" s="28" t="n">
        <f aca="false">Z2649*$M2649</f>
        <v>0</v>
      </c>
      <c r="AB2649" s="28"/>
      <c r="AC2649" s="28" t="n">
        <f aca="false">AB2649*$M2649</f>
        <v>0</v>
      </c>
      <c r="AD2649" s="28"/>
      <c r="AE2649" s="28" t="n">
        <f aca="false">AD2649*$M2649</f>
        <v>0</v>
      </c>
      <c r="AF2649" s="28"/>
      <c r="AG2649" s="28" t="n">
        <f aca="false">AF2649*$M2649</f>
        <v>0</v>
      </c>
      <c r="AH2649" s="28"/>
      <c r="AI2649" s="28" t="n">
        <f aca="false">AH2649*$M2649</f>
        <v>0</v>
      </c>
      <c r="AJ2649" s="28"/>
      <c r="AK2649" s="28" t="n">
        <f aca="false">AJ2649*$M2649</f>
        <v>0</v>
      </c>
      <c r="AL2649" s="28"/>
      <c r="AM2649" s="28" t="n">
        <f aca="false">AL2649*$M2649</f>
        <v>0</v>
      </c>
      <c r="AN2649" s="28"/>
      <c r="AO2649" s="28" t="n">
        <f aca="false">AN2649*$M2649</f>
        <v>0</v>
      </c>
      <c r="AP2649" s="28"/>
      <c r="AQ2649" s="28" t="n">
        <f aca="false">AP2649*$M2649</f>
        <v>0</v>
      </c>
      <c r="AR2649" s="28"/>
      <c r="AS2649" s="28" t="n">
        <f aca="false">AR2649*$M2649</f>
        <v>0</v>
      </c>
      <c r="AT2649" s="28"/>
      <c r="AU2649" s="28" t="n">
        <f aca="false">AT2649*$M2649</f>
        <v>0</v>
      </c>
      <c r="AV2649" s="28"/>
      <c r="AW2649" s="28" t="n">
        <f aca="false">AV2649*$M2649</f>
        <v>0</v>
      </c>
      <c r="AX2649" s="28"/>
      <c r="AY2649" s="28" t="n">
        <f aca="false">AX2649*$M2649</f>
        <v>0</v>
      </c>
      <c r="AZ2649" s="30" t="n">
        <f aca="false">431205/100</f>
        <v>4312.05</v>
      </c>
      <c r="BA2649" s="11" t="n">
        <v>34496</v>
      </c>
      <c r="BB2649" s="31" t="n">
        <f aca="false">SUM(Q2649,S2649,U2649,W2649,Y2649,AA2649,AC2649,AE2649,AG2649,AI2649,AK2649,AM2649,AO2649,AQ2649,AS2649,AU2649,AW2649,AY2649)</f>
        <v>34496</v>
      </c>
      <c r="BC2649" s="28" t="n">
        <f aca="false">BA2649-BB2649</f>
        <v>0</v>
      </c>
      <c r="BD2649" s="32" t="n">
        <f aca="false">SUM(P2649,R2649,T2649,V2649,X2649,Z2649,AB2649,AD2649,AF2649,AH2649,AJ2649,AL2649,AN2649,AP2649,AR2649,AT2649,AV2649,AX2649)</f>
        <v>4312.05</v>
      </c>
      <c r="BE2649" s="33" t="n">
        <f aca="false">AZ2649-BD2649</f>
        <v>0</v>
      </c>
      <c r="BF2649" s="34" t="n">
        <f aca="false">BD2649*M2649</f>
        <v>34496.4</v>
      </c>
      <c r="BG2649" s="35" t="n">
        <f aca="false">BA2649-BF2649</f>
        <v>-0.400000000001455</v>
      </c>
      <c r="BH2649" s="19" t="str">
        <f aca="false">IF(BG2649=0,"",IF(BG2649&lt;&gt;BA2649,"erreur de calcul",IF(BD2649&lt;&gt;0,"pas de prix",IF(M2649&lt;&gt; 0,"pas de quantité","pas de prix, ni de quantité"))))</f>
        <v>erreur de calcul</v>
      </c>
      <c r="BI2649" s="19"/>
    </row>
    <row r="2650" customFormat="false" ht="15" hidden="false" customHeight="false" outlineLevel="0" collapsed="false">
      <c r="A2650" s="0" t="n">
        <v>27</v>
      </c>
      <c r="B2650" s="8" t="s">
        <v>24</v>
      </c>
      <c r="C2650" s="9" t="s">
        <v>25</v>
      </c>
      <c r="D2650" s="9" t="s">
        <v>26</v>
      </c>
      <c r="E2650" s="10" t="n">
        <v>1789</v>
      </c>
      <c r="F2650" s="9" t="s">
        <v>27</v>
      </c>
      <c r="G2650" s="9" t="s">
        <v>27</v>
      </c>
      <c r="H2650" s="11" t="n">
        <v>23</v>
      </c>
      <c r="I2650" s="11" t="s">
        <v>269</v>
      </c>
      <c r="J2650" s="14"/>
      <c r="K2650" s="14" t="n">
        <v>50</v>
      </c>
      <c r="L2650" s="16"/>
      <c r="M2650" s="27" t="n">
        <f aca="false">J2650+(K2650/20)+(L2650/240)</f>
        <v>2.5</v>
      </c>
      <c r="N2650" s="17" t="s">
        <v>85</v>
      </c>
      <c r="O2650" s="11"/>
      <c r="P2650" s="28"/>
      <c r="Q2650" s="28" t="n">
        <f aca="false">P2650*$M2650</f>
        <v>0</v>
      </c>
      <c r="R2650" s="28"/>
      <c r="S2650" s="28" t="n">
        <f aca="false">R2650*$M2650</f>
        <v>0</v>
      </c>
      <c r="T2650" s="28" t="n">
        <f aca="false">221150/100</f>
        <v>2211.5</v>
      </c>
      <c r="U2650" s="28" t="n">
        <v>5529</v>
      </c>
      <c r="V2650" s="28" t="n">
        <f aca="false">3922156/100</f>
        <v>39221.56</v>
      </c>
      <c r="W2650" s="28" t="n">
        <v>98054</v>
      </c>
      <c r="X2650" s="28"/>
      <c r="Y2650" s="28" t="n">
        <f aca="false">X2650*$M2650</f>
        <v>0</v>
      </c>
      <c r="Z2650" s="28"/>
      <c r="AA2650" s="28" t="n">
        <f aca="false">Z2650*$M2650</f>
        <v>0</v>
      </c>
      <c r="AB2650" s="28" t="n">
        <f aca="false">297900/100</f>
        <v>2979</v>
      </c>
      <c r="AC2650" s="28" t="n">
        <v>7447</v>
      </c>
      <c r="AD2650" s="28"/>
      <c r="AE2650" s="28" t="n">
        <f aca="false">AD2650*$M2650</f>
        <v>0</v>
      </c>
      <c r="AF2650" s="28"/>
      <c r="AG2650" s="28" t="n">
        <f aca="false">AF2650*$M2650</f>
        <v>0</v>
      </c>
      <c r="AH2650" s="28"/>
      <c r="AI2650" s="28" t="n">
        <f aca="false">AH2650*$M2650</f>
        <v>0</v>
      </c>
      <c r="AJ2650" s="28"/>
      <c r="AK2650" s="28" t="n">
        <f aca="false">AJ2650*$M2650</f>
        <v>0</v>
      </c>
      <c r="AL2650" s="28"/>
      <c r="AM2650" s="28" t="n">
        <f aca="false">AL2650*$M2650</f>
        <v>0</v>
      </c>
      <c r="AN2650" s="28"/>
      <c r="AO2650" s="28" t="n">
        <f aca="false">AN2650*$M2650</f>
        <v>0</v>
      </c>
      <c r="AP2650" s="28"/>
      <c r="AQ2650" s="28" t="n">
        <f aca="false">AP2650*$M2650</f>
        <v>0</v>
      </c>
      <c r="AR2650" s="28"/>
      <c r="AS2650" s="28" t="n">
        <f aca="false">AR2650*$M2650</f>
        <v>0</v>
      </c>
      <c r="AT2650" s="28"/>
      <c r="AU2650" s="28" t="n">
        <f aca="false">AT2650*$M2650</f>
        <v>0</v>
      </c>
      <c r="AV2650" s="28"/>
      <c r="AW2650" s="28" t="n">
        <f aca="false">AV2650*$M2650</f>
        <v>0</v>
      </c>
      <c r="AX2650" s="28"/>
      <c r="AY2650" s="28" t="n">
        <f aca="false">AX2650*$M2650</f>
        <v>0</v>
      </c>
      <c r="AZ2650" s="30" t="n">
        <f aca="false">4441206/100</f>
        <v>44412.06</v>
      </c>
      <c r="BA2650" s="11" t="n">
        <v>111030</v>
      </c>
      <c r="BB2650" s="31" t="n">
        <f aca="false">SUM(Q2650,S2650,U2650,W2650,Y2650,AA2650,AC2650,AE2650,AG2650,AI2650,AK2650,AM2650,AO2650,AQ2650,AS2650,AU2650,AW2650,AY2650)</f>
        <v>111030</v>
      </c>
      <c r="BC2650" s="28" t="n">
        <f aca="false">BA2650-BB2650</f>
        <v>0</v>
      </c>
      <c r="BD2650" s="32" t="n">
        <f aca="false">SUM(P2650,R2650,T2650,V2650,X2650,Z2650,AB2650,AD2650,AF2650,AH2650,AJ2650,AL2650,AN2650,AP2650,AR2650,AT2650,AV2650,AX2650)</f>
        <v>44412.06</v>
      </c>
      <c r="BE2650" s="33" t="n">
        <f aca="false">AZ2650-BD2650</f>
        <v>0</v>
      </c>
      <c r="BF2650" s="34" t="n">
        <f aca="false">BD2650*M2650</f>
        <v>111030.15</v>
      </c>
      <c r="BG2650" s="35" t="n">
        <f aca="false">BA2650-BF2650</f>
        <v>-0.149999999994179</v>
      </c>
      <c r="BH2650" s="19" t="str">
        <f aca="false">IF(BG2650=0,"",IF(BG2650&lt;&gt;BA2650,"erreur de calcul",IF(BD2650&lt;&gt;0,"pas de prix",IF(M2650&lt;&gt; 0,"pas de quantité","pas de prix, ni de quantité"))))</f>
        <v>erreur de calcul</v>
      </c>
      <c r="BI2650" s="19"/>
    </row>
    <row r="2651" customFormat="false" ht="15" hidden="false" customHeight="false" outlineLevel="0" collapsed="false">
      <c r="A2651" s="0" t="n">
        <v>28</v>
      </c>
      <c r="B2651" s="8" t="s">
        <v>24</v>
      </c>
      <c r="C2651" s="9" t="s">
        <v>25</v>
      </c>
      <c r="D2651" s="9" t="s">
        <v>26</v>
      </c>
      <c r="E2651" s="10" t="n">
        <v>1789</v>
      </c>
      <c r="F2651" s="9" t="s">
        <v>27</v>
      </c>
      <c r="G2651" s="9" t="s">
        <v>27</v>
      </c>
      <c r="H2651" s="11" t="n">
        <v>23</v>
      </c>
      <c r="I2651" s="11" t="s">
        <v>270</v>
      </c>
      <c r="J2651" s="14" t="n">
        <v>5</v>
      </c>
      <c r="K2651" s="14"/>
      <c r="L2651" s="16"/>
      <c r="M2651" s="27" t="n">
        <f aca="false">J2651+(K2651/20)+(L2651/240)</f>
        <v>5</v>
      </c>
      <c r="N2651" s="17" t="s">
        <v>85</v>
      </c>
      <c r="O2651" s="11"/>
      <c r="P2651" s="28" t="n">
        <f aca="false">328200/100</f>
        <v>3282</v>
      </c>
      <c r="Q2651" s="28" t="n">
        <v>16410</v>
      </c>
      <c r="R2651" s="28"/>
      <c r="S2651" s="28" t="n">
        <f aca="false">R2651*$M2651</f>
        <v>0</v>
      </c>
      <c r="T2651" s="28" t="n">
        <f aca="false">667000/100</f>
        <v>6670</v>
      </c>
      <c r="U2651" s="36" t="n">
        <v>33360</v>
      </c>
      <c r="V2651" s="28" t="n">
        <f aca="false">506800/100</f>
        <v>5068</v>
      </c>
      <c r="W2651" s="28" t="n">
        <v>25340</v>
      </c>
      <c r="X2651" s="28"/>
      <c r="Y2651" s="28" t="n">
        <f aca="false">X2651*$M2651</f>
        <v>0</v>
      </c>
      <c r="Z2651" s="28"/>
      <c r="AA2651" s="28" t="n">
        <f aca="false">Z2651*$M2651</f>
        <v>0</v>
      </c>
      <c r="AB2651" s="28"/>
      <c r="AC2651" s="28" t="n">
        <f aca="false">AB2651*$M2651</f>
        <v>0</v>
      </c>
      <c r="AD2651" s="28"/>
      <c r="AE2651" s="28" t="n">
        <f aca="false">AD2651*$M2651</f>
        <v>0</v>
      </c>
      <c r="AF2651" s="28"/>
      <c r="AG2651" s="28" t="n">
        <f aca="false">AF2651*$M2651</f>
        <v>0</v>
      </c>
      <c r="AH2651" s="28" t="n">
        <f aca="false">320500/100</f>
        <v>3205</v>
      </c>
      <c r="AI2651" s="28" t="n">
        <v>16025</v>
      </c>
      <c r="AJ2651" s="28"/>
      <c r="AK2651" s="28" t="n">
        <f aca="false">AJ2651*$M2651</f>
        <v>0</v>
      </c>
      <c r="AL2651" s="28"/>
      <c r="AM2651" s="28" t="n">
        <f aca="false">AL2651*$M2651</f>
        <v>0</v>
      </c>
      <c r="AN2651" s="28"/>
      <c r="AO2651" s="28" t="n">
        <f aca="false">AN2651*$M2651</f>
        <v>0</v>
      </c>
      <c r="AP2651" s="28"/>
      <c r="AQ2651" s="28" t="n">
        <f aca="false">AP2651*$M2651</f>
        <v>0</v>
      </c>
      <c r="AR2651" s="28"/>
      <c r="AS2651" s="28" t="n">
        <f aca="false">AR2651*$M2651</f>
        <v>0</v>
      </c>
      <c r="AT2651" s="28"/>
      <c r="AU2651" s="28" t="n">
        <f aca="false">AT2651*$M2651</f>
        <v>0</v>
      </c>
      <c r="AV2651" s="28"/>
      <c r="AW2651" s="28" t="n">
        <f aca="false">AV2651*$M2651</f>
        <v>0</v>
      </c>
      <c r="AX2651" s="28"/>
      <c r="AY2651" s="28" t="n">
        <f aca="false">AX2651*$M2651</f>
        <v>0</v>
      </c>
      <c r="AZ2651" s="30" t="n">
        <f aca="false">1822500/100</f>
        <v>18225</v>
      </c>
      <c r="BA2651" s="11" t="n">
        <v>91135</v>
      </c>
      <c r="BB2651" s="31" t="n">
        <f aca="false">SUM(Q2651,S2651,U2651,W2651,Y2651,AA2651,AC2651,AE2651,AG2651,AI2651,AK2651,AM2651,AO2651,AQ2651,AS2651,AU2651,AW2651,AY2651)</f>
        <v>91135</v>
      </c>
      <c r="BC2651" s="28" t="n">
        <f aca="false">BA2651-BB2651</f>
        <v>0</v>
      </c>
      <c r="BD2651" s="32" t="n">
        <f aca="false">SUM(P2651,R2651,T2651,V2651,X2651,Z2651,AB2651,AD2651,AF2651,AH2651,AJ2651,AL2651,AN2651,AP2651,AR2651,AT2651,AV2651,AX2651)</f>
        <v>18225</v>
      </c>
      <c r="BE2651" s="33" t="n">
        <f aca="false">AZ2651-BD2651</f>
        <v>0</v>
      </c>
      <c r="BF2651" s="34" t="n">
        <f aca="false">BD2651*M2651</f>
        <v>91125</v>
      </c>
      <c r="BG2651" s="35" t="n">
        <f aca="false">BA2651-BF2651</f>
        <v>10</v>
      </c>
      <c r="BH2651" s="19" t="str">
        <f aca="false">IF(BG2651=0,"",IF(BG2651&lt;&gt;BA2651,"erreur de calcul",IF(BD2651&lt;&gt;0,"pas de prix",IF(M2651&lt;&gt; 0,"pas de quantité","pas de prix, ni de quantité"))))</f>
        <v>erreur de calcul</v>
      </c>
      <c r="BI2651" s="19"/>
    </row>
    <row r="2652" customFormat="false" ht="15" hidden="false" customHeight="false" outlineLevel="0" collapsed="false">
      <c r="A2652" s="0" t="n">
        <v>29</v>
      </c>
      <c r="B2652" s="8" t="s">
        <v>24</v>
      </c>
      <c r="C2652" s="9" t="s">
        <v>25</v>
      </c>
      <c r="D2652" s="9" t="s">
        <v>26</v>
      </c>
      <c r="E2652" s="10" t="n">
        <v>1789</v>
      </c>
      <c r="F2652" s="9" t="s">
        <v>27</v>
      </c>
      <c r="G2652" s="9" t="s">
        <v>27</v>
      </c>
      <c r="H2652" s="11" t="n">
        <v>23</v>
      </c>
      <c r="I2652" s="11" t="s">
        <v>271</v>
      </c>
      <c r="J2652" s="14" t="n">
        <v>7</v>
      </c>
      <c r="K2652" s="14" t="n">
        <v>10</v>
      </c>
      <c r="L2652" s="16"/>
      <c r="M2652" s="27" t="n">
        <f aca="false">J2652+(K2652/20)+(L2652/240)</f>
        <v>7.5</v>
      </c>
      <c r="N2652" s="17" t="s">
        <v>64</v>
      </c>
      <c r="O2652" s="11"/>
      <c r="P2652" s="28"/>
      <c r="Q2652" s="28" t="n">
        <f aca="false">P2652*$M2652</f>
        <v>0</v>
      </c>
      <c r="R2652" s="28"/>
      <c r="S2652" s="28" t="n">
        <f aca="false">R2652*$M2652</f>
        <v>0</v>
      </c>
      <c r="T2652" s="28"/>
      <c r="U2652" s="28" t="n">
        <f aca="false">T2652*$M2652</f>
        <v>0</v>
      </c>
      <c r="V2652" s="28" t="n">
        <f aca="false">191888/100</f>
        <v>1918.88</v>
      </c>
      <c r="W2652" s="28" t="n">
        <v>14392</v>
      </c>
      <c r="X2652" s="28"/>
      <c r="Y2652" s="28" t="n">
        <f aca="false">X2652*$M2652</f>
        <v>0</v>
      </c>
      <c r="Z2652" s="28"/>
      <c r="AA2652" s="28" t="n">
        <f aca="false">Z2652*$M2652</f>
        <v>0</v>
      </c>
      <c r="AB2652" s="28"/>
      <c r="AC2652" s="28" t="n">
        <f aca="false">AB2652*$M2652</f>
        <v>0</v>
      </c>
      <c r="AD2652" s="28"/>
      <c r="AE2652" s="28" t="n">
        <f aca="false">AD2652*$M2652</f>
        <v>0</v>
      </c>
      <c r="AF2652" s="28"/>
      <c r="AG2652" s="28" t="n">
        <f aca="false">AF2652*$M2652</f>
        <v>0</v>
      </c>
      <c r="AH2652" s="28"/>
      <c r="AI2652" s="28" t="n">
        <f aca="false">AH2652*$M2652</f>
        <v>0</v>
      </c>
      <c r="AJ2652" s="28"/>
      <c r="AK2652" s="28" t="n">
        <f aca="false">AJ2652*$M2652</f>
        <v>0</v>
      </c>
      <c r="AL2652" s="28"/>
      <c r="AM2652" s="28" t="n">
        <f aca="false">AL2652*$M2652</f>
        <v>0</v>
      </c>
      <c r="AN2652" s="28"/>
      <c r="AO2652" s="28" t="n">
        <f aca="false">AN2652*$M2652</f>
        <v>0</v>
      </c>
      <c r="AP2652" s="28"/>
      <c r="AQ2652" s="28" t="n">
        <f aca="false">AP2652*$M2652</f>
        <v>0</v>
      </c>
      <c r="AR2652" s="28"/>
      <c r="AS2652" s="28" t="n">
        <f aca="false">AR2652*$M2652</f>
        <v>0</v>
      </c>
      <c r="AT2652" s="28"/>
      <c r="AU2652" s="28" t="n">
        <f aca="false">AT2652*$M2652</f>
        <v>0</v>
      </c>
      <c r="AV2652" s="28"/>
      <c r="AW2652" s="28" t="n">
        <f aca="false">AV2652*$M2652</f>
        <v>0</v>
      </c>
      <c r="AX2652" s="28"/>
      <c r="AY2652" s="28" t="n">
        <f aca="false">AX2652*$M2652</f>
        <v>0</v>
      </c>
      <c r="AZ2652" s="30" t="n">
        <f aca="false">191888/100</f>
        <v>1918.88</v>
      </c>
      <c r="BA2652" s="11" t="n">
        <v>14392</v>
      </c>
      <c r="BB2652" s="31" t="n">
        <f aca="false">SUM(Q2652,S2652,U2652,W2652,Y2652,AA2652,AC2652,AE2652,AG2652,AI2652,AK2652,AM2652,AO2652,AQ2652,AS2652,AU2652,AW2652,AY2652)</f>
        <v>14392</v>
      </c>
      <c r="BC2652" s="28" t="n">
        <f aca="false">BA2652-BB2652</f>
        <v>0</v>
      </c>
      <c r="BD2652" s="32" t="n">
        <f aca="false">SUM(P2652,R2652,T2652,V2652,X2652,Z2652,AB2652,AD2652,AF2652,AH2652,AJ2652,AL2652,AN2652,AP2652,AR2652,AT2652,AV2652,AX2652)</f>
        <v>1918.88</v>
      </c>
      <c r="BE2652" s="33" t="n">
        <f aca="false">AZ2652-BD2652</f>
        <v>0</v>
      </c>
      <c r="BF2652" s="34" t="n">
        <f aca="false">BD2652*M2652</f>
        <v>14391.6</v>
      </c>
      <c r="BG2652" s="35" t="n">
        <f aca="false">BA2652-BF2652</f>
        <v>0.399999999999636</v>
      </c>
      <c r="BH2652" s="19" t="str">
        <f aca="false">IF(BG2652=0,"",IF(BG2652&lt;&gt;BA2652,"erreur de calcul",IF(BD2652&lt;&gt;0,"pas de prix",IF(M2652&lt;&gt; 0,"pas de quantité","pas de prix, ni de quantité"))))</f>
        <v>erreur de calcul</v>
      </c>
      <c r="BI2652" s="19"/>
    </row>
    <row r="2653" customFormat="false" ht="15" hidden="false" customHeight="false" outlineLevel="0" collapsed="false">
      <c r="A2653" s="0" t="n">
        <v>30</v>
      </c>
      <c r="B2653" s="8" t="s">
        <v>24</v>
      </c>
      <c r="C2653" s="9" t="s">
        <v>25</v>
      </c>
      <c r="D2653" s="9" t="s">
        <v>26</v>
      </c>
      <c r="E2653" s="10" t="n">
        <v>1789</v>
      </c>
      <c r="F2653" s="9" t="s">
        <v>27</v>
      </c>
      <c r="G2653" s="9" t="s">
        <v>27</v>
      </c>
      <c r="H2653" s="11" t="n">
        <v>23</v>
      </c>
      <c r="I2653" s="11" t="s">
        <v>272</v>
      </c>
      <c r="J2653" s="14" t="n">
        <v>6</v>
      </c>
      <c r="K2653" s="14"/>
      <c r="L2653" s="16"/>
      <c r="M2653" s="27" t="n">
        <f aca="false">J2653+(K2653/20)+(L2653/240)</f>
        <v>6</v>
      </c>
      <c r="N2653" s="17" t="s">
        <v>64</v>
      </c>
      <c r="O2653" s="11"/>
      <c r="P2653" s="28"/>
      <c r="Q2653" s="28" t="n">
        <f aca="false">P2653*$M2653</f>
        <v>0</v>
      </c>
      <c r="R2653" s="28"/>
      <c r="S2653" s="28" t="n">
        <f aca="false">R2653*$M2653</f>
        <v>0</v>
      </c>
      <c r="T2653" s="28" t="n">
        <f aca="false">26711/100</f>
        <v>267.11</v>
      </c>
      <c r="U2653" s="28" t="n">
        <v>1603</v>
      </c>
      <c r="V2653" s="28" t="n">
        <f aca="false">790699/100</f>
        <v>7906.99</v>
      </c>
      <c r="W2653" s="28" t="n">
        <v>47442</v>
      </c>
      <c r="X2653" s="28" t="n">
        <f aca="false">50169/100</f>
        <v>501.69</v>
      </c>
      <c r="Y2653" s="28" t="n">
        <v>3010</v>
      </c>
      <c r="Z2653" s="28"/>
      <c r="AA2653" s="28" t="n">
        <f aca="false">Z2653*$M2653</f>
        <v>0</v>
      </c>
      <c r="AB2653" s="28"/>
      <c r="AC2653" s="28" t="n">
        <f aca="false">AB2653*$M2653</f>
        <v>0</v>
      </c>
      <c r="AD2653" s="28"/>
      <c r="AE2653" s="28" t="n">
        <f aca="false">AD2653*$M2653</f>
        <v>0</v>
      </c>
      <c r="AF2653" s="28"/>
      <c r="AG2653" s="28" t="n">
        <f aca="false">AF2653*$M2653</f>
        <v>0</v>
      </c>
      <c r="AH2653" s="28"/>
      <c r="AI2653" s="28" t="n">
        <f aca="false">AH2653*$M2653</f>
        <v>0</v>
      </c>
      <c r="AJ2653" s="28"/>
      <c r="AK2653" s="28" t="n">
        <f aca="false">AJ2653*$M2653</f>
        <v>0</v>
      </c>
      <c r="AL2653" s="28"/>
      <c r="AM2653" s="28" t="n">
        <f aca="false">AL2653*$M2653</f>
        <v>0</v>
      </c>
      <c r="AN2653" s="28"/>
      <c r="AO2653" s="28" t="n">
        <f aca="false">AN2653*$M2653</f>
        <v>0</v>
      </c>
      <c r="AP2653" s="28"/>
      <c r="AQ2653" s="28" t="n">
        <f aca="false">AP2653*$M2653</f>
        <v>0</v>
      </c>
      <c r="AR2653" s="28"/>
      <c r="AS2653" s="28" t="n">
        <f aca="false">AR2653*$M2653</f>
        <v>0</v>
      </c>
      <c r="AT2653" s="28"/>
      <c r="AU2653" s="28" t="n">
        <f aca="false">AT2653*$M2653</f>
        <v>0</v>
      </c>
      <c r="AV2653" s="28"/>
      <c r="AW2653" s="28" t="n">
        <f aca="false">AV2653*$M2653</f>
        <v>0</v>
      </c>
      <c r="AX2653" s="28"/>
      <c r="AY2653" s="28" t="n">
        <f aca="false">AX2653*$M2653</f>
        <v>0</v>
      </c>
      <c r="AZ2653" s="30" t="n">
        <f aca="false">867559/100</f>
        <v>8675.59</v>
      </c>
      <c r="BA2653" s="11" t="n">
        <v>52055</v>
      </c>
      <c r="BB2653" s="31" t="n">
        <f aca="false">SUM(Q2653,S2653,U2653,W2653,Y2653,AA2653,AC2653,AE2653,AG2653,AI2653,AK2653,AM2653,AO2653,AQ2653,AS2653,AU2653,AW2653,AY2653)</f>
        <v>52055</v>
      </c>
      <c r="BC2653" s="28" t="n">
        <f aca="false">BA2653-BB2653</f>
        <v>0</v>
      </c>
      <c r="BD2653" s="32" t="n">
        <f aca="false">SUM(P2653,R2653,T2653,V2653,X2653,Z2653,AB2653,AD2653,AF2653,AH2653,AJ2653,AL2653,AN2653,AP2653,AR2653,AT2653,AV2653,AX2653)</f>
        <v>8675.79</v>
      </c>
      <c r="BE2653" s="33" t="n">
        <f aca="false">AZ2653-BD2653</f>
        <v>-0.200000000000728</v>
      </c>
      <c r="BF2653" s="34" t="n">
        <f aca="false">BD2653*M2653</f>
        <v>52054.74</v>
      </c>
      <c r="BG2653" s="35" t="n">
        <f aca="false">BA2653-BF2653</f>
        <v>0.259999999994761</v>
      </c>
      <c r="BH2653" s="19" t="str">
        <f aca="false">IF(BG2653=0,"",IF(BG2653&lt;&gt;BA2653,"erreur de calcul",IF(BD2653&lt;&gt;0,"pas de prix",IF(M2653&lt;&gt; 0,"pas de quantité","pas de prix, ni de quantité"))))</f>
        <v>erreur de calcul</v>
      </c>
      <c r="BI2653" s="19"/>
    </row>
    <row r="2654" customFormat="false" ht="15" hidden="false" customHeight="false" outlineLevel="0" collapsed="false">
      <c r="A2654" s="0" t="n">
        <v>31</v>
      </c>
      <c r="B2654" s="8" t="s">
        <v>24</v>
      </c>
      <c r="C2654" s="9" t="s">
        <v>25</v>
      </c>
      <c r="D2654" s="9" t="s">
        <v>26</v>
      </c>
      <c r="E2654" s="10" t="n">
        <v>1789</v>
      </c>
      <c r="F2654" s="9" t="s">
        <v>27</v>
      </c>
      <c r="G2654" s="9" t="s">
        <v>27</v>
      </c>
      <c r="H2654" s="11" t="n">
        <v>23</v>
      </c>
      <c r="I2654" s="11" t="s">
        <v>273</v>
      </c>
      <c r="J2654" s="14" t="n">
        <v>8</v>
      </c>
      <c r="K2654" s="14"/>
      <c r="L2654" s="16"/>
      <c r="M2654" s="27" t="n">
        <f aca="false">J2654+(K2654/20)+(L2654/240)</f>
        <v>8</v>
      </c>
      <c r="N2654" s="17" t="s">
        <v>81</v>
      </c>
      <c r="O2654" s="11"/>
      <c r="P2654" s="28" t="n">
        <v>27</v>
      </c>
      <c r="Q2654" s="28" t="n">
        <v>216</v>
      </c>
      <c r="R2654" s="28"/>
      <c r="S2654" s="28" t="n">
        <f aca="false">R2654*$M2654</f>
        <v>0</v>
      </c>
      <c r="T2654" s="28"/>
      <c r="U2654" s="28" t="n">
        <f aca="false">T2654*$M2654</f>
        <v>0</v>
      </c>
      <c r="V2654" s="28" t="n">
        <v>40</v>
      </c>
      <c r="W2654" s="28" t="n">
        <v>320</v>
      </c>
      <c r="X2654" s="28"/>
      <c r="Y2654" s="28" t="n">
        <f aca="false">X2654*$M2654</f>
        <v>0</v>
      </c>
      <c r="Z2654" s="28"/>
      <c r="AA2654" s="28" t="n">
        <f aca="false">Z2654*$M2654</f>
        <v>0</v>
      </c>
      <c r="AB2654" s="28" t="n">
        <v>164</v>
      </c>
      <c r="AC2654" s="28" t="n">
        <v>1312</v>
      </c>
      <c r="AD2654" s="28"/>
      <c r="AE2654" s="28" t="n">
        <f aca="false">AD2654*$M2654</f>
        <v>0</v>
      </c>
      <c r="AF2654" s="28" t="n">
        <v>263</v>
      </c>
      <c r="AG2654" s="28" t="n">
        <v>2104</v>
      </c>
      <c r="AH2654" s="28"/>
      <c r="AI2654" s="28" t="n">
        <f aca="false">AH2654*$M2654</f>
        <v>0</v>
      </c>
      <c r="AJ2654" s="28"/>
      <c r="AK2654" s="28" t="n">
        <f aca="false">AJ2654*$M2654</f>
        <v>0</v>
      </c>
      <c r="AL2654" s="28"/>
      <c r="AM2654" s="28" t="n">
        <f aca="false">AL2654*$M2654</f>
        <v>0</v>
      </c>
      <c r="AN2654" s="28"/>
      <c r="AO2654" s="28" t="n">
        <f aca="false">AN2654*$M2654</f>
        <v>0</v>
      </c>
      <c r="AP2654" s="28" t="n">
        <v>278</v>
      </c>
      <c r="AQ2654" s="28" t="n">
        <v>2224</v>
      </c>
      <c r="AR2654" s="28"/>
      <c r="AS2654" s="28" t="n">
        <f aca="false">AR2654*$M2654</f>
        <v>0</v>
      </c>
      <c r="AT2654" s="28"/>
      <c r="AU2654" s="28" t="n">
        <f aca="false">AT2654*$M2654</f>
        <v>0</v>
      </c>
      <c r="AV2654" s="28"/>
      <c r="AW2654" s="28" t="n">
        <f aca="false">AV2654*$M2654</f>
        <v>0</v>
      </c>
      <c r="AX2654" s="28"/>
      <c r="AY2654" s="28" t="n">
        <f aca="false">AX2654*$M2654</f>
        <v>0</v>
      </c>
      <c r="AZ2654" s="30" t="n">
        <v>772</v>
      </c>
      <c r="BA2654" s="11" t="n">
        <v>6176</v>
      </c>
      <c r="BB2654" s="31" t="n">
        <f aca="false">SUM(Q2654,S2654,U2654,W2654,Y2654,AA2654,AC2654,AE2654,AG2654,AI2654,AK2654,AM2654,AO2654,AQ2654,AS2654,AU2654,AW2654,AY2654)</f>
        <v>6176</v>
      </c>
      <c r="BC2654" s="28" t="n">
        <f aca="false">BA2654-BB2654</f>
        <v>0</v>
      </c>
      <c r="BD2654" s="32" t="n">
        <f aca="false">SUM(P2654,R2654,T2654,V2654,X2654,Z2654,AB2654,AD2654,AF2654,AH2654,AJ2654,AL2654,AN2654,AP2654,AR2654,AT2654,AV2654,AX2654)</f>
        <v>772</v>
      </c>
      <c r="BE2654" s="33" t="n">
        <f aca="false">AZ2654-BD2654</f>
        <v>0</v>
      </c>
      <c r="BF2654" s="34" t="n">
        <f aca="false">BD2654*M2654</f>
        <v>6176</v>
      </c>
      <c r="BG2654" s="35" t="n">
        <f aca="false">BA2654-BF2654</f>
        <v>0</v>
      </c>
      <c r="BH2654" s="19" t="str">
        <f aca="false">IF(BG2654=0,"",IF(BG2654&lt;&gt;BA2654,"erreur de calcul",IF(BD2654&lt;&gt;0,"pas de prix",IF(M2654&lt;&gt; 0,"pas de quantité","pas de prix, ni de quantité"))))</f>
        <v/>
      </c>
      <c r="BI2654" s="19"/>
    </row>
    <row r="2655" customFormat="false" ht="15" hidden="false" customHeight="false" outlineLevel="0" collapsed="false">
      <c r="A2655" s="0" t="n">
        <v>32</v>
      </c>
      <c r="B2655" s="8" t="s">
        <v>24</v>
      </c>
      <c r="C2655" s="9" t="s">
        <v>25</v>
      </c>
      <c r="D2655" s="9" t="s">
        <v>26</v>
      </c>
      <c r="E2655" s="10" t="n">
        <v>1789</v>
      </c>
      <c r="F2655" s="9" t="s">
        <v>27</v>
      </c>
      <c r="G2655" s="9" t="s">
        <v>27</v>
      </c>
      <c r="H2655" s="11" t="n">
        <v>23</v>
      </c>
      <c r="I2655" s="11" t="s">
        <v>274</v>
      </c>
      <c r="J2655" s="14" t="n">
        <v>17</v>
      </c>
      <c r="K2655" s="14"/>
      <c r="L2655" s="16"/>
      <c r="M2655" s="27" t="n">
        <f aca="false">J2655+(K2655/20)+(L2655/240)</f>
        <v>17</v>
      </c>
      <c r="N2655" s="17" t="s">
        <v>275</v>
      </c>
      <c r="O2655" s="11"/>
      <c r="P2655" s="28" t="n">
        <v>200</v>
      </c>
      <c r="Q2655" s="28" t="n">
        <v>3400</v>
      </c>
      <c r="R2655" s="28"/>
      <c r="S2655" s="28" t="n">
        <f aca="false">R2655*$M2655</f>
        <v>0</v>
      </c>
      <c r="T2655" s="28"/>
      <c r="U2655" s="28" t="n">
        <f aca="false">T2655*$M2655</f>
        <v>0</v>
      </c>
      <c r="V2655" s="28"/>
      <c r="W2655" s="28" t="n">
        <f aca="false">V2655*$M2655</f>
        <v>0</v>
      </c>
      <c r="X2655" s="28" t="n">
        <v>145</v>
      </c>
      <c r="Y2655" s="28" t="n">
        <v>2465</v>
      </c>
      <c r="Z2655" s="28"/>
      <c r="AA2655" s="28" t="n">
        <f aca="false">Z2655*$M2655</f>
        <v>0</v>
      </c>
      <c r="AB2655" s="28"/>
      <c r="AC2655" s="28" t="n">
        <f aca="false">AB2655*$M2655</f>
        <v>0</v>
      </c>
      <c r="AD2655" s="28"/>
      <c r="AE2655" s="28" t="n">
        <f aca="false">AD2655*$M2655</f>
        <v>0</v>
      </c>
      <c r="AF2655" s="28"/>
      <c r="AG2655" s="28" t="n">
        <f aca="false">AF2655*$M2655</f>
        <v>0</v>
      </c>
      <c r="AH2655" s="28"/>
      <c r="AI2655" s="28" t="n">
        <f aca="false">AH2655*$M2655</f>
        <v>0</v>
      </c>
      <c r="AJ2655" s="28"/>
      <c r="AK2655" s="28" t="n">
        <f aca="false">AJ2655*$M2655</f>
        <v>0</v>
      </c>
      <c r="AL2655" s="28" t="n">
        <v>12</v>
      </c>
      <c r="AM2655" s="28" t="n">
        <v>204</v>
      </c>
      <c r="AN2655" s="28"/>
      <c r="AO2655" s="28" t="n">
        <f aca="false">AN2655*$M2655</f>
        <v>0</v>
      </c>
      <c r="AP2655" s="28"/>
      <c r="AQ2655" s="28" t="n">
        <f aca="false">AP2655*$M2655</f>
        <v>0</v>
      </c>
      <c r="AR2655" s="28"/>
      <c r="AS2655" s="28" t="n">
        <f aca="false">AR2655*$M2655</f>
        <v>0</v>
      </c>
      <c r="AT2655" s="28"/>
      <c r="AU2655" s="28" t="n">
        <f aca="false">AT2655*$M2655</f>
        <v>0</v>
      </c>
      <c r="AV2655" s="28"/>
      <c r="AW2655" s="28" t="n">
        <f aca="false">AV2655*$M2655</f>
        <v>0</v>
      </c>
      <c r="AX2655" s="28"/>
      <c r="AY2655" s="28" t="n">
        <f aca="false">AX2655*$M2655</f>
        <v>0</v>
      </c>
      <c r="AZ2655" s="30" t="n">
        <v>357</v>
      </c>
      <c r="BA2655" s="11" t="n">
        <v>6069</v>
      </c>
      <c r="BB2655" s="31" t="n">
        <f aca="false">SUM(Q2655,S2655,U2655,W2655,Y2655,AA2655,AC2655,AE2655,AG2655,AI2655,AK2655,AM2655,AO2655,AQ2655,AS2655,AU2655,AW2655,AY2655)</f>
        <v>6069</v>
      </c>
      <c r="BC2655" s="28" t="n">
        <f aca="false">BA2655-BB2655</f>
        <v>0</v>
      </c>
      <c r="BD2655" s="32" t="n">
        <f aca="false">SUM(P2655,R2655,T2655,V2655,X2655,Z2655,AB2655,AD2655,AF2655,AH2655,AJ2655,AL2655,AN2655,AP2655,AR2655,AT2655,AV2655,AX2655)</f>
        <v>357</v>
      </c>
      <c r="BE2655" s="33" t="n">
        <f aca="false">AZ2655-BD2655</f>
        <v>0</v>
      </c>
      <c r="BF2655" s="34" t="n">
        <f aca="false">BD2655*M2655</f>
        <v>6069</v>
      </c>
      <c r="BG2655" s="35" t="n">
        <f aca="false">BA2655-BF2655</f>
        <v>0</v>
      </c>
      <c r="BH2655" s="19" t="str">
        <f aca="false">IF(BG2655=0,"",IF(BG2655&lt;&gt;BA2655,"erreur de calcul",IF(BD2655&lt;&gt;0,"pas de prix",IF(M2655&lt;&gt; 0,"pas de quantité","pas de prix, ni de quantité"))))</f>
        <v/>
      </c>
      <c r="BI2655" s="19" t="s">
        <v>275</v>
      </c>
    </row>
    <row r="2656" customFormat="false" ht="15" hidden="false" customHeight="false" outlineLevel="0" collapsed="false">
      <c r="A2656" s="0" t="n">
        <v>33</v>
      </c>
      <c r="B2656" s="8" t="s">
        <v>24</v>
      </c>
      <c r="C2656" s="9" t="s">
        <v>25</v>
      </c>
      <c r="D2656" s="9" t="s">
        <v>26</v>
      </c>
      <c r="E2656" s="10" t="n">
        <v>1789</v>
      </c>
      <c r="F2656" s="9" t="s">
        <v>27</v>
      </c>
      <c r="G2656" s="9" t="s">
        <v>27</v>
      </c>
      <c r="H2656" s="11" t="n">
        <v>23</v>
      </c>
      <c r="I2656" s="11" t="s">
        <v>276</v>
      </c>
      <c r="J2656" s="14" t="n">
        <v>36</v>
      </c>
      <c r="K2656" s="14"/>
      <c r="L2656" s="16"/>
      <c r="M2656" s="27" t="n">
        <f aca="false">J2656+(K2656/20)+(L2656/240)</f>
        <v>36</v>
      </c>
      <c r="N2656" s="17" t="s">
        <v>275</v>
      </c>
      <c r="O2656" s="11" t="s">
        <v>277</v>
      </c>
      <c r="P2656" s="28"/>
      <c r="Q2656" s="28" t="n">
        <f aca="false">P2656*$M2656</f>
        <v>0</v>
      </c>
      <c r="R2656" s="28"/>
      <c r="S2656" s="28" t="n">
        <f aca="false">R2656*$M2656</f>
        <v>0</v>
      </c>
      <c r="T2656" s="28"/>
      <c r="U2656" s="28" t="n">
        <f aca="false">T2656*$M2656</f>
        <v>0</v>
      </c>
      <c r="V2656" s="28"/>
      <c r="W2656" s="28" t="n">
        <f aca="false">V2656*$M2656</f>
        <v>0</v>
      </c>
      <c r="X2656" s="28"/>
      <c r="Y2656" s="28" t="n">
        <f aca="false">X2656*$M2656</f>
        <v>0</v>
      </c>
      <c r="Z2656" s="28"/>
      <c r="AA2656" s="28" t="n">
        <f aca="false">Z2656*$M2656</f>
        <v>0</v>
      </c>
      <c r="AB2656" s="28"/>
      <c r="AC2656" s="28" t="n">
        <f aca="false">AB2656*$M2656</f>
        <v>0</v>
      </c>
      <c r="AD2656" s="28"/>
      <c r="AE2656" s="28" t="n">
        <f aca="false">AD2656*$M2656</f>
        <v>0</v>
      </c>
      <c r="AF2656" s="28"/>
      <c r="AG2656" s="28" t="n">
        <f aca="false">AF2656*$M2656</f>
        <v>0</v>
      </c>
      <c r="AH2656" s="28"/>
      <c r="AI2656" s="28" t="n">
        <f aca="false">AH2656*$M2656</f>
        <v>0</v>
      </c>
      <c r="AJ2656" s="28"/>
      <c r="AK2656" s="28" t="n">
        <f aca="false">AJ2656*$M2656</f>
        <v>0</v>
      </c>
      <c r="AL2656" s="28"/>
      <c r="AM2656" s="28" t="n">
        <f aca="false">AL2656*$M2656</f>
        <v>0</v>
      </c>
      <c r="AN2656" s="28"/>
      <c r="AO2656" s="28" t="n">
        <f aca="false">AN2656*$M2656</f>
        <v>0</v>
      </c>
      <c r="AP2656" s="28"/>
      <c r="AQ2656" s="28" t="n">
        <f aca="false">AP2656*$M2656</f>
        <v>0</v>
      </c>
      <c r="AR2656" s="28"/>
      <c r="AS2656" s="28" t="n">
        <f aca="false">AR2656*$M2656</f>
        <v>0</v>
      </c>
      <c r="AT2656" s="28"/>
      <c r="AU2656" s="28" t="n">
        <f aca="false">AT2656*$M2656</f>
        <v>0</v>
      </c>
      <c r="AV2656" s="28"/>
      <c r="AW2656" s="28" t="n">
        <f aca="false">AV2656*$M2656</f>
        <v>0</v>
      </c>
      <c r="AX2656" s="28"/>
      <c r="AY2656" s="28" t="n">
        <f aca="false">AX2656*$M2656</f>
        <v>0</v>
      </c>
      <c r="AZ2656" s="30"/>
      <c r="BA2656" s="11"/>
      <c r="BB2656" s="31" t="n">
        <f aca="false">SUM(Q2656,S2656,U2656,W2656,Y2656,AA2656,AC2656,AE2656,AG2656,AI2656,AK2656,AM2656,AO2656,AQ2656,AS2656,AU2656,AW2656,AY2656)</f>
        <v>0</v>
      </c>
      <c r="BC2656" s="28" t="n">
        <f aca="false">BA2656-BB2656</f>
        <v>0</v>
      </c>
      <c r="BD2656" s="32" t="n">
        <f aca="false">SUM(P2656,R2656,T2656,V2656,X2656,Z2656,AB2656,AD2656,AF2656,AH2656,AJ2656,AL2656,AN2656,AP2656,AR2656,AT2656,AV2656,AX2656)</f>
        <v>0</v>
      </c>
      <c r="BE2656" s="33" t="n">
        <f aca="false">AZ2656-BD2656</f>
        <v>0</v>
      </c>
      <c r="BF2656" s="34" t="n">
        <f aca="false">BD2656*M2656</f>
        <v>0</v>
      </c>
      <c r="BG2656" s="35" t="n">
        <f aca="false">BA2656-BF2656</f>
        <v>0</v>
      </c>
      <c r="BH2656" s="19" t="str">
        <f aca="false">IF(BG2656=0,"",IF(BG2656&lt;&gt;BA2656,"erreur de calcul",IF(BD2656&lt;&gt;0,"pas de prix",IF(M2656&lt;&gt; 0,"pas de quantité","pas de prix, ni de quantité"))))</f>
        <v/>
      </c>
      <c r="BI2656" s="19" t="s">
        <v>275</v>
      </c>
    </row>
    <row r="2657" customFormat="false" ht="15" hidden="false" customHeight="false" outlineLevel="0" collapsed="false">
      <c r="A2657" s="0" t="n">
        <v>34</v>
      </c>
      <c r="B2657" s="8" t="s">
        <v>24</v>
      </c>
      <c r="C2657" s="9" t="s">
        <v>25</v>
      </c>
      <c r="D2657" s="9" t="s">
        <v>26</v>
      </c>
      <c r="E2657" s="10" t="n">
        <v>1789</v>
      </c>
      <c r="F2657" s="9" t="s">
        <v>27</v>
      </c>
      <c r="G2657" s="9" t="s">
        <v>27</v>
      </c>
      <c r="H2657" s="11" t="n">
        <v>23</v>
      </c>
      <c r="I2657" s="11" t="s">
        <v>276</v>
      </c>
      <c r="J2657" s="14" t="n">
        <v>36</v>
      </c>
      <c r="K2657" s="14"/>
      <c r="L2657" s="16"/>
      <c r="M2657" s="27" t="n">
        <f aca="false">J2657+(K2657/20)+(L2657/240)</f>
        <v>36</v>
      </c>
      <c r="N2657" s="17" t="s">
        <v>275</v>
      </c>
      <c r="O2657" s="11" t="s">
        <v>77</v>
      </c>
      <c r="P2657" s="28" t="n">
        <v>7250</v>
      </c>
      <c r="Q2657" s="28" t="n">
        <v>261000</v>
      </c>
      <c r="R2657" s="28"/>
      <c r="S2657" s="28" t="n">
        <f aca="false">R2657*$M2657</f>
        <v>0</v>
      </c>
      <c r="T2657" s="28" t="n">
        <v>38389</v>
      </c>
      <c r="U2657" s="28" t="n">
        <v>1382004</v>
      </c>
      <c r="V2657" s="28" t="n">
        <v>19350</v>
      </c>
      <c r="W2657" s="28" t="n">
        <v>696600</v>
      </c>
      <c r="X2657" s="28" t="n">
        <v>25392</v>
      </c>
      <c r="Y2657" s="28" t="n">
        <v>914112</v>
      </c>
      <c r="Z2657" s="28" t="n">
        <v>31863</v>
      </c>
      <c r="AA2657" s="28" t="n">
        <v>1147068</v>
      </c>
      <c r="AB2657" s="28" t="n">
        <v>149064</v>
      </c>
      <c r="AC2657" s="28" t="n">
        <v>5366304</v>
      </c>
      <c r="AD2657" s="28" t="n">
        <v>1270</v>
      </c>
      <c r="AE2657" s="28" t="n">
        <v>45720</v>
      </c>
      <c r="AF2657" s="28" t="n">
        <v>54784</v>
      </c>
      <c r="AG2657" s="28" t="n">
        <v>1972224</v>
      </c>
      <c r="AH2657" s="28" t="n">
        <v>1200</v>
      </c>
      <c r="AI2657" s="28" t="n">
        <v>43200</v>
      </c>
      <c r="AJ2657" s="28" t="n">
        <v>10055</v>
      </c>
      <c r="AK2657" s="28" t="n">
        <v>361980</v>
      </c>
      <c r="AL2657" s="28"/>
      <c r="AM2657" s="28" t="n">
        <f aca="false">AL2657*$M2657</f>
        <v>0</v>
      </c>
      <c r="AN2657" s="28"/>
      <c r="AO2657" s="28" t="n">
        <f aca="false">AN2657*$M2657</f>
        <v>0</v>
      </c>
      <c r="AP2657" s="28" t="n">
        <v>220</v>
      </c>
      <c r="AQ2657" s="28" t="n">
        <f aca="false">AP2657*$M2657</f>
        <v>7920</v>
      </c>
      <c r="AR2657" s="28"/>
      <c r="AS2657" s="28" t="n">
        <f aca="false">AR2657*$M2657</f>
        <v>0</v>
      </c>
      <c r="AT2657" s="28"/>
      <c r="AU2657" s="28" t="n">
        <f aca="false">AT2657*$M2657</f>
        <v>0</v>
      </c>
      <c r="AV2657" s="28" t="n">
        <v>100</v>
      </c>
      <c r="AW2657" s="28" t="n">
        <v>3600</v>
      </c>
      <c r="AX2657" s="28" t="n">
        <v>9241</v>
      </c>
      <c r="AY2657" s="28" t="n">
        <v>332676</v>
      </c>
      <c r="AZ2657" s="30" t="n">
        <v>348178</v>
      </c>
      <c r="BA2657" s="11" t="n">
        <v>12534408</v>
      </c>
      <c r="BB2657" s="31" t="n">
        <f aca="false">SUM(Q2657,S2657,U2657,W2657,Y2657,AA2657,AC2657,AE2657,AG2657,AI2657,AK2657,AM2657,AO2657,AQ2657,AS2657,AU2657,AW2657,AY2657)</f>
        <v>12534408</v>
      </c>
      <c r="BC2657" s="28" t="n">
        <f aca="false">BA2657-BB2657</f>
        <v>0</v>
      </c>
      <c r="BD2657" s="32" t="n">
        <f aca="false">SUM(P2657,R2657,T2657,V2657,X2657,Z2657,AB2657,AD2657,AF2657,AH2657,AJ2657,AL2657,AN2657,AP2657,AR2657,AT2657,AV2657,AX2657)</f>
        <v>348178</v>
      </c>
      <c r="BE2657" s="33" t="n">
        <f aca="false">AZ2657-BD2657</f>
        <v>0</v>
      </c>
      <c r="BF2657" s="34" t="n">
        <f aca="false">BD2657*M2657</f>
        <v>12534408</v>
      </c>
      <c r="BG2657" s="35" t="n">
        <f aca="false">BA2657-BF2657</f>
        <v>0</v>
      </c>
      <c r="BH2657" s="19" t="str">
        <f aca="false">IF(BG2657=0,"",IF(BG2657&lt;&gt;BA2657,"erreur de calcul",IF(BD2657&lt;&gt;0,"pas de prix",IF(M2657&lt;&gt; 0,"pas de quantité","pas de prix, ni de quantité"))))</f>
        <v/>
      </c>
      <c r="BI2657" s="19"/>
    </row>
    <row r="2658" customFormat="false" ht="15" hidden="false" customHeight="false" outlineLevel="0" collapsed="false">
      <c r="A2658" s="0" t="n">
        <v>35</v>
      </c>
      <c r="B2658" s="8" t="s">
        <v>24</v>
      </c>
      <c r="C2658" s="9" t="s">
        <v>25</v>
      </c>
      <c r="D2658" s="9" t="s">
        <v>26</v>
      </c>
      <c r="E2658" s="10" t="n">
        <v>1789</v>
      </c>
      <c r="F2658" s="9" t="s">
        <v>27</v>
      </c>
      <c r="G2658" s="9" t="s">
        <v>27</v>
      </c>
      <c r="H2658" s="11" t="n">
        <v>23</v>
      </c>
      <c r="I2658" s="11" t="s">
        <v>278</v>
      </c>
      <c r="J2658" s="14" t="n">
        <v>12</v>
      </c>
      <c r="K2658" s="14"/>
      <c r="L2658" s="16"/>
      <c r="M2658" s="27" t="n">
        <f aca="false">J2658+(K2658/20)+(L2658/240)</f>
        <v>12</v>
      </c>
      <c r="N2658" s="17" t="s">
        <v>64</v>
      </c>
      <c r="O2658" s="11" t="s">
        <v>77</v>
      </c>
      <c r="P2658" s="28" t="n">
        <f aca="false">351312/100</f>
        <v>3513.12</v>
      </c>
      <c r="Q2658" s="28" t="n">
        <v>42157</v>
      </c>
      <c r="R2658" s="28"/>
      <c r="S2658" s="28" t="n">
        <f aca="false">R2658*$M2658</f>
        <v>0</v>
      </c>
      <c r="T2658" s="28" t="n">
        <f aca="false">52251/100</f>
        <v>522.51</v>
      </c>
      <c r="U2658" s="28" t="n">
        <v>6270</v>
      </c>
      <c r="V2658" s="28" t="n">
        <f aca="false">2393/100</f>
        <v>23.93</v>
      </c>
      <c r="W2658" s="28" t="n">
        <v>287</v>
      </c>
      <c r="X2658" s="28" t="n">
        <f aca="false">44842/100</f>
        <v>448.42</v>
      </c>
      <c r="Y2658" s="28" t="n">
        <v>5381</v>
      </c>
      <c r="Z2658" s="28"/>
      <c r="AA2658" s="28" t="n">
        <f aca="false">Z2658*$M2658</f>
        <v>0</v>
      </c>
      <c r="AB2658" s="28"/>
      <c r="AC2658" s="28" t="n">
        <f aca="false">AB2658*$M2658</f>
        <v>0</v>
      </c>
      <c r="AD2658" s="28"/>
      <c r="AE2658" s="28" t="n">
        <f aca="false">AD2658*$M2658</f>
        <v>0</v>
      </c>
      <c r="AF2658" s="28" t="n">
        <f aca="false">164167/100</f>
        <v>1641.67</v>
      </c>
      <c r="AG2658" s="28" t="n">
        <v>19700</v>
      </c>
      <c r="AH2658" s="28"/>
      <c r="AI2658" s="28" t="n">
        <f aca="false">AH2658*$M2658</f>
        <v>0</v>
      </c>
      <c r="AJ2658" s="28"/>
      <c r="AK2658" s="28" t="n">
        <f aca="false">AJ2658*$M2658</f>
        <v>0</v>
      </c>
      <c r="AL2658" s="28"/>
      <c r="AM2658" s="28" t="n">
        <f aca="false">AL2658*$M2658</f>
        <v>0</v>
      </c>
      <c r="AN2658" s="28"/>
      <c r="AO2658" s="28" t="n">
        <f aca="false">AN2658*$M2658</f>
        <v>0</v>
      </c>
      <c r="AP2658" s="28"/>
      <c r="AQ2658" s="28" t="n">
        <f aca="false">AP2658*$M2658</f>
        <v>0</v>
      </c>
      <c r="AR2658" s="28"/>
      <c r="AS2658" s="28" t="n">
        <f aca="false">AR2658*$M2658</f>
        <v>0</v>
      </c>
      <c r="AT2658" s="28"/>
      <c r="AU2658" s="28" t="n">
        <f aca="false">AT2658*$M2658</f>
        <v>0</v>
      </c>
      <c r="AV2658" s="28"/>
      <c r="AW2658" s="28" t="n">
        <f aca="false">AV2658*$M2658</f>
        <v>0</v>
      </c>
      <c r="AX2658" s="28" t="n">
        <f aca="false">25000/100</f>
        <v>250</v>
      </c>
      <c r="AY2658" s="28" t="n">
        <v>3000</v>
      </c>
      <c r="AZ2658" s="30"/>
      <c r="BA2658" s="11" t="n">
        <v>76795</v>
      </c>
      <c r="BB2658" s="31" t="n">
        <f aca="false">SUM(Q2658,S2658,U2658,W2658,Y2658,AA2658,AC2658,AE2658,AG2658,AI2658,AK2658,AM2658,AO2658,AQ2658,AS2658,AU2658,AW2658,AY2658)</f>
        <v>76795</v>
      </c>
      <c r="BC2658" s="28" t="n">
        <f aca="false">BA2658-BB2658</f>
        <v>0</v>
      </c>
      <c r="BD2658" s="32" t="n">
        <f aca="false">SUM(P2658,R2658,T2658,V2658,X2658,Z2658,AB2658,AD2658,AF2658,AH2658,AJ2658,AL2658,AN2658,AP2658,AR2658,AT2658,AV2658,AX2658)</f>
        <v>6399.65</v>
      </c>
      <c r="BE2658" s="33" t="n">
        <f aca="false">AZ2658-BD2658</f>
        <v>-6399.65</v>
      </c>
      <c r="BF2658" s="34" t="n">
        <f aca="false">BD2658*M2658</f>
        <v>76795.8</v>
      </c>
      <c r="BG2658" s="35" t="n">
        <f aca="false">BA2658-BF2658</f>
        <v>-0.799999999988359</v>
      </c>
      <c r="BH2658" s="19" t="str">
        <f aca="false">IF(BG2658=0,"",IF(BG2658&lt;&gt;BA2658,"erreur de calcul",IF(BD2658&lt;&gt;0,"pas de prix",IF(M2658&lt;&gt; 0,"pas de quantité","pas de prix, ni de quantité"))))</f>
        <v>erreur de calcul</v>
      </c>
      <c r="BI2658" s="19"/>
    </row>
    <row r="2659" customFormat="false" ht="15" hidden="false" customHeight="false" outlineLevel="0" collapsed="false">
      <c r="A2659" s="0" t="n">
        <v>36</v>
      </c>
      <c r="B2659" s="8" t="s">
        <v>24</v>
      </c>
      <c r="C2659" s="9" t="s">
        <v>25</v>
      </c>
      <c r="D2659" s="9" t="s">
        <v>26</v>
      </c>
      <c r="E2659" s="10" t="n">
        <v>1789</v>
      </c>
      <c r="F2659" s="9" t="s">
        <v>27</v>
      </c>
      <c r="G2659" s="9" t="s">
        <v>27</v>
      </c>
      <c r="H2659" s="11" t="n">
        <v>23</v>
      </c>
      <c r="I2659" s="11" t="s">
        <v>279</v>
      </c>
      <c r="J2659" s="14" t="n">
        <v>18</v>
      </c>
      <c r="K2659" s="14"/>
      <c r="L2659" s="16"/>
      <c r="M2659" s="27" t="n">
        <f aca="false">J2659+(K2659/20)+(L2659/240)</f>
        <v>18</v>
      </c>
      <c r="N2659" s="17" t="s">
        <v>275</v>
      </c>
      <c r="O2659" s="11"/>
      <c r="P2659" s="28"/>
      <c r="Q2659" s="28" t="n">
        <f aca="false">P2659*$M2659</f>
        <v>0</v>
      </c>
      <c r="R2659" s="28"/>
      <c r="S2659" s="28" t="n">
        <f aca="false">R2659*$M2659</f>
        <v>0</v>
      </c>
      <c r="T2659" s="28" t="n">
        <v>100</v>
      </c>
      <c r="U2659" s="28" t="n">
        <v>1800</v>
      </c>
      <c r="V2659" s="28"/>
      <c r="W2659" s="28" t="n">
        <f aca="false">V2659*$M2659</f>
        <v>0</v>
      </c>
      <c r="X2659" s="28"/>
      <c r="Y2659" s="28" t="n">
        <f aca="false">X2659*$M2659</f>
        <v>0</v>
      </c>
      <c r="Z2659" s="28"/>
      <c r="AA2659" s="28" t="n">
        <f aca="false">Z2659*$M2659</f>
        <v>0</v>
      </c>
      <c r="AB2659" s="28" t="n">
        <v>1936</v>
      </c>
      <c r="AC2659" s="28" t="n">
        <v>34848</v>
      </c>
      <c r="AD2659" s="28"/>
      <c r="AE2659" s="28" t="n">
        <f aca="false">AD2659*$M2659</f>
        <v>0</v>
      </c>
      <c r="AF2659" s="28" t="n">
        <v>600</v>
      </c>
      <c r="AG2659" s="28" t="n">
        <v>10800</v>
      </c>
      <c r="AH2659" s="28"/>
      <c r="AI2659" s="28" t="n">
        <f aca="false">AH2659*$M2659</f>
        <v>0</v>
      </c>
      <c r="AJ2659" s="28"/>
      <c r="AK2659" s="28" t="n">
        <f aca="false">AJ2659*$M2659</f>
        <v>0</v>
      </c>
      <c r="AL2659" s="28" t="n">
        <v>12</v>
      </c>
      <c r="AM2659" s="28" t="n">
        <v>216</v>
      </c>
      <c r="AN2659" s="28"/>
      <c r="AO2659" s="28" t="n">
        <f aca="false">AN2659*$M2659</f>
        <v>0</v>
      </c>
      <c r="AP2659" s="28" t="n">
        <v>12</v>
      </c>
      <c r="AQ2659" s="28" t="n">
        <v>216</v>
      </c>
      <c r="AR2659" s="28"/>
      <c r="AS2659" s="28" t="n">
        <f aca="false">AR2659*$M2659</f>
        <v>0</v>
      </c>
      <c r="AT2659" s="28"/>
      <c r="AU2659" s="28" t="n">
        <f aca="false">AT2659*$M2659</f>
        <v>0</v>
      </c>
      <c r="AV2659" s="28"/>
      <c r="AW2659" s="28" t="n">
        <f aca="false">AV2659*$M2659</f>
        <v>0</v>
      </c>
      <c r="AX2659" s="28"/>
      <c r="AY2659" s="28" t="n">
        <f aca="false">AX2659*$M2659</f>
        <v>0</v>
      </c>
      <c r="AZ2659" s="30" t="n">
        <v>2660</v>
      </c>
      <c r="BA2659" s="11" t="n">
        <v>47880</v>
      </c>
      <c r="BB2659" s="31" t="n">
        <f aca="false">SUM(Q2659,S2659,U2659,W2659,Y2659,AA2659,AC2659,AE2659,AG2659,AI2659,AK2659,AM2659,AO2659,AQ2659,AS2659,AU2659,AW2659,AY2659)</f>
        <v>47880</v>
      </c>
      <c r="BC2659" s="28" t="n">
        <f aca="false">BA2659-BB2659</f>
        <v>0</v>
      </c>
      <c r="BD2659" s="32" t="n">
        <f aca="false">SUM(P2659,R2659,T2659,V2659,X2659,Z2659,AB2659,AD2659,AF2659,AH2659,AJ2659,AL2659,AN2659,AP2659,AR2659,AT2659,AV2659,AX2659)</f>
        <v>2660</v>
      </c>
      <c r="BE2659" s="33" t="n">
        <f aca="false">AZ2659-BD2659</f>
        <v>0</v>
      </c>
      <c r="BF2659" s="34" t="n">
        <f aca="false">BD2659*M2659</f>
        <v>47880</v>
      </c>
      <c r="BG2659" s="35" t="n">
        <f aca="false">BA2659-BF2659</f>
        <v>0</v>
      </c>
      <c r="BH2659" s="19" t="str">
        <f aca="false">IF(BG2659=0,"",IF(BG2659&lt;&gt;BA2659,"erreur de calcul",IF(BD2659&lt;&gt;0,"pas de prix",IF(M2659&lt;&gt; 0,"pas de quantité","pas de prix, ni de quantité"))))</f>
        <v/>
      </c>
      <c r="BI2659" s="19"/>
    </row>
    <row r="2660" customFormat="false" ht="15" hidden="false" customHeight="false" outlineLevel="0" collapsed="false">
      <c r="A2660" s="0" t="n">
        <v>37</v>
      </c>
      <c r="B2660" s="8" t="s">
        <v>24</v>
      </c>
      <c r="C2660" s="9" t="s">
        <v>25</v>
      </c>
      <c r="D2660" s="9" t="s">
        <v>26</v>
      </c>
      <c r="E2660" s="10" t="n">
        <v>1789</v>
      </c>
      <c r="F2660" s="9" t="s">
        <v>27</v>
      </c>
      <c r="G2660" s="9" t="s">
        <v>27</v>
      </c>
      <c r="H2660" s="11" t="n">
        <v>23</v>
      </c>
      <c r="I2660" s="11" t="s">
        <v>280</v>
      </c>
      <c r="J2660" s="14" t="n">
        <v>25</v>
      </c>
      <c r="K2660" s="14"/>
      <c r="L2660" s="16"/>
      <c r="M2660" s="27" t="n">
        <f aca="false">J2660+(K2660/20)+(L2660/240)</f>
        <v>25</v>
      </c>
      <c r="N2660" s="17" t="s">
        <v>64</v>
      </c>
      <c r="O2660" s="11"/>
      <c r="P2660" s="28"/>
      <c r="Q2660" s="28" t="n">
        <f aca="false">P2660*$M2660</f>
        <v>0</v>
      </c>
      <c r="R2660" s="28"/>
      <c r="S2660" s="28" t="n">
        <f aca="false">R2660*$M2660</f>
        <v>0</v>
      </c>
      <c r="T2660" s="28" t="n">
        <f aca="false">1664501/100</f>
        <v>16645.01</v>
      </c>
      <c r="U2660" s="28" t="n">
        <v>416125</v>
      </c>
      <c r="V2660" s="28" t="n">
        <f aca="false">2171980/100</f>
        <v>21719.8</v>
      </c>
      <c r="W2660" s="28" t="n">
        <v>542995</v>
      </c>
      <c r="X2660" s="28" t="n">
        <f aca="false">11567/100</f>
        <v>115.67</v>
      </c>
      <c r="Y2660" s="28" t="n">
        <v>2892</v>
      </c>
      <c r="Z2660" s="28" t="n">
        <f aca="false">985/100</f>
        <v>9.85</v>
      </c>
      <c r="AA2660" s="28" t="n">
        <v>246</v>
      </c>
      <c r="AB2660" s="28" t="n">
        <f aca="false">399494/100</f>
        <v>3994.94</v>
      </c>
      <c r="AC2660" s="28" t="n">
        <v>99873</v>
      </c>
      <c r="AD2660" s="28"/>
      <c r="AE2660" s="28" t="n">
        <f aca="false">AD2660*$M2660</f>
        <v>0</v>
      </c>
      <c r="AF2660" s="28"/>
      <c r="AG2660" s="28" t="n">
        <f aca="false">AF2660*$M2660</f>
        <v>0</v>
      </c>
      <c r="AH2660" s="28"/>
      <c r="AI2660" s="28" t="n">
        <f aca="false">AH2660*$M2660</f>
        <v>0</v>
      </c>
      <c r="AJ2660" s="28"/>
      <c r="AK2660" s="28" t="n">
        <f aca="false">AJ2660*$M2660</f>
        <v>0</v>
      </c>
      <c r="AL2660" s="28"/>
      <c r="AM2660" s="28" t="n">
        <f aca="false">AL2660*$M2660</f>
        <v>0</v>
      </c>
      <c r="AN2660" s="28"/>
      <c r="AO2660" s="28" t="n">
        <f aca="false">AN2660*$M2660</f>
        <v>0</v>
      </c>
      <c r="AP2660" s="28"/>
      <c r="AQ2660" s="28" t="n">
        <f aca="false">AP2660*$M2660</f>
        <v>0</v>
      </c>
      <c r="AR2660" s="28"/>
      <c r="AS2660" s="28" t="n">
        <f aca="false">AR2660*$M2660</f>
        <v>0</v>
      </c>
      <c r="AT2660" s="28"/>
      <c r="AU2660" s="28" t="n">
        <f aca="false">AT2660*$M2660</f>
        <v>0</v>
      </c>
      <c r="AV2660" s="28"/>
      <c r="AW2660" s="28" t="n">
        <f aca="false">AV2660*$M2660</f>
        <v>0</v>
      </c>
      <c r="AX2660" s="28" t="n">
        <f aca="false">57000/100</f>
        <v>570</v>
      </c>
      <c r="AY2660" s="28" t="n">
        <v>14250</v>
      </c>
      <c r="AZ2660" s="30" t="n">
        <f aca="false">4305527/100</f>
        <v>43055.27</v>
      </c>
      <c r="BA2660" s="11" t="n">
        <v>1076381</v>
      </c>
      <c r="BB2660" s="31" t="n">
        <f aca="false">SUM(Q2660,S2660,U2660,W2660,Y2660,AA2660,AC2660,AE2660,AG2660,AI2660,AK2660,AM2660,AO2660,AQ2660,AS2660,AU2660,AW2660,AY2660)</f>
        <v>1076381</v>
      </c>
      <c r="BC2660" s="28" t="n">
        <f aca="false">BA2660-BB2660</f>
        <v>0</v>
      </c>
      <c r="BD2660" s="32" t="n">
        <f aca="false">SUM(P2660,R2660,T2660,V2660,X2660,Z2660,AB2660,AD2660,AF2660,AH2660,AJ2660,AL2660,AN2660,AP2660,AR2660,AT2660,AV2660,AX2660)</f>
        <v>43055.27</v>
      </c>
      <c r="BE2660" s="33" t="n">
        <f aca="false">AZ2660-BD2660</f>
        <v>0</v>
      </c>
      <c r="BF2660" s="34" t="n">
        <f aca="false">BD2660*M2660</f>
        <v>1076381.75</v>
      </c>
      <c r="BG2660" s="35" t="n">
        <f aca="false">BA2660-BF2660</f>
        <v>-0.75</v>
      </c>
      <c r="BH2660" s="19" t="str">
        <f aca="false">IF(BG2660=0,"",IF(BG2660&lt;&gt;BA2660,"erreur de calcul",IF(BD2660&lt;&gt;0,"pas de prix",IF(M2660&lt;&gt; 0,"pas de quantité","pas de prix, ni de quantité"))))</f>
        <v>erreur de calcul</v>
      </c>
      <c r="BI2660" s="19"/>
    </row>
    <row r="2661" customFormat="false" ht="15" hidden="false" customHeight="false" outlineLevel="0" collapsed="false">
      <c r="A2661" s="0" t="n">
        <v>38</v>
      </c>
      <c r="B2661" s="8" t="s">
        <v>24</v>
      </c>
      <c r="C2661" s="9" t="s">
        <v>25</v>
      </c>
      <c r="D2661" s="9" t="s">
        <v>26</v>
      </c>
      <c r="E2661" s="10" t="n">
        <v>1789</v>
      </c>
      <c r="F2661" s="9" t="s">
        <v>27</v>
      </c>
      <c r="G2661" s="9" t="s">
        <v>27</v>
      </c>
      <c r="H2661" s="11" t="n">
        <v>23</v>
      </c>
      <c r="I2661" s="11" t="s">
        <v>281</v>
      </c>
      <c r="J2661" s="14" t="n">
        <v>18</v>
      </c>
      <c r="K2661" s="14"/>
      <c r="L2661" s="16"/>
      <c r="M2661" s="27" t="n">
        <f aca="false">J2661+(K2661/20)+(L2661/240)</f>
        <v>18</v>
      </c>
      <c r="N2661" s="17" t="s">
        <v>275</v>
      </c>
      <c r="O2661" s="11"/>
      <c r="P2661" s="28"/>
      <c r="Q2661" s="28" t="n">
        <f aca="false">P2661*$M2661</f>
        <v>0</v>
      </c>
      <c r="R2661" s="28"/>
      <c r="S2661" s="28" t="n">
        <f aca="false">R2661*$M2661</f>
        <v>0</v>
      </c>
      <c r="T2661" s="28" t="n">
        <v>537</v>
      </c>
      <c r="U2661" s="28" t="n">
        <v>9666</v>
      </c>
      <c r="V2661" s="28"/>
      <c r="W2661" s="28" t="n">
        <f aca="false">V2661*$M2661</f>
        <v>0</v>
      </c>
      <c r="X2661" s="28"/>
      <c r="Y2661" s="28" t="n">
        <f aca="false">X2661*$M2661</f>
        <v>0</v>
      </c>
      <c r="Z2661" s="28"/>
      <c r="AA2661" s="28" t="n">
        <f aca="false">Z2661*$M2661</f>
        <v>0</v>
      </c>
      <c r="AB2661" s="28"/>
      <c r="AC2661" s="28" t="n">
        <f aca="false">AB2661*$M2661</f>
        <v>0</v>
      </c>
      <c r="AD2661" s="28"/>
      <c r="AE2661" s="28" t="n">
        <f aca="false">AD2661*$M2661</f>
        <v>0</v>
      </c>
      <c r="AF2661" s="28"/>
      <c r="AG2661" s="28" t="n">
        <f aca="false">AF2661*$M2661</f>
        <v>0</v>
      </c>
      <c r="AH2661" s="28"/>
      <c r="AI2661" s="28" t="n">
        <f aca="false">AH2661*$M2661</f>
        <v>0</v>
      </c>
      <c r="AJ2661" s="28"/>
      <c r="AK2661" s="28" t="n">
        <f aca="false">AJ2661*$M2661</f>
        <v>0</v>
      </c>
      <c r="AL2661" s="28"/>
      <c r="AM2661" s="28" t="n">
        <f aca="false">AL2661*$M2661</f>
        <v>0</v>
      </c>
      <c r="AN2661" s="28"/>
      <c r="AO2661" s="28" t="n">
        <f aca="false">AN2661*$M2661</f>
        <v>0</v>
      </c>
      <c r="AP2661" s="28"/>
      <c r="AQ2661" s="28" t="n">
        <f aca="false">AP2661*$M2661</f>
        <v>0</v>
      </c>
      <c r="AR2661" s="28"/>
      <c r="AS2661" s="28" t="n">
        <f aca="false">AR2661*$M2661</f>
        <v>0</v>
      </c>
      <c r="AT2661" s="28"/>
      <c r="AU2661" s="28" t="n">
        <f aca="false">AT2661*$M2661</f>
        <v>0</v>
      </c>
      <c r="AV2661" s="28" t="n">
        <v>1700</v>
      </c>
      <c r="AW2661" s="36" t="n">
        <v>33600</v>
      </c>
      <c r="AX2661" s="28"/>
      <c r="AY2661" s="28" t="n">
        <f aca="false">AX2661*$M2661</f>
        <v>0</v>
      </c>
      <c r="AZ2661" s="30" t="n">
        <v>2237</v>
      </c>
      <c r="BA2661" s="11" t="n">
        <v>43266</v>
      </c>
      <c r="BB2661" s="31" t="n">
        <f aca="false">SUM(Q2661,S2661,U2661,W2661,Y2661,AA2661,AC2661,AE2661,AG2661,AI2661,AK2661,AM2661,AO2661,AQ2661,AS2661,AU2661,AW2661,AY2661)</f>
        <v>43266</v>
      </c>
      <c r="BC2661" s="28" t="n">
        <f aca="false">BA2661-BB2661</f>
        <v>0</v>
      </c>
      <c r="BD2661" s="32" t="n">
        <f aca="false">SUM(P2661,R2661,T2661,V2661,X2661,Z2661,AB2661,AD2661,AF2661,AH2661,AJ2661,AL2661,AN2661,AP2661,AR2661,AT2661,AV2661,AX2661)</f>
        <v>2237</v>
      </c>
      <c r="BE2661" s="33" t="n">
        <f aca="false">AZ2661-BD2661</f>
        <v>0</v>
      </c>
      <c r="BF2661" s="34" t="n">
        <f aca="false">BD2661*M2661</f>
        <v>40266</v>
      </c>
      <c r="BG2661" s="35" t="n">
        <f aca="false">BA2661-BF2661</f>
        <v>3000</v>
      </c>
      <c r="BH2661" s="19" t="str">
        <f aca="false">IF(BG2661=0,"",IF(BG2661&lt;&gt;BA2661,"erreur de calcul",IF(BD2661&lt;&gt;0,"pas de prix",IF(M2661&lt;&gt; 0,"pas de quantité","pas de prix, ni de quantité"))))</f>
        <v>erreur de calcul</v>
      </c>
      <c r="BI2661" s="19"/>
    </row>
    <row r="2662" customFormat="false" ht="15" hidden="false" customHeight="false" outlineLevel="0" collapsed="false">
      <c r="A2662" s="0" t="n">
        <v>39</v>
      </c>
      <c r="B2662" s="8" t="s">
        <v>24</v>
      </c>
      <c r="C2662" s="9" t="s">
        <v>25</v>
      </c>
      <c r="D2662" s="9" t="s">
        <v>26</v>
      </c>
      <c r="E2662" s="10" t="n">
        <v>1789</v>
      </c>
      <c r="F2662" s="9" t="s">
        <v>27</v>
      </c>
      <c r="G2662" s="9" t="s">
        <v>27</v>
      </c>
      <c r="H2662" s="11" t="n">
        <v>23</v>
      </c>
      <c r="I2662" s="11" t="s">
        <v>282</v>
      </c>
      <c r="J2662" s="14"/>
      <c r="K2662" s="14"/>
      <c r="L2662" s="16"/>
      <c r="M2662" s="27" t="n">
        <f aca="false">J2662+(K2662/20)+(L2662/240)</f>
        <v>0</v>
      </c>
      <c r="N2662" s="17"/>
      <c r="O2662" s="11"/>
      <c r="P2662" s="28"/>
      <c r="Q2662" s="28" t="n">
        <f aca="false">P2662*$M2662</f>
        <v>0</v>
      </c>
      <c r="R2662" s="28"/>
      <c r="S2662" s="28" t="n">
        <f aca="false">R2662*$M2662</f>
        <v>0</v>
      </c>
      <c r="T2662" s="28"/>
      <c r="U2662" s="28" t="n">
        <v>1962</v>
      </c>
      <c r="V2662" s="28"/>
      <c r="W2662" s="28" t="n">
        <v>148</v>
      </c>
      <c r="X2662" s="28"/>
      <c r="Y2662" s="28" t="n">
        <v>221</v>
      </c>
      <c r="Z2662" s="28"/>
      <c r="AA2662" s="28" t="n">
        <f aca="false">Z2662*$M2662</f>
        <v>0</v>
      </c>
      <c r="AB2662" s="28"/>
      <c r="AC2662" s="28" t="n">
        <v>725</v>
      </c>
      <c r="AD2662" s="28"/>
      <c r="AE2662" s="28" t="n">
        <f aca="false">AD2662*$M2662</f>
        <v>0</v>
      </c>
      <c r="AF2662" s="28"/>
      <c r="AG2662" s="28" t="n">
        <v>414</v>
      </c>
      <c r="AH2662" s="28"/>
      <c r="AI2662" s="28" t="n">
        <f aca="false">AH2662*$M2662</f>
        <v>0</v>
      </c>
      <c r="AJ2662" s="28"/>
      <c r="AK2662" s="28" t="n">
        <f aca="false">AJ2662*$M2662</f>
        <v>0</v>
      </c>
      <c r="AL2662" s="28"/>
      <c r="AM2662" s="28" t="n">
        <f aca="false">AL2662*$M2662</f>
        <v>0</v>
      </c>
      <c r="AN2662" s="28"/>
      <c r="AO2662" s="28" t="n">
        <f aca="false">AN2662*$M2662</f>
        <v>0</v>
      </c>
      <c r="AP2662" s="28"/>
      <c r="AQ2662" s="28" t="n">
        <f aca="false">AP2662*$M2662</f>
        <v>0</v>
      </c>
      <c r="AR2662" s="28"/>
      <c r="AS2662" s="28" t="n">
        <f aca="false">AR2662*$M2662</f>
        <v>0</v>
      </c>
      <c r="AT2662" s="28"/>
      <c r="AU2662" s="28" t="n">
        <v>276</v>
      </c>
      <c r="AV2662" s="28"/>
      <c r="AW2662" s="28" t="n">
        <f aca="false">AV2662*$M2662</f>
        <v>0</v>
      </c>
      <c r="AX2662" s="28"/>
      <c r="AY2662" s="28" t="n">
        <f aca="false">AX2662*$M2662</f>
        <v>0</v>
      </c>
      <c r="AZ2662" s="30"/>
      <c r="BA2662" s="11" t="n">
        <v>3746</v>
      </c>
      <c r="BB2662" s="31" t="n">
        <f aca="false">SUM(Q2662,S2662,U2662,W2662,Y2662,AA2662,AC2662,AE2662,AG2662,AI2662,AK2662,AM2662,AO2662,AQ2662,AS2662,AU2662,AW2662,AY2662)</f>
        <v>3746</v>
      </c>
      <c r="BC2662" s="28" t="n">
        <f aca="false">BA2662-BB2662</f>
        <v>0</v>
      </c>
      <c r="BD2662" s="32" t="n">
        <f aca="false">SUM(P2662,R2662,T2662,V2662,X2662,Z2662,AB2662,AD2662,AF2662,AH2662,AJ2662,AL2662,AN2662,AP2662,AR2662,AT2662,AV2662,AX2662)</f>
        <v>0</v>
      </c>
      <c r="BE2662" s="33" t="n">
        <f aca="false">AZ2662-BD2662</f>
        <v>0</v>
      </c>
      <c r="BF2662" s="34" t="n">
        <f aca="false">BD2662*M2662</f>
        <v>0</v>
      </c>
      <c r="BG2662" s="35" t="n">
        <f aca="false">BA2662-BF2662</f>
        <v>3746</v>
      </c>
      <c r="BH2662" s="19" t="str">
        <f aca="false">IF(BG2662=0,"",IF(BG2662&lt;&gt;BA2662,"erreur de calcul",IF(BD2662&lt;&gt;0,"pas de prix",IF(M2662&lt;&gt; 0,"pas de quantité","pas de prix, ni de quantité"))))</f>
        <v>pas de prix, ni de quantité</v>
      </c>
      <c r="BI2662" s="19"/>
    </row>
    <row r="2663" customFormat="false" ht="15" hidden="false" customHeight="false" outlineLevel="0" collapsed="false">
      <c r="A2663" s="0" t="n">
        <v>40</v>
      </c>
      <c r="B2663" s="8" t="s">
        <v>24</v>
      </c>
      <c r="C2663" s="9" t="s">
        <v>25</v>
      </c>
      <c r="D2663" s="9" t="s">
        <v>26</v>
      </c>
      <c r="E2663" s="10" t="n">
        <v>1789</v>
      </c>
      <c r="F2663" s="9" t="s">
        <v>27</v>
      </c>
      <c r="G2663" s="9" t="s">
        <v>27</v>
      </c>
      <c r="H2663" s="11" t="n">
        <v>23</v>
      </c>
      <c r="I2663" s="11" t="s">
        <v>283</v>
      </c>
      <c r="J2663" s="14" t="n">
        <v>25</v>
      </c>
      <c r="K2663" s="14"/>
      <c r="L2663" s="16"/>
      <c r="M2663" s="27" t="n">
        <f aca="false">J2663+(K2663/20)+(L2663/240)</f>
        <v>25</v>
      </c>
      <c r="N2663" s="17" t="s">
        <v>64</v>
      </c>
      <c r="O2663" s="11"/>
      <c r="P2663" s="28" t="n">
        <f aca="false">12568/100</f>
        <v>125.68</v>
      </c>
      <c r="Q2663" s="28" t="n">
        <v>3142</v>
      </c>
      <c r="R2663" s="28"/>
      <c r="S2663" s="28" t="n">
        <f aca="false">R2663*$M2663</f>
        <v>0</v>
      </c>
      <c r="T2663" s="28"/>
      <c r="U2663" s="28" t="n">
        <f aca="false">T2663*$M2663</f>
        <v>0</v>
      </c>
      <c r="V2663" s="28"/>
      <c r="W2663" s="28" t="n">
        <f aca="false">V2663*$M2663</f>
        <v>0</v>
      </c>
      <c r="X2663" s="28"/>
      <c r="Y2663" s="28" t="n">
        <f aca="false">X2663*$M2663</f>
        <v>0</v>
      </c>
      <c r="Z2663" s="28"/>
      <c r="AA2663" s="28" t="n">
        <f aca="false">Z2663*$M2663</f>
        <v>0</v>
      </c>
      <c r="AB2663" s="28"/>
      <c r="AC2663" s="28" t="n">
        <f aca="false">AB2663*$M2663</f>
        <v>0</v>
      </c>
      <c r="AD2663" s="28"/>
      <c r="AE2663" s="28" t="n">
        <f aca="false">AD2663*$M2663</f>
        <v>0</v>
      </c>
      <c r="AF2663" s="28"/>
      <c r="AG2663" s="28" t="n">
        <f aca="false">AF2663*$M2663</f>
        <v>0</v>
      </c>
      <c r="AH2663" s="28" t="n">
        <f aca="false">5355/100</f>
        <v>53.55</v>
      </c>
      <c r="AI2663" s="28" t="n">
        <v>1339</v>
      </c>
      <c r="AJ2663" s="28"/>
      <c r="AK2663" s="28" t="n">
        <f aca="false">AJ2663*$M2663</f>
        <v>0</v>
      </c>
      <c r="AL2663" s="28"/>
      <c r="AM2663" s="28" t="n">
        <f aca="false">AL2663*$M2663</f>
        <v>0</v>
      </c>
      <c r="AN2663" s="28"/>
      <c r="AO2663" s="28" t="n">
        <f aca="false">AN2663*$M2663</f>
        <v>0</v>
      </c>
      <c r="AP2663" s="28"/>
      <c r="AQ2663" s="28" t="n">
        <f aca="false">AP2663*$M2663</f>
        <v>0</v>
      </c>
      <c r="AR2663" s="28"/>
      <c r="AS2663" s="28" t="n">
        <f aca="false">AR2663*$M2663</f>
        <v>0</v>
      </c>
      <c r="AT2663" s="28"/>
      <c r="AU2663" s="28" t="n">
        <f aca="false">AT2663*$M2663</f>
        <v>0</v>
      </c>
      <c r="AV2663" s="28"/>
      <c r="AW2663" s="28" t="n">
        <f aca="false">AV2663*$M2663</f>
        <v>0</v>
      </c>
      <c r="AX2663" s="28"/>
      <c r="AY2663" s="28" t="n">
        <f aca="false">AX2663*$M2663</f>
        <v>0</v>
      </c>
      <c r="AZ2663" s="30" t="n">
        <f aca="false">17923/100</f>
        <v>179.23</v>
      </c>
      <c r="BA2663" s="11" t="n">
        <v>4481</v>
      </c>
      <c r="BB2663" s="31" t="n">
        <f aca="false">SUM(Q2663,S2663,U2663,W2663,Y2663,AA2663,AC2663,AE2663,AG2663,AI2663,AK2663,AM2663,AO2663,AQ2663,AS2663,AU2663,AW2663,AY2663)</f>
        <v>4481</v>
      </c>
      <c r="BC2663" s="28" t="n">
        <f aca="false">BA2663-BB2663</f>
        <v>0</v>
      </c>
      <c r="BD2663" s="32" t="n">
        <f aca="false">SUM(P2663,R2663,T2663,V2663,X2663,Z2663,AB2663,AD2663,AF2663,AH2663,AJ2663,AL2663,AN2663,AP2663,AR2663,AT2663,AV2663,AX2663)</f>
        <v>179.23</v>
      </c>
      <c r="BE2663" s="33" t="n">
        <f aca="false">AZ2663-BD2663</f>
        <v>0</v>
      </c>
      <c r="BF2663" s="34" t="n">
        <f aca="false">BD2663*M2663</f>
        <v>4480.75</v>
      </c>
      <c r="BG2663" s="35" t="n">
        <f aca="false">BA2663-BF2663</f>
        <v>0.25</v>
      </c>
      <c r="BH2663" s="19" t="str">
        <f aca="false">IF(BG2663=0,"",IF(BG2663&lt;&gt;BA2663,"erreur de calcul",IF(BD2663&lt;&gt;0,"pas de prix",IF(M2663&lt;&gt; 0,"pas de quantité","pas de prix, ni de quantité"))))</f>
        <v>erreur de calcul</v>
      </c>
      <c r="BI2663" s="19"/>
    </row>
    <row r="2664" customFormat="false" ht="15" hidden="false" customHeight="false" outlineLevel="0" collapsed="false">
      <c r="A2664" s="0" t="n">
        <v>41</v>
      </c>
      <c r="B2664" s="8" t="s">
        <v>24</v>
      </c>
      <c r="C2664" s="9" t="s">
        <v>25</v>
      </c>
      <c r="D2664" s="9" t="s">
        <v>26</v>
      </c>
      <c r="E2664" s="10" t="n">
        <v>1789</v>
      </c>
      <c r="F2664" s="9" t="s">
        <v>27</v>
      </c>
      <c r="G2664" s="9" t="s">
        <v>27</v>
      </c>
      <c r="H2664" s="11" t="n">
        <v>23</v>
      </c>
      <c r="I2664" s="11" t="s">
        <v>284</v>
      </c>
      <c r="J2664" s="14" t="n">
        <v>17</v>
      </c>
      <c r="K2664" s="14"/>
      <c r="L2664" s="16"/>
      <c r="M2664" s="27" t="n">
        <f aca="false">J2664+(K2664/20)+(L2664/240)</f>
        <v>17</v>
      </c>
      <c r="N2664" s="17" t="s">
        <v>64</v>
      </c>
      <c r="O2664" s="11"/>
      <c r="P2664" s="28" t="n">
        <f aca="false">56873/100</f>
        <v>568.73</v>
      </c>
      <c r="Q2664" s="36" t="n">
        <v>3981</v>
      </c>
      <c r="R2664" s="28"/>
      <c r="S2664" s="28" t="n">
        <f aca="false">R2664*$M2664</f>
        <v>0</v>
      </c>
      <c r="T2664" s="28"/>
      <c r="U2664" s="28" t="n">
        <f aca="false">T2664*$M2664</f>
        <v>0</v>
      </c>
      <c r="V2664" s="28"/>
      <c r="W2664" s="28" t="n">
        <f aca="false">V2664*$M2664</f>
        <v>0</v>
      </c>
      <c r="X2664" s="28"/>
      <c r="Y2664" s="28" t="n">
        <f aca="false">X2664*$M2664</f>
        <v>0</v>
      </c>
      <c r="Z2664" s="28"/>
      <c r="AA2664" s="28" t="n">
        <f aca="false">Z2664*$M2664</f>
        <v>0</v>
      </c>
      <c r="AB2664" s="28"/>
      <c r="AC2664" s="28" t="n">
        <f aca="false">AB2664*$M2664</f>
        <v>0</v>
      </c>
      <c r="AD2664" s="28"/>
      <c r="AE2664" s="28" t="n">
        <f aca="false">AD2664*$M2664</f>
        <v>0</v>
      </c>
      <c r="AF2664" s="28"/>
      <c r="AG2664" s="28" t="n">
        <f aca="false">AF2664*$M2664</f>
        <v>0</v>
      </c>
      <c r="AH2664" s="28"/>
      <c r="AI2664" s="28" t="n">
        <f aca="false">AH2664*$M2664</f>
        <v>0</v>
      </c>
      <c r="AJ2664" s="28" t="n">
        <f aca="false">19651/100</f>
        <v>196.51</v>
      </c>
      <c r="AK2664" s="28" t="n">
        <v>3341</v>
      </c>
      <c r="AL2664" s="28"/>
      <c r="AM2664" s="28" t="n">
        <f aca="false">AL2664*$M2664</f>
        <v>0</v>
      </c>
      <c r="AN2664" s="28"/>
      <c r="AO2664" s="28" t="n">
        <f aca="false">AN2664*$M2664</f>
        <v>0</v>
      </c>
      <c r="AP2664" s="28"/>
      <c r="AQ2664" s="28" t="n">
        <f aca="false">AP2664*$M2664</f>
        <v>0</v>
      </c>
      <c r="AR2664" s="28"/>
      <c r="AS2664" s="28" t="n">
        <f aca="false">AR2664*$M2664</f>
        <v>0</v>
      </c>
      <c r="AT2664" s="28"/>
      <c r="AU2664" s="28" t="n">
        <f aca="false">AT2664*$M2664</f>
        <v>0</v>
      </c>
      <c r="AV2664" s="28"/>
      <c r="AW2664" s="28" t="n">
        <f aca="false">AV2664*$M2664</f>
        <v>0</v>
      </c>
      <c r="AX2664" s="28"/>
      <c r="AY2664" s="28" t="n">
        <f aca="false">AX2664*$M2664</f>
        <v>0</v>
      </c>
      <c r="AZ2664" s="30" t="n">
        <f aca="false">76524/100</f>
        <v>765.24</v>
      </c>
      <c r="BA2664" s="11" t="n">
        <v>7322</v>
      </c>
      <c r="BB2664" s="31" t="n">
        <f aca="false">SUM(Q2664,S2664,U2664,W2664,Y2664,AA2664,AC2664,AE2664,AG2664,AI2664,AK2664,AM2664,AO2664,AQ2664,AS2664,AU2664,AW2664,AY2664)</f>
        <v>7322</v>
      </c>
      <c r="BC2664" s="28" t="n">
        <f aca="false">BA2664-BB2664</f>
        <v>0</v>
      </c>
      <c r="BD2664" s="32" t="n">
        <f aca="false">SUM(P2664,R2664,T2664,V2664,X2664,Z2664,AB2664,AD2664,AF2664,AH2664,AJ2664,AL2664,AN2664,AP2664,AR2664,AT2664,AV2664,AX2664)</f>
        <v>765.24</v>
      </c>
      <c r="BE2664" s="33" t="n">
        <f aca="false">AZ2664-BD2664</f>
        <v>0</v>
      </c>
      <c r="BF2664" s="34" t="n">
        <f aca="false">BD2664*M2664</f>
        <v>13009.08</v>
      </c>
      <c r="BG2664" s="35" t="n">
        <f aca="false">BA2664-BF2664</f>
        <v>-5687.08</v>
      </c>
      <c r="BH2664" s="19" t="str">
        <f aca="false">IF(BG2664=0,"",IF(BG2664&lt;&gt;BA2664,"erreur de calcul",IF(BD2664&lt;&gt;0,"pas de prix",IF(M2664&lt;&gt; 0,"pas de quantité","pas de prix, ni de quantité"))))</f>
        <v>erreur de calcul</v>
      </c>
      <c r="BI2664" s="19"/>
    </row>
    <row r="2665" customFormat="false" ht="15" hidden="false" customHeight="false" outlineLevel="0" collapsed="false">
      <c r="A2665" s="0" t="n">
        <v>42</v>
      </c>
      <c r="B2665" s="8" t="s">
        <v>24</v>
      </c>
      <c r="C2665" s="9" t="s">
        <v>25</v>
      </c>
      <c r="D2665" s="9" t="s">
        <v>26</v>
      </c>
      <c r="E2665" s="10" t="n">
        <v>1789</v>
      </c>
      <c r="F2665" s="9" t="s">
        <v>27</v>
      </c>
      <c r="G2665" s="9" t="s">
        <v>27</v>
      </c>
      <c r="H2665" s="11" t="n">
        <v>23</v>
      </c>
      <c r="I2665" s="11" t="s">
        <v>285</v>
      </c>
      <c r="J2665" s="14" t="n">
        <v>15</v>
      </c>
      <c r="K2665" s="14"/>
      <c r="L2665" s="16"/>
      <c r="M2665" s="27" t="n">
        <f aca="false">J2665+(K2665/20)+(L2665/240)</f>
        <v>15</v>
      </c>
      <c r="N2665" s="17" t="s">
        <v>64</v>
      </c>
      <c r="O2665" s="11"/>
      <c r="P2665" s="28" t="n">
        <f aca="false">10520/100</f>
        <v>105.2</v>
      </c>
      <c r="Q2665" s="28" t="n">
        <v>1578</v>
      </c>
      <c r="R2665" s="28"/>
      <c r="S2665" s="28" t="n">
        <f aca="false">R2665*$M2665</f>
        <v>0</v>
      </c>
      <c r="T2665" s="28"/>
      <c r="U2665" s="28" t="n">
        <f aca="false">T2665*$M2665</f>
        <v>0</v>
      </c>
      <c r="V2665" s="28"/>
      <c r="W2665" s="28" t="n">
        <f aca="false">V2665*$M2665</f>
        <v>0</v>
      </c>
      <c r="X2665" s="28" t="n">
        <f aca="false">39052/100</f>
        <v>390.52</v>
      </c>
      <c r="Y2665" s="28" t="n">
        <v>5858</v>
      </c>
      <c r="Z2665" s="28"/>
      <c r="AA2665" s="28" t="n">
        <f aca="false">Z2665*$M2665</f>
        <v>0</v>
      </c>
      <c r="AB2665" s="28" t="n">
        <f aca="false">101189/100</f>
        <v>1011.89</v>
      </c>
      <c r="AC2665" s="28" t="n">
        <v>15178</v>
      </c>
      <c r="AD2665" s="28"/>
      <c r="AE2665" s="28" t="n">
        <f aca="false">AD2665*$M2665</f>
        <v>0</v>
      </c>
      <c r="AF2665" s="28" t="n">
        <f aca="false">48408/100</f>
        <v>484.08</v>
      </c>
      <c r="AG2665" s="28" t="n">
        <v>7261</v>
      </c>
      <c r="AH2665" s="28" t="n">
        <f aca="false">17847/100</f>
        <v>178.47</v>
      </c>
      <c r="AI2665" s="28" t="n">
        <v>2677</v>
      </c>
      <c r="AJ2665" s="28"/>
      <c r="AK2665" s="28" t="n">
        <f aca="false">AJ2665*$M2665</f>
        <v>0</v>
      </c>
      <c r="AL2665" s="28"/>
      <c r="AM2665" s="28" t="n">
        <f aca="false">AL2665*$M2665</f>
        <v>0</v>
      </c>
      <c r="AN2665" s="28"/>
      <c r="AO2665" s="28" t="n">
        <f aca="false">AN2665*$M2665</f>
        <v>0</v>
      </c>
      <c r="AP2665" s="28"/>
      <c r="AQ2665" s="28" t="n">
        <f aca="false">AP2665*$M2665</f>
        <v>0</v>
      </c>
      <c r="AR2665" s="28"/>
      <c r="AS2665" s="28" t="n">
        <f aca="false">AR2665*$M2665</f>
        <v>0</v>
      </c>
      <c r="AT2665" s="28"/>
      <c r="AU2665" s="28" t="n">
        <f aca="false">AT2665*$M2665</f>
        <v>0</v>
      </c>
      <c r="AV2665" s="28"/>
      <c r="AW2665" s="28" t="n">
        <f aca="false">AV2665*$M2665</f>
        <v>0</v>
      </c>
      <c r="AX2665" s="28"/>
      <c r="AY2665" s="28" t="n">
        <f aca="false">AX2665*$M2665</f>
        <v>0</v>
      </c>
      <c r="AZ2665" s="30" t="n">
        <f aca="false">217016/100</f>
        <v>2170.16</v>
      </c>
      <c r="BA2665" s="11" t="n">
        <v>32552</v>
      </c>
      <c r="BB2665" s="31" t="n">
        <f aca="false">SUM(Q2665,S2665,U2665,W2665,Y2665,AA2665,AC2665,AE2665,AG2665,AI2665,AK2665,AM2665,AO2665,AQ2665,AS2665,AU2665,AW2665,AY2665)</f>
        <v>32552</v>
      </c>
      <c r="BC2665" s="28" t="n">
        <f aca="false">BA2665-BB2665</f>
        <v>0</v>
      </c>
      <c r="BD2665" s="32" t="n">
        <f aca="false">SUM(P2665,R2665,T2665,V2665,X2665,Z2665,AB2665,AD2665,AF2665,AH2665,AJ2665,AL2665,AN2665,AP2665,AR2665,AT2665,AV2665,AX2665)</f>
        <v>2170.16</v>
      </c>
      <c r="BE2665" s="33" t="n">
        <f aca="false">AZ2665-BD2665</f>
        <v>0</v>
      </c>
      <c r="BF2665" s="34" t="n">
        <f aca="false">BD2665*M2665</f>
        <v>32552.4</v>
      </c>
      <c r="BG2665" s="35" t="n">
        <f aca="false">BA2665-BF2665</f>
        <v>-0.399999999997817</v>
      </c>
      <c r="BH2665" s="19" t="str">
        <f aca="false">IF(BG2665=0,"",IF(BG2665&lt;&gt;BA2665,"erreur de calcul",IF(BD2665&lt;&gt;0,"pas de prix",IF(M2665&lt;&gt; 0,"pas de quantité","pas de prix, ni de quantité"))))</f>
        <v>erreur de calcul</v>
      </c>
      <c r="BI2665" s="19"/>
    </row>
    <row r="2666" customFormat="false" ht="15" hidden="false" customHeight="false" outlineLevel="0" collapsed="false">
      <c r="A2666" s="0" t="n">
        <v>43</v>
      </c>
      <c r="B2666" s="8" t="s">
        <v>24</v>
      </c>
      <c r="C2666" s="9" t="s">
        <v>25</v>
      </c>
      <c r="D2666" s="9" t="s">
        <v>26</v>
      </c>
      <c r="E2666" s="10" t="n">
        <v>1789</v>
      </c>
      <c r="F2666" s="9" t="s">
        <v>27</v>
      </c>
      <c r="G2666" s="9" t="s">
        <v>27</v>
      </c>
      <c r="H2666" s="11" t="n">
        <v>23</v>
      </c>
      <c r="I2666" s="11" t="s">
        <v>286</v>
      </c>
      <c r="J2666" s="14" t="n">
        <v>20</v>
      </c>
      <c r="K2666" s="14"/>
      <c r="L2666" s="16"/>
      <c r="M2666" s="27" t="n">
        <f aca="false">J2666+(K2666/20)+(L2666/240)</f>
        <v>20</v>
      </c>
      <c r="N2666" s="17" t="s">
        <v>64</v>
      </c>
      <c r="O2666" s="11"/>
      <c r="P2666" s="28"/>
      <c r="Q2666" s="28" t="n">
        <f aca="false">P2666*$M2666</f>
        <v>0</v>
      </c>
      <c r="R2666" s="28"/>
      <c r="S2666" s="28" t="n">
        <f aca="false">R2666*$M2666</f>
        <v>0</v>
      </c>
      <c r="T2666" s="28"/>
      <c r="U2666" s="28" t="n">
        <f aca="false">T2666*$M2666</f>
        <v>0</v>
      </c>
      <c r="V2666" s="28"/>
      <c r="W2666" s="28" t="n">
        <f aca="false">V2666*$M2666</f>
        <v>0</v>
      </c>
      <c r="X2666" s="28"/>
      <c r="Y2666" s="28" t="n">
        <f aca="false">X2666*$M2666</f>
        <v>0</v>
      </c>
      <c r="Z2666" s="28"/>
      <c r="AA2666" s="28" t="n">
        <f aca="false">Z2666*$M2666</f>
        <v>0</v>
      </c>
      <c r="AB2666" s="28" t="n">
        <f aca="false">8852/100</f>
        <v>88.52</v>
      </c>
      <c r="AC2666" s="28" t="n">
        <v>1770</v>
      </c>
      <c r="AD2666" s="28"/>
      <c r="AE2666" s="28" t="n">
        <f aca="false">AD2666*$M2666</f>
        <v>0</v>
      </c>
      <c r="AF2666" s="28"/>
      <c r="AG2666" s="28" t="n">
        <f aca="false">AF2666*$M2666</f>
        <v>0</v>
      </c>
      <c r="AH2666" s="28"/>
      <c r="AI2666" s="28" t="n">
        <f aca="false">AH2666*$M2666</f>
        <v>0</v>
      </c>
      <c r="AJ2666" s="28"/>
      <c r="AK2666" s="28" t="n">
        <f aca="false">AJ2666*$M2666</f>
        <v>0</v>
      </c>
      <c r="AL2666" s="28"/>
      <c r="AM2666" s="28" t="n">
        <f aca="false">AL2666*$M2666</f>
        <v>0</v>
      </c>
      <c r="AN2666" s="28"/>
      <c r="AO2666" s="28" t="n">
        <f aca="false">AN2666*$M2666</f>
        <v>0</v>
      </c>
      <c r="AP2666" s="28"/>
      <c r="AQ2666" s="28" t="n">
        <f aca="false">AP2666*$M2666</f>
        <v>0</v>
      </c>
      <c r="AR2666" s="28"/>
      <c r="AS2666" s="28" t="n">
        <f aca="false">AR2666*$M2666</f>
        <v>0</v>
      </c>
      <c r="AT2666" s="28"/>
      <c r="AU2666" s="28" t="n">
        <f aca="false">AT2666*$M2666</f>
        <v>0</v>
      </c>
      <c r="AV2666" s="28"/>
      <c r="AW2666" s="28" t="n">
        <f aca="false">AV2666*$M2666</f>
        <v>0</v>
      </c>
      <c r="AX2666" s="28"/>
      <c r="AY2666" s="28" t="n">
        <f aca="false">AX2666*$M2666</f>
        <v>0</v>
      </c>
      <c r="AZ2666" s="30" t="n">
        <f aca="false">8852/100</f>
        <v>88.52</v>
      </c>
      <c r="BA2666" s="11" t="n">
        <v>1770</v>
      </c>
      <c r="BB2666" s="31" t="n">
        <f aca="false">SUM(Q2666,S2666,U2666,W2666,Y2666,AA2666,AC2666,AE2666,AG2666,AI2666,AK2666,AM2666,AO2666,AQ2666,AS2666,AU2666,AW2666,AY2666)</f>
        <v>1770</v>
      </c>
      <c r="BC2666" s="28" t="n">
        <f aca="false">BA2666-BB2666</f>
        <v>0</v>
      </c>
      <c r="BD2666" s="32" t="n">
        <f aca="false">SUM(P2666,R2666,T2666,V2666,X2666,Z2666,AB2666,AD2666,AF2666,AH2666,AJ2666,AL2666,AN2666,AP2666,AR2666,AT2666,AV2666,AX2666)</f>
        <v>88.52</v>
      </c>
      <c r="BE2666" s="33" t="n">
        <f aca="false">AZ2666-BD2666</f>
        <v>0</v>
      </c>
      <c r="BF2666" s="34" t="n">
        <f aca="false">BD2666*M2666</f>
        <v>1770.4</v>
      </c>
      <c r="BG2666" s="35" t="n">
        <f aca="false">BA2666-BF2666</f>
        <v>-0.399999999999864</v>
      </c>
      <c r="BH2666" s="19" t="str">
        <f aca="false">IF(BG2666=0,"",IF(BG2666&lt;&gt;BA2666,"erreur de calcul",IF(BD2666&lt;&gt;0,"pas de prix",IF(M2666&lt;&gt; 0,"pas de quantité","pas de prix, ni de quantité"))))</f>
        <v>erreur de calcul</v>
      </c>
      <c r="BI2666" s="19"/>
    </row>
    <row r="2667" customFormat="false" ht="15" hidden="false" customHeight="false" outlineLevel="0" collapsed="false">
      <c r="A2667" s="0" t="n">
        <v>44</v>
      </c>
      <c r="B2667" s="8" t="s">
        <v>24</v>
      </c>
      <c r="C2667" s="9" t="s">
        <v>25</v>
      </c>
      <c r="D2667" s="9" t="s">
        <v>26</v>
      </c>
      <c r="E2667" s="10" t="n">
        <v>1789</v>
      </c>
      <c r="F2667" s="9" t="s">
        <v>27</v>
      </c>
      <c r="G2667" s="9" t="s">
        <v>27</v>
      </c>
      <c r="H2667" s="11" t="n">
        <v>23</v>
      </c>
      <c r="I2667" s="11" t="s">
        <v>287</v>
      </c>
      <c r="J2667" s="14" t="n">
        <v>25</v>
      </c>
      <c r="K2667" s="14"/>
      <c r="L2667" s="16"/>
      <c r="M2667" s="27" t="n">
        <f aca="false">J2667+(K2667/20)+(L2667/240)</f>
        <v>25</v>
      </c>
      <c r="N2667" s="17" t="s">
        <v>64</v>
      </c>
      <c r="O2667" s="11" t="s">
        <v>77</v>
      </c>
      <c r="P2667" s="28" t="n">
        <f aca="false">13782/100</f>
        <v>137.82</v>
      </c>
      <c r="Q2667" s="28" t="n">
        <v>3445</v>
      </c>
      <c r="R2667" s="28"/>
      <c r="S2667" s="28" t="n">
        <f aca="false">R2667*$M2667</f>
        <v>0</v>
      </c>
      <c r="T2667" s="28"/>
      <c r="U2667" s="28" t="n">
        <f aca="false">T2667*$M2667</f>
        <v>0</v>
      </c>
      <c r="V2667" s="28" t="n">
        <f aca="false">4293/100</f>
        <v>42.93</v>
      </c>
      <c r="W2667" s="28" t="n">
        <v>1073</v>
      </c>
      <c r="X2667" s="28"/>
      <c r="Y2667" s="28" t="n">
        <f aca="false">X2667*$M2667</f>
        <v>0</v>
      </c>
      <c r="Z2667" s="28"/>
      <c r="AA2667" s="28" t="n">
        <f aca="false">Z2667*$M2667</f>
        <v>0</v>
      </c>
      <c r="AB2667" s="28"/>
      <c r="AC2667" s="28" t="n">
        <f aca="false">AB2667*$M2667</f>
        <v>0</v>
      </c>
      <c r="AD2667" s="28"/>
      <c r="AE2667" s="28" t="n">
        <f aca="false">AD2667*$M2667</f>
        <v>0</v>
      </c>
      <c r="AF2667" s="28"/>
      <c r="AG2667" s="28" t="n">
        <f aca="false">AF2667*$M2667</f>
        <v>0</v>
      </c>
      <c r="AH2667" s="28"/>
      <c r="AI2667" s="28" t="n">
        <f aca="false">AH2667*$M2667</f>
        <v>0</v>
      </c>
      <c r="AJ2667" s="28"/>
      <c r="AK2667" s="28" t="n">
        <f aca="false">AJ2667*$M2667</f>
        <v>0</v>
      </c>
      <c r="AL2667" s="28"/>
      <c r="AM2667" s="28" t="n">
        <f aca="false">AL2667*$M2667</f>
        <v>0</v>
      </c>
      <c r="AN2667" s="28"/>
      <c r="AO2667" s="28" t="n">
        <f aca="false">AN2667*$M2667</f>
        <v>0</v>
      </c>
      <c r="AP2667" s="28"/>
      <c r="AQ2667" s="28" t="n">
        <f aca="false">AP2667*$M2667</f>
        <v>0</v>
      </c>
      <c r="AR2667" s="28"/>
      <c r="AS2667" s="28" t="n">
        <f aca="false">AR2667*$M2667</f>
        <v>0</v>
      </c>
      <c r="AT2667" s="28"/>
      <c r="AU2667" s="28" t="n">
        <f aca="false">AT2667*$M2667</f>
        <v>0</v>
      </c>
      <c r="AV2667" s="28"/>
      <c r="AW2667" s="28" t="n">
        <f aca="false">AV2667*$M2667</f>
        <v>0</v>
      </c>
      <c r="AX2667" s="28"/>
      <c r="AY2667" s="28" t="n">
        <f aca="false">AX2667*$M2667</f>
        <v>0</v>
      </c>
      <c r="AZ2667" s="30" t="n">
        <f aca="false">18075/100</f>
        <v>180.75</v>
      </c>
      <c r="BA2667" s="11" t="n">
        <v>4518</v>
      </c>
      <c r="BB2667" s="31" t="n">
        <f aca="false">SUM(Q2667,S2667,U2667,W2667,Y2667,AA2667,AC2667,AE2667,AG2667,AI2667,AK2667,AM2667,AO2667,AQ2667,AS2667,AU2667,AW2667,AY2667)</f>
        <v>4518</v>
      </c>
      <c r="BC2667" s="28" t="n">
        <f aca="false">BA2667-BB2667</f>
        <v>0</v>
      </c>
      <c r="BD2667" s="32" t="n">
        <f aca="false">SUM(P2667,R2667,T2667,V2667,X2667,Z2667,AB2667,AD2667,AF2667,AH2667,AJ2667,AL2667,AN2667,AP2667,AR2667,AT2667,AV2667,AX2667)</f>
        <v>180.75</v>
      </c>
      <c r="BE2667" s="33" t="n">
        <f aca="false">AZ2667-BD2667</f>
        <v>0</v>
      </c>
      <c r="BF2667" s="34" t="n">
        <f aca="false">BD2667*M2667</f>
        <v>4518.75</v>
      </c>
      <c r="BG2667" s="35" t="n">
        <f aca="false">BA2667-BF2667</f>
        <v>-0.75</v>
      </c>
      <c r="BH2667" s="19" t="str">
        <f aca="false">IF(BG2667=0,"",IF(BG2667&lt;&gt;BA2667,"erreur de calcul",IF(BD2667&lt;&gt;0,"pas de prix",IF(M2667&lt;&gt; 0,"pas de quantité","pas de prix, ni de quantité"))))</f>
        <v>erreur de calcul</v>
      </c>
      <c r="BI2667" s="19"/>
    </row>
    <row r="2668" customFormat="false" ht="15" hidden="false" customHeight="false" outlineLevel="0" collapsed="false">
      <c r="A2668" s="0" t="n">
        <v>1</v>
      </c>
      <c r="B2668" s="8" t="s">
        <v>24</v>
      </c>
      <c r="C2668" s="9" t="s">
        <v>25</v>
      </c>
      <c r="D2668" s="9" t="s">
        <v>26</v>
      </c>
      <c r="E2668" s="10" t="n">
        <v>1789</v>
      </c>
      <c r="F2668" s="9" t="s">
        <v>27</v>
      </c>
      <c r="G2668" s="9" t="s">
        <v>27</v>
      </c>
      <c r="H2668" s="11" t="n">
        <v>24</v>
      </c>
      <c r="I2668" s="11" t="s">
        <v>288</v>
      </c>
      <c r="J2668" s="14" t="n">
        <v>250</v>
      </c>
      <c r="K2668" s="14"/>
      <c r="L2668" s="16"/>
      <c r="M2668" s="27" t="n">
        <f aca="false">J2668+(K2668/20)+(L2668/240)</f>
        <v>250</v>
      </c>
      <c r="N2668" s="17" t="s">
        <v>64</v>
      </c>
      <c r="O2668" s="11"/>
      <c r="P2668" s="28"/>
      <c r="Q2668" s="28" t="n">
        <f aca="false">P2668*$M2668</f>
        <v>0</v>
      </c>
      <c r="R2668" s="28"/>
      <c r="S2668" s="28" t="n">
        <f aca="false">R2668*$M2668</f>
        <v>0</v>
      </c>
      <c r="T2668" s="28"/>
      <c r="U2668" s="28" t="n">
        <f aca="false">T2668*$M2668</f>
        <v>0</v>
      </c>
      <c r="V2668" s="28"/>
      <c r="W2668" s="28" t="n">
        <f aca="false">V2668*$M2668</f>
        <v>0</v>
      </c>
      <c r="X2668" s="28"/>
      <c r="Y2668" s="28" t="n">
        <f aca="false">X2668*$M2668</f>
        <v>0</v>
      </c>
      <c r="Z2668" s="28"/>
      <c r="AA2668" s="28" t="n">
        <f aca="false">Z2668*$M2668</f>
        <v>0</v>
      </c>
      <c r="AB2668" s="28"/>
      <c r="AC2668" s="28" t="n">
        <f aca="false">AB2668*$M2668</f>
        <v>0</v>
      </c>
      <c r="AD2668" s="28"/>
      <c r="AE2668" s="28" t="n">
        <f aca="false">AD2668*$M2668</f>
        <v>0</v>
      </c>
      <c r="AF2668" s="28"/>
      <c r="AG2668" s="28" t="n">
        <f aca="false">AF2668*$M2668</f>
        <v>0</v>
      </c>
      <c r="AH2668" s="28" t="n">
        <f aca="false">5374/100</f>
        <v>53.74</v>
      </c>
      <c r="AI2668" s="28" t="n">
        <v>13435</v>
      </c>
      <c r="AJ2668" s="28"/>
      <c r="AK2668" s="28" t="n">
        <f aca="false">AJ2668*$M2668</f>
        <v>0</v>
      </c>
      <c r="AL2668" s="28"/>
      <c r="AM2668" s="28" t="n">
        <f aca="false">AL2668*$M2668</f>
        <v>0</v>
      </c>
      <c r="AN2668" s="28"/>
      <c r="AO2668" s="28" t="n">
        <f aca="false">AN2668*$M2668</f>
        <v>0</v>
      </c>
      <c r="AP2668" s="28"/>
      <c r="AQ2668" s="28" t="n">
        <f aca="false">AP2668*$M2668</f>
        <v>0</v>
      </c>
      <c r="AR2668" s="28"/>
      <c r="AS2668" s="28" t="n">
        <f aca="false">AR2668*$M2668</f>
        <v>0</v>
      </c>
      <c r="AT2668" s="28"/>
      <c r="AU2668" s="28" t="n">
        <f aca="false">AT2668*$M2668</f>
        <v>0</v>
      </c>
      <c r="AV2668" s="28"/>
      <c r="AW2668" s="28" t="n">
        <f aca="false">AV2668*$M2668</f>
        <v>0</v>
      </c>
      <c r="AX2668" s="28"/>
      <c r="AY2668" s="28" t="n">
        <f aca="false">AX2668*$M2668</f>
        <v>0</v>
      </c>
      <c r="AZ2668" s="30" t="n">
        <f aca="false">5374/100</f>
        <v>53.74</v>
      </c>
      <c r="BA2668" s="11" t="n">
        <v>13435</v>
      </c>
      <c r="BB2668" s="31" t="n">
        <f aca="false">SUM(Q2668,S2668,U2668,W2668,Y2668,AA2668,AC2668,AE2668,AG2668,AI2668,AK2668,AM2668,AO2668,AQ2668,AS2668,AU2668,AW2668,AY2668)</f>
        <v>13435</v>
      </c>
      <c r="BC2668" s="28" t="n">
        <f aca="false">BA2668-BB2668</f>
        <v>0</v>
      </c>
      <c r="BD2668" s="32" t="n">
        <f aca="false">SUM(P2668,R2668,T2668,V2668,X2668,Z2668,AB2668,AD2668,AF2668,AH2668,AJ2668,AL2668,AN2668,AP2668,AR2668,AT2668,AV2668,AX2668)</f>
        <v>53.74</v>
      </c>
      <c r="BE2668" s="33" t="n">
        <f aca="false">AZ2668-BD2668</f>
        <v>0</v>
      </c>
      <c r="BF2668" s="34" t="n">
        <f aca="false">BD2668*M2668</f>
        <v>13435</v>
      </c>
      <c r="BG2668" s="35" t="n">
        <f aca="false">BA2668-BF2668</f>
        <v>0</v>
      </c>
      <c r="BH2668" s="19" t="str">
        <f aca="false">IF(BG2668=0,"",IF(BG2668&lt;&gt;BA2668,"erreur de calcul",IF(BD2668&lt;&gt;0,"pas de prix",IF(M2668&lt;&gt; 0,"pas de quantité","pas de prix, ni de quantité"))))</f>
        <v/>
      </c>
      <c r="BI2668" s="19"/>
    </row>
    <row r="2669" customFormat="false" ht="15" hidden="false" customHeight="false" outlineLevel="0" collapsed="false">
      <c r="A2669" s="0" t="n">
        <v>2</v>
      </c>
      <c r="B2669" s="8" t="s">
        <v>24</v>
      </c>
      <c r="C2669" s="9" t="s">
        <v>25</v>
      </c>
      <c r="D2669" s="9" t="s">
        <v>26</v>
      </c>
      <c r="E2669" s="10" t="n">
        <v>1789</v>
      </c>
      <c r="F2669" s="9" t="s">
        <v>27</v>
      </c>
      <c r="G2669" s="9" t="s">
        <v>27</v>
      </c>
      <c r="H2669" s="11" t="n">
        <v>24</v>
      </c>
      <c r="I2669" s="11" t="s">
        <v>289</v>
      </c>
      <c r="J2669" s="14" t="n">
        <v>3</v>
      </c>
      <c r="K2669" s="14"/>
      <c r="L2669" s="16"/>
      <c r="M2669" s="27" t="n">
        <f aca="false">J2669+(K2669/20)+(L2669/240)</f>
        <v>3</v>
      </c>
      <c r="N2669" s="17" t="s">
        <v>66</v>
      </c>
      <c r="O2669" s="11"/>
      <c r="P2669" s="28"/>
      <c r="Q2669" s="28" t="n">
        <f aca="false">P2669*$M2669</f>
        <v>0</v>
      </c>
      <c r="R2669" s="28"/>
      <c r="S2669" s="28" t="n">
        <f aca="false">R2669*$M2669</f>
        <v>0</v>
      </c>
      <c r="T2669" s="28"/>
      <c r="U2669" s="28" t="n">
        <f aca="false">T2669*$M2669</f>
        <v>0</v>
      </c>
      <c r="V2669" s="28"/>
      <c r="W2669" s="28" t="n">
        <f aca="false">V2669*$M2669</f>
        <v>0</v>
      </c>
      <c r="X2669" s="28"/>
      <c r="Y2669" s="28" t="n">
        <f aca="false">X2669*$M2669</f>
        <v>0</v>
      </c>
      <c r="Z2669" s="28"/>
      <c r="AA2669" s="28" t="n">
        <f aca="false">Z2669*$M2669</f>
        <v>0</v>
      </c>
      <c r="AB2669" s="28"/>
      <c r="AC2669" s="28" t="n">
        <f aca="false">AB2669*$M2669</f>
        <v>0</v>
      </c>
      <c r="AD2669" s="28"/>
      <c r="AE2669" s="28" t="n">
        <f aca="false">AD2669*$M2669</f>
        <v>0</v>
      </c>
      <c r="AF2669" s="28"/>
      <c r="AG2669" s="28" t="n">
        <f aca="false">AF2669*$M2669</f>
        <v>0</v>
      </c>
      <c r="AH2669" s="28" t="n">
        <v>261</v>
      </c>
      <c r="AI2669" s="28" t="n">
        <v>783</v>
      </c>
      <c r="AJ2669" s="28"/>
      <c r="AK2669" s="28" t="n">
        <f aca="false">AJ2669*$M2669</f>
        <v>0</v>
      </c>
      <c r="AL2669" s="28"/>
      <c r="AM2669" s="28" t="n">
        <f aca="false">AL2669*$M2669</f>
        <v>0</v>
      </c>
      <c r="AN2669" s="28"/>
      <c r="AO2669" s="28" t="n">
        <f aca="false">AN2669*$M2669</f>
        <v>0</v>
      </c>
      <c r="AP2669" s="28"/>
      <c r="AQ2669" s="28" t="n">
        <f aca="false">AP2669*$M2669</f>
        <v>0</v>
      </c>
      <c r="AR2669" s="28"/>
      <c r="AS2669" s="28" t="n">
        <f aca="false">AR2669*$M2669</f>
        <v>0</v>
      </c>
      <c r="AT2669" s="28"/>
      <c r="AU2669" s="28" t="n">
        <f aca="false">AT2669*$M2669</f>
        <v>0</v>
      </c>
      <c r="AV2669" s="28"/>
      <c r="AW2669" s="28" t="n">
        <f aca="false">AV2669*$M2669</f>
        <v>0</v>
      </c>
      <c r="AX2669" s="28"/>
      <c r="AY2669" s="28" t="n">
        <f aca="false">AX2669*$M2669</f>
        <v>0</v>
      </c>
      <c r="AZ2669" s="30" t="n">
        <v>261</v>
      </c>
      <c r="BA2669" s="11" t="n">
        <v>783</v>
      </c>
      <c r="BB2669" s="31" t="n">
        <f aca="false">SUM(Q2669,S2669,U2669,W2669,Y2669,AA2669,AC2669,AE2669,AG2669,AI2669,AK2669,AM2669,AO2669,AQ2669,AS2669,AU2669,AW2669,AY2669)</f>
        <v>783</v>
      </c>
      <c r="BC2669" s="28" t="n">
        <f aca="false">BA2669-BB2669</f>
        <v>0</v>
      </c>
      <c r="BD2669" s="32" t="n">
        <f aca="false">SUM(P2669,R2669,T2669,V2669,X2669,Z2669,AB2669,AD2669,AF2669,AH2669,AJ2669,AL2669,AN2669,AP2669,AR2669,AT2669,AV2669,AX2669)</f>
        <v>261</v>
      </c>
      <c r="BE2669" s="33" t="n">
        <f aca="false">AZ2669-BD2669</f>
        <v>0</v>
      </c>
      <c r="BF2669" s="34" t="n">
        <f aca="false">BD2669*M2669</f>
        <v>783</v>
      </c>
      <c r="BG2669" s="35" t="n">
        <f aca="false">BA2669-BF2669</f>
        <v>0</v>
      </c>
      <c r="BH2669" s="19" t="str">
        <f aca="false">IF(BG2669=0,"",IF(BG2669&lt;&gt;BA2669,"erreur de calcul",IF(BD2669&lt;&gt;0,"pas de prix",IF(M2669&lt;&gt; 0,"pas de quantité","pas de prix, ni de quantité"))))</f>
        <v/>
      </c>
      <c r="BI2669" s="19"/>
    </row>
    <row r="2670" customFormat="false" ht="15" hidden="false" customHeight="false" outlineLevel="0" collapsed="false">
      <c r="A2670" s="0" t="n">
        <v>3</v>
      </c>
      <c r="B2670" s="8" t="s">
        <v>24</v>
      </c>
      <c r="C2670" s="9" t="s">
        <v>25</v>
      </c>
      <c r="D2670" s="9" t="s">
        <v>26</v>
      </c>
      <c r="E2670" s="10" t="n">
        <v>1789</v>
      </c>
      <c r="F2670" s="9" t="s">
        <v>27</v>
      </c>
      <c r="G2670" s="9" t="s">
        <v>27</v>
      </c>
      <c r="H2670" s="11" t="n">
        <v>24</v>
      </c>
      <c r="I2670" s="11" t="s">
        <v>290</v>
      </c>
      <c r="J2670" s="14" t="n">
        <v>5</v>
      </c>
      <c r="K2670" s="14"/>
      <c r="L2670" s="16"/>
      <c r="M2670" s="27" t="n">
        <f aca="false">J2670+(K2670/20)+(L2670/240)</f>
        <v>5</v>
      </c>
      <c r="N2670" s="17" t="s">
        <v>66</v>
      </c>
      <c r="O2670" s="11"/>
      <c r="P2670" s="28"/>
      <c r="Q2670" s="28" t="n">
        <f aca="false">P2670*$M2670</f>
        <v>0</v>
      </c>
      <c r="R2670" s="28"/>
      <c r="S2670" s="28" t="n">
        <f aca="false">R2670*$M2670</f>
        <v>0</v>
      </c>
      <c r="T2670" s="28"/>
      <c r="U2670" s="28" t="n">
        <v>4765</v>
      </c>
      <c r="V2670" s="28"/>
      <c r="W2670" s="28" t="n">
        <f aca="false">V2670*$M2670</f>
        <v>0</v>
      </c>
      <c r="X2670" s="28"/>
      <c r="Y2670" s="28" t="n">
        <f aca="false">X2670*$M2670</f>
        <v>0</v>
      </c>
      <c r="Z2670" s="28"/>
      <c r="AA2670" s="28" t="n">
        <f aca="false">Z2670*$M2670</f>
        <v>0</v>
      </c>
      <c r="AB2670" s="28"/>
      <c r="AC2670" s="28" t="n">
        <f aca="false">AB2670*$M2670</f>
        <v>0</v>
      </c>
      <c r="AD2670" s="28"/>
      <c r="AE2670" s="28" t="n">
        <f aca="false">AD2670*$M2670</f>
        <v>0</v>
      </c>
      <c r="AF2670" s="28"/>
      <c r="AG2670" s="28" t="n">
        <f aca="false">AF2670*$M2670</f>
        <v>0</v>
      </c>
      <c r="AH2670" s="28"/>
      <c r="AI2670" s="28" t="n">
        <f aca="false">AH2670*$M2670</f>
        <v>0</v>
      </c>
      <c r="AJ2670" s="28"/>
      <c r="AK2670" s="28" t="n">
        <f aca="false">AJ2670*$M2670</f>
        <v>0</v>
      </c>
      <c r="AL2670" s="28"/>
      <c r="AM2670" s="28" t="n">
        <f aca="false">AL2670*$M2670</f>
        <v>0</v>
      </c>
      <c r="AN2670" s="28"/>
      <c r="AO2670" s="28" t="n">
        <f aca="false">AN2670*$M2670</f>
        <v>0</v>
      </c>
      <c r="AP2670" s="28"/>
      <c r="AQ2670" s="28" t="n">
        <f aca="false">AP2670*$M2670</f>
        <v>0</v>
      </c>
      <c r="AR2670" s="28"/>
      <c r="AS2670" s="28" t="n">
        <f aca="false">AR2670*$M2670</f>
        <v>0</v>
      </c>
      <c r="AT2670" s="28"/>
      <c r="AU2670" s="28" t="n">
        <f aca="false">AT2670*$M2670</f>
        <v>0</v>
      </c>
      <c r="AV2670" s="28"/>
      <c r="AW2670" s="28" t="n">
        <f aca="false">AV2670*$M2670</f>
        <v>0</v>
      </c>
      <c r="AX2670" s="28"/>
      <c r="AY2670" s="28" t="n">
        <f aca="false">AX2670*$M2670</f>
        <v>0</v>
      </c>
      <c r="AZ2670" s="30"/>
      <c r="BA2670" s="11" t="n">
        <v>4765</v>
      </c>
      <c r="BB2670" s="31" t="n">
        <f aca="false">SUM(Q2670,S2670,U2670,W2670,Y2670,AA2670,AC2670,AE2670,AG2670,AI2670,AK2670,AM2670,AO2670,AQ2670,AS2670,AU2670,AW2670,AY2670)</f>
        <v>4765</v>
      </c>
      <c r="BC2670" s="28" t="n">
        <f aca="false">BA2670-BB2670</f>
        <v>0</v>
      </c>
      <c r="BD2670" s="32" t="n">
        <f aca="false">SUM(P2670,R2670,T2670,V2670,X2670,Z2670,AB2670,AD2670,AF2670,AH2670,AJ2670,AL2670,AN2670,AP2670,AR2670,AT2670,AV2670,AX2670)</f>
        <v>0</v>
      </c>
      <c r="BE2670" s="33" t="n">
        <f aca="false">AZ2670-BD2670</f>
        <v>0</v>
      </c>
      <c r="BF2670" s="34" t="n">
        <f aca="false">BD2670*M2670</f>
        <v>0</v>
      </c>
      <c r="BG2670" s="35" t="n">
        <f aca="false">BA2670-BF2670</f>
        <v>4765</v>
      </c>
      <c r="BH2670" s="19" t="str">
        <f aca="false">IF(BG2670=0,"",IF(BG2670&lt;&gt;BA2670,"erreur de calcul",IF(BD2670&lt;&gt;0,"pas de prix",IF(M2670&lt;&gt; 0,"pas de quantité","pas de prix, ni de quantité"))))</f>
        <v>pas de quantité</v>
      </c>
      <c r="BI2670" s="19"/>
    </row>
    <row r="2671" customFormat="false" ht="15" hidden="false" customHeight="false" outlineLevel="0" collapsed="false">
      <c r="A2671" s="0" t="n">
        <v>4</v>
      </c>
      <c r="B2671" s="8" t="s">
        <v>24</v>
      </c>
      <c r="C2671" s="9" t="s">
        <v>25</v>
      </c>
      <c r="D2671" s="9" t="s">
        <v>26</v>
      </c>
      <c r="E2671" s="10" t="n">
        <v>1789</v>
      </c>
      <c r="F2671" s="9" t="s">
        <v>27</v>
      </c>
      <c r="G2671" s="9" t="s">
        <v>27</v>
      </c>
      <c r="H2671" s="11" t="n">
        <v>24</v>
      </c>
      <c r="I2671" s="11" t="s">
        <v>291</v>
      </c>
      <c r="J2671" s="14" t="n">
        <v>36</v>
      </c>
      <c r="K2671" s="14"/>
      <c r="L2671" s="16"/>
      <c r="M2671" s="27" t="n">
        <f aca="false">J2671+(K2671/20)+(L2671/240)</f>
        <v>36</v>
      </c>
      <c r="N2671" s="17" t="s">
        <v>66</v>
      </c>
      <c r="O2671" s="11"/>
      <c r="P2671" s="28"/>
      <c r="Q2671" s="28" t="n">
        <f aca="false">P2671*$M2671</f>
        <v>0</v>
      </c>
      <c r="R2671" s="28"/>
      <c r="S2671" s="28" t="n">
        <f aca="false">R2671*$M2671</f>
        <v>0</v>
      </c>
      <c r="T2671" s="28"/>
      <c r="U2671" s="28" t="n">
        <f aca="false">T2671*$M2671</f>
        <v>0</v>
      </c>
      <c r="V2671" s="28"/>
      <c r="W2671" s="28" t="n">
        <f aca="false">V2671*$M2671</f>
        <v>0</v>
      </c>
      <c r="X2671" s="28"/>
      <c r="Y2671" s="28" t="n">
        <f aca="false">X2671*$M2671</f>
        <v>0</v>
      </c>
      <c r="Z2671" s="28"/>
      <c r="AA2671" s="28" t="n">
        <f aca="false">Z2671*$M2671</f>
        <v>0</v>
      </c>
      <c r="AB2671" s="28"/>
      <c r="AC2671" s="28" t="n">
        <f aca="false">AB2671*$M2671</f>
        <v>0</v>
      </c>
      <c r="AD2671" s="28"/>
      <c r="AE2671" s="28" t="n">
        <f aca="false">AD2671*$M2671</f>
        <v>0</v>
      </c>
      <c r="AF2671" s="28"/>
      <c r="AG2671" s="28" t="n">
        <f aca="false">AF2671*$M2671</f>
        <v>0</v>
      </c>
      <c r="AH2671" s="28"/>
      <c r="AI2671" s="28" t="n">
        <f aca="false">AH2671*$M2671</f>
        <v>0</v>
      </c>
      <c r="AJ2671" s="28" t="n">
        <v>387</v>
      </c>
      <c r="AK2671" s="28" t="n">
        <v>13932</v>
      </c>
      <c r="AL2671" s="28"/>
      <c r="AM2671" s="28" t="n">
        <f aca="false">AL2671*$M2671</f>
        <v>0</v>
      </c>
      <c r="AN2671" s="28"/>
      <c r="AO2671" s="28" t="n">
        <f aca="false">AN2671*$M2671</f>
        <v>0</v>
      </c>
      <c r="AP2671" s="28"/>
      <c r="AQ2671" s="28" t="n">
        <f aca="false">AP2671*$M2671</f>
        <v>0</v>
      </c>
      <c r="AR2671" s="28"/>
      <c r="AS2671" s="28" t="n">
        <f aca="false">AR2671*$M2671</f>
        <v>0</v>
      </c>
      <c r="AT2671" s="28"/>
      <c r="AU2671" s="28" t="n">
        <f aca="false">AT2671*$M2671</f>
        <v>0</v>
      </c>
      <c r="AV2671" s="28"/>
      <c r="AW2671" s="28" t="n">
        <f aca="false">AV2671*$M2671</f>
        <v>0</v>
      </c>
      <c r="AX2671" s="28"/>
      <c r="AY2671" s="28" t="n">
        <f aca="false">AX2671*$M2671</f>
        <v>0</v>
      </c>
      <c r="AZ2671" s="30" t="n">
        <v>387</v>
      </c>
      <c r="BA2671" s="11" t="n">
        <v>13932</v>
      </c>
      <c r="BB2671" s="31" t="n">
        <f aca="false">SUM(Q2671,S2671,U2671,W2671,Y2671,AA2671,AC2671,AE2671,AG2671,AI2671,AK2671,AM2671,AO2671,AQ2671,AS2671,AU2671,AW2671,AY2671)</f>
        <v>13932</v>
      </c>
      <c r="BC2671" s="28" t="n">
        <f aca="false">BA2671-BB2671</f>
        <v>0</v>
      </c>
      <c r="BD2671" s="32" t="n">
        <f aca="false">SUM(P2671,R2671,T2671,V2671,X2671,Z2671,AB2671,AD2671,AF2671,AH2671,AJ2671,AL2671,AN2671,AP2671,AR2671,AT2671,AV2671,AX2671)</f>
        <v>387</v>
      </c>
      <c r="BE2671" s="33" t="n">
        <f aca="false">AZ2671-BD2671</f>
        <v>0</v>
      </c>
      <c r="BF2671" s="34" t="n">
        <f aca="false">BD2671*M2671</f>
        <v>13932</v>
      </c>
      <c r="BG2671" s="35" t="n">
        <f aca="false">BA2671-BF2671</f>
        <v>0</v>
      </c>
      <c r="BH2671" s="19" t="str">
        <f aca="false">IF(BG2671=0,"",IF(BG2671&lt;&gt;BA2671,"erreur de calcul",IF(BD2671&lt;&gt;0,"pas de prix",IF(M2671&lt;&gt; 0,"pas de quantité","pas de prix, ni de quantité"))))</f>
        <v/>
      </c>
      <c r="BI2671" s="19"/>
    </row>
    <row r="2672" customFormat="false" ht="15" hidden="false" customHeight="false" outlineLevel="0" collapsed="false">
      <c r="A2672" s="0" t="n">
        <v>5</v>
      </c>
      <c r="B2672" s="8" t="s">
        <v>24</v>
      </c>
      <c r="C2672" s="9" t="s">
        <v>25</v>
      </c>
      <c r="D2672" s="9" t="s">
        <v>26</v>
      </c>
      <c r="E2672" s="10" t="n">
        <v>1789</v>
      </c>
      <c r="F2672" s="9" t="s">
        <v>27</v>
      </c>
      <c r="G2672" s="9" t="s">
        <v>27</v>
      </c>
      <c r="H2672" s="11" t="n">
        <v>24</v>
      </c>
      <c r="I2672" s="11" t="s">
        <v>292</v>
      </c>
      <c r="J2672" s="14" t="n">
        <v>40</v>
      </c>
      <c r="K2672" s="14"/>
      <c r="L2672" s="16"/>
      <c r="M2672" s="27" t="n">
        <f aca="false">J2672+(K2672/20)+(L2672/240)</f>
        <v>40</v>
      </c>
      <c r="N2672" s="17" t="s">
        <v>64</v>
      </c>
      <c r="O2672" s="11" t="s">
        <v>277</v>
      </c>
      <c r="P2672" s="28"/>
      <c r="Q2672" s="28" t="n">
        <f aca="false">P2672*$M2672</f>
        <v>0</v>
      </c>
      <c r="R2672" s="28"/>
      <c r="S2672" s="28" t="n">
        <f aca="false">R2672*$M2672</f>
        <v>0</v>
      </c>
      <c r="T2672" s="28" t="n">
        <f aca="false">5917/100</f>
        <v>59.17</v>
      </c>
      <c r="U2672" s="28" t="n">
        <v>2367</v>
      </c>
      <c r="V2672" s="28" t="n">
        <f aca="false">12510/100</f>
        <v>125.1</v>
      </c>
      <c r="W2672" s="28" t="n">
        <f aca="false">V2672*$M2672</f>
        <v>5004</v>
      </c>
      <c r="X2672" s="28"/>
      <c r="Y2672" s="28" t="n">
        <f aca="false">X2672*$M2672</f>
        <v>0</v>
      </c>
      <c r="Z2672" s="28"/>
      <c r="AA2672" s="28" t="n">
        <f aca="false">Z2672*$M2672</f>
        <v>0</v>
      </c>
      <c r="AB2672" s="28" t="n">
        <f aca="false">50338/100</f>
        <v>503.38</v>
      </c>
      <c r="AC2672" s="28" t="n">
        <v>20135</v>
      </c>
      <c r="AD2672" s="28"/>
      <c r="AE2672" s="28" t="n">
        <f aca="false">AD2672*$M2672</f>
        <v>0</v>
      </c>
      <c r="AF2672" s="28"/>
      <c r="AG2672" s="28" t="n">
        <f aca="false">AF2672*$M2672</f>
        <v>0</v>
      </c>
      <c r="AH2672" s="28" t="n">
        <f aca="false">440/100</f>
        <v>4.4</v>
      </c>
      <c r="AI2672" s="28" t="n">
        <v>176</v>
      </c>
      <c r="AJ2672" s="28" t="n">
        <f aca="false">18094/100</f>
        <v>180.94</v>
      </c>
      <c r="AK2672" s="28" t="n">
        <v>7238</v>
      </c>
      <c r="AL2672" s="28"/>
      <c r="AM2672" s="28" t="n">
        <f aca="false">AL2672*$M2672</f>
        <v>0</v>
      </c>
      <c r="AN2672" s="28"/>
      <c r="AO2672" s="28" t="n">
        <f aca="false">AN2672*$M2672</f>
        <v>0</v>
      </c>
      <c r="AP2672" s="28"/>
      <c r="AQ2672" s="28" t="n">
        <f aca="false">AP2672*$M2672</f>
        <v>0</v>
      </c>
      <c r="AR2672" s="28"/>
      <c r="AS2672" s="28" t="n">
        <f aca="false">AR2672*$M2672</f>
        <v>0</v>
      </c>
      <c r="AT2672" s="28"/>
      <c r="AU2672" s="28" t="n">
        <f aca="false">AT2672*$M2672</f>
        <v>0</v>
      </c>
      <c r="AV2672" s="28"/>
      <c r="AW2672" s="28" t="n">
        <f aca="false">AV2672*$M2672</f>
        <v>0</v>
      </c>
      <c r="AX2672" s="28"/>
      <c r="AY2672" s="28" t="n">
        <f aca="false">AX2672*$M2672</f>
        <v>0</v>
      </c>
      <c r="AZ2672" s="30" t="n">
        <f aca="false">87279/100</f>
        <v>872.79</v>
      </c>
      <c r="BA2672" s="11" t="n">
        <v>34920</v>
      </c>
      <c r="BB2672" s="31" t="n">
        <f aca="false">SUM(Q2672,S2672,U2672,W2672,Y2672,AA2672,AC2672,AE2672,AG2672,AI2672,AK2672,AM2672,AO2672,AQ2672,AS2672,AU2672,AW2672,AY2672)</f>
        <v>34920</v>
      </c>
      <c r="BC2672" s="28" t="n">
        <f aca="false">BA2672-BB2672</f>
        <v>0</v>
      </c>
      <c r="BD2672" s="32" t="n">
        <f aca="false">SUM(P2672,R2672,T2672,V2672,X2672,Z2672,AB2672,AD2672,AF2672,AH2672,AJ2672,AL2672,AN2672,AP2672,AR2672,AT2672,AV2672,AX2672)</f>
        <v>872.99</v>
      </c>
      <c r="BE2672" s="33" t="n">
        <f aca="false">AZ2672-BD2672</f>
        <v>-0.200000000000045</v>
      </c>
      <c r="BF2672" s="34" t="n">
        <f aca="false">BD2672*M2672</f>
        <v>34919.6</v>
      </c>
      <c r="BG2672" s="35" t="n">
        <f aca="false">BA2672-BF2672</f>
        <v>0.400000000001455</v>
      </c>
      <c r="BH2672" s="19" t="str">
        <f aca="false">IF(BG2672=0,"",IF(BG2672&lt;&gt;BA2672,"erreur de calcul",IF(BD2672&lt;&gt;0,"pas de prix",IF(M2672&lt;&gt; 0,"pas de quantité","pas de prix, ni de quantité"))))</f>
        <v>erreur de calcul</v>
      </c>
      <c r="BI2672" s="19"/>
    </row>
    <row r="2673" customFormat="false" ht="15" hidden="false" customHeight="false" outlineLevel="0" collapsed="false">
      <c r="A2673" s="0" t="n">
        <v>6</v>
      </c>
      <c r="B2673" s="8" t="s">
        <v>24</v>
      </c>
      <c r="C2673" s="9" t="s">
        <v>25</v>
      </c>
      <c r="D2673" s="9" t="s">
        <v>26</v>
      </c>
      <c r="E2673" s="10" t="n">
        <v>1789</v>
      </c>
      <c r="F2673" s="9" t="s">
        <v>27</v>
      </c>
      <c r="G2673" s="9" t="s">
        <v>27</v>
      </c>
      <c r="H2673" s="11" t="n">
        <v>24</v>
      </c>
      <c r="I2673" s="11" t="s">
        <v>293</v>
      </c>
      <c r="J2673" s="14" t="n">
        <v>72</v>
      </c>
      <c r="K2673" s="14"/>
      <c r="L2673" s="16"/>
      <c r="M2673" s="27" t="n">
        <f aca="false">J2673+(K2673/20)+(L2673/240)</f>
        <v>72</v>
      </c>
      <c r="N2673" s="17" t="s">
        <v>294</v>
      </c>
      <c r="O2673" s="11"/>
      <c r="P2673" s="28" t="n">
        <v>16096</v>
      </c>
      <c r="Q2673" s="28" t="n">
        <v>1158912</v>
      </c>
      <c r="R2673" s="28"/>
      <c r="S2673" s="28" t="n">
        <f aca="false">R2673*$M2673</f>
        <v>0</v>
      </c>
      <c r="T2673" s="28" t="n">
        <v>6580</v>
      </c>
      <c r="U2673" s="28" t="n">
        <v>473760</v>
      </c>
      <c r="V2673" s="28" t="n">
        <v>21336</v>
      </c>
      <c r="W2673" s="28" t="n">
        <v>1536192</v>
      </c>
      <c r="X2673" s="28" t="n">
        <v>905</v>
      </c>
      <c r="Y2673" s="28" t="n">
        <v>65160</v>
      </c>
      <c r="Z2673" s="28" t="n">
        <v>250</v>
      </c>
      <c r="AA2673" s="28" t="n">
        <v>18000</v>
      </c>
      <c r="AB2673" s="28" t="n">
        <v>155034</v>
      </c>
      <c r="AC2673" s="28" t="n">
        <v>11162448</v>
      </c>
      <c r="AD2673" s="28"/>
      <c r="AE2673" s="28" t="n">
        <f aca="false">AD2673*$M2673</f>
        <v>0</v>
      </c>
      <c r="AF2673" s="28" t="n">
        <v>18739</v>
      </c>
      <c r="AG2673" s="28" t="n">
        <v>1349208</v>
      </c>
      <c r="AH2673" s="28" t="n">
        <v>44032</v>
      </c>
      <c r="AI2673" s="28" t="n">
        <v>3170304</v>
      </c>
      <c r="AJ2673" s="28"/>
      <c r="AK2673" s="28" t="n">
        <f aca="false">AJ2673*$M2673</f>
        <v>0</v>
      </c>
      <c r="AL2673" s="28"/>
      <c r="AM2673" s="28" t="n">
        <f aca="false">AL2673*$M2673</f>
        <v>0</v>
      </c>
      <c r="AN2673" s="28"/>
      <c r="AO2673" s="28" t="n">
        <f aca="false">AN2673*$M2673</f>
        <v>0</v>
      </c>
      <c r="AP2673" s="28"/>
      <c r="AQ2673" s="28" t="n">
        <f aca="false">AP2673*$M2673</f>
        <v>0</v>
      </c>
      <c r="AR2673" s="28"/>
      <c r="AS2673" s="28" t="n">
        <f aca="false">AR2673*$M2673</f>
        <v>0</v>
      </c>
      <c r="AT2673" s="28"/>
      <c r="AU2673" s="28" t="n">
        <f aca="false">AT2673*$M2673</f>
        <v>0</v>
      </c>
      <c r="AV2673" s="28"/>
      <c r="AW2673" s="28" t="n">
        <f aca="false">AV2673*$M2673</f>
        <v>0</v>
      </c>
      <c r="AX2673" s="28"/>
      <c r="AY2673" s="28" t="n">
        <f aca="false">AX2673*$M2673</f>
        <v>0</v>
      </c>
      <c r="AZ2673" s="30" t="n">
        <v>262972</v>
      </c>
      <c r="BA2673" s="11" t="n">
        <v>18933984</v>
      </c>
      <c r="BB2673" s="31" t="n">
        <f aca="false">SUM(Q2673,S2673,U2673,W2673,Y2673,AA2673,AC2673,AE2673,AG2673,AI2673,AK2673,AM2673,AO2673,AQ2673,AS2673,AU2673,AW2673,AY2673)</f>
        <v>18933984</v>
      </c>
      <c r="BC2673" s="28" t="n">
        <f aca="false">BA2673-BB2673</f>
        <v>0</v>
      </c>
      <c r="BD2673" s="32" t="n">
        <f aca="false">SUM(P2673,R2673,T2673,V2673,X2673,Z2673,AB2673,AD2673,AF2673,AH2673,AJ2673,AL2673,AN2673,AP2673,AR2673,AT2673,AV2673,AX2673)</f>
        <v>262972</v>
      </c>
      <c r="BE2673" s="33" t="n">
        <f aca="false">AZ2673-BD2673</f>
        <v>0</v>
      </c>
      <c r="BF2673" s="34" t="n">
        <f aca="false">BD2673*M2673</f>
        <v>18933984</v>
      </c>
      <c r="BG2673" s="35" t="n">
        <f aca="false">BA2673-BF2673</f>
        <v>0</v>
      </c>
      <c r="BH2673" s="19" t="str">
        <f aca="false">IF(BG2673=0,"",IF(BG2673&lt;&gt;BA2673,"erreur de calcul",IF(BD2673&lt;&gt;0,"pas de prix",IF(M2673&lt;&gt; 0,"pas de quantité","pas de prix, ni de quantité"))))</f>
        <v/>
      </c>
      <c r="BI2673" s="19" t="s">
        <v>295</v>
      </c>
    </row>
    <row r="2674" customFormat="false" ht="15" hidden="false" customHeight="false" outlineLevel="0" collapsed="false">
      <c r="A2674" s="0" t="n">
        <v>7</v>
      </c>
      <c r="B2674" s="8" t="s">
        <v>24</v>
      </c>
      <c r="C2674" s="9" t="s">
        <v>25</v>
      </c>
      <c r="D2674" s="9" t="s">
        <v>26</v>
      </c>
      <c r="E2674" s="10" t="n">
        <v>1789</v>
      </c>
      <c r="F2674" s="9" t="s">
        <v>27</v>
      </c>
      <c r="G2674" s="9" t="s">
        <v>27</v>
      </c>
      <c r="H2674" s="11" t="n">
        <v>24</v>
      </c>
      <c r="I2674" s="11" t="s">
        <v>296</v>
      </c>
      <c r="J2674" s="14" t="n">
        <v>35</v>
      </c>
      <c r="K2674" s="14"/>
      <c r="L2674" s="16"/>
      <c r="M2674" s="27" t="n">
        <f aca="false">J2674+(K2674/20)+(L2674/240)</f>
        <v>35</v>
      </c>
      <c r="N2674" s="17" t="s">
        <v>64</v>
      </c>
      <c r="O2674" s="11" t="s">
        <v>98</v>
      </c>
      <c r="P2674" s="28"/>
      <c r="Q2674" s="28" t="n">
        <f aca="false">P2674*$M2674</f>
        <v>0</v>
      </c>
      <c r="R2674" s="28"/>
      <c r="S2674" s="28" t="n">
        <f aca="false">R2674*$M2674</f>
        <v>0</v>
      </c>
      <c r="T2674" s="28"/>
      <c r="U2674" s="28" t="n">
        <f aca="false">T2674*$M2674</f>
        <v>0</v>
      </c>
      <c r="V2674" s="28"/>
      <c r="W2674" s="28" t="n">
        <f aca="false">V2674*$M2674</f>
        <v>0</v>
      </c>
      <c r="X2674" s="28"/>
      <c r="Y2674" s="28" t="n">
        <f aca="false">X2674*$M2674</f>
        <v>0</v>
      </c>
      <c r="Z2674" s="28"/>
      <c r="AA2674" s="28" t="n">
        <f aca="false">Z2674*$M2674</f>
        <v>0</v>
      </c>
      <c r="AB2674" s="28"/>
      <c r="AC2674" s="28" t="n">
        <f aca="false">AB2674*$M2674</f>
        <v>0</v>
      </c>
      <c r="AD2674" s="28"/>
      <c r="AE2674" s="28" t="n">
        <f aca="false">AD2674*$M2674</f>
        <v>0</v>
      </c>
      <c r="AF2674" s="28"/>
      <c r="AG2674" s="28" t="n">
        <f aca="false">AF2674*$M2674</f>
        <v>0</v>
      </c>
      <c r="AH2674" s="28"/>
      <c r="AI2674" s="28" t="n">
        <f aca="false">AH2674*$M2674</f>
        <v>0</v>
      </c>
      <c r="AJ2674" s="28"/>
      <c r="AK2674" s="28" t="n">
        <f aca="false">AJ2674*$M2674</f>
        <v>0</v>
      </c>
      <c r="AL2674" s="28"/>
      <c r="AM2674" s="28" t="n">
        <f aca="false">AL2674*$M2674</f>
        <v>0</v>
      </c>
      <c r="AN2674" s="28"/>
      <c r="AO2674" s="28" t="n">
        <f aca="false">AN2674*$M2674</f>
        <v>0</v>
      </c>
      <c r="AP2674" s="28"/>
      <c r="AQ2674" s="28" t="n">
        <f aca="false">AP2674*$M2674</f>
        <v>0</v>
      </c>
      <c r="AR2674" s="28"/>
      <c r="AS2674" s="28" t="n">
        <f aca="false">AR2674*$M2674</f>
        <v>0</v>
      </c>
      <c r="AT2674" s="28"/>
      <c r="AU2674" s="28" t="n">
        <f aca="false">AT2674*$M2674</f>
        <v>0</v>
      </c>
      <c r="AV2674" s="28"/>
      <c r="AW2674" s="28" t="n">
        <f aca="false">AV2674*$M2674</f>
        <v>0</v>
      </c>
      <c r="AX2674" s="28"/>
      <c r="AY2674" s="28" t="n">
        <f aca="false">AX2674*$M2674</f>
        <v>0</v>
      </c>
      <c r="AZ2674" s="30"/>
      <c r="BA2674" s="11"/>
      <c r="BB2674" s="31" t="n">
        <f aca="false">SUM(Q2674,S2674,U2674,W2674,Y2674,AA2674,AC2674,AE2674,AG2674,AI2674,AK2674,AM2674,AO2674,AQ2674,AS2674,AU2674,AW2674,AY2674)</f>
        <v>0</v>
      </c>
      <c r="BC2674" s="28" t="n">
        <f aca="false">BA2674-BB2674</f>
        <v>0</v>
      </c>
      <c r="BD2674" s="32" t="n">
        <f aca="false">SUM(P2674,R2674,T2674,V2674,X2674,Z2674,AB2674,AD2674,AF2674,AH2674,AJ2674,AL2674,AN2674,AP2674,AR2674,AT2674,AV2674,AX2674)</f>
        <v>0</v>
      </c>
      <c r="BE2674" s="33" t="n">
        <f aca="false">AZ2674-BD2674</f>
        <v>0</v>
      </c>
      <c r="BF2674" s="34" t="n">
        <f aca="false">BD2674*M2674</f>
        <v>0</v>
      </c>
      <c r="BG2674" s="35" t="n">
        <f aca="false">BA2674-BF2674</f>
        <v>0</v>
      </c>
      <c r="BH2674" s="19" t="str">
        <f aca="false">IF(BG2674=0,"",IF(BG2674&lt;&gt;BA2674,"erreur de calcul",IF(BD2674&lt;&gt;0,"pas de prix",IF(M2674&lt;&gt; 0,"pas de quantité","pas de prix, ni de quantité"))))</f>
        <v/>
      </c>
      <c r="BI2674" s="19"/>
    </row>
    <row r="2675" customFormat="false" ht="15" hidden="false" customHeight="false" outlineLevel="0" collapsed="false">
      <c r="A2675" s="0" t="n">
        <v>8</v>
      </c>
      <c r="B2675" s="8" t="s">
        <v>24</v>
      </c>
      <c r="C2675" s="9" t="s">
        <v>25</v>
      </c>
      <c r="D2675" s="9" t="s">
        <v>26</v>
      </c>
      <c r="E2675" s="10" t="n">
        <v>1789</v>
      </c>
      <c r="F2675" s="9" t="s">
        <v>27</v>
      </c>
      <c r="G2675" s="9" t="s">
        <v>27</v>
      </c>
      <c r="H2675" s="11" t="n">
        <v>24</v>
      </c>
      <c r="I2675" s="11" t="s">
        <v>297</v>
      </c>
      <c r="J2675" s="14" t="n">
        <v>45</v>
      </c>
      <c r="K2675" s="14"/>
      <c r="L2675" s="16"/>
      <c r="M2675" s="27" t="n">
        <f aca="false">J2675+(K2675/20)+(L2675/240)</f>
        <v>45</v>
      </c>
      <c r="N2675" s="17" t="s">
        <v>64</v>
      </c>
      <c r="O2675" s="11"/>
      <c r="P2675" s="28"/>
      <c r="Q2675" s="28" t="n">
        <f aca="false">P2675*$M2675</f>
        <v>0</v>
      </c>
      <c r="R2675" s="28"/>
      <c r="S2675" s="28" t="n">
        <f aca="false">R2675*$M2675</f>
        <v>0</v>
      </c>
      <c r="T2675" s="28"/>
      <c r="U2675" s="28" t="n">
        <f aca="false">T2675*$M2675</f>
        <v>0</v>
      </c>
      <c r="V2675" s="28"/>
      <c r="W2675" s="28" t="n">
        <f aca="false">V2675*$M2675</f>
        <v>0</v>
      </c>
      <c r="X2675" s="28"/>
      <c r="Y2675" s="28" t="n">
        <f aca="false">X2675*$M2675</f>
        <v>0</v>
      </c>
      <c r="Z2675" s="28"/>
      <c r="AA2675" s="28" t="n">
        <f aca="false">Z2675*$M2675</f>
        <v>0</v>
      </c>
      <c r="AB2675" s="28"/>
      <c r="AC2675" s="28" t="n">
        <f aca="false">AB2675*$M2675</f>
        <v>0</v>
      </c>
      <c r="AD2675" s="28"/>
      <c r="AE2675" s="28" t="n">
        <f aca="false">AD2675*$M2675</f>
        <v>0</v>
      </c>
      <c r="AF2675" s="28"/>
      <c r="AG2675" s="28" t="n">
        <f aca="false">AF2675*$M2675</f>
        <v>0</v>
      </c>
      <c r="AH2675" s="28"/>
      <c r="AI2675" s="28" t="n">
        <f aca="false">AH2675*$M2675</f>
        <v>0</v>
      </c>
      <c r="AJ2675" s="28"/>
      <c r="AK2675" s="28" t="n">
        <f aca="false">AJ2675*$M2675</f>
        <v>0</v>
      </c>
      <c r="AL2675" s="28"/>
      <c r="AM2675" s="28" t="n">
        <f aca="false">AL2675*$M2675</f>
        <v>0</v>
      </c>
      <c r="AN2675" s="28"/>
      <c r="AO2675" s="28" t="n">
        <f aca="false">AN2675*$M2675</f>
        <v>0</v>
      </c>
      <c r="AP2675" s="28"/>
      <c r="AQ2675" s="28" t="n">
        <f aca="false">AP2675*$M2675</f>
        <v>0</v>
      </c>
      <c r="AR2675" s="28"/>
      <c r="AS2675" s="28" t="n">
        <f aca="false">AR2675*$M2675</f>
        <v>0</v>
      </c>
      <c r="AT2675" s="28"/>
      <c r="AU2675" s="28" t="n">
        <f aca="false">AT2675*$M2675</f>
        <v>0</v>
      </c>
      <c r="AV2675" s="28"/>
      <c r="AW2675" s="28" t="n">
        <f aca="false">AV2675*$M2675</f>
        <v>0</v>
      </c>
      <c r="AX2675" s="28" t="n">
        <f aca="false">44459/100</f>
        <v>444.59</v>
      </c>
      <c r="AY2675" s="28" t="n">
        <v>20006</v>
      </c>
      <c r="AZ2675" s="30" t="n">
        <f aca="false">44459/100</f>
        <v>444.59</v>
      </c>
      <c r="BA2675" s="11" t="n">
        <v>20006</v>
      </c>
      <c r="BB2675" s="31" t="n">
        <f aca="false">SUM(Q2675,S2675,U2675,W2675,Y2675,AA2675,AC2675,AE2675,AG2675,AI2675,AK2675,AM2675,AO2675,AQ2675,AS2675,AU2675,AW2675,AY2675)</f>
        <v>20006</v>
      </c>
      <c r="BC2675" s="28" t="n">
        <f aca="false">BA2675-BB2675</f>
        <v>0</v>
      </c>
      <c r="BD2675" s="32" t="n">
        <f aca="false">SUM(P2675,R2675,T2675,V2675,X2675,Z2675,AB2675,AD2675,AF2675,AH2675,AJ2675,AL2675,AN2675,AP2675,AR2675,AT2675,AV2675,AX2675)</f>
        <v>444.59</v>
      </c>
      <c r="BE2675" s="33" t="n">
        <f aca="false">AZ2675-BD2675</f>
        <v>0</v>
      </c>
      <c r="BF2675" s="34" t="n">
        <f aca="false">BD2675*M2675</f>
        <v>20006.55</v>
      </c>
      <c r="BG2675" s="35" t="n">
        <f aca="false">BA2675-BF2675</f>
        <v>-0.549999999999272</v>
      </c>
      <c r="BH2675" s="19" t="str">
        <f aca="false">IF(BG2675=0,"",IF(BG2675&lt;&gt;BA2675,"erreur de calcul",IF(BD2675&lt;&gt;0,"pas de prix",IF(M2675&lt;&gt; 0,"pas de quantité","pas de prix, ni de quantité"))))</f>
        <v>erreur de calcul</v>
      </c>
      <c r="BI2675" s="19"/>
    </row>
    <row r="2676" customFormat="false" ht="15" hidden="false" customHeight="false" outlineLevel="0" collapsed="false">
      <c r="A2676" s="0" t="n">
        <v>9</v>
      </c>
      <c r="B2676" s="8" t="s">
        <v>24</v>
      </c>
      <c r="C2676" s="9" t="s">
        <v>25</v>
      </c>
      <c r="D2676" s="9" t="s">
        <v>26</v>
      </c>
      <c r="E2676" s="10" t="n">
        <v>1789</v>
      </c>
      <c r="F2676" s="9" t="s">
        <v>27</v>
      </c>
      <c r="G2676" s="9" t="s">
        <v>27</v>
      </c>
      <c r="H2676" s="11" t="n">
        <v>24</v>
      </c>
      <c r="I2676" s="11" t="s">
        <v>298</v>
      </c>
      <c r="J2676" s="14" t="n">
        <v>550</v>
      </c>
      <c r="K2676" s="14"/>
      <c r="L2676" s="16"/>
      <c r="M2676" s="27" t="n">
        <f aca="false">J2676+(K2676/20)+(L2676/240)</f>
        <v>550</v>
      </c>
      <c r="N2676" s="17" t="s">
        <v>64</v>
      </c>
      <c r="O2676" s="11"/>
      <c r="P2676" s="28"/>
      <c r="Q2676" s="28" t="n">
        <f aca="false">P2676*$M2676</f>
        <v>0</v>
      </c>
      <c r="R2676" s="28"/>
      <c r="S2676" s="28" t="n">
        <f aca="false">R2676*$M2676</f>
        <v>0</v>
      </c>
      <c r="T2676" s="28"/>
      <c r="U2676" s="28" t="n">
        <f aca="false">T2676*$M2676</f>
        <v>0</v>
      </c>
      <c r="V2676" s="28"/>
      <c r="W2676" s="28" t="n">
        <f aca="false">V2676*$M2676</f>
        <v>0</v>
      </c>
      <c r="X2676" s="28"/>
      <c r="Y2676" s="28" t="n">
        <f aca="false">X2676*$M2676</f>
        <v>0</v>
      </c>
      <c r="Z2676" s="28"/>
      <c r="AA2676" s="28" t="n">
        <f aca="false">Z2676*$M2676</f>
        <v>0</v>
      </c>
      <c r="AB2676" s="28"/>
      <c r="AC2676" s="28" t="n">
        <f aca="false">AB2676*$M2676</f>
        <v>0</v>
      </c>
      <c r="AD2676" s="28"/>
      <c r="AE2676" s="28" t="n">
        <f aca="false">AD2676*$M2676</f>
        <v>0</v>
      </c>
      <c r="AF2676" s="28" t="n">
        <f aca="false">200/100</f>
        <v>2</v>
      </c>
      <c r="AG2676" s="28" t="n">
        <v>1100</v>
      </c>
      <c r="AH2676" s="28"/>
      <c r="AI2676" s="28" t="n">
        <f aca="false">AH2676*$M2676</f>
        <v>0</v>
      </c>
      <c r="AJ2676" s="28"/>
      <c r="AK2676" s="28" t="n">
        <f aca="false">AJ2676*$M2676</f>
        <v>0</v>
      </c>
      <c r="AL2676" s="28"/>
      <c r="AM2676" s="28" t="n">
        <f aca="false">AL2676*$M2676</f>
        <v>0</v>
      </c>
      <c r="AN2676" s="28"/>
      <c r="AO2676" s="28" t="n">
        <f aca="false">AN2676*$M2676</f>
        <v>0</v>
      </c>
      <c r="AP2676" s="28"/>
      <c r="AQ2676" s="28" t="n">
        <f aca="false">AP2676*$M2676</f>
        <v>0</v>
      </c>
      <c r="AR2676" s="28"/>
      <c r="AS2676" s="28" t="n">
        <f aca="false">AR2676*$M2676</f>
        <v>0</v>
      </c>
      <c r="AT2676" s="28"/>
      <c r="AU2676" s="28" t="n">
        <f aca="false">AT2676*$M2676</f>
        <v>0</v>
      </c>
      <c r="AV2676" s="28"/>
      <c r="AW2676" s="28" t="n">
        <f aca="false">AV2676*$M2676</f>
        <v>0</v>
      </c>
      <c r="AX2676" s="28"/>
      <c r="AY2676" s="28" t="n">
        <f aca="false">AX2676*$M2676</f>
        <v>0</v>
      </c>
      <c r="AZ2676" s="30" t="n">
        <f aca="false">200/100</f>
        <v>2</v>
      </c>
      <c r="BA2676" s="11" t="n">
        <v>1100</v>
      </c>
      <c r="BB2676" s="31" t="n">
        <f aca="false">SUM(Q2676,S2676,U2676,W2676,Y2676,AA2676,AC2676,AE2676,AG2676,AI2676,AK2676,AM2676,AO2676,AQ2676,AS2676,AU2676,AW2676,AY2676)</f>
        <v>1100</v>
      </c>
      <c r="BC2676" s="28" t="n">
        <f aca="false">BA2676-BB2676</f>
        <v>0</v>
      </c>
      <c r="BD2676" s="32" t="n">
        <f aca="false">SUM(P2676,R2676,T2676,V2676,X2676,Z2676,AB2676,AD2676,AF2676,AH2676,AJ2676,AL2676,AN2676,AP2676,AR2676,AT2676,AV2676,AX2676)</f>
        <v>2</v>
      </c>
      <c r="BE2676" s="33" t="n">
        <f aca="false">AZ2676-BD2676</f>
        <v>0</v>
      </c>
      <c r="BF2676" s="34" t="n">
        <f aca="false">BD2676*M2676</f>
        <v>1100</v>
      </c>
      <c r="BG2676" s="35" t="n">
        <f aca="false">BA2676-BF2676</f>
        <v>0</v>
      </c>
      <c r="BH2676" s="19" t="str">
        <f aca="false">IF(BG2676=0,"",IF(BG2676&lt;&gt;BA2676,"erreur de calcul",IF(BD2676&lt;&gt;0,"pas de prix",IF(M2676&lt;&gt; 0,"pas de quantité","pas de prix, ni de quantité"))))</f>
        <v/>
      </c>
      <c r="BI2676" s="19"/>
    </row>
    <row r="2677" customFormat="false" ht="15" hidden="false" customHeight="false" outlineLevel="0" collapsed="false">
      <c r="A2677" s="0" t="n">
        <v>10</v>
      </c>
      <c r="B2677" s="8" t="s">
        <v>24</v>
      </c>
      <c r="C2677" s="9" t="s">
        <v>25</v>
      </c>
      <c r="D2677" s="9" t="s">
        <v>26</v>
      </c>
      <c r="E2677" s="10" t="n">
        <v>1789</v>
      </c>
      <c r="F2677" s="9" t="s">
        <v>27</v>
      </c>
      <c r="G2677" s="9" t="s">
        <v>27</v>
      </c>
      <c r="H2677" s="11" t="n">
        <v>24</v>
      </c>
      <c r="I2677" s="11" t="s">
        <v>299</v>
      </c>
      <c r="J2677" s="14" t="n">
        <v>16</v>
      </c>
      <c r="K2677" s="14"/>
      <c r="L2677" s="16"/>
      <c r="M2677" s="27" t="n">
        <f aca="false">J2677+(K2677/20)+(L2677/240)</f>
        <v>16</v>
      </c>
      <c r="N2677" s="17" t="s">
        <v>64</v>
      </c>
      <c r="O2677" s="11"/>
      <c r="P2677" s="28" t="n">
        <f aca="false">20*288*0.02+252*0.02</f>
        <v>120.24</v>
      </c>
      <c r="Q2677" s="28" t="n">
        <v>1924</v>
      </c>
      <c r="R2677" s="28"/>
      <c r="S2677" s="28" t="n">
        <f aca="false">R2677*$M2677</f>
        <v>0</v>
      </c>
      <c r="T2677" s="28"/>
      <c r="U2677" s="28" t="n">
        <f aca="false">T2677*$M2677</f>
        <v>0</v>
      </c>
      <c r="V2677" s="28" t="n">
        <f aca="false">16*288*0.02+15*0.02</f>
        <v>92.46</v>
      </c>
      <c r="W2677" s="28" t="n">
        <v>1479</v>
      </c>
      <c r="X2677" s="28" t="n">
        <f aca="false">25*288*0.02+152*0.02</f>
        <v>147.04</v>
      </c>
      <c r="Y2677" s="28" t="n">
        <v>2353</v>
      </c>
      <c r="Z2677" s="28"/>
      <c r="AA2677" s="28" t="n">
        <f aca="false">Z2677*$M2677</f>
        <v>0</v>
      </c>
      <c r="AB2677" s="28" t="n">
        <f aca="false">127*288*0.02+236*0.02</f>
        <v>736.24</v>
      </c>
      <c r="AC2677" s="28" t="n">
        <v>11780</v>
      </c>
      <c r="AD2677" s="28"/>
      <c r="AE2677" s="28" t="n">
        <f aca="false">AD2677*$M2677</f>
        <v>0</v>
      </c>
      <c r="AF2677" s="28"/>
      <c r="AG2677" s="28" t="n">
        <f aca="false">AF2677*$M2677</f>
        <v>0</v>
      </c>
      <c r="AH2677" s="28"/>
      <c r="AI2677" s="28" t="n">
        <f aca="false">AH2677*$M2677</f>
        <v>0</v>
      </c>
      <c r="AJ2677" s="28"/>
      <c r="AK2677" s="28" t="n">
        <f aca="false">AJ2677*$M2677</f>
        <v>0</v>
      </c>
      <c r="AL2677" s="28"/>
      <c r="AM2677" s="28" t="n">
        <f aca="false">AL2677*$M2677</f>
        <v>0</v>
      </c>
      <c r="AN2677" s="28"/>
      <c r="AO2677" s="28" t="n">
        <f aca="false">AN2677*$M2677</f>
        <v>0</v>
      </c>
      <c r="AP2677" s="28"/>
      <c r="AQ2677" s="28" t="n">
        <f aca="false">AP2677*$M2677</f>
        <v>0</v>
      </c>
      <c r="AR2677" s="28"/>
      <c r="AS2677" s="28" t="n">
        <f aca="false">AR2677*$M2677</f>
        <v>0</v>
      </c>
      <c r="AT2677" s="28"/>
      <c r="AU2677" s="28" t="n">
        <f aca="false">AT2677*$M2677</f>
        <v>0</v>
      </c>
      <c r="AV2677" s="28"/>
      <c r="AW2677" s="28" t="n">
        <f aca="false">AV2677*$M2677</f>
        <v>0</v>
      </c>
      <c r="AX2677" s="28"/>
      <c r="AY2677" s="28" t="n">
        <f aca="false">AX2677*$M2677</f>
        <v>0</v>
      </c>
      <c r="AZ2677" s="30" t="n">
        <f aca="false">190*288*0.02+82*0.02</f>
        <v>1096.04</v>
      </c>
      <c r="BA2677" s="11" t="n">
        <v>17536</v>
      </c>
      <c r="BB2677" s="31" t="n">
        <f aca="false">SUM(Q2677,S2677,U2677,W2677,Y2677,AA2677,AC2677,AE2677,AG2677,AI2677,AK2677,AM2677,AO2677,AQ2677,AS2677,AU2677,AW2677,AY2677)</f>
        <v>17536</v>
      </c>
      <c r="BC2677" s="28" t="n">
        <f aca="false">BA2677-BB2677</f>
        <v>0</v>
      </c>
      <c r="BD2677" s="32" t="n">
        <f aca="false">SUM(P2677,R2677,T2677,V2677,X2677,Z2677,AB2677,AD2677,AF2677,AH2677,AJ2677,AL2677,AN2677,AP2677,AR2677,AT2677,AV2677,AX2677)</f>
        <v>1095.98</v>
      </c>
      <c r="BE2677" s="33" t="n">
        <f aca="false">AZ2677-BD2677</f>
        <v>0.0600000000001728</v>
      </c>
      <c r="BF2677" s="34" t="n">
        <f aca="false">BD2677*M2677</f>
        <v>17535.68</v>
      </c>
      <c r="BG2677" s="35" t="n">
        <f aca="false">BA2677-BF2677</f>
        <v>0.319999999999709</v>
      </c>
      <c r="BH2677" s="19" t="str">
        <f aca="false">IF(BG2677=0,"",IF(BG2677&lt;&gt;BA2677,"erreur de calcul",IF(BD2677&lt;&gt;0,"pas de prix",IF(M2677&lt;&gt; 0,"pas de quantité","pas de prix, ni de quantité"))))</f>
        <v>erreur de calcul</v>
      </c>
      <c r="BI2677" s="19"/>
    </row>
    <row r="2678" customFormat="false" ht="15" hidden="false" customHeight="false" outlineLevel="0" collapsed="false">
      <c r="A2678" s="0" t="n">
        <v>11</v>
      </c>
      <c r="B2678" s="8" t="s">
        <v>24</v>
      </c>
      <c r="C2678" s="9" t="s">
        <v>25</v>
      </c>
      <c r="D2678" s="9" t="s">
        <v>26</v>
      </c>
      <c r="E2678" s="10" t="n">
        <v>1789</v>
      </c>
      <c r="F2678" s="9" t="s">
        <v>27</v>
      </c>
      <c r="G2678" s="9" t="s">
        <v>27</v>
      </c>
      <c r="H2678" s="11" t="n">
        <v>24</v>
      </c>
      <c r="I2678" s="11" t="s">
        <v>300</v>
      </c>
      <c r="J2678" s="14" t="n">
        <v>360</v>
      </c>
      <c r="K2678" s="14"/>
      <c r="L2678" s="16"/>
      <c r="M2678" s="27" t="n">
        <f aca="false">J2678+(K2678/20)+(L2678/240)</f>
        <v>360</v>
      </c>
      <c r="N2678" s="17" t="s">
        <v>64</v>
      </c>
      <c r="O2678" s="11"/>
      <c r="P2678" s="28"/>
      <c r="Q2678" s="28" t="n">
        <f aca="false">P2678*$M2678</f>
        <v>0</v>
      </c>
      <c r="R2678" s="28"/>
      <c r="S2678" s="28" t="n">
        <f aca="false">R2678*$M2678</f>
        <v>0</v>
      </c>
      <c r="T2678" s="28"/>
      <c r="U2678" s="28" t="n">
        <f aca="false">T2678*$M2678</f>
        <v>0</v>
      </c>
      <c r="V2678" s="28"/>
      <c r="W2678" s="28" t="n">
        <f aca="false">V2678*$M2678</f>
        <v>0</v>
      </c>
      <c r="X2678" s="28"/>
      <c r="Y2678" s="28" t="n">
        <f aca="false">X2678*$M2678</f>
        <v>0</v>
      </c>
      <c r="Z2678" s="28"/>
      <c r="AA2678" s="28" t="n">
        <f aca="false">Z2678*$M2678</f>
        <v>0</v>
      </c>
      <c r="AB2678" s="28"/>
      <c r="AC2678" s="28" t="n">
        <f aca="false">AB2678*$M2678</f>
        <v>0</v>
      </c>
      <c r="AD2678" s="28"/>
      <c r="AE2678" s="28" t="n">
        <f aca="false">AD2678*$M2678</f>
        <v>0</v>
      </c>
      <c r="AF2678" s="28"/>
      <c r="AG2678" s="28" t="n">
        <f aca="false">AF2678*$M2678</f>
        <v>0</v>
      </c>
      <c r="AH2678" s="28" t="n">
        <f aca="false">371073/100</f>
        <v>3710.73</v>
      </c>
      <c r="AI2678" s="28" t="n">
        <v>1335863</v>
      </c>
      <c r="AJ2678" s="28"/>
      <c r="AK2678" s="28" t="n">
        <f aca="false">AJ2678*$M2678</f>
        <v>0</v>
      </c>
      <c r="AL2678" s="28"/>
      <c r="AM2678" s="28" t="n">
        <f aca="false">AL2678*$M2678</f>
        <v>0</v>
      </c>
      <c r="AN2678" s="28"/>
      <c r="AO2678" s="28" t="n">
        <f aca="false">AN2678*$M2678</f>
        <v>0</v>
      </c>
      <c r="AP2678" s="28"/>
      <c r="AQ2678" s="28" t="n">
        <f aca="false">AP2678*$M2678</f>
        <v>0</v>
      </c>
      <c r="AR2678" s="28"/>
      <c r="AS2678" s="28" t="n">
        <f aca="false">AR2678*$M2678</f>
        <v>0</v>
      </c>
      <c r="AT2678" s="28"/>
      <c r="AU2678" s="28" t="n">
        <f aca="false">AT2678*$M2678</f>
        <v>0</v>
      </c>
      <c r="AV2678" s="28"/>
      <c r="AW2678" s="28" t="n">
        <f aca="false">AV2678*$M2678</f>
        <v>0</v>
      </c>
      <c r="AX2678" s="28"/>
      <c r="AY2678" s="28" t="n">
        <f aca="false">AX2678*$M2678</f>
        <v>0</v>
      </c>
      <c r="AZ2678" s="30" t="n">
        <f aca="false">371073/100</f>
        <v>3710.73</v>
      </c>
      <c r="BA2678" s="11" t="n">
        <v>1335863</v>
      </c>
      <c r="BB2678" s="31" t="n">
        <f aca="false">SUM(Q2678,S2678,U2678,W2678,Y2678,AA2678,AC2678,AE2678,AG2678,AI2678,AK2678,AM2678,AO2678,AQ2678,AS2678,AU2678,AW2678,AY2678)</f>
        <v>1335863</v>
      </c>
      <c r="BC2678" s="28" t="n">
        <f aca="false">BA2678-BB2678</f>
        <v>0</v>
      </c>
      <c r="BD2678" s="32" t="n">
        <f aca="false">SUM(P2678,R2678,T2678,V2678,X2678,Z2678,AB2678,AD2678,AF2678,AH2678,AJ2678,AL2678,AN2678,AP2678,AR2678,AT2678,AV2678,AX2678)</f>
        <v>3710.73</v>
      </c>
      <c r="BE2678" s="33" t="n">
        <f aca="false">AZ2678-BD2678</f>
        <v>0</v>
      </c>
      <c r="BF2678" s="34" t="n">
        <f aca="false">BD2678*M2678</f>
        <v>1335862.8</v>
      </c>
      <c r="BG2678" s="35" t="n">
        <f aca="false">BA2678-BF2678</f>
        <v>0.199999999953434</v>
      </c>
      <c r="BH2678" s="19" t="str">
        <f aca="false">IF(BG2678=0,"",IF(BG2678&lt;&gt;BA2678,"erreur de calcul",IF(BD2678&lt;&gt;0,"pas de prix",IF(M2678&lt;&gt; 0,"pas de quantité","pas de prix, ni de quantité"))))</f>
        <v>erreur de calcul</v>
      </c>
      <c r="BI2678" s="19"/>
    </row>
    <row r="2679" customFormat="false" ht="15" hidden="false" customHeight="false" outlineLevel="0" collapsed="false">
      <c r="A2679" s="0" t="n">
        <v>12</v>
      </c>
      <c r="B2679" s="8" t="s">
        <v>24</v>
      </c>
      <c r="C2679" s="9" t="s">
        <v>25</v>
      </c>
      <c r="D2679" s="9" t="s">
        <v>26</v>
      </c>
      <c r="E2679" s="10" t="n">
        <v>1789</v>
      </c>
      <c r="F2679" s="9" t="s">
        <v>27</v>
      </c>
      <c r="G2679" s="9" t="s">
        <v>27</v>
      </c>
      <c r="H2679" s="11" t="n">
        <v>24</v>
      </c>
      <c r="I2679" s="11" t="s">
        <v>301</v>
      </c>
      <c r="J2679" s="14" t="n">
        <v>3</v>
      </c>
      <c r="K2679" s="14"/>
      <c r="L2679" s="16"/>
      <c r="M2679" s="27" t="n">
        <f aca="false">J2679+(K2679/20)+(L2679/240)</f>
        <v>3</v>
      </c>
      <c r="N2679" s="17" t="s">
        <v>66</v>
      </c>
      <c r="O2679" s="11"/>
      <c r="P2679" s="28"/>
      <c r="Q2679" s="28" t="n">
        <f aca="false">P2679*$M2679</f>
        <v>0</v>
      </c>
      <c r="R2679" s="28"/>
      <c r="S2679" s="28" t="n">
        <f aca="false">R2679*$M2679</f>
        <v>0</v>
      </c>
      <c r="T2679" s="28"/>
      <c r="U2679" s="28" t="n">
        <f aca="false">T2679*$M2679</f>
        <v>0</v>
      </c>
      <c r="V2679" s="28"/>
      <c r="W2679" s="28" t="n">
        <f aca="false">V2679*$M2679</f>
        <v>0</v>
      </c>
      <c r="X2679" s="28"/>
      <c r="Y2679" s="28" t="n">
        <f aca="false">X2679*$M2679</f>
        <v>0</v>
      </c>
      <c r="Z2679" s="28"/>
      <c r="AA2679" s="28" t="n">
        <f aca="false">Z2679*$M2679</f>
        <v>0</v>
      </c>
      <c r="AB2679" s="28"/>
      <c r="AC2679" s="28" t="n">
        <f aca="false">AB2679*$M2679</f>
        <v>0</v>
      </c>
      <c r="AD2679" s="28"/>
      <c r="AE2679" s="28" t="n">
        <f aca="false">AD2679*$M2679</f>
        <v>0</v>
      </c>
      <c r="AF2679" s="28"/>
      <c r="AG2679" s="28" t="n">
        <f aca="false">AF2679*$M2679</f>
        <v>0</v>
      </c>
      <c r="AH2679" s="28" t="n">
        <v>19281</v>
      </c>
      <c r="AI2679" s="28" t="n">
        <v>57843</v>
      </c>
      <c r="AJ2679" s="28"/>
      <c r="AK2679" s="28" t="n">
        <f aca="false">AJ2679*$M2679</f>
        <v>0</v>
      </c>
      <c r="AL2679" s="28"/>
      <c r="AM2679" s="28" t="n">
        <f aca="false">AL2679*$M2679</f>
        <v>0</v>
      </c>
      <c r="AN2679" s="28"/>
      <c r="AO2679" s="28" t="n">
        <f aca="false">AN2679*$M2679</f>
        <v>0</v>
      </c>
      <c r="AP2679" s="28"/>
      <c r="AQ2679" s="28" t="n">
        <f aca="false">AP2679*$M2679</f>
        <v>0</v>
      </c>
      <c r="AR2679" s="28"/>
      <c r="AS2679" s="28" t="n">
        <f aca="false">AR2679*$M2679</f>
        <v>0</v>
      </c>
      <c r="AT2679" s="28"/>
      <c r="AU2679" s="28" t="n">
        <f aca="false">AT2679*$M2679</f>
        <v>0</v>
      </c>
      <c r="AV2679" s="28"/>
      <c r="AW2679" s="28" t="n">
        <f aca="false">AV2679*$M2679</f>
        <v>0</v>
      </c>
      <c r="AX2679" s="28"/>
      <c r="AY2679" s="28" t="n">
        <f aca="false">AX2679*$M2679</f>
        <v>0</v>
      </c>
      <c r="AZ2679" s="30" t="n">
        <v>19281</v>
      </c>
      <c r="BA2679" s="11" t="n">
        <v>57843</v>
      </c>
      <c r="BB2679" s="31" t="n">
        <f aca="false">SUM(Q2679,S2679,U2679,W2679,Y2679,AA2679,AC2679,AE2679,AG2679,AI2679,AK2679,AM2679,AO2679,AQ2679,AS2679,AU2679,AW2679,AY2679)</f>
        <v>57843</v>
      </c>
      <c r="BC2679" s="28" t="n">
        <f aca="false">BA2679-BB2679</f>
        <v>0</v>
      </c>
      <c r="BD2679" s="32" t="n">
        <f aca="false">SUM(P2679,R2679,T2679,V2679,X2679,Z2679,AB2679,AD2679,AF2679,AH2679,AJ2679,AL2679,AN2679,AP2679,AR2679,AT2679,AV2679,AX2679)</f>
        <v>19281</v>
      </c>
      <c r="BE2679" s="33" t="n">
        <f aca="false">AZ2679-BD2679</f>
        <v>0</v>
      </c>
      <c r="BF2679" s="34" t="n">
        <f aca="false">BD2679*M2679</f>
        <v>57843</v>
      </c>
      <c r="BG2679" s="35" t="n">
        <f aca="false">BA2679-BF2679</f>
        <v>0</v>
      </c>
      <c r="BH2679" s="19" t="str">
        <f aca="false">IF(BG2679=0,"",IF(BG2679&lt;&gt;BA2679,"erreur de calcul",IF(BD2679&lt;&gt;0,"pas de prix",IF(M2679&lt;&gt; 0,"pas de quantité","pas de prix, ni de quantité"))))</f>
        <v/>
      </c>
      <c r="BI2679" s="19"/>
    </row>
    <row r="2680" customFormat="false" ht="15" hidden="false" customHeight="false" outlineLevel="0" collapsed="false">
      <c r="A2680" s="0" t="n">
        <v>13</v>
      </c>
      <c r="B2680" s="8" t="s">
        <v>24</v>
      </c>
      <c r="C2680" s="9" t="s">
        <v>25</v>
      </c>
      <c r="D2680" s="9" t="s">
        <v>26</v>
      </c>
      <c r="E2680" s="10" t="n">
        <v>1789</v>
      </c>
      <c r="F2680" s="9" t="s">
        <v>27</v>
      </c>
      <c r="G2680" s="9" t="s">
        <v>27</v>
      </c>
      <c r="H2680" s="11" t="n">
        <v>24</v>
      </c>
      <c r="I2680" s="11" t="s">
        <v>302</v>
      </c>
      <c r="J2680" s="14" t="n">
        <v>112</v>
      </c>
      <c r="K2680" s="14"/>
      <c r="L2680" s="16"/>
      <c r="M2680" s="27" t="n">
        <f aca="false">J2680+(K2680/20)+(L2680/240)</f>
        <v>112</v>
      </c>
      <c r="N2680" s="17" t="s">
        <v>64</v>
      </c>
      <c r="O2680" s="11"/>
      <c r="P2680" s="28" t="n">
        <f aca="false">99503/100</f>
        <v>995.03</v>
      </c>
      <c r="Q2680" s="28" t="n">
        <v>111443</v>
      </c>
      <c r="R2680" s="28"/>
      <c r="S2680" s="28" t="n">
        <f aca="false">R2680*$M2680</f>
        <v>0</v>
      </c>
      <c r="T2680" s="28" t="n">
        <f aca="false">8445/100</f>
        <v>84.45</v>
      </c>
      <c r="U2680" s="28" t="n">
        <v>9458</v>
      </c>
      <c r="V2680" s="28" t="n">
        <f aca="false">2517/100</f>
        <v>25.17</v>
      </c>
      <c r="W2680" s="28" t="n">
        <v>2819</v>
      </c>
      <c r="X2680" s="28" t="n">
        <f aca="false">4729/100</f>
        <v>47.29</v>
      </c>
      <c r="Y2680" s="28" t="n">
        <v>5296</v>
      </c>
      <c r="Z2680" s="28" t="n">
        <f aca="false">198115/100</f>
        <v>1981.15</v>
      </c>
      <c r="AA2680" s="28" t="n">
        <v>221889</v>
      </c>
      <c r="AB2680" s="28"/>
      <c r="AC2680" s="28" t="n">
        <f aca="false">AB2680*$M2680</f>
        <v>0</v>
      </c>
      <c r="AD2680" s="28"/>
      <c r="AE2680" s="28" t="n">
        <f aca="false">AD2680*$M2680</f>
        <v>0</v>
      </c>
      <c r="AF2680" s="28" t="n">
        <f aca="false">67420/100</f>
        <v>674.2</v>
      </c>
      <c r="AG2680" s="28" t="n">
        <v>75510</v>
      </c>
      <c r="AH2680" s="28" t="n">
        <f aca="false">415806/100</f>
        <v>4158.06</v>
      </c>
      <c r="AI2680" s="28" t="n">
        <v>465703</v>
      </c>
      <c r="AJ2680" s="28"/>
      <c r="AK2680" s="28" t="n">
        <f aca="false">AJ2680*$M2680</f>
        <v>0</v>
      </c>
      <c r="AL2680" s="28" t="n">
        <f aca="false">324/100</f>
        <v>3.24</v>
      </c>
      <c r="AM2680" s="28" t="n">
        <v>363</v>
      </c>
      <c r="AN2680" s="28"/>
      <c r="AO2680" s="28" t="n">
        <f aca="false">AN2680*$M2680</f>
        <v>0</v>
      </c>
      <c r="AP2680" s="28"/>
      <c r="AQ2680" s="28" t="n">
        <f aca="false">AP2680*$M2680</f>
        <v>0</v>
      </c>
      <c r="AR2680" s="28"/>
      <c r="AS2680" s="28" t="n">
        <f aca="false">AR2680*$M2680</f>
        <v>0</v>
      </c>
      <c r="AT2680" s="28"/>
      <c r="AU2680" s="28" t="n">
        <f aca="false">AT2680*$M2680</f>
        <v>0</v>
      </c>
      <c r="AV2680" s="28"/>
      <c r="AW2680" s="28" t="n">
        <f aca="false">AV2680*$M2680</f>
        <v>0</v>
      </c>
      <c r="AX2680" s="28"/>
      <c r="AY2680" s="28" t="n">
        <f aca="false">AX2680*$M2680</f>
        <v>0</v>
      </c>
      <c r="AZ2680" s="30" t="n">
        <f aca="false">796859/100</f>
        <v>7968.59</v>
      </c>
      <c r="BA2680" s="11" t="n">
        <v>892481</v>
      </c>
      <c r="BB2680" s="31" t="n">
        <f aca="false">SUM(Q2680,S2680,U2680,W2680,Y2680,AA2680,AC2680,AE2680,AG2680,AI2680,AK2680,AM2680,AO2680,AQ2680,AS2680,AU2680,AW2680,AY2680)</f>
        <v>892481</v>
      </c>
      <c r="BC2680" s="28" t="n">
        <f aca="false">BA2680-BB2680</f>
        <v>0</v>
      </c>
      <c r="BD2680" s="32" t="n">
        <f aca="false">SUM(P2680,R2680,T2680,V2680,X2680,Z2680,AB2680,AD2680,AF2680,AH2680,AJ2680,AL2680,AN2680,AP2680,AR2680,AT2680,AV2680,AX2680)</f>
        <v>7968.59</v>
      </c>
      <c r="BE2680" s="33" t="n">
        <f aca="false">AZ2680-BD2680</f>
        <v>0</v>
      </c>
      <c r="BF2680" s="34" t="n">
        <f aca="false">BD2680*M2680</f>
        <v>892482.08</v>
      </c>
      <c r="BG2680" s="35" t="n">
        <f aca="false">BA2680-BF2680</f>
        <v>-1.07999999995809</v>
      </c>
      <c r="BH2680" s="19" t="str">
        <f aca="false">IF(BG2680=0,"",IF(BG2680&lt;&gt;BA2680,"erreur de calcul",IF(BD2680&lt;&gt;0,"pas de prix",IF(M2680&lt;&gt; 0,"pas de quantité","pas de prix, ni de quantité"))))</f>
        <v>erreur de calcul</v>
      </c>
      <c r="BI2680" s="19"/>
    </row>
    <row r="2681" customFormat="false" ht="15" hidden="false" customHeight="false" outlineLevel="0" collapsed="false">
      <c r="A2681" s="0" t="n">
        <v>14</v>
      </c>
      <c r="B2681" s="8" t="s">
        <v>24</v>
      </c>
      <c r="C2681" s="9" t="s">
        <v>25</v>
      </c>
      <c r="D2681" s="9" t="s">
        <v>26</v>
      </c>
      <c r="E2681" s="10" t="n">
        <v>1789</v>
      </c>
      <c r="F2681" s="9" t="s">
        <v>27</v>
      </c>
      <c r="G2681" s="9" t="s">
        <v>27</v>
      </c>
      <c r="H2681" s="11" t="n">
        <v>24</v>
      </c>
      <c r="I2681" s="11" t="s">
        <v>303</v>
      </c>
      <c r="J2681" s="14" t="n">
        <v>50</v>
      </c>
      <c r="K2681" s="14"/>
      <c r="L2681" s="16"/>
      <c r="M2681" s="27" t="n">
        <f aca="false">J2681+(K2681/20)+(L2681/240)</f>
        <v>50</v>
      </c>
      <c r="N2681" s="17" t="s">
        <v>64</v>
      </c>
      <c r="O2681" s="11"/>
      <c r="P2681" s="28"/>
      <c r="Q2681" s="28" t="n">
        <f aca="false">P2681*$M2681</f>
        <v>0</v>
      </c>
      <c r="R2681" s="28"/>
      <c r="S2681" s="28" t="n">
        <f aca="false">R2681*$M2681</f>
        <v>0</v>
      </c>
      <c r="T2681" s="28"/>
      <c r="U2681" s="28" t="n">
        <f aca="false">T2681*$M2681</f>
        <v>0</v>
      </c>
      <c r="V2681" s="28"/>
      <c r="W2681" s="28" t="n">
        <f aca="false">V2681*$M2681</f>
        <v>0</v>
      </c>
      <c r="X2681" s="28"/>
      <c r="Y2681" s="28" t="n">
        <f aca="false">X2681*$M2681</f>
        <v>0</v>
      </c>
      <c r="Z2681" s="28"/>
      <c r="AA2681" s="28" t="n">
        <f aca="false">Z2681*$M2681</f>
        <v>0</v>
      </c>
      <c r="AB2681" s="28"/>
      <c r="AC2681" s="28" t="n">
        <f aca="false">AB2681*$M2681</f>
        <v>0</v>
      </c>
      <c r="AD2681" s="28"/>
      <c r="AE2681" s="28" t="n">
        <f aca="false">AD2681*$M2681</f>
        <v>0</v>
      </c>
      <c r="AF2681" s="28" t="n">
        <f aca="false">208461/100</f>
        <v>2084.61</v>
      </c>
      <c r="AG2681" s="28" t="n">
        <v>104230</v>
      </c>
      <c r="AH2681" s="28" t="n">
        <f aca="false">757624/100</f>
        <v>7576.24</v>
      </c>
      <c r="AI2681" s="28" t="n">
        <v>378812</v>
      </c>
      <c r="AJ2681" s="28"/>
      <c r="AK2681" s="28" t="n">
        <f aca="false">AJ2681*$M2681</f>
        <v>0</v>
      </c>
      <c r="AL2681" s="28"/>
      <c r="AM2681" s="28" t="n">
        <f aca="false">AL2681*$M2681</f>
        <v>0</v>
      </c>
      <c r="AN2681" s="28"/>
      <c r="AO2681" s="28" t="n">
        <f aca="false">AN2681*$M2681</f>
        <v>0</v>
      </c>
      <c r="AP2681" s="28"/>
      <c r="AQ2681" s="28" t="n">
        <f aca="false">AP2681*$M2681</f>
        <v>0</v>
      </c>
      <c r="AR2681" s="28"/>
      <c r="AS2681" s="28" t="n">
        <f aca="false">AR2681*$M2681</f>
        <v>0</v>
      </c>
      <c r="AT2681" s="28"/>
      <c r="AU2681" s="28" t="n">
        <f aca="false">AT2681*$M2681</f>
        <v>0</v>
      </c>
      <c r="AV2681" s="28"/>
      <c r="AW2681" s="28" t="n">
        <f aca="false">AV2681*$M2681</f>
        <v>0</v>
      </c>
      <c r="AX2681" s="28"/>
      <c r="AY2681" s="28" t="n">
        <f aca="false">AX2681*$M2681</f>
        <v>0</v>
      </c>
      <c r="AZ2681" s="30" t="n">
        <f aca="false">966085/100</f>
        <v>9660.85</v>
      </c>
      <c r="BA2681" s="11" t="n">
        <v>483042</v>
      </c>
      <c r="BB2681" s="31" t="n">
        <f aca="false">SUM(Q2681,S2681,U2681,W2681,Y2681,AA2681,AC2681,AE2681,AG2681,AI2681,AK2681,AM2681,AO2681,AQ2681,AS2681,AU2681,AW2681,AY2681)</f>
        <v>483042</v>
      </c>
      <c r="BC2681" s="28" t="n">
        <f aca="false">BA2681-BB2681</f>
        <v>0</v>
      </c>
      <c r="BD2681" s="32" t="n">
        <f aca="false">SUM(P2681,R2681,T2681,V2681,X2681,Z2681,AB2681,AD2681,AF2681,AH2681,AJ2681,AL2681,AN2681,AP2681,AR2681,AT2681,AV2681,AX2681)</f>
        <v>9660.85</v>
      </c>
      <c r="BE2681" s="33" t="n">
        <f aca="false">AZ2681-BD2681</f>
        <v>0</v>
      </c>
      <c r="BF2681" s="34" t="n">
        <f aca="false">BD2681*M2681</f>
        <v>483042.5</v>
      </c>
      <c r="BG2681" s="35" t="n">
        <f aca="false">BA2681-BF2681</f>
        <v>-0.5</v>
      </c>
      <c r="BH2681" s="19" t="str">
        <f aca="false">IF(BG2681=0,"",IF(BG2681&lt;&gt;BA2681,"erreur de calcul",IF(BD2681&lt;&gt;0,"pas de prix",IF(M2681&lt;&gt; 0,"pas de quantité","pas de prix, ni de quantité"))))</f>
        <v>erreur de calcul</v>
      </c>
      <c r="BI2681" s="19"/>
    </row>
    <row r="2682" customFormat="false" ht="15" hidden="false" customHeight="false" outlineLevel="0" collapsed="false">
      <c r="A2682" s="0" t="n">
        <v>15</v>
      </c>
      <c r="B2682" s="8" t="s">
        <v>24</v>
      </c>
      <c r="C2682" s="9" t="s">
        <v>25</v>
      </c>
      <c r="D2682" s="9" t="s">
        <v>26</v>
      </c>
      <c r="E2682" s="10" t="n">
        <v>1789</v>
      </c>
      <c r="F2682" s="9" t="s">
        <v>27</v>
      </c>
      <c r="G2682" s="9" t="s">
        <v>27</v>
      </c>
      <c r="H2682" s="11" t="n">
        <v>24</v>
      </c>
      <c r="I2682" s="11" t="s">
        <v>304</v>
      </c>
      <c r="J2682" s="14" t="n">
        <v>340</v>
      </c>
      <c r="K2682" s="14"/>
      <c r="L2682" s="16"/>
      <c r="M2682" s="27" t="n">
        <f aca="false">J2682+(K2682/20)+(L2682/240)</f>
        <v>340</v>
      </c>
      <c r="N2682" s="17" t="s">
        <v>64</v>
      </c>
      <c r="O2682" s="11"/>
      <c r="P2682" s="28"/>
      <c r="Q2682" s="28" t="n">
        <f aca="false">P2682*$M2682</f>
        <v>0</v>
      </c>
      <c r="R2682" s="28"/>
      <c r="S2682" s="28" t="n">
        <f aca="false">R2682*$M2682</f>
        <v>0</v>
      </c>
      <c r="T2682" s="28"/>
      <c r="U2682" s="28" t="n">
        <f aca="false">T2682*$M2682</f>
        <v>0</v>
      </c>
      <c r="V2682" s="28"/>
      <c r="W2682" s="28" t="n">
        <f aca="false">V2682*$M2682</f>
        <v>0</v>
      </c>
      <c r="X2682" s="28"/>
      <c r="Y2682" s="28" t="n">
        <f aca="false">X2682*$M2682</f>
        <v>0</v>
      </c>
      <c r="Z2682" s="28"/>
      <c r="AA2682" s="28" t="n">
        <f aca="false">Z2682*$M2682</f>
        <v>0</v>
      </c>
      <c r="AB2682" s="28" t="n">
        <f aca="false">339883/100</f>
        <v>3398.83</v>
      </c>
      <c r="AC2682" s="28" t="n">
        <v>1155602</v>
      </c>
      <c r="AD2682" s="28"/>
      <c r="AE2682" s="28" t="n">
        <f aca="false">AD2682*$M2682</f>
        <v>0</v>
      </c>
      <c r="AF2682" s="28"/>
      <c r="AG2682" s="28" t="n">
        <f aca="false">AF2682*$M2682</f>
        <v>0</v>
      </c>
      <c r="AH2682" s="28"/>
      <c r="AI2682" s="28" t="n">
        <f aca="false">AH2682*$M2682</f>
        <v>0</v>
      </c>
      <c r="AJ2682" s="28"/>
      <c r="AK2682" s="28" t="n">
        <f aca="false">AJ2682*$M2682</f>
        <v>0</v>
      </c>
      <c r="AL2682" s="28"/>
      <c r="AM2682" s="28" t="n">
        <f aca="false">AL2682*$M2682</f>
        <v>0</v>
      </c>
      <c r="AN2682" s="28"/>
      <c r="AO2682" s="28" t="n">
        <f aca="false">AN2682*$M2682</f>
        <v>0</v>
      </c>
      <c r="AP2682" s="28"/>
      <c r="AQ2682" s="28" t="n">
        <f aca="false">AP2682*$M2682</f>
        <v>0</v>
      </c>
      <c r="AR2682" s="28"/>
      <c r="AS2682" s="28" t="n">
        <f aca="false">AR2682*$M2682</f>
        <v>0</v>
      </c>
      <c r="AT2682" s="28"/>
      <c r="AU2682" s="28" t="n">
        <f aca="false">AT2682*$M2682</f>
        <v>0</v>
      </c>
      <c r="AV2682" s="28"/>
      <c r="AW2682" s="28" t="n">
        <f aca="false">AV2682*$M2682</f>
        <v>0</v>
      </c>
      <c r="AX2682" s="28"/>
      <c r="AY2682" s="28" t="n">
        <f aca="false">AX2682*$M2682</f>
        <v>0</v>
      </c>
      <c r="AZ2682" s="30" t="n">
        <f aca="false">339883/100</f>
        <v>3398.83</v>
      </c>
      <c r="BA2682" s="11" t="n">
        <v>1155602</v>
      </c>
      <c r="BB2682" s="31" t="n">
        <f aca="false">SUM(Q2682,S2682,U2682,W2682,Y2682,AA2682,AC2682,AE2682,AG2682,AI2682,AK2682,AM2682,AO2682,AQ2682,AS2682,AU2682,AW2682,AY2682)</f>
        <v>1155602</v>
      </c>
      <c r="BC2682" s="28" t="n">
        <f aca="false">BA2682-BB2682</f>
        <v>0</v>
      </c>
      <c r="BD2682" s="32" t="n">
        <f aca="false">SUM(P2682,R2682,T2682,V2682,X2682,Z2682,AB2682,AD2682,AF2682,AH2682,AJ2682,AL2682,AN2682,AP2682,AR2682,AT2682,AV2682,AX2682)</f>
        <v>3398.83</v>
      </c>
      <c r="BE2682" s="33" t="n">
        <f aca="false">AZ2682-BD2682</f>
        <v>0</v>
      </c>
      <c r="BF2682" s="34" t="n">
        <f aca="false">BD2682*M2682</f>
        <v>1155602.2</v>
      </c>
      <c r="BG2682" s="35" t="n">
        <f aca="false">BA2682-BF2682</f>
        <v>-0.199999999953434</v>
      </c>
      <c r="BH2682" s="19" t="str">
        <f aca="false">IF(BG2682=0,"",IF(BG2682&lt;&gt;BA2682,"erreur de calcul",IF(BD2682&lt;&gt;0,"pas de prix",IF(M2682&lt;&gt; 0,"pas de quantité","pas de prix, ni de quantité"))))</f>
        <v>erreur de calcul</v>
      </c>
      <c r="BI2682" s="19"/>
    </row>
    <row r="2683" customFormat="false" ht="15" hidden="false" customHeight="false" outlineLevel="0" collapsed="false">
      <c r="A2683" s="0" t="n">
        <v>16</v>
      </c>
      <c r="B2683" s="8" t="s">
        <v>24</v>
      </c>
      <c r="C2683" s="9" t="s">
        <v>25</v>
      </c>
      <c r="D2683" s="9" t="s">
        <v>26</v>
      </c>
      <c r="E2683" s="10" t="n">
        <v>1789</v>
      </c>
      <c r="F2683" s="9" t="s">
        <v>27</v>
      </c>
      <c r="G2683" s="9" t="s">
        <v>27</v>
      </c>
      <c r="H2683" s="11" t="n">
        <v>24</v>
      </c>
      <c r="I2683" s="11" t="s">
        <v>305</v>
      </c>
      <c r="J2683" s="14" t="n">
        <v>235</v>
      </c>
      <c r="K2683" s="14"/>
      <c r="L2683" s="16"/>
      <c r="M2683" s="27" t="n">
        <f aca="false">J2683+(K2683/20)+(L2683/240)</f>
        <v>235</v>
      </c>
      <c r="N2683" s="17" t="s">
        <v>64</v>
      </c>
      <c r="O2683" s="11"/>
      <c r="P2683" s="28" t="n">
        <f aca="false">34642/100</f>
        <v>346.42</v>
      </c>
      <c r="Q2683" s="28" t="n">
        <v>81409</v>
      </c>
      <c r="R2683" s="28"/>
      <c r="S2683" s="28" t="n">
        <f aca="false">R2683*$M2683</f>
        <v>0</v>
      </c>
      <c r="T2683" s="28"/>
      <c r="U2683" s="28" t="n">
        <f aca="false">T2683*$M2683</f>
        <v>0</v>
      </c>
      <c r="V2683" s="28"/>
      <c r="W2683" s="28" t="n">
        <f aca="false">V2683*$M2683</f>
        <v>0</v>
      </c>
      <c r="X2683" s="28"/>
      <c r="Y2683" s="28" t="n">
        <f aca="false">X2683*$M2683</f>
        <v>0</v>
      </c>
      <c r="Z2683" s="28"/>
      <c r="AA2683" s="28" t="n">
        <f aca="false">Z2683*$M2683</f>
        <v>0</v>
      </c>
      <c r="AB2683" s="28"/>
      <c r="AC2683" s="28" t="n">
        <f aca="false">AB2683*$M2683</f>
        <v>0</v>
      </c>
      <c r="AD2683" s="28"/>
      <c r="AE2683" s="28" t="n">
        <f aca="false">AD2683*$M2683</f>
        <v>0</v>
      </c>
      <c r="AF2683" s="28"/>
      <c r="AG2683" s="28" t="n">
        <f aca="false">AF2683*$M2683</f>
        <v>0</v>
      </c>
      <c r="AH2683" s="28"/>
      <c r="AI2683" s="28" t="n">
        <f aca="false">AH2683*$M2683</f>
        <v>0</v>
      </c>
      <c r="AJ2683" s="28"/>
      <c r="AK2683" s="28" t="n">
        <f aca="false">AJ2683*$M2683</f>
        <v>0</v>
      </c>
      <c r="AL2683" s="28"/>
      <c r="AM2683" s="28" t="n">
        <f aca="false">AL2683*$M2683</f>
        <v>0</v>
      </c>
      <c r="AN2683" s="28"/>
      <c r="AO2683" s="28" t="n">
        <f aca="false">AN2683*$M2683</f>
        <v>0</v>
      </c>
      <c r="AP2683" s="28"/>
      <c r="AQ2683" s="28" t="n">
        <f aca="false">AP2683*$M2683</f>
        <v>0</v>
      </c>
      <c r="AR2683" s="28"/>
      <c r="AS2683" s="28" t="n">
        <f aca="false">AR2683*$M2683</f>
        <v>0</v>
      </c>
      <c r="AT2683" s="28"/>
      <c r="AU2683" s="28" t="n">
        <f aca="false">AT2683*$M2683</f>
        <v>0</v>
      </c>
      <c r="AV2683" s="28"/>
      <c r="AW2683" s="28" t="n">
        <f aca="false">AV2683*$M2683</f>
        <v>0</v>
      </c>
      <c r="AX2683" s="28"/>
      <c r="AY2683" s="28" t="n">
        <f aca="false">AX2683*$M2683</f>
        <v>0</v>
      </c>
      <c r="AZ2683" s="30" t="n">
        <f aca="false">34642/100</f>
        <v>346.42</v>
      </c>
      <c r="BA2683" s="11" t="n">
        <v>81409</v>
      </c>
      <c r="BB2683" s="31" t="n">
        <f aca="false">SUM(Q2683,S2683,U2683,W2683,Y2683,AA2683,AC2683,AE2683,AG2683,AI2683,AK2683,AM2683,AO2683,AQ2683,AS2683,AU2683,AW2683,AY2683)</f>
        <v>81409</v>
      </c>
      <c r="BC2683" s="28" t="n">
        <f aca="false">BA2683-BB2683</f>
        <v>0</v>
      </c>
      <c r="BD2683" s="32" t="n">
        <f aca="false">SUM(P2683,R2683,T2683,V2683,X2683,Z2683,AB2683,AD2683,AF2683,AH2683,AJ2683,AL2683,AN2683,AP2683,AR2683,AT2683,AV2683,AX2683)</f>
        <v>346.42</v>
      </c>
      <c r="BE2683" s="33" t="n">
        <f aca="false">AZ2683-BD2683</f>
        <v>0</v>
      </c>
      <c r="BF2683" s="34" t="n">
        <f aca="false">BD2683*M2683</f>
        <v>81408.7</v>
      </c>
      <c r="BG2683" s="35" t="n">
        <f aca="false">BA2683-BF2683</f>
        <v>0.30000000000291</v>
      </c>
      <c r="BH2683" s="19" t="str">
        <f aca="false">IF(BG2683=0,"",IF(BG2683&lt;&gt;BA2683,"erreur de calcul",IF(BD2683&lt;&gt;0,"pas de prix",IF(M2683&lt;&gt; 0,"pas de quantité","pas de prix, ni de quantité"))))</f>
        <v>erreur de calcul</v>
      </c>
      <c r="BI2683" s="19"/>
    </row>
    <row r="2684" customFormat="false" ht="15" hidden="false" customHeight="false" outlineLevel="0" collapsed="false">
      <c r="A2684" s="0" t="n">
        <v>17</v>
      </c>
      <c r="B2684" s="8" t="s">
        <v>24</v>
      </c>
      <c r="C2684" s="9" t="s">
        <v>25</v>
      </c>
      <c r="D2684" s="9" t="s">
        <v>26</v>
      </c>
      <c r="E2684" s="10" t="n">
        <v>1789</v>
      </c>
      <c r="F2684" s="9" t="s">
        <v>27</v>
      </c>
      <c r="G2684" s="9" t="s">
        <v>27</v>
      </c>
      <c r="H2684" s="11" t="n">
        <v>24</v>
      </c>
      <c r="I2684" s="11" t="s">
        <v>306</v>
      </c>
      <c r="J2684" s="14" t="n">
        <v>71</v>
      </c>
      <c r="K2684" s="14"/>
      <c r="L2684" s="16"/>
      <c r="M2684" s="27" t="n">
        <f aca="false">J2684+(K2684/20)+(L2684/240)</f>
        <v>71</v>
      </c>
      <c r="N2684" s="17" t="s">
        <v>64</v>
      </c>
      <c r="O2684" s="11"/>
      <c r="P2684" s="28"/>
      <c r="Q2684" s="28" t="n">
        <f aca="false">P2684*$M2684</f>
        <v>0</v>
      </c>
      <c r="R2684" s="28"/>
      <c r="S2684" s="28" t="n">
        <f aca="false">R2684*$M2684</f>
        <v>0</v>
      </c>
      <c r="T2684" s="28" t="n">
        <f aca="false">12674/100</f>
        <v>126.74</v>
      </c>
      <c r="U2684" s="28" t="n">
        <v>8998</v>
      </c>
      <c r="V2684" s="28"/>
      <c r="W2684" s="28" t="n">
        <f aca="false">V2684*$M2684</f>
        <v>0</v>
      </c>
      <c r="X2684" s="28"/>
      <c r="Y2684" s="28" t="n">
        <f aca="false">X2684*$M2684</f>
        <v>0</v>
      </c>
      <c r="Z2684" s="28"/>
      <c r="AA2684" s="28" t="n">
        <f aca="false">Z2684*$M2684</f>
        <v>0</v>
      </c>
      <c r="AB2684" s="28"/>
      <c r="AC2684" s="28" t="n">
        <f aca="false">AB2684*$M2684</f>
        <v>0</v>
      </c>
      <c r="AD2684" s="28" t="n">
        <f aca="false">4283/100</f>
        <v>42.83</v>
      </c>
      <c r="AE2684" s="28" t="n">
        <v>3041</v>
      </c>
      <c r="AF2684" s="28" t="n">
        <f aca="false">2978140/100</f>
        <v>29781.4</v>
      </c>
      <c r="AG2684" s="28" t="n">
        <v>2114479</v>
      </c>
      <c r="AH2684" s="28" t="n">
        <f aca="false">4119032/100</f>
        <v>41190.32</v>
      </c>
      <c r="AI2684" s="28" t="n">
        <v>2924512</v>
      </c>
      <c r="AJ2684" s="28"/>
      <c r="AK2684" s="28" t="n">
        <f aca="false">AJ2684*$M2684</f>
        <v>0</v>
      </c>
      <c r="AL2684" s="28"/>
      <c r="AM2684" s="28" t="n">
        <f aca="false">AL2684*$M2684</f>
        <v>0</v>
      </c>
      <c r="AN2684" s="28"/>
      <c r="AO2684" s="28" t="n">
        <f aca="false">AN2684*$M2684</f>
        <v>0</v>
      </c>
      <c r="AP2684" s="28"/>
      <c r="AQ2684" s="28" t="n">
        <f aca="false">AP2684*$M2684</f>
        <v>0</v>
      </c>
      <c r="AR2684" s="28"/>
      <c r="AS2684" s="28" t="n">
        <f aca="false">AR2684*$M2684</f>
        <v>0</v>
      </c>
      <c r="AT2684" s="28"/>
      <c r="AU2684" s="28" t="n">
        <f aca="false">AT2684*$M2684</f>
        <v>0</v>
      </c>
      <c r="AV2684" s="28"/>
      <c r="AW2684" s="28" t="n">
        <f aca="false">AV2684*$M2684</f>
        <v>0</v>
      </c>
      <c r="AX2684" s="28"/>
      <c r="AY2684" s="28" t="n">
        <f aca="false">AX2684*$M2684</f>
        <v>0</v>
      </c>
      <c r="AZ2684" s="30" t="n">
        <f aca="false">7114129/100</f>
        <v>71141.29</v>
      </c>
      <c r="BA2684" s="11" t="n">
        <v>5051030</v>
      </c>
      <c r="BB2684" s="31" t="n">
        <f aca="false">SUM(Q2684,S2684,U2684,W2684,Y2684,AA2684,AC2684,AE2684,AG2684,AI2684,AK2684,AM2684,AO2684,AQ2684,AS2684,AU2684,AW2684,AY2684)</f>
        <v>5051030</v>
      </c>
      <c r="BC2684" s="28" t="n">
        <f aca="false">BA2684-BB2684</f>
        <v>0</v>
      </c>
      <c r="BD2684" s="32" t="n">
        <f aca="false">SUM(P2684,R2684,T2684,V2684,X2684,Z2684,AB2684,AD2684,AF2684,AH2684,AJ2684,AL2684,AN2684,AP2684,AR2684,AT2684,AV2684,AX2684)</f>
        <v>71141.29</v>
      </c>
      <c r="BE2684" s="33" t="n">
        <f aca="false">AZ2684-BD2684</f>
        <v>0</v>
      </c>
      <c r="BF2684" s="34" t="n">
        <f aca="false">BD2684*M2684</f>
        <v>5051031.59</v>
      </c>
      <c r="BG2684" s="35" t="n">
        <f aca="false">BA2684-BF2684</f>
        <v>-1.59000000078231</v>
      </c>
      <c r="BH2684" s="19" t="str">
        <f aca="false">IF(BG2684=0,"",IF(BG2684&lt;&gt;BA2684,"erreur de calcul",IF(BD2684&lt;&gt;0,"pas de prix",IF(M2684&lt;&gt; 0,"pas de quantité","pas de prix, ni de quantité"))))</f>
        <v>erreur de calcul</v>
      </c>
      <c r="BI2684" s="19"/>
    </row>
    <row r="2685" customFormat="false" ht="15" hidden="false" customHeight="false" outlineLevel="0" collapsed="false">
      <c r="A2685" s="0" t="n">
        <v>18</v>
      </c>
      <c r="B2685" s="8" t="s">
        <v>24</v>
      </c>
      <c r="C2685" s="9" t="s">
        <v>25</v>
      </c>
      <c r="D2685" s="9" t="s">
        <v>26</v>
      </c>
      <c r="E2685" s="10" t="n">
        <v>1789</v>
      </c>
      <c r="F2685" s="9" t="s">
        <v>27</v>
      </c>
      <c r="G2685" s="9" t="s">
        <v>27</v>
      </c>
      <c r="H2685" s="11" t="n">
        <v>24</v>
      </c>
      <c r="I2685" s="11" t="s">
        <v>307</v>
      </c>
      <c r="J2685" s="14" t="n">
        <v>45</v>
      </c>
      <c r="K2685" s="14"/>
      <c r="L2685" s="16"/>
      <c r="M2685" s="27" t="n">
        <f aca="false">J2685+(K2685/20)+(L2685/240)</f>
        <v>45</v>
      </c>
      <c r="N2685" s="17" t="s">
        <v>64</v>
      </c>
      <c r="O2685" s="11"/>
      <c r="P2685" s="28"/>
      <c r="Q2685" s="28" t="n">
        <f aca="false">P2685*$M2685</f>
        <v>0</v>
      </c>
      <c r="R2685" s="28"/>
      <c r="S2685" s="28" t="n">
        <f aca="false">R2685*$M2685</f>
        <v>0</v>
      </c>
      <c r="T2685" s="28"/>
      <c r="U2685" s="28" t="n">
        <f aca="false">T2685*$M2685</f>
        <v>0</v>
      </c>
      <c r="V2685" s="28"/>
      <c r="W2685" s="28" t="n">
        <f aca="false">V2685*$M2685</f>
        <v>0</v>
      </c>
      <c r="X2685" s="28"/>
      <c r="Y2685" s="28" t="n">
        <f aca="false">X2685*$M2685</f>
        <v>0</v>
      </c>
      <c r="Z2685" s="28"/>
      <c r="AA2685" s="28" t="n">
        <f aca="false">Z2685*$M2685</f>
        <v>0</v>
      </c>
      <c r="AB2685" s="28"/>
      <c r="AC2685" s="28" t="n">
        <f aca="false">AB2685*$M2685</f>
        <v>0</v>
      </c>
      <c r="AD2685" s="28"/>
      <c r="AE2685" s="28" t="n">
        <f aca="false">AD2685*$M2685</f>
        <v>0</v>
      </c>
      <c r="AF2685" s="28"/>
      <c r="AG2685" s="28" t="n">
        <f aca="false">AF2685*$M2685</f>
        <v>0</v>
      </c>
      <c r="AH2685" s="28"/>
      <c r="AI2685" s="28" t="n">
        <f aca="false">AH2685*$M2685</f>
        <v>0</v>
      </c>
      <c r="AJ2685" s="28"/>
      <c r="AK2685" s="28" t="n">
        <f aca="false">AJ2685*$M2685</f>
        <v>0</v>
      </c>
      <c r="AL2685" s="28" t="n">
        <f aca="false">971/100</f>
        <v>9.71</v>
      </c>
      <c r="AM2685" s="28" t="n">
        <v>437</v>
      </c>
      <c r="AN2685" s="28"/>
      <c r="AO2685" s="28" t="n">
        <f aca="false">AN2685*$M2685</f>
        <v>0</v>
      </c>
      <c r="AP2685" s="28"/>
      <c r="AQ2685" s="28" t="n">
        <f aca="false">AP2685*$M2685</f>
        <v>0</v>
      </c>
      <c r="AR2685" s="28"/>
      <c r="AS2685" s="28" t="n">
        <f aca="false">AR2685*$M2685</f>
        <v>0</v>
      </c>
      <c r="AT2685" s="28"/>
      <c r="AU2685" s="28" t="n">
        <f aca="false">AT2685*$M2685</f>
        <v>0</v>
      </c>
      <c r="AV2685" s="28"/>
      <c r="AW2685" s="28" t="n">
        <f aca="false">AV2685*$M2685</f>
        <v>0</v>
      </c>
      <c r="AX2685" s="28"/>
      <c r="AY2685" s="28" t="n">
        <f aca="false">AX2685*$M2685</f>
        <v>0</v>
      </c>
      <c r="AZ2685" s="30" t="n">
        <f aca="false">971/100</f>
        <v>9.71</v>
      </c>
      <c r="BA2685" s="11" t="n">
        <v>437</v>
      </c>
      <c r="BB2685" s="31" t="n">
        <f aca="false">SUM(Q2685,S2685,U2685,W2685,Y2685,AA2685,AC2685,AE2685,AG2685,AI2685,AK2685,AM2685,AO2685,AQ2685,AS2685,AU2685,AW2685,AY2685)</f>
        <v>437</v>
      </c>
      <c r="BC2685" s="28" t="n">
        <f aca="false">BA2685-BB2685</f>
        <v>0</v>
      </c>
      <c r="BD2685" s="32" t="n">
        <f aca="false">SUM(P2685,R2685,T2685,V2685,X2685,Z2685,AB2685,AD2685,AF2685,AH2685,AJ2685,AL2685,AN2685,AP2685,AR2685,AT2685,AV2685,AX2685)</f>
        <v>9.71</v>
      </c>
      <c r="BE2685" s="33" t="n">
        <f aca="false">AZ2685-BD2685</f>
        <v>0</v>
      </c>
      <c r="BF2685" s="34" t="n">
        <f aca="false">BD2685*M2685</f>
        <v>436.95</v>
      </c>
      <c r="BG2685" s="35" t="n">
        <f aca="false">BA2685-BF2685</f>
        <v>0.0499999999999545</v>
      </c>
      <c r="BH2685" s="19" t="str">
        <f aca="false">IF(BG2685=0,"",IF(BG2685&lt;&gt;BA2685,"erreur de calcul",IF(BD2685&lt;&gt;0,"pas de prix",IF(M2685&lt;&gt; 0,"pas de quantité","pas de prix, ni de quantité"))))</f>
        <v>erreur de calcul</v>
      </c>
      <c r="BI2685" s="19"/>
    </row>
    <row r="2686" customFormat="false" ht="15" hidden="false" customHeight="false" outlineLevel="0" collapsed="false">
      <c r="A2686" s="0" t="n">
        <v>19</v>
      </c>
      <c r="B2686" s="8" t="s">
        <v>24</v>
      </c>
      <c r="C2686" s="9" t="s">
        <v>25</v>
      </c>
      <c r="D2686" s="9" t="s">
        <v>26</v>
      </c>
      <c r="E2686" s="10" t="n">
        <v>1789</v>
      </c>
      <c r="F2686" s="9" t="s">
        <v>27</v>
      </c>
      <c r="G2686" s="9" t="s">
        <v>27</v>
      </c>
      <c r="H2686" s="11" t="n">
        <v>24</v>
      </c>
      <c r="I2686" s="11" t="s">
        <v>308</v>
      </c>
      <c r="J2686" s="14" t="n">
        <v>240</v>
      </c>
      <c r="K2686" s="14"/>
      <c r="L2686" s="16"/>
      <c r="M2686" s="27" t="n">
        <f aca="false">J2686+(K2686/20)+(L2686/240)</f>
        <v>240</v>
      </c>
      <c r="N2686" s="17" t="s">
        <v>64</v>
      </c>
      <c r="O2686" s="11"/>
      <c r="P2686" s="28"/>
      <c r="Q2686" s="28" t="n">
        <f aca="false">P2686*$M2686</f>
        <v>0</v>
      </c>
      <c r="R2686" s="28"/>
      <c r="S2686" s="28" t="n">
        <f aca="false">R2686*$M2686</f>
        <v>0</v>
      </c>
      <c r="T2686" s="28"/>
      <c r="U2686" s="28" t="n">
        <f aca="false">T2686*$M2686</f>
        <v>0</v>
      </c>
      <c r="V2686" s="28"/>
      <c r="W2686" s="28" t="n">
        <f aca="false">V2686*$M2686</f>
        <v>0</v>
      </c>
      <c r="X2686" s="28"/>
      <c r="Y2686" s="28" t="n">
        <f aca="false">X2686*$M2686</f>
        <v>0</v>
      </c>
      <c r="Z2686" s="28"/>
      <c r="AA2686" s="28" t="n">
        <f aca="false">Z2686*$M2686</f>
        <v>0</v>
      </c>
      <c r="AB2686" s="28"/>
      <c r="AC2686" s="28" t="n">
        <f aca="false">AB2686*$M2686</f>
        <v>0</v>
      </c>
      <c r="AD2686" s="28"/>
      <c r="AE2686" s="28" t="n">
        <f aca="false">AD2686*$M2686</f>
        <v>0</v>
      </c>
      <c r="AF2686" s="28"/>
      <c r="AG2686" s="28" t="n">
        <f aca="false">AF2686*$M2686</f>
        <v>0</v>
      </c>
      <c r="AH2686" s="28"/>
      <c r="AI2686" s="28" t="n">
        <f aca="false">AH2686*$M2686</f>
        <v>0</v>
      </c>
      <c r="AJ2686" s="28" t="n">
        <f aca="false">2173/100</f>
        <v>21.73</v>
      </c>
      <c r="AK2686" s="28" t="n">
        <v>5215</v>
      </c>
      <c r="AL2686" s="28"/>
      <c r="AM2686" s="28" t="n">
        <f aca="false">AL2686*$M2686</f>
        <v>0</v>
      </c>
      <c r="AN2686" s="28"/>
      <c r="AO2686" s="28" t="n">
        <f aca="false">AN2686*$M2686</f>
        <v>0</v>
      </c>
      <c r="AP2686" s="28"/>
      <c r="AQ2686" s="28" t="n">
        <f aca="false">AP2686*$M2686</f>
        <v>0</v>
      </c>
      <c r="AR2686" s="28"/>
      <c r="AS2686" s="28" t="n">
        <f aca="false">AR2686*$M2686</f>
        <v>0</v>
      </c>
      <c r="AT2686" s="28"/>
      <c r="AU2686" s="28" t="n">
        <f aca="false">AT2686*$M2686</f>
        <v>0</v>
      </c>
      <c r="AV2686" s="28"/>
      <c r="AW2686" s="28" t="n">
        <f aca="false">AV2686*$M2686</f>
        <v>0</v>
      </c>
      <c r="AX2686" s="28"/>
      <c r="AY2686" s="28" t="n">
        <f aca="false">AX2686*$M2686</f>
        <v>0</v>
      </c>
      <c r="AZ2686" s="30" t="n">
        <f aca="false">2173/100</f>
        <v>21.73</v>
      </c>
      <c r="BA2686" s="11" t="n">
        <v>5215</v>
      </c>
      <c r="BB2686" s="31" t="n">
        <f aca="false">SUM(Q2686,S2686,U2686,W2686,Y2686,AA2686,AC2686,AE2686,AG2686,AI2686,AK2686,AM2686,AO2686,AQ2686,AS2686,AU2686,AW2686,AY2686)</f>
        <v>5215</v>
      </c>
      <c r="BC2686" s="28" t="n">
        <f aca="false">BA2686-BB2686</f>
        <v>0</v>
      </c>
      <c r="BD2686" s="32" t="n">
        <f aca="false">SUM(P2686,R2686,T2686,V2686,X2686,Z2686,AB2686,AD2686,AF2686,AH2686,AJ2686,AL2686,AN2686,AP2686,AR2686,AT2686,AV2686,AX2686)</f>
        <v>21.73</v>
      </c>
      <c r="BE2686" s="33" t="n">
        <f aca="false">AZ2686-BD2686</f>
        <v>0</v>
      </c>
      <c r="BF2686" s="34" t="n">
        <f aca="false">BD2686*M2686</f>
        <v>5215.2</v>
      </c>
      <c r="BG2686" s="35" t="n">
        <f aca="false">BA2686-BF2686</f>
        <v>-0.199999999999818</v>
      </c>
      <c r="BH2686" s="19" t="str">
        <f aca="false">IF(BG2686=0,"",IF(BG2686&lt;&gt;BA2686,"erreur de calcul",IF(BD2686&lt;&gt;0,"pas de prix",IF(M2686&lt;&gt; 0,"pas de quantité","pas de prix, ni de quantité"))))</f>
        <v>erreur de calcul</v>
      </c>
      <c r="BI2686" s="19"/>
    </row>
    <row r="2687" customFormat="false" ht="15" hidden="false" customHeight="false" outlineLevel="0" collapsed="false">
      <c r="A2687" s="0" t="n">
        <v>20</v>
      </c>
      <c r="B2687" s="8" t="s">
        <v>24</v>
      </c>
      <c r="C2687" s="9" t="s">
        <v>25</v>
      </c>
      <c r="D2687" s="9" t="s">
        <v>26</v>
      </c>
      <c r="E2687" s="10" t="n">
        <v>1789</v>
      </c>
      <c r="F2687" s="9" t="s">
        <v>27</v>
      </c>
      <c r="G2687" s="9" t="s">
        <v>27</v>
      </c>
      <c r="H2687" s="11" t="n">
        <v>24</v>
      </c>
      <c r="I2687" s="11" t="s">
        <v>309</v>
      </c>
      <c r="J2687" s="14"/>
      <c r="K2687" s="14"/>
      <c r="L2687" s="16"/>
      <c r="M2687" s="27" t="n">
        <f aca="false">J2687+(K2687/20)+(L2687/240)</f>
        <v>0</v>
      </c>
      <c r="N2687" s="17"/>
      <c r="O2687" s="11"/>
      <c r="P2687" s="28"/>
      <c r="Q2687" s="28" t="n">
        <f aca="false">P2687*$M2687</f>
        <v>0</v>
      </c>
      <c r="R2687" s="28"/>
      <c r="S2687" s="28" t="n">
        <f aca="false">R2687*$M2687</f>
        <v>0</v>
      </c>
      <c r="T2687" s="28"/>
      <c r="U2687" s="28" t="n">
        <v>195</v>
      </c>
      <c r="V2687" s="28"/>
      <c r="W2687" s="28" t="n">
        <v>640</v>
      </c>
      <c r="X2687" s="28"/>
      <c r="Y2687" s="28" t="n">
        <f aca="false">X2687*$M2687</f>
        <v>0</v>
      </c>
      <c r="Z2687" s="28"/>
      <c r="AA2687" s="28" t="n">
        <f aca="false">Z2687*$M2687</f>
        <v>0</v>
      </c>
      <c r="AB2687" s="28"/>
      <c r="AC2687" s="28" t="n">
        <f aca="false">AB2687*$M2687</f>
        <v>0</v>
      </c>
      <c r="AD2687" s="28"/>
      <c r="AE2687" s="28" t="n">
        <f aca="false">AD2687*$M2687</f>
        <v>0</v>
      </c>
      <c r="AF2687" s="28"/>
      <c r="AG2687" s="28" t="n">
        <f aca="false">AF2687*$M2687</f>
        <v>0</v>
      </c>
      <c r="AH2687" s="28"/>
      <c r="AI2687" s="28" t="n">
        <v>121</v>
      </c>
      <c r="AJ2687" s="28"/>
      <c r="AK2687" s="28" t="n">
        <v>412</v>
      </c>
      <c r="AL2687" s="28"/>
      <c r="AM2687" s="28" t="n">
        <f aca="false">AL2687*$M2687</f>
        <v>0</v>
      </c>
      <c r="AN2687" s="28"/>
      <c r="AO2687" s="28" t="n">
        <f aca="false">AN2687*$M2687</f>
        <v>0</v>
      </c>
      <c r="AP2687" s="28"/>
      <c r="AQ2687" s="28" t="n">
        <f aca="false">AP2687*$M2687</f>
        <v>0</v>
      </c>
      <c r="AR2687" s="28"/>
      <c r="AS2687" s="28" t="n">
        <f aca="false">AR2687*$M2687</f>
        <v>0</v>
      </c>
      <c r="AT2687" s="28"/>
      <c r="AU2687" s="28" t="n">
        <f aca="false">AT2687*$M2687</f>
        <v>0</v>
      </c>
      <c r="AV2687" s="28"/>
      <c r="AW2687" s="28" t="n">
        <f aca="false">AV2687*$M2687</f>
        <v>0</v>
      </c>
      <c r="AX2687" s="28"/>
      <c r="AY2687" s="28" t="n">
        <f aca="false">AX2687*$M2687</f>
        <v>0</v>
      </c>
      <c r="AZ2687" s="30"/>
      <c r="BA2687" s="11" t="n">
        <v>1368</v>
      </c>
      <c r="BB2687" s="31" t="n">
        <f aca="false">SUM(Q2687,S2687,U2687,W2687,Y2687,AA2687,AC2687,AE2687,AG2687,AI2687,AK2687,AM2687,AO2687,AQ2687,AS2687,AU2687,AW2687,AY2687)</f>
        <v>1368</v>
      </c>
      <c r="BC2687" s="28" t="n">
        <f aca="false">BA2687-BB2687</f>
        <v>0</v>
      </c>
      <c r="BD2687" s="32" t="n">
        <f aca="false">SUM(P2687,R2687,T2687,V2687,X2687,Z2687,AB2687,AD2687,AF2687,AH2687,AJ2687,AL2687,AN2687,AP2687,AR2687,AT2687,AV2687,AX2687)</f>
        <v>0</v>
      </c>
      <c r="BE2687" s="33" t="n">
        <f aca="false">AZ2687-BD2687</f>
        <v>0</v>
      </c>
      <c r="BF2687" s="34" t="n">
        <f aca="false">BD2687*M2687</f>
        <v>0</v>
      </c>
      <c r="BG2687" s="35" t="n">
        <f aca="false">BA2687-BF2687</f>
        <v>1368</v>
      </c>
      <c r="BH2687" s="19" t="str">
        <f aca="false">IF(BG2687=0,"",IF(BG2687&lt;&gt;BA2687,"erreur de calcul",IF(BD2687&lt;&gt;0,"pas de prix",IF(M2687&lt;&gt; 0,"pas de quantité","pas de prix, ni de quantité"))))</f>
        <v>pas de prix, ni de quantité</v>
      </c>
      <c r="BI2687" s="19"/>
    </row>
    <row r="2688" customFormat="false" ht="15" hidden="false" customHeight="false" outlineLevel="0" collapsed="false">
      <c r="A2688" s="0" t="n">
        <v>21</v>
      </c>
      <c r="B2688" s="8" t="s">
        <v>24</v>
      </c>
      <c r="C2688" s="9" t="s">
        <v>25</v>
      </c>
      <c r="D2688" s="9" t="s">
        <v>26</v>
      </c>
      <c r="E2688" s="10" t="n">
        <v>1789</v>
      </c>
      <c r="F2688" s="9" t="s">
        <v>27</v>
      </c>
      <c r="G2688" s="9" t="s">
        <v>27</v>
      </c>
      <c r="H2688" s="11" t="n">
        <v>24</v>
      </c>
      <c r="I2688" s="11" t="s">
        <v>310</v>
      </c>
      <c r="J2688" s="14"/>
      <c r="K2688" s="14" t="n">
        <v>3</v>
      </c>
      <c r="L2688" s="16"/>
      <c r="M2688" s="27" t="n">
        <f aca="false">J2688+(K2688/20)+(L2688/240)</f>
        <v>0.15</v>
      </c>
      <c r="N2688" s="17" t="s">
        <v>311</v>
      </c>
      <c r="O2688" s="11"/>
      <c r="P2688" s="28"/>
      <c r="Q2688" s="28" t="n">
        <f aca="false">P2688*$M2688</f>
        <v>0</v>
      </c>
      <c r="R2688" s="28"/>
      <c r="S2688" s="28" t="n">
        <f aca="false">R2688*$M2688</f>
        <v>0</v>
      </c>
      <c r="T2688" s="28"/>
      <c r="U2688" s="28" t="n">
        <f aca="false">T2688*$M2688</f>
        <v>0</v>
      </c>
      <c r="V2688" s="28" t="n">
        <v>32065</v>
      </c>
      <c r="W2688" s="28" t="n">
        <v>4810</v>
      </c>
      <c r="X2688" s="28" t="n">
        <v>20652</v>
      </c>
      <c r="Y2688" s="28" t="n">
        <v>3098</v>
      </c>
      <c r="Z2688" s="28"/>
      <c r="AA2688" s="28" t="n">
        <f aca="false">Z2688*$M2688</f>
        <v>0</v>
      </c>
      <c r="AB2688" s="28"/>
      <c r="AC2688" s="28" t="n">
        <f aca="false">AB2688*$M2688</f>
        <v>0</v>
      </c>
      <c r="AD2688" s="28"/>
      <c r="AE2688" s="28" t="n">
        <f aca="false">AD2688*$M2688</f>
        <v>0</v>
      </c>
      <c r="AF2688" s="28"/>
      <c r="AG2688" s="28" t="n">
        <f aca="false">AF2688*$M2688</f>
        <v>0</v>
      </c>
      <c r="AH2688" s="28"/>
      <c r="AI2688" s="28" t="n">
        <f aca="false">AH2688*$M2688</f>
        <v>0</v>
      </c>
      <c r="AJ2688" s="28"/>
      <c r="AK2688" s="28" t="n">
        <f aca="false">AJ2688*$M2688</f>
        <v>0</v>
      </c>
      <c r="AL2688" s="28"/>
      <c r="AM2688" s="28" t="n">
        <f aca="false">AL2688*$M2688</f>
        <v>0</v>
      </c>
      <c r="AN2688" s="28"/>
      <c r="AO2688" s="28" t="n">
        <f aca="false">AN2688*$M2688</f>
        <v>0</v>
      </c>
      <c r="AP2688" s="28"/>
      <c r="AQ2688" s="28" t="n">
        <f aca="false">AP2688*$M2688</f>
        <v>0</v>
      </c>
      <c r="AR2688" s="28"/>
      <c r="AS2688" s="28" t="n">
        <f aca="false">AR2688*$M2688</f>
        <v>0</v>
      </c>
      <c r="AT2688" s="28"/>
      <c r="AU2688" s="28" t="n">
        <f aca="false">AT2688*$M2688</f>
        <v>0</v>
      </c>
      <c r="AV2688" s="28"/>
      <c r="AW2688" s="28" t="n">
        <f aca="false">AV2688*$M2688</f>
        <v>0</v>
      </c>
      <c r="AX2688" s="28"/>
      <c r="AY2688" s="28" t="n">
        <f aca="false">AX2688*$M2688</f>
        <v>0</v>
      </c>
      <c r="AZ2688" s="30" t="n">
        <v>52717</v>
      </c>
      <c r="BA2688" s="11" t="n">
        <v>7908</v>
      </c>
      <c r="BB2688" s="31" t="n">
        <f aca="false">SUM(Q2688,S2688,U2688,W2688,Y2688,AA2688,AC2688,AE2688,AG2688,AI2688,AK2688,AM2688,AO2688,AQ2688,AS2688,AU2688,AW2688,AY2688)</f>
        <v>7908</v>
      </c>
      <c r="BC2688" s="28" t="n">
        <f aca="false">BA2688-BB2688</f>
        <v>0</v>
      </c>
      <c r="BD2688" s="32" t="n">
        <f aca="false">SUM(P2688,R2688,T2688,V2688,X2688,Z2688,AB2688,AD2688,AF2688,AH2688,AJ2688,AL2688,AN2688,AP2688,AR2688,AT2688,AV2688,AX2688)</f>
        <v>52717</v>
      </c>
      <c r="BE2688" s="33" t="n">
        <f aca="false">AZ2688-BD2688</f>
        <v>0</v>
      </c>
      <c r="BF2688" s="34" t="n">
        <f aca="false">BD2688*M2688</f>
        <v>7907.55</v>
      </c>
      <c r="BG2688" s="35" t="n">
        <f aca="false">BA2688-BF2688</f>
        <v>0.450000000000728</v>
      </c>
      <c r="BH2688" s="19" t="str">
        <f aca="false">IF(BG2688=0,"",IF(BG2688&lt;&gt;BA2688,"erreur de calcul",IF(BD2688&lt;&gt;0,"pas de prix",IF(M2688&lt;&gt; 0,"pas de quantité","pas de prix, ni de quantité"))))</f>
        <v>erreur de calcul</v>
      </c>
      <c r="BI2688" s="19"/>
    </row>
    <row r="2689" customFormat="false" ht="15" hidden="false" customHeight="false" outlineLevel="0" collapsed="false">
      <c r="A2689" s="0" t="n">
        <v>22</v>
      </c>
      <c r="B2689" s="8" t="s">
        <v>24</v>
      </c>
      <c r="C2689" s="9" t="s">
        <v>25</v>
      </c>
      <c r="D2689" s="9" t="s">
        <v>26</v>
      </c>
      <c r="E2689" s="10" t="n">
        <v>1789</v>
      </c>
      <c r="F2689" s="9" t="s">
        <v>27</v>
      </c>
      <c r="G2689" s="9" t="s">
        <v>27</v>
      </c>
      <c r="H2689" s="11" t="n">
        <v>24</v>
      </c>
      <c r="I2689" s="11" t="s">
        <v>312</v>
      </c>
      <c r="J2689" s="14" t="n">
        <v>15</v>
      </c>
      <c r="K2689" s="14"/>
      <c r="L2689" s="16"/>
      <c r="M2689" s="27" t="n">
        <f aca="false">J2689+(K2689/20)+(L2689/240)</f>
        <v>15</v>
      </c>
      <c r="N2689" s="17" t="s">
        <v>275</v>
      </c>
      <c r="O2689" s="11"/>
      <c r="P2689" s="28"/>
      <c r="Q2689" s="28" t="n">
        <f aca="false">P2689*$M2689</f>
        <v>0</v>
      </c>
      <c r="R2689" s="28"/>
      <c r="S2689" s="28" t="n">
        <f aca="false">R2689*$M2689</f>
        <v>0</v>
      </c>
      <c r="T2689" s="28" t="n">
        <v>1479</v>
      </c>
      <c r="U2689" s="28" t="n">
        <v>22185</v>
      </c>
      <c r="V2689" s="28" t="n">
        <v>1500</v>
      </c>
      <c r="W2689" s="28" t="n">
        <v>22500</v>
      </c>
      <c r="X2689" s="28" t="n">
        <v>300</v>
      </c>
      <c r="Y2689" s="28" t="n">
        <v>4500</v>
      </c>
      <c r="Z2689" s="28" t="n">
        <v>168</v>
      </c>
      <c r="AA2689" s="28" t="n">
        <v>2520</v>
      </c>
      <c r="AB2689" s="28" t="n">
        <v>14570</v>
      </c>
      <c r="AC2689" s="28" t="n">
        <v>218550</v>
      </c>
      <c r="AD2689" s="28"/>
      <c r="AE2689" s="28" t="n">
        <f aca="false">AD2689*$M2689</f>
        <v>0</v>
      </c>
      <c r="AF2689" s="28" t="n">
        <v>5748</v>
      </c>
      <c r="AG2689" s="28" t="n">
        <v>86220</v>
      </c>
      <c r="AH2689" s="28"/>
      <c r="AI2689" s="28" t="n">
        <f aca="false">AH2689*$M2689</f>
        <v>0</v>
      </c>
      <c r="AJ2689" s="28" t="n">
        <v>710</v>
      </c>
      <c r="AK2689" s="28" t="n">
        <v>10650</v>
      </c>
      <c r="AL2689" s="28" t="n">
        <v>600</v>
      </c>
      <c r="AM2689" s="28" t="n">
        <v>9000</v>
      </c>
      <c r="AN2689" s="28"/>
      <c r="AO2689" s="28" t="n">
        <f aca="false">AN2689*$M2689</f>
        <v>0</v>
      </c>
      <c r="AP2689" s="28" t="n">
        <v>1200</v>
      </c>
      <c r="AQ2689" s="28" t="n">
        <v>18000</v>
      </c>
      <c r="AR2689" s="28"/>
      <c r="AS2689" s="28" t="n">
        <f aca="false">AR2689*$M2689</f>
        <v>0</v>
      </c>
      <c r="AT2689" s="28"/>
      <c r="AU2689" s="28" t="n">
        <f aca="false">AT2689*$M2689</f>
        <v>0</v>
      </c>
      <c r="AV2689" s="28"/>
      <c r="AW2689" s="28" t="n">
        <f aca="false">AV2689*$M2689</f>
        <v>0</v>
      </c>
      <c r="AX2689" s="28"/>
      <c r="AY2689" s="28" t="n">
        <f aca="false">AX2689*$M2689</f>
        <v>0</v>
      </c>
      <c r="AZ2689" s="30" t="n">
        <v>26275</v>
      </c>
      <c r="BA2689" s="11" t="n">
        <v>394125</v>
      </c>
      <c r="BB2689" s="31" t="n">
        <f aca="false">SUM(Q2689,S2689,U2689,W2689,Y2689,AA2689,AC2689,AE2689,AG2689,AI2689,AK2689,AM2689,AO2689,AQ2689,AS2689,AU2689,AW2689,AY2689)</f>
        <v>394125</v>
      </c>
      <c r="BC2689" s="28" t="n">
        <f aca="false">BA2689-BB2689</f>
        <v>0</v>
      </c>
      <c r="BD2689" s="32" t="n">
        <f aca="false">SUM(P2689,R2689,T2689,V2689,X2689,Z2689,AB2689,AD2689,AF2689,AH2689,AJ2689,AL2689,AN2689,AP2689,AR2689,AT2689,AV2689,AX2689)</f>
        <v>26275</v>
      </c>
      <c r="BE2689" s="33" t="n">
        <f aca="false">AZ2689-BD2689</f>
        <v>0</v>
      </c>
      <c r="BF2689" s="34" t="n">
        <f aca="false">BD2689*M2689</f>
        <v>394125</v>
      </c>
      <c r="BG2689" s="35" t="n">
        <f aca="false">BA2689-BF2689</f>
        <v>0</v>
      </c>
      <c r="BH2689" s="19" t="str">
        <f aca="false">IF(BG2689=0,"",IF(BG2689&lt;&gt;BA2689,"erreur de calcul",IF(BD2689&lt;&gt;0,"pas de prix",IF(M2689&lt;&gt; 0,"pas de quantité","pas de prix, ni de quantité"))))</f>
        <v/>
      </c>
      <c r="BI2689" s="19"/>
    </row>
    <row r="2690" customFormat="false" ht="15" hidden="false" customHeight="false" outlineLevel="0" collapsed="false">
      <c r="A2690" s="0" t="n">
        <v>23</v>
      </c>
      <c r="B2690" s="8" t="s">
        <v>24</v>
      </c>
      <c r="C2690" s="9" t="s">
        <v>25</v>
      </c>
      <c r="D2690" s="9" t="s">
        <v>26</v>
      </c>
      <c r="E2690" s="10" t="n">
        <v>1789</v>
      </c>
      <c r="F2690" s="9" t="s">
        <v>27</v>
      </c>
      <c r="G2690" s="9" t="s">
        <v>27</v>
      </c>
      <c r="H2690" s="11" t="n">
        <v>24</v>
      </c>
      <c r="I2690" s="11" t="s">
        <v>313</v>
      </c>
      <c r="J2690" s="14" t="n">
        <v>9</v>
      </c>
      <c r="K2690" s="14"/>
      <c r="L2690" s="16"/>
      <c r="M2690" s="27" t="n">
        <f aca="false">J2690+(K2690/20)+(L2690/240)</f>
        <v>9</v>
      </c>
      <c r="N2690" s="17" t="s">
        <v>64</v>
      </c>
      <c r="O2690" s="11"/>
      <c r="P2690" s="28"/>
      <c r="Q2690" s="28" t="n">
        <f aca="false">P2690*$M2690</f>
        <v>0</v>
      </c>
      <c r="R2690" s="28"/>
      <c r="S2690" s="28" t="n">
        <f aca="false">R2690*$M2690</f>
        <v>0</v>
      </c>
      <c r="T2690" s="28"/>
      <c r="U2690" s="28" t="n">
        <f aca="false">T2690*$M2690</f>
        <v>0</v>
      </c>
      <c r="V2690" s="28" t="n">
        <f aca="false">145504/100</f>
        <v>1455.04</v>
      </c>
      <c r="W2690" s="28" t="n">
        <v>13095</v>
      </c>
      <c r="X2690" s="28" t="n">
        <f aca="false">58504/100</f>
        <v>585.04</v>
      </c>
      <c r="Y2690" s="28" t="n">
        <v>5265</v>
      </c>
      <c r="Z2690" s="28" t="n">
        <f aca="false">17027/100</f>
        <v>170.27</v>
      </c>
      <c r="AA2690" s="28" t="n">
        <v>1532</v>
      </c>
      <c r="AB2690" s="28" t="n">
        <f aca="false">84396/100</f>
        <v>843.96</v>
      </c>
      <c r="AC2690" s="28" t="n">
        <v>7596</v>
      </c>
      <c r="AD2690" s="28"/>
      <c r="AE2690" s="28" t="n">
        <f aca="false">AD2690*$M2690</f>
        <v>0</v>
      </c>
      <c r="AF2690" s="28" t="n">
        <f aca="false">14807/100</f>
        <v>148.07</v>
      </c>
      <c r="AG2690" s="28" t="n">
        <v>1333</v>
      </c>
      <c r="AH2690" s="28"/>
      <c r="AI2690" s="28" t="n">
        <f aca="false">AH2690*$M2690</f>
        <v>0</v>
      </c>
      <c r="AJ2690" s="28"/>
      <c r="AK2690" s="28" t="n">
        <f aca="false">AJ2690*$M2690</f>
        <v>0</v>
      </c>
      <c r="AL2690" s="28"/>
      <c r="AM2690" s="28" t="n">
        <f aca="false">AL2690*$M2690</f>
        <v>0</v>
      </c>
      <c r="AN2690" s="28"/>
      <c r="AO2690" s="28" t="n">
        <f aca="false">AN2690*$M2690</f>
        <v>0</v>
      </c>
      <c r="AP2690" s="28"/>
      <c r="AQ2690" s="28" t="n">
        <f aca="false">AP2690*$M2690</f>
        <v>0</v>
      </c>
      <c r="AR2690" s="28"/>
      <c r="AS2690" s="28" t="n">
        <f aca="false">AR2690*$M2690</f>
        <v>0</v>
      </c>
      <c r="AT2690" s="28"/>
      <c r="AU2690" s="28" t="n">
        <f aca="false">AT2690*$M2690</f>
        <v>0</v>
      </c>
      <c r="AV2690" s="28"/>
      <c r="AW2690" s="28" t="n">
        <f aca="false">AV2690*$M2690</f>
        <v>0</v>
      </c>
      <c r="AX2690" s="28"/>
      <c r="AY2690" s="28" t="n">
        <f aca="false">AX2690*$M2690</f>
        <v>0</v>
      </c>
      <c r="AZ2690" s="30" t="n">
        <f aca="false">320238/100</f>
        <v>3202.38</v>
      </c>
      <c r="BA2690" s="11" t="n">
        <v>28821</v>
      </c>
      <c r="BB2690" s="31" t="n">
        <f aca="false">SUM(Q2690,S2690,U2690,W2690,Y2690,AA2690,AC2690,AE2690,AG2690,AI2690,AK2690,AM2690,AO2690,AQ2690,AS2690,AU2690,AW2690,AY2690)</f>
        <v>28821</v>
      </c>
      <c r="BC2690" s="28" t="n">
        <f aca="false">BA2690-BB2690</f>
        <v>0</v>
      </c>
      <c r="BD2690" s="32" t="n">
        <f aca="false">SUM(P2690,R2690,T2690,V2690,X2690,Z2690,AB2690,AD2690,AF2690,AH2690,AJ2690,AL2690,AN2690,AP2690,AR2690,AT2690,AV2690,AX2690)</f>
        <v>3202.38</v>
      </c>
      <c r="BE2690" s="33" t="n">
        <f aca="false">AZ2690-BD2690</f>
        <v>0</v>
      </c>
      <c r="BF2690" s="34" t="n">
        <f aca="false">BD2690*M2690</f>
        <v>28821.42</v>
      </c>
      <c r="BG2690" s="35" t="n">
        <f aca="false">BA2690-BF2690</f>
        <v>-0.420000000001892</v>
      </c>
      <c r="BH2690" s="19" t="str">
        <f aca="false">IF(BG2690=0,"",IF(BG2690&lt;&gt;BA2690,"erreur de calcul",IF(BD2690&lt;&gt;0,"pas de prix",IF(M2690&lt;&gt; 0,"pas de quantité","pas de prix, ni de quantité"))))</f>
        <v>erreur de calcul</v>
      </c>
      <c r="BI2690" s="19"/>
    </row>
    <row r="2691" customFormat="false" ht="15" hidden="false" customHeight="false" outlineLevel="0" collapsed="false">
      <c r="A2691" s="0" t="n">
        <v>24</v>
      </c>
      <c r="B2691" s="8" t="s">
        <v>24</v>
      </c>
      <c r="C2691" s="9" t="s">
        <v>25</v>
      </c>
      <c r="D2691" s="9" t="s">
        <v>26</v>
      </c>
      <c r="E2691" s="10" t="n">
        <v>1789</v>
      </c>
      <c r="F2691" s="9" t="s">
        <v>27</v>
      </c>
      <c r="G2691" s="9" t="s">
        <v>27</v>
      </c>
      <c r="H2691" s="11" t="n">
        <v>24</v>
      </c>
      <c r="I2691" s="11" t="s">
        <v>314</v>
      </c>
      <c r="J2691" s="14"/>
      <c r="K2691" s="14" t="n">
        <v>4</v>
      </c>
      <c r="L2691" s="16"/>
      <c r="M2691" s="27" t="n">
        <f aca="false">J2691+(K2691/20)+(L2691/240)</f>
        <v>0.2</v>
      </c>
      <c r="N2691" s="17" t="s">
        <v>311</v>
      </c>
      <c r="O2691" s="11"/>
      <c r="P2691" s="28"/>
      <c r="Q2691" s="28" t="n">
        <f aca="false">P2691*$M2691</f>
        <v>0</v>
      </c>
      <c r="R2691" s="28"/>
      <c r="S2691" s="28" t="n">
        <f aca="false">R2691*$M2691</f>
        <v>0</v>
      </c>
      <c r="T2691" s="28"/>
      <c r="U2691" s="28" t="n">
        <f aca="false">T2691*$M2691</f>
        <v>0</v>
      </c>
      <c r="V2691" s="28" t="n">
        <v>5800</v>
      </c>
      <c r="W2691" s="28" t="n">
        <v>1160</v>
      </c>
      <c r="X2691" s="28"/>
      <c r="Y2691" s="28" t="n">
        <f aca="false">X2691*$M2691</f>
        <v>0</v>
      </c>
      <c r="Z2691" s="28"/>
      <c r="AA2691" s="28" t="n">
        <f aca="false">Z2691*$M2691</f>
        <v>0</v>
      </c>
      <c r="AB2691" s="28"/>
      <c r="AC2691" s="28" t="n">
        <f aca="false">AB2691*$M2691</f>
        <v>0</v>
      </c>
      <c r="AD2691" s="28"/>
      <c r="AE2691" s="28" t="n">
        <f aca="false">AD2691*$M2691</f>
        <v>0</v>
      </c>
      <c r="AF2691" s="28"/>
      <c r="AG2691" s="28" t="n">
        <f aca="false">AF2691*$M2691</f>
        <v>0</v>
      </c>
      <c r="AH2691" s="28"/>
      <c r="AI2691" s="28" t="n">
        <f aca="false">AH2691*$M2691</f>
        <v>0</v>
      </c>
      <c r="AJ2691" s="28"/>
      <c r="AK2691" s="28" t="n">
        <f aca="false">AJ2691*$M2691</f>
        <v>0</v>
      </c>
      <c r="AL2691" s="28"/>
      <c r="AM2691" s="28" t="n">
        <f aca="false">AL2691*$M2691</f>
        <v>0</v>
      </c>
      <c r="AN2691" s="28"/>
      <c r="AO2691" s="28" t="n">
        <f aca="false">AN2691*$M2691</f>
        <v>0</v>
      </c>
      <c r="AP2691" s="28"/>
      <c r="AQ2691" s="28" t="n">
        <f aca="false">AP2691*$M2691</f>
        <v>0</v>
      </c>
      <c r="AR2691" s="28"/>
      <c r="AS2691" s="28" t="n">
        <f aca="false">AR2691*$M2691</f>
        <v>0</v>
      </c>
      <c r="AT2691" s="28"/>
      <c r="AU2691" s="28" t="n">
        <f aca="false">AT2691*$M2691</f>
        <v>0</v>
      </c>
      <c r="AV2691" s="28"/>
      <c r="AW2691" s="28" t="n">
        <f aca="false">AV2691*$M2691</f>
        <v>0</v>
      </c>
      <c r="AX2691" s="28"/>
      <c r="AY2691" s="28" t="n">
        <f aca="false">AX2691*$M2691</f>
        <v>0</v>
      </c>
      <c r="AZ2691" s="30" t="n">
        <v>5800</v>
      </c>
      <c r="BA2691" s="11" t="n">
        <v>1160</v>
      </c>
      <c r="BB2691" s="31" t="n">
        <f aca="false">SUM(Q2691,S2691,U2691,W2691,Y2691,AA2691,AC2691,AE2691,AG2691,AI2691,AK2691,AM2691,AO2691,AQ2691,AS2691,AU2691,AW2691,AY2691)</f>
        <v>1160</v>
      </c>
      <c r="BC2691" s="28" t="n">
        <f aca="false">BA2691-BB2691</f>
        <v>0</v>
      </c>
      <c r="BD2691" s="32" t="n">
        <f aca="false">SUM(P2691,R2691,T2691,V2691,X2691,Z2691,AB2691,AD2691,AF2691,AH2691,AJ2691,AL2691,AN2691,AP2691,AR2691,AT2691,AV2691,AX2691)</f>
        <v>5800</v>
      </c>
      <c r="BE2691" s="33" t="n">
        <f aca="false">AZ2691-BD2691</f>
        <v>0</v>
      </c>
      <c r="BF2691" s="34" t="n">
        <f aca="false">BD2691*M2691</f>
        <v>1160</v>
      </c>
      <c r="BG2691" s="35" t="n">
        <f aca="false">BA2691-BF2691</f>
        <v>0</v>
      </c>
      <c r="BH2691" s="19" t="str">
        <f aca="false">IF(BG2691=0,"",IF(BG2691&lt;&gt;BA2691,"erreur de calcul",IF(BD2691&lt;&gt;0,"pas de prix",IF(M2691&lt;&gt; 0,"pas de quantité","pas de prix, ni de quantité"))))</f>
        <v/>
      </c>
      <c r="BI2691" s="19"/>
    </row>
    <row r="2692" customFormat="false" ht="15" hidden="false" customHeight="false" outlineLevel="0" collapsed="false">
      <c r="A2692" s="0" t="n">
        <v>25</v>
      </c>
      <c r="B2692" s="8" t="s">
        <v>24</v>
      </c>
      <c r="C2692" s="9" t="s">
        <v>25</v>
      </c>
      <c r="D2692" s="9" t="s">
        <v>26</v>
      </c>
      <c r="E2692" s="10" t="n">
        <v>1789</v>
      </c>
      <c r="F2692" s="9" t="s">
        <v>27</v>
      </c>
      <c r="G2692" s="9" t="s">
        <v>27</v>
      </c>
      <c r="H2692" s="11" t="n">
        <v>24</v>
      </c>
      <c r="I2692" s="11" t="s">
        <v>315</v>
      </c>
      <c r="J2692" s="14" t="n">
        <v>10</v>
      </c>
      <c r="K2692" s="14"/>
      <c r="L2692" s="16"/>
      <c r="M2692" s="27" t="n">
        <f aca="false">J2692+(K2692/20)+(L2692/240)</f>
        <v>10</v>
      </c>
      <c r="N2692" s="17" t="s">
        <v>64</v>
      </c>
      <c r="O2692" s="11"/>
      <c r="P2692" s="28"/>
      <c r="Q2692" s="28" t="n">
        <f aca="false">P2692*$M2692</f>
        <v>0</v>
      </c>
      <c r="R2692" s="28"/>
      <c r="S2692" s="28" t="n">
        <f aca="false">R2692*$M2692</f>
        <v>0</v>
      </c>
      <c r="T2692" s="28"/>
      <c r="U2692" s="28" t="n">
        <f aca="false">T2692*$M2692</f>
        <v>0</v>
      </c>
      <c r="V2692" s="28"/>
      <c r="W2692" s="28" t="n">
        <f aca="false">V2692*$M2692</f>
        <v>0</v>
      </c>
      <c r="X2692" s="28"/>
      <c r="Y2692" s="28" t="n">
        <f aca="false">X2692*$M2692</f>
        <v>0</v>
      </c>
      <c r="Z2692" s="28"/>
      <c r="AA2692" s="28" t="n">
        <f aca="false">Z2692*$M2692</f>
        <v>0</v>
      </c>
      <c r="AB2692" s="28"/>
      <c r="AC2692" s="28" t="n">
        <f aca="false">AB2692*$M2692</f>
        <v>0</v>
      </c>
      <c r="AD2692" s="28"/>
      <c r="AE2692" s="28" t="n">
        <f aca="false">AD2692*$M2692</f>
        <v>0</v>
      </c>
      <c r="AF2692" s="28"/>
      <c r="AG2692" s="28" t="n">
        <f aca="false">AF2692*$M2692</f>
        <v>0</v>
      </c>
      <c r="AH2692" s="28"/>
      <c r="AI2692" s="28" t="n">
        <f aca="false">AH2692*$M2692</f>
        <v>0</v>
      </c>
      <c r="AJ2692" s="28" t="n">
        <f aca="false">13584/100</f>
        <v>135.84</v>
      </c>
      <c r="AK2692" s="28" t="n">
        <v>1358</v>
      </c>
      <c r="AL2692" s="28"/>
      <c r="AM2692" s="28" t="n">
        <f aca="false">AL2692*$M2692</f>
        <v>0</v>
      </c>
      <c r="AN2692" s="28"/>
      <c r="AO2692" s="28" t="n">
        <f aca="false">AN2692*$M2692</f>
        <v>0</v>
      </c>
      <c r="AP2692" s="28"/>
      <c r="AQ2692" s="28" t="n">
        <f aca="false">AP2692*$M2692</f>
        <v>0</v>
      </c>
      <c r="AR2692" s="28"/>
      <c r="AS2692" s="28" t="n">
        <f aca="false">AR2692*$M2692</f>
        <v>0</v>
      </c>
      <c r="AT2692" s="28"/>
      <c r="AU2692" s="28" t="n">
        <f aca="false">AT2692*$M2692</f>
        <v>0</v>
      </c>
      <c r="AV2692" s="28"/>
      <c r="AW2692" s="28" t="n">
        <f aca="false">AV2692*$M2692</f>
        <v>0</v>
      </c>
      <c r="AX2692" s="28"/>
      <c r="AY2692" s="28" t="n">
        <f aca="false">AX2692*$M2692</f>
        <v>0</v>
      </c>
      <c r="AZ2692" s="30" t="n">
        <f aca="false">13584/100</f>
        <v>135.84</v>
      </c>
      <c r="BA2692" s="11" t="n">
        <v>1358</v>
      </c>
      <c r="BB2692" s="31" t="n">
        <f aca="false">SUM(Q2692,S2692,U2692,W2692,Y2692,AA2692,AC2692,AE2692,AG2692,AI2692,AK2692,AM2692,AO2692,AQ2692,AS2692,AU2692,AW2692,AY2692)</f>
        <v>1358</v>
      </c>
      <c r="BC2692" s="28" t="n">
        <f aca="false">BA2692-BB2692</f>
        <v>0</v>
      </c>
      <c r="BD2692" s="32" t="n">
        <f aca="false">SUM(P2692,R2692,T2692,V2692,X2692,Z2692,AB2692,AD2692,AF2692,AH2692,AJ2692,AL2692,AN2692,AP2692,AR2692,AT2692,AV2692,AX2692)</f>
        <v>135.84</v>
      </c>
      <c r="BE2692" s="33" t="n">
        <f aca="false">AZ2692-BD2692</f>
        <v>0</v>
      </c>
      <c r="BF2692" s="34" t="n">
        <f aca="false">BD2692*M2692</f>
        <v>1358.4</v>
      </c>
      <c r="BG2692" s="35" t="n">
        <f aca="false">BA2692-BF2692</f>
        <v>-0.400000000000091</v>
      </c>
      <c r="BH2692" s="19" t="str">
        <f aca="false">IF(BG2692=0,"",IF(BG2692&lt;&gt;BA2692,"erreur de calcul",IF(BD2692&lt;&gt;0,"pas de prix",IF(M2692&lt;&gt; 0,"pas de quantité","pas de prix, ni de quantité"))))</f>
        <v>erreur de calcul</v>
      </c>
      <c r="BI2692" s="19"/>
    </row>
    <row r="2693" customFormat="false" ht="15" hidden="false" customHeight="false" outlineLevel="0" collapsed="false">
      <c r="A2693" s="0" t="n">
        <v>26</v>
      </c>
      <c r="B2693" s="8" t="s">
        <v>24</v>
      </c>
      <c r="C2693" s="9" t="s">
        <v>25</v>
      </c>
      <c r="D2693" s="9" t="s">
        <v>26</v>
      </c>
      <c r="E2693" s="10" t="n">
        <v>1789</v>
      </c>
      <c r="F2693" s="9" t="s">
        <v>27</v>
      </c>
      <c r="G2693" s="9" t="s">
        <v>27</v>
      </c>
      <c r="H2693" s="11" t="n">
        <v>24</v>
      </c>
      <c r="I2693" s="11" t="s">
        <v>316</v>
      </c>
      <c r="J2693" s="14" t="n">
        <v>12</v>
      </c>
      <c r="K2693" s="14"/>
      <c r="L2693" s="16"/>
      <c r="M2693" s="27" t="n">
        <f aca="false">J2693+(K2693/20)+(L2693/240)</f>
        <v>12</v>
      </c>
      <c r="N2693" s="17" t="s">
        <v>64</v>
      </c>
      <c r="O2693" s="11"/>
      <c r="P2693" s="28" t="n">
        <f aca="false">8690/100</f>
        <v>86.9</v>
      </c>
      <c r="Q2693" s="28" t="n">
        <v>1043</v>
      </c>
      <c r="R2693" s="28"/>
      <c r="S2693" s="28" t="n">
        <f aca="false">R2693*$M2693</f>
        <v>0</v>
      </c>
      <c r="T2693" s="28"/>
      <c r="U2693" s="28" t="n">
        <f aca="false">T2693*$M2693</f>
        <v>0</v>
      </c>
      <c r="V2693" s="28"/>
      <c r="W2693" s="28" t="n">
        <f aca="false">V2693*$M2693</f>
        <v>0</v>
      </c>
      <c r="X2693" s="28" t="n">
        <f aca="false">10000/100</f>
        <v>100</v>
      </c>
      <c r="Y2693" s="28" t="n">
        <v>1200</v>
      </c>
      <c r="Z2693" s="28"/>
      <c r="AA2693" s="28" t="n">
        <f aca="false">Z2693*$M2693</f>
        <v>0</v>
      </c>
      <c r="AB2693" s="28"/>
      <c r="AC2693" s="28" t="n">
        <f aca="false">AB2693*$M2693</f>
        <v>0</v>
      </c>
      <c r="AD2693" s="28"/>
      <c r="AE2693" s="28" t="n">
        <f aca="false">AD2693*$M2693</f>
        <v>0</v>
      </c>
      <c r="AF2693" s="28"/>
      <c r="AG2693" s="28" t="n">
        <f aca="false">AF2693*$M2693</f>
        <v>0</v>
      </c>
      <c r="AH2693" s="28"/>
      <c r="AI2693" s="28" t="n">
        <f aca="false">AH2693*$M2693</f>
        <v>0</v>
      </c>
      <c r="AJ2693" s="28"/>
      <c r="AK2693" s="28" t="n">
        <f aca="false">AJ2693*$M2693</f>
        <v>0</v>
      </c>
      <c r="AL2693" s="28"/>
      <c r="AM2693" s="28" t="n">
        <f aca="false">AL2693*$M2693</f>
        <v>0</v>
      </c>
      <c r="AN2693" s="28"/>
      <c r="AO2693" s="28" t="n">
        <f aca="false">AN2693*$M2693</f>
        <v>0</v>
      </c>
      <c r="AP2693" s="28"/>
      <c r="AQ2693" s="28" t="n">
        <f aca="false">AP2693*$M2693</f>
        <v>0</v>
      </c>
      <c r="AR2693" s="28"/>
      <c r="AS2693" s="28" t="n">
        <f aca="false">AR2693*$M2693</f>
        <v>0</v>
      </c>
      <c r="AT2693" s="28"/>
      <c r="AU2693" s="28" t="n">
        <f aca="false">AT2693*$M2693</f>
        <v>0</v>
      </c>
      <c r="AV2693" s="28"/>
      <c r="AW2693" s="28" t="n">
        <f aca="false">AV2693*$M2693</f>
        <v>0</v>
      </c>
      <c r="AX2693" s="28"/>
      <c r="AY2693" s="28" t="n">
        <f aca="false">AX2693*$M2693</f>
        <v>0</v>
      </c>
      <c r="AZ2693" s="30" t="n">
        <f aca="false">18690/100</f>
        <v>186.9</v>
      </c>
      <c r="BA2693" s="11" t="n">
        <v>2243</v>
      </c>
      <c r="BB2693" s="31" t="n">
        <f aca="false">SUM(Q2693,S2693,U2693,W2693,Y2693,AA2693,AC2693,AE2693,AG2693,AI2693,AK2693,AM2693,AO2693,AQ2693,AS2693,AU2693,AW2693,AY2693)</f>
        <v>2243</v>
      </c>
      <c r="BC2693" s="28" t="n">
        <f aca="false">BA2693-BB2693</f>
        <v>0</v>
      </c>
      <c r="BD2693" s="32" t="n">
        <f aca="false">SUM(P2693,R2693,T2693,V2693,X2693,Z2693,AB2693,AD2693,AF2693,AH2693,AJ2693,AL2693,AN2693,AP2693,AR2693,AT2693,AV2693,AX2693)</f>
        <v>186.9</v>
      </c>
      <c r="BE2693" s="33" t="n">
        <f aca="false">AZ2693-BD2693</f>
        <v>0</v>
      </c>
      <c r="BF2693" s="34" t="n">
        <f aca="false">BD2693*M2693</f>
        <v>2242.8</v>
      </c>
      <c r="BG2693" s="35" t="n">
        <f aca="false">BA2693-BF2693</f>
        <v>0.199999999999818</v>
      </c>
      <c r="BH2693" s="19" t="str">
        <f aca="false">IF(BG2693=0,"",IF(BG2693&lt;&gt;BA2693,"erreur de calcul",IF(BD2693&lt;&gt;0,"pas de prix",IF(M2693&lt;&gt; 0,"pas de quantité","pas de prix, ni de quantité"))))</f>
        <v>erreur de calcul</v>
      </c>
      <c r="BI2693" s="19"/>
    </row>
    <row r="2694" customFormat="false" ht="15" hidden="false" customHeight="false" outlineLevel="0" collapsed="false">
      <c r="A2694" s="0" t="n">
        <v>27</v>
      </c>
      <c r="B2694" s="8" t="s">
        <v>24</v>
      </c>
      <c r="C2694" s="9" t="s">
        <v>25</v>
      </c>
      <c r="D2694" s="9" t="s">
        <v>26</v>
      </c>
      <c r="E2694" s="10" t="n">
        <v>1789</v>
      </c>
      <c r="F2694" s="9" t="s">
        <v>27</v>
      </c>
      <c r="G2694" s="9" t="s">
        <v>27</v>
      </c>
      <c r="H2694" s="11" t="n">
        <v>24</v>
      </c>
      <c r="I2694" s="11" t="s">
        <v>317</v>
      </c>
      <c r="J2694" s="14" t="n">
        <v>2</v>
      </c>
      <c r="K2694" s="14"/>
      <c r="L2694" s="16"/>
      <c r="M2694" s="27" t="n">
        <f aca="false">J2694+(K2694/20)+(L2694/240)</f>
        <v>2</v>
      </c>
      <c r="N2694" s="17" t="s">
        <v>64</v>
      </c>
      <c r="O2694" s="11"/>
      <c r="P2694" s="28"/>
      <c r="Q2694" s="28" t="n">
        <f aca="false">P2694*$M2694</f>
        <v>0</v>
      </c>
      <c r="R2694" s="28"/>
      <c r="S2694" s="28" t="n">
        <f aca="false">R2694*$M2694</f>
        <v>0</v>
      </c>
      <c r="T2694" s="28"/>
      <c r="U2694" s="28" t="n">
        <f aca="false">T2694*$M2694</f>
        <v>0</v>
      </c>
      <c r="V2694" s="28"/>
      <c r="W2694" s="28" t="n">
        <f aca="false">V2694*$M2694</f>
        <v>0</v>
      </c>
      <c r="X2694" s="28"/>
      <c r="Y2694" s="28" t="n">
        <f aca="false">X2694*$M2694</f>
        <v>0</v>
      </c>
      <c r="Z2694" s="28"/>
      <c r="AA2694" s="28" t="n">
        <f aca="false">Z2694*$M2694</f>
        <v>0</v>
      </c>
      <c r="AB2694" s="28" t="n">
        <f aca="false">15417/100</f>
        <v>154.17</v>
      </c>
      <c r="AC2694" s="28" t="n">
        <v>308</v>
      </c>
      <c r="AD2694" s="28"/>
      <c r="AE2694" s="28" t="n">
        <f aca="false">AD2694*$M2694</f>
        <v>0</v>
      </c>
      <c r="AF2694" s="28"/>
      <c r="AG2694" s="28" t="n">
        <f aca="false">AF2694*$M2694</f>
        <v>0</v>
      </c>
      <c r="AH2694" s="28"/>
      <c r="AI2694" s="28" t="n">
        <f aca="false">AH2694*$M2694</f>
        <v>0</v>
      </c>
      <c r="AJ2694" s="28"/>
      <c r="AK2694" s="28" t="n">
        <f aca="false">AJ2694*$M2694</f>
        <v>0</v>
      </c>
      <c r="AL2694" s="28"/>
      <c r="AM2694" s="28" t="n">
        <f aca="false">AL2694*$M2694</f>
        <v>0</v>
      </c>
      <c r="AN2694" s="28"/>
      <c r="AO2694" s="28" t="n">
        <f aca="false">AN2694*$M2694</f>
        <v>0</v>
      </c>
      <c r="AP2694" s="28"/>
      <c r="AQ2694" s="28" t="n">
        <f aca="false">AP2694*$M2694</f>
        <v>0</v>
      </c>
      <c r="AR2694" s="28"/>
      <c r="AS2694" s="28" t="n">
        <f aca="false">AR2694*$M2694</f>
        <v>0</v>
      </c>
      <c r="AT2694" s="28"/>
      <c r="AU2694" s="28" t="n">
        <f aca="false">AT2694*$M2694</f>
        <v>0</v>
      </c>
      <c r="AV2694" s="28"/>
      <c r="AW2694" s="28" t="n">
        <f aca="false">AV2694*$M2694</f>
        <v>0</v>
      </c>
      <c r="AX2694" s="28"/>
      <c r="AY2694" s="28" t="n">
        <f aca="false">AX2694*$M2694</f>
        <v>0</v>
      </c>
      <c r="AZ2694" s="30" t="n">
        <f aca="false">15417/100</f>
        <v>154.17</v>
      </c>
      <c r="BA2694" s="11" t="n">
        <v>308</v>
      </c>
      <c r="BB2694" s="31" t="n">
        <f aca="false">SUM(Q2694,S2694,U2694,W2694,Y2694,AA2694,AC2694,AE2694,AG2694,AI2694,AK2694,AM2694,AO2694,AQ2694,AS2694,AU2694,AW2694,AY2694)</f>
        <v>308</v>
      </c>
      <c r="BC2694" s="28" t="n">
        <f aca="false">BA2694-BB2694</f>
        <v>0</v>
      </c>
      <c r="BD2694" s="32" t="n">
        <f aca="false">SUM(P2694,R2694,T2694,V2694,X2694,Z2694,AB2694,AD2694,AF2694,AH2694,AJ2694,AL2694,AN2694,AP2694,AR2694,AT2694,AV2694,AX2694)</f>
        <v>154.17</v>
      </c>
      <c r="BE2694" s="33" t="n">
        <f aca="false">AZ2694-BD2694</f>
        <v>0</v>
      </c>
      <c r="BF2694" s="34" t="n">
        <f aca="false">BD2694*M2694</f>
        <v>308.34</v>
      </c>
      <c r="BG2694" s="35" t="n">
        <f aca="false">BA2694-BF2694</f>
        <v>-0.339999999999975</v>
      </c>
      <c r="BH2694" s="19" t="str">
        <f aca="false">IF(BG2694=0,"",IF(BG2694&lt;&gt;BA2694,"erreur de calcul",IF(BD2694&lt;&gt;0,"pas de prix",IF(M2694&lt;&gt; 0,"pas de quantité","pas de prix, ni de quantité"))))</f>
        <v>erreur de calcul</v>
      </c>
      <c r="BI2694" s="19"/>
    </row>
    <row r="2695" customFormat="false" ht="15" hidden="false" customHeight="false" outlineLevel="0" collapsed="false">
      <c r="A2695" s="0" t="n">
        <v>28</v>
      </c>
      <c r="B2695" s="8" t="s">
        <v>24</v>
      </c>
      <c r="C2695" s="9" t="s">
        <v>25</v>
      </c>
      <c r="D2695" s="9" t="s">
        <v>26</v>
      </c>
      <c r="E2695" s="10" t="n">
        <v>1789</v>
      </c>
      <c r="F2695" s="9" t="s">
        <v>27</v>
      </c>
      <c r="G2695" s="9" t="s">
        <v>27</v>
      </c>
      <c r="H2695" s="11" t="n">
        <v>24</v>
      </c>
      <c r="I2695" s="11" t="s">
        <v>318</v>
      </c>
      <c r="J2695" s="14" t="n">
        <v>30</v>
      </c>
      <c r="K2695" s="14"/>
      <c r="L2695" s="16"/>
      <c r="M2695" s="27" t="n">
        <f aca="false">J2695+(K2695/20)+(L2695/240)</f>
        <v>30</v>
      </c>
      <c r="N2695" s="17" t="s">
        <v>64</v>
      </c>
      <c r="O2695" s="11"/>
      <c r="P2695" s="28" t="n">
        <f aca="false">55459/100</f>
        <v>554.59</v>
      </c>
      <c r="Q2695" s="28" t="n">
        <v>16638</v>
      </c>
      <c r="R2695" s="28"/>
      <c r="S2695" s="28" t="n">
        <f aca="false">R2695*$M2695</f>
        <v>0</v>
      </c>
      <c r="T2695" s="28"/>
      <c r="U2695" s="28" t="n">
        <f aca="false">T2695*$M2695</f>
        <v>0</v>
      </c>
      <c r="V2695" s="28"/>
      <c r="W2695" s="28" t="n">
        <f aca="false">V2695*$M2695</f>
        <v>0</v>
      </c>
      <c r="X2695" s="28"/>
      <c r="Y2695" s="28" t="n">
        <f aca="false">X2695*$M2695</f>
        <v>0</v>
      </c>
      <c r="Z2695" s="28"/>
      <c r="AA2695" s="28" t="n">
        <f aca="false">Z2695*$M2695</f>
        <v>0</v>
      </c>
      <c r="AB2695" s="28"/>
      <c r="AC2695" s="28" t="n">
        <f aca="false">AB2695*$M2695</f>
        <v>0</v>
      </c>
      <c r="AD2695" s="28"/>
      <c r="AE2695" s="28" t="n">
        <f aca="false">AD2695*$M2695</f>
        <v>0</v>
      </c>
      <c r="AF2695" s="28"/>
      <c r="AG2695" s="28" t="n">
        <f aca="false">AF2695*$M2695</f>
        <v>0</v>
      </c>
      <c r="AH2695" s="28"/>
      <c r="AI2695" s="28" t="n">
        <f aca="false">AH2695*$M2695</f>
        <v>0</v>
      </c>
      <c r="AJ2695" s="28"/>
      <c r="AK2695" s="28" t="n">
        <f aca="false">AJ2695*$M2695</f>
        <v>0</v>
      </c>
      <c r="AL2695" s="28"/>
      <c r="AM2695" s="28" t="n">
        <f aca="false">AL2695*$M2695</f>
        <v>0</v>
      </c>
      <c r="AN2695" s="28"/>
      <c r="AO2695" s="28" t="n">
        <f aca="false">AN2695*$M2695</f>
        <v>0</v>
      </c>
      <c r="AP2695" s="28"/>
      <c r="AQ2695" s="28" t="n">
        <f aca="false">AP2695*$M2695</f>
        <v>0</v>
      </c>
      <c r="AR2695" s="28"/>
      <c r="AS2695" s="28" t="n">
        <f aca="false">AR2695*$M2695</f>
        <v>0</v>
      </c>
      <c r="AT2695" s="28"/>
      <c r="AU2695" s="28" t="n">
        <f aca="false">AT2695*$M2695</f>
        <v>0</v>
      </c>
      <c r="AV2695" s="28"/>
      <c r="AW2695" s="28" t="n">
        <f aca="false">AV2695*$M2695</f>
        <v>0</v>
      </c>
      <c r="AX2695" s="28"/>
      <c r="AY2695" s="28" t="n">
        <f aca="false">AX2695*$M2695</f>
        <v>0</v>
      </c>
      <c r="AZ2695" s="30" t="n">
        <f aca="false">55459/100</f>
        <v>554.59</v>
      </c>
      <c r="BA2695" s="11" t="n">
        <v>16638</v>
      </c>
      <c r="BB2695" s="31" t="n">
        <f aca="false">SUM(Q2695,S2695,U2695,W2695,Y2695,AA2695,AC2695,AE2695,AG2695,AI2695,AK2695,AM2695,AO2695,AQ2695,AS2695,AU2695,AW2695,AY2695)</f>
        <v>16638</v>
      </c>
      <c r="BC2695" s="28" t="n">
        <f aca="false">BA2695-BB2695</f>
        <v>0</v>
      </c>
      <c r="BD2695" s="32" t="n">
        <f aca="false">SUM(P2695,R2695,T2695,V2695,X2695,Z2695,AB2695,AD2695,AF2695,AH2695,AJ2695,AL2695,AN2695,AP2695,AR2695,AT2695,AV2695,AX2695)</f>
        <v>554.59</v>
      </c>
      <c r="BE2695" s="33" t="n">
        <f aca="false">AZ2695-BD2695</f>
        <v>0</v>
      </c>
      <c r="BF2695" s="34" t="n">
        <f aca="false">BD2695*M2695</f>
        <v>16637.7</v>
      </c>
      <c r="BG2695" s="35" t="n">
        <f aca="false">BA2695-BF2695</f>
        <v>0.299999999999272</v>
      </c>
      <c r="BH2695" s="19" t="str">
        <f aca="false">IF(BG2695=0,"",IF(BG2695&lt;&gt;BA2695,"erreur de calcul",IF(BD2695&lt;&gt;0,"pas de prix",IF(M2695&lt;&gt; 0,"pas de quantité","pas de prix, ni de quantité"))))</f>
        <v>erreur de calcul</v>
      </c>
      <c r="BI2695" s="19"/>
    </row>
    <row r="2696" customFormat="false" ht="15" hidden="false" customHeight="false" outlineLevel="0" collapsed="false">
      <c r="A2696" s="0" t="n">
        <v>29</v>
      </c>
      <c r="B2696" s="8" t="s">
        <v>24</v>
      </c>
      <c r="C2696" s="9" t="s">
        <v>25</v>
      </c>
      <c r="D2696" s="9" t="s">
        <v>26</v>
      </c>
      <c r="E2696" s="10" t="n">
        <v>1789</v>
      </c>
      <c r="F2696" s="9" t="s">
        <v>27</v>
      </c>
      <c r="G2696" s="9" t="s">
        <v>27</v>
      </c>
      <c r="H2696" s="11" t="n">
        <v>24</v>
      </c>
      <c r="I2696" s="11" t="s">
        <v>319</v>
      </c>
      <c r="J2696" s="14" t="n">
        <v>10</v>
      </c>
      <c r="K2696" s="14"/>
      <c r="L2696" s="16"/>
      <c r="M2696" s="27" t="n">
        <f aca="false">J2696+(K2696/20)+(L2696/240)</f>
        <v>10</v>
      </c>
      <c r="N2696" s="17" t="s">
        <v>64</v>
      </c>
      <c r="O2696" s="11"/>
      <c r="P2696" s="28" t="n">
        <f aca="false">48819/100</f>
        <v>488.19</v>
      </c>
      <c r="Q2696" s="28" t="n">
        <v>4882</v>
      </c>
      <c r="R2696" s="28"/>
      <c r="S2696" s="28" t="n">
        <f aca="false">R2696*$M2696</f>
        <v>0</v>
      </c>
      <c r="T2696" s="28" t="n">
        <f aca="false">2500/100</f>
        <v>25</v>
      </c>
      <c r="U2696" s="28" t="n">
        <v>250</v>
      </c>
      <c r="V2696" s="28"/>
      <c r="W2696" s="28" t="n">
        <f aca="false">V2696*$M2696</f>
        <v>0</v>
      </c>
      <c r="X2696" s="28" t="n">
        <f aca="false">6667/100</f>
        <v>66.67</v>
      </c>
      <c r="Y2696" s="28" t="n">
        <v>667</v>
      </c>
      <c r="Z2696" s="28"/>
      <c r="AA2696" s="28" t="n">
        <f aca="false">Z2696*$M2696</f>
        <v>0</v>
      </c>
      <c r="AB2696" s="28"/>
      <c r="AC2696" s="28" t="n">
        <f aca="false">AB2696*$M2696</f>
        <v>0</v>
      </c>
      <c r="AD2696" s="28"/>
      <c r="AE2696" s="28" t="n">
        <f aca="false">AD2696*$M2696</f>
        <v>0</v>
      </c>
      <c r="AF2696" s="28"/>
      <c r="AG2696" s="28" t="n">
        <f aca="false">AF2696*$M2696</f>
        <v>0</v>
      </c>
      <c r="AH2696" s="28"/>
      <c r="AI2696" s="28" t="n">
        <f aca="false">AH2696*$M2696</f>
        <v>0</v>
      </c>
      <c r="AJ2696" s="28"/>
      <c r="AK2696" s="28" t="n">
        <f aca="false">AJ2696*$M2696</f>
        <v>0</v>
      </c>
      <c r="AL2696" s="28"/>
      <c r="AM2696" s="28" t="n">
        <f aca="false">AL2696*$M2696</f>
        <v>0</v>
      </c>
      <c r="AN2696" s="28"/>
      <c r="AO2696" s="28" t="n">
        <f aca="false">AN2696*$M2696</f>
        <v>0</v>
      </c>
      <c r="AP2696" s="28"/>
      <c r="AQ2696" s="28" t="n">
        <f aca="false">AP2696*$M2696</f>
        <v>0</v>
      </c>
      <c r="AR2696" s="28"/>
      <c r="AS2696" s="28" t="n">
        <f aca="false">AR2696*$M2696</f>
        <v>0</v>
      </c>
      <c r="AT2696" s="28"/>
      <c r="AU2696" s="28" t="n">
        <f aca="false">AT2696*$M2696</f>
        <v>0</v>
      </c>
      <c r="AV2696" s="28"/>
      <c r="AW2696" s="28" t="n">
        <f aca="false">AV2696*$M2696</f>
        <v>0</v>
      </c>
      <c r="AX2696" s="28"/>
      <c r="AY2696" s="28" t="n">
        <f aca="false">AX2696*$M2696</f>
        <v>0</v>
      </c>
      <c r="AZ2696" s="30" t="n">
        <f aca="false">57986/100</f>
        <v>579.86</v>
      </c>
      <c r="BA2696" s="11" t="n">
        <v>5799</v>
      </c>
      <c r="BB2696" s="31" t="n">
        <f aca="false">SUM(Q2696,S2696,U2696,W2696,Y2696,AA2696,AC2696,AE2696,AG2696,AI2696,AK2696,AM2696,AO2696,AQ2696,AS2696,AU2696,AW2696,AY2696)</f>
        <v>5799</v>
      </c>
      <c r="BC2696" s="28" t="n">
        <f aca="false">BA2696-BB2696</f>
        <v>0</v>
      </c>
      <c r="BD2696" s="32" t="n">
        <f aca="false">SUM(P2696,R2696,T2696,V2696,X2696,Z2696,AB2696,AD2696,AF2696,AH2696,AJ2696,AL2696,AN2696,AP2696,AR2696,AT2696,AV2696,AX2696)</f>
        <v>579.86</v>
      </c>
      <c r="BE2696" s="33" t="n">
        <f aca="false">AZ2696-BD2696</f>
        <v>0</v>
      </c>
      <c r="BF2696" s="34" t="n">
        <f aca="false">BD2696*M2696</f>
        <v>5798.6</v>
      </c>
      <c r="BG2696" s="35" t="n">
        <f aca="false">BA2696-BF2696</f>
        <v>0.399999999999636</v>
      </c>
      <c r="BH2696" s="19" t="str">
        <f aca="false">IF(BG2696=0,"",IF(BG2696&lt;&gt;BA2696,"erreur de calcul",IF(BD2696&lt;&gt;0,"pas de prix",IF(M2696&lt;&gt; 0,"pas de quantité","pas de prix, ni de quantité"))))</f>
        <v>erreur de calcul</v>
      </c>
      <c r="BI2696" s="19"/>
    </row>
    <row r="2697" customFormat="false" ht="15" hidden="false" customHeight="false" outlineLevel="0" collapsed="false">
      <c r="A2697" s="0" t="n">
        <v>30</v>
      </c>
      <c r="B2697" s="8" t="s">
        <v>24</v>
      </c>
      <c r="C2697" s="9" t="s">
        <v>25</v>
      </c>
      <c r="D2697" s="9" t="s">
        <v>26</v>
      </c>
      <c r="E2697" s="10" t="n">
        <v>1789</v>
      </c>
      <c r="F2697" s="9" t="s">
        <v>27</v>
      </c>
      <c r="G2697" s="9" t="s">
        <v>27</v>
      </c>
      <c r="H2697" s="11" t="n">
        <v>24</v>
      </c>
      <c r="I2697" s="11" t="s">
        <v>320</v>
      </c>
      <c r="J2697" s="14" t="n">
        <v>90</v>
      </c>
      <c r="K2697" s="14"/>
      <c r="L2697" s="16"/>
      <c r="M2697" s="27" t="n">
        <f aca="false">J2697+(K2697/20)+(L2697/240)</f>
        <v>90</v>
      </c>
      <c r="N2697" s="17" t="s">
        <v>64</v>
      </c>
      <c r="O2697" s="11"/>
      <c r="P2697" s="28"/>
      <c r="Q2697" s="28" t="n">
        <f aca="false">P2697*$M2697</f>
        <v>0</v>
      </c>
      <c r="R2697" s="28"/>
      <c r="S2697" s="28" t="n">
        <f aca="false">R2697*$M2697</f>
        <v>0</v>
      </c>
      <c r="T2697" s="28"/>
      <c r="U2697" s="28" t="n">
        <f aca="false">T2697*$M2697</f>
        <v>0</v>
      </c>
      <c r="V2697" s="28"/>
      <c r="W2697" s="28" t="n">
        <f aca="false">V2697*$M2697</f>
        <v>0</v>
      </c>
      <c r="X2697" s="28"/>
      <c r="Y2697" s="28" t="n">
        <f aca="false">X2697*$M2697</f>
        <v>0</v>
      </c>
      <c r="Z2697" s="28"/>
      <c r="AA2697" s="28" t="n">
        <f aca="false">Z2697*$M2697</f>
        <v>0</v>
      </c>
      <c r="AB2697" s="28"/>
      <c r="AC2697" s="28" t="n">
        <f aca="false">AB2697*$M2697</f>
        <v>0</v>
      </c>
      <c r="AD2697" s="28"/>
      <c r="AE2697" s="28" t="n">
        <f aca="false">AD2697*$M2697</f>
        <v>0</v>
      </c>
      <c r="AF2697" s="28"/>
      <c r="AG2697" s="28" t="n">
        <f aca="false">AF2697*$M2697</f>
        <v>0</v>
      </c>
      <c r="AH2697" s="28"/>
      <c r="AI2697" s="28" t="n">
        <f aca="false">AH2697*$M2697</f>
        <v>0</v>
      </c>
      <c r="AJ2697" s="28"/>
      <c r="AK2697" s="28" t="n">
        <f aca="false">AJ2697*$M2697</f>
        <v>0</v>
      </c>
      <c r="AL2697" s="28" t="n">
        <f aca="false">2950/100</f>
        <v>29.5</v>
      </c>
      <c r="AM2697" s="28" t="n">
        <v>2655</v>
      </c>
      <c r="AN2697" s="28"/>
      <c r="AO2697" s="28" t="n">
        <f aca="false">AN2697*$M2697</f>
        <v>0</v>
      </c>
      <c r="AP2697" s="28"/>
      <c r="AQ2697" s="28" t="n">
        <f aca="false">AP2697*$M2697</f>
        <v>0</v>
      </c>
      <c r="AR2697" s="28"/>
      <c r="AS2697" s="28" t="n">
        <f aca="false">AR2697*$M2697</f>
        <v>0</v>
      </c>
      <c r="AT2697" s="28"/>
      <c r="AU2697" s="28" t="n">
        <f aca="false">AT2697*$M2697</f>
        <v>0</v>
      </c>
      <c r="AV2697" s="28"/>
      <c r="AW2697" s="28" t="n">
        <f aca="false">AV2697*$M2697</f>
        <v>0</v>
      </c>
      <c r="AX2697" s="28"/>
      <c r="AY2697" s="28" t="n">
        <f aca="false">AX2697*$M2697</f>
        <v>0</v>
      </c>
      <c r="AZ2697" s="30" t="n">
        <f aca="false">2950/100</f>
        <v>29.5</v>
      </c>
      <c r="BA2697" s="11" t="n">
        <v>2655</v>
      </c>
      <c r="BB2697" s="31" t="n">
        <f aca="false">SUM(Q2697,S2697,U2697,W2697,Y2697,AA2697,AC2697,AE2697,AG2697,AI2697,AK2697,AM2697,AO2697,AQ2697,AS2697,AU2697,AW2697,AY2697)</f>
        <v>2655</v>
      </c>
      <c r="BC2697" s="28" t="n">
        <f aca="false">BA2697-BB2697</f>
        <v>0</v>
      </c>
      <c r="BD2697" s="32" t="n">
        <f aca="false">SUM(P2697,R2697,T2697,V2697,X2697,Z2697,AB2697,AD2697,AF2697,AH2697,AJ2697,AL2697,AN2697,AP2697,AR2697,AT2697,AV2697,AX2697)</f>
        <v>29.5</v>
      </c>
      <c r="BE2697" s="33" t="n">
        <f aca="false">AZ2697-BD2697</f>
        <v>0</v>
      </c>
      <c r="BF2697" s="34" t="n">
        <f aca="false">BD2697*M2697</f>
        <v>2655</v>
      </c>
      <c r="BG2697" s="35" t="n">
        <f aca="false">BA2697-BF2697</f>
        <v>0</v>
      </c>
      <c r="BH2697" s="19" t="str">
        <f aca="false">IF(BG2697=0,"",IF(BG2697&lt;&gt;BA2697,"erreur de calcul",IF(BD2697&lt;&gt;0,"pas de prix",IF(M2697&lt;&gt; 0,"pas de quantité","pas de prix, ni de quantité"))))</f>
        <v/>
      </c>
      <c r="BI2697" s="19"/>
    </row>
    <row r="2698" customFormat="false" ht="15" hidden="false" customHeight="false" outlineLevel="0" collapsed="false">
      <c r="A2698" s="0" t="n">
        <v>31</v>
      </c>
      <c r="B2698" s="8" t="s">
        <v>24</v>
      </c>
      <c r="C2698" s="9" t="s">
        <v>25</v>
      </c>
      <c r="D2698" s="9" t="s">
        <v>26</v>
      </c>
      <c r="E2698" s="10" t="n">
        <v>1789</v>
      </c>
      <c r="F2698" s="9" t="s">
        <v>27</v>
      </c>
      <c r="G2698" s="9" t="s">
        <v>27</v>
      </c>
      <c r="H2698" s="11" t="n">
        <v>24</v>
      </c>
      <c r="I2698" s="11" t="s">
        <v>321</v>
      </c>
      <c r="J2698" s="14" t="n">
        <v>50</v>
      </c>
      <c r="K2698" s="14"/>
      <c r="L2698" s="16"/>
      <c r="M2698" s="27" t="n">
        <f aca="false">J2698+(K2698/20)+(L2698/240)</f>
        <v>50</v>
      </c>
      <c r="N2698" s="17" t="s">
        <v>64</v>
      </c>
      <c r="O2698" s="11" t="s">
        <v>277</v>
      </c>
      <c r="P2698" s="28"/>
      <c r="Q2698" s="28" t="n">
        <f aca="false">P2698*$M2698</f>
        <v>0</v>
      </c>
      <c r="R2698" s="28"/>
      <c r="S2698" s="28" t="n">
        <f aca="false">R2698*$M2698</f>
        <v>0</v>
      </c>
      <c r="T2698" s="28" t="n">
        <f aca="false">2*288*0.02+153*0.02</f>
        <v>14.58</v>
      </c>
      <c r="U2698" s="28" t="n">
        <v>729</v>
      </c>
      <c r="V2698" s="28" t="n">
        <f aca="false">2*288*0.02+118*0.02</f>
        <v>13.88</v>
      </c>
      <c r="W2698" s="28" t="n">
        <v>694</v>
      </c>
      <c r="X2698" s="28" t="n">
        <f aca="false">25*288*0.02+103*0.02</f>
        <v>146.06</v>
      </c>
      <c r="Y2698" s="28" t="n">
        <v>7303</v>
      </c>
      <c r="Z2698" s="28"/>
      <c r="AA2698" s="28" t="n">
        <f aca="false">Z2698*$M2698</f>
        <v>0</v>
      </c>
      <c r="AB2698" s="28" t="n">
        <f aca="false">1*288*0.02+74*0.02</f>
        <v>7.24</v>
      </c>
      <c r="AC2698" s="28" t="n">
        <v>362</v>
      </c>
      <c r="AD2698" s="28" t="n">
        <f aca="false">276*0.02</f>
        <v>5.52</v>
      </c>
      <c r="AE2698" s="28" t="n">
        <v>276</v>
      </c>
      <c r="AF2698" s="28"/>
      <c r="AG2698" s="28" t="n">
        <f aca="false">AF2698*$M2698</f>
        <v>0</v>
      </c>
      <c r="AH2698" s="28" t="n">
        <f aca="false">1*288*0.02+75*0.02</f>
        <v>7.26</v>
      </c>
      <c r="AI2698" s="28" t="n">
        <v>363</v>
      </c>
      <c r="AJ2698" s="28" t="n">
        <f aca="false">2*288*0.02+176*0.02</f>
        <v>15.04</v>
      </c>
      <c r="AK2698" s="28" t="n">
        <v>752</v>
      </c>
      <c r="AL2698" s="28"/>
      <c r="AM2698" s="28" t="n">
        <f aca="false">AL2698*$M2698</f>
        <v>0</v>
      </c>
      <c r="AN2698" s="28"/>
      <c r="AO2698" s="28" t="n">
        <f aca="false">AN2698*$M2698</f>
        <v>0</v>
      </c>
      <c r="AP2698" s="28"/>
      <c r="AQ2698" s="28" t="n">
        <f aca="false">AP2698*$M2698</f>
        <v>0</v>
      </c>
      <c r="AR2698" s="28"/>
      <c r="AS2698" s="28" t="n">
        <f aca="false">AR2698*$M2698</f>
        <v>0</v>
      </c>
      <c r="AT2698" s="28"/>
      <c r="AU2698" s="28" t="n">
        <f aca="false">AT2698*$M2698</f>
        <v>0</v>
      </c>
      <c r="AV2698" s="28"/>
      <c r="AW2698" s="28" t="n">
        <f aca="false">AV2698*$M2698</f>
        <v>0</v>
      </c>
      <c r="AX2698" s="28"/>
      <c r="AY2698" s="28" t="n">
        <f aca="false">AX2698*$M2698</f>
        <v>0</v>
      </c>
      <c r="AZ2698" s="30" t="n">
        <f aca="false">36*288*0.02+111*0.02</f>
        <v>209.58</v>
      </c>
      <c r="BA2698" s="11" t="n">
        <v>10479</v>
      </c>
      <c r="BB2698" s="31" t="n">
        <f aca="false">SUM(Q2698,S2698,U2698,W2698,Y2698,AA2698,AC2698,AE2698,AG2698,AI2698,AK2698,AM2698,AO2698,AQ2698,AS2698,AU2698,AW2698,AY2698)</f>
        <v>10479</v>
      </c>
      <c r="BC2698" s="28" t="n">
        <f aca="false">BA2698-BB2698</f>
        <v>0</v>
      </c>
      <c r="BD2698" s="32" t="n">
        <f aca="false">SUM(P2698,R2698,T2698,V2698,X2698,Z2698,AB2698,AD2698,AF2698,AH2698,AJ2698,AL2698,AN2698,AP2698,AR2698,AT2698,AV2698,AX2698)</f>
        <v>209.58</v>
      </c>
      <c r="BE2698" s="33" t="n">
        <f aca="false">AZ2698-BD2698</f>
        <v>0</v>
      </c>
      <c r="BF2698" s="34" t="n">
        <f aca="false">BD2698*M2698</f>
        <v>10479</v>
      </c>
      <c r="BG2698" s="35" t="n">
        <f aca="false">BA2698-BF2698</f>
        <v>0</v>
      </c>
      <c r="BH2698" s="19" t="str">
        <f aca="false">IF(BG2698=0,"",IF(BG2698&lt;&gt;BA2698,"erreur de calcul",IF(BD2698&lt;&gt;0,"pas de prix",IF(M2698&lt;&gt; 0,"pas de quantité","pas de prix, ni de quantité"))))</f>
        <v/>
      </c>
      <c r="BI2698" s="19"/>
    </row>
    <row r="2699" customFormat="false" ht="15" hidden="false" customHeight="false" outlineLevel="0" collapsed="false">
      <c r="A2699" s="0" t="n">
        <v>32</v>
      </c>
      <c r="B2699" s="8" t="s">
        <v>24</v>
      </c>
      <c r="C2699" s="9" t="s">
        <v>25</v>
      </c>
      <c r="D2699" s="9" t="s">
        <v>26</v>
      </c>
      <c r="E2699" s="10" t="n">
        <v>1789</v>
      </c>
      <c r="F2699" s="9" t="s">
        <v>27</v>
      </c>
      <c r="G2699" s="9" t="s">
        <v>27</v>
      </c>
      <c r="H2699" s="11" t="n">
        <v>24</v>
      </c>
      <c r="I2699" s="11" t="s">
        <v>322</v>
      </c>
      <c r="J2699" s="14" t="n">
        <v>70</v>
      </c>
      <c r="K2699" s="14"/>
      <c r="L2699" s="16"/>
      <c r="M2699" s="27" t="n">
        <f aca="false">J2699+(K2699/20)+(L2699/240)</f>
        <v>70</v>
      </c>
      <c r="N2699" s="17" t="s">
        <v>64</v>
      </c>
      <c r="O2699" s="11"/>
      <c r="P2699" s="28"/>
      <c r="Q2699" s="28" t="n">
        <f aca="false">P2699*$M2699</f>
        <v>0</v>
      </c>
      <c r="R2699" s="28"/>
      <c r="S2699" s="28" t="n">
        <f aca="false">R2699*$M2699</f>
        <v>0</v>
      </c>
      <c r="T2699" s="28"/>
      <c r="U2699" s="28" t="n">
        <f aca="false">T2699*$M2699</f>
        <v>0</v>
      </c>
      <c r="V2699" s="28"/>
      <c r="W2699" s="28" t="n">
        <f aca="false">V2699*$M2699</f>
        <v>0</v>
      </c>
      <c r="X2699" s="28" t="n">
        <f aca="false">2*288*0.02+217*0.02</f>
        <v>15.86</v>
      </c>
      <c r="Y2699" s="28" t="n">
        <v>1111</v>
      </c>
      <c r="Z2699" s="28"/>
      <c r="AA2699" s="28" t="n">
        <f aca="false">Z2699*$M2699</f>
        <v>0</v>
      </c>
      <c r="AB2699" s="28"/>
      <c r="AC2699" s="28" t="n">
        <f aca="false">AB2699*$M2699</f>
        <v>0</v>
      </c>
      <c r="AD2699" s="28"/>
      <c r="AE2699" s="28" t="n">
        <f aca="false">AD2699*$M2699</f>
        <v>0</v>
      </c>
      <c r="AF2699" s="28"/>
      <c r="AG2699" s="28" t="n">
        <f aca="false">AF2699*$M2699</f>
        <v>0</v>
      </c>
      <c r="AH2699" s="28"/>
      <c r="AI2699" s="28" t="n">
        <f aca="false">AH2699*$M2699</f>
        <v>0</v>
      </c>
      <c r="AJ2699" s="28"/>
      <c r="AK2699" s="28" t="n">
        <f aca="false">AJ2699*$M2699</f>
        <v>0</v>
      </c>
      <c r="AL2699" s="28"/>
      <c r="AM2699" s="28" t="n">
        <f aca="false">AL2699*$M2699</f>
        <v>0</v>
      </c>
      <c r="AN2699" s="28"/>
      <c r="AO2699" s="28" t="n">
        <f aca="false">AN2699*$M2699</f>
        <v>0</v>
      </c>
      <c r="AP2699" s="28"/>
      <c r="AQ2699" s="28" t="n">
        <f aca="false">AP2699*$M2699</f>
        <v>0</v>
      </c>
      <c r="AR2699" s="28"/>
      <c r="AS2699" s="28" t="n">
        <f aca="false">AR2699*$M2699</f>
        <v>0</v>
      </c>
      <c r="AT2699" s="28"/>
      <c r="AU2699" s="28" t="n">
        <f aca="false">AT2699*$M2699</f>
        <v>0</v>
      </c>
      <c r="AV2699" s="28"/>
      <c r="AW2699" s="28" t="n">
        <f aca="false">AV2699*$M2699</f>
        <v>0</v>
      </c>
      <c r="AX2699" s="28"/>
      <c r="AY2699" s="28" t="n">
        <f aca="false">AX2699*$M2699</f>
        <v>0</v>
      </c>
      <c r="AZ2699" s="30" t="n">
        <f aca="false">2*288*0.02+217*0.02</f>
        <v>15.86</v>
      </c>
      <c r="BA2699" s="11" t="n">
        <v>1111</v>
      </c>
      <c r="BB2699" s="31" t="n">
        <f aca="false">SUM(Q2699,S2699,U2699,W2699,Y2699,AA2699,AC2699,AE2699,AG2699,AI2699,AK2699,AM2699,AO2699,AQ2699,AS2699,AU2699,AW2699,AY2699)</f>
        <v>1111</v>
      </c>
      <c r="BC2699" s="28" t="n">
        <f aca="false">BA2699-BB2699</f>
        <v>0</v>
      </c>
      <c r="BD2699" s="32" t="n">
        <f aca="false">SUM(P2699,R2699,T2699,V2699,X2699,Z2699,AB2699,AD2699,AF2699,AH2699,AJ2699,AL2699,AN2699,AP2699,AR2699,AT2699,AV2699,AX2699)</f>
        <v>15.86</v>
      </c>
      <c r="BE2699" s="33" t="n">
        <f aca="false">AZ2699-BD2699</f>
        <v>0</v>
      </c>
      <c r="BF2699" s="34" t="n">
        <f aca="false">BD2699*M2699</f>
        <v>1110.2</v>
      </c>
      <c r="BG2699" s="35" t="n">
        <f aca="false">BA2699-BF2699</f>
        <v>0.799999999999955</v>
      </c>
      <c r="BH2699" s="19" t="str">
        <f aca="false">IF(BG2699=0,"",IF(BG2699&lt;&gt;BA2699,"erreur de calcul",IF(BD2699&lt;&gt;0,"pas de prix",IF(M2699&lt;&gt; 0,"pas de quantité","pas de prix, ni de quantité"))))</f>
        <v>erreur de calcul</v>
      </c>
      <c r="BI2699" s="19"/>
    </row>
    <row r="2700" customFormat="false" ht="15" hidden="false" customHeight="false" outlineLevel="0" collapsed="false">
      <c r="A2700" s="0" t="n">
        <v>33</v>
      </c>
      <c r="B2700" s="8" t="s">
        <v>24</v>
      </c>
      <c r="C2700" s="9" t="s">
        <v>25</v>
      </c>
      <c r="D2700" s="9" t="s">
        <v>26</v>
      </c>
      <c r="E2700" s="10" t="n">
        <v>1789</v>
      </c>
      <c r="F2700" s="9" t="s">
        <v>27</v>
      </c>
      <c r="G2700" s="9" t="s">
        <v>27</v>
      </c>
      <c r="H2700" s="11" t="n">
        <v>24</v>
      </c>
      <c r="I2700" s="11" t="s">
        <v>323</v>
      </c>
      <c r="J2700" s="14"/>
      <c r="K2700" s="14" t="n">
        <v>40</v>
      </c>
      <c r="L2700" s="16"/>
      <c r="M2700" s="27" t="n">
        <f aca="false">J2700+(K2700/20)+(L2700/240)</f>
        <v>2</v>
      </c>
      <c r="N2700" s="17" t="s">
        <v>66</v>
      </c>
      <c r="O2700" s="11"/>
      <c r="P2700" s="28" t="n">
        <v>780</v>
      </c>
      <c r="Q2700" s="28" t="n">
        <v>1560</v>
      </c>
      <c r="R2700" s="28"/>
      <c r="S2700" s="28" t="n">
        <f aca="false">R2700*$M2700</f>
        <v>0</v>
      </c>
      <c r="T2700" s="28" t="n">
        <v>1552</v>
      </c>
      <c r="U2700" s="28" t="n">
        <v>3104</v>
      </c>
      <c r="V2700" s="28" t="n">
        <v>1051</v>
      </c>
      <c r="W2700" s="28" t="n">
        <v>2102</v>
      </c>
      <c r="X2700" s="28" t="n">
        <v>1486</v>
      </c>
      <c r="Y2700" s="28" t="n">
        <v>2972</v>
      </c>
      <c r="Z2700" s="28" t="n">
        <v>847</v>
      </c>
      <c r="AA2700" s="28" t="n">
        <v>1694</v>
      </c>
      <c r="AB2700" s="28" t="n">
        <v>114</v>
      </c>
      <c r="AC2700" s="28" t="n">
        <v>228</v>
      </c>
      <c r="AD2700" s="28" t="n">
        <v>407</v>
      </c>
      <c r="AE2700" s="28" t="n">
        <v>814</v>
      </c>
      <c r="AF2700" s="28"/>
      <c r="AG2700" s="28" t="n">
        <f aca="false">AF2700*$M2700</f>
        <v>0</v>
      </c>
      <c r="AH2700" s="28"/>
      <c r="AI2700" s="28" t="n">
        <f aca="false">AH2700*$M2700</f>
        <v>0</v>
      </c>
      <c r="AJ2700" s="28" t="n">
        <v>1297</v>
      </c>
      <c r="AK2700" s="28" t="n">
        <v>2594</v>
      </c>
      <c r="AL2700" s="28"/>
      <c r="AM2700" s="28" t="n">
        <f aca="false">AL2700*$M2700</f>
        <v>0</v>
      </c>
      <c r="AN2700" s="28"/>
      <c r="AO2700" s="28" t="n">
        <f aca="false">AN2700*$M2700</f>
        <v>0</v>
      </c>
      <c r="AP2700" s="28"/>
      <c r="AQ2700" s="28" t="n">
        <f aca="false">AP2700*$M2700</f>
        <v>0</v>
      </c>
      <c r="AR2700" s="28"/>
      <c r="AS2700" s="28" t="n">
        <f aca="false">AR2700*$M2700</f>
        <v>0</v>
      </c>
      <c r="AT2700" s="28"/>
      <c r="AU2700" s="28" t="n">
        <f aca="false">AT2700*$M2700</f>
        <v>0</v>
      </c>
      <c r="AV2700" s="28"/>
      <c r="AW2700" s="28" t="n">
        <f aca="false">AV2700*$M2700</f>
        <v>0</v>
      </c>
      <c r="AX2700" s="28"/>
      <c r="AY2700" s="28" t="n">
        <f aca="false">AX2700*$M2700</f>
        <v>0</v>
      </c>
      <c r="AZ2700" s="30" t="n">
        <v>7534</v>
      </c>
      <c r="BA2700" s="11" t="n">
        <v>15068</v>
      </c>
      <c r="BB2700" s="31" t="n">
        <f aca="false">SUM(Q2700,S2700,U2700,W2700,Y2700,AA2700,AC2700,AE2700,AG2700,AI2700,AK2700,AM2700,AO2700,AQ2700,AS2700,AU2700,AW2700,AY2700)</f>
        <v>15068</v>
      </c>
      <c r="BC2700" s="28" t="n">
        <f aca="false">BA2700-BB2700</f>
        <v>0</v>
      </c>
      <c r="BD2700" s="32" t="n">
        <f aca="false">SUM(P2700,R2700,T2700,V2700,X2700,Z2700,AB2700,AD2700,AF2700,AH2700,AJ2700,AL2700,AN2700,AP2700,AR2700,AT2700,AV2700,AX2700)</f>
        <v>7534</v>
      </c>
      <c r="BE2700" s="33" t="n">
        <f aca="false">AZ2700-BD2700</f>
        <v>0</v>
      </c>
      <c r="BF2700" s="34" t="n">
        <f aca="false">BD2700*M2700</f>
        <v>15068</v>
      </c>
      <c r="BG2700" s="35" t="n">
        <f aca="false">BA2700-BF2700</f>
        <v>0</v>
      </c>
      <c r="BH2700" s="19" t="str">
        <f aca="false">IF(BG2700=0,"",IF(BG2700&lt;&gt;BA2700,"erreur de calcul",IF(BD2700&lt;&gt;0,"pas de prix",IF(M2700&lt;&gt; 0,"pas de quantité","pas de prix, ni de quantité"))))</f>
        <v/>
      </c>
      <c r="BI2700" s="19"/>
    </row>
    <row r="2701" customFormat="false" ht="15" hidden="false" customHeight="false" outlineLevel="0" collapsed="false">
      <c r="A2701" s="0" t="n">
        <v>34</v>
      </c>
      <c r="B2701" s="8" t="s">
        <v>24</v>
      </c>
      <c r="C2701" s="9" t="s">
        <v>25</v>
      </c>
      <c r="D2701" s="9" t="s">
        <v>26</v>
      </c>
      <c r="E2701" s="10" t="n">
        <v>1789</v>
      </c>
      <c r="F2701" s="9" t="s">
        <v>27</v>
      </c>
      <c r="G2701" s="9" t="s">
        <v>27</v>
      </c>
      <c r="H2701" s="11" t="n">
        <v>24</v>
      </c>
      <c r="I2701" s="11" t="s">
        <v>324</v>
      </c>
      <c r="J2701" s="14" t="n">
        <v>15</v>
      </c>
      <c r="K2701" s="14"/>
      <c r="L2701" s="16"/>
      <c r="M2701" s="27" t="n">
        <f aca="false">J2701+(K2701/20)+(L2701/240)</f>
        <v>15</v>
      </c>
      <c r="N2701" s="17" t="s">
        <v>64</v>
      </c>
      <c r="O2701" s="11"/>
      <c r="P2701" s="28" t="n">
        <f aca="false">6834/100</f>
        <v>68.34</v>
      </c>
      <c r="Q2701" s="28" t="n">
        <v>1025</v>
      </c>
      <c r="R2701" s="28"/>
      <c r="S2701" s="28" t="n">
        <f aca="false">R2701*$M2701</f>
        <v>0</v>
      </c>
      <c r="T2701" s="28" t="n">
        <f aca="false">834/100</f>
        <v>8.34</v>
      </c>
      <c r="U2701" s="28" t="n">
        <v>125</v>
      </c>
      <c r="V2701" s="28" t="n">
        <f aca="false">197372/100</f>
        <v>1973.72</v>
      </c>
      <c r="W2701" s="28" t="n">
        <v>29606</v>
      </c>
      <c r="X2701" s="28" t="n">
        <f aca="false">2334702/100</f>
        <v>23347.02</v>
      </c>
      <c r="Y2701" s="28" t="n">
        <v>350205</v>
      </c>
      <c r="Z2701" s="28"/>
      <c r="AA2701" s="28" t="n">
        <f aca="false">Z2701*$M2701</f>
        <v>0</v>
      </c>
      <c r="AB2701" s="28" t="n">
        <f aca="false">1417/100</f>
        <v>14.17</v>
      </c>
      <c r="AC2701" s="28" t="n">
        <v>212</v>
      </c>
      <c r="AD2701" s="28"/>
      <c r="AE2701" s="28" t="n">
        <f aca="false">AD2701*$M2701</f>
        <v>0</v>
      </c>
      <c r="AF2701" s="28"/>
      <c r="AG2701" s="28" t="n">
        <f aca="false">AF2701*$M2701</f>
        <v>0</v>
      </c>
      <c r="AH2701" s="28"/>
      <c r="AI2701" s="28" t="n">
        <f aca="false">AH2701*$M2701</f>
        <v>0</v>
      </c>
      <c r="AJ2701" s="28"/>
      <c r="AK2701" s="28" t="n">
        <f aca="false">AJ2701*$M2701</f>
        <v>0</v>
      </c>
      <c r="AL2701" s="28"/>
      <c r="AM2701" s="28" t="n">
        <f aca="false">AL2701*$M2701</f>
        <v>0</v>
      </c>
      <c r="AN2701" s="28"/>
      <c r="AO2701" s="28" t="n">
        <f aca="false">AN2701*$M2701</f>
        <v>0</v>
      </c>
      <c r="AP2701" s="28"/>
      <c r="AQ2701" s="28" t="n">
        <f aca="false">AP2701*$M2701</f>
        <v>0</v>
      </c>
      <c r="AR2701" s="28"/>
      <c r="AS2701" s="28" t="n">
        <f aca="false">AR2701*$M2701</f>
        <v>0</v>
      </c>
      <c r="AT2701" s="28"/>
      <c r="AU2701" s="28" t="n">
        <f aca="false">AT2701*$M2701</f>
        <v>0</v>
      </c>
      <c r="AV2701" s="28"/>
      <c r="AW2701" s="28" t="n">
        <f aca="false">AV2701*$M2701</f>
        <v>0</v>
      </c>
      <c r="AX2701" s="28"/>
      <c r="AY2701" s="28" t="n">
        <f aca="false">AX2701*$M2701</f>
        <v>0</v>
      </c>
      <c r="AZ2701" s="30" t="n">
        <f aca="false">2541159/100</f>
        <v>25411.59</v>
      </c>
      <c r="BA2701" s="11" t="n">
        <v>381173</v>
      </c>
      <c r="BB2701" s="31" t="n">
        <f aca="false">SUM(Q2701,S2701,U2701,W2701,Y2701,AA2701,AC2701,AE2701,AG2701,AI2701,AK2701,AM2701,AO2701,AQ2701,AS2701,AU2701,AW2701,AY2701)</f>
        <v>381173</v>
      </c>
      <c r="BC2701" s="28" t="n">
        <f aca="false">BA2701-BB2701</f>
        <v>0</v>
      </c>
      <c r="BD2701" s="32" t="n">
        <f aca="false">SUM(P2701,R2701,T2701,V2701,X2701,Z2701,AB2701,AD2701,AF2701,AH2701,AJ2701,AL2701,AN2701,AP2701,AR2701,AT2701,AV2701,AX2701)</f>
        <v>25411.59</v>
      </c>
      <c r="BE2701" s="33" t="n">
        <f aca="false">AZ2701-BD2701</f>
        <v>0</v>
      </c>
      <c r="BF2701" s="34" t="n">
        <f aca="false">BD2701*M2701</f>
        <v>381173.85</v>
      </c>
      <c r="BG2701" s="35" t="n">
        <f aca="false">BA2701-BF2701</f>
        <v>-0.849999999976717</v>
      </c>
      <c r="BH2701" s="19" t="str">
        <f aca="false">IF(BG2701=0,"",IF(BG2701&lt;&gt;BA2701,"erreur de calcul",IF(BD2701&lt;&gt;0,"pas de prix",IF(M2701&lt;&gt; 0,"pas de quantité","pas de prix, ni de quantité"))))</f>
        <v>erreur de calcul</v>
      </c>
      <c r="BI2701" s="19"/>
    </row>
    <row r="2702" customFormat="false" ht="15" hidden="false" customHeight="false" outlineLevel="0" collapsed="false">
      <c r="A2702" s="0" t="n">
        <v>35</v>
      </c>
      <c r="B2702" s="8" t="s">
        <v>24</v>
      </c>
      <c r="C2702" s="9" t="s">
        <v>25</v>
      </c>
      <c r="D2702" s="9" t="s">
        <v>26</v>
      </c>
      <c r="E2702" s="10" t="n">
        <v>1789</v>
      </c>
      <c r="F2702" s="9" t="s">
        <v>27</v>
      </c>
      <c r="G2702" s="9" t="s">
        <v>27</v>
      </c>
      <c r="H2702" s="11" t="n">
        <v>24</v>
      </c>
      <c r="I2702" s="11" t="s">
        <v>325</v>
      </c>
      <c r="J2702" s="14" t="n">
        <v>25</v>
      </c>
      <c r="K2702" s="14"/>
      <c r="L2702" s="16"/>
      <c r="M2702" s="27" t="n">
        <f aca="false">J2702+(K2702/20)+(L2702/240)</f>
        <v>25</v>
      </c>
      <c r="N2702" s="17" t="s">
        <v>64</v>
      </c>
      <c r="O2702" s="11"/>
      <c r="P2702" s="28"/>
      <c r="Q2702" s="28" t="n">
        <f aca="false">P2702*$M2702</f>
        <v>0</v>
      </c>
      <c r="R2702" s="28"/>
      <c r="S2702" s="28" t="n">
        <f aca="false">R2702*$M2702</f>
        <v>0</v>
      </c>
      <c r="T2702" s="28"/>
      <c r="U2702" s="28" t="n">
        <f aca="false">T2702*$M2702</f>
        <v>0</v>
      </c>
      <c r="V2702" s="28"/>
      <c r="W2702" s="28" t="n">
        <f aca="false">V2702*$M2702</f>
        <v>0</v>
      </c>
      <c r="X2702" s="28" t="n">
        <f aca="false">4971/100</f>
        <v>49.71</v>
      </c>
      <c r="Y2702" s="28" t="n">
        <v>1243</v>
      </c>
      <c r="Z2702" s="28" t="n">
        <f aca="false">14812/100</f>
        <v>148.12</v>
      </c>
      <c r="AA2702" s="28" t="n">
        <v>3703</v>
      </c>
      <c r="AB2702" s="28"/>
      <c r="AC2702" s="28" t="n">
        <f aca="false">AB2702*$M2702</f>
        <v>0</v>
      </c>
      <c r="AD2702" s="28"/>
      <c r="AE2702" s="28" t="n">
        <f aca="false">AD2702*$M2702</f>
        <v>0</v>
      </c>
      <c r="AF2702" s="28"/>
      <c r="AG2702" s="28" t="n">
        <f aca="false">AF2702*$M2702</f>
        <v>0</v>
      </c>
      <c r="AH2702" s="28"/>
      <c r="AI2702" s="28" t="n">
        <f aca="false">AH2702*$M2702</f>
        <v>0</v>
      </c>
      <c r="AJ2702" s="28"/>
      <c r="AK2702" s="28" t="n">
        <f aca="false">AJ2702*$M2702</f>
        <v>0</v>
      </c>
      <c r="AL2702" s="28"/>
      <c r="AM2702" s="28" t="n">
        <f aca="false">AL2702*$M2702</f>
        <v>0</v>
      </c>
      <c r="AN2702" s="28"/>
      <c r="AO2702" s="28" t="n">
        <f aca="false">AN2702*$M2702</f>
        <v>0</v>
      </c>
      <c r="AP2702" s="28"/>
      <c r="AQ2702" s="28" t="n">
        <f aca="false">AP2702*$M2702</f>
        <v>0</v>
      </c>
      <c r="AR2702" s="28"/>
      <c r="AS2702" s="28" t="n">
        <f aca="false">AR2702*$M2702</f>
        <v>0</v>
      </c>
      <c r="AT2702" s="28"/>
      <c r="AU2702" s="28" t="n">
        <f aca="false">AT2702*$M2702</f>
        <v>0</v>
      </c>
      <c r="AV2702" s="28"/>
      <c r="AW2702" s="28" t="n">
        <f aca="false">AV2702*$M2702</f>
        <v>0</v>
      </c>
      <c r="AX2702" s="28"/>
      <c r="AY2702" s="28" t="n">
        <f aca="false">AX2702*$M2702</f>
        <v>0</v>
      </c>
      <c r="AZ2702" s="30" t="n">
        <f aca="false">19783/100</f>
        <v>197.83</v>
      </c>
      <c r="BA2702" s="11" t="n">
        <v>4946</v>
      </c>
      <c r="BB2702" s="31" t="n">
        <f aca="false">SUM(Q2702,S2702,U2702,W2702,Y2702,AA2702,AC2702,AE2702,AG2702,AI2702,AK2702,AM2702,AO2702,AQ2702,AS2702,AU2702,AW2702,AY2702)</f>
        <v>4946</v>
      </c>
      <c r="BC2702" s="28" t="n">
        <f aca="false">BA2702-BB2702</f>
        <v>0</v>
      </c>
      <c r="BD2702" s="32" t="n">
        <f aca="false">SUM(P2702,R2702,T2702,V2702,X2702,Z2702,AB2702,AD2702,AF2702,AH2702,AJ2702,AL2702,AN2702,AP2702,AR2702,AT2702,AV2702,AX2702)</f>
        <v>197.83</v>
      </c>
      <c r="BE2702" s="33" t="n">
        <f aca="false">AZ2702-BD2702</f>
        <v>0</v>
      </c>
      <c r="BF2702" s="34" t="n">
        <f aca="false">BD2702*M2702</f>
        <v>4945.75</v>
      </c>
      <c r="BG2702" s="35" t="n">
        <f aca="false">BA2702-BF2702</f>
        <v>0.25</v>
      </c>
      <c r="BH2702" s="19" t="str">
        <f aca="false">IF(BG2702=0,"",IF(BG2702&lt;&gt;BA2702,"erreur de calcul",IF(BD2702&lt;&gt;0,"pas de prix",IF(M2702&lt;&gt; 0,"pas de quantité","pas de prix, ni de quantité"))))</f>
        <v>erreur de calcul</v>
      </c>
      <c r="BI2702" s="19"/>
    </row>
    <row r="2703" customFormat="false" ht="15" hidden="false" customHeight="false" outlineLevel="0" collapsed="false">
      <c r="A2703" s="0" t="n">
        <v>36</v>
      </c>
      <c r="B2703" s="8" t="s">
        <v>24</v>
      </c>
      <c r="C2703" s="9" t="s">
        <v>25</v>
      </c>
      <c r="D2703" s="9" t="s">
        <v>26</v>
      </c>
      <c r="E2703" s="10" t="n">
        <v>1789</v>
      </c>
      <c r="F2703" s="9" t="s">
        <v>27</v>
      </c>
      <c r="G2703" s="9" t="s">
        <v>27</v>
      </c>
      <c r="H2703" s="11" t="n">
        <v>24</v>
      </c>
      <c r="I2703" s="11" t="s">
        <v>326</v>
      </c>
      <c r="J2703" s="14"/>
      <c r="K2703" s="14"/>
      <c r="L2703" s="16"/>
      <c r="M2703" s="27" t="n">
        <f aca="false">J2703+(K2703/20)+(L2703/240)</f>
        <v>0</v>
      </c>
      <c r="N2703" s="17"/>
      <c r="O2703" s="11" t="s">
        <v>77</v>
      </c>
      <c r="P2703" s="28"/>
      <c r="Q2703" s="28" t="n">
        <v>84</v>
      </c>
      <c r="R2703" s="28"/>
      <c r="S2703" s="28" t="n">
        <v>80</v>
      </c>
      <c r="T2703" s="28"/>
      <c r="U2703" s="28" t="n">
        <v>115</v>
      </c>
      <c r="V2703" s="28"/>
      <c r="W2703" s="28" t="n">
        <f aca="false">V2703*$M2703</f>
        <v>0</v>
      </c>
      <c r="X2703" s="28"/>
      <c r="Y2703" s="28" t="n">
        <v>82</v>
      </c>
      <c r="Z2703" s="28"/>
      <c r="AA2703" s="28" t="n">
        <v>32</v>
      </c>
      <c r="AB2703" s="28"/>
      <c r="AC2703" s="28" t="n">
        <v>82</v>
      </c>
      <c r="AD2703" s="28"/>
      <c r="AE2703" s="28" t="n">
        <f aca="false">AD2703*$M2703</f>
        <v>0</v>
      </c>
      <c r="AF2703" s="28"/>
      <c r="AG2703" s="28" t="n">
        <v>129</v>
      </c>
      <c r="AH2703" s="28"/>
      <c r="AI2703" s="28" t="n">
        <f aca="false">AH2703*$M2703</f>
        <v>0</v>
      </c>
      <c r="AJ2703" s="28"/>
      <c r="AK2703" s="28" t="n">
        <v>79</v>
      </c>
      <c r="AL2703" s="28"/>
      <c r="AM2703" s="28" t="n">
        <v>106</v>
      </c>
      <c r="AN2703" s="28"/>
      <c r="AO2703" s="28" t="n">
        <f aca="false">AN2703*$M2703</f>
        <v>0</v>
      </c>
      <c r="AP2703" s="28"/>
      <c r="AQ2703" s="28" t="n">
        <f aca="false">AP2703*$M2703</f>
        <v>0</v>
      </c>
      <c r="AR2703" s="28"/>
      <c r="AS2703" s="28" t="n">
        <f aca="false">AR2703*$M2703</f>
        <v>0</v>
      </c>
      <c r="AT2703" s="28"/>
      <c r="AU2703" s="28" t="n">
        <f aca="false">AT2703*$M2703</f>
        <v>0</v>
      </c>
      <c r="AV2703" s="28"/>
      <c r="AW2703" s="28" t="n">
        <f aca="false">AV2703*$M2703</f>
        <v>0</v>
      </c>
      <c r="AX2703" s="28"/>
      <c r="AY2703" s="28" t="n">
        <f aca="false">AX2703*$M2703</f>
        <v>0</v>
      </c>
      <c r="AZ2703" s="30"/>
      <c r="BA2703" s="11" t="n">
        <v>789</v>
      </c>
      <c r="BB2703" s="31" t="n">
        <f aca="false">SUM(Q2703,S2703,U2703,W2703,Y2703,AA2703,AC2703,AE2703,AG2703,AI2703,AK2703,AM2703,AO2703,AQ2703,AS2703,AU2703,AW2703,AY2703)</f>
        <v>789</v>
      </c>
      <c r="BC2703" s="28" t="n">
        <f aca="false">BA2703-BB2703</f>
        <v>0</v>
      </c>
      <c r="BD2703" s="32" t="n">
        <f aca="false">SUM(P2703,R2703,T2703,V2703,X2703,Z2703,AB2703,AD2703,AF2703,AH2703,AJ2703,AL2703,AN2703,AP2703,AR2703,AT2703,AV2703,AX2703)</f>
        <v>0</v>
      </c>
      <c r="BE2703" s="33" t="n">
        <f aca="false">AZ2703-BD2703</f>
        <v>0</v>
      </c>
      <c r="BF2703" s="34" t="n">
        <f aca="false">BD2703*M2703</f>
        <v>0</v>
      </c>
      <c r="BG2703" s="35" t="n">
        <f aca="false">BA2703-BF2703</f>
        <v>789</v>
      </c>
      <c r="BH2703" s="19" t="str">
        <f aca="false">IF(BG2703=0,"",IF(BG2703&lt;&gt;BA2703,"erreur de calcul",IF(BD2703&lt;&gt;0,"pas de prix",IF(M2703&lt;&gt; 0,"pas de quantité","pas de prix, ni de quantité"))))</f>
        <v>pas de prix, ni de quantité</v>
      </c>
      <c r="BI2703" s="19"/>
    </row>
    <row r="2704" customFormat="false" ht="15" hidden="false" customHeight="false" outlineLevel="0" collapsed="false">
      <c r="A2704" s="0" t="n">
        <v>37</v>
      </c>
      <c r="B2704" s="8" t="s">
        <v>24</v>
      </c>
      <c r="C2704" s="9" t="s">
        <v>25</v>
      </c>
      <c r="D2704" s="9" t="s">
        <v>26</v>
      </c>
      <c r="E2704" s="10" t="n">
        <v>1789</v>
      </c>
      <c r="F2704" s="9" t="s">
        <v>27</v>
      </c>
      <c r="G2704" s="9" t="s">
        <v>27</v>
      </c>
      <c r="H2704" s="11" t="n">
        <v>24</v>
      </c>
      <c r="I2704" s="11" t="s">
        <v>327</v>
      </c>
      <c r="J2704" s="14"/>
      <c r="K2704" s="14" t="n">
        <v>20</v>
      </c>
      <c r="L2704" s="16"/>
      <c r="M2704" s="27" t="n">
        <f aca="false">J2704+(K2704/20)+(L2704/240)</f>
        <v>1</v>
      </c>
      <c r="N2704" s="17" t="s">
        <v>66</v>
      </c>
      <c r="O2704" s="11"/>
      <c r="P2704" s="28"/>
      <c r="Q2704" s="28" t="n">
        <f aca="false">P2704*$M2704</f>
        <v>0</v>
      </c>
      <c r="R2704" s="28"/>
      <c r="S2704" s="28" t="n">
        <f aca="false">R2704*$M2704</f>
        <v>0</v>
      </c>
      <c r="T2704" s="28"/>
      <c r="U2704" s="28" t="n">
        <f aca="false">T2704*$M2704</f>
        <v>0</v>
      </c>
      <c r="V2704" s="28" t="n">
        <v>1705</v>
      </c>
      <c r="W2704" s="28" t="n">
        <v>1705</v>
      </c>
      <c r="X2704" s="28"/>
      <c r="Y2704" s="28" t="n">
        <f aca="false">X2704*$M2704</f>
        <v>0</v>
      </c>
      <c r="Z2704" s="28"/>
      <c r="AA2704" s="28" t="n">
        <f aca="false">Z2704*$M2704</f>
        <v>0</v>
      </c>
      <c r="AB2704" s="28" t="n">
        <v>226</v>
      </c>
      <c r="AC2704" s="28" t="n">
        <v>226</v>
      </c>
      <c r="AD2704" s="28"/>
      <c r="AE2704" s="28" t="n">
        <f aca="false">AD2704*$M2704</f>
        <v>0</v>
      </c>
      <c r="AF2704" s="28"/>
      <c r="AG2704" s="28" t="n">
        <f aca="false">AF2704*$M2704</f>
        <v>0</v>
      </c>
      <c r="AH2704" s="28"/>
      <c r="AI2704" s="28" t="n">
        <f aca="false">AH2704*$M2704</f>
        <v>0</v>
      </c>
      <c r="AJ2704" s="28"/>
      <c r="AK2704" s="28" t="n">
        <f aca="false">AJ2704*$M2704</f>
        <v>0</v>
      </c>
      <c r="AL2704" s="28"/>
      <c r="AM2704" s="28" t="n">
        <f aca="false">AL2704*$M2704</f>
        <v>0</v>
      </c>
      <c r="AN2704" s="28"/>
      <c r="AO2704" s="28" t="n">
        <f aca="false">AN2704*$M2704</f>
        <v>0</v>
      </c>
      <c r="AP2704" s="28"/>
      <c r="AQ2704" s="28" t="n">
        <f aca="false">AP2704*$M2704</f>
        <v>0</v>
      </c>
      <c r="AR2704" s="28"/>
      <c r="AS2704" s="28" t="n">
        <f aca="false">AR2704*$M2704</f>
        <v>0</v>
      </c>
      <c r="AT2704" s="28"/>
      <c r="AU2704" s="28" t="n">
        <f aca="false">AT2704*$M2704</f>
        <v>0</v>
      </c>
      <c r="AV2704" s="28"/>
      <c r="AW2704" s="28" t="n">
        <f aca="false">AV2704*$M2704</f>
        <v>0</v>
      </c>
      <c r="AX2704" s="28"/>
      <c r="AY2704" s="28" t="n">
        <f aca="false">AX2704*$M2704</f>
        <v>0</v>
      </c>
      <c r="AZ2704" s="30" t="n">
        <v>1931</v>
      </c>
      <c r="BA2704" s="11" t="n">
        <v>1931</v>
      </c>
      <c r="BB2704" s="31" t="n">
        <f aca="false">SUM(Q2704,S2704,U2704,W2704,Y2704,AA2704,AC2704,AE2704,AG2704,AI2704,AK2704,AM2704,AO2704,AQ2704,AS2704,AU2704,AW2704,AY2704)</f>
        <v>1931</v>
      </c>
      <c r="BC2704" s="28" t="n">
        <f aca="false">BA2704-BB2704</f>
        <v>0</v>
      </c>
      <c r="BD2704" s="32" t="n">
        <f aca="false">SUM(P2704,R2704,T2704,V2704,X2704,Z2704,AB2704,AD2704,AF2704,AH2704,AJ2704,AL2704,AN2704,AP2704,AR2704,AT2704,AV2704,AX2704)</f>
        <v>1931</v>
      </c>
      <c r="BE2704" s="33" t="n">
        <f aca="false">AZ2704-BD2704</f>
        <v>0</v>
      </c>
      <c r="BF2704" s="34" t="n">
        <f aca="false">BD2704*M2704</f>
        <v>1931</v>
      </c>
      <c r="BG2704" s="35" t="n">
        <f aca="false">BA2704-BF2704</f>
        <v>0</v>
      </c>
      <c r="BH2704" s="19" t="str">
        <f aca="false">IF(BG2704=0,"",IF(BG2704&lt;&gt;BA2704,"erreur de calcul",IF(BD2704&lt;&gt;0,"pas de prix",IF(M2704&lt;&gt; 0,"pas de quantité","pas de prix, ni de quantité"))))</f>
        <v/>
      </c>
      <c r="BI2704" s="19"/>
    </row>
    <row r="2705" customFormat="false" ht="15" hidden="false" customHeight="false" outlineLevel="0" collapsed="false">
      <c r="A2705" s="0" t="n">
        <v>38</v>
      </c>
      <c r="B2705" s="8" t="s">
        <v>24</v>
      </c>
      <c r="C2705" s="9" t="s">
        <v>25</v>
      </c>
      <c r="D2705" s="9" t="s">
        <v>26</v>
      </c>
      <c r="E2705" s="10" t="n">
        <v>1789</v>
      </c>
      <c r="F2705" s="9" t="s">
        <v>27</v>
      </c>
      <c r="G2705" s="9" t="s">
        <v>27</v>
      </c>
      <c r="H2705" s="11" t="n">
        <v>24</v>
      </c>
      <c r="I2705" s="11" t="s">
        <v>328</v>
      </c>
      <c r="J2705" s="14" t="n">
        <v>208</v>
      </c>
      <c r="K2705" s="14"/>
      <c r="L2705" s="16"/>
      <c r="M2705" s="27" t="n">
        <f aca="false">J2705+(K2705/20)+(L2705/240)</f>
        <v>208</v>
      </c>
      <c r="N2705" s="17" t="s">
        <v>64</v>
      </c>
      <c r="O2705" s="11" t="s">
        <v>277</v>
      </c>
      <c r="P2705" s="28"/>
      <c r="Q2705" s="28" t="n">
        <f aca="false">P2705*$M2705</f>
        <v>0</v>
      </c>
      <c r="R2705" s="28"/>
      <c r="S2705" s="28" t="n">
        <f aca="false">R2705*$M2705</f>
        <v>0</v>
      </c>
      <c r="T2705" s="28" t="n">
        <f aca="false">536/100</f>
        <v>5.36</v>
      </c>
      <c r="U2705" s="28" t="n">
        <v>1115</v>
      </c>
      <c r="V2705" s="28" t="n">
        <f aca="false">1983/100</f>
        <v>19.83</v>
      </c>
      <c r="W2705" s="28" t="n">
        <v>4125</v>
      </c>
      <c r="X2705" s="28" t="n">
        <f aca="false">37641/100</f>
        <v>376.41</v>
      </c>
      <c r="Y2705" s="28" t="n">
        <v>78293</v>
      </c>
      <c r="Z2705" s="28" t="n">
        <f aca="false">1281/100</f>
        <v>12.81</v>
      </c>
      <c r="AA2705" s="28" t="n">
        <v>2664</v>
      </c>
      <c r="AB2705" s="28"/>
      <c r="AC2705" s="28" t="n">
        <f aca="false">AB2705*$M2705</f>
        <v>0</v>
      </c>
      <c r="AD2705" s="28"/>
      <c r="AE2705" s="28" t="n">
        <f aca="false">AD2705*$M2705</f>
        <v>0</v>
      </c>
      <c r="AF2705" s="28"/>
      <c r="AG2705" s="28" t="n">
        <f aca="false">AF2705*$M2705</f>
        <v>0</v>
      </c>
      <c r="AH2705" s="28"/>
      <c r="AI2705" s="28" t="n">
        <f aca="false">AH2705*$M2705</f>
        <v>0</v>
      </c>
      <c r="AJ2705" s="28" t="n">
        <f aca="false">20789/100</f>
        <v>207.89</v>
      </c>
      <c r="AK2705" s="28" t="n">
        <v>43241</v>
      </c>
      <c r="AL2705" s="28" t="n">
        <f aca="false">2470/100</f>
        <v>24.7</v>
      </c>
      <c r="AM2705" s="28" t="n">
        <v>5138</v>
      </c>
      <c r="AN2705" s="28"/>
      <c r="AO2705" s="28" t="n">
        <f aca="false">AN2705*$M2705</f>
        <v>0</v>
      </c>
      <c r="AP2705" s="28"/>
      <c r="AQ2705" s="28" t="n">
        <f aca="false">AP2705*$M2705</f>
        <v>0</v>
      </c>
      <c r="AR2705" s="28"/>
      <c r="AS2705" s="28" t="n">
        <f aca="false">AR2705*$M2705</f>
        <v>0</v>
      </c>
      <c r="AT2705" s="28"/>
      <c r="AU2705" s="28" t="n">
        <f aca="false">AT2705*$M2705</f>
        <v>0</v>
      </c>
      <c r="AV2705" s="28"/>
      <c r="AW2705" s="28" t="n">
        <f aca="false">AV2705*$M2705</f>
        <v>0</v>
      </c>
      <c r="AX2705" s="28"/>
      <c r="AY2705" s="28" t="n">
        <f aca="false">AX2705*$M2705</f>
        <v>0</v>
      </c>
      <c r="AZ2705" s="30" t="n">
        <f aca="false">64700/100</f>
        <v>647</v>
      </c>
      <c r="BA2705" s="11" t="n">
        <v>134576</v>
      </c>
      <c r="BB2705" s="31" t="n">
        <f aca="false">SUM(Q2705,S2705,U2705,W2705,Y2705,AA2705,AC2705,AE2705,AG2705,AI2705,AK2705,AM2705,AO2705,AQ2705,AS2705,AU2705,AW2705,AY2705)</f>
        <v>134576</v>
      </c>
      <c r="BC2705" s="28" t="n">
        <f aca="false">BA2705-BB2705</f>
        <v>0</v>
      </c>
      <c r="BD2705" s="32" t="n">
        <f aca="false">SUM(P2705,R2705,T2705,V2705,X2705,Z2705,AB2705,AD2705,AF2705,AH2705,AJ2705,AL2705,AN2705,AP2705,AR2705,AT2705,AV2705,AX2705)</f>
        <v>647</v>
      </c>
      <c r="BE2705" s="33" t="n">
        <f aca="false">AZ2705-BD2705</f>
        <v>0</v>
      </c>
      <c r="BF2705" s="34" t="n">
        <f aca="false">BD2705*M2705</f>
        <v>134576</v>
      </c>
      <c r="BG2705" s="35" t="n">
        <f aca="false">BA2705-BF2705</f>
        <v>0</v>
      </c>
      <c r="BH2705" s="19" t="str">
        <f aca="false">IF(BG2705=0,"",IF(BG2705&lt;&gt;BA2705,"erreur de calcul",IF(BD2705&lt;&gt;0,"pas de prix",IF(M2705&lt;&gt; 0,"pas de quantité","pas de prix, ni de quantité"))))</f>
        <v/>
      </c>
      <c r="BI2705" s="19"/>
    </row>
    <row r="2706" customFormat="false" ht="15" hidden="false" customHeight="false" outlineLevel="0" collapsed="false">
      <c r="A2706" s="0" t="n">
        <v>1</v>
      </c>
      <c r="B2706" s="8" t="s">
        <v>24</v>
      </c>
      <c r="C2706" s="9" t="s">
        <v>25</v>
      </c>
      <c r="D2706" s="9" t="s">
        <v>26</v>
      </c>
      <c r="E2706" s="10" t="n">
        <v>1789</v>
      </c>
      <c r="F2706" s="9" t="s">
        <v>27</v>
      </c>
      <c r="G2706" s="9" t="s">
        <v>27</v>
      </c>
      <c r="H2706" s="11" t="n">
        <v>25</v>
      </c>
      <c r="I2706" s="11" t="s">
        <v>329</v>
      </c>
      <c r="J2706" s="14" t="n">
        <v>30</v>
      </c>
      <c r="K2706" s="14"/>
      <c r="L2706" s="16"/>
      <c r="M2706" s="27" t="n">
        <f aca="false">J2706+(K2706/20)+(L2706/240)</f>
        <v>30</v>
      </c>
      <c r="N2706" s="17" t="s">
        <v>64</v>
      </c>
      <c r="O2706" s="11"/>
      <c r="P2706" s="28" t="n">
        <f aca="false">888/100</f>
        <v>8.88</v>
      </c>
      <c r="Q2706" s="28" t="n">
        <v>266</v>
      </c>
      <c r="R2706" s="28"/>
      <c r="S2706" s="28" t="n">
        <f aca="false">R2706*$M2706</f>
        <v>0</v>
      </c>
      <c r="T2706" s="28" t="n">
        <f aca="false">1151/100</f>
        <v>11.51</v>
      </c>
      <c r="U2706" s="28" t="n">
        <v>345</v>
      </c>
      <c r="V2706" s="28"/>
      <c r="W2706" s="28" t="n">
        <f aca="false">V2706*$M2706</f>
        <v>0</v>
      </c>
      <c r="X2706" s="28"/>
      <c r="Y2706" s="28" t="n">
        <f aca="false">X2706*$M2706</f>
        <v>0</v>
      </c>
      <c r="Z2706" s="28"/>
      <c r="AA2706" s="28" t="n">
        <f aca="false">Z2706*$M2706</f>
        <v>0</v>
      </c>
      <c r="AB2706" s="28"/>
      <c r="AC2706" s="28" t="n">
        <f aca="false">AB2706*$M2706</f>
        <v>0</v>
      </c>
      <c r="AD2706" s="28"/>
      <c r="AE2706" s="28" t="n">
        <f aca="false">AD2706*$M2706</f>
        <v>0</v>
      </c>
      <c r="AF2706" s="28"/>
      <c r="AG2706" s="28" t="n">
        <f aca="false">AF2706*$M2706</f>
        <v>0</v>
      </c>
      <c r="AH2706" s="28"/>
      <c r="AI2706" s="28" t="n">
        <f aca="false">AH2706*$M2706</f>
        <v>0</v>
      </c>
      <c r="AJ2706" s="28"/>
      <c r="AK2706" s="28" t="n">
        <f aca="false">AJ2706*$M2706</f>
        <v>0</v>
      </c>
      <c r="AL2706" s="28"/>
      <c r="AM2706" s="28" t="n">
        <f aca="false">AL2706*$M2706</f>
        <v>0</v>
      </c>
      <c r="AN2706" s="28"/>
      <c r="AO2706" s="28" t="n">
        <f aca="false">AN2706*$M2706</f>
        <v>0</v>
      </c>
      <c r="AP2706" s="28"/>
      <c r="AQ2706" s="28" t="n">
        <f aca="false">AP2706*$M2706</f>
        <v>0</v>
      </c>
      <c r="AR2706" s="28"/>
      <c r="AS2706" s="28" t="n">
        <f aca="false">AR2706*$M2706</f>
        <v>0</v>
      </c>
      <c r="AT2706" s="28"/>
      <c r="AU2706" s="28" t="n">
        <f aca="false">AT2706*$M2706</f>
        <v>0</v>
      </c>
      <c r="AV2706" s="28"/>
      <c r="AW2706" s="28" t="n">
        <f aca="false">AV2706*$M2706</f>
        <v>0</v>
      </c>
      <c r="AX2706" s="28"/>
      <c r="AY2706" s="28" t="n">
        <f aca="false">AX2706*$M2706</f>
        <v>0</v>
      </c>
      <c r="AZ2706" s="30" t="n">
        <f aca="false">2039/100</f>
        <v>20.39</v>
      </c>
      <c r="BA2706" s="11" t="n">
        <v>611</v>
      </c>
      <c r="BB2706" s="31" t="n">
        <f aca="false">SUM(Q2706,S2706,U2706,W2706,Y2706,AA2706,AC2706,AE2706,AG2706,AI2706,AK2706,AM2706,AO2706,AQ2706,AS2706,AU2706,AW2706,AY2706)</f>
        <v>611</v>
      </c>
      <c r="BC2706" s="28" t="n">
        <f aca="false">BA2706-BB2706</f>
        <v>0</v>
      </c>
      <c r="BD2706" s="32" t="n">
        <f aca="false">SUM(P2706,R2706,T2706,V2706,X2706,Z2706,AB2706,AD2706,AF2706,AH2706,AJ2706,AL2706,AN2706,AP2706,AR2706,AT2706,AV2706,AX2706)</f>
        <v>20.39</v>
      </c>
      <c r="BE2706" s="33" t="n">
        <f aca="false">AZ2706-BD2706</f>
        <v>0</v>
      </c>
      <c r="BF2706" s="34" t="n">
        <f aca="false">BD2706*M2706</f>
        <v>611.7</v>
      </c>
      <c r="BG2706" s="35" t="n">
        <f aca="false">BA2706-BF2706</f>
        <v>-0.700000000000046</v>
      </c>
      <c r="BH2706" s="19" t="str">
        <f aca="false">IF(BG2706=0,"",IF(BG2706&lt;&gt;BA2706,"erreur de calcul",IF(BD2706&lt;&gt;0,"pas de prix",IF(M2706&lt;&gt; 0,"pas de quantité","pas de prix, ni de quantité"))))</f>
        <v>erreur de calcul</v>
      </c>
      <c r="BI2706" s="19"/>
    </row>
    <row r="2707" customFormat="false" ht="15" hidden="false" customHeight="false" outlineLevel="0" collapsed="false">
      <c r="A2707" s="0" t="n">
        <v>2</v>
      </c>
      <c r="B2707" s="8" t="s">
        <v>24</v>
      </c>
      <c r="C2707" s="9" t="s">
        <v>25</v>
      </c>
      <c r="D2707" s="9" t="s">
        <v>26</v>
      </c>
      <c r="E2707" s="10" t="n">
        <v>1789</v>
      </c>
      <c r="F2707" s="9" t="s">
        <v>27</v>
      </c>
      <c r="G2707" s="9" t="s">
        <v>27</v>
      </c>
      <c r="H2707" s="11" t="n">
        <v>25</v>
      </c>
      <c r="I2707" s="11" t="s">
        <v>330</v>
      </c>
      <c r="J2707" s="14"/>
      <c r="K2707" s="14" t="n">
        <v>20</v>
      </c>
      <c r="L2707" s="16"/>
      <c r="M2707" s="27" t="n">
        <f aca="false">J2707+(K2707/20)+(L2707/240)</f>
        <v>1</v>
      </c>
      <c r="N2707" s="17" t="s">
        <v>66</v>
      </c>
      <c r="O2707" s="11"/>
      <c r="P2707" s="28"/>
      <c r="Q2707" s="28" t="n">
        <f aca="false">P2707*$M2707</f>
        <v>0</v>
      </c>
      <c r="R2707" s="28"/>
      <c r="S2707" s="28" t="n">
        <f aca="false">R2707*$M2707</f>
        <v>0</v>
      </c>
      <c r="T2707" s="28"/>
      <c r="U2707" s="28" t="n">
        <f aca="false">T2707*$M2707</f>
        <v>0</v>
      </c>
      <c r="V2707" s="28"/>
      <c r="W2707" s="28" t="n">
        <f aca="false">V2707*$M2707</f>
        <v>0</v>
      </c>
      <c r="X2707" s="28"/>
      <c r="Y2707" s="28" t="n">
        <f aca="false">X2707*$M2707</f>
        <v>0</v>
      </c>
      <c r="Z2707" s="28"/>
      <c r="AA2707" s="28" t="n">
        <f aca="false">Z2707*$M2707</f>
        <v>0</v>
      </c>
      <c r="AB2707" s="28"/>
      <c r="AC2707" s="28" t="n">
        <f aca="false">AB2707*$M2707</f>
        <v>0</v>
      </c>
      <c r="AD2707" s="28"/>
      <c r="AE2707" s="28" t="n">
        <f aca="false">AD2707*$M2707</f>
        <v>0</v>
      </c>
      <c r="AF2707" s="28"/>
      <c r="AG2707" s="28" t="n">
        <f aca="false">AF2707*$M2707</f>
        <v>0</v>
      </c>
      <c r="AH2707" s="28"/>
      <c r="AI2707" s="28" t="n">
        <f aca="false">AH2707*$M2707</f>
        <v>0</v>
      </c>
      <c r="AJ2707" s="28" t="n">
        <v>4241</v>
      </c>
      <c r="AK2707" s="28" t="n">
        <v>4241</v>
      </c>
      <c r="AL2707" s="28"/>
      <c r="AM2707" s="28" t="n">
        <f aca="false">AL2707*$M2707</f>
        <v>0</v>
      </c>
      <c r="AN2707" s="28"/>
      <c r="AO2707" s="28" t="n">
        <f aca="false">AN2707*$M2707</f>
        <v>0</v>
      </c>
      <c r="AP2707" s="28"/>
      <c r="AQ2707" s="28" t="n">
        <f aca="false">AP2707*$M2707</f>
        <v>0</v>
      </c>
      <c r="AR2707" s="28"/>
      <c r="AS2707" s="28" t="n">
        <f aca="false">AR2707*$M2707</f>
        <v>0</v>
      </c>
      <c r="AT2707" s="28"/>
      <c r="AU2707" s="28" t="n">
        <f aca="false">AT2707*$M2707</f>
        <v>0</v>
      </c>
      <c r="AV2707" s="28"/>
      <c r="AW2707" s="28" t="n">
        <f aca="false">AV2707*$M2707</f>
        <v>0</v>
      </c>
      <c r="AX2707" s="28"/>
      <c r="AY2707" s="28" t="n">
        <f aca="false">AX2707*$M2707</f>
        <v>0</v>
      </c>
      <c r="AZ2707" s="30" t="n">
        <v>4241</v>
      </c>
      <c r="BA2707" s="11" t="n">
        <v>4241</v>
      </c>
      <c r="BB2707" s="31" t="n">
        <f aca="false">SUM(Q2707,S2707,U2707,W2707,Y2707,AA2707,AC2707,AE2707,AG2707,AI2707,AK2707,AM2707,AO2707,AQ2707,AS2707,AU2707,AW2707,AY2707)</f>
        <v>4241</v>
      </c>
      <c r="BC2707" s="28" t="n">
        <f aca="false">BA2707-BB2707</f>
        <v>0</v>
      </c>
      <c r="BD2707" s="32" t="n">
        <f aca="false">SUM(P2707,R2707,T2707,V2707,X2707,Z2707,AB2707,AD2707,AF2707,AH2707,AJ2707,AL2707,AN2707,AP2707,AR2707,AT2707,AV2707,AX2707)</f>
        <v>4241</v>
      </c>
      <c r="BE2707" s="33" t="n">
        <f aca="false">AZ2707-BD2707</f>
        <v>0</v>
      </c>
      <c r="BF2707" s="34" t="n">
        <f aca="false">BD2707*M2707</f>
        <v>4241</v>
      </c>
      <c r="BG2707" s="35" t="n">
        <f aca="false">BA2707-BF2707</f>
        <v>0</v>
      </c>
      <c r="BH2707" s="19" t="str">
        <f aca="false">IF(BG2707=0,"",IF(BG2707&lt;&gt;BA2707,"erreur de calcul",IF(BD2707&lt;&gt;0,"pas de prix",IF(M2707&lt;&gt; 0,"pas de quantité","pas de prix, ni de quantité"))))</f>
        <v/>
      </c>
      <c r="BI2707" s="19"/>
    </row>
    <row r="2708" customFormat="false" ht="15" hidden="false" customHeight="false" outlineLevel="0" collapsed="false">
      <c r="A2708" s="0" t="n">
        <v>3</v>
      </c>
      <c r="B2708" s="8" t="s">
        <v>24</v>
      </c>
      <c r="C2708" s="9" t="s">
        <v>25</v>
      </c>
      <c r="D2708" s="9" t="s">
        <v>26</v>
      </c>
      <c r="E2708" s="10" t="n">
        <v>1789</v>
      </c>
      <c r="F2708" s="9" t="s">
        <v>27</v>
      </c>
      <c r="G2708" s="9" t="s">
        <v>27</v>
      </c>
      <c r="H2708" s="11" t="n">
        <v>25</v>
      </c>
      <c r="I2708" s="11" t="s">
        <v>331</v>
      </c>
      <c r="J2708" s="14" t="n">
        <v>18</v>
      </c>
      <c r="K2708" s="14"/>
      <c r="L2708" s="16"/>
      <c r="M2708" s="27" t="n">
        <f aca="false">J2708+(K2708/20)+(L2708/240)</f>
        <v>18</v>
      </c>
      <c r="N2708" s="17" t="s">
        <v>66</v>
      </c>
      <c r="O2708" s="11" t="s">
        <v>98</v>
      </c>
      <c r="P2708" s="28"/>
      <c r="Q2708" s="28" t="n">
        <f aca="false">P2708*$M2708</f>
        <v>0</v>
      </c>
      <c r="R2708" s="28"/>
      <c r="S2708" s="28" t="n">
        <f aca="false">R2708*$M2708</f>
        <v>0</v>
      </c>
      <c r="T2708" s="28"/>
      <c r="U2708" s="28" t="n">
        <f aca="false">T2708*$M2708</f>
        <v>0</v>
      </c>
      <c r="V2708" s="28"/>
      <c r="W2708" s="28" t="n">
        <f aca="false">V2708*$M2708</f>
        <v>0</v>
      </c>
      <c r="X2708" s="28"/>
      <c r="Y2708" s="28" t="n">
        <f aca="false">X2708*$M2708</f>
        <v>0</v>
      </c>
      <c r="Z2708" s="28"/>
      <c r="AA2708" s="28" t="n">
        <f aca="false">Z2708*$M2708</f>
        <v>0</v>
      </c>
      <c r="AB2708" s="28"/>
      <c r="AC2708" s="28" t="n">
        <f aca="false">AB2708*$M2708</f>
        <v>0</v>
      </c>
      <c r="AD2708" s="28"/>
      <c r="AE2708" s="28" t="n">
        <f aca="false">AD2708*$M2708</f>
        <v>0</v>
      </c>
      <c r="AF2708" s="28"/>
      <c r="AG2708" s="28" t="n">
        <f aca="false">AF2708*$M2708</f>
        <v>0</v>
      </c>
      <c r="AH2708" s="28"/>
      <c r="AI2708" s="28" t="n">
        <f aca="false">AH2708*$M2708</f>
        <v>0</v>
      </c>
      <c r="AJ2708" s="28"/>
      <c r="AK2708" s="28" t="n">
        <f aca="false">AJ2708*$M2708</f>
        <v>0</v>
      </c>
      <c r="AL2708" s="28"/>
      <c r="AM2708" s="28" t="n">
        <f aca="false">AL2708*$M2708</f>
        <v>0</v>
      </c>
      <c r="AN2708" s="28"/>
      <c r="AO2708" s="28" t="n">
        <f aca="false">AN2708*$M2708</f>
        <v>0</v>
      </c>
      <c r="AP2708" s="28"/>
      <c r="AQ2708" s="28" t="n">
        <f aca="false">AP2708*$M2708</f>
        <v>0</v>
      </c>
      <c r="AR2708" s="28"/>
      <c r="AS2708" s="28" t="n">
        <f aca="false">AR2708*$M2708</f>
        <v>0</v>
      </c>
      <c r="AT2708" s="28"/>
      <c r="AU2708" s="28" t="n">
        <f aca="false">AT2708*$M2708</f>
        <v>0</v>
      </c>
      <c r="AV2708" s="28"/>
      <c r="AW2708" s="28" t="n">
        <f aca="false">AV2708*$M2708</f>
        <v>0</v>
      </c>
      <c r="AX2708" s="28"/>
      <c r="AY2708" s="28" t="n">
        <f aca="false">AX2708*$M2708</f>
        <v>0</v>
      </c>
      <c r="AZ2708" s="30"/>
      <c r="BA2708" s="11"/>
      <c r="BB2708" s="31" t="n">
        <f aca="false">SUM(Q2708,S2708,U2708,W2708,Y2708,AA2708,AC2708,AE2708,AG2708,AI2708,AK2708,AM2708,AO2708,AQ2708,AS2708,AU2708,AW2708,AY2708)</f>
        <v>0</v>
      </c>
      <c r="BC2708" s="28" t="n">
        <f aca="false">BA2708-BB2708</f>
        <v>0</v>
      </c>
      <c r="BD2708" s="32" t="n">
        <f aca="false">SUM(P2708,R2708,T2708,V2708,X2708,Z2708,AB2708,AD2708,AF2708,AH2708,AJ2708,AL2708,AN2708,AP2708,AR2708,AT2708,AV2708,AX2708)</f>
        <v>0</v>
      </c>
      <c r="BE2708" s="33" t="n">
        <f aca="false">AZ2708-BD2708</f>
        <v>0</v>
      </c>
      <c r="BF2708" s="34" t="n">
        <f aca="false">BD2708*M2708</f>
        <v>0</v>
      </c>
      <c r="BG2708" s="35" t="n">
        <f aca="false">BA2708-BF2708</f>
        <v>0</v>
      </c>
      <c r="BH2708" s="19" t="str">
        <f aca="false">IF(BG2708=0,"",IF(BG2708&lt;&gt;BA2708,"erreur de calcul",IF(BD2708&lt;&gt;0,"pas de prix",IF(M2708&lt;&gt; 0,"pas de quantité","pas de prix, ni de quantité"))))</f>
        <v/>
      </c>
      <c r="BI2708" s="19"/>
    </row>
    <row r="2709" customFormat="false" ht="15" hidden="false" customHeight="false" outlineLevel="0" collapsed="false">
      <c r="A2709" s="0" t="n">
        <v>4</v>
      </c>
      <c r="B2709" s="8" t="s">
        <v>24</v>
      </c>
      <c r="C2709" s="9" t="s">
        <v>25</v>
      </c>
      <c r="D2709" s="9" t="s">
        <v>26</v>
      </c>
      <c r="E2709" s="10" t="n">
        <v>1789</v>
      </c>
      <c r="F2709" s="9" t="s">
        <v>27</v>
      </c>
      <c r="G2709" s="9" t="s">
        <v>27</v>
      </c>
      <c r="H2709" s="11" t="n">
        <v>25</v>
      </c>
      <c r="I2709" s="11" t="s">
        <v>332</v>
      </c>
      <c r="J2709" s="14" t="n">
        <v>18</v>
      </c>
      <c r="K2709" s="14"/>
      <c r="L2709" s="16"/>
      <c r="M2709" s="27" t="n">
        <f aca="false">J2709+(K2709/20)+(L2709/240)</f>
        <v>18</v>
      </c>
      <c r="N2709" s="17" t="s">
        <v>66</v>
      </c>
      <c r="O2709" s="11" t="s">
        <v>98</v>
      </c>
      <c r="P2709" s="28"/>
      <c r="Q2709" s="28" t="n">
        <f aca="false">P2709*$M2709</f>
        <v>0</v>
      </c>
      <c r="R2709" s="28"/>
      <c r="S2709" s="28" t="n">
        <f aca="false">R2709*$M2709</f>
        <v>0</v>
      </c>
      <c r="T2709" s="28"/>
      <c r="U2709" s="28" t="n">
        <f aca="false">T2709*$M2709</f>
        <v>0</v>
      </c>
      <c r="V2709" s="28"/>
      <c r="W2709" s="28" t="n">
        <f aca="false">V2709*$M2709</f>
        <v>0</v>
      </c>
      <c r="X2709" s="28"/>
      <c r="Y2709" s="28" t="n">
        <f aca="false">X2709*$M2709</f>
        <v>0</v>
      </c>
      <c r="Z2709" s="28"/>
      <c r="AA2709" s="28" t="n">
        <f aca="false">Z2709*$M2709</f>
        <v>0</v>
      </c>
      <c r="AB2709" s="28"/>
      <c r="AC2709" s="28" t="n">
        <f aca="false">AB2709*$M2709</f>
        <v>0</v>
      </c>
      <c r="AD2709" s="28"/>
      <c r="AE2709" s="28" t="n">
        <f aca="false">AD2709*$M2709</f>
        <v>0</v>
      </c>
      <c r="AF2709" s="28"/>
      <c r="AG2709" s="28" t="n">
        <f aca="false">AF2709*$M2709</f>
        <v>0</v>
      </c>
      <c r="AH2709" s="28"/>
      <c r="AI2709" s="28" t="n">
        <f aca="false">AH2709*$M2709</f>
        <v>0</v>
      </c>
      <c r="AJ2709" s="28"/>
      <c r="AK2709" s="28" t="n">
        <f aca="false">AJ2709*$M2709</f>
        <v>0</v>
      </c>
      <c r="AL2709" s="28"/>
      <c r="AM2709" s="28" t="n">
        <f aca="false">AL2709*$M2709</f>
        <v>0</v>
      </c>
      <c r="AN2709" s="28"/>
      <c r="AO2709" s="28" t="n">
        <f aca="false">AN2709*$M2709</f>
        <v>0</v>
      </c>
      <c r="AP2709" s="28"/>
      <c r="AQ2709" s="28" t="n">
        <f aca="false">AP2709*$M2709</f>
        <v>0</v>
      </c>
      <c r="AR2709" s="28"/>
      <c r="AS2709" s="28" t="n">
        <f aca="false">AR2709*$M2709</f>
        <v>0</v>
      </c>
      <c r="AT2709" s="28"/>
      <c r="AU2709" s="28" t="n">
        <f aca="false">AT2709*$M2709</f>
        <v>0</v>
      </c>
      <c r="AV2709" s="28"/>
      <c r="AW2709" s="28" t="n">
        <f aca="false">AV2709*$M2709</f>
        <v>0</v>
      </c>
      <c r="AX2709" s="28"/>
      <c r="AY2709" s="28" t="n">
        <f aca="false">AX2709*$M2709</f>
        <v>0</v>
      </c>
      <c r="AZ2709" s="30"/>
      <c r="BA2709" s="11"/>
      <c r="BB2709" s="31" t="n">
        <f aca="false">SUM(Q2709,S2709,U2709,W2709,Y2709,AA2709,AC2709,AE2709,AG2709,AI2709,AK2709,AM2709,AO2709,AQ2709,AS2709,AU2709,AW2709,AY2709)</f>
        <v>0</v>
      </c>
      <c r="BC2709" s="28" t="n">
        <f aca="false">BA2709-BB2709</f>
        <v>0</v>
      </c>
      <c r="BD2709" s="32" t="n">
        <f aca="false">SUM(P2709,R2709,T2709,V2709,X2709,Z2709,AB2709,AD2709,AF2709,AH2709,AJ2709,AL2709,AN2709,AP2709,AR2709,AT2709,AV2709,AX2709)</f>
        <v>0</v>
      </c>
      <c r="BE2709" s="33" t="n">
        <f aca="false">AZ2709-BD2709</f>
        <v>0</v>
      </c>
      <c r="BF2709" s="34" t="n">
        <f aca="false">BD2709*M2709</f>
        <v>0</v>
      </c>
      <c r="BG2709" s="35" t="n">
        <f aca="false">BA2709-BF2709</f>
        <v>0</v>
      </c>
      <c r="BH2709" s="19" t="str">
        <f aca="false">IF(BG2709=0,"",IF(BG2709&lt;&gt;BA2709,"erreur de calcul",IF(BD2709&lt;&gt;0,"pas de prix",IF(M2709&lt;&gt; 0,"pas de quantité","pas de prix, ni de quantité"))))</f>
        <v/>
      </c>
      <c r="BI2709" s="19"/>
    </row>
    <row r="2710" customFormat="false" ht="15" hidden="false" customHeight="false" outlineLevel="0" collapsed="false">
      <c r="A2710" s="0" t="n">
        <v>5</v>
      </c>
      <c r="B2710" s="8" t="s">
        <v>24</v>
      </c>
      <c r="C2710" s="9" t="s">
        <v>25</v>
      </c>
      <c r="D2710" s="9" t="s">
        <v>26</v>
      </c>
      <c r="E2710" s="10" t="n">
        <v>1789</v>
      </c>
      <c r="F2710" s="9" t="s">
        <v>27</v>
      </c>
      <c r="G2710" s="9" t="s">
        <v>27</v>
      </c>
      <c r="H2710" s="11" t="n">
        <v>25</v>
      </c>
      <c r="I2710" s="11" t="s">
        <v>333</v>
      </c>
      <c r="J2710" s="14" t="n">
        <v>44</v>
      </c>
      <c r="K2710" s="14"/>
      <c r="L2710" s="16"/>
      <c r="M2710" s="27" t="n">
        <f aca="false">J2710+(K2710/20)+(L2710/240)</f>
        <v>44</v>
      </c>
      <c r="N2710" s="17" t="s">
        <v>66</v>
      </c>
      <c r="O2710" s="11"/>
      <c r="P2710" s="28" t="n">
        <v>1391</v>
      </c>
      <c r="Q2710" s="28" t="n">
        <v>61204</v>
      </c>
      <c r="R2710" s="28"/>
      <c r="S2710" s="28" t="n">
        <f aca="false">R2710*$M2710</f>
        <v>0</v>
      </c>
      <c r="T2710" s="28"/>
      <c r="U2710" s="28" t="n">
        <f aca="false">T2710*$M2710</f>
        <v>0</v>
      </c>
      <c r="V2710" s="28"/>
      <c r="W2710" s="28" t="n">
        <f aca="false">V2710*$M2710</f>
        <v>0</v>
      </c>
      <c r="X2710" s="28"/>
      <c r="Y2710" s="28" t="n">
        <f aca="false">X2710*$M2710</f>
        <v>0</v>
      </c>
      <c r="Z2710" s="28"/>
      <c r="AA2710" s="28" t="n">
        <f aca="false">Z2710*$M2710</f>
        <v>0</v>
      </c>
      <c r="AB2710" s="28"/>
      <c r="AC2710" s="28" t="n">
        <f aca="false">AB2710*$M2710</f>
        <v>0</v>
      </c>
      <c r="AD2710" s="28"/>
      <c r="AE2710" s="28" t="n">
        <f aca="false">AD2710*$M2710</f>
        <v>0</v>
      </c>
      <c r="AF2710" s="28"/>
      <c r="AG2710" s="28" t="n">
        <f aca="false">AF2710*$M2710</f>
        <v>0</v>
      </c>
      <c r="AH2710" s="28"/>
      <c r="AI2710" s="28" t="n">
        <f aca="false">AH2710*$M2710</f>
        <v>0</v>
      </c>
      <c r="AJ2710" s="28"/>
      <c r="AK2710" s="28" t="n">
        <f aca="false">AJ2710*$M2710</f>
        <v>0</v>
      </c>
      <c r="AL2710" s="28"/>
      <c r="AM2710" s="28" t="n">
        <f aca="false">AL2710*$M2710</f>
        <v>0</v>
      </c>
      <c r="AN2710" s="28"/>
      <c r="AO2710" s="28" t="n">
        <f aca="false">AN2710*$M2710</f>
        <v>0</v>
      </c>
      <c r="AP2710" s="28"/>
      <c r="AQ2710" s="28" t="n">
        <f aca="false">AP2710*$M2710</f>
        <v>0</v>
      </c>
      <c r="AR2710" s="28"/>
      <c r="AS2710" s="28" t="n">
        <f aca="false">AR2710*$M2710</f>
        <v>0</v>
      </c>
      <c r="AT2710" s="28"/>
      <c r="AU2710" s="28" t="n">
        <f aca="false">AT2710*$M2710</f>
        <v>0</v>
      </c>
      <c r="AV2710" s="28"/>
      <c r="AW2710" s="28" t="n">
        <f aca="false">AV2710*$M2710</f>
        <v>0</v>
      </c>
      <c r="AX2710" s="28"/>
      <c r="AY2710" s="28" t="n">
        <f aca="false">AX2710*$M2710</f>
        <v>0</v>
      </c>
      <c r="AZ2710" s="30" t="n">
        <v>1391</v>
      </c>
      <c r="BA2710" s="11" t="n">
        <v>61204</v>
      </c>
      <c r="BB2710" s="31" t="n">
        <f aca="false">SUM(Q2710,S2710,U2710,W2710,Y2710,AA2710,AC2710,AE2710,AG2710,AI2710,AK2710,AM2710,AO2710,AQ2710,AS2710,AU2710,AW2710,AY2710)</f>
        <v>61204</v>
      </c>
      <c r="BC2710" s="28" t="n">
        <f aca="false">BA2710-BB2710</f>
        <v>0</v>
      </c>
      <c r="BD2710" s="32" t="n">
        <f aca="false">SUM(P2710,R2710,T2710,V2710,X2710,Z2710,AB2710,AD2710,AF2710,AH2710,AJ2710,AL2710,AN2710,AP2710,AR2710,AT2710,AV2710,AX2710)</f>
        <v>1391</v>
      </c>
      <c r="BE2710" s="33" t="n">
        <f aca="false">AZ2710-BD2710</f>
        <v>0</v>
      </c>
      <c r="BF2710" s="34" t="n">
        <f aca="false">BD2710*M2710</f>
        <v>61204</v>
      </c>
      <c r="BG2710" s="35" t="n">
        <f aca="false">BA2710-BF2710</f>
        <v>0</v>
      </c>
      <c r="BH2710" s="19" t="str">
        <f aca="false">IF(BG2710=0,"",IF(BG2710&lt;&gt;BA2710,"erreur de calcul",IF(BD2710&lt;&gt;0,"pas de prix",IF(M2710&lt;&gt; 0,"pas de quantité","pas de prix, ni de quantité"))))</f>
        <v/>
      </c>
      <c r="BI2710" s="19"/>
    </row>
    <row r="2711" customFormat="false" ht="15" hidden="false" customHeight="false" outlineLevel="0" collapsed="false">
      <c r="A2711" s="0" t="n">
        <v>6</v>
      </c>
      <c r="B2711" s="8" t="s">
        <v>24</v>
      </c>
      <c r="C2711" s="9" t="s">
        <v>25</v>
      </c>
      <c r="D2711" s="9" t="s">
        <v>26</v>
      </c>
      <c r="E2711" s="10" t="n">
        <v>1789</v>
      </c>
      <c r="F2711" s="9" t="s">
        <v>27</v>
      </c>
      <c r="G2711" s="9" t="s">
        <v>27</v>
      </c>
      <c r="H2711" s="11" t="n">
        <v>25</v>
      </c>
      <c r="I2711" s="11" t="s">
        <v>334</v>
      </c>
      <c r="J2711" s="14" t="n">
        <v>12</v>
      </c>
      <c r="K2711" s="14"/>
      <c r="L2711" s="16"/>
      <c r="M2711" s="27" t="n">
        <f aca="false">J2711+(K2711/20)+(L2711/240)</f>
        <v>12</v>
      </c>
      <c r="N2711" s="17" t="s">
        <v>64</v>
      </c>
      <c r="O2711" s="11"/>
      <c r="P2711" s="28"/>
      <c r="Q2711" s="28" t="n">
        <f aca="false">P2711*$M2711</f>
        <v>0</v>
      </c>
      <c r="R2711" s="28"/>
      <c r="S2711" s="28" t="n">
        <f aca="false">R2711*$M2711</f>
        <v>0</v>
      </c>
      <c r="T2711" s="28"/>
      <c r="U2711" s="28" t="n">
        <f aca="false">T2711*$M2711</f>
        <v>0</v>
      </c>
      <c r="V2711" s="28"/>
      <c r="W2711" s="28" t="n">
        <f aca="false">V2711*$M2711</f>
        <v>0</v>
      </c>
      <c r="X2711" s="28" t="n">
        <f aca="false">1111/100</f>
        <v>11.11</v>
      </c>
      <c r="Y2711" s="28" t="n">
        <v>133</v>
      </c>
      <c r="Z2711" s="28"/>
      <c r="AA2711" s="28" t="n">
        <f aca="false">Z2711*$M2711</f>
        <v>0</v>
      </c>
      <c r="AB2711" s="28"/>
      <c r="AC2711" s="28" t="n">
        <f aca="false">AB2711*$M2711</f>
        <v>0</v>
      </c>
      <c r="AD2711" s="28"/>
      <c r="AE2711" s="28" t="n">
        <f aca="false">AD2711*$M2711</f>
        <v>0</v>
      </c>
      <c r="AF2711" s="28"/>
      <c r="AG2711" s="28" t="n">
        <f aca="false">AF2711*$M2711</f>
        <v>0</v>
      </c>
      <c r="AH2711" s="28"/>
      <c r="AI2711" s="28" t="n">
        <f aca="false">AH2711*$M2711</f>
        <v>0</v>
      </c>
      <c r="AJ2711" s="28"/>
      <c r="AK2711" s="28" t="n">
        <f aca="false">AJ2711*$M2711</f>
        <v>0</v>
      </c>
      <c r="AL2711" s="28"/>
      <c r="AM2711" s="28" t="n">
        <f aca="false">AL2711*$M2711</f>
        <v>0</v>
      </c>
      <c r="AN2711" s="28"/>
      <c r="AO2711" s="28" t="n">
        <f aca="false">AN2711*$M2711</f>
        <v>0</v>
      </c>
      <c r="AP2711" s="28"/>
      <c r="AQ2711" s="28" t="n">
        <f aca="false">AP2711*$M2711</f>
        <v>0</v>
      </c>
      <c r="AR2711" s="28"/>
      <c r="AS2711" s="28" t="n">
        <f aca="false">AR2711*$M2711</f>
        <v>0</v>
      </c>
      <c r="AT2711" s="28"/>
      <c r="AU2711" s="28" t="n">
        <f aca="false">AT2711*$M2711</f>
        <v>0</v>
      </c>
      <c r="AV2711" s="28"/>
      <c r="AW2711" s="28" t="n">
        <f aca="false">AV2711*$M2711</f>
        <v>0</v>
      </c>
      <c r="AX2711" s="28"/>
      <c r="AY2711" s="28" t="n">
        <f aca="false">AX2711*$M2711</f>
        <v>0</v>
      </c>
      <c r="AZ2711" s="30" t="n">
        <f aca="false">1111/100</f>
        <v>11.11</v>
      </c>
      <c r="BA2711" s="11" t="n">
        <v>133</v>
      </c>
      <c r="BB2711" s="31" t="n">
        <f aca="false">SUM(Q2711,S2711,U2711,W2711,Y2711,AA2711,AC2711,AE2711,AG2711,AI2711,AK2711,AM2711,AO2711,AQ2711,AS2711,AU2711,AW2711,AY2711)</f>
        <v>133</v>
      </c>
      <c r="BC2711" s="28" t="n">
        <f aca="false">BA2711-BB2711</f>
        <v>0</v>
      </c>
      <c r="BD2711" s="32" t="n">
        <f aca="false">SUM(P2711,R2711,T2711,V2711,X2711,Z2711,AB2711,AD2711,AF2711,AH2711,AJ2711,AL2711,AN2711,AP2711,AR2711,AT2711,AV2711,AX2711)</f>
        <v>11.11</v>
      </c>
      <c r="BE2711" s="33" t="n">
        <f aca="false">AZ2711-BD2711</f>
        <v>0</v>
      </c>
      <c r="BF2711" s="34" t="n">
        <f aca="false">BD2711*M2711</f>
        <v>133.32</v>
      </c>
      <c r="BG2711" s="35" t="n">
        <f aca="false">BA2711-BF2711</f>
        <v>-0.319999999999993</v>
      </c>
      <c r="BH2711" s="19" t="str">
        <f aca="false">IF(BG2711=0,"",IF(BG2711&lt;&gt;BA2711,"erreur de calcul",IF(BD2711&lt;&gt;0,"pas de prix",IF(M2711&lt;&gt; 0,"pas de quantité","pas de prix, ni de quantité"))))</f>
        <v>erreur de calcul</v>
      </c>
      <c r="BI2711" s="19"/>
    </row>
    <row r="2712" customFormat="false" ht="16.65" hidden="false" customHeight="false" outlineLevel="0" collapsed="false">
      <c r="A2712" s="0" t="n">
        <v>7</v>
      </c>
      <c r="B2712" s="8" t="s">
        <v>24</v>
      </c>
      <c r="C2712" s="9" t="s">
        <v>25</v>
      </c>
      <c r="D2712" s="9" t="s">
        <v>26</v>
      </c>
      <c r="E2712" s="10" t="n">
        <v>1789</v>
      </c>
      <c r="F2712" s="9" t="s">
        <v>27</v>
      </c>
      <c r="G2712" s="9" t="s">
        <v>27</v>
      </c>
      <c r="H2712" s="11" t="n">
        <v>25</v>
      </c>
      <c r="I2712" s="11" t="s">
        <v>335</v>
      </c>
      <c r="J2712" s="14" t="n">
        <v>4</v>
      </c>
      <c r="K2712" s="14" t="n">
        <v>10</v>
      </c>
      <c r="L2712" s="16"/>
      <c r="M2712" s="27" t="n">
        <f aca="false">J2712+(K2712/20)+(L2712/240)</f>
        <v>4.5</v>
      </c>
      <c r="N2712" s="17" t="s">
        <v>64</v>
      </c>
      <c r="O2712" s="11" t="s">
        <v>77</v>
      </c>
      <c r="P2712" s="28" t="n">
        <f aca="false">8366/100</f>
        <v>83.66</v>
      </c>
      <c r="Q2712" s="28" t="n">
        <v>376</v>
      </c>
      <c r="R2712" s="28"/>
      <c r="S2712" s="28" t="n">
        <f aca="false">R2712*$M2712</f>
        <v>0</v>
      </c>
      <c r="T2712" s="28"/>
      <c r="U2712" s="28" t="n">
        <f aca="false">T2712*$M2712</f>
        <v>0</v>
      </c>
      <c r="V2712" s="28"/>
      <c r="W2712" s="28" t="n">
        <f aca="false">V2712*$M2712</f>
        <v>0</v>
      </c>
      <c r="X2712" s="28"/>
      <c r="Y2712" s="28" t="n">
        <f aca="false">X2712*$M2712</f>
        <v>0</v>
      </c>
      <c r="Z2712" s="28"/>
      <c r="AA2712" s="28" t="n">
        <f aca="false">Z2712*$M2712</f>
        <v>0</v>
      </c>
      <c r="AB2712" s="28"/>
      <c r="AC2712" s="28" t="n">
        <f aca="false">AB2712*$M2712</f>
        <v>0</v>
      </c>
      <c r="AD2712" s="28"/>
      <c r="AE2712" s="28" t="n">
        <f aca="false">AD2712*$M2712</f>
        <v>0</v>
      </c>
      <c r="AF2712" s="28"/>
      <c r="AG2712" s="28" t="n">
        <f aca="false">AF2712*$M2712</f>
        <v>0</v>
      </c>
      <c r="AH2712" s="28"/>
      <c r="AI2712" s="28" t="n">
        <f aca="false">AH2712*$M2712</f>
        <v>0</v>
      </c>
      <c r="AJ2712" s="28"/>
      <c r="AK2712" s="28" t="n">
        <f aca="false">AJ2712*$M2712</f>
        <v>0</v>
      </c>
      <c r="AL2712" s="28"/>
      <c r="AM2712" s="28" t="n">
        <f aca="false">AL2712*$M2712</f>
        <v>0</v>
      </c>
      <c r="AN2712" s="28"/>
      <c r="AO2712" s="28" t="n">
        <f aca="false">AN2712*$M2712</f>
        <v>0</v>
      </c>
      <c r="AP2712" s="28"/>
      <c r="AQ2712" s="28" t="n">
        <f aca="false">AP2712*$M2712</f>
        <v>0</v>
      </c>
      <c r="AR2712" s="28"/>
      <c r="AS2712" s="28" t="n">
        <f aca="false">AR2712*$M2712</f>
        <v>0</v>
      </c>
      <c r="AT2712" s="28"/>
      <c r="AU2712" s="28" t="n">
        <f aca="false">AT2712*$M2712</f>
        <v>0</v>
      </c>
      <c r="AV2712" s="28"/>
      <c r="AW2712" s="28" t="n">
        <f aca="false">AV2712*$M2712</f>
        <v>0</v>
      </c>
      <c r="AX2712" s="28"/>
      <c r="AY2712" s="28" t="n">
        <f aca="false">AX2712*$M2712</f>
        <v>0</v>
      </c>
      <c r="AZ2712" s="30" t="n">
        <f aca="false">8366/100</f>
        <v>83.66</v>
      </c>
      <c r="BA2712" s="11" t="n">
        <v>376</v>
      </c>
      <c r="BB2712" s="31" t="n">
        <f aca="false">SUM(Q2712,S2712,U2712,W2712,Y2712,AA2712,AC2712,AE2712,AG2712,AI2712,AK2712,AM2712,AO2712,AQ2712,AS2712,AU2712,AW2712,AY2712)</f>
        <v>376</v>
      </c>
      <c r="BC2712" s="28" t="n">
        <f aca="false">BA2712-BB2712</f>
        <v>0</v>
      </c>
      <c r="BD2712" s="32" t="n">
        <f aca="false">SUM(P2712,R2712,T2712,V2712,X2712,Z2712,AB2712,AD2712,AF2712,AH2712,AJ2712,AL2712,AN2712,AP2712,AR2712,AT2712,AV2712,AX2712)</f>
        <v>83.66</v>
      </c>
      <c r="BE2712" s="33" t="n">
        <f aca="false">AZ2712-BD2712</f>
        <v>0</v>
      </c>
      <c r="BF2712" s="34" t="n">
        <f aca="false">BD2712*M2712</f>
        <v>376.47</v>
      </c>
      <c r="BG2712" s="35" t="n">
        <f aca="false">BA2712-BF2712</f>
        <v>-0.46999999999997</v>
      </c>
      <c r="BH2712" s="19" t="str">
        <f aca="false">IF(BG2712=0,"",IF(BG2712&lt;&gt;BA2712,"erreur de calcul",IF(BD2712&lt;&gt;0,"pas de prix",IF(M2712&lt;&gt; 0,"pas de quantité","pas de prix, ni de quantité"))))</f>
        <v>erreur de calcul</v>
      </c>
      <c r="BI2712" s="19"/>
    </row>
    <row r="2713" customFormat="false" ht="15" hidden="false" customHeight="false" outlineLevel="0" collapsed="false">
      <c r="A2713" s="0" t="n">
        <v>8</v>
      </c>
      <c r="B2713" s="8" t="s">
        <v>24</v>
      </c>
      <c r="C2713" s="9" t="s">
        <v>25</v>
      </c>
      <c r="D2713" s="9" t="s">
        <v>26</v>
      </c>
      <c r="E2713" s="10" t="n">
        <v>1789</v>
      </c>
      <c r="F2713" s="9" t="s">
        <v>27</v>
      </c>
      <c r="G2713" s="9" t="s">
        <v>27</v>
      </c>
      <c r="H2713" s="11" t="n">
        <v>25</v>
      </c>
      <c r="I2713" s="11" t="s">
        <v>336</v>
      </c>
      <c r="J2713" s="14" t="n">
        <v>64</v>
      </c>
      <c r="K2713" s="14"/>
      <c r="L2713" s="16"/>
      <c r="M2713" s="27" t="n">
        <f aca="false">J2713+(K2713/20)+(L2713/240)</f>
        <v>64</v>
      </c>
      <c r="N2713" s="17" t="s">
        <v>337</v>
      </c>
      <c r="O2713" s="11"/>
      <c r="P2713" s="28"/>
      <c r="Q2713" s="28" t="n">
        <f aca="false">P2713*$M2713</f>
        <v>0</v>
      </c>
      <c r="R2713" s="28"/>
      <c r="S2713" s="28" t="n">
        <f aca="false">R2713*$M2713</f>
        <v>0</v>
      </c>
      <c r="T2713" s="28" t="n">
        <v>42</v>
      </c>
      <c r="U2713" s="28" t="n">
        <v>2688</v>
      </c>
      <c r="V2713" s="28"/>
      <c r="W2713" s="28" t="n">
        <f aca="false">V2713*$M2713</f>
        <v>0</v>
      </c>
      <c r="X2713" s="28"/>
      <c r="Y2713" s="28" t="n">
        <f aca="false">X2713*$M2713</f>
        <v>0</v>
      </c>
      <c r="Z2713" s="28"/>
      <c r="AA2713" s="28" t="n">
        <f aca="false">Z2713*$M2713</f>
        <v>0</v>
      </c>
      <c r="AB2713" s="28" t="n">
        <v>66</v>
      </c>
      <c r="AC2713" s="28" t="n">
        <v>4224</v>
      </c>
      <c r="AD2713" s="28"/>
      <c r="AE2713" s="28" t="n">
        <f aca="false">AD2713*$M2713</f>
        <v>0</v>
      </c>
      <c r="AF2713" s="28"/>
      <c r="AG2713" s="28" t="n">
        <f aca="false">AF2713*$M2713</f>
        <v>0</v>
      </c>
      <c r="AH2713" s="28"/>
      <c r="AI2713" s="28" t="n">
        <f aca="false">AH2713*$M2713</f>
        <v>0</v>
      </c>
      <c r="AJ2713" s="28"/>
      <c r="AK2713" s="28" t="n">
        <f aca="false">AJ2713*$M2713</f>
        <v>0</v>
      </c>
      <c r="AL2713" s="28"/>
      <c r="AM2713" s="28" t="n">
        <f aca="false">AL2713*$M2713</f>
        <v>0</v>
      </c>
      <c r="AN2713" s="28"/>
      <c r="AO2713" s="28" t="n">
        <f aca="false">AN2713*$M2713</f>
        <v>0</v>
      </c>
      <c r="AP2713" s="28"/>
      <c r="AQ2713" s="28" t="n">
        <f aca="false">AP2713*$M2713</f>
        <v>0</v>
      </c>
      <c r="AR2713" s="28"/>
      <c r="AS2713" s="28" t="n">
        <f aca="false">AR2713*$M2713</f>
        <v>0</v>
      </c>
      <c r="AT2713" s="28"/>
      <c r="AU2713" s="28" t="n">
        <f aca="false">AT2713*$M2713</f>
        <v>0</v>
      </c>
      <c r="AV2713" s="28"/>
      <c r="AW2713" s="28" t="n">
        <f aca="false">AV2713*$M2713</f>
        <v>0</v>
      </c>
      <c r="AX2713" s="28"/>
      <c r="AY2713" s="28" t="n">
        <f aca="false">AX2713*$M2713</f>
        <v>0</v>
      </c>
      <c r="AZ2713" s="30" t="n">
        <v>108</v>
      </c>
      <c r="BA2713" s="11" t="n">
        <v>6912</v>
      </c>
      <c r="BB2713" s="31" t="n">
        <f aca="false">SUM(Q2713,S2713,U2713,W2713,Y2713,AA2713,AC2713,AE2713,AG2713,AI2713,AK2713,AM2713,AO2713,AQ2713,AS2713,AU2713,AW2713,AY2713)</f>
        <v>6912</v>
      </c>
      <c r="BC2713" s="28" t="n">
        <f aca="false">BA2713-BB2713</f>
        <v>0</v>
      </c>
      <c r="BD2713" s="32" t="n">
        <f aca="false">SUM(P2713,R2713,T2713,V2713,X2713,Z2713,AB2713,AD2713,AF2713,AH2713,AJ2713,AL2713,AN2713,AP2713,AR2713,AT2713,AV2713,AX2713)</f>
        <v>108</v>
      </c>
      <c r="BE2713" s="33" t="n">
        <f aca="false">AZ2713-BD2713</f>
        <v>0</v>
      </c>
      <c r="BF2713" s="34" t="n">
        <f aca="false">BD2713*M2713</f>
        <v>6912</v>
      </c>
      <c r="BG2713" s="35" t="n">
        <f aca="false">BA2713-BF2713</f>
        <v>0</v>
      </c>
      <c r="BH2713" s="19" t="str">
        <f aca="false">IF(BG2713=0,"",IF(BG2713&lt;&gt;BA2713,"erreur de calcul",IF(BD2713&lt;&gt;0,"pas de prix",IF(M2713&lt;&gt; 0,"pas de quantité","pas de prix, ni de quantité"))))</f>
        <v/>
      </c>
      <c r="BI2713" s="19"/>
    </row>
    <row r="2714" customFormat="false" ht="15" hidden="false" customHeight="false" outlineLevel="0" collapsed="false">
      <c r="A2714" s="0" t="n">
        <v>9</v>
      </c>
      <c r="B2714" s="8" t="s">
        <v>24</v>
      </c>
      <c r="C2714" s="9" t="s">
        <v>25</v>
      </c>
      <c r="D2714" s="9" t="s">
        <v>26</v>
      </c>
      <c r="E2714" s="10" t="n">
        <v>1789</v>
      </c>
      <c r="F2714" s="9" t="s">
        <v>27</v>
      </c>
      <c r="G2714" s="9" t="s">
        <v>27</v>
      </c>
      <c r="H2714" s="11" t="n">
        <v>25</v>
      </c>
      <c r="I2714" s="11" t="s">
        <v>338</v>
      </c>
      <c r="J2714" s="14"/>
      <c r="K2714" s="14"/>
      <c r="L2714" s="16"/>
      <c r="M2714" s="27" t="n">
        <f aca="false">J2714+(K2714/20)+(L2714/240)</f>
        <v>0</v>
      </c>
      <c r="N2714" s="17"/>
      <c r="O2714" s="11"/>
      <c r="P2714" s="28"/>
      <c r="Q2714" s="28" t="n">
        <f aca="false">P2714*$M2714</f>
        <v>0</v>
      </c>
      <c r="R2714" s="28"/>
      <c r="S2714" s="28" t="n">
        <f aca="false">R2714*$M2714</f>
        <v>0</v>
      </c>
      <c r="T2714" s="28"/>
      <c r="U2714" s="28" t="n">
        <v>135</v>
      </c>
      <c r="V2714" s="28"/>
      <c r="W2714" s="28" t="n">
        <v>642</v>
      </c>
      <c r="X2714" s="28"/>
      <c r="Y2714" s="28" t="n">
        <f aca="false">X2714*$M2714</f>
        <v>0</v>
      </c>
      <c r="Z2714" s="28"/>
      <c r="AA2714" s="28" t="n">
        <f aca="false">Z2714*$M2714</f>
        <v>0</v>
      </c>
      <c r="AB2714" s="28"/>
      <c r="AC2714" s="28" t="n">
        <f aca="false">AB2714*$M2714</f>
        <v>0</v>
      </c>
      <c r="AD2714" s="28"/>
      <c r="AE2714" s="28" t="n">
        <f aca="false">AD2714*$M2714</f>
        <v>0</v>
      </c>
      <c r="AF2714" s="28"/>
      <c r="AG2714" s="28" t="n">
        <f aca="false">AF2714*$M2714</f>
        <v>0</v>
      </c>
      <c r="AH2714" s="28"/>
      <c r="AI2714" s="28" t="n">
        <f aca="false">AH2714*$M2714</f>
        <v>0</v>
      </c>
      <c r="AJ2714" s="28"/>
      <c r="AK2714" s="28" t="n">
        <v>375</v>
      </c>
      <c r="AL2714" s="28"/>
      <c r="AM2714" s="28" t="n">
        <f aca="false">AL2714*$M2714</f>
        <v>0</v>
      </c>
      <c r="AN2714" s="28"/>
      <c r="AO2714" s="28" t="n">
        <f aca="false">AN2714*$M2714</f>
        <v>0</v>
      </c>
      <c r="AP2714" s="28"/>
      <c r="AQ2714" s="28" t="n">
        <f aca="false">AP2714*$M2714</f>
        <v>0</v>
      </c>
      <c r="AR2714" s="28"/>
      <c r="AS2714" s="28" t="n">
        <f aca="false">AR2714*$M2714</f>
        <v>0</v>
      </c>
      <c r="AT2714" s="28"/>
      <c r="AU2714" s="28" t="n">
        <f aca="false">AT2714*$M2714</f>
        <v>0</v>
      </c>
      <c r="AV2714" s="28"/>
      <c r="AW2714" s="28" t="n">
        <v>765</v>
      </c>
      <c r="AX2714" s="28"/>
      <c r="AY2714" s="28" t="n">
        <f aca="false">AX2714*$M2714</f>
        <v>0</v>
      </c>
      <c r="AZ2714" s="30"/>
      <c r="BA2714" s="11" t="n">
        <v>1917</v>
      </c>
      <c r="BB2714" s="31" t="n">
        <f aca="false">SUM(Q2714,S2714,U2714,W2714,Y2714,AA2714,AC2714,AE2714,AG2714,AI2714,AK2714,AM2714,AO2714,AQ2714,AS2714,AU2714,AW2714,AY2714)</f>
        <v>1917</v>
      </c>
      <c r="BC2714" s="28" t="n">
        <f aca="false">BA2714-BB2714</f>
        <v>0</v>
      </c>
      <c r="BD2714" s="32" t="n">
        <f aca="false">SUM(P2714,R2714,T2714,V2714,X2714,Z2714,AB2714,AD2714,AF2714,AH2714,AJ2714,AL2714,AN2714,AP2714,AR2714,AT2714,AV2714,AX2714)</f>
        <v>0</v>
      </c>
      <c r="BE2714" s="33" t="n">
        <f aca="false">AZ2714-BD2714</f>
        <v>0</v>
      </c>
      <c r="BF2714" s="34" t="n">
        <f aca="false">BD2714*M2714</f>
        <v>0</v>
      </c>
      <c r="BG2714" s="35" t="n">
        <f aca="false">BA2714-BF2714</f>
        <v>1917</v>
      </c>
      <c r="BH2714" s="19" t="str">
        <f aca="false">IF(BG2714=0,"",IF(BG2714&lt;&gt;BA2714,"erreur de calcul",IF(BD2714&lt;&gt;0,"pas de prix",IF(M2714&lt;&gt; 0,"pas de quantité","pas de prix, ni de quantité"))))</f>
        <v>pas de prix, ni de quantité</v>
      </c>
      <c r="BI2714" s="19"/>
    </row>
    <row r="2715" customFormat="false" ht="15" hidden="false" customHeight="false" outlineLevel="0" collapsed="false">
      <c r="A2715" s="0" t="n">
        <v>10</v>
      </c>
      <c r="B2715" s="8" t="s">
        <v>24</v>
      </c>
      <c r="C2715" s="9" t="s">
        <v>25</v>
      </c>
      <c r="D2715" s="9" t="s">
        <v>26</v>
      </c>
      <c r="E2715" s="10" t="n">
        <v>1789</v>
      </c>
      <c r="F2715" s="9" t="s">
        <v>27</v>
      </c>
      <c r="G2715" s="9" t="s">
        <v>27</v>
      </c>
      <c r="H2715" s="11" t="n">
        <v>25</v>
      </c>
      <c r="I2715" s="11" t="s">
        <v>339</v>
      </c>
      <c r="J2715" s="14" t="n">
        <v>7</v>
      </c>
      <c r="K2715" s="14"/>
      <c r="L2715" s="16"/>
      <c r="M2715" s="27" t="n">
        <f aca="false">J2715+(K2715/20)+(L2715/240)</f>
        <v>7</v>
      </c>
      <c r="N2715" s="17" t="s">
        <v>69</v>
      </c>
      <c r="O2715" s="11"/>
      <c r="P2715" s="28"/>
      <c r="Q2715" s="28" t="n">
        <f aca="false">P2715*$M2715</f>
        <v>0</v>
      </c>
      <c r="R2715" s="28"/>
      <c r="S2715" s="28" t="n">
        <f aca="false">R2715*$M2715</f>
        <v>0</v>
      </c>
      <c r="T2715" s="28"/>
      <c r="U2715" s="28" t="n">
        <f aca="false">T2715*$M2715</f>
        <v>0</v>
      </c>
      <c r="V2715" s="28" t="n">
        <v>554</v>
      </c>
      <c r="W2715" s="28" t="n">
        <v>3878</v>
      </c>
      <c r="X2715" s="28"/>
      <c r="Y2715" s="28" t="n">
        <f aca="false">X2715*$M2715</f>
        <v>0</v>
      </c>
      <c r="Z2715" s="28"/>
      <c r="AA2715" s="28" t="n">
        <f aca="false">Z2715*$M2715</f>
        <v>0</v>
      </c>
      <c r="AB2715" s="28"/>
      <c r="AC2715" s="28" t="n">
        <f aca="false">AB2715*$M2715</f>
        <v>0</v>
      </c>
      <c r="AD2715" s="28"/>
      <c r="AE2715" s="28" t="n">
        <f aca="false">AD2715*$M2715</f>
        <v>0</v>
      </c>
      <c r="AF2715" s="28"/>
      <c r="AG2715" s="28" t="n">
        <f aca="false">AF2715*$M2715</f>
        <v>0</v>
      </c>
      <c r="AH2715" s="28"/>
      <c r="AI2715" s="28" t="n">
        <f aca="false">AH2715*$M2715</f>
        <v>0</v>
      </c>
      <c r="AJ2715" s="28"/>
      <c r="AK2715" s="28" t="n">
        <f aca="false">AJ2715*$M2715</f>
        <v>0</v>
      </c>
      <c r="AL2715" s="28"/>
      <c r="AM2715" s="28" t="n">
        <f aca="false">AL2715*$M2715</f>
        <v>0</v>
      </c>
      <c r="AN2715" s="28"/>
      <c r="AO2715" s="28" t="n">
        <f aca="false">AN2715*$M2715</f>
        <v>0</v>
      </c>
      <c r="AP2715" s="28"/>
      <c r="AQ2715" s="28" t="n">
        <f aca="false">AP2715*$M2715</f>
        <v>0</v>
      </c>
      <c r="AR2715" s="28"/>
      <c r="AS2715" s="28" t="n">
        <f aca="false">AR2715*$M2715</f>
        <v>0</v>
      </c>
      <c r="AT2715" s="28"/>
      <c r="AU2715" s="28" t="n">
        <f aca="false">AT2715*$M2715</f>
        <v>0</v>
      </c>
      <c r="AV2715" s="28"/>
      <c r="AW2715" s="28" t="n">
        <f aca="false">AV2715*$M2715</f>
        <v>0</v>
      </c>
      <c r="AX2715" s="28"/>
      <c r="AY2715" s="28" t="n">
        <f aca="false">AX2715*$M2715</f>
        <v>0</v>
      </c>
      <c r="AZ2715" s="30" t="n">
        <v>554</v>
      </c>
      <c r="BA2715" s="11" t="n">
        <v>3878</v>
      </c>
      <c r="BB2715" s="31" t="n">
        <f aca="false">SUM(Q2715,S2715,U2715,W2715,Y2715,AA2715,AC2715,AE2715,AG2715,AI2715,AK2715,AM2715,AO2715,AQ2715,AS2715,AU2715,AW2715,AY2715)</f>
        <v>3878</v>
      </c>
      <c r="BC2715" s="28" t="n">
        <f aca="false">BA2715-BB2715</f>
        <v>0</v>
      </c>
      <c r="BD2715" s="32" t="n">
        <f aca="false">SUM(P2715,R2715,T2715,V2715,X2715,Z2715,AB2715,AD2715,AF2715,AH2715,AJ2715,AL2715,AN2715,AP2715,AR2715,AT2715,AV2715,AX2715)</f>
        <v>554</v>
      </c>
      <c r="BE2715" s="33" t="n">
        <f aca="false">AZ2715-BD2715</f>
        <v>0</v>
      </c>
      <c r="BF2715" s="34" t="n">
        <f aca="false">BD2715*M2715</f>
        <v>3878</v>
      </c>
      <c r="BG2715" s="35" t="n">
        <f aca="false">BA2715-BF2715</f>
        <v>0</v>
      </c>
      <c r="BH2715" s="19" t="str">
        <f aca="false">IF(BG2715=0,"",IF(BG2715&lt;&gt;BA2715,"erreur de calcul",IF(BD2715&lt;&gt;0,"pas de prix",IF(M2715&lt;&gt; 0,"pas de quantité","pas de prix, ni de quantité"))))</f>
        <v/>
      </c>
      <c r="BI2715" s="19"/>
    </row>
    <row r="2716" customFormat="false" ht="15" hidden="false" customHeight="false" outlineLevel="0" collapsed="false">
      <c r="A2716" s="0" t="n">
        <v>11</v>
      </c>
      <c r="B2716" s="8" t="s">
        <v>24</v>
      </c>
      <c r="C2716" s="9" t="s">
        <v>25</v>
      </c>
      <c r="D2716" s="9" t="s">
        <v>26</v>
      </c>
      <c r="E2716" s="10" t="n">
        <v>1789</v>
      </c>
      <c r="F2716" s="9" t="s">
        <v>27</v>
      </c>
      <c r="G2716" s="9" t="s">
        <v>27</v>
      </c>
      <c r="H2716" s="11" t="n">
        <v>25</v>
      </c>
      <c r="I2716" s="11" t="s">
        <v>340</v>
      </c>
      <c r="J2716" s="14" t="n">
        <v>15</v>
      </c>
      <c r="K2716" s="14"/>
      <c r="L2716" s="16"/>
      <c r="M2716" s="27" t="n">
        <f aca="false">J2716+(K2716/20)+(L2716/240)</f>
        <v>15</v>
      </c>
      <c r="N2716" s="17" t="s">
        <v>64</v>
      </c>
      <c r="O2716" s="11"/>
      <c r="P2716" s="28" t="n">
        <f aca="false">470959/100</f>
        <v>4709.59</v>
      </c>
      <c r="Q2716" s="28" t="n">
        <v>70644</v>
      </c>
      <c r="R2716" s="28"/>
      <c r="S2716" s="28" t="n">
        <f aca="false">R2716*$M2716</f>
        <v>0</v>
      </c>
      <c r="T2716" s="28"/>
      <c r="U2716" s="28" t="n">
        <f aca="false">T2716*$M2716</f>
        <v>0</v>
      </c>
      <c r="V2716" s="28"/>
      <c r="W2716" s="28" t="n">
        <f aca="false">V2716*$M2716</f>
        <v>0</v>
      </c>
      <c r="X2716" s="28"/>
      <c r="Y2716" s="28" t="n">
        <f aca="false">X2716*$M2716</f>
        <v>0</v>
      </c>
      <c r="Z2716" s="28"/>
      <c r="AA2716" s="28" t="n">
        <f aca="false">Z2716*$M2716</f>
        <v>0</v>
      </c>
      <c r="AB2716" s="28" t="n">
        <f aca="false">50000/100</f>
        <v>500</v>
      </c>
      <c r="AC2716" s="28" t="n">
        <v>7500</v>
      </c>
      <c r="AD2716" s="28"/>
      <c r="AE2716" s="28" t="n">
        <f aca="false">AD2716*$M2716</f>
        <v>0</v>
      </c>
      <c r="AF2716" s="28" t="n">
        <f aca="false">15584/100</f>
        <v>155.84</v>
      </c>
      <c r="AG2716" s="28" t="n">
        <v>2338</v>
      </c>
      <c r="AH2716" s="28"/>
      <c r="AI2716" s="28" t="n">
        <f aca="false">AH2716*$M2716</f>
        <v>0</v>
      </c>
      <c r="AJ2716" s="28"/>
      <c r="AK2716" s="28" t="n">
        <f aca="false">AJ2716*$M2716</f>
        <v>0</v>
      </c>
      <c r="AL2716" s="28"/>
      <c r="AM2716" s="28" t="n">
        <f aca="false">AL2716*$M2716</f>
        <v>0</v>
      </c>
      <c r="AN2716" s="28"/>
      <c r="AO2716" s="28" t="n">
        <f aca="false">AN2716*$M2716</f>
        <v>0</v>
      </c>
      <c r="AP2716" s="28"/>
      <c r="AQ2716" s="28" t="n">
        <f aca="false">AP2716*$M2716</f>
        <v>0</v>
      </c>
      <c r="AR2716" s="28"/>
      <c r="AS2716" s="28" t="n">
        <f aca="false">AR2716*$M2716</f>
        <v>0</v>
      </c>
      <c r="AT2716" s="28"/>
      <c r="AU2716" s="28" t="n">
        <f aca="false">AT2716*$M2716</f>
        <v>0</v>
      </c>
      <c r="AV2716" s="28"/>
      <c r="AW2716" s="28" t="n">
        <f aca="false">AV2716*$M2716</f>
        <v>0</v>
      </c>
      <c r="AX2716" s="28"/>
      <c r="AY2716" s="28" t="n">
        <f aca="false">AX2716*$M2716</f>
        <v>0</v>
      </c>
      <c r="AZ2716" s="30" t="n">
        <f aca="false">535959/100</f>
        <v>5359.59</v>
      </c>
      <c r="BA2716" s="11" t="n">
        <v>80482</v>
      </c>
      <c r="BB2716" s="31" t="n">
        <f aca="false">SUM(Q2716,S2716,U2716,W2716,Y2716,AA2716,AC2716,AE2716,AG2716,AI2716,AK2716,AM2716,AO2716,AQ2716,AS2716,AU2716,AW2716,AY2716)</f>
        <v>80482</v>
      </c>
      <c r="BC2716" s="28" t="n">
        <f aca="false">BA2716-BB2716</f>
        <v>0</v>
      </c>
      <c r="BD2716" s="32" t="n">
        <f aca="false">SUM(P2716,R2716,T2716,V2716,X2716,Z2716,AB2716,AD2716,AF2716,AH2716,AJ2716,AL2716,AN2716,AP2716,AR2716,AT2716,AV2716,AX2716)</f>
        <v>5365.43</v>
      </c>
      <c r="BE2716" s="33" t="n">
        <f aca="false">AZ2716-BD2716</f>
        <v>-5.84000000000015</v>
      </c>
      <c r="BF2716" s="34" t="n">
        <f aca="false">BD2716*M2716</f>
        <v>80481.45</v>
      </c>
      <c r="BG2716" s="35" t="n">
        <f aca="false">BA2716-BF2716</f>
        <v>0.549999999988359</v>
      </c>
      <c r="BH2716" s="19" t="str">
        <f aca="false">IF(BG2716=0,"",IF(BG2716&lt;&gt;BA2716,"erreur de calcul",IF(BD2716&lt;&gt;0,"pas de prix",IF(M2716&lt;&gt; 0,"pas de quantité","pas de prix, ni de quantité"))))</f>
        <v>erreur de calcul</v>
      </c>
      <c r="BI2716" s="19"/>
    </row>
    <row r="2717" customFormat="false" ht="15" hidden="false" customHeight="false" outlineLevel="0" collapsed="false">
      <c r="A2717" s="0" t="n">
        <v>12</v>
      </c>
      <c r="B2717" s="8" t="s">
        <v>24</v>
      </c>
      <c r="C2717" s="9" t="s">
        <v>25</v>
      </c>
      <c r="D2717" s="9" t="s">
        <v>26</v>
      </c>
      <c r="E2717" s="10" t="n">
        <v>1789</v>
      </c>
      <c r="F2717" s="9" t="s">
        <v>27</v>
      </c>
      <c r="G2717" s="9" t="s">
        <v>27</v>
      </c>
      <c r="H2717" s="11" t="n">
        <v>25</v>
      </c>
      <c r="I2717" s="11" t="s">
        <v>341</v>
      </c>
      <c r="J2717" s="14" t="n">
        <v>75</v>
      </c>
      <c r="K2717" s="14"/>
      <c r="L2717" s="16"/>
      <c r="M2717" s="27" t="n">
        <f aca="false">J2717+(K2717/20)+(L2717/240)</f>
        <v>75</v>
      </c>
      <c r="N2717" s="17" t="s">
        <v>85</v>
      </c>
      <c r="O2717" s="11"/>
      <c r="P2717" s="28"/>
      <c r="Q2717" s="28" t="n">
        <f aca="false">P2717*$M2717</f>
        <v>0</v>
      </c>
      <c r="R2717" s="28"/>
      <c r="S2717" s="28" t="n">
        <f aca="false">R2717*$M2717</f>
        <v>0</v>
      </c>
      <c r="T2717" s="28"/>
      <c r="U2717" s="28" t="n">
        <f aca="false">T2717*$M2717</f>
        <v>0</v>
      </c>
      <c r="V2717" s="28"/>
      <c r="W2717" s="28" t="n">
        <f aca="false">V2717*$M2717</f>
        <v>0</v>
      </c>
      <c r="X2717" s="28"/>
      <c r="Y2717" s="28" t="n">
        <f aca="false">X2717*$M2717</f>
        <v>0</v>
      </c>
      <c r="Z2717" s="28"/>
      <c r="AA2717" s="28" t="n">
        <f aca="false">Z2717*$M2717</f>
        <v>0</v>
      </c>
      <c r="AB2717" s="28"/>
      <c r="AC2717" s="28" t="n">
        <f aca="false">AB2717*$M2717</f>
        <v>0</v>
      </c>
      <c r="AD2717" s="28"/>
      <c r="AE2717" s="28" t="n">
        <f aca="false">AD2717*$M2717</f>
        <v>0</v>
      </c>
      <c r="AF2717" s="28"/>
      <c r="AG2717" s="28" t="n">
        <f aca="false">AF2717*$M2717</f>
        <v>0</v>
      </c>
      <c r="AH2717" s="28"/>
      <c r="AI2717" s="28" t="n">
        <f aca="false">AH2717*$M2717</f>
        <v>0</v>
      </c>
      <c r="AJ2717" s="28"/>
      <c r="AK2717" s="28" t="n">
        <f aca="false">AJ2717*$M2717</f>
        <v>0</v>
      </c>
      <c r="AL2717" s="28" t="n">
        <f aca="false">2584/100</f>
        <v>25.84</v>
      </c>
      <c r="AM2717" s="28" t="n">
        <v>1938</v>
      </c>
      <c r="AN2717" s="28"/>
      <c r="AO2717" s="28" t="n">
        <f aca="false">AN2717*$M2717</f>
        <v>0</v>
      </c>
      <c r="AP2717" s="28"/>
      <c r="AQ2717" s="28" t="n">
        <f aca="false">AP2717*$M2717</f>
        <v>0</v>
      </c>
      <c r="AR2717" s="28"/>
      <c r="AS2717" s="28" t="n">
        <f aca="false">AR2717*$M2717</f>
        <v>0</v>
      </c>
      <c r="AT2717" s="28"/>
      <c r="AU2717" s="28" t="n">
        <f aca="false">AT2717*$M2717</f>
        <v>0</v>
      </c>
      <c r="AV2717" s="28"/>
      <c r="AW2717" s="28" t="n">
        <f aca="false">AV2717*$M2717</f>
        <v>0</v>
      </c>
      <c r="AX2717" s="28"/>
      <c r="AY2717" s="28" t="n">
        <f aca="false">AX2717*$M2717</f>
        <v>0</v>
      </c>
      <c r="AZ2717" s="30" t="n">
        <f aca="false">2584/100</f>
        <v>25.84</v>
      </c>
      <c r="BA2717" s="11" t="n">
        <v>1938</v>
      </c>
      <c r="BB2717" s="31" t="n">
        <f aca="false">SUM(Q2717,S2717,U2717,W2717,Y2717,AA2717,AC2717,AE2717,AG2717,AI2717,AK2717,AM2717,AO2717,AQ2717,AS2717,AU2717,AW2717,AY2717)</f>
        <v>1938</v>
      </c>
      <c r="BC2717" s="28" t="n">
        <f aca="false">BA2717-BB2717</f>
        <v>0</v>
      </c>
      <c r="BD2717" s="32" t="n">
        <f aca="false">SUM(P2717,R2717,T2717,V2717,X2717,Z2717,AB2717,AD2717,AF2717,AH2717,AJ2717,AL2717,AN2717,AP2717,AR2717,AT2717,AV2717,AX2717)</f>
        <v>25.84</v>
      </c>
      <c r="BE2717" s="33" t="n">
        <f aca="false">AZ2717-BD2717</f>
        <v>0</v>
      </c>
      <c r="BF2717" s="34" t="n">
        <f aca="false">BD2717*M2717</f>
        <v>1938</v>
      </c>
      <c r="BG2717" s="35" t="n">
        <f aca="false">BA2717-BF2717</f>
        <v>0</v>
      </c>
      <c r="BH2717" s="19" t="str">
        <f aca="false">IF(BG2717=0,"",IF(BG2717&lt;&gt;BA2717,"erreur de calcul",IF(BD2717&lt;&gt;0,"pas de prix",IF(M2717&lt;&gt; 0,"pas de quantité","pas de prix, ni de quantité"))))</f>
        <v/>
      </c>
      <c r="BI2717" s="19"/>
    </row>
    <row r="2718" customFormat="false" ht="15" hidden="false" customHeight="false" outlineLevel="0" collapsed="false">
      <c r="A2718" s="0" t="n">
        <v>13</v>
      </c>
      <c r="B2718" s="8" t="s">
        <v>24</v>
      </c>
      <c r="C2718" s="9" t="s">
        <v>25</v>
      </c>
      <c r="D2718" s="9" t="s">
        <v>26</v>
      </c>
      <c r="E2718" s="10" t="n">
        <v>1789</v>
      </c>
      <c r="F2718" s="9" t="s">
        <v>27</v>
      </c>
      <c r="G2718" s="9" t="s">
        <v>27</v>
      </c>
      <c r="H2718" s="11" t="n">
        <v>25</v>
      </c>
      <c r="I2718" s="11" t="s">
        <v>342</v>
      </c>
      <c r="J2718" s="14" t="n">
        <v>10</v>
      </c>
      <c r="K2718" s="14"/>
      <c r="L2718" s="16"/>
      <c r="M2718" s="27" t="n">
        <f aca="false">J2718+(K2718/20)+(L2718/240)</f>
        <v>10</v>
      </c>
      <c r="N2718" s="17" t="s">
        <v>66</v>
      </c>
      <c r="O2718" s="11"/>
      <c r="P2718" s="28"/>
      <c r="Q2718" s="28" t="n">
        <f aca="false">P2718*$M2718</f>
        <v>0</v>
      </c>
      <c r="R2718" s="28" t="n">
        <v>827</v>
      </c>
      <c r="S2718" s="28" t="n">
        <v>8270</v>
      </c>
      <c r="T2718" s="28"/>
      <c r="U2718" s="28" t="n">
        <f aca="false">T2718*$M2718</f>
        <v>0</v>
      </c>
      <c r="V2718" s="28"/>
      <c r="W2718" s="28" t="n">
        <f aca="false">V2718*$M2718</f>
        <v>0</v>
      </c>
      <c r="X2718" s="28"/>
      <c r="Y2718" s="28" t="n">
        <f aca="false">X2718*$M2718</f>
        <v>0</v>
      </c>
      <c r="Z2718" s="28"/>
      <c r="AA2718" s="28" t="n">
        <f aca="false">Z2718*$M2718</f>
        <v>0</v>
      </c>
      <c r="AB2718" s="28"/>
      <c r="AC2718" s="28" t="n">
        <f aca="false">AB2718*$M2718</f>
        <v>0</v>
      </c>
      <c r="AD2718" s="28"/>
      <c r="AE2718" s="28" t="n">
        <f aca="false">AD2718*$M2718</f>
        <v>0</v>
      </c>
      <c r="AF2718" s="28"/>
      <c r="AG2718" s="28" t="n">
        <f aca="false">AF2718*$M2718</f>
        <v>0</v>
      </c>
      <c r="AH2718" s="28"/>
      <c r="AI2718" s="28" t="n">
        <f aca="false">AH2718*$M2718</f>
        <v>0</v>
      </c>
      <c r="AJ2718" s="28"/>
      <c r="AK2718" s="28" t="n">
        <f aca="false">AJ2718*$M2718</f>
        <v>0</v>
      </c>
      <c r="AL2718" s="28"/>
      <c r="AM2718" s="28" t="n">
        <f aca="false">AL2718*$M2718</f>
        <v>0</v>
      </c>
      <c r="AN2718" s="28"/>
      <c r="AO2718" s="28" t="n">
        <f aca="false">AN2718*$M2718</f>
        <v>0</v>
      </c>
      <c r="AP2718" s="28"/>
      <c r="AQ2718" s="28" t="n">
        <f aca="false">AP2718*$M2718</f>
        <v>0</v>
      </c>
      <c r="AR2718" s="28"/>
      <c r="AS2718" s="28" t="n">
        <f aca="false">AR2718*$M2718</f>
        <v>0</v>
      </c>
      <c r="AT2718" s="28"/>
      <c r="AU2718" s="28" t="n">
        <f aca="false">AT2718*$M2718</f>
        <v>0</v>
      </c>
      <c r="AV2718" s="28"/>
      <c r="AW2718" s="28" t="n">
        <f aca="false">AV2718*$M2718</f>
        <v>0</v>
      </c>
      <c r="AX2718" s="28"/>
      <c r="AY2718" s="28" t="n">
        <f aca="false">AX2718*$M2718</f>
        <v>0</v>
      </c>
      <c r="AZ2718" s="30" t="n">
        <v>827</v>
      </c>
      <c r="BA2718" s="11" t="n">
        <v>8270</v>
      </c>
      <c r="BB2718" s="31" t="n">
        <f aca="false">SUM(Q2718,S2718,U2718,W2718,Y2718,AA2718,AC2718,AE2718,AG2718,AI2718,AK2718,AM2718,AO2718,AQ2718,AS2718,AU2718,AW2718,AY2718)</f>
        <v>8270</v>
      </c>
      <c r="BC2718" s="28" t="n">
        <f aca="false">BA2718-BB2718</f>
        <v>0</v>
      </c>
      <c r="BD2718" s="32" t="n">
        <f aca="false">SUM(P2718,R2718,T2718,V2718,X2718,Z2718,AB2718,AD2718,AF2718,AH2718,AJ2718,AL2718,AN2718,AP2718,AR2718,AT2718,AV2718,AX2718)</f>
        <v>827</v>
      </c>
      <c r="BE2718" s="33" t="n">
        <f aca="false">AZ2718-BD2718</f>
        <v>0</v>
      </c>
      <c r="BF2718" s="34" t="n">
        <f aca="false">BD2718*M2718</f>
        <v>8270</v>
      </c>
      <c r="BG2718" s="35" t="n">
        <f aca="false">BA2718-BF2718</f>
        <v>0</v>
      </c>
      <c r="BH2718" s="19" t="str">
        <f aca="false">IF(BG2718=0,"",IF(BG2718&lt;&gt;BA2718,"erreur de calcul",IF(BD2718&lt;&gt;0,"pas de prix",IF(M2718&lt;&gt; 0,"pas de quantité","pas de prix, ni de quantité"))))</f>
        <v/>
      </c>
      <c r="BI2718" s="19"/>
    </row>
    <row r="2719" customFormat="false" ht="15" hidden="false" customHeight="false" outlineLevel="0" collapsed="false">
      <c r="A2719" s="0" t="n">
        <v>14</v>
      </c>
      <c r="B2719" s="8" t="s">
        <v>24</v>
      </c>
      <c r="C2719" s="9" t="s">
        <v>25</v>
      </c>
      <c r="D2719" s="9" t="s">
        <v>26</v>
      </c>
      <c r="E2719" s="10" t="n">
        <v>1789</v>
      </c>
      <c r="F2719" s="9" t="s">
        <v>27</v>
      </c>
      <c r="G2719" s="9" t="s">
        <v>27</v>
      </c>
      <c r="H2719" s="11" t="n">
        <v>25</v>
      </c>
      <c r="I2719" s="11" t="s">
        <v>343</v>
      </c>
      <c r="J2719" s="14" t="n">
        <v>4</v>
      </c>
      <c r="K2719" s="14"/>
      <c r="L2719" s="16"/>
      <c r="M2719" s="27" t="n">
        <f aca="false">J2719+(K2719/20)+(L2719/240)</f>
        <v>4</v>
      </c>
      <c r="N2719" s="17" t="s">
        <v>69</v>
      </c>
      <c r="O2719" s="11"/>
      <c r="P2719" s="28"/>
      <c r="Q2719" s="28" t="n">
        <f aca="false">P2719*$M2719</f>
        <v>0</v>
      </c>
      <c r="R2719" s="28"/>
      <c r="S2719" s="28" t="n">
        <f aca="false">R2719*$M2719</f>
        <v>0</v>
      </c>
      <c r="T2719" s="28"/>
      <c r="U2719" s="28" t="n">
        <f aca="false">T2719*$M2719</f>
        <v>0</v>
      </c>
      <c r="V2719" s="28" t="n">
        <v>2198</v>
      </c>
      <c r="W2719" s="28" t="n">
        <v>8792</v>
      </c>
      <c r="X2719" s="28"/>
      <c r="Y2719" s="28" t="n">
        <f aca="false">X2719*$M2719</f>
        <v>0</v>
      </c>
      <c r="Z2719" s="28"/>
      <c r="AA2719" s="28" t="n">
        <f aca="false">Z2719*$M2719</f>
        <v>0</v>
      </c>
      <c r="AB2719" s="28"/>
      <c r="AC2719" s="28" t="n">
        <f aca="false">AB2719*$M2719</f>
        <v>0</v>
      </c>
      <c r="AD2719" s="28"/>
      <c r="AE2719" s="28" t="n">
        <f aca="false">AD2719*$M2719</f>
        <v>0</v>
      </c>
      <c r="AF2719" s="28"/>
      <c r="AG2719" s="28" t="n">
        <f aca="false">AF2719*$M2719</f>
        <v>0</v>
      </c>
      <c r="AH2719" s="28"/>
      <c r="AI2719" s="28" t="n">
        <f aca="false">AH2719*$M2719</f>
        <v>0</v>
      </c>
      <c r="AJ2719" s="28"/>
      <c r="AK2719" s="28" t="n">
        <f aca="false">AJ2719*$M2719</f>
        <v>0</v>
      </c>
      <c r="AL2719" s="28"/>
      <c r="AM2719" s="28" t="n">
        <f aca="false">AL2719*$M2719</f>
        <v>0</v>
      </c>
      <c r="AN2719" s="28"/>
      <c r="AO2719" s="28" t="n">
        <f aca="false">AN2719*$M2719</f>
        <v>0</v>
      </c>
      <c r="AP2719" s="28"/>
      <c r="AQ2719" s="28" t="n">
        <f aca="false">AP2719*$M2719</f>
        <v>0</v>
      </c>
      <c r="AR2719" s="28"/>
      <c r="AS2719" s="28" t="n">
        <f aca="false">AR2719*$M2719</f>
        <v>0</v>
      </c>
      <c r="AT2719" s="28"/>
      <c r="AU2719" s="28" t="n">
        <f aca="false">AT2719*$M2719</f>
        <v>0</v>
      </c>
      <c r="AV2719" s="28"/>
      <c r="AW2719" s="28" t="n">
        <f aca="false">AV2719*$M2719</f>
        <v>0</v>
      </c>
      <c r="AX2719" s="28"/>
      <c r="AY2719" s="28" t="n">
        <f aca="false">AX2719*$M2719</f>
        <v>0</v>
      </c>
      <c r="AZ2719" s="30" t="n">
        <v>2198</v>
      </c>
      <c r="BA2719" s="11" t="n">
        <v>8792</v>
      </c>
      <c r="BB2719" s="31" t="n">
        <f aca="false">SUM(Q2719,S2719,U2719,W2719,Y2719,AA2719,AC2719,AE2719,AG2719,AI2719,AK2719,AM2719,AO2719,AQ2719,AS2719,AU2719,AW2719,AY2719)</f>
        <v>8792</v>
      </c>
      <c r="BC2719" s="28" t="n">
        <f aca="false">BA2719-BB2719</f>
        <v>0</v>
      </c>
      <c r="BD2719" s="32" t="n">
        <f aca="false">SUM(P2719,R2719,T2719,V2719,X2719,Z2719,AB2719,AD2719,AF2719,AH2719,AJ2719,AL2719,AN2719,AP2719,AR2719,AT2719,AV2719,AX2719)</f>
        <v>2198</v>
      </c>
      <c r="BE2719" s="33" t="n">
        <f aca="false">AZ2719-BD2719</f>
        <v>0</v>
      </c>
      <c r="BF2719" s="34" t="n">
        <f aca="false">BD2719*M2719</f>
        <v>8792</v>
      </c>
      <c r="BG2719" s="35" t="n">
        <f aca="false">BA2719-BF2719</f>
        <v>0</v>
      </c>
      <c r="BH2719" s="19" t="str">
        <f aca="false">IF(BG2719=0,"",IF(BG2719&lt;&gt;BA2719,"erreur de calcul",IF(BD2719&lt;&gt;0,"pas de prix",IF(M2719&lt;&gt; 0,"pas de quantité","pas de prix, ni de quantité"))))</f>
        <v/>
      </c>
      <c r="BI2719" s="19"/>
    </row>
    <row r="2720" customFormat="false" ht="15" hidden="false" customHeight="false" outlineLevel="0" collapsed="false">
      <c r="A2720" s="0" t="n">
        <v>15</v>
      </c>
      <c r="B2720" s="8" t="s">
        <v>24</v>
      </c>
      <c r="C2720" s="9" t="s">
        <v>25</v>
      </c>
      <c r="D2720" s="9" t="s">
        <v>26</v>
      </c>
      <c r="E2720" s="10" t="n">
        <v>1789</v>
      </c>
      <c r="F2720" s="9" t="s">
        <v>27</v>
      </c>
      <c r="G2720" s="9" t="s">
        <v>27</v>
      </c>
      <c r="H2720" s="11" t="n">
        <v>25</v>
      </c>
      <c r="I2720" s="11" t="s">
        <v>344</v>
      </c>
      <c r="J2720" s="14" t="n">
        <v>2000</v>
      </c>
      <c r="K2720" s="14"/>
      <c r="L2720" s="16"/>
      <c r="M2720" s="27" t="n">
        <f aca="false">J2720+(K2720/20)+(L2720/240)</f>
        <v>2000</v>
      </c>
      <c r="N2720" s="17" t="s">
        <v>64</v>
      </c>
      <c r="O2720" s="11" t="s">
        <v>277</v>
      </c>
      <c r="P2720" s="28"/>
      <c r="Q2720" s="28" t="n">
        <f aca="false">P2720*$M2720</f>
        <v>0</v>
      </c>
      <c r="R2720" s="28"/>
      <c r="S2720" s="28" t="n">
        <f aca="false">R2720*$M2720</f>
        <v>0</v>
      </c>
      <c r="T2720" s="28"/>
      <c r="U2720" s="28" t="n">
        <f aca="false">T2720*$M2720</f>
        <v>0</v>
      </c>
      <c r="V2720" s="28"/>
      <c r="W2720" s="28" t="n">
        <f aca="false">V2720*$M2720</f>
        <v>0</v>
      </c>
      <c r="X2720" s="28"/>
      <c r="Y2720" s="28" t="n">
        <f aca="false">X2720*$M2720</f>
        <v>0</v>
      </c>
      <c r="Z2720" s="28"/>
      <c r="AA2720" s="28" t="n">
        <f aca="false">Z2720*$M2720</f>
        <v>0</v>
      </c>
      <c r="AB2720" s="28"/>
      <c r="AC2720" s="28" t="n">
        <f aca="false">AB2720*$M2720</f>
        <v>0</v>
      </c>
      <c r="AD2720" s="28"/>
      <c r="AE2720" s="28" t="n">
        <f aca="false">AD2720*$M2720</f>
        <v>0</v>
      </c>
      <c r="AF2720" s="28"/>
      <c r="AG2720" s="28" t="n">
        <f aca="false">AF2720*$M2720</f>
        <v>0</v>
      </c>
      <c r="AH2720" s="28"/>
      <c r="AI2720" s="28" t="n">
        <f aca="false">AH2720*$M2720</f>
        <v>0</v>
      </c>
      <c r="AJ2720" s="28"/>
      <c r="AK2720" s="28" t="n">
        <f aca="false">AJ2720*$M2720</f>
        <v>0</v>
      </c>
      <c r="AL2720" s="28"/>
      <c r="AM2720" s="28" t="n">
        <f aca="false">AL2720*$M2720</f>
        <v>0</v>
      </c>
      <c r="AN2720" s="28"/>
      <c r="AO2720" s="28" t="n">
        <f aca="false">AN2720*$M2720</f>
        <v>0</v>
      </c>
      <c r="AP2720" s="28"/>
      <c r="AQ2720" s="28" t="n">
        <f aca="false">AP2720*$M2720</f>
        <v>0</v>
      </c>
      <c r="AR2720" s="28"/>
      <c r="AS2720" s="28" t="n">
        <f aca="false">AR2720*$M2720</f>
        <v>0</v>
      </c>
      <c r="AT2720" s="28"/>
      <c r="AU2720" s="28" t="n">
        <f aca="false">AT2720*$M2720</f>
        <v>0</v>
      </c>
      <c r="AV2720" s="28"/>
      <c r="AW2720" s="28" t="n">
        <f aca="false">AV2720*$M2720</f>
        <v>0</v>
      </c>
      <c r="AX2720" s="28"/>
      <c r="AY2720" s="28" t="n">
        <f aca="false">AX2720*$M2720</f>
        <v>0</v>
      </c>
      <c r="AZ2720" s="30"/>
      <c r="BA2720" s="11"/>
      <c r="BB2720" s="31" t="n">
        <f aca="false">SUM(Q2720,S2720,U2720,W2720,Y2720,AA2720,AC2720,AE2720,AG2720,AI2720,AK2720,AM2720,AO2720,AQ2720,AS2720,AU2720,AW2720,AY2720)</f>
        <v>0</v>
      </c>
      <c r="BC2720" s="28" t="n">
        <f aca="false">BA2720-BB2720</f>
        <v>0</v>
      </c>
      <c r="BD2720" s="32" t="n">
        <f aca="false">SUM(P2720,R2720,T2720,V2720,X2720,Z2720,AB2720,AD2720,AF2720,AH2720,AJ2720,AL2720,AN2720,AP2720,AR2720,AT2720,AV2720,AX2720)</f>
        <v>0</v>
      </c>
      <c r="BE2720" s="33" t="n">
        <f aca="false">AZ2720-BD2720</f>
        <v>0</v>
      </c>
      <c r="BF2720" s="34" t="n">
        <f aca="false">BD2720*M2720</f>
        <v>0</v>
      </c>
      <c r="BG2720" s="35" t="n">
        <f aca="false">BA2720-BF2720</f>
        <v>0</v>
      </c>
      <c r="BH2720" s="19" t="str">
        <f aca="false">IF(BG2720=0,"",IF(BG2720&lt;&gt;BA2720,"erreur de calcul",IF(BD2720&lt;&gt;0,"pas de prix",IF(M2720&lt;&gt; 0,"pas de quantité","pas de prix, ni de quantité"))))</f>
        <v/>
      </c>
      <c r="BI2720" s="19"/>
    </row>
    <row r="2721" customFormat="false" ht="15" hidden="false" customHeight="false" outlineLevel="0" collapsed="false">
      <c r="A2721" s="0" t="n">
        <v>16</v>
      </c>
      <c r="B2721" s="8" t="s">
        <v>24</v>
      </c>
      <c r="C2721" s="9" t="s">
        <v>25</v>
      </c>
      <c r="D2721" s="9" t="s">
        <v>26</v>
      </c>
      <c r="E2721" s="10" t="n">
        <v>1789</v>
      </c>
      <c r="F2721" s="9" t="s">
        <v>27</v>
      </c>
      <c r="G2721" s="9" t="s">
        <v>27</v>
      </c>
      <c r="H2721" s="11" t="n">
        <v>25</v>
      </c>
      <c r="I2721" s="11" t="s">
        <v>344</v>
      </c>
      <c r="J2721" s="14" t="n">
        <v>2000</v>
      </c>
      <c r="K2721" s="14"/>
      <c r="L2721" s="16"/>
      <c r="M2721" s="27" t="n">
        <f aca="false">J2721+(K2721/20)+(L2721/240)</f>
        <v>2000</v>
      </c>
      <c r="N2721" s="17" t="s">
        <v>64</v>
      </c>
      <c r="O2721" s="11" t="s">
        <v>98</v>
      </c>
      <c r="P2721" s="28"/>
      <c r="Q2721" s="28" t="n">
        <f aca="false">P2721*$M2721</f>
        <v>0</v>
      </c>
      <c r="R2721" s="28"/>
      <c r="S2721" s="28" t="n">
        <f aca="false">R2721*$M2721</f>
        <v>0</v>
      </c>
      <c r="T2721" s="28"/>
      <c r="U2721" s="28" t="n">
        <f aca="false">T2721*$M2721</f>
        <v>0</v>
      </c>
      <c r="V2721" s="28"/>
      <c r="W2721" s="28" t="n">
        <f aca="false">V2721*$M2721</f>
        <v>0</v>
      </c>
      <c r="X2721" s="28" t="n">
        <f aca="false">607/100</f>
        <v>6.07</v>
      </c>
      <c r="Y2721" s="28" t="n">
        <f aca="false">X2721*$M2721</f>
        <v>12140</v>
      </c>
      <c r="Z2721" s="28"/>
      <c r="AA2721" s="28" t="n">
        <f aca="false">Z2721*$M2721</f>
        <v>0</v>
      </c>
      <c r="AB2721" s="28"/>
      <c r="AC2721" s="28" t="n">
        <f aca="false">AB2721*$M2721</f>
        <v>0</v>
      </c>
      <c r="AD2721" s="28"/>
      <c r="AE2721" s="28" t="n">
        <f aca="false">AD2721*$M2721</f>
        <v>0</v>
      </c>
      <c r="AF2721" s="28"/>
      <c r="AG2721" s="28" t="n">
        <f aca="false">AF2721*$M2721</f>
        <v>0</v>
      </c>
      <c r="AH2721" s="28"/>
      <c r="AI2721" s="28" t="n">
        <f aca="false">AH2721*$M2721</f>
        <v>0</v>
      </c>
      <c r="AJ2721" s="28"/>
      <c r="AK2721" s="28" t="n">
        <f aca="false">AJ2721*$M2721</f>
        <v>0</v>
      </c>
      <c r="AL2721" s="28" t="n">
        <f aca="false">145/100</f>
        <v>1.45</v>
      </c>
      <c r="AM2721" s="28" t="n">
        <f aca="false">AL2721*$M2721</f>
        <v>2900</v>
      </c>
      <c r="AN2721" s="28" t="n">
        <f aca="false">3865/100</f>
        <v>38.65</v>
      </c>
      <c r="AO2721" s="28" t="n">
        <v>77300</v>
      </c>
      <c r="AP2721" s="28"/>
      <c r="AQ2721" s="28" t="n">
        <f aca="false">AP2721*$M2721</f>
        <v>0</v>
      </c>
      <c r="AR2721" s="28"/>
      <c r="AS2721" s="28" t="n">
        <f aca="false">AR2721*$M2721</f>
        <v>0</v>
      </c>
      <c r="AT2721" s="28"/>
      <c r="AU2721" s="28" t="n">
        <f aca="false">AT2721*$M2721</f>
        <v>0</v>
      </c>
      <c r="AV2721" s="28"/>
      <c r="AW2721" s="28" t="n">
        <f aca="false">AV2721*$M2721</f>
        <v>0</v>
      </c>
      <c r="AX2721" s="28"/>
      <c r="AY2721" s="28" t="n">
        <f aca="false">AX2721*$M2721</f>
        <v>0</v>
      </c>
      <c r="AZ2721" s="30" t="n">
        <f aca="false">4617/100</f>
        <v>46.17</v>
      </c>
      <c r="BA2721" s="11" t="n">
        <v>92340</v>
      </c>
      <c r="BB2721" s="31" t="n">
        <f aca="false">SUM(Q2721,S2721,U2721,W2721,Y2721,AA2721,AC2721,AE2721,AG2721,AI2721,AK2721,AM2721,AO2721,AQ2721,AS2721,AU2721,AW2721,AY2721)</f>
        <v>92340</v>
      </c>
      <c r="BC2721" s="28" t="n">
        <f aca="false">BA2721-BB2721</f>
        <v>0</v>
      </c>
      <c r="BD2721" s="32" t="n">
        <f aca="false">SUM(P2721,R2721,T2721,V2721,X2721,Z2721,AB2721,AD2721,AF2721,AH2721,AJ2721,AL2721,AN2721,AP2721,AR2721,AT2721,AV2721,AX2721)</f>
        <v>46.17</v>
      </c>
      <c r="BE2721" s="33" t="n">
        <f aca="false">AZ2721-BD2721</f>
        <v>0</v>
      </c>
      <c r="BF2721" s="34" t="n">
        <f aca="false">BD2721*M2721</f>
        <v>92340</v>
      </c>
      <c r="BG2721" s="35" t="n">
        <f aca="false">BA2721-BF2721</f>
        <v>0</v>
      </c>
      <c r="BH2721" s="19" t="str">
        <f aca="false">IF(BG2721=0,"",IF(BG2721&lt;&gt;BA2721,"erreur de calcul",IF(BD2721&lt;&gt;0,"pas de prix",IF(M2721&lt;&gt; 0,"pas de quantité","pas de prix, ni de quantité"))))</f>
        <v/>
      </c>
      <c r="BI2721" s="19"/>
    </row>
    <row r="2722" customFormat="false" ht="15" hidden="false" customHeight="false" outlineLevel="0" collapsed="false">
      <c r="A2722" s="0" t="n">
        <v>17</v>
      </c>
      <c r="B2722" s="8" t="s">
        <v>24</v>
      </c>
      <c r="C2722" s="9" t="s">
        <v>25</v>
      </c>
      <c r="D2722" s="9" t="s">
        <v>26</v>
      </c>
      <c r="E2722" s="10" t="n">
        <v>1789</v>
      </c>
      <c r="F2722" s="9" t="s">
        <v>27</v>
      </c>
      <c r="G2722" s="9" t="s">
        <v>27</v>
      </c>
      <c r="H2722" s="11" t="n">
        <v>25</v>
      </c>
      <c r="I2722" s="11" t="s">
        <v>345</v>
      </c>
      <c r="J2722" s="14"/>
      <c r="K2722" s="14" t="n">
        <v>12</v>
      </c>
      <c r="L2722" s="16"/>
      <c r="M2722" s="27" t="n">
        <f aca="false">J2722+(K2722/20)+(L2722/240)</f>
        <v>0.6</v>
      </c>
      <c r="N2722" s="17" t="s">
        <v>66</v>
      </c>
      <c r="O2722" s="11"/>
      <c r="P2722" s="28"/>
      <c r="Q2722" s="28" t="n">
        <f aca="false">P2722*$M2722</f>
        <v>0</v>
      </c>
      <c r="R2722" s="28"/>
      <c r="S2722" s="28" t="n">
        <f aca="false">R2722*$M2722</f>
        <v>0</v>
      </c>
      <c r="T2722" s="28"/>
      <c r="U2722" s="28" t="n">
        <f aca="false">T2722*$M2722</f>
        <v>0</v>
      </c>
      <c r="V2722" s="28"/>
      <c r="W2722" s="28" t="n">
        <f aca="false">V2722*$M2722</f>
        <v>0</v>
      </c>
      <c r="X2722" s="28"/>
      <c r="Y2722" s="28" t="n">
        <f aca="false">X2722*$M2722</f>
        <v>0</v>
      </c>
      <c r="Z2722" s="28"/>
      <c r="AA2722" s="28" t="n">
        <f aca="false">Z2722*$M2722</f>
        <v>0</v>
      </c>
      <c r="AB2722" s="28"/>
      <c r="AC2722" s="28" t="n">
        <f aca="false">AB2722*$M2722</f>
        <v>0</v>
      </c>
      <c r="AD2722" s="28"/>
      <c r="AE2722" s="28" t="n">
        <f aca="false">AD2722*$M2722</f>
        <v>0</v>
      </c>
      <c r="AF2722" s="28"/>
      <c r="AG2722" s="28" t="n">
        <f aca="false">AF2722*$M2722</f>
        <v>0</v>
      </c>
      <c r="AH2722" s="28"/>
      <c r="AI2722" s="28" t="n">
        <f aca="false">AH2722*$M2722</f>
        <v>0</v>
      </c>
      <c r="AJ2722" s="28" t="n">
        <v>41194</v>
      </c>
      <c r="AK2722" s="28" t="n">
        <v>24716</v>
      </c>
      <c r="AL2722" s="28"/>
      <c r="AM2722" s="28" t="n">
        <f aca="false">AL2722*$M2722</f>
        <v>0</v>
      </c>
      <c r="AN2722" s="28"/>
      <c r="AO2722" s="28" t="n">
        <f aca="false">AN2722*$M2722</f>
        <v>0</v>
      </c>
      <c r="AP2722" s="28"/>
      <c r="AQ2722" s="28" t="n">
        <f aca="false">AP2722*$M2722</f>
        <v>0</v>
      </c>
      <c r="AR2722" s="28"/>
      <c r="AS2722" s="28" t="n">
        <f aca="false">AR2722*$M2722</f>
        <v>0</v>
      </c>
      <c r="AT2722" s="28"/>
      <c r="AU2722" s="28" t="n">
        <f aca="false">AT2722*$M2722</f>
        <v>0</v>
      </c>
      <c r="AV2722" s="28"/>
      <c r="AW2722" s="28" t="n">
        <f aca="false">AV2722*$M2722</f>
        <v>0</v>
      </c>
      <c r="AX2722" s="28"/>
      <c r="AY2722" s="28" t="n">
        <f aca="false">AX2722*$M2722</f>
        <v>0</v>
      </c>
      <c r="AZ2722" s="30" t="n">
        <v>41194</v>
      </c>
      <c r="BA2722" s="11" t="n">
        <v>24716</v>
      </c>
      <c r="BB2722" s="31" t="n">
        <f aca="false">SUM(Q2722,S2722,U2722,W2722,Y2722,AA2722,AC2722,AE2722,AG2722,AI2722,AK2722,AM2722,AO2722,AQ2722,AS2722,AU2722,AW2722,AY2722)</f>
        <v>24716</v>
      </c>
      <c r="BC2722" s="28" t="n">
        <f aca="false">BA2722-BB2722</f>
        <v>0</v>
      </c>
      <c r="BD2722" s="32" t="n">
        <f aca="false">SUM(P2722,R2722,T2722,V2722,X2722,Z2722,AB2722,AD2722,AF2722,AH2722,AJ2722,AL2722,AN2722,AP2722,AR2722,AT2722,AV2722,AX2722)</f>
        <v>41194</v>
      </c>
      <c r="BE2722" s="33" t="n">
        <f aca="false">AZ2722-BD2722</f>
        <v>0</v>
      </c>
      <c r="BF2722" s="34" t="n">
        <f aca="false">BD2722*M2722</f>
        <v>24716.4</v>
      </c>
      <c r="BG2722" s="35" t="n">
        <f aca="false">BA2722-BF2722</f>
        <v>-0.399999999997817</v>
      </c>
      <c r="BH2722" s="19" t="str">
        <f aca="false">IF(BG2722=0,"",IF(BG2722&lt;&gt;BA2722,"erreur de calcul",IF(BD2722&lt;&gt;0,"pas de prix",IF(M2722&lt;&gt; 0,"pas de quantité","pas de prix, ni de quantité"))))</f>
        <v>erreur de calcul</v>
      </c>
      <c r="BI2722" s="19"/>
    </row>
    <row r="2723" customFormat="false" ht="15" hidden="false" customHeight="false" outlineLevel="0" collapsed="false">
      <c r="A2723" s="0" t="n">
        <v>18</v>
      </c>
      <c r="B2723" s="8" t="s">
        <v>24</v>
      </c>
      <c r="C2723" s="9" t="s">
        <v>25</v>
      </c>
      <c r="D2723" s="9" t="s">
        <v>26</v>
      </c>
      <c r="E2723" s="10" t="n">
        <v>1789</v>
      </c>
      <c r="F2723" s="9" t="s">
        <v>27</v>
      </c>
      <c r="G2723" s="9" t="s">
        <v>27</v>
      </c>
      <c r="H2723" s="11" t="n">
        <v>25</v>
      </c>
      <c r="I2723" s="11" t="s">
        <v>346</v>
      </c>
      <c r="J2723" s="14"/>
      <c r="K2723" s="14" t="n">
        <v>50</v>
      </c>
      <c r="L2723" s="16"/>
      <c r="M2723" s="27" t="n">
        <f aca="false">J2723+(K2723/20)+(L2723/240)</f>
        <v>2.5</v>
      </c>
      <c r="N2723" s="17" t="s">
        <v>85</v>
      </c>
      <c r="O2723" s="11"/>
      <c r="P2723" s="28" t="n">
        <f aca="false">371167/100</f>
        <v>3711.67</v>
      </c>
      <c r="Q2723" s="28" t="n">
        <v>9279</v>
      </c>
      <c r="R2723" s="28"/>
      <c r="S2723" s="28" t="n">
        <f aca="false">R2723*$M2723</f>
        <v>0</v>
      </c>
      <c r="T2723" s="28"/>
      <c r="U2723" s="28" t="n">
        <f aca="false">T2723*$M2723</f>
        <v>0</v>
      </c>
      <c r="V2723" s="28"/>
      <c r="W2723" s="28" t="n">
        <f aca="false">V2723*$M2723</f>
        <v>0</v>
      </c>
      <c r="X2723" s="28"/>
      <c r="Y2723" s="28" t="n">
        <f aca="false">X2723*$M2723</f>
        <v>0</v>
      </c>
      <c r="Z2723" s="28"/>
      <c r="AA2723" s="28" t="n">
        <f aca="false">Z2723*$M2723</f>
        <v>0</v>
      </c>
      <c r="AB2723" s="28"/>
      <c r="AC2723" s="28" t="n">
        <f aca="false">AB2723*$M2723</f>
        <v>0</v>
      </c>
      <c r="AD2723" s="28"/>
      <c r="AE2723" s="28" t="n">
        <f aca="false">AD2723*$M2723</f>
        <v>0</v>
      </c>
      <c r="AF2723" s="28"/>
      <c r="AG2723" s="28" t="n">
        <f aca="false">AF2723*$M2723</f>
        <v>0</v>
      </c>
      <c r="AH2723" s="28"/>
      <c r="AI2723" s="28" t="n">
        <f aca="false">AH2723*$M2723</f>
        <v>0</v>
      </c>
      <c r="AJ2723" s="28"/>
      <c r="AK2723" s="28" t="n">
        <f aca="false">AJ2723*$M2723</f>
        <v>0</v>
      </c>
      <c r="AL2723" s="28"/>
      <c r="AM2723" s="28" t="n">
        <f aca="false">AL2723*$M2723</f>
        <v>0</v>
      </c>
      <c r="AN2723" s="28"/>
      <c r="AO2723" s="28" t="n">
        <f aca="false">AN2723*$M2723</f>
        <v>0</v>
      </c>
      <c r="AP2723" s="28"/>
      <c r="AQ2723" s="28" t="n">
        <f aca="false">AP2723*$M2723</f>
        <v>0</v>
      </c>
      <c r="AR2723" s="28"/>
      <c r="AS2723" s="28" t="n">
        <f aca="false">AR2723*$M2723</f>
        <v>0</v>
      </c>
      <c r="AT2723" s="28"/>
      <c r="AU2723" s="28" t="n">
        <f aca="false">AT2723*$M2723</f>
        <v>0</v>
      </c>
      <c r="AV2723" s="28"/>
      <c r="AW2723" s="28" t="n">
        <f aca="false">AV2723*$M2723</f>
        <v>0</v>
      </c>
      <c r="AX2723" s="28"/>
      <c r="AY2723" s="28" t="n">
        <f aca="false">AX2723*$M2723</f>
        <v>0</v>
      </c>
      <c r="AZ2723" s="30" t="n">
        <f aca="false">371167/100</f>
        <v>3711.67</v>
      </c>
      <c r="BA2723" s="11" t="n">
        <v>9279</v>
      </c>
      <c r="BB2723" s="31" t="n">
        <f aca="false">SUM(Q2723,S2723,U2723,W2723,Y2723,AA2723,AC2723,AE2723,AG2723,AI2723,AK2723,AM2723,AO2723,AQ2723,AS2723,AU2723,AW2723,AY2723)</f>
        <v>9279</v>
      </c>
      <c r="BC2723" s="28" t="n">
        <f aca="false">BA2723-BB2723</f>
        <v>0</v>
      </c>
      <c r="BD2723" s="32" t="n">
        <f aca="false">SUM(P2723,R2723,T2723,V2723,X2723,Z2723,AB2723,AD2723,AF2723,AH2723,AJ2723,AL2723,AN2723,AP2723,AR2723,AT2723,AV2723,AX2723)</f>
        <v>3711.67</v>
      </c>
      <c r="BE2723" s="33" t="n">
        <f aca="false">AZ2723-BD2723</f>
        <v>0</v>
      </c>
      <c r="BF2723" s="34" t="n">
        <f aca="false">BD2723*M2723</f>
        <v>9279.175</v>
      </c>
      <c r="BG2723" s="35" t="n">
        <f aca="false">BA2723-BF2723</f>
        <v>-0.174999999999272</v>
      </c>
      <c r="BH2723" s="19" t="str">
        <f aca="false">IF(BG2723=0,"",IF(BG2723&lt;&gt;BA2723,"erreur de calcul",IF(BD2723&lt;&gt;0,"pas de prix",IF(M2723&lt;&gt; 0,"pas de quantité","pas de prix, ni de quantité"))))</f>
        <v>erreur de calcul</v>
      </c>
      <c r="BI2723" s="19"/>
    </row>
    <row r="2724" customFormat="false" ht="16.65" hidden="false" customHeight="false" outlineLevel="0" collapsed="false">
      <c r="A2724" s="0" t="n">
        <v>19</v>
      </c>
      <c r="B2724" s="8" t="s">
        <v>24</v>
      </c>
      <c r="C2724" s="9" t="s">
        <v>25</v>
      </c>
      <c r="D2724" s="9" t="s">
        <v>26</v>
      </c>
      <c r="E2724" s="10" t="n">
        <v>1789</v>
      </c>
      <c r="F2724" s="9" t="s">
        <v>27</v>
      </c>
      <c r="G2724" s="9" t="s">
        <v>27</v>
      </c>
      <c r="H2724" s="11" t="n">
        <v>25</v>
      </c>
      <c r="I2724" s="11" t="s">
        <v>347</v>
      </c>
      <c r="J2724" s="14" t="n">
        <v>60</v>
      </c>
      <c r="K2724" s="14"/>
      <c r="L2724" s="16"/>
      <c r="M2724" s="27" t="n">
        <f aca="false">J2724+(K2724/20)+(L2724/240)</f>
        <v>60</v>
      </c>
      <c r="N2724" s="17" t="s">
        <v>64</v>
      </c>
      <c r="O2724" s="11"/>
      <c r="P2724" s="28"/>
      <c r="Q2724" s="28" t="n">
        <f aca="false">P2724*$M2724</f>
        <v>0</v>
      </c>
      <c r="R2724" s="28"/>
      <c r="S2724" s="28" t="n">
        <f aca="false">R2724*$M2724</f>
        <v>0</v>
      </c>
      <c r="T2724" s="28"/>
      <c r="U2724" s="28" t="n">
        <f aca="false">T2724*$M2724</f>
        <v>0</v>
      </c>
      <c r="V2724" s="28" t="n">
        <f aca="false">4151/100</f>
        <v>41.51</v>
      </c>
      <c r="W2724" s="28" t="n">
        <v>2491</v>
      </c>
      <c r="X2724" s="28" t="n">
        <f aca="false">13344/100</f>
        <v>133.44</v>
      </c>
      <c r="Y2724" s="28" t="n">
        <v>8006</v>
      </c>
      <c r="Z2724" s="28" t="n">
        <f aca="false">3323/100</f>
        <v>33.23</v>
      </c>
      <c r="AA2724" s="28" t="n">
        <v>1994</v>
      </c>
      <c r="AB2724" s="28"/>
      <c r="AC2724" s="28" t="n">
        <f aca="false">AB2724*$M2724</f>
        <v>0</v>
      </c>
      <c r="AD2724" s="28" t="n">
        <f aca="false">15268/100</f>
        <v>152.68</v>
      </c>
      <c r="AE2724" s="28" t="n">
        <v>9161</v>
      </c>
      <c r="AF2724" s="28"/>
      <c r="AG2724" s="28" t="n">
        <f aca="false">AF2724*$M2724</f>
        <v>0</v>
      </c>
      <c r="AH2724" s="28"/>
      <c r="AI2724" s="28" t="n">
        <f aca="false">AH2724*$M2724</f>
        <v>0</v>
      </c>
      <c r="AJ2724" s="28"/>
      <c r="AK2724" s="28" t="n">
        <f aca="false">AJ2724*$M2724</f>
        <v>0</v>
      </c>
      <c r="AL2724" s="28"/>
      <c r="AM2724" s="28" t="n">
        <f aca="false">AL2724*$M2724</f>
        <v>0</v>
      </c>
      <c r="AN2724" s="28"/>
      <c r="AO2724" s="28" t="n">
        <f aca="false">AN2724*$M2724</f>
        <v>0</v>
      </c>
      <c r="AP2724" s="28"/>
      <c r="AQ2724" s="28" t="n">
        <f aca="false">AP2724*$M2724</f>
        <v>0</v>
      </c>
      <c r="AR2724" s="28"/>
      <c r="AS2724" s="28" t="n">
        <f aca="false">AR2724*$M2724</f>
        <v>0</v>
      </c>
      <c r="AT2724" s="28"/>
      <c r="AU2724" s="28" t="n">
        <f aca="false">AT2724*$M2724</f>
        <v>0</v>
      </c>
      <c r="AV2724" s="28"/>
      <c r="AW2724" s="28" t="n">
        <f aca="false">AV2724*$M2724</f>
        <v>0</v>
      </c>
      <c r="AX2724" s="28"/>
      <c r="AY2724" s="28" t="n">
        <f aca="false">AX2724*$M2724</f>
        <v>0</v>
      </c>
      <c r="AZ2724" s="30" t="n">
        <f aca="false">32763/100</f>
        <v>327.63</v>
      </c>
      <c r="BA2724" s="11" t="n">
        <v>21652</v>
      </c>
      <c r="BB2724" s="31" t="n">
        <f aca="false">SUM(Q2724,S2724,U2724,W2724,Y2724,AA2724,AC2724,AE2724,AG2724,AI2724,AK2724,AM2724,AO2724,AQ2724,AS2724,AU2724,AW2724,AY2724)</f>
        <v>21652</v>
      </c>
      <c r="BC2724" s="28" t="n">
        <f aca="false">BA2724-BB2724</f>
        <v>0</v>
      </c>
      <c r="BD2724" s="32" t="n">
        <f aca="false">SUM(P2724,R2724,T2724,V2724,X2724,Z2724,AB2724,AD2724,AF2724,AH2724,AJ2724,AL2724,AN2724,AP2724,AR2724,AT2724,AV2724,AX2724)</f>
        <v>360.86</v>
      </c>
      <c r="BE2724" s="33" t="n">
        <f aca="false">AZ2724-BD2724</f>
        <v>-33.23</v>
      </c>
      <c r="BF2724" s="34" t="n">
        <f aca="false">BD2724*M2724</f>
        <v>21651.6</v>
      </c>
      <c r="BG2724" s="35" t="n">
        <f aca="false">BA2724-BF2724</f>
        <v>0.399999999997817</v>
      </c>
      <c r="BH2724" s="19" t="str">
        <f aca="false">IF(BG2724=0,"",IF(BG2724&lt;&gt;BA2724,"erreur de calcul",IF(BD2724&lt;&gt;0,"pas de prix",IF(M2724&lt;&gt; 0,"pas de quantité","pas de prix, ni de quantité"))))</f>
        <v>erreur de calcul</v>
      </c>
      <c r="BI2724" s="19"/>
    </row>
    <row r="2725" customFormat="false" ht="15" hidden="false" customHeight="false" outlineLevel="0" collapsed="false">
      <c r="A2725" s="0" t="n">
        <v>20</v>
      </c>
      <c r="B2725" s="8" t="s">
        <v>24</v>
      </c>
      <c r="C2725" s="9" t="s">
        <v>25</v>
      </c>
      <c r="D2725" s="9" t="s">
        <v>26</v>
      </c>
      <c r="E2725" s="10" t="n">
        <v>1789</v>
      </c>
      <c r="F2725" s="9" t="s">
        <v>27</v>
      </c>
      <c r="G2725" s="9" t="s">
        <v>27</v>
      </c>
      <c r="H2725" s="11" t="n">
        <v>25</v>
      </c>
      <c r="I2725" s="11" t="s">
        <v>348</v>
      </c>
      <c r="J2725" s="14" t="n">
        <v>9</v>
      </c>
      <c r="K2725" s="14"/>
      <c r="L2725" s="16"/>
      <c r="M2725" s="27" t="n">
        <f aca="false">J2725+(K2725/20)+(L2725/240)</f>
        <v>9</v>
      </c>
      <c r="N2725" s="17" t="s">
        <v>349</v>
      </c>
      <c r="O2725" s="11"/>
      <c r="P2725" s="28"/>
      <c r="Q2725" s="28" t="n">
        <f aca="false">P2725*$M2725</f>
        <v>0</v>
      </c>
      <c r="R2725" s="28"/>
      <c r="S2725" s="28" t="n">
        <f aca="false">R2725*$M2725</f>
        <v>0</v>
      </c>
      <c r="T2725" s="28"/>
      <c r="U2725" s="28" t="n">
        <f aca="false">T2725*$M2725</f>
        <v>0</v>
      </c>
      <c r="V2725" s="28" t="n">
        <v>545</v>
      </c>
      <c r="W2725" s="28" t="n">
        <v>4905</v>
      </c>
      <c r="X2725" s="28"/>
      <c r="Y2725" s="28" t="n">
        <f aca="false">X2725*$M2725</f>
        <v>0</v>
      </c>
      <c r="Z2725" s="28"/>
      <c r="AA2725" s="28" t="n">
        <f aca="false">Z2725*$M2725</f>
        <v>0</v>
      </c>
      <c r="AB2725" s="28"/>
      <c r="AC2725" s="28" t="n">
        <f aca="false">AB2725*$M2725</f>
        <v>0</v>
      </c>
      <c r="AD2725" s="28"/>
      <c r="AE2725" s="28" t="n">
        <f aca="false">AD2725*$M2725</f>
        <v>0</v>
      </c>
      <c r="AF2725" s="28"/>
      <c r="AG2725" s="28" t="n">
        <f aca="false">AF2725*$M2725</f>
        <v>0</v>
      </c>
      <c r="AH2725" s="28"/>
      <c r="AI2725" s="28" t="n">
        <f aca="false">AH2725*$M2725</f>
        <v>0</v>
      </c>
      <c r="AJ2725" s="28" t="n">
        <v>592</v>
      </c>
      <c r="AK2725" s="28" t="n">
        <v>5328</v>
      </c>
      <c r="AL2725" s="28"/>
      <c r="AM2725" s="28" t="n">
        <f aca="false">AL2725*$M2725</f>
        <v>0</v>
      </c>
      <c r="AN2725" s="28"/>
      <c r="AO2725" s="28" t="n">
        <f aca="false">AN2725*$M2725</f>
        <v>0</v>
      </c>
      <c r="AP2725" s="28"/>
      <c r="AQ2725" s="28" t="n">
        <f aca="false">AP2725*$M2725</f>
        <v>0</v>
      </c>
      <c r="AR2725" s="28"/>
      <c r="AS2725" s="28" t="n">
        <f aca="false">AR2725*$M2725</f>
        <v>0</v>
      </c>
      <c r="AT2725" s="28"/>
      <c r="AU2725" s="28" t="n">
        <f aca="false">AT2725*$M2725</f>
        <v>0</v>
      </c>
      <c r="AV2725" s="28"/>
      <c r="AW2725" s="28" t="n">
        <f aca="false">AV2725*$M2725</f>
        <v>0</v>
      </c>
      <c r="AX2725" s="28"/>
      <c r="AY2725" s="28" t="n">
        <f aca="false">AX2725*$M2725</f>
        <v>0</v>
      </c>
      <c r="AZ2725" s="30" t="n">
        <v>1137</v>
      </c>
      <c r="BA2725" s="11" t="n">
        <v>10233</v>
      </c>
      <c r="BB2725" s="31" t="n">
        <f aca="false">SUM(Q2725,S2725,U2725,W2725,Y2725,AA2725,AC2725,AE2725,AG2725,AI2725,AK2725,AM2725,AO2725,AQ2725,AS2725,AU2725,AW2725,AY2725)</f>
        <v>10233</v>
      </c>
      <c r="BC2725" s="28" t="n">
        <f aca="false">BA2725-BB2725</f>
        <v>0</v>
      </c>
      <c r="BD2725" s="32" t="n">
        <f aca="false">SUM(P2725,R2725,T2725,V2725,X2725,Z2725,AB2725,AD2725,AF2725,AH2725,AJ2725,AL2725,AN2725,AP2725,AR2725,AT2725,AV2725,AX2725)</f>
        <v>1137</v>
      </c>
      <c r="BE2725" s="33" t="n">
        <f aca="false">AZ2725-BD2725</f>
        <v>0</v>
      </c>
      <c r="BF2725" s="34" t="n">
        <f aca="false">BD2725*M2725</f>
        <v>10233</v>
      </c>
      <c r="BG2725" s="35" t="n">
        <f aca="false">BA2725-BF2725</f>
        <v>0</v>
      </c>
      <c r="BH2725" s="19" t="str">
        <f aca="false">IF(BG2725=0,"",IF(BG2725&lt;&gt;BA2725,"erreur de calcul",IF(BD2725&lt;&gt;0,"pas de prix",IF(M2725&lt;&gt; 0,"pas de quantité","pas de prix, ni de quantité"))))</f>
        <v/>
      </c>
      <c r="BI2725" s="19"/>
    </row>
    <row r="2726" customFormat="false" ht="15" hidden="false" customHeight="false" outlineLevel="0" collapsed="false">
      <c r="A2726" s="0" t="n">
        <v>21</v>
      </c>
      <c r="B2726" s="8" t="s">
        <v>24</v>
      </c>
      <c r="C2726" s="9" t="s">
        <v>25</v>
      </c>
      <c r="D2726" s="9" t="s">
        <v>26</v>
      </c>
      <c r="E2726" s="10" t="n">
        <v>1789</v>
      </c>
      <c r="F2726" s="9" t="s">
        <v>27</v>
      </c>
      <c r="G2726" s="9" t="s">
        <v>27</v>
      </c>
      <c r="H2726" s="11" t="n">
        <v>25</v>
      </c>
      <c r="I2726" s="11" t="s">
        <v>350</v>
      </c>
      <c r="J2726" s="14"/>
      <c r="K2726" s="14" t="n">
        <v>40</v>
      </c>
      <c r="L2726" s="16"/>
      <c r="M2726" s="27" t="n">
        <f aca="false">J2726+(K2726/20)+(L2726/240)</f>
        <v>2</v>
      </c>
      <c r="N2726" s="17" t="s">
        <v>349</v>
      </c>
      <c r="O2726" s="11"/>
      <c r="P2726" s="28"/>
      <c r="Q2726" s="28" t="n">
        <f aca="false">P2726*$M2726</f>
        <v>0</v>
      </c>
      <c r="R2726" s="28"/>
      <c r="S2726" s="28" t="n">
        <f aca="false">R2726*$M2726</f>
        <v>0</v>
      </c>
      <c r="T2726" s="28"/>
      <c r="U2726" s="28" t="n">
        <f aca="false">T2726*$M2726</f>
        <v>0</v>
      </c>
      <c r="V2726" s="28" t="n">
        <v>2688</v>
      </c>
      <c r="W2726" s="28" t="n">
        <v>5376</v>
      </c>
      <c r="X2726" s="28" t="n">
        <v>775</v>
      </c>
      <c r="Y2726" s="28" t="n">
        <v>1550</v>
      </c>
      <c r="Z2726" s="28"/>
      <c r="AA2726" s="28" t="n">
        <f aca="false">Z2726*$M2726</f>
        <v>0</v>
      </c>
      <c r="AB2726" s="28"/>
      <c r="AC2726" s="28" t="n">
        <f aca="false">AB2726*$M2726</f>
        <v>0</v>
      </c>
      <c r="AD2726" s="28"/>
      <c r="AE2726" s="28" t="n">
        <f aca="false">AD2726*$M2726</f>
        <v>0</v>
      </c>
      <c r="AF2726" s="28"/>
      <c r="AG2726" s="28" t="n">
        <f aca="false">AF2726*$M2726</f>
        <v>0</v>
      </c>
      <c r="AH2726" s="28"/>
      <c r="AI2726" s="28" t="n">
        <f aca="false">AH2726*$M2726</f>
        <v>0</v>
      </c>
      <c r="AJ2726" s="28"/>
      <c r="AK2726" s="28" t="n">
        <f aca="false">AJ2726*$M2726</f>
        <v>0</v>
      </c>
      <c r="AL2726" s="28"/>
      <c r="AM2726" s="28" t="n">
        <f aca="false">AL2726*$M2726</f>
        <v>0</v>
      </c>
      <c r="AN2726" s="28"/>
      <c r="AO2726" s="28" t="n">
        <f aca="false">AN2726*$M2726</f>
        <v>0</v>
      </c>
      <c r="AP2726" s="28"/>
      <c r="AQ2726" s="28" t="n">
        <f aca="false">AP2726*$M2726</f>
        <v>0</v>
      </c>
      <c r="AR2726" s="28"/>
      <c r="AS2726" s="28" t="n">
        <f aca="false">AR2726*$M2726</f>
        <v>0</v>
      </c>
      <c r="AT2726" s="28"/>
      <c r="AU2726" s="28" t="n">
        <f aca="false">AT2726*$M2726</f>
        <v>0</v>
      </c>
      <c r="AV2726" s="28"/>
      <c r="AW2726" s="28" t="n">
        <f aca="false">AV2726*$M2726</f>
        <v>0</v>
      </c>
      <c r="AX2726" s="28"/>
      <c r="AY2726" s="28" t="n">
        <f aca="false">AX2726*$M2726</f>
        <v>0</v>
      </c>
      <c r="AZ2726" s="30" t="n">
        <v>3463</v>
      </c>
      <c r="BA2726" s="11" t="n">
        <v>6926</v>
      </c>
      <c r="BB2726" s="31" t="n">
        <f aca="false">SUM(Q2726,S2726,U2726,W2726,Y2726,AA2726,AC2726,AE2726,AG2726,AI2726,AK2726,AM2726,AO2726,AQ2726,AS2726,AU2726,AW2726,AY2726)</f>
        <v>6926</v>
      </c>
      <c r="BC2726" s="28" t="n">
        <f aca="false">BA2726-BB2726</f>
        <v>0</v>
      </c>
      <c r="BD2726" s="32" t="n">
        <f aca="false">SUM(P2726,R2726,T2726,V2726,X2726,Z2726,AB2726,AD2726,AF2726,AH2726,AJ2726,AL2726,AN2726,AP2726,AR2726,AT2726,AV2726,AX2726)</f>
        <v>3463</v>
      </c>
      <c r="BE2726" s="33" t="n">
        <f aca="false">AZ2726-BD2726</f>
        <v>0</v>
      </c>
      <c r="BF2726" s="34" t="n">
        <f aca="false">BD2726*M2726</f>
        <v>6926</v>
      </c>
      <c r="BG2726" s="35" t="n">
        <f aca="false">BA2726-BF2726</f>
        <v>0</v>
      </c>
      <c r="BH2726" s="19" t="str">
        <f aca="false">IF(BG2726=0,"",IF(BG2726&lt;&gt;BA2726,"erreur de calcul",IF(BD2726&lt;&gt;0,"pas de prix",IF(M2726&lt;&gt; 0,"pas de quantité","pas de prix, ni de quantité"))))</f>
        <v/>
      </c>
      <c r="BI2726" s="19"/>
    </row>
    <row r="2727" customFormat="false" ht="15" hidden="false" customHeight="false" outlineLevel="0" collapsed="false">
      <c r="A2727" s="0" t="n">
        <v>22</v>
      </c>
      <c r="B2727" s="8" t="s">
        <v>24</v>
      </c>
      <c r="C2727" s="9" t="s">
        <v>25</v>
      </c>
      <c r="D2727" s="9" t="s">
        <v>26</v>
      </c>
      <c r="E2727" s="10" t="n">
        <v>1789</v>
      </c>
      <c r="F2727" s="9" t="s">
        <v>27</v>
      </c>
      <c r="G2727" s="9" t="s">
        <v>27</v>
      </c>
      <c r="H2727" s="11" t="n">
        <v>25</v>
      </c>
      <c r="I2727" s="11" t="s">
        <v>351</v>
      </c>
      <c r="J2727" s="14" t="n">
        <v>60</v>
      </c>
      <c r="K2727" s="14"/>
      <c r="L2727" s="16"/>
      <c r="M2727" s="27" t="n">
        <f aca="false">J2727+(K2727/20)+(L2727/240)</f>
        <v>60</v>
      </c>
      <c r="N2727" s="17" t="s">
        <v>69</v>
      </c>
      <c r="O2727" s="11"/>
      <c r="P2727" s="28"/>
      <c r="Q2727" s="28" t="n">
        <f aca="false">P2727*$M2727</f>
        <v>0</v>
      </c>
      <c r="R2727" s="28"/>
      <c r="S2727" s="28" t="n">
        <f aca="false">R2727*$M2727</f>
        <v>0</v>
      </c>
      <c r="T2727" s="28" t="n">
        <v>20</v>
      </c>
      <c r="U2727" s="28" t="n">
        <v>1200</v>
      </c>
      <c r="V2727" s="28" t="n">
        <v>82</v>
      </c>
      <c r="W2727" s="28" t="n">
        <v>4920</v>
      </c>
      <c r="X2727" s="28"/>
      <c r="Y2727" s="28" t="n">
        <f aca="false">X2727*$M2727</f>
        <v>0</v>
      </c>
      <c r="Z2727" s="28"/>
      <c r="AA2727" s="28" t="n">
        <f aca="false">Z2727*$M2727</f>
        <v>0</v>
      </c>
      <c r="AB2727" s="28"/>
      <c r="AC2727" s="28" t="n">
        <f aca="false">AB2727*$M2727</f>
        <v>0</v>
      </c>
      <c r="AD2727" s="28"/>
      <c r="AE2727" s="28" t="n">
        <f aca="false">AD2727*$M2727</f>
        <v>0</v>
      </c>
      <c r="AF2727" s="28"/>
      <c r="AG2727" s="28" t="n">
        <f aca="false">AF2727*$M2727</f>
        <v>0</v>
      </c>
      <c r="AH2727" s="28"/>
      <c r="AI2727" s="28" t="n">
        <f aca="false">AH2727*$M2727</f>
        <v>0</v>
      </c>
      <c r="AJ2727" s="28"/>
      <c r="AK2727" s="28" t="n">
        <f aca="false">AJ2727*$M2727</f>
        <v>0</v>
      </c>
      <c r="AL2727" s="28"/>
      <c r="AM2727" s="28" t="n">
        <f aca="false">AL2727*$M2727</f>
        <v>0</v>
      </c>
      <c r="AN2727" s="28"/>
      <c r="AO2727" s="28" t="n">
        <f aca="false">AN2727*$M2727</f>
        <v>0</v>
      </c>
      <c r="AP2727" s="28"/>
      <c r="AQ2727" s="28" t="n">
        <f aca="false">AP2727*$M2727</f>
        <v>0</v>
      </c>
      <c r="AR2727" s="28"/>
      <c r="AS2727" s="28" t="n">
        <f aca="false">AR2727*$M2727</f>
        <v>0</v>
      </c>
      <c r="AT2727" s="28"/>
      <c r="AU2727" s="28" t="n">
        <f aca="false">AT2727*$M2727</f>
        <v>0</v>
      </c>
      <c r="AV2727" s="28"/>
      <c r="AW2727" s="28" t="n">
        <f aca="false">AV2727*$M2727</f>
        <v>0</v>
      </c>
      <c r="AX2727" s="28"/>
      <c r="AY2727" s="28" t="n">
        <f aca="false">AX2727*$M2727</f>
        <v>0</v>
      </c>
      <c r="AZ2727" s="30" t="n">
        <v>102</v>
      </c>
      <c r="BA2727" s="11" t="n">
        <v>6120</v>
      </c>
      <c r="BB2727" s="31" t="n">
        <f aca="false">SUM(Q2727,S2727,U2727,W2727,Y2727,AA2727,AC2727,AE2727,AG2727,AI2727,AK2727,AM2727,AO2727,AQ2727,AS2727,AU2727,AW2727,AY2727)</f>
        <v>6120</v>
      </c>
      <c r="BC2727" s="28" t="n">
        <f aca="false">BA2727-BB2727</f>
        <v>0</v>
      </c>
      <c r="BD2727" s="32" t="n">
        <f aca="false">SUM(P2727,R2727,T2727,V2727,X2727,Z2727,AB2727,AD2727,AF2727,AH2727,AJ2727,AL2727,AN2727,AP2727,AR2727,AT2727,AV2727,AX2727)</f>
        <v>102</v>
      </c>
      <c r="BE2727" s="33" t="n">
        <f aca="false">AZ2727-BD2727</f>
        <v>0</v>
      </c>
      <c r="BF2727" s="34" t="n">
        <f aca="false">BD2727*M2727</f>
        <v>6120</v>
      </c>
      <c r="BG2727" s="35" t="n">
        <f aca="false">BA2727-BF2727</f>
        <v>0</v>
      </c>
      <c r="BH2727" s="19" t="str">
        <f aca="false">IF(BG2727=0,"",IF(BG2727&lt;&gt;BA2727,"erreur de calcul",IF(BD2727&lt;&gt;0,"pas de prix",IF(M2727&lt;&gt; 0,"pas de quantité","pas de prix, ni de quantité"))))</f>
        <v/>
      </c>
      <c r="BI2727" s="19"/>
    </row>
    <row r="2728" customFormat="false" ht="15" hidden="false" customHeight="false" outlineLevel="0" collapsed="false">
      <c r="A2728" s="0" t="n">
        <v>23</v>
      </c>
      <c r="B2728" s="8" t="s">
        <v>24</v>
      </c>
      <c r="C2728" s="9" t="s">
        <v>25</v>
      </c>
      <c r="D2728" s="9" t="s">
        <v>26</v>
      </c>
      <c r="E2728" s="10" t="n">
        <v>1789</v>
      </c>
      <c r="F2728" s="9" t="s">
        <v>27</v>
      </c>
      <c r="G2728" s="9" t="s">
        <v>27</v>
      </c>
      <c r="H2728" s="11" t="n">
        <v>25</v>
      </c>
      <c r="I2728" s="11" t="s">
        <v>352</v>
      </c>
      <c r="J2728" s="14" t="n">
        <v>150</v>
      </c>
      <c r="K2728" s="14"/>
      <c r="L2728" s="16"/>
      <c r="M2728" s="27" t="n">
        <f aca="false">J2728+(K2728/20)+(L2728/240)</f>
        <v>150</v>
      </c>
      <c r="N2728" s="17" t="s">
        <v>64</v>
      </c>
      <c r="O2728" s="11"/>
      <c r="P2728" s="28" t="n">
        <f aca="false">274/100</f>
        <v>2.74</v>
      </c>
      <c r="Q2728" s="28" t="n">
        <v>411</v>
      </c>
      <c r="R2728" s="28"/>
      <c r="S2728" s="28" t="n">
        <f aca="false">R2728*$M2728</f>
        <v>0</v>
      </c>
      <c r="T2728" s="28" t="n">
        <f aca="false">3042/100</f>
        <v>30.42</v>
      </c>
      <c r="U2728" s="28" t="n">
        <v>4563</v>
      </c>
      <c r="V2728" s="28"/>
      <c r="W2728" s="28" t="n">
        <f aca="false">V2728*$M2728</f>
        <v>0</v>
      </c>
      <c r="X2728" s="28"/>
      <c r="Y2728" s="28" t="n">
        <f aca="false">X2728*$M2728</f>
        <v>0</v>
      </c>
      <c r="Z2728" s="28"/>
      <c r="AA2728" s="28" t="n">
        <f aca="false">Z2728*$M2728</f>
        <v>0</v>
      </c>
      <c r="AB2728" s="28" t="n">
        <f aca="false">92/100</f>
        <v>0.92</v>
      </c>
      <c r="AC2728" s="28" t="n">
        <v>138</v>
      </c>
      <c r="AD2728" s="28"/>
      <c r="AE2728" s="28" t="n">
        <f aca="false">AD2728*$M2728</f>
        <v>0</v>
      </c>
      <c r="AF2728" s="28"/>
      <c r="AG2728" s="28" t="n">
        <f aca="false">AF2728*$M2728</f>
        <v>0</v>
      </c>
      <c r="AH2728" s="28"/>
      <c r="AI2728" s="28" t="n">
        <f aca="false">AH2728*$M2728</f>
        <v>0</v>
      </c>
      <c r="AJ2728" s="28"/>
      <c r="AK2728" s="28" t="n">
        <f aca="false">AJ2728*$M2728</f>
        <v>0</v>
      </c>
      <c r="AL2728" s="28"/>
      <c r="AM2728" s="28" t="n">
        <f aca="false">AL2728*$M2728</f>
        <v>0</v>
      </c>
      <c r="AN2728" s="28"/>
      <c r="AO2728" s="28" t="n">
        <f aca="false">AN2728*$M2728</f>
        <v>0</v>
      </c>
      <c r="AP2728" s="28"/>
      <c r="AQ2728" s="28" t="n">
        <f aca="false">AP2728*$M2728</f>
        <v>0</v>
      </c>
      <c r="AR2728" s="28"/>
      <c r="AS2728" s="28" t="n">
        <f aca="false">AR2728*$M2728</f>
        <v>0</v>
      </c>
      <c r="AT2728" s="28"/>
      <c r="AU2728" s="28" t="n">
        <f aca="false">AT2728*$M2728</f>
        <v>0</v>
      </c>
      <c r="AV2728" s="28"/>
      <c r="AW2728" s="28" t="n">
        <f aca="false">AV2728*$M2728</f>
        <v>0</v>
      </c>
      <c r="AX2728" s="28"/>
      <c r="AY2728" s="28" t="n">
        <f aca="false">AX2728*$M2728</f>
        <v>0</v>
      </c>
      <c r="AZ2728" s="30" t="n">
        <f aca="false">3408/100</f>
        <v>34.08</v>
      </c>
      <c r="BA2728" s="11" t="n">
        <v>5112</v>
      </c>
      <c r="BB2728" s="31" t="n">
        <f aca="false">SUM(Q2728,S2728,U2728,W2728,Y2728,AA2728,AC2728,AE2728,AG2728,AI2728,AK2728,AM2728,AO2728,AQ2728,AS2728,AU2728,AW2728,AY2728)</f>
        <v>5112</v>
      </c>
      <c r="BC2728" s="28" t="n">
        <f aca="false">BA2728-BB2728</f>
        <v>0</v>
      </c>
      <c r="BD2728" s="32" t="n">
        <f aca="false">SUM(P2728,R2728,T2728,V2728,X2728,Z2728,AB2728,AD2728,AF2728,AH2728,AJ2728,AL2728,AN2728,AP2728,AR2728,AT2728,AV2728,AX2728)</f>
        <v>34.08</v>
      </c>
      <c r="BE2728" s="33" t="n">
        <f aca="false">AZ2728-BD2728</f>
        <v>0</v>
      </c>
      <c r="BF2728" s="34" t="n">
        <f aca="false">BD2728*M2728</f>
        <v>5112</v>
      </c>
      <c r="BG2728" s="35" t="n">
        <f aca="false">BA2728-BF2728</f>
        <v>0</v>
      </c>
      <c r="BH2728" s="19" t="str">
        <f aca="false">IF(BG2728=0,"",IF(BG2728&lt;&gt;BA2728,"erreur de calcul",IF(BD2728&lt;&gt;0,"pas de prix",IF(M2728&lt;&gt; 0,"pas de quantité","pas de prix, ni de quantité"))))</f>
        <v/>
      </c>
      <c r="BI2728" s="19"/>
    </row>
    <row r="2729" customFormat="false" ht="15" hidden="false" customHeight="false" outlineLevel="0" collapsed="false">
      <c r="A2729" s="0" t="n">
        <v>24</v>
      </c>
      <c r="B2729" s="8" t="s">
        <v>24</v>
      </c>
      <c r="C2729" s="9" t="s">
        <v>25</v>
      </c>
      <c r="D2729" s="9" t="s">
        <v>26</v>
      </c>
      <c r="E2729" s="10" t="n">
        <v>1789</v>
      </c>
      <c r="F2729" s="9" t="s">
        <v>27</v>
      </c>
      <c r="G2729" s="9" t="s">
        <v>27</v>
      </c>
      <c r="H2729" s="11" t="n">
        <v>25</v>
      </c>
      <c r="I2729" s="11" t="s">
        <v>353</v>
      </c>
      <c r="J2729" s="14" t="n">
        <v>40</v>
      </c>
      <c r="K2729" s="14"/>
      <c r="L2729" s="16"/>
      <c r="M2729" s="27" t="n">
        <f aca="false">J2729+(K2729/20)+(L2729/240)</f>
        <v>40</v>
      </c>
      <c r="N2729" s="17" t="s">
        <v>64</v>
      </c>
      <c r="O2729" s="11"/>
      <c r="P2729" s="28"/>
      <c r="Q2729" s="28" t="n">
        <f aca="false">P2729*$M2729</f>
        <v>0</v>
      </c>
      <c r="R2729" s="28"/>
      <c r="S2729" s="28" t="n">
        <f aca="false">R2729*$M2729</f>
        <v>0</v>
      </c>
      <c r="T2729" s="28"/>
      <c r="U2729" s="28" t="n">
        <f aca="false">T2729*$M2729</f>
        <v>0</v>
      </c>
      <c r="V2729" s="28" t="n">
        <f aca="false">4960/100</f>
        <v>49.6</v>
      </c>
      <c r="W2729" s="28" t="n">
        <v>1984</v>
      </c>
      <c r="X2729" s="28" t="n">
        <f aca="false">394/100</f>
        <v>3.94</v>
      </c>
      <c r="Y2729" s="28" t="n">
        <v>158</v>
      </c>
      <c r="Z2729" s="28"/>
      <c r="AA2729" s="28" t="n">
        <f aca="false">Z2729*$M2729</f>
        <v>0</v>
      </c>
      <c r="AB2729" s="28"/>
      <c r="AC2729" s="28" t="n">
        <f aca="false">AB2729*$M2729</f>
        <v>0</v>
      </c>
      <c r="AD2729" s="28"/>
      <c r="AE2729" s="28" t="n">
        <f aca="false">AD2729*$M2729</f>
        <v>0</v>
      </c>
      <c r="AF2729" s="28"/>
      <c r="AG2729" s="28" t="n">
        <f aca="false">AF2729*$M2729</f>
        <v>0</v>
      </c>
      <c r="AH2729" s="28"/>
      <c r="AI2729" s="28" t="n">
        <f aca="false">AH2729*$M2729</f>
        <v>0</v>
      </c>
      <c r="AJ2729" s="28"/>
      <c r="AK2729" s="28" t="n">
        <f aca="false">AJ2729*$M2729</f>
        <v>0</v>
      </c>
      <c r="AL2729" s="28"/>
      <c r="AM2729" s="28" t="n">
        <f aca="false">AL2729*$M2729</f>
        <v>0</v>
      </c>
      <c r="AN2729" s="28"/>
      <c r="AO2729" s="28" t="n">
        <f aca="false">AN2729*$M2729</f>
        <v>0</v>
      </c>
      <c r="AP2729" s="28"/>
      <c r="AQ2729" s="28" t="n">
        <f aca="false">AP2729*$M2729</f>
        <v>0</v>
      </c>
      <c r="AR2729" s="28"/>
      <c r="AS2729" s="28" t="n">
        <f aca="false">AR2729*$M2729</f>
        <v>0</v>
      </c>
      <c r="AT2729" s="28"/>
      <c r="AU2729" s="28" t="n">
        <f aca="false">AT2729*$M2729</f>
        <v>0</v>
      </c>
      <c r="AV2729" s="28"/>
      <c r="AW2729" s="28" t="n">
        <f aca="false">AV2729*$M2729</f>
        <v>0</v>
      </c>
      <c r="AX2729" s="28"/>
      <c r="AY2729" s="28" t="n">
        <f aca="false">AX2729*$M2729</f>
        <v>0</v>
      </c>
      <c r="AZ2729" s="30" t="n">
        <f aca="false">5354/100</f>
        <v>53.54</v>
      </c>
      <c r="BA2729" s="11" t="n">
        <v>2142</v>
      </c>
      <c r="BB2729" s="31" t="n">
        <f aca="false">SUM(Q2729,S2729,U2729,W2729,Y2729,AA2729,AC2729,AE2729,AG2729,AI2729,AK2729,AM2729,AO2729,AQ2729,AS2729,AU2729,AW2729,AY2729)</f>
        <v>2142</v>
      </c>
      <c r="BC2729" s="28" t="n">
        <f aca="false">BA2729-BB2729</f>
        <v>0</v>
      </c>
      <c r="BD2729" s="32" t="n">
        <f aca="false">SUM(P2729,R2729,T2729,V2729,X2729,Z2729,AB2729,AD2729,AF2729,AH2729,AJ2729,AL2729,AN2729,AP2729,AR2729,AT2729,AV2729,AX2729)</f>
        <v>53.54</v>
      </c>
      <c r="BE2729" s="33" t="n">
        <f aca="false">AZ2729-BD2729</f>
        <v>0</v>
      </c>
      <c r="BF2729" s="34" t="n">
        <f aca="false">BD2729*M2729</f>
        <v>2141.6</v>
      </c>
      <c r="BG2729" s="35" t="n">
        <f aca="false">BA2729-BF2729</f>
        <v>0.400000000000091</v>
      </c>
      <c r="BH2729" s="19" t="str">
        <f aca="false">IF(BG2729=0,"",IF(BG2729&lt;&gt;BA2729,"erreur de calcul",IF(BD2729&lt;&gt;0,"pas de prix",IF(M2729&lt;&gt; 0,"pas de quantité","pas de prix, ni de quantité"))))</f>
        <v>erreur de calcul</v>
      </c>
      <c r="BI2729" s="19"/>
    </row>
    <row r="2730" customFormat="false" ht="15" hidden="false" customHeight="false" outlineLevel="0" collapsed="false">
      <c r="A2730" s="0" t="n">
        <v>25</v>
      </c>
      <c r="B2730" s="8" t="s">
        <v>24</v>
      </c>
      <c r="C2730" s="9" t="s">
        <v>25</v>
      </c>
      <c r="D2730" s="9" t="s">
        <v>26</v>
      </c>
      <c r="E2730" s="10" t="n">
        <v>1789</v>
      </c>
      <c r="F2730" s="9" t="s">
        <v>27</v>
      </c>
      <c r="G2730" s="9" t="s">
        <v>27</v>
      </c>
      <c r="H2730" s="11" t="n">
        <v>25</v>
      </c>
      <c r="I2730" s="11" t="s">
        <v>354</v>
      </c>
      <c r="J2730" s="14" t="n">
        <v>200</v>
      </c>
      <c r="K2730" s="14"/>
      <c r="L2730" s="16"/>
      <c r="M2730" s="27" t="n">
        <f aca="false">J2730+(K2730/20)+(L2730/240)</f>
        <v>200</v>
      </c>
      <c r="N2730" s="17" t="s">
        <v>64</v>
      </c>
      <c r="O2730" s="11"/>
      <c r="P2730" s="28"/>
      <c r="Q2730" s="28" t="n">
        <f aca="false">P2730*$M2730</f>
        <v>0</v>
      </c>
      <c r="R2730" s="28"/>
      <c r="S2730" s="28" t="n">
        <f aca="false">R2730*$M2730</f>
        <v>0</v>
      </c>
      <c r="T2730" s="28" t="n">
        <f aca="false">4367/100</f>
        <v>43.67</v>
      </c>
      <c r="U2730" s="28" t="n">
        <v>8734</v>
      </c>
      <c r="V2730" s="28" t="n">
        <f aca="false">346/100</f>
        <v>3.46</v>
      </c>
      <c r="W2730" s="28" t="n">
        <v>692</v>
      </c>
      <c r="X2730" s="28"/>
      <c r="Y2730" s="28" t="n">
        <f aca="false">X2730*$M2730</f>
        <v>0</v>
      </c>
      <c r="Z2730" s="28"/>
      <c r="AA2730" s="28" t="n">
        <f aca="false">Z2730*$M2730</f>
        <v>0</v>
      </c>
      <c r="AB2730" s="28"/>
      <c r="AC2730" s="28" t="n">
        <f aca="false">AB2730*$M2730</f>
        <v>0</v>
      </c>
      <c r="AD2730" s="28"/>
      <c r="AE2730" s="28" t="n">
        <f aca="false">AD2730*$M2730</f>
        <v>0</v>
      </c>
      <c r="AF2730" s="28"/>
      <c r="AG2730" s="28" t="n">
        <f aca="false">AF2730*$M2730</f>
        <v>0</v>
      </c>
      <c r="AH2730" s="28"/>
      <c r="AI2730" s="28" t="n">
        <f aca="false">AH2730*$M2730</f>
        <v>0</v>
      </c>
      <c r="AJ2730" s="28"/>
      <c r="AK2730" s="28" t="n">
        <f aca="false">AJ2730*$M2730</f>
        <v>0</v>
      </c>
      <c r="AL2730" s="28"/>
      <c r="AM2730" s="28" t="n">
        <f aca="false">AL2730*$M2730</f>
        <v>0</v>
      </c>
      <c r="AN2730" s="28"/>
      <c r="AO2730" s="28" t="n">
        <f aca="false">AN2730*$M2730</f>
        <v>0</v>
      </c>
      <c r="AP2730" s="28"/>
      <c r="AQ2730" s="28" t="n">
        <f aca="false">AP2730*$M2730</f>
        <v>0</v>
      </c>
      <c r="AR2730" s="28"/>
      <c r="AS2730" s="28" t="n">
        <f aca="false">AR2730*$M2730</f>
        <v>0</v>
      </c>
      <c r="AT2730" s="28"/>
      <c r="AU2730" s="28" t="n">
        <f aca="false">AT2730*$M2730</f>
        <v>0</v>
      </c>
      <c r="AV2730" s="28"/>
      <c r="AW2730" s="28" t="n">
        <f aca="false">AV2730*$M2730</f>
        <v>0</v>
      </c>
      <c r="AX2730" s="28"/>
      <c r="AY2730" s="28" t="n">
        <f aca="false">AX2730*$M2730</f>
        <v>0</v>
      </c>
      <c r="AZ2730" s="30" t="n">
        <f aca="false">4713/100</f>
        <v>47.13</v>
      </c>
      <c r="BA2730" s="11" t="n">
        <v>9426</v>
      </c>
      <c r="BB2730" s="31" t="n">
        <f aca="false">SUM(Q2730,S2730,U2730,W2730,Y2730,AA2730,AC2730,AE2730,AG2730,AI2730,AK2730,AM2730,AO2730,AQ2730,AS2730,AU2730,AW2730,AY2730)</f>
        <v>9426</v>
      </c>
      <c r="BC2730" s="28" t="n">
        <f aca="false">BA2730-BB2730</f>
        <v>0</v>
      </c>
      <c r="BD2730" s="32" t="n">
        <f aca="false">SUM(P2730,R2730,T2730,V2730,X2730,Z2730,AB2730,AD2730,AF2730,AH2730,AJ2730,AL2730,AN2730,AP2730,AR2730,AT2730,AV2730,AX2730)</f>
        <v>47.13</v>
      </c>
      <c r="BE2730" s="33" t="n">
        <f aca="false">AZ2730-BD2730</f>
        <v>0</v>
      </c>
      <c r="BF2730" s="34" t="n">
        <f aca="false">BD2730*M2730</f>
        <v>9426</v>
      </c>
      <c r="BG2730" s="35" t="n">
        <f aca="false">BA2730-BF2730</f>
        <v>0</v>
      </c>
      <c r="BH2730" s="19" t="str">
        <f aca="false">IF(BG2730=0,"",IF(BG2730&lt;&gt;BA2730,"erreur de calcul",IF(BD2730&lt;&gt;0,"pas de prix",IF(M2730&lt;&gt; 0,"pas de quantité","pas de prix, ni de quantité"))))</f>
        <v/>
      </c>
      <c r="BI2730" s="19"/>
    </row>
    <row r="2731" customFormat="false" ht="15" hidden="false" customHeight="false" outlineLevel="0" collapsed="false">
      <c r="A2731" s="0" t="n">
        <v>26</v>
      </c>
      <c r="B2731" s="8" t="s">
        <v>24</v>
      </c>
      <c r="C2731" s="9" t="s">
        <v>25</v>
      </c>
      <c r="D2731" s="9" t="s">
        <v>26</v>
      </c>
      <c r="E2731" s="10" t="n">
        <v>1789</v>
      </c>
      <c r="F2731" s="9" t="s">
        <v>27</v>
      </c>
      <c r="G2731" s="9" t="s">
        <v>27</v>
      </c>
      <c r="H2731" s="11" t="n">
        <v>25</v>
      </c>
      <c r="I2731" s="11" t="s">
        <v>355</v>
      </c>
      <c r="J2731" s="14" t="n">
        <v>200</v>
      </c>
      <c r="K2731" s="14"/>
      <c r="L2731" s="16"/>
      <c r="M2731" s="27" t="n">
        <f aca="false">J2731+(K2731/20)+(L2731/240)</f>
        <v>200</v>
      </c>
      <c r="N2731" s="17" t="s">
        <v>64</v>
      </c>
      <c r="O2731" s="11"/>
      <c r="P2731" s="28"/>
      <c r="Q2731" s="28" t="n">
        <f aca="false">P2731*$M2731</f>
        <v>0</v>
      </c>
      <c r="R2731" s="28"/>
      <c r="S2731" s="28" t="n">
        <f aca="false">R2731*$M2731</f>
        <v>0</v>
      </c>
      <c r="T2731" s="28" t="n">
        <f aca="false">2471/100</f>
        <v>24.71</v>
      </c>
      <c r="U2731" s="28" t="n">
        <v>4942</v>
      </c>
      <c r="V2731" s="28"/>
      <c r="W2731" s="28" t="n">
        <f aca="false">V2731*$M2731</f>
        <v>0</v>
      </c>
      <c r="X2731" s="28"/>
      <c r="Y2731" s="28" t="n">
        <f aca="false">X2731*$M2731</f>
        <v>0</v>
      </c>
      <c r="Z2731" s="28"/>
      <c r="AA2731" s="28" t="n">
        <f aca="false">Z2731*$M2731</f>
        <v>0</v>
      </c>
      <c r="AB2731" s="28"/>
      <c r="AC2731" s="28" t="n">
        <f aca="false">AB2731*$M2731</f>
        <v>0</v>
      </c>
      <c r="AD2731" s="28"/>
      <c r="AE2731" s="28" t="n">
        <f aca="false">AD2731*$M2731</f>
        <v>0</v>
      </c>
      <c r="AF2731" s="28"/>
      <c r="AG2731" s="28" t="n">
        <f aca="false">AF2731*$M2731</f>
        <v>0</v>
      </c>
      <c r="AH2731" s="28"/>
      <c r="AI2731" s="28" t="n">
        <f aca="false">AH2731*$M2731</f>
        <v>0</v>
      </c>
      <c r="AJ2731" s="28"/>
      <c r="AK2731" s="28" t="n">
        <f aca="false">AJ2731*$M2731</f>
        <v>0</v>
      </c>
      <c r="AL2731" s="28"/>
      <c r="AM2731" s="28" t="n">
        <f aca="false">AL2731*$M2731</f>
        <v>0</v>
      </c>
      <c r="AN2731" s="28"/>
      <c r="AO2731" s="28" t="n">
        <f aca="false">AN2731*$M2731</f>
        <v>0</v>
      </c>
      <c r="AP2731" s="28"/>
      <c r="AQ2731" s="28" t="n">
        <f aca="false">AP2731*$M2731</f>
        <v>0</v>
      </c>
      <c r="AR2731" s="28"/>
      <c r="AS2731" s="28" t="n">
        <f aca="false">AR2731*$M2731</f>
        <v>0</v>
      </c>
      <c r="AT2731" s="28"/>
      <c r="AU2731" s="28" t="n">
        <f aca="false">AT2731*$M2731</f>
        <v>0</v>
      </c>
      <c r="AV2731" s="28"/>
      <c r="AW2731" s="28" t="n">
        <f aca="false">AV2731*$M2731</f>
        <v>0</v>
      </c>
      <c r="AX2731" s="28"/>
      <c r="AY2731" s="28" t="n">
        <f aca="false">AX2731*$M2731</f>
        <v>0</v>
      </c>
      <c r="AZ2731" s="30" t="n">
        <f aca="false">2471/100</f>
        <v>24.71</v>
      </c>
      <c r="BA2731" s="11" t="n">
        <v>4942</v>
      </c>
      <c r="BB2731" s="31" t="n">
        <f aca="false">SUM(Q2731,S2731,U2731,W2731,Y2731,AA2731,AC2731,AE2731,AG2731,AI2731,AK2731,AM2731,AO2731,AQ2731,AS2731,AU2731,AW2731,AY2731)</f>
        <v>4942</v>
      </c>
      <c r="BC2731" s="28" t="n">
        <f aca="false">BA2731-BB2731</f>
        <v>0</v>
      </c>
      <c r="BD2731" s="32" t="n">
        <f aca="false">SUM(P2731,R2731,T2731,V2731,X2731,Z2731,AB2731,AD2731,AF2731,AH2731,AJ2731,AL2731,AN2731,AP2731,AR2731,AT2731,AV2731,AX2731)</f>
        <v>24.71</v>
      </c>
      <c r="BE2731" s="33" t="n">
        <f aca="false">AZ2731-BD2731</f>
        <v>0</v>
      </c>
      <c r="BF2731" s="34" t="n">
        <f aca="false">BD2731*M2731</f>
        <v>4942</v>
      </c>
      <c r="BG2731" s="35" t="n">
        <f aca="false">BA2731-BF2731</f>
        <v>0</v>
      </c>
      <c r="BH2731" s="19" t="str">
        <f aca="false">IF(BG2731=0,"",IF(BG2731&lt;&gt;BA2731,"erreur de calcul",IF(BD2731&lt;&gt;0,"pas de prix",IF(M2731&lt;&gt; 0,"pas de quantité","pas de prix, ni de quantité"))))</f>
        <v/>
      </c>
      <c r="BI2731" s="19"/>
    </row>
    <row r="2732" customFormat="false" ht="15" hidden="false" customHeight="false" outlineLevel="0" collapsed="false">
      <c r="A2732" s="0" t="n">
        <v>27</v>
      </c>
      <c r="B2732" s="8" t="s">
        <v>24</v>
      </c>
      <c r="C2732" s="9" t="s">
        <v>25</v>
      </c>
      <c r="D2732" s="9" t="s">
        <v>26</v>
      </c>
      <c r="E2732" s="10" t="n">
        <v>1789</v>
      </c>
      <c r="F2732" s="9" t="s">
        <v>27</v>
      </c>
      <c r="G2732" s="9" t="s">
        <v>27</v>
      </c>
      <c r="H2732" s="11" t="n">
        <v>25</v>
      </c>
      <c r="I2732" s="11" t="s">
        <v>356</v>
      </c>
      <c r="J2732" s="14" t="n">
        <v>120</v>
      </c>
      <c r="K2732" s="14"/>
      <c r="L2732" s="16"/>
      <c r="M2732" s="27" t="n">
        <f aca="false">J2732+(K2732/20)+(L2732/240)</f>
        <v>120</v>
      </c>
      <c r="N2732" s="17" t="s">
        <v>64</v>
      </c>
      <c r="O2732" s="11"/>
      <c r="P2732" s="28"/>
      <c r="Q2732" s="28" t="n">
        <f aca="false">P2732*$M2732</f>
        <v>0</v>
      </c>
      <c r="R2732" s="28"/>
      <c r="S2732" s="28" t="n">
        <f aca="false">R2732*$M2732</f>
        <v>0</v>
      </c>
      <c r="T2732" s="28"/>
      <c r="U2732" s="28" t="n">
        <f aca="false">T2732*$M2732</f>
        <v>0</v>
      </c>
      <c r="V2732" s="28"/>
      <c r="W2732" s="28" t="n">
        <f aca="false">V2732*$M2732</f>
        <v>0</v>
      </c>
      <c r="X2732" s="28"/>
      <c r="Y2732" s="28" t="n">
        <f aca="false">X2732*$M2732</f>
        <v>0</v>
      </c>
      <c r="Z2732" s="28"/>
      <c r="AA2732" s="28" t="n">
        <f aca="false">Z2732*$M2732</f>
        <v>0</v>
      </c>
      <c r="AB2732" s="28"/>
      <c r="AC2732" s="28" t="n">
        <f aca="false">AB2732*$M2732</f>
        <v>0</v>
      </c>
      <c r="AD2732" s="28"/>
      <c r="AE2732" s="28" t="n">
        <f aca="false">AD2732*$M2732</f>
        <v>0</v>
      </c>
      <c r="AF2732" s="28"/>
      <c r="AG2732" s="28" t="n">
        <f aca="false">AF2732*$M2732</f>
        <v>0</v>
      </c>
      <c r="AH2732" s="28"/>
      <c r="AI2732" s="28" t="n">
        <f aca="false">AH2732*$M2732</f>
        <v>0</v>
      </c>
      <c r="AJ2732" s="28"/>
      <c r="AK2732" s="28" t="n">
        <f aca="false">AJ2732*$M2732</f>
        <v>0</v>
      </c>
      <c r="AL2732" s="28"/>
      <c r="AM2732" s="28" t="n">
        <f aca="false">AL2732*$M2732</f>
        <v>0</v>
      </c>
      <c r="AN2732" s="28" t="n">
        <f aca="false">407/100</f>
        <v>4.07</v>
      </c>
      <c r="AO2732" s="28" t="n">
        <v>488</v>
      </c>
      <c r="AP2732" s="28"/>
      <c r="AQ2732" s="28" t="n">
        <f aca="false">AP2732*$M2732</f>
        <v>0</v>
      </c>
      <c r="AR2732" s="28"/>
      <c r="AS2732" s="28" t="n">
        <f aca="false">AR2732*$M2732</f>
        <v>0</v>
      </c>
      <c r="AT2732" s="28"/>
      <c r="AU2732" s="28" t="n">
        <f aca="false">AT2732*$M2732</f>
        <v>0</v>
      </c>
      <c r="AV2732" s="28"/>
      <c r="AW2732" s="28" t="n">
        <f aca="false">AV2732*$M2732</f>
        <v>0</v>
      </c>
      <c r="AX2732" s="28"/>
      <c r="AY2732" s="28" t="n">
        <f aca="false">AX2732*$M2732</f>
        <v>0</v>
      </c>
      <c r="AZ2732" s="30" t="n">
        <f aca="false">407/100</f>
        <v>4.07</v>
      </c>
      <c r="BA2732" s="11" t="n">
        <v>488</v>
      </c>
      <c r="BB2732" s="31" t="n">
        <f aca="false">SUM(Q2732,S2732,U2732,W2732,Y2732,AA2732,AC2732,AE2732,AG2732,AI2732,AK2732,AM2732,AO2732,AQ2732,AS2732,AU2732,AW2732,AY2732)</f>
        <v>488</v>
      </c>
      <c r="BC2732" s="28" t="n">
        <f aca="false">BA2732-BB2732</f>
        <v>0</v>
      </c>
      <c r="BD2732" s="32" t="n">
        <f aca="false">SUM(P2732,R2732,T2732,V2732,X2732,Z2732,AB2732,AD2732,AF2732,AH2732,AJ2732,AL2732,AN2732,AP2732,AR2732,AT2732,AV2732,AX2732)</f>
        <v>4.07</v>
      </c>
      <c r="BE2732" s="33" t="n">
        <f aca="false">AZ2732-BD2732</f>
        <v>0</v>
      </c>
      <c r="BF2732" s="34" t="n">
        <f aca="false">BD2732*M2732</f>
        <v>488.4</v>
      </c>
      <c r="BG2732" s="35" t="n">
        <f aca="false">BA2732-BF2732</f>
        <v>-0.400000000000034</v>
      </c>
      <c r="BH2732" s="19" t="str">
        <f aca="false">IF(BG2732=0,"",IF(BG2732&lt;&gt;BA2732,"erreur de calcul",IF(BD2732&lt;&gt;0,"pas de prix",IF(M2732&lt;&gt; 0,"pas de quantité","pas de prix, ni de quantité"))))</f>
        <v>erreur de calcul</v>
      </c>
      <c r="BI2732" s="19"/>
    </row>
    <row r="2733" customFormat="false" ht="15" hidden="false" customHeight="false" outlineLevel="0" collapsed="false">
      <c r="A2733" s="0" t="n">
        <v>28</v>
      </c>
      <c r="B2733" s="8" t="s">
        <v>24</v>
      </c>
      <c r="C2733" s="9" t="s">
        <v>25</v>
      </c>
      <c r="D2733" s="9" t="s">
        <v>26</v>
      </c>
      <c r="E2733" s="10" t="n">
        <v>1789</v>
      </c>
      <c r="F2733" s="9" t="s">
        <v>27</v>
      </c>
      <c r="G2733" s="9" t="s">
        <v>27</v>
      </c>
      <c r="H2733" s="11" t="n">
        <v>25</v>
      </c>
      <c r="I2733" s="11" t="s">
        <v>357</v>
      </c>
      <c r="J2733" s="14" t="n">
        <v>30</v>
      </c>
      <c r="K2733" s="14"/>
      <c r="L2733" s="16"/>
      <c r="M2733" s="27" t="n">
        <f aca="false">J2733+(K2733/20)+(L2733/240)</f>
        <v>30</v>
      </c>
      <c r="N2733" s="17" t="s">
        <v>64</v>
      </c>
      <c r="O2733" s="11"/>
      <c r="P2733" s="28"/>
      <c r="Q2733" s="28" t="n">
        <f aca="false">P2733*$M2733</f>
        <v>0</v>
      </c>
      <c r="R2733" s="28"/>
      <c r="S2733" s="28" t="n">
        <f aca="false">R2733*$M2733</f>
        <v>0</v>
      </c>
      <c r="T2733" s="28" t="n">
        <f aca="false">8903/100</f>
        <v>89.03</v>
      </c>
      <c r="U2733" s="28" t="n">
        <v>2671</v>
      </c>
      <c r="V2733" s="28" t="n">
        <f aca="false">2591/100</f>
        <v>25.91</v>
      </c>
      <c r="W2733" s="28" t="n">
        <v>777</v>
      </c>
      <c r="X2733" s="28"/>
      <c r="Y2733" s="28" t="n">
        <f aca="false">X2733*$M2733</f>
        <v>0</v>
      </c>
      <c r="Z2733" s="28" t="n">
        <f aca="false">17041/100</f>
        <v>170.41</v>
      </c>
      <c r="AA2733" s="28" t="n">
        <v>5112</v>
      </c>
      <c r="AB2733" s="28" t="n">
        <f aca="false">42963/100</f>
        <v>429.63</v>
      </c>
      <c r="AC2733" s="28" t="n">
        <v>12889</v>
      </c>
      <c r="AD2733" s="28"/>
      <c r="AE2733" s="28" t="n">
        <f aca="false">AD2733*$M2733</f>
        <v>0</v>
      </c>
      <c r="AF2733" s="28" t="n">
        <f aca="false">138369/100</f>
        <v>1383.69</v>
      </c>
      <c r="AG2733" s="28" t="n">
        <v>41511</v>
      </c>
      <c r="AH2733" s="28"/>
      <c r="AI2733" s="28" t="n">
        <f aca="false">AH2733*$M2733</f>
        <v>0</v>
      </c>
      <c r="AJ2733" s="28"/>
      <c r="AK2733" s="28" t="n">
        <f aca="false">AJ2733*$M2733</f>
        <v>0</v>
      </c>
      <c r="AL2733" s="28"/>
      <c r="AM2733" s="28" t="n">
        <f aca="false">AL2733*$M2733</f>
        <v>0</v>
      </c>
      <c r="AN2733" s="28"/>
      <c r="AO2733" s="28" t="n">
        <f aca="false">AN2733*$M2733</f>
        <v>0</v>
      </c>
      <c r="AP2733" s="28"/>
      <c r="AQ2733" s="28" t="n">
        <f aca="false">AP2733*$M2733</f>
        <v>0</v>
      </c>
      <c r="AR2733" s="28"/>
      <c r="AS2733" s="28" t="n">
        <f aca="false">AR2733*$M2733</f>
        <v>0</v>
      </c>
      <c r="AT2733" s="28"/>
      <c r="AU2733" s="28" t="n">
        <f aca="false">AT2733*$M2733</f>
        <v>0</v>
      </c>
      <c r="AV2733" s="28"/>
      <c r="AW2733" s="28" t="n">
        <f aca="false">AV2733*$M2733</f>
        <v>0</v>
      </c>
      <c r="AX2733" s="28"/>
      <c r="AY2733" s="28" t="n">
        <f aca="false">AX2733*$M2733</f>
        <v>0</v>
      </c>
      <c r="AZ2733" s="30" t="n">
        <f aca="false">209867/100</f>
        <v>2098.67</v>
      </c>
      <c r="BA2733" s="11" t="n">
        <v>62960</v>
      </c>
      <c r="BB2733" s="31" t="n">
        <f aca="false">SUM(Q2733,S2733,U2733,W2733,Y2733,AA2733,AC2733,AE2733,AG2733,AI2733,AK2733,AM2733,AO2733,AQ2733,AS2733,AU2733,AW2733,AY2733)</f>
        <v>62960</v>
      </c>
      <c r="BC2733" s="28" t="n">
        <f aca="false">BA2733-BB2733</f>
        <v>0</v>
      </c>
      <c r="BD2733" s="32" t="n">
        <f aca="false">SUM(P2733,R2733,T2733,V2733,X2733,Z2733,AB2733,AD2733,AF2733,AH2733,AJ2733,AL2733,AN2733,AP2733,AR2733,AT2733,AV2733,AX2733)</f>
        <v>2098.67</v>
      </c>
      <c r="BE2733" s="33" t="n">
        <f aca="false">AZ2733-BD2733</f>
        <v>0</v>
      </c>
      <c r="BF2733" s="34" t="n">
        <f aca="false">BD2733*M2733</f>
        <v>62960.1</v>
      </c>
      <c r="BG2733" s="35" t="n">
        <f aca="false">BA2733-BF2733</f>
        <v>-0.100000000013097</v>
      </c>
      <c r="BH2733" s="19" t="str">
        <f aca="false">IF(BG2733=0,"",IF(BG2733&lt;&gt;BA2733,"erreur de calcul",IF(BD2733&lt;&gt;0,"pas de prix",IF(M2733&lt;&gt; 0,"pas de quantité","pas de prix, ni de quantité"))))</f>
        <v>erreur de calcul</v>
      </c>
      <c r="BI2733" s="19"/>
    </row>
    <row r="2734" customFormat="false" ht="15" hidden="false" customHeight="false" outlineLevel="0" collapsed="false">
      <c r="A2734" s="0" t="n">
        <v>29</v>
      </c>
      <c r="B2734" s="8" t="s">
        <v>24</v>
      </c>
      <c r="C2734" s="9" t="s">
        <v>25</v>
      </c>
      <c r="D2734" s="9" t="s">
        <v>26</v>
      </c>
      <c r="E2734" s="10" t="n">
        <v>1789</v>
      </c>
      <c r="F2734" s="9" t="s">
        <v>27</v>
      </c>
      <c r="G2734" s="9" t="s">
        <v>27</v>
      </c>
      <c r="H2734" s="11" t="n">
        <v>25</v>
      </c>
      <c r="I2734" s="11" t="s">
        <v>358</v>
      </c>
      <c r="J2734" s="14" t="n">
        <v>35</v>
      </c>
      <c r="K2734" s="14"/>
      <c r="L2734" s="16"/>
      <c r="M2734" s="27" t="n">
        <f aca="false">J2734+(K2734/20)+(L2734/240)</f>
        <v>35</v>
      </c>
      <c r="N2734" s="17" t="s">
        <v>64</v>
      </c>
      <c r="O2734" s="11"/>
      <c r="P2734" s="28"/>
      <c r="Q2734" s="28" t="n">
        <f aca="false">P2734*$M2734</f>
        <v>0</v>
      </c>
      <c r="R2734" s="28"/>
      <c r="S2734" s="28" t="n">
        <f aca="false">R2734*$M2734</f>
        <v>0</v>
      </c>
      <c r="T2734" s="28" t="n">
        <f aca="false">62095/100</f>
        <v>620.95</v>
      </c>
      <c r="U2734" s="28" t="n">
        <v>21733</v>
      </c>
      <c r="V2734" s="28" t="n">
        <f aca="false">257918/100</f>
        <v>2579.18</v>
      </c>
      <c r="W2734" s="28" t="n">
        <v>90271</v>
      </c>
      <c r="X2734" s="28" t="n">
        <f aca="false">10723/100</f>
        <v>107.23</v>
      </c>
      <c r="Y2734" s="28" t="n">
        <v>3753</v>
      </c>
      <c r="Z2734" s="28" t="n">
        <f aca="false">21191/100</f>
        <v>211.91</v>
      </c>
      <c r="AA2734" s="28" t="n">
        <v>7417</v>
      </c>
      <c r="AB2734" s="28" t="n">
        <f aca="false">308781/100</f>
        <v>3087.81</v>
      </c>
      <c r="AC2734" s="28" t="n">
        <v>108073</v>
      </c>
      <c r="AD2734" s="28"/>
      <c r="AE2734" s="28" t="n">
        <f aca="false">AD2734*$M2734</f>
        <v>0</v>
      </c>
      <c r="AF2734" s="28" t="n">
        <f aca="false">5225/100</f>
        <v>52.25</v>
      </c>
      <c r="AG2734" s="28" t="n">
        <v>1829</v>
      </c>
      <c r="AH2734" s="28"/>
      <c r="AI2734" s="28" t="n">
        <f aca="false">AH2734*$M2734</f>
        <v>0</v>
      </c>
      <c r="AJ2734" s="28"/>
      <c r="AK2734" s="28" t="n">
        <f aca="false">AJ2734*$M2734</f>
        <v>0</v>
      </c>
      <c r="AL2734" s="28"/>
      <c r="AM2734" s="28" t="n">
        <f aca="false">AL2734*$M2734</f>
        <v>0</v>
      </c>
      <c r="AN2734" s="28"/>
      <c r="AO2734" s="28" t="n">
        <f aca="false">AN2734*$M2734</f>
        <v>0</v>
      </c>
      <c r="AP2734" s="28"/>
      <c r="AQ2734" s="28" t="n">
        <f aca="false">AP2734*$M2734</f>
        <v>0</v>
      </c>
      <c r="AR2734" s="28"/>
      <c r="AS2734" s="28" t="n">
        <f aca="false">AR2734*$M2734</f>
        <v>0</v>
      </c>
      <c r="AT2734" s="28"/>
      <c r="AU2734" s="28" t="n">
        <f aca="false">AT2734*$M2734</f>
        <v>0</v>
      </c>
      <c r="AV2734" s="28"/>
      <c r="AW2734" s="28" t="n">
        <f aca="false">AV2734*$M2734</f>
        <v>0</v>
      </c>
      <c r="AX2734" s="28"/>
      <c r="AY2734" s="28" t="n">
        <f aca="false">AX2734*$M2734</f>
        <v>0</v>
      </c>
      <c r="AZ2734" s="30" t="n">
        <f aca="false">665933/100</f>
        <v>6659.33</v>
      </c>
      <c r="BA2734" s="11" t="n">
        <v>233076</v>
      </c>
      <c r="BB2734" s="31" t="n">
        <f aca="false">SUM(Q2734,S2734,U2734,W2734,Y2734,AA2734,AC2734,AE2734,AG2734,AI2734,AK2734,AM2734,AO2734,AQ2734,AS2734,AU2734,AW2734,AY2734)</f>
        <v>233076</v>
      </c>
      <c r="BC2734" s="28" t="n">
        <f aca="false">BA2734-BB2734</f>
        <v>0</v>
      </c>
      <c r="BD2734" s="32" t="n">
        <f aca="false">SUM(P2734,R2734,T2734,V2734,X2734,Z2734,AB2734,AD2734,AF2734,AH2734,AJ2734,AL2734,AN2734,AP2734,AR2734,AT2734,AV2734,AX2734)</f>
        <v>6659.33</v>
      </c>
      <c r="BE2734" s="33" t="n">
        <f aca="false">AZ2734-BD2734</f>
        <v>0</v>
      </c>
      <c r="BF2734" s="34" t="n">
        <f aca="false">BD2734*M2734</f>
        <v>233076.55</v>
      </c>
      <c r="BG2734" s="35" t="n">
        <f aca="false">BA2734-BF2734</f>
        <v>-0.549999999959255</v>
      </c>
      <c r="BH2734" s="19" t="str">
        <f aca="false">IF(BG2734=0,"",IF(BG2734&lt;&gt;BA2734,"erreur de calcul",IF(BD2734&lt;&gt;0,"pas de prix",IF(M2734&lt;&gt; 0,"pas de quantité","pas de prix, ni de quantité"))))</f>
        <v>erreur de calcul</v>
      </c>
      <c r="BI2734" s="19"/>
    </row>
    <row r="2735" customFormat="false" ht="15" hidden="false" customHeight="false" outlineLevel="0" collapsed="false">
      <c r="A2735" s="0" t="n">
        <v>30</v>
      </c>
      <c r="B2735" s="8" t="s">
        <v>24</v>
      </c>
      <c r="C2735" s="9" t="s">
        <v>25</v>
      </c>
      <c r="D2735" s="9" t="s">
        <v>26</v>
      </c>
      <c r="E2735" s="10" t="n">
        <v>1789</v>
      </c>
      <c r="F2735" s="9" t="s">
        <v>27</v>
      </c>
      <c r="G2735" s="9" t="s">
        <v>27</v>
      </c>
      <c r="H2735" s="11" t="n">
        <v>25</v>
      </c>
      <c r="I2735" s="11" t="s">
        <v>359</v>
      </c>
      <c r="J2735" s="14"/>
      <c r="K2735" s="14"/>
      <c r="L2735" s="16"/>
      <c r="M2735" s="27" t="n">
        <f aca="false">J2735+(K2735/20)+(L2735/240)</f>
        <v>0</v>
      </c>
      <c r="N2735" s="17"/>
      <c r="O2735" s="11" t="s">
        <v>109</v>
      </c>
      <c r="P2735" s="28"/>
      <c r="Q2735" s="28" t="n">
        <f aca="false">P2735*$M2735</f>
        <v>0</v>
      </c>
      <c r="R2735" s="28"/>
      <c r="S2735" s="28" t="n">
        <f aca="false">R2735*$M2735</f>
        <v>0</v>
      </c>
      <c r="T2735" s="28"/>
      <c r="U2735" s="28" t="n">
        <f aca="false">T2735*$M2735</f>
        <v>0</v>
      </c>
      <c r="V2735" s="28"/>
      <c r="W2735" s="28" t="n">
        <f aca="false">V2735*$M2735</f>
        <v>0</v>
      </c>
      <c r="X2735" s="28"/>
      <c r="Y2735" s="28" t="n">
        <f aca="false">X2735*$M2735</f>
        <v>0</v>
      </c>
      <c r="Z2735" s="28"/>
      <c r="AA2735" s="28" t="n">
        <f aca="false">Z2735*$M2735</f>
        <v>0</v>
      </c>
      <c r="AB2735" s="28"/>
      <c r="AC2735" s="28" t="n">
        <f aca="false">AB2735*$M2735</f>
        <v>0</v>
      </c>
      <c r="AD2735" s="28"/>
      <c r="AE2735" s="28" t="n">
        <f aca="false">AD2735*$M2735</f>
        <v>0</v>
      </c>
      <c r="AF2735" s="28"/>
      <c r="AG2735" s="28" t="n">
        <f aca="false">AF2735*$M2735</f>
        <v>0</v>
      </c>
      <c r="AH2735" s="28"/>
      <c r="AI2735" s="28" t="n">
        <f aca="false">AH2735*$M2735</f>
        <v>0</v>
      </c>
      <c r="AJ2735" s="28"/>
      <c r="AK2735" s="28" t="n">
        <f aca="false">AJ2735*$M2735</f>
        <v>0</v>
      </c>
      <c r="AL2735" s="28"/>
      <c r="AM2735" s="28" t="n">
        <f aca="false">AL2735*$M2735</f>
        <v>0</v>
      </c>
      <c r="AN2735" s="28"/>
      <c r="AO2735" s="28" t="n">
        <f aca="false">AN2735*$M2735</f>
        <v>0</v>
      </c>
      <c r="AP2735" s="28"/>
      <c r="AQ2735" s="28" t="n">
        <f aca="false">AP2735*$M2735</f>
        <v>0</v>
      </c>
      <c r="AR2735" s="28"/>
      <c r="AS2735" s="28" t="n">
        <f aca="false">AR2735*$M2735</f>
        <v>0</v>
      </c>
      <c r="AT2735" s="28"/>
      <c r="AU2735" s="28" t="n">
        <f aca="false">AT2735*$M2735</f>
        <v>0</v>
      </c>
      <c r="AV2735" s="28"/>
      <c r="AW2735" s="28" t="n">
        <f aca="false">AV2735*$M2735</f>
        <v>0</v>
      </c>
      <c r="AX2735" s="28"/>
      <c r="AY2735" s="28" t="n">
        <f aca="false">AX2735*$M2735</f>
        <v>0</v>
      </c>
      <c r="AZ2735" s="30"/>
      <c r="BA2735" s="11"/>
      <c r="BB2735" s="31" t="n">
        <f aca="false">SUM(Q2735,S2735,U2735,W2735,Y2735,AA2735,AC2735,AE2735,AG2735,AI2735,AK2735,AM2735,AO2735,AQ2735,AS2735,AU2735,AW2735,AY2735)</f>
        <v>0</v>
      </c>
      <c r="BC2735" s="28" t="n">
        <f aca="false">BA2735-BB2735</f>
        <v>0</v>
      </c>
      <c r="BD2735" s="32" t="n">
        <f aca="false">SUM(P2735,R2735,T2735,V2735,X2735,Z2735,AB2735,AD2735,AF2735,AH2735,AJ2735,AL2735,AN2735,AP2735,AR2735,AT2735,AV2735,AX2735)</f>
        <v>0</v>
      </c>
      <c r="BE2735" s="33" t="n">
        <f aca="false">AZ2735-BD2735</f>
        <v>0</v>
      </c>
      <c r="BF2735" s="34" t="n">
        <f aca="false">BD2735*M2735</f>
        <v>0</v>
      </c>
      <c r="BG2735" s="35" t="n">
        <f aca="false">BA2735-BF2735</f>
        <v>0</v>
      </c>
      <c r="BH2735" s="19" t="str">
        <f aca="false">IF(BG2735=0,"",IF(BG2735&lt;&gt;BA2735,"erreur de calcul",IF(BD2735&lt;&gt;0,"pas de prix",IF(M2735&lt;&gt; 0,"pas de quantité","pas de prix, ni de quantité"))))</f>
        <v/>
      </c>
      <c r="BI2735" s="19"/>
    </row>
    <row r="2736" customFormat="false" ht="15" hidden="false" customHeight="false" outlineLevel="0" collapsed="false">
      <c r="A2736" s="0" t="n">
        <v>31</v>
      </c>
      <c r="B2736" s="8" t="s">
        <v>24</v>
      </c>
      <c r="C2736" s="9" t="s">
        <v>25</v>
      </c>
      <c r="D2736" s="9" t="s">
        <v>26</v>
      </c>
      <c r="E2736" s="10" t="n">
        <v>1789</v>
      </c>
      <c r="F2736" s="9" t="s">
        <v>27</v>
      </c>
      <c r="G2736" s="9" t="s">
        <v>27</v>
      </c>
      <c r="H2736" s="11" t="n">
        <v>25</v>
      </c>
      <c r="I2736" s="11" t="s">
        <v>359</v>
      </c>
      <c r="J2736" s="14"/>
      <c r="K2736" s="14"/>
      <c r="L2736" s="16"/>
      <c r="M2736" s="27" t="n">
        <f aca="false">J2736+(K2736/20)+(L2736/240)</f>
        <v>0</v>
      </c>
      <c r="N2736" s="17"/>
      <c r="O2736" s="11" t="s">
        <v>277</v>
      </c>
      <c r="P2736" s="28"/>
      <c r="Q2736" s="28" t="n">
        <f aca="false">P2736*$M2736</f>
        <v>0</v>
      </c>
      <c r="R2736" s="28"/>
      <c r="S2736" s="28" t="n">
        <f aca="false">R2736*$M2736</f>
        <v>0</v>
      </c>
      <c r="T2736" s="28"/>
      <c r="U2736" s="28" t="n">
        <f aca="false">T2736*$M2736</f>
        <v>0</v>
      </c>
      <c r="V2736" s="28"/>
      <c r="W2736" s="28" t="n">
        <f aca="false">V2736*$M2736</f>
        <v>0</v>
      </c>
      <c r="X2736" s="28"/>
      <c r="Y2736" s="28" t="n">
        <v>1361</v>
      </c>
      <c r="Z2736" s="28"/>
      <c r="AA2736" s="28" t="n">
        <f aca="false">Z2736*$M2736</f>
        <v>0</v>
      </c>
      <c r="AB2736" s="28"/>
      <c r="AC2736" s="28" t="n">
        <v>1182</v>
      </c>
      <c r="AD2736" s="28"/>
      <c r="AE2736" s="28" t="n">
        <v>649</v>
      </c>
      <c r="AF2736" s="28"/>
      <c r="AG2736" s="28" t="n">
        <f aca="false">AF2736*$M2736</f>
        <v>0</v>
      </c>
      <c r="AH2736" s="28"/>
      <c r="AI2736" s="28" t="n">
        <v>862</v>
      </c>
      <c r="AJ2736" s="28"/>
      <c r="AK2736" s="28" t="n">
        <f aca="false">AJ2736*$M2736</f>
        <v>0</v>
      </c>
      <c r="AL2736" s="28"/>
      <c r="AM2736" s="28" t="n">
        <f aca="false">AL2736*$M2736</f>
        <v>0</v>
      </c>
      <c r="AN2736" s="28"/>
      <c r="AO2736" s="28" t="n">
        <f aca="false">AN2736*$M2736</f>
        <v>0</v>
      </c>
      <c r="AP2736" s="28"/>
      <c r="AQ2736" s="28" t="n">
        <f aca="false">AP2736*$M2736</f>
        <v>0</v>
      </c>
      <c r="AR2736" s="28"/>
      <c r="AS2736" s="28" t="n">
        <f aca="false">AR2736*$M2736</f>
        <v>0</v>
      </c>
      <c r="AT2736" s="28"/>
      <c r="AU2736" s="28" t="n">
        <f aca="false">AT2736*$M2736</f>
        <v>0</v>
      </c>
      <c r="AV2736" s="28"/>
      <c r="AW2736" s="28" t="n">
        <f aca="false">AV2736*$M2736</f>
        <v>0</v>
      </c>
      <c r="AX2736" s="28"/>
      <c r="AY2736" s="28" t="n">
        <f aca="false">AX2736*$M2736</f>
        <v>0</v>
      </c>
      <c r="AZ2736" s="30"/>
      <c r="BA2736" s="11" t="n">
        <v>4054</v>
      </c>
      <c r="BB2736" s="31" t="n">
        <f aca="false">SUM(Q2736,S2736,U2736,W2736,Y2736,AA2736,AC2736,AE2736,AG2736,AI2736,AK2736,AM2736,AO2736,AQ2736,AS2736,AU2736,AW2736,AY2736)</f>
        <v>4054</v>
      </c>
      <c r="BC2736" s="28" t="n">
        <f aca="false">BA2736-BB2736</f>
        <v>0</v>
      </c>
      <c r="BD2736" s="32" t="n">
        <f aca="false">SUM(P2736,R2736,T2736,V2736,X2736,Z2736,AB2736,AD2736,AF2736,AH2736,AJ2736,AL2736,AN2736,AP2736,AR2736,AT2736,AV2736,AX2736)</f>
        <v>0</v>
      </c>
      <c r="BE2736" s="33" t="n">
        <f aca="false">AZ2736-BD2736</f>
        <v>0</v>
      </c>
      <c r="BF2736" s="34" t="n">
        <f aca="false">BD2736*M2736</f>
        <v>0</v>
      </c>
      <c r="BG2736" s="35" t="n">
        <f aca="false">BA2736-BF2736</f>
        <v>4054</v>
      </c>
      <c r="BH2736" s="19" t="str">
        <f aca="false">IF(BG2736=0,"",IF(BG2736&lt;&gt;BA2736,"erreur de calcul",IF(BD2736&lt;&gt;0,"pas de prix",IF(M2736&lt;&gt; 0,"pas de quantité","pas de prix, ni de quantité"))))</f>
        <v>pas de prix, ni de quantité</v>
      </c>
      <c r="BI2736" s="19"/>
    </row>
    <row r="2737" customFormat="false" ht="15" hidden="false" customHeight="false" outlineLevel="0" collapsed="false">
      <c r="A2737" s="0" t="n">
        <v>32</v>
      </c>
      <c r="B2737" s="8" t="s">
        <v>24</v>
      </c>
      <c r="C2737" s="9" t="s">
        <v>25</v>
      </c>
      <c r="D2737" s="9" t="s">
        <v>26</v>
      </c>
      <c r="E2737" s="10" t="n">
        <v>1789</v>
      </c>
      <c r="F2737" s="9" t="s">
        <v>27</v>
      </c>
      <c r="G2737" s="9" t="s">
        <v>27</v>
      </c>
      <c r="H2737" s="11" t="n">
        <v>25</v>
      </c>
      <c r="I2737" s="11" t="s">
        <v>360</v>
      </c>
      <c r="J2737" s="14" t="n">
        <v>66</v>
      </c>
      <c r="K2737" s="14"/>
      <c r="L2737" s="16"/>
      <c r="M2737" s="27" t="n">
        <f aca="false">J2737+(K2737/20)+(L2737/240)</f>
        <v>66</v>
      </c>
      <c r="N2737" s="17" t="s">
        <v>64</v>
      </c>
      <c r="O2737" s="11"/>
      <c r="P2737" s="28"/>
      <c r="Q2737" s="28" t="n">
        <f aca="false">P2737*$M2737</f>
        <v>0</v>
      </c>
      <c r="R2737" s="28"/>
      <c r="S2737" s="28" t="n">
        <f aca="false">R2737*$M2737</f>
        <v>0</v>
      </c>
      <c r="T2737" s="28"/>
      <c r="U2737" s="28" t="n">
        <f aca="false">T2737*$M2737</f>
        <v>0</v>
      </c>
      <c r="V2737" s="28"/>
      <c r="W2737" s="28" t="n">
        <f aca="false">V2737*$M2737</f>
        <v>0</v>
      </c>
      <c r="X2737" s="28"/>
      <c r="Y2737" s="28" t="n">
        <f aca="false">X2737*$M2737</f>
        <v>0</v>
      </c>
      <c r="Z2737" s="28"/>
      <c r="AA2737" s="28" t="n">
        <f aca="false">Z2737*$M2737</f>
        <v>0</v>
      </c>
      <c r="AB2737" s="28"/>
      <c r="AC2737" s="28" t="n">
        <f aca="false">AB2737*$M2737</f>
        <v>0</v>
      </c>
      <c r="AD2737" s="28"/>
      <c r="AE2737" s="28" t="n">
        <f aca="false">AD2737*$M2737</f>
        <v>0</v>
      </c>
      <c r="AF2737" s="28"/>
      <c r="AG2737" s="28" t="n">
        <f aca="false">AF2737*$M2737</f>
        <v>0</v>
      </c>
      <c r="AH2737" s="28" t="n">
        <f aca="false">75475/100</f>
        <v>754.75</v>
      </c>
      <c r="AI2737" s="28" t="n">
        <v>49813</v>
      </c>
      <c r="AJ2737" s="28"/>
      <c r="AK2737" s="28" t="n">
        <f aca="false">AJ2737*$M2737</f>
        <v>0</v>
      </c>
      <c r="AL2737" s="28"/>
      <c r="AM2737" s="28" t="n">
        <f aca="false">AL2737*$M2737</f>
        <v>0</v>
      </c>
      <c r="AN2737" s="28"/>
      <c r="AO2737" s="28" t="n">
        <f aca="false">AN2737*$M2737</f>
        <v>0</v>
      </c>
      <c r="AP2737" s="28"/>
      <c r="AQ2737" s="28" t="n">
        <f aca="false">AP2737*$M2737</f>
        <v>0</v>
      </c>
      <c r="AR2737" s="28"/>
      <c r="AS2737" s="28" t="n">
        <f aca="false">AR2737*$M2737</f>
        <v>0</v>
      </c>
      <c r="AT2737" s="28"/>
      <c r="AU2737" s="28" t="n">
        <f aca="false">AT2737*$M2737</f>
        <v>0</v>
      </c>
      <c r="AV2737" s="28"/>
      <c r="AW2737" s="28" t="n">
        <f aca="false">AV2737*$M2737</f>
        <v>0</v>
      </c>
      <c r="AX2737" s="28"/>
      <c r="AY2737" s="28" t="n">
        <f aca="false">AX2737*$M2737</f>
        <v>0</v>
      </c>
      <c r="AZ2737" s="30" t="n">
        <f aca="false">75475/100</f>
        <v>754.75</v>
      </c>
      <c r="BA2737" s="11" t="n">
        <v>49813</v>
      </c>
      <c r="BB2737" s="31" t="n">
        <f aca="false">SUM(Q2737,S2737,U2737,W2737,Y2737,AA2737,AC2737,AE2737,AG2737,AI2737,AK2737,AM2737,AO2737,AQ2737,AS2737,AU2737,AW2737,AY2737)</f>
        <v>49813</v>
      </c>
      <c r="BC2737" s="28" t="n">
        <f aca="false">BA2737-BB2737</f>
        <v>0</v>
      </c>
      <c r="BD2737" s="32" t="n">
        <f aca="false">SUM(P2737,R2737,T2737,V2737,X2737,Z2737,AB2737,AD2737,AF2737,AH2737,AJ2737,AL2737,AN2737,AP2737,AR2737,AT2737,AV2737,AX2737)</f>
        <v>754.75</v>
      </c>
      <c r="BE2737" s="33" t="n">
        <f aca="false">AZ2737-BD2737</f>
        <v>0</v>
      </c>
      <c r="BF2737" s="34" t="n">
        <f aca="false">BD2737*M2737</f>
        <v>49813.5</v>
      </c>
      <c r="BG2737" s="35" t="n">
        <f aca="false">BA2737-BF2737</f>
        <v>-0.5</v>
      </c>
      <c r="BH2737" s="19" t="str">
        <f aca="false">IF(BG2737=0,"",IF(BG2737&lt;&gt;BA2737,"erreur de calcul",IF(BD2737&lt;&gt;0,"pas de prix",IF(M2737&lt;&gt; 0,"pas de quantité","pas de prix, ni de quantité"))))</f>
        <v>erreur de calcul</v>
      </c>
      <c r="BI2737" s="19"/>
    </row>
    <row r="2738" customFormat="false" ht="15" hidden="false" customHeight="false" outlineLevel="0" collapsed="false">
      <c r="A2738" s="0" t="n">
        <v>33</v>
      </c>
      <c r="B2738" s="8" t="s">
        <v>24</v>
      </c>
      <c r="C2738" s="9" t="s">
        <v>25</v>
      </c>
      <c r="D2738" s="9" t="s">
        <v>26</v>
      </c>
      <c r="E2738" s="10" t="n">
        <v>1789</v>
      </c>
      <c r="F2738" s="9" t="s">
        <v>27</v>
      </c>
      <c r="G2738" s="9" t="s">
        <v>27</v>
      </c>
      <c r="H2738" s="11" t="n">
        <v>25</v>
      </c>
      <c r="I2738" s="11" t="s">
        <v>361</v>
      </c>
      <c r="J2738" s="14" t="n">
        <v>175</v>
      </c>
      <c r="K2738" s="14"/>
      <c r="L2738" s="16"/>
      <c r="M2738" s="27" t="n">
        <f aca="false">J2738+(K2738/20)+(L2738/240)</f>
        <v>175</v>
      </c>
      <c r="N2738" s="17" t="s">
        <v>64</v>
      </c>
      <c r="O2738" s="11" t="s">
        <v>77</v>
      </c>
      <c r="P2738" s="28" t="n">
        <f aca="false">1514/100</f>
        <v>15.14</v>
      </c>
      <c r="Q2738" s="28" t="n">
        <v>2649</v>
      </c>
      <c r="R2738" s="28"/>
      <c r="S2738" s="28" t="n">
        <f aca="false">R2738*$M2738</f>
        <v>0</v>
      </c>
      <c r="T2738" s="28" t="n">
        <f aca="false">170926/100</f>
        <v>1709.26</v>
      </c>
      <c r="U2738" s="28" t="n">
        <v>299120</v>
      </c>
      <c r="V2738" s="28" t="n">
        <f aca="false">16985/100</f>
        <v>169.85</v>
      </c>
      <c r="W2738" s="28" t="n">
        <v>29724</v>
      </c>
      <c r="X2738" s="28" t="n">
        <f aca="false">4530/100</f>
        <v>45.3</v>
      </c>
      <c r="Y2738" s="28" t="n">
        <v>7927</v>
      </c>
      <c r="Z2738" s="28"/>
      <c r="AA2738" s="28" t="n">
        <f aca="false">Z2738*$M2738</f>
        <v>0</v>
      </c>
      <c r="AB2738" s="28" t="n">
        <f aca="false">33770/100</f>
        <v>337.7</v>
      </c>
      <c r="AC2738" s="28" t="n">
        <v>59097</v>
      </c>
      <c r="AD2738" s="28"/>
      <c r="AE2738" s="28" t="n">
        <f aca="false">AD2738*$M2738</f>
        <v>0</v>
      </c>
      <c r="AF2738" s="28" t="n">
        <f aca="false">4712/100</f>
        <v>47.12</v>
      </c>
      <c r="AG2738" s="28" t="n">
        <v>8246</v>
      </c>
      <c r="AH2738" s="28" t="n">
        <f aca="false">55822/100</f>
        <v>558.22</v>
      </c>
      <c r="AI2738" s="28" t="n">
        <v>97688</v>
      </c>
      <c r="AJ2738" s="28"/>
      <c r="AK2738" s="28" t="n">
        <f aca="false">AJ2738*$M2738</f>
        <v>0</v>
      </c>
      <c r="AL2738" s="28"/>
      <c r="AM2738" s="28" t="n">
        <f aca="false">AL2738*$M2738</f>
        <v>0</v>
      </c>
      <c r="AN2738" s="28"/>
      <c r="AO2738" s="28" t="n">
        <f aca="false">AN2738*$M2738</f>
        <v>0</v>
      </c>
      <c r="AP2738" s="28"/>
      <c r="AQ2738" s="28" t="n">
        <f aca="false">AP2738*$M2738</f>
        <v>0</v>
      </c>
      <c r="AR2738" s="28"/>
      <c r="AS2738" s="28" t="n">
        <f aca="false">AR2738*$M2738</f>
        <v>0</v>
      </c>
      <c r="AT2738" s="28"/>
      <c r="AU2738" s="28" t="n">
        <f aca="false">AT2738*$M2738</f>
        <v>0</v>
      </c>
      <c r="AV2738" s="28"/>
      <c r="AW2738" s="28" t="n">
        <f aca="false">AV2738*$M2738</f>
        <v>0</v>
      </c>
      <c r="AX2738" s="28"/>
      <c r="AY2738" s="28" t="n">
        <f aca="false">AX2738*$M2738</f>
        <v>0</v>
      </c>
      <c r="AZ2738" s="30" t="n">
        <f aca="false">288259/100</f>
        <v>2882.59</v>
      </c>
      <c r="BA2738" s="11" t="n">
        <v>504451</v>
      </c>
      <c r="BB2738" s="31" t="n">
        <f aca="false">SUM(Q2738,S2738,U2738,W2738,Y2738,AA2738,AC2738,AE2738,AG2738,AI2738,AK2738,AM2738,AO2738,AQ2738,AS2738,AU2738,AW2738,AY2738)</f>
        <v>504451</v>
      </c>
      <c r="BC2738" s="28" t="n">
        <f aca="false">BA2738-BB2738</f>
        <v>0</v>
      </c>
      <c r="BD2738" s="32" t="n">
        <f aca="false">SUM(P2738,R2738,T2738,V2738,X2738,Z2738,AB2738,AD2738,AF2738,AH2738,AJ2738,AL2738,AN2738,AP2738,AR2738,AT2738,AV2738,AX2738)</f>
        <v>2882.59</v>
      </c>
      <c r="BE2738" s="33" t="n">
        <f aca="false">AZ2738-BD2738</f>
        <v>0</v>
      </c>
      <c r="BF2738" s="34" t="n">
        <f aca="false">BD2738*M2738</f>
        <v>504453.25</v>
      </c>
      <c r="BG2738" s="35" t="n">
        <f aca="false">BA2738-BF2738</f>
        <v>-2.24999999994179</v>
      </c>
      <c r="BH2738" s="19" t="str">
        <f aca="false">IF(BG2738=0,"",IF(BG2738&lt;&gt;BA2738,"erreur de calcul",IF(BD2738&lt;&gt;0,"pas de prix",IF(M2738&lt;&gt; 0,"pas de quantité","pas de prix, ni de quantité"))))</f>
        <v>erreur de calcul</v>
      </c>
      <c r="BI2738" s="19"/>
    </row>
    <row r="2739" customFormat="false" ht="15" hidden="false" customHeight="false" outlineLevel="0" collapsed="false">
      <c r="A2739" s="0" t="n">
        <v>34</v>
      </c>
      <c r="B2739" s="8" t="s">
        <v>24</v>
      </c>
      <c r="C2739" s="9" t="s">
        <v>25</v>
      </c>
      <c r="D2739" s="9" t="s">
        <v>26</v>
      </c>
      <c r="E2739" s="10" t="n">
        <v>1789</v>
      </c>
      <c r="F2739" s="9" t="s">
        <v>27</v>
      </c>
      <c r="G2739" s="9" t="s">
        <v>27</v>
      </c>
      <c r="H2739" s="11" t="n">
        <v>25</v>
      </c>
      <c r="I2739" s="11" t="s">
        <v>362</v>
      </c>
      <c r="J2739" s="14" t="n">
        <v>150</v>
      </c>
      <c r="K2739" s="14"/>
      <c r="L2739" s="16"/>
      <c r="M2739" s="27" t="n">
        <f aca="false">J2739+(K2739/20)+(L2739/240)</f>
        <v>150</v>
      </c>
      <c r="N2739" s="17" t="s">
        <v>64</v>
      </c>
      <c r="O2739" s="11"/>
      <c r="P2739" s="28"/>
      <c r="Q2739" s="28" t="n">
        <f aca="false">P2739*$M2739</f>
        <v>0</v>
      </c>
      <c r="R2739" s="28"/>
      <c r="S2739" s="28" t="n">
        <f aca="false">R2739*$M2739</f>
        <v>0</v>
      </c>
      <c r="T2739" s="28" t="n">
        <f aca="false">1842/100</f>
        <v>18.42</v>
      </c>
      <c r="U2739" s="28" t="n">
        <v>2763</v>
      </c>
      <c r="V2739" s="28" t="n">
        <f aca="false">684/100</f>
        <v>6.84</v>
      </c>
      <c r="W2739" s="28" t="n">
        <v>1026</v>
      </c>
      <c r="X2739" s="28"/>
      <c r="Y2739" s="28" t="n">
        <f aca="false">X2739*$M2739</f>
        <v>0</v>
      </c>
      <c r="Z2739" s="28"/>
      <c r="AA2739" s="28" t="n">
        <f aca="false">Z2739*$M2739</f>
        <v>0</v>
      </c>
      <c r="AB2739" s="28"/>
      <c r="AC2739" s="28" t="n">
        <f aca="false">AB2739*$M2739</f>
        <v>0</v>
      </c>
      <c r="AD2739" s="28"/>
      <c r="AE2739" s="28" t="n">
        <f aca="false">AD2739*$M2739</f>
        <v>0</v>
      </c>
      <c r="AF2739" s="28"/>
      <c r="AG2739" s="28" t="n">
        <f aca="false">AF2739*$M2739</f>
        <v>0</v>
      </c>
      <c r="AH2739" s="28"/>
      <c r="AI2739" s="28" t="n">
        <f aca="false">AH2739*$M2739</f>
        <v>0</v>
      </c>
      <c r="AJ2739" s="28"/>
      <c r="AK2739" s="28" t="n">
        <f aca="false">AJ2739*$M2739</f>
        <v>0</v>
      </c>
      <c r="AL2739" s="28"/>
      <c r="AM2739" s="28" t="n">
        <f aca="false">AL2739*$M2739</f>
        <v>0</v>
      </c>
      <c r="AN2739" s="28"/>
      <c r="AO2739" s="28" t="n">
        <f aca="false">AN2739*$M2739</f>
        <v>0</v>
      </c>
      <c r="AP2739" s="28"/>
      <c r="AQ2739" s="28" t="n">
        <f aca="false">AP2739*$M2739</f>
        <v>0</v>
      </c>
      <c r="AR2739" s="28"/>
      <c r="AS2739" s="28" t="n">
        <f aca="false">AR2739*$M2739</f>
        <v>0</v>
      </c>
      <c r="AT2739" s="28"/>
      <c r="AU2739" s="28" t="n">
        <f aca="false">AT2739*$M2739</f>
        <v>0</v>
      </c>
      <c r="AV2739" s="28"/>
      <c r="AW2739" s="28" t="n">
        <f aca="false">AV2739*$M2739</f>
        <v>0</v>
      </c>
      <c r="AX2739" s="28"/>
      <c r="AY2739" s="28" t="n">
        <f aca="false">AX2739*$M2739</f>
        <v>0</v>
      </c>
      <c r="AZ2739" s="30" t="n">
        <f aca="false">2526/100</f>
        <v>25.26</v>
      </c>
      <c r="BA2739" s="11" t="n">
        <v>3789</v>
      </c>
      <c r="BB2739" s="31" t="n">
        <f aca="false">SUM(Q2739,S2739,U2739,W2739,Y2739,AA2739,AC2739,AE2739,AG2739,AI2739,AK2739,AM2739,AO2739,AQ2739,AS2739,AU2739,AW2739,AY2739)</f>
        <v>3789</v>
      </c>
      <c r="BC2739" s="28" t="n">
        <f aca="false">BA2739-BB2739</f>
        <v>0</v>
      </c>
      <c r="BD2739" s="32" t="n">
        <f aca="false">SUM(P2739,R2739,T2739,V2739,X2739,Z2739,AB2739,AD2739,AF2739,AH2739,AJ2739,AL2739,AN2739,AP2739,AR2739,AT2739,AV2739,AX2739)</f>
        <v>25.26</v>
      </c>
      <c r="BE2739" s="33" t="n">
        <f aca="false">AZ2739-BD2739</f>
        <v>0</v>
      </c>
      <c r="BF2739" s="34" t="n">
        <f aca="false">BD2739*M2739</f>
        <v>3789</v>
      </c>
      <c r="BG2739" s="35" t="n">
        <f aca="false">BA2739-BF2739</f>
        <v>0</v>
      </c>
      <c r="BH2739" s="19" t="str">
        <f aca="false">IF(BG2739=0,"",IF(BG2739&lt;&gt;BA2739,"erreur de calcul",IF(BD2739&lt;&gt;0,"pas de prix",IF(M2739&lt;&gt; 0,"pas de quantité","pas de prix, ni de quantité"))))</f>
        <v/>
      </c>
      <c r="BI2739" s="19"/>
    </row>
    <row r="2740" customFormat="false" ht="15" hidden="false" customHeight="false" outlineLevel="0" collapsed="false">
      <c r="A2740" s="0" t="n">
        <v>35</v>
      </c>
      <c r="B2740" s="8" t="s">
        <v>24</v>
      </c>
      <c r="C2740" s="9" t="s">
        <v>25</v>
      </c>
      <c r="D2740" s="9" t="s">
        <v>26</v>
      </c>
      <c r="E2740" s="10" t="n">
        <v>1789</v>
      </c>
      <c r="F2740" s="9" t="s">
        <v>27</v>
      </c>
      <c r="G2740" s="9" t="s">
        <v>27</v>
      </c>
      <c r="H2740" s="11" t="n">
        <v>25</v>
      </c>
      <c r="I2740" s="11" t="s">
        <v>363</v>
      </c>
      <c r="J2740" s="14" t="n">
        <v>150</v>
      </c>
      <c r="K2740" s="14"/>
      <c r="L2740" s="16"/>
      <c r="M2740" s="27" t="n">
        <f aca="false">J2740+(K2740/20)+(L2740/240)</f>
        <v>150</v>
      </c>
      <c r="N2740" s="17" t="s">
        <v>64</v>
      </c>
      <c r="O2740" s="11" t="s">
        <v>77</v>
      </c>
      <c r="P2740" s="28"/>
      <c r="Q2740" s="28" t="n">
        <f aca="false">P2740*$M2740</f>
        <v>0</v>
      </c>
      <c r="R2740" s="28"/>
      <c r="S2740" s="28" t="n">
        <f aca="false">R2740*$M2740</f>
        <v>0</v>
      </c>
      <c r="T2740" s="28"/>
      <c r="U2740" s="28" t="n">
        <f aca="false">T2740*$M2740</f>
        <v>0</v>
      </c>
      <c r="V2740" s="28" t="n">
        <f aca="false">1501/100</f>
        <v>15.01</v>
      </c>
      <c r="W2740" s="28" t="n">
        <v>2251</v>
      </c>
      <c r="X2740" s="28"/>
      <c r="Y2740" s="28" t="n">
        <f aca="false">X2740*$M2740</f>
        <v>0</v>
      </c>
      <c r="Z2740" s="28" t="n">
        <f aca="false">6420/100</f>
        <v>64.2</v>
      </c>
      <c r="AA2740" s="28" t="n">
        <v>9630</v>
      </c>
      <c r="AB2740" s="28"/>
      <c r="AC2740" s="28" t="n">
        <f aca="false">AB2740*$M2740</f>
        <v>0</v>
      </c>
      <c r="AD2740" s="28"/>
      <c r="AE2740" s="28" t="n">
        <f aca="false">AD2740*$M2740</f>
        <v>0</v>
      </c>
      <c r="AF2740" s="28"/>
      <c r="AG2740" s="28" t="n">
        <f aca="false">AF2740*$M2740</f>
        <v>0</v>
      </c>
      <c r="AH2740" s="28" t="n">
        <f aca="false">138039/100</f>
        <v>1380.39</v>
      </c>
      <c r="AI2740" s="28" t="n">
        <v>207058</v>
      </c>
      <c r="AJ2740" s="28"/>
      <c r="AK2740" s="28" t="n">
        <f aca="false">AJ2740*$M2740</f>
        <v>0</v>
      </c>
      <c r="AL2740" s="28" t="n">
        <f aca="false">917/100</f>
        <v>9.17</v>
      </c>
      <c r="AM2740" s="28" t="n">
        <v>1375</v>
      </c>
      <c r="AN2740" s="28"/>
      <c r="AO2740" s="28" t="n">
        <f aca="false">AN2740*$M2740</f>
        <v>0</v>
      </c>
      <c r="AP2740" s="28"/>
      <c r="AQ2740" s="28" t="n">
        <f aca="false">AP2740*$M2740</f>
        <v>0</v>
      </c>
      <c r="AR2740" s="28"/>
      <c r="AS2740" s="28" t="n">
        <f aca="false">AR2740*$M2740</f>
        <v>0</v>
      </c>
      <c r="AT2740" s="28"/>
      <c r="AU2740" s="28" t="n">
        <f aca="false">AT2740*$M2740</f>
        <v>0</v>
      </c>
      <c r="AV2740" s="28"/>
      <c r="AW2740" s="28" t="n">
        <f aca="false">AV2740*$M2740</f>
        <v>0</v>
      </c>
      <c r="AX2740" s="28"/>
      <c r="AY2740" s="28" t="n">
        <f aca="false">AX2740*$M2740</f>
        <v>0</v>
      </c>
      <c r="AZ2740" s="30" t="n">
        <f aca="false">146877/100</f>
        <v>1468.77</v>
      </c>
      <c r="BA2740" s="11" t="n">
        <v>220314</v>
      </c>
      <c r="BB2740" s="31" t="n">
        <f aca="false">SUM(Q2740,S2740,U2740,W2740,Y2740,AA2740,AC2740,AE2740,AG2740,AI2740,AK2740,AM2740,AO2740,AQ2740,AS2740,AU2740,AW2740,AY2740)</f>
        <v>220314</v>
      </c>
      <c r="BC2740" s="28" t="n">
        <f aca="false">BA2740-BB2740</f>
        <v>0</v>
      </c>
      <c r="BD2740" s="32" t="n">
        <f aca="false">SUM(P2740,R2740,T2740,V2740,X2740,Z2740,AB2740,AD2740,AF2740,AH2740,AJ2740,AL2740,AN2740,AP2740,AR2740,AT2740,AV2740,AX2740)</f>
        <v>1468.77</v>
      </c>
      <c r="BE2740" s="33" t="n">
        <f aca="false">AZ2740-BD2740</f>
        <v>0</v>
      </c>
      <c r="BF2740" s="34" t="n">
        <f aca="false">BD2740*M2740</f>
        <v>220315.5</v>
      </c>
      <c r="BG2740" s="35" t="n">
        <f aca="false">BA2740-BF2740</f>
        <v>-1.5000000000291</v>
      </c>
      <c r="BH2740" s="19" t="str">
        <f aca="false">IF(BG2740=0,"",IF(BG2740&lt;&gt;BA2740,"erreur de calcul",IF(BD2740&lt;&gt;0,"pas de prix",IF(M2740&lt;&gt; 0,"pas de quantité","pas de prix, ni de quantité"))))</f>
        <v>erreur de calcul</v>
      </c>
      <c r="BI2740" s="19"/>
    </row>
    <row r="2741" customFormat="false" ht="15" hidden="false" customHeight="false" outlineLevel="0" collapsed="false">
      <c r="A2741" s="0" t="n">
        <v>36</v>
      </c>
      <c r="B2741" s="8" t="s">
        <v>24</v>
      </c>
      <c r="C2741" s="9" t="s">
        <v>25</v>
      </c>
      <c r="D2741" s="9" t="s">
        <v>26</v>
      </c>
      <c r="E2741" s="10" t="n">
        <v>1789</v>
      </c>
      <c r="F2741" s="9" t="s">
        <v>27</v>
      </c>
      <c r="G2741" s="9" t="s">
        <v>27</v>
      </c>
      <c r="H2741" s="11" t="n">
        <v>25</v>
      </c>
      <c r="I2741" s="11" t="s">
        <v>364</v>
      </c>
      <c r="J2741" s="14" t="n">
        <v>122</v>
      </c>
      <c r="K2741" s="14"/>
      <c r="L2741" s="16"/>
      <c r="M2741" s="27" t="n">
        <f aca="false">J2741+(K2741/20)+(L2741/240)</f>
        <v>122</v>
      </c>
      <c r="N2741" s="17" t="s">
        <v>64</v>
      </c>
      <c r="O2741" s="11" t="s">
        <v>77</v>
      </c>
      <c r="P2741" s="28" t="n">
        <f aca="false">2402/100</f>
        <v>24.02</v>
      </c>
      <c r="Q2741" s="28" t="n">
        <v>2930</v>
      </c>
      <c r="R2741" s="28"/>
      <c r="S2741" s="28" t="n">
        <f aca="false">R2741*$M2741</f>
        <v>0</v>
      </c>
      <c r="T2741" s="28" t="n">
        <f aca="false">3566/100</f>
        <v>35.66</v>
      </c>
      <c r="U2741" s="36" t="n">
        <v>4550</v>
      </c>
      <c r="V2741" s="28" t="n">
        <f aca="false">917/100</f>
        <v>9.17</v>
      </c>
      <c r="W2741" s="28" t="n">
        <v>1119</v>
      </c>
      <c r="X2741" s="28"/>
      <c r="Y2741" s="28" t="n">
        <f aca="false">X2741*$M2741</f>
        <v>0</v>
      </c>
      <c r="Z2741" s="28"/>
      <c r="AA2741" s="28" t="n">
        <f aca="false">Z2741*$M2741</f>
        <v>0</v>
      </c>
      <c r="AB2741" s="28" t="n">
        <f aca="false">28087/100</f>
        <v>280.87</v>
      </c>
      <c r="AC2741" s="28" t="n">
        <v>34266</v>
      </c>
      <c r="AD2741" s="28" t="n">
        <f aca="false">1505/100</f>
        <v>15.05</v>
      </c>
      <c r="AE2741" s="28" t="n">
        <v>1836</v>
      </c>
      <c r="AF2741" s="28"/>
      <c r="AG2741" s="28" t="n">
        <f aca="false">AF2741*$M2741</f>
        <v>0</v>
      </c>
      <c r="AH2741" s="28" t="n">
        <f aca="false">15314/100</f>
        <v>153.14</v>
      </c>
      <c r="AI2741" s="28" t="n">
        <v>18683</v>
      </c>
      <c r="AJ2741" s="28"/>
      <c r="AK2741" s="28" t="n">
        <f aca="false">AJ2741*$M2741</f>
        <v>0</v>
      </c>
      <c r="AL2741" s="28"/>
      <c r="AM2741" s="28" t="n">
        <f aca="false">AL2741*$M2741</f>
        <v>0</v>
      </c>
      <c r="AN2741" s="28"/>
      <c r="AO2741" s="28" t="n">
        <f aca="false">AN2741*$M2741</f>
        <v>0</v>
      </c>
      <c r="AP2741" s="28"/>
      <c r="AQ2741" s="28" t="n">
        <f aca="false">AP2741*$M2741</f>
        <v>0</v>
      </c>
      <c r="AR2741" s="28"/>
      <c r="AS2741" s="28" t="n">
        <f aca="false">AR2741*$M2741</f>
        <v>0</v>
      </c>
      <c r="AT2741" s="28"/>
      <c r="AU2741" s="28" t="n">
        <f aca="false">AT2741*$M2741</f>
        <v>0</v>
      </c>
      <c r="AV2741" s="28"/>
      <c r="AW2741" s="28" t="n">
        <f aca="false">AV2741*$M2741</f>
        <v>0</v>
      </c>
      <c r="AX2741" s="28"/>
      <c r="AY2741" s="28" t="n">
        <f aca="false">AX2741*$M2741</f>
        <v>0</v>
      </c>
      <c r="AZ2741" s="30" t="n">
        <f aca="false">51791/100</f>
        <v>517.91</v>
      </c>
      <c r="BA2741" s="11" t="n">
        <v>63384</v>
      </c>
      <c r="BB2741" s="31" t="n">
        <f aca="false">SUM(Q2741,S2741,U2741,W2741,Y2741,AA2741,AC2741,AE2741,AG2741,AI2741,AK2741,AM2741,AO2741,AQ2741,AS2741,AU2741,AW2741,AY2741)</f>
        <v>63384</v>
      </c>
      <c r="BC2741" s="28" t="n">
        <f aca="false">BA2741-BB2741</f>
        <v>0</v>
      </c>
      <c r="BD2741" s="32" t="n">
        <f aca="false">SUM(P2741,R2741,T2741,V2741,X2741,Z2741,AB2741,AD2741,AF2741,AH2741,AJ2741,AL2741,AN2741,AP2741,AR2741,AT2741,AV2741,AX2741)</f>
        <v>517.91</v>
      </c>
      <c r="BE2741" s="33" t="n">
        <f aca="false">AZ2741-BD2741</f>
        <v>0</v>
      </c>
      <c r="BF2741" s="34" t="n">
        <f aca="false">BD2741*M2741</f>
        <v>63185.02</v>
      </c>
      <c r="BG2741" s="35" t="n">
        <f aca="false">BA2741-BF2741</f>
        <v>198.980000000003</v>
      </c>
      <c r="BH2741" s="19" t="str">
        <f aca="false">IF(BG2741=0,"",IF(BG2741&lt;&gt;BA2741,"erreur de calcul",IF(BD2741&lt;&gt;0,"pas de prix",IF(M2741&lt;&gt; 0,"pas de quantité","pas de prix, ni de quantité"))))</f>
        <v>erreur de calcul</v>
      </c>
      <c r="BI2741" s="19"/>
    </row>
    <row r="2742" customFormat="false" ht="15" hidden="false" customHeight="false" outlineLevel="0" collapsed="false">
      <c r="A2742" s="0" t="n">
        <v>37</v>
      </c>
      <c r="B2742" s="8" t="s">
        <v>24</v>
      </c>
      <c r="C2742" s="9" t="s">
        <v>25</v>
      </c>
      <c r="D2742" s="9" t="s">
        <v>26</v>
      </c>
      <c r="E2742" s="10" t="n">
        <v>1789</v>
      </c>
      <c r="F2742" s="9" t="s">
        <v>27</v>
      </c>
      <c r="G2742" s="9" t="s">
        <v>27</v>
      </c>
      <c r="H2742" s="11" t="n">
        <v>25</v>
      </c>
      <c r="I2742" s="11" t="s">
        <v>365</v>
      </c>
      <c r="J2742" s="14" t="n">
        <v>107</v>
      </c>
      <c r="K2742" s="14"/>
      <c r="L2742" s="16"/>
      <c r="M2742" s="27" t="n">
        <f aca="false">J2742+(K2742/20)+(L2742/240)</f>
        <v>107</v>
      </c>
      <c r="N2742" s="17" t="s">
        <v>64</v>
      </c>
      <c r="O2742" s="11" t="s">
        <v>77</v>
      </c>
      <c r="P2742" s="28"/>
      <c r="Q2742" s="28" t="n">
        <f aca="false">P2742*$M2742</f>
        <v>0</v>
      </c>
      <c r="R2742" s="28"/>
      <c r="S2742" s="28" t="n">
        <f aca="false">R2742*$M2742</f>
        <v>0</v>
      </c>
      <c r="T2742" s="28" t="n">
        <f aca="false">1834/100</f>
        <v>18.34</v>
      </c>
      <c r="U2742" s="28" t="n">
        <v>1962</v>
      </c>
      <c r="V2742" s="28"/>
      <c r="W2742" s="28" t="n">
        <f aca="false">V2742*$M2742</f>
        <v>0</v>
      </c>
      <c r="X2742" s="28"/>
      <c r="Y2742" s="28" t="n">
        <f aca="false">X2742*$M2742</f>
        <v>0</v>
      </c>
      <c r="Z2742" s="28"/>
      <c r="AA2742" s="28" t="n">
        <f aca="false">Z2742*$M2742</f>
        <v>0</v>
      </c>
      <c r="AB2742" s="28"/>
      <c r="AC2742" s="28" t="n">
        <f aca="false">AB2742*$M2742</f>
        <v>0</v>
      </c>
      <c r="AD2742" s="28"/>
      <c r="AE2742" s="28" t="n">
        <f aca="false">AD2742*$M2742</f>
        <v>0</v>
      </c>
      <c r="AF2742" s="28" t="n">
        <f aca="false">5202/100</f>
        <v>52.02</v>
      </c>
      <c r="AG2742" s="28" t="n">
        <v>5566</v>
      </c>
      <c r="AH2742" s="28"/>
      <c r="AI2742" s="28" t="n">
        <f aca="false">AH2742*$M2742</f>
        <v>0</v>
      </c>
      <c r="AJ2742" s="28" t="n">
        <f aca="false">3209/100</f>
        <v>32.09</v>
      </c>
      <c r="AK2742" s="28" t="n">
        <v>3434</v>
      </c>
      <c r="AL2742" s="28" t="n">
        <f aca="false">80682/100</f>
        <v>806.82</v>
      </c>
      <c r="AM2742" s="28" t="n">
        <v>86329</v>
      </c>
      <c r="AN2742" s="28"/>
      <c r="AO2742" s="28" t="n">
        <f aca="false">AN2742*$M2742</f>
        <v>0</v>
      </c>
      <c r="AP2742" s="28"/>
      <c r="AQ2742" s="28" t="n">
        <f aca="false">AP2742*$M2742</f>
        <v>0</v>
      </c>
      <c r="AR2742" s="28"/>
      <c r="AS2742" s="28" t="n">
        <f aca="false">AR2742*$M2742</f>
        <v>0</v>
      </c>
      <c r="AT2742" s="28"/>
      <c r="AU2742" s="28" t="n">
        <f aca="false">AT2742*$M2742</f>
        <v>0</v>
      </c>
      <c r="AV2742" s="28"/>
      <c r="AW2742" s="28" t="n">
        <f aca="false">AV2742*$M2742</f>
        <v>0</v>
      </c>
      <c r="AX2742" s="28"/>
      <c r="AY2742" s="28" t="n">
        <f aca="false">AX2742*$M2742</f>
        <v>0</v>
      </c>
      <c r="AZ2742" s="30" t="n">
        <f aca="false">90927/100</f>
        <v>909.27</v>
      </c>
      <c r="BA2742" s="11" t="n">
        <v>97291</v>
      </c>
      <c r="BB2742" s="31" t="n">
        <f aca="false">SUM(Q2742,S2742,U2742,W2742,Y2742,AA2742,AC2742,AE2742,AG2742,AI2742,AK2742,AM2742,AO2742,AQ2742,AS2742,AU2742,AW2742,AY2742)</f>
        <v>97291</v>
      </c>
      <c r="BC2742" s="28" t="n">
        <f aca="false">BA2742-BB2742</f>
        <v>0</v>
      </c>
      <c r="BD2742" s="32" t="n">
        <f aca="false">SUM(P2742,R2742,T2742,V2742,X2742,Z2742,AB2742,AD2742,AF2742,AH2742,AJ2742,AL2742,AN2742,AP2742,AR2742,AT2742,AV2742,AX2742)</f>
        <v>909.27</v>
      </c>
      <c r="BE2742" s="33" t="n">
        <f aca="false">AZ2742-BD2742</f>
        <v>0</v>
      </c>
      <c r="BF2742" s="34" t="n">
        <f aca="false">BD2742*M2742</f>
        <v>97291.89</v>
      </c>
      <c r="BG2742" s="35" t="n">
        <f aca="false">BA2742-BF2742</f>
        <v>-0.89000000001397</v>
      </c>
      <c r="BH2742" s="19" t="str">
        <f aca="false">IF(BG2742=0,"",IF(BG2742&lt;&gt;BA2742,"erreur de calcul",IF(BD2742&lt;&gt;0,"pas de prix",IF(M2742&lt;&gt; 0,"pas de quantité","pas de prix, ni de quantité"))))</f>
        <v>erreur de calcul</v>
      </c>
      <c r="BI2742" s="19"/>
    </row>
    <row r="2743" customFormat="false" ht="15" hidden="false" customHeight="false" outlineLevel="0" collapsed="false">
      <c r="A2743" s="0" t="n">
        <v>38</v>
      </c>
      <c r="B2743" s="8" t="s">
        <v>24</v>
      </c>
      <c r="C2743" s="9" t="s">
        <v>25</v>
      </c>
      <c r="D2743" s="9" t="s">
        <v>26</v>
      </c>
      <c r="E2743" s="10" t="n">
        <v>1789</v>
      </c>
      <c r="F2743" s="9" t="s">
        <v>27</v>
      </c>
      <c r="G2743" s="9" t="s">
        <v>27</v>
      </c>
      <c r="H2743" s="11" t="n">
        <v>25</v>
      </c>
      <c r="I2743" s="11" t="s">
        <v>366</v>
      </c>
      <c r="J2743" s="14"/>
      <c r="K2743" s="14"/>
      <c r="L2743" s="16"/>
      <c r="M2743" s="27" t="n">
        <f aca="false">J2743+(K2743/20)+(L2743/240)</f>
        <v>0</v>
      </c>
      <c r="N2743" s="17" t="s">
        <v>66</v>
      </c>
      <c r="O2743" s="11"/>
      <c r="P2743" s="28"/>
      <c r="Q2743" s="28" t="n">
        <f aca="false">P2743*$M2743</f>
        <v>0</v>
      </c>
      <c r="R2743" s="28"/>
      <c r="S2743" s="28" t="n">
        <f aca="false">R2743*$M2743</f>
        <v>0</v>
      </c>
      <c r="T2743" s="28"/>
      <c r="U2743" s="28" t="n">
        <f aca="false">T2743*$M2743</f>
        <v>0</v>
      </c>
      <c r="V2743" s="28" t="n">
        <v>797</v>
      </c>
      <c r="W2743" s="28" t="n">
        <v>720</v>
      </c>
      <c r="X2743" s="28"/>
      <c r="Y2743" s="28" t="n">
        <f aca="false">X2743*$M2743</f>
        <v>0</v>
      </c>
      <c r="Z2743" s="28"/>
      <c r="AA2743" s="28" t="n">
        <f aca="false">Z2743*$M2743</f>
        <v>0</v>
      </c>
      <c r="AB2743" s="28"/>
      <c r="AC2743" s="28" t="n">
        <f aca="false">AB2743*$M2743</f>
        <v>0</v>
      </c>
      <c r="AD2743" s="28"/>
      <c r="AE2743" s="28" t="n">
        <f aca="false">AD2743*$M2743</f>
        <v>0</v>
      </c>
      <c r="AF2743" s="28"/>
      <c r="AG2743" s="28" t="n">
        <f aca="false">AF2743*$M2743</f>
        <v>0</v>
      </c>
      <c r="AH2743" s="28"/>
      <c r="AI2743" s="28" t="n">
        <f aca="false">AH2743*$M2743</f>
        <v>0</v>
      </c>
      <c r="AJ2743" s="28"/>
      <c r="AK2743" s="28" t="n">
        <f aca="false">AJ2743*$M2743</f>
        <v>0</v>
      </c>
      <c r="AL2743" s="28"/>
      <c r="AM2743" s="28" t="n">
        <f aca="false">AL2743*$M2743</f>
        <v>0</v>
      </c>
      <c r="AN2743" s="28"/>
      <c r="AO2743" s="28" t="n">
        <f aca="false">AN2743*$M2743</f>
        <v>0</v>
      </c>
      <c r="AP2743" s="28"/>
      <c r="AQ2743" s="28" t="n">
        <f aca="false">AP2743*$M2743</f>
        <v>0</v>
      </c>
      <c r="AR2743" s="28"/>
      <c r="AS2743" s="28" t="n">
        <f aca="false">AR2743*$M2743</f>
        <v>0</v>
      </c>
      <c r="AT2743" s="28"/>
      <c r="AU2743" s="28" t="n">
        <f aca="false">AT2743*$M2743</f>
        <v>0</v>
      </c>
      <c r="AV2743" s="28"/>
      <c r="AW2743" s="28" t="n">
        <f aca="false">AV2743*$M2743</f>
        <v>0</v>
      </c>
      <c r="AX2743" s="28"/>
      <c r="AY2743" s="28" t="n">
        <f aca="false">AX2743*$M2743</f>
        <v>0</v>
      </c>
      <c r="AZ2743" s="30" t="n">
        <v>797</v>
      </c>
      <c r="BA2743" s="11" t="n">
        <v>720</v>
      </c>
      <c r="BB2743" s="31" t="n">
        <f aca="false">SUM(Q2743,S2743,U2743,W2743,Y2743,AA2743,AC2743,AE2743,AG2743,AI2743,AK2743,AM2743,AO2743,AQ2743,AS2743,AU2743,AW2743,AY2743)</f>
        <v>720</v>
      </c>
      <c r="BC2743" s="28" t="n">
        <f aca="false">BA2743-BB2743</f>
        <v>0</v>
      </c>
      <c r="BD2743" s="32" t="n">
        <f aca="false">SUM(P2743,R2743,T2743,V2743,X2743,Z2743,AB2743,AD2743,AF2743,AH2743,AJ2743,AL2743,AN2743,AP2743,AR2743,AT2743,AV2743,AX2743)</f>
        <v>797</v>
      </c>
      <c r="BE2743" s="33" t="n">
        <f aca="false">AZ2743-BD2743</f>
        <v>0</v>
      </c>
      <c r="BF2743" s="34" t="n">
        <f aca="false">BD2743*M2743</f>
        <v>0</v>
      </c>
      <c r="BG2743" s="35" t="n">
        <f aca="false">BA2743-BF2743</f>
        <v>720</v>
      </c>
      <c r="BH2743" s="19" t="str">
        <f aca="false">IF(BG2743=0,"",IF(BG2743&lt;&gt;BA2743,"erreur de calcul",IF(BD2743&lt;&gt;0,"pas de prix",IF(M2743&lt;&gt; 0,"pas de quantité","pas de prix, ni de quantité"))))</f>
        <v>pas de prix</v>
      </c>
      <c r="BI2743" s="19" t="s">
        <v>367</v>
      </c>
    </row>
    <row r="2744" customFormat="false" ht="15" hidden="false" customHeight="false" outlineLevel="0" collapsed="false">
      <c r="A2744" s="0" t="n">
        <v>39</v>
      </c>
      <c r="B2744" s="8" t="s">
        <v>24</v>
      </c>
      <c r="C2744" s="9" t="s">
        <v>25</v>
      </c>
      <c r="D2744" s="9" t="s">
        <v>26</v>
      </c>
      <c r="E2744" s="10" t="n">
        <v>1789</v>
      </c>
      <c r="F2744" s="9" t="s">
        <v>27</v>
      </c>
      <c r="G2744" s="9" t="s">
        <v>27</v>
      </c>
      <c r="H2744" s="11" t="n">
        <v>25</v>
      </c>
      <c r="I2744" s="11" t="s">
        <v>368</v>
      </c>
      <c r="J2744" s="14" t="n">
        <v>4</v>
      </c>
      <c r="K2744" s="14"/>
      <c r="L2744" s="16"/>
      <c r="M2744" s="27" t="n">
        <f aca="false">J2744+(K2744/20)+(L2744/240)</f>
        <v>4</v>
      </c>
      <c r="N2744" s="17" t="s">
        <v>64</v>
      </c>
      <c r="O2744" s="11"/>
      <c r="P2744" s="28"/>
      <c r="Q2744" s="28" t="n">
        <f aca="false">P2744*$M2744</f>
        <v>0</v>
      </c>
      <c r="R2744" s="28"/>
      <c r="S2744" s="28" t="n">
        <f aca="false">R2744*$M2744</f>
        <v>0</v>
      </c>
      <c r="T2744" s="28"/>
      <c r="U2744" s="28" t="n">
        <f aca="false">T2744*$M2744</f>
        <v>0</v>
      </c>
      <c r="V2744" s="28" t="n">
        <f aca="false">23693/100</f>
        <v>236.93</v>
      </c>
      <c r="W2744" s="28" t="n">
        <v>948</v>
      </c>
      <c r="X2744" s="28"/>
      <c r="Y2744" s="28" t="n">
        <f aca="false">X2744*$M2744</f>
        <v>0</v>
      </c>
      <c r="Z2744" s="28"/>
      <c r="AA2744" s="28" t="n">
        <f aca="false">Z2744*$M2744</f>
        <v>0</v>
      </c>
      <c r="AB2744" s="28"/>
      <c r="AC2744" s="28" t="n">
        <f aca="false">AB2744*$M2744</f>
        <v>0</v>
      </c>
      <c r="AD2744" s="28"/>
      <c r="AE2744" s="28" t="n">
        <f aca="false">AD2744*$M2744</f>
        <v>0</v>
      </c>
      <c r="AF2744" s="28"/>
      <c r="AG2744" s="28" t="n">
        <f aca="false">AF2744*$M2744</f>
        <v>0</v>
      </c>
      <c r="AH2744" s="28"/>
      <c r="AI2744" s="28" t="n">
        <f aca="false">AH2744*$M2744</f>
        <v>0</v>
      </c>
      <c r="AJ2744" s="28"/>
      <c r="AK2744" s="28" t="n">
        <f aca="false">AJ2744*$M2744</f>
        <v>0</v>
      </c>
      <c r="AL2744" s="28"/>
      <c r="AM2744" s="28" t="n">
        <f aca="false">AL2744*$M2744</f>
        <v>0</v>
      </c>
      <c r="AN2744" s="28"/>
      <c r="AO2744" s="28" t="n">
        <f aca="false">AN2744*$M2744</f>
        <v>0</v>
      </c>
      <c r="AP2744" s="28"/>
      <c r="AQ2744" s="28" t="n">
        <f aca="false">AP2744*$M2744</f>
        <v>0</v>
      </c>
      <c r="AR2744" s="28"/>
      <c r="AS2744" s="28" t="n">
        <f aca="false">AR2744*$M2744</f>
        <v>0</v>
      </c>
      <c r="AT2744" s="28"/>
      <c r="AU2744" s="28" t="n">
        <f aca="false">AT2744*$M2744</f>
        <v>0</v>
      </c>
      <c r="AV2744" s="28"/>
      <c r="AW2744" s="28" t="n">
        <f aca="false">AV2744*$M2744</f>
        <v>0</v>
      </c>
      <c r="AX2744" s="28"/>
      <c r="AY2744" s="28" t="n">
        <f aca="false">AX2744*$M2744</f>
        <v>0</v>
      </c>
      <c r="AZ2744" s="30" t="n">
        <f aca="false">23693/100</f>
        <v>236.93</v>
      </c>
      <c r="BA2744" s="11" t="n">
        <v>948</v>
      </c>
      <c r="BB2744" s="31" t="n">
        <f aca="false">SUM(Q2744,S2744,U2744,W2744,Y2744,AA2744,AC2744,AE2744,AG2744,AI2744,AK2744,AM2744,AO2744,AQ2744,AS2744,AU2744,AW2744,AY2744)</f>
        <v>948</v>
      </c>
      <c r="BC2744" s="28" t="n">
        <f aca="false">BA2744-BB2744</f>
        <v>0</v>
      </c>
      <c r="BD2744" s="32" t="n">
        <f aca="false">SUM(P2744,R2744,T2744,V2744,X2744,Z2744,AB2744,AD2744,AF2744,AH2744,AJ2744,AL2744,AN2744,AP2744,AR2744,AT2744,AV2744,AX2744)</f>
        <v>236.93</v>
      </c>
      <c r="BE2744" s="33" t="n">
        <f aca="false">AZ2744-BD2744</f>
        <v>0</v>
      </c>
      <c r="BF2744" s="34" t="n">
        <f aca="false">BD2744*M2744</f>
        <v>947.72</v>
      </c>
      <c r="BG2744" s="35" t="n">
        <f aca="false">BA2744-BF2744</f>
        <v>0.279999999999973</v>
      </c>
      <c r="BH2744" s="19" t="str">
        <f aca="false">IF(BG2744=0,"",IF(BG2744&lt;&gt;BA2744,"erreur de calcul",IF(BD2744&lt;&gt;0,"pas de prix",IF(M2744&lt;&gt; 0,"pas de quantité","pas de prix, ni de quantité"))))</f>
        <v>erreur de calcul</v>
      </c>
      <c r="BI2744" s="19"/>
    </row>
    <row r="2745" customFormat="false" ht="15" hidden="false" customHeight="false" outlineLevel="0" collapsed="false">
      <c r="A2745" s="0" t="n">
        <v>40</v>
      </c>
      <c r="B2745" s="8" t="s">
        <v>24</v>
      </c>
      <c r="C2745" s="9" t="s">
        <v>25</v>
      </c>
      <c r="D2745" s="9" t="s">
        <v>26</v>
      </c>
      <c r="E2745" s="10" t="n">
        <v>1789</v>
      </c>
      <c r="F2745" s="9" t="s">
        <v>27</v>
      </c>
      <c r="G2745" s="9" t="s">
        <v>27</v>
      </c>
      <c r="H2745" s="11" t="n">
        <v>25</v>
      </c>
      <c r="I2745" s="11" t="s">
        <v>369</v>
      </c>
      <c r="J2745" s="14" t="n">
        <v>92</v>
      </c>
      <c r="K2745" s="14"/>
      <c r="L2745" s="16"/>
      <c r="M2745" s="27" t="n">
        <f aca="false">J2745+(K2745/20)+(L2745/240)</f>
        <v>92</v>
      </c>
      <c r="N2745" s="17" t="s">
        <v>64</v>
      </c>
      <c r="O2745" s="11"/>
      <c r="P2745" s="28"/>
      <c r="Q2745" s="28" t="n">
        <f aca="false">P2745*$M2745</f>
        <v>0</v>
      </c>
      <c r="R2745" s="28"/>
      <c r="S2745" s="28" t="n">
        <f aca="false">R2745*$M2745</f>
        <v>0</v>
      </c>
      <c r="T2745" s="28"/>
      <c r="U2745" s="28" t="n">
        <f aca="false">T2745*$M2745</f>
        <v>0</v>
      </c>
      <c r="V2745" s="28" t="n">
        <f aca="false">82878/100</f>
        <v>828.78</v>
      </c>
      <c r="W2745" s="28" t="n">
        <v>76248</v>
      </c>
      <c r="X2745" s="28" t="n">
        <f aca="false">44264/100</f>
        <v>442.64</v>
      </c>
      <c r="Y2745" s="36" t="n">
        <v>41023</v>
      </c>
      <c r="Z2745" s="28"/>
      <c r="AA2745" s="28" t="n">
        <f aca="false">Z2745*$M2745</f>
        <v>0</v>
      </c>
      <c r="AB2745" s="28"/>
      <c r="AC2745" s="28" t="n">
        <f aca="false">AB2745*$M2745</f>
        <v>0</v>
      </c>
      <c r="AD2745" s="28"/>
      <c r="AE2745" s="28" t="n">
        <f aca="false">AD2745*$M2745</f>
        <v>0</v>
      </c>
      <c r="AF2745" s="28"/>
      <c r="AG2745" s="28" t="n">
        <f aca="false">AF2745*$M2745</f>
        <v>0</v>
      </c>
      <c r="AH2745" s="28"/>
      <c r="AI2745" s="28" t="n">
        <f aca="false">AH2745*$M2745</f>
        <v>0</v>
      </c>
      <c r="AJ2745" s="28"/>
      <c r="AK2745" s="28" t="n">
        <f aca="false">AJ2745*$M2745</f>
        <v>0</v>
      </c>
      <c r="AL2745" s="28"/>
      <c r="AM2745" s="28" t="n">
        <f aca="false">AL2745*$M2745</f>
        <v>0</v>
      </c>
      <c r="AN2745" s="28"/>
      <c r="AO2745" s="28" t="n">
        <f aca="false">AN2745*$M2745</f>
        <v>0</v>
      </c>
      <c r="AP2745" s="28"/>
      <c r="AQ2745" s="28" t="n">
        <f aca="false">AP2745*$M2745</f>
        <v>0</v>
      </c>
      <c r="AR2745" s="28"/>
      <c r="AS2745" s="28" t="n">
        <f aca="false">AR2745*$M2745</f>
        <v>0</v>
      </c>
      <c r="AT2745" s="28"/>
      <c r="AU2745" s="28" t="n">
        <f aca="false">AT2745*$M2745</f>
        <v>0</v>
      </c>
      <c r="AV2745" s="28"/>
      <c r="AW2745" s="28" t="n">
        <f aca="false">AV2745*$M2745</f>
        <v>0</v>
      </c>
      <c r="AX2745" s="28"/>
      <c r="AY2745" s="28" t="n">
        <f aca="false">AX2745*$M2745</f>
        <v>0</v>
      </c>
      <c r="AZ2745" s="30" t="n">
        <f aca="false">127142/100</f>
        <v>1271.42</v>
      </c>
      <c r="BA2745" s="11" t="n">
        <v>117271</v>
      </c>
      <c r="BB2745" s="31" t="n">
        <f aca="false">SUM(Q2745,S2745,U2745,W2745,Y2745,AA2745,AC2745,AE2745,AG2745,AI2745,AK2745,AM2745,AO2745,AQ2745,AS2745,AU2745,AW2745,AY2745)</f>
        <v>117271</v>
      </c>
      <c r="BC2745" s="28" t="n">
        <f aca="false">BA2745-BB2745</f>
        <v>0</v>
      </c>
      <c r="BD2745" s="32" t="n">
        <f aca="false">SUM(P2745,R2745,T2745,V2745,X2745,Z2745,AB2745,AD2745,AF2745,AH2745,AJ2745,AL2745,AN2745,AP2745,AR2745,AT2745,AV2745,AX2745)</f>
        <v>1271.42</v>
      </c>
      <c r="BE2745" s="33" t="n">
        <f aca="false">AZ2745-BD2745</f>
        <v>0</v>
      </c>
      <c r="BF2745" s="34" t="n">
        <f aca="false">BD2745*M2745</f>
        <v>116970.64</v>
      </c>
      <c r="BG2745" s="35" t="n">
        <f aca="false">BA2745-BF2745</f>
        <v>300.359999999986</v>
      </c>
      <c r="BH2745" s="19" t="str">
        <f aca="false">IF(BG2745=0,"",IF(BG2745&lt;&gt;BA2745,"erreur de calcul",IF(BD2745&lt;&gt;0,"pas de prix",IF(M2745&lt;&gt; 0,"pas de quantité","pas de prix, ni de quantité"))))</f>
        <v>erreur de calcul</v>
      </c>
      <c r="BI2745" s="19"/>
    </row>
    <row r="2746" customFormat="false" ht="15" hidden="false" customHeight="false" outlineLevel="0" collapsed="false">
      <c r="A2746" s="0" t="n">
        <v>41</v>
      </c>
      <c r="B2746" s="8" t="s">
        <v>24</v>
      </c>
      <c r="C2746" s="9" t="s">
        <v>25</v>
      </c>
      <c r="D2746" s="9" t="s">
        <v>26</v>
      </c>
      <c r="E2746" s="10" t="n">
        <v>1789</v>
      </c>
      <c r="F2746" s="9" t="s">
        <v>27</v>
      </c>
      <c r="G2746" s="9" t="s">
        <v>27</v>
      </c>
      <c r="H2746" s="11" t="n">
        <v>25</v>
      </c>
      <c r="I2746" s="11" t="s">
        <v>370</v>
      </c>
      <c r="J2746" s="14" t="n">
        <v>12</v>
      </c>
      <c r="K2746" s="14"/>
      <c r="L2746" s="16"/>
      <c r="M2746" s="27" t="n">
        <f aca="false">J2746+(K2746/20)+(L2746/240)</f>
        <v>12</v>
      </c>
      <c r="N2746" s="17" t="s">
        <v>64</v>
      </c>
      <c r="O2746" s="11"/>
      <c r="P2746" s="28"/>
      <c r="Q2746" s="28" t="n">
        <f aca="false">P2746*$M2746</f>
        <v>0</v>
      </c>
      <c r="R2746" s="28"/>
      <c r="S2746" s="28" t="n">
        <f aca="false">R2746*$M2746</f>
        <v>0</v>
      </c>
      <c r="T2746" s="28"/>
      <c r="U2746" s="28" t="n">
        <f aca="false">T2746*$M2746</f>
        <v>0</v>
      </c>
      <c r="V2746" s="28"/>
      <c r="W2746" s="28" t="n">
        <f aca="false">V2746*$M2746</f>
        <v>0</v>
      </c>
      <c r="X2746" s="28"/>
      <c r="Y2746" s="28" t="n">
        <f aca="false">X2746*$M2746</f>
        <v>0</v>
      </c>
      <c r="Z2746" s="28"/>
      <c r="AA2746" s="28" t="n">
        <f aca="false">Z2746*$M2746</f>
        <v>0</v>
      </c>
      <c r="AB2746" s="28"/>
      <c r="AC2746" s="28" t="n">
        <f aca="false">AB2746*$M2746</f>
        <v>0</v>
      </c>
      <c r="AD2746" s="28"/>
      <c r="AE2746" s="28" t="n">
        <f aca="false">AD2746*$M2746</f>
        <v>0</v>
      </c>
      <c r="AF2746" s="28"/>
      <c r="AG2746" s="28" t="n">
        <f aca="false">AF2746*$M2746</f>
        <v>0</v>
      </c>
      <c r="AH2746" s="28" t="n">
        <f aca="false">12168/100</f>
        <v>121.68</v>
      </c>
      <c r="AI2746" s="28" t="n">
        <v>1460</v>
      </c>
      <c r="AJ2746" s="28"/>
      <c r="AK2746" s="28" t="n">
        <f aca="false">AJ2746*$M2746</f>
        <v>0</v>
      </c>
      <c r="AL2746" s="28"/>
      <c r="AM2746" s="28" t="n">
        <f aca="false">AL2746*$M2746</f>
        <v>0</v>
      </c>
      <c r="AN2746" s="28"/>
      <c r="AO2746" s="28" t="n">
        <f aca="false">AN2746*$M2746</f>
        <v>0</v>
      </c>
      <c r="AP2746" s="28"/>
      <c r="AQ2746" s="28" t="n">
        <f aca="false">AP2746*$M2746</f>
        <v>0</v>
      </c>
      <c r="AR2746" s="28"/>
      <c r="AS2746" s="28" t="n">
        <f aca="false">AR2746*$M2746</f>
        <v>0</v>
      </c>
      <c r="AT2746" s="28"/>
      <c r="AU2746" s="28" t="n">
        <f aca="false">AT2746*$M2746</f>
        <v>0</v>
      </c>
      <c r="AV2746" s="28"/>
      <c r="AW2746" s="28" t="n">
        <f aca="false">AV2746*$M2746</f>
        <v>0</v>
      </c>
      <c r="AX2746" s="28"/>
      <c r="AY2746" s="28" t="n">
        <f aca="false">AX2746*$M2746</f>
        <v>0</v>
      </c>
      <c r="AZ2746" s="30" t="n">
        <f aca="false">12168/100</f>
        <v>121.68</v>
      </c>
      <c r="BA2746" s="11" t="n">
        <v>1460</v>
      </c>
      <c r="BB2746" s="31" t="n">
        <f aca="false">SUM(Q2746,S2746,U2746,W2746,Y2746,AA2746,AC2746,AE2746,AG2746,AI2746,AK2746,AM2746,AO2746,AQ2746,AS2746,AU2746,AW2746,AY2746)</f>
        <v>1460</v>
      </c>
      <c r="BC2746" s="28" t="n">
        <f aca="false">BA2746-BB2746</f>
        <v>0</v>
      </c>
      <c r="BD2746" s="32" t="n">
        <f aca="false">SUM(P2746,R2746,T2746,V2746,X2746,Z2746,AB2746,AD2746,AF2746,AH2746,AJ2746,AL2746,AN2746,AP2746,AR2746,AT2746,AV2746,AX2746)</f>
        <v>121.68</v>
      </c>
      <c r="BE2746" s="33" t="n">
        <f aca="false">AZ2746-BD2746</f>
        <v>0</v>
      </c>
      <c r="BF2746" s="34" t="n">
        <f aca="false">BD2746*M2746</f>
        <v>1460.16</v>
      </c>
      <c r="BG2746" s="35" t="n">
        <f aca="false">BA2746-BF2746</f>
        <v>-0.160000000000082</v>
      </c>
      <c r="BH2746" s="19" t="str">
        <f aca="false">IF(BG2746=0,"",IF(BG2746&lt;&gt;BA2746,"erreur de calcul",IF(BD2746&lt;&gt;0,"pas de prix",IF(M2746&lt;&gt; 0,"pas de quantité","pas de prix, ni de quantité"))))</f>
        <v>erreur de calcul</v>
      </c>
      <c r="BI2746" s="19"/>
    </row>
    <row r="2747" customFormat="false" ht="15" hidden="false" customHeight="false" outlineLevel="0" collapsed="false">
      <c r="A2747" s="0" t="n">
        <v>42</v>
      </c>
      <c r="B2747" s="8" t="s">
        <v>24</v>
      </c>
      <c r="C2747" s="9" t="s">
        <v>25</v>
      </c>
      <c r="D2747" s="9" t="s">
        <v>26</v>
      </c>
      <c r="E2747" s="10" t="n">
        <v>1789</v>
      </c>
      <c r="F2747" s="9" t="s">
        <v>27</v>
      </c>
      <c r="G2747" s="9" t="s">
        <v>27</v>
      </c>
      <c r="H2747" s="11" t="n">
        <v>25</v>
      </c>
      <c r="I2747" s="11" t="s">
        <v>371</v>
      </c>
      <c r="J2747" s="14" t="n">
        <v>7</v>
      </c>
      <c r="K2747" s="14"/>
      <c r="L2747" s="16"/>
      <c r="M2747" s="27" t="n">
        <f aca="false">J2747+(K2747/20)+(L2747/240)</f>
        <v>7</v>
      </c>
      <c r="N2747" s="17" t="s">
        <v>64</v>
      </c>
      <c r="O2747" s="11"/>
      <c r="P2747" s="28"/>
      <c r="Q2747" s="28" t="n">
        <f aca="false">P2747*$M2747</f>
        <v>0</v>
      </c>
      <c r="R2747" s="28"/>
      <c r="S2747" s="28" t="n">
        <f aca="false">R2747*$M2747</f>
        <v>0</v>
      </c>
      <c r="T2747" s="28"/>
      <c r="U2747" s="28" t="n">
        <f aca="false">T2747*$M2747</f>
        <v>0</v>
      </c>
      <c r="V2747" s="28"/>
      <c r="W2747" s="28" t="n">
        <f aca="false">V2747*$M2747</f>
        <v>0</v>
      </c>
      <c r="X2747" s="28"/>
      <c r="Y2747" s="28" t="n">
        <f aca="false">X2747*$M2747</f>
        <v>0</v>
      </c>
      <c r="Z2747" s="28"/>
      <c r="AA2747" s="28" t="n">
        <f aca="false">Z2747*$M2747</f>
        <v>0</v>
      </c>
      <c r="AB2747" s="28" t="n">
        <f aca="false">58003/100</f>
        <v>580.03</v>
      </c>
      <c r="AC2747" s="28" t="n">
        <v>4060</v>
      </c>
      <c r="AD2747" s="28"/>
      <c r="AE2747" s="28" t="n">
        <f aca="false">AD2747*$M2747</f>
        <v>0</v>
      </c>
      <c r="AF2747" s="28"/>
      <c r="AG2747" s="28" t="n">
        <f aca="false">AF2747*$M2747</f>
        <v>0</v>
      </c>
      <c r="AH2747" s="28"/>
      <c r="AI2747" s="28" t="n">
        <f aca="false">AH2747*$M2747</f>
        <v>0</v>
      </c>
      <c r="AJ2747" s="28"/>
      <c r="AK2747" s="28" t="n">
        <f aca="false">AJ2747*$M2747</f>
        <v>0</v>
      </c>
      <c r="AL2747" s="28"/>
      <c r="AM2747" s="28" t="n">
        <f aca="false">AL2747*$M2747</f>
        <v>0</v>
      </c>
      <c r="AN2747" s="28"/>
      <c r="AO2747" s="28" t="n">
        <f aca="false">AN2747*$M2747</f>
        <v>0</v>
      </c>
      <c r="AP2747" s="28"/>
      <c r="AQ2747" s="28" t="n">
        <f aca="false">AP2747*$M2747</f>
        <v>0</v>
      </c>
      <c r="AR2747" s="28"/>
      <c r="AS2747" s="28" t="n">
        <f aca="false">AR2747*$M2747</f>
        <v>0</v>
      </c>
      <c r="AT2747" s="28"/>
      <c r="AU2747" s="28" t="n">
        <f aca="false">AT2747*$M2747</f>
        <v>0</v>
      </c>
      <c r="AV2747" s="28"/>
      <c r="AW2747" s="28" t="n">
        <f aca="false">AV2747*$M2747</f>
        <v>0</v>
      </c>
      <c r="AX2747" s="28"/>
      <c r="AY2747" s="28" t="n">
        <f aca="false">AX2747*$M2747</f>
        <v>0</v>
      </c>
      <c r="AZ2747" s="30" t="n">
        <f aca="false">58003/100</f>
        <v>580.03</v>
      </c>
      <c r="BA2747" s="11" t="n">
        <v>4060</v>
      </c>
      <c r="BB2747" s="31" t="n">
        <f aca="false">SUM(Q2747,S2747,U2747,W2747,Y2747,AA2747,AC2747,AE2747,AG2747,AI2747,AK2747,AM2747,AO2747,AQ2747,AS2747,AU2747,AW2747,AY2747)</f>
        <v>4060</v>
      </c>
      <c r="BC2747" s="28" t="n">
        <f aca="false">BA2747-BB2747</f>
        <v>0</v>
      </c>
      <c r="BD2747" s="32" t="n">
        <f aca="false">SUM(P2747,R2747,T2747,V2747,X2747,Z2747,AB2747,AD2747,AF2747,AH2747,AJ2747,AL2747,AN2747,AP2747,AR2747,AT2747,AV2747,AX2747)</f>
        <v>580.03</v>
      </c>
      <c r="BE2747" s="33" t="n">
        <f aca="false">AZ2747-BD2747</f>
        <v>0</v>
      </c>
      <c r="BF2747" s="34" t="n">
        <f aca="false">BD2747*M2747</f>
        <v>4060.21</v>
      </c>
      <c r="BG2747" s="35" t="n">
        <f aca="false">BA2747-BF2747</f>
        <v>-0.210000000000036</v>
      </c>
      <c r="BH2747" s="19" t="str">
        <f aca="false">IF(BG2747=0,"",IF(BG2747&lt;&gt;BA2747,"erreur de calcul",IF(BD2747&lt;&gt;0,"pas de prix",IF(M2747&lt;&gt; 0,"pas de quantité","pas de prix, ni de quantité"))))</f>
        <v>erreur de calcul</v>
      </c>
      <c r="BI2747" s="19"/>
    </row>
    <row r="2748" customFormat="false" ht="15" hidden="false" customHeight="false" outlineLevel="0" collapsed="false">
      <c r="A2748" s="0" t="n">
        <v>1</v>
      </c>
      <c r="B2748" s="8" t="s">
        <v>24</v>
      </c>
      <c r="C2748" s="9" t="s">
        <v>25</v>
      </c>
      <c r="D2748" s="9" t="s">
        <v>26</v>
      </c>
      <c r="E2748" s="10" t="n">
        <v>1789</v>
      </c>
      <c r="F2748" s="9" t="s">
        <v>27</v>
      </c>
      <c r="G2748" s="9" t="s">
        <v>27</v>
      </c>
      <c r="H2748" s="11" t="n">
        <v>26</v>
      </c>
      <c r="I2748" s="11" t="s">
        <v>372</v>
      </c>
      <c r="J2748" s="14" t="n">
        <v>30</v>
      </c>
      <c r="K2748" s="14"/>
      <c r="L2748" s="16"/>
      <c r="M2748" s="27" t="n">
        <f aca="false">J2748+(K2748/20)+(L2748/240)</f>
        <v>30</v>
      </c>
      <c r="N2748" s="17" t="s">
        <v>64</v>
      </c>
      <c r="O2748" s="11"/>
      <c r="P2748" s="28"/>
      <c r="Q2748" s="28" t="n">
        <f aca="false">P2748*$M2748</f>
        <v>0</v>
      </c>
      <c r="R2748" s="28"/>
      <c r="S2748" s="28" t="n">
        <f aca="false">R2748*$M2748</f>
        <v>0</v>
      </c>
      <c r="T2748" s="28"/>
      <c r="U2748" s="28" t="n">
        <f aca="false">T2748*$M2748</f>
        <v>0</v>
      </c>
      <c r="V2748" s="28" t="n">
        <f aca="false">1500/100</f>
        <v>15</v>
      </c>
      <c r="W2748" s="28" t="n">
        <v>450</v>
      </c>
      <c r="X2748" s="28"/>
      <c r="Y2748" s="28" t="n">
        <f aca="false">X2748*$M2748</f>
        <v>0</v>
      </c>
      <c r="Z2748" s="28"/>
      <c r="AA2748" s="28" t="n">
        <f aca="false">Z2748*$M2748</f>
        <v>0</v>
      </c>
      <c r="AB2748" s="28"/>
      <c r="AC2748" s="28" t="n">
        <f aca="false">AB2748*$M2748</f>
        <v>0</v>
      </c>
      <c r="AD2748" s="28"/>
      <c r="AE2748" s="28" t="n">
        <f aca="false">AD2748*$M2748</f>
        <v>0</v>
      </c>
      <c r="AF2748" s="28"/>
      <c r="AG2748" s="28" t="n">
        <f aca="false">AF2748*$M2748</f>
        <v>0</v>
      </c>
      <c r="AH2748" s="28"/>
      <c r="AI2748" s="28" t="n">
        <f aca="false">AH2748*$M2748</f>
        <v>0</v>
      </c>
      <c r="AJ2748" s="28"/>
      <c r="AK2748" s="28" t="n">
        <f aca="false">AJ2748*$M2748</f>
        <v>0</v>
      </c>
      <c r="AL2748" s="28"/>
      <c r="AM2748" s="28" t="n">
        <f aca="false">AL2748*$M2748</f>
        <v>0</v>
      </c>
      <c r="AN2748" s="28"/>
      <c r="AO2748" s="28" t="n">
        <f aca="false">AN2748*$M2748</f>
        <v>0</v>
      </c>
      <c r="AP2748" s="28"/>
      <c r="AQ2748" s="28" t="n">
        <f aca="false">AP2748*$M2748</f>
        <v>0</v>
      </c>
      <c r="AR2748" s="28"/>
      <c r="AS2748" s="28" t="n">
        <f aca="false">AR2748*$M2748</f>
        <v>0</v>
      </c>
      <c r="AT2748" s="28"/>
      <c r="AU2748" s="28" t="n">
        <f aca="false">AT2748*$M2748</f>
        <v>0</v>
      </c>
      <c r="AV2748" s="28"/>
      <c r="AW2748" s="28" t="n">
        <f aca="false">AV2748*$M2748</f>
        <v>0</v>
      </c>
      <c r="AX2748" s="28"/>
      <c r="AY2748" s="28" t="n">
        <f aca="false">AX2748*$M2748</f>
        <v>0</v>
      </c>
      <c r="AZ2748" s="30" t="n">
        <f aca="false">1500/100</f>
        <v>15</v>
      </c>
      <c r="BA2748" s="11" t="n">
        <v>450</v>
      </c>
      <c r="BB2748" s="31" t="n">
        <f aca="false">SUM(Q2748,S2748,U2748,W2748,Y2748,AA2748,AC2748,AE2748,AG2748,AI2748,AK2748,AM2748,AO2748,AQ2748,AS2748,AU2748,AW2748,AY2748)</f>
        <v>450</v>
      </c>
      <c r="BC2748" s="28" t="n">
        <f aca="false">BA2748-BB2748</f>
        <v>0</v>
      </c>
      <c r="BD2748" s="32" t="n">
        <f aca="false">SUM(P2748,R2748,T2748,V2748,X2748,Z2748,AB2748,AD2748,AF2748,AH2748,AJ2748,AL2748,AN2748,AP2748,AR2748,AT2748,AV2748,AX2748)</f>
        <v>15</v>
      </c>
      <c r="BE2748" s="33" t="n">
        <f aca="false">AZ2748-BD2748</f>
        <v>0</v>
      </c>
      <c r="BF2748" s="34" t="n">
        <f aca="false">BD2748*M2748</f>
        <v>450</v>
      </c>
      <c r="BG2748" s="35" t="n">
        <f aca="false">BA2748-BF2748</f>
        <v>0</v>
      </c>
      <c r="BH2748" s="19" t="str">
        <f aca="false">IF(BG2748=0,"",IF(BG2748&lt;&gt;BA2748,"erreur de calcul",IF(BD2748&lt;&gt;0,"pas de prix",IF(M2748&lt;&gt; 0,"pas de quantité","pas de prix, ni de quantité"))))</f>
        <v/>
      </c>
      <c r="BI2748" s="19"/>
    </row>
    <row r="2749" customFormat="false" ht="15" hidden="false" customHeight="false" outlineLevel="0" collapsed="false">
      <c r="A2749" s="0" t="n">
        <v>2</v>
      </c>
      <c r="B2749" s="8" t="s">
        <v>24</v>
      </c>
      <c r="C2749" s="9" t="s">
        <v>25</v>
      </c>
      <c r="D2749" s="9" t="s">
        <v>26</v>
      </c>
      <c r="E2749" s="10" t="n">
        <v>1789</v>
      </c>
      <c r="F2749" s="9" t="s">
        <v>27</v>
      </c>
      <c r="G2749" s="9" t="s">
        <v>27</v>
      </c>
      <c r="H2749" s="11" t="n">
        <v>26</v>
      </c>
      <c r="I2749" s="11" t="s">
        <v>373</v>
      </c>
      <c r="J2749" s="14" t="n">
        <v>25</v>
      </c>
      <c r="K2749" s="14"/>
      <c r="L2749" s="16"/>
      <c r="M2749" s="27" t="n">
        <f aca="false">J2749+(K2749/20)+(L2749/240)</f>
        <v>25</v>
      </c>
      <c r="N2749" s="17" t="s">
        <v>64</v>
      </c>
      <c r="O2749" s="11"/>
      <c r="P2749" s="28"/>
      <c r="Q2749" s="28" t="n">
        <f aca="false">P2749*$M2749</f>
        <v>0</v>
      </c>
      <c r="R2749" s="28"/>
      <c r="S2749" s="28" t="n">
        <f aca="false">R2749*$M2749</f>
        <v>0</v>
      </c>
      <c r="T2749" s="28" t="n">
        <f aca="false">34168/100</f>
        <v>341.68</v>
      </c>
      <c r="U2749" s="28" t="n">
        <v>8542</v>
      </c>
      <c r="V2749" s="28" t="n">
        <f aca="false">128249/100</f>
        <v>1282.49</v>
      </c>
      <c r="W2749" s="28" t="n">
        <v>32062</v>
      </c>
      <c r="X2749" s="28" t="n">
        <f aca="false">21365/100</f>
        <v>213.65</v>
      </c>
      <c r="Y2749" s="28" t="n">
        <v>5341</v>
      </c>
      <c r="Z2749" s="28"/>
      <c r="AA2749" s="28" t="n">
        <f aca="false">Z2749*$M2749</f>
        <v>0</v>
      </c>
      <c r="AB2749" s="28"/>
      <c r="AC2749" s="28" t="n">
        <f aca="false">AB2749*$M2749</f>
        <v>0</v>
      </c>
      <c r="AD2749" s="28"/>
      <c r="AE2749" s="28" t="n">
        <f aca="false">AD2749*$M2749</f>
        <v>0</v>
      </c>
      <c r="AF2749" s="28"/>
      <c r="AG2749" s="28" t="n">
        <f aca="false">AF2749*$M2749</f>
        <v>0</v>
      </c>
      <c r="AH2749" s="28"/>
      <c r="AI2749" s="28" t="n">
        <f aca="false">AH2749*$M2749</f>
        <v>0</v>
      </c>
      <c r="AJ2749" s="28" t="n">
        <f aca="false">155251/100</f>
        <v>1552.51</v>
      </c>
      <c r="AK2749" s="28" t="n">
        <v>38813</v>
      </c>
      <c r="AL2749" s="28" t="n">
        <f aca="false">185000/100</f>
        <v>1850</v>
      </c>
      <c r="AM2749" s="28" t="n">
        <v>46250</v>
      </c>
      <c r="AN2749" s="28"/>
      <c r="AO2749" s="28" t="n">
        <f aca="false">AN2749*$M2749</f>
        <v>0</v>
      </c>
      <c r="AP2749" s="28"/>
      <c r="AQ2749" s="28" t="n">
        <f aca="false">AP2749*$M2749</f>
        <v>0</v>
      </c>
      <c r="AR2749" s="28"/>
      <c r="AS2749" s="28" t="n">
        <f aca="false">AR2749*$M2749</f>
        <v>0</v>
      </c>
      <c r="AT2749" s="28"/>
      <c r="AU2749" s="28" t="n">
        <f aca="false">AT2749*$M2749</f>
        <v>0</v>
      </c>
      <c r="AV2749" s="28"/>
      <c r="AW2749" s="28" t="n">
        <f aca="false">AV2749*$M2749</f>
        <v>0</v>
      </c>
      <c r="AX2749" s="28"/>
      <c r="AY2749" s="28" t="n">
        <f aca="false">AX2749*$M2749</f>
        <v>0</v>
      </c>
      <c r="AZ2749" s="30" t="n">
        <f aca="false">524033/100</f>
        <v>5240.33</v>
      </c>
      <c r="BA2749" s="11" t="n">
        <v>131008</v>
      </c>
      <c r="BB2749" s="31" t="n">
        <f aca="false">SUM(Q2749,S2749,U2749,W2749,Y2749,AA2749,AC2749,AE2749,AG2749,AI2749,AK2749,AM2749,AO2749,AQ2749,AS2749,AU2749,AW2749,AY2749)</f>
        <v>131008</v>
      </c>
      <c r="BC2749" s="28" t="n">
        <f aca="false">BA2749-BB2749</f>
        <v>0</v>
      </c>
      <c r="BD2749" s="32" t="n">
        <f aca="false">SUM(P2749,R2749,T2749,V2749,X2749,Z2749,AB2749,AD2749,AF2749,AH2749,AJ2749,AL2749,AN2749,AP2749,AR2749,AT2749,AV2749,AX2749)</f>
        <v>5240.33</v>
      </c>
      <c r="BE2749" s="33" t="n">
        <f aca="false">AZ2749-BD2749</f>
        <v>0</v>
      </c>
      <c r="BF2749" s="34" t="n">
        <f aca="false">BD2749*M2749</f>
        <v>131008.25</v>
      </c>
      <c r="BG2749" s="35" t="n">
        <f aca="false">BA2749-BF2749</f>
        <v>-0.250000000014552</v>
      </c>
      <c r="BH2749" s="19" t="str">
        <f aca="false">IF(BG2749=0,"",IF(BG2749&lt;&gt;BA2749,"erreur de calcul",IF(BD2749&lt;&gt;0,"pas de prix",IF(M2749&lt;&gt; 0,"pas de quantité","pas de prix, ni de quantité"))))</f>
        <v>erreur de calcul</v>
      </c>
      <c r="BI2749" s="19"/>
    </row>
    <row r="2750" customFormat="false" ht="15" hidden="false" customHeight="false" outlineLevel="0" collapsed="false">
      <c r="A2750" s="0" t="n">
        <v>3</v>
      </c>
      <c r="B2750" s="8" t="s">
        <v>24</v>
      </c>
      <c r="C2750" s="9" t="s">
        <v>25</v>
      </c>
      <c r="D2750" s="9" t="s">
        <v>26</v>
      </c>
      <c r="E2750" s="10" t="n">
        <v>1789</v>
      </c>
      <c r="F2750" s="9" t="s">
        <v>27</v>
      </c>
      <c r="G2750" s="9" t="s">
        <v>27</v>
      </c>
      <c r="H2750" s="11" t="n">
        <v>26</v>
      </c>
      <c r="I2750" s="11" t="s">
        <v>374</v>
      </c>
      <c r="J2750" s="14" t="n">
        <v>70</v>
      </c>
      <c r="K2750" s="14"/>
      <c r="L2750" s="16"/>
      <c r="M2750" s="27" t="n">
        <f aca="false">J2750+(K2750/20)+(L2750/240)</f>
        <v>70</v>
      </c>
      <c r="N2750" s="17" t="s">
        <v>64</v>
      </c>
      <c r="O2750" s="11"/>
      <c r="P2750" s="28"/>
      <c r="Q2750" s="28" t="n">
        <f aca="false">P2750*$M2750</f>
        <v>0</v>
      </c>
      <c r="R2750" s="28"/>
      <c r="S2750" s="28" t="n">
        <f aca="false">R2750*$M2750</f>
        <v>0</v>
      </c>
      <c r="T2750" s="28"/>
      <c r="U2750" s="28" t="n">
        <f aca="false">T2750*$M2750</f>
        <v>0</v>
      </c>
      <c r="V2750" s="28" t="n">
        <f aca="false">4560/100</f>
        <v>45.6</v>
      </c>
      <c r="W2750" s="28" t="n">
        <v>3192</v>
      </c>
      <c r="X2750" s="28" t="n">
        <f aca="false">1115/100</f>
        <v>11.15</v>
      </c>
      <c r="Y2750" s="28" t="n">
        <v>780</v>
      </c>
      <c r="Z2750" s="28"/>
      <c r="AA2750" s="28" t="n">
        <f aca="false">Z2750*$M2750</f>
        <v>0</v>
      </c>
      <c r="AB2750" s="28" t="n">
        <f aca="false">9431/100</f>
        <v>94.31</v>
      </c>
      <c r="AC2750" s="28" t="n">
        <v>6602</v>
      </c>
      <c r="AD2750" s="28"/>
      <c r="AE2750" s="28" t="n">
        <f aca="false">AD2750*$M2750</f>
        <v>0</v>
      </c>
      <c r="AF2750" s="28"/>
      <c r="AG2750" s="28" t="n">
        <f aca="false">AF2750*$M2750</f>
        <v>0</v>
      </c>
      <c r="AH2750" s="28"/>
      <c r="AI2750" s="28" t="n">
        <f aca="false">AH2750*$M2750</f>
        <v>0</v>
      </c>
      <c r="AJ2750" s="28"/>
      <c r="AK2750" s="28" t="n">
        <f aca="false">AJ2750*$M2750</f>
        <v>0</v>
      </c>
      <c r="AL2750" s="28"/>
      <c r="AM2750" s="28" t="n">
        <f aca="false">AL2750*$M2750</f>
        <v>0</v>
      </c>
      <c r="AN2750" s="28"/>
      <c r="AO2750" s="28" t="n">
        <f aca="false">AN2750*$M2750</f>
        <v>0</v>
      </c>
      <c r="AP2750" s="28"/>
      <c r="AQ2750" s="28" t="n">
        <f aca="false">AP2750*$M2750</f>
        <v>0</v>
      </c>
      <c r="AR2750" s="28"/>
      <c r="AS2750" s="28" t="n">
        <f aca="false">AR2750*$M2750</f>
        <v>0</v>
      </c>
      <c r="AT2750" s="28"/>
      <c r="AU2750" s="28" t="n">
        <f aca="false">AT2750*$M2750</f>
        <v>0</v>
      </c>
      <c r="AV2750" s="28"/>
      <c r="AW2750" s="28" t="n">
        <f aca="false">AV2750*$M2750</f>
        <v>0</v>
      </c>
      <c r="AX2750" s="28"/>
      <c r="AY2750" s="28" t="n">
        <f aca="false">AX2750*$M2750</f>
        <v>0</v>
      </c>
      <c r="AZ2750" s="30" t="n">
        <f aca="false">15106/100</f>
        <v>151.06</v>
      </c>
      <c r="BA2750" s="11" t="n">
        <v>10574</v>
      </c>
      <c r="BB2750" s="31" t="n">
        <f aca="false">SUM(Q2750,S2750,U2750,W2750,Y2750,AA2750,AC2750,AE2750,AG2750,AI2750,AK2750,AM2750,AO2750,AQ2750,AS2750,AU2750,AW2750,AY2750)</f>
        <v>10574</v>
      </c>
      <c r="BC2750" s="28" t="n">
        <f aca="false">BA2750-BB2750</f>
        <v>0</v>
      </c>
      <c r="BD2750" s="32" t="n">
        <f aca="false">SUM(P2750,R2750,T2750,V2750,X2750,Z2750,AB2750,AD2750,AF2750,AH2750,AJ2750,AL2750,AN2750,AP2750,AR2750,AT2750,AV2750,AX2750)</f>
        <v>151.06</v>
      </c>
      <c r="BE2750" s="33" t="n">
        <f aca="false">AZ2750-BD2750</f>
        <v>0</v>
      </c>
      <c r="BF2750" s="34" t="n">
        <f aca="false">BD2750*M2750</f>
        <v>10574.2</v>
      </c>
      <c r="BG2750" s="35" t="n">
        <f aca="false">BA2750-BF2750</f>
        <v>-0.200000000000728</v>
      </c>
      <c r="BH2750" s="19" t="str">
        <f aca="false">IF(BG2750=0,"",IF(BG2750&lt;&gt;BA2750,"erreur de calcul",IF(BD2750&lt;&gt;0,"pas de prix",IF(M2750&lt;&gt; 0,"pas de quantité","pas de prix, ni de quantité"))))</f>
        <v>erreur de calcul</v>
      </c>
      <c r="BI2750" s="19"/>
    </row>
    <row r="2751" customFormat="false" ht="15" hidden="false" customHeight="false" outlineLevel="0" collapsed="false">
      <c r="A2751" s="0" t="n">
        <v>4</v>
      </c>
      <c r="B2751" s="8" t="s">
        <v>24</v>
      </c>
      <c r="C2751" s="9" t="s">
        <v>25</v>
      </c>
      <c r="D2751" s="9" t="s">
        <v>26</v>
      </c>
      <c r="E2751" s="10" t="n">
        <v>1789</v>
      </c>
      <c r="F2751" s="9" t="s">
        <v>27</v>
      </c>
      <c r="G2751" s="9" t="s">
        <v>27</v>
      </c>
      <c r="H2751" s="11" t="n">
        <v>26</v>
      </c>
      <c r="I2751" s="11" t="s">
        <v>375</v>
      </c>
      <c r="J2751" s="14" t="n">
        <v>245</v>
      </c>
      <c r="K2751" s="14"/>
      <c r="L2751" s="16"/>
      <c r="M2751" s="27" t="n">
        <f aca="false">J2751+(K2751/20)+(L2751/240)</f>
        <v>245</v>
      </c>
      <c r="N2751" s="17" t="s">
        <v>64</v>
      </c>
      <c r="O2751" s="11"/>
      <c r="P2751" s="28"/>
      <c r="Q2751" s="28" t="n">
        <f aca="false">P2751*$M2751</f>
        <v>0</v>
      </c>
      <c r="R2751" s="28"/>
      <c r="S2751" s="28" t="n">
        <f aca="false">R2751*$M2751</f>
        <v>0</v>
      </c>
      <c r="T2751" s="28"/>
      <c r="U2751" s="28" t="n">
        <f aca="false">T2751*$M2751</f>
        <v>0</v>
      </c>
      <c r="V2751" s="28"/>
      <c r="W2751" s="28" t="n">
        <f aca="false">V2751*$M2751</f>
        <v>0</v>
      </c>
      <c r="X2751" s="28"/>
      <c r="Y2751" s="28" t="n">
        <f aca="false">X2751*$M2751</f>
        <v>0</v>
      </c>
      <c r="Z2751" s="28"/>
      <c r="AA2751" s="28" t="n">
        <f aca="false">Z2751*$M2751</f>
        <v>0</v>
      </c>
      <c r="AB2751" s="28"/>
      <c r="AC2751" s="28" t="n">
        <f aca="false">AB2751*$M2751</f>
        <v>0</v>
      </c>
      <c r="AD2751" s="28"/>
      <c r="AE2751" s="28" t="n">
        <f aca="false">AD2751*$M2751</f>
        <v>0</v>
      </c>
      <c r="AF2751" s="28"/>
      <c r="AG2751" s="28" t="n">
        <f aca="false">AF2751*$M2751</f>
        <v>0</v>
      </c>
      <c r="AH2751" s="28" t="n">
        <f aca="false">751/100</f>
        <v>7.51</v>
      </c>
      <c r="AI2751" s="28" t="n">
        <v>1840</v>
      </c>
      <c r="AJ2751" s="28"/>
      <c r="AK2751" s="28" t="n">
        <f aca="false">AJ2751*$M2751</f>
        <v>0</v>
      </c>
      <c r="AL2751" s="28"/>
      <c r="AM2751" s="28" t="n">
        <f aca="false">AL2751*$M2751</f>
        <v>0</v>
      </c>
      <c r="AN2751" s="28"/>
      <c r="AO2751" s="28" t="n">
        <f aca="false">AN2751*$M2751</f>
        <v>0</v>
      </c>
      <c r="AP2751" s="28"/>
      <c r="AQ2751" s="28" t="n">
        <f aca="false">AP2751*$M2751</f>
        <v>0</v>
      </c>
      <c r="AR2751" s="28"/>
      <c r="AS2751" s="28" t="n">
        <f aca="false">AR2751*$M2751</f>
        <v>0</v>
      </c>
      <c r="AT2751" s="28"/>
      <c r="AU2751" s="28" t="n">
        <f aca="false">AT2751*$M2751</f>
        <v>0</v>
      </c>
      <c r="AV2751" s="28"/>
      <c r="AW2751" s="28" t="n">
        <f aca="false">AV2751*$M2751</f>
        <v>0</v>
      </c>
      <c r="AX2751" s="28"/>
      <c r="AY2751" s="28" t="n">
        <f aca="false">AX2751*$M2751</f>
        <v>0</v>
      </c>
      <c r="AZ2751" s="30" t="n">
        <f aca="false">751/100</f>
        <v>7.51</v>
      </c>
      <c r="BA2751" s="11" t="n">
        <v>1840</v>
      </c>
      <c r="BB2751" s="31" t="n">
        <f aca="false">SUM(Q2751,S2751,U2751,W2751,Y2751,AA2751,AC2751,AE2751,AG2751,AI2751,AK2751,AM2751,AO2751,AQ2751,AS2751,AU2751,AW2751,AY2751)</f>
        <v>1840</v>
      </c>
      <c r="BC2751" s="28" t="n">
        <f aca="false">BA2751-BB2751</f>
        <v>0</v>
      </c>
      <c r="BD2751" s="32" t="n">
        <f aca="false">SUM(P2751,R2751,T2751,V2751,X2751,Z2751,AB2751,AD2751,AF2751,AH2751,AJ2751,AL2751,AN2751,AP2751,AR2751,AT2751,AV2751,AX2751)</f>
        <v>7.51</v>
      </c>
      <c r="BE2751" s="33" t="n">
        <f aca="false">AZ2751-BD2751</f>
        <v>0</v>
      </c>
      <c r="BF2751" s="34" t="n">
        <f aca="false">BD2751*M2751</f>
        <v>1839.95</v>
      </c>
      <c r="BG2751" s="35" t="n">
        <f aca="false">BA2751-BF2751</f>
        <v>0.0499999999999545</v>
      </c>
      <c r="BH2751" s="19" t="str">
        <f aca="false">IF(BG2751=0,"",IF(BG2751&lt;&gt;BA2751,"erreur de calcul",IF(BD2751&lt;&gt;0,"pas de prix",IF(M2751&lt;&gt; 0,"pas de quantité","pas de prix, ni de quantité"))))</f>
        <v>erreur de calcul</v>
      </c>
      <c r="BI2751" s="19"/>
    </row>
    <row r="2752" customFormat="false" ht="15" hidden="false" customHeight="false" outlineLevel="0" collapsed="false">
      <c r="A2752" s="0" t="n">
        <v>5</v>
      </c>
      <c r="B2752" s="8" t="s">
        <v>24</v>
      </c>
      <c r="C2752" s="9" t="s">
        <v>25</v>
      </c>
      <c r="D2752" s="9" t="s">
        <v>26</v>
      </c>
      <c r="E2752" s="10" t="n">
        <v>1789</v>
      </c>
      <c r="F2752" s="9" t="s">
        <v>27</v>
      </c>
      <c r="G2752" s="9" t="s">
        <v>27</v>
      </c>
      <c r="H2752" s="11" t="n">
        <v>26</v>
      </c>
      <c r="I2752" s="11" t="s">
        <v>376</v>
      </c>
      <c r="J2752" s="14" t="n">
        <v>550</v>
      </c>
      <c r="K2752" s="14"/>
      <c r="L2752" s="16"/>
      <c r="M2752" s="27" t="n">
        <f aca="false">J2752+(K2752/20)+(L2752/240)</f>
        <v>550</v>
      </c>
      <c r="N2752" s="17" t="s">
        <v>64</v>
      </c>
      <c r="O2752" s="11"/>
      <c r="P2752" s="28"/>
      <c r="Q2752" s="28" t="n">
        <f aca="false">P2752*$M2752</f>
        <v>0</v>
      </c>
      <c r="R2752" s="28"/>
      <c r="S2752" s="28" t="n">
        <f aca="false">R2752*$M2752</f>
        <v>0</v>
      </c>
      <c r="T2752" s="28"/>
      <c r="U2752" s="28" t="n">
        <f aca="false">T2752*$M2752</f>
        <v>0</v>
      </c>
      <c r="V2752" s="28"/>
      <c r="W2752" s="28" t="n">
        <f aca="false">V2752*$M2752</f>
        <v>0</v>
      </c>
      <c r="X2752" s="28"/>
      <c r="Y2752" s="28" t="n">
        <f aca="false">X2752*$M2752</f>
        <v>0</v>
      </c>
      <c r="Z2752" s="28"/>
      <c r="AA2752" s="28" t="n">
        <f aca="false">Z2752*$M2752</f>
        <v>0</v>
      </c>
      <c r="AB2752" s="28"/>
      <c r="AC2752" s="28" t="n">
        <f aca="false">AB2752*$M2752</f>
        <v>0</v>
      </c>
      <c r="AD2752" s="28"/>
      <c r="AE2752" s="28" t="n">
        <f aca="false">AD2752*$M2752</f>
        <v>0</v>
      </c>
      <c r="AF2752" s="28"/>
      <c r="AG2752" s="28" t="n">
        <f aca="false">AF2752*$M2752</f>
        <v>0</v>
      </c>
      <c r="AH2752" s="28" t="n">
        <f aca="false">215551/100</f>
        <v>2155.51</v>
      </c>
      <c r="AI2752" s="28" t="n">
        <v>1185530</v>
      </c>
      <c r="AJ2752" s="28"/>
      <c r="AK2752" s="28" t="n">
        <f aca="false">AJ2752*$M2752</f>
        <v>0</v>
      </c>
      <c r="AL2752" s="28"/>
      <c r="AM2752" s="28" t="n">
        <f aca="false">AL2752*$M2752</f>
        <v>0</v>
      </c>
      <c r="AN2752" s="28"/>
      <c r="AO2752" s="28" t="n">
        <f aca="false">AN2752*$M2752</f>
        <v>0</v>
      </c>
      <c r="AP2752" s="28"/>
      <c r="AQ2752" s="28" t="n">
        <f aca="false">AP2752*$M2752</f>
        <v>0</v>
      </c>
      <c r="AR2752" s="28"/>
      <c r="AS2752" s="28" t="n">
        <f aca="false">AR2752*$M2752</f>
        <v>0</v>
      </c>
      <c r="AT2752" s="28"/>
      <c r="AU2752" s="28" t="n">
        <f aca="false">AT2752*$M2752</f>
        <v>0</v>
      </c>
      <c r="AV2752" s="28"/>
      <c r="AW2752" s="28" t="n">
        <f aca="false">AV2752*$M2752</f>
        <v>0</v>
      </c>
      <c r="AX2752" s="28"/>
      <c r="AY2752" s="28" t="n">
        <f aca="false">AX2752*$M2752</f>
        <v>0</v>
      </c>
      <c r="AZ2752" s="30" t="n">
        <f aca="false">215551/100</f>
        <v>2155.51</v>
      </c>
      <c r="BA2752" s="11" t="n">
        <v>1185530</v>
      </c>
      <c r="BB2752" s="31" t="n">
        <f aca="false">SUM(Q2752,S2752,U2752,W2752,Y2752,AA2752,AC2752,AE2752,AG2752,AI2752,AK2752,AM2752,AO2752,AQ2752,AS2752,AU2752,AW2752,AY2752)</f>
        <v>1185530</v>
      </c>
      <c r="BC2752" s="28" t="n">
        <f aca="false">BA2752-BB2752</f>
        <v>0</v>
      </c>
      <c r="BD2752" s="32" t="n">
        <f aca="false">SUM(P2752,R2752,T2752,V2752,X2752,Z2752,AB2752,AD2752,AF2752,AH2752,AJ2752,AL2752,AN2752,AP2752,AR2752,AT2752,AV2752,AX2752)</f>
        <v>2155.51</v>
      </c>
      <c r="BE2752" s="33" t="n">
        <f aca="false">AZ2752-BD2752</f>
        <v>0</v>
      </c>
      <c r="BF2752" s="34" t="n">
        <f aca="false">BD2752*M2752</f>
        <v>1185530.5</v>
      </c>
      <c r="BG2752" s="35" t="n">
        <f aca="false">BA2752-BF2752</f>
        <v>-0.500000000232831</v>
      </c>
      <c r="BH2752" s="19" t="str">
        <f aca="false">IF(BG2752=0,"",IF(BG2752&lt;&gt;BA2752,"erreur de calcul",IF(BD2752&lt;&gt;0,"pas de prix",IF(M2752&lt;&gt; 0,"pas de quantité","pas de prix, ni de quantité"))))</f>
        <v>erreur de calcul</v>
      </c>
      <c r="BI2752" s="19"/>
    </row>
    <row r="2753" customFormat="false" ht="15" hidden="false" customHeight="false" outlineLevel="0" collapsed="false">
      <c r="A2753" s="0" t="n">
        <v>6</v>
      </c>
      <c r="B2753" s="8" t="s">
        <v>24</v>
      </c>
      <c r="C2753" s="9" t="s">
        <v>25</v>
      </c>
      <c r="D2753" s="9" t="s">
        <v>26</v>
      </c>
      <c r="E2753" s="10" t="n">
        <v>1789</v>
      </c>
      <c r="F2753" s="9" t="s">
        <v>27</v>
      </c>
      <c r="G2753" s="9" t="s">
        <v>27</v>
      </c>
      <c r="H2753" s="11" t="n">
        <v>26</v>
      </c>
      <c r="I2753" s="11" t="s">
        <v>377</v>
      </c>
      <c r="J2753" s="14"/>
      <c r="K2753" s="14"/>
      <c r="L2753" s="16"/>
      <c r="M2753" s="27" t="n">
        <f aca="false">J2753+(K2753/20)+(L2753/240)</f>
        <v>0</v>
      </c>
      <c r="N2753" s="17"/>
      <c r="O2753" s="11"/>
      <c r="P2753" s="28"/>
      <c r="Q2753" s="28" t="n">
        <f aca="false">P2753*$M2753</f>
        <v>0</v>
      </c>
      <c r="R2753" s="28"/>
      <c r="S2753" s="28" t="n">
        <f aca="false">R2753*$M2753</f>
        <v>0</v>
      </c>
      <c r="T2753" s="28"/>
      <c r="U2753" s="28" t="n">
        <v>517</v>
      </c>
      <c r="V2753" s="28"/>
      <c r="W2753" s="28" t="n">
        <v>1243</v>
      </c>
      <c r="X2753" s="28"/>
      <c r="Y2753" s="28" t="n">
        <f aca="false">X2753*$M2753</f>
        <v>0</v>
      </c>
      <c r="Z2753" s="28"/>
      <c r="AA2753" s="28" t="n">
        <f aca="false">Z2753*$M2753</f>
        <v>0</v>
      </c>
      <c r="AB2753" s="28"/>
      <c r="AC2753" s="28" t="n">
        <v>694</v>
      </c>
      <c r="AD2753" s="28"/>
      <c r="AE2753" s="28" t="n">
        <f aca="false">AD2753*$M2753</f>
        <v>0</v>
      </c>
      <c r="AF2753" s="28"/>
      <c r="AG2753" s="28" t="n">
        <f aca="false">AF2753*$M2753</f>
        <v>0</v>
      </c>
      <c r="AH2753" s="28"/>
      <c r="AI2753" s="28" t="n">
        <f aca="false">AH2753*$M2753</f>
        <v>0</v>
      </c>
      <c r="AJ2753" s="28"/>
      <c r="AK2753" s="28" t="n">
        <v>664</v>
      </c>
      <c r="AL2753" s="28"/>
      <c r="AM2753" s="28" t="n">
        <v>161</v>
      </c>
      <c r="AN2753" s="28"/>
      <c r="AO2753" s="28" t="n">
        <f aca="false">AN2753*$M2753</f>
        <v>0</v>
      </c>
      <c r="AP2753" s="28"/>
      <c r="AQ2753" s="28" t="n">
        <f aca="false">AP2753*$M2753</f>
        <v>0</v>
      </c>
      <c r="AR2753" s="28"/>
      <c r="AS2753" s="28" t="n">
        <f aca="false">AR2753*$M2753</f>
        <v>0</v>
      </c>
      <c r="AT2753" s="28"/>
      <c r="AU2753" s="28" t="n">
        <f aca="false">AT2753*$M2753</f>
        <v>0</v>
      </c>
      <c r="AV2753" s="28"/>
      <c r="AW2753" s="28" t="n">
        <f aca="false">AV2753*$M2753</f>
        <v>0</v>
      </c>
      <c r="AX2753" s="28"/>
      <c r="AY2753" s="28" t="n">
        <f aca="false">AX2753*$M2753</f>
        <v>0</v>
      </c>
      <c r="AZ2753" s="30"/>
      <c r="BA2753" s="11" t="n">
        <v>3279</v>
      </c>
      <c r="BB2753" s="31" t="n">
        <f aca="false">SUM(Q2753,S2753,U2753,W2753,Y2753,AA2753,AC2753,AE2753,AG2753,AI2753,AK2753,AM2753,AO2753,AQ2753,AS2753,AU2753,AW2753,AY2753)</f>
        <v>3279</v>
      </c>
      <c r="BC2753" s="28" t="n">
        <f aca="false">BA2753-BB2753</f>
        <v>0</v>
      </c>
      <c r="BD2753" s="32" t="n">
        <f aca="false">SUM(P2753,R2753,T2753,V2753,X2753,Z2753,AB2753,AD2753,AF2753,AH2753,AJ2753,AL2753,AN2753,AP2753,AR2753,AT2753,AV2753,AX2753)</f>
        <v>0</v>
      </c>
      <c r="BE2753" s="33" t="n">
        <f aca="false">AZ2753-BD2753</f>
        <v>0</v>
      </c>
      <c r="BF2753" s="34" t="n">
        <f aca="false">BD2753*M2753</f>
        <v>0</v>
      </c>
      <c r="BG2753" s="35" t="n">
        <f aca="false">BA2753-BF2753</f>
        <v>3279</v>
      </c>
      <c r="BH2753" s="19" t="str">
        <f aca="false">IF(BG2753=0,"",IF(BG2753&lt;&gt;BA2753,"erreur de calcul",IF(BD2753&lt;&gt;0,"pas de prix",IF(M2753&lt;&gt; 0,"pas de quantité","pas de prix, ni de quantité"))))</f>
        <v>pas de prix, ni de quantité</v>
      </c>
      <c r="BI2753" s="19"/>
    </row>
    <row r="2754" customFormat="false" ht="15" hidden="false" customHeight="false" outlineLevel="0" collapsed="false">
      <c r="A2754" s="0" t="n">
        <v>7</v>
      </c>
      <c r="B2754" s="8" t="s">
        <v>24</v>
      </c>
      <c r="C2754" s="9" t="s">
        <v>25</v>
      </c>
      <c r="D2754" s="9" t="s">
        <v>26</v>
      </c>
      <c r="E2754" s="10" t="n">
        <v>1789</v>
      </c>
      <c r="F2754" s="9" t="s">
        <v>27</v>
      </c>
      <c r="G2754" s="9" t="s">
        <v>27</v>
      </c>
      <c r="H2754" s="11" t="n">
        <v>26</v>
      </c>
      <c r="I2754" s="11" t="s">
        <v>378</v>
      </c>
      <c r="J2754" s="14" t="n">
        <v>27</v>
      </c>
      <c r="K2754" s="14"/>
      <c r="L2754" s="16"/>
      <c r="M2754" s="27" t="n">
        <f aca="false">J2754+(K2754/20)+(L2754/240)</f>
        <v>27</v>
      </c>
      <c r="N2754" s="17" t="s">
        <v>379</v>
      </c>
      <c r="O2754" s="11" t="s">
        <v>98</v>
      </c>
      <c r="P2754" s="28"/>
      <c r="Q2754" s="28" t="n">
        <f aca="false">P2754*$M2754</f>
        <v>0</v>
      </c>
      <c r="R2754" s="28"/>
      <c r="S2754" s="28" t="n">
        <f aca="false">R2754*$M2754</f>
        <v>0</v>
      </c>
      <c r="T2754" s="28"/>
      <c r="U2754" s="28" t="n">
        <f aca="false">T2754*$M2754</f>
        <v>0</v>
      </c>
      <c r="V2754" s="28"/>
      <c r="W2754" s="28" t="n">
        <f aca="false">V2754*$M2754</f>
        <v>0</v>
      </c>
      <c r="X2754" s="28"/>
      <c r="Y2754" s="28" t="n">
        <f aca="false">X2754*$M2754</f>
        <v>0</v>
      </c>
      <c r="Z2754" s="28"/>
      <c r="AA2754" s="28" t="n">
        <f aca="false">Z2754*$M2754</f>
        <v>0</v>
      </c>
      <c r="AB2754" s="28"/>
      <c r="AC2754" s="28" t="n">
        <f aca="false">AB2754*$M2754</f>
        <v>0</v>
      </c>
      <c r="AD2754" s="28"/>
      <c r="AE2754" s="28" t="n">
        <f aca="false">AD2754*$M2754</f>
        <v>0</v>
      </c>
      <c r="AF2754" s="28"/>
      <c r="AG2754" s="28" t="n">
        <f aca="false">AF2754*$M2754</f>
        <v>0</v>
      </c>
      <c r="AH2754" s="28"/>
      <c r="AI2754" s="28" t="n">
        <f aca="false">AH2754*$M2754</f>
        <v>0</v>
      </c>
      <c r="AJ2754" s="28"/>
      <c r="AK2754" s="28" t="n">
        <f aca="false">AJ2754*$M2754</f>
        <v>0</v>
      </c>
      <c r="AL2754" s="28"/>
      <c r="AM2754" s="28" t="n">
        <f aca="false">AL2754*$M2754</f>
        <v>0</v>
      </c>
      <c r="AN2754" s="28"/>
      <c r="AO2754" s="28" t="n">
        <f aca="false">AN2754*$M2754</f>
        <v>0</v>
      </c>
      <c r="AP2754" s="28"/>
      <c r="AQ2754" s="28" t="n">
        <f aca="false">AP2754*$M2754</f>
        <v>0</v>
      </c>
      <c r="AR2754" s="28"/>
      <c r="AS2754" s="28" t="n">
        <f aca="false">AR2754*$M2754</f>
        <v>0</v>
      </c>
      <c r="AT2754" s="28"/>
      <c r="AU2754" s="28" t="n">
        <f aca="false">AT2754*$M2754</f>
        <v>0</v>
      </c>
      <c r="AV2754" s="28"/>
      <c r="AW2754" s="28" t="n">
        <f aca="false">AV2754*$M2754</f>
        <v>0</v>
      </c>
      <c r="AX2754" s="28"/>
      <c r="AY2754" s="28" t="n">
        <f aca="false">AX2754*$M2754</f>
        <v>0</v>
      </c>
      <c r="AZ2754" s="30"/>
      <c r="BA2754" s="11"/>
      <c r="BB2754" s="31" t="n">
        <f aca="false">SUM(Q2754,S2754,U2754,W2754,Y2754,AA2754,AC2754,AE2754,AG2754,AI2754,AK2754,AM2754,AO2754,AQ2754,AS2754,AU2754,AW2754,AY2754)</f>
        <v>0</v>
      </c>
      <c r="BC2754" s="28" t="n">
        <f aca="false">BA2754-BB2754</f>
        <v>0</v>
      </c>
      <c r="BD2754" s="32" t="n">
        <f aca="false">SUM(P2754,R2754,T2754,V2754,X2754,Z2754,AB2754,AD2754,AF2754,AH2754,AJ2754,AL2754,AN2754,AP2754,AR2754,AT2754,AV2754,AX2754)</f>
        <v>0</v>
      </c>
      <c r="BE2754" s="33" t="n">
        <f aca="false">AZ2754-BD2754</f>
        <v>0</v>
      </c>
      <c r="BF2754" s="34" t="n">
        <f aca="false">BD2754*M2754</f>
        <v>0</v>
      </c>
      <c r="BG2754" s="35" t="n">
        <f aca="false">BA2754-BF2754</f>
        <v>0</v>
      </c>
      <c r="BH2754" s="19" t="str">
        <f aca="false">IF(BG2754=0,"",IF(BG2754&lt;&gt;BA2754,"erreur de calcul",IF(BD2754&lt;&gt;0,"pas de prix",IF(M2754&lt;&gt; 0,"pas de quantité","pas de prix, ni de quantité"))))</f>
        <v/>
      </c>
      <c r="BI2754" s="19"/>
    </row>
    <row r="2755" customFormat="false" ht="15" hidden="false" customHeight="false" outlineLevel="0" collapsed="false">
      <c r="A2755" s="0" t="n">
        <v>8</v>
      </c>
      <c r="B2755" s="8" t="s">
        <v>24</v>
      </c>
      <c r="C2755" s="9" t="s">
        <v>25</v>
      </c>
      <c r="D2755" s="9" t="s">
        <v>26</v>
      </c>
      <c r="E2755" s="10" t="n">
        <v>1789</v>
      </c>
      <c r="F2755" s="9" t="s">
        <v>27</v>
      </c>
      <c r="G2755" s="9" t="s">
        <v>27</v>
      </c>
      <c r="H2755" s="11" t="n">
        <v>26</v>
      </c>
      <c r="I2755" s="11" t="s">
        <v>380</v>
      </c>
      <c r="J2755" s="14" t="n">
        <v>30</v>
      </c>
      <c r="K2755" s="14"/>
      <c r="L2755" s="16"/>
      <c r="M2755" s="27" t="n">
        <f aca="false">J2755+(K2755/20)+(L2755/240)</f>
        <v>30</v>
      </c>
      <c r="N2755" s="17" t="s">
        <v>64</v>
      </c>
      <c r="O2755" s="11"/>
      <c r="P2755" s="28"/>
      <c r="Q2755" s="28" t="n">
        <f aca="false">P2755*$M2755</f>
        <v>0</v>
      </c>
      <c r="R2755" s="28"/>
      <c r="S2755" s="28" t="n">
        <f aca="false">R2755*$M2755</f>
        <v>0</v>
      </c>
      <c r="T2755" s="28"/>
      <c r="U2755" s="28" t="n">
        <f aca="false">T2755*$M2755</f>
        <v>0</v>
      </c>
      <c r="V2755" s="28"/>
      <c r="W2755" s="28" t="n">
        <f aca="false">V2755*$M2755</f>
        <v>0</v>
      </c>
      <c r="X2755" s="28"/>
      <c r="Y2755" s="28" t="n">
        <f aca="false">X2755*$M2755</f>
        <v>0</v>
      </c>
      <c r="Z2755" s="28"/>
      <c r="AA2755" s="28" t="n">
        <f aca="false">Z2755*$M2755</f>
        <v>0</v>
      </c>
      <c r="AB2755" s="28"/>
      <c r="AC2755" s="28" t="n">
        <f aca="false">AB2755*$M2755</f>
        <v>0</v>
      </c>
      <c r="AD2755" s="28"/>
      <c r="AE2755" s="28" t="n">
        <f aca="false">AD2755*$M2755</f>
        <v>0</v>
      </c>
      <c r="AF2755" s="28"/>
      <c r="AG2755" s="28" t="n">
        <f aca="false">AF2755*$M2755</f>
        <v>0</v>
      </c>
      <c r="AH2755" s="28"/>
      <c r="AI2755" s="28" t="n">
        <f aca="false">AH2755*$M2755</f>
        <v>0</v>
      </c>
      <c r="AJ2755" s="28"/>
      <c r="AK2755" s="28" t="n">
        <f aca="false">AJ2755*$M2755</f>
        <v>0</v>
      </c>
      <c r="AL2755" s="28"/>
      <c r="AM2755" s="28" t="n">
        <f aca="false">AL2755*$M2755</f>
        <v>0</v>
      </c>
      <c r="AN2755" s="28"/>
      <c r="AO2755" s="28" t="n">
        <f aca="false">AN2755*$M2755</f>
        <v>0</v>
      </c>
      <c r="AP2755" s="28"/>
      <c r="AQ2755" s="28" t="n">
        <f aca="false">AP2755*$M2755</f>
        <v>0</v>
      </c>
      <c r="AR2755" s="28"/>
      <c r="AS2755" s="28" t="n">
        <f aca="false">AR2755*$M2755</f>
        <v>0</v>
      </c>
      <c r="AT2755" s="28"/>
      <c r="AU2755" s="28" t="n">
        <f aca="false">AT2755*$M2755</f>
        <v>0</v>
      </c>
      <c r="AV2755" s="28" t="n">
        <f aca="false">5417/100</f>
        <v>54.17</v>
      </c>
      <c r="AW2755" s="28" t="n">
        <v>1625</v>
      </c>
      <c r="AX2755" s="28"/>
      <c r="AY2755" s="28" t="n">
        <f aca="false">AX2755*$M2755</f>
        <v>0</v>
      </c>
      <c r="AZ2755" s="30"/>
      <c r="BA2755" s="11" t="n">
        <v>1625</v>
      </c>
      <c r="BB2755" s="31" t="n">
        <f aca="false">SUM(Q2755,S2755,U2755,W2755,Y2755,AA2755,AC2755,AE2755,AG2755,AI2755,AK2755,AM2755,AO2755,AQ2755,AS2755,AU2755,AW2755,AY2755)</f>
        <v>1625</v>
      </c>
      <c r="BC2755" s="28" t="n">
        <f aca="false">BA2755-BB2755</f>
        <v>0</v>
      </c>
      <c r="BD2755" s="32" t="n">
        <f aca="false">SUM(P2755,R2755,T2755,V2755,X2755,Z2755,AB2755,AD2755,AF2755,AH2755,AJ2755,AL2755,AN2755,AP2755,AR2755,AT2755,AV2755,AX2755)</f>
        <v>54.17</v>
      </c>
      <c r="BE2755" s="33" t="n">
        <f aca="false">AZ2755-BD2755</f>
        <v>-54.17</v>
      </c>
      <c r="BF2755" s="34" t="n">
        <f aca="false">BD2755*M2755</f>
        <v>1625.1</v>
      </c>
      <c r="BG2755" s="35" t="n">
        <f aca="false">BA2755-BF2755</f>
        <v>-0.100000000000136</v>
      </c>
      <c r="BH2755" s="19" t="str">
        <f aca="false">IF(BG2755=0,"",IF(BG2755&lt;&gt;BA2755,"erreur de calcul",IF(BD2755&lt;&gt;0,"pas de prix",IF(M2755&lt;&gt; 0,"pas de quantité","pas de prix, ni de quantité"))))</f>
        <v>erreur de calcul</v>
      </c>
      <c r="BI2755" s="19"/>
    </row>
    <row r="2756" customFormat="false" ht="15" hidden="false" customHeight="false" outlineLevel="0" collapsed="false">
      <c r="A2756" s="0" t="n">
        <v>9</v>
      </c>
      <c r="B2756" s="8" t="s">
        <v>24</v>
      </c>
      <c r="C2756" s="9" t="s">
        <v>25</v>
      </c>
      <c r="D2756" s="9" t="s">
        <v>26</v>
      </c>
      <c r="E2756" s="10" t="n">
        <v>1789</v>
      </c>
      <c r="F2756" s="9" t="s">
        <v>27</v>
      </c>
      <c r="G2756" s="9" t="s">
        <v>27</v>
      </c>
      <c r="H2756" s="11" t="n">
        <v>26</v>
      </c>
      <c r="I2756" s="11" t="s">
        <v>381</v>
      </c>
      <c r="J2756" s="14" t="n">
        <v>6</v>
      </c>
      <c r="K2756" s="14"/>
      <c r="L2756" s="16"/>
      <c r="M2756" s="27" t="n">
        <f aca="false">J2756+(K2756/20)+(L2756/240)</f>
        <v>6</v>
      </c>
      <c r="N2756" s="17" t="s">
        <v>379</v>
      </c>
      <c r="O2756" s="11" t="s">
        <v>98</v>
      </c>
      <c r="P2756" s="28"/>
      <c r="Q2756" s="28" t="n">
        <f aca="false">P2756*$M2756</f>
        <v>0</v>
      </c>
      <c r="R2756" s="28"/>
      <c r="S2756" s="28" t="n">
        <f aca="false">R2756*$M2756</f>
        <v>0</v>
      </c>
      <c r="T2756" s="28"/>
      <c r="U2756" s="28" t="n">
        <f aca="false">T2756*$M2756</f>
        <v>0</v>
      </c>
      <c r="V2756" s="28"/>
      <c r="W2756" s="28" t="n">
        <f aca="false">V2756*$M2756</f>
        <v>0</v>
      </c>
      <c r="X2756" s="28"/>
      <c r="Y2756" s="28" t="n">
        <f aca="false">X2756*$M2756</f>
        <v>0</v>
      </c>
      <c r="Z2756" s="28"/>
      <c r="AA2756" s="28" t="n">
        <f aca="false">Z2756*$M2756</f>
        <v>0</v>
      </c>
      <c r="AB2756" s="28"/>
      <c r="AC2756" s="28" t="n">
        <f aca="false">AB2756*$M2756</f>
        <v>0</v>
      </c>
      <c r="AD2756" s="28"/>
      <c r="AE2756" s="28" t="n">
        <f aca="false">AD2756*$M2756</f>
        <v>0</v>
      </c>
      <c r="AF2756" s="28"/>
      <c r="AG2756" s="28" t="n">
        <f aca="false">AF2756*$M2756</f>
        <v>0</v>
      </c>
      <c r="AH2756" s="28"/>
      <c r="AI2756" s="28" t="n">
        <f aca="false">AH2756*$M2756</f>
        <v>0</v>
      </c>
      <c r="AJ2756" s="28"/>
      <c r="AK2756" s="28" t="n">
        <f aca="false">AJ2756*$M2756</f>
        <v>0</v>
      </c>
      <c r="AL2756" s="28"/>
      <c r="AM2756" s="28" t="n">
        <f aca="false">AL2756*$M2756</f>
        <v>0</v>
      </c>
      <c r="AN2756" s="28"/>
      <c r="AO2756" s="28" t="n">
        <f aca="false">AN2756*$M2756</f>
        <v>0</v>
      </c>
      <c r="AP2756" s="28"/>
      <c r="AQ2756" s="28" t="n">
        <f aca="false">AP2756*$M2756</f>
        <v>0</v>
      </c>
      <c r="AR2756" s="28"/>
      <c r="AS2756" s="28" t="n">
        <f aca="false">AR2756*$M2756</f>
        <v>0</v>
      </c>
      <c r="AT2756" s="28"/>
      <c r="AU2756" s="28" t="n">
        <f aca="false">AT2756*$M2756</f>
        <v>0</v>
      </c>
      <c r="AV2756" s="28"/>
      <c r="AW2756" s="28" t="n">
        <f aca="false">AV2756*$M2756</f>
        <v>0</v>
      </c>
      <c r="AX2756" s="28"/>
      <c r="AY2756" s="28" t="n">
        <f aca="false">AX2756*$M2756</f>
        <v>0</v>
      </c>
      <c r="AZ2756" s="30"/>
      <c r="BA2756" s="11"/>
      <c r="BB2756" s="31" t="n">
        <f aca="false">SUM(Q2756,S2756,U2756,W2756,Y2756,AA2756,AC2756,AE2756,AG2756,AI2756,AK2756,AM2756,AO2756,AQ2756,AS2756,AU2756,AW2756,AY2756)</f>
        <v>0</v>
      </c>
      <c r="BC2756" s="28" t="n">
        <f aca="false">BA2756-BB2756</f>
        <v>0</v>
      </c>
      <c r="BD2756" s="32" t="n">
        <f aca="false">SUM(P2756,R2756,T2756,V2756,X2756,Z2756,AB2756,AD2756,AF2756,AH2756,AJ2756,AL2756,AN2756,AP2756,AR2756,AT2756,AV2756,AX2756)</f>
        <v>0</v>
      </c>
      <c r="BE2756" s="33" t="n">
        <f aca="false">AZ2756-BD2756</f>
        <v>0</v>
      </c>
      <c r="BF2756" s="34" t="n">
        <f aca="false">BD2756*M2756</f>
        <v>0</v>
      </c>
      <c r="BG2756" s="35" t="n">
        <f aca="false">BA2756-BF2756</f>
        <v>0</v>
      </c>
      <c r="BH2756" s="19" t="str">
        <f aca="false">IF(BG2756=0,"",IF(BG2756&lt;&gt;BA2756,"erreur de calcul",IF(BD2756&lt;&gt;0,"pas de prix",IF(M2756&lt;&gt; 0,"pas de quantité","pas de prix, ni de quantité"))))</f>
        <v/>
      </c>
      <c r="BI2756" s="19"/>
    </row>
    <row r="2757" customFormat="false" ht="15" hidden="false" customHeight="false" outlineLevel="0" collapsed="false">
      <c r="A2757" s="0" t="n">
        <v>10</v>
      </c>
      <c r="B2757" s="8" t="s">
        <v>24</v>
      </c>
      <c r="C2757" s="9" t="s">
        <v>25</v>
      </c>
      <c r="D2757" s="9" t="s">
        <v>26</v>
      </c>
      <c r="E2757" s="10" t="n">
        <v>1789</v>
      </c>
      <c r="F2757" s="9" t="s">
        <v>27</v>
      </c>
      <c r="G2757" s="9" t="s">
        <v>27</v>
      </c>
      <c r="H2757" s="11" t="n">
        <v>26</v>
      </c>
      <c r="I2757" s="11" t="s">
        <v>381</v>
      </c>
      <c r="J2757" s="14" t="n">
        <v>40</v>
      </c>
      <c r="K2757" s="14"/>
      <c r="L2757" s="16"/>
      <c r="M2757" s="27" t="n">
        <f aca="false">J2757+(K2757/20)+(L2757/240)</f>
        <v>40</v>
      </c>
      <c r="N2757" s="17" t="s">
        <v>382</v>
      </c>
      <c r="O2757" s="11" t="s">
        <v>98</v>
      </c>
      <c r="P2757" s="28"/>
      <c r="Q2757" s="28" t="n">
        <f aca="false">P2757*$M2757</f>
        <v>0</v>
      </c>
      <c r="R2757" s="28"/>
      <c r="S2757" s="28" t="n">
        <f aca="false">R2757*$M2757</f>
        <v>0</v>
      </c>
      <c r="T2757" s="28"/>
      <c r="U2757" s="28" t="n">
        <f aca="false">T2757*$M2757</f>
        <v>0</v>
      </c>
      <c r="V2757" s="28"/>
      <c r="W2757" s="28" t="n">
        <f aca="false">V2757*$M2757</f>
        <v>0</v>
      </c>
      <c r="X2757" s="28"/>
      <c r="Y2757" s="28" t="n">
        <f aca="false">X2757*$M2757</f>
        <v>0</v>
      </c>
      <c r="Z2757" s="28"/>
      <c r="AA2757" s="28" t="n">
        <f aca="false">Z2757*$M2757</f>
        <v>0</v>
      </c>
      <c r="AB2757" s="28"/>
      <c r="AC2757" s="28" t="n">
        <f aca="false">AB2757*$M2757</f>
        <v>0</v>
      </c>
      <c r="AD2757" s="28"/>
      <c r="AE2757" s="28" t="n">
        <f aca="false">AD2757*$M2757</f>
        <v>0</v>
      </c>
      <c r="AF2757" s="28"/>
      <c r="AG2757" s="28" t="n">
        <f aca="false">AF2757*$M2757</f>
        <v>0</v>
      </c>
      <c r="AH2757" s="28"/>
      <c r="AI2757" s="28" t="n">
        <f aca="false">AH2757*$M2757</f>
        <v>0</v>
      </c>
      <c r="AJ2757" s="28"/>
      <c r="AK2757" s="28" t="n">
        <f aca="false">AJ2757*$M2757</f>
        <v>0</v>
      </c>
      <c r="AL2757" s="28"/>
      <c r="AM2757" s="28" t="n">
        <f aca="false">AL2757*$M2757</f>
        <v>0</v>
      </c>
      <c r="AN2757" s="28"/>
      <c r="AO2757" s="28" t="n">
        <f aca="false">AN2757*$M2757</f>
        <v>0</v>
      </c>
      <c r="AP2757" s="28"/>
      <c r="AQ2757" s="28" t="n">
        <f aca="false">AP2757*$M2757</f>
        <v>0</v>
      </c>
      <c r="AR2757" s="28"/>
      <c r="AS2757" s="28" t="n">
        <f aca="false">AR2757*$M2757</f>
        <v>0</v>
      </c>
      <c r="AT2757" s="28"/>
      <c r="AU2757" s="28" t="n">
        <f aca="false">AT2757*$M2757</f>
        <v>0</v>
      </c>
      <c r="AV2757" s="28"/>
      <c r="AW2757" s="28" t="n">
        <f aca="false">AV2757*$M2757</f>
        <v>0</v>
      </c>
      <c r="AX2757" s="28"/>
      <c r="AY2757" s="28" t="n">
        <f aca="false">AX2757*$M2757</f>
        <v>0</v>
      </c>
      <c r="AZ2757" s="30"/>
      <c r="BA2757" s="11"/>
      <c r="BB2757" s="31" t="n">
        <f aca="false">SUM(Q2757,S2757,U2757,W2757,Y2757,AA2757,AC2757,AE2757,AG2757,AI2757,AK2757,AM2757,AO2757,AQ2757,AS2757,AU2757,AW2757,AY2757)</f>
        <v>0</v>
      </c>
      <c r="BC2757" s="28" t="n">
        <f aca="false">BA2757-BB2757</f>
        <v>0</v>
      </c>
      <c r="BD2757" s="32" t="n">
        <f aca="false">SUM(P2757,R2757,T2757,V2757,X2757,Z2757,AB2757,AD2757,AF2757,AH2757,AJ2757,AL2757,AN2757,AP2757,AR2757,AT2757,AV2757,AX2757)</f>
        <v>0</v>
      </c>
      <c r="BE2757" s="33" t="n">
        <f aca="false">AZ2757-BD2757</f>
        <v>0</v>
      </c>
      <c r="BF2757" s="34" t="n">
        <f aca="false">BD2757*M2757</f>
        <v>0</v>
      </c>
      <c r="BG2757" s="35" t="n">
        <f aca="false">BA2757-BF2757</f>
        <v>0</v>
      </c>
      <c r="BH2757" s="19" t="str">
        <f aca="false">IF(BG2757=0,"",IF(BG2757&lt;&gt;BA2757,"erreur de calcul",IF(BD2757&lt;&gt;0,"pas de prix",IF(M2757&lt;&gt; 0,"pas de quantité","pas de prix, ni de quantité"))))</f>
        <v/>
      </c>
      <c r="BI2757" s="19"/>
    </row>
    <row r="2758" customFormat="false" ht="15" hidden="false" customHeight="false" outlineLevel="0" collapsed="false">
      <c r="A2758" s="0" t="n">
        <v>11</v>
      </c>
      <c r="B2758" s="8" t="s">
        <v>24</v>
      </c>
      <c r="C2758" s="9" t="s">
        <v>25</v>
      </c>
      <c r="D2758" s="9" t="s">
        <v>26</v>
      </c>
      <c r="E2758" s="10" t="n">
        <v>1789</v>
      </c>
      <c r="F2758" s="9" t="s">
        <v>27</v>
      </c>
      <c r="G2758" s="9" t="s">
        <v>27</v>
      </c>
      <c r="H2758" s="11" t="n">
        <v>26</v>
      </c>
      <c r="I2758" s="11" t="s">
        <v>383</v>
      </c>
      <c r="J2758" s="14" t="n">
        <v>50</v>
      </c>
      <c r="K2758" s="14"/>
      <c r="L2758" s="16"/>
      <c r="M2758" s="27" t="n">
        <f aca="false">J2758+(K2758/20)+(L2758/240)</f>
        <v>50</v>
      </c>
      <c r="N2758" s="17" t="s">
        <v>64</v>
      </c>
      <c r="O2758" s="11"/>
      <c r="P2758" s="28" t="n">
        <f aca="false">54967/100</f>
        <v>549.67</v>
      </c>
      <c r="Q2758" s="28" t="n">
        <v>27483</v>
      </c>
      <c r="R2758" s="28"/>
      <c r="S2758" s="28" t="n">
        <f aca="false">R2758*$M2758</f>
        <v>0</v>
      </c>
      <c r="T2758" s="28" t="n">
        <f aca="false">74693/100</f>
        <v>746.93</v>
      </c>
      <c r="U2758" s="28" t="n">
        <v>37346</v>
      </c>
      <c r="V2758" s="28" t="n">
        <f aca="false">161729/100</f>
        <v>1617.29</v>
      </c>
      <c r="W2758" s="28" t="n">
        <v>80864</v>
      </c>
      <c r="X2758" s="28" t="n">
        <f aca="false">106689/100</f>
        <v>1066.89</v>
      </c>
      <c r="Y2758" s="28" t="n">
        <v>53344</v>
      </c>
      <c r="Z2758" s="28"/>
      <c r="AA2758" s="28" t="n">
        <f aca="false">Z2758*$M2758</f>
        <v>0</v>
      </c>
      <c r="AB2758" s="28"/>
      <c r="AC2758" s="28" t="n">
        <f aca="false">AB2758*$M2758</f>
        <v>0</v>
      </c>
      <c r="AD2758" s="28"/>
      <c r="AE2758" s="28" t="n">
        <f aca="false">AD2758*$M2758</f>
        <v>0</v>
      </c>
      <c r="AF2758" s="28"/>
      <c r="AG2758" s="28" t="n">
        <f aca="false">AF2758*$M2758</f>
        <v>0</v>
      </c>
      <c r="AH2758" s="28"/>
      <c r="AI2758" s="28" t="n">
        <f aca="false">AH2758*$M2758</f>
        <v>0</v>
      </c>
      <c r="AJ2758" s="28"/>
      <c r="AK2758" s="28" t="n">
        <f aca="false">AJ2758*$M2758</f>
        <v>0</v>
      </c>
      <c r="AL2758" s="28"/>
      <c r="AM2758" s="28" t="n">
        <f aca="false">AL2758*$M2758</f>
        <v>0</v>
      </c>
      <c r="AN2758" s="28"/>
      <c r="AO2758" s="28" t="n">
        <f aca="false">AN2758*$M2758</f>
        <v>0</v>
      </c>
      <c r="AP2758" s="28"/>
      <c r="AQ2758" s="28" t="n">
        <f aca="false">AP2758*$M2758</f>
        <v>0</v>
      </c>
      <c r="AR2758" s="28"/>
      <c r="AS2758" s="28" t="n">
        <f aca="false">AR2758*$M2758</f>
        <v>0</v>
      </c>
      <c r="AT2758" s="28"/>
      <c r="AU2758" s="28" t="n">
        <f aca="false">AT2758*$M2758</f>
        <v>0</v>
      </c>
      <c r="AV2758" s="28"/>
      <c r="AW2758" s="28" t="n">
        <f aca="false">AV2758*$M2758</f>
        <v>0</v>
      </c>
      <c r="AX2758" s="28"/>
      <c r="AY2758" s="28" t="n">
        <f aca="false">AX2758*$M2758</f>
        <v>0</v>
      </c>
      <c r="AZ2758" s="30" t="n">
        <f aca="false">398078/100</f>
        <v>3980.78</v>
      </c>
      <c r="BA2758" s="11" t="n">
        <v>199037</v>
      </c>
      <c r="BB2758" s="31" t="n">
        <f aca="false">SUM(Q2758,S2758,U2758,W2758,Y2758,AA2758,AC2758,AE2758,AG2758,AI2758,AK2758,AM2758,AO2758,AQ2758,AS2758,AU2758,AW2758,AY2758)</f>
        <v>199037</v>
      </c>
      <c r="BC2758" s="28" t="n">
        <f aca="false">BA2758-BB2758</f>
        <v>0</v>
      </c>
      <c r="BD2758" s="32" t="n">
        <f aca="false">SUM(P2758,R2758,T2758,V2758,X2758,Z2758,AB2758,AD2758,AF2758,AH2758,AJ2758,AL2758,AN2758,AP2758,AR2758,AT2758,AV2758,AX2758)</f>
        <v>3980.78</v>
      </c>
      <c r="BE2758" s="33" t="n">
        <f aca="false">AZ2758-BD2758</f>
        <v>0</v>
      </c>
      <c r="BF2758" s="34" t="n">
        <f aca="false">BD2758*M2758</f>
        <v>199039</v>
      </c>
      <c r="BG2758" s="35" t="n">
        <f aca="false">BA2758-BF2758</f>
        <v>-2</v>
      </c>
      <c r="BH2758" s="19" t="str">
        <f aca="false">IF(BG2758=0,"",IF(BG2758&lt;&gt;BA2758,"erreur de calcul",IF(BD2758&lt;&gt;0,"pas de prix",IF(M2758&lt;&gt; 0,"pas de quantité","pas de prix, ni de quantité"))))</f>
        <v>erreur de calcul</v>
      </c>
      <c r="BI2758" s="19"/>
    </row>
    <row r="2759" customFormat="false" ht="15" hidden="false" customHeight="false" outlineLevel="0" collapsed="false">
      <c r="A2759" s="0" t="n">
        <v>12</v>
      </c>
      <c r="B2759" s="8" t="s">
        <v>24</v>
      </c>
      <c r="C2759" s="9" t="s">
        <v>25</v>
      </c>
      <c r="D2759" s="9" t="s">
        <v>26</v>
      </c>
      <c r="E2759" s="10" t="n">
        <v>1789</v>
      </c>
      <c r="F2759" s="9" t="s">
        <v>27</v>
      </c>
      <c r="G2759" s="9" t="s">
        <v>27</v>
      </c>
      <c r="H2759" s="11" t="n">
        <v>26</v>
      </c>
      <c r="I2759" s="11" t="s">
        <v>384</v>
      </c>
      <c r="J2759" s="14" t="n">
        <v>27</v>
      </c>
      <c r="K2759" s="14"/>
      <c r="L2759" s="16"/>
      <c r="M2759" s="27" t="n">
        <f aca="false">J2759+(K2759/20)+(L2759/240)</f>
        <v>27</v>
      </c>
      <c r="N2759" s="17" t="s">
        <v>64</v>
      </c>
      <c r="O2759" s="11"/>
      <c r="P2759" s="28"/>
      <c r="Q2759" s="28" t="n">
        <f aca="false">P2759*$M2759</f>
        <v>0</v>
      </c>
      <c r="R2759" s="28"/>
      <c r="S2759" s="28" t="n">
        <f aca="false">R2759*$M2759</f>
        <v>0</v>
      </c>
      <c r="T2759" s="28"/>
      <c r="U2759" s="28" t="n">
        <f aca="false">T2759*$M2759</f>
        <v>0</v>
      </c>
      <c r="V2759" s="28"/>
      <c r="W2759" s="28" t="n">
        <f aca="false">V2759*$M2759</f>
        <v>0</v>
      </c>
      <c r="X2759" s="28" t="n">
        <f aca="false">13334/100</f>
        <v>133.34</v>
      </c>
      <c r="Y2759" s="28" t="n">
        <v>3600</v>
      </c>
      <c r="Z2759" s="28"/>
      <c r="AA2759" s="28" t="n">
        <f aca="false">Z2759*$M2759</f>
        <v>0</v>
      </c>
      <c r="AB2759" s="28"/>
      <c r="AC2759" s="28" t="n">
        <f aca="false">AB2759*$M2759</f>
        <v>0</v>
      </c>
      <c r="AD2759" s="28"/>
      <c r="AE2759" s="28" t="n">
        <f aca="false">AD2759*$M2759</f>
        <v>0</v>
      </c>
      <c r="AF2759" s="28"/>
      <c r="AG2759" s="28" t="n">
        <f aca="false">AF2759*$M2759</f>
        <v>0</v>
      </c>
      <c r="AH2759" s="28"/>
      <c r="AI2759" s="28" t="n">
        <f aca="false">AH2759*$M2759</f>
        <v>0</v>
      </c>
      <c r="AJ2759" s="28"/>
      <c r="AK2759" s="28" t="n">
        <f aca="false">AJ2759*$M2759</f>
        <v>0</v>
      </c>
      <c r="AL2759" s="28"/>
      <c r="AM2759" s="28" t="n">
        <f aca="false">AL2759*$M2759</f>
        <v>0</v>
      </c>
      <c r="AN2759" s="28"/>
      <c r="AO2759" s="28" t="n">
        <f aca="false">AN2759*$M2759</f>
        <v>0</v>
      </c>
      <c r="AP2759" s="28"/>
      <c r="AQ2759" s="28" t="n">
        <f aca="false">AP2759*$M2759</f>
        <v>0</v>
      </c>
      <c r="AR2759" s="28"/>
      <c r="AS2759" s="28" t="n">
        <f aca="false">AR2759*$M2759</f>
        <v>0</v>
      </c>
      <c r="AT2759" s="28"/>
      <c r="AU2759" s="28" t="n">
        <f aca="false">AT2759*$M2759</f>
        <v>0</v>
      </c>
      <c r="AV2759" s="28"/>
      <c r="AW2759" s="28" t="n">
        <f aca="false">AV2759*$M2759</f>
        <v>0</v>
      </c>
      <c r="AX2759" s="28"/>
      <c r="AY2759" s="28" t="n">
        <f aca="false">AX2759*$M2759</f>
        <v>0</v>
      </c>
      <c r="AZ2759" s="30" t="n">
        <f aca="false">13334/100</f>
        <v>133.34</v>
      </c>
      <c r="BA2759" s="11" t="n">
        <v>3600</v>
      </c>
      <c r="BB2759" s="31" t="n">
        <f aca="false">SUM(Q2759,S2759,U2759,W2759,Y2759,AA2759,AC2759,AE2759,AG2759,AI2759,AK2759,AM2759,AO2759,AQ2759,AS2759,AU2759,AW2759,AY2759)</f>
        <v>3600</v>
      </c>
      <c r="BC2759" s="28" t="n">
        <f aca="false">BA2759-BB2759</f>
        <v>0</v>
      </c>
      <c r="BD2759" s="32" t="n">
        <f aca="false">SUM(P2759,R2759,T2759,V2759,X2759,Z2759,AB2759,AD2759,AF2759,AH2759,AJ2759,AL2759,AN2759,AP2759,AR2759,AT2759,AV2759,AX2759)</f>
        <v>133.34</v>
      </c>
      <c r="BE2759" s="33" t="n">
        <f aca="false">AZ2759-BD2759</f>
        <v>0</v>
      </c>
      <c r="BF2759" s="34" t="n">
        <f aca="false">BD2759*M2759</f>
        <v>3600.18</v>
      </c>
      <c r="BG2759" s="35" t="n">
        <f aca="false">BA2759-BF2759</f>
        <v>-0.180000000000291</v>
      </c>
      <c r="BH2759" s="19" t="str">
        <f aca="false">IF(BG2759=0,"",IF(BG2759&lt;&gt;BA2759,"erreur de calcul",IF(BD2759&lt;&gt;0,"pas de prix",IF(M2759&lt;&gt; 0,"pas de quantité","pas de prix, ni de quantité"))))</f>
        <v>erreur de calcul</v>
      </c>
      <c r="BI2759" s="19"/>
    </row>
    <row r="2760" customFormat="false" ht="15" hidden="false" customHeight="false" outlineLevel="0" collapsed="false">
      <c r="A2760" s="0" t="n">
        <v>13</v>
      </c>
      <c r="B2760" s="8" t="s">
        <v>24</v>
      </c>
      <c r="C2760" s="9" t="s">
        <v>25</v>
      </c>
      <c r="D2760" s="9" t="s">
        <v>26</v>
      </c>
      <c r="E2760" s="10" t="n">
        <v>1789</v>
      </c>
      <c r="F2760" s="9" t="s">
        <v>27</v>
      </c>
      <c r="G2760" s="9" t="s">
        <v>27</v>
      </c>
      <c r="H2760" s="11" t="n">
        <v>26</v>
      </c>
      <c r="I2760" s="11" t="s">
        <v>385</v>
      </c>
      <c r="J2760" s="14" t="n">
        <v>40</v>
      </c>
      <c r="K2760" s="14"/>
      <c r="L2760" s="16"/>
      <c r="M2760" s="27" t="n">
        <f aca="false">J2760+(K2760/20)+(L2760/240)</f>
        <v>40</v>
      </c>
      <c r="N2760" s="17" t="s">
        <v>64</v>
      </c>
      <c r="O2760" s="11"/>
      <c r="P2760" s="28"/>
      <c r="Q2760" s="28" t="n">
        <f aca="false">P2760*$M2760</f>
        <v>0</v>
      </c>
      <c r="R2760" s="28"/>
      <c r="S2760" s="28" t="n">
        <f aca="false">R2760*$M2760</f>
        <v>0</v>
      </c>
      <c r="T2760" s="28" t="n">
        <f aca="false">13801/100</f>
        <v>138.01</v>
      </c>
      <c r="U2760" s="28" t="n">
        <v>5520</v>
      </c>
      <c r="V2760" s="28"/>
      <c r="W2760" s="28" t="n">
        <f aca="false">V2760*$M2760</f>
        <v>0</v>
      </c>
      <c r="X2760" s="28"/>
      <c r="Y2760" s="28" t="n">
        <f aca="false">X2760*$M2760</f>
        <v>0</v>
      </c>
      <c r="Z2760" s="28"/>
      <c r="AA2760" s="28" t="n">
        <f aca="false">Z2760*$M2760</f>
        <v>0</v>
      </c>
      <c r="AB2760" s="28"/>
      <c r="AC2760" s="28" t="n">
        <f aca="false">AB2760*$M2760</f>
        <v>0</v>
      </c>
      <c r="AD2760" s="28"/>
      <c r="AE2760" s="28" t="n">
        <f aca="false">AD2760*$M2760</f>
        <v>0</v>
      </c>
      <c r="AF2760" s="28"/>
      <c r="AG2760" s="28" t="n">
        <f aca="false">AF2760*$M2760</f>
        <v>0</v>
      </c>
      <c r="AH2760" s="28"/>
      <c r="AI2760" s="28" t="n">
        <f aca="false">AH2760*$M2760</f>
        <v>0</v>
      </c>
      <c r="AJ2760" s="28"/>
      <c r="AK2760" s="28" t="n">
        <f aca="false">AJ2760*$M2760</f>
        <v>0</v>
      </c>
      <c r="AL2760" s="28"/>
      <c r="AM2760" s="28" t="n">
        <f aca="false">AL2760*$M2760</f>
        <v>0</v>
      </c>
      <c r="AN2760" s="28"/>
      <c r="AO2760" s="28" t="n">
        <f aca="false">AN2760*$M2760</f>
        <v>0</v>
      </c>
      <c r="AP2760" s="28"/>
      <c r="AQ2760" s="28" t="n">
        <f aca="false">AP2760*$M2760</f>
        <v>0</v>
      </c>
      <c r="AR2760" s="28"/>
      <c r="AS2760" s="28" t="n">
        <f aca="false">AR2760*$M2760</f>
        <v>0</v>
      </c>
      <c r="AT2760" s="28"/>
      <c r="AU2760" s="28" t="n">
        <f aca="false">AT2760*$M2760</f>
        <v>0</v>
      </c>
      <c r="AV2760" s="28"/>
      <c r="AW2760" s="28" t="n">
        <f aca="false">AV2760*$M2760</f>
        <v>0</v>
      </c>
      <c r="AX2760" s="28"/>
      <c r="AY2760" s="28" t="n">
        <f aca="false">AX2760*$M2760</f>
        <v>0</v>
      </c>
      <c r="AZ2760" s="30" t="n">
        <f aca="false">13801/100</f>
        <v>138.01</v>
      </c>
      <c r="BA2760" s="11" t="n">
        <v>5520</v>
      </c>
      <c r="BB2760" s="31" t="n">
        <f aca="false">SUM(Q2760,S2760,U2760,W2760,Y2760,AA2760,AC2760,AE2760,AG2760,AI2760,AK2760,AM2760,AO2760,AQ2760,AS2760,AU2760,AW2760,AY2760)</f>
        <v>5520</v>
      </c>
      <c r="BC2760" s="28" t="n">
        <f aca="false">BA2760-BB2760</f>
        <v>0</v>
      </c>
      <c r="BD2760" s="32" t="n">
        <f aca="false">SUM(P2760,R2760,T2760,V2760,X2760,Z2760,AB2760,AD2760,AF2760,AH2760,AJ2760,AL2760,AN2760,AP2760,AR2760,AT2760,AV2760,AX2760)</f>
        <v>138.01</v>
      </c>
      <c r="BE2760" s="33" t="n">
        <f aca="false">AZ2760-BD2760</f>
        <v>0</v>
      </c>
      <c r="BF2760" s="34" t="n">
        <f aca="false">BD2760*M2760</f>
        <v>5520.4</v>
      </c>
      <c r="BG2760" s="35" t="n">
        <f aca="false">BA2760-BF2760</f>
        <v>-0.399999999999636</v>
      </c>
      <c r="BH2760" s="19" t="str">
        <f aca="false">IF(BG2760=0,"",IF(BG2760&lt;&gt;BA2760,"erreur de calcul",IF(BD2760&lt;&gt;0,"pas de prix",IF(M2760&lt;&gt; 0,"pas de quantité","pas de prix, ni de quantité"))))</f>
        <v>erreur de calcul</v>
      </c>
      <c r="BI2760" s="19"/>
    </row>
    <row r="2761" customFormat="false" ht="15" hidden="false" customHeight="false" outlineLevel="0" collapsed="false">
      <c r="A2761" s="0" t="n">
        <v>14</v>
      </c>
      <c r="B2761" s="8" t="s">
        <v>24</v>
      </c>
      <c r="C2761" s="9" t="s">
        <v>25</v>
      </c>
      <c r="D2761" s="9" t="s">
        <v>26</v>
      </c>
      <c r="E2761" s="10" t="n">
        <v>1789</v>
      </c>
      <c r="F2761" s="9" t="s">
        <v>27</v>
      </c>
      <c r="G2761" s="9" t="s">
        <v>27</v>
      </c>
      <c r="H2761" s="11" t="n">
        <v>26</v>
      </c>
      <c r="I2761" s="11" t="s">
        <v>386</v>
      </c>
      <c r="J2761" s="14" t="n">
        <v>10</v>
      </c>
      <c r="K2761" s="14"/>
      <c r="L2761" s="16"/>
      <c r="M2761" s="27" t="n">
        <f aca="false">J2761+(K2761/20)+(L2761/240)</f>
        <v>10</v>
      </c>
      <c r="N2761" s="17" t="s">
        <v>387</v>
      </c>
      <c r="O2761" s="11" t="s">
        <v>77</v>
      </c>
      <c r="P2761" s="28" t="n">
        <v>30740</v>
      </c>
      <c r="Q2761" s="28" t="n">
        <v>307400</v>
      </c>
      <c r="R2761" s="28"/>
      <c r="S2761" s="28" t="n">
        <f aca="false">R2761*$M2761</f>
        <v>0</v>
      </c>
      <c r="T2761" s="28" t="n">
        <v>1357</v>
      </c>
      <c r="U2761" s="28" t="n">
        <v>13570</v>
      </c>
      <c r="V2761" s="28" t="n">
        <v>115</v>
      </c>
      <c r="W2761" s="28" t="n">
        <v>1150</v>
      </c>
      <c r="X2761" s="28"/>
      <c r="Y2761" s="28" t="n">
        <f aca="false">X2761*$M2761</f>
        <v>0</v>
      </c>
      <c r="Z2761" s="28"/>
      <c r="AA2761" s="28" t="n">
        <f aca="false">Z2761*$M2761</f>
        <v>0</v>
      </c>
      <c r="AB2761" s="28"/>
      <c r="AC2761" s="28" t="n">
        <f aca="false">AB2761*$M2761</f>
        <v>0</v>
      </c>
      <c r="AD2761" s="28"/>
      <c r="AE2761" s="28" t="n">
        <f aca="false">AD2761*$M2761</f>
        <v>0</v>
      </c>
      <c r="AF2761" s="28"/>
      <c r="AG2761" s="28" t="n">
        <f aca="false">AF2761*$M2761</f>
        <v>0</v>
      </c>
      <c r="AH2761" s="28"/>
      <c r="AI2761" s="28" t="n">
        <f aca="false">AH2761*$M2761</f>
        <v>0</v>
      </c>
      <c r="AJ2761" s="28"/>
      <c r="AK2761" s="28" t="n">
        <f aca="false">AJ2761*$M2761</f>
        <v>0</v>
      </c>
      <c r="AL2761" s="28"/>
      <c r="AM2761" s="28" t="n">
        <f aca="false">AL2761*$M2761</f>
        <v>0</v>
      </c>
      <c r="AN2761" s="28"/>
      <c r="AO2761" s="28" t="n">
        <f aca="false">AN2761*$M2761</f>
        <v>0</v>
      </c>
      <c r="AP2761" s="28"/>
      <c r="AQ2761" s="28" t="n">
        <f aca="false">AP2761*$M2761</f>
        <v>0</v>
      </c>
      <c r="AR2761" s="28"/>
      <c r="AS2761" s="28" t="n">
        <f aca="false">AR2761*$M2761</f>
        <v>0</v>
      </c>
      <c r="AT2761" s="28"/>
      <c r="AU2761" s="28" t="n">
        <f aca="false">AT2761*$M2761</f>
        <v>0</v>
      </c>
      <c r="AV2761" s="28"/>
      <c r="AW2761" s="28" t="n">
        <f aca="false">AV2761*$M2761</f>
        <v>0</v>
      </c>
      <c r="AX2761" s="28"/>
      <c r="AY2761" s="28" t="n">
        <f aca="false">AX2761*$M2761</f>
        <v>0</v>
      </c>
      <c r="AZ2761" s="30" t="n">
        <f aca="false">32212/100</f>
        <v>322.12</v>
      </c>
      <c r="BA2761" s="11" t="n">
        <v>322120</v>
      </c>
      <c r="BB2761" s="31" t="n">
        <f aca="false">SUM(Q2761,S2761,U2761,W2761,Y2761,AA2761,AC2761,AE2761,AG2761,AI2761,AK2761,AM2761,AO2761,AQ2761,AS2761,AU2761,AW2761,AY2761)</f>
        <v>322120</v>
      </c>
      <c r="BC2761" s="28" t="n">
        <f aca="false">BA2761-BB2761</f>
        <v>0</v>
      </c>
      <c r="BD2761" s="32" t="n">
        <f aca="false">SUM(P2761,R2761,T2761,V2761,X2761,Z2761,AB2761,AD2761,AF2761,AH2761,AJ2761,AL2761,AN2761,AP2761,AR2761,AT2761,AV2761,AX2761)</f>
        <v>32212</v>
      </c>
      <c r="BE2761" s="33" t="n">
        <f aca="false">AZ2761-BD2761</f>
        <v>-31889.88</v>
      </c>
      <c r="BF2761" s="34" t="n">
        <f aca="false">BD2761*M2761</f>
        <v>322120</v>
      </c>
      <c r="BG2761" s="35" t="n">
        <f aca="false">BA2761-BF2761</f>
        <v>0</v>
      </c>
      <c r="BH2761" s="19" t="str">
        <f aca="false">IF(BG2761=0,"",IF(BG2761&lt;&gt;BA2761,"erreur de calcul",IF(BD2761&lt;&gt;0,"pas de prix",IF(M2761&lt;&gt; 0,"pas de quantité","pas de prix, ni de quantité"))))</f>
        <v/>
      </c>
      <c r="BI2761" s="19"/>
    </row>
    <row r="2762" customFormat="false" ht="15" hidden="false" customHeight="false" outlineLevel="0" collapsed="false">
      <c r="A2762" s="0" t="n">
        <v>15</v>
      </c>
      <c r="B2762" s="8" t="s">
        <v>24</v>
      </c>
      <c r="C2762" s="9" t="s">
        <v>25</v>
      </c>
      <c r="D2762" s="9" t="s">
        <v>26</v>
      </c>
      <c r="E2762" s="10" t="n">
        <v>1789</v>
      </c>
      <c r="F2762" s="9" t="s">
        <v>27</v>
      </c>
      <c r="G2762" s="9" t="s">
        <v>27</v>
      </c>
      <c r="H2762" s="11" t="n">
        <v>26</v>
      </c>
      <c r="I2762" s="11" t="s">
        <v>385</v>
      </c>
      <c r="J2762" s="14" t="n">
        <v>60</v>
      </c>
      <c r="K2762" s="14"/>
      <c r="L2762" s="16"/>
      <c r="M2762" s="27" t="n">
        <f aca="false">J2762+(K2762/20)+(L2762/240)</f>
        <v>60</v>
      </c>
      <c r="N2762" s="17" t="s">
        <v>64</v>
      </c>
      <c r="O2762" s="11"/>
      <c r="P2762" s="28"/>
      <c r="Q2762" s="28" t="n">
        <f aca="false">P2762*$M2762</f>
        <v>0</v>
      </c>
      <c r="R2762" s="28"/>
      <c r="S2762" s="28" t="n">
        <f aca="false">R2762*$M2762</f>
        <v>0</v>
      </c>
      <c r="T2762" s="28" t="n">
        <f aca="false">204759/100</f>
        <v>2047.59</v>
      </c>
      <c r="U2762" s="28" t="n">
        <v>122855</v>
      </c>
      <c r="V2762" s="28"/>
      <c r="W2762" s="28" t="n">
        <f aca="false">V2762*$M2762</f>
        <v>0</v>
      </c>
      <c r="X2762" s="28"/>
      <c r="Y2762" s="28" t="n">
        <f aca="false">X2762*$M2762</f>
        <v>0</v>
      </c>
      <c r="Z2762" s="28"/>
      <c r="AA2762" s="28" t="n">
        <f aca="false">Z2762*$M2762</f>
        <v>0</v>
      </c>
      <c r="AB2762" s="28"/>
      <c r="AC2762" s="28" t="n">
        <f aca="false">AB2762*$M2762</f>
        <v>0</v>
      </c>
      <c r="AD2762" s="28"/>
      <c r="AE2762" s="28" t="n">
        <f aca="false">AD2762*$M2762</f>
        <v>0</v>
      </c>
      <c r="AF2762" s="28"/>
      <c r="AG2762" s="28" t="n">
        <f aca="false">AF2762*$M2762</f>
        <v>0</v>
      </c>
      <c r="AH2762" s="28"/>
      <c r="AI2762" s="28" t="n">
        <f aca="false">AH2762*$M2762</f>
        <v>0</v>
      </c>
      <c r="AJ2762" s="28"/>
      <c r="AK2762" s="28" t="n">
        <f aca="false">AJ2762*$M2762</f>
        <v>0</v>
      </c>
      <c r="AL2762" s="28"/>
      <c r="AM2762" s="28" t="n">
        <f aca="false">AL2762*$M2762</f>
        <v>0</v>
      </c>
      <c r="AN2762" s="28"/>
      <c r="AO2762" s="28" t="n">
        <f aca="false">AN2762*$M2762</f>
        <v>0</v>
      </c>
      <c r="AP2762" s="28"/>
      <c r="AQ2762" s="28" t="n">
        <f aca="false">AP2762*$M2762</f>
        <v>0</v>
      </c>
      <c r="AR2762" s="28"/>
      <c r="AS2762" s="28" t="n">
        <f aca="false">AR2762*$M2762</f>
        <v>0</v>
      </c>
      <c r="AT2762" s="28"/>
      <c r="AU2762" s="28" t="n">
        <f aca="false">AT2762*$M2762</f>
        <v>0</v>
      </c>
      <c r="AV2762" s="28"/>
      <c r="AW2762" s="28" t="n">
        <f aca="false">AV2762*$M2762</f>
        <v>0</v>
      </c>
      <c r="AX2762" s="28"/>
      <c r="AY2762" s="28" t="n">
        <f aca="false">AX2762*$M2762</f>
        <v>0</v>
      </c>
      <c r="AZ2762" s="30" t="n">
        <f aca="false">204759/100</f>
        <v>2047.59</v>
      </c>
      <c r="BA2762" s="11" t="n">
        <v>122855</v>
      </c>
      <c r="BB2762" s="31" t="n">
        <f aca="false">SUM(Q2762,S2762,U2762,W2762,Y2762,AA2762,AC2762,AE2762,AG2762,AI2762,AK2762,AM2762,AO2762,AQ2762,AS2762,AU2762,AW2762,AY2762)</f>
        <v>122855</v>
      </c>
      <c r="BC2762" s="28" t="n">
        <f aca="false">BA2762-BB2762</f>
        <v>0</v>
      </c>
      <c r="BD2762" s="32" t="n">
        <f aca="false">SUM(P2762,R2762,T2762,V2762,X2762,Z2762,AB2762,AD2762,AF2762,AH2762,AJ2762,AL2762,AN2762,AP2762,AR2762,AT2762,AV2762,AX2762)</f>
        <v>2047.59</v>
      </c>
      <c r="BE2762" s="33" t="n">
        <f aca="false">AZ2762-BD2762</f>
        <v>0</v>
      </c>
      <c r="BF2762" s="34" t="n">
        <f aca="false">BD2762*M2762</f>
        <v>122855.4</v>
      </c>
      <c r="BG2762" s="35" t="n">
        <f aca="false">BA2762-BF2762</f>
        <v>-0.399999999994179</v>
      </c>
      <c r="BH2762" s="19" t="str">
        <f aca="false">IF(BG2762=0,"",IF(BG2762&lt;&gt;BA2762,"erreur de calcul",IF(BD2762&lt;&gt;0,"pas de prix",IF(M2762&lt;&gt; 0,"pas de quantité","pas de prix, ni de quantité"))))</f>
        <v>erreur de calcul</v>
      </c>
      <c r="BI2762" s="19"/>
    </row>
    <row r="2763" customFormat="false" ht="15" hidden="false" customHeight="false" outlineLevel="0" collapsed="false">
      <c r="A2763" s="0" t="n">
        <v>16</v>
      </c>
      <c r="B2763" s="8" t="s">
        <v>24</v>
      </c>
      <c r="C2763" s="9" t="s">
        <v>25</v>
      </c>
      <c r="D2763" s="9" t="s">
        <v>26</v>
      </c>
      <c r="E2763" s="10" t="n">
        <v>1789</v>
      </c>
      <c r="F2763" s="9" t="s">
        <v>27</v>
      </c>
      <c r="G2763" s="9" t="s">
        <v>27</v>
      </c>
      <c r="H2763" s="11" t="n">
        <v>26</v>
      </c>
      <c r="I2763" s="11" t="s">
        <v>388</v>
      </c>
      <c r="J2763" s="14" t="n">
        <v>4</v>
      </c>
      <c r="K2763" s="14" t="n">
        <v>10</v>
      </c>
      <c r="L2763" s="16"/>
      <c r="M2763" s="27" t="n">
        <f aca="false">J2763+(K2763/20)+(L2763/240)</f>
        <v>4.5</v>
      </c>
      <c r="N2763" s="17" t="s">
        <v>66</v>
      </c>
      <c r="O2763" s="11"/>
      <c r="P2763" s="28" t="n">
        <v>20973</v>
      </c>
      <c r="Q2763" s="28" t="n">
        <v>94378</v>
      </c>
      <c r="R2763" s="28"/>
      <c r="S2763" s="28" t="n">
        <f aca="false">R2763*$M2763</f>
        <v>0</v>
      </c>
      <c r="T2763" s="28"/>
      <c r="U2763" s="28" t="n">
        <f aca="false">T2763*$M2763</f>
        <v>0</v>
      </c>
      <c r="V2763" s="28"/>
      <c r="W2763" s="28" t="n">
        <f aca="false">V2763*$M2763</f>
        <v>0</v>
      </c>
      <c r="X2763" s="28"/>
      <c r="Y2763" s="28" t="n">
        <f aca="false">X2763*$M2763</f>
        <v>0</v>
      </c>
      <c r="Z2763" s="28"/>
      <c r="AA2763" s="28" t="n">
        <f aca="false">Z2763*$M2763</f>
        <v>0</v>
      </c>
      <c r="AB2763" s="28"/>
      <c r="AC2763" s="28" t="n">
        <f aca="false">AB2763*$M2763</f>
        <v>0</v>
      </c>
      <c r="AD2763" s="28"/>
      <c r="AE2763" s="28" t="n">
        <f aca="false">AD2763*$M2763</f>
        <v>0</v>
      </c>
      <c r="AF2763" s="28"/>
      <c r="AG2763" s="28" t="n">
        <f aca="false">AF2763*$M2763</f>
        <v>0</v>
      </c>
      <c r="AH2763" s="28"/>
      <c r="AI2763" s="28" t="n">
        <f aca="false">AH2763*$M2763</f>
        <v>0</v>
      </c>
      <c r="AJ2763" s="28"/>
      <c r="AK2763" s="28" t="n">
        <f aca="false">AJ2763*$M2763</f>
        <v>0</v>
      </c>
      <c r="AL2763" s="28"/>
      <c r="AM2763" s="28" t="n">
        <f aca="false">AL2763*$M2763</f>
        <v>0</v>
      </c>
      <c r="AN2763" s="28"/>
      <c r="AO2763" s="28" t="n">
        <f aca="false">AN2763*$M2763</f>
        <v>0</v>
      </c>
      <c r="AP2763" s="28"/>
      <c r="AQ2763" s="28" t="n">
        <f aca="false">AP2763*$M2763</f>
        <v>0</v>
      </c>
      <c r="AR2763" s="28"/>
      <c r="AS2763" s="28" t="n">
        <f aca="false">AR2763*$M2763</f>
        <v>0</v>
      </c>
      <c r="AT2763" s="28"/>
      <c r="AU2763" s="28" t="n">
        <f aca="false">AT2763*$M2763</f>
        <v>0</v>
      </c>
      <c r="AV2763" s="28"/>
      <c r="AW2763" s="28" t="n">
        <f aca="false">AV2763*$M2763</f>
        <v>0</v>
      </c>
      <c r="AX2763" s="28"/>
      <c r="AY2763" s="28" t="n">
        <f aca="false">AX2763*$M2763</f>
        <v>0</v>
      </c>
      <c r="AZ2763" s="30" t="n">
        <v>20973</v>
      </c>
      <c r="BA2763" s="11" t="n">
        <v>94378</v>
      </c>
      <c r="BB2763" s="31" t="n">
        <f aca="false">SUM(Q2763,S2763,U2763,W2763,Y2763,AA2763,AC2763,AE2763,AG2763,AI2763,AK2763,AM2763,AO2763,AQ2763,AS2763,AU2763,AW2763,AY2763)</f>
        <v>94378</v>
      </c>
      <c r="BC2763" s="28" t="n">
        <f aca="false">BA2763-BB2763</f>
        <v>0</v>
      </c>
      <c r="BD2763" s="32" t="n">
        <f aca="false">SUM(P2763,R2763,T2763,V2763,X2763,Z2763,AB2763,AD2763,AF2763,AH2763,AJ2763,AL2763,AN2763,AP2763,AR2763,AT2763,AV2763,AX2763)</f>
        <v>20973</v>
      </c>
      <c r="BE2763" s="33" t="n">
        <f aca="false">AZ2763-BD2763</f>
        <v>0</v>
      </c>
      <c r="BF2763" s="34" t="n">
        <f aca="false">BD2763*M2763</f>
        <v>94378.5</v>
      </c>
      <c r="BG2763" s="35" t="n">
        <f aca="false">BA2763-BF2763</f>
        <v>-0.5</v>
      </c>
      <c r="BH2763" s="19" t="str">
        <f aca="false">IF(BG2763=0,"",IF(BG2763&lt;&gt;BA2763,"erreur de calcul",IF(BD2763&lt;&gt;0,"pas de prix",IF(M2763&lt;&gt; 0,"pas de quantité","pas de prix, ni de quantité"))))</f>
        <v>erreur de calcul</v>
      </c>
      <c r="BI2763" s="19"/>
    </row>
    <row r="2764" customFormat="false" ht="15" hidden="false" customHeight="false" outlineLevel="0" collapsed="false">
      <c r="A2764" s="0" t="n">
        <v>17</v>
      </c>
      <c r="B2764" s="8" t="s">
        <v>24</v>
      </c>
      <c r="C2764" s="9" t="s">
        <v>25</v>
      </c>
      <c r="D2764" s="9" t="s">
        <v>26</v>
      </c>
      <c r="E2764" s="10" t="n">
        <v>1789</v>
      </c>
      <c r="F2764" s="9" t="s">
        <v>27</v>
      </c>
      <c r="G2764" s="9" t="s">
        <v>27</v>
      </c>
      <c r="H2764" s="11" t="n">
        <v>26</v>
      </c>
      <c r="I2764" s="11" t="s">
        <v>389</v>
      </c>
      <c r="J2764" s="14"/>
      <c r="K2764" s="14"/>
      <c r="L2764" s="16"/>
      <c r="M2764" s="27" t="n">
        <f aca="false">J2764+(K2764/20)+(L2764/240)</f>
        <v>0</v>
      </c>
      <c r="N2764" s="17"/>
      <c r="O2764" s="11" t="s">
        <v>277</v>
      </c>
      <c r="P2764" s="28"/>
      <c r="Q2764" s="28" t="n">
        <f aca="false">P2764*$M2764</f>
        <v>0</v>
      </c>
      <c r="R2764" s="28"/>
      <c r="S2764" s="28" t="n">
        <f aca="false">R2764*$M2764</f>
        <v>0</v>
      </c>
      <c r="T2764" s="28"/>
      <c r="U2764" s="28" t="n">
        <v>189</v>
      </c>
      <c r="V2764" s="28"/>
      <c r="W2764" s="28" t="n">
        <v>540</v>
      </c>
      <c r="X2764" s="28"/>
      <c r="Y2764" s="28" t="n">
        <f aca="false">X2764*$M2764</f>
        <v>0</v>
      </c>
      <c r="Z2764" s="28"/>
      <c r="AA2764" s="28" t="n">
        <f aca="false">Z2764*$M2764</f>
        <v>0</v>
      </c>
      <c r="AB2764" s="28"/>
      <c r="AC2764" s="28" t="n">
        <f aca="false">AB2764*$M2764</f>
        <v>0</v>
      </c>
      <c r="AD2764" s="28"/>
      <c r="AE2764" s="28" t="n">
        <f aca="false">AD2764*$M2764</f>
        <v>0</v>
      </c>
      <c r="AF2764" s="28"/>
      <c r="AG2764" s="28" t="n">
        <f aca="false">AF2764*$M2764</f>
        <v>0</v>
      </c>
      <c r="AH2764" s="28"/>
      <c r="AI2764" s="28" t="n">
        <f aca="false">AH2764*$M2764</f>
        <v>0</v>
      </c>
      <c r="AJ2764" s="28"/>
      <c r="AK2764" s="28" t="n">
        <v>317</v>
      </c>
      <c r="AL2764" s="28"/>
      <c r="AM2764" s="28" t="n">
        <f aca="false">AL2764*$M2764</f>
        <v>0</v>
      </c>
      <c r="AN2764" s="28"/>
      <c r="AO2764" s="28" t="n">
        <f aca="false">AN2764*$M2764</f>
        <v>0</v>
      </c>
      <c r="AP2764" s="28"/>
      <c r="AQ2764" s="28" t="n">
        <f aca="false">AP2764*$M2764</f>
        <v>0</v>
      </c>
      <c r="AR2764" s="28"/>
      <c r="AS2764" s="28" t="n">
        <f aca="false">AR2764*$M2764</f>
        <v>0</v>
      </c>
      <c r="AT2764" s="28"/>
      <c r="AU2764" s="28" t="n">
        <f aca="false">AT2764*$M2764</f>
        <v>0</v>
      </c>
      <c r="AV2764" s="28"/>
      <c r="AW2764" s="28" t="n">
        <f aca="false">AV2764*$M2764</f>
        <v>0</v>
      </c>
      <c r="AX2764" s="28"/>
      <c r="AY2764" s="28" t="n">
        <f aca="false">AX2764*$M2764</f>
        <v>0</v>
      </c>
      <c r="AZ2764" s="30"/>
      <c r="BA2764" s="11" t="n">
        <v>1046</v>
      </c>
      <c r="BB2764" s="31" t="n">
        <f aca="false">SUM(Q2764,S2764,U2764,W2764,Y2764,AA2764,AC2764,AE2764,AG2764,AI2764,AK2764,AM2764,AO2764,AQ2764,AS2764,AU2764,AW2764,AY2764)</f>
        <v>1046</v>
      </c>
      <c r="BC2764" s="28" t="n">
        <f aca="false">BA2764-BB2764</f>
        <v>0</v>
      </c>
      <c r="BD2764" s="32" t="n">
        <f aca="false">SUM(P2764,R2764,T2764,V2764,X2764,Z2764,AB2764,AD2764,AF2764,AH2764,AJ2764,AL2764,AN2764,AP2764,AR2764,AT2764,AV2764,AX2764)</f>
        <v>0</v>
      </c>
      <c r="BE2764" s="33" t="n">
        <f aca="false">AZ2764-BD2764</f>
        <v>0</v>
      </c>
      <c r="BF2764" s="34" t="n">
        <f aca="false">BD2764*M2764</f>
        <v>0</v>
      </c>
      <c r="BG2764" s="35" t="n">
        <f aca="false">BA2764-BF2764</f>
        <v>1046</v>
      </c>
      <c r="BH2764" s="19" t="str">
        <f aca="false">IF(BG2764=0,"",IF(BG2764&lt;&gt;BA2764,"erreur de calcul",IF(BD2764&lt;&gt;0,"pas de prix",IF(M2764&lt;&gt; 0,"pas de quantité","pas de prix, ni de quantité"))))</f>
        <v>pas de prix, ni de quantité</v>
      </c>
      <c r="BI2764" s="19"/>
    </row>
    <row r="2765" customFormat="false" ht="15" hidden="false" customHeight="false" outlineLevel="0" collapsed="false">
      <c r="A2765" s="0" t="n">
        <v>18</v>
      </c>
      <c r="B2765" s="8" t="s">
        <v>24</v>
      </c>
      <c r="C2765" s="9" t="s">
        <v>25</v>
      </c>
      <c r="D2765" s="9" t="s">
        <v>26</v>
      </c>
      <c r="E2765" s="10" t="n">
        <v>1789</v>
      </c>
      <c r="F2765" s="9" t="s">
        <v>27</v>
      </c>
      <c r="G2765" s="9" t="s">
        <v>27</v>
      </c>
      <c r="H2765" s="11" t="n">
        <v>26</v>
      </c>
      <c r="I2765" s="11" t="s">
        <v>389</v>
      </c>
      <c r="J2765" s="14" t="n">
        <v>90</v>
      </c>
      <c r="K2765" s="14"/>
      <c r="L2765" s="16"/>
      <c r="M2765" s="27" t="n">
        <f aca="false">J2765+(K2765/20)+(L2765/240)</f>
        <v>90</v>
      </c>
      <c r="N2765" s="17" t="s">
        <v>64</v>
      </c>
      <c r="O2765" s="11"/>
      <c r="P2765" s="28"/>
      <c r="Q2765" s="28" t="n">
        <f aca="false">P2765*$M2765</f>
        <v>0</v>
      </c>
      <c r="R2765" s="28"/>
      <c r="S2765" s="28" t="n">
        <f aca="false">R2765*$M2765</f>
        <v>0</v>
      </c>
      <c r="T2765" s="28"/>
      <c r="U2765" s="28" t="n">
        <f aca="false">T2765*$M2765</f>
        <v>0</v>
      </c>
      <c r="V2765" s="28" t="n">
        <f aca="false">6341/100</f>
        <v>63.41</v>
      </c>
      <c r="W2765" s="28" t="n">
        <v>5707</v>
      </c>
      <c r="X2765" s="28" t="n">
        <f aca="false">10903/100</f>
        <v>109.03</v>
      </c>
      <c r="Y2765" s="28" t="n">
        <v>9813</v>
      </c>
      <c r="Z2765" s="28"/>
      <c r="AA2765" s="28" t="n">
        <f aca="false">Z2765*$M2765</f>
        <v>0</v>
      </c>
      <c r="AB2765" s="28"/>
      <c r="AC2765" s="28" t="n">
        <f aca="false">AB2765*$M2765</f>
        <v>0</v>
      </c>
      <c r="AD2765" s="28"/>
      <c r="AE2765" s="28" t="n">
        <f aca="false">AD2765*$M2765</f>
        <v>0</v>
      </c>
      <c r="AF2765" s="28"/>
      <c r="AG2765" s="28" t="n">
        <f aca="false">AF2765*$M2765</f>
        <v>0</v>
      </c>
      <c r="AH2765" s="28"/>
      <c r="AI2765" s="28" t="n">
        <f aca="false">AH2765*$M2765</f>
        <v>0</v>
      </c>
      <c r="AJ2765" s="28" t="n">
        <f aca="false">127232/100</f>
        <v>1272.32</v>
      </c>
      <c r="AK2765" s="28" t="n">
        <v>114509</v>
      </c>
      <c r="AL2765" s="28" t="n">
        <f aca="false">1835/100</f>
        <v>18.35</v>
      </c>
      <c r="AM2765" s="28" t="n">
        <v>1651</v>
      </c>
      <c r="AN2765" s="28"/>
      <c r="AO2765" s="28" t="n">
        <f aca="false">AN2765*$M2765</f>
        <v>0</v>
      </c>
      <c r="AP2765" s="28"/>
      <c r="AQ2765" s="28" t="n">
        <f aca="false">AP2765*$M2765</f>
        <v>0</v>
      </c>
      <c r="AR2765" s="28"/>
      <c r="AS2765" s="28" t="n">
        <f aca="false">AR2765*$M2765</f>
        <v>0</v>
      </c>
      <c r="AT2765" s="28"/>
      <c r="AU2765" s="28" t="n">
        <f aca="false">AT2765*$M2765</f>
        <v>0</v>
      </c>
      <c r="AV2765" s="28"/>
      <c r="AW2765" s="28" t="n">
        <f aca="false">AV2765*$M2765</f>
        <v>0</v>
      </c>
      <c r="AX2765" s="28"/>
      <c r="AY2765" s="28" t="n">
        <f aca="false">AX2765*$M2765</f>
        <v>0</v>
      </c>
      <c r="AZ2765" s="30" t="n">
        <f aca="false">146311/100</f>
        <v>1463.11</v>
      </c>
      <c r="BA2765" s="11" t="n">
        <v>131680</v>
      </c>
      <c r="BB2765" s="31" t="n">
        <f aca="false">SUM(Q2765,S2765,U2765,W2765,Y2765,AA2765,AC2765,AE2765,AG2765,AI2765,AK2765,AM2765,AO2765,AQ2765,AS2765,AU2765,AW2765,AY2765)</f>
        <v>131680</v>
      </c>
      <c r="BC2765" s="28" t="n">
        <f aca="false">BA2765-BB2765</f>
        <v>0</v>
      </c>
      <c r="BD2765" s="32" t="n">
        <f aca="false">SUM(P2765,R2765,T2765,V2765,X2765,Z2765,AB2765,AD2765,AF2765,AH2765,AJ2765,AL2765,AN2765,AP2765,AR2765,AT2765,AV2765,AX2765)</f>
        <v>1463.11</v>
      </c>
      <c r="BE2765" s="33" t="n">
        <f aca="false">AZ2765-BD2765</f>
        <v>0</v>
      </c>
      <c r="BF2765" s="34" t="n">
        <f aca="false">BD2765*M2765</f>
        <v>131679.9</v>
      </c>
      <c r="BG2765" s="35" t="n">
        <f aca="false">BA2765-BF2765</f>
        <v>0.100000000005821</v>
      </c>
      <c r="BH2765" s="19" t="str">
        <f aca="false">IF(BG2765=0,"",IF(BG2765&lt;&gt;BA2765,"erreur de calcul",IF(BD2765&lt;&gt;0,"pas de prix",IF(M2765&lt;&gt; 0,"pas de quantité","pas de prix, ni de quantité"))))</f>
        <v>erreur de calcul</v>
      </c>
      <c r="BI2765" s="19"/>
    </row>
    <row r="2766" customFormat="false" ht="15" hidden="false" customHeight="false" outlineLevel="0" collapsed="false">
      <c r="A2766" s="0" t="n">
        <v>19</v>
      </c>
      <c r="B2766" s="8" t="s">
        <v>24</v>
      </c>
      <c r="C2766" s="9" t="s">
        <v>25</v>
      </c>
      <c r="D2766" s="9" t="s">
        <v>26</v>
      </c>
      <c r="E2766" s="10" t="n">
        <v>1789</v>
      </c>
      <c r="F2766" s="9" t="s">
        <v>27</v>
      </c>
      <c r="G2766" s="9" t="s">
        <v>27</v>
      </c>
      <c r="H2766" s="11" t="n">
        <v>26</v>
      </c>
      <c r="I2766" s="11" t="s">
        <v>390</v>
      </c>
      <c r="J2766" s="14" t="n">
        <v>25</v>
      </c>
      <c r="K2766" s="14"/>
      <c r="L2766" s="16"/>
      <c r="M2766" s="27" t="n">
        <f aca="false">J2766+(K2766/20)+(L2766/240)</f>
        <v>25</v>
      </c>
      <c r="N2766" s="17" t="s">
        <v>64</v>
      </c>
      <c r="O2766" s="11" t="s">
        <v>277</v>
      </c>
      <c r="P2766" s="28"/>
      <c r="Q2766" s="28" t="n">
        <f aca="false">P2766*$M2766</f>
        <v>0</v>
      </c>
      <c r="R2766" s="28"/>
      <c r="S2766" s="28" t="n">
        <f aca="false">R2766*$M2766</f>
        <v>0</v>
      </c>
      <c r="T2766" s="28"/>
      <c r="U2766" s="28" t="n">
        <f aca="false">T2766*$M2766</f>
        <v>0</v>
      </c>
      <c r="V2766" s="28"/>
      <c r="W2766" s="28" t="n">
        <f aca="false">V2766*$M2766</f>
        <v>0</v>
      </c>
      <c r="X2766" s="28"/>
      <c r="Y2766" s="28" t="n">
        <f aca="false">X2766*$M2766</f>
        <v>0</v>
      </c>
      <c r="Z2766" s="28"/>
      <c r="AA2766" s="28" t="n">
        <f aca="false">Z2766*$M2766</f>
        <v>0</v>
      </c>
      <c r="AB2766" s="28"/>
      <c r="AC2766" s="28" t="n">
        <f aca="false">AB2766*$M2766</f>
        <v>0</v>
      </c>
      <c r="AD2766" s="28"/>
      <c r="AE2766" s="28" t="n">
        <f aca="false">AD2766*$M2766</f>
        <v>0</v>
      </c>
      <c r="AF2766" s="28"/>
      <c r="AG2766" s="28" t="n">
        <f aca="false">AF2766*$M2766</f>
        <v>0</v>
      </c>
      <c r="AH2766" s="28"/>
      <c r="AI2766" s="28" t="n">
        <f aca="false">AH2766*$M2766</f>
        <v>0</v>
      </c>
      <c r="AJ2766" s="28"/>
      <c r="AK2766" s="28" t="n">
        <f aca="false">AJ2766*$M2766</f>
        <v>0</v>
      </c>
      <c r="AL2766" s="28"/>
      <c r="AM2766" s="28" t="n">
        <f aca="false">AL2766*$M2766</f>
        <v>0</v>
      </c>
      <c r="AN2766" s="28"/>
      <c r="AO2766" s="28" t="n">
        <f aca="false">AN2766*$M2766</f>
        <v>0</v>
      </c>
      <c r="AP2766" s="28"/>
      <c r="AQ2766" s="28" t="n">
        <f aca="false">AP2766*$M2766</f>
        <v>0</v>
      </c>
      <c r="AR2766" s="28"/>
      <c r="AS2766" s="28" t="n">
        <f aca="false">AR2766*$M2766</f>
        <v>0</v>
      </c>
      <c r="AT2766" s="28"/>
      <c r="AU2766" s="28" t="n">
        <f aca="false">AT2766*$M2766</f>
        <v>0</v>
      </c>
      <c r="AV2766" s="28"/>
      <c r="AW2766" s="28" t="n">
        <f aca="false">AV2766*$M2766</f>
        <v>0</v>
      </c>
      <c r="AX2766" s="28"/>
      <c r="AY2766" s="28" t="n">
        <f aca="false">AX2766*$M2766</f>
        <v>0</v>
      </c>
      <c r="AZ2766" s="30"/>
      <c r="BA2766" s="11"/>
      <c r="BB2766" s="31" t="n">
        <f aca="false">SUM(Q2766,S2766,U2766,W2766,Y2766,AA2766,AC2766,AE2766,AG2766,AI2766,AK2766,AM2766,AO2766,AQ2766,AS2766,AU2766,AW2766,AY2766)</f>
        <v>0</v>
      </c>
      <c r="BC2766" s="28" t="n">
        <f aca="false">BA2766-BB2766</f>
        <v>0</v>
      </c>
      <c r="BD2766" s="32" t="n">
        <f aca="false">SUM(P2766,R2766,T2766,V2766,X2766,Z2766,AB2766,AD2766,AF2766,AH2766,AJ2766,AL2766,AN2766,AP2766,AR2766,AT2766,AV2766,AX2766)</f>
        <v>0</v>
      </c>
      <c r="BE2766" s="33" t="n">
        <f aca="false">AZ2766-BD2766</f>
        <v>0</v>
      </c>
      <c r="BF2766" s="34" t="n">
        <f aca="false">BD2766*M2766</f>
        <v>0</v>
      </c>
      <c r="BG2766" s="35" t="n">
        <f aca="false">BA2766-BF2766</f>
        <v>0</v>
      </c>
      <c r="BH2766" s="19" t="str">
        <f aca="false">IF(BG2766=0,"",IF(BG2766&lt;&gt;BA2766,"erreur de calcul",IF(BD2766&lt;&gt;0,"pas de prix",IF(M2766&lt;&gt; 0,"pas de quantité","pas de prix, ni de quantité"))))</f>
        <v/>
      </c>
      <c r="BI2766" s="19"/>
    </row>
    <row r="2767" customFormat="false" ht="15" hidden="false" customHeight="false" outlineLevel="0" collapsed="false">
      <c r="A2767" s="0" t="n">
        <v>20</v>
      </c>
      <c r="B2767" s="8" t="s">
        <v>24</v>
      </c>
      <c r="C2767" s="9" t="s">
        <v>25</v>
      </c>
      <c r="D2767" s="9" t="s">
        <v>26</v>
      </c>
      <c r="E2767" s="10" t="n">
        <v>1789</v>
      </c>
      <c r="F2767" s="9" t="s">
        <v>27</v>
      </c>
      <c r="G2767" s="9" t="s">
        <v>27</v>
      </c>
      <c r="H2767" s="11" t="n">
        <v>26</v>
      </c>
      <c r="I2767" s="11" t="s">
        <v>391</v>
      </c>
      <c r="J2767" s="14" t="n">
        <v>35</v>
      </c>
      <c r="K2767" s="14"/>
      <c r="L2767" s="16"/>
      <c r="M2767" s="27" t="n">
        <f aca="false">J2767+(K2767/20)+(L2767/240)</f>
        <v>35</v>
      </c>
      <c r="N2767" s="17" t="s">
        <v>64</v>
      </c>
      <c r="O2767" s="11"/>
      <c r="P2767" s="28"/>
      <c r="Q2767" s="28" t="n">
        <f aca="false">P2767*$M2767</f>
        <v>0</v>
      </c>
      <c r="R2767" s="28"/>
      <c r="S2767" s="28" t="n">
        <f aca="false">R2767*$M2767</f>
        <v>0</v>
      </c>
      <c r="T2767" s="28"/>
      <c r="U2767" s="28" t="n">
        <f aca="false">T2767*$M2767</f>
        <v>0</v>
      </c>
      <c r="V2767" s="28"/>
      <c r="W2767" s="28" t="n">
        <f aca="false">V2767*$M2767</f>
        <v>0</v>
      </c>
      <c r="X2767" s="28"/>
      <c r="Y2767" s="28" t="n">
        <f aca="false">X2767*$M2767</f>
        <v>0</v>
      </c>
      <c r="Z2767" s="28"/>
      <c r="AA2767" s="28" t="n">
        <f aca="false">Z2767*$M2767</f>
        <v>0</v>
      </c>
      <c r="AB2767" s="28"/>
      <c r="AC2767" s="28" t="n">
        <f aca="false">AB2767*$M2767</f>
        <v>0</v>
      </c>
      <c r="AD2767" s="28"/>
      <c r="AE2767" s="28" t="n">
        <f aca="false">AD2767*$M2767</f>
        <v>0</v>
      </c>
      <c r="AF2767" s="28"/>
      <c r="AG2767" s="28" t="n">
        <f aca="false">AF2767*$M2767</f>
        <v>0</v>
      </c>
      <c r="AH2767" s="28"/>
      <c r="AI2767" s="28" t="n">
        <f aca="false">AH2767*$M2767</f>
        <v>0</v>
      </c>
      <c r="AJ2767" s="28" t="n">
        <f aca="false">3950/100</f>
        <v>39.5</v>
      </c>
      <c r="AK2767" s="28" t="n">
        <v>1382</v>
      </c>
      <c r="AL2767" s="28"/>
      <c r="AM2767" s="28" t="n">
        <f aca="false">AL2767*$M2767</f>
        <v>0</v>
      </c>
      <c r="AN2767" s="28"/>
      <c r="AO2767" s="28" t="n">
        <f aca="false">AN2767*$M2767</f>
        <v>0</v>
      </c>
      <c r="AP2767" s="28"/>
      <c r="AQ2767" s="28" t="n">
        <f aca="false">AP2767*$M2767</f>
        <v>0</v>
      </c>
      <c r="AR2767" s="28"/>
      <c r="AS2767" s="28" t="n">
        <f aca="false">AR2767*$M2767</f>
        <v>0</v>
      </c>
      <c r="AT2767" s="28"/>
      <c r="AU2767" s="28" t="n">
        <f aca="false">AT2767*$M2767</f>
        <v>0</v>
      </c>
      <c r="AV2767" s="28"/>
      <c r="AW2767" s="28" t="n">
        <f aca="false">AV2767*$M2767</f>
        <v>0</v>
      </c>
      <c r="AX2767" s="28"/>
      <c r="AY2767" s="28" t="n">
        <f aca="false">AX2767*$M2767</f>
        <v>0</v>
      </c>
      <c r="AZ2767" s="30" t="n">
        <f aca="false">3950/100</f>
        <v>39.5</v>
      </c>
      <c r="BA2767" s="11" t="n">
        <v>1382</v>
      </c>
      <c r="BB2767" s="31" t="n">
        <f aca="false">SUM(Q2767,S2767,U2767,W2767,Y2767,AA2767,AC2767,AE2767,AG2767,AI2767,AK2767,AM2767,AO2767,AQ2767,AS2767,AU2767,AW2767,AY2767)</f>
        <v>1382</v>
      </c>
      <c r="BC2767" s="28" t="n">
        <f aca="false">BA2767-BB2767</f>
        <v>0</v>
      </c>
      <c r="BD2767" s="32" t="n">
        <f aca="false">SUM(P2767,R2767,T2767,V2767,X2767,Z2767,AB2767,AD2767,AF2767,AH2767,AJ2767,AL2767,AN2767,AP2767,AR2767,AT2767,AV2767,AX2767)</f>
        <v>39.5</v>
      </c>
      <c r="BE2767" s="33" t="n">
        <f aca="false">AZ2767-BD2767</f>
        <v>0</v>
      </c>
      <c r="BF2767" s="34" t="n">
        <f aca="false">BD2767*M2767</f>
        <v>1382.5</v>
      </c>
      <c r="BG2767" s="35" t="n">
        <f aca="false">BA2767-BF2767</f>
        <v>-0.5</v>
      </c>
      <c r="BH2767" s="19" t="str">
        <f aca="false">IF(BG2767=0,"",IF(BG2767&lt;&gt;BA2767,"erreur de calcul",IF(BD2767&lt;&gt;0,"pas de prix",IF(M2767&lt;&gt; 0,"pas de quantité","pas de prix, ni de quantité"))))</f>
        <v>erreur de calcul</v>
      </c>
      <c r="BI2767" s="19"/>
    </row>
    <row r="2768" customFormat="false" ht="15" hidden="false" customHeight="false" outlineLevel="0" collapsed="false">
      <c r="A2768" s="0" t="n">
        <v>21</v>
      </c>
      <c r="B2768" s="8" t="s">
        <v>24</v>
      </c>
      <c r="C2768" s="9" t="s">
        <v>25</v>
      </c>
      <c r="D2768" s="9" t="s">
        <v>26</v>
      </c>
      <c r="E2768" s="10" t="n">
        <v>1789</v>
      </c>
      <c r="F2768" s="9" t="s">
        <v>27</v>
      </c>
      <c r="G2768" s="9" t="s">
        <v>27</v>
      </c>
      <c r="H2768" s="11" t="n">
        <v>26</v>
      </c>
      <c r="I2768" s="11" t="s">
        <v>392</v>
      </c>
      <c r="J2768" s="14" t="n">
        <v>60</v>
      </c>
      <c r="K2768" s="14"/>
      <c r="L2768" s="16"/>
      <c r="M2768" s="27" t="n">
        <f aca="false">J2768+(K2768/20)+(L2768/240)</f>
        <v>60</v>
      </c>
      <c r="N2768" s="17" t="s">
        <v>64</v>
      </c>
      <c r="O2768" s="11"/>
      <c r="P2768" s="28"/>
      <c r="Q2768" s="28" t="n">
        <f aca="false">P2768*$M2768</f>
        <v>0</v>
      </c>
      <c r="R2768" s="28"/>
      <c r="S2768" s="28" t="n">
        <f aca="false">R2768*$M2768</f>
        <v>0</v>
      </c>
      <c r="T2768" s="28"/>
      <c r="U2768" s="28" t="n">
        <f aca="false">T2768*$M2768</f>
        <v>0</v>
      </c>
      <c r="V2768" s="28"/>
      <c r="W2768" s="28" t="n">
        <f aca="false">V2768*$M2768</f>
        <v>0</v>
      </c>
      <c r="X2768" s="28" t="n">
        <f aca="false">12306/100</f>
        <v>123.06</v>
      </c>
      <c r="Y2768" s="28" t="n">
        <v>7384</v>
      </c>
      <c r="Z2768" s="28"/>
      <c r="AA2768" s="28" t="n">
        <f aca="false">Z2768*$M2768</f>
        <v>0</v>
      </c>
      <c r="AB2768" s="28"/>
      <c r="AC2768" s="28" t="n">
        <f aca="false">AB2768*$M2768</f>
        <v>0</v>
      </c>
      <c r="AD2768" s="28"/>
      <c r="AE2768" s="28" t="n">
        <f aca="false">AD2768*$M2768</f>
        <v>0</v>
      </c>
      <c r="AF2768" s="28"/>
      <c r="AG2768" s="28" t="n">
        <f aca="false">AF2768*$M2768</f>
        <v>0</v>
      </c>
      <c r="AH2768" s="28"/>
      <c r="AI2768" s="28" t="n">
        <f aca="false">AH2768*$M2768</f>
        <v>0</v>
      </c>
      <c r="AJ2768" s="28" t="n">
        <f aca="false">2557/100</f>
        <v>25.57</v>
      </c>
      <c r="AK2768" s="28" t="n">
        <v>1534</v>
      </c>
      <c r="AL2768" s="28"/>
      <c r="AM2768" s="28" t="n">
        <f aca="false">AL2768*$M2768</f>
        <v>0</v>
      </c>
      <c r="AN2768" s="28"/>
      <c r="AO2768" s="28" t="n">
        <f aca="false">AN2768*$M2768</f>
        <v>0</v>
      </c>
      <c r="AP2768" s="28"/>
      <c r="AQ2768" s="28" t="n">
        <f aca="false">AP2768*$M2768</f>
        <v>0</v>
      </c>
      <c r="AR2768" s="28" t="n">
        <f aca="false">7204/100</f>
        <v>72.04</v>
      </c>
      <c r="AS2768" s="28" t="n">
        <v>4322</v>
      </c>
      <c r="AT2768" s="28"/>
      <c r="AU2768" s="28" t="n">
        <f aca="false">AT2768*$M2768</f>
        <v>0</v>
      </c>
      <c r="AV2768" s="28"/>
      <c r="AW2768" s="28" t="n">
        <f aca="false">AV2768*$M2768</f>
        <v>0</v>
      </c>
      <c r="AX2768" s="28"/>
      <c r="AY2768" s="28" t="n">
        <f aca="false">AX2768*$M2768</f>
        <v>0</v>
      </c>
      <c r="AZ2768" s="30" t="n">
        <f aca="false">22067/100</f>
        <v>220.67</v>
      </c>
      <c r="BA2768" s="11" t="n">
        <v>13240</v>
      </c>
      <c r="BB2768" s="31" t="n">
        <f aca="false">SUM(Q2768,S2768,U2768,W2768,Y2768,AA2768,AC2768,AE2768,AG2768,AI2768,AK2768,AM2768,AO2768,AQ2768,AS2768,AU2768,AW2768,AY2768)</f>
        <v>13240</v>
      </c>
      <c r="BC2768" s="28" t="n">
        <f aca="false">BA2768-BB2768</f>
        <v>0</v>
      </c>
      <c r="BD2768" s="32" t="n">
        <f aca="false">SUM(P2768,R2768,T2768,V2768,X2768,Z2768,AB2768,AD2768,AF2768,AH2768,AJ2768,AL2768,AN2768,AP2768,AR2768,AT2768,AV2768,AX2768)</f>
        <v>220.67</v>
      </c>
      <c r="BE2768" s="33" t="n">
        <f aca="false">AZ2768-BD2768</f>
        <v>0</v>
      </c>
      <c r="BF2768" s="34" t="n">
        <f aca="false">BD2768*M2768</f>
        <v>13240.2</v>
      </c>
      <c r="BG2768" s="35" t="n">
        <f aca="false">BA2768-BF2768</f>
        <v>-0.200000000000728</v>
      </c>
      <c r="BH2768" s="19" t="str">
        <f aca="false">IF(BG2768=0,"",IF(BG2768&lt;&gt;BA2768,"erreur de calcul",IF(BD2768&lt;&gt;0,"pas de prix",IF(M2768&lt;&gt; 0,"pas de quantité","pas de prix, ni de quantité"))))</f>
        <v>erreur de calcul</v>
      </c>
      <c r="BI2768" s="19"/>
    </row>
    <row r="2769" customFormat="false" ht="15" hidden="false" customHeight="false" outlineLevel="0" collapsed="false">
      <c r="A2769" s="0" t="n">
        <v>22</v>
      </c>
      <c r="B2769" s="8" t="s">
        <v>24</v>
      </c>
      <c r="C2769" s="9" t="s">
        <v>25</v>
      </c>
      <c r="D2769" s="9" t="s">
        <v>26</v>
      </c>
      <c r="E2769" s="10" t="n">
        <v>1789</v>
      </c>
      <c r="F2769" s="9" t="s">
        <v>27</v>
      </c>
      <c r="G2769" s="9" t="s">
        <v>27</v>
      </c>
      <c r="H2769" s="11" t="n">
        <v>26</v>
      </c>
      <c r="I2769" s="11" t="s">
        <v>393</v>
      </c>
      <c r="J2769" s="14" t="n">
        <v>120</v>
      </c>
      <c r="K2769" s="14"/>
      <c r="L2769" s="16"/>
      <c r="M2769" s="27" t="n">
        <f aca="false">J2769+(K2769/20)+(L2769/240)</f>
        <v>120</v>
      </c>
      <c r="N2769" s="17" t="s">
        <v>64</v>
      </c>
      <c r="O2769" s="11"/>
      <c r="P2769" s="28"/>
      <c r="Q2769" s="28" t="n">
        <f aca="false">P2769*$M2769</f>
        <v>0</v>
      </c>
      <c r="R2769" s="28"/>
      <c r="S2769" s="28" t="n">
        <f aca="false">R2769*$M2769</f>
        <v>0</v>
      </c>
      <c r="T2769" s="28"/>
      <c r="U2769" s="28" t="n">
        <f aca="false">T2769*$M2769</f>
        <v>0</v>
      </c>
      <c r="V2769" s="28"/>
      <c r="W2769" s="28" t="n">
        <f aca="false">V2769*$M2769</f>
        <v>0</v>
      </c>
      <c r="X2769" s="28"/>
      <c r="Y2769" s="28" t="n">
        <f aca="false">X2769*$M2769</f>
        <v>0</v>
      </c>
      <c r="Z2769" s="28"/>
      <c r="AA2769" s="28" t="n">
        <f aca="false">Z2769*$M2769</f>
        <v>0</v>
      </c>
      <c r="AB2769" s="28"/>
      <c r="AC2769" s="28" t="n">
        <f aca="false">AB2769*$M2769</f>
        <v>0</v>
      </c>
      <c r="AD2769" s="28"/>
      <c r="AE2769" s="28" t="n">
        <f aca="false">AD2769*$M2769</f>
        <v>0</v>
      </c>
      <c r="AF2769" s="28"/>
      <c r="AG2769" s="28" t="n">
        <f aca="false">AF2769*$M2769</f>
        <v>0</v>
      </c>
      <c r="AH2769" s="28" t="n">
        <f aca="false">1810/100</f>
        <v>18.1</v>
      </c>
      <c r="AI2769" s="28" t="n">
        <v>2172</v>
      </c>
      <c r="AJ2769" s="28"/>
      <c r="AK2769" s="28" t="n">
        <f aca="false">AJ2769*$M2769</f>
        <v>0</v>
      </c>
      <c r="AL2769" s="28"/>
      <c r="AM2769" s="28" t="n">
        <f aca="false">AL2769*$M2769</f>
        <v>0</v>
      </c>
      <c r="AN2769" s="28"/>
      <c r="AO2769" s="28" t="n">
        <f aca="false">AN2769*$M2769</f>
        <v>0</v>
      </c>
      <c r="AP2769" s="28"/>
      <c r="AQ2769" s="28" t="n">
        <f aca="false">AP2769*$M2769</f>
        <v>0</v>
      </c>
      <c r="AR2769" s="28"/>
      <c r="AS2769" s="28" t="n">
        <f aca="false">AR2769*$M2769</f>
        <v>0</v>
      </c>
      <c r="AT2769" s="28"/>
      <c r="AU2769" s="28" t="n">
        <f aca="false">AT2769*$M2769</f>
        <v>0</v>
      </c>
      <c r="AV2769" s="28"/>
      <c r="AW2769" s="28" t="n">
        <f aca="false">AV2769*$M2769</f>
        <v>0</v>
      </c>
      <c r="AX2769" s="28"/>
      <c r="AY2769" s="28" t="n">
        <f aca="false">AX2769*$M2769</f>
        <v>0</v>
      </c>
      <c r="AZ2769" s="30" t="n">
        <f aca="false">1810/100</f>
        <v>18.1</v>
      </c>
      <c r="BA2769" s="11" t="n">
        <v>2172</v>
      </c>
      <c r="BB2769" s="31" t="n">
        <f aca="false">SUM(Q2769,S2769,U2769,W2769,Y2769,AA2769,AC2769,AE2769,AG2769,AI2769,AK2769,AM2769,AO2769,AQ2769,AS2769,AU2769,AW2769,AY2769)</f>
        <v>2172</v>
      </c>
      <c r="BC2769" s="28" t="n">
        <f aca="false">BA2769-BB2769</f>
        <v>0</v>
      </c>
      <c r="BD2769" s="32" t="n">
        <f aca="false">SUM(P2769,R2769,T2769,V2769,X2769,Z2769,AB2769,AD2769,AF2769,AH2769,AJ2769,AL2769,AN2769,AP2769,AR2769,AT2769,AV2769,AX2769)</f>
        <v>18.1</v>
      </c>
      <c r="BE2769" s="33" t="n">
        <f aca="false">AZ2769-BD2769</f>
        <v>0</v>
      </c>
      <c r="BF2769" s="34" t="n">
        <f aca="false">BD2769*M2769</f>
        <v>2172</v>
      </c>
      <c r="BG2769" s="35" t="n">
        <f aca="false">BA2769-BF2769</f>
        <v>0</v>
      </c>
      <c r="BH2769" s="19" t="str">
        <f aca="false">IF(BG2769=0,"",IF(BG2769&lt;&gt;BA2769,"erreur de calcul",IF(BD2769&lt;&gt;0,"pas de prix",IF(M2769&lt;&gt; 0,"pas de quantité","pas de prix, ni de quantité"))))</f>
        <v/>
      </c>
      <c r="BI2769" s="19"/>
    </row>
    <row r="2770" customFormat="false" ht="15" hidden="false" customHeight="false" outlineLevel="0" collapsed="false">
      <c r="A2770" s="0" t="n">
        <v>23</v>
      </c>
      <c r="B2770" s="8" t="s">
        <v>24</v>
      </c>
      <c r="C2770" s="9" t="s">
        <v>25</v>
      </c>
      <c r="D2770" s="9" t="s">
        <v>26</v>
      </c>
      <c r="E2770" s="10" t="n">
        <v>1789</v>
      </c>
      <c r="F2770" s="9" t="s">
        <v>27</v>
      </c>
      <c r="G2770" s="9" t="s">
        <v>27</v>
      </c>
      <c r="H2770" s="11" t="n">
        <v>26</v>
      </c>
      <c r="I2770" s="41" t="s">
        <v>394</v>
      </c>
      <c r="J2770" s="14" t="n">
        <v>7</v>
      </c>
      <c r="K2770" s="14"/>
      <c r="L2770" s="16"/>
      <c r="M2770" s="27" t="n">
        <f aca="false">J2770+(K2770/20)+(L2770/240)</f>
        <v>7</v>
      </c>
      <c r="N2770" s="17" t="s">
        <v>64</v>
      </c>
      <c r="O2770" s="11"/>
      <c r="P2770" s="28" t="n">
        <f aca="false">11428/100</f>
        <v>114.28</v>
      </c>
      <c r="Q2770" s="28" t="n">
        <v>800</v>
      </c>
      <c r="R2770" s="28"/>
      <c r="S2770" s="28" t="n">
        <f aca="false">R2770*$M2770</f>
        <v>0</v>
      </c>
      <c r="T2770" s="28" t="n">
        <f aca="false">2084/100</f>
        <v>20.84</v>
      </c>
      <c r="U2770" s="36" t="n">
        <v>246</v>
      </c>
      <c r="V2770" s="28"/>
      <c r="W2770" s="28" t="n">
        <f aca="false">V2770*$M2770</f>
        <v>0</v>
      </c>
      <c r="X2770" s="28"/>
      <c r="Y2770" s="28" t="n">
        <f aca="false">X2770*$M2770</f>
        <v>0</v>
      </c>
      <c r="Z2770" s="28"/>
      <c r="AA2770" s="28" t="n">
        <f aca="false">Z2770*$M2770</f>
        <v>0</v>
      </c>
      <c r="AB2770" s="28"/>
      <c r="AC2770" s="28" t="n">
        <f aca="false">AB2770*$M2770</f>
        <v>0</v>
      </c>
      <c r="AD2770" s="28"/>
      <c r="AE2770" s="28" t="n">
        <f aca="false">AD2770*$M2770</f>
        <v>0</v>
      </c>
      <c r="AF2770" s="28" t="n">
        <f aca="false">6709/100</f>
        <v>67.09</v>
      </c>
      <c r="AG2770" s="28" t="n">
        <v>470</v>
      </c>
      <c r="AH2770" s="28"/>
      <c r="AI2770" s="28" t="n">
        <f aca="false">AH2770*$M2770</f>
        <v>0</v>
      </c>
      <c r="AJ2770" s="28"/>
      <c r="AK2770" s="28" t="n">
        <f aca="false">AJ2770*$M2770</f>
        <v>0</v>
      </c>
      <c r="AL2770" s="28"/>
      <c r="AM2770" s="28" t="n">
        <f aca="false">AL2770*$M2770</f>
        <v>0</v>
      </c>
      <c r="AN2770" s="28"/>
      <c r="AO2770" s="28" t="n">
        <f aca="false">AN2770*$M2770</f>
        <v>0</v>
      </c>
      <c r="AP2770" s="28"/>
      <c r="AQ2770" s="28" t="n">
        <f aca="false">AP2770*$M2770</f>
        <v>0</v>
      </c>
      <c r="AR2770" s="28"/>
      <c r="AS2770" s="28" t="n">
        <f aca="false">AR2770*$M2770</f>
        <v>0</v>
      </c>
      <c r="AT2770" s="28"/>
      <c r="AU2770" s="28" t="n">
        <f aca="false">AT2770*$M2770</f>
        <v>0</v>
      </c>
      <c r="AV2770" s="28"/>
      <c r="AW2770" s="28" t="n">
        <f aca="false">AV2770*$M2770</f>
        <v>0</v>
      </c>
      <c r="AX2770" s="28"/>
      <c r="AY2770" s="28" t="n">
        <f aca="false">AX2770*$M2770</f>
        <v>0</v>
      </c>
      <c r="AZ2770" s="30" t="n">
        <f aca="false">20221/100</f>
        <v>202.21</v>
      </c>
      <c r="BA2770" s="11" t="n">
        <v>1516</v>
      </c>
      <c r="BB2770" s="31" t="n">
        <f aca="false">SUM(Q2770,S2770,U2770,W2770,Y2770,AA2770,AC2770,AE2770,AG2770,AI2770,AK2770,AM2770,AO2770,AQ2770,AS2770,AU2770,AW2770,AY2770)</f>
        <v>1516</v>
      </c>
      <c r="BC2770" s="28" t="n">
        <f aca="false">BA2770-BB2770</f>
        <v>0</v>
      </c>
      <c r="BD2770" s="32" t="n">
        <f aca="false">SUM(P2770,R2770,T2770,V2770,X2770,Z2770,AB2770,AD2770,AF2770,AH2770,AJ2770,AL2770,AN2770,AP2770,AR2770,AT2770,AV2770,AX2770)</f>
        <v>202.21</v>
      </c>
      <c r="BE2770" s="33" t="n">
        <f aca="false">AZ2770-BD2770</f>
        <v>0</v>
      </c>
      <c r="BF2770" s="34" t="n">
        <f aca="false">BD2770*M2770</f>
        <v>1415.47</v>
      </c>
      <c r="BG2770" s="35" t="n">
        <f aca="false">BA2770-BF2770</f>
        <v>100.53</v>
      </c>
      <c r="BH2770" s="19" t="str">
        <f aca="false">IF(BG2770=0,"",IF(BG2770&lt;&gt;BA2770,"erreur de calcul",IF(BD2770&lt;&gt;0,"pas de prix",IF(M2770&lt;&gt; 0,"pas de quantité","pas de prix, ni de quantité"))))</f>
        <v>erreur de calcul</v>
      </c>
      <c r="BI2770" s="19"/>
    </row>
    <row r="2771" customFormat="false" ht="15" hidden="false" customHeight="false" outlineLevel="0" collapsed="false">
      <c r="A2771" s="0" t="n">
        <v>24</v>
      </c>
      <c r="B2771" s="8" t="s">
        <v>24</v>
      </c>
      <c r="C2771" s="9" t="s">
        <v>25</v>
      </c>
      <c r="D2771" s="9" t="s">
        <v>26</v>
      </c>
      <c r="E2771" s="10" t="n">
        <v>1789</v>
      </c>
      <c r="F2771" s="9" t="s">
        <v>27</v>
      </c>
      <c r="G2771" s="9" t="s">
        <v>27</v>
      </c>
      <c r="H2771" s="11" t="n">
        <v>26</v>
      </c>
      <c r="I2771" s="11" t="s">
        <v>395</v>
      </c>
      <c r="J2771" s="14" t="n">
        <v>40</v>
      </c>
      <c r="K2771" s="14"/>
      <c r="L2771" s="16"/>
      <c r="M2771" s="27" t="n">
        <f aca="false">J2771+(K2771/20)+(L2771/240)</f>
        <v>40</v>
      </c>
      <c r="N2771" s="17" t="s">
        <v>66</v>
      </c>
      <c r="O2771" s="11"/>
      <c r="P2771" s="28"/>
      <c r="Q2771" s="28" t="n">
        <f aca="false">P2771*$M2771</f>
        <v>0</v>
      </c>
      <c r="R2771" s="28"/>
      <c r="S2771" s="28" t="n">
        <f aca="false">R2771*$M2771</f>
        <v>0</v>
      </c>
      <c r="T2771" s="28" t="n">
        <v>2339</v>
      </c>
      <c r="U2771" s="28" t="n">
        <v>93560</v>
      </c>
      <c r="V2771" s="28" t="n">
        <v>38</v>
      </c>
      <c r="W2771" s="28" t="n">
        <v>1520</v>
      </c>
      <c r="X2771" s="28"/>
      <c r="Y2771" s="28" t="n">
        <f aca="false">X2771*$M2771</f>
        <v>0</v>
      </c>
      <c r="Z2771" s="28"/>
      <c r="AA2771" s="28" t="n">
        <f aca="false">Z2771*$M2771</f>
        <v>0</v>
      </c>
      <c r="AB2771" s="28"/>
      <c r="AC2771" s="28" t="n">
        <f aca="false">AB2771*$M2771</f>
        <v>0</v>
      </c>
      <c r="AD2771" s="28"/>
      <c r="AE2771" s="28" t="n">
        <f aca="false">AD2771*$M2771</f>
        <v>0</v>
      </c>
      <c r="AF2771" s="28"/>
      <c r="AG2771" s="28" t="n">
        <f aca="false">AF2771*$M2771</f>
        <v>0</v>
      </c>
      <c r="AH2771" s="28"/>
      <c r="AI2771" s="28" t="n">
        <f aca="false">AH2771*$M2771</f>
        <v>0</v>
      </c>
      <c r="AJ2771" s="28"/>
      <c r="AK2771" s="28" t="n">
        <f aca="false">AJ2771*$M2771</f>
        <v>0</v>
      </c>
      <c r="AL2771" s="28"/>
      <c r="AM2771" s="28" t="n">
        <f aca="false">AL2771*$M2771</f>
        <v>0</v>
      </c>
      <c r="AN2771" s="28"/>
      <c r="AO2771" s="28" t="n">
        <f aca="false">AN2771*$M2771</f>
        <v>0</v>
      </c>
      <c r="AP2771" s="28"/>
      <c r="AQ2771" s="28" t="n">
        <f aca="false">AP2771*$M2771</f>
        <v>0</v>
      </c>
      <c r="AR2771" s="28"/>
      <c r="AS2771" s="28" t="n">
        <f aca="false">AR2771*$M2771</f>
        <v>0</v>
      </c>
      <c r="AT2771" s="28"/>
      <c r="AU2771" s="28" t="n">
        <f aca="false">AT2771*$M2771</f>
        <v>0</v>
      </c>
      <c r="AV2771" s="28"/>
      <c r="AW2771" s="28" t="n">
        <f aca="false">AV2771*$M2771</f>
        <v>0</v>
      </c>
      <c r="AX2771" s="28"/>
      <c r="AY2771" s="28" t="n">
        <f aca="false">AX2771*$M2771</f>
        <v>0</v>
      </c>
      <c r="AZ2771" s="30" t="n">
        <v>2377</v>
      </c>
      <c r="BA2771" s="11" t="n">
        <v>95080</v>
      </c>
      <c r="BB2771" s="31" t="n">
        <f aca="false">SUM(Q2771,S2771,U2771,W2771,Y2771,AA2771,AC2771,AE2771,AG2771,AI2771,AK2771,AM2771,AO2771,AQ2771,AS2771,AU2771,AW2771,AY2771)</f>
        <v>95080</v>
      </c>
      <c r="BC2771" s="28" t="n">
        <f aca="false">BA2771-BB2771</f>
        <v>0</v>
      </c>
      <c r="BD2771" s="32" t="n">
        <f aca="false">SUM(P2771,R2771,T2771,V2771,X2771,Z2771,AB2771,AD2771,AF2771,AH2771,AJ2771,AL2771,AN2771,AP2771,AR2771,AT2771,AV2771,AX2771)</f>
        <v>2377</v>
      </c>
      <c r="BE2771" s="33" t="n">
        <f aca="false">AZ2771-BD2771</f>
        <v>0</v>
      </c>
      <c r="BF2771" s="34" t="n">
        <f aca="false">BD2771*M2771</f>
        <v>95080</v>
      </c>
      <c r="BG2771" s="35" t="n">
        <f aca="false">BA2771-BF2771</f>
        <v>0</v>
      </c>
      <c r="BH2771" s="19" t="str">
        <f aca="false">IF(BG2771=0,"",IF(BG2771&lt;&gt;BA2771,"erreur de calcul",IF(BD2771&lt;&gt;0,"pas de prix",IF(M2771&lt;&gt; 0,"pas de quantité","pas de prix, ni de quantité"))))</f>
        <v/>
      </c>
      <c r="BI2771" s="19"/>
    </row>
    <row r="2772" customFormat="false" ht="15" hidden="false" customHeight="false" outlineLevel="0" collapsed="false">
      <c r="A2772" s="0" t="n">
        <v>25</v>
      </c>
      <c r="B2772" s="8" t="s">
        <v>24</v>
      </c>
      <c r="C2772" s="9" t="s">
        <v>25</v>
      </c>
      <c r="D2772" s="9" t="s">
        <v>26</v>
      </c>
      <c r="E2772" s="10" t="n">
        <v>1789</v>
      </c>
      <c r="F2772" s="9" t="s">
        <v>27</v>
      </c>
      <c r="G2772" s="9" t="s">
        <v>27</v>
      </c>
      <c r="H2772" s="11" t="n">
        <v>26</v>
      </c>
      <c r="I2772" s="11" t="s">
        <v>396</v>
      </c>
      <c r="J2772" s="14" t="n">
        <v>2</v>
      </c>
      <c r="K2772" s="14" t="n">
        <v>10</v>
      </c>
      <c r="L2772" s="16"/>
      <c r="M2772" s="27" t="n">
        <f aca="false">J2772+(K2772/20)+(L2772/240)</f>
        <v>2.5</v>
      </c>
      <c r="N2772" s="17" t="s">
        <v>66</v>
      </c>
      <c r="O2772" s="11"/>
      <c r="P2772" s="28"/>
      <c r="Q2772" s="28" t="n">
        <f aca="false">P2772*$M2772</f>
        <v>0</v>
      </c>
      <c r="R2772" s="28"/>
      <c r="S2772" s="28" t="n">
        <f aca="false">R2772*$M2772</f>
        <v>0</v>
      </c>
      <c r="T2772" s="28"/>
      <c r="U2772" s="28" t="n">
        <f aca="false">T2772*$M2772</f>
        <v>0</v>
      </c>
      <c r="V2772" s="28"/>
      <c r="W2772" s="28" t="n">
        <f aca="false">V2772*$M2772</f>
        <v>0</v>
      </c>
      <c r="X2772" s="28"/>
      <c r="Y2772" s="28" t="n">
        <f aca="false">X2772*$M2772</f>
        <v>0</v>
      </c>
      <c r="Z2772" s="28"/>
      <c r="AA2772" s="28" t="n">
        <f aca="false">Z2772*$M2772</f>
        <v>0</v>
      </c>
      <c r="AB2772" s="28"/>
      <c r="AC2772" s="28" t="n">
        <f aca="false">AB2772*$M2772</f>
        <v>0</v>
      </c>
      <c r="AD2772" s="28"/>
      <c r="AE2772" s="28" t="n">
        <f aca="false">AD2772*$M2772</f>
        <v>0</v>
      </c>
      <c r="AF2772" s="28"/>
      <c r="AG2772" s="28" t="n">
        <f aca="false">AF2772*$M2772</f>
        <v>0</v>
      </c>
      <c r="AH2772" s="28"/>
      <c r="AI2772" s="28" t="n">
        <f aca="false">AH2772*$M2772</f>
        <v>0</v>
      </c>
      <c r="AJ2772" s="28" t="n">
        <v>7127</v>
      </c>
      <c r="AK2772" s="28" t="n">
        <v>17817</v>
      </c>
      <c r="AL2772" s="28"/>
      <c r="AM2772" s="28" t="n">
        <f aca="false">AL2772*$M2772</f>
        <v>0</v>
      </c>
      <c r="AN2772" s="28"/>
      <c r="AO2772" s="28" t="n">
        <f aca="false">AN2772*$M2772</f>
        <v>0</v>
      </c>
      <c r="AP2772" s="28"/>
      <c r="AQ2772" s="28" t="n">
        <f aca="false">AP2772*$M2772</f>
        <v>0</v>
      </c>
      <c r="AR2772" s="28"/>
      <c r="AS2772" s="28" t="n">
        <f aca="false">AR2772*$M2772</f>
        <v>0</v>
      </c>
      <c r="AT2772" s="28"/>
      <c r="AU2772" s="28" t="n">
        <f aca="false">AT2772*$M2772</f>
        <v>0</v>
      </c>
      <c r="AV2772" s="28"/>
      <c r="AW2772" s="28" t="n">
        <f aca="false">AV2772*$M2772</f>
        <v>0</v>
      </c>
      <c r="AX2772" s="28"/>
      <c r="AY2772" s="28" t="n">
        <f aca="false">AX2772*$M2772</f>
        <v>0</v>
      </c>
      <c r="AZ2772" s="30" t="n">
        <v>7127</v>
      </c>
      <c r="BA2772" s="11" t="n">
        <v>17817</v>
      </c>
      <c r="BB2772" s="31" t="n">
        <f aca="false">SUM(Q2772,S2772,U2772,W2772,Y2772,AA2772,AC2772,AE2772,AG2772,AI2772,AK2772,AM2772,AO2772,AQ2772,AS2772,AU2772,AW2772,AY2772)</f>
        <v>17817</v>
      </c>
      <c r="BC2772" s="28" t="n">
        <f aca="false">BA2772-BB2772</f>
        <v>0</v>
      </c>
      <c r="BD2772" s="32" t="n">
        <f aca="false">SUM(P2772,R2772,T2772,V2772,X2772,Z2772,AB2772,AD2772,AF2772,AH2772,AJ2772,AL2772,AN2772,AP2772,AR2772,AT2772,AV2772,AX2772)</f>
        <v>7127</v>
      </c>
      <c r="BE2772" s="33" t="n">
        <f aca="false">AZ2772-BD2772</f>
        <v>0</v>
      </c>
      <c r="BF2772" s="34" t="n">
        <f aca="false">BD2772*M2772</f>
        <v>17817.5</v>
      </c>
      <c r="BG2772" s="35" t="n">
        <f aca="false">BA2772-BF2772</f>
        <v>-0.5</v>
      </c>
      <c r="BH2772" s="19" t="str">
        <f aca="false">IF(BG2772=0,"",IF(BG2772&lt;&gt;BA2772,"erreur de calcul",IF(BD2772&lt;&gt;0,"pas de prix",IF(M2772&lt;&gt; 0,"pas de quantité","pas de prix, ni de quantité"))))</f>
        <v>erreur de calcul</v>
      </c>
      <c r="BI2772" s="19"/>
    </row>
    <row r="2773" customFormat="false" ht="15" hidden="false" customHeight="false" outlineLevel="0" collapsed="false">
      <c r="A2773" s="0" t="n">
        <v>26</v>
      </c>
      <c r="B2773" s="8" t="s">
        <v>24</v>
      </c>
      <c r="C2773" s="9" t="s">
        <v>25</v>
      </c>
      <c r="D2773" s="9" t="s">
        <v>26</v>
      </c>
      <c r="E2773" s="10" t="n">
        <v>1789</v>
      </c>
      <c r="F2773" s="9" t="s">
        <v>27</v>
      </c>
      <c r="G2773" s="9" t="s">
        <v>27</v>
      </c>
      <c r="H2773" s="11" t="n">
        <v>26</v>
      </c>
      <c r="I2773" s="11" t="s">
        <v>397</v>
      </c>
      <c r="J2773" s="14" t="n">
        <v>6</v>
      </c>
      <c r="K2773" s="14" t="n">
        <v>10</v>
      </c>
      <c r="L2773" s="16"/>
      <c r="M2773" s="27" t="n">
        <f aca="false">J2773+(K2773/20)+(L2773/240)</f>
        <v>6.5</v>
      </c>
      <c r="N2773" s="17" t="s">
        <v>64</v>
      </c>
      <c r="O2773" s="11"/>
      <c r="P2773" s="28"/>
      <c r="Q2773" s="28" t="n">
        <f aca="false">P2773*$M2773</f>
        <v>0</v>
      </c>
      <c r="R2773" s="28"/>
      <c r="S2773" s="28" t="n">
        <f aca="false">R2773*$M2773</f>
        <v>0</v>
      </c>
      <c r="T2773" s="28"/>
      <c r="U2773" s="28" t="n">
        <f aca="false">T2773*$M2773</f>
        <v>0</v>
      </c>
      <c r="V2773" s="28"/>
      <c r="W2773" s="28" t="n">
        <f aca="false">V2773*$M2773</f>
        <v>0</v>
      </c>
      <c r="X2773" s="28" t="n">
        <f aca="false">22000/100</f>
        <v>220</v>
      </c>
      <c r="Y2773" s="28" t="n">
        <v>1430</v>
      </c>
      <c r="Z2773" s="28"/>
      <c r="AA2773" s="28" t="n">
        <f aca="false">Z2773*$M2773</f>
        <v>0</v>
      </c>
      <c r="AB2773" s="28" t="n">
        <f aca="false">3575715/100</f>
        <v>35757.15</v>
      </c>
      <c r="AC2773" s="36" t="n">
        <v>214543</v>
      </c>
      <c r="AD2773" s="28"/>
      <c r="AE2773" s="28" t="n">
        <f aca="false">AD2773*$M2773</f>
        <v>0</v>
      </c>
      <c r="AF2773" s="28"/>
      <c r="AG2773" s="28" t="n">
        <f aca="false">AF2773*$M2773</f>
        <v>0</v>
      </c>
      <c r="AH2773" s="28"/>
      <c r="AI2773" s="28" t="n">
        <f aca="false">AH2773*$M2773</f>
        <v>0</v>
      </c>
      <c r="AJ2773" s="28"/>
      <c r="AK2773" s="28" t="n">
        <f aca="false">AJ2773*$M2773</f>
        <v>0</v>
      </c>
      <c r="AL2773" s="28"/>
      <c r="AM2773" s="28" t="n">
        <f aca="false">AL2773*$M2773</f>
        <v>0</v>
      </c>
      <c r="AN2773" s="28"/>
      <c r="AO2773" s="28" t="n">
        <f aca="false">AN2773*$M2773</f>
        <v>0</v>
      </c>
      <c r="AP2773" s="28"/>
      <c r="AQ2773" s="28" t="n">
        <f aca="false">AP2773*$M2773</f>
        <v>0</v>
      </c>
      <c r="AR2773" s="28"/>
      <c r="AS2773" s="28" t="n">
        <f aca="false">AR2773*$M2773</f>
        <v>0</v>
      </c>
      <c r="AT2773" s="28"/>
      <c r="AU2773" s="28" t="n">
        <f aca="false">AT2773*$M2773</f>
        <v>0</v>
      </c>
      <c r="AV2773" s="28"/>
      <c r="AW2773" s="28" t="n">
        <f aca="false">AV2773*$M2773</f>
        <v>0</v>
      </c>
      <c r="AX2773" s="28"/>
      <c r="AY2773" s="28" t="n">
        <f aca="false">AX2773*$M2773</f>
        <v>0</v>
      </c>
      <c r="AZ2773" s="30" t="n">
        <f aca="false">3597715/100</f>
        <v>35977.15</v>
      </c>
      <c r="BA2773" s="11" t="n">
        <v>215973</v>
      </c>
      <c r="BB2773" s="31" t="n">
        <f aca="false">SUM(Q2773,S2773,U2773,W2773,Y2773,AA2773,AC2773,AE2773,AG2773,AI2773,AK2773,AM2773,AO2773,AQ2773,AS2773,AU2773,AW2773,AY2773)</f>
        <v>215973</v>
      </c>
      <c r="BC2773" s="28" t="n">
        <f aca="false">BA2773-BB2773</f>
        <v>0</v>
      </c>
      <c r="BD2773" s="32" t="n">
        <f aca="false">SUM(P2773,R2773,T2773,V2773,X2773,Z2773,AB2773,AD2773,AF2773,AH2773,AJ2773,AL2773,AN2773,AP2773,AR2773,AT2773,AV2773,AX2773)</f>
        <v>35977.15</v>
      </c>
      <c r="BE2773" s="33" t="n">
        <f aca="false">AZ2773-BD2773</f>
        <v>0</v>
      </c>
      <c r="BF2773" s="34" t="n">
        <f aca="false">BD2773*M2773</f>
        <v>233851.475</v>
      </c>
      <c r="BG2773" s="35" t="n">
        <f aca="false">BA2773-BF2773</f>
        <v>-17878.475</v>
      </c>
      <c r="BH2773" s="19" t="str">
        <f aca="false">IF(BG2773=0,"",IF(BG2773&lt;&gt;BA2773,"erreur de calcul",IF(BD2773&lt;&gt;0,"pas de prix",IF(M2773&lt;&gt; 0,"pas de quantité","pas de prix, ni de quantité"))))</f>
        <v>erreur de calcul</v>
      </c>
      <c r="BI2773" s="19"/>
    </row>
    <row r="2774" customFormat="false" ht="15" hidden="false" customHeight="false" outlineLevel="0" collapsed="false">
      <c r="A2774" s="0" t="n">
        <v>27</v>
      </c>
      <c r="B2774" s="8" t="s">
        <v>24</v>
      </c>
      <c r="C2774" s="9" t="s">
        <v>25</v>
      </c>
      <c r="D2774" s="9" t="s">
        <v>26</v>
      </c>
      <c r="E2774" s="10" t="n">
        <v>1789</v>
      </c>
      <c r="F2774" s="9" t="s">
        <v>27</v>
      </c>
      <c r="G2774" s="9" t="s">
        <v>27</v>
      </c>
      <c r="H2774" s="11" t="n">
        <v>26</v>
      </c>
      <c r="I2774" s="11" t="s">
        <v>398</v>
      </c>
      <c r="J2774" s="14" t="n">
        <v>11</v>
      </c>
      <c r="K2774" s="14"/>
      <c r="L2774" s="16"/>
      <c r="M2774" s="27" t="n">
        <f aca="false">J2774+(K2774/20)+(L2774/240)</f>
        <v>11</v>
      </c>
      <c r="N2774" s="17" t="s">
        <v>64</v>
      </c>
      <c r="O2774" s="11"/>
      <c r="P2774" s="28" t="n">
        <f aca="false">166667/100</f>
        <v>1666.67</v>
      </c>
      <c r="Q2774" s="28" t="n">
        <v>18333</v>
      </c>
      <c r="R2774" s="28"/>
      <c r="S2774" s="28" t="n">
        <f aca="false">R2774*$M2774</f>
        <v>0</v>
      </c>
      <c r="T2774" s="28"/>
      <c r="U2774" s="28" t="n">
        <f aca="false">T2774*$M2774</f>
        <v>0</v>
      </c>
      <c r="V2774" s="28"/>
      <c r="W2774" s="28" t="n">
        <f aca="false">V2774*$M2774</f>
        <v>0</v>
      </c>
      <c r="X2774" s="28"/>
      <c r="Y2774" s="28" t="n">
        <f aca="false">X2774*$M2774</f>
        <v>0</v>
      </c>
      <c r="Z2774" s="28"/>
      <c r="AA2774" s="28" t="n">
        <f aca="false">Z2774*$M2774</f>
        <v>0</v>
      </c>
      <c r="AB2774" s="28" t="n">
        <f aca="false">3312/100</f>
        <v>33.12</v>
      </c>
      <c r="AC2774" s="28" t="n">
        <v>364</v>
      </c>
      <c r="AD2774" s="28"/>
      <c r="AE2774" s="28" t="n">
        <f aca="false">AD2774*$M2774</f>
        <v>0</v>
      </c>
      <c r="AF2774" s="28"/>
      <c r="AG2774" s="28" t="n">
        <f aca="false">AF2774*$M2774</f>
        <v>0</v>
      </c>
      <c r="AH2774" s="28"/>
      <c r="AI2774" s="28" t="n">
        <f aca="false">AH2774*$M2774</f>
        <v>0</v>
      </c>
      <c r="AJ2774" s="28"/>
      <c r="AK2774" s="28" t="n">
        <f aca="false">AJ2774*$M2774</f>
        <v>0</v>
      </c>
      <c r="AL2774" s="28"/>
      <c r="AM2774" s="28" t="n">
        <f aca="false">AL2774*$M2774</f>
        <v>0</v>
      </c>
      <c r="AN2774" s="28"/>
      <c r="AO2774" s="28" t="n">
        <f aca="false">AN2774*$M2774</f>
        <v>0</v>
      </c>
      <c r="AP2774" s="28"/>
      <c r="AQ2774" s="28" t="n">
        <f aca="false">AP2774*$M2774</f>
        <v>0</v>
      </c>
      <c r="AR2774" s="28"/>
      <c r="AS2774" s="28" t="n">
        <f aca="false">AR2774*$M2774</f>
        <v>0</v>
      </c>
      <c r="AT2774" s="28"/>
      <c r="AU2774" s="28" t="n">
        <f aca="false">AT2774*$M2774</f>
        <v>0</v>
      </c>
      <c r="AV2774" s="28"/>
      <c r="AW2774" s="28" t="n">
        <f aca="false">AV2774*$M2774</f>
        <v>0</v>
      </c>
      <c r="AX2774" s="28"/>
      <c r="AY2774" s="28" t="n">
        <f aca="false">AX2774*$M2774</f>
        <v>0</v>
      </c>
      <c r="AZ2774" s="30" t="n">
        <f aca="false">169979/100</f>
        <v>1699.79</v>
      </c>
      <c r="BA2774" s="11" t="n">
        <v>18697</v>
      </c>
      <c r="BB2774" s="31" t="n">
        <f aca="false">SUM(Q2774,S2774,U2774,W2774,Y2774,AA2774,AC2774,AE2774,AG2774,AI2774,AK2774,AM2774,AO2774,AQ2774,AS2774,AU2774,AW2774,AY2774)</f>
        <v>18697</v>
      </c>
      <c r="BC2774" s="28" t="n">
        <f aca="false">BA2774-BB2774</f>
        <v>0</v>
      </c>
      <c r="BD2774" s="32" t="n">
        <f aca="false">SUM(P2774,R2774,T2774,V2774,X2774,Z2774,AB2774,AD2774,AF2774,AH2774,AJ2774,AL2774,AN2774,AP2774,AR2774,AT2774,AV2774,AX2774)</f>
        <v>1699.79</v>
      </c>
      <c r="BE2774" s="33" t="n">
        <f aca="false">AZ2774-BD2774</f>
        <v>0</v>
      </c>
      <c r="BF2774" s="34" t="n">
        <f aca="false">BD2774*M2774</f>
        <v>18697.69</v>
      </c>
      <c r="BG2774" s="35" t="n">
        <f aca="false">BA2774-BF2774</f>
        <v>-0.68999999999869</v>
      </c>
      <c r="BH2774" s="19" t="str">
        <f aca="false">IF(BG2774=0,"",IF(BG2774&lt;&gt;BA2774,"erreur de calcul",IF(BD2774&lt;&gt;0,"pas de prix",IF(M2774&lt;&gt; 0,"pas de quantité","pas de prix, ni de quantité"))))</f>
        <v>erreur de calcul</v>
      </c>
      <c r="BI2774" s="19"/>
    </row>
    <row r="2775" customFormat="false" ht="15" hidden="false" customHeight="false" outlineLevel="0" collapsed="false">
      <c r="A2775" s="0" t="n">
        <v>28</v>
      </c>
      <c r="B2775" s="8" t="s">
        <v>24</v>
      </c>
      <c r="C2775" s="9" t="s">
        <v>25</v>
      </c>
      <c r="D2775" s="9" t="s">
        <v>26</v>
      </c>
      <c r="E2775" s="10" t="n">
        <v>1789</v>
      </c>
      <c r="F2775" s="9" t="s">
        <v>27</v>
      </c>
      <c r="G2775" s="9" t="s">
        <v>27</v>
      </c>
      <c r="H2775" s="11" t="n">
        <v>26</v>
      </c>
      <c r="I2775" s="11" t="s">
        <v>399</v>
      </c>
      <c r="J2775" s="14" t="n">
        <v>18</v>
      </c>
      <c r="K2775" s="14"/>
      <c r="L2775" s="16"/>
      <c r="M2775" s="27" t="n">
        <f aca="false">J2775+(K2775/20)+(L2775/240)</f>
        <v>18</v>
      </c>
      <c r="N2775" s="17" t="s">
        <v>66</v>
      </c>
      <c r="O2775" s="11"/>
      <c r="P2775" s="28"/>
      <c r="Q2775" s="28" t="n">
        <f aca="false">P2775*$M2775</f>
        <v>0</v>
      </c>
      <c r="R2775" s="28"/>
      <c r="S2775" s="28" t="n">
        <f aca="false">R2775*$M2775</f>
        <v>0</v>
      </c>
      <c r="T2775" s="28"/>
      <c r="U2775" s="28" t="n">
        <f aca="false">T2775*$M2775</f>
        <v>0</v>
      </c>
      <c r="V2775" s="28"/>
      <c r="W2775" s="28" t="n">
        <f aca="false">V2775*$M2775</f>
        <v>0</v>
      </c>
      <c r="X2775" s="28"/>
      <c r="Y2775" s="28" t="n">
        <f aca="false">X2775*$M2775</f>
        <v>0</v>
      </c>
      <c r="Z2775" s="28"/>
      <c r="AA2775" s="28" t="n">
        <f aca="false">Z2775*$M2775</f>
        <v>0</v>
      </c>
      <c r="AB2775" s="28"/>
      <c r="AC2775" s="28" t="n">
        <f aca="false">AB2775*$M2775</f>
        <v>0</v>
      </c>
      <c r="AD2775" s="28"/>
      <c r="AE2775" s="28" t="n">
        <f aca="false">AD2775*$M2775</f>
        <v>0</v>
      </c>
      <c r="AF2775" s="28"/>
      <c r="AG2775" s="28" t="n">
        <f aca="false">AF2775*$M2775</f>
        <v>0</v>
      </c>
      <c r="AH2775" s="28" t="n">
        <v>72036</v>
      </c>
      <c r="AI2775" s="28" t="n">
        <v>1296648</v>
      </c>
      <c r="AJ2775" s="28"/>
      <c r="AK2775" s="28" t="n">
        <f aca="false">AJ2775*$M2775</f>
        <v>0</v>
      </c>
      <c r="AL2775" s="28"/>
      <c r="AM2775" s="28" t="n">
        <f aca="false">AL2775*$M2775</f>
        <v>0</v>
      </c>
      <c r="AN2775" s="28"/>
      <c r="AO2775" s="28" t="n">
        <f aca="false">AN2775*$M2775</f>
        <v>0</v>
      </c>
      <c r="AP2775" s="28"/>
      <c r="AQ2775" s="28" t="n">
        <f aca="false">AP2775*$M2775</f>
        <v>0</v>
      </c>
      <c r="AR2775" s="28"/>
      <c r="AS2775" s="28" t="n">
        <f aca="false">AR2775*$M2775</f>
        <v>0</v>
      </c>
      <c r="AT2775" s="28"/>
      <c r="AU2775" s="28" t="n">
        <f aca="false">AT2775*$M2775</f>
        <v>0</v>
      </c>
      <c r="AV2775" s="28"/>
      <c r="AW2775" s="28" t="n">
        <f aca="false">AV2775*$M2775</f>
        <v>0</v>
      </c>
      <c r="AX2775" s="28"/>
      <c r="AY2775" s="28" t="n">
        <f aca="false">AX2775*$M2775</f>
        <v>0</v>
      </c>
      <c r="AZ2775" s="30" t="n">
        <v>72036</v>
      </c>
      <c r="BA2775" s="11" t="n">
        <v>1296648</v>
      </c>
      <c r="BB2775" s="31" t="n">
        <f aca="false">SUM(Q2775,S2775,U2775,W2775,Y2775,AA2775,AC2775,AE2775,AG2775,AI2775,AK2775,AM2775,AO2775,AQ2775,AS2775,AU2775,AW2775,AY2775)</f>
        <v>1296648</v>
      </c>
      <c r="BC2775" s="28" t="n">
        <f aca="false">BA2775-BB2775</f>
        <v>0</v>
      </c>
      <c r="BD2775" s="32" t="n">
        <f aca="false">SUM(P2775,R2775,T2775,V2775,X2775,Z2775,AB2775,AD2775,AF2775,AH2775,AJ2775,AL2775,AN2775,AP2775,AR2775,AT2775,AV2775,AX2775)</f>
        <v>72036</v>
      </c>
      <c r="BE2775" s="33" t="n">
        <f aca="false">AZ2775-BD2775</f>
        <v>0</v>
      </c>
      <c r="BF2775" s="34" t="n">
        <f aca="false">BD2775*M2775</f>
        <v>1296648</v>
      </c>
      <c r="BG2775" s="35" t="n">
        <f aca="false">BA2775-BF2775</f>
        <v>0</v>
      </c>
      <c r="BH2775" s="19" t="str">
        <f aca="false">IF(BG2775=0,"",IF(BG2775&lt;&gt;BA2775,"erreur de calcul",IF(BD2775&lt;&gt;0,"pas de prix",IF(M2775&lt;&gt; 0,"pas de quantité","pas de prix, ni de quantité"))))</f>
        <v/>
      </c>
      <c r="BI2775" s="19"/>
    </row>
    <row r="2776" customFormat="false" ht="15" hidden="false" customHeight="false" outlineLevel="0" collapsed="false">
      <c r="A2776" s="0" t="n">
        <v>29</v>
      </c>
      <c r="B2776" s="8" t="s">
        <v>24</v>
      </c>
      <c r="C2776" s="9" t="s">
        <v>25</v>
      </c>
      <c r="D2776" s="9" t="s">
        <v>26</v>
      </c>
      <c r="E2776" s="10" t="n">
        <v>1789</v>
      </c>
      <c r="F2776" s="9" t="s">
        <v>27</v>
      </c>
      <c r="G2776" s="9" t="s">
        <v>27</v>
      </c>
      <c r="H2776" s="11" t="n">
        <v>26</v>
      </c>
      <c r="I2776" s="11" t="s">
        <v>400</v>
      </c>
      <c r="J2776" s="14" t="n">
        <v>19</v>
      </c>
      <c r="K2776" s="14"/>
      <c r="L2776" s="16"/>
      <c r="M2776" s="27" t="n">
        <f aca="false">J2776+(K2776/20)+(L2776/240)</f>
        <v>19</v>
      </c>
      <c r="N2776" s="17" t="s">
        <v>66</v>
      </c>
      <c r="O2776" s="11"/>
      <c r="P2776" s="28"/>
      <c r="Q2776" s="28" t="n">
        <f aca="false">P2776*$M2776</f>
        <v>0</v>
      </c>
      <c r="R2776" s="28"/>
      <c r="S2776" s="28" t="n">
        <f aca="false">R2776*$M2776</f>
        <v>0</v>
      </c>
      <c r="T2776" s="28"/>
      <c r="U2776" s="28" t="n">
        <f aca="false">T2776*$M2776</f>
        <v>0</v>
      </c>
      <c r="V2776" s="28"/>
      <c r="W2776" s="28" t="n">
        <f aca="false">V2776*$M2776</f>
        <v>0</v>
      </c>
      <c r="X2776" s="28"/>
      <c r="Y2776" s="28" t="n">
        <f aca="false">X2776*$M2776</f>
        <v>0</v>
      </c>
      <c r="Z2776" s="28"/>
      <c r="AA2776" s="28" t="n">
        <f aca="false">Z2776*$M2776</f>
        <v>0</v>
      </c>
      <c r="AB2776" s="28" t="n">
        <v>1176</v>
      </c>
      <c r="AC2776" s="28" t="n">
        <v>22344</v>
      </c>
      <c r="AD2776" s="28"/>
      <c r="AE2776" s="28" t="n">
        <f aca="false">AD2776*$M2776</f>
        <v>0</v>
      </c>
      <c r="AF2776" s="28"/>
      <c r="AG2776" s="28" t="n">
        <f aca="false">AF2776*$M2776</f>
        <v>0</v>
      </c>
      <c r="AH2776" s="28"/>
      <c r="AI2776" s="28" t="n">
        <f aca="false">AH2776*$M2776</f>
        <v>0</v>
      </c>
      <c r="AJ2776" s="28"/>
      <c r="AK2776" s="28" t="n">
        <f aca="false">AJ2776*$M2776</f>
        <v>0</v>
      </c>
      <c r="AL2776" s="28"/>
      <c r="AM2776" s="28" t="n">
        <f aca="false">AL2776*$M2776</f>
        <v>0</v>
      </c>
      <c r="AN2776" s="28"/>
      <c r="AO2776" s="28" t="n">
        <f aca="false">AN2776*$M2776</f>
        <v>0</v>
      </c>
      <c r="AP2776" s="28"/>
      <c r="AQ2776" s="28" t="n">
        <f aca="false">AP2776*$M2776</f>
        <v>0</v>
      </c>
      <c r="AR2776" s="28"/>
      <c r="AS2776" s="28" t="n">
        <f aca="false">AR2776*$M2776</f>
        <v>0</v>
      </c>
      <c r="AT2776" s="28"/>
      <c r="AU2776" s="28" t="n">
        <f aca="false">AT2776*$M2776</f>
        <v>0</v>
      </c>
      <c r="AV2776" s="28"/>
      <c r="AW2776" s="28" t="n">
        <f aca="false">AV2776*$M2776</f>
        <v>0</v>
      </c>
      <c r="AX2776" s="28"/>
      <c r="AY2776" s="28" t="n">
        <f aca="false">AX2776*$M2776</f>
        <v>0</v>
      </c>
      <c r="AZ2776" s="30" t="n">
        <v>1176</v>
      </c>
      <c r="BA2776" s="11" t="n">
        <v>22344</v>
      </c>
      <c r="BB2776" s="31" t="n">
        <f aca="false">SUM(Q2776,S2776,U2776,W2776,Y2776,AA2776,AC2776,AE2776,AG2776,AI2776,AK2776,AM2776,AO2776,AQ2776,AS2776,AU2776,AW2776,AY2776)</f>
        <v>22344</v>
      </c>
      <c r="BC2776" s="28" t="n">
        <f aca="false">BA2776-BB2776</f>
        <v>0</v>
      </c>
      <c r="BD2776" s="32" t="n">
        <f aca="false">SUM(P2776,R2776,T2776,V2776,X2776,Z2776,AB2776,AD2776,AF2776,AH2776,AJ2776,AL2776,AN2776,AP2776,AR2776,AT2776,AV2776,AX2776)</f>
        <v>1176</v>
      </c>
      <c r="BE2776" s="33" t="n">
        <f aca="false">AZ2776-BD2776</f>
        <v>0</v>
      </c>
      <c r="BF2776" s="34" t="n">
        <f aca="false">BD2776*M2776</f>
        <v>22344</v>
      </c>
      <c r="BG2776" s="35" t="n">
        <f aca="false">BA2776-BF2776</f>
        <v>0</v>
      </c>
      <c r="BH2776" s="19" t="str">
        <f aca="false">IF(BG2776=0,"",IF(BG2776&lt;&gt;BA2776,"erreur de calcul",IF(BD2776&lt;&gt;0,"pas de prix",IF(M2776&lt;&gt; 0,"pas de quantité","pas de prix, ni de quantité"))))</f>
        <v/>
      </c>
      <c r="BI2776" s="19"/>
    </row>
    <row r="2777" customFormat="false" ht="15" hidden="false" customHeight="false" outlineLevel="0" collapsed="false">
      <c r="A2777" s="0" t="n">
        <v>30</v>
      </c>
      <c r="B2777" s="8" t="s">
        <v>24</v>
      </c>
      <c r="C2777" s="9" t="s">
        <v>25</v>
      </c>
      <c r="D2777" s="9" t="s">
        <v>26</v>
      </c>
      <c r="E2777" s="10" t="n">
        <v>1789</v>
      </c>
      <c r="F2777" s="9" t="s">
        <v>27</v>
      </c>
      <c r="G2777" s="9" t="s">
        <v>27</v>
      </c>
      <c r="H2777" s="11" t="n">
        <v>26</v>
      </c>
      <c r="I2777" s="11" t="s">
        <v>401</v>
      </c>
      <c r="J2777" s="14" t="n">
        <v>20</v>
      </c>
      <c r="K2777" s="14"/>
      <c r="L2777" s="16"/>
      <c r="M2777" s="27" t="n">
        <f aca="false">J2777+(K2777/20)+(L2777/240)</f>
        <v>20</v>
      </c>
      <c r="N2777" s="17" t="s">
        <v>66</v>
      </c>
      <c r="O2777" s="11"/>
      <c r="P2777" s="28"/>
      <c r="Q2777" s="28" t="n">
        <f aca="false">P2777*$M2777</f>
        <v>0</v>
      </c>
      <c r="R2777" s="28"/>
      <c r="S2777" s="28" t="n">
        <f aca="false">R2777*$M2777</f>
        <v>0</v>
      </c>
      <c r="T2777" s="28" t="n">
        <v>7478</v>
      </c>
      <c r="U2777" s="28" t="n">
        <v>149560</v>
      </c>
      <c r="V2777" s="28" t="n">
        <v>3386</v>
      </c>
      <c r="W2777" s="36" t="n">
        <v>66720</v>
      </c>
      <c r="X2777" s="28" t="n">
        <v>2233</v>
      </c>
      <c r="Y2777" s="28" t="n">
        <v>44660</v>
      </c>
      <c r="Z2777" s="28" t="n">
        <v>867</v>
      </c>
      <c r="AA2777" s="28" t="n">
        <v>17340</v>
      </c>
      <c r="AB2777" s="28" t="n">
        <v>32380</v>
      </c>
      <c r="AC2777" s="28" t="n">
        <v>647600</v>
      </c>
      <c r="AD2777" s="28"/>
      <c r="AE2777" s="28" t="n">
        <f aca="false">AD2777*$M2777</f>
        <v>0</v>
      </c>
      <c r="AF2777" s="28"/>
      <c r="AG2777" s="28" t="n">
        <f aca="false">AF2777*$M2777</f>
        <v>0</v>
      </c>
      <c r="AH2777" s="28" t="n">
        <v>12038</v>
      </c>
      <c r="AI2777" s="28" t="n">
        <v>240760</v>
      </c>
      <c r="AJ2777" s="28"/>
      <c r="AK2777" s="28" t="n">
        <f aca="false">AJ2777*$M2777</f>
        <v>0</v>
      </c>
      <c r="AL2777" s="28"/>
      <c r="AM2777" s="28" t="n">
        <f aca="false">AL2777*$M2777</f>
        <v>0</v>
      </c>
      <c r="AN2777" s="28"/>
      <c r="AO2777" s="28" t="n">
        <f aca="false">AN2777*$M2777</f>
        <v>0</v>
      </c>
      <c r="AP2777" s="28"/>
      <c r="AQ2777" s="28" t="n">
        <f aca="false">AP2777*$M2777</f>
        <v>0</v>
      </c>
      <c r="AR2777" s="28"/>
      <c r="AS2777" s="28" t="n">
        <f aca="false">AR2777*$M2777</f>
        <v>0</v>
      </c>
      <c r="AT2777" s="28"/>
      <c r="AU2777" s="28" t="n">
        <f aca="false">AT2777*$M2777</f>
        <v>0</v>
      </c>
      <c r="AV2777" s="28"/>
      <c r="AW2777" s="28" t="n">
        <f aca="false">AV2777*$M2777</f>
        <v>0</v>
      </c>
      <c r="AX2777" s="28"/>
      <c r="AY2777" s="28" t="n">
        <f aca="false">AX2777*$M2777</f>
        <v>0</v>
      </c>
      <c r="AZ2777" s="30" t="n">
        <v>58382</v>
      </c>
      <c r="BA2777" s="11" t="n">
        <v>1166640</v>
      </c>
      <c r="BB2777" s="31" t="n">
        <f aca="false">SUM(Q2777,S2777,U2777,W2777,Y2777,AA2777,AC2777,AE2777,AG2777,AI2777,AK2777,AM2777,AO2777,AQ2777,AS2777,AU2777,AW2777,AY2777)</f>
        <v>1166640</v>
      </c>
      <c r="BC2777" s="28" t="n">
        <f aca="false">BA2777-BB2777</f>
        <v>0</v>
      </c>
      <c r="BD2777" s="32" t="n">
        <f aca="false">SUM(P2777,R2777,T2777,V2777,X2777,Z2777,AB2777,AD2777,AF2777,AH2777,AJ2777,AL2777,AN2777,AP2777,AR2777,AT2777,AV2777,AX2777)</f>
        <v>58382</v>
      </c>
      <c r="BE2777" s="33" t="n">
        <f aca="false">AZ2777-BD2777</f>
        <v>0</v>
      </c>
      <c r="BF2777" s="34" t="n">
        <f aca="false">BD2777*M2777</f>
        <v>1167640</v>
      </c>
      <c r="BG2777" s="35" t="n">
        <f aca="false">BA2777-BF2777</f>
        <v>-1000</v>
      </c>
      <c r="BH2777" s="19" t="str">
        <f aca="false">IF(BG2777=0,"",IF(BG2777&lt;&gt;BA2777,"erreur de calcul",IF(BD2777&lt;&gt;0,"pas de prix",IF(M2777&lt;&gt; 0,"pas de quantité","pas de prix, ni de quantité"))))</f>
        <v>erreur de calcul</v>
      </c>
      <c r="BI2777" s="19"/>
    </row>
    <row r="2778" customFormat="false" ht="15" hidden="false" customHeight="false" outlineLevel="0" collapsed="false">
      <c r="A2778" s="0" t="n">
        <v>31</v>
      </c>
      <c r="B2778" s="8" t="s">
        <v>24</v>
      </c>
      <c r="C2778" s="9" t="s">
        <v>25</v>
      </c>
      <c r="D2778" s="9" t="s">
        <v>26</v>
      </c>
      <c r="E2778" s="10" t="n">
        <v>1789</v>
      </c>
      <c r="F2778" s="9" t="s">
        <v>27</v>
      </c>
      <c r="G2778" s="9" t="s">
        <v>27</v>
      </c>
      <c r="H2778" s="11" t="n">
        <v>26</v>
      </c>
      <c r="I2778" s="11" t="s">
        <v>402</v>
      </c>
      <c r="J2778" s="14" t="n">
        <v>17</v>
      </c>
      <c r="K2778" s="14"/>
      <c r="L2778" s="16"/>
      <c r="M2778" s="27" t="n">
        <f aca="false">J2778+(K2778/20)+(L2778/240)</f>
        <v>17</v>
      </c>
      <c r="N2778" s="17" t="s">
        <v>66</v>
      </c>
      <c r="O2778" s="11"/>
      <c r="P2778" s="28"/>
      <c r="Q2778" s="28" t="n">
        <f aca="false">P2778*$M2778</f>
        <v>0</v>
      </c>
      <c r="R2778" s="28"/>
      <c r="S2778" s="28" t="n">
        <f aca="false">R2778*$M2778</f>
        <v>0</v>
      </c>
      <c r="T2778" s="28" t="n">
        <v>126481</v>
      </c>
      <c r="U2778" s="28" t="n">
        <v>2150177</v>
      </c>
      <c r="V2778" s="28"/>
      <c r="W2778" s="28" t="n">
        <f aca="false">V2778*$M2778</f>
        <v>0</v>
      </c>
      <c r="X2778" s="28"/>
      <c r="Y2778" s="28" t="n">
        <f aca="false">X2778*$M2778</f>
        <v>0</v>
      </c>
      <c r="Z2778" s="28"/>
      <c r="AA2778" s="28" t="n">
        <f aca="false">Z2778*$M2778</f>
        <v>0</v>
      </c>
      <c r="AB2778" s="28"/>
      <c r="AC2778" s="28" t="n">
        <f aca="false">AB2778*$M2778</f>
        <v>0</v>
      </c>
      <c r="AD2778" s="28"/>
      <c r="AE2778" s="28" t="n">
        <f aca="false">AD2778*$M2778</f>
        <v>0</v>
      </c>
      <c r="AF2778" s="28"/>
      <c r="AG2778" s="28" t="n">
        <f aca="false">AF2778*$M2778</f>
        <v>0</v>
      </c>
      <c r="AH2778" s="28"/>
      <c r="AI2778" s="28" t="n">
        <f aca="false">AH2778*$M2778</f>
        <v>0</v>
      </c>
      <c r="AJ2778" s="28"/>
      <c r="AK2778" s="28" t="n">
        <f aca="false">AJ2778*$M2778</f>
        <v>0</v>
      </c>
      <c r="AL2778" s="28"/>
      <c r="AM2778" s="28" t="n">
        <f aca="false">AL2778*$M2778</f>
        <v>0</v>
      </c>
      <c r="AN2778" s="28"/>
      <c r="AO2778" s="28" t="n">
        <f aca="false">AN2778*$M2778</f>
        <v>0</v>
      </c>
      <c r="AP2778" s="28"/>
      <c r="AQ2778" s="28" t="n">
        <f aca="false">AP2778*$M2778</f>
        <v>0</v>
      </c>
      <c r="AR2778" s="28"/>
      <c r="AS2778" s="28" t="n">
        <f aca="false">AR2778*$M2778</f>
        <v>0</v>
      </c>
      <c r="AT2778" s="28"/>
      <c r="AU2778" s="28" t="n">
        <f aca="false">AT2778*$M2778</f>
        <v>0</v>
      </c>
      <c r="AV2778" s="28"/>
      <c r="AW2778" s="28" t="n">
        <f aca="false">AV2778*$M2778</f>
        <v>0</v>
      </c>
      <c r="AX2778" s="28"/>
      <c r="AY2778" s="28" t="n">
        <f aca="false">AX2778*$M2778</f>
        <v>0</v>
      </c>
      <c r="AZ2778" s="30" t="n">
        <v>126481</v>
      </c>
      <c r="BA2778" s="11" t="n">
        <v>2150177</v>
      </c>
      <c r="BB2778" s="31" t="n">
        <f aca="false">SUM(Q2778,S2778,U2778,W2778,Y2778,AA2778,AC2778,AE2778,AG2778,AI2778,AK2778,AM2778,AO2778,AQ2778,AS2778,AU2778,AW2778,AY2778)</f>
        <v>2150177</v>
      </c>
      <c r="BC2778" s="28" t="n">
        <f aca="false">BA2778-BB2778</f>
        <v>0</v>
      </c>
      <c r="BD2778" s="32" t="n">
        <f aca="false">SUM(P2778,R2778,T2778,V2778,X2778,Z2778,AB2778,AD2778,AF2778,AH2778,AJ2778,AL2778,AN2778,AP2778,AR2778,AT2778,AV2778,AX2778)</f>
        <v>126481</v>
      </c>
      <c r="BE2778" s="33" t="n">
        <f aca="false">AZ2778-BD2778</f>
        <v>0</v>
      </c>
      <c r="BF2778" s="34" t="n">
        <f aca="false">BD2778*M2778</f>
        <v>2150177</v>
      </c>
      <c r="BG2778" s="35" t="n">
        <f aca="false">BA2778-BF2778</f>
        <v>0</v>
      </c>
      <c r="BH2778" s="19" t="str">
        <f aca="false">IF(BG2778=0,"",IF(BG2778&lt;&gt;BA2778,"erreur de calcul",IF(BD2778&lt;&gt;0,"pas de prix",IF(M2778&lt;&gt; 0,"pas de quantité","pas de prix, ni de quantité"))))</f>
        <v/>
      </c>
      <c r="BI2778" s="19"/>
    </row>
    <row r="2779" customFormat="false" ht="15" hidden="false" customHeight="false" outlineLevel="0" collapsed="false">
      <c r="A2779" s="0" t="n">
        <v>32</v>
      </c>
      <c r="B2779" s="8" t="s">
        <v>24</v>
      </c>
      <c r="C2779" s="9" t="s">
        <v>25</v>
      </c>
      <c r="D2779" s="9" t="s">
        <v>26</v>
      </c>
      <c r="E2779" s="10" t="n">
        <v>1789</v>
      </c>
      <c r="F2779" s="9" t="s">
        <v>27</v>
      </c>
      <c r="G2779" s="9" t="s">
        <v>27</v>
      </c>
      <c r="H2779" s="11" t="n">
        <v>26</v>
      </c>
      <c r="I2779" s="11" t="s">
        <v>403</v>
      </c>
      <c r="J2779" s="14" t="n">
        <v>28</v>
      </c>
      <c r="K2779" s="14"/>
      <c r="L2779" s="16"/>
      <c r="M2779" s="27" t="n">
        <f aca="false">J2779+(K2779/20)+(L2779/240)</f>
        <v>28</v>
      </c>
      <c r="N2779" s="17" t="s">
        <v>66</v>
      </c>
      <c r="O2779" s="11"/>
      <c r="P2779" s="28"/>
      <c r="Q2779" s="28" t="n">
        <f aca="false">P2779*$M2779</f>
        <v>0</v>
      </c>
      <c r="R2779" s="28"/>
      <c r="S2779" s="28" t="n">
        <f aca="false">R2779*$M2779</f>
        <v>0</v>
      </c>
      <c r="T2779" s="28"/>
      <c r="U2779" s="28" t="n">
        <f aca="false">T2779*$M2779</f>
        <v>0</v>
      </c>
      <c r="V2779" s="28" t="n">
        <v>1923</v>
      </c>
      <c r="W2779" s="28" t="n">
        <v>53844</v>
      </c>
      <c r="X2779" s="28" t="n">
        <v>7280</v>
      </c>
      <c r="Y2779" s="36" t="n">
        <v>203860</v>
      </c>
      <c r="Z2779" s="28"/>
      <c r="AA2779" s="28" t="n">
        <f aca="false">Z2779*$M2779</f>
        <v>0</v>
      </c>
      <c r="AB2779" s="28" t="n">
        <v>128803</v>
      </c>
      <c r="AC2779" s="28" t="n">
        <v>3606484</v>
      </c>
      <c r="AD2779" s="28"/>
      <c r="AE2779" s="28" t="n">
        <f aca="false">AD2779*$M2779</f>
        <v>0</v>
      </c>
      <c r="AF2779" s="28"/>
      <c r="AG2779" s="28" t="n">
        <f aca="false">AF2779*$M2779</f>
        <v>0</v>
      </c>
      <c r="AH2779" s="28"/>
      <c r="AI2779" s="28" t="n">
        <f aca="false">AH2779*$M2779</f>
        <v>0</v>
      </c>
      <c r="AJ2779" s="28"/>
      <c r="AK2779" s="28" t="n">
        <f aca="false">AJ2779*$M2779</f>
        <v>0</v>
      </c>
      <c r="AL2779" s="28"/>
      <c r="AM2779" s="28" t="n">
        <f aca="false">AL2779*$M2779</f>
        <v>0</v>
      </c>
      <c r="AN2779" s="28"/>
      <c r="AO2779" s="28" t="n">
        <f aca="false">AN2779*$M2779</f>
        <v>0</v>
      </c>
      <c r="AP2779" s="28"/>
      <c r="AQ2779" s="28" t="n">
        <f aca="false">AP2779*$M2779</f>
        <v>0</v>
      </c>
      <c r="AR2779" s="28"/>
      <c r="AS2779" s="28" t="n">
        <f aca="false">AR2779*$M2779</f>
        <v>0</v>
      </c>
      <c r="AT2779" s="28"/>
      <c r="AU2779" s="28" t="n">
        <f aca="false">AT2779*$M2779</f>
        <v>0</v>
      </c>
      <c r="AV2779" s="28"/>
      <c r="AW2779" s="28" t="n">
        <f aca="false">AV2779*$M2779</f>
        <v>0</v>
      </c>
      <c r="AX2779" s="28"/>
      <c r="AY2779" s="28" t="n">
        <f aca="false">AX2779*$M2779</f>
        <v>0</v>
      </c>
      <c r="AZ2779" s="30" t="n">
        <v>138006</v>
      </c>
      <c r="BA2779" s="11" t="n">
        <v>3864188</v>
      </c>
      <c r="BB2779" s="31" t="n">
        <f aca="false">SUM(Q2779,S2779,U2779,W2779,Y2779,AA2779,AC2779,AE2779,AG2779,AI2779,AK2779,AM2779,AO2779,AQ2779,AS2779,AU2779,AW2779,AY2779)</f>
        <v>3864188</v>
      </c>
      <c r="BC2779" s="28" t="n">
        <f aca="false">BA2779-BB2779</f>
        <v>0</v>
      </c>
      <c r="BD2779" s="32" t="n">
        <f aca="false">SUM(P2779,R2779,T2779,V2779,X2779,Z2779,AB2779,AD2779,AF2779,AH2779,AJ2779,AL2779,AN2779,AP2779,AR2779,AT2779,AV2779,AX2779)</f>
        <v>138006</v>
      </c>
      <c r="BE2779" s="33" t="n">
        <f aca="false">AZ2779-BD2779</f>
        <v>0</v>
      </c>
      <c r="BF2779" s="34" t="n">
        <f aca="false">BD2779*M2779</f>
        <v>3864168</v>
      </c>
      <c r="BG2779" s="35" t="n">
        <f aca="false">BA2779-BF2779</f>
        <v>20</v>
      </c>
      <c r="BH2779" s="19" t="str">
        <f aca="false">IF(BG2779=0,"",IF(BG2779&lt;&gt;BA2779,"erreur de calcul",IF(BD2779&lt;&gt;0,"pas de prix",IF(M2779&lt;&gt; 0,"pas de quantité","pas de prix, ni de quantité"))))</f>
        <v>erreur de calcul</v>
      </c>
      <c r="BI2779" s="19"/>
    </row>
    <row r="2780" customFormat="false" ht="15" hidden="false" customHeight="false" outlineLevel="0" collapsed="false">
      <c r="A2780" s="0" t="n">
        <v>33</v>
      </c>
      <c r="B2780" s="8" t="s">
        <v>24</v>
      </c>
      <c r="C2780" s="9" t="s">
        <v>25</v>
      </c>
      <c r="D2780" s="9" t="s">
        <v>26</v>
      </c>
      <c r="E2780" s="10" t="n">
        <v>1789</v>
      </c>
      <c r="F2780" s="9" t="s">
        <v>27</v>
      </c>
      <c r="G2780" s="9" t="s">
        <v>27</v>
      </c>
      <c r="H2780" s="11" t="n">
        <v>26</v>
      </c>
      <c r="I2780" s="11" t="s">
        <v>404</v>
      </c>
      <c r="J2780" s="14"/>
      <c r="K2780" s="14" t="n">
        <v>30</v>
      </c>
      <c r="L2780" s="16"/>
      <c r="M2780" s="27" t="n">
        <f aca="false">J2780+(K2780/20)+(L2780/240)</f>
        <v>1.5</v>
      </c>
      <c r="N2780" s="17" t="s">
        <v>66</v>
      </c>
      <c r="O2780" s="11"/>
      <c r="P2780" s="28"/>
      <c r="Q2780" s="28" t="n">
        <f aca="false">P2780*$M2780</f>
        <v>0</v>
      </c>
      <c r="R2780" s="28"/>
      <c r="S2780" s="28" t="n">
        <f aca="false">R2780*$M2780</f>
        <v>0</v>
      </c>
      <c r="T2780" s="28" t="n">
        <v>11245</v>
      </c>
      <c r="U2780" s="28" t="n">
        <v>16867</v>
      </c>
      <c r="V2780" s="28"/>
      <c r="W2780" s="28" t="n">
        <f aca="false">V2780*$M2780</f>
        <v>0</v>
      </c>
      <c r="X2780" s="28"/>
      <c r="Y2780" s="28" t="n">
        <f aca="false">X2780*$M2780</f>
        <v>0</v>
      </c>
      <c r="Z2780" s="28"/>
      <c r="AA2780" s="28" t="n">
        <f aca="false">Z2780*$M2780</f>
        <v>0</v>
      </c>
      <c r="AB2780" s="28"/>
      <c r="AC2780" s="28" t="n">
        <f aca="false">AB2780*$M2780</f>
        <v>0</v>
      </c>
      <c r="AD2780" s="28"/>
      <c r="AE2780" s="28" t="n">
        <f aca="false">AD2780*$M2780</f>
        <v>0</v>
      </c>
      <c r="AF2780" s="28"/>
      <c r="AG2780" s="28" t="n">
        <f aca="false">AF2780*$M2780</f>
        <v>0</v>
      </c>
      <c r="AH2780" s="28"/>
      <c r="AI2780" s="28" t="n">
        <f aca="false">AH2780*$M2780</f>
        <v>0</v>
      </c>
      <c r="AJ2780" s="28"/>
      <c r="AK2780" s="28" t="n">
        <f aca="false">AJ2780*$M2780</f>
        <v>0</v>
      </c>
      <c r="AL2780" s="28"/>
      <c r="AM2780" s="28" t="n">
        <f aca="false">AL2780*$M2780</f>
        <v>0</v>
      </c>
      <c r="AN2780" s="28"/>
      <c r="AO2780" s="28" t="n">
        <f aca="false">AN2780*$M2780</f>
        <v>0</v>
      </c>
      <c r="AP2780" s="28"/>
      <c r="AQ2780" s="28" t="n">
        <f aca="false">AP2780*$M2780</f>
        <v>0</v>
      </c>
      <c r="AR2780" s="28"/>
      <c r="AS2780" s="28" t="n">
        <f aca="false">AR2780*$M2780</f>
        <v>0</v>
      </c>
      <c r="AT2780" s="28"/>
      <c r="AU2780" s="28" t="n">
        <f aca="false">AT2780*$M2780</f>
        <v>0</v>
      </c>
      <c r="AV2780" s="28"/>
      <c r="AW2780" s="28" t="n">
        <f aca="false">AV2780*$M2780</f>
        <v>0</v>
      </c>
      <c r="AX2780" s="28"/>
      <c r="AY2780" s="28" t="n">
        <f aca="false">AX2780*$M2780</f>
        <v>0</v>
      </c>
      <c r="AZ2780" s="30" t="n">
        <v>11245</v>
      </c>
      <c r="BA2780" s="11" t="n">
        <v>16867</v>
      </c>
      <c r="BB2780" s="31" t="n">
        <f aca="false">SUM(Q2780,S2780,U2780,W2780,Y2780,AA2780,AC2780,AE2780,AG2780,AI2780,AK2780,AM2780,AO2780,AQ2780,AS2780,AU2780,AW2780,AY2780)</f>
        <v>16867</v>
      </c>
      <c r="BC2780" s="28" t="n">
        <f aca="false">BA2780-BB2780</f>
        <v>0</v>
      </c>
      <c r="BD2780" s="32" t="n">
        <f aca="false">SUM(P2780,R2780,T2780,V2780,X2780,Z2780,AB2780,AD2780,AF2780,AH2780,AJ2780,AL2780,AN2780,AP2780,AR2780,AT2780,AV2780,AX2780)</f>
        <v>11245</v>
      </c>
      <c r="BE2780" s="33" t="n">
        <f aca="false">AZ2780-BD2780</f>
        <v>0</v>
      </c>
      <c r="BF2780" s="34" t="n">
        <f aca="false">BD2780*M2780</f>
        <v>16867.5</v>
      </c>
      <c r="BG2780" s="35" t="n">
        <f aca="false">BA2780-BF2780</f>
        <v>-0.5</v>
      </c>
      <c r="BH2780" s="19" t="str">
        <f aca="false">IF(BG2780=0,"",IF(BG2780&lt;&gt;BA2780,"erreur de calcul",IF(BD2780&lt;&gt;0,"pas de prix",IF(M2780&lt;&gt; 0,"pas de quantité","pas de prix, ni de quantité"))))</f>
        <v>erreur de calcul</v>
      </c>
      <c r="BI2780" s="19"/>
    </row>
    <row r="2781" customFormat="false" ht="15" hidden="false" customHeight="false" outlineLevel="0" collapsed="false">
      <c r="A2781" s="0" t="n">
        <v>34</v>
      </c>
      <c r="B2781" s="8" t="s">
        <v>24</v>
      </c>
      <c r="C2781" s="9" t="s">
        <v>25</v>
      </c>
      <c r="D2781" s="9" t="s">
        <v>26</v>
      </c>
      <c r="E2781" s="10" t="n">
        <v>1789</v>
      </c>
      <c r="F2781" s="9" t="s">
        <v>27</v>
      </c>
      <c r="G2781" s="9" t="s">
        <v>27</v>
      </c>
      <c r="H2781" s="11" t="n">
        <v>26</v>
      </c>
      <c r="I2781" s="11" t="s">
        <v>405</v>
      </c>
      <c r="J2781" s="14"/>
      <c r="K2781" s="14" t="n">
        <v>40</v>
      </c>
      <c r="L2781" s="16"/>
      <c r="M2781" s="27" t="n">
        <f aca="false">J2781+(K2781/20)+(L2781/240)</f>
        <v>2</v>
      </c>
      <c r="N2781" s="17" t="s">
        <v>66</v>
      </c>
      <c r="O2781" s="11"/>
      <c r="P2781" s="28"/>
      <c r="Q2781" s="28" t="n">
        <f aca="false">P2781*$M2781</f>
        <v>0</v>
      </c>
      <c r="R2781" s="28"/>
      <c r="S2781" s="28" t="n">
        <f aca="false">R2781*$M2781</f>
        <v>0</v>
      </c>
      <c r="T2781" s="28"/>
      <c r="U2781" s="28" t="n">
        <f aca="false">T2781*$M2781</f>
        <v>0</v>
      </c>
      <c r="V2781" s="28"/>
      <c r="W2781" s="28" t="n">
        <f aca="false">V2781*$M2781</f>
        <v>0</v>
      </c>
      <c r="X2781" s="28"/>
      <c r="Y2781" s="28" t="n">
        <f aca="false">X2781*$M2781</f>
        <v>0</v>
      </c>
      <c r="Z2781" s="28"/>
      <c r="AA2781" s="28" t="n">
        <f aca="false">Z2781*$M2781</f>
        <v>0</v>
      </c>
      <c r="AB2781" s="28"/>
      <c r="AC2781" s="28" t="n">
        <f aca="false">AB2781*$M2781</f>
        <v>0</v>
      </c>
      <c r="AD2781" s="28"/>
      <c r="AE2781" s="28" t="n">
        <f aca="false">AD2781*$M2781</f>
        <v>0</v>
      </c>
      <c r="AF2781" s="28"/>
      <c r="AG2781" s="28" t="n">
        <f aca="false">AF2781*$M2781</f>
        <v>0</v>
      </c>
      <c r="AH2781" s="28" t="n">
        <v>9380</v>
      </c>
      <c r="AI2781" s="28" t="n">
        <v>18760</v>
      </c>
      <c r="AJ2781" s="28"/>
      <c r="AK2781" s="28" t="n">
        <f aca="false">AJ2781*$M2781</f>
        <v>0</v>
      </c>
      <c r="AL2781" s="28"/>
      <c r="AM2781" s="28" t="n">
        <f aca="false">AL2781*$M2781</f>
        <v>0</v>
      </c>
      <c r="AN2781" s="28"/>
      <c r="AO2781" s="28" t="n">
        <f aca="false">AN2781*$M2781</f>
        <v>0</v>
      </c>
      <c r="AP2781" s="28"/>
      <c r="AQ2781" s="28" t="n">
        <f aca="false">AP2781*$M2781</f>
        <v>0</v>
      </c>
      <c r="AR2781" s="28"/>
      <c r="AS2781" s="28" t="n">
        <f aca="false">AR2781*$M2781</f>
        <v>0</v>
      </c>
      <c r="AT2781" s="28"/>
      <c r="AU2781" s="28" t="n">
        <f aca="false">AT2781*$M2781</f>
        <v>0</v>
      </c>
      <c r="AV2781" s="28"/>
      <c r="AW2781" s="28" t="n">
        <f aca="false">AV2781*$M2781</f>
        <v>0</v>
      </c>
      <c r="AX2781" s="28"/>
      <c r="AY2781" s="28" t="n">
        <f aca="false">AX2781*$M2781</f>
        <v>0</v>
      </c>
      <c r="AZ2781" s="30" t="n">
        <v>9380</v>
      </c>
      <c r="BA2781" s="11" t="n">
        <v>18760</v>
      </c>
      <c r="BB2781" s="31" t="n">
        <f aca="false">SUM(Q2781,S2781,U2781,W2781,Y2781,AA2781,AC2781,AE2781,AG2781,AI2781,AK2781,AM2781,AO2781,AQ2781,AS2781,AU2781,AW2781,AY2781)</f>
        <v>18760</v>
      </c>
      <c r="BC2781" s="28" t="n">
        <f aca="false">BA2781-BB2781</f>
        <v>0</v>
      </c>
      <c r="BD2781" s="32" t="n">
        <f aca="false">SUM(P2781,R2781,T2781,V2781,X2781,Z2781,AB2781,AD2781,AF2781,AH2781,AJ2781,AL2781,AN2781,AP2781,AR2781,AT2781,AV2781,AX2781)</f>
        <v>9380</v>
      </c>
      <c r="BE2781" s="33" t="n">
        <f aca="false">AZ2781-BD2781</f>
        <v>0</v>
      </c>
      <c r="BF2781" s="34" t="n">
        <f aca="false">BD2781*M2781</f>
        <v>18760</v>
      </c>
      <c r="BG2781" s="35" t="n">
        <f aca="false">BA2781-BF2781</f>
        <v>0</v>
      </c>
      <c r="BH2781" s="19" t="str">
        <f aca="false">IF(BG2781=0,"",IF(BG2781&lt;&gt;BA2781,"erreur de calcul",IF(BD2781&lt;&gt;0,"pas de prix",IF(M2781&lt;&gt; 0,"pas de quantité","pas de prix, ni de quantité"))))</f>
        <v/>
      </c>
      <c r="BI2781" s="19"/>
    </row>
    <row r="2782" customFormat="false" ht="15" hidden="false" customHeight="false" outlineLevel="0" collapsed="false">
      <c r="A2782" s="0" t="n">
        <v>35</v>
      </c>
      <c r="B2782" s="8" t="s">
        <v>24</v>
      </c>
      <c r="C2782" s="9" t="s">
        <v>25</v>
      </c>
      <c r="D2782" s="9" t="s">
        <v>26</v>
      </c>
      <c r="E2782" s="10" t="n">
        <v>1789</v>
      </c>
      <c r="F2782" s="9" t="s">
        <v>27</v>
      </c>
      <c r="G2782" s="9" t="s">
        <v>27</v>
      </c>
      <c r="H2782" s="11" t="n">
        <v>26</v>
      </c>
      <c r="I2782" s="11" t="s">
        <v>406</v>
      </c>
      <c r="J2782" s="14" t="n">
        <v>55</v>
      </c>
      <c r="K2782" s="14"/>
      <c r="L2782" s="16"/>
      <c r="M2782" s="27" t="n">
        <f aca="false">J2782+(K2782/20)+(L2782/240)</f>
        <v>55</v>
      </c>
      <c r="N2782" s="17" t="s">
        <v>64</v>
      </c>
      <c r="O2782" s="11"/>
      <c r="P2782" s="28" t="n">
        <f aca="false">634/100</f>
        <v>6.34</v>
      </c>
      <c r="Q2782" s="28" t="n">
        <v>349</v>
      </c>
      <c r="R2782" s="28"/>
      <c r="S2782" s="28" t="n">
        <f aca="false">R2782*$M2782</f>
        <v>0</v>
      </c>
      <c r="T2782" s="28" t="n">
        <f aca="false">2450/100</f>
        <v>24.5</v>
      </c>
      <c r="U2782" s="28" t="n">
        <v>1347</v>
      </c>
      <c r="V2782" s="28" t="n">
        <f aca="false">9685/100</f>
        <v>96.85</v>
      </c>
      <c r="W2782" s="28" t="n">
        <v>5327</v>
      </c>
      <c r="X2782" s="28"/>
      <c r="Y2782" s="28" t="n">
        <f aca="false">X2782*$M2782</f>
        <v>0</v>
      </c>
      <c r="Z2782" s="28"/>
      <c r="AA2782" s="28" t="n">
        <f aca="false">Z2782*$M2782</f>
        <v>0</v>
      </c>
      <c r="AB2782" s="28"/>
      <c r="AC2782" s="28" t="n">
        <f aca="false">AB2782*$M2782</f>
        <v>0</v>
      </c>
      <c r="AD2782" s="28"/>
      <c r="AE2782" s="28" t="n">
        <f aca="false">AD2782*$M2782</f>
        <v>0</v>
      </c>
      <c r="AF2782" s="28"/>
      <c r="AG2782" s="28" t="n">
        <f aca="false">AF2782*$M2782</f>
        <v>0</v>
      </c>
      <c r="AH2782" s="28"/>
      <c r="AI2782" s="28" t="n">
        <f aca="false">AH2782*$M2782</f>
        <v>0</v>
      </c>
      <c r="AJ2782" s="28"/>
      <c r="AK2782" s="28" t="n">
        <f aca="false">AJ2782*$M2782</f>
        <v>0</v>
      </c>
      <c r="AL2782" s="28"/>
      <c r="AM2782" s="28" t="n">
        <f aca="false">AL2782*$M2782</f>
        <v>0</v>
      </c>
      <c r="AN2782" s="28"/>
      <c r="AO2782" s="28" t="n">
        <f aca="false">AN2782*$M2782</f>
        <v>0</v>
      </c>
      <c r="AP2782" s="28"/>
      <c r="AQ2782" s="28" t="n">
        <f aca="false">AP2782*$M2782</f>
        <v>0</v>
      </c>
      <c r="AR2782" s="28"/>
      <c r="AS2782" s="28" t="n">
        <f aca="false">AR2782*$M2782</f>
        <v>0</v>
      </c>
      <c r="AT2782" s="28"/>
      <c r="AU2782" s="28" t="n">
        <f aca="false">AT2782*$M2782</f>
        <v>0</v>
      </c>
      <c r="AV2782" s="28"/>
      <c r="AW2782" s="28" t="n">
        <f aca="false">AV2782*$M2782</f>
        <v>0</v>
      </c>
      <c r="AX2782" s="28"/>
      <c r="AY2782" s="28" t="n">
        <f aca="false">AX2782*$M2782</f>
        <v>0</v>
      </c>
      <c r="AZ2782" s="30" t="n">
        <f aca="false">12769/100</f>
        <v>127.69</v>
      </c>
      <c r="BA2782" s="11" t="n">
        <v>7023</v>
      </c>
      <c r="BB2782" s="31" t="n">
        <f aca="false">SUM(Q2782,S2782,U2782,W2782,Y2782,AA2782,AC2782,AE2782,AG2782,AI2782,AK2782,AM2782,AO2782,AQ2782,AS2782,AU2782,AW2782,AY2782)</f>
        <v>7023</v>
      </c>
      <c r="BC2782" s="28" t="n">
        <f aca="false">BA2782-BB2782</f>
        <v>0</v>
      </c>
      <c r="BD2782" s="32" t="n">
        <f aca="false">SUM(P2782,R2782,T2782,V2782,X2782,Z2782,AB2782,AD2782,AF2782,AH2782,AJ2782,AL2782,AN2782,AP2782,AR2782,AT2782,AV2782,AX2782)</f>
        <v>127.69</v>
      </c>
      <c r="BE2782" s="33" t="n">
        <f aca="false">AZ2782-BD2782</f>
        <v>0</v>
      </c>
      <c r="BF2782" s="34" t="n">
        <f aca="false">BD2782*M2782</f>
        <v>7022.95</v>
      </c>
      <c r="BG2782" s="35" t="n">
        <f aca="false">BA2782-BF2782</f>
        <v>0.0500000000001819</v>
      </c>
      <c r="BH2782" s="19" t="str">
        <f aca="false">IF(BG2782=0,"",IF(BG2782&lt;&gt;BA2782,"erreur de calcul",IF(BD2782&lt;&gt;0,"pas de prix",IF(M2782&lt;&gt; 0,"pas de quantité","pas de prix, ni de quantité"))))</f>
        <v>erreur de calcul</v>
      </c>
      <c r="BI2782" s="19"/>
    </row>
    <row r="2783" customFormat="false" ht="15" hidden="false" customHeight="false" outlineLevel="0" collapsed="false">
      <c r="A2783" s="0" t="n">
        <v>36</v>
      </c>
      <c r="B2783" s="8" t="s">
        <v>24</v>
      </c>
      <c r="C2783" s="9" t="s">
        <v>25</v>
      </c>
      <c r="D2783" s="9" t="s">
        <v>26</v>
      </c>
      <c r="E2783" s="10" t="n">
        <v>1789</v>
      </c>
      <c r="F2783" s="9" t="s">
        <v>27</v>
      </c>
      <c r="G2783" s="9" t="s">
        <v>27</v>
      </c>
      <c r="H2783" s="11" t="n">
        <v>26</v>
      </c>
      <c r="I2783" s="11" t="s">
        <v>407</v>
      </c>
      <c r="J2783" s="14" t="n">
        <v>44</v>
      </c>
      <c r="K2783" s="14"/>
      <c r="L2783" s="16"/>
      <c r="M2783" s="27" t="n">
        <f aca="false">J2783+(K2783/20)+(L2783/240)</f>
        <v>44</v>
      </c>
      <c r="N2783" s="17" t="s">
        <v>64</v>
      </c>
      <c r="O2783" s="11" t="s">
        <v>77</v>
      </c>
      <c r="P2783" s="28" t="n">
        <f aca="false">68669/100</f>
        <v>686.69</v>
      </c>
      <c r="Q2783" s="28" t="n">
        <v>30214</v>
      </c>
      <c r="R2783" s="28"/>
      <c r="S2783" s="28" t="n">
        <f aca="false">R2783*$M2783</f>
        <v>0</v>
      </c>
      <c r="T2783" s="28" t="n">
        <f aca="false">7101/100</f>
        <v>71.01</v>
      </c>
      <c r="U2783" s="28" t="n">
        <v>3124</v>
      </c>
      <c r="V2783" s="28" t="n">
        <f aca="false">27549/100</f>
        <v>275.49</v>
      </c>
      <c r="W2783" s="28" t="n">
        <v>12121</v>
      </c>
      <c r="X2783" s="28" t="n">
        <f aca="false">947914/100</f>
        <v>9479.14</v>
      </c>
      <c r="Y2783" s="28" t="n">
        <v>417082</v>
      </c>
      <c r="Z2783" s="28" t="n">
        <f aca="false">183606/100</f>
        <v>1836.06</v>
      </c>
      <c r="AA2783" s="28" t="n">
        <v>80787</v>
      </c>
      <c r="AB2783" s="28" t="n">
        <f aca="false">36047/100</f>
        <v>360.47</v>
      </c>
      <c r="AC2783" s="28" t="n">
        <v>15861</v>
      </c>
      <c r="AD2783" s="28" t="n">
        <f aca="false">12322/100</f>
        <v>123.22</v>
      </c>
      <c r="AE2783" s="28" t="n">
        <v>5422</v>
      </c>
      <c r="AF2783" s="28"/>
      <c r="AG2783" s="28" t="n">
        <f aca="false">AF2783*$M2783</f>
        <v>0</v>
      </c>
      <c r="AH2783" s="28" t="n">
        <f aca="false">3318/100</f>
        <v>33.18</v>
      </c>
      <c r="AI2783" s="28" t="n">
        <v>1460</v>
      </c>
      <c r="AJ2783" s="28"/>
      <c r="AK2783" s="28" t="n">
        <f aca="false">AJ2783*$M2783</f>
        <v>0</v>
      </c>
      <c r="AL2783" s="28" t="n">
        <f aca="false">28260/100</f>
        <v>282.6</v>
      </c>
      <c r="AM2783" s="28" t="n">
        <v>12434</v>
      </c>
      <c r="AN2783" s="28"/>
      <c r="AO2783" s="28" t="n">
        <f aca="false">AN2783*$M2783</f>
        <v>0</v>
      </c>
      <c r="AP2783" s="28"/>
      <c r="AQ2783" s="28" t="n">
        <f aca="false">AP2783*$M2783</f>
        <v>0</v>
      </c>
      <c r="AR2783" s="28"/>
      <c r="AS2783" s="28" t="n">
        <f aca="false">AR2783*$M2783</f>
        <v>0</v>
      </c>
      <c r="AT2783" s="28"/>
      <c r="AU2783" s="28" t="n">
        <f aca="false">AT2783*$M2783</f>
        <v>0</v>
      </c>
      <c r="AV2783" s="28"/>
      <c r="AW2783" s="28" t="n">
        <f aca="false">AV2783*$M2783</f>
        <v>0</v>
      </c>
      <c r="AX2783" s="28"/>
      <c r="AY2783" s="28" t="n">
        <f aca="false">AX2783*$M2783</f>
        <v>0</v>
      </c>
      <c r="AZ2783" s="30" t="n">
        <f aca="false">1314786/100</f>
        <v>13147.86</v>
      </c>
      <c r="BA2783" s="11" t="n">
        <v>578505</v>
      </c>
      <c r="BB2783" s="31" t="n">
        <f aca="false">SUM(Q2783,S2783,U2783,W2783,Y2783,AA2783,AC2783,AE2783,AG2783,AI2783,AK2783,AM2783,AO2783,AQ2783,AS2783,AU2783,AW2783,AY2783)</f>
        <v>578505</v>
      </c>
      <c r="BC2783" s="28" t="n">
        <f aca="false">BA2783-BB2783</f>
        <v>0</v>
      </c>
      <c r="BD2783" s="32" t="n">
        <f aca="false">SUM(P2783,R2783,T2783,V2783,X2783,Z2783,AB2783,AD2783,AF2783,AH2783,AJ2783,AL2783,AN2783,AP2783,AR2783,AT2783,AV2783,AX2783)</f>
        <v>13147.86</v>
      </c>
      <c r="BE2783" s="33" t="n">
        <f aca="false">AZ2783-BD2783</f>
        <v>0</v>
      </c>
      <c r="BF2783" s="34" t="n">
        <f aca="false">BD2783*M2783</f>
        <v>578505.84</v>
      </c>
      <c r="BG2783" s="35" t="n">
        <f aca="false">BA2783-BF2783</f>
        <v>-0.839999999967404</v>
      </c>
      <c r="BH2783" s="19" t="str">
        <f aca="false">IF(BG2783=0,"",IF(BG2783&lt;&gt;BA2783,"erreur de calcul",IF(BD2783&lt;&gt;0,"pas de prix",IF(M2783&lt;&gt; 0,"pas de quantité","pas de prix, ni de quantité"))))</f>
        <v>erreur de calcul</v>
      </c>
      <c r="BI2783" s="19"/>
    </row>
    <row r="2784" customFormat="false" ht="15" hidden="false" customHeight="false" outlineLevel="0" collapsed="false">
      <c r="A2784" s="0" t="n">
        <v>37</v>
      </c>
      <c r="B2784" s="8" t="s">
        <v>24</v>
      </c>
      <c r="C2784" s="9" t="s">
        <v>25</v>
      </c>
      <c r="D2784" s="9" t="s">
        <v>26</v>
      </c>
      <c r="E2784" s="10" t="n">
        <v>1789</v>
      </c>
      <c r="F2784" s="9" t="s">
        <v>27</v>
      </c>
      <c r="G2784" s="9" t="s">
        <v>27</v>
      </c>
      <c r="H2784" s="11" t="n">
        <v>26</v>
      </c>
      <c r="I2784" s="11" t="s">
        <v>408</v>
      </c>
      <c r="J2784" s="14" t="n">
        <v>40</v>
      </c>
      <c r="K2784" s="14"/>
      <c r="L2784" s="16"/>
      <c r="M2784" s="27" t="n">
        <f aca="false">J2784+(K2784/20)+(L2784/240)</f>
        <v>40</v>
      </c>
      <c r="N2784" s="17" t="s">
        <v>64</v>
      </c>
      <c r="O2784" s="11"/>
      <c r="P2784" s="28"/>
      <c r="Q2784" s="28" t="n">
        <f aca="false">P2784*$M2784</f>
        <v>0</v>
      </c>
      <c r="R2784" s="28"/>
      <c r="S2784" s="28" t="n">
        <f aca="false">R2784*$M2784</f>
        <v>0</v>
      </c>
      <c r="T2784" s="28"/>
      <c r="U2784" s="28" t="n">
        <f aca="false">T2784*$M2784</f>
        <v>0</v>
      </c>
      <c r="V2784" s="28" t="n">
        <f aca="false">4827/100</f>
        <v>48.27</v>
      </c>
      <c r="W2784" s="28" t="n">
        <v>1931</v>
      </c>
      <c r="X2784" s="28"/>
      <c r="Y2784" s="28" t="n">
        <f aca="false">X2784*$M2784</f>
        <v>0</v>
      </c>
      <c r="Z2784" s="28"/>
      <c r="AA2784" s="28" t="n">
        <f aca="false">Z2784*$M2784</f>
        <v>0</v>
      </c>
      <c r="AB2784" s="28"/>
      <c r="AC2784" s="28" t="n">
        <f aca="false">AB2784*$M2784</f>
        <v>0</v>
      </c>
      <c r="AD2784" s="28"/>
      <c r="AE2784" s="28" t="n">
        <f aca="false">AD2784*$M2784</f>
        <v>0</v>
      </c>
      <c r="AF2784" s="28"/>
      <c r="AG2784" s="28" t="n">
        <f aca="false">AF2784*$M2784</f>
        <v>0</v>
      </c>
      <c r="AH2784" s="28"/>
      <c r="AI2784" s="28" t="n">
        <f aca="false">AH2784*$M2784</f>
        <v>0</v>
      </c>
      <c r="AJ2784" s="28"/>
      <c r="AK2784" s="28" t="n">
        <f aca="false">AJ2784*$M2784</f>
        <v>0</v>
      </c>
      <c r="AL2784" s="28"/>
      <c r="AM2784" s="28" t="n">
        <f aca="false">AL2784*$M2784</f>
        <v>0</v>
      </c>
      <c r="AN2784" s="28"/>
      <c r="AO2784" s="28" t="n">
        <f aca="false">AN2784*$M2784</f>
        <v>0</v>
      </c>
      <c r="AP2784" s="28"/>
      <c r="AQ2784" s="28" t="n">
        <f aca="false">AP2784*$M2784</f>
        <v>0</v>
      </c>
      <c r="AR2784" s="28"/>
      <c r="AS2784" s="28" t="n">
        <f aca="false">AR2784*$M2784</f>
        <v>0</v>
      </c>
      <c r="AT2784" s="28"/>
      <c r="AU2784" s="28" t="n">
        <f aca="false">AT2784*$M2784</f>
        <v>0</v>
      </c>
      <c r="AV2784" s="28"/>
      <c r="AW2784" s="28" t="n">
        <f aca="false">AV2784*$M2784</f>
        <v>0</v>
      </c>
      <c r="AX2784" s="28" t="n">
        <f aca="false">835109/100</f>
        <v>8351.09</v>
      </c>
      <c r="AY2784" s="28" t="n">
        <v>334044</v>
      </c>
      <c r="AZ2784" s="30" t="n">
        <f aca="false">839936/100</f>
        <v>8399.36</v>
      </c>
      <c r="BA2784" s="11" t="n">
        <v>335975</v>
      </c>
      <c r="BB2784" s="31" t="n">
        <f aca="false">SUM(Q2784,S2784,U2784,W2784,Y2784,AA2784,AC2784,AE2784,AG2784,AI2784,AK2784,AM2784,AO2784,AQ2784,AS2784,AU2784,AW2784,AY2784)</f>
        <v>335975</v>
      </c>
      <c r="BC2784" s="28" t="n">
        <f aca="false">BA2784-BB2784</f>
        <v>0</v>
      </c>
      <c r="BD2784" s="32" t="n">
        <f aca="false">SUM(P2784,R2784,T2784,V2784,X2784,Z2784,AB2784,AD2784,AF2784,AH2784,AJ2784,AL2784,AN2784,AP2784,AR2784,AT2784,AV2784,AX2784)</f>
        <v>8399.36</v>
      </c>
      <c r="BE2784" s="33" t="n">
        <f aca="false">AZ2784-BD2784</f>
        <v>0</v>
      </c>
      <c r="BF2784" s="34" t="n">
        <f aca="false">BD2784*M2784</f>
        <v>335974.4</v>
      </c>
      <c r="BG2784" s="35" t="n">
        <f aca="false">BA2784-BF2784</f>
        <v>0.599999999976717</v>
      </c>
      <c r="BH2784" s="19" t="str">
        <f aca="false">IF(BG2784=0,"",IF(BG2784&lt;&gt;BA2784,"erreur de calcul",IF(BD2784&lt;&gt;0,"pas de prix",IF(M2784&lt;&gt; 0,"pas de quantité","pas de prix, ni de quantité"))))</f>
        <v>erreur de calcul</v>
      </c>
      <c r="BI2784" s="19"/>
    </row>
    <row r="2785" customFormat="false" ht="16.65" hidden="false" customHeight="false" outlineLevel="0" collapsed="false">
      <c r="A2785" s="0" t="n">
        <v>38</v>
      </c>
      <c r="B2785" s="8" t="s">
        <v>24</v>
      </c>
      <c r="C2785" s="9" t="s">
        <v>25</v>
      </c>
      <c r="D2785" s="9" t="s">
        <v>26</v>
      </c>
      <c r="E2785" s="10" t="n">
        <v>1789</v>
      </c>
      <c r="F2785" s="9" t="s">
        <v>27</v>
      </c>
      <c r="G2785" s="9" t="s">
        <v>27</v>
      </c>
      <c r="H2785" s="11" t="n">
        <v>26</v>
      </c>
      <c r="I2785" s="11" t="s">
        <v>409</v>
      </c>
      <c r="J2785" s="14"/>
      <c r="K2785" s="14" t="n">
        <v>13</v>
      </c>
      <c r="L2785" s="16"/>
      <c r="M2785" s="27" t="n">
        <f aca="false">J2785+(K2785/20)+(L2785/240)</f>
        <v>0.65</v>
      </c>
      <c r="N2785" s="17" t="s">
        <v>64</v>
      </c>
      <c r="O2785" s="11"/>
      <c r="P2785" s="28"/>
      <c r="Q2785" s="28" t="n">
        <f aca="false">P2785*$M2785</f>
        <v>0</v>
      </c>
      <c r="R2785" s="28"/>
      <c r="S2785" s="28" t="n">
        <f aca="false">R2785*$M2785</f>
        <v>0</v>
      </c>
      <c r="T2785" s="28"/>
      <c r="U2785" s="28" t="n">
        <f aca="false">T2785*$M2785</f>
        <v>0</v>
      </c>
      <c r="V2785" s="28"/>
      <c r="W2785" s="28" t="n">
        <f aca="false">V2785*$M2785</f>
        <v>0</v>
      </c>
      <c r="X2785" s="28"/>
      <c r="Y2785" s="28" t="n">
        <f aca="false">X2785*$M2785</f>
        <v>0</v>
      </c>
      <c r="Z2785" s="28" t="n">
        <f aca="false">2471002/100</f>
        <v>24710.02</v>
      </c>
      <c r="AA2785" s="28" t="n">
        <v>16061</v>
      </c>
      <c r="AB2785" s="28"/>
      <c r="AC2785" s="28" t="n">
        <f aca="false">AB2785*$M2785</f>
        <v>0</v>
      </c>
      <c r="AD2785" s="28"/>
      <c r="AE2785" s="28" t="n">
        <f aca="false">AD2785*$M2785</f>
        <v>0</v>
      </c>
      <c r="AF2785" s="28"/>
      <c r="AG2785" s="28" t="n">
        <f aca="false">AF2785*$M2785</f>
        <v>0</v>
      </c>
      <c r="AH2785" s="28"/>
      <c r="AI2785" s="28" t="n">
        <f aca="false">AH2785*$M2785</f>
        <v>0</v>
      </c>
      <c r="AJ2785" s="28"/>
      <c r="AK2785" s="28" t="n">
        <f aca="false">AJ2785*$M2785</f>
        <v>0</v>
      </c>
      <c r="AL2785" s="28"/>
      <c r="AM2785" s="28" t="n">
        <f aca="false">AL2785*$M2785</f>
        <v>0</v>
      </c>
      <c r="AN2785" s="28"/>
      <c r="AO2785" s="28" t="n">
        <f aca="false">AN2785*$M2785</f>
        <v>0</v>
      </c>
      <c r="AP2785" s="28"/>
      <c r="AQ2785" s="28" t="n">
        <f aca="false">AP2785*$M2785</f>
        <v>0</v>
      </c>
      <c r="AR2785" s="28"/>
      <c r="AS2785" s="28" t="n">
        <f aca="false">AR2785*$M2785</f>
        <v>0</v>
      </c>
      <c r="AT2785" s="28"/>
      <c r="AU2785" s="28" t="n">
        <f aca="false">AT2785*$M2785</f>
        <v>0</v>
      </c>
      <c r="AV2785" s="28"/>
      <c r="AW2785" s="28" t="n">
        <f aca="false">AV2785*$M2785</f>
        <v>0</v>
      </c>
      <c r="AX2785" s="28"/>
      <c r="AY2785" s="28" t="n">
        <f aca="false">AX2785*$M2785</f>
        <v>0</v>
      </c>
      <c r="AZ2785" s="30" t="n">
        <f aca="false">2471002</f>
        <v>2471002</v>
      </c>
      <c r="BA2785" s="11" t="n">
        <v>16061</v>
      </c>
      <c r="BB2785" s="31" t="n">
        <f aca="false">SUM(Q2785,S2785,U2785,W2785,Y2785,AA2785,AC2785,AE2785,AG2785,AI2785,AK2785,AM2785,AO2785,AQ2785,AS2785,AU2785,AW2785,AY2785)</f>
        <v>16061</v>
      </c>
      <c r="BC2785" s="28" t="n">
        <f aca="false">BA2785-BB2785</f>
        <v>0</v>
      </c>
      <c r="BD2785" s="32" t="n">
        <f aca="false">SUM(P2785,R2785,T2785,V2785,X2785,Z2785,AB2785,AD2785,AF2785,AH2785,AJ2785,AL2785,AN2785,AP2785,AR2785,AT2785,AV2785,AX2785)</f>
        <v>24710.02</v>
      </c>
      <c r="BE2785" s="33" t="n">
        <f aca="false">AZ2785-BD2785</f>
        <v>2446291.98</v>
      </c>
      <c r="BF2785" s="34" t="n">
        <f aca="false">BD2785*M2785</f>
        <v>16061.513</v>
      </c>
      <c r="BG2785" s="35" t="n">
        <f aca="false">BA2785-BF2785</f>
        <v>-0.513000000000829</v>
      </c>
      <c r="BH2785" s="19" t="str">
        <f aca="false">IF(BG2785=0,"",IF(BG2785&lt;&gt;BA2785,"erreur de calcul",IF(BD2785&lt;&gt;0,"pas de prix",IF(M2785&lt;&gt; 0,"pas de quantité","pas de prix, ni de quantité"))))</f>
        <v>erreur de calcul</v>
      </c>
      <c r="BI2785" s="19"/>
    </row>
    <row r="2786" customFormat="false" ht="15" hidden="false" customHeight="false" outlineLevel="0" collapsed="false">
      <c r="A2786" s="0" t="n">
        <v>39</v>
      </c>
      <c r="B2786" s="8" t="s">
        <v>24</v>
      </c>
      <c r="C2786" s="9" t="s">
        <v>25</v>
      </c>
      <c r="D2786" s="9" t="s">
        <v>26</v>
      </c>
      <c r="E2786" s="10" t="n">
        <v>1789</v>
      </c>
      <c r="F2786" s="9" t="s">
        <v>27</v>
      </c>
      <c r="G2786" s="9" t="s">
        <v>27</v>
      </c>
      <c r="H2786" s="11" t="n">
        <v>26</v>
      </c>
      <c r="I2786" s="11" t="s">
        <v>410</v>
      </c>
      <c r="J2786" s="14" t="n">
        <v>10</v>
      </c>
      <c r="K2786" s="14"/>
      <c r="L2786" s="16"/>
      <c r="M2786" s="27" t="n">
        <f aca="false">J2786+(K2786/20)+(L2786/240)</f>
        <v>10</v>
      </c>
      <c r="N2786" s="17" t="s">
        <v>64</v>
      </c>
      <c r="O2786" s="11"/>
      <c r="P2786" s="28"/>
      <c r="Q2786" s="28" t="n">
        <f aca="false">P2786*$M2786</f>
        <v>0</v>
      </c>
      <c r="R2786" s="28"/>
      <c r="S2786" s="28" t="n">
        <f aca="false">R2786*$M2786</f>
        <v>0</v>
      </c>
      <c r="T2786" s="28"/>
      <c r="U2786" s="28" t="n">
        <f aca="false">T2786*$M2786</f>
        <v>0</v>
      </c>
      <c r="V2786" s="28"/>
      <c r="W2786" s="28" t="n">
        <f aca="false">V2786*$M2786</f>
        <v>0</v>
      </c>
      <c r="X2786" s="28" t="n">
        <f aca="false">2481/100</f>
        <v>24.81</v>
      </c>
      <c r="Y2786" s="28" t="n">
        <v>248</v>
      </c>
      <c r="Z2786" s="28"/>
      <c r="AA2786" s="28" t="n">
        <f aca="false">Z2786*$M2786</f>
        <v>0</v>
      </c>
      <c r="AB2786" s="28"/>
      <c r="AC2786" s="28" t="n">
        <f aca="false">AB2786*$M2786</f>
        <v>0</v>
      </c>
      <c r="AD2786" s="28"/>
      <c r="AE2786" s="28" t="n">
        <f aca="false">AD2786*$M2786</f>
        <v>0</v>
      </c>
      <c r="AF2786" s="28"/>
      <c r="AG2786" s="28" t="n">
        <f aca="false">AF2786*$M2786</f>
        <v>0</v>
      </c>
      <c r="AH2786" s="28"/>
      <c r="AI2786" s="28" t="n">
        <f aca="false">AH2786*$M2786</f>
        <v>0</v>
      </c>
      <c r="AJ2786" s="28"/>
      <c r="AK2786" s="28" t="n">
        <f aca="false">AJ2786*$M2786</f>
        <v>0</v>
      </c>
      <c r="AL2786" s="28"/>
      <c r="AM2786" s="28" t="n">
        <f aca="false">AL2786*$M2786</f>
        <v>0</v>
      </c>
      <c r="AN2786" s="28"/>
      <c r="AO2786" s="28" t="n">
        <f aca="false">AN2786*$M2786</f>
        <v>0</v>
      </c>
      <c r="AP2786" s="28"/>
      <c r="AQ2786" s="28" t="n">
        <f aca="false">AP2786*$M2786</f>
        <v>0</v>
      </c>
      <c r="AR2786" s="28"/>
      <c r="AS2786" s="28" t="n">
        <f aca="false">AR2786*$M2786</f>
        <v>0</v>
      </c>
      <c r="AT2786" s="28"/>
      <c r="AU2786" s="28" t="n">
        <f aca="false">AT2786*$M2786</f>
        <v>0</v>
      </c>
      <c r="AV2786" s="28"/>
      <c r="AW2786" s="28" t="n">
        <f aca="false">AV2786*$M2786</f>
        <v>0</v>
      </c>
      <c r="AX2786" s="28"/>
      <c r="AY2786" s="28" t="n">
        <f aca="false">AX2786*$M2786</f>
        <v>0</v>
      </c>
      <c r="AZ2786" s="30" t="n">
        <f aca="false">2481/100</f>
        <v>24.81</v>
      </c>
      <c r="BA2786" s="11" t="n">
        <v>248</v>
      </c>
      <c r="BB2786" s="31" t="n">
        <f aca="false">SUM(Q2786,S2786,U2786,W2786,Y2786,AA2786,AC2786,AE2786,AG2786,AI2786,AK2786,AM2786,AO2786,AQ2786,AS2786,AU2786,AW2786,AY2786)</f>
        <v>248</v>
      </c>
      <c r="BC2786" s="28" t="n">
        <f aca="false">BA2786-BB2786</f>
        <v>0</v>
      </c>
      <c r="BD2786" s="32" t="n">
        <f aca="false">SUM(P2786,R2786,T2786,V2786,X2786,Z2786,AB2786,AD2786,AF2786,AH2786,AJ2786,AL2786,AN2786,AP2786,AR2786,AT2786,AV2786,AX2786)</f>
        <v>24.81</v>
      </c>
      <c r="BE2786" s="33" t="n">
        <f aca="false">AZ2786-BD2786</f>
        <v>0</v>
      </c>
      <c r="BF2786" s="34" t="n">
        <f aca="false">BD2786*M2786</f>
        <v>248.1</v>
      </c>
      <c r="BG2786" s="35" t="n">
        <f aca="false">BA2786-BF2786</f>
        <v>-0.0999999999999943</v>
      </c>
      <c r="BH2786" s="19" t="str">
        <f aca="false">IF(BG2786=0,"",IF(BG2786&lt;&gt;BA2786,"erreur de calcul",IF(BD2786&lt;&gt;0,"pas de prix",IF(M2786&lt;&gt; 0,"pas de quantité","pas de prix, ni de quantité"))))</f>
        <v>erreur de calcul</v>
      </c>
      <c r="BI2786" s="19"/>
    </row>
    <row r="2787" customFormat="false" ht="15" hidden="false" customHeight="false" outlineLevel="0" collapsed="false">
      <c r="A2787" s="0" t="n">
        <v>40</v>
      </c>
      <c r="B2787" s="8" t="s">
        <v>24</v>
      </c>
      <c r="C2787" s="9" t="s">
        <v>25</v>
      </c>
      <c r="D2787" s="9" t="s">
        <v>26</v>
      </c>
      <c r="E2787" s="10" t="n">
        <v>1789</v>
      </c>
      <c r="F2787" s="9" t="s">
        <v>27</v>
      </c>
      <c r="G2787" s="9" t="s">
        <v>27</v>
      </c>
      <c r="H2787" s="11" t="n">
        <v>26</v>
      </c>
      <c r="I2787" s="11" t="s">
        <v>411</v>
      </c>
      <c r="J2787" s="14" t="n">
        <v>5</v>
      </c>
      <c r="K2787" s="14"/>
      <c r="L2787" s="16"/>
      <c r="M2787" s="27" t="n">
        <f aca="false">J2787+(K2787/20)+(L2787/240)</f>
        <v>5</v>
      </c>
      <c r="N2787" s="17" t="s">
        <v>66</v>
      </c>
      <c r="O2787" s="11" t="s">
        <v>98</v>
      </c>
      <c r="P2787" s="28"/>
      <c r="Q2787" s="28" t="n">
        <f aca="false">P2787*$M2787</f>
        <v>0</v>
      </c>
      <c r="R2787" s="28"/>
      <c r="S2787" s="28" t="n">
        <f aca="false">R2787*$M2787</f>
        <v>0</v>
      </c>
      <c r="T2787" s="28"/>
      <c r="U2787" s="28" t="n">
        <f aca="false">T2787*$M2787</f>
        <v>0</v>
      </c>
      <c r="V2787" s="28"/>
      <c r="W2787" s="28" t="n">
        <f aca="false">V2787*$M2787</f>
        <v>0</v>
      </c>
      <c r="X2787" s="28"/>
      <c r="Y2787" s="28" t="n">
        <f aca="false">X2787*$M2787</f>
        <v>0</v>
      </c>
      <c r="Z2787" s="28"/>
      <c r="AA2787" s="28" t="n">
        <f aca="false">Z2787*$M2787</f>
        <v>0</v>
      </c>
      <c r="AB2787" s="28"/>
      <c r="AC2787" s="28" t="n">
        <f aca="false">AB2787*$M2787</f>
        <v>0</v>
      </c>
      <c r="AD2787" s="28"/>
      <c r="AE2787" s="28" t="n">
        <f aca="false">AD2787*$M2787</f>
        <v>0</v>
      </c>
      <c r="AF2787" s="28" t="n">
        <v>22</v>
      </c>
      <c r="AG2787" s="28" t="n">
        <v>110</v>
      </c>
      <c r="AH2787" s="28" t="n">
        <v>2657</v>
      </c>
      <c r="AI2787" s="28" t="n">
        <v>13285</v>
      </c>
      <c r="AJ2787" s="28"/>
      <c r="AK2787" s="28" t="n">
        <f aca="false">AJ2787*$M2787</f>
        <v>0</v>
      </c>
      <c r="AL2787" s="28"/>
      <c r="AM2787" s="28" t="n">
        <f aca="false">AL2787*$M2787</f>
        <v>0</v>
      </c>
      <c r="AN2787" s="28"/>
      <c r="AO2787" s="28" t="n">
        <f aca="false">AN2787*$M2787</f>
        <v>0</v>
      </c>
      <c r="AP2787" s="28"/>
      <c r="AQ2787" s="28" t="n">
        <f aca="false">AP2787*$M2787</f>
        <v>0</v>
      </c>
      <c r="AR2787" s="28"/>
      <c r="AS2787" s="28" t="n">
        <f aca="false">AR2787*$M2787</f>
        <v>0</v>
      </c>
      <c r="AT2787" s="28"/>
      <c r="AU2787" s="28" t="n">
        <f aca="false">AT2787*$M2787</f>
        <v>0</v>
      </c>
      <c r="AV2787" s="28"/>
      <c r="AW2787" s="28" t="n">
        <f aca="false">AV2787*$M2787</f>
        <v>0</v>
      </c>
      <c r="AX2787" s="28"/>
      <c r="AY2787" s="28" t="n">
        <f aca="false">AX2787*$M2787</f>
        <v>0</v>
      </c>
      <c r="AZ2787" s="30" t="n">
        <v>2679</v>
      </c>
      <c r="BA2787" s="11" t="n">
        <v>13395</v>
      </c>
      <c r="BB2787" s="31" t="n">
        <f aca="false">SUM(Q2787,S2787,U2787,W2787,Y2787,AA2787,AC2787,AE2787,AG2787,AI2787,AK2787,AM2787,AO2787,AQ2787,AS2787,AU2787,AW2787,AY2787)</f>
        <v>13395</v>
      </c>
      <c r="BC2787" s="28" t="n">
        <f aca="false">BA2787-BB2787</f>
        <v>0</v>
      </c>
      <c r="BD2787" s="32" t="n">
        <f aca="false">SUM(P2787,R2787,T2787,V2787,X2787,Z2787,AB2787,AD2787,AF2787,AH2787,AJ2787,AL2787,AN2787,AP2787,AR2787,AT2787,AV2787,AX2787)</f>
        <v>2679</v>
      </c>
      <c r="BE2787" s="33" t="n">
        <f aca="false">AZ2787-BD2787</f>
        <v>0</v>
      </c>
      <c r="BF2787" s="34" t="n">
        <f aca="false">BD2787*M2787</f>
        <v>13395</v>
      </c>
      <c r="BG2787" s="35" t="n">
        <f aca="false">BA2787-BF2787</f>
        <v>0</v>
      </c>
      <c r="BH2787" s="19" t="str">
        <f aca="false">IF(BG2787=0,"",IF(BG2787&lt;&gt;BA2787,"erreur de calcul",IF(BD2787&lt;&gt;0,"pas de prix",IF(M2787&lt;&gt; 0,"pas de quantité","pas de prix, ni de quantité"))))</f>
        <v/>
      </c>
      <c r="BI2787" s="19"/>
    </row>
    <row r="2788" customFormat="false" ht="15" hidden="false" customHeight="false" outlineLevel="0" collapsed="false">
      <c r="A2788" s="0" t="n">
        <v>1</v>
      </c>
      <c r="B2788" s="8" t="s">
        <v>24</v>
      </c>
      <c r="C2788" s="9" t="s">
        <v>25</v>
      </c>
      <c r="D2788" s="9" t="s">
        <v>26</v>
      </c>
      <c r="E2788" s="10" t="n">
        <v>1789</v>
      </c>
      <c r="F2788" s="9" t="s">
        <v>27</v>
      </c>
      <c r="G2788" s="9" t="s">
        <v>27</v>
      </c>
      <c r="H2788" s="11" t="n">
        <v>27</v>
      </c>
      <c r="I2788" s="11" t="s">
        <v>412</v>
      </c>
      <c r="J2788" s="14" t="n">
        <v>7</v>
      </c>
      <c r="K2788" s="14" t="n">
        <v>10</v>
      </c>
      <c r="L2788" s="16"/>
      <c r="M2788" s="27" t="n">
        <f aca="false">J2788+(K2788/20)+(L2788/240)</f>
        <v>7.5</v>
      </c>
      <c r="N2788" s="17" t="s">
        <v>64</v>
      </c>
      <c r="O2788" s="11"/>
      <c r="P2788" s="28" t="n">
        <f aca="false">16667/100</f>
        <v>166.67</v>
      </c>
      <c r="Q2788" s="28" t="n">
        <v>1250</v>
      </c>
      <c r="R2788" s="28"/>
      <c r="S2788" s="28" t="n">
        <f aca="false">R2788*$M2788</f>
        <v>0</v>
      </c>
      <c r="T2788" s="28"/>
      <c r="U2788" s="28" t="n">
        <f aca="false">T2788*$M2788</f>
        <v>0</v>
      </c>
      <c r="V2788" s="28" t="n">
        <f aca="false">407887/100</f>
        <v>4078.87</v>
      </c>
      <c r="W2788" s="28" t="n">
        <v>30591</v>
      </c>
      <c r="X2788" s="28" t="n">
        <f aca="false">4444/100</f>
        <v>44.44</v>
      </c>
      <c r="Y2788" s="28" t="n">
        <v>333</v>
      </c>
      <c r="Z2788" s="28" t="n">
        <f aca="false">16084/100</f>
        <v>160.84</v>
      </c>
      <c r="AA2788" s="28" t="n">
        <v>1206</v>
      </c>
      <c r="AB2788" s="28" t="n">
        <f aca="false">20834/100</f>
        <v>208.34</v>
      </c>
      <c r="AC2788" s="28" t="n">
        <v>1562</v>
      </c>
      <c r="AD2788" s="28"/>
      <c r="AE2788" s="28" t="n">
        <f aca="false">AD2788*$M2788</f>
        <v>0</v>
      </c>
      <c r="AF2788" s="28"/>
      <c r="AG2788" s="28" t="n">
        <f aca="false">AF2788*$M2788</f>
        <v>0</v>
      </c>
      <c r="AH2788" s="28"/>
      <c r="AI2788" s="28" t="n">
        <f aca="false">AH2788*$M2788</f>
        <v>0</v>
      </c>
      <c r="AJ2788" s="28"/>
      <c r="AK2788" s="28" t="n">
        <f aca="false">AJ2788*$M2788</f>
        <v>0</v>
      </c>
      <c r="AL2788" s="28"/>
      <c r="AM2788" s="28" t="n">
        <f aca="false">AL2788*$M2788</f>
        <v>0</v>
      </c>
      <c r="AN2788" s="28"/>
      <c r="AO2788" s="28" t="n">
        <f aca="false">AN2788*$M2788</f>
        <v>0</v>
      </c>
      <c r="AP2788" s="28"/>
      <c r="AQ2788" s="28" t="n">
        <f aca="false">AP2788*$M2788</f>
        <v>0</v>
      </c>
      <c r="AR2788" s="28"/>
      <c r="AS2788" s="28" t="n">
        <f aca="false">AR2788*$M2788</f>
        <v>0</v>
      </c>
      <c r="AT2788" s="28"/>
      <c r="AU2788" s="28" t="n">
        <f aca="false">AT2788*$M2788</f>
        <v>0</v>
      </c>
      <c r="AV2788" s="28"/>
      <c r="AW2788" s="28" t="n">
        <f aca="false">AV2788*$M2788</f>
        <v>0</v>
      </c>
      <c r="AX2788" s="28"/>
      <c r="AY2788" s="28" t="n">
        <f aca="false">AX2788*$M2788</f>
        <v>0</v>
      </c>
      <c r="AZ2788" s="30" t="n">
        <f aca="false">465916/100</f>
        <v>4659.16</v>
      </c>
      <c r="BA2788" s="11" t="n">
        <v>34942</v>
      </c>
      <c r="BB2788" s="31" t="n">
        <f aca="false">SUM(Q2788,S2788,U2788,W2788,Y2788,AA2788,AC2788,AE2788,AG2788,AI2788,AK2788,AM2788,AO2788,AQ2788,AS2788,AU2788,AW2788,AY2788)</f>
        <v>34942</v>
      </c>
      <c r="BC2788" s="28" t="n">
        <f aca="false">BA2788-BB2788</f>
        <v>0</v>
      </c>
      <c r="BD2788" s="32" t="n">
        <f aca="false">SUM(P2788,R2788,T2788,V2788,X2788,Z2788,AB2788,AD2788,AF2788,AH2788,AJ2788,AL2788,AN2788,AP2788,AR2788,AT2788,AV2788,AX2788)</f>
        <v>4659.16</v>
      </c>
      <c r="BE2788" s="33" t="n">
        <f aca="false">AZ2788-BD2788</f>
        <v>0</v>
      </c>
      <c r="BF2788" s="34" t="n">
        <f aca="false">BD2788*M2788</f>
        <v>34943.7</v>
      </c>
      <c r="BG2788" s="35" t="n">
        <f aca="false">BA2788-BF2788</f>
        <v>-1.69999999999709</v>
      </c>
      <c r="BH2788" s="19" t="str">
        <f aca="false">IF(BG2788=0,"",IF(BG2788&lt;&gt;BA2788,"erreur de calcul",IF(BD2788&lt;&gt;0,"pas de prix",IF(M2788&lt;&gt; 0,"pas de quantité","pas de prix, ni de quantité"))))</f>
        <v>erreur de calcul</v>
      </c>
      <c r="BI2788" s="19"/>
    </row>
    <row r="2789" customFormat="false" ht="15" hidden="false" customHeight="false" outlineLevel="0" collapsed="false">
      <c r="A2789" s="0" t="n">
        <v>2</v>
      </c>
      <c r="B2789" s="8" t="s">
        <v>24</v>
      </c>
      <c r="C2789" s="9" t="s">
        <v>25</v>
      </c>
      <c r="D2789" s="9" t="s">
        <v>26</v>
      </c>
      <c r="E2789" s="10" t="n">
        <v>1789</v>
      </c>
      <c r="F2789" s="9" t="s">
        <v>27</v>
      </c>
      <c r="G2789" s="9" t="s">
        <v>27</v>
      </c>
      <c r="H2789" s="11" t="n">
        <v>27</v>
      </c>
      <c r="I2789" s="11" t="s">
        <v>413</v>
      </c>
      <c r="J2789" s="14" t="n">
        <v>3</v>
      </c>
      <c r="K2789" s="14"/>
      <c r="L2789" s="16"/>
      <c r="M2789" s="27" t="n">
        <f aca="false">J2789+(K2789/20)+(L2789/240)</f>
        <v>3</v>
      </c>
      <c r="N2789" s="17" t="s">
        <v>66</v>
      </c>
      <c r="O2789" s="11"/>
      <c r="P2789" s="28"/>
      <c r="Q2789" s="28" t="n">
        <f aca="false">P2789*$M2789</f>
        <v>0</v>
      </c>
      <c r="R2789" s="28"/>
      <c r="S2789" s="28" t="n">
        <f aca="false">R2789*$M2789</f>
        <v>0</v>
      </c>
      <c r="T2789" s="28"/>
      <c r="U2789" s="28" t="n">
        <f aca="false">T2789*$M2789</f>
        <v>0</v>
      </c>
      <c r="V2789" s="28"/>
      <c r="W2789" s="28" t="n">
        <f aca="false">V2789*$M2789</f>
        <v>0</v>
      </c>
      <c r="X2789" s="28"/>
      <c r="Y2789" s="28" t="n">
        <f aca="false">X2789*$M2789</f>
        <v>0</v>
      </c>
      <c r="Z2789" s="28"/>
      <c r="AA2789" s="28" t="n">
        <f aca="false">Z2789*$M2789</f>
        <v>0</v>
      </c>
      <c r="AB2789" s="28"/>
      <c r="AC2789" s="28" t="n">
        <f aca="false">AB2789*$M2789</f>
        <v>0</v>
      </c>
      <c r="AD2789" s="28"/>
      <c r="AE2789" s="28" t="n">
        <f aca="false">AD2789*$M2789</f>
        <v>0</v>
      </c>
      <c r="AF2789" s="28"/>
      <c r="AG2789" s="28" t="n">
        <f aca="false">AF2789*$M2789</f>
        <v>0</v>
      </c>
      <c r="AH2789" s="28" t="n">
        <v>58272</v>
      </c>
      <c r="AI2789" s="28" t="n">
        <v>174816</v>
      </c>
      <c r="AJ2789" s="28"/>
      <c r="AK2789" s="28" t="n">
        <f aca="false">AJ2789*$M2789</f>
        <v>0</v>
      </c>
      <c r="AL2789" s="28"/>
      <c r="AM2789" s="28" t="n">
        <f aca="false">AL2789*$M2789</f>
        <v>0</v>
      </c>
      <c r="AN2789" s="28"/>
      <c r="AO2789" s="28" t="n">
        <f aca="false">AN2789*$M2789</f>
        <v>0</v>
      </c>
      <c r="AP2789" s="28"/>
      <c r="AQ2789" s="28" t="n">
        <f aca="false">AP2789*$M2789</f>
        <v>0</v>
      </c>
      <c r="AR2789" s="28"/>
      <c r="AS2789" s="28" t="n">
        <f aca="false">AR2789*$M2789</f>
        <v>0</v>
      </c>
      <c r="AT2789" s="28"/>
      <c r="AU2789" s="28" t="n">
        <f aca="false">AT2789*$M2789</f>
        <v>0</v>
      </c>
      <c r="AV2789" s="28"/>
      <c r="AW2789" s="28" t="n">
        <f aca="false">AV2789*$M2789</f>
        <v>0</v>
      </c>
      <c r="AX2789" s="28"/>
      <c r="AY2789" s="28" t="n">
        <f aca="false">AX2789*$M2789</f>
        <v>0</v>
      </c>
      <c r="AZ2789" s="30" t="n">
        <f aca="false">58272</f>
        <v>58272</v>
      </c>
      <c r="BA2789" s="11" t="n">
        <v>174816</v>
      </c>
      <c r="BB2789" s="31" t="n">
        <f aca="false">SUM(Q2789,S2789,U2789,W2789,Y2789,AA2789,AC2789,AE2789,AG2789,AI2789,AK2789,AM2789,AO2789,AQ2789,AS2789,AU2789,AW2789,AY2789)</f>
        <v>174816</v>
      </c>
      <c r="BC2789" s="28" t="n">
        <f aca="false">BA2789-BB2789</f>
        <v>0</v>
      </c>
      <c r="BD2789" s="32" t="n">
        <f aca="false">SUM(P2789,R2789,T2789,V2789,X2789,Z2789,AB2789,AD2789,AF2789,AH2789,AJ2789,AL2789,AN2789,AP2789,AR2789,AT2789,AV2789,AX2789)</f>
        <v>58272</v>
      </c>
      <c r="BE2789" s="33" t="n">
        <f aca="false">AZ2789-BD2789</f>
        <v>0</v>
      </c>
      <c r="BF2789" s="34" t="n">
        <f aca="false">BD2789*M2789</f>
        <v>174816</v>
      </c>
      <c r="BG2789" s="35" t="n">
        <f aca="false">BA2789-BF2789</f>
        <v>0</v>
      </c>
      <c r="BH2789" s="19" t="str">
        <f aca="false">IF(BG2789=0,"",IF(BG2789&lt;&gt;BA2789,"erreur de calcul",IF(BD2789&lt;&gt;0,"pas de prix",IF(M2789&lt;&gt; 0,"pas de quantité","pas de prix, ni de quantité"))))</f>
        <v/>
      </c>
      <c r="BI2789" s="19"/>
    </row>
    <row r="2790" customFormat="false" ht="15" hidden="false" customHeight="false" outlineLevel="0" collapsed="false">
      <c r="A2790" s="0" t="n">
        <v>3</v>
      </c>
      <c r="B2790" s="8" t="s">
        <v>24</v>
      </c>
      <c r="C2790" s="9" t="s">
        <v>25</v>
      </c>
      <c r="D2790" s="9" t="s">
        <v>26</v>
      </c>
      <c r="E2790" s="10" t="n">
        <v>1789</v>
      </c>
      <c r="F2790" s="9" t="s">
        <v>27</v>
      </c>
      <c r="G2790" s="9" t="s">
        <v>27</v>
      </c>
      <c r="H2790" s="11" t="n">
        <v>27</v>
      </c>
      <c r="I2790" s="11" t="s">
        <v>414</v>
      </c>
      <c r="J2790" s="14" t="n">
        <v>3</v>
      </c>
      <c r="K2790" s="14"/>
      <c r="L2790" s="16"/>
      <c r="M2790" s="27" t="n">
        <f aca="false">J2790+(K2790/20)+(L2790/240)</f>
        <v>3</v>
      </c>
      <c r="N2790" s="17" t="s">
        <v>66</v>
      </c>
      <c r="O2790" s="11" t="s">
        <v>98</v>
      </c>
      <c r="P2790" s="28"/>
      <c r="Q2790" s="28" t="n">
        <f aca="false">P2790*$M2790</f>
        <v>0</v>
      </c>
      <c r="R2790" s="28"/>
      <c r="S2790" s="28" t="n">
        <f aca="false">R2790*$M2790</f>
        <v>0</v>
      </c>
      <c r="T2790" s="28"/>
      <c r="U2790" s="28" t="n">
        <f aca="false">T2790*$M2790</f>
        <v>0</v>
      </c>
      <c r="V2790" s="28"/>
      <c r="W2790" s="28" t="n">
        <f aca="false">V2790*$M2790</f>
        <v>0</v>
      </c>
      <c r="X2790" s="28"/>
      <c r="Y2790" s="28" t="n">
        <f aca="false">X2790*$M2790</f>
        <v>0</v>
      </c>
      <c r="Z2790" s="28"/>
      <c r="AA2790" s="28" t="n">
        <f aca="false">Z2790*$M2790</f>
        <v>0</v>
      </c>
      <c r="AB2790" s="28"/>
      <c r="AC2790" s="28" t="n">
        <f aca="false">AB2790*$M2790</f>
        <v>0</v>
      </c>
      <c r="AD2790" s="28"/>
      <c r="AE2790" s="28" t="n">
        <f aca="false">AD2790*$M2790</f>
        <v>0</v>
      </c>
      <c r="AF2790" s="28"/>
      <c r="AG2790" s="28" t="n">
        <f aca="false">AF2790*$M2790</f>
        <v>0</v>
      </c>
      <c r="AH2790" s="28" t="n">
        <v>110560</v>
      </c>
      <c r="AI2790" s="28" t="n">
        <v>331680</v>
      </c>
      <c r="AJ2790" s="28"/>
      <c r="AK2790" s="28" t="n">
        <f aca="false">AJ2790*$M2790</f>
        <v>0</v>
      </c>
      <c r="AL2790" s="28"/>
      <c r="AM2790" s="28" t="n">
        <f aca="false">AL2790*$M2790</f>
        <v>0</v>
      </c>
      <c r="AN2790" s="28"/>
      <c r="AO2790" s="28" t="n">
        <f aca="false">AN2790*$M2790</f>
        <v>0</v>
      </c>
      <c r="AP2790" s="28"/>
      <c r="AQ2790" s="28" t="n">
        <f aca="false">AP2790*$M2790</f>
        <v>0</v>
      </c>
      <c r="AR2790" s="28"/>
      <c r="AS2790" s="28" t="n">
        <f aca="false">AR2790*$M2790</f>
        <v>0</v>
      </c>
      <c r="AT2790" s="28"/>
      <c r="AU2790" s="28" t="n">
        <f aca="false">AT2790*$M2790</f>
        <v>0</v>
      </c>
      <c r="AV2790" s="28"/>
      <c r="AW2790" s="28" t="n">
        <f aca="false">AV2790*$M2790</f>
        <v>0</v>
      </c>
      <c r="AX2790" s="28"/>
      <c r="AY2790" s="28" t="n">
        <f aca="false">AX2790*$M2790</f>
        <v>0</v>
      </c>
      <c r="AZ2790" s="30" t="n">
        <v>110560</v>
      </c>
      <c r="BA2790" s="11" t="n">
        <v>331680</v>
      </c>
      <c r="BB2790" s="31" t="n">
        <f aca="false">SUM(Q2790,S2790,U2790,W2790,Y2790,AA2790,AC2790,AE2790,AG2790,AI2790,AK2790,AM2790,AO2790,AQ2790,AS2790,AU2790,AW2790,AY2790)</f>
        <v>331680</v>
      </c>
      <c r="BC2790" s="28" t="n">
        <f aca="false">BA2790-BB2790</f>
        <v>0</v>
      </c>
      <c r="BD2790" s="32" t="n">
        <f aca="false">SUM(P2790,R2790,T2790,V2790,X2790,Z2790,AB2790,AD2790,AF2790,AH2790,AJ2790,AL2790,AN2790,AP2790,AR2790,AT2790,AV2790,AX2790)</f>
        <v>110560</v>
      </c>
      <c r="BE2790" s="33" t="n">
        <f aca="false">AZ2790-BD2790</f>
        <v>0</v>
      </c>
      <c r="BF2790" s="34" t="n">
        <f aca="false">BD2790*M2790</f>
        <v>331680</v>
      </c>
      <c r="BG2790" s="35" t="n">
        <f aca="false">BA2790-BF2790</f>
        <v>0</v>
      </c>
      <c r="BH2790" s="19" t="str">
        <f aca="false">IF(BG2790=0,"",IF(BG2790&lt;&gt;BA2790,"erreur de calcul",IF(BD2790&lt;&gt;0,"pas de prix",IF(M2790&lt;&gt; 0,"pas de quantité","pas de prix, ni de quantité"))))</f>
        <v/>
      </c>
      <c r="BI2790" s="19"/>
    </row>
    <row r="2791" customFormat="false" ht="15" hidden="false" customHeight="false" outlineLevel="0" collapsed="false">
      <c r="A2791" s="0" t="n">
        <v>4</v>
      </c>
      <c r="B2791" s="8" t="s">
        <v>24</v>
      </c>
      <c r="C2791" s="9" t="s">
        <v>25</v>
      </c>
      <c r="D2791" s="9" t="s">
        <v>26</v>
      </c>
      <c r="E2791" s="10" t="n">
        <v>1789</v>
      </c>
      <c r="F2791" s="9" t="s">
        <v>27</v>
      </c>
      <c r="G2791" s="9" t="s">
        <v>27</v>
      </c>
      <c r="H2791" s="11" t="n">
        <v>27</v>
      </c>
      <c r="I2791" s="11" t="s">
        <v>415</v>
      </c>
      <c r="J2791" s="14" t="n">
        <v>3</v>
      </c>
      <c r="K2791" s="14" t="n">
        <v>10</v>
      </c>
      <c r="L2791" s="16"/>
      <c r="M2791" s="27" t="n">
        <f aca="false">J2791+(K2791/20)+(L2791/240)</f>
        <v>3.5</v>
      </c>
      <c r="N2791" s="17" t="s">
        <v>66</v>
      </c>
      <c r="O2791" s="11" t="s">
        <v>98</v>
      </c>
      <c r="P2791" s="28"/>
      <c r="Q2791" s="28" t="n">
        <f aca="false">P2791*$M2791</f>
        <v>0</v>
      </c>
      <c r="R2791" s="28"/>
      <c r="S2791" s="28" t="n">
        <f aca="false">R2791*$M2791</f>
        <v>0</v>
      </c>
      <c r="T2791" s="28"/>
      <c r="U2791" s="28" t="n">
        <f aca="false">T2791*$M2791</f>
        <v>0</v>
      </c>
      <c r="V2791" s="28"/>
      <c r="W2791" s="28" t="n">
        <f aca="false">V2791*$M2791</f>
        <v>0</v>
      </c>
      <c r="X2791" s="28" t="n">
        <v>218</v>
      </c>
      <c r="Y2791" s="28" t="n">
        <v>763</v>
      </c>
      <c r="Z2791" s="28"/>
      <c r="AA2791" s="28" t="n">
        <f aca="false">Z2791*$M2791</f>
        <v>0</v>
      </c>
      <c r="AB2791" s="28"/>
      <c r="AC2791" s="28" t="n">
        <f aca="false">AB2791*$M2791</f>
        <v>0</v>
      </c>
      <c r="AD2791" s="28"/>
      <c r="AE2791" s="28" t="n">
        <f aca="false">AD2791*$M2791</f>
        <v>0</v>
      </c>
      <c r="AF2791" s="28"/>
      <c r="AG2791" s="28" t="n">
        <f aca="false">AF2791*$M2791</f>
        <v>0</v>
      </c>
      <c r="AH2791" s="28" t="n">
        <v>25905</v>
      </c>
      <c r="AI2791" s="28" t="n">
        <v>90667</v>
      </c>
      <c r="AJ2791" s="28"/>
      <c r="AK2791" s="28" t="n">
        <f aca="false">AJ2791*$M2791</f>
        <v>0</v>
      </c>
      <c r="AL2791" s="28"/>
      <c r="AM2791" s="28" t="n">
        <f aca="false">AL2791*$M2791</f>
        <v>0</v>
      </c>
      <c r="AN2791" s="28"/>
      <c r="AO2791" s="28" t="n">
        <f aca="false">AN2791*$M2791</f>
        <v>0</v>
      </c>
      <c r="AP2791" s="28"/>
      <c r="AQ2791" s="28" t="n">
        <f aca="false">AP2791*$M2791</f>
        <v>0</v>
      </c>
      <c r="AR2791" s="28"/>
      <c r="AS2791" s="28" t="n">
        <f aca="false">AR2791*$M2791</f>
        <v>0</v>
      </c>
      <c r="AT2791" s="28"/>
      <c r="AU2791" s="28" t="n">
        <f aca="false">AT2791*$M2791</f>
        <v>0</v>
      </c>
      <c r="AV2791" s="28"/>
      <c r="AW2791" s="28" t="n">
        <f aca="false">AV2791*$M2791</f>
        <v>0</v>
      </c>
      <c r="AX2791" s="28"/>
      <c r="AY2791" s="28" t="n">
        <f aca="false">AX2791*$M2791</f>
        <v>0</v>
      </c>
      <c r="AZ2791" s="30" t="n">
        <v>26123</v>
      </c>
      <c r="BA2791" s="11" t="n">
        <v>91430</v>
      </c>
      <c r="BB2791" s="31" t="n">
        <f aca="false">SUM(Q2791,S2791,U2791,W2791,Y2791,AA2791,AC2791,AE2791,AG2791,AI2791,AK2791,AM2791,AO2791,AQ2791,AS2791,AU2791,AW2791,AY2791)</f>
        <v>91430</v>
      </c>
      <c r="BC2791" s="28" t="n">
        <f aca="false">BA2791-BB2791</f>
        <v>0</v>
      </c>
      <c r="BD2791" s="32" t="n">
        <f aca="false">SUM(P2791,R2791,T2791,V2791,X2791,Z2791,AB2791,AD2791,AF2791,AH2791,AJ2791,AL2791,AN2791,AP2791,AR2791,AT2791,AV2791,AX2791)</f>
        <v>26123</v>
      </c>
      <c r="BE2791" s="33" t="n">
        <f aca="false">AZ2791-BD2791</f>
        <v>0</v>
      </c>
      <c r="BF2791" s="34" t="n">
        <f aca="false">BD2791*M2791</f>
        <v>91430.5</v>
      </c>
      <c r="BG2791" s="35" t="n">
        <f aca="false">BA2791-BF2791</f>
        <v>-0.5</v>
      </c>
      <c r="BH2791" s="19" t="str">
        <f aca="false">IF(BG2791=0,"",IF(BG2791&lt;&gt;BA2791,"erreur de calcul",IF(BD2791&lt;&gt;0,"pas de prix",IF(M2791&lt;&gt; 0,"pas de quantité","pas de prix, ni de quantité"))))</f>
        <v>erreur de calcul</v>
      </c>
      <c r="BI2791" s="19"/>
    </row>
    <row r="2792" customFormat="false" ht="15" hidden="false" customHeight="false" outlineLevel="0" collapsed="false">
      <c r="A2792" s="0" t="n">
        <v>5</v>
      </c>
      <c r="B2792" s="8" t="s">
        <v>24</v>
      </c>
      <c r="C2792" s="9" t="s">
        <v>25</v>
      </c>
      <c r="D2792" s="9" t="s">
        <v>26</v>
      </c>
      <c r="E2792" s="10" t="n">
        <v>1789</v>
      </c>
      <c r="F2792" s="9" t="s">
        <v>27</v>
      </c>
      <c r="G2792" s="9" t="s">
        <v>27</v>
      </c>
      <c r="H2792" s="11" t="n">
        <v>27</v>
      </c>
      <c r="I2792" s="11" t="s">
        <v>416</v>
      </c>
      <c r="J2792" s="14"/>
      <c r="K2792" s="14" t="n">
        <v>30</v>
      </c>
      <c r="L2792" s="16"/>
      <c r="M2792" s="27" t="n">
        <f aca="false">J2792+(K2792/20)+(L2792/240)</f>
        <v>1.5</v>
      </c>
      <c r="N2792" s="17" t="s">
        <v>66</v>
      </c>
      <c r="O2792" s="11"/>
      <c r="P2792" s="28"/>
      <c r="Q2792" s="28" t="n">
        <f aca="false">P2792*$M2792</f>
        <v>0</v>
      </c>
      <c r="R2792" s="28"/>
      <c r="S2792" s="28" t="n">
        <f aca="false">R2792*$M2792</f>
        <v>0</v>
      </c>
      <c r="T2792" s="28"/>
      <c r="U2792" s="28" t="n">
        <f aca="false">T2792*$M2792</f>
        <v>0</v>
      </c>
      <c r="V2792" s="28"/>
      <c r="W2792" s="28" t="n">
        <f aca="false">V2792*$M2792</f>
        <v>0</v>
      </c>
      <c r="X2792" s="28"/>
      <c r="Y2792" s="28" t="n">
        <f aca="false">X2792*$M2792</f>
        <v>0</v>
      </c>
      <c r="Z2792" s="28"/>
      <c r="AA2792" s="28" t="n">
        <f aca="false">Z2792*$M2792</f>
        <v>0</v>
      </c>
      <c r="AB2792" s="28"/>
      <c r="AC2792" s="28" t="n">
        <f aca="false">AB2792*$M2792</f>
        <v>0</v>
      </c>
      <c r="AD2792" s="28"/>
      <c r="AE2792" s="28" t="n">
        <f aca="false">AD2792*$M2792</f>
        <v>0</v>
      </c>
      <c r="AF2792" s="28"/>
      <c r="AG2792" s="28" t="n">
        <f aca="false">AF2792*$M2792</f>
        <v>0</v>
      </c>
      <c r="AH2792" s="28" t="n">
        <v>75870</v>
      </c>
      <c r="AI2792" s="28" t="n">
        <v>113805</v>
      </c>
      <c r="AJ2792" s="28"/>
      <c r="AK2792" s="28" t="n">
        <f aca="false">AJ2792*$M2792</f>
        <v>0</v>
      </c>
      <c r="AL2792" s="28"/>
      <c r="AM2792" s="28" t="n">
        <f aca="false">AL2792*$M2792</f>
        <v>0</v>
      </c>
      <c r="AN2792" s="28"/>
      <c r="AO2792" s="28" t="n">
        <f aca="false">AN2792*$M2792</f>
        <v>0</v>
      </c>
      <c r="AP2792" s="28"/>
      <c r="AQ2792" s="28" t="n">
        <f aca="false">AP2792*$M2792</f>
        <v>0</v>
      </c>
      <c r="AR2792" s="28"/>
      <c r="AS2792" s="28" t="n">
        <f aca="false">AR2792*$M2792</f>
        <v>0</v>
      </c>
      <c r="AT2792" s="28"/>
      <c r="AU2792" s="28" t="n">
        <f aca="false">AT2792*$M2792</f>
        <v>0</v>
      </c>
      <c r="AV2792" s="28"/>
      <c r="AW2792" s="28" t="n">
        <f aca="false">AV2792*$M2792</f>
        <v>0</v>
      </c>
      <c r="AX2792" s="28"/>
      <c r="AY2792" s="28" t="n">
        <f aca="false">AX2792*$M2792</f>
        <v>0</v>
      </c>
      <c r="AZ2792" s="30" t="n">
        <v>75870</v>
      </c>
      <c r="BA2792" s="11" t="n">
        <v>113805</v>
      </c>
      <c r="BB2792" s="31" t="n">
        <f aca="false">SUM(Q2792,S2792,U2792,W2792,Y2792,AA2792,AC2792,AE2792,AG2792,AI2792,AK2792,AM2792,AO2792,AQ2792,AS2792,AU2792,AW2792,AY2792)</f>
        <v>113805</v>
      </c>
      <c r="BC2792" s="28" t="n">
        <f aca="false">BA2792-BB2792</f>
        <v>0</v>
      </c>
      <c r="BD2792" s="32" t="n">
        <f aca="false">SUM(P2792,R2792,T2792,V2792,X2792,Z2792,AB2792,AD2792,AF2792,AH2792,AJ2792,AL2792,AN2792,AP2792,AR2792,AT2792,AV2792,AX2792)</f>
        <v>75870</v>
      </c>
      <c r="BE2792" s="33" t="n">
        <f aca="false">AZ2792-BD2792</f>
        <v>0</v>
      </c>
      <c r="BF2792" s="34" t="n">
        <f aca="false">BD2792*M2792</f>
        <v>113805</v>
      </c>
      <c r="BG2792" s="35" t="n">
        <f aca="false">BA2792-BF2792</f>
        <v>0</v>
      </c>
      <c r="BH2792" s="19" t="str">
        <f aca="false">IF(BG2792=0,"",IF(BG2792&lt;&gt;BA2792,"erreur de calcul",IF(BD2792&lt;&gt;0,"pas de prix",IF(M2792&lt;&gt; 0,"pas de quantité","pas de prix, ni de quantité"))))</f>
        <v/>
      </c>
      <c r="BI2792" s="19"/>
    </row>
    <row r="2793" customFormat="false" ht="15" hidden="false" customHeight="false" outlineLevel="0" collapsed="false">
      <c r="A2793" s="0" t="n">
        <v>6</v>
      </c>
      <c r="B2793" s="8" t="s">
        <v>24</v>
      </c>
      <c r="C2793" s="9" t="s">
        <v>25</v>
      </c>
      <c r="D2793" s="9" t="s">
        <v>26</v>
      </c>
      <c r="E2793" s="10" t="n">
        <v>1789</v>
      </c>
      <c r="F2793" s="9" t="s">
        <v>27</v>
      </c>
      <c r="G2793" s="9" t="s">
        <v>27</v>
      </c>
      <c r="H2793" s="11" t="n">
        <v>27</v>
      </c>
      <c r="I2793" s="11" t="s">
        <v>417</v>
      </c>
      <c r="J2793" s="14" t="n">
        <v>3</v>
      </c>
      <c r="K2793" s="14"/>
      <c r="L2793" s="16"/>
      <c r="M2793" s="27" t="n">
        <f aca="false">J2793+(K2793/20)+(L2793/240)</f>
        <v>3</v>
      </c>
      <c r="N2793" s="17" t="s">
        <v>66</v>
      </c>
      <c r="O2793" s="11"/>
      <c r="P2793" s="28"/>
      <c r="Q2793" s="28" t="n">
        <f aca="false">P2793*$M2793</f>
        <v>0</v>
      </c>
      <c r="R2793" s="28"/>
      <c r="S2793" s="28" t="n">
        <f aca="false">R2793*$M2793</f>
        <v>0</v>
      </c>
      <c r="T2793" s="28"/>
      <c r="U2793" s="28" t="n">
        <f aca="false">T2793*$M2793</f>
        <v>0</v>
      </c>
      <c r="V2793" s="28"/>
      <c r="W2793" s="28" t="n">
        <f aca="false">V2793*$M2793</f>
        <v>0</v>
      </c>
      <c r="X2793" s="28"/>
      <c r="Y2793" s="28" t="n">
        <f aca="false">X2793*$M2793</f>
        <v>0</v>
      </c>
      <c r="Z2793" s="28"/>
      <c r="AA2793" s="28" t="n">
        <f aca="false">Z2793*$M2793</f>
        <v>0</v>
      </c>
      <c r="AB2793" s="28"/>
      <c r="AC2793" s="28" t="n">
        <f aca="false">AB2793*$M2793</f>
        <v>0</v>
      </c>
      <c r="AD2793" s="28"/>
      <c r="AE2793" s="28" t="n">
        <f aca="false">AD2793*$M2793</f>
        <v>0</v>
      </c>
      <c r="AF2793" s="28"/>
      <c r="AG2793" s="28" t="n">
        <f aca="false">AF2793*$M2793</f>
        <v>0</v>
      </c>
      <c r="AH2793" s="28" t="n">
        <v>121588</v>
      </c>
      <c r="AI2793" s="28" t="n">
        <v>364764</v>
      </c>
      <c r="AJ2793" s="28"/>
      <c r="AK2793" s="28" t="n">
        <f aca="false">AJ2793*$M2793</f>
        <v>0</v>
      </c>
      <c r="AL2793" s="28"/>
      <c r="AM2793" s="28" t="n">
        <f aca="false">AL2793*$M2793</f>
        <v>0</v>
      </c>
      <c r="AN2793" s="28"/>
      <c r="AO2793" s="28" t="n">
        <f aca="false">AN2793*$M2793</f>
        <v>0</v>
      </c>
      <c r="AP2793" s="28"/>
      <c r="AQ2793" s="28" t="n">
        <f aca="false">AP2793*$M2793</f>
        <v>0</v>
      </c>
      <c r="AR2793" s="28"/>
      <c r="AS2793" s="28" t="n">
        <f aca="false">AR2793*$M2793</f>
        <v>0</v>
      </c>
      <c r="AT2793" s="28"/>
      <c r="AU2793" s="28" t="n">
        <f aca="false">AT2793*$M2793</f>
        <v>0</v>
      </c>
      <c r="AV2793" s="28"/>
      <c r="AW2793" s="28" t="n">
        <f aca="false">AV2793*$M2793</f>
        <v>0</v>
      </c>
      <c r="AX2793" s="28"/>
      <c r="AY2793" s="28" t="n">
        <f aca="false">AX2793*$M2793</f>
        <v>0</v>
      </c>
      <c r="AZ2793" s="30" t="n">
        <v>121588</v>
      </c>
      <c r="BA2793" s="11" t="n">
        <v>364764</v>
      </c>
      <c r="BB2793" s="31" t="n">
        <f aca="false">SUM(Q2793,S2793,U2793,W2793,Y2793,AA2793,AC2793,AE2793,AG2793,AI2793,AK2793,AM2793,AO2793,AQ2793,AS2793,AU2793,AW2793,AY2793)</f>
        <v>364764</v>
      </c>
      <c r="BC2793" s="28" t="n">
        <f aca="false">BA2793-BB2793</f>
        <v>0</v>
      </c>
      <c r="BD2793" s="32" t="n">
        <f aca="false">SUM(P2793,R2793,T2793,V2793,X2793,Z2793,AB2793,AD2793,AF2793,AH2793,AJ2793,AL2793,AN2793,AP2793,AR2793,AT2793,AV2793,AX2793)</f>
        <v>121588</v>
      </c>
      <c r="BE2793" s="33" t="n">
        <f aca="false">AZ2793-BD2793</f>
        <v>0</v>
      </c>
      <c r="BF2793" s="34" t="n">
        <f aca="false">BD2793*M2793</f>
        <v>364764</v>
      </c>
      <c r="BG2793" s="35" t="n">
        <f aca="false">BA2793-BF2793</f>
        <v>0</v>
      </c>
      <c r="BH2793" s="19" t="str">
        <f aca="false">IF(BG2793=0,"",IF(BG2793&lt;&gt;BA2793,"erreur de calcul",IF(BD2793&lt;&gt;0,"pas de prix",IF(M2793&lt;&gt; 0,"pas de quantité","pas de prix, ni de quantité"))))</f>
        <v/>
      </c>
      <c r="BI2793" s="19"/>
    </row>
    <row r="2794" customFormat="false" ht="15" hidden="false" customHeight="false" outlineLevel="0" collapsed="false">
      <c r="A2794" s="0" t="n">
        <v>7</v>
      </c>
      <c r="B2794" s="8" t="s">
        <v>24</v>
      </c>
      <c r="C2794" s="9" t="s">
        <v>25</v>
      </c>
      <c r="D2794" s="9" t="s">
        <v>26</v>
      </c>
      <c r="E2794" s="10" t="n">
        <v>1789</v>
      </c>
      <c r="F2794" s="9" t="s">
        <v>27</v>
      </c>
      <c r="G2794" s="9" t="s">
        <v>27</v>
      </c>
      <c r="H2794" s="11" t="n">
        <v>27</v>
      </c>
      <c r="I2794" s="11" t="s">
        <v>418</v>
      </c>
      <c r="J2794" s="14"/>
      <c r="K2794" s="14" t="n">
        <v>24</v>
      </c>
      <c r="L2794" s="16"/>
      <c r="M2794" s="27" t="n">
        <f aca="false">J2794+(K2794/20)+(L2794/240)</f>
        <v>1.2</v>
      </c>
      <c r="N2794" s="17" t="s">
        <v>66</v>
      </c>
      <c r="O2794" s="11"/>
      <c r="P2794" s="28"/>
      <c r="Q2794" s="28" t="n">
        <f aca="false">P2794*$M2794</f>
        <v>0</v>
      </c>
      <c r="R2794" s="28"/>
      <c r="S2794" s="28" t="n">
        <f aca="false">R2794*$M2794</f>
        <v>0</v>
      </c>
      <c r="T2794" s="28"/>
      <c r="U2794" s="28" t="n">
        <f aca="false">T2794*$M2794</f>
        <v>0</v>
      </c>
      <c r="V2794" s="28"/>
      <c r="W2794" s="28" t="n">
        <f aca="false">V2794*$M2794</f>
        <v>0</v>
      </c>
      <c r="X2794" s="28"/>
      <c r="Y2794" s="28" t="n">
        <f aca="false">X2794*$M2794</f>
        <v>0</v>
      </c>
      <c r="Z2794" s="28"/>
      <c r="AA2794" s="28" t="n">
        <f aca="false">Z2794*$M2794</f>
        <v>0</v>
      </c>
      <c r="AB2794" s="28"/>
      <c r="AC2794" s="28" t="n">
        <f aca="false">AB2794*$M2794</f>
        <v>0</v>
      </c>
      <c r="AD2794" s="28"/>
      <c r="AE2794" s="28" t="n">
        <f aca="false">AD2794*$M2794</f>
        <v>0</v>
      </c>
      <c r="AF2794" s="28"/>
      <c r="AG2794" s="28" t="n">
        <f aca="false">AF2794*$M2794</f>
        <v>0</v>
      </c>
      <c r="AH2794" s="28" t="n">
        <v>50204</v>
      </c>
      <c r="AI2794" s="28" t="n">
        <v>60245</v>
      </c>
      <c r="AJ2794" s="28"/>
      <c r="AK2794" s="28" t="n">
        <f aca="false">AJ2794*$M2794</f>
        <v>0</v>
      </c>
      <c r="AL2794" s="28"/>
      <c r="AM2794" s="28" t="n">
        <f aca="false">AL2794*$M2794</f>
        <v>0</v>
      </c>
      <c r="AN2794" s="28"/>
      <c r="AO2794" s="28" t="n">
        <f aca="false">AN2794*$M2794</f>
        <v>0</v>
      </c>
      <c r="AP2794" s="28"/>
      <c r="AQ2794" s="28" t="n">
        <f aca="false">AP2794*$M2794</f>
        <v>0</v>
      </c>
      <c r="AR2794" s="28"/>
      <c r="AS2794" s="28" t="n">
        <f aca="false">AR2794*$M2794</f>
        <v>0</v>
      </c>
      <c r="AT2794" s="28"/>
      <c r="AU2794" s="28" t="n">
        <f aca="false">AT2794*$M2794</f>
        <v>0</v>
      </c>
      <c r="AV2794" s="28"/>
      <c r="AW2794" s="28" t="n">
        <f aca="false">AV2794*$M2794</f>
        <v>0</v>
      </c>
      <c r="AX2794" s="28"/>
      <c r="AY2794" s="28" t="n">
        <f aca="false">AX2794*$M2794</f>
        <v>0</v>
      </c>
      <c r="AZ2794" s="30" t="n">
        <v>50204</v>
      </c>
      <c r="BA2794" s="11" t="n">
        <v>60245</v>
      </c>
      <c r="BB2794" s="31" t="n">
        <f aca="false">SUM(Q2794,S2794,U2794,W2794,Y2794,AA2794,AC2794,AE2794,AG2794,AI2794,AK2794,AM2794,AO2794,AQ2794,AS2794,AU2794,AW2794,AY2794)</f>
        <v>60245</v>
      </c>
      <c r="BC2794" s="28" t="n">
        <f aca="false">BA2794-BB2794</f>
        <v>0</v>
      </c>
      <c r="BD2794" s="32" t="n">
        <f aca="false">SUM(P2794,R2794,T2794,V2794,X2794,Z2794,AB2794,AD2794,AF2794,AH2794,AJ2794,AL2794,AN2794,AP2794,AR2794,AT2794,AV2794,AX2794)</f>
        <v>50204</v>
      </c>
      <c r="BE2794" s="33" t="n">
        <f aca="false">AZ2794-BD2794</f>
        <v>0</v>
      </c>
      <c r="BF2794" s="34" t="n">
        <f aca="false">BD2794*M2794</f>
        <v>60244.8</v>
      </c>
      <c r="BG2794" s="35" t="n">
        <f aca="false">BA2794-BF2794</f>
        <v>0.200000000004366</v>
      </c>
      <c r="BH2794" s="19" t="str">
        <f aca="false">IF(BG2794=0,"",IF(BG2794&lt;&gt;BA2794,"erreur de calcul",IF(BD2794&lt;&gt;0,"pas de prix",IF(M2794&lt;&gt; 0,"pas de quantité","pas de prix, ni de quantité"))))</f>
        <v>erreur de calcul</v>
      </c>
      <c r="BI2794" s="19"/>
    </row>
    <row r="2795" customFormat="false" ht="15" hidden="false" customHeight="false" outlineLevel="0" collapsed="false">
      <c r="A2795" s="0" t="n">
        <v>8</v>
      </c>
      <c r="B2795" s="8" t="s">
        <v>24</v>
      </c>
      <c r="C2795" s="9" t="s">
        <v>25</v>
      </c>
      <c r="D2795" s="9" t="s">
        <v>26</v>
      </c>
      <c r="E2795" s="10" t="n">
        <v>1789</v>
      </c>
      <c r="F2795" s="9" t="s">
        <v>27</v>
      </c>
      <c r="G2795" s="9" t="s">
        <v>27</v>
      </c>
      <c r="H2795" s="11" t="n">
        <v>27</v>
      </c>
      <c r="I2795" s="11" t="s">
        <v>419</v>
      </c>
      <c r="J2795" s="14" t="n">
        <v>40</v>
      </c>
      <c r="K2795" s="14"/>
      <c r="L2795" s="16"/>
      <c r="M2795" s="27" t="n">
        <f aca="false">J2795+(K2795/20)+(L2795/240)</f>
        <v>40</v>
      </c>
      <c r="N2795" s="17" t="s">
        <v>66</v>
      </c>
      <c r="O2795" s="11" t="s">
        <v>98</v>
      </c>
      <c r="P2795" s="28"/>
      <c r="Q2795" s="28" t="n">
        <f aca="false">P2795*$M2795</f>
        <v>0</v>
      </c>
      <c r="R2795" s="28"/>
      <c r="S2795" s="28" t="n">
        <f aca="false">R2795*$M2795</f>
        <v>0</v>
      </c>
      <c r="T2795" s="28"/>
      <c r="U2795" s="28" t="n">
        <f aca="false">T2795*$M2795</f>
        <v>0</v>
      </c>
      <c r="V2795" s="28"/>
      <c r="W2795" s="28" t="n">
        <f aca="false">V2795*$M2795</f>
        <v>0</v>
      </c>
      <c r="X2795" s="28"/>
      <c r="Y2795" s="28" t="n">
        <f aca="false">X2795*$M2795</f>
        <v>0</v>
      </c>
      <c r="Z2795" s="28"/>
      <c r="AA2795" s="28" t="n">
        <f aca="false">Z2795*$M2795</f>
        <v>0</v>
      </c>
      <c r="AB2795" s="28"/>
      <c r="AC2795" s="28" t="n">
        <f aca="false">AB2795*$M2795</f>
        <v>0</v>
      </c>
      <c r="AD2795" s="28"/>
      <c r="AE2795" s="28" t="n">
        <f aca="false">AD2795*$M2795</f>
        <v>0</v>
      </c>
      <c r="AF2795" s="28"/>
      <c r="AG2795" s="28" t="n">
        <f aca="false">AF2795*$M2795</f>
        <v>0</v>
      </c>
      <c r="AH2795" s="28"/>
      <c r="AI2795" s="28" t="n">
        <f aca="false">AH2795*$M2795</f>
        <v>0</v>
      </c>
      <c r="AJ2795" s="28"/>
      <c r="AK2795" s="28" t="n">
        <f aca="false">AJ2795*$M2795</f>
        <v>0</v>
      </c>
      <c r="AL2795" s="28"/>
      <c r="AM2795" s="28" t="n">
        <f aca="false">AL2795*$M2795</f>
        <v>0</v>
      </c>
      <c r="AN2795" s="28"/>
      <c r="AO2795" s="28" t="n">
        <f aca="false">AN2795*$M2795</f>
        <v>0</v>
      </c>
      <c r="AP2795" s="28"/>
      <c r="AQ2795" s="28" t="n">
        <f aca="false">AP2795*$M2795</f>
        <v>0</v>
      </c>
      <c r="AR2795" s="28"/>
      <c r="AS2795" s="28" t="n">
        <f aca="false">AR2795*$M2795</f>
        <v>0</v>
      </c>
      <c r="AT2795" s="28"/>
      <c r="AU2795" s="28" t="n">
        <f aca="false">AT2795*$M2795</f>
        <v>0</v>
      </c>
      <c r="AV2795" s="28"/>
      <c r="AW2795" s="28" t="n">
        <f aca="false">AV2795*$M2795</f>
        <v>0</v>
      </c>
      <c r="AX2795" s="28"/>
      <c r="AY2795" s="28" t="n">
        <f aca="false">AX2795*$M2795</f>
        <v>0</v>
      </c>
      <c r="AZ2795" s="30"/>
      <c r="BA2795" s="11"/>
      <c r="BB2795" s="31" t="n">
        <f aca="false">SUM(Q2795,S2795,U2795,W2795,Y2795,AA2795,AC2795,AE2795,AG2795,AI2795,AK2795,AM2795,AO2795,AQ2795,AS2795,AU2795,AW2795,AY2795)</f>
        <v>0</v>
      </c>
      <c r="BC2795" s="28" t="n">
        <f aca="false">BA2795-BB2795</f>
        <v>0</v>
      </c>
      <c r="BD2795" s="32" t="n">
        <f aca="false">SUM(P2795,R2795,T2795,V2795,X2795,Z2795,AB2795,AD2795,AF2795,AH2795,AJ2795,AL2795,AN2795,AP2795,AR2795,AT2795,AV2795,AX2795)</f>
        <v>0</v>
      </c>
      <c r="BE2795" s="33" t="n">
        <f aca="false">AZ2795-BD2795</f>
        <v>0</v>
      </c>
      <c r="BF2795" s="34" t="n">
        <f aca="false">BD2795*M2795</f>
        <v>0</v>
      </c>
      <c r="BG2795" s="35" t="n">
        <f aca="false">BA2795-BF2795</f>
        <v>0</v>
      </c>
      <c r="BH2795" s="19" t="str">
        <f aca="false">IF(BG2795=0,"",IF(BG2795&lt;&gt;BA2795,"erreur de calcul",IF(BD2795&lt;&gt;0,"pas de prix",IF(M2795&lt;&gt; 0,"pas de quantité","pas de prix, ni de quantité"))))</f>
        <v/>
      </c>
      <c r="BI2795" s="19"/>
    </row>
    <row r="2796" customFormat="false" ht="15" hidden="false" customHeight="false" outlineLevel="0" collapsed="false">
      <c r="A2796" s="0" t="n">
        <v>9</v>
      </c>
      <c r="B2796" s="8" t="s">
        <v>24</v>
      </c>
      <c r="C2796" s="9" t="s">
        <v>25</v>
      </c>
      <c r="D2796" s="9" t="s">
        <v>26</v>
      </c>
      <c r="E2796" s="10" t="n">
        <v>1789</v>
      </c>
      <c r="F2796" s="9" t="s">
        <v>27</v>
      </c>
      <c r="G2796" s="9" t="s">
        <v>27</v>
      </c>
      <c r="H2796" s="11" t="n">
        <v>27</v>
      </c>
      <c r="I2796" s="11" t="s">
        <v>420</v>
      </c>
      <c r="J2796" s="14" t="n">
        <v>9</v>
      </c>
      <c r="K2796" s="14"/>
      <c r="L2796" s="16"/>
      <c r="M2796" s="27" t="n">
        <f aca="false">J2796+(K2796/20)+(L2796/240)</f>
        <v>9</v>
      </c>
      <c r="N2796" s="17" t="s">
        <v>81</v>
      </c>
      <c r="O2796" s="11" t="s">
        <v>98</v>
      </c>
      <c r="P2796" s="28"/>
      <c r="Q2796" s="28" t="n">
        <f aca="false">P2796*$M2796</f>
        <v>0</v>
      </c>
      <c r="R2796" s="28"/>
      <c r="S2796" s="28" t="n">
        <f aca="false">R2796*$M2796</f>
        <v>0</v>
      </c>
      <c r="T2796" s="28"/>
      <c r="U2796" s="28" t="n">
        <f aca="false">T2796*$M2796</f>
        <v>0</v>
      </c>
      <c r="V2796" s="28"/>
      <c r="W2796" s="28" t="n">
        <f aca="false">V2796*$M2796</f>
        <v>0</v>
      </c>
      <c r="X2796" s="28"/>
      <c r="Y2796" s="28" t="n">
        <f aca="false">X2796*$M2796</f>
        <v>0</v>
      </c>
      <c r="Z2796" s="28"/>
      <c r="AA2796" s="28" t="n">
        <f aca="false">Z2796*$M2796</f>
        <v>0</v>
      </c>
      <c r="AB2796" s="28"/>
      <c r="AC2796" s="28" t="n">
        <f aca="false">AB2796*$M2796</f>
        <v>0</v>
      </c>
      <c r="AD2796" s="28"/>
      <c r="AE2796" s="28" t="n">
        <f aca="false">AD2796*$M2796</f>
        <v>0</v>
      </c>
      <c r="AF2796" s="28"/>
      <c r="AG2796" s="28" t="n">
        <f aca="false">AF2796*$M2796</f>
        <v>0</v>
      </c>
      <c r="AH2796" s="28"/>
      <c r="AI2796" s="28" t="n">
        <f aca="false">AH2796*$M2796</f>
        <v>0</v>
      </c>
      <c r="AJ2796" s="28"/>
      <c r="AK2796" s="28" t="n">
        <f aca="false">AJ2796*$M2796</f>
        <v>0</v>
      </c>
      <c r="AL2796" s="28"/>
      <c r="AM2796" s="28" t="n">
        <f aca="false">AL2796*$M2796</f>
        <v>0</v>
      </c>
      <c r="AN2796" s="28"/>
      <c r="AO2796" s="28" t="n">
        <f aca="false">AN2796*$M2796</f>
        <v>0</v>
      </c>
      <c r="AP2796" s="28"/>
      <c r="AQ2796" s="28" t="n">
        <f aca="false">AP2796*$M2796</f>
        <v>0</v>
      </c>
      <c r="AR2796" s="28"/>
      <c r="AS2796" s="28" t="n">
        <f aca="false">AR2796*$M2796</f>
        <v>0</v>
      </c>
      <c r="AT2796" s="28"/>
      <c r="AU2796" s="28" t="n">
        <f aca="false">AT2796*$M2796</f>
        <v>0</v>
      </c>
      <c r="AV2796" s="28"/>
      <c r="AW2796" s="28" t="n">
        <f aca="false">AV2796*$M2796</f>
        <v>0</v>
      </c>
      <c r="AX2796" s="28"/>
      <c r="AY2796" s="28" t="n">
        <f aca="false">AX2796*$M2796</f>
        <v>0</v>
      </c>
      <c r="AZ2796" s="30"/>
      <c r="BA2796" s="11"/>
      <c r="BB2796" s="31" t="n">
        <f aca="false">SUM(Q2796,S2796,U2796,W2796,Y2796,AA2796,AC2796,AE2796,AG2796,AI2796,AK2796,AM2796,AO2796,AQ2796,AS2796,AU2796,AW2796,AY2796)</f>
        <v>0</v>
      </c>
      <c r="BC2796" s="28" t="n">
        <f aca="false">BA2796-BB2796</f>
        <v>0</v>
      </c>
      <c r="BD2796" s="32" t="n">
        <f aca="false">SUM(P2796,R2796,T2796,V2796,X2796,Z2796,AB2796,AD2796,AF2796,AH2796,AJ2796,AL2796,AN2796,AP2796,AR2796,AT2796,AV2796,AX2796)</f>
        <v>0</v>
      </c>
      <c r="BE2796" s="33" t="n">
        <f aca="false">AZ2796-BD2796</f>
        <v>0</v>
      </c>
      <c r="BF2796" s="34" t="n">
        <f aca="false">BD2796*M2796</f>
        <v>0</v>
      </c>
      <c r="BG2796" s="35" t="n">
        <f aca="false">BA2796-BF2796</f>
        <v>0</v>
      </c>
      <c r="BH2796" s="19" t="str">
        <f aca="false">IF(BG2796=0,"",IF(BG2796&lt;&gt;BA2796,"erreur de calcul",IF(BD2796&lt;&gt;0,"pas de prix",IF(M2796&lt;&gt; 0,"pas de quantité","pas de prix, ni de quantité"))))</f>
        <v/>
      </c>
      <c r="BI2796" s="19"/>
    </row>
    <row r="2797" customFormat="false" ht="15" hidden="false" customHeight="false" outlineLevel="0" collapsed="false">
      <c r="A2797" s="0" t="n">
        <v>10</v>
      </c>
      <c r="B2797" s="8" t="s">
        <v>24</v>
      </c>
      <c r="C2797" s="9" t="s">
        <v>25</v>
      </c>
      <c r="D2797" s="9" t="s">
        <v>26</v>
      </c>
      <c r="E2797" s="10" t="n">
        <v>1789</v>
      </c>
      <c r="F2797" s="9" t="s">
        <v>27</v>
      </c>
      <c r="G2797" s="9" t="s">
        <v>27</v>
      </c>
      <c r="H2797" s="11" t="n">
        <v>27</v>
      </c>
      <c r="I2797" s="11" t="s">
        <v>421</v>
      </c>
      <c r="J2797" s="14" t="n">
        <v>220</v>
      </c>
      <c r="K2797" s="14"/>
      <c r="L2797" s="16"/>
      <c r="M2797" s="27" t="n">
        <f aca="false">J2797+(K2797/20)+(L2797/240)</f>
        <v>220</v>
      </c>
      <c r="N2797" s="17" t="s">
        <v>64</v>
      </c>
      <c r="O2797" s="11" t="s">
        <v>277</v>
      </c>
      <c r="P2797" s="28" t="n">
        <f aca="false">245/100</f>
        <v>2.45</v>
      </c>
      <c r="Q2797" s="28" t="n">
        <v>539</v>
      </c>
      <c r="R2797" s="28"/>
      <c r="S2797" s="28" t="n">
        <f aca="false">R2797*$M2797</f>
        <v>0</v>
      </c>
      <c r="T2797" s="28" t="n">
        <f aca="false">40119/100</f>
        <v>401.19</v>
      </c>
      <c r="U2797" s="28" t="n">
        <v>88262</v>
      </c>
      <c r="V2797" s="28" t="n">
        <f aca="false">14285/100</f>
        <v>142.85</v>
      </c>
      <c r="W2797" s="28" t="n">
        <v>31427</v>
      </c>
      <c r="X2797" s="28" t="n">
        <f aca="false">62608/100</f>
        <v>626.08</v>
      </c>
      <c r="Y2797" s="28" t="n">
        <v>137738</v>
      </c>
      <c r="Z2797" s="28" t="n">
        <f aca="false">523/100</f>
        <v>5.23</v>
      </c>
      <c r="AA2797" s="28" t="n">
        <v>1151</v>
      </c>
      <c r="AB2797" s="28" t="n">
        <f aca="false">56/100</f>
        <v>0.56</v>
      </c>
      <c r="AC2797" s="28" t="n">
        <v>123</v>
      </c>
      <c r="AD2797" s="28"/>
      <c r="AE2797" s="28" t="n">
        <f aca="false">AD2797*$M2797</f>
        <v>0</v>
      </c>
      <c r="AF2797" s="28"/>
      <c r="AG2797" s="28" t="n">
        <f aca="false">AF2797*$M2797</f>
        <v>0</v>
      </c>
      <c r="AH2797" s="28"/>
      <c r="AI2797" s="28" t="n">
        <f aca="false">AH2797*$M2797</f>
        <v>0</v>
      </c>
      <c r="AJ2797" s="28" t="n">
        <f aca="false">3845/100</f>
        <v>38.45</v>
      </c>
      <c r="AK2797" s="28" t="n">
        <v>8459</v>
      </c>
      <c r="AL2797" s="28" t="n">
        <f aca="false">26510/100</f>
        <v>265.1</v>
      </c>
      <c r="AM2797" s="28" t="n">
        <v>58322</v>
      </c>
      <c r="AN2797" s="28" t="n">
        <f aca="false">330/100</f>
        <v>3.3</v>
      </c>
      <c r="AO2797" s="28" t="n">
        <v>726</v>
      </c>
      <c r="AP2797" s="28"/>
      <c r="AQ2797" s="28" t="n">
        <f aca="false">AP2797*$M2797</f>
        <v>0</v>
      </c>
      <c r="AR2797" s="28"/>
      <c r="AS2797" s="28" t="n">
        <f aca="false">AR2797*$M2797</f>
        <v>0</v>
      </c>
      <c r="AT2797" s="28"/>
      <c r="AU2797" s="28" t="n">
        <f aca="false">AT2797*$M2797</f>
        <v>0</v>
      </c>
      <c r="AV2797" s="28" t="n">
        <f aca="false">1487/100</f>
        <v>14.87</v>
      </c>
      <c r="AW2797" s="28" t="n">
        <v>3271</v>
      </c>
      <c r="AX2797" s="28"/>
      <c r="AY2797" s="28" t="n">
        <f aca="false">AX2797*$M2797</f>
        <v>0</v>
      </c>
      <c r="AZ2797" s="30" t="n">
        <f aca="false">150008/100</f>
        <v>1500.08</v>
      </c>
      <c r="BA2797" s="11" t="n">
        <v>330018</v>
      </c>
      <c r="BB2797" s="31" t="n">
        <f aca="false">SUM(Q2797,S2797,U2797,W2797,Y2797,AA2797,AC2797,AE2797,AG2797,AI2797,AK2797,AM2797,AO2797,AQ2797,AS2797,AU2797,AW2797,AY2797)</f>
        <v>330018</v>
      </c>
      <c r="BC2797" s="28" t="n">
        <f aca="false">BA2797-BB2797</f>
        <v>0</v>
      </c>
      <c r="BD2797" s="32" t="n">
        <f aca="false">SUM(P2797,R2797,T2797,V2797,X2797,Z2797,AB2797,AD2797,AF2797,AH2797,AJ2797,AL2797,AN2797,AP2797,AR2797,AT2797,AV2797,AX2797)</f>
        <v>1500.08</v>
      </c>
      <c r="BE2797" s="33" t="n">
        <f aca="false">AZ2797-BD2797</f>
        <v>0</v>
      </c>
      <c r="BF2797" s="34" t="n">
        <f aca="false">BD2797*M2797</f>
        <v>330017.6</v>
      </c>
      <c r="BG2797" s="35" t="n">
        <f aca="false">BA2797-BF2797</f>
        <v>0.399999999965075</v>
      </c>
      <c r="BH2797" s="19" t="str">
        <f aca="false">IF(BG2797=0,"",IF(BG2797&lt;&gt;BA2797,"erreur de calcul",IF(BD2797&lt;&gt;0,"pas de prix",IF(M2797&lt;&gt; 0,"pas de quantité","pas de prix, ni de quantité"))))</f>
        <v>erreur de calcul</v>
      </c>
      <c r="BI2797" s="19"/>
    </row>
    <row r="2798" customFormat="false" ht="15" hidden="false" customHeight="false" outlineLevel="0" collapsed="false">
      <c r="A2798" s="0" t="n">
        <v>11</v>
      </c>
      <c r="B2798" s="8" t="s">
        <v>24</v>
      </c>
      <c r="C2798" s="9" t="s">
        <v>25</v>
      </c>
      <c r="D2798" s="9" t="s">
        <v>26</v>
      </c>
      <c r="E2798" s="10" t="n">
        <v>1789</v>
      </c>
      <c r="F2798" s="9" t="s">
        <v>27</v>
      </c>
      <c r="G2798" s="9" t="s">
        <v>27</v>
      </c>
      <c r="H2798" s="11" t="n">
        <v>27</v>
      </c>
      <c r="I2798" s="11" t="s">
        <v>422</v>
      </c>
      <c r="J2798" s="14" t="n">
        <v>35</v>
      </c>
      <c r="K2798" s="14"/>
      <c r="L2798" s="16"/>
      <c r="M2798" s="27" t="n">
        <f aca="false">J2798+(K2798/20)+(L2798/240)</f>
        <v>35</v>
      </c>
      <c r="N2798" s="17" t="s">
        <v>64</v>
      </c>
      <c r="O2798" s="11"/>
      <c r="P2798" s="28"/>
      <c r="Q2798" s="28" t="n">
        <f aca="false">P2798*$M2798</f>
        <v>0</v>
      </c>
      <c r="R2798" s="28"/>
      <c r="S2798" s="28" t="n">
        <f aca="false">R2798*$M2798</f>
        <v>0</v>
      </c>
      <c r="T2798" s="28"/>
      <c r="U2798" s="28" t="n">
        <f aca="false">T2798*$M2798</f>
        <v>0</v>
      </c>
      <c r="V2798" s="28"/>
      <c r="W2798" s="28" t="n">
        <f aca="false">V2798*$M2798</f>
        <v>0</v>
      </c>
      <c r="X2798" s="28" t="n">
        <f aca="false">9982/100</f>
        <v>99.82</v>
      </c>
      <c r="Y2798" s="28" t="n">
        <v>3494</v>
      </c>
      <c r="Z2798" s="28"/>
      <c r="AA2798" s="28" t="n">
        <f aca="false">Z2798*$M2798</f>
        <v>0</v>
      </c>
      <c r="AB2798" s="28"/>
      <c r="AC2798" s="28" t="n">
        <f aca="false">AB2798*$M2798</f>
        <v>0</v>
      </c>
      <c r="AD2798" s="28"/>
      <c r="AE2798" s="28" t="n">
        <f aca="false">AD2798*$M2798</f>
        <v>0</v>
      </c>
      <c r="AF2798" s="28"/>
      <c r="AG2798" s="28" t="n">
        <f aca="false">AF2798*$M2798</f>
        <v>0</v>
      </c>
      <c r="AH2798" s="28"/>
      <c r="AI2798" s="28" t="n">
        <f aca="false">AH2798*$M2798</f>
        <v>0</v>
      </c>
      <c r="AJ2798" s="28" t="n">
        <f aca="false">28200/100</f>
        <v>282</v>
      </c>
      <c r="AK2798" s="28" t="n">
        <v>9870</v>
      </c>
      <c r="AL2798" s="28" t="n">
        <f aca="false">163472/100</f>
        <v>1634.72</v>
      </c>
      <c r="AM2798" s="28" t="n">
        <v>57215</v>
      </c>
      <c r="AN2798" s="28"/>
      <c r="AO2798" s="28" t="n">
        <f aca="false">AN2798*$M2798</f>
        <v>0</v>
      </c>
      <c r="AP2798" s="28"/>
      <c r="AQ2798" s="28" t="n">
        <f aca="false">AP2798*$M2798</f>
        <v>0</v>
      </c>
      <c r="AR2798" s="28"/>
      <c r="AS2798" s="28" t="n">
        <f aca="false">AR2798*$M2798</f>
        <v>0</v>
      </c>
      <c r="AT2798" s="28"/>
      <c r="AU2798" s="28" t="n">
        <f aca="false">AT2798*$M2798</f>
        <v>0</v>
      </c>
      <c r="AV2798" s="28" t="n">
        <f aca="false">49250/100</f>
        <v>492.5</v>
      </c>
      <c r="AW2798" s="28" t="n">
        <v>17237</v>
      </c>
      <c r="AX2798" s="28"/>
      <c r="AY2798" s="28" t="n">
        <f aca="false">AX2798*$M2798</f>
        <v>0</v>
      </c>
      <c r="AZ2798" s="30" t="n">
        <f aca="false">250904/100</f>
        <v>2509.04</v>
      </c>
      <c r="BA2798" s="11" t="n">
        <v>87816</v>
      </c>
      <c r="BB2798" s="31" t="n">
        <f aca="false">SUM(Q2798,S2798,U2798,W2798,Y2798,AA2798,AC2798,AE2798,AG2798,AI2798,AK2798,AM2798,AO2798,AQ2798,AS2798,AU2798,AW2798,AY2798)</f>
        <v>87816</v>
      </c>
      <c r="BC2798" s="28" t="n">
        <f aca="false">BA2798-BB2798</f>
        <v>0</v>
      </c>
      <c r="BD2798" s="32" t="n">
        <f aca="false">SUM(P2798,R2798,T2798,V2798,X2798,Z2798,AB2798,AD2798,AF2798,AH2798,AJ2798,AL2798,AN2798,AP2798,AR2798,AT2798,AV2798,AX2798)</f>
        <v>2509.04</v>
      </c>
      <c r="BE2798" s="33" t="n">
        <f aca="false">AZ2798-BD2798</f>
        <v>0</v>
      </c>
      <c r="BF2798" s="34" t="n">
        <f aca="false">BD2798*M2798</f>
        <v>87816.4</v>
      </c>
      <c r="BG2798" s="35" t="n">
        <f aca="false">BA2798-BF2798</f>
        <v>-0.400000000008731</v>
      </c>
      <c r="BH2798" s="19" t="str">
        <f aca="false">IF(BG2798=0,"",IF(BG2798&lt;&gt;BA2798,"erreur de calcul",IF(BD2798&lt;&gt;0,"pas de prix",IF(M2798&lt;&gt; 0,"pas de quantité","pas de prix, ni de quantité"))))</f>
        <v>erreur de calcul</v>
      </c>
      <c r="BI2798" s="19"/>
    </row>
    <row r="2799" customFormat="false" ht="15" hidden="false" customHeight="false" outlineLevel="0" collapsed="false">
      <c r="A2799" s="0" t="n">
        <v>12</v>
      </c>
      <c r="B2799" s="8" t="s">
        <v>24</v>
      </c>
      <c r="C2799" s="9" t="s">
        <v>25</v>
      </c>
      <c r="D2799" s="9" t="s">
        <v>26</v>
      </c>
      <c r="E2799" s="10" t="n">
        <v>1789</v>
      </c>
      <c r="F2799" s="9" t="s">
        <v>27</v>
      </c>
      <c r="G2799" s="9" t="s">
        <v>27</v>
      </c>
      <c r="H2799" s="11" t="n">
        <v>27</v>
      </c>
      <c r="I2799" s="11" t="s">
        <v>423</v>
      </c>
      <c r="J2799" s="14" t="n">
        <v>75</v>
      </c>
      <c r="K2799" s="14"/>
      <c r="L2799" s="16"/>
      <c r="M2799" s="27" t="n">
        <f aca="false">J2799+(K2799/20)+(L2799/240)</f>
        <v>75</v>
      </c>
      <c r="N2799" s="17" t="s">
        <v>64</v>
      </c>
      <c r="O2799" s="11"/>
      <c r="P2799" s="28"/>
      <c r="Q2799" s="28" t="n">
        <f aca="false">P2799*$M2799</f>
        <v>0</v>
      </c>
      <c r="R2799" s="28"/>
      <c r="S2799" s="28" t="n">
        <f aca="false">R2799*$M2799</f>
        <v>0</v>
      </c>
      <c r="T2799" s="28"/>
      <c r="U2799" s="28" t="n">
        <f aca="false">T2799*$M2799</f>
        <v>0</v>
      </c>
      <c r="V2799" s="28" t="n">
        <f aca="false">1030/100</f>
        <v>10.3</v>
      </c>
      <c r="W2799" s="28" t="n">
        <v>772</v>
      </c>
      <c r="X2799" s="28"/>
      <c r="Y2799" s="28" t="n">
        <f aca="false">X2799*$M2799</f>
        <v>0</v>
      </c>
      <c r="Z2799" s="28"/>
      <c r="AA2799" s="28" t="n">
        <f aca="false">Z2799*$M2799</f>
        <v>0</v>
      </c>
      <c r="AB2799" s="28"/>
      <c r="AC2799" s="28" t="n">
        <f aca="false">AB2799*$M2799</f>
        <v>0</v>
      </c>
      <c r="AD2799" s="28"/>
      <c r="AE2799" s="28" t="n">
        <f aca="false">AD2799*$M2799</f>
        <v>0</v>
      </c>
      <c r="AF2799" s="28"/>
      <c r="AG2799" s="28" t="n">
        <f aca="false">AF2799*$M2799</f>
        <v>0</v>
      </c>
      <c r="AH2799" s="28"/>
      <c r="AI2799" s="28" t="n">
        <f aca="false">AH2799*$M2799</f>
        <v>0</v>
      </c>
      <c r="AJ2799" s="28"/>
      <c r="AK2799" s="28" t="n">
        <f aca="false">AJ2799*$M2799</f>
        <v>0</v>
      </c>
      <c r="AL2799" s="28"/>
      <c r="AM2799" s="28" t="n">
        <f aca="false">AL2799*$M2799</f>
        <v>0</v>
      </c>
      <c r="AN2799" s="28"/>
      <c r="AO2799" s="28" t="n">
        <f aca="false">AN2799*$M2799</f>
        <v>0</v>
      </c>
      <c r="AP2799" s="28"/>
      <c r="AQ2799" s="28" t="n">
        <f aca="false">AP2799*$M2799</f>
        <v>0</v>
      </c>
      <c r="AR2799" s="28"/>
      <c r="AS2799" s="28" t="n">
        <f aca="false">AR2799*$M2799</f>
        <v>0</v>
      </c>
      <c r="AT2799" s="28"/>
      <c r="AU2799" s="28" t="n">
        <f aca="false">AT2799*$M2799</f>
        <v>0</v>
      </c>
      <c r="AV2799" s="28"/>
      <c r="AW2799" s="28" t="n">
        <f aca="false">AV2799*$M2799</f>
        <v>0</v>
      </c>
      <c r="AX2799" s="28"/>
      <c r="AY2799" s="28" t="n">
        <f aca="false">AX2799*$M2799</f>
        <v>0</v>
      </c>
      <c r="AZ2799" s="30" t="n">
        <f aca="false">1030/100</f>
        <v>10.3</v>
      </c>
      <c r="BA2799" s="11" t="n">
        <v>772</v>
      </c>
      <c r="BB2799" s="31" t="n">
        <f aca="false">SUM(Q2799,S2799,U2799,W2799,Y2799,AA2799,AC2799,AE2799,AG2799,AI2799,AK2799,AM2799,AO2799,AQ2799,AS2799,AU2799,AW2799,AY2799)</f>
        <v>772</v>
      </c>
      <c r="BC2799" s="28" t="n">
        <f aca="false">BA2799-BB2799</f>
        <v>0</v>
      </c>
      <c r="BD2799" s="32" t="n">
        <f aca="false">SUM(P2799,R2799,T2799,V2799,X2799,Z2799,AB2799,AD2799,AF2799,AH2799,AJ2799,AL2799,AN2799,AP2799,AR2799,AT2799,AV2799,AX2799)</f>
        <v>10.3</v>
      </c>
      <c r="BE2799" s="33" t="n">
        <f aca="false">AZ2799-BD2799</f>
        <v>0</v>
      </c>
      <c r="BF2799" s="34" t="n">
        <f aca="false">BD2799*M2799</f>
        <v>772.5</v>
      </c>
      <c r="BG2799" s="35" t="n">
        <f aca="false">BA2799-BF2799</f>
        <v>-0.5</v>
      </c>
      <c r="BH2799" s="19" t="str">
        <f aca="false">IF(BG2799=0,"",IF(BG2799&lt;&gt;BA2799,"erreur de calcul",IF(BD2799&lt;&gt;0,"pas de prix",IF(M2799&lt;&gt; 0,"pas de quantité","pas de prix, ni de quantité"))))</f>
        <v>erreur de calcul</v>
      </c>
      <c r="BI2799" s="19"/>
    </row>
    <row r="2800" customFormat="false" ht="15" hidden="false" customHeight="false" outlineLevel="0" collapsed="false">
      <c r="A2800" s="0" t="n">
        <v>13</v>
      </c>
      <c r="B2800" s="8" t="s">
        <v>24</v>
      </c>
      <c r="C2800" s="9" t="s">
        <v>25</v>
      </c>
      <c r="D2800" s="9" t="s">
        <v>26</v>
      </c>
      <c r="E2800" s="10" t="n">
        <v>1789</v>
      </c>
      <c r="F2800" s="9" t="s">
        <v>27</v>
      </c>
      <c r="G2800" s="9" t="s">
        <v>27</v>
      </c>
      <c r="H2800" s="11" t="n">
        <v>27</v>
      </c>
      <c r="I2800" s="11" t="s">
        <v>424</v>
      </c>
      <c r="J2800" s="14" t="n">
        <v>6</v>
      </c>
      <c r="K2800" s="14"/>
      <c r="L2800" s="16"/>
      <c r="M2800" s="27" t="n">
        <f aca="false">J2800+(K2800/20)+(L2800/240)</f>
        <v>6</v>
      </c>
      <c r="N2800" s="17" t="s">
        <v>64</v>
      </c>
      <c r="O2800" s="11" t="s">
        <v>277</v>
      </c>
      <c r="P2800" s="28"/>
      <c r="Q2800" s="28" t="n">
        <f aca="false">P2800*$M2800</f>
        <v>0</v>
      </c>
      <c r="R2800" s="28"/>
      <c r="S2800" s="28" t="n">
        <f aca="false">R2800*$M2800</f>
        <v>0</v>
      </c>
      <c r="T2800" s="28"/>
      <c r="U2800" s="28" t="n">
        <f aca="false">T2800*$M2800</f>
        <v>0</v>
      </c>
      <c r="V2800" s="28"/>
      <c r="W2800" s="28" t="n">
        <f aca="false">V2800*$M2800</f>
        <v>0</v>
      </c>
      <c r="X2800" s="28"/>
      <c r="Y2800" s="28" t="n">
        <f aca="false">X2800*$M2800</f>
        <v>0</v>
      </c>
      <c r="Z2800" s="28"/>
      <c r="AA2800" s="28" t="n">
        <f aca="false">Z2800*$M2800</f>
        <v>0</v>
      </c>
      <c r="AB2800" s="28"/>
      <c r="AC2800" s="28" t="n">
        <f aca="false">AB2800*$M2800</f>
        <v>0</v>
      </c>
      <c r="AD2800" s="28"/>
      <c r="AE2800" s="28" t="n">
        <f aca="false">AD2800*$M2800</f>
        <v>0</v>
      </c>
      <c r="AF2800" s="28"/>
      <c r="AG2800" s="28" t="n">
        <f aca="false">AF2800*$M2800</f>
        <v>0</v>
      </c>
      <c r="AH2800" s="28" t="n">
        <f aca="false">9050/100</f>
        <v>90.5</v>
      </c>
      <c r="AI2800" s="28" t="n">
        <v>543</v>
      </c>
      <c r="AJ2800" s="28"/>
      <c r="AK2800" s="28" t="n">
        <f aca="false">AJ2800*$M2800</f>
        <v>0</v>
      </c>
      <c r="AL2800" s="28" t="n">
        <f aca="false">48717/100</f>
        <v>487.17</v>
      </c>
      <c r="AM2800" s="28" t="n">
        <v>2923</v>
      </c>
      <c r="AN2800" s="28"/>
      <c r="AO2800" s="28" t="n">
        <f aca="false">AN2800*$M2800</f>
        <v>0</v>
      </c>
      <c r="AP2800" s="28"/>
      <c r="AQ2800" s="28" t="n">
        <f aca="false">AP2800*$M2800</f>
        <v>0</v>
      </c>
      <c r="AR2800" s="28"/>
      <c r="AS2800" s="28" t="n">
        <f aca="false">AR2800*$M2800</f>
        <v>0</v>
      </c>
      <c r="AT2800" s="28"/>
      <c r="AU2800" s="28" t="n">
        <f aca="false">AT2800*$M2800</f>
        <v>0</v>
      </c>
      <c r="AV2800" s="28"/>
      <c r="AW2800" s="28" t="n">
        <f aca="false">AV2800*$M2800</f>
        <v>0</v>
      </c>
      <c r="AX2800" s="28"/>
      <c r="AY2800" s="28" t="n">
        <f aca="false">AX2800*$M2800</f>
        <v>0</v>
      </c>
      <c r="AZ2800" s="30" t="n">
        <f aca="false">57767/100</f>
        <v>577.67</v>
      </c>
      <c r="BA2800" s="11" t="n">
        <v>3466</v>
      </c>
      <c r="BB2800" s="31" t="n">
        <f aca="false">SUM(Q2800,S2800,U2800,W2800,Y2800,AA2800,AC2800,AE2800,AG2800,AI2800,AK2800,AM2800,AO2800,AQ2800,AS2800,AU2800,AW2800,AY2800)</f>
        <v>3466</v>
      </c>
      <c r="BC2800" s="28" t="n">
        <f aca="false">BA2800-BB2800</f>
        <v>0</v>
      </c>
      <c r="BD2800" s="32" t="n">
        <f aca="false">SUM(P2800,R2800,T2800,V2800,X2800,Z2800,AB2800,AD2800,AF2800,AH2800,AJ2800,AL2800,AN2800,AP2800,AR2800,AT2800,AV2800,AX2800)</f>
        <v>577.67</v>
      </c>
      <c r="BE2800" s="33" t="n">
        <f aca="false">AZ2800-BD2800</f>
        <v>0</v>
      </c>
      <c r="BF2800" s="34" t="n">
        <f aca="false">BD2800*M2800</f>
        <v>3466.02</v>
      </c>
      <c r="BG2800" s="35" t="n">
        <f aca="false">BA2800-BF2800</f>
        <v>-0.0200000000004366</v>
      </c>
      <c r="BH2800" s="19" t="str">
        <f aca="false">IF(BG2800=0,"",IF(BG2800&lt;&gt;BA2800,"erreur de calcul",IF(BD2800&lt;&gt;0,"pas de prix",IF(M2800&lt;&gt; 0,"pas de quantité","pas de prix, ni de quantité"))))</f>
        <v>erreur de calcul</v>
      </c>
      <c r="BI2800" s="19"/>
    </row>
    <row r="2801" customFormat="false" ht="15" hidden="false" customHeight="false" outlineLevel="0" collapsed="false">
      <c r="A2801" s="0" t="n">
        <v>14</v>
      </c>
      <c r="B2801" s="8" t="s">
        <v>24</v>
      </c>
      <c r="C2801" s="9" t="s">
        <v>25</v>
      </c>
      <c r="D2801" s="9" t="s">
        <v>26</v>
      </c>
      <c r="E2801" s="10" t="n">
        <v>1789</v>
      </c>
      <c r="F2801" s="9" t="s">
        <v>27</v>
      </c>
      <c r="G2801" s="9" t="s">
        <v>27</v>
      </c>
      <c r="H2801" s="11" t="n">
        <v>27</v>
      </c>
      <c r="I2801" s="11" t="s">
        <v>425</v>
      </c>
      <c r="J2801" s="14" t="n">
        <v>25</v>
      </c>
      <c r="K2801" s="14"/>
      <c r="L2801" s="16"/>
      <c r="M2801" s="27" t="n">
        <f aca="false">J2801+(K2801/20)+(L2801/240)</f>
        <v>25</v>
      </c>
      <c r="N2801" s="17" t="s">
        <v>64</v>
      </c>
      <c r="O2801" s="11"/>
      <c r="P2801" s="28"/>
      <c r="Q2801" s="28" t="n">
        <f aca="false">P2801*$M2801</f>
        <v>0</v>
      </c>
      <c r="R2801" s="28"/>
      <c r="S2801" s="28" t="n">
        <f aca="false">R2801*$M2801</f>
        <v>0</v>
      </c>
      <c r="T2801" s="28" t="n">
        <f aca="false">10*288*0.02+114*0.02</f>
        <v>59.88</v>
      </c>
      <c r="U2801" s="28" t="n">
        <v>1497</v>
      </c>
      <c r="V2801" s="28"/>
      <c r="W2801" s="28" t="n">
        <f aca="false">V2801*$M2801</f>
        <v>0</v>
      </c>
      <c r="X2801" s="28"/>
      <c r="Y2801" s="28" t="n">
        <f aca="false">X2801*$M2801</f>
        <v>0</v>
      </c>
      <c r="Z2801" s="28"/>
      <c r="AA2801" s="28" t="n">
        <f aca="false">Z2801*$M2801</f>
        <v>0</v>
      </c>
      <c r="AB2801" s="28"/>
      <c r="AC2801" s="28" t="n">
        <f aca="false">AB2801*$M2801</f>
        <v>0</v>
      </c>
      <c r="AD2801" s="28"/>
      <c r="AE2801" s="28" t="n">
        <f aca="false">AD2801*$M2801</f>
        <v>0</v>
      </c>
      <c r="AF2801" s="28"/>
      <c r="AG2801" s="28" t="n">
        <f aca="false">AF2801*$M2801</f>
        <v>0</v>
      </c>
      <c r="AH2801" s="28"/>
      <c r="AI2801" s="28" t="n">
        <f aca="false">AH2801*$M2801</f>
        <v>0</v>
      </c>
      <c r="AJ2801" s="28"/>
      <c r="AK2801" s="28" t="n">
        <f aca="false">AJ2801*$M2801</f>
        <v>0</v>
      </c>
      <c r="AL2801" s="28"/>
      <c r="AM2801" s="28" t="n">
        <f aca="false">AL2801*$M2801</f>
        <v>0</v>
      </c>
      <c r="AN2801" s="28"/>
      <c r="AO2801" s="28" t="n">
        <f aca="false">AN2801*$M2801</f>
        <v>0</v>
      </c>
      <c r="AP2801" s="28"/>
      <c r="AQ2801" s="28" t="n">
        <f aca="false">AP2801*$M2801</f>
        <v>0</v>
      </c>
      <c r="AR2801" s="28"/>
      <c r="AS2801" s="28" t="n">
        <f aca="false">AR2801*$M2801</f>
        <v>0</v>
      </c>
      <c r="AT2801" s="28"/>
      <c r="AU2801" s="28" t="n">
        <f aca="false">AT2801*$M2801</f>
        <v>0</v>
      </c>
      <c r="AV2801" s="28"/>
      <c r="AW2801" s="28" t="n">
        <f aca="false">AV2801*$M2801</f>
        <v>0</v>
      </c>
      <c r="AX2801" s="28"/>
      <c r="AY2801" s="28" t="n">
        <f aca="false">AX2801*$M2801</f>
        <v>0</v>
      </c>
      <c r="AZ2801" s="30" t="n">
        <f aca="false">10*288*0.02+114*0.02</f>
        <v>59.88</v>
      </c>
      <c r="BA2801" s="11" t="n">
        <v>1497</v>
      </c>
      <c r="BB2801" s="31" t="n">
        <f aca="false">SUM(Q2801,S2801,U2801,W2801,Y2801,AA2801,AC2801,AE2801,AG2801,AI2801,AK2801,AM2801,AO2801,AQ2801,AS2801,AU2801,AW2801,AY2801)</f>
        <v>1497</v>
      </c>
      <c r="BC2801" s="28" t="n">
        <f aca="false">BA2801-BB2801</f>
        <v>0</v>
      </c>
      <c r="BD2801" s="32" t="n">
        <f aca="false">SUM(P2801,R2801,T2801,V2801,X2801,Z2801,AB2801,AD2801,AF2801,AH2801,AJ2801,AL2801,AN2801,AP2801,AR2801,AT2801,AV2801,AX2801)</f>
        <v>59.88</v>
      </c>
      <c r="BE2801" s="33" t="n">
        <f aca="false">AZ2801-BD2801</f>
        <v>0</v>
      </c>
      <c r="BF2801" s="34" t="n">
        <f aca="false">BD2801*M2801</f>
        <v>1497</v>
      </c>
      <c r="BG2801" s="35" t="n">
        <f aca="false">BA2801-BF2801</f>
        <v>0</v>
      </c>
      <c r="BH2801" s="19" t="str">
        <f aca="false">IF(BG2801=0,"",IF(BG2801&lt;&gt;BA2801,"erreur de calcul",IF(BD2801&lt;&gt;0,"pas de prix",IF(M2801&lt;&gt; 0,"pas de quantité","pas de prix, ni de quantité"))))</f>
        <v/>
      </c>
      <c r="BI2801" s="19"/>
    </row>
    <row r="2802" customFormat="false" ht="15" hidden="false" customHeight="false" outlineLevel="0" collapsed="false">
      <c r="A2802" s="0" t="n">
        <v>15</v>
      </c>
      <c r="B2802" s="8" t="s">
        <v>24</v>
      </c>
      <c r="C2802" s="9" t="s">
        <v>25</v>
      </c>
      <c r="D2802" s="9" t="s">
        <v>26</v>
      </c>
      <c r="E2802" s="10" t="n">
        <v>1789</v>
      </c>
      <c r="F2802" s="9" t="s">
        <v>27</v>
      </c>
      <c r="G2802" s="9" t="s">
        <v>27</v>
      </c>
      <c r="H2802" s="11" t="n">
        <v>27</v>
      </c>
      <c r="I2802" s="11" t="s">
        <v>426</v>
      </c>
      <c r="J2802" s="14" t="n">
        <v>40</v>
      </c>
      <c r="K2802" s="14"/>
      <c r="L2802" s="16"/>
      <c r="M2802" s="27" t="n">
        <f aca="false">J2802+(K2802/20)+(L2802/240)</f>
        <v>40</v>
      </c>
      <c r="N2802" s="17" t="s">
        <v>64</v>
      </c>
      <c r="O2802" s="11"/>
      <c r="P2802" s="28"/>
      <c r="Q2802" s="28" t="n">
        <f aca="false">P2802*$M2802</f>
        <v>0</v>
      </c>
      <c r="R2802" s="28"/>
      <c r="S2802" s="28" t="n">
        <f aca="false">R2802*$M2802</f>
        <v>0</v>
      </c>
      <c r="T2802" s="28"/>
      <c r="U2802" s="28" t="n">
        <f aca="false">T2802*$M2802</f>
        <v>0</v>
      </c>
      <c r="V2802" s="28"/>
      <c r="W2802" s="28" t="n">
        <f aca="false">V2802*$M2802</f>
        <v>0</v>
      </c>
      <c r="X2802" s="28"/>
      <c r="Y2802" s="28" t="n">
        <f aca="false">X2802*$M2802</f>
        <v>0</v>
      </c>
      <c r="Z2802" s="28"/>
      <c r="AA2802" s="28" t="n">
        <f aca="false">Z2802*$M2802</f>
        <v>0</v>
      </c>
      <c r="AB2802" s="28"/>
      <c r="AC2802" s="28" t="n">
        <f aca="false">AB2802*$M2802</f>
        <v>0</v>
      </c>
      <c r="AD2802" s="28"/>
      <c r="AE2802" s="28" t="n">
        <f aca="false">AD2802*$M2802</f>
        <v>0</v>
      </c>
      <c r="AF2802" s="28"/>
      <c r="AG2802" s="28" t="n">
        <f aca="false">AF2802*$M2802</f>
        <v>0</v>
      </c>
      <c r="AH2802" s="28" t="n">
        <f aca="false">1*288*0.02+59*0.02</f>
        <v>6.94</v>
      </c>
      <c r="AI2802" s="28" t="n">
        <v>278</v>
      </c>
      <c r="AJ2802" s="28"/>
      <c r="AK2802" s="28" t="n">
        <f aca="false">AJ2802*$M2802</f>
        <v>0</v>
      </c>
      <c r="AL2802" s="28"/>
      <c r="AM2802" s="28" t="n">
        <f aca="false">AL2802*$M2802</f>
        <v>0</v>
      </c>
      <c r="AN2802" s="28"/>
      <c r="AO2802" s="28" t="n">
        <f aca="false">AN2802*$M2802</f>
        <v>0</v>
      </c>
      <c r="AP2802" s="28"/>
      <c r="AQ2802" s="28" t="n">
        <f aca="false">AP2802*$M2802</f>
        <v>0</v>
      </c>
      <c r="AR2802" s="28"/>
      <c r="AS2802" s="28" t="n">
        <f aca="false">AR2802*$M2802</f>
        <v>0</v>
      </c>
      <c r="AT2802" s="28"/>
      <c r="AU2802" s="28" t="n">
        <f aca="false">AT2802*$M2802</f>
        <v>0</v>
      </c>
      <c r="AV2802" s="28"/>
      <c r="AW2802" s="28" t="n">
        <f aca="false">AV2802*$M2802</f>
        <v>0</v>
      </c>
      <c r="AX2802" s="28"/>
      <c r="AY2802" s="28" t="n">
        <f aca="false">AX2802*$M2802</f>
        <v>0</v>
      </c>
      <c r="AZ2802" s="30" t="n">
        <f aca="false">1*288*0.02+59*0.02</f>
        <v>6.94</v>
      </c>
      <c r="BA2802" s="11" t="n">
        <v>278</v>
      </c>
      <c r="BB2802" s="31" t="n">
        <f aca="false">SUM(Q2802,S2802,U2802,W2802,Y2802,AA2802,AC2802,AE2802,AG2802,AI2802,AK2802,AM2802,AO2802,AQ2802,AS2802,AU2802,AW2802,AY2802)</f>
        <v>278</v>
      </c>
      <c r="BC2802" s="28" t="n">
        <f aca="false">BA2802-BB2802</f>
        <v>0</v>
      </c>
      <c r="BD2802" s="32" t="n">
        <f aca="false">SUM(P2802,R2802,T2802,V2802,X2802,Z2802,AB2802,AD2802,AF2802,AH2802,AJ2802,AL2802,AN2802,AP2802,AR2802,AT2802,AV2802,AX2802)</f>
        <v>6.94</v>
      </c>
      <c r="BE2802" s="33" t="n">
        <f aca="false">AZ2802-BD2802</f>
        <v>0</v>
      </c>
      <c r="BF2802" s="34" t="n">
        <f aca="false">BD2802*M2802</f>
        <v>277.6</v>
      </c>
      <c r="BG2802" s="35" t="n">
        <f aca="false">BA2802-BF2802</f>
        <v>0.400000000000034</v>
      </c>
      <c r="BH2802" s="19" t="str">
        <f aca="false">IF(BG2802=0,"",IF(BG2802&lt;&gt;BA2802,"erreur de calcul",IF(BD2802&lt;&gt;0,"pas de prix",IF(M2802&lt;&gt; 0,"pas de quantité","pas de prix, ni de quantité"))))</f>
        <v>erreur de calcul</v>
      </c>
      <c r="BI2802" s="19"/>
    </row>
    <row r="2803" customFormat="false" ht="15" hidden="false" customHeight="false" outlineLevel="0" collapsed="false">
      <c r="A2803" s="0" t="n">
        <v>16</v>
      </c>
      <c r="B2803" s="8" t="s">
        <v>24</v>
      </c>
      <c r="C2803" s="9" t="s">
        <v>25</v>
      </c>
      <c r="D2803" s="9" t="s">
        <v>26</v>
      </c>
      <c r="E2803" s="10" t="n">
        <v>1789</v>
      </c>
      <c r="F2803" s="9" t="s">
        <v>27</v>
      </c>
      <c r="G2803" s="9" t="s">
        <v>27</v>
      </c>
      <c r="H2803" s="11" t="n">
        <v>27</v>
      </c>
      <c r="I2803" s="11" t="s">
        <v>427</v>
      </c>
      <c r="J2803" s="14" t="n">
        <v>32</v>
      </c>
      <c r="K2803" s="14"/>
      <c r="L2803" s="16"/>
      <c r="M2803" s="27" t="n">
        <f aca="false">J2803+(K2803/20)+(L2803/240)</f>
        <v>32</v>
      </c>
      <c r="N2803" s="17" t="s">
        <v>64</v>
      </c>
      <c r="O2803" s="11"/>
      <c r="P2803" s="28" t="n">
        <f aca="false">33*288*0.02+179*0.02</f>
        <v>193.66</v>
      </c>
      <c r="Q2803" s="28" t="n">
        <v>6197</v>
      </c>
      <c r="R2803" s="28"/>
      <c r="S2803" s="28" t="n">
        <f aca="false">R2803*$M2803</f>
        <v>0</v>
      </c>
      <c r="T2803" s="28"/>
      <c r="U2803" s="28" t="n">
        <f aca="false">T2803*$M2803</f>
        <v>0</v>
      </c>
      <c r="V2803" s="28"/>
      <c r="W2803" s="28" t="n">
        <f aca="false">V2803*$M2803</f>
        <v>0</v>
      </c>
      <c r="X2803" s="28"/>
      <c r="Y2803" s="28" t="n">
        <f aca="false">X2803*$M2803</f>
        <v>0</v>
      </c>
      <c r="Z2803" s="28"/>
      <c r="AA2803" s="28" t="n">
        <f aca="false">Z2803*$M2803</f>
        <v>0</v>
      </c>
      <c r="AB2803" s="28"/>
      <c r="AC2803" s="28" t="n">
        <f aca="false">AB2803*$M2803</f>
        <v>0</v>
      </c>
      <c r="AD2803" s="28"/>
      <c r="AE2803" s="28" t="n">
        <f aca="false">AD2803*$M2803</f>
        <v>0</v>
      </c>
      <c r="AF2803" s="28"/>
      <c r="AG2803" s="28" t="n">
        <f aca="false">AF2803*$M2803</f>
        <v>0</v>
      </c>
      <c r="AH2803" s="28"/>
      <c r="AI2803" s="28" t="n">
        <f aca="false">AH2803*$M2803</f>
        <v>0</v>
      </c>
      <c r="AJ2803" s="28"/>
      <c r="AK2803" s="28" t="n">
        <f aca="false">AJ2803*$M2803</f>
        <v>0</v>
      </c>
      <c r="AL2803" s="28"/>
      <c r="AM2803" s="28" t="n">
        <f aca="false">AL2803*$M2803</f>
        <v>0</v>
      </c>
      <c r="AN2803" s="28"/>
      <c r="AO2803" s="28" t="n">
        <f aca="false">AN2803*$M2803</f>
        <v>0</v>
      </c>
      <c r="AP2803" s="28"/>
      <c r="AQ2803" s="28" t="n">
        <f aca="false">AP2803*$M2803</f>
        <v>0</v>
      </c>
      <c r="AR2803" s="28"/>
      <c r="AS2803" s="28" t="n">
        <f aca="false">AR2803*$M2803</f>
        <v>0</v>
      </c>
      <c r="AT2803" s="28"/>
      <c r="AU2803" s="28" t="n">
        <f aca="false">AT2803*$M2803</f>
        <v>0</v>
      </c>
      <c r="AV2803" s="28"/>
      <c r="AW2803" s="28" t="n">
        <f aca="false">AV2803*$M2803</f>
        <v>0</v>
      </c>
      <c r="AX2803" s="28"/>
      <c r="AY2803" s="28" t="n">
        <f aca="false">AX2803*$M2803</f>
        <v>0</v>
      </c>
      <c r="AZ2803" s="30" t="n">
        <f aca="false">33*288*0.02+179*0.02</f>
        <v>193.66</v>
      </c>
      <c r="BA2803" s="11" t="n">
        <v>6197</v>
      </c>
      <c r="BB2803" s="31" t="n">
        <f aca="false">SUM(Q2803,S2803,U2803,W2803,Y2803,AA2803,AC2803,AE2803,AG2803,AI2803,AK2803,AM2803,AO2803,AQ2803,AS2803,AU2803,AW2803,AY2803)</f>
        <v>6197</v>
      </c>
      <c r="BC2803" s="28" t="n">
        <f aca="false">BA2803-BB2803</f>
        <v>0</v>
      </c>
      <c r="BD2803" s="32" t="n">
        <f aca="false">SUM(P2803,R2803,T2803,V2803,X2803,Z2803,AB2803,AD2803,AF2803,AH2803,AJ2803,AL2803,AN2803,AP2803,AR2803,AT2803,AV2803,AX2803)</f>
        <v>193.66</v>
      </c>
      <c r="BE2803" s="33" t="n">
        <f aca="false">AZ2803-BD2803</f>
        <v>0</v>
      </c>
      <c r="BF2803" s="34" t="n">
        <f aca="false">BD2803*M2803</f>
        <v>6197.12</v>
      </c>
      <c r="BG2803" s="35" t="n">
        <f aca="false">BA2803-BF2803</f>
        <v>-0.1200000000008</v>
      </c>
      <c r="BH2803" s="19" t="str">
        <f aca="false">IF(BG2803=0,"",IF(BG2803&lt;&gt;BA2803,"erreur de calcul",IF(BD2803&lt;&gt;0,"pas de prix",IF(M2803&lt;&gt; 0,"pas de quantité","pas de prix, ni de quantité"))))</f>
        <v>erreur de calcul</v>
      </c>
      <c r="BI2803" s="19"/>
    </row>
    <row r="2804" customFormat="false" ht="15" hidden="false" customHeight="false" outlineLevel="0" collapsed="false">
      <c r="A2804" s="0" t="n">
        <v>17</v>
      </c>
      <c r="B2804" s="8" t="s">
        <v>24</v>
      </c>
      <c r="C2804" s="9" t="s">
        <v>25</v>
      </c>
      <c r="D2804" s="9" t="s">
        <v>26</v>
      </c>
      <c r="E2804" s="10" t="n">
        <v>1789</v>
      </c>
      <c r="F2804" s="9" t="s">
        <v>27</v>
      </c>
      <c r="G2804" s="9" t="s">
        <v>27</v>
      </c>
      <c r="H2804" s="11" t="n">
        <v>27</v>
      </c>
      <c r="I2804" s="11" t="s">
        <v>428</v>
      </c>
      <c r="J2804" s="14"/>
      <c r="K2804" s="14" t="n">
        <v>12</v>
      </c>
      <c r="L2804" s="16"/>
      <c r="M2804" s="27" t="n">
        <f aca="false">J2804+(K2804/20)+(L2804/240)</f>
        <v>0.6</v>
      </c>
      <c r="N2804" s="17" t="s">
        <v>429</v>
      </c>
      <c r="O2804" s="11"/>
      <c r="P2804" s="28" t="n">
        <f aca="false">620*288+173</f>
        <v>178733</v>
      </c>
      <c r="Q2804" s="28" t="n">
        <v>107240</v>
      </c>
      <c r="R2804" s="28"/>
      <c r="S2804" s="28" t="n">
        <f aca="false">R2804*$M2804</f>
        <v>0</v>
      </c>
      <c r="T2804" s="28"/>
      <c r="U2804" s="28" t="n">
        <f aca="false">T2804*$M2804</f>
        <v>0</v>
      </c>
      <c r="V2804" s="28" t="n">
        <f aca="false">4*288+179</f>
        <v>1331</v>
      </c>
      <c r="W2804" s="28" t="n">
        <v>799</v>
      </c>
      <c r="X2804" s="28"/>
      <c r="Y2804" s="28" t="n">
        <f aca="false">X2804*$M2804</f>
        <v>0</v>
      </c>
      <c r="Z2804" s="28"/>
      <c r="AA2804" s="28" t="n">
        <f aca="false">Z2804*$M2804</f>
        <v>0</v>
      </c>
      <c r="AB2804" s="28"/>
      <c r="AC2804" s="28" t="n">
        <f aca="false">AB2804*$M2804</f>
        <v>0</v>
      </c>
      <c r="AD2804" s="28"/>
      <c r="AE2804" s="28" t="n">
        <f aca="false">AD2804*$M2804</f>
        <v>0</v>
      </c>
      <c r="AF2804" s="28"/>
      <c r="AG2804" s="28" t="n">
        <f aca="false">AF2804*$M2804</f>
        <v>0</v>
      </c>
      <c r="AH2804" s="28" t="n">
        <f aca="false">12*288+227</f>
        <v>3683</v>
      </c>
      <c r="AI2804" s="28" t="n">
        <v>2210</v>
      </c>
      <c r="AJ2804" s="28"/>
      <c r="AK2804" s="28" t="n">
        <f aca="false">AJ2804*$M2804</f>
        <v>0</v>
      </c>
      <c r="AL2804" s="28"/>
      <c r="AM2804" s="28" t="n">
        <f aca="false">AL2804*$M2804</f>
        <v>0</v>
      </c>
      <c r="AN2804" s="28"/>
      <c r="AO2804" s="28" t="n">
        <f aca="false">AN2804*$M2804</f>
        <v>0</v>
      </c>
      <c r="AP2804" s="28"/>
      <c r="AQ2804" s="28" t="n">
        <f aca="false">AP2804*$M2804</f>
        <v>0</v>
      </c>
      <c r="AR2804" s="28"/>
      <c r="AS2804" s="28" t="n">
        <f aca="false">AR2804*$M2804</f>
        <v>0</v>
      </c>
      <c r="AT2804" s="28"/>
      <c r="AU2804" s="28" t="n">
        <f aca="false">AT2804*$M2804</f>
        <v>0</v>
      </c>
      <c r="AV2804" s="28"/>
      <c r="AW2804" s="28" t="n">
        <f aca="false">AV2804*$M2804</f>
        <v>0</v>
      </c>
      <c r="AX2804" s="28"/>
      <c r="AY2804" s="28" t="n">
        <f aca="false">AX2804*$M2804</f>
        <v>0</v>
      </c>
      <c r="AZ2804" s="30" t="n">
        <f aca="false">638*288+3</f>
        <v>183747</v>
      </c>
      <c r="BA2804" s="11" t="n">
        <v>110249</v>
      </c>
      <c r="BB2804" s="31" t="n">
        <f aca="false">SUM(Q2804,S2804,U2804,W2804,Y2804,AA2804,AC2804,AE2804,AG2804,AI2804,AK2804,AM2804,AO2804,AQ2804,AS2804,AU2804,AW2804,AY2804)</f>
        <v>110249</v>
      </c>
      <c r="BC2804" s="28" t="n">
        <f aca="false">BA2804-BB2804</f>
        <v>0</v>
      </c>
      <c r="BD2804" s="32" t="n">
        <f aca="false">SUM(P2804,R2804,T2804,V2804,X2804,Z2804,AB2804,AD2804,AF2804,AH2804,AJ2804,AL2804,AN2804,AP2804,AR2804,AT2804,AV2804,AX2804)</f>
        <v>183747</v>
      </c>
      <c r="BE2804" s="33" t="n">
        <f aca="false">AZ2804-BD2804</f>
        <v>0</v>
      </c>
      <c r="BF2804" s="34" t="n">
        <f aca="false">BD2804*M2804</f>
        <v>110248.2</v>
      </c>
      <c r="BG2804" s="35" t="n">
        <f aca="false">BA2804-BF2804</f>
        <v>0.80000000000291</v>
      </c>
      <c r="BH2804" s="19" t="str">
        <f aca="false">IF(BG2804=0,"",IF(BG2804&lt;&gt;BA2804,"erreur de calcul",IF(BD2804&lt;&gt;0,"pas de prix",IF(M2804&lt;&gt; 0,"pas de quantité","pas de prix, ni de quantité"))))</f>
        <v>erreur de calcul</v>
      </c>
      <c r="BI2804" s="19"/>
    </row>
    <row r="2805" customFormat="false" ht="15" hidden="false" customHeight="false" outlineLevel="0" collapsed="false">
      <c r="A2805" s="0" t="n">
        <v>18</v>
      </c>
      <c r="B2805" s="8" t="s">
        <v>24</v>
      </c>
      <c r="C2805" s="9" t="s">
        <v>25</v>
      </c>
      <c r="D2805" s="9" t="s">
        <v>26</v>
      </c>
      <c r="E2805" s="10" t="n">
        <v>1789</v>
      </c>
      <c r="F2805" s="9" t="s">
        <v>27</v>
      </c>
      <c r="G2805" s="9" t="s">
        <v>27</v>
      </c>
      <c r="H2805" s="11" t="n">
        <v>27</v>
      </c>
      <c r="I2805" s="11" t="s">
        <v>430</v>
      </c>
      <c r="J2805" s="14" t="n">
        <v>30</v>
      </c>
      <c r="K2805" s="14"/>
      <c r="L2805" s="16"/>
      <c r="M2805" s="27" t="n">
        <f aca="false">J2805+(K2805/20)+(L2805/240)</f>
        <v>30</v>
      </c>
      <c r="N2805" s="17" t="s">
        <v>64</v>
      </c>
      <c r="O2805" s="11" t="s">
        <v>77</v>
      </c>
      <c r="P2805" s="28"/>
      <c r="Q2805" s="28" t="n">
        <f aca="false">P2805*$M2805</f>
        <v>0</v>
      </c>
      <c r="R2805" s="28"/>
      <c r="S2805" s="28" t="n">
        <f aca="false">R2805*$M2805</f>
        <v>0</v>
      </c>
      <c r="T2805" s="28" t="n">
        <f aca="false">3*288*0.02+162*0.02</f>
        <v>20.52</v>
      </c>
      <c r="U2805" s="28" t="n">
        <v>616</v>
      </c>
      <c r="V2805" s="28"/>
      <c r="W2805" s="28" t="n">
        <f aca="false">V2805*$M2805</f>
        <v>0</v>
      </c>
      <c r="X2805" s="28" t="n">
        <f aca="false">4*288*0.02+17*0.02</f>
        <v>23.38</v>
      </c>
      <c r="Y2805" s="28" t="n">
        <v>702</v>
      </c>
      <c r="Z2805" s="28" t="n">
        <f aca="false">3*288*0.02+169*0.02</f>
        <v>20.66</v>
      </c>
      <c r="AA2805" s="28" t="n">
        <v>620</v>
      </c>
      <c r="AB2805" s="28" t="n">
        <f aca="false">10*288*0.02+224*0.02</f>
        <v>62.08</v>
      </c>
      <c r="AC2805" s="28" t="n">
        <v>1863</v>
      </c>
      <c r="AD2805" s="28"/>
      <c r="AE2805" s="28" t="n">
        <f aca="false">AD2805*$M2805</f>
        <v>0</v>
      </c>
      <c r="AF2805" s="28"/>
      <c r="AG2805" s="28" t="n">
        <f aca="false">AF2805*$M2805</f>
        <v>0</v>
      </c>
      <c r="AH2805" s="28" t="n">
        <f aca="false">200*0.02</f>
        <v>4</v>
      </c>
      <c r="AI2805" s="28" t="n">
        <v>120</v>
      </c>
      <c r="AJ2805" s="28"/>
      <c r="AK2805" s="28" t="n">
        <f aca="false">AJ2805*$M2805</f>
        <v>0</v>
      </c>
      <c r="AL2805" s="28"/>
      <c r="AM2805" s="28" t="n">
        <f aca="false">AL2805*$M2805</f>
        <v>0</v>
      </c>
      <c r="AN2805" s="28"/>
      <c r="AO2805" s="28" t="n">
        <f aca="false">AN2805*$M2805</f>
        <v>0</v>
      </c>
      <c r="AP2805" s="28"/>
      <c r="AQ2805" s="28" t="n">
        <f aca="false">AP2805*$M2805</f>
        <v>0</v>
      </c>
      <c r="AR2805" s="28"/>
      <c r="AS2805" s="28" t="n">
        <f aca="false">AR2805*$M2805</f>
        <v>0</v>
      </c>
      <c r="AT2805" s="28"/>
      <c r="AU2805" s="28" t="n">
        <f aca="false">AT2805*$M2805</f>
        <v>0</v>
      </c>
      <c r="AV2805" s="28"/>
      <c r="AW2805" s="28" t="n">
        <f aca="false">AV2805*$M2805</f>
        <v>0</v>
      </c>
      <c r="AX2805" s="28"/>
      <c r="AY2805" s="28" t="n">
        <f aca="false">AX2805*$M2805</f>
        <v>0</v>
      </c>
      <c r="AZ2805" s="30" t="n">
        <f aca="false">22*288*0.02+196*0.02</f>
        <v>130.64</v>
      </c>
      <c r="BA2805" s="11" t="n">
        <v>3921</v>
      </c>
      <c r="BB2805" s="31" t="n">
        <f aca="false">SUM(Q2805,S2805,U2805,W2805,Y2805,AA2805,AC2805,AE2805,AG2805,AI2805,AK2805,AM2805,AO2805,AQ2805,AS2805,AU2805,AW2805,AY2805)</f>
        <v>3921</v>
      </c>
      <c r="BC2805" s="28" t="n">
        <f aca="false">BA2805-BB2805</f>
        <v>0</v>
      </c>
      <c r="BD2805" s="32" t="n">
        <f aca="false">SUM(P2805,R2805,T2805,V2805,X2805,Z2805,AB2805,AD2805,AF2805,AH2805,AJ2805,AL2805,AN2805,AP2805,AR2805,AT2805,AV2805,AX2805)</f>
        <v>130.64</v>
      </c>
      <c r="BE2805" s="33" t="n">
        <f aca="false">AZ2805-BD2805</f>
        <v>0</v>
      </c>
      <c r="BF2805" s="34" t="n">
        <f aca="false">BD2805*M2805</f>
        <v>3919.2</v>
      </c>
      <c r="BG2805" s="35" t="n">
        <f aca="false">BA2805-BF2805</f>
        <v>1.80000000000018</v>
      </c>
      <c r="BH2805" s="19" t="str">
        <f aca="false">IF(BG2805=0,"",IF(BG2805&lt;&gt;BA2805,"erreur de calcul",IF(BD2805&lt;&gt;0,"pas de prix",IF(M2805&lt;&gt; 0,"pas de quantité","pas de prix, ni de quantité"))))</f>
        <v>erreur de calcul</v>
      </c>
      <c r="BI2805" s="19"/>
    </row>
    <row r="2806" customFormat="false" ht="15" hidden="false" customHeight="false" outlineLevel="0" collapsed="false">
      <c r="A2806" s="0" t="n">
        <v>19</v>
      </c>
      <c r="B2806" s="8" t="s">
        <v>24</v>
      </c>
      <c r="C2806" s="9" t="s">
        <v>25</v>
      </c>
      <c r="D2806" s="9" t="s">
        <v>26</v>
      </c>
      <c r="E2806" s="10" t="n">
        <v>1789</v>
      </c>
      <c r="F2806" s="9" t="s">
        <v>27</v>
      </c>
      <c r="G2806" s="9" t="s">
        <v>27</v>
      </c>
      <c r="H2806" s="11" t="n">
        <v>27</v>
      </c>
      <c r="I2806" s="11" t="s">
        <v>431</v>
      </c>
      <c r="J2806" s="14" t="n">
        <v>10</v>
      </c>
      <c r="K2806" s="14"/>
      <c r="L2806" s="16"/>
      <c r="M2806" s="27" t="n">
        <f aca="false">J2806+(K2806/20)+(L2806/240)</f>
        <v>10</v>
      </c>
      <c r="N2806" s="17" t="s">
        <v>432</v>
      </c>
      <c r="O2806" s="11" t="s">
        <v>109</v>
      </c>
      <c r="P2806" s="28" t="n">
        <f aca="false">105*(288/62.5)+135/62.5</f>
        <v>486</v>
      </c>
      <c r="Q2806" s="28" t="n">
        <v>4860</v>
      </c>
      <c r="R2806" s="28"/>
      <c r="S2806" s="28" t="n">
        <f aca="false">R2806*$M2806</f>
        <v>0</v>
      </c>
      <c r="T2806" s="28" t="n">
        <f aca="false">8*(288/62.5)+196/62.5</f>
        <v>40</v>
      </c>
      <c r="U2806" s="28" t="n">
        <v>400</v>
      </c>
      <c r="V2806" s="28"/>
      <c r="W2806" s="28" t="n">
        <f aca="false">V2806*$M2806</f>
        <v>0</v>
      </c>
      <c r="X2806" s="28"/>
      <c r="Y2806" s="28" t="n">
        <f aca="false">X2806*$M2806</f>
        <v>0</v>
      </c>
      <c r="Z2806" s="28"/>
      <c r="AA2806" s="28" t="n">
        <f aca="false">Z2806*$M2806</f>
        <v>0</v>
      </c>
      <c r="AB2806" s="28"/>
      <c r="AC2806" s="28" t="n">
        <f aca="false">AB2806*$M2806</f>
        <v>0</v>
      </c>
      <c r="AD2806" s="28"/>
      <c r="AE2806" s="28" t="n">
        <f aca="false">AD2806*$M2806</f>
        <v>0</v>
      </c>
      <c r="AF2806" s="28"/>
      <c r="AG2806" s="28" t="n">
        <f aca="false">AF2806*$M2806</f>
        <v>0</v>
      </c>
      <c r="AH2806" s="28"/>
      <c r="AI2806" s="28" t="n">
        <f aca="false">AH2806*$M2806</f>
        <v>0</v>
      </c>
      <c r="AJ2806" s="28"/>
      <c r="AK2806" s="28" t="n">
        <f aca="false">AJ2806*$M2806</f>
        <v>0</v>
      </c>
      <c r="AL2806" s="28"/>
      <c r="AM2806" s="28" t="n">
        <f aca="false">AL2806*$M2806</f>
        <v>0</v>
      </c>
      <c r="AN2806" s="28"/>
      <c r="AO2806" s="28" t="n">
        <f aca="false">AN2806*$M2806</f>
        <v>0</v>
      </c>
      <c r="AP2806" s="28"/>
      <c r="AQ2806" s="28" t="n">
        <f aca="false">AP2806*$M2806</f>
        <v>0</v>
      </c>
      <c r="AR2806" s="28"/>
      <c r="AS2806" s="28" t="n">
        <f aca="false">AR2806*$M2806</f>
        <v>0</v>
      </c>
      <c r="AT2806" s="28"/>
      <c r="AU2806" s="28" t="n">
        <f aca="false">AT2806*$M2806</f>
        <v>0</v>
      </c>
      <c r="AV2806" s="28"/>
      <c r="AW2806" s="28" t="n">
        <f aca="false">AV2806*$M2806</f>
        <v>0</v>
      </c>
      <c r="AX2806" s="28"/>
      <c r="AY2806" s="28" t="n">
        <f aca="false">AX2806*$M2806</f>
        <v>0</v>
      </c>
      <c r="AZ2806" s="30" t="n">
        <f aca="false">114*(288/62.5)+43/62.5</f>
        <v>526</v>
      </c>
      <c r="BA2806" s="11" t="n">
        <v>5260</v>
      </c>
      <c r="BB2806" s="31" t="n">
        <f aca="false">SUM(Q2806,S2806,U2806,W2806,Y2806,AA2806,AC2806,AE2806,AG2806,AI2806,AK2806,AM2806,AO2806,AQ2806,AS2806,AU2806,AW2806,AY2806)</f>
        <v>5260</v>
      </c>
      <c r="BC2806" s="28" t="n">
        <f aca="false">BA2806-BB2806</f>
        <v>0</v>
      </c>
      <c r="BD2806" s="32" t="n">
        <f aca="false">SUM(P2806,R2806,T2806,V2806,X2806,Z2806,AB2806,AD2806,AF2806,AH2806,AJ2806,AL2806,AN2806,AP2806,AR2806,AT2806,AV2806,AX2806)</f>
        <v>526</v>
      </c>
      <c r="BE2806" s="33" t="n">
        <f aca="false">AZ2806-BD2806</f>
        <v>0</v>
      </c>
      <c r="BF2806" s="34" t="n">
        <f aca="false">BD2806*M2806</f>
        <v>5260</v>
      </c>
      <c r="BG2806" s="35" t="n">
        <f aca="false">BA2806-BF2806</f>
        <v>0</v>
      </c>
      <c r="BH2806" s="19" t="str">
        <f aca="false">IF(BG2806=0,"",IF(BG2806&lt;&gt;BA2806,"erreur de calcul",IF(BD2806&lt;&gt;0,"pas de prix",IF(M2806&lt;&gt; 0,"pas de quantité","pas de prix, ni de quantité"))))</f>
        <v/>
      </c>
      <c r="BI2806" s="19"/>
    </row>
    <row r="2807" customFormat="false" ht="15" hidden="false" customHeight="false" outlineLevel="0" collapsed="false">
      <c r="A2807" s="0" t="n">
        <v>20</v>
      </c>
      <c r="B2807" s="8" t="s">
        <v>24</v>
      </c>
      <c r="C2807" s="9" t="s">
        <v>25</v>
      </c>
      <c r="D2807" s="9" t="s">
        <v>26</v>
      </c>
      <c r="E2807" s="10" t="n">
        <v>1789</v>
      </c>
      <c r="F2807" s="9" t="s">
        <v>27</v>
      </c>
      <c r="G2807" s="9" t="s">
        <v>27</v>
      </c>
      <c r="H2807" s="11" t="n">
        <v>27</v>
      </c>
      <c r="I2807" s="11" t="s">
        <v>433</v>
      </c>
      <c r="J2807" s="14"/>
      <c r="K2807" s="14" t="n">
        <v>14</v>
      </c>
      <c r="L2807" s="16"/>
      <c r="M2807" s="27" t="n">
        <f aca="false">J2807+(K2807/20)+(L2807/240)</f>
        <v>0.7</v>
      </c>
      <c r="N2807" s="17" t="s">
        <v>429</v>
      </c>
      <c r="O2807" s="11"/>
      <c r="P2807" s="28" t="n">
        <f aca="false">103*288+190</f>
        <v>29854</v>
      </c>
      <c r="Q2807" s="28" t="n">
        <v>20898</v>
      </c>
      <c r="R2807" s="28"/>
      <c r="S2807" s="28" t="n">
        <f aca="false">R2807*$M2807</f>
        <v>0</v>
      </c>
      <c r="T2807" s="28"/>
      <c r="U2807" s="28" t="n">
        <f aca="false">T2807*$M2807</f>
        <v>0</v>
      </c>
      <c r="V2807" s="28"/>
      <c r="W2807" s="28" t="n">
        <f aca="false">V2807*$M2807</f>
        <v>0</v>
      </c>
      <c r="X2807" s="28"/>
      <c r="Y2807" s="28" t="n">
        <f aca="false">X2807*$M2807</f>
        <v>0</v>
      </c>
      <c r="Z2807" s="28"/>
      <c r="AA2807" s="28" t="n">
        <f aca="false">Z2807*$M2807</f>
        <v>0</v>
      </c>
      <c r="AB2807" s="28"/>
      <c r="AC2807" s="28" t="n">
        <f aca="false">AB2807*$M2807</f>
        <v>0</v>
      </c>
      <c r="AD2807" s="28"/>
      <c r="AE2807" s="28" t="n">
        <f aca="false">AD2807*$M2807</f>
        <v>0</v>
      </c>
      <c r="AF2807" s="28"/>
      <c r="AG2807" s="28" t="n">
        <f aca="false">AF2807*$M2807</f>
        <v>0</v>
      </c>
      <c r="AH2807" s="28"/>
      <c r="AI2807" s="28" t="n">
        <f aca="false">AH2807*$M2807</f>
        <v>0</v>
      </c>
      <c r="AJ2807" s="28"/>
      <c r="AK2807" s="28" t="n">
        <f aca="false">AJ2807*$M2807</f>
        <v>0</v>
      </c>
      <c r="AL2807" s="28"/>
      <c r="AM2807" s="28" t="n">
        <f aca="false">AL2807*$M2807</f>
        <v>0</v>
      </c>
      <c r="AN2807" s="28"/>
      <c r="AO2807" s="28" t="n">
        <f aca="false">AN2807*$M2807</f>
        <v>0</v>
      </c>
      <c r="AP2807" s="28"/>
      <c r="AQ2807" s="28" t="n">
        <f aca="false">AP2807*$M2807</f>
        <v>0</v>
      </c>
      <c r="AR2807" s="28"/>
      <c r="AS2807" s="28" t="n">
        <f aca="false">AR2807*$M2807</f>
        <v>0</v>
      </c>
      <c r="AT2807" s="28"/>
      <c r="AU2807" s="28" t="n">
        <f aca="false">AT2807*$M2807</f>
        <v>0</v>
      </c>
      <c r="AV2807" s="28"/>
      <c r="AW2807" s="28" t="n">
        <f aca="false">AV2807*$M2807</f>
        <v>0</v>
      </c>
      <c r="AX2807" s="28"/>
      <c r="AY2807" s="28" t="n">
        <f aca="false">AX2807*$M2807</f>
        <v>0</v>
      </c>
      <c r="AZ2807" s="30" t="n">
        <f aca="false">103*288+190</f>
        <v>29854</v>
      </c>
      <c r="BA2807" s="11" t="n">
        <v>20898</v>
      </c>
      <c r="BB2807" s="31" t="n">
        <f aca="false">SUM(Q2807,S2807,U2807,W2807,Y2807,AA2807,AC2807,AE2807,AG2807,AI2807,AK2807,AM2807,AO2807,AQ2807,AS2807,AU2807,AW2807,AY2807)</f>
        <v>20898</v>
      </c>
      <c r="BC2807" s="28" t="n">
        <f aca="false">BA2807-BB2807</f>
        <v>0</v>
      </c>
      <c r="BD2807" s="32" t="n">
        <f aca="false">SUM(P2807,R2807,T2807,V2807,X2807,Z2807,AB2807,AD2807,AF2807,AH2807,AJ2807,AL2807,AN2807,AP2807,AR2807,AT2807,AV2807,AX2807)</f>
        <v>29854</v>
      </c>
      <c r="BE2807" s="33" t="n">
        <f aca="false">AZ2807-BD2807</f>
        <v>0</v>
      </c>
      <c r="BF2807" s="34" t="n">
        <f aca="false">BD2807*M2807</f>
        <v>20897.8</v>
      </c>
      <c r="BG2807" s="35" t="n">
        <f aca="false">BA2807-BF2807</f>
        <v>0.200000000000728</v>
      </c>
      <c r="BH2807" s="19" t="str">
        <f aca="false">IF(BG2807=0,"",IF(BG2807&lt;&gt;BA2807,"erreur de calcul",IF(BD2807&lt;&gt;0,"pas de prix",IF(M2807&lt;&gt; 0,"pas de quantité","pas de prix, ni de quantité"))))</f>
        <v>erreur de calcul</v>
      </c>
      <c r="BI2807" s="19"/>
    </row>
    <row r="2808" customFormat="false" ht="15" hidden="false" customHeight="false" outlineLevel="0" collapsed="false">
      <c r="A2808" s="0" t="n">
        <v>21</v>
      </c>
      <c r="B2808" s="8" t="s">
        <v>24</v>
      </c>
      <c r="C2808" s="9" t="s">
        <v>25</v>
      </c>
      <c r="D2808" s="9" t="s">
        <v>26</v>
      </c>
      <c r="E2808" s="10" t="n">
        <v>1789</v>
      </c>
      <c r="F2808" s="9" t="s">
        <v>27</v>
      </c>
      <c r="G2808" s="9" t="s">
        <v>27</v>
      </c>
      <c r="H2808" s="11" t="n">
        <v>27</v>
      </c>
      <c r="I2808" s="11" t="s">
        <v>434</v>
      </c>
      <c r="J2808" s="14"/>
      <c r="K2808" s="14" t="n">
        <v>5</v>
      </c>
      <c r="L2808" s="16"/>
      <c r="M2808" s="27" t="n">
        <f aca="false">J2808+(K2808/20)+(L2808/240)</f>
        <v>0.25</v>
      </c>
      <c r="N2808" s="17" t="s">
        <v>79</v>
      </c>
      <c r="O2808" s="11"/>
      <c r="P2808" s="28" t="n">
        <v>300402</v>
      </c>
      <c r="Q2808" s="28" t="n">
        <v>75100</v>
      </c>
      <c r="R2808" s="28"/>
      <c r="S2808" s="28" t="n">
        <f aca="false">R2808*$M2808</f>
        <v>0</v>
      </c>
      <c r="T2808" s="28"/>
      <c r="U2808" s="28" t="n">
        <f aca="false">T2808*$M2808</f>
        <v>0</v>
      </c>
      <c r="V2808" s="28" t="n">
        <v>448</v>
      </c>
      <c r="W2808" s="28" t="n">
        <v>112</v>
      </c>
      <c r="X2808" s="28"/>
      <c r="Y2808" s="28" t="n">
        <f aca="false">X2808*$M2808</f>
        <v>0</v>
      </c>
      <c r="Z2808" s="28"/>
      <c r="AA2808" s="28" t="n">
        <f aca="false">Z2808*$M2808</f>
        <v>0</v>
      </c>
      <c r="AB2808" s="28"/>
      <c r="AC2808" s="28" t="n">
        <f aca="false">AB2808*$M2808</f>
        <v>0</v>
      </c>
      <c r="AD2808" s="28"/>
      <c r="AE2808" s="28" t="n">
        <f aca="false">AD2808*$M2808</f>
        <v>0</v>
      </c>
      <c r="AF2808" s="28"/>
      <c r="AG2808" s="28" t="n">
        <f aca="false">AF2808*$M2808</f>
        <v>0</v>
      </c>
      <c r="AH2808" s="28"/>
      <c r="AI2808" s="28" t="n">
        <f aca="false">AH2808*$M2808</f>
        <v>0</v>
      </c>
      <c r="AJ2808" s="28"/>
      <c r="AK2808" s="28" t="n">
        <f aca="false">AJ2808*$M2808</f>
        <v>0</v>
      </c>
      <c r="AL2808" s="28"/>
      <c r="AM2808" s="28" t="n">
        <f aca="false">AL2808*$M2808</f>
        <v>0</v>
      </c>
      <c r="AN2808" s="28"/>
      <c r="AO2808" s="28" t="n">
        <f aca="false">AN2808*$M2808</f>
        <v>0</v>
      </c>
      <c r="AP2808" s="28"/>
      <c r="AQ2808" s="28" t="n">
        <f aca="false">AP2808*$M2808</f>
        <v>0</v>
      </c>
      <c r="AR2808" s="28"/>
      <c r="AS2808" s="28" t="n">
        <f aca="false">AR2808*$M2808</f>
        <v>0</v>
      </c>
      <c r="AT2808" s="28"/>
      <c r="AU2808" s="28" t="n">
        <f aca="false">AT2808*$M2808</f>
        <v>0</v>
      </c>
      <c r="AV2808" s="28"/>
      <c r="AW2808" s="28" t="n">
        <f aca="false">AV2808*$M2808</f>
        <v>0</v>
      </c>
      <c r="AX2808" s="28"/>
      <c r="AY2808" s="28" t="n">
        <f aca="false">AX2808*$M2808</f>
        <v>0</v>
      </c>
      <c r="AZ2808" s="30" t="n">
        <v>300850</v>
      </c>
      <c r="BA2808" s="11" t="n">
        <v>75212</v>
      </c>
      <c r="BB2808" s="31" t="n">
        <f aca="false">SUM(Q2808,S2808,U2808,W2808,Y2808,AA2808,AC2808,AE2808,AG2808,AI2808,AK2808,AM2808,AO2808,AQ2808,AS2808,AU2808,AW2808,AY2808)</f>
        <v>75212</v>
      </c>
      <c r="BC2808" s="28" t="n">
        <f aca="false">BA2808-BB2808</f>
        <v>0</v>
      </c>
      <c r="BD2808" s="32" t="n">
        <f aca="false">SUM(P2808,R2808,T2808,V2808,X2808,Z2808,AB2808,AD2808,AF2808,AH2808,AJ2808,AL2808,AN2808,AP2808,AR2808,AT2808,AV2808,AX2808)</f>
        <v>300850</v>
      </c>
      <c r="BE2808" s="33" t="n">
        <f aca="false">AZ2808-BD2808</f>
        <v>0</v>
      </c>
      <c r="BF2808" s="34" t="n">
        <f aca="false">BD2808*M2808</f>
        <v>75212.5</v>
      </c>
      <c r="BG2808" s="35" t="n">
        <f aca="false">BA2808-BF2808</f>
        <v>-0.5</v>
      </c>
      <c r="BH2808" s="19" t="str">
        <f aca="false">IF(BG2808=0,"",IF(BG2808&lt;&gt;BA2808,"erreur de calcul",IF(BD2808&lt;&gt;0,"pas de prix",IF(M2808&lt;&gt; 0,"pas de quantité","pas de prix, ni de quantité"))))</f>
        <v>erreur de calcul</v>
      </c>
      <c r="BI2808" s="19"/>
    </row>
    <row r="2809" customFormat="false" ht="78.4" hidden="false" customHeight="true" outlineLevel="0" collapsed="false">
      <c r="A2809" s="0" t="s">
        <v>31</v>
      </c>
      <c r="B2809" s="2" t="s">
        <v>0</v>
      </c>
      <c r="C2809" s="2" t="s">
        <v>1</v>
      </c>
      <c r="D2809" s="2" t="s">
        <v>2</v>
      </c>
      <c r="E2809" s="2" t="s">
        <v>3</v>
      </c>
      <c r="F2809" s="2" t="s">
        <v>4</v>
      </c>
      <c r="G2809" s="2" t="s">
        <v>5</v>
      </c>
      <c r="H2809" s="2" t="s">
        <v>6</v>
      </c>
      <c r="I2809" s="3" t="s">
        <v>7</v>
      </c>
      <c r="J2809" s="5" t="s">
        <v>12</v>
      </c>
      <c r="K2809" s="5" t="s">
        <v>13</v>
      </c>
      <c r="L2809" s="5" t="s">
        <v>14</v>
      </c>
      <c r="M2809" s="7" t="s">
        <v>15</v>
      </c>
      <c r="N2809" s="6" t="s">
        <v>32</v>
      </c>
      <c r="O2809" s="6" t="s">
        <v>33</v>
      </c>
      <c r="P2809" s="6" t="s">
        <v>34</v>
      </c>
      <c r="Q2809" s="6"/>
      <c r="R2809" s="6" t="s">
        <v>35</v>
      </c>
      <c r="S2809" s="6"/>
      <c r="T2809" s="6" t="s">
        <v>36</v>
      </c>
      <c r="U2809" s="6"/>
      <c r="V2809" s="6" t="s">
        <v>37</v>
      </c>
      <c r="W2809" s="6"/>
      <c r="X2809" s="6" t="s">
        <v>38</v>
      </c>
      <c r="Y2809" s="6"/>
      <c r="Z2809" s="6" t="s">
        <v>39</v>
      </c>
      <c r="AA2809" s="6"/>
      <c r="AB2809" s="6" t="s">
        <v>40</v>
      </c>
      <c r="AC2809" s="6"/>
      <c r="AD2809" s="6" t="s">
        <v>41</v>
      </c>
      <c r="AE2809" s="6"/>
      <c r="AF2809" s="6" t="s">
        <v>42</v>
      </c>
      <c r="AG2809" s="6"/>
      <c r="AH2809" s="6" t="s">
        <v>43</v>
      </c>
      <c r="AI2809" s="6"/>
      <c r="AJ2809" s="6" t="s">
        <v>44</v>
      </c>
      <c r="AK2809" s="6"/>
      <c r="AL2809" s="6" t="s">
        <v>45</v>
      </c>
      <c r="AM2809" s="6"/>
      <c r="AN2809" s="6" t="s">
        <v>46</v>
      </c>
      <c r="AO2809" s="6"/>
      <c r="AP2809" s="6" t="s">
        <v>47</v>
      </c>
      <c r="AQ2809" s="6"/>
      <c r="AR2809" s="6" t="s">
        <v>48</v>
      </c>
      <c r="AS2809" s="6"/>
      <c r="AT2809" s="6" t="s">
        <v>49</v>
      </c>
      <c r="AU2809" s="6"/>
      <c r="AV2809" s="6" t="s">
        <v>50</v>
      </c>
      <c r="AW2809" s="6"/>
      <c r="AX2809" s="6" t="s">
        <v>51</v>
      </c>
      <c r="AY2809" s="6"/>
      <c r="AZ2809" s="6" t="s">
        <v>52</v>
      </c>
      <c r="BA2809" s="6"/>
      <c r="BB2809" s="6"/>
      <c r="BC2809" s="6"/>
      <c r="BD2809" s="6" t="s">
        <v>53</v>
      </c>
      <c r="BE2809" s="6" t="s">
        <v>54</v>
      </c>
      <c r="BF2809" s="6" t="s">
        <v>55</v>
      </c>
      <c r="BG2809" s="6" t="s">
        <v>56</v>
      </c>
      <c r="BH2809" s="6" t="s">
        <v>57</v>
      </c>
      <c r="BI2809" s="6" t="s">
        <v>23</v>
      </c>
    </row>
    <row r="2810" customFormat="false" ht="15" hidden="false" customHeight="false" outlineLevel="0" collapsed="false">
      <c r="B2810" s="20"/>
      <c r="C2810" s="20"/>
      <c r="D2810" s="20"/>
      <c r="E2810" s="21"/>
      <c r="F2810" s="20"/>
      <c r="G2810" s="20"/>
      <c r="H2810" s="20"/>
      <c r="I2810" s="22"/>
      <c r="J2810" s="23"/>
      <c r="K2810" s="23"/>
      <c r="L2810" s="24"/>
      <c r="M2810" s="25"/>
      <c r="N2810" s="25"/>
      <c r="O2810" s="26" t="s">
        <v>58</v>
      </c>
      <c r="P2810" s="25" t="s">
        <v>59</v>
      </c>
      <c r="Q2810" s="25" t="s">
        <v>60</v>
      </c>
      <c r="R2810" s="25" t="s">
        <v>59</v>
      </c>
      <c r="S2810" s="25" t="s">
        <v>60</v>
      </c>
      <c r="T2810" s="25" t="s">
        <v>59</v>
      </c>
      <c r="U2810" s="25" t="s">
        <v>60</v>
      </c>
      <c r="V2810" s="25" t="s">
        <v>59</v>
      </c>
      <c r="W2810" s="25" t="s">
        <v>60</v>
      </c>
      <c r="X2810" s="25" t="s">
        <v>59</v>
      </c>
      <c r="Y2810" s="25" t="s">
        <v>60</v>
      </c>
      <c r="Z2810" s="25" t="s">
        <v>59</v>
      </c>
      <c r="AA2810" s="25" t="s">
        <v>60</v>
      </c>
      <c r="AB2810" s="25" t="s">
        <v>59</v>
      </c>
      <c r="AC2810" s="25" t="s">
        <v>60</v>
      </c>
      <c r="AD2810" s="25" t="s">
        <v>59</v>
      </c>
      <c r="AE2810" s="25" t="s">
        <v>60</v>
      </c>
      <c r="AF2810" s="25" t="s">
        <v>59</v>
      </c>
      <c r="AG2810" s="25" t="s">
        <v>60</v>
      </c>
      <c r="AH2810" s="25" t="s">
        <v>59</v>
      </c>
      <c r="AI2810" s="25" t="s">
        <v>60</v>
      </c>
      <c r="AJ2810" s="25" t="s">
        <v>59</v>
      </c>
      <c r="AK2810" s="25" t="s">
        <v>60</v>
      </c>
      <c r="AL2810" s="25" t="s">
        <v>59</v>
      </c>
      <c r="AM2810" s="25" t="s">
        <v>60</v>
      </c>
      <c r="AN2810" s="25" t="s">
        <v>59</v>
      </c>
      <c r="AO2810" s="25" t="s">
        <v>60</v>
      </c>
      <c r="AP2810" s="25" t="s">
        <v>59</v>
      </c>
      <c r="AQ2810" s="25" t="s">
        <v>60</v>
      </c>
      <c r="AR2810" s="25" t="s">
        <v>59</v>
      </c>
      <c r="AS2810" s="25" t="s">
        <v>60</v>
      </c>
      <c r="AT2810" s="25" t="s">
        <v>59</v>
      </c>
      <c r="AU2810" s="25" t="s">
        <v>60</v>
      </c>
      <c r="AV2810" s="25" t="s">
        <v>59</v>
      </c>
      <c r="AW2810" s="25" t="s">
        <v>60</v>
      </c>
      <c r="AX2810" s="25" t="s">
        <v>59</v>
      </c>
      <c r="AY2810" s="25" t="s">
        <v>60</v>
      </c>
      <c r="AZ2810" s="25" t="s">
        <v>59</v>
      </c>
      <c r="BA2810" s="25" t="s">
        <v>60</v>
      </c>
      <c r="BB2810" s="25" t="s">
        <v>61</v>
      </c>
      <c r="BC2810" s="25" t="s">
        <v>62</v>
      </c>
      <c r="BD2810" s="20"/>
      <c r="BE2810" s="20"/>
      <c r="BF2810" s="20"/>
      <c r="BG2810" s="20"/>
      <c r="BH2810" s="20"/>
      <c r="BI2810" s="20"/>
    </row>
    <row r="2811" customFormat="false" ht="15" hidden="false" customHeight="false" outlineLevel="0" collapsed="false">
      <c r="A2811" s="0" t="n">
        <v>1</v>
      </c>
      <c r="B2811" s="8" t="s">
        <v>24</v>
      </c>
      <c r="C2811" s="9" t="s">
        <v>25</v>
      </c>
      <c r="D2811" s="9" t="s">
        <v>26</v>
      </c>
      <c r="E2811" s="10" t="n">
        <v>1789</v>
      </c>
      <c r="F2811" s="9" t="s">
        <v>27</v>
      </c>
      <c r="G2811" s="9" t="s">
        <v>27</v>
      </c>
      <c r="H2811" s="11" t="n">
        <v>18</v>
      </c>
      <c r="I2811" s="11" t="s">
        <v>63</v>
      </c>
      <c r="J2811" s="14" t="n">
        <v>27</v>
      </c>
      <c r="K2811" s="14"/>
      <c r="L2811" s="16"/>
      <c r="M2811" s="27" t="n">
        <f aca="false">J2811+(K2811/20)+(L2811/240)</f>
        <v>27</v>
      </c>
      <c r="N2811" s="17" t="s">
        <v>64</v>
      </c>
      <c r="O2811" s="11"/>
      <c r="P2811" s="28"/>
      <c r="Q2811" s="28" t="n">
        <f aca="false">P2811*$M2811</f>
        <v>0</v>
      </c>
      <c r="R2811" s="28"/>
      <c r="S2811" s="28" t="n">
        <f aca="false">R2811*$M2811</f>
        <v>0</v>
      </c>
      <c r="T2811" s="28"/>
      <c r="U2811" s="28" t="n">
        <f aca="false">T2811*$M2811</f>
        <v>0</v>
      </c>
      <c r="V2811" s="28" t="n">
        <f aca="false">700/100</f>
        <v>7</v>
      </c>
      <c r="W2811" s="28" t="n">
        <v>189</v>
      </c>
      <c r="X2811" s="29"/>
      <c r="Y2811" s="28" t="n">
        <v>9506</v>
      </c>
      <c r="Z2811" s="28"/>
      <c r="AA2811" s="28" t="n">
        <f aca="false">Z2811*$M2811</f>
        <v>0</v>
      </c>
      <c r="AB2811" s="28"/>
      <c r="AC2811" s="28" t="n">
        <f aca="false">AB2811*$M2811</f>
        <v>0</v>
      </c>
      <c r="AD2811" s="28"/>
      <c r="AE2811" s="28" t="n">
        <f aca="false">AD2811*$M2811</f>
        <v>0</v>
      </c>
      <c r="AF2811" s="28"/>
      <c r="AG2811" s="28" t="n">
        <f aca="false">AF2811*$M2811</f>
        <v>0</v>
      </c>
      <c r="AH2811" s="28"/>
      <c r="AI2811" s="28" t="n">
        <f aca="false">AH2811*$M2811</f>
        <v>0</v>
      </c>
      <c r="AJ2811" s="28" t="n">
        <f aca="false">72509/100</f>
        <v>725.09</v>
      </c>
      <c r="AK2811" s="28" t="n">
        <v>19577</v>
      </c>
      <c r="AL2811" s="28"/>
      <c r="AM2811" s="28" t="n">
        <f aca="false">AL2811*$M2811</f>
        <v>0</v>
      </c>
      <c r="AN2811" s="28"/>
      <c r="AO2811" s="28" t="n">
        <f aca="false">AN2811*$M2811</f>
        <v>0</v>
      </c>
      <c r="AP2811" s="28"/>
      <c r="AQ2811" s="28" t="n">
        <f aca="false">AP2811*$M2811</f>
        <v>0</v>
      </c>
      <c r="AR2811" s="28" t="n">
        <f aca="false">36750/100</f>
        <v>367.5</v>
      </c>
      <c r="AS2811" s="28" t="n">
        <v>9922</v>
      </c>
      <c r="AT2811" s="28"/>
      <c r="AU2811" s="28" t="n">
        <f aca="false">AT2811*$M2811</f>
        <v>0</v>
      </c>
      <c r="AV2811" s="28"/>
      <c r="AW2811" s="28" t="n">
        <f aca="false">AV2811*$M2811</f>
        <v>0</v>
      </c>
      <c r="AX2811" s="28"/>
      <c r="AY2811" s="28" t="n">
        <f aca="false">AX2811*$M2811</f>
        <v>0</v>
      </c>
      <c r="AZ2811" s="30" t="n">
        <f aca="false">145166/100</f>
        <v>1451.66</v>
      </c>
      <c r="BA2811" s="11" t="n">
        <v>39194</v>
      </c>
      <c r="BB2811" s="31" t="n">
        <f aca="false">SUM(Q2811,S2811,U2811,W2811,Y2811,AA2811,AC2811,AE2811,AG2811,AI2811,AK2811,AM2811,AO2811,AQ2811,AS2811,AU2811,AW2811,AY2811)</f>
        <v>39194</v>
      </c>
      <c r="BC2811" s="28" t="n">
        <f aca="false">BA2811-BB2811</f>
        <v>0</v>
      </c>
      <c r="BD2811" s="32" t="n">
        <f aca="false">SUM(P2811,R2811,T2811,V2811,X2811,Z2811,AB2811,AD2811,AF2811,AH2811,AJ2811,AL2811,AN2811,AP2811,AR2811,AT2811,AV2811,AX2811)</f>
        <v>1099.59</v>
      </c>
      <c r="BE2811" s="33" t="n">
        <f aca="false">AZ2811-BD2811</f>
        <v>352.07</v>
      </c>
      <c r="BF2811" s="34" t="n">
        <f aca="false">BD2811*M2811</f>
        <v>29688.93</v>
      </c>
      <c r="BG2811" s="35" t="n">
        <f aca="false">BA2811-BF2811</f>
        <v>9505.07</v>
      </c>
      <c r="BH2811" s="19" t="str">
        <f aca="false">IF(BG2811=0,"",IF(BG2811&lt;&gt;BA2811,"erreur de calcul",IF(BD2811&lt;&gt;0,"pas de prix",IF(M2811&lt;&gt; 0,"pas de quantité","pas de prix, ni de quantité"))))</f>
        <v>erreur de calcul</v>
      </c>
      <c r="BI2811" s="19"/>
    </row>
    <row r="2812" customFormat="false" ht="15" hidden="false" customHeight="false" outlineLevel="0" collapsed="false">
      <c r="A2812" s="0" t="n">
        <v>2</v>
      </c>
      <c r="B2812" s="8" t="s">
        <v>24</v>
      </c>
      <c r="C2812" s="9" t="s">
        <v>25</v>
      </c>
      <c r="D2812" s="9" t="s">
        <v>26</v>
      </c>
      <c r="E2812" s="10" t="n">
        <v>1789</v>
      </c>
      <c r="F2812" s="9" t="s">
        <v>27</v>
      </c>
      <c r="G2812" s="9" t="s">
        <v>27</v>
      </c>
      <c r="H2812" s="11" t="n">
        <v>18</v>
      </c>
      <c r="I2812" s="11" t="s">
        <v>65</v>
      </c>
      <c r="J2812" s="14"/>
      <c r="K2812" s="14" t="n">
        <v>20</v>
      </c>
      <c r="L2812" s="16"/>
      <c r="M2812" s="27" t="n">
        <f aca="false">J2812+(K2812/20)+(L2812/240)</f>
        <v>1</v>
      </c>
      <c r="N2812" s="17" t="s">
        <v>66</v>
      </c>
      <c r="O2812" s="11"/>
      <c r="P2812" s="28"/>
      <c r="Q2812" s="28" t="n">
        <f aca="false">P2812*$M2812</f>
        <v>0</v>
      </c>
      <c r="R2812" s="28"/>
      <c r="S2812" s="28" t="n">
        <f aca="false">R2812*$M2812</f>
        <v>0</v>
      </c>
      <c r="T2812" s="28"/>
      <c r="U2812" s="28" t="n">
        <f aca="false">T2812*$M2812</f>
        <v>0</v>
      </c>
      <c r="V2812" s="28" t="n">
        <v>2365</v>
      </c>
      <c r="W2812" s="28" t="n">
        <v>2365</v>
      </c>
      <c r="X2812" s="29" t="n">
        <v>234</v>
      </c>
      <c r="Y2812" s="28" t="n">
        <v>234</v>
      </c>
      <c r="Z2812" s="28"/>
      <c r="AA2812" s="28" t="n">
        <f aca="false">Z2812*$M2812</f>
        <v>0</v>
      </c>
      <c r="AB2812" s="28" t="n">
        <v>17776</v>
      </c>
      <c r="AC2812" s="28" t="n">
        <v>17776</v>
      </c>
      <c r="AD2812" s="28"/>
      <c r="AE2812" s="28" t="n">
        <f aca="false">AD2812*$M2812</f>
        <v>0</v>
      </c>
      <c r="AF2812" s="28"/>
      <c r="AG2812" s="28" t="n">
        <f aca="false">AF2812*$M2812</f>
        <v>0</v>
      </c>
      <c r="AH2812" s="28"/>
      <c r="AI2812" s="28" t="n">
        <f aca="false">AH2812*$M2812</f>
        <v>0</v>
      </c>
      <c r="AJ2812" s="28"/>
      <c r="AK2812" s="28" t="n">
        <f aca="false">AJ2812*$M2812</f>
        <v>0</v>
      </c>
      <c r="AL2812" s="28"/>
      <c r="AM2812" s="28" t="n">
        <f aca="false">AL2812*$M2812</f>
        <v>0</v>
      </c>
      <c r="AN2812" s="28"/>
      <c r="AO2812" s="28" t="n">
        <f aca="false">AN2812*$M2812</f>
        <v>0</v>
      </c>
      <c r="AP2812" s="28"/>
      <c r="AQ2812" s="28" t="n">
        <f aca="false">AP2812*$M2812</f>
        <v>0</v>
      </c>
      <c r="AR2812" s="28"/>
      <c r="AS2812" s="28" t="n">
        <f aca="false">AR2812*$M2812</f>
        <v>0</v>
      </c>
      <c r="AT2812" s="28"/>
      <c r="AU2812" s="28" t="n">
        <f aca="false">AT2812*$M2812</f>
        <v>0</v>
      </c>
      <c r="AV2812" s="28"/>
      <c r="AW2812" s="28" t="n">
        <f aca="false">AV2812*$M2812</f>
        <v>0</v>
      </c>
      <c r="AX2812" s="28"/>
      <c r="AY2812" s="28" t="n">
        <f aca="false">AX2812*$M2812</f>
        <v>0</v>
      </c>
      <c r="AZ2812" s="30" t="n">
        <v>20375</v>
      </c>
      <c r="BA2812" s="11" t="n">
        <v>20375</v>
      </c>
      <c r="BB2812" s="31" t="n">
        <f aca="false">SUM(Q2812,S2812,U2812,W2812,Y2812,AA2812,AC2812,AE2812,AG2812,AI2812,AK2812,AM2812,AO2812,AQ2812,AS2812,AU2812,AW2812,AY2812)</f>
        <v>20375</v>
      </c>
      <c r="BC2812" s="28" t="n">
        <f aca="false">BA2812-BB2812</f>
        <v>0</v>
      </c>
      <c r="BD2812" s="32" t="n">
        <f aca="false">SUM(P2812,R2812,T2812,V2812,X2812,Z2812,AB2812,AD2812,AF2812,AH2812,AJ2812,AL2812,AN2812,AP2812,AR2812,AT2812,AV2812,AX2812)</f>
        <v>20375</v>
      </c>
      <c r="BE2812" s="33" t="n">
        <f aca="false">AZ2812-BD2812</f>
        <v>0</v>
      </c>
      <c r="BF2812" s="34" t="n">
        <f aca="false">BD2812*M2812</f>
        <v>20375</v>
      </c>
      <c r="BG2812" s="35" t="n">
        <f aca="false">BA2812-BF2812</f>
        <v>0</v>
      </c>
      <c r="BH2812" s="19" t="str">
        <f aca="false">IF(BG2812=0,"",IF(BG2812&lt;&gt;BA2812,"erreur de calcul",IF(BD2812&lt;&gt;0,"pas de prix",IF(M2812&lt;&gt; 0,"pas de quantité","pas de prix, ni de quantité"))))</f>
        <v/>
      </c>
      <c r="BI2812" s="19"/>
    </row>
    <row r="2813" customFormat="false" ht="15" hidden="false" customHeight="false" outlineLevel="0" collapsed="false">
      <c r="A2813" s="0" t="n">
        <v>3</v>
      </c>
      <c r="B2813" s="8" t="s">
        <v>24</v>
      </c>
      <c r="C2813" s="9" t="s">
        <v>25</v>
      </c>
      <c r="D2813" s="9" t="s">
        <v>26</v>
      </c>
      <c r="E2813" s="10" t="n">
        <v>1789</v>
      </c>
      <c r="F2813" s="9" t="s">
        <v>27</v>
      </c>
      <c r="G2813" s="9" t="s">
        <v>27</v>
      </c>
      <c r="H2813" s="11" t="n">
        <v>18</v>
      </c>
      <c r="I2813" s="11" t="s">
        <v>67</v>
      </c>
      <c r="J2813" s="14" t="n">
        <v>56</v>
      </c>
      <c r="K2813" s="14"/>
      <c r="L2813" s="16"/>
      <c r="M2813" s="27" t="n">
        <f aca="false">J2813+(K2813/20)+(L2813/240)</f>
        <v>56</v>
      </c>
      <c r="N2813" s="17" t="s">
        <v>64</v>
      </c>
      <c r="O2813" s="11"/>
      <c r="P2813" s="28" t="n">
        <f aca="false">27159/100</f>
        <v>271.59</v>
      </c>
      <c r="Q2813" s="28" t="n">
        <v>15209</v>
      </c>
      <c r="R2813" s="28"/>
      <c r="S2813" s="28" t="n">
        <f aca="false">R2813*$M2813</f>
        <v>0</v>
      </c>
      <c r="T2813" s="28" t="n">
        <f aca="false">1044/100</f>
        <v>10.44</v>
      </c>
      <c r="U2813" s="28" t="n">
        <v>585</v>
      </c>
      <c r="V2813" s="28" t="n">
        <f aca="false">1838/100</f>
        <v>18.38</v>
      </c>
      <c r="W2813" s="36" t="n">
        <v>4557</v>
      </c>
      <c r="X2813" s="29"/>
      <c r="Y2813" s="28" t="n">
        <v>2566</v>
      </c>
      <c r="Z2813" s="28"/>
      <c r="AA2813" s="28" t="n">
        <f aca="false">Z2813*$M2813</f>
        <v>0</v>
      </c>
      <c r="AB2813" s="28" t="n">
        <f aca="false">17833/100</f>
        <v>178.33</v>
      </c>
      <c r="AC2813" s="28" t="n">
        <v>9986</v>
      </c>
      <c r="AD2813" s="28"/>
      <c r="AE2813" s="28" t="n">
        <f aca="false">AD2813*$M2813</f>
        <v>0</v>
      </c>
      <c r="AF2813" s="28" t="n">
        <f aca="false">30595/100</f>
        <v>305.95</v>
      </c>
      <c r="AG2813" s="28" t="n">
        <v>17133</v>
      </c>
      <c r="AH2813" s="28"/>
      <c r="AI2813" s="28" t="n">
        <f aca="false">AH2813*$M2813</f>
        <v>0</v>
      </c>
      <c r="AJ2813" s="28"/>
      <c r="AK2813" s="28" t="n">
        <f aca="false">AJ2813*$M2813</f>
        <v>0</v>
      </c>
      <c r="AL2813" s="28"/>
      <c r="AM2813" s="28" t="n">
        <f aca="false">AL2813*$M2813</f>
        <v>0</v>
      </c>
      <c r="AN2813" s="28"/>
      <c r="AO2813" s="28" t="n">
        <f aca="false">AN2813*$M2813</f>
        <v>0</v>
      </c>
      <c r="AP2813" s="28"/>
      <c r="AQ2813" s="28" t="n">
        <f aca="false">AP2813*$M2813</f>
        <v>0</v>
      </c>
      <c r="AR2813" s="28"/>
      <c r="AS2813" s="28" t="n">
        <f aca="false">AR2813*$M2813</f>
        <v>0</v>
      </c>
      <c r="AT2813" s="28"/>
      <c r="AU2813" s="28" t="n">
        <f aca="false">AT2813*$M2813</f>
        <v>0</v>
      </c>
      <c r="AV2813" s="28"/>
      <c r="AW2813" s="28" t="n">
        <f aca="false">AV2813*$M2813</f>
        <v>0</v>
      </c>
      <c r="AX2813" s="28"/>
      <c r="AY2813" s="28" t="n">
        <f aca="false">AX2813*$M2813</f>
        <v>0</v>
      </c>
      <c r="AZ2813" s="30" t="n">
        <f aca="false">83051/100</f>
        <v>830.51</v>
      </c>
      <c r="BA2813" s="11" t="n">
        <v>50036</v>
      </c>
      <c r="BB2813" s="31" t="n">
        <f aca="false">SUM(Q2813,S2813,U2813,W2813,Y2813,AA2813,AC2813,AE2813,AG2813,AI2813,AK2813,AM2813,AO2813,AQ2813,AS2813,AU2813,AW2813,AY2813)</f>
        <v>50036</v>
      </c>
      <c r="BC2813" s="28" t="n">
        <f aca="false">BA2813-BB2813</f>
        <v>0</v>
      </c>
      <c r="BD2813" s="32" t="n">
        <f aca="false">SUM(P2813,R2813,T2813,V2813,X2813,Z2813,AB2813,AD2813,AF2813,AH2813,AJ2813,AL2813,AN2813,AP2813,AR2813,AT2813,AV2813,AX2813)</f>
        <v>784.69</v>
      </c>
      <c r="BE2813" s="33" t="n">
        <f aca="false">AZ2813-BD2813</f>
        <v>45.8199999999999</v>
      </c>
      <c r="BF2813" s="34" t="n">
        <f aca="false">BD2813*M2813</f>
        <v>43942.64</v>
      </c>
      <c r="BG2813" s="35" t="n">
        <f aca="false">BA2813-BF2813</f>
        <v>6093.36</v>
      </c>
      <c r="BH2813" s="19" t="str">
        <f aca="false">IF(BG2813=0,"",IF(BG2813&lt;&gt;BA2813,"erreur de calcul",IF(BD2813&lt;&gt;0,"pas de prix",IF(M2813&lt;&gt; 0,"pas de quantité","pas de prix, ni de quantité"))))</f>
        <v>erreur de calcul</v>
      </c>
      <c r="BI2813" s="19"/>
    </row>
    <row r="2814" customFormat="false" ht="15" hidden="false" customHeight="false" outlineLevel="0" collapsed="false">
      <c r="A2814" s="0" t="n">
        <v>4</v>
      </c>
      <c r="B2814" s="8" t="s">
        <v>24</v>
      </c>
      <c r="C2814" s="9" t="s">
        <v>25</v>
      </c>
      <c r="D2814" s="9" t="s">
        <v>26</v>
      </c>
      <c r="E2814" s="10" t="n">
        <v>1789</v>
      </c>
      <c r="F2814" s="9" t="s">
        <v>27</v>
      </c>
      <c r="G2814" s="9" t="s">
        <v>27</v>
      </c>
      <c r="H2814" s="11" t="n">
        <v>18</v>
      </c>
      <c r="I2814" s="11" t="s">
        <v>68</v>
      </c>
      <c r="J2814" s="14"/>
      <c r="K2814" s="14" t="n">
        <v>30</v>
      </c>
      <c r="L2814" s="16"/>
      <c r="M2814" s="27" t="n">
        <f aca="false">J2814+(K2814/20)+(L2814/240)</f>
        <v>1.5</v>
      </c>
      <c r="N2814" s="17" t="s">
        <v>69</v>
      </c>
      <c r="O2814" s="11"/>
      <c r="P2814" s="28" t="n">
        <v>5460</v>
      </c>
      <c r="Q2814" s="28" t="n">
        <v>8190</v>
      </c>
      <c r="R2814" s="28"/>
      <c r="S2814" s="28" t="n">
        <f aca="false">R2814*$M2814</f>
        <v>0</v>
      </c>
      <c r="T2814" s="28"/>
      <c r="U2814" s="28" t="n">
        <f aca="false">T2814*$M2814</f>
        <v>0</v>
      </c>
      <c r="V2814" s="28" t="n">
        <v>1061</v>
      </c>
      <c r="W2814" s="28" t="n">
        <v>1591</v>
      </c>
      <c r="X2814" s="29"/>
      <c r="Y2814" s="28" t="n">
        <v>5766</v>
      </c>
      <c r="Z2814" s="28"/>
      <c r="AA2814" s="28" t="n">
        <f aca="false">Z2814*$M2814</f>
        <v>0</v>
      </c>
      <c r="AB2814" s="28"/>
      <c r="AC2814" s="28" t="n">
        <f aca="false">AB2814*$M2814</f>
        <v>0</v>
      </c>
      <c r="AD2814" s="28"/>
      <c r="AE2814" s="28" t="n">
        <f aca="false">AD2814*$M2814</f>
        <v>0</v>
      </c>
      <c r="AF2814" s="28"/>
      <c r="AG2814" s="28" t="n">
        <f aca="false">AF2814*$M2814</f>
        <v>0</v>
      </c>
      <c r="AH2814" s="28"/>
      <c r="AI2814" s="28" t="n">
        <f aca="false">AH2814*$M2814</f>
        <v>0</v>
      </c>
      <c r="AJ2814" s="28"/>
      <c r="AK2814" s="28" t="n">
        <f aca="false">AJ2814*$M2814</f>
        <v>0</v>
      </c>
      <c r="AL2814" s="28"/>
      <c r="AM2814" s="28" t="n">
        <f aca="false">AL2814*$M2814</f>
        <v>0</v>
      </c>
      <c r="AN2814" s="28"/>
      <c r="AO2814" s="28" t="n">
        <f aca="false">AN2814*$M2814</f>
        <v>0</v>
      </c>
      <c r="AP2814" s="28"/>
      <c r="AQ2814" s="28" t="n">
        <f aca="false">AP2814*$M2814</f>
        <v>0</v>
      </c>
      <c r="AR2814" s="28"/>
      <c r="AS2814" s="28" t="n">
        <f aca="false">AR2814*$M2814</f>
        <v>0</v>
      </c>
      <c r="AT2814" s="28"/>
      <c r="AU2814" s="28" t="n">
        <f aca="false">AT2814*$M2814</f>
        <v>0</v>
      </c>
      <c r="AV2814" s="28"/>
      <c r="AW2814" s="28" t="n">
        <f aca="false">AV2814*$M2814</f>
        <v>0</v>
      </c>
      <c r="AX2814" s="28"/>
      <c r="AY2814" s="28" t="n">
        <f aca="false">AX2814*$M2814</f>
        <v>0</v>
      </c>
      <c r="AZ2814" s="30" t="n">
        <v>10365</v>
      </c>
      <c r="BA2814" s="11" t="n">
        <v>15547</v>
      </c>
      <c r="BB2814" s="31" t="n">
        <f aca="false">SUM(Q2814,S2814,U2814,W2814,Y2814,AA2814,AC2814,AE2814,AG2814,AI2814,AK2814,AM2814,AO2814,AQ2814,AS2814,AU2814,AW2814,AY2814)</f>
        <v>15547</v>
      </c>
      <c r="BC2814" s="28" t="n">
        <f aca="false">BA2814-BB2814</f>
        <v>0</v>
      </c>
      <c r="BD2814" s="32" t="n">
        <f aca="false">SUM(P2814,R2814,T2814,V2814,X2814,Z2814,AB2814,AD2814,AF2814,AH2814,AJ2814,AL2814,AN2814,AP2814,AR2814,AT2814,AV2814,AX2814)</f>
        <v>6521</v>
      </c>
      <c r="BE2814" s="33" t="n">
        <f aca="false">AZ2814-BD2814</f>
        <v>3844</v>
      </c>
      <c r="BF2814" s="34" t="n">
        <f aca="false">BD2814*M2814</f>
        <v>9781.5</v>
      </c>
      <c r="BG2814" s="35" t="n">
        <f aca="false">BA2814-BF2814</f>
        <v>5765.5</v>
      </c>
      <c r="BH2814" s="19" t="str">
        <f aca="false">IF(BG2814=0,"",IF(BG2814&lt;&gt;BA2814,"erreur de calcul",IF(BD2814&lt;&gt;0,"pas de prix",IF(M2814&lt;&gt; 0,"pas de quantité","pas de prix, ni de quantité"))))</f>
        <v>erreur de calcul</v>
      </c>
      <c r="BI2814" s="19"/>
    </row>
    <row r="2815" customFormat="false" ht="15" hidden="false" customHeight="false" outlineLevel="0" collapsed="false">
      <c r="A2815" s="0" t="n">
        <v>5</v>
      </c>
      <c r="B2815" s="8" t="s">
        <v>24</v>
      </c>
      <c r="C2815" s="9" t="s">
        <v>25</v>
      </c>
      <c r="D2815" s="9" t="s">
        <v>26</v>
      </c>
      <c r="E2815" s="10" t="n">
        <v>1789</v>
      </c>
      <c r="F2815" s="9" t="s">
        <v>27</v>
      </c>
      <c r="G2815" s="9" t="s">
        <v>27</v>
      </c>
      <c r="H2815" s="11" t="n">
        <v>18</v>
      </c>
      <c r="I2815" s="11" t="s">
        <v>70</v>
      </c>
      <c r="J2815" s="14" t="n">
        <v>190</v>
      </c>
      <c r="K2815" s="14"/>
      <c r="L2815" s="16"/>
      <c r="M2815" s="27" t="n">
        <f aca="false">J2815+(K2815/20)+(L2815/240)</f>
        <v>190</v>
      </c>
      <c r="N2815" s="17" t="s">
        <v>64</v>
      </c>
      <c r="O2815" s="11"/>
      <c r="P2815" s="28"/>
      <c r="Q2815" s="28" t="n">
        <f aca="false">P2815*$M2815</f>
        <v>0</v>
      </c>
      <c r="R2815" s="28" t="n">
        <f aca="false">22283/100</f>
        <v>222.83</v>
      </c>
      <c r="S2815" s="28" t="n">
        <v>42338</v>
      </c>
      <c r="T2815" s="28" t="n">
        <f aca="false">1289/100</f>
        <v>12.89</v>
      </c>
      <c r="U2815" s="28" t="n">
        <v>2449</v>
      </c>
      <c r="V2815" s="28"/>
      <c r="W2815" s="28" t="n">
        <f aca="false">V2815*$M2815</f>
        <v>0</v>
      </c>
      <c r="X2815" s="29"/>
      <c r="Y2815" s="28" t="n">
        <f aca="false">X2815*$M2815</f>
        <v>0</v>
      </c>
      <c r="Z2815" s="28"/>
      <c r="AA2815" s="28" t="n">
        <f aca="false">Z2815*$M2815</f>
        <v>0</v>
      </c>
      <c r="AB2815" s="28"/>
      <c r="AC2815" s="28" t="n">
        <f aca="false">AB2815*$M2815</f>
        <v>0</v>
      </c>
      <c r="AD2815" s="28"/>
      <c r="AE2815" s="28" t="n">
        <f aca="false">AD2815*$M2815</f>
        <v>0</v>
      </c>
      <c r="AF2815" s="28"/>
      <c r="AG2815" s="28" t="n">
        <f aca="false">AF2815*$M2815</f>
        <v>0</v>
      </c>
      <c r="AH2815" s="28"/>
      <c r="AI2815" s="28" t="n">
        <f aca="false">AH2815*$M2815</f>
        <v>0</v>
      </c>
      <c r="AJ2815" s="28"/>
      <c r="AK2815" s="28" t="n">
        <f aca="false">AJ2815*$M2815</f>
        <v>0</v>
      </c>
      <c r="AL2815" s="28"/>
      <c r="AM2815" s="28" t="n">
        <f aca="false">AL2815*$M2815</f>
        <v>0</v>
      </c>
      <c r="AN2815" s="28"/>
      <c r="AO2815" s="28" t="n">
        <f aca="false">AN2815*$M2815</f>
        <v>0</v>
      </c>
      <c r="AP2815" s="28"/>
      <c r="AQ2815" s="28" t="n">
        <f aca="false">AP2815*$M2815</f>
        <v>0</v>
      </c>
      <c r="AR2815" s="28"/>
      <c r="AS2815" s="28" t="n">
        <f aca="false">AR2815*$M2815</f>
        <v>0</v>
      </c>
      <c r="AT2815" s="28"/>
      <c r="AU2815" s="28" t="n">
        <f aca="false">AT2815*$M2815</f>
        <v>0</v>
      </c>
      <c r="AV2815" s="28"/>
      <c r="AW2815" s="28" t="n">
        <f aca="false">AV2815*$M2815</f>
        <v>0</v>
      </c>
      <c r="AX2815" s="28"/>
      <c r="AY2815" s="28" t="n">
        <f aca="false">AX2815*$M2815</f>
        <v>0</v>
      </c>
      <c r="AZ2815" s="30" t="n">
        <f aca="false">23572/100</f>
        <v>235.72</v>
      </c>
      <c r="BA2815" s="11" t="n">
        <v>44787</v>
      </c>
      <c r="BB2815" s="31" t="n">
        <f aca="false">SUM(Q2815,S2815,U2815,W2815,Y2815,AA2815,AC2815,AE2815,AG2815,AI2815,AK2815,AM2815,AO2815,AQ2815,AS2815,AU2815,AW2815,AY2815)</f>
        <v>44787</v>
      </c>
      <c r="BC2815" s="28" t="n">
        <f aca="false">BA2815-BB2815</f>
        <v>0</v>
      </c>
      <c r="BD2815" s="32" t="n">
        <f aca="false">SUM(P2815,R2815,T2815,V2815,X2815,Z2815,AB2815,AD2815,AF2815,AH2815,AJ2815,AL2815,AN2815,AP2815,AR2815,AT2815,AV2815,AX2815)</f>
        <v>235.72</v>
      </c>
      <c r="BE2815" s="33" t="n">
        <f aca="false">AZ2815-BD2815</f>
        <v>0</v>
      </c>
      <c r="BF2815" s="34" t="n">
        <f aca="false">BD2815*M2815</f>
        <v>44786.8</v>
      </c>
      <c r="BG2815" s="35" t="n">
        <f aca="false">BA2815-BF2815</f>
        <v>0.19999999999709</v>
      </c>
      <c r="BH2815" s="19" t="str">
        <f aca="false">IF(BG2815=0,"",IF(BG2815&lt;&gt;BA2815,"erreur de calcul",IF(BD2815&lt;&gt;0,"pas de prix",IF(M2815&lt;&gt; 0,"pas de quantité","pas de prix, ni de quantité"))))</f>
        <v>erreur de calcul</v>
      </c>
      <c r="BI2815" s="19"/>
    </row>
    <row r="2816" customFormat="false" ht="15" hidden="false" customHeight="false" outlineLevel="0" collapsed="false">
      <c r="A2816" s="0" t="n">
        <v>6</v>
      </c>
      <c r="B2816" s="8" t="s">
        <v>24</v>
      </c>
      <c r="C2816" s="9" t="s">
        <v>25</v>
      </c>
      <c r="D2816" s="9" t="s">
        <v>26</v>
      </c>
      <c r="E2816" s="10" t="n">
        <v>1789</v>
      </c>
      <c r="F2816" s="9" t="s">
        <v>27</v>
      </c>
      <c r="G2816" s="9" t="s">
        <v>27</v>
      </c>
      <c r="H2816" s="11" t="n">
        <v>18</v>
      </c>
      <c r="I2816" s="11" t="s">
        <v>71</v>
      </c>
      <c r="J2816" s="14" t="n">
        <v>60</v>
      </c>
      <c r="K2816" s="14"/>
      <c r="L2816" s="16"/>
      <c r="M2816" s="27" t="n">
        <f aca="false">J2816+(K2816/20)+(L2816/240)</f>
        <v>60</v>
      </c>
      <c r="N2816" s="17" t="s">
        <v>64</v>
      </c>
      <c r="O2816" s="11"/>
      <c r="P2816" s="28" t="n">
        <f aca="false">674/100</f>
        <v>6.74</v>
      </c>
      <c r="Q2816" s="28" t="n">
        <v>404</v>
      </c>
      <c r="R2816" s="28"/>
      <c r="S2816" s="28" t="n">
        <f aca="false">R2816*$M2816</f>
        <v>0</v>
      </c>
      <c r="T2816" s="28"/>
      <c r="U2816" s="28" t="n">
        <f aca="false">T2816*$M2816</f>
        <v>0</v>
      </c>
      <c r="V2816" s="28"/>
      <c r="W2816" s="28" t="n">
        <f aca="false">V2816*$M2816</f>
        <v>0</v>
      </c>
      <c r="X2816" s="29"/>
      <c r="Y2816" s="28" t="n">
        <f aca="false">X2816*$M2816</f>
        <v>0</v>
      </c>
      <c r="Z2816" s="28"/>
      <c r="AA2816" s="28" t="n">
        <f aca="false">Z2816*$M2816</f>
        <v>0</v>
      </c>
      <c r="AB2816" s="28"/>
      <c r="AC2816" s="28" t="n">
        <f aca="false">AB2816*$M2816</f>
        <v>0</v>
      </c>
      <c r="AD2816" s="28"/>
      <c r="AE2816" s="28" t="n">
        <f aca="false">AD2816*$M2816</f>
        <v>0</v>
      </c>
      <c r="AF2816" s="28"/>
      <c r="AG2816" s="28" t="n">
        <f aca="false">AF2816*$M2816</f>
        <v>0</v>
      </c>
      <c r="AH2816" s="28"/>
      <c r="AI2816" s="28" t="n">
        <f aca="false">AH2816*$M2816</f>
        <v>0</v>
      </c>
      <c r="AJ2816" s="28" t="n">
        <f aca="false">1133/100</f>
        <v>11.33</v>
      </c>
      <c r="AK2816" s="28" t="n">
        <v>680</v>
      </c>
      <c r="AL2816" s="28" t="n">
        <f aca="false">3140/100</f>
        <v>31.4</v>
      </c>
      <c r="AM2816" s="28" t="n">
        <v>1884</v>
      </c>
      <c r="AN2816" s="28"/>
      <c r="AO2816" s="28" t="n">
        <f aca="false">AN2816*$M2816</f>
        <v>0</v>
      </c>
      <c r="AP2816" s="28"/>
      <c r="AQ2816" s="28" t="n">
        <f aca="false">AP2816*$M2816</f>
        <v>0</v>
      </c>
      <c r="AR2816" s="28"/>
      <c r="AS2816" s="28" t="n">
        <f aca="false">AR2816*$M2816</f>
        <v>0</v>
      </c>
      <c r="AT2816" s="28"/>
      <c r="AU2816" s="28" t="n">
        <f aca="false">AT2816*$M2816</f>
        <v>0</v>
      </c>
      <c r="AV2816" s="28"/>
      <c r="AW2816" s="28" t="n">
        <f aca="false">AV2816*$M2816</f>
        <v>0</v>
      </c>
      <c r="AX2816" s="28"/>
      <c r="AY2816" s="28" t="n">
        <f aca="false">AX2816*$M2816</f>
        <v>0</v>
      </c>
      <c r="AZ2816" s="30" t="n">
        <f aca="false">4947/100</f>
        <v>49.47</v>
      </c>
      <c r="BA2816" s="11" t="n">
        <v>2968</v>
      </c>
      <c r="BB2816" s="31" t="n">
        <f aca="false">SUM(Q2816,S2816,U2816,W2816,Y2816,AA2816,AC2816,AE2816,AG2816,AI2816,AK2816,AM2816,AO2816,AQ2816,AS2816,AU2816,AW2816,AY2816)</f>
        <v>2968</v>
      </c>
      <c r="BC2816" s="28" t="n">
        <f aca="false">BA2816-BB2816</f>
        <v>0</v>
      </c>
      <c r="BD2816" s="32" t="n">
        <f aca="false">SUM(P2816,R2816,T2816,V2816,X2816,Z2816,AB2816,AD2816,AF2816,AH2816,AJ2816,AL2816,AN2816,AP2816,AR2816,AT2816,AV2816,AX2816)</f>
        <v>49.47</v>
      </c>
      <c r="BE2816" s="33" t="n">
        <f aca="false">AZ2816-BD2816</f>
        <v>0</v>
      </c>
      <c r="BF2816" s="34" t="n">
        <f aca="false">BD2816*M2816</f>
        <v>2968.2</v>
      </c>
      <c r="BG2816" s="35" t="n">
        <f aca="false">BA2816-BF2816</f>
        <v>-0.199999999999818</v>
      </c>
      <c r="BH2816" s="19" t="str">
        <f aca="false">IF(BG2816=0,"",IF(BG2816&lt;&gt;BA2816,"erreur de calcul",IF(BD2816&lt;&gt;0,"pas de prix",IF(M2816&lt;&gt; 0,"pas de quantité","pas de prix, ni de quantité"))))</f>
        <v>erreur de calcul</v>
      </c>
      <c r="BI2816" s="19"/>
    </row>
    <row r="2817" customFormat="false" ht="15" hidden="false" customHeight="false" outlineLevel="0" collapsed="false">
      <c r="A2817" s="0" t="n">
        <v>7</v>
      </c>
      <c r="B2817" s="8" t="s">
        <v>24</v>
      </c>
      <c r="C2817" s="9" t="s">
        <v>25</v>
      </c>
      <c r="D2817" s="9" t="s">
        <v>26</v>
      </c>
      <c r="E2817" s="10" t="n">
        <v>1789</v>
      </c>
      <c r="F2817" s="9" t="s">
        <v>27</v>
      </c>
      <c r="G2817" s="9" t="s">
        <v>27</v>
      </c>
      <c r="H2817" s="11" t="n">
        <v>18</v>
      </c>
      <c r="I2817" s="11" t="s">
        <v>72</v>
      </c>
      <c r="J2817" s="14" t="n">
        <v>15</v>
      </c>
      <c r="K2817" s="14"/>
      <c r="L2817" s="16"/>
      <c r="M2817" s="27" t="n">
        <f aca="false">J2817+(K2817/20)+(L2817/240)</f>
        <v>15</v>
      </c>
      <c r="N2817" s="17" t="s">
        <v>64</v>
      </c>
      <c r="O2817" s="11"/>
      <c r="P2817" s="28"/>
      <c r="Q2817" s="28" t="n">
        <f aca="false">P2817*$M2817</f>
        <v>0</v>
      </c>
      <c r="R2817" s="28"/>
      <c r="S2817" s="28" t="n">
        <f aca="false">R2817*$M2817</f>
        <v>0</v>
      </c>
      <c r="T2817" s="28"/>
      <c r="U2817" s="28" t="n">
        <f aca="false">T2817*$M2817</f>
        <v>0</v>
      </c>
      <c r="V2817" s="28"/>
      <c r="W2817" s="28" t="n">
        <f aca="false">V2817*$M2817</f>
        <v>0</v>
      </c>
      <c r="X2817" s="29"/>
      <c r="Y2817" s="28" t="n">
        <f aca="false">X2817*$M2817</f>
        <v>0</v>
      </c>
      <c r="Z2817" s="28"/>
      <c r="AA2817" s="28" t="n">
        <f aca="false">Z2817*$M2817</f>
        <v>0</v>
      </c>
      <c r="AB2817" s="28"/>
      <c r="AC2817" s="28" t="n">
        <f aca="false">AB2817*$M2817</f>
        <v>0</v>
      </c>
      <c r="AD2817" s="28"/>
      <c r="AE2817" s="28" t="n">
        <f aca="false">AD2817*$M2817</f>
        <v>0</v>
      </c>
      <c r="AF2817" s="28"/>
      <c r="AG2817" s="28" t="n">
        <f aca="false">AF2817*$M2817</f>
        <v>0</v>
      </c>
      <c r="AH2817" s="28"/>
      <c r="AI2817" s="28" t="n">
        <f aca="false">AH2817*$M2817</f>
        <v>0</v>
      </c>
      <c r="AJ2817" s="28" t="n">
        <f aca="false">119*288*0.02+88*0.02</f>
        <v>687.2</v>
      </c>
      <c r="AK2817" s="28" t="n">
        <v>10308</v>
      </c>
      <c r="AL2817" s="28"/>
      <c r="AM2817" s="28" t="n">
        <f aca="false">AL2817*$M2817</f>
        <v>0</v>
      </c>
      <c r="AN2817" s="28"/>
      <c r="AO2817" s="28" t="n">
        <f aca="false">AN2817*$M2817</f>
        <v>0</v>
      </c>
      <c r="AP2817" s="28"/>
      <c r="AQ2817" s="28" t="n">
        <f aca="false">AP2817*$M2817</f>
        <v>0</v>
      </c>
      <c r="AR2817" s="28"/>
      <c r="AS2817" s="28" t="n">
        <f aca="false">AR2817*$M2817</f>
        <v>0</v>
      </c>
      <c r="AT2817" s="28"/>
      <c r="AU2817" s="28" t="n">
        <f aca="false">AT2817*$M2817</f>
        <v>0</v>
      </c>
      <c r="AV2817" s="28"/>
      <c r="AW2817" s="28" t="n">
        <f aca="false">AV2817*$M2817</f>
        <v>0</v>
      </c>
      <c r="AX2817" s="28"/>
      <c r="AY2817" s="28" t="n">
        <f aca="false">AX2817*$M2817</f>
        <v>0</v>
      </c>
      <c r="AZ2817" s="30" t="n">
        <f aca="false">119*288*0.02+88*0.02</f>
        <v>687.2</v>
      </c>
      <c r="BA2817" s="11" t="n">
        <v>10308</v>
      </c>
      <c r="BB2817" s="31" t="n">
        <f aca="false">SUM(Q2817,S2817,U2817,W2817,Y2817,AA2817,AC2817,AE2817,AG2817,AI2817,AK2817,AM2817,AO2817,AQ2817,AS2817,AU2817,AW2817,AY2817)</f>
        <v>10308</v>
      </c>
      <c r="BC2817" s="28" t="n">
        <f aca="false">BA2817-BB2817</f>
        <v>0</v>
      </c>
      <c r="BD2817" s="32" t="n">
        <f aca="false">SUM(P2817,R2817,T2817,V2817,X2817,Z2817,AB2817,AD2817,AF2817,AH2817,AJ2817,AL2817,AN2817,AP2817,AR2817,AT2817,AV2817,AX2817)</f>
        <v>687.2</v>
      </c>
      <c r="BE2817" s="33" t="n">
        <f aca="false">AZ2817-BD2817</f>
        <v>0</v>
      </c>
      <c r="BF2817" s="34" t="n">
        <f aca="false">BD2817*M2817</f>
        <v>10308</v>
      </c>
      <c r="BG2817" s="35" t="n">
        <f aca="false">BA2817-BF2817</f>
        <v>0</v>
      </c>
      <c r="BH2817" s="19" t="str">
        <f aca="false">IF(BG2817=0,"",IF(BG2817&lt;&gt;BA2817,"erreur de calcul",IF(BD2817&lt;&gt;0,"pas de prix",IF(M2817&lt;&gt; 0,"pas de quantité","pas de prix, ni de quantité"))))</f>
        <v/>
      </c>
      <c r="BI2817" s="19"/>
    </row>
    <row r="2818" customFormat="false" ht="15" hidden="false" customHeight="false" outlineLevel="0" collapsed="false">
      <c r="A2818" s="0" t="n">
        <v>8</v>
      </c>
      <c r="B2818" s="8" t="s">
        <v>24</v>
      </c>
      <c r="C2818" s="9" t="s">
        <v>25</v>
      </c>
      <c r="D2818" s="9" t="s">
        <v>26</v>
      </c>
      <c r="E2818" s="10" t="n">
        <v>1789</v>
      </c>
      <c r="F2818" s="9" t="s">
        <v>27</v>
      </c>
      <c r="G2818" s="9" t="s">
        <v>27</v>
      </c>
      <c r="H2818" s="11" t="n">
        <v>18</v>
      </c>
      <c r="I2818" s="11" t="s">
        <v>73</v>
      </c>
      <c r="J2818" s="14"/>
      <c r="K2818" s="14"/>
      <c r="L2818" s="16"/>
      <c r="M2818" s="27" t="n">
        <f aca="false">J2818+(K2818/20)+(L2818/240)</f>
        <v>0</v>
      </c>
      <c r="N2818" s="17"/>
      <c r="O2818" s="11"/>
      <c r="P2818" s="28"/>
      <c r="Q2818" s="28" t="n">
        <f aca="false">P2818*$M2818</f>
        <v>0</v>
      </c>
      <c r="R2818" s="28"/>
      <c r="S2818" s="28" t="n">
        <f aca="false">R2818*$M2818</f>
        <v>0</v>
      </c>
      <c r="T2818" s="28"/>
      <c r="U2818" s="28" t="n">
        <v>3356</v>
      </c>
      <c r="V2818" s="28"/>
      <c r="W2818" s="28" t="n">
        <v>1444</v>
      </c>
      <c r="X2818" s="29"/>
      <c r="Y2818" s="28" t="n">
        <f aca="false">X2818*$M2818</f>
        <v>0</v>
      </c>
      <c r="Z2818" s="28"/>
      <c r="AA2818" s="28" t="n">
        <f aca="false">Z2818*$M2818</f>
        <v>0</v>
      </c>
      <c r="AB2818" s="28"/>
      <c r="AC2818" s="28" t="n">
        <f aca="false">AB2818*$M2818</f>
        <v>0</v>
      </c>
      <c r="AD2818" s="28"/>
      <c r="AE2818" s="28" t="n">
        <f aca="false">AD2818*$M2818</f>
        <v>0</v>
      </c>
      <c r="AF2818" s="28"/>
      <c r="AG2818" s="28" t="n">
        <f aca="false">AF2818*$M2818</f>
        <v>0</v>
      </c>
      <c r="AH2818" s="28"/>
      <c r="AI2818" s="28" t="n">
        <f aca="false">AH2818*$M2818</f>
        <v>0</v>
      </c>
      <c r="AJ2818" s="28"/>
      <c r="AK2818" s="28" t="n">
        <f aca="false">AJ2818*$M2818</f>
        <v>0</v>
      </c>
      <c r="AL2818" s="28"/>
      <c r="AM2818" s="28" t="n">
        <f aca="false">AL2818*$M2818</f>
        <v>0</v>
      </c>
      <c r="AN2818" s="28"/>
      <c r="AO2818" s="28" t="n">
        <f aca="false">AN2818*$M2818</f>
        <v>0</v>
      </c>
      <c r="AP2818" s="28"/>
      <c r="AQ2818" s="28" t="n">
        <f aca="false">AP2818*$M2818</f>
        <v>0</v>
      </c>
      <c r="AR2818" s="28"/>
      <c r="AS2818" s="28" t="n">
        <f aca="false">AR2818*$M2818</f>
        <v>0</v>
      </c>
      <c r="AT2818" s="28"/>
      <c r="AU2818" s="28" t="n">
        <f aca="false">AT2818*$M2818</f>
        <v>0</v>
      </c>
      <c r="AV2818" s="28"/>
      <c r="AW2818" s="28" t="n">
        <f aca="false">AV2818*$M2818</f>
        <v>0</v>
      </c>
      <c r="AX2818" s="28"/>
      <c r="AY2818" s="28" t="n">
        <f aca="false">AX2818*$M2818</f>
        <v>0</v>
      </c>
      <c r="AZ2818" s="30"/>
      <c r="BA2818" s="11" t="n">
        <v>4800</v>
      </c>
      <c r="BB2818" s="31" t="n">
        <f aca="false">SUM(Q2818,S2818,U2818,W2818,Y2818,AA2818,AC2818,AE2818,AG2818,AI2818,AK2818,AM2818,AO2818,AQ2818,AS2818,AU2818,AW2818,AY2818)</f>
        <v>4800</v>
      </c>
      <c r="BC2818" s="28" t="n">
        <f aca="false">BA2818-BB2818</f>
        <v>0</v>
      </c>
      <c r="BD2818" s="32" t="n">
        <f aca="false">SUM(P2818,R2818,T2818,V2818,X2818,Z2818,AB2818,AD2818,AF2818,AH2818,AJ2818,AL2818,AN2818,AP2818,AR2818,AT2818,AV2818,AX2818)</f>
        <v>0</v>
      </c>
      <c r="BE2818" s="33" t="n">
        <f aca="false">AZ2818-BD2818</f>
        <v>0</v>
      </c>
      <c r="BF2818" s="34" t="n">
        <f aca="false">BD2818*M2818</f>
        <v>0</v>
      </c>
      <c r="BG2818" s="35" t="n">
        <f aca="false">BA2818-BF2818</f>
        <v>4800</v>
      </c>
      <c r="BH2818" s="19" t="str">
        <f aca="false">IF(BG2818=0,"",IF(BG2818&lt;&gt;BA2818,"erreur de calcul",IF(BD2818&lt;&gt;0,"pas de prix",IF(M2818&lt;&gt; 0,"pas de quantité","pas de prix, ni de quantité"))))</f>
        <v>pas de prix, ni de quantité</v>
      </c>
      <c r="BI2818" s="19"/>
    </row>
    <row r="2819" customFormat="false" ht="15" hidden="false" customHeight="false" outlineLevel="0" collapsed="false">
      <c r="A2819" s="0" t="n">
        <v>9</v>
      </c>
      <c r="B2819" s="8" t="s">
        <v>24</v>
      </c>
      <c r="C2819" s="9" t="s">
        <v>25</v>
      </c>
      <c r="D2819" s="9" t="s">
        <v>26</v>
      </c>
      <c r="E2819" s="10" t="n">
        <v>1789</v>
      </c>
      <c r="F2819" s="9" t="s">
        <v>27</v>
      </c>
      <c r="G2819" s="9" t="s">
        <v>27</v>
      </c>
      <c r="H2819" s="11" t="n">
        <v>18</v>
      </c>
      <c r="I2819" s="11" t="s">
        <v>74</v>
      </c>
      <c r="J2819" s="14"/>
      <c r="K2819" s="14"/>
      <c r="L2819" s="16"/>
      <c r="M2819" s="27" t="n">
        <f aca="false">J2819+(K2819/20)+(L2819/240)</f>
        <v>0</v>
      </c>
      <c r="N2819" s="17" t="s">
        <v>66</v>
      </c>
      <c r="O2819" s="11"/>
      <c r="P2819" s="28"/>
      <c r="Q2819" s="28" t="n">
        <f aca="false">P2819*$M2819</f>
        <v>0</v>
      </c>
      <c r="R2819" s="28"/>
      <c r="S2819" s="28" t="n">
        <f aca="false">R2819*$M2819</f>
        <v>0</v>
      </c>
      <c r="T2819" s="28"/>
      <c r="U2819" s="28" t="n">
        <f aca="false">T2819*$M2819</f>
        <v>0</v>
      </c>
      <c r="V2819" s="28"/>
      <c r="W2819" s="28" t="n">
        <f aca="false">V2819*$M2819</f>
        <v>0</v>
      </c>
      <c r="X2819" s="29"/>
      <c r="Y2819" s="28"/>
      <c r="Z2819" s="28"/>
      <c r="AA2819" s="28" t="n">
        <f aca="false">Z2819*$M2819</f>
        <v>0</v>
      </c>
      <c r="AB2819" s="28"/>
      <c r="AC2819" s="28" t="n">
        <f aca="false">AB2819*$M2819</f>
        <v>0</v>
      </c>
      <c r="AD2819" s="28"/>
      <c r="AE2819" s="28" t="n">
        <f aca="false">AD2819*$M2819</f>
        <v>0</v>
      </c>
      <c r="AF2819" s="28"/>
      <c r="AG2819" s="28" t="n">
        <f aca="false">AF2819*$M2819</f>
        <v>0</v>
      </c>
      <c r="AH2819" s="28" t="n">
        <v>45346</v>
      </c>
      <c r="AI2819" s="28" t="n">
        <v>3174</v>
      </c>
      <c r="AJ2819" s="28"/>
      <c r="AK2819" s="28" t="n">
        <f aca="false">AJ2819*$M2819</f>
        <v>0</v>
      </c>
      <c r="AL2819" s="28"/>
      <c r="AM2819" s="28" t="n">
        <f aca="false">AL2819*$M2819</f>
        <v>0</v>
      </c>
      <c r="AN2819" s="28"/>
      <c r="AO2819" s="28" t="n">
        <f aca="false">AN2819*$M2819</f>
        <v>0</v>
      </c>
      <c r="AP2819" s="28"/>
      <c r="AQ2819" s="28" t="n">
        <f aca="false">AP2819*$M2819</f>
        <v>0</v>
      </c>
      <c r="AR2819" s="28"/>
      <c r="AS2819" s="28" t="n">
        <f aca="false">AR2819*$M2819</f>
        <v>0</v>
      </c>
      <c r="AT2819" s="28"/>
      <c r="AU2819" s="28" t="n">
        <f aca="false">AT2819*$M2819</f>
        <v>0</v>
      </c>
      <c r="AV2819" s="28"/>
      <c r="AW2819" s="28" t="n">
        <f aca="false">AV2819*$M2819</f>
        <v>0</v>
      </c>
      <c r="AX2819" s="28"/>
      <c r="AY2819" s="28" t="n">
        <f aca="false">AX2819*$M2819</f>
        <v>0</v>
      </c>
      <c r="AZ2819" s="30" t="n">
        <v>45346</v>
      </c>
      <c r="BA2819" s="11" t="n">
        <v>3174</v>
      </c>
      <c r="BB2819" s="31" t="n">
        <f aca="false">SUM(Q2819,S2819,U2819,W2819,Y2819,AA2819,AC2819,AE2819,AG2819,AI2819,AK2819,AM2819,AO2819,AQ2819,AS2819,AU2819,AW2819,AY2819)</f>
        <v>3174</v>
      </c>
      <c r="BC2819" s="28" t="n">
        <f aca="false">BA2819-BB2819</f>
        <v>0</v>
      </c>
      <c r="BD2819" s="32" t="n">
        <f aca="false">SUM(P2819,R2819,T2819,V2819,X2819,Z2819,AB2819,AD2819,AF2819,AH2819,AJ2819,AL2819,AN2819,AP2819,AR2819,AT2819,AV2819,AX2819)</f>
        <v>45346</v>
      </c>
      <c r="BE2819" s="33" t="n">
        <f aca="false">AZ2819-BD2819</f>
        <v>0</v>
      </c>
      <c r="BF2819" s="34" t="n">
        <f aca="false">BD2819*M2819</f>
        <v>0</v>
      </c>
      <c r="BG2819" s="35" t="n">
        <f aca="false">BA2819-BF2819</f>
        <v>3174</v>
      </c>
      <c r="BH2819" s="19" t="str">
        <f aca="false">IF(BG2819=0,"",IF(BG2819&lt;&gt;BA2819,"erreur de calcul",IF(BD2819&lt;&gt;0,"pas de prix",IF(M2819&lt;&gt; 0,"pas de quantité","pas de prix, ni de quantité"))))</f>
        <v>pas de prix</v>
      </c>
      <c r="BI2819" s="19" t="s">
        <v>75</v>
      </c>
    </row>
    <row r="2820" customFormat="false" ht="15" hidden="false" customHeight="false" outlineLevel="0" collapsed="false">
      <c r="A2820" s="0" t="n">
        <v>10</v>
      </c>
      <c r="B2820" s="8" t="s">
        <v>24</v>
      </c>
      <c r="C2820" s="9" t="s">
        <v>25</v>
      </c>
      <c r="D2820" s="9" t="s">
        <v>26</v>
      </c>
      <c r="E2820" s="10" t="n">
        <v>1789</v>
      </c>
      <c r="F2820" s="9" t="s">
        <v>27</v>
      </c>
      <c r="G2820" s="9" t="s">
        <v>27</v>
      </c>
      <c r="H2820" s="11" t="n">
        <v>18</v>
      </c>
      <c r="I2820" s="11" t="s">
        <v>76</v>
      </c>
      <c r="J2820" s="14"/>
      <c r="K2820" s="14" t="n">
        <v>20</v>
      </c>
      <c r="L2820" s="16"/>
      <c r="M2820" s="27" t="n">
        <f aca="false">J2820+(K2820/20)+(L2820/240)</f>
        <v>1</v>
      </c>
      <c r="N2820" s="17" t="s">
        <v>64</v>
      </c>
      <c r="O2820" s="11" t="s">
        <v>77</v>
      </c>
      <c r="P2820" s="28" t="n">
        <f aca="false">66667/100</f>
        <v>666.67</v>
      </c>
      <c r="Q2820" s="28" t="n">
        <v>667</v>
      </c>
      <c r="R2820" s="28"/>
      <c r="S2820" s="28" t="n">
        <f aca="false">R2820*$M2820</f>
        <v>0</v>
      </c>
      <c r="T2820" s="28"/>
      <c r="U2820" s="28" t="n">
        <f aca="false">T2820*$M2820</f>
        <v>0</v>
      </c>
      <c r="V2820" s="28" t="n">
        <f aca="false">281532/100</f>
        <v>2815.32</v>
      </c>
      <c r="W2820" s="28" t="n">
        <v>2815</v>
      </c>
      <c r="X2820" s="29" t="n">
        <f aca="false">366667/100</f>
        <v>3666.67</v>
      </c>
      <c r="Y2820" s="28" t="n">
        <v>3666</v>
      </c>
      <c r="Z2820" s="28" t="n">
        <f aca="false">33334/100</f>
        <v>333.34</v>
      </c>
      <c r="AA2820" s="28" t="n">
        <v>333</v>
      </c>
      <c r="AB2820" s="28"/>
      <c r="AC2820" s="28" t="n">
        <f aca="false">AB2820*$M2820</f>
        <v>0</v>
      </c>
      <c r="AD2820" s="28"/>
      <c r="AE2820" s="28" t="n">
        <f aca="false">AD2820*$M2820</f>
        <v>0</v>
      </c>
      <c r="AF2820" s="28"/>
      <c r="AG2820" s="28" t="n">
        <f aca="false">AF2820*$M2820</f>
        <v>0</v>
      </c>
      <c r="AH2820" s="28"/>
      <c r="AI2820" s="28" t="n">
        <f aca="false">AH2820*$M2820</f>
        <v>0</v>
      </c>
      <c r="AJ2820" s="28"/>
      <c r="AK2820" s="28" t="n">
        <f aca="false">AJ2820*$M2820</f>
        <v>0</v>
      </c>
      <c r="AL2820" s="28"/>
      <c r="AM2820" s="28" t="n">
        <f aca="false">AL2820*$M2820</f>
        <v>0</v>
      </c>
      <c r="AN2820" s="28"/>
      <c r="AO2820" s="28" t="n">
        <f aca="false">AN2820*$M2820</f>
        <v>0</v>
      </c>
      <c r="AP2820" s="28"/>
      <c r="AQ2820" s="28" t="n">
        <f aca="false">AP2820*$M2820</f>
        <v>0</v>
      </c>
      <c r="AR2820" s="28"/>
      <c r="AS2820" s="28" t="n">
        <f aca="false">AR2820*$M2820</f>
        <v>0</v>
      </c>
      <c r="AT2820" s="28"/>
      <c r="AU2820" s="28" t="n">
        <f aca="false">AT2820*$M2820</f>
        <v>0</v>
      </c>
      <c r="AV2820" s="28"/>
      <c r="AW2820" s="28" t="n">
        <f aca="false">AV2820*$M2820</f>
        <v>0</v>
      </c>
      <c r="AX2820" s="28"/>
      <c r="AY2820" s="28" t="n">
        <f aca="false">AX2820*$M2820</f>
        <v>0</v>
      </c>
      <c r="AZ2820" s="30" t="n">
        <f aca="false">748200/100</f>
        <v>7482</v>
      </c>
      <c r="BA2820" s="11" t="n">
        <v>7481</v>
      </c>
      <c r="BB2820" s="31" t="n">
        <f aca="false">SUM(Q2820,S2820,U2820,W2820,Y2820,AA2820,AC2820,AE2820,AG2820,AI2820,AK2820,AM2820,AO2820,AQ2820,AS2820,AU2820,AW2820,AY2820)</f>
        <v>7481</v>
      </c>
      <c r="BC2820" s="28" t="n">
        <f aca="false">BA2820-BB2820</f>
        <v>0</v>
      </c>
      <c r="BD2820" s="32" t="n">
        <f aca="false">SUM(P2820,R2820,T2820,V2820,X2820,Z2820,AB2820,AD2820,AF2820,AH2820,AJ2820,AL2820,AN2820,AP2820,AR2820,AT2820,AV2820,AX2820)</f>
        <v>7482</v>
      </c>
      <c r="BE2820" s="33" t="n">
        <f aca="false">AZ2820-BD2820</f>
        <v>0</v>
      </c>
      <c r="BF2820" s="34" t="n">
        <f aca="false">BD2820*M2820</f>
        <v>7482</v>
      </c>
      <c r="BG2820" s="35" t="n">
        <f aca="false">BA2820-BF2820</f>
        <v>-1</v>
      </c>
      <c r="BH2820" s="19" t="str">
        <f aca="false">IF(BG2820=0,"",IF(BG2820&lt;&gt;BA2820,"erreur de calcul",IF(BD2820&lt;&gt;0,"pas de prix",IF(M2820&lt;&gt; 0,"pas de quantité","pas de prix, ni de quantité"))))</f>
        <v>erreur de calcul</v>
      </c>
      <c r="BI2820" s="19"/>
    </row>
    <row r="2821" customFormat="false" ht="15" hidden="false" customHeight="false" outlineLevel="0" collapsed="false">
      <c r="A2821" s="0" t="n">
        <v>11</v>
      </c>
      <c r="B2821" s="8" t="s">
        <v>24</v>
      </c>
      <c r="C2821" s="9" t="s">
        <v>25</v>
      </c>
      <c r="D2821" s="9" t="s">
        <v>26</v>
      </c>
      <c r="E2821" s="10" t="n">
        <v>1789</v>
      </c>
      <c r="F2821" s="9" t="s">
        <v>27</v>
      </c>
      <c r="G2821" s="9" t="s">
        <v>27</v>
      </c>
      <c r="H2821" s="11" t="n">
        <v>18</v>
      </c>
      <c r="I2821" s="11" t="s">
        <v>78</v>
      </c>
      <c r="J2821" s="14"/>
      <c r="K2821" s="14" t="n">
        <v>50</v>
      </c>
      <c r="L2821" s="16"/>
      <c r="M2821" s="27" t="n">
        <f aca="false">J2821+(K2821/20)+(L2821/240)</f>
        <v>2.5</v>
      </c>
      <c r="N2821" s="17" t="s">
        <v>79</v>
      </c>
      <c r="O2821" s="11"/>
      <c r="P2821" s="28"/>
      <c r="Q2821" s="28" t="n">
        <f aca="false">P2821*$M2821</f>
        <v>0</v>
      </c>
      <c r="R2821" s="28"/>
      <c r="S2821" s="28" t="n">
        <f aca="false">R2821*$M2821</f>
        <v>0</v>
      </c>
      <c r="T2821" s="28"/>
      <c r="U2821" s="28" t="n">
        <f aca="false">T2821*$M2821</f>
        <v>0</v>
      </c>
      <c r="V2821" s="28" t="n">
        <v>61807</v>
      </c>
      <c r="W2821" s="28" t="n">
        <v>154517</v>
      </c>
      <c r="X2821" s="29"/>
      <c r="Y2821" s="28" t="n">
        <f aca="false">X2821*$M2821</f>
        <v>0</v>
      </c>
      <c r="Z2821" s="28"/>
      <c r="AA2821" s="28" t="n">
        <f aca="false">Z2821*$M2821</f>
        <v>0</v>
      </c>
      <c r="AB2821" s="28" t="n">
        <v>43640</v>
      </c>
      <c r="AC2821" s="28" t="n">
        <v>109100</v>
      </c>
      <c r="AD2821" s="28"/>
      <c r="AE2821" s="28" t="n">
        <f aca="false">AD2821*$M2821</f>
        <v>0</v>
      </c>
      <c r="AF2821" s="28"/>
      <c r="AG2821" s="28" t="n">
        <f aca="false">AF2821*$M2821</f>
        <v>0</v>
      </c>
      <c r="AH2821" s="28"/>
      <c r="AI2821" s="28" t="n">
        <f aca="false">AH2821*$M2821</f>
        <v>0</v>
      </c>
      <c r="AJ2821" s="28"/>
      <c r="AK2821" s="28" t="n">
        <f aca="false">AJ2821*$M2821</f>
        <v>0</v>
      </c>
      <c r="AL2821" s="28"/>
      <c r="AM2821" s="28" t="n">
        <f aca="false">AL2821*$M2821</f>
        <v>0</v>
      </c>
      <c r="AN2821" s="28"/>
      <c r="AO2821" s="28" t="n">
        <f aca="false">AN2821*$M2821</f>
        <v>0</v>
      </c>
      <c r="AP2821" s="28"/>
      <c r="AQ2821" s="28" t="n">
        <f aca="false">AP2821*$M2821</f>
        <v>0</v>
      </c>
      <c r="AR2821" s="28"/>
      <c r="AS2821" s="28" t="n">
        <f aca="false">AR2821*$M2821</f>
        <v>0</v>
      </c>
      <c r="AT2821" s="28"/>
      <c r="AU2821" s="28" t="n">
        <f aca="false">AT2821*$M2821</f>
        <v>0</v>
      </c>
      <c r="AV2821" s="28"/>
      <c r="AW2821" s="28" t="n">
        <f aca="false">AV2821*$M2821</f>
        <v>0</v>
      </c>
      <c r="AX2821" s="28"/>
      <c r="AY2821" s="28" t="n">
        <f aca="false">AX2821*$M2821</f>
        <v>0</v>
      </c>
      <c r="AZ2821" s="30" t="n">
        <v>105447</v>
      </c>
      <c r="BA2821" s="11" t="n">
        <v>263617</v>
      </c>
      <c r="BB2821" s="31" t="n">
        <f aca="false">SUM(Q2821,S2821,U2821,W2821,Y2821,AA2821,AC2821,AE2821,AG2821,AI2821,AK2821,AM2821,AO2821,AQ2821,AS2821,AU2821,AW2821,AY2821)</f>
        <v>263617</v>
      </c>
      <c r="BC2821" s="28" t="n">
        <f aca="false">BA2821-BB2821</f>
        <v>0</v>
      </c>
      <c r="BD2821" s="32" t="n">
        <f aca="false">SUM(P2821,R2821,T2821,V2821,X2821,Z2821,AB2821,AD2821,AF2821,AH2821,AJ2821,AL2821,AN2821,AP2821,AR2821,AT2821,AV2821,AX2821)</f>
        <v>105447</v>
      </c>
      <c r="BE2821" s="33" t="n">
        <f aca="false">AZ2821-BD2821</f>
        <v>0</v>
      </c>
      <c r="BF2821" s="34" t="n">
        <f aca="false">BD2821*M2821</f>
        <v>263617.5</v>
      </c>
      <c r="BG2821" s="35" t="n">
        <f aca="false">BA2821-BF2821</f>
        <v>-0.5</v>
      </c>
      <c r="BH2821" s="19" t="str">
        <f aca="false">IF(BG2821=0,"",IF(BG2821&lt;&gt;BA2821,"erreur de calcul",IF(BD2821&lt;&gt;0,"pas de prix",IF(M2821&lt;&gt; 0,"pas de quantité","pas de prix, ni de quantité"))))</f>
        <v>erreur de calcul</v>
      </c>
      <c r="BI2821" s="19"/>
    </row>
    <row r="2822" customFormat="false" ht="15" hidden="false" customHeight="false" outlineLevel="0" collapsed="false">
      <c r="A2822" s="0" t="n">
        <v>12</v>
      </c>
      <c r="B2822" s="8" t="s">
        <v>24</v>
      </c>
      <c r="C2822" s="9" t="s">
        <v>25</v>
      </c>
      <c r="D2822" s="9" t="s">
        <v>26</v>
      </c>
      <c r="E2822" s="10" t="n">
        <v>1789</v>
      </c>
      <c r="F2822" s="9" t="s">
        <v>27</v>
      </c>
      <c r="G2822" s="9" t="s">
        <v>27</v>
      </c>
      <c r="H2822" s="11" t="n">
        <v>18</v>
      </c>
      <c r="I2822" s="11" t="s">
        <v>80</v>
      </c>
      <c r="J2822" s="14"/>
      <c r="K2822" s="14" t="n">
        <v>4</v>
      </c>
      <c r="L2822" s="16"/>
      <c r="M2822" s="27" t="n">
        <f aca="false">J2822+(K2822/20)+(L2822/240)</f>
        <v>0.2</v>
      </c>
      <c r="N2822" s="17" t="s">
        <v>81</v>
      </c>
      <c r="O2822" s="11"/>
      <c r="P2822" s="28"/>
      <c r="Q2822" s="28" t="n">
        <f aca="false">P2822*$M2822</f>
        <v>0</v>
      </c>
      <c r="R2822" s="28"/>
      <c r="S2822" s="28" t="n">
        <f aca="false">R2822*$M2822</f>
        <v>0</v>
      </c>
      <c r="T2822" s="28"/>
      <c r="U2822" s="28" t="n">
        <f aca="false">T2822*$M2822</f>
        <v>0</v>
      </c>
      <c r="V2822" s="28" t="n">
        <v>5800</v>
      </c>
      <c r="W2822" s="28" t="n">
        <v>1160</v>
      </c>
      <c r="X2822" s="29"/>
      <c r="Y2822" s="28" t="n">
        <v>1069</v>
      </c>
      <c r="Z2822" s="28"/>
      <c r="AA2822" s="28" t="n">
        <f aca="false">Z2822*$M2822</f>
        <v>0</v>
      </c>
      <c r="AB2822" s="28"/>
      <c r="AC2822" s="28" t="n">
        <f aca="false">AB2822*$M2822</f>
        <v>0</v>
      </c>
      <c r="AD2822" s="28"/>
      <c r="AE2822" s="28" t="n">
        <f aca="false">AD2822*$M2822</f>
        <v>0</v>
      </c>
      <c r="AF2822" s="28"/>
      <c r="AG2822" s="28" t="n">
        <f aca="false">AF2822*$M2822</f>
        <v>0</v>
      </c>
      <c r="AH2822" s="28"/>
      <c r="AI2822" s="28" t="n">
        <f aca="false">AH2822*$M2822</f>
        <v>0</v>
      </c>
      <c r="AJ2822" s="28"/>
      <c r="AK2822" s="28" t="n">
        <f aca="false">AJ2822*$M2822</f>
        <v>0</v>
      </c>
      <c r="AL2822" s="28"/>
      <c r="AM2822" s="28" t="n">
        <f aca="false">AL2822*$M2822</f>
        <v>0</v>
      </c>
      <c r="AN2822" s="28"/>
      <c r="AO2822" s="28" t="n">
        <f aca="false">AN2822*$M2822</f>
        <v>0</v>
      </c>
      <c r="AP2822" s="28"/>
      <c r="AQ2822" s="28" t="n">
        <f aca="false">AP2822*$M2822</f>
        <v>0</v>
      </c>
      <c r="AR2822" s="28"/>
      <c r="AS2822" s="28" t="n">
        <f aca="false">AR2822*$M2822</f>
        <v>0</v>
      </c>
      <c r="AT2822" s="28"/>
      <c r="AU2822" s="28" t="n">
        <f aca="false">AT2822*$M2822</f>
        <v>0</v>
      </c>
      <c r="AV2822" s="28"/>
      <c r="AW2822" s="28" t="n">
        <f aca="false">AV2822*$M2822</f>
        <v>0</v>
      </c>
      <c r="AX2822" s="28"/>
      <c r="AY2822" s="28" t="n">
        <f aca="false">AX2822*$M2822</f>
        <v>0</v>
      </c>
      <c r="AZ2822" s="30" t="n">
        <v>11144</v>
      </c>
      <c r="BA2822" s="11" t="n">
        <v>2229</v>
      </c>
      <c r="BB2822" s="31" t="n">
        <f aca="false">SUM(Q2822,S2822,U2822,W2822,Y2822,AA2822,AC2822,AE2822,AG2822,AI2822,AK2822,AM2822,AO2822,AQ2822,AS2822,AU2822,AW2822,AY2822)</f>
        <v>2229</v>
      </c>
      <c r="BC2822" s="28" t="n">
        <f aca="false">BA2822-BB2822</f>
        <v>0</v>
      </c>
      <c r="BD2822" s="32" t="n">
        <f aca="false">SUM(P2822,R2822,T2822,V2822,X2822,Z2822,AB2822,AD2822,AF2822,AH2822,AJ2822,AL2822,AN2822,AP2822,AR2822,AT2822,AV2822,AX2822)</f>
        <v>5800</v>
      </c>
      <c r="BE2822" s="33" t="n">
        <f aca="false">AZ2822-BD2822</f>
        <v>5344</v>
      </c>
      <c r="BF2822" s="34" t="n">
        <f aca="false">BD2822*M2822</f>
        <v>1160</v>
      </c>
      <c r="BG2822" s="35" t="n">
        <f aca="false">BA2822-BF2822</f>
        <v>1069</v>
      </c>
      <c r="BH2822" s="19" t="str">
        <f aca="false">IF(BG2822=0,"",IF(BG2822&lt;&gt;BA2822,"erreur de calcul",IF(BD2822&lt;&gt;0,"pas de prix",IF(M2822&lt;&gt; 0,"pas de quantité","pas de prix, ni de quantité"))))</f>
        <v>erreur de calcul</v>
      </c>
      <c r="BI2822" s="19"/>
    </row>
    <row r="2823" customFormat="false" ht="15" hidden="false" customHeight="false" outlineLevel="0" collapsed="false">
      <c r="A2823" s="0" t="n">
        <v>13</v>
      </c>
      <c r="B2823" s="8" t="s">
        <v>24</v>
      </c>
      <c r="C2823" s="9" t="s">
        <v>25</v>
      </c>
      <c r="D2823" s="9" t="s">
        <v>26</v>
      </c>
      <c r="E2823" s="10" t="n">
        <v>1789</v>
      </c>
      <c r="F2823" s="9" t="s">
        <v>27</v>
      </c>
      <c r="G2823" s="9" t="s">
        <v>27</v>
      </c>
      <c r="H2823" s="11" t="n">
        <v>18</v>
      </c>
      <c r="I2823" s="11" t="s">
        <v>82</v>
      </c>
      <c r="J2823" s="14" t="n">
        <v>17</v>
      </c>
      <c r="K2823" s="14"/>
      <c r="L2823" s="16"/>
      <c r="M2823" s="27" t="n">
        <f aca="false">J2823+(K2823/20)+(L2823/240)</f>
        <v>17</v>
      </c>
      <c r="N2823" s="17" t="s">
        <v>69</v>
      </c>
      <c r="O2823" s="11"/>
      <c r="P2823" s="28"/>
      <c r="Q2823" s="28" t="n">
        <f aca="false">P2823*$M2823</f>
        <v>0</v>
      </c>
      <c r="R2823" s="28"/>
      <c r="S2823" s="28" t="n">
        <f aca="false">R2823*$M2823</f>
        <v>0</v>
      </c>
      <c r="T2823" s="28"/>
      <c r="U2823" s="28" t="n">
        <f aca="false">T2823*$M2823</f>
        <v>0</v>
      </c>
      <c r="V2823" s="28" t="n">
        <v>600</v>
      </c>
      <c r="W2823" s="28" t="n">
        <v>10200</v>
      </c>
      <c r="X2823" s="29"/>
      <c r="Y2823" s="28" t="n">
        <f aca="false">X2823*$M2823</f>
        <v>0</v>
      </c>
      <c r="Z2823" s="28"/>
      <c r="AA2823" s="28" t="n">
        <f aca="false">Z2823*$M2823</f>
        <v>0</v>
      </c>
      <c r="AB2823" s="28"/>
      <c r="AC2823" s="28" t="n">
        <f aca="false">AB2823*$M2823</f>
        <v>0</v>
      </c>
      <c r="AD2823" s="28"/>
      <c r="AE2823" s="28" t="n">
        <f aca="false">AD2823*$M2823</f>
        <v>0</v>
      </c>
      <c r="AF2823" s="28"/>
      <c r="AG2823" s="28" t="n">
        <f aca="false">AF2823*$M2823</f>
        <v>0</v>
      </c>
      <c r="AH2823" s="28"/>
      <c r="AI2823" s="28" t="n">
        <f aca="false">AH2823*$M2823</f>
        <v>0</v>
      </c>
      <c r="AJ2823" s="28"/>
      <c r="AK2823" s="28" t="n">
        <f aca="false">AJ2823*$M2823</f>
        <v>0</v>
      </c>
      <c r="AL2823" s="28"/>
      <c r="AM2823" s="28" t="n">
        <f aca="false">AL2823*$M2823</f>
        <v>0</v>
      </c>
      <c r="AN2823" s="28"/>
      <c r="AO2823" s="28" t="n">
        <f aca="false">AN2823*$M2823</f>
        <v>0</v>
      </c>
      <c r="AP2823" s="28"/>
      <c r="AQ2823" s="28" t="n">
        <f aca="false">AP2823*$M2823</f>
        <v>0</v>
      </c>
      <c r="AR2823" s="28"/>
      <c r="AS2823" s="28" t="n">
        <f aca="false">AR2823*$M2823</f>
        <v>0</v>
      </c>
      <c r="AT2823" s="28"/>
      <c r="AU2823" s="28" t="n">
        <f aca="false">AT2823*$M2823</f>
        <v>0</v>
      </c>
      <c r="AV2823" s="28"/>
      <c r="AW2823" s="28" t="n">
        <f aca="false">AV2823*$M2823</f>
        <v>0</v>
      </c>
      <c r="AX2823" s="28"/>
      <c r="AY2823" s="28" t="n">
        <f aca="false">AX2823*$M2823</f>
        <v>0</v>
      </c>
      <c r="AZ2823" s="30" t="n">
        <v>600</v>
      </c>
      <c r="BA2823" s="11" t="n">
        <v>10200</v>
      </c>
      <c r="BB2823" s="31" t="n">
        <f aca="false">SUM(Q2823,S2823,U2823,W2823,Y2823,AA2823,AC2823,AE2823,AG2823,AI2823,AK2823,AM2823,AO2823,AQ2823,AS2823,AU2823,AW2823,AY2823)</f>
        <v>10200</v>
      </c>
      <c r="BC2823" s="28" t="n">
        <f aca="false">BA2823-BB2823</f>
        <v>0</v>
      </c>
      <c r="BD2823" s="32" t="n">
        <f aca="false">SUM(P2823,R2823,T2823,V2823,X2823,Z2823,AB2823,AD2823,AF2823,AH2823,AJ2823,AL2823,AN2823,AP2823,AR2823,AT2823,AV2823,AX2823)</f>
        <v>600</v>
      </c>
      <c r="BE2823" s="33" t="n">
        <f aca="false">AZ2823-BD2823</f>
        <v>0</v>
      </c>
      <c r="BF2823" s="34" t="n">
        <f aca="false">BD2823*M2823</f>
        <v>10200</v>
      </c>
      <c r="BG2823" s="35" t="n">
        <f aca="false">BA2823-BF2823</f>
        <v>0</v>
      </c>
      <c r="BH2823" s="19" t="str">
        <f aca="false">IF(BG2823=0,"",IF(BG2823&lt;&gt;BA2823,"erreur de calcul",IF(BD2823&lt;&gt;0,"pas de prix",IF(M2823&lt;&gt; 0,"pas de quantité","pas de prix, ni de quantité"))))</f>
        <v/>
      </c>
      <c r="BI2823" s="19"/>
    </row>
    <row r="2824" customFormat="false" ht="15" hidden="false" customHeight="false" outlineLevel="0" collapsed="false">
      <c r="A2824" s="0" t="n">
        <v>14</v>
      </c>
      <c r="B2824" s="8" t="s">
        <v>24</v>
      </c>
      <c r="C2824" s="9" t="s">
        <v>25</v>
      </c>
      <c r="D2824" s="9" t="s">
        <v>26</v>
      </c>
      <c r="E2824" s="10" t="n">
        <v>1789</v>
      </c>
      <c r="F2824" s="9" t="s">
        <v>27</v>
      </c>
      <c r="G2824" s="9" t="s">
        <v>27</v>
      </c>
      <c r="H2824" s="11" t="n">
        <v>18</v>
      </c>
      <c r="I2824" s="11" t="s">
        <v>83</v>
      </c>
      <c r="J2824" s="14" t="n">
        <v>20</v>
      </c>
      <c r="K2824" s="14"/>
      <c r="L2824" s="16"/>
      <c r="M2824" s="27" t="n">
        <f aca="false">J2824+(K2824/20)+(L2824/240)</f>
        <v>20</v>
      </c>
      <c r="N2824" s="17" t="s">
        <v>81</v>
      </c>
      <c r="O2824" s="11"/>
      <c r="P2824" s="28"/>
      <c r="Q2824" s="28" t="n">
        <f aca="false">P2824*$M2824</f>
        <v>0</v>
      </c>
      <c r="R2824" s="28"/>
      <c r="S2824" s="28" t="n">
        <f aca="false">R2824*$M2824</f>
        <v>0</v>
      </c>
      <c r="T2824" s="28"/>
      <c r="U2824" s="28" t="n">
        <f aca="false">T2824*$M2824</f>
        <v>0</v>
      </c>
      <c r="V2824" s="28"/>
      <c r="W2824" s="28" t="n">
        <f aca="false">V2824*$M2824</f>
        <v>0</v>
      </c>
      <c r="X2824" s="29"/>
      <c r="Y2824" s="28" t="n">
        <f aca="false">X2824*$M2824</f>
        <v>0</v>
      </c>
      <c r="Z2824" s="28" t="n">
        <v>460</v>
      </c>
      <c r="AA2824" s="28" t="n">
        <v>9200</v>
      </c>
      <c r="AB2824" s="28"/>
      <c r="AC2824" s="28" t="n">
        <f aca="false">AB2824*$M2824</f>
        <v>0</v>
      </c>
      <c r="AD2824" s="28"/>
      <c r="AE2824" s="28" t="n">
        <f aca="false">AD2824*$M2824</f>
        <v>0</v>
      </c>
      <c r="AF2824" s="28"/>
      <c r="AG2824" s="28" t="n">
        <f aca="false">AF2824*$M2824</f>
        <v>0</v>
      </c>
      <c r="AH2824" s="28"/>
      <c r="AI2824" s="28" t="n">
        <f aca="false">AH2824*$M2824</f>
        <v>0</v>
      </c>
      <c r="AJ2824" s="28"/>
      <c r="AK2824" s="28" t="n">
        <f aca="false">AJ2824*$M2824</f>
        <v>0</v>
      </c>
      <c r="AL2824" s="28"/>
      <c r="AM2824" s="28" t="n">
        <f aca="false">AL2824*$M2824</f>
        <v>0</v>
      </c>
      <c r="AN2824" s="28"/>
      <c r="AO2824" s="28" t="n">
        <f aca="false">AN2824*$M2824</f>
        <v>0</v>
      </c>
      <c r="AP2824" s="28"/>
      <c r="AQ2824" s="28" t="n">
        <f aca="false">AP2824*$M2824</f>
        <v>0</v>
      </c>
      <c r="AR2824" s="28"/>
      <c r="AS2824" s="28" t="n">
        <f aca="false">AR2824*$M2824</f>
        <v>0</v>
      </c>
      <c r="AT2824" s="28"/>
      <c r="AU2824" s="28" t="n">
        <f aca="false">AT2824*$M2824</f>
        <v>0</v>
      </c>
      <c r="AV2824" s="28"/>
      <c r="AW2824" s="28" t="n">
        <f aca="false">AV2824*$M2824</f>
        <v>0</v>
      </c>
      <c r="AX2824" s="28"/>
      <c r="AY2824" s="28" t="n">
        <f aca="false">AX2824*$M2824</f>
        <v>0</v>
      </c>
      <c r="AZ2824" s="30" t="n">
        <v>460</v>
      </c>
      <c r="BA2824" s="11" t="n">
        <v>9200</v>
      </c>
      <c r="BB2824" s="31" t="n">
        <f aca="false">SUM(Q2824,S2824,U2824,W2824,Y2824,AA2824,AC2824,AE2824,AG2824,AI2824,AK2824,AM2824,AO2824,AQ2824,AS2824,AU2824,AW2824,AY2824)</f>
        <v>9200</v>
      </c>
      <c r="BC2824" s="28" t="n">
        <f aca="false">BA2824-BB2824</f>
        <v>0</v>
      </c>
      <c r="BD2824" s="32" t="n">
        <f aca="false">SUM(P2824,R2824,T2824,V2824,X2824,Z2824,AB2824,AD2824,AF2824,AH2824,AJ2824,AL2824,AN2824,AP2824,AR2824,AT2824,AV2824,AX2824)</f>
        <v>460</v>
      </c>
      <c r="BE2824" s="33" t="n">
        <f aca="false">AZ2824-BD2824</f>
        <v>0</v>
      </c>
      <c r="BF2824" s="34" t="n">
        <f aca="false">BD2824*M2824</f>
        <v>9200</v>
      </c>
      <c r="BG2824" s="35" t="n">
        <f aca="false">BA2824-BF2824</f>
        <v>0</v>
      </c>
      <c r="BH2824" s="19" t="str">
        <f aca="false">IF(BG2824=0,"",IF(BG2824&lt;&gt;BA2824,"erreur de calcul",IF(BD2824&lt;&gt;0,"pas de prix",IF(M2824&lt;&gt; 0,"pas de quantité","pas de prix, ni de quantité"))))</f>
        <v/>
      </c>
      <c r="BI2824" s="19"/>
    </row>
    <row r="2825" customFormat="false" ht="15" hidden="false" customHeight="false" outlineLevel="0" collapsed="false">
      <c r="A2825" s="0" t="n">
        <v>15</v>
      </c>
      <c r="B2825" s="8" t="s">
        <v>24</v>
      </c>
      <c r="C2825" s="9" t="s">
        <v>25</v>
      </c>
      <c r="D2825" s="9" t="s">
        <v>26</v>
      </c>
      <c r="E2825" s="10" t="n">
        <v>1789</v>
      </c>
      <c r="F2825" s="9" t="s">
        <v>27</v>
      </c>
      <c r="G2825" s="9" t="s">
        <v>27</v>
      </c>
      <c r="H2825" s="11" t="n">
        <v>18</v>
      </c>
      <c r="I2825" s="11" t="s">
        <v>84</v>
      </c>
      <c r="J2825" s="14" t="n">
        <v>16</v>
      </c>
      <c r="K2825" s="14"/>
      <c r="L2825" s="16"/>
      <c r="M2825" s="27" t="n">
        <f aca="false">J2825+(K2825/20)+(L2825/240)</f>
        <v>16</v>
      </c>
      <c r="N2825" s="17" t="s">
        <v>85</v>
      </c>
      <c r="O2825" s="11"/>
      <c r="P2825" s="28"/>
      <c r="Q2825" s="28" t="n">
        <f aca="false">P2825*$M2825</f>
        <v>0</v>
      </c>
      <c r="R2825" s="28"/>
      <c r="S2825" s="28" t="n">
        <f aca="false">R2825*$M2825</f>
        <v>0</v>
      </c>
      <c r="T2825" s="28" t="n">
        <f aca="false">1600/100</f>
        <v>16</v>
      </c>
      <c r="U2825" s="28" t="n">
        <v>256</v>
      </c>
      <c r="V2825" s="28" t="n">
        <f aca="false">227136/100</f>
        <v>2271.36</v>
      </c>
      <c r="W2825" s="28" t="n">
        <v>36342</v>
      </c>
      <c r="X2825" s="29"/>
      <c r="Y2825" s="28" t="n">
        <v>304</v>
      </c>
      <c r="Z2825" s="28" t="n">
        <f aca="false">6850/100</f>
        <v>68.5</v>
      </c>
      <c r="AA2825" s="28" t="n">
        <v>1096</v>
      </c>
      <c r="AB2825" s="28" t="n">
        <f aca="false">204300/100</f>
        <v>2043</v>
      </c>
      <c r="AC2825" s="28" t="n">
        <v>32688</v>
      </c>
      <c r="AD2825" s="28" t="n">
        <f aca="false">9750/100</f>
        <v>97.5</v>
      </c>
      <c r="AE2825" s="28" t="n">
        <v>1560</v>
      </c>
      <c r="AF2825" s="28"/>
      <c r="AG2825" s="28" t="n">
        <f aca="false">AF2825*$M2825</f>
        <v>0</v>
      </c>
      <c r="AH2825" s="28"/>
      <c r="AI2825" s="28" t="n">
        <f aca="false">AH2825*$M2825</f>
        <v>0</v>
      </c>
      <c r="AJ2825" s="28" t="n">
        <f aca="false">1414/100</f>
        <v>14.14</v>
      </c>
      <c r="AK2825" s="28" t="n">
        <v>226</v>
      </c>
      <c r="AL2825" s="28" t="n">
        <f aca="false">29500/100</f>
        <v>295</v>
      </c>
      <c r="AM2825" s="28" t="n">
        <v>4720</v>
      </c>
      <c r="AN2825" s="28"/>
      <c r="AO2825" s="28" t="n">
        <f aca="false">AN2825*$M2825</f>
        <v>0</v>
      </c>
      <c r="AP2825" s="28" t="n">
        <f aca="false">1520/100</f>
        <v>15.2</v>
      </c>
      <c r="AQ2825" s="28" t="n">
        <v>243</v>
      </c>
      <c r="AR2825" s="28"/>
      <c r="AS2825" s="28" t="n">
        <f aca="false">AR2825*$M2825</f>
        <v>0</v>
      </c>
      <c r="AT2825" s="28" t="n">
        <f aca="false">2100/100</f>
        <v>21</v>
      </c>
      <c r="AU2825" s="28" t="n">
        <v>336</v>
      </c>
      <c r="AV2825" s="28" t="n">
        <f aca="false">1320/100</f>
        <v>13.2</v>
      </c>
      <c r="AW2825" s="28" t="n">
        <v>211</v>
      </c>
      <c r="AX2825" s="28" t="n">
        <f aca="false">177746/100</f>
        <v>1777.46</v>
      </c>
      <c r="AY2825" s="28" t="n">
        <v>28439</v>
      </c>
      <c r="AZ2825" s="30" t="n">
        <f aca="false">665136/100</f>
        <v>6651.36</v>
      </c>
      <c r="BA2825" s="11" t="n">
        <v>106421</v>
      </c>
      <c r="BB2825" s="31" t="n">
        <f aca="false">SUM(Q2825,S2825,U2825,W2825,Y2825,AA2825,AC2825,AE2825,AG2825,AI2825,AK2825,AM2825,AO2825,AQ2825,AS2825,AU2825,AW2825,AY2825)</f>
        <v>106421</v>
      </c>
      <c r="BC2825" s="28" t="n">
        <f aca="false">BA2825-BB2825</f>
        <v>0</v>
      </c>
      <c r="BD2825" s="32" t="n">
        <f aca="false">SUM(P2825,R2825,T2825,V2825,X2825,Z2825,AB2825,AD2825,AF2825,AH2825,AJ2825,AL2825,AN2825,AP2825,AR2825,AT2825,AV2825,AX2825)</f>
        <v>6632.36</v>
      </c>
      <c r="BE2825" s="33" t="n">
        <f aca="false">AZ2825-BD2825</f>
        <v>18.9999999999991</v>
      </c>
      <c r="BF2825" s="34" t="n">
        <f aca="false">BD2825*M2825</f>
        <v>106117.76</v>
      </c>
      <c r="BG2825" s="35" t="n">
        <f aca="false">BA2825-BF2825</f>
        <v>303.239999999991</v>
      </c>
      <c r="BH2825" s="19" t="str">
        <f aca="false">IF(BG2825=0,"",IF(BG2825&lt;&gt;BA2825,"erreur de calcul",IF(BD2825&lt;&gt;0,"pas de prix",IF(M2825&lt;&gt; 0,"pas de quantité","pas de prix, ni de quantité"))))</f>
        <v>erreur de calcul</v>
      </c>
      <c r="BI2825" s="19"/>
    </row>
    <row r="2826" customFormat="false" ht="15" hidden="false" customHeight="false" outlineLevel="0" collapsed="false">
      <c r="A2826" s="0" t="n">
        <v>16</v>
      </c>
      <c r="B2826" s="8" t="s">
        <v>24</v>
      </c>
      <c r="C2826" s="9" t="s">
        <v>25</v>
      </c>
      <c r="D2826" s="9" t="s">
        <v>26</v>
      </c>
      <c r="E2826" s="10" t="n">
        <v>1789</v>
      </c>
      <c r="F2826" s="9" t="s">
        <v>27</v>
      </c>
      <c r="G2826" s="9" t="s">
        <v>27</v>
      </c>
      <c r="H2826" s="11" t="n">
        <v>18</v>
      </c>
      <c r="I2826" s="11" t="s">
        <v>86</v>
      </c>
      <c r="J2826" s="14" t="n">
        <v>55</v>
      </c>
      <c r="K2826" s="14"/>
      <c r="L2826" s="16"/>
      <c r="M2826" s="27" t="n">
        <f aca="false">J2826+(K2826/20)+(L2826/240)</f>
        <v>55</v>
      </c>
      <c r="N2826" s="17" t="s">
        <v>81</v>
      </c>
      <c r="O2826" s="11"/>
      <c r="P2826" s="28"/>
      <c r="Q2826" s="28" t="n">
        <f aca="false">P2826*$M2826</f>
        <v>0</v>
      </c>
      <c r="R2826" s="28"/>
      <c r="S2826" s="28" t="n">
        <f aca="false">R2826*$M2826</f>
        <v>0</v>
      </c>
      <c r="T2826" s="28"/>
      <c r="U2826" s="28" t="n">
        <f aca="false">T2826*$M2826</f>
        <v>0</v>
      </c>
      <c r="V2826" s="28"/>
      <c r="W2826" s="28" t="n">
        <f aca="false">V2826*$M2826</f>
        <v>0</v>
      </c>
      <c r="X2826" s="29"/>
      <c r="Y2826" s="28" t="n">
        <f aca="false">X2826*$M2826</f>
        <v>0</v>
      </c>
      <c r="Z2826" s="28"/>
      <c r="AA2826" s="28" t="n">
        <f aca="false">Z2826*$M2826</f>
        <v>0</v>
      </c>
      <c r="AB2826" s="28"/>
      <c r="AC2826" s="28" t="n">
        <f aca="false">AB2826*$M2826</f>
        <v>0</v>
      </c>
      <c r="AD2826" s="28"/>
      <c r="AE2826" s="28" t="n">
        <f aca="false">AD2826*$M2826</f>
        <v>0</v>
      </c>
      <c r="AF2826" s="28"/>
      <c r="AG2826" s="28" t="n">
        <f aca="false">AF2826*$M2826</f>
        <v>0</v>
      </c>
      <c r="AH2826" s="28"/>
      <c r="AI2826" s="28" t="n">
        <f aca="false">AH2826*$M2826</f>
        <v>0</v>
      </c>
      <c r="AJ2826" s="28"/>
      <c r="AK2826" s="28" t="n">
        <f aca="false">AJ2826*$M2826</f>
        <v>0</v>
      </c>
      <c r="AL2826" s="28"/>
      <c r="AM2826" s="28" t="n">
        <f aca="false">AL2826*$M2826</f>
        <v>0</v>
      </c>
      <c r="AN2826" s="28"/>
      <c r="AO2826" s="28" t="n">
        <f aca="false">AN2826*$M2826</f>
        <v>0</v>
      </c>
      <c r="AP2826" s="28"/>
      <c r="AQ2826" s="28" t="n">
        <f aca="false">AP2826*$M2826</f>
        <v>0</v>
      </c>
      <c r="AR2826" s="28"/>
      <c r="AS2826" s="28" t="n">
        <f aca="false">AR2826*$M2826</f>
        <v>0</v>
      </c>
      <c r="AT2826" s="28" t="n">
        <v>319</v>
      </c>
      <c r="AU2826" s="28" t="n">
        <v>17545</v>
      </c>
      <c r="AV2826" s="28"/>
      <c r="AW2826" s="28" t="n">
        <f aca="false">AV2826*$M2826</f>
        <v>0</v>
      </c>
      <c r="AX2826" s="28"/>
      <c r="AY2826" s="28" t="n">
        <f aca="false">AX2826*$M2826</f>
        <v>0</v>
      </c>
      <c r="AZ2826" s="30" t="n">
        <v>319</v>
      </c>
      <c r="BA2826" s="11" t="n">
        <v>17545</v>
      </c>
      <c r="BB2826" s="31" t="n">
        <f aca="false">SUM(Q2826,S2826,U2826,W2826,Y2826,AA2826,AC2826,AE2826,AG2826,AI2826,AK2826,AM2826,AO2826,AQ2826,AS2826,AU2826,AW2826,AY2826)</f>
        <v>17545</v>
      </c>
      <c r="BC2826" s="28" t="n">
        <f aca="false">BA2826-BB2826</f>
        <v>0</v>
      </c>
      <c r="BD2826" s="32" t="n">
        <f aca="false">SUM(P2826,R2826,T2826,V2826,X2826,Z2826,AB2826,AD2826,AF2826,AH2826,AJ2826,AL2826,AN2826,AP2826,AR2826,AT2826,AV2826,AX2826)</f>
        <v>319</v>
      </c>
      <c r="BE2826" s="33" t="n">
        <f aca="false">AZ2826-BD2826</f>
        <v>0</v>
      </c>
      <c r="BF2826" s="34" t="n">
        <f aca="false">BD2826*M2826</f>
        <v>17545</v>
      </c>
      <c r="BG2826" s="35" t="n">
        <f aca="false">BA2826-BF2826</f>
        <v>0</v>
      </c>
      <c r="BH2826" s="19" t="str">
        <f aca="false">IF(BG2826=0,"",IF(BG2826&lt;&gt;BA2826,"erreur de calcul",IF(BD2826&lt;&gt;0,"pas de prix",IF(M2826&lt;&gt; 0,"pas de quantité","pas de prix, ni de quantité"))))</f>
        <v/>
      </c>
      <c r="BI2826" s="19"/>
    </row>
    <row r="2827" customFormat="false" ht="15" hidden="false" customHeight="false" outlineLevel="0" collapsed="false">
      <c r="A2827" s="0" t="n">
        <v>17</v>
      </c>
      <c r="B2827" s="8" t="s">
        <v>24</v>
      </c>
      <c r="C2827" s="9" t="s">
        <v>25</v>
      </c>
      <c r="D2827" s="9" t="s">
        <v>26</v>
      </c>
      <c r="E2827" s="10" t="n">
        <v>1789</v>
      </c>
      <c r="F2827" s="9" t="s">
        <v>27</v>
      </c>
      <c r="G2827" s="9" t="s">
        <v>27</v>
      </c>
      <c r="H2827" s="11" t="n">
        <v>18</v>
      </c>
      <c r="I2827" s="11" t="s">
        <v>87</v>
      </c>
      <c r="J2827" s="14" t="n">
        <v>6</v>
      </c>
      <c r="K2827" s="14"/>
      <c r="L2827" s="16"/>
      <c r="M2827" s="27" t="n">
        <f aca="false">J2827+(K2827/20)+(L2827/240)</f>
        <v>6</v>
      </c>
      <c r="N2827" s="17" t="s">
        <v>69</v>
      </c>
      <c r="O2827" s="11" t="s">
        <v>77</v>
      </c>
      <c r="P2827" s="28"/>
      <c r="Q2827" s="28" t="n">
        <f aca="false">P2827*$M2827</f>
        <v>0</v>
      </c>
      <c r="R2827" s="28" t="n">
        <v>63</v>
      </c>
      <c r="S2827" s="28" t="n">
        <v>378</v>
      </c>
      <c r="T2827" s="28" t="n">
        <v>2406</v>
      </c>
      <c r="U2827" s="28" t="n">
        <v>14436</v>
      </c>
      <c r="V2827" s="28" t="n">
        <v>222</v>
      </c>
      <c r="W2827" s="28" t="n">
        <v>1332</v>
      </c>
      <c r="X2827" s="29"/>
      <c r="Y2827" s="28" t="n">
        <f aca="false">X2827*$M2827</f>
        <v>0</v>
      </c>
      <c r="Z2827" s="28"/>
      <c r="AA2827" s="28" t="n">
        <f aca="false">Z2827*$M2827</f>
        <v>0</v>
      </c>
      <c r="AB2827" s="28"/>
      <c r="AC2827" s="28" t="n">
        <f aca="false">AB2827*$M2827</f>
        <v>0</v>
      </c>
      <c r="AD2827" s="28" t="n">
        <v>330</v>
      </c>
      <c r="AE2827" s="28" t="n">
        <v>1980</v>
      </c>
      <c r="AF2827" s="28"/>
      <c r="AG2827" s="28" t="n">
        <f aca="false">AF2827*$M2827</f>
        <v>0</v>
      </c>
      <c r="AH2827" s="28"/>
      <c r="AI2827" s="28" t="n">
        <f aca="false">AH2827*$M2827</f>
        <v>0</v>
      </c>
      <c r="AJ2827" s="28"/>
      <c r="AK2827" s="28" t="n">
        <f aca="false">AJ2827*$M2827</f>
        <v>0</v>
      </c>
      <c r="AL2827" s="28"/>
      <c r="AM2827" s="28" t="n">
        <f aca="false">AL2827*$M2827</f>
        <v>0</v>
      </c>
      <c r="AN2827" s="28"/>
      <c r="AO2827" s="28" t="n">
        <f aca="false">AN2827*$M2827</f>
        <v>0</v>
      </c>
      <c r="AP2827" s="28"/>
      <c r="AQ2827" s="28" t="n">
        <f aca="false">AP2827*$M2827</f>
        <v>0</v>
      </c>
      <c r="AR2827" s="28"/>
      <c r="AS2827" s="28" t="n">
        <f aca="false">AR2827*$M2827</f>
        <v>0</v>
      </c>
      <c r="AT2827" s="28"/>
      <c r="AU2827" s="28" t="n">
        <f aca="false">AT2827*$M2827</f>
        <v>0</v>
      </c>
      <c r="AV2827" s="28"/>
      <c r="AW2827" s="28" t="n">
        <f aca="false">AV2827*$M2827</f>
        <v>0</v>
      </c>
      <c r="AX2827" s="28"/>
      <c r="AY2827" s="28" t="n">
        <f aca="false">AX2827*$M2827</f>
        <v>0</v>
      </c>
      <c r="AZ2827" s="30" t="n">
        <v>3021</v>
      </c>
      <c r="BA2827" s="11" t="n">
        <v>18126</v>
      </c>
      <c r="BB2827" s="31" t="n">
        <f aca="false">SUM(Q2827,S2827,U2827,W2827,Y2827,AA2827,AC2827,AE2827,AG2827,AI2827,AK2827,AM2827,AO2827,AQ2827,AS2827,AU2827,AW2827,AY2827)</f>
        <v>18126</v>
      </c>
      <c r="BC2827" s="28" t="n">
        <f aca="false">BA2827-BB2827</f>
        <v>0</v>
      </c>
      <c r="BD2827" s="32" t="n">
        <f aca="false">SUM(P2827,R2827,T2827,V2827,X2827,Z2827,AB2827,AD2827,AF2827,AH2827,AJ2827,AL2827,AN2827,AP2827,AR2827,AT2827,AV2827,AX2827)</f>
        <v>3021</v>
      </c>
      <c r="BE2827" s="33" t="n">
        <f aca="false">AZ2827-BD2827</f>
        <v>0</v>
      </c>
      <c r="BF2827" s="34" t="n">
        <f aca="false">BD2827*M2827</f>
        <v>18126</v>
      </c>
      <c r="BG2827" s="35" t="n">
        <f aca="false">BA2827-BF2827</f>
        <v>0</v>
      </c>
      <c r="BH2827" s="19" t="str">
        <f aca="false">IF(BG2827=0,"",IF(BG2827&lt;&gt;BA2827,"erreur de calcul",IF(BD2827&lt;&gt;0,"pas de prix",IF(M2827&lt;&gt; 0,"pas de quantité","pas de prix, ni de quantité"))))</f>
        <v/>
      </c>
      <c r="BI2827" s="19"/>
    </row>
    <row r="2828" customFormat="false" ht="15" hidden="false" customHeight="false" outlineLevel="0" collapsed="false">
      <c r="A2828" s="0" t="n">
        <v>18</v>
      </c>
      <c r="B2828" s="8" t="s">
        <v>24</v>
      </c>
      <c r="C2828" s="9" t="s">
        <v>25</v>
      </c>
      <c r="D2828" s="9" t="s">
        <v>26</v>
      </c>
      <c r="E2828" s="10" t="n">
        <v>1789</v>
      </c>
      <c r="F2828" s="9" t="s">
        <v>27</v>
      </c>
      <c r="G2828" s="9" t="s">
        <v>27</v>
      </c>
      <c r="H2828" s="11" t="n">
        <v>18</v>
      </c>
      <c r="I2828" s="11" t="s">
        <v>88</v>
      </c>
      <c r="J2828" s="14" t="n">
        <v>26</v>
      </c>
      <c r="K2828" s="14"/>
      <c r="L2828" s="16"/>
      <c r="M2828" s="27" t="n">
        <f aca="false">J2828+(K2828/20)+(L2828/240)</f>
        <v>26</v>
      </c>
      <c r="N2828" s="17" t="s">
        <v>69</v>
      </c>
      <c r="O2828" s="11"/>
      <c r="P2828" s="28"/>
      <c r="Q2828" s="28" t="n">
        <f aca="false">P2828*$M2828</f>
        <v>0</v>
      </c>
      <c r="R2828" s="28"/>
      <c r="S2828" s="28" t="n">
        <f aca="false">R2828*$M2828</f>
        <v>0</v>
      </c>
      <c r="T2828" s="28"/>
      <c r="U2828" s="28" t="n">
        <f aca="false">T2828*$M2828</f>
        <v>0</v>
      </c>
      <c r="V2828" s="28"/>
      <c r="W2828" s="28" t="n">
        <f aca="false">V2828*$M2828</f>
        <v>0</v>
      </c>
      <c r="X2828" s="29"/>
      <c r="Y2828" s="28" t="n">
        <f aca="false">X2828*$M2828</f>
        <v>0</v>
      </c>
      <c r="Z2828" s="28"/>
      <c r="AA2828" s="28" t="n">
        <f aca="false">Z2828*$M2828</f>
        <v>0</v>
      </c>
      <c r="AB2828" s="28"/>
      <c r="AC2828" s="28" t="n">
        <f aca="false">AB2828*$M2828</f>
        <v>0</v>
      </c>
      <c r="AD2828" s="28"/>
      <c r="AE2828" s="28" t="n">
        <f aca="false">AD2828*$M2828</f>
        <v>0</v>
      </c>
      <c r="AF2828" s="28"/>
      <c r="AG2828" s="28" t="n">
        <f aca="false">AF2828*$M2828</f>
        <v>0</v>
      </c>
      <c r="AH2828" s="28"/>
      <c r="AI2828" s="28" t="n">
        <f aca="false">AH2828*$M2828</f>
        <v>0</v>
      </c>
      <c r="AJ2828" s="28"/>
      <c r="AK2828" s="28" t="n">
        <f aca="false">AJ2828*$M2828</f>
        <v>0</v>
      </c>
      <c r="AL2828" s="28" t="n">
        <v>150</v>
      </c>
      <c r="AM2828" s="28" t="n">
        <v>3900</v>
      </c>
      <c r="AN2828" s="28"/>
      <c r="AO2828" s="28" t="n">
        <f aca="false">AN2828*$M2828</f>
        <v>0</v>
      </c>
      <c r="AP2828" s="28" t="n">
        <v>4140</v>
      </c>
      <c r="AQ2828" s="28" t="n">
        <v>107640</v>
      </c>
      <c r="AR2828" s="28" t="n">
        <v>6957</v>
      </c>
      <c r="AS2828" s="28" t="n">
        <v>180882</v>
      </c>
      <c r="AT2828" s="28" t="n">
        <v>171</v>
      </c>
      <c r="AU2828" s="28" t="n">
        <v>4446</v>
      </c>
      <c r="AV2828" s="28" t="n">
        <v>838</v>
      </c>
      <c r="AW2828" s="28" t="n">
        <v>21788</v>
      </c>
      <c r="AX2828" s="28" t="n">
        <v>35</v>
      </c>
      <c r="AY2828" s="28" t="n">
        <v>910</v>
      </c>
      <c r="AZ2828" s="30" t="n">
        <v>12291</v>
      </c>
      <c r="BA2828" s="11" t="n">
        <v>319566</v>
      </c>
      <c r="BB2828" s="31" t="n">
        <f aca="false">SUM(Q2828,S2828,U2828,W2828,Y2828,AA2828,AC2828,AE2828,AG2828,AI2828,AK2828,AM2828,AO2828,AQ2828,AS2828,AU2828,AW2828,AY2828)</f>
        <v>319566</v>
      </c>
      <c r="BC2828" s="28" t="n">
        <f aca="false">BA2828-BB2828</f>
        <v>0</v>
      </c>
      <c r="BD2828" s="32" t="n">
        <f aca="false">SUM(P2828,R2828,T2828,V2828,X2828,Z2828,AB2828,AD2828,AF2828,AH2828,AJ2828,AL2828,AN2828,AP2828,AR2828,AT2828,AV2828,AX2828)</f>
        <v>12291</v>
      </c>
      <c r="BE2828" s="33" t="n">
        <f aca="false">AZ2828-BD2828</f>
        <v>0</v>
      </c>
      <c r="BF2828" s="34" t="n">
        <f aca="false">BD2828*M2828</f>
        <v>319566</v>
      </c>
      <c r="BG2828" s="35" t="n">
        <f aca="false">BA2828-BF2828</f>
        <v>0</v>
      </c>
      <c r="BH2828" s="19" t="str">
        <f aca="false">IF(BG2828=0,"",IF(BG2828&lt;&gt;BA2828,"erreur de calcul",IF(BD2828&lt;&gt;0,"pas de prix",IF(M2828&lt;&gt; 0,"pas de quantité","pas de prix, ni de quantité"))))</f>
        <v/>
      </c>
      <c r="BI2828" s="19"/>
    </row>
    <row r="2829" customFormat="false" ht="15" hidden="false" customHeight="false" outlineLevel="0" collapsed="false">
      <c r="A2829" s="0" t="n">
        <v>19</v>
      </c>
      <c r="B2829" s="8" t="s">
        <v>24</v>
      </c>
      <c r="C2829" s="9" t="s">
        <v>25</v>
      </c>
      <c r="D2829" s="9" t="s">
        <v>26</v>
      </c>
      <c r="E2829" s="10" t="n">
        <v>1789</v>
      </c>
      <c r="F2829" s="9" t="s">
        <v>27</v>
      </c>
      <c r="G2829" s="9" t="s">
        <v>27</v>
      </c>
      <c r="H2829" s="11" t="n">
        <v>18</v>
      </c>
      <c r="I2829" s="11" t="s">
        <v>89</v>
      </c>
      <c r="J2829" s="14" t="n">
        <v>7</v>
      </c>
      <c r="K2829" s="14"/>
      <c r="L2829" s="16"/>
      <c r="M2829" s="27" t="n">
        <f aca="false">J2829+(K2829/20)+(L2829/240)</f>
        <v>7</v>
      </c>
      <c r="N2829" s="17" t="s">
        <v>81</v>
      </c>
      <c r="O2829" s="11" t="s">
        <v>77</v>
      </c>
      <c r="P2829" s="28"/>
      <c r="Q2829" s="28" t="n">
        <f aca="false">P2829*$M2829</f>
        <v>0</v>
      </c>
      <c r="R2829" s="28"/>
      <c r="S2829" s="28" t="n">
        <f aca="false">R2829*$M2829</f>
        <v>0</v>
      </c>
      <c r="T2829" s="28"/>
      <c r="U2829" s="28" t="n">
        <f aca="false">T2829*$M2829</f>
        <v>0</v>
      </c>
      <c r="V2829" s="28"/>
      <c r="W2829" s="28" t="n">
        <f aca="false">V2829*$M2829</f>
        <v>0</v>
      </c>
      <c r="X2829" s="29"/>
      <c r="Y2829" s="28" t="n">
        <f aca="false">X2829*$M2829</f>
        <v>0</v>
      </c>
      <c r="Z2829" s="28"/>
      <c r="AA2829" s="28" t="n">
        <f aca="false">Z2829*$M2829</f>
        <v>0</v>
      </c>
      <c r="AB2829" s="28"/>
      <c r="AC2829" s="28" t="n">
        <f aca="false">AB2829*$M2829</f>
        <v>0</v>
      </c>
      <c r="AD2829" s="28"/>
      <c r="AE2829" s="28" t="n">
        <f aca="false">AD2829*$M2829</f>
        <v>0</v>
      </c>
      <c r="AF2829" s="28"/>
      <c r="AG2829" s="28" t="n">
        <f aca="false">AF2829*$M2829</f>
        <v>0</v>
      </c>
      <c r="AH2829" s="28"/>
      <c r="AI2829" s="28" t="n">
        <f aca="false">AH2829*$M2829</f>
        <v>0</v>
      </c>
      <c r="AJ2829" s="28"/>
      <c r="AK2829" s="28" t="n">
        <f aca="false">AJ2829*$M2829</f>
        <v>0</v>
      </c>
      <c r="AL2829" s="28"/>
      <c r="AM2829" s="28" t="n">
        <f aca="false">AL2829*$M2829</f>
        <v>0</v>
      </c>
      <c r="AN2829" s="28"/>
      <c r="AO2829" s="28" t="n">
        <f aca="false">AN2829*$M2829</f>
        <v>0</v>
      </c>
      <c r="AP2829" s="38" t="n">
        <v>1763</v>
      </c>
      <c r="AQ2829" s="28" t="n">
        <v>42312</v>
      </c>
      <c r="AR2829" s="28"/>
      <c r="AS2829" s="28" t="n">
        <f aca="false">AR2829*$M2829</f>
        <v>0</v>
      </c>
      <c r="AT2829" s="28"/>
      <c r="AU2829" s="28" t="n">
        <f aca="false">AT2829*$M2829</f>
        <v>0</v>
      </c>
      <c r="AV2829" s="38" t="n">
        <v>377</v>
      </c>
      <c r="AW2829" s="28" t="n">
        <v>9425</v>
      </c>
      <c r="AX2829" s="28"/>
      <c r="AY2829" s="28" t="n">
        <f aca="false">AX2829*$M2829</f>
        <v>0</v>
      </c>
      <c r="AZ2829" s="30" t="n">
        <v>2140</v>
      </c>
      <c r="BA2829" s="11" t="n">
        <v>51737</v>
      </c>
      <c r="BB2829" s="31" t="n">
        <f aca="false">SUM(Q2829,S2829,U2829,W2829,Y2829,AA2829,AC2829,AE2829,AG2829,AI2829,AK2829,AM2829,AO2829,AQ2829,AS2829,AU2829,AW2829,AY2829)</f>
        <v>51737</v>
      </c>
      <c r="BC2829" s="28" t="n">
        <f aca="false">BA2829-BB2829</f>
        <v>0</v>
      </c>
      <c r="BD2829" s="32" t="n">
        <f aca="false">SUM(P2829,R2829,T2829,V2829,X2829,Z2829,AB2829,AD2829,AF2829,AH2829,AJ2829,AL2829,AN2829,AP2829,AR2829,AT2829,AV2829,AX2829)</f>
        <v>2140</v>
      </c>
      <c r="BE2829" s="33" t="n">
        <f aca="false">AZ2829-BD2829</f>
        <v>0</v>
      </c>
      <c r="BF2829" s="34" t="n">
        <f aca="false">BD2829*M2829</f>
        <v>14980</v>
      </c>
      <c r="BG2829" s="35" t="n">
        <f aca="false">BA2829-BF2829</f>
        <v>36757</v>
      </c>
      <c r="BH2829" s="19" t="str">
        <f aca="false">IF(BG2829=0,"",IF(BG2829&lt;&gt;BA2829,"erreur de calcul",IF(BD2829&lt;&gt;0,"pas de prix",IF(M2829&lt;&gt; 0,"pas de quantité","pas de prix, ni de quantité"))))</f>
        <v>erreur de calcul</v>
      </c>
      <c r="BI2829" s="19" t="s">
        <v>90</v>
      </c>
    </row>
    <row r="2830" customFormat="false" ht="15" hidden="false" customHeight="false" outlineLevel="0" collapsed="false">
      <c r="A2830" s="0" t="n">
        <v>20</v>
      </c>
      <c r="B2830" s="8" t="s">
        <v>24</v>
      </c>
      <c r="C2830" s="9" t="s">
        <v>25</v>
      </c>
      <c r="D2830" s="9" t="s">
        <v>26</v>
      </c>
      <c r="E2830" s="10" t="n">
        <v>1789</v>
      </c>
      <c r="F2830" s="9" t="s">
        <v>27</v>
      </c>
      <c r="G2830" s="9" t="s">
        <v>27</v>
      </c>
      <c r="H2830" s="11" t="n">
        <v>18</v>
      </c>
      <c r="I2830" s="11" t="s">
        <v>91</v>
      </c>
      <c r="J2830" s="14" t="n">
        <v>30</v>
      </c>
      <c r="K2830" s="14"/>
      <c r="L2830" s="16"/>
      <c r="M2830" s="27" t="n">
        <f aca="false">J2830+(K2830/20)+(L2830/240)</f>
        <v>30</v>
      </c>
      <c r="N2830" s="17" t="s">
        <v>64</v>
      </c>
      <c r="O2830" s="11"/>
      <c r="P2830" s="28"/>
      <c r="Q2830" s="28" t="n">
        <f aca="false">P2830*$M2830</f>
        <v>0</v>
      </c>
      <c r="R2830" s="28"/>
      <c r="S2830" s="28" t="n">
        <f aca="false">R2830*$M2830</f>
        <v>0</v>
      </c>
      <c r="T2830" s="28"/>
      <c r="U2830" s="28" t="n">
        <f aca="false">T2830*$M2830</f>
        <v>0</v>
      </c>
      <c r="V2830" s="28" t="n">
        <f aca="false">12300/100</f>
        <v>123</v>
      </c>
      <c r="W2830" s="28" t="n">
        <v>3690</v>
      </c>
      <c r="X2830" s="29"/>
      <c r="Y2830" s="28" t="n">
        <f aca="false">X2830*$M2830</f>
        <v>0</v>
      </c>
      <c r="Z2830" s="28"/>
      <c r="AA2830" s="28" t="n">
        <f aca="false">Z2830*$M2830</f>
        <v>0</v>
      </c>
      <c r="AB2830" s="28" t="n">
        <f aca="false">16277/100</f>
        <v>162.77</v>
      </c>
      <c r="AC2830" s="28" t="n">
        <v>4883</v>
      </c>
      <c r="AD2830" s="28"/>
      <c r="AE2830" s="28" t="n">
        <f aca="false">AD2830*$M2830</f>
        <v>0</v>
      </c>
      <c r="AF2830" s="28"/>
      <c r="AG2830" s="28" t="n">
        <f aca="false">AF2830*$M2830</f>
        <v>0</v>
      </c>
      <c r="AH2830" s="28"/>
      <c r="AI2830" s="28" t="n">
        <f aca="false">AH2830*$M2830</f>
        <v>0</v>
      </c>
      <c r="AJ2830" s="28"/>
      <c r="AK2830" s="28" t="n">
        <f aca="false">AJ2830*$M2830</f>
        <v>0</v>
      </c>
      <c r="AL2830" s="28"/>
      <c r="AM2830" s="28" t="n">
        <f aca="false">AL2830*$M2830</f>
        <v>0</v>
      </c>
      <c r="AN2830" s="28"/>
      <c r="AO2830" s="28" t="n">
        <f aca="false">AN2830*$M2830</f>
        <v>0</v>
      </c>
      <c r="AP2830" s="28"/>
      <c r="AQ2830" s="28" t="n">
        <f aca="false">AP2830*$M2830</f>
        <v>0</v>
      </c>
      <c r="AR2830" s="28"/>
      <c r="AS2830" s="28" t="n">
        <f aca="false">AR2830*$M2830</f>
        <v>0</v>
      </c>
      <c r="AT2830" s="28"/>
      <c r="AU2830" s="28" t="n">
        <f aca="false">AT2830*$M2830</f>
        <v>0</v>
      </c>
      <c r="AV2830" s="28"/>
      <c r="AW2830" s="28" t="n">
        <f aca="false">AV2830*$M2830</f>
        <v>0</v>
      </c>
      <c r="AX2830" s="28"/>
      <c r="AY2830" s="28" t="n">
        <f aca="false">AX2830*$M2830</f>
        <v>0</v>
      </c>
      <c r="AZ2830" s="30" t="n">
        <f aca="false">28577/100</f>
        <v>285.77</v>
      </c>
      <c r="BA2830" s="11" t="n">
        <v>8573</v>
      </c>
      <c r="BB2830" s="31" t="n">
        <f aca="false">SUM(Q2830,S2830,U2830,W2830,Y2830,AA2830,AC2830,AE2830,AG2830,AI2830,AK2830,AM2830,AO2830,AQ2830,AS2830,AU2830,AW2830,AY2830)</f>
        <v>8573</v>
      </c>
      <c r="BC2830" s="28" t="n">
        <f aca="false">BA2830-BB2830</f>
        <v>0</v>
      </c>
      <c r="BD2830" s="32" t="n">
        <f aca="false">SUM(P2830,R2830,T2830,V2830,X2830,Z2830,AB2830,AD2830,AF2830,AH2830,AJ2830,AL2830,AN2830,AP2830,AR2830,AT2830,AV2830,AX2830)</f>
        <v>285.77</v>
      </c>
      <c r="BE2830" s="33" t="n">
        <f aca="false">AZ2830-BD2830</f>
        <v>0</v>
      </c>
      <c r="BF2830" s="34" t="n">
        <f aca="false">BD2830*M2830</f>
        <v>8573.1</v>
      </c>
      <c r="BG2830" s="35" t="n">
        <f aca="false">BA2830-BF2830</f>
        <v>-0.0999999999985448</v>
      </c>
      <c r="BH2830" s="19" t="str">
        <f aca="false">IF(BG2830=0,"",IF(BG2830&lt;&gt;BA2830,"erreur de calcul",IF(BD2830&lt;&gt;0,"pas de prix",IF(M2830&lt;&gt; 0,"pas de quantité","pas de prix, ni de quantité"))))</f>
        <v>erreur de calcul</v>
      </c>
      <c r="BI2830" s="19"/>
    </row>
    <row r="2831" customFormat="false" ht="15" hidden="false" customHeight="false" outlineLevel="0" collapsed="false">
      <c r="A2831" s="0" t="n">
        <v>21</v>
      </c>
      <c r="B2831" s="8" t="s">
        <v>24</v>
      </c>
      <c r="C2831" s="9" t="s">
        <v>25</v>
      </c>
      <c r="D2831" s="9" t="s">
        <v>26</v>
      </c>
      <c r="E2831" s="10" t="n">
        <v>1789</v>
      </c>
      <c r="F2831" s="9" t="s">
        <v>27</v>
      </c>
      <c r="G2831" s="9" t="s">
        <v>27</v>
      </c>
      <c r="H2831" s="11" t="n">
        <v>18</v>
      </c>
      <c r="I2831" s="11" t="s">
        <v>92</v>
      </c>
      <c r="J2831" s="14"/>
      <c r="K2831" s="14" t="n">
        <v>25</v>
      </c>
      <c r="L2831" s="16"/>
      <c r="M2831" s="27" t="n">
        <f aca="false">J2831+(K2831/20)+(L2831/240)</f>
        <v>1.25</v>
      </c>
      <c r="N2831" s="17" t="s">
        <v>81</v>
      </c>
      <c r="O2831" s="11"/>
      <c r="P2831" s="28"/>
      <c r="Q2831" s="28" t="n">
        <f aca="false">P2831*$M2831</f>
        <v>0</v>
      </c>
      <c r="R2831" s="28"/>
      <c r="S2831" s="28" t="n">
        <f aca="false">R2831*$M2831</f>
        <v>0</v>
      </c>
      <c r="T2831" s="28"/>
      <c r="U2831" s="28" t="n">
        <f aca="false">T2831*$M2831</f>
        <v>0</v>
      </c>
      <c r="V2831" s="28" t="n">
        <v>17192</v>
      </c>
      <c r="W2831" s="28" t="n">
        <v>21490</v>
      </c>
      <c r="X2831" s="29"/>
      <c r="Y2831" s="28" t="n">
        <f aca="false">X2831*$M2831</f>
        <v>0</v>
      </c>
      <c r="Z2831" s="28"/>
      <c r="AA2831" s="28" t="n">
        <f aca="false">Z2831*$M2831</f>
        <v>0</v>
      </c>
      <c r="AB2831" s="28"/>
      <c r="AC2831" s="28" t="n">
        <f aca="false">AB2831*$M2831</f>
        <v>0</v>
      </c>
      <c r="AD2831" s="28"/>
      <c r="AE2831" s="28" t="n">
        <f aca="false">AD2831*$M2831</f>
        <v>0</v>
      </c>
      <c r="AF2831" s="28"/>
      <c r="AG2831" s="28" t="n">
        <f aca="false">AF2831*$M2831</f>
        <v>0</v>
      </c>
      <c r="AH2831" s="28"/>
      <c r="AI2831" s="28" t="n">
        <f aca="false">AH2831*$M2831</f>
        <v>0</v>
      </c>
      <c r="AJ2831" s="28"/>
      <c r="AK2831" s="28" t="n">
        <f aca="false">AJ2831*$M2831</f>
        <v>0</v>
      </c>
      <c r="AL2831" s="28"/>
      <c r="AM2831" s="28" t="n">
        <f aca="false">AL2831*$M2831</f>
        <v>0</v>
      </c>
      <c r="AN2831" s="28"/>
      <c r="AO2831" s="28" t="n">
        <f aca="false">AN2831*$M2831</f>
        <v>0</v>
      </c>
      <c r="AP2831" s="28"/>
      <c r="AQ2831" s="28" t="n">
        <f aca="false">AP2831*$M2831</f>
        <v>0</v>
      </c>
      <c r="AR2831" s="28"/>
      <c r="AS2831" s="28" t="n">
        <f aca="false">AR2831*$M2831</f>
        <v>0</v>
      </c>
      <c r="AT2831" s="28"/>
      <c r="AU2831" s="28" t="n">
        <f aca="false">AT2831*$M2831</f>
        <v>0</v>
      </c>
      <c r="AV2831" s="28"/>
      <c r="AW2831" s="28" t="n">
        <f aca="false">AV2831*$M2831</f>
        <v>0</v>
      </c>
      <c r="AX2831" s="28"/>
      <c r="AY2831" s="28" t="n">
        <f aca="false">AX2831*$M2831</f>
        <v>0</v>
      </c>
      <c r="AZ2831" s="30" t="n">
        <v>17192</v>
      </c>
      <c r="BA2831" s="11" t="n">
        <v>21490</v>
      </c>
      <c r="BB2831" s="31" t="n">
        <f aca="false">SUM(Q2831,S2831,U2831,W2831,Y2831,AA2831,AC2831,AE2831,AG2831,AI2831,AK2831,AM2831,AO2831,AQ2831,AS2831,AU2831,AW2831,AY2831)</f>
        <v>21490</v>
      </c>
      <c r="BC2831" s="28" t="n">
        <f aca="false">BA2831-BB2831</f>
        <v>0</v>
      </c>
      <c r="BD2831" s="32" t="n">
        <f aca="false">SUM(P2831,R2831,T2831,V2831,X2831,Z2831,AB2831,AD2831,AF2831,AH2831,AJ2831,AL2831,AN2831,AP2831,AR2831,AT2831,AV2831,AX2831)</f>
        <v>17192</v>
      </c>
      <c r="BE2831" s="33" t="n">
        <f aca="false">AZ2831-BD2831</f>
        <v>0</v>
      </c>
      <c r="BF2831" s="34" t="n">
        <f aca="false">BD2831*M2831</f>
        <v>21490</v>
      </c>
      <c r="BG2831" s="35" t="n">
        <f aca="false">BA2831-BF2831</f>
        <v>0</v>
      </c>
      <c r="BH2831" s="19" t="str">
        <f aca="false">IF(BG2831=0,"",IF(BG2831&lt;&gt;BA2831,"erreur de calcul",IF(BD2831&lt;&gt;0,"pas de prix",IF(M2831&lt;&gt; 0,"pas de quantité","pas de prix, ni de quantité"))))</f>
        <v/>
      </c>
      <c r="BI2831" s="19"/>
    </row>
    <row r="2832" customFormat="false" ht="15" hidden="false" customHeight="false" outlineLevel="0" collapsed="false">
      <c r="A2832" s="0" t="n">
        <v>22</v>
      </c>
      <c r="B2832" s="8" t="s">
        <v>24</v>
      </c>
      <c r="C2832" s="9" t="s">
        <v>25</v>
      </c>
      <c r="D2832" s="9" t="s">
        <v>26</v>
      </c>
      <c r="E2832" s="10" t="n">
        <v>1789</v>
      </c>
      <c r="F2832" s="9" t="s">
        <v>27</v>
      </c>
      <c r="G2832" s="9" t="s">
        <v>27</v>
      </c>
      <c r="H2832" s="11" t="n">
        <v>18</v>
      </c>
      <c r="I2832" s="11" t="s">
        <v>93</v>
      </c>
      <c r="J2832" s="14" t="n">
        <v>4</v>
      </c>
      <c r="K2832" s="14"/>
      <c r="L2832" s="16"/>
      <c r="M2832" s="27" t="n">
        <f aca="false">J2832+(K2832/20)+(L2832/240)</f>
        <v>4</v>
      </c>
      <c r="N2832" s="17" t="s">
        <v>94</v>
      </c>
      <c r="O2832" s="11"/>
      <c r="P2832" s="28"/>
      <c r="Q2832" s="28" t="n">
        <f aca="false">P2832*$M2832</f>
        <v>0</v>
      </c>
      <c r="R2832" s="28"/>
      <c r="S2832" s="28" t="n">
        <f aca="false">R2832*$M2832</f>
        <v>0</v>
      </c>
      <c r="T2832" s="28"/>
      <c r="U2832" s="28" t="n">
        <f aca="false">T2832*$M2832</f>
        <v>0</v>
      </c>
      <c r="V2832" s="28"/>
      <c r="W2832" s="28" t="n">
        <f aca="false">V2832*$M2832</f>
        <v>0</v>
      </c>
      <c r="X2832" s="29"/>
      <c r="Y2832" s="28" t="n">
        <f aca="false">X2832*$M2832</f>
        <v>0</v>
      </c>
      <c r="Z2832" s="28"/>
      <c r="AA2832" s="28" t="n">
        <f aca="false">Z2832*$M2832</f>
        <v>0</v>
      </c>
      <c r="AB2832" s="28"/>
      <c r="AC2832" s="28" t="n">
        <f aca="false">AB2832*$M2832</f>
        <v>0</v>
      </c>
      <c r="AD2832" s="28" t="n">
        <v>900</v>
      </c>
      <c r="AE2832" s="28" t="n">
        <v>3600</v>
      </c>
      <c r="AF2832" s="28"/>
      <c r="AG2832" s="28" t="n">
        <f aca="false">AF2832*$M2832</f>
        <v>0</v>
      </c>
      <c r="AH2832" s="28"/>
      <c r="AI2832" s="28" t="n">
        <f aca="false">AH2832*$M2832</f>
        <v>0</v>
      </c>
      <c r="AJ2832" s="28"/>
      <c r="AK2832" s="28" t="n">
        <f aca="false">AJ2832*$M2832</f>
        <v>0</v>
      </c>
      <c r="AL2832" s="28"/>
      <c r="AM2832" s="28" t="n">
        <f aca="false">AL2832*$M2832</f>
        <v>0</v>
      </c>
      <c r="AN2832" s="28"/>
      <c r="AO2832" s="28" t="n">
        <f aca="false">AN2832*$M2832</f>
        <v>0</v>
      </c>
      <c r="AP2832" s="28" t="n">
        <v>36</v>
      </c>
      <c r="AQ2832" s="28" t="n">
        <v>144</v>
      </c>
      <c r="AR2832" s="28"/>
      <c r="AS2832" s="28" t="n">
        <f aca="false">AR2832*$M2832</f>
        <v>0</v>
      </c>
      <c r="AT2832" s="28"/>
      <c r="AU2832" s="28" t="n">
        <f aca="false">AT2832*$M2832</f>
        <v>0</v>
      </c>
      <c r="AV2832" s="28"/>
      <c r="AW2832" s="28" t="n">
        <f aca="false">AV2832*$M2832</f>
        <v>0</v>
      </c>
      <c r="AX2832" s="28"/>
      <c r="AY2832" s="28" t="n">
        <f aca="false">AX2832*$M2832</f>
        <v>0</v>
      </c>
      <c r="AZ2832" s="30" t="n">
        <v>936</v>
      </c>
      <c r="BA2832" s="11" t="n">
        <v>3744</v>
      </c>
      <c r="BB2832" s="31" t="n">
        <f aca="false">SUM(Q2832,S2832,U2832,W2832,Y2832,AA2832,AC2832,AE2832,AG2832,AI2832,AK2832,AM2832,AO2832,AQ2832,AS2832,AU2832,AW2832,AY2832)</f>
        <v>3744</v>
      </c>
      <c r="BC2832" s="28" t="n">
        <f aca="false">BA2832-BB2832</f>
        <v>0</v>
      </c>
      <c r="BD2832" s="32" t="n">
        <f aca="false">SUM(P2832,R2832,T2832,V2832,X2832,Z2832,AB2832,AD2832,AF2832,AH2832,AJ2832,AL2832,AN2832,AP2832,AR2832,AT2832,AV2832,AX2832)</f>
        <v>936</v>
      </c>
      <c r="BE2832" s="33" t="n">
        <f aca="false">AZ2832-BD2832</f>
        <v>0</v>
      </c>
      <c r="BF2832" s="34" t="n">
        <f aca="false">BD2832*M2832</f>
        <v>3744</v>
      </c>
      <c r="BG2832" s="35" t="n">
        <f aca="false">BA2832-BF2832</f>
        <v>0</v>
      </c>
      <c r="BH2832" s="19" t="str">
        <f aca="false">IF(BG2832=0,"",IF(BG2832&lt;&gt;BA2832,"erreur de calcul",IF(BD2832&lt;&gt;0,"pas de prix",IF(M2832&lt;&gt; 0,"pas de quantité","pas de prix, ni de quantité"))))</f>
        <v/>
      </c>
      <c r="BI2832" s="19"/>
    </row>
    <row r="2833" customFormat="false" ht="15" hidden="false" customHeight="false" outlineLevel="0" collapsed="false">
      <c r="A2833" s="0" t="n">
        <v>23</v>
      </c>
      <c r="B2833" s="8" t="s">
        <v>24</v>
      </c>
      <c r="C2833" s="9" t="s">
        <v>25</v>
      </c>
      <c r="D2833" s="9" t="s">
        <v>26</v>
      </c>
      <c r="E2833" s="10" t="n">
        <v>1789</v>
      </c>
      <c r="F2833" s="9" t="s">
        <v>27</v>
      </c>
      <c r="G2833" s="9" t="s">
        <v>27</v>
      </c>
      <c r="H2833" s="11" t="n">
        <v>18</v>
      </c>
      <c r="I2833" s="11" t="s">
        <v>95</v>
      </c>
      <c r="J2833" s="14" t="n">
        <v>40</v>
      </c>
      <c r="K2833" s="14"/>
      <c r="L2833" s="16"/>
      <c r="M2833" s="27" t="n">
        <f aca="false">J2833+(K2833/20)+(L2833/240)</f>
        <v>40</v>
      </c>
      <c r="N2833" s="17" t="s">
        <v>64</v>
      </c>
      <c r="O2833" s="11"/>
      <c r="P2833" s="28" t="n">
        <f aca="false">16000/100</f>
        <v>160</v>
      </c>
      <c r="Q2833" s="28" t="n">
        <v>6400</v>
      </c>
      <c r="R2833" s="28"/>
      <c r="S2833" s="28" t="n">
        <f aca="false">R2833*$M2833</f>
        <v>0</v>
      </c>
      <c r="T2833" s="28"/>
      <c r="U2833" s="28" t="n">
        <f aca="false">T2833*$M2833</f>
        <v>0</v>
      </c>
      <c r="V2833" s="28"/>
      <c r="W2833" s="28" t="n">
        <f aca="false">V2833*$M2833</f>
        <v>0</v>
      </c>
      <c r="X2833" s="29"/>
      <c r="Y2833" s="28" t="n">
        <f aca="false">X2833*$M2833</f>
        <v>0</v>
      </c>
      <c r="Z2833" s="28"/>
      <c r="AA2833" s="28" t="n">
        <f aca="false">Z2833*$M2833</f>
        <v>0</v>
      </c>
      <c r="AB2833" s="28"/>
      <c r="AC2833" s="28" t="n">
        <f aca="false">AB2833*$M2833</f>
        <v>0</v>
      </c>
      <c r="AD2833" s="28"/>
      <c r="AE2833" s="28" t="n">
        <f aca="false">AD2833*$M2833</f>
        <v>0</v>
      </c>
      <c r="AF2833" s="28"/>
      <c r="AG2833" s="28" t="n">
        <f aca="false">AF2833*$M2833</f>
        <v>0</v>
      </c>
      <c r="AH2833" s="28"/>
      <c r="AI2833" s="28" t="n">
        <f aca="false">AH2833*$M2833</f>
        <v>0</v>
      </c>
      <c r="AJ2833" s="28"/>
      <c r="AK2833" s="28" t="n">
        <f aca="false">AJ2833*$M2833</f>
        <v>0</v>
      </c>
      <c r="AL2833" s="28"/>
      <c r="AM2833" s="28" t="n">
        <f aca="false">AL2833*$M2833</f>
        <v>0</v>
      </c>
      <c r="AN2833" s="28"/>
      <c r="AO2833" s="28" t="n">
        <f aca="false">AN2833*$M2833</f>
        <v>0</v>
      </c>
      <c r="AP2833" s="28"/>
      <c r="AQ2833" s="28" t="n">
        <f aca="false">AP2833*$M2833</f>
        <v>0</v>
      </c>
      <c r="AR2833" s="28"/>
      <c r="AS2833" s="28" t="n">
        <f aca="false">AR2833*$M2833</f>
        <v>0</v>
      </c>
      <c r="AT2833" s="28"/>
      <c r="AU2833" s="28" t="n">
        <f aca="false">AT2833*$M2833</f>
        <v>0</v>
      </c>
      <c r="AV2833" s="28"/>
      <c r="AW2833" s="28" t="n">
        <f aca="false">AV2833*$M2833</f>
        <v>0</v>
      </c>
      <c r="AX2833" s="28"/>
      <c r="AY2833" s="28" t="n">
        <f aca="false">AX2833*$M2833</f>
        <v>0</v>
      </c>
      <c r="AZ2833" s="30" t="n">
        <f aca="false">16000/100</f>
        <v>160</v>
      </c>
      <c r="BA2833" s="11" t="n">
        <v>6400</v>
      </c>
      <c r="BB2833" s="31" t="n">
        <f aca="false">SUM(Q2833,S2833,U2833,W2833,Y2833,AA2833,AC2833,AE2833,AG2833,AI2833,AK2833,AM2833,AO2833,AQ2833,AS2833,AU2833,AW2833,AY2833)</f>
        <v>6400</v>
      </c>
      <c r="BC2833" s="28" t="n">
        <f aca="false">BA2833-BB2833</f>
        <v>0</v>
      </c>
      <c r="BD2833" s="32" t="n">
        <f aca="false">SUM(P2833,R2833,T2833,V2833,X2833,Z2833,AB2833,AD2833,AF2833,AH2833,AJ2833,AL2833,AN2833,AP2833,AR2833,AT2833,AV2833,AX2833)</f>
        <v>160</v>
      </c>
      <c r="BE2833" s="33" t="n">
        <f aca="false">AZ2833-BD2833</f>
        <v>0</v>
      </c>
      <c r="BF2833" s="34" t="n">
        <f aca="false">BD2833*M2833</f>
        <v>6400</v>
      </c>
      <c r="BG2833" s="35" t="n">
        <f aca="false">BA2833-BF2833</f>
        <v>0</v>
      </c>
      <c r="BH2833" s="19" t="str">
        <f aca="false">IF(BG2833=0,"",IF(BG2833&lt;&gt;BA2833,"erreur de calcul",IF(BD2833&lt;&gt;0,"pas de prix",IF(M2833&lt;&gt; 0,"pas de quantité","pas de prix, ni de quantité"))))</f>
        <v/>
      </c>
      <c r="BI2833" s="19"/>
    </row>
    <row r="2834" customFormat="false" ht="15" hidden="false" customHeight="false" outlineLevel="0" collapsed="false">
      <c r="A2834" s="0" t="n">
        <v>24</v>
      </c>
      <c r="B2834" s="8" t="s">
        <v>24</v>
      </c>
      <c r="C2834" s="9" t="s">
        <v>25</v>
      </c>
      <c r="D2834" s="9" t="s">
        <v>26</v>
      </c>
      <c r="E2834" s="10" t="n">
        <v>1789</v>
      </c>
      <c r="F2834" s="9" t="s">
        <v>27</v>
      </c>
      <c r="G2834" s="9" t="s">
        <v>27</v>
      </c>
      <c r="H2834" s="11" t="n">
        <v>18</v>
      </c>
      <c r="I2834" s="11" t="s">
        <v>96</v>
      </c>
      <c r="J2834" s="14" t="n">
        <v>25</v>
      </c>
      <c r="K2834" s="14"/>
      <c r="L2834" s="16"/>
      <c r="M2834" s="27" t="n">
        <f aca="false">J2834+(K2834/20)+(L2834/240)</f>
        <v>25</v>
      </c>
      <c r="N2834" s="17" t="s">
        <v>64</v>
      </c>
      <c r="O2834" s="11"/>
      <c r="P2834" s="28" t="n">
        <f aca="false">968306/100</f>
        <v>9683.06</v>
      </c>
      <c r="Q2834" s="28" t="n">
        <v>242076</v>
      </c>
      <c r="R2834" s="28"/>
      <c r="S2834" s="28" t="n">
        <f aca="false">R2834*$M2834</f>
        <v>0</v>
      </c>
      <c r="T2834" s="28"/>
      <c r="U2834" s="28" t="n">
        <f aca="false">T2834*$M2834</f>
        <v>0</v>
      </c>
      <c r="V2834" s="28" t="n">
        <f aca="false">39234/100</f>
        <v>392.34</v>
      </c>
      <c r="W2834" s="28" t="n">
        <v>9808</v>
      </c>
      <c r="X2834" s="29"/>
      <c r="Y2834" s="28" t="n">
        <v>3410</v>
      </c>
      <c r="Z2834" s="28"/>
      <c r="AA2834" s="28" t="n">
        <f aca="false">Z2834*$M2834</f>
        <v>0</v>
      </c>
      <c r="AB2834" s="28"/>
      <c r="AC2834" s="28" t="n">
        <f aca="false">AB2834*$M2834</f>
        <v>0</v>
      </c>
      <c r="AD2834" s="28"/>
      <c r="AE2834" s="28" t="n">
        <f aca="false">AD2834*$M2834</f>
        <v>0</v>
      </c>
      <c r="AF2834" s="28"/>
      <c r="AG2834" s="28" t="n">
        <f aca="false">AF2834*$M2834</f>
        <v>0</v>
      </c>
      <c r="AH2834" s="28"/>
      <c r="AI2834" s="28" t="n">
        <f aca="false">AH2834*$M2834</f>
        <v>0</v>
      </c>
      <c r="AJ2834" s="28" t="n">
        <f aca="false">2665/100</f>
        <v>26.65</v>
      </c>
      <c r="AK2834" s="28" t="n">
        <v>666</v>
      </c>
      <c r="AL2834" s="28"/>
      <c r="AM2834" s="28" t="n">
        <f aca="false">AL2834*$M2834</f>
        <v>0</v>
      </c>
      <c r="AN2834" s="28"/>
      <c r="AO2834" s="28" t="n">
        <f aca="false">AN2834*$M2834</f>
        <v>0</v>
      </c>
      <c r="AP2834" s="28"/>
      <c r="AQ2834" s="28" t="n">
        <f aca="false">AP2834*$M2834</f>
        <v>0</v>
      </c>
      <c r="AR2834" s="28"/>
      <c r="AS2834" s="28" t="n">
        <f aca="false">AR2834*$M2834</f>
        <v>0</v>
      </c>
      <c r="AT2834" s="28"/>
      <c r="AU2834" s="28" t="n">
        <f aca="false">AT2834*$M2834</f>
        <v>0</v>
      </c>
      <c r="AV2834" s="28"/>
      <c r="AW2834" s="28" t="n">
        <f aca="false">AV2834*$M2834</f>
        <v>0</v>
      </c>
      <c r="AX2834" s="28" t="n">
        <f aca="false">118115/100</f>
        <v>1181.15</v>
      </c>
      <c r="AY2834" s="28" t="n">
        <v>29529</v>
      </c>
      <c r="AZ2834" s="30" t="n">
        <f aca="false">1141960/100</f>
        <v>11419.6</v>
      </c>
      <c r="BA2834" s="11" t="n">
        <v>285489</v>
      </c>
      <c r="BB2834" s="31" t="n">
        <f aca="false">SUM(Q2834,S2834,U2834,W2834,Y2834,AA2834,AC2834,AE2834,AG2834,AI2834,AK2834,AM2834,AO2834,AQ2834,AS2834,AU2834,AW2834,AY2834)</f>
        <v>285489</v>
      </c>
      <c r="BC2834" s="28" t="n">
        <f aca="false">BA2834-BB2834</f>
        <v>0</v>
      </c>
      <c r="BD2834" s="32" t="n">
        <f aca="false">SUM(P2834,R2834,T2834,V2834,X2834,Z2834,AB2834,AD2834,AF2834,AH2834,AJ2834,AL2834,AN2834,AP2834,AR2834,AT2834,AV2834,AX2834)</f>
        <v>11283.2</v>
      </c>
      <c r="BE2834" s="33" t="n">
        <f aca="false">AZ2834-BD2834</f>
        <v>136.400000000001</v>
      </c>
      <c r="BF2834" s="34" t="n">
        <f aca="false">BD2834*M2834</f>
        <v>282080</v>
      </c>
      <c r="BG2834" s="35" t="n">
        <f aca="false">BA2834-BF2834</f>
        <v>3409</v>
      </c>
      <c r="BH2834" s="19" t="str">
        <f aca="false">IF(BG2834=0,"",IF(BG2834&lt;&gt;BA2834,"erreur de calcul",IF(BD2834&lt;&gt;0,"pas de prix",IF(M2834&lt;&gt; 0,"pas de quantité","pas de prix, ni de quantité"))))</f>
        <v>erreur de calcul</v>
      </c>
      <c r="BI2834" s="19"/>
    </row>
    <row r="2835" customFormat="false" ht="15" hidden="false" customHeight="false" outlineLevel="0" collapsed="false">
      <c r="A2835" s="0" t="n">
        <v>25</v>
      </c>
      <c r="B2835" s="8" t="s">
        <v>24</v>
      </c>
      <c r="C2835" s="9" t="s">
        <v>25</v>
      </c>
      <c r="D2835" s="9" t="s">
        <v>26</v>
      </c>
      <c r="E2835" s="10" t="n">
        <v>1789</v>
      </c>
      <c r="F2835" s="9" t="s">
        <v>27</v>
      </c>
      <c r="G2835" s="9" t="s">
        <v>27</v>
      </c>
      <c r="H2835" s="11" t="n">
        <v>18</v>
      </c>
      <c r="I2835" s="11" t="s">
        <v>97</v>
      </c>
      <c r="J2835" s="14" t="n">
        <v>30</v>
      </c>
      <c r="K2835" s="14"/>
      <c r="L2835" s="16"/>
      <c r="M2835" s="27" t="n">
        <f aca="false">J2835+(K2835/20)+(L2835/240)</f>
        <v>30</v>
      </c>
      <c r="N2835" s="17" t="s">
        <v>64</v>
      </c>
      <c r="O2835" s="11" t="s">
        <v>98</v>
      </c>
      <c r="P2835" s="28"/>
      <c r="Q2835" s="28" t="n">
        <f aca="false">P2835*$M2835</f>
        <v>0</v>
      </c>
      <c r="R2835" s="28"/>
      <c r="S2835" s="28" t="n">
        <f aca="false">R2835*$M2835</f>
        <v>0</v>
      </c>
      <c r="T2835" s="28"/>
      <c r="U2835" s="28" t="n">
        <f aca="false">T2835*$M2835</f>
        <v>0</v>
      </c>
      <c r="V2835" s="28"/>
      <c r="W2835" s="28" t="n">
        <f aca="false">V2835*$M2835</f>
        <v>0</v>
      </c>
      <c r="X2835" s="29"/>
      <c r="Y2835" s="28" t="n">
        <f aca="false">X2835*$M2835</f>
        <v>0</v>
      </c>
      <c r="Z2835" s="28"/>
      <c r="AA2835" s="28" t="n">
        <f aca="false">Z2835*$M2835</f>
        <v>0</v>
      </c>
      <c r="AB2835" s="28"/>
      <c r="AC2835" s="28" t="n">
        <f aca="false">AB2835*$M2835</f>
        <v>0</v>
      </c>
      <c r="AD2835" s="28"/>
      <c r="AE2835" s="28" t="n">
        <f aca="false">AD2835*$M2835</f>
        <v>0</v>
      </c>
      <c r="AF2835" s="28"/>
      <c r="AG2835" s="28" t="n">
        <f aca="false">AF2835*$M2835</f>
        <v>0</v>
      </c>
      <c r="AH2835" s="28"/>
      <c r="AI2835" s="28" t="n">
        <f aca="false">AH2835*$M2835</f>
        <v>0</v>
      </c>
      <c r="AJ2835" s="28"/>
      <c r="AK2835" s="28" t="n">
        <f aca="false">AJ2835*$M2835</f>
        <v>0</v>
      </c>
      <c r="AL2835" s="28"/>
      <c r="AM2835" s="28" t="n">
        <f aca="false">AL2835*$M2835</f>
        <v>0</v>
      </c>
      <c r="AN2835" s="28"/>
      <c r="AO2835" s="28" t="n">
        <f aca="false">AN2835*$M2835</f>
        <v>0</v>
      </c>
      <c r="AP2835" s="28"/>
      <c r="AQ2835" s="28" t="n">
        <f aca="false">AP2835*$M2835</f>
        <v>0</v>
      </c>
      <c r="AR2835" s="28"/>
      <c r="AS2835" s="28" t="n">
        <f aca="false">AR2835*$M2835</f>
        <v>0</v>
      </c>
      <c r="AT2835" s="28"/>
      <c r="AU2835" s="28" t="n">
        <f aca="false">AT2835*$M2835</f>
        <v>0</v>
      </c>
      <c r="AV2835" s="28"/>
      <c r="AW2835" s="28" t="n">
        <f aca="false">AV2835*$M2835</f>
        <v>0</v>
      </c>
      <c r="AX2835" s="28"/>
      <c r="AY2835" s="28" t="n">
        <f aca="false">AX2835*$M2835</f>
        <v>0</v>
      </c>
      <c r="AZ2835" s="30"/>
      <c r="BA2835" s="11"/>
      <c r="BB2835" s="31" t="n">
        <f aca="false">SUM(Q2835,S2835,U2835,W2835,Y2835,AA2835,AC2835,AE2835,AG2835,AI2835,AK2835,AM2835,AO2835,AQ2835,AS2835,AU2835,AW2835,AY2835)</f>
        <v>0</v>
      </c>
      <c r="BC2835" s="28" t="n">
        <f aca="false">BA2835-BB2835</f>
        <v>0</v>
      </c>
      <c r="BD2835" s="32" t="n">
        <f aca="false">SUM(P2835,R2835,T2835,V2835,X2835,Z2835,AB2835,AD2835,AF2835,AH2835,AJ2835,AL2835,AN2835,AP2835,AR2835,AT2835,AV2835,AX2835)</f>
        <v>0</v>
      </c>
      <c r="BE2835" s="33" t="n">
        <f aca="false">AZ2835-BD2835</f>
        <v>0</v>
      </c>
      <c r="BF2835" s="34" t="n">
        <f aca="false">BD2835*M2835</f>
        <v>0</v>
      </c>
      <c r="BG2835" s="35" t="n">
        <f aca="false">BA2835-BF2835</f>
        <v>0</v>
      </c>
      <c r="BH2835" s="19" t="str">
        <f aca="false">IF(BG2835=0,"",IF(BG2835&lt;&gt;BA2835,"erreur de calcul",IF(BD2835&lt;&gt;0,"pas de prix",IF(M2835&lt;&gt; 0,"pas de quantité","pas de prix, ni de quantité"))))</f>
        <v/>
      </c>
      <c r="BI2835" s="19"/>
    </row>
    <row r="2836" customFormat="false" ht="15" hidden="false" customHeight="false" outlineLevel="0" collapsed="false">
      <c r="A2836" s="0" t="n">
        <v>26</v>
      </c>
      <c r="B2836" s="8" t="s">
        <v>24</v>
      </c>
      <c r="C2836" s="9" t="s">
        <v>25</v>
      </c>
      <c r="D2836" s="9" t="s">
        <v>26</v>
      </c>
      <c r="E2836" s="10" t="n">
        <v>1789</v>
      </c>
      <c r="F2836" s="9" t="s">
        <v>27</v>
      </c>
      <c r="G2836" s="9" t="s">
        <v>27</v>
      </c>
      <c r="H2836" s="11" t="n">
        <v>18</v>
      </c>
      <c r="I2836" s="11" t="s">
        <v>99</v>
      </c>
      <c r="J2836" s="14" t="n">
        <v>12</v>
      </c>
      <c r="K2836" s="14"/>
      <c r="L2836" s="16"/>
      <c r="M2836" s="27" t="n">
        <f aca="false">J2836+(K2836/20)+(L2836/240)</f>
        <v>12</v>
      </c>
      <c r="N2836" s="17" t="s">
        <v>64</v>
      </c>
      <c r="O2836" s="11"/>
      <c r="P2836" s="28" t="n">
        <f aca="false">7077/100</f>
        <v>70.77</v>
      </c>
      <c r="Q2836" s="28" t="n">
        <v>849</v>
      </c>
      <c r="R2836" s="28"/>
      <c r="S2836" s="28" t="n">
        <f aca="false">R2836*$M2836</f>
        <v>0</v>
      </c>
      <c r="T2836" s="28"/>
      <c r="U2836" s="28" t="n">
        <f aca="false">T2836*$M2836</f>
        <v>0</v>
      </c>
      <c r="V2836" s="28"/>
      <c r="W2836" s="28" t="n">
        <f aca="false">V2836*$M2836</f>
        <v>0</v>
      </c>
      <c r="X2836" s="29"/>
      <c r="Y2836" s="28" t="n">
        <v>866</v>
      </c>
      <c r="Z2836" s="28"/>
      <c r="AA2836" s="28" t="n">
        <f aca="false">Z2836*$M2836</f>
        <v>0</v>
      </c>
      <c r="AB2836" s="28"/>
      <c r="AC2836" s="28" t="n">
        <f aca="false">AB2836*$M2836</f>
        <v>0</v>
      </c>
      <c r="AD2836" s="28"/>
      <c r="AE2836" s="28" t="n">
        <f aca="false">AD2836*$M2836</f>
        <v>0</v>
      </c>
      <c r="AF2836" s="28"/>
      <c r="AG2836" s="28" t="n">
        <f aca="false">AF2836*$M2836</f>
        <v>0</v>
      </c>
      <c r="AH2836" s="28"/>
      <c r="AI2836" s="28" t="n">
        <f aca="false">AH2836*$M2836</f>
        <v>0</v>
      </c>
      <c r="AJ2836" s="28"/>
      <c r="AK2836" s="28" t="n">
        <f aca="false">AJ2836*$M2836</f>
        <v>0</v>
      </c>
      <c r="AL2836" s="28"/>
      <c r="AM2836" s="28" t="n">
        <f aca="false">AL2836*$M2836</f>
        <v>0</v>
      </c>
      <c r="AN2836" s="28"/>
      <c r="AO2836" s="28" t="n">
        <f aca="false">AN2836*$M2836</f>
        <v>0</v>
      </c>
      <c r="AP2836" s="28"/>
      <c r="AQ2836" s="28" t="n">
        <f aca="false">AP2836*$M2836</f>
        <v>0</v>
      </c>
      <c r="AR2836" s="28"/>
      <c r="AS2836" s="28" t="n">
        <f aca="false">AR2836*$M2836</f>
        <v>0</v>
      </c>
      <c r="AT2836" s="28"/>
      <c r="AU2836" s="28" t="n">
        <f aca="false">AT2836*$M2836</f>
        <v>0</v>
      </c>
      <c r="AV2836" s="28"/>
      <c r="AW2836" s="28" t="n">
        <f aca="false">AV2836*$M2836</f>
        <v>0</v>
      </c>
      <c r="AX2836" s="28"/>
      <c r="AY2836" s="28" t="n">
        <f aca="false">AX2836*$M2836</f>
        <v>0</v>
      </c>
      <c r="AZ2836" s="30" t="n">
        <f aca="false">14294/100</f>
        <v>142.94</v>
      </c>
      <c r="BA2836" s="11" t="n">
        <v>1715</v>
      </c>
      <c r="BB2836" s="31" t="n">
        <f aca="false">SUM(Q2836,S2836,U2836,W2836,Y2836,AA2836,AC2836,AE2836,AG2836,AI2836,AK2836,AM2836,AO2836,AQ2836,AS2836,AU2836,AW2836,AY2836)</f>
        <v>1715</v>
      </c>
      <c r="BC2836" s="28" t="n">
        <f aca="false">BA2836-BB2836</f>
        <v>0</v>
      </c>
      <c r="BD2836" s="32" t="n">
        <f aca="false">SUM(P2836,R2836,T2836,V2836,X2836,Z2836,AB2836,AD2836,AF2836,AH2836,AJ2836,AL2836,AN2836,AP2836,AR2836,AT2836,AV2836,AX2836)</f>
        <v>70.77</v>
      </c>
      <c r="BE2836" s="33" t="n">
        <f aca="false">AZ2836-BD2836</f>
        <v>72.17</v>
      </c>
      <c r="BF2836" s="34" t="n">
        <f aca="false">BD2836*M2836</f>
        <v>849.24</v>
      </c>
      <c r="BG2836" s="35" t="n">
        <f aca="false">BA2836-BF2836</f>
        <v>865.76</v>
      </c>
      <c r="BH2836" s="19" t="str">
        <f aca="false">IF(BG2836=0,"",IF(BG2836&lt;&gt;BA2836,"erreur de calcul",IF(BD2836&lt;&gt;0,"pas de prix",IF(M2836&lt;&gt; 0,"pas de quantité","pas de prix, ni de quantité"))))</f>
        <v>erreur de calcul</v>
      </c>
      <c r="BI2836" s="19"/>
    </row>
    <row r="2837" customFormat="false" ht="15" hidden="false" customHeight="false" outlineLevel="0" collapsed="false">
      <c r="A2837" s="0" t="n">
        <v>27</v>
      </c>
      <c r="B2837" s="8" t="s">
        <v>24</v>
      </c>
      <c r="C2837" s="9" t="s">
        <v>25</v>
      </c>
      <c r="D2837" s="9" t="s">
        <v>26</v>
      </c>
      <c r="E2837" s="10" t="n">
        <v>1789</v>
      </c>
      <c r="F2837" s="9" t="s">
        <v>27</v>
      </c>
      <c r="G2837" s="9" t="s">
        <v>27</v>
      </c>
      <c r="H2837" s="11" t="n">
        <v>18</v>
      </c>
      <c r="I2837" s="11" t="s">
        <v>100</v>
      </c>
      <c r="J2837" s="14" t="n">
        <v>13</v>
      </c>
      <c r="K2837" s="14"/>
      <c r="L2837" s="16"/>
      <c r="M2837" s="27" t="n">
        <f aca="false">J2837+(K2837/20)+(L2837/240)</f>
        <v>13</v>
      </c>
      <c r="N2837" s="17" t="s">
        <v>64</v>
      </c>
      <c r="O2837" s="11"/>
      <c r="P2837" s="28"/>
      <c r="Q2837" s="28" t="n">
        <f aca="false">P2837*$M2837</f>
        <v>0</v>
      </c>
      <c r="R2837" s="28"/>
      <c r="S2837" s="28" t="n">
        <f aca="false">R2837*$M2837</f>
        <v>0</v>
      </c>
      <c r="T2837" s="28"/>
      <c r="U2837" s="28" t="n">
        <f aca="false">T2837*$M2837</f>
        <v>0</v>
      </c>
      <c r="V2837" s="28"/>
      <c r="W2837" s="28" t="n">
        <f aca="false">V2837*$M2837</f>
        <v>0</v>
      </c>
      <c r="X2837" s="29"/>
      <c r="Y2837" s="28" t="n">
        <f aca="false">X2837*$M2837</f>
        <v>0</v>
      </c>
      <c r="Z2837" s="28"/>
      <c r="AA2837" s="28" t="n">
        <f aca="false">Z2837*$M2837</f>
        <v>0</v>
      </c>
      <c r="AB2837" s="28"/>
      <c r="AC2837" s="28" t="n">
        <f aca="false">AB2837*$M2837</f>
        <v>0</v>
      </c>
      <c r="AD2837" s="28"/>
      <c r="AE2837" s="28" t="n">
        <f aca="false">AD2837*$M2837</f>
        <v>0</v>
      </c>
      <c r="AF2837" s="28"/>
      <c r="AG2837" s="28" t="n">
        <f aca="false">AF2837*$M2837</f>
        <v>0</v>
      </c>
      <c r="AH2837" s="28" t="n">
        <f aca="false">7819/100</f>
        <v>78.19</v>
      </c>
      <c r="AI2837" s="28" t="n">
        <v>1016</v>
      </c>
      <c r="AJ2837" s="28" t="n">
        <f aca="false">10382/100</f>
        <v>103.82</v>
      </c>
      <c r="AK2837" s="28" t="n">
        <v>1350</v>
      </c>
      <c r="AL2837" s="28"/>
      <c r="AM2837" s="28" t="n">
        <f aca="false">AL2837*$M2837</f>
        <v>0</v>
      </c>
      <c r="AN2837" s="28"/>
      <c r="AO2837" s="28" t="n">
        <f aca="false">AN2837*$M2837</f>
        <v>0</v>
      </c>
      <c r="AP2837" s="28"/>
      <c r="AQ2837" s="28" t="n">
        <f aca="false">AP2837*$M2837</f>
        <v>0</v>
      </c>
      <c r="AR2837" s="28"/>
      <c r="AS2837" s="28" t="n">
        <f aca="false">AR2837*$M2837</f>
        <v>0</v>
      </c>
      <c r="AT2837" s="28"/>
      <c r="AU2837" s="28" t="n">
        <f aca="false">AT2837*$M2837</f>
        <v>0</v>
      </c>
      <c r="AV2837" s="28"/>
      <c r="AW2837" s="28" t="n">
        <f aca="false">AV2837*$M2837</f>
        <v>0</v>
      </c>
      <c r="AX2837" s="28"/>
      <c r="AY2837" s="28" t="n">
        <f aca="false">AX2837*$M2837</f>
        <v>0</v>
      </c>
      <c r="AZ2837" s="30" t="n">
        <f aca="false">18201/100</f>
        <v>182.01</v>
      </c>
      <c r="BA2837" s="11" t="n">
        <v>2366</v>
      </c>
      <c r="BB2837" s="31" t="n">
        <f aca="false">SUM(Q2837,S2837,U2837,W2837,Y2837,AA2837,AC2837,AE2837,AG2837,AI2837,AK2837,AM2837,AO2837,AQ2837,AS2837,AU2837,AW2837,AY2837)</f>
        <v>2366</v>
      </c>
      <c r="BC2837" s="28" t="n">
        <f aca="false">BA2837-BB2837</f>
        <v>0</v>
      </c>
      <c r="BD2837" s="32" t="n">
        <f aca="false">SUM(P2837,R2837,T2837,V2837,X2837,Z2837,AB2837,AD2837,AF2837,AH2837,AJ2837,AL2837,AN2837,AP2837,AR2837,AT2837,AV2837,AX2837)</f>
        <v>182.01</v>
      </c>
      <c r="BE2837" s="33" t="n">
        <f aca="false">AZ2837-BD2837</f>
        <v>0</v>
      </c>
      <c r="BF2837" s="34" t="n">
        <f aca="false">BD2837*M2837</f>
        <v>2366.13</v>
      </c>
      <c r="BG2837" s="35" t="n">
        <f aca="false">BA2837-BF2837</f>
        <v>-0.130000000000109</v>
      </c>
      <c r="BH2837" s="19" t="str">
        <f aca="false">IF(BG2837=0,"",IF(BG2837&lt;&gt;BA2837,"erreur de calcul",IF(BD2837&lt;&gt;0,"pas de prix",IF(M2837&lt;&gt; 0,"pas de quantité","pas de prix, ni de quantité"))))</f>
        <v>erreur de calcul</v>
      </c>
      <c r="BI2837" s="19"/>
    </row>
    <row r="2838" customFormat="false" ht="15" hidden="false" customHeight="false" outlineLevel="0" collapsed="false">
      <c r="A2838" s="0" t="n">
        <v>28</v>
      </c>
      <c r="B2838" s="8" t="s">
        <v>24</v>
      </c>
      <c r="C2838" s="9" t="s">
        <v>25</v>
      </c>
      <c r="D2838" s="9" t="s">
        <v>26</v>
      </c>
      <c r="E2838" s="10" t="n">
        <v>1789</v>
      </c>
      <c r="F2838" s="9" t="s">
        <v>27</v>
      </c>
      <c r="G2838" s="9" t="s">
        <v>27</v>
      </c>
      <c r="H2838" s="11" t="n">
        <v>18</v>
      </c>
      <c r="I2838" s="11" t="s">
        <v>101</v>
      </c>
      <c r="J2838" s="14" t="n">
        <v>35</v>
      </c>
      <c r="K2838" s="14"/>
      <c r="L2838" s="16"/>
      <c r="M2838" s="27" t="n">
        <f aca="false">J2838+(K2838/20)+(L2838/240)</f>
        <v>35</v>
      </c>
      <c r="N2838" s="17" t="s">
        <v>64</v>
      </c>
      <c r="O2838" s="11"/>
      <c r="P2838" s="28"/>
      <c r="Q2838" s="28" t="n">
        <f aca="false">P2838*$M2838</f>
        <v>0</v>
      </c>
      <c r="R2838" s="28"/>
      <c r="S2838" s="28" t="n">
        <f aca="false">R2838*$M2838</f>
        <v>0</v>
      </c>
      <c r="T2838" s="28"/>
      <c r="U2838" s="28" t="n">
        <f aca="false">T2838*$M2838</f>
        <v>0</v>
      </c>
      <c r="V2838" s="28"/>
      <c r="W2838" s="28" t="n">
        <f aca="false">V2838*$M2838</f>
        <v>0</v>
      </c>
      <c r="X2838" s="29"/>
      <c r="Y2838" s="28" t="n">
        <f aca="false">X2838*$M2838</f>
        <v>0</v>
      </c>
      <c r="Z2838" s="28"/>
      <c r="AA2838" s="28" t="n">
        <f aca="false">Z2838*$M2838</f>
        <v>0</v>
      </c>
      <c r="AB2838" s="28"/>
      <c r="AC2838" s="28" t="n">
        <f aca="false">AB2838*$M2838</f>
        <v>0</v>
      </c>
      <c r="AD2838" s="28"/>
      <c r="AE2838" s="28" t="n">
        <f aca="false">AD2838*$M2838</f>
        <v>0</v>
      </c>
      <c r="AF2838" s="28"/>
      <c r="AG2838" s="28" t="n">
        <f aca="false">AF2838*$M2838</f>
        <v>0</v>
      </c>
      <c r="AH2838" s="28"/>
      <c r="AI2838" s="28" t="n">
        <f aca="false">AH2838*$M2838</f>
        <v>0</v>
      </c>
      <c r="AJ2838" s="28" t="n">
        <f aca="false">65277/100</f>
        <v>652.77</v>
      </c>
      <c r="AK2838" s="28" t="n">
        <v>22847</v>
      </c>
      <c r="AL2838" s="28"/>
      <c r="AM2838" s="28" t="n">
        <f aca="false">AL2838*$M2838</f>
        <v>0</v>
      </c>
      <c r="AN2838" s="28"/>
      <c r="AO2838" s="28" t="n">
        <f aca="false">AN2838*$M2838</f>
        <v>0</v>
      </c>
      <c r="AP2838" s="28"/>
      <c r="AQ2838" s="28" t="n">
        <f aca="false">AP2838*$M2838</f>
        <v>0</v>
      </c>
      <c r="AR2838" s="28"/>
      <c r="AS2838" s="28" t="n">
        <f aca="false">AR2838*$M2838</f>
        <v>0</v>
      </c>
      <c r="AT2838" s="28"/>
      <c r="AU2838" s="28" t="n">
        <f aca="false">AT2838*$M2838</f>
        <v>0</v>
      </c>
      <c r="AV2838" s="28"/>
      <c r="AW2838" s="28" t="n">
        <f aca="false">AV2838*$M2838</f>
        <v>0</v>
      </c>
      <c r="AX2838" s="28"/>
      <c r="AY2838" s="28" t="n">
        <f aca="false">AX2838*$M2838</f>
        <v>0</v>
      </c>
      <c r="AZ2838" s="30" t="n">
        <f aca="false">65277/100</f>
        <v>652.77</v>
      </c>
      <c r="BA2838" s="11" t="n">
        <v>22847</v>
      </c>
      <c r="BB2838" s="31" t="n">
        <f aca="false">SUM(Q2838,S2838,U2838,W2838,Y2838,AA2838,AC2838,AE2838,AG2838,AI2838,AK2838,AM2838,AO2838,AQ2838,AS2838,AU2838,AW2838,AY2838)</f>
        <v>22847</v>
      </c>
      <c r="BC2838" s="28" t="n">
        <f aca="false">BA2838-BB2838</f>
        <v>0</v>
      </c>
      <c r="BD2838" s="32" t="n">
        <f aca="false">SUM(P2838,R2838,T2838,V2838,X2838,Z2838,AB2838,AD2838,AF2838,AH2838,AJ2838,AL2838,AN2838,AP2838,AR2838,AT2838,AV2838,AX2838)</f>
        <v>652.77</v>
      </c>
      <c r="BE2838" s="33" t="n">
        <f aca="false">AZ2838-BD2838</f>
        <v>0</v>
      </c>
      <c r="BF2838" s="34" t="n">
        <f aca="false">BD2838*M2838</f>
        <v>22846.95</v>
      </c>
      <c r="BG2838" s="35" t="n">
        <f aca="false">BA2838-BF2838</f>
        <v>0.0499999999992724</v>
      </c>
      <c r="BH2838" s="19" t="str">
        <f aca="false">IF(BG2838=0,"",IF(BG2838&lt;&gt;BA2838,"erreur de calcul",IF(BD2838&lt;&gt;0,"pas de prix",IF(M2838&lt;&gt; 0,"pas de quantité","pas de prix, ni de quantité"))))</f>
        <v>erreur de calcul</v>
      </c>
      <c r="BI2838" s="19"/>
    </row>
    <row r="2839" customFormat="false" ht="16.65" hidden="false" customHeight="false" outlineLevel="0" collapsed="false">
      <c r="A2839" s="0" t="n">
        <v>29</v>
      </c>
      <c r="B2839" s="8" t="s">
        <v>24</v>
      </c>
      <c r="C2839" s="9" t="s">
        <v>25</v>
      </c>
      <c r="D2839" s="9" t="s">
        <v>26</v>
      </c>
      <c r="E2839" s="10" t="n">
        <v>1789</v>
      </c>
      <c r="F2839" s="9" t="s">
        <v>27</v>
      </c>
      <c r="G2839" s="9" t="s">
        <v>27</v>
      </c>
      <c r="H2839" s="11" t="n">
        <v>18</v>
      </c>
      <c r="I2839" s="11" t="s">
        <v>102</v>
      </c>
      <c r="J2839" s="14" t="n">
        <v>47</v>
      </c>
      <c r="K2839" s="14"/>
      <c r="L2839" s="16"/>
      <c r="M2839" s="27" t="n">
        <f aca="false">J2839+(K2839/20)+(L2839/240)</f>
        <v>47</v>
      </c>
      <c r="N2839" s="17" t="s">
        <v>64</v>
      </c>
      <c r="O2839" s="11"/>
      <c r="P2839" s="28" t="n">
        <f aca="false">8467/100</f>
        <v>84.67</v>
      </c>
      <c r="Q2839" s="28" t="n">
        <v>3979</v>
      </c>
      <c r="R2839" s="28"/>
      <c r="S2839" s="28" t="n">
        <f aca="false">R2839*$M2839</f>
        <v>0</v>
      </c>
      <c r="T2839" s="28"/>
      <c r="U2839" s="28" t="n">
        <f aca="false">T2839*$M2839</f>
        <v>0</v>
      </c>
      <c r="V2839" s="28"/>
      <c r="W2839" s="28" t="n">
        <f aca="false">V2839*$M2839</f>
        <v>0</v>
      </c>
      <c r="X2839" s="29"/>
      <c r="Y2839" s="28" t="n">
        <f aca="false">X2839*$M2839</f>
        <v>0</v>
      </c>
      <c r="Z2839" s="28"/>
      <c r="AA2839" s="28" t="n">
        <f aca="false">Z2839*$M2839</f>
        <v>0</v>
      </c>
      <c r="AB2839" s="28"/>
      <c r="AC2839" s="28" t="n">
        <f aca="false">AB2839*$M2839</f>
        <v>0</v>
      </c>
      <c r="AD2839" s="28"/>
      <c r="AE2839" s="28" t="n">
        <f aca="false">AD2839*$M2839</f>
        <v>0</v>
      </c>
      <c r="AF2839" s="28"/>
      <c r="AG2839" s="28" t="n">
        <f aca="false">AF2839*$M2839</f>
        <v>0</v>
      </c>
      <c r="AH2839" s="28"/>
      <c r="AI2839" s="28" t="n">
        <f aca="false">AH2839*$M2839</f>
        <v>0</v>
      </c>
      <c r="AJ2839" s="28"/>
      <c r="AK2839" s="28" t="n">
        <f aca="false">AJ2839*$M2839</f>
        <v>0</v>
      </c>
      <c r="AL2839" s="28"/>
      <c r="AM2839" s="28" t="n">
        <f aca="false">AL2839*$M2839</f>
        <v>0</v>
      </c>
      <c r="AN2839" s="28"/>
      <c r="AO2839" s="28" t="n">
        <f aca="false">AN2839*$M2839</f>
        <v>0</v>
      </c>
      <c r="AP2839" s="28"/>
      <c r="AQ2839" s="28" t="n">
        <f aca="false">AP2839*$M2839</f>
        <v>0</v>
      </c>
      <c r="AR2839" s="28"/>
      <c r="AS2839" s="28" t="n">
        <f aca="false">AR2839*$M2839</f>
        <v>0</v>
      </c>
      <c r="AT2839" s="28"/>
      <c r="AU2839" s="28" t="n">
        <f aca="false">AT2839*$M2839</f>
        <v>0</v>
      </c>
      <c r="AV2839" s="28"/>
      <c r="AW2839" s="28" t="n">
        <f aca="false">AV2839*$M2839</f>
        <v>0</v>
      </c>
      <c r="AX2839" s="28"/>
      <c r="AY2839" s="28" t="n">
        <f aca="false">AX2839*$M2839</f>
        <v>0</v>
      </c>
      <c r="AZ2839" s="30" t="n">
        <f aca="false">8467/100</f>
        <v>84.67</v>
      </c>
      <c r="BA2839" s="11" t="n">
        <v>3979</v>
      </c>
      <c r="BB2839" s="31" t="n">
        <f aca="false">SUM(Q2839,S2839,U2839,W2839,Y2839,AA2839,AC2839,AE2839,AG2839,AI2839,AK2839,AM2839,AO2839,AQ2839,AS2839,AU2839,AW2839,AY2839)</f>
        <v>3979</v>
      </c>
      <c r="BC2839" s="28" t="n">
        <f aca="false">BA2839-BB2839</f>
        <v>0</v>
      </c>
      <c r="BD2839" s="32" t="n">
        <f aca="false">SUM(P2839,R2839,T2839,V2839,X2839,Z2839,AB2839,AD2839,AF2839,AH2839,AJ2839,AL2839,AN2839,AP2839,AR2839,AT2839,AV2839,AX2839)</f>
        <v>84.67</v>
      </c>
      <c r="BE2839" s="33" t="n">
        <f aca="false">AZ2839-BD2839</f>
        <v>0</v>
      </c>
      <c r="BF2839" s="34" t="n">
        <f aca="false">BD2839*M2839</f>
        <v>3979.49</v>
      </c>
      <c r="BG2839" s="35" t="n">
        <f aca="false">BA2839-BF2839</f>
        <v>-0.490000000000237</v>
      </c>
      <c r="BH2839" s="19" t="str">
        <f aca="false">IF(BG2839=0,"",IF(BG2839&lt;&gt;BA2839,"erreur de calcul",IF(BD2839&lt;&gt;0,"pas de prix",IF(M2839&lt;&gt; 0,"pas de quantité","pas de prix, ni de quantité"))))</f>
        <v>erreur de calcul</v>
      </c>
      <c r="BI2839" s="19"/>
    </row>
    <row r="2840" customFormat="false" ht="15" hidden="false" customHeight="false" outlineLevel="0" collapsed="false">
      <c r="A2840" s="0" t="n">
        <v>30</v>
      </c>
      <c r="B2840" s="8" t="s">
        <v>24</v>
      </c>
      <c r="C2840" s="9" t="s">
        <v>25</v>
      </c>
      <c r="D2840" s="9" t="s">
        <v>26</v>
      </c>
      <c r="E2840" s="10" t="n">
        <v>1789</v>
      </c>
      <c r="F2840" s="9" t="s">
        <v>27</v>
      </c>
      <c r="G2840" s="9" t="s">
        <v>27</v>
      </c>
      <c r="H2840" s="11" t="n">
        <v>18</v>
      </c>
      <c r="I2840" s="11" t="s">
        <v>103</v>
      </c>
      <c r="J2840" s="14" t="n">
        <v>475</v>
      </c>
      <c r="K2840" s="14"/>
      <c r="L2840" s="16"/>
      <c r="M2840" s="27" t="n">
        <f aca="false">J2840+(K2840/20)+(L2840/240)</f>
        <v>475</v>
      </c>
      <c r="N2840" s="17" t="s">
        <v>64</v>
      </c>
      <c r="O2840" s="11"/>
      <c r="P2840" s="28"/>
      <c r="Q2840" s="28" t="n">
        <f aca="false">P2840*$M2840</f>
        <v>0</v>
      </c>
      <c r="R2840" s="28"/>
      <c r="S2840" s="28" t="n">
        <f aca="false">R2840*$M2840</f>
        <v>0</v>
      </c>
      <c r="T2840" s="28" t="n">
        <f aca="false">1746/100</f>
        <v>17.46</v>
      </c>
      <c r="U2840" s="28" t="n">
        <v>8293</v>
      </c>
      <c r="V2840" s="28"/>
      <c r="W2840" s="28" t="n">
        <f aca="false">V2840*$M2840</f>
        <v>0</v>
      </c>
      <c r="X2840" s="29"/>
      <c r="Y2840" s="28" t="n">
        <f aca="false">X2840*$M2840</f>
        <v>0</v>
      </c>
      <c r="Z2840" s="28"/>
      <c r="AA2840" s="28" t="n">
        <f aca="false">Z2840*$M2840</f>
        <v>0</v>
      </c>
      <c r="AB2840" s="28"/>
      <c r="AC2840" s="28" t="n">
        <f aca="false">AB2840*$M2840</f>
        <v>0</v>
      </c>
      <c r="AD2840" s="28"/>
      <c r="AE2840" s="28" t="n">
        <f aca="false">AD2840*$M2840</f>
        <v>0</v>
      </c>
      <c r="AF2840" s="28"/>
      <c r="AG2840" s="28" t="n">
        <f aca="false">AF2840*$M2840</f>
        <v>0</v>
      </c>
      <c r="AH2840" s="28" t="n">
        <f aca="false">1667/100</f>
        <v>16.67</v>
      </c>
      <c r="AI2840" s="28" t="n">
        <v>7918</v>
      </c>
      <c r="AJ2840" s="28"/>
      <c r="AK2840" s="28" t="n">
        <f aca="false">AJ2840*$M2840</f>
        <v>0</v>
      </c>
      <c r="AL2840" s="28"/>
      <c r="AM2840" s="28" t="n">
        <f aca="false">AL2840*$M2840</f>
        <v>0</v>
      </c>
      <c r="AN2840" s="28"/>
      <c r="AO2840" s="28" t="n">
        <f aca="false">AN2840*$M2840</f>
        <v>0</v>
      </c>
      <c r="AP2840" s="28"/>
      <c r="AQ2840" s="28" t="n">
        <f aca="false">AP2840*$M2840</f>
        <v>0</v>
      </c>
      <c r="AR2840" s="28"/>
      <c r="AS2840" s="28" t="n">
        <f aca="false">AR2840*$M2840</f>
        <v>0</v>
      </c>
      <c r="AT2840" s="28"/>
      <c r="AU2840" s="28" t="n">
        <f aca="false">AT2840*$M2840</f>
        <v>0</v>
      </c>
      <c r="AV2840" s="28"/>
      <c r="AW2840" s="28" t="n">
        <f aca="false">AV2840*$M2840</f>
        <v>0</v>
      </c>
      <c r="AX2840" s="28"/>
      <c r="AY2840" s="28" t="n">
        <f aca="false">AX2840*$M2840</f>
        <v>0</v>
      </c>
      <c r="AZ2840" s="30" t="n">
        <f aca="false">3413/100</f>
        <v>34.13</v>
      </c>
      <c r="BA2840" s="11" t="n">
        <v>16211</v>
      </c>
      <c r="BB2840" s="31" t="n">
        <f aca="false">SUM(Q2840,S2840,U2840,W2840,Y2840,AA2840,AC2840,AE2840,AG2840,AI2840,AK2840,AM2840,AO2840,AQ2840,AS2840,AU2840,AW2840,AY2840)</f>
        <v>16211</v>
      </c>
      <c r="BC2840" s="28" t="n">
        <f aca="false">BA2840-BB2840</f>
        <v>0</v>
      </c>
      <c r="BD2840" s="32" t="n">
        <f aca="false">SUM(P2840,R2840,T2840,V2840,X2840,Z2840,AB2840,AD2840,AF2840,AH2840,AJ2840,AL2840,AN2840,AP2840,AR2840,AT2840,AV2840,AX2840)</f>
        <v>34.13</v>
      </c>
      <c r="BE2840" s="33" t="n">
        <f aca="false">AZ2840-BD2840</f>
        <v>0</v>
      </c>
      <c r="BF2840" s="34" t="n">
        <f aca="false">BD2840*M2840</f>
        <v>16211.75</v>
      </c>
      <c r="BG2840" s="35" t="n">
        <f aca="false">BA2840-BF2840</f>
        <v>-0.750000000001819</v>
      </c>
      <c r="BH2840" s="19" t="str">
        <f aca="false">IF(BG2840=0,"",IF(BG2840&lt;&gt;BA2840,"erreur de calcul",IF(BD2840&lt;&gt;0,"pas de prix",IF(M2840&lt;&gt; 0,"pas de quantité","pas de prix, ni de quantité"))))</f>
        <v>erreur de calcul</v>
      </c>
      <c r="BI2840" s="19"/>
    </row>
    <row r="2841" customFormat="false" ht="15" hidden="false" customHeight="false" outlineLevel="0" collapsed="false">
      <c r="A2841" s="0" t="n">
        <v>31</v>
      </c>
      <c r="B2841" s="8" t="s">
        <v>24</v>
      </c>
      <c r="C2841" s="9" t="s">
        <v>25</v>
      </c>
      <c r="D2841" s="9" t="s">
        <v>26</v>
      </c>
      <c r="E2841" s="10" t="n">
        <v>1789</v>
      </c>
      <c r="F2841" s="9" t="s">
        <v>27</v>
      </c>
      <c r="G2841" s="9" t="s">
        <v>27</v>
      </c>
      <c r="H2841" s="11" t="n">
        <v>18</v>
      </c>
      <c r="I2841" s="11" t="s">
        <v>104</v>
      </c>
      <c r="J2841" s="14" t="n">
        <v>310</v>
      </c>
      <c r="K2841" s="14"/>
      <c r="L2841" s="16"/>
      <c r="M2841" s="27" t="n">
        <f aca="false">J2841+(K2841/20)+(L2841/240)</f>
        <v>310</v>
      </c>
      <c r="N2841" s="17" t="s">
        <v>64</v>
      </c>
      <c r="O2841" s="11"/>
      <c r="P2841" s="28"/>
      <c r="Q2841" s="28" t="n">
        <f aca="false">P2841*$M2841</f>
        <v>0</v>
      </c>
      <c r="R2841" s="28"/>
      <c r="S2841" s="28" t="n">
        <f aca="false">R2841*$M2841</f>
        <v>0</v>
      </c>
      <c r="T2841" s="28" t="n">
        <f aca="false">1087/100</f>
        <v>10.87</v>
      </c>
      <c r="U2841" s="28" t="n">
        <v>3370</v>
      </c>
      <c r="V2841" s="28" t="n">
        <f aca="false">285/100</f>
        <v>2.85</v>
      </c>
      <c r="W2841" s="28" t="n">
        <v>883</v>
      </c>
      <c r="X2841" s="29"/>
      <c r="Y2841" s="28" t="n">
        <f aca="false">X2841*$M2841</f>
        <v>0</v>
      </c>
      <c r="Z2841" s="28"/>
      <c r="AA2841" s="28" t="n">
        <f aca="false">Z2841*$M2841</f>
        <v>0</v>
      </c>
      <c r="AB2841" s="28"/>
      <c r="AC2841" s="28" t="n">
        <f aca="false">AB2841*$M2841</f>
        <v>0</v>
      </c>
      <c r="AD2841" s="28"/>
      <c r="AE2841" s="28" t="n">
        <f aca="false">AD2841*$M2841</f>
        <v>0</v>
      </c>
      <c r="AF2841" s="28"/>
      <c r="AG2841" s="28" t="n">
        <f aca="false">AF2841*$M2841</f>
        <v>0</v>
      </c>
      <c r="AH2841" s="28"/>
      <c r="AI2841" s="28" t="n">
        <f aca="false">AH2841*$M2841</f>
        <v>0</v>
      </c>
      <c r="AJ2841" s="28"/>
      <c r="AK2841" s="28" t="n">
        <f aca="false">AJ2841*$M2841</f>
        <v>0</v>
      </c>
      <c r="AL2841" s="28"/>
      <c r="AM2841" s="28" t="n">
        <f aca="false">AL2841*$M2841</f>
        <v>0</v>
      </c>
      <c r="AN2841" s="28"/>
      <c r="AO2841" s="28" t="n">
        <f aca="false">AN2841*$M2841</f>
        <v>0</v>
      </c>
      <c r="AP2841" s="28"/>
      <c r="AQ2841" s="28" t="n">
        <f aca="false">AP2841*$M2841</f>
        <v>0</v>
      </c>
      <c r="AR2841" s="28"/>
      <c r="AS2841" s="28" t="n">
        <f aca="false">AR2841*$M2841</f>
        <v>0</v>
      </c>
      <c r="AT2841" s="28"/>
      <c r="AU2841" s="28" t="n">
        <f aca="false">AT2841*$M2841</f>
        <v>0</v>
      </c>
      <c r="AV2841" s="28"/>
      <c r="AW2841" s="28" t="n">
        <f aca="false">AV2841*$M2841</f>
        <v>0</v>
      </c>
      <c r="AX2841" s="28"/>
      <c r="AY2841" s="28" t="n">
        <f aca="false">AX2841*$M2841</f>
        <v>0</v>
      </c>
      <c r="AZ2841" s="30" t="n">
        <f aca="false">1372/100</f>
        <v>13.72</v>
      </c>
      <c r="BA2841" s="11" t="n">
        <v>4253</v>
      </c>
      <c r="BB2841" s="31" t="n">
        <f aca="false">SUM(Q2841,S2841,U2841,W2841,Y2841,AA2841,AC2841,AE2841,AG2841,AI2841,AK2841,AM2841,AO2841,AQ2841,AS2841,AU2841,AW2841,AY2841)</f>
        <v>4253</v>
      </c>
      <c r="BC2841" s="28" t="n">
        <f aca="false">BA2841-BB2841</f>
        <v>0</v>
      </c>
      <c r="BD2841" s="32" t="n">
        <f aca="false">SUM(P2841,R2841,T2841,V2841,X2841,Z2841,AB2841,AD2841,AF2841,AH2841,AJ2841,AL2841,AN2841,AP2841,AR2841,AT2841,AV2841,AX2841)</f>
        <v>13.72</v>
      </c>
      <c r="BE2841" s="33" t="n">
        <f aca="false">AZ2841-BD2841</f>
        <v>0</v>
      </c>
      <c r="BF2841" s="34" t="n">
        <f aca="false">BD2841*M2841</f>
        <v>4253.2</v>
      </c>
      <c r="BG2841" s="35" t="n">
        <f aca="false">BA2841-BF2841</f>
        <v>-0.199999999999818</v>
      </c>
      <c r="BH2841" s="19" t="str">
        <f aca="false">IF(BG2841=0,"",IF(BG2841&lt;&gt;BA2841,"erreur de calcul",IF(BD2841&lt;&gt;0,"pas de prix",IF(M2841&lt;&gt; 0,"pas de quantité","pas de prix, ni de quantité"))))</f>
        <v>erreur de calcul</v>
      </c>
      <c r="BI2841" s="19"/>
    </row>
    <row r="2842" customFormat="false" ht="15" hidden="false" customHeight="false" outlineLevel="0" collapsed="false">
      <c r="A2842" s="0" t="n">
        <v>32</v>
      </c>
      <c r="B2842" s="8" t="s">
        <v>24</v>
      </c>
      <c r="C2842" s="9" t="s">
        <v>25</v>
      </c>
      <c r="D2842" s="9" t="s">
        <v>26</v>
      </c>
      <c r="E2842" s="10" t="n">
        <v>1789</v>
      </c>
      <c r="F2842" s="9" t="s">
        <v>27</v>
      </c>
      <c r="G2842" s="9" t="s">
        <v>27</v>
      </c>
      <c r="H2842" s="11" t="n">
        <v>18</v>
      </c>
      <c r="I2842" s="11" t="s">
        <v>105</v>
      </c>
      <c r="J2842" s="14" t="n">
        <v>570</v>
      </c>
      <c r="K2842" s="14"/>
      <c r="L2842" s="16"/>
      <c r="M2842" s="27" t="n">
        <f aca="false">J2842+(K2842/20)+(L2842/240)</f>
        <v>570</v>
      </c>
      <c r="N2842" s="17" t="s">
        <v>64</v>
      </c>
      <c r="O2842" s="11"/>
      <c r="P2842" s="28"/>
      <c r="Q2842" s="28" t="n">
        <f aca="false">P2842*$M2842</f>
        <v>0</v>
      </c>
      <c r="R2842" s="28"/>
      <c r="S2842" s="28" t="n">
        <f aca="false">R2842*$M2842</f>
        <v>0</v>
      </c>
      <c r="T2842" s="28" t="n">
        <f aca="false">7423/100</f>
        <v>74.23</v>
      </c>
      <c r="U2842" s="28" t="n">
        <v>42311</v>
      </c>
      <c r="V2842" s="28" t="n">
        <f aca="false">798/100</f>
        <v>7.98</v>
      </c>
      <c r="W2842" s="28" t="n">
        <v>4549</v>
      </c>
      <c r="X2842" s="29" t="n">
        <f aca="false">2068/100</f>
        <v>20.68</v>
      </c>
      <c r="Y2842" s="28" t="n">
        <v>8368</v>
      </c>
      <c r="Z2842" s="28"/>
      <c r="AA2842" s="28" t="n">
        <f aca="false">Z2842*$M2842</f>
        <v>0</v>
      </c>
      <c r="AB2842" s="28" t="n">
        <f aca="false">226/100</f>
        <v>2.26</v>
      </c>
      <c r="AC2842" s="28" t="n">
        <v>1288</v>
      </c>
      <c r="AD2842" s="28"/>
      <c r="AE2842" s="28" t="n">
        <f aca="false">AD2842*$M2842</f>
        <v>0</v>
      </c>
      <c r="AF2842" s="28"/>
      <c r="AG2842" s="28" t="n">
        <f aca="false">AF2842*$M2842</f>
        <v>0</v>
      </c>
      <c r="AH2842" s="28"/>
      <c r="AI2842" s="28" t="n">
        <f aca="false">AH2842*$M2842</f>
        <v>0</v>
      </c>
      <c r="AJ2842" s="28"/>
      <c r="AK2842" s="28" t="n">
        <f aca="false">AJ2842*$M2842</f>
        <v>0</v>
      </c>
      <c r="AL2842" s="28"/>
      <c r="AM2842" s="28" t="n">
        <f aca="false">AL2842*$M2842</f>
        <v>0</v>
      </c>
      <c r="AN2842" s="28"/>
      <c r="AO2842" s="28" t="n">
        <f aca="false">AN2842*$M2842</f>
        <v>0</v>
      </c>
      <c r="AP2842" s="28"/>
      <c r="AQ2842" s="28" t="n">
        <f aca="false">AP2842*$M2842</f>
        <v>0</v>
      </c>
      <c r="AR2842" s="28"/>
      <c r="AS2842" s="28" t="n">
        <f aca="false">AR2842*$M2842</f>
        <v>0</v>
      </c>
      <c r="AT2842" s="28"/>
      <c r="AU2842" s="28" t="n">
        <f aca="false">AT2842*$M2842</f>
        <v>0</v>
      </c>
      <c r="AV2842" s="28"/>
      <c r="AW2842" s="28" t="n">
        <f aca="false">AV2842*$M2842</f>
        <v>0</v>
      </c>
      <c r="AX2842" s="28"/>
      <c r="AY2842" s="28" t="n">
        <f aca="false">AX2842*$M2842</f>
        <v>0</v>
      </c>
      <c r="AZ2842" s="30" t="n">
        <f aca="false">10515/100</f>
        <v>105.15</v>
      </c>
      <c r="BA2842" s="11" t="n">
        <v>56516</v>
      </c>
      <c r="BB2842" s="31" t="n">
        <f aca="false">SUM(Q2842,S2842,U2842,W2842,Y2842,AA2842,AC2842,AE2842,AG2842,AI2842,AK2842,AM2842,AO2842,AQ2842,AS2842,AU2842,AW2842,AY2842)</f>
        <v>56516</v>
      </c>
      <c r="BC2842" s="28" t="n">
        <f aca="false">BA2842-BB2842</f>
        <v>0</v>
      </c>
      <c r="BD2842" s="32" t="n">
        <f aca="false">SUM(P2842,R2842,T2842,V2842,X2842,Z2842,AB2842,AD2842,AF2842,AH2842,AJ2842,AL2842,AN2842,AP2842,AR2842,AT2842,AV2842,AX2842)</f>
        <v>105.15</v>
      </c>
      <c r="BE2842" s="33" t="n">
        <f aca="false">AZ2842-BD2842</f>
        <v>0</v>
      </c>
      <c r="BF2842" s="34" t="n">
        <f aca="false">BD2842*M2842</f>
        <v>59935.5</v>
      </c>
      <c r="BG2842" s="35" t="n">
        <f aca="false">BA2842-BF2842</f>
        <v>-3419.5</v>
      </c>
      <c r="BH2842" s="19" t="str">
        <f aca="false">IF(BG2842=0,"",IF(BG2842&lt;&gt;BA2842,"erreur de calcul",IF(BD2842&lt;&gt;0,"pas de prix",IF(M2842&lt;&gt; 0,"pas de quantité","pas de prix, ni de quantité"))))</f>
        <v>erreur de calcul</v>
      </c>
      <c r="BI2842" s="19"/>
    </row>
    <row r="2843" customFormat="false" ht="15" hidden="false" customHeight="false" outlineLevel="0" collapsed="false">
      <c r="A2843" s="0" t="n">
        <v>33</v>
      </c>
      <c r="B2843" s="8" t="s">
        <v>24</v>
      </c>
      <c r="C2843" s="9" t="s">
        <v>25</v>
      </c>
      <c r="D2843" s="9" t="s">
        <v>26</v>
      </c>
      <c r="E2843" s="10" t="n">
        <v>1789</v>
      </c>
      <c r="F2843" s="9" t="s">
        <v>27</v>
      </c>
      <c r="G2843" s="9" t="s">
        <v>27</v>
      </c>
      <c r="H2843" s="11" t="n">
        <v>18</v>
      </c>
      <c r="I2843" s="11" t="s">
        <v>106</v>
      </c>
      <c r="J2843" s="14"/>
      <c r="K2843" s="14" t="n">
        <v>40</v>
      </c>
      <c r="L2843" s="16"/>
      <c r="M2843" s="27" t="n">
        <f aca="false">J2843+(K2843/20)+(L2843/240)</f>
        <v>2</v>
      </c>
      <c r="N2843" s="17" t="s">
        <v>66</v>
      </c>
      <c r="O2843" s="11"/>
      <c r="P2843" s="28"/>
      <c r="Q2843" s="28" t="n">
        <f aca="false">P2843*$M2843</f>
        <v>0</v>
      </c>
      <c r="R2843" s="28"/>
      <c r="S2843" s="28" t="n">
        <f aca="false">R2843*$M2843</f>
        <v>0</v>
      </c>
      <c r="T2843" s="28"/>
      <c r="U2843" s="28" t="n">
        <f aca="false">T2843*$M2843</f>
        <v>0</v>
      </c>
      <c r="V2843" s="28" t="n">
        <v>892</v>
      </c>
      <c r="W2843" s="28" t="n">
        <v>1784</v>
      </c>
      <c r="X2843" s="29"/>
      <c r="Y2843" s="28" t="n">
        <f aca="false">X2843*$M2843</f>
        <v>0</v>
      </c>
      <c r="Z2843" s="28"/>
      <c r="AA2843" s="28" t="n">
        <f aca="false">Z2843*$M2843</f>
        <v>0</v>
      </c>
      <c r="AB2843" s="28"/>
      <c r="AC2843" s="28" t="n">
        <f aca="false">AB2843*$M2843</f>
        <v>0</v>
      </c>
      <c r="AD2843" s="28"/>
      <c r="AE2843" s="28" t="n">
        <f aca="false">AD2843*$M2843</f>
        <v>0</v>
      </c>
      <c r="AF2843" s="28"/>
      <c r="AG2843" s="28" t="n">
        <f aca="false">AF2843*$M2843</f>
        <v>0</v>
      </c>
      <c r="AH2843" s="28" t="n">
        <v>1961</v>
      </c>
      <c r="AI2843" s="28" t="n">
        <v>3922</v>
      </c>
      <c r="AJ2843" s="28"/>
      <c r="AK2843" s="28" t="n">
        <f aca="false">AJ2843*$M2843</f>
        <v>0</v>
      </c>
      <c r="AL2843" s="28"/>
      <c r="AM2843" s="28" t="n">
        <f aca="false">AL2843*$M2843</f>
        <v>0</v>
      </c>
      <c r="AN2843" s="28"/>
      <c r="AO2843" s="28" t="n">
        <f aca="false">AN2843*$M2843</f>
        <v>0</v>
      </c>
      <c r="AP2843" s="28"/>
      <c r="AQ2843" s="28" t="n">
        <f aca="false">AP2843*$M2843</f>
        <v>0</v>
      </c>
      <c r="AR2843" s="28"/>
      <c r="AS2843" s="28" t="n">
        <f aca="false">AR2843*$M2843</f>
        <v>0</v>
      </c>
      <c r="AT2843" s="28"/>
      <c r="AU2843" s="28" t="n">
        <f aca="false">AT2843*$M2843</f>
        <v>0</v>
      </c>
      <c r="AV2843" s="28"/>
      <c r="AW2843" s="28" t="n">
        <f aca="false">AV2843*$M2843</f>
        <v>0</v>
      </c>
      <c r="AX2843" s="28"/>
      <c r="AY2843" s="28" t="n">
        <f aca="false">AX2843*$M2843</f>
        <v>0</v>
      </c>
      <c r="AZ2843" s="30" t="n">
        <v>2853</v>
      </c>
      <c r="BA2843" s="11" t="n">
        <v>5706</v>
      </c>
      <c r="BB2843" s="31" t="n">
        <f aca="false">SUM(Q2843,S2843,U2843,W2843,Y2843,AA2843,AC2843,AE2843,AG2843,AI2843,AK2843,AM2843,AO2843,AQ2843,AS2843,AU2843,AW2843,AY2843)</f>
        <v>5706</v>
      </c>
      <c r="BC2843" s="28" t="n">
        <f aca="false">BA2843-BB2843</f>
        <v>0</v>
      </c>
      <c r="BD2843" s="32" t="n">
        <f aca="false">SUM(P2843,R2843,T2843,V2843,X2843,Z2843,AB2843,AD2843,AF2843,AH2843,AJ2843,AL2843,AN2843,AP2843,AR2843,AT2843,AV2843,AX2843)</f>
        <v>2853</v>
      </c>
      <c r="BE2843" s="33" t="n">
        <f aca="false">AZ2843-BD2843</f>
        <v>0</v>
      </c>
      <c r="BF2843" s="34" t="n">
        <f aca="false">BD2843*M2843</f>
        <v>5706</v>
      </c>
      <c r="BG2843" s="35" t="n">
        <f aca="false">BA2843-BF2843</f>
        <v>0</v>
      </c>
      <c r="BH2843" s="19" t="str">
        <f aca="false">IF(BG2843=0,"",IF(BG2843&lt;&gt;BA2843,"erreur de calcul",IF(BD2843&lt;&gt;0,"pas de prix",IF(M2843&lt;&gt; 0,"pas de quantité","pas de prix, ni de quantité"))))</f>
        <v/>
      </c>
      <c r="BI2843" s="19"/>
    </row>
    <row r="2844" customFormat="false" ht="15" hidden="false" customHeight="false" outlineLevel="0" collapsed="false">
      <c r="A2844" s="0" t="n">
        <v>34</v>
      </c>
      <c r="B2844" s="8" t="s">
        <v>24</v>
      </c>
      <c r="C2844" s="9" t="s">
        <v>25</v>
      </c>
      <c r="D2844" s="9" t="s">
        <v>26</v>
      </c>
      <c r="E2844" s="10" t="n">
        <v>1789</v>
      </c>
      <c r="F2844" s="9" t="s">
        <v>27</v>
      </c>
      <c r="G2844" s="9" t="s">
        <v>27</v>
      </c>
      <c r="H2844" s="11" t="n">
        <v>18</v>
      </c>
      <c r="I2844" s="11" t="s">
        <v>107</v>
      </c>
      <c r="J2844" s="14" t="n">
        <v>180</v>
      </c>
      <c r="K2844" s="14"/>
      <c r="L2844" s="16"/>
      <c r="M2844" s="27" t="n">
        <f aca="false">J2844+(K2844/20)+(L2844/240)</f>
        <v>180</v>
      </c>
      <c r="N2844" s="17" t="s">
        <v>64</v>
      </c>
      <c r="O2844" s="11"/>
      <c r="P2844" s="28"/>
      <c r="Q2844" s="28" t="n">
        <f aca="false">P2844*$M2844</f>
        <v>0</v>
      </c>
      <c r="R2844" s="28"/>
      <c r="S2844" s="28" t="n">
        <f aca="false">R2844*$M2844</f>
        <v>0</v>
      </c>
      <c r="T2844" s="28"/>
      <c r="U2844" s="28" t="n">
        <f aca="false">T2844*$M2844</f>
        <v>0</v>
      </c>
      <c r="V2844" s="28"/>
      <c r="W2844" s="28" t="n">
        <f aca="false">V2844*$M2844</f>
        <v>0</v>
      </c>
      <c r="X2844" s="29"/>
      <c r="Y2844" s="28" t="n">
        <f aca="false">X2844*$M2844</f>
        <v>0</v>
      </c>
      <c r="Z2844" s="28"/>
      <c r="AA2844" s="28" t="n">
        <f aca="false">Z2844*$M2844</f>
        <v>0</v>
      </c>
      <c r="AB2844" s="28"/>
      <c r="AC2844" s="28" t="n">
        <f aca="false">AB2844*$M2844</f>
        <v>0</v>
      </c>
      <c r="AD2844" s="28"/>
      <c r="AE2844" s="28" t="n">
        <f aca="false">AD2844*$M2844</f>
        <v>0</v>
      </c>
      <c r="AF2844" s="28"/>
      <c r="AG2844" s="28" t="n">
        <f aca="false">AF2844*$M2844</f>
        <v>0</v>
      </c>
      <c r="AH2844" s="28" t="n">
        <f aca="false">28680/100</f>
        <v>286.8</v>
      </c>
      <c r="AI2844" s="28" t="n">
        <v>51624</v>
      </c>
      <c r="AJ2844" s="28"/>
      <c r="AK2844" s="28" t="n">
        <f aca="false">AJ2844*$M2844</f>
        <v>0</v>
      </c>
      <c r="AL2844" s="28"/>
      <c r="AM2844" s="28" t="n">
        <f aca="false">AL2844*$M2844</f>
        <v>0</v>
      </c>
      <c r="AN2844" s="28"/>
      <c r="AO2844" s="28" t="n">
        <f aca="false">AN2844*$M2844</f>
        <v>0</v>
      </c>
      <c r="AP2844" s="28"/>
      <c r="AQ2844" s="28" t="n">
        <f aca="false">AP2844*$M2844</f>
        <v>0</v>
      </c>
      <c r="AR2844" s="28"/>
      <c r="AS2844" s="28" t="n">
        <f aca="false">AR2844*$M2844</f>
        <v>0</v>
      </c>
      <c r="AT2844" s="28"/>
      <c r="AU2844" s="28" t="n">
        <f aca="false">AT2844*$M2844</f>
        <v>0</v>
      </c>
      <c r="AV2844" s="28"/>
      <c r="AW2844" s="28" t="n">
        <f aca="false">AV2844*$M2844</f>
        <v>0</v>
      </c>
      <c r="AX2844" s="28"/>
      <c r="AY2844" s="28" t="n">
        <f aca="false">AX2844*$M2844</f>
        <v>0</v>
      </c>
      <c r="AZ2844" s="30" t="n">
        <f aca="false">28680/100</f>
        <v>286.8</v>
      </c>
      <c r="BA2844" s="11" t="n">
        <v>51624</v>
      </c>
      <c r="BB2844" s="31" t="n">
        <f aca="false">SUM(Q2844,S2844,U2844,W2844,Y2844,AA2844,AC2844,AE2844,AG2844,AI2844,AK2844,AM2844,AO2844,AQ2844,AS2844,AU2844,AW2844,AY2844)</f>
        <v>51624</v>
      </c>
      <c r="BC2844" s="28" t="n">
        <f aca="false">BA2844-BB2844</f>
        <v>0</v>
      </c>
      <c r="BD2844" s="32" t="n">
        <f aca="false">SUM(P2844,R2844,T2844,V2844,X2844,Z2844,AB2844,AD2844,AF2844,AH2844,AJ2844,AL2844,AN2844,AP2844,AR2844,AT2844,AV2844,AX2844)</f>
        <v>286.8</v>
      </c>
      <c r="BE2844" s="33" t="n">
        <f aca="false">AZ2844-BD2844</f>
        <v>0</v>
      </c>
      <c r="BF2844" s="34" t="n">
        <f aca="false">BD2844*M2844</f>
        <v>51624</v>
      </c>
      <c r="BG2844" s="35" t="n">
        <f aca="false">BA2844-BF2844</f>
        <v>0</v>
      </c>
      <c r="BH2844" s="19" t="str">
        <f aca="false">IF(BG2844=0,"",IF(BG2844&lt;&gt;BA2844,"erreur de calcul",IF(BD2844&lt;&gt;0,"pas de prix",IF(M2844&lt;&gt; 0,"pas de quantité","pas de prix, ni de quantité"))))</f>
        <v/>
      </c>
      <c r="BI2844" s="19"/>
    </row>
    <row r="2845" customFormat="false" ht="15" hidden="false" customHeight="false" outlineLevel="0" collapsed="false">
      <c r="A2845" s="0" t="n">
        <v>35</v>
      </c>
      <c r="B2845" s="8" t="s">
        <v>24</v>
      </c>
      <c r="C2845" s="9" t="s">
        <v>25</v>
      </c>
      <c r="D2845" s="9" t="s">
        <v>26</v>
      </c>
      <c r="E2845" s="10" t="n">
        <v>1789</v>
      </c>
      <c r="F2845" s="9" t="s">
        <v>27</v>
      </c>
      <c r="G2845" s="9" t="s">
        <v>27</v>
      </c>
      <c r="H2845" s="11" t="n">
        <v>18</v>
      </c>
      <c r="I2845" s="11" t="s">
        <v>108</v>
      </c>
      <c r="J2845" s="14" t="n">
        <v>11</v>
      </c>
      <c r="K2845" s="14"/>
      <c r="L2845" s="16"/>
      <c r="M2845" s="27" t="n">
        <f aca="false">J2845+(K2845/20)+(L2845/240)</f>
        <v>11</v>
      </c>
      <c r="N2845" s="17" t="s">
        <v>64</v>
      </c>
      <c r="O2845" s="11" t="s">
        <v>109</v>
      </c>
      <c r="P2845" s="28"/>
      <c r="Q2845" s="28" t="n">
        <f aca="false">P2845*$M2845</f>
        <v>0</v>
      </c>
      <c r="R2845" s="28"/>
      <c r="S2845" s="28" t="n">
        <f aca="false">R2845*$M2845</f>
        <v>0</v>
      </c>
      <c r="T2845" s="28"/>
      <c r="U2845" s="28" t="n">
        <f aca="false">T2845*$M2845</f>
        <v>0</v>
      </c>
      <c r="V2845" s="28"/>
      <c r="W2845" s="28" t="n">
        <f aca="false">V2845*$M2845</f>
        <v>0</v>
      </c>
      <c r="X2845" s="29"/>
      <c r="Y2845" s="28" t="n">
        <f aca="false">X2845*$M2845</f>
        <v>0</v>
      </c>
      <c r="Z2845" s="28"/>
      <c r="AA2845" s="28" t="n">
        <f aca="false">Z2845*$M2845</f>
        <v>0</v>
      </c>
      <c r="AB2845" s="28"/>
      <c r="AC2845" s="28" t="n">
        <f aca="false">AB2845*$M2845</f>
        <v>0</v>
      </c>
      <c r="AD2845" s="28"/>
      <c r="AE2845" s="28" t="n">
        <f aca="false">AD2845*$M2845</f>
        <v>0</v>
      </c>
      <c r="AF2845" s="28"/>
      <c r="AG2845" s="28" t="n">
        <f aca="false">AF2845*$M2845</f>
        <v>0</v>
      </c>
      <c r="AH2845" s="28"/>
      <c r="AI2845" s="28" t="n">
        <f aca="false">AH2845*$M2845</f>
        <v>0</v>
      </c>
      <c r="AJ2845" s="28" t="n">
        <f aca="false">1784/100</f>
        <v>17.84</v>
      </c>
      <c r="AK2845" s="28" t="n">
        <v>196</v>
      </c>
      <c r="AL2845" s="28" t="n">
        <f aca="false">7942/100</f>
        <v>79.42</v>
      </c>
      <c r="AM2845" s="28" t="n">
        <v>874</v>
      </c>
      <c r="AN2845" s="28"/>
      <c r="AO2845" s="28" t="n">
        <f aca="false">AN2845*$M2845</f>
        <v>0</v>
      </c>
      <c r="AP2845" s="28" t="n">
        <f aca="false">13980/100</f>
        <v>139.8</v>
      </c>
      <c r="AQ2845" s="28" t="n">
        <v>1538</v>
      </c>
      <c r="AR2845" s="28" t="n">
        <f aca="false">96390/100</f>
        <v>963.9</v>
      </c>
      <c r="AS2845" s="28" t="n">
        <v>10603</v>
      </c>
      <c r="AT2845" s="28"/>
      <c r="AU2845" s="28" t="n">
        <f aca="false">AT2845*$M2845</f>
        <v>0</v>
      </c>
      <c r="AV2845" s="28"/>
      <c r="AW2845" s="28" t="n">
        <f aca="false">AV2845*$M2845</f>
        <v>0</v>
      </c>
      <c r="AX2845" s="28"/>
      <c r="AY2845" s="28" t="n">
        <f aca="false">AX2845*$M2845</f>
        <v>0</v>
      </c>
      <c r="AZ2845" s="30" t="n">
        <f aca="false">120096/100</f>
        <v>1200.96</v>
      </c>
      <c r="BA2845" s="11" t="n">
        <v>13211</v>
      </c>
      <c r="BB2845" s="31" t="n">
        <f aca="false">SUM(Q2845,S2845,U2845,W2845,Y2845,AA2845,AC2845,AE2845,AG2845,AI2845,AK2845,AM2845,AO2845,AQ2845,AS2845,AU2845,AW2845,AY2845)</f>
        <v>13211</v>
      </c>
      <c r="BC2845" s="28" t="n">
        <f aca="false">BA2845-BB2845</f>
        <v>0</v>
      </c>
      <c r="BD2845" s="32" t="n">
        <f aca="false">SUM(P2845,R2845,T2845,V2845,X2845,Z2845,AB2845,AD2845,AF2845,AH2845,AJ2845,AL2845,AN2845,AP2845,AR2845,AT2845,AV2845,AX2845)</f>
        <v>1200.96</v>
      </c>
      <c r="BE2845" s="33" t="n">
        <f aca="false">AZ2845-BD2845</f>
        <v>0</v>
      </c>
      <c r="BF2845" s="34" t="n">
        <f aca="false">BD2845*M2845</f>
        <v>13210.56</v>
      </c>
      <c r="BG2845" s="35" t="n">
        <f aca="false">BA2845-BF2845</f>
        <v>0.43999999999869</v>
      </c>
      <c r="BH2845" s="19" t="str">
        <f aca="false">IF(BG2845=0,"",IF(BG2845&lt;&gt;BA2845,"erreur de calcul",IF(BD2845&lt;&gt;0,"pas de prix",IF(M2845&lt;&gt; 0,"pas de quantité","pas de prix, ni de quantité"))))</f>
        <v>erreur de calcul</v>
      </c>
      <c r="BI2845" s="19"/>
    </row>
    <row r="2846" customFormat="false" ht="15" hidden="false" customHeight="false" outlineLevel="0" collapsed="false">
      <c r="A2846" s="0" t="n">
        <v>36</v>
      </c>
      <c r="B2846" s="8" t="s">
        <v>24</v>
      </c>
      <c r="C2846" s="9" t="s">
        <v>25</v>
      </c>
      <c r="D2846" s="9" t="s">
        <v>26</v>
      </c>
      <c r="E2846" s="10" t="n">
        <v>1789</v>
      </c>
      <c r="F2846" s="9" t="s">
        <v>27</v>
      </c>
      <c r="G2846" s="9" t="s">
        <v>27</v>
      </c>
      <c r="H2846" s="11" t="n">
        <v>18</v>
      </c>
      <c r="I2846" s="11" t="s">
        <v>110</v>
      </c>
      <c r="J2846" s="14" t="n">
        <v>12</v>
      </c>
      <c r="K2846" s="14"/>
      <c r="L2846" s="16"/>
      <c r="M2846" s="27" t="n">
        <f aca="false">J2846+(K2846/20)+(L2846/240)</f>
        <v>12</v>
      </c>
      <c r="N2846" s="17" t="s">
        <v>64</v>
      </c>
      <c r="O2846" s="11" t="s">
        <v>109</v>
      </c>
      <c r="P2846" s="28" t="n">
        <f aca="false">30663/100</f>
        <v>306.63</v>
      </c>
      <c r="Q2846" s="28" t="n">
        <v>3679</v>
      </c>
      <c r="R2846" s="28"/>
      <c r="S2846" s="28" t="n">
        <f aca="false">R2846*$M2846</f>
        <v>0</v>
      </c>
      <c r="T2846" s="28"/>
      <c r="U2846" s="28" t="n">
        <f aca="false">T2846*$M2846</f>
        <v>0</v>
      </c>
      <c r="V2846" s="28"/>
      <c r="W2846" s="28" t="n">
        <f aca="false">V2846*$M2846</f>
        <v>0</v>
      </c>
      <c r="X2846" s="29"/>
      <c r="Y2846" s="28" t="n">
        <f aca="false">X2846*$M2846</f>
        <v>0</v>
      </c>
      <c r="Z2846" s="28"/>
      <c r="AA2846" s="28" t="n">
        <f aca="false">Z2846*$M2846</f>
        <v>0</v>
      </c>
      <c r="AB2846" s="28"/>
      <c r="AC2846" s="28" t="n">
        <f aca="false">AB2846*$M2846</f>
        <v>0</v>
      </c>
      <c r="AD2846" s="28"/>
      <c r="AE2846" s="28" t="n">
        <f aca="false">AD2846*$M2846</f>
        <v>0</v>
      </c>
      <c r="AF2846" s="28"/>
      <c r="AG2846" s="28" t="n">
        <f aca="false">AF2846*$M2846</f>
        <v>0</v>
      </c>
      <c r="AH2846" s="28"/>
      <c r="AI2846" s="28" t="n">
        <f aca="false">AH2846*$M2846</f>
        <v>0</v>
      </c>
      <c r="AJ2846" s="28"/>
      <c r="AK2846" s="28" t="n">
        <f aca="false">AJ2846*$M2846</f>
        <v>0</v>
      </c>
      <c r="AL2846" s="28" t="n">
        <f aca="false">114207/100</f>
        <v>1142.07</v>
      </c>
      <c r="AM2846" s="28" t="n">
        <v>13705</v>
      </c>
      <c r="AN2846" s="28" t="n">
        <f aca="false">2100/100</f>
        <v>21</v>
      </c>
      <c r="AO2846" s="28" t="n">
        <v>252</v>
      </c>
      <c r="AP2846" s="28" t="n">
        <f aca="false">16107/100</f>
        <v>161.07</v>
      </c>
      <c r="AQ2846" s="28" t="n">
        <v>1933</v>
      </c>
      <c r="AR2846" s="28" t="n">
        <f aca="false">553069/100</f>
        <v>5530.69</v>
      </c>
      <c r="AS2846" s="28" t="n">
        <v>66368</v>
      </c>
      <c r="AT2846" s="28" t="n">
        <f aca="false">6160/100</f>
        <v>61.6</v>
      </c>
      <c r="AU2846" s="28" t="n">
        <v>739</v>
      </c>
      <c r="AV2846" s="28" t="n">
        <f aca="false">2640/100</f>
        <v>26.4</v>
      </c>
      <c r="AW2846" s="28" t="n">
        <v>317</v>
      </c>
      <c r="AX2846" s="28" t="n">
        <f aca="false">8767/100</f>
        <v>87.67</v>
      </c>
      <c r="AY2846" s="36" t="n">
        <v>1085</v>
      </c>
      <c r="AZ2846" s="30" t="n">
        <f aca="false">733753/100</f>
        <v>7337.53</v>
      </c>
      <c r="BA2846" s="11" t="n">
        <v>88078</v>
      </c>
      <c r="BB2846" s="31" t="n">
        <f aca="false">SUM(Q2846,S2846,U2846,W2846,Y2846,AA2846,AC2846,AE2846,AG2846,AI2846,AK2846,AM2846,AO2846,AQ2846,AS2846,AU2846,AW2846,AY2846)</f>
        <v>88078</v>
      </c>
      <c r="BC2846" s="28" t="n">
        <f aca="false">BA2846-BB2846</f>
        <v>0</v>
      </c>
      <c r="BD2846" s="32" t="n">
        <f aca="false">SUM(P2846,R2846,T2846,V2846,X2846,Z2846,AB2846,AD2846,AF2846,AH2846,AJ2846,AL2846,AN2846,AP2846,AR2846,AT2846,AV2846,AX2846)</f>
        <v>7337.13</v>
      </c>
      <c r="BE2846" s="33" t="n">
        <f aca="false">AZ2846-BD2846</f>
        <v>0.400000000000546</v>
      </c>
      <c r="BF2846" s="34" t="n">
        <f aca="false">BD2846*M2846</f>
        <v>88045.56</v>
      </c>
      <c r="BG2846" s="35" t="n">
        <f aca="false">BA2846-BF2846</f>
        <v>32.4400000000023</v>
      </c>
      <c r="BH2846" s="19" t="str">
        <f aca="false">IF(BG2846=0,"",IF(BG2846&lt;&gt;BA2846,"erreur de calcul",IF(BD2846&lt;&gt;0,"pas de prix",IF(M2846&lt;&gt; 0,"pas de quantité","pas de prix, ni de quantité"))))</f>
        <v>erreur de calcul</v>
      </c>
      <c r="BI2846" s="19"/>
    </row>
    <row r="2847" customFormat="false" ht="15" hidden="false" customHeight="false" outlineLevel="0" collapsed="false">
      <c r="A2847" s="0" t="n">
        <v>37</v>
      </c>
      <c r="B2847" s="8" t="s">
        <v>24</v>
      </c>
      <c r="C2847" s="9" t="s">
        <v>25</v>
      </c>
      <c r="D2847" s="9" t="s">
        <v>26</v>
      </c>
      <c r="E2847" s="10" t="n">
        <v>1789</v>
      </c>
      <c r="F2847" s="9" t="s">
        <v>27</v>
      </c>
      <c r="G2847" s="9" t="s">
        <v>27</v>
      </c>
      <c r="H2847" s="11" t="n">
        <v>18</v>
      </c>
      <c r="I2847" s="11" t="s">
        <v>111</v>
      </c>
      <c r="J2847" s="14" t="n">
        <v>10</v>
      </c>
      <c r="K2847" s="14"/>
      <c r="L2847" s="16"/>
      <c r="M2847" s="27" t="n">
        <f aca="false">J2847+(K2847/20)+(L2847/240)</f>
        <v>10</v>
      </c>
      <c r="N2847" s="17" t="s">
        <v>64</v>
      </c>
      <c r="O2847" s="11"/>
      <c r="P2847" s="28"/>
      <c r="Q2847" s="28" t="n">
        <f aca="false">P2847*$M2847</f>
        <v>0</v>
      </c>
      <c r="R2847" s="28"/>
      <c r="S2847" s="28" t="n">
        <f aca="false">R2847*$M2847</f>
        <v>0</v>
      </c>
      <c r="T2847" s="28"/>
      <c r="U2847" s="28" t="n">
        <f aca="false">T2847*$M2847</f>
        <v>0</v>
      </c>
      <c r="V2847" s="28"/>
      <c r="W2847" s="28" t="n">
        <f aca="false">V2847*$M2847</f>
        <v>0</v>
      </c>
      <c r="X2847" s="29"/>
      <c r="Y2847" s="28" t="n">
        <f aca="false">X2847*$M2847</f>
        <v>0</v>
      </c>
      <c r="Z2847" s="28"/>
      <c r="AA2847" s="28" t="n">
        <f aca="false">Z2847*$M2847</f>
        <v>0</v>
      </c>
      <c r="AB2847" s="28"/>
      <c r="AC2847" s="28" t="n">
        <f aca="false">AB2847*$M2847</f>
        <v>0</v>
      </c>
      <c r="AD2847" s="28"/>
      <c r="AE2847" s="28" t="n">
        <f aca="false">AD2847*$M2847</f>
        <v>0</v>
      </c>
      <c r="AF2847" s="28"/>
      <c r="AG2847" s="28" t="n">
        <f aca="false">AF2847*$M2847</f>
        <v>0</v>
      </c>
      <c r="AH2847" s="28"/>
      <c r="AI2847" s="28" t="n">
        <f aca="false">AH2847*$M2847</f>
        <v>0</v>
      </c>
      <c r="AJ2847" s="28"/>
      <c r="AK2847" s="28" t="n">
        <f aca="false">AJ2847*$M2847</f>
        <v>0</v>
      </c>
      <c r="AL2847" s="28"/>
      <c r="AM2847" s="28" t="n">
        <f aca="false">AL2847*$M2847</f>
        <v>0</v>
      </c>
      <c r="AN2847" s="28"/>
      <c r="AO2847" s="28" t="n">
        <f aca="false">AN2847*$M2847</f>
        <v>0</v>
      </c>
      <c r="AP2847" s="28"/>
      <c r="AQ2847" s="28" t="n">
        <f aca="false">AP2847*$M2847</f>
        <v>0</v>
      </c>
      <c r="AR2847" s="28"/>
      <c r="AS2847" s="28" t="n">
        <f aca="false">AR2847*$M2847</f>
        <v>0</v>
      </c>
      <c r="AT2847" s="28"/>
      <c r="AU2847" s="28" t="n">
        <f aca="false">AT2847*$M2847</f>
        <v>0</v>
      </c>
      <c r="AV2847" s="28"/>
      <c r="AW2847" s="28" t="n">
        <f aca="false">AV2847*$M2847</f>
        <v>0</v>
      </c>
      <c r="AX2847" s="28" t="n">
        <f aca="false">16133/100</f>
        <v>161.33</v>
      </c>
      <c r="AY2847" s="28" t="n">
        <v>1613</v>
      </c>
      <c r="AZ2847" s="30"/>
      <c r="BA2847" s="11" t="n">
        <v>1613</v>
      </c>
      <c r="BB2847" s="31" t="n">
        <f aca="false">SUM(Q2847,S2847,U2847,W2847,Y2847,AA2847,AC2847,AE2847,AG2847,AI2847,AK2847,AM2847,AO2847,AQ2847,AS2847,AU2847,AW2847,AY2847)</f>
        <v>1613</v>
      </c>
      <c r="BC2847" s="28" t="n">
        <f aca="false">BA2847-BB2847</f>
        <v>0</v>
      </c>
      <c r="BD2847" s="32" t="n">
        <f aca="false">SUM(P2847,R2847,T2847,V2847,X2847,Z2847,AB2847,AD2847,AF2847,AH2847,AJ2847,AL2847,AN2847,AP2847,AR2847,AT2847,AV2847,AX2847)</f>
        <v>161.33</v>
      </c>
      <c r="BE2847" s="33" t="n">
        <f aca="false">AZ2847-BD2847</f>
        <v>-161.33</v>
      </c>
      <c r="BF2847" s="34" t="n">
        <f aca="false">BD2847*M2847</f>
        <v>1613.3</v>
      </c>
      <c r="BG2847" s="35" t="n">
        <f aca="false">BA2847-BF2847</f>
        <v>-0.300000000000182</v>
      </c>
      <c r="BH2847" s="19" t="str">
        <f aca="false">IF(BG2847=0,"",IF(BG2847&lt;&gt;BA2847,"erreur de calcul",IF(BD2847&lt;&gt;0,"pas de prix",IF(M2847&lt;&gt; 0,"pas de quantité","pas de prix, ni de quantité"))))</f>
        <v>erreur de calcul</v>
      </c>
      <c r="BI2847" s="19"/>
    </row>
    <row r="2848" customFormat="false" ht="15" hidden="false" customHeight="false" outlineLevel="0" collapsed="false">
      <c r="A2848" s="0" t="n">
        <v>38</v>
      </c>
      <c r="B2848" s="8" t="s">
        <v>24</v>
      </c>
      <c r="C2848" s="9" t="s">
        <v>25</v>
      </c>
      <c r="D2848" s="9" t="s">
        <v>26</v>
      </c>
      <c r="E2848" s="10" t="n">
        <v>1789</v>
      </c>
      <c r="F2848" s="9" t="s">
        <v>27</v>
      </c>
      <c r="G2848" s="9" t="s">
        <v>27</v>
      </c>
      <c r="H2848" s="11" t="n">
        <v>18</v>
      </c>
      <c r="I2848" s="11" t="s">
        <v>112</v>
      </c>
      <c r="J2848" s="14" t="n">
        <v>100</v>
      </c>
      <c r="K2848" s="14"/>
      <c r="L2848" s="16"/>
      <c r="M2848" s="27" t="n">
        <f aca="false">J2848+(K2848/20)+(L2848/240)</f>
        <v>100</v>
      </c>
      <c r="N2848" s="17" t="s">
        <v>64</v>
      </c>
      <c r="O2848" s="11"/>
      <c r="P2848" s="28" t="n">
        <f aca="false">69730/100</f>
        <v>697.3</v>
      </c>
      <c r="Q2848" s="28" t="n">
        <v>69730</v>
      </c>
      <c r="R2848" s="28"/>
      <c r="S2848" s="28" t="n">
        <f aca="false">R2848*$M2848</f>
        <v>0</v>
      </c>
      <c r="T2848" s="28"/>
      <c r="U2848" s="28" t="n">
        <f aca="false">T2848*$M2848</f>
        <v>0</v>
      </c>
      <c r="V2848" s="28"/>
      <c r="W2848" s="28" t="n">
        <f aca="false">V2848*$M2848</f>
        <v>0</v>
      </c>
      <c r="X2848" s="29"/>
      <c r="Y2848" s="28" t="n">
        <f aca="false">X2848*$M2848</f>
        <v>0</v>
      </c>
      <c r="Z2848" s="28"/>
      <c r="AA2848" s="28" t="n">
        <f aca="false">Z2848*$M2848</f>
        <v>0</v>
      </c>
      <c r="AB2848" s="28"/>
      <c r="AC2848" s="28" t="n">
        <f aca="false">AB2848*$M2848</f>
        <v>0</v>
      </c>
      <c r="AD2848" s="28"/>
      <c r="AE2848" s="28" t="n">
        <f aca="false">AD2848*$M2848</f>
        <v>0</v>
      </c>
      <c r="AF2848" s="28"/>
      <c r="AG2848" s="28" t="n">
        <f aca="false">AF2848*$M2848</f>
        <v>0</v>
      </c>
      <c r="AH2848" s="28"/>
      <c r="AI2848" s="28" t="n">
        <f aca="false">AH2848*$M2848</f>
        <v>0</v>
      </c>
      <c r="AJ2848" s="28"/>
      <c r="AK2848" s="28" t="n">
        <f aca="false">AJ2848*$M2848</f>
        <v>0</v>
      </c>
      <c r="AL2848" s="28"/>
      <c r="AM2848" s="28" t="n">
        <f aca="false">AL2848*$M2848</f>
        <v>0</v>
      </c>
      <c r="AN2848" s="28"/>
      <c r="AO2848" s="28" t="n">
        <f aca="false">AN2848*$M2848</f>
        <v>0</v>
      </c>
      <c r="AP2848" s="28"/>
      <c r="AQ2848" s="28" t="n">
        <f aca="false">AP2848*$M2848</f>
        <v>0</v>
      </c>
      <c r="AR2848" s="28"/>
      <c r="AS2848" s="28" t="n">
        <f aca="false">AR2848*$M2848</f>
        <v>0</v>
      </c>
      <c r="AT2848" s="28"/>
      <c r="AU2848" s="28" t="n">
        <f aca="false">AT2848*$M2848</f>
        <v>0</v>
      </c>
      <c r="AV2848" s="28"/>
      <c r="AW2848" s="28" t="n">
        <f aca="false">AV2848*$M2848</f>
        <v>0</v>
      </c>
      <c r="AX2848" s="28"/>
      <c r="AY2848" s="28" t="n">
        <f aca="false">AX2848*$M2848</f>
        <v>0</v>
      </c>
      <c r="AZ2848" s="30" t="n">
        <f aca="false">69730/100</f>
        <v>697.3</v>
      </c>
      <c r="BA2848" s="11" t="n">
        <v>69730</v>
      </c>
      <c r="BB2848" s="31" t="n">
        <f aca="false">SUM(Q2848,S2848,U2848,W2848,Y2848,AA2848,AC2848,AE2848,AG2848,AI2848,AK2848,AM2848,AO2848,AQ2848,AS2848,AU2848,AW2848,AY2848)</f>
        <v>69730</v>
      </c>
      <c r="BC2848" s="28" t="n">
        <f aca="false">BA2848-BB2848</f>
        <v>0</v>
      </c>
      <c r="BD2848" s="32" t="n">
        <f aca="false">SUM(P2848,R2848,T2848,V2848,X2848,Z2848,AB2848,AD2848,AF2848,AH2848,AJ2848,AL2848,AN2848,AP2848,AR2848,AT2848,AV2848,AX2848)</f>
        <v>697.3</v>
      </c>
      <c r="BE2848" s="33" t="n">
        <f aca="false">AZ2848-BD2848</f>
        <v>0</v>
      </c>
      <c r="BF2848" s="34" t="n">
        <f aca="false">BD2848*M2848</f>
        <v>69730</v>
      </c>
      <c r="BG2848" s="35" t="n">
        <f aca="false">BA2848-BF2848</f>
        <v>0</v>
      </c>
      <c r="BH2848" s="19" t="str">
        <f aca="false">IF(BG2848=0,"",IF(BG2848&lt;&gt;BA2848,"erreur de calcul",IF(BD2848&lt;&gt;0,"pas de prix",IF(M2848&lt;&gt; 0,"pas de quantité","pas de prix, ni de quantité"))))</f>
        <v/>
      </c>
      <c r="BI2848" s="19" t="s">
        <v>113</v>
      </c>
    </row>
    <row r="2849" customFormat="false" ht="15" hidden="false" customHeight="false" outlineLevel="0" collapsed="false">
      <c r="A2849" s="0" t="n">
        <v>39</v>
      </c>
      <c r="B2849" s="8" t="s">
        <v>24</v>
      </c>
      <c r="C2849" s="9" t="s">
        <v>25</v>
      </c>
      <c r="D2849" s="9" t="s">
        <v>26</v>
      </c>
      <c r="E2849" s="10" t="n">
        <v>1789</v>
      </c>
      <c r="F2849" s="9" t="s">
        <v>27</v>
      </c>
      <c r="G2849" s="9" t="s">
        <v>27</v>
      </c>
      <c r="H2849" s="11" t="n">
        <v>18</v>
      </c>
      <c r="I2849" s="11" t="s">
        <v>112</v>
      </c>
      <c r="J2849" s="14" t="n">
        <v>50</v>
      </c>
      <c r="K2849" s="14"/>
      <c r="L2849" s="16"/>
      <c r="M2849" s="27" t="n">
        <f aca="false">J2849+(K2849/20)+(L2849/240)</f>
        <v>50</v>
      </c>
      <c r="N2849" s="17" t="s">
        <v>64</v>
      </c>
      <c r="O2849" s="11"/>
      <c r="P2849" s="28"/>
      <c r="Q2849" s="28" t="n">
        <f aca="false">P2849*$M2849</f>
        <v>0</v>
      </c>
      <c r="R2849" s="28"/>
      <c r="S2849" s="28" t="n">
        <f aca="false">R2849*$M2849</f>
        <v>0</v>
      </c>
      <c r="T2849" s="28"/>
      <c r="U2849" s="28" t="n">
        <f aca="false">T2849*$M2849</f>
        <v>0</v>
      </c>
      <c r="V2849" s="28" t="n">
        <f aca="false">38043/100</f>
        <v>380.43</v>
      </c>
      <c r="W2849" s="28" t="n">
        <v>19021</v>
      </c>
      <c r="X2849" s="29" t="n">
        <f aca="false">10658/100</f>
        <v>106.58</v>
      </c>
      <c r="Y2849" s="28" t="n">
        <v>5329</v>
      </c>
      <c r="Z2849" s="28"/>
      <c r="AA2849" s="28" t="n">
        <f aca="false">Z2849*$M2849</f>
        <v>0</v>
      </c>
      <c r="AB2849" s="28"/>
      <c r="AC2849" s="28" t="n">
        <f aca="false">AB2849*$M2849</f>
        <v>0</v>
      </c>
      <c r="AD2849" s="28"/>
      <c r="AE2849" s="28" t="n">
        <f aca="false">AD2849*$M2849</f>
        <v>0</v>
      </c>
      <c r="AF2849" s="28"/>
      <c r="AG2849" s="28" t="n">
        <f aca="false">AF2849*$M2849</f>
        <v>0</v>
      </c>
      <c r="AH2849" s="28"/>
      <c r="AI2849" s="28" t="n">
        <f aca="false">AH2849*$M2849</f>
        <v>0</v>
      </c>
      <c r="AJ2849" s="28" t="n">
        <f aca="false">39321/100</f>
        <v>393.21</v>
      </c>
      <c r="AK2849" s="28" t="n">
        <v>19660</v>
      </c>
      <c r="AL2849" s="28"/>
      <c r="AM2849" s="28" t="n">
        <f aca="false">AL2849*$M2849</f>
        <v>0</v>
      </c>
      <c r="AN2849" s="28"/>
      <c r="AO2849" s="28" t="n">
        <f aca="false">AN2849*$M2849</f>
        <v>0</v>
      </c>
      <c r="AP2849" s="28"/>
      <c r="AQ2849" s="28" t="n">
        <f aca="false">AP2849*$M2849</f>
        <v>0</v>
      </c>
      <c r="AR2849" s="28"/>
      <c r="AS2849" s="28" t="n">
        <f aca="false">AR2849*$M2849</f>
        <v>0</v>
      </c>
      <c r="AT2849" s="28"/>
      <c r="AU2849" s="28" t="n">
        <f aca="false">AT2849*$M2849</f>
        <v>0</v>
      </c>
      <c r="AV2849" s="28"/>
      <c r="AW2849" s="28" t="n">
        <f aca="false">AV2849*$M2849</f>
        <v>0</v>
      </c>
      <c r="AX2849" s="28"/>
      <c r="AY2849" s="28" t="n">
        <f aca="false">AX2849*$M2849</f>
        <v>0</v>
      </c>
      <c r="AZ2849" s="30" t="n">
        <f aca="false">88022/100</f>
        <v>880.22</v>
      </c>
      <c r="BA2849" s="11" t="n">
        <v>44010</v>
      </c>
      <c r="BB2849" s="31" t="n">
        <f aca="false">SUM(Q2849,S2849,U2849,W2849,Y2849,AA2849,AC2849,AE2849,AG2849,AI2849,AK2849,AM2849,AO2849,AQ2849,AS2849,AU2849,AW2849,AY2849)</f>
        <v>44010</v>
      </c>
      <c r="BC2849" s="28" t="n">
        <f aca="false">BA2849-BB2849</f>
        <v>0</v>
      </c>
      <c r="BD2849" s="32" t="n">
        <f aca="false">SUM(P2849,R2849,T2849,V2849,X2849,Z2849,AB2849,AD2849,AF2849,AH2849,AJ2849,AL2849,AN2849,AP2849,AR2849,AT2849,AV2849,AX2849)</f>
        <v>880.22</v>
      </c>
      <c r="BE2849" s="33" t="n">
        <f aca="false">AZ2849-BD2849</f>
        <v>0</v>
      </c>
      <c r="BF2849" s="34" t="n">
        <f aca="false">BD2849*M2849</f>
        <v>44011</v>
      </c>
      <c r="BG2849" s="35" t="n">
        <f aca="false">BA2849-BF2849</f>
        <v>-1</v>
      </c>
      <c r="BH2849" s="19" t="str">
        <f aca="false">IF(BG2849=0,"",IF(BG2849&lt;&gt;BA2849,"erreur de calcul",IF(BD2849&lt;&gt;0,"pas de prix",IF(M2849&lt;&gt; 0,"pas de quantité","pas de prix, ni de quantité"))))</f>
        <v>erreur de calcul</v>
      </c>
      <c r="BI2849" s="19" t="s">
        <v>114</v>
      </c>
    </row>
    <row r="2850" customFormat="false" ht="15" hidden="false" customHeight="false" outlineLevel="0" collapsed="false">
      <c r="A2850" s="0" t="n">
        <v>40</v>
      </c>
      <c r="B2850" s="8" t="s">
        <v>24</v>
      </c>
      <c r="C2850" s="9" t="s">
        <v>25</v>
      </c>
      <c r="D2850" s="9" t="s">
        <v>26</v>
      </c>
      <c r="E2850" s="10" t="n">
        <v>1789</v>
      </c>
      <c r="F2850" s="9" t="s">
        <v>27</v>
      </c>
      <c r="G2850" s="9" t="s">
        <v>27</v>
      </c>
      <c r="H2850" s="11" t="n">
        <v>18</v>
      </c>
      <c r="I2850" s="11" t="s">
        <v>115</v>
      </c>
      <c r="J2850" s="14"/>
      <c r="K2850" s="14" t="n">
        <v>28</v>
      </c>
      <c r="L2850" s="16"/>
      <c r="M2850" s="27" t="n">
        <f aca="false">J2850+(K2850/20)+(L2850/240)</f>
        <v>1.4</v>
      </c>
      <c r="N2850" s="17" t="s">
        <v>66</v>
      </c>
      <c r="O2850" s="11" t="s">
        <v>98</v>
      </c>
      <c r="P2850" s="28"/>
      <c r="Q2850" s="28" t="n">
        <f aca="false">P2850*$M2850</f>
        <v>0</v>
      </c>
      <c r="R2850" s="28"/>
      <c r="S2850" s="28" t="n">
        <f aca="false">R2850*$M2850</f>
        <v>0</v>
      </c>
      <c r="T2850" s="28" t="n">
        <v>426</v>
      </c>
      <c r="U2850" s="28" t="n">
        <v>596</v>
      </c>
      <c r="V2850" s="28"/>
      <c r="W2850" s="28" t="n">
        <f aca="false">V2850*$M2850</f>
        <v>0</v>
      </c>
      <c r="X2850" s="29"/>
      <c r="Y2850" s="28" t="n">
        <f aca="false">X2850*$M2850</f>
        <v>0</v>
      </c>
      <c r="Z2850" s="28"/>
      <c r="AA2850" s="28" t="n">
        <f aca="false">Z2850*$M2850</f>
        <v>0</v>
      </c>
      <c r="AB2850" s="28"/>
      <c r="AC2850" s="28" t="n">
        <f aca="false">AB2850*$M2850</f>
        <v>0</v>
      </c>
      <c r="AD2850" s="28"/>
      <c r="AE2850" s="28" t="n">
        <f aca="false">AD2850*$M2850</f>
        <v>0</v>
      </c>
      <c r="AF2850" s="28"/>
      <c r="AG2850" s="28" t="n">
        <f aca="false">AF2850*$M2850</f>
        <v>0</v>
      </c>
      <c r="AH2850" s="28"/>
      <c r="AI2850" s="28" t="n">
        <f aca="false">AH2850*$M2850</f>
        <v>0</v>
      </c>
      <c r="AJ2850" s="28" t="n">
        <v>142</v>
      </c>
      <c r="AK2850" s="28" t="n">
        <v>199</v>
      </c>
      <c r="AL2850" s="28"/>
      <c r="AM2850" s="28" t="n">
        <f aca="false">AL2850*$M2850</f>
        <v>0</v>
      </c>
      <c r="AN2850" s="28"/>
      <c r="AO2850" s="28" t="n">
        <f aca="false">AN2850*$M2850</f>
        <v>0</v>
      </c>
      <c r="AP2850" s="28"/>
      <c r="AQ2850" s="28" t="n">
        <f aca="false">AP2850*$M2850</f>
        <v>0</v>
      </c>
      <c r="AR2850" s="28"/>
      <c r="AS2850" s="28" t="n">
        <f aca="false">AR2850*$M2850</f>
        <v>0</v>
      </c>
      <c r="AT2850" s="28"/>
      <c r="AU2850" s="28" t="n">
        <f aca="false">AT2850*$M2850</f>
        <v>0</v>
      </c>
      <c r="AV2850" s="28"/>
      <c r="AW2850" s="28" t="n">
        <f aca="false">AV2850*$M2850</f>
        <v>0</v>
      </c>
      <c r="AX2850" s="28"/>
      <c r="AY2850" s="28" t="n">
        <f aca="false">AX2850*$M2850</f>
        <v>0</v>
      </c>
      <c r="AZ2850" s="30" t="n">
        <v>568</v>
      </c>
      <c r="BA2850" s="11" t="n">
        <v>795</v>
      </c>
      <c r="BB2850" s="31" t="n">
        <f aca="false">SUM(Q2850,S2850,U2850,W2850,Y2850,AA2850,AC2850,AE2850,AG2850,AI2850,AK2850,AM2850,AO2850,AQ2850,AS2850,AU2850,AW2850,AY2850)</f>
        <v>795</v>
      </c>
      <c r="BC2850" s="28" t="n">
        <f aca="false">BA2850-BB2850</f>
        <v>0</v>
      </c>
      <c r="BD2850" s="32" t="n">
        <f aca="false">SUM(P2850,R2850,T2850,V2850,X2850,Z2850,AB2850,AD2850,AF2850,AH2850,AJ2850,AL2850,AN2850,AP2850,AR2850,AT2850,AV2850,AX2850)</f>
        <v>568</v>
      </c>
      <c r="BE2850" s="33" t="n">
        <f aca="false">AZ2850-BD2850</f>
        <v>0</v>
      </c>
      <c r="BF2850" s="34" t="n">
        <f aca="false">BD2850*M2850</f>
        <v>795.2</v>
      </c>
      <c r="BG2850" s="35" t="n">
        <f aca="false">BA2850-BF2850</f>
        <v>-0.199999999999932</v>
      </c>
      <c r="BH2850" s="19" t="str">
        <f aca="false">IF(BG2850=0,"",IF(BG2850&lt;&gt;BA2850,"erreur de calcul",IF(BD2850&lt;&gt;0,"pas de prix",IF(M2850&lt;&gt; 0,"pas de quantité","pas de prix, ni de quantité"))))</f>
        <v>erreur de calcul</v>
      </c>
      <c r="BI2850" s="19"/>
    </row>
    <row r="2851" customFormat="false" ht="15" hidden="false" customHeight="false" outlineLevel="0" collapsed="false">
      <c r="A2851" s="0" t="n">
        <v>41</v>
      </c>
      <c r="B2851" s="8" t="s">
        <v>24</v>
      </c>
      <c r="C2851" s="9" t="s">
        <v>25</v>
      </c>
      <c r="D2851" s="9" t="s">
        <v>26</v>
      </c>
      <c r="E2851" s="10" t="n">
        <v>1789</v>
      </c>
      <c r="F2851" s="9" t="s">
        <v>27</v>
      </c>
      <c r="G2851" s="9" t="s">
        <v>27</v>
      </c>
      <c r="H2851" s="11" t="n">
        <v>18</v>
      </c>
      <c r="I2851" s="11" t="s">
        <v>116</v>
      </c>
      <c r="J2851" s="14"/>
      <c r="K2851" s="14" t="n">
        <v>40</v>
      </c>
      <c r="L2851" s="16"/>
      <c r="M2851" s="27" t="n">
        <f aca="false">J2851+(K2851/20)+(L2851/240)</f>
        <v>2</v>
      </c>
      <c r="N2851" s="17" t="s">
        <v>66</v>
      </c>
      <c r="O2851" s="11"/>
      <c r="P2851" s="28"/>
      <c r="Q2851" s="28" t="n">
        <f aca="false">P2851*$M2851</f>
        <v>0</v>
      </c>
      <c r="R2851" s="28"/>
      <c r="S2851" s="28" t="n">
        <f aca="false">R2851*$M2851</f>
        <v>0</v>
      </c>
      <c r="T2851" s="28"/>
      <c r="U2851" s="28" t="n">
        <f aca="false">T2851*$M2851</f>
        <v>0</v>
      </c>
      <c r="V2851" s="28"/>
      <c r="W2851" s="28" t="n">
        <f aca="false">V2851*$M2851</f>
        <v>0</v>
      </c>
      <c r="X2851" s="29"/>
      <c r="Y2851" s="28" t="n">
        <f aca="false">X2851*$M2851</f>
        <v>0</v>
      </c>
      <c r="Z2851" s="28"/>
      <c r="AA2851" s="28" t="n">
        <f aca="false">Z2851*$M2851</f>
        <v>0</v>
      </c>
      <c r="AB2851" s="28"/>
      <c r="AC2851" s="28" t="n">
        <f aca="false">AB2851*$M2851</f>
        <v>0</v>
      </c>
      <c r="AD2851" s="28"/>
      <c r="AE2851" s="28" t="n">
        <f aca="false">AD2851*$M2851</f>
        <v>0</v>
      </c>
      <c r="AF2851" s="28"/>
      <c r="AG2851" s="28" t="n">
        <f aca="false">AF2851*$M2851</f>
        <v>0</v>
      </c>
      <c r="AH2851" s="28" t="n">
        <v>232710</v>
      </c>
      <c r="AI2851" s="28" t="n">
        <v>465420</v>
      </c>
      <c r="AJ2851" s="28"/>
      <c r="AK2851" s="28" t="n">
        <f aca="false">AJ2851*$M2851</f>
        <v>0</v>
      </c>
      <c r="AL2851" s="28"/>
      <c r="AM2851" s="28" t="n">
        <f aca="false">AL2851*$M2851</f>
        <v>0</v>
      </c>
      <c r="AN2851" s="28"/>
      <c r="AO2851" s="28" t="n">
        <f aca="false">AN2851*$M2851</f>
        <v>0</v>
      </c>
      <c r="AP2851" s="28"/>
      <c r="AQ2851" s="28" t="n">
        <f aca="false">AP2851*$M2851</f>
        <v>0</v>
      </c>
      <c r="AR2851" s="28"/>
      <c r="AS2851" s="28" t="n">
        <f aca="false">AR2851*$M2851</f>
        <v>0</v>
      </c>
      <c r="AT2851" s="28"/>
      <c r="AU2851" s="28" t="n">
        <f aca="false">AT2851*$M2851</f>
        <v>0</v>
      </c>
      <c r="AV2851" s="28"/>
      <c r="AW2851" s="28" t="n">
        <f aca="false">AV2851*$M2851</f>
        <v>0</v>
      </c>
      <c r="AX2851" s="28"/>
      <c r="AY2851" s="28" t="n">
        <f aca="false">AX2851*$M2851</f>
        <v>0</v>
      </c>
      <c r="AZ2851" s="30" t="n">
        <v>232710</v>
      </c>
      <c r="BA2851" s="11" t="n">
        <v>465420</v>
      </c>
      <c r="BB2851" s="31" t="n">
        <f aca="false">SUM(Q2851,S2851,U2851,W2851,Y2851,AA2851,AC2851,AE2851,AG2851,AI2851,AK2851,AM2851,AO2851,AQ2851,AS2851,AU2851,AW2851,AY2851)</f>
        <v>465420</v>
      </c>
      <c r="BC2851" s="28" t="n">
        <f aca="false">BA2851-BB2851</f>
        <v>0</v>
      </c>
      <c r="BD2851" s="32" t="n">
        <f aca="false">SUM(P2851,R2851,T2851,V2851,X2851,Z2851,AB2851,AD2851,AF2851,AH2851,AJ2851,AL2851,AN2851,AP2851,AR2851,AT2851,AV2851,AX2851)</f>
        <v>232710</v>
      </c>
      <c r="BE2851" s="33" t="n">
        <f aca="false">AZ2851-BD2851</f>
        <v>0</v>
      </c>
      <c r="BF2851" s="34" t="n">
        <f aca="false">BD2851*M2851</f>
        <v>465420</v>
      </c>
      <c r="BG2851" s="35" t="n">
        <f aca="false">BA2851-BF2851</f>
        <v>0</v>
      </c>
      <c r="BH2851" s="19" t="str">
        <f aca="false">IF(BG2851=0,"",IF(BG2851&lt;&gt;BA2851,"erreur de calcul",IF(BD2851&lt;&gt;0,"pas de prix",IF(M2851&lt;&gt; 0,"pas de quantité","pas de prix, ni de quantité"))))</f>
        <v/>
      </c>
      <c r="BI2851" s="19"/>
    </row>
    <row r="2852" customFormat="false" ht="15" hidden="false" customHeight="false" outlineLevel="0" collapsed="false">
      <c r="A2852" s="0" t="n">
        <v>1</v>
      </c>
      <c r="B2852" s="8" t="s">
        <v>24</v>
      </c>
      <c r="C2852" s="9" t="s">
        <v>25</v>
      </c>
      <c r="D2852" s="9" t="s">
        <v>26</v>
      </c>
      <c r="E2852" s="10" t="n">
        <v>1789</v>
      </c>
      <c r="F2852" s="9" t="s">
        <v>27</v>
      </c>
      <c r="G2852" s="9" t="s">
        <v>27</v>
      </c>
      <c r="H2852" s="11" t="n">
        <v>20</v>
      </c>
      <c r="I2852" s="11" t="s">
        <v>117</v>
      </c>
      <c r="J2852" s="14" t="n">
        <v>10</v>
      </c>
      <c r="K2852" s="14"/>
      <c r="L2852" s="16"/>
      <c r="M2852" s="27" t="n">
        <f aca="false">J2852+(K2852/20)+(L2852/240)</f>
        <v>10</v>
      </c>
      <c r="N2852" s="17" t="s">
        <v>64</v>
      </c>
      <c r="O2852" s="11"/>
      <c r="P2852" s="28" t="n">
        <f aca="false">2120/100</f>
        <v>21.2</v>
      </c>
      <c r="Q2852" s="28" t="n">
        <v>212</v>
      </c>
      <c r="R2852" s="28"/>
      <c r="S2852" s="28" t="n">
        <f aca="false">R2852*$M2852</f>
        <v>0</v>
      </c>
      <c r="T2852" s="28" t="n">
        <f aca="false">4184/100</f>
        <v>41.84</v>
      </c>
      <c r="U2852" s="28" t="n">
        <v>418</v>
      </c>
      <c r="V2852" s="28"/>
      <c r="W2852" s="28" t="n">
        <f aca="false">V2852*$M2852</f>
        <v>0</v>
      </c>
      <c r="X2852" s="28"/>
      <c r="Y2852" s="28" t="n">
        <f aca="false">X2852*$M2852</f>
        <v>0</v>
      </c>
      <c r="Z2852" s="28" t="n">
        <f aca="false">4467/100</f>
        <v>44.67</v>
      </c>
      <c r="AA2852" s="28" t="n">
        <v>447</v>
      </c>
      <c r="AB2852" s="28"/>
      <c r="AC2852" s="28" t="n">
        <f aca="false">AB2852*$M2852</f>
        <v>0</v>
      </c>
      <c r="AD2852" s="28"/>
      <c r="AE2852" s="28" t="n">
        <f aca="false">AD2852*$M2852</f>
        <v>0</v>
      </c>
      <c r="AF2852" s="28"/>
      <c r="AG2852" s="28" t="n">
        <f aca="false">AF2852*$M2852</f>
        <v>0</v>
      </c>
      <c r="AH2852" s="28" t="n">
        <f aca="false">37604/100</f>
        <v>376.04</v>
      </c>
      <c r="AI2852" s="28" t="n">
        <v>3760</v>
      </c>
      <c r="AJ2852" s="28"/>
      <c r="AK2852" s="28" t="n">
        <f aca="false">AJ2852*$M2852</f>
        <v>0</v>
      </c>
      <c r="AL2852" s="28"/>
      <c r="AM2852" s="28" t="n">
        <f aca="false">AL2852*$M2852</f>
        <v>0</v>
      </c>
      <c r="AN2852" s="28"/>
      <c r="AO2852" s="28" t="n">
        <f aca="false">AN2852*$M2852</f>
        <v>0</v>
      </c>
      <c r="AP2852" s="28"/>
      <c r="AQ2852" s="28" t="n">
        <f aca="false">AP2852*$M2852</f>
        <v>0</v>
      </c>
      <c r="AR2852" s="28"/>
      <c r="AS2852" s="28" t="n">
        <f aca="false">AR2852*$M2852</f>
        <v>0</v>
      </c>
      <c r="AT2852" s="28"/>
      <c r="AU2852" s="28" t="n">
        <f aca="false">AT2852*$M2852</f>
        <v>0</v>
      </c>
      <c r="AV2852" s="28"/>
      <c r="AW2852" s="28" t="n">
        <f aca="false">AV2852*$M2852</f>
        <v>0</v>
      </c>
      <c r="AX2852" s="28"/>
      <c r="AY2852" s="28" t="n">
        <f aca="false">AX2852*$M2852</f>
        <v>0</v>
      </c>
      <c r="AZ2852" s="30" t="n">
        <f aca="false">46255/100</f>
        <v>462.55</v>
      </c>
      <c r="BA2852" s="11" t="n">
        <v>4837</v>
      </c>
      <c r="BB2852" s="31" t="n">
        <f aca="false">SUM(Q2852,S2852,U2852,W2852,Y2852,AA2852,AC2852,AE2852,AG2852,AI2852,AK2852,AM2852,AO2852,AQ2852,AS2852,AU2852,AW2852,AY2852)</f>
        <v>4837</v>
      </c>
      <c r="BC2852" s="28" t="n">
        <f aca="false">BA2852-BB2852</f>
        <v>0</v>
      </c>
      <c r="BD2852" s="32" t="n">
        <f aca="false">SUM(P2852,R2852,T2852,V2852,X2852,Z2852,AB2852,AD2852,AF2852,AH2852,AJ2852,AL2852,AN2852,AP2852,AR2852,AT2852,AV2852,AX2852)</f>
        <v>483.75</v>
      </c>
      <c r="BE2852" s="33" t="n">
        <f aca="false">AZ2852-BD2852</f>
        <v>-21.2</v>
      </c>
      <c r="BF2852" s="34" t="n">
        <f aca="false">BD2852*M2852</f>
        <v>4837.5</v>
      </c>
      <c r="BG2852" s="35" t="n">
        <f aca="false">BA2852-BF2852</f>
        <v>-0.50000000000091</v>
      </c>
      <c r="BH2852" s="19" t="str">
        <f aca="false">IF(BG2852=0,"",IF(BG2852&lt;&gt;BA2852,"erreur de calcul",IF(BD2852&lt;&gt;0,"pas de prix",IF(M2852&lt;&gt; 0,"pas de quantité","pas de prix, ni de quantité"))))</f>
        <v>erreur de calcul</v>
      </c>
      <c r="BI2852" s="19"/>
    </row>
    <row r="2853" customFormat="false" ht="15" hidden="false" customHeight="false" outlineLevel="0" collapsed="false">
      <c r="A2853" s="0" t="n">
        <v>2</v>
      </c>
      <c r="B2853" s="8" t="s">
        <v>24</v>
      </c>
      <c r="C2853" s="9" t="s">
        <v>25</v>
      </c>
      <c r="D2853" s="9" t="s">
        <v>26</v>
      </c>
      <c r="E2853" s="10" t="n">
        <v>1789</v>
      </c>
      <c r="F2853" s="9" t="s">
        <v>27</v>
      </c>
      <c r="G2853" s="9" t="s">
        <v>27</v>
      </c>
      <c r="H2853" s="11" t="n">
        <v>20</v>
      </c>
      <c r="I2853" s="11" t="s">
        <v>118</v>
      </c>
      <c r="J2853" s="14" t="n">
        <v>10</v>
      </c>
      <c r="K2853" s="14"/>
      <c r="L2853" s="16"/>
      <c r="M2853" s="27" t="n">
        <f aca="false">J2853+(K2853/20)+(L2853/240)</f>
        <v>10</v>
      </c>
      <c r="N2853" s="17" t="s">
        <v>64</v>
      </c>
      <c r="O2853" s="11"/>
      <c r="P2853" s="28" t="n">
        <f aca="false">6450193/100</f>
        <v>64501.93</v>
      </c>
      <c r="Q2853" s="28" t="n">
        <v>645019</v>
      </c>
      <c r="R2853" s="28"/>
      <c r="S2853" s="28" t="n">
        <f aca="false">R2853*$M2853</f>
        <v>0</v>
      </c>
      <c r="T2853" s="28"/>
      <c r="U2853" s="28" t="n">
        <f aca="false">T2853*$M2853</f>
        <v>0</v>
      </c>
      <c r="V2853" s="28"/>
      <c r="W2853" s="28" t="n">
        <f aca="false">V2853*$M2853</f>
        <v>0</v>
      </c>
      <c r="X2853" s="28"/>
      <c r="Y2853" s="28" t="n">
        <f aca="false">X2853*$M2853</f>
        <v>0</v>
      </c>
      <c r="Z2853" s="28"/>
      <c r="AA2853" s="28" t="n">
        <f aca="false">Z2853*$M2853</f>
        <v>0</v>
      </c>
      <c r="AB2853" s="28" t="n">
        <f aca="false">601547/100</f>
        <v>6015.47</v>
      </c>
      <c r="AC2853" s="28" t="n">
        <v>60155</v>
      </c>
      <c r="AD2853" s="28"/>
      <c r="AE2853" s="28" t="n">
        <f aca="false">AD2853*$M2853</f>
        <v>0</v>
      </c>
      <c r="AF2853" s="28" t="n">
        <f aca="false">727551/100</f>
        <v>7275.51</v>
      </c>
      <c r="AG2853" s="28" t="n">
        <v>72755</v>
      </c>
      <c r="AH2853" s="28" t="n">
        <f aca="false">52982/100</f>
        <v>529.82</v>
      </c>
      <c r="AI2853" s="28" t="n">
        <v>5299</v>
      </c>
      <c r="AJ2853" s="28"/>
      <c r="AK2853" s="28" t="n">
        <f aca="false">AJ2853*$M2853</f>
        <v>0</v>
      </c>
      <c r="AL2853" s="28"/>
      <c r="AM2853" s="28" t="n">
        <f aca="false">AL2853*$M2853</f>
        <v>0</v>
      </c>
      <c r="AN2853" s="28"/>
      <c r="AO2853" s="28" t="n">
        <f aca="false">AN2853*$M2853</f>
        <v>0</v>
      </c>
      <c r="AP2853" s="28"/>
      <c r="AQ2853" s="28" t="n">
        <f aca="false">AP2853*$M2853</f>
        <v>0</v>
      </c>
      <c r="AR2853" s="28"/>
      <c r="AS2853" s="28" t="n">
        <f aca="false">AR2853*$M2853</f>
        <v>0</v>
      </c>
      <c r="AT2853" s="28"/>
      <c r="AU2853" s="28" t="n">
        <f aca="false">AT2853*$M2853</f>
        <v>0</v>
      </c>
      <c r="AV2853" s="28"/>
      <c r="AW2853" s="28" t="n">
        <f aca="false">AV2853*$M2853</f>
        <v>0</v>
      </c>
      <c r="AX2853" s="28"/>
      <c r="AY2853" s="28" t="n">
        <f aca="false">AX2853*$M2853</f>
        <v>0</v>
      </c>
      <c r="AZ2853" s="30" t="n">
        <f aca="false">7832273/100</f>
        <v>78322.73</v>
      </c>
      <c r="BA2853" s="11" t="n">
        <v>783228</v>
      </c>
      <c r="BB2853" s="31" t="n">
        <f aca="false">SUM(Q2853,S2853,U2853,W2853,Y2853,AA2853,AC2853,AE2853,AG2853,AI2853,AK2853,AM2853,AO2853,AQ2853,AS2853,AU2853,AW2853,AY2853)</f>
        <v>783228</v>
      </c>
      <c r="BC2853" s="28" t="n">
        <f aca="false">BA2853-BB2853</f>
        <v>0</v>
      </c>
      <c r="BD2853" s="32" t="n">
        <f aca="false">SUM(P2853,R2853,T2853,V2853,X2853,Z2853,AB2853,AD2853,AF2853,AH2853,AJ2853,AL2853,AN2853,AP2853,AR2853,AT2853,AV2853,AX2853)</f>
        <v>78322.73</v>
      </c>
      <c r="BE2853" s="33" t="n">
        <f aca="false">AZ2853-BD2853</f>
        <v>0</v>
      </c>
      <c r="BF2853" s="34" t="n">
        <f aca="false">BD2853*M2853</f>
        <v>783227.3</v>
      </c>
      <c r="BG2853" s="35" t="n">
        <f aca="false">BA2853-BF2853</f>
        <v>0.700000000069849</v>
      </c>
      <c r="BH2853" s="19" t="str">
        <f aca="false">IF(BG2853=0,"",IF(BG2853&lt;&gt;BA2853,"erreur de calcul",IF(BD2853&lt;&gt;0,"pas de prix",IF(M2853&lt;&gt; 0,"pas de quantité","pas de prix, ni de quantité"))))</f>
        <v>erreur de calcul</v>
      </c>
      <c r="BI2853" s="19"/>
    </row>
    <row r="2854" customFormat="false" ht="15" hidden="false" customHeight="false" outlineLevel="0" collapsed="false">
      <c r="A2854" s="0" t="n">
        <v>3</v>
      </c>
      <c r="B2854" s="8" t="s">
        <v>24</v>
      </c>
      <c r="C2854" s="9" t="s">
        <v>25</v>
      </c>
      <c r="D2854" s="9" t="s">
        <v>26</v>
      </c>
      <c r="E2854" s="10" t="n">
        <v>1789</v>
      </c>
      <c r="F2854" s="9" t="s">
        <v>27</v>
      </c>
      <c r="G2854" s="9" t="s">
        <v>27</v>
      </c>
      <c r="H2854" s="11" t="n">
        <v>20</v>
      </c>
      <c r="I2854" s="11" t="s">
        <v>119</v>
      </c>
      <c r="J2854" s="14" t="n">
        <v>10</v>
      </c>
      <c r="K2854" s="14"/>
      <c r="L2854" s="16"/>
      <c r="M2854" s="27" t="n">
        <f aca="false">J2854+(K2854/20)+(L2854/240)</f>
        <v>10</v>
      </c>
      <c r="N2854" s="17" t="s">
        <v>64</v>
      </c>
      <c r="O2854" s="11"/>
      <c r="P2854" s="28" t="n">
        <f aca="false">2617064/100</f>
        <v>26170.64</v>
      </c>
      <c r="Q2854" s="28" t="n">
        <v>261706</v>
      </c>
      <c r="R2854" s="28"/>
      <c r="S2854" s="28" t="n">
        <f aca="false">R2854*$M2854</f>
        <v>0</v>
      </c>
      <c r="T2854" s="28" t="n">
        <f aca="false">251959/100</f>
        <v>2519.59</v>
      </c>
      <c r="U2854" s="28" t="n">
        <v>25196</v>
      </c>
      <c r="V2854" s="28"/>
      <c r="W2854" s="28" t="n">
        <f aca="false">V2854*$M2854</f>
        <v>0</v>
      </c>
      <c r="X2854" s="28"/>
      <c r="Y2854" s="28" t="n">
        <f aca="false">X2854*$M2854</f>
        <v>0</v>
      </c>
      <c r="Z2854" s="28"/>
      <c r="AA2854" s="28" t="n">
        <f aca="false">Z2854*$M2854</f>
        <v>0</v>
      </c>
      <c r="AB2854" s="28"/>
      <c r="AC2854" s="28" t="n">
        <f aca="false">AB2854*$M2854</f>
        <v>0</v>
      </c>
      <c r="AD2854" s="28"/>
      <c r="AE2854" s="28" t="n">
        <f aca="false">AD2854*$M2854</f>
        <v>0</v>
      </c>
      <c r="AF2854" s="28"/>
      <c r="AG2854" s="28" t="n">
        <f aca="false">AF2854*$M2854</f>
        <v>0</v>
      </c>
      <c r="AH2854" s="28"/>
      <c r="AI2854" s="28" t="n">
        <f aca="false">AH2854*$M2854</f>
        <v>0</v>
      </c>
      <c r="AJ2854" s="28"/>
      <c r="AK2854" s="28" t="n">
        <f aca="false">AJ2854*$M2854</f>
        <v>0</v>
      </c>
      <c r="AL2854" s="28"/>
      <c r="AM2854" s="28" t="n">
        <f aca="false">AL2854*$M2854</f>
        <v>0</v>
      </c>
      <c r="AN2854" s="28"/>
      <c r="AO2854" s="28" t="n">
        <f aca="false">AN2854*$M2854</f>
        <v>0</v>
      </c>
      <c r="AP2854" s="28"/>
      <c r="AQ2854" s="28" t="n">
        <f aca="false">AP2854*$M2854</f>
        <v>0</v>
      </c>
      <c r="AR2854" s="28"/>
      <c r="AS2854" s="28" t="n">
        <f aca="false">AR2854*$M2854</f>
        <v>0</v>
      </c>
      <c r="AT2854" s="28"/>
      <c r="AU2854" s="28" t="n">
        <f aca="false">AT2854*$M2854</f>
        <v>0</v>
      </c>
      <c r="AV2854" s="28"/>
      <c r="AW2854" s="28" t="n">
        <f aca="false">AV2854*$M2854</f>
        <v>0</v>
      </c>
      <c r="AX2854" s="28"/>
      <c r="AY2854" s="28" t="n">
        <f aca="false">AX2854*$M2854</f>
        <v>0</v>
      </c>
      <c r="AZ2854" s="30" t="n">
        <f aca="false">2869023/100</f>
        <v>28690.23</v>
      </c>
      <c r="BA2854" s="11" t="n">
        <v>286902</v>
      </c>
      <c r="BB2854" s="31" t="n">
        <f aca="false">SUM(Q2854,S2854,U2854,W2854,Y2854,AA2854,AC2854,AE2854,AG2854,AI2854,AK2854,AM2854,AO2854,AQ2854,AS2854,AU2854,AW2854,AY2854)</f>
        <v>286902</v>
      </c>
      <c r="BC2854" s="28" t="n">
        <f aca="false">BA2854-BB2854</f>
        <v>0</v>
      </c>
      <c r="BD2854" s="32" t="n">
        <f aca="false">SUM(P2854,R2854,T2854,V2854,X2854,Z2854,AB2854,AD2854,AF2854,AH2854,AJ2854,AL2854,AN2854,AP2854,AR2854,AT2854,AV2854,AX2854)</f>
        <v>28690.23</v>
      </c>
      <c r="BE2854" s="33" t="n">
        <f aca="false">AZ2854-BD2854</f>
        <v>0</v>
      </c>
      <c r="BF2854" s="34" t="n">
        <f aca="false">BD2854*M2854</f>
        <v>286902.3</v>
      </c>
      <c r="BG2854" s="35" t="n">
        <f aca="false">BA2854-BF2854</f>
        <v>-0.299999999988358</v>
      </c>
      <c r="BH2854" s="19" t="str">
        <f aca="false">IF(BG2854=0,"",IF(BG2854&lt;&gt;BA2854,"erreur de calcul",IF(BD2854&lt;&gt;0,"pas de prix",IF(M2854&lt;&gt; 0,"pas de quantité","pas de prix, ni de quantité"))))</f>
        <v>erreur de calcul</v>
      </c>
      <c r="BI2854" s="19"/>
    </row>
    <row r="2855" customFormat="false" ht="16.65" hidden="false" customHeight="false" outlineLevel="0" collapsed="false">
      <c r="A2855" s="0" t="n">
        <v>4</v>
      </c>
      <c r="B2855" s="8" t="s">
        <v>24</v>
      </c>
      <c r="C2855" s="9" t="s">
        <v>25</v>
      </c>
      <c r="D2855" s="9" t="s">
        <v>26</v>
      </c>
      <c r="E2855" s="10" t="n">
        <v>1789</v>
      </c>
      <c r="F2855" s="9" t="s">
        <v>27</v>
      </c>
      <c r="G2855" s="9" t="s">
        <v>27</v>
      </c>
      <c r="H2855" s="11" t="n">
        <v>20</v>
      </c>
      <c r="I2855" s="11" t="s">
        <v>120</v>
      </c>
      <c r="J2855" s="14" t="n">
        <v>12</v>
      </c>
      <c r="K2855" s="14"/>
      <c r="L2855" s="16"/>
      <c r="M2855" s="27" t="n">
        <f aca="false">J2855+(K2855/20)+(L2855/240)</f>
        <v>12</v>
      </c>
      <c r="N2855" s="17" t="s">
        <v>64</v>
      </c>
      <c r="O2855" s="11" t="s">
        <v>77</v>
      </c>
      <c r="P2855" s="28"/>
      <c r="Q2855" s="28" t="n">
        <f aca="false">P2855*$M2855</f>
        <v>0</v>
      </c>
      <c r="R2855" s="28"/>
      <c r="S2855" s="28" t="n">
        <f aca="false">R2855*$M2855</f>
        <v>0</v>
      </c>
      <c r="T2855" s="28"/>
      <c r="U2855" s="28" t="n">
        <f aca="false">T2855*$M2855</f>
        <v>0</v>
      </c>
      <c r="V2855" s="28" t="n">
        <f aca="false">15268/100</f>
        <v>152.68</v>
      </c>
      <c r="W2855" s="28" t="n">
        <v>1832</v>
      </c>
      <c r="X2855" s="28"/>
      <c r="Y2855" s="28" t="n">
        <f aca="false">X2855*$M2855</f>
        <v>0</v>
      </c>
      <c r="Z2855" s="28"/>
      <c r="AA2855" s="28" t="n">
        <f aca="false">Z2855*$M2855</f>
        <v>0</v>
      </c>
      <c r="AB2855" s="28"/>
      <c r="AC2855" s="28" t="n">
        <f aca="false">AB2855*$M2855</f>
        <v>0</v>
      </c>
      <c r="AD2855" s="28"/>
      <c r="AE2855" s="28" t="n">
        <f aca="false">AD2855*$M2855</f>
        <v>0</v>
      </c>
      <c r="AF2855" s="28"/>
      <c r="AG2855" s="28" t="n">
        <f aca="false">AF2855*$M2855</f>
        <v>0</v>
      </c>
      <c r="AH2855" s="28" t="n">
        <f aca="false">26667/100</f>
        <v>266.67</v>
      </c>
      <c r="AI2855" s="28" t="n">
        <v>3200</v>
      </c>
      <c r="AJ2855" s="28"/>
      <c r="AK2855" s="28" t="n">
        <f aca="false">AJ2855*$M2855</f>
        <v>0</v>
      </c>
      <c r="AL2855" s="28"/>
      <c r="AM2855" s="28" t="n">
        <f aca="false">AL2855*$M2855</f>
        <v>0</v>
      </c>
      <c r="AN2855" s="28"/>
      <c r="AO2855" s="28" t="n">
        <f aca="false">AN2855*$M2855</f>
        <v>0</v>
      </c>
      <c r="AP2855" s="28"/>
      <c r="AQ2855" s="28" t="n">
        <f aca="false">AP2855*$M2855</f>
        <v>0</v>
      </c>
      <c r="AR2855" s="28"/>
      <c r="AS2855" s="28" t="n">
        <f aca="false">AR2855*$M2855</f>
        <v>0</v>
      </c>
      <c r="AT2855" s="28"/>
      <c r="AU2855" s="28" t="n">
        <f aca="false">AT2855*$M2855</f>
        <v>0</v>
      </c>
      <c r="AV2855" s="28"/>
      <c r="AW2855" s="28" t="n">
        <f aca="false">AV2855*$M2855</f>
        <v>0</v>
      </c>
      <c r="AX2855" s="28"/>
      <c r="AY2855" s="28" t="n">
        <f aca="false">AX2855*$M2855</f>
        <v>0</v>
      </c>
      <c r="AZ2855" s="30" t="n">
        <f aca="false">41935/100</f>
        <v>419.35</v>
      </c>
      <c r="BA2855" s="11" t="n">
        <v>5032</v>
      </c>
      <c r="BB2855" s="31" t="n">
        <f aca="false">SUM(Q2855,S2855,U2855,W2855,Y2855,AA2855,AC2855,AE2855,AG2855,AI2855,AK2855,AM2855,AO2855,AQ2855,AS2855,AU2855,AW2855,AY2855)</f>
        <v>5032</v>
      </c>
      <c r="BC2855" s="28" t="n">
        <f aca="false">BA2855-BB2855</f>
        <v>0</v>
      </c>
      <c r="BD2855" s="32" t="n">
        <f aca="false">SUM(P2855,R2855,T2855,V2855,X2855,Z2855,AB2855,AD2855,AF2855,AH2855,AJ2855,AL2855,AN2855,AP2855,AR2855,AT2855,AV2855,AX2855)</f>
        <v>419.35</v>
      </c>
      <c r="BE2855" s="33" t="n">
        <f aca="false">AZ2855-BD2855</f>
        <v>0</v>
      </c>
      <c r="BF2855" s="34" t="n">
        <f aca="false">BD2855*M2855</f>
        <v>5032.2</v>
      </c>
      <c r="BG2855" s="35" t="n">
        <f aca="false">BA2855-BF2855</f>
        <v>-0.200000000000728</v>
      </c>
      <c r="BH2855" s="19" t="str">
        <f aca="false">IF(BG2855=0,"",IF(BG2855&lt;&gt;BA2855,"erreur de calcul",IF(BD2855&lt;&gt;0,"pas de prix",IF(M2855&lt;&gt; 0,"pas de quantité","pas de prix, ni de quantité"))))</f>
        <v>erreur de calcul</v>
      </c>
      <c r="BI2855" s="19"/>
    </row>
    <row r="2856" customFormat="false" ht="15" hidden="false" customHeight="false" outlineLevel="0" collapsed="false">
      <c r="A2856" s="0" t="n">
        <v>5</v>
      </c>
      <c r="B2856" s="8" t="s">
        <v>24</v>
      </c>
      <c r="C2856" s="9" t="s">
        <v>25</v>
      </c>
      <c r="D2856" s="9" t="s">
        <v>26</v>
      </c>
      <c r="E2856" s="10" t="n">
        <v>1789</v>
      </c>
      <c r="F2856" s="9" t="s">
        <v>27</v>
      </c>
      <c r="G2856" s="9" t="s">
        <v>27</v>
      </c>
      <c r="H2856" s="11" t="n">
        <v>20</v>
      </c>
      <c r="I2856" s="11" t="s">
        <v>121</v>
      </c>
      <c r="J2856" s="14" t="n">
        <v>28</v>
      </c>
      <c r="K2856" s="14"/>
      <c r="L2856" s="16"/>
      <c r="M2856" s="27" t="n">
        <f aca="false">J2856+(K2856/20)+(L2856/240)</f>
        <v>28</v>
      </c>
      <c r="N2856" s="17" t="s">
        <v>64</v>
      </c>
      <c r="O2856" s="11"/>
      <c r="P2856" s="28"/>
      <c r="Q2856" s="28" t="n">
        <f aca="false">P2856*$M2856</f>
        <v>0</v>
      </c>
      <c r="R2856" s="28"/>
      <c r="S2856" s="28" t="n">
        <f aca="false">R2856*$M2856</f>
        <v>0</v>
      </c>
      <c r="T2856" s="28"/>
      <c r="U2856" s="28" t="n">
        <f aca="false">T2856*$M2856</f>
        <v>0</v>
      </c>
      <c r="V2856" s="28"/>
      <c r="W2856" s="28" t="n">
        <f aca="false">V2856*$M2856</f>
        <v>0</v>
      </c>
      <c r="X2856" s="28" t="n">
        <f aca="false">187504/100</f>
        <v>1875.04</v>
      </c>
      <c r="Y2856" s="28" t="n">
        <v>52501</v>
      </c>
      <c r="Z2856" s="28" t="n">
        <f aca="false">1041667/100</f>
        <v>10416.67</v>
      </c>
      <c r="AA2856" s="28" t="n">
        <v>291667</v>
      </c>
      <c r="AB2856" s="28"/>
      <c r="AC2856" s="28" t="n">
        <f aca="false">AB2856*$M2856</f>
        <v>0</v>
      </c>
      <c r="AD2856" s="28"/>
      <c r="AE2856" s="28" t="n">
        <f aca="false">AD2856*$M2856</f>
        <v>0</v>
      </c>
      <c r="AF2856" s="28"/>
      <c r="AG2856" s="28" t="n">
        <f aca="false">AF2856*$M2856</f>
        <v>0</v>
      </c>
      <c r="AH2856" s="28"/>
      <c r="AI2856" s="28" t="n">
        <f aca="false">AH2856*$M2856</f>
        <v>0</v>
      </c>
      <c r="AJ2856" s="28"/>
      <c r="AK2856" s="28" t="n">
        <f aca="false">AJ2856*$M2856</f>
        <v>0</v>
      </c>
      <c r="AL2856" s="28"/>
      <c r="AM2856" s="28" t="n">
        <f aca="false">AL2856*$M2856</f>
        <v>0</v>
      </c>
      <c r="AN2856" s="28"/>
      <c r="AO2856" s="28" t="n">
        <f aca="false">AN2856*$M2856</f>
        <v>0</v>
      </c>
      <c r="AP2856" s="28"/>
      <c r="AQ2856" s="28" t="n">
        <f aca="false">AP2856*$M2856</f>
        <v>0</v>
      </c>
      <c r="AR2856" s="28"/>
      <c r="AS2856" s="28" t="n">
        <f aca="false">AR2856*$M2856</f>
        <v>0</v>
      </c>
      <c r="AT2856" s="28"/>
      <c r="AU2856" s="28" t="n">
        <f aca="false">AT2856*$M2856</f>
        <v>0</v>
      </c>
      <c r="AV2856" s="28"/>
      <c r="AW2856" s="28" t="n">
        <f aca="false">AV2856*$M2856</f>
        <v>0</v>
      </c>
      <c r="AX2856" s="28"/>
      <c r="AY2856" s="28" t="n">
        <f aca="false">AX2856*$M2856</f>
        <v>0</v>
      </c>
      <c r="AZ2856" s="30" t="n">
        <f aca="false">1229171/100</f>
        <v>12291.71</v>
      </c>
      <c r="BA2856" s="11" t="n">
        <v>344168</v>
      </c>
      <c r="BB2856" s="31" t="n">
        <f aca="false">SUM(Q2856,S2856,U2856,W2856,Y2856,AA2856,AC2856,AE2856,AG2856,AI2856,AK2856,AM2856,AO2856,AQ2856,AS2856,AU2856,AW2856,AY2856)</f>
        <v>344168</v>
      </c>
      <c r="BC2856" s="28" t="n">
        <f aca="false">BA2856-BB2856</f>
        <v>0</v>
      </c>
      <c r="BD2856" s="32" t="n">
        <f aca="false">SUM(P2856,R2856,T2856,V2856,X2856,Z2856,AB2856,AD2856,AF2856,AH2856,AJ2856,AL2856,AN2856,AP2856,AR2856,AT2856,AV2856,AX2856)</f>
        <v>12291.71</v>
      </c>
      <c r="BE2856" s="33" t="n">
        <f aca="false">AZ2856-BD2856</f>
        <v>0</v>
      </c>
      <c r="BF2856" s="34" t="n">
        <f aca="false">BD2856*M2856</f>
        <v>344167.88</v>
      </c>
      <c r="BG2856" s="35" t="n">
        <f aca="false">BA2856-BF2856</f>
        <v>0.119999999995343</v>
      </c>
      <c r="BH2856" s="19" t="str">
        <f aca="false">IF(BG2856=0,"",IF(BG2856&lt;&gt;BA2856,"erreur de calcul",IF(BD2856&lt;&gt;0,"pas de prix",IF(M2856&lt;&gt; 0,"pas de quantité","pas de prix, ni de quantité"))))</f>
        <v>erreur de calcul</v>
      </c>
      <c r="BI2856" s="19"/>
    </row>
    <row r="2857" customFormat="false" ht="15" hidden="false" customHeight="false" outlineLevel="0" collapsed="false">
      <c r="A2857" s="0" t="n">
        <v>6</v>
      </c>
      <c r="B2857" s="8" t="s">
        <v>24</v>
      </c>
      <c r="C2857" s="9" t="s">
        <v>25</v>
      </c>
      <c r="D2857" s="9" t="s">
        <v>26</v>
      </c>
      <c r="E2857" s="10" t="n">
        <v>1789</v>
      </c>
      <c r="F2857" s="9" t="s">
        <v>27</v>
      </c>
      <c r="G2857" s="9" t="s">
        <v>27</v>
      </c>
      <c r="H2857" s="11" t="n">
        <v>20</v>
      </c>
      <c r="I2857" s="11" t="s">
        <v>122</v>
      </c>
      <c r="J2857" s="14" t="n">
        <v>16</v>
      </c>
      <c r="K2857" s="14"/>
      <c r="L2857" s="16"/>
      <c r="M2857" s="27" t="n">
        <f aca="false">J2857+(K2857/20)+(L2857/240)</f>
        <v>16</v>
      </c>
      <c r="N2857" s="17" t="s">
        <v>64</v>
      </c>
      <c r="O2857" s="11"/>
      <c r="P2857" s="28" t="n">
        <f aca="false">1774951/100</f>
        <v>17749.51</v>
      </c>
      <c r="Q2857" s="28" t="n">
        <v>283992</v>
      </c>
      <c r="R2857" s="28"/>
      <c r="S2857" s="28" t="n">
        <f aca="false">R2857*$M2857</f>
        <v>0</v>
      </c>
      <c r="T2857" s="28"/>
      <c r="U2857" s="28" t="n">
        <f aca="false">T2857*$M2857</f>
        <v>0</v>
      </c>
      <c r="V2857" s="28" t="n">
        <f aca="false">20834/100</f>
        <v>208.34</v>
      </c>
      <c r="W2857" s="28" t="n">
        <v>3333</v>
      </c>
      <c r="X2857" s="28" t="n">
        <f aca="false">85901/100</f>
        <v>859.01</v>
      </c>
      <c r="Y2857" s="28" t="n">
        <v>13744</v>
      </c>
      <c r="Z2857" s="28"/>
      <c r="AA2857" s="28" t="n">
        <f aca="false">Z2857*$M2857</f>
        <v>0</v>
      </c>
      <c r="AB2857" s="28" t="n">
        <f aca="false">6847841/100</f>
        <v>68478.41</v>
      </c>
      <c r="AC2857" s="28" t="n">
        <v>1095654</v>
      </c>
      <c r="AD2857" s="28"/>
      <c r="AE2857" s="28" t="n">
        <f aca="false">AD2857*$M2857</f>
        <v>0</v>
      </c>
      <c r="AF2857" s="28"/>
      <c r="AG2857" s="28" t="n">
        <f aca="false">AF2857*$M2857</f>
        <v>0</v>
      </c>
      <c r="AH2857" s="28" t="n">
        <f aca="false">50417/100</f>
        <v>504.17</v>
      </c>
      <c r="AI2857" s="28" t="n">
        <v>8067</v>
      </c>
      <c r="AJ2857" s="28"/>
      <c r="AK2857" s="28" t="n">
        <f aca="false">AJ2857*$M2857</f>
        <v>0</v>
      </c>
      <c r="AL2857" s="28"/>
      <c r="AM2857" s="28" t="n">
        <f aca="false">AL2857*$M2857</f>
        <v>0</v>
      </c>
      <c r="AN2857" s="28"/>
      <c r="AO2857" s="28" t="n">
        <f aca="false">AN2857*$M2857</f>
        <v>0</v>
      </c>
      <c r="AP2857" s="28"/>
      <c r="AQ2857" s="28" t="n">
        <f aca="false">AP2857*$M2857</f>
        <v>0</v>
      </c>
      <c r="AR2857" s="28"/>
      <c r="AS2857" s="28" t="n">
        <f aca="false">AR2857*$M2857</f>
        <v>0</v>
      </c>
      <c r="AT2857" s="28"/>
      <c r="AU2857" s="28" t="n">
        <f aca="false">AT2857*$M2857</f>
        <v>0</v>
      </c>
      <c r="AV2857" s="28"/>
      <c r="AW2857" s="28" t="n">
        <f aca="false">AV2857*$M2857</f>
        <v>0</v>
      </c>
      <c r="AX2857" s="28"/>
      <c r="AY2857" s="28" t="n">
        <f aca="false">AX2857*$M2857</f>
        <v>0</v>
      </c>
      <c r="AZ2857" s="30" t="n">
        <f aca="false">8779944/100</f>
        <v>87799.44</v>
      </c>
      <c r="BA2857" s="11" t="n">
        <v>1404790</v>
      </c>
      <c r="BB2857" s="31" t="n">
        <f aca="false">SUM(Q2857,S2857,U2857,W2857,Y2857,AA2857,AC2857,AE2857,AG2857,AI2857,AK2857,AM2857,AO2857,AQ2857,AS2857,AU2857,AW2857,AY2857)</f>
        <v>1404790</v>
      </c>
      <c r="BC2857" s="28" t="n">
        <f aca="false">BA2857-BB2857</f>
        <v>0</v>
      </c>
      <c r="BD2857" s="32" t="n">
        <f aca="false">SUM(P2857,R2857,T2857,V2857,X2857,Z2857,AB2857,AD2857,AF2857,AH2857,AJ2857,AL2857,AN2857,AP2857,AR2857,AT2857,AV2857,AX2857)</f>
        <v>87799.44</v>
      </c>
      <c r="BE2857" s="33" t="n">
        <f aca="false">AZ2857-BD2857</f>
        <v>0</v>
      </c>
      <c r="BF2857" s="34" t="n">
        <f aca="false">BD2857*M2857</f>
        <v>1404791.04</v>
      </c>
      <c r="BG2857" s="35" t="n">
        <f aca="false">BA2857-BF2857</f>
        <v>-1.03999999980442</v>
      </c>
      <c r="BH2857" s="19" t="str">
        <f aca="false">IF(BG2857=0,"",IF(BG2857&lt;&gt;BA2857,"erreur de calcul",IF(BD2857&lt;&gt;0,"pas de prix",IF(M2857&lt;&gt; 0,"pas de quantité","pas de prix, ni de quantité"))))</f>
        <v>erreur de calcul</v>
      </c>
      <c r="BI2857" s="19"/>
    </row>
    <row r="2858" customFormat="false" ht="15" hidden="false" customHeight="false" outlineLevel="0" collapsed="false">
      <c r="A2858" s="0" t="n">
        <v>7</v>
      </c>
      <c r="B2858" s="8" t="s">
        <v>24</v>
      </c>
      <c r="C2858" s="9" t="s">
        <v>25</v>
      </c>
      <c r="D2858" s="9" t="s">
        <v>26</v>
      </c>
      <c r="E2858" s="10" t="n">
        <v>1789</v>
      </c>
      <c r="F2858" s="9" t="s">
        <v>27</v>
      </c>
      <c r="G2858" s="9" t="s">
        <v>27</v>
      </c>
      <c r="H2858" s="11" t="n">
        <v>20</v>
      </c>
      <c r="I2858" s="11" t="s">
        <v>123</v>
      </c>
      <c r="J2858" s="14" t="n">
        <v>12</v>
      </c>
      <c r="K2858" s="14"/>
      <c r="L2858" s="16"/>
      <c r="M2858" s="27" t="n">
        <f aca="false">J2858+(K2858/20)+(L2858/240)</f>
        <v>12</v>
      </c>
      <c r="N2858" s="17" t="s">
        <v>64</v>
      </c>
      <c r="O2858" s="11"/>
      <c r="P2858" s="28"/>
      <c r="Q2858" s="28" t="n">
        <f aca="false">P2858*$M2858</f>
        <v>0</v>
      </c>
      <c r="R2858" s="28"/>
      <c r="S2858" s="28" t="n">
        <f aca="false">R2858*$M2858</f>
        <v>0</v>
      </c>
      <c r="T2858" s="28"/>
      <c r="U2858" s="28" t="n">
        <f aca="false">T2858*$M2858</f>
        <v>0</v>
      </c>
      <c r="V2858" s="28"/>
      <c r="W2858" s="28" t="n">
        <f aca="false">V2858*$M2858</f>
        <v>0</v>
      </c>
      <c r="X2858" s="28"/>
      <c r="Y2858" s="28" t="n">
        <f aca="false">X2858*$M2858</f>
        <v>0</v>
      </c>
      <c r="Z2858" s="28"/>
      <c r="AA2858" s="28" t="n">
        <f aca="false">Z2858*$M2858</f>
        <v>0</v>
      </c>
      <c r="AB2858" s="28"/>
      <c r="AC2858" s="28" t="n">
        <f aca="false">AB2858*$M2858</f>
        <v>0</v>
      </c>
      <c r="AD2858" s="28"/>
      <c r="AE2858" s="28" t="n">
        <f aca="false">AD2858*$M2858</f>
        <v>0</v>
      </c>
      <c r="AF2858" s="28"/>
      <c r="AG2858" s="28" t="n">
        <f aca="false">AF2858*$M2858</f>
        <v>0</v>
      </c>
      <c r="AH2858" s="28" t="n">
        <f aca="false">5697511/100</f>
        <v>56975.11</v>
      </c>
      <c r="AI2858" s="28" t="n">
        <v>683701</v>
      </c>
      <c r="AJ2858" s="28"/>
      <c r="AK2858" s="28" t="n">
        <f aca="false">AJ2858*$M2858</f>
        <v>0</v>
      </c>
      <c r="AL2858" s="28"/>
      <c r="AM2858" s="28" t="n">
        <f aca="false">AL2858*$M2858</f>
        <v>0</v>
      </c>
      <c r="AN2858" s="28"/>
      <c r="AO2858" s="28" t="n">
        <f aca="false">AN2858*$M2858</f>
        <v>0</v>
      </c>
      <c r="AP2858" s="28"/>
      <c r="AQ2858" s="28" t="n">
        <f aca="false">AP2858*$M2858</f>
        <v>0</v>
      </c>
      <c r="AR2858" s="28"/>
      <c r="AS2858" s="28" t="n">
        <f aca="false">AR2858*$M2858</f>
        <v>0</v>
      </c>
      <c r="AT2858" s="28"/>
      <c r="AU2858" s="28" t="n">
        <f aca="false">AT2858*$M2858</f>
        <v>0</v>
      </c>
      <c r="AV2858" s="28"/>
      <c r="AW2858" s="28" t="n">
        <f aca="false">AV2858*$M2858</f>
        <v>0</v>
      </c>
      <c r="AX2858" s="28"/>
      <c r="AY2858" s="28" t="n">
        <f aca="false">AX2858*$M2858</f>
        <v>0</v>
      </c>
      <c r="AZ2858" s="30" t="n">
        <f aca="false">5697511/100</f>
        <v>56975.11</v>
      </c>
      <c r="BA2858" s="11" t="n">
        <v>683701</v>
      </c>
      <c r="BB2858" s="31" t="n">
        <f aca="false">SUM(Q2858,S2858,U2858,W2858,Y2858,AA2858,AC2858,AE2858,AG2858,AI2858,AK2858,AM2858,AO2858,AQ2858,AS2858,AU2858,AW2858,AY2858)</f>
        <v>683701</v>
      </c>
      <c r="BC2858" s="28" t="n">
        <f aca="false">BA2858-BB2858</f>
        <v>0</v>
      </c>
      <c r="BD2858" s="32" t="n">
        <f aca="false">SUM(P2858,R2858,T2858,V2858,X2858,Z2858,AB2858,AD2858,AF2858,AH2858,AJ2858,AL2858,AN2858,AP2858,AR2858,AT2858,AV2858,AX2858)</f>
        <v>56975.11</v>
      </c>
      <c r="BE2858" s="33" t="n">
        <f aca="false">AZ2858-BD2858</f>
        <v>0</v>
      </c>
      <c r="BF2858" s="34" t="n">
        <f aca="false">BD2858*M2858</f>
        <v>683701.32</v>
      </c>
      <c r="BG2858" s="35" t="n">
        <f aca="false">BA2858-BF2858</f>
        <v>-0.320000000065193</v>
      </c>
      <c r="BH2858" s="19" t="str">
        <f aca="false">IF(BG2858=0,"",IF(BG2858&lt;&gt;BA2858,"erreur de calcul",IF(BD2858&lt;&gt;0,"pas de prix",IF(M2858&lt;&gt; 0,"pas de quantité","pas de prix, ni de quantité"))))</f>
        <v>erreur de calcul</v>
      </c>
      <c r="BI2858" s="19"/>
    </row>
    <row r="2859" customFormat="false" ht="15" hidden="false" customHeight="false" outlineLevel="0" collapsed="false">
      <c r="A2859" s="0" t="n">
        <v>8</v>
      </c>
      <c r="B2859" s="8" t="s">
        <v>24</v>
      </c>
      <c r="C2859" s="9" t="s">
        <v>25</v>
      </c>
      <c r="D2859" s="9" t="s">
        <v>26</v>
      </c>
      <c r="E2859" s="10" t="n">
        <v>1789</v>
      </c>
      <c r="F2859" s="9" t="s">
        <v>27</v>
      </c>
      <c r="G2859" s="9" t="s">
        <v>27</v>
      </c>
      <c r="H2859" s="11" t="n">
        <v>20</v>
      </c>
      <c r="I2859" s="11" t="s">
        <v>124</v>
      </c>
      <c r="J2859" s="14" t="n">
        <v>34</v>
      </c>
      <c r="K2859" s="14"/>
      <c r="L2859" s="16"/>
      <c r="M2859" s="27" t="n">
        <f aca="false">J2859+(K2859/20)+(L2859/240)</f>
        <v>34</v>
      </c>
      <c r="N2859" s="17" t="s">
        <v>64</v>
      </c>
      <c r="O2859" s="11"/>
      <c r="P2859" s="28"/>
      <c r="Q2859" s="28" t="n">
        <f aca="false">P2859*$M2859</f>
        <v>0</v>
      </c>
      <c r="R2859" s="28"/>
      <c r="S2859" s="28" t="n">
        <f aca="false">R2859*$M2859</f>
        <v>0</v>
      </c>
      <c r="T2859" s="28" t="n">
        <f aca="false">528/100</f>
        <v>5.28</v>
      </c>
      <c r="U2859" s="28" t="n">
        <v>179</v>
      </c>
      <c r="V2859" s="28"/>
      <c r="W2859" s="28" t="n">
        <f aca="false">V2859*$M2859</f>
        <v>0</v>
      </c>
      <c r="X2859" s="28" t="n">
        <f aca="false">1014/100</f>
        <v>10.14</v>
      </c>
      <c r="Y2859" s="36" t="n">
        <v>243</v>
      </c>
      <c r="Z2859" s="28"/>
      <c r="AA2859" s="28" t="n">
        <f aca="false">Z2859*$M2859</f>
        <v>0</v>
      </c>
      <c r="AB2859" s="28"/>
      <c r="AC2859" s="28" t="n">
        <f aca="false">AB2859*$M2859</f>
        <v>0</v>
      </c>
      <c r="AD2859" s="28"/>
      <c r="AE2859" s="28" t="n">
        <f aca="false">AD2859*$M2859</f>
        <v>0</v>
      </c>
      <c r="AF2859" s="28"/>
      <c r="AG2859" s="28" t="n">
        <f aca="false">AF2859*$M2859</f>
        <v>0</v>
      </c>
      <c r="AH2859" s="28"/>
      <c r="AI2859" s="28" t="n">
        <f aca="false">AH2859*$M2859</f>
        <v>0</v>
      </c>
      <c r="AJ2859" s="28" t="n">
        <f aca="false">1917/100</f>
        <v>19.17</v>
      </c>
      <c r="AK2859" s="28" t="n">
        <v>652</v>
      </c>
      <c r="AL2859" s="28"/>
      <c r="AM2859" s="28" t="n">
        <f aca="false">AL2859*$M2859</f>
        <v>0</v>
      </c>
      <c r="AN2859" s="28"/>
      <c r="AO2859" s="28" t="n">
        <f aca="false">AN2859*$M2859</f>
        <v>0</v>
      </c>
      <c r="AP2859" s="28"/>
      <c r="AQ2859" s="28" t="n">
        <f aca="false">AP2859*$M2859</f>
        <v>0</v>
      </c>
      <c r="AR2859" s="28"/>
      <c r="AS2859" s="28" t="n">
        <f aca="false">AR2859*$M2859</f>
        <v>0</v>
      </c>
      <c r="AT2859" s="28"/>
      <c r="AU2859" s="28" t="n">
        <f aca="false">AT2859*$M2859</f>
        <v>0</v>
      </c>
      <c r="AV2859" s="28"/>
      <c r="AW2859" s="28" t="n">
        <f aca="false">AV2859*$M2859</f>
        <v>0</v>
      </c>
      <c r="AX2859" s="28"/>
      <c r="AY2859" s="28" t="n">
        <f aca="false">AX2859*$M2859</f>
        <v>0</v>
      </c>
      <c r="AZ2859" s="30" t="n">
        <f aca="false">3459/100</f>
        <v>34.59</v>
      </c>
      <c r="BA2859" s="11" t="n">
        <v>1074</v>
      </c>
      <c r="BB2859" s="31" t="n">
        <f aca="false">SUM(Q2859,S2859,U2859,W2859,Y2859,AA2859,AC2859,AE2859,AG2859,AI2859,AK2859,AM2859,AO2859,AQ2859,AS2859,AU2859,AW2859,AY2859)</f>
        <v>1074</v>
      </c>
      <c r="BC2859" s="28" t="n">
        <f aca="false">BA2859-BB2859</f>
        <v>0</v>
      </c>
      <c r="BD2859" s="32" t="n">
        <f aca="false">SUM(P2859,R2859,T2859,V2859,X2859,Z2859,AB2859,AD2859,AF2859,AH2859,AJ2859,AL2859,AN2859,AP2859,AR2859,AT2859,AV2859,AX2859)</f>
        <v>34.59</v>
      </c>
      <c r="BE2859" s="33" t="n">
        <f aca="false">AZ2859-BD2859</f>
        <v>0</v>
      </c>
      <c r="BF2859" s="34" t="n">
        <f aca="false">BD2859*M2859</f>
        <v>1176.06</v>
      </c>
      <c r="BG2859" s="35" t="n">
        <f aca="false">BA2859-BF2859</f>
        <v>-102.06</v>
      </c>
      <c r="BH2859" s="19" t="str">
        <f aca="false">IF(BG2859=0,"",IF(BG2859&lt;&gt;BA2859,"erreur de calcul",IF(BD2859&lt;&gt;0,"pas de prix",IF(M2859&lt;&gt; 0,"pas de quantité","pas de prix, ni de quantité"))))</f>
        <v>erreur de calcul</v>
      </c>
      <c r="BI2859" s="19"/>
    </row>
    <row r="2860" customFormat="false" ht="15" hidden="false" customHeight="false" outlineLevel="0" collapsed="false">
      <c r="A2860" s="0" t="n">
        <v>9</v>
      </c>
      <c r="B2860" s="8" t="s">
        <v>24</v>
      </c>
      <c r="C2860" s="9" t="s">
        <v>25</v>
      </c>
      <c r="D2860" s="9" t="s">
        <v>26</v>
      </c>
      <c r="E2860" s="10" t="n">
        <v>1789</v>
      </c>
      <c r="F2860" s="9" t="s">
        <v>27</v>
      </c>
      <c r="G2860" s="9" t="s">
        <v>27</v>
      </c>
      <c r="H2860" s="11" t="n">
        <v>20</v>
      </c>
      <c r="I2860" s="11" t="s">
        <v>125</v>
      </c>
      <c r="J2860" s="14" t="n">
        <v>30</v>
      </c>
      <c r="K2860" s="14"/>
      <c r="L2860" s="16"/>
      <c r="M2860" s="27" t="n">
        <f aca="false">J2860+(K2860/20)+(L2860/240)</f>
        <v>30</v>
      </c>
      <c r="N2860" s="17" t="s">
        <v>64</v>
      </c>
      <c r="O2860" s="11"/>
      <c r="P2860" s="28" t="n">
        <f aca="false">31476/100</f>
        <v>314.76</v>
      </c>
      <c r="Q2860" s="28" t="n">
        <v>9443</v>
      </c>
      <c r="R2860" s="28"/>
      <c r="S2860" s="28" t="n">
        <f aca="false">R2860*$M2860</f>
        <v>0</v>
      </c>
      <c r="T2860" s="28"/>
      <c r="U2860" s="28" t="n">
        <f aca="false">T2860*$M2860</f>
        <v>0</v>
      </c>
      <c r="V2860" s="28"/>
      <c r="W2860" s="28" t="n">
        <f aca="false">V2860*$M2860</f>
        <v>0</v>
      </c>
      <c r="X2860" s="28" t="n">
        <f aca="false">2320/100</f>
        <v>23.2</v>
      </c>
      <c r="Y2860" s="28" t="n">
        <v>696</v>
      </c>
      <c r="Z2860" s="28"/>
      <c r="AA2860" s="28" t="n">
        <f aca="false">Z2860*$M2860</f>
        <v>0</v>
      </c>
      <c r="AB2860" s="28"/>
      <c r="AC2860" s="28" t="n">
        <f aca="false">AB2860*$M2860</f>
        <v>0</v>
      </c>
      <c r="AD2860" s="28"/>
      <c r="AE2860" s="28" t="n">
        <f aca="false">AD2860*$M2860</f>
        <v>0</v>
      </c>
      <c r="AF2860" s="28"/>
      <c r="AG2860" s="28" t="n">
        <f aca="false">AF2860*$M2860</f>
        <v>0</v>
      </c>
      <c r="AH2860" s="28"/>
      <c r="AI2860" s="28" t="n">
        <f aca="false">AH2860*$M2860</f>
        <v>0</v>
      </c>
      <c r="AJ2860" s="28"/>
      <c r="AK2860" s="28" t="n">
        <f aca="false">AJ2860*$M2860</f>
        <v>0</v>
      </c>
      <c r="AL2860" s="28"/>
      <c r="AM2860" s="28" t="n">
        <f aca="false">AL2860*$M2860</f>
        <v>0</v>
      </c>
      <c r="AN2860" s="28"/>
      <c r="AO2860" s="28" t="n">
        <f aca="false">AN2860*$M2860</f>
        <v>0</v>
      </c>
      <c r="AP2860" s="28" t="n">
        <f aca="false">5100/100</f>
        <v>51</v>
      </c>
      <c r="AQ2860" s="28" t="n">
        <v>1530</v>
      </c>
      <c r="AR2860" s="28"/>
      <c r="AS2860" s="28" t="n">
        <f aca="false">AR2860*$M2860</f>
        <v>0</v>
      </c>
      <c r="AT2860" s="28"/>
      <c r="AU2860" s="28" t="n">
        <f aca="false">AT2860*$M2860</f>
        <v>0</v>
      </c>
      <c r="AV2860" s="28"/>
      <c r="AW2860" s="28" t="n">
        <f aca="false">AV2860*$M2860</f>
        <v>0</v>
      </c>
      <c r="AX2860" s="28" t="n">
        <f aca="false">26345/100</f>
        <v>263.45</v>
      </c>
      <c r="AY2860" s="28" t="n">
        <v>7903</v>
      </c>
      <c r="AZ2860" s="30" t="n">
        <f aca="false">65241/100</f>
        <v>652.41</v>
      </c>
      <c r="BA2860" s="11" t="n">
        <v>19572</v>
      </c>
      <c r="BB2860" s="31" t="n">
        <f aca="false">SUM(Q2860,S2860,U2860,W2860,Y2860,AA2860,AC2860,AE2860,AG2860,AI2860,AK2860,AM2860,AO2860,AQ2860,AS2860,AU2860,AW2860,AY2860)</f>
        <v>19572</v>
      </c>
      <c r="BC2860" s="28" t="n">
        <f aca="false">BA2860-BB2860</f>
        <v>0</v>
      </c>
      <c r="BD2860" s="32" t="n">
        <f aca="false">SUM(P2860,R2860,T2860,V2860,X2860,Z2860,AB2860,AD2860,AF2860,AH2860,AJ2860,AL2860,AN2860,AP2860,AR2860,AT2860,AV2860,AX2860)</f>
        <v>652.41</v>
      </c>
      <c r="BE2860" s="33" t="n">
        <f aca="false">AZ2860-BD2860</f>
        <v>0</v>
      </c>
      <c r="BF2860" s="34" t="n">
        <f aca="false">BD2860*M2860</f>
        <v>19572.3</v>
      </c>
      <c r="BG2860" s="35" t="n">
        <f aca="false">BA2860-BF2860</f>
        <v>-0.299999999999272</v>
      </c>
      <c r="BH2860" s="19" t="str">
        <f aca="false">IF(BG2860=0,"",IF(BG2860&lt;&gt;BA2860,"erreur de calcul",IF(BD2860&lt;&gt;0,"pas de prix",IF(M2860&lt;&gt; 0,"pas de quantité","pas de prix, ni de quantité"))))</f>
        <v>erreur de calcul</v>
      </c>
      <c r="BI2860" s="19"/>
    </row>
    <row r="2861" customFormat="false" ht="15" hidden="false" customHeight="false" outlineLevel="0" collapsed="false">
      <c r="A2861" s="0" t="n">
        <v>10</v>
      </c>
      <c r="B2861" s="8" t="s">
        <v>24</v>
      </c>
      <c r="C2861" s="9" t="s">
        <v>25</v>
      </c>
      <c r="D2861" s="9" t="s">
        <v>26</v>
      </c>
      <c r="E2861" s="10" t="n">
        <v>1789</v>
      </c>
      <c r="F2861" s="9" t="s">
        <v>27</v>
      </c>
      <c r="G2861" s="9" t="s">
        <v>27</v>
      </c>
      <c r="H2861" s="11" t="n">
        <v>20</v>
      </c>
      <c r="I2861" s="11" t="s">
        <v>126</v>
      </c>
      <c r="J2861" s="14" t="n">
        <v>75</v>
      </c>
      <c r="K2861" s="14"/>
      <c r="L2861" s="16"/>
      <c r="M2861" s="27" t="n">
        <f aca="false">J2861+(K2861/20)+(L2861/240)</f>
        <v>75</v>
      </c>
      <c r="N2861" s="17" t="s">
        <v>64</v>
      </c>
      <c r="O2861" s="11"/>
      <c r="P2861" s="28"/>
      <c r="Q2861" s="28" t="n">
        <f aca="false">P2861*$M2861</f>
        <v>0</v>
      </c>
      <c r="R2861" s="28"/>
      <c r="S2861" s="28" t="n">
        <f aca="false">R2861*$M2861</f>
        <v>0</v>
      </c>
      <c r="T2861" s="28"/>
      <c r="U2861" s="28" t="n">
        <f aca="false">T2861*$M2861</f>
        <v>0</v>
      </c>
      <c r="V2861" s="28" t="n">
        <f aca="false">223/100</f>
        <v>2.23</v>
      </c>
      <c r="W2861" s="28" t="n">
        <v>167</v>
      </c>
      <c r="X2861" s="28" t="n">
        <f aca="false">2897/100</f>
        <v>28.97</v>
      </c>
      <c r="Y2861" s="28" t="n">
        <v>2173</v>
      </c>
      <c r="Z2861" s="28"/>
      <c r="AA2861" s="28" t="n">
        <f aca="false">Z2861*$M2861</f>
        <v>0</v>
      </c>
      <c r="AB2861" s="28"/>
      <c r="AC2861" s="28" t="n">
        <f aca="false">AB2861*$M2861</f>
        <v>0</v>
      </c>
      <c r="AD2861" s="28"/>
      <c r="AE2861" s="28" t="n">
        <f aca="false">AD2861*$M2861</f>
        <v>0</v>
      </c>
      <c r="AF2861" s="28"/>
      <c r="AG2861" s="28" t="n">
        <f aca="false">AF2861*$M2861</f>
        <v>0</v>
      </c>
      <c r="AH2861" s="28"/>
      <c r="AI2861" s="28" t="n">
        <f aca="false">AH2861*$M2861</f>
        <v>0</v>
      </c>
      <c r="AJ2861" s="28"/>
      <c r="AK2861" s="28" t="n">
        <f aca="false">AJ2861*$M2861</f>
        <v>0</v>
      </c>
      <c r="AL2861" s="28"/>
      <c r="AM2861" s="28" t="n">
        <f aca="false">AL2861*$M2861</f>
        <v>0</v>
      </c>
      <c r="AN2861" s="28"/>
      <c r="AO2861" s="28" t="n">
        <f aca="false">AN2861*$M2861</f>
        <v>0</v>
      </c>
      <c r="AP2861" s="28"/>
      <c r="AQ2861" s="28" t="n">
        <f aca="false">AP2861*$M2861</f>
        <v>0</v>
      </c>
      <c r="AR2861" s="28"/>
      <c r="AS2861" s="28" t="n">
        <f aca="false">AR2861*$M2861</f>
        <v>0</v>
      </c>
      <c r="AT2861" s="28"/>
      <c r="AU2861" s="28" t="n">
        <f aca="false">AT2861*$M2861</f>
        <v>0</v>
      </c>
      <c r="AV2861" s="28"/>
      <c r="AW2861" s="28" t="n">
        <f aca="false">AV2861*$M2861</f>
        <v>0</v>
      </c>
      <c r="AX2861" s="28"/>
      <c r="AY2861" s="28" t="n">
        <f aca="false">AX2861*$M2861</f>
        <v>0</v>
      </c>
      <c r="AZ2861" s="30" t="n">
        <f aca="false">3120/100</f>
        <v>31.2</v>
      </c>
      <c r="BA2861" s="11" t="n">
        <v>2340</v>
      </c>
      <c r="BB2861" s="31" t="n">
        <f aca="false">SUM(Q2861,S2861,U2861,W2861,Y2861,AA2861,AC2861,AE2861,AG2861,AI2861,AK2861,AM2861,AO2861,AQ2861,AS2861,AU2861,AW2861,AY2861)</f>
        <v>2340</v>
      </c>
      <c r="BC2861" s="28" t="n">
        <f aca="false">BA2861-BB2861</f>
        <v>0</v>
      </c>
      <c r="BD2861" s="32" t="n">
        <f aca="false">SUM(P2861,R2861,T2861,V2861,X2861,Z2861,AB2861,AD2861,AF2861,AH2861,AJ2861,AL2861,AN2861,AP2861,AR2861,AT2861,AV2861,AX2861)</f>
        <v>31.2</v>
      </c>
      <c r="BE2861" s="33" t="n">
        <f aca="false">AZ2861-BD2861</f>
        <v>0</v>
      </c>
      <c r="BF2861" s="34" t="n">
        <f aca="false">BD2861*M2861</f>
        <v>2340</v>
      </c>
      <c r="BG2861" s="35" t="n">
        <f aca="false">BA2861-BF2861</f>
        <v>0</v>
      </c>
      <c r="BH2861" s="19" t="str">
        <f aca="false">IF(BG2861=0,"",IF(BG2861&lt;&gt;BA2861,"erreur de calcul",IF(BD2861&lt;&gt;0,"pas de prix",IF(M2861&lt;&gt; 0,"pas de quantité","pas de prix, ni de quantité"))))</f>
        <v/>
      </c>
      <c r="BI2861" s="19"/>
    </row>
    <row r="2862" customFormat="false" ht="15" hidden="false" customHeight="false" outlineLevel="0" collapsed="false">
      <c r="A2862" s="0" t="n">
        <v>11</v>
      </c>
      <c r="B2862" s="8" t="s">
        <v>24</v>
      </c>
      <c r="C2862" s="9" t="s">
        <v>25</v>
      </c>
      <c r="D2862" s="9" t="s">
        <v>26</v>
      </c>
      <c r="E2862" s="10" t="n">
        <v>1789</v>
      </c>
      <c r="F2862" s="9" t="s">
        <v>27</v>
      </c>
      <c r="G2862" s="9" t="s">
        <v>27</v>
      </c>
      <c r="H2862" s="11" t="n">
        <v>20</v>
      </c>
      <c r="I2862" s="11" t="s">
        <v>127</v>
      </c>
      <c r="J2862" s="14" t="n">
        <v>75</v>
      </c>
      <c r="K2862" s="14"/>
      <c r="L2862" s="16"/>
      <c r="M2862" s="27" t="n">
        <f aca="false">J2862+(K2862/20)+(L2862/240)</f>
        <v>75</v>
      </c>
      <c r="N2862" s="17" t="s">
        <v>64</v>
      </c>
      <c r="O2862" s="11"/>
      <c r="P2862" s="28"/>
      <c r="Q2862" s="28" t="n">
        <f aca="false">P2862*$M2862</f>
        <v>0</v>
      </c>
      <c r="R2862" s="28"/>
      <c r="S2862" s="28" t="n">
        <f aca="false">R2862*$M2862</f>
        <v>0</v>
      </c>
      <c r="T2862" s="28" t="n">
        <f aca="false">5807/100</f>
        <v>58.07</v>
      </c>
      <c r="U2862" s="28" t="n">
        <v>4355</v>
      </c>
      <c r="V2862" s="28"/>
      <c r="W2862" s="28" t="n">
        <f aca="false">V2862*$M2862</f>
        <v>0</v>
      </c>
      <c r="X2862" s="28"/>
      <c r="Y2862" s="28" t="n">
        <f aca="false">X2862*$M2862</f>
        <v>0</v>
      </c>
      <c r="Z2862" s="28"/>
      <c r="AA2862" s="28" t="n">
        <f aca="false">Z2862*$M2862</f>
        <v>0</v>
      </c>
      <c r="AB2862" s="28"/>
      <c r="AC2862" s="28" t="n">
        <f aca="false">AB2862*$M2862</f>
        <v>0</v>
      </c>
      <c r="AD2862" s="28"/>
      <c r="AE2862" s="28" t="n">
        <f aca="false">AD2862*$M2862</f>
        <v>0</v>
      </c>
      <c r="AF2862" s="28"/>
      <c r="AG2862" s="28" t="n">
        <f aca="false">AF2862*$M2862</f>
        <v>0</v>
      </c>
      <c r="AH2862" s="28"/>
      <c r="AI2862" s="28" t="n">
        <f aca="false">AH2862*$M2862</f>
        <v>0</v>
      </c>
      <c r="AJ2862" s="28"/>
      <c r="AK2862" s="28" t="n">
        <f aca="false">AJ2862*$M2862</f>
        <v>0</v>
      </c>
      <c r="AL2862" s="28"/>
      <c r="AM2862" s="28" t="n">
        <f aca="false">AL2862*$M2862</f>
        <v>0</v>
      </c>
      <c r="AN2862" s="28"/>
      <c r="AO2862" s="28" t="n">
        <f aca="false">AN2862*$M2862</f>
        <v>0</v>
      </c>
      <c r="AP2862" s="28"/>
      <c r="AQ2862" s="28" t="n">
        <f aca="false">AP2862*$M2862</f>
        <v>0</v>
      </c>
      <c r="AR2862" s="28"/>
      <c r="AS2862" s="28" t="n">
        <f aca="false">AR2862*$M2862</f>
        <v>0</v>
      </c>
      <c r="AT2862" s="28"/>
      <c r="AU2862" s="28" t="n">
        <f aca="false">AT2862*$M2862</f>
        <v>0</v>
      </c>
      <c r="AV2862" s="28"/>
      <c r="AW2862" s="28" t="n">
        <f aca="false">AV2862*$M2862</f>
        <v>0</v>
      </c>
      <c r="AX2862" s="28"/>
      <c r="AY2862" s="28" t="n">
        <f aca="false">AX2862*$M2862</f>
        <v>0</v>
      </c>
      <c r="AZ2862" s="30" t="n">
        <f aca="false">5807/100</f>
        <v>58.07</v>
      </c>
      <c r="BA2862" s="11" t="n">
        <v>4355</v>
      </c>
      <c r="BB2862" s="31" t="n">
        <f aca="false">SUM(Q2862,S2862,U2862,W2862,Y2862,AA2862,AC2862,AE2862,AG2862,AI2862,AK2862,AM2862,AO2862,AQ2862,AS2862,AU2862,AW2862,AY2862)</f>
        <v>4355</v>
      </c>
      <c r="BC2862" s="28" t="n">
        <f aca="false">BA2862-BB2862</f>
        <v>0</v>
      </c>
      <c r="BD2862" s="32" t="n">
        <f aca="false">SUM(P2862,R2862,T2862,V2862,X2862,Z2862,AB2862,AD2862,AF2862,AH2862,AJ2862,AL2862,AN2862,AP2862,AR2862,AT2862,AV2862,AX2862)</f>
        <v>58.07</v>
      </c>
      <c r="BE2862" s="33" t="n">
        <f aca="false">AZ2862-BD2862</f>
        <v>0</v>
      </c>
      <c r="BF2862" s="34" t="n">
        <f aca="false">BD2862*M2862</f>
        <v>4355.25</v>
      </c>
      <c r="BG2862" s="35" t="n">
        <f aca="false">BA2862-BF2862</f>
        <v>-0.25</v>
      </c>
      <c r="BH2862" s="19" t="str">
        <f aca="false">IF(BG2862=0,"",IF(BG2862&lt;&gt;BA2862,"erreur de calcul",IF(BD2862&lt;&gt;0,"pas de prix",IF(M2862&lt;&gt; 0,"pas de quantité","pas de prix, ni de quantité"))))</f>
        <v>erreur de calcul</v>
      </c>
      <c r="BI2862" s="19"/>
    </row>
    <row r="2863" customFormat="false" ht="15" hidden="false" customHeight="false" outlineLevel="0" collapsed="false">
      <c r="A2863" s="0" t="n">
        <v>12</v>
      </c>
      <c r="B2863" s="8" t="s">
        <v>24</v>
      </c>
      <c r="C2863" s="9" t="s">
        <v>25</v>
      </c>
      <c r="D2863" s="9" t="s">
        <v>26</v>
      </c>
      <c r="E2863" s="10" t="n">
        <v>1789</v>
      </c>
      <c r="F2863" s="9" t="s">
        <v>27</v>
      </c>
      <c r="G2863" s="9" t="s">
        <v>27</v>
      </c>
      <c r="H2863" s="11" t="n">
        <v>20</v>
      </c>
      <c r="I2863" s="11" t="s">
        <v>128</v>
      </c>
      <c r="J2863" s="14" t="n">
        <v>42</v>
      </c>
      <c r="K2863" s="14"/>
      <c r="L2863" s="16"/>
      <c r="M2863" s="27" t="n">
        <f aca="false">J2863+(K2863/20)+(L2863/240)</f>
        <v>42</v>
      </c>
      <c r="N2863" s="17" t="s">
        <v>64</v>
      </c>
      <c r="O2863" s="11"/>
      <c r="P2863" s="28"/>
      <c r="Q2863" s="28" t="n">
        <f aca="false">P2863*$M2863</f>
        <v>0</v>
      </c>
      <c r="R2863" s="28"/>
      <c r="S2863" s="28" t="n">
        <f aca="false">R2863*$M2863</f>
        <v>0</v>
      </c>
      <c r="T2863" s="28" t="n">
        <f aca="false">347073/100</f>
        <v>3470.73</v>
      </c>
      <c r="U2863" s="28" t="n">
        <v>145771</v>
      </c>
      <c r="V2863" s="28" t="n">
        <f aca="false">188616/100</f>
        <v>1886.16</v>
      </c>
      <c r="W2863" s="28" t="n">
        <v>79219</v>
      </c>
      <c r="X2863" s="28" t="n">
        <f aca="false">518894/100</f>
        <v>5188.94</v>
      </c>
      <c r="Y2863" s="28" t="n">
        <v>217935</v>
      </c>
      <c r="Z2863" s="28" t="n">
        <f aca="false">965148/100</f>
        <v>9651.48</v>
      </c>
      <c r="AA2863" s="28" t="n">
        <v>405362</v>
      </c>
      <c r="AB2863" s="28" t="n">
        <f aca="false">759238/100</f>
        <v>7592.38</v>
      </c>
      <c r="AC2863" s="28" t="n">
        <v>318880</v>
      </c>
      <c r="AD2863" s="28" t="n">
        <f aca="false">254167/100</f>
        <v>2541.67</v>
      </c>
      <c r="AE2863" s="28" t="n">
        <v>106750</v>
      </c>
      <c r="AF2863" s="28"/>
      <c r="AG2863" s="28" t="n">
        <f aca="false">AF2863*$M2863</f>
        <v>0</v>
      </c>
      <c r="AH2863" s="28"/>
      <c r="AI2863" s="28" t="n">
        <f aca="false">AH2863*$M2863</f>
        <v>0</v>
      </c>
      <c r="AJ2863" s="28"/>
      <c r="AK2863" s="28" t="n">
        <f aca="false">AJ2863*$M2863</f>
        <v>0</v>
      </c>
      <c r="AL2863" s="28" t="n">
        <f aca="false">73551/100</f>
        <v>735.51</v>
      </c>
      <c r="AM2863" s="28" t="n">
        <v>30891</v>
      </c>
      <c r="AN2863" s="28"/>
      <c r="AO2863" s="28" t="n">
        <f aca="false">AN2863*$M2863</f>
        <v>0</v>
      </c>
      <c r="AP2863" s="28" t="n">
        <f aca="false">45836/100</f>
        <v>458.36</v>
      </c>
      <c r="AQ2863" s="28" t="n">
        <v>19251</v>
      </c>
      <c r="AR2863" s="28"/>
      <c r="AS2863" s="28" t="n">
        <f aca="false">AR2863*$M2863</f>
        <v>0</v>
      </c>
      <c r="AT2863" s="28"/>
      <c r="AU2863" s="28" t="n">
        <f aca="false">AT2863*$M2863</f>
        <v>0</v>
      </c>
      <c r="AV2863" s="28" t="n">
        <f aca="false">566574/100</f>
        <v>5665.74</v>
      </c>
      <c r="AW2863" s="28" t="n">
        <v>237961</v>
      </c>
      <c r="AX2863" s="28"/>
      <c r="AY2863" s="28" t="n">
        <f aca="false">AX2863*$M2863</f>
        <v>0</v>
      </c>
      <c r="AZ2863" s="30" t="n">
        <f aca="false">3719097/100</f>
        <v>37190.97</v>
      </c>
      <c r="BA2863" s="11" t="n">
        <v>1562020</v>
      </c>
      <c r="BB2863" s="31" t="n">
        <f aca="false">SUM(Q2863,S2863,U2863,W2863,Y2863,AA2863,AC2863,AE2863,AG2863,AI2863,AK2863,AM2863,AO2863,AQ2863,AS2863,AU2863,AW2863,AY2863)</f>
        <v>1562020</v>
      </c>
      <c r="BC2863" s="28" t="n">
        <f aca="false">BA2863-BB2863</f>
        <v>0</v>
      </c>
      <c r="BD2863" s="32" t="n">
        <f aca="false">SUM(P2863,R2863,T2863,V2863,X2863,Z2863,AB2863,AD2863,AF2863,AH2863,AJ2863,AL2863,AN2863,AP2863,AR2863,AT2863,AV2863,AX2863)</f>
        <v>37190.97</v>
      </c>
      <c r="BE2863" s="33" t="n">
        <f aca="false">AZ2863-BD2863</f>
        <v>0</v>
      </c>
      <c r="BF2863" s="34" t="n">
        <f aca="false">BD2863*M2863</f>
        <v>1562020.74</v>
      </c>
      <c r="BG2863" s="35" t="n">
        <f aca="false">BA2863-BF2863</f>
        <v>-0.739999999990687</v>
      </c>
      <c r="BH2863" s="19" t="str">
        <f aca="false">IF(BG2863=0,"",IF(BG2863&lt;&gt;BA2863,"erreur de calcul",IF(BD2863&lt;&gt;0,"pas de prix",IF(M2863&lt;&gt; 0,"pas de quantité","pas de prix, ni de quantité"))))</f>
        <v>erreur de calcul</v>
      </c>
      <c r="BI2863" s="19"/>
    </row>
    <row r="2864" customFormat="false" ht="15" hidden="false" customHeight="false" outlineLevel="0" collapsed="false">
      <c r="A2864" s="0" t="n">
        <v>13</v>
      </c>
      <c r="B2864" s="8" t="s">
        <v>24</v>
      </c>
      <c r="C2864" s="9" t="s">
        <v>25</v>
      </c>
      <c r="D2864" s="9" t="s">
        <v>26</v>
      </c>
      <c r="E2864" s="10" t="n">
        <v>1789</v>
      </c>
      <c r="F2864" s="9" t="s">
        <v>27</v>
      </c>
      <c r="G2864" s="9" t="s">
        <v>27</v>
      </c>
      <c r="H2864" s="11" t="n">
        <v>20</v>
      </c>
      <c r="I2864" s="11" t="s">
        <v>129</v>
      </c>
      <c r="J2864" s="14" t="n">
        <v>75</v>
      </c>
      <c r="K2864" s="14"/>
      <c r="L2864" s="16"/>
      <c r="M2864" s="27" t="n">
        <f aca="false">J2864+(K2864/20)+(L2864/240)</f>
        <v>75</v>
      </c>
      <c r="N2864" s="17" t="s">
        <v>64</v>
      </c>
      <c r="O2864" s="11"/>
      <c r="P2864" s="28"/>
      <c r="Q2864" s="28" t="n">
        <f aca="false">P2864*$M2864</f>
        <v>0</v>
      </c>
      <c r="R2864" s="28"/>
      <c r="S2864" s="28" t="n">
        <f aca="false">R2864*$M2864</f>
        <v>0</v>
      </c>
      <c r="T2864" s="28"/>
      <c r="U2864" s="28" t="n">
        <f aca="false">T2864*$M2864</f>
        <v>0</v>
      </c>
      <c r="V2864" s="28" t="n">
        <f aca="false">3418/100</f>
        <v>34.18</v>
      </c>
      <c r="W2864" s="28" t="n">
        <v>2563</v>
      </c>
      <c r="X2864" s="28" t="n">
        <f aca="false">3755/100</f>
        <v>37.55</v>
      </c>
      <c r="Y2864" s="28" t="n">
        <v>2817</v>
      </c>
      <c r="Z2864" s="28"/>
      <c r="AA2864" s="28" t="n">
        <f aca="false">Z2864*$M2864</f>
        <v>0</v>
      </c>
      <c r="AB2864" s="28" t="n">
        <f aca="false">75529/100</f>
        <v>755.29</v>
      </c>
      <c r="AC2864" s="28" t="n">
        <v>56647</v>
      </c>
      <c r="AD2864" s="28"/>
      <c r="AE2864" s="28" t="n">
        <f aca="false">AD2864*$M2864</f>
        <v>0</v>
      </c>
      <c r="AF2864" s="28"/>
      <c r="AG2864" s="28" t="n">
        <f aca="false">AF2864*$M2864</f>
        <v>0</v>
      </c>
      <c r="AH2864" s="28"/>
      <c r="AI2864" s="28" t="n">
        <f aca="false">AH2864*$M2864</f>
        <v>0</v>
      </c>
      <c r="AJ2864" s="28"/>
      <c r="AK2864" s="28" t="n">
        <f aca="false">AJ2864*$M2864</f>
        <v>0</v>
      </c>
      <c r="AL2864" s="28"/>
      <c r="AM2864" s="28" t="n">
        <f aca="false">AL2864*$M2864</f>
        <v>0</v>
      </c>
      <c r="AN2864" s="28"/>
      <c r="AO2864" s="28" t="n">
        <f aca="false">AN2864*$M2864</f>
        <v>0</v>
      </c>
      <c r="AP2864" s="28"/>
      <c r="AQ2864" s="28" t="n">
        <f aca="false">AP2864*$M2864</f>
        <v>0</v>
      </c>
      <c r="AR2864" s="28"/>
      <c r="AS2864" s="28" t="n">
        <f aca="false">AR2864*$M2864</f>
        <v>0</v>
      </c>
      <c r="AT2864" s="28"/>
      <c r="AU2864" s="28" t="n">
        <f aca="false">AT2864*$M2864</f>
        <v>0</v>
      </c>
      <c r="AV2864" s="28"/>
      <c r="AW2864" s="28" t="n">
        <f aca="false">AV2864*$M2864</f>
        <v>0</v>
      </c>
      <c r="AX2864" s="28"/>
      <c r="AY2864" s="28" t="n">
        <f aca="false">AX2864*$M2864</f>
        <v>0</v>
      </c>
      <c r="AZ2864" s="30" t="n">
        <f aca="false">82702/100</f>
        <v>827.02</v>
      </c>
      <c r="BA2864" s="11" t="n">
        <v>62027</v>
      </c>
      <c r="BB2864" s="31" t="n">
        <f aca="false">SUM(Q2864,S2864,U2864,W2864,Y2864,AA2864,AC2864,AE2864,AG2864,AI2864,AK2864,AM2864,AO2864,AQ2864,AS2864,AU2864,AW2864,AY2864)</f>
        <v>62027</v>
      </c>
      <c r="BC2864" s="28" t="n">
        <f aca="false">BA2864-BB2864</f>
        <v>0</v>
      </c>
      <c r="BD2864" s="32" t="n">
        <f aca="false">SUM(P2864,R2864,T2864,V2864,X2864,Z2864,AB2864,AD2864,AF2864,AH2864,AJ2864,AL2864,AN2864,AP2864,AR2864,AT2864,AV2864,AX2864)</f>
        <v>827.02</v>
      </c>
      <c r="BE2864" s="33" t="n">
        <f aca="false">AZ2864-BD2864</f>
        <v>0</v>
      </c>
      <c r="BF2864" s="34" t="n">
        <f aca="false">BD2864*M2864</f>
        <v>62026.5</v>
      </c>
      <c r="BG2864" s="35" t="n">
        <f aca="false">BA2864-BF2864</f>
        <v>0.500000000007276</v>
      </c>
      <c r="BH2864" s="19" t="str">
        <f aca="false">IF(BG2864=0,"",IF(BG2864&lt;&gt;BA2864,"erreur de calcul",IF(BD2864&lt;&gt;0,"pas de prix",IF(M2864&lt;&gt; 0,"pas de quantité","pas de prix, ni de quantité"))))</f>
        <v>erreur de calcul</v>
      </c>
      <c r="BI2864" s="19"/>
    </row>
    <row r="2865" customFormat="false" ht="15" hidden="false" customHeight="false" outlineLevel="0" collapsed="false">
      <c r="A2865" s="0" t="n">
        <v>14</v>
      </c>
      <c r="B2865" s="8" t="s">
        <v>24</v>
      </c>
      <c r="C2865" s="9" t="s">
        <v>25</v>
      </c>
      <c r="D2865" s="9" t="s">
        <v>26</v>
      </c>
      <c r="E2865" s="10" t="n">
        <v>1789</v>
      </c>
      <c r="F2865" s="9" t="s">
        <v>27</v>
      </c>
      <c r="G2865" s="9" t="s">
        <v>27</v>
      </c>
      <c r="H2865" s="11" t="n">
        <v>20</v>
      </c>
      <c r="I2865" s="11" t="s">
        <v>130</v>
      </c>
      <c r="J2865" s="14" t="n">
        <v>170</v>
      </c>
      <c r="K2865" s="14"/>
      <c r="L2865" s="16"/>
      <c r="M2865" s="27" t="n">
        <f aca="false">J2865+(K2865/20)+(L2865/240)</f>
        <v>170</v>
      </c>
      <c r="N2865" s="17" t="s">
        <v>64</v>
      </c>
      <c r="O2865" s="11"/>
      <c r="P2865" s="28"/>
      <c r="Q2865" s="28" t="n">
        <f aca="false">P2865*$M2865</f>
        <v>0</v>
      </c>
      <c r="R2865" s="28"/>
      <c r="S2865" s="28" t="n">
        <f aca="false">R2865*$M2865</f>
        <v>0</v>
      </c>
      <c r="T2865" s="28" t="n">
        <f aca="false">488/100</f>
        <v>4.88</v>
      </c>
      <c r="U2865" s="28" t="n">
        <v>830</v>
      </c>
      <c r="V2865" s="28"/>
      <c r="W2865" s="28" t="n">
        <f aca="false">V2865*$M2865</f>
        <v>0</v>
      </c>
      <c r="X2865" s="28" t="n">
        <f aca="false">8480/100</f>
        <v>84.8</v>
      </c>
      <c r="Y2865" s="28" t="n">
        <v>14416</v>
      </c>
      <c r="Z2865" s="28"/>
      <c r="AA2865" s="28" t="n">
        <f aca="false">Z2865*$M2865</f>
        <v>0</v>
      </c>
      <c r="AB2865" s="28" t="n">
        <f aca="false">291/100</f>
        <v>2.91</v>
      </c>
      <c r="AC2865" s="28" t="n">
        <v>495</v>
      </c>
      <c r="AD2865" s="28"/>
      <c r="AE2865" s="28" t="n">
        <f aca="false">AD2865*$M2865</f>
        <v>0</v>
      </c>
      <c r="AF2865" s="28"/>
      <c r="AG2865" s="28" t="n">
        <f aca="false">AF2865*$M2865</f>
        <v>0</v>
      </c>
      <c r="AH2865" s="28"/>
      <c r="AI2865" s="28" t="n">
        <f aca="false">AH2865*$M2865</f>
        <v>0</v>
      </c>
      <c r="AJ2865" s="28"/>
      <c r="AK2865" s="28" t="n">
        <f aca="false">AJ2865*$M2865</f>
        <v>0</v>
      </c>
      <c r="AL2865" s="28"/>
      <c r="AM2865" s="28" t="n">
        <f aca="false">AL2865*$M2865</f>
        <v>0</v>
      </c>
      <c r="AN2865" s="28"/>
      <c r="AO2865" s="28" t="n">
        <f aca="false">AN2865*$M2865</f>
        <v>0</v>
      </c>
      <c r="AP2865" s="28"/>
      <c r="AQ2865" s="28" t="n">
        <f aca="false">AP2865*$M2865</f>
        <v>0</v>
      </c>
      <c r="AR2865" s="28"/>
      <c r="AS2865" s="28" t="n">
        <f aca="false">AR2865*$M2865</f>
        <v>0</v>
      </c>
      <c r="AT2865" s="28"/>
      <c r="AU2865" s="28" t="n">
        <f aca="false">AT2865*$M2865</f>
        <v>0</v>
      </c>
      <c r="AV2865" s="28"/>
      <c r="AW2865" s="28" t="n">
        <f aca="false">AV2865*$M2865</f>
        <v>0</v>
      </c>
      <c r="AX2865" s="28"/>
      <c r="AY2865" s="28" t="n">
        <f aca="false">AX2865*$M2865</f>
        <v>0</v>
      </c>
      <c r="AZ2865" s="30" t="n">
        <f aca="false">9259/100</f>
        <v>92.59</v>
      </c>
      <c r="BA2865" s="11" t="n">
        <v>15741</v>
      </c>
      <c r="BB2865" s="31" t="n">
        <f aca="false">SUM(Q2865,S2865,U2865,W2865,Y2865,AA2865,AC2865,AE2865,AG2865,AI2865,AK2865,AM2865,AO2865,AQ2865,AS2865,AU2865,AW2865,AY2865)</f>
        <v>15741</v>
      </c>
      <c r="BC2865" s="28" t="n">
        <f aca="false">BA2865-BB2865</f>
        <v>0</v>
      </c>
      <c r="BD2865" s="32" t="n">
        <f aca="false">SUM(P2865,R2865,T2865,V2865,X2865,Z2865,AB2865,AD2865,AF2865,AH2865,AJ2865,AL2865,AN2865,AP2865,AR2865,AT2865,AV2865,AX2865)</f>
        <v>92.59</v>
      </c>
      <c r="BE2865" s="33" t="n">
        <f aca="false">AZ2865-BD2865</f>
        <v>0</v>
      </c>
      <c r="BF2865" s="34" t="n">
        <f aca="false">BD2865*M2865</f>
        <v>15740.3</v>
      </c>
      <c r="BG2865" s="35" t="n">
        <f aca="false">BA2865-BF2865</f>
        <v>0.700000000002547</v>
      </c>
      <c r="BH2865" s="19" t="str">
        <f aca="false">IF(BG2865=0,"",IF(BG2865&lt;&gt;BA2865,"erreur de calcul",IF(BD2865&lt;&gt;0,"pas de prix",IF(M2865&lt;&gt; 0,"pas de quantité","pas de prix, ni de quantité"))))</f>
        <v>erreur de calcul</v>
      </c>
      <c r="BI2865" s="19"/>
    </row>
    <row r="2866" customFormat="false" ht="15" hidden="false" customHeight="false" outlineLevel="0" collapsed="false">
      <c r="A2866" s="0" t="n">
        <v>15</v>
      </c>
      <c r="B2866" s="8" t="s">
        <v>24</v>
      </c>
      <c r="C2866" s="9" t="s">
        <v>25</v>
      </c>
      <c r="D2866" s="9" t="s">
        <v>26</v>
      </c>
      <c r="E2866" s="10" t="n">
        <v>1789</v>
      </c>
      <c r="F2866" s="9" t="s">
        <v>27</v>
      </c>
      <c r="G2866" s="9" t="s">
        <v>27</v>
      </c>
      <c r="H2866" s="11" t="n">
        <v>20</v>
      </c>
      <c r="I2866" s="11" t="s">
        <v>131</v>
      </c>
      <c r="J2866" s="14"/>
      <c r="K2866" s="14" t="n">
        <v>55</v>
      </c>
      <c r="L2866" s="16"/>
      <c r="M2866" s="27" t="n">
        <f aca="false">J2866+(K2866/20)+(L2866/240)</f>
        <v>2.75</v>
      </c>
      <c r="N2866" s="17" t="s">
        <v>64</v>
      </c>
      <c r="O2866" s="11"/>
      <c r="P2866" s="28"/>
      <c r="Q2866" s="28" t="n">
        <f aca="false">P2866*$M2866</f>
        <v>0</v>
      </c>
      <c r="R2866" s="28"/>
      <c r="S2866" s="28" t="n">
        <f aca="false">R2866*$M2866</f>
        <v>0</v>
      </c>
      <c r="T2866" s="28"/>
      <c r="U2866" s="28" t="n">
        <f aca="false">T2866*$M2866</f>
        <v>0</v>
      </c>
      <c r="V2866" s="28"/>
      <c r="W2866" s="28" t="n">
        <f aca="false">V2866*$M2866</f>
        <v>0</v>
      </c>
      <c r="X2866" s="28" t="n">
        <f aca="false">3875617/100</f>
        <v>38756.17</v>
      </c>
      <c r="Y2866" s="28" t="n">
        <v>106579</v>
      </c>
      <c r="Z2866" s="28" t="n">
        <f aca="false">62500/100</f>
        <v>625</v>
      </c>
      <c r="AA2866" s="28" t="n">
        <v>1719</v>
      </c>
      <c r="AB2866" s="28" t="n">
        <f aca="false">360000/100</f>
        <v>3600</v>
      </c>
      <c r="AC2866" s="28" t="n">
        <v>9900</v>
      </c>
      <c r="AD2866" s="28"/>
      <c r="AE2866" s="28" t="n">
        <f aca="false">AD2866*$M2866</f>
        <v>0</v>
      </c>
      <c r="AF2866" s="28"/>
      <c r="AG2866" s="28" t="n">
        <f aca="false">AF2866*$M2866</f>
        <v>0</v>
      </c>
      <c r="AH2866" s="28"/>
      <c r="AI2866" s="28" t="n">
        <f aca="false">AH2866*$M2866</f>
        <v>0</v>
      </c>
      <c r="AJ2866" s="28"/>
      <c r="AK2866" s="28" t="n">
        <f aca="false">AJ2866*$M2866</f>
        <v>0</v>
      </c>
      <c r="AL2866" s="28"/>
      <c r="AM2866" s="28" t="n">
        <f aca="false">AL2866*$M2866</f>
        <v>0</v>
      </c>
      <c r="AN2866" s="28"/>
      <c r="AO2866" s="28" t="n">
        <f aca="false">AN2866*$M2866</f>
        <v>0</v>
      </c>
      <c r="AP2866" s="28"/>
      <c r="AQ2866" s="28" t="n">
        <f aca="false">AP2866*$M2866</f>
        <v>0</v>
      </c>
      <c r="AR2866" s="28"/>
      <c r="AS2866" s="28" t="n">
        <f aca="false">AR2866*$M2866</f>
        <v>0</v>
      </c>
      <c r="AT2866" s="28"/>
      <c r="AU2866" s="28" t="n">
        <f aca="false">AT2866*$M2866</f>
        <v>0</v>
      </c>
      <c r="AV2866" s="28"/>
      <c r="AW2866" s="28" t="n">
        <f aca="false">AV2866*$M2866</f>
        <v>0</v>
      </c>
      <c r="AX2866" s="28"/>
      <c r="AY2866" s="28" t="n">
        <f aca="false">AX2866*$M2866</f>
        <v>0</v>
      </c>
      <c r="AZ2866" s="30" t="n">
        <f aca="false">4298117/100</f>
        <v>42981.17</v>
      </c>
      <c r="BA2866" s="11" t="n">
        <v>118198</v>
      </c>
      <c r="BB2866" s="31" t="n">
        <f aca="false">SUM(Q2866,S2866,U2866,W2866,Y2866,AA2866,AC2866,AE2866,AG2866,AI2866,AK2866,AM2866,AO2866,AQ2866,AS2866,AU2866,AW2866,AY2866)</f>
        <v>118198</v>
      </c>
      <c r="BC2866" s="28" t="n">
        <f aca="false">BA2866-BB2866</f>
        <v>0</v>
      </c>
      <c r="BD2866" s="32" t="n">
        <f aca="false">SUM(P2866,R2866,T2866,V2866,X2866,Z2866,AB2866,AD2866,AF2866,AH2866,AJ2866,AL2866,AN2866,AP2866,AR2866,AT2866,AV2866,AX2866)</f>
        <v>42981.17</v>
      </c>
      <c r="BE2866" s="33" t="n">
        <f aca="false">AZ2866-BD2866</f>
        <v>0</v>
      </c>
      <c r="BF2866" s="34" t="n">
        <f aca="false">BD2866*M2866</f>
        <v>118198.2175</v>
      </c>
      <c r="BG2866" s="35" t="n">
        <f aca="false">BA2866-BF2866</f>
        <v>-0.217499999998836</v>
      </c>
      <c r="BH2866" s="19" t="str">
        <f aca="false">IF(BG2866=0,"",IF(BG2866&lt;&gt;BA2866,"erreur de calcul",IF(BD2866&lt;&gt;0,"pas de prix",IF(M2866&lt;&gt; 0,"pas de quantité","pas de prix, ni de quantité"))))</f>
        <v>erreur de calcul</v>
      </c>
      <c r="BI2866" s="19"/>
    </row>
    <row r="2867" customFormat="false" ht="15" hidden="false" customHeight="false" outlineLevel="0" collapsed="false">
      <c r="A2867" s="0" t="n">
        <v>16</v>
      </c>
      <c r="B2867" s="8" t="s">
        <v>24</v>
      </c>
      <c r="C2867" s="9" t="s">
        <v>25</v>
      </c>
      <c r="D2867" s="9" t="s">
        <v>26</v>
      </c>
      <c r="E2867" s="10" t="n">
        <v>1789</v>
      </c>
      <c r="F2867" s="9" t="s">
        <v>27</v>
      </c>
      <c r="G2867" s="9" t="s">
        <v>27</v>
      </c>
      <c r="H2867" s="11" t="n">
        <v>20</v>
      </c>
      <c r="I2867" s="11" t="s">
        <v>132</v>
      </c>
      <c r="J2867" s="14"/>
      <c r="K2867" s="14" t="n">
        <v>50</v>
      </c>
      <c r="L2867" s="16"/>
      <c r="M2867" s="27" t="n">
        <f aca="false">J2867+(K2867/20)+(L2867/240)</f>
        <v>2.5</v>
      </c>
      <c r="N2867" s="17" t="s">
        <v>64</v>
      </c>
      <c r="O2867" s="11"/>
      <c r="P2867" s="28"/>
      <c r="Q2867" s="28" t="n">
        <f aca="false">P2867*$M2867</f>
        <v>0</v>
      </c>
      <c r="R2867" s="28"/>
      <c r="S2867" s="28" t="n">
        <f aca="false">R2867*$M2867</f>
        <v>0</v>
      </c>
      <c r="T2867" s="28"/>
      <c r="U2867" s="28" t="n">
        <f aca="false">T2867*$M2867</f>
        <v>0</v>
      </c>
      <c r="V2867" s="28" t="n">
        <f aca="false">25000/100</f>
        <v>250</v>
      </c>
      <c r="W2867" s="28" t="n">
        <v>625</v>
      </c>
      <c r="X2867" s="28" t="n">
        <f aca="false">9335/100</f>
        <v>93.35</v>
      </c>
      <c r="Y2867" s="28" t="n">
        <v>233</v>
      </c>
      <c r="Z2867" s="28"/>
      <c r="AA2867" s="28" t="n">
        <f aca="false">Z2867*$M2867</f>
        <v>0</v>
      </c>
      <c r="AB2867" s="28"/>
      <c r="AC2867" s="28" t="n">
        <f aca="false">AB2867*$M2867</f>
        <v>0</v>
      </c>
      <c r="AD2867" s="28"/>
      <c r="AE2867" s="28" t="n">
        <f aca="false">AD2867*$M2867</f>
        <v>0</v>
      </c>
      <c r="AF2867" s="28"/>
      <c r="AG2867" s="28" t="n">
        <f aca="false">AF2867*$M2867</f>
        <v>0</v>
      </c>
      <c r="AH2867" s="28"/>
      <c r="AI2867" s="28" t="n">
        <f aca="false">AH2867*$M2867</f>
        <v>0</v>
      </c>
      <c r="AJ2867" s="28"/>
      <c r="AK2867" s="28" t="n">
        <f aca="false">AJ2867*$M2867</f>
        <v>0</v>
      </c>
      <c r="AL2867" s="28"/>
      <c r="AM2867" s="28" t="n">
        <f aca="false">AL2867*$M2867</f>
        <v>0</v>
      </c>
      <c r="AN2867" s="28"/>
      <c r="AO2867" s="28" t="n">
        <f aca="false">AN2867*$M2867</f>
        <v>0</v>
      </c>
      <c r="AP2867" s="28"/>
      <c r="AQ2867" s="28" t="n">
        <f aca="false">AP2867*$M2867</f>
        <v>0</v>
      </c>
      <c r="AR2867" s="28"/>
      <c r="AS2867" s="28" t="n">
        <f aca="false">AR2867*$M2867</f>
        <v>0</v>
      </c>
      <c r="AT2867" s="28"/>
      <c r="AU2867" s="28" t="n">
        <f aca="false">AT2867*$M2867</f>
        <v>0</v>
      </c>
      <c r="AV2867" s="28"/>
      <c r="AW2867" s="28" t="n">
        <f aca="false">AV2867*$M2867</f>
        <v>0</v>
      </c>
      <c r="AX2867" s="28"/>
      <c r="AY2867" s="28" t="n">
        <f aca="false">AX2867*$M2867</f>
        <v>0</v>
      </c>
      <c r="AZ2867" s="30" t="n">
        <f aca="false">34335/100</f>
        <v>343.35</v>
      </c>
      <c r="BA2867" s="11" t="n">
        <v>858</v>
      </c>
      <c r="BB2867" s="31" t="n">
        <f aca="false">SUM(Q2867,S2867,U2867,W2867,Y2867,AA2867,AC2867,AE2867,AG2867,AI2867,AK2867,AM2867,AO2867,AQ2867,AS2867,AU2867,AW2867,AY2867)</f>
        <v>858</v>
      </c>
      <c r="BC2867" s="28" t="n">
        <f aca="false">BA2867-BB2867</f>
        <v>0</v>
      </c>
      <c r="BD2867" s="32" t="n">
        <f aca="false">SUM(P2867,R2867,T2867,V2867,X2867,Z2867,AB2867,AD2867,AF2867,AH2867,AJ2867,AL2867,AN2867,AP2867,AR2867,AT2867,AV2867,AX2867)</f>
        <v>343.35</v>
      </c>
      <c r="BE2867" s="33" t="n">
        <f aca="false">AZ2867-BD2867</f>
        <v>0</v>
      </c>
      <c r="BF2867" s="34" t="n">
        <f aca="false">BD2867*M2867</f>
        <v>858.375</v>
      </c>
      <c r="BG2867" s="35" t="n">
        <f aca="false">BA2867-BF2867</f>
        <v>-0.375</v>
      </c>
      <c r="BH2867" s="19" t="str">
        <f aca="false">IF(BG2867=0,"",IF(BG2867&lt;&gt;BA2867,"erreur de calcul",IF(BD2867&lt;&gt;0,"pas de prix",IF(M2867&lt;&gt; 0,"pas de quantité","pas de prix, ni de quantité"))))</f>
        <v>erreur de calcul</v>
      </c>
      <c r="BI2867" s="19"/>
    </row>
    <row r="2868" customFormat="false" ht="15" hidden="false" customHeight="false" outlineLevel="0" collapsed="false">
      <c r="A2868" s="0" t="n">
        <v>17</v>
      </c>
      <c r="B2868" s="8" t="s">
        <v>24</v>
      </c>
      <c r="C2868" s="9" t="s">
        <v>25</v>
      </c>
      <c r="D2868" s="9" t="s">
        <v>26</v>
      </c>
      <c r="E2868" s="10" t="n">
        <v>1789</v>
      </c>
      <c r="F2868" s="9" t="s">
        <v>27</v>
      </c>
      <c r="G2868" s="9" t="s">
        <v>27</v>
      </c>
      <c r="H2868" s="11" t="n">
        <v>20</v>
      </c>
      <c r="I2868" s="11" t="s">
        <v>133</v>
      </c>
      <c r="J2868" s="14" t="n">
        <v>175</v>
      </c>
      <c r="K2868" s="14"/>
      <c r="L2868" s="16"/>
      <c r="M2868" s="27" t="n">
        <f aca="false">J2868+(K2868/20)+(L2868/240)</f>
        <v>175</v>
      </c>
      <c r="N2868" s="17" t="s">
        <v>64</v>
      </c>
      <c r="O2868" s="11"/>
      <c r="P2868" s="28" t="n">
        <f aca="false">84/100</f>
        <v>0.84</v>
      </c>
      <c r="Q2868" s="28" t="n">
        <v>147</v>
      </c>
      <c r="R2868" s="28"/>
      <c r="S2868" s="28" t="n">
        <f aca="false">R2868*$M2868</f>
        <v>0</v>
      </c>
      <c r="T2868" s="28"/>
      <c r="U2868" s="28" t="n">
        <f aca="false">T2868*$M2868</f>
        <v>0</v>
      </c>
      <c r="V2868" s="28" t="n">
        <f aca="false">124/100</f>
        <v>1.24</v>
      </c>
      <c r="W2868" s="28" t="n">
        <v>217</v>
      </c>
      <c r="X2868" s="28" t="n">
        <f aca="false">6034/100</f>
        <v>60.34</v>
      </c>
      <c r="Y2868" s="28" t="n">
        <v>10559</v>
      </c>
      <c r="Z2868" s="28" t="n">
        <f aca="false">147/100</f>
        <v>1.47</v>
      </c>
      <c r="AA2868" s="28" t="n">
        <v>257</v>
      </c>
      <c r="AB2868" s="28" t="n">
        <f aca="false">195/100</f>
        <v>1.95</v>
      </c>
      <c r="AC2868" s="28" t="n">
        <v>341</v>
      </c>
      <c r="AD2868" s="28"/>
      <c r="AE2868" s="28" t="n">
        <f aca="false">AD2868*$M2868</f>
        <v>0</v>
      </c>
      <c r="AF2868" s="28"/>
      <c r="AG2868" s="28" t="n">
        <f aca="false">AF2868*$M2868</f>
        <v>0</v>
      </c>
      <c r="AH2868" s="28"/>
      <c r="AI2868" s="28" t="n">
        <f aca="false">AH2868*$M2868</f>
        <v>0</v>
      </c>
      <c r="AJ2868" s="28"/>
      <c r="AK2868" s="28" t="n">
        <f aca="false">AJ2868*$M2868</f>
        <v>0</v>
      </c>
      <c r="AL2868" s="28"/>
      <c r="AM2868" s="28" t="n">
        <f aca="false">AL2868*$M2868</f>
        <v>0</v>
      </c>
      <c r="AN2868" s="28"/>
      <c r="AO2868" s="28" t="n">
        <f aca="false">AN2868*$M2868</f>
        <v>0</v>
      </c>
      <c r="AP2868" s="28"/>
      <c r="AQ2868" s="28" t="n">
        <f aca="false">AP2868*$M2868</f>
        <v>0</v>
      </c>
      <c r="AR2868" s="28"/>
      <c r="AS2868" s="28" t="n">
        <f aca="false">AR2868*$M2868</f>
        <v>0</v>
      </c>
      <c r="AT2868" s="28"/>
      <c r="AU2868" s="28" t="n">
        <f aca="false">AT2868*$M2868</f>
        <v>0</v>
      </c>
      <c r="AV2868" s="28"/>
      <c r="AW2868" s="28" t="n">
        <f aca="false">AV2868*$M2868</f>
        <v>0</v>
      </c>
      <c r="AX2868" s="28"/>
      <c r="AY2868" s="28" t="n">
        <f aca="false">AX2868*$M2868</f>
        <v>0</v>
      </c>
      <c r="AZ2868" s="30" t="n">
        <f aca="false">6584/100</f>
        <v>65.84</v>
      </c>
      <c r="BA2868" s="11" t="n">
        <v>11521</v>
      </c>
      <c r="BB2868" s="31" t="n">
        <f aca="false">SUM(Q2868,S2868,U2868,W2868,Y2868,AA2868,AC2868,AE2868,AG2868,AI2868,AK2868,AM2868,AO2868,AQ2868,AS2868,AU2868,AW2868,AY2868)</f>
        <v>11521</v>
      </c>
      <c r="BC2868" s="28" t="n">
        <f aca="false">BA2868-BB2868</f>
        <v>0</v>
      </c>
      <c r="BD2868" s="32" t="n">
        <f aca="false">SUM(P2868,R2868,T2868,V2868,X2868,Z2868,AB2868,AD2868,AF2868,AH2868,AJ2868,AL2868,AN2868,AP2868,AR2868,AT2868,AV2868,AX2868)</f>
        <v>65.84</v>
      </c>
      <c r="BE2868" s="33" t="n">
        <f aca="false">AZ2868-BD2868</f>
        <v>0</v>
      </c>
      <c r="BF2868" s="34" t="n">
        <f aca="false">BD2868*M2868</f>
        <v>11522</v>
      </c>
      <c r="BG2868" s="35" t="n">
        <f aca="false">BA2868-BF2868</f>
        <v>-1</v>
      </c>
      <c r="BH2868" s="19" t="str">
        <f aca="false">IF(BG2868=0,"",IF(BG2868&lt;&gt;BA2868,"erreur de calcul",IF(BD2868&lt;&gt;0,"pas de prix",IF(M2868&lt;&gt; 0,"pas de quantité","pas de prix, ni de quantité"))))</f>
        <v>erreur de calcul</v>
      </c>
      <c r="BI2868" s="19"/>
    </row>
    <row r="2869" customFormat="false" ht="15" hidden="false" customHeight="false" outlineLevel="0" collapsed="false">
      <c r="A2869" s="0" t="n">
        <v>18</v>
      </c>
      <c r="B2869" s="8" t="s">
        <v>24</v>
      </c>
      <c r="C2869" s="9" t="s">
        <v>25</v>
      </c>
      <c r="D2869" s="9" t="s">
        <v>26</v>
      </c>
      <c r="E2869" s="10" t="n">
        <v>1789</v>
      </c>
      <c r="F2869" s="9" t="s">
        <v>27</v>
      </c>
      <c r="G2869" s="9" t="s">
        <v>27</v>
      </c>
      <c r="H2869" s="11" t="n">
        <v>20</v>
      </c>
      <c r="I2869" s="11" t="s">
        <v>134</v>
      </c>
      <c r="J2869" s="14" t="n">
        <v>210</v>
      </c>
      <c r="K2869" s="14"/>
      <c r="L2869" s="16"/>
      <c r="M2869" s="27" t="n">
        <f aca="false">J2869+(K2869/20)+(L2869/240)</f>
        <v>210</v>
      </c>
      <c r="N2869" s="17" t="s">
        <v>64</v>
      </c>
      <c r="O2869" s="11"/>
      <c r="P2869" s="28"/>
      <c r="Q2869" s="28" t="n">
        <f aca="false">P2869*$M2869</f>
        <v>0</v>
      </c>
      <c r="R2869" s="28"/>
      <c r="S2869" s="28" t="n">
        <f aca="false">R2869*$M2869</f>
        <v>0</v>
      </c>
      <c r="T2869" s="28"/>
      <c r="U2869" s="28" t="n">
        <f aca="false">T2869*$M2869</f>
        <v>0</v>
      </c>
      <c r="V2869" s="28" t="n">
        <f aca="false">869/100</f>
        <v>8.69</v>
      </c>
      <c r="W2869" s="28" t="n">
        <v>1825</v>
      </c>
      <c r="X2869" s="28"/>
      <c r="Y2869" s="28" t="n">
        <f aca="false">X2869*$M2869</f>
        <v>0</v>
      </c>
      <c r="Z2869" s="28"/>
      <c r="AA2869" s="28" t="n">
        <f aca="false">Z2869*$M2869</f>
        <v>0</v>
      </c>
      <c r="AB2869" s="28"/>
      <c r="AC2869" s="28" t="n">
        <f aca="false">AB2869*$M2869</f>
        <v>0</v>
      </c>
      <c r="AD2869" s="28"/>
      <c r="AE2869" s="28" t="n">
        <f aca="false">AD2869*$M2869</f>
        <v>0</v>
      </c>
      <c r="AF2869" s="28"/>
      <c r="AG2869" s="28" t="n">
        <f aca="false">AF2869*$M2869</f>
        <v>0</v>
      </c>
      <c r="AH2869" s="28"/>
      <c r="AI2869" s="28" t="n">
        <f aca="false">AH2869*$M2869</f>
        <v>0</v>
      </c>
      <c r="AJ2869" s="28"/>
      <c r="AK2869" s="28" t="n">
        <f aca="false">AJ2869*$M2869</f>
        <v>0</v>
      </c>
      <c r="AL2869" s="28"/>
      <c r="AM2869" s="28" t="n">
        <f aca="false">AL2869*$M2869</f>
        <v>0</v>
      </c>
      <c r="AN2869" s="28"/>
      <c r="AO2869" s="28" t="n">
        <f aca="false">AN2869*$M2869</f>
        <v>0</v>
      </c>
      <c r="AP2869" s="28"/>
      <c r="AQ2869" s="28" t="n">
        <f aca="false">AP2869*$M2869</f>
        <v>0</v>
      </c>
      <c r="AR2869" s="28"/>
      <c r="AS2869" s="28" t="n">
        <f aca="false">AR2869*$M2869</f>
        <v>0</v>
      </c>
      <c r="AT2869" s="28"/>
      <c r="AU2869" s="28" t="n">
        <f aca="false">AT2869*$M2869</f>
        <v>0</v>
      </c>
      <c r="AV2869" s="28"/>
      <c r="AW2869" s="28" t="n">
        <f aca="false">AV2869*$M2869</f>
        <v>0</v>
      </c>
      <c r="AX2869" s="28"/>
      <c r="AY2869" s="28" t="n">
        <f aca="false">AX2869*$M2869</f>
        <v>0</v>
      </c>
      <c r="AZ2869" s="30" t="n">
        <f aca="false">869/100</f>
        <v>8.69</v>
      </c>
      <c r="BA2869" s="11" t="n">
        <v>1825</v>
      </c>
      <c r="BB2869" s="31" t="n">
        <f aca="false">SUM(Q2869,S2869,U2869,W2869,Y2869,AA2869,AC2869,AE2869,AG2869,AI2869,AK2869,AM2869,AO2869,AQ2869,AS2869,AU2869,AW2869,AY2869)</f>
        <v>1825</v>
      </c>
      <c r="BC2869" s="28" t="n">
        <f aca="false">BA2869-BB2869</f>
        <v>0</v>
      </c>
      <c r="BD2869" s="32" t="n">
        <f aca="false">SUM(P2869,R2869,T2869,V2869,X2869,Z2869,AB2869,AD2869,AF2869,AH2869,AJ2869,AL2869,AN2869,AP2869,AR2869,AT2869,AV2869,AX2869)</f>
        <v>8.69</v>
      </c>
      <c r="BE2869" s="33" t="n">
        <f aca="false">AZ2869-BD2869</f>
        <v>0</v>
      </c>
      <c r="BF2869" s="34" t="n">
        <f aca="false">BD2869*M2869</f>
        <v>1824.9</v>
      </c>
      <c r="BG2869" s="35" t="n">
        <f aca="false">BA2869-BF2869</f>
        <v>0.100000000000136</v>
      </c>
      <c r="BH2869" s="19" t="str">
        <f aca="false">IF(BG2869=0,"",IF(BG2869&lt;&gt;BA2869,"erreur de calcul",IF(BD2869&lt;&gt;0,"pas de prix",IF(M2869&lt;&gt; 0,"pas de quantité","pas de prix, ni de quantité"))))</f>
        <v>erreur de calcul</v>
      </c>
      <c r="BI2869" s="19"/>
    </row>
    <row r="2870" customFormat="false" ht="15" hidden="false" customHeight="false" outlineLevel="0" collapsed="false">
      <c r="A2870" s="0" t="n">
        <v>19</v>
      </c>
      <c r="B2870" s="8" t="s">
        <v>24</v>
      </c>
      <c r="C2870" s="9" t="s">
        <v>25</v>
      </c>
      <c r="D2870" s="9" t="s">
        <v>26</v>
      </c>
      <c r="E2870" s="10" t="n">
        <v>1789</v>
      </c>
      <c r="F2870" s="9" t="s">
        <v>27</v>
      </c>
      <c r="G2870" s="9" t="s">
        <v>27</v>
      </c>
      <c r="H2870" s="11" t="n">
        <v>20</v>
      </c>
      <c r="I2870" s="11" t="s">
        <v>135</v>
      </c>
      <c r="J2870" s="14" t="n">
        <v>170</v>
      </c>
      <c r="K2870" s="14"/>
      <c r="L2870" s="16"/>
      <c r="M2870" s="27" t="n">
        <f aca="false">J2870+(K2870/20)+(L2870/240)</f>
        <v>170</v>
      </c>
      <c r="N2870" s="17" t="s">
        <v>64</v>
      </c>
      <c r="O2870" s="11" t="s">
        <v>77</v>
      </c>
      <c r="P2870" s="28"/>
      <c r="Q2870" s="28" t="n">
        <f aca="false">P2870*$M2870</f>
        <v>0</v>
      </c>
      <c r="R2870" s="28"/>
      <c r="S2870" s="28" t="n">
        <f aca="false">R2870*$M2870</f>
        <v>0</v>
      </c>
      <c r="T2870" s="28"/>
      <c r="U2870" s="28" t="n">
        <f aca="false">T2870*$M2870</f>
        <v>0</v>
      </c>
      <c r="V2870" s="28"/>
      <c r="W2870" s="28" t="n">
        <f aca="false">V2870*$M2870</f>
        <v>0</v>
      </c>
      <c r="X2870" s="28"/>
      <c r="Y2870" s="28" t="n">
        <f aca="false">X2870*$M2870</f>
        <v>0</v>
      </c>
      <c r="Z2870" s="28"/>
      <c r="AA2870" s="28" t="n">
        <f aca="false">Z2870*$M2870</f>
        <v>0</v>
      </c>
      <c r="AB2870" s="28"/>
      <c r="AC2870" s="28" t="n">
        <f aca="false">AB2870*$M2870</f>
        <v>0</v>
      </c>
      <c r="AD2870" s="28"/>
      <c r="AE2870" s="28" t="n">
        <f aca="false">AD2870*$M2870</f>
        <v>0</v>
      </c>
      <c r="AF2870" s="28" t="n">
        <f aca="false">229459/100</f>
        <v>2294.59</v>
      </c>
      <c r="AG2870" s="28" t="n">
        <v>390080</v>
      </c>
      <c r="AH2870" s="28" t="n">
        <f aca="false">202301/100</f>
        <v>2023.01</v>
      </c>
      <c r="AI2870" s="28" t="n">
        <v>343912</v>
      </c>
      <c r="AJ2870" s="28"/>
      <c r="AK2870" s="28" t="n">
        <f aca="false">AJ2870*$M2870</f>
        <v>0</v>
      </c>
      <c r="AL2870" s="28"/>
      <c r="AM2870" s="28" t="n">
        <f aca="false">AL2870*$M2870</f>
        <v>0</v>
      </c>
      <c r="AN2870" s="28"/>
      <c r="AO2870" s="28" t="n">
        <f aca="false">AN2870*$M2870</f>
        <v>0</v>
      </c>
      <c r="AP2870" s="28"/>
      <c r="AQ2870" s="28" t="n">
        <f aca="false">AP2870*$M2870</f>
        <v>0</v>
      </c>
      <c r="AR2870" s="28"/>
      <c r="AS2870" s="28" t="n">
        <f aca="false">AR2870*$M2870</f>
        <v>0</v>
      </c>
      <c r="AT2870" s="28"/>
      <c r="AU2870" s="28" t="n">
        <f aca="false">AT2870*$M2870</f>
        <v>0</v>
      </c>
      <c r="AV2870" s="28"/>
      <c r="AW2870" s="28" t="n">
        <f aca="false">AV2870*$M2870</f>
        <v>0</v>
      </c>
      <c r="AX2870" s="28" t="n">
        <f aca="false">2736/100</f>
        <v>27.36</v>
      </c>
      <c r="AY2870" s="28" t="n">
        <v>4651</v>
      </c>
      <c r="AZ2870" s="30" t="n">
        <f aca="false">434496/100</f>
        <v>4344.96</v>
      </c>
      <c r="BA2870" s="11" t="n">
        <v>738643</v>
      </c>
      <c r="BB2870" s="31" t="n">
        <f aca="false">SUM(Q2870,S2870,U2870,W2870,Y2870,AA2870,AC2870,AE2870,AG2870,AI2870,AK2870,AM2870,AO2870,AQ2870,AS2870,AU2870,AW2870,AY2870)</f>
        <v>738643</v>
      </c>
      <c r="BC2870" s="28" t="n">
        <f aca="false">BA2870-BB2870</f>
        <v>0</v>
      </c>
      <c r="BD2870" s="32" t="n">
        <f aca="false">SUM(P2870,R2870,T2870,V2870,X2870,Z2870,AB2870,AD2870,AF2870,AH2870,AJ2870,AL2870,AN2870,AP2870,AR2870,AT2870,AV2870,AX2870)</f>
        <v>4344.96</v>
      </c>
      <c r="BE2870" s="33" t="n">
        <f aca="false">AZ2870-BD2870</f>
        <v>0</v>
      </c>
      <c r="BF2870" s="34" t="n">
        <f aca="false">BD2870*M2870</f>
        <v>738643.2</v>
      </c>
      <c r="BG2870" s="35" t="n">
        <f aca="false">BA2870-BF2870</f>
        <v>-0.199999999953434</v>
      </c>
      <c r="BH2870" s="19" t="str">
        <f aca="false">IF(BG2870=0,"",IF(BG2870&lt;&gt;BA2870,"erreur de calcul",IF(BD2870&lt;&gt;0,"pas de prix",IF(M2870&lt;&gt; 0,"pas de quantité","pas de prix, ni de quantité"))))</f>
        <v>erreur de calcul</v>
      </c>
      <c r="BI2870" s="19"/>
    </row>
    <row r="2871" customFormat="false" ht="15" hidden="false" customHeight="false" outlineLevel="0" collapsed="false">
      <c r="A2871" s="0" t="n">
        <v>20</v>
      </c>
      <c r="B2871" s="8" t="s">
        <v>24</v>
      </c>
      <c r="C2871" s="9" t="s">
        <v>25</v>
      </c>
      <c r="D2871" s="9" t="s">
        <v>26</v>
      </c>
      <c r="E2871" s="10" t="n">
        <v>1789</v>
      </c>
      <c r="F2871" s="9" t="s">
        <v>27</v>
      </c>
      <c r="G2871" s="9" t="s">
        <v>27</v>
      </c>
      <c r="H2871" s="11" t="n">
        <v>20</v>
      </c>
      <c r="I2871" s="11" t="s">
        <v>136</v>
      </c>
      <c r="J2871" s="14" t="n">
        <v>41</v>
      </c>
      <c r="K2871" s="14"/>
      <c r="L2871" s="16"/>
      <c r="M2871" s="27" t="n">
        <f aca="false">J2871+(K2871/20)+(L2871/240)</f>
        <v>41</v>
      </c>
      <c r="N2871" s="17" t="s">
        <v>64</v>
      </c>
      <c r="O2871" s="11"/>
      <c r="P2871" s="28" t="n">
        <f aca="false">1210/100</f>
        <v>12.1</v>
      </c>
      <c r="Q2871" s="28" t="n">
        <v>496</v>
      </c>
      <c r="R2871" s="28"/>
      <c r="S2871" s="28" t="n">
        <f aca="false">R2871*$M2871</f>
        <v>0</v>
      </c>
      <c r="T2871" s="28"/>
      <c r="U2871" s="28" t="n">
        <f aca="false">T2871*$M2871</f>
        <v>0</v>
      </c>
      <c r="V2871" s="28"/>
      <c r="W2871" s="28" t="n">
        <f aca="false">V2871*$M2871</f>
        <v>0</v>
      </c>
      <c r="X2871" s="28"/>
      <c r="Y2871" s="28" t="n">
        <f aca="false">X2871*$M2871</f>
        <v>0</v>
      </c>
      <c r="Z2871" s="28"/>
      <c r="AA2871" s="28" t="n">
        <f aca="false">Z2871*$M2871</f>
        <v>0</v>
      </c>
      <c r="AB2871" s="28"/>
      <c r="AC2871" s="28" t="n">
        <f aca="false">AB2871*$M2871</f>
        <v>0</v>
      </c>
      <c r="AD2871" s="28"/>
      <c r="AE2871" s="28" t="n">
        <f aca="false">AD2871*$M2871</f>
        <v>0</v>
      </c>
      <c r="AF2871" s="28"/>
      <c r="AG2871" s="28" t="n">
        <f aca="false">AF2871*$M2871</f>
        <v>0</v>
      </c>
      <c r="AH2871" s="28"/>
      <c r="AI2871" s="28" t="n">
        <f aca="false">AH2871*$M2871</f>
        <v>0</v>
      </c>
      <c r="AJ2871" s="28" t="n">
        <f aca="false">85034/100</f>
        <v>850.34</v>
      </c>
      <c r="AK2871" s="28" t="n">
        <v>34864</v>
      </c>
      <c r="AL2871" s="28" t="n">
        <f aca="false">1024/100</f>
        <v>10.24</v>
      </c>
      <c r="AM2871" s="28" t="n">
        <v>420</v>
      </c>
      <c r="AN2871" s="28"/>
      <c r="AO2871" s="28" t="n">
        <f aca="false">AN2871*$M2871</f>
        <v>0</v>
      </c>
      <c r="AP2871" s="28"/>
      <c r="AQ2871" s="28" t="n">
        <f aca="false">AP2871*$M2871</f>
        <v>0</v>
      </c>
      <c r="AR2871" s="28"/>
      <c r="AS2871" s="28" t="n">
        <f aca="false">AR2871*$M2871</f>
        <v>0</v>
      </c>
      <c r="AT2871" s="28"/>
      <c r="AU2871" s="28" t="n">
        <f aca="false">AT2871*$M2871</f>
        <v>0</v>
      </c>
      <c r="AV2871" s="28"/>
      <c r="AW2871" s="28" t="n">
        <f aca="false">AV2871*$M2871</f>
        <v>0</v>
      </c>
      <c r="AX2871" s="28"/>
      <c r="AY2871" s="28" t="n">
        <f aca="false">AX2871*$M2871</f>
        <v>0</v>
      </c>
      <c r="AZ2871" s="30" t="n">
        <f aca="false">87268/100</f>
        <v>872.68</v>
      </c>
      <c r="BA2871" s="11" t="n">
        <v>35780</v>
      </c>
      <c r="BB2871" s="31" t="n">
        <f aca="false">SUM(Q2871,S2871,U2871,W2871,Y2871,AA2871,AC2871,AE2871,AG2871,AI2871,AK2871,AM2871,AO2871,AQ2871,AS2871,AU2871,AW2871,AY2871)</f>
        <v>35780</v>
      </c>
      <c r="BC2871" s="28" t="n">
        <f aca="false">BA2871-BB2871</f>
        <v>0</v>
      </c>
      <c r="BD2871" s="32" t="n">
        <f aca="false">SUM(P2871,R2871,T2871,V2871,X2871,Z2871,AB2871,AD2871,AF2871,AH2871,AJ2871,AL2871,AN2871,AP2871,AR2871,AT2871,AV2871,AX2871)</f>
        <v>872.68</v>
      </c>
      <c r="BE2871" s="33" t="n">
        <f aca="false">AZ2871-BD2871</f>
        <v>0</v>
      </c>
      <c r="BF2871" s="34" t="n">
        <f aca="false">BD2871*M2871</f>
        <v>35779.88</v>
      </c>
      <c r="BG2871" s="35" t="n">
        <f aca="false">BA2871-BF2871</f>
        <v>0.119999999995343</v>
      </c>
      <c r="BH2871" s="19" t="str">
        <f aca="false">IF(BG2871=0,"",IF(BG2871&lt;&gt;BA2871,"erreur de calcul",IF(BD2871&lt;&gt;0,"pas de prix",IF(M2871&lt;&gt; 0,"pas de quantité","pas de prix, ni de quantité"))))</f>
        <v>erreur de calcul</v>
      </c>
      <c r="BI2871" s="19"/>
    </row>
    <row r="2872" customFormat="false" ht="15" hidden="false" customHeight="false" outlineLevel="0" collapsed="false">
      <c r="A2872" s="0" t="n">
        <v>21</v>
      </c>
      <c r="B2872" s="8" t="s">
        <v>24</v>
      </c>
      <c r="C2872" s="9" t="s">
        <v>25</v>
      </c>
      <c r="D2872" s="9" t="s">
        <v>26</v>
      </c>
      <c r="E2872" s="10" t="n">
        <v>1789</v>
      </c>
      <c r="F2872" s="9" t="s">
        <v>27</v>
      </c>
      <c r="G2872" s="9" t="s">
        <v>27</v>
      </c>
      <c r="H2872" s="11" t="n">
        <v>20</v>
      </c>
      <c r="I2872" s="11" t="s">
        <v>137</v>
      </c>
      <c r="J2872" s="14"/>
      <c r="K2872" s="14"/>
      <c r="L2872" s="16"/>
      <c r="M2872" s="27" t="n">
        <f aca="false">J2872+(K2872/20)+(L2872/240)</f>
        <v>0</v>
      </c>
      <c r="N2872" s="39" t="s">
        <v>138</v>
      </c>
      <c r="O2872" s="11"/>
      <c r="P2872" s="28" t="n">
        <v>337</v>
      </c>
      <c r="Q2872" s="28" t="n">
        <v>6250</v>
      </c>
      <c r="R2872" s="28"/>
      <c r="S2872" s="28" t="n">
        <f aca="false">R2872*$M2872</f>
        <v>0</v>
      </c>
      <c r="T2872" s="28"/>
      <c r="U2872" s="28" t="n">
        <f aca="false">T2872*$M2872</f>
        <v>0</v>
      </c>
      <c r="V2872" s="28" t="n">
        <v>760</v>
      </c>
      <c r="W2872" s="28" t="n">
        <v>18259</v>
      </c>
      <c r="X2872" s="28"/>
      <c r="Y2872" s="28" t="n">
        <f aca="false">X2872*$M2872</f>
        <v>0</v>
      </c>
      <c r="Z2872" s="28"/>
      <c r="AA2872" s="28" t="n">
        <f aca="false">Z2872*$M2872</f>
        <v>0</v>
      </c>
      <c r="AB2872" s="28"/>
      <c r="AC2872" s="28" t="n">
        <f aca="false">AB2872*$M2872</f>
        <v>0</v>
      </c>
      <c r="AD2872" s="28"/>
      <c r="AE2872" s="28" t="n">
        <f aca="false">AD2872*$M2872</f>
        <v>0</v>
      </c>
      <c r="AF2872" s="28"/>
      <c r="AG2872" s="28" t="n">
        <f aca="false">AF2872*$M2872</f>
        <v>0</v>
      </c>
      <c r="AH2872" s="28"/>
      <c r="AI2872" s="28" t="n">
        <f aca="false">AH2872*$M2872</f>
        <v>0</v>
      </c>
      <c r="AJ2872" s="28"/>
      <c r="AK2872" s="28" t="n">
        <f aca="false">AJ2872*$M2872</f>
        <v>0</v>
      </c>
      <c r="AL2872" s="28"/>
      <c r="AM2872" s="28" t="n">
        <f aca="false">AL2872*$M2872</f>
        <v>0</v>
      </c>
      <c r="AN2872" s="28"/>
      <c r="AO2872" s="28" t="n">
        <f aca="false">AN2872*$M2872</f>
        <v>0</v>
      </c>
      <c r="AP2872" s="28"/>
      <c r="AQ2872" s="28" t="n">
        <f aca="false">AP2872*$M2872</f>
        <v>0</v>
      </c>
      <c r="AR2872" s="28"/>
      <c r="AS2872" s="28" t="n">
        <f aca="false">AR2872*$M2872</f>
        <v>0</v>
      </c>
      <c r="AT2872" s="28"/>
      <c r="AU2872" s="28" t="n">
        <f aca="false">AT2872*$M2872</f>
        <v>0</v>
      </c>
      <c r="AV2872" s="28"/>
      <c r="AW2872" s="28" t="n">
        <f aca="false">AV2872*$M2872</f>
        <v>0</v>
      </c>
      <c r="AX2872" s="28"/>
      <c r="AY2872" s="28" t="n">
        <f aca="false">AX2872*$M2872</f>
        <v>0</v>
      </c>
      <c r="AZ2872" s="30" t="n">
        <f aca="false">1097</f>
        <v>1097</v>
      </c>
      <c r="BA2872" s="11" t="n">
        <v>24509</v>
      </c>
      <c r="BB2872" s="31" t="n">
        <f aca="false">SUM(Q2872,S2872,U2872,W2872,Y2872,AA2872,AC2872,AE2872,AG2872,AI2872,AK2872,AM2872,AO2872,AQ2872,AS2872,AU2872,AW2872,AY2872)</f>
        <v>24509</v>
      </c>
      <c r="BC2872" s="28" t="n">
        <f aca="false">BA2872-BB2872</f>
        <v>0</v>
      </c>
      <c r="BD2872" s="32" t="n">
        <f aca="false">SUM(P2872,R2872,T2872,V2872,X2872,Z2872,AB2872,AD2872,AF2872,AH2872,AJ2872,AL2872,AN2872,AP2872,AR2872,AT2872,AV2872,AX2872)</f>
        <v>1097</v>
      </c>
      <c r="BE2872" s="33" t="n">
        <f aca="false">AZ2872-BD2872</f>
        <v>0</v>
      </c>
      <c r="BF2872" s="34" t="n">
        <f aca="false">BD2872*M2872</f>
        <v>0</v>
      </c>
      <c r="BG2872" s="35" t="n">
        <f aca="false">BA2872-BF2872</f>
        <v>24509</v>
      </c>
      <c r="BH2872" s="19" t="str">
        <f aca="false">IF(BG2872=0,"",IF(BG2872&lt;&gt;BA2872,"erreur de calcul",IF(BD2872&lt;&gt;0,"pas de prix",IF(M2872&lt;&gt; 0,"pas de quantité","pas de prix, ni de quantité"))))</f>
        <v>pas de prix</v>
      </c>
      <c r="BI2872" s="19" t="s">
        <v>139</v>
      </c>
    </row>
    <row r="2873" customFormat="false" ht="15" hidden="false" customHeight="false" outlineLevel="0" collapsed="false">
      <c r="A2873" s="0" t="n">
        <v>22</v>
      </c>
      <c r="B2873" s="8" t="s">
        <v>24</v>
      </c>
      <c r="C2873" s="9" t="s">
        <v>25</v>
      </c>
      <c r="D2873" s="9" t="s">
        <v>26</v>
      </c>
      <c r="E2873" s="10" t="n">
        <v>1789</v>
      </c>
      <c r="F2873" s="9" t="s">
        <v>27</v>
      </c>
      <c r="G2873" s="9" t="s">
        <v>27</v>
      </c>
      <c r="H2873" s="11" t="n">
        <v>20</v>
      </c>
      <c r="I2873" s="11" t="s">
        <v>140</v>
      </c>
      <c r="J2873" s="14" t="n">
        <v>28</v>
      </c>
      <c r="K2873" s="14"/>
      <c r="L2873" s="16"/>
      <c r="M2873" s="27" t="n">
        <f aca="false">J2873+(K2873/20)+(L2873/240)</f>
        <v>28</v>
      </c>
      <c r="N2873" s="17" t="s">
        <v>64</v>
      </c>
      <c r="O2873" s="11"/>
      <c r="P2873" s="28"/>
      <c r="Q2873" s="28" t="n">
        <f aca="false">P2873*$M2873</f>
        <v>0</v>
      </c>
      <c r="R2873" s="28"/>
      <c r="S2873" s="28" t="n">
        <f aca="false">R2873*$M2873</f>
        <v>0</v>
      </c>
      <c r="T2873" s="28"/>
      <c r="U2873" s="28" t="n">
        <f aca="false">T2873*$M2873</f>
        <v>0</v>
      </c>
      <c r="V2873" s="28"/>
      <c r="W2873" s="28" t="n">
        <f aca="false">V2873*$M2873</f>
        <v>0</v>
      </c>
      <c r="X2873" s="28" t="n">
        <f aca="false">2572/100</f>
        <v>25.72</v>
      </c>
      <c r="Y2873" s="28" t="n">
        <v>720</v>
      </c>
      <c r="Z2873" s="28"/>
      <c r="AA2873" s="28" t="n">
        <f aca="false">Z2873*$M2873</f>
        <v>0</v>
      </c>
      <c r="AB2873" s="28"/>
      <c r="AC2873" s="28" t="n">
        <f aca="false">AB2873*$M2873</f>
        <v>0</v>
      </c>
      <c r="AD2873" s="28"/>
      <c r="AE2873" s="28" t="n">
        <f aca="false">AD2873*$M2873</f>
        <v>0</v>
      </c>
      <c r="AF2873" s="28" t="n">
        <f aca="false">3367/100</f>
        <v>33.67</v>
      </c>
      <c r="AG2873" s="36" t="n">
        <v>915</v>
      </c>
      <c r="AH2873" s="28"/>
      <c r="AI2873" s="28" t="n">
        <f aca="false">AH2873*$M2873</f>
        <v>0</v>
      </c>
      <c r="AJ2873" s="28"/>
      <c r="AK2873" s="28" t="n">
        <f aca="false">AJ2873*$M2873</f>
        <v>0</v>
      </c>
      <c r="AL2873" s="28"/>
      <c r="AM2873" s="28" t="n">
        <f aca="false">AL2873*$M2873</f>
        <v>0</v>
      </c>
      <c r="AN2873" s="28"/>
      <c r="AO2873" s="28" t="n">
        <f aca="false">AN2873*$M2873</f>
        <v>0</v>
      </c>
      <c r="AP2873" s="28"/>
      <c r="AQ2873" s="28" t="n">
        <f aca="false">AP2873*$M2873</f>
        <v>0</v>
      </c>
      <c r="AR2873" s="28"/>
      <c r="AS2873" s="28" t="n">
        <f aca="false">AR2873*$M2873</f>
        <v>0</v>
      </c>
      <c r="AT2873" s="28"/>
      <c r="AU2873" s="28" t="n">
        <f aca="false">AT2873*$M2873</f>
        <v>0</v>
      </c>
      <c r="AV2873" s="28"/>
      <c r="AW2873" s="28" t="n">
        <f aca="false">AV2873*$M2873</f>
        <v>0</v>
      </c>
      <c r="AX2873" s="28"/>
      <c r="AY2873" s="28" t="n">
        <f aca="false">AX2873*$M2873</f>
        <v>0</v>
      </c>
      <c r="AZ2873" s="30" t="n">
        <f aca="false">5939/100</f>
        <v>59.39</v>
      </c>
      <c r="BA2873" s="11" t="n">
        <v>1635</v>
      </c>
      <c r="BB2873" s="31" t="n">
        <f aca="false">SUM(Q2873,S2873,U2873,W2873,Y2873,AA2873,AC2873,AE2873,AG2873,AI2873,AK2873,AM2873,AO2873,AQ2873,AS2873,AU2873,AW2873,AY2873)</f>
        <v>1635</v>
      </c>
      <c r="BC2873" s="28" t="n">
        <f aca="false">BA2873-BB2873</f>
        <v>0</v>
      </c>
      <c r="BD2873" s="32" t="n">
        <f aca="false">SUM(P2873,R2873,T2873,V2873,X2873,Z2873,AB2873,AD2873,AF2873,AH2873,AJ2873,AL2873,AN2873,AP2873,AR2873,AT2873,AV2873,AX2873)</f>
        <v>59.39</v>
      </c>
      <c r="BE2873" s="33" t="n">
        <f aca="false">AZ2873-BD2873</f>
        <v>0</v>
      </c>
      <c r="BF2873" s="34" t="n">
        <f aca="false">BD2873*M2873</f>
        <v>1662.92</v>
      </c>
      <c r="BG2873" s="35" t="n">
        <f aca="false">BA2873-BF2873</f>
        <v>-27.9200000000001</v>
      </c>
      <c r="BH2873" s="19" t="str">
        <f aca="false">IF(BG2873=0,"",IF(BG2873&lt;&gt;BA2873,"erreur de calcul",IF(BD2873&lt;&gt;0,"pas de prix",IF(M2873&lt;&gt; 0,"pas de quantité","pas de prix, ni de quantité"))))</f>
        <v>erreur de calcul</v>
      </c>
      <c r="BI2873" s="19"/>
    </row>
    <row r="2874" customFormat="false" ht="15" hidden="false" customHeight="false" outlineLevel="0" collapsed="false">
      <c r="A2874" s="0" t="n">
        <v>23</v>
      </c>
      <c r="B2874" s="8" t="s">
        <v>24</v>
      </c>
      <c r="C2874" s="9" t="s">
        <v>25</v>
      </c>
      <c r="D2874" s="9" t="s">
        <v>26</v>
      </c>
      <c r="E2874" s="10" t="n">
        <v>1789</v>
      </c>
      <c r="F2874" s="9" t="s">
        <v>27</v>
      </c>
      <c r="G2874" s="9" t="s">
        <v>27</v>
      </c>
      <c r="H2874" s="11" t="n">
        <v>20</v>
      </c>
      <c r="I2874" s="11" t="s">
        <v>141</v>
      </c>
      <c r="J2874" s="14" t="n">
        <v>50</v>
      </c>
      <c r="K2874" s="14"/>
      <c r="L2874" s="16"/>
      <c r="M2874" s="27" t="n">
        <f aca="false">J2874+(K2874/20)+(L2874/240)</f>
        <v>50</v>
      </c>
      <c r="N2874" s="17" t="s">
        <v>64</v>
      </c>
      <c r="O2874" s="11"/>
      <c r="P2874" s="28" t="n">
        <f aca="false">79168/100</f>
        <v>791.68</v>
      </c>
      <c r="Q2874" s="28" t="n">
        <v>39584</v>
      </c>
      <c r="R2874" s="28"/>
      <c r="S2874" s="28" t="n">
        <f aca="false">R2874*$M2874</f>
        <v>0</v>
      </c>
      <c r="T2874" s="28" t="n">
        <f aca="false">18545/100</f>
        <v>185.45</v>
      </c>
      <c r="U2874" s="28" t="n">
        <v>9272</v>
      </c>
      <c r="V2874" s="28" t="n">
        <f aca="false">10784/100</f>
        <v>107.84</v>
      </c>
      <c r="W2874" s="28" t="n">
        <v>5392</v>
      </c>
      <c r="X2874" s="28" t="n">
        <f aca="false">22033/100</f>
        <v>220.33</v>
      </c>
      <c r="Y2874" s="28" t="n">
        <v>11016</v>
      </c>
      <c r="Z2874" s="28" t="n">
        <f aca="false">4478/100</f>
        <v>44.78</v>
      </c>
      <c r="AA2874" s="28" t="n">
        <v>2239</v>
      </c>
      <c r="AB2874" s="28" t="n">
        <f aca="false">8901/100</f>
        <v>89.01</v>
      </c>
      <c r="AC2874" s="28" t="n">
        <v>4450</v>
      </c>
      <c r="AD2874" s="28"/>
      <c r="AE2874" s="28" t="n">
        <f aca="false">AD2874*$M2874</f>
        <v>0</v>
      </c>
      <c r="AF2874" s="28"/>
      <c r="AG2874" s="28" t="n">
        <f aca="false">AF2874*$M2874</f>
        <v>0</v>
      </c>
      <c r="AH2874" s="28"/>
      <c r="AI2874" s="28" t="n">
        <f aca="false">AH2874*$M2874</f>
        <v>0</v>
      </c>
      <c r="AJ2874" s="28" t="n">
        <f aca="false">2917/100</f>
        <v>29.17</v>
      </c>
      <c r="AK2874" s="28" t="n">
        <v>1458</v>
      </c>
      <c r="AL2874" s="28"/>
      <c r="AM2874" s="28" t="n">
        <f aca="false">AL2874*$M2874</f>
        <v>0</v>
      </c>
      <c r="AN2874" s="28"/>
      <c r="AO2874" s="28" t="n">
        <f aca="false">AN2874*$M2874</f>
        <v>0</v>
      </c>
      <c r="AP2874" s="28"/>
      <c r="AQ2874" s="28" t="n">
        <f aca="false">AP2874*$M2874</f>
        <v>0</v>
      </c>
      <c r="AR2874" s="28"/>
      <c r="AS2874" s="28" t="n">
        <f aca="false">AR2874*$M2874</f>
        <v>0</v>
      </c>
      <c r="AT2874" s="28"/>
      <c r="AU2874" s="28" t="n">
        <f aca="false">AT2874*$M2874</f>
        <v>0</v>
      </c>
      <c r="AV2874" s="28" t="n">
        <f aca="false">6667/100</f>
        <v>66.67</v>
      </c>
      <c r="AW2874" s="28" t="n">
        <v>3333</v>
      </c>
      <c r="AX2874" s="28"/>
      <c r="AY2874" s="28" t="n">
        <f aca="false">AX2874*$M2874</f>
        <v>0</v>
      </c>
      <c r="AZ2874" s="30" t="n">
        <f aca="false">153493/100</f>
        <v>1534.93</v>
      </c>
      <c r="BA2874" s="11" t="n">
        <v>76744</v>
      </c>
      <c r="BB2874" s="31" t="n">
        <f aca="false">SUM(Q2874,S2874,U2874,W2874,Y2874,AA2874,AC2874,AE2874,AG2874,AI2874,AK2874,AM2874,AO2874,AQ2874,AS2874,AU2874,AW2874,AY2874)</f>
        <v>76744</v>
      </c>
      <c r="BC2874" s="28" t="n">
        <f aca="false">BA2874-BB2874</f>
        <v>0</v>
      </c>
      <c r="BD2874" s="32" t="n">
        <f aca="false">SUM(P2874,R2874,T2874,V2874,X2874,Z2874,AB2874,AD2874,AF2874,AH2874,AJ2874,AL2874,AN2874,AP2874,AR2874,AT2874,AV2874,AX2874)</f>
        <v>1534.93</v>
      </c>
      <c r="BE2874" s="33" t="n">
        <f aca="false">AZ2874-BD2874</f>
        <v>0</v>
      </c>
      <c r="BF2874" s="34" t="n">
        <f aca="false">BD2874*M2874</f>
        <v>76746.5</v>
      </c>
      <c r="BG2874" s="35" t="n">
        <f aca="false">BA2874-BF2874</f>
        <v>-2.49999999998545</v>
      </c>
      <c r="BH2874" s="19" t="str">
        <f aca="false">IF(BG2874=0,"",IF(BG2874&lt;&gt;BA2874,"erreur de calcul",IF(BD2874&lt;&gt;0,"pas de prix",IF(M2874&lt;&gt; 0,"pas de quantité","pas de prix, ni de quantité"))))</f>
        <v>erreur de calcul</v>
      </c>
      <c r="BI2874" s="19"/>
    </row>
    <row r="2875" customFormat="false" ht="15" hidden="false" customHeight="false" outlineLevel="0" collapsed="false">
      <c r="A2875" s="0" t="n">
        <v>24</v>
      </c>
      <c r="B2875" s="8" t="s">
        <v>24</v>
      </c>
      <c r="C2875" s="9" t="s">
        <v>25</v>
      </c>
      <c r="D2875" s="9" t="s">
        <v>26</v>
      </c>
      <c r="E2875" s="10" t="n">
        <v>1789</v>
      </c>
      <c r="F2875" s="9" t="s">
        <v>27</v>
      </c>
      <c r="G2875" s="9" t="s">
        <v>27</v>
      </c>
      <c r="H2875" s="11" t="n">
        <v>20</v>
      </c>
      <c r="I2875" s="11" t="s">
        <v>142</v>
      </c>
      <c r="J2875" s="14" t="n">
        <v>12</v>
      </c>
      <c r="K2875" s="14"/>
      <c r="L2875" s="16"/>
      <c r="M2875" s="27" t="n">
        <f aca="false">J2875+(K2875/20)+(L2875/240)</f>
        <v>12</v>
      </c>
      <c r="N2875" s="17" t="s">
        <v>66</v>
      </c>
      <c r="O2875" s="11"/>
      <c r="P2875" s="28"/>
      <c r="Q2875" s="28" t="n">
        <f aca="false">P2875*$M2875</f>
        <v>0</v>
      </c>
      <c r="R2875" s="28"/>
      <c r="S2875" s="28" t="n">
        <f aca="false">R2875*$M2875</f>
        <v>0</v>
      </c>
      <c r="T2875" s="28"/>
      <c r="U2875" s="28" t="n">
        <f aca="false">T2875*$M2875</f>
        <v>0</v>
      </c>
      <c r="V2875" s="28"/>
      <c r="W2875" s="28" t="n">
        <f aca="false">V2875*$M2875</f>
        <v>0</v>
      </c>
      <c r="X2875" s="28"/>
      <c r="Y2875" s="28" t="n">
        <f aca="false">X2875*$M2875</f>
        <v>0</v>
      </c>
      <c r="Z2875" s="28" t="n">
        <v>21</v>
      </c>
      <c r="AA2875" s="28" t="n">
        <v>252</v>
      </c>
      <c r="AB2875" s="28" t="n">
        <v>672</v>
      </c>
      <c r="AC2875" s="28" t="n">
        <v>8064</v>
      </c>
      <c r="AD2875" s="28"/>
      <c r="AE2875" s="28" t="n">
        <f aca="false">AD2875*$M2875</f>
        <v>0</v>
      </c>
      <c r="AF2875" s="28"/>
      <c r="AG2875" s="28" t="n">
        <f aca="false">AF2875*$M2875</f>
        <v>0</v>
      </c>
      <c r="AH2875" s="28"/>
      <c r="AI2875" s="28" t="n">
        <f aca="false">AH2875*$M2875</f>
        <v>0</v>
      </c>
      <c r="AJ2875" s="28"/>
      <c r="AK2875" s="28" t="n">
        <f aca="false">AJ2875*$M2875</f>
        <v>0</v>
      </c>
      <c r="AL2875" s="28"/>
      <c r="AM2875" s="28" t="n">
        <f aca="false">AL2875*$M2875</f>
        <v>0</v>
      </c>
      <c r="AN2875" s="28"/>
      <c r="AO2875" s="28" t="n">
        <f aca="false">AN2875*$M2875</f>
        <v>0</v>
      </c>
      <c r="AP2875" s="28"/>
      <c r="AQ2875" s="28" t="n">
        <f aca="false">AP2875*$M2875</f>
        <v>0</v>
      </c>
      <c r="AR2875" s="28"/>
      <c r="AS2875" s="28" t="n">
        <f aca="false">AR2875*$M2875</f>
        <v>0</v>
      </c>
      <c r="AT2875" s="28"/>
      <c r="AU2875" s="28" t="n">
        <f aca="false">AT2875*$M2875</f>
        <v>0</v>
      </c>
      <c r="AV2875" s="28"/>
      <c r="AW2875" s="28" t="n">
        <f aca="false">AV2875*$M2875</f>
        <v>0</v>
      </c>
      <c r="AX2875" s="28"/>
      <c r="AY2875" s="28" t="n">
        <f aca="false">AX2875*$M2875</f>
        <v>0</v>
      </c>
      <c r="AZ2875" s="30" t="n">
        <v>693</v>
      </c>
      <c r="BA2875" s="11" t="n">
        <v>8316</v>
      </c>
      <c r="BB2875" s="31" t="n">
        <f aca="false">SUM(Q2875,S2875,U2875,W2875,Y2875,AA2875,AC2875,AE2875,AG2875,AI2875,AK2875,AM2875,AO2875,AQ2875,AS2875,AU2875,AW2875,AY2875)</f>
        <v>8316</v>
      </c>
      <c r="BC2875" s="28" t="n">
        <f aca="false">BA2875-BB2875</f>
        <v>0</v>
      </c>
      <c r="BD2875" s="32" t="n">
        <f aca="false">SUM(P2875,R2875,T2875,V2875,X2875,Z2875,AB2875,AD2875,AF2875,AH2875,AJ2875,AL2875,AN2875,AP2875,AR2875,AT2875,AV2875,AX2875)</f>
        <v>693</v>
      </c>
      <c r="BE2875" s="33" t="n">
        <f aca="false">AZ2875-BD2875</f>
        <v>0</v>
      </c>
      <c r="BF2875" s="34" t="n">
        <f aca="false">BD2875*M2875</f>
        <v>8316</v>
      </c>
      <c r="BG2875" s="35" t="n">
        <f aca="false">BA2875-BF2875</f>
        <v>0</v>
      </c>
      <c r="BH2875" s="19" t="str">
        <f aca="false">IF(BG2875=0,"",IF(BG2875&lt;&gt;BA2875,"erreur de calcul",IF(BD2875&lt;&gt;0,"pas de prix",IF(M2875&lt;&gt; 0,"pas de quantité","pas de prix, ni de quantité"))))</f>
        <v/>
      </c>
      <c r="BI2875" s="19"/>
    </row>
    <row r="2876" customFormat="false" ht="15" hidden="false" customHeight="false" outlineLevel="0" collapsed="false">
      <c r="A2876" s="0" t="n">
        <v>25</v>
      </c>
      <c r="B2876" s="8" t="s">
        <v>24</v>
      </c>
      <c r="C2876" s="9" t="s">
        <v>25</v>
      </c>
      <c r="D2876" s="9" t="s">
        <v>26</v>
      </c>
      <c r="E2876" s="10" t="n">
        <v>1789</v>
      </c>
      <c r="F2876" s="9" t="s">
        <v>27</v>
      </c>
      <c r="G2876" s="9" t="s">
        <v>27</v>
      </c>
      <c r="H2876" s="11" t="n">
        <v>20</v>
      </c>
      <c r="I2876" s="11" t="s">
        <v>143</v>
      </c>
      <c r="J2876" s="14" t="n">
        <v>8</v>
      </c>
      <c r="K2876" s="14"/>
      <c r="L2876" s="16"/>
      <c r="M2876" s="27" t="n">
        <f aca="false">J2876+(K2876/20)+(L2876/240)</f>
        <v>8</v>
      </c>
      <c r="N2876" s="17" t="s">
        <v>85</v>
      </c>
      <c r="O2876" s="11"/>
      <c r="P2876" s="28" t="n">
        <f aca="false">74969/100</f>
        <v>749.69</v>
      </c>
      <c r="Q2876" s="28" t="n">
        <v>5997</v>
      </c>
      <c r="R2876" s="28"/>
      <c r="S2876" s="28" t="n">
        <f aca="false">R2876*$M2876</f>
        <v>0</v>
      </c>
      <c r="T2876" s="28" t="n">
        <f aca="false">58256/100</f>
        <v>582.56</v>
      </c>
      <c r="U2876" s="28" t="n">
        <v>4660</v>
      </c>
      <c r="V2876" s="28" t="n">
        <f aca="false">14450/100</f>
        <v>144.5</v>
      </c>
      <c r="W2876" s="28" t="n">
        <v>1156</v>
      </c>
      <c r="X2876" s="28" t="n">
        <f aca="false">4397/100</f>
        <v>43.97</v>
      </c>
      <c r="Y2876" s="28" t="n">
        <v>352</v>
      </c>
      <c r="Z2876" s="28"/>
      <c r="AA2876" s="28" t="n">
        <f aca="false">Z2876*$M2876</f>
        <v>0</v>
      </c>
      <c r="AB2876" s="28" t="n">
        <f aca="false">6400/100</f>
        <v>64</v>
      </c>
      <c r="AC2876" s="28" t="n">
        <v>512</v>
      </c>
      <c r="AD2876" s="28" t="n">
        <f aca="false">19450/100</f>
        <v>194.5</v>
      </c>
      <c r="AE2876" s="28" t="n">
        <v>1556</v>
      </c>
      <c r="AF2876" s="28" t="n">
        <f aca="false">2496/100</f>
        <v>24.96</v>
      </c>
      <c r="AG2876" s="28" t="n">
        <v>200</v>
      </c>
      <c r="AH2876" s="28"/>
      <c r="AI2876" s="28" t="n">
        <f aca="false">AH2876*$M2876</f>
        <v>0</v>
      </c>
      <c r="AJ2876" s="28"/>
      <c r="AK2876" s="28" t="n">
        <f aca="false">AJ2876*$M2876</f>
        <v>0</v>
      </c>
      <c r="AL2876" s="28"/>
      <c r="AM2876" s="28" t="n">
        <f aca="false">AL2876*$M2876</f>
        <v>0</v>
      </c>
      <c r="AN2876" s="28"/>
      <c r="AO2876" s="28" t="n">
        <f aca="false">AN2876*$M2876</f>
        <v>0</v>
      </c>
      <c r="AP2876" s="28"/>
      <c r="AQ2876" s="28" t="n">
        <f aca="false">AP2876*$M2876</f>
        <v>0</v>
      </c>
      <c r="AR2876" s="28"/>
      <c r="AS2876" s="28" t="n">
        <f aca="false">AR2876*$M2876</f>
        <v>0</v>
      </c>
      <c r="AT2876" s="28"/>
      <c r="AU2876" s="28" t="n">
        <f aca="false">AT2876*$M2876</f>
        <v>0</v>
      </c>
      <c r="AV2876" s="28"/>
      <c r="AW2876" s="28" t="n">
        <f aca="false">AV2876*$M2876</f>
        <v>0</v>
      </c>
      <c r="AX2876" s="28"/>
      <c r="AY2876" s="28" t="n">
        <f aca="false">AX2876*$M2876</f>
        <v>0</v>
      </c>
      <c r="AZ2876" s="30" t="n">
        <f aca="false">180418/100</f>
        <v>1804.18</v>
      </c>
      <c r="BA2876" s="11" t="n">
        <v>14433</v>
      </c>
      <c r="BB2876" s="31" t="n">
        <f aca="false">SUM(Q2876,S2876,U2876,W2876,Y2876,AA2876,AC2876,AE2876,AG2876,AI2876,AK2876,AM2876,AO2876,AQ2876,AS2876,AU2876,AW2876,AY2876)</f>
        <v>14433</v>
      </c>
      <c r="BC2876" s="28" t="n">
        <f aca="false">BA2876-BB2876</f>
        <v>0</v>
      </c>
      <c r="BD2876" s="32" t="n">
        <f aca="false">SUM(P2876,R2876,T2876,V2876,X2876,Z2876,AB2876,AD2876,AF2876,AH2876,AJ2876,AL2876,AN2876,AP2876,AR2876,AT2876,AV2876,AX2876)</f>
        <v>1804.18</v>
      </c>
      <c r="BE2876" s="33" t="n">
        <f aca="false">AZ2876-BD2876</f>
        <v>0</v>
      </c>
      <c r="BF2876" s="34" t="n">
        <f aca="false">BD2876*M2876</f>
        <v>14433.44</v>
      </c>
      <c r="BG2876" s="35" t="n">
        <f aca="false">BA2876-BF2876</f>
        <v>-0.440000000000509</v>
      </c>
      <c r="BH2876" s="19" t="str">
        <f aca="false">IF(BG2876=0,"",IF(BG2876&lt;&gt;BA2876,"erreur de calcul",IF(BD2876&lt;&gt;0,"pas de prix",IF(M2876&lt;&gt; 0,"pas de quantité","pas de prix, ni de quantité"))))</f>
        <v>erreur de calcul</v>
      </c>
      <c r="BI2876" s="19"/>
    </row>
    <row r="2877" customFormat="false" ht="15" hidden="false" customHeight="false" outlineLevel="0" collapsed="false">
      <c r="A2877" s="0" t="n">
        <v>26</v>
      </c>
      <c r="B2877" s="8" t="s">
        <v>24</v>
      </c>
      <c r="C2877" s="9" t="s">
        <v>25</v>
      </c>
      <c r="D2877" s="9" t="s">
        <v>26</v>
      </c>
      <c r="E2877" s="10" t="n">
        <v>1789</v>
      </c>
      <c r="F2877" s="9" t="s">
        <v>27</v>
      </c>
      <c r="G2877" s="9" t="s">
        <v>27</v>
      </c>
      <c r="H2877" s="11" t="n">
        <v>20</v>
      </c>
      <c r="I2877" s="11" t="s">
        <v>144</v>
      </c>
      <c r="J2877" s="14" t="n">
        <v>3</v>
      </c>
      <c r="K2877" s="14"/>
      <c r="L2877" s="16"/>
      <c r="M2877" s="27" t="n">
        <f aca="false">J2877+(K2877/20)+(L2877/240)</f>
        <v>3</v>
      </c>
      <c r="N2877" s="17" t="s">
        <v>66</v>
      </c>
      <c r="O2877" s="11"/>
      <c r="P2877" s="28"/>
      <c r="Q2877" s="28" t="n">
        <f aca="false">P2877*$M2877</f>
        <v>0</v>
      </c>
      <c r="R2877" s="28"/>
      <c r="S2877" s="28" t="n">
        <f aca="false">R2877*$M2877</f>
        <v>0</v>
      </c>
      <c r="T2877" s="28" t="n">
        <v>24347</v>
      </c>
      <c r="U2877" s="28" t="n">
        <v>73041</v>
      </c>
      <c r="V2877" s="28" t="n">
        <v>2300</v>
      </c>
      <c r="W2877" s="28" t="n">
        <v>6900</v>
      </c>
      <c r="X2877" s="28" t="n">
        <v>152</v>
      </c>
      <c r="Y2877" s="28" t="n">
        <v>456</v>
      </c>
      <c r="Z2877" s="28"/>
      <c r="AA2877" s="28" t="n">
        <f aca="false">Z2877*$M2877</f>
        <v>0</v>
      </c>
      <c r="AB2877" s="28" t="n">
        <v>53940</v>
      </c>
      <c r="AC2877" s="28" t="n">
        <v>161820</v>
      </c>
      <c r="AD2877" s="28"/>
      <c r="AE2877" s="28" t="n">
        <f aca="false">AD2877*$M2877</f>
        <v>0</v>
      </c>
      <c r="AF2877" s="28"/>
      <c r="AG2877" s="28" t="n">
        <f aca="false">AF2877*$M2877</f>
        <v>0</v>
      </c>
      <c r="AH2877" s="28" t="n">
        <v>1668909</v>
      </c>
      <c r="AI2877" s="28" t="n">
        <v>5006727</v>
      </c>
      <c r="AJ2877" s="28"/>
      <c r="AK2877" s="28" t="n">
        <f aca="false">AJ2877*$M2877</f>
        <v>0</v>
      </c>
      <c r="AL2877" s="28"/>
      <c r="AM2877" s="28" t="n">
        <f aca="false">AL2877*$M2877</f>
        <v>0</v>
      </c>
      <c r="AN2877" s="28" t="n">
        <v>165</v>
      </c>
      <c r="AO2877" s="28" t="n">
        <v>495</v>
      </c>
      <c r="AP2877" s="28"/>
      <c r="AQ2877" s="28" t="n">
        <f aca="false">AP2877*$M2877</f>
        <v>0</v>
      </c>
      <c r="AR2877" s="28"/>
      <c r="AS2877" s="28" t="n">
        <f aca="false">AR2877*$M2877</f>
        <v>0</v>
      </c>
      <c r="AT2877" s="28"/>
      <c r="AU2877" s="28" t="n">
        <f aca="false">AT2877*$M2877</f>
        <v>0</v>
      </c>
      <c r="AV2877" s="28"/>
      <c r="AW2877" s="28" t="n">
        <f aca="false">AV2877*$M2877</f>
        <v>0</v>
      </c>
      <c r="AX2877" s="28"/>
      <c r="AY2877" s="28" t="n">
        <f aca="false">AX2877*$M2877</f>
        <v>0</v>
      </c>
      <c r="AZ2877" s="30" t="n">
        <v>1736540</v>
      </c>
      <c r="BA2877" s="11" t="n">
        <v>5249439</v>
      </c>
      <c r="BB2877" s="31" t="n">
        <f aca="false">SUM(Q2877,S2877,U2877,W2877,Y2877,AA2877,AC2877,AE2877,AG2877,AI2877,AK2877,AM2877,AO2877,AQ2877,AS2877,AU2877,AW2877,AY2877)</f>
        <v>5249439</v>
      </c>
      <c r="BC2877" s="28" t="n">
        <f aca="false">BA2877-BB2877</f>
        <v>0</v>
      </c>
      <c r="BD2877" s="32" t="n">
        <f aca="false">SUM(P2877,R2877,T2877,V2877,X2877,Z2877,AB2877,AD2877,AF2877,AH2877,AJ2877,AL2877,AN2877,AP2877,AR2877,AT2877,AV2877,AX2877)</f>
        <v>1749813</v>
      </c>
      <c r="BE2877" s="33" t="n">
        <f aca="false">AZ2877-BD2877</f>
        <v>-13273</v>
      </c>
      <c r="BF2877" s="34" t="n">
        <f aca="false">BD2877*M2877</f>
        <v>5249439</v>
      </c>
      <c r="BG2877" s="35" t="n">
        <f aca="false">BA2877-BF2877</f>
        <v>0</v>
      </c>
      <c r="BH2877" s="19" t="str">
        <f aca="false">IF(BG2877=0,"",IF(BG2877&lt;&gt;BA2877,"erreur de calcul",IF(BD2877&lt;&gt;0,"pas de prix",IF(M2877&lt;&gt; 0,"pas de quantité","pas de prix, ni de quantité"))))</f>
        <v/>
      </c>
      <c r="BI2877" s="19"/>
    </row>
    <row r="2878" customFormat="false" ht="15" hidden="false" customHeight="false" outlineLevel="0" collapsed="false">
      <c r="A2878" s="0" t="n">
        <v>27</v>
      </c>
      <c r="B2878" s="8" t="s">
        <v>24</v>
      </c>
      <c r="C2878" s="9" t="s">
        <v>25</v>
      </c>
      <c r="D2878" s="9" t="s">
        <v>26</v>
      </c>
      <c r="E2878" s="10" t="n">
        <v>1789</v>
      </c>
      <c r="F2878" s="9" t="s">
        <v>27</v>
      </c>
      <c r="G2878" s="9" t="s">
        <v>27</v>
      </c>
      <c r="H2878" s="11" t="n">
        <v>20</v>
      </c>
      <c r="I2878" s="11" t="s">
        <v>145</v>
      </c>
      <c r="J2878" s="14" t="n">
        <v>4</v>
      </c>
      <c r="K2878" s="14" t="n">
        <v>18</v>
      </c>
      <c r="L2878" s="16"/>
      <c r="M2878" s="27" t="n">
        <f aca="false">J2878+(K2878/20)+(L2878/240)</f>
        <v>4.9</v>
      </c>
      <c r="N2878" s="17" t="s">
        <v>66</v>
      </c>
      <c r="O2878" s="11"/>
      <c r="P2878" s="28"/>
      <c r="Q2878" s="28" t="n">
        <f aca="false">P2878*$M2878</f>
        <v>0</v>
      </c>
      <c r="R2878" s="28"/>
      <c r="S2878" s="28" t="n">
        <f aca="false">R2878*$M2878</f>
        <v>0</v>
      </c>
      <c r="T2878" s="28"/>
      <c r="U2878" s="28" t="n">
        <f aca="false">T2878*$M2878</f>
        <v>0</v>
      </c>
      <c r="V2878" s="28"/>
      <c r="W2878" s="28" t="n">
        <f aca="false">V2878*$M2878</f>
        <v>0</v>
      </c>
      <c r="X2878" s="28"/>
      <c r="Y2878" s="28" t="n">
        <f aca="false">X2878*$M2878</f>
        <v>0</v>
      </c>
      <c r="Z2878" s="28"/>
      <c r="AA2878" s="28" t="n">
        <f aca="false">Z2878*$M2878</f>
        <v>0</v>
      </c>
      <c r="AB2878" s="28"/>
      <c r="AC2878" s="28" t="n">
        <f aca="false">AB2878*$M2878</f>
        <v>0</v>
      </c>
      <c r="AD2878" s="28"/>
      <c r="AE2878" s="28" t="n">
        <f aca="false">AD2878*$M2878</f>
        <v>0</v>
      </c>
      <c r="AF2878" s="28"/>
      <c r="AG2878" s="28" t="n">
        <f aca="false">AF2878*$M2878</f>
        <v>0</v>
      </c>
      <c r="AH2878" s="28" t="n">
        <v>14916</v>
      </c>
      <c r="AI2878" s="28" t="n">
        <v>73088</v>
      </c>
      <c r="AJ2878" s="28"/>
      <c r="AK2878" s="28" t="n">
        <f aca="false">AJ2878*$M2878</f>
        <v>0</v>
      </c>
      <c r="AL2878" s="28"/>
      <c r="AM2878" s="28" t="n">
        <f aca="false">AL2878*$M2878</f>
        <v>0</v>
      </c>
      <c r="AN2878" s="28"/>
      <c r="AO2878" s="28" t="n">
        <f aca="false">AN2878*$M2878</f>
        <v>0</v>
      </c>
      <c r="AP2878" s="28"/>
      <c r="AQ2878" s="28" t="n">
        <f aca="false">AP2878*$M2878</f>
        <v>0</v>
      </c>
      <c r="AR2878" s="28"/>
      <c r="AS2878" s="28" t="n">
        <f aca="false">AR2878*$M2878</f>
        <v>0</v>
      </c>
      <c r="AT2878" s="28"/>
      <c r="AU2878" s="28" t="n">
        <f aca="false">AT2878*$M2878</f>
        <v>0</v>
      </c>
      <c r="AV2878" s="28"/>
      <c r="AW2878" s="28" t="n">
        <f aca="false">AV2878*$M2878</f>
        <v>0</v>
      </c>
      <c r="AX2878" s="28"/>
      <c r="AY2878" s="28" t="n">
        <f aca="false">AX2878*$M2878</f>
        <v>0</v>
      </c>
      <c r="AZ2878" s="30" t="n">
        <v>14916</v>
      </c>
      <c r="BA2878" s="11" t="n">
        <v>73088</v>
      </c>
      <c r="BB2878" s="31" t="n">
        <f aca="false">SUM(Q2878,S2878,U2878,W2878,Y2878,AA2878,AC2878,AE2878,AG2878,AI2878,AK2878,AM2878,AO2878,AQ2878,AS2878,AU2878,AW2878,AY2878)</f>
        <v>73088</v>
      </c>
      <c r="BC2878" s="28" t="n">
        <f aca="false">BA2878-BB2878</f>
        <v>0</v>
      </c>
      <c r="BD2878" s="32" t="n">
        <f aca="false">SUM(P2878,R2878,T2878,V2878,X2878,Z2878,AB2878,AD2878,AF2878,AH2878,AJ2878,AL2878,AN2878,AP2878,AR2878,AT2878,AV2878,AX2878)</f>
        <v>14916</v>
      </c>
      <c r="BE2878" s="33" t="n">
        <f aca="false">AZ2878-BD2878</f>
        <v>0</v>
      </c>
      <c r="BF2878" s="34" t="n">
        <f aca="false">BD2878*M2878</f>
        <v>73088.4</v>
      </c>
      <c r="BG2878" s="35" t="n">
        <f aca="false">BA2878-BF2878</f>
        <v>-0.400000000008731</v>
      </c>
      <c r="BH2878" s="19" t="str">
        <f aca="false">IF(BG2878=0,"",IF(BG2878&lt;&gt;BA2878,"erreur de calcul",IF(BD2878&lt;&gt;0,"pas de prix",IF(M2878&lt;&gt; 0,"pas de quantité","pas de prix, ni de quantité"))))</f>
        <v>erreur de calcul</v>
      </c>
      <c r="BI2878" s="19"/>
    </row>
    <row r="2879" customFormat="false" ht="15" hidden="false" customHeight="false" outlineLevel="0" collapsed="false">
      <c r="A2879" s="0" t="n">
        <v>28</v>
      </c>
      <c r="B2879" s="8" t="s">
        <v>24</v>
      </c>
      <c r="C2879" s="9" t="s">
        <v>25</v>
      </c>
      <c r="D2879" s="9" t="s">
        <v>26</v>
      </c>
      <c r="E2879" s="10" t="n">
        <v>1789</v>
      </c>
      <c r="F2879" s="9" t="s">
        <v>27</v>
      </c>
      <c r="G2879" s="9" t="s">
        <v>27</v>
      </c>
      <c r="H2879" s="11" t="n">
        <v>20</v>
      </c>
      <c r="I2879" s="11" t="s">
        <v>146</v>
      </c>
      <c r="J2879" s="14" t="n">
        <v>126</v>
      </c>
      <c r="K2879" s="14"/>
      <c r="L2879" s="16"/>
      <c r="M2879" s="27"/>
      <c r="N2879" s="17" t="s">
        <v>66</v>
      </c>
      <c r="O2879" s="11" t="s">
        <v>98</v>
      </c>
      <c r="P2879" s="28"/>
      <c r="Q2879" s="28" t="n">
        <f aca="false">P2879*$M2879</f>
        <v>0</v>
      </c>
      <c r="R2879" s="28" t="n">
        <v>82676</v>
      </c>
      <c r="S2879" s="28" t="n">
        <v>28572</v>
      </c>
      <c r="T2879" s="28"/>
      <c r="U2879" s="28" t="n">
        <f aca="false">T2879*$M2879</f>
        <v>0</v>
      </c>
      <c r="V2879" s="28"/>
      <c r="W2879" s="28" t="n">
        <f aca="false">V2879*$M2879</f>
        <v>0</v>
      </c>
      <c r="X2879" s="28"/>
      <c r="Y2879" s="28" t="n">
        <f aca="false">X2879*$M2879</f>
        <v>0</v>
      </c>
      <c r="Z2879" s="28"/>
      <c r="AA2879" s="28" t="n">
        <f aca="false">Z2879*$M2879</f>
        <v>0</v>
      </c>
      <c r="AB2879" s="28"/>
      <c r="AC2879" s="28" t="n">
        <f aca="false">AB2879*$M2879</f>
        <v>0</v>
      </c>
      <c r="AD2879" s="28"/>
      <c r="AE2879" s="28" t="n">
        <f aca="false">AD2879*$M2879</f>
        <v>0</v>
      </c>
      <c r="AF2879" s="28"/>
      <c r="AG2879" s="28" t="n">
        <f aca="false">AF2879*$M2879</f>
        <v>0</v>
      </c>
      <c r="AH2879" s="28" t="n">
        <v>6408925</v>
      </c>
      <c r="AI2879" s="28" t="n">
        <v>8075245</v>
      </c>
      <c r="AJ2879" s="28"/>
      <c r="AK2879" s="28" t="n">
        <f aca="false">AJ2879*$M2879</f>
        <v>0</v>
      </c>
      <c r="AL2879" s="28"/>
      <c r="AM2879" s="28" t="n">
        <f aca="false">AL2879*$M2879</f>
        <v>0</v>
      </c>
      <c r="AN2879" s="28"/>
      <c r="AO2879" s="28" t="n">
        <f aca="false">AN2879*$M2879</f>
        <v>0</v>
      </c>
      <c r="AP2879" s="28"/>
      <c r="AQ2879" s="28" t="n">
        <f aca="false">AP2879*$M2879</f>
        <v>0</v>
      </c>
      <c r="AR2879" s="28"/>
      <c r="AS2879" s="28" t="n">
        <f aca="false">AR2879*$M2879</f>
        <v>0</v>
      </c>
      <c r="AT2879" s="28"/>
      <c r="AU2879" s="28" t="n">
        <f aca="false">AT2879*$M2879</f>
        <v>0</v>
      </c>
      <c r="AV2879" s="28"/>
      <c r="AW2879" s="28" t="n">
        <f aca="false">AV2879*$M2879</f>
        <v>0</v>
      </c>
      <c r="AX2879" s="28"/>
      <c r="AY2879" s="28" t="n">
        <f aca="false">AX2879*$M2879</f>
        <v>0</v>
      </c>
      <c r="AZ2879" s="11" t="n">
        <v>6431601</v>
      </c>
      <c r="BA2879" s="11" t="n">
        <v>8103817</v>
      </c>
      <c r="BB2879" s="31" t="n">
        <f aca="false">SUM(Q2879,S2879,U2879,W2879,Y2879,AA2879,AC2879,AE2879,AG2879,AI2879,AK2879,AM2879,AO2879,AQ2879,AS2879,AU2879,AW2879,AY2879)</f>
        <v>8103817</v>
      </c>
      <c r="BC2879" s="28" t="n">
        <f aca="false">BA2879-BB2879</f>
        <v>0</v>
      </c>
      <c r="BD2879" s="32" t="n">
        <f aca="false">SUM(P2879,R2879,T2879,V2879,X2879,Z2879,AB2879,AD2879,AF2879,AH2879,AJ2879,AL2879,AN2879,AP2879,AR2879,AT2879,AV2879,AX2879)</f>
        <v>6491601</v>
      </c>
      <c r="BE2879" s="33" t="n">
        <f aca="false">AZ2879-BD2879</f>
        <v>-60000</v>
      </c>
      <c r="BF2879" s="34" t="n">
        <f aca="false">BD2879*M2879</f>
        <v>0</v>
      </c>
      <c r="BG2879" s="35" t="n">
        <f aca="false">BA2879-BF2879</f>
        <v>8103817</v>
      </c>
      <c r="BH2879" s="19" t="str">
        <f aca="false">IF(BG2879=0,"",IF(BG2879&lt;&gt;BA2879,"erreur de calcul",IF(BD2879&lt;&gt;0,"pas de prix",IF(M2879&lt;&gt; 0,"pas de quantité","pas de prix, ni de quantité"))))</f>
        <v>pas de prix</v>
      </c>
      <c r="BI2879" s="19" t="s">
        <v>147</v>
      </c>
    </row>
    <row r="2880" customFormat="false" ht="15" hidden="false" customHeight="false" outlineLevel="0" collapsed="false">
      <c r="A2880" s="0" t="n">
        <v>29</v>
      </c>
      <c r="B2880" s="8" t="s">
        <v>24</v>
      </c>
      <c r="C2880" s="9" t="s">
        <v>25</v>
      </c>
      <c r="D2880" s="9" t="s">
        <v>26</v>
      </c>
      <c r="E2880" s="10" t="n">
        <v>1789</v>
      </c>
      <c r="F2880" s="9" t="s">
        <v>27</v>
      </c>
      <c r="G2880" s="9" t="s">
        <v>27</v>
      </c>
      <c r="H2880" s="11" t="n">
        <v>20</v>
      </c>
      <c r="I2880" s="11" t="s">
        <v>148</v>
      </c>
      <c r="J2880" s="14"/>
      <c r="K2880" s="14" t="n">
        <v>20</v>
      </c>
      <c r="L2880" s="16"/>
      <c r="M2880" s="27" t="n">
        <f aca="false">J2880+(K2880/20)+(L2880/240)</f>
        <v>1</v>
      </c>
      <c r="N2880" s="17" t="s">
        <v>66</v>
      </c>
      <c r="O2880" s="11"/>
      <c r="P2880" s="28"/>
      <c r="Q2880" s="28" t="n">
        <f aca="false">P2880*$M2880</f>
        <v>0</v>
      </c>
      <c r="R2880" s="28"/>
      <c r="S2880" s="28" t="n">
        <f aca="false">R2880*$M2880</f>
        <v>0</v>
      </c>
      <c r="T2880" s="28" t="n">
        <v>392</v>
      </c>
      <c r="U2880" s="28" t="n">
        <v>392</v>
      </c>
      <c r="V2880" s="28"/>
      <c r="W2880" s="28" t="n">
        <f aca="false">V2880*$M2880</f>
        <v>0</v>
      </c>
      <c r="X2880" s="28"/>
      <c r="Y2880" s="28" t="n">
        <f aca="false">X2880*$M2880</f>
        <v>0</v>
      </c>
      <c r="Z2880" s="28"/>
      <c r="AA2880" s="28" t="n">
        <f aca="false">Z2880*$M2880</f>
        <v>0</v>
      </c>
      <c r="AB2880" s="28" t="n">
        <v>7596</v>
      </c>
      <c r="AC2880" s="28" t="n">
        <v>7596</v>
      </c>
      <c r="AD2880" s="28"/>
      <c r="AE2880" s="28" t="n">
        <f aca="false">AD2880*$M2880</f>
        <v>0</v>
      </c>
      <c r="AF2880" s="28"/>
      <c r="AG2880" s="28" t="n">
        <f aca="false">AF2880*$M2880</f>
        <v>0</v>
      </c>
      <c r="AH2880" s="28"/>
      <c r="AI2880" s="28" t="n">
        <f aca="false">AH2880*$M2880</f>
        <v>0</v>
      </c>
      <c r="AJ2880" s="28"/>
      <c r="AK2880" s="28" t="n">
        <f aca="false">AJ2880*$M2880</f>
        <v>0</v>
      </c>
      <c r="AL2880" s="28"/>
      <c r="AM2880" s="28" t="n">
        <f aca="false">AL2880*$M2880</f>
        <v>0</v>
      </c>
      <c r="AN2880" s="28"/>
      <c r="AO2880" s="28" t="n">
        <f aca="false">AN2880*$M2880</f>
        <v>0</v>
      </c>
      <c r="AP2880" s="28"/>
      <c r="AQ2880" s="28" t="n">
        <f aca="false">AP2880*$M2880</f>
        <v>0</v>
      </c>
      <c r="AR2880" s="28"/>
      <c r="AS2880" s="28" t="n">
        <f aca="false">AR2880*$M2880</f>
        <v>0</v>
      </c>
      <c r="AT2880" s="28"/>
      <c r="AU2880" s="28" t="n">
        <f aca="false">AT2880*$M2880</f>
        <v>0</v>
      </c>
      <c r="AV2880" s="28"/>
      <c r="AW2880" s="28" t="n">
        <f aca="false">AV2880*$M2880</f>
        <v>0</v>
      </c>
      <c r="AX2880" s="28"/>
      <c r="AY2880" s="28" t="n">
        <f aca="false">AX2880*$M2880</f>
        <v>0</v>
      </c>
      <c r="AZ2880" s="30" t="n">
        <v>7988</v>
      </c>
      <c r="BA2880" s="11" t="n">
        <v>7988</v>
      </c>
      <c r="BB2880" s="31" t="n">
        <f aca="false">SUM(Q2880,S2880,U2880,W2880,Y2880,AA2880,AC2880,AE2880,AG2880,AI2880,AK2880,AM2880,AO2880,AQ2880,AS2880,AU2880,AW2880,AY2880)</f>
        <v>7988</v>
      </c>
      <c r="BC2880" s="28" t="n">
        <f aca="false">BA2880-BB2880</f>
        <v>0</v>
      </c>
      <c r="BD2880" s="32" t="n">
        <f aca="false">SUM(P2880,R2880,T2880,V2880,X2880,Z2880,AB2880,AD2880,AF2880,AH2880,AJ2880,AL2880,AN2880,AP2880,AR2880,AT2880,AV2880,AX2880)</f>
        <v>7988</v>
      </c>
      <c r="BE2880" s="33" t="n">
        <f aca="false">AZ2880-BD2880</f>
        <v>0</v>
      </c>
      <c r="BF2880" s="34" t="n">
        <f aca="false">BD2880*M2880</f>
        <v>7988</v>
      </c>
      <c r="BG2880" s="35" t="n">
        <f aca="false">BA2880-BF2880</f>
        <v>0</v>
      </c>
      <c r="BH2880" s="19" t="str">
        <f aca="false">IF(BG2880=0,"",IF(BG2880&lt;&gt;BA2880,"erreur de calcul",IF(BD2880&lt;&gt;0,"pas de prix",IF(M2880&lt;&gt; 0,"pas de quantité","pas de prix, ni de quantité"))))</f>
        <v/>
      </c>
      <c r="BI2880" s="19"/>
    </row>
    <row r="2881" customFormat="false" ht="15" hidden="false" customHeight="false" outlineLevel="0" collapsed="false">
      <c r="A2881" s="0" t="n">
        <v>30</v>
      </c>
      <c r="B2881" s="8" t="s">
        <v>24</v>
      </c>
      <c r="C2881" s="9" t="s">
        <v>25</v>
      </c>
      <c r="D2881" s="9" t="s">
        <v>26</v>
      </c>
      <c r="E2881" s="10" t="n">
        <v>1789</v>
      </c>
      <c r="F2881" s="9" t="s">
        <v>27</v>
      </c>
      <c r="G2881" s="9" t="s">
        <v>27</v>
      </c>
      <c r="H2881" s="11" t="n">
        <v>20</v>
      </c>
      <c r="I2881" s="11" t="s">
        <v>149</v>
      </c>
      <c r="J2881" s="14" t="n">
        <v>70</v>
      </c>
      <c r="K2881" s="14"/>
      <c r="L2881" s="16"/>
      <c r="M2881" s="27" t="n">
        <f aca="false">J2881+(K2881/20)+(L2881/240)</f>
        <v>70</v>
      </c>
      <c r="N2881" s="17" t="s">
        <v>64</v>
      </c>
      <c r="O2881" s="11"/>
      <c r="P2881" s="28"/>
      <c r="Q2881" s="28" t="n">
        <f aca="false">P2881*$M2881</f>
        <v>0</v>
      </c>
      <c r="R2881" s="28"/>
      <c r="S2881" s="28" t="n">
        <f aca="false">R2881*$M2881</f>
        <v>0</v>
      </c>
      <c r="T2881" s="28"/>
      <c r="U2881" s="28" t="n">
        <f aca="false">T2881*$M2881</f>
        <v>0</v>
      </c>
      <c r="V2881" s="28"/>
      <c r="W2881" s="28" t="n">
        <f aca="false">V2881*$M2881</f>
        <v>0</v>
      </c>
      <c r="X2881" s="28" t="n">
        <f aca="false">1904/100</f>
        <v>19.04</v>
      </c>
      <c r="Y2881" s="28" t="n">
        <v>1333</v>
      </c>
      <c r="Z2881" s="28"/>
      <c r="AA2881" s="28" t="n">
        <f aca="false">Z2881*$M2881</f>
        <v>0</v>
      </c>
      <c r="AB2881" s="28" t="n">
        <f aca="false">51370/100</f>
        <v>513.7</v>
      </c>
      <c r="AC2881" s="28" t="n">
        <v>35959</v>
      </c>
      <c r="AD2881" s="28"/>
      <c r="AE2881" s="28" t="n">
        <f aca="false">AD2881*$M2881</f>
        <v>0</v>
      </c>
      <c r="AF2881" s="28" t="n">
        <f aca="false">8872/100</f>
        <v>88.72</v>
      </c>
      <c r="AG2881" s="28" t="n">
        <v>6210</v>
      </c>
      <c r="AH2881" s="28" t="n">
        <f aca="false">14751/100</f>
        <v>147.51</v>
      </c>
      <c r="AI2881" s="28" t="n">
        <v>10326</v>
      </c>
      <c r="AJ2881" s="28"/>
      <c r="AK2881" s="28" t="n">
        <f aca="false">AJ2881*$M2881</f>
        <v>0</v>
      </c>
      <c r="AL2881" s="28"/>
      <c r="AM2881" s="28" t="n">
        <f aca="false">AL2881*$M2881</f>
        <v>0</v>
      </c>
      <c r="AN2881" s="28"/>
      <c r="AO2881" s="28" t="n">
        <f aca="false">AN2881*$M2881</f>
        <v>0</v>
      </c>
      <c r="AP2881" s="28"/>
      <c r="AQ2881" s="28" t="n">
        <f aca="false">AP2881*$M2881</f>
        <v>0</v>
      </c>
      <c r="AR2881" s="28"/>
      <c r="AS2881" s="28" t="n">
        <f aca="false">AR2881*$M2881</f>
        <v>0</v>
      </c>
      <c r="AT2881" s="28"/>
      <c r="AU2881" s="28" t="n">
        <f aca="false">AT2881*$M2881</f>
        <v>0</v>
      </c>
      <c r="AV2881" s="28"/>
      <c r="AW2881" s="28" t="n">
        <f aca="false">AV2881*$M2881</f>
        <v>0</v>
      </c>
      <c r="AX2881" s="28"/>
      <c r="AY2881" s="28" t="n">
        <f aca="false">AX2881*$M2881</f>
        <v>0</v>
      </c>
      <c r="AZ2881" s="30" t="n">
        <f aca="false">76897/100</f>
        <v>768.97</v>
      </c>
      <c r="BA2881" s="11" t="n">
        <v>53828</v>
      </c>
      <c r="BB2881" s="31" t="n">
        <f aca="false">SUM(Q2881,S2881,U2881,W2881,Y2881,AA2881,AC2881,AE2881,AG2881,AI2881,AK2881,AM2881,AO2881,AQ2881,AS2881,AU2881,AW2881,AY2881)</f>
        <v>53828</v>
      </c>
      <c r="BC2881" s="28" t="n">
        <f aca="false">BA2881-BB2881</f>
        <v>0</v>
      </c>
      <c r="BD2881" s="32" t="n">
        <f aca="false">SUM(P2881,R2881,T2881,V2881,X2881,Z2881,AB2881,AD2881,AF2881,AH2881,AJ2881,AL2881,AN2881,AP2881,AR2881,AT2881,AV2881,AX2881)</f>
        <v>768.97</v>
      </c>
      <c r="BE2881" s="33" t="n">
        <f aca="false">AZ2881-BD2881</f>
        <v>0</v>
      </c>
      <c r="BF2881" s="34" t="n">
        <f aca="false">BD2881*M2881</f>
        <v>53827.9</v>
      </c>
      <c r="BG2881" s="35" t="n">
        <f aca="false">BA2881-BF2881</f>
        <v>0.0999999999985448</v>
      </c>
      <c r="BH2881" s="19" t="str">
        <f aca="false">IF(BG2881=0,"",IF(BG2881&lt;&gt;BA2881,"erreur de calcul",IF(BD2881&lt;&gt;0,"pas de prix",IF(M2881&lt;&gt; 0,"pas de quantité","pas de prix, ni de quantité"))))</f>
        <v>erreur de calcul</v>
      </c>
      <c r="BI2881" s="19"/>
    </row>
    <row r="2882" customFormat="false" ht="15" hidden="false" customHeight="false" outlineLevel="0" collapsed="false">
      <c r="A2882" s="0" t="n">
        <v>31</v>
      </c>
      <c r="B2882" s="8" t="s">
        <v>24</v>
      </c>
      <c r="C2882" s="9" t="s">
        <v>25</v>
      </c>
      <c r="D2882" s="9" t="s">
        <v>26</v>
      </c>
      <c r="E2882" s="10" t="n">
        <v>1789</v>
      </c>
      <c r="F2882" s="9" t="s">
        <v>27</v>
      </c>
      <c r="G2882" s="9" t="s">
        <v>27</v>
      </c>
      <c r="H2882" s="11" t="n">
        <v>20</v>
      </c>
      <c r="I2882" s="11" t="s">
        <v>150</v>
      </c>
      <c r="J2882" s="14" t="n">
        <v>70</v>
      </c>
      <c r="K2882" s="14"/>
      <c r="L2882" s="16"/>
      <c r="M2882" s="27" t="n">
        <f aca="false">J2882+(K2882/20)+(L2882/240)</f>
        <v>70</v>
      </c>
      <c r="N2882" s="17" t="s">
        <v>64</v>
      </c>
      <c r="O2882" s="11" t="s">
        <v>77</v>
      </c>
      <c r="P2882" s="28"/>
      <c r="Q2882" s="28" t="n">
        <f aca="false">P2882*$M2882</f>
        <v>0</v>
      </c>
      <c r="R2882" s="28"/>
      <c r="S2882" s="28" t="n">
        <f aca="false">R2882*$M2882</f>
        <v>0</v>
      </c>
      <c r="T2882" s="28"/>
      <c r="U2882" s="28" t="n">
        <f aca="false">T2882*$M2882</f>
        <v>0</v>
      </c>
      <c r="V2882" s="28"/>
      <c r="W2882" s="28" t="n">
        <f aca="false">V2882*$M2882</f>
        <v>0</v>
      </c>
      <c r="X2882" s="28"/>
      <c r="Y2882" s="28" t="n">
        <f aca="false">X2882*$M2882</f>
        <v>0</v>
      </c>
      <c r="Z2882" s="28"/>
      <c r="AA2882" s="28" t="n">
        <f aca="false">Z2882*$M2882</f>
        <v>0</v>
      </c>
      <c r="AB2882" s="28"/>
      <c r="AC2882" s="28" t="n">
        <f aca="false">AB2882*$M2882</f>
        <v>0</v>
      </c>
      <c r="AD2882" s="28"/>
      <c r="AE2882" s="28" t="n">
        <f aca="false">AD2882*$M2882</f>
        <v>0</v>
      </c>
      <c r="AF2882" s="28"/>
      <c r="AG2882" s="28" t="n">
        <f aca="false">AF2882*$M2882</f>
        <v>0</v>
      </c>
      <c r="AH2882" s="28"/>
      <c r="AI2882" s="28" t="n">
        <f aca="false">AH2882*$M2882</f>
        <v>0</v>
      </c>
      <c r="AJ2882" s="28"/>
      <c r="AK2882" s="28" t="n">
        <f aca="false">AJ2882*$M2882</f>
        <v>0</v>
      </c>
      <c r="AL2882" s="28"/>
      <c r="AM2882" s="28" t="n">
        <f aca="false">AL2882*$M2882</f>
        <v>0</v>
      </c>
      <c r="AN2882" s="28"/>
      <c r="AO2882" s="28" t="n">
        <f aca="false">AN2882*$M2882</f>
        <v>0</v>
      </c>
      <c r="AP2882" s="28"/>
      <c r="AQ2882" s="28" t="n">
        <f aca="false">AP2882*$M2882</f>
        <v>0</v>
      </c>
      <c r="AR2882" s="28"/>
      <c r="AS2882" s="28" t="n">
        <f aca="false">AR2882*$M2882</f>
        <v>0</v>
      </c>
      <c r="AT2882" s="28"/>
      <c r="AU2882" s="28" t="n">
        <f aca="false">AT2882*$M2882</f>
        <v>0</v>
      </c>
      <c r="AV2882" s="28"/>
      <c r="AW2882" s="28" t="n">
        <f aca="false">AV2882*$M2882</f>
        <v>0</v>
      </c>
      <c r="AX2882" s="28"/>
      <c r="AY2882" s="28" t="n">
        <f aca="false">AX2882*$M2882</f>
        <v>0</v>
      </c>
      <c r="AZ2882" s="30"/>
      <c r="BA2882" s="11"/>
      <c r="BB2882" s="31" t="n">
        <f aca="false">SUM(Q2882,S2882,U2882,W2882,Y2882,AA2882,AC2882,AE2882,AG2882,AI2882,AK2882,AM2882,AO2882,AQ2882,AS2882,AU2882,AW2882,AY2882)</f>
        <v>0</v>
      </c>
      <c r="BC2882" s="28" t="n">
        <f aca="false">BA2882-BB2882</f>
        <v>0</v>
      </c>
      <c r="BD2882" s="32" t="n">
        <f aca="false">SUM(P2882,R2882,T2882,V2882,X2882,Z2882,AB2882,AD2882,AF2882,AH2882,AJ2882,AL2882,AN2882,AP2882,AR2882,AT2882,AV2882,AX2882)</f>
        <v>0</v>
      </c>
      <c r="BE2882" s="33" t="n">
        <f aca="false">AZ2882-BD2882</f>
        <v>0</v>
      </c>
      <c r="BF2882" s="34" t="n">
        <f aca="false">BD2882*M2882</f>
        <v>0</v>
      </c>
      <c r="BG2882" s="35" t="n">
        <f aca="false">BA2882-BF2882</f>
        <v>0</v>
      </c>
      <c r="BH2882" s="19" t="str">
        <f aca="false">IF(BG2882=0,"",IF(BG2882&lt;&gt;BA2882,"erreur de calcul",IF(BD2882&lt;&gt;0,"pas de prix",IF(M2882&lt;&gt; 0,"pas de quantité","pas de prix, ni de quantité"))))</f>
        <v/>
      </c>
      <c r="BI2882" s="19"/>
    </row>
    <row r="2883" customFormat="false" ht="15" hidden="false" customHeight="false" outlineLevel="0" collapsed="false">
      <c r="A2883" s="0" t="n">
        <v>32</v>
      </c>
      <c r="B2883" s="8" t="s">
        <v>24</v>
      </c>
      <c r="C2883" s="9" t="s">
        <v>25</v>
      </c>
      <c r="D2883" s="9" t="s">
        <v>26</v>
      </c>
      <c r="E2883" s="10" t="n">
        <v>1789</v>
      </c>
      <c r="F2883" s="9" t="s">
        <v>27</v>
      </c>
      <c r="G2883" s="9" t="s">
        <v>27</v>
      </c>
      <c r="H2883" s="11" t="n">
        <v>20</v>
      </c>
      <c r="I2883" s="11" t="s">
        <v>150</v>
      </c>
      <c r="J2883" s="14" t="n">
        <v>70</v>
      </c>
      <c r="K2883" s="14"/>
      <c r="L2883" s="16"/>
      <c r="M2883" s="27" t="n">
        <f aca="false">J2883+(K2883/20)+(L2883/240)</f>
        <v>70</v>
      </c>
      <c r="N2883" s="17" t="s">
        <v>64</v>
      </c>
      <c r="O2883" s="11" t="s">
        <v>98</v>
      </c>
      <c r="P2883" s="28" t="n">
        <f aca="false">382028/100</f>
        <v>3820.28</v>
      </c>
      <c r="Q2883" s="28" t="n">
        <v>267420</v>
      </c>
      <c r="R2883" s="28" t="n">
        <f aca="false">131361/100</f>
        <v>1313.61</v>
      </c>
      <c r="S2883" s="28" t="n">
        <v>91953</v>
      </c>
      <c r="T2883" s="28" t="n">
        <f aca="false">8856/100</f>
        <v>88.56</v>
      </c>
      <c r="U2883" s="28" t="n">
        <v>6199</v>
      </c>
      <c r="V2883" s="28" t="n">
        <f aca="false">171125/100</f>
        <v>1711.25</v>
      </c>
      <c r="W2883" s="28" t="n">
        <v>119787</v>
      </c>
      <c r="X2883" s="28" t="n">
        <f aca="false">24259/100</f>
        <v>242.59</v>
      </c>
      <c r="Y2883" s="28" t="n">
        <v>16981</v>
      </c>
      <c r="Z2883" s="28"/>
      <c r="AA2883" s="28" t="n">
        <f aca="false">Z2883*$M2883</f>
        <v>0</v>
      </c>
      <c r="AB2883" s="28" t="n">
        <f aca="false">33694/100</f>
        <v>336.94</v>
      </c>
      <c r="AC2883" s="28" t="n">
        <v>23586</v>
      </c>
      <c r="AD2883" s="28" t="n">
        <f aca="false">89734/100</f>
        <v>897.34</v>
      </c>
      <c r="AE2883" s="28" t="n">
        <v>62814</v>
      </c>
      <c r="AF2883" s="28" t="n">
        <f aca="false">1955727/100</f>
        <v>19557.27</v>
      </c>
      <c r="AG2883" s="28" t="n">
        <v>1369009</v>
      </c>
      <c r="AH2883" s="28" t="n">
        <f aca="false">11740/100</f>
        <v>117.4</v>
      </c>
      <c r="AI2883" s="28" t="n">
        <v>8218</v>
      </c>
      <c r="AJ2883" s="28"/>
      <c r="AK2883" s="28" t="n">
        <f aca="false">AJ2883*$M2883</f>
        <v>0</v>
      </c>
      <c r="AL2883" s="28"/>
      <c r="AM2883" s="28" t="n">
        <f aca="false">AL2883*$M2883</f>
        <v>0</v>
      </c>
      <c r="AN2883" s="28"/>
      <c r="AO2883" s="28" t="n">
        <f aca="false">AN2883*$M2883</f>
        <v>0</v>
      </c>
      <c r="AP2883" s="28"/>
      <c r="AQ2883" s="28" t="n">
        <f aca="false">AP2883*$M2883</f>
        <v>0</v>
      </c>
      <c r="AR2883" s="28"/>
      <c r="AS2883" s="28" t="n">
        <f aca="false">AR2883*$M2883</f>
        <v>0</v>
      </c>
      <c r="AT2883" s="28"/>
      <c r="AU2883" s="28" t="n">
        <f aca="false">AT2883*$M2883</f>
        <v>0</v>
      </c>
      <c r="AV2883" s="28" t="n">
        <f aca="false">15000/100</f>
        <v>150</v>
      </c>
      <c r="AW2883" s="28" t="n">
        <v>10500</v>
      </c>
      <c r="AX2883" s="28"/>
      <c r="AY2883" s="28" t="n">
        <f aca="false">AX2883*$M2883</f>
        <v>0</v>
      </c>
      <c r="AZ2883" s="30" t="n">
        <f aca="false">2823524/100</f>
        <v>28235.24</v>
      </c>
      <c r="BA2883" s="11" t="n">
        <v>1976467</v>
      </c>
      <c r="BB2883" s="31" t="n">
        <f aca="false">SUM(Q2883,S2883,U2883,W2883,Y2883,AA2883,AC2883,AE2883,AG2883,AI2883,AK2883,AM2883,AO2883,AQ2883,AS2883,AU2883,AW2883,AY2883)</f>
        <v>1976467</v>
      </c>
      <c r="BC2883" s="28" t="n">
        <f aca="false">BA2883-BB2883</f>
        <v>0</v>
      </c>
      <c r="BD2883" s="32" t="n">
        <f aca="false">SUM(P2883,R2883,T2883,V2883,X2883,Z2883,AB2883,AD2883,AF2883,AH2883,AJ2883,AL2883,AN2883,AP2883,AR2883,AT2883,AV2883,AX2883)</f>
        <v>28235.24</v>
      </c>
      <c r="BE2883" s="33" t="n">
        <f aca="false">AZ2883-BD2883</f>
        <v>0</v>
      </c>
      <c r="BF2883" s="34" t="n">
        <f aca="false">BD2883*M2883</f>
        <v>1976466.8</v>
      </c>
      <c r="BG2883" s="35" t="n">
        <f aca="false">BA2883-BF2883</f>
        <v>0.199999999953434</v>
      </c>
      <c r="BH2883" s="19" t="str">
        <f aca="false">IF(BG2883=0,"",IF(BG2883&lt;&gt;BA2883,"erreur de calcul",IF(BD2883&lt;&gt;0,"pas de prix",IF(M2883&lt;&gt; 0,"pas de quantité","pas de prix, ni de quantité"))))</f>
        <v>erreur de calcul</v>
      </c>
      <c r="BI2883" s="19"/>
    </row>
    <row r="2884" customFormat="false" ht="15" hidden="false" customHeight="false" outlineLevel="0" collapsed="false">
      <c r="A2884" s="0" t="n">
        <v>33</v>
      </c>
      <c r="B2884" s="8" t="s">
        <v>24</v>
      </c>
      <c r="C2884" s="9" t="s">
        <v>25</v>
      </c>
      <c r="D2884" s="9" t="s">
        <v>26</v>
      </c>
      <c r="E2884" s="10" t="n">
        <v>1789</v>
      </c>
      <c r="F2884" s="9" t="s">
        <v>27</v>
      </c>
      <c r="G2884" s="9" t="s">
        <v>27</v>
      </c>
      <c r="H2884" s="11" t="n">
        <v>20</v>
      </c>
      <c r="I2884" s="11" t="s">
        <v>151</v>
      </c>
      <c r="J2884" s="14" t="n">
        <v>150</v>
      </c>
      <c r="K2884" s="14"/>
      <c r="L2884" s="16"/>
      <c r="M2884" s="27" t="n">
        <f aca="false">J2884+(K2884/20)+(L2884/240)</f>
        <v>150</v>
      </c>
      <c r="N2884" s="17" t="s">
        <v>64</v>
      </c>
      <c r="O2884" s="11"/>
      <c r="P2884" s="28"/>
      <c r="Q2884" s="28" t="n">
        <f aca="false">P2884*$M2884</f>
        <v>0</v>
      </c>
      <c r="R2884" s="28"/>
      <c r="S2884" s="28" t="n">
        <f aca="false">R2884*$M2884</f>
        <v>0</v>
      </c>
      <c r="T2884" s="28"/>
      <c r="U2884" s="28" t="n">
        <f aca="false">T2884*$M2884</f>
        <v>0</v>
      </c>
      <c r="V2884" s="28"/>
      <c r="W2884" s="28" t="n">
        <f aca="false">V2884*$M2884</f>
        <v>0</v>
      </c>
      <c r="X2884" s="28"/>
      <c r="Y2884" s="28" t="n">
        <f aca="false">X2884*$M2884</f>
        <v>0</v>
      </c>
      <c r="Z2884" s="28"/>
      <c r="AA2884" s="28" t="n">
        <f aca="false">Z2884*$M2884</f>
        <v>0</v>
      </c>
      <c r="AB2884" s="28"/>
      <c r="AC2884" s="28" t="n">
        <f aca="false">AB2884*$M2884</f>
        <v>0</v>
      </c>
      <c r="AD2884" s="28"/>
      <c r="AE2884" s="28" t="n">
        <f aca="false">AD2884*$M2884</f>
        <v>0</v>
      </c>
      <c r="AF2884" s="28"/>
      <c r="AG2884" s="28" t="n">
        <f aca="false">AF2884*$M2884</f>
        <v>0</v>
      </c>
      <c r="AH2884" s="28"/>
      <c r="AI2884" s="28" t="n">
        <f aca="false">AH2884*$M2884</f>
        <v>0</v>
      </c>
      <c r="AJ2884" s="28"/>
      <c r="AK2884" s="28" t="n">
        <f aca="false">AJ2884*$M2884</f>
        <v>0</v>
      </c>
      <c r="AL2884" s="28" t="n">
        <f aca="false">118785/100</f>
        <v>1187.85</v>
      </c>
      <c r="AM2884" s="28" t="n">
        <v>178177</v>
      </c>
      <c r="AN2884" s="28"/>
      <c r="AO2884" s="28" t="n">
        <f aca="false">AN2884*$M2884</f>
        <v>0</v>
      </c>
      <c r="AP2884" s="28"/>
      <c r="AQ2884" s="28" t="n">
        <f aca="false">AP2884*$M2884</f>
        <v>0</v>
      </c>
      <c r="AR2884" s="28"/>
      <c r="AS2884" s="28" t="n">
        <f aca="false">AR2884*$M2884</f>
        <v>0</v>
      </c>
      <c r="AT2884" s="28"/>
      <c r="AU2884" s="28" t="n">
        <f aca="false">AT2884*$M2884</f>
        <v>0</v>
      </c>
      <c r="AV2884" s="28"/>
      <c r="AW2884" s="28" t="n">
        <f aca="false">AV2884*$M2884</f>
        <v>0</v>
      </c>
      <c r="AX2884" s="28"/>
      <c r="AY2884" s="28" t="n">
        <f aca="false">AX2884*$M2884</f>
        <v>0</v>
      </c>
      <c r="AZ2884" s="30" t="n">
        <f aca="false">118785/100</f>
        <v>1187.85</v>
      </c>
      <c r="BA2884" s="11" t="n">
        <v>178177</v>
      </c>
      <c r="BB2884" s="31" t="n">
        <f aca="false">SUM(Q2884,S2884,U2884,W2884,Y2884,AA2884,AC2884,AE2884,AG2884,AI2884,AK2884,AM2884,AO2884,AQ2884,AS2884,AU2884,AW2884,AY2884)</f>
        <v>178177</v>
      </c>
      <c r="BC2884" s="28" t="n">
        <f aca="false">BA2884-BB2884</f>
        <v>0</v>
      </c>
      <c r="BD2884" s="32" t="n">
        <f aca="false">SUM(P2884,R2884,T2884,V2884,X2884,Z2884,AB2884,AD2884,AF2884,AH2884,AJ2884,AL2884,AN2884,AP2884,AR2884,AT2884,AV2884,AX2884)</f>
        <v>1187.85</v>
      </c>
      <c r="BE2884" s="33" t="n">
        <f aca="false">AZ2884-BD2884</f>
        <v>0</v>
      </c>
      <c r="BF2884" s="34" t="n">
        <f aca="false">BD2884*M2884</f>
        <v>178177.5</v>
      </c>
      <c r="BG2884" s="35" t="n">
        <f aca="false">BA2884-BF2884</f>
        <v>-0.5</v>
      </c>
      <c r="BH2884" s="19" t="str">
        <f aca="false">IF(BG2884=0,"",IF(BG2884&lt;&gt;BA2884,"erreur de calcul",IF(BD2884&lt;&gt;0,"pas de prix",IF(M2884&lt;&gt; 0,"pas de quantité","pas de prix, ni de quantité"))))</f>
        <v>erreur de calcul</v>
      </c>
      <c r="BI2884" s="19"/>
    </row>
    <row r="2885" customFormat="false" ht="15" hidden="false" customHeight="false" outlineLevel="0" collapsed="false">
      <c r="A2885" s="0" t="n">
        <v>34</v>
      </c>
      <c r="B2885" s="8" t="s">
        <v>24</v>
      </c>
      <c r="C2885" s="9" t="s">
        <v>25</v>
      </c>
      <c r="D2885" s="9" t="s">
        <v>26</v>
      </c>
      <c r="E2885" s="10" t="n">
        <v>1789</v>
      </c>
      <c r="F2885" s="9" t="s">
        <v>27</v>
      </c>
      <c r="G2885" s="9" t="s">
        <v>27</v>
      </c>
      <c r="H2885" s="11" t="n">
        <v>20</v>
      </c>
      <c r="I2885" s="11" t="s">
        <v>152</v>
      </c>
      <c r="J2885" s="14" t="n">
        <v>80</v>
      </c>
      <c r="K2885" s="14"/>
      <c r="L2885" s="16"/>
      <c r="M2885" s="27" t="n">
        <f aca="false">J2885+(K2885/20)+(L2885/240)</f>
        <v>80</v>
      </c>
      <c r="N2885" s="17" t="s">
        <v>64</v>
      </c>
      <c r="O2885" s="11"/>
      <c r="P2885" s="28"/>
      <c r="Q2885" s="28" t="n">
        <f aca="false">P2885*$M2885</f>
        <v>0</v>
      </c>
      <c r="R2885" s="28"/>
      <c r="S2885" s="28" t="n">
        <f aca="false">R2885*$M2885</f>
        <v>0</v>
      </c>
      <c r="T2885" s="28"/>
      <c r="U2885" s="28" t="n">
        <f aca="false">T2885*$M2885</f>
        <v>0</v>
      </c>
      <c r="V2885" s="28"/>
      <c r="W2885" s="28" t="n">
        <f aca="false">V2885*$M2885</f>
        <v>0</v>
      </c>
      <c r="X2885" s="28"/>
      <c r="Y2885" s="28" t="n">
        <f aca="false">X2885*$M2885</f>
        <v>0</v>
      </c>
      <c r="Z2885" s="28"/>
      <c r="AA2885" s="28" t="n">
        <f aca="false">Z2885*$M2885</f>
        <v>0</v>
      </c>
      <c r="AB2885" s="28" t="n">
        <f aca="false">3142/100</f>
        <v>31.42</v>
      </c>
      <c r="AC2885" s="28" t="n">
        <v>2514</v>
      </c>
      <c r="AD2885" s="28"/>
      <c r="AE2885" s="28" t="n">
        <f aca="false">AD2885*$M2885</f>
        <v>0</v>
      </c>
      <c r="AF2885" s="28" t="n">
        <f aca="false">4868/100</f>
        <v>48.68</v>
      </c>
      <c r="AG2885" s="36" t="n">
        <v>3874</v>
      </c>
      <c r="AH2885" s="28" t="n">
        <f aca="false">1541601/100</f>
        <v>15416.01</v>
      </c>
      <c r="AI2885" s="28" t="n">
        <v>1233281</v>
      </c>
      <c r="AJ2885" s="28"/>
      <c r="AK2885" s="28" t="n">
        <f aca="false">AJ2885*$M2885</f>
        <v>0</v>
      </c>
      <c r="AL2885" s="28"/>
      <c r="AM2885" s="28" t="n">
        <f aca="false">AL2885*$M2885</f>
        <v>0</v>
      </c>
      <c r="AN2885" s="28"/>
      <c r="AO2885" s="28" t="n">
        <f aca="false">AN2885*$M2885</f>
        <v>0</v>
      </c>
      <c r="AP2885" s="28"/>
      <c r="AQ2885" s="28" t="n">
        <f aca="false">AP2885*$M2885</f>
        <v>0</v>
      </c>
      <c r="AR2885" s="28"/>
      <c r="AS2885" s="28" t="n">
        <f aca="false">AR2885*$M2885</f>
        <v>0</v>
      </c>
      <c r="AT2885" s="28"/>
      <c r="AU2885" s="28" t="n">
        <f aca="false">AT2885*$M2885</f>
        <v>0</v>
      </c>
      <c r="AV2885" s="28"/>
      <c r="AW2885" s="28" t="n">
        <f aca="false">AV2885*$M2885</f>
        <v>0</v>
      </c>
      <c r="AX2885" s="28"/>
      <c r="AY2885" s="28" t="n">
        <f aca="false">AX2885*$M2885</f>
        <v>0</v>
      </c>
      <c r="AZ2885" s="30" t="n">
        <f aca="false">1549611/100</f>
        <v>15496.11</v>
      </c>
      <c r="BA2885" s="11" t="n">
        <v>1239669</v>
      </c>
      <c r="BB2885" s="31" t="n">
        <f aca="false">SUM(Q2885,S2885,U2885,W2885,Y2885,AA2885,AC2885,AE2885,AG2885,AI2885,AK2885,AM2885,AO2885,AQ2885,AS2885,AU2885,AW2885,AY2885)</f>
        <v>1239669</v>
      </c>
      <c r="BC2885" s="28" t="n">
        <f aca="false">BA2885-BB2885</f>
        <v>0</v>
      </c>
      <c r="BD2885" s="32" t="n">
        <f aca="false">SUM(P2885,R2885,T2885,V2885,X2885,Z2885,AB2885,AD2885,AF2885,AH2885,AJ2885,AL2885,AN2885,AP2885,AR2885,AT2885,AV2885,AX2885)</f>
        <v>15496.11</v>
      </c>
      <c r="BE2885" s="33" t="n">
        <f aca="false">AZ2885-BD2885</f>
        <v>0</v>
      </c>
      <c r="BF2885" s="34" t="n">
        <f aca="false">BD2885*M2885</f>
        <v>1239688.8</v>
      </c>
      <c r="BG2885" s="35" t="n">
        <f aca="false">BA2885-BF2885</f>
        <v>-19.8000000000466</v>
      </c>
      <c r="BH2885" s="19" t="str">
        <f aca="false">IF(BG2885=0,"",IF(BG2885&lt;&gt;BA2885,"erreur de calcul",IF(BD2885&lt;&gt;0,"pas de prix",IF(M2885&lt;&gt; 0,"pas de quantité","pas de prix, ni de quantité"))))</f>
        <v>erreur de calcul</v>
      </c>
      <c r="BI2885" s="19"/>
    </row>
    <row r="2886" customFormat="false" ht="15" hidden="false" customHeight="false" outlineLevel="0" collapsed="false">
      <c r="A2886" s="0" t="n">
        <v>35</v>
      </c>
      <c r="B2886" s="8" t="s">
        <v>24</v>
      </c>
      <c r="C2886" s="9" t="s">
        <v>25</v>
      </c>
      <c r="D2886" s="9" t="s">
        <v>26</v>
      </c>
      <c r="E2886" s="10" t="n">
        <v>1789</v>
      </c>
      <c r="F2886" s="9" t="s">
        <v>27</v>
      </c>
      <c r="G2886" s="9" t="s">
        <v>27</v>
      </c>
      <c r="H2886" s="11" t="n">
        <v>20</v>
      </c>
      <c r="I2886" s="11" t="s">
        <v>153</v>
      </c>
      <c r="J2886" s="14" t="n">
        <v>148</v>
      </c>
      <c r="K2886" s="14"/>
      <c r="L2886" s="16"/>
      <c r="M2886" s="27" t="n">
        <f aca="false">J2886+(K2886/20)+(L2886/240)</f>
        <v>148</v>
      </c>
      <c r="N2886" s="17" t="s">
        <v>64</v>
      </c>
      <c r="O2886" s="11"/>
      <c r="P2886" s="28"/>
      <c r="Q2886" s="28" t="n">
        <f aca="false">P2886*$M2886</f>
        <v>0</v>
      </c>
      <c r="R2886" s="28"/>
      <c r="S2886" s="28" t="n">
        <f aca="false">R2886*$M2886</f>
        <v>0</v>
      </c>
      <c r="T2886" s="28"/>
      <c r="U2886" s="28" t="n">
        <f aca="false">T2886*$M2886</f>
        <v>0</v>
      </c>
      <c r="V2886" s="28"/>
      <c r="W2886" s="28" t="n">
        <f aca="false">V2886*$M2886</f>
        <v>0</v>
      </c>
      <c r="X2886" s="28"/>
      <c r="Y2886" s="28" t="n">
        <f aca="false">X2886*$M2886</f>
        <v>0</v>
      </c>
      <c r="Z2886" s="28"/>
      <c r="AA2886" s="28" t="n">
        <f aca="false">Z2886*$M2886</f>
        <v>0</v>
      </c>
      <c r="AB2886" s="28"/>
      <c r="AC2886" s="28" t="n">
        <f aca="false">AB2886*$M2886</f>
        <v>0</v>
      </c>
      <c r="AD2886" s="28"/>
      <c r="AE2886" s="28" t="n">
        <f aca="false">AD2886*$M2886</f>
        <v>0</v>
      </c>
      <c r="AF2886" s="28"/>
      <c r="AG2886" s="28" t="n">
        <f aca="false">AF2886*$M2886</f>
        <v>0</v>
      </c>
      <c r="AH2886" s="28"/>
      <c r="AI2886" s="28" t="n">
        <f aca="false">AH2886*$M2886</f>
        <v>0</v>
      </c>
      <c r="AJ2886" s="28" t="n">
        <f aca="false">1472/100</f>
        <v>14.72</v>
      </c>
      <c r="AK2886" s="28" t="n">
        <v>2178</v>
      </c>
      <c r="AL2886" s="28"/>
      <c r="AM2886" s="28" t="n">
        <f aca="false">AL2886*$M2886</f>
        <v>0</v>
      </c>
      <c r="AN2886" s="28"/>
      <c r="AO2886" s="28" t="n">
        <f aca="false">AN2886*$M2886</f>
        <v>0</v>
      </c>
      <c r="AP2886" s="28"/>
      <c r="AQ2886" s="28" t="n">
        <f aca="false">AP2886*$M2886</f>
        <v>0</v>
      </c>
      <c r="AR2886" s="28"/>
      <c r="AS2886" s="28" t="n">
        <f aca="false">AR2886*$M2886</f>
        <v>0</v>
      </c>
      <c r="AT2886" s="28"/>
      <c r="AU2886" s="28" t="n">
        <f aca="false">AT2886*$M2886</f>
        <v>0</v>
      </c>
      <c r="AV2886" s="28"/>
      <c r="AW2886" s="28" t="n">
        <f aca="false">AV2886*$M2886</f>
        <v>0</v>
      </c>
      <c r="AX2886" s="28"/>
      <c r="AY2886" s="28" t="n">
        <f aca="false">AX2886*$M2886</f>
        <v>0</v>
      </c>
      <c r="AZ2886" s="30" t="n">
        <f aca="false">1472/100</f>
        <v>14.72</v>
      </c>
      <c r="BA2886" s="11" t="n">
        <v>2178</v>
      </c>
      <c r="BB2886" s="31" t="n">
        <f aca="false">SUM(Q2886,S2886,U2886,W2886,Y2886,AA2886,AC2886,AE2886,AG2886,AI2886,AK2886,AM2886,AO2886,AQ2886,AS2886,AU2886,AW2886,AY2886)</f>
        <v>2178</v>
      </c>
      <c r="BC2886" s="28" t="n">
        <f aca="false">BA2886-BB2886</f>
        <v>0</v>
      </c>
      <c r="BD2886" s="32" t="n">
        <f aca="false">SUM(P2886,R2886,T2886,V2886,X2886,Z2886,AB2886,AD2886,AF2886,AH2886,AJ2886,AL2886,AN2886,AP2886,AR2886,AT2886,AV2886,AX2886)</f>
        <v>14.72</v>
      </c>
      <c r="BE2886" s="33" t="n">
        <f aca="false">AZ2886-BD2886</f>
        <v>0</v>
      </c>
      <c r="BF2886" s="34" t="n">
        <f aca="false">BD2886*M2886</f>
        <v>2178.56</v>
      </c>
      <c r="BG2886" s="35" t="n">
        <f aca="false">BA2886-BF2886</f>
        <v>-0.559999999999945</v>
      </c>
      <c r="BH2886" s="19" t="str">
        <f aca="false">IF(BG2886=0,"",IF(BG2886&lt;&gt;BA2886,"erreur de calcul",IF(BD2886&lt;&gt;0,"pas de prix",IF(M2886&lt;&gt; 0,"pas de quantité","pas de prix, ni de quantité"))))</f>
        <v>erreur de calcul</v>
      </c>
      <c r="BI2886" s="19"/>
    </row>
    <row r="2887" customFormat="false" ht="15" hidden="false" customHeight="false" outlineLevel="0" collapsed="false">
      <c r="A2887" s="0" t="n">
        <v>36</v>
      </c>
      <c r="B2887" s="8" t="s">
        <v>24</v>
      </c>
      <c r="C2887" s="9" t="s">
        <v>25</v>
      </c>
      <c r="D2887" s="9" t="s">
        <v>26</v>
      </c>
      <c r="E2887" s="10" t="n">
        <v>1789</v>
      </c>
      <c r="F2887" s="9" t="s">
        <v>27</v>
      </c>
      <c r="G2887" s="9" t="s">
        <v>27</v>
      </c>
      <c r="H2887" s="11" t="n">
        <v>20</v>
      </c>
      <c r="I2887" s="11" t="s">
        <v>154</v>
      </c>
      <c r="J2887" s="14" t="n">
        <v>75</v>
      </c>
      <c r="K2887" s="14"/>
      <c r="L2887" s="16"/>
      <c r="M2887" s="27" t="n">
        <f aca="false">J2887+(K2887/20)+(L2887/240)</f>
        <v>75</v>
      </c>
      <c r="N2887" s="17" t="s">
        <v>64</v>
      </c>
      <c r="O2887" s="11"/>
      <c r="P2887" s="28"/>
      <c r="Q2887" s="28" t="n">
        <f aca="false">P2887*$M2887</f>
        <v>0</v>
      </c>
      <c r="R2887" s="28"/>
      <c r="S2887" s="28" t="n">
        <f aca="false">R2887*$M2887</f>
        <v>0</v>
      </c>
      <c r="T2887" s="28" t="n">
        <f aca="false">627/100</f>
        <v>6.27</v>
      </c>
      <c r="U2887" s="28" t="n">
        <v>470</v>
      </c>
      <c r="V2887" s="28"/>
      <c r="W2887" s="28" t="n">
        <f aca="false">V2887*$M2887</f>
        <v>0</v>
      </c>
      <c r="X2887" s="28"/>
      <c r="Y2887" s="28" t="n">
        <f aca="false">X2887*$M2887</f>
        <v>0</v>
      </c>
      <c r="Z2887" s="28"/>
      <c r="AA2887" s="28" t="n">
        <f aca="false">Z2887*$M2887</f>
        <v>0</v>
      </c>
      <c r="AB2887" s="28"/>
      <c r="AC2887" s="28" t="n">
        <f aca="false">AB2887*$M2887</f>
        <v>0</v>
      </c>
      <c r="AD2887" s="28"/>
      <c r="AE2887" s="28" t="n">
        <f aca="false">AD2887*$M2887</f>
        <v>0</v>
      </c>
      <c r="AF2887" s="28"/>
      <c r="AG2887" s="28" t="n">
        <f aca="false">AF2887*$M2887</f>
        <v>0</v>
      </c>
      <c r="AH2887" s="28"/>
      <c r="AI2887" s="28" t="n">
        <f aca="false">AH2887*$M2887</f>
        <v>0</v>
      </c>
      <c r="AJ2887" s="28"/>
      <c r="AK2887" s="28" t="n">
        <f aca="false">AJ2887*$M2887</f>
        <v>0</v>
      </c>
      <c r="AL2887" s="28"/>
      <c r="AM2887" s="28" t="n">
        <f aca="false">AL2887*$M2887</f>
        <v>0</v>
      </c>
      <c r="AN2887" s="28"/>
      <c r="AO2887" s="28" t="n">
        <f aca="false">AN2887*$M2887</f>
        <v>0</v>
      </c>
      <c r="AP2887" s="28"/>
      <c r="AQ2887" s="28" t="n">
        <f aca="false">AP2887*$M2887</f>
        <v>0</v>
      </c>
      <c r="AR2887" s="28"/>
      <c r="AS2887" s="28" t="n">
        <f aca="false">AR2887*$M2887</f>
        <v>0</v>
      </c>
      <c r="AT2887" s="28"/>
      <c r="AU2887" s="28" t="n">
        <f aca="false">AT2887*$M2887</f>
        <v>0</v>
      </c>
      <c r="AV2887" s="28"/>
      <c r="AW2887" s="28" t="n">
        <f aca="false">AV2887*$M2887</f>
        <v>0</v>
      </c>
      <c r="AX2887" s="28"/>
      <c r="AY2887" s="28" t="n">
        <f aca="false">AX2887*$M2887</f>
        <v>0</v>
      </c>
      <c r="AZ2887" s="30" t="n">
        <f aca="false">627/100</f>
        <v>6.27</v>
      </c>
      <c r="BA2887" s="11" t="n">
        <v>470</v>
      </c>
      <c r="BB2887" s="31" t="n">
        <f aca="false">SUM(Q2887,S2887,U2887,W2887,Y2887,AA2887,AC2887,AE2887,AG2887,AI2887,AK2887,AM2887,AO2887,AQ2887,AS2887,AU2887,AW2887,AY2887)</f>
        <v>470</v>
      </c>
      <c r="BC2887" s="28" t="n">
        <f aca="false">BA2887-BB2887</f>
        <v>0</v>
      </c>
      <c r="BD2887" s="32" t="n">
        <f aca="false">SUM(P2887,R2887,T2887,V2887,X2887,Z2887,AB2887,AD2887,AF2887,AH2887,AJ2887,AL2887,AN2887,AP2887,AR2887,AT2887,AV2887,AX2887)</f>
        <v>6.27</v>
      </c>
      <c r="BE2887" s="33" t="n">
        <f aca="false">AZ2887-BD2887</f>
        <v>0</v>
      </c>
      <c r="BF2887" s="34" t="n">
        <f aca="false">BD2887*M2887</f>
        <v>470.25</v>
      </c>
      <c r="BG2887" s="35" t="n">
        <f aca="false">BA2887-BF2887</f>
        <v>-0.249999999999943</v>
      </c>
      <c r="BH2887" s="19" t="str">
        <f aca="false">IF(BG2887=0,"",IF(BG2887&lt;&gt;BA2887,"erreur de calcul",IF(BD2887&lt;&gt;0,"pas de prix",IF(M2887&lt;&gt; 0,"pas de quantité","pas de prix, ni de quantité"))))</f>
        <v>erreur de calcul</v>
      </c>
      <c r="BI2887" s="19"/>
    </row>
    <row r="2888" customFormat="false" ht="15" hidden="false" customHeight="false" outlineLevel="0" collapsed="false">
      <c r="A2888" s="0" t="n">
        <v>1</v>
      </c>
      <c r="B2888" s="8" t="s">
        <v>24</v>
      </c>
      <c r="C2888" s="9" t="s">
        <v>25</v>
      </c>
      <c r="D2888" s="9" t="s">
        <v>26</v>
      </c>
      <c r="E2888" s="10" t="n">
        <v>1789</v>
      </c>
      <c r="F2888" s="9" t="s">
        <v>27</v>
      </c>
      <c r="G2888" s="9" t="s">
        <v>27</v>
      </c>
      <c r="H2888" s="11" t="n">
        <v>21</v>
      </c>
      <c r="I2888" s="11" t="s">
        <v>155</v>
      </c>
      <c r="J2888" s="14" t="n">
        <v>60</v>
      </c>
      <c r="K2888" s="14"/>
      <c r="L2888" s="16"/>
      <c r="M2888" s="27" t="n">
        <f aca="false">J2888+(K2888/20)+(L2888/240)</f>
        <v>60</v>
      </c>
      <c r="N2888" s="17" t="s">
        <v>66</v>
      </c>
      <c r="O2888" s="11"/>
      <c r="P2888" s="28"/>
      <c r="Q2888" s="28" t="n">
        <f aca="false">P2888*$M2888</f>
        <v>0</v>
      </c>
      <c r="R2888" s="28"/>
      <c r="S2888" s="28" t="n">
        <f aca="false">R2888*$M2888</f>
        <v>0</v>
      </c>
      <c r="T2888" s="28"/>
      <c r="U2888" s="28" t="n">
        <f aca="false">T2888*$M2888</f>
        <v>0</v>
      </c>
      <c r="V2888" s="28" t="n">
        <v>10</v>
      </c>
      <c r="W2888" s="28" t="n">
        <v>600</v>
      </c>
      <c r="X2888" s="28"/>
      <c r="Y2888" s="28" t="n">
        <f aca="false">X2888*$M2888</f>
        <v>0</v>
      </c>
      <c r="Z2888" s="28"/>
      <c r="AA2888" s="28" t="n">
        <f aca="false">Z2888*$M2888</f>
        <v>0</v>
      </c>
      <c r="AB2888" s="28"/>
      <c r="AC2888" s="28" t="n">
        <f aca="false">AB2888*$M2888</f>
        <v>0</v>
      </c>
      <c r="AD2888" s="28"/>
      <c r="AE2888" s="28" t="n">
        <f aca="false">AD2888*$M2888</f>
        <v>0</v>
      </c>
      <c r="AF2888" s="28"/>
      <c r="AG2888" s="28" t="n">
        <f aca="false">AF2888*$M2888</f>
        <v>0</v>
      </c>
      <c r="AH2888" s="28"/>
      <c r="AI2888" s="28" t="n">
        <f aca="false">AH2888*$M2888</f>
        <v>0</v>
      </c>
      <c r="AJ2888" s="28"/>
      <c r="AK2888" s="28" t="n">
        <f aca="false">AJ2888*$M2888</f>
        <v>0</v>
      </c>
      <c r="AL2888" s="28"/>
      <c r="AM2888" s="28" t="n">
        <f aca="false">AL2888*$M2888</f>
        <v>0</v>
      </c>
      <c r="AN2888" s="28"/>
      <c r="AO2888" s="28" t="n">
        <f aca="false">AN2888*$M2888</f>
        <v>0</v>
      </c>
      <c r="AP2888" s="28"/>
      <c r="AQ2888" s="28" t="n">
        <f aca="false">AP2888*$M2888</f>
        <v>0</v>
      </c>
      <c r="AR2888" s="28"/>
      <c r="AS2888" s="28" t="n">
        <f aca="false">AR2888*$M2888</f>
        <v>0</v>
      </c>
      <c r="AT2888" s="28"/>
      <c r="AU2888" s="28" t="n">
        <f aca="false">AT2888*$M2888</f>
        <v>0</v>
      </c>
      <c r="AV2888" s="28"/>
      <c r="AW2888" s="28" t="n">
        <f aca="false">AV2888*$M2888</f>
        <v>0</v>
      </c>
      <c r="AX2888" s="28"/>
      <c r="AY2888" s="28" t="n">
        <f aca="false">AX2888*$M2888</f>
        <v>0</v>
      </c>
      <c r="AZ2888" s="30" t="n">
        <v>10</v>
      </c>
      <c r="BA2888" s="11" t="n">
        <v>600</v>
      </c>
      <c r="BB2888" s="31" t="n">
        <f aca="false">SUM(Q2888,S2888,U2888,W2888,Y2888,AA2888,AC2888,AE2888,AG2888,AI2888,AK2888,AM2888,AO2888,AQ2888,AS2888,AU2888,AW2888,AY2888)</f>
        <v>600</v>
      </c>
      <c r="BC2888" s="28" t="n">
        <f aca="false">BA2888-BB2888</f>
        <v>0</v>
      </c>
      <c r="BD2888" s="32" t="n">
        <f aca="false">SUM(P2888,R2888,T2888,V2888,X2888,Z2888,AB2888,AD2888,AF2888,AH2888,AJ2888,AL2888,AN2888,AP2888,AR2888,AT2888,AV2888,AX2888)</f>
        <v>10</v>
      </c>
      <c r="BE2888" s="33" t="n">
        <f aca="false">AZ2888-BD2888</f>
        <v>0</v>
      </c>
      <c r="BF2888" s="34" t="n">
        <f aca="false">BD2888*M2888</f>
        <v>600</v>
      </c>
      <c r="BG2888" s="35" t="n">
        <f aca="false">BA2888-BF2888</f>
        <v>0</v>
      </c>
      <c r="BH2888" s="19" t="str">
        <f aca="false">IF(BG2888=0,"",IF(BG2888&lt;&gt;BA2888,"erreur de calcul",IF(BD2888&lt;&gt;0,"pas de prix",IF(M2888&lt;&gt; 0,"pas de quantité","pas de prix, ni de quantité"))))</f>
        <v/>
      </c>
      <c r="BI2888" s="19"/>
    </row>
    <row r="2889" customFormat="false" ht="15" hidden="false" customHeight="false" outlineLevel="0" collapsed="false">
      <c r="A2889" s="0" t="n">
        <v>2</v>
      </c>
      <c r="B2889" s="8" t="s">
        <v>24</v>
      </c>
      <c r="C2889" s="9" t="s">
        <v>25</v>
      </c>
      <c r="D2889" s="9" t="s">
        <v>26</v>
      </c>
      <c r="E2889" s="10" t="n">
        <v>1789</v>
      </c>
      <c r="F2889" s="9" t="s">
        <v>27</v>
      </c>
      <c r="G2889" s="9" t="s">
        <v>27</v>
      </c>
      <c r="H2889" s="11" t="n">
        <v>21</v>
      </c>
      <c r="I2889" s="11" t="s">
        <v>156</v>
      </c>
      <c r="J2889" s="14"/>
      <c r="K2889" s="14"/>
      <c r="L2889" s="16"/>
      <c r="M2889" s="27" t="n">
        <f aca="false">J2889+(K2889/20)+(L2889/240)</f>
        <v>0</v>
      </c>
      <c r="N2889" s="17"/>
      <c r="O2889" s="11"/>
      <c r="P2889" s="28"/>
      <c r="Q2889" s="28" t="n">
        <v>304</v>
      </c>
      <c r="R2889" s="28"/>
      <c r="S2889" s="28" t="n">
        <f aca="false">R2889*$M2889</f>
        <v>0</v>
      </c>
      <c r="T2889" s="28"/>
      <c r="U2889" s="28" t="n">
        <f aca="false">T2889*$M2889</f>
        <v>0</v>
      </c>
      <c r="V2889" s="28"/>
      <c r="W2889" s="28" t="n">
        <f aca="false">V2889*$M2889</f>
        <v>0</v>
      </c>
      <c r="X2889" s="28"/>
      <c r="Y2889" s="28" t="n">
        <v>270</v>
      </c>
      <c r="Z2889" s="28"/>
      <c r="AA2889" s="28" t="n">
        <f aca="false">Z2889*$M2889</f>
        <v>0</v>
      </c>
      <c r="AB2889" s="28"/>
      <c r="AC2889" s="28" t="n">
        <f aca="false">AB2889*$M2889</f>
        <v>0</v>
      </c>
      <c r="AD2889" s="28"/>
      <c r="AE2889" s="28" t="n">
        <v>175</v>
      </c>
      <c r="AF2889" s="28"/>
      <c r="AG2889" s="28" t="n">
        <f aca="false">AF2889*$M2889</f>
        <v>0</v>
      </c>
      <c r="AH2889" s="28"/>
      <c r="AI2889" s="28" t="n">
        <f aca="false">AH2889*$M2889</f>
        <v>0</v>
      </c>
      <c r="AJ2889" s="28"/>
      <c r="AK2889" s="28" t="n">
        <v>240</v>
      </c>
      <c r="AL2889" s="28"/>
      <c r="AM2889" s="28" t="n">
        <v>808</v>
      </c>
      <c r="AN2889" s="28"/>
      <c r="AO2889" s="28" t="n">
        <f aca="false">AN2889*$M2889</f>
        <v>0</v>
      </c>
      <c r="AP2889" s="28"/>
      <c r="AQ2889" s="28" t="n">
        <f aca="false">AP2889*$M2889</f>
        <v>0</v>
      </c>
      <c r="AR2889" s="28"/>
      <c r="AS2889" s="28" t="n">
        <f aca="false">AR2889*$M2889</f>
        <v>0</v>
      </c>
      <c r="AT2889" s="28"/>
      <c r="AU2889" s="28" t="n">
        <f aca="false">AT2889*$M2889</f>
        <v>0</v>
      </c>
      <c r="AV2889" s="28"/>
      <c r="AW2889" s="28" t="n">
        <f aca="false">AV2889*$M2889</f>
        <v>0</v>
      </c>
      <c r="AX2889" s="28"/>
      <c r="AY2889" s="28" t="n">
        <f aca="false">AX2889*$M2889</f>
        <v>0</v>
      </c>
      <c r="AZ2889" s="30"/>
      <c r="BA2889" s="11" t="n">
        <v>1797</v>
      </c>
      <c r="BB2889" s="31" t="n">
        <f aca="false">SUM(Q2889,S2889,U2889,W2889,Y2889,AA2889,AC2889,AE2889,AG2889,AI2889,AK2889,AM2889,AO2889,AQ2889,AS2889,AU2889,AW2889,AY2889)</f>
        <v>1797</v>
      </c>
      <c r="BC2889" s="28" t="n">
        <f aca="false">BA2889-BB2889</f>
        <v>0</v>
      </c>
      <c r="BD2889" s="32" t="n">
        <f aca="false">SUM(P2889,R2889,T2889,V2889,X2889,Z2889,AB2889,AD2889,AF2889,AH2889,AJ2889,AL2889,AN2889,AP2889,AR2889,AT2889,AV2889,AX2889)</f>
        <v>0</v>
      </c>
      <c r="BE2889" s="33" t="n">
        <f aca="false">AZ2889-BD2889</f>
        <v>0</v>
      </c>
      <c r="BF2889" s="34" t="n">
        <f aca="false">BD2889*M2889</f>
        <v>0</v>
      </c>
      <c r="BG2889" s="35" t="n">
        <f aca="false">BA2889-BF2889</f>
        <v>1797</v>
      </c>
      <c r="BH2889" s="19" t="str">
        <f aca="false">IF(BG2889=0,"",IF(BG2889&lt;&gt;BA2889,"erreur de calcul",IF(BD2889&lt;&gt;0,"pas de prix",IF(M2889&lt;&gt; 0,"pas de quantité","pas de prix, ni de quantité"))))</f>
        <v>pas de prix, ni de quantité</v>
      </c>
      <c r="BI2889" s="19"/>
    </row>
    <row r="2890" customFormat="false" ht="15" hidden="false" customHeight="false" outlineLevel="0" collapsed="false">
      <c r="A2890" s="0" t="n">
        <v>3</v>
      </c>
      <c r="B2890" s="8" t="s">
        <v>24</v>
      </c>
      <c r="C2890" s="9" t="s">
        <v>25</v>
      </c>
      <c r="D2890" s="9" t="s">
        <v>26</v>
      </c>
      <c r="E2890" s="10" t="n">
        <v>1789</v>
      </c>
      <c r="F2890" s="9" t="s">
        <v>27</v>
      </c>
      <c r="G2890" s="9" t="s">
        <v>27</v>
      </c>
      <c r="H2890" s="11" t="n">
        <v>21</v>
      </c>
      <c r="I2890" s="11" t="s">
        <v>156</v>
      </c>
      <c r="J2890" s="14" t="n">
        <v>175</v>
      </c>
      <c r="K2890" s="14"/>
      <c r="L2890" s="16"/>
      <c r="M2890" s="27" t="n">
        <f aca="false">J2890+(K2890/20)+(L2890/240)</f>
        <v>175</v>
      </c>
      <c r="N2890" s="17" t="s">
        <v>64</v>
      </c>
      <c r="O2890" s="11" t="s">
        <v>98</v>
      </c>
      <c r="P2890" s="28" t="n">
        <f aca="false">3429/100</f>
        <v>34.29</v>
      </c>
      <c r="Q2890" s="28" t="n">
        <v>6001</v>
      </c>
      <c r="R2890" s="28"/>
      <c r="S2890" s="28" t="n">
        <f aca="false">R2890*$M2890</f>
        <v>0</v>
      </c>
      <c r="T2890" s="28" t="n">
        <f aca="false">5135/100</f>
        <v>51.35</v>
      </c>
      <c r="U2890" s="28" t="n">
        <v>8986</v>
      </c>
      <c r="V2890" s="28" t="n">
        <f aca="false">33716/100</f>
        <v>337.16</v>
      </c>
      <c r="W2890" s="28" t="n">
        <v>59003</v>
      </c>
      <c r="X2890" s="28" t="n">
        <f aca="false">14982/100</f>
        <v>149.82</v>
      </c>
      <c r="Y2890" s="28" t="n">
        <v>26218</v>
      </c>
      <c r="Z2890" s="28"/>
      <c r="AA2890" s="28" t="n">
        <f aca="false">Z2890*$M2890</f>
        <v>0</v>
      </c>
      <c r="AB2890" s="28"/>
      <c r="AC2890" s="28" t="n">
        <f aca="false">AB2890*$M2890</f>
        <v>0</v>
      </c>
      <c r="AD2890" s="28"/>
      <c r="AE2890" s="28" t="n">
        <f aca="false">AD2890*$M2890</f>
        <v>0</v>
      </c>
      <c r="AF2890" s="28" t="n">
        <f aca="false">439/100</f>
        <v>4.39</v>
      </c>
      <c r="AG2890" s="28" t="n">
        <v>768</v>
      </c>
      <c r="AH2890" s="28" t="n">
        <f aca="false">163722/100</f>
        <v>1637.22</v>
      </c>
      <c r="AI2890" s="28" t="n">
        <v>286513</v>
      </c>
      <c r="AJ2890" s="28" t="n">
        <f aca="false">17649/100</f>
        <v>176.49</v>
      </c>
      <c r="AK2890" s="28" t="n">
        <v>30886</v>
      </c>
      <c r="AL2890" s="28" t="n">
        <f aca="false">6852/100</f>
        <v>68.52</v>
      </c>
      <c r="AM2890" s="28" t="n">
        <v>11991</v>
      </c>
      <c r="AN2890" s="28"/>
      <c r="AO2890" s="28" t="n">
        <f aca="false">AN2890*$M2890</f>
        <v>0</v>
      </c>
      <c r="AP2890" s="28"/>
      <c r="AQ2890" s="28" t="n">
        <f aca="false">AP2890*$M2890</f>
        <v>0</v>
      </c>
      <c r="AR2890" s="28"/>
      <c r="AS2890" s="28" t="n">
        <f aca="false">AR2890*$M2890</f>
        <v>0</v>
      </c>
      <c r="AT2890" s="28"/>
      <c r="AU2890" s="28" t="n">
        <f aca="false">AT2890*$M2890</f>
        <v>0</v>
      </c>
      <c r="AV2890" s="28"/>
      <c r="AW2890" s="28" t="n">
        <f aca="false">AV2890*$M2890</f>
        <v>0</v>
      </c>
      <c r="AX2890" s="28"/>
      <c r="AY2890" s="28" t="n">
        <f aca="false">AX2890*$M2890</f>
        <v>0</v>
      </c>
      <c r="AZ2890" s="30" t="n">
        <f aca="false">245924/100</f>
        <v>2459.24</v>
      </c>
      <c r="BA2890" s="11" t="n">
        <v>430366</v>
      </c>
      <c r="BB2890" s="31" t="n">
        <f aca="false">SUM(Q2890,S2890,U2890,W2890,Y2890,AA2890,AC2890,AE2890,AG2890,AI2890,AK2890,AM2890,AO2890,AQ2890,AS2890,AU2890,AW2890,AY2890)</f>
        <v>430366</v>
      </c>
      <c r="BC2890" s="28" t="n">
        <f aca="false">BA2890-BB2890</f>
        <v>0</v>
      </c>
      <c r="BD2890" s="32" t="n">
        <f aca="false">SUM(P2890,R2890,T2890,V2890,X2890,Z2890,AB2890,AD2890,AF2890,AH2890,AJ2890,AL2890,AN2890,AP2890,AR2890,AT2890,AV2890,AX2890)</f>
        <v>2459.24</v>
      </c>
      <c r="BE2890" s="33" t="n">
        <f aca="false">AZ2890-BD2890</f>
        <v>0</v>
      </c>
      <c r="BF2890" s="34" t="n">
        <f aca="false">BD2890*M2890</f>
        <v>430367</v>
      </c>
      <c r="BG2890" s="35" t="n">
        <f aca="false">BA2890-BF2890</f>
        <v>-0.999999999941792</v>
      </c>
      <c r="BH2890" s="19" t="str">
        <f aca="false">IF(BG2890=0,"",IF(BG2890&lt;&gt;BA2890,"erreur de calcul",IF(BD2890&lt;&gt;0,"pas de prix",IF(M2890&lt;&gt; 0,"pas de quantité","pas de prix, ni de quantité"))))</f>
        <v>erreur de calcul</v>
      </c>
      <c r="BI2890" s="19"/>
    </row>
    <row r="2891" customFormat="false" ht="15" hidden="false" customHeight="false" outlineLevel="0" collapsed="false">
      <c r="A2891" s="0" t="n">
        <v>4</v>
      </c>
      <c r="B2891" s="8" t="s">
        <v>24</v>
      </c>
      <c r="C2891" s="9" t="s">
        <v>25</v>
      </c>
      <c r="D2891" s="9" t="s">
        <v>26</v>
      </c>
      <c r="E2891" s="10" t="n">
        <v>1789</v>
      </c>
      <c r="F2891" s="9" t="s">
        <v>27</v>
      </c>
      <c r="G2891" s="9" t="s">
        <v>27</v>
      </c>
      <c r="H2891" s="11" t="n">
        <v>21</v>
      </c>
      <c r="I2891" s="11" t="s">
        <v>157</v>
      </c>
      <c r="J2891" s="14" t="n">
        <v>240</v>
      </c>
      <c r="K2891" s="14"/>
      <c r="L2891" s="16"/>
      <c r="M2891" s="27" t="n">
        <f aca="false">J2891+(K2891/20)+(L2891/240)</f>
        <v>240</v>
      </c>
      <c r="N2891" s="17" t="s">
        <v>64</v>
      </c>
      <c r="O2891" s="11"/>
      <c r="P2891" s="28"/>
      <c r="Q2891" s="28" t="n">
        <f aca="false">P2891*$M2891</f>
        <v>0</v>
      </c>
      <c r="R2891" s="28"/>
      <c r="S2891" s="28" t="n">
        <f aca="false">R2891*$M2891</f>
        <v>0</v>
      </c>
      <c r="T2891" s="28"/>
      <c r="U2891" s="28" t="n">
        <f aca="false">T2891*$M2891</f>
        <v>0</v>
      </c>
      <c r="V2891" s="28"/>
      <c r="W2891" s="28" t="n">
        <f aca="false">V2891*$M2891</f>
        <v>0</v>
      </c>
      <c r="X2891" s="28"/>
      <c r="Y2891" s="28" t="n">
        <f aca="false">X2891*$M2891</f>
        <v>0</v>
      </c>
      <c r="Z2891" s="28"/>
      <c r="AA2891" s="28" t="n">
        <f aca="false">Z2891*$M2891</f>
        <v>0</v>
      </c>
      <c r="AB2891" s="28"/>
      <c r="AC2891" s="28" t="n">
        <f aca="false">AB2891*$M2891</f>
        <v>0</v>
      </c>
      <c r="AD2891" s="28"/>
      <c r="AE2891" s="28" t="n">
        <f aca="false">AD2891*$M2891</f>
        <v>0</v>
      </c>
      <c r="AF2891" s="28"/>
      <c r="AG2891" s="28" t="n">
        <f aca="false">AF2891*$M2891</f>
        <v>0</v>
      </c>
      <c r="AH2891" s="28"/>
      <c r="AI2891" s="28" t="n">
        <f aca="false">AH2891*$M2891</f>
        <v>0</v>
      </c>
      <c r="AJ2891" s="28" t="n">
        <f aca="false">290/100</f>
        <v>2.9</v>
      </c>
      <c r="AK2891" s="36" t="n">
        <v>2208</v>
      </c>
      <c r="AL2891" s="28"/>
      <c r="AM2891" s="28" t="n">
        <f aca="false">AL2891*$M2891</f>
        <v>0</v>
      </c>
      <c r="AN2891" s="28"/>
      <c r="AO2891" s="28" t="n">
        <f aca="false">AN2891*$M2891</f>
        <v>0</v>
      </c>
      <c r="AP2891" s="28"/>
      <c r="AQ2891" s="28" t="n">
        <f aca="false">AP2891*$M2891</f>
        <v>0</v>
      </c>
      <c r="AR2891" s="28"/>
      <c r="AS2891" s="28" t="n">
        <f aca="false">AR2891*$M2891</f>
        <v>0</v>
      </c>
      <c r="AT2891" s="28"/>
      <c r="AU2891" s="28" t="n">
        <f aca="false">AT2891*$M2891</f>
        <v>0</v>
      </c>
      <c r="AV2891" s="28"/>
      <c r="AW2891" s="28" t="n">
        <f aca="false">AV2891*$M2891</f>
        <v>0</v>
      </c>
      <c r="AX2891" s="28"/>
      <c r="AY2891" s="28" t="n">
        <f aca="false">AX2891*$M2891</f>
        <v>0</v>
      </c>
      <c r="AZ2891" s="30" t="n">
        <f aca="false">290/100</f>
        <v>2.9</v>
      </c>
      <c r="BA2891" s="11" t="n">
        <v>2208</v>
      </c>
      <c r="BB2891" s="31" t="n">
        <f aca="false">SUM(Q2891,S2891,U2891,W2891,Y2891,AA2891,AC2891,AE2891,AG2891,AI2891,AK2891,AM2891,AO2891,AQ2891,AS2891,AU2891,AW2891,AY2891)</f>
        <v>2208</v>
      </c>
      <c r="BC2891" s="28" t="n">
        <f aca="false">BA2891-BB2891</f>
        <v>0</v>
      </c>
      <c r="BD2891" s="32" t="n">
        <f aca="false">SUM(P2891,R2891,T2891,V2891,X2891,Z2891,AB2891,AD2891,AF2891,AH2891,AJ2891,AL2891,AN2891,AP2891,AR2891,AT2891,AV2891,AX2891)</f>
        <v>2.9</v>
      </c>
      <c r="BE2891" s="33" t="n">
        <f aca="false">AZ2891-BD2891</f>
        <v>0</v>
      </c>
      <c r="BF2891" s="34" t="n">
        <f aca="false">BD2891*M2891</f>
        <v>696</v>
      </c>
      <c r="BG2891" s="35" t="n">
        <f aca="false">BA2891-BF2891</f>
        <v>1512</v>
      </c>
      <c r="BH2891" s="19" t="str">
        <f aca="false">IF(BG2891=0,"",IF(BG2891&lt;&gt;BA2891,"erreur de calcul",IF(BD2891&lt;&gt;0,"pas de prix",IF(M2891&lt;&gt; 0,"pas de quantité","pas de prix, ni de quantité"))))</f>
        <v>erreur de calcul</v>
      </c>
      <c r="BI2891" s="19"/>
    </row>
    <row r="2892" customFormat="false" ht="15" hidden="false" customHeight="false" outlineLevel="0" collapsed="false">
      <c r="A2892" s="0" t="n">
        <v>5</v>
      </c>
      <c r="B2892" s="8" t="s">
        <v>24</v>
      </c>
      <c r="C2892" s="9" t="s">
        <v>25</v>
      </c>
      <c r="D2892" s="9" t="s">
        <v>26</v>
      </c>
      <c r="E2892" s="10" t="n">
        <v>1789</v>
      </c>
      <c r="F2892" s="9" t="s">
        <v>27</v>
      </c>
      <c r="G2892" s="9" t="s">
        <v>27</v>
      </c>
      <c r="H2892" s="11" t="n">
        <v>21</v>
      </c>
      <c r="I2892" s="11" t="s">
        <v>158</v>
      </c>
      <c r="J2892" s="14" t="n">
        <v>115</v>
      </c>
      <c r="K2892" s="14"/>
      <c r="L2892" s="16"/>
      <c r="M2892" s="27" t="n">
        <f aca="false">J2892+(K2892/20)+(L2892/240)</f>
        <v>115</v>
      </c>
      <c r="N2892" s="17" t="s">
        <v>64</v>
      </c>
      <c r="O2892" s="11"/>
      <c r="P2892" s="28"/>
      <c r="Q2892" s="28" t="n">
        <f aca="false">P2892*$M2892</f>
        <v>0</v>
      </c>
      <c r="R2892" s="28"/>
      <c r="S2892" s="28" t="n">
        <f aca="false">R2892*$M2892</f>
        <v>0</v>
      </c>
      <c r="T2892" s="28"/>
      <c r="U2892" s="28" t="n">
        <f aca="false">T2892*$M2892</f>
        <v>0</v>
      </c>
      <c r="V2892" s="28"/>
      <c r="W2892" s="28" t="n">
        <f aca="false">V2892*$M2892</f>
        <v>0</v>
      </c>
      <c r="X2892" s="28"/>
      <c r="Y2892" s="28" t="n">
        <f aca="false">X2892*$M2892</f>
        <v>0</v>
      </c>
      <c r="Z2892" s="28"/>
      <c r="AA2892" s="28" t="n">
        <f aca="false">Z2892*$M2892</f>
        <v>0</v>
      </c>
      <c r="AB2892" s="28"/>
      <c r="AC2892" s="28" t="n">
        <f aca="false">AB2892*$M2892</f>
        <v>0</v>
      </c>
      <c r="AD2892" s="28"/>
      <c r="AE2892" s="28" t="n">
        <f aca="false">AD2892*$M2892</f>
        <v>0</v>
      </c>
      <c r="AF2892" s="28"/>
      <c r="AG2892" s="28" t="n">
        <f aca="false">AF2892*$M2892</f>
        <v>0</v>
      </c>
      <c r="AH2892" s="28" t="n">
        <f aca="false">491552/100</f>
        <v>4915.52</v>
      </c>
      <c r="AI2892" s="28" t="n">
        <v>565285</v>
      </c>
      <c r="AJ2892" s="28"/>
      <c r="AK2892" s="28" t="n">
        <f aca="false">AJ2892*$M2892</f>
        <v>0</v>
      </c>
      <c r="AL2892" s="28"/>
      <c r="AM2892" s="28" t="n">
        <f aca="false">AL2892*$M2892</f>
        <v>0</v>
      </c>
      <c r="AN2892" s="28"/>
      <c r="AO2892" s="28" t="n">
        <f aca="false">AN2892*$M2892</f>
        <v>0</v>
      </c>
      <c r="AP2892" s="28"/>
      <c r="AQ2892" s="28" t="n">
        <f aca="false">AP2892*$M2892</f>
        <v>0</v>
      </c>
      <c r="AR2892" s="28"/>
      <c r="AS2892" s="28" t="n">
        <f aca="false">AR2892*$M2892</f>
        <v>0</v>
      </c>
      <c r="AT2892" s="28"/>
      <c r="AU2892" s="28" t="n">
        <f aca="false">AT2892*$M2892</f>
        <v>0</v>
      </c>
      <c r="AV2892" s="28"/>
      <c r="AW2892" s="28" t="n">
        <f aca="false">AV2892*$M2892</f>
        <v>0</v>
      </c>
      <c r="AX2892" s="28"/>
      <c r="AY2892" s="28" t="n">
        <f aca="false">AX2892*$M2892</f>
        <v>0</v>
      </c>
      <c r="AZ2892" s="30" t="n">
        <f aca="false">491552/100</f>
        <v>4915.52</v>
      </c>
      <c r="BA2892" s="11" t="n">
        <v>565285</v>
      </c>
      <c r="BB2892" s="31" t="n">
        <f aca="false">SUM(Q2892,S2892,U2892,W2892,Y2892,AA2892,AC2892,AE2892,AG2892,AI2892,AK2892,AM2892,AO2892,AQ2892,AS2892,AU2892,AW2892,AY2892)</f>
        <v>565285</v>
      </c>
      <c r="BC2892" s="28" t="n">
        <f aca="false">BA2892-BB2892</f>
        <v>0</v>
      </c>
      <c r="BD2892" s="32" t="n">
        <f aca="false">SUM(P2892,R2892,T2892,V2892,X2892,Z2892,AB2892,AD2892,AF2892,AH2892,AJ2892,AL2892,AN2892,AP2892,AR2892,AT2892,AV2892,AX2892)</f>
        <v>4915.52</v>
      </c>
      <c r="BE2892" s="33" t="n">
        <f aca="false">AZ2892-BD2892</f>
        <v>0</v>
      </c>
      <c r="BF2892" s="34" t="n">
        <f aca="false">BD2892*M2892</f>
        <v>565284.8</v>
      </c>
      <c r="BG2892" s="35" t="n">
        <f aca="false">BA2892-BF2892</f>
        <v>0.199999999953434</v>
      </c>
      <c r="BH2892" s="19" t="str">
        <f aca="false">IF(BG2892=0,"",IF(BG2892&lt;&gt;BA2892,"erreur de calcul",IF(BD2892&lt;&gt;0,"pas de prix",IF(M2892&lt;&gt; 0,"pas de quantité","pas de prix, ni de quantité"))))</f>
        <v>erreur de calcul</v>
      </c>
      <c r="BI2892" s="19"/>
    </row>
    <row r="2893" customFormat="false" ht="15" hidden="false" customHeight="false" outlineLevel="0" collapsed="false">
      <c r="A2893" s="0" t="n">
        <v>6</v>
      </c>
      <c r="B2893" s="8" t="s">
        <v>24</v>
      </c>
      <c r="C2893" s="9" t="s">
        <v>25</v>
      </c>
      <c r="D2893" s="9" t="s">
        <v>26</v>
      </c>
      <c r="E2893" s="10" t="n">
        <v>1789</v>
      </c>
      <c r="F2893" s="9" t="s">
        <v>27</v>
      </c>
      <c r="G2893" s="9" t="s">
        <v>27</v>
      </c>
      <c r="H2893" s="11" t="n">
        <v>21</v>
      </c>
      <c r="I2893" s="11" t="s">
        <v>159</v>
      </c>
      <c r="J2893" s="14" t="n">
        <v>240</v>
      </c>
      <c r="K2893" s="14"/>
      <c r="L2893" s="16"/>
      <c r="M2893" s="27" t="n">
        <f aca="false">J2893+(K2893/20)+(L2893/240)</f>
        <v>240</v>
      </c>
      <c r="N2893" s="17" t="s">
        <v>64</v>
      </c>
      <c r="O2893" s="11"/>
      <c r="P2893" s="28"/>
      <c r="Q2893" s="28" t="n">
        <f aca="false">P2893*$M2893</f>
        <v>0</v>
      </c>
      <c r="R2893" s="28"/>
      <c r="S2893" s="28" t="n">
        <f aca="false">R2893*$M2893</f>
        <v>0</v>
      </c>
      <c r="T2893" s="28"/>
      <c r="U2893" s="28" t="n">
        <f aca="false">T2893*$M2893</f>
        <v>0</v>
      </c>
      <c r="V2893" s="28"/>
      <c r="W2893" s="28" t="n">
        <f aca="false">V2893*$M2893</f>
        <v>0</v>
      </c>
      <c r="X2893" s="28"/>
      <c r="Y2893" s="28" t="n">
        <f aca="false">X2893*$M2893</f>
        <v>0</v>
      </c>
      <c r="Z2893" s="28"/>
      <c r="AA2893" s="28" t="n">
        <f aca="false">Z2893*$M2893</f>
        <v>0</v>
      </c>
      <c r="AB2893" s="28"/>
      <c r="AC2893" s="28" t="n">
        <f aca="false">AB2893*$M2893</f>
        <v>0</v>
      </c>
      <c r="AD2893" s="28"/>
      <c r="AE2893" s="28" t="n">
        <f aca="false">AD2893*$M2893</f>
        <v>0</v>
      </c>
      <c r="AF2893" s="28"/>
      <c r="AG2893" s="28" t="n">
        <f aca="false">AF2893*$M2893</f>
        <v>0</v>
      </c>
      <c r="AH2893" s="28" t="n">
        <f aca="false">46293/100</f>
        <v>462.93</v>
      </c>
      <c r="AI2893" s="28" t="n">
        <v>111103</v>
      </c>
      <c r="AJ2893" s="28"/>
      <c r="AK2893" s="28" t="n">
        <f aca="false">AJ2893*$M2893</f>
        <v>0</v>
      </c>
      <c r="AL2893" s="28"/>
      <c r="AM2893" s="28" t="n">
        <f aca="false">AL2893*$M2893</f>
        <v>0</v>
      </c>
      <c r="AN2893" s="28"/>
      <c r="AO2893" s="28" t="n">
        <f aca="false">AN2893*$M2893</f>
        <v>0</v>
      </c>
      <c r="AP2893" s="28"/>
      <c r="AQ2893" s="28" t="n">
        <f aca="false">AP2893*$M2893</f>
        <v>0</v>
      </c>
      <c r="AR2893" s="28"/>
      <c r="AS2893" s="28" t="n">
        <f aca="false">AR2893*$M2893</f>
        <v>0</v>
      </c>
      <c r="AT2893" s="28"/>
      <c r="AU2893" s="28" t="n">
        <f aca="false">AT2893*$M2893</f>
        <v>0</v>
      </c>
      <c r="AV2893" s="28"/>
      <c r="AW2893" s="28" t="n">
        <f aca="false">AV2893*$M2893</f>
        <v>0</v>
      </c>
      <c r="AX2893" s="28"/>
      <c r="AY2893" s="28" t="n">
        <f aca="false">AX2893*$M2893</f>
        <v>0</v>
      </c>
      <c r="AZ2893" s="30" t="n">
        <f aca="false">46293/100</f>
        <v>462.93</v>
      </c>
      <c r="BA2893" s="11" t="n">
        <v>111103</v>
      </c>
      <c r="BB2893" s="31" t="n">
        <f aca="false">SUM(Q2893,S2893,U2893,W2893,Y2893,AA2893,AC2893,AE2893,AG2893,AI2893,AK2893,AM2893,AO2893,AQ2893,AS2893,AU2893,AW2893,AY2893)</f>
        <v>111103</v>
      </c>
      <c r="BC2893" s="28" t="n">
        <f aca="false">BA2893-BB2893</f>
        <v>0</v>
      </c>
      <c r="BD2893" s="32" t="n">
        <f aca="false">SUM(P2893,R2893,T2893,V2893,X2893,Z2893,AB2893,AD2893,AF2893,AH2893,AJ2893,AL2893,AN2893,AP2893,AR2893,AT2893,AV2893,AX2893)</f>
        <v>462.93</v>
      </c>
      <c r="BE2893" s="33" t="n">
        <f aca="false">AZ2893-BD2893</f>
        <v>0</v>
      </c>
      <c r="BF2893" s="34" t="n">
        <f aca="false">BD2893*M2893</f>
        <v>111103.2</v>
      </c>
      <c r="BG2893" s="35" t="n">
        <f aca="false">BA2893-BF2893</f>
        <v>-0.19999999999709</v>
      </c>
      <c r="BH2893" s="19" t="str">
        <f aca="false">IF(BG2893=0,"",IF(BG2893&lt;&gt;BA2893,"erreur de calcul",IF(BD2893&lt;&gt;0,"pas de prix",IF(M2893&lt;&gt; 0,"pas de quantité","pas de prix, ni de quantité"))))</f>
        <v>erreur de calcul</v>
      </c>
      <c r="BI2893" s="19"/>
    </row>
    <row r="2894" customFormat="false" ht="15" hidden="false" customHeight="false" outlineLevel="0" collapsed="false">
      <c r="A2894" s="0" t="n">
        <v>7</v>
      </c>
      <c r="B2894" s="8" t="s">
        <v>24</v>
      </c>
      <c r="C2894" s="9" t="s">
        <v>25</v>
      </c>
      <c r="D2894" s="9" t="s">
        <v>26</v>
      </c>
      <c r="E2894" s="10" t="n">
        <v>1789</v>
      </c>
      <c r="F2894" s="9" t="s">
        <v>27</v>
      </c>
      <c r="G2894" s="9" t="s">
        <v>27</v>
      </c>
      <c r="H2894" s="11" t="n">
        <v>21</v>
      </c>
      <c r="I2894" s="11" t="s">
        <v>160</v>
      </c>
      <c r="J2894" s="14" t="n">
        <v>70</v>
      </c>
      <c r="K2894" s="14"/>
      <c r="L2894" s="16"/>
      <c r="M2894" s="27" t="n">
        <f aca="false">J2894+(K2894/20)+(L2894/240)</f>
        <v>70</v>
      </c>
      <c r="N2894" s="17" t="s">
        <v>64</v>
      </c>
      <c r="O2894" s="11"/>
      <c r="P2894" s="28"/>
      <c r="Q2894" s="28" t="n">
        <f aca="false">P2894*$M2894</f>
        <v>0</v>
      </c>
      <c r="R2894" s="28"/>
      <c r="S2894" s="28" t="n">
        <f aca="false">R2894*$M2894</f>
        <v>0</v>
      </c>
      <c r="T2894" s="28"/>
      <c r="U2894" s="28" t="n">
        <f aca="false">T2894*$M2894</f>
        <v>0</v>
      </c>
      <c r="V2894" s="28"/>
      <c r="W2894" s="28" t="n">
        <f aca="false">V2894*$M2894</f>
        <v>0</v>
      </c>
      <c r="X2894" s="28"/>
      <c r="Y2894" s="28" t="n">
        <f aca="false">X2894*$M2894</f>
        <v>0</v>
      </c>
      <c r="Z2894" s="28"/>
      <c r="AA2894" s="28" t="n">
        <f aca="false">Z2894*$M2894</f>
        <v>0</v>
      </c>
      <c r="AB2894" s="28"/>
      <c r="AC2894" s="28" t="n">
        <f aca="false">AB2894*$M2894</f>
        <v>0</v>
      </c>
      <c r="AD2894" s="28"/>
      <c r="AE2894" s="28" t="n">
        <f aca="false">AD2894*$M2894</f>
        <v>0</v>
      </c>
      <c r="AF2894" s="28" t="n">
        <f aca="false">125849/100</f>
        <v>1258.49</v>
      </c>
      <c r="AG2894" s="28" t="n">
        <v>88094</v>
      </c>
      <c r="AH2894" s="28"/>
      <c r="AI2894" s="28" t="n">
        <f aca="false">AH2894*$M2894</f>
        <v>0</v>
      </c>
      <c r="AJ2894" s="28"/>
      <c r="AK2894" s="28" t="n">
        <f aca="false">AJ2894*$M2894</f>
        <v>0</v>
      </c>
      <c r="AL2894" s="28"/>
      <c r="AM2894" s="28" t="n">
        <f aca="false">AL2894*$M2894</f>
        <v>0</v>
      </c>
      <c r="AN2894" s="28"/>
      <c r="AO2894" s="28" t="n">
        <f aca="false">AN2894*$M2894</f>
        <v>0</v>
      </c>
      <c r="AP2894" s="28"/>
      <c r="AQ2894" s="28" t="n">
        <f aca="false">AP2894*$M2894</f>
        <v>0</v>
      </c>
      <c r="AR2894" s="28"/>
      <c r="AS2894" s="28" t="n">
        <f aca="false">AR2894*$M2894</f>
        <v>0</v>
      </c>
      <c r="AT2894" s="28"/>
      <c r="AU2894" s="28" t="n">
        <f aca="false">AT2894*$M2894</f>
        <v>0</v>
      </c>
      <c r="AV2894" s="28"/>
      <c r="AW2894" s="28" t="n">
        <f aca="false">AV2894*$M2894</f>
        <v>0</v>
      </c>
      <c r="AX2894" s="28"/>
      <c r="AY2894" s="28" t="n">
        <f aca="false">AX2894*$M2894</f>
        <v>0</v>
      </c>
      <c r="AZ2894" s="30" t="n">
        <f aca="false">125849/100</f>
        <v>1258.49</v>
      </c>
      <c r="BA2894" s="11" t="n">
        <v>88094</v>
      </c>
      <c r="BB2894" s="31" t="n">
        <f aca="false">SUM(Q2894,S2894,U2894,W2894,Y2894,AA2894,AC2894,AE2894,AG2894,AI2894,AK2894,AM2894,AO2894,AQ2894,AS2894,AU2894,AW2894,AY2894)</f>
        <v>88094</v>
      </c>
      <c r="BC2894" s="28" t="n">
        <f aca="false">BA2894-BB2894</f>
        <v>0</v>
      </c>
      <c r="BD2894" s="32" t="n">
        <f aca="false">SUM(P2894,R2894,T2894,V2894,X2894,Z2894,AB2894,AD2894,AF2894,AH2894,AJ2894,AL2894,AN2894,AP2894,AR2894,AT2894,AV2894,AX2894)</f>
        <v>1258.49</v>
      </c>
      <c r="BE2894" s="33" t="n">
        <f aca="false">AZ2894-BD2894</f>
        <v>0</v>
      </c>
      <c r="BF2894" s="34" t="n">
        <f aca="false">BD2894*M2894</f>
        <v>88094.3</v>
      </c>
      <c r="BG2894" s="35" t="n">
        <f aca="false">BA2894-BF2894</f>
        <v>-0.30000000000291</v>
      </c>
      <c r="BH2894" s="19" t="str">
        <f aca="false">IF(BG2894=0,"",IF(BG2894&lt;&gt;BA2894,"erreur de calcul",IF(BD2894&lt;&gt;0,"pas de prix",IF(M2894&lt;&gt; 0,"pas de quantité","pas de prix, ni de quantité"))))</f>
        <v>erreur de calcul</v>
      </c>
      <c r="BI2894" s="19"/>
    </row>
    <row r="2895" customFormat="false" ht="15" hidden="false" customHeight="false" outlineLevel="0" collapsed="false">
      <c r="A2895" s="0" t="n">
        <v>8</v>
      </c>
      <c r="B2895" s="8" t="s">
        <v>24</v>
      </c>
      <c r="C2895" s="9" t="s">
        <v>25</v>
      </c>
      <c r="D2895" s="9" t="s">
        <v>26</v>
      </c>
      <c r="E2895" s="10" t="n">
        <v>1789</v>
      </c>
      <c r="F2895" s="9" t="s">
        <v>27</v>
      </c>
      <c r="G2895" s="9" t="s">
        <v>27</v>
      </c>
      <c r="H2895" s="11" t="n">
        <v>21</v>
      </c>
      <c r="I2895" s="11" t="s">
        <v>161</v>
      </c>
      <c r="J2895" s="14" t="n">
        <v>50</v>
      </c>
      <c r="K2895" s="14"/>
      <c r="L2895" s="16"/>
      <c r="M2895" s="27" t="n">
        <f aca="false">J2895+(K2895/20)+(L2895/240)</f>
        <v>50</v>
      </c>
      <c r="N2895" s="17" t="s">
        <v>64</v>
      </c>
      <c r="O2895" s="11"/>
      <c r="P2895" s="28"/>
      <c r="Q2895" s="28" t="n">
        <f aca="false">P2895*$M2895</f>
        <v>0</v>
      </c>
      <c r="R2895" s="28"/>
      <c r="S2895" s="28" t="n">
        <f aca="false">R2895*$M2895</f>
        <v>0</v>
      </c>
      <c r="T2895" s="28"/>
      <c r="U2895" s="28" t="n">
        <f aca="false">T2895*$M2895</f>
        <v>0</v>
      </c>
      <c r="V2895" s="28" t="n">
        <f aca="false">18055/100</f>
        <v>180.55</v>
      </c>
      <c r="W2895" s="28" t="n">
        <v>9027</v>
      </c>
      <c r="X2895" s="28" t="n">
        <f aca="false">17880/100</f>
        <v>178.8</v>
      </c>
      <c r="Y2895" s="28" t="n">
        <v>8940</v>
      </c>
      <c r="Z2895" s="28"/>
      <c r="AA2895" s="28" t="n">
        <f aca="false">Z2895*$M2895</f>
        <v>0</v>
      </c>
      <c r="AB2895" s="28" t="n">
        <f aca="false">104483/100</f>
        <v>1044.83</v>
      </c>
      <c r="AC2895" s="28" t="n">
        <v>52241</v>
      </c>
      <c r="AD2895" s="28"/>
      <c r="AE2895" s="28" t="n">
        <f aca="false">AD2895*$M2895</f>
        <v>0</v>
      </c>
      <c r="AF2895" s="28"/>
      <c r="AG2895" s="28" t="n">
        <f aca="false">AF2895*$M2895</f>
        <v>0</v>
      </c>
      <c r="AH2895" s="28"/>
      <c r="AI2895" s="28" t="n">
        <f aca="false">AH2895*$M2895</f>
        <v>0</v>
      </c>
      <c r="AJ2895" s="28"/>
      <c r="AK2895" s="28" t="n">
        <f aca="false">AJ2895*$M2895</f>
        <v>0</v>
      </c>
      <c r="AL2895" s="28"/>
      <c r="AM2895" s="28" t="n">
        <f aca="false">AL2895*$M2895</f>
        <v>0</v>
      </c>
      <c r="AN2895" s="28"/>
      <c r="AO2895" s="28" t="n">
        <f aca="false">AN2895*$M2895</f>
        <v>0</v>
      </c>
      <c r="AP2895" s="28"/>
      <c r="AQ2895" s="28" t="n">
        <f aca="false">AP2895*$M2895</f>
        <v>0</v>
      </c>
      <c r="AR2895" s="28"/>
      <c r="AS2895" s="28" t="n">
        <f aca="false">AR2895*$M2895</f>
        <v>0</v>
      </c>
      <c r="AT2895" s="28"/>
      <c r="AU2895" s="28" t="n">
        <f aca="false">AT2895*$M2895</f>
        <v>0</v>
      </c>
      <c r="AV2895" s="28"/>
      <c r="AW2895" s="28" t="n">
        <f aca="false">AV2895*$M2895</f>
        <v>0</v>
      </c>
      <c r="AX2895" s="28"/>
      <c r="AY2895" s="28" t="n">
        <f aca="false">AX2895*$M2895</f>
        <v>0</v>
      </c>
      <c r="AZ2895" s="30" t="n">
        <f aca="false">140418/100</f>
        <v>1404.18</v>
      </c>
      <c r="BA2895" s="11" t="n">
        <v>70208</v>
      </c>
      <c r="BB2895" s="31" t="n">
        <f aca="false">SUM(Q2895,S2895,U2895,W2895,Y2895,AA2895,AC2895,AE2895,AG2895,AI2895,AK2895,AM2895,AO2895,AQ2895,AS2895,AU2895,AW2895,AY2895)</f>
        <v>70208</v>
      </c>
      <c r="BC2895" s="28" t="n">
        <f aca="false">BA2895-BB2895</f>
        <v>0</v>
      </c>
      <c r="BD2895" s="32" t="n">
        <f aca="false">SUM(P2895,R2895,T2895,V2895,X2895,Z2895,AB2895,AD2895,AF2895,AH2895,AJ2895,AL2895,AN2895,AP2895,AR2895,AT2895,AV2895,AX2895)</f>
        <v>1404.18</v>
      </c>
      <c r="BE2895" s="33" t="n">
        <f aca="false">AZ2895-BD2895</f>
        <v>0</v>
      </c>
      <c r="BF2895" s="34" t="n">
        <f aca="false">BD2895*M2895</f>
        <v>70209</v>
      </c>
      <c r="BG2895" s="35" t="n">
        <f aca="false">BA2895-BF2895</f>
        <v>-0.999999999985448</v>
      </c>
      <c r="BH2895" s="19" t="str">
        <f aca="false">IF(BG2895=0,"",IF(BG2895&lt;&gt;BA2895,"erreur de calcul",IF(BD2895&lt;&gt;0,"pas de prix",IF(M2895&lt;&gt; 0,"pas de quantité","pas de prix, ni de quantité"))))</f>
        <v>erreur de calcul</v>
      </c>
      <c r="BI2895" s="19"/>
    </row>
    <row r="2896" customFormat="false" ht="15" hidden="false" customHeight="false" outlineLevel="0" collapsed="false">
      <c r="A2896" s="0" t="n">
        <v>9</v>
      </c>
      <c r="B2896" s="8" t="s">
        <v>24</v>
      </c>
      <c r="C2896" s="9" t="s">
        <v>25</v>
      </c>
      <c r="D2896" s="9" t="s">
        <v>26</v>
      </c>
      <c r="E2896" s="10" t="n">
        <v>1789</v>
      </c>
      <c r="F2896" s="9" t="s">
        <v>27</v>
      </c>
      <c r="G2896" s="9" t="s">
        <v>27</v>
      </c>
      <c r="H2896" s="11" t="n">
        <v>21</v>
      </c>
      <c r="I2896" s="11" t="s">
        <v>162</v>
      </c>
      <c r="J2896" s="14" t="n">
        <v>250</v>
      </c>
      <c r="K2896" s="14"/>
      <c r="L2896" s="16"/>
      <c r="M2896" s="27" t="n">
        <f aca="false">J2896+(K2896/20)+(L2896/240)</f>
        <v>250</v>
      </c>
      <c r="N2896" s="17" t="s">
        <v>64</v>
      </c>
      <c r="O2896" s="11"/>
      <c r="P2896" s="28"/>
      <c r="Q2896" s="28" t="n">
        <f aca="false">P2896*$M2896</f>
        <v>0</v>
      </c>
      <c r="R2896" s="28"/>
      <c r="S2896" s="28" t="n">
        <f aca="false">R2896*$M2896</f>
        <v>0</v>
      </c>
      <c r="T2896" s="28"/>
      <c r="U2896" s="28" t="n">
        <f aca="false">T2896*$M2896</f>
        <v>0</v>
      </c>
      <c r="V2896" s="28"/>
      <c r="W2896" s="28" t="n">
        <f aca="false">V2896*$M2896</f>
        <v>0</v>
      </c>
      <c r="X2896" s="28"/>
      <c r="Y2896" s="28" t="n">
        <f aca="false">X2896*$M2896</f>
        <v>0</v>
      </c>
      <c r="Z2896" s="28"/>
      <c r="AA2896" s="28" t="n">
        <f aca="false">Z2896*$M2896</f>
        <v>0</v>
      </c>
      <c r="AB2896" s="28"/>
      <c r="AC2896" s="28" t="n">
        <f aca="false">AB2896*$M2896</f>
        <v>0</v>
      </c>
      <c r="AD2896" s="28"/>
      <c r="AE2896" s="28" t="n">
        <f aca="false">AD2896*$M2896</f>
        <v>0</v>
      </c>
      <c r="AF2896" s="28"/>
      <c r="AG2896" s="28" t="n">
        <f aca="false">AF2896*$M2896</f>
        <v>0</v>
      </c>
      <c r="AH2896" s="28" t="n">
        <f aca="false">2306/100</f>
        <v>23.06</v>
      </c>
      <c r="AI2896" s="36" t="n">
        <v>5073</v>
      </c>
      <c r="AJ2896" s="28"/>
      <c r="AK2896" s="28" t="n">
        <f aca="false">AJ2896*$M2896</f>
        <v>0</v>
      </c>
      <c r="AL2896" s="28"/>
      <c r="AM2896" s="28" t="n">
        <f aca="false">AL2896*$M2896</f>
        <v>0</v>
      </c>
      <c r="AN2896" s="28"/>
      <c r="AO2896" s="28" t="n">
        <f aca="false">AN2896*$M2896</f>
        <v>0</v>
      </c>
      <c r="AP2896" s="28"/>
      <c r="AQ2896" s="28" t="n">
        <f aca="false">AP2896*$M2896</f>
        <v>0</v>
      </c>
      <c r="AR2896" s="28"/>
      <c r="AS2896" s="28" t="n">
        <f aca="false">AR2896*$M2896</f>
        <v>0</v>
      </c>
      <c r="AT2896" s="28"/>
      <c r="AU2896" s="28" t="n">
        <f aca="false">AT2896*$M2896</f>
        <v>0</v>
      </c>
      <c r="AV2896" s="28"/>
      <c r="AW2896" s="28" t="n">
        <f aca="false">AV2896*$M2896</f>
        <v>0</v>
      </c>
      <c r="AX2896" s="28"/>
      <c r="AY2896" s="28" t="n">
        <f aca="false">AX2896*$M2896</f>
        <v>0</v>
      </c>
      <c r="AZ2896" s="30" t="n">
        <f aca="false">2306/100</f>
        <v>23.06</v>
      </c>
      <c r="BA2896" s="11" t="n">
        <v>5073</v>
      </c>
      <c r="BB2896" s="31" t="n">
        <f aca="false">SUM(Q2896,S2896,U2896,W2896,Y2896,AA2896,AC2896,AE2896,AG2896,AI2896,AK2896,AM2896,AO2896,AQ2896,AS2896,AU2896,AW2896,AY2896)</f>
        <v>5073</v>
      </c>
      <c r="BC2896" s="28" t="n">
        <f aca="false">BA2896-BB2896</f>
        <v>0</v>
      </c>
      <c r="BD2896" s="32" t="n">
        <f aca="false">SUM(P2896,R2896,T2896,V2896,X2896,Z2896,AB2896,AD2896,AF2896,AH2896,AJ2896,AL2896,AN2896,AP2896,AR2896,AT2896,AV2896,AX2896)</f>
        <v>23.06</v>
      </c>
      <c r="BE2896" s="33" t="n">
        <f aca="false">AZ2896-BD2896</f>
        <v>0</v>
      </c>
      <c r="BF2896" s="34" t="n">
        <f aca="false">BD2896*M2896</f>
        <v>5765</v>
      </c>
      <c r="BG2896" s="35" t="n">
        <f aca="false">BA2896-BF2896</f>
        <v>-692</v>
      </c>
      <c r="BH2896" s="19" t="str">
        <f aca="false">IF(BG2896=0,"",IF(BG2896&lt;&gt;BA2896,"erreur de calcul",IF(BD2896&lt;&gt;0,"pas de prix",IF(M2896&lt;&gt; 0,"pas de quantité","pas de prix, ni de quantité"))))</f>
        <v>erreur de calcul</v>
      </c>
      <c r="BI2896" s="19"/>
    </row>
    <row r="2897" customFormat="false" ht="15" hidden="false" customHeight="false" outlineLevel="0" collapsed="false">
      <c r="A2897" s="0" t="n">
        <v>10</v>
      </c>
      <c r="B2897" s="8" t="s">
        <v>24</v>
      </c>
      <c r="C2897" s="9" t="s">
        <v>25</v>
      </c>
      <c r="D2897" s="9" t="s">
        <v>26</v>
      </c>
      <c r="E2897" s="10" t="n">
        <v>1789</v>
      </c>
      <c r="F2897" s="9" t="s">
        <v>27</v>
      </c>
      <c r="G2897" s="9" t="s">
        <v>27</v>
      </c>
      <c r="H2897" s="11" t="n">
        <v>21</v>
      </c>
      <c r="I2897" s="11" t="s">
        <v>163</v>
      </c>
      <c r="J2897" s="14"/>
      <c r="K2897" s="14"/>
      <c r="L2897" s="16"/>
      <c r="M2897" s="27" t="n">
        <f aca="false">J2897+(K2897/20)+(L2897/240)</f>
        <v>0</v>
      </c>
      <c r="N2897" s="17"/>
      <c r="O2897" s="11"/>
      <c r="P2897" s="28"/>
      <c r="Q2897" s="28" t="n">
        <v>1571</v>
      </c>
      <c r="R2897" s="28"/>
      <c r="S2897" s="28" t="n">
        <f aca="false">R2897*$M2897</f>
        <v>0</v>
      </c>
      <c r="T2897" s="28"/>
      <c r="U2897" s="28" t="n">
        <v>182</v>
      </c>
      <c r="V2897" s="28"/>
      <c r="W2897" s="28" t="n">
        <v>1801</v>
      </c>
      <c r="X2897" s="28"/>
      <c r="Y2897" s="28" t="n">
        <v>214</v>
      </c>
      <c r="Z2897" s="28"/>
      <c r="AA2897" s="28" t="n">
        <f aca="false">Z2897*$M2897</f>
        <v>0</v>
      </c>
      <c r="AB2897" s="28"/>
      <c r="AC2897" s="28" t="n">
        <v>401</v>
      </c>
      <c r="AD2897" s="28"/>
      <c r="AE2897" s="28" t="n">
        <f aca="false">AD2897*$M2897</f>
        <v>0</v>
      </c>
      <c r="AF2897" s="28"/>
      <c r="AG2897" s="28" t="n">
        <f aca="false">AF2897*$M2897</f>
        <v>0</v>
      </c>
      <c r="AH2897" s="28"/>
      <c r="AI2897" s="28" t="n">
        <f aca="false">AH2897*$M2897</f>
        <v>0</v>
      </c>
      <c r="AJ2897" s="28"/>
      <c r="AK2897" s="28" t="n">
        <v>760</v>
      </c>
      <c r="AL2897" s="28"/>
      <c r="AM2897" s="28" t="n">
        <f aca="false">AL2897*$M2897</f>
        <v>0</v>
      </c>
      <c r="AN2897" s="28"/>
      <c r="AO2897" s="28" t="n">
        <f aca="false">AN2897*$M2897</f>
        <v>0</v>
      </c>
      <c r="AP2897" s="28"/>
      <c r="AQ2897" s="28" t="n">
        <f aca="false">AP2897*$M2897</f>
        <v>0</v>
      </c>
      <c r="AR2897" s="28"/>
      <c r="AS2897" s="28" t="n">
        <f aca="false">AR2897*$M2897</f>
        <v>0</v>
      </c>
      <c r="AT2897" s="28"/>
      <c r="AU2897" s="28" t="n">
        <f aca="false">AT2897*$M2897</f>
        <v>0</v>
      </c>
      <c r="AV2897" s="28"/>
      <c r="AW2897" s="28" t="n">
        <f aca="false">AV2897*$M2897</f>
        <v>0</v>
      </c>
      <c r="AX2897" s="28"/>
      <c r="AY2897" s="28" t="n">
        <f aca="false">AX2897*$M2897</f>
        <v>0</v>
      </c>
      <c r="AZ2897" s="30"/>
      <c r="BA2897" s="11" t="n">
        <v>4929</v>
      </c>
      <c r="BB2897" s="31" t="n">
        <f aca="false">SUM(Q2897,S2897,U2897,W2897,Y2897,AA2897,AC2897,AE2897,AG2897,AI2897,AK2897,AM2897,AO2897,AQ2897,AS2897,AU2897,AW2897,AY2897)</f>
        <v>4929</v>
      </c>
      <c r="BC2897" s="28" t="n">
        <f aca="false">BA2897-BB2897</f>
        <v>0</v>
      </c>
      <c r="BD2897" s="32" t="n">
        <f aca="false">SUM(P2897,R2897,T2897,V2897,X2897,Z2897,AB2897,AD2897,AF2897,AH2897,AJ2897,AL2897,AN2897,AP2897,AR2897,AT2897,AV2897,AX2897)</f>
        <v>0</v>
      </c>
      <c r="BE2897" s="33" t="n">
        <f aca="false">AZ2897-BD2897</f>
        <v>0</v>
      </c>
      <c r="BF2897" s="34" t="n">
        <f aca="false">BD2897*M2897</f>
        <v>0</v>
      </c>
      <c r="BG2897" s="35" t="n">
        <f aca="false">BA2897-BF2897</f>
        <v>4929</v>
      </c>
      <c r="BH2897" s="19" t="str">
        <f aca="false">IF(BG2897=0,"",IF(BG2897&lt;&gt;BA2897,"erreur de calcul",IF(BD2897&lt;&gt;0,"pas de prix",IF(M2897&lt;&gt; 0,"pas de quantité","pas de prix, ni de quantité"))))</f>
        <v>pas de prix, ni de quantité</v>
      </c>
      <c r="BI2897" s="19"/>
    </row>
    <row r="2898" customFormat="false" ht="15" hidden="false" customHeight="false" outlineLevel="0" collapsed="false">
      <c r="A2898" s="0" t="n">
        <v>11</v>
      </c>
      <c r="B2898" s="8" t="s">
        <v>24</v>
      </c>
      <c r="C2898" s="9" t="s">
        <v>25</v>
      </c>
      <c r="D2898" s="9" t="s">
        <v>26</v>
      </c>
      <c r="E2898" s="10" t="n">
        <v>1789</v>
      </c>
      <c r="F2898" s="9" t="s">
        <v>27</v>
      </c>
      <c r="G2898" s="9" t="s">
        <v>27</v>
      </c>
      <c r="H2898" s="11" t="n">
        <v>21</v>
      </c>
      <c r="I2898" s="11" t="s">
        <v>164</v>
      </c>
      <c r="J2898" s="14" t="n">
        <v>580</v>
      </c>
      <c r="K2898" s="14"/>
      <c r="L2898" s="16"/>
      <c r="M2898" s="27" t="n">
        <f aca="false">J2898+(K2898/20)+(L2898/240)</f>
        <v>580</v>
      </c>
      <c r="N2898" s="17" t="s">
        <v>64</v>
      </c>
      <c r="O2898" s="11"/>
      <c r="P2898" s="28" t="n">
        <f aca="false">294/100</f>
        <v>2.94</v>
      </c>
      <c r="Q2898" s="28" t="n">
        <v>1705</v>
      </c>
      <c r="R2898" s="28"/>
      <c r="S2898" s="28" t="n">
        <f aca="false">R2898*$M2898</f>
        <v>0</v>
      </c>
      <c r="T2898" s="28"/>
      <c r="U2898" s="28" t="n">
        <f aca="false">T2898*$M2898</f>
        <v>0</v>
      </c>
      <c r="V2898" s="28"/>
      <c r="W2898" s="28" t="n">
        <f aca="false">V2898*$M2898</f>
        <v>0</v>
      </c>
      <c r="X2898" s="28"/>
      <c r="Y2898" s="28" t="n">
        <f aca="false">X2898*$M2898</f>
        <v>0</v>
      </c>
      <c r="Z2898" s="28"/>
      <c r="AA2898" s="28" t="n">
        <f aca="false">Z2898*$M2898</f>
        <v>0</v>
      </c>
      <c r="AB2898" s="28"/>
      <c r="AC2898" s="28" t="n">
        <f aca="false">AB2898*$M2898</f>
        <v>0</v>
      </c>
      <c r="AD2898" s="28"/>
      <c r="AE2898" s="28" t="n">
        <f aca="false">AD2898*$M2898</f>
        <v>0</v>
      </c>
      <c r="AF2898" s="28"/>
      <c r="AG2898" s="28" t="n">
        <f aca="false">AF2898*$M2898</f>
        <v>0</v>
      </c>
      <c r="AH2898" s="28"/>
      <c r="AI2898" s="28" t="n">
        <f aca="false">AH2898*$M2898</f>
        <v>0</v>
      </c>
      <c r="AJ2898" s="28"/>
      <c r="AK2898" s="28" t="n">
        <f aca="false">AJ2898*$M2898</f>
        <v>0</v>
      </c>
      <c r="AL2898" s="28"/>
      <c r="AM2898" s="28" t="n">
        <f aca="false">AL2898*$M2898</f>
        <v>0</v>
      </c>
      <c r="AN2898" s="28"/>
      <c r="AO2898" s="28" t="n">
        <f aca="false">AN2898*$M2898</f>
        <v>0</v>
      </c>
      <c r="AP2898" s="28"/>
      <c r="AQ2898" s="28" t="n">
        <f aca="false">AP2898*$M2898</f>
        <v>0</v>
      </c>
      <c r="AR2898" s="28"/>
      <c r="AS2898" s="28" t="n">
        <f aca="false">AR2898*$M2898</f>
        <v>0</v>
      </c>
      <c r="AT2898" s="28"/>
      <c r="AU2898" s="28" t="n">
        <f aca="false">AT2898*$M2898</f>
        <v>0</v>
      </c>
      <c r="AV2898" s="28"/>
      <c r="AW2898" s="28" t="n">
        <f aca="false">AV2898*$M2898</f>
        <v>0</v>
      </c>
      <c r="AX2898" s="28"/>
      <c r="AY2898" s="28" t="n">
        <f aca="false">AX2898*$M2898</f>
        <v>0</v>
      </c>
      <c r="AZ2898" s="30" t="n">
        <f aca="false">294/100</f>
        <v>2.94</v>
      </c>
      <c r="BA2898" s="11" t="n">
        <v>1705</v>
      </c>
      <c r="BB2898" s="31" t="n">
        <f aca="false">SUM(Q2898,S2898,U2898,W2898,Y2898,AA2898,AC2898,AE2898,AG2898,AI2898,AK2898,AM2898,AO2898,AQ2898,AS2898,AU2898,AW2898,AY2898)</f>
        <v>1705</v>
      </c>
      <c r="BC2898" s="28" t="n">
        <f aca="false">BA2898-BB2898</f>
        <v>0</v>
      </c>
      <c r="BD2898" s="32" t="n">
        <f aca="false">SUM(P2898,R2898,T2898,V2898,X2898,Z2898,AB2898,AD2898,AF2898,AH2898,AJ2898,AL2898,AN2898,AP2898,AR2898,AT2898,AV2898,AX2898)</f>
        <v>2.94</v>
      </c>
      <c r="BE2898" s="33" t="n">
        <f aca="false">AZ2898-BD2898</f>
        <v>0</v>
      </c>
      <c r="BF2898" s="34" t="n">
        <f aca="false">BD2898*M2898</f>
        <v>1705.2</v>
      </c>
      <c r="BG2898" s="35" t="n">
        <f aca="false">BA2898-BF2898</f>
        <v>-0.200000000000045</v>
      </c>
      <c r="BH2898" s="19" t="str">
        <f aca="false">IF(BG2898=0,"",IF(BG2898&lt;&gt;BA2898,"erreur de calcul",IF(BD2898&lt;&gt;0,"pas de prix",IF(M2898&lt;&gt; 0,"pas de quantité","pas de prix, ni de quantité"))))</f>
        <v>erreur de calcul</v>
      </c>
      <c r="BI2898" s="19"/>
    </row>
    <row r="2899" customFormat="false" ht="15" hidden="false" customHeight="false" outlineLevel="0" collapsed="false">
      <c r="A2899" s="0" t="n">
        <v>12</v>
      </c>
      <c r="B2899" s="8" t="s">
        <v>24</v>
      </c>
      <c r="C2899" s="9" t="s">
        <v>25</v>
      </c>
      <c r="D2899" s="9" t="s">
        <v>26</v>
      </c>
      <c r="E2899" s="10" t="n">
        <v>1789</v>
      </c>
      <c r="F2899" s="9" t="s">
        <v>27</v>
      </c>
      <c r="G2899" s="9" t="s">
        <v>27</v>
      </c>
      <c r="H2899" s="11" t="n">
        <v>21</v>
      </c>
      <c r="I2899" s="11" t="s">
        <v>165</v>
      </c>
      <c r="J2899" s="14" t="n">
        <v>180</v>
      </c>
      <c r="K2899" s="14"/>
      <c r="L2899" s="16"/>
      <c r="M2899" s="27" t="n">
        <f aca="false">J2899+(K2899/20)+(L2899/240)</f>
        <v>180</v>
      </c>
      <c r="N2899" s="17" t="s">
        <v>64</v>
      </c>
      <c r="O2899" s="11"/>
      <c r="P2899" s="28"/>
      <c r="Q2899" s="28" t="n">
        <f aca="false">P2899*$M2899</f>
        <v>0</v>
      </c>
      <c r="R2899" s="28"/>
      <c r="S2899" s="28" t="n">
        <f aca="false">R2899*$M2899</f>
        <v>0</v>
      </c>
      <c r="T2899" s="28"/>
      <c r="U2899" s="28" t="n">
        <f aca="false">T2899*$M2899</f>
        <v>0</v>
      </c>
      <c r="V2899" s="28"/>
      <c r="W2899" s="28" t="n">
        <f aca="false">V2899*$M2899</f>
        <v>0</v>
      </c>
      <c r="X2899" s="28"/>
      <c r="Y2899" s="28" t="n">
        <f aca="false">X2899*$M2899</f>
        <v>0</v>
      </c>
      <c r="Z2899" s="28"/>
      <c r="AA2899" s="28" t="n">
        <f aca="false">Z2899*$M2899</f>
        <v>0</v>
      </c>
      <c r="AB2899" s="28"/>
      <c r="AC2899" s="28" t="n">
        <f aca="false">AB2899*$M2899</f>
        <v>0</v>
      </c>
      <c r="AD2899" s="28"/>
      <c r="AE2899" s="28" t="n">
        <f aca="false">AD2899*$M2899</f>
        <v>0</v>
      </c>
      <c r="AF2899" s="28"/>
      <c r="AG2899" s="28" t="n">
        <f aca="false">AF2899*$M2899</f>
        <v>0</v>
      </c>
      <c r="AH2899" s="28"/>
      <c r="AI2899" s="28" t="n">
        <f aca="false">AH2899*$M2899</f>
        <v>0</v>
      </c>
      <c r="AJ2899" s="28"/>
      <c r="AK2899" s="28" t="n">
        <f aca="false">AJ2899*$M2899</f>
        <v>0</v>
      </c>
      <c r="AL2899" s="28"/>
      <c r="AM2899" s="28" t="n">
        <f aca="false">AL2899*$M2899</f>
        <v>0</v>
      </c>
      <c r="AN2899" s="28" t="n">
        <f aca="false">13754/100</f>
        <v>137.54</v>
      </c>
      <c r="AO2899" s="28" t="n">
        <v>24757</v>
      </c>
      <c r="AP2899" s="28"/>
      <c r="AQ2899" s="28" t="n">
        <f aca="false">AP2899*$M2899</f>
        <v>0</v>
      </c>
      <c r="AR2899" s="28"/>
      <c r="AS2899" s="28" t="n">
        <f aca="false">AR2899*$M2899</f>
        <v>0</v>
      </c>
      <c r="AT2899" s="28"/>
      <c r="AU2899" s="28" t="n">
        <f aca="false">AT2899*$M2899</f>
        <v>0</v>
      </c>
      <c r="AV2899" s="28"/>
      <c r="AW2899" s="28" t="n">
        <f aca="false">AV2899*$M2899</f>
        <v>0</v>
      </c>
      <c r="AX2899" s="28"/>
      <c r="AY2899" s="28" t="n">
        <f aca="false">AX2899*$M2899</f>
        <v>0</v>
      </c>
      <c r="AZ2899" s="30" t="n">
        <f aca="false">17360/100</f>
        <v>173.6</v>
      </c>
      <c r="BA2899" s="11" t="n">
        <v>24757</v>
      </c>
      <c r="BB2899" s="31" t="n">
        <f aca="false">SUM(Q2899,S2899,U2899,W2899,Y2899,AA2899,AC2899,AE2899,AG2899,AI2899,AK2899,AM2899,AO2899,AQ2899,AS2899,AU2899,AW2899,AY2899)</f>
        <v>24757</v>
      </c>
      <c r="BC2899" s="28" t="n">
        <f aca="false">BA2899-BB2899</f>
        <v>0</v>
      </c>
      <c r="BD2899" s="32" t="n">
        <f aca="false">SUM(P2899,R2899,T2899,V2899,X2899,Z2899,AB2899,AD2899,AF2899,AH2899,AJ2899,AL2899,AN2899,AP2899,AR2899,AT2899,AV2899,AX2899)</f>
        <v>137.54</v>
      </c>
      <c r="BE2899" s="33" t="n">
        <f aca="false">AZ2899-BD2899</f>
        <v>36.06</v>
      </c>
      <c r="BF2899" s="34" t="n">
        <f aca="false">BD2899*M2899</f>
        <v>24757.2</v>
      </c>
      <c r="BG2899" s="35" t="n">
        <f aca="false">BA2899-BF2899</f>
        <v>-0.19999999999709</v>
      </c>
      <c r="BH2899" s="19" t="str">
        <f aca="false">IF(BG2899=0,"",IF(BG2899&lt;&gt;BA2899,"erreur de calcul",IF(BD2899&lt;&gt;0,"pas de prix",IF(M2899&lt;&gt; 0,"pas de quantité","pas de prix, ni de quantité"))))</f>
        <v>erreur de calcul</v>
      </c>
      <c r="BI2899" s="19"/>
    </row>
    <row r="2900" customFormat="false" ht="15" hidden="false" customHeight="false" outlineLevel="0" collapsed="false">
      <c r="A2900" s="0" t="n">
        <v>13</v>
      </c>
      <c r="B2900" s="8" t="s">
        <v>24</v>
      </c>
      <c r="C2900" s="9" t="s">
        <v>25</v>
      </c>
      <c r="D2900" s="9" t="s">
        <v>26</v>
      </c>
      <c r="E2900" s="10" t="n">
        <v>1789</v>
      </c>
      <c r="F2900" s="9" t="s">
        <v>27</v>
      </c>
      <c r="G2900" s="9" t="s">
        <v>27</v>
      </c>
      <c r="H2900" s="11" t="n">
        <v>21</v>
      </c>
      <c r="I2900" s="11" t="s">
        <v>166</v>
      </c>
      <c r="J2900" s="14" t="n">
        <v>90</v>
      </c>
      <c r="K2900" s="14"/>
      <c r="L2900" s="16"/>
      <c r="M2900" s="27" t="n">
        <f aca="false">J2900+(K2900/20)+(L2900/240)</f>
        <v>90</v>
      </c>
      <c r="N2900" s="17" t="s">
        <v>64</v>
      </c>
      <c r="O2900" s="11"/>
      <c r="P2900" s="28" t="n">
        <f aca="false">3606/100</f>
        <v>36.06</v>
      </c>
      <c r="Q2900" s="28" t="n">
        <v>3245</v>
      </c>
      <c r="R2900" s="28"/>
      <c r="S2900" s="28" t="n">
        <f aca="false">R2900*$M2900</f>
        <v>0</v>
      </c>
      <c r="T2900" s="28"/>
      <c r="U2900" s="28" t="n">
        <f aca="false">T2900*$M2900</f>
        <v>0</v>
      </c>
      <c r="V2900" s="28"/>
      <c r="W2900" s="28" t="n">
        <f aca="false">V2900*$M2900</f>
        <v>0</v>
      </c>
      <c r="X2900" s="28"/>
      <c r="Y2900" s="28" t="n">
        <f aca="false">X2900*$M2900</f>
        <v>0</v>
      </c>
      <c r="Z2900" s="28"/>
      <c r="AA2900" s="28" t="n">
        <f aca="false">Z2900*$M2900</f>
        <v>0</v>
      </c>
      <c r="AB2900" s="28"/>
      <c r="AC2900" s="28" t="n">
        <f aca="false">AB2900*$M2900</f>
        <v>0</v>
      </c>
      <c r="AD2900" s="28"/>
      <c r="AE2900" s="28" t="n">
        <f aca="false">AD2900*$M2900</f>
        <v>0</v>
      </c>
      <c r="AF2900" s="28"/>
      <c r="AG2900" s="28" t="n">
        <f aca="false">AF2900*$M2900</f>
        <v>0</v>
      </c>
      <c r="AH2900" s="28"/>
      <c r="AI2900" s="28" t="n">
        <f aca="false">AH2900*$M2900</f>
        <v>0</v>
      </c>
      <c r="AJ2900" s="28"/>
      <c r="AK2900" s="28" t="n">
        <f aca="false">AJ2900*$M2900</f>
        <v>0</v>
      </c>
      <c r="AL2900" s="28"/>
      <c r="AM2900" s="28" t="n">
        <f aca="false">AL2900*$M2900</f>
        <v>0</v>
      </c>
      <c r="AN2900" s="28"/>
      <c r="AO2900" s="28" t="n">
        <f aca="false">AN2900*$M2900</f>
        <v>0</v>
      </c>
      <c r="AP2900" s="28"/>
      <c r="AQ2900" s="28" t="n">
        <f aca="false">AP2900*$M2900</f>
        <v>0</v>
      </c>
      <c r="AR2900" s="28"/>
      <c r="AS2900" s="28" t="n">
        <f aca="false">AR2900*$M2900</f>
        <v>0</v>
      </c>
      <c r="AT2900" s="28"/>
      <c r="AU2900" s="28" t="n">
        <f aca="false">AT2900*$M2900</f>
        <v>0</v>
      </c>
      <c r="AV2900" s="28"/>
      <c r="AW2900" s="28" t="n">
        <f aca="false">AV2900*$M2900</f>
        <v>0</v>
      </c>
      <c r="AX2900" s="28"/>
      <c r="AY2900" s="28" t="n">
        <f aca="false">AX2900*$M2900</f>
        <v>0</v>
      </c>
      <c r="AZ2900" s="30" t="n">
        <f aca="false">3606/100</f>
        <v>36.06</v>
      </c>
      <c r="BA2900" s="11" t="n">
        <v>3245</v>
      </c>
      <c r="BB2900" s="31" t="n">
        <f aca="false">SUM(Q2900,S2900,U2900,W2900,Y2900,AA2900,AC2900,AE2900,AG2900,AI2900,AK2900,AM2900,AO2900,AQ2900,AS2900,AU2900,AW2900,AY2900)</f>
        <v>3245</v>
      </c>
      <c r="BC2900" s="28" t="n">
        <f aca="false">BA2900-BB2900</f>
        <v>0</v>
      </c>
      <c r="BD2900" s="32" t="n">
        <f aca="false">SUM(P2900,R2900,T2900,V2900,X2900,Z2900,AB2900,AD2900,AF2900,AH2900,AJ2900,AL2900,AN2900,AP2900,AR2900,AT2900,AV2900,AX2900)</f>
        <v>36.06</v>
      </c>
      <c r="BE2900" s="33" t="n">
        <f aca="false">AZ2900-BD2900</f>
        <v>0</v>
      </c>
      <c r="BF2900" s="34" t="n">
        <f aca="false">BD2900*M2900</f>
        <v>3245.4</v>
      </c>
      <c r="BG2900" s="35" t="n">
        <f aca="false">BA2900-BF2900</f>
        <v>-0.400000000000091</v>
      </c>
      <c r="BH2900" s="19" t="str">
        <f aca="false">IF(BG2900=0,"",IF(BG2900&lt;&gt;BA2900,"erreur de calcul",IF(BD2900&lt;&gt;0,"pas de prix",IF(M2900&lt;&gt; 0,"pas de quantité","pas de prix, ni de quantité"))))</f>
        <v>erreur de calcul</v>
      </c>
      <c r="BI2900" s="19"/>
    </row>
    <row r="2901" customFormat="false" ht="15" hidden="false" customHeight="false" outlineLevel="0" collapsed="false">
      <c r="A2901" s="0" t="n">
        <v>14</v>
      </c>
      <c r="B2901" s="8" t="s">
        <v>24</v>
      </c>
      <c r="C2901" s="9" t="s">
        <v>25</v>
      </c>
      <c r="D2901" s="9" t="s">
        <v>26</v>
      </c>
      <c r="E2901" s="10" t="n">
        <v>1789</v>
      </c>
      <c r="F2901" s="9" t="s">
        <v>27</v>
      </c>
      <c r="G2901" s="9" t="s">
        <v>27</v>
      </c>
      <c r="H2901" s="11" t="n">
        <v>21</v>
      </c>
      <c r="I2901" s="11" t="s">
        <v>167</v>
      </c>
      <c r="J2901" s="14" t="n">
        <v>60</v>
      </c>
      <c r="K2901" s="14"/>
      <c r="L2901" s="16"/>
      <c r="M2901" s="27" t="n">
        <f aca="false">J2901+(K2901/20)+(L2901/240)</f>
        <v>60</v>
      </c>
      <c r="N2901" s="17" t="s">
        <v>64</v>
      </c>
      <c r="O2901" s="11"/>
      <c r="P2901" s="28" t="n">
        <f aca="false">19377/100</f>
        <v>193.77</v>
      </c>
      <c r="Q2901" s="28" t="n">
        <v>11626</v>
      </c>
      <c r="R2901" s="28"/>
      <c r="S2901" s="28" t="n">
        <f aca="false">R2901*$M2901</f>
        <v>0</v>
      </c>
      <c r="T2901" s="28"/>
      <c r="U2901" s="28" t="n">
        <f aca="false">T2901*$M2901</f>
        <v>0</v>
      </c>
      <c r="V2901" s="28"/>
      <c r="W2901" s="28" t="n">
        <f aca="false">V2901*$M2901</f>
        <v>0</v>
      </c>
      <c r="X2901" s="28"/>
      <c r="Y2901" s="28" t="n">
        <f aca="false">X2901*$M2901</f>
        <v>0</v>
      </c>
      <c r="Z2901" s="28"/>
      <c r="AA2901" s="28" t="n">
        <f aca="false">Z2901*$M2901</f>
        <v>0</v>
      </c>
      <c r="AB2901" s="28"/>
      <c r="AC2901" s="28" t="n">
        <f aca="false">AB2901*$M2901</f>
        <v>0</v>
      </c>
      <c r="AD2901" s="28"/>
      <c r="AE2901" s="28" t="n">
        <f aca="false">AD2901*$M2901</f>
        <v>0</v>
      </c>
      <c r="AF2901" s="28"/>
      <c r="AG2901" s="28" t="n">
        <f aca="false">AF2901*$M2901</f>
        <v>0</v>
      </c>
      <c r="AH2901" s="28"/>
      <c r="AI2901" s="28" t="n">
        <f aca="false">AH2901*$M2901</f>
        <v>0</v>
      </c>
      <c r="AJ2901" s="28"/>
      <c r="AK2901" s="28" t="n">
        <f aca="false">AJ2901*$M2901</f>
        <v>0</v>
      </c>
      <c r="AL2901" s="28"/>
      <c r="AM2901" s="28" t="n">
        <f aca="false">AL2901*$M2901</f>
        <v>0</v>
      </c>
      <c r="AN2901" s="28"/>
      <c r="AO2901" s="28" t="n">
        <f aca="false">AN2901*$M2901</f>
        <v>0</v>
      </c>
      <c r="AP2901" s="28"/>
      <c r="AQ2901" s="28" t="n">
        <f aca="false">AP2901*$M2901</f>
        <v>0</v>
      </c>
      <c r="AR2901" s="28"/>
      <c r="AS2901" s="28" t="n">
        <f aca="false">AR2901*$M2901</f>
        <v>0</v>
      </c>
      <c r="AT2901" s="28"/>
      <c r="AU2901" s="28" t="n">
        <f aca="false">AT2901*$M2901</f>
        <v>0</v>
      </c>
      <c r="AV2901" s="28"/>
      <c r="AW2901" s="28" t="n">
        <f aca="false">AV2901*$M2901</f>
        <v>0</v>
      </c>
      <c r="AX2901" s="28"/>
      <c r="AY2901" s="28" t="n">
        <f aca="false">AX2901*$M2901</f>
        <v>0</v>
      </c>
      <c r="AZ2901" s="30" t="n">
        <f aca="false">19377/100</f>
        <v>193.77</v>
      </c>
      <c r="BA2901" s="11" t="n">
        <v>11626</v>
      </c>
      <c r="BB2901" s="31" t="n">
        <f aca="false">SUM(Q2901,S2901,U2901,W2901,Y2901,AA2901,AC2901,AE2901,AG2901,AI2901,AK2901,AM2901,AO2901,AQ2901,AS2901,AU2901,AW2901,AY2901)</f>
        <v>11626</v>
      </c>
      <c r="BC2901" s="28" t="n">
        <f aca="false">BA2901-BB2901</f>
        <v>0</v>
      </c>
      <c r="BD2901" s="32" t="n">
        <f aca="false">SUM(P2901,R2901,T2901,V2901,X2901,Z2901,AB2901,AD2901,AF2901,AH2901,AJ2901,AL2901,AN2901,AP2901,AR2901,AT2901,AV2901,AX2901)</f>
        <v>193.77</v>
      </c>
      <c r="BE2901" s="33" t="n">
        <f aca="false">AZ2901-BD2901</f>
        <v>0</v>
      </c>
      <c r="BF2901" s="34" t="n">
        <f aca="false">BD2901*M2901</f>
        <v>11626.2</v>
      </c>
      <c r="BG2901" s="35" t="n">
        <f aca="false">BA2901-BF2901</f>
        <v>-0.200000000000728</v>
      </c>
      <c r="BH2901" s="19" t="str">
        <f aca="false">IF(BG2901=0,"",IF(BG2901&lt;&gt;BA2901,"erreur de calcul",IF(BD2901&lt;&gt;0,"pas de prix",IF(M2901&lt;&gt; 0,"pas de quantité","pas de prix, ni de quantité"))))</f>
        <v>erreur de calcul</v>
      </c>
      <c r="BI2901" s="19"/>
    </row>
    <row r="2902" customFormat="false" ht="15" hidden="false" customHeight="false" outlineLevel="0" collapsed="false">
      <c r="A2902" s="0" t="n">
        <v>15</v>
      </c>
      <c r="B2902" s="8" t="s">
        <v>24</v>
      </c>
      <c r="C2902" s="9" t="s">
        <v>25</v>
      </c>
      <c r="D2902" s="9" t="s">
        <v>26</v>
      </c>
      <c r="E2902" s="10" t="n">
        <v>1789</v>
      </c>
      <c r="F2902" s="9" t="s">
        <v>27</v>
      </c>
      <c r="G2902" s="9" t="s">
        <v>27</v>
      </c>
      <c r="H2902" s="11" t="n">
        <v>21</v>
      </c>
      <c r="I2902" s="11" t="s">
        <v>168</v>
      </c>
      <c r="J2902" s="14" t="n">
        <v>345</v>
      </c>
      <c r="K2902" s="14"/>
      <c r="L2902" s="16"/>
      <c r="M2902" s="27" t="n">
        <f aca="false">J2902+(K2902/20)+(L2902/240)</f>
        <v>345</v>
      </c>
      <c r="N2902" s="17" t="s">
        <v>64</v>
      </c>
      <c r="O2902" s="11"/>
      <c r="P2902" s="28" t="n">
        <f aca="false">617/100</f>
        <v>6.17</v>
      </c>
      <c r="Q2902" s="28" t="n">
        <v>2129</v>
      </c>
      <c r="R2902" s="28"/>
      <c r="S2902" s="28" t="n">
        <f aca="false">R2902*$M2902</f>
        <v>0</v>
      </c>
      <c r="T2902" s="28"/>
      <c r="U2902" s="28" t="n">
        <f aca="false">T2902*$M2902</f>
        <v>0</v>
      </c>
      <c r="V2902" s="28"/>
      <c r="W2902" s="28" t="n">
        <f aca="false">V2902*$M2902</f>
        <v>0</v>
      </c>
      <c r="X2902" s="28"/>
      <c r="Y2902" s="28" t="n">
        <f aca="false">X2902*$M2902</f>
        <v>0</v>
      </c>
      <c r="Z2902" s="28"/>
      <c r="AA2902" s="28" t="n">
        <f aca="false">Z2902*$M2902</f>
        <v>0</v>
      </c>
      <c r="AB2902" s="28" t="n">
        <f aca="false">1270/100</f>
        <v>12.7</v>
      </c>
      <c r="AC2902" s="28" t="n">
        <v>4381</v>
      </c>
      <c r="AD2902" s="28"/>
      <c r="AE2902" s="28" t="n">
        <f aca="false">AD2902*$M2902</f>
        <v>0</v>
      </c>
      <c r="AF2902" s="28"/>
      <c r="AG2902" s="28" t="n">
        <f aca="false">AF2902*$M2902</f>
        <v>0</v>
      </c>
      <c r="AH2902" s="28"/>
      <c r="AI2902" s="28" t="n">
        <f aca="false">AH2902*$M2902</f>
        <v>0</v>
      </c>
      <c r="AJ2902" s="28"/>
      <c r="AK2902" s="28" t="n">
        <f aca="false">AJ2902*$M2902</f>
        <v>0</v>
      </c>
      <c r="AL2902" s="28"/>
      <c r="AM2902" s="28" t="n">
        <f aca="false">AL2902*$M2902</f>
        <v>0</v>
      </c>
      <c r="AN2902" s="28"/>
      <c r="AO2902" s="28" t="n">
        <f aca="false">AN2902*$M2902</f>
        <v>0</v>
      </c>
      <c r="AP2902" s="28"/>
      <c r="AQ2902" s="28" t="n">
        <f aca="false">AP2902*$M2902</f>
        <v>0</v>
      </c>
      <c r="AR2902" s="28"/>
      <c r="AS2902" s="28" t="n">
        <f aca="false">AR2902*$M2902</f>
        <v>0</v>
      </c>
      <c r="AT2902" s="28"/>
      <c r="AU2902" s="28" t="n">
        <f aca="false">AT2902*$M2902</f>
        <v>0</v>
      </c>
      <c r="AV2902" s="28"/>
      <c r="AW2902" s="28" t="n">
        <f aca="false">AV2902*$M2902</f>
        <v>0</v>
      </c>
      <c r="AX2902" s="28"/>
      <c r="AY2902" s="28" t="n">
        <f aca="false">AX2902*$M2902</f>
        <v>0</v>
      </c>
      <c r="AZ2902" s="30" t="n">
        <f aca="false">1887/100</f>
        <v>18.87</v>
      </c>
      <c r="BA2902" s="11" t="n">
        <v>6510</v>
      </c>
      <c r="BB2902" s="31" t="n">
        <f aca="false">SUM(Q2902,S2902,U2902,W2902,Y2902,AA2902,AC2902,AE2902,AG2902,AI2902,AK2902,AM2902,AO2902,AQ2902,AS2902,AU2902,AW2902,AY2902)</f>
        <v>6510</v>
      </c>
      <c r="BC2902" s="28" t="n">
        <f aca="false">BA2902-BB2902</f>
        <v>0</v>
      </c>
      <c r="BD2902" s="32" t="n">
        <f aca="false">SUM(P2902,R2902,T2902,V2902,X2902,Z2902,AB2902,AD2902,AF2902,AH2902,AJ2902,AL2902,AN2902,AP2902,AR2902,AT2902,AV2902,AX2902)</f>
        <v>18.87</v>
      </c>
      <c r="BE2902" s="33" t="n">
        <f aca="false">AZ2902-BD2902</f>
        <v>0</v>
      </c>
      <c r="BF2902" s="34" t="n">
        <f aca="false">BD2902*M2902</f>
        <v>6510.15</v>
      </c>
      <c r="BG2902" s="35" t="n">
        <f aca="false">BA2902-BF2902</f>
        <v>-0.149999999998727</v>
      </c>
      <c r="BH2902" s="19" t="str">
        <f aca="false">IF(BG2902=0,"",IF(BG2902&lt;&gt;BA2902,"erreur de calcul",IF(BD2902&lt;&gt;0,"pas de prix",IF(M2902&lt;&gt; 0,"pas de quantité","pas de prix, ni de quantité"))))</f>
        <v>erreur de calcul</v>
      </c>
      <c r="BI2902" s="19"/>
    </row>
    <row r="2903" customFormat="false" ht="15" hidden="false" customHeight="false" outlineLevel="0" collapsed="false">
      <c r="A2903" s="0" t="n">
        <v>16</v>
      </c>
      <c r="B2903" s="8" t="s">
        <v>24</v>
      </c>
      <c r="C2903" s="9" t="s">
        <v>25</v>
      </c>
      <c r="D2903" s="9" t="s">
        <v>26</v>
      </c>
      <c r="E2903" s="10" t="n">
        <v>1789</v>
      </c>
      <c r="F2903" s="9" t="s">
        <v>27</v>
      </c>
      <c r="G2903" s="9" t="s">
        <v>27</v>
      </c>
      <c r="H2903" s="11" t="n">
        <v>21</v>
      </c>
      <c r="I2903" s="11" t="s">
        <v>169</v>
      </c>
      <c r="J2903" s="14" t="n">
        <v>6</v>
      </c>
      <c r="K2903" s="14"/>
      <c r="L2903" s="16"/>
      <c r="M2903" s="27" t="n">
        <f aca="false">J2903+(K2903/20)+(L2903/240)</f>
        <v>6</v>
      </c>
      <c r="N2903" s="17" t="s">
        <v>64</v>
      </c>
      <c r="O2903" s="11"/>
      <c r="P2903" s="28"/>
      <c r="Q2903" s="28" t="n">
        <f aca="false">P2903*$M2903</f>
        <v>0</v>
      </c>
      <c r="R2903" s="28"/>
      <c r="S2903" s="28" t="n">
        <f aca="false">R2903*$M2903</f>
        <v>0</v>
      </c>
      <c r="T2903" s="28"/>
      <c r="U2903" s="28" t="n">
        <f aca="false">T2903*$M2903</f>
        <v>0</v>
      </c>
      <c r="V2903" s="28" t="n">
        <f aca="false">39752/100</f>
        <v>397.52</v>
      </c>
      <c r="W2903" s="28" t="n">
        <v>2385</v>
      </c>
      <c r="X2903" s="28"/>
      <c r="Y2903" s="28" t="n">
        <f aca="false">X2903*$M2903</f>
        <v>0</v>
      </c>
      <c r="Z2903" s="28"/>
      <c r="AA2903" s="28" t="n">
        <f aca="false">Z2903*$M2903</f>
        <v>0</v>
      </c>
      <c r="AB2903" s="28"/>
      <c r="AC2903" s="28" t="n">
        <f aca="false">AB2903*$M2903</f>
        <v>0</v>
      </c>
      <c r="AD2903" s="28"/>
      <c r="AE2903" s="28" t="n">
        <f aca="false">AD2903*$M2903</f>
        <v>0</v>
      </c>
      <c r="AF2903" s="28"/>
      <c r="AG2903" s="28" t="n">
        <f aca="false">AF2903*$M2903</f>
        <v>0</v>
      </c>
      <c r="AH2903" s="28"/>
      <c r="AI2903" s="28" t="n">
        <f aca="false">AH2903*$M2903</f>
        <v>0</v>
      </c>
      <c r="AJ2903" s="28"/>
      <c r="AK2903" s="28" t="n">
        <f aca="false">AJ2903*$M2903</f>
        <v>0</v>
      </c>
      <c r="AL2903" s="28"/>
      <c r="AM2903" s="28" t="n">
        <f aca="false">AL2903*$M2903</f>
        <v>0</v>
      </c>
      <c r="AN2903" s="28"/>
      <c r="AO2903" s="28" t="n">
        <f aca="false">AN2903*$M2903</f>
        <v>0</v>
      </c>
      <c r="AP2903" s="28"/>
      <c r="AQ2903" s="28" t="n">
        <f aca="false">AP2903*$M2903</f>
        <v>0</v>
      </c>
      <c r="AR2903" s="28"/>
      <c r="AS2903" s="28" t="n">
        <f aca="false">AR2903*$M2903</f>
        <v>0</v>
      </c>
      <c r="AT2903" s="28"/>
      <c r="AU2903" s="28" t="n">
        <f aca="false">AT2903*$M2903</f>
        <v>0</v>
      </c>
      <c r="AV2903" s="28"/>
      <c r="AW2903" s="28" t="n">
        <f aca="false">AV2903*$M2903</f>
        <v>0</v>
      </c>
      <c r="AX2903" s="28"/>
      <c r="AY2903" s="28" t="n">
        <f aca="false">AX2903*$M2903</f>
        <v>0</v>
      </c>
      <c r="AZ2903" s="30" t="n">
        <f aca="false">39752/100</f>
        <v>397.52</v>
      </c>
      <c r="BA2903" s="11" t="n">
        <v>2385</v>
      </c>
      <c r="BB2903" s="31" t="n">
        <f aca="false">SUM(Q2903,S2903,U2903,W2903,Y2903,AA2903,AC2903,AE2903,AG2903,AI2903,AK2903,AM2903,AO2903,AQ2903,AS2903,AU2903,AW2903,AY2903)</f>
        <v>2385</v>
      </c>
      <c r="BC2903" s="28" t="n">
        <f aca="false">BA2903-BB2903</f>
        <v>0</v>
      </c>
      <c r="BD2903" s="32" t="n">
        <f aca="false">SUM(P2903,R2903,T2903,V2903,X2903,Z2903,AB2903,AD2903,AF2903,AH2903,AJ2903,AL2903,AN2903,AP2903,AR2903,AT2903,AV2903,AX2903)</f>
        <v>397.52</v>
      </c>
      <c r="BE2903" s="33" t="n">
        <f aca="false">AZ2903-BD2903</f>
        <v>0</v>
      </c>
      <c r="BF2903" s="34" t="n">
        <f aca="false">BD2903*M2903</f>
        <v>2385.12</v>
      </c>
      <c r="BG2903" s="35" t="n">
        <f aca="false">BA2903-BF2903</f>
        <v>-0.119999999999891</v>
      </c>
      <c r="BH2903" s="19" t="str">
        <f aca="false">IF(BG2903=0,"",IF(BG2903&lt;&gt;BA2903,"erreur de calcul",IF(BD2903&lt;&gt;0,"pas de prix",IF(M2903&lt;&gt; 0,"pas de quantité","pas de prix, ni de quantité"))))</f>
        <v>erreur de calcul</v>
      </c>
      <c r="BI2903" s="19"/>
    </row>
    <row r="2904" customFormat="false" ht="15" hidden="false" customHeight="false" outlineLevel="0" collapsed="false">
      <c r="A2904" s="0" t="n">
        <v>17</v>
      </c>
      <c r="B2904" s="8" t="s">
        <v>24</v>
      </c>
      <c r="C2904" s="9" t="s">
        <v>25</v>
      </c>
      <c r="D2904" s="9" t="s">
        <v>26</v>
      </c>
      <c r="E2904" s="10" t="n">
        <v>1789</v>
      </c>
      <c r="F2904" s="9" t="s">
        <v>27</v>
      </c>
      <c r="G2904" s="9" t="s">
        <v>27</v>
      </c>
      <c r="H2904" s="11" t="n">
        <v>21</v>
      </c>
      <c r="I2904" s="11" t="s">
        <v>170</v>
      </c>
      <c r="J2904" s="14" t="n">
        <v>90</v>
      </c>
      <c r="K2904" s="14"/>
      <c r="L2904" s="16"/>
      <c r="M2904" s="27" t="n">
        <f aca="false">J2904+(K2904/20)+(L2904/240)</f>
        <v>90</v>
      </c>
      <c r="N2904" s="17" t="s">
        <v>64</v>
      </c>
      <c r="O2904" s="11"/>
      <c r="P2904" s="28"/>
      <c r="Q2904" s="28" t="n">
        <f aca="false">P2904*$M2904</f>
        <v>0</v>
      </c>
      <c r="R2904" s="28"/>
      <c r="S2904" s="28" t="n">
        <f aca="false">R2904*$M2904</f>
        <v>0</v>
      </c>
      <c r="T2904" s="28"/>
      <c r="U2904" s="28" t="n">
        <f aca="false">T2904*$M2904</f>
        <v>0</v>
      </c>
      <c r="V2904" s="28"/>
      <c r="W2904" s="28" t="n">
        <f aca="false">V2904*$M2904</f>
        <v>0</v>
      </c>
      <c r="X2904" s="28" t="n">
        <f aca="false">3136/100</f>
        <v>31.36</v>
      </c>
      <c r="Y2904" s="28" t="n">
        <v>2822</v>
      </c>
      <c r="Z2904" s="28"/>
      <c r="AA2904" s="28" t="n">
        <f aca="false">Z2904*$M2904</f>
        <v>0</v>
      </c>
      <c r="AB2904" s="28"/>
      <c r="AC2904" s="28" t="n">
        <f aca="false">AB2904*$M2904</f>
        <v>0</v>
      </c>
      <c r="AD2904" s="28"/>
      <c r="AE2904" s="28" t="n">
        <f aca="false">AD2904*$M2904</f>
        <v>0</v>
      </c>
      <c r="AF2904" s="28"/>
      <c r="AG2904" s="28" t="n">
        <f aca="false">AF2904*$M2904</f>
        <v>0</v>
      </c>
      <c r="AH2904" s="28"/>
      <c r="AI2904" s="28" t="n">
        <f aca="false">AH2904*$M2904</f>
        <v>0</v>
      </c>
      <c r="AJ2904" s="28"/>
      <c r="AK2904" s="28" t="n">
        <f aca="false">AJ2904*$M2904</f>
        <v>0</v>
      </c>
      <c r="AL2904" s="28"/>
      <c r="AM2904" s="28" t="n">
        <f aca="false">AL2904*$M2904</f>
        <v>0</v>
      </c>
      <c r="AN2904" s="28"/>
      <c r="AO2904" s="28" t="n">
        <f aca="false">AN2904*$M2904</f>
        <v>0</v>
      </c>
      <c r="AP2904" s="28"/>
      <c r="AQ2904" s="28" t="n">
        <f aca="false">AP2904*$M2904</f>
        <v>0</v>
      </c>
      <c r="AR2904" s="28"/>
      <c r="AS2904" s="28" t="n">
        <f aca="false">AR2904*$M2904</f>
        <v>0</v>
      </c>
      <c r="AT2904" s="28"/>
      <c r="AU2904" s="28" t="n">
        <f aca="false">AT2904*$M2904</f>
        <v>0</v>
      </c>
      <c r="AV2904" s="28"/>
      <c r="AW2904" s="28" t="n">
        <f aca="false">AV2904*$M2904</f>
        <v>0</v>
      </c>
      <c r="AX2904" s="28"/>
      <c r="AY2904" s="28" t="n">
        <f aca="false">AX2904*$M2904</f>
        <v>0</v>
      </c>
      <c r="AZ2904" s="30" t="n">
        <f aca="false">3136/100</f>
        <v>31.36</v>
      </c>
      <c r="BA2904" s="11" t="n">
        <v>2822</v>
      </c>
      <c r="BB2904" s="31" t="n">
        <f aca="false">SUM(Q2904,S2904,U2904,W2904,Y2904,AA2904,AC2904,AE2904,AG2904,AI2904,AK2904,AM2904,AO2904,AQ2904,AS2904,AU2904,AW2904,AY2904)</f>
        <v>2822</v>
      </c>
      <c r="BC2904" s="28" t="n">
        <f aca="false">BA2904-BB2904</f>
        <v>0</v>
      </c>
      <c r="BD2904" s="32" t="n">
        <f aca="false">SUM(P2904,R2904,T2904,V2904,X2904,Z2904,AB2904,AD2904,AF2904,AH2904,AJ2904,AL2904,AN2904,AP2904,AR2904,AT2904,AV2904,AX2904)</f>
        <v>31.36</v>
      </c>
      <c r="BE2904" s="33" t="n">
        <f aca="false">AZ2904-BD2904</f>
        <v>0</v>
      </c>
      <c r="BF2904" s="34" t="n">
        <f aca="false">BD2904*M2904</f>
        <v>2822.4</v>
      </c>
      <c r="BG2904" s="35" t="n">
        <f aca="false">BA2904-BF2904</f>
        <v>-0.400000000000091</v>
      </c>
      <c r="BH2904" s="19" t="str">
        <f aca="false">IF(BG2904=0,"",IF(BG2904&lt;&gt;BA2904,"erreur de calcul",IF(BD2904&lt;&gt;0,"pas de prix",IF(M2904&lt;&gt; 0,"pas de quantité","pas de prix, ni de quantité"))))</f>
        <v>erreur de calcul</v>
      </c>
      <c r="BI2904" s="19"/>
    </row>
    <row r="2905" customFormat="false" ht="15" hidden="false" customHeight="false" outlineLevel="0" collapsed="false">
      <c r="A2905" s="0" t="n">
        <v>18</v>
      </c>
      <c r="B2905" s="8" t="s">
        <v>24</v>
      </c>
      <c r="C2905" s="9" t="s">
        <v>25</v>
      </c>
      <c r="D2905" s="9" t="s">
        <v>26</v>
      </c>
      <c r="E2905" s="10" t="n">
        <v>1789</v>
      </c>
      <c r="F2905" s="9" t="s">
        <v>27</v>
      </c>
      <c r="G2905" s="9" t="s">
        <v>27</v>
      </c>
      <c r="H2905" s="11" t="n">
        <v>21</v>
      </c>
      <c r="I2905" s="11" t="s">
        <v>171</v>
      </c>
      <c r="J2905" s="14" t="n">
        <v>90</v>
      </c>
      <c r="K2905" s="14"/>
      <c r="L2905" s="16"/>
      <c r="M2905" s="27" t="n">
        <f aca="false">J2905+(K2905/20)+(L2905/240)</f>
        <v>90</v>
      </c>
      <c r="N2905" s="17" t="s">
        <v>64</v>
      </c>
      <c r="O2905" s="11"/>
      <c r="P2905" s="28"/>
      <c r="Q2905" s="28" t="n">
        <f aca="false">P2905*$M2905</f>
        <v>0</v>
      </c>
      <c r="R2905" s="28"/>
      <c r="S2905" s="28" t="n">
        <f aca="false">R2905*$M2905</f>
        <v>0</v>
      </c>
      <c r="T2905" s="28"/>
      <c r="U2905" s="28" t="n">
        <f aca="false">T2905*$M2905</f>
        <v>0</v>
      </c>
      <c r="V2905" s="28"/>
      <c r="W2905" s="28" t="n">
        <f aca="false">V2905*$M2905</f>
        <v>0</v>
      </c>
      <c r="X2905" s="28"/>
      <c r="Y2905" s="28" t="n">
        <f aca="false">X2905*$M2905</f>
        <v>0</v>
      </c>
      <c r="Z2905" s="28"/>
      <c r="AA2905" s="28" t="n">
        <f aca="false">Z2905*$M2905</f>
        <v>0</v>
      </c>
      <c r="AB2905" s="28"/>
      <c r="AC2905" s="28" t="n">
        <f aca="false">AB2905*$M2905</f>
        <v>0</v>
      </c>
      <c r="AD2905" s="28"/>
      <c r="AE2905" s="28" t="n">
        <f aca="false">AD2905*$M2905</f>
        <v>0</v>
      </c>
      <c r="AF2905" s="28"/>
      <c r="AG2905" s="28" t="n">
        <f aca="false">AF2905*$M2905</f>
        <v>0</v>
      </c>
      <c r="AH2905" s="28" t="n">
        <f aca="false">5337/100</f>
        <v>53.37</v>
      </c>
      <c r="AI2905" s="28" t="n">
        <v>4803</v>
      </c>
      <c r="AJ2905" s="28"/>
      <c r="AK2905" s="28" t="n">
        <f aca="false">AJ2905*$M2905</f>
        <v>0</v>
      </c>
      <c r="AL2905" s="28"/>
      <c r="AM2905" s="28" t="n">
        <f aca="false">AL2905*$M2905</f>
        <v>0</v>
      </c>
      <c r="AN2905" s="28"/>
      <c r="AO2905" s="28" t="n">
        <f aca="false">AN2905*$M2905</f>
        <v>0</v>
      </c>
      <c r="AP2905" s="28"/>
      <c r="AQ2905" s="28" t="n">
        <f aca="false">AP2905*$M2905</f>
        <v>0</v>
      </c>
      <c r="AR2905" s="28"/>
      <c r="AS2905" s="28" t="n">
        <f aca="false">AR2905*$M2905</f>
        <v>0</v>
      </c>
      <c r="AT2905" s="28"/>
      <c r="AU2905" s="28" t="n">
        <f aca="false">AT2905*$M2905</f>
        <v>0</v>
      </c>
      <c r="AV2905" s="28"/>
      <c r="AW2905" s="28" t="n">
        <f aca="false">AV2905*$M2905</f>
        <v>0</v>
      </c>
      <c r="AX2905" s="28"/>
      <c r="AY2905" s="28" t="n">
        <f aca="false">AX2905*$M2905</f>
        <v>0</v>
      </c>
      <c r="AZ2905" s="30" t="n">
        <f aca="false">5337/100</f>
        <v>53.37</v>
      </c>
      <c r="BA2905" s="11" t="n">
        <v>4803</v>
      </c>
      <c r="BB2905" s="31" t="n">
        <f aca="false">SUM(Q2905,S2905,U2905,W2905,Y2905,AA2905,AC2905,AE2905,AG2905,AI2905,AK2905,AM2905,AO2905,AQ2905,AS2905,AU2905,AW2905,AY2905)</f>
        <v>4803</v>
      </c>
      <c r="BC2905" s="28" t="n">
        <f aca="false">BA2905-BB2905</f>
        <v>0</v>
      </c>
      <c r="BD2905" s="32" t="n">
        <f aca="false">SUM(P2905,R2905,T2905,V2905,X2905,Z2905,AB2905,AD2905,AF2905,AH2905,AJ2905,AL2905,AN2905,AP2905,AR2905,AT2905,AV2905,AX2905)</f>
        <v>53.37</v>
      </c>
      <c r="BE2905" s="33" t="n">
        <f aca="false">AZ2905-BD2905</f>
        <v>0</v>
      </c>
      <c r="BF2905" s="34" t="n">
        <f aca="false">BD2905*M2905</f>
        <v>4803.3</v>
      </c>
      <c r="BG2905" s="35" t="n">
        <f aca="false">BA2905-BF2905</f>
        <v>-0.300000000000182</v>
      </c>
      <c r="BH2905" s="19" t="str">
        <f aca="false">IF(BG2905=0,"",IF(BG2905&lt;&gt;BA2905,"erreur de calcul",IF(BD2905&lt;&gt;0,"pas de prix",IF(M2905&lt;&gt; 0,"pas de quantité","pas de prix, ni de quantité"))))</f>
        <v>erreur de calcul</v>
      </c>
      <c r="BI2905" s="19"/>
    </row>
    <row r="2906" customFormat="false" ht="15" hidden="false" customHeight="false" outlineLevel="0" collapsed="false">
      <c r="A2906" s="0" t="n">
        <v>19</v>
      </c>
      <c r="B2906" s="8" t="s">
        <v>24</v>
      </c>
      <c r="C2906" s="9" t="s">
        <v>25</v>
      </c>
      <c r="D2906" s="9" t="s">
        <v>26</v>
      </c>
      <c r="E2906" s="10" t="n">
        <v>1789</v>
      </c>
      <c r="F2906" s="9" t="s">
        <v>27</v>
      </c>
      <c r="G2906" s="9" t="s">
        <v>27</v>
      </c>
      <c r="H2906" s="11" t="n">
        <v>21</v>
      </c>
      <c r="I2906" s="11" t="s">
        <v>172</v>
      </c>
      <c r="J2906" s="14" t="n">
        <v>15</v>
      </c>
      <c r="K2906" s="14"/>
      <c r="L2906" s="16"/>
      <c r="M2906" s="27" t="n">
        <f aca="false">J2906+(K2906/20)+(L2906/240)</f>
        <v>15</v>
      </c>
      <c r="N2906" s="17" t="s">
        <v>64</v>
      </c>
      <c r="O2906" s="11" t="s">
        <v>77</v>
      </c>
      <c r="P2906" s="28"/>
      <c r="Q2906" s="28" t="n">
        <f aca="false">P2906*$M2906</f>
        <v>0</v>
      </c>
      <c r="R2906" s="28"/>
      <c r="S2906" s="28" t="n">
        <f aca="false">R2906*$M2906</f>
        <v>0</v>
      </c>
      <c r="T2906" s="28"/>
      <c r="U2906" s="28" t="n">
        <f aca="false">T2906*$M2906</f>
        <v>0</v>
      </c>
      <c r="V2906" s="28"/>
      <c r="W2906" s="28" t="n">
        <f aca="false">V2906*$M2906</f>
        <v>0</v>
      </c>
      <c r="X2906" s="28"/>
      <c r="Y2906" s="28" t="n">
        <f aca="false">X2906*$M2906</f>
        <v>0</v>
      </c>
      <c r="Z2906" s="28"/>
      <c r="AA2906" s="28" t="n">
        <f aca="false">Z2906*$M2906</f>
        <v>0</v>
      </c>
      <c r="AB2906" s="28"/>
      <c r="AC2906" s="28" t="n">
        <f aca="false">AB2906*$M2906</f>
        <v>0</v>
      </c>
      <c r="AD2906" s="28"/>
      <c r="AE2906" s="28" t="n">
        <f aca="false">AD2906*$M2906</f>
        <v>0</v>
      </c>
      <c r="AF2906" s="28"/>
      <c r="AG2906" s="28" t="n">
        <f aca="false">AF2906*$M2906</f>
        <v>0</v>
      </c>
      <c r="AH2906" s="28"/>
      <c r="AI2906" s="28" t="n">
        <f aca="false">AH2906*$M2906</f>
        <v>0</v>
      </c>
      <c r="AJ2906" s="28"/>
      <c r="AK2906" s="28" t="n">
        <f aca="false">AJ2906*$M2906</f>
        <v>0</v>
      </c>
      <c r="AL2906" s="28"/>
      <c r="AM2906" s="28" t="n">
        <f aca="false">AL2906*$M2906</f>
        <v>0</v>
      </c>
      <c r="AN2906" s="28"/>
      <c r="AO2906" s="28" t="n">
        <f aca="false">AN2906*$M2906</f>
        <v>0</v>
      </c>
      <c r="AP2906" s="28"/>
      <c r="AQ2906" s="28" t="n">
        <f aca="false">AP2906*$M2906</f>
        <v>0</v>
      </c>
      <c r="AR2906" s="28"/>
      <c r="AS2906" s="28" t="n">
        <f aca="false">AR2906*$M2906</f>
        <v>0</v>
      </c>
      <c r="AT2906" s="28"/>
      <c r="AU2906" s="28" t="n">
        <f aca="false">AT2906*$M2906</f>
        <v>0</v>
      </c>
      <c r="AV2906" s="28"/>
      <c r="AW2906" s="28" t="n">
        <f aca="false">AV2906*$M2906</f>
        <v>0</v>
      </c>
      <c r="AX2906" s="28"/>
      <c r="AY2906" s="28" t="n">
        <f aca="false">AX2906*$M2906</f>
        <v>0</v>
      </c>
      <c r="AZ2906" s="30"/>
      <c r="BA2906" s="11"/>
      <c r="BB2906" s="31" t="n">
        <f aca="false">SUM(Q2906,S2906,U2906,W2906,Y2906,AA2906,AC2906,AE2906,AG2906,AI2906,AK2906,AM2906,AO2906,AQ2906,AS2906,AU2906,AW2906,AY2906)</f>
        <v>0</v>
      </c>
      <c r="BC2906" s="28" t="n">
        <f aca="false">BA2906-BB2906</f>
        <v>0</v>
      </c>
      <c r="BD2906" s="32" t="n">
        <f aca="false">SUM(P2906,R2906,T2906,V2906,X2906,Z2906,AB2906,AD2906,AF2906,AH2906,AJ2906,AL2906,AN2906,AP2906,AR2906,AT2906,AV2906,AX2906)</f>
        <v>0</v>
      </c>
      <c r="BE2906" s="33" t="n">
        <f aca="false">AZ2906-BD2906</f>
        <v>0</v>
      </c>
      <c r="BF2906" s="34" t="n">
        <f aca="false">BD2906*M2906</f>
        <v>0</v>
      </c>
      <c r="BG2906" s="35" t="n">
        <f aca="false">BA2906-BF2906</f>
        <v>0</v>
      </c>
      <c r="BH2906" s="19" t="str">
        <f aca="false">IF(BG2906=0,"",IF(BG2906&lt;&gt;BA2906,"erreur de calcul",IF(BD2906&lt;&gt;0,"pas de prix",IF(M2906&lt;&gt; 0,"pas de quantité","pas de prix, ni de quantité"))))</f>
        <v/>
      </c>
      <c r="BI2906" s="19"/>
    </row>
    <row r="2907" customFormat="false" ht="15" hidden="false" customHeight="false" outlineLevel="0" collapsed="false">
      <c r="A2907" s="0" t="n">
        <v>20</v>
      </c>
      <c r="B2907" s="8" t="s">
        <v>24</v>
      </c>
      <c r="C2907" s="9" t="s">
        <v>25</v>
      </c>
      <c r="D2907" s="9" t="s">
        <v>26</v>
      </c>
      <c r="E2907" s="10" t="n">
        <v>1789</v>
      </c>
      <c r="F2907" s="9" t="s">
        <v>27</v>
      </c>
      <c r="G2907" s="9" t="s">
        <v>27</v>
      </c>
      <c r="H2907" s="11" t="n">
        <v>21</v>
      </c>
      <c r="I2907" s="11" t="s">
        <v>173</v>
      </c>
      <c r="J2907" s="14" t="n">
        <v>36</v>
      </c>
      <c r="K2907" s="14"/>
      <c r="L2907" s="16"/>
      <c r="M2907" s="27" t="n">
        <f aca="false">J2907+(K2907/20)+(L2907/240)</f>
        <v>36</v>
      </c>
      <c r="N2907" s="17" t="s">
        <v>64</v>
      </c>
      <c r="O2907" s="11"/>
      <c r="P2907" s="28"/>
      <c r="Q2907" s="28" t="n">
        <f aca="false">P2907*$M2907</f>
        <v>0</v>
      </c>
      <c r="R2907" s="28"/>
      <c r="S2907" s="28" t="n">
        <f aca="false">R2907*$M2907</f>
        <v>0</v>
      </c>
      <c r="T2907" s="28"/>
      <c r="U2907" s="28" t="n">
        <f aca="false">T2907*$M2907</f>
        <v>0</v>
      </c>
      <c r="V2907" s="28"/>
      <c r="W2907" s="28" t="n">
        <f aca="false">V2907*$M2907</f>
        <v>0</v>
      </c>
      <c r="X2907" s="28"/>
      <c r="Y2907" s="28" t="n">
        <f aca="false">X2907*$M2907</f>
        <v>0</v>
      </c>
      <c r="Z2907" s="28"/>
      <c r="AA2907" s="28" t="n">
        <f aca="false">Z2907*$M2907</f>
        <v>0</v>
      </c>
      <c r="AB2907" s="28" t="n">
        <f aca="false">80722/100</f>
        <v>807.22</v>
      </c>
      <c r="AC2907" s="28" t="n">
        <v>29060</v>
      </c>
      <c r="AD2907" s="28"/>
      <c r="AE2907" s="28" t="n">
        <f aca="false">AD2907*$M2907</f>
        <v>0</v>
      </c>
      <c r="AF2907" s="28"/>
      <c r="AG2907" s="28" t="n">
        <f aca="false">AF2907*$M2907</f>
        <v>0</v>
      </c>
      <c r="AH2907" s="28"/>
      <c r="AI2907" s="28" t="n">
        <f aca="false">AH2907*$M2907</f>
        <v>0</v>
      </c>
      <c r="AJ2907" s="28"/>
      <c r="AK2907" s="28" t="n">
        <f aca="false">AJ2907*$M2907</f>
        <v>0</v>
      </c>
      <c r="AL2907" s="28"/>
      <c r="AM2907" s="28" t="n">
        <f aca="false">AL2907*$M2907</f>
        <v>0</v>
      </c>
      <c r="AN2907" s="28"/>
      <c r="AO2907" s="28" t="n">
        <f aca="false">AN2907*$M2907</f>
        <v>0</v>
      </c>
      <c r="AP2907" s="28"/>
      <c r="AQ2907" s="28" t="n">
        <f aca="false">AP2907*$M2907</f>
        <v>0</v>
      </c>
      <c r="AR2907" s="28"/>
      <c r="AS2907" s="28" t="n">
        <f aca="false">AR2907*$M2907</f>
        <v>0</v>
      </c>
      <c r="AT2907" s="28"/>
      <c r="AU2907" s="28" t="n">
        <f aca="false">AT2907*$M2907</f>
        <v>0</v>
      </c>
      <c r="AV2907" s="28"/>
      <c r="AW2907" s="28" t="n">
        <f aca="false">AV2907*$M2907</f>
        <v>0</v>
      </c>
      <c r="AX2907" s="28"/>
      <c r="AY2907" s="28" t="n">
        <f aca="false">AX2907*$M2907</f>
        <v>0</v>
      </c>
      <c r="AZ2907" s="30" t="n">
        <f aca="false">80722/100</f>
        <v>807.22</v>
      </c>
      <c r="BA2907" s="11" t="n">
        <v>29060</v>
      </c>
      <c r="BB2907" s="31" t="n">
        <f aca="false">SUM(Q2907,S2907,U2907,W2907,Y2907,AA2907,AC2907,AE2907,AG2907,AI2907,AK2907,AM2907,AO2907,AQ2907,AS2907,AU2907,AW2907,AY2907)</f>
        <v>29060</v>
      </c>
      <c r="BC2907" s="28" t="n">
        <f aca="false">BA2907-BB2907</f>
        <v>0</v>
      </c>
      <c r="BD2907" s="32" t="n">
        <f aca="false">SUM(P2907,R2907,T2907,V2907,X2907,Z2907,AB2907,AD2907,AF2907,AH2907,AJ2907,AL2907,AN2907,AP2907,AR2907,AT2907,AV2907,AX2907)</f>
        <v>807.22</v>
      </c>
      <c r="BE2907" s="33" t="n">
        <f aca="false">AZ2907-BD2907</f>
        <v>0</v>
      </c>
      <c r="BF2907" s="34" t="n">
        <f aca="false">BD2907*M2907</f>
        <v>29059.92</v>
      </c>
      <c r="BG2907" s="35" t="n">
        <f aca="false">BA2907-BF2907</f>
        <v>0.0799999999981083</v>
      </c>
      <c r="BH2907" s="19" t="str">
        <f aca="false">IF(BG2907=0,"",IF(BG2907&lt;&gt;BA2907,"erreur de calcul",IF(BD2907&lt;&gt;0,"pas de prix",IF(M2907&lt;&gt; 0,"pas de quantité","pas de prix, ni de quantité"))))</f>
        <v>erreur de calcul</v>
      </c>
      <c r="BI2907" s="19"/>
    </row>
    <row r="2908" customFormat="false" ht="15" hidden="false" customHeight="false" outlineLevel="0" collapsed="false">
      <c r="A2908" s="0" t="n">
        <v>21</v>
      </c>
      <c r="B2908" s="8" t="s">
        <v>24</v>
      </c>
      <c r="C2908" s="9" t="s">
        <v>25</v>
      </c>
      <c r="D2908" s="9" t="s">
        <v>26</v>
      </c>
      <c r="E2908" s="10" t="n">
        <v>1789</v>
      </c>
      <c r="F2908" s="9" t="s">
        <v>27</v>
      </c>
      <c r="G2908" s="9" t="s">
        <v>27</v>
      </c>
      <c r="H2908" s="11" t="n">
        <v>21</v>
      </c>
      <c r="I2908" s="11" t="s">
        <v>174</v>
      </c>
      <c r="J2908" s="14" t="n">
        <v>31</v>
      </c>
      <c r="K2908" s="14"/>
      <c r="L2908" s="16"/>
      <c r="M2908" s="27" t="n">
        <f aca="false">J2908+(K2908/20)+(L2908/240)</f>
        <v>31</v>
      </c>
      <c r="N2908" s="17" t="s">
        <v>64</v>
      </c>
      <c r="O2908" s="11"/>
      <c r="P2908" s="28"/>
      <c r="Q2908" s="28" t="n">
        <f aca="false">P2908*$M2908</f>
        <v>0</v>
      </c>
      <c r="R2908" s="28"/>
      <c r="S2908" s="28" t="n">
        <f aca="false">R2908*$M2908</f>
        <v>0</v>
      </c>
      <c r="T2908" s="28"/>
      <c r="U2908" s="28" t="n">
        <f aca="false">T2908*$M2908</f>
        <v>0</v>
      </c>
      <c r="V2908" s="28"/>
      <c r="W2908" s="28" t="n">
        <f aca="false">V2908*$M2908</f>
        <v>0</v>
      </c>
      <c r="X2908" s="28"/>
      <c r="Y2908" s="28" t="n">
        <f aca="false">X2908*$M2908</f>
        <v>0</v>
      </c>
      <c r="Z2908" s="28"/>
      <c r="AA2908" s="28" t="n">
        <f aca="false">Z2908*$M2908</f>
        <v>0</v>
      </c>
      <c r="AB2908" s="28"/>
      <c r="AC2908" s="28" t="n">
        <f aca="false">AB2908*$M2908</f>
        <v>0</v>
      </c>
      <c r="AD2908" s="28"/>
      <c r="AE2908" s="28" t="n">
        <f aca="false">AD2908*$M2908</f>
        <v>0</v>
      </c>
      <c r="AF2908" s="28" t="n">
        <f aca="false">4599/100</f>
        <v>45.99</v>
      </c>
      <c r="AG2908" s="28" t="n">
        <v>1426</v>
      </c>
      <c r="AH2908" s="28" t="n">
        <f aca="false">12691/100</f>
        <v>126.91</v>
      </c>
      <c r="AI2908" s="28" t="n">
        <v>3934</v>
      </c>
      <c r="AJ2908" s="28"/>
      <c r="AK2908" s="28" t="n">
        <f aca="false">AJ2908*$M2908</f>
        <v>0</v>
      </c>
      <c r="AL2908" s="28"/>
      <c r="AM2908" s="28" t="n">
        <f aca="false">AL2908*$M2908</f>
        <v>0</v>
      </c>
      <c r="AN2908" s="28"/>
      <c r="AO2908" s="28" t="n">
        <f aca="false">AN2908*$M2908</f>
        <v>0</v>
      </c>
      <c r="AP2908" s="28"/>
      <c r="AQ2908" s="28" t="n">
        <f aca="false">AP2908*$M2908</f>
        <v>0</v>
      </c>
      <c r="AR2908" s="28"/>
      <c r="AS2908" s="28" t="n">
        <f aca="false">AR2908*$M2908</f>
        <v>0</v>
      </c>
      <c r="AT2908" s="28"/>
      <c r="AU2908" s="28" t="n">
        <f aca="false">AT2908*$M2908</f>
        <v>0</v>
      </c>
      <c r="AV2908" s="28"/>
      <c r="AW2908" s="28" t="n">
        <f aca="false">AV2908*$M2908</f>
        <v>0</v>
      </c>
      <c r="AX2908" s="28"/>
      <c r="AY2908" s="28" t="n">
        <f aca="false">AX2908*$M2908</f>
        <v>0</v>
      </c>
      <c r="AZ2908" s="30" t="n">
        <f aca="false">17290/100</f>
        <v>172.9</v>
      </c>
      <c r="BA2908" s="11" t="n">
        <v>5360</v>
      </c>
      <c r="BB2908" s="31" t="n">
        <f aca="false">SUM(Q2908,S2908,U2908,W2908,Y2908,AA2908,AC2908,AE2908,AG2908,AI2908,AK2908,AM2908,AO2908,AQ2908,AS2908,AU2908,AW2908,AY2908)</f>
        <v>5360</v>
      </c>
      <c r="BC2908" s="28" t="n">
        <f aca="false">BA2908-BB2908</f>
        <v>0</v>
      </c>
      <c r="BD2908" s="32" t="n">
        <f aca="false">SUM(P2908,R2908,T2908,V2908,X2908,Z2908,AB2908,AD2908,AF2908,AH2908,AJ2908,AL2908,AN2908,AP2908,AR2908,AT2908,AV2908,AX2908)</f>
        <v>172.9</v>
      </c>
      <c r="BE2908" s="33" t="n">
        <f aca="false">AZ2908-BD2908</f>
        <v>0</v>
      </c>
      <c r="BF2908" s="34" t="n">
        <f aca="false">BD2908*M2908</f>
        <v>5359.9</v>
      </c>
      <c r="BG2908" s="35" t="n">
        <f aca="false">BA2908-BF2908</f>
        <v>0.0999999999994543</v>
      </c>
      <c r="BH2908" s="19" t="str">
        <f aca="false">IF(BG2908=0,"",IF(BG2908&lt;&gt;BA2908,"erreur de calcul",IF(BD2908&lt;&gt;0,"pas de prix",IF(M2908&lt;&gt; 0,"pas de quantité","pas de prix, ni de quantité"))))</f>
        <v>erreur de calcul</v>
      </c>
      <c r="BI2908" s="19"/>
    </row>
    <row r="2909" customFormat="false" ht="15" hidden="false" customHeight="false" outlineLevel="0" collapsed="false">
      <c r="A2909" s="0" t="n">
        <v>22</v>
      </c>
      <c r="B2909" s="8" t="s">
        <v>24</v>
      </c>
      <c r="C2909" s="9" t="s">
        <v>25</v>
      </c>
      <c r="D2909" s="9" t="s">
        <v>26</v>
      </c>
      <c r="E2909" s="10" t="n">
        <v>1789</v>
      </c>
      <c r="F2909" s="9" t="s">
        <v>27</v>
      </c>
      <c r="G2909" s="9" t="s">
        <v>27</v>
      </c>
      <c r="H2909" s="11" t="n">
        <v>21</v>
      </c>
      <c r="I2909" s="11" t="s">
        <v>175</v>
      </c>
      <c r="J2909" s="14" t="n">
        <v>120</v>
      </c>
      <c r="K2909" s="14"/>
      <c r="L2909" s="16"/>
      <c r="M2909" s="27" t="n">
        <f aca="false">J2909+(K2909/20)+(L2909/240)</f>
        <v>120</v>
      </c>
      <c r="N2909" s="17" t="s">
        <v>64</v>
      </c>
      <c r="O2909" s="11"/>
      <c r="P2909" s="28"/>
      <c r="Q2909" s="28" t="n">
        <f aca="false">P2909*$M2909</f>
        <v>0</v>
      </c>
      <c r="R2909" s="28"/>
      <c r="S2909" s="28" t="n">
        <f aca="false">R2909*$M2909</f>
        <v>0</v>
      </c>
      <c r="T2909" s="28"/>
      <c r="U2909" s="28" t="n">
        <f aca="false">T2909*$M2909</f>
        <v>0</v>
      </c>
      <c r="V2909" s="28" t="n">
        <f aca="false">2364/100</f>
        <v>23.64</v>
      </c>
      <c r="W2909" s="28" t="n">
        <v>2837</v>
      </c>
      <c r="X2909" s="28"/>
      <c r="Y2909" s="28" t="n">
        <f aca="false">X2909*$M2909</f>
        <v>0</v>
      </c>
      <c r="Z2909" s="28"/>
      <c r="AA2909" s="28" t="n">
        <f aca="false">Z2909*$M2909</f>
        <v>0</v>
      </c>
      <c r="AB2909" s="28"/>
      <c r="AC2909" s="28" t="n">
        <f aca="false">AB2909*$M2909</f>
        <v>0</v>
      </c>
      <c r="AD2909" s="28"/>
      <c r="AE2909" s="28" t="n">
        <f aca="false">AD2909*$M2909</f>
        <v>0</v>
      </c>
      <c r="AF2909" s="28"/>
      <c r="AG2909" s="28" t="n">
        <f aca="false">AF2909*$M2909</f>
        <v>0</v>
      </c>
      <c r="AH2909" s="28"/>
      <c r="AI2909" s="28" t="n">
        <f aca="false">AH2909*$M2909</f>
        <v>0</v>
      </c>
      <c r="AJ2909" s="28"/>
      <c r="AK2909" s="28" t="n">
        <f aca="false">AJ2909*$M2909</f>
        <v>0</v>
      </c>
      <c r="AL2909" s="28"/>
      <c r="AM2909" s="28" t="n">
        <f aca="false">AL2909*$M2909</f>
        <v>0</v>
      </c>
      <c r="AN2909" s="28"/>
      <c r="AO2909" s="28" t="n">
        <f aca="false">AN2909*$M2909</f>
        <v>0</v>
      </c>
      <c r="AP2909" s="28"/>
      <c r="AQ2909" s="28" t="n">
        <f aca="false">AP2909*$M2909</f>
        <v>0</v>
      </c>
      <c r="AR2909" s="28"/>
      <c r="AS2909" s="28" t="n">
        <f aca="false">AR2909*$M2909</f>
        <v>0</v>
      </c>
      <c r="AT2909" s="28"/>
      <c r="AU2909" s="28" t="n">
        <f aca="false">AT2909*$M2909</f>
        <v>0</v>
      </c>
      <c r="AV2909" s="28"/>
      <c r="AW2909" s="28" t="n">
        <f aca="false">AV2909*$M2909</f>
        <v>0</v>
      </c>
      <c r="AX2909" s="28"/>
      <c r="AY2909" s="28" t="n">
        <f aca="false">AX2909*$M2909</f>
        <v>0</v>
      </c>
      <c r="AZ2909" s="30" t="n">
        <f aca="false">2364/100</f>
        <v>23.64</v>
      </c>
      <c r="BA2909" s="11" t="n">
        <v>2837</v>
      </c>
      <c r="BB2909" s="31" t="n">
        <f aca="false">SUM(Q2909,S2909,U2909,W2909,Y2909,AA2909,AC2909,AE2909,AG2909,AI2909,AK2909,AM2909,AO2909,AQ2909,AS2909,AU2909,AW2909,AY2909)</f>
        <v>2837</v>
      </c>
      <c r="BC2909" s="28" t="n">
        <f aca="false">BA2909-BB2909</f>
        <v>0</v>
      </c>
      <c r="BD2909" s="32" t="n">
        <f aca="false">SUM(P2909,R2909,T2909,V2909,X2909,Z2909,AB2909,AD2909,AF2909,AH2909,AJ2909,AL2909,AN2909,AP2909,AR2909,AT2909,AV2909,AX2909)</f>
        <v>23.64</v>
      </c>
      <c r="BE2909" s="33" t="n">
        <f aca="false">AZ2909-BD2909</f>
        <v>0</v>
      </c>
      <c r="BF2909" s="34" t="n">
        <f aca="false">BD2909*M2909</f>
        <v>2836.8</v>
      </c>
      <c r="BG2909" s="35" t="n">
        <f aca="false">BA2909-BF2909</f>
        <v>0.199999999999818</v>
      </c>
      <c r="BH2909" s="19" t="str">
        <f aca="false">IF(BG2909=0,"",IF(BG2909&lt;&gt;BA2909,"erreur de calcul",IF(BD2909&lt;&gt;0,"pas de prix",IF(M2909&lt;&gt; 0,"pas de quantité","pas de prix, ni de quantité"))))</f>
        <v>erreur de calcul</v>
      </c>
      <c r="BI2909" s="19"/>
    </row>
    <row r="2910" customFormat="false" ht="15" hidden="false" customHeight="false" outlineLevel="0" collapsed="false">
      <c r="A2910" s="0" t="n">
        <v>23</v>
      </c>
      <c r="B2910" s="8" t="s">
        <v>24</v>
      </c>
      <c r="C2910" s="9" t="s">
        <v>25</v>
      </c>
      <c r="D2910" s="9" t="s">
        <v>26</v>
      </c>
      <c r="E2910" s="10" t="n">
        <v>1789</v>
      </c>
      <c r="F2910" s="9" t="s">
        <v>27</v>
      </c>
      <c r="G2910" s="9" t="s">
        <v>27</v>
      </c>
      <c r="H2910" s="11" t="n">
        <v>21</v>
      </c>
      <c r="I2910" s="11" t="s">
        <v>176</v>
      </c>
      <c r="J2910" s="14" t="n">
        <v>170</v>
      </c>
      <c r="K2910" s="14"/>
      <c r="L2910" s="16"/>
      <c r="M2910" s="27" t="n">
        <f aca="false">J2910+(K2910/20)+(L2910/240)</f>
        <v>170</v>
      </c>
      <c r="N2910" s="17" t="s">
        <v>64</v>
      </c>
      <c r="O2910" s="11"/>
      <c r="P2910" s="28" t="n">
        <f aca="false">9760/100</f>
        <v>97.6</v>
      </c>
      <c r="Q2910" s="28" t="n">
        <v>16592</v>
      </c>
      <c r="R2910" s="28"/>
      <c r="S2910" s="28" t="n">
        <f aca="false">R2910*$M2910</f>
        <v>0</v>
      </c>
      <c r="T2910" s="28"/>
      <c r="U2910" s="28" t="n">
        <f aca="false">T2910*$M2910</f>
        <v>0</v>
      </c>
      <c r="V2910" s="28"/>
      <c r="W2910" s="28" t="n">
        <f aca="false">V2910*$M2910</f>
        <v>0</v>
      </c>
      <c r="X2910" s="28" t="n">
        <f aca="false">1589/100</f>
        <v>15.89</v>
      </c>
      <c r="Y2910" s="28" t="n">
        <v>2701</v>
      </c>
      <c r="Z2910" s="28"/>
      <c r="AA2910" s="28" t="n">
        <f aca="false">Z2910*$M2910</f>
        <v>0</v>
      </c>
      <c r="AB2910" s="28"/>
      <c r="AC2910" s="28" t="n">
        <f aca="false">AB2910*$M2910</f>
        <v>0</v>
      </c>
      <c r="AD2910" s="28"/>
      <c r="AE2910" s="28" t="n">
        <f aca="false">AD2910*$M2910</f>
        <v>0</v>
      </c>
      <c r="AF2910" s="28"/>
      <c r="AG2910" s="28" t="n">
        <f aca="false">AF2910*$M2910</f>
        <v>0</v>
      </c>
      <c r="AH2910" s="28"/>
      <c r="AI2910" s="28" t="n">
        <f aca="false">AH2910*$M2910</f>
        <v>0</v>
      </c>
      <c r="AJ2910" s="28"/>
      <c r="AK2910" s="28" t="n">
        <f aca="false">AJ2910*$M2910</f>
        <v>0</v>
      </c>
      <c r="AL2910" s="28"/>
      <c r="AM2910" s="28" t="n">
        <f aca="false">AL2910*$M2910</f>
        <v>0</v>
      </c>
      <c r="AN2910" s="28"/>
      <c r="AO2910" s="28" t="n">
        <f aca="false">AN2910*$M2910</f>
        <v>0</v>
      </c>
      <c r="AP2910" s="28"/>
      <c r="AQ2910" s="28" t="n">
        <f aca="false">AP2910*$M2910</f>
        <v>0</v>
      </c>
      <c r="AR2910" s="28"/>
      <c r="AS2910" s="28" t="n">
        <f aca="false">AR2910*$M2910</f>
        <v>0</v>
      </c>
      <c r="AT2910" s="28"/>
      <c r="AU2910" s="28" t="n">
        <f aca="false">AT2910*$M2910</f>
        <v>0</v>
      </c>
      <c r="AV2910" s="28"/>
      <c r="AW2910" s="28" t="n">
        <f aca="false">AV2910*$M2910</f>
        <v>0</v>
      </c>
      <c r="AX2910" s="28"/>
      <c r="AY2910" s="28" t="n">
        <f aca="false">AX2910*$M2910</f>
        <v>0</v>
      </c>
      <c r="AZ2910" s="30" t="n">
        <f aca="false">11349/100</f>
        <v>113.49</v>
      </c>
      <c r="BA2910" s="11" t="n">
        <v>19293</v>
      </c>
      <c r="BB2910" s="31" t="n">
        <f aca="false">SUM(Q2910,S2910,U2910,W2910,Y2910,AA2910,AC2910,AE2910,AG2910,AI2910,AK2910,AM2910,AO2910,AQ2910,AS2910,AU2910,AW2910,AY2910)</f>
        <v>19293</v>
      </c>
      <c r="BC2910" s="28" t="n">
        <f aca="false">BA2910-BB2910</f>
        <v>0</v>
      </c>
      <c r="BD2910" s="32" t="n">
        <f aca="false">SUM(P2910,R2910,T2910,V2910,X2910,Z2910,AB2910,AD2910,AF2910,AH2910,AJ2910,AL2910,AN2910,AP2910,AR2910,AT2910,AV2910,AX2910)</f>
        <v>113.49</v>
      </c>
      <c r="BE2910" s="33" t="n">
        <f aca="false">AZ2910-BD2910</f>
        <v>0</v>
      </c>
      <c r="BF2910" s="34" t="n">
        <f aca="false">BD2910*M2910</f>
        <v>19293.3</v>
      </c>
      <c r="BG2910" s="35" t="n">
        <f aca="false">BA2910-BF2910</f>
        <v>-0.299999999999272</v>
      </c>
      <c r="BH2910" s="19" t="str">
        <f aca="false">IF(BG2910=0,"",IF(BG2910&lt;&gt;BA2910,"erreur de calcul",IF(BD2910&lt;&gt;0,"pas de prix",IF(M2910&lt;&gt; 0,"pas de quantité","pas de prix, ni de quantité"))))</f>
        <v>erreur de calcul</v>
      </c>
      <c r="BI2910" s="19"/>
    </row>
    <row r="2911" customFormat="false" ht="15" hidden="false" customHeight="false" outlineLevel="0" collapsed="false">
      <c r="A2911" s="0" t="n">
        <v>24</v>
      </c>
      <c r="B2911" s="8" t="s">
        <v>24</v>
      </c>
      <c r="C2911" s="9" t="s">
        <v>25</v>
      </c>
      <c r="D2911" s="9" t="s">
        <v>26</v>
      </c>
      <c r="E2911" s="10" t="n">
        <v>1789</v>
      </c>
      <c r="F2911" s="9" t="s">
        <v>27</v>
      </c>
      <c r="G2911" s="9" t="s">
        <v>27</v>
      </c>
      <c r="H2911" s="11" t="n">
        <v>21</v>
      </c>
      <c r="I2911" s="11" t="s">
        <v>177</v>
      </c>
      <c r="J2911" s="14" t="n">
        <v>9</v>
      </c>
      <c r="K2911" s="14"/>
      <c r="L2911" s="16"/>
      <c r="M2911" s="27" t="n">
        <f aca="false">J2911+(K2911/20)+(L2911/240)</f>
        <v>9</v>
      </c>
      <c r="N2911" s="17" t="s">
        <v>66</v>
      </c>
      <c r="O2911" s="11"/>
      <c r="P2911" s="28"/>
      <c r="Q2911" s="28" t="n">
        <f aca="false">P2911*$M2911</f>
        <v>0</v>
      </c>
      <c r="R2911" s="28" t="n">
        <v>349</v>
      </c>
      <c r="S2911" s="28" t="n">
        <v>3141</v>
      </c>
      <c r="T2911" s="28"/>
      <c r="U2911" s="28" t="n">
        <f aca="false">T2911*$M2911</f>
        <v>0</v>
      </c>
      <c r="V2911" s="28" t="n">
        <v>315</v>
      </c>
      <c r="W2911" s="28" t="n">
        <v>2835</v>
      </c>
      <c r="X2911" s="28" t="n">
        <v>733</v>
      </c>
      <c r="Y2911" s="28" t="n">
        <v>6597</v>
      </c>
      <c r="Z2911" s="28"/>
      <c r="AA2911" s="28" t="n">
        <f aca="false">Z2911*$M2911</f>
        <v>0</v>
      </c>
      <c r="AB2911" s="28" t="n">
        <v>162</v>
      </c>
      <c r="AC2911" s="28" t="n">
        <v>1458</v>
      </c>
      <c r="AD2911" s="28"/>
      <c r="AE2911" s="28" t="n">
        <f aca="false">AD2911*$M2911</f>
        <v>0</v>
      </c>
      <c r="AF2911" s="28"/>
      <c r="AG2911" s="28" t="n">
        <f aca="false">AF2911*$M2911</f>
        <v>0</v>
      </c>
      <c r="AH2911" s="28"/>
      <c r="AI2911" s="28" t="n">
        <f aca="false">AH2911*$M2911</f>
        <v>0</v>
      </c>
      <c r="AJ2911" s="28"/>
      <c r="AK2911" s="28" t="n">
        <f aca="false">AJ2911*$M2911</f>
        <v>0</v>
      </c>
      <c r="AL2911" s="28"/>
      <c r="AM2911" s="28" t="n">
        <f aca="false">AL2911*$M2911</f>
        <v>0</v>
      </c>
      <c r="AN2911" s="28"/>
      <c r="AO2911" s="28" t="n">
        <f aca="false">AN2911*$M2911</f>
        <v>0</v>
      </c>
      <c r="AP2911" s="28"/>
      <c r="AQ2911" s="28" t="n">
        <f aca="false">AP2911*$M2911</f>
        <v>0</v>
      </c>
      <c r="AR2911" s="28"/>
      <c r="AS2911" s="28" t="n">
        <f aca="false">AR2911*$M2911</f>
        <v>0</v>
      </c>
      <c r="AT2911" s="28"/>
      <c r="AU2911" s="28" t="n">
        <f aca="false">AT2911*$M2911</f>
        <v>0</v>
      </c>
      <c r="AV2911" s="28"/>
      <c r="AW2911" s="28" t="n">
        <f aca="false">AV2911*$M2911</f>
        <v>0</v>
      </c>
      <c r="AX2911" s="28"/>
      <c r="AY2911" s="28" t="n">
        <f aca="false">AX2911*$M2911</f>
        <v>0</v>
      </c>
      <c r="AZ2911" s="30" t="n">
        <f aca="false">1559</f>
        <v>1559</v>
      </c>
      <c r="BA2911" s="11" t="n">
        <v>14031</v>
      </c>
      <c r="BB2911" s="31" t="n">
        <f aca="false">SUM(Q2911,S2911,U2911,W2911,Y2911,AA2911,AC2911,AE2911,AG2911,AI2911,AK2911,AM2911,AO2911,AQ2911,AS2911,AU2911,AW2911,AY2911)</f>
        <v>14031</v>
      </c>
      <c r="BC2911" s="28" t="n">
        <f aca="false">BA2911-BB2911</f>
        <v>0</v>
      </c>
      <c r="BD2911" s="32" t="n">
        <f aca="false">SUM(P2911,R2911,T2911,V2911,X2911,Z2911,AB2911,AD2911,AF2911,AH2911,AJ2911,AL2911,AN2911,AP2911,AR2911,AT2911,AV2911,AX2911)</f>
        <v>1559</v>
      </c>
      <c r="BE2911" s="33" t="n">
        <f aca="false">AZ2911-BD2911</f>
        <v>0</v>
      </c>
      <c r="BF2911" s="34" t="n">
        <f aca="false">BD2911*M2911</f>
        <v>14031</v>
      </c>
      <c r="BG2911" s="35" t="n">
        <f aca="false">BA2911-BF2911</f>
        <v>0</v>
      </c>
      <c r="BH2911" s="19" t="str">
        <f aca="false">IF(BG2911=0,"",IF(BG2911&lt;&gt;BA2911,"erreur de calcul",IF(BD2911&lt;&gt;0,"pas de prix",IF(M2911&lt;&gt; 0,"pas de quantité","pas de prix, ni de quantité"))))</f>
        <v/>
      </c>
      <c r="BI2911" s="19"/>
    </row>
    <row r="2912" customFormat="false" ht="15" hidden="false" customHeight="false" outlineLevel="0" collapsed="false">
      <c r="A2912" s="0" t="n">
        <v>25</v>
      </c>
      <c r="B2912" s="8" t="s">
        <v>24</v>
      </c>
      <c r="C2912" s="9" t="s">
        <v>25</v>
      </c>
      <c r="D2912" s="9" t="s">
        <v>26</v>
      </c>
      <c r="E2912" s="10" t="n">
        <v>1789</v>
      </c>
      <c r="F2912" s="9" t="s">
        <v>27</v>
      </c>
      <c r="G2912" s="9" t="s">
        <v>27</v>
      </c>
      <c r="H2912" s="11" t="n">
        <v>21</v>
      </c>
      <c r="I2912" s="11" t="s">
        <v>178</v>
      </c>
      <c r="J2912" s="14" t="n">
        <v>125</v>
      </c>
      <c r="K2912" s="14"/>
      <c r="L2912" s="16"/>
      <c r="M2912" s="27" t="n">
        <f aca="false">J2912+(K2912/20)+(L2912/240)</f>
        <v>125</v>
      </c>
      <c r="N2912" s="17" t="s">
        <v>64</v>
      </c>
      <c r="O2912" s="11"/>
      <c r="P2912" s="28"/>
      <c r="Q2912" s="28" t="n">
        <f aca="false">P2912*$M2912</f>
        <v>0</v>
      </c>
      <c r="R2912" s="28"/>
      <c r="S2912" s="28" t="n">
        <f aca="false">R2912*$M2912</f>
        <v>0</v>
      </c>
      <c r="T2912" s="28"/>
      <c r="U2912" s="28" t="n">
        <f aca="false">T2912*$M2912</f>
        <v>0</v>
      </c>
      <c r="V2912" s="28" t="n">
        <f aca="false">10764/100</f>
        <v>107.64</v>
      </c>
      <c r="W2912" s="28" t="n">
        <v>13455</v>
      </c>
      <c r="X2912" s="28" t="n">
        <f aca="false">13215/100</f>
        <v>132.15</v>
      </c>
      <c r="Y2912" s="28" t="n">
        <v>16519</v>
      </c>
      <c r="Z2912" s="28"/>
      <c r="AA2912" s="28" t="n">
        <f aca="false">Z2912*$M2912</f>
        <v>0</v>
      </c>
      <c r="AB2912" s="28" t="n">
        <f aca="false">188461/100</f>
        <v>1884.61</v>
      </c>
      <c r="AC2912" s="28" t="n">
        <v>235576</v>
      </c>
      <c r="AD2912" s="28"/>
      <c r="AE2912" s="28" t="n">
        <f aca="false">AD2912*$M2912</f>
        <v>0</v>
      </c>
      <c r="AF2912" s="28"/>
      <c r="AG2912" s="28" t="n">
        <f aca="false">AF2912*$M2912</f>
        <v>0</v>
      </c>
      <c r="AH2912" s="28"/>
      <c r="AI2912" s="28" t="n">
        <f aca="false">AH2912*$M2912</f>
        <v>0</v>
      </c>
      <c r="AJ2912" s="28"/>
      <c r="AK2912" s="28" t="n">
        <f aca="false">AJ2912*$M2912</f>
        <v>0</v>
      </c>
      <c r="AL2912" s="28"/>
      <c r="AM2912" s="28" t="n">
        <f aca="false">AL2912*$M2912</f>
        <v>0</v>
      </c>
      <c r="AN2912" s="28"/>
      <c r="AO2912" s="28" t="n">
        <f aca="false">AN2912*$M2912</f>
        <v>0</v>
      </c>
      <c r="AP2912" s="28"/>
      <c r="AQ2912" s="28" t="n">
        <f aca="false">AP2912*$M2912</f>
        <v>0</v>
      </c>
      <c r="AR2912" s="28"/>
      <c r="AS2912" s="28" t="n">
        <f aca="false">AR2912*$M2912</f>
        <v>0</v>
      </c>
      <c r="AT2912" s="28"/>
      <c r="AU2912" s="28" t="n">
        <f aca="false">AT2912*$M2912</f>
        <v>0</v>
      </c>
      <c r="AV2912" s="28"/>
      <c r="AW2912" s="28" t="n">
        <f aca="false">AV2912*$M2912</f>
        <v>0</v>
      </c>
      <c r="AX2912" s="28"/>
      <c r="AY2912" s="28" t="n">
        <f aca="false">AX2912*$M2912</f>
        <v>0</v>
      </c>
      <c r="AZ2912" s="30" t="n">
        <f aca="false">212440/100</f>
        <v>2124.4</v>
      </c>
      <c r="BA2912" s="11" t="n">
        <v>265550</v>
      </c>
      <c r="BB2912" s="31" t="n">
        <f aca="false">SUM(Q2912,S2912,U2912,W2912,Y2912,AA2912,AC2912,AE2912,AG2912,AI2912,AK2912,AM2912,AO2912,AQ2912,AS2912,AU2912,AW2912,AY2912)</f>
        <v>265550</v>
      </c>
      <c r="BC2912" s="28" t="n">
        <f aca="false">BA2912-BB2912</f>
        <v>0</v>
      </c>
      <c r="BD2912" s="32" t="n">
        <f aca="false">SUM(P2912,R2912,T2912,V2912,X2912,Z2912,AB2912,AD2912,AF2912,AH2912,AJ2912,AL2912,AN2912,AP2912,AR2912,AT2912,AV2912,AX2912)</f>
        <v>2124.4</v>
      </c>
      <c r="BE2912" s="33" t="n">
        <f aca="false">AZ2912-BD2912</f>
        <v>0</v>
      </c>
      <c r="BF2912" s="34" t="n">
        <f aca="false">BD2912*M2912</f>
        <v>265550</v>
      </c>
      <c r="BG2912" s="35" t="n">
        <f aca="false">BA2912-BF2912</f>
        <v>0</v>
      </c>
      <c r="BH2912" s="19" t="str">
        <f aca="false">IF(BG2912=0,"",IF(BG2912&lt;&gt;BA2912,"erreur de calcul",IF(BD2912&lt;&gt;0,"pas de prix",IF(M2912&lt;&gt; 0,"pas de quantité","pas de prix, ni de quantité"))))</f>
        <v/>
      </c>
      <c r="BI2912" s="19"/>
    </row>
    <row r="2913" customFormat="false" ht="15" hidden="false" customHeight="false" outlineLevel="0" collapsed="false">
      <c r="A2913" s="0" t="n">
        <v>26</v>
      </c>
      <c r="B2913" s="8" t="s">
        <v>24</v>
      </c>
      <c r="C2913" s="9" t="s">
        <v>25</v>
      </c>
      <c r="D2913" s="9" t="s">
        <v>26</v>
      </c>
      <c r="E2913" s="10" t="n">
        <v>1789</v>
      </c>
      <c r="F2913" s="9" t="s">
        <v>27</v>
      </c>
      <c r="G2913" s="9" t="s">
        <v>27</v>
      </c>
      <c r="H2913" s="11" t="n">
        <v>21</v>
      </c>
      <c r="I2913" s="11" t="s">
        <v>179</v>
      </c>
      <c r="J2913" s="14" t="n">
        <v>7</v>
      </c>
      <c r="K2913" s="14"/>
      <c r="L2913" s="16"/>
      <c r="M2913" s="27" t="n">
        <f aca="false">J2913+(K2913/20)+(L2913/240)</f>
        <v>7</v>
      </c>
      <c r="N2913" s="17" t="s">
        <v>66</v>
      </c>
      <c r="O2913" s="11"/>
      <c r="P2913" s="28" t="n">
        <v>8441</v>
      </c>
      <c r="Q2913" s="28" t="n">
        <v>59087</v>
      </c>
      <c r="R2913" s="28"/>
      <c r="S2913" s="28" t="n">
        <f aca="false">R2913*$M2913</f>
        <v>0</v>
      </c>
      <c r="T2913" s="28"/>
      <c r="U2913" s="28" t="n">
        <f aca="false">T2913*$M2913</f>
        <v>0</v>
      </c>
      <c r="V2913" s="28"/>
      <c r="W2913" s="28" t="n">
        <f aca="false">V2913*$M2913</f>
        <v>0</v>
      </c>
      <c r="X2913" s="28"/>
      <c r="Y2913" s="28" t="n">
        <f aca="false">X2913*$M2913</f>
        <v>0</v>
      </c>
      <c r="Z2913" s="28" t="n">
        <v>357</v>
      </c>
      <c r="AA2913" s="28" t="n">
        <v>2499</v>
      </c>
      <c r="AB2913" s="28"/>
      <c r="AC2913" s="28" t="n">
        <f aca="false">AB2913*$M2913</f>
        <v>0</v>
      </c>
      <c r="AD2913" s="28"/>
      <c r="AE2913" s="28" t="n">
        <f aca="false">AD2913*$M2913</f>
        <v>0</v>
      </c>
      <c r="AF2913" s="28"/>
      <c r="AG2913" s="28" t="n">
        <f aca="false">AF2913*$M2913</f>
        <v>0</v>
      </c>
      <c r="AH2913" s="28"/>
      <c r="AI2913" s="28" t="n">
        <f aca="false">AH2913*$M2913</f>
        <v>0</v>
      </c>
      <c r="AJ2913" s="28"/>
      <c r="AK2913" s="28" t="n">
        <f aca="false">AJ2913*$M2913</f>
        <v>0</v>
      </c>
      <c r="AL2913" s="28"/>
      <c r="AM2913" s="28" t="n">
        <f aca="false">AL2913*$M2913</f>
        <v>0</v>
      </c>
      <c r="AN2913" s="28"/>
      <c r="AO2913" s="28" t="n">
        <f aca="false">AN2913*$M2913</f>
        <v>0</v>
      </c>
      <c r="AP2913" s="28"/>
      <c r="AQ2913" s="28" t="n">
        <f aca="false">AP2913*$M2913</f>
        <v>0</v>
      </c>
      <c r="AR2913" s="28"/>
      <c r="AS2913" s="28" t="n">
        <f aca="false">AR2913*$M2913</f>
        <v>0</v>
      </c>
      <c r="AT2913" s="28"/>
      <c r="AU2913" s="28" t="n">
        <f aca="false">AT2913*$M2913</f>
        <v>0</v>
      </c>
      <c r="AV2913" s="28"/>
      <c r="AW2913" s="28" t="n">
        <f aca="false">AV2913*$M2913</f>
        <v>0</v>
      </c>
      <c r="AX2913" s="28"/>
      <c r="AY2913" s="28" t="n">
        <f aca="false">AX2913*$M2913</f>
        <v>0</v>
      </c>
      <c r="AZ2913" s="30" t="n">
        <v>8798</v>
      </c>
      <c r="BA2913" s="11" t="n">
        <v>61586</v>
      </c>
      <c r="BB2913" s="31" t="n">
        <f aca="false">SUM(Q2913,S2913,U2913,W2913,Y2913,AA2913,AC2913,AE2913,AG2913,AI2913,AK2913,AM2913,AO2913,AQ2913,AS2913,AU2913,AW2913,AY2913)</f>
        <v>61586</v>
      </c>
      <c r="BC2913" s="28" t="n">
        <f aca="false">BA2913-BB2913</f>
        <v>0</v>
      </c>
      <c r="BD2913" s="32" t="n">
        <f aca="false">SUM(P2913,R2913,T2913,V2913,X2913,Z2913,AB2913,AD2913,AF2913,AH2913,AJ2913,AL2913,AN2913,AP2913,AR2913,AT2913,AV2913,AX2913)</f>
        <v>8798</v>
      </c>
      <c r="BE2913" s="33" t="n">
        <f aca="false">AZ2913-BD2913</f>
        <v>0</v>
      </c>
      <c r="BF2913" s="34" t="n">
        <f aca="false">BD2913*M2913</f>
        <v>61586</v>
      </c>
      <c r="BG2913" s="35" t="n">
        <f aca="false">BA2913-BF2913</f>
        <v>0</v>
      </c>
      <c r="BH2913" s="19" t="str">
        <f aca="false">IF(BG2913=0,"",IF(BG2913&lt;&gt;BA2913,"erreur de calcul",IF(BD2913&lt;&gt;0,"pas de prix",IF(M2913&lt;&gt; 0,"pas de quantité","pas de prix, ni de quantité"))))</f>
        <v/>
      </c>
      <c r="BI2913" s="19"/>
    </row>
    <row r="2914" customFormat="false" ht="15" hidden="false" customHeight="false" outlineLevel="0" collapsed="false">
      <c r="A2914" s="0" t="n">
        <v>27</v>
      </c>
      <c r="B2914" s="8" t="s">
        <v>24</v>
      </c>
      <c r="C2914" s="9" t="s">
        <v>25</v>
      </c>
      <c r="D2914" s="9" t="s">
        <v>26</v>
      </c>
      <c r="E2914" s="10" t="n">
        <v>1789</v>
      </c>
      <c r="F2914" s="9" t="s">
        <v>27</v>
      </c>
      <c r="G2914" s="9" t="s">
        <v>27</v>
      </c>
      <c r="H2914" s="11" t="n">
        <v>21</v>
      </c>
      <c r="I2914" s="11" t="s">
        <v>180</v>
      </c>
      <c r="J2914" s="14" t="n">
        <v>9</v>
      </c>
      <c r="K2914" s="14"/>
      <c r="L2914" s="16"/>
      <c r="M2914" s="27" t="n">
        <f aca="false">J2914+(K2914/20)+(L2914/240)</f>
        <v>9</v>
      </c>
      <c r="N2914" s="17" t="s">
        <v>64</v>
      </c>
      <c r="O2914" s="11"/>
      <c r="P2914" s="28" t="n">
        <f aca="false">22662/100</f>
        <v>226.62</v>
      </c>
      <c r="Q2914" s="28" t="n">
        <v>2039</v>
      </c>
      <c r="R2914" s="28"/>
      <c r="S2914" s="28" t="n">
        <f aca="false">R2914*$M2914</f>
        <v>0</v>
      </c>
      <c r="T2914" s="28"/>
      <c r="U2914" s="28" t="n">
        <f aca="false">T2914*$M2914</f>
        <v>0</v>
      </c>
      <c r="V2914" s="28"/>
      <c r="W2914" s="28" t="n">
        <f aca="false">V2914*$M2914</f>
        <v>0</v>
      </c>
      <c r="X2914" s="28"/>
      <c r="Y2914" s="28" t="n">
        <f aca="false">X2914*$M2914</f>
        <v>0</v>
      </c>
      <c r="Z2914" s="28"/>
      <c r="AA2914" s="28" t="n">
        <f aca="false">Z2914*$M2914</f>
        <v>0</v>
      </c>
      <c r="AB2914" s="28"/>
      <c r="AC2914" s="28" t="n">
        <f aca="false">AB2914*$M2914</f>
        <v>0</v>
      </c>
      <c r="AD2914" s="28"/>
      <c r="AE2914" s="28" t="n">
        <f aca="false">AD2914*$M2914</f>
        <v>0</v>
      </c>
      <c r="AF2914" s="28"/>
      <c r="AG2914" s="28" t="n">
        <f aca="false">AF2914*$M2914</f>
        <v>0</v>
      </c>
      <c r="AH2914" s="28"/>
      <c r="AI2914" s="28" t="n">
        <f aca="false">AH2914*$M2914</f>
        <v>0</v>
      </c>
      <c r="AJ2914" s="28"/>
      <c r="AK2914" s="28" t="n">
        <f aca="false">AJ2914*$M2914</f>
        <v>0</v>
      </c>
      <c r="AL2914" s="28"/>
      <c r="AM2914" s="28" t="n">
        <f aca="false">AL2914*$M2914</f>
        <v>0</v>
      </c>
      <c r="AN2914" s="28"/>
      <c r="AO2914" s="28" t="n">
        <f aca="false">AN2914*$M2914</f>
        <v>0</v>
      </c>
      <c r="AP2914" s="28"/>
      <c r="AQ2914" s="28" t="n">
        <f aca="false">AP2914*$M2914</f>
        <v>0</v>
      </c>
      <c r="AR2914" s="28"/>
      <c r="AS2914" s="28" t="n">
        <f aca="false">AR2914*$M2914</f>
        <v>0</v>
      </c>
      <c r="AT2914" s="28"/>
      <c r="AU2914" s="28" t="n">
        <f aca="false">AT2914*$M2914</f>
        <v>0</v>
      </c>
      <c r="AV2914" s="28"/>
      <c r="AW2914" s="28" t="n">
        <f aca="false">AV2914*$M2914</f>
        <v>0</v>
      </c>
      <c r="AX2914" s="28"/>
      <c r="AY2914" s="28" t="n">
        <f aca="false">AX2914*$M2914</f>
        <v>0</v>
      </c>
      <c r="AZ2914" s="30" t="n">
        <f aca="false">22662/100</f>
        <v>226.62</v>
      </c>
      <c r="BA2914" s="11" t="n">
        <v>2039</v>
      </c>
      <c r="BB2914" s="31" t="n">
        <f aca="false">SUM(Q2914,S2914,U2914,W2914,Y2914,AA2914,AC2914,AE2914,AG2914,AI2914,AK2914,AM2914,AO2914,AQ2914,AS2914,AU2914,AW2914,AY2914)</f>
        <v>2039</v>
      </c>
      <c r="BC2914" s="28" t="n">
        <f aca="false">BA2914-BB2914</f>
        <v>0</v>
      </c>
      <c r="BD2914" s="32" t="n">
        <f aca="false">SUM(P2914,R2914,T2914,V2914,X2914,Z2914,AB2914,AD2914,AF2914,AH2914,AJ2914,AL2914,AN2914,AP2914,AR2914,AT2914,AV2914,AX2914)</f>
        <v>226.62</v>
      </c>
      <c r="BE2914" s="33" t="n">
        <f aca="false">AZ2914-BD2914</f>
        <v>0</v>
      </c>
      <c r="BF2914" s="34" t="n">
        <f aca="false">BD2914*M2914</f>
        <v>2039.58</v>
      </c>
      <c r="BG2914" s="35" t="n">
        <f aca="false">BA2914-BF2914</f>
        <v>-0.579999999999927</v>
      </c>
      <c r="BH2914" s="19" t="str">
        <f aca="false">IF(BG2914=0,"",IF(BG2914&lt;&gt;BA2914,"erreur de calcul",IF(BD2914&lt;&gt;0,"pas de prix",IF(M2914&lt;&gt; 0,"pas de quantité","pas de prix, ni de quantité"))))</f>
        <v>erreur de calcul</v>
      </c>
      <c r="BI2914" s="19"/>
    </row>
    <row r="2915" customFormat="false" ht="15" hidden="false" customHeight="false" outlineLevel="0" collapsed="false">
      <c r="A2915" s="0" t="n">
        <v>28</v>
      </c>
      <c r="B2915" s="8" t="s">
        <v>24</v>
      </c>
      <c r="C2915" s="9" t="s">
        <v>25</v>
      </c>
      <c r="D2915" s="9" t="s">
        <v>26</v>
      </c>
      <c r="E2915" s="10" t="n">
        <v>1789</v>
      </c>
      <c r="F2915" s="9" t="s">
        <v>27</v>
      </c>
      <c r="G2915" s="9" t="s">
        <v>27</v>
      </c>
      <c r="H2915" s="11" t="n">
        <v>21</v>
      </c>
      <c r="I2915" s="11" t="s">
        <v>181</v>
      </c>
      <c r="J2915" s="14" t="n">
        <v>8</v>
      </c>
      <c r="K2915" s="14" t="n">
        <v>10</v>
      </c>
      <c r="L2915" s="16"/>
      <c r="M2915" s="27" t="n">
        <f aca="false">J2915+(K2915/20)+(L2915/240)</f>
        <v>8.5</v>
      </c>
      <c r="N2915" s="17" t="s">
        <v>66</v>
      </c>
      <c r="O2915" s="11"/>
      <c r="P2915" s="28" t="n">
        <v>1770</v>
      </c>
      <c r="Q2915" s="28" t="n">
        <v>15045</v>
      </c>
      <c r="R2915" s="28"/>
      <c r="S2915" s="28" t="n">
        <f aca="false">R2915*$M2915</f>
        <v>0</v>
      </c>
      <c r="T2915" s="28"/>
      <c r="U2915" s="28" t="n">
        <f aca="false">T2915*$M2915</f>
        <v>0</v>
      </c>
      <c r="V2915" s="28"/>
      <c r="W2915" s="28" t="n">
        <f aca="false">V2915*$M2915</f>
        <v>0</v>
      </c>
      <c r="X2915" s="28"/>
      <c r="Y2915" s="28" t="n">
        <f aca="false">X2915*$M2915</f>
        <v>0</v>
      </c>
      <c r="Z2915" s="28"/>
      <c r="AA2915" s="28" t="n">
        <f aca="false">Z2915*$M2915</f>
        <v>0</v>
      </c>
      <c r="AB2915" s="28"/>
      <c r="AC2915" s="28" t="n">
        <f aca="false">AB2915*$M2915</f>
        <v>0</v>
      </c>
      <c r="AD2915" s="28"/>
      <c r="AE2915" s="28" t="n">
        <f aca="false">AD2915*$M2915</f>
        <v>0</v>
      </c>
      <c r="AF2915" s="28"/>
      <c r="AG2915" s="28" t="n">
        <f aca="false">AF2915*$M2915</f>
        <v>0</v>
      </c>
      <c r="AH2915" s="28" t="n">
        <v>323</v>
      </c>
      <c r="AI2915" s="28" t="n">
        <v>2745</v>
      </c>
      <c r="AJ2915" s="28"/>
      <c r="AK2915" s="28" t="n">
        <f aca="false">AJ2915*$M2915</f>
        <v>0</v>
      </c>
      <c r="AL2915" s="28"/>
      <c r="AM2915" s="28" t="n">
        <f aca="false">AL2915*$M2915</f>
        <v>0</v>
      </c>
      <c r="AN2915" s="28"/>
      <c r="AO2915" s="28" t="n">
        <f aca="false">AN2915*$M2915</f>
        <v>0</v>
      </c>
      <c r="AP2915" s="28"/>
      <c r="AQ2915" s="28" t="n">
        <f aca="false">AP2915*$M2915</f>
        <v>0</v>
      </c>
      <c r="AR2915" s="28"/>
      <c r="AS2915" s="28" t="n">
        <f aca="false">AR2915*$M2915</f>
        <v>0</v>
      </c>
      <c r="AT2915" s="28"/>
      <c r="AU2915" s="28" t="n">
        <f aca="false">AT2915*$M2915</f>
        <v>0</v>
      </c>
      <c r="AV2915" s="28"/>
      <c r="AW2915" s="28" t="n">
        <f aca="false">AV2915*$M2915</f>
        <v>0</v>
      </c>
      <c r="AX2915" s="28"/>
      <c r="AY2915" s="28" t="n">
        <f aca="false">AX2915*$M2915</f>
        <v>0</v>
      </c>
      <c r="AZ2915" s="30" t="n">
        <v>2093</v>
      </c>
      <c r="BA2915" s="11" t="n">
        <v>17790</v>
      </c>
      <c r="BB2915" s="31" t="n">
        <f aca="false">SUM(Q2915,S2915,U2915,W2915,Y2915,AA2915,AC2915,AE2915,AG2915,AI2915,AK2915,AM2915,AO2915,AQ2915,AS2915,AU2915,AW2915,AY2915)</f>
        <v>17790</v>
      </c>
      <c r="BC2915" s="28" t="n">
        <f aca="false">BA2915-BB2915</f>
        <v>0</v>
      </c>
      <c r="BD2915" s="32" t="n">
        <f aca="false">SUM(P2915,R2915,T2915,V2915,X2915,Z2915,AB2915,AD2915,AF2915,AH2915,AJ2915,AL2915,AN2915,AP2915,AR2915,AT2915,AV2915,AX2915)</f>
        <v>2093</v>
      </c>
      <c r="BE2915" s="33" t="n">
        <f aca="false">AZ2915-BD2915</f>
        <v>0</v>
      </c>
      <c r="BF2915" s="34" t="n">
        <f aca="false">BD2915*M2915</f>
        <v>17790.5</v>
      </c>
      <c r="BG2915" s="35" t="n">
        <f aca="false">BA2915-BF2915</f>
        <v>-0.5</v>
      </c>
      <c r="BH2915" s="19" t="str">
        <f aca="false">IF(BG2915=0,"",IF(BG2915&lt;&gt;BA2915,"erreur de calcul",IF(BD2915&lt;&gt;0,"pas de prix",IF(M2915&lt;&gt; 0,"pas de quantité","pas de prix, ni de quantité"))))</f>
        <v>erreur de calcul</v>
      </c>
      <c r="BI2915" s="19"/>
    </row>
    <row r="2916" customFormat="false" ht="15" hidden="false" customHeight="false" outlineLevel="0" collapsed="false">
      <c r="A2916" s="0" t="n">
        <v>29</v>
      </c>
      <c r="B2916" s="8" t="s">
        <v>24</v>
      </c>
      <c r="C2916" s="9" t="s">
        <v>25</v>
      </c>
      <c r="D2916" s="9" t="s">
        <v>26</v>
      </c>
      <c r="E2916" s="10" t="n">
        <v>1789</v>
      </c>
      <c r="F2916" s="9" t="s">
        <v>27</v>
      </c>
      <c r="G2916" s="9" t="s">
        <v>27</v>
      </c>
      <c r="H2916" s="11" t="n">
        <v>21</v>
      </c>
      <c r="I2916" s="11" t="s">
        <v>182</v>
      </c>
      <c r="J2916" s="14" t="n">
        <v>24</v>
      </c>
      <c r="K2916" s="14"/>
      <c r="L2916" s="16"/>
      <c r="M2916" s="27" t="n">
        <f aca="false">J2916+(K2916/20)+(L2916/240)</f>
        <v>24</v>
      </c>
      <c r="N2916" s="17" t="s">
        <v>66</v>
      </c>
      <c r="O2916" s="11"/>
      <c r="P2916" s="28" t="n">
        <v>478</v>
      </c>
      <c r="Q2916" s="28" t="n">
        <v>11472</v>
      </c>
      <c r="R2916" s="28"/>
      <c r="S2916" s="28" t="n">
        <f aca="false">R2916*$M2916</f>
        <v>0</v>
      </c>
      <c r="T2916" s="28" t="n">
        <v>38</v>
      </c>
      <c r="U2916" s="28" t="n">
        <v>912</v>
      </c>
      <c r="V2916" s="28"/>
      <c r="W2916" s="28" t="n">
        <f aca="false">V2916*$M2916</f>
        <v>0</v>
      </c>
      <c r="X2916" s="28"/>
      <c r="Y2916" s="28" t="n">
        <f aca="false">X2916*$M2916</f>
        <v>0</v>
      </c>
      <c r="Z2916" s="28"/>
      <c r="AA2916" s="28" t="n">
        <f aca="false">Z2916*$M2916</f>
        <v>0</v>
      </c>
      <c r="AB2916" s="28"/>
      <c r="AC2916" s="28" t="n">
        <f aca="false">AB2916*$M2916</f>
        <v>0</v>
      </c>
      <c r="AD2916" s="28"/>
      <c r="AE2916" s="28" t="n">
        <f aca="false">AD2916*$M2916</f>
        <v>0</v>
      </c>
      <c r="AF2916" s="28"/>
      <c r="AG2916" s="28" t="n">
        <f aca="false">AF2916*$M2916</f>
        <v>0</v>
      </c>
      <c r="AH2916" s="28"/>
      <c r="AI2916" s="28" t="n">
        <f aca="false">AH2916*$M2916</f>
        <v>0</v>
      </c>
      <c r="AJ2916" s="28"/>
      <c r="AK2916" s="28" t="n">
        <f aca="false">AJ2916*$M2916</f>
        <v>0</v>
      </c>
      <c r="AL2916" s="28"/>
      <c r="AM2916" s="28" t="n">
        <f aca="false">AL2916*$M2916</f>
        <v>0</v>
      </c>
      <c r="AN2916" s="28"/>
      <c r="AO2916" s="28" t="n">
        <f aca="false">AN2916*$M2916</f>
        <v>0</v>
      </c>
      <c r="AP2916" s="28"/>
      <c r="AQ2916" s="28" t="n">
        <f aca="false">AP2916*$M2916</f>
        <v>0</v>
      </c>
      <c r="AR2916" s="28"/>
      <c r="AS2916" s="28" t="n">
        <f aca="false">AR2916*$M2916</f>
        <v>0</v>
      </c>
      <c r="AT2916" s="28"/>
      <c r="AU2916" s="28" t="n">
        <f aca="false">AT2916*$M2916</f>
        <v>0</v>
      </c>
      <c r="AV2916" s="28"/>
      <c r="AW2916" s="28" t="n">
        <f aca="false">AV2916*$M2916</f>
        <v>0</v>
      </c>
      <c r="AX2916" s="28"/>
      <c r="AY2916" s="28" t="n">
        <f aca="false">AX2916*$M2916</f>
        <v>0</v>
      </c>
      <c r="AZ2916" s="30" t="n">
        <v>516</v>
      </c>
      <c r="BA2916" s="11" t="n">
        <v>12384</v>
      </c>
      <c r="BB2916" s="31" t="n">
        <f aca="false">SUM(Q2916,S2916,U2916,W2916,Y2916,AA2916,AC2916,AE2916,AG2916,AI2916,AK2916,AM2916,AO2916,AQ2916,AS2916,AU2916,AW2916,AY2916)</f>
        <v>12384</v>
      </c>
      <c r="BC2916" s="28" t="n">
        <f aca="false">BA2916-BB2916</f>
        <v>0</v>
      </c>
      <c r="BD2916" s="32" t="n">
        <f aca="false">SUM(P2916,R2916,T2916,V2916,X2916,Z2916,AB2916,AD2916,AF2916,AH2916,AJ2916,AL2916,AN2916,AP2916,AR2916,AT2916,AV2916,AX2916)</f>
        <v>516</v>
      </c>
      <c r="BE2916" s="33" t="n">
        <f aca="false">AZ2916-BD2916</f>
        <v>0</v>
      </c>
      <c r="BF2916" s="34" t="n">
        <f aca="false">BD2916*M2916</f>
        <v>12384</v>
      </c>
      <c r="BG2916" s="35" t="n">
        <f aca="false">BA2916-BF2916</f>
        <v>0</v>
      </c>
      <c r="BH2916" s="19" t="str">
        <f aca="false">IF(BG2916=0,"",IF(BG2916&lt;&gt;BA2916,"erreur de calcul",IF(BD2916&lt;&gt;0,"pas de prix",IF(M2916&lt;&gt; 0,"pas de quantité","pas de prix, ni de quantité"))))</f>
        <v/>
      </c>
      <c r="BI2916" s="19"/>
    </row>
    <row r="2917" customFormat="false" ht="15" hidden="false" customHeight="false" outlineLevel="0" collapsed="false">
      <c r="A2917" s="0" t="n">
        <v>30</v>
      </c>
      <c r="B2917" s="8" t="s">
        <v>24</v>
      </c>
      <c r="C2917" s="9" t="s">
        <v>25</v>
      </c>
      <c r="D2917" s="9" t="s">
        <v>26</v>
      </c>
      <c r="E2917" s="10" t="n">
        <v>1789</v>
      </c>
      <c r="F2917" s="9" t="s">
        <v>27</v>
      </c>
      <c r="G2917" s="9" t="s">
        <v>27</v>
      </c>
      <c r="H2917" s="11" t="n">
        <v>21</v>
      </c>
      <c r="I2917" s="11" t="s">
        <v>183</v>
      </c>
      <c r="J2917" s="14" t="n">
        <v>240</v>
      </c>
      <c r="K2917" s="14"/>
      <c r="L2917" s="16"/>
      <c r="M2917" s="27" t="n">
        <f aca="false">J2917+(K2917/20)+(L2917/240)</f>
        <v>240</v>
      </c>
      <c r="N2917" s="17" t="s">
        <v>64</v>
      </c>
      <c r="O2917" s="11"/>
      <c r="P2917" s="28" t="n">
        <f aca="false">52196/100</f>
        <v>521.96</v>
      </c>
      <c r="Q2917" s="28" t="n">
        <v>125270</v>
      </c>
      <c r="R2917" s="28" t="n">
        <f aca="false">29767/100</f>
        <v>297.67</v>
      </c>
      <c r="S2917" s="28" t="n">
        <v>71441</v>
      </c>
      <c r="T2917" s="28"/>
      <c r="U2917" s="28" t="n">
        <f aca="false">T2917*$M2917</f>
        <v>0</v>
      </c>
      <c r="V2917" s="28"/>
      <c r="W2917" s="28" t="n">
        <f aca="false">V2917*$M2917</f>
        <v>0</v>
      </c>
      <c r="X2917" s="28"/>
      <c r="Y2917" s="28" t="n">
        <f aca="false">X2917*$M2917</f>
        <v>0</v>
      </c>
      <c r="Z2917" s="28"/>
      <c r="AA2917" s="28" t="n">
        <f aca="false">Z2917*$M2917</f>
        <v>0</v>
      </c>
      <c r="AB2917" s="28"/>
      <c r="AC2917" s="28" t="n">
        <f aca="false">AB2917*$M2917</f>
        <v>0</v>
      </c>
      <c r="AD2917" s="28"/>
      <c r="AE2917" s="28" t="n">
        <f aca="false">AD2917*$M2917</f>
        <v>0</v>
      </c>
      <c r="AF2917" s="28"/>
      <c r="AG2917" s="28" t="n">
        <f aca="false">AF2917*$M2917</f>
        <v>0</v>
      </c>
      <c r="AH2917" s="28"/>
      <c r="AI2917" s="28" t="n">
        <f aca="false">AH2917*$M2917</f>
        <v>0</v>
      </c>
      <c r="AJ2917" s="28"/>
      <c r="AK2917" s="28" t="n">
        <f aca="false">AJ2917*$M2917</f>
        <v>0</v>
      </c>
      <c r="AL2917" s="28"/>
      <c r="AM2917" s="28" t="n">
        <f aca="false">AL2917*$M2917</f>
        <v>0</v>
      </c>
      <c r="AN2917" s="28"/>
      <c r="AO2917" s="28" t="n">
        <f aca="false">AN2917*$M2917</f>
        <v>0</v>
      </c>
      <c r="AP2917" s="28"/>
      <c r="AQ2917" s="28" t="n">
        <f aca="false">AP2917*$M2917</f>
        <v>0</v>
      </c>
      <c r="AR2917" s="28"/>
      <c r="AS2917" s="28" t="n">
        <f aca="false">AR2917*$M2917</f>
        <v>0</v>
      </c>
      <c r="AT2917" s="28"/>
      <c r="AU2917" s="28" t="n">
        <f aca="false">AT2917*$M2917</f>
        <v>0</v>
      </c>
      <c r="AV2917" s="28"/>
      <c r="AW2917" s="28" t="n">
        <f aca="false">AV2917*$M2917</f>
        <v>0</v>
      </c>
      <c r="AX2917" s="28"/>
      <c r="AY2917" s="28" t="n">
        <f aca="false">AX2917*$M2917</f>
        <v>0</v>
      </c>
      <c r="AZ2917" s="30" t="n">
        <f aca="false">81963/100</f>
        <v>819.63</v>
      </c>
      <c r="BA2917" s="11" t="n">
        <v>196711</v>
      </c>
      <c r="BB2917" s="31" t="n">
        <f aca="false">SUM(Q2917,S2917,U2917,W2917,Y2917,AA2917,AC2917,AE2917,AG2917,AI2917,AK2917,AM2917,AO2917,AQ2917,AS2917,AU2917,AW2917,AY2917)</f>
        <v>196711</v>
      </c>
      <c r="BC2917" s="28" t="n">
        <f aca="false">BA2917-BB2917</f>
        <v>0</v>
      </c>
      <c r="BD2917" s="32" t="n">
        <f aca="false">SUM(P2917,R2917,T2917,V2917,X2917,Z2917,AB2917,AD2917,AF2917,AH2917,AJ2917,AL2917,AN2917,AP2917,AR2917,AT2917,AV2917,AX2917)</f>
        <v>819.63</v>
      </c>
      <c r="BE2917" s="33" t="n">
        <f aca="false">AZ2917-BD2917</f>
        <v>0</v>
      </c>
      <c r="BF2917" s="34" t="n">
        <f aca="false">BD2917*M2917</f>
        <v>196711.2</v>
      </c>
      <c r="BG2917" s="35" t="n">
        <f aca="false">BA2917-BF2917</f>
        <v>-0.200000000011642</v>
      </c>
      <c r="BH2917" s="19" t="str">
        <f aca="false">IF(BG2917=0,"",IF(BG2917&lt;&gt;BA2917,"erreur de calcul",IF(BD2917&lt;&gt;0,"pas de prix",IF(M2917&lt;&gt; 0,"pas de quantité","pas de prix, ni de quantité"))))</f>
        <v>erreur de calcul</v>
      </c>
      <c r="BI2917" s="19"/>
    </row>
    <row r="2918" customFormat="false" ht="15" hidden="false" customHeight="false" outlineLevel="0" collapsed="false">
      <c r="A2918" s="0" t="n">
        <v>31</v>
      </c>
      <c r="B2918" s="8" t="s">
        <v>24</v>
      </c>
      <c r="C2918" s="9" t="s">
        <v>25</v>
      </c>
      <c r="D2918" s="9" t="s">
        <v>26</v>
      </c>
      <c r="E2918" s="10" t="n">
        <v>1789</v>
      </c>
      <c r="F2918" s="9" t="s">
        <v>27</v>
      </c>
      <c r="G2918" s="9" t="s">
        <v>27</v>
      </c>
      <c r="H2918" s="11" t="n">
        <v>21</v>
      </c>
      <c r="I2918" s="11" t="s">
        <v>184</v>
      </c>
      <c r="J2918" s="14" t="n">
        <v>13</v>
      </c>
      <c r="K2918" s="14"/>
      <c r="L2918" s="16"/>
      <c r="M2918" s="27" t="n">
        <f aca="false">J2918+(K2918/20)+(L2918/240)</f>
        <v>13</v>
      </c>
      <c r="N2918" s="17" t="s">
        <v>66</v>
      </c>
      <c r="O2918" s="11"/>
      <c r="P2918" s="28"/>
      <c r="Q2918" s="28" t="n">
        <f aca="false">P2918*$M2918</f>
        <v>0</v>
      </c>
      <c r="R2918" s="28"/>
      <c r="S2918" s="28" t="n">
        <f aca="false">R2918*$M2918</f>
        <v>0</v>
      </c>
      <c r="T2918" s="28"/>
      <c r="U2918" s="28" t="n">
        <f aca="false">T2918*$M2918</f>
        <v>0</v>
      </c>
      <c r="V2918" s="28"/>
      <c r="W2918" s="28" t="n">
        <f aca="false">V2918*$M2918</f>
        <v>0</v>
      </c>
      <c r="X2918" s="28"/>
      <c r="Y2918" s="28" t="n">
        <f aca="false">X2918*$M2918</f>
        <v>0</v>
      </c>
      <c r="Z2918" s="28"/>
      <c r="AA2918" s="28" t="n">
        <f aca="false">Z2918*$M2918</f>
        <v>0</v>
      </c>
      <c r="AB2918" s="28"/>
      <c r="AC2918" s="28" t="n">
        <f aca="false">AB2918*$M2918</f>
        <v>0</v>
      </c>
      <c r="AD2918" s="28"/>
      <c r="AE2918" s="28" t="n">
        <f aca="false">AD2918*$M2918</f>
        <v>0</v>
      </c>
      <c r="AF2918" s="28"/>
      <c r="AG2918" s="28" t="n">
        <f aca="false">AF2918*$M2918</f>
        <v>0</v>
      </c>
      <c r="AH2918" s="28" t="n">
        <v>354</v>
      </c>
      <c r="AI2918" s="28" t="n">
        <v>4602</v>
      </c>
      <c r="AJ2918" s="28"/>
      <c r="AK2918" s="28" t="n">
        <f aca="false">AJ2918*$M2918</f>
        <v>0</v>
      </c>
      <c r="AL2918" s="28"/>
      <c r="AM2918" s="28" t="n">
        <f aca="false">AL2918*$M2918</f>
        <v>0</v>
      </c>
      <c r="AN2918" s="28"/>
      <c r="AO2918" s="28" t="n">
        <f aca="false">AN2918*$M2918</f>
        <v>0</v>
      </c>
      <c r="AP2918" s="28"/>
      <c r="AQ2918" s="28" t="n">
        <f aca="false">AP2918*$M2918</f>
        <v>0</v>
      </c>
      <c r="AR2918" s="28"/>
      <c r="AS2918" s="28" t="n">
        <f aca="false">AR2918*$M2918</f>
        <v>0</v>
      </c>
      <c r="AT2918" s="28"/>
      <c r="AU2918" s="28" t="n">
        <f aca="false">AT2918*$M2918</f>
        <v>0</v>
      </c>
      <c r="AV2918" s="28"/>
      <c r="AW2918" s="28" t="n">
        <f aca="false">AV2918*$M2918</f>
        <v>0</v>
      </c>
      <c r="AX2918" s="28"/>
      <c r="AY2918" s="28" t="n">
        <f aca="false">AX2918*$M2918</f>
        <v>0</v>
      </c>
      <c r="AZ2918" s="30" t="n">
        <v>354</v>
      </c>
      <c r="BA2918" s="11" t="n">
        <v>4602</v>
      </c>
      <c r="BB2918" s="31" t="n">
        <f aca="false">SUM(Q2918,S2918,U2918,W2918,Y2918,AA2918,AC2918,AE2918,AG2918,AI2918,AK2918,AM2918,AO2918,AQ2918,AS2918,AU2918,AW2918,AY2918)</f>
        <v>4602</v>
      </c>
      <c r="BC2918" s="28" t="n">
        <f aca="false">BA2918-BB2918</f>
        <v>0</v>
      </c>
      <c r="BD2918" s="32" t="n">
        <f aca="false">SUM(P2918,R2918,T2918,V2918,X2918,Z2918,AB2918,AD2918,AF2918,AH2918,AJ2918,AL2918,AN2918,AP2918,AR2918,AT2918,AV2918,AX2918)</f>
        <v>354</v>
      </c>
      <c r="BE2918" s="33" t="n">
        <f aca="false">AZ2918-BD2918</f>
        <v>0</v>
      </c>
      <c r="BF2918" s="34" t="n">
        <f aca="false">BD2918*M2918</f>
        <v>4602</v>
      </c>
      <c r="BG2918" s="35" t="n">
        <f aca="false">BA2918-BF2918</f>
        <v>0</v>
      </c>
      <c r="BH2918" s="19" t="str">
        <f aca="false">IF(BG2918=0,"",IF(BG2918&lt;&gt;BA2918,"erreur de calcul",IF(BD2918&lt;&gt;0,"pas de prix",IF(M2918&lt;&gt; 0,"pas de quantité","pas de prix, ni de quantité"))))</f>
        <v/>
      </c>
      <c r="BI2918" s="19"/>
    </row>
    <row r="2919" customFormat="false" ht="15" hidden="false" customHeight="false" outlineLevel="0" collapsed="false">
      <c r="A2919" s="0" t="n">
        <v>32</v>
      </c>
      <c r="B2919" s="8" t="s">
        <v>24</v>
      </c>
      <c r="C2919" s="9" t="s">
        <v>25</v>
      </c>
      <c r="D2919" s="9" t="s">
        <v>26</v>
      </c>
      <c r="E2919" s="10" t="n">
        <v>1789</v>
      </c>
      <c r="F2919" s="9" t="s">
        <v>27</v>
      </c>
      <c r="G2919" s="9" t="s">
        <v>27</v>
      </c>
      <c r="H2919" s="11" t="n">
        <v>21</v>
      </c>
      <c r="I2919" s="11" t="s">
        <v>185</v>
      </c>
      <c r="J2919" s="14" t="n">
        <v>245</v>
      </c>
      <c r="K2919" s="14"/>
      <c r="L2919" s="16"/>
      <c r="M2919" s="27" t="n">
        <f aca="false">J2919+(K2919/20)+(L2919/240)</f>
        <v>245</v>
      </c>
      <c r="N2919" s="17" t="s">
        <v>64</v>
      </c>
      <c r="O2919" s="11"/>
      <c r="P2919" s="28"/>
      <c r="Q2919" s="28" t="n">
        <f aca="false">P2919*$M2919</f>
        <v>0</v>
      </c>
      <c r="R2919" s="28"/>
      <c r="S2919" s="28" t="n">
        <f aca="false">R2919*$M2919</f>
        <v>0</v>
      </c>
      <c r="T2919" s="28"/>
      <c r="U2919" s="28" t="n">
        <f aca="false">T2919*$M2919</f>
        <v>0</v>
      </c>
      <c r="V2919" s="28" t="n">
        <f aca="false">720/100</f>
        <v>7.2</v>
      </c>
      <c r="W2919" s="28" t="n">
        <v>1764</v>
      </c>
      <c r="X2919" s="28" t="n">
        <f aca="false">40366/100</f>
        <v>403.66</v>
      </c>
      <c r="Y2919" s="28" t="n">
        <v>98897</v>
      </c>
      <c r="Z2919" s="28"/>
      <c r="AA2919" s="28" t="n">
        <f aca="false">Z2919*$M2919</f>
        <v>0</v>
      </c>
      <c r="AB2919" s="28"/>
      <c r="AC2919" s="28" t="n">
        <f aca="false">AB2919*$M2919</f>
        <v>0</v>
      </c>
      <c r="AD2919" s="28"/>
      <c r="AE2919" s="28" t="n">
        <f aca="false">AD2919*$M2919</f>
        <v>0</v>
      </c>
      <c r="AF2919" s="28"/>
      <c r="AG2919" s="28" t="n">
        <f aca="false">AF2919*$M2919</f>
        <v>0</v>
      </c>
      <c r="AH2919" s="28" t="n">
        <f aca="false">83243/100</f>
        <v>832.43</v>
      </c>
      <c r="AI2919" s="28" t="n">
        <v>203945</v>
      </c>
      <c r="AJ2919" s="28"/>
      <c r="AK2919" s="28" t="n">
        <f aca="false">AJ2919*$M2919</f>
        <v>0</v>
      </c>
      <c r="AL2919" s="28"/>
      <c r="AM2919" s="28" t="n">
        <f aca="false">AL2919*$M2919</f>
        <v>0</v>
      </c>
      <c r="AN2919" s="28"/>
      <c r="AO2919" s="28" t="n">
        <f aca="false">AN2919*$M2919</f>
        <v>0</v>
      </c>
      <c r="AP2919" s="28"/>
      <c r="AQ2919" s="28" t="n">
        <f aca="false">AP2919*$M2919</f>
        <v>0</v>
      </c>
      <c r="AR2919" s="28"/>
      <c r="AS2919" s="28" t="n">
        <f aca="false">AR2919*$M2919</f>
        <v>0</v>
      </c>
      <c r="AT2919" s="28"/>
      <c r="AU2919" s="28" t="n">
        <f aca="false">AT2919*$M2919</f>
        <v>0</v>
      </c>
      <c r="AV2919" s="28"/>
      <c r="AW2919" s="28" t="n">
        <f aca="false">AV2919*$M2919</f>
        <v>0</v>
      </c>
      <c r="AX2919" s="28"/>
      <c r="AY2919" s="28" t="n">
        <f aca="false">AX2919*$M2919</f>
        <v>0</v>
      </c>
      <c r="AZ2919" s="30" t="n">
        <f aca="false">124329/100</f>
        <v>1243.29</v>
      </c>
      <c r="BA2919" s="11" t="n">
        <v>304606</v>
      </c>
      <c r="BB2919" s="31" t="n">
        <f aca="false">SUM(Q2919,S2919,U2919,W2919,Y2919,AA2919,AC2919,AE2919,AG2919,AI2919,AK2919,AM2919,AO2919,AQ2919,AS2919,AU2919,AW2919,AY2919)</f>
        <v>304606</v>
      </c>
      <c r="BC2919" s="28" t="n">
        <f aca="false">BA2919-BB2919</f>
        <v>0</v>
      </c>
      <c r="BD2919" s="32" t="n">
        <f aca="false">SUM(P2919,R2919,T2919,V2919,X2919,Z2919,AB2919,AD2919,AF2919,AH2919,AJ2919,AL2919,AN2919,AP2919,AR2919,AT2919,AV2919,AX2919)</f>
        <v>1243.29</v>
      </c>
      <c r="BE2919" s="33" t="n">
        <f aca="false">AZ2919-BD2919</f>
        <v>0</v>
      </c>
      <c r="BF2919" s="34" t="n">
        <f aca="false">BD2919*M2919</f>
        <v>304606.05</v>
      </c>
      <c r="BG2919" s="35" t="n">
        <f aca="false">BA2919-BF2919</f>
        <v>-0.0499999999883585</v>
      </c>
      <c r="BH2919" s="19" t="str">
        <f aca="false">IF(BG2919=0,"",IF(BG2919&lt;&gt;BA2919,"erreur de calcul",IF(BD2919&lt;&gt;0,"pas de prix",IF(M2919&lt;&gt; 0,"pas de quantité","pas de prix, ni de quantité"))))</f>
        <v>erreur de calcul</v>
      </c>
      <c r="BI2919" s="19"/>
    </row>
    <row r="2920" customFormat="false" ht="15" hidden="false" customHeight="false" outlineLevel="0" collapsed="false">
      <c r="A2920" s="0" t="n">
        <v>33</v>
      </c>
      <c r="B2920" s="8" t="s">
        <v>24</v>
      </c>
      <c r="C2920" s="9" t="s">
        <v>25</v>
      </c>
      <c r="D2920" s="9" t="s">
        <v>26</v>
      </c>
      <c r="E2920" s="10" t="n">
        <v>1789</v>
      </c>
      <c r="F2920" s="9" t="s">
        <v>27</v>
      </c>
      <c r="G2920" s="9" t="s">
        <v>27</v>
      </c>
      <c r="H2920" s="11" t="n">
        <v>21</v>
      </c>
      <c r="I2920" s="11" t="s">
        <v>186</v>
      </c>
      <c r="J2920" s="14" t="n">
        <v>240</v>
      </c>
      <c r="K2920" s="14"/>
      <c r="L2920" s="16"/>
      <c r="M2920" s="27" t="n">
        <f aca="false">J2920+(K2920/20)+(L2920/240)</f>
        <v>240</v>
      </c>
      <c r="N2920" s="17" t="s">
        <v>64</v>
      </c>
      <c r="O2920" s="11"/>
      <c r="P2920" s="28"/>
      <c r="Q2920" s="28" t="n">
        <f aca="false">P2920*$M2920</f>
        <v>0</v>
      </c>
      <c r="R2920" s="28"/>
      <c r="S2920" s="28" t="n">
        <f aca="false">R2920*$M2920</f>
        <v>0</v>
      </c>
      <c r="T2920" s="28"/>
      <c r="U2920" s="28" t="n">
        <f aca="false">T2920*$M2920</f>
        <v>0</v>
      </c>
      <c r="V2920" s="28"/>
      <c r="W2920" s="28" t="n">
        <f aca="false">V2920*$M2920</f>
        <v>0</v>
      </c>
      <c r="X2920" s="28"/>
      <c r="Y2920" s="28" t="n">
        <f aca="false">X2920*$M2920</f>
        <v>0</v>
      </c>
      <c r="Z2920" s="28"/>
      <c r="AA2920" s="28" t="n">
        <f aca="false">Z2920*$M2920</f>
        <v>0</v>
      </c>
      <c r="AB2920" s="28"/>
      <c r="AC2920" s="28" t="n">
        <f aca="false">AB2920*$M2920</f>
        <v>0</v>
      </c>
      <c r="AD2920" s="28"/>
      <c r="AE2920" s="28" t="n">
        <f aca="false">AD2920*$M2920</f>
        <v>0</v>
      </c>
      <c r="AF2920" s="28"/>
      <c r="AG2920" s="28" t="n">
        <f aca="false">AF2920*$M2920</f>
        <v>0</v>
      </c>
      <c r="AH2920" s="28" t="n">
        <f aca="false">803/100</f>
        <v>8.03</v>
      </c>
      <c r="AI2920" s="28" t="n">
        <v>1927</v>
      </c>
      <c r="AJ2920" s="28"/>
      <c r="AK2920" s="28" t="n">
        <f aca="false">AJ2920*$M2920</f>
        <v>0</v>
      </c>
      <c r="AL2920" s="28"/>
      <c r="AM2920" s="28" t="n">
        <f aca="false">AL2920*$M2920</f>
        <v>0</v>
      </c>
      <c r="AN2920" s="28"/>
      <c r="AO2920" s="28" t="n">
        <f aca="false">AN2920*$M2920</f>
        <v>0</v>
      </c>
      <c r="AP2920" s="28"/>
      <c r="AQ2920" s="28" t="n">
        <f aca="false">AP2920*$M2920</f>
        <v>0</v>
      </c>
      <c r="AR2920" s="28"/>
      <c r="AS2920" s="28" t="n">
        <f aca="false">AR2920*$M2920</f>
        <v>0</v>
      </c>
      <c r="AT2920" s="28"/>
      <c r="AU2920" s="28" t="n">
        <f aca="false">AT2920*$M2920</f>
        <v>0</v>
      </c>
      <c r="AV2920" s="28"/>
      <c r="AW2920" s="28" t="n">
        <f aca="false">AV2920*$M2920</f>
        <v>0</v>
      </c>
      <c r="AX2920" s="28"/>
      <c r="AY2920" s="28" t="n">
        <f aca="false">AX2920*$M2920</f>
        <v>0</v>
      </c>
      <c r="AZ2920" s="30" t="n">
        <f aca="false">803/100</f>
        <v>8.03</v>
      </c>
      <c r="BA2920" s="11" t="n">
        <v>1927</v>
      </c>
      <c r="BB2920" s="31" t="n">
        <f aca="false">SUM(Q2920,S2920,U2920,W2920,Y2920,AA2920,AC2920,AE2920,AG2920,AI2920,AK2920,AM2920,AO2920,AQ2920,AS2920,AU2920,AW2920,AY2920)</f>
        <v>1927</v>
      </c>
      <c r="BC2920" s="28" t="n">
        <f aca="false">BA2920-BB2920</f>
        <v>0</v>
      </c>
      <c r="BD2920" s="32" t="n">
        <f aca="false">SUM(P2920,R2920,T2920,V2920,X2920,Z2920,AB2920,AD2920,AF2920,AH2920,AJ2920,AL2920,AN2920,AP2920,AR2920,AT2920,AV2920,AX2920)</f>
        <v>8.03</v>
      </c>
      <c r="BE2920" s="33" t="n">
        <f aca="false">AZ2920-BD2920</f>
        <v>0</v>
      </c>
      <c r="BF2920" s="34" t="n">
        <f aca="false">BD2920*M2920</f>
        <v>1927.2</v>
      </c>
      <c r="BG2920" s="35" t="n">
        <f aca="false">BA2920-BF2920</f>
        <v>-0.199999999999818</v>
      </c>
      <c r="BH2920" s="19" t="str">
        <f aca="false">IF(BG2920=0,"",IF(BG2920&lt;&gt;BA2920,"erreur de calcul",IF(BD2920&lt;&gt;0,"pas de prix",IF(M2920&lt;&gt; 0,"pas de quantité","pas de prix, ni de quantité"))))</f>
        <v>erreur de calcul</v>
      </c>
      <c r="BI2920" s="19"/>
    </row>
    <row r="2921" customFormat="false" ht="15" hidden="false" customHeight="false" outlineLevel="0" collapsed="false">
      <c r="A2921" s="0" t="n">
        <v>34</v>
      </c>
      <c r="B2921" s="8" t="s">
        <v>24</v>
      </c>
      <c r="C2921" s="9" t="s">
        <v>25</v>
      </c>
      <c r="D2921" s="9" t="s">
        <v>26</v>
      </c>
      <c r="E2921" s="10" t="n">
        <v>1789</v>
      </c>
      <c r="F2921" s="9" t="s">
        <v>27</v>
      </c>
      <c r="G2921" s="9" t="s">
        <v>27</v>
      </c>
      <c r="H2921" s="11" t="n">
        <v>21</v>
      </c>
      <c r="I2921" s="11" t="s">
        <v>187</v>
      </c>
      <c r="J2921" s="14" t="n">
        <v>45</v>
      </c>
      <c r="K2921" s="14"/>
      <c r="L2921" s="16"/>
      <c r="M2921" s="27" t="n">
        <f aca="false">J2921+(K2921/20)+(L2921/240)</f>
        <v>45</v>
      </c>
      <c r="N2921" s="17" t="s">
        <v>64</v>
      </c>
      <c r="O2921" s="11"/>
      <c r="P2921" s="28" t="n">
        <f aca="false">8827/100</f>
        <v>88.27</v>
      </c>
      <c r="Q2921" s="28" t="n">
        <v>3972</v>
      </c>
      <c r="R2921" s="28"/>
      <c r="S2921" s="28" t="n">
        <f aca="false">R2921*$M2921</f>
        <v>0</v>
      </c>
      <c r="T2921" s="28"/>
      <c r="U2921" s="28" t="n">
        <f aca="false">T2921*$M2921</f>
        <v>0</v>
      </c>
      <c r="V2921" s="28" t="n">
        <f aca="false">8951/100</f>
        <v>89.51</v>
      </c>
      <c r="W2921" s="28" t="n">
        <v>4028</v>
      </c>
      <c r="X2921" s="28" t="n">
        <f aca="false">49106/100</f>
        <v>491.06</v>
      </c>
      <c r="Y2921" s="28" t="n">
        <v>22098</v>
      </c>
      <c r="Z2921" s="28"/>
      <c r="AA2921" s="28" t="n">
        <f aca="false">Z2921*$M2921</f>
        <v>0</v>
      </c>
      <c r="AB2921" s="28" t="n">
        <f aca="false">313412/100</f>
        <v>3134.12</v>
      </c>
      <c r="AC2921" s="28" t="n">
        <v>141035</v>
      </c>
      <c r="AD2921" s="28"/>
      <c r="AE2921" s="28" t="n">
        <f aca="false">AD2921*$M2921</f>
        <v>0</v>
      </c>
      <c r="AF2921" s="28"/>
      <c r="AG2921" s="28" t="n">
        <f aca="false">AF2921*$M2921</f>
        <v>0</v>
      </c>
      <c r="AH2921" s="28"/>
      <c r="AI2921" s="28" t="n">
        <f aca="false">AH2921*$M2921</f>
        <v>0</v>
      </c>
      <c r="AJ2921" s="28"/>
      <c r="AK2921" s="28" t="n">
        <f aca="false">AJ2921*$M2921</f>
        <v>0</v>
      </c>
      <c r="AL2921" s="28"/>
      <c r="AM2921" s="28" t="n">
        <f aca="false">AL2921*$M2921</f>
        <v>0</v>
      </c>
      <c r="AN2921" s="28"/>
      <c r="AO2921" s="28" t="n">
        <f aca="false">AN2921*$M2921</f>
        <v>0</v>
      </c>
      <c r="AP2921" s="28"/>
      <c r="AQ2921" s="28" t="n">
        <f aca="false">AP2921*$M2921</f>
        <v>0</v>
      </c>
      <c r="AR2921" s="28"/>
      <c r="AS2921" s="28" t="n">
        <f aca="false">AR2921*$M2921</f>
        <v>0</v>
      </c>
      <c r="AT2921" s="28"/>
      <c r="AU2921" s="28" t="n">
        <f aca="false">AT2921*$M2921</f>
        <v>0</v>
      </c>
      <c r="AV2921" s="28"/>
      <c r="AW2921" s="28" t="n">
        <f aca="false">AV2921*$M2921</f>
        <v>0</v>
      </c>
      <c r="AX2921" s="28"/>
      <c r="AY2921" s="28" t="n">
        <f aca="false">AX2921*$M2921</f>
        <v>0</v>
      </c>
      <c r="AZ2921" s="30" t="n">
        <f aca="false">380296/100</f>
        <v>3802.96</v>
      </c>
      <c r="BA2921" s="11" t="n">
        <v>171133</v>
      </c>
      <c r="BB2921" s="31" t="n">
        <f aca="false">SUM(Q2921,S2921,U2921,W2921,Y2921,AA2921,AC2921,AE2921,AG2921,AI2921,AK2921,AM2921,AO2921,AQ2921,AS2921,AU2921,AW2921,AY2921)</f>
        <v>171133</v>
      </c>
      <c r="BC2921" s="28" t="n">
        <f aca="false">BA2921-BB2921</f>
        <v>0</v>
      </c>
      <c r="BD2921" s="32" t="n">
        <f aca="false">SUM(P2921,R2921,T2921,V2921,X2921,Z2921,AB2921,AD2921,AF2921,AH2921,AJ2921,AL2921,AN2921,AP2921,AR2921,AT2921,AV2921,AX2921)</f>
        <v>3802.96</v>
      </c>
      <c r="BE2921" s="33" t="n">
        <f aca="false">AZ2921-BD2921</f>
        <v>0</v>
      </c>
      <c r="BF2921" s="34" t="n">
        <f aca="false">BD2921*M2921</f>
        <v>171133.2</v>
      </c>
      <c r="BG2921" s="35" t="n">
        <f aca="false">BA2921-BF2921</f>
        <v>-0.200000000011642</v>
      </c>
      <c r="BH2921" s="19" t="str">
        <f aca="false">IF(BG2921=0,"",IF(BG2921&lt;&gt;BA2921,"erreur de calcul",IF(BD2921&lt;&gt;0,"pas de prix",IF(M2921&lt;&gt; 0,"pas de quantité","pas de prix, ni de quantité"))))</f>
        <v>erreur de calcul</v>
      </c>
      <c r="BI2921" s="19"/>
    </row>
    <row r="2922" customFormat="false" ht="15" hidden="false" customHeight="false" outlineLevel="0" collapsed="false">
      <c r="A2922" s="0" t="n">
        <v>35</v>
      </c>
      <c r="B2922" s="8" t="s">
        <v>24</v>
      </c>
      <c r="C2922" s="9" t="s">
        <v>25</v>
      </c>
      <c r="D2922" s="9" t="s">
        <v>26</v>
      </c>
      <c r="E2922" s="10" t="n">
        <v>1789</v>
      </c>
      <c r="F2922" s="9" t="s">
        <v>27</v>
      </c>
      <c r="G2922" s="9" t="s">
        <v>27</v>
      </c>
      <c r="H2922" s="11" t="n">
        <v>21</v>
      </c>
      <c r="I2922" s="11" t="s">
        <v>188</v>
      </c>
      <c r="J2922" s="14" t="n">
        <v>60</v>
      </c>
      <c r="K2922" s="14"/>
      <c r="L2922" s="16"/>
      <c r="M2922" s="27" t="n">
        <f aca="false">J2922+(K2922/20)+(L2922/240)</f>
        <v>60</v>
      </c>
      <c r="N2922" s="17" t="s">
        <v>64</v>
      </c>
      <c r="O2922" s="11"/>
      <c r="P2922" s="28"/>
      <c r="Q2922" s="28" t="n">
        <f aca="false">P2922*$M2922</f>
        <v>0</v>
      </c>
      <c r="R2922" s="28"/>
      <c r="S2922" s="28" t="n">
        <f aca="false">R2922*$M2922</f>
        <v>0</v>
      </c>
      <c r="T2922" s="28"/>
      <c r="U2922" s="28" t="n">
        <f aca="false">T2922*$M2922</f>
        <v>0</v>
      </c>
      <c r="V2922" s="28"/>
      <c r="W2922" s="28" t="n">
        <f aca="false">V2922*$M2922</f>
        <v>0</v>
      </c>
      <c r="X2922" s="28"/>
      <c r="Y2922" s="28" t="n">
        <f aca="false">X2922*$M2922</f>
        <v>0</v>
      </c>
      <c r="Z2922" s="28"/>
      <c r="AA2922" s="28" t="n">
        <f aca="false">Z2922*$M2922</f>
        <v>0</v>
      </c>
      <c r="AB2922" s="28"/>
      <c r="AC2922" s="28" t="n">
        <f aca="false">AB2922*$M2922</f>
        <v>0</v>
      </c>
      <c r="AD2922" s="28"/>
      <c r="AE2922" s="28" t="n">
        <f aca="false">AD2922*$M2922</f>
        <v>0</v>
      </c>
      <c r="AF2922" s="28"/>
      <c r="AG2922" s="28" t="n">
        <f aca="false">AF2922*$M2922</f>
        <v>0</v>
      </c>
      <c r="AH2922" s="28" t="n">
        <f aca="false">6391/100</f>
        <v>63.91</v>
      </c>
      <c r="AI2922" s="28" t="n">
        <v>3835</v>
      </c>
      <c r="AJ2922" s="28"/>
      <c r="AK2922" s="28" t="n">
        <f aca="false">AJ2922*$M2922</f>
        <v>0</v>
      </c>
      <c r="AL2922" s="28"/>
      <c r="AM2922" s="28" t="n">
        <f aca="false">AL2922*$M2922</f>
        <v>0</v>
      </c>
      <c r="AN2922" s="28"/>
      <c r="AO2922" s="28" t="n">
        <f aca="false">AN2922*$M2922</f>
        <v>0</v>
      </c>
      <c r="AP2922" s="28"/>
      <c r="AQ2922" s="28" t="n">
        <f aca="false">AP2922*$M2922</f>
        <v>0</v>
      </c>
      <c r="AR2922" s="28"/>
      <c r="AS2922" s="28" t="n">
        <f aca="false">AR2922*$M2922</f>
        <v>0</v>
      </c>
      <c r="AT2922" s="28"/>
      <c r="AU2922" s="28" t="n">
        <f aca="false">AT2922*$M2922</f>
        <v>0</v>
      </c>
      <c r="AV2922" s="28"/>
      <c r="AW2922" s="28" t="n">
        <f aca="false">AV2922*$M2922</f>
        <v>0</v>
      </c>
      <c r="AX2922" s="28"/>
      <c r="AY2922" s="28" t="n">
        <f aca="false">AX2922*$M2922</f>
        <v>0</v>
      </c>
      <c r="AZ2922" s="30" t="n">
        <f aca="false">6391/100</f>
        <v>63.91</v>
      </c>
      <c r="BA2922" s="11" t="n">
        <v>3835</v>
      </c>
      <c r="BB2922" s="31" t="n">
        <f aca="false">SUM(Q2922,S2922,U2922,W2922,Y2922,AA2922,AC2922,AE2922,AG2922,AI2922,AK2922,AM2922,AO2922,AQ2922,AS2922,AU2922,AW2922,AY2922)</f>
        <v>3835</v>
      </c>
      <c r="BC2922" s="28" t="n">
        <f aca="false">BA2922-BB2922</f>
        <v>0</v>
      </c>
      <c r="BD2922" s="32" t="n">
        <f aca="false">SUM(P2922,R2922,T2922,V2922,X2922,Z2922,AB2922,AD2922,AF2922,AH2922,AJ2922,AL2922,AN2922,AP2922,AR2922,AT2922,AV2922,AX2922)</f>
        <v>63.91</v>
      </c>
      <c r="BE2922" s="33" t="n">
        <f aca="false">AZ2922-BD2922</f>
        <v>0</v>
      </c>
      <c r="BF2922" s="34" t="n">
        <f aca="false">BD2922*M2922</f>
        <v>3834.6</v>
      </c>
      <c r="BG2922" s="35" t="n">
        <f aca="false">BA2922-BF2922</f>
        <v>0.400000000000091</v>
      </c>
      <c r="BH2922" s="19" t="str">
        <f aca="false">IF(BG2922=0,"",IF(BG2922&lt;&gt;BA2922,"erreur de calcul",IF(BD2922&lt;&gt;0,"pas de prix",IF(M2922&lt;&gt; 0,"pas de quantité","pas de prix, ni de quantité"))))</f>
        <v>erreur de calcul</v>
      </c>
      <c r="BI2922" s="19"/>
    </row>
    <row r="2923" customFormat="false" ht="15" hidden="false" customHeight="false" outlineLevel="0" collapsed="false">
      <c r="A2923" s="0" t="n">
        <v>36</v>
      </c>
      <c r="B2923" s="8" t="s">
        <v>24</v>
      </c>
      <c r="C2923" s="9" t="s">
        <v>25</v>
      </c>
      <c r="D2923" s="9" t="s">
        <v>26</v>
      </c>
      <c r="E2923" s="10" t="n">
        <v>1789</v>
      </c>
      <c r="F2923" s="9" t="s">
        <v>27</v>
      </c>
      <c r="G2923" s="9" t="s">
        <v>27</v>
      </c>
      <c r="H2923" s="11" t="n">
        <v>21</v>
      </c>
      <c r="I2923" s="11" t="s">
        <v>189</v>
      </c>
      <c r="J2923" s="14" t="n">
        <v>30</v>
      </c>
      <c r="K2923" s="14"/>
      <c r="L2923" s="16"/>
      <c r="M2923" s="27" t="n">
        <f aca="false">J2923+(K2923/20)+(L2923/240)</f>
        <v>30</v>
      </c>
      <c r="N2923" s="17" t="s">
        <v>66</v>
      </c>
      <c r="O2923" s="11"/>
      <c r="P2923" s="28"/>
      <c r="Q2923" s="28" t="n">
        <f aca="false">P2923*$M2923</f>
        <v>0</v>
      </c>
      <c r="R2923" s="28"/>
      <c r="S2923" s="28" t="n">
        <f aca="false">R2923*$M2923</f>
        <v>0</v>
      </c>
      <c r="T2923" s="28"/>
      <c r="U2923" s="28" t="n">
        <f aca="false">T2923*$M2923</f>
        <v>0</v>
      </c>
      <c r="V2923" s="28" t="n">
        <v>146</v>
      </c>
      <c r="W2923" s="28" t="n">
        <v>4380</v>
      </c>
      <c r="X2923" s="28"/>
      <c r="Y2923" s="28" t="n">
        <f aca="false">X2923*$M2923</f>
        <v>0</v>
      </c>
      <c r="Z2923" s="28"/>
      <c r="AA2923" s="28" t="n">
        <f aca="false">Z2923*$M2923</f>
        <v>0</v>
      </c>
      <c r="AB2923" s="28"/>
      <c r="AC2923" s="28" t="n">
        <f aca="false">AB2923*$M2923</f>
        <v>0</v>
      </c>
      <c r="AD2923" s="28"/>
      <c r="AE2923" s="28" t="n">
        <f aca="false">AD2923*$M2923</f>
        <v>0</v>
      </c>
      <c r="AF2923" s="28"/>
      <c r="AG2923" s="28" t="n">
        <f aca="false">AF2923*$M2923</f>
        <v>0</v>
      </c>
      <c r="AH2923" s="28"/>
      <c r="AI2923" s="28" t="n">
        <f aca="false">AH2923*$M2923</f>
        <v>0</v>
      </c>
      <c r="AJ2923" s="28"/>
      <c r="AK2923" s="28" t="n">
        <f aca="false">AJ2923*$M2923</f>
        <v>0</v>
      </c>
      <c r="AL2923" s="28"/>
      <c r="AM2923" s="28" t="n">
        <f aca="false">AL2923*$M2923</f>
        <v>0</v>
      </c>
      <c r="AN2923" s="28"/>
      <c r="AO2923" s="28" t="n">
        <f aca="false">AN2923*$M2923</f>
        <v>0</v>
      </c>
      <c r="AP2923" s="28"/>
      <c r="AQ2923" s="28" t="n">
        <f aca="false">AP2923*$M2923</f>
        <v>0</v>
      </c>
      <c r="AR2923" s="28"/>
      <c r="AS2923" s="28" t="n">
        <f aca="false">AR2923*$M2923</f>
        <v>0</v>
      </c>
      <c r="AT2923" s="28"/>
      <c r="AU2923" s="28" t="n">
        <f aca="false">AT2923*$M2923</f>
        <v>0</v>
      </c>
      <c r="AV2923" s="28"/>
      <c r="AW2923" s="28" t="n">
        <f aca="false">AV2923*$M2923</f>
        <v>0</v>
      </c>
      <c r="AX2923" s="28"/>
      <c r="AY2923" s="28" t="n">
        <f aca="false">AX2923*$M2923</f>
        <v>0</v>
      </c>
      <c r="AZ2923" s="30" t="n">
        <v>146</v>
      </c>
      <c r="BA2923" s="11" t="n">
        <v>4380</v>
      </c>
      <c r="BB2923" s="31" t="n">
        <f aca="false">SUM(Q2923,S2923,U2923,W2923,Y2923,AA2923,AC2923,AE2923,AG2923,AI2923,AK2923,AM2923,AO2923,AQ2923,AS2923,AU2923,AW2923,AY2923)</f>
        <v>4380</v>
      </c>
      <c r="BC2923" s="28" t="n">
        <f aca="false">BA2923-BB2923</f>
        <v>0</v>
      </c>
      <c r="BD2923" s="32" t="n">
        <f aca="false">SUM(P2923,R2923,T2923,V2923,X2923,Z2923,AB2923,AD2923,AF2923,AH2923,AJ2923,AL2923,AN2923,AP2923,AR2923,AT2923,AV2923,AX2923)</f>
        <v>146</v>
      </c>
      <c r="BE2923" s="33" t="n">
        <f aca="false">AZ2923-BD2923</f>
        <v>0</v>
      </c>
      <c r="BF2923" s="34" t="n">
        <f aca="false">BD2923*M2923</f>
        <v>4380</v>
      </c>
      <c r="BG2923" s="35" t="n">
        <f aca="false">BA2923-BF2923</f>
        <v>0</v>
      </c>
      <c r="BH2923" s="19" t="str">
        <f aca="false">IF(BG2923=0,"",IF(BG2923&lt;&gt;BA2923,"erreur de calcul",IF(BD2923&lt;&gt;0,"pas de prix",IF(M2923&lt;&gt; 0,"pas de quantité","pas de prix, ni de quantité"))))</f>
        <v/>
      </c>
      <c r="BI2923" s="19"/>
    </row>
    <row r="2924" customFormat="false" ht="15" hidden="false" customHeight="false" outlineLevel="0" collapsed="false">
      <c r="A2924" s="0" t="n">
        <v>37</v>
      </c>
      <c r="B2924" s="8" t="s">
        <v>24</v>
      </c>
      <c r="C2924" s="9" t="s">
        <v>25</v>
      </c>
      <c r="D2924" s="9" t="s">
        <v>26</v>
      </c>
      <c r="E2924" s="10" t="n">
        <v>1789</v>
      </c>
      <c r="F2924" s="9" t="s">
        <v>27</v>
      </c>
      <c r="G2924" s="9" t="s">
        <v>27</v>
      </c>
      <c r="H2924" s="11" t="n">
        <v>21</v>
      </c>
      <c r="I2924" s="11" t="s">
        <v>190</v>
      </c>
      <c r="J2924" s="14" t="n">
        <v>3</v>
      </c>
      <c r="K2924" s="14"/>
      <c r="L2924" s="16"/>
      <c r="M2924" s="27" t="n">
        <f aca="false">J2924+(K2924/20)+(L2924/240)</f>
        <v>3</v>
      </c>
      <c r="N2924" s="17" t="s">
        <v>66</v>
      </c>
      <c r="O2924" s="11"/>
      <c r="P2924" s="28"/>
      <c r="Q2924" s="28" t="n">
        <f aca="false">P2924*$M2924</f>
        <v>0</v>
      </c>
      <c r="R2924" s="28"/>
      <c r="S2924" s="28" t="n">
        <f aca="false">R2924*$M2924</f>
        <v>0</v>
      </c>
      <c r="T2924" s="28"/>
      <c r="U2924" s="28" t="n">
        <f aca="false">T2924*$M2924</f>
        <v>0</v>
      </c>
      <c r="V2924" s="28" t="n">
        <v>284</v>
      </c>
      <c r="W2924" s="28" t="n">
        <v>852</v>
      </c>
      <c r="X2924" s="28" t="n">
        <v>8028</v>
      </c>
      <c r="Y2924" s="28" t="n">
        <v>24084</v>
      </c>
      <c r="Z2924" s="28"/>
      <c r="AA2924" s="28" t="n">
        <f aca="false">Z2924*$M2924</f>
        <v>0</v>
      </c>
      <c r="AB2924" s="28"/>
      <c r="AC2924" s="28" t="n">
        <f aca="false">AB2924*$M2924</f>
        <v>0</v>
      </c>
      <c r="AD2924" s="28"/>
      <c r="AE2924" s="28" t="n">
        <f aca="false">AD2924*$M2924</f>
        <v>0</v>
      </c>
      <c r="AF2924" s="28"/>
      <c r="AG2924" s="28" t="n">
        <f aca="false">AF2924*$M2924</f>
        <v>0</v>
      </c>
      <c r="AH2924" s="28"/>
      <c r="AI2924" s="28" t="n">
        <f aca="false">AH2924*$M2924</f>
        <v>0</v>
      </c>
      <c r="AJ2924" s="28"/>
      <c r="AK2924" s="28" t="n">
        <f aca="false">AJ2924*$M2924</f>
        <v>0</v>
      </c>
      <c r="AL2924" s="28" t="n">
        <v>2127</v>
      </c>
      <c r="AM2924" s="28" t="n">
        <v>6381</v>
      </c>
      <c r="AN2924" s="28"/>
      <c r="AO2924" s="28" t="n">
        <f aca="false">AN2924*$M2924</f>
        <v>0</v>
      </c>
      <c r="AP2924" s="28"/>
      <c r="AQ2924" s="28" t="n">
        <f aca="false">AP2924*$M2924</f>
        <v>0</v>
      </c>
      <c r="AR2924" s="28"/>
      <c r="AS2924" s="28" t="n">
        <f aca="false">AR2924*$M2924</f>
        <v>0</v>
      </c>
      <c r="AT2924" s="28"/>
      <c r="AU2924" s="28" t="n">
        <f aca="false">AT2924*$M2924</f>
        <v>0</v>
      </c>
      <c r="AV2924" s="28"/>
      <c r="AW2924" s="28" t="n">
        <f aca="false">AV2924*$M2924</f>
        <v>0</v>
      </c>
      <c r="AX2924" s="28"/>
      <c r="AY2924" s="28" t="n">
        <f aca="false">AX2924*$M2924</f>
        <v>0</v>
      </c>
      <c r="AZ2924" s="30" t="n">
        <v>10439</v>
      </c>
      <c r="BA2924" s="11" t="n">
        <v>31317</v>
      </c>
      <c r="BB2924" s="31" t="n">
        <f aca="false">SUM(Q2924,S2924,U2924,W2924,Y2924,AA2924,AC2924,AE2924,AG2924,AI2924,AK2924,AM2924,AO2924,AQ2924,AS2924,AU2924,AW2924,AY2924)</f>
        <v>31317</v>
      </c>
      <c r="BC2924" s="28" t="n">
        <f aca="false">BA2924-BB2924</f>
        <v>0</v>
      </c>
      <c r="BD2924" s="32" t="n">
        <f aca="false">SUM(P2924,R2924,T2924,V2924,X2924,Z2924,AB2924,AD2924,AF2924,AH2924,AJ2924,AL2924,AN2924,AP2924,AR2924,AT2924,AV2924,AX2924)</f>
        <v>10439</v>
      </c>
      <c r="BE2924" s="33" t="n">
        <f aca="false">AZ2924-BD2924</f>
        <v>0</v>
      </c>
      <c r="BF2924" s="34" t="n">
        <f aca="false">BD2924*M2924</f>
        <v>31317</v>
      </c>
      <c r="BG2924" s="35" t="n">
        <f aca="false">BA2924-BF2924</f>
        <v>0</v>
      </c>
      <c r="BH2924" s="19" t="str">
        <f aca="false">IF(BG2924=0,"",IF(BG2924&lt;&gt;BA2924,"erreur de calcul",IF(BD2924&lt;&gt;0,"pas de prix",IF(M2924&lt;&gt; 0,"pas de quantité","pas de prix, ni de quantité"))))</f>
        <v/>
      </c>
      <c r="BI2924" s="19"/>
    </row>
    <row r="2925" customFormat="false" ht="15" hidden="false" customHeight="false" outlineLevel="0" collapsed="false">
      <c r="A2925" s="0" t="n">
        <v>38</v>
      </c>
      <c r="B2925" s="8" t="s">
        <v>24</v>
      </c>
      <c r="C2925" s="9" t="s">
        <v>25</v>
      </c>
      <c r="D2925" s="9" t="s">
        <v>26</v>
      </c>
      <c r="E2925" s="10" t="n">
        <v>1789</v>
      </c>
      <c r="F2925" s="9" t="s">
        <v>27</v>
      </c>
      <c r="G2925" s="9" t="s">
        <v>27</v>
      </c>
      <c r="H2925" s="11" t="n">
        <v>21</v>
      </c>
      <c r="I2925" s="11" t="s">
        <v>191</v>
      </c>
      <c r="J2925" s="14" t="n">
        <v>25</v>
      </c>
      <c r="K2925" s="14"/>
      <c r="L2925" s="16"/>
      <c r="M2925" s="27" t="n">
        <f aca="false">J2925+(K2925/20)+(L2925/240)</f>
        <v>25</v>
      </c>
      <c r="N2925" s="17" t="s">
        <v>64</v>
      </c>
      <c r="O2925" s="11"/>
      <c r="P2925" s="28"/>
      <c r="Q2925" s="28" t="n">
        <f aca="false">P2925*$M2925</f>
        <v>0</v>
      </c>
      <c r="R2925" s="28"/>
      <c r="S2925" s="28" t="n">
        <f aca="false">R2925*$M2925</f>
        <v>0</v>
      </c>
      <c r="T2925" s="28"/>
      <c r="U2925" s="28" t="n">
        <f aca="false">T2925*$M2925</f>
        <v>0</v>
      </c>
      <c r="V2925" s="28"/>
      <c r="W2925" s="28" t="n">
        <f aca="false">V2925*$M2925</f>
        <v>0</v>
      </c>
      <c r="X2925" s="28" t="n">
        <f aca="false">5034/100</f>
        <v>50.34</v>
      </c>
      <c r="Y2925" s="28" t="n">
        <v>1258</v>
      </c>
      <c r="Z2925" s="28"/>
      <c r="AA2925" s="28" t="n">
        <f aca="false">Z2925*$M2925</f>
        <v>0</v>
      </c>
      <c r="AB2925" s="28"/>
      <c r="AC2925" s="28" t="n">
        <f aca="false">AB2925*$M2925</f>
        <v>0</v>
      </c>
      <c r="AD2925" s="28"/>
      <c r="AE2925" s="28" t="n">
        <f aca="false">AD2925*$M2925</f>
        <v>0</v>
      </c>
      <c r="AF2925" s="28"/>
      <c r="AG2925" s="28" t="n">
        <f aca="false">AF2925*$M2925</f>
        <v>0</v>
      </c>
      <c r="AH2925" s="28"/>
      <c r="AI2925" s="28" t="n">
        <f aca="false">AH2925*$M2925</f>
        <v>0</v>
      </c>
      <c r="AJ2925" s="28" t="n">
        <f aca="false">1375/100</f>
        <v>13.75</v>
      </c>
      <c r="AK2925" s="28" t="n">
        <v>344</v>
      </c>
      <c r="AL2925" s="28" t="n">
        <f aca="false">6710/100</f>
        <v>67.1</v>
      </c>
      <c r="AM2925" s="28" t="n">
        <v>1677</v>
      </c>
      <c r="AN2925" s="28"/>
      <c r="AO2925" s="28" t="n">
        <f aca="false">AN2925*$M2925</f>
        <v>0</v>
      </c>
      <c r="AP2925" s="28"/>
      <c r="AQ2925" s="28" t="n">
        <f aca="false">AP2925*$M2925</f>
        <v>0</v>
      </c>
      <c r="AR2925" s="28"/>
      <c r="AS2925" s="28" t="n">
        <f aca="false">AR2925*$M2925</f>
        <v>0</v>
      </c>
      <c r="AT2925" s="28"/>
      <c r="AU2925" s="28" t="n">
        <f aca="false">AT2925*$M2925</f>
        <v>0</v>
      </c>
      <c r="AV2925" s="28"/>
      <c r="AW2925" s="28" t="n">
        <f aca="false">AV2925*$M2925</f>
        <v>0</v>
      </c>
      <c r="AX2925" s="28"/>
      <c r="AY2925" s="28" t="n">
        <f aca="false">AX2925*$M2925</f>
        <v>0</v>
      </c>
      <c r="AZ2925" s="30" t="n">
        <f aca="false">13119/100</f>
        <v>131.19</v>
      </c>
      <c r="BA2925" s="11" t="n">
        <v>3279</v>
      </c>
      <c r="BB2925" s="31" t="n">
        <f aca="false">SUM(Q2925,S2925,U2925,W2925,Y2925,AA2925,AC2925,AE2925,AG2925,AI2925,AK2925,AM2925,AO2925,AQ2925,AS2925,AU2925,AW2925,AY2925)</f>
        <v>3279</v>
      </c>
      <c r="BC2925" s="28" t="n">
        <f aca="false">BA2925-BB2925</f>
        <v>0</v>
      </c>
      <c r="BD2925" s="32" t="n">
        <f aca="false">SUM(P2925,R2925,T2925,V2925,X2925,Z2925,AB2925,AD2925,AF2925,AH2925,AJ2925,AL2925,AN2925,AP2925,AR2925,AT2925,AV2925,AX2925)</f>
        <v>131.19</v>
      </c>
      <c r="BE2925" s="33" t="n">
        <f aca="false">AZ2925-BD2925</f>
        <v>0</v>
      </c>
      <c r="BF2925" s="34" t="n">
        <f aca="false">BD2925*M2925</f>
        <v>3279.75</v>
      </c>
      <c r="BG2925" s="35" t="n">
        <f aca="false">BA2925-BF2925</f>
        <v>-0.75</v>
      </c>
      <c r="BH2925" s="19" t="str">
        <f aca="false">IF(BG2925=0,"",IF(BG2925&lt;&gt;BA2925,"erreur de calcul",IF(BD2925&lt;&gt;0,"pas de prix",IF(M2925&lt;&gt; 0,"pas de quantité","pas de prix, ni de quantité"))))</f>
        <v>erreur de calcul</v>
      </c>
      <c r="BI2925" s="19"/>
    </row>
    <row r="2926" customFormat="false" ht="15" hidden="false" customHeight="false" outlineLevel="0" collapsed="false">
      <c r="A2926" s="0" t="n">
        <v>39</v>
      </c>
      <c r="B2926" s="8" t="s">
        <v>24</v>
      </c>
      <c r="C2926" s="9" t="s">
        <v>25</v>
      </c>
      <c r="D2926" s="9" t="s">
        <v>26</v>
      </c>
      <c r="E2926" s="10" t="n">
        <v>1789</v>
      </c>
      <c r="F2926" s="9" t="s">
        <v>27</v>
      </c>
      <c r="G2926" s="9" t="s">
        <v>27</v>
      </c>
      <c r="H2926" s="11" t="n">
        <v>21</v>
      </c>
      <c r="I2926" s="11" t="s">
        <v>192</v>
      </c>
      <c r="J2926" s="14" t="n">
        <v>25</v>
      </c>
      <c r="K2926" s="14"/>
      <c r="L2926" s="16"/>
      <c r="M2926" s="27" t="n">
        <f aca="false">J2926+(K2926/20)+(L2926/240)</f>
        <v>25</v>
      </c>
      <c r="N2926" s="17" t="s">
        <v>64</v>
      </c>
      <c r="O2926" s="11"/>
      <c r="P2926" s="28"/>
      <c r="Q2926" s="28" t="n">
        <f aca="false">P2926*$M2926</f>
        <v>0</v>
      </c>
      <c r="R2926" s="28"/>
      <c r="S2926" s="28" t="n">
        <f aca="false">R2926*$M2926</f>
        <v>0</v>
      </c>
      <c r="T2926" s="28"/>
      <c r="U2926" s="28" t="n">
        <f aca="false">T2926*$M2926</f>
        <v>0</v>
      </c>
      <c r="V2926" s="28"/>
      <c r="W2926" s="28" t="n">
        <f aca="false">V2926*$M2926</f>
        <v>0</v>
      </c>
      <c r="X2926" s="28" t="n">
        <f aca="false">5561/100</f>
        <v>55.61</v>
      </c>
      <c r="Y2926" s="28" t="n">
        <v>1390</v>
      </c>
      <c r="Z2926" s="28"/>
      <c r="AA2926" s="28" t="n">
        <f aca="false">Z2926*$M2926</f>
        <v>0</v>
      </c>
      <c r="AB2926" s="28"/>
      <c r="AC2926" s="28" t="n">
        <f aca="false">AB2926*$M2926</f>
        <v>0</v>
      </c>
      <c r="AD2926" s="28"/>
      <c r="AE2926" s="28" t="n">
        <f aca="false">AD2926*$M2926</f>
        <v>0</v>
      </c>
      <c r="AF2926" s="28"/>
      <c r="AG2926" s="28" t="n">
        <f aca="false">AF2926*$M2926</f>
        <v>0</v>
      </c>
      <c r="AH2926" s="28"/>
      <c r="AI2926" s="28" t="n">
        <f aca="false">AH2926*$M2926</f>
        <v>0</v>
      </c>
      <c r="AJ2926" s="28"/>
      <c r="AK2926" s="28" t="n">
        <f aca="false">AJ2926*$M2926</f>
        <v>0</v>
      </c>
      <c r="AL2926" s="28"/>
      <c r="AM2926" s="28" t="n">
        <f aca="false">AL2926*$M2926</f>
        <v>0</v>
      </c>
      <c r="AN2926" s="28"/>
      <c r="AO2926" s="28" t="n">
        <f aca="false">AN2926*$M2926</f>
        <v>0</v>
      </c>
      <c r="AP2926" s="28"/>
      <c r="AQ2926" s="28" t="n">
        <f aca="false">AP2926*$M2926</f>
        <v>0</v>
      </c>
      <c r="AR2926" s="28"/>
      <c r="AS2926" s="28" t="n">
        <f aca="false">AR2926*$M2926</f>
        <v>0</v>
      </c>
      <c r="AT2926" s="28"/>
      <c r="AU2926" s="28" t="n">
        <f aca="false">AT2926*$M2926</f>
        <v>0</v>
      </c>
      <c r="AV2926" s="28"/>
      <c r="AW2926" s="28" t="n">
        <f aca="false">AV2926*$M2926</f>
        <v>0</v>
      </c>
      <c r="AX2926" s="28"/>
      <c r="AY2926" s="28" t="n">
        <f aca="false">AX2926*$M2926</f>
        <v>0</v>
      </c>
      <c r="AZ2926" s="30" t="n">
        <f aca="false">5561/100</f>
        <v>55.61</v>
      </c>
      <c r="BA2926" s="11" t="n">
        <v>1390</v>
      </c>
      <c r="BB2926" s="31" t="n">
        <f aca="false">SUM(Q2926,S2926,U2926,W2926,Y2926,AA2926,AC2926,AE2926,AG2926,AI2926,AK2926,AM2926,AO2926,AQ2926,AS2926,AU2926,AW2926,AY2926)</f>
        <v>1390</v>
      </c>
      <c r="BC2926" s="28" t="n">
        <f aca="false">BA2926-BB2926</f>
        <v>0</v>
      </c>
      <c r="BD2926" s="32" t="n">
        <f aca="false">SUM(P2926,R2926,T2926,V2926,X2926,Z2926,AB2926,AD2926,AF2926,AH2926,AJ2926,AL2926,AN2926,AP2926,AR2926,AT2926,AV2926,AX2926)</f>
        <v>55.61</v>
      </c>
      <c r="BE2926" s="33" t="n">
        <f aca="false">AZ2926-BD2926</f>
        <v>0</v>
      </c>
      <c r="BF2926" s="34" t="n">
        <f aca="false">BD2926*M2926</f>
        <v>1390.25</v>
      </c>
      <c r="BG2926" s="35" t="n">
        <f aca="false">BA2926-BF2926</f>
        <v>-0.25</v>
      </c>
      <c r="BH2926" s="19" t="str">
        <f aca="false">IF(BG2926=0,"",IF(BG2926&lt;&gt;BA2926,"erreur de calcul",IF(BD2926&lt;&gt;0,"pas de prix",IF(M2926&lt;&gt; 0,"pas de quantité","pas de prix, ni de quantité"))))</f>
        <v>erreur de calcul</v>
      </c>
      <c r="BI2926" s="19"/>
    </row>
    <row r="2927" customFormat="false" ht="15" hidden="false" customHeight="false" outlineLevel="0" collapsed="false">
      <c r="A2927" s="0" t="n">
        <v>40</v>
      </c>
      <c r="B2927" s="8" t="s">
        <v>24</v>
      </c>
      <c r="C2927" s="9" t="s">
        <v>25</v>
      </c>
      <c r="D2927" s="9" t="s">
        <v>26</v>
      </c>
      <c r="E2927" s="10" t="n">
        <v>1789</v>
      </c>
      <c r="F2927" s="9" t="s">
        <v>27</v>
      </c>
      <c r="G2927" s="9" t="s">
        <v>27</v>
      </c>
      <c r="H2927" s="11" t="n">
        <v>21</v>
      </c>
      <c r="I2927" s="11" t="s">
        <v>193</v>
      </c>
      <c r="J2927" s="14" t="n">
        <v>168</v>
      </c>
      <c r="K2927" s="14"/>
      <c r="L2927" s="16"/>
      <c r="M2927" s="27" t="n">
        <f aca="false">J2927+(K2927/20)+(L2927/240)</f>
        <v>168</v>
      </c>
      <c r="N2927" s="17" t="s">
        <v>64</v>
      </c>
      <c r="O2927" s="11"/>
      <c r="P2927" s="28"/>
      <c r="Q2927" s="28" t="n">
        <f aca="false">P2927*$M2927</f>
        <v>0</v>
      </c>
      <c r="R2927" s="28"/>
      <c r="S2927" s="28" t="n">
        <f aca="false">R2927*$M2927</f>
        <v>0</v>
      </c>
      <c r="T2927" s="28"/>
      <c r="U2927" s="28" t="n">
        <f aca="false">T2927*$M2927</f>
        <v>0</v>
      </c>
      <c r="V2927" s="28"/>
      <c r="W2927" s="28" t="n">
        <f aca="false">V2927*$M2927</f>
        <v>0</v>
      </c>
      <c r="X2927" s="28"/>
      <c r="Y2927" s="28" t="n">
        <f aca="false">X2927*$M2927</f>
        <v>0</v>
      </c>
      <c r="Z2927" s="28"/>
      <c r="AA2927" s="28" t="n">
        <f aca="false">Z2927*$M2927</f>
        <v>0</v>
      </c>
      <c r="AB2927" s="28"/>
      <c r="AC2927" s="28" t="n">
        <f aca="false">AB2927*$M2927</f>
        <v>0</v>
      </c>
      <c r="AD2927" s="28"/>
      <c r="AE2927" s="28" t="n">
        <f aca="false">AD2927*$M2927</f>
        <v>0</v>
      </c>
      <c r="AF2927" s="28"/>
      <c r="AG2927" s="28" t="n">
        <f aca="false">AF2927*$M2927</f>
        <v>0</v>
      </c>
      <c r="AH2927" s="28" t="n">
        <f aca="false">14590/100</f>
        <v>145.9</v>
      </c>
      <c r="AI2927" s="28" t="n">
        <v>24511</v>
      </c>
      <c r="AJ2927" s="28"/>
      <c r="AK2927" s="28" t="n">
        <f aca="false">AJ2927*$M2927</f>
        <v>0</v>
      </c>
      <c r="AL2927" s="28"/>
      <c r="AM2927" s="28" t="n">
        <f aca="false">AL2927*$M2927</f>
        <v>0</v>
      </c>
      <c r="AN2927" s="28"/>
      <c r="AO2927" s="28" t="n">
        <f aca="false">AN2927*$M2927</f>
        <v>0</v>
      </c>
      <c r="AP2927" s="28"/>
      <c r="AQ2927" s="28" t="n">
        <f aca="false">AP2927*$M2927</f>
        <v>0</v>
      </c>
      <c r="AR2927" s="28"/>
      <c r="AS2927" s="28" t="n">
        <f aca="false">AR2927*$M2927</f>
        <v>0</v>
      </c>
      <c r="AT2927" s="28"/>
      <c r="AU2927" s="28" t="n">
        <f aca="false">AT2927*$M2927</f>
        <v>0</v>
      </c>
      <c r="AV2927" s="28"/>
      <c r="AW2927" s="28" t="n">
        <f aca="false">AV2927*$M2927</f>
        <v>0</v>
      </c>
      <c r="AX2927" s="28"/>
      <c r="AY2927" s="28" t="n">
        <f aca="false">AX2927*$M2927</f>
        <v>0</v>
      </c>
      <c r="AZ2927" s="30" t="n">
        <f aca="false">14590/100</f>
        <v>145.9</v>
      </c>
      <c r="BA2927" s="11" t="n">
        <v>24511</v>
      </c>
      <c r="BB2927" s="31" t="n">
        <f aca="false">SUM(Q2927,S2927,U2927,W2927,Y2927,AA2927,AC2927,AE2927,AG2927,AI2927,AK2927,AM2927,AO2927,AQ2927,AS2927,AU2927,AW2927,AY2927)</f>
        <v>24511</v>
      </c>
      <c r="BC2927" s="28" t="n">
        <f aca="false">BA2927-BB2927</f>
        <v>0</v>
      </c>
      <c r="BD2927" s="32" t="n">
        <f aca="false">SUM(P2927,R2927,T2927,V2927,X2927,Z2927,AB2927,AD2927,AF2927,AH2927,AJ2927,AL2927,AN2927,AP2927,AR2927,AT2927,AV2927,AX2927)</f>
        <v>145.9</v>
      </c>
      <c r="BE2927" s="33" t="n">
        <f aca="false">AZ2927-BD2927</f>
        <v>0</v>
      </c>
      <c r="BF2927" s="34" t="n">
        <f aca="false">BD2927*M2927</f>
        <v>24511.2</v>
      </c>
      <c r="BG2927" s="35" t="n">
        <f aca="false">BA2927-BF2927</f>
        <v>-0.200000000000728</v>
      </c>
      <c r="BH2927" s="19" t="str">
        <f aca="false">IF(BG2927=0,"",IF(BG2927&lt;&gt;BA2927,"erreur de calcul",IF(BD2927&lt;&gt;0,"pas de prix",IF(M2927&lt;&gt; 0,"pas de quantité","pas de prix, ni de quantité"))))</f>
        <v>erreur de calcul</v>
      </c>
      <c r="BI2927" s="19"/>
    </row>
    <row r="2928" customFormat="false" ht="15" hidden="false" customHeight="false" outlineLevel="0" collapsed="false">
      <c r="A2928" s="0" t="n">
        <v>41</v>
      </c>
      <c r="B2928" s="8" t="s">
        <v>24</v>
      </c>
      <c r="C2928" s="9" t="s">
        <v>25</v>
      </c>
      <c r="D2928" s="9" t="s">
        <v>26</v>
      </c>
      <c r="E2928" s="10" t="n">
        <v>1789</v>
      </c>
      <c r="F2928" s="9" t="s">
        <v>27</v>
      </c>
      <c r="G2928" s="9" t="s">
        <v>27</v>
      </c>
      <c r="H2928" s="11" t="n">
        <v>21</v>
      </c>
      <c r="I2928" s="11" t="s">
        <v>194</v>
      </c>
      <c r="J2928" s="14" t="n">
        <v>120</v>
      </c>
      <c r="K2928" s="14"/>
      <c r="L2928" s="16"/>
      <c r="M2928" s="27" t="n">
        <f aca="false">J2928+(K2928/20)+(L2928/240)</f>
        <v>120</v>
      </c>
      <c r="N2928" s="17" t="s">
        <v>64</v>
      </c>
      <c r="O2928" s="11"/>
      <c r="P2928" s="28"/>
      <c r="Q2928" s="28" t="n">
        <f aca="false">P2928*$M2928</f>
        <v>0</v>
      </c>
      <c r="R2928" s="28"/>
      <c r="S2928" s="28" t="n">
        <f aca="false">R2928*$M2928</f>
        <v>0</v>
      </c>
      <c r="T2928" s="28"/>
      <c r="U2928" s="28" t="n">
        <f aca="false">T2928*$M2928</f>
        <v>0</v>
      </c>
      <c r="V2928" s="28"/>
      <c r="W2928" s="28" t="n">
        <f aca="false">V2928*$M2928</f>
        <v>0</v>
      </c>
      <c r="X2928" s="28"/>
      <c r="Y2928" s="28" t="n">
        <f aca="false">X2928*$M2928</f>
        <v>0</v>
      </c>
      <c r="Z2928" s="28"/>
      <c r="AA2928" s="28" t="n">
        <f aca="false">Z2928*$M2928</f>
        <v>0</v>
      </c>
      <c r="AB2928" s="28" t="n">
        <f aca="false">6930/100</f>
        <v>69.3</v>
      </c>
      <c r="AC2928" s="28" t="n">
        <v>8316</v>
      </c>
      <c r="AD2928" s="28"/>
      <c r="AE2928" s="28" t="n">
        <f aca="false">AD2928*$M2928</f>
        <v>0</v>
      </c>
      <c r="AF2928" s="28"/>
      <c r="AG2928" s="28" t="n">
        <f aca="false">AF2928*$M2928</f>
        <v>0</v>
      </c>
      <c r="AH2928" s="28"/>
      <c r="AI2928" s="28" t="n">
        <f aca="false">AH2928*$M2928</f>
        <v>0</v>
      </c>
      <c r="AJ2928" s="28"/>
      <c r="AK2928" s="28" t="n">
        <f aca="false">AJ2928*$M2928</f>
        <v>0</v>
      </c>
      <c r="AL2928" s="28"/>
      <c r="AM2928" s="28" t="n">
        <f aca="false">AL2928*$M2928</f>
        <v>0</v>
      </c>
      <c r="AN2928" s="28"/>
      <c r="AO2928" s="28" t="n">
        <f aca="false">AN2928*$M2928</f>
        <v>0</v>
      </c>
      <c r="AP2928" s="28"/>
      <c r="AQ2928" s="28" t="n">
        <f aca="false">AP2928*$M2928</f>
        <v>0</v>
      </c>
      <c r="AR2928" s="28"/>
      <c r="AS2928" s="28" t="n">
        <f aca="false">AR2928*$M2928</f>
        <v>0</v>
      </c>
      <c r="AT2928" s="28"/>
      <c r="AU2928" s="28" t="n">
        <f aca="false">AT2928*$M2928</f>
        <v>0</v>
      </c>
      <c r="AV2928" s="28"/>
      <c r="AW2928" s="28" t="n">
        <f aca="false">AV2928*$M2928</f>
        <v>0</v>
      </c>
      <c r="AX2928" s="28"/>
      <c r="AY2928" s="28" t="n">
        <f aca="false">AX2928*$M2928</f>
        <v>0</v>
      </c>
      <c r="AZ2928" s="30" t="n">
        <f aca="false">6930/100</f>
        <v>69.3</v>
      </c>
      <c r="BA2928" s="11" t="n">
        <v>8316</v>
      </c>
      <c r="BB2928" s="31" t="n">
        <f aca="false">SUM(Q2928,S2928,U2928,W2928,Y2928,AA2928,AC2928,AE2928,AG2928,AI2928,AK2928,AM2928,AO2928,AQ2928,AS2928,AU2928,AW2928,AY2928)</f>
        <v>8316</v>
      </c>
      <c r="BC2928" s="28" t="n">
        <f aca="false">BA2928-BB2928</f>
        <v>0</v>
      </c>
      <c r="BD2928" s="32" t="n">
        <f aca="false">SUM(P2928,R2928,T2928,V2928,X2928,Z2928,AB2928,AD2928,AF2928,AH2928,AJ2928,AL2928,AN2928,AP2928,AR2928,AT2928,AV2928,AX2928)</f>
        <v>69.3</v>
      </c>
      <c r="BE2928" s="33" t="n">
        <f aca="false">AZ2928-BD2928</f>
        <v>0</v>
      </c>
      <c r="BF2928" s="34" t="n">
        <f aca="false">BD2928*M2928</f>
        <v>8316</v>
      </c>
      <c r="BG2928" s="35" t="n">
        <f aca="false">BA2928-BF2928</f>
        <v>0</v>
      </c>
      <c r="BH2928" s="19" t="str">
        <f aca="false">IF(BG2928=0,"",IF(BG2928&lt;&gt;BA2928,"erreur de calcul",IF(BD2928&lt;&gt;0,"pas de prix",IF(M2928&lt;&gt; 0,"pas de quantité","pas de prix, ni de quantité"))))</f>
        <v/>
      </c>
      <c r="BI2928" s="19"/>
    </row>
    <row r="2929" customFormat="false" ht="16.65" hidden="false" customHeight="false" outlineLevel="0" collapsed="false">
      <c r="A2929" s="0" t="n">
        <v>42</v>
      </c>
      <c r="B2929" s="8" t="s">
        <v>24</v>
      </c>
      <c r="C2929" s="9" t="s">
        <v>25</v>
      </c>
      <c r="D2929" s="9" t="s">
        <v>26</v>
      </c>
      <c r="E2929" s="10" t="n">
        <v>1789</v>
      </c>
      <c r="F2929" s="9" t="s">
        <v>27</v>
      </c>
      <c r="G2929" s="9" t="s">
        <v>27</v>
      </c>
      <c r="H2929" s="11" t="n">
        <v>21</v>
      </c>
      <c r="I2929" s="11" t="s">
        <v>195</v>
      </c>
      <c r="J2929" s="14" t="n">
        <v>70</v>
      </c>
      <c r="K2929" s="14"/>
      <c r="L2929" s="16"/>
      <c r="M2929" s="27" t="n">
        <f aca="false">J2929+(K2929/20)+(L2929/240)</f>
        <v>70</v>
      </c>
      <c r="N2929" s="17" t="s">
        <v>64</v>
      </c>
      <c r="O2929" s="11"/>
      <c r="P2929" s="28"/>
      <c r="Q2929" s="28" t="n">
        <f aca="false">P2929*$M2929</f>
        <v>0</v>
      </c>
      <c r="R2929" s="28"/>
      <c r="S2929" s="28" t="n">
        <f aca="false">R2929*$M2929</f>
        <v>0</v>
      </c>
      <c r="T2929" s="28"/>
      <c r="U2929" s="28" t="n">
        <f aca="false">T2929*$M2929</f>
        <v>0</v>
      </c>
      <c r="V2929" s="28"/>
      <c r="W2929" s="28" t="n">
        <f aca="false">V2929*$M2929</f>
        <v>0</v>
      </c>
      <c r="X2929" s="28"/>
      <c r="Y2929" s="28" t="n">
        <f aca="false">X2929*$M2929</f>
        <v>0</v>
      </c>
      <c r="Z2929" s="28"/>
      <c r="AA2929" s="28" t="n">
        <f aca="false">Z2929*$M2929</f>
        <v>0</v>
      </c>
      <c r="AB2929" s="28"/>
      <c r="AC2929" s="28" t="n">
        <f aca="false">AB2929*$M2929</f>
        <v>0</v>
      </c>
      <c r="AD2929" s="28"/>
      <c r="AE2929" s="28" t="n">
        <f aca="false">AD2929*$M2929</f>
        <v>0</v>
      </c>
      <c r="AF2929" s="28"/>
      <c r="AG2929" s="28" t="n">
        <f aca="false">AF2929*$M2929</f>
        <v>0</v>
      </c>
      <c r="AH2929" s="28"/>
      <c r="AI2929" s="28" t="n">
        <f aca="false">AH2929*$M2929</f>
        <v>0</v>
      </c>
      <c r="AJ2929" s="28"/>
      <c r="AK2929" s="28" t="n">
        <f aca="false">AJ2929*$M2929</f>
        <v>0</v>
      </c>
      <c r="AL2929" s="28"/>
      <c r="AM2929" s="28" t="n">
        <f aca="false">AL2929*$M2929</f>
        <v>0</v>
      </c>
      <c r="AN2929" s="28" t="n">
        <f aca="false">13200/100</f>
        <v>132</v>
      </c>
      <c r="AO2929" s="28" t="n">
        <v>9240</v>
      </c>
      <c r="AP2929" s="28"/>
      <c r="AQ2929" s="28" t="n">
        <f aca="false">AP2929*$M2929</f>
        <v>0</v>
      </c>
      <c r="AR2929" s="28"/>
      <c r="AS2929" s="28" t="n">
        <f aca="false">AR2929*$M2929</f>
        <v>0</v>
      </c>
      <c r="AT2929" s="28"/>
      <c r="AU2929" s="28" t="n">
        <f aca="false">AT2929*$M2929</f>
        <v>0</v>
      </c>
      <c r="AV2929" s="28"/>
      <c r="AW2929" s="28" t="n">
        <f aca="false">AV2929*$M2929</f>
        <v>0</v>
      </c>
      <c r="AX2929" s="28"/>
      <c r="AY2929" s="28" t="n">
        <f aca="false">AX2929*$M2929</f>
        <v>0</v>
      </c>
      <c r="AZ2929" s="30" t="n">
        <f aca="false">13200/100</f>
        <v>132</v>
      </c>
      <c r="BA2929" s="11" t="n">
        <v>9240</v>
      </c>
      <c r="BB2929" s="31" t="n">
        <f aca="false">SUM(Q2929,S2929,U2929,W2929,Y2929,AA2929,AC2929,AE2929,AG2929,AI2929,AK2929,AM2929,AO2929,AQ2929,AS2929,AU2929,AW2929,AY2929)</f>
        <v>9240</v>
      </c>
      <c r="BC2929" s="28" t="n">
        <f aca="false">BA2929-BB2929</f>
        <v>0</v>
      </c>
      <c r="BD2929" s="32" t="n">
        <f aca="false">SUM(P2929,R2929,T2929,V2929,X2929,Z2929,AB2929,AD2929,AF2929,AH2929,AJ2929,AL2929,AN2929,AP2929,AR2929,AT2929,AV2929,AX2929)</f>
        <v>132</v>
      </c>
      <c r="BE2929" s="33" t="n">
        <f aca="false">AZ2929-BD2929</f>
        <v>0</v>
      </c>
      <c r="BF2929" s="34" t="n">
        <f aca="false">BD2929*M2929</f>
        <v>9240</v>
      </c>
      <c r="BG2929" s="35" t="n">
        <f aca="false">BA2929-BF2929</f>
        <v>0</v>
      </c>
      <c r="BH2929" s="19" t="str">
        <f aca="false">IF(BG2929=0,"",IF(BG2929&lt;&gt;BA2929,"erreur de calcul",IF(BD2929&lt;&gt;0,"pas de prix",IF(M2929&lt;&gt; 0,"pas de quantité","pas de prix, ni de quantité"))))</f>
        <v/>
      </c>
      <c r="BI2929" s="19"/>
    </row>
    <row r="2930" customFormat="false" ht="15" hidden="false" customHeight="false" outlineLevel="0" collapsed="false">
      <c r="A2930" s="0" t="n">
        <v>43</v>
      </c>
      <c r="B2930" s="8" t="s">
        <v>24</v>
      </c>
      <c r="C2930" s="9" t="s">
        <v>25</v>
      </c>
      <c r="D2930" s="9" t="s">
        <v>26</v>
      </c>
      <c r="E2930" s="10" t="n">
        <v>1789</v>
      </c>
      <c r="F2930" s="9" t="s">
        <v>27</v>
      </c>
      <c r="G2930" s="9" t="s">
        <v>27</v>
      </c>
      <c r="H2930" s="11" t="n">
        <v>21</v>
      </c>
      <c r="I2930" s="11" t="s">
        <v>196</v>
      </c>
      <c r="J2930" s="14" t="n">
        <v>65</v>
      </c>
      <c r="K2930" s="14"/>
      <c r="L2930" s="16"/>
      <c r="M2930" s="27" t="n">
        <f aca="false">J2930+(K2930/20)+(L2930/240)</f>
        <v>65</v>
      </c>
      <c r="N2930" s="17" t="s">
        <v>64</v>
      </c>
      <c r="O2930" s="11"/>
      <c r="P2930" s="28"/>
      <c r="Q2930" s="28" t="n">
        <f aca="false">P2930*$M2930</f>
        <v>0</v>
      </c>
      <c r="R2930" s="28"/>
      <c r="S2930" s="28" t="n">
        <f aca="false">R2930*$M2930</f>
        <v>0</v>
      </c>
      <c r="T2930" s="28"/>
      <c r="U2930" s="28" t="n">
        <f aca="false">T2930*$M2930</f>
        <v>0</v>
      </c>
      <c r="V2930" s="28"/>
      <c r="W2930" s="28" t="n">
        <f aca="false">V2930*$M2930</f>
        <v>0</v>
      </c>
      <c r="X2930" s="28" t="n">
        <f aca="false">44247/100</f>
        <v>442.47</v>
      </c>
      <c r="Y2930" s="28" t="n">
        <v>28760</v>
      </c>
      <c r="Z2930" s="28" t="n">
        <f aca="false">1906/100</f>
        <v>19.06</v>
      </c>
      <c r="AA2930" s="28" t="n">
        <v>1239</v>
      </c>
      <c r="AB2930" s="28"/>
      <c r="AC2930" s="28" t="n">
        <f aca="false">AB2930*$M2930</f>
        <v>0</v>
      </c>
      <c r="AD2930" s="28"/>
      <c r="AE2930" s="28" t="n">
        <f aca="false">AD2930*$M2930</f>
        <v>0</v>
      </c>
      <c r="AF2930" s="28"/>
      <c r="AG2930" s="28" t="n">
        <f aca="false">AF2930*$M2930</f>
        <v>0</v>
      </c>
      <c r="AH2930" s="28"/>
      <c r="AI2930" s="28" t="n">
        <f aca="false">AH2930*$M2930</f>
        <v>0</v>
      </c>
      <c r="AJ2930" s="28" t="n">
        <f aca="false">625/100</f>
        <v>6.25</v>
      </c>
      <c r="AK2930" s="28" t="n">
        <v>406</v>
      </c>
      <c r="AL2930" s="28"/>
      <c r="AM2930" s="28" t="n">
        <f aca="false">AL2930*$M2930</f>
        <v>0</v>
      </c>
      <c r="AN2930" s="28"/>
      <c r="AO2930" s="28" t="n">
        <f aca="false">AN2930*$M2930</f>
        <v>0</v>
      </c>
      <c r="AP2930" s="28"/>
      <c r="AQ2930" s="28" t="n">
        <f aca="false">AP2930*$M2930</f>
        <v>0</v>
      </c>
      <c r="AR2930" s="28"/>
      <c r="AS2930" s="28" t="n">
        <f aca="false">AR2930*$M2930</f>
        <v>0</v>
      </c>
      <c r="AT2930" s="28"/>
      <c r="AU2930" s="28" t="n">
        <f aca="false">AT2930*$M2930</f>
        <v>0</v>
      </c>
      <c r="AV2930" s="28"/>
      <c r="AW2930" s="28" t="n">
        <f aca="false">AV2930*$M2930</f>
        <v>0</v>
      </c>
      <c r="AX2930" s="28"/>
      <c r="AY2930" s="28" t="n">
        <f aca="false">AX2930*$M2930</f>
        <v>0</v>
      </c>
      <c r="AZ2930" s="30" t="n">
        <f aca="false">46778/100</f>
        <v>467.78</v>
      </c>
      <c r="BA2930" s="11" t="n">
        <v>30405</v>
      </c>
      <c r="BB2930" s="31" t="n">
        <f aca="false">SUM(Q2930,S2930,U2930,W2930,Y2930,AA2930,AC2930,AE2930,AG2930,AI2930,AK2930,AM2930,AO2930,AQ2930,AS2930,AU2930,AW2930,AY2930)</f>
        <v>30405</v>
      </c>
      <c r="BC2930" s="28" t="n">
        <f aca="false">BA2930-BB2930</f>
        <v>0</v>
      </c>
      <c r="BD2930" s="32" t="n">
        <f aca="false">SUM(P2930,R2930,T2930,V2930,X2930,Z2930,AB2930,AD2930,AF2930,AH2930,AJ2930,AL2930,AN2930,AP2930,AR2930,AT2930,AV2930,AX2930)</f>
        <v>467.78</v>
      </c>
      <c r="BE2930" s="33" t="n">
        <f aca="false">AZ2930-BD2930</f>
        <v>0</v>
      </c>
      <c r="BF2930" s="34" t="n">
        <f aca="false">BD2930*M2930</f>
        <v>30405.7</v>
      </c>
      <c r="BG2930" s="35" t="n">
        <f aca="false">BA2930-BF2930</f>
        <v>-0.700000000000728</v>
      </c>
      <c r="BH2930" s="19" t="str">
        <f aca="false">IF(BG2930=0,"",IF(BG2930&lt;&gt;BA2930,"erreur de calcul",IF(BD2930&lt;&gt;0,"pas de prix",IF(M2930&lt;&gt; 0,"pas de quantité","pas de prix, ni de quantité"))))</f>
        <v>erreur de calcul</v>
      </c>
      <c r="BI2930" s="19"/>
    </row>
    <row r="2931" customFormat="false" ht="15" hidden="false" customHeight="false" outlineLevel="0" collapsed="false">
      <c r="A2931" s="0" t="n">
        <v>44</v>
      </c>
      <c r="B2931" s="8" t="s">
        <v>24</v>
      </c>
      <c r="C2931" s="9" t="s">
        <v>25</v>
      </c>
      <c r="D2931" s="9" t="s">
        <v>26</v>
      </c>
      <c r="E2931" s="10" t="n">
        <v>1789</v>
      </c>
      <c r="F2931" s="9" t="s">
        <v>27</v>
      </c>
      <c r="G2931" s="9" t="s">
        <v>27</v>
      </c>
      <c r="H2931" s="11" t="n">
        <v>21</v>
      </c>
      <c r="I2931" s="11" t="s">
        <v>197</v>
      </c>
      <c r="J2931" s="14" t="n">
        <v>70</v>
      </c>
      <c r="K2931" s="14"/>
      <c r="L2931" s="16"/>
      <c r="M2931" s="27" t="n">
        <f aca="false">J2931+(K2931/20)+(L2931/240)</f>
        <v>70</v>
      </c>
      <c r="N2931" s="17" t="s">
        <v>64</v>
      </c>
      <c r="O2931" s="11"/>
      <c r="P2931" s="28"/>
      <c r="Q2931" s="28" t="n">
        <f aca="false">P2931*$M2931</f>
        <v>0</v>
      </c>
      <c r="R2931" s="28"/>
      <c r="S2931" s="28" t="n">
        <f aca="false">R2931*$M2931</f>
        <v>0</v>
      </c>
      <c r="T2931" s="28"/>
      <c r="U2931" s="28" t="n">
        <f aca="false">T2931*$M2931</f>
        <v>0</v>
      </c>
      <c r="V2931" s="28"/>
      <c r="W2931" s="28" t="n">
        <f aca="false">V2931*$M2931</f>
        <v>0</v>
      </c>
      <c r="X2931" s="28"/>
      <c r="Y2931" s="28" t="n">
        <f aca="false">X2931*$M2931</f>
        <v>0</v>
      </c>
      <c r="Z2931" s="28"/>
      <c r="AA2931" s="28" t="n">
        <f aca="false">Z2931*$M2931</f>
        <v>0</v>
      </c>
      <c r="AB2931" s="28"/>
      <c r="AC2931" s="28" t="n">
        <f aca="false">AB2931*$M2931</f>
        <v>0</v>
      </c>
      <c r="AD2931" s="28"/>
      <c r="AE2931" s="28" t="n">
        <f aca="false">AD2931*$M2931</f>
        <v>0</v>
      </c>
      <c r="AF2931" s="28"/>
      <c r="AG2931" s="28" t="n">
        <f aca="false">AF2931*$M2931</f>
        <v>0</v>
      </c>
      <c r="AH2931" s="28" t="n">
        <f aca="false">156436/100</f>
        <v>1564.36</v>
      </c>
      <c r="AI2931" s="28" t="n">
        <v>109505</v>
      </c>
      <c r="AJ2931" s="28"/>
      <c r="AK2931" s="28" t="n">
        <f aca="false">AJ2931*$M2931</f>
        <v>0</v>
      </c>
      <c r="AL2931" s="28"/>
      <c r="AM2931" s="28" t="n">
        <f aca="false">AL2931*$M2931</f>
        <v>0</v>
      </c>
      <c r="AN2931" s="28"/>
      <c r="AO2931" s="28" t="n">
        <f aca="false">AN2931*$M2931</f>
        <v>0</v>
      </c>
      <c r="AP2931" s="28"/>
      <c r="AQ2931" s="28" t="n">
        <f aca="false">AP2931*$M2931</f>
        <v>0</v>
      </c>
      <c r="AR2931" s="28"/>
      <c r="AS2931" s="28" t="n">
        <f aca="false">AR2931*$M2931</f>
        <v>0</v>
      </c>
      <c r="AT2931" s="28"/>
      <c r="AU2931" s="28" t="n">
        <f aca="false">AT2931*$M2931</f>
        <v>0</v>
      </c>
      <c r="AV2931" s="28"/>
      <c r="AW2931" s="28" t="n">
        <f aca="false">AV2931*$M2931</f>
        <v>0</v>
      </c>
      <c r="AX2931" s="28"/>
      <c r="AY2931" s="28" t="n">
        <f aca="false">AX2931*$M2931</f>
        <v>0</v>
      </c>
      <c r="AZ2931" s="30" t="n">
        <f aca="false">156436/100</f>
        <v>1564.36</v>
      </c>
      <c r="BA2931" s="11" t="n">
        <v>109505</v>
      </c>
      <c r="BB2931" s="31" t="n">
        <f aca="false">SUM(Q2931,S2931,U2931,W2931,Y2931,AA2931,AC2931,AE2931,AG2931,AI2931,AK2931,AM2931,AO2931,AQ2931,AS2931,AU2931,AW2931,AY2931)</f>
        <v>109505</v>
      </c>
      <c r="BC2931" s="28" t="n">
        <f aca="false">BA2931-BB2931</f>
        <v>0</v>
      </c>
      <c r="BD2931" s="32" t="n">
        <f aca="false">SUM(P2931,R2931,T2931,V2931,X2931,Z2931,AB2931,AD2931,AF2931,AH2931,AJ2931,AL2931,AN2931,AP2931,AR2931,AT2931,AV2931,AX2931)</f>
        <v>1564.36</v>
      </c>
      <c r="BE2931" s="33" t="n">
        <f aca="false">AZ2931-BD2931</f>
        <v>0</v>
      </c>
      <c r="BF2931" s="34" t="n">
        <f aca="false">BD2931*M2931</f>
        <v>109505.2</v>
      </c>
      <c r="BG2931" s="35" t="n">
        <f aca="false">BA2931-BF2931</f>
        <v>-0.19999999999709</v>
      </c>
      <c r="BH2931" s="19" t="str">
        <f aca="false">IF(BG2931=0,"",IF(BG2931&lt;&gt;BA2931,"erreur de calcul",IF(BD2931&lt;&gt;0,"pas de prix",IF(M2931&lt;&gt; 0,"pas de quantité","pas de prix, ni de quantité"))))</f>
        <v>erreur de calcul</v>
      </c>
      <c r="BI2931" s="19"/>
    </row>
    <row r="2932" customFormat="false" ht="15" hidden="false" customHeight="false" outlineLevel="0" collapsed="false">
      <c r="A2932" s="0" t="n">
        <v>45</v>
      </c>
      <c r="B2932" s="8" t="s">
        <v>24</v>
      </c>
      <c r="C2932" s="9" t="s">
        <v>25</v>
      </c>
      <c r="D2932" s="9" t="s">
        <v>26</v>
      </c>
      <c r="E2932" s="10" t="n">
        <v>1789</v>
      </c>
      <c r="F2932" s="9" t="s">
        <v>27</v>
      </c>
      <c r="G2932" s="9" t="s">
        <v>27</v>
      </c>
      <c r="H2932" s="11" t="n">
        <v>21</v>
      </c>
      <c r="I2932" s="11" t="s">
        <v>198</v>
      </c>
      <c r="J2932" s="14"/>
      <c r="K2932" s="14"/>
      <c r="L2932" s="16"/>
      <c r="M2932" s="27" t="n">
        <f aca="false">J2932+(K2932/20)+(L2932/240)</f>
        <v>0</v>
      </c>
      <c r="N2932" s="17"/>
      <c r="O2932" s="11" t="s">
        <v>98</v>
      </c>
      <c r="P2932" s="28"/>
      <c r="Q2932" s="28" t="n">
        <v>387</v>
      </c>
      <c r="R2932" s="28"/>
      <c r="S2932" s="28" t="n">
        <f aca="false">R2932*$M2932</f>
        <v>0</v>
      </c>
      <c r="T2932" s="28"/>
      <c r="U2932" s="28" t="n">
        <v>2349</v>
      </c>
      <c r="V2932" s="28"/>
      <c r="W2932" s="28" t="n">
        <v>978</v>
      </c>
      <c r="X2932" s="28"/>
      <c r="Y2932" s="28" t="n">
        <f aca="false">X2932*$M2932</f>
        <v>0</v>
      </c>
      <c r="Z2932" s="28"/>
      <c r="AA2932" s="28" t="n">
        <f aca="false">Z2932*$M2932</f>
        <v>0</v>
      </c>
      <c r="AB2932" s="28"/>
      <c r="AC2932" s="28" t="n">
        <v>328</v>
      </c>
      <c r="AD2932" s="28"/>
      <c r="AE2932" s="28" t="n">
        <f aca="false">AD2932*$M2932</f>
        <v>0</v>
      </c>
      <c r="AF2932" s="28"/>
      <c r="AG2932" s="28" t="n">
        <f aca="false">AF2932*$M2932</f>
        <v>0</v>
      </c>
      <c r="AH2932" s="28"/>
      <c r="AI2932" s="28" t="n">
        <v>878</v>
      </c>
      <c r="AJ2932" s="28"/>
      <c r="AK2932" s="28" t="n">
        <v>1546</v>
      </c>
      <c r="AL2932" s="28"/>
      <c r="AM2932" s="28" t="n">
        <f aca="false">AL2932*$M2932</f>
        <v>0</v>
      </c>
      <c r="AN2932" s="28"/>
      <c r="AO2932" s="28" t="n">
        <f aca="false">AN2932*$M2932</f>
        <v>0</v>
      </c>
      <c r="AP2932" s="28"/>
      <c r="AQ2932" s="28" t="n">
        <f aca="false">AP2932*$M2932</f>
        <v>0</v>
      </c>
      <c r="AR2932" s="28"/>
      <c r="AS2932" s="28" t="n">
        <f aca="false">AR2932*$M2932</f>
        <v>0</v>
      </c>
      <c r="AT2932" s="28"/>
      <c r="AU2932" s="28" t="n">
        <f aca="false">AT2932*$M2932</f>
        <v>0</v>
      </c>
      <c r="AV2932" s="28"/>
      <c r="AW2932" s="28" t="n">
        <f aca="false">AV2932*$M2932</f>
        <v>0</v>
      </c>
      <c r="AX2932" s="28"/>
      <c r="AY2932" s="28" t="n">
        <f aca="false">AX2932*$M2932</f>
        <v>0</v>
      </c>
      <c r="AZ2932" s="30"/>
      <c r="BA2932" s="11" t="n">
        <v>6466</v>
      </c>
      <c r="BB2932" s="31" t="n">
        <f aca="false">SUM(Q2932,S2932,U2932,W2932,Y2932,AA2932,AC2932,AE2932,AG2932,AI2932,AK2932,AM2932,AO2932,AQ2932,AS2932,AU2932,AW2932,AY2932)</f>
        <v>6466</v>
      </c>
      <c r="BC2932" s="28" t="n">
        <f aca="false">BA2932-BB2932</f>
        <v>0</v>
      </c>
      <c r="BD2932" s="32" t="n">
        <f aca="false">SUM(P2932,R2932,T2932,V2932,X2932,Z2932,AB2932,AD2932,AF2932,AH2932,AJ2932,AL2932,AN2932,AP2932,AR2932,AT2932,AV2932,AX2932)</f>
        <v>0</v>
      </c>
      <c r="BE2932" s="33" t="n">
        <f aca="false">AZ2932-BD2932</f>
        <v>0</v>
      </c>
      <c r="BF2932" s="34" t="n">
        <f aca="false">BD2932*M2932</f>
        <v>0</v>
      </c>
      <c r="BG2932" s="35" t="n">
        <f aca="false">BA2932-BF2932</f>
        <v>6466</v>
      </c>
      <c r="BH2932" s="19" t="str">
        <f aca="false">IF(BG2932=0,"",IF(BG2932&lt;&gt;BA2932,"erreur de calcul",IF(BD2932&lt;&gt;0,"pas de prix",IF(M2932&lt;&gt; 0,"pas de quantité","pas de prix, ni de quantité"))))</f>
        <v>pas de prix, ni de quantité</v>
      </c>
      <c r="BI2932" s="19"/>
    </row>
    <row r="2933" customFormat="false" ht="15" hidden="false" customHeight="false" outlineLevel="0" collapsed="false">
      <c r="A2933" s="0" t="n">
        <v>46</v>
      </c>
      <c r="B2933" s="8" t="s">
        <v>24</v>
      </c>
      <c r="C2933" s="9" t="s">
        <v>25</v>
      </c>
      <c r="D2933" s="9" t="s">
        <v>26</v>
      </c>
      <c r="E2933" s="10" t="n">
        <v>1789</v>
      </c>
      <c r="F2933" s="9" t="s">
        <v>27</v>
      </c>
      <c r="G2933" s="9" t="s">
        <v>27</v>
      </c>
      <c r="H2933" s="11" t="n">
        <v>21</v>
      </c>
      <c r="I2933" s="11" t="s">
        <v>199</v>
      </c>
      <c r="J2933" s="14" t="n">
        <v>27</v>
      </c>
      <c r="K2933" s="14"/>
      <c r="L2933" s="16"/>
      <c r="M2933" s="27" t="n">
        <f aca="false">J2933+(K2933/20)+(L2933/240)</f>
        <v>27</v>
      </c>
      <c r="N2933" s="17" t="s">
        <v>64</v>
      </c>
      <c r="O2933" s="11"/>
      <c r="P2933" s="28" t="n">
        <f aca="false">108627/100</f>
        <v>1086.27</v>
      </c>
      <c r="Q2933" s="28" t="n">
        <v>29329</v>
      </c>
      <c r="R2933" s="28"/>
      <c r="S2933" s="28" t="n">
        <f aca="false">R2933*$M2933</f>
        <v>0</v>
      </c>
      <c r="T2933" s="28"/>
      <c r="U2933" s="28" t="n">
        <f aca="false">T2933*$M2933</f>
        <v>0</v>
      </c>
      <c r="V2933" s="28"/>
      <c r="W2933" s="28" t="n">
        <f aca="false">V2933*$M2933</f>
        <v>0</v>
      </c>
      <c r="X2933" s="28"/>
      <c r="Y2933" s="28" t="n">
        <f aca="false">X2933*$M2933</f>
        <v>0</v>
      </c>
      <c r="Z2933" s="28" t="n">
        <f aca="false">535243/100</f>
        <v>5352.43</v>
      </c>
      <c r="AA2933" s="28" t="n">
        <v>144516</v>
      </c>
      <c r="AB2933" s="28"/>
      <c r="AC2933" s="28" t="n">
        <f aca="false">AB2933*$M2933</f>
        <v>0</v>
      </c>
      <c r="AD2933" s="28" t="n">
        <f aca="false">75759/100</f>
        <v>757.59</v>
      </c>
      <c r="AE2933" s="28" t="n">
        <v>20455</v>
      </c>
      <c r="AF2933" s="28"/>
      <c r="AG2933" s="28" t="n">
        <f aca="false">AF2933*$M2933</f>
        <v>0</v>
      </c>
      <c r="AH2933" s="28" t="n">
        <f aca="false">77800/100</f>
        <v>778</v>
      </c>
      <c r="AI2933" s="36" t="n">
        <v>21016</v>
      </c>
      <c r="AJ2933" s="28" t="n">
        <f aca="false">28078/100</f>
        <v>280.78</v>
      </c>
      <c r="AK2933" s="28" t="n">
        <v>7581</v>
      </c>
      <c r="AL2933" s="28" t="n">
        <f aca="false">15417/100</f>
        <v>154.17</v>
      </c>
      <c r="AM2933" s="28" t="n">
        <v>4162</v>
      </c>
      <c r="AN2933" s="28"/>
      <c r="AO2933" s="28" t="n">
        <f aca="false">AN2933*$M2933</f>
        <v>0</v>
      </c>
      <c r="AP2933" s="28"/>
      <c r="AQ2933" s="28" t="n">
        <f aca="false">AP2933*$M2933</f>
        <v>0</v>
      </c>
      <c r="AR2933" s="28"/>
      <c r="AS2933" s="28" t="n">
        <f aca="false">AR2933*$M2933</f>
        <v>0</v>
      </c>
      <c r="AT2933" s="28"/>
      <c r="AU2933" s="28" t="n">
        <f aca="false">AT2933*$M2933</f>
        <v>0</v>
      </c>
      <c r="AV2933" s="28"/>
      <c r="AW2933" s="28" t="n">
        <f aca="false">AV2933*$M2933</f>
        <v>0</v>
      </c>
      <c r="AX2933" s="28"/>
      <c r="AY2933" s="28" t="n">
        <f aca="false">AX2933*$M2933</f>
        <v>0</v>
      </c>
      <c r="AZ2933" s="30" t="n">
        <f aca="false">840924/100</f>
        <v>8409.24</v>
      </c>
      <c r="BA2933" s="11" t="n">
        <v>227059</v>
      </c>
      <c r="BB2933" s="31" t="n">
        <f aca="false">SUM(Q2933,S2933,U2933,W2933,Y2933,AA2933,AC2933,AE2933,AG2933,AI2933,AK2933,AM2933,AO2933,AQ2933,AS2933,AU2933,AW2933,AY2933)</f>
        <v>227059</v>
      </c>
      <c r="BC2933" s="28" t="n">
        <f aca="false">BA2933-BB2933</f>
        <v>0</v>
      </c>
      <c r="BD2933" s="32" t="n">
        <f aca="false">SUM(P2933,R2933,T2933,V2933,X2933,Z2933,AB2933,AD2933,AF2933,AH2933,AJ2933,AL2933,AN2933,AP2933,AR2933,AT2933,AV2933,AX2933)</f>
        <v>8409.24</v>
      </c>
      <c r="BE2933" s="33" t="n">
        <f aca="false">AZ2933-BD2933</f>
        <v>0</v>
      </c>
      <c r="BF2933" s="34" t="n">
        <f aca="false">BD2933*M2933</f>
        <v>227049.48</v>
      </c>
      <c r="BG2933" s="35" t="n">
        <f aca="false">BA2933-BF2933</f>
        <v>9.52000000001863</v>
      </c>
      <c r="BH2933" s="19" t="str">
        <f aca="false">IF(BG2933=0,"",IF(BG2933&lt;&gt;BA2933,"erreur de calcul",IF(BD2933&lt;&gt;0,"pas de prix",IF(M2933&lt;&gt; 0,"pas de quantité","pas de prix, ni de quantité"))))</f>
        <v>erreur de calcul</v>
      </c>
      <c r="BI2933" s="19"/>
    </row>
    <row r="2934" customFormat="false" ht="15" hidden="false" customHeight="false" outlineLevel="0" collapsed="false">
      <c r="A2934" s="0" t="n">
        <v>47</v>
      </c>
      <c r="B2934" s="8" t="s">
        <v>24</v>
      </c>
      <c r="C2934" s="9" t="s">
        <v>25</v>
      </c>
      <c r="D2934" s="9" t="s">
        <v>26</v>
      </c>
      <c r="E2934" s="10" t="n">
        <v>1789</v>
      </c>
      <c r="F2934" s="9" t="s">
        <v>27</v>
      </c>
      <c r="G2934" s="9" t="s">
        <v>27</v>
      </c>
      <c r="H2934" s="11" t="n">
        <v>21</v>
      </c>
      <c r="I2934" s="11" t="s">
        <v>200</v>
      </c>
      <c r="J2934" s="14" t="n">
        <v>25</v>
      </c>
      <c r="K2934" s="14"/>
      <c r="L2934" s="16"/>
      <c r="M2934" s="27" t="n">
        <f aca="false">J2934+(K2934/20)+(L2934/240)</f>
        <v>25</v>
      </c>
      <c r="N2934" s="17" t="s">
        <v>64</v>
      </c>
      <c r="O2934" s="11"/>
      <c r="P2934" s="28"/>
      <c r="Q2934" s="28" t="n">
        <f aca="false">P2934*$M2934</f>
        <v>0</v>
      </c>
      <c r="R2934" s="28"/>
      <c r="S2934" s="28" t="n">
        <f aca="false">R2934*$M2934</f>
        <v>0</v>
      </c>
      <c r="T2934" s="28" t="n">
        <f aca="false">56427/100</f>
        <v>564.27</v>
      </c>
      <c r="U2934" s="28" t="n">
        <v>14107</v>
      </c>
      <c r="V2934" s="28"/>
      <c r="W2934" s="28" t="n">
        <f aca="false">V2934*$M2934</f>
        <v>0</v>
      </c>
      <c r="X2934" s="28" t="n">
        <f aca="false">98758/100</f>
        <v>987.58</v>
      </c>
      <c r="Y2934" s="28" t="n">
        <v>24689</v>
      </c>
      <c r="Z2934" s="28"/>
      <c r="AA2934" s="28" t="n">
        <f aca="false">Z2934*$M2934</f>
        <v>0</v>
      </c>
      <c r="AB2934" s="28"/>
      <c r="AC2934" s="28" t="n">
        <f aca="false">AB2934*$M2934</f>
        <v>0</v>
      </c>
      <c r="AD2934" s="28"/>
      <c r="AE2934" s="28" t="n">
        <f aca="false">AD2934*$M2934</f>
        <v>0</v>
      </c>
      <c r="AF2934" s="28"/>
      <c r="AG2934" s="28" t="n">
        <f aca="false">AF2934*$M2934</f>
        <v>0</v>
      </c>
      <c r="AH2934" s="28"/>
      <c r="AI2934" s="28" t="n">
        <f aca="false">AH2934*$M2934</f>
        <v>0</v>
      </c>
      <c r="AJ2934" s="28"/>
      <c r="AK2934" s="28" t="n">
        <f aca="false">AJ2934*$M2934</f>
        <v>0</v>
      </c>
      <c r="AL2934" s="28"/>
      <c r="AM2934" s="28" t="n">
        <f aca="false">AL2934*$M2934</f>
        <v>0</v>
      </c>
      <c r="AN2934" s="28"/>
      <c r="AO2934" s="28" t="n">
        <f aca="false">AN2934*$M2934</f>
        <v>0</v>
      </c>
      <c r="AP2934" s="28"/>
      <c r="AQ2934" s="28" t="n">
        <f aca="false">AP2934*$M2934</f>
        <v>0</v>
      </c>
      <c r="AR2934" s="28"/>
      <c r="AS2934" s="28" t="n">
        <f aca="false">AR2934*$M2934</f>
        <v>0</v>
      </c>
      <c r="AT2934" s="28"/>
      <c r="AU2934" s="28" t="n">
        <f aca="false">AT2934*$M2934</f>
        <v>0</v>
      </c>
      <c r="AV2934" s="28"/>
      <c r="AW2934" s="28" t="n">
        <f aca="false">AV2934*$M2934</f>
        <v>0</v>
      </c>
      <c r="AX2934" s="28"/>
      <c r="AY2934" s="28" t="n">
        <f aca="false">AX2934*$M2934</f>
        <v>0</v>
      </c>
      <c r="AZ2934" s="30" t="n">
        <f aca="false">155115/100</f>
        <v>1551.15</v>
      </c>
      <c r="BA2934" s="11" t="n">
        <v>38796</v>
      </c>
      <c r="BB2934" s="31" t="n">
        <f aca="false">SUM(Q2934,S2934,U2934,W2934,Y2934,AA2934,AC2934,AE2934,AG2934,AI2934,AK2934,AM2934,AO2934,AQ2934,AS2934,AU2934,AW2934,AY2934)</f>
        <v>38796</v>
      </c>
      <c r="BC2934" s="28" t="n">
        <f aca="false">BA2934-BB2934</f>
        <v>0</v>
      </c>
      <c r="BD2934" s="32" t="n">
        <f aca="false">SUM(P2934,R2934,T2934,V2934,X2934,Z2934,AB2934,AD2934,AF2934,AH2934,AJ2934,AL2934,AN2934,AP2934,AR2934,AT2934,AV2934,AX2934)</f>
        <v>1551.85</v>
      </c>
      <c r="BE2934" s="33" t="n">
        <f aca="false">AZ2934-BD2934</f>
        <v>-0.699999999999818</v>
      </c>
      <c r="BF2934" s="34" t="n">
        <f aca="false">BD2934*M2934</f>
        <v>38796.25</v>
      </c>
      <c r="BG2934" s="35" t="n">
        <f aca="false">BA2934-BF2934</f>
        <v>-0.25</v>
      </c>
      <c r="BH2934" s="19" t="str">
        <f aca="false">IF(BG2934=0,"",IF(BG2934&lt;&gt;BA2934,"erreur de calcul",IF(BD2934&lt;&gt;0,"pas de prix",IF(M2934&lt;&gt; 0,"pas de quantité","pas de prix, ni de quantité"))))</f>
        <v>erreur de calcul</v>
      </c>
      <c r="BI2934" s="19"/>
    </row>
    <row r="2935" customFormat="false" ht="15" hidden="false" customHeight="false" outlineLevel="0" collapsed="false">
      <c r="A2935" s="0" t="n">
        <v>48</v>
      </c>
      <c r="B2935" s="8" t="s">
        <v>24</v>
      </c>
      <c r="C2935" s="9" t="s">
        <v>25</v>
      </c>
      <c r="D2935" s="9" t="s">
        <v>26</v>
      </c>
      <c r="E2935" s="10" t="n">
        <v>1789</v>
      </c>
      <c r="F2935" s="9" t="s">
        <v>27</v>
      </c>
      <c r="G2935" s="9" t="s">
        <v>27</v>
      </c>
      <c r="H2935" s="11" t="n">
        <v>21</v>
      </c>
      <c r="I2935" s="11" t="s">
        <v>201</v>
      </c>
      <c r="J2935" s="14"/>
      <c r="K2935" s="14" t="n">
        <v>15</v>
      </c>
      <c r="L2935" s="16"/>
      <c r="M2935" s="27" t="n">
        <f aca="false">J2935+(K2935/20)+(L2935/240)</f>
        <v>0.75</v>
      </c>
      <c r="N2935" s="17" t="s">
        <v>66</v>
      </c>
      <c r="O2935" s="11"/>
      <c r="P2935" s="28"/>
      <c r="Q2935" s="28" t="n">
        <f aca="false">P2935*$M2935</f>
        <v>0</v>
      </c>
      <c r="R2935" s="28"/>
      <c r="S2935" s="28" t="n">
        <f aca="false">R2935*$M2935</f>
        <v>0</v>
      </c>
      <c r="T2935" s="28"/>
      <c r="U2935" s="28" t="n">
        <f aca="false">T2935*$M2935</f>
        <v>0</v>
      </c>
      <c r="V2935" s="28"/>
      <c r="W2935" s="28" t="n">
        <f aca="false">V2935*$M2935</f>
        <v>0</v>
      </c>
      <c r="X2935" s="28"/>
      <c r="Y2935" s="28" t="n">
        <f aca="false">X2935*$M2935</f>
        <v>0</v>
      </c>
      <c r="Z2935" s="28"/>
      <c r="AA2935" s="28" t="n">
        <f aca="false">Z2935*$M2935</f>
        <v>0</v>
      </c>
      <c r="AB2935" s="28"/>
      <c r="AC2935" s="28" t="n">
        <f aca="false">AB2935*$M2935</f>
        <v>0</v>
      </c>
      <c r="AD2935" s="28"/>
      <c r="AE2935" s="28" t="n">
        <f aca="false">AD2935*$M2935</f>
        <v>0</v>
      </c>
      <c r="AF2935" s="28"/>
      <c r="AG2935" s="28" t="n">
        <f aca="false">AF2935*$M2935</f>
        <v>0</v>
      </c>
      <c r="AH2935" s="28"/>
      <c r="AI2935" s="28" t="n">
        <f aca="false">AH2935*$M2935</f>
        <v>0</v>
      </c>
      <c r="AJ2935" s="28" t="n">
        <v>6171</v>
      </c>
      <c r="AK2935" s="28" t="n">
        <v>4628</v>
      </c>
      <c r="AL2935" s="28"/>
      <c r="AM2935" s="28" t="n">
        <f aca="false">AL2935*$M2935</f>
        <v>0</v>
      </c>
      <c r="AN2935" s="28"/>
      <c r="AO2935" s="28" t="n">
        <f aca="false">AN2935*$M2935</f>
        <v>0</v>
      </c>
      <c r="AP2935" s="28"/>
      <c r="AQ2935" s="28" t="n">
        <f aca="false">AP2935*$M2935</f>
        <v>0</v>
      </c>
      <c r="AR2935" s="28"/>
      <c r="AS2935" s="28" t="n">
        <f aca="false">AR2935*$M2935</f>
        <v>0</v>
      </c>
      <c r="AT2935" s="28"/>
      <c r="AU2935" s="28" t="n">
        <f aca="false">AT2935*$M2935</f>
        <v>0</v>
      </c>
      <c r="AV2935" s="28"/>
      <c r="AW2935" s="28" t="n">
        <f aca="false">AV2935*$M2935</f>
        <v>0</v>
      </c>
      <c r="AX2935" s="28"/>
      <c r="AY2935" s="28" t="n">
        <f aca="false">AX2935*$M2935</f>
        <v>0</v>
      </c>
      <c r="AZ2935" s="30" t="n">
        <v>6171</v>
      </c>
      <c r="BA2935" s="11" t="n">
        <v>4628</v>
      </c>
      <c r="BB2935" s="31" t="n">
        <f aca="false">SUM(Q2935,S2935,U2935,W2935,Y2935,AA2935,AC2935,AE2935,AG2935,AI2935,AK2935,AM2935,AO2935,AQ2935,AS2935,AU2935,AW2935,AY2935)</f>
        <v>4628</v>
      </c>
      <c r="BC2935" s="28" t="n">
        <f aca="false">BA2935-BB2935</f>
        <v>0</v>
      </c>
      <c r="BD2935" s="32" t="n">
        <f aca="false">SUM(P2935,R2935,T2935,V2935,X2935,Z2935,AB2935,AD2935,AF2935,AH2935,AJ2935,AL2935,AN2935,AP2935,AR2935,AT2935,AV2935,AX2935)</f>
        <v>6171</v>
      </c>
      <c r="BE2935" s="33" t="n">
        <f aca="false">AZ2935-BD2935</f>
        <v>0</v>
      </c>
      <c r="BF2935" s="34" t="n">
        <f aca="false">BD2935*M2935</f>
        <v>4628.25</v>
      </c>
      <c r="BG2935" s="35" t="n">
        <f aca="false">BA2935-BF2935</f>
        <v>-0.25</v>
      </c>
      <c r="BH2935" s="19" t="str">
        <f aca="false">IF(BG2935=0,"",IF(BG2935&lt;&gt;BA2935,"erreur de calcul",IF(BD2935&lt;&gt;0,"pas de prix",IF(M2935&lt;&gt; 0,"pas de quantité","pas de prix, ni de quantité"))))</f>
        <v>erreur de calcul</v>
      </c>
      <c r="BI2935" s="19"/>
    </row>
    <row r="2936" customFormat="false" ht="15" hidden="false" customHeight="false" outlineLevel="0" collapsed="false">
      <c r="A2936" s="0" t="n">
        <v>1</v>
      </c>
      <c r="B2936" s="8" t="s">
        <v>24</v>
      </c>
      <c r="C2936" s="9" t="s">
        <v>25</v>
      </c>
      <c r="D2936" s="9" t="s">
        <v>26</v>
      </c>
      <c r="E2936" s="10" t="n">
        <v>1789</v>
      </c>
      <c r="F2936" s="9" t="s">
        <v>27</v>
      </c>
      <c r="G2936" s="9" t="s">
        <v>27</v>
      </c>
      <c r="H2936" s="11" t="n">
        <v>22</v>
      </c>
      <c r="I2936" s="11" t="s">
        <v>202</v>
      </c>
      <c r="J2936" s="14" t="n">
        <v>10</v>
      </c>
      <c r="K2936" s="14"/>
      <c r="L2936" s="16"/>
      <c r="M2936" s="27" t="n">
        <f aca="false">J2936+(K2936/20)+(L2936/240)</f>
        <v>10</v>
      </c>
      <c r="N2936" s="17" t="s">
        <v>64</v>
      </c>
      <c r="O2936" s="11"/>
      <c r="P2936" s="28" t="n">
        <f aca="false">36147/100</f>
        <v>361.47</v>
      </c>
      <c r="Q2936" s="28" t="n">
        <v>3615</v>
      </c>
      <c r="R2936" s="28"/>
      <c r="S2936" s="28" t="n">
        <f aca="false">R2936*$M2936</f>
        <v>0</v>
      </c>
      <c r="T2936" s="28"/>
      <c r="U2936" s="28" t="n">
        <f aca="false">T2936*$M2936</f>
        <v>0</v>
      </c>
      <c r="V2936" s="28"/>
      <c r="W2936" s="28" t="n">
        <f aca="false">V2936*$M2936</f>
        <v>0</v>
      </c>
      <c r="X2936" s="28"/>
      <c r="Y2936" s="28" t="n">
        <f aca="false">X2936*$M2936</f>
        <v>0</v>
      </c>
      <c r="Z2936" s="28"/>
      <c r="AA2936" s="28" t="n">
        <f aca="false">Z2936*$M2936</f>
        <v>0</v>
      </c>
      <c r="AB2936" s="28" t="n">
        <f aca="false">14437/100</f>
        <v>144.37</v>
      </c>
      <c r="AC2936" s="28" t="n">
        <v>1444</v>
      </c>
      <c r="AD2936" s="28"/>
      <c r="AE2936" s="28" t="n">
        <f aca="false">AD2936*$M2936</f>
        <v>0</v>
      </c>
      <c r="AF2936" s="28"/>
      <c r="AG2936" s="28" t="n">
        <f aca="false">AF2936*$M2936</f>
        <v>0</v>
      </c>
      <c r="AH2936" s="28"/>
      <c r="AI2936" s="28" t="n">
        <f aca="false">AH2936*$M2936</f>
        <v>0</v>
      </c>
      <c r="AJ2936" s="28" t="n">
        <f aca="false">36351/100</f>
        <v>363.51</v>
      </c>
      <c r="AK2936" s="28" t="n">
        <v>3635</v>
      </c>
      <c r="AL2936" s="28"/>
      <c r="AM2936" s="28" t="n">
        <f aca="false">AL2936*$M2936</f>
        <v>0</v>
      </c>
      <c r="AN2936" s="28"/>
      <c r="AO2936" s="28" t="n">
        <f aca="false">AN2936*$M2936</f>
        <v>0</v>
      </c>
      <c r="AP2936" s="28"/>
      <c r="AQ2936" s="28" t="n">
        <f aca="false">AP2936*$M2936</f>
        <v>0</v>
      </c>
      <c r="AR2936" s="28" t="n">
        <f aca="false">25120/100</f>
        <v>251.2</v>
      </c>
      <c r="AS2936" s="28" t="n">
        <v>2512</v>
      </c>
      <c r="AT2936" s="28"/>
      <c r="AU2936" s="28" t="n">
        <f aca="false">AT2936*$M2936</f>
        <v>0</v>
      </c>
      <c r="AV2936" s="28"/>
      <c r="AW2936" s="28" t="n">
        <f aca="false">AV2936*$M2936</f>
        <v>0</v>
      </c>
      <c r="AX2936" s="28"/>
      <c r="AY2936" s="28" t="n">
        <f aca="false">AX2936*$M2936</f>
        <v>0</v>
      </c>
      <c r="AZ2936" s="30" t="n">
        <f aca="false">112055/100</f>
        <v>1120.55</v>
      </c>
      <c r="BA2936" s="11" t="n">
        <v>11206</v>
      </c>
      <c r="BB2936" s="31" t="n">
        <f aca="false">SUM(Q2936,S2936,U2936,W2936,Y2936,AA2936,AC2936,AE2936,AG2936,AI2936,AK2936,AM2936,AO2936,AQ2936,AS2936,AU2936,AW2936,AY2936)</f>
        <v>11206</v>
      </c>
      <c r="BC2936" s="28" t="n">
        <f aca="false">BA2936-BB2936</f>
        <v>0</v>
      </c>
      <c r="BD2936" s="32" t="n">
        <f aca="false">SUM(P2936,R2936,T2936,V2936,X2936,Z2936,AB2936,AD2936,AF2936,AH2936,AJ2936,AL2936,AN2936,AP2936,AR2936,AT2936,AV2936,AX2936)</f>
        <v>1120.55</v>
      </c>
      <c r="BE2936" s="33" t="n">
        <f aca="false">AZ2936-BD2936</f>
        <v>0</v>
      </c>
      <c r="BF2936" s="34" t="n">
        <f aca="false">BD2936*M2936</f>
        <v>11205.5</v>
      </c>
      <c r="BG2936" s="35" t="n">
        <f aca="false">BA2936-BF2936</f>
        <v>0.499999999998181</v>
      </c>
      <c r="BH2936" s="19" t="str">
        <f aca="false">IF(BG2936=0,"",IF(BG2936&lt;&gt;BA2936,"erreur de calcul",IF(BD2936&lt;&gt;0,"pas de prix",IF(M2936&lt;&gt; 0,"pas de quantité","pas de prix, ni de quantité"))))</f>
        <v>erreur de calcul</v>
      </c>
      <c r="BI2936" s="19"/>
    </row>
    <row r="2937" customFormat="false" ht="15" hidden="false" customHeight="false" outlineLevel="0" collapsed="false">
      <c r="A2937" s="0" t="n">
        <v>2</v>
      </c>
      <c r="B2937" s="8" t="s">
        <v>24</v>
      </c>
      <c r="C2937" s="9" t="s">
        <v>25</v>
      </c>
      <c r="D2937" s="9" t="s">
        <v>26</v>
      </c>
      <c r="E2937" s="10" t="n">
        <v>1789</v>
      </c>
      <c r="F2937" s="9" t="s">
        <v>27</v>
      </c>
      <c r="G2937" s="9" t="s">
        <v>27</v>
      </c>
      <c r="H2937" s="11" t="n">
        <v>22</v>
      </c>
      <c r="I2937" s="11" t="s">
        <v>203</v>
      </c>
      <c r="J2937" s="14" t="n">
        <v>20</v>
      </c>
      <c r="K2937" s="14"/>
      <c r="L2937" s="16"/>
      <c r="M2937" s="27" t="n">
        <f aca="false">J2937+(K2937/20)+(L2937/240)</f>
        <v>20</v>
      </c>
      <c r="N2937" s="17" t="s">
        <v>64</v>
      </c>
      <c r="O2937" s="11"/>
      <c r="P2937" s="28"/>
      <c r="Q2937" s="28" t="n">
        <f aca="false">P2937*$M2937</f>
        <v>0</v>
      </c>
      <c r="R2937" s="28"/>
      <c r="S2937" s="28" t="n">
        <f aca="false">R2937*$M2937</f>
        <v>0</v>
      </c>
      <c r="T2937" s="28"/>
      <c r="U2937" s="28" t="n">
        <f aca="false">T2937*$M2937</f>
        <v>0</v>
      </c>
      <c r="V2937" s="28"/>
      <c r="W2937" s="28" t="n">
        <f aca="false">V2937*$M2937</f>
        <v>0</v>
      </c>
      <c r="X2937" s="28"/>
      <c r="Y2937" s="28" t="n">
        <f aca="false">X2937*$M2937</f>
        <v>0</v>
      </c>
      <c r="Z2937" s="28"/>
      <c r="AA2937" s="28" t="n">
        <f aca="false">Z2937*$M2937</f>
        <v>0</v>
      </c>
      <c r="AB2937" s="28"/>
      <c r="AC2937" s="28" t="n">
        <f aca="false">AB2937*$M2937</f>
        <v>0</v>
      </c>
      <c r="AD2937" s="28"/>
      <c r="AE2937" s="28" t="n">
        <f aca="false">AD2937*$M2937</f>
        <v>0</v>
      </c>
      <c r="AF2937" s="28"/>
      <c r="AG2937" s="28" t="n">
        <f aca="false">AF2937*$M2937</f>
        <v>0</v>
      </c>
      <c r="AH2937" s="28"/>
      <c r="AI2937" s="28" t="n">
        <f aca="false">AH2937*$M2937</f>
        <v>0</v>
      </c>
      <c r="AJ2937" s="28" t="n">
        <f aca="false">109254/100</f>
        <v>1092.54</v>
      </c>
      <c r="AK2937" s="28" t="n">
        <v>21851</v>
      </c>
      <c r="AL2937" s="28"/>
      <c r="AM2937" s="28" t="n">
        <f aca="false">AL2937*$M2937</f>
        <v>0</v>
      </c>
      <c r="AN2937" s="28"/>
      <c r="AO2937" s="28" t="n">
        <f aca="false">AN2937*$M2937</f>
        <v>0</v>
      </c>
      <c r="AP2937" s="28"/>
      <c r="AQ2937" s="28" t="n">
        <f aca="false">AP2937*$M2937</f>
        <v>0</v>
      </c>
      <c r="AR2937" s="28"/>
      <c r="AS2937" s="28" t="n">
        <f aca="false">AR2937*$M2937</f>
        <v>0</v>
      </c>
      <c r="AT2937" s="28"/>
      <c r="AU2937" s="28" t="n">
        <f aca="false">AT2937*$M2937</f>
        <v>0</v>
      </c>
      <c r="AV2937" s="28"/>
      <c r="AW2937" s="28" t="n">
        <f aca="false">AV2937*$M2937</f>
        <v>0</v>
      </c>
      <c r="AX2937" s="28"/>
      <c r="AY2937" s="28" t="n">
        <f aca="false">AX2937*$M2937</f>
        <v>0</v>
      </c>
      <c r="AZ2937" s="30" t="n">
        <f aca="false">109254/100</f>
        <v>1092.54</v>
      </c>
      <c r="BA2937" s="11" t="n">
        <v>21851</v>
      </c>
      <c r="BB2937" s="31" t="n">
        <f aca="false">SUM(Q2937,S2937,U2937,W2937,Y2937,AA2937,AC2937,AE2937,AG2937,AI2937,AK2937,AM2937,AO2937,AQ2937,AS2937,AU2937,AW2937,AY2937)</f>
        <v>21851</v>
      </c>
      <c r="BC2937" s="28" t="n">
        <f aca="false">BA2937-BB2937</f>
        <v>0</v>
      </c>
      <c r="BD2937" s="32" t="n">
        <f aca="false">SUM(P2937,R2937,T2937,V2937,X2937,Z2937,AB2937,AD2937,AF2937,AH2937,AJ2937,AL2937,AN2937,AP2937,AR2937,AT2937,AV2937,AX2937)</f>
        <v>1092.54</v>
      </c>
      <c r="BE2937" s="33" t="n">
        <f aca="false">AZ2937-BD2937</f>
        <v>0</v>
      </c>
      <c r="BF2937" s="34" t="n">
        <f aca="false">BD2937*M2937</f>
        <v>21850.8</v>
      </c>
      <c r="BG2937" s="35" t="n">
        <f aca="false">BA2937-BF2937</f>
        <v>0.200000000000728</v>
      </c>
      <c r="BH2937" s="19" t="str">
        <f aca="false">IF(BG2937=0,"",IF(BG2937&lt;&gt;BA2937,"erreur de calcul",IF(BD2937&lt;&gt;0,"pas de prix",IF(M2937&lt;&gt; 0,"pas de quantité","pas de prix, ni de quantité"))))</f>
        <v>erreur de calcul</v>
      </c>
      <c r="BI2937" s="19"/>
    </row>
    <row r="2938" customFormat="false" ht="15" hidden="false" customHeight="false" outlineLevel="0" collapsed="false">
      <c r="A2938" s="0" t="n">
        <v>3</v>
      </c>
      <c r="B2938" s="8" t="s">
        <v>24</v>
      </c>
      <c r="C2938" s="9" t="s">
        <v>25</v>
      </c>
      <c r="D2938" s="9" t="s">
        <v>26</v>
      </c>
      <c r="E2938" s="10" t="n">
        <v>1789</v>
      </c>
      <c r="F2938" s="9" t="s">
        <v>27</v>
      </c>
      <c r="G2938" s="9" t="s">
        <v>27</v>
      </c>
      <c r="H2938" s="11" t="n">
        <v>22</v>
      </c>
      <c r="I2938" s="11" t="s">
        <v>204</v>
      </c>
      <c r="J2938" s="14" t="n">
        <v>20</v>
      </c>
      <c r="K2938" s="14"/>
      <c r="L2938" s="16"/>
      <c r="M2938" s="27" t="n">
        <f aca="false">J2938+(K2938/20)+(L2938/240)</f>
        <v>20</v>
      </c>
      <c r="N2938" s="17" t="s">
        <v>66</v>
      </c>
      <c r="O2938" s="11"/>
      <c r="P2938" s="28" t="n">
        <v>106125</v>
      </c>
      <c r="Q2938" s="36" t="n">
        <v>2162500</v>
      </c>
      <c r="R2938" s="28"/>
      <c r="S2938" s="28" t="n">
        <f aca="false">R2938*$M2938</f>
        <v>0</v>
      </c>
      <c r="T2938" s="28"/>
      <c r="U2938" s="28" t="n">
        <f aca="false">T2938*$M2938</f>
        <v>0</v>
      </c>
      <c r="V2938" s="28"/>
      <c r="W2938" s="28" t="n">
        <f aca="false">V2938*$M2938</f>
        <v>0</v>
      </c>
      <c r="X2938" s="28"/>
      <c r="Y2938" s="28" t="n">
        <f aca="false">X2938*$M2938</f>
        <v>0</v>
      </c>
      <c r="Z2938" s="28"/>
      <c r="AA2938" s="28" t="n">
        <f aca="false">Z2938*$M2938</f>
        <v>0</v>
      </c>
      <c r="AB2938" s="28"/>
      <c r="AC2938" s="28" t="n">
        <f aca="false">AB2938*$M2938</f>
        <v>0</v>
      </c>
      <c r="AD2938" s="28"/>
      <c r="AE2938" s="28" t="n">
        <f aca="false">AD2938*$M2938</f>
        <v>0</v>
      </c>
      <c r="AF2938" s="28"/>
      <c r="AG2938" s="28" t="n">
        <f aca="false">AF2938*$M2938</f>
        <v>0</v>
      </c>
      <c r="AH2938" s="28"/>
      <c r="AI2938" s="28" t="n">
        <f aca="false">AH2938*$M2938</f>
        <v>0</v>
      </c>
      <c r="AJ2938" s="28"/>
      <c r="AK2938" s="28" t="n">
        <f aca="false">AJ2938*$M2938</f>
        <v>0</v>
      </c>
      <c r="AL2938" s="28"/>
      <c r="AM2938" s="28" t="n">
        <f aca="false">AL2938*$M2938</f>
        <v>0</v>
      </c>
      <c r="AN2938" s="28"/>
      <c r="AO2938" s="28" t="n">
        <f aca="false">AN2938*$M2938</f>
        <v>0</v>
      </c>
      <c r="AP2938" s="28"/>
      <c r="AQ2938" s="28" t="n">
        <f aca="false">AP2938*$M2938</f>
        <v>0</v>
      </c>
      <c r="AR2938" s="28"/>
      <c r="AS2938" s="28" t="n">
        <f aca="false">AR2938*$M2938</f>
        <v>0</v>
      </c>
      <c r="AT2938" s="28"/>
      <c r="AU2938" s="28" t="n">
        <f aca="false">AT2938*$M2938</f>
        <v>0</v>
      </c>
      <c r="AV2938" s="28"/>
      <c r="AW2938" s="28" t="n">
        <f aca="false">AV2938*$M2938</f>
        <v>0</v>
      </c>
      <c r="AX2938" s="28"/>
      <c r="AY2938" s="28" t="n">
        <f aca="false">AX2938*$M2938</f>
        <v>0</v>
      </c>
      <c r="AZ2938" s="30" t="n">
        <v>108125</v>
      </c>
      <c r="BA2938" s="11" t="n">
        <v>2162500</v>
      </c>
      <c r="BB2938" s="31" t="n">
        <f aca="false">SUM(Q2938,S2938,U2938,W2938,Y2938,AA2938,AC2938,AE2938,AG2938,AI2938,AK2938,AM2938,AO2938,AQ2938,AS2938,AU2938,AW2938,AY2938)</f>
        <v>2162500</v>
      </c>
      <c r="BC2938" s="28" t="n">
        <f aca="false">BA2938-BB2938</f>
        <v>0</v>
      </c>
      <c r="BD2938" s="32" t="n">
        <f aca="false">SUM(P2938,R2938,T2938,V2938,X2938,Z2938,AB2938,AD2938,AF2938,AH2938,AJ2938,AL2938,AN2938,AP2938,AR2938,AT2938,AV2938,AX2938)</f>
        <v>106125</v>
      </c>
      <c r="BE2938" s="33" t="n">
        <f aca="false">AZ2938-BD2938</f>
        <v>2000</v>
      </c>
      <c r="BF2938" s="34" t="n">
        <f aca="false">BD2938*M2938</f>
        <v>2122500</v>
      </c>
      <c r="BG2938" s="35" t="n">
        <f aca="false">BA2938-BF2938</f>
        <v>40000</v>
      </c>
      <c r="BH2938" s="19" t="str">
        <f aca="false">IF(BG2938=0,"",IF(BG2938&lt;&gt;BA2938,"erreur de calcul",IF(BD2938&lt;&gt;0,"pas de prix",IF(M2938&lt;&gt; 0,"pas de quantité","pas de prix, ni de quantité"))))</f>
        <v>erreur de calcul</v>
      </c>
      <c r="BI2938" s="19"/>
    </row>
    <row r="2939" customFormat="false" ht="15" hidden="false" customHeight="false" outlineLevel="0" collapsed="false">
      <c r="A2939" s="0" t="n">
        <v>4</v>
      </c>
      <c r="B2939" s="8" t="s">
        <v>24</v>
      </c>
      <c r="C2939" s="9" t="s">
        <v>25</v>
      </c>
      <c r="D2939" s="9" t="s">
        <v>26</v>
      </c>
      <c r="E2939" s="10" t="n">
        <v>1789</v>
      </c>
      <c r="F2939" s="9" t="s">
        <v>27</v>
      </c>
      <c r="G2939" s="9" t="s">
        <v>27</v>
      </c>
      <c r="H2939" s="11" t="n">
        <v>22</v>
      </c>
      <c r="I2939" s="11" t="s">
        <v>205</v>
      </c>
      <c r="J2939" s="14" t="n">
        <v>15</v>
      </c>
      <c r="K2939" s="14"/>
      <c r="L2939" s="16"/>
      <c r="M2939" s="27" t="n">
        <f aca="false">J2939+(K2939/20)+(L2939/240)</f>
        <v>15</v>
      </c>
      <c r="N2939" s="17" t="s">
        <v>64</v>
      </c>
      <c r="O2939" s="11"/>
      <c r="P2939" s="28"/>
      <c r="Q2939" s="28" t="n">
        <f aca="false">P2939*$M2939</f>
        <v>0</v>
      </c>
      <c r="R2939" s="28"/>
      <c r="S2939" s="28" t="n">
        <f aca="false">R2939*$M2939</f>
        <v>0</v>
      </c>
      <c r="T2939" s="28"/>
      <c r="U2939" s="28" t="n">
        <f aca="false">T2939*$M2939</f>
        <v>0</v>
      </c>
      <c r="V2939" s="28"/>
      <c r="W2939" s="28" t="n">
        <f aca="false">V2939*$M2939</f>
        <v>0</v>
      </c>
      <c r="X2939" s="28" t="n">
        <f aca="false">27897/100</f>
        <v>278.97</v>
      </c>
      <c r="Y2939" s="28" t="n">
        <v>4184</v>
      </c>
      <c r="Z2939" s="28"/>
      <c r="AA2939" s="28" t="n">
        <f aca="false">Z2939*$M2939</f>
        <v>0</v>
      </c>
      <c r="AB2939" s="28"/>
      <c r="AC2939" s="28" t="n">
        <f aca="false">AB2939*$M2939</f>
        <v>0</v>
      </c>
      <c r="AD2939" s="28"/>
      <c r="AE2939" s="28" t="n">
        <f aca="false">AD2939*$M2939</f>
        <v>0</v>
      </c>
      <c r="AF2939" s="28"/>
      <c r="AG2939" s="28" t="n">
        <f aca="false">AF2939*$M2939</f>
        <v>0</v>
      </c>
      <c r="AH2939" s="28"/>
      <c r="AI2939" s="28" t="n">
        <f aca="false">AH2939*$M2939</f>
        <v>0</v>
      </c>
      <c r="AJ2939" s="28" t="n">
        <f aca="false">63734/100</f>
        <v>637.34</v>
      </c>
      <c r="AK2939" s="28" t="n">
        <v>9560</v>
      </c>
      <c r="AL2939" s="28"/>
      <c r="AM2939" s="28" t="n">
        <f aca="false">AL2939*$M2939</f>
        <v>0</v>
      </c>
      <c r="AN2939" s="28"/>
      <c r="AO2939" s="28" t="n">
        <f aca="false">AN2939*$M2939</f>
        <v>0</v>
      </c>
      <c r="AP2939" s="28"/>
      <c r="AQ2939" s="28" t="n">
        <f aca="false">AP2939*$M2939</f>
        <v>0</v>
      </c>
      <c r="AR2939" s="28"/>
      <c r="AS2939" s="28" t="n">
        <f aca="false">AR2939*$M2939</f>
        <v>0</v>
      </c>
      <c r="AT2939" s="28"/>
      <c r="AU2939" s="28" t="n">
        <f aca="false">AT2939*$M2939</f>
        <v>0</v>
      </c>
      <c r="AV2939" s="28"/>
      <c r="AW2939" s="28" t="n">
        <f aca="false">AV2939*$M2939</f>
        <v>0</v>
      </c>
      <c r="AX2939" s="28"/>
      <c r="AY2939" s="28" t="n">
        <f aca="false">AX2939*$M2939</f>
        <v>0</v>
      </c>
      <c r="AZ2939" s="30" t="n">
        <f aca="false">91631/100</f>
        <v>916.31</v>
      </c>
      <c r="BA2939" s="11" t="n">
        <v>13744</v>
      </c>
      <c r="BB2939" s="31" t="n">
        <f aca="false">SUM(Q2939,S2939,U2939,W2939,Y2939,AA2939,AC2939,AE2939,AG2939,AI2939,AK2939,AM2939,AO2939,AQ2939,AS2939,AU2939,AW2939,AY2939)</f>
        <v>13744</v>
      </c>
      <c r="BC2939" s="28" t="n">
        <f aca="false">BA2939-BB2939</f>
        <v>0</v>
      </c>
      <c r="BD2939" s="32" t="n">
        <f aca="false">SUM(P2939,R2939,T2939,V2939,X2939,Z2939,AB2939,AD2939,AF2939,AH2939,AJ2939,AL2939,AN2939,AP2939,AR2939,AT2939,AV2939,AX2939)</f>
        <v>916.31</v>
      </c>
      <c r="BE2939" s="33" t="n">
        <f aca="false">AZ2939-BD2939</f>
        <v>0</v>
      </c>
      <c r="BF2939" s="34" t="n">
        <f aca="false">BD2939*M2939</f>
        <v>13744.65</v>
      </c>
      <c r="BG2939" s="35" t="n">
        <f aca="false">BA2939-BF2939</f>
        <v>-0.650000000001455</v>
      </c>
      <c r="BH2939" s="19" t="str">
        <f aca="false">IF(BG2939=0,"",IF(BG2939&lt;&gt;BA2939,"erreur de calcul",IF(BD2939&lt;&gt;0,"pas de prix",IF(M2939&lt;&gt; 0,"pas de quantité","pas de prix, ni de quantité"))))</f>
        <v>erreur de calcul</v>
      </c>
      <c r="BI2939" s="19"/>
    </row>
    <row r="2940" customFormat="false" ht="15" hidden="false" customHeight="false" outlineLevel="0" collapsed="false">
      <c r="A2940" s="0" t="n">
        <v>5</v>
      </c>
      <c r="B2940" s="8" t="s">
        <v>24</v>
      </c>
      <c r="C2940" s="9" t="s">
        <v>25</v>
      </c>
      <c r="D2940" s="9" t="s">
        <v>26</v>
      </c>
      <c r="E2940" s="10" t="n">
        <v>1789</v>
      </c>
      <c r="F2940" s="9" t="s">
        <v>27</v>
      </c>
      <c r="G2940" s="9" t="s">
        <v>27</v>
      </c>
      <c r="H2940" s="11" t="n">
        <v>22</v>
      </c>
      <c r="I2940" s="11" t="s">
        <v>206</v>
      </c>
      <c r="J2940" s="14" t="n">
        <v>30</v>
      </c>
      <c r="K2940" s="14"/>
      <c r="L2940" s="16"/>
      <c r="M2940" s="27" t="n">
        <f aca="false">J2940+(K2940/20)+(L2940/240)</f>
        <v>30</v>
      </c>
      <c r="N2940" s="17" t="s">
        <v>64</v>
      </c>
      <c r="O2940" s="11"/>
      <c r="P2940" s="28" t="n">
        <f aca="false">8334/100</f>
        <v>83.34</v>
      </c>
      <c r="Q2940" s="28" t="n">
        <v>2500</v>
      </c>
      <c r="R2940" s="28"/>
      <c r="S2940" s="28" t="n">
        <f aca="false">R2940*$M2940</f>
        <v>0</v>
      </c>
      <c r="T2940" s="28"/>
      <c r="U2940" s="28" t="n">
        <f aca="false">T2940*$M2940</f>
        <v>0</v>
      </c>
      <c r="V2940" s="28"/>
      <c r="W2940" s="28" t="n">
        <f aca="false">V2940*$M2940</f>
        <v>0</v>
      </c>
      <c r="X2940" s="28"/>
      <c r="Y2940" s="28" t="n">
        <f aca="false">X2940*$M2940</f>
        <v>0</v>
      </c>
      <c r="Z2940" s="28"/>
      <c r="AA2940" s="28" t="n">
        <f aca="false">Z2940*$M2940</f>
        <v>0</v>
      </c>
      <c r="AB2940" s="28"/>
      <c r="AC2940" s="28" t="n">
        <f aca="false">AB2940*$M2940</f>
        <v>0</v>
      </c>
      <c r="AD2940" s="28"/>
      <c r="AE2940" s="28" t="n">
        <f aca="false">AD2940*$M2940</f>
        <v>0</v>
      </c>
      <c r="AF2940" s="28"/>
      <c r="AG2940" s="28" t="n">
        <f aca="false">AF2940*$M2940</f>
        <v>0</v>
      </c>
      <c r="AH2940" s="28"/>
      <c r="AI2940" s="28" t="n">
        <f aca="false">AH2940*$M2940</f>
        <v>0</v>
      </c>
      <c r="AJ2940" s="28"/>
      <c r="AK2940" s="28" t="n">
        <f aca="false">AJ2940*$M2940</f>
        <v>0</v>
      </c>
      <c r="AL2940" s="28"/>
      <c r="AM2940" s="28" t="n">
        <f aca="false">AL2940*$M2940</f>
        <v>0</v>
      </c>
      <c r="AN2940" s="28"/>
      <c r="AO2940" s="28" t="n">
        <f aca="false">AN2940*$M2940</f>
        <v>0</v>
      </c>
      <c r="AP2940" s="28"/>
      <c r="AQ2940" s="28" t="n">
        <f aca="false">AP2940*$M2940</f>
        <v>0</v>
      </c>
      <c r="AR2940" s="28"/>
      <c r="AS2940" s="28" t="n">
        <f aca="false">AR2940*$M2940</f>
        <v>0</v>
      </c>
      <c r="AT2940" s="28"/>
      <c r="AU2940" s="28" t="n">
        <f aca="false">AT2940*$M2940</f>
        <v>0</v>
      </c>
      <c r="AV2940" s="28"/>
      <c r="AW2940" s="28" t="n">
        <f aca="false">AV2940*$M2940</f>
        <v>0</v>
      </c>
      <c r="AX2940" s="28"/>
      <c r="AY2940" s="28" t="n">
        <f aca="false">AX2940*$M2940</f>
        <v>0</v>
      </c>
      <c r="AZ2940" s="30" t="n">
        <f aca="false">8334/100</f>
        <v>83.34</v>
      </c>
      <c r="BA2940" s="11" t="n">
        <v>2500</v>
      </c>
      <c r="BB2940" s="31" t="n">
        <f aca="false">SUM(Q2940,S2940,U2940,W2940,Y2940,AA2940,AC2940,AE2940,AG2940,AI2940,AK2940,AM2940,AO2940,AQ2940,AS2940,AU2940,AW2940,AY2940)</f>
        <v>2500</v>
      </c>
      <c r="BC2940" s="28" t="n">
        <f aca="false">BA2940-BB2940</f>
        <v>0</v>
      </c>
      <c r="BD2940" s="32" t="n">
        <f aca="false">SUM(P2940,R2940,T2940,V2940,X2940,Z2940,AB2940,AD2940,AF2940,AH2940,AJ2940,AL2940,AN2940,AP2940,AR2940,AT2940,AV2940,AX2940)</f>
        <v>83.34</v>
      </c>
      <c r="BE2940" s="33" t="n">
        <f aca="false">AZ2940-BD2940</f>
        <v>0</v>
      </c>
      <c r="BF2940" s="34" t="n">
        <f aca="false">BD2940*M2940</f>
        <v>2500.2</v>
      </c>
      <c r="BG2940" s="35" t="n">
        <f aca="false">BA2940-BF2940</f>
        <v>-0.200000000000273</v>
      </c>
      <c r="BH2940" s="19" t="str">
        <f aca="false">IF(BG2940=0,"",IF(BG2940&lt;&gt;BA2940,"erreur de calcul",IF(BD2940&lt;&gt;0,"pas de prix",IF(M2940&lt;&gt; 0,"pas de quantité","pas de prix, ni de quantité"))))</f>
        <v>erreur de calcul</v>
      </c>
      <c r="BI2940" s="19"/>
    </row>
    <row r="2941" customFormat="false" ht="15" hidden="false" customHeight="false" outlineLevel="0" collapsed="false">
      <c r="A2941" s="0" t="n">
        <v>6</v>
      </c>
      <c r="B2941" s="8" t="s">
        <v>24</v>
      </c>
      <c r="C2941" s="9" t="s">
        <v>25</v>
      </c>
      <c r="D2941" s="9" t="s">
        <v>26</v>
      </c>
      <c r="E2941" s="10" t="n">
        <v>1789</v>
      </c>
      <c r="F2941" s="9" t="s">
        <v>27</v>
      </c>
      <c r="G2941" s="9" t="s">
        <v>27</v>
      </c>
      <c r="H2941" s="11" t="n">
        <v>22</v>
      </c>
      <c r="I2941" s="11" t="s">
        <v>207</v>
      </c>
      <c r="J2941" s="14"/>
      <c r="K2941" s="14" t="n">
        <v>20</v>
      </c>
      <c r="L2941" s="16"/>
      <c r="M2941" s="27" t="n">
        <f aca="false">J2941+(K2941/20)+(L2941/240)</f>
        <v>1</v>
      </c>
      <c r="N2941" s="17" t="s">
        <v>66</v>
      </c>
      <c r="O2941" s="11"/>
      <c r="P2941" s="28"/>
      <c r="Q2941" s="28" t="n">
        <f aca="false">P2941*$M2941</f>
        <v>0</v>
      </c>
      <c r="R2941" s="28"/>
      <c r="S2941" s="28" t="n">
        <f aca="false">R2941*$M2941</f>
        <v>0</v>
      </c>
      <c r="T2941" s="28"/>
      <c r="U2941" s="28" t="n">
        <f aca="false">T2941*$M2941</f>
        <v>0</v>
      </c>
      <c r="V2941" s="28" t="n">
        <v>33010</v>
      </c>
      <c r="W2941" s="28" t="n">
        <v>33010</v>
      </c>
      <c r="X2941" s="28" t="n">
        <v>292003</v>
      </c>
      <c r="Y2941" s="28" t="n">
        <v>292003</v>
      </c>
      <c r="Z2941" s="28" t="n">
        <v>15558</v>
      </c>
      <c r="AA2941" s="28" t="n">
        <v>15558</v>
      </c>
      <c r="AB2941" s="28" t="n">
        <v>80515</v>
      </c>
      <c r="AC2941" s="28" t="n">
        <v>80515</v>
      </c>
      <c r="AD2941" s="28"/>
      <c r="AE2941" s="28" t="n">
        <f aca="false">AD2941*$M2941</f>
        <v>0</v>
      </c>
      <c r="AF2941" s="28"/>
      <c r="AG2941" s="28" t="n">
        <f aca="false">AF2941*$M2941</f>
        <v>0</v>
      </c>
      <c r="AH2941" s="28" t="n">
        <v>515373</v>
      </c>
      <c r="AI2941" s="28" t="n">
        <v>515373</v>
      </c>
      <c r="AJ2941" s="28"/>
      <c r="AK2941" s="28" t="n">
        <f aca="false">AJ2941*$M2941</f>
        <v>0</v>
      </c>
      <c r="AL2941" s="28" t="n">
        <v>3480</v>
      </c>
      <c r="AM2941" s="28" t="n">
        <v>3480</v>
      </c>
      <c r="AN2941" s="28"/>
      <c r="AO2941" s="28" t="n">
        <f aca="false">AN2941*$M2941</f>
        <v>0</v>
      </c>
      <c r="AP2941" s="28"/>
      <c r="AQ2941" s="28" t="n">
        <f aca="false">AP2941*$M2941</f>
        <v>0</v>
      </c>
      <c r="AR2941" s="28"/>
      <c r="AS2941" s="28" t="n">
        <f aca="false">AR2941*$M2941</f>
        <v>0</v>
      </c>
      <c r="AT2941" s="28"/>
      <c r="AU2941" s="28" t="n">
        <f aca="false">AT2941*$M2941</f>
        <v>0</v>
      </c>
      <c r="AV2941" s="28"/>
      <c r="AW2941" s="28" t="n">
        <f aca="false">AV2941*$M2941</f>
        <v>0</v>
      </c>
      <c r="AX2941" s="28"/>
      <c r="AY2941" s="28" t="n">
        <f aca="false">AX2941*$M2941</f>
        <v>0</v>
      </c>
      <c r="AZ2941" s="30" t="n">
        <v>939939</v>
      </c>
      <c r="BA2941" s="11" t="n">
        <v>939939</v>
      </c>
      <c r="BB2941" s="31" t="n">
        <f aca="false">SUM(Q2941,S2941,U2941,W2941,Y2941,AA2941,AC2941,AE2941,AG2941,AI2941,AK2941,AM2941,AO2941,AQ2941,AS2941,AU2941,AW2941,AY2941)</f>
        <v>939939</v>
      </c>
      <c r="BC2941" s="28" t="n">
        <f aca="false">BA2941-BB2941</f>
        <v>0</v>
      </c>
      <c r="BD2941" s="32" t="n">
        <f aca="false">SUM(P2941,R2941,T2941,V2941,X2941,Z2941,AB2941,AD2941,AF2941,AH2941,AJ2941,AL2941,AN2941,AP2941,AR2941,AT2941,AV2941,AX2941)</f>
        <v>939939</v>
      </c>
      <c r="BE2941" s="33" t="n">
        <f aca="false">AZ2941-BD2941</f>
        <v>0</v>
      </c>
      <c r="BF2941" s="34" t="n">
        <f aca="false">BD2941*M2941</f>
        <v>939939</v>
      </c>
      <c r="BG2941" s="35" t="n">
        <f aca="false">BA2941-BF2941</f>
        <v>0</v>
      </c>
      <c r="BH2941" s="19" t="str">
        <f aca="false">IF(BG2941=0,"",IF(BG2941&lt;&gt;BA2941,"erreur de calcul",IF(BD2941&lt;&gt;0,"pas de prix",IF(M2941&lt;&gt; 0,"pas de quantité","pas de prix, ni de quantité"))))</f>
        <v/>
      </c>
      <c r="BI2941" s="19"/>
    </row>
    <row r="2942" customFormat="false" ht="15" hidden="false" customHeight="false" outlineLevel="0" collapsed="false">
      <c r="A2942" s="0" t="n">
        <v>7</v>
      </c>
      <c r="B2942" s="8" t="s">
        <v>24</v>
      </c>
      <c r="C2942" s="9" t="s">
        <v>25</v>
      </c>
      <c r="D2942" s="9" t="s">
        <v>26</v>
      </c>
      <c r="E2942" s="10" t="n">
        <v>1789</v>
      </c>
      <c r="F2942" s="9" t="s">
        <v>27</v>
      </c>
      <c r="G2942" s="9" t="s">
        <v>27</v>
      </c>
      <c r="H2942" s="11" t="n">
        <v>22</v>
      </c>
      <c r="I2942" s="11" t="s">
        <v>208</v>
      </c>
      <c r="J2942" s="14" t="n">
        <v>60</v>
      </c>
      <c r="K2942" s="14"/>
      <c r="L2942" s="16"/>
      <c r="M2942" s="27" t="n">
        <f aca="false">J2942+(K2942/20)+(L2942/240)</f>
        <v>60</v>
      </c>
      <c r="N2942" s="17" t="s">
        <v>64</v>
      </c>
      <c r="O2942" s="11"/>
      <c r="P2942" s="28"/>
      <c r="Q2942" s="28" t="n">
        <f aca="false">P2942*$M2942</f>
        <v>0</v>
      </c>
      <c r="R2942" s="28"/>
      <c r="S2942" s="28" t="n">
        <f aca="false">R2942*$M2942</f>
        <v>0</v>
      </c>
      <c r="T2942" s="28"/>
      <c r="U2942" s="28" t="n">
        <f aca="false">T2942*$M2942</f>
        <v>0</v>
      </c>
      <c r="V2942" s="28"/>
      <c r="W2942" s="28" t="n">
        <f aca="false">V2942*$M2942</f>
        <v>0</v>
      </c>
      <c r="X2942" s="28"/>
      <c r="Y2942" s="28" t="n">
        <f aca="false">X2942*$M2942</f>
        <v>0</v>
      </c>
      <c r="Z2942" s="28"/>
      <c r="AA2942" s="28" t="n">
        <f aca="false">Z2942*$M2942</f>
        <v>0</v>
      </c>
      <c r="AB2942" s="28"/>
      <c r="AC2942" s="28" t="n">
        <f aca="false">AB2942*$M2942</f>
        <v>0</v>
      </c>
      <c r="AD2942" s="28"/>
      <c r="AE2942" s="28" t="n">
        <f aca="false">AD2942*$M2942</f>
        <v>0</v>
      </c>
      <c r="AF2942" s="28"/>
      <c r="AG2942" s="28" t="n">
        <f aca="false">AF2942*$M2942</f>
        <v>0</v>
      </c>
      <c r="AH2942" s="28"/>
      <c r="AI2942" s="28" t="n">
        <f aca="false">AH2942*$M2942</f>
        <v>0</v>
      </c>
      <c r="AJ2942" s="28" t="n">
        <f aca="false">28692/100</f>
        <v>286.92</v>
      </c>
      <c r="AK2942" s="28" t="n">
        <v>17215</v>
      </c>
      <c r="AL2942" s="28"/>
      <c r="AM2942" s="28" t="n">
        <f aca="false">AL2942*$M2942</f>
        <v>0</v>
      </c>
      <c r="AN2942" s="28"/>
      <c r="AO2942" s="28" t="n">
        <f aca="false">AN2942*$M2942</f>
        <v>0</v>
      </c>
      <c r="AP2942" s="28"/>
      <c r="AQ2942" s="28" t="n">
        <f aca="false">AP2942*$M2942</f>
        <v>0</v>
      </c>
      <c r="AR2942" s="28"/>
      <c r="AS2942" s="28" t="n">
        <f aca="false">AR2942*$M2942</f>
        <v>0</v>
      </c>
      <c r="AT2942" s="28"/>
      <c r="AU2942" s="28" t="n">
        <f aca="false">AT2942*$M2942</f>
        <v>0</v>
      </c>
      <c r="AV2942" s="28"/>
      <c r="AW2942" s="28" t="n">
        <f aca="false">AV2942*$M2942</f>
        <v>0</v>
      </c>
      <c r="AX2942" s="28"/>
      <c r="AY2942" s="28" t="n">
        <f aca="false">AX2942*$M2942</f>
        <v>0</v>
      </c>
      <c r="AZ2942" s="30" t="n">
        <f aca="false">28692/100</f>
        <v>286.92</v>
      </c>
      <c r="BA2942" s="11" t="n">
        <v>17215</v>
      </c>
      <c r="BB2942" s="31" t="n">
        <f aca="false">SUM(Q2942,S2942,U2942,W2942,Y2942,AA2942,AC2942,AE2942,AG2942,AI2942,AK2942,AM2942,AO2942,AQ2942,AS2942,AU2942,AW2942,AY2942)</f>
        <v>17215</v>
      </c>
      <c r="BC2942" s="28" t="n">
        <f aca="false">BA2942-BB2942</f>
        <v>0</v>
      </c>
      <c r="BD2942" s="32" t="n">
        <f aca="false">SUM(P2942,R2942,T2942,V2942,X2942,Z2942,AB2942,AD2942,AF2942,AH2942,AJ2942,AL2942,AN2942,AP2942,AR2942,AT2942,AV2942,AX2942)</f>
        <v>286.92</v>
      </c>
      <c r="BE2942" s="33" t="n">
        <f aca="false">AZ2942-BD2942</f>
        <v>0</v>
      </c>
      <c r="BF2942" s="34" t="n">
        <f aca="false">BD2942*M2942</f>
        <v>17215.2</v>
      </c>
      <c r="BG2942" s="35" t="n">
        <f aca="false">BA2942-BF2942</f>
        <v>-0.200000000000728</v>
      </c>
      <c r="BH2942" s="19" t="str">
        <f aca="false">IF(BG2942=0,"",IF(BG2942&lt;&gt;BA2942,"erreur de calcul",IF(BD2942&lt;&gt;0,"pas de prix",IF(M2942&lt;&gt; 0,"pas de quantité","pas de prix, ni de quantité"))))</f>
        <v>erreur de calcul</v>
      </c>
      <c r="BI2942" s="19"/>
    </row>
    <row r="2943" customFormat="false" ht="15" hidden="false" customHeight="false" outlineLevel="0" collapsed="false">
      <c r="A2943" s="0" t="n">
        <v>8</v>
      </c>
      <c r="B2943" s="8" t="s">
        <v>24</v>
      </c>
      <c r="C2943" s="9" t="s">
        <v>25</v>
      </c>
      <c r="D2943" s="9" t="s">
        <v>26</v>
      </c>
      <c r="E2943" s="10" t="n">
        <v>1789</v>
      </c>
      <c r="F2943" s="9" t="s">
        <v>27</v>
      </c>
      <c r="G2943" s="9" t="s">
        <v>27</v>
      </c>
      <c r="H2943" s="11" t="n">
        <v>22</v>
      </c>
      <c r="I2943" s="11" t="s">
        <v>209</v>
      </c>
      <c r="J2943" s="14" t="n">
        <v>26</v>
      </c>
      <c r="K2943" s="14"/>
      <c r="L2943" s="16"/>
      <c r="M2943" s="27" t="n">
        <f aca="false">J2943+(K2943/20)+(L2943/240)</f>
        <v>26</v>
      </c>
      <c r="N2943" s="17" t="s">
        <v>64</v>
      </c>
      <c r="O2943" s="11"/>
      <c r="P2943" s="28" t="n">
        <f aca="false">9675/100</f>
        <v>96.75</v>
      </c>
      <c r="Q2943" s="28" t="n">
        <v>2515</v>
      </c>
      <c r="R2943" s="28"/>
      <c r="S2943" s="28" t="n">
        <f aca="false">R2943*$M2943</f>
        <v>0</v>
      </c>
      <c r="T2943" s="28"/>
      <c r="U2943" s="28" t="n">
        <f aca="false">T2943*$M2943</f>
        <v>0</v>
      </c>
      <c r="V2943" s="28"/>
      <c r="W2943" s="28" t="n">
        <f aca="false">V2943*$M2943</f>
        <v>0</v>
      </c>
      <c r="X2943" s="28"/>
      <c r="Y2943" s="28" t="n">
        <f aca="false">X2943*$M2943</f>
        <v>0</v>
      </c>
      <c r="Z2943" s="28"/>
      <c r="AA2943" s="28" t="n">
        <f aca="false">Z2943*$M2943</f>
        <v>0</v>
      </c>
      <c r="AB2943" s="28"/>
      <c r="AC2943" s="28" t="n">
        <f aca="false">AB2943*$M2943</f>
        <v>0</v>
      </c>
      <c r="AD2943" s="28"/>
      <c r="AE2943" s="28" t="n">
        <f aca="false">AD2943*$M2943</f>
        <v>0</v>
      </c>
      <c r="AF2943" s="28"/>
      <c r="AG2943" s="28" t="n">
        <f aca="false">AF2943*$M2943</f>
        <v>0</v>
      </c>
      <c r="AH2943" s="28"/>
      <c r="AI2943" s="28" t="n">
        <f aca="false">AH2943*$M2943</f>
        <v>0</v>
      </c>
      <c r="AJ2943" s="28"/>
      <c r="AK2943" s="28" t="n">
        <f aca="false">AJ2943*$M2943</f>
        <v>0</v>
      </c>
      <c r="AL2943" s="28"/>
      <c r="AM2943" s="28" t="n">
        <f aca="false">AL2943*$M2943</f>
        <v>0</v>
      </c>
      <c r="AN2943" s="28"/>
      <c r="AO2943" s="28" t="n">
        <f aca="false">AN2943*$M2943</f>
        <v>0</v>
      </c>
      <c r="AP2943" s="28"/>
      <c r="AQ2943" s="28" t="n">
        <f aca="false">AP2943*$M2943</f>
        <v>0</v>
      </c>
      <c r="AR2943" s="28"/>
      <c r="AS2943" s="28" t="n">
        <f aca="false">AR2943*$M2943</f>
        <v>0</v>
      </c>
      <c r="AT2943" s="28"/>
      <c r="AU2943" s="28" t="n">
        <f aca="false">AT2943*$M2943</f>
        <v>0</v>
      </c>
      <c r="AV2943" s="28"/>
      <c r="AW2943" s="28" t="n">
        <f aca="false">AV2943*$M2943</f>
        <v>0</v>
      </c>
      <c r="AX2943" s="28"/>
      <c r="AY2943" s="28" t="n">
        <f aca="false">AX2943*$M2943</f>
        <v>0</v>
      </c>
      <c r="AZ2943" s="30" t="n">
        <f aca="false">9675/100</f>
        <v>96.75</v>
      </c>
      <c r="BA2943" s="11" t="n">
        <v>2515</v>
      </c>
      <c r="BB2943" s="31" t="n">
        <f aca="false">SUM(Q2943,S2943,U2943,W2943,Y2943,AA2943,AC2943,AE2943,AG2943,AI2943,AK2943,AM2943,AO2943,AQ2943,AS2943,AU2943,AW2943,AY2943)</f>
        <v>2515</v>
      </c>
      <c r="BC2943" s="28" t="n">
        <f aca="false">BA2943-BB2943</f>
        <v>0</v>
      </c>
      <c r="BD2943" s="32" t="n">
        <f aca="false">SUM(P2943,R2943,T2943,V2943,X2943,Z2943,AB2943,AD2943,AF2943,AH2943,AJ2943,AL2943,AN2943,AP2943,AR2943,AT2943,AV2943,AX2943)</f>
        <v>96.75</v>
      </c>
      <c r="BE2943" s="33" t="n">
        <f aca="false">AZ2943-BD2943</f>
        <v>0</v>
      </c>
      <c r="BF2943" s="34" t="n">
        <f aca="false">BD2943*M2943</f>
        <v>2515.5</v>
      </c>
      <c r="BG2943" s="35" t="n">
        <f aca="false">BA2943-BF2943</f>
        <v>-0.5</v>
      </c>
      <c r="BH2943" s="19" t="str">
        <f aca="false">IF(BG2943=0,"",IF(BG2943&lt;&gt;BA2943,"erreur de calcul",IF(BD2943&lt;&gt;0,"pas de prix",IF(M2943&lt;&gt; 0,"pas de quantité","pas de prix, ni de quantité"))))</f>
        <v>erreur de calcul</v>
      </c>
      <c r="BI2943" s="19"/>
    </row>
    <row r="2944" customFormat="false" ht="15" hidden="false" customHeight="false" outlineLevel="0" collapsed="false">
      <c r="A2944" s="0" t="n">
        <v>9</v>
      </c>
      <c r="B2944" s="8" t="s">
        <v>24</v>
      </c>
      <c r="C2944" s="9" t="s">
        <v>25</v>
      </c>
      <c r="D2944" s="9" t="s">
        <v>26</v>
      </c>
      <c r="E2944" s="10" t="n">
        <v>1789</v>
      </c>
      <c r="F2944" s="9" t="s">
        <v>27</v>
      </c>
      <c r="G2944" s="9" t="s">
        <v>27</v>
      </c>
      <c r="H2944" s="11" t="n">
        <v>22</v>
      </c>
      <c r="I2944" s="11" t="s">
        <v>210</v>
      </c>
      <c r="J2944" s="14" t="n">
        <v>8</v>
      </c>
      <c r="K2944" s="14" t="n">
        <v>15</v>
      </c>
      <c r="L2944" s="16"/>
      <c r="M2944" s="27" t="n">
        <f aca="false">J2944+(K2944/20)+(L2944/240)</f>
        <v>8.75</v>
      </c>
      <c r="N2944" s="17" t="s">
        <v>66</v>
      </c>
      <c r="O2944" s="11"/>
      <c r="P2944" s="28"/>
      <c r="Q2944" s="28" t="n">
        <f aca="false">P2944*$M2944</f>
        <v>0</v>
      </c>
      <c r="R2944" s="28"/>
      <c r="S2944" s="28" t="n">
        <f aca="false">R2944*$M2944</f>
        <v>0</v>
      </c>
      <c r="T2944" s="28" t="n">
        <v>2562</v>
      </c>
      <c r="U2944" s="36" t="n">
        <v>21777</v>
      </c>
      <c r="V2944" s="28" t="n">
        <v>127</v>
      </c>
      <c r="W2944" s="28" t="n">
        <v>1111</v>
      </c>
      <c r="X2944" s="28" t="n">
        <v>1945</v>
      </c>
      <c r="Y2944" s="28" t="n">
        <v>17018</v>
      </c>
      <c r="Z2944" s="28"/>
      <c r="AA2944" s="28" t="n">
        <f aca="false">Z2944*$M2944</f>
        <v>0</v>
      </c>
      <c r="AB2944" s="28"/>
      <c r="AC2944" s="28" t="n">
        <f aca="false">AB2944*$M2944</f>
        <v>0</v>
      </c>
      <c r="AD2944" s="28"/>
      <c r="AE2944" s="28" t="n">
        <f aca="false">AD2944*$M2944</f>
        <v>0</v>
      </c>
      <c r="AF2944" s="28"/>
      <c r="AG2944" s="28" t="n">
        <f aca="false">AF2944*$M2944</f>
        <v>0</v>
      </c>
      <c r="AH2944" s="28"/>
      <c r="AI2944" s="28" t="n">
        <f aca="false">AH2944*$M2944</f>
        <v>0</v>
      </c>
      <c r="AJ2944" s="28" t="n">
        <v>3538</v>
      </c>
      <c r="AK2944" s="36" t="n">
        <v>30073</v>
      </c>
      <c r="AL2944" s="28"/>
      <c r="AM2944" s="28" t="n">
        <f aca="false">AL2944*$M2944</f>
        <v>0</v>
      </c>
      <c r="AN2944" s="28"/>
      <c r="AO2944" s="28" t="n">
        <f aca="false">AN2944*$M2944</f>
        <v>0</v>
      </c>
      <c r="AP2944" s="28"/>
      <c r="AQ2944" s="28" t="n">
        <f aca="false">AP2944*$M2944</f>
        <v>0</v>
      </c>
      <c r="AR2944" s="28"/>
      <c r="AS2944" s="28" t="n">
        <f aca="false">AR2944*$M2944</f>
        <v>0</v>
      </c>
      <c r="AT2944" s="28"/>
      <c r="AU2944" s="28" t="n">
        <f aca="false">AT2944*$M2944</f>
        <v>0</v>
      </c>
      <c r="AV2944" s="28"/>
      <c r="AW2944" s="28" t="n">
        <f aca="false">AV2944*$M2944</f>
        <v>0</v>
      </c>
      <c r="AX2944" s="28" t="n">
        <v>11559</v>
      </c>
      <c r="AY2944" s="28" t="n">
        <v>101141</v>
      </c>
      <c r="AZ2944" s="30" t="n">
        <v>19731</v>
      </c>
      <c r="BA2944" s="11" t="n">
        <v>171120</v>
      </c>
      <c r="BB2944" s="31" t="n">
        <f aca="false">SUM(Q2944,S2944,U2944,W2944,Y2944,AA2944,AC2944,AE2944,AG2944,AI2944,AK2944,AM2944,AO2944,AQ2944,AS2944,AU2944,AW2944,AY2944)</f>
        <v>171120</v>
      </c>
      <c r="BC2944" s="28" t="n">
        <f aca="false">BA2944-BB2944</f>
        <v>0</v>
      </c>
      <c r="BD2944" s="32" t="n">
        <f aca="false">SUM(P2944,R2944,T2944,V2944,X2944,Z2944,AB2944,AD2944,AF2944,AH2944,AJ2944,AL2944,AN2944,AP2944,AR2944,AT2944,AV2944,AX2944)</f>
        <v>19731</v>
      </c>
      <c r="BE2944" s="33" t="n">
        <f aca="false">AZ2944-BD2944</f>
        <v>0</v>
      </c>
      <c r="BF2944" s="34" t="n">
        <f aca="false">BD2944*M2944</f>
        <v>172646.25</v>
      </c>
      <c r="BG2944" s="35" t="n">
        <f aca="false">BA2944-BF2944</f>
        <v>-1526.25</v>
      </c>
      <c r="BH2944" s="19" t="str">
        <f aca="false">IF(BG2944=0,"",IF(BG2944&lt;&gt;BA2944,"erreur de calcul",IF(BD2944&lt;&gt;0,"pas de prix",IF(M2944&lt;&gt; 0,"pas de quantité","pas de prix, ni de quantité"))))</f>
        <v>erreur de calcul</v>
      </c>
      <c r="BI2944" s="19"/>
    </row>
    <row r="2945" customFormat="false" ht="15" hidden="false" customHeight="false" outlineLevel="0" collapsed="false">
      <c r="A2945" s="0" t="n">
        <v>10</v>
      </c>
      <c r="B2945" s="8" t="s">
        <v>24</v>
      </c>
      <c r="C2945" s="9" t="s">
        <v>25</v>
      </c>
      <c r="D2945" s="9" t="s">
        <v>26</v>
      </c>
      <c r="E2945" s="10" t="n">
        <v>1789</v>
      </c>
      <c r="F2945" s="9" t="s">
        <v>27</v>
      </c>
      <c r="G2945" s="9" t="s">
        <v>27</v>
      </c>
      <c r="H2945" s="11" t="n">
        <v>22</v>
      </c>
      <c r="I2945" s="11" t="s">
        <v>211</v>
      </c>
      <c r="J2945" s="14" t="n">
        <v>11</v>
      </c>
      <c r="K2945" s="14"/>
      <c r="L2945" s="16"/>
      <c r="M2945" s="27" t="n">
        <f aca="false">J2945+(K2945/20)+(L2945/240)</f>
        <v>11</v>
      </c>
      <c r="N2945" s="17" t="s">
        <v>66</v>
      </c>
      <c r="O2945" s="11"/>
      <c r="P2945" s="28" t="n">
        <v>95190</v>
      </c>
      <c r="Q2945" s="28" t="n">
        <v>1047090</v>
      </c>
      <c r="R2945" s="28"/>
      <c r="S2945" s="28" t="n">
        <f aca="false">R2945*$M2945</f>
        <v>0</v>
      </c>
      <c r="T2945" s="28"/>
      <c r="U2945" s="28" t="n">
        <f aca="false">T2945*$M2945</f>
        <v>0</v>
      </c>
      <c r="V2945" s="28"/>
      <c r="W2945" s="28" t="n">
        <f aca="false">V2945*$M2945</f>
        <v>0</v>
      </c>
      <c r="X2945" s="28"/>
      <c r="Y2945" s="28" t="n">
        <f aca="false">X2945*$M2945</f>
        <v>0</v>
      </c>
      <c r="Z2945" s="28"/>
      <c r="AA2945" s="28" t="n">
        <f aca="false">Z2945*$M2945</f>
        <v>0</v>
      </c>
      <c r="AB2945" s="28"/>
      <c r="AC2945" s="28" t="n">
        <f aca="false">AB2945*$M2945</f>
        <v>0</v>
      </c>
      <c r="AD2945" s="28"/>
      <c r="AE2945" s="28" t="n">
        <f aca="false">AD2945*$M2945</f>
        <v>0</v>
      </c>
      <c r="AF2945" s="28"/>
      <c r="AG2945" s="28" t="n">
        <f aca="false">AF2945*$M2945</f>
        <v>0</v>
      </c>
      <c r="AH2945" s="28"/>
      <c r="AI2945" s="28" t="n">
        <f aca="false">AH2945*$M2945</f>
        <v>0</v>
      </c>
      <c r="AJ2945" s="28"/>
      <c r="AK2945" s="28" t="n">
        <f aca="false">AJ2945*$M2945</f>
        <v>0</v>
      </c>
      <c r="AL2945" s="28"/>
      <c r="AM2945" s="28" t="n">
        <f aca="false">AL2945*$M2945</f>
        <v>0</v>
      </c>
      <c r="AN2945" s="28"/>
      <c r="AO2945" s="28" t="n">
        <f aca="false">AN2945*$M2945</f>
        <v>0</v>
      </c>
      <c r="AP2945" s="28"/>
      <c r="AQ2945" s="28" t="n">
        <f aca="false">AP2945*$M2945</f>
        <v>0</v>
      </c>
      <c r="AR2945" s="28"/>
      <c r="AS2945" s="28" t="n">
        <f aca="false">AR2945*$M2945</f>
        <v>0</v>
      </c>
      <c r="AT2945" s="28"/>
      <c r="AU2945" s="28" t="n">
        <f aca="false">AT2945*$M2945</f>
        <v>0</v>
      </c>
      <c r="AV2945" s="28"/>
      <c r="AW2945" s="28" t="n">
        <f aca="false">AV2945*$M2945</f>
        <v>0</v>
      </c>
      <c r="AX2945" s="28"/>
      <c r="AY2945" s="28" t="n">
        <f aca="false">AX2945*$M2945</f>
        <v>0</v>
      </c>
      <c r="AZ2945" s="30" t="n">
        <v>95190</v>
      </c>
      <c r="BA2945" s="11" t="n">
        <v>1047090</v>
      </c>
      <c r="BB2945" s="31" t="n">
        <f aca="false">SUM(Q2945,S2945,U2945,W2945,Y2945,AA2945,AC2945,AE2945,AG2945,AI2945,AK2945,AM2945,AO2945,AQ2945,AS2945,AU2945,AW2945,AY2945)</f>
        <v>1047090</v>
      </c>
      <c r="BC2945" s="28" t="n">
        <f aca="false">BA2945-BB2945</f>
        <v>0</v>
      </c>
      <c r="BD2945" s="32" t="n">
        <f aca="false">SUM(P2945,R2945,T2945,V2945,X2945,Z2945,AB2945,AD2945,AF2945,AH2945,AJ2945,AL2945,AN2945,AP2945,AR2945,AT2945,AV2945,AX2945)</f>
        <v>95190</v>
      </c>
      <c r="BE2945" s="33" t="n">
        <f aca="false">AZ2945-BD2945</f>
        <v>0</v>
      </c>
      <c r="BF2945" s="34" t="n">
        <f aca="false">BD2945*M2945</f>
        <v>1047090</v>
      </c>
      <c r="BG2945" s="35" t="n">
        <f aca="false">BA2945-BF2945</f>
        <v>0</v>
      </c>
      <c r="BH2945" s="19" t="str">
        <f aca="false">IF(BG2945=0,"",IF(BG2945&lt;&gt;BA2945,"erreur de calcul",IF(BD2945&lt;&gt;0,"pas de prix",IF(M2945&lt;&gt; 0,"pas de quantité","pas de prix, ni de quantité"))))</f>
        <v/>
      </c>
      <c r="BI2945" s="19"/>
    </row>
    <row r="2946" customFormat="false" ht="17.15" hidden="false" customHeight="false" outlineLevel="0" collapsed="false">
      <c r="A2946" s="0" t="n">
        <v>11</v>
      </c>
      <c r="B2946" s="8" t="s">
        <v>24</v>
      </c>
      <c r="C2946" s="9" t="s">
        <v>25</v>
      </c>
      <c r="D2946" s="9" t="s">
        <v>26</v>
      </c>
      <c r="E2946" s="10" t="n">
        <v>1789</v>
      </c>
      <c r="F2946" s="9" t="s">
        <v>27</v>
      </c>
      <c r="G2946" s="9" t="s">
        <v>27</v>
      </c>
      <c r="H2946" s="11" t="n">
        <v>22</v>
      </c>
      <c r="I2946" s="40" t="s">
        <v>212</v>
      </c>
      <c r="J2946" s="14" t="n">
        <v>75</v>
      </c>
      <c r="K2946" s="14"/>
      <c r="L2946" s="16"/>
      <c r="M2946" s="27" t="n">
        <f aca="false">J2946+(K2946/20)+(L2946/240)</f>
        <v>75</v>
      </c>
      <c r="N2946" s="17" t="s">
        <v>64</v>
      </c>
      <c r="O2946" s="11"/>
      <c r="P2946" s="28"/>
      <c r="Q2946" s="28" t="n">
        <f aca="false">P2946*$M2946</f>
        <v>0</v>
      </c>
      <c r="R2946" s="28"/>
      <c r="S2946" s="28" t="n">
        <f aca="false">R2946*$M2946</f>
        <v>0</v>
      </c>
      <c r="T2946" s="28"/>
      <c r="U2946" s="28" t="n">
        <f aca="false">T2946*$M2946</f>
        <v>0</v>
      </c>
      <c r="V2946" s="28"/>
      <c r="W2946" s="28" t="n">
        <f aca="false">V2946*$M2946</f>
        <v>0</v>
      </c>
      <c r="X2946" s="28"/>
      <c r="Y2946" s="28" t="n">
        <f aca="false">X2946*$M2946</f>
        <v>0</v>
      </c>
      <c r="Z2946" s="28"/>
      <c r="AA2946" s="28" t="n">
        <f aca="false">Z2946*$M2946</f>
        <v>0</v>
      </c>
      <c r="AB2946" s="28"/>
      <c r="AC2946" s="28" t="n">
        <f aca="false">AB2946*$M2946</f>
        <v>0</v>
      </c>
      <c r="AD2946" s="28"/>
      <c r="AE2946" s="28" t="n">
        <f aca="false">AD2946*$M2946</f>
        <v>0</v>
      </c>
      <c r="AF2946" s="28"/>
      <c r="AG2946" s="28" t="n">
        <f aca="false">AF2946*$M2946</f>
        <v>0</v>
      </c>
      <c r="AH2946" s="28"/>
      <c r="AI2946" s="28" t="n">
        <f aca="false">AH2946*$M2946</f>
        <v>0</v>
      </c>
      <c r="AJ2946" s="28" t="n">
        <f aca="false">2372/100</f>
        <v>23.72</v>
      </c>
      <c r="AK2946" s="28" t="n">
        <v>1779</v>
      </c>
      <c r="AL2946" s="28"/>
      <c r="AM2946" s="28" t="n">
        <f aca="false">AL2946*$M2946</f>
        <v>0</v>
      </c>
      <c r="AN2946" s="28"/>
      <c r="AO2946" s="28" t="n">
        <f aca="false">AN2946*$M2946</f>
        <v>0</v>
      </c>
      <c r="AP2946" s="28"/>
      <c r="AQ2946" s="28" t="n">
        <f aca="false">AP2946*$M2946</f>
        <v>0</v>
      </c>
      <c r="AR2946" s="28"/>
      <c r="AS2946" s="28" t="n">
        <f aca="false">AR2946*$M2946</f>
        <v>0</v>
      </c>
      <c r="AT2946" s="28"/>
      <c r="AU2946" s="28" t="n">
        <f aca="false">AT2946*$M2946</f>
        <v>0</v>
      </c>
      <c r="AV2946" s="28"/>
      <c r="AW2946" s="28" t="n">
        <f aca="false">AV2946*$M2946</f>
        <v>0</v>
      </c>
      <c r="AX2946" s="28"/>
      <c r="AY2946" s="28" t="n">
        <f aca="false">AX2946*$M2946</f>
        <v>0</v>
      </c>
      <c r="AZ2946" s="30" t="n">
        <f aca="false">2372/100</f>
        <v>23.72</v>
      </c>
      <c r="BA2946" s="11" t="n">
        <v>1779</v>
      </c>
      <c r="BB2946" s="31" t="n">
        <f aca="false">SUM(Q2946,S2946,U2946,W2946,Y2946,AA2946,AC2946,AE2946,AG2946,AI2946,AK2946,AM2946,AO2946,AQ2946,AS2946,AU2946,AW2946,AY2946)</f>
        <v>1779</v>
      </c>
      <c r="BC2946" s="28" t="n">
        <f aca="false">BA2946-BB2946</f>
        <v>0</v>
      </c>
      <c r="BD2946" s="32" t="n">
        <f aca="false">SUM(P2946,R2946,T2946,V2946,X2946,Z2946,AB2946,AD2946,AF2946,AH2946,AJ2946,AL2946,AN2946,AP2946,AR2946,AT2946,AV2946,AX2946)</f>
        <v>23.72</v>
      </c>
      <c r="BE2946" s="33" t="n">
        <f aca="false">AZ2946-BD2946</f>
        <v>0</v>
      </c>
      <c r="BF2946" s="34" t="n">
        <f aca="false">BD2946*M2946</f>
        <v>1779</v>
      </c>
      <c r="BG2946" s="35" t="n">
        <f aca="false">BA2946-BF2946</f>
        <v>0</v>
      </c>
      <c r="BH2946" s="19" t="str">
        <f aca="false">IF(BG2946=0,"",IF(BG2946&lt;&gt;BA2946,"erreur de calcul",IF(BD2946&lt;&gt;0,"pas de prix",IF(M2946&lt;&gt; 0,"pas de quantité","pas de prix, ni de quantité"))))</f>
        <v/>
      </c>
      <c r="BI2946" s="19"/>
    </row>
    <row r="2947" customFormat="false" ht="15" hidden="false" customHeight="false" outlineLevel="0" collapsed="false">
      <c r="A2947" s="0" t="n">
        <v>12</v>
      </c>
      <c r="B2947" s="8" t="s">
        <v>24</v>
      </c>
      <c r="C2947" s="9" t="s">
        <v>25</v>
      </c>
      <c r="D2947" s="9" t="s">
        <v>26</v>
      </c>
      <c r="E2947" s="10" t="n">
        <v>1789</v>
      </c>
      <c r="F2947" s="9" t="s">
        <v>27</v>
      </c>
      <c r="G2947" s="9" t="s">
        <v>27</v>
      </c>
      <c r="H2947" s="11" t="n">
        <v>22</v>
      </c>
      <c r="I2947" s="11" t="s">
        <v>213</v>
      </c>
      <c r="J2947" s="14" t="n">
        <v>31</v>
      </c>
      <c r="K2947" s="14"/>
      <c r="L2947" s="16"/>
      <c r="M2947" s="27" t="n">
        <f aca="false">J2947+(K2947/20)+(L2947/240)</f>
        <v>31</v>
      </c>
      <c r="N2947" s="17" t="s">
        <v>64</v>
      </c>
      <c r="O2947" s="11"/>
      <c r="P2947" s="28"/>
      <c r="Q2947" s="28" t="n">
        <f aca="false">P2947*$M2947</f>
        <v>0</v>
      </c>
      <c r="R2947" s="28"/>
      <c r="S2947" s="28" t="n">
        <f aca="false">R2947*$M2947</f>
        <v>0</v>
      </c>
      <c r="T2947" s="28"/>
      <c r="U2947" s="28" t="n">
        <f aca="false">T2947*$M2947</f>
        <v>0</v>
      </c>
      <c r="V2947" s="28"/>
      <c r="W2947" s="28" t="n">
        <f aca="false">V2947*$M2947</f>
        <v>0</v>
      </c>
      <c r="X2947" s="28" t="n">
        <f aca="false">18202/100</f>
        <v>182.02</v>
      </c>
      <c r="Y2947" s="28" t="n">
        <v>5643</v>
      </c>
      <c r="Z2947" s="28"/>
      <c r="AA2947" s="28" t="n">
        <f aca="false">Z2947*$M2947</f>
        <v>0</v>
      </c>
      <c r="AB2947" s="28"/>
      <c r="AC2947" s="28" t="n">
        <f aca="false">AB2947*$M2947</f>
        <v>0</v>
      </c>
      <c r="AD2947" s="28"/>
      <c r="AE2947" s="28" t="n">
        <f aca="false">AD2947*$M2947</f>
        <v>0</v>
      </c>
      <c r="AF2947" s="28"/>
      <c r="AG2947" s="28" t="n">
        <f aca="false">AF2947*$M2947</f>
        <v>0</v>
      </c>
      <c r="AH2947" s="28"/>
      <c r="AI2947" s="28" t="n">
        <f aca="false">AH2947*$M2947</f>
        <v>0</v>
      </c>
      <c r="AJ2947" s="28"/>
      <c r="AK2947" s="28" t="n">
        <f aca="false">AJ2947*$M2947</f>
        <v>0</v>
      </c>
      <c r="AL2947" s="28"/>
      <c r="AM2947" s="28" t="n">
        <f aca="false">AL2947*$M2947</f>
        <v>0</v>
      </c>
      <c r="AN2947" s="28"/>
      <c r="AO2947" s="28" t="n">
        <f aca="false">AN2947*$M2947</f>
        <v>0</v>
      </c>
      <c r="AP2947" s="28"/>
      <c r="AQ2947" s="28" t="n">
        <f aca="false">AP2947*$M2947</f>
        <v>0</v>
      </c>
      <c r="AR2947" s="28"/>
      <c r="AS2947" s="28" t="n">
        <f aca="false">AR2947*$M2947</f>
        <v>0</v>
      </c>
      <c r="AT2947" s="28"/>
      <c r="AU2947" s="28" t="n">
        <f aca="false">AT2947*$M2947</f>
        <v>0</v>
      </c>
      <c r="AV2947" s="28"/>
      <c r="AW2947" s="28" t="n">
        <f aca="false">AV2947*$M2947</f>
        <v>0</v>
      </c>
      <c r="AX2947" s="28"/>
      <c r="AY2947" s="28" t="n">
        <f aca="false">AX2947*$M2947</f>
        <v>0</v>
      </c>
      <c r="AZ2947" s="30" t="n">
        <f aca="false">18202/100</f>
        <v>182.02</v>
      </c>
      <c r="BA2947" s="11" t="n">
        <v>5643</v>
      </c>
      <c r="BB2947" s="31" t="n">
        <f aca="false">SUM(Q2947,S2947,U2947,W2947,Y2947,AA2947,AC2947,AE2947,AG2947,AI2947,AK2947,AM2947,AO2947,AQ2947,AS2947,AU2947,AW2947,AY2947)</f>
        <v>5643</v>
      </c>
      <c r="BC2947" s="28" t="n">
        <f aca="false">BA2947-BB2947</f>
        <v>0</v>
      </c>
      <c r="BD2947" s="32" t="n">
        <f aca="false">SUM(P2947,R2947,T2947,V2947,X2947,Z2947,AB2947,AD2947,AF2947,AH2947,AJ2947,AL2947,AN2947,AP2947,AR2947,AT2947,AV2947,AX2947)</f>
        <v>182.02</v>
      </c>
      <c r="BE2947" s="33" t="n">
        <f aca="false">AZ2947-BD2947</f>
        <v>0</v>
      </c>
      <c r="BF2947" s="34" t="n">
        <f aca="false">BD2947*M2947</f>
        <v>5642.62</v>
      </c>
      <c r="BG2947" s="35" t="n">
        <f aca="false">BA2947-BF2947</f>
        <v>0.380000000000109</v>
      </c>
      <c r="BH2947" s="19" t="str">
        <f aca="false">IF(BG2947=0,"",IF(BG2947&lt;&gt;BA2947,"erreur de calcul",IF(BD2947&lt;&gt;0,"pas de prix",IF(M2947&lt;&gt; 0,"pas de quantité","pas de prix, ni de quantité"))))</f>
        <v>erreur de calcul</v>
      </c>
      <c r="BI2947" s="19"/>
    </row>
    <row r="2948" customFormat="false" ht="15" hidden="false" customHeight="false" outlineLevel="0" collapsed="false">
      <c r="A2948" s="0" t="n">
        <v>13</v>
      </c>
      <c r="B2948" s="8" t="s">
        <v>24</v>
      </c>
      <c r="C2948" s="9" t="s">
        <v>25</v>
      </c>
      <c r="D2948" s="9" t="s">
        <v>26</v>
      </c>
      <c r="E2948" s="10" t="n">
        <v>1789</v>
      </c>
      <c r="F2948" s="9" t="s">
        <v>27</v>
      </c>
      <c r="G2948" s="9" t="s">
        <v>27</v>
      </c>
      <c r="H2948" s="11" t="n">
        <v>22</v>
      </c>
      <c r="I2948" s="11" t="s">
        <v>214</v>
      </c>
      <c r="J2948" s="14"/>
      <c r="K2948" s="14" t="n">
        <v>20</v>
      </c>
      <c r="L2948" s="16"/>
      <c r="M2948" s="27" t="n">
        <f aca="false">J2948+(K2948/20)+(L2948/240)</f>
        <v>1</v>
      </c>
      <c r="N2948" s="17" t="s">
        <v>66</v>
      </c>
      <c r="O2948" s="11"/>
      <c r="P2948" s="28"/>
      <c r="Q2948" s="28" t="n">
        <f aca="false">P2948*$M2948</f>
        <v>0</v>
      </c>
      <c r="R2948" s="28"/>
      <c r="S2948" s="28" t="n">
        <f aca="false">R2948*$M2948</f>
        <v>0</v>
      </c>
      <c r="T2948" s="28"/>
      <c r="U2948" s="28" t="n">
        <f aca="false">T2948*$M2948</f>
        <v>0</v>
      </c>
      <c r="V2948" s="28"/>
      <c r="W2948" s="28" t="n">
        <f aca="false">V2948*$M2948</f>
        <v>0</v>
      </c>
      <c r="X2948" s="28"/>
      <c r="Y2948" s="28" t="n">
        <f aca="false">X2948*$M2948</f>
        <v>0</v>
      </c>
      <c r="Z2948" s="28"/>
      <c r="AA2948" s="28" t="n">
        <f aca="false">Z2948*$M2948</f>
        <v>0</v>
      </c>
      <c r="AB2948" s="28"/>
      <c r="AC2948" s="28" t="n">
        <f aca="false">AB2948*$M2948</f>
        <v>0</v>
      </c>
      <c r="AD2948" s="28" t="n">
        <v>2831</v>
      </c>
      <c r="AE2948" s="28" t="n">
        <v>2831</v>
      </c>
      <c r="AF2948" s="28"/>
      <c r="AG2948" s="28" t="n">
        <f aca="false">AF2948*$M2948</f>
        <v>0</v>
      </c>
      <c r="AH2948" s="28"/>
      <c r="AI2948" s="28" t="n">
        <f aca="false">AH2948*$M2948</f>
        <v>0</v>
      </c>
      <c r="AJ2948" s="28"/>
      <c r="AK2948" s="28" t="n">
        <f aca="false">AJ2948*$M2948</f>
        <v>0</v>
      </c>
      <c r="AL2948" s="28"/>
      <c r="AM2948" s="28" t="n">
        <f aca="false">AL2948*$M2948</f>
        <v>0</v>
      </c>
      <c r="AN2948" s="28"/>
      <c r="AO2948" s="28" t="n">
        <f aca="false">AN2948*$M2948</f>
        <v>0</v>
      </c>
      <c r="AP2948" s="28"/>
      <c r="AQ2948" s="28" t="n">
        <f aca="false">AP2948*$M2948</f>
        <v>0</v>
      </c>
      <c r="AR2948" s="28"/>
      <c r="AS2948" s="28" t="n">
        <f aca="false">AR2948*$M2948</f>
        <v>0</v>
      </c>
      <c r="AT2948" s="28"/>
      <c r="AU2948" s="28" t="n">
        <f aca="false">AT2948*$M2948</f>
        <v>0</v>
      </c>
      <c r="AV2948" s="28"/>
      <c r="AW2948" s="28" t="n">
        <f aca="false">AV2948*$M2948</f>
        <v>0</v>
      </c>
      <c r="AX2948" s="28"/>
      <c r="AY2948" s="28" t="n">
        <f aca="false">AX2948*$M2948</f>
        <v>0</v>
      </c>
      <c r="AZ2948" s="30" t="n">
        <v>2831</v>
      </c>
      <c r="BA2948" s="11" t="n">
        <v>2831</v>
      </c>
      <c r="BB2948" s="31" t="n">
        <f aca="false">SUM(Q2948,S2948,U2948,W2948,Y2948,AA2948,AC2948,AE2948,AG2948,AI2948,AK2948,AM2948,AO2948,AQ2948,AS2948,AU2948,AW2948,AY2948)</f>
        <v>2831</v>
      </c>
      <c r="BC2948" s="28" t="n">
        <f aca="false">BA2948-BB2948</f>
        <v>0</v>
      </c>
      <c r="BD2948" s="32" t="n">
        <f aca="false">SUM(P2948,R2948,T2948,V2948,X2948,Z2948,AB2948,AD2948,AF2948,AH2948,AJ2948,AL2948,AN2948,AP2948,AR2948,AT2948,AV2948,AX2948)</f>
        <v>2831</v>
      </c>
      <c r="BE2948" s="33" t="n">
        <f aca="false">AZ2948-BD2948</f>
        <v>0</v>
      </c>
      <c r="BF2948" s="34" t="n">
        <f aca="false">BD2948*M2948</f>
        <v>2831</v>
      </c>
      <c r="BG2948" s="35" t="n">
        <f aca="false">BA2948-BF2948</f>
        <v>0</v>
      </c>
      <c r="BH2948" s="19" t="str">
        <f aca="false">IF(BG2948=0,"",IF(BG2948&lt;&gt;BA2948,"erreur de calcul",IF(BD2948&lt;&gt;0,"pas de prix",IF(M2948&lt;&gt; 0,"pas de quantité","pas de prix, ni de quantité"))))</f>
        <v/>
      </c>
      <c r="BI2948" s="19"/>
    </row>
    <row r="2949" customFormat="false" ht="15" hidden="false" customHeight="false" outlineLevel="0" collapsed="false">
      <c r="A2949" s="0" t="n">
        <v>14</v>
      </c>
      <c r="B2949" s="8" t="s">
        <v>24</v>
      </c>
      <c r="C2949" s="9" t="s">
        <v>25</v>
      </c>
      <c r="D2949" s="9" t="s">
        <v>26</v>
      </c>
      <c r="E2949" s="10" t="n">
        <v>1789</v>
      </c>
      <c r="F2949" s="9" t="s">
        <v>27</v>
      </c>
      <c r="G2949" s="9" t="s">
        <v>27</v>
      </c>
      <c r="H2949" s="11" t="n">
        <v>22</v>
      </c>
      <c r="I2949" s="11" t="s">
        <v>215</v>
      </c>
      <c r="J2949" s="14" t="n">
        <v>36</v>
      </c>
      <c r="K2949" s="14"/>
      <c r="L2949" s="16"/>
      <c r="M2949" s="27" t="n">
        <f aca="false">J2949+(K2949/20)+(L2949/240)</f>
        <v>36</v>
      </c>
      <c r="N2949" s="17" t="s">
        <v>64</v>
      </c>
      <c r="O2949" s="11"/>
      <c r="P2949" s="28"/>
      <c r="Q2949" s="28" t="n">
        <f aca="false">P2949*$M2949</f>
        <v>0</v>
      </c>
      <c r="R2949" s="28"/>
      <c r="S2949" s="28" t="n">
        <f aca="false">R2949*$M2949</f>
        <v>0</v>
      </c>
      <c r="T2949" s="28"/>
      <c r="U2949" s="28" t="n">
        <f aca="false">T2949*$M2949</f>
        <v>0</v>
      </c>
      <c r="V2949" s="28"/>
      <c r="W2949" s="28" t="n">
        <f aca="false">V2949*$M2949</f>
        <v>0</v>
      </c>
      <c r="X2949" s="28"/>
      <c r="Y2949" s="28" t="n">
        <f aca="false">X2949*$M2949</f>
        <v>0</v>
      </c>
      <c r="Z2949" s="28"/>
      <c r="AA2949" s="28" t="n">
        <f aca="false">Z2949*$M2949</f>
        <v>0</v>
      </c>
      <c r="AB2949" s="28"/>
      <c r="AC2949" s="28" t="n">
        <f aca="false">AB2949*$M2949</f>
        <v>0</v>
      </c>
      <c r="AD2949" s="28"/>
      <c r="AE2949" s="28" t="n">
        <f aca="false">AD2949*$M2949</f>
        <v>0</v>
      </c>
      <c r="AF2949" s="28" t="n">
        <f aca="false">92472/100</f>
        <v>924.72</v>
      </c>
      <c r="AG2949" s="28" t="n">
        <v>33290</v>
      </c>
      <c r="AH2949" s="28" t="n">
        <f aca="false">490633/100</f>
        <v>4906.33</v>
      </c>
      <c r="AI2949" s="28" t="n">
        <v>176628</v>
      </c>
      <c r="AJ2949" s="28"/>
      <c r="AK2949" s="28" t="n">
        <f aca="false">AJ2949*$M2949</f>
        <v>0</v>
      </c>
      <c r="AL2949" s="28"/>
      <c r="AM2949" s="28" t="n">
        <f aca="false">AL2949*$M2949</f>
        <v>0</v>
      </c>
      <c r="AN2949" s="28"/>
      <c r="AO2949" s="28" t="n">
        <f aca="false">AN2949*$M2949</f>
        <v>0</v>
      </c>
      <c r="AP2949" s="28"/>
      <c r="AQ2949" s="28" t="n">
        <f aca="false">AP2949*$M2949</f>
        <v>0</v>
      </c>
      <c r="AR2949" s="28"/>
      <c r="AS2949" s="28" t="n">
        <f aca="false">AR2949*$M2949</f>
        <v>0</v>
      </c>
      <c r="AT2949" s="28"/>
      <c r="AU2949" s="28" t="n">
        <f aca="false">AT2949*$M2949</f>
        <v>0</v>
      </c>
      <c r="AV2949" s="28"/>
      <c r="AW2949" s="28" t="n">
        <f aca="false">AV2949*$M2949</f>
        <v>0</v>
      </c>
      <c r="AX2949" s="28"/>
      <c r="AY2949" s="28" t="n">
        <f aca="false">AX2949*$M2949</f>
        <v>0</v>
      </c>
      <c r="AZ2949" s="30" t="n">
        <f aca="false">583105/100</f>
        <v>5831.05</v>
      </c>
      <c r="BA2949" s="11" t="n">
        <v>209918</v>
      </c>
      <c r="BB2949" s="31" t="n">
        <f aca="false">SUM(Q2949,S2949,U2949,W2949,Y2949,AA2949,AC2949,AE2949,AG2949,AI2949,AK2949,AM2949,AO2949,AQ2949,AS2949,AU2949,AW2949,AY2949)</f>
        <v>209918</v>
      </c>
      <c r="BC2949" s="28" t="n">
        <f aca="false">BA2949-BB2949</f>
        <v>0</v>
      </c>
      <c r="BD2949" s="32" t="n">
        <f aca="false">SUM(P2949,R2949,T2949,V2949,X2949,Z2949,AB2949,AD2949,AF2949,AH2949,AJ2949,AL2949,AN2949,AP2949,AR2949,AT2949,AV2949,AX2949)</f>
        <v>5831.05</v>
      </c>
      <c r="BE2949" s="33" t="n">
        <f aca="false">AZ2949-BD2949</f>
        <v>0</v>
      </c>
      <c r="BF2949" s="34" t="n">
        <f aca="false">BD2949*M2949</f>
        <v>209917.8</v>
      </c>
      <c r="BG2949" s="35" t="n">
        <f aca="false">BA2949-BF2949</f>
        <v>0.199999999982538</v>
      </c>
      <c r="BH2949" s="19" t="str">
        <f aca="false">IF(BG2949=0,"",IF(BG2949&lt;&gt;BA2949,"erreur de calcul",IF(BD2949&lt;&gt;0,"pas de prix",IF(M2949&lt;&gt; 0,"pas de quantité","pas de prix, ni de quantité"))))</f>
        <v>erreur de calcul</v>
      </c>
      <c r="BI2949" s="19"/>
    </row>
    <row r="2950" customFormat="false" ht="15" hidden="false" customHeight="false" outlineLevel="0" collapsed="false">
      <c r="A2950" s="0" t="n">
        <v>15</v>
      </c>
      <c r="B2950" s="8" t="s">
        <v>24</v>
      </c>
      <c r="C2950" s="9" t="s">
        <v>25</v>
      </c>
      <c r="D2950" s="9" t="s">
        <v>26</v>
      </c>
      <c r="E2950" s="10" t="n">
        <v>1789</v>
      </c>
      <c r="F2950" s="9" t="s">
        <v>27</v>
      </c>
      <c r="G2950" s="9" t="s">
        <v>27</v>
      </c>
      <c r="H2950" s="11" t="n">
        <v>22</v>
      </c>
      <c r="I2950" s="11" t="s">
        <v>216</v>
      </c>
      <c r="J2950" s="14"/>
      <c r="K2950" s="14" t="n">
        <v>22</v>
      </c>
      <c r="L2950" s="16"/>
      <c r="M2950" s="27" t="n">
        <f aca="false">J2950+(K2950/20)+(L2950/240)</f>
        <v>1.1</v>
      </c>
      <c r="N2950" s="17" t="s">
        <v>66</v>
      </c>
      <c r="O2950" s="11"/>
      <c r="P2950" s="28"/>
      <c r="Q2950" s="28" t="n">
        <f aca="false">P2950*$M2950</f>
        <v>0</v>
      </c>
      <c r="R2950" s="28"/>
      <c r="S2950" s="28" t="n">
        <f aca="false">R2950*$M2950</f>
        <v>0</v>
      </c>
      <c r="T2950" s="28" t="n">
        <v>2875</v>
      </c>
      <c r="U2950" s="28" t="n">
        <v>3162</v>
      </c>
      <c r="V2950" s="28"/>
      <c r="W2950" s="28" t="n">
        <f aca="false">V2950*$M2950</f>
        <v>0</v>
      </c>
      <c r="X2950" s="28"/>
      <c r="Y2950" s="28" t="n">
        <f aca="false">X2950*$M2950</f>
        <v>0</v>
      </c>
      <c r="Z2950" s="28"/>
      <c r="AA2950" s="28" t="n">
        <f aca="false">Z2950*$M2950</f>
        <v>0</v>
      </c>
      <c r="AB2950" s="28"/>
      <c r="AC2950" s="28" t="n">
        <f aca="false">AB2950*$M2950</f>
        <v>0</v>
      </c>
      <c r="AD2950" s="28"/>
      <c r="AE2950" s="28" t="n">
        <f aca="false">AD2950*$M2950</f>
        <v>0</v>
      </c>
      <c r="AF2950" s="28"/>
      <c r="AG2950" s="28" t="n">
        <f aca="false">AF2950*$M2950</f>
        <v>0</v>
      </c>
      <c r="AH2950" s="28"/>
      <c r="AI2950" s="28" t="n">
        <f aca="false">AH2950*$M2950</f>
        <v>0</v>
      </c>
      <c r="AJ2950" s="28"/>
      <c r="AK2950" s="28" t="n">
        <f aca="false">AJ2950*$M2950</f>
        <v>0</v>
      </c>
      <c r="AL2950" s="28"/>
      <c r="AM2950" s="28" t="n">
        <f aca="false">AL2950*$M2950</f>
        <v>0</v>
      </c>
      <c r="AN2950" s="28"/>
      <c r="AO2950" s="28" t="n">
        <f aca="false">AN2950*$M2950</f>
        <v>0</v>
      </c>
      <c r="AP2950" s="28"/>
      <c r="AQ2950" s="28" t="n">
        <f aca="false">AP2950*$M2950</f>
        <v>0</v>
      </c>
      <c r="AR2950" s="28"/>
      <c r="AS2950" s="28" t="n">
        <f aca="false">AR2950*$M2950</f>
        <v>0</v>
      </c>
      <c r="AT2950" s="28"/>
      <c r="AU2950" s="28" t="n">
        <f aca="false">AT2950*$M2950</f>
        <v>0</v>
      </c>
      <c r="AV2950" s="28"/>
      <c r="AW2950" s="28" t="n">
        <f aca="false">AV2950*$M2950</f>
        <v>0</v>
      </c>
      <c r="AX2950" s="28"/>
      <c r="AY2950" s="28" t="n">
        <f aca="false">AX2950*$M2950</f>
        <v>0</v>
      </c>
      <c r="AZ2950" s="30" t="n">
        <v>2875</v>
      </c>
      <c r="BA2950" s="11" t="n">
        <v>3162</v>
      </c>
      <c r="BB2950" s="31" t="n">
        <f aca="false">SUM(Q2950,S2950,U2950,W2950,Y2950,AA2950,AC2950,AE2950,AG2950,AI2950,AK2950,AM2950,AO2950,AQ2950,AS2950,AU2950,AW2950,AY2950)</f>
        <v>3162</v>
      </c>
      <c r="BC2950" s="28" t="n">
        <f aca="false">BA2950-BB2950</f>
        <v>0</v>
      </c>
      <c r="BD2950" s="32" t="n">
        <f aca="false">SUM(P2950,R2950,T2950,V2950,X2950,Z2950,AB2950,AD2950,AF2950,AH2950,AJ2950,AL2950,AN2950,AP2950,AR2950,AT2950,AV2950,AX2950)</f>
        <v>2875</v>
      </c>
      <c r="BE2950" s="33" t="n">
        <f aca="false">AZ2950-BD2950</f>
        <v>0</v>
      </c>
      <c r="BF2950" s="34" t="n">
        <f aca="false">BD2950*M2950</f>
        <v>3162.5</v>
      </c>
      <c r="BG2950" s="35" t="n">
        <f aca="false">BA2950-BF2950</f>
        <v>-0.500000000000455</v>
      </c>
      <c r="BH2950" s="19" t="str">
        <f aca="false">IF(BG2950=0,"",IF(BG2950&lt;&gt;BA2950,"erreur de calcul",IF(BD2950&lt;&gt;0,"pas de prix",IF(M2950&lt;&gt; 0,"pas de quantité","pas de prix, ni de quantité"))))</f>
        <v>erreur de calcul</v>
      </c>
      <c r="BI2950" s="19"/>
    </row>
    <row r="2951" customFormat="false" ht="15" hidden="false" customHeight="false" outlineLevel="0" collapsed="false">
      <c r="A2951" s="0" t="n">
        <v>16</v>
      </c>
      <c r="B2951" s="8" t="s">
        <v>24</v>
      </c>
      <c r="C2951" s="9" t="s">
        <v>25</v>
      </c>
      <c r="D2951" s="9" t="s">
        <v>26</v>
      </c>
      <c r="E2951" s="10" t="n">
        <v>1789</v>
      </c>
      <c r="F2951" s="9" t="s">
        <v>27</v>
      </c>
      <c r="G2951" s="9" t="s">
        <v>27</v>
      </c>
      <c r="H2951" s="11" t="n">
        <v>22</v>
      </c>
      <c r="I2951" s="11" t="s">
        <v>217</v>
      </c>
      <c r="J2951" s="14" t="n">
        <v>90</v>
      </c>
      <c r="K2951" s="14"/>
      <c r="L2951" s="16"/>
      <c r="M2951" s="27" t="n">
        <f aca="false">J2951+(K2951/20)+(L2951/240)</f>
        <v>90</v>
      </c>
      <c r="N2951" s="17" t="s">
        <v>64</v>
      </c>
      <c r="O2951" s="11"/>
      <c r="P2951" s="28"/>
      <c r="Q2951" s="28" t="n">
        <f aca="false">P2951*$M2951</f>
        <v>0</v>
      </c>
      <c r="R2951" s="28"/>
      <c r="S2951" s="28" t="n">
        <f aca="false">R2951*$M2951</f>
        <v>0</v>
      </c>
      <c r="T2951" s="28"/>
      <c r="U2951" s="28" t="n">
        <f aca="false">T2951*$M2951</f>
        <v>0</v>
      </c>
      <c r="V2951" s="28"/>
      <c r="W2951" s="28" t="n">
        <f aca="false">V2951*$M2951</f>
        <v>0</v>
      </c>
      <c r="X2951" s="28" t="n">
        <f aca="false">2440/100</f>
        <v>24.4</v>
      </c>
      <c r="Y2951" s="28" t="n">
        <v>2196</v>
      </c>
      <c r="Z2951" s="28"/>
      <c r="AA2951" s="28" t="n">
        <f aca="false">Z2951*$M2951</f>
        <v>0</v>
      </c>
      <c r="AB2951" s="28"/>
      <c r="AC2951" s="28" t="n">
        <f aca="false">AB2951*$M2951</f>
        <v>0</v>
      </c>
      <c r="AD2951" s="28"/>
      <c r="AE2951" s="28" t="n">
        <f aca="false">AD2951*$M2951</f>
        <v>0</v>
      </c>
      <c r="AF2951" s="28"/>
      <c r="AG2951" s="28" t="n">
        <f aca="false">AF2951*$M2951</f>
        <v>0</v>
      </c>
      <c r="AH2951" s="28" t="n">
        <f aca="false">524577/100</f>
        <v>5245.77</v>
      </c>
      <c r="AI2951" s="28" t="n">
        <v>472116</v>
      </c>
      <c r="AJ2951" s="28"/>
      <c r="AK2951" s="28" t="n">
        <f aca="false">AJ2951*$M2951</f>
        <v>0</v>
      </c>
      <c r="AL2951" s="28"/>
      <c r="AM2951" s="28" t="n">
        <f aca="false">AL2951*$M2951</f>
        <v>0</v>
      </c>
      <c r="AN2951" s="28"/>
      <c r="AO2951" s="28" t="n">
        <f aca="false">AN2951*$M2951</f>
        <v>0</v>
      </c>
      <c r="AP2951" s="28"/>
      <c r="AQ2951" s="28" t="n">
        <f aca="false">AP2951*$M2951</f>
        <v>0</v>
      </c>
      <c r="AR2951" s="28"/>
      <c r="AS2951" s="28" t="n">
        <f aca="false">AR2951*$M2951</f>
        <v>0</v>
      </c>
      <c r="AT2951" s="28"/>
      <c r="AU2951" s="28" t="n">
        <f aca="false">AT2951*$M2951</f>
        <v>0</v>
      </c>
      <c r="AV2951" s="28"/>
      <c r="AW2951" s="28" t="n">
        <f aca="false">AV2951*$M2951</f>
        <v>0</v>
      </c>
      <c r="AX2951" s="28"/>
      <c r="AY2951" s="28" t="n">
        <f aca="false">AX2951*$M2951</f>
        <v>0</v>
      </c>
      <c r="AZ2951" s="30" t="n">
        <f aca="false">526980/100</f>
        <v>5269.8</v>
      </c>
      <c r="BA2951" s="11" t="n">
        <v>474312</v>
      </c>
      <c r="BB2951" s="31" t="n">
        <f aca="false">SUM(Q2951,S2951,U2951,W2951,Y2951,AA2951,AC2951,AE2951,AG2951,AI2951,AK2951,AM2951,AO2951,AQ2951,AS2951,AU2951,AW2951,AY2951)</f>
        <v>474312</v>
      </c>
      <c r="BC2951" s="28" t="n">
        <f aca="false">BA2951-BB2951</f>
        <v>0</v>
      </c>
      <c r="BD2951" s="32" t="n">
        <f aca="false">SUM(P2951,R2951,T2951,V2951,X2951,Z2951,AB2951,AD2951,AF2951,AH2951,AJ2951,AL2951,AN2951,AP2951,AR2951,AT2951,AV2951,AX2951)</f>
        <v>5270.17</v>
      </c>
      <c r="BE2951" s="33" t="n">
        <f aca="false">AZ2951-BD2951</f>
        <v>-0.369999999999891</v>
      </c>
      <c r="BF2951" s="34" t="n">
        <f aca="false">BD2951*M2951</f>
        <v>474315.3</v>
      </c>
      <c r="BG2951" s="35" t="n">
        <f aca="false">BA2951-BF2951</f>
        <v>-3.29999999998836</v>
      </c>
      <c r="BH2951" s="19" t="str">
        <f aca="false">IF(BG2951=0,"",IF(BG2951&lt;&gt;BA2951,"erreur de calcul",IF(BD2951&lt;&gt;0,"pas de prix",IF(M2951&lt;&gt; 0,"pas de quantité","pas de prix, ni de quantité"))))</f>
        <v>erreur de calcul</v>
      </c>
      <c r="BI2951" s="19"/>
    </row>
    <row r="2952" customFormat="false" ht="15" hidden="false" customHeight="false" outlineLevel="0" collapsed="false">
      <c r="A2952" s="0" t="n">
        <v>17</v>
      </c>
      <c r="B2952" s="8" t="s">
        <v>24</v>
      </c>
      <c r="C2952" s="9" t="s">
        <v>25</v>
      </c>
      <c r="D2952" s="9" t="s">
        <v>26</v>
      </c>
      <c r="E2952" s="10" t="n">
        <v>1789</v>
      </c>
      <c r="F2952" s="9" t="s">
        <v>27</v>
      </c>
      <c r="G2952" s="9" t="s">
        <v>27</v>
      </c>
      <c r="H2952" s="11" t="n">
        <v>22</v>
      </c>
      <c r="I2952" s="11" t="s">
        <v>218</v>
      </c>
      <c r="J2952" s="14" t="n">
        <v>15</v>
      </c>
      <c r="K2952" s="14"/>
      <c r="L2952" s="16"/>
      <c r="M2952" s="27" t="n">
        <f aca="false">J2952+(K2952/20)+(L2952/240)</f>
        <v>15</v>
      </c>
      <c r="N2952" s="17" t="s">
        <v>64</v>
      </c>
      <c r="O2952" s="11"/>
      <c r="P2952" s="28" t="n">
        <f aca="false">12250/100</f>
        <v>122.5</v>
      </c>
      <c r="Q2952" s="28" t="n">
        <v>1837</v>
      </c>
      <c r="R2952" s="28"/>
      <c r="S2952" s="28" t="n">
        <f aca="false">R2952*$M2952</f>
        <v>0</v>
      </c>
      <c r="T2952" s="28"/>
      <c r="U2952" s="28" t="n">
        <f aca="false">T2952*$M2952</f>
        <v>0</v>
      </c>
      <c r="V2952" s="28" t="n">
        <f aca="false">118493/100</f>
        <v>1184.93</v>
      </c>
      <c r="W2952" s="28" t="n">
        <v>17774</v>
      </c>
      <c r="X2952" s="28" t="n">
        <f aca="false">16835/100</f>
        <v>168.35</v>
      </c>
      <c r="Y2952" s="28" t="n">
        <v>2525</v>
      </c>
      <c r="Z2952" s="28"/>
      <c r="AA2952" s="28" t="n">
        <f aca="false">Z2952*$M2952</f>
        <v>0</v>
      </c>
      <c r="AB2952" s="28" t="n">
        <f aca="false">268622/100</f>
        <v>2686.22</v>
      </c>
      <c r="AC2952" s="28" t="n">
        <v>40293</v>
      </c>
      <c r="AD2952" s="28"/>
      <c r="AE2952" s="28" t="n">
        <f aca="false">AD2952*$M2952</f>
        <v>0</v>
      </c>
      <c r="AF2952" s="28"/>
      <c r="AG2952" s="28" t="n">
        <f aca="false">AF2952*$M2952</f>
        <v>0</v>
      </c>
      <c r="AH2952" s="28" t="n">
        <f aca="false">70164/100</f>
        <v>701.64</v>
      </c>
      <c r="AI2952" s="28" t="n">
        <v>10524</v>
      </c>
      <c r="AJ2952" s="28"/>
      <c r="AK2952" s="28" t="n">
        <f aca="false">AJ2952*$M2952</f>
        <v>0</v>
      </c>
      <c r="AL2952" s="28"/>
      <c r="AM2952" s="28" t="n">
        <f aca="false">AL2952*$M2952</f>
        <v>0</v>
      </c>
      <c r="AN2952" s="28"/>
      <c r="AO2952" s="28" t="n">
        <f aca="false">AN2952*$M2952</f>
        <v>0</v>
      </c>
      <c r="AP2952" s="28"/>
      <c r="AQ2952" s="28" t="n">
        <f aca="false">AP2952*$M2952</f>
        <v>0</v>
      </c>
      <c r="AR2952" s="28"/>
      <c r="AS2952" s="28" t="n">
        <f aca="false">AR2952*$M2952</f>
        <v>0</v>
      </c>
      <c r="AT2952" s="28"/>
      <c r="AU2952" s="28" t="n">
        <f aca="false">AT2952*$M2952</f>
        <v>0</v>
      </c>
      <c r="AV2952" s="28"/>
      <c r="AW2952" s="28" t="n">
        <f aca="false">AV2952*$M2952</f>
        <v>0</v>
      </c>
      <c r="AX2952" s="28"/>
      <c r="AY2952" s="28" t="n">
        <f aca="false">AX2952*$M2952</f>
        <v>0</v>
      </c>
      <c r="AZ2952" s="30" t="n">
        <f aca="false">486364/100</f>
        <v>4863.64</v>
      </c>
      <c r="BA2952" s="11" t="n">
        <v>72953</v>
      </c>
      <c r="BB2952" s="31" t="n">
        <f aca="false">SUM(Q2952,S2952,U2952,W2952,Y2952,AA2952,AC2952,AE2952,AG2952,AI2952,AK2952,AM2952,AO2952,AQ2952,AS2952,AU2952,AW2952,AY2952)</f>
        <v>72953</v>
      </c>
      <c r="BC2952" s="28" t="n">
        <f aca="false">BA2952-BB2952</f>
        <v>0</v>
      </c>
      <c r="BD2952" s="32" t="n">
        <f aca="false">SUM(P2952,R2952,T2952,V2952,X2952,Z2952,AB2952,AD2952,AF2952,AH2952,AJ2952,AL2952,AN2952,AP2952,AR2952,AT2952,AV2952,AX2952)</f>
        <v>4863.64</v>
      </c>
      <c r="BE2952" s="33" t="n">
        <f aca="false">AZ2952-BD2952</f>
        <v>0</v>
      </c>
      <c r="BF2952" s="34" t="n">
        <f aca="false">BD2952*M2952</f>
        <v>72954.6</v>
      </c>
      <c r="BG2952" s="35" t="n">
        <f aca="false">BA2952-BF2952</f>
        <v>-1.59999999999127</v>
      </c>
      <c r="BH2952" s="19" t="str">
        <f aca="false">IF(BG2952=0,"",IF(BG2952&lt;&gt;BA2952,"erreur de calcul",IF(BD2952&lt;&gt;0,"pas de prix",IF(M2952&lt;&gt; 0,"pas de quantité","pas de prix, ni de quantité"))))</f>
        <v>erreur de calcul</v>
      </c>
      <c r="BI2952" s="19"/>
    </row>
    <row r="2953" customFormat="false" ht="15" hidden="false" customHeight="false" outlineLevel="0" collapsed="false">
      <c r="A2953" s="0" t="n">
        <v>18</v>
      </c>
      <c r="B2953" s="8" t="s">
        <v>24</v>
      </c>
      <c r="C2953" s="9" t="s">
        <v>25</v>
      </c>
      <c r="D2953" s="9" t="s">
        <v>26</v>
      </c>
      <c r="E2953" s="10" t="n">
        <v>1789</v>
      </c>
      <c r="F2953" s="9" t="s">
        <v>27</v>
      </c>
      <c r="G2953" s="9" t="s">
        <v>27</v>
      </c>
      <c r="H2953" s="11" t="n">
        <v>22</v>
      </c>
      <c r="I2953" s="11" t="s">
        <v>219</v>
      </c>
      <c r="J2953" s="14" t="n">
        <v>12</v>
      </c>
      <c r="K2953" s="14"/>
      <c r="L2953" s="16"/>
      <c r="M2953" s="27" t="n">
        <f aca="false">J2953+(K2953/20)+(L2953/240)</f>
        <v>12</v>
      </c>
      <c r="N2953" s="17" t="s">
        <v>64</v>
      </c>
      <c r="O2953" s="11"/>
      <c r="P2953" s="28"/>
      <c r="Q2953" s="28" t="n">
        <f aca="false">P2953*$M2953</f>
        <v>0</v>
      </c>
      <c r="R2953" s="28"/>
      <c r="S2953" s="28" t="n">
        <f aca="false">R2953*$M2953</f>
        <v>0</v>
      </c>
      <c r="T2953" s="28"/>
      <c r="U2953" s="28" t="n">
        <f aca="false">T2953*$M2953</f>
        <v>0</v>
      </c>
      <c r="V2953" s="28" t="n">
        <f aca="false">26072/100</f>
        <v>260.72</v>
      </c>
      <c r="W2953" s="28" t="n">
        <v>3129</v>
      </c>
      <c r="X2953" s="28" t="n">
        <f aca="false">16340/100</f>
        <v>163.4</v>
      </c>
      <c r="Y2953" s="28" t="n">
        <v>1961</v>
      </c>
      <c r="Z2953" s="28"/>
      <c r="AA2953" s="28" t="n">
        <f aca="false">Z2953*$M2953</f>
        <v>0</v>
      </c>
      <c r="AB2953" s="28" t="n">
        <f aca="false">76351/100</f>
        <v>763.51</v>
      </c>
      <c r="AC2953" s="28" t="n">
        <v>9162</v>
      </c>
      <c r="AD2953" s="28"/>
      <c r="AE2953" s="28" t="n">
        <f aca="false">AD2953*$M2953</f>
        <v>0</v>
      </c>
      <c r="AF2953" s="28"/>
      <c r="AG2953" s="28" t="n">
        <f aca="false">AF2953*$M2953</f>
        <v>0</v>
      </c>
      <c r="AH2953" s="28"/>
      <c r="AI2953" s="28" t="n">
        <f aca="false">AH2953*$M2953</f>
        <v>0</v>
      </c>
      <c r="AJ2953" s="28"/>
      <c r="AK2953" s="28" t="n">
        <f aca="false">AJ2953*$M2953</f>
        <v>0</v>
      </c>
      <c r="AL2953" s="28"/>
      <c r="AM2953" s="28" t="n">
        <f aca="false">AL2953*$M2953</f>
        <v>0</v>
      </c>
      <c r="AN2953" s="28"/>
      <c r="AO2953" s="28" t="n">
        <f aca="false">AN2953*$M2953</f>
        <v>0</v>
      </c>
      <c r="AP2953" s="28"/>
      <c r="AQ2953" s="28" t="n">
        <f aca="false">AP2953*$M2953</f>
        <v>0</v>
      </c>
      <c r="AR2953" s="28"/>
      <c r="AS2953" s="28" t="n">
        <f aca="false">AR2953*$M2953</f>
        <v>0</v>
      </c>
      <c r="AT2953" s="28"/>
      <c r="AU2953" s="28" t="n">
        <f aca="false">AT2953*$M2953</f>
        <v>0</v>
      </c>
      <c r="AV2953" s="28"/>
      <c r="AW2953" s="28" t="n">
        <f aca="false">AV2953*$M2953</f>
        <v>0</v>
      </c>
      <c r="AX2953" s="28"/>
      <c r="AY2953" s="28" t="n">
        <f aca="false">AX2953*$M2953</f>
        <v>0</v>
      </c>
      <c r="AZ2953" s="30" t="n">
        <f aca="false">118763/100</f>
        <v>1187.63</v>
      </c>
      <c r="BA2953" s="11" t="n">
        <v>14252</v>
      </c>
      <c r="BB2953" s="31" t="n">
        <f aca="false">SUM(Q2953,S2953,U2953,W2953,Y2953,AA2953,AC2953,AE2953,AG2953,AI2953,AK2953,AM2953,AO2953,AQ2953,AS2953,AU2953,AW2953,AY2953)</f>
        <v>14252</v>
      </c>
      <c r="BC2953" s="28" t="n">
        <f aca="false">BA2953-BB2953</f>
        <v>0</v>
      </c>
      <c r="BD2953" s="32" t="n">
        <f aca="false">SUM(P2953,R2953,T2953,V2953,X2953,Z2953,AB2953,AD2953,AF2953,AH2953,AJ2953,AL2953,AN2953,AP2953,AR2953,AT2953,AV2953,AX2953)</f>
        <v>1187.63</v>
      </c>
      <c r="BE2953" s="33" t="n">
        <f aca="false">AZ2953-BD2953</f>
        <v>0</v>
      </c>
      <c r="BF2953" s="34" t="n">
        <f aca="false">BD2953*M2953</f>
        <v>14251.56</v>
      </c>
      <c r="BG2953" s="35" t="n">
        <f aca="false">BA2953-BF2953</f>
        <v>0.43999999999869</v>
      </c>
      <c r="BH2953" s="19" t="str">
        <f aca="false">IF(BG2953=0,"",IF(BG2953&lt;&gt;BA2953,"erreur de calcul",IF(BD2953&lt;&gt;0,"pas de prix",IF(M2953&lt;&gt; 0,"pas de quantité","pas de prix, ni de quantité"))))</f>
        <v>erreur de calcul</v>
      </c>
      <c r="BI2953" s="19"/>
    </row>
    <row r="2954" customFormat="false" ht="15" hidden="false" customHeight="false" outlineLevel="0" collapsed="false">
      <c r="A2954" s="0" t="n">
        <v>19</v>
      </c>
      <c r="B2954" s="8" t="s">
        <v>24</v>
      </c>
      <c r="C2954" s="9" t="s">
        <v>25</v>
      </c>
      <c r="D2954" s="9" t="s">
        <v>26</v>
      </c>
      <c r="E2954" s="10" t="n">
        <v>1789</v>
      </c>
      <c r="F2954" s="9" t="s">
        <v>27</v>
      </c>
      <c r="G2954" s="9" t="s">
        <v>27</v>
      </c>
      <c r="H2954" s="11" t="n">
        <v>22</v>
      </c>
      <c r="I2954" s="11" t="s">
        <v>220</v>
      </c>
      <c r="J2954" s="14" t="n">
        <v>8</v>
      </c>
      <c r="K2954" s="14"/>
      <c r="L2954" s="16"/>
      <c r="M2954" s="27" t="n">
        <f aca="false">J2954+(K2954/20)+(L2954/240)</f>
        <v>8</v>
      </c>
      <c r="N2954" s="17" t="s">
        <v>66</v>
      </c>
      <c r="O2954" s="11"/>
      <c r="P2954" s="28" t="n">
        <v>3798</v>
      </c>
      <c r="Q2954" s="28" t="n">
        <v>30384</v>
      </c>
      <c r="R2954" s="28"/>
      <c r="S2954" s="28" t="n">
        <f aca="false">R2954*$M2954</f>
        <v>0</v>
      </c>
      <c r="T2954" s="28"/>
      <c r="U2954" s="28" t="n">
        <f aca="false">T2954*$M2954</f>
        <v>0</v>
      </c>
      <c r="V2954" s="28"/>
      <c r="W2954" s="28" t="n">
        <f aca="false">V2954*$M2954</f>
        <v>0</v>
      </c>
      <c r="X2954" s="28"/>
      <c r="Y2954" s="28" t="n">
        <f aca="false">X2954*$M2954</f>
        <v>0</v>
      </c>
      <c r="Z2954" s="28"/>
      <c r="AA2954" s="28" t="n">
        <f aca="false">Z2954*$M2954</f>
        <v>0</v>
      </c>
      <c r="AB2954" s="28"/>
      <c r="AC2954" s="28" t="n">
        <f aca="false">AB2954*$M2954</f>
        <v>0</v>
      </c>
      <c r="AD2954" s="28"/>
      <c r="AE2954" s="28" t="n">
        <f aca="false">AD2954*$M2954</f>
        <v>0</v>
      </c>
      <c r="AF2954" s="28"/>
      <c r="AG2954" s="28" t="n">
        <f aca="false">AF2954*$M2954</f>
        <v>0</v>
      </c>
      <c r="AH2954" s="28" t="n">
        <v>322</v>
      </c>
      <c r="AI2954" s="28" t="n">
        <v>2576</v>
      </c>
      <c r="AJ2954" s="28"/>
      <c r="AK2954" s="28" t="n">
        <f aca="false">AJ2954*$M2954</f>
        <v>0</v>
      </c>
      <c r="AL2954" s="28"/>
      <c r="AM2954" s="28" t="n">
        <f aca="false">AL2954*$M2954</f>
        <v>0</v>
      </c>
      <c r="AN2954" s="28"/>
      <c r="AO2954" s="28" t="n">
        <f aca="false">AN2954*$M2954</f>
        <v>0</v>
      </c>
      <c r="AP2954" s="28"/>
      <c r="AQ2954" s="28" t="n">
        <f aca="false">AP2954*$M2954</f>
        <v>0</v>
      </c>
      <c r="AR2954" s="28"/>
      <c r="AS2954" s="28" t="n">
        <f aca="false">AR2954*$M2954</f>
        <v>0</v>
      </c>
      <c r="AT2954" s="28"/>
      <c r="AU2954" s="28" t="n">
        <f aca="false">AT2954*$M2954</f>
        <v>0</v>
      </c>
      <c r="AV2954" s="28"/>
      <c r="AW2954" s="28" t="n">
        <f aca="false">AV2954*$M2954</f>
        <v>0</v>
      </c>
      <c r="AX2954" s="28"/>
      <c r="AY2954" s="28" t="n">
        <f aca="false">AX2954*$M2954</f>
        <v>0</v>
      </c>
      <c r="AZ2954" s="30" t="n">
        <v>4120</v>
      </c>
      <c r="BA2954" s="11" t="n">
        <v>32960</v>
      </c>
      <c r="BB2954" s="31" t="n">
        <f aca="false">SUM(Q2954,S2954,U2954,W2954,Y2954,AA2954,AC2954,AE2954,AG2954,AI2954,AK2954,AM2954,AO2954,AQ2954,AS2954,AU2954,AW2954,AY2954)</f>
        <v>32960</v>
      </c>
      <c r="BC2954" s="28" t="n">
        <f aca="false">BA2954-BB2954</f>
        <v>0</v>
      </c>
      <c r="BD2954" s="32" t="n">
        <f aca="false">SUM(P2954,R2954,T2954,V2954,X2954,Z2954,AB2954,AD2954,AF2954,AH2954,AJ2954,AL2954,AN2954,AP2954,AR2954,AT2954,AV2954,AX2954)</f>
        <v>4120</v>
      </c>
      <c r="BE2954" s="33" t="n">
        <f aca="false">AZ2954-BD2954</f>
        <v>0</v>
      </c>
      <c r="BF2954" s="34" t="n">
        <f aca="false">BD2954*M2954</f>
        <v>32960</v>
      </c>
      <c r="BG2954" s="35" t="n">
        <f aca="false">BA2954-BF2954</f>
        <v>0</v>
      </c>
      <c r="BH2954" s="19" t="str">
        <f aca="false">IF(BG2954=0,"",IF(BG2954&lt;&gt;BA2954,"erreur de calcul",IF(BD2954&lt;&gt;0,"pas de prix",IF(M2954&lt;&gt; 0,"pas de quantité","pas de prix, ni de quantité"))))</f>
        <v/>
      </c>
      <c r="BI2954" s="19"/>
    </row>
    <row r="2955" customFormat="false" ht="15" hidden="false" customHeight="false" outlineLevel="0" collapsed="false">
      <c r="A2955" s="0" t="n">
        <v>20</v>
      </c>
      <c r="B2955" s="8" t="s">
        <v>24</v>
      </c>
      <c r="C2955" s="9" t="s">
        <v>25</v>
      </c>
      <c r="D2955" s="9" t="s">
        <v>26</v>
      </c>
      <c r="E2955" s="10" t="n">
        <v>1789</v>
      </c>
      <c r="F2955" s="9" t="s">
        <v>27</v>
      </c>
      <c r="G2955" s="9" t="s">
        <v>27</v>
      </c>
      <c r="H2955" s="11" t="n">
        <v>22</v>
      </c>
      <c r="I2955" s="11" t="s">
        <v>221</v>
      </c>
      <c r="J2955" s="14"/>
      <c r="K2955" s="14" t="n">
        <v>20</v>
      </c>
      <c r="L2955" s="16"/>
      <c r="M2955" s="27" t="n">
        <f aca="false">J2955+(K2955/20)+(L2955/240)</f>
        <v>1</v>
      </c>
      <c r="N2955" s="17" t="s">
        <v>66</v>
      </c>
      <c r="O2955" s="11"/>
      <c r="P2955" s="28" t="n">
        <v>1353</v>
      </c>
      <c r="Q2955" s="28" t="n">
        <v>1353</v>
      </c>
      <c r="R2955" s="28"/>
      <c r="S2955" s="28" t="n">
        <f aca="false">R2955*$M2955</f>
        <v>0</v>
      </c>
      <c r="T2955" s="28"/>
      <c r="U2955" s="28" t="n">
        <f aca="false">T2955*$M2955</f>
        <v>0</v>
      </c>
      <c r="V2955" s="28"/>
      <c r="W2955" s="28" t="n">
        <f aca="false">V2955*$M2955</f>
        <v>0</v>
      </c>
      <c r="X2955" s="28"/>
      <c r="Y2955" s="28" t="n">
        <f aca="false">X2955*$M2955</f>
        <v>0</v>
      </c>
      <c r="Z2955" s="28"/>
      <c r="AA2955" s="28" t="n">
        <f aca="false">Z2955*$M2955</f>
        <v>0</v>
      </c>
      <c r="AB2955" s="28"/>
      <c r="AC2955" s="28" t="n">
        <f aca="false">AB2955*$M2955</f>
        <v>0</v>
      </c>
      <c r="AD2955" s="28"/>
      <c r="AE2955" s="28" t="n">
        <f aca="false">AD2955*$M2955</f>
        <v>0</v>
      </c>
      <c r="AF2955" s="28"/>
      <c r="AG2955" s="28" t="n">
        <f aca="false">AF2955*$M2955</f>
        <v>0</v>
      </c>
      <c r="AH2955" s="28"/>
      <c r="AI2955" s="28" t="n">
        <f aca="false">AH2955*$M2955</f>
        <v>0</v>
      </c>
      <c r="AJ2955" s="28"/>
      <c r="AK2955" s="28" t="n">
        <f aca="false">AJ2955*$M2955</f>
        <v>0</v>
      </c>
      <c r="AL2955" s="28"/>
      <c r="AM2955" s="28" t="n">
        <f aca="false">AL2955*$M2955</f>
        <v>0</v>
      </c>
      <c r="AN2955" s="28"/>
      <c r="AO2955" s="28" t="n">
        <f aca="false">AN2955*$M2955</f>
        <v>0</v>
      </c>
      <c r="AP2955" s="28"/>
      <c r="AQ2955" s="28" t="n">
        <f aca="false">AP2955*$M2955</f>
        <v>0</v>
      </c>
      <c r="AR2955" s="28"/>
      <c r="AS2955" s="28" t="n">
        <f aca="false">AR2955*$M2955</f>
        <v>0</v>
      </c>
      <c r="AT2955" s="28"/>
      <c r="AU2955" s="28" t="n">
        <f aca="false">AT2955*$M2955</f>
        <v>0</v>
      </c>
      <c r="AV2955" s="28"/>
      <c r="AW2955" s="28" t="n">
        <f aca="false">AV2955*$M2955</f>
        <v>0</v>
      </c>
      <c r="AX2955" s="28"/>
      <c r="AY2955" s="28" t="n">
        <f aca="false">AX2955*$M2955</f>
        <v>0</v>
      </c>
      <c r="AZ2955" s="30" t="n">
        <v>1353</v>
      </c>
      <c r="BA2955" s="11" t="n">
        <v>1353</v>
      </c>
      <c r="BB2955" s="31" t="n">
        <f aca="false">SUM(Q2955,S2955,U2955,W2955,Y2955,AA2955,AC2955,AE2955,AG2955,AI2955,AK2955,AM2955,AO2955,AQ2955,AS2955,AU2955,AW2955,AY2955)</f>
        <v>1353</v>
      </c>
      <c r="BC2955" s="28" t="n">
        <f aca="false">BA2955-BB2955</f>
        <v>0</v>
      </c>
      <c r="BD2955" s="32" t="n">
        <f aca="false">SUM(P2955,R2955,T2955,V2955,X2955,Z2955,AB2955,AD2955,AF2955,AH2955,AJ2955,AL2955,AN2955,AP2955,AR2955,AT2955,AV2955,AX2955)</f>
        <v>1353</v>
      </c>
      <c r="BE2955" s="33" t="n">
        <f aca="false">AZ2955-BD2955</f>
        <v>0</v>
      </c>
      <c r="BF2955" s="34" t="n">
        <f aca="false">BD2955*M2955</f>
        <v>1353</v>
      </c>
      <c r="BG2955" s="35" t="n">
        <f aca="false">BA2955-BF2955</f>
        <v>0</v>
      </c>
      <c r="BH2955" s="19" t="str">
        <f aca="false">IF(BG2955=0,"",IF(BG2955&lt;&gt;BA2955,"erreur de calcul",IF(BD2955&lt;&gt;0,"pas de prix",IF(M2955&lt;&gt; 0,"pas de quantité","pas de prix, ni de quantité"))))</f>
        <v/>
      </c>
      <c r="BI2955" s="19"/>
    </row>
    <row r="2956" customFormat="false" ht="15" hidden="false" customHeight="false" outlineLevel="0" collapsed="false">
      <c r="A2956" s="0" t="n">
        <v>21</v>
      </c>
      <c r="B2956" s="8" t="s">
        <v>24</v>
      </c>
      <c r="C2956" s="9" t="s">
        <v>25</v>
      </c>
      <c r="D2956" s="9" t="s">
        <v>26</v>
      </c>
      <c r="E2956" s="10" t="n">
        <v>1789</v>
      </c>
      <c r="F2956" s="9" t="s">
        <v>27</v>
      </c>
      <c r="G2956" s="9" t="s">
        <v>27</v>
      </c>
      <c r="H2956" s="11" t="n">
        <v>22</v>
      </c>
      <c r="I2956" s="11" t="s">
        <v>222</v>
      </c>
      <c r="J2956" s="14" t="n">
        <v>85</v>
      </c>
      <c r="K2956" s="14"/>
      <c r="L2956" s="16"/>
      <c r="M2956" s="27" t="n">
        <f aca="false">J2956+(K2956/20)+(L2956/240)</f>
        <v>85</v>
      </c>
      <c r="N2956" s="17" t="s">
        <v>64</v>
      </c>
      <c r="O2956" s="11"/>
      <c r="P2956" s="28"/>
      <c r="Q2956" s="28" t="n">
        <f aca="false">P2956*$M2956</f>
        <v>0</v>
      </c>
      <c r="R2956" s="28"/>
      <c r="S2956" s="28" t="n">
        <f aca="false">R2956*$M2956</f>
        <v>0</v>
      </c>
      <c r="T2956" s="28" t="n">
        <f aca="false">10813/100</f>
        <v>108.13</v>
      </c>
      <c r="U2956" s="28" t="n">
        <v>9191</v>
      </c>
      <c r="V2956" s="28" t="n">
        <f aca="false">43400/100</f>
        <v>434</v>
      </c>
      <c r="W2956" s="28" t="n">
        <v>36890</v>
      </c>
      <c r="X2956" s="28" t="n">
        <f aca="false">702/100</f>
        <v>7.02</v>
      </c>
      <c r="Y2956" s="28" t="n">
        <v>597</v>
      </c>
      <c r="Z2956" s="28"/>
      <c r="AA2956" s="28" t="n">
        <f aca="false">Z2956*$M2956</f>
        <v>0</v>
      </c>
      <c r="AB2956" s="28" t="n">
        <f aca="false">171/100</f>
        <v>1.71</v>
      </c>
      <c r="AC2956" s="28" t="n">
        <v>145</v>
      </c>
      <c r="AD2956" s="28"/>
      <c r="AE2956" s="28" t="n">
        <f aca="false">AD2956*$M2956</f>
        <v>0</v>
      </c>
      <c r="AF2956" s="28"/>
      <c r="AG2956" s="28" t="n">
        <f aca="false">AF2956*$M2956</f>
        <v>0</v>
      </c>
      <c r="AH2956" s="28" t="n">
        <f aca="false">17388/100</f>
        <v>173.88</v>
      </c>
      <c r="AI2956" s="28" t="n">
        <v>14780</v>
      </c>
      <c r="AJ2956" s="28"/>
      <c r="AK2956" s="28" t="n">
        <f aca="false">AJ2956*$M2956</f>
        <v>0</v>
      </c>
      <c r="AL2956" s="28"/>
      <c r="AM2956" s="28" t="n">
        <f aca="false">AL2956*$M2956</f>
        <v>0</v>
      </c>
      <c r="AN2956" s="28"/>
      <c r="AO2956" s="28" t="n">
        <f aca="false">AN2956*$M2956</f>
        <v>0</v>
      </c>
      <c r="AP2956" s="28"/>
      <c r="AQ2956" s="28" t="n">
        <f aca="false">AP2956*$M2956</f>
        <v>0</v>
      </c>
      <c r="AR2956" s="28"/>
      <c r="AS2956" s="28" t="n">
        <f aca="false">AR2956*$M2956</f>
        <v>0</v>
      </c>
      <c r="AT2956" s="28"/>
      <c r="AU2956" s="28" t="n">
        <f aca="false">AT2956*$M2956</f>
        <v>0</v>
      </c>
      <c r="AV2956" s="28"/>
      <c r="AW2956" s="28" t="n">
        <f aca="false">AV2956*$M2956</f>
        <v>0</v>
      </c>
      <c r="AX2956" s="28"/>
      <c r="AY2956" s="28" t="n">
        <f aca="false">AX2956*$M2956</f>
        <v>0</v>
      </c>
      <c r="AZ2956" s="30" t="n">
        <f aca="false">72474/100</f>
        <v>724.74</v>
      </c>
      <c r="BA2956" s="11" t="n">
        <v>61603</v>
      </c>
      <c r="BB2956" s="31" t="n">
        <f aca="false">SUM(Q2956,S2956,U2956,W2956,Y2956,AA2956,AC2956,AE2956,AG2956,AI2956,AK2956,AM2956,AO2956,AQ2956,AS2956,AU2956,AW2956,AY2956)</f>
        <v>61603</v>
      </c>
      <c r="BC2956" s="28" t="n">
        <f aca="false">BA2956-BB2956</f>
        <v>0</v>
      </c>
      <c r="BD2956" s="32" t="n">
        <f aca="false">SUM(P2956,R2956,T2956,V2956,X2956,Z2956,AB2956,AD2956,AF2956,AH2956,AJ2956,AL2956,AN2956,AP2956,AR2956,AT2956,AV2956,AX2956)</f>
        <v>724.74</v>
      </c>
      <c r="BE2956" s="33" t="n">
        <f aca="false">AZ2956-BD2956</f>
        <v>0</v>
      </c>
      <c r="BF2956" s="34" t="n">
        <f aca="false">BD2956*M2956</f>
        <v>61602.9</v>
      </c>
      <c r="BG2956" s="35" t="n">
        <f aca="false">BA2956-BF2956</f>
        <v>0.0999999999985448</v>
      </c>
      <c r="BH2956" s="19" t="str">
        <f aca="false">IF(BG2956=0,"",IF(BG2956&lt;&gt;BA2956,"erreur de calcul",IF(BD2956&lt;&gt;0,"pas de prix",IF(M2956&lt;&gt; 0,"pas de quantité","pas de prix, ni de quantité"))))</f>
        <v>erreur de calcul</v>
      </c>
      <c r="BI2956" s="19"/>
    </row>
    <row r="2957" customFormat="false" ht="15" hidden="false" customHeight="false" outlineLevel="0" collapsed="false">
      <c r="A2957" s="0" t="n">
        <v>22</v>
      </c>
      <c r="B2957" s="8" t="s">
        <v>24</v>
      </c>
      <c r="C2957" s="9" t="s">
        <v>25</v>
      </c>
      <c r="D2957" s="9" t="s">
        <v>26</v>
      </c>
      <c r="E2957" s="10" t="n">
        <v>1789</v>
      </c>
      <c r="F2957" s="9" t="s">
        <v>27</v>
      </c>
      <c r="G2957" s="9" t="s">
        <v>27</v>
      </c>
      <c r="H2957" s="11" t="n">
        <v>22</v>
      </c>
      <c r="I2957" s="11" t="s">
        <v>223</v>
      </c>
      <c r="J2957" s="14" t="n">
        <v>150</v>
      </c>
      <c r="K2957" s="14"/>
      <c r="L2957" s="16"/>
      <c r="M2957" s="27" t="n">
        <f aca="false">J2957+(K2957/20)+(L2957/240)</f>
        <v>150</v>
      </c>
      <c r="N2957" s="17" t="s">
        <v>64</v>
      </c>
      <c r="O2957" s="11"/>
      <c r="P2957" s="28"/>
      <c r="Q2957" s="28" t="n">
        <f aca="false">P2957*$M2957</f>
        <v>0</v>
      </c>
      <c r="R2957" s="28"/>
      <c r="S2957" s="28" t="n">
        <f aca="false">R2957*$M2957</f>
        <v>0</v>
      </c>
      <c r="T2957" s="28"/>
      <c r="U2957" s="28" t="n">
        <f aca="false">T2957*$M2957</f>
        <v>0</v>
      </c>
      <c r="V2957" s="28" t="n">
        <f aca="false">1415/100</f>
        <v>14.15</v>
      </c>
      <c r="W2957" s="28" t="n">
        <v>2122</v>
      </c>
      <c r="X2957" s="28"/>
      <c r="Y2957" s="28" t="n">
        <f aca="false">X2957*$M2957</f>
        <v>0</v>
      </c>
      <c r="Z2957" s="28"/>
      <c r="AA2957" s="28" t="n">
        <f aca="false">Z2957*$M2957</f>
        <v>0</v>
      </c>
      <c r="AB2957" s="28" t="n">
        <f aca="false">1806/100</f>
        <v>18.06</v>
      </c>
      <c r="AC2957" s="28" t="n">
        <v>2709</v>
      </c>
      <c r="AD2957" s="28"/>
      <c r="AE2957" s="28" t="n">
        <f aca="false">AD2957*$M2957</f>
        <v>0</v>
      </c>
      <c r="AF2957" s="28"/>
      <c r="AG2957" s="28" t="n">
        <f aca="false">AF2957*$M2957</f>
        <v>0</v>
      </c>
      <c r="AH2957" s="28"/>
      <c r="AI2957" s="28" t="n">
        <f aca="false">AH2957*$M2957</f>
        <v>0</v>
      </c>
      <c r="AJ2957" s="28"/>
      <c r="AK2957" s="28" t="n">
        <f aca="false">AJ2957*$M2957</f>
        <v>0</v>
      </c>
      <c r="AL2957" s="28"/>
      <c r="AM2957" s="28" t="n">
        <f aca="false">AL2957*$M2957</f>
        <v>0</v>
      </c>
      <c r="AN2957" s="28"/>
      <c r="AO2957" s="28" t="n">
        <f aca="false">AN2957*$M2957</f>
        <v>0</v>
      </c>
      <c r="AP2957" s="28"/>
      <c r="AQ2957" s="28" t="n">
        <f aca="false">AP2957*$M2957</f>
        <v>0</v>
      </c>
      <c r="AR2957" s="28"/>
      <c r="AS2957" s="28" t="n">
        <f aca="false">AR2957*$M2957</f>
        <v>0</v>
      </c>
      <c r="AT2957" s="28"/>
      <c r="AU2957" s="28" t="n">
        <f aca="false">AT2957*$M2957</f>
        <v>0</v>
      </c>
      <c r="AV2957" s="28"/>
      <c r="AW2957" s="28" t="n">
        <f aca="false">AV2957*$M2957</f>
        <v>0</v>
      </c>
      <c r="AX2957" s="28"/>
      <c r="AY2957" s="28" t="n">
        <f aca="false">AX2957*$M2957</f>
        <v>0</v>
      </c>
      <c r="AZ2957" s="30" t="n">
        <f aca="false">3221/100</f>
        <v>32.21</v>
      </c>
      <c r="BA2957" s="11" t="n">
        <v>4831</v>
      </c>
      <c r="BB2957" s="31" t="n">
        <f aca="false">SUM(Q2957,S2957,U2957,W2957,Y2957,AA2957,AC2957,AE2957,AG2957,AI2957,AK2957,AM2957,AO2957,AQ2957,AS2957,AU2957,AW2957,AY2957)</f>
        <v>4831</v>
      </c>
      <c r="BC2957" s="28" t="n">
        <f aca="false">BA2957-BB2957</f>
        <v>0</v>
      </c>
      <c r="BD2957" s="32" t="n">
        <f aca="false">SUM(P2957,R2957,T2957,V2957,X2957,Z2957,AB2957,AD2957,AF2957,AH2957,AJ2957,AL2957,AN2957,AP2957,AR2957,AT2957,AV2957,AX2957)</f>
        <v>32.21</v>
      </c>
      <c r="BE2957" s="33" t="n">
        <f aca="false">AZ2957-BD2957</f>
        <v>0</v>
      </c>
      <c r="BF2957" s="34" t="n">
        <f aca="false">BD2957*M2957</f>
        <v>4831.5</v>
      </c>
      <c r="BG2957" s="35" t="n">
        <f aca="false">BA2957-BF2957</f>
        <v>-0.5</v>
      </c>
      <c r="BH2957" s="19" t="str">
        <f aca="false">IF(BG2957=0,"",IF(BG2957&lt;&gt;BA2957,"erreur de calcul",IF(BD2957&lt;&gt;0,"pas de prix",IF(M2957&lt;&gt; 0,"pas de quantité","pas de prix, ni de quantité"))))</f>
        <v>erreur de calcul</v>
      </c>
      <c r="BI2957" s="19"/>
    </row>
    <row r="2958" customFormat="false" ht="15" hidden="false" customHeight="false" outlineLevel="0" collapsed="false">
      <c r="A2958" s="0" t="n">
        <v>23</v>
      </c>
      <c r="B2958" s="8" t="s">
        <v>24</v>
      </c>
      <c r="C2958" s="9" t="s">
        <v>25</v>
      </c>
      <c r="D2958" s="9" t="s">
        <v>26</v>
      </c>
      <c r="E2958" s="10" t="n">
        <v>1789</v>
      </c>
      <c r="F2958" s="9" t="s">
        <v>27</v>
      </c>
      <c r="G2958" s="9" t="s">
        <v>27</v>
      </c>
      <c r="H2958" s="11" t="n">
        <v>22</v>
      </c>
      <c r="I2958" s="11" t="s">
        <v>224</v>
      </c>
      <c r="J2958" s="14"/>
      <c r="K2958" s="14"/>
      <c r="L2958" s="16"/>
      <c r="M2958" s="27" t="n">
        <f aca="false">J2958+(K2958/20)+(L2958/240)</f>
        <v>0</v>
      </c>
      <c r="N2958" s="17" t="s">
        <v>225</v>
      </c>
      <c r="O2958" s="11"/>
      <c r="P2958" s="28" t="n">
        <f aca="false">2+121/288</f>
        <v>2.42013888888889</v>
      </c>
      <c r="Q2958" s="28" t="n">
        <v>275</v>
      </c>
      <c r="R2958" s="28"/>
      <c r="S2958" s="28" t="n">
        <f aca="false">R2958*$M2958</f>
        <v>0</v>
      </c>
      <c r="T2958" s="28"/>
      <c r="U2958" s="28" t="n">
        <f aca="false">T2958*$M2958</f>
        <v>0</v>
      </c>
      <c r="V2958" s="28"/>
      <c r="W2958" s="28" t="n">
        <f aca="false">V2958*$M2958</f>
        <v>0</v>
      </c>
      <c r="X2958" s="28"/>
      <c r="Y2958" s="28" t="n">
        <f aca="false">X2958*$M2958</f>
        <v>0</v>
      </c>
      <c r="Z2958" s="28"/>
      <c r="AA2958" s="28" t="n">
        <f aca="false">Z2958*$M2958</f>
        <v>0</v>
      </c>
      <c r="AB2958" s="28"/>
      <c r="AC2958" s="28" t="n">
        <f aca="false">AB2958*$M2958</f>
        <v>0</v>
      </c>
      <c r="AD2958" s="28"/>
      <c r="AE2958" s="28" t="n">
        <f aca="false">AD2958*$M2958</f>
        <v>0</v>
      </c>
      <c r="AF2958" s="28"/>
      <c r="AG2958" s="28" t="n">
        <f aca="false">AF2958*$M2958</f>
        <v>0</v>
      </c>
      <c r="AH2958" s="28"/>
      <c r="AI2958" s="28" t="n">
        <f aca="false">AH2958*$M2958</f>
        <v>0</v>
      </c>
      <c r="AJ2958" s="28"/>
      <c r="AK2958" s="28" t="n">
        <f aca="false">AJ2958*$M2958</f>
        <v>0</v>
      </c>
      <c r="AL2958" s="28"/>
      <c r="AM2958" s="28" t="n">
        <f aca="false">AL2958*$M2958</f>
        <v>0</v>
      </c>
      <c r="AN2958" s="28"/>
      <c r="AO2958" s="28" t="n">
        <f aca="false">AN2958*$M2958</f>
        <v>0</v>
      </c>
      <c r="AP2958" s="28"/>
      <c r="AQ2958" s="28" t="n">
        <f aca="false">AP2958*$M2958</f>
        <v>0</v>
      </c>
      <c r="AR2958" s="28"/>
      <c r="AS2958" s="28" t="n">
        <f aca="false">AR2958*$M2958</f>
        <v>0</v>
      </c>
      <c r="AT2958" s="28"/>
      <c r="AU2958" s="28" t="n">
        <f aca="false">AT2958*$M2958</f>
        <v>0</v>
      </c>
      <c r="AV2958" s="28"/>
      <c r="AW2958" s="28" t="n">
        <f aca="false">AV2958*$M2958</f>
        <v>0</v>
      </c>
      <c r="AX2958" s="28"/>
      <c r="AY2958" s="28" t="n">
        <f aca="false">AX2958*$M2958</f>
        <v>0</v>
      </c>
      <c r="AZ2958" s="30" t="n">
        <f aca="false">2+121/288</f>
        <v>2.42013888888889</v>
      </c>
      <c r="BA2958" s="11" t="n">
        <v>275</v>
      </c>
      <c r="BB2958" s="31" t="n">
        <f aca="false">SUM(Q2958,S2958,U2958,W2958,Y2958,AA2958,AC2958,AE2958,AG2958,AI2958,AK2958,AM2958,AO2958,AQ2958,AS2958,AU2958,AW2958,AY2958)</f>
        <v>275</v>
      </c>
      <c r="BC2958" s="28" t="n">
        <f aca="false">BA2958-BB2958</f>
        <v>0</v>
      </c>
      <c r="BD2958" s="32" t="n">
        <f aca="false">SUM(P2958,R2958,T2958,V2958,X2958,Z2958,AB2958,AD2958,AF2958,AH2958,AJ2958,AL2958,AN2958,AP2958,AR2958,AT2958,AV2958,AX2958)</f>
        <v>2.42013888888889</v>
      </c>
      <c r="BE2958" s="33" t="n">
        <f aca="false">AZ2958-BD2958</f>
        <v>0</v>
      </c>
      <c r="BF2958" s="34" t="n">
        <f aca="false">BD2958*M2958</f>
        <v>0</v>
      </c>
      <c r="BG2958" s="35" t="n">
        <f aca="false">BA2958-BF2958</f>
        <v>275</v>
      </c>
      <c r="BH2958" s="19" t="str">
        <f aca="false">IF(BG2958=0,"",IF(BG2958&lt;&gt;BA2958,"erreur de calcul",IF(BD2958&lt;&gt;0,"pas de prix",IF(M2958&lt;&gt; 0,"pas de quantité","pas de prix, ni de quantité"))))</f>
        <v>pas de prix</v>
      </c>
      <c r="BI2958" s="19" t="s">
        <v>226</v>
      </c>
    </row>
    <row r="2959" customFormat="false" ht="15" hidden="false" customHeight="false" outlineLevel="0" collapsed="false">
      <c r="A2959" s="0" t="n">
        <v>24</v>
      </c>
      <c r="B2959" s="8" t="s">
        <v>24</v>
      </c>
      <c r="C2959" s="9" t="s">
        <v>25</v>
      </c>
      <c r="D2959" s="9" t="s">
        <v>26</v>
      </c>
      <c r="E2959" s="10" t="n">
        <v>1789</v>
      </c>
      <c r="F2959" s="9" t="s">
        <v>27</v>
      </c>
      <c r="G2959" s="9" t="s">
        <v>27</v>
      </c>
      <c r="H2959" s="11" t="n">
        <v>22</v>
      </c>
      <c r="I2959" s="11" t="s">
        <v>227</v>
      </c>
      <c r="J2959" s="14" t="n">
        <v>8</v>
      </c>
      <c r="K2959" s="14"/>
      <c r="L2959" s="16"/>
      <c r="M2959" s="27" t="n">
        <f aca="false">J2959+(K2959/20)+(L2959/240)</f>
        <v>8</v>
      </c>
      <c r="N2959" s="17" t="s">
        <v>64</v>
      </c>
      <c r="O2959" s="11" t="s">
        <v>77</v>
      </c>
      <c r="P2959" s="28" t="n">
        <f aca="false">267216/100</f>
        <v>2672.16</v>
      </c>
      <c r="Q2959" s="28" t="n">
        <v>21377</v>
      </c>
      <c r="R2959" s="28"/>
      <c r="S2959" s="28" t="n">
        <f aca="false">R2959*$M2959</f>
        <v>0</v>
      </c>
      <c r="T2959" s="28"/>
      <c r="U2959" s="28" t="n">
        <f aca="false">T2959*$M2959</f>
        <v>0</v>
      </c>
      <c r="V2959" s="28"/>
      <c r="W2959" s="28" t="n">
        <f aca="false">V2959*$M2959</f>
        <v>0</v>
      </c>
      <c r="X2959" s="28"/>
      <c r="Y2959" s="28" t="n">
        <f aca="false">X2959*$M2959</f>
        <v>0</v>
      </c>
      <c r="Z2959" s="28"/>
      <c r="AA2959" s="28" t="n">
        <f aca="false">Z2959*$M2959</f>
        <v>0</v>
      </c>
      <c r="AB2959" s="28" t="n">
        <f aca="false">3334/100</f>
        <v>33.34</v>
      </c>
      <c r="AC2959" s="28" t="n">
        <v>267</v>
      </c>
      <c r="AD2959" s="28"/>
      <c r="AE2959" s="28" t="n">
        <f aca="false">AD2959*$M2959</f>
        <v>0</v>
      </c>
      <c r="AF2959" s="28"/>
      <c r="AG2959" s="28" t="n">
        <f aca="false">AF2959*$M2959</f>
        <v>0</v>
      </c>
      <c r="AH2959" s="28"/>
      <c r="AI2959" s="28" t="n">
        <f aca="false">AH2959*$M2959</f>
        <v>0</v>
      </c>
      <c r="AJ2959" s="28"/>
      <c r="AK2959" s="28" t="n">
        <f aca="false">AJ2959*$M2959</f>
        <v>0</v>
      </c>
      <c r="AL2959" s="28"/>
      <c r="AM2959" s="28" t="n">
        <f aca="false">AL2959*$M2959</f>
        <v>0</v>
      </c>
      <c r="AN2959" s="28"/>
      <c r="AO2959" s="28" t="n">
        <f aca="false">AN2959*$M2959</f>
        <v>0</v>
      </c>
      <c r="AP2959" s="28"/>
      <c r="AQ2959" s="28" t="n">
        <f aca="false">AP2959*$M2959</f>
        <v>0</v>
      </c>
      <c r="AR2959" s="28"/>
      <c r="AS2959" s="28" t="n">
        <f aca="false">AR2959*$M2959</f>
        <v>0</v>
      </c>
      <c r="AT2959" s="28"/>
      <c r="AU2959" s="28" t="n">
        <f aca="false">AT2959*$M2959</f>
        <v>0</v>
      </c>
      <c r="AV2959" s="28"/>
      <c r="AW2959" s="28" t="n">
        <f aca="false">AV2959*$M2959</f>
        <v>0</v>
      </c>
      <c r="AX2959" s="28"/>
      <c r="AY2959" s="28" t="n">
        <f aca="false">AX2959*$M2959</f>
        <v>0</v>
      </c>
      <c r="AZ2959" s="30" t="n">
        <f aca="false">270550/100</f>
        <v>2705.5</v>
      </c>
      <c r="BA2959" s="11" t="n">
        <v>21644</v>
      </c>
      <c r="BB2959" s="31" t="n">
        <f aca="false">SUM(Q2959,S2959,U2959,W2959,Y2959,AA2959,AC2959,AE2959,AG2959,AI2959,AK2959,AM2959,AO2959,AQ2959,AS2959,AU2959,AW2959,AY2959)</f>
        <v>21644</v>
      </c>
      <c r="BC2959" s="28" t="n">
        <f aca="false">BA2959-BB2959</f>
        <v>0</v>
      </c>
      <c r="BD2959" s="32" t="n">
        <f aca="false">SUM(P2959,R2959,T2959,V2959,X2959,Z2959,AB2959,AD2959,AF2959,AH2959,AJ2959,AL2959,AN2959,AP2959,AR2959,AT2959,AV2959,AX2959)</f>
        <v>2705.5</v>
      </c>
      <c r="BE2959" s="33" t="n">
        <f aca="false">AZ2959-BD2959</f>
        <v>0</v>
      </c>
      <c r="BF2959" s="34" t="n">
        <f aca="false">BD2959*M2959</f>
        <v>21644</v>
      </c>
      <c r="BG2959" s="35" t="n">
        <f aca="false">BA2959-BF2959</f>
        <v>0</v>
      </c>
      <c r="BH2959" s="19" t="str">
        <f aca="false">IF(BG2959=0,"",IF(BG2959&lt;&gt;BA2959,"erreur de calcul",IF(BD2959&lt;&gt;0,"pas de prix",IF(M2959&lt;&gt; 0,"pas de quantité","pas de prix, ni de quantité"))))</f>
        <v/>
      </c>
      <c r="BI2959" s="19"/>
    </row>
    <row r="2960" customFormat="false" ht="15" hidden="false" customHeight="false" outlineLevel="0" collapsed="false">
      <c r="A2960" s="0" t="n">
        <v>25</v>
      </c>
      <c r="B2960" s="8" t="s">
        <v>24</v>
      </c>
      <c r="C2960" s="9" t="s">
        <v>25</v>
      </c>
      <c r="D2960" s="9" t="s">
        <v>26</v>
      </c>
      <c r="E2960" s="10" t="n">
        <v>1789</v>
      </c>
      <c r="F2960" s="9" t="s">
        <v>27</v>
      </c>
      <c r="G2960" s="9" t="s">
        <v>27</v>
      </c>
      <c r="H2960" s="11" t="n">
        <v>22</v>
      </c>
      <c r="I2960" s="11" t="s">
        <v>228</v>
      </c>
      <c r="J2960" s="14" t="n">
        <v>11</v>
      </c>
      <c r="K2960" s="14"/>
      <c r="L2960" s="16"/>
      <c r="M2960" s="27" t="n">
        <f aca="false">J2960+(K2960/20)+(L2960/240)</f>
        <v>11</v>
      </c>
      <c r="N2960" s="17" t="s">
        <v>66</v>
      </c>
      <c r="O2960" s="11"/>
      <c r="P2960" s="28"/>
      <c r="Q2960" s="28" t="n">
        <f aca="false">P2960*$M2960</f>
        <v>0</v>
      </c>
      <c r="R2960" s="28" t="n">
        <v>2017</v>
      </c>
      <c r="S2960" s="28" t="n">
        <v>22187</v>
      </c>
      <c r="T2960" s="28"/>
      <c r="U2960" s="28" t="n">
        <f aca="false">T2960*$M2960</f>
        <v>0</v>
      </c>
      <c r="V2960" s="28"/>
      <c r="W2960" s="28" t="n">
        <f aca="false">V2960*$M2960</f>
        <v>0</v>
      </c>
      <c r="X2960" s="28" t="n">
        <v>3804</v>
      </c>
      <c r="Y2960" s="28" t="n">
        <v>41844</v>
      </c>
      <c r="Z2960" s="28"/>
      <c r="AA2960" s="28" t="n">
        <f aca="false">Z2960*$M2960</f>
        <v>0</v>
      </c>
      <c r="AB2960" s="28"/>
      <c r="AC2960" s="28" t="n">
        <f aca="false">AB2960*$M2960</f>
        <v>0</v>
      </c>
      <c r="AD2960" s="28"/>
      <c r="AE2960" s="28" t="n">
        <f aca="false">AD2960*$M2960</f>
        <v>0</v>
      </c>
      <c r="AF2960" s="28"/>
      <c r="AG2960" s="28" t="n">
        <f aca="false">AF2960*$M2960</f>
        <v>0</v>
      </c>
      <c r="AH2960" s="28" t="n">
        <v>117</v>
      </c>
      <c r="AI2960" s="28" t="n">
        <v>1287</v>
      </c>
      <c r="AJ2960" s="28" t="n">
        <v>8694</v>
      </c>
      <c r="AK2960" s="28" t="n">
        <v>95634</v>
      </c>
      <c r="AL2960" s="28"/>
      <c r="AM2960" s="28" t="n">
        <f aca="false">AL2960*$M2960</f>
        <v>0</v>
      </c>
      <c r="AN2960" s="28" t="n">
        <v>5697</v>
      </c>
      <c r="AO2960" s="28" t="n">
        <v>62667</v>
      </c>
      <c r="AP2960" s="28"/>
      <c r="AQ2960" s="28" t="n">
        <f aca="false">AP2960*$M2960</f>
        <v>0</v>
      </c>
      <c r="AR2960" s="28"/>
      <c r="AS2960" s="28" t="n">
        <f aca="false">AR2960*$M2960</f>
        <v>0</v>
      </c>
      <c r="AT2960" s="28"/>
      <c r="AU2960" s="28" t="n">
        <f aca="false">AT2960*$M2960</f>
        <v>0</v>
      </c>
      <c r="AV2960" s="28"/>
      <c r="AW2960" s="28" t="n">
        <f aca="false">AV2960*$M2960</f>
        <v>0</v>
      </c>
      <c r="AX2960" s="28"/>
      <c r="AY2960" s="28" t="n">
        <f aca="false">AX2960*$M2960</f>
        <v>0</v>
      </c>
      <c r="AZ2960" s="30" t="n">
        <v>20329</v>
      </c>
      <c r="BA2960" s="11" t="n">
        <v>223619</v>
      </c>
      <c r="BB2960" s="31" t="n">
        <f aca="false">SUM(Q2960,S2960,U2960,W2960,Y2960,AA2960,AC2960,AE2960,AG2960,AI2960,AK2960,AM2960,AO2960,AQ2960,AS2960,AU2960,AW2960,AY2960)</f>
        <v>223619</v>
      </c>
      <c r="BC2960" s="28" t="n">
        <f aca="false">BA2960-BB2960</f>
        <v>0</v>
      </c>
      <c r="BD2960" s="32" t="n">
        <f aca="false">SUM(P2960,R2960,T2960,V2960,X2960,Z2960,AB2960,AD2960,AF2960,AH2960,AJ2960,AL2960,AN2960,AP2960,AR2960,AT2960,AV2960,AX2960)</f>
        <v>20329</v>
      </c>
      <c r="BE2960" s="33" t="n">
        <f aca="false">AZ2960-BD2960</f>
        <v>0</v>
      </c>
      <c r="BF2960" s="34" t="n">
        <f aca="false">BD2960*M2960</f>
        <v>223619</v>
      </c>
      <c r="BG2960" s="35" t="n">
        <f aca="false">BA2960-BF2960</f>
        <v>0</v>
      </c>
      <c r="BH2960" s="19" t="str">
        <f aca="false">IF(BG2960=0,"",IF(BG2960&lt;&gt;BA2960,"erreur de calcul",IF(BD2960&lt;&gt;0,"pas de prix",IF(M2960&lt;&gt; 0,"pas de quantité","pas de prix, ni de quantité"))))</f>
        <v/>
      </c>
      <c r="BI2960" s="19"/>
    </row>
    <row r="2961" customFormat="false" ht="15" hidden="false" customHeight="false" outlineLevel="0" collapsed="false">
      <c r="A2961" s="0" t="n">
        <v>26</v>
      </c>
      <c r="B2961" s="8" t="s">
        <v>24</v>
      </c>
      <c r="C2961" s="9" t="s">
        <v>25</v>
      </c>
      <c r="D2961" s="9" t="s">
        <v>26</v>
      </c>
      <c r="E2961" s="10" t="n">
        <v>1789</v>
      </c>
      <c r="F2961" s="9" t="s">
        <v>27</v>
      </c>
      <c r="G2961" s="9" t="s">
        <v>27</v>
      </c>
      <c r="H2961" s="11" t="n">
        <v>22</v>
      </c>
      <c r="I2961" s="11" t="s">
        <v>229</v>
      </c>
      <c r="J2961" s="14" t="n">
        <v>5</v>
      </c>
      <c r="K2961" s="14"/>
      <c r="L2961" s="16"/>
      <c r="M2961" s="27" t="n">
        <f aca="false">J2961+(K2961/20)+(L2961/240)</f>
        <v>5</v>
      </c>
      <c r="N2961" s="17" t="s">
        <v>66</v>
      </c>
      <c r="O2961" s="11"/>
      <c r="P2961" s="28"/>
      <c r="Q2961" s="28" t="n">
        <f aca="false">P2961*$M2961</f>
        <v>0</v>
      </c>
      <c r="R2961" s="28" t="n">
        <v>4117</v>
      </c>
      <c r="S2961" s="28" t="n">
        <v>20585</v>
      </c>
      <c r="T2961" s="28"/>
      <c r="U2961" s="28" t="n">
        <f aca="false">T2961*$M2961</f>
        <v>0</v>
      </c>
      <c r="V2961" s="28"/>
      <c r="W2961" s="28" t="n">
        <f aca="false">V2961*$M2961</f>
        <v>0</v>
      </c>
      <c r="X2961" s="28"/>
      <c r="Y2961" s="28" t="n">
        <f aca="false">X2961*$M2961</f>
        <v>0</v>
      </c>
      <c r="Z2961" s="28"/>
      <c r="AA2961" s="28" t="n">
        <f aca="false">Z2961*$M2961</f>
        <v>0</v>
      </c>
      <c r="AB2961" s="28"/>
      <c r="AC2961" s="28" t="n">
        <f aca="false">AB2961*$M2961</f>
        <v>0</v>
      </c>
      <c r="AD2961" s="28"/>
      <c r="AE2961" s="28" t="n">
        <f aca="false">AD2961*$M2961</f>
        <v>0</v>
      </c>
      <c r="AF2961" s="28"/>
      <c r="AG2961" s="28" t="n">
        <f aca="false">AF2961*$M2961</f>
        <v>0</v>
      </c>
      <c r="AH2961" s="28"/>
      <c r="AI2961" s="28" t="n">
        <f aca="false">AH2961*$M2961</f>
        <v>0</v>
      </c>
      <c r="AJ2961" s="28"/>
      <c r="AK2961" s="28" t="n">
        <f aca="false">AJ2961*$M2961</f>
        <v>0</v>
      </c>
      <c r="AL2961" s="28"/>
      <c r="AM2961" s="28" t="n">
        <f aca="false">AL2961*$M2961</f>
        <v>0</v>
      </c>
      <c r="AN2961" s="28"/>
      <c r="AO2961" s="28" t="n">
        <f aca="false">AN2961*$M2961</f>
        <v>0</v>
      </c>
      <c r="AP2961" s="28"/>
      <c r="AQ2961" s="28" t="n">
        <f aca="false">AP2961*$M2961</f>
        <v>0</v>
      </c>
      <c r="AR2961" s="28"/>
      <c r="AS2961" s="28" t="n">
        <f aca="false">AR2961*$M2961</f>
        <v>0</v>
      </c>
      <c r="AT2961" s="28"/>
      <c r="AU2961" s="28" t="n">
        <f aca="false">AT2961*$M2961</f>
        <v>0</v>
      </c>
      <c r="AV2961" s="28"/>
      <c r="AW2961" s="28" t="n">
        <f aca="false">AV2961*$M2961</f>
        <v>0</v>
      </c>
      <c r="AX2961" s="28"/>
      <c r="AY2961" s="28" t="n">
        <f aca="false">AX2961*$M2961</f>
        <v>0</v>
      </c>
      <c r="AZ2961" s="30" t="n">
        <v>4117</v>
      </c>
      <c r="BA2961" s="11" t="n">
        <v>20585</v>
      </c>
      <c r="BB2961" s="31" t="n">
        <f aca="false">SUM(Q2961,S2961,U2961,W2961,Y2961,AA2961,AC2961,AE2961,AG2961,AI2961,AK2961,AM2961,AO2961,AQ2961,AS2961,AU2961,AW2961,AY2961)</f>
        <v>20585</v>
      </c>
      <c r="BC2961" s="28" t="n">
        <f aca="false">BA2961-BB2961</f>
        <v>0</v>
      </c>
      <c r="BD2961" s="32" t="n">
        <f aca="false">SUM(P2961,R2961,T2961,V2961,X2961,Z2961,AB2961,AD2961,AF2961,AH2961,AJ2961,AL2961,AN2961,AP2961,AR2961,AT2961,AV2961,AX2961)</f>
        <v>4117</v>
      </c>
      <c r="BE2961" s="33" t="n">
        <f aca="false">AZ2961-BD2961</f>
        <v>0</v>
      </c>
      <c r="BF2961" s="34" t="n">
        <f aca="false">BD2961*M2961</f>
        <v>20585</v>
      </c>
      <c r="BG2961" s="35" t="n">
        <f aca="false">BA2961-BF2961</f>
        <v>0</v>
      </c>
      <c r="BH2961" s="19" t="str">
        <f aca="false">IF(BG2961=0,"",IF(BG2961&lt;&gt;BA2961,"erreur de calcul",IF(BD2961&lt;&gt;0,"pas de prix",IF(M2961&lt;&gt; 0,"pas de quantité","pas de prix, ni de quantité"))))</f>
        <v/>
      </c>
      <c r="BI2961" s="19"/>
    </row>
    <row r="2962" customFormat="false" ht="15" hidden="false" customHeight="false" outlineLevel="0" collapsed="false">
      <c r="A2962" s="0" t="n">
        <v>27</v>
      </c>
      <c r="B2962" s="8" t="s">
        <v>24</v>
      </c>
      <c r="C2962" s="9" t="s">
        <v>25</v>
      </c>
      <c r="D2962" s="9" t="s">
        <v>26</v>
      </c>
      <c r="E2962" s="10" t="n">
        <v>1789</v>
      </c>
      <c r="F2962" s="9" t="s">
        <v>27</v>
      </c>
      <c r="G2962" s="9" t="s">
        <v>27</v>
      </c>
      <c r="H2962" s="11" t="n">
        <v>22</v>
      </c>
      <c r="I2962" s="11" t="s">
        <v>230</v>
      </c>
      <c r="J2962" s="14" t="n">
        <v>11</v>
      </c>
      <c r="K2962" s="14"/>
      <c r="L2962" s="16"/>
      <c r="M2962" s="27" t="n">
        <f aca="false">J2962+(K2962/20)+(L2962/240)</f>
        <v>11</v>
      </c>
      <c r="N2962" s="17" t="s">
        <v>66</v>
      </c>
      <c r="O2962" s="11"/>
      <c r="P2962" s="28"/>
      <c r="Q2962" s="28" t="n">
        <f aca="false">P2962*$M2962</f>
        <v>0</v>
      </c>
      <c r="R2962" s="28"/>
      <c r="S2962" s="28" t="n">
        <f aca="false">R2962*$M2962</f>
        <v>0</v>
      </c>
      <c r="T2962" s="28"/>
      <c r="U2962" s="28" t="n">
        <f aca="false">T2962*$M2962</f>
        <v>0</v>
      </c>
      <c r="V2962" s="28"/>
      <c r="W2962" s="28" t="n">
        <f aca="false">V2962*$M2962</f>
        <v>0</v>
      </c>
      <c r="X2962" s="28"/>
      <c r="Y2962" s="28" t="n">
        <f aca="false">X2962*$M2962</f>
        <v>0</v>
      </c>
      <c r="Z2962" s="28"/>
      <c r="AA2962" s="28" t="n">
        <f aca="false">Z2962*$M2962</f>
        <v>0</v>
      </c>
      <c r="AB2962" s="28"/>
      <c r="AC2962" s="28" t="n">
        <f aca="false">AB2962*$M2962</f>
        <v>0</v>
      </c>
      <c r="AD2962" s="28"/>
      <c r="AE2962" s="28" t="n">
        <f aca="false">AD2962*$M2962</f>
        <v>0</v>
      </c>
      <c r="AF2962" s="28"/>
      <c r="AG2962" s="28" t="n">
        <f aca="false">AF2962*$M2962</f>
        <v>0</v>
      </c>
      <c r="AH2962" s="28"/>
      <c r="AI2962" s="28" t="n">
        <f aca="false">AH2962*$M2962</f>
        <v>0</v>
      </c>
      <c r="AJ2962" s="28" t="n">
        <v>34854</v>
      </c>
      <c r="AK2962" s="28" t="n">
        <v>383394</v>
      </c>
      <c r="AL2962" s="28"/>
      <c r="AM2962" s="28" t="n">
        <f aca="false">AL2962*$M2962</f>
        <v>0</v>
      </c>
      <c r="AN2962" s="28"/>
      <c r="AO2962" s="28" t="n">
        <f aca="false">AN2962*$M2962</f>
        <v>0</v>
      </c>
      <c r="AP2962" s="28"/>
      <c r="AQ2962" s="28" t="n">
        <f aca="false">AP2962*$M2962</f>
        <v>0</v>
      </c>
      <c r="AR2962" s="28"/>
      <c r="AS2962" s="28" t="n">
        <f aca="false">AR2962*$M2962</f>
        <v>0</v>
      </c>
      <c r="AT2962" s="28"/>
      <c r="AU2962" s="28" t="n">
        <f aca="false">AT2962*$M2962</f>
        <v>0</v>
      </c>
      <c r="AV2962" s="28"/>
      <c r="AW2962" s="28" t="n">
        <f aca="false">AV2962*$M2962</f>
        <v>0</v>
      </c>
      <c r="AX2962" s="28"/>
      <c r="AY2962" s="28" t="n">
        <f aca="false">AX2962*$M2962</f>
        <v>0</v>
      </c>
      <c r="AZ2962" s="30" t="n">
        <v>34854</v>
      </c>
      <c r="BA2962" s="11" t="n">
        <v>383394</v>
      </c>
      <c r="BB2962" s="31" t="n">
        <f aca="false">SUM(Q2962,S2962,U2962,W2962,Y2962,AA2962,AC2962,AE2962,AG2962,AI2962,AK2962,AM2962,AO2962,AQ2962,AS2962,AU2962,AW2962,AY2962)</f>
        <v>383394</v>
      </c>
      <c r="BC2962" s="28" t="n">
        <f aca="false">BA2962-BB2962</f>
        <v>0</v>
      </c>
      <c r="BD2962" s="32" t="n">
        <f aca="false">SUM(P2962,R2962,T2962,V2962,X2962,Z2962,AB2962,AD2962,AF2962,AH2962,AJ2962,AL2962,AN2962,AP2962,AR2962,AT2962,AV2962,AX2962)</f>
        <v>34854</v>
      </c>
      <c r="BE2962" s="33" t="n">
        <f aca="false">AZ2962-BD2962</f>
        <v>0</v>
      </c>
      <c r="BF2962" s="34" t="n">
        <f aca="false">BD2962*M2962</f>
        <v>383394</v>
      </c>
      <c r="BG2962" s="35" t="n">
        <f aca="false">BA2962-BF2962</f>
        <v>0</v>
      </c>
      <c r="BH2962" s="19" t="str">
        <f aca="false">IF(BG2962=0,"",IF(BG2962&lt;&gt;BA2962,"erreur de calcul",IF(BD2962&lt;&gt;0,"pas de prix",IF(M2962&lt;&gt; 0,"pas de quantité","pas de prix, ni de quantité"))))</f>
        <v/>
      </c>
      <c r="BI2962" s="19"/>
    </row>
    <row r="2963" customFormat="false" ht="15" hidden="false" customHeight="false" outlineLevel="0" collapsed="false">
      <c r="A2963" s="0" t="n">
        <v>28</v>
      </c>
      <c r="B2963" s="8" t="s">
        <v>24</v>
      </c>
      <c r="C2963" s="9" t="s">
        <v>25</v>
      </c>
      <c r="D2963" s="9" t="s">
        <v>26</v>
      </c>
      <c r="E2963" s="10" t="n">
        <v>1789</v>
      </c>
      <c r="F2963" s="9" t="s">
        <v>27</v>
      </c>
      <c r="G2963" s="9" t="s">
        <v>27</v>
      </c>
      <c r="H2963" s="11" t="n">
        <v>22</v>
      </c>
      <c r="I2963" s="11" t="s">
        <v>231</v>
      </c>
      <c r="J2963" s="14" t="n">
        <v>18</v>
      </c>
      <c r="K2963" s="14"/>
      <c r="L2963" s="16"/>
      <c r="M2963" s="27" t="n">
        <f aca="false">J2963+(K2963/20)+(L2963/240)</f>
        <v>18</v>
      </c>
      <c r="N2963" s="17" t="s">
        <v>66</v>
      </c>
      <c r="O2963" s="11"/>
      <c r="P2963" s="28"/>
      <c r="Q2963" s="28" t="n">
        <f aca="false">P2963*$M2963</f>
        <v>0</v>
      </c>
      <c r="R2963" s="28"/>
      <c r="S2963" s="28" t="n">
        <f aca="false">R2963*$M2963</f>
        <v>0</v>
      </c>
      <c r="T2963" s="28"/>
      <c r="U2963" s="28" t="n">
        <f aca="false">T2963*$M2963</f>
        <v>0</v>
      </c>
      <c r="V2963" s="28"/>
      <c r="W2963" s="28" t="n">
        <f aca="false">V2963*$M2963</f>
        <v>0</v>
      </c>
      <c r="X2963" s="28"/>
      <c r="Y2963" s="28" t="n">
        <f aca="false">X2963*$M2963</f>
        <v>0</v>
      </c>
      <c r="Z2963" s="28"/>
      <c r="AA2963" s="28" t="n">
        <f aca="false">Z2963*$M2963</f>
        <v>0</v>
      </c>
      <c r="AB2963" s="28"/>
      <c r="AC2963" s="28" t="n">
        <f aca="false">AB2963*$M2963</f>
        <v>0</v>
      </c>
      <c r="AD2963" s="28"/>
      <c r="AE2963" s="28" t="n">
        <f aca="false">AD2963*$M2963</f>
        <v>0</v>
      </c>
      <c r="AF2963" s="28"/>
      <c r="AG2963" s="28" t="n">
        <f aca="false">AF2963*$M2963</f>
        <v>0</v>
      </c>
      <c r="AH2963" s="28"/>
      <c r="AI2963" s="28" t="n">
        <f aca="false">AH2963*$M2963</f>
        <v>0</v>
      </c>
      <c r="AJ2963" s="28" t="n">
        <v>623</v>
      </c>
      <c r="AK2963" s="28" t="n">
        <v>11214</v>
      </c>
      <c r="AL2963" s="28"/>
      <c r="AM2963" s="28" t="n">
        <f aca="false">AL2963*$M2963</f>
        <v>0</v>
      </c>
      <c r="AN2963" s="28"/>
      <c r="AO2963" s="28" t="n">
        <f aca="false">AN2963*$M2963</f>
        <v>0</v>
      </c>
      <c r="AP2963" s="28"/>
      <c r="AQ2963" s="28" t="n">
        <f aca="false">AP2963*$M2963</f>
        <v>0</v>
      </c>
      <c r="AR2963" s="28"/>
      <c r="AS2963" s="28" t="n">
        <f aca="false">AR2963*$M2963</f>
        <v>0</v>
      </c>
      <c r="AT2963" s="28"/>
      <c r="AU2963" s="28" t="n">
        <f aca="false">AT2963*$M2963</f>
        <v>0</v>
      </c>
      <c r="AV2963" s="28"/>
      <c r="AW2963" s="28" t="n">
        <f aca="false">AV2963*$M2963</f>
        <v>0</v>
      </c>
      <c r="AX2963" s="28"/>
      <c r="AY2963" s="28" t="n">
        <f aca="false">AX2963*$M2963</f>
        <v>0</v>
      </c>
      <c r="AZ2963" s="30" t="n">
        <v>623</v>
      </c>
      <c r="BA2963" s="11" t="n">
        <v>11214</v>
      </c>
      <c r="BB2963" s="31" t="n">
        <f aca="false">SUM(Q2963,S2963,U2963,W2963,Y2963,AA2963,AC2963,AE2963,AG2963,AI2963,AK2963,AM2963,AO2963,AQ2963,AS2963,AU2963,AW2963,AY2963)</f>
        <v>11214</v>
      </c>
      <c r="BC2963" s="28" t="n">
        <f aca="false">BA2963-BB2963</f>
        <v>0</v>
      </c>
      <c r="BD2963" s="32" t="n">
        <f aca="false">SUM(P2963,R2963,T2963,V2963,X2963,Z2963,AB2963,AD2963,AF2963,AH2963,AJ2963,AL2963,AN2963,AP2963,AR2963,AT2963,AV2963,AX2963)</f>
        <v>623</v>
      </c>
      <c r="BE2963" s="33" t="n">
        <f aca="false">AZ2963-BD2963</f>
        <v>0</v>
      </c>
      <c r="BF2963" s="34" t="n">
        <f aca="false">BD2963*M2963</f>
        <v>11214</v>
      </c>
      <c r="BG2963" s="35" t="n">
        <f aca="false">BA2963-BF2963</f>
        <v>0</v>
      </c>
      <c r="BH2963" s="19" t="str">
        <f aca="false">IF(BG2963=0,"",IF(BG2963&lt;&gt;BA2963,"erreur de calcul",IF(BD2963&lt;&gt;0,"pas de prix",IF(M2963&lt;&gt; 0,"pas de quantité","pas de prix, ni de quantité"))))</f>
        <v/>
      </c>
      <c r="BI2963" s="19"/>
    </row>
    <row r="2964" customFormat="false" ht="15" hidden="false" customHeight="false" outlineLevel="0" collapsed="false">
      <c r="A2964" s="0" t="n">
        <v>29</v>
      </c>
      <c r="B2964" s="8" t="s">
        <v>24</v>
      </c>
      <c r="C2964" s="9" t="s">
        <v>25</v>
      </c>
      <c r="D2964" s="9" t="s">
        <v>26</v>
      </c>
      <c r="E2964" s="10" t="n">
        <v>1789</v>
      </c>
      <c r="F2964" s="9" t="s">
        <v>27</v>
      </c>
      <c r="G2964" s="9" t="s">
        <v>27</v>
      </c>
      <c r="H2964" s="11" t="n">
        <v>22</v>
      </c>
      <c r="I2964" s="11" t="s">
        <v>232</v>
      </c>
      <c r="J2964" s="14" t="n">
        <v>66</v>
      </c>
      <c r="K2964" s="14"/>
      <c r="L2964" s="16"/>
      <c r="M2964" s="27" t="n">
        <f aca="false">J2964+(K2964/20)+(L2964/240)</f>
        <v>66</v>
      </c>
      <c r="N2964" s="17" t="s">
        <v>64</v>
      </c>
      <c r="O2964" s="11"/>
      <c r="P2964" s="28"/>
      <c r="Q2964" s="28" t="n">
        <f aca="false">P2964*$M2964</f>
        <v>0</v>
      </c>
      <c r="R2964" s="28" t="n">
        <f aca="false">4580/100</f>
        <v>45.8</v>
      </c>
      <c r="S2964" s="28" t="n">
        <v>3023</v>
      </c>
      <c r="T2964" s="28"/>
      <c r="U2964" s="28" t="n">
        <f aca="false">T2964*$M2964</f>
        <v>0</v>
      </c>
      <c r="V2964" s="28"/>
      <c r="W2964" s="28" t="n">
        <f aca="false">V2964*$M2964</f>
        <v>0</v>
      </c>
      <c r="X2964" s="28"/>
      <c r="Y2964" s="28" t="n">
        <f aca="false">X2964*$M2964</f>
        <v>0</v>
      </c>
      <c r="Z2964" s="28"/>
      <c r="AA2964" s="28" t="n">
        <f aca="false">Z2964*$M2964</f>
        <v>0</v>
      </c>
      <c r="AB2964" s="28"/>
      <c r="AC2964" s="28" t="n">
        <f aca="false">AB2964*$M2964</f>
        <v>0</v>
      </c>
      <c r="AD2964" s="28"/>
      <c r="AE2964" s="28" t="n">
        <f aca="false">AD2964*$M2964</f>
        <v>0</v>
      </c>
      <c r="AF2964" s="28"/>
      <c r="AG2964" s="28" t="n">
        <f aca="false">AF2964*$M2964</f>
        <v>0</v>
      </c>
      <c r="AH2964" s="28"/>
      <c r="AI2964" s="28" t="n">
        <f aca="false">AH2964*$M2964</f>
        <v>0</v>
      </c>
      <c r="AJ2964" s="28"/>
      <c r="AK2964" s="28" t="n">
        <f aca="false">AJ2964*$M2964</f>
        <v>0</v>
      </c>
      <c r="AL2964" s="28"/>
      <c r="AM2964" s="28" t="n">
        <f aca="false">AL2964*$M2964</f>
        <v>0</v>
      </c>
      <c r="AN2964" s="28"/>
      <c r="AO2964" s="28" t="n">
        <f aca="false">AN2964*$M2964</f>
        <v>0</v>
      </c>
      <c r="AP2964" s="28"/>
      <c r="AQ2964" s="28" t="n">
        <f aca="false">AP2964*$M2964</f>
        <v>0</v>
      </c>
      <c r="AR2964" s="28"/>
      <c r="AS2964" s="28" t="n">
        <f aca="false">AR2964*$M2964</f>
        <v>0</v>
      </c>
      <c r="AT2964" s="28"/>
      <c r="AU2964" s="28" t="n">
        <f aca="false">AT2964*$M2964</f>
        <v>0</v>
      </c>
      <c r="AV2964" s="28"/>
      <c r="AW2964" s="28" t="n">
        <f aca="false">AV2964*$M2964</f>
        <v>0</v>
      </c>
      <c r="AX2964" s="28"/>
      <c r="AY2964" s="28" t="n">
        <f aca="false">AX2964*$M2964</f>
        <v>0</v>
      </c>
      <c r="AZ2964" s="30" t="n">
        <f aca="false">4580/100</f>
        <v>45.8</v>
      </c>
      <c r="BA2964" s="11" t="n">
        <v>3023</v>
      </c>
      <c r="BB2964" s="31" t="n">
        <f aca="false">SUM(Q2964,S2964,U2964,W2964,Y2964,AA2964,AC2964,AE2964,AG2964,AI2964,AK2964,AM2964,AO2964,AQ2964,AS2964,AU2964,AW2964,AY2964)</f>
        <v>3023</v>
      </c>
      <c r="BC2964" s="28" t="n">
        <f aca="false">BA2964-BB2964</f>
        <v>0</v>
      </c>
      <c r="BD2964" s="32" t="n">
        <f aca="false">SUM(P2964,R2964,T2964,V2964,X2964,Z2964,AB2964,AD2964,AF2964,AH2964,AJ2964,AL2964,AN2964,AP2964,AR2964,AT2964,AV2964,AX2964)</f>
        <v>45.8</v>
      </c>
      <c r="BE2964" s="33" t="n">
        <f aca="false">AZ2964-BD2964</f>
        <v>0</v>
      </c>
      <c r="BF2964" s="34" t="n">
        <f aca="false">BD2964*M2964</f>
        <v>3022.8</v>
      </c>
      <c r="BG2964" s="35" t="n">
        <f aca="false">BA2964-BF2964</f>
        <v>0.200000000000273</v>
      </c>
      <c r="BH2964" s="19" t="str">
        <f aca="false">IF(BG2964=0,"",IF(BG2964&lt;&gt;BA2964,"erreur de calcul",IF(BD2964&lt;&gt;0,"pas de prix",IF(M2964&lt;&gt; 0,"pas de quantité","pas de prix, ni de quantité"))))</f>
        <v>erreur de calcul</v>
      </c>
      <c r="BI2964" s="19"/>
    </row>
    <row r="2965" customFormat="false" ht="15" hidden="false" customHeight="false" outlineLevel="0" collapsed="false">
      <c r="A2965" s="0" t="n">
        <v>30</v>
      </c>
      <c r="B2965" s="8" t="s">
        <v>24</v>
      </c>
      <c r="C2965" s="9" t="s">
        <v>25</v>
      </c>
      <c r="D2965" s="9" t="s">
        <v>26</v>
      </c>
      <c r="E2965" s="10" t="n">
        <v>1789</v>
      </c>
      <c r="F2965" s="9" t="s">
        <v>27</v>
      </c>
      <c r="G2965" s="9" t="s">
        <v>27</v>
      </c>
      <c r="H2965" s="11" t="n">
        <v>22</v>
      </c>
      <c r="I2965" s="11" t="s">
        <v>233</v>
      </c>
      <c r="J2965" s="14" t="n">
        <v>155</v>
      </c>
      <c r="K2965" s="14"/>
      <c r="L2965" s="16"/>
      <c r="M2965" s="27" t="n">
        <f aca="false">J2965+(K2965/20)+(L2965/240)</f>
        <v>155</v>
      </c>
      <c r="N2965" s="17" t="s">
        <v>64</v>
      </c>
      <c r="O2965" s="11"/>
      <c r="P2965" s="28" t="n">
        <f aca="false">27574/100</f>
        <v>275.74</v>
      </c>
      <c r="Q2965" s="28" t="n">
        <v>42740</v>
      </c>
      <c r="R2965" s="28" t="n">
        <f aca="false">7820/100</f>
        <v>78.2</v>
      </c>
      <c r="S2965" s="28" t="n">
        <v>12121</v>
      </c>
      <c r="T2965" s="28"/>
      <c r="U2965" s="28" t="n">
        <f aca="false">T2965*$M2965</f>
        <v>0</v>
      </c>
      <c r="V2965" s="28" t="n">
        <f aca="false">37316/100</f>
        <v>373.16</v>
      </c>
      <c r="W2965" s="28" t="n">
        <v>57840</v>
      </c>
      <c r="X2965" s="28" t="n">
        <f aca="false">1394/100</f>
        <v>13.94</v>
      </c>
      <c r="Y2965" s="28" t="n">
        <v>2161</v>
      </c>
      <c r="Z2965" s="28"/>
      <c r="AA2965" s="28" t="n">
        <f aca="false">Z2965*$M2965</f>
        <v>0</v>
      </c>
      <c r="AB2965" s="28"/>
      <c r="AC2965" s="28" t="n">
        <f aca="false">AB2965*$M2965</f>
        <v>0</v>
      </c>
      <c r="AD2965" s="28"/>
      <c r="AE2965" s="28" t="n">
        <f aca="false">AD2965*$M2965</f>
        <v>0</v>
      </c>
      <c r="AF2965" s="28"/>
      <c r="AG2965" s="28" t="n">
        <f aca="false">AF2965*$M2965</f>
        <v>0</v>
      </c>
      <c r="AH2965" s="28"/>
      <c r="AI2965" s="28" t="n">
        <f aca="false">AH2965*$M2965</f>
        <v>0</v>
      </c>
      <c r="AJ2965" s="28" t="n">
        <f aca="false">158255/100</f>
        <v>1582.55</v>
      </c>
      <c r="AK2965" s="28" t="n">
        <v>245295</v>
      </c>
      <c r="AL2965" s="28"/>
      <c r="AM2965" s="28" t="n">
        <f aca="false">AL2965*$M2965</f>
        <v>0</v>
      </c>
      <c r="AN2965" s="28" t="n">
        <f aca="false">417945/100</f>
        <v>4179.45</v>
      </c>
      <c r="AO2965" s="28" t="n">
        <v>647815</v>
      </c>
      <c r="AP2965" s="28"/>
      <c r="AQ2965" s="28" t="n">
        <f aca="false">AP2965*$M2965</f>
        <v>0</v>
      </c>
      <c r="AR2965" s="28"/>
      <c r="AS2965" s="28" t="n">
        <f aca="false">AR2965*$M2965</f>
        <v>0</v>
      </c>
      <c r="AT2965" s="28"/>
      <c r="AU2965" s="28" t="n">
        <f aca="false">AT2965*$M2965</f>
        <v>0</v>
      </c>
      <c r="AV2965" s="28"/>
      <c r="AW2965" s="28" t="n">
        <f aca="false">AV2965*$M2965</f>
        <v>0</v>
      </c>
      <c r="AX2965" s="28"/>
      <c r="AY2965" s="28" t="n">
        <f aca="false">AX2965*$M2965</f>
        <v>0</v>
      </c>
      <c r="AZ2965" s="30" t="n">
        <f aca="false">650304/100</f>
        <v>6503.04</v>
      </c>
      <c r="BA2965" s="11" t="n">
        <v>1007972</v>
      </c>
      <c r="BB2965" s="31" t="n">
        <f aca="false">SUM(Q2965,S2965,U2965,W2965,Y2965,AA2965,AC2965,AE2965,AG2965,AI2965,AK2965,AM2965,AO2965,AQ2965,AS2965,AU2965,AW2965,AY2965)</f>
        <v>1007972</v>
      </c>
      <c r="BC2965" s="28" t="n">
        <f aca="false">BA2965-BB2965</f>
        <v>0</v>
      </c>
      <c r="BD2965" s="32" t="n">
        <f aca="false">SUM(P2965,R2965,T2965,V2965,X2965,Z2965,AB2965,AD2965,AF2965,AH2965,AJ2965,AL2965,AN2965,AP2965,AR2965,AT2965,AV2965,AX2965)</f>
        <v>6503.04</v>
      </c>
      <c r="BE2965" s="33" t="n">
        <f aca="false">AZ2965-BD2965</f>
        <v>0</v>
      </c>
      <c r="BF2965" s="34" t="n">
        <f aca="false">BD2965*M2965</f>
        <v>1007971.2</v>
      </c>
      <c r="BG2965" s="35" t="n">
        <f aca="false">BA2965-BF2965</f>
        <v>0.800000000162981</v>
      </c>
      <c r="BH2965" s="19" t="str">
        <f aca="false">IF(BG2965=0,"",IF(BG2965&lt;&gt;BA2965,"erreur de calcul",IF(BD2965&lt;&gt;0,"pas de prix",IF(M2965&lt;&gt; 0,"pas de quantité","pas de prix, ni de quantité"))))</f>
        <v>erreur de calcul</v>
      </c>
      <c r="BI2965" s="19"/>
    </row>
    <row r="2966" customFormat="false" ht="15" hidden="false" customHeight="false" outlineLevel="0" collapsed="false">
      <c r="A2966" s="0" t="n">
        <v>31</v>
      </c>
      <c r="B2966" s="8" t="s">
        <v>24</v>
      </c>
      <c r="C2966" s="9" t="s">
        <v>25</v>
      </c>
      <c r="D2966" s="9" t="s">
        <v>26</v>
      </c>
      <c r="E2966" s="10" t="n">
        <v>1789</v>
      </c>
      <c r="F2966" s="9" t="s">
        <v>27</v>
      </c>
      <c r="G2966" s="9" t="s">
        <v>27</v>
      </c>
      <c r="H2966" s="11" t="n">
        <v>22</v>
      </c>
      <c r="I2966" s="11" t="s">
        <v>234</v>
      </c>
      <c r="J2966" s="14" t="n">
        <v>110</v>
      </c>
      <c r="K2966" s="14"/>
      <c r="L2966" s="16"/>
      <c r="M2966" s="27" t="n">
        <f aca="false">J2966+(K2966/20)+(L2966/240)</f>
        <v>110</v>
      </c>
      <c r="N2966" s="17" t="s">
        <v>64</v>
      </c>
      <c r="O2966" s="11"/>
      <c r="P2966" s="28" t="n">
        <f aca="false">73942/100</f>
        <v>739.42</v>
      </c>
      <c r="Q2966" s="28" t="n">
        <v>81336</v>
      </c>
      <c r="R2966" s="28"/>
      <c r="S2966" s="28" t="n">
        <f aca="false">R2966*$M2966</f>
        <v>0</v>
      </c>
      <c r="T2966" s="28"/>
      <c r="U2966" s="28" t="n">
        <f aca="false">T2966*$M2966</f>
        <v>0</v>
      </c>
      <c r="V2966" s="28"/>
      <c r="W2966" s="28" t="n">
        <f aca="false">V2966*$M2966</f>
        <v>0</v>
      </c>
      <c r="X2966" s="28"/>
      <c r="Y2966" s="28" t="n">
        <f aca="false">X2966*$M2966</f>
        <v>0</v>
      </c>
      <c r="Z2966" s="28"/>
      <c r="AA2966" s="28" t="n">
        <f aca="false">Z2966*$M2966</f>
        <v>0</v>
      </c>
      <c r="AB2966" s="28"/>
      <c r="AC2966" s="28" t="n">
        <f aca="false">AB2966*$M2966</f>
        <v>0</v>
      </c>
      <c r="AD2966" s="28"/>
      <c r="AE2966" s="28" t="n">
        <f aca="false">AD2966*$M2966</f>
        <v>0</v>
      </c>
      <c r="AF2966" s="28"/>
      <c r="AG2966" s="28" t="n">
        <f aca="false">AF2966*$M2966</f>
        <v>0</v>
      </c>
      <c r="AH2966" s="28"/>
      <c r="AI2966" s="28" t="n">
        <f aca="false">AH2966*$M2966</f>
        <v>0</v>
      </c>
      <c r="AJ2966" s="28"/>
      <c r="AK2966" s="28" t="n">
        <f aca="false">AJ2966*$M2966</f>
        <v>0</v>
      </c>
      <c r="AL2966" s="28"/>
      <c r="AM2966" s="28" t="n">
        <f aca="false">AL2966*$M2966</f>
        <v>0</v>
      </c>
      <c r="AN2966" s="28"/>
      <c r="AO2966" s="28" t="n">
        <f aca="false">AN2966*$M2966</f>
        <v>0</v>
      </c>
      <c r="AP2966" s="28"/>
      <c r="AQ2966" s="28" t="n">
        <f aca="false">AP2966*$M2966</f>
        <v>0</v>
      </c>
      <c r="AR2966" s="28"/>
      <c r="AS2966" s="28" t="n">
        <f aca="false">AR2966*$M2966</f>
        <v>0</v>
      </c>
      <c r="AT2966" s="28"/>
      <c r="AU2966" s="28" t="n">
        <f aca="false">AT2966*$M2966</f>
        <v>0</v>
      </c>
      <c r="AV2966" s="28"/>
      <c r="AW2966" s="28" t="n">
        <f aca="false">AV2966*$M2966</f>
        <v>0</v>
      </c>
      <c r="AX2966" s="28"/>
      <c r="AY2966" s="28" t="n">
        <f aca="false">AX2966*$M2966</f>
        <v>0</v>
      </c>
      <c r="AZ2966" s="30" t="n">
        <f aca="false">73942/100</f>
        <v>739.42</v>
      </c>
      <c r="BA2966" s="11" t="n">
        <v>81336</v>
      </c>
      <c r="BB2966" s="31" t="n">
        <f aca="false">SUM(Q2966,S2966,U2966,W2966,Y2966,AA2966,AC2966,AE2966,AG2966,AI2966,AK2966,AM2966,AO2966,AQ2966,AS2966,AU2966,AW2966,AY2966)</f>
        <v>81336</v>
      </c>
      <c r="BC2966" s="28" t="n">
        <f aca="false">BA2966-BB2966</f>
        <v>0</v>
      </c>
      <c r="BD2966" s="32" t="n">
        <f aca="false">SUM(P2966,R2966,T2966,V2966,X2966,Z2966,AB2966,AD2966,AF2966,AH2966,AJ2966,AL2966,AN2966,AP2966,AR2966,AT2966,AV2966,AX2966)</f>
        <v>739.42</v>
      </c>
      <c r="BE2966" s="33" t="n">
        <f aca="false">AZ2966-BD2966</f>
        <v>0</v>
      </c>
      <c r="BF2966" s="34" t="n">
        <f aca="false">BD2966*M2966</f>
        <v>81336.2</v>
      </c>
      <c r="BG2966" s="35" t="n">
        <f aca="false">BA2966-BF2966</f>
        <v>-0.19999999999709</v>
      </c>
      <c r="BH2966" s="19" t="str">
        <f aca="false">IF(BG2966=0,"",IF(BG2966&lt;&gt;BA2966,"erreur de calcul",IF(BD2966&lt;&gt;0,"pas de prix",IF(M2966&lt;&gt; 0,"pas de quantité","pas de prix, ni de quantité"))))</f>
        <v>erreur de calcul</v>
      </c>
      <c r="BI2966" s="19"/>
    </row>
    <row r="2967" customFormat="false" ht="15" hidden="false" customHeight="false" outlineLevel="0" collapsed="false">
      <c r="A2967" s="0" t="n">
        <v>32</v>
      </c>
      <c r="B2967" s="8" t="s">
        <v>24</v>
      </c>
      <c r="C2967" s="9" t="s">
        <v>25</v>
      </c>
      <c r="D2967" s="9" t="s">
        <v>26</v>
      </c>
      <c r="E2967" s="10" t="n">
        <v>1789</v>
      </c>
      <c r="F2967" s="9" t="s">
        <v>27</v>
      </c>
      <c r="G2967" s="9" t="s">
        <v>27</v>
      </c>
      <c r="H2967" s="11" t="n">
        <v>22</v>
      </c>
      <c r="I2967" s="11" t="s">
        <v>235</v>
      </c>
      <c r="J2967" s="14" t="n">
        <v>60</v>
      </c>
      <c r="K2967" s="14"/>
      <c r="L2967" s="16"/>
      <c r="M2967" s="27" t="n">
        <f aca="false">J2967+(K2967/20)+(L2967/240)</f>
        <v>60</v>
      </c>
      <c r="N2967" s="17" t="s">
        <v>64</v>
      </c>
      <c r="O2967" s="11"/>
      <c r="P2967" s="28"/>
      <c r="Q2967" s="28" t="n">
        <f aca="false">P2967*$M2967</f>
        <v>0</v>
      </c>
      <c r="R2967" s="28"/>
      <c r="S2967" s="28" t="n">
        <f aca="false">R2967*$M2967</f>
        <v>0</v>
      </c>
      <c r="T2967" s="28"/>
      <c r="U2967" s="28" t="n">
        <f aca="false">T2967*$M2967</f>
        <v>0</v>
      </c>
      <c r="V2967" s="28" t="n">
        <f aca="false">232/100</f>
        <v>2.32</v>
      </c>
      <c r="W2967" s="28" t="n">
        <v>139</v>
      </c>
      <c r="X2967" s="28" t="n">
        <f aca="false">5603/100</f>
        <v>56.03</v>
      </c>
      <c r="Y2967" s="28" t="n">
        <v>3362</v>
      </c>
      <c r="Z2967" s="28"/>
      <c r="AA2967" s="28" t="n">
        <f aca="false">Z2967*$M2967</f>
        <v>0</v>
      </c>
      <c r="AB2967" s="28" t="n">
        <f aca="false">1410/100</f>
        <v>14.1</v>
      </c>
      <c r="AC2967" s="28" t="n">
        <v>846</v>
      </c>
      <c r="AD2967" s="28"/>
      <c r="AE2967" s="28" t="n">
        <f aca="false">AD2967*$M2967</f>
        <v>0</v>
      </c>
      <c r="AF2967" s="28" t="n">
        <f aca="false">162899/100</f>
        <v>1628.99</v>
      </c>
      <c r="AG2967" s="28" t="n">
        <v>97739</v>
      </c>
      <c r="AH2967" s="28" t="n">
        <f aca="false">6506/100</f>
        <v>65.06</v>
      </c>
      <c r="AI2967" s="28" t="n">
        <v>3904</v>
      </c>
      <c r="AJ2967" s="28"/>
      <c r="AK2967" s="28" t="n">
        <f aca="false">AJ2967*$M2967</f>
        <v>0</v>
      </c>
      <c r="AL2967" s="28"/>
      <c r="AM2967" s="28" t="n">
        <f aca="false">AL2967*$M2967</f>
        <v>0</v>
      </c>
      <c r="AN2967" s="28"/>
      <c r="AO2967" s="28" t="n">
        <f aca="false">AN2967*$M2967</f>
        <v>0</v>
      </c>
      <c r="AP2967" s="28"/>
      <c r="AQ2967" s="28" t="n">
        <f aca="false">AP2967*$M2967</f>
        <v>0</v>
      </c>
      <c r="AR2967" s="28"/>
      <c r="AS2967" s="28" t="n">
        <f aca="false">AR2967*$M2967</f>
        <v>0</v>
      </c>
      <c r="AT2967" s="28"/>
      <c r="AU2967" s="28" t="n">
        <f aca="false">AT2967*$M2967</f>
        <v>0</v>
      </c>
      <c r="AV2967" s="28"/>
      <c r="AW2967" s="28" t="n">
        <f aca="false">AV2967*$M2967</f>
        <v>0</v>
      </c>
      <c r="AX2967" s="28"/>
      <c r="AY2967" s="28" t="n">
        <f aca="false">AX2967*$M2967</f>
        <v>0</v>
      </c>
      <c r="AZ2967" s="30" t="n">
        <f aca="false">176650/100</f>
        <v>1766.5</v>
      </c>
      <c r="BA2967" s="11" t="n">
        <v>105990</v>
      </c>
      <c r="BB2967" s="31" t="n">
        <f aca="false">SUM(Q2967,S2967,U2967,W2967,Y2967,AA2967,AC2967,AE2967,AG2967,AI2967,AK2967,AM2967,AO2967,AQ2967,AS2967,AU2967,AW2967,AY2967)</f>
        <v>105990</v>
      </c>
      <c r="BC2967" s="28" t="n">
        <f aca="false">BA2967-BB2967</f>
        <v>0</v>
      </c>
      <c r="BD2967" s="32" t="n">
        <f aca="false">SUM(P2967,R2967,T2967,V2967,X2967,Z2967,AB2967,AD2967,AF2967,AH2967,AJ2967,AL2967,AN2967,AP2967,AR2967,AT2967,AV2967,AX2967)</f>
        <v>1766.5</v>
      </c>
      <c r="BE2967" s="33" t="n">
        <f aca="false">AZ2967-BD2967</f>
        <v>0</v>
      </c>
      <c r="BF2967" s="34" t="n">
        <f aca="false">BD2967*M2967</f>
        <v>105990</v>
      </c>
      <c r="BG2967" s="35" t="n">
        <f aca="false">BA2967-BF2967</f>
        <v>0</v>
      </c>
      <c r="BH2967" s="19" t="str">
        <f aca="false">IF(BG2967=0,"",IF(BG2967&lt;&gt;BA2967,"erreur de calcul",IF(BD2967&lt;&gt;0,"pas de prix",IF(M2967&lt;&gt; 0,"pas de quantité","pas de prix, ni de quantité"))))</f>
        <v/>
      </c>
      <c r="BI2967" s="19"/>
    </row>
    <row r="2968" customFormat="false" ht="15" hidden="false" customHeight="false" outlineLevel="0" collapsed="false">
      <c r="A2968" s="0" t="n">
        <v>33</v>
      </c>
      <c r="B2968" s="8" t="s">
        <v>24</v>
      </c>
      <c r="C2968" s="9" t="s">
        <v>25</v>
      </c>
      <c r="D2968" s="9" t="s">
        <v>26</v>
      </c>
      <c r="E2968" s="10" t="n">
        <v>1789</v>
      </c>
      <c r="F2968" s="9" t="s">
        <v>27</v>
      </c>
      <c r="G2968" s="9" t="s">
        <v>27</v>
      </c>
      <c r="H2968" s="11" t="n">
        <v>22</v>
      </c>
      <c r="I2968" s="11" t="s">
        <v>236</v>
      </c>
      <c r="J2968" s="14" t="n">
        <v>710</v>
      </c>
      <c r="K2968" s="14"/>
      <c r="L2968" s="16"/>
      <c r="M2968" s="27" t="n">
        <f aca="false">J2968+(K2968/20)+(L2968/240)</f>
        <v>710</v>
      </c>
      <c r="N2968" s="17" t="s">
        <v>64</v>
      </c>
      <c r="O2968" s="11"/>
      <c r="P2968" s="28"/>
      <c r="Q2968" s="28" t="n">
        <f aca="false">P2968*$M2968</f>
        <v>0</v>
      </c>
      <c r="R2968" s="28"/>
      <c r="S2968" s="28" t="n">
        <f aca="false">R2968*$M2968</f>
        <v>0</v>
      </c>
      <c r="T2968" s="28" t="n">
        <f aca="false">108/100</f>
        <v>1.08</v>
      </c>
      <c r="U2968" s="28" t="n">
        <v>767</v>
      </c>
      <c r="V2968" s="28" t="n">
        <f aca="false">1190/100</f>
        <v>11.9</v>
      </c>
      <c r="W2968" s="28" t="n">
        <v>8449</v>
      </c>
      <c r="X2968" s="28" t="n">
        <f aca="false">487/100</f>
        <v>4.87</v>
      </c>
      <c r="Y2968" s="28" t="n">
        <v>3458</v>
      </c>
      <c r="Z2968" s="28"/>
      <c r="AA2968" s="28" t="n">
        <f aca="false">Z2968*$M2968</f>
        <v>0</v>
      </c>
      <c r="AB2968" s="28" t="n">
        <f aca="false">9170/100</f>
        <v>91.7</v>
      </c>
      <c r="AC2968" s="28" t="n">
        <v>65107</v>
      </c>
      <c r="AD2968" s="28" t="n">
        <f aca="false">531/100</f>
        <v>5.31</v>
      </c>
      <c r="AE2968" s="28" t="n">
        <v>3770</v>
      </c>
      <c r="AF2968" s="28"/>
      <c r="AG2968" s="28" t="n">
        <f aca="false">AF2968*$M2968</f>
        <v>0</v>
      </c>
      <c r="AH2968" s="28"/>
      <c r="AI2968" s="28" t="n">
        <f aca="false">AH2968*$M2968</f>
        <v>0</v>
      </c>
      <c r="AJ2968" s="28"/>
      <c r="AK2968" s="28" t="n">
        <f aca="false">AJ2968*$M2968</f>
        <v>0</v>
      </c>
      <c r="AL2968" s="28"/>
      <c r="AM2968" s="28" t="n">
        <f aca="false">AL2968*$M2968</f>
        <v>0</v>
      </c>
      <c r="AN2968" s="28"/>
      <c r="AO2968" s="28" t="n">
        <f aca="false">AN2968*$M2968</f>
        <v>0</v>
      </c>
      <c r="AP2968" s="28"/>
      <c r="AQ2968" s="28" t="n">
        <f aca="false">AP2968*$M2968</f>
        <v>0</v>
      </c>
      <c r="AR2968" s="28"/>
      <c r="AS2968" s="28" t="n">
        <f aca="false">AR2968*$M2968</f>
        <v>0</v>
      </c>
      <c r="AT2968" s="28"/>
      <c r="AU2968" s="28" t="n">
        <f aca="false">AT2968*$M2968</f>
        <v>0</v>
      </c>
      <c r="AV2968" s="28"/>
      <c r="AW2968" s="28" t="n">
        <f aca="false">AV2968*$M2968</f>
        <v>0</v>
      </c>
      <c r="AX2968" s="28"/>
      <c r="AY2968" s="28" t="n">
        <f aca="false">AX2968*$M2968</f>
        <v>0</v>
      </c>
      <c r="AZ2968" s="30" t="n">
        <f aca="false">11486/100</f>
        <v>114.86</v>
      </c>
      <c r="BA2968" s="11" t="n">
        <v>81551</v>
      </c>
      <c r="BB2968" s="31" t="n">
        <f aca="false">SUM(Q2968,S2968,U2968,W2968,Y2968,AA2968,AC2968,AE2968,AG2968,AI2968,AK2968,AM2968,AO2968,AQ2968,AS2968,AU2968,AW2968,AY2968)</f>
        <v>81551</v>
      </c>
      <c r="BC2968" s="28" t="n">
        <f aca="false">BA2968-BB2968</f>
        <v>0</v>
      </c>
      <c r="BD2968" s="32" t="n">
        <f aca="false">SUM(P2968,R2968,T2968,V2968,X2968,Z2968,AB2968,AD2968,AF2968,AH2968,AJ2968,AL2968,AN2968,AP2968,AR2968,AT2968,AV2968,AX2968)</f>
        <v>114.86</v>
      </c>
      <c r="BE2968" s="33" t="n">
        <f aca="false">AZ2968-BD2968</f>
        <v>0</v>
      </c>
      <c r="BF2968" s="34" t="n">
        <f aca="false">BD2968*M2968</f>
        <v>81550.6</v>
      </c>
      <c r="BG2968" s="35" t="n">
        <f aca="false">BA2968-BF2968</f>
        <v>0.399999999994179</v>
      </c>
      <c r="BH2968" s="19" t="str">
        <f aca="false">IF(BG2968=0,"",IF(BG2968&lt;&gt;BA2968,"erreur de calcul",IF(BD2968&lt;&gt;0,"pas de prix",IF(M2968&lt;&gt; 0,"pas de quantité","pas de prix, ni de quantité"))))</f>
        <v>erreur de calcul</v>
      </c>
      <c r="BI2968" s="19"/>
    </row>
    <row r="2969" customFormat="false" ht="15" hidden="false" customHeight="false" outlineLevel="0" collapsed="false">
      <c r="A2969" s="0" t="n">
        <v>34</v>
      </c>
      <c r="B2969" s="8" t="s">
        <v>24</v>
      </c>
      <c r="C2969" s="9" t="s">
        <v>25</v>
      </c>
      <c r="D2969" s="9" t="s">
        <v>26</v>
      </c>
      <c r="E2969" s="10" t="n">
        <v>1789</v>
      </c>
      <c r="F2969" s="9" t="s">
        <v>27</v>
      </c>
      <c r="G2969" s="9" t="s">
        <v>27</v>
      </c>
      <c r="H2969" s="11" t="n">
        <v>22</v>
      </c>
      <c r="I2969" s="11" t="s">
        <v>237</v>
      </c>
      <c r="J2969" s="14" t="n">
        <v>91</v>
      </c>
      <c r="K2969" s="14"/>
      <c r="L2969" s="16"/>
      <c r="M2969" s="27" t="n">
        <f aca="false">J2969+(K2969/20)+(L2969/240)</f>
        <v>91</v>
      </c>
      <c r="N2969" s="17" t="s">
        <v>64</v>
      </c>
      <c r="O2969" s="11"/>
      <c r="P2969" s="28"/>
      <c r="Q2969" s="28" t="n">
        <f aca="false">P2969*$M2969</f>
        <v>0</v>
      </c>
      <c r="R2969" s="28"/>
      <c r="S2969" s="28" t="n">
        <f aca="false">R2969*$M2969</f>
        <v>0</v>
      </c>
      <c r="T2969" s="28"/>
      <c r="U2969" s="28" t="n">
        <f aca="false">T2969*$M2969</f>
        <v>0</v>
      </c>
      <c r="V2969" s="28" t="n">
        <f aca="false">3384/100</f>
        <v>33.84</v>
      </c>
      <c r="W2969" s="28" t="n">
        <v>3079</v>
      </c>
      <c r="X2969" s="28" t="n">
        <f aca="false">18105/100</f>
        <v>181.05</v>
      </c>
      <c r="Y2969" s="28" t="n">
        <v>16475</v>
      </c>
      <c r="Z2969" s="28"/>
      <c r="AA2969" s="28" t="n">
        <f aca="false">Z2969*$M2969</f>
        <v>0</v>
      </c>
      <c r="AB2969" s="28"/>
      <c r="AC2969" s="28" t="n">
        <f aca="false">AB2969*$M2969</f>
        <v>0</v>
      </c>
      <c r="AD2969" s="28"/>
      <c r="AE2969" s="28" t="n">
        <f aca="false">AD2969*$M2969</f>
        <v>0</v>
      </c>
      <c r="AF2969" s="28"/>
      <c r="AG2969" s="28" t="n">
        <f aca="false">AF2969*$M2969</f>
        <v>0</v>
      </c>
      <c r="AH2969" s="28"/>
      <c r="AI2969" s="28" t="n">
        <f aca="false">AH2969*$M2969</f>
        <v>0</v>
      </c>
      <c r="AJ2969" s="28"/>
      <c r="AK2969" s="28" t="n">
        <f aca="false">AJ2969*$M2969</f>
        <v>0</v>
      </c>
      <c r="AL2969" s="28"/>
      <c r="AM2969" s="28" t="n">
        <f aca="false">AL2969*$M2969</f>
        <v>0</v>
      </c>
      <c r="AN2969" s="28"/>
      <c r="AO2969" s="28" t="n">
        <f aca="false">AN2969*$M2969</f>
        <v>0</v>
      </c>
      <c r="AP2969" s="28"/>
      <c r="AQ2969" s="28" t="n">
        <f aca="false">AP2969*$M2969</f>
        <v>0</v>
      </c>
      <c r="AR2969" s="28"/>
      <c r="AS2969" s="28" t="n">
        <f aca="false">AR2969*$M2969</f>
        <v>0</v>
      </c>
      <c r="AT2969" s="28"/>
      <c r="AU2969" s="28" t="n">
        <f aca="false">AT2969*$M2969</f>
        <v>0</v>
      </c>
      <c r="AV2969" s="28"/>
      <c r="AW2969" s="28" t="n">
        <f aca="false">AV2969*$M2969</f>
        <v>0</v>
      </c>
      <c r="AX2969" s="28"/>
      <c r="AY2969" s="28" t="n">
        <f aca="false">AX2969*$M2969</f>
        <v>0</v>
      </c>
      <c r="AZ2969" s="30" t="n">
        <f aca="false">21489/100</f>
        <v>214.89</v>
      </c>
      <c r="BA2969" s="11" t="n">
        <v>19554</v>
      </c>
      <c r="BB2969" s="31" t="n">
        <f aca="false">SUM(Q2969,S2969,U2969,W2969,Y2969,AA2969,AC2969,AE2969,AG2969,AI2969,AK2969,AM2969,AO2969,AQ2969,AS2969,AU2969,AW2969,AY2969)</f>
        <v>19554</v>
      </c>
      <c r="BC2969" s="28" t="n">
        <f aca="false">BA2969-BB2969</f>
        <v>0</v>
      </c>
      <c r="BD2969" s="32" t="n">
        <f aca="false">SUM(P2969,R2969,T2969,V2969,X2969,Z2969,AB2969,AD2969,AF2969,AH2969,AJ2969,AL2969,AN2969,AP2969,AR2969,AT2969,AV2969,AX2969)</f>
        <v>214.89</v>
      </c>
      <c r="BE2969" s="33" t="n">
        <f aca="false">AZ2969-BD2969</f>
        <v>0</v>
      </c>
      <c r="BF2969" s="34" t="n">
        <f aca="false">BD2969*M2969</f>
        <v>19554.99</v>
      </c>
      <c r="BG2969" s="35" t="n">
        <f aca="false">BA2969-BF2969</f>
        <v>-0.990000000001601</v>
      </c>
      <c r="BH2969" s="19" t="str">
        <f aca="false">IF(BG2969=0,"",IF(BG2969&lt;&gt;BA2969,"erreur de calcul",IF(BD2969&lt;&gt;0,"pas de prix",IF(M2969&lt;&gt; 0,"pas de quantité","pas de prix, ni de quantité"))))</f>
        <v>erreur de calcul</v>
      </c>
      <c r="BI2969" s="19"/>
    </row>
    <row r="2970" customFormat="false" ht="15" hidden="false" customHeight="false" outlineLevel="0" collapsed="false">
      <c r="A2970" s="0" t="n">
        <v>35</v>
      </c>
      <c r="B2970" s="8" t="s">
        <v>24</v>
      </c>
      <c r="C2970" s="9" t="s">
        <v>25</v>
      </c>
      <c r="D2970" s="9" t="s">
        <v>26</v>
      </c>
      <c r="E2970" s="10" t="n">
        <v>1789</v>
      </c>
      <c r="F2970" s="9" t="s">
        <v>27</v>
      </c>
      <c r="G2970" s="9" t="s">
        <v>27</v>
      </c>
      <c r="H2970" s="11" t="n">
        <v>22</v>
      </c>
      <c r="I2970" s="11" t="s">
        <v>238</v>
      </c>
      <c r="J2970" s="14" t="n">
        <v>40</v>
      </c>
      <c r="K2970" s="14"/>
      <c r="L2970" s="16"/>
      <c r="M2970" s="27" t="n">
        <f aca="false">J2970+(K2970/20)+(L2970/240)</f>
        <v>40</v>
      </c>
      <c r="N2970" s="17" t="s">
        <v>66</v>
      </c>
      <c r="O2970" s="11"/>
      <c r="P2970" s="28" t="n">
        <v>150</v>
      </c>
      <c r="Q2970" s="28" t="n">
        <v>6000</v>
      </c>
      <c r="R2970" s="28"/>
      <c r="S2970" s="28" t="n">
        <f aca="false">R2970*$M2970</f>
        <v>0</v>
      </c>
      <c r="T2970" s="28" t="n">
        <v>467</v>
      </c>
      <c r="U2970" s="28" t="n">
        <v>18680</v>
      </c>
      <c r="V2970" s="28" t="n">
        <v>1124</v>
      </c>
      <c r="W2970" s="28" t="n">
        <v>44960</v>
      </c>
      <c r="X2970" s="28" t="n">
        <v>591</v>
      </c>
      <c r="Y2970" s="28" t="n">
        <v>23640</v>
      </c>
      <c r="Z2970" s="28"/>
      <c r="AA2970" s="28" t="n">
        <f aca="false">Z2970*$M2970</f>
        <v>0</v>
      </c>
      <c r="AB2970" s="28" t="n">
        <v>554</v>
      </c>
      <c r="AC2970" s="28" t="n">
        <v>22160</v>
      </c>
      <c r="AD2970" s="28"/>
      <c r="AE2970" s="28" t="n">
        <f aca="false">AD2970*$M2970</f>
        <v>0</v>
      </c>
      <c r="AF2970" s="28"/>
      <c r="AG2970" s="28" t="n">
        <f aca="false">AF2970*$M2970</f>
        <v>0</v>
      </c>
      <c r="AH2970" s="28" t="n">
        <v>1109</v>
      </c>
      <c r="AI2970" s="28" t="n">
        <v>44360</v>
      </c>
      <c r="AJ2970" s="28"/>
      <c r="AK2970" s="28" t="n">
        <f aca="false">AJ2970*$M2970</f>
        <v>0</v>
      </c>
      <c r="AL2970" s="28"/>
      <c r="AM2970" s="28" t="n">
        <f aca="false">AL2970*$M2970</f>
        <v>0</v>
      </c>
      <c r="AN2970" s="28"/>
      <c r="AO2970" s="28" t="n">
        <f aca="false">AN2970*$M2970</f>
        <v>0</v>
      </c>
      <c r="AP2970" s="28"/>
      <c r="AQ2970" s="28" t="n">
        <f aca="false">AP2970*$M2970</f>
        <v>0</v>
      </c>
      <c r="AR2970" s="28"/>
      <c r="AS2970" s="28" t="n">
        <f aca="false">AR2970*$M2970</f>
        <v>0</v>
      </c>
      <c r="AT2970" s="28"/>
      <c r="AU2970" s="28" t="n">
        <f aca="false">AT2970*$M2970</f>
        <v>0</v>
      </c>
      <c r="AV2970" s="28"/>
      <c r="AW2970" s="28" t="n">
        <f aca="false">AV2970*$M2970</f>
        <v>0</v>
      </c>
      <c r="AX2970" s="28"/>
      <c r="AY2970" s="28" t="n">
        <f aca="false">AX2970*$M2970</f>
        <v>0</v>
      </c>
      <c r="AZ2970" s="30" t="n">
        <v>3995</v>
      </c>
      <c r="BA2970" s="11" t="n">
        <v>159800</v>
      </c>
      <c r="BB2970" s="31" t="n">
        <f aca="false">SUM(Q2970,S2970,U2970,W2970,Y2970,AA2970,AC2970,AE2970,AG2970,AI2970,AK2970,AM2970,AO2970,AQ2970,AS2970,AU2970,AW2970,AY2970)</f>
        <v>159800</v>
      </c>
      <c r="BC2970" s="28" t="n">
        <f aca="false">BA2970-BB2970</f>
        <v>0</v>
      </c>
      <c r="BD2970" s="32" t="n">
        <f aca="false">SUM(P2970,R2970,T2970,V2970,X2970,Z2970,AB2970,AD2970,AF2970,AH2970,AJ2970,AL2970,AN2970,AP2970,AR2970,AT2970,AV2970,AX2970)</f>
        <v>3995</v>
      </c>
      <c r="BE2970" s="33" t="n">
        <f aca="false">AZ2970-BD2970</f>
        <v>0</v>
      </c>
      <c r="BF2970" s="34" t="n">
        <f aca="false">BD2970*M2970</f>
        <v>159800</v>
      </c>
      <c r="BG2970" s="35" t="n">
        <f aca="false">BA2970-BF2970</f>
        <v>0</v>
      </c>
      <c r="BH2970" s="19" t="str">
        <f aca="false">IF(BG2970=0,"",IF(BG2970&lt;&gt;BA2970,"erreur de calcul",IF(BD2970&lt;&gt;0,"pas de prix",IF(M2970&lt;&gt; 0,"pas de quantité","pas de prix, ni de quantité"))))</f>
        <v/>
      </c>
      <c r="BI2970" s="19"/>
    </row>
    <row r="2971" customFormat="false" ht="15" hidden="false" customHeight="false" outlineLevel="0" collapsed="false">
      <c r="A2971" s="0" t="n">
        <v>36</v>
      </c>
      <c r="B2971" s="8" t="s">
        <v>24</v>
      </c>
      <c r="C2971" s="9" t="s">
        <v>25</v>
      </c>
      <c r="D2971" s="9" t="s">
        <v>26</v>
      </c>
      <c r="E2971" s="10" t="n">
        <v>1789</v>
      </c>
      <c r="F2971" s="9" t="s">
        <v>27</v>
      </c>
      <c r="G2971" s="9" t="s">
        <v>27</v>
      </c>
      <c r="H2971" s="11" t="n">
        <v>22</v>
      </c>
      <c r="I2971" s="11" t="s">
        <v>239</v>
      </c>
      <c r="J2971" s="14" t="n">
        <v>48</v>
      </c>
      <c r="K2971" s="14"/>
      <c r="L2971" s="16"/>
      <c r="M2971" s="27" t="n">
        <f aca="false">J2971+(K2971/20)+(L2971/240)</f>
        <v>48</v>
      </c>
      <c r="N2971" s="17" t="s">
        <v>66</v>
      </c>
      <c r="O2971" s="11"/>
      <c r="P2971" s="28"/>
      <c r="Q2971" s="28" t="n">
        <f aca="false">P2971*$M2971</f>
        <v>0</v>
      </c>
      <c r="R2971" s="28"/>
      <c r="S2971" s="28" t="n">
        <f aca="false">R2971*$M2971</f>
        <v>0</v>
      </c>
      <c r="T2971" s="28" t="n">
        <v>690</v>
      </c>
      <c r="U2971" s="28" t="n">
        <v>33120</v>
      </c>
      <c r="V2971" s="28" t="n">
        <v>3577</v>
      </c>
      <c r="W2971" s="28" t="n">
        <v>171696</v>
      </c>
      <c r="X2971" s="28"/>
      <c r="Y2971" s="28" t="n">
        <f aca="false">X2971*$M2971</f>
        <v>0</v>
      </c>
      <c r="Z2971" s="28"/>
      <c r="AA2971" s="28" t="n">
        <f aca="false">Z2971*$M2971</f>
        <v>0</v>
      </c>
      <c r="AB2971" s="28"/>
      <c r="AC2971" s="28" t="n">
        <f aca="false">AB2971*$M2971</f>
        <v>0</v>
      </c>
      <c r="AD2971" s="28"/>
      <c r="AE2971" s="28" t="n">
        <f aca="false">AD2971*$M2971</f>
        <v>0</v>
      </c>
      <c r="AF2971" s="28"/>
      <c r="AG2971" s="28" t="n">
        <f aca="false">AF2971*$M2971</f>
        <v>0</v>
      </c>
      <c r="AH2971" s="28"/>
      <c r="AI2971" s="28" t="n">
        <f aca="false">AH2971*$M2971</f>
        <v>0</v>
      </c>
      <c r="AJ2971" s="28"/>
      <c r="AK2971" s="28" t="n">
        <f aca="false">AJ2971*$M2971</f>
        <v>0</v>
      </c>
      <c r="AL2971" s="28"/>
      <c r="AM2971" s="28" t="n">
        <f aca="false">AL2971*$M2971</f>
        <v>0</v>
      </c>
      <c r="AN2971" s="28"/>
      <c r="AO2971" s="28" t="n">
        <f aca="false">AN2971*$M2971</f>
        <v>0</v>
      </c>
      <c r="AP2971" s="28"/>
      <c r="AQ2971" s="28" t="n">
        <f aca="false">AP2971*$M2971</f>
        <v>0</v>
      </c>
      <c r="AR2971" s="28"/>
      <c r="AS2971" s="28" t="n">
        <f aca="false">AR2971*$M2971</f>
        <v>0</v>
      </c>
      <c r="AT2971" s="28"/>
      <c r="AU2971" s="28" t="n">
        <f aca="false">AT2971*$M2971</f>
        <v>0</v>
      </c>
      <c r="AV2971" s="28"/>
      <c r="AW2971" s="28" t="n">
        <f aca="false">AV2971*$M2971</f>
        <v>0</v>
      </c>
      <c r="AX2971" s="28"/>
      <c r="AY2971" s="28" t="n">
        <f aca="false">AX2971*$M2971</f>
        <v>0</v>
      </c>
      <c r="AZ2971" s="30" t="n">
        <v>4267</v>
      </c>
      <c r="BA2971" s="11" t="n">
        <v>204816</v>
      </c>
      <c r="BB2971" s="31" t="n">
        <f aca="false">SUM(Q2971,S2971,U2971,W2971,Y2971,AA2971,AC2971,AE2971,AG2971,AI2971,AK2971,AM2971,AO2971,AQ2971,AS2971,AU2971,AW2971,AY2971)</f>
        <v>204816</v>
      </c>
      <c r="BC2971" s="28" t="n">
        <f aca="false">BA2971-BB2971</f>
        <v>0</v>
      </c>
      <c r="BD2971" s="32" t="n">
        <f aca="false">SUM(P2971,R2971,T2971,V2971,X2971,Z2971,AB2971,AD2971,AF2971,AH2971,AJ2971,AL2971,AN2971,AP2971,AR2971,AT2971,AV2971,AX2971)</f>
        <v>4267</v>
      </c>
      <c r="BE2971" s="33" t="n">
        <f aca="false">AZ2971-BD2971</f>
        <v>0</v>
      </c>
      <c r="BF2971" s="34" t="n">
        <f aca="false">BD2971*M2971</f>
        <v>204816</v>
      </c>
      <c r="BG2971" s="35" t="n">
        <f aca="false">BA2971-BF2971</f>
        <v>0</v>
      </c>
      <c r="BH2971" s="19" t="str">
        <f aca="false">IF(BG2971=0,"",IF(BG2971&lt;&gt;BA2971,"erreur de calcul",IF(BD2971&lt;&gt;0,"pas de prix",IF(M2971&lt;&gt; 0,"pas de quantité","pas de prix, ni de quantité"))))</f>
        <v/>
      </c>
      <c r="BI2971" s="19"/>
    </row>
    <row r="2972" customFormat="false" ht="15" hidden="false" customHeight="false" outlineLevel="0" collapsed="false">
      <c r="A2972" s="0" t="n">
        <v>37</v>
      </c>
      <c r="B2972" s="8" t="s">
        <v>24</v>
      </c>
      <c r="C2972" s="9" t="s">
        <v>25</v>
      </c>
      <c r="D2972" s="9" t="s">
        <v>26</v>
      </c>
      <c r="E2972" s="10" t="n">
        <v>1789</v>
      </c>
      <c r="F2972" s="9" t="s">
        <v>27</v>
      </c>
      <c r="G2972" s="9" t="s">
        <v>27</v>
      </c>
      <c r="H2972" s="11" t="n">
        <v>22</v>
      </c>
      <c r="I2972" s="11" t="s">
        <v>240</v>
      </c>
      <c r="J2972" s="14" t="n">
        <v>30</v>
      </c>
      <c r="K2972" s="14"/>
      <c r="L2972" s="16"/>
      <c r="M2972" s="27" t="n">
        <f aca="false">J2972+(K2972/20)+(L2972/240)</f>
        <v>30</v>
      </c>
      <c r="N2972" s="17" t="s">
        <v>66</v>
      </c>
      <c r="O2972" s="11"/>
      <c r="P2972" s="28"/>
      <c r="Q2972" s="28" t="n">
        <f aca="false">P2972*$M2972</f>
        <v>0</v>
      </c>
      <c r="R2972" s="28"/>
      <c r="S2972" s="28" t="n">
        <f aca="false">R2972*$M2972</f>
        <v>0</v>
      </c>
      <c r="T2972" s="28"/>
      <c r="U2972" s="28" t="n">
        <f aca="false">T2972*$M2972</f>
        <v>0</v>
      </c>
      <c r="V2972" s="28"/>
      <c r="W2972" s="28" t="n">
        <f aca="false">V2972*$M2972</f>
        <v>0</v>
      </c>
      <c r="X2972" s="28"/>
      <c r="Y2972" s="28" t="n">
        <f aca="false">X2972*$M2972</f>
        <v>0</v>
      </c>
      <c r="Z2972" s="28"/>
      <c r="AA2972" s="28" t="n">
        <f aca="false">Z2972*$M2972</f>
        <v>0</v>
      </c>
      <c r="AB2972" s="28"/>
      <c r="AC2972" s="28" t="n">
        <f aca="false">AB2972*$M2972</f>
        <v>0</v>
      </c>
      <c r="AD2972" s="28"/>
      <c r="AE2972" s="28" t="n">
        <f aca="false">AD2972*$M2972</f>
        <v>0</v>
      </c>
      <c r="AF2972" s="28"/>
      <c r="AG2972" s="28" t="n">
        <f aca="false">AF2972*$M2972</f>
        <v>0</v>
      </c>
      <c r="AH2972" s="28" t="n">
        <v>4770</v>
      </c>
      <c r="AI2972" s="28" t="n">
        <v>143100</v>
      </c>
      <c r="AJ2972" s="28"/>
      <c r="AK2972" s="28" t="n">
        <f aca="false">AJ2972*$M2972</f>
        <v>0</v>
      </c>
      <c r="AL2972" s="28"/>
      <c r="AM2972" s="28" t="n">
        <f aca="false">AL2972*$M2972</f>
        <v>0</v>
      </c>
      <c r="AN2972" s="28"/>
      <c r="AO2972" s="28" t="n">
        <f aca="false">AN2972*$M2972</f>
        <v>0</v>
      </c>
      <c r="AP2972" s="28"/>
      <c r="AQ2972" s="28" t="n">
        <f aca="false">AP2972*$M2972</f>
        <v>0</v>
      </c>
      <c r="AR2972" s="28"/>
      <c r="AS2972" s="28" t="n">
        <f aca="false">AR2972*$M2972</f>
        <v>0</v>
      </c>
      <c r="AT2972" s="28"/>
      <c r="AU2972" s="28" t="n">
        <f aca="false">AT2972*$M2972</f>
        <v>0</v>
      </c>
      <c r="AV2972" s="28"/>
      <c r="AW2972" s="28" t="n">
        <f aca="false">AV2972*$M2972</f>
        <v>0</v>
      </c>
      <c r="AX2972" s="28"/>
      <c r="AY2972" s="28" t="n">
        <f aca="false">AX2972*$M2972</f>
        <v>0</v>
      </c>
      <c r="AZ2972" s="30" t="n">
        <v>4770</v>
      </c>
      <c r="BA2972" s="11" t="n">
        <v>143100</v>
      </c>
      <c r="BB2972" s="31" t="n">
        <f aca="false">SUM(Q2972,S2972,U2972,W2972,Y2972,AA2972,AC2972,AE2972,AG2972,AI2972,AK2972,AM2972,AO2972,AQ2972,AS2972,AU2972,AW2972,AY2972)</f>
        <v>143100</v>
      </c>
      <c r="BC2972" s="28" t="n">
        <f aca="false">BA2972-BB2972</f>
        <v>0</v>
      </c>
      <c r="BD2972" s="32" t="n">
        <f aca="false">SUM(P2972,R2972,T2972,V2972,X2972,Z2972,AB2972,AD2972,AF2972,AH2972,AJ2972,AL2972,AN2972,AP2972,AR2972,AT2972,AV2972,AX2972)</f>
        <v>4770</v>
      </c>
      <c r="BE2972" s="33" t="n">
        <f aca="false">AZ2972-BD2972</f>
        <v>0</v>
      </c>
      <c r="BF2972" s="34" t="n">
        <f aca="false">BD2972*M2972</f>
        <v>143100</v>
      </c>
      <c r="BG2972" s="35" t="n">
        <f aca="false">BA2972-BF2972</f>
        <v>0</v>
      </c>
      <c r="BH2972" s="19" t="str">
        <f aca="false">IF(BG2972=0,"",IF(BG2972&lt;&gt;BA2972,"erreur de calcul",IF(BD2972&lt;&gt;0,"pas de prix",IF(M2972&lt;&gt; 0,"pas de quantité","pas de prix, ni de quantité"))))</f>
        <v/>
      </c>
      <c r="BI2972" s="19"/>
    </row>
    <row r="2973" customFormat="false" ht="15" hidden="false" customHeight="false" outlineLevel="0" collapsed="false">
      <c r="A2973" s="0" t="n">
        <v>38</v>
      </c>
      <c r="B2973" s="8" t="s">
        <v>24</v>
      </c>
      <c r="C2973" s="9" t="s">
        <v>25</v>
      </c>
      <c r="D2973" s="9" t="s">
        <v>26</v>
      </c>
      <c r="E2973" s="10" t="n">
        <v>1789</v>
      </c>
      <c r="F2973" s="9" t="s">
        <v>27</v>
      </c>
      <c r="G2973" s="9" t="s">
        <v>27</v>
      </c>
      <c r="H2973" s="11" t="n">
        <v>22</v>
      </c>
      <c r="I2973" s="11" t="s">
        <v>241</v>
      </c>
      <c r="J2973" s="14" t="n">
        <v>24</v>
      </c>
      <c r="K2973" s="14"/>
      <c r="L2973" s="16"/>
      <c r="M2973" s="27" t="n">
        <f aca="false">J2973+(K2973/20)+(L2973/240)</f>
        <v>24</v>
      </c>
      <c r="N2973" s="17" t="s">
        <v>64</v>
      </c>
      <c r="O2973" s="11"/>
      <c r="P2973" s="28" t="n">
        <f aca="false">188958/100</f>
        <v>1889.58</v>
      </c>
      <c r="Q2973" s="28" t="n">
        <v>45350</v>
      </c>
      <c r="R2973" s="28"/>
      <c r="S2973" s="28" t="n">
        <f aca="false">R2973*$M2973</f>
        <v>0</v>
      </c>
      <c r="T2973" s="28"/>
      <c r="U2973" s="28" t="n">
        <f aca="false">T2973*$M2973</f>
        <v>0</v>
      </c>
      <c r="V2973" s="28" t="n">
        <f aca="false">10567/100</f>
        <v>105.67</v>
      </c>
      <c r="W2973" s="28" t="n">
        <v>2536</v>
      </c>
      <c r="X2973" s="28" t="n">
        <f aca="false">9467/100</f>
        <v>94.67</v>
      </c>
      <c r="Y2973" s="28" t="n">
        <v>2272</v>
      </c>
      <c r="Z2973" s="28"/>
      <c r="AA2973" s="28" t="n">
        <f aca="false">Z2973*$M2973</f>
        <v>0</v>
      </c>
      <c r="AB2973" s="28"/>
      <c r="AC2973" s="28" t="n">
        <f aca="false">AB2973*$M2973</f>
        <v>0</v>
      </c>
      <c r="AD2973" s="28"/>
      <c r="AE2973" s="28" t="n">
        <f aca="false">AD2973*$M2973</f>
        <v>0</v>
      </c>
      <c r="AF2973" s="28"/>
      <c r="AG2973" s="28" t="n">
        <f aca="false">AF2973*$M2973</f>
        <v>0</v>
      </c>
      <c r="AH2973" s="28"/>
      <c r="AI2973" s="28" t="n">
        <f aca="false">AH2973*$M2973</f>
        <v>0</v>
      </c>
      <c r="AJ2973" s="28"/>
      <c r="AK2973" s="28" t="n">
        <f aca="false">AJ2973*$M2973</f>
        <v>0</v>
      </c>
      <c r="AL2973" s="28"/>
      <c r="AM2973" s="28" t="n">
        <f aca="false">AL2973*$M2973</f>
        <v>0</v>
      </c>
      <c r="AN2973" s="28"/>
      <c r="AO2973" s="28" t="n">
        <f aca="false">AN2973*$M2973</f>
        <v>0</v>
      </c>
      <c r="AP2973" s="28"/>
      <c r="AQ2973" s="28" t="n">
        <f aca="false">AP2973*$M2973</f>
        <v>0</v>
      </c>
      <c r="AR2973" s="28"/>
      <c r="AS2973" s="28" t="n">
        <f aca="false">AR2973*$M2973</f>
        <v>0</v>
      </c>
      <c r="AT2973" s="28"/>
      <c r="AU2973" s="28" t="n">
        <f aca="false">AT2973*$M2973</f>
        <v>0</v>
      </c>
      <c r="AV2973" s="28"/>
      <c r="AW2973" s="28" t="n">
        <f aca="false">AV2973*$M2973</f>
        <v>0</v>
      </c>
      <c r="AX2973" s="28" t="n">
        <f aca="false">328659/100</f>
        <v>3286.59</v>
      </c>
      <c r="AY2973" s="28" t="n">
        <v>78878</v>
      </c>
      <c r="AZ2973" s="30" t="n">
        <f aca="false">537651/100</f>
        <v>5376.51</v>
      </c>
      <c r="BA2973" s="11" t="n">
        <v>129036</v>
      </c>
      <c r="BB2973" s="31" t="n">
        <f aca="false">SUM(Q2973,S2973,U2973,W2973,Y2973,AA2973,AC2973,AE2973,AG2973,AI2973,AK2973,AM2973,AO2973,AQ2973,AS2973,AU2973,AW2973,AY2973)</f>
        <v>129036</v>
      </c>
      <c r="BC2973" s="28" t="n">
        <f aca="false">BA2973-BB2973</f>
        <v>0</v>
      </c>
      <c r="BD2973" s="32" t="n">
        <f aca="false">SUM(P2973,R2973,T2973,V2973,X2973,Z2973,AB2973,AD2973,AF2973,AH2973,AJ2973,AL2973,AN2973,AP2973,AR2973,AT2973,AV2973,AX2973)</f>
        <v>5376.51</v>
      </c>
      <c r="BE2973" s="33" t="n">
        <f aca="false">AZ2973-BD2973</f>
        <v>0</v>
      </c>
      <c r="BF2973" s="34" t="n">
        <f aca="false">BD2973*M2973</f>
        <v>129036.24</v>
      </c>
      <c r="BG2973" s="35" t="n">
        <f aca="false">BA2973-BF2973</f>
        <v>-0.240000000005239</v>
      </c>
      <c r="BH2973" s="19" t="str">
        <f aca="false">IF(BG2973=0,"",IF(BG2973&lt;&gt;BA2973,"erreur de calcul",IF(BD2973&lt;&gt;0,"pas de prix",IF(M2973&lt;&gt; 0,"pas de quantité","pas de prix, ni de quantité"))))</f>
        <v>erreur de calcul</v>
      </c>
      <c r="BI2973" s="19"/>
    </row>
    <row r="2974" customFormat="false" ht="15" hidden="false" customHeight="false" outlineLevel="0" collapsed="false">
      <c r="A2974" s="0" t="n">
        <v>39</v>
      </c>
      <c r="B2974" s="8" t="s">
        <v>24</v>
      </c>
      <c r="C2974" s="9" t="s">
        <v>25</v>
      </c>
      <c r="D2974" s="9" t="s">
        <v>26</v>
      </c>
      <c r="E2974" s="10" t="n">
        <v>1789</v>
      </c>
      <c r="F2974" s="9" t="s">
        <v>27</v>
      </c>
      <c r="G2974" s="9" t="s">
        <v>27</v>
      </c>
      <c r="H2974" s="11" t="n">
        <v>22</v>
      </c>
      <c r="I2974" s="11" t="s">
        <v>242</v>
      </c>
      <c r="J2974" s="14" t="n">
        <v>41</v>
      </c>
      <c r="K2974" s="14"/>
      <c r="L2974" s="16"/>
      <c r="M2974" s="27" t="n">
        <f aca="false">J2974+(K2974/20)+(L2974/240)</f>
        <v>41</v>
      </c>
      <c r="N2974" s="17" t="s">
        <v>64</v>
      </c>
      <c r="O2974" s="11"/>
      <c r="P2974" s="28"/>
      <c r="Q2974" s="28" t="n">
        <f aca="false">P2974*$M2974</f>
        <v>0</v>
      </c>
      <c r="R2974" s="28"/>
      <c r="S2974" s="28" t="n">
        <f aca="false">R2974*$M2974</f>
        <v>0</v>
      </c>
      <c r="T2974" s="28" t="n">
        <f aca="false">441/100</f>
        <v>4.41</v>
      </c>
      <c r="U2974" s="28" t="n">
        <v>181</v>
      </c>
      <c r="V2974" s="28"/>
      <c r="W2974" s="28" t="n">
        <f aca="false">V2974*$M2974</f>
        <v>0</v>
      </c>
      <c r="X2974" s="28"/>
      <c r="Y2974" s="28" t="n">
        <f aca="false">X2974*$M2974</f>
        <v>0</v>
      </c>
      <c r="Z2974" s="28"/>
      <c r="AA2974" s="28" t="n">
        <f aca="false">Z2974*$M2974</f>
        <v>0</v>
      </c>
      <c r="AB2974" s="28"/>
      <c r="AC2974" s="28" t="n">
        <f aca="false">AB2974*$M2974</f>
        <v>0</v>
      </c>
      <c r="AD2974" s="28"/>
      <c r="AE2974" s="28" t="n">
        <f aca="false">AD2974*$M2974</f>
        <v>0</v>
      </c>
      <c r="AF2974" s="28"/>
      <c r="AG2974" s="28" t="n">
        <f aca="false">AF2974*$M2974</f>
        <v>0</v>
      </c>
      <c r="AH2974" s="28"/>
      <c r="AI2974" s="28" t="n">
        <f aca="false">AH2974*$M2974</f>
        <v>0</v>
      </c>
      <c r="AJ2974" s="28"/>
      <c r="AK2974" s="28" t="n">
        <f aca="false">AJ2974*$M2974</f>
        <v>0</v>
      </c>
      <c r="AL2974" s="28"/>
      <c r="AM2974" s="28" t="n">
        <f aca="false">AL2974*$M2974</f>
        <v>0</v>
      </c>
      <c r="AN2974" s="28"/>
      <c r="AO2974" s="28" t="n">
        <f aca="false">AN2974*$M2974</f>
        <v>0</v>
      </c>
      <c r="AP2974" s="28"/>
      <c r="AQ2974" s="28" t="n">
        <f aca="false">AP2974*$M2974</f>
        <v>0</v>
      </c>
      <c r="AR2974" s="28"/>
      <c r="AS2974" s="28" t="n">
        <f aca="false">AR2974*$M2974</f>
        <v>0</v>
      </c>
      <c r="AT2974" s="28"/>
      <c r="AU2974" s="28" t="n">
        <f aca="false">AT2974*$M2974</f>
        <v>0</v>
      </c>
      <c r="AV2974" s="28"/>
      <c r="AW2974" s="28" t="n">
        <f aca="false">AV2974*$M2974</f>
        <v>0</v>
      </c>
      <c r="AX2974" s="28"/>
      <c r="AY2974" s="28" t="n">
        <f aca="false">AX2974*$M2974</f>
        <v>0</v>
      </c>
      <c r="AZ2974" s="30" t="n">
        <f aca="false">441/100</f>
        <v>4.41</v>
      </c>
      <c r="BA2974" s="11" t="n">
        <v>181</v>
      </c>
      <c r="BB2974" s="31" t="n">
        <f aca="false">SUM(Q2974,S2974,U2974,W2974,Y2974,AA2974,AC2974,AE2974,AG2974,AI2974,AK2974,AM2974,AO2974,AQ2974,AS2974,AU2974,AW2974,AY2974)</f>
        <v>181</v>
      </c>
      <c r="BC2974" s="28" t="n">
        <f aca="false">BA2974-BB2974</f>
        <v>0</v>
      </c>
      <c r="BD2974" s="32" t="n">
        <f aca="false">SUM(P2974,R2974,T2974,V2974,X2974,Z2974,AB2974,AD2974,AF2974,AH2974,AJ2974,AL2974,AN2974,AP2974,AR2974,AT2974,AV2974,AX2974)</f>
        <v>4.41</v>
      </c>
      <c r="BE2974" s="33" t="n">
        <f aca="false">AZ2974-BD2974</f>
        <v>0</v>
      </c>
      <c r="BF2974" s="34" t="n">
        <f aca="false">BD2974*M2974</f>
        <v>180.81</v>
      </c>
      <c r="BG2974" s="35" t="n">
        <f aca="false">BA2974-BF2974</f>
        <v>0.189999999999998</v>
      </c>
      <c r="BH2974" s="19" t="str">
        <f aca="false">IF(BG2974=0,"",IF(BG2974&lt;&gt;BA2974,"erreur de calcul",IF(BD2974&lt;&gt;0,"pas de prix",IF(M2974&lt;&gt; 0,"pas de quantité","pas de prix, ni de quantité"))))</f>
        <v>erreur de calcul</v>
      </c>
      <c r="BI2974" s="19"/>
    </row>
    <row r="2975" customFormat="false" ht="15" hidden="false" customHeight="false" outlineLevel="0" collapsed="false">
      <c r="A2975" s="0" t="n">
        <v>1</v>
      </c>
      <c r="B2975" s="8" t="s">
        <v>24</v>
      </c>
      <c r="C2975" s="9" t="s">
        <v>25</v>
      </c>
      <c r="D2975" s="9" t="s">
        <v>26</v>
      </c>
      <c r="E2975" s="10" t="n">
        <v>1789</v>
      </c>
      <c r="F2975" s="9" t="s">
        <v>27</v>
      </c>
      <c r="G2975" s="9" t="s">
        <v>27</v>
      </c>
      <c r="H2975" s="11" t="n">
        <v>23</v>
      </c>
      <c r="I2975" s="11" t="s">
        <v>243</v>
      </c>
      <c r="J2975" s="14"/>
      <c r="K2975" s="14"/>
      <c r="L2975" s="16"/>
      <c r="M2975" s="27" t="n">
        <f aca="false">J2975+(K2975/20)+(L2975/240)</f>
        <v>0</v>
      </c>
      <c r="N2975" s="17"/>
      <c r="O2975" s="11"/>
      <c r="P2975" s="28"/>
      <c r="Q2975" s="28" t="n">
        <f aca="false">P2975*$M2975</f>
        <v>0</v>
      </c>
      <c r="R2975" s="28"/>
      <c r="S2975" s="28" t="n">
        <f aca="false">R2975*$M2975</f>
        <v>0</v>
      </c>
      <c r="T2975" s="28"/>
      <c r="U2975" s="28" t="n">
        <f aca="false">T2975*$M2975</f>
        <v>0</v>
      </c>
      <c r="V2975" s="28"/>
      <c r="W2975" s="28" t="n">
        <v>100</v>
      </c>
      <c r="X2975" s="28"/>
      <c r="Y2975" s="28" t="n">
        <v>563</v>
      </c>
      <c r="Z2975" s="28"/>
      <c r="AA2975" s="28" t="n">
        <f aca="false">Z2975*$M2975</f>
        <v>0</v>
      </c>
      <c r="AB2975" s="28"/>
      <c r="AC2975" s="28" t="n">
        <f aca="false">AB2975*$M2975</f>
        <v>0</v>
      </c>
      <c r="AD2975" s="28"/>
      <c r="AE2975" s="28" t="n">
        <f aca="false">AD2975*$M2975</f>
        <v>0</v>
      </c>
      <c r="AF2975" s="28"/>
      <c r="AG2975" s="28" t="n">
        <f aca="false">AF2975*$M2975</f>
        <v>0</v>
      </c>
      <c r="AH2975" s="28"/>
      <c r="AI2975" s="28" t="n">
        <f aca="false">AH2975*$M2975</f>
        <v>0</v>
      </c>
      <c r="AJ2975" s="28"/>
      <c r="AK2975" s="28" t="n">
        <v>1015</v>
      </c>
      <c r="AL2975" s="28"/>
      <c r="AM2975" s="28" t="n">
        <f aca="false">AL2975*$M2975</f>
        <v>0</v>
      </c>
      <c r="AN2975" s="28"/>
      <c r="AO2975" s="28" t="n">
        <f aca="false">AN2975*$M2975</f>
        <v>0</v>
      </c>
      <c r="AP2975" s="28"/>
      <c r="AQ2975" s="28" t="n">
        <f aca="false">AP2975*$M2975</f>
        <v>0</v>
      </c>
      <c r="AR2975" s="28"/>
      <c r="AS2975" s="28" t="n">
        <f aca="false">AR2975*$M2975</f>
        <v>0</v>
      </c>
      <c r="AT2975" s="28"/>
      <c r="AU2975" s="28" t="n">
        <f aca="false">AT2975*$M2975</f>
        <v>0</v>
      </c>
      <c r="AV2975" s="28"/>
      <c r="AW2975" s="28" t="n">
        <f aca="false">AV2975*$M2975</f>
        <v>0</v>
      </c>
      <c r="AX2975" s="28"/>
      <c r="AY2975" s="28" t="n">
        <f aca="false">AX2975*$M2975</f>
        <v>0</v>
      </c>
      <c r="AZ2975" s="30"/>
      <c r="BA2975" s="11" t="n">
        <v>1678</v>
      </c>
      <c r="BB2975" s="31" t="n">
        <f aca="false">SUM(Q2975,S2975,U2975,W2975,Y2975,AA2975,AC2975,AE2975,AG2975,AI2975,AK2975,AM2975,AO2975,AQ2975,AS2975,AU2975,AW2975,AY2975)</f>
        <v>1678</v>
      </c>
      <c r="BC2975" s="28" t="n">
        <f aca="false">BA2975-BB2975</f>
        <v>0</v>
      </c>
      <c r="BD2975" s="32" t="n">
        <f aca="false">SUM(P2975,R2975,T2975,V2975,X2975,Z2975,AB2975,AD2975,AF2975,AH2975,AJ2975,AL2975,AN2975,AP2975,AR2975,AT2975,AV2975,AX2975)</f>
        <v>0</v>
      </c>
      <c r="BE2975" s="33" t="n">
        <f aca="false">AZ2975-BD2975</f>
        <v>0</v>
      </c>
      <c r="BF2975" s="34" t="n">
        <f aca="false">BD2975*M2975</f>
        <v>0</v>
      </c>
      <c r="BG2975" s="35" t="n">
        <f aca="false">BA2975-BF2975</f>
        <v>1678</v>
      </c>
      <c r="BH2975" s="19" t="str">
        <f aca="false">IF(BG2975=0,"",IF(BG2975&lt;&gt;BA2975,"erreur de calcul",IF(BD2975&lt;&gt;0,"pas de prix",IF(M2975&lt;&gt; 0,"pas de quantité","pas de prix, ni de quantité"))))</f>
        <v>pas de prix, ni de quantité</v>
      </c>
      <c r="BI2975" s="19"/>
    </row>
    <row r="2976" customFormat="false" ht="15" hidden="false" customHeight="false" outlineLevel="0" collapsed="false">
      <c r="A2976" s="0" t="n">
        <v>2</v>
      </c>
      <c r="B2976" s="8" t="s">
        <v>24</v>
      </c>
      <c r="C2976" s="9" t="s">
        <v>25</v>
      </c>
      <c r="D2976" s="9" t="s">
        <v>26</v>
      </c>
      <c r="E2976" s="10" t="n">
        <v>1789</v>
      </c>
      <c r="F2976" s="9" t="s">
        <v>27</v>
      </c>
      <c r="G2976" s="9" t="s">
        <v>27</v>
      </c>
      <c r="H2976" s="11" t="n">
        <v>23</v>
      </c>
      <c r="I2976" s="11" t="s">
        <v>244</v>
      </c>
      <c r="J2976" s="14" t="n">
        <v>22</v>
      </c>
      <c r="K2976" s="14"/>
      <c r="L2976" s="16"/>
      <c r="M2976" s="27" t="n">
        <f aca="false">J2976+(K2976/20)+(L2976/240)</f>
        <v>22</v>
      </c>
      <c r="N2976" s="17" t="s">
        <v>64</v>
      </c>
      <c r="O2976" s="11"/>
      <c r="P2976" s="28"/>
      <c r="Q2976" s="28" t="n">
        <f aca="false">P2976*$M2976</f>
        <v>0</v>
      </c>
      <c r="R2976" s="28"/>
      <c r="S2976" s="28" t="n">
        <f aca="false">R2976*$M2976</f>
        <v>0</v>
      </c>
      <c r="T2976" s="28"/>
      <c r="U2976" s="28" t="n">
        <f aca="false">T2976*$M2976</f>
        <v>0</v>
      </c>
      <c r="V2976" s="28" t="n">
        <f aca="false">15346/100</f>
        <v>153.46</v>
      </c>
      <c r="W2976" s="28" t="n">
        <v>3376</v>
      </c>
      <c r="X2976" s="28"/>
      <c r="Y2976" s="28" t="n">
        <f aca="false">X2976*$M2976</f>
        <v>0</v>
      </c>
      <c r="Z2976" s="28"/>
      <c r="AA2976" s="28" t="n">
        <f aca="false">Z2976*$M2976</f>
        <v>0</v>
      </c>
      <c r="AB2976" s="28"/>
      <c r="AC2976" s="28" t="n">
        <f aca="false">AB2976*$M2976</f>
        <v>0</v>
      </c>
      <c r="AD2976" s="28"/>
      <c r="AE2976" s="28" t="n">
        <f aca="false">AD2976*$M2976</f>
        <v>0</v>
      </c>
      <c r="AF2976" s="28"/>
      <c r="AG2976" s="28" t="n">
        <f aca="false">AF2976*$M2976</f>
        <v>0</v>
      </c>
      <c r="AH2976" s="28"/>
      <c r="AI2976" s="28" t="n">
        <f aca="false">AH2976*$M2976</f>
        <v>0</v>
      </c>
      <c r="AJ2976" s="28" t="n">
        <f aca="false">9084/100</f>
        <v>90.84</v>
      </c>
      <c r="AK2976" s="28" t="n">
        <v>1998</v>
      </c>
      <c r="AL2976" s="28" t="n">
        <f aca="false">8917/100</f>
        <v>89.17</v>
      </c>
      <c r="AM2976" s="28" t="n">
        <v>1962</v>
      </c>
      <c r="AN2976" s="28"/>
      <c r="AO2976" s="28" t="n">
        <f aca="false">AN2976*$M2976</f>
        <v>0</v>
      </c>
      <c r="AP2976" s="28"/>
      <c r="AQ2976" s="28" t="n">
        <f aca="false">AP2976*$M2976</f>
        <v>0</v>
      </c>
      <c r="AR2976" s="28"/>
      <c r="AS2976" s="28" t="n">
        <f aca="false">AR2976*$M2976</f>
        <v>0</v>
      </c>
      <c r="AT2976" s="28"/>
      <c r="AU2976" s="28" t="n">
        <f aca="false">AT2976*$M2976</f>
        <v>0</v>
      </c>
      <c r="AV2976" s="28"/>
      <c r="AW2976" s="28" t="n">
        <f aca="false">AV2976*$M2976</f>
        <v>0</v>
      </c>
      <c r="AX2976" s="28"/>
      <c r="AY2976" s="28" t="n">
        <f aca="false">AX2976*$M2976</f>
        <v>0</v>
      </c>
      <c r="AZ2976" s="30" t="n">
        <f aca="false">3347/100</f>
        <v>33.47</v>
      </c>
      <c r="BA2976" s="11" t="n">
        <v>7336</v>
      </c>
      <c r="BB2976" s="31" t="n">
        <f aca="false">SUM(Q2976,S2976,U2976,W2976,Y2976,AA2976,AC2976,AE2976,AG2976,AI2976,AK2976,AM2976,AO2976,AQ2976,AS2976,AU2976,AW2976,AY2976)</f>
        <v>7336</v>
      </c>
      <c r="BC2976" s="28" t="n">
        <f aca="false">BA2976-BB2976</f>
        <v>0</v>
      </c>
      <c r="BD2976" s="32" t="n">
        <f aca="false">SUM(P2976,R2976,T2976,V2976,X2976,Z2976,AB2976,AD2976,AF2976,AH2976,AJ2976,AL2976,AN2976,AP2976,AR2976,AT2976,AV2976,AX2976)</f>
        <v>333.47</v>
      </c>
      <c r="BE2976" s="33" t="n">
        <f aca="false">AZ2976-BD2976</f>
        <v>-300</v>
      </c>
      <c r="BF2976" s="34" t="n">
        <f aca="false">BD2976*M2976</f>
        <v>7336.34</v>
      </c>
      <c r="BG2976" s="35" t="n">
        <f aca="false">BA2976-BF2976</f>
        <v>-0.340000000000146</v>
      </c>
      <c r="BH2976" s="19" t="str">
        <f aca="false">IF(BG2976=0,"",IF(BG2976&lt;&gt;BA2976,"erreur de calcul",IF(BD2976&lt;&gt;0,"pas de prix",IF(M2976&lt;&gt; 0,"pas de quantité","pas de prix, ni de quantité"))))</f>
        <v>erreur de calcul</v>
      </c>
      <c r="BI2976" s="19"/>
    </row>
    <row r="2977" customFormat="false" ht="15" hidden="false" customHeight="false" outlineLevel="0" collapsed="false">
      <c r="A2977" s="0" t="n">
        <v>3</v>
      </c>
      <c r="B2977" s="8" t="s">
        <v>24</v>
      </c>
      <c r="C2977" s="9" t="s">
        <v>25</v>
      </c>
      <c r="D2977" s="9" t="s">
        <v>26</v>
      </c>
      <c r="E2977" s="10" t="n">
        <v>1789</v>
      </c>
      <c r="F2977" s="9" t="s">
        <v>27</v>
      </c>
      <c r="G2977" s="9" t="s">
        <v>27</v>
      </c>
      <c r="H2977" s="11" t="n">
        <v>23</v>
      </c>
      <c r="I2977" s="11" t="s">
        <v>245</v>
      </c>
      <c r="J2977" s="14" t="n">
        <v>28</v>
      </c>
      <c r="K2977" s="14"/>
      <c r="L2977" s="16"/>
      <c r="M2977" s="27" t="n">
        <f aca="false">J2977+(K2977/20)+(L2977/240)</f>
        <v>28</v>
      </c>
      <c r="N2977" s="17" t="s">
        <v>64</v>
      </c>
      <c r="O2977" s="11"/>
      <c r="P2977" s="28"/>
      <c r="Q2977" s="28" t="n">
        <f aca="false">P2977*$M2977</f>
        <v>0</v>
      </c>
      <c r="R2977" s="28"/>
      <c r="S2977" s="28" t="n">
        <f aca="false">R2977*$M2977</f>
        <v>0</v>
      </c>
      <c r="T2977" s="28"/>
      <c r="U2977" s="28" t="n">
        <f aca="false">T2977*$M2977</f>
        <v>0</v>
      </c>
      <c r="V2977" s="28" t="n">
        <f aca="false">61654/100</f>
        <v>616.54</v>
      </c>
      <c r="W2977" s="28" t="n">
        <v>17263</v>
      </c>
      <c r="X2977" s="28"/>
      <c r="Y2977" s="28" t="n">
        <f aca="false">X2977*$M2977</f>
        <v>0</v>
      </c>
      <c r="Z2977" s="28"/>
      <c r="AA2977" s="28" t="n">
        <f aca="false">Z2977*$M2977</f>
        <v>0</v>
      </c>
      <c r="AB2977" s="28"/>
      <c r="AC2977" s="28" t="n">
        <f aca="false">AB2977*$M2977</f>
        <v>0</v>
      </c>
      <c r="AD2977" s="28"/>
      <c r="AE2977" s="28" t="n">
        <f aca="false">AD2977*$M2977</f>
        <v>0</v>
      </c>
      <c r="AF2977" s="28"/>
      <c r="AG2977" s="28" t="n">
        <f aca="false">AF2977*$M2977</f>
        <v>0</v>
      </c>
      <c r="AH2977" s="28"/>
      <c r="AI2977" s="28" t="n">
        <f aca="false">AH2977*$M2977</f>
        <v>0</v>
      </c>
      <c r="AJ2977" s="28"/>
      <c r="AK2977" s="28" t="n">
        <f aca="false">AJ2977*$M2977</f>
        <v>0</v>
      </c>
      <c r="AL2977" s="28" t="n">
        <f aca="false">6250/100</f>
        <v>62.5</v>
      </c>
      <c r="AM2977" s="28" t="n">
        <v>1750</v>
      </c>
      <c r="AN2977" s="28"/>
      <c r="AO2977" s="28" t="n">
        <f aca="false">AN2977*$M2977</f>
        <v>0</v>
      </c>
      <c r="AP2977" s="28"/>
      <c r="AQ2977" s="28" t="n">
        <f aca="false">AP2977*$M2977</f>
        <v>0</v>
      </c>
      <c r="AR2977" s="28"/>
      <c r="AS2977" s="28" t="n">
        <f aca="false">AR2977*$M2977</f>
        <v>0</v>
      </c>
      <c r="AT2977" s="28"/>
      <c r="AU2977" s="28" t="n">
        <f aca="false">AT2977*$M2977</f>
        <v>0</v>
      </c>
      <c r="AV2977" s="28"/>
      <c r="AW2977" s="28" t="n">
        <f aca="false">AV2977*$M2977</f>
        <v>0</v>
      </c>
      <c r="AX2977" s="28"/>
      <c r="AY2977" s="28" t="n">
        <f aca="false">AX2977*$M2977</f>
        <v>0</v>
      </c>
      <c r="AZ2977" s="30" t="n">
        <f aca="false">67904/100</f>
        <v>679.04</v>
      </c>
      <c r="BA2977" s="11" t="n">
        <v>19013</v>
      </c>
      <c r="BB2977" s="31" t="n">
        <f aca="false">SUM(Q2977,S2977,U2977,W2977,Y2977,AA2977,AC2977,AE2977,AG2977,AI2977,AK2977,AM2977,AO2977,AQ2977,AS2977,AU2977,AW2977,AY2977)</f>
        <v>19013</v>
      </c>
      <c r="BC2977" s="28" t="n">
        <f aca="false">BA2977-BB2977</f>
        <v>0</v>
      </c>
      <c r="BD2977" s="32" t="n">
        <f aca="false">SUM(P2977,R2977,T2977,V2977,X2977,Z2977,AB2977,AD2977,AF2977,AH2977,AJ2977,AL2977,AN2977,AP2977,AR2977,AT2977,AV2977,AX2977)</f>
        <v>679.04</v>
      </c>
      <c r="BE2977" s="33" t="n">
        <f aca="false">AZ2977-BD2977</f>
        <v>0</v>
      </c>
      <c r="BF2977" s="34" t="n">
        <f aca="false">BD2977*M2977</f>
        <v>19013.12</v>
      </c>
      <c r="BG2977" s="35" t="n">
        <f aca="false">BA2977-BF2977</f>
        <v>-0.119999999998981</v>
      </c>
      <c r="BH2977" s="19" t="str">
        <f aca="false">IF(BG2977=0,"",IF(BG2977&lt;&gt;BA2977,"erreur de calcul",IF(BD2977&lt;&gt;0,"pas de prix",IF(M2977&lt;&gt; 0,"pas de quantité","pas de prix, ni de quantité"))))</f>
        <v>erreur de calcul</v>
      </c>
      <c r="BI2977" s="19"/>
    </row>
    <row r="2978" customFormat="false" ht="15" hidden="false" customHeight="false" outlineLevel="0" collapsed="false">
      <c r="A2978" s="0" t="n">
        <v>4</v>
      </c>
      <c r="B2978" s="8" t="s">
        <v>24</v>
      </c>
      <c r="C2978" s="9" t="s">
        <v>25</v>
      </c>
      <c r="D2978" s="9" t="s">
        <v>26</v>
      </c>
      <c r="E2978" s="10" t="n">
        <v>1789</v>
      </c>
      <c r="F2978" s="9" t="s">
        <v>27</v>
      </c>
      <c r="G2978" s="9" t="s">
        <v>27</v>
      </c>
      <c r="H2978" s="11" t="n">
        <v>23</v>
      </c>
      <c r="I2978" s="11" t="s">
        <v>246</v>
      </c>
      <c r="J2978" s="14" t="n">
        <v>17</v>
      </c>
      <c r="K2978" s="14"/>
      <c r="L2978" s="16"/>
      <c r="M2978" s="27" t="n">
        <f aca="false">J2978+(K2978/20)+(L2978/240)</f>
        <v>17</v>
      </c>
      <c r="N2978" s="17" t="s">
        <v>64</v>
      </c>
      <c r="O2978" s="11"/>
      <c r="P2978" s="28"/>
      <c r="Q2978" s="28" t="n">
        <f aca="false">P2978*$M2978</f>
        <v>0</v>
      </c>
      <c r="R2978" s="28"/>
      <c r="S2978" s="28" t="n">
        <f aca="false">R2978*$M2978</f>
        <v>0</v>
      </c>
      <c r="T2978" s="28" t="n">
        <f aca="false">25000/100</f>
        <v>250</v>
      </c>
      <c r="U2978" s="28" t="n">
        <v>4250</v>
      </c>
      <c r="V2978" s="28" t="n">
        <f aca="false">78153/100</f>
        <v>781.53</v>
      </c>
      <c r="W2978" s="28" t="n">
        <v>13286</v>
      </c>
      <c r="X2978" s="28"/>
      <c r="Y2978" s="28" t="n">
        <f aca="false">X2978*$M2978</f>
        <v>0</v>
      </c>
      <c r="Z2978" s="28"/>
      <c r="AA2978" s="28" t="n">
        <f aca="false">Z2978*$M2978</f>
        <v>0</v>
      </c>
      <c r="AB2978" s="28"/>
      <c r="AC2978" s="28" t="n">
        <f aca="false">AB2978*$M2978</f>
        <v>0</v>
      </c>
      <c r="AD2978" s="28"/>
      <c r="AE2978" s="28" t="n">
        <f aca="false">AD2978*$M2978</f>
        <v>0</v>
      </c>
      <c r="AF2978" s="28"/>
      <c r="AG2978" s="28" t="n">
        <f aca="false">AF2978*$M2978</f>
        <v>0</v>
      </c>
      <c r="AH2978" s="28"/>
      <c r="AI2978" s="28" t="n">
        <f aca="false">AH2978*$M2978</f>
        <v>0</v>
      </c>
      <c r="AJ2978" s="28" t="n">
        <f aca="false">113774/100</f>
        <v>1137.74</v>
      </c>
      <c r="AK2978" s="28" t="n">
        <v>19341</v>
      </c>
      <c r="AL2978" s="28" t="n">
        <f aca="false">749547/100</f>
        <v>7495.47</v>
      </c>
      <c r="AM2978" s="28" t="n">
        <v>127423</v>
      </c>
      <c r="AN2978" s="28"/>
      <c r="AO2978" s="28" t="n">
        <f aca="false">AN2978*$M2978</f>
        <v>0</v>
      </c>
      <c r="AP2978" s="28" t="n">
        <f aca="false">578251/100</f>
        <v>5782.51</v>
      </c>
      <c r="AQ2978" s="28" t="n">
        <v>98303</v>
      </c>
      <c r="AR2978" s="28" t="n">
        <f aca="false">9141217/100</f>
        <v>91412.17</v>
      </c>
      <c r="AS2978" s="28" t="n">
        <v>1554007</v>
      </c>
      <c r="AT2978" s="28"/>
      <c r="AU2978" s="28" t="n">
        <f aca="false">AT2978*$M2978</f>
        <v>0</v>
      </c>
      <c r="AV2978" s="28" t="n">
        <f aca="false">314570/100</f>
        <v>3145.7</v>
      </c>
      <c r="AW2978" s="28" t="n">
        <v>53477</v>
      </c>
      <c r="AX2978" s="28"/>
      <c r="AY2978" s="28" t="n">
        <f aca="false">AX2978*$M2978</f>
        <v>0</v>
      </c>
      <c r="AZ2978" s="30" t="n">
        <f aca="false">11004767/100</f>
        <v>110047.67</v>
      </c>
      <c r="BA2978" s="11" t="n">
        <v>1870087</v>
      </c>
      <c r="BB2978" s="31" t="n">
        <f aca="false">SUM(Q2978,S2978,U2978,W2978,Y2978,AA2978,AC2978,AE2978,AG2978,AI2978,AK2978,AM2978,AO2978,AQ2978,AS2978,AU2978,AW2978,AY2978)</f>
        <v>1870087</v>
      </c>
      <c r="BC2978" s="28" t="n">
        <f aca="false">BA2978-BB2978</f>
        <v>0</v>
      </c>
      <c r="BD2978" s="32" t="n">
        <f aca="false">SUM(P2978,R2978,T2978,V2978,X2978,Z2978,AB2978,AD2978,AF2978,AH2978,AJ2978,AL2978,AN2978,AP2978,AR2978,AT2978,AV2978,AX2978)</f>
        <v>110005.12</v>
      </c>
      <c r="BE2978" s="33" t="n">
        <f aca="false">AZ2978-BD2978</f>
        <v>42.5500000000029</v>
      </c>
      <c r="BF2978" s="34" t="n">
        <f aca="false">BD2978*M2978</f>
        <v>1870087.04</v>
      </c>
      <c r="BG2978" s="35" t="n">
        <f aca="false">BA2978-BF2978</f>
        <v>-0.0400000000372529</v>
      </c>
      <c r="BH2978" s="19" t="str">
        <f aca="false">IF(BG2978=0,"",IF(BG2978&lt;&gt;BA2978,"erreur de calcul",IF(BD2978&lt;&gt;0,"pas de prix",IF(M2978&lt;&gt; 0,"pas de quantité","pas de prix, ni de quantité"))))</f>
        <v>erreur de calcul</v>
      </c>
      <c r="BI2978" s="19"/>
    </row>
    <row r="2979" customFormat="false" ht="15" hidden="false" customHeight="false" outlineLevel="0" collapsed="false">
      <c r="A2979" s="0" t="n">
        <v>5</v>
      </c>
      <c r="B2979" s="8" t="s">
        <v>24</v>
      </c>
      <c r="C2979" s="9" t="s">
        <v>25</v>
      </c>
      <c r="D2979" s="9" t="s">
        <v>26</v>
      </c>
      <c r="E2979" s="10" t="n">
        <v>1789</v>
      </c>
      <c r="F2979" s="9" t="s">
        <v>27</v>
      </c>
      <c r="G2979" s="9" t="s">
        <v>27</v>
      </c>
      <c r="H2979" s="11" t="n">
        <v>23</v>
      </c>
      <c r="I2979" s="11" t="s">
        <v>247</v>
      </c>
      <c r="J2979" s="14" t="n">
        <v>60</v>
      </c>
      <c r="K2979" s="14"/>
      <c r="L2979" s="16"/>
      <c r="M2979" s="27" t="n">
        <f aca="false">J2979+(K2979/20)+(L2979/240)</f>
        <v>60</v>
      </c>
      <c r="N2979" s="17" t="s">
        <v>64</v>
      </c>
      <c r="O2979" s="11"/>
      <c r="P2979" s="28" t="n">
        <f aca="false">17500/100</f>
        <v>175</v>
      </c>
      <c r="Q2979" s="28" t="n">
        <v>10500</v>
      </c>
      <c r="R2979" s="28"/>
      <c r="S2979" s="28" t="n">
        <f aca="false">R2979*$M2979</f>
        <v>0</v>
      </c>
      <c r="T2979" s="28"/>
      <c r="U2979" s="28" t="n">
        <f aca="false">T2979*$M2979</f>
        <v>0</v>
      </c>
      <c r="V2979" s="28"/>
      <c r="W2979" s="28" t="n">
        <f aca="false">V2979*$M2979</f>
        <v>0</v>
      </c>
      <c r="X2979" s="28"/>
      <c r="Y2979" s="28" t="n">
        <f aca="false">X2979*$M2979</f>
        <v>0</v>
      </c>
      <c r="Z2979" s="28"/>
      <c r="AA2979" s="28" t="n">
        <f aca="false">Z2979*$M2979</f>
        <v>0</v>
      </c>
      <c r="AB2979" s="28"/>
      <c r="AC2979" s="28" t="n">
        <f aca="false">AB2979*$M2979</f>
        <v>0</v>
      </c>
      <c r="AD2979" s="28"/>
      <c r="AE2979" s="28" t="n">
        <f aca="false">AD2979*$M2979</f>
        <v>0</v>
      </c>
      <c r="AF2979" s="28"/>
      <c r="AG2979" s="28" t="n">
        <f aca="false">AF2979*$M2979</f>
        <v>0</v>
      </c>
      <c r="AH2979" s="28"/>
      <c r="AI2979" s="28" t="n">
        <f aca="false">AH2979*$M2979</f>
        <v>0</v>
      </c>
      <c r="AJ2979" s="28"/>
      <c r="AK2979" s="28" t="n">
        <f aca="false">AJ2979*$M2979</f>
        <v>0</v>
      </c>
      <c r="AL2979" s="28" t="n">
        <f aca="false">107571/100</f>
        <v>1075.71</v>
      </c>
      <c r="AM2979" s="28" t="n">
        <v>64543</v>
      </c>
      <c r="AN2979" s="28"/>
      <c r="AO2979" s="28" t="n">
        <f aca="false">AN2979*$M2979</f>
        <v>0</v>
      </c>
      <c r="AP2979" s="28"/>
      <c r="AQ2979" s="28" t="n">
        <f aca="false">AP2979*$M2979</f>
        <v>0</v>
      </c>
      <c r="AR2979" s="28"/>
      <c r="AS2979" s="28" t="n">
        <f aca="false">AR2979*$M2979</f>
        <v>0</v>
      </c>
      <c r="AT2979" s="28"/>
      <c r="AU2979" s="28" t="n">
        <f aca="false">AT2979*$M2979</f>
        <v>0</v>
      </c>
      <c r="AV2979" s="28"/>
      <c r="AW2979" s="28" t="n">
        <f aca="false">AV2979*$M2979</f>
        <v>0</v>
      </c>
      <c r="AX2979" s="28"/>
      <c r="AY2979" s="28" t="n">
        <f aca="false">AX2979*$M2979</f>
        <v>0</v>
      </c>
      <c r="AZ2979" s="30" t="n">
        <f aca="false">125071/100</f>
        <v>1250.71</v>
      </c>
      <c r="BA2979" s="11" t="n">
        <v>75043</v>
      </c>
      <c r="BB2979" s="31" t="n">
        <f aca="false">SUM(Q2979,S2979,U2979,W2979,Y2979,AA2979,AC2979,AE2979,AG2979,AI2979,AK2979,AM2979,AO2979,AQ2979,AS2979,AU2979,AW2979,AY2979)</f>
        <v>75043</v>
      </c>
      <c r="BC2979" s="28" t="n">
        <f aca="false">BA2979-BB2979</f>
        <v>0</v>
      </c>
      <c r="BD2979" s="32" t="n">
        <f aca="false">SUM(P2979,R2979,T2979,V2979,X2979,Z2979,AB2979,AD2979,AF2979,AH2979,AJ2979,AL2979,AN2979,AP2979,AR2979,AT2979,AV2979,AX2979)</f>
        <v>1250.71</v>
      </c>
      <c r="BE2979" s="33" t="n">
        <f aca="false">AZ2979-BD2979</f>
        <v>0</v>
      </c>
      <c r="BF2979" s="34" t="n">
        <f aca="false">BD2979*M2979</f>
        <v>75042.6</v>
      </c>
      <c r="BG2979" s="35" t="n">
        <f aca="false">BA2979-BF2979</f>
        <v>0.399999999994179</v>
      </c>
      <c r="BH2979" s="19" t="str">
        <f aca="false">IF(BG2979=0,"",IF(BG2979&lt;&gt;BA2979,"erreur de calcul",IF(BD2979&lt;&gt;0,"pas de prix",IF(M2979&lt;&gt; 0,"pas de quantité","pas de prix, ni de quantité"))))</f>
        <v>erreur de calcul</v>
      </c>
      <c r="BI2979" s="19"/>
    </row>
    <row r="2980" customFormat="false" ht="15" hidden="false" customHeight="false" outlineLevel="0" collapsed="false">
      <c r="A2980" s="0" t="n">
        <v>6</v>
      </c>
      <c r="B2980" s="8" t="s">
        <v>24</v>
      </c>
      <c r="C2980" s="9" t="s">
        <v>25</v>
      </c>
      <c r="D2980" s="9" t="s">
        <v>26</v>
      </c>
      <c r="E2980" s="10" t="n">
        <v>1789</v>
      </c>
      <c r="F2980" s="9" t="s">
        <v>27</v>
      </c>
      <c r="G2980" s="9" t="s">
        <v>27</v>
      </c>
      <c r="H2980" s="11" t="n">
        <v>23</v>
      </c>
      <c r="I2980" s="11" t="s">
        <v>248</v>
      </c>
      <c r="J2980" s="14" t="n">
        <v>30</v>
      </c>
      <c r="K2980" s="14"/>
      <c r="L2980" s="16"/>
      <c r="M2980" s="27" t="n">
        <f aca="false">J2980+(K2980/20)+(L2980/240)</f>
        <v>30</v>
      </c>
      <c r="N2980" s="17" t="s">
        <v>64</v>
      </c>
      <c r="O2980" s="11"/>
      <c r="P2980" s="28"/>
      <c r="Q2980" s="28" t="n">
        <f aca="false">P2980*$M2980</f>
        <v>0</v>
      </c>
      <c r="R2980" s="28"/>
      <c r="S2980" s="28" t="n">
        <f aca="false">R2980*$M2980</f>
        <v>0</v>
      </c>
      <c r="T2980" s="28"/>
      <c r="U2980" s="28" t="n">
        <f aca="false">T2980*$M2980</f>
        <v>0</v>
      </c>
      <c r="V2980" s="28" t="n">
        <f aca="false">8491/100</f>
        <v>84.91</v>
      </c>
      <c r="W2980" s="28" t="n">
        <v>2547</v>
      </c>
      <c r="X2980" s="28"/>
      <c r="Y2980" s="28" t="n">
        <f aca="false">X2980*$M2980</f>
        <v>0</v>
      </c>
      <c r="Z2980" s="28"/>
      <c r="AA2980" s="28" t="n">
        <f aca="false">Z2980*$M2980</f>
        <v>0</v>
      </c>
      <c r="AB2980" s="28"/>
      <c r="AC2980" s="28" t="n">
        <f aca="false">AB2980*$M2980</f>
        <v>0</v>
      </c>
      <c r="AD2980" s="28"/>
      <c r="AE2980" s="28" t="n">
        <f aca="false">AD2980*$M2980</f>
        <v>0</v>
      </c>
      <c r="AF2980" s="28"/>
      <c r="AG2980" s="28" t="n">
        <f aca="false">AF2980*$M2980</f>
        <v>0</v>
      </c>
      <c r="AH2980" s="28"/>
      <c r="AI2980" s="28" t="n">
        <f aca="false">AH2980*$M2980</f>
        <v>0</v>
      </c>
      <c r="AJ2980" s="28"/>
      <c r="AK2980" s="28" t="n">
        <f aca="false">AJ2980*$M2980</f>
        <v>0</v>
      </c>
      <c r="AL2980" s="28"/>
      <c r="AM2980" s="28" t="n">
        <f aca="false">AL2980*$M2980</f>
        <v>0</v>
      </c>
      <c r="AN2980" s="28"/>
      <c r="AO2980" s="28" t="n">
        <f aca="false">AN2980*$M2980</f>
        <v>0</v>
      </c>
      <c r="AP2980" s="28"/>
      <c r="AQ2980" s="28" t="n">
        <f aca="false">AP2980*$M2980</f>
        <v>0</v>
      </c>
      <c r="AR2980" s="28"/>
      <c r="AS2980" s="28" t="n">
        <f aca="false">AR2980*$M2980</f>
        <v>0</v>
      </c>
      <c r="AT2980" s="28"/>
      <c r="AU2980" s="28" t="n">
        <f aca="false">AT2980*$M2980</f>
        <v>0</v>
      </c>
      <c r="AV2980" s="28"/>
      <c r="AW2980" s="28" t="n">
        <f aca="false">AV2980*$M2980</f>
        <v>0</v>
      </c>
      <c r="AX2980" s="28"/>
      <c r="AY2980" s="28" t="n">
        <f aca="false">AX2980*$M2980</f>
        <v>0</v>
      </c>
      <c r="AZ2980" s="30" t="n">
        <f aca="false">8491/100</f>
        <v>84.91</v>
      </c>
      <c r="BA2980" s="11" t="n">
        <v>2547</v>
      </c>
      <c r="BB2980" s="31" t="n">
        <f aca="false">SUM(Q2980,S2980,U2980,W2980,Y2980,AA2980,AC2980,AE2980,AG2980,AI2980,AK2980,AM2980,AO2980,AQ2980,AS2980,AU2980,AW2980,AY2980)</f>
        <v>2547</v>
      </c>
      <c r="BC2980" s="28" t="n">
        <f aca="false">BA2980-BB2980</f>
        <v>0</v>
      </c>
      <c r="BD2980" s="32" t="n">
        <f aca="false">SUM(P2980,R2980,T2980,V2980,X2980,Z2980,AB2980,AD2980,AF2980,AH2980,AJ2980,AL2980,AN2980,AP2980,AR2980,AT2980,AV2980,AX2980)</f>
        <v>84.91</v>
      </c>
      <c r="BE2980" s="33" t="n">
        <f aca="false">AZ2980-BD2980</f>
        <v>0</v>
      </c>
      <c r="BF2980" s="34" t="n">
        <f aca="false">BD2980*M2980</f>
        <v>2547.3</v>
      </c>
      <c r="BG2980" s="35" t="n">
        <f aca="false">BA2980-BF2980</f>
        <v>-0.299999999999727</v>
      </c>
      <c r="BH2980" s="19" t="str">
        <f aca="false">IF(BG2980=0,"",IF(BG2980&lt;&gt;BA2980,"erreur de calcul",IF(BD2980&lt;&gt;0,"pas de prix",IF(M2980&lt;&gt; 0,"pas de quantité","pas de prix, ni de quantité"))))</f>
        <v>erreur de calcul</v>
      </c>
      <c r="BI2980" s="19"/>
    </row>
    <row r="2981" customFormat="false" ht="15" hidden="false" customHeight="false" outlineLevel="0" collapsed="false">
      <c r="A2981" s="0" t="n">
        <v>7</v>
      </c>
      <c r="B2981" s="8" t="s">
        <v>24</v>
      </c>
      <c r="C2981" s="9" t="s">
        <v>25</v>
      </c>
      <c r="D2981" s="9" t="s">
        <v>26</v>
      </c>
      <c r="E2981" s="10" t="n">
        <v>1789</v>
      </c>
      <c r="F2981" s="9" t="s">
        <v>27</v>
      </c>
      <c r="G2981" s="9" t="s">
        <v>27</v>
      </c>
      <c r="H2981" s="11" t="n">
        <v>23</v>
      </c>
      <c r="I2981" s="11" t="s">
        <v>249</v>
      </c>
      <c r="J2981" s="14" t="n">
        <v>27</v>
      </c>
      <c r="K2981" s="14"/>
      <c r="L2981" s="16"/>
      <c r="M2981" s="27" t="n">
        <f aca="false">J2981+(K2981/20)+(L2981/240)</f>
        <v>27</v>
      </c>
      <c r="N2981" s="17" t="s">
        <v>64</v>
      </c>
      <c r="O2981" s="11"/>
      <c r="P2981" s="28"/>
      <c r="Q2981" s="28" t="n">
        <f aca="false">P2981*$M2981</f>
        <v>0</v>
      </c>
      <c r="R2981" s="28"/>
      <c r="S2981" s="28" t="n">
        <f aca="false">R2981*$M2981</f>
        <v>0</v>
      </c>
      <c r="T2981" s="28"/>
      <c r="U2981" s="28" t="n">
        <f aca="false">T2981*$M2981</f>
        <v>0</v>
      </c>
      <c r="V2981" s="28"/>
      <c r="W2981" s="28" t="n">
        <f aca="false">V2981*$M2981</f>
        <v>0</v>
      </c>
      <c r="X2981" s="28"/>
      <c r="Y2981" s="28" t="n">
        <f aca="false">X2981*$M2981</f>
        <v>0</v>
      </c>
      <c r="Z2981" s="28"/>
      <c r="AA2981" s="28" t="n">
        <f aca="false">Z2981*$M2981</f>
        <v>0</v>
      </c>
      <c r="AB2981" s="28"/>
      <c r="AC2981" s="28" t="n">
        <f aca="false">AB2981*$M2981</f>
        <v>0</v>
      </c>
      <c r="AD2981" s="28"/>
      <c r="AE2981" s="28" t="n">
        <f aca="false">AD2981*$M2981</f>
        <v>0</v>
      </c>
      <c r="AF2981" s="28"/>
      <c r="AG2981" s="28" t="n">
        <f aca="false">AF2981*$M2981</f>
        <v>0</v>
      </c>
      <c r="AH2981" s="28"/>
      <c r="AI2981" s="28" t="n">
        <f aca="false">AH2981*$M2981</f>
        <v>0</v>
      </c>
      <c r="AJ2981" s="28" t="n">
        <f aca="false">168254/100</f>
        <v>1682.54</v>
      </c>
      <c r="AK2981" s="28" t="n">
        <v>45428</v>
      </c>
      <c r="AL2981" s="28"/>
      <c r="AM2981" s="28" t="n">
        <f aca="false">AL2981*$M2981</f>
        <v>0</v>
      </c>
      <c r="AN2981" s="28"/>
      <c r="AO2981" s="28" t="n">
        <f aca="false">AN2981*$M2981</f>
        <v>0</v>
      </c>
      <c r="AP2981" s="28"/>
      <c r="AQ2981" s="28" t="n">
        <f aca="false">AP2981*$M2981</f>
        <v>0</v>
      </c>
      <c r="AR2981" s="28"/>
      <c r="AS2981" s="28" t="n">
        <f aca="false">AR2981*$M2981</f>
        <v>0</v>
      </c>
      <c r="AT2981" s="28"/>
      <c r="AU2981" s="28" t="n">
        <f aca="false">AT2981*$M2981</f>
        <v>0</v>
      </c>
      <c r="AV2981" s="28"/>
      <c r="AW2981" s="28" t="n">
        <f aca="false">AV2981*$M2981</f>
        <v>0</v>
      </c>
      <c r="AX2981" s="28"/>
      <c r="AY2981" s="28" t="n">
        <f aca="false">AX2981*$M2981</f>
        <v>0</v>
      </c>
      <c r="AZ2981" s="30" t="n">
        <f aca="false">168254/100</f>
        <v>1682.54</v>
      </c>
      <c r="BA2981" s="11" t="n">
        <v>45428</v>
      </c>
      <c r="BB2981" s="31" t="n">
        <f aca="false">SUM(Q2981,S2981,U2981,W2981,Y2981,AA2981,AC2981,AE2981,AG2981,AI2981,AK2981,AM2981,AO2981,AQ2981,AS2981,AU2981,AW2981,AY2981)</f>
        <v>45428</v>
      </c>
      <c r="BC2981" s="28" t="n">
        <f aca="false">BA2981-BB2981</f>
        <v>0</v>
      </c>
      <c r="BD2981" s="32" t="n">
        <f aca="false">SUM(P2981,R2981,T2981,V2981,X2981,Z2981,AB2981,AD2981,AF2981,AH2981,AJ2981,AL2981,AN2981,AP2981,AR2981,AT2981,AV2981,AX2981)</f>
        <v>1682.54</v>
      </c>
      <c r="BE2981" s="33" t="n">
        <f aca="false">AZ2981-BD2981</f>
        <v>0</v>
      </c>
      <c r="BF2981" s="34" t="n">
        <f aca="false">BD2981*M2981</f>
        <v>45428.58</v>
      </c>
      <c r="BG2981" s="35" t="n">
        <f aca="false">BA2981-BF2981</f>
        <v>-0.580000000001746</v>
      </c>
      <c r="BH2981" s="19" t="str">
        <f aca="false">IF(BG2981=0,"",IF(BG2981&lt;&gt;BA2981,"erreur de calcul",IF(BD2981&lt;&gt;0,"pas de prix",IF(M2981&lt;&gt; 0,"pas de quantité","pas de prix, ni de quantité"))))</f>
        <v>erreur de calcul</v>
      </c>
      <c r="BI2981" s="19"/>
    </row>
    <row r="2982" customFormat="false" ht="15" hidden="false" customHeight="false" outlineLevel="0" collapsed="false">
      <c r="A2982" s="0" t="n">
        <v>8</v>
      </c>
      <c r="B2982" s="8" t="s">
        <v>24</v>
      </c>
      <c r="C2982" s="9" t="s">
        <v>25</v>
      </c>
      <c r="D2982" s="9" t="s">
        <v>26</v>
      </c>
      <c r="E2982" s="10" t="n">
        <v>1789</v>
      </c>
      <c r="F2982" s="9" t="s">
        <v>27</v>
      </c>
      <c r="G2982" s="9" t="s">
        <v>27</v>
      </c>
      <c r="H2982" s="11" t="n">
        <v>23</v>
      </c>
      <c r="I2982" s="11" t="s">
        <v>250</v>
      </c>
      <c r="J2982" s="14" t="n">
        <v>27</v>
      </c>
      <c r="K2982" s="14"/>
      <c r="L2982" s="16"/>
      <c r="M2982" s="27" t="n">
        <f aca="false">J2982+(K2982/20)+(L2982/240)</f>
        <v>27</v>
      </c>
      <c r="N2982" s="17" t="s">
        <v>64</v>
      </c>
      <c r="O2982" s="11"/>
      <c r="P2982" s="28"/>
      <c r="Q2982" s="28" t="n">
        <f aca="false">P2982*$M2982</f>
        <v>0</v>
      </c>
      <c r="R2982" s="28"/>
      <c r="S2982" s="28" t="n">
        <f aca="false">R2982*$M2982</f>
        <v>0</v>
      </c>
      <c r="T2982" s="28"/>
      <c r="U2982" s="28" t="n">
        <f aca="false">T2982*$M2982</f>
        <v>0</v>
      </c>
      <c r="V2982" s="28"/>
      <c r="W2982" s="28" t="n">
        <f aca="false">V2982*$M2982</f>
        <v>0</v>
      </c>
      <c r="X2982" s="28"/>
      <c r="Y2982" s="28" t="n">
        <f aca="false">X2982*$M2982</f>
        <v>0</v>
      </c>
      <c r="Z2982" s="28"/>
      <c r="AA2982" s="28" t="n">
        <f aca="false">Z2982*$M2982</f>
        <v>0</v>
      </c>
      <c r="AB2982" s="28"/>
      <c r="AC2982" s="28" t="n">
        <f aca="false">AB2982*$M2982</f>
        <v>0</v>
      </c>
      <c r="AD2982" s="28"/>
      <c r="AE2982" s="28" t="n">
        <f aca="false">AD2982*$M2982</f>
        <v>0</v>
      </c>
      <c r="AF2982" s="28"/>
      <c r="AG2982" s="28" t="n">
        <f aca="false">AF2982*$M2982</f>
        <v>0</v>
      </c>
      <c r="AH2982" s="28"/>
      <c r="AI2982" s="28" t="n">
        <f aca="false">AH2982*$M2982</f>
        <v>0</v>
      </c>
      <c r="AJ2982" s="28"/>
      <c r="AK2982" s="28" t="n">
        <f aca="false">AJ2982*$M2982</f>
        <v>0</v>
      </c>
      <c r="AL2982" s="28" t="n">
        <f aca="false">4108/100</f>
        <v>41.08</v>
      </c>
      <c r="AM2982" s="28" t="n">
        <v>1109</v>
      </c>
      <c r="AN2982" s="28"/>
      <c r="AO2982" s="28" t="n">
        <f aca="false">AN2982*$M2982</f>
        <v>0</v>
      </c>
      <c r="AP2982" s="28"/>
      <c r="AQ2982" s="28" t="n">
        <f aca="false">AP2982*$M2982</f>
        <v>0</v>
      </c>
      <c r="AR2982" s="28" t="n">
        <f aca="false">37084/100</f>
        <v>370.84</v>
      </c>
      <c r="AS2982" s="36" t="n">
        <v>9963</v>
      </c>
      <c r="AT2982" s="28"/>
      <c r="AU2982" s="28" t="n">
        <f aca="false">AT2982*$M2982</f>
        <v>0</v>
      </c>
      <c r="AV2982" s="28"/>
      <c r="AW2982" s="28" t="n">
        <f aca="false">AV2982*$M2982</f>
        <v>0</v>
      </c>
      <c r="AX2982" s="28"/>
      <c r="AY2982" s="28" t="n">
        <f aca="false">AX2982*$M2982</f>
        <v>0</v>
      </c>
      <c r="AZ2982" s="30" t="n">
        <f aca="false">41192/100</f>
        <v>411.92</v>
      </c>
      <c r="BA2982" s="11" t="n">
        <v>11072</v>
      </c>
      <c r="BB2982" s="31" t="n">
        <f aca="false">SUM(Q2982,S2982,U2982,W2982,Y2982,AA2982,AC2982,AE2982,AG2982,AI2982,AK2982,AM2982,AO2982,AQ2982,AS2982,AU2982,AW2982,AY2982)</f>
        <v>11072</v>
      </c>
      <c r="BC2982" s="28" t="n">
        <f aca="false">BA2982-BB2982</f>
        <v>0</v>
      </c>
      <c r="BD2982" s="32" t="n">
        <f aca="false">SUM(P2982,R2982,T2982,V2982,X2982,Z2982,AB2982,AD2982,AF2982,AH2982,AJ2982,AL2982,AN2982,AP2982,AR2982,AT2982,AV2982,AX2982)</f>
        <v>411.92</v>
      </c>
      <c r="BE2982" s="33" t="n">
        <f aca="false">AZ2982-BD2982</f>
        <v>0</v>
      </c>
      <c r="BF2982" s="34" t="n">
        <f aca="false">BD2982*M2982</f>
        <v>11121.84</v>
      </c>
      <c r="BG2982" s="35" t="n">
        <f aca="false">BA2982-BF2982</f>
        <v>-49.8399999999983</v>
      </c>
      <c r="BH2982" s="19" t="str">
        <f aca="false">IF(BG2982=0,"",IF(BG2982&lt;&gt;BA2982,"erreur de calcul",IF(BD2982&lt;&gt;0,"pas de prix",IF(M2982&lt;&gt; 0,"pas de quantité","pas de prix, ni de quantité"))))</f>
        <v>erreur de calcul</v>
      </c>
      <c r="BI2982" s="19"/>
    </row>
    <row r="2983" customFormat="false" ht="15" hidden="false" customHeight="false" outlineLevel="0" collapsed="false">
      <c r="A2983" s="0" t="n">
        <v>9</v>
      </c>
      <c r="B2983" s="8" t="s">
        <v>24</v>
      </c>
      <c r="C2983" s="9" t="s">
        <v>25</v>
      </c>
      <c r="D2983" s="9" t="s">
        <v>26</v>
      </c>
      <c r="E2983" s="10" t="n">
        <v>1789</v>
      </c>
      <c r="F2983" s="9" t="s">
        <v>27</v>
      </c>
      <c r="G2983" s="9" t="s">
        <v>27</v>
      </c>
      <c r="H2983" s="11" t="n">
        <v>23</v>
      </c>
      <c r="I2983" s="11" t="s">
        <v>251</v>
      </c>
      <c r="J2983" s="14" t="n">
        <v>6</v>
      </c>
      <c r="K2983" s="14"/>
      <c r="L2983" s="16"/>
      <c r="M2983" s="27" t="n">
        <f aca="false">J2983+(K2983/20)+(L2983/240)</f>
        <v>6</v>
      </c>
      <c r="N2983" s="17" t="s">
        <v>64</v>
      </c>
      <c r="O2983" s="11"/>
      <c r="P2983" s="28"/>
      <c r="Q2983" s="28" t="n">
        <f aca="false">P2983*$M2983</f>
        <v>0</v>
      </c>
      <c r="R2983" s="28"/>
      <c r="S2983" s="28" t="n">
        <f aca="false">R2983*$M2983</f>
        <v>0</v>
      </c>
      <c r="T2983" s="28"/>
      <c r="U2983" s="28" t="n">
        <f aca="false">T2983*$M2983</f>
        <v>0</v>
      </c>
      <c r="V2983" s="28"/>
      <c r="W2983" s="28" t="n">
        <f aca="false">V2983*$M2983</f>
        <v>0</v>
      </c>
      <c r="X2983" s="28"/>
      <c r="Y2983" s="28" t="n">
        <f aca="false">X2983*$M2983</f>
        <v>0</v>
      </c>
      <c r="Z2983" s="28"/>
      <c r="AA2983" s="28" t="n">
        <f aca="false">Z2983*$M2983</f>
        <v>0</v>
      </c>
      <c r="AB2983" s="28"/>
      <c r="AC2983" s="28" t="n">
        <f aca="false">AB2983*$M2983</f>
        <v>0</v>
      </c>
      <c r="AD2983" s="28"/>
      <c r="AE2983" s="28" t="n">
        <f aca="false">AD2983*$M2983</f>
        <v>0</v>
      </c>
      <c r="AF2983" s="28"/>
      <c r="AG2983" s="28" t="n">
        <f aca="false">AF2983*$M2983</f>
        <v>0</v>
      </c>
      <c r="AH2983" s="28"/>
      <c r="AI2983" s="28" t="n">
        <f aca="false">AH2983*$M2983</f>
        <v>0</v>
      </c>
      <c r="AJ2983" s="28"/>
      <c r="AK2983" s="28" t="n">
        <f aca="false">AJ2983*$M2983</f>
        <v>0</v>
      </c>
      <c r="AL2983" s="28"/>
      <c r="AM2983" s="28" t="n">
        <f aca="false">AL2983*$M2983</f>
        <v>0</v>
      </c>
      <c r="AN2983" s="28"/>
      <c r="AO2983" s="28" t="n">
        <f aca="false">AN2983*$M2983</f>
        <v>0</v>
      </c>
      <c r="AP2983" s="28"/>
      <c r="AQ2983" s="28" t="n">
        <f aca="false">AP2983*$M2983</f>
        <v>0</v>
      </c>
      <c r="AR2983" s="28"/>
      <c r="AS2983" s="28" t="n">
        <f aca="false">AR2983*$M2983</f>
        <v>0</v>
      </c>
      <c r="AT2983" s="28"/>
      <c r="AU2983" s="28" t="n">
        <f aca="false">AT2983*$M2983</f>
        <v>0</v>
      </c>
      <c r="AV2983" s="28"/>
      <c r="AW2983" s="28" t="n">
        <f aca="false">AV2983*$M2983</f>
        <v>0</v>
      </c>
      <c r="AX2983" s="28"/>
      <c r="AY2983" s="28" t="n">
        <f aca="false">AX2983*$M2983</f>
        <v>0</v>
      </c>
      <c r="AZ2983" s="30"/>
      <c r="BA2983" s="11"/>
      <c r="BB2983" s="31" t="n">
        <f aca="false">SUM(Q2983,S2983,U2983,W2983,Y2983,AA2983,AC2983,AE2983,AG2983,AI2983,AK2983,AM2983,AO2983,AQ2983,AS2983,AU2983,AW2983,AY2983)</f>
        <v>0</v>
      </c>
      <c r="BC2983" s="28" t="n">
        <f aca="false">BA2983-BB2983</f>
        <v>0</v>
      </c>
      <c r="BD2983" s="32" t="n">
        <f aca="false">SUM(P2983,R2983,T2983,V2983,X2983,Z2983,AB2983,AD2983,AF2983,AH2983,AJ2983,AL2983,AN2983,AP2983,AR2983,AT2983,AV2983,AX2983)</f>
        <v>0</v>
      </c>
      <c r="BE2983" s="33" t="n">
        <f aca="false">AZ2983-BD2983</f>
        <v>0</v>
      </c>
      <c r="BF2983" s="34" t="n">
        <f aca="false">BD2983*M2983</f>
        <v>0</v>
      </c>
      <c r="BG2983" s="35" t="n">
        <f aca="false">BA2983-BF2983</f>
        <v>0</v>
      </c>
      <c r="BH2983" s="19" t="str">
        <f aca="false">IF(BG2983=0,"",IF(BG2983&lt;&gt;BA2983,"erreur de calcul",IF(BD2983&lt;&gt;0,"pas de prix",IF(M2983&lt;&gt; 0,"pas de quantité","pas de prix, ni de quantité"))))</f>
        <v/>
      </c>
      <c r="BI2983" s="19"/>
    </row>
    <row r="2984" customFormat="false" ht="15" hidden="false" customHeight="false" outlineLevel="0" collapsed="false">
      <c r="A2984" s="0" t="n">
        <v>10</v>
      </c>
      <c r="B2984" s="8" t="s">
        <v>24</v>
      </c>
      <c r="C2984" s="9" t="s">
        <v>25</v>
      </c>
      <c r="D2984" s="9" t="s">
        <v>26</v>
      </c>
      <c r="E2984" s="10" t="n">
        <v>1789</v>
      </c>
      <c r="F2984" s="9" t="s">
        <v>27</v>
      </c>
      <c r="G2984" s="9" t="s">
        <v>27</v>
      </c>
      <c r="H2984" s="11" t="n">
        <v>23</v>
      </c>
      <c r="I2984" s="11" t="s">
        <v>252</v>
      </c>
      <c r="J2984" s="14" t="n">
        <v>240</v>
      </c>
      <c r="K2984" s="14"/>
      <c r="L2984" s="16"/>
      <c r="M2984" s="27" t="n">
        <f aca="false">J2984+(K2984/20)+(L2984/240)</f>
        <v>240</v>
      </c>
      <c r="N2984" s="17" t="s">
        <v>64</v>
      </c>
      <c r="O2984" s="11"/>
      <c r="P2984" s="28"/>
      <c r="Q2984" s="28" t="n">
        <f aca="false">P2984*$M2984</f>
        <v>0</v>
      </c>
      <c r="R2984" s="28"/>
      <c r="S2984" s="28" t="n">
        <f aca="false">R2984*$M2984</f>
        <v>0</v>
      </c>
      <c r="T2984" s="28" t="n">
        <f aca="false">4204/100</f>
        <v>42.04</v>
      </c>
      <c r="U2984" s="28" t="n">
        <v>10090</v>
      </c>
      <c r="V2984" s="28" t="n">
        <f aca="false">2799/100</f>
        <v>27.99</v>
      </c>
      <c r="W2984" s="28" t="n">
        <v>6718</v>
      </c>
      <c r="X2984" s="28" t="n">
        <f aca="false">2536/100</f>
        <v>25.36</v>
      </c>
      <c r="Y2984" s="28" t="n">
        <v>6086</v>
      </c>
      <c r="Z2984" s="28" t="n">
        <f aca="false">3393/100</f>
        <v>33.93</v>
      </c>
      <c r="AA2984" s="28" t="n">
        <v>8143</v>
      </c>
      <c r="AB2984" s="28" t="n">
        <f aca="false">242/100</f>
        <v>2.42</v>
      </c>
      <c r="AC2984" s="28" t="n">
        <v>581</v>
      </c>
      <c r="AD2984" s="28"/>
      <c r="AE2984" s="28" t="n">
        <f aca="false">AD2984*$M2984</f>
        <v>0</v>
      </c>
      <c r="AF2984" s="28"/>
      <c r="AG2984" s="28" t="n">
        <f aca="false">AF2984*$M2984</f>
        <v>0</v>
      </c>
      <c r="AH2984" s="28"/>
      <c r="AI2984" s="28" t="n">
        <f aca="false">AH2984*$M2984</f>
        <v>0</v>
      </c>
      <c r="AJ2984" s="28"/>
      <c r="AK2984" s="28" t="n">
        <f aca="false">AJ2984*$M2984</f>
        <v>0</v>
      </c>
      <c r="AL2984" s="28"/>
      <c r="AM2984" s="28" t="n">
        <f aca="false">AL2984*$M2984</f>
        <v>0</v>
      </c>
      <c r="AN2984" s="28"/>
      <c r="AO2984" s="28" t="n">
        <f aca="false">AN2984*$M2984</f>
        <v>0</v>
      </c>
      <c r="AP2984" s="28"/>
      <c r="AQ2984" s="28" t="n">
        <f aca="false">AP2984*$M2984</f>
        <v>0</v>
      </c>
      <c r="AR2984" s="28"/>
      <c r="AS2984" s="28" t="n">
        <f aca="false">AR2984*$M2984</f>
        <v>0</v>
      </c>
      <c r="AT2984" s="28"/>
      <c r="AU2984" s="28" t="n">
        <f aca="false">AT2984*$M2984</f>
        <v>0</v>
      </c>
      <c r="AV2984" s="28"/>
      <c r="AW2984" s="28" t="n">
        <f aca="false">AV2984*$M2984</f>
        <v>0</v>
      </c>
      <c r="AX2984" s="28"/>
      <c r="AY2984" s="28" t="n">
        <f aca="false">AX2984*$M2984</f>
        <v>0</v>
      </c>
      <c r="AZ2984" s="30" t="n">
        <f aca="false">13174/100</f>
        <v>131.74</v>
      </c>
      <c r="BA2984" s="11" t="n">
        <v>31618</v>
      </c>
      <c r="BB2984" s="31" t="n">
        <f aca="false">SUM(Q2984,S2984,U2984,W2984,Y2984,AA2984,AC2984,AE2984,AG2984,AI2984,AK2984,AM2984,AO2984,AQ2984,AS2984,AU2984,AW2984,AY2984)</f>
        <v>31618</v>
      </c>
      <c r="BC2984" s="28" t="n">
        <f aca="false">BA2984-BB2984</f>
        <v>0</v>
      </c>
      <c r="BD2984" s="32" t="n">
        <f aca="false">SUM(P2984,R2984,T2984,V2984,X2984,Z2984,AB2984,AD2984,AF2984,AH2984,AJ2984,AL2984,AN2984,AP2984,AR2984,AT2984,AV2984,AX2984)</f>
        <v>131.74</v>
      </c>
      <c r="BE2984" s="33" t="n">
        <f aca="false">AZ2984-BD2984</f>
        <v>0</v>
      </c>
      <c r="BF2984" s="34" t="n">
        <f aca="false">BD2984*M2984</f>
        <v>31617.6</v>
      </c>
      <c r="BG2984" s="35" t="n">
        <f aca="false">BA2984-BF2984</f>
        <v>0.399999999997817</v>
      </c>
      <c r="BH2984" s="19" t="str">
        <f aca="false">IF(BG2984=0,"",IF(BG2984&lt;&gt;BA2984,"erreur de calcul",IF(BD2984&lt;&gt;0,"pas de prix",IF(M2984&lt;&gt; 0,"pas de quantité","pas de prix, ni de quantité"))))</f>
        <v>erreur de calcul</v>
      </c>
      <c r="BI2984" s="19"/>
    </row>
    <row r="2985" customFormat="false" ht="15" hidden="false" customHeight="false" outlineLevel="0" collapsed="false">
      <c r="A2985" s="0" t="n">
        <v>11</v>
      </c>
      <c r="B2985" s="8" t="s">
        <v>24</v>
      </c>
      <c r="C2985" s="9" t="s">
        <v>25</v>
      </c>
      <c r="D2985" s="9" t="s">
        <v>26</v>
      </c>
      <c r="E2985" s="10" t="n">
        <v>1789</v>
      </c>
      <c r="F2985" s="9" t="s">
        <v>27</v>
      </c>
      <c r="G2985" s="9" t="s">
        <v>27</v>
      </c>
      <c r="H2985" s="11" t="n">
        <v>23</v>
      </c>
      <c r="I2985" s="11" t="s">
        <v>253</v>
      </c>
      <c r="J2985" s="14" t="n">
        <v>190</v>
      </c>
      <c r="K2985" s="14"/>
      <c r="L2985" s="16"/>
      <c r="M2985" s="27" t="n">
        <f aca="false">J2985+(K2985/20)+(L2985/240)</f>
        <v>190</v>
      </c>
      <c r="N2985" s="17" t="s">
        <v>64</v>
      </c>
      <c r="O2985" s="11"/>
      <c r="P2985" s="28"/>
      <c r="Q2985" s="28" t="n">
        <f aca="false">P2985*$M2985</f>
        <v>0</v>
      </c>
      <c r="R2985" s="28"/>
      <c r="S2985" s="28" t="n">
        <f aca="false">R2985*$M2985</f>
        <v>0</v>
      </c>
      <c r="T2985" s="28"/>
      <c r="U2985" s="28" t="n">
        <f aca="false">T2985*$M2985</f>
        <v>0</v>
      </c>
      <c r="V2985" s="28" t="n">
        <f aca="false">14963/100</f>
        <v>149.63</v>
      </c>
      <c r="W2985" s="36" t="n">
        <v>28420</v>
      </c>
      <c r="X2985" s="28"/>
      <c r="Y2985" s="28" t="n">
        <f aca="false">X2985*$M2985</f>
        <v>0</v>
      </c>
      <c r="Z2985" s="28"/>
      <c r="AA2985" s="28" t="n">
        <f aca="false">Z2985*$M2985</f>
        <v>0</v>
      </c>
      <c r="AB2985" s="28"/>
      <c r="AC2985" s="28" t="n">
        <f aca="false">AB2985*$M2985</f>
        <v>0</v>
      </c>
      <c r="AD2985" s="28"/>
      <c r="AE2985" s="28" t="n">
        <f aca="false">AD2985*$M2985</f>
        <v>0</v>
      </c>
      <c r="AF2985" s="28"/>
      <c r="AG2985" s="28" t="n">
        <f aca="false">AF2985*$M2985</f>
        <v>0</v>
      </c>
      <c r="AH2985" s="28"/>
      <c r="AI2985" s="28" t="n">
        <f aca="false">AH2985*$M2985</f>
        <v>0</v>
      </c>
      <c r="AJ2985" s="28"/>
      <c r="AK2985" s="28" t="n">
        <f aca="false">AJ2985*$M2985</f>
        <v>0</v>
      </c>
      <c r="AL2985" s="28"/>
      <c r="AM2985" s="28" t="n">
        <f aca="false">AL2985*$M2985</f>
        <v>0</v>
      </c>
      <c r="AN2985" s="28"/>
      <c r="AO2985" s="28" t="n">
        <f aca="false">AN2985*$M2985</f>
        <v>0</v>
      </c>
      <c r="AP2985" s="28"/>
      <c r="AQ2985" s="28" t="n">
        <f aca="false">AP2985*$M2985</f>
        <v>0</v>
      </c>
      <c r="AR2985" s="28"/>
      <c r="AS2985" s="28" t="n">
        <f aca="false">AR2985*$M2985</f>
        <v>0</v>
      </c>
      <c r="AT2985" s="28"/>
      <c r="AU2985" s="28" t="n">
        <f aca="false">AT2985*$M2985</f>
        <v>0</v>
      </c>
      <c r="AV2985" s="28"/>
      <c r="AW2985" s="28" t="n">
        <f aca="false">AV2985*$M2985</f>
        <v>0</v>
      </c>
      <c r="AX2985" s="28"/>
      <c r="AY2985" s="28" t="n">
        <f aca="false">AX2985*$M2985</f>
        <v>0</v>
      </c>
      <c r="AZ2985" s="30" t="n">
        <f aca="false">14963/100</f>
        <v>149.63</v>
      </c>
      <c r="BA2985" s="11" t="n">
        <v>28420</v>
      </c>
      <c r="BB2985" s="31" t="n">
        <f aca="false">SUM(Q2985,S2985,U2985,W2985,Y2985,AA2985,AC2985,AE2985,AG2985,AI2985,AK2985,AM2985,AO2985,AQ2985,AS2985,AU2985,AW2985,AY2985)</f>
        <v>28420</v>
      </c>
      <c r="BC2985" s="28" t="n">
        <f aca="false">BA2985-BB2985</f>
        <v>0</v>
      </c>
      <c r="BD2985" s="32" t="n">
        <f aca="false">SUM(P2985,R2985,T2985,V2985,X2985,Z2985,AB2985,AD2985,AF2985,AH2985,AJ2985,AL2985,AN2985,AP2985,AR2985,AT2985,AV2985,AX2985)</f>
        <v>149.63</v>
      </c>
      <c r="BE2985" s="33" t="n">
        <f aca="false">AZ2985-BD2985</f>
        <v>0</v>
      </c>
      <c r="BF2985" s="34" t="n">
        <f aca="false">BD2985*M2985</f>
        <v>28429.7</v>
      </c>
      <c r="BG2985" s="35" t="n">
        <f aca="false">BA2985-BF2985</f>
        <v>-9.70000000000073</v>
      </c>
      <c r="BH2985" s="19" t="str">
        <f aca="false">IF(BG2985=0,"",IF(BG2985&lt;&gt;BA2985,"erreur de calcul",IF(BD2985&lt;&gt;0,"pas de prix",IF(M2985&lt;&gt; 0,"pas de quantité","pas de prix, ni de quantité"))))</f>
        <v>erreur de calcul</v>
      </c>
      <c r="BI2985" s="19"/>
    </row>
    <row r="2986" customFormat="false" ht="15" hidden="false" customHeight="false" outlineLevel="0" collapsed="false">
      <c r="A2986" s="0" t="n">
        <v>12</v>
      </c>
      <c r="B2986" s="8" t="s">
        <v>24</v>
      </c>
      <c r="C2986" s="9" t="s">
        <v>25</v>
      </c>
      <c r="D2986" s="9" t="s">
        <v>26</v>
      </c>
      <c r="E2986" s="10" t="n">
        <v>1789</v>
      </c>
      <c r="F2986" s="9" t="s">
        <v>27</v>
      </c>
      <c r="G2986" s="9" t="s">
        <v>27</v>
      </c>
      <c r="H2986" s="11" t="n">
        <v>23</v>
      </c>
      <c r="I2986" s="11" t="s">
        <v>254</v>
      </c>
      <c r="J2986" s="14" t="n">
        <v>14</v>
      </c>
      <c r="K2986" s="14"/>
      <c r="L2986" s="16"/>
      <c r="M2986" s="27" t="n">
        <f aca="false">J2986+(K2986/20)+(L2986/240)</f>
        <v>14</v>
      </c>
      <c r="N2986" s="17" t="s">
        <v>64</v>
      </c>
      <c r="O2986" s="11"/>
      <c r="P2986" s="28"/>
      <c r="Q2986" s="28" t="n">
        <f aca="false">P2986*$M2986</f>
        <v>0</v>
      </c>
      <c r="R2986" s="28"/>
      <c r="S2986" s="28" t="n">
        <f aca="false">R2986*$M2986</f>
        <v>0</v>
      </c>
      <c r="T2986" s="28"/>
      <c r="U2986" s="28" t="n">
        <f aca="false">T2986*$M2986</f>
        <v>0</v>
      </c>
      <c r="V2986" s="28"/>
      <c r="W2986" s="28" t="n">
        <f aca="false">V2986*$M2986</f>
        <v>0</v>
      </c>
      <c r="X2986" s="28" t="n">
        <f aca="false">445483/100</f>
        <v>4454.83</v>
      </c>
      <c r="Y2986" s="28" t="n">
        <v>62368</v>
      </c>
      <c r="Z2986" s="28"/>
      <c r="AA2986" s="28" t="n">
        <f aca="false">Z2986*$M2986</f>
        <v>0</v>
      </c>
      <c r="AB2986" s="28"/>
      <c r="AC2986" s="28" t="n">
        <f aca="false">AB2986*$M2986</f>
        <v>0</v>
      </c>
      <c r="AD2986" s="28"/>
      <c r="AE2986" s="28" t="n">
        <f aca="false">AD2986*$M2986</f>
        <v>0</v>
      </c>
      <c r="AF2986" s="28"/>
      <c r="AG2986" s="28" t="n">
        <f aca="false">AF2986*$M2986</f>
        <v>0</v>
      </c>
      <c r="AH2986" s="28"/>
      <c r="AI2986" s="28" t="n">
        <f aca="false">AH2986*$M2986</f>
        <v>0</v>
      </c>
      <c r="AJ2986" s="28"/>
      <c r="AK2986" s="28" t="n">
        <f aca="false">AJ2986*$M2986</f>
        <v>0</v>
      </c>
      <c r="AL2986" s="28"/>
      <c r="AM2986" s="28" t="n">
        <f aca="false">AL2986*$M2986</f>
        <v>0</v>
      </c>
      <c r="AN2986" s="28"/>
      <c r="AO2986" s="28" t="n">
        <f aca="false">AN2986*$M2986</f>
        <v>0</v>
      </c>
      <c r="AP2986" s="28"/>
      <c r="AQ2986" s="28" t="n">
        <f aca="false">AP2986*$M2986</f>
        <v>0</v>
      </c>
      <c r="AR2986" s="28"/>
      <c r="AS2986" s="28" t="n">
        <f aca="false">AR2986*$M2986</f>
        <v>0</v>
      </c>
      <c r="AT2986" s="28"/>
      <c r="AU2986" s="28" t="n">
        <f aca="false">AT2986*$M2986</f>
        <v>0</v>
      </c>
      <c r="AV2986" s="28"/>
      <c r="AW2986" s="28" t="n">
        <f aca="false">AV2986*$M2986</f>
        <v>0</v>
      </c>
      <c r="AX2986" s="28"/>
      <c r="AY2986" s="28" t="n">
        <f aca="false">AX2986*$M2986</f>
        <v>0</v>
      </c>
      <c r="AZ2986" s="30" t="n">
        <f aca="false">445483/100</f>
        <v>4454.83</v>
      </c>
      <c r="BA2986" s="11" t="n">
        <v>62368</v>
      </c>
      <c r="BB2986" s="31" t="n">
        <f aca="false">SUM(Q2986,S2986,U2986,W2986,Y2986,AA2986,AC2986,AE2986,AG2986,AI2986,AK2986,AM2986,AO2986,AQ2986,AS2986,AU2986,AW2986,AY2986)</f>
        <v>62368</v>
      </c>
      <c r="BC2986" s="28" t="n">
        <f aca="false">BA2986-BB2986</f>
        <v>0</v>
      </c>
      <c r="BD2986" s="32" t="n">
        <f aca="false">SUM(P2986,R2986,T2986,V2986,X2986,Z2986,AB2986,AD2986,AF2986,AH2986,AJ2986,AL2986,AN2986,AP2986,AR2986,AT2986,AV2986,AX2986)</f>
        <v>4454.83</v>
      </c>
      <c r="BE2986" s="33" t="n">
        <f aca="false">AZ2986-BD2986</f>
        <v>0</v>
      </c>
      <c r="BF2986" s="34" t="n">
        <f aca="false">BD2986*M2986</f>
        <v>62367.62</v>
      </c>
      <c r="BG2986" s="35" t="n">
        <f aca="false">BA2986-BF2986</f>
        <v>0.380000000004657</v>
      </c>
      <c r="BH2986" s="19" t="str">
        <f aca="false">IF(BG2986=0,"",IF(BG2986&lt;&gt;BA2986,"erreur de calcul",IF(BD2986&lt;&gt;0,"pas de prix",IF(M2986&lt;&gt; 0,"pas de quantité","pas de prix, ni de quantité"))))</f>
        <v>erreur de calcul</v>
      </c>
      <c r="BI2986" s="19"/>
    </row>
    <row r="2987" customFormat="false" ht="15" hidden="false" customHeight="false" outlineLevel="0" collapsed="false">
      <c r="A2987" s="0" t="n">
        <v>13</v>
      </c>
      <c r="B2987" s="8" t="s">
        <v>24</v>
      </c>
      <c r="C2987" s="9" t="s">
        <v>25</v>
      </c>
      <c r="D2987" s="9" t="s">
        <v>26</v>
      </c>
      <c r="E2987" s="10" t="n">
        <v>1789</v>
      </c>
      <c r="F2987" s="9" t="s">
        <v>27</v>
      </c>
      <c r="G2987" s="9" t="s">
        <v>27</v>
      </c>
      <c r="H2987" s="11" t="n">
        <v>23</v>
      </c>
      <c r="I2987" s="11" t="s">
        <v>255</v>
      </c>
      <c r="J2987" s="14" t="n">
        <v>6</v>
      </c>
      <c r="K2987" s="14"/>
      <c r="L2987" s="16"/>
      <c r="M2987" s="27" t="n">
        <f aca="false">J2987+(K2987/20)+(L2987/240)</f>
        <v>6</v>
      </c>
      <c r="N2987" s="17" t="s">
        <v>64</v>
      </c>
      <c r="O2987" s="11"/>
      <c r="P2987" s="28"/>
      <c r="Q2987" s="28" t="n">
        <f aca="false">P2987*$M2987</f>
        <v>0</v>
      </c>
      <c r="R2987" s="28"/>
      <c r="S2987" s="28" t="n">
        <f aca="false">R2987*$M2987</f>
        <v>0</v>
      </c>
      <c r="T2987" s="28"/>
      <c r="U2987" s="28" t="n">
        <f aca="false">T2987*$M2987</f>
        <v>0</v>
      </c>
      <c r="V2987" s="28" t="n">
        <f aca="false">8263/100</f>
        <v>82.63</v>
      </c>
      <c r="W2987" s="28" t="n">
        <v>496</v>
      </c>
      <c r="X2987" s="28"/>
      <c r="Y2987" s="28" t="n">
        <f aca="false">X2987*$M2987</f>
        <v>0</v>
      </c>
      <c r="Z2987" s="28" t="n">
        <f aca="false">62695/100</f>
        <v>626.95</v>
      </c>
      <c r="AA2987" s="28" t="n">
        <v>3762</v>
      </c>
      <c r="AB2987" s="28"/>
      <c r="AC2987" s="28" t="n">
        <f aca="false">AB2987*$M2987</f>
        <v>0</v>
      </c>
      <c r="AD2987" s="28"/>
      <c r="AE2987" s="28" t="n">
        <f aca="false">AD2987*$M2987</f>
        <v>0</v>
      </c>
      <c r="AF2987" s="28"/>
      <c r="AG2987" s="28" t="n">
        <f aca="false">AF2987*$M2987</f>
        <v>0</v>
      </c>
      <c r="AH2987" s="28"/>
      <c r="AI2987" s="28" t="n">
        <f aca="false">AH2987*$M2987</f>
        <v>0</v>
      </c>
      <c r="AJ2987" s="28"/>
      <c r="AK2987" s="28" t="n">
        <f aca="false">AJ2987*$M2987</f>
        <v>0</v>
      </c>
      <c r="AL2987" s="28"/>
      <c r="AM2987" s="28" t="n">
        <f aca="false">AL2987*$M2987</f>
        <v>0</v>
      </c>
      <c r="AN2987" s="28"/>
      <c r="AO2987" s="28" t="n">
        <f aca="false">AN2987*$M2987</f>
        <v>0</v>
      </c>
      <c r="AP2987" s="28"/>
      <c r="AQ2987" s="28" t="n">
        <f aca="false">AP2987*$M2987</f>
        <v>0</v>
      </c>
      <c r="AR2987" s="28"/>
      <c r="AS2987" s="28" t="n">
        <f aca="false">AR2987*$M2987</f>
        <v>0</v>
      </c>
      <c r="AT2987" s="28"/>
      <c r="AU2987" s="28" t="n">
        <f aca="false">AT2987*$M2987</f>
        <v>0</v>
      </c>
      <c r="AV2987" s="28"/>
      <c r="AW2987" s="28" t="n">
        <f aca="false">AV2987*$M2987</f>
        <v>0</v>
      </c>
      <c r="AX2987" s="28"/>
      <c r="AY2987" s="28" t="n">
        <f aca="false">AX2987*$M2987</f>
        <v>0</v>
      </c>
      <c r="AZ2987" s="30" t="n">
        <f aca="false">70958/100</f>
        <v>709.58</v>
      </c>
      <c r="BA2987" s="11" t="n">
        <v>4258</v>
      </c>
      <c r="BB2987" s="31" t="n">
        <f aca="false">SUM(Q2987,S2987,U2987,W2987,Y2987,AA2987,AC2987,AE2987,AG2987,AI2987,AK2987,AM2987,AO2987,AQ2987,AS2987,AU2987,AW2987,AY2987)</f>
        <v>4258</v>
      </c>
      <c r="BC2987" s="28" t="n">
        <f aca="false">BA2987-BB2987</f>
        <v>0</v>
      </c>
      <c r="BD2987" s="32" t="n">
        <f aca="false">SUM(P2987,R2987,T2987,V2987,X2987,Z2987,AB2987,AD2987,AF2987,AH2987,AJ2987,AL2987,AN2987,AP2987,AR2987,AT2987,AV2987,AX2987)</f>
        <v>709.58</v>
      </c>
      <c r="BE2987" s="33" t="n">
        <f aca="false">AZ2987-BD2987</f>
        <v>0</v>
      </c>
      <c r="BF2987" s="34" t="n">
        <f aca="false">BD2987*M2987</f>
        <v>4257.48</v>
      </c>
      <c r="BG2987" s="35" t="n">
        <f aca="false">BA2987-BF2987</f>
        <v>0.519999999999527</v>
      </c>
      <c r="BH2987" s="19" t="str">
        <f aca="false">IF(BG2987=0,"",IF(BG2987&lt;&gt;BA2987,"erreur de calcul",IF(BD2987&lt;&gt;0,"pas de prix",IF(M2987&lt;&gt; 0,"pas de quantité","pas de prix, ni de quantité"))))</f>
        <v>erreur de calcul</v>
      </c>
      <c r="BI2987" s="19"/>
    </row>
    <row r="2988" customFormat="false" ht="15" hidden="false" customHeight="false" outlineLevel="0" collapsed="false">
      <c r="A2988" s="0" t="n">
        <v>14</v>
      </c>
      <c r="B2988" s="8" t="s">
        <v>24</v>
      </c>
      <c r="C2988" s="9" t="s">
        <v>25</v>
      </c>
      <c r="D2988" s="9" t="s">
        <v>26</v>
      </c>
      <c r="E2988" s="10" t="n">
        <v>1789</v>
      </c>
      <c r="F2988" s="9" t="s">
        <v>27</v>
      </c>
      <c r="G2988" s="9" t="s">
        <v>27</v>
      </c>
      <c r="H2988" s="11" t="n">
        <v>23</v>
      </c>
      <c r="I2988" s="11" t="s">
        <v>256</v>
      </c>
      <c r="J2988" s="14" t="n">
        <v>30</v>
      </c>
      <c r="K2988" s="14"/>
      <c r="L2988" s="16"/>
      <c r="M2988" s="27" t="n">
        <f aca="false">J2988+(K2988/20)+(L2988/240)</f>
        <v>30</v>
      </c>
      <c r="N2988" s="17" t="s">
        <v>64</v>
      </c>
      <c r="O2988" s="11"/>
      <c r="P2988" s="28" t="n">
        <f aca="false">1584/100</f>
        <v>15.84</v>
      </c>
      <c r="Q2988" s="28" t="n">
        <v>475</v>
      </c>
      <c r="R2988" s="28"/>
      <c r="S2988" s="28" t="n">
        <f aca="false">R2988*$M2988</f>
        <v>0</v>
      </c>
      <c r="T2988" s="28" t="n">
        <f aca="false">78834/100</f>
        <v>788.34</v>
      </c>
      <c r="U2988" s="28" t="n">
        <v>23650</v>
      </c>
      <c r="V2988" s="28"/>
      <c r="W2988" s="28" t="n">
        <f aca="false">V2988*$M2988</f>
        <v>0</v>
      </c>
      <c r="X2988" s="28"/>
      <c r="Y2988" s="28" t="n">
        <f aca="false">X2988*$M2988</f>
        <v>0</v>
      </c>
      <c r="Z2988" s="28"/>
      <c r="AA2988" s="28" t="n">
        <f aca="false">Z2988*$M2988</f>
        <v>0</v>
      </c>
      <c r="AB2988" s="28"/>
      <c r="AC2988" s="28" t="n">
        <f aca="false">AB2988*$M2988</f>
        <v>0</v>
      </c>
      <c r="AD2988" s="28"/>
      <c r="AE2988" s="28" t="n">
        <f aca="false">AD2988*$M2988</f>
        <v>0</v>
      </c>
      <c r="AF2988" s="28"/>
      <c r="AG2988" s="28" t="n">
        <f aca="false">AF2988*$M2988</f>
        <v>0</v>
      </c>
      <c r="AH2988" s="28"/>
      <c r="AI2988" s="28" t="n">
        <f aca="false">AH2988*$M2988</f>
        <v>0</v>
      </c>
      <c r="AJ2988" s="28"/>
      <c r="AK2988" s="28" t="n">
        <f aca="false">AJ2988*$M2988</f>
        <v>0</v>
      </c>
      <c r="AL2988" s="28"/>
      <c r="AM2988" s="28" t="n">
        <f aca="false">AL2988*$M2988</f>
        <v>0</v>
      </c>
      <c r="AN2988" s="28"/>
      <c r="AO2988" s="28" t="n">
        <f aca="false">AN2988*$M2988</f>
        <v>0</v>
      </c>
      <c r="AP2988" s="28"/>
      <c r="AQ2988" s="28" t="n">
        <f aca="false">AP2988*$M2988</f>
        <v>0</v>
      </c>
      <c r="AR2988" s="28"/>
      <c r="AS2988" s="28" t="n">
        <f aca="false">AR2988*$M2988</f>
        <v>0</v>
      </c>
      <c r="AT2988" s="28"/>
      <c r="AU2988" s="28" t="n">
        <f aca="false">AT2988*$M2988</f>
        <v>0</v>
      </c>
      <c r="AV2988" s="28"/>
      <c r="AW2988" s="28" t="n">
        <f aca="false">AV2988*$M2988</f>
        <v>0</v>
      </c>
      <c r="AX2988" s="28"/>
      <c r="AY2988" s="28" t="n">
        <f aca="false">AX2988*$M2988</f>
        <v>0</v>
      </c>
      <c r="AZ2988" s="30" t="n">
        <f aca="false">80418/100</f>
        <v>804.18</v>
      </c>
      <c r="BA2988" s="11" t="n">
        <v>24125</v>
      </c>
      <c r="BB2988" s="31" t="n">
        <f aca="false">SUM(Q2988,S2988,U2988,W2988,Y2988,AA2988,AC2988,AE2988,AG2988,AI2988,AK2988,AM2988,AO2988,AQ2988,AS2988,AU2988,AW2988,AY2988)</f>
        <v>24125</v>
      </c>
      <c r="BC2988" s="28" t="n">
        <f aca="false">BA2988-BB2988</f>
        <v>0</v>
      </c>
      <c r="BD2988" s="32" t="n">
        <f aca="false">SUM(P2988,R2988,T2988,V2988,X2988,Z2988,AB2988,AD2988,AF2988,AH2988,AJ2988,AL2988,AN2988,AP2988,AR2988,AT2988,AV2988,AX2988)</f>
        <v>804.18</v>
      </c>
      <c r="BE2988" s="33" t="n">
        <f aca="false">AZ2988-BD2988</f>
        <v>0</v>
      </c>
      <c r="BF2988" s="34" t="n">
        <f aca="false">BD2988*M2988</f>
        <v>24125.4</v>
      </c>
      <c r="BG2988" s="35" t="n">
        <f aca="false">BA2988-BF2988</f>
        <v>-0.400000000001455</v>
      </c>
      <c r="BH2988" s="19" t="str">
        <f aca="false">IF(BG2988=0,"",IF(BG2988&lt;&gt;BA2988,"erreur de calcul",IF(BD2988&lt;&gt;0,"pas de prix",IF(M2988&lt;&gt; 0,"pas de quantité","pas de prix, ni de quantité"))))</f>
        <v>erreur de calcul</v>
      </c>
      <c r="BI2988" s="19"/>
    </row>
    <row r="2989" customFormat="false" ht="15" hidden="false" customHeight="false" outlineLevel="0" collapsed="false">
      <c r="A2989" s="0" t="n">
        <v>15</v>
      </c>
      <c r="B2989" s="8" t="s">
        <v>24</v>
      </c>
      <c r="C2989" s="9" t="s">
        <v>25</v>
      </c>
      <c r="D2989" s="9" t="s">
        <v>26</v>
      </c>
      <c r="E2989" s="10" t="n">
        <v>1789</v>
      </c>
      <c r="F2989" s="9" t="s">
        <v>27</v>
      </c>
      <c r="G2989" s="9" t="s">
        <v>27</v>
      </c>
      <c r="H2989" s="11" t="n">
        <v>23</v>
      </c>
      <c r="I2989" s="11" t="s">
        <v>257</v>
      </c>
      <c r="J2989" s="14" t="n">
        <v>40</v>
      </c>
      <c r="K2989" s="14"/>
      <c r="L2989" s="16"/>
      <c r="M2989" s="27" t="n">
        <f aca="false">J2989+(K2989/20)+(L2989/240)</f>
        <v>40</v>
      </c>
      <c r="N2989" s="17" t="s">
        <v>64</v>
      </c>
      <c r="O2989" s="11"/>
      <c r="P2989" s="28"/>
      <c r="Q2989" s="28" t="n">
        <f aca="false">P2989*$M2989</f>
        <v>0</v>
      </c>
      <c r="R2989" s="28"/>
      <c r="S2989" s="28" t="n">
        <f aca="false">R2989*$M2989</f>
        <v>0</v>
      </c>
      <c r="T2989" s="28"/>
      <c r="U2989" s="28" t="n">
        <f aca="false">T2989*$M2989</f>
        <v>0</v>
      </c>
      <c r="V2989" s="28"/>
      <c r="W2989" s="28" t="n">
        <f aca="false">V2989*$M2989</f>
        <v>0</v>
      </c>
      <c r="X2989" s="28"/>
      <c r="Y2989" s="28" t="n">
        <f aca="false">X2989*$M2989</f>
        <v>0</v>
      </c>
      <c r="Z2989" s="28"/>
      <c r="AA2989" s="28" t="n">
        <f aca="false">Z2989*$M2989</f>
        <v>0</v>
      </c>
      <c r="AB2989" s="28"/>
      <c r="AC2989" s="28" t="n">
        <f aca="false">AB2989*$M2989</f>
        <v>0</v>
      </c>
      <c r="AD2989" s="28"/>
      <c r="AE2989" s="28" t="n">
        <f aca="false">AD2989*$M2989</f>
        <v>0</v>
      </c>
      <c r="AF2989" s="28"/>
      <c r="AG2989" s="28" t="n">
        <f aca="false">AF2989*$M2989</f>
        <v>0</v>
      </c>
      <c r="AH2989" s="28"/>
      <c r="AI2989" s="28" t="n">
        <f aca="false">AH2989*$M2989</f>
        <v>0</v>
      </c>
      <c r="AJ2989" s="28" t="n">
        <f aca="false">784564/100</f>
        <v>7845.64</v>
      </c>
      <c r="AK2989" s="28" t="n">
        <v>313826</v>
      </c>
      <c r="AL2989" s="28" t="n">
        <f aca="false">33500/100</f>
        <v>335</v>
      </c>
      <c r="AM2989" s="28" t="n">
        <v>13400</v>
      </c>
      <c r="AN2989" s="28"/>
      <c r="AO2989" s="28" t="n">
        <f aca="false">AN2989*$M2989</f>
        <v>0</v>
      </c>
      <c r="AP2989" s="28"/>
      <c r="AQ2989" s="28" t="n">
        <f aca="false">AP2989*$M2989</f>
        <v>0</v>
      </c>
      <c r="AR2989" s="28"/>
      <c r="AS2989" s="28" t="n">
        <f aca="false">AR2989*$M2989</f>
        <v>0</v>
      </c>
      <c r="AT2989" s="28"/>
      <c r="AU2989" s="28" t="n">
        <f aca="false">AT2989*$M2989</f>
        <v>0</v>
      </c>
      <c r="AV2989" s="28"/>
      <c r="AW2989" s="28" t="n">
        <f aca="false">AV2989*$M2989</f>
        <v>0</v>
      </c>
      <c r="AX2989" s="28"/>
      <c r="AY2989" s="28" t="n">
        <f aca="false">AX2989*$M2989</f>
        <v>0</v>
      </c>
      <c r="AZ2989" s="30" t="n">
        <f aca="false">818064/100</f>
        <v>8180.64</v>
      </c>
      <c r="BA2989" s="11" t="n">
        <v>327226</v>
      </c>
      <c r="BB2989" s="31" t="n">
        <f aca="false">SUM(Q2989,S2989,U2989,W2989,Y2989,AA2989,AC2989,AE2989,AG2989,AI2989,AK2989,AM2989,AO2989,AQ2989,AS2989,AU2989,AW2989,AY2989)</f>
        <v>327226</v>
      </c>
      <c r="BC2989" s="28" t="n">
        <f aca="false">BA2989-BB2989</f>
        <v>0</v>
      </c>
      <c r="BD2989" s="32" t="n">
        <f aca="false">SUM(P2989,R2989,T2989,V2989,X2989,Z2989,AB2989,AD2989,AF2989,AH2989,AJ2989,AL2989,AN2989,AP2989,AR2989,AT2989,AV2989,AX2989)</f>
        <v>8180.64</v>
      </c>
      <c r="BE2989" s="33" t="n">
        <f aca="false">AZ2989-BD2989</f>
        <v>0</v>
      </c>
      <c r="BF2989" s="34" t="n">
        <f aca="false">BD2989*M2989</f>
        <v>327225.6</v>
      </c>
      <c r="BG2989" s="35" t="n">
        <f aca="false">BA2989-BF2989</f>
        <v>0.399999999965075</v>
      </c>
      <c r="BH2989" s="19" t="str">
        <f aca="false">IF(BG2989=0,"",IF(BG2989&lt;&gt;BA2989,"erreur de calcul",IF(BD2989&lt;&gt;0,"pas de prix",IF(M2989&lt;&gt; 0,"pas de quantité","pas de prix, ni de quantité"))))</f>
        <v>erreur de calcul</v>
      </c>
      <c r="BI2989" s="19"/>
    </row>
    <row r="2990" customFormat="false" ht="15" hidden="false" customHeight="false" outlineLevel="0" collapsed="false">
      <c r="A2990" s="0" t="n">
        <v>16</v>
      </c>
      <c r="B2990" s="8" t="s">
        <v>24</v>
      </c>
      <c r="C2990" s="9" t="s">
        <v>25</v>
      </c>
      <c r="D2990" s="9" t="s">
        <v>26</v>
      </c>
      <c r="E2990" s="10" t="n">
        <v>1789</v>
      </c>
      <c r="F2990" s="9" t="s">
        <v>27</v>
      </c>
      <c r="G2990" s="9" t="s">
        <v>27</v>
      </c>
      <c r="H2990" s="11" t="n">
        <v>23</v>
      </c>
      <c r="I2990" s="11" t="s">
        <v>258</v>
      </c>
      <c r="J2990" s="14" t="n">
        <v>75</v>
      </c>
      <c r="K2990" s="14"/>
      <c r="L2990" s="16"/>
      <c r="M2990" s="27" t="n">
        <f aca="false">J2990+(K2990/20)+(L2990/240)</f>
        <v>75</v>
      </c>
      <c r="N2990" s="17" t="s">
        <v>64</v>
      </c>
      <c r="O2990" s="11"/>
      <c r="P2990" s="28"/>
      <c r="Q2990" s="28" t="n">
        <f aca="false">P2990*$M2990</f>
        <v>0</v>
      </c>
      <c r="R2990" s="28"/>
      <c r="S2990" s="28" t="n">
        <f aca="false">R2990*$M2990</f>
        <v>0</v>
      </c>
      <c r="T2990" s="28" t="n">
        <f aca="false">1000/100</f>
        <v>10</v>
      </c>
      <c r="U2990" s="28" t="n">
        <v>750</v>
      </c>
      <c r="V2990" s="28" t="n">
        <f aca="false">17232/100</f>
        <v>172.32</v>
      </c>
      <c r="W2990" s="28" t="n">
        <v>12924</v>
      </c>
      <c r="X2990" s="28" t="n">
        <f aca="false">942/100</f>
        <v>9.42</v>
      </c>
      <c r="Y2990" s="28" t="n">
        <v>706</v>
      </c>
      <c r="Z2990" s="28"/>
      <c r="AA2990" s="28" t="n">
        <f aca="false">Z2990*$M2990</f>
        <v>0</v>
      </c>
      <c r="AB2990" s="28" t="n">
        <f aca="false">415/100</f>
        <v>4.15</v>
      </c>
      <c r="AC2990" s="28" t="n">
        <v>311</v>
      </c>
      <c r="AD2990" s="28"/>
      <c r="AE2990" s="28" t="n">
        <f aca="false">AD2990*$M2990</f>
        <v>0</v>
      </c>
      <c r="AF2990" s="28"/>
      <c r="AG2990" s="28" t="n">
        <f aca="false">AF2990*$M2990</f>
        <v>0</v>
      </c>
      <c r="AH2990" s="28"/>
      <c r="AI2990" s="28" t="n">
        <f aca="false">AH2990*$M2990</f>
        <v>0</v>
      </c>
      <c r="AJ2990" s="28"/>
      <c r="AK2990" s="28" t="n">
        <f aca="false">AJ2990*$M2990</f>
        <v>0</v>
      </c>
      <c r="AL2990" s="28"/>
      <c r="AM2990" s="28" t="n">
        <f aca="false">AL2990*$M2990</f>
        <v>0</v>
      </c>
      <c r="AN2990" s="28"/>
      <c r="AO2990" s="28" t="n">
        <f aca="false">AN2990*$M2990</f>
        <v>0</v>
      </c>
      <c r="AP2990" s="28"/>
      <c r="AQ2990" s="28" t="n">
        <f aca="false">AP2990*$M2990</f>
        <v>0</v>
      </c>
      <c r="AR2990" s="28"/>
      <c r="AS2990" s="28" t="n">
        <f aca="false">AR2990*$M2990</f>
        <v>0</v>
      </c>
      <c r="AT2990" s="28"/>
      <c r="AU2990" s="28" t="n">
        <f aca="false">AT2990*$M2990</f>
        <v>0</v>
      </c>
      <c r="AV2990" s="28"/>
      <c r="AW2990" s="28" t="n">
        <f aca="false">AV2990*$M2990</f>
        <v>0</v>
      </c>
      <c r="AX2990" s="28"/>
      <c r="AY2990" s="28" t="n">
        <f aca="false">AX2990*$M2990</f>
        <v>0</v>
      </c>
      <c r="AZ2990" s="30" t="n">
        <f aca="false">19589/100</f>
        <v>195.89</v>
      </c>
      <c r="BA2990" s="11" t="n">
        <v>14691</v>
      </c>
      <c r="BB2990" s="31" t="n">
        <f aca="false">SUM(Q2990,S2990,U2990,W2990,Y2990,AA2990,AC2990,AE2990,AG2990,AI2990,AK2990,AM2990,AO2990,AQ2990,AS2990,AU2990,AW2990,AY2990)</f>
        <v>14691</v>
      </c>
      <c r="BC2990" s="28" t="n">
        <f aca="false">BA2990-BB2990</f>
        <v>0</v>
      </c>
      <c r="BD2990" s="32" t="n">
        <f aca="false">SUM(P2990,R2990,T2990,V2990,X2990,Z2990,AB2990,AD2990,AF2990,AH2990,AJ2990,AL2990,AN2990,AP2990,AR2990,AT2990,AV2990,AX2990)</f>
        <v>195.89</v>
      </c>
      <c r="BE2990" s="33" t="n">
        <f aca="false">AZ2990-BD2990</f>
        <v>0</v>
      </c>
      <c r="BF2990" s="34" t="n">
        <f aca="false">BD2990*M2990</f>
        <v>14691.75</v>
      </c>
      <c r="BG2990" s="35" t="n">
        <f aca="false">BA2990-BF2990</f>
        <v>-0.749999999998181</v>
      </c>
      <c r="BH2990" s="19" t="str">
        <f aca="false">IF(BG2990=0,"",IF(BG2990&lt;&gt;BA2990,"erreur de calcul",IF(BD2990&lt;&gt;0,"pas de prix",IF(M2990&lt;&gt; 0,"pas de quantité","pas de prix, ni de quantité"))))</f>
        <v>erreur de calcul</v>
      </c>
      <c r="BI2990" s="19"/>
    </row>
    <row r="2991" customFormat="false" ht="15" hidden="false" customHeight="false" outlineLevel="0" collapsed="false">
      <c r="A2991" s="0" t="n">
        <v>17</v>
      </c>
      <c r="B2991" s="8" t="s">
        <v>24</v>
      </c>
      <c r="C2991" s="9" t="s">
        <v>25</v>
      </c>
      <c r="D2991" s="9" t="s">
        <v>26</v>
      </c>
      <c r="E2991" s="10" t="n">
        <v>1789</v>
      </c>
      <c r="F2991" s="9" t="s">
        <v>27</v>
      </c>
      <c r="G2991" s="9" t="s">
        <v>27</v>
      </c>
      <c r="H2991" s="11" t="n">
        <v>23</v>
      </c>
      <c r="I2991" s="11" t="s">
        <v>259</v>
      </c>
      <c r="J2991" s="14"/>
      <c r="K2991" s="14"/>
      <c r="L2991" s="16"/>
      <c r="M2991" s="27" t="n">
        <f aca="false">J2991+(K2991/20)+(L2991/240)</f>
        <v>0</v>
      </c>
      <c r="N2991" s="17"/>
      <c r="O2991" s="11"/>
      <c r="P2991" s="28"/>
      <c r="Q2991" s="28" t="n">
        <v>957</v>
      </c>
      <c r="R2991" s="28"/>
      <c r="S2991" s="28" t="n">
        <f aca="false">R2991*$M2991</f>
        <v>0</v>
      </c>
      <c r="T2991" s="28"/>
      <c r="U2991" s="28" t="n">
        <v>354</v>
      </c>
      <c r="V2991" s="28"/>
      <c r="W2991" s="28" t="n">
        <v>398</v>
      </c>
      <c r="X2991" s="28"/>
      <c r="Y2991" s="28" t="n">
        <v>685</v>
      </c>
      <c r="Z2991" s="28"/>
      <c r="AA2991" s="28" t="n">
        <v>120</v>
      </c>
      <c r="AB2991" s="28"/>
      <c r="AC2991" s="28" t="n">
        <v>2994</v>
      </c>
      <c r="AD2991" s="28"/>
      <c r="AE2991" s="28" t="n">
        <f aca="false">AD2991*$M2991</f>
        <v>0</v>
      </c>
      <c r="AF2991" s="28"/>
      <c r="AG2991" s="28" t="n">
        <f aca="false">AF2991*$M2991</f>
        <v>0</v>
      </c>
      <c r="AH2991" s="28"/>
      <c r="AI2991" s="28" t="n">
        <v>144</v>
      </c>
      <c r="AJ2991" s="28"/>
      <c r="AK2991" s="28" t="n">
        <f aca="false">AJ2991*$M2991</f>
        <v>0</v>
      </c>
      <c r="AL2991" s="28"/>
      <c r="AM2991" s="28" t="n">
        <f aca="false">AL2991*$M2991</f>
        <v>0</v>
      </c>
      <c r="AN2991" s="28"/>
      <c r="AO2991" s="28" t="n">
        <f aca="false">AN2991*$M2991</f>
        <v>0</v>
      </c>
      <c r="AP2991" s="28"/>
      <c r="AQ2991" s="28" t="n">
        <f aca="false">AP2991*$M2991</f>
        <v>0</v>
      </c>
      <c r="AR2991" s="28"/>
      <c r="AS2991" s="28" t="n">
        <f aca="false">AR2991*$M2991</f>
        <v>0</v>
      </c>
      <c r="AT2991" s="28"/>
      <c r="AU2991" s="28" t="n">
        <f aca="false">AT2991*$M2991</f>
        <v>0</v>
      </c>
      <c r="AV2991" s="28"/>
      <c r="AW2991" s="28" t="n">
        <f aca="false">AV2991*$M2991</f>
        <v>0</v>
      </c>
      <c r="AX2991" s="28"/>
      <c r="AY2991" s="28" t="n">
        <f aca="false">AX2991*$M2991</f>
        <v>0</v>
      </c>
      <c r="AZ2991" s="30"/>
      <c r="BA2991" s="11" t="n">
        <v>5652</v>
      </c>
      <c r="BB2991" s="31" t="n">
        <f aca="false">SUM(Q2991,S2991,U2991,W2991,Y2991,AA2991,AC2991,AE2991,AG2991,AI2991,AK2991,AM2991,AO2991,AQ2991,AS2991,AU2991,AW2991,AY2991)</f>
        <v>5652</v>
      </c>
      <c r="BC2991" s="28" t="n">
        <f aca="false">BA2991-BB2991</f>
        <v>0</v>
      </c>
      <c r="BD2991" s="32" t="n">
        <f aca="false">SUM(P2991,R2991,T2991,V2991,X2991,Z2991,AB2991,AD2991,AF2991,AH2991,AJ2991,AL2991,AN2991,AP2991,AR2991,AT2991,AV2991,AX2991)</f>
        <v>0</v>
      </c>
      <c r="BE2991" s="33" t="n">
        <f aca="false">AZ2991-BD2991</f>
        <v>0</v>
      </c>
      <c r="BF2991" s="34" t="n">
        <f aca="false">BD2991*M2991</f>
        <v>0</v>
      </c>
      <c r="BG2991" s="35" t="n">
        <f aca="false">BA2991-BF2991</f>
        <v>5652</v>
      </c>
      <c r="BH2991" s="19" t="str">
        <f aca="false">IF(BG2991=0,"",IF(BG2991&lt;&gt;BA2991,"erreur de calcul",IF(BD2991&lt;&gt;0,"pas de prix",IF(M2991&lt;&gt; 0,"pas de quantité","pas de prix, ni de quantité"))))</f>
        <v>pas de prix, ni de quantité</v>
      </c>
      <c r="BI2991" s="19"/>
    </row>
    <row r="2992" customFormat="false" ht="15" hidden="false" customHeight="false" outlineLevel="0" collapsed="false">
      <c r="A2992" s="0" t="n">
        <v>18</v>
      </c>
      <c r="B2992" s="8" t="s">
        <v>24</v>
      </c>
      <c r="C2992" s="9" t="s">
        <v>25</v>
      </c>
      <c r="D2992" s="9" t="s">
        <v>26</v>
      </c>
      <c r="E2992" s="10" t="n">
        <v>1789</v>
      </c>
      <c r="F2992" s="9" t="s">
        <v>27</v>
      </c>
      <c r="G2992" s="9" t="s">
        <v>27</v>
      </c>
      <c r="H2992" s="11" t="n">
        <v>23</v>
      </c>
      <c r="I2992" s="11" t="s">
        <v>260</v>
      </c>
      <c r="J2992" s="14" t="n">
        <v>88</v>
      </c>
      <c r="K2992" s="14"/>
      <c r="L2992" s="16"/>
      <c r="M2992" s="27" t="n">
        <f aca="false">J2992+(K2992/20)+(L2992/240)</f>
        <v>88</v>
      </c>
      <c r="N2992" s="17" t="s">
        <v>64</v>
      </c>
      <c r="O2992" s="11"/>
      <c r="P2992" s="28"/>
      <c r="Q2992" s="28" t="n">
        <f aca="false">P2992*$M2992</f>
        <v>0</v>
      </c>
      <c r="R2992" s="28"/>
      <c r="S2992" s="28" t="n">
        <f aca="false">R2992*$M2992</f>
        <v>0</v>
      </c>
      <c r="T2992" s="28"/>
      <c r="U2992" s="28" t="n">
        <f aca="false">T2992*$M2992</f>
        <v>0</v>
      </c>
      <c r="V2992" s="28" t="n">
        <f aca="false">21004/100</f>
        <v>210.04</v>
      </c>
      <c r="W2992" s="28" t="n">
        <v>18483</v>
      </c>
      <c r="X2992" s="28"/>
      <c r="Y2992" s="28" t="n">
        <f aca="false">X2992*$M2992</f>
        <v>0</v>
      </c>
      <c r="Z2992" s="28"/>
      <c r="AA2992" s="28" t="n">
        <f aca="false">Z2992*$M2992</f>
        <v>0</v>
      </c>
      <c r="AB2992" s="28"/>
      <c r="AC2992" s="28" t="n">
        <f aca="false">AB2992*$M2992</f>
        <v>0</v>
      </c>
      <c r="AD2992" s="28"/>
      <c r="AE2992" s="28" t="n">
        <f aca="false">AD2992*$M2992</f>
        <v>0</v>
      </c>
      <c r="AF2992" s="28"/>
      <c r="AG2992" s="28" t="n">
        <f aca="false">AF2992*$M2992</f>
        <v>0</v>
      </c>
      <c r="AH2992" s="28"/>
      <c r="AI2992" s="28" t="n">
        <f aca="false">AH2992*$M2992</f>
        <v>0</v>
      </c>
      <c r="AJ2992" s="28"/>
      <c r="AK2992" s="28" t="n">
        <f aca="false">AJ2992*$M2992</f>
        <v>0</v>
      </c>
      <c r="AL2992" s="28"/>
      <c r="AM2992" s="28" t="n">
        <f aca="false">AL2992*$M2992</f>
        <v>0</v>
      </c>
      <c r="AN2992" s="28"/>
      <c r="AO2992" s="28" t="n">
        <f aca="false">AN2992*$M2992</f>
        <v>0</v>
      </c>
      <c r="AP2992" s="28"/>
      <c r="AQ2992" s="28" t="n">
        <f aca="false">AP2992*$M2992</f>
        <v>0</v>
      </c>
      <c r="AR2992" s="28"/>
      <c r="AS2992" s="28" t="n">
        <f aca="false">AR2992*$M2992</f>
        <v>0</v>
      </c>
      <c r="AT2992" s="28"/>
      <c r="AU2992" s="28" t="n">
        <f aca="false">AT2992*$M2992</f>
        <v>0</v>
      </c>
      <c r="AV2992" s="28"/>
      <c r="AW2992" s="28" t="n">
        <f aca="false">AV2992*$M2992</f>
        <v>0</v>
      </c>
      <c r="AX2992" s="28"/>
      <c r="AY2992" s="28" t="n">
        <f aca="false">AX2992*$M2992</f>
        <v>0</v>
      </c>
      <c r="AZ2992" s="30" t="n">
        <f aca="false">21004/100</f>
        <v>210.04</v>
      </c>
      <c r="BA2992" s="11" t="n">
        <v>18483</v>
      </c>
      <c r="BB2992" s="31" t="n">
        <f aca="false">SUM(Q2992,S2992,U2992,W2992,Y2992,AA2992,AC2992,AE2992,AG2992,AI2992,AK2992,AM2992,AO2992,AQ2992,AS2992,AU2992,AW2992,AY2992)</f>
        <v>18483</v>
      </c>
      <c r="BC2992" s="28" t="n">
        <f aca="false">BA2992-BB2992</f>
        <v>0</v>
      </c>
      <c r="BD2992" s="32" t="n">
        <f aca="false">SUM(P2992,R2992,T2992,V2992,X2992,Z2992,AB2992,AD2992,AF2992,AH2992,AJ2992,AL2992,AN2992,AP2992,AR2992,AT2992,AV2992,AX2992)</f>
        <v>210.04</v>
      </c>
      <c r="BE2992" s="33" t="n">
        <f aca="false">AZ2992-BD2992</f>
        <v>0</v>
      </c>
      <c r="BF2992" s="34" t="n">
        <f aca="false">BD2992*M2992</f>
        <v>18483.52</v>
      </c>
      <c r="BG2992" s="35" t="n">
        <f aca="false">BA2992-BF2992</f>
        <v>-0.520000000000437</v>
      </c>
      <c r="BH2992" s="19" t="str">
        <f aca="false">IF(BG2992=0,"",IF(BG2992&lt;&gt;BA2992,"erreur de calcul",IF(BD2992&lt;&gt;0,"pas de prix",IF(M2992&lt;&gt; 0,"pas de quantité","pas de prix, ni de quantité"))))</f>
        <v>erreur de calcul</v>
      </c>
      <c r="BI2992" s="19"/>
    </row>
    <row r="2993" customFormat="false" ht="15" hidden="false" customHeight="false" outlineLevel="0" collapsed="false">
      <c r="A2993" s="0" t="n">
        <v>19</v>
      </c>
      <c r="B2993" s="8" t="s">
        <v>24</v>
      </c>
      <c r="C2993" s="9" t="s">
        <v>25</v>
      </c>
      <c r="D2993" s="9" t="s">
        <v>26</v>
      </c>
      <c r="E2993" s="10" t="n">
        <v>1789</v>
      </c>
      <c r="F2993" s="9" t="s">
        <v>27</v>
      </c>
      <c r="G2993" s="9" t="s">
        <v>27</v>
      </c>
      <c r="H2993" s="11" t="n">
        <v>23</v>
      </c>
      <c r="I2993" s="11" t="s">
        <v>261</v>
      </c>
      <c r="J2993" s="14" t="n">
        <v>35</v>
      </c>
      <c r="K2993" s="14"/>
      <c r="L2993" s="16"/>
      <c r="M2993" s="27" t="n">
        <f aca="false">J2993+(K2993/20)+(L2993/240)</f>
        <v>35</v>
      </c>
      <c r="N2993" s="17" t="s">
        <v>64</v>
      </c>
      <c r="O2993" s="11"/>
      <c r="P2993" s="28" t="n">
        <f aca="false">2877/100</f>
        <v>28.77</v>
      </c>
      <c r="Q2993" s="28" t="n">
        <v>1007</v>
      </c>
      <c r="R2993" s="28"/>
      <c r="S2993" s="28" t="n">
        <f aca="false">R2993*$M2993</f>
        <v>0</v>
      </c>
      <c r="T2993" s="28"/>
      <c r="U2993" s="28" t="n">
        <f aca="false">T2993*$M2993</f>
        <v>0</v>
      </c>
      <c r="V2993" s="28"/>
      <c r="W2993" s="28" t="n">
        <f aca="false">V2993*$M2993</f>
        <v>0</v>
      </c>
      <c r="X2993" s="28"/>
      <c r="Y2993" s="28" t="n">
        <f aca="false">X2993*$M2993</f>
        <v>0</v>
      </c>
      <c r="Z2993" s="28"/>
      <c r="AA2993" s="28" t="n">
        <f aca="false">Z2993*$M2993</f>
        <v>0</v>
      </c>
      <c r="AB2993" s="28"/>
      <c r="AC2993" s="28" t="n">
        <f aca="false">AB2993*$M2993</f>
        <v>0</v>
      </c>
      <c r="AD2993" s="28"/>
      <c r="AE2993" s="28" t="n">
        <f aca="false">AD2993*$M2993</f>
        <v>0</v>
      </c>
      <c r="AF2993" s="28"/>
      <c r="AG2993" s="28" t="n">
        <f aca="false">AF2993*$M2993</f>
        <v>0</v>
      </c>
      <c r="AH2993" s="28"/>
      <c r="AI2993" s="28" t="n">
        <f aca="false">AH2993*$M2993</f>
        <v>0</v>
      </c>
      <c r="AJ2993" s="28"/>
      <c r="AK2993" s="28" t="n">
        <f aca="false">AJ2993*$M2993</f>
        <v>0</v>
      </c>
      <c r="AL2993" s="28"/>
      <c r="AM2993" s="28" t="n">
        <f aca="false">AL2993*$M2993</f>
        <v>0</v>
      </c>
      <c r="AN2993" s="28"/>
      <c r="AO2993" s="28" t="n">
        <f aca="false">AN2993*$M2993</f>
        <v>0</v>
      </c>
      <c r="AP2993" s="28"/>
      <c r="AQ2993" s="28" t="n">
        <f aca="false">AP2993*$M2993</f>
        <v>0</v>
      </c>
      <c r="AR2993" s="28"/>
      <c r="AS2993" s="28" t="n">
        <f aca="false">AR2993*$M2993</f>
        <v>0</v>
      </c>
      <c r="AT2993" s="28"/>
      <c r="AU2993" s="28" t="n">
        <f aca="false">AT2993*$M2993</f>
        <v>0</v>
      </c>
      <c r="AV2993" s="28"/>
      <c r="AW2993" s="28" t="n">
        <f aca="false">AV2993*$M2993</f>
        <v>0</v>
      </c>
      <c r="AX2993" s="28"/>
      <c r="AY2993" s="28" t="n">
        <f aca="false">AX2993*$M2993</f>
        <v>0</v>
      </c>
      <c r="AZ2993" s="30" t="n">
        <f aca="false">2877/100</f>
        <v>28.77</v>
      </c>
      <c r="BA2993" s="11" t="n">
        <v>1007</v>
      </c>
      <c r="BB2993" s="31" t="n">
        <f aca="false">SUM(Q2993,S2993,U2993,W2993,Y2993,AA2993,AC2993,AE2993,AG2993,AI2993,AK2993,AM2993,AO2993,AQ2993,AS2993,AU2993,AW2993,AY2993)</f>
        <v>1007</v>
      </c>
      <c r="BC2993" s="28" t="n">
        <f aca="false">BA2993-BB2993</f>
        <v>0</v>
      </c>
      <c r="BD2993" s="32" t="n">
        <f aca="false">SUM(P2993,R2993,T2993,V2993,X2993,Z2993,AB2993,AD2993,AF2993,AH2993,AJ2993,AL2993,AN2993,AP2993,AR2993,AT2993,AV2993,AX2993)</f>
        <v>28.77</v>
      </c>
      <c r="BE2993" s="33" t="n">
        <f aca="false">AZ2993-BD2993</f>
        <v>0</v>
      </c>
      <c r="BF2993" s="34" t="n">
        <f aca="false">BD2993*M2993</f>
        <v>1006.95</v>
      </c>
      <c r="BG2993" s="35" t="n">
        <f aca="false">BA2993-BF2993</f>
        <v>0.0500000000000682</v>
      </c>
      <c r="BH2993" s="19" t="str">
        <f aca="false">IF(BG2993=0,"",IF(BG2993&lt;&gt;BA2993,"erreur de calcul",IF(BD2993&lt;&gt;0,"pas de prix",IF(M2993&lt;&gt; 0,"pas de quantité","pas de prix, ni de quantité"))))</f>
        <v>erreur de calcul</v>
      </c>
      <c r="BI2993" s="19"/>
    </row>
    <row r="2994" customFormat="false" ht="15" hidden="false" customHeight="false" outlineLevel="0" collapsed="false">
      <c r="A2994" s="0" t="n">
        <v>20</v>
      </c>
      <c r="B2994" s="8" t="s">
        <v>24</v>
      </c>
      <c r="C2994" s="9" t="s">
        <v>25</v>
      </c>
      <c r="D2994" s="9" t="s">
        <v>26</v>
      </c>
      <c r="E2994" s="10" t="n">
        <v>1789</v>
      </c>
      <c r="F2994" s="9" t="s">
        <v>27</v>
      </c>
      <c r="G2994" s="9" t="s">
        <v>27</v>
      </c>
      <c r="H2994" s="11" t="n">
        <v>23</v>
      </c>
      <c r="I2994" s="11" t="s">
        <v>262</v>
      </c>
      <c r="J2994" s="14" t="n">
        <v>40</v>
      </c>
      <c r="K2994" s="14"/>
      <c r="L2994" s="16"/>
      <c r="M2994" s="27" t="n">
        <f aca="false">J2994+(K2994/20)+(L2994/240)</f>
        <v>40</v>
      </c>
      <c r="N2994" s="17" t="s">
        <v>64</v>
      </c>
      <c r="O2994" s="11"/>
      <c r="P2994" s="28"/>
      <c r="Q2994" s="28" t="n">
        <f aca="false">P2994*$M2994</f>
        <v>0</v>
      </c>
      <c r="R2994" s="28"/>
      <c r="S2994" s="28" t="n">
        <f aca="false">R2994*$M2994</f>
        <v>0</v>
      </c>
      <c r="T2994" s="28"/>
      <c r="U2994" s="28" t="n">
        <f aca="false">T2994*$M2994</f>
        <v>0</v>
      </c>
      <c r="V2994" s="28"/>
      <c r="W2994" s="28" t="n">
        <f aca="false">V2994*$M2994</f>
        <v>0</v>
      </c>
      <c r="X2994" s="28"/>
      <c r="Y2994" s="28" t="n">
        <f aca="false">X2994*$M2994</f>
        <v>0</v>
      </c>
      <c r="Z2994" s="28"/>
      <c r="AA2994" s="28" t="n">
        <f aca="false">Z2994*$M2994</f>
        <v>0</v>
      </c>
      <c r="AB2994" s="28"/>
      <c r="AC2994" s="28" t="n">
        <f aca="false">AB2994*$M2994</f>
        <v>0</v>
      </c>
      <c r="AD2994" s="28"/>
      <c r="AE2994" s="28" t="n">
        <f aca="false">AD2994*$M2994</f>
        <v>0</v>
      </c>
      <c r="AF2994" s="28" t="n">
        <f aca="false">108620/100</f>
        <v>1086.2</v>
      </c>
      <c r="AG2994" s="28" t="n">
        <v>43448</v>
      </c>
      <c r="AH2994" s="28"/>
      <c r="AI2994" s="28" t="n">
        <f aca="false">AH2994*$M2994</f>
        <v>0</v>
      </c>
      <c r="AJ2994" s="28"/>
      <c r="AK2994" s="28" t="n">
        <f aca="false">AJ2994*$M2994</f>
        <v>0</v>
      </c>
      <c r="AL2994" s="28"/>
      <c r="AM2994" s="28" t="n">
        <f aca="false">AL2994*$M2994</f>
        <v>0</v>
      </c>
      <c r="AN2994" s="28"/>
      <c r="AO2994" s="28" t="n">
        <f aca="false">AN2994*$M2994</f>
        <v>0</v>
      </c>
      <c r="AP2994" s="28"/>
      <c r="AQ2994" s="28" t="n">
        <f aca="false">AP2994*$M2994</f>
        <v>0</v>
      </c>
      <c r="AR2994" s="28"/>
      <c r="AS2994" s="28" t="n">
        <f aca="false">AR2994*$M2994</f>
        <v>0</v>
      </c>
      <c r="AT2994" s="28"/>
      <c r="AU2994" s="28" t="n">
        <f aca="false">AT2994*$M2994</f>
        <v>0</v>
      </c>
      <c r="AV2994" s="28"/>
      <c r="AW2994" s="28" t="n">
        <f aca="false">AV2994*$M2994</f>
        <v>0</v>
      </c>
      <c r="AX2994" s="28"/>
      <c r="AY2994" s="28" t="n">
        <f aca="false">AX2994*$M2994</f>
        <v>0</v>
      </c>
      <c r="AZ2994" s="30" t="n">
        <f aca="false">108620/100</f>
        <v>1086.2</v>
      </c>
      <c r="BA2994" s="11" t="n">
        <v>43448</v>
      </c>
      <c r="BB2994" s="31" t="n">
        <f aca="false">SUM(Q2994,S2994,U2994,W2994,Y2994,AA2994,AC2994,AE2994,AG2994,AI2994,AK2994,AM2994,AO2994,AQ2994,AS2994,AU2994,AW2994,AY2994)</f>
        <v>43448</v>
      </c>
      <c r="BC2994" s="28" t="n">
        <f aca="false">BA2994-BB2994</f>
        <v>0</v>
      </c>
      <c r="BD2994" s="32" t="n">
        <f aca="false">SUM(P2994,R2994,T2994,V2994,X2994,Z2994,AB2994,AD2994,AF2994,AH2994,AJ2994,AL2994,AN2994,AP2994,AR2994,AT2994,AV2994,AX2994)</f>
        <v>1086.2</v>
      </c>
      <c r="BE2994" s="33" t="n">
        <f aca="false">AZ2994-BD2994</f>
        <v>0</v>
      </c>
      <c r="BF2994" s="34" t="n">
        <f aca="false">BD2994*M2994</f>
        <v>43448</v>
      </c>
      <c r="BG2994" s="35" t="n">
        <f aca="false">BA2994-BF2994</f>
        <v>0</v>
      </c>
      <c r="BH2994" s="19" t="str">
        <f aca="false">IF(BG2994=0,"",IF(BG2994&lt;&gt;BA2994,"erreur de calcul",IF(BD2994&lt;&gt;0,"pas de prix",IF(M2994&lt;&gt; 0,"pas de quantité","pas de prix, ni de quantité"))))</f>
        <v/>
      </c>
      <c r="BI2994" s="19"/>
    </row>
    <row r="2995" customFormat="false" ht="15" hidden="false" customHeight="false" outlineLevel="0" collapsed="false">
      <c r="A2995" s="0" t="n">
        <v>21</v>
      </c>
      <c r="B2995" s="8" t="s">
        <v>24</v>
      </c>
      <c r="C2995" s="9" t="s">
        <v>25</v>
      </c>
      <c r="D2995" s="9" t="s">
        <v>26</v>
      </c>
      <c r="E2995" s="10" t="n">
        <v>1789</v>
      </c>
      <c r="F2995" s="9" t="s">
        <v>27</v>
      </c>
      <c r="G2995" s="9" t="s">
        <v>27</v>
      </c>
      <c r="H2995" s="11" t="n">
        <v>23</v>
      </c>
      <c r="I2995" s="11" t="s">
        <v>263</v>
      </c>
      <c r="J2995" s="14" t="n">
        <v>12</v>
      </c>
      <c r="K2995" s="14"/>
      <c r="L2995" s="16"/>
      <c r="M2995" s="27" t="n">
        <f aca="false">J2995+(K2995/20)+(L2995/240)</f>
        <v>12</v>
      </c>
      <c r="N2995" s="17" t="s">
        <v>64</v>
      </c>
      <c r="O2995" s="11"/>
      <c r="P2995" s="28"/>
      <c r="Q2995" s="28" t="n">
        <f aca="false">P2995*$M2995</f>
        <v>0</v>
      </c>
      <c r="R2995" s="28"/>
      <c r="S2995" s="28" t="n">
        <f aca="false">R2995*$M2995</f>
        <v>0</v>
      </c>
      <c r="T2995" s="28"/>
      <c r="U2995" s="28" t="n">
        <f aca="false">T2995*$M2995</f>
        <v>0</v>
      </c>
      <c r="V2995" s="28"/>
      <c r="W2995" s="28" t="n">
        <f aca="false">V2995*$M2995</f>
        <v>0</v>
      </c>
      <c r="X2995" s="28"/>
      <c r="Y2995" s="28" t="n">
        <f aca="false">X2995*$M2995</f>
        <v>0</v>
      </c>
      <c r="Z2995" s="28"/>
      <c r="AA2995" s="28" t="n">
        <f aca="false">Z2995*$M2995</f>
        <v>0</v>
      </c>
      <c r="AB2995" s="28" t="n">
        <f aca="false">485726/100</f>
        <v>4857.26</v>
      </c>
      <c r="AC2995" s="28" t="n">
        <v>58287</v>
      </c>
      <c r="AD2995" s="28"/>
      <c r="AE2995" s="28" t="n">
        <f aca="false">AD2995*$M2995</f>
        <v>0</v>
      </c>
      <c r="AF2995" s="28"/>
      <c r="AG2995" s="28" t="n">
        <f aca="false">AF2995*$M2995</f>
        <v>0</v>
      </c>
      <c r="AH2995" s="28" t="n">
        <f aca="false">259291/100</f>
        <v>2592.91</v>
      </c>
      <c r="AI2995" s="28" t="n">
        <v>31115</v>
      </c>
      <c r="AJ2995" s="28"/>
      <c r="AK2995" s="28" t="n">
        <f aca="false">AJ2995*$M2995</f>
        <v>0</v>
      </c>
      <c r="AL2995" s="28"/>
      <c r="AM2995" s="28" t="n">
        <f aca="false">AL2995*$M2995</f>
        <v>0</v>
      </c>
      <c r="AN2995" s="28"/>
      <c r="AO2995" s="28" t="n">
        <f aca="false">AN2995*$M2995</f>
        <v>0</v>
      </c>
      <c r="AP2995" s="28"/>
      <c r="AQ2995" s="28" t="n">
        <f aca="false">AP2995*$M2995</f>
        <v>0</v>
      </c>
      <c r="AR2995" s="28"/>
      <c r="AS2995" s="28" t="n">
        <f aca="false">AR2995*$M2995</f>
        <v>0</v>
      </c>
      <c r="AT2995" s="28"/>
      <c r="AU2995" s="28" t="n">
        <f aca="false">AT2995*$M2995</f>
        <v>0</v>
      </c>
      <c r="AV2995" s="28"/>
      <c r="AW2995" s="28" t="n">
        <f aca="false">AV2995*$M2995</f>
        <v>0</v>
      </c>
      <c r="AX2995" s="28"/>
      <c r="AY2995" s="28" t="n">
        <f aca="false">AX2995*$M2995</f>
        <v>0</v>
      </c>
      <c r="AZ2995" s="30" t="n">
        <f aca="false">745017/100</f>
        <v>7450.17</v>
      </c>
      <c r="BA2995" s="11" t="n">
        <v>89402</v>
      </c>
      <c r="BB2995" s="31" t="n">
        <f aca="false">SUM(Q2995,S2995,U2995,W2995,Y2995,AA2995,AC2995,AE2995,AG2995,AI2995,AK2995,AM2995,AO2995,AQ2995,AS2995,AU2995,AW2995,AY2995)</f>
        <v>89402</v>
      </c>
      <c r="BC2995" s="28" t="n">
        <f aca="false">BA2995-BB2995</f>
        <v>0</v>
      </c>
      <c r="BD2995" s="32" t="n">
        <f aca="false">SUM(P2995,R2995,T2995,V2995,X2995,Z2995,AB2995,AD2995,AF2995,AH2995,AJ2995,AL2995,AN2995,AP2995,AR2995,AT2995,AV2995,AX2995)</f>
        <v>7450.17</v>
      </c>
      <c r="BE2995" s="33" t="n">
        <f aca="false">AZ2995-BD2995</f>
        <v>0</v>
      </c>
      <c r="BF2995" s="34" t="n">
        <f aca="false">BD2995*M2995</f>
        <v>89402.04</v>
      </c>
      <c r="BG2995" s="35" t="n">
        <f aca="false">BA2995-BF2995</f>
        <v>-0.0400000000081491</v>
      </c>
      <c r="BH2995" s="19" t="str">
        <f aca="false">IF(BG2995=0,"",IF(BG2995&lt;&gt;BA2995,"erreur de calcul",IF(BD2995&lt;&gt;0,"pas de prix",IF(M2995&lt;&gt; 0,"pas de quantité","pas de prix, ni de quantité"))))</f>
        <v>erreur de calcul</v>
      </c>
      <c r="BI2995" s="19"/>
    </row>
    <row r="2996" customFormat="false" ht="15" hidden="false" customHeight="false" outlineLevel="0" collapsed="false">
      <c r="A2996" s="0" t="n">
        <v>22</v>
      </c>
      <c r="B2996" s="8" t="s">
        <v>24</v>
      </c>
      <c r="C2996" s="9" t="s">
        <v>25</v>
      </c>
      <c r="D2996" s="9" t="s">
        <v>26</v>
      </c>
      <c r="E2996" s="10" t="n">
        <v>1789</v>
      </c>
      <c r="F2996" s="9" t="s">
        <v>27</v>
      </c>
      <c r="G2996" s="9" t="s">
        <v>27</v>
      </c>
      <c r="H2996" s="11" t="n">
        <v>23</v>
      </c>
      <c r="I2996" s="11" t="s">
        <v>264</v>
      </c>
      <c r="J2996" s="14" t="n">
        <v>15</v>
      </c>
      <c r="K2996" s="14"/>
      <c r="L2996" s="16"/>
      <c r="M2996" s="27" t="n">
        <f aca="false">J2996+(K2996/20)+(L2996/240)</f>
        <v>15</v>
      </c>
      <c r="N2996" s="17" t="s">
        <v>64</v>
      </c>
      <c r="O2996" s="11"/>
      <c r="P2996" s="28"/>
      <c r="Q2996" s="28" t="n">
        <f aca="false">P2996*$M2996</f>
        <v>0</v>
      </c>
      <c r="R2996" s="28"/>
      <c r="S2996" s="28" t="n">
        <f aca="false">R2996*$M2996</f>
        <v>0</v>
      </c>
      <c r="T2996" s="28"/>
      <c r="U2996" s="28" t="n">
        <f aca="false">T2996*$M2996</f>
        <v>0</v>
      </c>
      <c r="V2996" s="28"/>
      <c r="W2996" s="28" t="n">
        <f aca="false">V2996*$M2996</f>
        <v>0</v>
      </c>
      <c r="X2996" s="28" t="n">
        <f aca="false">65502/100</f>
        <v>655.02</v>
      </c>
      <c r="Y2996" s="28" t="n">
        <v>9825</v>
      </c>
      <c r="Z2996" s="28"/>
      <c r="AA2996" s="28" t="n">
        <f aca="false">Z2996*$M2996</f>
        <v>0</v>
      </c>
      <c r="AB2996" s="28" t="n">
        <f aca="false">207046/100</f>
        <v>2070.46</v>
      </c>
      <c r="AC2996" s="28" t="n">
        <v>31057</v>
      </c>
      <c r="AD2996" s="28"/>
      <c r="AE2996" s="28" t="n">
        <f aca="false">AD2996*$M2996</f>
        <v>0</v>
      </c>
      <c r="AF2996" s="28"/>
      <c r="AG2996" s="28" t="n">
        <f aca="false">AF2996*$M2996</f>
        <v>0</v>
      </c>
      <c r="AH2996" s="28" t="n">
        <f aca="false">11048/100</f>
        <v>110.48</v>
      </c>
      <c r="AI2996" s="28" t="n">
        <v>1657</v>
      </c>
      <c r="AJ2996" s="28"/>
      <c r="AK2996" s="28" t="n">
        <f aca="false">AJ2996*$M2996</f>
        <v>0</v>
      </c>
      <c r="AL2996" s="28"/>
      <c r="AM2996" s="28" t="n">
        <f aca="false">AL2996*$M2996</f>
        <v>0</v>
      </c>
      <c r="AN2996" s="28"/>
      <c r="AO2996" s="28" t="n">
        <f aca="false">AN2996*$M2996</f>
        <v>0</v>
      </c>
      <c r="AP2996" s="28"/>
      <c r="AQ2996" s="28" t="n">
        <f aca="false">AP2996*$M2996</f>
        <v>0</v>
      </c>
      <c r="AR2996" s="28"/>
      <c r="AS2996" s="28" t="n">
        <f aca="false">AR2996*$M2996</f>
        <v>0</v>
      </c>
      <c r="AT2996" s="28"/>
      <c r="AU2996" s="28" t="n">
        <f aca="false">AT2996*$M2996</f>
        <v>0</v>
      </c>
      <c r="AV2996" s="28"/>
      <c r="AW2996" s="28" t="n">
        <f aca="false">AV2996*$M2996</f>
        <v>0</v>
      </c>
      <c r="AX2996" s="28"/>
      <c r="AY2996" s="28" t="n">
        <f aca="false">AX2996*$M2996</f>
        <v>0</v>
      </c>
      <c r="AZ2996" s="30" t="n">
        <f aca="false">283596/100</f>
        <v>2835.96</v>
      </c>
      <c r="BA2996" s="11" t="n">
        <v>42539</v>
      </c>
      <c r="BB2996" s="31" t="n">
        <f aca="false">SUM(Q2996,S2996,U2996,W2996,Y2996,AA2996,AC2996,AE2996,AG2996,AI2996,AK2996,AM2996,AO2996,AQ2996,AS2996,AU2996,AW2996,AY2996)</f>
        <v>42539</v>
      </c>
      <c r="BC2996" s="28" t="n">
        <f aca="false">BA2996-BB2996</f>
        <v>0</v>
      </c>
      <c r="BD2996" s="32" t="n">
        <f aca="false">SUM(P2996,R2996,T2996,V2996,X2996,Z2996,AB2996,AD2996,AF2996,AH2996,AJ2996,AL2996,AN2996,AP2996,AR2996,AT2996,AV2996,AX2996)</f>
        <v>2835.96</v>
      </c>
      <c r="BE2996" s="33" t="n">
        <f aca="false">AZ2996-BD2996</f>
        <v>0</v>
      </c>
      <c r="BF2996" s="34" t="n">
        <f aca="false">BD2996*M2996</f>
        <v>42539.4</v>
      </c>
      <c r="BG2996" s="35" t="n">
        <f aca="false">BA2996-BF2996</f>
        <v>-0.400000000001455</v>
      </c>
      <c r="BH2996" s="19" t="str">
        <f aca="false">IF(BG2996=0,"",IF(BG2996&lt;&gt;BA2996,"erreur de calcul",IF(BD2996&lt;&gt;0,"pas de prix",IF(M2996&lt;&gt; 0,"pas de quantité","pas de prix, ni de quantité"))))</f>
        <v>erreur de calcul</v>
      </c>
      <c r="BI2996" s="19"/>
    </row>
    <row r="2997" customFormat="false" ht="15" hidden="false" customHeight="false" outlineLevel="0" collapsed="false">
      <c r="A2997" s="0" t="n">
        <v>23</v>
      </c>
      <c r="B2997" s="8" t="s">
        <v>24</v>
      </c>
      <c r="C2997" s="9" t="s">
        <v>25</v>
      </c>
      <c r="D2997" s="9" t="s">
        <v>26</v>
      </c>
      <c r="E2997" s="10" t="n">
        <v>1789</v>
      </c>
      <c r="F2997" s="9" t="s">
        <v>27</v>
      </c>
      <c r="G2997" s="9" t="s">
        <v>27</v>
      </c>
      <c r="H2997" s="11" t="n">
        <v>23</v>
      </c>
      <c r="I2997" s="11" t="s">
        <v>265</v>
      </c>
      <c r="J2997" s="14"/>
      <c r="K2997" s="14" t="n">
        <v>40</v>
      </c>
      <c r="L2997" s="16"/>
      <c r="M2997" s="27" t="n">
        <f aca="false">J2997+(K2997/20)+(L2997/240)</f>
        <v>2</v>
      </c>
      <c r="N2997" s="17" t="s">
        <v>66</v>
      </c>
      <c r="O2997" s="11"/>
      <c r="P2997" s="28"/>
      <c r="Q2997" s="28" t="n">
        <f aca="false">P2997*$M2997</f>
        <v>0</v>
      </c>
      <c r="R2997" s="28"/>
      <c r="S2997" s="28" t="n">
        <f aca="false">R2997*$M2997</f>
        <v>0</v>
      </c>
      <c r="T2997" s="28"/>
      <c r="U2997" s="28" t="n">
        <f aca="false">T2997*$M2997</f>
        <v>0</v>
      </c>
      <c r="V2997" s="28" t="n">
        <v>6275</v>
      </c>
      <c r="W2997" s="28" t="n">
        <v>12550</v>
      </c>
      <c r="X2997" s="28" t="n">
        <v>8662</v>
      </c>
      <c r="Y2997" s="28" t="n">
        <v>17324</v>
      </c>
      <c r="Z2997" s="28"/>
      <c r="AA2997" s="28" t="n">
        <f aca="false">Z2997*$M2997</f>
        <v>0</v>
      </c>
      <c r="AB2997" s="28" t="n">
        <v>2196</v>
      </c>
      <c r="AC2997" s="28" t="n">
        <v>4392</v>
      </c>
      <c r="AD2997" s="28"/>
      <c r="AE2997" s="28" t="n">
        <f aca="false">AD2997*$M2997</f>
        <v>0</v>
      </c>
      <c r="AF2997" s="28"/>
      <c r="AG2997" s="28" t="n">
        <f aca="false">AF2997*$M2997</f>
        <v>0</v>
      </c>
      <c r="AH2997" s="28"/>
      <c r="AI2997" s="28" t="n">
        <f aca="false">AH2997*$M2997</f>
        <v>0</v>
      </c>
      <c r="AJ2997" s="28"/>
      <c r="AK2997" s="28" t="n">
        <f aca="false">AJ2997*$M2997</f>
        <v>0</v>
      </c>
      <c r="AL2997" s="28"/>
      <c r="AM2997" s="28" t="n">
        <f aca="false">AL2997*$M2997</f>
        <v>0</v>
      </c>
      <c r="AN2997" s="28"/>
      <c r="AO2997" s="28" t="n">
        <f aca="false">AN2997*$M2997</f>
        <v>0</v>
      </c>
      <c r="AP2997" s="28"/>
      <c r="AQ2997" s="28" t="n">
        <f aca="false">AP2997*$M2997</f>
        <v>0</v>
      </c>
      <c r="AR2997" s="28"/>
      <c r="AS2997" s="28" t="n">
        <f aca="false">AR2997*$M2997</f>
        <v>0</v>
      </c>
      <c r="AT2997" s="28"/>
      <c r="AU2997" s="28" t="n">
        <f aca="false">AT2997*$M2997</f>
        <v>0</v>
      </c>
      <c r="AV2997" s="28"/>
      <c r="AW2997" s="28" t="n">
        <f aca="false">AV2997*$M2997</f>
        <v>0</v>
      </c>
      <c r="AX2997" s="28"/>
      <c r="AY2997" s="28" t="n">
        <f aca="false">AX2997*$M2997</f>
        <v>0</v>
      </c>
      <c r="AZ2997" s="30" t="n">
        <v>17133</v>
      </c>
      <c r="BA2997" s="11" t="n">
        <v>34266</v>
      </c>
      <c r="BB2997" s="31" t="n">
        <f aca="false">SUM(Q2997,S2997,U2997,W2997,Y2997,AA2997,AC2997,AE2997,AG2997,AI2997,AK2997,AM2997,AO2997,AQ2997,AS2997,AU2997,AW2997,AY2997)</f>
        <v>34266</v>
      </c>
      <c r="BC2997" s="28" t="n">
        <f aca="false">BA2997-BB2997</f>
        <v>0</v>
      </c>
      <c r="BD2997" s="32" t="n">
        <f aca="false">SUM(P2997,R2997,T2997,V2997,X2997,Z2997,AB2997,AD2997,AF2997,AH2997,AJ2997,AL2997,AN2997,AP2997,AR2997,AT2997,AV2997,AX2997)</f>
        <v>17133</v>
      </c>
      <c r="BE2997" s="33" t="n">
        <f aca="false">AZ2997-BD2997</f>
        <v>0</v>
      </c>
      <c r="BF2997" s="34" t="n">
        <f aca="false">BD2997*M2997</f>
        <v>34266</v>
      </c>
      <c r="BG2997" s="35" t="n">
        <f aca="false">BA2997-BF2997</f>
        <v>0</v>
      </c>
      <c r="BH2997" s="19" t="str">
        <f aca="false">IF(BG2997=0,"",IF(BG2997&lt;&gt;BA2997,"erreur de calcul",IF(BD2997&lt;&gt;0,"pas de prix",IF(M2997&lt;&gt; 0,"pas de quantité","pas de prix, ni de quantité"))))</f>
        <v/>
      </c>
      <c r="BI2997" s="19"/>
    </row>
    <row r="2998" customFormat="false" ht="15" hidden="false" customHeight="false" outlineLevel="0" collapsed="false">
      <c r="A2998" s="0" t="n">
        <v>24</v>
      </c>
      <c r="B2998" s="8" t="s">
        <v>24</v>
      </c>
      <c r="C2998" s="9" t="s">
        <v>25</v>
      </c>
      <c r="D2998" s="9" t="s">
        <v>26</v>
      </c>
      <c r="E2998" s="10" t="n">
        <v>1789</v>
      </c>
      <c r="F2998" s="9" t="s">
        <v>27</v>
      </c>
      <c r="G2998" s="9" t="s">
        <v>27</v>
      </c>
      <c r="H2998" s="11" t="n">
        <v>23</v>
      </c>
      <c r="I2998" s="11" t="s">
        <v>266</v>
      </c>
      <c r="J2998" s="14" t="n">
        <v>17</v>
      </c>
      <c r="K2998" s="14" t="n">
        <v>10</v>
      </c>
      <c r="L2998" s="16"/>
      <c r="M2998" s="27" t="n">
        <f aca="false">J2998+(K2998/20)+(L2998/240)</f>
        <v>17.5</v>
      </c>
      <c r="N2998" s="17" t="s">
        <v>64</v>
      </c>
      <c r="O2998" s="11"/>
      <c r="P2998" s="28" t="n">
        <f aca="false">147621/100</f>
        <v>1476.21</v>
      </c>
      <c r="Q2998" s="28" t="n">
        <v>25834</v>
      </c>
      <c r="R2998" s="28"/>
      <c r="S2998" s="28" t="n">
        <f aca="false">R2998*$M2998</f>
        <v>0</v>
      </c>
      <c r="T2998" s="28"/>
      <c r="U2998" s="28" t="n">
        <f aca="false">T2998*$M2998</f>
        <v>0</v>
      </c>
      <c r="V2998" s="28"/>
      <c r="W2998" s="28" t="n">
        <f aca="false">V2998*$M2998</f>
        <v>0</v>
      </c>
      <c r="X2998" s="28" t="n">
        <f aca="false">7220/100</f>
        <v>72.2</v>
      </c>
      <c r="Y2998" s="28" t="n">
        <v>1263</v>
      </c>
      <c r="Z2998" s="28"/>
      <c r="AA2998" s="28" t="n">
        <f aca="false">Z2998*$M2998</f>
        <v>0</v>
      </c>
      <c r="AB2998" s="28" t="n">
        <f aca="false">524444/100</f>
        <v>5244.44</v>
      </c>
      <c r="AC2998" s="36" t="n">
        <v>91767</v>
      </c>
      <c r="AD2998" s="28"/>
      <c r="AE2998" s="28" t="n">
        <f aca="false">AD2998*$M2998</f>
        <v>0</v>
      </c>
      <c r="AF2998" s="28"/>
      <c r="AG2998" s="28" t="n">
        <f aca="false">AF2998*$M2998</f>
        <v>0</v>
      </c>
      <c r="AH2998" s="28" t="n">
        <f aca="false">124394/100</f>
        <v>1243.94</v>
      </c>
      <c r="AI2998" s="28" t="n">
        <v>21769</v>
      </c>
      <c r="AJ2998" s="28"/>
      <c r="AK2998" s="28" t="n">
        <f aca="false">AJ2998*$M2998</f>
        <v>0</v>
      </c>
      <c r="AL2998" s="28"/>
      <c r="AM2998" s="28" t="n">
        <f aca="false">AL2998*$M2998</f>
        <v>0</v>
      </c>
      <c r="AN2998" s="28"/>
      <c r="AO2998" s="28" t="n">
        <f aca="false">AN2998*$M2998</f>
        <v>0</v>
      </c>
      <c r="AP2998" s="28"/>
      <c r="AQ2998" s="28" t="n">
        <f aca="false">AP2998*$M2998</f>
        <v>0</v>
      </c>
      <c r="AR2998" s="28"/>
      <c r="AS2998" s="28" t="n">
        <f aca="false">AR2998*$M2998</f>
        <v>0</v>
      </c>
      <c r="AT2998" s="28"/>
      <c r="AU2998" s="28" t="n">
        <f aca="false">AT2998*$M2998</f>
        <v>0</v>
      </c>
      <c r="AV2998" s="28"/>
      <c r="AW2998" s="28" t="n">
        <f aca="false">AV2998*$M2998</f>
        <v>0</v>
      </c>
      <c r="AX2998" s="28"/>
      <c r="AY2998" s="28" t="n">
        <f aca="false">AX2998*$M2998</f>
        <v>0</v>
      </c>
      <c r="AZ2998" s="30" t="n">
        <f aca="false">803679/100</f>
        <v>8036.79</v>
      </c>
      <c r="BA2998" s="11" t="n">
        <v>140633</v>
      </c>
      <c r="BB2998" s="31" t="n">
        <f aca="false">SUM(Q2998,S2998,U2998,W2998,Y2998,AA2998,AC2998,AE2998,AG2998,AI2998,AK2998,AM2998,AO2998,AQ2998,AS2998,AU2998,AW2998,AY2998)</f>
        <v>140633</v>
      </c>
      <c r="BC2998" s="28" t="n">
        <f aca="false">BA2998-BB2998</f>
        <v>0</v>
      </c>
      <c r="BD2998" s="32" t="n">
        <f aca="false">SUM(P2998,R2998,T2998,V2998,X2998,Z2998,AB2998,AD2998,AF2998,AH2998,AJ2998,AL2998,AN2998,AP2998,AR2998,AT2998,AV2998,AX2998)</f>
        <v>8036.79</v>
      </c>
      <c r="BE2998" s="33" t="n">
        <f aca="false">AZ2998-BD2998</f>
        <v>0</v>
      </c>
      <c r="BF2998" s="34" t="n">
        <f aca="false">BD2998*M2998</f>
        <v>140643.825</v>
      </c>
      <c r="BG2998" s="35" t="n">
        <f aca="false">BA2998-BF2998</f>
        <v>-10.8249999999825</v>
      </c>
      <c r="BH2998" s="19" t="str">
        <f aca="false">IF(BG2998=0,"",IF(BG2998&lt;&gt;BA2998,"erreur de calcul",IF(BD2998&lt;&gt;0,"pas de prix",IF(M2998&lt;&gt; 0,"pas de quantité","pas de prix, ni de quantité"))))</f>
        <v>erreur de calcul</v>
      </c>
      <c r="BI2998" s="19"/>
    </row>
    <row r="2999" customFormat="false" ht="15" hidden="false" customHeight="false" outlineLevel="0" collapsed="false">
      <c r="A2999" s="0" t="n">
        <v>25</v>
      </c>
      <c r="B2999" s="8" t="s">
        <v>24</v>
      </c>
      <c r="C2999" s="9" t="s">
        <v>25</v>
      </c>
      <c r="D2999" s="9" t="s">
        <v>26</v>
      </c>
      <c r="E2999" s="10" t="n">
        <v>1789</v>
      </c>
      <c r="F2999" s="9" t="s">
        <v>27</v>
      </c>
      <c r="G2999" s="9" t="s">
        <v>27</v>
      </c>
      <c r="H2999" s="11" t="n">
        <v>23</v>
      </c>
      <c r="I2999" s="11" t="s">
        <v>267</v>
      </c>
      <c r="J2999" s="14" t="n">
        <v>25</v>
      </c>
      <c r="K2999" s="14"/>
      <c r="L2999" s="16"/>
      <c r="M2999" s="27" t="n">
        <f aca="false">J2999+(K2999/20)+(L2999/240)</f>
        <v>25</v>
      </c>
      <c r="N2999" s="17" t="s">
        <v>64</v>
      </c>
      <c r="O2999" s="11"/>
      <c r="P2999" s="28"/>
      <c r="Q2999" s="28" t="n">
        <f aca="false">P2999*$M2999</f>
        <v>0</v>
      </c>
      <c r="R2999" s="28"/>
      <c r="S2999" s="28" t="n">
        <f aca="false">R2999*$M2999</f>
        <v>0</v>
      </c>
      <c r="T2999" s="28"/>
      <c r="U2999" s="28" t="n">
        <f aca="false">T2999*$M2999</f>
        <v>0</v>
      </c>
      <c r="V2999" s="28"/>
      <c r="W2999" s="28" t="n">
        <f aca="false">V2999*$M2999</f>
        <v>0</v>
      </c>
      <c r="X2999" s="28"/>
      <c r="Y2999" s="28" t="n">
        <f aca="false">X2999*$M2999</f>
        <v>0</v>
      </c>
      <c r="Z2999" s="28"/>
      <c r="AA2999" s="28" t="n">
        <f aca="false">Z2999*$M2999</f>
        <v>0</v>
      </c>
      <c r="AB2999" s="28" t="n">
        <f aca="false">136004/100</f>
        <v>1360.04</v>
      </c>
      <c r="AC2999" s="28" t="n">
        <v>34001</v>
      </c>
      <c r="AD2999" s="28"/>
      <c r="AE2999" s="28" t="n">
        <f aca="false">AD2999*$M2999</f>
        <v>0</v>
      </c>
      <c r="AF2999" s="28"/>
      <c r="AG2999" s="28" t="n">
        <f aca="false">AF2999*$M2999</f>
        <v>0</v>
      </c>
      <c r="AH2999" s="28" t="n">
        <f aca="false">173052/100</f>
        <v>1730.52</v>
      </c>
      <c r="AI2999" s="28" t="n">
        <v>43263</v>
      </c>
      <c r="AJ2999" s="28"/>
      <c r="AK2999" s="28" t="n">
        <f aca="false">AJ2999*$M2999</f>
        <v>0</v>
      </c>
      <c r="AL2999" s="28"/>
      <c r="AM2999" s="28" t="n">
        <f aca="false">AL2999*$M2999</f>
        <v>0</v>
      </c>
      <c r="AN2999" s="28"/>
      <c r="AO2999" s="28" t="n">
        <f aca="false">AN2999*$M2999</f>
        <v>0</v>
      </c>
      <c r="AP2999" s="28"/>
      <c r="AQ2999" s="28" t="n">
        <f aca="false">AP2999*$M2999</f>
        <v>0</v>
      </c>
      <c r="AR2999" s="28"/>
      <c r="AS2999" s="28" t="n">
        <f aca="false">AR2999*$M2999</f>
        <v>0</v>
      </c>
      <c r="AT2999" s="28"/>
      <c r="AU2999" s="28" t="n">
        <f aca="false">AT2999*$M2999</f>
        <v>0</v>
      </c>
      <c r="AV2999" s="28"/>
      <c r="AW2999" s="28" t="n">
        <f aca="false">AV2999*$M2999</f>
        <v>0</v>
      </c>
      <c r="AX2999" s="28"/>
      <c r="AY2999" s="28" t="n">
        <f aca="false">AX2999*$M2999</f>
        <v>0</v>
      </c>
      <c r="AZ2999" s="30" t="n">
        <f aca="false">309056/100</f>
        <v>3090.56</v>
      </c>
      <c r="BA2999" s="11" t="n">
        <v>77264</v>
      </c>
      <c r="BB2999" s="31" t="n">
        <f aca="false">SUM(Q2999,S2999,U2999,W2999,Y2999,AA2999,AC2999,AE2999,AG2999,AI2999,AK2999,AM2999,AO2999,AQ2999,AS2999,AU2999,AW2999,AY2999)</f>
        <v>77264</v>
      </c>
      <c r="BC2999" s="28" t="n">
        <f aca="false">BA2999-BB2999</f>
        <v>0</v>
      </c>
      <c r="BD2999" s="32" t="n">
        <f aca="false">SUM(P2999,R2999,T2999,V2999,X2999,Z2999,AB2999,AD2999,AF2999,AH2999,AJ2999,AL2999,AN2999,AP2999,AR2999,AT2999,AV2999,AX2999)</f>
        <v>3090.56</v>
      </c>
      <c r="BE2999" s="33" t="n">
        <f aca="false">AZ2999-BD2999</f>
        <v>0</v>
      </c>
      <c r="BF2999" s="34" t="n">
        <f aca="false">BD2999*M2999</f>
        <v>77264</v>
      </c>
      <c r="BG2999" s="35" t="n">
        <f aca="false">BA2999-BF2999</f>
        <v>0</v>
      </c>
      <c r="BH2999" s="19" t="str">
        <f aca="false">IF(BG2999=0,"",IF(BG2999&lt;&gt;BA2999,"erreur de calcul",IF(BD2999&lt;&gt;0,"pas de prix",IF(M2999&lt;&gt; 0,"pas de quantité","pas de prix, ni de quantité"))))</f>
        <v/>
      </c>
      <c r="BI2999" s="19"/>
    </row>
    <row r="3000" customFormat="false" ht="15" hidden="false" customHeight="false" outlineLevel="0" collapsed="false">
      <c r="A3000" s="0" t="n">
        <v>26</v>
      </c>
      <c r="B3000" s="8" t="s">
        <v>24</v>
      </c>
      <c r="C3000" s="9" t="s">
        <v>25</v>
      </c>
      <c r="D3000" s="9" t="s">
        <v>26</v>
      </c>
      <c r="E3000" s="10" t="n">
        <v>1789</v>
      </c>
      <c r="F3000" s="9" t="s">
        <v>27</v>
      </c>
      <c r="G3000" s="9" t="s">
        <v>27</v>
      </c>
      <c r="H3000" s="11" t="n">
        <v>23</v>
      </c>
      <c r="I3000" s="11" t="s">
        <v>268</v>
      </c>
      <c r="J3000" s="14" t="n">
        <v>8</v>
      </c>
      <c r="K3000" s="14"/>
      <c r="L3000" s="16"/>
      <c r="M3000" s="27" t="n">
        <f aca="false">J3000+(K3000/20)+(L3000/240)</f>
        <v>8</v>
      </c>
      <c r="N3000" s="17" t="s">
        <v>64</v>
      </c>
      <c r="O3000" s="11"/>
      <c r="P3000" s="28"/>
      <c r="Q3000" s="28" t="n">
        <f aca="false">P3000*$M3000</f>
        <v>0</v>
      </c>
      <c r="R3000" s="28"/>
      <c r="S3000" s="28" t="n">
        <f aca="false">R3000*$M3000</f>
        <v>0</v>
      </c>
      <c r="T3000" s="28" t="n">
        <f aca="false">260752/100</f>
        <v>2607.52</v>
      </c>
      <c r="U3000" s="28" t="n">
        <v>20860</v>
      </c>
      <c r="V3000" s="28" t="n">
        <f aca="false">170453/100</f>
        <v>1704.53</v>
      </c>
      <c r="W3000" s="28" t="n">
        <v>13636</v>
      </c>
      <c r="X3000" s="28"/>
      <c r="Y3000" s="28" t="n">
        <f aca="false">X3000*$M3000</f>
        <v>0</v>
      </c>
      <c r="Z3000" s="28"/>
      <c r="AA3000" s="28" t="n">
        <f aca="false">Z3000*$M3000</f>
        <v>0</v>
      </c>
      <c r="AB3000" s="28"/>
      <c r="AC3000" s="28" t="n">
        <f aca="false">AB3000*$M3000</f>
        <v>0</v>
      </c>
      <c r="AD3000" s="28"/>
      <c r="AE3000" s="28" t="n">
        <f aca="false">AD3000*$M3000</f>
        <v>0</v>
      </c>
      <c r="AF3000" s="28"/>
      <c r="AG3000" s="28" t="n">
        <f aca="false">AF3000*$M3000</f>
        <v>0</v>
      </c>
      <c r="AH3000" s="28"/>
      <c r="AI3000" s="28" t="n">
        <f aca="false">AH3000*$M3000</f>
        <v>0</v>
      </c>
      <c r="AJ3000" s="28"/>
      <c r="AK3000" s="28" t="n">
        <f aca="false">AJ3000*$M3000</f>
        <v>0</v>
      </c>
      <c r="AL3000" s="28"/>
      <c r="AM3000" s="28" t="n">
        <f aca="false">AL3000*$M3000</f>
        <v>0</v>
      </c>
      <c r="AN3000" s="28"/>
      <c r="AO3000" s="28" t="n">
        <f aca="false">AN3000*$M3000</f>
        <v>0</v>
      </c>
      <c r="AP3000" s="28"/>
      <c r="AQ3000" s="28" t="n">
        <f aca="false">AP3000*$M3000</f>
        <v>0</v>
      </c>
      <c r="AR3000" s="28"/>
      <c r="AS3000" s="28" t="n">
        <f aca="false">AR3000*$M3000</f>
        <v>0</v>
      </c>
      <c r="AT3000" s="28"/>
      <c r="AU3000" s="28" t="n">
        <f aca="false">AT3000*$M3000</f>
        <v>0</v>
      </c>
      <c r="AV3000" s="28"/>
      <c r="AW3000" s="28" t="n">
        <f aca="false">AV3000*$M3000</f>
        <v>0</v>
      </c>
      <c r="AX3000" s="28"/>
      <c r="AY3000" s="28" t="n">
        <f aca="false">AX3000*$M3000</f>
        <v>0</v>
      </c>
      <c r="AZ3000" s="30" t="n">
        <f aca="false">431205/100</f>
        <v>4312.05</v>
      </c>
      <c r="BA3000" s="11" t="n">
        <v>34496</v>
      </c>
      <c r="BB3000" s="31" t="n">
        <f aca="false">SUM(Q3000,S3000,U3000,W3000,Y3000,AA3000,AC3000,AE3000,AG3000,AI3000,AK3000,AM3000,AO3000,AQ3000,AS3000,AU3000,AW3000,AY3000)</f>
        <v>34496</v>
      </c>
      <c r="BC3000" s="28" t="n">
        <f aca="false">BA3000-BB3000</f>
        <v>0</v>
      </c>
      <c r="BD3000" s="32" t="n">
        <f aca="false">SUM(P3000,R3000,T3000,V3000,X3000,Z3000,AB3000,AD3000,AF3000,AH3000,AJ3000,AL3000,AN3000,AP3000,AR3000,AT3000,AV3000,AX3000)</f>
        <v>4312.05</v>
      </c>
      <c r="BE3000" s="33" t="n">
        <f aca="false">AZ3000-BD3000</f>
        <v>0</v>
      </c>
      <c r="BF3000" s="34" t="n">
        <f aca="false">BD3000*M3000</f>
        <v>34496.4</v>
      </c>
      <c r="BG3000" s="35" t="n">
        <f aca="false">BA3000-BF3000</f>
        <v>-0.400000000001455</v>
      </c>
      <c r="BH3000" s="19" t="str">
        <f aca="false">IF(BG3000=0,"",IF(BG3000&lt;&gt;BA3000,"erreur de calcul",IF(BD3000&lt;&gt;0,"pas de prix",IF(M3000&lt;&gt; 0,"pas de quantité","pas de prix, ni de quantité"))))</f>
        <v>erreur de calcul</v>
      </c>
      <c r="BI3000" s="19"/>
    </row>
    <row r="3001" customFormat="false" ht="15" hidden="false" customHeight="false" outlineLevel="0" collapsed="false">
      <c r="A3001" s="0" t="n">
        <v>27</v>
      </c>
      <c r="B3001" s="8" t="s">
        <v>24</v>
      </c>
      <c r="C3001" s="9" t="s">
        <v>25</v>
      </c>
      <c r="D3001" s="9" t="s">
        <v>26</v>
      </c>
      <c r="E3001" s="10" t="n">
        <v>1789</v>
      </c>
      <c r="F3001" s="9" t="s">
        <v>27</v>
      </c>
      <c r="G3001" s="9" t="s">
        <v>27</v>
      </c>
      <c r="H3001" s="11" t="n">
        <v>23</v>
      </c>
      <c r="I3001" s="11" t="s">
        <v>269</v>
      </c>
      <c r="J3001" s="14"/>
      <c r="K3001" s="14" t="n">
        <v>50</v>
      </c>
      <c r="L3001" s="16"/>
      <c r="M3001" s="27" t="n">
        <f aca="false">J3001+(K3001/20)+(L3001/240)</f>
        <v>2.5</v>
      </c>
      <c r="N3001" s="17" t="s">
        <v>85</v>
      </c>
      <c r="O3001" s="11"/>
      <c r="P3001" s="28"/>
      <c r="Q3001" s="28" t="n">
        <f aca="false">P3001*$M3001</f>
        <v>0</v>
      </c>
      <c r="R3001" s="28"/>
      <c r="S3001" s="28" t="n">
        <f aca="false">R3001*$M3001</f>
        <v>0</v>
      </c>
      <c r="T3001" s="28" t="n">
        <f aca="false">221150/100</f>
        <v>2211.5</v>
      </c>
      <c r="U3001" s="28" t="n">
        <v>5529</v>
      </c>
      <c r="V3001" s="28" t="n">
        <f aca="false">3922156/100</f>
        <v>39221.56</v>
      </c>
      <c r="W3001" s="28" t="n">
        <v>98054</v>
      </c>
      <c r="X3001" s="28"/>
      <c r="Y3001" s="28" t="n">
        <f aca="false">X3001*$M3001</f>
        <v>0</v>
      </c>
      <c r="Z3001" s="28"/>
      <c r="AA3001" s="28" t="n">
        <f aca="false">Z3001*$M3001</f>
        <v>0</v>
      </c>
      <c r="AB3001" s="28" t="n">
        <f aca="false">297900/100</f>
        <v>2979</v>
      </c>
      <c r="AC3001" s="28" t="n">
        <v>7447</v>
      </c>
      <c r="AD3001" s="28"/>
      <c r="AE3001" s="28" t="n">
        <f aca="false">AD3001*$M3001</f>
        <v>0</v>
      </c>
      <c r="AF3001" s="28"/>
      <c r="AG3001" s="28" t="n">
        <f aca="false">AF3001*$M3001</f>
        <v>0</v>
      </c>
      <c r="AH3001" s="28"/>
      <c r="AI3001" s="28" t="n">
        <f aca="false">AH3001*$M3001</f>
        <v>0</v>
      </c>
      <c r="AJ3001" s="28"/>
      <c r="AK3001" s="28" t="n">
        <f aca="false">AJ3001*$M3001</f>
        <v>0</v>
      </c>
      <c r="AL3001" s="28"/>
      <c r="AM3001" s="28" t="n">
        <f aca="false">AL3001*$M3001</f>
        <v>0</v>
      </c>
      <c r="AN3001" s="28"/>
      <c r="AO3001" s="28" t="n">
        <f aca="false">AN3001*$M3001</f>
        <v>0</v>
      </c>
      <c r="AP3001" s="28"/>
      <c r="AQ3001" s="28" t="n">
        <f aca="false">AP3001*$M3001</f>
        <v>0</v>
      </c>
      <c r="AR3001" s="28"/>
      <c r="AS3001" s="28" t="n">
        <f aca="false">AR3001*$M3001</f>
        <v>0</v>
      </c>
      <c r="AT3001" s="28"/>
      <c r="AU3001" s="28" t="n">
        <f aca="false">AT3001*$M3001</f>
        <v>0</v>
      </c>
      <c r="AV3001" s="28"/>
      <c r="AW3001" s="28" t="n">
        <f aca="false">AV3001*$M3001</f>
        <v>0</v>
      </c>
      <c r="AX3001" s="28"/>
      <c r="AY3001" s="28" t="n">
        <f aca="false">AX3001*$M3001</f>
        <v>0</v>
      </c>
      <c r="AZ3001" s="30" t="n">
        <f aca="false">4441206/100</f>
        <v>44412.06</v>
      </c>
      <c r="BA3001" s="11" t="n">
        <v>111030</v>
      </c>
      <c r="BB3001" s="31" t="n">
        <f aca="false">SUM(Q3001,S3001,U3001,W3001,Y3001,AA3001,AC3001,AE3001,AG3001,AI3001,AK3001,AM3001,AO3001,AQ3001,AS3001,AU3001,AW3001,AY3001)</f>
        <v>111030</v>
      </c>
      <c r="BC3001" s="28" t="n">
        <f aca="false">BA3001-BB3001</f>
        <v>0</v>
      </c>
      <c r="BD3001" s="32" t="n">
        <f aca="false">SUM(P3001,R3001,T3001,V3001,X3001,Z3001,AB3001,AD3001,AF3001,AH3001,AJ3001,AL3001,AN3001,AP3001,AR3001,AT3001,AV3001,AX3001)</f>
        <v>44412.06</v>
      </c>
      <c r="BE3001" s="33" t="n">
        <f aca="false">AZ3001-BD3001</f>
        <v>0</v>
      </c>
      <c r="BF3001" s="34" t="n">
        <f aca="false">BD3001*M3001</f>
        <v>111030.15</v>
      </c>
      <c r="BG3001" s="35" t="n">
        <f aca="false">BA3001-BF3001</f>
        <v>-0.149999999994179</v>
      </c>
      <c r="BH3001" s="19" t="str">
        <f aca="false">IF(BG3001=0,"",IF(BG3001&lt;&gt;BA3001,"erreur de calcul",IF(BD3001&lt;&gt;0,"pas de prix",IF(M3001&lt;&gt; 0,"pas de quantité","pas de prix, ni de quantité"))))</f>
        <v>erreur de calcul</v>
      </c>
      <c r="BI3001" s="19"/>
    </row>
    <row r="3002" customFormat="false" ht="15" hidden="false" customHeight="false" outlineLevel="0" collapsed="false">
      <c r="A3002" s="0" t="n">
        <v>28</v>
      </c>
      <c r="B3002" s="8" t="s">
        <v>24</v>
      </c>
      <c r="C3002" s="9" t="s">
        <v>25</v>
      </c>
      <c r="D3002" s="9" t="s">
        <v>26</v>
      </c>
      <c r="E3002" s="10" t="n">
        <v>1789</v>
      </c>
      <c r="F3002" s="9" t="s">
        <v>27</v>
      </c>
      <c r="G3002" s="9" t="s">
        <v>27</v>
      </c>
      <c r="H3002" s="11" t="n">
        <v>23</v>
      </c>
      <c r="I3002" s="11" t="s">
        <v>270</v>
      </c>
      <c r="J3002" s="14" t="n">
        <v>5</v>
      </c>
      <c r="K3002" s="14"/>
      <c r="L3002" s="16"/>
      <c r="M3002" s="27" t="n">
        <f aca="false">J3002+(K3002/20)+(L3002/240)</f>
        <v>5</v>
      </c>
      <c r="N3002" s="17" t="s">
        <v>85</v>
      </c>
      <c r="O3002" s="11"/>
      <c r="P3002" s="28" t="n">
        <f aca="false">328200/100</f>
        <v>3282</v>
      </c>
      <c r="Q3002" s="28" t="n">
        <v>16410</v>
      </c>
      <c r="R3002" s="28"/>
      <c r="S3002" s="28" t="n">
        <f aca="false">R3002*$M3002</f>
        <v>0</v>
      </c>
      <c r="T3002" s="28" t="n">
        <f aca="false">667000/100</f>
        <v>6670</v>
      </c>
      <c r="U3002" s="36" t="n">
        <v>33360</v>
      </c>
      <c r="V3002" s="28" t="n">
        <f aca="false">506800/100</f>
        <v>5068</v>
      </c>
      <c r="W3002" s="28" t="n">
        <v>25340</v>
      </c>
      <c r="X3002" s="28"/>
      <c r="Y3002" s="28" t="n">
        <f aca="false">X3002*$M3002</f>
        <v>0</v>
      </c>
      <c r="Z3002" s="28"/>
      <c r="AA3002" s="28" t="n">
        <f aca="false">Z3002*$M3002</f>
        <v>0</v>
      </c>
      <c r="AB3002" s="28"/>
      <c r="AC3002" s="28" t="n">
        <f aca="false">AB3002*$M3002</f>
        <v>0</v>
      </c>
      <c r="AD3002" s="28"/>
      <c r="AE3002" s="28" t="n">
        <f aca="false">AD3002*$M3002</f>
        <v>0</v>
      </c>
      <c r="AF3002" s="28"/>
      <c r="AG3002" s="28" t="n">
        <f aca="false">AF3002*$M3002</f>
        <v>0</v>
      </c>
      <c r="AH3002" s="28" t="n">
        <f aca="false">320500/100</f>
        <v>3205</v>
      </c>
      <c r="AI3002" s="28" t="n">
        <v>16025</v>
      </c>
      <c r="AJ3002" s="28"/>
      <c r="AK3002" s="28" t="n">
        <f aca="false">AJ3002*$M3002</f>
        <v>0</v>
      </c>
      <c r="AL3002" s="28"/>
      <c r="AM3002" s="28" t="n">
        <f aca="false">AL3002*$M3002</f>
        <v>0</v>
      </c>
      <c r="AN3002" s="28"/>
      <c r="AO3002" s="28" t="n">
        <f aca="false">AN3002*$M3002</f>
        <v>0</v>
      </c>
      <c r="AP3002" s="28"/>
      <c r="AQ3002" s="28" t="n">
        <f aca="false">AP3002*$M3002</f>
        <v>0</v>
      </c>
      <c r="AR3002" s="28"/>
      <c r="AS3002" s="28" t="n">
        <f aca="false">AR3002*$M3002</f>
        <v>0</v>
      </c>
      <c r="AT3002" s="28"/>
      <c r="AU3002" s="28" t="n">
        <f aca="false">AT3002*$M3002</f>
        <v>0</v>
      </c>
      <c r="AV3002" s="28"/>
      <c r="AW3002" s="28" t="n">
        <f aca="false">AV3002*$M3002</f>
        <v>0</v>
      </c>
      <c r="AX3002" s="28"/>
      <c r="AY3002" s="28" t="n">
        <f aca="false">AX3002*$M3002</f>
        <v>0</v>
      </c>
      <c r="AZ3002" s="30" t="n">
        <f aca="false">1822500/100</f>
        <v>18225</v>
      </c>
      <c r="BA3002" s="11" t="n">
        <v>91135</v>
      </c>
      <c r="BB3002" s="31" t="n">
        <f aca="false">SUM(Q3002,S3002,U3002,W3002,Y3002,AA3002,AC3002,AE3002,AG3002,AI3002,AK3002,AM3002,AO3002,AQ3002,AS3002,AU3002,AW3002,AY3002)</f>
        <v>91135</v>
      </c>
      <c r="BC3002" s="28" t="n">
        <f aca="false">BA3002-BB3002</f>
        <v>0</v>
      </c>
      <c r="BD3002" s="32" t="n">
        <f aca="false">SUM(P3002,R3002,T3002,V3002,X3002,Z3002,AB3002,AD3002,AF3002,AH3002,AJ3002,AL3002,AN3002,AP3002,AR3002,AT3002,AV3002,AX3002)</f>
        <v>18225</v>
      </c>
      <c r="BE3002" s="33" t="n">
        <f aca="false">AZ3002-BD3002</f>
        <v>0</v>
      </c>
      <c r="BF3002" s="34" t="n">
        <f aca="false">BD3002*M3002</f>
        <v>91125</v>
      </c>
      <c r="BG3002" s="35" t="n">
        <f aca="false">BA3002-BF3002</f>
        <v>10</v>
      </c>
      <c r="BH3002" s="19" t="str">
        <f aca="false">IF(BG3002=0,"",IF(BG3002&lt;&gt;BA3002,"erreur de calcul",IF(BD3002&lt;&gt;0,"pas de prix",IF(M3002&lt;&gt; 0,"pas de quantité","pas de prix, ni de quantité"))))</f>
        <v>erreur de calcul</v>
      </c>
      <c r="BI3002" s="19"/>
    </row>
    <row r="3003" customFormat="false" ht="15" hidden="false" customHeight="false" outlineLevel="0" collapsed="false">
      <c r="A3003" s="0" t="n">
        <v>29</v>
      </c>
      <c r="B3003" s="8" t="s">
        <v>24</v>
      </c>
      <c r="C3003" s="9" t="s">
        <v>25</v>
      </c>
      <c r="D3003" s="9" t="s">
        <v>26</v>
      </c>
      <c r="E3003" s="10" t="n">
        <v>1789</v>
      </c>
      <c r="F3003" s="9" t="s">
        <v>27</v>
      </c>
      <c r="G3003" s="9" t="s">
        <v>27</v>
      </c>
      <c r="H3003" s="11" t="n">
        <v>23</v>
      </c>
      <c r="I3003" s="11" t="s">
        <v>271</v>
      </c>
      <c r="J3003" s="14" t="n">
        <v>7</v>
      </c>
      <c r="K3003" s="14" t="n">
        <v>10</v>
      </c>
      <c r="L3003" s="16"/>
      <c r="M3003" s="27" t="n">
        <f aca="false">J3003+(K3003/20)+(L3003/240)</f>
        <v>7.5</v>
      </c>
      <c r="N3003" s="17" t="s">
        <v>64</v>
      </c>
      <c r="O3003" s="11"/>
      <c r="P3003" s="28"/>
      <c r="Q3003" s="28" t="n">
        <f aca="false">P3003*$M3003</f>
        <v>0</v>
      </c>
      <c r="R3003" s="28"/>
      <c r="S3003" s="28" t="n">
        <f aca="false">R3003*$M3003</f>
        <v>0</v>
      </c>
      <c r="T3003" s="28"/>
      <c r="U3003" s="28" t="n">
        <f aca="false">T3003*$M3003</f>
        <v>0</v>
      </c>
      <c r="V3003" s="28" t="n">
        <f aca="false">191888/100</f>
        <v>1918.88</v>
      </c>
      <c r="W3003" s="28" t="n">
        <v>14392</v>
      </c>
      <c r="X3003" s="28"/>
      <c r="Y3003" s="28" t="n">
        <f aca="false">X3003*$M3003</f>
        <v>0</v>
      </c>
      <c r="Z3003" s="28"/>
      <c r="AA3003" s="28" t="n">
        <f aca="false">Z3003*$M3003</f>
        <v>0</v>
      </c>
      <c r="AB3003" s="28"/>
      <c r="AC3003" s="28" t="n">
        <f aca="false">AB3003*$M3003</f>
        <v>0</v>
      </c>
      <c r="AD3003" s="28"/>
      <c r="AE3003" s="28" t="n">
        <f aca="false">AD3003*$M3003</f>
        <v>0</v>
      </c>
      <c r="AF3003" s="28"/>
      <c r="AG3003" s="28" t="n">
        <f aca="false">AF3003*$M3003</f>
        <v>0</v>
      </c>
      <c r="AH3003" s="28"/>
      <c r="AI3003" s="28" t="n">
        <f aca="false">AH3003*$M3003</f>
        <v>0</v>
      </c>
      <c r="AJ3003" s="28"/>
      <c r="AK3003" s="28" t="n">
        <f aca="false">AJ3003*$M3003</f>
        <v>0</v>
      </c>
      <c r="AL3003" s="28"/>
      <c r="AM3003" s="28" t="n">
        <f aca="false">AL3003*$M3003</f>
        <v>0</v>
      </c>
      <c r="AN3003" s="28"/>
      <c r="AO3003" s="28" t="n">
        <f aca="false">AN3003*$M3003</f>
        <v>0</v>
      </c>
      <c r="AP3003" s="28"/>
      <c r="AQ3003" s="28" t="n">
        <f aca="false">AP3003*$M3003</f>
        <v>0</v>
      </c>
      <c r="AR3003" s="28"/>
      <c r="AS3003" s="28" t="n">
        <f aca="false">AR3003*$M3003</f>
        <v>0</v>
      </c>
      <c r="AT3003" s="28"/>
      <c r="AU3003" s="28" t="n">
        <f aca="false">AT3003*$M3003</f>
        <v>0</v>
      </c>
      <c r="AV3003" s="28"/>
      <c r="AW3003" s="28" t="n">
        <f aca="false">AV3003*$M3003</f>
        <v>0</v>
      </c>
      <c r="AX3003" s="28"/>
      <c r="AY3003" s="28" t="n">
        <f aca="false">AX3003*$M3003</f>
        <v>0</v>
      </c>
      <c r="AZ3003" s="30" t="n">
        <f aca="false">191888/100</f>
        <v>1918.88</v>
      </c>
      <c r="BA3003" s="11" t="n">
        <v>14392</v>
      </c>
      <c r="BB3003" s="31" t="n">
        <f aca="false">SUM(Q3003,S3003,U3003,W3003,Y3003,AA3003,AC3003,AE3003,AG3003,AI3003,AK3003,AM3003,AO3003,AQ3003,AS3003,AU3003,AW3003,AY3003)</f>
        <v>14392</v>
      </c>
      <c r="BC3003" s="28" t="n">
        <f aca="false">BA3003-BB3003</f>
        <v>0</v>
      </c>
      <c r="BD3003" s="32" t="n">
        <f aca="false">SUM(P3003,R3003,T3003,V3003,X3003,Z3003,AB3003,AD3003,AF3003,AH3003,AJ3003,AL3003,AN3003,AP3003,AR3003,AT3003,AV3003,AX3003)</f>
        <v>1918.88</v>
      </c>
      <c r="BE3003" s="33" t="n">
        <f aca="false">AZ3003-BD3003</f>
        <v>0</v>
      </c>
      <c r="BF3003" s="34" t="n">
        <f aca="false">BD3003*M3003</f>
        <v>14391.6</v>
      </c>
      <c r="BG3003" s="35" t="n">
        <f aca="false">BA3003-BF3003</f>
        <v>0.399999999999636</v>
      </c>
      <c r="BH3003" s="19" t="str">
        <f aca="false">IF(BG3003=0,"",IF(BG3003&lt;&gt;BA3003,"erreur de calcul",IF(BD3003&lt;&gt;0,"pas de prix",IF(M3003&lt;&gt; 0,"pas de quantité","pas de prix, ni de quantité"))))</f>
        <v>erreur de calcul</v>
      </c>
      <c r="BI3003" s="19"/>
    </row>
    <row r="3004" customFormat="false" ht="15" hidden="false" customHeight="false" outlineLevel="0" collapsed="false">
      <c r="A3004" s="0" t="n">
        <v>30</v>
      </c>
      <c r="B3004" s="8" t="s">
        <v>24</v>
      </c>
      <c r="C3004" s="9" t="s">
        <v>25</v>
      </c>
      <c r="D3004" s="9" t="s">
        <v>26</v>
      </c>
      <c r="E3004" s="10" t="n">
        <v>1789</v>
      </c>
      <c r="F3004" s="9" t="s">
        <v>27</v>
      </c>
      <c r="G3004" s="9" t="s">
        <v>27</v>
      </c>
      <c r="H3004" s="11" t="n">
        <v>23</v>
      </c>
      <c r="I3004" s="11" t="s">
        <v>272</v>
      </c>
      <c r="J3004" s="14" t="n">
        <v>6</v>
      </c>
      <c r="K3004" s="14"/>
      <c r="L3004" s="16"/>
      <c r="M3004" s="27" t="n">
        <f aca="false">J3004+(K3004/20)+(L3004/240)</f>
        <v>6</v>
      </c>
      <c r="N3004" s="17" t="s">
        <v>64</v>
      </c>
      <c r="O3004" s="11"/>
      <c r="P3004" s="28"/>
      <c r="Q3004" s="28" t="n">
        <f aca="false">P3004*$M3004</f>
        <v>0</v>
      </c>
      <c r="R3004" s="28"/>
      <c r="S3004" s="28" t="n">
        <f aca="false">R3004*$M3004</f>
        <v>0</v>
      </c>
      <c r="T3004" s="28" t="n">
        <f aca="false">26711/100</f>
        <v>267.11</v>
      </c>
      <c r="U3004" s="28" t="n">
        <v>1603</v>
      </c>
      <c r="V3004" s="28" t="n">
        <f aca="false">790699/100</f>
        <v>7906.99</v>
      </c>
      <c r="W3004" s="28" t="n">
        <v>47442</v>
      </c>
      <c r="X3004" s="28" t="n">
        <f aca="false">50169/100</f>
        <v>501.69</v>
      </c>
      <c r="Y3004" s="28" t="n">
        <v>3010</v>
      </c>
      <c r="Z3004" s="28"/>
      <c r="AA3004" s="28" t="n">
        <f aca="false">Z3004*$M3004</f>
        <v>0</v>
      </c>
      <c r="AB3004" s="28"/>
      <c r="AC3004" s="28" t="n">
        <f aca="false">AB3004*$M3004</f>
        <v>0</v>
      </c>
      <c r="AD3004" s="28"/>
      <c r="AE3004" s="28" t="n">
        <f aca="false">AD3004*$M3004</f>
        <v>0</v>
      </c>
      <c r="AF3004" s="28"/>
      <c r="AG3004" s="28" t="n">
        <f aca="false">AF3004*$M3004</f>
        <v>0</v>
      </c>
      <c r="AH3004" s="28"/>
      <c r="AI3004" s="28" t="n">
        <f aca="false">AH3004*$M3004</f>
        <v>0</v>
      </c>
      <c r="AJ3004" s="28"/>
      <c r="AK3004" s="28" t="n">
        <f aca="false">AJ3004*$M3004</f>
        <v>0</v>
      </c>
      <c r="AL3004" s="28"/>
      <c r="AM3004" s="28" t="n">
        <f aca="false">AL3004*$M3004</f>
        <v>0</v>
      </c>
      <c r="AN3004" s="28"/>
      <c r="AO3004" s="28" t="n">
        <f aca="false">AN3004*$M3004</f>
        <v>0</v>
      </c>
      <c r="AP3004" s="28"/>
      <c r="AQ3004" s="28" t="n">
        <f aca="false">AP3004*$M3004</f>
        <v>0</v>
      </c>
      <c r="AR3004" s="28"/>
      <c r="AS3004" s="28" t="n">
        <f aca="false">AR3004*$M3004</f>
        <v>0</v>
      </c>
      <c r="AT3004" s="28"/>
      <c r="AU3004" s="28" t="n">
        <f aca="false">AT3004*$M3004</f>
        <v>0</v>
      </c>
      <c r="AV3004" s="28"/>
      <c r="AW3004" s="28" t="n">
        <f aca="false">AV3004*$M3004</f>
        <v>0</v>
      </c>
      <c r="AX3004" s="28"/>
      <c r="AY3004" s="28" t="n">
        <f aca="false">AX3004*$M3004</f>
        <v>0</v>
      </c>
      <c r="AZ3004" s="30" t="n">
        <f aca="false">867559/100</f>
        <v>8675.59</v>
      </c>
      <c r="BA3004" s="11" t="n">
        <v>52055</v>
      </c>
      <c r="BB3004" s="31" t="n">
        <f aca="false">SUM(Q3004,S3004,U3004,W3004,Y3004,AA3004,AC3004,AE3004,AG3004,AI3004,AK3004,AM3004,AO3004,AQ3004,AS3004,AU3004,AW3004,AY3004)</f>
        <v>52055</v>
      </c>
      <c r="BC3004" s="28" t="n">
        <f aca="false">BA3004-BB3004</f>
        <v>0</v>
      </c>
      <c r="BD3004" s="32" t="n">
        <f aca="false">SUM(P3004,R3004,T3004,V3004,X3004,Z3004,AB3004,AD3004,AF3004,AH3004,AJ3004,AL3004,AN3004,AP3004,AR3004,AT3004,AV3004,AX3004)</f>
        <v>8675.79</v>
      </c>
      <c r="BE3004" s="33" t="n">
        <f aca="false">AZ3004-BD3004</f>
        <v>-0.200000000000728</v>
      </c>
      <c r="BF3004" s="34" t="n">
        <f aca="false">BD3004*M3004</f>
        <v>52054.74</v>
      </c>
      <c r="BG3004" s="35" t="n">
        <f aca="false">BA3004-BF3004</f>
        <v>0.259999999994761</v>
      </c>
      <c r="BH3004" s="19" t="str">
        <f aca="false">IF(BG3004=0,"",IF(BG3004&lt;&gt;BA3004,"erreur de calcul",IF(BD3004&lt;&gt;0,"pas de prix",IF(M3004&lt;&gt; 0,"pas de quantité","pas de prix, ni de quantité"))))</f>
        <v>erreur de calcul</v>
      </c>
      <c r="BI3004" s="19"/>
    </row>
    <row r="3005" customFormat="false" ht="15" hidden="false" customHeight="false" outlineLevel="0" collapsed="false">
      <c r="A3005" s="0" t="n">
        <v>31</v>
      </c>
      <c r="B3005" s="8" t="s">
        <v>24</v>
      </c>
      <c r="C3005" s="9" t="s">
        <v>25</v>
      </c>
      <c r="D3005" s="9" t="s">
        <v>26</v>
      </c>
      <c r="E3005" s="10" t="n">
        <v>1789</v>
      </c>
      <c r="F3005" s="9" t="s">
        <v>27</v>
      </c>
      <c r="G3005" s="9" t="s">
        <v>27</v>
      </c>
      <c r="H3005" s="11" t="n">
        <v>23</v>
      </c>
      <c r="I3005" s="11" t="s">
        <v>273</v>
      </c>
      <c r="J3005" s="14" t="n">
        <v>8</v>
      </c>
      <c r="K3005" s="14"/>
      <c r="L3005" s="16"/>
      <c r="M3005" s="27" t="n">
        <f aca="false">J3005+(K3005/20)+(L3005/240)</f>
        <v>8</v>
      </c>
      <c r="N3005" s="17" t="s">
        <v>81</v>
      </c>
      <c r="O3005" s="11"/>
      <c r="P3005" s="28" t="n">
        <v>27</v>
      </c>
      <c r="Q3005" s="28" t="n">
        <v>216</v>
      </c>
      <c r="R3005" s="28"/>
      <c r="S3005" s="28" t="n">
        <f aca="false">R3005*$M3005</f>
        <v>0</v>
      </c>
      <c r="T3005" s="28"/>
      <c r="U3005" s="28" t="n">
        <f aca="false">T3005*$M3005</f>
        <v>0</v>
      </c>
      <c r="V3005" s="28" t="n">
        <v>40</v>
      </c>
      <c r="W3005" s="28" t="n">
        <v>320</v>
      </c>
      <c r="X3005" s="28"/>
      <c r="Y3005" s="28" t="n">
        <f aca="false">X3005*$M3005</f>
        <v>0</v>
      </c>
      <c r="Z3005" s="28"/>
      <c r="AA3005" s="28" t="n">
        <f aca="false">Z3005*$M3005</f>
        <v>0</v>
      </c>
      <c r="AB3005" s="28" t="n">
        <v>164</v>
      </c>
      <c r="AC3005" s="28" t="n">
        <v>1312</v>
      </c>
      <c r="AD3005" s="28"/>
      <c r="AE3005" s="28" t="n">
        <f aca="false">AD3005*$M3005</f>
        <v>0</v>
      </c>
      <c r="AF3005" s="28" t="n">
        <v>263</v>
      </c>
      <c r="AG3005" s="28" t="n">
        <v>2104</v>
      </c>
      <c r="AH3005" s="28"/>
      <c r="AI3005" s="28" t="n">
        <f aca="false">AH3005*$M3005</f>
        <v>0</v>
      </c>
      <c r="AJ3005" s="28"/>
      <c r="AK3005" s="28" t="n">
        <f aca="false">AJ3005*$M3005</f>
        <v>0</v>
      </c>
      <c r="AL3005" s="28"/>
      <c r="AM3005" s="28" t="n">
        <f aca="false">AL3005*$M3005</f>
        <v>0</v>
      </c>
      <c r="AN3005" s="28"/>
      <c r="AO3005" s="28" t="n">
        <f aca="false">AN3005*$M3005</f>
        <v>0</v>
      </c>
      <c r="AP3005" s="28" t="n">
        <v>278</v>
      </c>
      <c r="AQ3005" s="28" t="n">
        <v>2224</v>
      </c>
      <c r="AR3005" s="28"/>
      <c r="AS3005" s="28" t="n">
        <f aca="false">AR3005*$M3005</f>
        <v>0</v>
      </c>
      <c r="AT3005" s="28"/>
      <c r="AU3005" s="28" t="n">
        <f aca="false">AT3005*$M3005</f>
        <v>0</v>
      </c>
      <c r="AV3005" s="28"/>
      <c r="AW3005" s="28" t="n">
        <f aca="false">AV3005*$M3005</f>
        <v>0</v>
      </c>
      <c r="AX3005" s="28"/>
      <c r="AY3005" s="28" t="n">
        <f aca="false">AX3005*$M3005</f>
        <v>0</v>
      </c>
      <c r="AZ3005" s="30" t="n">
        <v>772</v>
      </c>
      <c r="BA3005" s="11" t="n">
        <v>6176</v>
      </c>
      <c r="BB3005" s="31" t="n">
        <f aca="false">SUM(Q3005,S3005,U3005,W3005,Y3005,AA3005,AC3005,AE3005,AG3005,AI3005,AK3005,AM3005,AO3005,AQ3005,AS3005,AU3005,AW3005,AY3005)</f>
        <v>6176</v>
      </c>
      <c r="BC3005" s="28" t="n">
        <f aca="false">BA3005-BB3005</f>
        <v>0</v>
      </c>
      <c r="BD3005" s="32" t="n">
        <f aca="false">SUM(P3005,R3005,T3005,V3005,X3005,Z3005,AB3005,AD3005,AF3005,AH3005,AJ3005,AL3005,AN3005,AP3005,AR3005,AT3005,AV3005,AX3005)</f>
        <v>772</v>
      </c>
      <c r="BE3005" s="33" t="n">
        <f aca="false">AZ3005-BD3005</f>
        <v>0</v>
      </c>
      <c r="BF3005" s="34" t="n">
        <f aca="false">BD3005*M3005</f>
        <v>6176</v>
      </c>
      <c r="BG3005" s="35" t="n">
        <f aca="false">BA3005-BF3005</f>
        <v>0</v>
      </c>
      <c r="BH3005" s="19" t="str">
        <f aca="false">IF(BG3005=0,"",IF(BG3005&lt;&gt;BA3005,"erreur de calcul",IF(BD3005&lt;&gt;0,"pas de prix",IF(M3005&lt;&gt; 0,"pas de quantité","pas de prix, ni de quantité"))))</f>
        <v/>
      </c>
      <c r="BI3005" s="19"/>
    </row>
    <row r="3006" customFormat="false" ht="15" hidden="false" customHeight="false" outlineLevel="0" collapsed="false">
      <c r="A3006" s="0" t="n">
        <v>32</v>
      </c>
      <c r="B3006" s="8" t="s">
        <v>24</v>
      </c>
      <c r="C3006" s="9" t="s">
        <v>25</v>
      </c>
      <c r="D3006" s="9" t="s">
        <v>26</v>
      </c>
      <c r="E3006" s="10" t="n">
        <v>1789</v>
      </c>
      <c r="F3006" s="9" t="s">
        <v>27</v>
      </c>
      <c r="G3006" s="9" t="s">
        <v>27</v>
      </c>
      <c r="H3006" s="11" t="n">
        <v>23</v>
      </c>
      <c r="I3006" s="11" t="s">
        <v>274</v>
      </c>
      <c r="J3006" s="14" t="n">
        <v>17</v>
      </c>
      <c r="K3006" s="14"/>
      <c r="L3006" s="16"/>
      <c r="M3006" s="27" t="n">
        <f aca="false">J3006+(K3006/20)+(L3006/240)</f>
        <v>17</v>
      </c>
      <c r="N3006" s="17" t="s">
        <v>275</v>
      </c>
      <c r="O3006" s="11"/>
      <c r="P3006" s="28" t="n">
        <v>200</v>
      </c>
      <c r="Q3006" s="28" t="n">
        <v>3400</v>
      </c>
      <c r="R3006" s="28"/>
      <c r="S3006" s="28" t="n">
        <f aca="false">R3006*$M3006</f>
        <v>0</v>
      </c>
      <c r="T3006" s="28"/>
      <c r="U3006" s="28" t="n">
        <f aca="false">T3006*$M3006</f>
        <v>0</v>
      </c>
      <c r="V3006" s="28"/>
      <c r="W3006" s="28" t="n">
        <f aca="false">V3006*$M3006</f>
        <v>0</v>
      </c>
      <c r="X3006" s="28" t="n">
        <v>145</v>
      </c>
      <c r="Y3006" s="28" t="n">
        <v>2465</v>
      </c>
      <c r="Z3006" s="28"/>
      <c r="AA3006" s="28" t="n">
        <f aca="false">Z3006*$M3006</f>
        <v>0</v>
      </c>
      <c r="AB3006" s="28"/>
      <c r="AC3006" s="28" t="n">
        <f aca="false">AB3006*$M3006</f>
        <v>0</v>
      </c>
      <c r="AD3006" s="28"/>
      <c r="AE3006" s="28" t="n">
        <f aca="false">AD3006*$M3006</f>
        <v>0</v>
      </c>
      <c r="AF3006" s="28"/>
      <c r="AG3006" s="28" t="n">
        <f aca="false">AF3006*$M3006</f>
        <v>0</v>
      </c>
      <c r="AH3006" s="28"/>
      <c r="AI3006" s="28" t="n">
        <f aca="false">AH3006*$M3006</f>
        <v>0</v>
      </c>
      <c r="AJ3006" s="28"/>
      <c r="AK3006" s="28" t="n">
        <f aca="false">AJ3006*$M3006</f>
        <v>0</v>
      </c>
      <c r="AL3006" s="28" t="n">
        <v>12</v>
      </c>
      <c r="AM3006" s="28" t="n">
        <v>204</v>
      </c>
      <c r="AN3006" s="28"/>
      <c r="AO3006" s="28" t="n">
        <f aca="false">AN3006*$M3006</f>
        <v>0</v>
      </c>
      <c r="AP3006" s="28"/>
      <c r="AQ3006" s="28" t="n">
        <f aca="false">AP3006*$M3006</f>
        <v>0</v>
      </c>
      <c r="AR3006" s="28"/>
      <c r="AS3006" s="28" t="n">
        <f aca="false">AR3006*$M3006</f>
        <v>0</v>
      </c>
      <c r="AT3006" s="28"/>
      <c r="AU3006" s="28" t="n">
        <f aca="false">AT3006*$M3006</f>
        <v>0</v>
      </c>
      <c r="AV3006" s="28"/>
      <c r="AW3006" s="28" t="n">
        <f aca="false">AV3006*$M3006</f>
        <v>0</v>
      </c>
      <c r="AX3006" s="28"/>
      <c r="AY3006" s="28" t="n">
        <f aca="false">AX3006*$M3006</f>
        <v>0</v>
      </c>
      <c r="AZ3006" s="30" t="n">
        <v>357</v>
      </c>
      <c r="BA3006" s="11" t="n">
        <v>6069</v>
      </c>
      <c r="BB3006" s="31" t="n">
        <f aca="false">SUM(Q3006,S3006,U3006,W3006,Y3006,AA3006,AC3006,AE3006,AG3006,AI3006,AK3006,AM3006,AO3006,AQ3006,AS3006,AU3006,AW3006,AY3006)</f>
        <v>6069</v>
      </c>
      <c r="BC3006" s="28" t="n">
        <f aca="false">BA3006-BB3006</f>
        <v>0</v>
      </c>
      <c r="BD3006" s="32" t="n">
        <f aca="false">SUM(P3006,R3006,T3006,V3006,X3006,Z3006,AB3006,AD3006,AF3006,AH3006,AJ3006,AL3006,AN3006,AP3006,AR3006,AT3006,AV3006,AX3006)</f>
        <v>357</v>
      </c>
      <c r="BE3006" s="33" t="n">
        <f aca="false">AZ3006-BD3006</f>
        <v>0</v>
      </c>
      <c r="BF3006" s="34" t="n">
        <f aca="false">BD3006*M3006</f>
        <v>6069</v>
      </c>
      <c r="BG3006" s="35" t="n">
        <f aca="false">BA3006-BF3006</f>
        <v>0</v>
      </c>
      <c r="BH3006" s="19" t="str">
        <f aca="false">IF(BG3006=0,"",IF(BG3006&lt;&gt;BA3006,"erreur de calcul",IF(BD3006&lt;&gt;0,"pas de prix",IF(M3006&lt;&gt; 0,"pas de quantité","pas de prix, ni de quantité"))))</f>
        <v/>
      </c>
      <c r="BI3006" s="19" t="s">
        <v>275</v>
      </c>
    </row>
    <row r="3007" customFormat="false" ht="15" hidden="false" customHeight="false" outlineLevel="0" collapsed="false">
      <c r="A3007" s="0" t="n">
        <v>33</v>
      </c>
      <c r="B3007" s="8" t="s">
        <v>24</v>
      </c>
      <c r="C3007" s="9" t="s">
        <v>25</v>
      </c>
      <c r="D3007" s="9" t="s">
        <v>26</v>
      </c>
      <c r="E3007" s="10" t="n">
        <v>1789</v>
      </c>
      <c r="F3007" s="9" t="s">
        <v>27</v>
      </c>
      <c r="G3007" s="9" t="s">
        <v>27</v>
      </c>
      <c r="H3007" s="11" t="n">
        <v>23</v>
      </c>
      <c r="I3007" s="11" t="s">
        <v>276</v>
      </c>
      <c r="J3007" s="14" t="n">
        <v>36</v>
      </c>
      <c r="K3007" s="14"/>
      <c r="L3007" s="16"/>
      <c r="M3007" s="27" t="n">
        <f aca="false">J3007+(K3007/20)+(L3007/240)</f>
        <v>36</v>
      </c>
      <c r="N3007" s="17" t="s">
        <v>275</v>
      </c>
      <c r="O3007" s="11" t="s">
        <v>277</v>
      </c>
      <c r="P3007" s="28"/>
      <c r="Q3007" s="28" t="n">
        <f aca="false">P3007*$M3007</f>
        <v>0</v>
      </c>
      <c r="R3007" s="28"/>
      <c r="S3007" s="28" t="n">
        <f aca="false">R3007*$M3007</f>
        <v>0</v>
      </c>
      <c r="T3007" s="28"/>
      <c r="U3007" s="28" t="n">
        <f aca="false">T3007*$M3007</f>
        <v>0</v>
      </c>
      <c r="V3007" s="28"/>
      <c r="W3007" s="28" t="n">
        <f aca="false">V3007*$M3007</f>
        <v>0</v>
      </c>
      <c r="X3007" s="28"/>
      <c r="Y3007" s="28" t="n">
        <f aca="false">X3007*$M3007</f>
        <v>0</v>
      </c>
      <c r="Z3007" s="28"/>
      <c r="AA3007" s="28" t="n">
        <f aca="false">Z3007*$M3007</f>
        <v>0</v>
      </c>
      <c r="AB3007" s="28"/>
      <c r="AC3007" s="28" t="n">
        <f aca="false">AB3007*$M3007</f>
        <v>0</v>
      </c>
      <c r="AD3007" s="28"/>
      <c r="AE3007" s="28" t="n">
        <f aca="false">AD3007*$M3007</f>
        <v>0</v>
      </c>
      <c r="AF3007" s="28"/>
      <c r="AG3007" s="28" t="n">
        <f aca="false">AF3007*$M3007</f>
        <v>0</v>
      </c>
      <c r="AH3007" s="28"/>
      <c r="AI3007" s="28" t="n">
        <f aca="false">AH3007*$M3007</f>
        <v>0</v>
      </c>
      <c r="AJ3007" s="28"/>
      <c r="AK3007" s="28" t="n">
        <f aca="false">AJ3007*$M3007</f>
        <v>0</v>
      </c>
      <c r="AL3007" s="28"/>
      <c r="AM3007" s="28" t="n">
        <f aca="false">AL3007*$M3007</f>
        <v>0</v>
      </c>
      <c r="AN3007" s="28"/>
      <c r="AO3007" s="28" t="n">
        <f aca="false">AN3007*$M3007</f>
        <v>0</v>
      </c>
      <c r="AP3007" s="28"/>
      <c r="AQ3007" s="28" t="n">
        <f aca="false">AP3007*$M3007</f>
        <v>0</v>
      </c>
      <c r="AR3007" s="28"/>
      <c r="AS3007" s="28" t="n">
        <f aca="false">AR3007*$M3007</f>
        <v>0</v>
      </c>
      <c r="AT3007" s="28"/>
      <c r="AU3007" s="28" t="n">
        <f aca="false">AT3007*$M3007</f>
        <v>0</v>
      </c>
      <c r="AV3007" s="28"/>
      <c r="AW3007" s="28" t="n">
        <f aca="false">AV3007*$M3007</f>
        <v>0</v>
      </c>
      <c r="AX3007" s="28"/>
      <c r="AY3007" s="28" t="n">
        <f aca="false">AX3007*$M3007</f>
        <v>0</v>
      </c>
      <c r="AZ3007" s="30"/>
      <c r="BA3007" s="11"/>
      <c r="BB3007" s="31" t="n">
        <f aca="false">SUM(Q3007,S3007,U3007,W3007,Y3007,AA3007,AC3007,AE3007,AG3007,AI3007,AK3007,AM3007,AO3007,AQ3007,AS3007,AU3007,AW3007,AY3007)</f>
        <v>0</v>
      </c>
      <c r="BC3007" s="28" t="n">
        <f aca="false">BA3007-BB3007</f>
        <v>0</v>
      </c>
      <c r="BD3007" s="32" t="n">
        <f aca="false">SUM(P3007,R3007,T3007,V3007,X3007,Z3007,AB3007,AD3007,AF3007,AH3007,AJ3007,AL3007,AN3007,AP3007,AR3007,AT3007,AV3007,AX3007)</f>
        <v>0</v>
      </c>
      <c r="BE3007" s="33" t="n">
        <f aca="false">AZ3007-BD3007</f>
        <v>0</v>
      </c>
      <c r="BF3007" s="34" t="n">
        <f aca="false">BD3007*M3007</f>
        <v>0</v>
      </c>
      <c r="BG3007" s="35" t="n">
        <f aca="false">BA3007-BF3007</f>
        <v>0</v>
      </c>
      <c r="BH3007" s="19" t="str">
        <f aca="false">IF(BG3007=0,"",IF(BG3007&lt;&gt;BA3007,"erreur de calcul",IF(BD3007&lt;&gt;0,"pas de prix",IF(M3007&lt;&gt; 0,"pas de quantité","pas de prix, ni de quantité"))))</f>
        <v/>
      </c>
      <c r="BI3007" s="19" t="s">
        <v>275</v>
      </c>
    </row>
    <row r="3008" customFormat="false" ht="15" hidden="false" customHeight="false" outlineLevel="0" collapsed="false">
      <c r="A3008" s="0" t="n">
        <v>34</v>
      </c>
      <c r="B3008" s="8" t="s">
        <v>24</v>
      </c>
      <c r="C3008" s="9" t="s">
        <v>25</v>
      </c>
      <c r="D3008" s="9" t="s">
        <v>26</v>
      </c>
      <c r="E3008" s="10" t="n">
        <v>1789</v>
      </c>
      <c r="F3008" s="9" t="s">
        <v>27</v>
      </c>
      <c r="G3008" s="9" t="s">
        <v>27</v>
      </c>
      <c r="H3008" s="11" t="n">
        <v>23</v>
      </c>
      <c r="I3008" s="11" t="s">
        <v>276</v>
      </c>
      <c r="J3008" s="14" t="n">
        <v>36</v>
      </c>
      <c r="K3008" s="14"/>
      <c r="L3008" s="16"/>
      <c r="M3008" s="27" t="n">
        <f aca="false">J3008+(K3008/20)+(L3008/240)</f>
        <v>36</v>
      </c>
      <c r="N3008" s="17" t="s">
        <v>275</v>
      </c>
      <c r="O3008" s="11" t="s">
        <v>77</v>
      </c>
      <c r="P3008" s="28" t="n">
        <v>7250</v>
      </c>
      <c r="Q3008" s="28" t="n">
        <v>261000</v>
      </c>
      <c r="R3008" s="28"/>
      <c r="S3008" s="28" t="n">
        <f aca="false">R3008*$M3008</f>
        <v>0</v>
      </c>
      <c r="T3008" s="28" t="n">
        <v>38389</v>
      </c>
      <c r="U3008" s="28" t="n">
        <v>1382004</v>
      </c>
      <c r="V3008" s="28" t="n">
        <v>19350</v>
      </c>
      <c r="W3008" s="28" t="n">
        <v>696600</v>
      </c>
      <c r="X3008" s="28" t="n">
        <v>25392</v>
      </c>
      <c r="Y3008" s="28" t="n">
        <v>914112</v>
      </c>
      <c r="Z3008" s="28" t="n">
        <v>31863</v>
      </c>
      <c r="AA3008" s="28" t="n">
        <v>1147068</v>
      </c>
      <c r="AB3008" s="28" t="n">
        <v>149064</v>
      </c>
      <c r="AC3008" s="28" t="n">
        <v>5366304</v>
      </c>
      <c r="AD3008" s="28" t="n">
        <v>1270</v>
      </c>
      <c r="AE3008" s="28" t="n">
        <v>45720</v>
      </c>
      <c r="AF3008" s="28" t="n">
        <v>54784</v>
      </c>
      <c r="AG3008" s="28" t="n">
        <v>1972224</v>
      </c>
      <c r="AH3008" s="28" t="n">
        <v>1200</v>
      </c>
      <c r="AI3008" s="28" t="n">
        <v>43200</v>
      </c>
      <c r="AJ3008" s="28" t="n">
        <v>10055</v>
      </c>
      <c r="AK3008" s="28" t="n">
        <v>361980</v>
      </c>
      <c r="AL3008" s="28"/>
      <c r="AM3008" s="28" t="n">
        <f aca="false">AL3008*$M3008</f>
        <v>0</v>
      </c>
      <c r="AN3008" s="28"/>
      <c r="AO3008" s="28" t="n">
        <f aca="false">AN3008*$M3008</f>
        <v>0</v>
      </c>
      <c r="AP3008" s="28" t="n">
        <v>220</v>
      </c>
      <c r="AQ3008" s="28" t="n">
        <f aca="false">AP3008*$M3008</f>
        <v>7920</v>
      </c>
      <c r="AR3008" s="28"/>
      <c r="AS3008" s="28" t="n">
        <f aca="false">AR3008*$M3008</f>
        <v>0</v>
      </c>
      <c r="AT3008" s="28"/>
      <c r="AU3008" s="28" t="n">
        <f aca="false">AT3008*$M3008</f>
        <v>0</v>
      </c>
      <c r="AV3008" s="28" t="n">
        <v>100</v>
      </c>
      <c r="AW3008" s="28" t="n">
        <v>3600</v>
      </c>
      <c r="AX3008" s="28" t="n">
        <v>9241</v>
      </c>
      <c r="AY3008" s="28" t="n">
        <v>332676</v>
      </c>
      <c r="AZ3008" s="30" t="n">
        <v>348178</v>
      </c>
      <c r="BA3008" s="11" t="n">
        <v>12534408</v>
      </c>
      <c r="BB3008" s="31" t="n">
        <f aca="false">SUM(Q3008,S3008,U3008,W3008,Y3008,AA3008,AC3008,AE3008,AG3008,AI3008,AK3008,AM3008,AO3008,AQ3008,AS3008,AU3008,AW3008,AY3008)</f>
        <v>12534408</v>
      </c>
      <c r="BC3008" s="28" t="n">
        <f aca="false">BA3008-BB3008</f>
        <v>0</v>
      </c>
      <c r="BD3008" s="32" t="n">
        <f aca="false">SUM(P3008,R3008,T3008,V3008,X3008,Z3008,AB3008,AD3008,AF3008,AH3008,AJ3008,AL3008,AN3008,AP3008,AR3008,AT3008,AV3008,AX3008)</f>
        <v>348178</v>
      </c>
      <c r="BE3008" s="33" t="n">
        <f aca="false">AZ3008-BD3008</f>
        <v>0</v>
      </c>
      <c r="BF3008" s="34" t="n">
        <f aca="false">BD3008*M3008</f>
        <v>12534408</v>
      </c>
      <c r="BG3008" s="35" t="n">
        <f aca="false">BA3008-BF3008</f>
        <v>0</v>
      </c>
      <c r="BH3008" s="19" t="str">
        <f aca="false">IF(BG3008=0,"",IF(BG3008&lt;&gt;BA3008,"erreur de calcul",IF(BD3008&lt;&gt;0,"pas de prix",IF(M3008&lt;&gt; 0,"pas de quantité","pas de prix, ni de quantité"))))</f>
        <v/>
      </c>
      <c r="BI3008" s="19"/>
    </row>
    <row r="3009" customFormat="false" ht="15" hidden="false" customHeight="false" outlineLevel="0" collapsed="false">
      <c r="A3009" s="0" t="n">
        <v>35</v>
      </c>
      <c r="B3009" s="8" t="s">
        <v>24</v>
      </c>
      <c r="C3009" s="9" t="s">
        <v>25</v>
      </c>
      <c r="D3009" s="9" t="s">
        <v>26</v>
      </c>
      <c r="E3009" s="10" t="n">
        <v>1789</v>
      </c>
      <c r="F3009" s="9" t="s">
        <v>27</v>
      </c>
      <c r="G3009" s="9" t="s">
        <v>27</v>
      </c>
      <c r="H3009" s="11" t="n">
        <v>23</v>
      </c>
      <c r="I3009" s="11" t="s">
        <v>278</v>
      </c>
      <c r="J3009" s="14" t="n">
        <v>12</v>
      </c>
      <c r="K3009" s="14"/>
      <c r="L3009" s="16"/>
      <c r="M3009" s="27" t="n">
        <f aca="false">J3009+(K3009/20)+(L3009/240)</f>
        <v>12</v>
      </c>
      <c r="N3009" s="17" t="s">
        <v>64</v>
      </c>
      <c r="O3009" s="11" t="s">
        <v>77</v>
      </c>
      <c r="P3009" s="28" t="n">
        <f aca="false">351312/100</f>
        <v>3513.12</v>
      </c>
      <c r="Q3009" s="28" t="n">
        <v>42157</v>
      </c>
      <c r="R3009" s="28"/>
      <c r="S3009" s="28" t="n">
        <f aca="false">R3009*$M3009</f>
        <v>0</v>
      </c>
      <c r="T3009" s="28" t="n">
        <f aca="false">52251/100</f>
        <v>522.51</v>
      </c>
      <c r="U3009" s="28" t="n">
        <v>6270</v>
      </c>
      <c r="V3009" s="28" t="n">
        <f aca="false">2393/100</f>
        <v>23.93</v>
      </c>
      <c r="W3009" s="28" t="n">
        <v>287</v>
      </c>
      <c r="X3009" s="28" t="n">
        <f aca="false">44842/100</f>
        <v>448.42</v>
      </c>
      <c r="Y3009" s="28" t="n">
        <v>5381</v>
      </c>
      <c r="Z3009" s="28"/>
      <c r="AA3009" s="28" t="n">
        <f aca="false">Z3009*$M3009</f>
        <v>0</v>
      </c>
      <c r="AB3009" s="28"/>
      <c r="AC3009" s="28" t="n">
        <f aca="false">AB3009*$M3009</f>
        <v>0</v>
      </c>
      <c r="AD3009" s="28"/>
      <c r="AE3009" s="28" t="n">
        <f aca="false">AD3009*$M3009</f>
        <v>0</v>
      </c>
      <c r="AF3009" s="28" t="n">
        <f aca="false">164167/100</f>
        <v>1641.67</v>
      </c>
      <c r="AG3009" s="28" t="n">
        <v>19700</v>
      </c>
      <c r="AH3009" s="28"/>
      <c r="AI3009" s="28" t="n">
        <f aca="false">AH3009*$M3009</f>
        <v>0</v>
      </c>
      <c r="AJ3009" s="28"/>
      <c r="AK3009" s="28" t="n">
        <f aca="false">AJ3009*$M3009</f>
        <v>0</v>
      </c>
      <c r="AL3009" s="28"/>
      <c r="AM3009" s="28" t="n">
        <f aca="false">AL3009*$M3009</f>
        <v>0</v>
      </c>
      <c r="AN3009" s="28"/>
      <c r="AO3009" s="28" t="n">
        <f aca="false">AN3009*$M3009</f>
        <v>0</v>
      </c>
      <c r="AP3009" s="28"/>
      <c r="AQ3009" s="28" t="n">
        <f aca="false">AP3009*$M3009</f>
        <v>0</v>
      </c>
      <c r="AR3009" s="28"/>
      <c r="AS3009" s="28" t="n">
        <f aca="false">AR3009*$M3009</f>
        <v>0</v>
      </c>
      <c r="AT3009" s="28"/>
      <c r="AU3009" s="28" t="n">
        <f aca="false">AT3009*$M3009</f>
        <v>0</v>
      </c>
      <c r="AV3009" s="28"/>
      <c r="AW3009" s="28" t="n">
        <f aca="false">AV3009*$M3009</f>
        <v>0</v>
      </c>
      <c r="AX3009" s="28" t="n">
        <f aca="false">25000/100</f>
        <v>250</v>
      </c>
      <c r="AY3009" s="28" t="n">
        <v>3000</v>
      </c>
      <c r="AZ3009" s="30"/>
      <c r="BA3009" s="11" t="n">
        <v>76795</v>
      </c>
      <c r="BB3009" s="31" t="n">
        <f aca="false">SUM(Q3009,S3009,U3009,W3009,Y3009,AA3009,AC3009,AE3009,AG3009,AI3009,AK3009,AM3009,AO3009,AQ3009,AS3009,AU3009,AW3009,AY3009)</f>
        <v>76795</v>
      </c>
      <c r="BC3009" s="28" t="n">
        <f aca="false">BA3009-BB3009</f>
        <v>0</v>
      </c>
      <c r="BD3009" s="32" t="n">
        <f aca="false">SUM(P3009,R3009,T3009,V3009,X3009,Z3009,AB3009,AD3009,AF3009,AH3009,AJ3009,AL3009,AN3009,AP3009,AR3009,AT3009,AV3009,AX3009)</f>
        <v>6399.65</v>
      </c>
      <c r="BE3009" s="33" t="n">
        <f aca="false">AZ3009-BD3009</f>
        <v>-6399.65</v>
      </c>
      <c r="BF3009" s="34" t="n">
        <f aca="false">BD3009*M3009</f>
        <v>76795.8</v>
      </c>
      <c r="BG3009" s="35" t="n">
        <f aca="false">BA3009-BF3009</f>
        <v>-0.799999999988359</v>
      </c>
      <c r="BH3009" s="19" t="str">
        <f aca="false">IF(BG3009=0,"",IF(BG3009&lt;&gt;BA3009,"erreur de calcul",IF(BD3009&lt;&gt;0,"pas de prix",IF(M3009&lt;&gt; 0,"pas de quantité","pas de prix, ni de quantité"))))</f>
        <v>erreur de calcul</v>
      </c>
      <c r="BI3009" s="19"/>
    </row>
    <row r="3010" customFormat="false" ht="15" hidden="false" customHeight="false" outlineLevel="0" collapsed="false">
      <c r="A3010" s="0" t="n">
        <v>36</v>
      </c>
      <c r="B3010" s="8" t="s">
        <v>24</v>
      </c>
      <c r="C3010" s="9" t="s">
        <v>25</v>
      </c>
      <c r="D3010" s="9" t="s">
        <v>26</v>
      </c>
      <c r="E3010" s="10" t="n">
        <v>1789</v>
      </c>
      <c r="F3010" s="9" t="s">
        <v>27</v>
      </c>
      <c r="G3010" s="9" t="s">
        <v>27</v>
      </c>
      <c r="H3010" s="11" t="n">
        <v>23</v>
      </c>
      <c r="I3010" s="11" t="s">
        <v>279</v>
      </c>
      <c r="J3010" s="14" t="n">
        <v>18</v>
      </c>
      <c r="K3010" s="14"/>
      <c r="L3010" s="16"/>
      <c r="M3010" s="27" t="n">
        <f aca="false">J3010+(K3010/20)+(L3010/240)</f>
        <v>18</v>
      </c>
      <c r="N3010" s="17" t="s">
        <v>275</v>
      </c>
      <c r="O3010" s="11"/>
      <c r="P3010" s="28"/>
      <c r="Q3010" s="28" t="n">
        <f aca="false">P3010*$M3010</f>
        <v>0</v>
      </c>
      <c r="R3010" s="28"/>
      <c r="S3010" s="28" t="n">
        <f aca="false">R3010*$M3010</f>
        <v>0</v>
      </c>
      <c r="T3010" s="28" t="n">
        <v>100</v>
      </c>
      <c r="U3010" s="28" t="n">
        <v>1800</v>
      </c>
      <c r="V3010" s="28"/>
      <c r="W3010" s="28" t="n">
        <f aca="false">V3010*$M3010</f>
        <v>0</v>
      </c>
      <c r="X3010" s="28"/>
      <c r="Y3010" s="28" t="n">
        <f aca="false">X3010*$M3010</f>
        <v>0</v>
      </c>
      <c r="Z3010" s="28"/>
      <c r="AA3010" s="28" t="n">
        <f aca="false">Z3010*$M3010</f>
        <v>0</v>
      </c>
      <c r="AB3010" s="28" t="n">
        <v>1936</v>
      </c>
      <c r="AC3010" s="28" t="n">
        <v>34848</v>
      </c>
      <c r="AD3010" s="28"/>
      <c r="AE3010" s="28" t="n">
        <f aca="false">AD3010*$M3010</f>
        <v>0</v>
      </c>
      <c r="AF3010" s="28" t="n">
        <v>600</v>
      </c>
      <c r="AG3010" s="28" t="n">
        <v>10800</v>
      </c>
      <c r="AH3010" s="28"/>
      <c r="AI3010" s="28" t="n">
        <f aca="false">AH3010*$M3010</f>
        <v>0</v>
      </c>
      <c r="AJ3010" s="28"/>
      <c r="AK3010" s="28" t="n">
        <f aca="false">AJ3010*$M3010</f>
        <v>0</v>
      </c>
      <c r="AL3010" s="28" t="n">
        <v>12</v>
      </c>
      <c r="AM3010" s="28" t="n">
        <v>216</v>
      </c>
      <c r="AN3010" s="28"/>
      <c r="AO3010" s="28" t="n">
        <f aca="false">AN3010*$M3010</f>
        <v>0</v>
      </c>
      <c r="AP3010" s="28" t="n">
        <v>12</v>
      </c>
      <c r="AQ3010" s="28" t="n">
        <v>216</v>
      </c>
      <c r="AR3010" s="28"/>
      <c r="AS3010" s="28" t="n">
        <f aca="false">AR3010*$M3010</f>
        <v>0</v>
      </c>
      <c r="AT3010" s="28"/>
      <c r="AU3010" s="28" t="n">
        <f aca="false">AT3010*$M3010</f>
        <v>0</v>
      </c>
      <c r="AV3010" s="28"/>
      <c r="AW3010" s="28" t="n">
        <f aca="false">AV3010*$M3010</f>
        <v>0</v>
      </c>
      <c r="AX3010" s="28"/>
      <c r="AY3010" s="28" t="n">
        <f aca="false">AX3010*$M3010</f>
        <v>0</v>
      </c>
      <c r="AZ3010" s="30" t="n">
        <v>2660</v>
      </c>
      <c r="BA3010" s="11" t="n">
        <v>47880</v>
      </c>
      <c r="BB3010" s="31" t="n">
        <f aca="false">SUM(Q3010,S3010,U3010,W3010,Y3010,AA3010,AC3010,AE3010,AG3010,AI3010,AK3010,AM3010,AO3010,AQ3010,AS3010,AU3010,AW3010,AY3010)</f>
        <v>47880</v>
      </c>
      <c r="BC3010" s="28" t="n">
        <f aca="false">BA3010-BB3010</f>
        <v>0</v>
      </c>
      <c r="BD3010" s="32" t="n">
        <f aca="false">SUM(P3010,R3010,T3010,V3010,X3010,Z3010,AB3010,AD3010,AF3010,AH3010,AJ3010,AL3010,AN3010,AP3010,AR3010,AT3010,AV3010,AX3010)</f>
        <v>2660</v>
      </c>
      <c r="BE3010" s="33" t="n">
        <f aca="false">AZ3010-BD3010</f>
        <v>0</v>
      </c>
      <c r="BF3010" s="34" t="n">
        <f aca="false">BD3010*M3010</f>
        <v>47880</v>
      </c>
      <c r="BG3010" s="35" t="n">
        <f aca="false">BA3010-BF3010</f>
        <v>0</v>
      </c>
      <c r="BH3010" s="19" t="str">
        <f aca="false">IF(BG3010=0,"",IF(BG3010&lt;&gt;BA3010,"erreur de calcul",IF(BD3010&lt;&gt;0,"pas de prix",IF(M3010&lt;&gt; 0,"pas de quantité","pas de prix, ni de quantité"))))</f>
        <v/>
      </c>
      <c r="BI3010" s="19"/>
    </row>
    <row r="3011" customFormat="false" ht="15" hidden="false" customHeight="false" outlineLevel="0" collapsed="false">
      <c r="A3011" s="0" t="n">
        <v>37</v>
      </c>
      <c r="B3011" s="8" t="s">
        <v>24</v>
      </c>
      <c r="C3011" s="9" t="s">
        <v>25</v>
      </c>
      <c r="D3011" s="9" t="s">
        <v>26</v>
      </c>
      <c r="E3011" s="10" t="n">
        <v>1789</v>
      </c>
      <c r="F3011" s="9" t="s">
        <v>27</v>
      </c>
      <c r="G3011" s="9" t="s">
        <v>27</v>
      </c>
      <c r="H3011" s="11" t="n">
        <v>23</v>
      </c>
      <c r="I3011" s="11" t="s">
        <v>280</v>
      </c>
      <c r="J3011" s="14" t="n">
        <v>25</v>
      </c>
      <c r="K3011" s="14"/>
      <c r="L3011" s="16"/>
      <c r="M3011" s="27" t="n">
        <f aca="false">J3011+(K3011/20)+(L3011/240)</f>
        <v>25</v>
      </c>
      <c r="N3011" s="17" t="s">
        <v>64</v>
      </c>
      <c r="O3011" s="11"/>
      <c r="P3011" s="28"/>
      <c r="Q3011" s="28" t="n">
        <f aca="false">P3011*$M3011</f>
        <v>0</v>
      </c>
      <c r="R3011" s="28"/>
      <c r="S3011" s="28" t="n">
        <f aca="false">R3011*$M3011</f>
        <v>0</v>
      </c>
      <c r="T3011" s="28" t="n">
        <f aca="false">1664501/100</f>
        <v>16645.01</v>
      </c>
      <c r="U3011" s="28" t="n">
        <v>416125</v>
      </c>
      <c r="V3011" s="28" t="n">
        <f aca="false">2171980/100</f>
        <v>21719.8</v>
      </c>
      <c r="W3011" s="28" t="n">
        <v>542995</v>
      </c>
      <c r="X3011" s="28" t="n">
        <f aca="false">11567/100</f>
        <v>115.67</v>
      </c>
      <c r="Y3011" s="28" t="n">
        <v>2892</v>
      </c>
      <c r="Z3011" s="28" t="n">
        <f aca="false">985/100</f>
        <v>9.85</v>
      </c>
      <c r="AA3011" s="28" t="n">
        <v>246</v>
      </c>
      <c r="AB3011" s="28" t="n">
        <f aca="false">399494/100</f>
        <v>3994.94</v>
      </c>
      <c r="AC3011" s="28" t="n">
        <v>99873</v>
      </c>
      <c r="AD3011" s="28"/>
      <c r="AE3011" s="28" t="n">
        <f aca="false">AD3011*$M3011</f>
        <v>0</v>
      </c>
      <c r="AF3011" s="28"/>
      <c r="AG3011" s="28" t="n">
        <f aca="false">AF3011*$M3011</f>
        <v>0</v>
      </c>
      <c r="AH3011" s="28"/>
      <c r="AI3011" s="28" t="n">
        <f aca="false">AH3011*$M3011</f>
        <v>0</v>
      </c>
      <c r="AJ3011" s="28"/>
      <c r="AK3011" s="28" t="n">
        <f aca="false">AJ3011*$M3011</f>
        <v>0</v>
      </c>
      <c r="AL3011" s="28"/>
      <c r="AM3011" s="28" t="n">
        <f aca="false">AL3011*$M3011</f>
        <v>0</v>
      </c>
      <c r="AN3011" s="28"/>
      <c r="AO3011" s="28" t="n">
        <f aca="false">AN3011*$M3011</f>
        <v>0</v>
      </c>
      <c r="AP3011" s="28"/>
      <c r="AQ3011" s="28" t="n">
        <f aca="false">AP3011*$M3011</f>
        <v>0</v>
      </c>
      <c r="AR3011" s="28"/>
      <c r="AS3011" s="28" t="n">
        <f aca="false">AR3011*$M3011</f>
        <v>0</v>
      </c>
      <c r="AT3011" s="28"/>
      <c r="AU3011" s="28" t="n">
        <f aca="false">AT3011*$M3011</f>
        <v>0</v>
      </c>
      <c r="AV3011" s="28"/>
      <c r="AW3011" s="28" t="n">
        <f aca="false">AV3011*$M3011</f>
        <v>0</v>
      </c>
      <c r="AX3011" s="28" t="n">
        <f aca="false">57000/100</f>
        <v>570</v>
      </c>
      <c r="AY3011" s="28" t="n">
        <v>14250</v>
      </c>
      <c r="AZ3011" s="30" t="n">
        <f aca="false">4305527/100</f>
        <v>43055.27</v>
      </c>
      <c r="BA3011" s="11" t="n">
        <v>1076381</v>
      </c>
      <c r="BB3011" s="31" t="n">
        <f aca="false">SUM(Q3011,S3011,U3011,W3011,Y3011,AA3011,AC3011,AE3011,AG3011,AI3011,AK3011,AM3011,AO3011,AQ3011,AS3011,AU3011,AW3011,AY3011)</f>
        <v>1076381</v>
      </c>
      <c r="BC3011" s="28" t="n">
        <f aca="false">BA3011-BB3011</f>
        <v>0</v>
      </c>
      <c r="BD3011" s="32" t="n">
        <f aca="false">SUM(P3011,R3011,T3011,V3011,X3011,Z3011,AB3011,AD3011,AF3011,AH3011,AJ3011,AL3011,AN3011,AP3011,AR3011,AT3011,AV3011,AX3011)</f>
        <v>43055.27</v>
      </c>
      <c r="BE3011" s="33" t="n">
        <f aca="false">AZ3011-BD3011</f>
        <v>0</v>
      </c>
      <c r="BF3011" s="34" t="n">
        <f aca="false">BD3011*M3011</f>
        <v>1076381.75</v>
      </c>
      <c r="BG3011" s="35" t="n">
        <f aca="false">BA3011-BF3011</f>
        <v>-0.75</v>
      </c>
      <c r="BH3011" s="19" t="str">
        <f aca="false">IF(BG3011=0,"",IF(BG3011&lt;&gt;BA3011,"erreur de calcul",IF(BD3011&lt;&gt;0,"pas de prix",IF(M3011&lt;&gt; 0,"pas de quantité","pas de prix, ni de quantité"))))</f>
        <v>erreur de calcul</v>
      </c>
      <c r="BI3011" s="19"/>
    </row>
    <row r="3012" customFormat="false" ht="15" hidden="false" customHeight="false" outlineLevel="0" collapsed="false">
      <c r="A3012" s="0" t="n">
        <v>38</v>
      </c>
      <c r="B3012" s="8" t="s">
        <v>24</v>
      </c>
      <c r="C3012" s="9" t="s">
        <v>25</v>
      </c>
      <c r="D3012" s="9" t="s">
        <v>26</v>
      </c>
      <c r="E3012" s="10" t="n">
        <v>1789</v>
      </c>
      <c r="F3012" s="9" t="s">
        <v>27</v>
      </c>
      <c r="G3012" s="9" t="s">
        <v>27</v>
      </c>
      <c r="H3012" s="11" t="n">
        <v>23</v>
      </c>
      <c r="I3012" s="11" t="s">
        <v>281</v>
      </c>
      <c r="J3012" s="14" t="n">
        <v>18</v>
      </c>
      <c r="K3012" s="14"/>
      <c r="L3012" s="16"/>
      <c r="M3012" s="27" t="n">
        <f aca="false">J3012+(K3012/20)+(L3012/240)</f>
        <v>18</v>
      </c>
      <c r="N3012" s="17" t="s">
        <v>275</v>
      </c>
      <c r="O3012" s="11"/>
      <c r="P3012" s="28"/>
      <c r="Q3012" s="28" t="n">
        <f aca="false">P3012*$M3012</f>
        <v>0</v>
      </c>
      <c r="R3012" s="28"/>
      <c r="S3012" s="28" t="n">
        <f aca="false">R3012*$M3012</f>
        <v>0</v>
      </c>
      <c r="T3012" s="28" t="n">
        <v>537</v>
      </c>
      <c r="U3012" s="28" t="n">
        <v>9666</v>
      </c>
      <c r="V3012" s="28"/>
      <c r="W3012" s="28" t="n">
        <f aca="false">V3012*$M3012</f>
        <v>0</v>
      </c>
      <c r="X3012" s="28"/>
      <c r="Y3012" s="28" t="n">
        <f aca="false">X3012*$M3012</f>
        <v>0</v>
      </c>
      <c r="Z3012" s="28"/>
      <c r="AA3012" s="28" t="n">
        <f aca="false">Z3012*$M3012</f>
        <v>0</v>
      </c>
      <c r="AB3012" s="28"/>
      <c r="AC3012" s="28" t="n">
        <f aca="false">AB3012*$M3012</f>
        <v>0</v>
      </c>
      <c r="AD3012" s="28"/>
      <c r="AE3012" s="28" t="n">
        <f aca="false">AD3012*$M3012</f>
        <v>0</v>
      </c>
      <c r="AF3012" s="28"/>
      <c r="AG3012" s="28" t="n">
        <f aca="false">AF3012*$M3012</f>
        <v>0</v>
      </c>
      <c r="AH3012" s="28"/>
      <c r="AI3012" s="28" t="n">
        <f aca="false">AH3012*$M3012</f>
        <v>0</v>
      </c>
      <c r="AJ3012" s="28"/>
      <c r="AK3012" s="28" t="n">
        <f aca="false">AJ3012*$M3012</f>
        <v>0</v>
      </c>
      <c r="AL3012" s="28"/>
      <c r="AM3012" s="28" t="n">
        <f aca="false">AL3012*$M3012</f>
        <v>0</v>
      </c>
      <c r="AN3012" s="28"/>
      <c r="AO3012" s="28" t="n">
        <f aca="false">AN3012*$M3012</f>
        <v>0</v>
      </c>
      <c r="AP3012" s="28"/>
      <c r="AQ3012" s="28" t="n">
        <f aca="false">AP3012*$M3012</f>
        <v>0</v>
      </c>
      <c r="AR3012" s="28"/>
      <c r="AS3012" s="28" t="n">
        <f aca="false">AR3012*$M3012</f>
        <v>0</v>
      </c>
      <c r="AT3012" s="28"/>
      <c r="AU3012" s="28" t="n">
        <f aca="false">AT3012*$M3012</f>
        <v>0</v>
      </c>
      <c r="AV3012" s="28" t="n">
        <v>1700</v>
      </c>
      <c r="AW3012" s="36" t="n">
        <v>33600</v>
      </c>
      <c r="AX3012" s="28"/>
      <c r="AY3012" s="28" t="n">
        <f aca="false">AX3012*$M3012</f>
        <v>0</v>
      </c>
      <c r="AZ3012" s="30" t="n">
        <v>2237</v>
      </c>
      <c r="BA3012" s="11" t="n">
        <v>43266</v>
      </c>
      <c r="BB3012" s="31" t="n">
        <f aca="false">SUM(Q3012,S3012,U3012,W3012,Y3012,AA3012,AC3012,AE3012,AG3012,AI3012,AK3012,AM3012,AO3012,AQ3012,AS3012,AU3012,AW3012,AY3012)</f>
        <v>43266</v>
      </c>
      <c r="BC3012" s="28" t="n">
        <f aca="false">BA3012-BB3012</f>
        <v>0</v>
      </c>
      <c r="BD3012" s="32" t="n">
        <f aca="false">SUM(P3012,R3012,T3012,V3012,X3012,Z3012,AB3012,AD3012,AF3012,AH3012,AJ3012,AL3012,AN3012,AP3012,AR3012,AT3012,AV3012,AX3012)</f>
        <v>2237</v>
      </c>
      <c r="BE3012" s="33" t="n">
        <f aca="false">AZ3012-BD3012</f>
        <v>0</v>
      </c>
      <c r="BF3012" s="34" t="n">
        <f aca="false">BD3012*M3012</f>
        <v>40266</v>
      </c>
      <c r="BG3012" s="35" t="n">
        <f aca="false">BA3012-BF3012</f>
        <v>3000</v>
      </c>
      <c r="BH3012" s="19" t="str">
        <f aca="false">IF(BG3012=0,"",IF(BG3012&lt;&gt;BA3012,"erreur de calcul",IF(BD3012&lt;&gt;0,"pas de prix",IF(M3012&lt;&gt; 0,"pas de quantité","pas de prix, ni de quantité"))))</f>
        <v>erreur de calcul</v>
      </c>
      <c r="BI3012" s="19"/>
    </row>
    <row r="3013" customFormat="false" ht="15" hidden="false" customHeight="false" outlineLevel="0" collapsed="false">
      <c r="A3013" s="0" t="n">
        <v>39</v>
      </c>
      <c r="B3013" s="8" t="s">
        <v>24</v>
      </c>
      <c r="C3013" s="9" t="s">
        <v>25</v>
      </c>
      <c r="D3013" s="9" t="s">
        <v>26</v>
      </c>
      <c r="E3013" s="10" t="n">
        <v>1789</v>
      </c>
      <c r="F3013" s="9" t="s">
        <v>27</v>
      </c>
      <c r="G3013" s="9" t="s">
        <v>27</v>
      </c>
      <c r="H3013" s="11" t="n">
        <v>23</v>
      </c>
      <c r="I3013" s="11" t="s">
        <v>282</v>
      </c>
      <c r="J3013" s="14"/>
      <c r="K3013" s="14"/>
      <c r="L3013" s="16"/>
      <c r="M3013" s="27" t="n">
        <f aca="false">J3013+(K3013/20)+(L3013/240)</f>
        <v>0</v>
      </c>
      <c r="N3013" s="17"/>
      <c r="O3013" s="11"/>
      <c r="P3013" s="28"/>
      <c r="Q3013" s="28" t="n">
        <f aca="false">P3013*$M3013</f>
        <v>0</v>
      </c>
      <c r="R3013" s="28"/>
      <c r="S3013" s="28" t="n">
        <f aca="false">R3013*$M3013</f>
        <v>0</v>
      </c>
      <c r="T3013" s="28"/>
      <c r="U3013" s="28" t="n">
        <v>1962</v>
      </c>
      <c r="V3013" s="28"/>
      <c r="W3013" s="28" t="n">
        <v>148</v>
      </c>
      <c r="X3013" s="28"/>
      <c r="Y3013" s="28" t="n">
        <v>221</v>
      </c>
      <c r="Z3013" s="28"/>
      <c r="AA3013" s="28" t="n">
        <f aca="false">Z3013*$M3013</f>
        <v>0</v>
      </c>
      <c r="AB3013" s="28"/>
      <c r="AC3013" s="28" t="n">
        <v>725</v>
      </c>
      <c r="AD3013" s="28"/>
      <c r="AE3013" s="28" t="n">
        <f aca="false">AD3013*$M3013</f>
        <v>0</v>
      </c>
      <c r="AF3013" s="28"/>
      <c r="AG3013" s="28" t="n">
        <v>414</v>
      </c>
      <c r="AH3013" s="28"/>
      <c r="AI3013" s="28" t="n">
        <f aca="false">AH3013*$M3013</f>
        <v>0</v>
      </c>
      <c r="AJ3013" s="28"/>
      <c r="AK3013" s="28" t="n">
        <f aca="false">AJ3013*$M3013</f>
        <v>0</v>
      </c>
      <c r="AL3013" s="28"/>
      <c r="AM3013" s="28" t="n">
        <f aca="false">AL3013*$M3013</f>
        <v>0</v>
      </c>
      <c r="AN3013" s="28"/>
      <c r="AO3013" s="28" t="n">
        <f aca="false">AN3013*$M3013</f>
        <v>0</v>
      </c>
      <c r="AP3013" s="28"/>
      <c r="AQ3013" s="28" t="n">
        <f aca="false">AP3013*$M3013</f>
        <v>0</v>
      </c>
      <c r="AR3013" s="28"/>
      <c r="AS3013" s="28" t="n">
        <f aca="false">AR3013*$M3013</f>
        <v>0</v>
      </c>
      <c r="AT3013" s="28"/>
      <c r="AU3013" s="28" t="n">
        <v>276</v>
      </c>
      <c r="AV3013" s="28"/>
      <c r="AW3013" s="28" t="n">
        <f aca="false">AV3013*$M3013</f>
        <v>0</v>
      </c>
      <c r="AX3013" s="28"/>
      <c r="AY3013" s="28" t="n">
        <f aca="false">AX3013*$M3013</f>
        <v>0</v>
      </c>
      <c r="AZ3013" s="30"/>
      <c r="BA3013" s="11" t="n">
        <v>3746</v>
      </c>
      <c r="BB3013" s="31" t="n">
        <f aca="false">SUM(Q3013,S3013,U3013,W3013,Y3013,AA3013,AC3013,AE3013,AG3013,AI3013,AK3013,AM3013,AO3013,AQ3013,AS3013,AU3013,AW3013,AY3013)</f>
        <v>3746</v>
      </c>
      <c r="BC3013" s="28" t="n">
        <f aca="false">BA3013-BB3013</f>
        <v>0</v>
      </c>
      <c r="BD3013" s="32" t="n">
        <f aca="false">SUM(P3013,R3013,T3013,V3013,X3013,Z3013,AB3013,AD3013,AF3013,AH3013,AJ3013,AL3013,AN3013,AP3013,AR3013,AT3013,AV3013,AX3013)</f>
        <v>0</v>
      </c>
      <c r="BE3013" s="33" t="n">
        <f aca="false">AZ3013-BD3013</f>
        <v>0</v>
      </c>
      <c r="BF3013" s="34" t="n">
        <f aca="false">BD3013*M3013</f>
        <v>0</v>
      </c>
      <c r="BG3013" s="35" t="n">
        <f aca="false">BA3013-BF3013</f>
        <v>3746</v>
      </c>
      <c r="BH3013" s="19" t="str">
        <f aca="false">IF(BG3013=0,"",IF(BG3013&lt;&gt;BA3013,"erreur de calcul",IF(BD3013&lt;&gt;0,"pas de prix",IF(M3013&lt;&gt; 0,"pas de quantité","pas de prix, ni de quantité"))))</f>
        <v>pas de prix, ni de quantité</v>
      </c>
      <c r="BI3013" s="19"/>
    </row>
    <row r="3014" customFormat="false" ht="15" hidden="false" customHeight="false" outlineLevel="0" collapsed="false">
      <c r="A3014" s="0" t="n">
        <v>40</v>
      </c>
      <c r="B3014" s="8" t="s">
        <v>24</v>
      </c>
      <c r="C3014" s="9" t="s">
        <v>25</v>
      </c>
      <c r="D3014" s="9" t="s">
        <v>26</v>
      </c>
      <c r="E3014" s="10" t="n">
        <v>1789</v>
      </c>
      <c r="F3014" s="9" t="s">
        <v>27</v>
      </c>
      <c r="G3014" s="9" t="s">
        <v>27</v>
      </c>
      <c r="H3014" s="11" t="n">
        <v>23</v>
      </c>
      <c r="I3014" s="11" t="s">
        <v>283</v>
      </c>
      <c r="J3014" s="14" t="n">
        <v>25</v>
      </c>
      <c r="K3014" s="14"/>
      <c r="L3014" s="16"/>
      <c r="M3014" s="27" t="n">
        <f aca="false">J3014+(K3014/20)+(L3014/240)</f>
        <v>25</v>
      </c>
      <c r="N3014" s="17" t="s">
        <v>64</v>
      </c>
      <c r="O3014" s="11"/>
      <c r="P3014" s="28" t="n">
        <f aca="false">12568/100</f>
        <v>125.68</v>
      </c>
      <c r="Q3014" s="28" t="n">
        <v>3142</v>
      </c>
      <c r="R3014" s="28"/>
      <c r="S3014" s="28" t="n">
        <f aca="false">R3014*$M3014</f>
        <v>0</v>
      </c>
      <c r="T3014" s="28"/>
      <c r="U3014" s="28" t="n">
        <f aca="false">T3014*$M3014</f>
        <v>0</v>
      </c>
      <c r="V3014" s="28"/>
      <c r="W3014" s="28" t="n">
        <f aca="false">V3014*$M3014</f>
        <v>0</v>
      </c>
      <c r="X3014" s="28"/>
      <c r="Y3014" s="28" t="n">
        <f aca="false">X3014*$M3014</f>
        <v>0</v>
      </c>
      <c r="Z3014" s="28"/>
      <c r="AA3014" s="28" t="n">
        <f aca="false">Z3014*$M3014</f>
        <v>0</v>
      </c>
      <c r="AB3014" s="28"/>
      <c r="AC3014" s="28" t="n">
        <f aca="false">AB3014*$M3014</f>
        <v>0</v>
      </c>
      <c r="AD3014" s="28"/>
      <c r="AE3014" s="28" t="n">
        <f aca="false">AD3014*$M3014</f>
        <v>0</v>
      </c>
      <c r="AF3014" s="28"/>
      <c r="AG3014" s="28" t="n">
        <f aca="false">AF3014*$M3014</f>
        <v>0</v>
      </c>
      <c r="AH3014" s="28" t="n">
        <f aca="false">5355/100</f>
        <v>53.55</v>
      </c>
      <c r="AI3014" s="28" t="n">
        <v>1339</v>
      </c>
      <c r="AJ3014" s="28"/>
      <c r="AK3014" s="28" t="n">
        <f aca="false">AJ3014*$M3014</f>
        <v>0</v>
      </c>
      <c r="AL3014" s="28"/>
      <c r="AM3014" s="28" t="n">
        <f aca="false">AL3014*$M3014</f>
        <v>0</v>
      </c>
      <c r="AN3014" s="28"/>
      <c r="AO3014" s="28" t="n">
        <f aca="false">AN3014*$M3014</f>
        <v>0</v>
      </c>
      <c r="AP3014" s="28"/>
      <c r="AQ3014" s="28" t="n">
        <f aca="false">AP3014*$M3014</f>
        <v>0</v>
      </c>
      <c r="AR3014" s="28"/>
      <c r="AS3014" s="28" t="n">
        <f aca="false">AR3014*$M3014</f>
        <v>0</v>
      </c>
      <c r="AT3014" s="28"/>
      <c r="AU3014" s="28" t="n">
        <f aca="false">AT3014*$M3014</f>
        <v>0</v>
      </c>
      <c r="AV3014" s="28"/>
      <c r="AW3014" s="28" t="n">
        <f aca="false">AV3014*$M3014</f>
        <v>0</v>
      </c>
      <c r="AX3014" s="28"/>
      <c r="AY3014" s="28" t="n">
        <f aca="false">AX3014*$M3014</f>
        <v>0</v>
      </c>
      <c r="AZ3014" s="30" t="n">
        <f aca="false">17923/100</f>
        <v>179.23</v>
      </c>
      <c r="BA3014" s="11" t="n">
        <v>4481</v>
      </c>
      <c r="BB3014" s="31" t="n">
        <f aca="false">SUM(Q3014,S3014,U3014,W3014,Y3014,AA3014,AC3014,AE3014,AG3014,AI3014,AK3014,AM3014,AO3014,AQ3014,AS3014,AU3014,AW3014,AY3014)</f>
        <v>4481</v>
      </c>
      <c r="BC3014" s="28" t="n">
        <f aca="false">BA3014-BB3014</f>
        <v>0</v>
      </c>
      <c r="BD3014" s="32" t="n">
        <f aca="false">SUM(P3014,R3014,T3014,V3014,X3014,Z3014,AB3014,AD3014,AF3014,AH3014,AJ3014,AL3014,AN3014,AP3014,AR3014,AT3014,AV3014,AX3014)</f>
        <v>179.23</v>
      </c>
      <c r="BE3014" s="33" t="n">
        <f aca="false">AZ3014-BD3014</f>
        <v>0</v>
      </c>
      <c r="BF3014" s="34" t="n">
        <f aca="false">BD3014*M3014</f>
        <v>4480.75</v>
      </c>
      <c r="BG3014" s="35" t="n">
        <f aca="false">BA3014-BF3014</f>
        <v>0.25</v>
      </c>
      <c r="BH3014" s="19" t="str">
        <f aca="false">IF(BG3014=0,"",IF(BG3014&lt;&gt;BA3014,"erreur de calcul",IF(BD3014&lt;&gt;0,"pas de prix",IF(M3014&lt;&gt; 0,"pas de quantité","pas de prix, ni de quantité"))))</f>
        <v>erreur de calcul</v>
      </c>
      <c r="BI3014" s="19"/>
    </row>
    <row r="3015" customFormat="false" ht="15" hidden="false" customHeight="false" outlineLevel="0" collapsed="false">
      <c r="A3015" s="0" t="n">
        <v>41</v>
      </c>
      <c r="B3015" s="8" t="s">
        <v>24</v>
      </c>
      <c r="C3015" s="9" t="s">
        <v>25</v>
      </c>
      <c r="D3015" s="9" t="s">
        <v>26</v>
      </c>
      <c r="E3015" s="10" t="n">
        <v>1789</v>
      </c>
      <c r="F3015" s="9" t="s">
        <v>27</v>
      </c>
      <c r="G3015" s="9" t="s">
        <v>27</v>
      </c>
      <c r="H3015" s="11" t="n">
        <v>23</v>
      </c>
      <c r="I3015" s="11" t="s">
        <v>284</v>
      </c>
      <c r="J3015" s="14" t="n">
        <v>17</v>
      </c>
      <c r="K3015" s="14"/>
      <c r="L3015" s="16"/>
      <c r="M3015" s="27" t="n">
        <f aca="false">J3015+(K3015/20)+(L3015/240)</f>
        <v>17</v>
      </c>
      <c r="N3015" s="17" t="s">
        <v>64</v>
      </c>
      <c r="O3015" s="11"/>
      <c r="P3015" s="28" t="n">
        <f aca="false">56873/100</f>
        <v>568.73</v>
      </c>
      <c r="Q3015" s="36" t="n">
        <v>3981</v>
      </c>
      <c r="R3015" s="28"/>
      <c r="S3015" s="28" t="n">
        <f aca="false">R3015*$M3015</f>
        <v>0</v>
      </c>
      <c r="T3015" s="28"/>
      <c r="U3015" s="28" t="n">
        <f aca="false">T3015*$M3015</f>
        <v>0</v>
      </c>
      <c r="V3015" s="28"/>
      <c r="W3015" s="28" t="n">
        <f aca="false">V3015*$M3015</f>
        <v>0</v>
      </c>
      <c r="X3015" s="28"/>
      <c r="Y3015" s="28" t="n">
        <f aca="false">X3015*$M3015</f>
        <v>0</v>
      </c>
      <c r="Z3015" s="28"/>
      <c r="AA3015" s="28" t="n">
        <f aca="false">Z3015*$M3015</f>
        <v>0</v>
      </c>
      <c r="AB3015" s="28"/>
      <c r="AC3015" s="28" t="n">
        <f aca="false">AB3015*$M3015</f>
        <v>0</v>
      </c>
      <c r="AD3015" s="28"/>
      <c r="AE3015" s="28" t="n">
        <f aca="false">AD3015*$M3015</f>
        <v>0</v>
      </c>
      <c r="AF3015" s="28"/>
      <c r="AG3015" s="28" t="n">
        <f aca="false">AF3015*$M3015</f>
        <v>0</v>
      </c>
      <c r="AH3015" s="28"/>
      <c r="AI3015" s="28" t="n">
        <f aca="false">AH3015*$M3015</f>
        <v>0</v>
      </c>
      <c r="AJ3015" s="28" t="n">
        <f aca="false">19651/100</f>
        <v>196.51</v>
      </c>
      <c r="AK3015" s="28" t="n">
        <v>3341</v>
      </c>
      <c r="AL3015" s="28"/>
      <c r="AM3015" s="28" t="n">
        <f aca="false">AL3015*$M3015</f>
        <v>0</v>
      </c>
      <c r="AN3015" s="28"/>
      <c r="AO3015" s="28" t="n">
        <f aca="false">AN3015*$M3015</f>
        <v>0</v>
      </c>
      <c r="AP3015" s="28"/>
      <c r="AQ3015" s="28" t="n">
        <f aca="false">AP3015*$M3015</f>
        <v>0</v>
      </c>
      <c r="AR3015" s="28"/>
      <c r="AS3015" s="28" t="n">
        <f aca="false">AR3015*$M3015</f>
        <v>0</v>
      </c>
      <c r="AT3015" s="28"/>
      <c r="AU3015" s="28" t="n">
        <f aca="false">AT3015*$M3015</f>
        <v>0</v>
      </c>
      <c r="AV3015" s="28"/>
      <c r="AW3015" s="28" t="n">
        <f aca="false">AV3015*$M3015</f>
        <v>0</v>
      </c>
      <c r="AX3015" s="28"/>
      <c r="AY3015" s="28" t="n">
        <f aca="false">AX3015*$M3015</f>
        <v>0</v>
      </c>
      <c r="AZ3015" s="30" t="n">
        <f aca="false">76524/100</f>
        <v>765.24</v>
      </c>
      <c r="BA3015" s="11" t="n">
        <v>7322</v>
      </c>
      <c r="BB3015" s="31" t="n">
        <f aca="false">SUM(Q3015,S3015,U3015,W3015,Y3015,AA3015,AC3015,AE3015,AG3015,AI3015,AK3015,AM3015,AO3015,AQ3015,AS3015,AU3015,AW3015,AY3015)</f>
        <v>7322</v>
      </c>
      <c r="BC3015" s="28" t="n">
        <f aca="false">BA3015-BB3015</f>
        <v>0</v>
      </c>
      <c r="BD3015" s="32" t="n">
        <f aca="false">SUM(P3015,R3015,T3015,V3015,X3015,Z3015,AB3015,AD3015,AF3015,AH3015,AJ3015,AL3015,AN3015,AP3015,AR3015,AT3015,AV3015,AX3015)</f>
        <v>765.24</v>
      </c>
      <c r="BE3015" s="33" t="n">
        <f aca="false">AZ3015-BD3015</f>
        <v>0</v>
      </c>
      <c r="BF3015" s="34" t="n">
        <f aca="false">BD3015*M3015</f>
        <v>13009.08</v>
      </c>
      <c r="BG3015" s="35" t="n">
        <f aca="false">BA3015-BF3015</f>
        <v>-5687.08</v>
      </c>
      <c r="BH3015" s="19" t="str">
        <f aca="false">IF(BG3015=0,"",IF(BG3015&lt;&gt;BA3015,"erreur de calcul",IF(BD3015&lt;&gt;0,"pas de prix",IF(M3015&lt;&gt; 0,"pas de quantité","pas de prix, ni de quantité"))))</f>
        <v>erreur de calcul</v>
      </c>
      <c r="BI3015" s="19"/>
    </row>
    <row r="3016" customFormat="false" ht="15" hidden="false" customHeight="false" outlineLevel="0" collapsed="false">
      <c r="A3016" s="0" t="n">
        <v>42</v>
      </c>
      <c r="B3016" s="8" t="s">
        <v>24</v>
      </c>
      <c r="C3016" s="9" t="s">
        <v>25</v>
      </c>
      <c r="D3016" s="9" t="s">
        <v>26</v>
      </c>
      <c r="E3016" s="10" t="n">
        <v>1789</v>
      </c>
      <c r="F3016" s="9" t="s">
        <v>27</v>
      </c>
      <c r="G3016" s="9" t="s">
        <v>27</v>
      </c>
      <c r="H3016" s="11" t="n">
        <v>23</v>
      </c>
      <c r="I3016" s="11" t="s">
        <v>285</v>
      </c>
      <c r="J3016" s="14" t="n">
        <v>15</v>
      </c>
      <c r="K3016" s="14"/>
      <c r="L3016" s="16"/>
      <c r="M3016" s="27" t="n">
        <f aca="false">J3016+(K3016/20)+(L3016/240)</f>
        <v>15</v>
      </c>
      <c r="N3016" s="17" t="s">
        <v>64</v>
      </c>
      <c r="O3016" s="11"/>
      <c r="P3016" s="28" t="n">
        <f aca="false">10520/100</f>
        <v>105.2</v>
      </c>
      <c r="Q3016" s="28" t="n">
        <v>1578</v>
      </c>
      <c r="R3016" s="28"/>
      <c r="S3016" s="28" t="n">
        <f aca="false">R3016*$M3016</f>
        <v>0</v>
      </c>
      <c r="T3016" s="28"/>
      <c r="U3016" s="28" t="n">
        <f aca="false">T3016*$M3016</f>
        <v>0</v>
      </c>
      <c r="V3016" s="28"/>
      <c r="W3016" s="28" t="n">
        <f aca="false">V3016*$M3016</f>
        <v>0</v>
      </c>
      <c r="X3016" s="28" t="n">
        <f aca="false">39052/100</f>
        <v>390.52</v>
      </c>
      <c r="Y3016" s="28" t="n">
        <v>5858</v>
      </c>
      <c r="Z3016" s="28"/>
      <c r="AA3016" s="28" t="n">
        <f aca="false">Z3016*$M3016</f>
        <v>0</v>
      </c>
      <c r="AB3016" s="28" t="n">
        <f aca="false">101189/100</f>
        <v>1011.89</v>
      </c>
      <c r="AC3016" s="28" t="n">
        <v>15178</v>
      </c>
      <c r="AD3016" s="28"/>
      <c r="AE3016" s="28" t="n">
        <f aca="false">AD3016*$M3016</f>
        <v>0</v>
      </c>
      <c r="AF3016" s="28" t="n">
        <f aca="false">48408/100</f>
        <v>484.08</v>
      </c>
      <c r="AG3016" s="28" t="n">
        <v>7261</v>
      </c>
      <c r="AH3016" s="28" t="n">
        <f aca="false">17847/100</f>
        <v>178.47</v>
      </c>
      <c r="AI3016" s="28" t="n">
        <v>2677</v>
      </c>
      <c r="AJ3016" s="28"/>
      <c r="AK3016" s="28" t="n">
        <f aca="false">AJ3016*$M3016</f>
        <v>0</v>
      </c>
      <c r="AL3016" s="28"/>
      <c r="AM3016" s="28" t="n">
        <f aca="false">AL3016*$M3016</f>
        <v>0</v>
      </c>
      <c r="AN3016" s="28"/>
      <c r="AO3016" s="28" t="n">
        <f aca="false">AN3016*$M3016</f>
        <v>0</v>
      </c>
      <c r="AP3016" s="28"/>
      <c r="AQ3016" s="28" t="n">
        <f aca="false">AP3016*$M3016</f>
        <v>0</v>
      </c>
      <c r="AR3016" s="28"/>
      <c r="AS3016" s="28" t="n">
        <f aca="false">AR3016*$M3016</f>
        <v>0</v>
      </c>
      <c r="AT3016" s="28"/>
      <c r="AU3016" s="28" t="n">
        <f aca="false">AT3016*$M3016</f>
        <v>0</v>
      </c>
      <c r="AV3016" s="28"/>
      <c r="AW3016" s="28" t="n">
        <f aca="false">AV3016*$M3016</f>
        <v>0</v>
      </c>
      <c r="AX3016" s="28"/>
      <c r="AY3016" s="28" t="n">
        <f aca="false">AX3016*$M3016</f>
        <v>0</v>
      </c>
      <c r="AZ3016" s="30" t="n">
        <f aca="false">217016/100</f>
        <v>2170.16</v>
      </c>
      <c r="BA3016" s="11" t="n">
        <v>32552</v>
      </c>
      <c r="BB3016" s="31" t="n">
        <f aca="false">SUM(Q3016,S3016,U3016,W3016,Y3016,AA3016,AC3016,AE3016,AG3016,AI3016,AK3016,AM3016,AO3016,AQ3016,AS3016,AU3016,AW3016,AY3016)</f>
        <v>32552</v>
      </c>
      <c r="BC3016" s="28" t="n">
        <f aca="false">BA3016-BB3016</f>
        <v>0</v>
      </c>
      <c r="BD3016" s="32" t="n">
        <f aca="false">SUM(P3016,R3016,T3016,V3016,X3016,Z3016,AB3016,AD3016,AF3016,AH3016,AJ3016,AL3016,AN3016,AP3016,AR3016,AT3016,AV3016,AX3016)</f>
        <v>2170.16</v>
      </c>
      <c r="BE3016" s="33" t="n">
        <f aca="false">AZ3016-BD3016</f>
        <v>0</v>
      </c>
      <c r="BF3016" s="34" t="n">
        <f aca="false">BD3016*M3016</f>
        <v>32552.4</v>
      </c>
      <c r="BG3016" s="35" t="n">
        <f aca="false">BA3016-BF3016</f>
        <v>-0.399999999997817</v>
      </c>
      <c r="BH3016" s="19" t="str">
        <f aca="false">IF(BG3016=0,"",IF(BG3016&lt;&gt;BA3016,"erreur de calcul",IF(BD3016&lt;&gt;0,"pas de prix",IF(M3016&lt;&gt; 0,"pas de quantité","pas de prix, ni de quantité"))))</f>
        <v>erreur de calcul</v>
      </c>
      <c r="BI3016" s="19"/>
    </row>
    <row r="3017" customFormat="false" ht="15" hidden="false" customHeight="false" outlineLevel="0" collapsed="false">
      <c r="A3017" s="0" t="n">
        <v>43</v>
      </c>
      <c r="B3017" s="8" t="s">
        <v>24</v>
      </c>
      <c r="C3017" s="9" t="s">
        <v>25</v>
      </c>
      <c r="D3017" s="9" t="s">
        <v>26</v>
      </c>
      <c r="E3017" s="10" t="n">
        <v>1789</v>
      </c>
      <c r="F3017" s="9" t="s">
        <v>27</v>
      </c>
      <c r="G3017" s="9" t="s">
        <v>27</v>
      </c>
      <c r="H3017" s="11" t="n">
        <v>23</v>
      </c>
      <c r="I3017" s="11" t="s">
        <v>286</v>
      </c>
      <c r="J3017" s="14" t="n">
        <v>20</v>
      </c>
      <c r="K3017" s="14"/>
      <c r="L3017" s="16"/>
      <c r="M3017" s="27" t="n">
        <f aca="false">J3017+(K3017/20)+(L3017/240)</f>
        <v>20</v>
      </c>
      <c r="N3017" s="17" t="s">
        <v>64</v>
      </c>
      <c r="O3017" s="11"/>
      <c r="P3017" s="28"/>
      <c r="Q3017" s="28" t="n">
        <f aca="false">P3017*$M3017</f>
        <v>0</v>
      </c>
      <c r="R3017" s="28"/>
      <c r="S3017" s="28" t="n">
        <f aca="false">R3017*$M3017</f>
        <v>0</v>
      </c>
      <c r="T3017" s="28"/>
      <c r="U3017" s="28" t="n">
        <f aca="false">T3017*$M3017</f>
        <v>0</v>
      </c>
      <c r="V3017" s="28"/>
      <c r="W3017" s="28" t="n">
        <f aca="false">V3017*$M3017</f>
        <v>0</v>
      </c>
      <c r="X3017" s="28"/>
      <c r="Y3017" s="28" t="n">
        <f aca="false">X3017*$M3017</f>
        <v>0</v>
      </c>
      <c r="Z3017" s="28"/>
      <c r="AA3017" s="28" t="n">
        <f aca="false">Z3017*$M3017</f>
        <v>0</v>
      </c>
      <c r="AB3017" s="28" t="n">
        <f aca="false">8852/100</f>
        <v>88.52</v>
      </c>
      <c r="AC3017" s="28" t="n">
        <v>1770</v>
      </c>
      <c r="AD3017" s="28"/>
      <c r="AE3017" s="28" t="n">
        <f aca="false">AD3017*$M3017</f>
        <v>0</v>
      </c>
      <c r="AF3017" s="28"/>
      <c r="AG3017" s="28" t="n">
        <f aca="false">AF3017*$M3017</f>
        <v>0</v>
      </c>
      <c r="AH3017" s="28"/>
      <c r="AI3017" s="28" t="n">
        <f aca="false">AH3017*$M3017</f>
        <v>0</v>
      </c>
      <c r="AJ3017" s="28"/>
      <c r="AK3017" s="28" t="n">
        <f aca="false">AJ3017*$M3017</f>
        <v>0</v>
      </c>
      <c r="AL3017" s="28"/>
      <c r="AM3017" s="28" t="n">
        <f aca="false">AL3017*$M3017</f>
        <v>0</v>
      </c>
      <c r="AN3017" s="28"/>
      <c r="AO3017" s="28" t="n">
        <f aca="false">AN3017*$M3017</f>
        <v>0</v>
      </c>
      <c r="AP3017" s="28"/>
      <c r="AQ3017" s="28" t="n">
        <f aca="false">AP3017*$M3017</f>
        <v>0</v>
      </c>
      <c r="AR3017" s="28"/>
      <c r="AS3017" s="28" t="n">
        <f aca="false">AR3017*$M3017</f>
        <v>0</v>
      </c>
      <c r="AT3017" s="28"/>
      <c r="AU3017" s="28" t="n">
        <f aca="false">AT3017*$M3017</f>
        <v>0</v>
      </c>
      <c r="AV3017" s="28"/>
      <c r="AW3017" s="28" t="n">
        <f aca="false">AV3017*$M3017</f>
        <v>0</v>
      </c>
      <c r="AX3017" s="28"/>
      <c r="AY3017" s="28" t="n">
        <f aca="false">AX3017*$M3017</f>
        <v>0</v>
      </c>
      <c r="AZ3017" s="30" t="n">
        <f aca="false">8852/100</f>
        <v>88.52</v>
      </c>
      <c r="BA3017" s="11" t="n">
        <v>1770</v>
      </c>
      <c r="BB3017" s="31" t="n">
        <f aca="false">SUM(Q3017,S3017,U3017,W3017,Y3017,AA3017,AC3017,AE3017,AG3017,AI3017,AK3017,AM3017,AO3017,AQ3017,AS3017,AU3017,AW3017,AY3017)</f>
        <v>1770</v>
      </c>
      <c r="BC3017" s="28" t="n">
        <f aca="false">BA3017-BB3017</f>
        <v>0</v>
      </c>
      <c r="BD3017" s="32" t="n">
        <f aca="false">SUM(P3017,R3017,T3017,V3017,X3017,Z3017,AB3017,AD3017,AF3017,AH3017,AJ3017,AL3017,AN3017,AP3017,AR3017,AT3017,AV3017,AX3017)</f>
        <v>88.52</v>
      </c>
      <c r="BE3017" s="33" t="n">
        <f aca="false">AZ3017-BD3017</f>
        <v>0</v>
      </c>
      <c r="BF3017" s="34" t="n">
        <f aca="false">BD3017*M3017</f>
        <v>1770.4</v>
      </c>
      <c r="BG3017" s="35" t="n">
        <f aca="false">BA3017-BF3017</f>
        <v>-0.399999999999864</v>
      </c>
      <c r="BH3017" s="19" t="str">
        <f aca="false">IF(BG3017=0,"",IF(BG3017&lt;&gt;BA3017,"erreur de calcul",IF(BD3017&lt;&gt;0,"pas de prix",IF(M3017&lt;&gt; 0,"pas de quantité","pas de prix, ni de quantité"))))</f>
        <v>erreur de calcul</v>
      </c>
      <c r="BI3017" s="19"/>
    </row>
    <row r="3018" customFormat="false" ht="15" hidden="false" customHeight="false" outlineLevel="0" collapsed="false">
      <c r="A3018" s="0" t="n">
        <v>44</v>
      </c>
      <c r="B3018" s="8" t="s">
        <v>24</v>
      </c>
      <c r="C3018" s="9" t="s">
        <v>25</v>
      </c>
      <c r="D3018" s="9" t="s">
        <v>26</v>
      </c>
      <c r="E3018" s="10" t="n">
        <v>1789</v>
      </c>
      <c r="F3018" s="9" t="s">
        <v>27</v>
      </c>
      <c r="G3018" s="9" t="s">
        <v>27</v>
      </c>
      <c r="H3018" s="11" t="n">
        <v>23</v>
      </c>
      <c r="I3018" s="11" t="s">
        <v>287</v>
      </c>
      <c r="J3018" s="14" t="n">
        <v>25</v>
      </c>
      <c r="K3018" s="14"/>
      <c r="L3018" s="16"/>
      <c r="M3018" s="27" t="n">
        <f aca="false">J3018+(K3018/20)+(L3018/240)</f>
        <v>25</v>
      </c>
      <c r="N3018" s="17" t="s">
        <v>64</v>
      </c>
      <c r="O3018" s="11" t="s">
        <v>77</v>
      </c>
      <c r="P3018" s="28" t="n">
        <f aca="false">13782/100</f>
        <v>137.82</v>
      </c>
      <c r="Q3018" s="28" t="n">
        <v>3445</v>
      </c>
      <c r="R3018" s="28"/>
      <c r="S3018" s="28" t="n">
        <f aca="false">R3018*$M3018</f>
        <v>0</v>
      </c>
      <c r="T3018" s="28"/>
      <c r="U3018" s="28" t="n">
        <f aca="false">T3018*$M3018</f>
        <v>0</v>
      </c>
      <c r="V3018" s="28" t="n">
        <f aca="false">4293/100</f>
        <v>42.93</v>
      </c>
      <c r="W3018" s="28" t="n">
        <v>1073</v>
      </c>
      <c r="X3018" s="28"/>
      <c r="Y3018" s="28" t="n">
        <f aca="false">X3018*$M3018</f>
        <v>0</v>
      </c>
      <c r="Z3018" s="28"/>
      <c r="AA3018" s="28" t="n">
        <f aca="false">Z3018*$M3018</f>
        <v>0</v>
      </c>
      <c r="AB3018" s="28"/>
      <c r="AC3018" s="28" t="n">
        <f aca="false">AB3018*$M3018</f>
        <v>0</v>
      </c>
      <c r="AD3018" s="28"/>
      <c r="AE3018" s="28" t="n">
        <f aca="false">AD3018*$M3018</f>
        <v>0</v>
      </c>
      <c r="AF3018" s="28"/>
      <c r="AG3018" s="28" t="n">
        <f aca="false">AF3018*$M3018</f>
        <v>0</v>
      </c>
      <c r="AH3018" s="28"/>
      <c r="AI3018" s="28" t="n">
        <f aca="false">AH3018*$M3018</f>
        <v>0</v>
      </c>
      <c r="AJ3018" s="28"/>
      <c r="AK3018" s="28" t="n">
        <f aca="false">AJ3018*$M3018</f>
        <v>0</v>
      </c>
      <c r="AL3018" s="28"/>
      <c r="AM3018" s="28" t="n">
        <f aca="false">AL3018*$M3018</f>
        <v>0</v>
      </c>
      <c r="AN3018" s="28"/>
      <c r="AO3018" s="28" t="n">
        <f aca="false">AN3018*$M3018</f>
        <v>0</v>
      </c>
      <c r="AP3018" s="28"/>
      <c r="AQ3018" s="28" t="n">
        <f aca="false">AP3018*$M3018</f>
        <v>0</v>
      </c>
      <c r="AR3018" s="28"/>
      <c r="AS3018" s="28" t="n">
        <f aca="false">AR3018*$M3018</f>
        <v>0</v>
      </c>
      <c r="AT3018" s="28"/>
      <c r="AU3018" s="28" t="n">
        <f aca="false">AT3018*$M3018</f>
        <v>0</v>
      </c>
      <c r="AV3018" s="28"/>
      <c r="AW3018" s="28" t="n">
        <f aca="false">AV3018*$M3018</f>
        <v>0</v>
      </c>
      <c r="AX3018" s="28"/>
      <c r="AY3018" s="28" t="n">
        <f aca="false">AX3018*$M3018</f>
        <v>0</v>
      </c>
      <c r="AZ3018" s="30" t="n">
        <f aca="false">18075/100</f>
        <v>180.75</v>
      </c>
      <c r="BA3018" s="11" t="n">
        <v>4518</v>
      </c>
      <c r="BB3018" s="31" t="n">
        <f aca="false">SUM(Q3018,S3018,U3018,W3018,Y3018,AA3018,AC3018,AE3018,AG3018,AI3018,AK3018,AM3018,AO3018,AQ3018,AS3018,AU3018,AW3018,AY3018)</f>
        <v>4518</v>
      </c>
      <c r="BC3018" s="28" t="n">
        <f aca="false">BA3018-BB3018</f>
        <v>0</v>
      </c>
      <c r="BD3018" s="32" t="n">
        <f aca="false">SUM(P3018,R3018,T3018,V3018,X3018,Z3018,AB3018,AD3018,AF3018,AH3018,AJ3018,AL3018,AN3018,AP3018,AR3018,AT3018,AV3018,AX3018)</f>
        <v>180.75</v>
      </c>
      <c r="BE3018" s="33" t="n">
        <f aca="false">AZ3018-BD3018</f>
        <v>0</v>
      </c>
      <c r="BF3018" s="34" t="n">
        <f aca="false">BD3018*M3018</f>
        <v>4518.75</v>
      </c>
      <c r="BG3018" s="35" t="n">
        <f aca="false">BA3018-BF3018</f>
        <v>-0.75</v>
      </c>
      <c r="BH3018" s="19" t="str">
        <f aca="false">IF(BG3018=0,"",IF(BG3018&lt;&gt;BA3018,"erreur de calcul",IF(BD3018&lt;&gt;0,"pas de prix",IF(M3018&lt;&gt; 0,"pas de quantité","pas de prix, ni de quantité"))))</f>
        <v>erreur de calcul</v>
      </c>
      <c r="BI3018" s="19"/>
    </row>
    <row r="3019" customFormat="false" ht="15" hidden="false" customHeight="false" outlineLevel="0" collapsed="false">
      <c r="A3019" s="0" t="n">
        <v>1</v>
      </c>
      <c r="B3019" s="8" t="s">
        <v>24</v>
      </c>
      <c r="C3019" s="9" t="s">
        <v>25</v>
      </c>
      <c r="D3019" s="9" t="s">
        <v>26</v>
      </c>
      <c r="E3019" s="10" t="n">
        <v>1789</v>
      </c>
      <c r="F3019" s="9" t="s">
        <v>27</v>
      </c>
      <c r="G3019" s="9" t="s">
        <v>27</v>
      </c>
      <c r="H3019" s="11" t="n">
        <v>24</v>
      </c>
      <c r="I3019" s="11" t="s">
        <v>288</v>
      </c>
      <c r="J3019" s="14" t="n">
        <v>250</v>
      </c>
      <c r="K3019" s="14"/>
      <c r="L3019" s="16"/>
      <c r="M3019" s="27" t="n">
        <f aca="false">J3019+(K3019/20)+(L3019/240)</f>
        <v>250</v>
      </c>
      <c r="N3019" s="17" t="s">
        <v>64</v>
      </c>
      <c r="O3019" s="11"/>
      <c r="P3019" s="28"/>
      <c r="Q3019" s="28" t="n">
        <f aca="false">P3019*$M3019</f>
        <v>0</v>
      </c>
      <c r="R3019" s="28"/>
      <c r="S3019" s="28" t="n">
        <f aca="false">R3019*$M3019</f>
        <v>0</v>
      </c>
      <c r="T3019" s="28"/>
      <c r="U3019" s="28" t="n">
        <f aca="false">T3019*$M3019</f>
        <v>0</v>
      </c>
      <c r="V3019" s="28"/>
      <c r="W3019" s="28" t="n">
        <f aca="false">V3019*$M3019</f>
        <v>0</v>
      </c>
      <c r="X3019" s="28"/>
      <c r="Y3019" s="28" t="n">
        <f aca="false">X3019*$M3019</f>
        <v>0</v>
      </c>
      <c r="Z3019" s="28"/>
      <c r="AA3019" s="28" t="n">
        <f aca="false">Z3019*$M3019</f>
        <v>0</v>
      </c>
      <c r="AB3019" s="28"/>
      <c r="AC3019" s="28" t="n">
        <f aca="false">AB3019*$M3019</f>
        <v>0</v>
      </c>
      <c r="AD3019" s="28"/>
      <c r="AE3019" s="28" t="n">
        <f aca="false">AD3019*$M3019</f>
        <v>0</v>
      </c>
      <c r="AF3019" s="28"/>
      <c r="AG3019" s="28" t="n">
        <f aca="false">AF3019*$M3019</f>
        <v>0</v>
      </c>
      <c r="AH3019" s="28" t="n">
        <f aca="false">5374/100</f>
        <v>53.74</v>
      </c>
      <c r="AI3019" s="28" t="n">
        <v>13435</v>
      </c>
      <c r="AJ3019" s="28"/>
      <c r="AK3019" s="28" t="n">
        <f aca="false">AJ3019*$M3019</f>
        <v>0</v>
      </c>
      <c r="AL3019" s="28"/>
      <c r="AM3019" s="28" t="n">
        <f aca="false">AL3019*$M3019</f>
        <v>0</v>
      </c>
      <c r="AN3019" s="28"/>
      <c r="AO3019" s="28" t="n">
        <f aca="false">AN3019*$M3019</f>
        <v>0</v>
      </c>
      <c r="AP3019" s="28"/>
      <c r="AQ3019" s="28" t="n">
        <f aca="false">AP3019*$M3019</f>
        <v>0</v>
      </c>
      <c r="AR3019" s="28"/>
      <c r="AS3019" s="28" t="n">
        <f aca="false">AR3019*$M3019</f>
        <v>0</v>
      </c>
      <c r="AT3019" s="28"/>
      <c r="AU3019" s="28" t="n">
        <f aca="false">AT3019*$M3019</f>
        <v>0</v>
      </c>
      <c r="AV3019" s="28"/>
      <c r="AW3019" s="28" t="n">
        <f aca="false">AV3019*$M3019</f>
        <v>0</v>
      </c>
      <c r="AX3019" s="28"/>
      <c r="AY3019" s="28" t="n">
        <f aca="false">AX3019*$M3019</f>
        <v>0</v>
      </c>
      <c r="AZ3019" s="30" t="n">
        <f aca="false">5374/100</f>
        <v>53.74</v>
      </c>
      <c r="BA3019" s="11" t="n">
        <v>13435</v>
      </c>
      <c r="BB3019" s="31" t="n">
        <f aca="false">SUM(Q3019,S3019,U3019,W3019,Y3019,AA3019,AC3019,AE3019,AG3019,AI3019,AK3019,AM3019,AO3019,AQ3019,AS3019,AU3019,AW3019,AY3019)</f>
        <v>13435</v>
      </c>
      <c r="BC3019" s="28" t="n">
        <f aca="false">BA3019-BB3019</f>
        <v>0</v>
      </c>
      <c r="BD3019" s="32" t="n">
        <f aca="false">SUM(P3019,R3019,T3019,V3019,X3019,Z3019,AB3019,AD3019,AF3019,AH3019,AJ3019,AL3019,AN3019,AP3019,AR3019,AT3019,AV3019,AX3019)</f>
        <v>53.74</v>
      </c>
      <c r="BE3019" s="33" t="n">
        <f aca="false">AZ3019-BD3019</f>
        <v>0</v>
      </c>
      <c r="BF3019" s="34" t="n">
        <f aca="false">BD3019*M3019</f>
        <v>13435</v>
      </c>
      <c r="BG3019" s="35" t="n">
        <f aca="false">BA3019-BF3019</f>
        <v>0</v>
      </c>
      <c r="BH3019" s="19" t="str">
        <f aca="false">IF(BG3019=0,"",IF(BG3019&lt;&gt;BA3019,"erreur de calcul",IF(BD3019&lt;&gt;0,"pas de prix",IF(M3019&lt;&gt; 0,"pas de quantité","pas de prix, ni de quantité"))))</f>
        <v/>
      </c>
      <c r="BI3019" s="19"/>
    </row>
    <row r="3020" customFormat="false" ht="15" hidden="false" customHeight="false" outlineLevel="0" collapsed="false">
      <c r="A3020" s="0" t="n">
        <v>2</v>
      </c>
      <c r="B3020" s="8" t="s">
        <v>24</v>
      </c>
      <c r="C3020" s="9" t="s">
        <v>25</v>
      </c>
      <c r="D3020" s="9" t="s">
        <v>26</v>
      </c>
      <c r="E3020" s="10" t="n">
        <v>1789</v>
      </c>
      <c r="F3020" s="9" t="s">
        <v>27</v>
      </c>
      <c r="G3020" s="9" t="s">
        <v>27</v>
      </c>
      <c r="H3020" s="11" t="n">
        <v>24</v>
      </c>
      <c r="I3020" s="11" t="s">
        <v>289</v>
      </c>
      <c r="J3020" s="14" t="n">
        <v>3</v>
      </c>
      <c r="K3020" s="14"/>
      <c r="L3020" s="16"/>
      <c r="M3020" s="27" t="n">
        <f aca="false">J3020+(K3020/20)+(L3020/240)</f>
        <v>3</v>
      </c>
      <c r="N3020" s="17" t="s">
        <v>66</v>
      </c>
      <c r="O3020" s="11"/>
      <c r="P3020" s="28"/>
      <c r="Q3020" s="28" t="n">
        <f aca="false">P3020*$M3020</f>
        <v>0</v>
      </c>
      <c r="R3020" s="28"/>
      <c r="S3020" s="28" t="n">
        <f aca="false">R3020*$M3020</f>
        <v>0</v>
      </c>
      <c r="T3020" s="28"/>
      <c r="U3020" s="28" t="n">
        <f aca="false">T3020*$M3020</f>
        <v>0</v>
      </c>
      <c r="V3020" s="28"/>
      <c r="W3020" s="28" t="n">
        <f aca="false">V3020*$M3020</f>
        <v>0</v>
      </c>
      <c r="X3020" s="28"/>
      <c r="Y3020" s="28" t="n">
        <f aca="false">X3020*$M3020</f>
        <v>0</v>
      </c>
      <c r="Z3020" s="28"/>
      <c r="AA3020" s="28" t="n">
        <f aca="false">Z3020*$M3020</f>
        <v>0</v>
      </c>
      <c r="AB3020" s="28"/>
      <c r="AC3020" s="28" t="n">
        <f aca="false">AB3020*$M3020</f>
        <v>0</v>
      </c>
      <c r="AD3020" s="28"/>
      <c r="AE3020" s="28" t="n">
        <f aca="false">AD3020*$M3020</f>
        <v>0</v>
      </c>
      <c r="AF3020" s="28"/>
      <c r="AG3020" s="28" t="n">
        <f aca="false">AF3020*$M3020</f>
        <v>0</v>
      </c>
      <c r="AH3020" s="28" t="n">
        <v>261</v>
      </c>
      <c r="AI3020" s="28" t="n">
        <v>783</v>
      </c>
      <c r="AJ3020" s="28"/>
      <c r="AK3020" s="28" t="n">
        <f aca="false">AJ3020*$M3020</f>
        <v>0</v>
      </c>
      <c r="AL3020" s="28"/>
      <c r="AM3020" s="28" t="n">
        <f aca="false">AL3020*$M3020</f>
        <v>0</v>
      </c>
      <c r="AN3020" s="28"/>
      <c r="AO3020" s="28" t="n">
        <f aca="false">AN3020*$M3020</f>
        <v>0</v>
      </c>
      <c r="AP3020" s="28"/>
      <c r="AQ3020" s="28" t="n">
        <f aca="false">AP3020*$M3020</f>
        <v>0</v>
      </c>
      <c r="AR3020" s="28"/>
      <c r="AS3020" s="28" t="n">
        <f aca="false">AR3020*$M3020</f>
        <v>0</v>
      </c>
      <c r="AT3020" s="28"/>
      <c r="AU3020" s="28" t="n">
        <f aca="false">AT3020*$M3020</f>
        <v>0</v>
      </c>
      <c r="AV3020" s="28"/>
      <c r="AW3020" s="28" t="n">
        <f aca="false">AV3020*$M3020</f>
        <v>0</v>
      </c>
      <c r="AX3020" s="28"/>
      <c r="AY3020" s="28" t="n">
        <f aca="false">AX3020*$M3020</f>
        <v>0</v>
      </c>
      <c r="AZ3020" s="30" t="n">
        <v>261</v>
      </c>
      <c r="BA3020" s="11" t="n">
        <v>783</v>
      </c>
      <c r="BB3020" s="31" t="n">
        <f aca="false">SUM(Q3020,S3020,U3020,W3020,Y3020,AA3020,AC3020,AE3020,AG3020,AI3020,AK3020,AM3020,AO3020,AQ3020,AS3020,AU3020,AW3020,AY3020)</f>
        <v>783</v>
      </c>
      <c r="BC3020" s="28" t="n">
        <f aca="false">BA3020-BB3020</f>
        <v>0</v>
      </c>
      <c r="BD3020" s="32" t="n">
        <f aca="false">SUM(P3020,R3020,T3020,V3020,X3020,Z3020,AB3020,AD3020,AF3020,AH3020,AJ3020,AL3020,AN3020,AP3020,AR3020,AT3020,AV3020,AX3020)</f>
        <v>261</v>
      </c>
      <c r="BE3020" s="33" t="n">
        <f aca="false">AZ3020-BD3020</f>
        <v>0</v>
      </c>
      <c r="BF3020" s="34" t="n">
        <f aca="false">BD3020*M3020</f>
        <v>783</v>
      </c>
      <c r="BG3020" s="35" t="n">
        <f aca="false">BA3020-BF3020</f>
        <v>0</v>
      </c>
      <c r="BH3020" s="19" t="str">
        <f aca="false">IF(BG3020=0,"",IF(BG3020&lt;&gt;BA3020,"erreur de calcul",IF(BD3020&lt;&gt;0,"pas de prix",IF(M3020&lt;&gt; 0,"pas de quantité","pas de prix, ni de quantité"))))</f>
        <v/>
      </c>
      <c r="BI3020" s="19"/>
    </row>
    <row r="3021" customFormat="false" ht="15" hidden="false" customHeight="false" outlineLevel="0" collapsed="false">
      <c r="A3021" s="0" t="n">
        <v>3</v>
      </c>
      <c r="B3021" s="8" t="s">
        <v>24</v>
      </c>
      <c r="C3021" s="9" t="s">
        <v>25</v>
      </c>
      <c r="D3021" s="9" t="s">
        <v>26</v>
      </c>
      <c r="E3021" s="10" t="n">
        <v>1789</v>
      </c>
      <c r="F3021" s="9" t="s">
        <v>27</v>
      </c>
      <c r="G3021" s="9" t="s">
        <v>27</v>
      </c>
      <c r="H3021" s="11" t="n">
        <v>24</v>
      </c>
      <c r="I3021" s="11" t="s">
        <v>290</v>
      </c>
      <c r="J3021" s="14" t="n">
        <v>5</v>
      </c>
      <c r="K3021" s="14"/>
      <c r="L3021" s="16"/>
      <c r="M3021" s="27" t="n">
        <f aca="false">J3021+(K3021/20)+(L3021/240)</f>
        <v>5</v>
      </c>
      <c r="N3021" s="17" t="s">
        <v>66</v>
      </c>
      <c r="O3021" s="11"/>
      <c r="P3021" s="28"/>
      <c r="Q3021" s="28" t="n">
        <f aca="false">P3021*$M3021</f>
        <v>0</v>
      </c>
      <c r="R3021" s="28"/>
      <c r="S3021" s="28" t="n">
        <f aca="false">R3021*$M3021</f>
        <v>0</v>
      </c>
      <c r="T3021" s="28"/>
      <c r="U3021" s="28" t="n">
        <v>4765</v>
      </c>
      <c r="V3021" s="28"/>
      <c r="W3021" s="28" t="n">
        <f aca="false">V3021*$M3021</f>
        <v>0</v>
      </c>
      <c r="X3021" s="28"/>
      <c r="Y3021" s="28" t="n">
        <f aca="false">X3021*$M3021</f>
        <v>0</v>
      </c>
      <c r="Z3021" s="28"/>
      <c r="AA3021" s="28" t="n">
        <f aca="false">Z3021*$M3021</f>
        <v>0</v>
      </c>
      <c r="AB3021" s="28"/>
      <c r="AC3021" s="28" t="n">
        <f aca="false">AB3021*$M3021</f>
        <v>0</v>
      </c>
      <c r="AD3021" s="28"/>
      <c r="AE3021" s="28" t="n">
        <f aca="false">AD3021*$M3021</f>
        <v>0</v>
      </c>
      <c r="AF3021" s="28"/>
      <c r="AG3021" s="28" t="n">
        <f aca="false">AF3021*$M3021</f>
        <v>0</v>
      </c>
      <c r="AH3021" s="28"/>
      <c r="AI3021" s="28" t="n">
        <f aca="false">AH3021*$M3021</f>
        <v>0</v>
      </c>
      <c r="AJ3021" s="28"/>
      <c r="AK3021" s="28" t="n">
        <f aca="false">AJ3021*$M3021</f>
        <v>0</v>
      </c>
      <c r="AL3021" s="28"/>
      <c r="AM3021" s="28" t="n">
        <f aca="false">AL3021*$M3021</f>
        <v>0</v>
      </c>
      <c r="AN3021" s="28"/>
      <c r="AO3021" s="28" t="n">
        <f aca="false">AN3021*$M3021</f>
        <v>0</v>
      </c>
      <c r="AP3021" s="28"/>
      <c r="AQ3021" s="28" t="n">
        <f aca="false">AP3021*$M3021</f>
        <v>0</v>
      </c>
      <c r="AR3021" s="28"/>
      <c r="AS3021" s="28" t="n">
        <f aca="false">AR3021*$M3021</f>
        <v>0</v>
      </c>
      <c r="AT3021" s="28"/>
      <c r="AU3021" s="28" t="n">
        <f aca="false">AT3021*$M3021</f>
        <v>0</v>
      </c>
      <c r="AV3021" s="28"/>
      <c r="AW3021" s="28" t="n">
        <f aca="false">AV3021*$M3021</f>
        <v>0</v>
      </c>
      <c r="AX3021" s="28"/>
      <c r="AY3021" s="28" t="n">
        <f aca="false">AX3021*$M3021</f>
        <v>0</v>
      </c>
      <c r="AZ3021" s="30"/>
      <c r="BA3021" s="11" t="n">
        <v>4765</v>
      </c>
      <c r="BB3021" s="31" t="n">
        <f aca="false">SUM(Q3021,S3021,U3021,W3021,Y3021,AA3021,AC3021,AE3021,AG3021,AI3021,AK3021,AM3021,AO3021,AQ3021,AS3021,AU3021,AW3021,AY3021)</f>
        <v>4765</v>
      </c>
      <c r="BC3021" s="28" t="n">
        <f aca="false">BA3021-BB3021</f>
        <v>0</v>
      </c>
      <c r="BD3021" s="32" t="n">
        <f aca="false">SUM(P3021,R3021,T3021,V3021,X3021,Z3021,AB3021,AD3021,AF3021,AH3021,AJ3021,AL3021,AN3021,AP3021,AR3021,AT3021,AV3021,AX3021)</f>
        <v>0</v>
      </c>
      <c r="BE3021" s="33" t="n">
        <f aca="false">AZ3021-BD3021</f>
        <v>0</v>
      </c>
      <c r="BF3021" s="34" t="n">
        <f aca="false">BD3021*M3021</f>
        <v>0</v>
      </c>
      <c r="BG3021" s="35" t="n">
        <f aca="false">BA3021-BF3021</f>
        <v>4765</v>
      </c>
      <c r="BH3021" s="19" t="str">
        <f aca="false">IF(BG3021=0,"",IF(BG3021&lt;&gt;BA3021,"erreur de calcul",IF(BD3021&lt;&gt;0,"pas de prix",IF(M3021&lt;&gt; 0,"pas de quantité","pas de prix, ni de quantité"))))</f>
        <v>pas de quantité</v>
      </c>
      <c r="BI3021" s="19"/>
    </row>
    <row r="3022" customFormat="false" ht="15" hidden="false" customHeight="false" outlineLevel="0" collapsed="false">
      <c r="A3022" s="0" t="n">
        <v>4</v>
      </c>
      <c r="B3022" s="8" t="s">
        <v>24</v>
      </c>
      <c r="C3022" s="9" t="s">
        <v>25</v>
      </c>
      <c r="D3022" s="9" t="s">
        <v>26</v>
      </c>
      <c r="E3022" s="10" t="n">
        <v>1789</v>
      </c>
      <c r="F3022" s="9" t="s">
        <v>27</v>
      </c>
      <c r="G3022" s="9" t="s">
        <v>27</v>
      </c>
      <c r="H3022" s="11" t="n">
        <v>24</v>
      </c>
      <c r="I3022" s="11" t="s">
        <v>291</v>
      </c>
      <c r="J3022" s="14" t="n">
        <v>36</v>
      </c>
      <c r="K3022" s="14"/>
      <c r="L3022" s="16"/>
      <c r="M3022" s="27" t="n">
        <f aca="false">J3022+(K3022/20)+(L3022/240)</f>
        <v>36</v>
      </c>
      <c r="N3022" s="17" t="s">
        <v>66</v>
      </c>
      <c r="O3022" s="11"/>
      <c r="P3022" s="28"/>
      <c r="Q3022" s="28" t="n">
        <f aca="false">P3022*$M3022</f>
        <v>0</v>
      </c>
      <c r="R3022" s="28"/>
      <c r="S3022" s="28" t="n">
        <f aca="false">R3022*$M3022</f>
        <v>0</v>
      </c>
      <c r="T3022" s="28"/>
      <c r="U3022" s="28" t="n">
        <f aca="false">T3022*$M3022</f>
        <v>0</v>
      </c>
      <c r="V3022" s="28"/>
      <c r="W3022" s="28" t="n">
        <f aca="false">V3022*$M3022</f>
        <v>0</v>
      </c>
      <c r="X3022" s="28"/>
      <c r="Y3022" s="28" t="n">
        <f aca="false">X3022*$M3022</f>
        <v>0</v>
      </c>
      <c r="Z3022" s="28"/>
      <c r="AA3022" s="28" t="n">
        <f aca="false">Z3022*$M3022</f>
        <v>0</v>
      </c>
      <c r="AB3022" s="28"/>
      <c r="AC3022" s="28" t="n">
        <f aca="false">AB3022*$M3022</f>
        <v>0</v>
      </c>
      <c r="AD3022" s="28"/>
      <c r="AE3022" s="28" t="n">
        <f aca="false">AD3022*$M3022</f>
        <v>0</v>
      </c>
      <c r="AF3022" s="28"/>
      <c r="AG3022" s="28" t="n">
        <f aca="false">AF3022*$M3022</f>
        <v>0</v>
      </c>
      <c r="AH3022" s="28"/>
      <c r="AI3022" s="28" t="n">
        <f aca="false">AH3022*$M3022</f>
        <v>0</v>
      </c>
      <c r="AJ3022" s="28" t="n">
        <v>387</v>
      </c>
      <c r="AK3022" s="28" t="n">
        <v>13932</v>
      </c>
      <c r="AL3022" s="28"/>
      <c r="AM3022" s="28" t="n">
        <f aca="false">AL3022*$M3022</f>
        <v>0</v>
      </c>
      <c r="AN3022" s="28"/>
      <c r="AO3022" s="28" t="n">
        <f aca="false">AN3022*$M3022</f>
        <v>0</v>
      </c>
      <c r="AP3022" s="28"/>
      <c r="AQ3022" s="28" t="n">
        <f aca="false">AP3022*$M3022</f>
        <v>0</v>
      </c>
      <c r="AR3022" s="28"/>
      <c r="AS3022" s="28" t="n">
        <f aca="false">AR3022*$M3022</f>
        <v>0</v>
      </c>
      <c r="AT3022" s="28"/>
      <c r="AU3022" s="28" t="n">
        <f aca="false">AT3022*$M3022</f>
        <v>0</v>
      </c>
      <c r="AV3022" s="28"/>
      <c r="AW3022" s="28" t="n">
        <f aca="false">AV3022*$M3022</f>
        <v>0</v>
      </c>
      <c r="AX3022" s="28"/>
      <c r="AY3022" s="28" t="n">
        <f aca="false">AX3022*$M3022</f>
        <v>0</v>
      </c>
      <c r="AZ3022" s="30" t="n">
        <v>387</v>
      </c>
      <c r="BA3022" s="11" t="n">
        <v>13932</v>
      </c>
      <c r="BB3022" s="31" t="n">
        <f aca="false">SUM(Q3022,S3022,U3022,W3022,Y3022,AA3022,AC3022,AE3022,AG3022,AI3022,AK3022,AM3022,AO3022,AQ3022,AS3022,AU3022,AW3022,AY3022)</f>
        <v>13932</v>
      </c>
      <c r="BC3022" s="28" t="n">
        <f aca="false">BA3022-BB3022</f>
        <v>0</v>
      </c>
      <c r="BD3022" s="32" t="n">
        <f aca="false">SUM(P3022,R3022,T3022,V3022,X3022,Z3022,AB3022,AD3022,AF3022,AH3022,AJ3022,AL3022,AN3022,AP3022,AR3022,AT3022,AV3022,AX3022)</f>
        <v>387</v>
      </c>
      <c r="BE3022" s="33" t="n">
        <f aca="false">AZ3022-BD3022</f>
        <v>0</v>
      </c>
      <c r="BF3022" s="34" t="n">
        <f aca="false">BD3022*M3022</f>
        <v>13932</v>
      </c>
      <c r="BG3022" s="35" t="n">
        <f aca="false">BA3022-BF3022</f>
        <v>0</v>
      </c>
      <c r="BH3022" s="19" t="str">
        <f aca="false">IF(BG3022=0,"",IF(BG3022&lt;&gt;BA3022,"erreur de calcul",IF(BD3022&lt;&gt;0,"pas de prix",IF(M3022&lt;&gt; 0,"pas de quantité","pas de prix, ni de quantité"))))</f>
        <v/>
      </c>
      <c r="BI3022" s="19"/>
    </row>
    <row r="3023" customFormat="false" ht="15" hidden="false" customHeight="false" outlineLevel="0" collapsed="false">
      <c r="A3023" s="0" t="n">
        <v>5</v>
      </c>
      <c r="B3023" s="8" t="s">
        <v>24</v>
      </c>
      <c r="C3023" s="9" t="s">
        <v>25</v>
      </c>
      <c r="D3023" s="9" t="s">
        <v>26</v>
      </c>
      <c r="E3023" s="10" t="n">
        <v>1789</v>
      </c>
      <c r="F3023" s="9" t="s">
        <v>27</v>
      </c>
      <c r="G3023" s="9" t="s">
        <v>27</v>
      </c>
      <c r="H3023" s="11" t="n">
        <v>24</v>
      </c>
      <c r="I3023" s="11" t="s">
        <v>292</v>
      </c>
      <c r="J3023" s="14" t="n">
        <v>40</v>
      </c>
      <c r="K3023" s="14"/>
      <c r="L3023" s="16"/>
      <c r="M3023" s="27" t="n">
        <f aca="false">J3023+(K3023/20)+(L3023/240)</f>
        <v>40</v>
      </c>
      <c r="N3023" s="17" t="s">
        <v>64</v>
      </c>
      <c r="O3023" s="11" t="s">
        <v>277</v>
      </c>
      <c r="P3023" s="28"/>
      <c r="Q3023" s="28" t="n">
        <f aca="false">P3023*$M3023</f>
        <v>0</v>
      </c>
      <c r="R3023" s="28"/>
      <c r="S3023" s="28" t="n">
        <f aca="false">R3023*$M3023</f>
        <v>0</v>
      </c>
      <c r="T3023" s="28" t="n">
        <f aca="false">5917/100</f>
        <v>59.17</v>
      </c>
      <c r="U3023" s="28" t="n">
        <v>2367</v>
      </c>
      <c r="V3023" s="28" t="n">
        <f aca="false">12510/100</f>
        <v>125.1</v>
      </c>
      <c r="W3023" s="28" t="n">
        <f aca="false">V3023*$M3023</f>
        <v>5004</v>
      </c>
      <c r="X3023" s="28"/>
      <c r="Y3023" s="28" t="n">
        <f aca="false">X3023*$M3023</f>
        <v>0</v>
      </c>
      <c r="Z3023" s="28"/>
      <c r="AA3023" s="28" t="n">
        <f aca="false">Z3023*$M3023</f>
        <v>0</v>
      </c>
      <c r="AB3023" s="28" t="n">
        <f aca="false">50338/100</f>
        <v>503.38</v>
      </c>
      <c r="AC3023" s="28" t="n">
        <v>20135</v>
      </c>
      <c r="AD3023" s="28"/>
      <c r="AE3023" s="28" t="n">
        <f aca="false">AD3023*$M3023</f>
        <v>0</v>
      </c>
      <c r="AF3023" s="28"/>
      <c r="AG3023" s="28" t="n">
        <f aca="false">AF3023*$M3023</f>
        <v>0</v>
      </c>
      <c r="AH3023" s="28" t="n">
        <f aca="false">440/100</f>
        <v>4.4</v>
      </c>
      <c r="AI3023" s="28" t="n">
        <v>176</v>
      </c>
      <c r="AJ3023" s="28" t="n">
        <f aca="false">18094/100</f>
        <v>180.94</v>
      </c>
      <c r="AK3023" s="28" t="n">
        <v>7238</v>
      </c>
      <c r="AL3023" s="28"/>
      <c r="AM3023" s="28" t="n">
        <f aca="false">AL3023*$M3023</f>
        <v>0</v>
      </c>
      <c r="AN3023" s="28"/>
      <c r="AO3023" s="28" t="n">
        <f aca="false">AN3023*$M3023</f>
        <v>0</v>
      </c>
      <c r="AP3023" s="28"/>
      <c r="AQ3023" s="28" t="n">
        <f aca="false">AP3023*$M3023</f>
        <v>0</v>
      </c>
      <c r="AR3023" s="28"/>
      <c r="AS3023" s="28" t="n">
        <f aca="false">AR3023*$M3023</f>
        <v>0</v>
      </c>
      <c r="AT3023" s="28"/>
      <c r="AU3023" s="28" t="n">
        <f aca="false">AT3023*$M3023</f>
        <v>0</v>
      </c>
      <c r="AV3023" s="28"/>
      <c r="AW3023" s="28" t="n">
        <f aca="false">AV3023*$M3023</f>
        <v>0</v>
      </c>
      <c r="AX3023" s="28"/>
      <c r="AY3023" s="28" t="n">
        <f aca="false">AX3023*$M3023</f>
        <v>0</v>
      </c>
      <c r="AZ3023" s="30" t="n">
        <f aca="false">87279/100</f>
        <v>872.79</v>
      </c>
      <c r="BA3023" s="11" t="n">
        <v>34920</v>
      </c>
      <c r="BB3023" s="31" t="n">
        <f aca="false">SUM(Q3023,S3023,U3023,W3023,Y3023,AA3023,AC3023,AE3023,AG3023,AI3023,AK3023,AM3023,AO3023,AQ3023,AS3023,AU3023,AW3023,AY3023)</f>
        <v>34920</v>
      </c>
      <c r="BC3023" s="28" t="n">
        <f aca="false">BA3023-BB3023</f>
        <v>0</v>
      </c>
      <c r="BD3023" s="32" t="n">
        <f aca="false">SUM(P3023,R3023,T3023,V3023,X3023,Z3023,AB3023,AD3023,AF3023,AH3023,AJ3023,AL3023,AN3023,AP3023,AR3023,AT3023,AV3023,AX3023)</f>
        <v>872.99</v>
      </c>
      <c r="BE3023" s="33" t="n">
        <f aca="false">AZ3023-BD3023</f>
        <v>-0.200000000000045</v>
      </c>
      <c r="BF3023" s="34" t="n">
        <f aca="false">BD3023*M3023</f>
        <v>34919.6</v>
      </c>
      <c r="BG3023" s="35" t="n">
        <f aca="false">BA3023-BF3023</f>
        <v>0.400000000001455</v>
      </c>
      <c r="BH3023" s="19" t="str">
        <f aca="false">IF(BG3023=0,"",IF(BG3023&lt;&gt;BA3023,"erreur de calcul",IF(BD3023&lt;&gt;0,"pas de prix",IF(M3023&lt;&gt; 0,"pas de quantité","pas de prix, ni de quantité"))))</f>
        <v>erreur de calcul</v>
      </c>
      <c r="BI3023" s="19"/>
    </row>
    <row r="3024" customFormat="false" ht="15" hidden="false" customHeight="false" outlineLevel="0" collapsed="false">
      <c r="A3024" s="0" t="n">
        <v>6</v>
      </c>
      <c r="B3024" s="8" t="s">
        <v>24</v>
      </c>
      <c r="C3024" s="9" t="s">
        <v>25</v>
      </c>
      <c r="D3024" s="9" t="s">
        <v>26</v>
      </c>
      <c r="E3024" s="10" t="n">
        <v>1789</v>
      </c>
      <c r="F3024" s="9" t="s">
        <v>27</v>
      </c>
      <c r="G3024" s="9" t="s">
        <v>27</v>
      </c>
      <c r="H3024" s="11" t="n">
        <v>24</v>
      </c>
      <c r="I3024" s="11" t="s">
        <v>293</v>
      </c>
      <c r="J3024" s="14" t="n">
        <v>72</v>
      </c>
      <c r="K3024" s="14"/>
      <c r="L3024" s="16"/>
      <c r="M3024" s="27" t="n">
        <f aca="false">J3024+(K3024/20)+(L3024/240)</f>
        <v>72</v>
      </c>
      <c r="N3024" s="17" t="s">
        <v>294</v>
      </c>
      <c r="O3024" s="11"/>
      <c r="P3024" s="28" t="n">
        <v>16096</v>
      </c>
      <c r="Q3024" s="28" t="n">
        <v>1158912</v>
      </c>
      <c r="R3024" s="28"/>
      <c r="S3024" s="28" t="n">
        <f aca="false">R3024*$M3024</f>
        <v>0</v>
      </c>
      <c r="T3024" s="28" t="n">
        <v>6580</v>
      </c>
      <c r="U3024" s="28" t="n">
        <v>473760</v>
      </c>
      <c r="V3024" s="28" t="n">
        <v>21336</v>
      </c>
      <c r="W3024" s="28" t="n">
        <v>1536192</v>
      </c>
      <c r="X3024" s="28" t="n">
        <v>905</v>
      </c>
      <c r="Y3024" s="28" t="n">
        <v>65160</v>
      </c>
      <c r="Z3024" s="28" t="n">
        <v>250</v>
      </c>
      <c r="AA3024" s="28" t="n">
        <v>18000</v>
      </c>
      <c r="AB3024" s="28" t="n">
        <v>155034</v>
      </c>
      <c r="AC3024" s="28" t="n">
        <v>11162448</v>
      </c>
      <c r="AD3024" s="28"/>
      <c r="AE3024" s="28" t="n">
        <f aca="false">AD3024*$M3024</f>
        <v>0</v>
      </c>
      <c r="AF3024" s="28" t="n">
        <v>18739</v>
      </c>
      <c r="AG3024" s="28" t="n">
        <v>1349208</v>
      </c>
      <c r="AH3024" s="28" t="n">
        <v>44032</v>
      </c>
      <c r="AI3024" s="28" t="n">
        <v>3170304</v>
      </c>
      <c r="AJ3024" s="28"/>
      <c r="AK3024" s="28" t="n">
        <f aca="false">AJ3024*$M3024</f>
        <v>0</v>
      </c>
      <c r="AL3024" s="28"/>
      <c r="AM3024" s="28" t="n">
        <f aca="false">AL3024*$M3024</f>
        <v>0</v>
      </c>
      <c r="AN3024" s="28"/>
      <c r="AO3024" s="28" t="n">
        <f aca="false">AN3024*$M3024</f>
        <v>0</v>
      </c>
      <c r="AP3024" s="28"/>
      <c r="AQ3024" s="28" t="n">
        <f aca="false">AP3024*$M3024</f>
        <v>0</v>
      </c>
      <c r="AR3024" s="28"/>
      <c r="AS3024" s="28" t="n">
        <f aca="false">AR3024*$M3024</f>
        <v>0</v>
      </c>
      <c r="AT3024" s="28"/>
      <c r="AU3024" s="28" t="n">
        <f aca="false">AT3024*$M3024</f>
        <v>0</v>
      </c>
      <c r="AV3024" s="28"/>
      <c r="AW3024" s="28" t="n">
        <f aca="false">AV3024*$M3024</f>
        <v>0</v>
      </c>
      <c r="AX3024" s="28"/>
      <c r="AY3024" s="28" t="n">
        <f aca="false">AX3024*$M3024</f>
        <v>0</v>
      </c>
      <c r="AZ3024" s="30" t="n">
        <v>262972</v>
      </c>
      <c r="BA3024" s="11" t="n">
        <v>18933984</v>
      </c>
      <c r="BB3024" s="31" t="n">
        <f aca="false">SUM(Q3024,S3024,U3024,W3024,Y3024,AA3024,AC3024,AE3024,AG3024,AI3024,AK3024,AM3024,AO3024,AQ3024,AS3024,AU3024,AW3024,AY3024)</f>
        <v>18933984</v>
      </c>
      <c r="BC3024" s="28" t="n">
        <f aca="false">BA3024-BB3024</f>
        <v>0</v>
      </c>
      <c r="BD3024" s="32" t="n">
        <f aca="false">SUM(P3024,R3024,T3024,V3024,X3024,Z3024,AB3024,AD3024,AF3024,AH3024,AJ3024,AL3024,AN3024,AP3024,AR3024,AT3024,AV3024,AX3024)</f>
        <v>262972</v>
      </c>
      <c r="BE3024" s="33" t="n">
        <f aca="false">AZ3024-BD3024</f>
        <v>0</v>
      </c>
      <c r="BF3024" s="34" t="n">
        <f aca="false">BD3024*M3024</f>
        <v>18933984</v>
      </c>
      <c r="BG3024" s="35" t="n">
        <f aca="false">BA3024-BF3024</f>
        <v>0</v>
      </c>
      <c r="BH3024" s="19" t="str">
        <f aca="false">IF(BG3024=0,"",IF(BG3024&lt;&gt;BA3024,"erreur de calcul",IF(BD3024&lt;&gt;0,"pas de prix",IF(M3024&lt;&gt; 0,"pas de quantité","pas de prix, ni de quantité"))))</f>
        <v/>
      </c>
      <c r="BI3024" s="19" t="s">
        <v>295</v>
      </c>
    </row>
    <row r="3025" customFormat="false" ht="15" hidden="false" customHeight="false" outlineLevel="0" collapsed="false">
      <c r="A3025" s="0" t="n">
        <v>7</v>
      </c>
      <c r="B3025" s="8" t="s">
        <v>24</v>
      </c>
      <c r="C3025" s="9" t="s">
        <v>25</v>
      </c>
      <c r="D3025" s="9" t="s">
        <v>26</v>
      </c>
      <c r="E3025" s="10" t="n">
        <v>1789</v>
      </c>
      <c r="F3025" s="9" t="s">
        <v>27</v>
      </c>
      <c r="G3025" s="9" t="s">
        <v>27</v>
      </c>
      <c r="H3025" s="11" t="n">
        <v>24</v>
      </c>
      <c r="I3025" s="11" t="s">
        <v>296</v>
      </c>
      <c r="J3025" s="14" t="n">
        <v>35</v>
      </c>
      <c r="K3025" s="14"/>
      <c r="L3025" s="16"/>
      <c r="M3025" s="27" t="n">
        <f aca="false">J3025+(K3025/20)+(L3025/240)</f>
        <v>35</v>
      </c>
      <c r="N3025" s="17" t="s">
        <v>64</v>
      </c>
      <c r="O3025" s="11" t="s">
        <v>98</v>
      </c>
      <c r="P3025" s="28"/>
      <c r="Q3025" s="28" t="n">
        <f aca="false">P3025*$M3025</f>
        <v>0</v>
      </c>
      <c r="R3025" s="28"/>
      <c r="S3025" s="28" t="n">
        <f aca="false">R3025*$M3025</f>
        <v>0</v>
      </c>
      <c r="T3025" s="28"/>
      <c r="U3025" s="28" t="n">
        <f aca="false">T3025*$M3025</f>
        <v>0</v>
      </c>
      <c r="V3025" s="28"/>
      <c r="W3025" s="28" t="n">
        <f aca="false">V3025*$M3025</f>
        <v>0</v>
      </c>
      <c r="X3025" s="28"/>
      <c r="Y3025" s="28" t="n">
        <f aca="false">X3025*$M3025</f>
        <v>0</v>
      </c>
      <c r="Z3025" s="28"/>
      <c r="AA3025" s="28" t="n">
        <f aca="false">Z3025*$M3025</f>
        <v>0</v>
      </c>
      <c r="AB3025" s="28"/>
      <c r="AC3025" s="28" t="n">
        <f aca="false">AB3025*$M3025</f>
        <v>0</v>
      </c>
      <c r="AD3025" s="28"/>
      <c r="AE3025" s="28" t="n">
        <f aca="false">AD3025*$M3025</f>
        <v>0</v>
      </c>
      <c r="AF3025" s="28"/>
      <c r="AG3025" s="28" t="n">
        <f aca="false">AF3025*$M3025</f>
        <v>0</v>
      </c>
      <c r="AH3025" s="28"/>
      <c r="AI3025" s="28" t="n">
        <f aca="false">AH3025*$M3025</f>
        <v>0</v>
      </c>
      <c r="AJ3025" s="28"/>
      <c r="AK3025" s="28" t="n">
        <f aca="false">AJ3025*$M3025</f>
        <v>0</v>
      </c>
      <c r="AL3025" s="28"/>
      <c r="AM3025" s="28" t="n">
        <f aca="false">AL3025*$M3025</f>
        <v>0</v>
      </c>
      <c r="AN3025" s="28"/>
      <c r="AO3025" s="28" t="n">
        <f aca="false">AN3025*$M3025</f>
        <v>0</v>
      </c>
      <c r="AP3025" s="28"/>
      <c r="AQ3025" s="28" t="n">
        <f aca="false">AP3025*$M3025</f>
        <v>0</v>
      </c>
      <c r="AR3025" s="28"/>
      <c r="AS3025" s="28" t="n">
        <f aca="false">AR3025*$M3025</f>
        <v>0</v>
      </c>
      <c r="AT3025" s="28"/>
      <c r="AU3025" s="28" t="n">
        <f aca="false">AT3025*$M3025</f>
        <v>0</v>
      </c>
      <c r="AV3025" s="28"/>
      <c r="AW3025" s="28" t="n">
        <f aca="false">AV3025*$M3025</f>
        <v>0</v>
      </c>
      <c r="AX3025" s="28"/>
      <c r="AY3025" s="28" t="n">
        <f aca="false">AX3025*$M3025</f>
        <v>0</v>
      </c>
      <c r="AZ3025" s="30"/>
      <c r="BA3025" s="11"/>
      <c r="BB3025" s="31" t="n">
        <f aca="false">SUM(Q3025,S3025,U3025,W3025,Y3025,AA3025,AC3025,AE3025,AG3025,AI3025,AK3025,AM3025,AO3025,AQ3025,AS3025,AU3025,AW3025,AY3025)</f>
        <v>0</v>
      </c>
      <c r="BC3025" s="28" t="n">
        <f aca="false">BA3025-BB3025</f>
        <v>0</v>
      </c>
      <c r="BD3025" s="32" t="n">
        <f aca="false">SUM(P3025,R3025,T3025,V3025,X3025,Z3025,AB3025,AD3025,AF3025,AH3025,AJ3025,AL3025,AN3025,AP3025,AR3025,AT3025,AV3025,AX3025)</f>
        <v>0</v>
      </c>
      <c r="BE3025" s="33" t="n">
        <f aca="false">AZ3025-BD3025</f>
        <v>0</v>
      </c>
      <c r="BF3025" s="34" t="n">
        <f aca="false">BD3025*M3025</f>
        <v>0</v>
      </c>
      <c r="BG3025" s="35" t="n">
        <f aca="false">BA3025-BF3025</f>
        <v>0</v>
      </c>
      <c r="BH3025" s="19" t="str">
        <f aca="false">IF(BG3025=0,"",IF(BG3025&lt;&gt;BA3025,"erreur de calcul",IF(BD3025&lt;&gt;0,"pas de prix",IF(M3025&lt;&gt; 0,"pas de quantité","pas de prix, ni de quantité"))))</f>
        <v/>
      </c>
      <c r="BI3025" s="19"/>
    </row>
    <row r="3026" customFormat="false" ht="15" hidden="false" customHeight="false" outlineLevel="0" collapsed="false">
      <c r="A3026" s="0" t="n">
        <v>8</v>
      </c>
      <c r="B3026" s="8" t="s">
        <v>24</v>
      </c>
      <c r="C3026" s="9" t="s">
        <v>25</v>
      </c>
      <c r="D3026" s="9" t="s">
        <v>26</v>
      </c>
      <c r="E3026" s="10" t="n">
        <v>1789</v>
      </c>
      <c r="F3026" s="9" t="s">
        <v>27</v>
      </c>
      <c r="G3026" s="9" t="s">
        <v>27</v>
      </c>
      <c r="H3026" s="11" t="n">
        <v>24</v>
      </c>
      <c r="I3026" s="11" t="s">
        <v>297</v>
      </c>
      <c r="J3026" s="14" t="n">
        <v>45</v>
      </c>
      <c r="K3026" s="14"/>
      <c r="L3026" s="16"/>
      <c r="M3026" s="27" t="n">
        <f aca="false">J3026+(K3026/20)+(L3026/240)</f>
        <v>45</v>
      </c>
      <c r="N3026" s="17" t="s">
        <v>64</v>
      </c>
      <c r="O3026" s="11"/>
      <c r="P3026" s="28"/>
      <c r="Q3026" s="28" t="n">
        <f aca="false">P3026*$M3026</f>
        <v>0</v>
      </c>
      <c r="R3026" s="28"/>
      <c r="S3026" s="28" t="n">
        <f aca="false">R3026*$M3026</f>
        <v>0</v>
      </c>
      <c r="T3026" s="28"/>
      <c r="U3026" s="28" t="n">
        <f aca="false">T3026*$M3026</f>
        <v>0</v>
      </c>
      <c r="V3026" s="28"/>
      <c r="W3026" s="28" t="n">
        <f aca="false">V3026*$M3026</f>
        <v>0</v>
      </c>
      <c r="X3026" s="28"/>
      <c r="Y3026" s="28" t="n">
        <f aca="false">X3026*$M3026</f>
        <v>0</v>
      </c>
      <c r="Z3026" s="28"/>
      <c r="AA3026" s="28" t="n">
        <f aca="false">Z3026*$M3026</f>
        <v>0</v>
      </c>
      <c r="AB3026" s="28"/>
      <c r="AC3026" s="28" t="n">
        <f aca="false">AB3026*$M3026</f>
        <v>0</v>
      </c>
      <c r="AD3026" s="28"/>
      <c r="AE3026" s="28" t="n">
        <f aca="false">AD3026*$M3026</f>
        <v>0</v>
      </c>
      <c r="AF3026" s="28"/>
      <c r="AG3026" s="28" t="n">
        <f aca="false">AF3026*$M3026</f>
        <v>0</v>
      </c>
      <c r="AH3026" s="28"/>
      <c r="AI3026" s="28" t="n">
        <f aca="false">AH3026*$M3026</f>
        <v>0</v>
      </c>
      <c r="AJ3026" s="28"/>
      <c r="AK3026" s="28" t="n">
        <f aca="false">AJ3026*$M3026</f>
        <v>0</v>
      </c>
      <c r="AL3026" s="28"/>
      <c r="AM3026" s="28" t="n">
        <f aca="false">AL3026*$M3026</f>
        <v>0</v>
      </c>
      <c r="AN3026" s="28"/>
      <c r="AO3026" s="28" t="n">
        <f aca="false">AN3026*$M3026</f>
        <v>0</v>
      </c>
      <c r="AP3026" s="28"/>
      <c r="AQ3026" s="28" t="n">
        <f aca="false">AP3026*$M3026</f>
        <v>0</v>
      </c>
      <c r="AR3026" s="28"/>
      <c r="AS3026" s="28" t="n">
        <f aca="false">AR3026*$M3026</f>
        <v>0</v>
      </c>
      <c r="AT3026" s="28"/>
      <c r="AU3026" s="28" t="n">
        <f aca="false">AT3026*$M3026</f>
        <v>0</v>
      </c>
      <c r="AV3026" s="28"/>
      <c r="AW3026" s="28" t="n">
        <f aca="false">AV3026*$M3026</f>
        <v>0</v>
      </c>
      <c r="AX3026" s="28" t="n">
        <f aca="false">44459/100</f>
        <v>444.59</v>
      </c>
      <c r="AY3026" s="28" t="n">
        <v>20006</v>
      </c>
      <c r="AZ3026" s="30" t="n">
        <f aca="false">44459/100</f>
        <v>444.59</v>
      </c>
      <c r="BA3026" s="11" t="n">
        <v>20006</v>
      </c>
      <c r="BB3026" s="31" t="n">
        <f aca="false">SUM(Q3026,S3026,U3026,W3026,Y3026,AA3026,AC3026,AE3026,AG3026,AI3026,AK3026,AM3026,AO3026,AQ3026,AS3026,AU3026,AW3026,AY3026)</f>
        <v>20006</v>
      </c>
      <c r="BC3026" s="28" t="n">
        <f aca="false">BA3026-BB3026</f>
        <v>0</v>
      </c>
      <c r="BD3026" s="32" t="n">
        <f aca="false">SUM(P3026,R3026,T3026,V3026,X3026,Z3026,AB3026,AD3026,AF3026,AH3026,AJ3026,AL3026,AN3026,AP3026,AR3026,AT3026,AV3026,AX3026)</f>
        <v>444.59</v>
      </c>
      <c r="BE3026" s="33" t="n">
        <f aca="false">AZ3026-BD3026</f>
        <v>0</v>
      </c>
      <c r="BF3026" s="34" t="n">
        <f aca="false">BD3026*M3026</f>
        <v>20006.55</v>
      </c>
      <c r="BG3026" s="35" t="n">
        <f aca="false">BA3026-BF3026</f>
        <v>-0.549999999999272</v>
      </c>
      <c r="BH3026" s="19" t="str">
        <f aca="false">IF(BG3026=0,"",IF(BG3026&lt;&gt;BA3026,"erreur de calcul",IF(BD3026&lt;&gt;0,"pas de prix",IF(M3026&lt;&gt; 0,"pas de quantité","pas de prix, ni de quantité"))))</f>
        <v>erreur de calcul</v>
      </c>
      <c r="BI3026" s="19"/>
    </row>
    <row r="3027" customFormat="false" ht="15" hidden="false" customHeight="false" outlineLevel="0" collapsed="false">
      <c r="A3027" s="0" t="n">
        <v>9</v>
      </c>
      <c r="B3027" s="8" t="s">
        <v>24</v>
      </c>
      <c r="C3027" s="9" t="s">
        <v>25</v>
      </c>
      <c r="D3027" s="9" t="s">
        <v>26</v>
      </c>
      <c r="E3027" s="10" t="n">
        <v>1789</v>
      </c>
      <c r="F3027" s="9" t="s">
        <v>27</v>
      </c>
      <c r="G3027" s="9" t="s">
        <v>27</v>
      </c>
      <c r="H3027" s="11" t="n">
        <v>24</v>
      </c>
      <c r="I3027" s="11" t="s">
        <v>298</v>
      </c>
      <c r="J3027" s="14" t="n">
        <v>550</v>
      </c>
      <c r="K3027" s="14"/>
      <c r="L3027" s="16"/>
      <c r="M3027" s="27" t="n">
        <f aca="false">J3027+(K3027/20)+(L3027/240)</f>
        <v>550</v>
      </c>
      <c r="N3027" s="17" t="s">
        <v>64</v>
      </c>
      <c r="O3027" s="11"/>
      <c r="P3027" s="28"/>
      <c r="Q3027" s="28" t="n">
        <f aca="false">P3027*$M3027</f>
        <v>0</v>
      </c>
      <c r="R3027" s="28"/>
      <c r="S3027" s="28" t="n">
        <f aca="false">R3027*$M3027</f>
        <v>0</v>
      </c>
      <c r="T3027" s="28"/>
      <c r="U3027" s="28" t="n">
        <f aca="false">T3027*$M3027</f>
        <v>0</v>
      </c>
      <c r="V3027" s="28"/>
      <c r="W3027" s="28" t="n">
        <f aca="false">V3027*$M3027</f>
        <v>0</v>
      </c>
      <c r="X3027" s="28"/>
      <c r="Y3027" s="28" t="n">
        <f aca="false">X3027*$M3027</f>
        <v>0</v>
      </c>
      <c r="Z3027" s="28"/>
      <c r="AA3027" s="28" t="n">
        <f aca="false">Z3027*$M3027</f>
        <v>0</v>
      </c>
      <c r="AB3027" s="28"/>
      <c r="AC3027" s="28" t="n">
        <f aca="false">AB3027*$M3027</f>
        <v>0</v>
      </c>
      <c r="AD3027" s="28"/>
      <c r="AE3027" s="28" t="n">
        <f aca="false">AD3027*$M3027</f>
        <v>0</v>
      </c>
      <c r="AF3027" s="28" t="n">
        <f aca="false">200/100</f>
        <v>2</v>
      </c>
      <c r="AG3027" s="28" t="n">
        <v>1100</v>
      </c>
      <c r="AH3027" s="28"/>
      <c r="AI3027" s="28" t="n">
        <f aca="false">AH3027*$M3027</f>
        <v>0</v>
      </c>
      <c r="AJ3027" s="28"/>
      <c r="AK3027" s="28" t="n">
        <f aca="false">AJ3027*$M3027</f>
        <v>0</v>
      </c>
      <c r="AL3027" s="28"/>
      <c r="AM3027" s="28" t="n">
        <f aca="false">AL3027*$M3027</f>
        <v>0</v>
      </c>
      <c r="AN3027" s="28"/>
      <c r="AO3027" s="28" t="n">
        <f aca="false">AN3027*$M3027</f>
        <v>0</v>
      </c>
      <c r="AP3027" s="28"/>
      <c r="AQ3027" s="28" t="n">
        <f aca="false">AP3027*$M3027</f>
        <v>0</v>
      </c>
      <c r="AR3027" s="28"/>
      <c r="AS3027" s="28" t="n">
        <f aca="false">AR3027*$M3027</f>
        <v>0</v>
      </c>
      <c r="AT3027" s="28"/>
      <c r="AU3027" s="28" t="n">
        <f aca="false">AT3027*$M3027</f>
        <v>0</v>
      </c>
      <c r="AV3027" s="28"/>
      <c r="AW3027" s="28" t="n">
        <f aca="false">AV3027*$M3027</f>
        <v>0</v>
      </c>
      <c r="AX3027" s="28"/>
      <c r="AY3027" s="28" t="n">
        <f aca="false">AX3027*$M3027</f>
        <v>0</v>
      </c>
      <c r="AZ3027" s="30" t="n">
        <f aca="false">200/100</f>
        <v>2</v>
      </c>
      <c r="BA3027" s="11" t="n">
        <v>1100</v>
      </c>
      <c r="BB3027" s="31" t="n">
        <f aca="false">SUM(Q3027,S3027,U3027,W3027,Y3027,AA3027,AC3027,AE3027,AG3027,AI3027,AK3027,AM3027,AO3027,AQ3027,AS3027,AU3027,AW3027,AY3027)</f>
        <v>1100</v>
      </c>
      <c r="BC3027" s="28" t="n">
        <f aca="false">BA3027-BB3027</f>
        <v>0</v>
      </c>
      <c r="BD3027" s="32" t="n">
        <f aca="false">SUM(P3027,R3027,T3027,V3027,X3027,Z3027,AB3027,AD3027,AF3027,AH3027,AJ3027,AL3027,AN3027,AP3027,AR3027,AT3027,AV3027,AX3027)</f>
        <v>2</v>
      </c>
      <c r="BE3027" s="33" t="n">
        <f aca="false">AZ3027-BD3027</f>
        <v>0</v>
      </c>
      <c r="BF3027" s="34" t="n">
        <f aca="false">BD3027*M3027</f>
        <v>1100</v>
      </c>
      <c r="BG3027" s="35" t="n">
        <f aca="false">BA3027-BF3027</f>
        <v>0</v>
      </c>
      <c r="BH3027" s="19" t="str">
        <f aca="false">IF(BG3027=0,"",IF(BG3027&lt;&gt;BA3027,"erreur de calcul",IF(BD3027&lt;&gt;0,"pas de prix",IF(M3027&lt;&gt; 0,"pas de quantité","pas de prix, ni de quantité"))))</f>
        <v/>
      </c>
      <c r="BI3027" s="19"/>
    </row>
    <row r="3028" customFormat="false" ht="15" hidden="false" customHeight="false" outlineLevel="0" collapsed="false">
      <c r="A3028" s="0" t="n">
        <v>10</v>
      </c>
      <c r="B3028" s="8" t="s">
        <v>24</v>
      </c>
      <c r="C3028" s="9" t="s">
        <v>25</v>
      </c>
      <c r="D3028" s="9" t="s">
        <v>26</v>
      </c>
      <c r="E3028" s="10" t="n">
        <v>1789</v>
      </c>
      <c r="F3028" s="9" t="s">
        <v>27</v>
      </c>
      <c r="G3028" s="9" t="s">
        <v>27</v>
      </c>
      <c r="H3028" s="11" t="n">
        <v>24</v>
      </c>
      <c r="I3028" s="11" t="s">
        <v>299</v>
      </c>
      <c r="J3028" s="14" t="n">
        <v>16</v>
      </c>
      <c r="K3028" s="14"/>
      <c r="L3028" s="16"/>
      <c r="M3028" s="27" t="n">
        <f aca="false">J3028+(K3028/20)+(L3028/240)</f>
        <v>16</v>
      </c>
      <c r="N3028" s="17" t="s">
        <v>64</v>
      </c>
      <c r="O3028" s="11"/>
      <c r="P3028" s="28" t="n">
        <f aca="false">20*288*0.02+252*0.02</f>
        <v>120.24</v>
      </c>
      <c r="Q3028" s="28" t="n">
        <v>1924</v>
      </c>
      <c r="R3028" s="28"/>
      <c r="S3028" s="28" t="n">
        <f aca="false">R3028*$M3028</f>
        <v>0</v>
      </c>
      <c r="T3028" s="28"/>
      <c r="U3028" s="28" t="n">
        <f aca="false">T3028*$M3028</f>
        <v>0</v>
      </c>
      <c r="V3028" s="28" t="n">
        <f aca="false">16*288*0.02+15*0.02</f>
        <v>92.46</v>
      </c>
      <c r="W3028" s="28" t="n">
        <v>1479</v>
      </c>
      <c r="X3028" s="28" t="n">
        <f aca="false">25*288*0.02+152*0.02</f>
        <v>147.04</v>
      </c>
      <c r="Y3028" s="28" t="n">
        <v>2353</v>
      </c>
      <c r="Z3028" s="28"/>
      <c r="AA3028" s="28" t="n">
        <f aca="false">Z3028*$M3028</f>
        <v>0</v>
      </c>
      <c r="AB3028" s="28" t="n">
        <f aca="false">127*288*0.02+236*0.02</f>
        <v>736.24</v>
      </c>
      <c r="AC3028" s="28" t="n">
        <v>11780</v>
      </c>
      <c r="AD3028" s="28"/>
      <c r="AE3028" s="28" t="n">
        <f aca="false">AD3028*$M3028</f>
        <v>0</v>
      </c>
      <c r="AF3028" s="28"/>
      <c r="AG3028" s="28" t="n">
        <f aca="false">AF3028*$M3028</f>
        <v>0</v>
      </c>
      <c r="AH3028" s="28"/>
      <c r="AI3028" s="28" t="n">
        <f aca="false">AH3028*$M3028</f>
        <v>0</v>
      </c>
      <c r="AJ3028" s="28"/>
      <c r="AK3028" s="28" t="n">
        <f aca="false">AJ3028*$M3028</f>
        <v>0</v>
      </c>
      <c r="AL3028" s="28"/>
      <c r="AM3028" s="28" t="n">
        <f aca="false">AL3028*$M3028</f>
        <v>0</v>
      </c>
      <c r="AN3028" s="28"/>
      <c r="AO3028" s="28" t="n">
        <f aca="false">AN3028*$M3028</f>
        <v>0</v>
      </c>
      <c r="AP3028" s="28"/>
      <c r="AQ3028" s="28" t="n">
        <f aca="false">AP3028*$M3028</f>
        <v>0</v>
      </c>
      <c r="AR3028" s="28"/>
      <c r="AS3028" s="28" t="n">
        <f aca="false">AR3028*$M3028</f>
        <v>0</v>
      </c>
      <c r="AT3028" s="28"/>
      <c r="AU3028" s="28" t="n">
        <f aca="false">AT3028*$M3028</f>
        <v>0</v>
      </c>
      <c r="AV3028" s="28"/>
      <c r="AW3028" s="28" t="n">
        <f aca="false">AV3028*$M3028</f>
        <v>0</v>
      </c>
      <c r="AX3028" s="28"/>
      <c r="AY3028" s="28" t="n">
        <f aca="false">AX3028*$M3028</f>
        <v>0</v>
      </c>
      <c r="AZ3028" s="30" t="n">
        <f aca="false">190*288*0.02+82*0.02</f>
        <v>1096.04</v>
      </c>
      <c r="BA3028" s="11" t="n">
        <v>17536</v>
      </c>
      <c r="BB3028" s="31" t="n">
        <f aca="false">SUM(Q3028,S3028,U3028,W3028,Y3028,AA3028,AC3028,AE3028,AG3028,AI3028,AK3028,AM3028,AO3028,AQ3028,AS3028,AU3028,AW3028,AY3028)</f>
        <v>17536</v>
      </c>
      <c r="BC3028" s="28" t="n">
        <f aca="false">BA3028-BB3028</f>
        <v>0</v>
      </c>
      <c r="BD3028" s="32" t="n">
        <f aca="false">SUM(P3028,R3028,T3028,V3028,X3028,Z3028,AB3028,AD3028,AF3028,AH3028,AJ3028,AL3028,AN3028,AP3028,AR3028,AT3028,AV3028,AX3028)</f>
        <v>1095.98</v>
      </c>
      <c r="BE3028" s="33" t="n">
        <f aca="false">AZ3028-BD3028</f>
        <v>0.0600000000001728</v>
      </c>
      <c r="BF3028" s="34" t="n">
        <f aca="false">BD3028*M3028</f>
        <v>17535.68</v>
      </c>
      <c r="BG3028" s="35" t="n">
        <f aca="false">BA3028-BF3028</f>
        <v>0.319999999999709</v>
      </c>
      <c r="BH3028" s="19" t="str">
        <f aca="false">IF(BG3028=0,"",IF(BG3028&lt;&gt;BA3028,"erreur de calcul",IF(BD3028&lt;&gt;0,"pas de prix",IF(M3028&lt;&gt; 0,"pas de quantité","pas de prix, ni de quantité"))))</f>
        <v>erreur de calcul</v>
      </c>
      <c r="BI3028" s="19"/>
    </row>
    <row r="3029" customFormat="false" ht="15" hidden="false" customHeight="false" outlineLevel="0" collapsed="false">
      <c r="A3029" s="0" t="n">
        <v>11</v>
      </c>
      <c r="B3029" s="8" t="s">
        <v>24</v>
      </c>
      <c r="C3029" s="9" t="s">
        <v>25</v>
      </c>
      <c r="D3029" s="9" t="s">
        <v>26</v>
      </c>
      <c r="E3029" s="10" t="n">
        <v>1789</v>
      </c>
      <c r="F3029" s="9" t="s">
        <v>27</v>
      </c>
      <c r="G3029" s="9" t="s">
        <v>27</v>
      </c>
      <c r="H3029" s="11" t="n">
        <v>24</v>
      </c>
      <c r="I3029" s="11" t="s">
        <v>300</v>
      </c>
      <c r="J3029" s="14" t="n">
        <v>360</v>
      </c>
      <c r="K3029" s="14"/>
      <c r="L3029" s="16"/>
      <c r="M3029" s="27" t="n">
        <f aca="false">J3029+(K3029/20)+(L3029/240)</f>
        <v>360</v>
      </c>
      <c r="N3029" s="17" t="s">
        <v>64</v>
      </c>
      <c r="O3029" s="11"/>
      <c r="P3029" s="28"/>
      <c r="Q3029" s="28" t="n">
        <f aca="false">P3029*$M3029</f>
        <v>0</v>
      </c>
      <c r="R3029" s="28"/>
      <c r="S3029" s="28" t="n">
        <f aca="false">R3029*$M3029</f>
        <v>0</v>
      </c>
      <c r="T3029" s="28"/>
      <c r="U3029" s="28" t="n">
        <f aca="false">T3029*$M3029</f>
        <v>0</v>
      </c>
      <c r="V3029" s="28"/>
      <c r="W3029" s="28" t="n">
        <f aca="false">V3029*$M3029</f>
        <v>0</v>
      </c>
      <c r="X3029" s="28"/>
      <c r="Y3029" s="28" t="n">
        <f aca="false">X3029*$M3029</f>
        <v>0</v>
      </c>
      <c r="Z3029" s="28"/>
      <c r="AA3029" s="28" t="n">
        <f aca="false">Z3029*$M3029</f>
        <v>0</v>
      </c>
      <c r="AB3029" s="28"/>
      <c r="AC3029" s="28" t="n">
        <f aca="false">AB3029*$M3029</f>
        <v>0</v>
      </c>
      <c r="AD3029" s="28"/>
      <c r="AE3029" s="28" t="n">
        <f aca="false">AD3029*$M3029</f>
        <v>0</v>
      </c>
      <c r="AF3029" s="28"/>
      <c r="AG3029" s="28" t="n">
        <f aca="false">AF3029*$M3029</f>
        <v>0</v>
      </c>
      <c r="AH3029" s="28" t="n">
        <f aca="false">371073/100</f>
        <v>3710.73</v>
      </c>
      <c r="AI3029" s="28" t="n">
        <v>1335863</v>
      </c>
      <c r="AJ3029" s="28"/>
      <c r="AK3029" s="28" t="n">
        <f aca="false">AJ3029*$M3029</f>
        <v>0</v>
      </c>
      <c r="AL3029" s="28"/>
      <c r="AM3029" s="28" t="n">
        <f aca="false">AL3029*$M3029</f>
        <v>0</v>
      </c>
      <c r="AN3029" s="28"/>
      <c r="AO3029" s="28" t="n">
        <f aca="false">AN3029*$M3029</f>
        <v>0</v>
      </c>
      <c r="AP3029" s="28"/>
      <c r="AQ3029" s="28" t="n">
        <f aca="false">AP3029*$M3029</f>
        <v>0</v>
      </c>
      <c r="AR3029" s="28"/>
      <c r="AS3029" s="28" t="n">
        <f aca="false">AR3029*$M3029</f>
        <v>0</v>
      </c>
      <c r="AT3029" s="28"/>
      <c r="AU3029" s="28" t="n">
        <f aca="false">AT3029*$M3029</f>
        <v>0</v>
      </c>
      <c r="AV3029" s="28"/>
      <c r="AW3029" s="28" t="n">
        <f aca="false">AV3029*$M3029</f>
        <v>0</v>
      </c>
      <c r="AX3029" s="28"/>
      <c r="AY3029" s="28" t="n">
        <f aca="false">AX3029*$M3029</f>
        <v>0</v>
      </c>
      <c r="AZ3029" s="30" t="n">
        <f aca="false">371073/100</f>
        <v>3710.73</v>
      </c>
      <c r="BA3029" s="11" t="n">
        <v>1335863</v>
      </c>
      <c r="BB3029" s="31" t="n">
        <f aca="false">SUM(Q3029,S3029,U3029,W3029,Y3029,AA3029,AC3029,AE3029,AG3029,AI3029,AK3029,AM3029,AO3029,AQ3029,AS3029,AU3029,AW3029,AY3029)</f>
        <v>1335863</v>
      </c>
      <c r="BC3029" s="28" t="n">
        <f aca="false">BA3029-BB3029</f>
        <v>0</v>
      </c>
      <c r="BD3029" s="32" t="n">
        <f aca="false">SUM(P3029,R3029,T3029,V3029,X3029,Z3029,AB3029,AD3029,AF3029,AH3029,AJ3029,AL3029,AN3029,AP3029,AR3029,AT3029,AV3029,AX3029)</f>
        <v>3710.73</v>
      </c>
      <c r="BE3029" s="33" t="n">
        <f aca="false">AZ3029-BD3029</f>
        <v>0</v>
      </c>
      <c r="BF3029" s="34" t="n">
        <f aca="false">BD3029*M3029</f>
        <v>1335862.8</v>
      </c>
      <c r="BG3029" s="35" t="n">
        <f aca="false">BA3029-BF3029</f>
        <v>0.199999999953434</v>
      </c>
      <c r="BH3029" s="19" t="str">
        <f aca="false">IF(BG3029=0,"",IF(BG3029&lt;&gt;BA3029,"erreur de calcul",IF(BD3029&lt;&gt;0,"pas de prix",IF(M3029&lt;&gt; 0,"pas de quantité","pas de prix, ni de quantité"))))</f>
        <v>erreur de calcul</v>
      </c>
      <c r="BI3029" s="19"/>
    </row>
    <row r="3030" customFormat="false" ht="15" hidden="false" customHeight="false" outlineLevel="0" collapsed="false">
      <c r="A3030" s="0" t="n">
        <v>12</v>
      </c>
      <c r="B3030" s="8" t="s">
        <v>24</v>
      </c>
      <c r="C3030" s="9" t="s">
        <v>25</v>
      </c>
      <c r="D3030" s="9" t="s">
        <v>26</v>
      </c>
      <c r="E3030" s="10" t="n">
        <v>1789</v>
      </c>
      <c r="F3030" s="9" t="s">
        <v>27</v>
      </c>
      <c r="G3030" s="9" t="s">
        <v>27</v>
      </c>
      <c r="H3030" s="11" t="n">
        <v>24</v>
      </c>
      <c r="I3030" s="11" t="s">
        <v>301</v>
      </c>
      <c r="J3030" s="14" t="n">
        <v>3</v>
      </c>
      <c r="K3030" s="14"/>
      <c r="L3030" s="16"/>
      <c r="M3030" s="27" t="n">
        <f aca="false">J3030+(K3030/20)+(L3030/240)</f>
        <v>3</v>
      </c>
      <c r="N3030" s="17" t="s">
        <v>66</v>
      </c>
      <c r="O3030" s="11"/>
      <c r="P3030" s="28"/>
      <c r="Q3030" s="28" t="n">
        <f aca="false">P3030*$M3030</f>
        <v>0</v>
      </c>
      <c r="R3030" s="28"/>
      <c r="S3030" s="28" t="n">
        <f aca="false">R3030*$M3030</f>
        <v>0</v>
      </c>
      <c r="T3030" s="28"/>
      <c r="U3030" s="28" t="n">
        <f aca="false">T3030*$M3030</f>
        <v>0</v>
      </c>
      <c r="V3030" s="28"/>
      <c r="W3030" s="28" t="n">
        <f aca="false">V3030*$M3030</f>
        <v>0</v>
      </c>
      <c r="X3030" s="28"/>
      <c r="Y3030" s="28" t="n">
        <f aca="false">X3030*$M3030</f>
        <v>0</v>
      </c>
      <c r="Z3030" s="28"/>
      <c r="AA3030" s="28" t="n">
        <f aca="false">Z3030*$M3030</f>
        <v>0</v>
      </c>
      <c r="AB3030" s="28"/>
      <c r="AC3030" s="28" t="n">
        <f aca="false">AB3030*$M3030</f>
        <v>0</v>
      </c>
      <c r="AD3030" s="28"/>
      <c r="AE3030" s="28" t="n">
        <f aca="false">AD3030*$M3030</f>
        <v>0</v>
      </c>
      <c r="AF3030" s="28"/>
      <c r="AG3030" s="28" t="n">
        <f aca="false">AF3030*$M3030</f>
        <v>0</v>
      </c>
      <c r="AH3030" s="28" t="n">
        <v>19281</v>
      </c>
      <c r="AI3030" s="28" t="n">
        <v>57843</v>
      </c>
      <c r="AJ3030" s="28"/>
      <c r="AK3030" s="28" t="n">
        <f aca="false">AJ3030*$M3030</f>
        <v>0</v>
      </c>
      <c r="AL3030" s="28"/>
      <c r="AM3030" s="28" t="n">
        <f aca="false">AL3030*$M3030</f>
        <v>0</v>
      </c>
      <c r="AN3030" s="28"/>
      <c r="AO3030" s="28" t="n">
        <f aca="false">AN3030*$M3030</f>
        <v>0</v>
      </c>
      <c r="AP3030" s="28"/>
      <c r="AQ3030" s="28" t="n">
        <f aca="false">AP3030*$M3030</f>
        <v>0</v>
      </c>
      <c r="AR3030" s="28"/>
      <c r="AS3030" s="28" t="n">
        <f aca="false">AR3030*$M3030</f>
        <v>0</v>
      </c>
      <c r="AT3030" s="28"/>
      <c r="AU3030" s="28" t="n">
        <f aca="false">AT3030*$M3030</f>
        <v>0</v>
      </c>
      <c r="AV3030" s="28"/>
      <c r="AW3030" s="28" t="n">
        <f aca="false">AV3030*$M3030</f>
        <v>0</v>
      </c>
      <c r="AX3030" s="28"/>
      <c r="AY3030" s="28" t="n">
        <f aca="false">AX3030*$M3030</f>
        <v>0</v>
      </c>
      <c r="AZ3030" s="30" t="n">
        <v>19281</v>
      </c>
      <c r="BA3030" s="11" t="n">
        <v>57843</v>
      </c>
      <c r="BB3030" s="31" t="n">
        <f aca="false">SUM(Q3030,S3030,U3030,W3030,Y3030,AA3030,AC3030,AE3030,AG3030,AI3030,AK3030,AM3030,AO3030,AQ3030,AS3030,AU3030,AW3030,AY3030)</f>
        <v>57843</v>
      </c>
      <c r="BC3030" s="28" t="n">
        <f aca="false">BA3030-BB3030</f>
        <v>0</v>
      </c>
      <c r="BD3030" s="32" t="n">
        <f aca="false">SUM(P3030,R3030,T3030,V3030,X3030,Z3030,AB3030,AD3030,AF3030,AH3030,AJ3030,AL3030,AN3030,AP3030,AR3030,AT3030,AV3030,AX3030)</f>
        <v>19281</v>
      </c>
      <c r="BE3030" s="33" t="n">
        <f aca="false">AZ3030-BD3030</f>
        <v>0</v>
      </c>
      <c r="BF3030" s="34" t="n">
        <f aca="false">BD3030*M3030</f>
        <v>57843</v>
      </c>
      <c r="BG3030" s="35" t="n">
        <f aca="false">BA3030-BF3030</f>
        <v>0</v>
      </c>
      <c r="BH3030" s="19" t="str">
        <f aca="false">IF(BG3030=0,"",IF(BG3030&lt;&gt;BA3030,"erreur de calcul",IF(BD3030&lt;&gt;0,"pas de prix",IF(M3030&lt;&gt; 0,"pas de quantité","pas de prix, ni de quantité"))))</f>
        <v/>
      </c>
      <c r="BI3030" s="19"/>
    </row>
    <row r="3031" customFormat="false" ht="15" hidden="false" customHeight="false" outlineLevel="0" collapsed="false">
      <c r="A3031" s="0" t="n">
        <v>13</v>
      </c>
      <c r="B3031" s="8" t="s">
        <v>24</v>
      </c>
      <c r="C3031" s="9" t="s">
        <v>25</v>
      </c>
      <c r="D3031" s="9" t="s">
        <v>26</v>
      </c>
      <c r="E3031" s="10" t="n">
        <v>1789</v>
      </c>
      <c r="F3031" s="9" t="s">
        <v>27</v>
      </c>
      <c r="G3031" s="9" t="s">
        <v>27</v>
      </c>
      <c r="H3031" s="11" t="n">
        <v>24</v>
      </c>
      <c r="I3031" s="11" t="s">
        <v>302</v>
      </c>
      <c r="J3031" s="14" t="n">
        <v>112</v>
      </c>
      <c r="K3031" s="14"/>
      <c r="L3031" s="16"/>
      <c r="M3031" s="27" t="n">
        <f aca="false">J3031+(K3031/20)+(L3031/240)</f>
        <v>112</v>
      </c>
      <c r="N3031" s="17" t="s">
        <v>64</v>
      </c>
      <c r="O3031" s="11"/>
      <c r="P3031" s="28" t="n">
        <f aca="false">99503/100</f>
        <v>995.03</v>
      </c>
      <c r="Q3031" s="28" t="n">
        <v>111443</v>
      </c>
      <c r="R3031" s="28"/>
      <c r="S3031" s="28" t="n">
        <f aca="false">R3031*$M3031</f>
        <v>0</v>
      </c>
      <c r="T3031" s="28" t="n">
        <f aca="false">8445/100</f>
        <v>84.45</v>
      </c>
      <c r="U3031" s="28" t="n">
        <v>9458</v>
      </c>
      <c r="V3031" s="28" t="n">
        <f aca="false">2517/100</f>
        <v>25.17</v>
      </c>
      <c r="W3031" s="28" t="n">
        <v>2819</v>
      </c>
      <c r="X3031" s="28" t="n">
        <f aca="false">4729/100</f>
        <v>47.29</v>
      </c>
      <c r="Y3031" s="28" t="n">
        <v>5296</v>
      </c>
      <c r="Z3031" s="28" t="n">
        <f aca="false">198115/100</f>
        <v>1981.15</v>
      </c>
      <c r="AA3031" s="28" t="n">
        <v>221889</v>
      </c>
      <c r="AB3031" s="28"/>
      <c r="AC3031" s="28" t="n">
        <f aca="false">AB3031*$M3031</f>
        <v>0</v>
      </c>
      <c r="AD3031" s="28"/>
      <c r="AE3031" s="28" t="n">
        <f aca="false">AD3031*$M3031</f>
        <v>0</v>
      </c>
      <c r="AF3031" s="28" t="n">
        <f aca="false">67420/100</f>
        <v>674.2</v>
      </c>
      <c r="AG3031" s="28" t="n">
        <v>75510</v>
      </c>
      <c r="AH3031" s="28" t="n">
        <f aca="false">415806/100</f>
        <v>4158.06</v>
      </c>
      <c r="AI3031" s="28" t="n">
        <v>465703</v>
      </c>
      <c r="AJ3031" s="28"/>
      <c r="AK3031" s="28" t="n">
        <f aca="false">AJ3031*$M3031</f>
        <v>0</v>
      </c>
      <c r="AL3031" s="28" t="n">
        <f aca="false">324/100</f>
        <v>3.24</v>
      </c>
      <c r="AM3031" s="28" t="n">
        <v>363</v>
      </c>
      <c r="AN3031" s="28"/>
      <c r="AO3031" s="28" t="n">
        <f aca="false">AN3031*$M3031</f>
        <v>0</v>
      </c>
      <c r="AP3031" s="28"/>
      <c r="AQ3031" s="28" t="n">
        <f aca="false">AP3031*$M3031</f>
        <v>0</v>
      </c>
      <c r="AR3031" s="28"/>
      <c r="AS3031" s="28" t="n">
        <f aca="false">AR3031*$M3031</f>
        <v>0</v>
      </c>
      <c r="AT3031" s="28"/>
      <c r="AU3031" s="28" t="n">
        <f aca="false">AT3031*$M3031</f>
        <v>0</v>
      </c>
      <c r="AV3031" s="28"/>
      <c r="AW3031" s="28" t="n">
        <f aca="false">AV3031*$M3031</f>
        <v>0</v>
      </c>
      <c r="AX3031" s="28"/>
      <c r="AY3031" s="28" t="n">
        <f aca="false">AX3031*$M3031</f>
        <v>0</v>
      </c>
      <c r="AZ3031" s="30" t="n">
        <f aca="false">796859/100</f>
        <v>7968.59</v>
      </c>
      <c r="BA3031" s="11" t="n">
        <v>892481</v>
      </c>
      <c r="BB3031" s="31" t="n">
        <f aca="false">SUM(Q3031,S3031,U3031,W3031,Y3031,AA3031,AC3031,AE3031,AG3031,AI3031,AK3031,AM3031,AO3031,AQ3031,AS3031,AU3031,AW3031,AY3031)</f>
        <v>892481</v>
      </c>
      <c r="BC3031" s="28" t="n">
        <f aca="false">BA3031-BB3031</f>
        <v>0</v>
      </c>
      <c r="BD3031" s="32" t="n">
        <f aca="false">SUM(P3031,R3031,T3031,V3031,X3031,Z3031,AB3031,AD3031,AF3031,AH3031,AJ3031,AL3031,AN3031,AP3031,AR3031,AT3031,AV3031,AX3031)</f>
        <v>7968.59</v>
      </c>
      <c r="BE3031" s="33" t="n">
        <f aca="false">AZ3031-BD3031</f>
        <v>0</v>
      </c>
      <c r="BF3031" s="34" t="n">
        <f aca="false">BD3031*M3031</f>
        <v>892482.08</v>
      </c>
      <c r="BG3031" s="35" t="n">
        <f aca="false">BA3031-BF3031</f>
        <v>-1.07999999995809</v>
      </c>
      <c r="BH3031" s="19" t="str">
        <f aca="false">IF(BG3031=0,"",IF(BG3031&lt;&gt;BA3031,"erreur de calcul",IF(BD3031&lt;&gt;0,"pas de prix",IF(M3031&lt;&gt; 0,"pas de quantité","pas de prix, ni de quantité"))))</f>
        <v>erreur de calcul</v>
      </c>
      <c r="BI3031" s="19"/>
    </row>
    <row r="3032" customFormat="false" ht="15" hidden="false" customHeight="false" outlineLevel="0" collapsed="false">
      <c r="A3032" s="0" t="n">
        <v>14</v>
      </c>
      <c r="B3032" s="8" t="s">
        <v>24</v>
      </c>
      <c r="C3032" s="9" t="s">
        <v>25</v>
      </c>
      <c r="D3032" s="9" t="s">
        <v>26</v>
      </c>
      <c r="E3032" s="10" t="n">
        <v>1789</v>
      </c>
      <c r="F3032" s="9" t="s">
        <v>27</v>
      </c>
      <c r="G3032" s="9" t="s">
        <v>27</v>
      </c>
      <c r="H3032" s="11" t="n">
        <v>24</v>
      </c>
      <c r="I3032" s="11" t="s">
        <v>303</v>
      </c>
      <c r="J3032" s="14" t="n">
        <v>50</v>
      </c>
      <c r="K3032" s="14"/>
      <c r="L3032" s="16"/>
      <c r="M3032" s="27" t="n">
        <f aca="false">J3032+(K3032/20)+(L3032/240)</f>
        <v>50</v>
      </c>
      <c r="N3032" s="17" t="s">
        <v>64</v>
      </c>
      <c r="O3032" s="11"/>
      <c r="P3032" s="28"/>
      <c r="Q3032" s="28" t="n">
        <f aca="false">P3032*$M3032</f>
        <v>0</v>
      </c>
      <c r="R3032" s="28"/>
      <c r="S3032" s="28" t="n">
        <f aca="false">R3032*$M3032</f>
        <v>0</v>
      </c>
      <c r="T3032" s="28"/>
      <c r="U3032" s="28" t="n">
        <f aca="false">T3032*$M3032</f>
        <v>0</v>
      </c>
      <c r="V3032" s="28"/>
      <c r="W3032" s="28" t="n">
        <f aca="false">V3032*$M3032</f>
        <v>0</v>
      </c>
      <c r="X3032" s="28"/>
      <c r="Y3032" s="28" t="n">
        <f aca="false">X3032*$M3032</f>
        <v>0</v>
      </c>
      <c r="Z3032" s="28"/>
      <c r="AA3032" s="28" t="n">
        <f aca="false">Z3032*$M3032</f>
        <v>0</v>
      </c>
      <c r="AB3032" s="28"/>
      <c r="AC3032" s="28" t="n">
        <f aca="false">AB3032*$M3032</f>
        <v>0</v>
      </c>
      <c r="AD3032" s="28"/>
      <c r="AE3032" s="28" t="n">
        <f aca="false">AD3032*$M3032</f>
        <v>0</v>
      </c>
      <c r="AF3032" s="28" t="n">
        <f aca="false">208461/100</f>
        <v>2084.61</v>
      </c>
      <c r="AG3032" s="28" t="n">
        <v>104230</v>
      </c>
      <c r="AH3032" s="28" t="n">
        <f aca="false">757624/100</f>
        <v>7576.24</v>
      </c>
      <c r="AI3032" s="28" t="n">
        <v>378812</v>
      </c>
      <c r="AJ3032" s="28"/>
      <c r="AK3032" s="28" t="n">
        <f aca="false">AJ3032*$M3032</f>
        <v>0</v>
      </c>
      <c r="AL3032" s="28"/>
      <c r="AM3032" s="28" t="n">
        <f aca="false">AL3032*$M3032</f>
        <v>0</v>
      </c>
      <c r="AN3032" s="28"/>
      <c r="AO3032" s="28" t="n">
        <f aca="false">AN3032*$M3032</f>
        <v>0</v>
      </c>
      <c r="AP3032" s="28"/>
      <c r="AQ3032" s="28" t="n">
        <f aca="false">AP3032*$M3032</f>
        <v>0</v>
      </c>
      <c r="AR3032" s="28"/>
      <c r="AS3032" s="28" t="n">
        <f aca="false">AR3032*$M3032</f>
        <v>0</v>
      </c>
      <c r="AT3032" s="28"/>
      <c r="AU3032" s="28" t="n">
        <f aca="false">AT3032*$M3032</f>
        <v>0</v>
      </c>
      <c r="AV3032" s="28"/>
      <c r="AW3032" s="28" t="n">
        <f aca="false">AV3032*$M3032</f>
        <v>0</v>
      </c>
      <c r="AX3032" s="28"/>
      <c r="AY3032" s="28" t="n">
        <f aca="false">AX3032*$M3032</f>
        <v>0</v>
      </c>
      <c r="AZ3032" s="30" t="n">
        <f aca="false">966085/100</f>
        <v>9660.85</v>
      </c>
      <c r="BA3032" s="11" t="n">
        <v>483042</v>
      </c>
      <c r="BB3032" s="31" t="n">
        <f aca="false">SUM(Q3032,S3032,U3032,W3032,Y3032,AA3032,AC3032,AE3032,AG3032,AI3032,AK3032,AM3032,AO3032,AQ3032,AS3032,AU3032,AW3032,AY3032)</f>
        <v>483042</v>
      </c>
      <c r="BC3032" s="28" t="n">
        <f aca="false">BA3032-BB3032</f>
        <v>0</v>
      </c>
      <c r="BD3032" s="32" t="n">
        <f aca="false">SUM(P3032,R3032,T3032,V3032,X3032,Z3032,AB3032,AD3032,AF3032,AH3032,AJ3032,AL3032,AN3032,AP3032,AR3032,AT3032,AV3032,AX3032)</f>
        <v>9660.85</v>
      </c>
      <c r="BE3032" s="33" t="n">
        <f aca="false">AZ3032-BD3032</f>
        <v>0</v>
      </c>
      <c r="BF3032" s="34" t="n">
        <f aca="false">BD3032*M3032</f>
        <v>483042.5</v>
      </c>
      <c r="BG3032" s="35" t="n">
        <f aca="false">BA3032-BF3032</f>
        <v>-0.5</v>
      </c>
      <c r="BH3032" s="19" t="str">
        <f aca="false">IF(BG3032=0,"",IF(BG3032&lt;&gt;BA3032,"erreur de calcul",IF(BD3032&lt;&gt;0,"pas de prix",IF(M3032&lt;&gt; 0,"pas de quantité","pas de prix, ni de quantité"))))</f>
        <v>erreur de calcul</v>
      </c>
      <c r="BI3032" s="19"/>
    </row>
    <row r="3033" customFormat="false" ht="15" hidden="false" customHeight="false" outlineLevel="0" collapsed="false">
      <c r="A3033" s="0" t="n">
        <v>15</v>
      </c>
      <c r="B3033" s="8" t="s">
        <v>24</v>
      </c>
      <c r="C3033" s="9" t="s">
        <v>25</v>
      </c>
      <c r="D3033" s="9" t="s">
        <v>26</v>
      </c>
      <c r="E3033" s="10" t="n">
        <v>1789</v>
      </c>
      <c r="F3033" s="9" t="s">
        <v>27</v>
      </c>
      <c r="G3033" s="9" t="s">
        <v>27</v>
      </c>
      <c r="H3033" s="11" t="n">
        <v>24</v>
      </c>
      <c r="I3033" s="11" t="s">
        <v>304</v>
      </c>
      <c r="J3033" s="14" t="n">
        <v>340</v>
      </c>
      <c r="K3033" s="14"/>
      <c r="L3033" s="16"/>
      <c r="M3033" s="27" t="n">
        <f aca="false">J3033+(K3033/20)+(L3033/240)</f>
        <v>340</v>
      </c>
      <c r="N3033" s="17" t="s">
        <v>64</v>
      </c>
      <c r="O3033" s="11"/>
      <c r="P3033" s="28"/>
      <c r="Q3033" s="28" t="n">
        <f aca="false">P3033*$M3033</f>
        <v>0</v>
      </c>
      <c r="R3033" s="28"/>
      <c r="S3033" s="28" t="n">
        <f aca="false">R3033*$M3033</f>
        <v>0</v>
      </c>
      <c r="T3033" s="28"/>
      <c r="U3033" s="28" t="n">
        <f aca="false">T3033*$M3033</f>
        <v>0</v>
      </c>
      <c r="V3033" s="28"/>
      <c r="W3033" s="28" t="n">
        <f aca="false">V3033*$M3033</f>
        <v>0</v>
      </c>
      <c r="X3033" s="28"/>
      <c r="Y3033" s="28" t="n">
        <f aca="false">X3033*$M3033</f>
        <v>0</v>
      </c>
      <c r="Z3033" s="28"/>
      <c r="AA3033" s="28" t="n">
        <f aca="false">Z3033*$M3033</f>
        <v>0</v>
      </c>
      <c r="AB3033" s="28" t="n">
        <f aca="false">339883/100</f>
        <v>3398.83</v>
      </c>
      <c r="AC3033" s="28" t="n">
        <v>1155602</v>
      </c>
      <c r="AD3033" s="28"/>
      <c r="AE3033" s="28" t="n">
        <f aca="false">AD3033*$M3033</f>
        <v>0</v>
      </c>
      <c r="AF3033" s="28"/>
      <c r="AG3033" s="28" t="n">
        <f aca="false">AF3033*$M3033</f>
        <v>0</v>
      </c>
      <c r="AH3033" s="28"/>
      <c r="AI3033" s="28" t="n">
        <f aca="false">AH3033*$M3033</f>
        <v>0</v>
      </c>
      <c r="AJ3033" s="28"/>
      <c r="AK3033" s="28" t="n">
        <f aca="false">AJ3033*$M3033</f>
        <v>0</v>
      </c>
      <c r="AL3033" s="28"/>
      <c r="AM3033" s="28" t="n">
        <f aca="false">AL3033*$M3033</f>
        <v>0</v>
      </c>
      <c r="AN3033" s="28"/>
      <c r="AO3033" s="28" t="n">
        <f aca="false">AN3033*$M3033</f>
        <v>0</v>
      </c>
      <c r="AP3033" s="28"/>
      <c r="AQ3033" s="28" t="n">
        <f aca="false">AP3033*$M3033</f>
        <v>0</v>
      </c>
      <c r="AR3033" s="28"/>
      <c r="AS3033" s="28" t="n">
        <f aca="false">AR3033*$M3033</f>
        <v>0</v>
      </c>
      <c r="AT3033" s="28"/>
      <c r="AU3033" s="28" t="n">
        <f aca="false">AT3033*$M3033</f>
        <v>0</v>
      </c>
      <c r="AV3033" s="28"/>
      <c r="AW3033" s="28" t="n">
        <f aca="false">AV3033*$M3033</f>
        <v>0</v>
      </c>
      <c r="AX3033" s="28"/>
      <c r="AY3033" s="28" t="n">
        <f aca="false">AX3033*$M3033</f>
        <v>0</v>
      </c>
      <c r="AZ3033" s="30" t="n">
        <f aca="false">339883/100</f>
        <v>3398.83</v>
      </c>
      <c r="BA3033" s="11" t="n">
        <v>1155602</v>
      </c>
      <c r="BB3033" s="31" t="n">
        <f aca="false">SUM(Q3033,S3033,U3033,W3033,Y3033,AA3033,AC3033,AE3033,AG3033,AI3033,AK3033,AM3033,AO3033,AQ3033,AS3033,AU3033,AW3033,AY3033)</f>
        <v>1155602</v>
      </c>
      <c r="BC3033" s="28" t="n">
        <f aca="false">BA3033-BB3033</f>
        <v>0</v>
      </c>
      <c r="BD3033" s="32" t="n">
        <f aca="false">SUM(P3033,R3033,T3033,V3033,X3033,Z3033,AB3033,AD3033,AF3033,AH3033,AJ3033,AL3033,AN3033,AP3033,AR3033,AT3033,AV3033,AX3033)</f>
        <v>3398.83</v>
      </c>
      <c r="BE3033" s="33" t="n">
        <f aca="false">AZ3033-BD3033</f>
        <v>0</v>
      </c>
      <c r="BF3033" s="34" t="n">
        <f aca="false">BD3033*M3033</f>
        <v>1155602.2</v>
      </c>
      <c r="BG3033" s="35" t="n">
        <f aca="false">BA3033-BF3033</f>
        <v>-0.199999999953434</v>
      </c>
      <c r="BH3033" s="19" t="str">
        <f aca="false">IF(BG3033=0,"",IF(BG3033&lt;&gt;BA3033,"erreur de calcul",IF(BD3033&lt;&gt;0,"pas de prix",IF(M3033&lt;&gt; 0,"pas de quantité","pas de prix, ni de quantité"))))</f>
        <v>erreur de calcul</v>
      </c>
      <c r="BI3033" s="19"/>
    </row>
    <row r="3034" customFormat="false" ht="15" hidden="false" customHeight="false" outlineLevel="0" collapsed="false">
      <c r="A3034" s="0" t="n">
        <v>16</v>
      </c>
      <c r="B3034" s="8" t="s">
        <v>24</v>
      </c>
      <c r="C3034" s="9" t="s">
        <v>25</v>
      </c>
      <c r="D3034" s="9" t="s">
        <v>26</v>
      </c>
      <c r="E3034" s="10" t="n">
        <v>1789</v>
      </c>
      <c r="F3034" s="9" t="s">
        <v>27</v>
      </c>
      <c r="G3034" s="9" t="s">
        <v>27</v>
      </c>
      <c r="H3034" s="11" t="n">
        <v>24</v>
      </c>
      <c r="I3034" s="11" t="s">
        <v>305</v>
      </c>
      <c r="J3034" s="14" t="n">
        <v>235</v>
      </c>
      <c r="K3034" s="14"/>
      <c r="L3034" s="16"/>
      <c r="M3034" s="27" t="n">
        <f aca="false">J3034+(K3034/20)+(L3034/240)</f>
        <v>235</v>
      </c>
      <c r="N3034" s="17" t="s">
        <v>64</v>
      </c>
      <c r="O3034" s="11"/>
      <c r="P3034" s="28" t="n">
        <f aca="false">34642/100</f>
        <v>346.42</v>
      </c>
      <c r="Q3034" s="28" t="n">
        <v>81409</v>
      </c>
      <c r="R3034" s="28"/>
      <c r="S3034" s="28" t="n">
        <f aca="false">R3034*$M3034</f>
        <v>0</v>
      </c>
      <c r="T3034" s="28"/>
      <c r="U3034" s="28" t="n">
        <f aca="false">T3034*$M3034</f>
        <v>0</v>
      </c>
      <c r="V3034" s="28"/>
      <c r="W3034" s="28" t="n">
        <f aca="false">V3034*$M3034</f>
        <v>0</v>
      </c>
      <c r="X3034" s="28"/>
      <c r="Y3034" s="28" t="n">
        <f aca="false">X3034*$M3034</f>
        <v>0</v>
      </c>
      <c r="Z3034" s="28"/>
      <c r="AA3034" s="28" t="n">
        <f aca="false">Z3034*$M3034</f>
        <v>0</v>
      </c>
      <c r="AB3034" s="28"/>
      <c r="AC3034" s="28" t="n">
        <f aca="false">AB3034*$M3034</f>
        <v>0</v>
      </c>
      <c r="AD3034" s="28"/>
      <c r="AE3034" s="28" t="n">
        <f aca="false">AD3034*$M3034</f>
        <v>0</v>
      </c>
      <c r="AF3034" s="28"/>
      <c r="AG3034" s="28" t="n">
        <f aca="false">AF3034*$M3034</f>
        <v>0</v>
      </c>
      <c r="AH3034" s="28"/>
      <c r="AI3034" s="28" t="n">
        <f aca="false">AH3034*$M3034</f>
        <v>0</v>
      </c>
      <c r="AJ3034" s="28"/>
      <c r="AK3034" s="28" t="n">
        <f aca="false">AJ3034*$M3034</f>
        <v>0</v>
      </c>
      <c r="AL3034" s="28"/>
      <c r="AM3034" s="28" t="n">
        <f aca="false">AL3034*$M3034</f>
        <v>0</v>
      </c>
      <c r="AN3034" s="28"/>
      <c r="AO3034" s="28" t="n">
        <f aca="false">AN3034*$M3034</f>
        <v>0</v>
      </c>
      <c r="AP3034" s="28"/>
      <c r="AQ3034" s="28" t="n">
        <f aca="false">AP3034*$M3034</f>
        <v>0</v>
      </c>
      <c r="AR3034" s="28"/>
      <c r="AS3034" s="28" t="n">
        <f aca="false">AR3034*$M3034</f>
        <v>0</v>
      </c>
      <c r="AT3034" s="28"/>
      <c r="AU3034" s="28" t="n">
        <f aca="false">AT3034*$M3034</f>
        <v>0</v>
      </c>
      <c r="AV3034" s="28"/>
      <c r="AW3034" s="28" t="n">
        <f aca="false">AV3034*$M3034</f>
        <v>0</v>
      </c>
      <c r="AX3034" s="28"/>
      <c r="AY3034" s="28" t="n">
        <f aca="false">AX3034*$M3034</f>
        <v>0</v>
      </c>
      <c r="AZ3034" s="30" t="n">
        <f aca="false">34642/100</f>
        <v>346.42</v>
      </c>
      <c r="BA3034" s="11" t="n">
        <v>81409</v>
      </c>
      <c r="BB3034" s="31" t="n">
        <f aca="false">SUM(Q3034,S3034,U3034,W3034,Y3034,AA3034,AC3034,AE3034,AG3034,AI3034,AK3034,AM3034,AO3034,AQ3034,AS3034,AU3034,AW3034,AY3034)</f>
        <v>81409</v>
      </c>
      <c r="BC3034" s="28" t="n">
        <f aca="false">BA3034-BB3034</f>
        <v>0</v>
      </c>
      <c r="BD3034" s="32" t="n">
        <f aca="false">SUM(P3034,R3034,T3034,V3034,X3034,Z3034,AB3034,AD3034,AF3034,AH3034,AJ3034,AL3034,AN3034,AP3034,AR3034,AT3034,AV3034,AX3034)</f>
        <v>346.42</v>
      </c>
      <c r="BE3034" s="33" t="n">
        <f aca="false">AZ3034-BD3034</f>
        <v>0</v>
      </c>
      <c r="BF3034" s="34" t="n">
        <f aca="false">BD3034*M3034</f>
        <v>81408.7</v>
      </c>
      <c r="BG3034" s="35" t="n">
        <f aca="false">BA3034-BF3034</f>
        <v>0.30000000000291</v>
      </c>
      <c r="BH3034" s="19" t="str">
        <f aca="false">IF(BG3034=0,"",IF(BG3034&lt;&gt;BA3034,"erreur de calcul",IF(BD3034&lt;&gt;0,"pas de prix",IF(M3034&lt;&gt; 0,"pas de quantité","pas de prix, ni de quantité"))))</f>
        <v>erreur de calcul</v>
      </c>
      <c r="BI3034" s="19"/>
    </row>
    <row r="3035" customFormat="false" ht="15" hidden="false" customHeight="false" outlineLevel="0" collapsed="false">
      <c r="A3035" s="0" t="n">
        <v>17</v>
      </c>
      <c r="B3035" s="8" t="s">
        <v>24</v>
      </c>
      <c r="C3035" s="9" t="s">
        <v>25</v>
      </c>
      <c r="D3035" s="9" t="s">
        <v>26</v>
      </c>
      <c r="E3035" s="10" t="n">
        <v>1789</v>
      </c>
      <c r="F3035" s="9" t="s">
        <v>27</v>
      </c>
      <c r="G3035" s="9" t="s">
        <v>27</v>
      </c>
      <c r="H3035" s="11" t="n">
        <v>24</v>
      </c>
      <c r="I3035" s="11" t="s">
        <v>306</v>
      </c>
      <c r="J3035" s="14" t="n">
        <v>71</v>
      </c>
      <c r="K3035" s="14"/>
      <c r="L3035" s="16"/>
      <c r="M3035" s="27" t="n">
        <f aca="false">J3035+(K3035/20)+(L3035/240)</f>
        <v>71</v>
      </c>
      <c r="N3035" s="17" t="s">
        <v>64</v>
      </c>
      <c r="O3035" s="11"/>
      <c r="P3035" s="28"/>
      <c r="Q3035" s="28" t="n">
        <f aca="false">P3035*$M3035</f>
        <v>0</v>
      </c>
      <c r="R3035" s="28"/>
      <c r="S3035" s="28" t="n">
        <f aca="false">R3035*$M3035</f>
        <v>0</v>
      </c>
      <c r="T3035" s="28" t="n">
        <f aca="false">12674/100</f>
        <v>126.74</v>
      </c>
      <c r="U3035" s="28" t="n">
        <v>8998</v>
      </c>
      <c r="V3035" s="28"/>
      <c r="W3035" s="28" t="n">
        <f aca="false">V3035*$M3035</f>
        <v>0</v>
      </c>
      <c r="X3035" s="28"/>
      <c r="Y3035" s="28" t="n">
        <f aca="false">X3035*$M3035</f>
        <v>0</v>
      </c>
      <c r="Z3035" s="28"/>
      <c r="AA3035" s="28" t="n">
        <f aca="false">Z3035*$M3035</f>
        <v>0</v>
      </c>
      <c r="AB3035" s="28"/>
      <c r="AC3035" s="28" t="n">
        <f aca="false">AB3035*$M3035</f>
        <v>0</v>
      </c>
      <c r="AD3035" s="28" t="n">
        <f aca="false">4283/100</f>
        <v>42.83</v>
      </c>
      <c r="AE3035" s="28" t="n">
        <v>3041</v>
      </c>
      <c r="AF3035" s="28" t="n">
        <f aca="false">2978140/100</f>
        <v>29781.4</v>
      </c>
      <c r="AG3035" s="28" t="n">
        <v>2114479</v>
      </c>
      <c r="AH3035" s="28" t="n">
        <f aca="false">4119032/100</f>
        <v>41190.32</v>
      </c>
      <c r="AI3035" s="28" t="n">
        <v>2924512</v>
      </c>
      <c r="AJ3035" s="28"/>
      <c r="AK3035" s="28" t="n">
        <f aca="false">AJ3035*$M3035</f>
        <v>0</v>
      </c>
      <c r="AL3035" s="28"/>
      <c r="AM3035" s="28" t="n">
        <f aca="false">AL3035*$M3035</f>
        <v>0</v>
      </c>
      <c r="AN3035" s="28"/>
      <c r="AO3035" s="28" t="n">
        <f aca="false">AN3035*$M3035</f>
        <v>0</v>
      </c>
      <c r="AP3035" s="28"/>
      <c r="AQ3035" s="28" t="n">
        <f aca="false">AP3035*$M3035</f>
        <v>0</v>
      </c>
      <c r="AR3035" s="28"/>
      <c r="AS3035" s="28" t="n">
        <f aca="false">AR3035*$M3035</f>
        <v>0</v>
      </c>
      <c r="AT3035" s="28"/>
      <c r="AU3035" s="28" t="n">
        <f aca="false">AT3035*$M3035</f>
        <v>0</v>
      </c>
      <c r="AV3035" s="28"/>
      <c r="AW3035" s="28" t="n">
        <f aca="false">AV3035*$M3035</f>
        <v>0</v>
      </c>
      <c r="AX3035" s="28"/>
      <c r="AY3035" s="28" t="n">
        <f aca="false">AX3035*$M3035</f>
        <v>0</v>
      </c>
      <c r="AZ3035" s="30" t="n">
        <f aca="false">7114129/100</f>
        <v>71141.29</v>
      </c>
      <c r="BA3035" s="11" t="n">
        <v>5051030</v>
      </c>
      <c r="BB3035" s="31" t="n">
        <f aca="false">SUM(Q3035,S3035,U3035,W3035,Y3035,AA3035,AC3035,AE3035,AG3035,AI3035,AK3035,AM3035,AO3035,AQ3035,AS3035,AU3035,AW3035,AY3035)</f>
        <v>5051030</v>
      </c>
      <c r="BC3035" s="28" t="n">
        <f aca="false">BA3035-BB3035</f>
        <v>0</v>
      </c>
      <c r="BD3035" s="32" t="n">
        <f aca="false">SUM(P3035,R3035,T3035,V3035,X3035,Z3035,AB3035,AD3035,AF3035,AH3035,AJ3035,AL3035,AN3035,AP3035,AR3035,AT3035,AV3035,AX3035)</f>
        <v>71141.29</v>
      </c>
      <c r="BE3035" s="33" t="n">
        <f aca="false">AZ3035-BD3035</f>
        <v>0</v>
      </c>
      <c r="BF3035" s="34" t="n">
        <f aca="false">BD3035*M3035</f>
        <v>5051031.59</v>
      </c>
      <c r="BG3035" s="35" t="n">
        <f aca="false">BA3035-BF3035</f>
        <v>-1.59000000078231</v>
      </c>
      <c r="BH3035" s="19" t="str">
        <f aca="false">IF(BG3035=0,"",IF(BG3035&lt;&gt;BA3035,"erreur de calcul",IF(BD3035&lt;&gt;0,"pas de prix",IF(M3035&lt;&gt; 0,"pas de quantité","pas de prix, ni de quantité"))))</f>
        <v>erreur de calcul</v>
      </c>
      <c r="BI3035" s="19"/>
    </row>
    <row r="3036" customFormat="false" ht="15" hidden="false" customHeight="false" outlineLevel="0" collapsed="false">
      <c r="A3036" s="0" t="n">
        <v>18</v>
      </c>
      <c r="B3036" s="8" t="s">
        <v>24</v>
      </c>
      <c r="C3036" s="9" t="s">
        <v>25</v>
      </c>
      <c r="D3036" s="9" t="s">
        <v>26</v>
      </c>
      <c r="E3036" s="10" t="n">
        <v>1789</v>
      </c>
      <c r="F3036" s="9" t="s">
        <v>27</v>
      </c>
      <c r="G3036" s="9" t="s">
        <v>27</v>
      </c>
      <c r="H3036" s="11" t="n">
        <v>24</v>
      </c>
      <c r="I3036" s="11" t="s">
        <v>307</v>
      </c>
      <c r="J3036" s="14" t="n">
        <v>45</v>
      </c>
      <c r="K3036" s="14"/>
      <c r="L3036" s="16"/>
      <c r="M3036" s="27" t="n">
        <f aca="false">J3036+(K3036/20)+(L3036/240)</f>
        <v>45</v>
      </c>
      <c r="N3036" s="17" t="s">
        <v>64</v>
      </c>
      <c r="O3036" s="11"/>
      <c r="P3036" s="28"/>
      <c r="Q3036" s="28" t="n">
        <f aca="false">P3036*$M3036</f>
        <v>0</v>
      </c>
      <c r="R3036" s="28"/>
      <c r="S3036" s="28" t="n">
        <f aca="false">R3036*$M3036</f>
        <v>0</v>
      </c>
      <c r="T3036" s="28"/>
      <c r="U3036" s="28" t="n">
        <f aca="false">T3036*$M3036</f>
        <v>0</v>
      </c>
      <c r="V3036" s="28"/>
      <c r="W3036" s="28" t="n">
        <f aca="false">V3036*$M3036</f>
        <v>0</v>
      </c>
      <c r="X3036" s="28"/>
      <c r="Y3036" s="28" t="n">
        <f aca="false">X3036*$M3036</f>
        <v>0</v>
      </c>
      <c r="Z3036" s="28"/>
      <c r="AA3036" s="28" t="n">
        <f aca="false">Z3036*$M3036</f>
        <v>0</v>
      </c>
      <c r="AB3036" s="28"/>
      <c r="AC3036" s="28" t="n">
        <f aca="false">AB3036*$M3036</f>
        <v>0</v>
      </c>
      <c r="AD3036" s="28"/>
      <c r="AE3036" s="28" t="n">
        <f aca="false">AD3036*$M3036</f>
        <v>0</v>
      </c>
      <c r="AF3036" s="28"/>
      <c r="AG3036" s="28" t="n">
        <f aca="false">AF3036*$M3036</f>
        <v>0</v>
      </c>
      <c r="AH3036" s="28"/>
      <c r="AI3036" s="28" t="n">
        <f aca="false">AH3036*$M3036</f>
        <v>0</v>
      </c>
      <c r="AJ3036" s="28"/>
      <c r="AK3036" s="28" t="n">
        <f aca="false">AJ3036*$M3036</f>
        <v>0</v>
      </c>
      <c r="AL3036" s="28" t="n">
        <f aca="false">971/100</f>
        <v>9.71</v>
      </c>
      <c r="AM3036" s="28" t="n">
        <v>437</v>
      </c>
      <c r="AN3036" s="28"/>
      <c r="AO3036" s="28" t="n">
        <f aca="false">AN3036*$M3036</f>
        <v>0</v>
      </c>
      <c r="AP3036" s="28"/>
      <c r="AQ3036" s="28" t="n">
        <f aca="false">AP3036*$M3036</f>
        <v>0</v>
      </c>
      <c r="AR3036" s="28"/>
      <c r="AS3036" s="28" t="n">
        <f aca="false">AR3036*$M3036</f>
        <v>0</v>
      </c>
      <c r="AT3036" s="28"/>
      <c r="AU3036" s="28" t="n">
        <f aca="false">AT3036*$M3036</f>
        <v>0</v>
      </c>
      <c r="AV3036" s="28"/>
      <c r="AW3036" s="28" t="n">
        <f aca="false">AV3036*$M3036</f>
        <v>0</v>
      </c>
      <c r="AX3036" s="28"/>
      <c r="AY3036" s="28" t="n">
        <f aca="false">AX3036*$M3036</f>
        <v>0</v>
      </c>
      <c r="AZ3036" s="30" t="n">
        <f aca="false">971/100</f>
        <v>9.71</v>
      </c>
      <c r="BA3036" s="11" t="n">
        <v>437</v>
      </c>
      <c r="BB3036" s="31" t="n">
        <f aca="false">SUM(Q3036,S3036,U3036,W3036,Y3036,AA3036,AC3036,AE3036,AG3036,AI3036,AK3036,AM3036,AO3036,AQ3036,AS3036,AU3036,AW3036,AY3036)</f>
        <v>437</v>
      </c>
      <c r="BC3036" s="28" t="n">
        <f aca="false">BA3036-BB3036</f>
        <v>0</v>
      </c>
      <c r="BD3036" s="32" t="n">
        <f aca="false">SUM(P3036,R3036,T3036,V3036,X3036,Z3036,AB3036,AD3036,AF3036,AH3036,AJ3036,AL3036,AN3036,AP3036,AR3036,AT3036,AV3036,AX3036)</f>
        <v>9.71</v>
      </c>
      <c r="BE3036" s="33" t="n">
        <f aca="false">AZ3036-BD3036</f>
        <v>0</v>
      </c>
      <c r="BF3036" s="34" t="n">
        <f aca="false">BD3036*M3036</f>
        <v>436.95</v>
      </c>
      <c r="BG3036" s="35" t="n">
        <f aca="false">BA3036-BF3036</f>
        <v>0.0499999999999545</v>
      </c>
      <c r="BH3036" s="19" t="str">
        <f aca="false">IF(BG3036=0,"",IF(BG3036&lt;&gt;BA3036,"erreur de calcul",IF(BD3036&lt;&gt;0,"pas de prix",IF(M3036&lt;&gt; 0,"pas de quantité","pas de prix, ni de quantité"))))</f>
        <v>erreur de calcul</v>
      </c>
      <c r="BI3036" s="19"/>
    </row>
    <row r="3037" customFormat="false" ht="15" hidden="false" customHeight="false" outlineLevel="0" collapsed="false">
      <c r="A3037" s="0" t="n">
        <v>19</v>
      </c>
      <c r="B3037" s="8" t="s">
        <v>24</v>
      </c>
      <c r="C3037" s="9" t="s">
        <v>25</v>
      </c>
      <c r="D3037" s="9" t="s">
        <v>26</v>
      </c>
      <c r="E3037" s="10" t="n">
        <v>1789</v>
      </c>
      <c r="F3037" s="9" t="s">
        <v>27</v>
      </c>
      <c r="G3037" s="9" t="s">
        <v>27</v>
      </c>
      <c r="H3037" s="11" t="n">
        <v>24</v>
      </c>
      <c r="I3037" s="11" t="s">
        <v>308</v>
      </c>
      <c r="J3037" s="14" t="n">
        <v>240</v>
      </c>
      <c r="K3037" s="14"/>
      <c r="L3037" s="16"/>
      <c r="M3037" s="27" t="n">
        <f aca="false">J3037+(K3037/20)+(L3037/240)</f>
        <v>240</v>
      </c>
      <c r="N3037" s="17" t="s">
        <v>64</v>
      </c>
      <c r="O3037" s="11"/>
      <c r="P3037" s="28"/>
      <c r="Q3037" s="28" t="n">
        <f aca="false">P3037*$M3037</f>
        <v>0</v>
      </c>
      <c r="R3037" s="28"/>
      <c r="S3037" s="28" t="n">
        <f aca="false">R3037*$M3037</f>
        <v>0</v>
      </c>
      <c r="T3037" s="28"/>
      <c r="U3037" s="28" t="n">
        <f aca="false">T3037*$M3037</f>
        <v>0</v>
      </c>
      <c r="V3037" s="28"/>
      <c r="W3037" s="28" t="n">
        <f aca="false">V3037*$M3037</f>
        <v>0</v>
      </c>
      <c r="X3037" s="28"/>
      <c r="Y3037" s="28" t="n">
        <f aca="false">X3037*$M3037</f>
        <v>0</v>
      </c>
      <c r="Z3037" s="28"/>
      <c r="AA3037" s="28" t="n">
        <f aca="false">Z3037*$M3037</f>
        <v>0</v>
      </c>
      <c r="AB3037" s="28"/>
      <c r="AC3037" s="28" t="n">
        <f aca="false">AB3037*$M3037</f>
        <v>0</v>
      </c>
      <c r="AD3037" s="28"/>
      <c r="AE3037" s="28" t="n">
        <f aca="false">AD3037*$M3037</f>
        <v>0</v>
      </c>
      <c r="AF3037" s="28"/>
      <c r="AG3037" s="28" t="n">
        <f aca="false">AF3037*$M3037</f>
        <v>0</v>
      </c>
      <c r="AH3037" s="28"/>
      <c r="AI3037" s="28" t="n">
        <f aca="false">AH3037*$M3037</f>
        <v>0</v>
      </c>
      <c r="AJ3037" s="28" t="n">
        <f aca="false">2173/100</f>
        <v>21.73</v>
      </c>
      <c r="AK3037" s="28" t="n">
        <v>5215</v>
      </c>
      <c r="AL3037" s="28"/>
      <c r="AM3037" s="28" t="n">
        <f aca="false">AL3037*$M3037</f>
        <v>0</v>
      </c>
      <c r="AN3037" s="28"/>
      <c r="AO3037" s="28" t="n">
        <f aca="false">AN3037*$M3037</f>
        <v>0</v>
      </c>
      <c r="AP3037" s="28"/>
      <c r="AQ3037" s="28" t="n">
        <f aca="false">AP3037*$M3037</f>
        <v>0</v>
      </c>
      <c r="AR3037" s="28"/>
      <c r="AS3037" s="28" t="n">
        <f aca="false">AR3037*$M3037</f>
        <v>0</v>
      </c>
      <c r="AT3037" s="28"/>
      <c r="AU3037" s="28" t="n">
        <f aca="false">AT3037*$M3037</f>
        <v>0</v>
      </c>
      <c r="AV3037" s="28"/>
      <c r="AW3037" s="28" t="n">
        <f aca="false">AV3037*$M3037</f>
        <v>0</v>
      </c>
      <c r="AX3037" s="28"/>
      <c r="AY3037" s="28" t="n">
        <f aca="false">AX3037*$M3037</f>
        <v>0</v>
      </c>
      <c r="AZ3037" s="30" t="n">
        <f aca="false">2173/100</f>
        <v>21.73</v>
      </c>
      <c r="BA3037" s="11" t="n">
        <v>5215</v>
      </c>
      <c r="BB3037" s="31" t="n">
        <f aca="false">SUM(Q3037,S3037,U3037,W3037,Y3037,AA3037,AC3037,AE3037,AG3037,AI3037,AK3037,AM3037,AO3037,AQ3037,AS3037,AU3037,AW3037,AY3037)</f>
        <v>5215</v>
      </c>
      <c r="BC3037" s="28" t="n">
        <f aca="false">BA3037-BB3037</f>
        <v>0</v>
      </c>
      <c r="BD3037" s="32" t="n">
        <f aca="false">SUM(P3037,R3037,T3037,V3037,X3037,Z3037,AB3037,AD3037,AF3037,AH3037,AJ3037,AL3037,AN3037,AP3037,AR3037,AT3037,AV3037,AX3037)</f>
        <v>21.73</v>
      </c>
      <c r="BE3037" s="33" t="n">
        <f aca="false">AZ3037-BD3037</f>
        <v>0</v>
      </c>
      <c r="BF3037" s="34" t="n">
        <f aca="false">BD3037*M3037</f>
        <v>5215.2</v>
      </c>
      <c r="BG3037" s="35" t="n">
        <f aca="false">BA3037-BF3037</f>
        <v>-0.199999999999818</v>
      </c>
      <c r="BH3037" s="19" t="str">
        <f aca="false">IF(BG3037=0,"",IF(BG3037&lt;&gt;BA3037,"erreur de calcul",IF(BD3037&lt;&gt;0,"pas de prix",IF(M3037&lt;&gt; 0,"pas de quantité","pas de prix, ni de quantité"))))</f>
        <v>erreur de calcul</v>
      </c>
      <c r="BI3037" s="19"/>
    </row>
    <row r="3038" customFormat="false" ht="15" hidden="false" customHeight="false" outlineLevel="0" collapsed="false">
      <c r="A3038" s="0" t="n">
        <v>20</v>
      </c>
      <c r="B3038" s="8" t="s">
        <v>24</v>
      </c>
      <c r="C3038" s="9" t="s">
        <v>25</v>
      </c>
      <c r="D3038" s="9" t="s">
        <v>26</v>
      </c>
      <c r="E3038" s="10" t="n">
        <v>1789</v>
      </c>
      <c r="F3038" s="9" t="s">
        <v>27</v>
      </c>
      <c r="G3038" s="9" t="s">
        <v>27</v>
      </c>
      <c r="H3038" s="11" t="n">
        <v>24</v>
      </c>
      <c r="I3038" s="11" t="s">
        <v>309</v>
      </c>
      <c r="J3038" s="14"/>
      <c r="K3038" s="14"/>
      <c r="L3038" s="16"/>
      <c r="M3038" s="27" t="n">
        <f aca="false">J3038+(K3038/20)+(L3038/240)</f>
        <v>0</v>
      </c>
      <c r="N3038" s="17"/>
      <c r="O3038" s="11"/>
      <c r="P3038" s="28"/>
      <c r="Q3038" s="28" t="n">
        <f aca="false">P3038*$M3038</f>
        <v>0</v>
      </c>
      <c r="R3038" s="28"/>
      <c r="S3038" s="28" t="n">
        <f aca="false">R3038*$M3038</f>
        <v>0</v>
      </c>
      <c r="T3038" s="28"/>
      <c r="U3038" s="28" t="n">
        <v>195</v>
      </c>
      <c r="V3038" s="28"/>
      <c r="W3038" s="28" t="n">
        <v>640</v>
      </c>
      <c r="X3038" s="28"/>
      <c r="Y3038" s="28" t="n">
        <f aca="false">X3038*$M3038</f>
        <v>0</v>
      </c>
      <c r="Z3038" s="28"/>
      <c r="AA3038" s="28" t="n">
        <f aca="false">Z3038*$M3038</f>
        <v>0</v>
      </c>
      <c r="AB3038" s="28"/>
      <c r="AC3038" s="28" t="n">
        <f aca="false">AB3038*$M3038</f>
        <v>0</v>
      </c>
      <c r="AD3038" s="28"/>
      <c r="AE3038" s="28" t="n">
        <f aca="false">AD3038*$M3038</f>
        <v>0</v>
      </c>
      <c r="AF3038" s="28"/>
      <c r="AG3038" s="28" t="n">
        <f aca="false">AF3038*$M3038</f>
        <v>0</v>
      </c>
      <c r="AH3038" s="28"/>
      <c r="AI3038" s="28" t="n">
        <v>121</v>
      </c>
      <c r="AJ3038" s="28"/>
      <c r="AK3038" s="28" t="n">
        <v>412</v>
      </c>
      <c r="AL3038" s="28"/>
      <c r="AM3038" s="28" t="n">
        <f aca="false">AL3038*$M3038</f>
        <v>0</v>
      </c>
      <c r="AN3038" s="28"/>
      <c r="AO3038" s="28" t="n">
        <f aca="false">AN3038*$M3038</f>
        <v>0</v>
      </c>
      <c r="AP3038" s="28"/>
      <c r="AQ3038" s="28" t="n">
        <f aca="false">AP3038*$M3038</f>
        <v>0</v>
      </c>
      <c r="AR3038" s="28"/>
      <c r="AS3038" s="28" t="n">
        <f aca="false">AR3038*$M3038</f>
        <v>0</v>
      </c>
      <c r="AT3038" s="28"/>
      <c r="AU3038" s="28" t="n">
        <f aca="false">AT3038*$M3038</f>
        <v>0</v>
      </c>
      <c r="AV3038" s="28"/>
      <c r="AW3038" s="28" t="n">
        <f aca="false">AV3038*$M3038</f>
        <v>0</v>
      </c>
      <c r="AX3038" s="28"/>
      <c r="AY3038" s="28" t="n">
        <f aca="false">AX3038*$M3038</f>
        <v>0</v>
      </c>
      <c r="AZ3038" s="30"/>
      <c r="BA3038" s="11" t="n">
        <v>1368</v>
      </c>
      <c r="BB3038" s="31" t="n">
        <f aca="false">SUM(Q3038,S3038,U3038,W3038,Y3038,AA3038,AC3038,AE3038,AG3038,AI3038,AK3038,AM3038,AO3038,AQ3038,AS3038,AU3038,AW3038,AY3038)</f>
        <v>1368</v>
      </c>
      <c r="BC3038" s="28" t="n">
        <f aca="false">BA3038-BB3038</f>
        <v>0</v>
      </c>
      <c r="BD3038" s="32" t="n">
        <f aca="false">SUM(P3038,R3038,T3038,V3038,X3038,Z3038,AB3038,AD3038,AF3038,AH3038,AJ3038,AL3038,AN3038,AP3038,AR3038,AT3038,AV3038,AX3038)</f>
        <v>0</v>
      </c>
      <c r="BE3038" s="33" t="n">
        <f aca="false">AZ3038-BD3038</f>
        <v>0</v>
      </c>
      <c r="BF3038" s="34" t="n">
        <f aca="false">BD3038*M3038</f>
        <v>0</v>
      </c>
      <c r="BG3038" s="35" t="n">
        <f aca="false">BA3038-BF3038</f>
        <v>1368</v>
      </c>
      <c r="BH3038" s="19" t="str">
        <f aca="false">IF(BG3038=0,"",IF(BG3038&lt;&gt;BA3038,"erreur de calcul",IF(BD3038&lt;&gt;0,"pas de prix",IF(M3038&lt;&gt; 0,"pas de quantité","pas de prix, ni de quantité"))))</f>
        <v>pas de prix, ni de quantité</v>
      </c>
      <c r="BI3038" s="19"/>
    </row>
    <row r="3039" customFormat="false" ht="15" hidden="false" customHeight="false" outlineLevel="0" collapsed="false">
      <c r="A3039" s="0" t="n">
        <v>21</v>
      </c>
      <c r="B3039" s="8" t="s">
        <v>24</v>
      </c>
      <c r="C3039" s="9" t="s">
        <v>25</v>
      </c>
      <c r="D3039" s="9" t="s">
        <v>26</v>
      </c>
      <c r="E3039" s="10" t="n">
        <v>1789</v>
      </c>
      <c r="F3039" s="9" t="s">
        <v>27</v>
      </c>
      <c r="G3039" s="9" t="s">
        <v>27</v>
      </c>
      <c r="H3039" s="11" t="n">
        <v>24</v>
      </c>
      <c r="I3039" s="11" t="s">
        <v>310</v>
      </c>
      <c r="J3039" s="14"/>
      <c r="K3039" s="14" t="n">
        <v>3</v>
      </c>
      <c r="L3039" s="16"/>
      <c r="M3039" s="27" t="n">
        <f aca="false">J3039+(K3039/20)+(L3039/240)</f>
        <v>0.15</v>
      </c>
      <c r="N3039" s="17" t="s">
        <v>311</v>
      </c>
      <c r="O3039" s="11"/>
      <c r="P3039" s="28"/>
      <c r="Q3039" s="28" t="n">
        <f aca="false">P3039*$M3039</f>
        <v>0</v>
      </c>
      <c r="R3039" s="28"/>
      <c r="S3039" s="28" t="n">
        <f aca="false">R3039*$M3039</f>
        <v>0</v>
      </c>
      <c r="T3039" s="28"/>
      <c r="U3039" s="28" t="n">
        <f aca="false">T3039*$M3039</f>
        <v>0</v>
      </c>
      <c r="V3039" s="28" t="n">
        <v>32065</v>
      </c>
      <c r="W3039" s="28" t="n">
        <v>4810</v>
      </c>
      <c r="X3039" s="28" t="n">
        <v>20652</v>
      </c>
      <c r="Y3039" s="28" t="n">
        <v>3098</v>
      </c>
      <c r="Z3039" s="28"/>
      <c r="AA3039" s="28" t="n">
        <f aca="false">Z3039*$M3039</f>
        <v>0</v>
      </c>
      <c r="AB3039" s="28"/>
      <c r="AC3039" s="28" t="n">
        <f aca="false">AB3039*$M3039</f>
        <v>0</v>
      </c>
      <c r="AD3039" s="28"/>
      <c r="AE3039" s="28" t="n">
        <f aca="false">AD3039*$M3039</f>
        <v>0</v>
      </c>
      <c r="AF3039" s="28"/>
      <c r="AG3039" s="28" t="n">
        <f aca="false">AF3039*$M3039</f>
        <v>0</v>
      </c>
      <c r="AH3039" s="28"/>
      <c r="AI3039" s="28" t="n">
        <f aca="false">AH3039*$M3039</f>
        <v>0</v>
      </c>
      <c r="AJ3039" s="28"/>
      <c r="AK3039" s="28" t="n">
        <f aca="false">AJ3039*$M3039</f>
        <v>0</v>
      </c>
      <c r="AL3039" s="28"/>
      <c r="AM3039" s="28" t="n">
        <f aca="false">AL3039*$M3039</f>
        <v>0</v>
      </c>
      <c r="AN3039" s="28"/>
      <c r="AO3039" s="28" t="n">
        <f aca="false">AN3039*$M3039</f>
        <v>0</v>
      </c>
      <c r="AP3039" s="28"/>
      <c r="AQ3039" s="28" t="n">
        <f aca="false">AP3039*$M3039</f>
        <v>0</v>
      </c>
      <c r="AR3039" s="28"/>
      <c r="AS3039" s="28" t="n">
        <f aca="false">AR3039*$M3039</f>
        <v>0</v>
      </c>
      <c r="AT3039" s="28"/>
      <c r="AU3039" s="28" t="n">
        <f aca="false">AT3039*$M3039</f>
        <v>0</v>
      </c>
      <c r="AV3039" s="28"/>
      <c r="AW3039" s="28" t="n">
        <f aca="false">AV3039*$M3039</f>
        <v>0</v>
      </c>
      <c r="AX3039" s="28"/>
      <c r="AY3039" s="28" t="n">
        <f aca="false">AX3039*$M3039</f>
        <v>0</v>
      </c>
      <c r="AZ3039" s="30" t="n">
        <v>52717</v>
      </c>
      <c r="BA3039" s="11" t="n">
        <v>7908</v>
      </c>
      <c r="BB3039" s="31" t="n">
        <f aca="false">SUM(Q3039,S3039,U3039,W3039,Y3039,AA3039,AC3039,AE3039,AG3039,AI3039,AK3039,AM3039,AO3039,AQ3039,AS3039,AU3039,AW3039,AY3039)</f>
        <v>7908</v>
      </c>
      <c r="BC3039" s="28" t="n">
        <f aca="false">BA3039-BB3039</f>
        <v>0</v>
      </c>
      <c r="BD3039" s="32" t="n">
        <f aca="false">SUM(P3039,R3039,T3039,V3039,X3039,Z3039,AB3039,AD3039,AF3039,AH3039,AJ3039,AL3039,AN3039,AP3039,AR3039,AT3039,AV3039,AX3039)</f>
        <v>52717</v>
      </c>
      <c r="BE3039" s="33" t="n">
        <f aca="false">AZ3039-BD3039</f>
        <v>0</v>
      </c>
      <c r="BF3039" s="34" t="n">
        <f aca="false">BD3039*M3039</f>
        <v>7907.55</v>
      </c>
      <c r="BG3039" s="35" t="n">
        <f aca="false">BA3039-BF3039</f>
        <v>0.450000000000728</v>
      </c>
      <c r="BH3039" s="19" t="str">
        <f aca="false">IF(BG3039=0,"",IF(BG3039&lt;&gt;BA3039,"erreur de calcul",IF(BD3039&lt;&gt;0,"pas de prix",IF(M3039&lt;&gt; 0,"pas de quantité","pas de prix, ni de quantité"))))</f>
        <v>erreur de calcul</v>
      </c>
      <c r="BI3039" s="19"/>
    </row>
    <row r="3040" customFormat="false" ht="15" hidden="false" customHeight="false" outlineLevel="0" collapsed="false">
      <c r="A3040" s="0" t="n">
        <v>22</v>
      </c>
      <c r="B3040" s="8" t="s">
        <v>24</v>
      </c>
      <c r="C3040" s="9" t="s">
        <v>25</v>
      </c>
      <c r="D3040" s="9" t="s">
        <v>26</v>
      </c>
      <c r="E3040" s="10" t="n">
        <v>1789</v>
      </c>
      <c r="F3040" s="9" t="s">
        <v>27</v>
      </c>
      <c r="G3040" s="9" t="s">
        <v>27</v>
      </c>
      <c r="H3040" s="11" t="n">
        <v>24</v>
      </c>
      <c r="I3040" s="11" t="s">
        <v>312</v>
      </c>
      <c r="J3040" s="14" t="n">
        <v>15</v>
      </c>
      <c r="K3040" s="14"/>
      <c r="L3040" s="16"/>
      <c r="M3040" s="27" t="n">
        <f aca="false">J3040+(K3040/20)+(L3040/240)</f>
        <v>15</v>
      </c>
      <c r="N3040" s="17" t="s">
        <v>275</v>
      </c>
      <c r="O3040" s="11"/>
      <c r="P3040" s="28"/>
      <c r="Q3040" s="28" t="n">
        <f aca="false">P3040*$M3040</f>
        <v>0</v>
      </c>
      <c r="R3040" s="28"/>
      <c r="S3040" s="28" t="n">
        <f aca="false">R3040*$M3040</f>
        <v>0</v>
      </c>
      <c r="T3040" s="28" t="n">
        <v>1479</v>
      </c>
      <c r="U3040" s="28" t="n">
        <v>22185</v>
      </c>
      <c r="V3040" s="28" t="n">
        <v>1500</v>
      </c>
      <c r="W3040" s="28" t="n">
        <v>22500</v>
      </c>
      <c r="X3040" s="28" t="n">
        <v>300</v>
      </c>
      <c r="Y3040" s="28" t="n">
        <v>4500</v>
      </c>
      <c r="Z3040" s="28" t="n">
        <v>168</v>
      </c>
      <c r="AA3040" s="28" t="n">
        <v>2520</v>
      </c>
      <c r="AB3040" s="28" t="n">
        <v>14570</v>
      </c>
      <c r="AC3040" s="28" t="n">
        <v>218550</v>
      </c>
      <c r="AD3040" s="28"/>
      <c r="AE3040" s="28" t="n">
        <f aca="false">AD3040*$M3040</f>
        <v>0</v>
      </c>
      <c r="AF3040" s="28" t="n">
        <v>5748</v>
      </c>
      <c r="AG3040" s="28" t="n">
        <v>86220</v>
      </c>
      <c r="AH3040" s="28"/>
      <c r="AI3040" s="28" t="n">
        <f aca="false">AH3040*$M3040</f>
        <v>0</v>
      </c>
      <c r="AJ3040" s="28" t="n">
        <v>710</v>
      </c>
      <c r="AK3040" s="28" t="n">
        <v>10650</v>
      </c>
      <c r="AL3040" s="28" t="n">
        <v>600</v>
      </c>
      <c r="AM3040" s="28" t="n">
        <v>9000</v>
      </c>
      <c r="AN3040" s="28"/>
      <c r="AO3040" s="28" t="n">
        <f aca="false">AN3040*$M3040</f>
        <v>0</v>
      </c>
      <c r="AP3040" s="28" t="n">
        <v>1200</v>
      </c>
      <c r="AQ3040" s="28" t="n">
        <v>18000</v>
      </c>
      <c r="AR3040" s="28"/>
      <c r="AS3040" s="28" t="n">
        <f aca="false">AR3040*$M3040</f>
        <v>0</v>
      </c>
      <c r="AT3040" s="28"/>
      <c r="AU3040" s="28" t="n">
        <f aca="false">AT3040*$M3040</f>
        <v>0</v>
      </c>
      <c r="AV3040" s="28"/>
      <c r="AW3040" s="28" t="n">
        <f aca="false">AV3040*$M3040</f>
        <v>0</v>
      </c>
      <c r="AX3040" s="28"/>
      <c r="AY3040" s="28" t="n">
        <f aca="false">AX3040*$M3040</f>
        <v>0</v>
      </c>
      <c r="AZ3040" s="30" t="n">
        <v>26275</v>
      </c>
      <c r="BA3040" s="11" t="n">
        <v>394125</v>
      </c>
      <c r="BB3040" s="31" t="n">
        <f aca="false">SUM(Q3040,S3040,U3040,W3040,Y3040,AA3040,AC3040,AE3040,AG3040,AI3040,AK3040,AM3040,AO3040,AQ3040,AS3040,AU3040,AW3040,AY3040)</f>
        <v>394125</v>
      </c>
      <c r="BC3040" s="28" t="n">
        <f aca="false">BA3040-BB3040</f>
        <v>0</v>
      </c>
      <c r="BD3040" s="32" t="n">
        <f aca="false">SUM(P3040,R3040,T3040,V3040,X3040,Z3040,AB3040,AD3040,AF3040,AH3040,AJ3040,AL3040,AN3040,AP3040,AR3040,AT3040,AV3040,AX3040)</f>
        <v>26275</v>
      </c>
      <c r="BE3040" s="33" t="n">
        <f aca="false">AZ3040-BD3040</f>
        <v>0</v>
      </c>
      <c r="BF3040" s="34" t="n">
        <f aca="false">BD3040*M3040</f>
        <v>394125</v>
      </c>
      <c r="BG3040" s="35" t="n">
        <f aca="false">BA3040-BF3040</f>
        <v>0</v>
      </c>
      <c r="BH3040" s="19" t="str">
        <f aca="false">IF(BG3040=0,"",IF(BG3040&lt;&gt;BA3040,"erreur de calcul",IF(BD3040&lt;&gt;0,"pas de prix",IF(M3040&lt;&gt; 0,"pas de quantité","pas de prix, ni de quantité"))))</f>
        <v/>
      </c>
      <c r="BI3040" s="19"/>
    </row>
    <row r="3041" customFormat="false" ht="15" hidden="false" customHeight="false" outlineLevel="0" collapsed="false">
      <c r="A3041" s="0" t="n">
        <v>23</v>
      </c>
      <c r="B3041" s="8" t="s">
        <v>24</v>
      </c>
      <c r="C3041" s="9" t="s">
        <v>25</v>
      </c>
      <c r="D3041" s="9" t="s">
        <v>26</v>
      </c>
      <c r="E3041" s="10" t="n">
        <v>1789</v>
      </c>
      <c r="F3041" s="9" t="s">
        <v>27</v>
      </c>
      <c r="G3041" s="9" t="s">
        <v>27</v>
      </c>
      <c r="H3041" s="11" t="n">
        <v>24</v>
      </c>
      <c r="I3041" s="11" t="s">
        <v>313</v>
      </c>
      <c r="J3041" s="14" t="n">
        <v>9</v>
      </c>
      <c r="K3041" s="14"/>
      <c r="L3041" s="16"/>
      <c r="M3041" s="27" t="n">
        <f aca="false">J3041+(K3041/20)+(L3041/240)</f>
        <v>9</v>
      </c>
      <c r="N3041" s="17" t="s">
        <v>64</v>
      </c>
      <c r="O3041" s="11"/>
      <c r="P3041" s="28"/>
      <c r="Q3041" s="28" t="n">
        <f aca="false">P3041*$M3041</f>
        <v>0</v>
      </c>
      <c r="R3041" s="28"/>
      <c r="S3041" s="28" t="n">
        <f aca="false">R3041*$M3041</f>
        <v>0</v>
      </c>
      <c r="T3041" s="28"/>
      <c r="U3041" s="28" t="n">
        <f aca="false">T3041*$M3041</f>
        <v>0</v>
      </c>
      <c r="V3041" s="28" t="n">
        <f aca="false">145504/100</f>
        <v>1455.04</v>
      </c>
      <c r="W3041" s="28" t="n">
        <v>13095</v>
      </c>
      <c r="X3041" s="28" t="n">
        <f aca="false">58504/100</f>
        <v>585.04</v>
      </c>
      <c r="Y3041" s="28" t="n">
        <v>5265</v>
      </c>
      <c r="Z3041" s="28" t="n">
        <f aca="false">17027/100</f>
        <v>170.27</v>
      </c>
      <c r="AA3041" s="28" t="n">
        <v>1532</v>
      </c>
      <c r="AB3041" s="28" t="n">
        <f aca="false">84396/100</f>
        <v>843.96</v>
      </c>
      <c r="AC3041" s="28" t="n">
        <v>7596</v>
      </c>
      <c r="AD3041" s="28"/>
      <c r="AE3041" s="28" t="n">
        <f aca="false">AD3041*$M3041</f>
        <v>0</v>
      </c>
      <c r="AF3041" s="28" t="n">
        <f aca="false">14807/100</f>
        <v>148.07</v>
      </c>
      <c r="AG3041" s="28" t="n">
        <v>1333</v>
      </c>
      <c r="AH3041" s="28"/>
      <c r="AI3041" s="28" t="n">
        <f aca="false">AH3041*$M3041</f>
        <v>0</v>
      </c>
      <c r="AJ3041" s="28"/>
      <c r="AK3041" s="28" t="n">
        <f aca="false">AJ3041*$M3041</f>
        <v>0</v>
      </c>
      <c r="AL3041" s="28"/>
      <c r="AM3041" s="28" t="n">
        <f aca="false">AL3041*$M3041</f>
        <v>0</v>
      </c>
      <c r="AN3041" s="28"/>
      <c r="AO3041" s="28" t="n">
        <f aca="false">AN3041*$M3041</f>
        <v>0</v>
      </c>
      <c r="AP3041" s="28"/>
      <c r="AQ3041" s="28" t="n">
        <f aca="false">AP3041*$M3041</f>
        <v>0</v>
      </c>
      <c r="AR3041" s="28"/>
      <c r="AS3041" s="28" t="n">
        <f aca="false">AR3041*$M3041</f>
        <v>0</v>
      </c>
      <c r="AT3041" s="28"/>
      <c r="AU3041" s="28" t="n">
        <f aca="false">AT3041*$M3041</f>
        <v>0</v>
      </c>
      <c r="AV3041" s="28"/>
      <c r="AW3041" s="28" t="n">
        <f aca="false">AV3041*$M3041</f>
        <v>0</v>
      </c>
      <c r="AX3041" s="28"/>
      <c r="AY3041" s="28" t="n">
        <f aca="false">AX3041*$M3041</f>
        <v>0</v>
      </c>
      <c r="AZ3041" s="30" t="n">
        <f aca="false">320238/100</f>
        <v>3202.38</v>
      </c>
      <c r="BA3041" s="11" t="n">
        <v>28821</v>
      </c>
      <c r="BB3041" s="31" t="n">
        <f aca="false">SUM(Q3041,S3041,U3041,W3041,Y3041,AA3041,AC3041,AE3041,AG3041,AI3041,AK3041,AM3041,AO3041,AQ3041,AS3041,AU3041,AW3041,AY3041)</f>
        <v>28821</v>
      </c>
      <c r="BC3041" s="28" t="n">
        <f aca="false">BA3041-BB3041</f>
        <v>0</v>
      </c>
      <c r="BD3041" s="32" t="n">
        <f aca="false">SUM(P3041,R3041,T3041,V3041,X3041,Z3041,AB3041,AD3041,AF3041,AH3041,AJ3041,AL3041,AN3041,AP3041,AR3041,AT3041,AV3041,AX3041)</f>
        <v>3202.38</v>
      </c>
      <c r="BE3041" s="33" t="n">
        <f aca="false">AZ3041-BD3041</f>
        <v>0</v>
      </c>
      <c r="BF3041" s="34" t="n">
        <f aca="false">BD3041*M3041</f>
        <v>28821.42</v>
      </c>
      <c r="BG3041" s="35" t="n">
        <f aca="false">BA3041-BF3041</f>
        <v>-0.420000000001892</v>
      </c>
      <c r="BH3041" s="19" t="str">
        <f aca="false">IF(BG3041=0,"",IF(BG3041&lt;&gt;BA3041,"erreur de calcul",IF(BD3041&lt;&gt;0,"pas de prix",IF(M3041&lt;&gt; 0,"pas de quantité","pas de prix, ni de quantité"))))</f>
        <v>erreur de calcul</v>
      </c>
      <c r="BI3041" s="19"/>
    </row>
    <row r="3042" customFormat="false" ht="15" hidden="false" customHeight="false" outlineLevel="0" collapsed="false">
      <c r="A3042" s="0" t="n">
        <v>24</v>
      </c>
      <c r="B3042" s="8" t="s">
        <v>24</v>
      </c>
      <c r="C3042" s="9" t="s">
        <v>25</v>
      </c>
      <c r="D3042" s="9" t="s">
        <v>26</v>
      </c>
      <c r="E3042" s="10" t="n">
        <v>1789</v>
      </c>
      <c r="F3042" s="9" t="s">
        <v>27</v>
      </c>
      <c r="G3042" s="9" t="s">
        <v>27</v>
      </c>
      <c r="H3042" s="11" t="n">
        <v>24</v>
      </c>
      <c r="I3042" s="11" t="s">
        <v>314</v>
      </c>
      <c r="J3042" s="14"/>
      <c r="K3042" s="14" t="n">
        <v>4</v>
      </c>
      <c r="L3042" s="16"/>
      <c r="M3042" s="27" t="n">
        <f aca="false">J3042+(K3042/20)+(L3042/240)</f>
        <v>0.2</v>
      </c>
      <c r="N3042" s="17" t="s">
        <v>311</v>
      </c>
      <c r="O3042" s="11"/>
      <c r="P3042" s="28"/>
      <c r="Q3042" s="28" t="n">
        <f aca="false">P3042*$M3042</f>
        <v>0</v>
      </c>
      <c r="R3042" s="28"/>
      <c r="S3042" s="28" t="n">
        <f aca="false">R3042*$M3042</f>
        <v>0</v>
      </c>
      <c r="T3042" s="28"/>
      <c r="U3042" s="28" t="n">
        <f aca="false">T3042*$M3042</f>
        <v>0</v>
      </c>
      <c r="V3042" s="28" t="n">
        <v>5800</v>
      </c>
      <c r="W3042" s="28" t="n">
        <v>1160</v>
      </c>
      <c r="X3042" s="28"/>
      <c r="Y3042" s="28" t="n">
        <f aca="false">X3042*$M3042</f>
        <v>0</v>
      </c>
      <c r="Z3042" s="28"/>
      <c r="AA3042" s="28" t="n">
        <f aca="false">Z3042*$M3042</f>
        <v>0</v>
      </c>
      <c r="AB3042" s="28"/>
      <c r="AC3042" s="28" t="n">
        <f aca="false">AB3042*$M3042</f>
        <v>0</v>
      </c>
      <c r="AD3042" s="28"/>
      <c r="AE3042" s="28" t="n">
        <f aca="false">AD3042*$M3042</f>
        <v>0</v>
      </c>
      <c r="AF3042" s="28"/>
      <c r="AG3042" s="28" t="n">
        <f aca="false">AF3042*$M3042</f>
        <v>0</v>
      </c>
      <c r="AH3042" s="28"/>
      <c r="AI3042" s="28" t="n">
        <f aca="false">AH3042*$M3042</f>
        <v>0</v>
      </c>
      <c r="AJ3042" s="28"/>
      <c r="AK3042" s="28" t="n">
        <f aca="false">AJ3042*$M3042</f>
        <v>0</v>
      </c>
      <c r="AL3042" s="28"/>
      <c r="AM3042" s="28" t="n">
        <f aca="false">AL3042*$M3042</f>
        <v>0</v>
      </c>
      <c r="AN3042" s="28"/>
      <c r="AO3042" s="28" t="n">
        <f aca="false">AN3042*$M3042</f>
        <v>0</v>
      </c>
      <c r="AP3042" s="28"/>
      <c r="AQ3042" s="28" t="n">
        <f aca="false">AP3042*$M3042</f>
        <v>0</v>
      </c>
      <c r="AR3042" s="28"/>
      <c r="AS3042" s="28" t="n">
        <f aca="false">AR3042*$M3042</f>
        <v>0</v>
      </c>
      <c r="AT3042" s="28"/>
      <c r="AU3042" s="28" t="n">
        <f aca="false">AT3042*$M3042</f>
        <v>0</v>
      </c>
      <c r="AV3042" s="28"/>
      <c r="AW3042" s="28" t="n">
        <f aca="false">AV3042*$M3042</f>
        <v>0</v>
      </c>
      <c r="AX3042" s="28"/>
      <c r="AY3042" s="28" t="n">
        <f aca="false">AX3042*$M3042</f>
        <v>0</v>
      </c>
      <c r="AZ3042" s="30" t="n">
        <v>5800</v>
      </c>
      <c r="BA3042" s="11" t="n">
        <v>1160</v>
      </c>
      <c r="BB3042" s="31" t="n">
        <f aca="false">SUM(Q3042,S3042,U3042,W3042,Y3042,AA3042,AC3042,AE3042,AG3042,AI3042,AK3042,AM3042,AO3042,AQ3042,AS3042,AU3042,AW3042,AY3042)</f>
        <v>1160</v>
      </c>
      <c r="BC3042" s="28" t="n">
        <f aca="false">BA3042-BB3042</f>
        <v>0</v>
      </c>
      <c r="BD3042" s="32" t="n">
        <f aca="false">SUM(P3042,R3042,T3042,V3042,X3042,Z3042,AB3042,AD3042,AF3042,AH3042,AJ3042,AL3042,AN3042,AP3042,AR3042,AT3042,AV3042,AX3042)</f>
        <v>5800</v>
      </c>
      <c r="BE3042" s="33" t="n">
        <f aca="false">AZ3042-BD3042</f>
        <v>0</v>
      </c>
      <c r="BF3042" s="34" t="n">
        <f aca="false">BD3042*M3042</f>
        <v>1160</v>
      </c>
      <c r="BG3042" s="35" t="n">
        <f aca="false">BA3042-BF3042</f>
        <v>0</v>
      </c>
      <c r="BH3042" s="19" t="str">
        <f aca="false">IF(BG3042=0,"",IF(BG3042&lt;&gt;BA3042,"erreur de calcul",IF(BD3042&lt;&gt;0,"pas de prix",IF(M3042&lt;&gt; 0,"pas de quantité","pas de prix, ni de quantité"))))</f>
        <v/>
      </c>
      <c r="BI3042" s="19"/>
    </row>
    <row r="3043" customFormat="false" ht="15" hidden="false" customHeight="false" outlineLevel="0" collapsed="false">
      <c r="A3043" s="0" t="n">
        <v>25</v>
      </c>
      <c r="B3043" s="8" t="s">
        <v>24</v>
      </c>
      <c r="C3043" s="9" t="s">
        <v>25</v>
      </c>
      <c r="D3043" s="9" t="s">
        <v>26</v>
      </c>
      <c r="E3043" s="10" t="n">
        <v>1789</v>
      </c>
      <c r="F3043" s="9" t="s">
        <v>27</v>
      </c>
      <c r="G3043" s="9" t="s">
        <v>27</v>
      </c>
      <c r="H3043" s="11" t="n">
        <v>24</v>
      </c>
      <c r="I3043" s="11" t="s">
        <v>315</v>
      </c>
      <c r="J3043" s="14" t="n">
        <v>10</v>
      </c>
      <c r="K3043" s="14"/>
      <c r="L3043" s="16"/>
      <c r="M3043" s="27" t="n">
        <f aca="false">J3043+(K3043/20)+(L3043/240)</f>
        <v>10</v>
      </c>
      <c r="N3043" s="17" t="s">
        <v>64</v>
      </c>
      <c r="O3043" s="11"/>
      <c r="P3043" s="28"/>
      <c r="Q3043" s="28" t="n">
        <f aca="false">P3043*$M3043</f>
        <v>0</v>
      </c>
      <c r="R3043" s="28"/>
      <c r="S3043" s="28" t="n">
        <f aca="false">R3043*$M3043</f>
        <v>0</v>
      </c>
      <c r="T3043" s="28"/>
      <c r="U3043" s="28" t="n">
        <f aca="false">T3043*$M3043</f>
        <v>0</v>
      </c>
      <c r="V3043" s="28"/>
      <c r="W3043" s="28" t="n">
        <f aca="false">V3043*$M3043</f>
        <v>0</v>
      </c>
      <c r="X3043" s="28"/>
      <c r="Y3043" s="28" t="n">
        <f aca="false">X3043*$M3043</f>
        <v>0</v>
      </c>
      <c r="Z3043" s="28"/>
      <c r="AA3043" s="28" t="n">
        <f aca="false">Z3043*$M3043</f>
        <v>0</v>
      </c>
      <c r="AB3043" s="28"/>
      <c r="AC3043" s="28" t="n">
        <f aca="false">AB3043*$M3043</f>
        <v>0</v>
      </c>
      <c r="AD3043" s="28"/>
      <c r="AE3043" s="28" t="n">
        <f aca="false">AD3043*$M3043</f>
        <v>0</v>
      </c>
      <c r="AF3043" s="28"/>
      <c r="AG3043" s="28" t="n">
        <f aca="false">AF3043*$M3043</f>
        <v>0</v>
      </c>
      <c r="AH3043" s="28"/>
      <c r="AI3043" s="28" t="n">
        <f aca="false">AH3043*$M3043</f>
        <v>0</v>
      </c>
      <c r="AJ3043" s="28" t="n">
        <f aca="false">13584/100</f>
        <v>135.84</v>
      </c>
      <c r="AK3043" s="28" t="n">
        <v>1358</v>
      </c>
      <c r="AL3043" s="28"/>
      <c r="AM3043" s="28" t="n">
        <f aca="false">AL3043*$M3043</f>
        <v>0</v>
      </c>
      <c r="AN3043" s="28"/>
      <c r="AO3043" s="28" t="n">
        <f aca="false">AN3043*$M3043</f>
        <v>0</v>
      </c>
      <c r="AP3043" s="28"/>
      <c r="AQ3043" s="28" t="n">
        <f aca="false">AP3043*$M3043</f>
        <v>0</v>
      </c>
      <c r="AR3043" s="28"/>
      <c r="AS3043" s="28" t="n">
        <f aca="false">AR3043*$M3043</f>
        <v>0</v>
      </c>
      <c r="AT3043" s="28"/>
      <c r="AU3043" s="28" t="n">
        <f aca="false">AT3043*$M3043</f>
        <v>0</v>
      </c>
      <c r="AV3043" s="28"/>
      <c r="AW3043" s="28" t="n">
        <f aca="false">AV3043*$M3043</f>
        <v>0</v>
      </c>
      <c r="AX3043" s="28"/>
      <c r="AY3043" s="28" t="n">
        <f aca="false">AX3043*$M3043</f>
        <v>0</v>
      </c>
      <c r="AZ3043" s="30" t="n">
        <f aca="false">13584/100</f>
        <v>135.84</v>
      </c>
      <c r="BA3043" s="11" t="n">
        <v>1358</v>
      </c>
      <c r="BB3043" s="31" t="n">
        <f aca="false">SUM(Q3043,S3043,U3043,W3043,Y3043,AA3043,AC3043,AE3043,AG3043,AI3043,AK3043,AM3043,AO3043,AQ3043,AS3043,AU3043,AW3043,AY3043)</f>
        <v>1358</v>
      </c>
      <c r="BC3043" s="28" t="n">
        <f aca="false">BA3043-BB3043</f>
        <v>0</v>
      </c>
      <c r="BD3043" s="32" t="n">
        <f aca="false">SUM(P3043,R3043,T3043,V3043,X3043,Z3043,AB3043,AD3043,AF3043,AH3043,AJ3043,AL3043,AN3043,AP3043,AR3043,AT3043,AV3043,AX3043)</f>
        <v>135.84</v>
      </c>
      <c r="BE3043" s="33" t="n">
        <f aca="false">AZ3043-BD3043</f>
        <v>0</v>
      </c>
      <c r="BF3043" s="34" t="n">
        <f aca="false">BD3043*M3043</f>
        <v>1358.4</v>
      </c>
      <c r="BG3043" s="35" t="n">
        <f aca="false">BA3043-BF3043</f>
        <v>-0.400000000000091</v>
      </c>
      <c r="BH3043" s="19" t="str">
        <f aca="false">IF(BG3043=0,"",IF(BG3043&lt;&gt;BA3043,"erreur de calcul",IF(BD3043&lt;&gt;0,"pas de prix",IF(M3043&lt;&gt; 0,"pas de quantité","pas de prix, ni de quantité"))))</f>
        <v>erreur de calcul</v>
      </c>
      <c r="BI3043" s="19"/>
    </row>
    <row r="3044" customFormat="false" ht="15" hidden="false" customHeight="false" outlineLevel="0" collapsed="false">
      <c r="A3044" s="0" t="n">
        <v>26</v>
      </c>
      <c r="B3044" s="8" t="s">
        <v>24</v>
      </c>
      <c r="C3044" s="9" t="s">
        <v>25</v>
      </c>
      <c r="D3044" s="9" t="s">
        <v>26</v>
      </c>
      <c r="E3044" s="10" t="n">
        <v>1789</v>
      </c>
      <c r="F3044" s="9" t="s">
        <v>27</v>
      </c>
      <c r="G3044" s="9" t="s">
        <v>27</v>
      </c>
      <c r="H3044" s="11" t="n">
        <v>24</v>
      </c>
      <c r="I3044" s="11" t="s">
        <v>316</v>
      </c>
      <c r="J3044" s="14" t="n">
        <v>12</v>
      </c>
      <c r="K3044" s="14"/>
      <c r="L3044" s="16"/>
      <c r="M3044" s="27" t="n">
        <f aca="false">J3044+(K3044/20)+(L3044/240)</f>
        <v>12</v>
      </c>
      <c r="N3044" s="17" t="s">
        <v>64</v>
      </c>
      <c r="O3044" s="11"/>
      <c r="P3044" s="28" t="n">
        <f aca="false">8690/100</f>
        <v>86.9</v>
      </c>
      <c r="Q3044" s="28" t="n">
        <v>1043</v>
      </c>
      <c r="R3044" s="28"/>
      <c r="S3044" s="28" t="n">
        <f aca="false">R3044*$M3044</f>
        <v>0</v>
      </c>
      <c r="T3044" s="28"/>
      <c r="U3044" s="28" t="n">
        <f aca="false">T3044*$M3044</f>
        <v>0</v>
      </c>
      <c r="V3044" s="28"/>
      <c r="W3044" s="28" t="n">
        <f aca="false">V3044*$M3044</f>
        <v>0</v>
      </c>
      <c r="X3044" s="28" t="n">
        <f aca="false">10000/100</f>
        <v>100</v>
      </c>
      <c r="Y3044" s="28" t="n">
        <v>1200</v>
      </c>
      <c r="Z3044" s="28"/>
      <c r="AA3044" s="28" t="n">
        <f aca="false">Z3044*$M3044</f>
        <v>0</v>
      </c>
      <c r="AB3044" s="28"/>
      <c r="AC3044" s="28" t="n">
        <f aca="false">AB3044*$M3044</f>
        <v>0</v>
      </c>
      <c r="AD3044" s="28"/>
      <c r="AE3044" s="28" t="n">
        <f aca="false">AD3044*$M3044</f>
        <v>0</v>
      </c>
      <c r="AF3044" s="28"/>
      <c r="AG3044" s="28" t="n">
        <f aca="false">AF3044*$M3044</f>
        <v>0</v>
      </c>
      <c r="AH3044" s="28"/>
      <c r="AI3044" s="28" t="n">
        <f aca="false">AH3044*$M3044</f>
        <v>0</v>
      </c>
      <c r="AJ3044" s="28"/>
      <c r="AK3044" s="28" t="n">
        <f aca="false">AJ3044*$M3044</f>
        <v>0</v>
      </c>
      <c r="AL3044" s="28"/>
      <c r="AM3044" s="28" t="n">
        <f aca="false">AL3044*$M3044</f>
        <v>0</v>
      </c>
      <c r="AN3044" s="28"/>
      <c r="AO3044" s="28" t="n">
        <f aca="false">AN3044*$M3044</f>
        <v>0</v>
      </c>
      <c r="AP3044" s="28"/>
      <c r="AQ3044" s="28" t="n">
        <f aca="false">AP3044*$M3044</f>
        <v>0</v>
      </c>
      <c r="AR3044" s="28"/>
      <c r="AS3044" s="28" t="n">
        <f aca="false">AR3044*$M3044</f>
        <v>0</v>
      </c>
      <c r="AT3044" s="28"/>
      <c r="AU3044" s="28" t="n">
        <f aca="false">AT3044*$M3044</f>
        <v>0</v>
      </c>
      <c r="AV3044" s="28"/>
      <c r="AW3044" s="28" t="n">
        <f aca="false">AV3044*$M3044</f>
        <v>0</v>
      </c>
      <c r="AX3044" s="28"/>
      <c r="AY3044" s="28" t="n">
        <f aca="false">AX3044*$M3044</f>
        <v>0</v>
      </c>
      <c r="AZ3044" s="30" t="n">
        <f aca="false">18690/100</f>
        <v>186.9</v>
      </c>
      <c r="BA3044" s="11" t="n">
        <v>2243</v>
      </c>
      <c r="BB3044" s="31" t="n">
        <f aca="false">SUM(Q3044,S3044,U3044,W3044,Y3044,AA3044,AC3044,AE3044,AG3044,AI3044,AK3044,AM3044,AO3044,AQ3044,AS3044,AU3044,AW3044,AY3044)</f>
        <v>2243</v>
      </c>
      <c r="BC3044" s="28" t="n">
        <f aca="false">BA3044-BB3044</f>
        <v>0</v>
      </c>
      <c r="BD3044" s="32" t="n">
        <f aca="false">SUM(P3044,R3044,T3044,V3044,X3044,Z3044,AB3044,AD3044,AF3044,AH3044,AJ3044,AL3044,AN3044,AP3044,AR3044,AT3044,AV3044,AX3044)</f>
        <v>186.9</v>
      </c>
      <c r="BE3044" s="33" t="n">
        <f aca="false">AZ3044-BD3044</f>
        <v>0</v>
      </c>
      <c r="BF3044" s="34" t="n">
        <f aca="false">BD3044*M3044</f>
        <v>2242.8</v>
      </c>
      <c r="BG3044" s="35" t="n">
        <f aca="false">BA3044-BF3044</f>
        <v>0.199999999999818</v>
      </c>
      <c r="BH3044" s="19" t="str">
        <f aca="false">IF(BG3044=0,"",IF(BG3044&lt;&gt;BA3044,"erreur de calcul",IF(BD3044&lt;&gt;0,"pas de prix",IF(M3044&lt;&gt; 0,"pas de quantité","pas de prix, ni de quantité"))))</f>
        <v>erreur de calcul</v>
      </c>
      <c r="BI3044" s="19"/>
    </row>
    <row r="3045" customFormat="false" ht="15" hidden="false" customHeight="false" outlineLevel="0" collapsed="false">
      <c r="A3045" s="0" t="n">
        <v>27</v>
      </c>
      <c r="B3045" s="8" t="s">
        <v>24</v>
      </c>
      <c r="C3045" s="9" t="s">
        <v>25</v>
      </c>
      <c r="D3045" s="9" t="s">
        <v>26</v>
      </c>
      <c r="E3045" s="10" t="n">
        <v>1789</v>
      </c>
      <c r="F3045" s="9" t="s">
        <v>27</v>
      </c>
      <c r="G3045" s="9" t="s">
        <v>27</v>
      </c>
      <c r="H3045" s="11" t="n">
        <v>24</v>
      </c>
      <c r="I3045" s="11" t="s">
        <v>317</v>
      </c>
      <c r="J3045" s="14" t="n">
        <v>2</v>
      </c>
      <c r="K3045" s="14"/>
      <c r="L3045" s="16"/>
      <c r="M3045" s="27" t="n">
        <f aca="false">J3045+(K3045/20)+(L3045/240)</f>
        <v>2</v>
      </c>
      <c r="N3045" s="17" t="s">
        <v>64</v>
      </c>
      <c r="O3045" s="11"/>
      <c r="P3045" s="28"/>
      <c r="Q3045" s="28" t="n">
        <f aca="false">P3045*$M3045</f>
        <v>0</v>
      </c>
      <c r="R3045" s="28"/>
      <c r="S3045" s="28" t="n">
        <f aca="false">R3045*$M3045</f>
        <v>0</v>
      </c>
      <c r="T3045" s="28"/>
      <c r="U3045" s="28" t="n">
        <f aca="false">T3045*$M3045</f>
        <v>0</v>
      </c>
      <c r="V3045" s="28"/>
      <c r="W3045" s="28" t="n">
        <f aca="false">V3045*$M3045</f>
        <v>0</v>
      </c>
      <c r="X3045" s="28"/>
      <c r="Y3045" s="28" t="n">
        <f aca="false">X3045*$M3045</f>
        <v>0</v>
      </c>
      <c r="Z3045" s="28"/>
      <c r="AA3045" s="28" t="n">
        <f aca="false">Z3045*$M3045</f>
        <v>0</v>
      </c>
      <c r="AB3045" s="28" t="n">
        <f aca="false">15417/100</f>
        <v>154.17</v>
      </c>
      <c r="AC3045" s="28" t="n">
        <v>308</v>
      </c>
      <c r="AD3045" s="28"/>
      <c r="AE3045" s="28" t="n">
        <f aca="false">AD3045*$M3045</f>
        <v>0</v>
      </c>
      <c r="AF3045" s="28"/>
      <c r="AG3045" s="28" t="n">
        <f aca="false">AF3045*$M3045</f>
        <v>0</v>
      </c>
      <c r="AH3045" s="28"/>
      <c r="AI3045" s="28" t="n">
        <f aca="false">AH3045*$M3045</f>
        <v>0</v>
      </c>
      <c r="AJ3045" s="28"/>
      <c r="AK3045" s="28" t="n">
        <f aca="false">AJ3045*$M3045</f>
        <v>0</v>
      </c>
      <c r="AL3045" s="28"/>
      <c r="AM3045" s="28" t="n">
        <f aca="false">AL3045*$M3045</f>
        <v>0</v>
      </c>
      <c r="AN3045" s="28"/>
      <c r="AO3045" s="28" t="n">
        <f aca="false">AN3045*$M3045</f>
        <v>0</v>
      </c>
      <c r="AP3045" s="28"/>
      <c r="AQ3045" s="28" t="n">
        <f aca="false">AP3045*$M3045</f>
        <v>0</v>
      </c>
      <c r="AR3045" s="28"/>
      <c r="AS3045" s="28" t="n">
        <f aca="false">AR3045*$M3045</f>
        <v>0</v>
      </c>
      <c r="AT3045" s="28"/>
      <c r="AU3045" s="28" t="n">
        <f aca="false">AT3045*$M3045</f>
        <v>0</v>
      </c>
      <c r="AV3045" s="28"/>
      <c r="AW3045" s="28" t="n">
        <f aca="false">AV3045*$M3045</f>
        <v>0</v>
      </c>
      <c r="AX3045" s="28"/>
      <c r="AY3045" s="28" t="n">
        <f aca="false">AX3045*$M3045</f>
        <v>0</v>
      </c>
      <c r="AZ3045" s="30" t="n">
        <f aca="false">15417/100</f>
        <v>154.17</v>
      </c>
      <c r="BA3045" s="11" t="n">
        <v>308</v>
      </c>
      <c r="BB3045" s="31" t="n">
        <f aca="false">SUM(Q3045,S3045,U3045,W3045,Y3045,AA3045,AC3045,AE3045,AG3045,AI3045,AK3045,AM3045,AO3045,AQ3045,AS3045,AU3045,AW3045,AY3045)</f>
        <v>308</v>
      </c>
      <c r="BC3045" s="28" t="n">
        <f aca="false">BA3045-BB3045</f>
        <v>0</v>
      </c>
      <c r="BD3045" s="32" t="n">
        <f aca="false">SUM(P3045,R3045,T3045,V3045,X3045,Z3045,AB3045,AD3045,AF3045,AH3045,AJ3045,AL3045,AN3045,AP3045,AR3045,AT3045,AV3045,AX3045)</f>
        <v>154.17</v>
      </c>
      <c r="BE3045" s="33" t="n">
        <f aca="false">AZ3045-BD3045</f>
        <v>0</v>
      </c>
      <c r="BF3045" s="34" t="n">
        <f aca="false">BD3045*M3045</f>
        <v>308.34</v>
      </c>
      <c r="BG3045" s="35" t="n">
        <f aca="false">BA3045-BF3045</f>
        <v>-0.339999999999975</v>
      </c>
      <c r="BH3045" s="19" t="str">
        <f aca="false">IF(BG3045=0,"",IF(BG3045&lt;&gt;BA3045,"erreur de calcul",IF(BD3045&lt;&gt;0,"pas de prix",IF(M3045&lt;&gt; 0,"pas de quantité","pas de prix, ni de quantité"))))</f>
        <v>erreur de calcul</v>
      </c>
      <c r="BI3045" s="19"/>
    </row>
    <row r="3046" customFormat="false" ht="15" hidden="false" customHeight="false" outlineLevel="0" collapsed="false">
      <c r="A3046" s="0" t="n">
        <v>28</v>
      </c>
      <c r="B3046" s="8" t="s">
        <v>24</v>
      </c>
      <c r="C3046" s="9" t="s">
        <v>25</v>
      </c>
      <c r="D3046" s="9" t="s">
        <v>26</v>
      </c>
      <c r="E3046" s="10" t="n">
        <v>1789</v>
      </c>
      <c r="F3046" s="9" t="s">
        <v>27</v>
      </c>
      <c r="G3046" s="9" t="s">
        <v>27</v>
      </c>
      <c r="H3046" s="11" t="n">
        <v>24</v>
      </c>
      <c r="I3046" s="11" t="s">
        <v>318</v>
      </c>
      <c r="J3046" s="14" t="n">
        <v>30</v>
      </c>
      <c r="K3046" s="14"/>
      <c r="L3046" s="16"/>
      <c r="M3046" s="27" t="n">
        <f aca="false">J3046+(K3046/20)+(L3046/240)</f>
        <v>30</v>
      </c>
      <c r="N3046" s="17" t="s">
        <v>64</v>
      </c>
      <c r="O3046" s="11"/>
      <c r="P3046" s="28" t="n">
        <f aca="false">55459/100</f>
        <v>554.59</v>
      </c>
      <c r="Q3046" s="28" t="n">
        <v>16638</v>
      </c>
      <c r="R3046" s="28"/>
      <c r="S3046" s="28" t="n">
        <f aca="false">R3046*$M3046</f>
        <v>0</v>
      </c>
      <c r="T3046" s="28"/>
      <c r="U3046" s="28" t="n">
        <f aca="false">T3046*$M3046</f>
        <v>0</v>
      </c>
      <c r="V3046" s="28"/>
      <c r="W3046" s="28" t="n">
        <f aca="false">V3046*$M3046</f>
        <v>0</v>
      </c>
      <c r="X3046" s="28"/>
      <c r="Y3046" s="28" t="n">
        <f aca="false">X3046*$M3046</f>
        <v>0</v>
      </c>
      <c r="Z3046" s="28"/>
      <c r="AA3046" s="28" t="n">
        <f aca="false">Z3046*$M3046</f>
        <v>0</v>
      </c>
      <c r="AB3046" s="28"/>
      <c r="AC3046" s="28" t="n">
        <f aca="false">AB3046*$M3046</f>
        <v>0</v>
      </c>
      <c r="AD3046" s="28"/>
      <c r="AE3046" s="28" t="n">
        <f aca="false">AD3046*$M3046</f>
        <v>0</v>
      </c>
      <c r="AF3046" s="28"/>
      <c r="AG3046" s="28" t="n">
        <f aca="false">AF3046*$M3046</f>
        <v>0</v>
      </c>
      <c r="AH3046" s="28"/>
      <c r="AI3046" s="28" t="n">
        <f aca="false">AH3046*$M3046</f>
        <v>0</v>
      </c>
      <c r="AJ3046" s="28"/>
      <c r="AK3046" s="28" t="n">
        <f aca="false">AJ3046*$M3046</f>
        <v>0</v>
      </c>
      <c r="AL3046" s="28"/>
      <c r="AM3046" s="28" t="n">
        <f aca="false">AL3046*$M3046</f>
        <v>0</v>
      </c>
      <c r="AN3046" s="28"/>
      <c r="AO3046" s="28" t="n">
        <f aca="false">AN3046*$M3046</f>
        <v>0</v>
      </c>
      <c r="AP3046" s="28"/>
      <c r="AQ3046" s="28" t="n">
        <f aca="false">AP3046*$M3046</f>
        <v>0</v>
      </c>
      <c r="AR3046" s="28"/>
      <c r="AS3046" s="28" t="n">
        <f aca="false">AR3046*$M3046</f>
        <v>0</v>
      </c>
      <c r="AT3046" s="28"/>
      <c r="AU3046" s="28" t="n">
        <f aca="false">AT3046*$M3046</f>
        <v>0</v>
      </c>
      <c r="AV3046" s="28"/>
      <c r="AW3046" s="28" t="n">
        <f aca="false">AV3046*$M3046</f>
        <v>0</v>
      </c>
      <c r="AX3046" s="28"/>
      <c r="AY3046" s="28" t="n">
        <f aca="false">AX3046*$M3046</f>
        <v>0</v>
      </c>
      <c r="AZ3046" s="30" t="n">
        <f aca="false">55459/100</f>
        <v>554.59</v>
      </c>
      <c r="BA3046" s="11" t="n">
        <v>16638</v>
      </c>
      <c r="BB3046" s="31" t="n">
        <f aca="false">SUM(Q3046,S3046,U3046,W3046,Y3046,AA3046,AC3046,AE3046,AG3046,AI3046,AK3046,AM3046,AO3046,AQ3046,AS3046,AU3046,AW3046,AY3046)</f>
        <v>16638</v>
      </c>
      <c r="BC3046" s="28" t="n">
        <f aca="false">BA3046-BB3046</f>
        <v>0</v>
      </c>
      <c r="BD3046" s="32" t="n">
        <f aca="false">SUM(P3046,R3046,T3046,V3046,X3046,Z3046,AB3046,AD3046,AF3046,AH3046,AJ3046,AL3046,AN3046,AP3046,AR3046,AT3046,AV3046,AX3046)</f>
        <v>554.59</v>
      </c>
      <c r="BE3046" s="33" t="n">
        <f aca="false">AZ3046-BD3046</f>
        <v>0</v>
      </c>
      <c r="BF3046" s="34" t="n">
        <f aca="false">BD3046*M3046</f>
        <v>16637.7</v>
      </c>
      <c r="BG3046" s="35" t="n">
        <f aca="false">BA3046-BF3046</f>
        <v>0.299999999999272</v>
      </c>
      <c r="BH3046" s="19" t="str">
        <f aca="false">IF(BG3046=0,"",IF(BG3046&lt;&gt;BA3046,"erreur de calcul",IF(BD3046&lt;&gt;0,"pas de prix",IF(M3046&lt;&gt; 0,"pas de quantité","pas de prix, ni de quantité"))))</f>
        <v>erreur de calcul</v>
      </c>
      <c r="BI3046" s="19"/>
    </row>
    <row r="3047" customFormat="false" ht="15" hidden="false" customHeight="false" outlineLevel="0" collapsed="false">
      <c r="A3047" s="0" t="n">
        <v>29</v>
      </c>
      <c r="B3047" s="8" t="s">
        <v>24</v>
      </c>
      <c r="C3047" s="9" t="s">
        <v>25</v>
      </c>
      <c r="D3047" s="9" t="s">
        <v>26</v>
      </c>
      <c r="E3047" s="10" t="n">
        <v>1789</v>
      </c>
      <c r="F3047" s="9" t="s">
        <v>27</v>
      </c>
      <c r="G3047" s="9" t="s">
        <v>27</v>
      </c>
      <c r="H3047" s="11" t="n">
        <v>24</v>
      </c>
      <c r="I3047" s="11" t="s">
        <v>319</v>
      </c>
      <c r="J3047" s="14" t="n">
        <v>10</v>
      </c>
      <c r="K3047" s="14"/>
      <c r="L3047" s="16"/>
      <c r="M3047" s="27" t="n">
        <f aca="false">J3047+(K3047/20)+(L3047/240)</f>
        <v>10</v>
      </c>
      <c r="N3047" s="17" t="s">
        <v>64</v>
      </c>
      <c r="O3047" s="11"/>
      <c r="P3047" s="28" t="n">
        <f aca="false">48819/100</f>
        <v>488.19</v>
      </c>
      <c r="Q3047" s="28" t="n">
        <v>4882</v>
      </c>
      <c r="R3047" s="28"/>
      <c r="S3047" s="28" t="n">
        <f aca="false">R3047*$M3047</f>
        <v>0</v>
      </c>
      <c r="T3047" s="28" t="n">
        <f aca="false">2500/100</f>
        <v>25</v>
      </c>
      <c r="U3047" s="28" t="n">
        <v>250</v>
      </c>
      <c r="V3047" s="28"/>
      <c r="W3047" s="28" t="n">
        <f aca="false">V3047*$M3047</f>
        <v>0</v>
      </c>
      <c r="X3047" s="28" t="n">
        <f aca="false">6667/100</f>
        <v>66.67</v>
      </c>
      <c r="Y3047" s="28" t="n">
        <v>667</v>
      </c>
      <c r="Z3047" s="28"/>
      <c r="AA3047" s="28" t="n">
        <f aca="false">Z3047*$M3047</f>
        <v>0</v>
      </c>
      <c r="AB3047" s="28"/>
      <c r="AC3047" s="28" t="n">
        <f aca="false">AB3047*$M3047</f>
        <v>0</v>
      </c>
      <c r="AD3047" s="28"/>
      <c r="AE3047" s="28" t="n">
        <f aca="false">AD3047*$M3047</f>
        <v>0</v>
      </c>
      <c r="AF3047" s="28"/>
      <c r="AG3047" s="28" t="n">
        <f aca="false">AF3047*$M3047</f>
        <v>0</v>
      </c>
      <c r="AH3047" s="28"/>
      <c r="AI3047" s="28" t="n">
        <f aca="false">AH3047*$M3047</f>
        <v>0</v>
      </c>
      <c r="AJ3047" s="28"/>
      <c r="AK3047" s="28" t="n">
        <f aca="false">AJ3047*$M3047</f>
        <v>0</v>
      </c>
      <c r="AL3047" s="28"/>
      <c r="AM3047" s="28" t="n">
        <f aca="false">AL3047*$M3047</f>
        <v>0</v>
      </c>
      <c r="AN3047" s="28"/>
      <c r="AO3047" s="28" t="n">
        <f aca="false">AN3047*$M3047</f>
        <v>0</v>
      </c>
      <c r="AP3047" s="28"/>
      <c r="AQ3047" s="28" t="n">
        <f aca="false">AP3047*$M3047</f>
        <v>0</v>
      </c>
      <c r="AR3047" s="28"/>
      <c r="AS3047" s="28" t="n">
        <f aca="false">AR3047*$M3047</f>
        <v>0</v>
      </c>
      <c r="AT3047" s="28"/>
      <c r="AU3047" s="28" t="n">
        <f aca="false">AT3047*$M3047</f>
        <v>0</v>
      </c>
      <c r="AV3047" s="28"/>
      <c r="AW3047" s="28" t="n">
        <f aca="false">AV3047*$M3047</f>
        <v>0</v>
      </c>
      <c r="AX3047" s="28"/>
      <c r="AY3047" s="28" t="n">
        <f aca="false">AX3047*$M3047</f>
        <v>0</v>
      </c>
      <c r="AZ3047" s="30" t="n">
        <f aca="false">57986/100</f>
        <v>579.86</v>
      </c>
      <c r="BA3047" s="11" t="n">
        <v>5799</v>
      </c>
      <c r="BB3047" s="31" t="n">
        <f aca="false">SUM(Q3047,S3047,U3047,W3047,Y3047,AA3047,AC3047,AE3047,AG3047,AI3047,AK3047,AM3047,AO3047,AQ3047,AS3047,AU3047,AW3047,AY3047)</f>
        <v>5799</v>
      </c>
      <c r="BC3047" s="28" t="n">
        <f aca="false">BA3047-BB3047</f>
        <v>0</v>
      </c>
      <c r="BD3047" s="32" t="n">
        <f aca="false">SUM(P3047,R3047,T3047,V3047,X3047,Z3047,AB3047,AD3047,AF3047,AH3047,AJ3047,AL3047,AN3047,AP3047,AR3047,AT3047,AV3047,AX3047)</f>
        <v>579.86</v>
      </c>
      <c r="BE3047" s="33" t="n">
        <f aca="false">AZ3047-BD3047</f>
        <v>0</v>
      </c>
      <c r="BF3047" s="34" t="n">
        <f aca="false">BD3047*M3047</f>
        <v>5798.6</v>
      </c>
      <c r="BG3047" s="35" t="n">
        <f aca="false">BA3047-BF3047</f>
        <v>0.399999999999636</v>
      </c>
      <c r="BH3047" s="19" t="str">
        <f aca="false">IF(BG3047=0,"",IF(BG3047&lt;&gt;BA3047,"erreur de calcul",IF(BD3047&lt;&gt;0,"pas de prix",IF(M3047&lt;&gt; 0,"pas de quantité","pas de prix, ni de quantité"))))</f>
        <v>erreur de calcul</v>
      </c>
      <c r="BI3047" s="19"/>
    </row>
    <row r="3048" customFormat="false" ht="15" hidden="false" customHeight="false" outlineLevel="0" collapsed="false">
      <c r="A3048" s="0" t="n">
        <v>30</v>
      </c>
      <c r="B3048" s="8" t="s">
        <v>24</v>
      </c>
      <c r="C3048" s="9" t="s">
        <v>25</v>
      </c>
      <c r="D3048" s="9" t="s">
        <v>26</v>
      </c>
      <c r="E3048" s="10" t="n">
        <v>1789</v>
      </c>
      <c r="F3048" s="9" t="s">
        <v>27</v>
      </c>
      <c r="G3048" s="9" t="s">
        <v>27</v>
      </c>
      <c r="H3048" s="11" t="n">
        <v>24</v>
      </c>
      <c r="I3048" s="11" t="s">
        <v>320</v>
      </c>
      <c r="J3048" s="14" t="n">
        <v>90</v>
      </c>
      <c r="K3048" s="14"/>
      <c r="L3048" s="16"/>
      <c r="M3048" s="27" t="n">
        <f aca="false">J3048+(K3048/20)+(L3048/240)</f>
        <v>90</v>
      </c>
      <c r="N3048" s="17" t="s">
        <v>64</v>
      </c>
      <c r="O3048" s="11"/>
      <c r="P3048" s="28"/>
      <c r="Q3048" s="28" t="n">
        <f aca="false">P3048*$M3048</f>
        <v>0</v>
      </c>
      <c r="R3048" s="28"/>
      <c r="S3048" s="28" t="n">
        <f aca="false">R3048*$M3048</f>
        <v>0</v>
      </c>
      <c r="T3048" s="28"/>
      <c r="U3048" s="28" t="n">
        <f aca="false">T3048*$M3048</f>
        <v>0</v>
      </c>
      <c r="V3048" s="28"/>
      <c r="W3048" s="28" t="n">
        <f aca="false">V3048*$M3048</f>
        <v>0</v>
      </c>
      <c r="X3048" s="28"/>
      <c r="Y3048" s="28" t="n">
        <f aca="false">X3048*$M3048</f>
        <v>0</v>
      </c>
      <c r="Z3048" s="28"/>
      <c r="AA3048" s="28" t="n">
        <f aca="false">Z3048*$M3048</f>
        <v>0</v>
      </c>
      <c r="AB3048" s="28"/>
      <c r="AC3048" s="28" t="n">
        <f aca="false">AB3048*$M3048</f>
        <v>0</v>
      </c>
      <c r="AD3048" s="28"/>
      <c r="AE3048" s="28" t="n">
        <f aca="false">AD3048*$M3048</f>
        <v>0</v>
      </c>
      <c r="AF3048" s="28"/>
      <c r="AG3048" s="28" t="n">
        <f aca="false">AF3048*$M3048</f>
        <v>0</v>
      </c>
      <c r="AH3048" s="28"/>
      <c r="AI3048" s="28" t="n">
        <f aca="false">AH3048*$M3048</f>
        <v>0</v>
      </c>
      <c r="AJ3048" s="28"/>
      <c r="AK3048" s="28" t="n">
        <f aca="false">AJ3048*$M3048</f>
        <v>0</v>
      </c>
      <c r="AL3048" s="28" t="n">
        <f aca="false">2950/100</f>
        <v>29.5</v>
      </c>
      <c r="AM3048" s="28" t="n">
        <v>2655</v>
      </c>
      <c r="AN3048" s="28"/>
      <c r="AO3048" s="28" t="n">
        <f aca="false">AN3048*$M3048</f>
        <v>0</v>
      </c>
      <c r="AP3048" s="28"/>
      <c r="AQ3048" s="28" t="n">
        <f aca="false">AP3048*$M3048</f>
        <v>0</v>
      </c>
      <c r="AR3048" s="28"/>
      <c r="AS3048" s="28" t="n">
        <f aca="false">AR3048*$M3048</f>
        <v>0</v>
      </c>
      <c r="AT3048" s="28"/>
      <c r="AU3048" s="28" t="n">
        <f aca="false">AT3048*$M3048</f>
        <v>0</v>
      </c>
      <c r="AV3048" s="28"/>
      <c r="AW3048" s="28" t="n">
        <f aca="false">AV3048*$M3048</f>
        <v>0</v>
      </c>
      <c r="AX3048" s="28"/>
      <c r="AY3048" s="28" t="n">
        <f aca="false">AX3048*$M3048</f>
        <v>0</v>
      </c>
      <c r="AZ3048" s="30" t="n">
        <f aca="false">2950/100</f>
        <v>29.5</v>
      </c>
      <c r="BA3048" s="11" t="n">
        <v>2655</v>
      </c>
      <c r="BB3048" s="31" t="n">
        <f aca="false">SUM(Q3048,S3048,U3048,W3048,Y3048,AA3048,AC3048,AE3048,AG3048,AI3048,AK3048,AM3048,AO3048,AQ3048,AS3048,AU3048,AW3048,AY3048)</f>
        <v>2655</v>
      </c>
      <c r="BC3048" s="28" t="n">
        <f aca="false">BA3048-BB3048</f>
        <v>0</v>
      </c>
      <c r="BD3048" s="32" t="n">
        <f aca="false">SUM(P3048,R3048,T3048,V3048,X3048,Z3048,AB3048,AD3048,AF3048,AH3048,AJ3048,AL3048,AN3048,AP3048,AR3048,AT3048,AV3048,AX3048)</f>
        <v>29.5</v>
      </c>
      <c r="BE3048" s="33" t="n">
        <f aca="false">AZ3048-BD3048</f>
        <v>0</v>
      </c>
      <c r="BF3048" s="34" t="n">
        <f aca="false">BD3048*M3048</f>
        <v>2655</v>
      </c>
      <c r="BG3048" s="35" t="n">
        <f aca="false">BA3048-BF3048</f>
        <v>0</v>
      </c>
      <c r="BH3048" s="19" t="str">
        <f aca="false">IF(BG3048=0,"",IF(BG3048&lt;&gt;BA3048,"erreur de calcul",IF(BD3048&lt;&gt;0,"pas de prix",IF(M3048&lt;&gt; 0,"pas de quantité","pas de prix, ni de quantité"))))</f>
        <v/>
      </c>
      <c r="BI3048" s="19"/>
    </row>
    <row r="3049" customFormat="false" ht="15" hidden="false" customHeight="false" outlineLevel="0" collapsed="false">
      <c r="A3049" s="0" t="n">
        <v>31</v>
      </c>
      <c r="B3049" s="8" t="s">
        <v>24</v>
      </c>
      <c r="C3049" s="9" t="s">
        <v>25</v>
      </c>
      <c r="D3049" s="9" t="s">
        <v>26</v>
      </c>
      <c r="E3049" s="10" t="n">
        <v>1789</v>
      </c>
      <c r="F3049" s="9" t="s">
        <v>27</v>
      </c>
      <c r="G3049" s="9" t="s">
        <v>27</v>
      </c>
      <c r="H3049" s="11" t="n">
        <v>24</v>
      </c>
      <c r="I3049" s="11" t="s">
        <v>321</v>
      </c>
      <c r="J3049" s="14" t="n">
        <v>50</v>
      </c>
      <c r="K3049" s="14"/>
      <c r="L3049" s="16"/>
      <c r="M3049" s="27" t="n">
        <f aca="false">J3049+(K3049/20)+(L3049/240)</f>
        <v>50</v>
      </c>
      <c r="N3049" s="17" t="s">
        <v>64</v>
      </c>
      <c r="O3049" s="11" t="s">
        <v>277</v>
      </c>
      <c r="P3049" s="28"/>
      <c r="Q3049" s="28" t="n">
        <f aca="false">P3049*$M3049</f>
        <v>0</v>
      </c>
      <c r="R3049" s="28"/>
      <c r="S3049" s="28" t="n">
        <f aca="false">R3049*$M3049</f>
        <v>0</v>
      </c>
      <c r="T3049" s="28" t="n">
        <f aca="false">2*288*0.02+153*0.02</f>
        <v>14.58</v>
      </c>
      <c r="U3049" s="28" t="n">
        <v>729</v>
      </c>
      <c r="V3049" s="28" t="n">
        <f aca="false">2*288*0.02+118*0.02</f>
        <v>13.88</v>
      </c>
      <c r="W3049" s="28" t="n">
        <v>694</v>
      </c>
      <c r="X3049" s="28" t="n">
        <f aca="false">25*288*0.02+103*0.02</f>
        <v>146.06</v>
      </c>
      <c r="Y3049" s="28" t="n">
        <v>7303</v>
      </c>
      <c r="Z3049" s="28"/>
      <c r="AA3049" s="28" t="n">
        <f aca="false">Z3049*$M3049</f>
        <v>0</v>
      </c>
      <c r="AB3049" s="28" t="n">
        <f aca="false">1*288*0.02+74*0.02</f>
        <v>7.24</v>
      </c>
      <c r="AC3049" s="28" t="n">
        <v>362</v>
      </c>
      <c r="AD3049" s="28" t="n">
        <f aca="false">276*0.02</f>
        <v>5.52</v>
      </c>
      <c r="AE3049" s="28" t="n">
        <v>276</v>
      </c>
      <c r="AF3049" s="28"/>
      <c r="AG3049" s="28" t="n">
        <f aca="false">AF3049*$M3049</f>
        <v>0</v>
      </c>
      <c r="AH3049" s="28" t="n">
        <f aca="false">1*288*0.02+75*0.02</f>
        <v>7.26</v>
      </c>
      <c r="AI3049" s="28" t="n">
        <v>363</v>
      </c>
      <c r="AJ3049" s="28" t="n">
        <f aca="false">2*288*0.02+176*0.02</f>
        <v>15.04</v>
      </c>
      <c r="AK3049" s="28" t="n">
        <v>752</v>
      </c>
      <c r="AL3049" s="28"/>
      <c r="AM3049" s="28" t="n">
        <f aca="false">AL3049*$M3049</f>
        <v>0</v>
      </c>
      <c r="AN3049" s="28"/>
      <c r="AO3049" s="28" t="n">
        <f aca="false">AN3049*$M3049</f>
        <v>0</v>
      </c>
      <c r="AP3049" s="28"/>
      <c r="AQ3049" s="28" t="n">
        <f aca="false">AP3049*$M3049</f>
        <v>0</v>
      </c>
      <c r="AR3049" s="28"/>
      <c r="AS3049" s="28" t="n">
        <f aca="false">AR3049*$M3049</f>
        <v>0</v>
      </c>
      <c r="AT3049" s="28"/>
      <c r="AU3049" s="28" t="n">
        <f aca="false">AT3049*$M3049</f>
        <v>0</v>
      </c>
      <c r="AV3049" s="28"/>
      <c r="AW3049" s="28" t="n">
        <f aca="false">AV3049*$M3049</f>
        <v>0</v>
      </c>
      <c r="AX3049" s="28"/>
      <c r="AY3049" s="28" t="n">
        <f aca="false">AX3049*$M3049</f>
        <v>0</v>
      </c>
      <c r="AZ3049" s="30" t="n">
        <f aca="false">36*288*0.02+111*0.02</f>
        <v>209.58</v>
      </c>
      <c r="BA3049" s="11" t="n">
        <v>10479</v>
      </c>
      <c r="BB3049" s="31" t="n">
        <f aca="false">SUM(Q3049,S3049,U3049,W3049,Y3049,AA3049,AC3049,AE3049,AG3049,AI3049,AK3049,AM3049,AO3049,AQ3049,AS3049,AU3049,AW3049,AY3049)</f>
        <v>10479</v>
      </c>
      <c r="BC3049" s="28" t="n">
        <f aca="false">BA3049-BB3049</f>
        <v>0</v>
      </c>
      <c r="BD3049" s="32" t="n">
        <f aca="false">SUM(P3049,R3049,T3049,V3049,X3049,Z3049,AB3049,AD3049,AF3049,AH3049,AJ3049,AL3049,AN3049,AP3049,AR3049,AT3049,AV3049,AX3049)</f>
        <v>209.58</v>
      </c>
      <c r="BE3049" s="33" t="n">
        <f aca="false">AZ3049-BD3049</f>
        <v>0</v>
      </c>
      <c r="BF3049" s="34" t="n">
        <f aca="false">BD3049*M3049</f>
        <v>10479</v>
      </c>
      <c r="BG3049" s="35" t="n">
        <f aca="false">BA3049-BF3049</f>
        <v>0</v>
      </c>
      <c r="BH3049" s="19" t="str">
        <f aca="false">IF(BG3049=0,"",IF(BG3049&lt;&gt;BA3049,"erreur de calcul",IF(BD3049&lt;&gt;0,"pas de prix",IF(M3049&lt;&gt; 0,"pas de quantité","pas de prix, ni de quantité"))))</f>
        <v/>
      </c>
      <c r="BI3049" s="19"/>
    </row>
    <row r="3050" customFormat="false" ht="15" hidden="false" customHeight="false" outlineLevel="0" collapsed="false">
      <c r="A3050" s="0" t="n">
        <v>32</v>
      </c>
      <c r="B3050" s="8" t="s">
        <v>24</v>
      </c>
      <c r="C3050" s="9" t="s">
        <v>25</v>
      </c>
      <c r="D3050" s="9" t="s">
        <v>26</v>
      </c>
      <c r="E3050" s="10" t="n">
        <v>1789</v>
      </c>
      <c r="F3050" s="9" t="s">
        <v>27</v>
      </c>
      <c r="G3050" s="9" t="s">
        <v>27</v>
      </c>
      <c r="H3050" s="11" t="n">
        <v>24</v>
      </c>
      <c r="I3050" s="11" t="s">
        <v>322</v>
      </c>
      <c r="J3050" s="14" t="n">
        <v>70</v>
      </c>
      <c r="K3050" s="14"/>
      <c r="L3050" s="16"/>
      <c r="M3050" s="27" t="n">
        <f aca="false">J3050+(K3050/20)+(L3050/240)</f>
        <v>70</v>
      </c>
      <c r="N3050" s="17" t="s">
        <v>64</v>
      </c>
      <c r="O3050" s="11"/>
      <c r="P3050" s="28"/>
      <c r="Q3050" s="28" t="n">
        <f aca="false">P3050*$M3050</f>
        <v>0</v>
      </c>
      <c r="R3050" s="28"/>
      <c r="S3050" s="28" t="n">
        <f aca="false">R3050*$M3050</f>
        <v>0</v>
      </c>
      <c r="T3050" s="28"/>
      <c r="U3050" s="28" t="n">
        <f aca="false">T3050*$M3050</f>
        <v>0</v>
      </c>
      <c r="V3050" s="28"/>
      <c r="W3050" s="28" t="n">
        <f aca="false">V3050*$M3050</f>
        <v>0</v>
      </c>
      <c r="X3050" s="28" t="n">
        <f aca="false">2*288*0.02+217*0.02</f>
        <v>15.86</v>
      </c>
      <c r="Y3050" s="28" t="n">
        <v>1111</v>
      </c>
      <c r="Z3050" s="28"/>
      <c r="AA3050" s="28" t="n">
        <f aca="false">Z3050*$M3050</f>
        <v>0</v>
      </c>
      <c r="AB3050" s="28"/>
      <c r="AC3050" s="28" t="n">
        <f aca="false">AB3050*$M3050</f>
        <v>0</v>
      </c>
      <c r="AD3050" s="28"/>
      <c r="AE3050" s="28" t="n">
        <f aca="false">AD3050*$M3050</f>
        <v>0</v>
      </c>
      <c r="AF3050" s="28"/>
      <c r="AG3050" s="28" t="n">
        <f aca="false">AF3050*$M3050</f>
        <v>0</v>
      </c>
      <c r="AH3050" s="28"/>
      <c r="AI3050" s="28" t="n">
        <f aca="false">AH3050*$M3050</f>
        <v>0</v>
      </c>
      <c r="AJ3050" s="28"/>
      <c r="AK3050" s="28" t="n">
        <f aca="false">AJ3050*$M3050</f>
        <v>0</v>
      </c>
      <c r="AL3050" s="28"/>
      <c r="AM3050" s="28" t="n">
        <f aca="false">AL3050*$M3050</f>
        <v>0</v>
      </c>
      <c r="AN3050" s="28"/>
      <c r="AO3050" s="28" t="n">
        <f aca="false">AN3050*$M3050</f>
        <v>0</v>
      </c>
      <c r="AP3050" s="28"/>
      <c r="AQ3050" s="28" t="n">
        <f aca="false">AP3050*$M3050</f>
        <v>0</v>
      </c>
      <c r="AR3050" s="28"/>
      <c r="AS3050" s="28" t="n">
        <f aca="false">AR3050*$M3050</f>
        <v>0</v>
      </c>
      <c r="AT3050" s="28"/>
      <c r="AU3050" s="28" t="n">
        <f aca="false">AT3050*$M3050</f>
        <v>0</v>
      </c>
      <c r="AV3050" s="28"/>
      <c r="AW3050" s="28" t="n">
        <f aca="false">AV3050*$M3050</f>
        <v>0</v>
      </c>
      <c r="AX3050" s="28"/>
      <c r="AY3050" s="28" t="n">
        <f aca="false">AX3050*$M3050</f>
        <v>0</v>
      </c>
      <c r="AZ3050" s="30" t="n">
        <f aca="false">2*288*0.02+217*0.02</f>
        <v>15.86</v>
      </c>
      <c r="BA3050" s="11" t="n">
        <v>1111</v>
      </c>
      <c r="BB3050" s="31" t="n">
        <f aca="false">SUM(Q3050,S3050,U3050,W3050,Y3050,AA3050,AC3050,AE3050,AG3050,AI3050,AK3050,AM3050,AO3050,AQ3050,AS3050,AU3050,AW3050,AY3050)</f>
        <v>1111</v>
      </c>
      <c r="BC3050" s="28" t="n">
        <f aca="false">BA3050-BB3050</f>
        <v>0</v>
      </c>
      <c r="BD3050" s="32" t="n">
        <f aca="false">SUM(P3050,R3050,T3050,V3050,X3050,Z3050,AB3050,AD3050,AF3050,AH3050,AJ3050,AL3050,AN3050,AP3050,AR3050,AT3050,AV3050,AX3050)</f>
        <v>15.86</v>
      </c>
      <c r="BE3050" s="33" t="n">
        <f aca="false">AZ3050-BD3050</f>
        <v>0</v>
      </c>
      <c r="BF3050" s="34" t="n">
        <f aca="false">BD3050*M3050</f>
        <v>1110.2</v>
      </c>
      <c r="BG3050" s="35" t="n">
        <f aca="false">BA3050-BF3050</f>
        <v>0.799999999999955</v>
      </c>
      <c r="BH3050" s="19" t="str">
        <f aca="false">IF(BG3050=0,"",IF(BG3050&lt;&gt;BA3050,"erreur de calcul",IF(BD3050&lt;&gt;0,"pas de prix",IF(M3050&lt;&gt; 0,"pas de quantité","pas de prix, ni de quantité"))))</f>
        <v>erreur de calcul</v>
      </c>
      <c r="BI3050" s="19"/>
    </row>
    <row r="3051" customFormat="false" ht="15" hidden="false" customHeight="false" outlineLevel="0" collapsed="false">
      <c r="A3051" s="0" t="n">
        <v>33</v>
      </c>
      <c r="B3051" s="8" t="s">
        <v>24</v>
      </c>
      <c r="C3051" s="9" t="s">
        <v>25</v>
      </c>
      <c r="D3051" s="9" t="s">
        <v>26</v>
      </c>
      <c r="E3051" s="10" t="n">
        <v>1789</v>
      </c>
      <c r="F3051" s="9" t="s">
        <v>27</v>
      </c>
      <c r="G3051" s="9" t="s">
        <v>27</v>
      </c>
      <c r="H3051" s="11" t="n">
        <v>24</v>
      </c>
      <c r="I3051" s="11" t="s">
        <v>323</v>
      </c>
      <c r="J3051" s="14"/>
      <c r="K3051" s="14" t="n">
        <v>40</v>
      </c>
      <c r="L3051" s="16"/>
      <c r="M3051" s="27" t="n">
        <f aca="false">J3051+(K3051/20)+(L3051/240)</f>
        <v>2</v>
      </c>
      <c r="N3051" s="17" t="s">
        <v>66</v>
      </c>
      <c r="O3051" s="11"/>
      <c r="P3051" s="28" t="n">
        <v>780</v>
      </c>
      <c r="Q3051" s="28" t="n">
        <v>1560</v>
      </c>
      <c r="R3051" s="28"/>
      <c r="S3051" s="28" t="n">
        <f aca="false">R3051*$M3051</f>
        <v>0</v>
      </c>
      <c r="T3051" s="28" t="n">
        <v>1552</v>
      </c>
      <c r="U3051" s="28" t="n">
        <v>3104</v>
      </c>
      <c r="V3051" s="28" t="n">
        <v>1051</v>
      </c>
      <c r="W3051" s="28" t="n">
        <v>2102</v>
      </c>
      <c r="X3051" s="28" t="n">
        <v>1486</v>
      </c>
      <c r="Y3051" s="28" t="n">
        <v>2972</v>
      </c>
      <c r="Z3051" s="28" t="n">
        <v>847</v>
      </c>
      <c r="AA3051" s="28" t="n">
        <v>1694</v>
      </c>
      <c r="AB3051" s="28" t="n">
        <v>114</v>
      </c>
      <c r="AC3051" s="28" t="n">
        <v>228</v>
      </c>
      <c r="AD3051" s="28" t="n">
        <v>407</v>
      </c>
      <c r="AE3051" s="28" t="n">
        <v>814</v>
      </c>
      <c r="AF3051" s="28"/>
      <c r="AG3051" s="28" t="n">
        <f aca="false">AF3051*$M3051</f>
        <v>0</v>
      </c>
      <c r="AH3051" s="28"/>
      <c r="AI3051" s="28" t="n">
        <f aca="false">AH3051*$M3051</f>
        <v>0</v>
      </c>
      <c r="AJ3051" s="28" t="n">
        <v>1297</v>
      </c>
      <c r="AK3051" s="28" t="n">
        <v>2594</v>
      </c>
      <c r="AL3051" s="28"/>
      <c r="AM3051" s="28" t="n">
        <f aca="false">AL3051*$M3051</f>
        <v>0</v>
      </c>
      <c r="AN3051" s="28"/>
      <c r="AO3051" s="28" t="n">
        <f aca="false">AN3051*$M3051</f>
        <v>0</v>
      </c>
      <c r="AP3051" s="28"/>
      <c r="AQ3051" s="28" t="n">
        <f aca="false">AP3051*$M3051</f>
        <v>0</v>
      </c>
      <c r="AR3051" s="28"/>
      <c r="AS3051" s="28" t="n">
        <f aca="false">AR3051*$M3051</f>
        <v>0</v>
      </c>
      <c r="AT3051" s="28"/>
      <c r="AU3051" s="28" t="n">
        <f aca="false">AT3051*$M3051</f>
        <v>0</v>
      </c>
      <c r="AV3051" s="28"/>
      <c r="AW3051" s="28" t="n">
        <f aca="false">AV3051*$M3051</f>
        <v>0</v>
      </c>
      <c r="AX3051" s="28"/>
      <c r="AY3051" s="28" t="n">
        <f aca="false">AX3051*$M3051</f>
        <v>0</v>
      </c>
      <c r="AZ3051" s="30" t="n">
        <v>7534</v>
      </c>
      <c r="BA3051" s="11" t="n">
        <v>15068</v>
      </c>
      <c r="BB3051" s="31" t="n">
        <f aca="false">SUM(Q3051,S3051,U3051,W3051,Y3051,AA3051,AC3051,AE3051,AG3051,AI3051,AK3051,AM3051,AO3051,AQ3051,AS3051,AU3051,AW3051,AY3051)</f>
        <v>15068</v>
      </c>
      <c r="BC3051" s="28" t="n">
        <f aca="false">BA3051-BB3051</f>
        <v>0</v>
      </c>
      <c r="BD3051" s="32" t="n">
        <f aca="false">SUM(P3051,R3051,T3051,V3051,X3051,Z3051,AB3051,AD3051,AF3051,AH3051,AJ3051,AL3051,AN3051,AP3051,AR3051,AT3051,AV3051,AX3051)</f>
        <v>7534</v>
      </c>
      <c r="BE3051" s="33" t="n">
        <f aca="false">AZ3051-BD3051</f>
        <v>0</v>
      </c>
      <c r="BF3051" s="34" t="n">
        <f aca="false">BD3051*M3051</f>
        <v>15068</v>
      </c>
      <c r="BG3051" s="35" t="n">
        <f aca="false">BA3051-BF3051</f>
        <v>0</v>
      </c>
      <c r="BH3051" s="19" t="str">
        <f aca="false">IF(BG3051=0,"",IF(BG3051&lt;&gt;BA3051,"erreur de calcul",IF(BD3051&lt;&gt;0,"pas de prix",IF(M3051&lt;&gt; 0,"pas de quantité","pas de prix, ni de quantité"))))</f>
        <v/>
      </c>
      <c r="BI3051" s="19"/>
    </row>
    <row r="3052" customFormat="false" ht="15" hidden="false" customHeight="false" outlineLevel="0" collapsed="false">
      <c r="A3052" s="0" t="n">
        <v>34</v>
      </c>
      <c r="B3052" s="8" t="s">
        <v>24</v>
      </c>
      <c r="C3052" s="9" t="s">
        <v>25</v>
      </c>
      <c r="D3052" s="9" t="s">
        <v>26</v>
      </c>
      <c r="E3052" s="10" t="n">
        <v>1789</v>
      </c>
      <c r="F3052" s="9" t="s">
        <v>27</v>
      </c>
      <c r="G3052" s="9" t="s">
        <v>27</v>
      </c>
      <c r="H3052" s="11" t="n">
        <v>24</v>
      </c>
      <c r="I3052" s="11" t="s">
        <v>324</v>
      </c>
      <c r="J3052" s="14" t="n">
        <v>15</v>
      </c>
      <c r="K3052" s="14"/>
      <c r="L3052" s="16"/>
      <c r="M3052" s="27" t="n">
        <f aca="false">J3052+(K3052/20)+(L3052/240)</f>
        <v>15</v>
      </c>
      <c r="N3052" s="17" t="s">
        <v>64</v>
      </c>
      <c r="O3052" s="11"/>
      <c r="P3052" s="28" t="n">
        <f aca="false">6834/100</f>
        <v>68.34</v>
      </c>
      <c r="Q3052" s="28" t="n">
        <v>1025</v>
      </c>
      <c r="R3052" s="28"/>
      <c r="S3052" s="28" t="n">
        <f aca="false">R3052*$M3052</f>
        <v>0</v>
      </c>
      <c r="T3052" s="28" t="n">
        <f aca="false">834/100</f>
        <v>8.34</v>
      </c>
      <c r="U3052" s="28" t="n">
        <v>125</v>
      </c>
      <c r="V3052" s="28" t="n">
        <f aca="false">197372/100</f>
        <v>1973.72</v>
      </c>
      <c r="W3052" s="28" t="n">
        <v>29606</v>
      </c>
      <c r="X3052" s="28" t="n">
        <f aca="false">2334702/100</f>
        <v>23347.02</v>
      </c>
      <c r="Y3052" s="28" t="n">
        <v>350205</v>
      </c>
      <c r="Z3052" s="28"/>
      <c r="AA3052" s="28" t="n">
        <f aca="false">Z3052*$M3052</f>
        <v>0</v>
      </c>
      <c r="AB3052" s="28" t="n">
        <f aca="false">1417/100</f>
        <v>14.17</v>
      </c>
      <c r="AC3052" s="28" t="n">
        <v>212</v>
      </c>
      <c r="AD3052" s="28"/>
      <c r="AE3052" s="28" t="n">
        <f aca="false">AD3052*$M3052</f>
        <v>0</v>
      </c>
      <c r="AF3052" s="28"/>
      <c r="AG3052" s="28" t="n">
        <f aca="false">AF3052*$M3052</f>
        <v>0</v>
      </c>
      <c r="AH3052" s="28"/>
      <c r="AI3052" s="28" t="n">
        <f aca="false">AH3052*$M3052</f>
        <v>0</v>
      </c>
      <c r="AJ3052" s="28"/>
      <c r="AK3052" s="28" t="n">
        <f aca="false">AJ3052*$M3052</f>
        <v>0</v>
      </c>
      <c r="AL3052" s="28"/>
      <c r="AM3052" s="28" t="n">
        <f aca="false">AL3052*$M3052</f>
        <v>0</v>
      </c>
      <c r="AN3052" s="28"/>
      <c r="AO3052" s="28" t="n">
        <f aca="false">AN3052*$M3052</f>
        <v>0</v>
      </c>
      <c r="AP3052" s="28"/>
      <c r="AQ3052" s="28" t="n">
        <f aca="false">AP3052*$M3052</f>
        <v>0</v>
      </c>
      <c r="AR3052" s="28"/>
      <c r="AS3052" s="28" t="n">
        <f aca="false">AR3052*$M3052</f>
        <v>0</v>
      </c>
      <c r="AT3052" s="28"/>
      <c r="AU3052" s="28" t="n">
        <f aca="false">AT3052*$M3052</f>
        <v>0</v>
      </c>
      <c r="AV3052" s="28"/>
      <c r="AW3052" s="28" t="n">
        <f aca="false">AV3052*$M3052</f>
        <v>0</v>
      </c>
      <c r="AX3052" s="28"/>
      <c r="AY3052" s="28" t="n">
        <f aca="false">AX3052*$M3052</f>
        <v>0</v>
      </c>
      <c r="AZ3052" s="30" t="n">
        <f aca="false">2541159/100</f>
        <v>25411.59</v>
      </c>
      <c r="BA3052" s="11" t="n">
        <v>381173</v>
      </c>
      <c r="BB3052" s="31" t="n">
        <f aca="false">SUM(Q3052,S3052,U3052,W3052,Y3052,AA3052,AC3052,AE3052,AG3052,AI3052,AK3052,AM3052,AO3052,AQ3052,AS3052,AU3052,AW3052,AY3052)</f>
        <v>381173</v>
      </c>
      <c r="BC3052" s="28" t="n">
        <f aca="false">BA3052-BB3052</f>
        <v>0</v>
      </c>
      <c r="BD3052" s="32" t="n">
        <f aca="false">SUM(P3052,R3052,T3052,V3052,X3052,Z3052,AB3052,AD3052,AF3052,AH3052,AJ3052,AL3052,AN3052,AP3052,AR3052,AT3052,AV3052,AX3052)</f>
        <v>25411.59</v>
      </c>
      <c r="BE3052" s="33" t="n">
        <f aca="false">AZ3052-BD3052</f>
        <v>0</v>
      </c>
      <c r="BF3052" s="34" t="n">
        <f aca="false">BD3052*M3052</f>
        <v>381173.85</v>
      </c>
      <c r="BG3052" s="35" t="n">
        <f aca="false">BA3052-BF3052</f>
        <v>-0.849999999976717</v>
      </c>
      <c r="BH3052" s="19" t="str">
        <f aca="false">IF(BG3052=0,"",IF(BG3052&lt;&gt;BA3052,"erreur de calcul",IF(BD3052&lt;&gt;0,"pas de prix",IF(M3052&lt;&gt; 0,"pas de quantité","pas de prix, ni de quantité"))))</f>
        <v>erreur de calcul</v>
      </c>
      <c r="BI3052" s="19"/>
    </row>
    <row r="3053" customFormat="false" ht="15" hidden="false" customHeight="false" outlineLevel="0" collapsed="false">
      <c r="A3053" s="0" t="n">
        <v>35</v>
      </c>
      <c r="B3053" s="8" t="s">
        <v>24</v>
      </c>
      <c r="C3053" s="9" t="s">
        <v>25</v>
      </c>
      <c r="D3053" s="9" t="s">
        <v>26</v>
      </c>
      <c r="E3053" s="10" t="n">
        <v>1789</v>
      </c>
      <c r="F3053" s="9" t="s">
        <v>27</v>
      </c>
      <c r="G3053" s="9" t="s">
        <v>27</v>
      </c>
      <c r="H3053" s="11" t="n">
        <v>24</v>
      </c>
      <c r="I3053" s="11" t="s">
        <v>325</v>
      </c>
      <c r="J3053" s="14" t="n">
        <v>25</v>
      </c>
      <c r="K3053" s="14"/>
      <c r="L3053" s="16"/>
      <c r="M3053" s="27" t="n">
        <f aca="false">J3053+(K3053/20)+(L3053/240)</f>
        <v>25</v>
      </c>
      <c r="N3053" s="17" t="s">
        <v>64</v>
      </c>
      <c r="O3053" s="11"/>
      <c r="P3053" s="28"/>
      <c r="Q3053" s="28" t="n">
        <f aca="false">P3053*$M3053</f>
        <v>0</v>
      </c>
      <c r="R3053" s="28"/>
      <c r="S3053" s="28" t="n">
        <f aca="false">R3053*$M3053</f>
        <v>0</v>
      </c>
      <c r="T3053" s="28"/>
      <c r="U3053" s="28" t="n">
        <f aca="false">T3053*$M3053</f>
        <v>0</v>
      </c>
      <c r="V3053" s="28"/>
      <c r="W3053" s="28" t="n">
        <f aca="false">V3053*$M3053</f>
        <v>0</v>
      </c>
      <c r="X3053" s="28" t="n">
        <f aca="false">4971/100</f>
        <v>49.71</v>
      </c>
      <c r="Y3053" s="28" t="n">
        <v>1243</v>
      </c>
      <c r="Z3053" s="28" t="n">
        <f aca="false">14812/100</f>
        <v>148.12</v>
      </c>
      <c r="AA3053" s="28" t="n">
        <v>3703</v>
      </c>
      <c r="AB3053" s="28"/>
      <c r="AC3053" s="28" t="n">
        <f aca="false">AB3053*$M3053</f>
        <v>0</v>
      </c>
      <c r="AD3053" s="28"/>
      <c r="AE3053" s="28" t="n">
        <f aca="false">AD3053*$M3053</f>
        <v>0</v>
      </c>
      <c r="AF3053" s="28"/>
      <c r="AG3053" s="28" t="n">
        <f aca="false">AF3053*$M3053</f>
        <v>0</v>
      </c>
      <c r="AH3053" s="28"/>
      <c r="AI3053" s="28" t="n">
        <f aca="false">AH3053*$M3053</f>
        <v>0</v>
      </c>
      <c r="AJ3053" s="28"/>
      <c r="AK3053" s="28" t="n">
        <f aca="false">AJ3053*$M3053</f>
        <v>0</v>
      </c>
      <c r="AL3053" s="28"/>
      <c r="AM3053" s="28" t="n">
        <f aca="false">AL3053*$M3053</f>
        <v>0</v>
      </c>
      <c r="AN3053" s="28"/>
      <c r="AO3053" s="28" t="n">
        <f aca="false">AN3053*$M3053</f>
        <v>0</v>
      </c>
      <c r="AP3053" s="28"/>
      <c r="AQ3053" s="28" t="n">
        <f aca="false">AP3053*$M3053</f>
        <v>0</v>
      </c>
      <c r="AR3053" s="28"/>
      <c r="AS3053" s="28" t="n">
        <f aca="false">AR3053*$M3053</f>
        <v>0</v>
      </c>
      <c r="AT3053" s="28"/>
      <c r="AU3053" s="28" t="n">
        <f aca="false">AT3053*$M3053</f>
        <v>0</v>
      </c>
      <c r="AV3053" s="28"/>
      <c r="AW3053" s="28" t="n">
        <f aca="false">AV3053*$M3053</f>
        <v>0</v>
      </c>
      <c r="AX3053" s="28"/>
      <c r="AY3053" s="28" t="n">
        <f aca="false">AX3053*$M3053</f>
        <v>0</v>
      </c>
      <c r="AZ3053" s="30" t="n">
        <f aca="false">19783/100</f>
        <v>197.83</v>
      </c>
      <c r="BA3053" s="11" t="n">
        <v>4946</v>
      </c>
      <c r="BB3053" s="31" t="n">
        <f aca="false">SUM(Q3053,S3053,U3053,W3053,Y3053,AA3053,AC3053,AE3053,AG3053,AI3053,AK3053,AM3053,AO3053,AQ3053,AS3053,AU3053,AW3053,AY3053)</f>
        <v>4946</v>
      </c>
      <c r="BC3053" s="28" t="n">
        <f aca="false">BA3053-BB3053</f>
        <v>0</v>
      </c>
      <c r="BD3053" s="32" t="n">
        <f aca="false">SUM(P3053,R3053,T3053,V3053,X3053,Z3053,AB3053,AD3053,AF3053,AH3053,AJ3053,AL3053,AN3053,AP3053,AR3053,AT3053,AV3053,AX3053)</f>
        <v>197.83</v>
      </c>
      <c r="BE3053" s="33" t="n">
        <f aca="false">AZ3053-BD3053</f>
        <v>0</v>
      </c>
      <c r="BF3053" s="34" t="n">
        <f aca="false">BD3053*M3053</f>
        <v>4945.75</v>
      </c>
      <c r="BG3053" s="35" t="n">
        <f aca="false">BA3053-BF3053</f>
        <v>0.25</v>
      </c>
      <c r="BH3053" s="19" t="str">
        <f aca="false">IF(BG3053=0,"",IF(BG3053&lt;&gt;BA3053,"erreur de calcul",IF(BD3053&lt;&gt;0,"pas de prix",IF(M3053&lt;&gt; 0,"pas de quantité","pas de prix, ni de quantité"))))</f>
        <v>erreur de calcul</v>
      </c>
      <c r="BI3053" s="19"/>
    </row>
    <row r="3054" customFormat="false" ht="15" hidden="false" customHeight="false" outlineLevel="0" collapsed="false">
      <c r="A3054" s="0" t="n">
        <v>36</v>
      </c>
      <c r="B3054" s="8" t="s">
        <v>24</v>
      </c>
      <c r="C3054" s="9" t="s">
        <v>25</v>
      </c>
      <c r="D3054" s="9" t="s">
        <v>26</v>
      </c>
      <c r="E3054" s="10" t="n">
        <v>1789</v>
      </c>
      <c r="F3054" s="9" t="s">
        <v>27</v>
      </c>
      <c r="G3054" s="9" t="s">
        <v>27</v>
      </c>
      <c r="H3054" s="11" t="n">
        <v>24</v>
      </c>
      <c r="I3054" s="11" t="s">
        <v>326</v>
      </c>
      <c r="J3054" s="14"/>
      <c r="K3054" s="14"/>
      <c r="L3054" s="16"/>
      <c r="M3054" s="27" t="n">
        <f aca="false">J3054+(K3054/20)+(L3054/240)</f>
        <v>0</v>
      </c>
      <c r="N3054" s="17"/>
      <c r="O3054" s="11" t="s">
        <v>77</v>
      </c>
      <c r="P3054" s="28"/>
      <c r="Q3054" s="28" t="n">
        <v>84</v>
      </c>
      <c r="R3054" s="28"/>
      <c r="S3054" s="28" t="n">
        <v>80</v>
      </c>
      <c r="T3054" s="28"/>
      <c r="U3054" s="28" t="n">
        <v>115</v>
      </c>
      <c r="V3054" s="28"/>
      <c r="W3054" s="28" t="n">
        <f aca="false">V3054*$M3054</f>
        <v>0</v>
      </c>
      <c r="X3054" s="28"/>
      <c r="Y3054" s="28" t="n">
        <v>82</v>
      </c>
      <c r="Z3054" s="28"/>
      <c r="AA3054" s="28" t="n">
        <v>32</v>
      </c>
      <c r="AB3054" s="28"/>
      <c r="AC3054" s="28" t="n">
        <v>82</v>
      </c>
      <c r="AD3054" s="28"/>
      <c r="AE3054" s="28" t="n">
        <f aca="false">AD3054*$M3054</f>
        <v>0</v>
      </c>
      <c r="AF3054" s="28"/>
      <c r="AG3054" s="28" t="n">
        <v>129</v>
      </c>
      <c r="AH3054" s="28"/>
      <c r="AI3054" s="28" t="n">
        <f aca="false">AH3054*$M3054</f>
        <v>0</v>
      </c>
      <c r="AJ3054" s="28"/>
      <c r="AK3054" s="28" t="n">
        <v>79</v>
      </c>
      <c r="AL3054" s="28"/>
      <c r="AM3054" s="28" t="n">
        <v>106</v>
      </c>
      <c r="AN3054" s="28"/>
      <c r="AO3054" s="28" t="n">
        <f aca="false">AN3054*$M3054</f>
        <v>0</v>
      </c>
      <c r="AP3054" s="28"/>
      <c r="AQ3054" s="28" t="n">
        <f aca="false">AP3054*$M3054</f>
        <v>0</v>
      </c>
      <c r="AR3054" s="28"/>
      <c r="AS3054" s="28" t="n">
        <f aca="false">AR3054*$M3054</f>
        <v>0</v>
      </c>
      <c r="AT3054" s="28"/>
      <c r="AU3054" s="28" t="n">
        <f aca="false">AT3054*$M3054</f>
        <v>0</v>
      </c>
      <c r="AV3054" s="28"/>
      <c r="AW3054" s="28" t="n">
        <f aca="false">AV3054*$M3054</f>
        <v>0</v>
      </c>
      <c r="AX3054" s="28"/>
      <c r="AY3054" s="28" t="n">
        <f aca="false">AX3054*$M3054</f>
        <v>0</v>
      </c>
      <c r="AZ3054" s="30"/>
      <c r="BA3054" s="11" t="n">
        <v>789</v>
      </c>
      <c r="BB3054" s="31" t="n">
        <f aca="false">SUM(Q3054,S3054,U3054,W3054,Y3054,AA3054,AC3054,AE3054,AG3054,AI3054,AK3054,AM3054,AO3054,AQ3054,AS3054,AU3054,AW3054,AY3054)</f>
        <v>789</v>
      </c>
      <c r="BC3054" s="28" t="n">
        <f aca="false">BA3054-BB3054</f>
        <v>0</v>
      </c>
      <c r="BD3054" s="32" t="n">
        <f aca="false">SUM(P3054,R3054,T3054,V3054,X3054,Z3054,AB3054,AD3054,AF3054,AH3054,AJ3054,AL3054,AN3054,AP3054,AR3054,AT3054,AV3054,AX3054)</f>
        <v>0</v>
      </c>
      <c r="BE3054" s="33" t="n">
        <f aca="false">AZ3054-BD3054</f>
        <v>0</v>
      </c>
      <c r="BF3054" s="34" t="n">
        <f aca="false">BD3054*M3054</f>
        <v>0</v>
      </c>
      <c r="BG3054" s="35" t="n">
        <f aca="false">BA3054-BF3054</f>
        <v>789</v>
      </c>
      <c r="BH3054" s="19" t="str">
        <f aca="false">IF(BG3054=0,"",IF(BG3054&lt;&gt;BA3054,"erreur de calcul",IF(BD3054&lt;&gt;0,"pas de prix",IF(M3054&lt;&gt; 0,"pas de quantité","pas de prix, ni de quantité"))))</f>
        <v>pas de prix, ni de quantité</v>
      </c>
      <c r="BI3054" s="19"/>
    </row>
    <row r="3055" customFormat="false" ht="15" hidden="false" customHeight="false" outlineLevel="0" collapsed="false">
      <c r="A3055" s="0" t="n">
        <v>37</v>
      </c>
      <c r="B3055" s="8" t="s">
        <v>24</v>
      </c>
      <c r="C3055" s="9" t="s">
        <v>25</v>
      </c>
      <c r="D3055" s="9" t="s">
        <v>26</v>
      </c>
      <c r="E3055" s="10" t="n">
        <v>1789</v>
      </c>
      <c r="F3055" s="9" t="s">
        <v>27</v>
      </c>
      <c r="G3055" s="9" t="s">
        <v>27</v>
      </c>
      <c r="H3055" s="11" t="n">
        <v>24</v>
      </c>
      <c r="I3055" s="11" t="s">
        <v>327</v>
      </c>
      <c r="J3055" s="14"/>
      <c r="K3055" s="14" t="n">
        <v>20</v>
      </c>
      <c r="L3055" s="16"/>
      <c r="M3055" s="27" t="n">
        <f aca="false">J3055+(K3055/20)+(L3055/240)</f>
        <v>1</v>
      </c>
      <c r="N3055" s="17" t="s">
        <v>66</v>
      </c>
      <c r="O3055" s="11"/>
      <c r="P3055" s="28"/>
      <c r="Q3055" s="28" t="n">
        <f aca="false">P3055*$M3055</f>
        <v>0</v>
      </c>
      <c r="R3055" s="28"/>
      <c r="S3055" s="28" t="n">
        <f aca="false">R3055*$M3055</f>
        <v>0</v>
      </c>
      <c r="T3055" s="28"/>
      <c r="U3055" s="28" t="n">
        <f aca="false">T3055*$M3055</f>
        <v>0</v>
      </c>
      <c r="V3055" s="28" t="n">
        <v>1705</v>
      </c>
      <c r="W3055" s="28" t="n">
        <v>1705</v>
      </c>
      <c r="X3055" s="28"/>
      <c r="Y3055" s="28" t="n">
        <f aca="false">X3055*$M3055</f>
        <v>0</v>
      </c>
      <c r="Z3055" s="28"/>
      <c r="AA3055" s="28" t="n">
        <f aca="false">Z3055*$M3055</f>
        <v>0</v>
      </c>
      <c r="AB3055" s="28" t="n">
        <v>226</v>
      </c>
      <c r="AC3055" s="28" t="n">
        <v>226</v>
      </c>
      <c r="AD3055" s="28"/>
      <c r="AE3055" s="28" t="n">
        <f aca="false">AD3055*$M3055</f>
        <v>0</v>
      </c>
      <c r="AF3055" s="28"/>
      <c r="AG3055" s="28" t="n">
        <f aca="false">AF3055*$M3055</f>
        <v>0</v>
      </c>
      <c r="AH3055" s="28"/>
      <c r="AI3055" s="28" t="n">
        <f aca="false">AH3055*$M3055</f>
        <v>0</v>
      </c>
      <c r="AJ3055" s="28"/>
      <c r="AK3055" s="28" t="n">
        <f aca="false">AJ3055*$M3055</f>
        <v>0</v>
      </c>
      <c r="AL3055" s="28"/>
      <c r="AM3055" s="28" t="n">
        <f aca="false">AL3055*$M3055</f>
        <v>0</v>
      </c>
      <c r="AN3055" s="28"/>
      <c r="AO3055" s="28" t="n">
        <f aca="false">AN3055*$M3055</f>
        <v>0</v>
      </c>
      <c r="AP3055" s="28"/>
      <c r="AQ3055" s="28" t="n">
        <f aca="false">AP3055*$M3055</f>
        <v>0</v>
      </c>
      <c r="AR3055" s="28"/>
      <c r="AS3055" s="28" t="n">
        <f aca="false">AR3055*$M3055</f>
        <v>0</v>
      </c>
      <c r="AT3055" s="28"/>
      <c r="AU3055" s="28" t="n">
        <f aca="false">AT3055*$M3055</f>
        <v>0</v>
      </c>
      <c r="AV3055" s="28"/>
      <c r="AW3055" s="28" t="n">
        <f aca="false">AV3055*$M3055</f>
        <v>0</v>
      </c>
      <c r="AX3055" s="28"/>
      <c r="AY3055" s="28" t="n">
        <f aca="false">AX3055*$M3055</f>
        <v>0</v>
      </c>
      <c r="AZ3055" s="30" t="n">
        <v>1931</v>
      </c>
      <c r="BA3055" s="11" t="n">
        <v>1931</v>
      </c>
      <c r="BB3055" s="31" t="n">
        <f aca="false">SUM(Q3055,S3055,U3055,W3055,Y3055,AA3055,AC3055,AE3055,AG3055,AI3055,AK3055,AM3055,AO3055,AQ3055,AS3055,AU3055,AW3055,AY3055)</f>
        <v>1931</v>
      </c>
      <c r="BC3055" s="28" t="n">
        <f aca="false">BA3055-BB3055</f>
        <v>0</v>
      </c>
      <c r="BD3055" s="32" t="n">
        <f aca="false">SUM(P3055,R3055,T3055,V3055,X3055,Z3055,AB3055,AD3055,AF3055,AH3055,AJ3055,AL3055,AN3055,AP3055,AR3055,AT3055,AV3055,AX3055)</f>
        <v>1931</v>
      </c>
      <c r="BE3055" s="33" t="n">
        <f aca="false">AZ3055-BD3055</f>
        <v>0</v>
      </c>
      <c r="BF3055" s="34" t="n">
        <f aca="false">BD3055*M3055</f>
        <v>1931</v>
      </c>
      <c r="BG3055" s="35" t="n">
        <f aca="false">BA3055-BF3055</f>
        <v>0</v>
      </c>
      <c r="BH3055" s="19" t="str">
        <f aca="false">IF(BG3055=0,"",IF(BG3055&lt;&gt;BA3055,"erreur de calcul",IF(BD3055&lt;&gt;0,"pas de prix",IF(M3055&lt;&gt; 0,"pas de quantité","pas de prix, ni de quantité"))))</f>
        <v/>
      </c>
      <c r="BI3055" s="19"/>
    </row>
    <row r="3056" customFormat="false" ht="15" hidden="false" customHeight="false" outlineLevel="0" collapsed="false">
      <c r="A3056" s="0" t="n">
        <v>38</v>
      </c>
      <c r="B3056" s="8" t="s">
        <v>24</v>
      </c>
      <c r="C3056" s="9" t="s">
        <v>25</v>
      </c>
      <c r="D3056" s="9" t="s">
        <v>26</v>
      </c>
      <c r="E3056" s="10" t="n">
        <v>1789</v>
      </c>
      <c r="F3056" s="9" t="s">
        <v>27</v>
      </c>
      <c r="G3056" s="9" t="s">
        <v>27</v>
      </c>
      <c r="H3056" s="11" t="n">
        <v>24</v>
      </c>
      <c r="I3056" s="11" t="s">
        <v>328</v>
      </c>
      <c r="J3056" s="14" t="n">
        <v>208</v>
      </c>
      <c r="K3056" s="14"/>
      <c r="L3056" s="16"/>
      <c r="M3056" s="27" t="n">
        <f aca="false">J3056+(K3056/20)+(L3056/240)</f>
        <v>208</v>
      </c>
      <c r="N3056" s="17" t="s">
        <v>64</v>
      </c>
      <c r="O3056" s="11" t="s">
        <v>277</v>
      </c>
      <c r="P3056" s="28"/>
      <c r="Q3056" s="28" t="n">
        <f aca="false">P3056*$M3056</f>
        <v>0</v>
      </c>
      <c r="R3056" s="28"/>
      <c r="S3056" s="28" t="n">
        <f aca="false">R3056*$M3056</f>
        <v>0</v>
      </c>
      <c r="T3056" s="28" t="n">
        <f aca="false">536/100</f>
        <v>5.36</v>
      </c>
      <c r="U3056" s="28" t="n">
        <v>1115</v>
      </c>
      <c r="V3056" s="28" t="n">
        <f aca="false">1983/100</f>
        <v>19.83</v>
      </c>
      <c r="W3056" s="28" t="n">
        <v>4125</v>
      </c>
      <c r="X3056" s="28" t="n">
        <f aca="false">37641/100</f>
        <v>376.41</v>
      </c>
      <c r="Y3056" s="28" t="n">
        <v>78293</v>
      </c>
      <c r="Z3056" s="28" t="n">
        <f aca="false">1281/100</f>
        <v>12.81</v>
      </c>
      <c r="AA3056" s="28" t="n">
        <v>2664</v>
      </c>
      <c r="AB3056" s="28"/>
      <c r="AC3056" s="28" t="n">
        <f aca="false">AB3056*$M3056</f>
        <v>0</v>
      </c>
      <c r="AD3056" s="28"/>
      <c r="AE3056" s="28" t="n">
        <f aca="false">AD3056*$M3056</f>
        <v>0</v>
      </c>
      <c r="AF3056" s="28"/>
      <c r="AG3056" s="28" t="n">
        <f aca="false">AF3056*$M3056</f>
        <v>0</v>
      </c>
      <c r="AH3056" s="28"/>
      <c r="AI3056" s="28" t="n">
        <f aca="false">AH3056*$M3056</f>
        <v>0</v>
      </c>
      <c r="AJ3056" s="28" t="n">
        <f aca="false">20789/100</f>
        <v>207.89</v>
      </c>
      <c r="AK3056" s="28" t="n">
        <v>43241</v>
      </c>
      <c r="AL3056" s="28" t="n">
        <f aca="false">2470/100</f>
        <v>24.7</v>
      </c>
      <c r="AM3056" s="28" t="n">
        <v>5138</v>
      </c>
      <c r="AN3056" s="28"/>
      <c r="AO3056" s="28" t="n">
        <f aca="false">AN3056*$M3056</f>
        <v>0</v>
      </c>
      <c r="AP3056" s="28"/>
      <c r="AQ3056" s="28" t="n">
        <f aca="false">AP3056*$M3056</f>
        <v>0</v>
      </c>
      <c r="AR3056" s="28"/>
      <c r="AS3056" s="28" t="n">
        <f aca="false">AR3056*$M3056</f>
        <v>0</v>
      </c>
      <c r="AT3056" s="28"/>
      <c r="AU3056" s="28" t="n">
        <f aca="false">AT3056*$M3056</f>
        <v>0</v>
      </c>
      <c r="AV3056" s="28"/>
      <c r="AW3056" s="28" t="n">
        <f aca="false">AV3056*$M3056</f>
        <v>0</v>
      </c>
      <c r="AX3056" s="28"/>
      <c r="AY3056" s="28" t="n">
        <f aca="false">AX3056*$M3056</f>
        <v>0</v>
      </c>
      <c r="AZ3056" s="30" t="n">
        <f aca="false">64700/100</f>
        <v>647</v>
      </c>
      <c r="BA3056" s="11" t="n">
        <v>134576</v>
      </c>
      <c r="BB3056" s="31" t="n">
        <f aca="false">SUM(Q3056,S3056,U3056,W3056,Y3056,AA3056,AC3056,AE3056,AG3056,AI3056,AK3056,AM3056,AO3056,AQ3056,AS3056,AU3056,AW3056,AY3056)</f>
        <v>134576</v>
      </c>
      <c r="BC3056" s="28" t="n">
        <f aca="false">BA3056-BB3056</f>
        <v>0</v>
      </c>
      <c r="BD3056" s="32" t="n">
        <f aca="false">SUM(P3056,R3056,T3056,V3056,X3056,Z3056,AB3056,AD3056,AF3056,AH3056,AJ3056,AL3056,AN3056,AP3056,AR3056,AT3056,AV3056,AX3056)</f>
        <v>647</v>
      </c>
      <c r="BE3056" s="33" t="n">
        <f aca="false">AZ3056-BD3056</f>
        <v>0</v>
      </c>
      <c r="BF3056" s="34" t="n">
        <f aca="false">BD3056*M3056</f>
        <v>134576</v>
      </c>
      <c r="BG3056" s="35" t="n">
        <f aca="false">BA3056-BF3056</f>
        <v>0</v>
      </c>
      <c r="BH3056" s="19" t="str">
        <f aca="false">IF(BG3056=0,"",IF(BG3056&lt;&gt;BA3056,"erreur de calcul",IF(BD3056&lt;&gt;0,"pas de prix",IF(M3056&lt;&gt; 0,"pas de quantité","pas de prix, ni de quantité"))))</f>
        <v/>
      </c>
      <c r="BI3056" s="19"/>
    </row>
    <row r="3057" customFormat="false" ht="15" hidden="false" customHeight="false" outlineLevel="0" collapsed="false">
      <c r="A3057" s="0" t="n">
        <v>1</v>
      </c>
      <c r="B3057" s="8" t="s">
        <v>24</v>
      </c>
      <c r="C3057" s="9" t="s">
        <v>25</v>
      </c>
      <c r="D3057" s="9" t="s">
        <v>26</v>
      </c>
      <c r="E3057" s="10" t="n">
        <v>1789</v>
      </c>
      <c r="F3057" s="9" t="s">
        <v>27</v>
      </c>
      <c r="G3057" s="9" t="s">
        <v>27</v>
      </c>
      <c r="H3057" s="11" t="n">
        <v>25</v>
      </c>
      <c r="I3057" s="11" t="s">
        <v>329</v>
      </c>
      <c r="J3057" s="14" t="n">
        <v>30</v>
      </c>
      <c r="K3057" s="14"/>
      <c r="L3057" s="16"/>
      <c r="M3057" s="27" t="n">
        <f aca="false">J3057+(K3057/20)+(L3057/240)</f>
        <v>30</v>
      </c>
      <c r="N3057" s="17" t="s">
        <v>64</v>
      </c>
      <c r="O3057" s="11"/>
      <c r="P3057" s="28" t="n">
        <f aca="false">888/100</f>
        <v>8.88</v>
      </c>
      <c r="Q3057" s="28" t="n">
        <v>266</v>
      </c>
      <c r="R3057" s="28"/>
      <c r="S3057" s="28" t="n">
        <f aca="false">R3057*$M3057</f>
        <v>0</v>
      </c>
      <c r="T3057" s="28" t="n">
        <f aca="false">1151/100</f>
        <v>11.51</v>
      </c>
      <c r="U3057" s="28" t="n">
        <v>345</v>
      </c>
      <c r="V3057" s="28"/>
      <c r="W3057" s="28" t="n">
        <f aca="false">V3057*$M3057</f>
        <v>0</v>
      </c>
      <c r="X3057" s="28"/>
      <c r="Y3057" s="28" t="n">
        <f aca="false">X3057*$M3057</f>
        <v>0</v>
      </c>
      <c r="Z3057" s="28"/>
      <c r="AA3057" s="28" t="n">
        <f aca="false">Z3057*$M3057</f>
        <v>0</v>
      </c>
      <c r="AB3057" s="28"/>
      <c r="AC3057" s="28" t="n">
        <f aca="false">AB3057*$M3057</f>
        <v>0</v>
      </c>
      <c r="AD3057" s="28"/>
      <c r="AE3057" s="28" t="n">
        <f aca="false">AD3057*$M3057</f>
        <v>0</v>
      </c>
      <c r="AF3057" s="28"/>
      <c r="AG3057" s="28" t="n">
        <f aca="false">AF3057*$M3057</f>
        <v>0</v>
      </c>
      <c r="AH3057" s="28"/>
      <c r="AI3057" s="28" t="n">
        <f aca="false">AH3057*$M3057</f>
        <v>0</v>
      </c>
      <c r="AJ3057" s="28"/>
      <c r="AK3057" s="28" t="n">
        <f aca="false">AJ3057*$M3057</f>
        <v>0</v>
      </c>
      <c r="AL3057" s="28"/>
      <c r="AM3057" s="28" t="n">
        <f aca="false">AL3057*$M3057</f>
        <v>0</v>
      </c>
      <c r="AN3057" s="28"/>
      <c r="AO3057" s="28" t="n">
        <f aca="false">AN3057*$M3057</f>
        <v>0</v>
      </c>
      <c r="AP3057" s="28"/>
      <c r="AQ3057" s="28" t="n">
        <f aca="false">AP3057*$M3057</f>
        <v>0</v>
      </c>
      <c r="AR3057" s="28"/>
      <c r="AS3057" s="28" t="n">
        <f aca="false">AR3057*$M3057</f>
        <v>0</v>
      </c>
      <c r="AT3057" s="28"/>
      <c r="AU3057" s="28" t="n">
        <f aca="false">AT3057*$M3057</f>
        <v>0</v>
      </c>
      <c r="AV3057" s="28"/>
      <c r="AW3057" s="28" t="n">
        <f aca="false">AV3057*$M3057</f>
        <v>0</v>
      </c>
      <c r="AX3057" s="28"/>
      <c r="AY3057" s="28" t="n">
        <f aca="false">AX3057*$M3057</f>
        <v>0</v>
      </c>
      <c r="AZ3057" s="30" t="n">
        <f aca="false">2039/100</f>
        <v>20.39</v>
      </c>
      <c r="BA3057" s="11" t="n">
        <v>611</v>
      </c>
      <c r="BB3057" s="31" t="n">
        <f aca="false">SUM(Q3057,S3057,U3057,W3057,Y3057,AA3057,AC3057,AE3057,AG3057,AI3057,AK3057,AM3057,AO3057,AQ3057,AS3057,AU3057,AW3057,AY3057)</f>
        <v>611</v>
      </c>
      <c r="BC3057" s="28" t="n">
        <f aca="false">BA3057-BB3057</f>
        <v>0</v>
      </c>
      <c r="BD3057" s="32" t="n">
        <f aca="false">SUM(P3057,R3057,T3057,V3057,X3057,Z3057,AB3057,AD3057,AF3057,AH3057,AJ3057,AL3057,AN3057,AP3057,AR3057,AT3057,AV3057,AX3057)</f>
        <v>20.39</v>
      </c>
      <c r="BE3057" s="33" t="n">
        <f aca="false">AZ3057-BD3057</f>
        <v>0</v>
      </c>
      <c r="BF3057" s="34" t="n">
        <f aca="false">BD3057*M3057</f>
        <v>611.7</v>
      </c>
      <c r="BG3057" s="35" t="n">
        <f aca="false">BA3057-BF3057</f>
        <v>-0.700000000000046</v>
      </c>
      <c r="BH3057" s="19" t="str">
        <f aca="false">IF(BG3057=0,"",IF(BG3057&lt;&gt;BA3057,"erreur de calcul",IF(BD3057&lt;&gt;0,"pas de prix",IF(M3057&lt;&gt; 0,"pas de quantité","pas de prix, ni de quantité"))))</f>
        <v>erreur de calcul</v>
      </c>
      <c r="BI3057" s="19"/>
    </row>
    <row r="3058" customFormat="false" ht="15" hidden="false" customHeight="false" outlineLevel="0" collapsed="false">
      <c r="A3058" s="0" t="n">
        <v>2</v>
      </c>
      <c r="B3058" s="8" t="s">
        <v>24</v>
      </c>
      <c r="C3058" s="9" t="s">
        <v>25</v>
      </c>
      <c r="D3058" s="9" t="s">
        <v>26</v>
      </c>
      <c r="E3058" s="10" t="n">
        <v>1789</v>
      </c>
      <c r="F3058" s="9" t="s">
        <v>27</v>
      </c>
      <c r="G3058" s="9" t="s">
        <v>27</v>
      </c>
      <c r="H3058" s="11" t="n">
        <v>25</v>
      </c>
      <c r="I3058" s="11" t="s">
        <v>330</v>
      </c>
      <c r="J3058" s="14"/>
      <c r="K3058" s="14" t="n">
        <v>20</v>
      </c>
      <c r="L3058" s="16"/>
      <c r="M3058" s="27" t="n">
        <f aca="false">J3058+(K3058/20)+(L3058/240)</f>
        <v>1</v>
      </c>
      <c r="N3058" s="17" t="s">
        <v>66</v>
      </c>
      <c r="O3058" s="11"/>
      <c r="P3058" s="28"/>
      <c r="Q3058" s="28" t="n">
        <f aca="false">P3058*$M3058</f>
        <v>0</v>
      </c>
      <c r="R3058" s="28"/>
      <c r="S3058" s="28" t="n">
        <f aca="false">R3058*$M3058</f>
        <v>0</v>
      </c>
      <c r="T3058" s="28"/>
      <c r="U3058" s="28" t="n">
        <f aca="false">T3058*$M3058</f>
        <v>0</v>
      </c>
      <c r="V3058" s="28"/>
      <c r="W3058" s="28" t="n">
        <f aca="false">V3058*$M3058</f>
        <v>0</v>
      </c>
      <c r="X3058" s="28"/>
      <c r="Y3058" s="28" t="n">
        <f aca="false">X3058*$M3058</f>
        <v>0</v>
      </c>
      <c r="Z3058" s="28"/>
      <c r="AA3058" s="28" t="n">
        <f aca="false">Z3058*$M3058</f>
        <v>0</v>
      </c>
      <c r="AB3058" s="28"/>
      <c r="AC3058" s="28" t="n">
        <f aca="false">AB3058*$M3058</f>
        <v>0</v>
      </c>
      <c r="AD3058" s="28"/>
      <c r="AE3058" s="28" t="n">
        <f aca="false">AD3058*$M3058</f>
        <v>0</v>
      </c>
      <c r="AF3058" s="28"/>
      <c r="AG3058" s="28" t="n">
        <f aca="false">AF3058*$M3058</f>
        <v>0</v>
      </c>
      <c r="AH3058" s="28"/>
      <c r="AI3058" s="28" t="n">
        <f aca="false">AH3058*$M3058</f>
        <v>0</v>
      </c>
      <c r="AJ3058" s="28" t="n">
        <v>4241</v>
      </c>
      <c r="AK3058" s="28" t="n">
        <v>4241</v>
      </c>
      <c r="AL3058" s="28"/>
      <c r="AM3058" s="28" t="n">
        <f aca="false">AL3058*$M3058</f>
        <v>0</v>
      </c>
      <c r="AN3058" s="28"/>
      <c r="AO3058" s="28" t="n">
        <f aca="false">AN3058*$M3058</f>
        <v>0</v>
      </c>
      <c r="AP3058" s="28"/>
      <c r="AQ3058" s="28" t="n">
        <f aca="false">AP3058*$M3058</f>
        <v>0</v>
      </c>
      <c r="AR3058" s="28"/>
      <c r="AS3058" s="28" t="n">
        <f aca="false">AR3058*$M3058</f>
        <v>0</v>
      </c>
      <c r="AT3058" s="28"/>
      <c r="AU3058" s="28" t="n">
        <f aca="false">AT3058*$M3058</f>
        <v>0</v>
      </c>
      <c r="AV3058" s="28"/>
      <c r="AW3058" s="28" t="n">
        <f aca="false">AV3058*$M3058</f>
        <v>0</v>
      </c>
      <c r="AX3058" s="28"/>
      <c r="AY3058" s="28" t="n">
        <f aca="false">AX3058*$M3058</f>
        <v>0</v>
      </c>
      <c r="AZ3058" s="30" t="n">
        <v>4241</v>
      </c>
      <c r="BA3058" s="11" t="n">
        <v>4241</v>
      </c>
      <c r="BB3058" s="31" t="n">
        <f aca="false">SUM(Q3058,S3058,U3058,W3058,Y3058,AA3058,AC3058,AE3058,AG3058,AI3058,AK3058,AM3058,AO3058,AQ3058,AS3058,AU3058,AW3058,AY3058)</f>
        <v>4241</v>
      </c>
      <c r="BC3058" s="28" t="n">
        <f aca="false">BA3058-BB3058</f>
        <v>0</v>
      </c>
      <c r="BD3058" s="32" t="n">
        <f aca="false">SUM(P3058,R3058,T3058,V3058,X3058,Z3058,AB3058,AD3058,AF3058,AH3058,AJ3058,AL3058,AN3058,AP3058,AR3058,AT3058,AV3058,AX3058)</f>
        <v>4241</v>
      </c>
      <c r="BE3058" s="33" t="n">
        <f aca="false">AZ3058-BD3058</f>
        <v>0</v>
      </c>
      <c r="BF3058" s="34" t="n">
        <f aca="false">BD3058*M3058</f>
        <v>4241</v>
      </c>
      <c r="BG3058" s="35" t="n">
        <f aca="false">BA3058-BF3058</f>
        <v>0</v>
      </c>
      <c r="BH3058" s="19" t="str">
        <f aca="false">IF(BG3058=0,"",IF(BG3058&lt;&gt;BA3058,"erreur de calcul",IF(BD3058&lt;&gt;0,"pas de prix",IF(M3058&lt;&gt; 0,"pas de quantité","pas de prix, ni de quantité"))))</f>
        <v/>
      </c>
      <c r="BI3058" s="19"/>
    </row>
    <row r="3059" customFormat="false" ht="15" hidden="false" customHeight="false" outlineLevel="0" collapsed="false">
      <c r="A3059" s="0" t="n">
        <v>3</v>
      </c>
      <c r="B3059" s="8" t="s">
        <v>24</v>
      </c>
      <c r="C3059" s="9" t="s">
        <v>25</v>
      </c>
      <c r="D3059" s="9" t="s">
        <v>26</v>
      </c>
      <c r="E3059" s="10" t="n">
        <v>1789</v>
      </c>
      <c r="F3059" s="9" t="s">
        <v>27</v>
      </c>
      <c r="G3059" s="9" t="s">
        <v>27</v>
      </c>
      <c r="H3059" s="11" t="n">
        <v>25</v>
      </c>
      <c r="I3059" s="11" t="s">
        <v>331</v>
      </c>
      <c r="J3059" s="14" t="n">
        <v>18</v>
      </c>
      <c r="K3059" s="14"/>
      <c r="L3059" s="16"/>
      <c r="M3059" s="27" t="n">
        <f aca="false">J3059+(K3059/20)+(L3059/240)</f>
        <v>18</v>
      </c>
      <c r="N3059" s="17" t="s">
        <v>66</v>
      </c>
      <c r="O3059" s="11" t="s">
        <v>98</v>
      </c>
      <c r="P3059" s="28"/>
      <c r="Q3059" s="28" t="n">
        <f aca="false">P3059*$M3059</f>
        <v>0</v>
      </c>
      <c r="R3059" s="28"/>
      <c r="S3059" s="28" t="n">
        <f aca="false">R3059*$M3059</f>
        <v>0</v>
      </c>
      <c r="T3059" s="28"/>
      <c r="U3059" s="28" t="n">
        <f aca="false">T3059*$M3059</f>
        <v>0</v>
      </c>
      <c r="V3059" s="28"/>
      <c r="W3059" s="28" t="n">
        <f aca="false">V3059*$M3059</f>
        <v>0</v>
      </c>
      <c r="X3059" s="28"/>
      <c r="Y3059" s="28" t="n">
        <f aca="false">X3059*$M3059</f>
        <v>0</v>
      </c>
      <c r="Z3059" s="28"/>
      <c r="AA3059" s="28" t="n">
        <f aca="false">Z3059*$M3059</f>
        <v>0</v>
      </c>
      <c r="AB3059" s="28"/>
      <c r="AC3059" s="28" t="n">
        <f aca="false">AB3059*$M3059</f>
        <v>0</v>
      </c>
      <c r="AD3059" s="28"/>
      <c r="AE3059" s="28" t="n">
        <f aca="false">AD3059*$M3059</f>
        <v>0</v>
      </c>
      <c r="AF3059" s="28"/>
      <c r="AG3059" s="28" t="n">
        <f aca="false">AF3059*$M3059</f>
        <v>0</v>
      </c>
      <c r="AH3059" s="28"/>
      <c r="AI3059" s="28" t="n">
        <f aca="false">AH3059*$M3059</f>
        <v>0</v>
      </c>
      <c r="AJ3059" s="28"/>
      <c r="AK3059" s="28" t="n">
        <f aca="false">AJ3059*$M3059</f>
        <v>0</v>
      </c>
      <c r="AL3059" s="28"/>
      <c r="AM3059" s="28" t="n">
        <f aca="false">AL3059*$M3059</f>
        <v>0</v>
      </c>
      <c r="AN3059" s="28"/>
      <c r="AO3059" s="28" t="n">
        <f aca="false">AN3059*$M3059</f>
        <v>0</v>
      </c>
      <c r="AP3059" s="28"/>
      <c r="AQ3059" s="28" t="n">
        <f aca="false">AP3059*$M3059</f>
        <v>0</v>
      </c>
      <c r="AR3059" s="28"/>
      <c r="AS3059" s="28" t="n">
        <f aca="false">AR3059*$M3059</f>
        <v>0</v>
      </c>
      <c r="AT3059" s="28"/>
      <c r="AU3059" s="28" t="n">
        <f aca="false">AT3059*$M3059</f>
        <v>0</v>
      </c>
      <c r="AV3059" s="28"/>
      <c r="AW3059" s="28" t="n">
        <f aca="false">AV3059*$M3059</f>
        <v>0</v>
      </c>
      <c r="AX3059" s="28"/>
      <c r="AY3059" s="28" t="n">
        <f aca="false">AX3059*$M3059</f>
        <v>0</v>
      </c>
      <c r="AZ3059" s="30"/>
      <c r="BA3059" s="11"/>
      <c r="BB3059" s="31" t="n">
        <f aca="false">SUM(Q3059,S3059,U3059,W3059,Y3059,AA3059,AC3059,AE3059,AG3059,AI3059,AK3059,AM3059,AO3059,AQ3059,AS3059,AU3059,AW3059,AY3059)</f>
        <v>0</v>
      </c>
      <c r="BC3059" s="28" t="n">
        <f aca="false">BA3059-BB3059</f>
        <v>0</v>
      </c>
      <c r="BD3059" s="32" t="n">
        <f aca="false">SUM(P3059,R3059,T3059,V3059,X3059,Z3059,AB3059,AD3059,AF3059,AH3059,AJ3059,AL3059,AN3059,AP3059,AR3059,AT3059,AV3059,AX3059)</f>
        <v>0</v>
      </c>
      <c r="BE3059" s="33" t="n">
        <f aca="false">AZ3059-BD3059</f>
        <v>0</v>
      </c>
      <c r="BF3059" s="34" t="n">
        <f aca="false">BD3059*M3059</f>
        <v>0</v>
      </c>
      <c r="BG3059" s="35" t="n">
        <f aca="false">BA3059-BF3059</f>
        <v>0</v>
      </c>
      <c r="BH3059" s="19" t="str">
        <f aca="false">IF(BG3059=0,"",IF(BG3059&lt;&gt;BA3059,"erreur de calcul",IF(BD3059&lt;&gt;0,"pas de prix",IF(M3059&lt;&gt; 0,"pas de quantité","pas de prix, ni de quantité"))))</f>
        <v/>
      </c>
      <c r="BI3059" s="19"/>
    </row>
    <row r="3060" customFormat="false" ht="15" hidden="false" customHeight="false" outlineLevel="0" collapsed="false">
      <c r="A3060" s="0" t="n">
        <v>4</v>
      </c>
      <c r="B3060" s="8" t="s">
        <v>24</v>
      </c>
      <c r="C3060" s="9" t="s">
        <v>25</v>
      </c>
      <c r="D3060" s="9" t="s">
        <v>26</v>
      </c>
      <c r="E3060" s="10" t="n">
        <v>1789</v>
      </c>
      <c r="F3060" s="9" t="s">
        <v>27</v>
      </c>
      <c r="G3060" s="9" t="s">
        <v>27</v>
      </c>
      <c r="H3060" s="11" t="n">
        <v>25</v>
      </c>
      <c r="I3060" s="11" t="s">
        <v>332</v>
      </c>
      <c r="J3060" s="14" t="n">
        <v>18</v>
      </c>
      <c r="K3060" s="14"/>
      <c r="L3060" s="16"/>
      <c r="M3060" s="27" t="n">
        <f aca="false">J3060+(K3060/20)+(L3060/240)</f>
        <v>18</v>
      </c>
      <c r="N3060" s="17" t="s">
        <v>66</v>
      </c>
      <c r="O3060" s="11" t="s">
        <v>98</v>
      </c>
      <c r="P3060" s="28"/>
      <c r="Q3060" s="28" t="n">
        <f aca="false">P3060*$M3060</f>
        <v>0</v>
      </c>
      <c r="R3060" s="28"/>
      <c r="S3060" s="28" t="n">
        <f aca="false">R3060*$M3060</f>
        <v>0</v>
      </c>
      <c r="T3060" s="28"/>
      <c r="U3060" s="28" t="n">
        <f aca="false">T3060*$M3060</f>
        <v>0</v>
      </c>
      <c r="V3060" s="28"/>
      <c r="W3060" s="28" t="n">
        <f aca="false">V3060*$M3060</f>
        <v>0</v>
      </c>
      <c r="X3060" s="28"/>
      <c r="Y3060" s="28" t="n">
        <f aca="false">X3060*$M3060</f>
        <v>0</v>
      </c>
      <c r="Z3060" s="28"/>
      <c r="AA3060" s="28" t="n">
        <f aca="false">Z3060*$M3060</f>
        <v>0</v>
      </c>
      <c r="AB3060" s="28"/>
      <c r="AC3060" s="28" t="n">
        <f aca="false">AB3060*$M3060</f>
        <v>0</v>
      </c>
      <c r="AD3060" s="28"/>
      <c r="AE3060" s="28" t="n">
        <f aca="false">AD3060*$M3060</f>
        <v>0</v>
      </c>
      <c r="AF3060" s="28"/>
      <c r="AG3060" s="28" t="n">
        <f aca="false">AF3060*$M3060</f>
        <v>0</v>
      </c>
      <c r="AH3060" s="28"/>
      <c r="AI3060" s="28" t="n">
        <f aca="false">AH3060*$M3060</f>
        <v>0</v>
      </c>
      <c r="AJ3060" s="28"/>
      <c r="AK3060" s="28" t="n">
        <f aca="false">AJ3060*$M3060</f>
        <v>0</v>
      </c>
      <c r="AL3060" s="28"/>
      <c r="AM3060" s="28" t="n">
        <f aca="false">AL3060*$M3060</f>
        <v>0</v>
      </c>
      <c r="AN3060" s="28"/>
      <c r="AO3060" s="28" t="n">
        <f aca="false">AN3060*$M3060</f>
        <v>0</v>
      </c>
      <c r="AP3060" s="28"/>
      <c r="AQ3060" s="28" t="n">
        <f aca="false">AP3060*$M3060</f>
        <v>0</v>
      </c>
      <c r="AR3060" s="28"/>
      <c r="AS3060" s="28" t="n">
        <f aca="false">AR3060*$M3060</f>
        <v>0</v>
      </c>
      <c r="AT3060" s="28"/>
      <c r="AU3060" s="28" t="n">
        <f aca="false">AT3060*$M3060</f>
        <v>0</v>
      </c>
      <c r="AV3060" s="28"/>
      <c r="AW3060" s="28" t="n">
        <f aca="false">AV3060*$M3060</f>
        <v>0</v>
      </c>
      <c r="AX3060" s="28"/>
      <c r="AY3060" s="28" t="n">
        <f aca="false">AX3060*$M3060</f>
        <v>0</v>
      </c>
      <c r="AZ3060" s="30"/>
      <c r="BA3060" s="11"/>
      <c r="BB3060" s="31" t="n">
        <f aca="false">SUM(Q3060,S3060,U3060,W3060,Y3060,AA3060,AC3060,AE3060,AG3060,AI3060,AK3060,AM3060,AO3060,AQ3060,AS3060,AU3060,AW3060,AY3060)</f>
        <v>0</v>
      </c>
      <c r="BC3060" s="28" t="n">
        <f aca="false">BA3060-BB3060</f>
        <v>0</v>
      </c>
      <c r="BD3060" s="32" t="n">
        <f aca="false">SUM(P3060,R3060,T3060,V3060,X3060,Z3060,AB3060,AD3060,AF3060,AH3060,AJ3060,AL3060,AN3060,AP3060,AR3060,AT3060,AV3060,AX3060)</f>
        <v>0</v>
      </c>
      <c r="BE3060" s="33" t="n">
        <f aca="false">AZ3060-BD3060</f>
        <v>0</v>
      </c>
      <c r="BF3060" s="34" t="n">
        <f aca="false">BD3060*M3060</f>
        <v>0</v>
      </c>
      <c r="BG3060" s="35" t="n">
        <f aca="false">BA3060-BF3060</f>
        <v>0</v>
      </c>
      <c r="BH3060" s="19" t="str">
        <f aca="false">IF(BG3060=0,"",IF(BG3060&lt;&gt;BA3060,"erreur de calcul",IF(BD3060&lt;&gt;0,"pas de prix",IF(M3060&lt;&gt; 0,"pas de quantité","pas de prix, ni de quantité"))))</f>
        <v/>
      </c>
      <c r="BI3060" s="19"/>
    </row>
    <row r="3061" customFormat="false" ht="15" hidden="false" customHeight="false" outlineLevel="0" collapsed="false">
      <c r="A3061" s="0" t="n">
        <v>5</v>
      </c>
      <c r="B3061" s="8" t="s">
        <v>24</v>
      </c>
      <c r="C3061" s="9" t="s">
        <v>25</v>
      </c>
      <c r="D3061" s="9" t="s">
        <v>26</v>
      </c>
      <c r="E3061" s="10" t="n">
        <v>1789</v>
      </c>
      <c r="F3061" s="9" t="s">
        <v>27</v>
      </c>
      <c r="G3061" s="9" t="s">
        <v>27</v>
      </c>
      <c r="H3061" s="11" t="n">
        <v>25</v>
      </c>
      <c r="I3061" s="11" t="s">
        <v>333</v>
      </c>
      <c r="J3061" s="14" t="n">
        <v>44</v>
      </c>
      <c r="K3061" s="14"/>
      <c r="L3061" s="16"/>
      <c r="M3061" s="27" t="n">
        <f aca="false">J3061+(K3061/20)+(L3061/240)</f>
        <v>44</v>
      </c>
      <c r="N3061" s="17" t="s">
        <v>66</v>
      </c>
      <c r="O3061" s="11"/>
      <c r="P3061" s="28" t="n">
        <v>1391</v>
      </c>
      <c r="Q3061" s="28" t="n">
        <v>61204</v>
      </c>
      <c r="R3061" s="28"/>
      <c r="S3061" s="28" t="n">
        <f aca="false">R3061*$M3061</f>
        <v>0</v>
      </c>
      <c r="T3061" s="28"/>
      <c r="U3061" s="28" t="n">
        <f aca="false">T3061*$M3061</f>
        <v>0</v>
      </c>
      <c r="V3061" s="28"/>
      <c r="W3061" s="28" t="n">
        <f aca="false">V3061*$M3061</f>
        <v>0</v>
      </c>
      <c r="X3061" s="28"/>
      <c r="Y3061" s="28" t="n">
        <f aca="false">X3061*$M3061</f>
        <v>0</v>
      </c>
      <c r="Z3061" s="28"/>
      <c r="AA3061" s="28" t="n">
        <f aca="false">Z3061*$M3061</f>
        <v>0</v>
      </c>
      <c r="AB3061" s="28"/>
      <c r="AC3061" s="28" t="n">
        <f aca="false">AB3061*$M3061</f>
        <v>0</v>
      </c>
      <c r="AD3061" s="28"/>
      <c r="AE3061" s="28" t="n">
        <f aca="false">AD3061*$M3061</f>
        <v>0</v>
      </c>
      <c r="AF3061" s="28"/>
      <c r="AG3061" s="28" t="n">
        <f aca="false">AF3061*$M3061</f>
        <v>0</v>
      </c>
      <c r="AH3061" s="28"/>
      <c r="AI3061" s="28" t="n">
        <f aca="false">AH3061*$M3061</f>
        <v>0</v>
      </c>
      <c r="AJ3061" s="28"/>
      <c r="AK3061" s="28" t="n">
        <f aca="false">AJ3061*$M3061</f>
        <v>0</v>
      </c>
      <c r="AL3061" s="28"/>
      <c r="AM3061" s="28" t="n">
        <f aca="false">AL3061*$M3061</f>
        <v>0</v>
      </c>
      <c r="AN3061" s="28"/>
      <c r="AO3061" s="28" t="n">
        <f aca="false">AN3061*$M3061</f>
        <v>0</v>
      </c>
      <c r="AP3061" s="28"/>
      <c r="AQ3061" s="28" t="n">
        <f aca="false">AP3061*$M3061</f>
        <v>0</v>
      </c>
      <c r="AR3061" s="28"/>
      <c r="AS3061" s="28" t="n">
        <f aca="false">AR3061*$M3061</f>
        <v>0</v>
      </c>
      <c r="AT3061" s="28"/>
      <c r="AU3061" s="28" t="n">
        <f aca="false">AT3061*$M3061</f>
        <v>0</v>
      </c>
      <c r="AV3061" s="28"/>
      <c r="AW3061" s="28" t="n">
        <f aca="false">AV3061*$M3061</f>
        <v>0</v>
      </c>
      <c r="AX3061" s="28"/>
      <c r="AY3061" s="28" t="n">
        <f aca="false">AX3061*$M3061</f>
        <v>0</v>
      </c>
      <c r="AZ3061" s="30" t="n">
        <v>1391</v>
      </c>
      <c r="BA3061" s="11" t="n">
        <v>61204</v>
      </c>
      <c r="BB3061" s="31" t="n">
        <f aca="false">SUM(Q3061,S3061,U3061,W3061,Y3061,AA3061,AC3061,AE3061,AG3061,AI3061,AK3061,AM3061,AO3061,AQ3061,AS3061,AU3061,AW3061,AY3061)</f>
        <v>61204</v>
      </c>
      <c r="BC3061" s="28" t="n">
        <f aca="false">BA3061-BB3061</f>
        <v>0</v>
      </c>
      <c r="BD3061" s="32" t="n">
        <f aca="false">SUM(P3061,R3061,T3061,V3061,X3061,Z3061,AB3061,AD3061,AF3061,AH3061,AJ3061,AL3061,AN3061,AP3061,AR3061,AT3061,AV3061,AX3061)</f>
        <v>1391</v>
      </c>
      <c r="BE3061" s="33" t="n">
        <f aca="false">AZ3061-BD3061</f>
        <v>0</v>
      </c>
      <c r="BF3061" s="34" t="n">
        <f aca="false">BD3061*M3061</f>
        <v>61204</v>
      </c>
      <c r="BG3061" s="35" t="n">
        <f aca="false">BA3061-BF3061</f>
        <v>0</v>
      </c>
      <c r="BH3061" s="19" t="str">
        <f aca="false">IF(BG3061=0,"",IF(BG3061&lt;&gt;BA3061,"erreur de calcul",IF(BD3061&lt;&gt;0,"pas de prix",IF(M3061&lt;&gt; 0,"pas de quantité","pas de prix, ni de quantité"))))</f>
        <v/>
      </c>
      <c r="BI3061" s="19"/>
    </row>
    <row r="3062" customFormat="false" ht="15" hidden="false" customHeight="false" outlineLevel="0" collapsed="false">
      <c r="A3062" s="0" t="n">
        <v>6</v>
      </c>
      <c r="B3062" s="8" t="s">
        <v>24</v>
      </c>
      <c r="C3062" s="9" t="s">
        <v>25</v>
      </c>
      <c r="D3062" s="9" t="s">
        <v>26</v>
      </c>
      <c r="E3062" s="10" t="n">
        <v>1789</v>
      </c>
      <c r="F3062" s="9" t="s">
        <v>27</v>
      </c>
      <c r="G3062" s="9" t="s">
        <v>27</v>
      </c>
      <c r="H3062" s="11" t="n">
        <v>25</v>
      </c>
      <c r="I3062" s="11" t="s">
        <v>334</v>
      </c>
      <c r="J3062" s="14" t="n">
        <v>12</v>
      </c>
      <c r="K3062" s="14"/>
      <c r="L3062" s="16"/>
      <c r="M3062" s="27" t="n">
        <f aca="false">J3062+(K3062/20)+(L3062/240)</f>
        <v>12</v>
      </c>
      <c r="N3062" s="17" t="s">
        <v>64</v>
      </c>
      <c r="O3062" s="11"/>
      <c r="P3062" s="28"/>
      <c r="Q3062" s="28" t="n">
        <f aca="false">P3062*$M3062</f>
        <v>0</v>
      </c>
      <c r="R3062" s="28"/>
      <c r="S3062" s="28" t="n">
        <f aca="false">R3062*$M3062</f>
        <v>0</v>
      </c>
      <c r="T3062" s="28"/>
      <c r="U3062" s="28" t="n">
        <f aca="false">T3062*$M3062</f>
        <v>0</v>
      </c>
      <c r="V3062" s="28"/>
      <c r="W3062" s="28" t="n">
        <f aca="false">V3062*$M3062</f>
        <v>0</v>
      </c>
      <c r="X3062" s="28" t="n">
        <f aca="false">1111/100</f>
        <v>11.11</v>
      </c>
      <c r="Y3062" s="28" t="n">
        <v>133</v>
      </c>
      <c r="Z3062" s="28"/>
      <c r="AA3062" s="28" t="n">
        <f aca="false">Z3062*$M3062</f>
        <v>0</v>
      </c>
      <c r="AB3062" s="28"/>
      <c r="AC3062" s="28" t="n">
        <f aca="false">AB3062*$M3062</f>
        <v>0</v>
      </c>
      <c r="AD3062" s="28"/>
      <c r="AE3062" s="28" t="n">
        <f aca="false">AD3062*$M3062</f>
        <v>0</v>
      </c>
      <c r="AF3062" s="28"/>
      <c r="AG3062" s="28" t="n">
        <f aca="false">AF3062*$M3062</f>
        <v>0</v>
      </c>
      <c r="AH3062" s="28"/>
      <c r="AI3062" s="28" t="n">
        <f aca="false">AH3062*$M3062</f>
        <v>0</v>
      </c>
      <c r="AJ3062" s="28"/>
      <c r="AK3062" s="28" t="n">
        <f aca="false">AJ3062*$M3062</f>
        <v>0</v>
      </c>
      <c r="AL3062" s="28"/>
      <c r="AM3062" s="28" t="n">
        <f aca="false">AL3062*$M3062</f>
        <v>0</v>
      </c>
      <c r="AN3062" s="28"/>
      <c r="AO3062" s="28" t="n">
        <f aca="false">AN3062*$M3062</f>
        <v>0</v>
      </c>
      <c r="AP3062" s="28"/>
      <c r="AQ3062" s="28" t="n">
        <f aca="false">AP3062*$M3062</f>
        <v>0</v>
      </c>
      <c r="AR3062" s="28"/>
      <c r="AS3062" s="28" t="n">
        <f aca="false">AR3062*$M3062</f>
        <v>0</v>
      </c>
      <c r="AT3062" s="28"/>
      <c r="AU3062" s="28" t="n">
        <f aca="false">AT3062*$M3062</f>
        <v>0</v>
      </c>
      <c r="AV3062" s="28"/>
      <c r="AW3062" s="28" t="n">
        <f aca="false">AV3062*$M3062</f>
        <v>0</v>
      </c>
      <c r="AX3062" s="28"/>
      <c r="AY3062" s="28" t="n">
        <f aca="false">AX3062*$M3062</f>
        <v>0</v>
      </c>
      <c r="AZ3062" s="30" t="n">
        <f aca="false">1111/100</f>
        <v>11.11</v>
      </c>
      <c r="BA3062" s="11" t="n">
        <v>133</v>
      </c>
      <c r="BB3062" s="31" t="n">
        <f aca="false">SUM(Q3062,S3062,U3062,W3062,Y3062,AA3062,AC3062,AE3062,AG3062,AI3062,AK3062,AM3062,AO3062,AQ3062,AS3062,AU3062,AW3062,AY3062)</f>
        <v>133</v>
      </c>
      <c r="BC3062" s="28" t="n">
        <f aca="false">BA3062-BB3062</f>
        <v>0</v>
      </c>
      <c r="BD3062" s="32" t="n">
        <f aca="false">SUM(P3062,R3062,T3062,V3062,X3062,Z3062,AB3062,AD3062,AF3062,AH3062,AJ3062,AL3062,AN3062,AP3062,AR3062,AT3062,AV3062,AX3062)</f>
        <v>11.11</v>
      </c>
      <c r="BE3062" s="33" t="n">
        <f aca="false">AZ3062-BD3062</f>
        <v>0</v>
      </c>
      <c r="BF3062" s="34" t="n">
        <f aca="false">BD3062*M3062</f>
        <v>133.32</v>
      </c>
      <c r="BG3062" s="35" t="n">
        <f aca="false">BA3062-BF3062</f>
        <v>-0.319999999999993</v>
      </c>
      <c r="BH3062" s="19" t="str">
        <f aca="false">IF(BG3062=0,"",IF(BG3062&lt;&gt;BA3062,"erreur de calcul",IF(BD3062&lt;&gt;0,"pas de prix",IF(M3062&lt;&gt; 0,"pas de quantité","pas de prix, ni de quantité"))))</f>
        <v>erreur de calcul</v>
      </c>
      <c r="BI3062" s="19"/>
    </row>
    <row r="3063" customFormat="false" ht="16.65" hidden="false" customHeight="false" outlineLevel="0" collapsed="false">
      <c r="A3063" s="0" t="n">
        <v>7</v>
      </c>
      <c r="B3063" s="8" t="s">
        <v>24</v>
      </c>
      <c r="C3063" s="9" t="s">
        <v>25</v>
      </c>
      <c r="D3063" s="9" t="s">
        <v>26</v>
      </c>
      <c r="E3063" s="10" t="n">
        <v>1789</v>
      </c>
      <c r="F3063" s="9" t="s">
        <v>27</v>
      </c>
      <c r="G3063" s="9" t="s">
        <v>27</v>
      </c>
      <c r="H3063" s="11" t="n">
        <v>25</v>
      </c>
      <c r="I3063" s="11" t="s">
        <v>335</v>
      </c>
      <c r="J3063" s="14" t="n">
        <v>4</v>
      </c>
      <c r="K3063" s="14" t="n">
        <v>10</v>
      </c>
      <c r="L3063" s="16"/>
      <c r="M3063" s="27" t="n">
        <f aca="false">J3063+(K3063/20)+(L3063/240)</f>
        <v>4.5</v>
      </c>
      <c r="N3063" s="17" t="s">
        <v>64</v>
      </c>
      <c r="O3063" s="11" t="s">
        <v>77</v>
      </c>
      <c r="P3063" s="28" t="n">
        <f aca="false">8366/100</f>
        <v>83.66</v>
      </c>
      <c r="Q3063" s="28" t="n">
        <v>376</v>
      </c>
      <c r="R3063" s="28"/>
      <c r="S3063" s="28" t="n">
        <f aca="false">R3063*$M3063</f>
        <v>0</v>
      </c>
      <c r="T3063" s="28"/>
      <c r="U3063" s="28" t="n">
        <f aca="false">T3063*$M3063</f>
        <v>0</v>
      </c>
      <c r="V3063" s="28"/>
      <c r="W3063" s="28" t="n">
        <f aca="false">V3063*$M3063</f>
        <v>0</v>
      </c>
      <c r="X3063" s="28"/>
      <c r="Y3063" s="28" t="n">
        <f aca="false">X3063*$M3063</f>
        <v>0</v>
      </c>
      <c r="Z3063" s="28"/>
      <c r="AA3063" s="28" t="n">
        <f aca="false">Z3063*$M3063</f>
        <v>0</v>
      </c>
      <c r="AB3063" s="28"/>
      <c r="AC3063" s="28" t="n">
        <f aca="false">AB3063*$M3063</f>
        <v>0</v>
      </c>
      <c r="AD3063" s="28"/>
      <c r="AE3063" s="28" t="n">
        <f aca="false">AD3063*$M3063</f>
        <v>0</v>
      </c>
      <c r="AF3063" s="28"/>
      <c r="AG3063" s="28" t="n">
        <f aca="false">AF3063*$M3063</f>
        <v>0</v>
      </c>
      <c r="AH3063" s="28"/>
      <c r="AI3063" s="28" t="n">
        <f aca="false">AH3063*$M3063</f>
        <v>0</v>
      </c>
      <c r="AJ3063" s="28"/>
      <c r="AK3063" s="28" t="n">
        <f aca="false">AJ3063*$M3063</f>
        <v>0</v>
      </c>
      <c r="AL3063" s="28"/>
      <c r="AM3063" s="28" t="n">
        <f aca="false">AL3063*$M3063</f>
        <v>0</v>
      </c>
      <c r="AN3063" s="28"/>
      <c r="AO3063" s="28" t="n">
        <f aca="false">AN3063*$M3063</f>
        <v>0</v>
      </c>
      <c r="AP3063" s="28"/>
      <c r="AQ3063" s="28" t="n">
        <f aca="false">AP3063*$M3063</f>
        <v>0</v>
      </c>
      <c r="AR3063" s="28"/>
      <c r="AS3063" s="28" t="n">
        <f aca="false">AR3063*$M3063</f>
        <v>0</v>
      </c>
      <c r="AT3063" s="28"/>
      <c r="AU3063" s="28" t="n">
        <f aca="false">AT3063*$M3063</f>
        <v>0</v>
      </c>
      <c r="AV3063" s="28"/>
      <c r="AW3063" s="28" t="n">
        <f aca="false">AV3063*$M3063</f>
        <v>0</v>
      </c>
      <c r="AX3063" s="28"/>
      <c r="AY3063" s="28" t="n">
        <f aca="false">AX3063*$M3063</f>
        <v>0</v>
      </c>
      <c r="AZ3063" s="30" t="n">
        <f aca="false">8366/100</f>
        <v>83.66</v>
      </c>
      <c r="BA3063" s="11" t="n">
        <v>376</v>
      </c>
      <c r="BB3063" s="31" t="n">
        <f aca="false">SUM(Q3063,S3063,U3063,W3063,Y3063,AA3063,AC3063,AE3063,AG3063,AI3063,AK3063,AM3063,AO3063,AQ3063,AS3063,AU3063,AW3063,AY3063)</f>
        <v>376</v>
      </c>
      <c r="BC3063" s="28" t="n">
        <f aca="false">BA3063-BB3063</f>
        <v>0</v>
      </c>
      <c r="BD3063" s="32" t="n">
        <f aca="false">SUM(P3063,R3063,T3063,V3063,X3063,Z3063,AB3063,AD3063,AF3063,AH3063,AJ3063,AL3063,AN3063,AP3063,AR3063,AT3063,AV3063,AX3063)</f>
        <v>83.66</v>
      </c>
      <c r="BE3063" s="33" t="n">
        <f aca="false">AZ3063-BD3063</f>
        <v>0</v>
      </c>
      <c r="BF3063" s="34" t="n">
        <f aca="false">BD3063*M3063</f>
        <v>376.47</v>
      </c>
      <c r="BG3063" s="35" t="n">
        <f aca="false">BA3063-BF3063</f>
        <v>-0.46999999999997</v>
      </c>
      <c r="BH3063" s="19" t="str">
        <f aca="false">IF(BG3063=0,"",IF(BG3063&lt;&gt;BA3063,"erreur de calcul",IF(BD3063&lt;&gt;0,"pas de prix",IF(M3063&lt;&gt; 0,"pas de quantité","pas de prix, ni de quantité"))))</f>
        <v>erreur de calcul</v>
      </c>
      <c r="BI3063" s="19"/>
    </row>
    <row r="3064" customFormat="false" ht="15" hidden="false" customHeight="false" outlineLevel="0" collapsed="false">
      <c r="A3064" s="0" t="n">
        <v>8</v>
      </c>
      <c r="B3064" s="8" t="s">
        <v>24</v>
      </c>
      <c r="C3064" s="9" t="s">
        <v>25</v>
      </c>
      <c r="D3064" s="9" t="s">
        <v>26</v>
      </c>
      <c r="E3064" s="10" t="n">
        <v>1789</v>
      </c>
      <c r="F3064" s="9" t="s">
        <v>27</v>
      </c>
      <c r="G3064" s="9" t="s">
        <v>27</v>
      </c>
      <c r="H3064" s="11" t="n">
        <v>25</v>
      </c>
      <c r="I3064" s="11" t="s">
        <v>336</v>
      </c>
      <c r="J3064" s="14" t="n">
        <v>64</v>
      </c>
      <c r="K3064" s="14"/>
      <c r="L3064" s="16"/>
      <c r="M3064" s="27" t="n">
        <f aca="false">J3064+(K3064/20)+(L3064/240)</f>
        <v>64</v>
      </c>
      <c r="N3064" s="17" t="s">
        <v>337</v>
      </c>
      <c r="O3064" s="11"/>
      <c r="P3064" s="28"/>
      <c r="Q3064" s="28" t="n">
        <f aca="false">P3064*$M3064</f>
        <v>0</v>
      </c>
      <c r="R3064" s="28"/>
      <c r="S3064" s="28" t="n">
        <f aca="false">R3064*$M3064</f>
        <v>0</v>
      </c>
      <c r="T3064" s="28" t="n">
        <v>42</v>
      </c>
      <c r="U3064" s="28" t="n">
        <v>2688</v>
      </c>
      <c r="V3064" s="28"/>
      <c r="W3064" s="28" t="n">
        <f aca="false">V3064*$M3064</f>
        <v>0</v>
      </c>
      <c r="X3064" s="28"/>
      <c r="Y3064" s="28" t="n">
        <f aca="false">X3064*$M3064</f>
        <v>0</v>
      </c>
      <c r="Z3064" s="28"/>
      <c r="AA3064" s="28" t="n">
        <f aca="false">Z3064*$M3064</f>
        <v>0</v>
      </c>
      <c r="AB3064" s="28" t="n">
        <v>66</v>
      </c>
      <c r="AC3064" s="28" t="n">
        <v>4224</v>
      </c>
      <c r="AD3064" s="28"/>
      <c r="AE3064" s="28" t="n">
        <f aca="false">AD3064*$M3064</f>
        <v>0</v>
      </c>
      <c r="AF3064" s="28"/>
      <c r="AG3064" s="28" t="n">
        <f aca="false">AF3064*$M3064</f>
        <v>0</v>
      </c>
      <c r="AH3064" s="28"/>
      <c r="AI3064" s="28" t="n">
        <f aca="false">AH3064*$M3064</f>
        <v>0</v>
      </c>
      <c r="AJ3064" s="28"/>
      <c r="AK3064" s="28" t="n">
        <f aca="false">AJ3064*$M3064</f>
        <v>0</v>
      </c>
      <c r="AL3064" s="28"/>
      <c r="AM3064" s="28" t="n">
        <f aca="false">AL3064*$M3064</f>
        <v>0</v>
      </c>
      <c r="AN3064" s="28"/>
      <c r="AO3064" s="28" t="n">
        <f aca="false">AN3064*$M3064</f>
        <v>0</v>
      </c>
      <c r="AP3064" s="28"/>
      <c r="AQ3064" s="28" t="n">
        <f aca="false">AP3064*$M3064</f>
        <v>0</v>
      </c>
      <c r="AR3064" s="28"/>
      <c r="AS3064" s="28" t="n">
        <f aca="false">AR3064*$M3064</f>
        <v>0</v>
      </c>
      <c r="AT3064" s="28"/>
      <c r="AU3064" s="28" t="n">
        <f aca="false">AT3064*$M3064</f>
        <v>0</v>
      </c>
      <c r="AV3064" s="28"/>
      <c r="AW3064" s="28" t="n">
        <f aca="false">AV3064*$M3064</f>
        <v>0</v>
      </c>
      <c r="AX3064" s="28"/>
      <c r="AY3064" s="28" t="n">
        <f aca="false">AX3064*$M3064</f>
        <v>0</v>
      </c>
      <c r="AZ3064" s="30" t="n">
        <v>108</v>
      </c>
      <c r="BA3064" s="11" t="n">
        <v>6912</v>
      </c>
      <c r="BB3064" s="31" t="n">
        <f aca="false">SUM(Q3064,S3064,U3064,W3064,Y3064,AA3064,AC3064,AE3064,AG3064,AI3064,AK3064,AM3064,AO3064,AQ3064,AS3064,AU3064,AW3064,AY3064)</f>
        <v>6912</v>
      </c>
      <c r="BC3064" s="28" t="n">
        <f aca="false">BA3064-BB3064</f>
        <v>0</v>
      </c>
      <c r="BD3064" s="32" t="n">
        <f aca="false">SUM(P3064,R3064,T3064,V3064,X3064,Z3064,AB3064,AD3064,AF3064,AH3064,AJ3064,AL3064,AN3064,AP3064,AR3064,AT3064,AV3064,AX3064)</f>
        <v>108</v>
      </c>
      <c r="BE3064" s="33" t="n">
        <f aca="false">AZ3064-BD3064</f>
        <v>0</v>
      </c>
      <c r="BF3064" s="34" t="n">
        <f aca="false">BD3064*M3064</f>
        <v>6912</v>
      </c>
      <c r="BG3064" s="35" t="n">
        <f aca="false">BA3064-BF3064</f>
        <v>0</v>
      </c>
      <c r="BH3064" s="19" t="str">
        <f aca="false">IF(BG3064=0,"",IF(BG3064&lt;&gt;BA3064,"erreur de calcul",IF(BD3064&lt;&gt;0,"pas de prix",IF(M3064&lt;&gt; 0,"pas de quantité","pas de prix, ni de quantité"))))</f>
        <v/>
      </c>
      <c r="BI3064" s="19"/>
    </row>
    <row r="3065" customFormat="false" ht="15" hidden="false" customHeight="false" outlineLevel="0" collapsed="false">
      <c r="A3065" s="0" t="n">
        <v>9</v>
      </c>
      <c r="B3065" s="8" t="s">
        <v>24</v>
      </c>
      <c r="C3065" s="9" t="s">
        <v>25</v>
      </c>
      <c r="D3065" s="9" t="s">
        <v>26</v>
      </c>
      <c r="E3065" s="10" t="n">
        <v>1789</v>
      </c>
      <c r="F3065" s="9" t="s">
        <v>27</v>
      </c>
      <c r="G3065" s="9" t="s">
        <v>27</v>
      </c>
      <c r="H3065" s="11" t="n">
        <v>25</v>
      </c>
      <c r="I3065" s="11" t="s">
        <v>338</v>
      </c>
      <c r="J3065" s="14"/>
      <c r="K3065" s="14"/>
      <c r="L3065" s="16"/>
      <c r="M3065" s="27" t="n">
        <f aca="false">J3065+(K3065/20)+(L3065/240)</f>
        <v>0</v>
      </c>
      <c r="N3065" s="17"/>
      <c r="O3065" s="11"/>
      <c r="P3065" s="28"/>
      <c r="Q3065" s="28" t="n">
        <f aca="false">P3065*$M3065</f>
        <v>0</v>
      </c>
      <c r="R3065" s="28"/>
      <c r="S3065" s="28" t="n">
        <f aca="false">R3065*$M3065</f>
        <v>0</v>
      </c>
      <c r="T3065" s="28"/>
      <c r="U3065" s="28" t="n">
        <v>135</v>
      </c>
      <c r="V3065" s="28"/>
      <c r="W3065" s="28" t="n">
        <v>642</v>
      </c>
      <c r="X3065" s="28"/>
      <c r="Y3065" s="28" t="n">
        <f aca="false">X3065*$M3065</f>
        <v>0</v>
      </c>
      <c r="Z3065" s="28"/>
      <c r="AA3065" s="28" t="n">
        <f aca="false">Z3065*$M3065</f>
        <v>0</v>
      </c>
      <c r="AB3065" s="28"/>
      <c r="AC3065" s="28" t="n">
        <f aca="false">AB3065*$M3065</f>
        <v>0</v>
      </c>
      <c r="AD3065" s="28"/>
      <c r="AE3065" s="28" t="n">
        <f aca="false">AD3065*$M3065</f>
        <v>0</v>
      </c>
      <c r="AF3065" s="28"/>
      <c r="AG3065" s="28" t="n">
        <f aca="false">AF3065*$M3065</f>
        <v>0</v>
      </c>
      <c r="AH3065" s="28"/>
      <c r="AI3065" s="28" t="n">
        <f aca="false">AH3065*$M3065</f>
        <v>0</v>
      </c>
      <c r="AJ3065" s="28"/>
      <c r="AK3065" s="28" t="n">
        <v>375</v>
      </c>
      <c r="AL3065" s="28"/>
      <c r="AM3065" s="28" t="n">
        <f aca="false">AL3065*$M3065</f>
        <v>0</v>
      </c>
      <c r="AN3065" s="28"/>
      <c r="AO3065" s="28" t="n">
        <f aca="false">AN3065*$M3065</f>
        <v>0</v>
      </c>
      <c r="AP3065" s="28"/>
      <c r="AQ3065" s="28" t="n">
        <f aca="false">AP3065*$M3065</f>
        <v>0</v>
      </c>
      <c r="AR3065" s="28"/>
      <c r="AS3065" s="28" t="n">
        <f aca="false">AR3065*$M3065</f>
        <v>0</v>
      </c>
      <c r="AT3065" s="28"/>
      <c r="AU3065" s="28" t="n">
        <f aca="false">AT3065*$M3065</f>
        <v>0</v>
      </c>
      <c r="AV3065" s="28"/>
      <c r="AW3065" s="28" t="n">
        <v>765</v>
      </c>
      <c r="AX3065" s="28"/>
      <c r="AY3065" s="28" t="n">
        <f aca="false">AX3065*$M3065</f>
        <v>0</v>
      </c>
      <c r="AZ3065" s="30"/>
      <c r="BA3065" s="11" t="n">
        <v>1917</v>
      </c>
      <c r="BB3065" s="31" t="n">
        <f aca="false">SUM(Q3065,S3065,U3065,W3065,Y3065,AA3065,AC3065,AE3065,AG3065,AI3065,AK3065,AM3065,AO3065,AQ3065,AS3065,AU3065,AW3065,AY3065)</f>
        <v>1917</v>
      </c>
      <c r="BC3065" s="28" t="n">
        <f aca="false">BA3065-BB3065</f>
        <v>0</v>
      </c>
      <c r="BD3065" s="32" t="n">
        <f aca="false">SUM(P3065,R3065,T3065,V3065,X3065,Z3065,AB3065,AD3065,AF3065,AH3065,AJ3065,AL3065,AN3065,AP3065,AR3065,AT3065,AV3065,AX3065)</f>
        <v>0</v>
      </c>
      <c r="BE3065" s="33" t="n">
        <f aca="false">AZ3065-BD3065</f>
        <v>0</v>
      </c>
      <c r="BF3065" s="34" t="n">
        <f aca="false">BD3065*M3065</f>
        <v>0</v>
      </c>
      <c r="BG3065" s="35" t="n">
        <f aca="false">BA3065-BF3065</f>
        <v>1917</v>
      </c>
      <c r="BH3065" s="19" t="str">
        <f aca="false">IF(BG3065=0,"",IF(BG3065&lt;&gt;BA3065,"erreur de calcul",IF(BD3065&lt;&gt;0,"pas de prix",IF(M3065&lt;&gt; 0,"pas de quantité","pas de prix, ni de quantité"))))</f>
        <v>pas de prix, ni de quantité</v>
      </c>
      <c r="BI3065" s="19"/>
    </row>
    <row r="3066" customFormat="false" ht="15" hidden="false" customHeight="false" outlineLevel="0" collapsed="false">
      <c r="A3066" s="0" t="n">
        <v>10</v>
      </c>
      <c r="B3066" s="8" t="s">
        <v>24</v>
      </c>
      <c r="C3066" s="9" t="s">
        <v>25</v>
      </c>
      <c r="D3066" s="9" t="s">
        <v>26</v>
      </c>
      <c r="E3066" s="10" t="n">
        <v>1789</v>
      </c>
      <c r="F3066" s="9" t="s">
        <v>27</v>
      </c>
      <c r="G3066" s="9" t="s">
        <v>27</v>
      </c>
      <c r="H3066" s="11" t="n">
        <v>25</v>
      </c>
      <c r="I3066" s="11" t="s">
        <v>339</v>
      </c>
      <c r="J3066" s="14" t="n">
        <v>7</v>
      </c>
      <c r="K3066" s="14"/>
      <c r="L3066" s="16"/>
      <c r="M3066" s="27" t="n">
        <f aca="false">J3066+(K3066/20)+(L3066/240)</f>
        <v>7</v>
      </c>
      <c r="N3066" s="17" t="s">
        <v>69</v>
      </c>
      <c r="O3066" s="11"/>
      <c r="P3066" s="28"/>
      <c r="Q3066" s="28" t="n">
        <f aca="false">P3066*$M3066</f>
        <v>0</v>
      </c>
      <c r="R3066" s="28"/>
      <c r="S3066" s="28" t="n">
        <f aca="false">R3066*$M3066</f>
        <v>0</v>
      </c>
      <c r="T3066" s="28"/>
      <c r="U3066" s="28" t="n">
        <f aca="false">T3066*$M3066</f>
        <v>0</v>
      </c>
      <c r="V3066" s="28" t="n">
        <v>554</v>
      </c>
      <c r="W3066" s="28" t="n">
        <v>3878</v>
      </c>
      <c r="X3066" s="28"/>
      <c r="Y3066" s="28" t="n">
        <f aca="false">X3066*$M3066</f>
        <v>0</v>
      </c>
      <c r="Z3066" s="28"/>
      <c r="AA3066" s="28" t="n">
        <f aca="false">Z3066*$M3066</f>
        <v>0</v>
      </c>
      <c r="AB3066" s="28"/>
      <c r="AC3066" s="28" t="n">
        <f aca="false">AB3066*$M3066</f>
        <v>0</v>
      </c>
      <c r="AD3066" s="28"/>
      <c r="AE3066" s="28" t="n">
        <f aca="false">AD3066*$M3066</f>
        <v>0</v>
      </c>
      <c r="AF3066" s="28"/>
      <c r="AG3066" s="28" t="n">
        <f aca="false">AF3066*$M3066</f>
        <v>0</v>
      </c>
      <c r="AH3066" s="28"/>
      <c r="AI3066" s="28" t="n">
        <f aca="false">AH3066*$M3066</f>
        <v>0</v>
      </c>
      <c r="AJ3066" s="28"/>
      <c r="AK3066" s="28" t="n">
        <f aca="false">AJ3066*$M3066</f>
        <v>0</v>
      </c>
      <c r="AL3066" s="28"/>
      <c r="AM3066" s="28" t="n">
        <f aca="false">AL3066*$M3066</f>
        <v>0</v>
      </c>
      <c r="AN3066" s="28"/>
      <c r="AO3066" s="28" t="n">
        <f aca="false">AN3066*$M3066</f>
        <v>0</v>
      </c>
      <c r="AP3066" s="28"/>
      <c r="AQ3066" s="28" t="n">
        <f aca="false">AP3066*$M3066</f>
        <v>0</v>
      </c>
      <c r="AR3066" s="28"/>
      <c r="AS3066" s="28" t="n">
        <f aca="false">AR3066*$M3066</f>
        <v>0</v>
      </c>
      <c r="AT3066" s="28"/>
      <c r="AU3066" s="28" t="n">
        <f aca="false">AT3066*$M3066</f>
        <v>0</v>
      </c>
      <c r="AV3066" s="28"/>
      <c r="AW3066" s="28" t="n">
        <f aca="false">AV3066*$M3066</f>
        <v>0</v>
      </c>
      <c r="AX3066" s="28"/>
      <c r="AY3066" s="28" t="n">
        <f aca="false">AX3066*$M3066</f>
        <v>0</v>
      </c>
      <c r="AZ3066" s="30" t="n">
        <v>554</v>
      </c>
      <c r="BA3066" s="11" t="n">
        <v>3878</v>
      </c>
      <c r="BB3066" s="31" t="n">
        <f aca="false">SUM(Q3066,S3066,U3066,W3066,Y3066,AA3066,AC3066,AE3066,AG3066,AI3066,AK3066,AM3066,AO3066,AQ3066,AS3066,AU3066,AW3066,AY3066)</f>
        <v>3878</v>
      </c>
      <c r="BC3066" s="28" t="n">
        <f aca="false">BA3066-BB3066</f>
        <v>0</v>
      </c>
      <c r="BD3066" s="32" t="n">
        <f aca="false">SUM(P3066,R3066,T3066,V3066,X3066,Z3066,AB3066,AD3066,AF3066,AH3066,AJ3066,AL3066,AN3066,AP3066,AR3066,AT3066,AV3066,AX3066)</f>
        <v>554</v>
      </c>
      <c r="BE3066" s="33" t="n">
        <f aca="false">AZ3066-BD3066</f>
        <v>0</v>
      </c>
      <c r="BF3066" s="34" t="n">
        <f aca="false">BD3066*M3066</f>
        <v>3878</v>
      </c>
      <c r="BG3066" s="35" t="n">
        <f aca="false">BA3066-BF3066</f>
        <v>0</v>
      </c>
      <c r="BH3066" s="19" t="str">
        <f aca="false">IF(BG3066=0,"",IF(BG3066&lt;&gt;BA3066,"erreur de calcul",IF(BD3066&lt;&gt;0,"pas de prix",IF(M3066&lt;&gt; 0,"pas de quantité","pas de prix, ni de quantité"))))</f>
        <v/>
      </c>
      <c r="BI3066" s="19"/>
    </row>
    <row r="3067" customFormat="false" ht="15" hidden="false" customHeight="false" outlineLevel="0" collapsed="false">
      <c r="A3067" s="0" t="n">
        <v>11</v>
      </c>
      <c r="B3067" s="8" t="s">
        <v>24</v>
      </c>
      <c r="C3067" s="9" t="s">
        <v>25</v>
      </c>
      <c r="D3067" s="9" t="s">
        <v>26</v>
      </c>
      <c r="E3067" s="10" t="n">
        <v>1789</v>
      </c>
      <c r="F3067" s="9" t="s">
        <v>27</v>
      </c>
      <c r="G3067" s="9" t="s">
        <v>27</v>
      </c>
      <c r="H3067" s="11" t="n">
        <v>25</v>
      </c>
      <c r="I3067" s="11" t="s">
        <v>340</v>
      </c>
      <c r="J3067" s="14" t="n">
        <v>15</v>
      </c>
      <c r="K3067" s="14"/>
      <c r="L3067" s="16"/>
      <c r="M3067" s="27" t="n">
        <f aca="false">J3067+(K3067/20)+(L3067/240)</f>
        <v>15</v>
      </c>
      <c r="N3067" s="17" t="s">
        <v>64</v>
      </c>
      <c r="O3067" s="11"/>
      <c r="P3067" s="28" t="n">
        <f aca="false">470959/100</f>
        <v>4709.59</v>
      </c>
      <c r="Q3067" s="28" t="n">
        <v>70644</v>
      </c>
      <c r="R3067" s="28"/>
      <c r="S3067" s="28" t="n">
        <f aca="false">R3067*$M3067</f>
        <v>0</v>
      </c>
      <c r="T3067" s="28"/>
      <c r="U3067" s="28" t="n">
        <f aca="false">T3067*$M3067</f>
        <v>0</v>
      </c>
      <c r="V3067" s="28"/>
      <c r="W3067" s="28" t="n">
        <f aca="false">V3067*$M3067</f>
        <v>0</v>
      </c>
      <c r="X3067" s="28"/>
      <c r="Y3067" s="28" t="n">
        <f aca="false">X3067*$M3067</f>
        <v>0</v>
      </c>
      <c r="Z3067" s="28"/>
      <c r="AA3067" s="28" t="n">
        <f aca="false">Z3067*$M3067</f>
        <v>0</v>
      </c>
      <c r="AB3067" s="28" t="n">
        <f aca="false">50000/100</f>
        <v>500</v>
      </c>
      <c r="AC3067" s="28" t="n">
        <v>7500</v>
      </c>
      <c r="AD3067" s="28"/>
      <c r="AE3067" s="28" t="n">
        <f aca="false">AD3067*$M3067</f>
        <v>0</v>
      </c>
      <c r="AF3067" s="28" t="n">
        <f aca="false">15584/100</f>
        <v>155.84</v>
      </c>
      <c r="AG3067" s="28" t="n">
        <v>2338</v>
      </c>
      <c r="AH3067" s="28"/>
      <c r="AI3067" s="28" t="n">
        <f aca="false">AH3067*$M3067</f>
        <v>0</v>
      </c>
      <c r="AJ3067" s="28"/>
      <c r="AK3067" s="28" t="n">
        <f aca="false">AJ3067*$M3067</f>
        <v>0</v>
      </c>
      <c r="AL3067" s="28"/>
      <c r="AM3067" s="28" t="n">
        <f aca="false">AL3067*$M3067</f>
        <v>0</v>
      </c>
      <c r="AN3067" s="28"/>
      <c r="AO3067" s="28" t="n">
        <f aca="false">AN3067*$M3067</f>
        <v>0</v>
      </c>
      <c r="AP3067" s="28"/>
      <c r="AQ3067" s="28" t="n">
        <f aca="false">AP3067*$M3067</f>
        <v>0</v>
      </c>
      <c r="AR3067" s="28"/>
      <c r="AS3067" s="28" t="n">
        <f aca="false">AR3067*$M3067</f>
        <v>0</v>
      </c>
      <c r="AT3067" s="28"/>
      <c r="AU3067" s="28" t="n">
        <f aca="false">AT3067*$M3067</f>
        <v>0</v>
      </c>
      <c r="AV3067" s="28"/>
      <c r="AW3067" s="28" t="n">
        <f aca="false">AV3067*$M3067</f>
        <v>0</v>
      </c>
      <c r="AX3067" s="28"/>
      <c r="AY3067" s="28" t="n">
        <f aca="false">AX3067*$M3067</f>
        <v>0</v>
      </c>
      <c r="AZ3067" s="30" t="n">
        <f aca="false">535959/100</f>
        <v>5359.59</v>
      </c>
      <c r="BA3067" s="11" t="n">
        <v>80482</v>
      </c>
      <c r="BB3067" s="31" t="n">
        <f aca="false">SUM(Q3067,S3067,U3067,W3067,Y3067,AA3067,AC3067,AE3067,AG3067,AI3067,AK3067,AM3067,AO3067,AQ3067,AS3067,AU3067,AW3067,AY3067)</f>
        <v>80482</v>
      </c>
      <c r="BC3067" s="28" t="n">
        <f aca="false">BA3067-BB3067</f>
        <v>0</v>
      </c>
      <c r="BD3067" s="32" t="n">
        <f aca="false">SUM(P3067,R3067,T3067,V3067,X3067,Z3067,AB3067,AD3067,AF3067,AH3067,AJ3067,AL3067,AN3067,AP3067,AR3067,AT3067,AV3067,AX3067)</f>
        <v>5365.43</v>
      </c>
      <c r="BE3067" s="33" t="n">
        <f aca="false">AZ3067-BD3067</f>
        <v>-5.84000000000015</v>
      </c>
      <c r="BF3067" s="34" t="n">
        <f aca="false">BD3067*M3067</f>
        <v>80481.45</v>
      </c>
      <c r="BG3067" s="35" t="n">
        <f aca="false">BA3067-BF3067</f>
        <v>0.549999999988359</v>
      </c>
      <c r="BH3067" s="19" t="str">
        <f aca="false">IF(BG3067=0,"",IF(BG3067&lt;&gt;BA3067,"erreur de calcul",IF(BD3067&lt;&gt;0,"pas de prix",IF(M3067&lt;&gt; 0,"pas de quantité","pas de prix, ni de quantité"))))</f>
        <v>erreur de calcul</v>
      </c>
      <c r="BI3067" s="19"/>
    </row>
    <row r="3068" customFormat="false" ht="15" hidden="false" customHeight="false" outlineLevel="0" collapsed="false">
      <c r="A3068" s="0" t="n">
        <v>12</v>
      </c>
      <c r="B3068" s="8" t="s">
        <v>24</v>
      </c>
      <c r="C3068" s="9" t="s">
        <v>25</v>
      </c>
      <c r="D3068" s="9" t="s">
        <v>26</v>
      </c>
      <c r="E3068" s="10" t="n">
        <v>1789</v>
      </c>
      <c r="F3068" s="9" t="s">
        <v>27</v>
      </c>
      <c r="G3068" s="9" t="s">
        <v>27</v>
      </c>
      <c r="H3068" s="11" t="n">
        <v>25</v>
      </c>
      <c r="I3068" s="11" t="s">
        <v>341</v>
      </c>
      <c r="J3068" s="14" t="n">
        <v>75</v>
      </c>
      <c r="K3068" s="14"/>
      <c r="L3068" s="16"/>
      <c r="M3068" s="27" t="n">
        <f aca="false">J3068+(K3068/20)+(L3068/240)</f>
        <v>75</v>
      </c>
      <c r="N3068" s="17" t="s">
        <v>85</v>
      </c>
      <c r="O3068" s="11"/>
      <c r="P3068" s="28"/>
      <c r="Q3068" s="28" t="n">
        <f aca="false">P3068*$M3068</f>
        <v>0</v>
      </c>
      <c r="R3068" s="28"/>
      <c r="S3068" s="28" t="n">
        <f aca="false">R3068*$M3068</f>
        <v>0</v>
      </c>
      <c r="T3068" s="28"/>
      <c r="U3068" s="28" t="n">
        <f aca="false">T3068*$M3068</f>
        <v>0</v>
      </c>
      <c r="V3068" s="28"/>
      <c r="W3068" s="28" t="n">
        <f aca="false">V3068*$M3068</f>
        <v>0</v>
      </c>
      <c r="X3068" s="28"/>
      <c r="Y3068" s="28" t="n">
        <f aca="false">X3068*$M3068</f>
        <v>0</v>
      </c>
      <c r="Z3068" s="28"/>
      <c r="AA3068" s="28" t="n">
        <f aca="false">Z3068*$M3068</f>
        <v>0</v>
      </c>
      <c r="AB3068" s="28"/>
      <c r="AC3068" s="28" t="n">
        <f aca="false">AB3068*$M3068</f>
        <v>0</v>
      </c>
      <c r="AD3068" s="28"/>
      <c r="AE3068" s="28" t="n">
        <f aca="false">AD3068*$M3068</f>
        <v>0</v>
      </c>
      <c r="AF3068" s="28"/>
      <c r="AG3068" s="28" t="n">
        <f aca="false">AF3068*$M3068</f>
        <v>0</v>
      </c>
      <c r="AH3068" s="28"/>
      <c r="AI3068" s="28" t="n">
        <f aca="false">AH3068*$M3068</f>
        <v>0</v>
      </c>
      <c r="AJ3068" s="28"/>
      <c r="AK3068" s="28" t="n">
        <f aca="false">AJ3068*$M3068</f>
        <v>0</v>
      </c>
      <c r="AL3068" s="28" t="n">
        <f aca="false">2584/100</f>
        <v>25.84</v>
      </c>
      <c r="AM3068" s="28" t="n">
        <v>1938</v>
      </c>
      <c r="AN3068" s="28"/>
      <c r="AO3068" s="28" t="n">
        <f aca="false">AN3068*$M3068</f>
        <v>0</v>
      </c>
      <c r="AP3068" s="28"/>
      <c r="AQ3068" s="28" t="n">
        <f aca="false">AP3068*$M3068</f>
        <v>0</v>
      </c>
      <c r="AR3068" s="28"/>
      <c r="AS3068" s="28" t="n">
        <f aca="false">AR3068*$M3068</f>
        <v>0</v>
      </c>
      <c r="AT3068" s="28"/>
      <c r="AU3068" s="28" t="n">
        <f aca="false">AT3068*$M3068</f>
        <v>0</v>
      </c>
      <c r="AV3068" s="28"/>
      <c r="AW3068" s="28" t="n">
        <f aca="false">AV3068*$M3068</f>
        <v>0</v>
      </c>
      <c r="AX3068" s="28"/>
      <c r="AY3068" s="28" t="n">
        <f aca="false">AX3068*$M3068</f>
        <v>0</v>
      </c>
      <c r="AZ3068" s="30" t="n">
        <f aca="false">2584/100</f>
        <v>25.84</v>
      </c>
      <c r="BA3068" s="11" t="n">
        <v>1938</v>
      </c>
      <c r="BB3068" s="31" t="n">
        <f aca="false">SUM(Q3068,S3068,U3068,W3068,Y3068,AA3068,AC3068,AE3068,AG3068,AI3068,AK3068,AM3068,AO3068,AQ3068,AS3068,AU3068,AW3068,AY3068)</f>
        <v>1938</v>
      </c>
      <c r="BC3068" s="28" t="n">
        <f aca="false">BA3068-BB3068</f>
        <v>0</v>
      </c>
      <c r="BD3068" s="32" t="n">
        <f aca="false">SUM(P3068,R3068,T3068,V3068,X3068,Z3068,AB3068,AD3068,AF3068,AH3068,AJ3068,AL3068,AN3068,AP3068,AR3068,AT3068,AV3068,AX3068)</f>
        <v>25.84</v>
      </c>
      <c r="BE3068" s="33" t="n">
        <f aca="false">AZ3068-BD3068</f>
        <v>0</v>
      </c>
      <c r="BF3068" s="34" t="n">
        <f aca="false">BD3068*M3068</f>
        <v>1938</v>
      </c>
      <c r="BG3068" s="35" t="n">
        <f aca="false">BA3068-BF3068</f>
        <v>0</v>
      </c>
      <c r="BH3068" s="19" t="str">
        <f aca="false">IF(BG3068=0,"",IF(BG3068&lt;&gt;BA3068,"erreur de calcul",IF(BD3068&lt;&gt;0,"pas de prix",IF(M3068&lt;&gt; 0,"pas de quantité","pas de prix, ni de quantité"))))</f>
        <v/>
      </c>
      <c r="BI3068" s="19"/>
    </row>
    <row r="3069" customFormat="false" ht="15" hidden="false" customHeight="false" outlineLevel="0" collapsed="false">
      <c r="A3069" s="0" t="n">
        <v>13</v>
      </c>
      <c r="B3069" s="8" t="s">
        <v>24</v>
      </c>
      <c r="C3069" s="9" t="s">
        <v>25</v>
      </c>
      <c r="D3069" s="9" t="s">
        <v>26</v>
      </c>
      <c r="E3069" s="10" t="n">
        <v>1789</v>
      </c>
      <c r="F3069" s="9" t="s">
        <v>27</v>
      </c>
      <c r="G3069" s="9" t="s">
        <v>27</v>
      </c>
      <c r="H3069" s="11" t="n">
        <v>25</v>
      </c>
      <c r="I3069" s="11" t="s">
        <v>342</v>
      </c>
      <c r="J3069" s="14" t="n">
        <v>10</v>
      </c>
      <c r="K3069" s="14"/>
      <c r="L3069" s="16"/>
      <c r="M3069" s="27" t="n">
        <f aca="false">J3069+(K3069/20)+(L3069/240)</f>
        <v>10</v>
      </c>
      <c r="N3069" s="17" t="s">
        <v>66</v>
      </c>
      <c r="O3069" s="11"/>
      <c r="P3069" s="28"/>
      <c r="Q3069" s="28" t="n">
        <f aca="false">P3069*$M3069</f>
        <v>0</v>
      </c>
      <c r="R3069" s="28" t="n">
        <v>827</v>
      </c>
      <c r="S3069" s="28" t="n">
        <v>8270</v>
      </c>
      <c r="T3069" s="28"/>
      <c r="U3069" s="28" t="n">
        <f aca="false">T3069*$M3069</f>
        <v>0</v>
      </c>
      <c r="V3069" s="28"/>
      <c r="W3069" s="28" t="n">
        <f aca="false">V3069*$M3069</f>
        <v>0</v>
      </c>
      <c r="X3069" s="28"/>
      <c r="Y3069" s="28" t="n">
        <f aca="false">X3069*$M3069</f>
        <v>0</v>
      </c>
      <c r="Z3069" s="28"/>
      <c r="AA3069" s="28" t="n">
        <f aca="false">Z3069*$M3069</f>
        <v>0</v>
      </c>
      <c r="AB3069" s="28"/>
      <c r="AC3069" s="28" t="n">
        <f aca="false">AB3069*$M3069</f>
        <v>0</v>
      </c>
      <c r="AD3069" s="28"/>
      <c r="AE3069" s="28" t="n">
        <f aca="false">AD3069*$M3069</f>
        <v>0</v>
      </c>
      <c r="AF3069" s="28"/>
      <c r="AG3069" s="28" t="n">
        <f aca="false">AF3069*$M3069</f>
        <v>0</v>
      </c>
      <c r="AH3069" s="28"/>
      <c r="AI3069" s="28" t="n">
        <f aca="false">AH3069*$M3069</f>
        <v>0</v>
      </c>
      <c r="AJ3069" s="28"/>
      <c r="AK3069" s="28" t="n">
        <f aca="false">AJ3069*$M3069</f>
        <v>0</v>
      </c>
      <c r="AL3069" s="28"/>
      <c r="AM3069" s="28" t="n">
        <f aca="false">AL3069*$M3069</f>
        <v>0</v>
      </c>
      <c r="AN3069" s="28"/>
      <c r="AO3069" s="28" t="n">
        <f aca="false">AN3069*$M3069</f>
        <v>0</v>
      </c>
      <c r="AP3069" s="28"/>
      <c r="AQ3069" s="28" t="n">
        <f aca="false">AP3069*$M3069</f>
        <v>0</v>
      </c>
      <c r="AR3069" s="28"/>
      <c r="AS3069" s="28" t="n">
        <f aca="false">AR3069*$M3069</f>
        <v>0</v>
      </c>
      <c r="AT3069" s="28"/>
      <c r="AU3069" s="28" t="n">
        <f aca="false">AT3069*$M3069</f>
        <v>0</v>
      </c>
      <c r="AV3069" s="28"/>
      <c r="AW3069" s="28" t="n">
        <f aca="false">AV3069*$M3069</f>
        <v>0</v>
      </c>
      <c r="AX3069" s="28"/>
      <c r="AY3069" s="28" t="n">
        <f aca="false">AX3069*$M3069</f>
        <v>0</v>
      </c>
      <c r="AZ3069" s="30" t="n">
        <v>827</v>
      </c>
      <c r="BA3069" s="11" t="n">
        <v>8270</v>
      </c>
      <c r="BB3069" s="31" t="n">
        <f aca="false">SUM(Q3069,S3069,U3069,W3069,Y3069,AA3069,AC3069,AE3069,AG3069,AI3069,AK3069,AM3069,AO3069,AQ3069,AS3069,AU3069,AW3069,AY3069)</f>
        <v>8270</v>
      </c>
      <c r="BC3069" s="28" t="n">
        <f aca="false">BA3069-BB3069</f>
        <v>0</v>
      </c>
      <c r="BD3069" s="32" t="n">
        <f aca="false">SUM(P3069,R3069,T3069,V3069,X3069,Z3069,AB3069,AD3069,AF3069,AH3069,AJ3069,AL3069,AN3069,AP3069,AR3069,AT3069,AV3069,AX3069)</f>
        <v>827</v>
      </c>
      <c r="BE3069" s="33" t="n">
        <f aca="false">AZ3069-BD3069</f>
        <v>0</v>
      </c>
      <c r="BF3069" s="34" t="n">
        <f aca="false">BD3069*M3069</f>
        <v>8270</v>
      </c>
      <c r="BG3069" s="35" t="n">
        <f aca="false">BA3069-BF3069</f>
        <v>0</v>
      </c>
      <c r="BH3069" s="19" t="str">
        <f aca="false">IF(BG3069=0,"",IF(BG3069&lt;&gt;BA3069,"erreur de calcul",IF(BD3069&lt;&gt;0,"pas de prix",IF(M3069&lt;&gt; 0,"pas de quantité","pas de prix, ni de quantité"))))</f>
        <v/>
      </c>
      <c r="BI3069" s="19"/>
    </row>
    <row r="3070" customFormat="false" ht="15" hidden="false" customHeight="false" outlineLevel="0" collapsed="false">
      <c r="A3070" s="0" t="n">
        <v>14</v>
      </c>
      <c r="B3070" s="8" t="s">
        <v>24</v>
      </c>
      <c r="C3070" s="9" t="s">
        <v>25</v>
      </c>
      <c r="D3070" s="9" t="s">
        <v>26</v>
      </c>
      <c r="E3070" s="10" t="n">
        <v>1789</v>
      </c>
      <c r="F3070" s="9" t="s">
        <v>27</v>
      </c>
      <c r="G3070" s="9" t="s">
        <v>27</v>
      </c>
      <c r="H3070" s="11" t="n">
        <v>25</v>
      </c>
      <c r="I3070" s="11" t="s">
        <v>343</v>
      </c>
      <c r="J3070" s="14" t="n">
        <v>4</v>
      </c>
      <c r="K3070" s="14"/>
      <c r="L3070" s="16"/>
      <c r="M3070" s="27" t="n">
        <f aca="false">J3070+(K3070/20)+(L3070/240)</f>
        <v>4</v>
      </c>
      <c r="N3070" s="17" t="s">
        <v>69</v>
      </c>
      <c r="O3070" s="11"/>
      <c r="P3070" s="28"/>
      <c r="Q3070" s="28" t="n">
        <f aca="false">P3070*$M3070</f>
        <v>0</v>
      </c>
      <c r="R3070" s="28"/>
      <c r="S3070" s="28" t="n">
        <f aca="false">R3070*$M3070</f>
        <v>0</v>
      </c>
      <c r="T3070" s="28"/>
      <c r="U3070" s="28" t="n">
        <f aca="false">T3070*$M3070</f>
        <v>0</v>
      </c>
      <c r="V3070" s="28" t="n">
        <v>2198</v>
      </c>
      <c r="W3070" s="28" t="n">
        <v>8792</v>
      </c>
      <c r="X3070" s="28"/>
      <c r="Y3070" s="28" t="n">
        <f aca="false">X3070*$M3070</f>
        <v>0</v>
      </c>
      <c r="Z3070" s="28"/>
      <c r="AA3070" s="28" t="n">
        <f aca="false">Z3070*$M3070</f>
        <v>0</v>
      </c>
      <c r="AB3070" s="28"/>
      <c r="AC3070" s="28" t="n">
        <f aca="false">AB3070*$M3070</f>
        <v>0</v>
      </c>
      <c r="AD3070" s="28"/>
      <c r="AE3070" s="28" t="n">
        <f aca="false">AD3070*$M3070</f>
        <v>0</v>
      </c>
      <c r="AF3070" s="28"/>
      <c r="AG3070" s="28" t="n">
        <f aca="false">AF3070*$M3070</f>
        <v>0</v>
      </c>
      <c r="AH3070" s="28"/>
      <c r="AI3070" s="28" t="n">
        <f aca="false">AH3070*$M3070</f>
        <v>0</v>
      </c>
      <c r="AJ3070" s="28"/>
      <c r="AK3070" s="28" t="n">
        <f aca="false">AJ3070*$M3070</f>
        <v>0</v>
      </c>
      <c r="AL3070" s="28"/>
      <c r="AM3070" s="28" t="n">
        <f aca="false">AL3070*$M3070</f>
        <v>0</v>
      </c>
      <c r="AN3070" s="28"/>
      <c r="AO3070" s="28" t="n">
        <f aca="false">AN3070*$M3070</f>
        <v>0</v>
      </c>
      <c r="AP3070" s="28"/>
      <c r="AQ3070" s="28" t="n">
        <f aca="false">AP3070*$M3070</f>
        <v>0</v>
      </c>
      <c r="AR3070" s="28"/>
      <c r="AS3070" s="28" t="n">
        <f aca="false">AR3070*$M3070</f>
        <v>0</v>
      </c>
      <c r="AT3070" s="28"/>
      <c r="AU3070" s="28" t="n">
        <f aca="false">AT3070*$M3070</f>
        <v>0</v>
      </c>
      <c r="AV3070" s="28"/>
      <c r="AW3070" s="28" t="n">
        <f aca="false">AV3070*$M3070</f>
        <v>0</v>
      </c>
      <c r="AX3070" s="28"/>
      <c r="AY3070" s="28" t="n">
        <f aca="false">AX3070*$M3070</f>
        <v>0</v>
      </c>
      <c r="AZ3070" s="30" t="n">
        <v>2198</v>
      </c>
      <c r="BA3070" s="11" t="n">
        <v>8792</v>
      </c>
      <c r="BB3070" s="31" t="n">
        <f aca="false">SUM(Q3070,S3070,U3070,W3070,Y3070,AA3070,AC3070,AE3070,AG3070,AI3070,AK3070,AM3070,AO3070,AQ3070,AS3070,AU3070,AW3070,AY3070)</f>
        <v>8792</v>
      </c>
      <c r="BC3070" s="28" t="n">
        <f aca="false">BA3070-BB3070</f>
        <v>0</v>
      </c>
      <c r="BD3070" s="32" t="n">
        <f aca="false">SUM(P3070,R3070,T3070,V3070,X3070,Z3070,AB3070,AD3070,AF3070,AH3070,AJ3070,AL3070,AN3070,AP3070,AR3070,AT3070,AV3070,AX3070)</f>
        <v>2198</v>
      </c>
      <c r="BE3070" s="33" t="n">
        <f aca="false">AZ3070-BD3070</f>
        <v>0</v>
      </c>
      <c r="BF3070" s="34" t="n">
        <f aca="false">BD3070*M3070</f>
        <v>8792</v>
      </c>
      <c r="BG3070" s="35" t="n">
        <f aca="false">BA3070-BF3070</f>
        <v>0</v>
      </c>
      <c r="BH3070" s="19" t="str">
        <f aca="false">IF(BG3070=0,"",IF(BG3070&lt;&gt;BA3070,"erreur de calcul",IF(BD3070&lt;&gt;0,"pas de prix",IF(M3070&lt;&gt; 0,"pas de quantité","pas de prix, ni de quantité"))))</f>
        <v/>
      </c>
      <c r="BI3070" s="19"/>
    </row>
    <row r="3071" customFormat="false" ht="15" hidden="false" customHeight="false" outlineLevel="0" collapsed="false">
      <c r="A3071" s="0" t="n">
        <v>15</v>
      </c>
      <c r="B3071" s="8" t="s">
        <v>24</v>
      </c>
      <c r="C3071" s="9" t="s">
        <v>25</v>
      </c>
      <c r="D3071" s="9" t="s">
        <v>26</v>
      </c>
      <c r="E3071" s="10" t="n">
        <v>1789</v>
      </c>
      <c r="F3071" s="9" t="s">
        <v>27</v>
      </c>
      <c r="G3071" s="9" t="s">
        <v>27</v>
      </c>
      <c r="H3071" s="11" t="n">
        <v>25</v>
      </c>
      <c r="I3071" s="11" t="s">
        <v>344</v>
      </c>
      <c r="J3071" s="14" t="n">
        <v>2000</v>
      </c>
      <c r="K3071" s="14"/>
      <c r="L3071" s="16"/>
      <c r="M3071" s="27" t="n">
        <f aca="false">J3071+(K3071/20)+(L3071/240)</f>
        <v>2000</v>
      </c>
      <c r="N3071" s="17" t="s">
        <v>64</v>
      </c>
      <c r="O3071" s="11" t="s">
        <v>277</v>
      </c>
      <c r="P3071" s="28"/>
      <c r="Q3071" s="28" t="n">
        <f aca="false">P3071*$M3071</f>
        <v>0</v>
      </c>
      <c r="R3071" s="28"/>
      <c r="S3071" s="28" t="n">
        <f aca="false">R3071*$M3071</f>
        <v>0</v>
      </c>
      <c r="T3071" s="28"/>
      <c r="U3071" s="28" t="n">
        <f aca="false">T3071*$M3071</f>
        <v>0</v>
      </c>
      <c r="V3071" s="28"/>
      <c r="W3071" s="28" t="n">
        <f aca="false">V3071*$M3071</f>
        <v>0</v>
      </c>
      <c r="X3071" s="28"/>
      <c r="Y3071" s="28" t="n">
        <f aca="false">X3071*$M3071</f>
        <v>0</v>
      </c>
      <c r="Z3071" s="28"/>
      <c r="AA3071" s="28" t="n">
        <f aca="false">Z3071*$M3071</f>
        <v>0</v>
      </c>
      <c r="AB3071" s="28"/>
      <c r="AC3071" s="28" t="n">
        <f aca="false">AB3071*$M3071</f>
        <v>0</v>
      </c>
      <c r="AD3071" s="28"/>
      <c r="AE3071" s="28" t="n">
        <f aca="false">AD3071*$M3071</f>
        <v>0</v>
      </c>
      <c r="AF3071" s="28"/>
      <c r="AG3071" s="28" t="n">
        <f aca="false">AF3071*$M3071</f>
        <v>0</v>
      </c>
      <c r="AH3071" s="28"/>
      <c r="AI3071" s="28" t="n">
        <f aca="false">AH3071*$M3071</f>
        <v>0</v>
      </c>
      <c r="AJ3071" s="28"/>
      <c r="AK3071" s="28" t="n">
        <f aca="false">AJ3071*$M3071</f>
        <v>0</v>
      </c>
      <c r="AL3071" s="28"/>
      <c r="AM3071" s="28" t="n">
        <f aca="false">AL3071*$M3071</f>
        <v>0</v>
      </c>
      <c r="AN3071" s="28"/>
      <c r="AO3071" s="28" t="n">
        <f aca="false">AN3071*$M3071</f>
        <v>0</v>
      </c>
      <c r="AP3071" s="28"/>
      <c r="AQ3071" s="28" t="n">
        <f aca="false">AP3071*$M3071</f>
        <v>0</v>
      </c>
      <c r="AR3071" s="28"/>
      <c r="AS3071" s="28" t="n">
        <f aca="false">AR3071*$M3071</f>
        <v>0</v>
      </c>
      <c r="AT3071" s="28"/>
      <c r="AU3071" s="28" t="n">
        <f aca="false">AT3071*$M3071</f>
        <v>0</v>
      </c>
      <c r="AV3071" s="28"/>
      <c r="AW3071" s="28" t="n">
        <f aca="false">AV3071*$M3071</f>
        <v>0</v>
      </c>
      <c r="AX3071" s="28"/>
      <c r="AY3071" s="28" t="n">
        <f aca="false">AX3071*$M3071</f>
        <v>0</v>
      </c>
      <c r="AZ3071" s="30"/>
      <c r="BA3071" s="11"/>
      <c r="BB3071" s="31" t="n">
        <f aca="false">SUM(Q3071,S3071,U3071,W3071,Y3071,AA3071,AC3071,AE3071,AG3071,AI3071,AK3071,AM3071,AO3071,AQ3071,AS3071,AU3071,AW3071,AY3071)</f>
        <v>0</v>
      </c>
      <c r="BC3071" s="28" t="n">
        <f aca="false">BA3071-BB3071</f>
        <v>0</v>
      </c>
      <c r="BD3071" s="32" t="n">
        <f aca="false">SUM(P3071,R3071,T3071,V3071,X3071,Z3071,AB3071,AD3071,AF3071,AH3071,AJ3071,AL3071,AN3071,AP3071,AR3071,AT3071,AV3071,AX3071)</f>
        <v>0</v>
      </c>
      <c r="BE3071" s="33" t="n">
        <f aca="false">AZ3071-BD3071</f>
        <v>0</v>
      </c>
      <c r="BF3071" s="34" t="n">
        <f aca="false">BD3071*M3071</f>
        <v>0</v>
      </c>
      <c r="BG3071" s="35" t="n">
        <f aca="false">BA3071-BF3071</f>
        <v>0</v>
      </c>
      <c r="BH3071" s="19" t="str">
        <f aca="false">IF(BG3071=0,"",IF(BG3071&lt;&gt;BA3071,"erreur de calcul",IF(BD3071&lt;&gt;0,"pas de prix",IF(M3071&lt;&gt; 0,"pas de quantité","pas de prix, ni de quantité"))))</f>
        <v/>
      </c>
      <c r="BI3071" s="19"/>
    </row>
    <row r="3072" customFormat="false" ht="15" hidden="false" customHeight="false" outlineLevel="0" collapsed="false">
      <c r="A3072" s="0" t="n">
        <v>16</v>
      </c>
      <c r="B3072" s="8" t="s">
        <v>24</v>
      </c>
      <c r="C3072" s="9" t="s">
        <v>25</v>
      </c>
      <c r="D3072" s="9" t="s">
        <v>26</v>
      </c>
      <c r="E3072" s="10" t="n">
        <v>1789</v>
      </c>
      <c r="F3072" s="9" t="s">
        <v>27</v>
      </c>
      <c r="G3072" s="9" t="s">
        <v>27</v>
      </c>
      <c r="H3072" s="11" t="n">
        <v>25</v>
      </c>
      <c r="I3072" s="11" t="s">
        <v>344</v>
      </c>
      <c r="J3072" s="14" t="n">
        <v>2000</v>
      </c>
      <c r="K3072" s="14"/>
      <c r="L3072" s="16"/>
      <c r="M3072" s="27" t="n">
        <f aca="false">J3072+(K3072/20)+(L3072/240)</f>
        <v>2000</v>
      </c>
      <c r="N3072" s="17" t="s">
        <v>64</v>
      </c>
      <c r="O3072" s="11" t="s">
        <v>98</v>
      </c>
      <c r="P3072" s="28"/>
      <c r="Q3072" s="28" t="n">
        <f aca="false">P3072*$M3072</f>
        <v>0</v>
      </c>
      <c r="R3072" s="28"/>
      <c r="S3072" s="28" t="n">
        <f aca="false">R3072*$M3072</f>
        <v>0</v>
      </c>
      <c r="T3072" s="28"/>
      <c r="U3072" s="28" t="n">
        <f aca="false">T3072*$M3072</f>
        <v>0</v>
      </c>
      <c r="V3072" s="28"/>
      <c r="W3072" s="28" t="n">
        <f aca="false">V3072*$M3072</f>
        <v>0</v>
      </c>
      <c r="X3072" s="28" t="n">
        <f aca="false">607/100</f>
        <v>6.07</v>
      </c>
      <c r="Y3072" s="28" t="n">
        <f aca="false">X3072*$M3072</f>
        <v>12140</v>
      </c>
      <c r="Z3072" s="28"/>
      <c r="AA3072" s="28" t="n">
        <f aca="false">Z3072*$M3072</f>
        <v>0</v>
      </c>
      <c r="AB3072" s="28"/>
      <c r="AC3072" s="28" t="n">
        <f aca="false">AB3072*$M3072</f>
        <v>0</v>
      </c>
      <c r="AD3072" s="28"/>
      <c r="AE3072" s="28" t="n">
        <f aca="false">AD3072*$M3072</f>
        <v>0</v>
      </c>
      <c r="AF3072" s="28"/>
      <c r="AG3072" s="28" t="n">
        <f aca="false">AF3072*$M3072</f>
        <v>0</v>
      </c>
      <c r="AH3072" s="28"/>
      <c r="AI3072" s="28" t="n">
        <f aca="false">AH3072*$M3072</f>
        <v>0</v>
      </c>
      <c r="AJ3072" s="28"/>
      <c r="AK3072" s="28" t="n">
        <f aca="false">AJ3072*$M3072</f>
        <v>0</v>
      </c>
      <c r="AL3072" s="28" t="n">
        <f aca="false">145/100</f>
        <v>1.45</v>
      </c>
      <c r="AM3072" s="28" t="n">
        <f aca="false">AL3072*$M3072</f>
        <v>2900</v>
      </c>
      <c r="AN3072" s="28" t="n">
        <f aca="false">3865/100</f>
        <v>38.65</v>
      </c>
      <c r="AO3072" s="28" t="n">
        <v>77300</v>
      </c>
      <c r="AP3072" s="28"/>
      <c r="AQ3072" s="28" t="n">
        <f aca="false">AP3072*$M3072</f>
        <v>0</v>
      </c>
      <c r="AR3072" s="28"/>
      <c r="AS3072" s="28" t="n">
        <f aca="false">AR3072*$M3072</f>
        <v>0</v>
      </c>
      <c r="AT3072" s="28"/>
      <c r="AU3072" s="28" t="n">
        <f aca="false">AT3072*$M3072</f>
        <v>0</v>
      </c>
      <c r="AV3072" s="28"/>
      <c r="AW3072" s="28" t="n">
        <f aca="false">AV3072*$M3072</f>
        <v>0</v>
      </c>
      <c r="AX3072" s="28"/>
      <c r="AY3072" s="28" t="n">
        <f aca="false">AX3072*$M3072</f>
        <v>0</v>
      </c>
      <c r="AZ3072" s="30" t="n">
        <f aca="false">4617/100</f>
        <v>46.17</v>
      </c>
      <c r="BA3072" s="11" t="n">
        <v>92340</v>
      </c>
      <c r="BB3072" s="31" t="n">
        <f aca="false">SUM(Q3072,S3072,U3072,W3072,Y3072,AA3072,AC3072,AE3072,AG3072,AI3072,AK3072,AM3072,AO3072,AQ3072,AS3072,AU3072,AW3072,AY3072)</f>
        <v>92340</v>
      </c>
      <c r="BC3072" s="28" t="n">
        <f aca="false">BA3072-BB3072</f>
        <v>0</v>
      </c>
      <c r="BD3072" s="32" t="n">
        <f aca="false">SUM(P3072,R3072,T3072,V3072,X3072,Z3072,AB3072,AD3072,AF3072,AH3072,AJ3072,AL3072,AN3072,AP3072,AR3072,AT3072,AV3072,AX3072)</f>
        <v>46.17</v>
      </c>
      <c r="BE3072" s="33" t="n">
        <f aca="false">AZ3072-BD3072</f>
        <v>0</v>
      </c>
      <c r="BF3072" s="34" t="n">
        <f aca="false">BD3072*M3072</f>
        <v>92340</v>
      </c>
      <c r="BG3072" s="35" t="n">
        <f aca="false">BA3072-BF3072</f>
        <v>0</v>
      </c>
      <c r="BH3072" s="19" t="str">
        <f aca="false">IF(BG3072=0,"",IF(BG3072&lt;&gt;BA3072,"erreur de calcul",IF(BD3072&lt;&gt;0,"pas de prix",IF(M3072&lt;&gt; 0,"pas de quantité","pas de prix, ni de quantité"))))</f>
        <v/>
      </c>
      <c r="BI3072" s="19"/>
    </row>
    <row r="3073" customFormat="false" ht="15" hidden="false" customHeight="false" outlineLevel="0" collapsed="false">
      <c r="A3073" s="0" t="n">
        <v>17</v>
      </c>
      <c r="B3073" s="8" t="s">
        <v>24</v>
      </c>
      <c r="C3073" s="9" t="s">
        <v>25</v>
      </c>
      <c r="D3073" s="9" t="s">
        <v>26</v>
      </c>
      <c r="E3073" s="10" t="n">
        <v>1789</v>
      </c>
      <c r="F3073" s="9" t="s">
        <v>27</v>
      </c>
      <c r="G3073" s="9" t="s">
        <v>27</v>
      </c>
      <c r="H3073" s="11" t="n">
        <v>25</v>
      </c>
      <c r="I3073" s="11" t="s">
        <v>345</v>
      </c>
      <c r="J3073" s="14"/>
      <c r="K3073" s="14" t="n">
        <v>12</v>
      </c>
      <c r="L3073" s="16"/>
      <c r="M3073" s="27" t="n">
        <f aca="false">J3073+(K3073/20)+(L3073/240)</f>
        <v>0.6</v>
      </c>
      <c r="N3073" s="17" t="s">
        <v>66</v>
      </c>
      <c r="O3073" s="11"/>
      <c r="P3073" s="28"/>
      <c r="Q3073" s="28" t="n">
        <f aca="false">P3073*$M3073</f>
        <v>0</v>
      </c>
      <c r="R3073" s="28"/>
      <c r="S3073" s="28" t="n">
        <f aca="false">R3073*$M3073</f>
        <v>0</v>
      </c>
      <c r="T3073" s="28"/>
      <c r="U3073" s="28" t="n">
        <f aca="false">T3073*$M3073</f>
        <v>0</v>
      </c>
      <c r="V3073" s="28"/>
      <c r="W3073" s="28" t="n">
        <f aca="false">V3073*$M3073</f>
        <v>0</v>
      </c>
      <c r="X3073" s="28"/>
      <c r="Y3073" s="28" t="n">
        <f aca="false">X3073*$M3073</f>
        <v>0</v>
      </c>
      <c r="Z3073" s="28"/>
      <c r="AA3073" s="28" t="n">
        <f aca="false">Z3073*$M3073</f>
        <v>0</v>
      </c>
      <c r="AB3073" s="28"/>
      <c r="AC3073" s="28" t="n">
        <f aca="false">AB3073*$M3073</f>
        <v>0</v>
      </c>
      <c r="AD3073" s="28"/>
      <c r="AE3073" s="28" t="n">
        <f aca="false">AD3073*$M3073</f>
        <v>0</v>
      </c>
      <c r="AF3073" s="28"/>
      <c r="AG3073" s="28" t="n">
        <f aca="false">AF3073*$M3073</f>
        <v>0</v>
      </c>
      <c r="AH3073" s="28"/>
      <c r="AI3073" s="28" t="n">
        <f aca="false">AH3073*$M3073</f>
        <v>0</v>
      </c>
      <c r="AJ3073" s="28" t="n">
        <v>41194</v>
      </c>
      <c r="AK3073" s="28" t="n">
        <v>24716</v>
      </c>
      <c r="AL3073" s="28"/>
      <c r="AM3073" s="28" t="n">
        <f aca="false">AL3073*$M3073</f>
        <v>0</v>
      </c>
      <c r="AN3073" s="28"/>
      <c r="AO3073" s="28" t="n">
        <f aca="false">AN3073*$M3073</f>
        <v>0</v>
      </c>
      <c r="AP3073" s="28"/>
      <c r="AQ3073" s="28" t="n">
        <f aca="false">AP3073*$M3073</f>
        <v>0</v>
      </c>
      <c r="AR3073" s="28"/>
      <c r="AS3073" s="28" t="n">
        <f aca="false">AR3073*$M3073</f>
        <v>0</v>
      </c>
      <c r="AT3073" s="28"/>
      <c r="AU3073" s="28" t="n">
        <f aca="false">AT3073*$M3073</f>
        <v>0</v>
      </c>
      <c r="AV3073" s="28"/>
      <c r="AW3073" s="28" t="n">
        <f aca="false">AV3073*$M3073</f>
        <v>0</v>
      </c>
      <c r="AX3073" s="28"/>
      <c r="AY3073" s="28" t="n">
        <f aca="false">AX3073*$M3073</f>
        <v>0</v>
      </c>
      <c r="AZ3073" s="30" t="n">
        <v>41194</v>
      </c>
      <c r="BA3073" s="11" t="n">
        <v>24716</v>
      </c>
      <c r="BB3073" s="31" t="n">
        <f aca="false">SUM(Q3073,S3073,U3073,W3073,Y3073,AA3073,AC3073,AE3073,AG3073,AI3073,AK3073,AM3073,AO3073,AQ3073,AS3073,AU3073,AW3073,AY3073)</f>
        <v>24716</v>
      </c>
      <c r="BC3073" s="28" t="n">
        <f aca="false">BA3073-BB3073</f>
        <v>0</v>
      </c>
      <c r="BD3073" s="32" t="n">
        <f aca="false">SUM(P3073,R3073,T3073,V3073,X3073,Z3073,AB3073,AD3073,AF3073,AH3073,AJ3073,AL3073,AN3073,AP3073,AR3073,AT3073,AV3073,AX3073)</f>
        <v>41194</v>
      </c>
      <c r="BE3073" s="33" t="n">
        <f aca="false">AZ3073-BD3073</f>
        <v>0</v>
      </c>
      <c r="BF3073" s="34" t="n">
        <f aca="false">BD3073*M3073</f>
        <v>24716.4</v>
      </c>
      <c r="BG3073" s="35" t="n">
        <f aca="false">BA3073-BF3073</f>
        <v>-0.399999999997817</v>
      </c>
      <c r="BH3073" s="19" t="str">
        <f aca="false">IF(BG3073=0,"",IF(BG3073&lt;&gt;BA3073,"erreur de calcul",IF(BD3073&lt;&gt;0,"pas de prix",IF(M3073&lt;&gt; 0,"pas de quantité","pas de prix, ni de quantité"))))</f>
        <v>erreur de calcul</v>
      </c>
      <c r="BI3073" s="19"/>
    </row>
    <row r="3074" customFormat="false" ht="15" hidden="false" customHeight="false" outlineLevel="0" collapsed="false">
      <c r="A3074" s="0" t="n">
        <v>18</v>
      </c>
      <c r="B3074" s="8" t="s">
        <v>24</v>
      </c>
      <c r="C3074" s="9" t="s">
        <v>25</v>
      </c>
      <c r="D3074" s="9" t="s">
        <v>26</v>
      </c>
      <c r="E3074" s="10" t="n">
        <v>1789</v>
      </c>
      <c r="F3074" s="9" t="s">
        <v>27</v>
      </c>
      <c r="G3074" s="9" t="s">
        <v>27</v>
      </c>
      <c r="H3074" s="11" t="n">
        <v>25</v>
      </c>
      <c r="I3074" s="11" t="s">
        <v>346</v>
      </c>
      <c r="J3074" s="14"/>
      <c r="K3074" s="14" t="n">
        <v>50</v>
      </c>
      <c r="L3074" s="16"/>
      <c r="M3074" s="27" t="n">
        <f aca="false">J3074+(K3074/20)+(L3074/240)</f>
        <v>2.5</v>
      </c>
      <c r="N3074" s="17" t="s">
        <v>85</v>
      </c>
      <c r="O3074" s="11"/>
      <c r="P3074" s="28" t="n">
        <f aca="false">371167/100</f>
        <v>3711.67</v>
      </c>
      <c r="Q3074" s="28" t="n">
        <v>9279</v>
      </c>
      <c r="R3074" s="28"/>
      <c r="S3074" s="28" t="n">
        <f aca="false">R3074*$M3074</f>
        <v>0</v>
      </c>
      <c r="T3074" s="28"/>
      <c r="U3074" s="28" t="n">
        <f aca="false">T3074*$M3074</f>
        <v>0</v>
      </c>
      <c r="V3074" s="28"/>
      <c r="W3074" s="28" t="n">
        <f aca="false">V3074*$M3074</f>
        <v>0</v>
      </c>
      <c r="X3074" s="28"/>
      <c r="Y3074" s="28" t="n">
        <f aca="false">X3074*$M3074</f>
        <v>0</v>
      </c>
      <c r="Z3074" s="28"/>
      <c r="AA3074" s="28" t="n">
        <f aca="false">Z3074*$M3074</f>
        <v>0</v>
      </c>
      <c r="AB3074" s="28"/>
      <c r="AC3074" s="28" t="n">
        <f aca="false">AB3074*$M3074</f>
        <v>0</v>
      </c>
      <c r="AD3074" s="28"/>
      <c r="AE3074" s="28" t="n">
        <f aca="false">AD3074*$M3074</f>
        <v>0</v>
      </c>
      <c r="AF3074" s="28"/>
      <c r="AG3074" s="28" t="n">
        <f aca="false">AF3074*$M3074</f>
        <v>0</v>
      </c>
      <c r="AH3074" s="28"/>
      <c r="AI3074" s="28" t="n">
        <f aca="false">AH3074*$M3074</f>
        <v>0</v>
      </c>
      <c r="AJ3074" s="28"/>
      <c r="AK3074" s="28" t="n">
        <f aca="false">AJ3074*$M3074</f>
        <v>0</v>
      </c>
      <c r="AL3074" s="28"/>
      <c r="AM3074" s="28" t="n">
        <f aca="false">AL3074*$M3074</f>
        <v>0</v>
      </c>
      <c r="AN3074" s="28"/>
      <c r="AO3074" s="28" t="n">
        <f aca="false">AN3074*$M3074</f>
        <v>0</v>
      </c>
      <c r="AP3074" s="28"/>
      <c r="AQ3074" s="28" t="n">
        <f aca="false">AP3074*$M3074</f>
        <v>0</v>
      </c>
      <c r="AR3074" s="28"/>
      <c r="AS3074" s="28" t="n">
        <f aca="false">AR3074*$M3074</f>
        <v>0</v>
      </c>
      <c r="AT3074" s="28"/>
      <c r="AU3074" s="28" t="n">
        <f aca="false">AT3074*$M3074</f>
        <v>0</v>
      </c>
      <c r="AV3074" s="28"/>
      <c r="AW3074" s="28" t="n">
        <f aca="false">AV3074*$M3074</f>
        <v>0</v>
      </c>
      <c r="AX3074" s="28"/>
      <c r="AY3074" s="28" t="n">
        <f aca="false">AX3074*$M3074</f>
        <v>0</v>
      </c>
      <c r="AZ3074" s="30" t="n">
        <f aca="false">371167/100</f>
        <v>3711.67</v>
      </c>
      <c r="BA3074" s="11" t="n">
        <v>9279</v>
      </c>
      <c r="BB3074" s="31" t="n">
        <f aca="false">SUM(Q3074,S3074,U3074,W3074,Y3074,AA3074,AC3074,AE3074,AG3074,AI3074,AK3074,AM3074,AO3074,AQ3074,AS3074,AU3074,AW3074,AY3074)</f>
        <v>9279</v>
      </c>
      <c r="BC3074" s="28" t="n">
        <f aca="false">BA3074-BB3074</f>
        <v>0</v>
      </c>
      <c r="BD3074" s="32" t="n">
        <f aca="false">SUM(P3074,R3074,T3074,V3074,X3074,Z3074,AB3074,AD3074,AF3074,AH3074,AJ3074,AL3074,AN3074,AP3074,AR3074,AT3074,AV3074,AX3074)</f>
        <v>3711.67</v>
      </c>
      <c r="BE3074" s="33" t="n">
        <f aca="false">AZ3074-BD3074</f>
        <v>0</v>
      </c>
      <c r="BF3074" s="34" t="n">
        <f aca="false">BD3074*M3074</f>
        <v>9279.175</v>
      </c>
      <c r="BG3074" s="35" t="n">
        <f aca="false">BA3074-BF3074</f>
        <v>-0.174999999999272</v>
      </c>
      <c r="BH3074" s="19" t="str">
        <f aca="false">IF(BG3074=0,"",IF(BG3074&lt;&gt;BA3074,"erreur de calcul",IF(BD3074&lt;&gt;0,"pas de prix",IF(M3074&lt;&gt; 0,"pas de quantité","pas de prix, ni de quantité"))))</f>
        <v>erreur de calcul</v>
      </c>
      <c r="BI3074" s="19"/>
    </row>
    <row r="3075" customFormat="false" ht="16.65" hidden="false" customHeight="false" outlineLevel="0" collapsed="false">
      <c r="A3075" s="0" t="n">
        <v>19</v>
      </c>
      <c r="B3075" s="8" t="s">
        <v>24</v>
      </c>
      <c r="C3075" s="9" t="s">
        <v>25</v>
      </c>
      <c r="D3075" s="9" t="s">
        <v>26</v>
      </c>
      <c r="E3075" s="10" t="n">
        <v>1789</v>
      </c>
      <c r="F3075" s="9" t="s">
        <v>27</v>
      </c>
      <c r="G3075" s="9" t="s">
        <v>27</v>
      </c>
      <c r="H3075" s="11" t="n">
        <v>25</v>
      </c>
      <c r="I3075" s="11" t="s">
        <v>347</v>
      </c>
      <c r="J3075" s="14" t="n">
        <v>60</v>
      </c>
      <c r="K3075" s="14"/>
      <c r="L3075" s="16"/>
      <c r="M3075" s="27" t="n">
        <f aca="false">J3075+(K3075/20)+(L3075/240)</f>
        <v>60</v>
      </c>
      <c r="N3075" s="17" t="s">
        <v>64</v>
      </c>
      <c r="O3075" s="11"/>
      <c r="P3075" s="28"/>
      <c r="Q3075" s="28" t="n">
        <f aca="false">P3075*$M3075</f>
        <v>0</v>
      </c>
      <c r="R3075" s="28"/>
      <c r="S3075" s="28" t="n">
        <f aca="false">R3075*$M3075</f>
        <v>0</v>
      </c>
      <c r="T3075" s="28"/>
      <c r="U3075" s="28" t="n">
        <f aca="false">T3075*$M3075</f>
        <v>0</v>
      </c>
      <c r="V3075" s="28" t="n">
        <f aca="false">4151/100</f>
        <v>41.51</v>
      </c>
      <c r="W3075" s="28" t="n">
        <v>2491</v>
      </c>
      <c r="X3075" s="28" t="n">
        <f aca="false">13344/100</f>
        <v>133.44</v>
      </c>
      <c r="Y3075" s="28" t="n">
        <v>8006</v>
      </c>
      <c r="Z3075" s="28" t="n">
        <f aca="false">3323/100</f>
        <v>33.23</v>
      </c>
      <c r="AA3075" s="28" t="n">
        <v>1994</v>
      </c>
      <c r="AB3075" s="28"/>
      <c r="AC3075" s="28" t="n">
        <f aca="false">AB3075*$M3075</f>
        <v>0</v>
      </c>
      <c r="AD3075" s="28" t="n">
        <f aca="false">15268/100</f>
        <v>152.68</v>
      </c>
      <c r="AE3075" s="28" t="n">
        <v>9161</v>
      </c>
      <c r="AF3075" s="28"/>
      <c r="AG3075" s="28" t="n">
        <f aca="false">AF3075*$M3075</f>
        <v>0</v>
      </c>
      <c r="AH3075" s="28"/>
      <c r="AI3075" s="28" t="n">
        <f aca="false">AH3075*$M3075</f>
        <v>0</v>
      </c>
      <c r="AJ3075" s="28"/>
      <c r="AK3075" s="28" t="n">
        <f aca="false">AJ3075*$M3075</f>
        <v>0</v>
      </c>
      <c r="AL3075" s="28"/>
      <c r="AM3075" s="28" t="n">
        <f aca="false">AL3075*$M3075</f>
        <v>0</v>
      </c>
      <c r="AN3075" s="28"/>
      <c r="AO3075" s="28" t="n">
        <f aca="false">AN3075*$M3075</f>
        <v>0</v>
      </c>
      <c r="AP3075" s="28"/>
      <c r="AQ3075" s="28" t="n">
        <f aca="false">AP3075*$M3075</f>
        <v>0</v>
      </c>
      <c r="AR3075" s="28"/>
      <c r="AS3075" s="28" t="n">
        <f aca="false">AR3075*$M3075</f>
        <v>0</v>
      </c>
      <c r="AT3075" s="28"/>
      <c r="AU3075" s="28" t="n">
        <f aca="false">AT3075*$M3075</f>
        <v>0</v>
      </c>
      <c r="AV3075" s="28"/>
      <c r="AW3075" s="28" t="n">
        <f aca="false">AV3075*$M3075</f>
        <v>0</v>
      </c>
      <c r="AX3075" s="28"/>
      <c r="AY3075" s="28" t="n">
        <f aca="false">AX3075*$M3075</f>
        <v>0</v>
      </c>
      <c r="AZ3075" s="30" t="n">
        <f aca="false">32763/100</f>
        <v>327.63</v>
      </c>
      <c r="BA3075" s="11" t="n">
        <v>21652</v>
      </c>
      <c r="BB3075" s="31" t="n">
        <f aca="false">SUM(Q3075,S3075,U3075,W3075,Y3075,AA3075,AC3075,AE3075,AG3075,AI3075,AK3075,AM3075,AO3075,AQ3075,AS3075,AU3075,AW3075,AY3075)</f>
        <v>21652</v>
      </c>
      <c r="BC3075" s="28" t="n">
        <f aca="false">BA3075-BB3075</f>
        <v>0</v>
      </c>
      <c r="BD3075" s="32" t="n">
        <f aca="false">SUM(P3075,R3075,T3075,V3075,X3075,Z3075,AB3075,AD3075,AF3075,AH3075,AJ3075,AL3075,AN3075,AP3075,AR3075,AT3075,AV3075,AX3075)</f>
        <v>360.86</v>
      </c>
      <c r="BE3075" s="33" t="n">
        <f aca="false">AZ3075-BD3075</f>
        <v>-33.23</v>
      </c>
      <c r="BF3075" s="34" t="n">
        <f aca="false">BD3075*M3075</f>
        <v>21651.6</v>
      </c>
      <c r="BG3075" s="35" t="n">
        <f aca="false">BA3075-BF3075</f>
        <v>0.399999999997817</v>
      </c>
      <c r="BH3075" s="19" t="str">
        <f aca="false">IF(BG3075=0,"",IF(BG3075&lt;&gt;BA3075,"erreur de calcul",IF(BD3075&lt;&gt;0,"pas de prix",IF(M3075&lt;&gt; 0,"pas de quantité","pas de prix, ni de quantité"))))</f>
        <v>erreur de calcul</v>
      </c>
      <c r="BI3075" s="19"/>
    </row>
    <row r="3076" customFormat="false" ht="15" hidden="false" customHeight="false" outlineLevel="0" collapsed="false">
      <c r="A3076" s="0" t="n">
        <v>20</v>
      </c>
      <c r="B3076" s="8" t="s">
        <v>24</v>
      </c>
      <c r="C3076" s="9" t="s">
        <v>25</v>
      </c>
      <c r="D3076" s="9" t="s">
        <v>26</v>
      </c>
      <c r="E3076" s="10" t="n">
        <v>1789</v>
      </c>
      <c r="F3076" s="9" t="s">
        <v>27</v>
      </c>
      <c r="G3076" s="9" t="s">
        <v>27</v>
      </c>
      <c r="H3076" s="11" t="n">
        <v>25</v>
      </c>
      <c r="I3076" s="11" t="s">
        <v>348</v>
      </c>
      <c r="J3076" s="14" t="n">
        <v>9</v>
      </c>
      <c r="K3076" s="14"/>
      <c r="L3076" s="16"/>
      <c r="M3076" s="27" t="n">
        <f aca="false">J3076+(K3076/20)+(L3076/240)</f>
        <v>9</v>
      </c>
      <c r="N3076" s="17" t="s">
        <v>349</v>
      </c>
      <c r="O3076" s="11"/>
      <c r="P3076" s="28"/>
      <c r="Q3076" s="28" t="n">
        <f aca="false">P3076*$M3076</f>
        <v>0</v>
      </c>
      <c r="R3076" s="28"/>
      <c r="S3076" s="28" t="n">
        <f aca="false">R3076*$M3076</f>
        <v>0</v>
      </c>
      <c r="T3076" s="28"/>
      <c r="U3076" s="28" t="n">
        <f aca="false">T3076*$M3076</f>
        <v>0</v>
      </c>
      <c r="V3076" s="28" t="n">
        <v>545</v>
      </c>
      <c r="W3076" s="28" t="n">
        <v>4905</v>
      </c>
      <c r="X3076" s="28"/>
      <c r="Y3076" s="28" t="n">
        <f aca="false">X3076*$M3076</f>
        <v>0</v>
      </c>
      <c r="Z3076" s="28"/>
      <c r="AA3076" s="28" t="n">
        <f aca="false">Z3076*$M3076</f>
        <v>0</v>
      </c>
      <c r="AB3076" s="28"/>
      <c r="AC3076" s="28" t="n">
        <f aca="false">AB3076*$M3076</f>
        <v>0</v>
      </c>
      <c r="AD3076" s="28"/>
      <c r="AE3076" s="28" t="n">
        <f aca="false">AD3076*$M3076</f>
        <v>0</v>
      </c>
      <c r="AF3076" s="28"/>
      <c r="AG3076" s="28" t="n">
        <f aca="false">AF3076*$M3076</f>
        <v>0</v>
      </c>
      <c r="AH3076" s="28"/>
      <c r="AI3076" s="28" t="n">
        <f aca="false">AH3076*$M3076</f>
        <v>0</v>
      </c>
      <c r="AJ3076" s="28" t="n">
        <v>592</v>
      </c>
      <c r="AK3076" s="28" t="n">
        <v>5328</v>
      </c>
      <c r="AL3076" s="28"/>
      <c r="AM3076" s="28" t="n">
        <f aca="false">AL3076*$M3076</f>
        <v>0</v>
      </c>
      <c r="AN3076" s="28"/>
      <c r="AO3076" s="28" t="n">
        <f aca="false">AN3076*$M3076</f>
        <v>0</v>
      </c>
      <c r="AP3076" s="28"/>
      <c r="AQ3076" s="28" t="n">
        <f aca="false">AP3076*$M3076</f>
        <v>0</v>
      </c>
      <c r="AR3076" s="28"/>
      <c r="AS3076" s="28" t="n">
        <f aca="false">AR3076*$M3076</f>
        <v>0</v>
      </c>
      <c r="AT3076" s="28"/>
      <c r="AU3076" s="28" t="n">
        <f aca="false">AT3076*$M3076</f>
        <v>0</v>
      </c>
      <c r="AV3076" s="28"/>
      <c r="AW3076" s="28" t="n">
        <f aca="false">AV3076*$M3076</f>
        <v>0</v>
      </c>
      <c r="AX3076" s="28"/>
      <c r="AY3076" s="28" t="n">
        <f aca="false">AX3076*$M3076</f>
        <v>0</v>
      </c>
      <c r="AZ3076" s="30" t="n">
        <v>1137</v>
      </c>
      <c r="BA3076" s="11" t="n">
        <v>10233</v>
      </c>
      <c r="BB3076" s="31" t="n">
        <f aca="false">SUM(Q3076,S3076,U3076,W3076,Y3076,AA3076,AC3076,AE3076,AG3076,AI3076,AK3076,AM3076,AO3076,AQ3076,AS3076,AU3076,AW3076,AY3076)</f>
        <v>10233</v>
      </c>
      <c r="BC3076" s="28" t="n">
        <f aca="false">BA3076-BB3076</f>
        <v>0</v>
      </c>
      <c r="BD3076" s="32" t="n">
        <f aca="false">SUM(P3076,R3076,T3076,V3076,X3076,Z3076,AB3076,AD3076,AF3076,AH3076,AJ3076,AL3076,AN3076,AP3076,AR3076,AT3076,AV3076,AX3076)</f>
        <v>1137</v>
      </c>
      <c r="BE3076" s="33" t="n">
        <f aca="false">AZ3076-BD3076</f>
        <v>0</v>
      </c>
      <c r="BF3076" s="34" t="n">
        <f aca="false">BD3076*M3076</f>
        <v>10233</v>
      </c>
      <c r="BG3076" s="35" t="n">
        <f aca="false">BA3076-BF3076</f>
        <v>0</v>
      </c>
      <c r="BH3076" s="19" t="str">
        <f aca="false">IF(BG3076=0,"",IF(BG3076&lt;&gt;BA3076,"erreur de calcul",IF(BD3076&lt;&gt;0,"pas de prix",IF(M3076&lt;&gt; 0,"pas de quantité","pas de prix, ni de quantité"))))</f>
        <v/>
      </c>
      <c r="BI3076" s="19"/>
    </row>
    <row r="3077" customFormat="false" ht="15" hidden="false" customHeight="false" outlineLevel="0" collapsed="false">
      <c r="A3077" s="0" t="n">
        <v>21</v>
      </c>
      <c r="B3077" s="8" t="s">
        <v>24</v>
      </c>
      <c r="C3077" s="9" t="s">
        <v>25</v>
      </c>
      <c r="D3077" s="9" t="s">
        <v>26</v>
      </c>
      <c r="E3077" s="10" t="n">
        <v>1789</v>
      </c>
      <c r="F3077" s="9" t="s">
        <v>27</v>
      </c>
      <c r="G3077" s="9" t="s">
        <v>27</v>
      </c>
      <c r="H3077" s="11" t="n">
        <v>25</v>
      </c>
      <c r="I3077" s="11" t="s">
        <v>350</v>
      </c>
      <c r="J3077" s="14"/>
      <c r="K3077" s="14" t="n">
        <v>40</v>
      </c>
      <c r="L3077" s="16"/>
      <c r="M3077" s="27" t="n">
        <f aca="false">J3077+(K3077/20)+(L3077/240)</f>
        <v>2</v>
      </c>
      <c r="N3077" s="17" t="s">
        <v>349</v>
      </c>
      <c r="O3077" s="11"/>
      <c r="P3077" s="28"/>
      <c r="Q3077" s="28" t="n">
        <f aca="false">P3077*$M3077</f>
        <v>0</v>
      </c>
      <c r="R3077" s="28"/>
      <c r="S3077" s="28" t="n">
        <f aca="false">R3077*$M3077</f>
        <v>0</v>
      </c>
      <c r="T3077" s="28"/>
      <c r="U3077" s="28" t="n">
        <f aca="false">T3077*$M3077</f>
        <v>0</v>
      </c>
      <c r="V3077" s="28" t="n">
        <v>2688</v>
      </c>
      <c r="W3077" s="28" t="n">
        <v>5376</v>
      </c>
      <c r="X3077" s="28" t="n">
        <v>775</v>
      </c>
      <c r="Y3077" s="28" t="n">
        <v>1550</v>
      </c>
      <c r="Z3077" s="28"/>
      <c r="AA3077" s="28" t="n">
        <f aca="false">Z3077*$M3077</f>
        <v>0</v>
      </c>
      <c r="AB3077" s="28"/>
      <c r="AC3077" s="28" t="n">
        <f aca="false">AB3077*$M3077</f>
        <v>0</v>
      </c>
      <c r="AD3077" s="28"/>
      <c r="AE3077" s="28" t="n">
        <f aca="false">AD3077*$M3077</f>
        <v>0</v>
      </c>
      <c r="AF3077" s="28"/>
      <c r="AG3077" s="28" t="n">
        <f aca="false">AF3077*$M3077</f>
        <v>0</v>
      </c>
      <c r="AH3077" s="28"/>
      <c r="AI3077" s="28" t="n">
        <f aca="false">AH3077*$M3077</f>
        <v>0</v>
      </c>
      <c r="AJ3077" s="28"/>
      <c r="AK3077" s="28" t="n">
        <f aca="false">AJ3077*$M3077</f>
        <v>0</v>
      </c>
      <c r="AL3077" s="28"/>
      <c r="AM3077" s="28" t="n">
        <f aca="false">AL3077*$M3077</f>
        <v>0</v>
      </c>
      <c r="AN3077" s="28"/>
      <c r="AO3077" s="28" t="n">
        <f aca="false">AN3077*$M3077</f>
        <v>0</v>
      </c>
      <c r="AP3077" s="28"/>
      <c r="AQ3077" s="28" t="n">
        <f aca="false">AP3077*$M3077</f>
        <v>0</v>
      </c>
      <c r="AR3077" s="28"/>
      <c r="AS3077" s="28" t="n">
        <f aca="false">AR3077*$M3077</f>
        <v>0</v>
      </c>
      <c r="AT3077" s="28"/>
      <c r="AU3077" s="28" t="n">
        <f aca="false">AT3077*$M3077</f>
        <v>0</v>
      </c>
      <c r="AV3077" s="28"/>
      <c r="AW3077" s="28" t="n">
        <f aca="false">AV3077*$M3077</f>
        <v>0</v>
      </c>
      <c r="AX3077" s="28"/>
      <c r="AY3077" s="28" t="n">
        <f aca="false">AX3077*$M3077</f>
        <v>0</v>
      </c>
      <c r="AZ3077" s="30" t="n">
        <v>3463</v>
      </c>
      <c r="BA3077" s="11" t="n">
        <v>6926</v>
      </c>
      <c r="BB3077" s="31" t="n">
        <f aca="false">SUM(Q3077,S3077,U3077,W3077,Y3077,AA3077,AC3077,AE3077,AG3077,AI3077,AK3077,AM3077,AO3077,AQ3077,AS3077,AU3077,AW3077,AY3077)</f>
        <v>6926</v>
      </c>
      <c r="BC3077" s="28" t="n">
        <f aca="false">BA3077-BB3077</f>
        <v>0</v>
      </c>
      <c r="BD3077" s="32" t="n">
        <f aca="false">SUM(P3077,R3077,T3077,V3077,X3077,Z3077,AB3077,AD3077,AF3077,AH3077,AJ3077,AL3077,AN3077,AP3077,AR3077,AT3077,AV3077,AX3077)</f>
        <v>3463</v>
      </c>
      <c r="BE3077" s="33" t="n">
        <f aca="false">AZ3077-BD3077</f>
        <v>0</v>
      </c>
      <c r="BF3077" s="34" t="n">
        <f aca="false">BD3077*M3077</f>
        <v>6926</v>
      </c>
      <c r="BG3077" s="35" t="n">
        <f aca="false">BA3077-BF3077</f>
        <v>0</v>
      </c>
      <c r="BH3077" s="19" t="str">
        <f aca="false">IF(BG3077=0,"",IF(BG3077&lt;&gt;BA3077,"erreur de calcul",IF(BD3077&lt;&gt;0,"pas de prix",IF(M3077&lt;&gt; 0,"pas de quantité","pas de prix, ni de quantité"))))</f>
        <v/>
      </c>
      <c r="BI3077" s="19"/>
    </row>
    <row r="3078" customFormat="false" ht="15" hidden="false" customHeight="false" outlineLevel="0" collapsed="false">
      <c r="A3078" s="0" t="n">
        <v>22</v>
      </c>
      <c r="B3078" s="8" t="s">
        <v>24</v>
      </c>
      <c r="C3078" s="9" t="s">
        <v>25</v>
      </c>
      <c r="D3078" s="9" t="s">
        <v>26</v>
      </c>
      <c r="E3078" s="10" t="n">
        <v>1789</v>
      </c>
      <c r="F3078" s="9" t="s">
        <v>27</v>
      </c>
      <c r="G3078" s="9" t="s">
        <v>27</v>
      </c>
      <c r="H3078" s="11" t="n">
        <v>25</v>
      </c>
      <c r="I3078" s="11" t="s">
        <v>351</v>
      </c>
      <c r="J3078" s="14" t="n">
        <v>60</v>
      </c>
      <c r="K3078" s="14"/>
      <c r="L3078" s="16"/>
      <c r="M3078" s="27" t="n">
        <f aca="false">J3078+(K3078/20)+(L3078/240)</f>
        <v>60</v>
      </c>
      <c r="N3078" s="17" t="s">
        <v>69</v>
      </c>
      <c r="O3078" s="11"/>
      <c r="P3078" s="28"/>
      <c r="Q3078" s="28" t="n">
        <f aca="false">P3078*$M3078</f>
        <v>0</v>
      </c>
      <c r="R3078" s="28"/>
      <c r="S3078" s="28" t="n">
        <f aca="false">R3078*$M3078</f>
        <v>0</v>
      </c>
      <c r="T3078" s="28" t="n">
        <v>20</v>
      </c>
      <c r="U3078" s="28" t="n">
        <v>1200</v>
      </c>
      <c r="V3078" s="28" t="n">
        <v>82</v>
      </c>
      <c r="W3078" s="28" t="n">
        <v>4920</v>
      </c>
      <c r="X3078" s="28"/>
      <c r="Y3078" s="28" t="n">
        <f aca="false">X3078*$M3078</f>
        <v>0</v>
      </c>
      <c r="Z3078" s="28"/>
      <c r="AA3078" s="28" t="n">
        <f aca="false">Z3078*$M3078</f>
        <v>0</v>
      </c>
      <c r="AB3078" s="28"/>
      <c r="AC3078" s="28" t="n">
        <f aca="false">AB3078*$M3078</f>
        <v>0</v>
      </c>
      <c r="AD3078" s="28"/>
      <c r="AE3078" s="28" t="n">
        <f aca="false">AD3078*$M3078</f>
        <v>0</v>
      </c>
      <c r="AF3078" s="28"/>
      <c r="AG3078" s="28" t="n">
        <f aca="false">AF3078*$M3078</f>
        <v>0</v>
      </c>
      <c r="AH3078" s="28"/>
      <c r="AI3078" s="28" t="n">
        <f aca="false">AH3078*$M3078</f>
        <v>0</v>
      </c>
      <c r="AJ3078" s="28"/>
      <c r="AK3078" s="28" t="n">
        <f aca="false">AJ3078*$M3078</f>
        <v>0</v>
      </c>
      <c r="AL3078" s="28"/>
      <c r="AM3078" s="28" t="n">
        <f aca="false">AL3078*$M3078</f>
        <v>0</v>
      </c>
      <c r="AN3078" s="28"/>
      <c r="AO3078" s="28" t="n">
        <f aca="false">AN3078*$M3078</f>
        <v>0</v>
      </c>
      <c r="AP3078" s="28"/>
      <c r="AQ3078" s="28" t="n">
        <f aca="false">AP3078*$M3078</f>
        <v>0</v>
      </c>
      <c r="AR3078" s="28"/>
      <c r="AS3078" s="28" t="n">
        <f aca="false">AR3078*$M3078</f>
        <v>0</v>
      </c>
      <c r="AT3078" s="28"/>
      <c r="AU3078" s="28" t="n">
        <f aca="false">AT3078*$M3078</f>
        <v>0</v>
      </c>
      <c r="AV3078" s="28"/>
      <c r="AW3078" s="28" t="n">
        <f aca="false">AV3078*$M3078</f>
        <v>0</v>
      </c>
      <c r="AX3078" s="28"/>
      <c r="AY3078" s="28" t="n">
        <f aca="false">AX3078*$M3078</f>
        <v>0</v>
      </c>
      <c r="AZ3078" s="30" t="n">
        <v>102</v>
      </c>
      <c r="BA3078" s="11" t="n">
        <v>6120</v>
      </c>
      <c r="BB3078" s="31" t="n">
        <f aca="false">SUM(Q3078,S3078,U3078,W3078,Y3078,AA3078,AC3078,AE3078,AG3078,AI3078,AK3078,AM3078,AO3078,AQ3078,AS3078,AU3078,AW3078,AY3078)</f>
        <v>6120</v>
      </c>
      <c r="BC3078" s="28" t="n">
        <f aca="false">BA3078-BB3078</f>
        <v>0</v>
      </c>
      <c r="BD3078" s="32" t="n">
        <f aca="false">SUM(P3078,R3078,T3078,V3078,X3078,Z3078,AB3078,AD3078,AF3078,AH3078,AJ3078,AL3078,AN3078,AP3078,AR3078,AT3078,AV3078,AX3078)</f>
        <v>102</v>
      </c>
      <c r="BE3078" s="33" t="n">
        <f aca="false">AZ3078-BD3078</f>
        <v>0</v>
      </c>
      <c r="BF3078" s="34" t="n">
        <f aca="false">BD3078*M3078</f>
        <v>6120</v>
      </c>
      <c r="BG3078" s="35" t="n">
        <f aca="false">BA3078-BF3078</f>
        <v>0</v>
      </c>
      <c r="BH3078" s="19" t="str">
        <f aca="false">IF(BG3078=0,"",IF(BG3078&lt;&gt;BA3078,"erreur de calcul",IF(BD3078&lt;&gt;0,"pas de prix",IF(M3078&lt;&gt; 0,"pas de quantité","pas de prix, ni de quantité"))))</f>
        <v/>
      </c>
      <c r="BI3078" s="19"/>
    </row>
    <row r="3079" customFormat="false" ht="15" hidden="false" customHeight="false" outlineLevel="0" collapsed="false">
      <c r="A3079" s="0" t="n">
        <v>23</v>
      </c>
      <c r="B3079" s="8" t="s">
        <v>24</v>
      </c>
      <c r="C3079" s="9" t="s">
        <v>25</v>
      </c>
      <c r="D3079" s="9" t="s">
        <v>26</v>
      </c>
      <c r="E3079" s="10" t="n">
        <v>1789</v>
      </c>
      <c r="F3079" s="9" t="s">
        <v>27</v>
      </c>
      <c r="G3079" s="9" t="s">
        <v>27</v>
      </c>
      <c r="H3079" s="11" t="n">
        <v>25</v>
      </c>
      <c r="I3079" s="11" t="s">
        <v>352</v>
      </c>
      <c r="J3079" s="14" t="n">
        <v>150</v>
      </c>
      <c r="K3079" s="14"/>
      <c r="L3079" s="16"/>
      <c r="M3079" s="27" t="n">
        <f aca="false">J3079+(K3079/20)+(L3079/240)</f>
        <v>150</v>
      </c>
      <c r="N3079" s="17" t="s">
        <v>64</v>
      </c>
      <c r="O3079" s="11"/>
      <c r="P3079" s="28" t="n">
        <f aca="false">274/100</f>
        <v>2.74</v>
      </c>
      <c r="Q3079" s="28" t="n">
        <v>411</v>
      </c>
      <c r="R3079" s="28"/>
      <c r="S3079" s="28" t="n">
        <f aca="false">R3079*$M3079</f>
        <v>0</v>
      </c>
      <c r="T3079" s="28" t="n">
        <f aca="false">3042/100</f>
        <v>30.42</v>
      </c>
      <c r="U3079" s="28" t="n">
        <v>4563</v>
      </c>
      <c r="V3079" s="28"/>
      <c r="W3079" s="28" t="n">
        <f aca="false">V3079*$M3079</f>
        <v>0</v>
      </c>
      <c r="X3079" s="28"/>
      <c r="Y3079" s="28" t="n">
        <f aca="false">X3079*$M3079</f>
        <v>0</v>
      </c>
      <c r="Z3079" s="28"/>
      <c r="AA3079" s="28" t="n">
        <f aca="false">Z3079*$M3079</f>
        <v>0</v>
      </c>
      <c r="AB3079" s="28" t="n">
        <f aca="false">92/100</f>
        <v>0.92</v>
      </c>
      <c r="AC3079" s="28" t="n">
        <v>138</v>
      </c>
      <c r="AD3079" s="28"/>
      <c r="AE3079" s="28" t="n">
        <f aca="false">AD3079*$M3079</f>
        <v>0</v>
      </c>
      <c r="AF3079" s="28"/>
      <c r="AG3079" s="28" t="n">
        <f aca="false">AF3079*$M3079</f>
        <v>0</v>
      </c>
      <c r="AH3079" s="28"/>
      <c r="AI3079" s="28" t="n">
        <f aca="false">AH3079*$M3079</f>
        <v>0</v>
      </c>
      <c r="AJ3079" s="28"/>
      <c r="AK3079" s="28" t="n">
        <f aca="false">AJ3079*$M3079</f>
        <v>0</v>
      </c>
      <c r="AL3079" s="28"/>
      <c r="AM3079" s="28" t="n">
        <f aca="false">AL3079*$M3079</f>
        <v>0</v>
      </c>
      <c r="AN3079" s="28"/>
      <c r="AO3079" s="28" t="n">
        <f aca="false">AN3079*$M3079</f>
        <v>0</v>
      </c>
      <c r="AP3079" s="28"/>
      <c r="AQ3079" s="28" t="n">
        <f aca="false">AP3079*$M3079</f>
        <v>0</v>
      </c>
      <c r="AR3079" s="28"/>
      <c r="AS3079" s="28" t="n">
        <f aca="false">AR3079*$M3079</f>
        <v>0</v>
      </c>
      <c r="AT3079" s="28"/>
      <c r="AU3079" s="28" t="n">
        <f aca="false">AT3079*$M3079</f>
        <v>0</v>
      </c>
      <c r="AV3079" s="28"/>
      <c r="AW3079" s="28" t="n">
        <f aca="false">AV3079*$M3079</f>
        <v>0</v>
      </c>
      <c r="AX3079" s="28"/>
      <c r="AY3079" s="28" t="n">
        <f aca="false">AX3079*$M3079</f>
        <v>0</v>
      </c>
      <c r="AZ3079" s="30" t="n">
        <f aca="false">3408/100</f>
        <v>34.08</v>
      </c>
      <c r="BA3079" s="11" t="n">
        <v>5112</v>
      </c>
      <c r="BB3079" s="31" t="n">
        <f aca="false">SUM(Q3079,S3079,U3079,W3079,Y3079,AA3079,AC3079,AE3079,AG3079,AI3079,AK3079,AM3079,AO3079,AQ3079,AS3079,AU3079,AW3079,AY3079)</f>
        <v>5112</v>
      </c>
      <c r="BC3079" s="28" t="n">
        <f aca="false">BA3079-BB3079</f>
        <v>0</v>
      </c>
      <c r="BD3079" s="32" t="n">
        <f aca="false">SUM(P3079,R3079,T3079,V3079,X3079,Z3079,AB3079,AD3079,AF3079,AH3079,AJ3079,AL3079,AN3079,AP3079,AR3079,AT3079,AV3079,AX3079)</f>
        <v>34.08</v>
      </c>
      <c r="BE3079" s="33" t="n">
        <f aca="false">AZ3079-BD3079</f>
        <v>0</v>
      </c>
      <c r="BF3079" s="34" t="n">
        <f aca="false">BD3079*M3079</f>
        <v>5112</v>
      </c>
      <c r="BG3079" s="35" t="n">
        <f aca="false">BA3079-BF3079</f>
        <v>0</v>
      </c>
      <c r="BH3079" s="19" t="str">
        <f aca="false">IF(BG3079=0,"",IF(BG3079&lt;&gt;BA3079,"erreur de calcul",IF(BD3079&lt;&gt;0,"pas de prix",IF(M3079&lt;&gt; 0,"pas de quantité","pas de prix, ni de quantité"))))</f>
        <v/>
      </c>
      <c r="BI3079" s="19"/>
    </row>
    <row r="3080" customFormat="false" ht="15" hidden="false" customHeight="false" outlineLevel="0" collapsed="false">
      <c r="A3080" s="0" t="n">
        <v>24</v>
      </c>
      <c r="B3080" s="8" t="s">
        <v>24</v>
      </c>
      <c r="C3080" s="9" t="s">
        <v>25</v>
      </c>
      <c r="D3080" s="9" t="s">
        <v>26</v>
      </c>
      <c r="E3080" s="10" t="n">
        <v>1789</v>
      </c>
      <c r="F3080" s="9" t="s">
        <v>27</v>
      </c>
      <c r="G3080" s="9" t="s">
        <v>27</v>
      </c>
      <c r="H3080" s="11" t="n">
        <v>25</v>
      </c>
      <c r="I3080" s="11" t="s">
        <v>353</v>
      </c>
      <c r="J3080" s="14" t="n">
        <v>40</v>
      </c>
      <c r="K3080" s="14"/>
      <c r="L3080" s="16"/>
      <c r="M3080" s="27" t="n">
        <f aca="false">J3080+(K3080/20)+(L3080/240)</f>
        <v>40</v>
      </c>
      <c r="N3080" s="17" t="s">
        <v>64</v>
      </c>
      <c r="O3080" s="11"/>
      <c r="P3080" s="28"/>
      <c r="Q3080" s="28" t="n">
        <f aca="false">P3080*$M3080</f>
        <v>0</v>
      </c>
      <c r="R3080" s="28"/>
      <c r="S3080" s="28" t="n">
        <f aca="false">R3080*$M3080</f>
        <v>0</v>
      </c>
      <c r="T3080" s="28"/>
      <c r="U3080" s="28" t="n">
        <f aca="false">T3080*$M3080</f>
        <v>0</v>
      </c>
      <c r="V3080" s="28" t="n">
        <f aca="false">4960/100</f>
        <v>49.6</v>
      </c>
      <c r="W3080" s="28" t="n">
        <v>1984</v>
      </c>
      <c r="X3080" s="28" t="n">
        <f aca="false">394/100</f>
        <v>3.94</v>
      </c>
      <c r="Y3080" s="28" t="n">
        <v>158</v>
      </c>
      <c r="Z3080" s="28"/>
      <c r="AA3080" s="28" t="n">
        <f aca="false">Z3080*$M3080</f>
        <v>0</v>
      </c>
      <c r="AB3080" s="28"/>
      <c r="AC3080" s="28" t="n">
        <f aca="false">AB3080*$M3080</f>
        <v>0</v>
      </c>
      <c r="AD3080" s="28"/>
      <c r="AE3080" s="28" t="n">
        <f aca="false">AD3080*$M3080</f>
        <v>0</v>
      </c>
      <c r="AF3080" s="28"/>
      <c r="AG3080" s="28" t="n">
        <f aca="false">AF3080*$M3080</f>
        <v>0</v>
      </c>
      <c r="AH3080" s="28"/>
      <c r="AI3080" s="28" t="n">
        <f aca="false">AH3080*$M3080</f>
        <v>0</v>
      </c>
      <c r="AJ3080" s="28"/>
      <c r="AK3080" s="28" t="n">
        <f aca="false">AJ3080*$M3080</f>
        <v>0</v>
      </c>
      <c r="AL3080" s="28"/>
      <c r="AM3080" s="28" t="n">
        <f aca="false">AL3080*$M3080</f>
        <v>0</v>
      </c>
      <c r="AN3080" s="28"/>
      <c r="AO3080" s="28" t="n">
        <f aca="false">AN3080*$M3080</f>
        <v>0</v>
      </c>
      <c r="AP3080" s="28"/>
      <c r="AQ3080" s="28" t="n">
        <f aca="false">AP3080*$M3080</f>
        <v>0</v>
      </c>
      <c r="AR3080" s="28"/>
      <c r="AS3080" s="28" t="n">
        <f aca="false">AR3080*$M3080</f>
        <v>0</v>
      </c>
      <c r="AT3080" s="28"/>
      <c r="AU3080" s="28" t="n">
        <f aca="false">AT3080*$M3080</f>
        <v>0</v>
      </c>
      <c r="AV3080" s="28"/>
      <c r="AW3080" s="28" t="n">
        <f aca="false">AV3080*$M3080</f>
        <v>0</v>
      </c>
      <c r="AX3080" s="28"/>
      <c r="AY3080" s="28" t="n">
        <f aca="false">AX3080*$M3080</f>
        <v>0</v>
      </c>
      <c r="AZ3080" s="30" t="n">
        <f aca="false">5354/100</f>
        <v>53.54</v>
      </c>
      <c r="BA3080" s="11" t="n">
        <v>2142</v>
      </c>
      <c r="BB3080" s="31" t="n">
        <f aca="false">SUM(Q3080,S3080,U3080,W3080,Y3080,AA3080,AC3080,AE3080,AG3080,AI3080,AK3080,AM3080,AO3080,AQ3080,AS3080,AU3080,AW3080,AY3080)</f>
        <v>2142</v>
      </c>
      <c r="BC3080" s="28" t="n">
        <f aca="false">BA3080-BB3080</f>
        <v>0</v>
      </c>
      <c r="BD3080" s="32" t="n">
        <f aca="false">SUM(P3080,R3080,T3080,V3080,X3080,Z3080,AB3080,AD3080,AF3080,AH3080,AJ3080,AL3080,AN3080,AP3080,AR3080,AT3080,AV3080,AX3080)</f>
        <v>53.54</v>
      </c>
      <c r="BE3080" s="33" t="n">
        <f aca="false">AZ3080-BD3080</f>
        <v>0</v>
      </c>
      <c r="BF3080" s="34" t="n">
        <f aca="false">BD3080*M3080</f>
        <v>2141.6</v>
      </c>
      <c r="BG3080" s="35" t="n">
        <f aca="false">BA3080-BF3080</f>
        <v>0.400000000000091</v>
      </c>
      <c r="BH3080" s="19" t="str">
        <f aca="false">IF(BG3080=0,"",IF(BG3080&lt;&gt;BA3080,"erreur de calcul",IF(BD3080&lt;&gt;0,"pas de prix",IF(M3080&lt;&gt; 0,"pas de quantité","pas de prix, ni de quantité"))))</f>
        <v>erreur de calcul</v>
      </c>
      <c r="BI3080" s="19"/>
    </row>
    <row r="3081" customFormat="false" ht="15" hidden="false" customHeight="false" outlineLevel="0" collapsed="false">
      <c r="A3081" s="0" t="n">
        <v>25</v>
      </c>
      <c r="B3081" s="8" t="s">
        <v>24</v>
      </c>
      <c r="C3081" s="9" t="s">
        <v>25</v>
      </c>
      <c r="D3081" s="9" t="s">
        <v>26</v>
      </c>
      <c r="E3081" s="10" t="n">
        <v>1789</v>
      </c>
      <c r="F3081" s="9" t="s">
        <v>27</v>
      </c>
      <c r="G3081" s="9" t="s">
        <v>27</v>
      </c>
      <c r="H3081" s="11" t="n">
        <v>25</v>
      </c>
      <c r="I3081" s="11" t="s">
        <v>354</v>
      </c>
      <c r="J3081" s="14" t="n">
        <v>200</v>
      </c>
      <c r="K3081" s="14"/>
      <c r="L3081" s="16"/>
      <c r="M3081" s="27" t="n">
        <f aca="false">J3081+(K3081/20)+(L3081/240)</f>
        <v>200</v>
      </c>
      <c r="N3081" s="17" t="s">
        <v>64</v>
      </c>
      <c r="O3081" s="11"/>
      <c r="P3081" s="28"/>
      <c r="Q3081" s="28" t="n">
        <f aca="false">P3081*$M3081</f>
        <v>0</v>
      </c>
      <c r="R3081" s="28"/>
      <c r="S3081" s="28" t="n">
        <f aca="false">R3081*$M3081</f>
        <v>0</v>
      </c>
      <c r="T3081" s="28" t="n">
        <f aca="false">4367/100</f>
        <v>43.67</v>
      </c>
      <c r="U3081" s="28" t="n">
        <v>8734</v>
      </c>
      <c r="V3081" s="28" t="n">
        <f aca="false">346/100</f>
        <v>3.46</v>
      </c>
      <c r="W3081" s="28" t="n">
        <v>692</v>
      </c>
      <c r="X3081" s="28"/>
      <c r="Y3081" s="28" t="n">
        <f aca="false">X3081*$M3081</f>
        <v>0</v>
      </c>
      <c r="Z3081" s="28"/>
      <c r="AA3081" s="28" t="n">
        <f aca="false">Z3081*$M3081</f>
        <v>0</v>
      </c>
      <c r="AB3081" s="28"/>
      <c r="AC3081" s="28" t="n">
        <f aca="false">AB3081*$M3081</f>
        <v>0</v>
      </c>
      <c r="AD3081" s="28"/>
      <c r="AE3081" s="28" t="n">
        <f aca="false">AD3081*$M3081</f>
        <v>0</v>
      </c>
      <c r="AF3081" s="28"/>
      <c r="AG3081" s="28" t="n">
        <f aca="false">AF3081*$M3081</f>
        <v>0</v>
      </c>
      <c r="AH3081" s="28"/>
      <c r="AI3081" s="28" t="n">
        <f aca="false">AH3081*$M3081</f>
        <v>0</v>
      </c>
      <c r="AJ3081" s="28"/>
      <c r="AK3081" s="28" t="n">
        <f aca="false">AJ3081*$M3081</f>
        <v>0</v>
      </c>
      <c r="AL3081" s="28"/>
      <c r="AM3081" s="28" t="n">
        <f aca="false">AL3081*$M3081</f>
        <v>0</v>
      </c>
      <c r="AN3081" s="28"/>
      <c r="AO3081" s="28" t="n">
        <f aca="false">AN3081*$M3081</f>
        <v>0</v>
      </c>
      <c r="AP3081" s="28"/>
      <c r="AQ3081" s="28" t="n">
        <f aca="false">AP3081*$M3081</f>
        <v>0</v>
      </c>
      <c r="AR3081" s="28"/>
      <c r="AS3081" s="28" t="n">
        <f aca="false">AR3081*$M3081</f>
        <v>0</v>
      </c>
      <c r="AT3081" s="28"/>
      <c r="AU3081" s="28" t="n">
        <f aca="false">AT3081*$M3081</f>
        <v>0</v>
      </c>
      <c r="AV3081" s="28"/>
      <c r="AW3081" s="28" t="n">
        <f aca="false">AV3081*$M3081</f>
        <v>0</v>
      </c>
      <c r="AX3081" s="28"/>
      <c r="AY3081" s="28" t="n">
        <f aca="false">AX3081*$M3081</f>
        <v>0</v>
      </c>
      <c r="AZ3081" s="30" t="n">
        <f aca="false">4713/100</f>
        <v>47.13</v>
      </c>
      <c r="BA3081" s="11" t="n">
        <v>9426</v>
      </c>
      <c r="BB3081" s="31" t="n">
        <f aca="false">SUM(Q3081,S3081,U3081,W3081,Y3081,AA3081,AC3081,AE3081,AG3081,AI3081,AK3081,AM3081,AO3081,AQ3081,AS3081,AU3081,AW3081,AY3081)</f>
        <v>9426</v>
      </c>
      <c r="BC3081" s="28" t="n">
        <f aca="false">BA3081-BB3081</f>
        <v>0</v>
      </c>
      <c r="BD3081" s="32" t="n">
        <f aca="false">SUM(P3081,R3081,T3081,V3081,X3081,Z3081,AB3081,AD3081,AF3081,AH3081,AJ3081,AL3081,AN3081,AP3081,AR3081,AT3081,AV3081,AX3081)</f>
        <v>47.13</v>
      </c>
      <c r="BE3081" s="33" t="n">
        <f aca="false">AZ3081-BD3081</f>
        <v>0</v>
      </c>
      <c r="BF3081" s="34" t="n">
        <f aca="false">BD3081*M3081</f>
        <v>9426</v>
      </c>
      <c r="BG3081" s="35" t="n">
        <f aca="false">BA3081-BF3081</f>
        <v>0</v>
      </c>
      <c r="BH3081" s="19" t="str">
        <f aca="false">IF(BG3081=0,"",IF(BG3081&lt;&gt;BA3081,"erreur de calcul",IF(BD3081&lt;&gt;0,"pas de prix",IF(M3081&lt;&gt; 0,"pas de quantité","pas de prix, ni de quantité"))))</f>
        <v/>
      </c>
      <c r="BI3081" s="19"/>
    </row>
    <row r="3082" customFormat="false" ht="15" hidden="false" customHeight="false" outlineLevel="0" collapsed="false">
      <c r="A3082" s="0" t="n">
        <v>26</v>
      </c>
      <c r="B3082" s="8" t="s">
        <v>24</v>
      </c>
      <c r="C3082" s="9" t="s">
        <v>25</v>
      </c>
      <c r="D3082" s="9" t="s">
        <v>26</v>
      </c>
      <c r="E3082" s="10" t="n">
        <v>1789</v>
      </c>
      <c r="F3082" s="9" t="s">
        <v>27</v>
      </c>
      <c r="G3082" s="9" t="s">
        <v>27</v>
      </c>
      <c r="H3082" s="11" t="n">
        <v>25</v>
      </c>
      <c r="I3082" s="11" t="s">
        <v>355</v>
      </c>
      <c r="J3082" s="14" t="n">
        <v>200</v>
      </c>
      <c r="K3082" s="14"/>
      <c r="L3082" s="16"/>
      <c r="M3082" s="27" t="n">
        <f aca="false">J3082+(K3082/20)+(L3082/240)</f>
        <v>200</v>
      </c>
      <c r="N3082" s="17" t="s">
        <v>64</v>
      </c>
      <c r="O3082" s="11"/>
      <c r="P3082" s="28"/>
      <c r="Q3082" s="28" t="n">
        <f aca="false">P3082*$M3082</f>
        <v>0</v>
      </c>
      <c r="R3082" s="28"/>
      <c r="S3082" s="28" t="n">
        <f aca="false">R3082*$M3082</f>
        <v>0</v>
      </c>
      <c r="T3082" s="28" t="n">
        <f aca="false">2471/100</f>
        <v>24.71</v>
      </c>
      <c r="U3082" s="28" t="n">
        <v>4942</v>
      </c>
      <c r="V3082" s="28"/>
      <c r="W3082" s="28" t="n">
        <f aca="false">V3082*$M3082</f>
        <v>0</v>
      </c>
      <c r="X3082" s="28"/>
      <c r="Y3082" s="28" t="n">
        <f aca="false">X3082*$M3082</f>
        <v>0</v>
      </c>
      <c r="Z3082" s="28"/>
      <c r="AA3082" s="28" t="n">
        <f aca="false">Z3082*$M3082</f>
        <v>0</v>
      </c>
      <c r="AB3082" s="28"/>
      <c r="AC3082" s="28" t="n">
        <f aca="false">AB3082*$M3082</f>
        <v>0</v>
      </c>
      <c r="AD3082" s="28"/>
      <c r="AE3082" s="28" t="n">
        <f aca="false">AD3082*$M3082</f>
        <v>0</v>
      </c>
      <c r="AF3082" s="28"/>
      <c r="AG3082" s="28" t="n">
        <f aca="false">AF3082*$M3082</f>
        <v>0</v>
      </c>
      <c r="AH3082" s="28"/>
      <c r="AI3082" s="28" t="n">
        <f aca="false">AH3082*$M3082</f>
        <v>0</v>
      </c>
      <c r="AJ3082" s="28"/>
      <c r="AK3082" s="28" t="n">
        <f aca="false">AJ3082*$M3082</f>
        <v>0</v>
      </c>
      <c r="AL3082" s="28"/>
      <c r="AM3082" s="28" t="n">
        <f aca="false">AL3082*$M3082</f>
        <v>0</v>
      </c>
      <c r="AN3082" s="28"/>
      <c r="AO3082" s="28" t="n">
        <f aca="false">AN3082*$M3082</f>
        <v>0</v>
      </c>
      <c r="AP3082" s="28"/>
      <c r="AQ3082" s="28" t="n">
        <f aca="false">AP3082*$M3082</f>
        <v>0</v>
      </c>
      <c r="AR3082" s="28"/>
      <c r="AS3082" s="28" t="n">
        <f aca="false">AR3082*$M3082</f>
        <v>0</v>
      </c>
      <c r="AT3082" s="28"/>
      <c r="AU3082" s="28" t="n">
        <f aca="false">AT3082*$M3082</f>
        <v>0</v>
      </c>
      <c r="AV3082" s="28"/>
      <c r="AW3082" s="28" t="n">
        <f aca="false">AV3082*$M3082</f>
        <v>0</v>
      </c>
      <c r="AX3082" s="28"/>
      <c r="AY3082" s="28" t="n">
        <f aca="false">AX3082*$M3082</f>
        <v>0</v>
      </c>
      <c r="AZ3082" s="30" t="n">
        <f aca="false">2471/100</f>
        <v>24.71</v>
      </c>
      <c r="BA3082" s="11" t="n">
        <v>4942</v>
      </c>
      <c r="BB3082" s="31" t="n">
        <f aca="false">SUM(Q3082,S3082,U3082,W3082,Y3082,AA3082,AC3082,AE3082,AG3082,AI3082,AK3082,AM3082,AO3082,AQ3082,AS3082,AU3082,AW3082,AY3082)</f>
        <v>4942</v>
      </c>
      <c r="BC3082" s="28" t="n">
        <f aca="false">BA3082-BB3082</f>
        <v>0</v>
      </c>
      <c r="BD3082" s="32" t="n">
        <f aca="false">SUM(P3082,R3082,T3082,V3082,X3082,Z3082,AB3082,AD3082,AF3082,AH3082,AJ3082,AL3082,AN3082,AP3082,AR3082,AT3082,AV3082,AX3082)</f>
        <v>24.71</v>
      </c>
      <c r="BE3082" s="33" t="n">
        <f aca="false">AZ3082-BD3082</f>
        <v>0</v>
      </c>
      <c r="BF3082" s="34" t="n">
        <f aca="false">BD3082*M3082</f>
        <v>4942</v>
      </c>
      <c r="BG3082" s="35" t="n">
        <f aca="false">BA3082-BF3082</f>
        <v>0</v>
      </c>
      <c r="BH3082" s="19" t="str">
        <f aca="false">IF(BG3082=0,"",IF(BG3082&lt;&gt;BA3082,"erreur de calcul",IF(BD3082&lt;&gt;0,"pas de prix",IF(M3082&lt;&gt; 0,"pas de quantité","pas de prix, ni de quantité"))))</f>
        <v/>
      </c>
      <c r="BI3082" s="19"/>
    </row>
    <row r="3083" customFormat="false" ht="15" hidden="false" customHeight="false" outlineLevel="0" collapsed="false">
      <c r="A3083" s="0" t="n">
        <v>27</v>
      </c>
      <c r="B3083" s="8" t="s">
        <v>24</v>
      </c>
      <c r="C3083" s="9" t="s">
        <v>25</v>
      </c>
      <c r="D3083" s="9" t="s">
        <v>26</v>
      </c>
      <c r="E3083" s="10" t="n">
        <v>1789</v>
      </c>
      <c r="F3083" s="9" t="s">
        <v>27</v>
      </c>
      <c r="G3083" s="9" t="s">
        <v>27</v>
      </c>
      <c r="H3083" s="11" t="n">
        <v>25</v>
      </c>
      <c r="I3083" s="11" t="s">
        <v>356</v>
      </c>
      <c r="J3083" s="14" t="n">
        <v>120</v>
      </c>
      <c r="K3083" s="14"/>
      <c r="L3083" s="16"/>
      <c r="M3083" s="27" t="n">
        <f aca="false">J3083+(K3083/20)+(L3083/240)</f>
        <v>120</v>
      </c>
      <c r="N3083" s="17" t="s">
        <v>64</v>
      </c>
      <c r="O3083" s="11"/>
      <c r="P3083" s="28"/>
      <c r="Q3083" s="28" t="n">
        <f aca="false">P3083*$M3083</f>
        <v>0</v>
      </c>
      <c r="R3083" s="28"/>
      <c r="S3083" s="28" t="n">
        <f aca="false">R3083*$M3083</f>
        <v>0</v>
      </c>
      <c r="T3083" s="28"/>
      <c r="U3083" s="28" t="n">
        <f aca="false">T3083*$M3083</f>
        <v>0</v>
      </c>
      <c r="V3083" s="28"/>
      <c r="W3083" s="28" t="n">
        <f aca="false">V3083*$M3083</f>
        <v>0</v>
      </c>
      <c r="X3083" s="28"/>
      <c r="Y3083" s="28" t="n">
        <f aca="false">X3083*$M3083</f>
        <v>0</v>
      </c>
      <c r="Z3083" s="28"/>
      <c r="AA3083" s="28" t="n">
        <f aca="false">Z3083*$M3083</f>
        <v>0</v>
      </c>
      <c r="AB3083" s="28"/>
      <c r="AC3083" s="28" t="n">
        <f aca="false">AB3083*$M3083</f>
        <v>0</v>
      </c>
      <c r="AD3083" s="28"/>
      <c r="AE3083" s="28" t="n">
        <f aca="false">AD3083*$M3083</f>
        <v>0</v>
      </c>
      <c r="AF3083" s="28"/>
      <c r="AG3083" s="28" t="n">
        <f aca="false">AF3083*$M3083</f>
        <v>0</v>
      </c>
      <c r="AH3083" s="28"/>
      <c r="AI3083" s="28" t="n">
        <f aca="false">AH3083*$M3083</f>
        <v>0</v>
      </c>
      <c r="AJ3083" s="28"/>
      <c r="AK3083" s="28" t="n">
        <f aca="false">AJ3083*$M3083</f>
        <v>0</v>
      </c>
      <c r="AL3083" s="28"/>
      <c r="AM3083" s="28" t="n">
        <f aca="false">AL3083*$M3083</f>
        <v>0</v>
      </c>
      <c r="AN3083" s="28" t="n">
        <f aca="false">407/100</f>
        <v>4.07</v>
      </c>
      <c r="AO3083" s="28" t="n">
        <v>488</v>
      </c>
      <c r="AP3083" s="28"/>
      <c r="AQ3083" s="28" t="n">
        <f aca="false">AP3083*$M3083</f>
        <v>0</v>
      </c>
      <c r="AR3083" s="28"/>
      <c r="AS3083" s="28" t="n">
        <f aca="false">AR3083*$M3083</f>
        <v>0</v>
      </c>
      <c r="AT3083" s="28"/>
      <c r="AU3083" s="28" t="n">
        <f aca="false">AT3083*$M3083</f>
        <v>0</v>
      </c>
      <c r="AV3083" s="28"/>
      <c r="AW3083" s="28" t="n">
        <f aca="false">AV3083*$M3083</f>
        <v>0</v>
      </c>
      <c r="AX3083" s="28"/>
      <c r="AY3083" s="28" t="n">
        <f aca="false">AX3083*$M3083</f>
        <v>0</v>
      </c>
      <c r="AZ3083" s="30" t="n">
        <f aca="false">407/100</f>
        <v>4.07</v>
      </c>
      <c r="BA3083" s="11" t="n">
        <v>488</v>
      </c>
      <c r="BB3083" s="31" t="n">
        <f aca="false">SUM(Q3083,S3083,U3083,W3083,Y3083,AA3083,AC3083,AE3083,AG3083,AI3083,AK3083,AM3083,AO3083,AQ3083,AS3083,AU3083,AW3083,AY3083)</f>
        <v>488</v>
      </c>
      <c r="BC3083" s="28" t="n">
        <f aca="false">BA3083-BB3083</f>
        <v>0</v>
      </c>
      <c r="BD3083" s="32" t="n">
        <f aca="false">SUM(P3083,R3083,T3083,V3083,X3083,Z3083,AB3083,AD3083,AF3083,AH3083,AJ3083,AL3083,AN3083,AP3083,AR3083,AT3083,AV3083,AX3083)</f>
        <v>4.07</v>
      </c>
      <c r="BE3083" s="33" t="n">
        <f aca="false">AZ3083-BD3083</f>
        <v>0</v>
      </c>
      <c r="BF3083" s="34" t="n">
        <f aca="false">BD3083*M3083</f>
        <v>488.4</v>
      </c>
      <c r="BG3083" s="35" t="n">
        <f aca="false">BA3083-BF3083</f>
        <v>-0.400000000000034</v>
      </c>
      <c r="BH3083" s="19" t="str">
        <f aca="false">IF(BG3083=0,"",IF(BG3083&lt;&gt;BA3083,"erreur de calcul",IF(BD3083&lt;&gt;0,"pas de prix",IF(M3083&lt;&gt; 0,"pas de quantité","pas de prix, ni de quantité"))))</f>
        <v>erreur de calcul</v>
      </c>
      <c r="BI3083" s="19"/>
    </row>
    <row r="3084" customFormat="false" ht="15" hidden="false" customHeight="false" outlineLevel="0" collapsed="false">
      <c r="A3084" s="0" t="n">
        <v>28</v>
      </c>
      <c r="B3084" s="8" t="s">
        <v>24</v>
      </c>
      <c r="C3084" s="9" t="s">
        <v>25</v>
      </c>
      <c r="D3084" s="9" t="s">
        <v>26</v>
      </c>
      <c r="E3084" s="10" t="n">
        <v>1789</v>
      </c>
      <c r="F3084" s="9" t="s">
        <v>27</v>
      </c>
      <c r="G3084" s="9" t="s">
        <v>27</v>
      </c>
      <c r="H3084" s="11" t="n">
        <v>25</v>
      </c>
      <c r="I3084" s="11" t="s">
        <v>357</v>
      </c>
      <c r="J3084" s="14" t="n">
        <v>30</v>
      </c>
      <c r="K3084" s="14"/>
      <c r="L3084" s="16"/>
      <c r="M3084" s="27" t="n">
        <f aca="false">J3084+(K3084/20)+(L3084/240)</f>
        <v>30</v>
      </c>
      <c r="N3084" s="17" t="s">
        <v>64</v>
      </c>
      <c r="O3084" s="11"/>
      <c r="P3084" s="28"/>
      <c r="Q3084" s="28" t="n">
        <f aca="false">P3084*$M3084</f>
        <v>0</v>
      </c>
      <c r="R3084" s="28"/>
      <c r="S3084" s="28" t="n">
        <f aca="false">R3084*$M3084</f>
        <v>0</v>
      </c>
      <c r="T3084" s="28" t="n">
        <f aca="false">8903/100</f>
        <v>89.03</v>
      </c>
      <c r="U3084" s="28" t="n">
        <v>2671</v>
      </c>
      <c r="V3084" s="28" t="n">
        <f aca="false">2591/100</f>
        <v>25.91</v>
      </c>
      <c r="W3084" s="28" t="n">
        <v>777</v>
      </c>
      <c r="X3084" s="28"/>
      <c r="Y3084" s="28" t="n">
        <f aca="false">X3084*$M3084</f>
        <v>0</v>
      </c>
      <c r="Z3084" s="28" t="n">
        <f aca="false">17041/100</f>
        <v>170.41</v>
      </c>
      <c r="AA3084" s="28" t="n">
        <v>5112</v>
      </c>
      <c r="AB3084" s="28" t="n">
        <f aca="false">42963/100</f>
        <v>429.63</v>
      </c>
      <c r="AC3084" s="28" t="n">
        <v>12889</v>
      </c>
      <c r="AD3084" s="28"/>
      <c r="AE3084" s="28" t="n">
        <f aca="false">AD3084*$M3084</f>
        <v>0</v>
      </c>
      <c r="AF3084" s="28" t="n">
        <f aca="false">138369/100</f>
        <v>1383.69</v>
      </c>
      <c r="AG3084" s="28" t="n">
        <v>41511</v>
      </c>
      <c r="AH3084" s="28"/>
      <c r="AI3084" s="28" t="n">
        <f aca="false">AH3084*$M3084</f>
        <v>0</v>
      </c>
      <c r="AJ3084" s="28"/>
      <c r="AK3084" s="28" t="n">
        <f aca="false">AJ3084*$M3084</f>
        <v>0</v>
      </c>
      <c r="AL3084" s="28"/>
      <c r="AM3084" s="28" t="n">
        <f aca="false">AL3084*$M3084</f>
        <v>0</v>
      </c>
      <c r="AN3084" s="28"/>
      <c r="AO3084" s="28" t="n">
        <f aca="false">AN3084*$M3084</f>
        <v>0</v>
      </c>
      <c r="AP3084" s="28"/>
      <c r="AQ3084" s="28" t="n">
        <f aca="false">AP3084*$M3084</f>
        <v>0</v>
      </c>
      <c r="AR3084" s="28"/>
      <c r="AS3084" s="28" t="n">
        <f aca="false">AR3084*$M3084</f>
        <v>0</v>
      </c>
      <c r="AT3084" s="28"/>
      <c r="AU3084" s="28" t="n">
        <f aca="false">AT3084*$M3084</f>
        <v>0</v>
      </c>
      <c r="AV3084" s="28"/>
      <c r="AW3084" s="28" t="n">
        <f aca="false">AV3084*$M3084</f>
        <v>0</v>
      </c>
      <c r="AX3084" s="28"/>
      <c r="AY3084" s="28" t="n">
        <f aca="false">AX3084*$M3084</f>
        <v>0</v>
      </c>
      <c r="AZ3084" s="30" t="n">
        <f aca="false">209867/100</f>
        <v>2098.67</v>
      </c>
      <c r="BA3084" s="11" t="n">
        <v>62960</v>
      </c>
      <c r="BB3084" s="31" t="n">
        <f aca="false">SUM(Q3084,S3084,U3084,W3084,Y3084,AA3084,AC3084,AE3084,AG3084,AI3084,AK3084,AM3084,AO3084,AQ3084,AS3084,AU3084,AW3084,AY3084)</f>
        <v>62960</v>
      </c>
      <c r="BC3084" s="28" t="n">
        <f aca="false">BA3084-BB3084</f>
        <v>0</v>
      </c>
      <c r="BD3084" s="32" t="n">
        <f aca="false">SUM(P3084,R3084,T3084,V3084,X3084,Z3084,AB3084,AD3084,AF3084,AH3084,AJ3084,AL3084,AN3084,AP3084,AR3084,AT3084,AV3084,AX3084)</f>
        <v>2098.67</v>
      </c>
      <c r="BE3084" s="33" t="n">
        <f aca="false">AZ3084-BD3084</f>
        <v>0</v>
      </c>
      <c r="BF3084" s="34" t="n">
        <f aca="false">BD3084*M3084</f>
        <v>62960.1</v>
      </c>
      <c r="BG3084" s="35" t="n">
        <f aca="false">BA3084-BF3084</f>
        <v>-0.100000000013097</v>
      </c>
      <c r="BH3084" s="19" t="str">
        <f aca="false">IF(BG3084=0,"",IF(BG3084&lt;&gt;BA3084,"erreur de calcul",IF(BD3084&lt;&gt;0,"pas de prix",IF(M3084&lt;&gt; 0,"pas de quantité","pas de prix, ni de quantité"))))</f>
        <v>erreur de calcul</v>
      </c>
      <c r="BI3084" s="19"/>
    </row>
    <row r="3085" customFormat="false" ht="15" hidden="false" customHeight="false" outlineLevel="0" collapsed="false">
      <c r="A3085" s="0" t="n">
        <v>29</v>
      </c>
      <c r="B3085" s="8" t="s">
        <v>24</v>
      </c>
      <c r="C3085" s="9" t="s">
        <v>25</v>
      </c>
      <c r="D3085" s="9" t="s">
        <v>26</v>
      </c>
      <c r="E3085" s="10" t="n">
        <v>1789</v>
      </c>
      <c r="F3085" s="9" t="s">
        <v>27</v>
      </c>
      <c r="G3085" s="9" t="s">
        <v>27</v>
      </c>
      <c r="H3085" s="11" t="n">
        <v>25</v>
      </c>
      <c r="I3085" s="11" t="s">
        <v>358</v>
      </c>
      <c r="J3085" s="14" t="n">
        <v>35</v>
      </c>
      <c r="K3085" s="14"/>
      <c r="L3085" s="16"/>
      <c r="M3085" s="27" t="n">
        <f aca="false">J3085+(K3085/20)+(L3085/240)</f>
        <v>35</v>
      </c>
      <c r="N3085" s="17" t="s">
        <v>64</v>
      </c>
      <c r="O3085" s="11"/>
      <c r="P3085" s="28"/>
      <c r="Q3085" s="28" t="n">
        <f aca="false">P3085*$M3085</f>
        <v>0</v>
      </c>
      <c r="R3085" s="28"/>
      <c r="S3085" s="28" t="n">
        <f aca="false">R3085*$M3085</f>
        <v>0</v>
      </c>
      <c r="T3085" s="28" t="n">
        <f aca="false">62095/100</f>
        <v>620.95</v>
      </c>
      <c r="U3085" s="28" t="n">
        <v>21733</v>
      </c>
      <c r="V3085" s="28" t="n">
        <f aca="false">257918/100</f>
        <v>2579.18</v>
      </c>
      <c r="W3085" s="28" t="n">
        <v>90271</v>
      </c>
      <c r="X3085" s="28" t="n">
        <f aca="false">10723/100</f>
        <v>107.23</v>
      </c>
      <c r="Y3085" s="28" t="n">
        <v>3753</v>
      </c>
      <c r="Z3085" s="28" t="n">
        <f aca="false">21191/100</f>
        <v>211.91</v>
      </c>
      <c r="AA3085" s="28" t="n">
        <v>7417</v>
      </c>
      <c r="AB3085" s="28" t="n">
        <f aca="false">308781/100</f>
        <v>3087.81</v>
      </c>
      <c r="AC3085" s="28" t="n">
        <v>108073</v>
      </c>
      <c r="AD3085" s="28"/>
      <c r="AE3085" s="28" t="n">
        <f aca="false">AD3085*$M3085</f>
        <v>0</v>
      </c>
      <c r="AF3085" s="28" t="n">
        <f aca="false">5225/100</f>
        <v>52.25</v>
      </c>
      <c r="AG3085" s="28" t="n">
        <v>1829</v>
      </c>
      <c r="AH3085" s="28"/>
      <c r="AI3085" s="28" t="n">
        <f aca="false">AH3085*$M3085</f>
        <v>0</v>
      </c>
      <c r="AJ3085" s="28"/>
      <c r="AK3085" s="28" t="n">
        <f aca="false">AJ3085*$M3085</f>
        <v>0</v>
      </c>
      <c r="AL3085" s="28"/>
      <c r="AM3085" s="28" t="n">
        <f aca="false">AL3085*$M3085</f>
        <v>0</v>
      </c>
      <c r="AN3085" s="28"/>
      <c r="AO3085" s="28" t="n">
        <f aca="false">AN3085*$M3085</f>
        <v>0</v>
      </c>
      <c r="AP3085" s="28"/>
      <c r="AQ3085" s="28" t="n">
        <f aca="false">AP3085*$M3085</f>
        <v>0</v>
      </c>
      <c r="AR3085" s="28"/>
      <c r="AS3085" s="28" t="n">
        <f aca="false">AR3085*$M3085</f>
        <v>0</v>
      </c>
      <c r="AT3085" s="28"/>
      <c r="AU3085" s="28" t="n">
        <f aca="false">AT3085*$M3085</f>
        <v>0</v>
      </c>
      <c r="AV3085" s="28"/>
      <c r="AW3085" s="28" t="n">
        <f aca="false">AV3085*$M3085</f>
        <v>0</v>
      </c>
      <c r="AX3085" s="28"/>
      <c r="AY3085" s="28" t="n">
        <f aca="false">AX3085*$M3085</f>
        <v>0</v>
      </c>
      <c r="AZ3085" s="30" t="n">
        <f aca="false">665933/100</f>
        <v>6659.33</v>
      </c>
      <c r="BA3085" s="11" t="n">
        <v>233076</v>
      </c>
      <c r="BB3085" s="31" t="n">
        <f aca="false">SUM(Q3085,S3085,U3085,W3085,Y3085,AA3085,AC3085,AE3085,AG3085,AI3085,AK3085,AM3085,AO3085,AQ3085,AS3085,AU3085,AW3085,AY3085)</f>
        <v>233076</v>
      </c>
      <c r="BC3085" s="28" t="n">
        <f aca="false">BA3085-BB3085</f>
        <v>0</v>
      </c>
      <c r="BD3085" s="32" t="n">
        <f aca="false">SUM(P3085,R3085,T3085,V3085,X3085,Z3085,AB3085,AD3085,AF3085,AH3085,AJ3085,AL3085,AN3085,AP3085,AR3085,AT3085,AV3085,AX3085)</f>
        <v>6659.33</v>
      </c>
      <c r="BE3085" s="33" t="n">
        <f aca="false">AZ3085-BD3085</f>
        <v>0</v>
      </c>
      <c r="BF3085" s="34" t="n">
        <f aca="false">BD3085*M3085</f>
        <v>233076.55</v>
      </c>
      <c r="BG3085" s="35" t="n">
        <f aca="false">BA3085-BF3085</f>
        <v>-0.549999999959255</v>
      </c>
      <c r="BH3085" s="19" t="str">
        <f aca="false">IF(BG3085=0,"",IF(BG3085&lt;&gt;BA3085,"erreur de calcul",IF(BD3085&lt;&gt;0,"pas de prix",IF(M3085&lt;&gt; 0,"pas de quantité","pas de prix, ni de quantité"))))</f>
        <v>erreur de calcul</v>
      </c>
      <c r="BI3085" s="19"/>
    </row>
    <row r="3086" customFormat="false" ht="15" hidden="false" customHeight="false" outlineLevel="0" collapsed="false">
      <c r="A3086" s="0" t="n">
        <v>30</v>
      </c>
      <c r="B3086" s="8" t="s">
        <v>24</v>
      </c>
      <c r="C3086" s="9" t="s">
        <v>25</v>
      </c>
      <c r="D3086" s="9" t="s">
        <v>26</v>
      </c>
      <c r="E3086" s="10" t="n">
        <v>1789</v>
      </c>
      <c r="F3086" s="9" t="s">
        <v>27</v>
      </c>
      <c r="G3086" s="9" t="s">
        <v>27</v>
      </c>
      <c r="H3086" s="11" t="n">
        <v>25</v>
      </c>
      <c r="I3086" s="11" t="s">
        <v>359</v>
      </c>
      <c r="J3086" s="14"/>
      <c r="K3086" s="14"/>
      <c r="L3086" s="16"/>
      <c r="M3086" s="27" t="n">
        <f aca="false">J3086+(K3086/20)+(L3086/240)</f>
        <v>0</v>
      </c>
      <c r="N3086" s="17"/>
      <c r="O3086" s="11" t="s">
        <v>109</v>
      </c>
      <c r="P3086" s="28"/>
      <c r="Q3086" s="28" t="n">
        <f aca="false">P3086*$M3086</f>
        <v>0</v>
      </c>
      <c r="R3086" s="28"/>
      <c r="S3086" s="28" t="n">
        <f aca="false">R3086*$M3086</f>
        <v>0</v>
      </c>
      <c r="T3086" s="28"/>
      <c r="U3086" s="28" t="n">
        <f aca="false">T3086*$M3086</f>
        <v>0</v>
      </c>
      <c r="V3086" s="28"/>
      <c r="W3086" s="28" t="n">
        <f aca="false">V3086*$M3086</f>
        <v>0</v>
      </c>
      <c r="X3086" s="28"/>
      <c r="Y3086" s="28" t="n">
        <f aca="false">X3086*$M3086</f>
        <v>0</v>
      </c>
      <c r="Z3086" s="28"/>
      <c r="AA3086" s="28" t="n">
        <f aca="false">Z3086*$M3086</f>
        <v>0</v>
      </c>
      <c r="AB3086" s="28"/>
      <c r="AC3086" s="28" t="n">
        <f aca="false">AB3086*$M3086</f>
        <v>0</v>
      </c>
      <c r="AD3086" s="28"/>
      <c r="AE3086" s="28" t="n">
        <f aca="false">AD3086*$M3086</f>
        <v>0</v>
      </c>
      <c r="AF3086" s="28"/>
      <c r="AG3086" s="28" t="n">
        <f aca="false">AF3086*$M3086</f>
        <v>0</v>
      </c>
      <c r="AH3086" s="28"/>
      <c r="AI3086" s="28" t="n">
        <f aca="false">AH3086*$M3086</f>
        <v>0</v>
      </c>
      <c r="AJ3086" s="28"/>
      <c r="AK3086" s="28" t="n">
        <f aca="false">AJ3086*$M3086</f>
        <v>0</v>
      </c>
      <c r="AL3086" s="28"/>
      <c r="AM3086" s="28" t="n">
        <f aca="false">AL3086*$M3086</f>
        <v>0</v>
      </c>
      <c r="AN3086" s="28"/>
      <c r="AO3086" s="28" t="n">
        <f aca="false">AN3086*$M3086</f>
        <v>0</v>
      </c>
      <c r="AP3086" s="28"/>
      <c r="AQ3086" s="28" t="n">
        <f aca="false">AP3086*$M3086</f>
        <v>0</v>
      </c>
      <c r="AR3086" s="28"/>
      <c r="AS3086" s="28" t="n">
        <f aca="false">AR3086*$M3086</f>
        <v>0</v>
      </c>
      <c r="AT3086" s="28"/>
      <c r="AU3086" s="28" t="n">
        <f aca="false">AT3086*$M3086</f>
        <v>0</v>
      </c>
      <c r="AV3086" s="28"/>
      <c r="AW3086" s="28" t="n">
        <f aca="false">AV3086*$M3086</f>
        <v>0</v>
      </c>
      <c r="AX3086" s="28"/>
      <c r="AY3086" s="28" t="n">
        <f aca="false">AX3086*$M3086</f>
        <v>0</v>
      </c>
      <c r="AZ3086" s="30"/>
      <c r="BA3086" s="11"/>
      <c r="BB3086" s="31" t="n">
        <f aca="false">SUM(Q3086,S3086,U3086,W3086,Y3086,AA3086,AC3086,AE3086,AG3086,AI3086,AK3086,AM3086,AO3086,AQ3086,AS3086,AU3086,AW3086,AY3086)</f>
        <v>0</v>
      </c>
      <c r="BC3086" s="28" t="n">
        <f aca="false">BA3086-BB3086</f>
        <v>0</v>
      </c>
      <c r="BD3086" s="32" t="n">
        <f aca="false">SUM(P3086,R3086,T3086,V3086,X3086,Z3086,AB3086,AD3086,AF3086,AH3086,AJ3086,AL3086,AN3086,AP3086,AR3086,AT3086,AV3086,AX3086)</f>
        <v>0</v>
      </c>
      <c r="BE3086" s="33" t="n">
        <f aca="false">AZ3086-BD3086</f>
        <v>0</v>
      </c>
      <c r="BF3086" s="34" t="n">
        <f aca="false">BD3086*M3086</f>
        <v>0</v>
      </c>
      <c r="BG3086" s="35" t="n">
        <f aca="false">BA3086-BF3086</f>
        <v>0</v>
      </c>
      <c r="BH3086" s="19" t="str">
        <f aca="false">IF(BG3086=0,"",IF(BG3086&lt;&gt;BA3086,"erreur de calcul",IF(BD3086&lt;&gt;0,"pas de prix",IF(M3086&lt;&gt; 0,"pas de quantité","pas de prix, ni de quantité"))))</f>
        <v/>
      </c>
      <c r="BI3086" s="19"/>
    </row>
    <row r="3087" customFormat="false" ht="15" hidden="false" customHeight="false" outlineLevel="0" collapsed="false">
      <c r="A3087" s="0" t="n">
        <v>31</v>
      </c>
      <c r="B3087" s="8" t="s">
        <v>24</v>
      </c>
      <c r="C3087" s="9" t="s">
        <v>25</v>
      </c>
      <c r="D3087" s="9" t="s">
        <v>26</v>
      </c>
      <c r="E3087" s="10" t="n">
        <v>1789</v>
      </c>
      <c r="F3087" s="9" t="s">
        <v>27</v>
      </c>
      <c r="G3087" s="9" t="s">
        <v>27</v>
      </c>
      <c r="H3087" s="11" t="n">
        <v>25</v>
      </c>
      <c r="I3087" s="11" t="s">
        <v>359</v>
      </c>
      <c r="J3087" s="14"/>
      <c r="K3087" s="14"/>
      <c r="L3087" s="16"/>
      <c r="M3087" s="27" t="n">
        <f aca="false">J3087+(K3087/20)+(L3087/240)</f>
        <v>0</v>
      </c>
      <c r="N3087" s="17"/>
      <c r="O3087" s="11" t="s">
        <v>277</v>
      </c>
      <c r="P3087" s="28"/>
      <c r="Q3087" s="28" t="n">
        <f aca="false">P3087*$M3087</f>
        <v>0</v>
      </c>
      <c r="R3087" s="28"/>
      <c r="S3087" s="28" t="n">
        <f aca="false">R3087*$M3087</f>
        <v>0</v>
      </c>
      <c r="T3087" s="28"/>
      <c r="U3087" s="28" t="n">
        <f aca="false">T3087*$M3087</f>
        <v>0</v>
      </c>
      <c r="V3087" s="28"/>
      <c r="W3087" s="28" t="n">
        <f aca="false">V3087*$M3087</f>
        <v>0</v>
      </c>
      <c r="X3087" s="28"/>
      <c r="Y3087" s="28" t="n">
        <v>1361</v>
      </c>
      <c r="Z3087" s="28"/>
      <c r="AA3087" s="28" t="n">
        <f aca="false">Z3087*$M3087</f>
        <v>0</v>
      </c>
      <c r="AB3087" s="28"/>
      <c r="AC3087" s="28" t="n">
        <v>1182</v>
      </c>
      <c r="AD3087" s="28"/>
      <c r="AE3087" s="28" t="n">
        <v>649</v>
      </c>
      <c r="AF3087" s="28"/>
      <c r="AG3087" s="28" t="n">
        <f aca="false">AF3087*$M3087</f>
        <v>0</v>
      </c>
      <c r="AH3087" s="28"/>
      <c r="AI3087" s="28" t="n">
        <v>862</v>
      </c>
      <c r="AJ3087" s="28"/>
      <c r="AK3087" s="28" t="n">
        <f aca="false">AJ3087*$M3087</f>
        <v>0</v>
      </c>
      <c r="AL3087" s="28"/>
      <c r="AM3087" s="28" t="n">
        <f aca="false">AL3087*$M3087</f>
        <v>0</v>
      </c>
      <c r="AN3087" s="28"/>
      <c r="AO3087" s="28" t="n">
        <f aca="false">AN3087*$M3087</f>
        <v>0</v>
      </c>
      <c r="AP3087" s="28"/>
      <c r="AQ3087" s="28" t="n">
        <f aca="false">AP3087*$M3087</f>
        <v>0</v>
      </c>
      <c r="AR3087" s="28"/>
      <c r="AS3087" s="28" t="n">
        <f aca="false">AR3087*$M3087</f>
        <v>0</v>
      </c>
      <c r="AT3087" s="28"/>
      <c r="AU3087" s="28" t="n">
        <f aca="false">AT3087*$M3087</f>
        <v>0</v>
      </c>
      <c r="AV3087" s="28"/>
      <c r="AW3087" s="28" t="n">
        <f aca="false">AV3087*$M3087</f>
        <v>0</v>
      </c>
      <c r="AX3087" s="28"/>
      <c r="AY3087" s="28" t="n">
        <f aca="false">AX3087*$M3087</f>
        <v>0</v>
      </c>
      <c r="AZ3087" s="30"/>
      <c r="BA3087" s="11" t="n">
        <v>4054</v>
      </c>
      <c r="BB3087" s="31" t="n">
        <f aca="false">SUM(Q3087,S3087,U3087,W3087,Y3087,AA3087,AC3087,AE3087,AG3087,AI3087,AK3087,AM3087,AO3087,AQ3087,AS3087,AU3087,AW3087,AY3087)</f>
        <v>4054</v>
      </c>
      <c r="BC3087" s="28" t="n">
        <f aca="false">BA3087-BB3087</f>
        <v>0</v>
      </c>
      <c r="BD3087" s="32" t="n">
        <f aca="false">SUM(P3087,R3087,T3087,V3087,X3087,Z3087,AB3087,AD3087,AF3087,AH3087,AJ3087,AL3087,AN3087,AP3087,AR3087,AT3087,AV3087,AX3087)</f>
        <v>0</v>
      </c>
      <c r="BE3087" s="33" t="n">
        <f aca="false">AZ3087-BD3087</f>
        <v>0</v>
      </c>
      <c r="BF3087" s="34" t="n">
        <f aca="false">BD3087*M3087</f>
        <v>0</v>
      </c>
      <c r="BG3087" s="35" t="n">
        <f aca="false">BA3087-BF3087</f>
        <v>4054</v>
      </c>
      <c r="BH3087" s="19" t="str">
        <f aca="false">IF(BG3087=0,"",IF(BG3087&lt;&gt;BA3087,"erreur de calcul",IF(BD3087&lt;&gt;0,"pas de prix",IF(M3087&lt;&gt; 0,"pas de quantité","pas de prix, ni de quantité"))))</f>
        <v>pas de prix, ni de quantité</v>
      </c>
      <c r="BI3087" s="19"/>
    </row>
    <row r="3088" customFormat="false" ht="15" hidden="false" customHeight="false" outlineLevel="0" collapsed="false">
      <c r="A3088" s="0" t="n">
        <v>32</v>
      </c>
      <c r="B3088" s="8" t="s">
        <v>24</v>
      </c>
      <c r="C3088" s="9" t="s">
        <v>25</v>
      </c>
      <c r="D3088" s="9" t="s">
        <v>26</v>
      </c>
      <c r="E3088" s="10" t="n">
        <v>1789</v>
      </c>
      <c r="F3088" s="9" t="s">
        <v>27</v>
      </c>
      <c r="G3088" s="9" t="s">
        <v>27</v>
      </c>
      <c r="H3088" s="11" t="n">
        <v>25</v>
      </c>
      <c r="I3088" s="11" t="s">
        <v>360</v>
      </c>
      <c r="J3088" s="14" t="n">
        <v>66</v>
      </c>
      <c r="K3088" s="14"/>
      <c r="L3088" s="16"/>
      <c r="M3088" s="27" t="n">
        <f aca="false">J3088+(K3088/20)+(L3088/240)</f>
        <v>66</v>
      </c>
      <c r="N3088" s="17" t="s">
        <v>64</v>
      </c>
      <c r="O3088" s="11"/>
      <c r="P3088" s="28"/>
      <c r="Q3088" s="28" t="n">
        <f aca="false">P3088*$M3088</f>
        <v>0</v>
      </c>
      <c r="R3088" s="28"/>
      <c r="S3088" s="28" t="n">
        <f aca="false">R3088*$M3088</f>
        <v>0</v>
      </c>
      <c r="T3088" s="28"/>
      <c r="U3088" s="28" t="n">
        <f aca="false">T3088*$M3088</f>
        <v>0</v>
      </c>
      <c r="V3088" s="28"/>
      <c r="W3088" s="28" t="n">
        <f aca="false">V3088*$M3088</f>
        <v>0</v>
      </c>
      <c r="X3088" s="28"/>
      <c r="Y3088" s="28" t="n">
        <f aca="false">X3088*$M3088</f>
        <v>0</v>
      </c>
      <c r="Z3088" s="28"/>
      <c r="AA3088" s="28" t="n">
        <f aca="false">Z3088*$M3088</f>
        <v>0</v>
      </c>
      <c r="AB3088" s="28"/>
      <c r="AC3088" s="28" t="n">
        <f aca="false">AB3088*$M3088</f>
        <v>0</v>
      </c>
      <c r="AD3088" s="28"/>
      <c r="AE3088" s="28" t="n">
        <f aca="false">AD3088*$M3088</f>
        <v>0</v>
      </c>
      <c r="AF3088" s="28"/>
      <c r="AG3088" s="28" t="n">
        <f aca="false">AF3088*$M3088</f>
        <v>0</v>
      </c>
      <c r="AH3088" s="28" t="n">
        <f aca="false">75475/100</f>
        <v>754.75</v>
      </c>
      <c r="AI3088" s="28" t="n">
        <v>49813</v>
      </c>
      <c r="AJ3088" s="28"/>
      <c r="AK3088" s="28" t="n">
        <f aca="false">AJ3088*$M3088</f>
        <v>0</v>
      </c>
      <c r="AL3088" s="28"/>
      <c r="AM3088" s="28" t="n">
        <f aca="false">AL3088*$M3088</f>
        <v>0</v>
      </c>
      <c r="AN3088" s="28"/>
      <c r="AO3088" s="28" t="n">
        <f aca="false">AN3088*$M3088</f>
        <v>0</v>
      </c>
      <c r="AP3088" s="28"/>
      <c r="AQ3088" s="28" t="n">
        <f aca="false">AP3088*$M3088</f>
        <v>0</v>
      </c>
      <c r="AR3088" s="28"/>
      <c r="AS3088" s="28" t="n">
        <f aca="false">AR3088*$M3088</f>
        <v>0</v>
      </c>
      <c r="AT3088" s="28"/>
      <c r="AU3088" s="28" t="n">
        <f aca="false">AT3088*$M3088</f>
        <v>0</v>
      </c>
      <c r="AV3088" s="28"/>
      <c r="AW3088" s="28" t="n">
        <f aca="false">AV3088*$M3088</f>
        <v>0</v>
      </c>
      <c r="AX3088" s="28"/>
      <c r="AY3088" s="28" t="n">
        <f aca="false">AX3088*$M3088</f>
        <v>0</v>
      </c>
      <c r="AZ3088" s="30" t="n">
        <f aca="false">75475/100</f>
        <v>754.75</v>
      </c>
      <c r="BA3088" s="11" t="n">
        <v>49813</v>
      </c>
      <c r="BB3088" s="31" t="n">
        <f aca="false">SUM(Q3088,S3088,U3088,W3088,Y3088,AA3088,AC3088,AE3088,AG3088,AI3088,AK3088,AM3088,AO3088,AQ3088,AS3088,AU3088,AW3088,AY3088)</f>
        <v>49813</v>
      </c>
      <c r="BC3088" s="28" t="n">
        <f aca="false">BA3088-BB3088</f>
        <v>0</v>
      </c>
      <c r="BD3088" s="32" t="n">
        <f aca="false">SUM(P3088,R3088,T3088,V3088,X3088,Z3088,AB3088,AD3088,AF3088,AH3088,AJ3088,AL3088,AN3088,AP3088,AR3088,AT3088,AV3088,AX3088)</f>
        <v>754.75</v>
      </c>
      <c r="BE3088" s="33" t="n">
        <f aca="false">AZ3088-BD3088</f>
        <v>0</v>
      </c>
      <c r="BF3088" s="34" t="n">
        <f aca="false">BD3088*M3088</f>
        <v>49813.5</v>
      </c>
      <c r="BG3088" s="35" t="n">
        <f aca="false">BA3088-BF3088</f>
        <v>-0.5</v>
      </c>
      <c r="BH3088" s="19" t="str">
        <f aca="false">IF(BG3088=0,"",IF(BG3088&lt;&gt;BA3088,"erreur de calcul",IF(BD3088&lt;&gt;0,"pas de prix",IF(M3088&lt;&gt; 0,"pas de quantité","pas de prix, ni de quantité"))))</f>
        <v>erreur de calcul</v>
      </c>
      <c r="BI3088" s="19"/>
    </row>
    <row r="3089" customFormat="false" ht="15" hidden="false" customHeight="false" outlineLevel="0" collapsed="false">
      <c r="A3089" s="0" t="n">
        <v>33</v>
      </c>
      <c r="B3089" s="8" t="s">
        <v>24</v>
      </c>
      <c r="C3089" s="9" t="s">
        <v>25</v>
      </c>
      <c r="D3089" s="9" t="s">
        <v>26</v>
      </c>
      <c r="E3089" s="10" t="n">
        <v>1789</v>
      </c>
      <c r="F3089" s="9" t="s">
        <v>27</v>
      </c>
      <c r="G3089" s="9" t="s">
        <v>27</v>
      </c>
      <c r="H3089" s="11" t="n">
        <v>25</v>
      </c>
      <c r="I3089" s="11" t="s">
        <v>361</v>
      </c>
      <c r="J3089" s="14" t="n">
        <v>175</v>
      </c>
      <c r="K3089" s="14"/>
      <c r="L3089" s="16"/>
      <c r="M3089" s="27" t="n">
        <f aca="false">J3089+(K3089/20)+(L3089/240)</f>
        <v>175</v>
      </c>
      <c r="N3089" s="17" t="s">
        <v>64</v>
      </c>
      <c r="O3089" s="11" t="s">
        <v>77</v>
      </c>
      <c r="P3089" s="28" t="n">
        <f aca="false">1514/100</f>
        <v>15.14</v>
      </c>
      <c r="Q3089" s="28" t="n">
        <v>2649</v>
      </c>
      <c r="R3089" s="28"/>
      <c r="S3089" s="28" t="n">
        <f aca="false">R3089*$M3089</f>
        <v>0</v>
      </c>
      <c r="T3089" s="28" t="n">
        <f aca="false">170926/100</f>
        <v>1709.26</v>
      </c>
      <c r="U3089" s="28" t="n">
        <v>299120</v>
      </c>
      <c r="V3089" s="28" t="n">
        <f aca="false">16985/100</f>
        <v>169.85</v>
      </c>
      <c r="W3089" s="28" t="n">
        <v>29724</v>
      </c>
      <c r="X3089" s="28" t="n">
        <f aca="false">4530/100</f>
        <v>45.3</v>
      </c>
      <c r="Y3089" s="28" t="n">
        <v>7927</v>
      </c>
      <c r="Z3089" s="28"/>
      <c r="AA3089" s="28" t="n">
        <f aca="false">Z3089*$M3089</f>
        <v>0</v>
      </c>
      <c r="AB3089" s="28" t="n">
        <f aca="false">33770/100</f>
        <v>337.7</v>
      </c>
      <c r="AC3089" s="28" t="n">
        <v>59097</v>
      </c>
      <c r="AD3089" s="28"/>
      <c r="AE3089" s="28" t="n">
        <f aca="false">AD3089*$M3089</f>
        <v>0</v>
      </c>
      <c r="AF3089" s="28" t="n">
        <f aca="false">4712/100</f>
        <v>47.12</v>
      </c>
      <c r="AG3089" s="28" t="n">
        <v>8246</v>
      </c>
      <c r="AH3089" s="28" t="n">
        <f aca="false">55822/100</f>
        <v>558.22</v>
      </c>
      <c r="AI3089" s="28" t="n">
        <v>97688</v>
      </c>
      <c r="AJ3089" s="28"/>
      <c r="AK3089" s="28" t="n">
        <f aca="false">AJ3089*$M3089</f>
        <v>0</v>
      </c>
      <c r="AL3089" s="28"/>
      <c r="AM3089" s="28" t="n">
        <f aca="false">AL3089*$M3089</f>
        <v>0</v>
      </c>
      <c r="AN3089" s="28"/>
      <c r="AO3089" s="28" t="n">
        <f aca="false">AN3089*$M3089</f>
        <v>0</v>
      </c>
      <c r="AP3089" s="28"/>
      <c r="AQ3089" s="28" t="n">
        <f aca="false">AP3089*$M3089</f>
        <v>0</v>
      </c>
      <c r="AR3089" s="28"/>
      <c r="AS3089" s="28" t="n">
        <f aca="false">AR3089*$M3089</f>
        <v>0</v>
      </c>
      <c r="AT3089" s="28"/>
      <c r="AU3089" s="28" t="n">
        <f aca="false">AT3089*$M3089</f>
        <v>0</v>
      </c>
      <c r="AV3089" s="28"/>
      <c r="AW3089" s="28" t="n">
        <f aca="false">AV3089*$M3089</f>
        <v>0</v>
      </c>
      <c r="AX3089" s="28"/>
      <c r="AY3089" s="28" t="n">
        <f aca="false">AX3089*$M3089</f>
        <v>0</v>
      </c>
      <c r="AZ3089" s="30" t="n">
        <f aca="false">288259/100</f>
        <v>2882.59</v>
      </c>
      <c r="BA3089" s="11" t="n">
        <v>504451</v>
      </c>
      <c r="BB3089" s="31" t="n">
        <f aca="false">SUM(Q3089,S3089,U3089,W3089,Y3089,AA3089,AC3089,AE3089,AG3089,AI3089,AK3089,AM3089,AO3089,AQ3089,AS3089,AU3089,AW3089,AY3089)</f>
        <v>504451</v>
      </c>
      <c r="BC3089" s="28" t="n">
        <f aca="false">BA3089-BB3089</f>
        <v>0</v>
      </c>
      <c r="BD3089" s="32" t="n">
        <f aca="false">SUM(P3089,R3089,T3089,V3089,X3089,Z3089,AB3089,AD3089,AF3089,AH3089,AJ3089,AL3089,AN3089,AP3089,AR3089,AT3089,AV3089,AX3089)</f>
        <v>2882.59</v>
      </c>
      <c r="BE3089" s="33" t="n">
        <f aca="false">AZ3089-BD3089</f>
        <v>0</v>
      </c>
      <c r="BF3089" s="34" t="n">
        <f aca="false">BD3089*M3089</f>
        <v>504453.25</v>
      </c>
      <c r="BG3089" s="35" t="n">
        <f aca="false">BA3089-BF3089</f>
        <v>-2.24999999994179</v>
      </c>
      <c r="BH3089" s="19" t="str">
        <f aca="false">IF(BG3089=0,"",IF(BG3089&lt;&gt;BA3089,"erreur de calcul",IF(BD3089&lt;&gt;0,"pas de prix",IF(M3089&lt;&gt; 0,"pas de quantité","pas de prix, ni de quantité"))))</f>
        <v>erreur de calcul</v>
      </c>
      <c r="BI3089" s="19"/>
    </row>
    <row r="3090" customFormat="false" ht="15" hidden="false" customHeight="false" outlineLevel="0" collapsed="false">
      <c r="A3090" s="0" t="n">
        <v>34</v>
      </c>
      <c r="B3090" s="8" t="s">
        <v>24</v>
      </c>
      <c r="C3090" s="9" t="s">
        <v>25</v>
      </c>
      <c r="D3090" s="9" t="s">
        <v>26</v>
      </c>
      <c r="E3090" s="10" t="n">
        <v>1789</v>
      </c>
      <c r="F3090" s="9" t="s">
        <v>27</v>
      </c>
      <c r="G3090" s="9" t="s">
        <v>27</v>
      </c>
      <c r="H3090" s="11" t="n">
        <v>25</v>
      </c>
      <c r="I3090" s="11" t="s">
        <v>362</v>
      </c>
      <c r="J3090" s="14" t="n">
        <v>150</v>
      </c>
      <c r="K3090" s="14"/>
      <c r="L3090" s="16"/>
      <c r="M3090" s="27" t="n">
        <f aca="false">J3090+(K3090/20)+(L3090/240)</f>
        <v>150</v>
      </c>
      <c r="N3090" s="17" t="s">
        <v>64</v>
      </c>
      <c r="O3090" s="11"/>
      <c r="P3090" s="28"/>
      <c r="Q3090" s="28" t="n">
        <f aca="false">P3090*$M3090</f>
        <v>0</v>
      </c>
      <c r="R3090" s="28"/>
      <c r="S3090" s="28" t="n">
        <f aca="false">R3090*$M3090</f>
        <v>0</v>
      </c>
      <c r="T3090" s="28" t="n">
        <f aca="false">1842/100</f>
        <v>18.42</v>
      </c>
      <c r="U3090" s="28" t="n">
        <v>2763</v>
      </c>
      <c r="V3090" s="28" t="n">
        <f aca="false">684/100</f>
        <v>6.84</v>
      </c>
      <c r="W3090" s="28" t="n">
        <v>1026</v>
      </c>
      <c r="X3090" s="28"/>
      <c r="Y3090" s="28" t="n">
        <f aca="false">X3090*$M3090</f>
        <v>0</v>
      </c>
      <c r="Z3090" s="28"/>
      <c r="AA3090" s="28" t="n">
        <f aca="false">Z3090*$M3090</f>
        <v>0</v>
      </c>
      <c r="AB3090" s="28"/>
      <c r="AC3090" s="28" t="n">
        <f aca="false">AB3090*$M3090</f>
        <v>0</v>
      </c>
      <c r="AD3090" s="28"/>
      <c r="AE3090" s="28" t="n">
        <f aca="false">AD3090*$M3090</f>
        <v>0</v>
      </c>
      <c r="AF3090" s="28"/>
      <c r="AG3090" s="28" t="n">
        <f aca="false">AF3090*$M3090</f>
        <v>0</v>
      </c>
      <c r="AH3090" s="28"/>
      <c r="AI3090" s="28" t="n">
        <f aca="false">AH3090*$M3090</f>
        <v>0</v>
      </c>
      <c r="AJ3090" s="28"/>
      <c r="AK3090" s="28" t="n">
        <f aca="false">AJ3090*$M3090</f>
        <v>0</v>
      </c>
      <c r="AL3090" s="28"/>
      <c r="AM3090" s="28" t="n">
        <f aca="false">AL3090*$M3090</f>
        <v>0</v>
      </c>
      <c r="AN3090" s="28"/>
      <c r="AO3090" s="28" t="n">
        <f aca="false">AN3090*$M3090</f>
        <v>0</v>
      </c>
      <c r="AP3090" s="28"/>
      <c r="AQ3090" s="28" t="n">
        <f aca="false">AP3090*$M3090</f>
        <v>0</v>
      </c>
      <c r="AR3090" s="28"/>
      <c r="AS3090" s="28" t="n">
        <f aca="false">AR3090*$M3090</f>
        <v>0</v>
      </c>
      <c r="AT3090" s="28"/>
      <c r="AU3090" s="28" t="n">
        <f aca="false">AT3090*$M3090</f>
        <v>0</v>
      </c>
      <c r="AV3090" s="28"/>
      <c r="AW3090" s="28" t="n">
        <f aca="false">AV3090*$M3090</f>
        <v>0</v>
      </c>
      <c r="AX3090" s="28"/>
      <c r="AY3090" s="28" t="n">
        <f aca="false">AX3090*$M3090</f>
        <v>0</v>
      </c>
      <c r="AZ3090" s="30" t="n">
        <f aca="false">2526/100</f>
        <v>25.26</v>
      </c>
      <c r="BA3090" s="11" t="n">
        <v>3789</v>
      </c>
      <c r="BB3090" s="31" t="n">
        <f aca="false">SUM(Q3090,S3090,U3090,W3090,Y3090,AA3090,AC3090,AE3090,AG3090,AI3090,AK3090,AM3090,AO3090,AQ3090,AS3090,AU3090,AW3090,AY3090)</f>
        <v>3789</v>
      </c>
      <c r="BC3090" s="28" t="n">
        <f aca="false">BA3090-BB3090</f>
        <v>0</v>
      </c>
      <c r="BD3090" s="32" t="n">
        <f aca="false">SUM(P3090,R3090,T3090,V3090,X3090,Z3090,AB3090,AD3090,AF3090,AH3090,AJ3090,AL3090,AN3090,AP3090,AR3090,AT3090,AV3090,AX3090)</f>
        <v>25.26</v>
      </c>
      <c r="BE3090" s="33" t="n">
        <f aca="false">AZ3090-BD3090</f>
        <v>0</v>
      </c>
      <c r="BF3090" s="34" t="n">
        <f aca="false">BD3090*M3090</f>
        <v>3789</v>
      </c>
      <c r="BG3090" s="35" t="n">
        <f aca="false">BA3090-BF3090</f>
        <v>0</v>
      </c>
      <c r="BH3090" s="19" t="str">
        <f aca="false">IF(BG3090=0,"",IF(BG3090&lt;&gt;BA3090,"erreur de calcul",IF(BD3090&lt;&gt;0,"pas de prix",IF(M3090&lt;&gt; 0,"pas de quantité","pas de prix, ni de quantité"))))</f>
        <v/>
      </c>
      <c r="BI3090" s="19"/>
    </row>
    <row r="3091" customFormat="false" ht="15" hidden="false" customHeight="false" outlineLevel="0" collapsed="false">
      <c r="A3091" s="0" t="n">
        <v>35</v>
      </c>
      <c r="B3091" s="8" t="s">
        <v>24</v>
      </c>
      <c r="C3091" s="9" t="s">
        <v>25</v>
      </c>
      <c r="D3091" s="9" t="s">
        <v>26</v>
      </c>
      <c r="E3091" s="10" t="n">
        <v>1789</v>
      </c>
      <c r="F3091" s="9" t="s">
        <v>27</v>
      </c>
      <c r="G3091" s="9" t="s">
        <v>27</v>
      </c>
      <c r="H3091" s="11" t="n">
        <v>25</v>
      </c>
      <c r="I3091" s="11" t="s">
        <v>363</v>
      </c>
      <c r="J3091" s="14" t="n">
        <v>150</v>
      </c>
      <c r="K3091" s="14"/>
      <c r="L3091" s="16"/>
      <c r="M3091" s="27" t="n">
        <f aca="false">J3091+(K3091/20)+(L3091/240)</f>
        <v>150</v>
      </c>
      <c r="N3091" s="17" t="s">
        <v>64</v>
      </c>
      <c r="O3091" s="11" t="s">
        <v>77</v>
      </c>
      <c r="P3091" s="28"/>
      <c r="Q3091" s="28" t="n">
        <f aca="false">P3091*$M3091</f>
        <v>0</v>
      </c>
      <c r="R3091" s="28"/>
      <c r="S3091" s="28" t="n">
        <f aca="false">R3091*$M3091</f>
        <v>0</v>
      </c>
      <c r="T3091" s="28"/>
      <c r="U3091" s="28" t="n">
        <f aca="false">T3091*$M3091</f>
        <v>0</v>
      </c>
      <c r="V3091" s="28" t="n">
        <f aca="false">1501/100</f>
        <v>15.01</v>
      </c>
      <c r="W3091" s="28" t="n">
        <v>2251</v>
      </c>
      <c r="X3091" s="28"/>
      <c r="Y3091" s="28" t="n">
        <f aca="false">X3091*$M3091</f>
        <v>0</v>
      </c>
      <c r="Z3091" s="28" t="n">
        <f aca="false">6420/100</f>
        <v>64.2</v>
      </c>
      <c r="AA3091" s="28" t="n">
        <v>9630</v>
      </c>
      <c r="AB3091" s="28"/>
      <c r="AC3091" s="28" t="n">
        <f aca="false">AB3091*$M3091</f>
        <v>0</v>
      </c>
      <c r="AD3091" s="28"/>
      <c r="AE3091" s="28" t="n">
        <f aca="false">AD3091*$M3091</f>
        <v>0</v>
      </c>
      <c r="AF3091" s="28"/>
      <c r="AG3091" s="28" t="n">
        <f aca="false">AF3091*$M3091</f>
        <v>0</v>
      </c>
      <c r="AH3091" s="28" t="n">
        <f aca="false">138039/100</f>
        <v>1380.39</v>
      </c>
      <c r="AI3091" s="28" t="n">
        <v>207058</v>
      </c>
      <c r="AJ3091" s="28"/>
      <c r="AK3091" s="28" t="n">
        <f aca="false">AJ3091*$M3091</f>
        <v>0</v>
      </c>
      <c r="AL3091" s="28" t="n">
        <f aca="false">917/100</f>
        <v>9.17</v>
      </c>
      <c r="AM3091" s="28" t="n">
        <v>1375</v>
      </c>
      <c r="AN3091" s="28"/>
      <c r="AO3091" s="28" t="n">
        <f aca="false">AN3091*$M3091</f>
        <v>0</v>
      </c>
      <c r="AP3091" s="28"/>
      <c r="AQ3091" s="28" t="n">
        <f aca="false">AP3091*$M3091</f>
        <v>0</v>
      </c>
      <c r="AR3091" s="28"/>
      <c r="AS3091" s="28" t="n">
        <f aca="false">AR3091*$M3091</f>
        <v>0</v>
      </c>
      <c r="AT3091" s="28"/>
      <c r="AU3091" s="28" t="n">
        <f aca="false">AT3091*$M3091</f>
        <v>0</v>
      </c>
      <c r="AV3091" s="28"/>
      <c r="AW3091" s="28" t="n">
        <f aca="false">AV3091*$M3091</f>
        <v>0</v>
      </c>
      <c r="AX3091" s="28"/>
      <c r="AY3091" s="28" t="n">
        <f aca="false">AX3091*$M3091</f>
        <v>0</v>
      </c>
      <c r="AZ3091" s="30" t="n">
        <f aca="false">146877/100</f>
        <v>1468.77</v>
      </c>
      <c r="BA3091" s="11" t="n">
        <v>220314</v>
      </c>
      <c r="BB3091" s="31" t="n">
        <f aca="false">SUM(Q3091,S3091,U3091,W3091,Y3091,AA3091,AC3091,AE3091,AG3091,AI3091,AK3091,AM3091,AO3091,AQ3091,AS3091,AU3091,AW3091,AY3091)</f>
        <v>220314</v>
      </c>
      <c r="BC3091" s="28" t="n">
        <f aca="false">BA3091-BB3091</f>
        <v>0</v>
      </c>
      <c r="BD3091" s="32" t="n">
        <f aca="false">SUM(P3091,R3091,T3091,V3091,X3091,Z3091,AB3091,AD3091,AF3091,AH3091,AJ3091,AL3091,AN3091,AP3091,AR3091,AT3091,AV3091,AX3091)</f>
        <v>1468.77</v>
      </c>
      <c r="BE3091" s="33" t="n">
        <f aca="false">AZ3091-BD3091</f>
        <v>0</v>
      </c>
      <c r="BF3091" s="34" t="n">
        <f aca="false">BD3091*M3091</f>
        <v>220315.5</v>
      </c>
      <c r="BG3091" s="35" t="n">
        <f aca="false">BA3091-BF3091</f>
        <v>-1.5000000000291</v>
      </c>
      <c r="BH3091" s="19" t="str">
        <f aca="false">IF(BG3091=0,"",IF(BG3091&lt;&gt;BA3091,"erreur de calcul",IF(BD3091&lt;&gt;0,"pas de prix",IF(M3091&lt;&gt; 0,"pas de quantité","pas de prix, ni de quantité"))))</f>
        <v>erreur de calcul</v>
      </c>
      <c r="BI3091" s="19"/>
    </row>
    <row r="3092" customFormat="false" ht="15" hidden="false" customHeight="false" outlineLevel="0" collapsed="false">
      <c r="A3092" s="0" t="n">
        <v>36</v>
      </c>
      <c r="B3092" s="8" t="s">
        <v>24</v>
      </c>
      <c r="C3092" s="9" t="s">
        <v>25</v>
      </c>
      <c r="D3092" s="9" t="s">
        <v>26</v>
      </c>
      <c r="E3092" s="10" t="n">
        <v>1789</v>
      </c>
      <c r="F3092" s="9" t="s">
        <v>27</v>
      </c>
      <c r="G3092" s="9" t="s">
        <v>27</v>
      </c>
      <c r="H3092" s="11" t="n">
        <v>25</v>
      </c>
      <c r="I3092" s="11" t="s">
        <v>364</v>
      </c>
      <c r="J3092" s="14" t="n">
        <v>122</v>
      </c>
      <c r="K3092" s="14"/>
      <c r="L3092" s="16"/>
      <c r="M3092" s="27" t="n">
        <f aca="false">J3092+(K3092/20)+(L3092/240)</f>
        <v>122</v>
      </c>
      <c r="N3092" s="17" t="s">
        <v>64</v>
      </c>
      <c r="O3092" s="11" t="s">
        <v>77</v>
      </c>
      <c r="P3092" s="28" t="n">
        <f aca="false">2402/100</f>
        <v>24.02</v>
      </c>
      <c r="Q3092" s="28" t="n">
        <v>2930</v>
      </c>
      <c r="R3092" s="28"/>
      <c r="S3092" s="28" t="n">
        <f aca="false">R3092*$M3092</f>
        <v>0</v>
      </c>
      <c r="T3092" s="28" t="n">
        <f aca="false">3566/100</f>
        <v>35.66</v>
      </c>
      <c r="U3092" s="36" t="n">
        <v>4550</v>
      </c>
      <c r="V3092" s="28" t="n">
        <f aca="false">917/100</f>
        <v>9.17</v>
      </c>
      <c r="W3092" s="28" t="n">
        <v>1119</v>
      </c>
      <c r="X3092" s="28"/>
      <c r="Y3092" s="28" t="n">
        <f aca="false">X3092*$M3092</f>
        <v>0</v>
      </c>
      <c r="Z3092" s="28"/>
      <c r="AA3092" s="28" t="n">
        <f aca="false">Z3092*$M3092</f>
        <v>0</v>
      </c>
      <c r="AB3092" s="28" t="n">
        <f aca="false">28087/100</f>
        <v>280.87</v>
      </c>
      <c r="AC3092" s="28" t="n">
        <v>34266</v>
      </c>
      <c r="AD3092" s="28" t="n">
        <f aca="false">1505/100</f>
        <v>15.05</v>
      </c>
      <c r="AE3092" s="28" t="n">
        <v>1836</v>
      </c>
      <c r="AF3092" s="28"/>
      <c r="AG3092" s="28" t="n">
        <f aca="false">AF3092*$M3092</f>
        <v>0</v>
      </c>
      <c r="AH3092" s="28" t="n">
        <f aca="false">15314/100</f>
        <v>153.14</v>
      </c>
      <c r="AI3092" s="28" t="n">
        <v>18683</v>
      </c>
      <c r="AJ3092" s="28"/>
      <c r="AK3092" s="28" t="n">
        <f aca="false">AJ3092*$M3092</f>
        <v>0</v>
      </c>
      <c r="AL3092" s="28"/>
      <c r="AM3092" s="28" t="n">
        <f aca="false">AL3092*$M3092</f>
        <v>0</v>
      </c>
      <c r="AN3092" s="28"/>
      <c r="AO3092" s="28" t="n">
        <f aca="false">AN3092*$M3092</f>
        <v>0</v>
      </c>
      <c r="AP3092" s="28"/>
      <c r="AQ3092" s="28" t="n">
        <f aca="false">AP3092*$M3092</f>
        <v>0</v>
      </c>
      <c r="AR3092" s="28"/>
      <c r="AS3092" s="28" t="n">
        <f aca="false">AR3092*$M3092</f>
        <v>0</v>
      </c>
      <c r="AT3092" s="28"/>
      <c r="AU3092" s="28" t="n">
        <f aca="false">AT3092*$M3092</f>
        <v>0</v>
      </c>
      <c r="AV3092" s="28"/>
      <c r="AW3092" s="28" t="n">
        <f aca="false">AV3092*$M3092</f>
        <v>0</v>
      </c>
      <c r="AX3092" s="28"/>
      <c r="AY3092" s="28" t="n">
        <f aca="false">AX3092*$M3092</f>
        <v>0</v>
      </c>
      <c r="AZ3092" s="30" t="n">
        <f aca="false">51791/100</f>
        <v>517.91</v>
      </c>
      <c r="BA3092" s="11" t="n">
        <v>63384</v>
      </c>
      <c r="BB3092" s="31" t="n">
        <f aca="false">SUM(Q3092,S3092,U3092,W3092,Y3092,AA3092,AC3092,AE3092,AG3092,AI3092,AK3092,AM3092,AO3092,AQ3092,AS3092,AU3092,AW3092,AY3092)</f>
        <v>63384</v>
      </c>
      <c r="BC3092" s="28" t="n">
        <f aca="false">BA3092-BB3092</f>
        <v>0</v>
      </c>
      <c r="BD3092" s="32" t="n">
        <f aca="false">SUM(P3092,R3092,T3092,V3092,X3092,Z3092,AB3092,AD3092,AF3092,AH3092,AJ3092,AL3092,AN3092,AP3092,AR3092,AT3092,AV3092,AX3092)</f>
        <v>517.91</v>
      </c>
      <c r="BE3092" s="33" t="n">
        <f aca="false">AZ3092-BD3092</f>
        <v>0</v>
      </c>
      <c r="BF3092" s="34" t="n">
        <f aca="false">BD3092*M3092</f>
        <v>63185.02</v>
      </c>
      <c r="BG3092" s="35" t="n">
        <f aca="false">BA3092-BF3092</f>
        <v>198.980000000003</v>
      </c>
      <c r="BH3092" s="19" t="str">
        <f aca="false">IF(BG3092=0,"",IF(BG3092&lt;&gt;BA3092,"erreur de calcul",IF(BD3092&lt;&gt;0,"pas de prix",IF(M3092&lt;&gt; 0,"pas de quantité","pas de prix, ni de quantité"))))</f>
        <v>erreur de calcul</v>
      </c>
      <c r="BI3092" s="19"/>
    </row>
    <row r="3093" customFormat="false" ht="15" hidden="false" customHeight="false" outlineLevel="0" collapsed="false">
      <c r="A3093" s="0" t="n">
        <v>37</v>
      </c>
      <c r="B3093" s="8" t="s">
        <v>24</v>
      </c>
      <c r="C3093" s="9" t="s">
        <v>25</v>
      </c>
      <c r="D3093" s="9" t="s">
        <v>26</v>
      </c>
      <c r="E3093" s="10" t="n">
        <v>1789</v>
      </c>
      <c r="F3093" s="9" t="s">
        <v>27</v>
      </c>
      <c r="G3093" s="9" t="s">
        <v>27</v>
      </c>
      <c r="H3093" s="11" t="n">
        <v>25</v>
      </c>
      <c r="I3093" s="11" t="s">
        <v>365</v>
      </c>
      <c r="J3093" s="14" t="n">
        <v>107</v>
      </c>
      <c r="K3093" s="14"/>
      <c r="L3093" s="16"/>
      <c r="M3093" s="27" t="n">
        <f aca="false">J3093+(K3093/20)+(L3093/240)</f>
        <v>107</v>
      </c>
      <c r="N3093" s="17" t="s">
        <v>64</v>
      </c>
      <c r="O3093" s="11" t="s">
        <v>77</v>
      </c>
      <c r="P3093" s="28"/>
      <c r="Q3093" s="28" t="n">
        <f aca="false">P3093*$M3093</f>
        <v>0</v>
      </c>
      <c r="R3093" s="28"/>
      <c r="S3093" s="28" t="n">
        <f aca="false">R3093*$M3093</f>
        <v>0</v>
      </c>
      <c r="T3093" s="28" t="n">
        <f aca="false">1834/100</f>
        <v>18.34</v>
      </c>
      <c r="U3093" s="28" t="n">
        <v>1962</v>
      </c>
      <c r="V3093" s="28"/>
      <c r="W3093" s="28" t="n">
        <f aca="false">V3093*$M3093</f>
        <v>0</v>
      </c>
      <c r="X3093" s="28"/>
      <c r="Y3093" s="28" t="n">
        <f aca="false">X3093*$M3093</f>
        <v>0</v>
      </c>
      <c r="Z3093" s="28"/>
      <c r="AA3093" s="28" t="n">
        <f aca="false">Z3093*$M3093</f>
        <v>0</v>
      </c>
      <c r="AB3093" s="28"/>
      <c r="AC3093" s="28" t="n">
        <f aca="false">AB3093*$M3093</f>
        <v>0</v>
      </c>
      <c r="AD3093" s="28"/>
      <c r="AE3093" s="28" t="n">
        <f aca="false">AD3093*$M3093</f>
        <v>0</v>
      </c>
      <c r="AF3093" s="28" t="n">
        <f aca="false">5202/100</f>
        <v>52.02</v>
      </c>
      <c r="AG3093" s="28" t="n">
        <v>5566</v>
      </c>
      <c r="AH3093" s="28"/>
      <c r="AI3093" s="28" t="n">
        <f aca="false">AH3093*$M3093</f>
        <v>0</v>
      </c>
      <c r="AJ3093" s="28" t="n">
        <f aca="false">3209/100</f>
        <v>32.09</v>
      </c>
      <c r="AK3093" s="28" t="n">
        <v>3434</v>
      </c>
      <c r="AL3093" s="28" t="n">
        <f aca="false">80682/100</f>
        <v>806.82</v>
      </c>
      <c r="AM3093" s="28" t="n">
        <v>86329</v>
      </c>
      <c r="AN3093" s="28"/>
      <c r="AO3093" s="28" t="n">
        <f aca="false">AN3093*$M3093</f>
        <v>0</v>
      </c>
      <c r="AP3093" s="28"/>
      <c r="AQ3093" s="28" t="n">
        <f aca="false">AP3093*$M3093</f>
        <v>0</v>
      </c>
      <c r="AR3093" s="28"/>
      <c r="AS3093" s="28" t="n">
        <f aca="false">AR3093*$M3093</f>
        <v>0</v>
      </c>
      <c r="AT3093" s="28"/>
      <c r="AU3093" s="28" t="n">
        <f aca="false">AT3093*$M3093</f>
        <v>0</v>
      </c>
      <c r="AV3093" s="28"/>
      <c r="AW3093" s="28" t="n">
        <f aca="false">AV3093*$M3093</f>
        <v>0</v>
      </c>
      <c r="AX3093" s="28"/>
      <c r="AY3093" s="28" t="n">
        <f aca="false">AX3093*$M3093</f>
        <v>0</v>
      </c>
      <c r="AZ3093" s="30" t="n">
        <f aca="false">90927/100</f>
        <v>909.27</v>
      </c>
      <c r="BA3093" s="11" t="n">
        <v>97291</v>
      </c>
      <c r="BB3093" s="31" t="n">
        <f aca="false">SUM(Q3093,S3093,U3093,W3093,Y3093,AA3093,AC3093,AE3093,AG3093,AI3093,AK3093,AM3093,AO3093,AQ3093,AS3093,AU3093,AW3093,AY3093)</f>
        <v>97291</v>
      </c>
      <c r="BC3093" s="28" t="n">
        <f aca="false">BA3093-BB3093</f>
        <v>0</v>
      </c>
      <c r="BD3093" s="32" t="n">
        <f aca="false">SUM(P3093,R3093,T3093,V3093,X3093,Z3093,AB3093,AD3093,AF3093,AH3093,AJ3093,AL3093,AN3093,AP3093,AR3093,AT3093,AV3093,AX3093)</f>
        <v>909.27</v>
      </c>
      <c r="BE3093" s="33" t="n">
        <f aca="false">AZ3093-BD3093</f>
        <v>0</v>
      </c>
      <c r="BF3093" s="34" t="n">
        <f aca="false">BD3093*M3093</f>
        <v>97291.89</v>
      </c>
      <c r="BG3093" s="35" t="n">
        <f aca="false">BA3093-BF3093</f>
        <v>-0.89000000001397</v>
      </c>
      <c r="BH3093" s="19" t="str">
        <f aca="false">IF(BG3093=0,"",IF(BG3093&lt;&gt;BA3093,"erreur de calcul",IF(BD3093&lt;&gt;0,"pas de prix",IF(M3093&lt;&gt; 0,"pas de quantité","pas de prix, ni de quantité"))))</f>
        <v>erreur de calcul</v>
      </c>
      <c r="BI3093" s="19"/>
    </row>
    <row r="3094" customFormat="false" ht="15" hidden="false" customHeight="false" outlineLevel="0" collapsed="false">
      <c r="A3094" s="0" t="n">
        <v>38</v>
      </c>
      <c r="B3094" s="8" t="s">
        <v>24</v>
      </c>
      <c r="C3094" s="9" t="s">
        <v>25</v>
      </c>
      <c r="D3094" s="9" t="s">
        <v>26</v>
      </c>
      <c r="E3094" s="10" t="n">
        <v>1789</v>
      </c>
      <c r="F3094" s="9" t="s">
        <v>27</v>
      </c>
      <c r="G3094" s="9" t="s">
        <v>27</v>
      </c>
      <c r="H3094" s="11" t="n">
        <v>25</v>
      </c>
      <c r="I3094" s="11" t="s">
        <v>366</v>
      </c>
      <c r="J3094" s="14"/>
      <c r="K3094" s="14"/>
      <c r="L3094" s="16"/>
      <c r="M3094" s="27" t="n">
        <f aca="false">J3094+(K3094/20)+(L3094/240)</f>
        <v>0</v>
      </c>
      <c r="N3094" s="17" t="s">
        <v>66</v>
      </c>
      <c r="O3094" s="11"/>
      <c r="P3094" s="28"/>
      <c r="Q3094" s="28" t="n">
        <f aca="false">P3094*$M3094</f>
        <v>0</v>
      </c>
      <c r="R3094" s="28"/>
      <c r="S3094" s="28" t="n">
        <f aca="false">R3094*$M3094</f>
        <v>0</v>
      </c>
      <c r="T3094" s="28"/>
      <c r="U3094" s="28" t="n">
        <f aca="false">T3094*$M3094</f>
        <v>0</v>
      </c>
      <c r="V3094" s="28" t="n">
        <v>797</v>
      </c>
      <c r="W3094" s="28" t="n">
        <v>720</v>
      </c>
      <c r="X3094" s="28"/>
      <c r="Y3094" s="28" t="n">
        <f aca="false">X3094*$M3094</f>
        <v>0</v>
      </c>
      <c r="Z3094" s="28"/>
      <c r="AA3094" s="28" t="n">
        <f aca="false">Z3094*$M3094</f>
        <v>0</v>
      </c>
      <c r="AB3094" s="28"/>
      <c r="AC3094" s="28" t="n">
        <f aca="false">AB3094*$M3094</f>
        <v>0</v>
      </c>
      <c r="AD3094" s="28"/>
      <c r="AE3094" s="28" t="n">
        <f aca="false">AD3094*$M3094</f>
        <v>0</v>
      </c>
      <c r="AF3094" s="28"/>
      <c r="AG3094" s="28" t="n">
        <f aca="false">AF3094*$M3094</f>
        <v>0</v>
      </c>
      <c r="AH3094" s="28"/>
      <c r="AI3094" s="28" t="n">
        <f aca="false">AH3094*$M3094</f>
        <v>0</v>
      </c>
      <c r="AJ3094" s="28"/>
      <c r="AK3094" s="28" t="n">
        <f aca="false">AJ3094*$M3094</f>
        <v>0</v>
      </c>
      <c r="AL3094" s="28"/>
      <c r="AM3094" s="28" t="n">
        <f aca="false">AL3094*$M3094</f>
        <v>0</v>
      </c>
      <c r="AN3094" s="28"/>
      <c r="AO3094" s="28" t="n">
        <f aca="false">AN3094*$M3094</f>
        <v>0</v>
      </c>
      <c r="AP3094" s="28"/>
      <c r="AQ3094" s="28" t="n">
        <f aca="false">AP3094*$M3094</f>
        <v>0</v>
      </c>
      <c r="AR3094" s="28"/>
      <c r="AS3094" s="28" t="n">
        <f aca="false">AR3094*$M3094</f>
        <v>0</v>
      </c>
      <c r="AT3094" s="28"/>
      <c r="AU3094" s="28" t="n">
        <f aca="false">AT3094*$M3094</f>
        <v>0</v>
      </c>
      <c r="AV3094" s="28"/>
      <c r="AW3094" s="28" t="n">
        <f aca="false">AV3094*$M3094</f>
        <v>0</v>
      </c>
      <c r="AX3094" s="28"/>
      <c r="AY3094" s="28" t="n">
        <f aca="false">AX3094*$M3094</f>
        <v>0</v>
      </c>
      <c r="AZ3094" s="30" t="n">
        <v>797</v>
      </c>
      <c r="BA3094" s="11" t="n">
        <v>720</v>
      </c>
      <c r="BB3094" s="31" t="n">
        <f aca="false">SUM(Q3094,S3094,U3094,W3094,Y3094,AA3094,AC3094,AE3094,AG3094,AI3094,AK3094,AM3094,AO3094,AQ3094,AS3094,AU3094,AW3094,AY3094)</f>
        <v>720</v>
      </c>
      <c r="BC3094" s="28" t="n">
        <f aca="false">BA3094-BB3094</f>
        <v>0</v>
      </c>
      <c r="BD3094" s="32" t="n">
        <f aca="false">SUM(P3094,R3094,T3094,V3094,X3094,Z3094,AB3094,AD3094,AF3094,AH3094,AJ3094,AL3094,AN3094,AP3094,AR3094,AT3094,AV3094,AX3094)</f>
        <v>797</v>
      </c>
      <c r="BE3094" s="33" t="n">
        <f aca="false">AZ3094-BD3094</f>
        <v>0</v>
      </c>
      <c r="BF3094" s="34" t="n">
        <f aca="false">BD3094*M3094</f>
        <v>0</v>
      </c>
      <c r="BG3094" s="35" t="n">
        <f aca="false">BA3094-BF3094</f>
        <v>720</v>
      </c>
      <c r="BH3094" s="19" t="str">
        <f aca="false">IF(BG3094=0,"",IF(BG3094&lt;&gt;BA3094,"erreur de calcul",IF(BD3094&lt;&gt;0,"pas de prix",IF(M3094&lt;&gt; 0,"pas de quantité","pas de prix, ni de quantité"))))</f>
        <v>pas de prix</v>
      </c>
      <c r="BI3094" s="19" t="s">
        <v>367</v>
      </c>
    </row>
    <row r="3095" customFormat="false" ht="15" hidden="false" customHeight="false" outlineLevel="0" collapsed="false">
      <c r="A3095" s="0" t="n">
        <v>39</v>
      </c>
      <c r="B3095" s="8" t="s">
        <v>24</v>
      </c>
      <c r="C3095" s="9" t="s">
        <v>25</v>
      </c>
      <c r="D3095" s="9" t="s">
        <v>26</v>
      </c>
      <c r="E3095" s="10" t="n">
        <v>1789</v>
      </c>
      <c r="F3095" s="9" t="s">
        <v>27</v>
      </c>
      <c r="G3095" s="9" t="s">
        <v>27</v>
      </c>
      <c r="H3095" s="11" t="n">
        <v>25</v>
      </c>
      <c r="I3095" s="11" t="s">
        <v>368</v>
      </c>
      <c r="J3095" s="14" t="n">
        <v>4</v>
      </c>
      <c r="K3095" s="14"/>
      <c r="L3095" s="16"/>
      <c r="M3095" s="27" t="n">
        <f aca="false">J3095+(K3095/20)+(L3095/240)</f>
        <v>4</v>
      </c>
      <c r="N3095" s="17" t="s">
        <v>64</v>
      </c>
      <c r="O3095" s="11"/>
      <c r="P3095" s="28"/>
      <c r="Q3095" s="28" t="n">
        <f aca="false">P3095*$M3095</f>
        <v>0</v>
      </c>
      <c r="R3095" s="28"/>
      <c r="S3095" s="28" t="n">
        <f aca="false">R3095*$M3095</f>
        <v>0</v>
      </c>
      <c r="T3095" s="28"/>
      <c r="U3095" s="28" t="n">
        <f aca="false">T3095*$M3095</f>
        <v>0</v>
      </c>
      <c r="V3095" s="28" t="n">
        <f aca="false">23693/100</f>
        <v>236.93</v>
      </c>
      <c r="W3095" s="28" t="n">
        <v>948</v>
      </c>
      <c r="X3095" s="28"/>
      <c r="Y3095" s="28" t="n">
        <f aca="false">X3095*$M3095</f>
        <v>0</v>
      </c>
      <c r="Z3095" s="28"/>
      <c r="AA3095" s="28" t="n">
        <f aca="false">Z3095*$M3095</f>
        <v>0</v>
      </c>
      <c r="AB3095" s="28"/>
      <c r="AC3095" s="28" t="n">
        <f aca="false">AB3095*$M3095</f>
        <v>0</v>
      </c>
      <c r="AD3095" s="28"/>
      <c r="AE3095" s="28" t="n">
        <f aca="false">AD3095*$M3095</f>
        <v>0</v>
      </c>
      <c r="AF3095" s="28"/>
      <c r="AG3095" s="28" t="n">
        <f aca="false">AF3095*$M3095</f>
        <v>0</v>
      </c>
      <c r="AH3095" s="28"/>
      <c r="AI3095" s="28" t="n">
        <f aca="false">AH3095*$M3095</f>
        <v>0</v>
      </c>
      <c r="AJ3095" s="28"/>
      <c r="AK3095" s="28" t="n">
        <f aca="false">AJ3095*$M3095</f>
        <v>0</v>
      </c>
      <c r="AL3095" s="28"/>
      <c r="AM3095" s="28" t="n">
        <f aca="false">AL3095*$M3095</f>
        <v>0</v>
      </c>
      <c r="AN3095" s="28"/>
      <c r="AO3095" s="28" t="n">
        <f aca="false">AN3095*$M3095</f>
        <v>0</v>
      </c>
      <c r="AP3095" s="28"/>
      <c r="AQ3095" s="28" t="n">
        <f aca="false">AP3095*$M3095</f>
        <v>0</v>
      </c>
      <c r="AR3095" s="28"/>
      <c r="AS3095" s="28" t="n">
        <f aca="false">AR3095*$M3095</f>
        <v>0</v>
      </c>
      <c r="AT3095" s="28"/>
      <c r="AU3095" s="28" t="n">
        <f aca="false">AT3095*$M3095</f>
        <v>0</v>
      </c>
      <c r="AV3095" s="28"/>
      <c r="AW3095" s="28" t="n">
        <f aca="false">AV3095*$M3095</f>
        <v>0</v>
      </c>
      <c r="AX3095" s="28"/>
      <c r="AY3095" s="28" t="n">
        <f aca="false">AX3095*$M3095</f>
        <v>0</v>
      </c>
      <c r="AZ3095" s="30" t="n">
        <f aca="false">23693/100</f>
        <v>236.93</v>
      </c>
      <c r="BA3095" s="11" t="n">
        <v>948</v>
      </c>
      <c r="BB3095" s="31" t="n">
        <f aca="false">SUM(Q3095,S3095,U3095,W3095,Y3095,AA3095,AC3095,AE3095,AG3095,AI3095,AK3095,AM3095,AO3095,AQ3095,AS3095,AU3095,AW3095,AY3095)</f>
        <v>948</v>
      </c>
      <c r="BC3095" s="28" t="n">
        <f aca="false">BA3095-BB3095</f>
        <v>0</v>
      </c>
      <c r="BD3095" s="32" t="n">
        <f aca="false">SUM(P3095,R3095,T3095,V3095,X3095,Z3095,AB3095,AD3095,AF3095,AH3095,AJ3095,AL3095,AN3095,AP3095,AR3095,AT3095,AV3095,AX3095)</f>
        <v>236.93</v>
      </c>
      <c r="BE3095" s="33" t="n">
        <f aca="false">AZ3095-BD3095</f>
        <v>0</v>
      </c>
      <c r="BF3095" s="34" t="n">
        <f aca="false">BD3095*M3095</f>
        <v>947.72</v>
      </c>
      <c r="BG3095" s="35" t="n">
        <f aca="false">BA3095-BF3095</f>
        <v>0.279999999999973</v>
      </c>
      <c r="BH3095" s="19" t="str">
        <f aca="false">IF(BG3095=0,"",IF(BG3095&lt;&gt;BA3095,"erreur de calcul",IF(BD3095&lt;&gt;0,"pas de prix",IF(M3095&lt;&gt; 0,"pas de quantité","pas de prix, ni de quantité"))))</f>
        <v>erreur de calcul</v>
      </c>
      <c r="BI3095" s="19"/>
    </row>
    <row r="3096" customFormat="false" ht="15" hidden="false" customHeight="false" outlineLevel="0" collapsed="false">
      <c r="A3096" s="0" t="n">
        <v>40</v>
      </c>
      <c r="B3096" s="8" t="s">
        <v>24</v>
      </c>
      <c r="C3096" s="9" t="s">
        <v>25</v>
      </c>
      <c r="D3096" s="9" t="s">
        <v>26</v>
      </c>
      <c r="E3096" s="10" t="n">
        <v>1789</v>
      </c>
      <c r="F3096" s="9" t="s">
        <v>27</v>
      </c>
      <c r="G3096" s="9" t="s">
        <v>27</v>
      </c>
      <c r="H3096" s="11" t="n">
        <v>25</v>
      </c>
      <c r="I3096" s="11" t="s">
        <v>369</v>
      </c>
      <c r="J3096" s="14" t="n">
        <v>92</v>
      </c>
      <c r="K3096" s="14"/>
      <c r="L3096" s="16"/>
      <c r="M3096" s="27" t="n">
        <f aca="false">J3096+(K3096/20)+(L3096/240)</f>
        <v>92</v>
      </c>
      <c r="N3096" s="17" t="s">
        <v>64</v>
      </c>
      <c r="O3096" s="11"/>
      <c r="P3096" s="28"/>
      <c r="Q3096" s="28" t="n">
        <f aca="false">P3096*$M3096</f>
        <v>0</v>
      </c>
      <c r="R3096" s="28"/>
      <c r="S3096" s="28" t="n">
        <f aca="false">R3096*$M3096</f>
        <v>0</v>
      </c>
      <c r="T3096" s="28"/>
      <c r="U3096" s="28" t="n">
        <f aca="false">T3096*$M3096</f>
        <v>0</v>
      </c>
      <c r="V3096" s="28" t="n">
        <f aca="false">82878/100</f>
        <v>828.78</v>
      </c>
      <c r="W3096" s="28" t="n">
        <v>76248</v>
      </c>
      <c r="X3096" s="28" t="n">
        <f aca="false">44264/100</f>
        <v>442.64</v>
      </c>
      <c r="Y3096" s="36" t="n">
        <v>41023</v>
      </c>
      <c r="Z3096" s="28"/>
      <c r="AA3096" s="28" t="n">
        <f aca="false">Z3096*$M3096</f>
        <v>0</v>
      </c>
      <c r="AB3096" s="28"/>
      <c r="AC3096" s="28" t="n">
        <f aca="false">AB3096*$M3096</f>
        <v>0</v>
      </c>
      <c r="AD3096" s="28"/>
      <c r="AE3096" s="28" t="n">
        <f aca="false">AD3096*$M3096</f>
        <v>0</v>
      </c>
      <c r="AF3096" s="28"/>
      <c r="AG3096" s="28" t="n">
        <f aca="false">AF3096*$M3096</f>
        <v>0</v>
      </c>
      <c r="AH3096" s="28"/>
      <c r="AI3096" s="28" t="n">
        <f aca="false">AH3096*$M3096</f>
        <v>0</v>
      </c>
      <c r="AJ3096" s="28"/>
      <c r="AK3096" s="28" t="n">
        <f aca="false">AJ3096*$M3096</f>
        <v>0</v>
      </c>
      <c r="AL3096" s="28"/>
      <c r="AM3096" s="28" t="n">
        <f aca="false">AL3096*$M3096</f>
        <v>0</v>
      </c>
      <c r="AN3096" s="28"/>
      <c r="AO3096" s="28" t="n">
        <f aca="false">AN3096*$M3096</f>
        <v>0</v>
      </c>
      <c r="AP3096" s="28"/>
      <c r="AQ3096" s="28" t="n">
        <f aca="false">AP3096*$M3096</f>
        <v>0</v>
      </c>
      <c r="AR3096" s="28"/>
      <c r="AS3096" s="28" t="n">
        <f aca="false">AR3096*$M3096</f>
        <v>0</v>
      </c>
      <c r="AT3096" s="28"/>
      <c r="AU3096" s="28" t="n">
        <f aca="false">AT3096*$M3096</f>
        <v>0</v>
      </c>
      <c r="AV3096" s="28"/>
      <c r="AW3096" s="28" t="n">
        <f aca="false">AV3096*$M3096</f>
        <v>0</v>
      </c>
      <c r="AX3096" s="28"/>
      <c r="AY3096" s="28" t="n">
        <f aca="false">AX3096*$M3096</f>
        <v>0</v>
      </c>
      <c r="AZ3096" s="30" t="n">
        <f aca="false">127142/100</f>
        <v>1271.42</v>
      </c>
      <c r="BA3096" s="11" t="n">
        <v>117271</v>
      </c>
      <c r="BB3096" s="31" t="n">
        <f aca="false">SUM(Q3096,S3096,U3096,W3096,Y3096,AA3096,AC3096,AE3096,AG3096,AI3096,AK3096,AM3096,AO3096,AQ3096,AS3096,AU3096,AW3096,AY3096)</f>
        <v>117271</v>
      </c>
      <c r="BC3096" s="28" t="n">
        <f aca="false">BA3096-BB3096</f>
        <v>0</v>
      </c>
      <c r="BD3096" s="32" t="n">
        <f aca="false">SUM(P3096,R3096,T3096,V3096,X3096,Z3096,AB3096,AD3096,AF3096,AH3096,AJ3096,AL3096,AN3096,AP3096,AR3096,AT3096,AV3096,AX3096)</f>
        <v>1271.42</v>
      </c>
      <c r="BE3096" s="33" t="n">
        <f aca="false">AZ3096-BD3096</f>
        <v>0</v>
      </c>
      <c r="BF3096" s="34" t="n">
        <f aca="false">BD3096*M3096</f>
        <v>116970.64</v>
      </c>
      <c r="BG3096" s="35" t="n">
        <f aca="false">BA3096-BF3096</f>
        <v>300.359999999986</v>
      </c>
      <c r="BH3096" s="19" t="str">
        <f aca="false">IF(BG3096=0,"",IF(BG3096&lt;&gt;BA3096,"erreur de calcul",IF(BD3096&lt;&gt;0,"pas de prix",IF(M3096&lt;&gt; 0,"pas de quantité","pas de prix, ni de quantité"))))</f>
        <v>erreur de calcul</v>
      </c>
      <c r="BI3096" s="19"/>
    </row>
    <row r="3097" customFormat="false" ht="15" hidden="false" customHeight="false" outlineLevel="0" collapsed="false">
      <c r="A3097" s="0" t="n">
        <v>41</v>
      </c>
      <c r="B3097" s="8" t="s">
        <v>24</v>
      </c>
      <c r="C3097" s="9" t="s">
        <v>25</v>
      </c>
      <c r="D3097" s="9" t="s">
        <v>26</v>
      </c>
      <c r="E3097" s="10" t="n">
        <v>1789</v>
      </c>
      <c r="F3097" s="9" t="s">
        <v>27</v>
      </c>
      <c r="G3097" s="9" t="s">
        <v>27</v>
      </c>
      <c r="H3097" s="11" t="n">
        <v>25</v>
      </c>
      <c r="I3097" s="11" t="s">
        <v>370</v>
      </c>
      <c r="J3097" s="14" t="n">
        <v>12</v>
      </c>
      <c r="K3097" s="14"/>
      <c r="L3097" s="16"/>
      <c r="M3097" s="27" t="n">
        <f aca="false">J3097+(K3097/20)+(L3097/240)</f>
        <v>12</v>
      </c>
      <c r="N3097" s="17" t="s">
        <v>64</v>
      </c>
      <c r="O3097" s="11"/>
      <c r="P3097" s="28"/>
      <c r="Q3097" s="28" t="n">
        <f aca="false">P3097*$M3097</f>
        <v>0</v>
      </c>
      <c r="R3097" s="28"/>
      <c r="S3097" s="28" t="n">
        <f aca="false">R3097*$M3097</f>
        <v>0</v>
      </c>
      <c r="T3097" s="28"/>
      <c r="U3097" s="28" t="n">
        <f aca="false">T3097*$M3097</f>
        <v>0</v>
      </c>
      <c r="V3097" s="28"/>
      <c r="W3097" s="28" t="n">
        <f aca="false">V3097*$M3097</f>
        <v>0</v>
      </c>
      <c r="X3097" s="28"/>
      <c r="Y3097" s="28" t="n">
        <f aca="false">X3097*$M3097</f>
        <v>0</v>
      </c>
      <c r="Z3097" s="28"/>
      <c r="AA3097" s="28" t="n">
        <f aca="false">Z3097*$M3097</f>
        <v>0</v>
      </c>
      <c r="AB3097" s="28"/>
      <c r="AC3097" s="28" t="n">
        <f aca="false">AB3097*$M3097</f>
        <v>0</v>
      </c>
      <c r="AD3097" s="28"/>
      <c r="AE3097" s="28" t="n">
        <f aca="false">AD3097*$M3097</f>
        <v>0</v>
      </c>
      <c r="AF3097" s="28"/>
      <c r="AG3097" s="28" t="n">
        <f aca="false">AF3097*$M3097</f>
        <v>0</v>
      </c>
      <c r="AH3097" s="28" t="n">
        <f aca="false">12168/100</f>
        <v>121.68</v>
      </c>
      <c r="AI3097" s="28" t="n">
        <v>1460</v>
      </c>
      <c r="AJ3097" s="28"/>
      <c r="AK3097" s="28" t="n">
        <f aca="false">AJ3097*$M3097</f>
        <v>0</v>
      </c>
      <c r="AL3097" s="28"/>
      <c r="AM3097" s="28" t="n">
        <f aca="false">AL3097*$M3097</f>
        <v>0</v>
      </c>
      <c r="AN3097" s="28"/>
      <c r="AO3097" s="28" t="n">
        <f aca="false">AN3097*$M3097</f>
        <v>0</v>
      </c>
      <c r="AP3097" s="28"/>
      <c r="AQ3097" s="28" t="n">
        <f aca="false">AP3097*$M3097</f>
        <v>0</v>
      </c>
      <c r="AR3097" s="28"/>
      <c r="AS3097" s="28" t="n">
        <f aca="false">AR3097*$M3097</f>
        <v>0</v>
      </c>
      <c r="AT3097" s="28"/>
      <c r="AU3097" s="28" t="n">
        <f aca="false">AT3097*$M3097</f>
        <v>0</v>
      </c>
      <c r="AV3097" s="28"/>
      <c r="AW3097" s="28" t="n">
        <f aca="false">AV3097*$M3097</f>
        <v>0</v>
      </c>
      <c r="AX3097" s="28"/>
      <c r="AY3097" s="28" t="n">
        <f aca="false">AX3097*$M3097</f>
        <v>0</v>
      </c>
      <c r="AZ3097" s="30" t="n">
        <f aca="false">12168/100</f>
        <v>121.68</v>
      </c>
      <c r="BA3097" s="11" t="n">
        <v>1460</v>
      </c>
      <c r="BB3097" s="31" t="n">
        <f aca="false">SUM(Q3097,S3097,U3097,W3097,Y3097,AA3097,AC3097,AE3097,AG3097,AI3097,AK3097,AM3097,AO3097,AQ3097,AS3097,AU3097,AW3097,AY3097)</f>
        <v>1460</v>
      </c>
      <c r="BC3097" s="28" t="n">
        <f aca="false">BA3097-BB3097</f>
        <v>0</v>
      </c>
      <c r="BD3097" s="32" t="n">
        <f aca="false">SUM(P3097,R3097,T3097,V3097,X3097,Z3097,AB3097,AD3097,AF3097,AH3097,AJ3097,AL3097,AN3097,AP3097,AR3097,AT3097,AV3097,AX3097)</f>
        <v>121.68</v>
      </c>
      <c r="BE3097" s="33" t="n">
        <f aca="false">AZ3097-BD3097</f>
        <v>0</v>
      </c>
      <c r="BF3097" s="34" t="n">
        <f aca="false">BD3097*M3097</f>
        <v>1460.16</v>
      </c>
      <c r="BG3097" s="35" t="n">
        <f aca="false">BA3097-BF3097</f>
        <v>-0.160000000000082</v>
      </c>
      <c r="BH3097" s="19" t="str">
        <f aca="false">IF(BG3097=0,"",IF(BG3097&lt;&gt;BA3097,"erreur de calcul",IF(BD3097&lt;&gt;0,"pas de prix",IF(M3097&lt;&gt; 0,"pas de quantité","pas de prix, ni de quantité"))))</f>
        <v>erreur de calcul</v>
      </c>
      <c r="BI3097" s="19"/>
    </row>
    <row r="3098" customFormat="false" ht="15" hidden="false" customHeight="false" outlineLevel="0" collapsed="false">
      <c r="A3098" s="0" t="n">
        <v>42</v>
      </c>
      <c r="B3098" s="8" t="s">
        <v>24</v>
      </c>
      <c r="C3098" s="9" t="s">
        <v>25</v>
      </c>
      <c r="D3098" s="9" t="s">
        <v>26</v>
      </c>
      <c r="E3098" s="10" t="n">
        <v>1789</v>
      </c>
      <c r="F3098" s="9" t="s">
        <v>27</v>
      </c>
      <c r="G3098" s="9" t="s">
        <v>27</v>
      </c>
      <c r="H3098" s="11" t="n">
        <v>25</v>
      </c>
      <c r="I3098" s="11" t="s">
        <v>371</v>
      </c>
      <c r="J3098" s="14" t="n">
        <v>7</v>
      </c>
      <c r="K3098" s="14"/>
      <c r="L3098" s="16"/>
      <c r="M3098" s="27" t="n">
        <f aca="false">J3098+(K3098/20)+(L3098/240)</f>
        <v>7</v>
      </c>
      <c r="N3098" s="17" t="s">
        <v>64</v>
      </c>
      <c r="O3098" s="11"/>
      <c r="P3098" s="28"/>
      <c r="Q3098" s="28" t="n">
        <f aca="false">P3098*$M3098</f>
        <v>0</v>
      </c>
      <c r="R3098" s="28"/>
      <c r="S3098" s="28" t="n">
        <f aca="false">R3098*$M3098</f>
        <v>0</v>
      </c>
      <c r="T3098" s="28"/>
      <c r="U3098" s="28" t="n">
        <f aca="false">T3098*$M3098</f>
        <v>0</v>
      </c>
      <c r="V3098" s="28"/>
      <c r="W3098" s="28" t="n">
        <f aca="false">V3098*$M3098</f>
        <v>0</v>
      </c>
      <c r="X3098" s="28"/>
      <c r="Y3098" s="28" t="n">
        <f aca="false">X3098*$M3098</f>
        <v>0</v>
      </c>
      <c r="Z3098" s="28"/>
      <c r="AA3098" s="28" t="n">
        <f aca="false">Z3098*$M3098</f>
        <v>0</v>
      </c>
      <c r="AB3098" s="28" t="n">
        <f aca="false">58003/100</f>
        <v>580.03</v>
      </c>
      <c r="AC3098" s="28" t="n">
        <v>4060</v>
      </c>
      <c r="AD3098" s="28"/>
      <c r="AE3098" s="28" t="n">
        <f aca="false">AD3098*$M3098</f>
        <v>0</v>
      </c>
      <c r="AF3098" s="28"/>
      <c r="AG3098" s="28" t="n">
        <f aca="false">AF3098*$M3098</f>
        <v>0</v>
      </c>
      <c r="AH3098" s="28"/>
      <c r="AI3098" s="28" t="n">
        <f aca="false">AH3098*$M3098</f>
        <v>0</v>
      </c>
      <c r="AJ3098" s="28"/>
      <c r="AK3098" s="28" t="n">
        <f aca="false">AJ3098*$M3098</f>
        <v>0</v>
      </c>
      <c r="AL3098" s="28"/>
      <c r="AM3098" s="28" t="n">
        <f aca="false">AL3098*$M3098</f>
        <v>0</v>
      </c>
      <c r="AN3098" s="28"/>
      <c r="AO3098" s="28" t="n">
        <f aca="false">AN3098*$M3098</f>
        <v>0</v>
      </c>
      <c r="AP3098" s="28"/>
      <c r="AQ3098" s="28" t="n">
        <f aca="false">AP3098*$M3098</f>
        <v>0</v>
      </c>
      <c r="AR3098" s="28"/>
      <c r="AS3098" s="28" t="n">
        <f aca="false">AR3098*$M3098</f>
        <v>0</v>
      </c>
      <c r="AT3098" s="28"/>
      <c r="AU3098" s="28" t="n">
        <f aca="false">AT3098*$M3098</f>
        <v>0</v>
      </c>
      <c r="AV3098" s="28"/>
      <c r="AW3098" s="28" t="n">
        <f aca="false">AV3098*$M3098</f>
        <v>0</v>
      </c>
      <c r="AX3098" s="28"/>
      <c r="AY3098" s="28" t="n">
        <f aca="false">AX3098*$M3098</f>
        <v>0</v>
      </c>
      <c r="AZ3098" s="30" t="n">
        <f aca="false">58003/100</f>
        <v>580.03</v>
      </c>
      <c r="BA3098" s="11" t="n">
        <v>4060</v>
      </c>
      <c r="BB3098" s="31" t="n">
        <f aca="false">SUM(Q3098,S3098,U3098,W3098,Y3098,AA3098,AC3098,AE3098,AG3098,AI3098,AK3098,AM3098,AO3098,AQ3098,AS3098,AU3098,AW3098,AY3098)</f>
        <v>4060</v>
      </c>
      <c r="BC3098" s="28" t="n">
        <f aca="false">BA3098-BB3098</f>
        <v>0</v>
      </c>
      <c r="BD3098" s="32" t="n">
        <f aca="false">SUM(P3098,R3098,T3098,V3098,X3098,Z3098,AB3098,AD3098,AF3098,AH3098,AJ3098,AL3098,AN3098,AP3098,AR3098,AT3098,AV3098,AX3098)</f>
        <v>580.03</v>
      </c>
      <c r="BE3098" s="33" t="n">
        <f aca="false">AZ3098-BD3098</f>
        <v>0</v>
      </c>
      <c r="BF3098" s="34" t="n">
        <f aca="false">BD3098*M3098</f>
        <v>4060.21</v>
      </c>
      <c r="BG3098" s="35" t="n">
        <f aca="false">BA3098-BF3098</f>
        <v>-0.210000000000036</v>
      </c>
      <c r="BH3098" s="19" t="str">
        <f aca="false">IF(BG3098=0,"",IF(BG3098&lt;&gt;BA3098,"erreur de calcul",IF(BD3098&lt;&gt;0,"pas de prix",IF(M3098&lt;&gt; 0,"pas de quantité","pas de prix, ni de quantité"))))</f>
        <v>erreur de calcul</v>
      </c>
      <c r="BI3098" s="19"/>
    </row>
    <row r="3099" customFormat="false" ht="15" hidden="false" customHeight="false" outlineLevel="0" collapsed="false">
      <c r="A3099" s="0" t="n">
        <v>1</v>
      </c>
      <c r="B3099" s="8" t="s">
        <v>24</v>
      </c>
      <c r="C3099" s="9" t="s">
        <v>25</v>
      </c>
      <c r="D3099" s="9" t="s">
        <v>26</v>
      </c>
      <c r="E3099" s="10" t="n">
        <v>1789</v>
      </c>
      <c r="F3099" s="9" t="s">
        <v>27</v>
      </c>
      <c r="G3099" s="9" t="s">
        <v>27</v>
      </c>
      <c r="H3099" s="11" t="n">
        <v>26</v>
      </c>
      <c r="I3099" s="11" t="s">
        <v>372</v>
      </c>
      <c r="J3099" s="14" t="n">
        <v>30</v>
      </c>
      <c r="K3099" s="14"/>
      <c r="L3099" s="16"/>
      <c r="M3099" s="27" t="n">
        <f aca="false">J3099+(K3099/20)+(L3099/240)</f>
        <v>30</v>
      </c>
      <c r="N3099" s="17" t="s">
        <v>64</v>
      </c>
      <c r="O3099" s="11"/>
      <c r="P3099" s="28"/>
      <c r="Q3099" s="28" t="n">
        <f aca="false">P3099*$M3099</f>
        <v>0</v>
      </c>
      <c r="R3099" s="28"/>
      <c r="S3099" s="28" t="n">
        <f aca="false">R3099*$M3099</f>
        <v>0</v>
      </c>
      <c r="T3099" s="28"/>
      <c r="U3099" s="28" t="n">
        <f aca="false">T3099*$M3099</f>
        <v>0</v>
      </c>
      <c r="V3099" s="28" t="n">
        <f aca="false">1500/100</f>
        <v>15</v>
      </c>
      <c r="W3099" s="28" t="n">
        <v>450</v>
      </c>
      <c r="X3099" s="28"/>
      <c r="Y3099" s="28" t="n">
        <f aca="false">X3099*$M3099</f>
        <v>0</v>
      </c>
      <c r="Z3099" s="28"/>
      <c r="AA3099" s="28" t="n">
        <f aca="false">Z3099*$M3099</f>
        <v>0</v>
      </c>
      <c r="AB3099" s="28"/>
      <c r="AC3099" s="28" t="n">
        <f aca="false">AB3099*$M3099</f>
        <v>0</v>
      </c>
      <c r="AD3099" s="28"/>
      <c r="AE3099" s="28" t="n">
        <f aca="false">AD3099*$M3099</f>
        <v>0</v>
      </c>
      <c r="AF3099" s="28"/>
      <c r="AG3099" s="28" t="n">
        <f aca="false">AF3099*$M3099</f>
        <v>0</v>
      </c>
      <c r="AH3099" s="28"/>
      <c r="AI3099" s="28" t="n">
        <f aca="false">AH3099*$M3099</f>
        <v>0</v>
      </c>
      <c r="AJ3099" s="28"/>
      <c r="AK3099" s="28" t="n">
        <f aca="false">AJ3099*$M3099</f>
        <v>0</v>
      </c>
      <c r="AL3099" s="28"/>
      <c r="AM3099" s="28" t="n">
        <f aca="false">AL3099*$M3099</f>
        <v>0</v>
      </c>
      <c r="AN3099" s="28"/>
      <c r="AO3099" s="28" t="n">
        <f aca="false">AN3099*$M3099</f>
        <v>0</v>
      </c>
      <c r="AP3099" s="28"/>
      <c r="AQ3099" s="28" t="n">
        <f aca="false">AP3099*$M3099</f>
        <v>0</v>
      </c>
      <c r="AR3099" s="28"/>
      <c r="AS3099" s="28" t="n">
        <f aca="false">AR3099*$M3099</f>
        <v>0</v>
      </c>
      <c r="AT3099" s="28"/>
      <c r="AU3099" s="28" t="n">
        <f aca="false">AT3099*$M3099</f>
        <v>0</v>
      </c>
      <c r="AV3099" s="28"/>
      <c r="AW3099" s="28" t="n">
        <f aca="false">AV3099*$M3099</f>
        <v>0</v>
      </c>
      <c r="AX3099" s="28"/>
      <c r="AY3099" s="28" t="n">
        <f aca="false">AX3099*$M3099</f>
        <v>0</v>
      </c>
      <c r="AZ3099" s="30" t="n">
        <f aca="false">1500/100</f>
        <v>15</v>
      </c>
      <c r="BA3099" s="11" t="n">
        <v>450</v>
      </c>
      <c r="BB3099" s="31" t="n">
        <f aca="false">SUM(Q3099,S3099,U3099,W3099,Y3099,AA3099,AC3099,AE3099,AG3099,AI3099,AK3099,AM3099,AO3099,AQ3099,AS3099,AU3099,AW3099,AY3099)</f>
        <v>450</v>
      </c>
      <c r="BC3099" s="28" t="n">
        <f aca="false">BA3099-BB3099</f>
        <v>0</v>
      </c>
      <c r="BD3099" s="32" t="n">
        <f aca="false">SUM(P3099,R3099,T3099,V3099,X3099,Z3099,AB3099,AD3099,AF3099,AH3099,AJ3099,AL3099,AN3099,AP3099,AR3099,AT3099,AV3099,AX3099)</f>
        <v>15</v>
      </c>
      <c r="BE3099" s="33" t="n">
        <f aca="false">AZ3099-BD3099</f>
        <v>0</v>
      </c>
      <c r="BF3099" s="34" t="n">
        <f aca="false">BD3099*M3099</f>
        <v>450</v>
      </c>
      <c r="BG3099" s="35" t="n">
        <f aca="false">BA3099-BF3099</f>
        <v>0</v>
      </c>
      <c r="BH3099" s="19" t="str">
        <f aca="false">IF(BG3099=0,"",IF(BG3099&lt;&gt;BA3099,"erreur de calcul",IF(BD3099&lt;&gt;0,"pas de prix",IF(M3099&lt;&gt; 0,"pas de quantité","pas de prix, ni de quantité"))))</f>
        <v/>
      </c>
      <c r="BI3099" s="19"/>
    </row>
    <row r="3100" customFormat="false" ht="15" hidden="false" customHeight="false" outlineLevel="0" collapsed="false">
      <c r="A3100" s="0" t="n">
        <v>2</v>
      </c>
      <c r="B3100" s="8" t="s">
        <v>24</v>
      </c>
      <c r="C3100" s="9" t="s">
        <v>25</v>
      </c>
      <c r="D3100" s="9" t="s">
        <v>26</v>
      </c>
      <c r="E3100" s="10" t="n">
        <v>1789</v>
      </c>
      <c r="F3100" s="9" t="s">
        <v>27</v>
      </c>
      <c r="G3100" s="9" t="s">
        <v>27</v>
      </c>
      <c r="H3100" s="11" t="n">
        <v>26</v>
      </c>
      <c r="I3100" s="11" t="s">
        <v>373</v>
      </c>
      <c r="J3100" s="14" t="n">
        <v>25</v>
      </c>
      <c r="K3100" s="14"/>
      <c r="L3100" s="16"/>
      <c r="M3100" s="27" t="n">
        <f aca="false">J3100+(K3100/20)+(L3100/240)</f>
        <v>25</v>
      </c>
      <c r="N3100" s="17" t="s">
        <v>64</v>
      </c>
      <c r="O3100" s="11"/>
      <c r="P3100" s="28"/>
      <c r="Q3100" s="28" t="n">
        <f aca="false">P3100*$M3100</f>
        <v>0</v>
      </c>
      <c r="R3100" s="28"/>
      <c r="S3100" s="28" t="n">
        <f aca="false">R3100*$M3100</f>
        <v>0</v>
      </c>
      <c r="T3100" s="28" t="n">
        <f aca="false">34168/100</f>
        <v>341.68</v>
      </c>
      <c r="U3100" s="28" t="n">
        <v>8542</v>
      </c>
      <c r="V3100" s="28" t="n">
        <f aca="false">128249/100</f>
        <v>1282.49</v>
      </c>
      <c r="W3100" s="28" t="n">
        <v>32062</v>
      </c>
      <c r="X3100" s="28" t="n">
        <f aca="false">21365/100</f>
        <v>213.65</v>
      </c>
      <c r="Y3100" s="28" t="n">
        <v>5341</v>
      </c>
      <c r="Z3100" s="28"/>
      <c r="AA3100" s="28" t="n">
        <f aca="false">Z3100*$M3100</f>
        <v>0</v>
      </c>
      <c r="AB3100" s="28"/>
      <c r="AC3100" s="28" t="n">
        <f aca="false">AB3100*$M3100</f>
        <v>0</v>
      </c>
      <c r="AD3100" s="28"/>
      <c r="AE3100" s="28" t="n">
        <f aca="false">AD3100*$M3100</f>
        <v>0</v>
      </c>
      <c r="AF3100" s="28"/>
      <c r="AG3100" s="28" t="n">
        <f aca="false">AF3100*$M3100</f>
        <v>0</v>
      </c>
      <c r="AH3100" s="28"/>
      <c r="AI3100" s="28" t="n">
        <f aca="false">AH3100*$M3100</f>
        <v>0</v>
      </c>
      <c r="AJ3100" s="28" t="n">
        <f aca="false">155251/100</f>
        <v>1552.51</v>
      </c>
      <c r="AK3100" s="28" t="n">
        <v>38813</v>
      </c>
      <c r="AL3100" s="28" t="n">
        <f aca="false">185000/100</f>
        <v>1850</v>
      </c>
      <c r="AM3100" s="28" t="n">
        <v>46250</v>
      </c>
      <c r="AN3100" s="28"/>
      <c r="AO3100" s="28" t="n">
        <f aca="false">AN3100*$M3100</f>
        <v>0</v>
      </c>
      <c r="AP3100" s="28"/>
      <c r="AQ3100" s="28" t="n">
        <f aca="false">AP3100*$M3100</f>
        <v>0</v>
      </c>
      <c r="AR3100" s="28"/>
      <c r="AS3100" s="28" t="n">
        <f aca="false">AR3100*$M3100</f>
        <v>0</v>
      </c>
      <c r="AT3100" s="28"/>
      <c r="AU3100" s="28" t="n">
        <f aca="false">AT3100*$M3100</f>
        <v>0</v>
      </c>
      <c r="AV3100" s="28"/>
      <c r="AW3100" s="28" t="n">
        <f aca="false">AV3100*$M3100</f>
        <v>0</v>
      </c>
      <c r="AX3100" s="28"/>
      <c r="AY3100" s="28" t="n">
        <f aca="false">AX3100*$M3100</f>
        <v>0</v>
      </c>
      <c r="AZ3100" s="30" t="n">
        <f aca="false">524033/100</f>
        <v>5240.33</v>
      </c>
      <c r="BA3100" s="11" t="n">
        <v>131008</v>
      </c>
      <c r="BB3100" s="31" t="n">
        <f aca="false">SUM(Q3100,S3100,U3100,W3100,Y3100,AA3100,AC3100,AE3100,AG3100,AI3100,AK3100,AM3100,AO3100,AQ3100,AS3100,AU3100,AW3100,AY3100)</f>
        <v>131008</v>
      </c>
      <c r="BC3100" s="28" t="n">
        <f aca="false">BA3100-BB3100</f>
        <v>0</v>
      </c>
      <c r="BD3100" s="32" t="n">
        <f aca="false">SUM(P3100,R3100,T3100,V3100,X3100,Z3100,AB3100,AD3100,AF3100,AH3100,AJ3100,AL3100,AN3100,AP3100,AR3100,AT3100,AV3100,AX3100)</f>
        <v>5240.33</v>
      </c>
      <c r="BE3100" s="33" t="n">
        <f aca="false">AZ3100-BD3100</f>
        <v>0</v>
      </c>
      <c r="BF3100" s="34" t="n">
        <f aca="false">BD3100*M3100</f>
        <v>131008.25</v>
      </c>
      <c r="BG3100" s="35" t="n">
        <f aca="false">BA3100-BF3100</f>
        <v>-0.250000000014552</v>
      </c>
      <c r="BH3100" s="19" t="str">
        <f aca="false">IF(BG3100=0,"",IF(BG3100&lt;&gt;BA3100,"erreur de calcul",IF(BD3100&lt;&gt;0,"pas de prix",IF(M3100&lt;&gt; 0,"pas de quantité","pas de prix, ni de quantité"))))</f>
        <v>erreur de calcul</v>
      </c>
      <c r="BI3100" s="19"/>
    </row>
    <row r="3101" customFormat="false" ht="15" hidden="false" customHeight="false" outlineLevel="0" collapsed="false">
      <c r="A3101" s="0" t="n">
        <v>3</v>
      </c>
      <c r="B3101" s="8" t="s">
        <v>24</v>
      </c>
      <c r="C3101" s="9" t="s">
        <v>25</v>
      </c>
      <c r="D3101" s="9" t="s">
        <v>26</v>
      </c>
      <c r="E3101" s="10" t="n">
        <v>1789</v>
      </c>
      <c r="F3101" s="9" t="s">
        <v>27</v>
      </c>
      <c r="G3101" s="9" t="s">
        <v>27</v>
      </c>
      <c r="H3101" s="11" t="n">
        <v>26</v>
      </c>
      <c r="I3101" s="11" t="s">
        <v>374</v>
      </c>
      <c r="J3101" s="14" t="n">
        <v>70</v>
      </c>
      <c r="K3101" s="14"/>
      <c r="L3101" s="16"/>
      <c r="M3101" s="27" t="n">
        <f aca="false">J3101+(K3101/20)+(L3101/240)</f>
        <v>70</v>
      </c>
      <c r="N3101" s="17" t="s">
        <v>64</v>
      </c>
      <c r="O3101" s="11"/>
      <c r="P3101" s="28"/>
      <c r="Q3101" s="28" t="n">
        <f aca="false">P3101*$M3101</f>
        <v>0</v>
      </c>
      <c r="R3101" s="28"/>
      <c r="S3101" s="28" t="n">
        <f aca="false">R3101*$M3101</f>
        <v>0</v>
      </c>
      <c r="T3101" s="28"/>
      <c r="U3101" s="28" t="n">
        <f aca="false">T3101*$M3101</f>
        <v>0</v>
      </c>
      <c r="V3101" s="28" t="n">
        <f aca="false">4560/100</f>
        <v>45.6</v>
      </c>
      <c r="W3101" s="28" t="n">
        <v>3192</v>
      </c>
      <c r="X3101" s="28" t="n">
        <f aca="false">1115/100</f>
        <v>11.15</v>
      </c>
      <c r="Y3101" s="28" t="n">
        <v>780</v>
      </c>
      <c r="Z3101" s="28"/>
      <c r="AA3101" s="28" t="n">
        <f aca="false">Z3101*$M3101</f>
        <v>0</v>
      </c>
      <c r="AB3101" s="28" t="n">
        <f aca="false">9431/100</f>
        <v>94.31</v>
      </c>
      <c r="AC3101" s="28" t="n">
        <v>6602</v>
      </c>
      <c r="AD3101" s="28"/>
      <c r="AE3101" s="28" t="n">
        <f aca="false">AD3101*$M3101</f>
        <v>0</v>
      </c>
      <c r="AF3101" s="28"/>
      <c r="AG3101" s="28" t="n">
        <f aca="false">AF3101*$M3101</f>
        <v>0</v>
      </c>
      <c r="AH3101" s="28"/>
      <c r="AI3101" s="28" t="n">
        <f aca="false">AH3101*$M3101</f>
        <v>0</v>
      </c>
      <c r="AJ3101" s="28"/>
      <c r="AK3101" s="28" t="n">
        <f aca="false">AJ3101*$M3101</f>
        <v>0</v>
      </c>
      <c r="AL3101" s="28"/>
      <c r="AM3101" s="28" t="n">
        <f aca="false">AL3101*$M3101</f>
        <v>0</v>
      </c>
      <c r="AN3101" s="28"/>
      <c r="AO3101" s="28" t="n">
        <f aca="false">AN3101*$M3101</f>
        <v>0</v>
      </c>
      <c r="AP3101" s="28"/>
      <c r="AQ3101" s="28" t="n">
        <f aca="false">AP3101*$M3101</f>
        <v>0</v>
      </c>
      <c r="AR3101" s="28"/>
      <c r="AS3101" s="28" t="n">
        <f aca="false">AR3101*$M3101</f>
        <v>0</v>
      </c>
      <c r="AT3101" s="28"/>
      <c r="AU3101" s="28" t="n">
        <f aca="false">AT3101*$M3101</f>
        <v>0</v>
      </c>
      <c r="AV3101" s="28"/>
      <c r="AW3101" s="28" t="n">
        <f aca="false">AV3101*$M3101</f>
        <v>0</v>
      </c>
      <c r="AX3101" s="28"/>
      <c r="AY3101" s="28" t="n">
        <f aca="false">AX3101*$M3101</f>
        <v>0</v>
      </c>
      <c r="AZ3101" s="30" t="n">
        <f aca="false">15106/100</f>
        <v>151.06</v>
      </c>
      <c r="BA3101" s="11" t="n">
        <v>10574</v>
      </c>
      <c r="BB3101" s="31" t="n">
        <f aca="false">SUM(Q3101,S3101,U3101,W3101,Y3101,AA3101,AC3101,AE3101,AG3101,AI3101,AK3101,AM3101,AO3101,AQ3101,AS3101,AU3101,AW3101,AY3101)</f>
        <v>10574</v>
      </c>
      <c r="BC3101" s="28" t="n">
        <f aca="false">BA3101-BB3101</f>
        <v>0</v>
      </c>
      <c r="BD3101" s="32" t="n">
        <f aca="false">SUM(P3101,R3101,T3101,V3101,X3101,Z3101,AB3101,AD3101,AF3101,AH3101,AJ3101,AL3101,AN3101,AP3101,AR3101,AT3101,AV3101,AX3101)</f>
        <v>151.06</v>
      </c>
      <c r="BE3101" s="33" t="n">
        <f aca="false">AZ3101-BD3101</f>
        <v>0</v>
      </c>
      <c r="BF3101" s="34" t="n">
        <f aca="false">BD3101*M3101</f>
        <v>10574.2</v>
      </c>
      <c r="BG3101" s="35" t="n">
        <f aca="false">BA3101-BF3101</f>
        <v>-0.200000000000728</v>
      </c>
      <c r="BH3101" s="19" t="str">
        <f aca="false">IF(BG3101=0,"",IF(BG3101&lt;&gt;BA3101,"erreur de calcul",IF(BD3101&lt;&gt;0,"pas de prix",IF(M3101&lt;&gt; 0,"pas de quantité","pas de prix, ni de quantité"))))</f>
        <v>erreur de calcul</v>
      </c>
      <c r="BI3101" s="19"/>
    </row>
    <row r="3102" customFormat="false" ht="15" hidden="false" customHeight="false" outlineLevel="0" collapsed="false">
      <c r="A3102" s="0" t="n">
        <v>4</v>
      </c>
      <c r="B3102" s="8" t="s">
        <v>24</v>
      </c>
      <c r="C3102" s="9" t="s">
        <v>25</v>
      </c>
      <c r="D3102" s="9" t="s">
        <v>26</v>
      </c>
      <c r="E3102" s="10" t="n">
        <v>1789</v>
      </c>
      <c r="F3102" s="9" t="s">
        <v>27</v>
      </c>
      <c r="G3102" s="9" t="s">
        <v>27</v>
      </c>
      <c r="H3102" s="11" t="n">
        <v>26</v>
      </c>
      <c r="I3102" s="11" t="s">
        <v>375</v>
      </c>
      <c r="J3102" s="14" t="n">
        <v>245</v>
      </c>
      <c r="K3102" s="14"/>
      <c r="L3102" s="16"/>
      <c r="M3102" s="27" t="n">
        <f aca="false">J3102+(K3102/20)+(L3102/240)</f>
        <v>245</v>
      </c>
      <c r="N3102" s="17" t="s">
        <v>64</v>
      </c>
      <c r="O3102" s="11"/>
      <c r="P3102" s="28"/>
      <c r="Q3102" s="28" t="n">
        <f aca="false">P3102*$M3102</f>
        <v>0</v>
      </c>
      <c r="R3102" s="28"/>
      <c r="S3102" s="28" t="n">
        <f aca="false">R3102*$M3102</f>
        <v>0</v>
      </c>
      <c r="T3102" s="28"/>
      <c r="U3102" s="28" t="n">
        <f aca="false">T3102*$M3102</f>
        <v>0</v>
      </c>
      <c r="V3102" s="28"/>
      <c r="W3102" s="28" t="n">
        <f aca="false">V3102*$M3102</f>
        <v>0</v>
      </c>
      <c r="X3102" s="28"/>
      <c r="Y3102" s="28" t="n">
        <f aca="false">X3102*$M3102</f>
        <v>0</v>
      </c>
      <c r="Z3102" s="28"/>
      <c r="AA3102" s="28" t="n">
        <f aca="false">Z3102*$M3102</f>
        <v>0</v>
      </c>
      <c r="AB3102" s="28"/>
      <c r="AC3102" s="28" t="n">
        <f aca="false">AB3102*$M3102</f>
        <v>0</v>
      </c>
      <c r="AD3102" s="28"/>
      <c r="AE3102" s="28" t="n">
        <f aca="false">AD3102*$M3102</f>
        <v>0</v>
      </c>
      <c r="AF3102" s="28"/>
      <c r="AG3102" s="28" t="n">
        <f aca="false">AF3102*$M3102</f>
        <v>0</v>
      </c>
      <c r="AH3102" s="28" t="n">
        <f aca="false">751/100</f>
        <v>7.51</v>
      </c>
      <c r="AI3102" s="28" t="n">
        <v>1840</v>
      </c>
      <c r="AJ3102" s="28"/>
      <c r="AK3102" s="28" t="n">
        <f aca="false">AJ3102*$M3102</f>
        <v>0</v>
      </c>
      <c r="AL3102" s="28"/>
      <c r="AM3102" s="28" t="n">
        <f aca="false">AL3102*$M3102</f>
        <v>0</v>
      </c>
      <c r="AN3102" s="28"/>
      <c r="AO3102" s="28" t="n">
        <f aca="false">AN3102*$M3102</f>
        <v>0</v>
      </c>
      <c r="AP3102" s="28"/>
      <c r="AQ3102" s="28" t="n">
        <f aca="false">AP3102*$M3102</f>
        <v>0</v>
      </c>
      <c r="AR3102" s="28"/>
      <c r="AS3102" s="28" t="n">
        <f aca="false">AR3102*$M3102</f>
        <v>0</v>
      </c>
      <c r="AT3102" s="28"/>
      <c r="AU3102" s="28" t="n">
        <f aca="false">AT3102*$M3102</f>
        <v>0</v>
      </c>
      <c r="AV3102" s="28"/>
      <c r="AW3102" s="28" t="n">
        <f aca="false">AV3102*$M3102</f>
        <v>0</v>
      </c>
      <c r="AX3102" s="28"/>
      <c r="AY3102" s="28" t="n">
        <f aca="false">AX3102*$M3102</f>
        <v>0</v>
      </c>
      <c r="AZ3102" s="30" t="n">
        <f aca="false">751/100</f>
        <v>7.51</v>
      </c>
      <c r="BA3102" s="11" t="n">
        <v>1840</v>
      </c>
      <c r="BB3102" s="31" t="n">
        <f aca="false">SUM(Q3102,S3102,U3102,W3102,Y3102,AA3102,AC3102,AE3102,AG3102,AI3102,AK3102,AM3102,AO3102,AQ3102,AS3102,AU3102,AW3102,AY3102)</f>
        <v>1840</v>
      </c>
      <c r="BC3102" s="28" t="n">
        <f aca="false">BA3102-BB3102</f>
        <v>0</v>
      </c>
      <c r="BD3102" s="32" t="n">
        <f aca="false">SUM(P3102,R3102,T3102,V3102,X3102,Z3102,AB3102,AD3102,AF3102,AH3102,AJ3102,AL3102,AN3102,AP3102,AR3102,AT3102,AV3102,AX3102)</f>
        <v>7.51</v>
      </c>
      <c r="BE3102" s="33" t="n">
        <f aca="false">AZ3102-BD3102</f>
        <v>0</v>
      </c>
      <c r="BF3102" s="34" t="n">
        <f aca="false">BD3102*M3102</f>
        <v>1839.95</v>
      </c>
      <c r="BG3102" s="35" t="n">
        <f aca="false">BA3102-BF3102</f>
        <v>0.0499999999999545</v>
      </c>
      <c r="BH3102" s="19" t="str">
        <f aca="false">IF(BG3102=0,"",IF(BG3102&lt;&gt;BA3102,"erreur de calcul",IF(BD3102&lt;&gt;0,"pas de prix",IF(M3102&lt;&gt; 0,"pas de quantité","pas de prix, ni de quantité"))))</f>
        <v>erreur de calcul</v>
      </c>
      <c r="BI3102" s="19"/>
    </row>
    <row r="3103" customFormat="false" ht="15" hidden="false" customHeight="false" outlineLevel="0" collapsed="false">
      <c r="A3103" s="0" t="n">
        <v>5</v>
      </c>
      <c r="B3103" s="8" t="s">
        <v>24</v>
      </c>
      <c r="C3103" s="9" t="s">
        <v>25</v>
      </c>
      <c r="D3103" s="9" t="s">
        <v>26</v>
      </c>
      <c r="E3103" s="10" t="n">
        <v>1789</v>
      </c>
      <c r="F3103" s="9" t="s">
        <v>27</v>
      </c>
      <c r="G3103" s="9" t="s">
        <v>27</v>
      </c>
      <c r="H3103" s="11" t="n">
        <v>26</v>
      </c>
      <c r="I3103" s="11" t="s">
        <v>376</v>
      </c>
      <c r="J3103" s="14" t="n">
        <v>550</v>
      </c>
      <c r="K3103" s="14"/>
      <c r="L3103" s="16"/>
      <c r="M3103" s="27" t="n">
        <f aca="false">J3103+(K3103/20)+(L3103/240)</f>
        <v>550</v>
      </c>
      <c r="N3103" s="17" t="s">
        <v>64</v>
      </c>
      <c r="O3103" s="11"/>
      <c r="P3103" s="28"/>
      <c r="Q3103" s="28" t="n">
        <f aca="false">P3103*$M3103</f>
        <v>0</v>
      </c>
      <c r="R3103" s="28"/>
      <c r="S3103" s="28" t="n">
        <f aca="false">R3103*$M3103</f>
        <v>0</v>
      </c>
      <c r="T3103" s="28"/>
      <c r="U3103" s="28" t="n">
        <f aca="false">T3103*$M3103</f>
        <v>0</v>
      </c>
      <c r="V3103" s="28"/>
      <c r="W3103" s="28" t="n">
        <f aca="false">V3103*$M3103</f>
        <v>0</v>
      </c>
      <c r="X3103" s="28"/>
      <c r="Y3103" s="28" t="n">
        <f aca="false">X3103*$M3103</f>
        <v>0</v>
      </c>
      <c r="Z3103" s="28"/>
      <c r="AA3103" s="28" t="n">
        <f aca="false">Z3103*$M3103</f>
        <v>0</v>
      </c>
      <c r="AB3103" s="28"/>
      <c r="AC3103" s="28" t="n">
        <f aca="false">AB3103*$M3103</f>
        <v>0</v>
      </c>
      <c r="AD3103" s="28"/>
      <c r="AE3103" s="28" t="n">
        <f aca="false">AD3103*$M3103</f>
        <v>0</v>
      </c>
      <c r="AF3103" s="28"/>
      <c r="AG3103" s="28" t="n">
        <f aca="false">AF3103*$M3103</f>
        <v>0</v>
      </c>
      <c r="AH3103" s="28" t="n">
        <f aca="false">215551/100</f>
        <v>2155.51</v>
      </c>
      <c r="AI3103" s="28" t="n">
        <v>1185530</v>
      </c>
      <c r="AJ3103" s="28"/>
      <c r="AK3103" s="28" t="n">
        <f aca="false">AJ3103*$M3103</f>
        <v>0</v>
      </c>
      <c r="AL3103" s="28"/>
      <c r="AM3103" s="28" t="n">
        <f aca="false">AL3103*$M3103</f>
        <v>0</v>
      </c>
      <c r="AN3103" s="28"/>
      <c r="AO3103" s="28" t="n">
        <f aca="false">AN3103*$M3103</f>
        <v>0</v>
      </c>
      <c r="AP3103" s="28"/>
      <c r="AQ3103" s="28" t="n">
        <f aca="false">AP3103*$M3103</f>
        <v>0</v>
      </c>
      <c r="AR3103" s="28"/>
      <c r="AS3103" s="28" t="n">
        <f aca="false">AR3103*$M3103</f>
        <v>0</v>
      </c>
      <c r="AT3103" s="28"/>
      <c r="AU3103" s="28" t="n">
        <f aca="false">AT3103*$M3103</f>
        <v>0</v>
      </c>
      <c r="AV3103" s="28"/>
      <c r="AW3103" s="28" t="n">
        <f aca="false">AV3103*$M3103</f>
        <v>0</v>
      </c>
      <c r="AX3103" s="28"/>
      <c r="AY3103" s="28" t="n">
        <f aca="false">AX3103*$M3103</f>
        <v>0</v>
      </c>
      <c r="AZ3103" s="30" t="n">
        <f aca="false">215551/100</f>
        <v>2155.51</v>
      </c>
      <c r="BA3103" s="11" t="n">
        <v>1185530</v>
      </c>
      <c r="BB3103" s="31" t="n">
        <f aca="false">SUM(Q3103,S3103,U3103,W3103,Y3103,AA3103,AC3103,AE3103,AG3103,AI3103,AK3103,AM3103,AO3103,AQ3103,AS3103,AU3103,AW3103,AY3103)</f>
        <v>1185530</v>
      </c>
      <c r="BC3103" s="28" t="n">
        <f aca="false">BA3103-BB3103</f>
        <v>0</v>
      </c>
      <c r="BD3103" s="32" t="n">
        <f aca="false">SUM(P3103,R3103,T3103,V3103,X3103,Z3103,AB3103,AD3103,AF3103,AH3103,AJ3103,AL3103,AN3103,AP3103,AR3103,AT3103,AV3103,AX3103)</f>
        <v>2155.51</v>
      </c>
      <c r="BE3103" s="33" t="n">
        <f aca="false">AZ3103-BD3103</f>
        <v>0</v>
      </c>
      <c r="BF3103" s="34" t="n">
        <f aca="false">BD3103*M3103</f>
        <v>1185530.5</v>
      </c>
      <c r="BG3103" s="35" t="n">
        <f aca="false">BA3103-BF3103</f>
        <v>-0.500000000232831</v>
      </c>
      <c r="BH3103" s="19" t="str">
        <f aca="false">IF(BG3103=0,"",IF(BG3103&lt;&gt;BA3103,"erreur de calcul",IF(BD3103&lt;&gt;0,"pas de prix",IF(M3103&lt;&gt; 0,"pas de quantité","pas de prix, ni de quantité"))))</f>
        <v>erreur de calcul</v>
      </c>
      <c r="BI3103" s="19"/>
    </row>
    <row r="3104" customFormat="false" ht="15" hidden="false" customHeight="false" outlineLevel="0" collapsed="false">
      <c r="A3104" s="0" t="n">
        <v>6</v>
      </c>
      <c r="B3104" s="8" t="s">
        <v>24</v>
      </c>
      <c r="C3104" s="9" t="s">
        <v>25</v>
      </c>
      <c r="D3104" s="9" t="s">
        <v>26</v>
      </c>
      <c r="E3104" s="10" t="n">
        <v>1789</v>
      </c>
      <c r="F3104" s="9" t="s">
        <v>27</v>
      </c>
      <c r="G3104" s="9" t="s">
        <v>27</v>
      </c>
      <c r="H3104" s="11" t="n">
        <v>26</v>
      </c>
      <c r="I3104" s="11" t="s">
        <v>377</v>
      </c>
      <c r="J3104" s="14"/>
      <c r="K3104" s="14"/>
      <c r="L3104" s="16"/>
      <c r="M3104" s="27" t="n">
        <f aca="false">J3104+(K3104/20)+(L3104/240)</f>
        <v>0</v>
      </c>
      <c r="N3104" s="17"/>
      <c r="O3104" s="11"/>
      <c r="P3104" s="28"/>
      <c r="Q3104" s="28" t="n">
        <f aca="false">P3104*$M3104</f>
        <v>0</v>
      </c>
      <c r="R3104" s="28"/>
      <c r="S3104" s="28" t="n">
        <f aca="false">R3104*$M3104</f>
        <v>0</v>
      </c>
      <c r="T3104" s="28"/>
      <c r="U3104" s="28" t="n">
        <v>517</v>
      </c>
      <c r="V3104" s="28"/>
      <c r="W3104" s="28" t="n">
        <v>1243</v>
      </c>
      <c r="X3104" s="28"/>
      <c r="Y3104" s="28" t="n">
        <f aca="false">X3104*$M3104</f>
        <v>0</v>
      </c>
      <c r="Z3104" s="28"/>
      <c r="AA3104" s="28" t="n">
        <f aca="false">Z3104*$M3104</f>
        <v>0</v>
      </c>
      <c r="AB3104" s="28"/>
      <c r="AC3104" s="28" t="n">
        <v>694</v>
      </c>
      <c r="AD3104" s="28"/>
      <c r="AE3104" s="28" t="n">
        <f aca="false">AD3104*$M3104</f>
        <v>0</v>
      </c>
      <c r="AF3104" s="28"/>
      <c r="AG3104" s="28" t="n">
        <f aca="false">AF3104*$M3104</f>
        <v>0</v>
      </c>
      <c r="AH3104" s="28"/>
      <c r="AI3104" s="28" t="n">
        <f aca="false">AH3104*$M3104</f>
        <v>0</v>
      </c>
      <c r="AJ3104" s="28"/>
      <c r="AK3104" s="28" t="n">
        <v>664</v>
      </c>
      <c r="AL3104" s="28"/>
      <c r="AM3104" s="28" t="n">
        <v>161</v>
      </c>
      <c r="AN3104" s="28"/>
      <c r="AO3104" s="28" t="n">
        <f aca="false">AN3104*$M3104</f>
        <v>0</v>
      </c>
      <c r="AP3104" s="28"/>
      <c r="AQ3104" s="28" t="n">
        <f aca="false">AP3104*$M3104</f>
        <v>0</v>
      </c>
      <c r="AR3104" s="28"/>
      <c r="AS3104" s="28" t="n">
        <f aca="false">AR3104*$M3104</f>
        <v>0</v>
      </c>
      <c r="AT3104" s="28"/>
      <c r="AU3104" s="28" t="n">
        <f aca="false">AT3104*$M3104</f>
        <v>0</v>
      </c>
      <c r="AV3104" s="28"/>
      <c r="AW3104" s="28" t="n">
        <f aca="false">AV3104*$M3104</f>
        <v>0</v>
      </c>
      <c r="AX3104" s="28"/>
      <c r="AY3104" s="28" t="n">
        <f aca="false">AX3104*$M3104</f>
        <v>0</v>
      </c>
      <c r="AZ3104" s="30"/>
      <c r="BA3104" s="11" t="n">
        <v>3279</v>
      </c>
      <c r="BB3104" s="31" t="n">
        <f aca="false">SUM(Q3104,S3104,U3104,W3104,Y3104,AA3104,AC3104,AE3104,AG3104,AI3104,AK3104,AM3104,AO3104,AQ3104,AS3104,AU3104,AW3104,AY3104)</f>
        <v>3279</v>
      </c>
      <c r="BC3104" s="28" t="n">
        <f aca="false">BA3104-BB3104</f>
        <v>0</v>
      </c>
      <c r="BD3104" s="32" t="n">
        <f aca="false">SUM(P3104,R3104,T3104,V3104,X3104,Z3104,AB3104,AD3104,AF3104,AH3104,AJ3104,AL3104,AN3104,AP3104,AR3104,AT3104,AV3104,AX3104)</f>
        <v>0</v>
      </c>
      <c r="BE3104" s="33" t="n">
        <f aca="false">AZ3104-BD3104</f>
        <v>0</v>
      </c>
      <c r="BF3104" s="34" t="n">
        <f aca="false">BD3104*M3104</f>
        <v>0</v>
      </c>
      <c r="BG3104" s="35" t="n">
        <f aca="false">BA3104-BF3104</f>
        <v>3279</v>
      </c>
      <c r="BH3104" s="19" t="str">
        <f aca="false">IF(BG3104=0,"",IF(BG3104&lt;&gt;BA3104,"erreur de calcul",IF(BD3104&lt;&gt;0,"pas de prix",IF(M3104&lt;&gt; 0,"pas de quantité","pas de prix, ni de quantité"))))</f>
        <v>pas de prix, ni de quantité</v>
      </c>
      <c r="BI3104" s="19"/>
    </row>
    <row r="3105" customFormat="false" ht="15" hidden="false" customHeight="false" outlineLevel="0" collapsed="false">
      <c r="A3105" s="0" t="n">
        <v>7</v>
      </c>
      <c r="B3105" s="8" t="s">
        <v>24</v>
      </c>
      <c r="C3105" s="9" t="s">
        <v>25</v>
      </c>
      <c r="D3105" s="9" t="s">
        <v>26</v>
      </c>
      <c r="E3105" s="10" t="n">
        <v>1789</v>
      </c>
      <c r="F3105" s="9" t="s">
        <v>27</v>
      </c>
      <c r="G3105" s="9" t="s">
        <v>27</v>
      </c>
      <c r="H3105" s="11" t="n">
        <v>26</v>
      </c>
      <c r="I3105" s="11" t="s">
        <v>378</v>
      </c>
      <c r="J3105" s="14" t="n">
        <v>27</v>
      </c>
      <c r="K3105" s="14"/>
      <c r="L3105" s="16"/>
      <c r="M3105" s="27" t="n">
        <f aca="false">J3105+(K3105/20)+(L3105/240)</f>
        <v>27</v>
      </c>
      <c r="N3105" s="17" t="s">
        <v>379</v>
      </c>
      <c r="O3105" s="11" t="s">
        <v>98</v>
      </c>
      <c r="P3105" s="28"/>
      <c r="Q3105" s="28" t="n">
        <f aca="false">P3105*$M3105</f>
        <v>0</v>
      </c>
      <c r="R3105" s="28"/>
      <c r="S3105" s="28" t="n">
        <f aca="false">R3105*$M3105</f>
        <v>0</v>
      </c>
      <c r="T3105" s="28"/>
      <c r="U3105" s="28" t="n">
        <f aca="false">T3105*$M3105</f>
        <v>0</v>
      </c>
      <c r="V3105" s="28"/>
      <c r="W3105" s="28" t="n">
        <f aca="false">V3105*$M3105</f>
        <v>0</v>
      </c>
      <c r="X3105" s="28"/>
      <c r="Y3105" s="28" t="n">
        <f aca="false">X3105*$M3105</f>
        <v>0</v>
      </c>
      <c r="Z3105" s="28"/>
      <c r="AA3105" s="28" t="n">
        <f aca="false">Z3105*$M3105</f>
        <v>0</v>
      </c>
      <c r="AB3105" s="28"/>
      <c r="AC3105" s="28" t="n">
        <f aca="false">AB3105*$M3105</f>
        <v>0</v>
      </c>
      <c r="AD3105" s="28"/>
      <c r="AE3105" s="28" t="n">
        <f aca="false">AD3105*$M3105</f>
        <v>0</v>
      </c>
      <c r="AF3105" s="28"/>
      <c r="AG3105" s="28" t="n">
        <f aca="false">AF3105*$M3105</f>
        <v>0</v>
      </c>
      <c r="AH3105" s="28"/>
      <c r="AI3105" s="28" t="n">
        <f aca="false">AH3105*$M3105</f>
        <v>0</v>
      </c>
      <c r="AJ3105" s="28"/>
      <c r="AK3105" s="28" t="n">
        <f aca="false">AJ3105*$M3105</f>
        <v>0</v>
      </c>
      <c r="AL3105" s="28"/>
      <c r="AM3105" s="28" t="n">
        <f aca="false">AL3105*$M3105</f>
        <v>0</v>
      </c>
      <c r="AN3105" s="28"/>
      <c r="AO3105" s="28" t="n">
        <f aca="false">AN3105*$M3105</f>
        <v>0</v>
      </c>
      <c r="AP3105" s="28"/>
      <c r="AQ3105" s="28" t="n">
        <f aca="false">AP3105*$M3105</f>
        <v>0</v>
      </c>
      <c r="AR3105" s="28"/>
      <c r="AS3105" s="28" t="n">
        <f aca="false">AR3105*$M3105</f>
        <v>0</v>
      </c>
      <c r="AT3105" s="28"/>
      <c r="AU3105" s="28" t="n">
        <f aca="false">AT3105*$M3105</f>
        <v>0</v>
      </c>
      <c r="AV3105" s="28"/>
      <c r="AW3105" s="28" t="n">
        <f aca="false">AV3105*$M3105</f>
        <v>0</v>
      </c>
      <c r="AX3105" s="28"/>
      <c r="AY3105" s="28" t="n">
        <f aca="false">AX3105*$M3105</f>
        <v>0</v>
      </c>
      <c r="AZ3105" s="30"/>
      <c r="BA3105" s="11"/>
      <c r="BB3105" s="31" t="n">
        <f aca="false">SUM(Q3105,S3105,U3105,W3105,Y3105,AA3105,AC3105,AE3105,AG3105,AI3105,AK3105,AM3105,AO3105,AQ3105,AS3105,AU3105,AW3105,AY3105)</f>
        <v>0</v>
      </c>
      <c r="BC3105" s="28" t="n">
        <f aca="false">BA3105-BB3105</f>
        <v>0</v>
      </c>
      <c r="BD3105" s="32" t="n">
        <f aca="false">SUM(P3105,R3105,T3105,V3105,X3105,Z3105,AB3105,AD3105,AF3105,AH3105,AJ3105,AL3105,AN3105,AP3105,AR3105,AT3105,AV3105,AX3105)</f>
        <v>0</v>
      </c>
      <c r="BE3105" s="33" t="n">
        <f aca="false">AZ3105-BD3105</f>
        <v>0</v>
      </c>
      <c r="BF3105" s="34" t="n">
        <f aca="false">BD3105*M3105</f>
        <v>0</v>
      </c>
      <c r="BG3105" s="35" t="n">
        <f aca="false">BA3105-BF3105</f>
        <v>0</v>
      </c>
      <c r="BH3105" s="19" t="str">
        <f aca="false">IF(BG3105=0,"",IF(BG3105&lt;&gt;BA3105,"erreur de calcul",IF(BD3105&lt;&gt;0,"pas de prix",IF(M3105&lt;&gt; 0,"pas de quantité","pas de prix, ni de quantité"))))</f>
        <v/>
      </c>
      <c r="BI3105" s="19"/>
    </row>
    <row r="3106" customFormat="false" ht="15" hidden="false" customHeight="false" outlineLevel="0" collapsed="false">
      <c r="A3106" s="0" t="n">
        <v>8</v>
      </c>
      <c r="B3106" s="8" t="s">
        <v>24</v>
      </c>
      <c r="C3106" s="9" t="s">
        <v>25</v>
      </c>
      <c r="D3106" s="9" t="s">
        <v>26</v>
      </c>
      <c r="E3106" s="10" t="n">
        <v>1789</v>
      </c>
      <c r="F3106" s="9" t="s">
        <v>27</v>
      </c>
      <c r="G3106" s="9" t="s">
        <v>27</v>
      </c>
      <c r="H3106" s="11" t="n">
        <v>26</v>
      </c>
      <c r="I3106" s="11" t="s">
        <v>380</v>
      </c>
      <c r="J3106" s="14" t="n">
        <v>30</v>
      </c>
      <c r="K3106" s="14"/>
      <c r="L3106" s="16"/>
      <c r="M3106" s="27" t="n">
        <f aca="false">J3106+(K3106/20)+(L3106/240)</f>
        <v>30</v>
      </c>
      <c r="N3106" s="17" t="s">
        <v>64</v>
      </c>
      <c r="O3106" s="11"/>
      <c r="P3106" s="28"/>
      <c r="Q3106" s="28" t="n">
        <f aca="false">P3106*$M3106</f>
        <v>0</v>
      </c>
      <c r="R3106" s="28"/>
      <c r="S3106" s="28" t="n">
        <f aca="false">R3106*$M3106</f>
        <v>0</v>
      </c>
      <c r="T3106" s="28"/>
      <c r="U3106" s="28" t="n">
        <f aca="false">T3106*$M3106</f>
        <v>0</v>
      </c>
      <c r="V3106" s="28"/>
      <c r="W3106" s="28" t="n">
        <f aca="false">V3106*$M3106</f>
        <v>0</v>
      </c>
      <c r="X3106" s="28"/>
      <c r="Y3106" s="28" t="n">
        <f aca="false">X3106*$M3106</f>
        <v>0</v>
      </c>
      <c r="Z3106" s="28"/>
      <c r="AA3106" s="28" t="n">
        <f aca="false">Z3106*$M3106</f>
        <v>0</v>
      </c>
      <c r="AB3106" s="28"/>
      <c r="AC3106" s="28" t="n">
        <f aca="false">AB3106*$M3106</f>
        <v>0</v>
      </c>
      <c r="AD3106" s="28"/>
      <c r="AE3106" s="28" t="n">
        <f aca="false">AD3106*$M3106</f>
        <v>0</v>
      </c>
      <c r="AF3106" s="28"/>
      <c r="AG3106" s="28" t="n">
        <f aca="false">AF3106*$M3106</f>
        <v>0</v>
      </c>
      <c r="AH3106" s="28"/>
      <c r="AI3106" s="28" t="n">
        <f aca="false">AH3106*$M3106</f>
        <v>0</v>
      </c>
      <c r="AJ3106" s="28"/>
      <c r="AK3106" s="28" t="n">
        <f aca="false">AJ3106*$M3106</f>
        <v>0</v>
      </c>
      <c r="AL3106" s="28"/>
      <c r="AM3106" s="28" t="n">
        <f aca="false">AL3106*$M3106</f>
        <v>0</v>
      </c>
      <c r="AN3106" s="28"/>
      <c r="AO3106" s="28" t="n">
        <f aca="false">AN3106*$M3106</f>
        <v>0</v>
      </c>
      <c r="AP3106" s="28"/>
      <c r="AQ3106" s="28" t="n">
        <f aca="false">AP3106*$M3106</f>
        <v>0</v>
      </c>
      <c r="AR3106" s="28"/>
      <c r="AS3106" s="28" t="n">
        <f aca="false">AR3106*$M3106</f>
        <v>0</v>
      </c>
      <c r="AT3106" s="28"/>
      <c r="AU3106" s="28" t="n">
        <f aca="false">AT3106*$M3106</f>
        <v>0</v>
      </c>
      <c r="AV3106" s="28" t="n">
        <f aca="false">5417/100</f>
        <v>54.17</v>
      </c>
      <c r="AW3106" s="28" t="n">
        <v>1625</v>
      </c>
      <c r="AX3106" s="28"/>
      <c r="AY3106" s="28" t="n">
        <f aca="false">AX3106*$M3106</f>
        <v>0</v>
      </c>
      <c r="AZ3106" s="30"/>
      <c r="BA3106" s="11" t="n">
        <v>1625</v>
      </c>
      <c r="BB3106" s="31" t="n">
        <f aca="false">SUM(Q3106,S3106,U3106,W3106,Y3106,AA3106,AC3106,AE3106,AG3106,AI3106,AK3106,AM3106,AO3106,AQ3106,AS3106,AU3106,AW3106,AY3106)</f>
        <v>1625</v>
      </c>
      <c r="BC3106" s="28" t="n">
        <f aca="false">BA3106-BB3106</f>
        <v>0</v>
      </c>
      <c r="BD3106" s="32" t="n">
        <f aca="false">SUM(P3106,R3106,T3106,V3106,X3106,Z3106,AB3106,AD3106,AF3106,AH3106,AJ3106,AL3106,AN3106,AP3106,AR3106,AT3106,AV3106,AX3106)</f>
        <v>54.17</v>
      </c>
      <c r="BE3106" s="33" t="n">
        <f aca="false">AZ3106-BD3106</f>
        <v>-54.17</v>
      </c>
      <c r="BF3106" s="34" t="n">
        <f aca="false">BD3106*M3106</f>
        <v>1625.1</v>
      </c>
      <c r="BG3106" s="35" t="n">
        <f aca="false">BA3106-BF3106</f>
        <v>-0.100000000000136</v>
      </c>
      <c r="BH3106" s="19" t="str">
        <f aca="false">IF(BG3106=0,"",IF(BG3106&lt;&gt;BA3106,"erreur de calcul",IF(BD3106&lt;&gt;0,"pas de prix",IF(M3106&lt;&gt; 0,"pas de quantité","pas de prix, ni de quantité"))))</f>
        <v>erreur de calcul</v>
      </c>
      <c r="BI3106" s="19"/>
    </row>
    <row r="3107" customFormat="false" ht="15" hidden="false" customHeight="false" outlineLevel="0" collapsed="false">
      <c r="A3107" s="0" t="n">
        <v>9</v>
      </c>
      <c r="B3107" s="8" t="s">
        <v>24</v>
      </c>
      <c r="C3107" s="9" t="s">
        <v>25</v>
      </c>
      <c r="D3107" s="9" t="s">
        <v>26</v>
      </c>
      <c r="E3107" s="10" t="n">
        <v>1789</v>
      </c>
      <c r="F3107" s="9" t="s">
        <v>27</v>
      </c>
      <c r="G3107" s="9" t="s">
        <v>27</v>
      </c>
      <c r="H3107" s="11" t="n">
        <v>26</v>
      </c>
      <c r="I3107" s="11" t="s">
        <v>381</v>
      </c>
      <c r="J3107" s="14" t="n">
        <v>6</v>
      </c>
      <c r="K3107" s="14"/>
      <c r="L3107" s="16"/>
      <c r="M3107" s="27" t="n">
        <f aca="false">J3107+(K3107/20)+(L3107/240)</f>
        <v>6</v>
      </c>
      <c r="N3107" s="17" t="s">
        <v>379</v>
      </c>
      <c r="O3107" s="11" t="s">
        <v>98</v>
      </c>
      <c r="P3107" s="28"/>
      <c r="Q3107" s="28" t="n">
        <f aca="false">P3107*$M3107</f>
        <v>0</v>
      </c>
      <c r="R3107" s="28"/>
      <c r="S3107" s="28" t="n">
        <f aca="false">R3107*$M3107</f>
        <v>0</v>
      </c>
      <c r="T3107" s="28"/>
      <c r="U3107" s="28" t="n">
        <f aca="false">T3107*$M3107</f>
        <v>0</v>
      </c>
      <c r="V3107" s="28"/>
      <c r="W3107" s="28" t="n">
        <f aca="false">V3107*$M3107</f>
        <v>0</v>
      </c>
      <c r="X3107" s="28"/>
      <c r="Y3107" s="28" t="n">
        <f aca="false">X3107*$M3107</f>
        <v>0</v>
      </c>
      <c r="Z3107" s="28"/>
      <c r="AA3107" s="28" t="n">
        <f aca="false">Z3107*$M3107</f>
        <v>0</v>
      </c>
      <c r="AB3107" s="28"/>
      <c r="AC3107" s="28" t="n">
        <f aca="false">AB3107*$M3107</f>
        <v>0</v>
      </c>
      <c r="AD3107" s="28"/>
      <c r="AE3107" s="28" t="n">
        <f aca="false">AD3107*$M3107</f>
        <v>0</v>
      </c>
      <c r="AF3107" s="28"/>
      <c r="AG3107" s="28" t="n">
        <f aca="false">AF3107*$M3107</f>
        <v>0</v>
      </c>
      <c r="AH3107" s="28"/>
      <c r="AI3107" s="28" t="n">
        <f aca="false">AH3107*$M3107</f>
        <v>0</v>
      </c>
      <c r="AJ3107" s="28"/>
      <c r="AK3107" s="28" t="n">
        <f aca="false">AJ3107*$M3107</f>
        <v>0</v>
      </c>
      <c r="AL3107" s="28"/>
      <c r="AM3107" s="28" t="n">
        <f aca="false">AL3107*$M3107</f>
        <v>0</v>
      </c>
      <c r="AN3107" s="28"/>
      <c r="AO3107" s="28" t="n">
        <f aca="false">AN3107*$M3107</f>
        <v>0</v>
      </c>
      <c r="AP3107" s="28"/>
      <c r="AQ3107" s="28" t="n">
        <f aca="false">AP3107*$M3107</f>
        <v>0</v>
      </c>
      <c r="AR3107" s="28"/>
      <c r="AS3107" s="28" t="n">
        <f aca="false">AR3107*$M3107</f>
        <v>0</v>
      </c>
      <c r="AT3107" s="28"/>
      <c r="AU3107" s="28" t="n">
        <f aca="false">AT3107*$M3107</f>
        <v>0</v>
      </c>
      <c r="AV3107" s="28"/>
      <c r="AW3107" s="28" t="n">
        <f aca="false">AV3107*$M3107</f>
        <v>0</v>
      </c>
      <c r="AX3107" s="28"/>
      <c r="AY3107" s="28" t="n">
        <f aca="false">AX3107*$M3107</f>
        <v>0</v>
      </c>
      <c r="AZ3107" s="30"/>
      <c r="BA3107" s="11"/>
      <c r="BB3107" s="31" t="n">
        <f aca="false">SUM(Q3107,S3107,U3107,W3107,Y3107,AA3107,AC3107,AE3107,AG3107,AI3107,AK3107,AM3107,AO3107,AQ3107,AS3107,AU3107,AW3107,AY3107)</f>
        <v>0</v>
      </c>
      <c r="BC3107" s="28" t="n">
        <f aca="false">BA3107-BB3107</f>
        <v>0</v>
      </c>
      <c r="BD3107" s="32" t="n">
        <f aca="false">SUM(P3107,R3107,T3107,V3107,X3107,Z3107,AB3107,AD3107,AF3107,AH3107,AJ3107,AL3107,AN3107,AP3107,AR3107,AT3107,AV3107,AX3107)</f>
        <v>0</v>
      </c>
      <c r="BE3107" s="33" t="n">
        <f aca="false">AZ3107-BD3107</f>
        <v>0</v>
      </c>
      <c r="BF3107" s="34" t="n">
        <f aca="false">BD3107*M3107</f>
        <v>0</v>
      </c>
      <c r="BG3107" s="35" t="n">
        <f aca="false">BA3107-BF3107</f>
        <v>0</v>
      </c>
      <c r="BH3107" s="19" t="str">
        <f aca="false">IF(BG3107=0,"",IF(BG3107&lt;&gt;BA3107,"erreur de calcul",IF(BD3107&lt;&gt;0,"pas de prix",IF(M3107&lt;&gt; 0,"pas de quantité","pas de prix, ni de quantité"))))</f>
        <v/>
      </c>
      <c r="BI3107" s="19"/>
    </row>
    <row r="3108" customFormat="false" ht="15" hidden="false" customHeight="false" outlineLevel="0" collapsed="false">
      <c r="A3108" s="0" t="n">
        <v>10</v>
      </c>
      <c r="B3108" s="8" t="s">
        <v>24</v>
      </c>
      <c r="C3108" s="9" t="s">
        <v>25</v>
      </c>
      <c r="D3108" s="9" t="s">
        <v>26</v>
      </c>
      <c r="E3108" s="10" t="n">
        <v>1789</v>
      </c>
      <c r="F3108" s="9" t="s">
        <v>27</v>
      </c>
      <c r="G3108" s="9" t="s">
        <v>27</v>
      </c>
      <c r="H3108" s="11" t="n">
        <v>26</v>
      </c>
      <c r="I3108" s="11" t="s">
        <v>381</v>
      </c>
      <c r="J3108" s="14" t="n">
        <v>40</v>
      </c>
      <c r="K3108" s="14"/>
      <c r="L3108" s="16"/>
      <c r="M3108" s="27" t="n">
        <f aca="false">J3108+(K3108/20)+(L3108/240)</f>
        <v>40</v>
      </c>
      <c r="N3108" s="17" t="s">
        <v>382</v>
      </c>
      <c r="O3108" s="11" t="s">
        <v>98</v>
      </c>
      <c r="P3108" s="28"/>
      <c r="Q3108" s="28" t="n">
        <f aca="false">P3108*$M3108</f>
        <v>0</v>
      </c>
      <c r="R3108" s="28"/>
      <c r="S3108" s="28" t="n">
        <f aca="false">R3108*$M3108</f>
        <v>0</v>
      </c>
      <c r="T3108" s="28"/>
      <c r="U3108" s="28" t="n">
        <f aca="false">T3108*$M3108</f>
        <v>0</v>
      </c>
      <c r="V3108" s="28"/>
      <c r="W3108" s="28" t="n">
        <f aca="false">V3108*$M3108</f>
        <v>0</v>
      </c>
      <c r="X3108" s="28"/>
      <c r="Y3108" s="28" t="n">
        <f aca="false">X3108*$M3108</f>
        <v>0</v>
      </c>
      <c r="Z3108" s="28"/>
      <c r="AA3108" s="28" t="n">
        <f aca="false">Z3108*$M3108</f>
        <v>0</v>
      </c>
      <c r="AB3108" s="28"/>
      <c r="AC3108" s="28" t="n">
        <f aca="false">AB3108*$M3108</f>
        <v>0</v>
      </c>
      <c r="AD3108" s="28"/>
      <c r="AE3108" s="28" t="n">
        <f aca="false">AD3108*$M3108</f>
        <v>0</v>
      </c>
      <c r="AF3108" s="28"/>
      <c r="AG3108" s="28" t="n">
        <f aca="false">AF3108*$M3108</f>
        <v>0</v>
      </c>
      <c r="AH3108" s="28"/>
      <c r="AI3108" s="28" t="n">
        <f aca="false">AH3108*$M3108</f>
        <v>0</v>
      </c>
      <c r="AJ3108" s="28"/>
      <c r="AK3108" s="28" t="n">
        <f aca="false">AJ3108*$M3108</f>
        <v>0</v>
      </c>
      <c r="AL3108" s="28"/>
      <c r="AM3108" s="28" t="n">
        <f aca="false">AL3108*$M3108</f>
        <v>0</v>
      </c>
      <c r="AN3108" s="28"/>
      <c r="AO3108" s="28" t="n">
        <f aca="false">AN3108*$M3108</f>
        <v>0</v>
      </c>
      <c r="AP3108" s="28"/>
      <c r="AQ3108" s="28" t="n">
        <f aca="false">AP3108*$M3108</f>
        <v>0</v>
      </c>
      <c r="AR3108" s="28"/>
      <c r="AS3108" s="28" t="n">
        <f aca="false">AR3108*$M3108</f>
        <v>0</v>
      </c>
      <c r="AT3108" s="28"/>
      <c r="AU3108" s="28" t="n">
        <f aca="false">AT3108*$M3108</f>
        <v>0</v>
      </c>
      <c r="AV3108" s="28"/>
      <c r="AW3108" s="28" t="n">
        <f aca="false">AV3108*$M3108</f>
        <v>0</v>
      </c>
      <c r="AX3108" s="28"/>
      <c r="AY3108" s="28" t="n">
        <f aca="false">AX3108*$M3108</f>
        <v>0</v>
      </c>
      <c r="AZ3108" s="30"/>
      <c r="BA3108" s="11"/>
      <c r="BB3108" s="31" t="n">
        <f aca="false">SUM(Q3108,S3108,U3108,W3108,Y3108,AA3108,AC3108,AE3108,AG3108,AI3108,AK3108,AM3108,AO3108,AQ3108,AS3108,AU3108,AW3108,AY3108)</f>
        <v>0</v>
      </c>
      <c r="BC3108" s="28" t="n">
        <f aca="false">BA3108-BB3108</f>
        <v>0</v>
      </c>
      <c r="BD3108" s="32" t="n">
        <f aca="false">SUM(P3108,R3108,T3108,V3108,X3108,Z3108,AB3108,AD3108,AF3108,AH3108,AJ3108,AL3108,AN3108,AP3108,AR3108,AT3108,AV3108,AX3108)</f>
        <v>0</v>
      </c>
      <c r="BE3108" s="33" t="n">
        <f aca="false">AZ3108-BD3108</f>
        <v>0</v>
      </c>
      <c r="BF3108" s="34" t="n">
        <f aca="false">BD3108*M3108</f>
        <v>0</v>
      </c>
      <c r="BG3108" s="35" t="n">
        <f aca="false">BA3108-BF3108</f>
        <v>0</v>
      </c>
      <c r="BH3108" s="19" t="str">
        <f aca="false">IF(BG3108=0,"",IF(BG3108&lt;&gt;BA3108,"erreur de calcul",IF(BD3108&lt;&gt;0,"pas de prix",IF(M3108&lt;&gt; 0,"pas de quantité","pas de prix, ni de quantité"))))</f>
        <v/>
      </c>
      <c r="BI3108" s="19"/>
    </row>
    <row r="3109" customFormat="false" ht="15" hidden="false" customHeight="false" outlineLevel="0" collapsed="false">
      <c r="A3109" s="0" t="n">
        <v>11</v>
      </c>
      <c r="B3109" s="8" t="s">
        <v>24</v>
      </c>
      <c r="C3109" s="9" t="s">
        <v>25</v>
      </c>
      <c r="D3109" s="9" t="s">
        <v>26</v>
      </c>
      <c r="E3109" s="10" t="n">
        <v>1789</v>
      </c>
      <c r="F3109" s="9" t="s">
        <v>27</v>
      </c>
      <c r="G3109" s="9" t="s">
        <v>27</v>
      </c>
      <c r="H3109" s="11" t="n">
        <v>26</v>
      </c>
      <c r="I3109" s="11" t="s">
        <v>383</v>
      </c>
      <c r="J3109" s="14" t="n">
        <v>50</v>
      </c>
      <c r="K3109" s="14"/>
      <c r="L3109" s="16"/>
      <c r="M3109" s="27" t="n">
        <f aca="false">J3109+(K3109/20)+(L3109/240)</f>
        <v>50</v>
      </c>
      <c r="N3109" s="17" t="s">
        <v>64</v>
      </c>
      <c r="O3109" s="11"/>
      <c r="P3109" s="28" t="n">
        <f aca="false">54967/100</f>
        <v>549.67</v>
      </c>
      <c r="Q3109" s="28" t="n">
        <v>27483</v>
      </c>
      <c r="R3109" s="28"/>
      <c r="S3109" s="28" t="n">
        <f aca="false">R3109*$M3109</f>
        <v>0</v>
      </c>
      <c r="T3109" s="28" t="n">
        <f aca="false">74693/100</f>
        <v>746.93</v>
      </c>
      <c r="U3109" s="28" t="n">
        <v>37346</v>
      </c>
      <c r="V3109" s="28" t="n">
        <f aca="false">161729/100</f>
        <v>1617.29</v>
      </c>
      <c r="W3109" s="28" t="n">
        <v>80864</v>
      </c>
      <c r="X3109" s="28" t="n">
        <f aca="false">106689/100</f>
        <v>1066.89</v>
      </c>
      <c r="Y3109" s="28" t="n">
        <v>53344</v>
      </c>
      <c r="Z3109" s="28"/>
      <c r="AA3109" s="28" t="n">
        <f aca="false">Z3109*$M3109</f>
        <v>0</v>
      </c>
      <c r="AB3109" s="28"/>
      <c r="AC3109" s="28" t="n">
        <f aca="false">AB3109*$M3109</f>
        <v>0</v>
      </c>
      <c r="AD3109" s="28"/>
      <c r="AE3109" s="28" t="n">
        <f aca="false">AD3109*$M3109</f>
        <v>0</v>
      </c>
      <c r="AF3109" s="28"/>
      <c r="AG3109" s="28" t="n">
        <f aca="false">AF3109*$M3109</f>
        <v>0</v>
      </c>
      <c r="AH3109" s="28"/>
      <c r="AI3109" s="28" t="n">
        <f aca="false">AH3109*$M3109</f>
        <v>0</v>
      </c>
      <c r="AJ3109" s="28"/>
      <c r="AK3109" s="28" t="n">
        <f aca="false">AJ3109*$M3109</f>
        <v>0</v>
      </c>
      <c r="AL3109" s="28"/>
      <c r="AM3109" s="28" t="n">
        <f aca="false">AL3109*$M3109</f>
        <v>0</v>
      </c>
      <c r="AN3109" s="28"/>
      <c r="AO3109" s="28" t="n">
        <f aca="false">AN3109*$M3109</f>
        <v>0</v>
      </c>
      <c r="AP3109" s="28"/>
      <c r="AQ3109" s="28" t="n">
        <f aca="false">AP3109*$M3109</f>
        <v>0</v>
      </c>
      <c r="AR3109" s="28"/>
      <c r="AS3109" s="28" t="n">
        <f aca="false">AR3109*$M3109</f>
        <v>0</v>
      </c>
      <c r="AT3109" s="28"/>
      <c r="AU3109" s="28" t="n">
        <f aca="false">AT3109*$M3109</f>
        <v>0</v>
      </c>
      <c r="AV3109" s="28"/>
      <c r="AW3109" s="28" t="n">
        <f aca="false">AV3109*$M3109</f>
        <v>0</v>
      </c>
      <c r="AX3109" s="28"/>
      <c r="AY3109" s="28" t="n">
        <f aca="false">AX3109*$M3109</f>
        <v>0</v>
      </c>
      <c r="AZ3109" s="30" t="n">
        <f aca="false">398078/100</f>
        <v>3980.78</v>
      </c>
      <c r="BA3109" s="11" t="n">
        <v>199037</v>
      </c>
      <c r="BB3109" s="31" t="n">
        <f aca="false">SUM(Q3109,S3109,U3109,W3109,Y3109,AA3109,AC3109,AE3109,AG3109,AI3109,AK3109,AM3109,AO3109,AQ3109,AS3109,AU3109,AW3109,AY3109)</f>
        <v>199037</v>
      </c>
      <c r="BC3109" s="28" t="n">
        <f aca="false">BA3109-BB3109</f>
        <v>0</v>
      </c>
      <c r="BD3109" s="32" t="n">
        <f aca="false">SUM(P3109,R3109,T3109,V3109,X3109,Z3109,AB3109,AD3109,AF3109,AH3109,AJ3109,AL3109,AN3109,AP3109,AR3109,AT3109,AV3109,AX3109)</f>
        <v>3980.78</v>
      </c>
      <c r="BE3109" s="33" t="n">
        <f aca="false">AZ3109-BD3109</f>
        <v>0</v>
      </c>
      <c r="BF3109" s="34" t="n">
        <f aca="false">BD3109*M3109</f>
        <v>199039</v>
      </c>
      <c r="BG3109" s="35" t="n">
        <f aca="false">BA3109-BF3109</f>
        <v>-2</v>
      </c>
      <c r="BH3109" s="19" t="str">
        <f aca="false">IF(BG3109=0,"",IF(BG3109&lt;&gt;BA3109,"erreur de calcul",IF(BD3109&lt;&gt;0,"pas de prix",IF(M3109&lt;&gt; 0,"pas de quantité","pas de prix, ni de quantité"))))</f>
        <v>erreur de calcul</v>
      </c>
      <c r="BI3109" s="19"/>
    </row>
    <row r="3110" customFormat="false" ht="15" hidden="false" customHeight="false" outlineLevel="0" collapsed="false">
      <c r="A3110" s="0" t="n">
        <v>12</v>
      </c>
      <c r="B3110" s="8" t="s">
        <v>24</v>
      </c>
      <c r="C3110" s="9" t="s">
        <v>25</v>
      </c>
      <c r="D3110" s="9" t="s">
        <v>26</v>
      </c>
      <c r="E3110" s="10" t="n">
        <v>1789</v>
      </c>
      <c r="F3110" s="9" t="s">
        <v>27</v>
      </c>
      <c r="G3110" s="9" t="s">
        <v>27</v>
      </c>
      <c r="H3110" s="11" t="n">
        <v>26</v>
      </c>
      <c r="I3110" s="11" t="s">
        <v>384</v>
      </c>
      <c r="J3110" s="14" t="n">
        <v>27</v>
      </c>
      <c r="K3110" s="14"/>
      <c r="L3110" s="16"/>
      <c r="M3110" s="27" t="n">
        <f aca="false">J3110+(K3110/20)+(L3110/240)</f>
        <v>27</v>
      </c>
      <c r="N3110" s="17" t="s">
        <v>64</v>
      </c>
      <c r="O3110" s="11"/>
      <c r="P3110" s="28"/>
      <c r="Q3110" s="28" t="n">
        <f aca="false">P3110*$M3110</f>
        <v>0</v>
      </c>
      <c r="R3110" s="28"/>
      <c r="S3110" s="28" t="n">
        <f aca="false">R3110*$M3110</f>
        <v>0</v>
      </c>
      <c r="T3110" s="28"/>
      <c r="U3110" s="28" t="n">
        <f aca="false">T3110*$M3110</f>
        <v>0</v>
      </c>
      <c r="V3110" s="28"/>
      <c r="W3110" s="28" t="n">
        <f aca="false">V3110*$M3110</f>
        <v>0</v>
      </c>
      <c r="X3110" s="28" t="n">
        <f aca="false">13334/100</f>
        <v>133.34</v>
      </c>
      <c r="Y3110" s="28" t="n">
        <v>3600</v>
      </c>
      <c r="Z3110" s="28"/>
      <c r="AA3110" s="28" t="n">
        <f aca="false">Z3110*$M3110</f>
        <v>0</v>
      </c>
      <c r="AB3110" s="28"/>
      <c r="AC3110" s="28" t="n">
        <f aca="false">AB3110*$M3110</f>
        <v>0</v>
      </c>
      <c r="AD3110" s="28"/>
      <c r="AE3110" s="28" t="n">
        <f aca="false">AD3110*$M3110</f>
        <v>0</v>
      </c>
      <c r="AF3110" s="28"/>
      <c r="AG3110" s="28" t="n">
        <f aca="false">AF3110*$M3110</f>
        <v>0</v>
      </c>
      <c r="AH3110" s="28"/>
      <c r="AI3110" s="28" t="n">
        <f aca="false">AH3110*$M3110</f>
        <v>0</v>
      </c>
      <c r="AJ3110" s="28"/>
      <c r="AK3110" s="28" t="n">
        <f aca="false">AJ3110*$M3110</f>
        <v>0</v>
      </c>
      <c r="AL3110" s="28"/>
      <c r="AM3110" s="28" t="n">
        <f aca="false">AL3110*$M3110</f>
        <v>0</v>
      </c>
      <c r="AN3110" s="28"/>
      <c r="AO3110" s="28" t="n">
        <f aca="false">AN3110*$M3110</f>
        <v>0</v>
      </c>
      <c r="AP3110" s="28"/>
      <c r="AQ3110" s="28" t="n">
        <f aca="false">AP3110*$M3110</f>
        <v>0</v>
      </c>
      <c r="AR3110" s="28"/>
      <c r="AS3110" s="28" t="n">
        <f aca="false">AR3110*$M3110</f>
        <v>0</v>
      </c>
      <c r="AT3110" s="28"/>
      <c r="AU3110" s="28" t="n">
        <f aca="false">AT3110*$M3110</f>
        <v>0</v>
      </c>
      <c r="AV3110" s="28"/>
      <c r="AW3110" s="28" t="n">
        <f aca="false">AV3110*$M3110</f>
        <v>0</v>
      </c>
      <c r="AX3110" s="28"/>
      <c r="AY3110" s="28" t="n">
        <f aca="false">AX3110*$M3110</f>
        <v>0</v>
      </c>
      <c r="AZ3110" s="30" t="n">
        <f aca="false">13334/100</f>
        <v>133.34</v>
      </c>
      <c r="BA3110" s="11" t="n">
        <v>3600</v>
      </c>
      <c r="BB3110" s="31" t="n">
        <f aca="false">SUM(Q3110,S3110,U3110,W3110,Y3110,AA3110,AC3110,AE3110,AG3110,AI3110,AK3110,AM3110,AO3110,AQ3110,AS3110,AU3110,AW3110,AY3110)</f>
        <v>3600</v>
      </c>
      <c r="BC3110" s="28" t="n">
        <f aca="false">BA3110-BB3110</f>
        <v>0</v>
      </c>
      <c r="BD3110" s="32" t="n">
        <f aca="false">SUM(P3110,R3110,T3110,V3110,X3110,Z3110,AB3110,AD3110,AF3110,AH3110,AJ3110,AL3110,AN3110,AP3110,AR3110,AT3110,AV3110,AX3110)</f>
        <v>133.34</v>
      </c>
      <c r="BE3110" s="33" t="n">
        <f aca="false">AZ3110-BD3110</f>
        <v>0</v>
      </c>
      <c r="BF3110" s="34" t="n">
        <f aca="false">BD3110*M3110</f>
        <v>3600.18</v>
      </c>
      <c r="BG3110" s="35" t="n">
        <f aca="false">BA3110-BF3110</f>
        <v>-0.180000000000291</v>
      </c>
      <c r="BH3110" s="19" t="str">
        <f aca="false">IF(BG3110=0,"",IF(BG3110&lt;&gt;BA3110,"erreur de calcul",IF(BD3110&lt;&gt;0,"pas de prix",IF(M3110&lt;&gt; 0,"pas de quantité","pas de prix, ni de quantité"))))</f>
        <v>erreur de calcul</v>
      </c>
      <c r="BI3110" s="19"/>
    </row>
    <row r="3111" customFormat="false" ht="15" hidden="false" customHeight="false" outlineLevel="0" collapsed="false">
      <c r="A3111" s="0" t="n">
        <v>13</v>
      </c>
      <c r="B3111" s="8" t="s">
        <v>24</v>
      </c>
      <c r="C3111" s="9" t="s">
        <v>25</v>
      </c>
      <c r="D3111" s="9" t="s">
        <v>26</v>
      </c>
      <c r="E3111" s="10" t="n">
        <v>1789</v>
      </c>
      <c r="F3111" s="9" t="s">
        <v>27</v>
      </c>
      <c r="G3111" s="9" t="s">
        <v>27</v>
      </c>
      <c r="H3111" s="11" t="n">
        <v>26</v>
      </c>
      <c r="I3111" s="11" t="s">
        <v>385</v>
      </c>
      <c r="J3111" s="14" t="n">
        <v>40</v>
      </c>
      <c r="K3111" s="14"/>
      <c r="L3111" s="16"/>
      <c r="M3111" s="27" t="n">
        <f aca="false">J3111+(K3111/20)+(L3111/240)</f>
        <v>40</v>
      </c>
      <c r="N3111" s="17" t="s">
        <v>64</v>
      </c>
      <c r="O3111" s="11"/>
      <c r="P3111" s="28"/>
      <c r="Q3111" s="28" t="n">
        <f aca="false">P3111*$M3111</f>
        <v>0</v>
      </c>
      <c r="R3111" s="28"/>
      <c r="S3111" s="28" t="n">
        <f aca="false">R3111*$M3111</f>
        <v>0</v>
      </c>
      <c r="T3111" s="28" t="n">
        <f aca="false">13801/100</f>
        <v>138.01</v>
      </c>
      <c r="U3111" s="28" t="n">
        <v>5520</v>
      </c>
      <c r="V3111" s="28"/>
      <c r="W3111" s="28" t="n">
        <f aca="false">V3111*$M3111</f>
        <v>0</v>
      </c>
      <c r="X3111" s="28"/>
      <c r="Y3111" s="28" t="n">
        <f aca="false">X3111*$M3111</f>
        <v>0</v>
      </c>
      <c r="Z3111" s="28"/>
      <c r="AA3111" s="28" t="n">
        <f aca="false">Z3111*$M3111</f>
        <v>0</v>
      </c>
      <c r="AB3111" s="28"/>
      <c r="AC3111" s="28" t="n">
        <f aca="false">AB3111*$M3111</f>
        <v>0</v>
      </c>
      <c r="AD3111" s="28"/>
      <c r="AE3111" s="28" t="n">
        <f aca="false">AD3111*$M3111</f>
        <v>0</v>
      </c>
      <c r="AF3111" s="28"/>
      <c r="AG3111" s="28" t="n">
        <f aca="false">AF3111*$M3111</f>
        <v>0</v>
      </c>
      <c r="AH3111" s="28"/>
      <c r="AI3111" s="28" t="n">
        <f aca="false">AH3111*$M3111</f>
        <v>0</v>
      </c>
      <c r="AJ3111" s="28"/>
      <c r="AK3111" s="28" t="n">
        <f aca="false">AJ3111*$M3111</f>
        <v>0</v>
      </c>
      <c r="AL3111" s="28"/>
      <c r="AM3111" s="28" t="n">
        <f aca="false">AL3111*$M3111</f>
        <v>0</v>
      </c>
      <c r="AN3111" s="28"/>
      <c r="AO3111" s="28" t="n">
        <f aca="false">AN3111*$M3111</f>
        <v>0</v>
      </c>
      <c r="AP3111" s="28"/>
      <c r="AQ3111" s="28" t="n">
        <f aca="false">AP3111*$M3111</f>
        <v>0</v>
      </c>
      <c r="AR3111" s="28"/>
      <c r="AS3111" s="28" t="n">
        <f aca="false">AR3111*$M3111</f>
        <v>0</v>
      </c>
      <c r="AT3111" s="28"/>
      <c r="AU3111" s="28" t="n">
        <f aca="false">AT3111*$M3111</f>
        <v>0</v>
      </c>
      <c r="AV3111" s="28"/>
      <c r="AW3111" s="28" t="n">
        <f aca="false">AV3111*$M3111</f>
        <v>0</v>
      </c>
      <c r="AX3111" s="28"/>
      <c r="AY3111" s="28" t="n">
        <f aca="false">AX3111*$M3111</f>
        <v>0</v>
      </c>
      <c r="AZ3111" s="30" t="n">
        <f aca="false">13801/100</f>
        <v>138.01</v>
      </c>
      <c r="BA3111" s="11" t="n">
        <v>5520</v>
      </c>
      <c r="BB3111" s="31" t="n">
        <f aca="false">SUM(Q3111,S3111,U3111,W3111,Y3111,AA3111,AC3111,AE3111,AG3111,AI3111,AK3111,AM3111,AO3111,AQ3111,AS3111,AU3111,AW3111,AY3111)</f>
        <v>5520</v>
      </c>
      <c r="BC3111" s="28" t="n">
        <f aca="false">BA3111-BB3111</f>
        <v>0</v>
      </c>
      <c r="BD3111" s="32" t="n">
        <f aca="false">SUM(P3111,R3111,T3111,V3111,X3111,Z3111,AB3111,AD3111,AF3111,AH3111,AJ3111,AL3111,AN3111,AP3111,AR3111,AT3111,AV3111,AX3111)</f>
        <v>138.01</v>
      </c>
      <c r="BE3111" s="33" t="n">
        <f aca="false">AZ3111-BD3111</f>
        <v>0</v>
      </c>
      <c r="BF3111" s="34" t="n">
        <f aca="false">BD3111*M3111</f>
        <v>5520.4</v>
      </c>
      <c r="BG3111" s="35" t="n">
        <f aca="false">BA3111-BF3111</f>
        <v>-0.399999999999636</v>
      </c>
      <c r="BH3111" s="19" t="str">
        <f aca="false">IF(BG3111=0,"",IF(BG3111&lt;&gt;BA3111,"erreur de calcul",IF(BD3111&lt;&gt;0,"pas de prix",IF(M3111&lt;&gt; 0,"pas de quantité","pas de prix, ni de quantité"))))</f>
        <v>erreur de calcul</v>
      </c>
      <c r="BI3111" s="19"/>
    </row>
    <row r="3112" customFormat="false" ht="15" hidden="false" customHeight="false" outlineLevel="0" collapsed="false">
      <c r="A3112" s="0" t="n">
        <v>14</v>
      </c>
      <c r="B3112" s="8" t="s">
        <v>24</v>
      </c>
      <c r="C3112" s="9" t="s">
        <v>25</v>
      </c>
      <c r="D3112" s="9" t="s">
        <v>26</v>
      </c>
      <c r="E3112" s="10" t="n">
        <v>1789</v>
      </c>
      <c r="F3112" s="9" t="s">
        <v>27</v>
      </c>
      <c r="G3112" s="9" t="s">
        <v>27</v>
      </c>
      <c r="H3112" s="11" t="n">
        <v>26</v>
      </c>
      <c r="I3112" s="11" t="s">
        <v>386</v>
      </c>
      <c r="J3112" s="14" t="n">
        <v>10</v>
      </c>
      <c r="K3112" s="14"/>
      <c r="L3112" s="16"/>
      <c r="M3112" s="27" t="n">
        <f aca="false">J3112+(K3112/20)+(L3112/240)</f>
        <v>10</v>
      </c>
      <c r="N3112" s="17" t="s">
        <v>387</v>
      </c>
      <c r="O3112" s="11" t="s">
        <v>77</v>
      </c>
      <c r="P3112" s="28" t="n">
        <v>30740</v>
      </c>
      <c r="Q3112" s="28" t="n">
        <v>307400</v>
      </c>
      <c r="R3112" s="28"/>
      <c r="S3112" s="28" t="n">
        <f aca="false">R3112*$M3112</f>
        <v>0</v>
      </c>
      <c r="T3112" s="28" t="n">
        <v>1357</v>
      </c>
      <c r="U3112" s="28" t="n">
        <v>13570</v>
      </c>
      <c r="V3112" s="28" t="n">
        <v>115</v>
      </c>
      <c r="W3112" s="28" t="n">
        <v>1150</v>
      </c>
      <c r="X3112" s="28"/>
      <c r="Y3112" s="28" t="n">
        <f aca="false">X3112*$M3112</f>
        <v>0</v>
      </c>
      <c r="Z3112" s="28"/>
      <c r="AA3112" s="28" t="n">
        <f aca="false">Z3112*$M3112</f>
        <v>0</v>
      </c>
      <c r="AB3112" s="28"/>
      <c r="AC3112" s="28" t="n">
        <f aca="false">AB3112*$M3112</f>
        <v>0</v>
      </c>
      <c r="AD3112" s="28"/>
      <c r="AE3112" s="28" t="n">
        <f aca="false">AD3112*$M3112</f>
        <v>0</v>
      </c>
      <c r="AF3112" s="28"/>
      <c r="AG3112" s="28" t="n">
        <f aca="false">AF3112*$M3112</f>
        <v>0</v>
      </c>
      <c r="AH3112" s="28"/>
      <c r="AI3112" s="28" t="n">
        <f aca="false">AH3112*$M3112</f>
        <v>0</v>
      </c>
      <c r="AJ3112" s="28"/>
      <c r="AK3112" s="28" t="n">
        <f aca="false">AJ3112*$M3112</f>
        <v>0</v>
      </c>
      <c r="AL3112" s="28"/>
      <c r="AM3112" s="28" t="n">
        <f aca="false">AL3112*$M3112</f>
        <v>0</v>
      </c>
      <c r="AN3112" s="28"/>
      <c r="AO3112" s="28" t="n">
        <f aca="false">AN3112*$M3112</f>
        <v>0</v>
      </c>
      <c r="AP3112" s="28"/>
      <c r="AQ3112" s="28" t="n">
        <f aca="false">AP3112*$M3112</f>
        <v>0</v>
      </c>
      <c r="AR3112" s="28"/>
      <c r="AS3112" s="28" t="n">
        <f aca="false">AR3112*$M3112</f>
        <v>0</v>
      </c>
      <c r="AT3112" s="28"/>
      <c r="AU3112" s="28" t="n">
        <f aca="false">AT3112*$M3112</f>
        <v>0</v>
      </c>
      <c r="AV3112" s="28"/>
      <c r="AW3112" s="28" t="n">
        <f aca="false">AV3112*$M3112</f>
        <v>0</v>
      </c>
      <c r="AX3112" s="28"/>
      <c r="AY3112" s="28" t="n">
        <f aca="false">AX3112*$M3112</f>
        <v>0</v>
      </c>
      <c r="AZ3112" s="30" t="n">
        <f aca="false">32212/100</f>
        <v>322.12</v>
      </c>
      <c r="BA3112" s="11" t="n">
        <v>322120</v>
      </c>
      <c r="BB3112" s="31" t="n">
        <f aca="false">SUM(Q3112,S3112,U3112,W3112,Y3112,AA3112,AC3112,AE3112,AG3112,AI3112,AK3112,AM3112,AO3112,AQ3112,AS3112,AU3112,AW3112,AY3112)</f>
        <v>322120</v>
      </c>
      <c r="BC3112" s="28" t="n">
        <f aca="false">BA3112-BB3112</f>
        <v>0</v>
      </c>
      <c r="BD3112" s="32" t="n">
        <f aca="false">SUM(P3112,R3112,T3112,V3112,X3112,Z3112,AB3112,AD3112,AF3112,AH3112,AJ3112,AL3112,AN3112,AP3112,AR3112,AT3112,AV3112,AX3112)</f>
        <v>32212</v>
      </c>
      <c r="BE3112" s="33" t="n">
        <f aca="false">AZ3112-BD3112</f>
        <v>-31889.88</v>
      </c>
      <c r="BF3112" s="34" t="n">
        <f aca="false">BD3112*M3112</f>
        <v>322120</v>
      </c>
      <c r="BG3112" s="35" t="n">
        <f aca="false">BA3112-BF3112</f>
        <v>0</v>
      </c>
      <c r="BH3112" s="19" t="str">
        <f aca="false">IF(BG3112=0,"",IF(BG3112&lt;&gt;BA3112,"erreur de calcul",IF(BD3112&lt;&gt;0,"pas de prix",IF(M3112&lt;&gt; 0,"pas de quantité","pas de prix, ni de quantité"))))</f>
        <v/>
      </c>
      <c r="BI3112" s="19"/>
    </row>
    <row r="3113" customFormat="false" ht="15" hidden="false" customHeight="false" outlineLevel="0" collapsed="false">
      <c r="A3113" s="0" t="n">
        <v>15</v>
      </c>
      <c r="B3113" s="8" t="s">
        <v>24</v>
      </c>
      <c r="C3113" s="9" t="s">
        <v>25</v>
      </c>
      <c r="D3113" s="9" t="s">
        <v>26</v>
      </c>
      <c r="E3113" s="10" t="n">
        <v>1789</v>
      </c>
      <c r="F3113" s="9" t="s">
        <v>27</v>
      </c>
      <c r="G3113" s="9" t="s">
        <v>27</v>
      </c>
      <c r="H3113" s="11" t="n">
        <v>26</v>
      </c>
      <c r="I3113" s="11" t="s">
        <v>385</v>
      </c>
      <c r="J3113" s="14" t="n">
        <v>60</v>
      </c>
      <c r="K3113" s="14"/>
      <c r="L3113" s="16"/>
      <c r="M3113" s="27" t="n">
        <f aca="false">J3113+(K3113/20)+(L3113/240)</f>
        <v>60</v>
      </c>
      <c r="N3113" s="17" t="s">
        <v>64</v>
      </c>
      <c r="O3113" s="11"/>
      <c r="P3113" s="28"/>
      <c r="Q3113" s="28" t="n">
        <f aca="false">P3113*$M3113</f>
        <v>0</v>
      </c>
      <c r="R3113" s="28"/>
      <c r="S3113" s="28" t="n">
        <f aca="false">R3113*$M3113</f>
        <v>0</v>
      </c>
      <c r="T3113" s="28" t="n">
        <f aca="false">204759/100</f>
        <v>2047.59</v>
      </c>
      <c r="U3113" s="28" t="n">
        <v>122855</v>
      </c>
      <c r="V3113" s="28"/>
      <c r="W3113" s="28" t="n">
        <f aca="false">V3113*$M3113</f>
        <v>0</v>
      </c>
      <c r="X3113" s="28"/>
      <c r="Y3113" s="28" t="n">
        <f aca="false">X3113*$M3113</f>
        <v>0</v>
      </c>
      <c r="Z3113" s="28"/>
      <c r="AA3113" s="28" t="n">
        <f aca="false">Z3113*$M3113</f>
        <v>0</v>
      </c>
      <c r="AB3113" s="28"/>
      <c r="AC3113" s="28" t="n">
        <f aca="false">AB3113*$M3113</f>
        <v>0</v>
      </c>
      <c r="AD3113" s="28"/>
      <c r="AE3113" s="28" t="n">
        <f aca="false">AD3113*$M3113</f>
        <v>0</v>
      </c>
      <c r="AF3113" s="28"/>
      <c r="AG3113" s="28" t="n">
        <f aca="false">AF3113*$M3113</f>
        <v>0</v>
      </c>
      <c r="AH3113" s="28"/>
      <c r="AI3113" s="28" t="n">
        <f aca="false">AH3113*$M3113</f>
        <v>0</v>
      </c>
      <c r="AJ3113" s="28"/>
      <c r="AK3113" s="28" t="n">
        <f aca="false">AJ3113*$M3113</f>
        <v>0</v>
      </c>
      <c r="AL3113" s="28"/>
      <c r="AM3113" s="28" t="n">
        <f aca="false">AL3113*$M3113</f>
        <v>0</v>
      </c>
      <c r="AN3113" s="28"/>
      <c r="AO3113" s="28" t="n">
        <f aca="false">AN3113*$M3113</f>
        <v>0</v>
      </c>
      <c r="AP3113" s="28"/>
      <c r="AQ3113" s="28" t="n">
        <f aca="false">AP3113*$M3113</f>
        <v>0</v>
      </c>
      <c r="AR3113" s="28"/>
      <c r="AS3113" s="28" t="n">
        <f aca="false">AR3113*$M3113</f>
        <v>0</v>
      </c>
      <c r="AT3113" s="28"/>
      <c r="AU3113" s="28" t="n">
        <f aca="false">AT3113*$M3113</f>
        <v>0</v>
      </c>
      <c r="AV3113" s="28"/>
      <c r="AW3113" s="28" t="n">
        <f aca="false">AV3113*$M3113</f>
        <v>0</v>
      </c>
      <c r="AX3113" s="28"/>
      <c r="AY3113" s="28" t="n">
        <f aca="false">AX3113*$M3113</f>
        <v>0</v>
      </c>
      <c r="AZ3113" s="30" t="n">
        <f aca="false">204759/100</f>
        <v>2047.59</v>
      </c>
      <c r="BA3113" s="11" t="n">
        <v>122855</v>
      </c>
      <c r="BB3113" s="31" t="n">
        <f aca="false">SUM(Q3113,S3113,U3113,W3113,Y3113,AA3113,AC3113,AE3113,AG3113,AI3113,AK3113,AM3113,AO3113,AQ3113,AS3113,AU3113,AW3113,AY3113)</f>
        <v>122855</v>
      </c>
      <c r="BC3113" s="28" t="n">
        <f aca="false">BA3113-BB3113</f>
        <v>0</v>
      </c>
      <c r="BD3113" s="32" t="n">
        <f aca="false">SUM(P3113,R3113,T3113,V3113,X3113,Z3113,AB3113,AD3113,AF3113,AH3113,AJ3113,AL3113,AN3113,AP3113,AR3113,AT3113,AV3113,AX3113)</f>
        <v>2047.59</v>
      </c>
      <c r="BE3113" s="33" t="n">
        <f aca="false">AZ3113-BD3113</f>
        <v>0</v>
      </c>
      <c r="BF3113" s="34" t="n">
        <f aca="false">BD3113*M3113</f>
        <v>122855.4</v>
      </c>
      <c r="BG3113" s="35" t="n">
        <f aca="false">BA3113-BF3113</f>
        <v>-0.399999999994179</v>
      </c>
      <c r="BH3113" s="19" t="str">
        <f aca="false">IF(BG3113=0,"",IF(BG3113&lt;&gt;BA3113,"erreur de calcul",IF(BD3113&lt;&gt;0,"pas de prix",IF(M3113&lt;&gt; 0,"pas de quantité","pas de prix, ni de quantité"))))</f>
        <v>erreur de calcul</v>
      </c>
      <c r="BI3113" s="19"/>
    </row>
    <row r="3114" customFormat="false" ht="15" hidden="false" customHeight="false" outlineLevel="0" collapsed="false">
      <c r="A3114" s="0" t="n">
        <v>16</v>
      </c>
      <c r="B3114" s="8" t="s">
        <v>24</v>
      </c>
      <c r="C3114" s="9" t="s">
        <v>25</v>
      </c>
      <c r="D3114" s="9" t="s">
        <v>26</v>
      </c>
      <c r="E3114" s="10" t="n">
        <v>1789</v>
      </c>
      <c r="F3114" s="9" t="s">
        <v>27</v>
      </c>
      <c r="G3114" s="9" t="s">
        <v>27</v>
      </c>
      <c r="H3114" s="11" t="n">
        <v>26</v>
      </c>
      <c r="I3114" s="11" t="s">
        <v>388</v>
      </c>
      <c r="J3114" s="14" t="n">
        <v>4</v>
      </c>
      <c r="K3114" s="14" t="n">
        <v>10</v>
      </c>
      <c r="L3114" s="16"/>
      <c r="M3114" s="27" t="n">
        <f aca="false">J3114+(K3114/20)+(L3114/240)</f>
        <v>4.5</v>
      </c>
      <c r="N3114" s="17" t="s">
        <v>66</v>
      </c>
      <c r="O3114" s="11"/>
      <c r="P3114" s="28" t="n">
        <v>20973</v>
      </c>
      <c r="Q3114" s="28" t="n">
        <v>94378</v>
      </c>
      <c r="R3114" s="28"/>
      <c r="S3114" s="28" t="n">
        <f aca="false">R3114*$M3114</f>
        <v>0</v>
      </c>
      <c r="T3114" s="28"/>
      <c r="U3114" s="28" t="n">
        <f aca="false">T3114*$M3114</f>
        <v>0</v>
      </c>
      <c r="V3114" s="28"/>
      <c r="W3114" s="28" t="n">
        <f aca="false">V3114*$M3114</f>
        <v>0</v>
      </c>
      <c r="X3114" s="28"/>
      <c r="Y3114" s="28" t="n">
        <f aca="false">X3114*$M3114</f>
        <v>0</v>
      </c>
      <c r="Z3114" s="28"/>
      <c r="AA3114" s="28" t="n">
        <f aca="false">Z3114*$M3114</f>
        <v>0</v>
      </c>
      <c r="AB3114" s="28"/>
      <c r="AC3114" s="28" t="n">
        <f aca="false">AB3114*$M3114</f>
        <v>0</v>
      </c>
      <c r="AD3114" s="28"/>
      <c r="AE3114" s="28" t="n">
        <f aca="false">AD3114*$M3114</f>
        <v>0</v>
      </c>
      <c r="AF3114" s="28"/>
      <c r="AG3114" s="28" t="n">
        <f aca="false">AF3114*$M3114</f>
        <v>0</v>
      </c>
      <c r="AH3114" s="28"/>
      <c r="AI3114" s="28" t="n">
        <f aca="false">AH3114*$M3114</f>
        <v>0</v>
      </c>
      <c r="AJ3114" s="28"/>
      <c r="AK3114" s="28" t="n">
        <f aca="false">AJ3114*$M3114</f>
        <v>0</v>
      </c>
      <c r="AL3114" s="28"/>
      <c r="AM3114" s="28" t="n">
        <f aca="false">AL3114*$M3114</f>
        <v>0</v>
      </c>
      <c r="AN3114" s="28"/>
      <c r="AO3114" s="28" t="n">
        <f aca="false">AN3114*$M3114</f>
        <v>0</v>
      </c>
      <c r="AP3114" s="28"/>
      <c r="AQ3114" s="28" t="n">
        <f aca="false">AP3114*$M3114</f>
        <v>0</v>
      </c>
      <c r="AR3114" s="28"/>
      <c r="AS3114" s="28" t="n">
        <f aca="false">AR3114*$M3114</f>
        <v>0</v>
      </c>
      <c r="AT3114" s="28"/>
      <c r="AU3114" s="28" t="n">
        <f aca="false">AT3114*$M3114</f>
        <v>0</v>
      </c>
      <c r="AV3114" s="28"/>
      <c r="AW3114" s="28" t="n">
        <f aca="false">AV3114*$M3114</f>
        <v>0</v>
      </c>
      <c r="AX3114" s="28"/>
      <c r="AY3114" s="28" t="n">
        <f aca="false">AX3114*$M3114</f>
        <v>0</v>
      </c>
      <c r="AZ3114" s="30" t="n">
        <v>20973</v>
      </c>
      <c r="BA3114" s="11" t="n">
        <v>94378</v>
      </c>
      <c r="BB3114" s="31" t="n">
        <f aca="false">SUM(Q3114,S3114,U3114,W3114,Y3114,AA3114,AC3114,AE3114,AG3114,AI3114,AK3114,AM3114,AO3114,AQ3114,AS3114,AU3114,AW3114,AY3114)</f>
        <v>94378</v>
      </c>
      <c r="BC3114" s="28" t="n">
        <f aca="false">BA3114-BB3114</f>
        <v>0</v>
      </c>
      <c r="BD3114" s="32" t="n">
        <f aca="false">SUM(P3114,R3114,T3114,V3114,X3114,Z3114,AB3114,AD3114,AF3114,AH3114,AJ3114,AL3114,AN3114,AP3114,AR3114,AT3114,AV3114,AX3114)</f>
        <v>20973</v>
      </c>
      <c r="BE3114" s="33" t="n">
        <f aca="false">AZ3114-BD3114</f>
        <v>0</v>
      </c>
      <c r="BF3114" s="34" t="n">
        <f aca="false">BD3114*M3114</f>
        <v>94378.5</v>
      </c>
      <c r="BG3114" s="35" t="n">
        <f aca="false">BA3114-BF3114</f>
        <v>-0.5</v>
      </c>
      <c r="BH3114" s="19" t="str">
        <f aca="false">IF(BG3114=0,"",IF(BG3114&lt;&gt;BA3114,"erreur de calcul",IF(BD3114&lt;&gt;0,"pas de prix",IF(M3114&lt;&gt; 0,"pas de quantité","pas de prix, ni de quantité"))))</f>
        <v>erreur de calcul</v>
      </c>
      <c r="BI3114" s="19"/>
    </row>
    <row r="3115" customFormat="false" ht="15" hidden="false" customHeight="false" outlineLevel="0" collapsed="false">
      <c r="A3115" s="0" t="n">
        <v>17</v>
      </c>
      <c r="B3115" s="8" t="s">
        <v>24</v>
      </c>
      <c r="C3115" s="9" t="s">
        <v>25</v>
      </c>
      <c r="D3115" s="9" t="s">
        <v>26</v>
      </c>
      <c r="E3115" s="10" t="n">
        <v>1789</v>
      </c>
      <c r="F3115" s="9" t="s">
        <v>27</v>
      </c>
      <c r="G3115" s="9" t="s">
        <v>27</v>
      </c>
      <c r="H3115" s="11" t="n">
        <v>26</v>
      </c>
      <c r="I3115" s="11" t="s">
        <v>389</v>
      </c>
      <c r="J3115" s="14"/>
      <c r="K3115" s="14"/>
      <c r="L3115" s="16"/>
      <c r="M3115" s="27" t="n">
        <f aca="false">J3115+(K3115/20)+(L3115/240)</f>
        <v>0</v>
      </c>
      <c r="N3115" s="17"/>
      <c r="O3115" s="11" t="s">
        <v>277</v>
      </c>
      <c r="P3115" s="28"/>
      <c r="Q3115" s="28" t="n">
        <f aca="false">P3115*$M3115</f>
        <v>0</v>
      </c>
      <c r="R3115" s="28"/>
      <c r="S3115" s="28" t="n">
        <f aca="false">R3115*$M3115</f>
        <v>0</v>
      </c>
      <c r="T3115" s="28"/>
      <c r="U3115" s="28" t="n">
        <v>189</v>
      </c>
      <c r="V3115" s="28"/>
      <c r="W3115" s="28" t="n">
        <v>540</v>
      </c>
      <c r="X3115" s="28"/>
      <c r="Y3115" s="28" t="n">
        <f aca="false">X3115*$M3115</f>
        <v>0</v>
      </c>
      <c r="Z3115" s="28"/>
      <c r="AA3115" s="28" t="n">
        <f aca="false">Z3115*$M3115</f>
        <v>0</v>
      </c>
      <c r="AB3115" s="28"/>
      <c r="AC3115" s="28" t="n">
        <f aca="false">AB3115*$M3115</f>
        <v>0</v>
      </c>
      <c r="AD3115" s="28"/>
      <c r="AE3115" s="28" t="n">
        <f aca="false">AD3115*$M3115</f>
        <v>0</v>
      </c>
      <c r="AF3115" s="28"/>
      <c r="AG3115" s="28" t="n">
        <f aca="false">AF3115*$M3115</f>
        <v>0</v>
      </c>
      <c r="AH3115" s="28"/>
      <c r="AI3115" s="28" t="n">
        <f aca="false">AH3115*$M3115</f>
        <v>0</v>
      </c>
      <c r="AJ3115" s="28"/>
      <c r="AK3115" s="28" t="n">
        <v>317</v>
      </c>
      <c r="AL3115" s="28"/>
      <c r="AM3115" s="28" t="n">
        <f aca="false">AL3115*$M3115</f>
        <v>0</v>
      </c>
      <c r="AN3115" s="28"/>
      <c r="AO3115" s="28" t="n">
        <f aca="false">AN3115*$M3115</f>
        <v>0</v>
      </c>
      <c r="AP3115" s="28"/>
      <c r="AQ3115" s="28" t="n">
        <f aca="false">AP3115*$M3115</f>
        <v>0</v>
      </c>
      <c r="AR3115" s="28"/>
      <c r="AS3115" s="28" t="n">
        <f aca="false">AR3115*$M3115</f>
        <v>0</v>
      </c>
      <c r="AT3115" s="28"/>
      <c r="AU3115" s="28" t="n">
        <f aca="false">AT3115*$M3115</f>
        <v>0</v>
      </c>
      <c r="AV3115" s="28"/>
      <c r="AW3115" s="28" t="n">
        <f aca="false">AV3115*$M3115</f>
        <v>0</v>
      </c>
      <c r="AX3115" s="28"/>
      <c r="AY3115" s="28" t="n">
        <f aca="false">AX3115*$M3115</f>
        <v>0</v>
      </c>
      <c r="AZ3115" s="30"/>
      <c r="BA3115" s="11" t="n">
        <v>1046</v>
      </c>
      <c r="BB3115" s="31" t="n">
        <f aca="false">SUM(Q3115,S3115,U3115,W3115,Y3115,AA3115,AC3115,AE3115,AG3115,AI3115,AK3115,AM3115,AO3115,AQ3115,AS3115,AU3115,AW3115,AY3115)</f>
        <v>1046</v>
      </c>
      <c r="BC3115" s="28" t="n">
        <f aca="false">BA3115-BB3115</f>
        <v>0</v>
      </c>
      <c r="BD3115" s="32" t="n">
        <f aca="false">SUM(P3115,R3115,T3115,V3115,X3115,Z3115,AB3115,AD3115,AF3115,AH3115,AJ3115,AL3115,AN3115,AP3115,AR3115,AT3115,AV3115,AX3115)</f>
        <v>0</v>
      </c>
      <c r="BE3115" s="33" t="n">
        <f aca="false">AZ3115-BD3115</f>
        <v>0</v>
      </c>
      <c r="BF3115" s="34" t="n">
        <f aca="false">BD3115*M3115</f>
        <v>0</v>
      </c>
      <c r="BG3115" s="35" t="n">
        <f aca="false">BA3115-BF3115</f>
        <v>1046</v>
      </c>
      <c r="BH3115" s="19" t="str">
        <f aca="false">IF(BG3115=0,"",IF(BG3115&lt;&gt;BA3115,"erreur de calcul",IF(BD3115&lt;&gt;0,"pas de prix",IF(M3115&lt;&gt; 0,"pas de quantité","pas de prix, ni de quantité"))))</f>
        <v>pas de prix, ni de quantité</v>
      </c>
      <c r="BI3115" s="19"/>
    </row>
    <row r="3116" customFormat="false" ht="15" hidden="false" customHeight="false" outlineLevel="0" collapsed="false">
      <c r="A3116" s="0" t="n">
        <v>18</v>
      </c>
      <c r="B3116" s="8" t="s">
        <v>24</v>
      </c>
      <c r="C3116" s="9" t="s">
        <v>25</v>
      </c>
      <c r="D3116" s="9" t="s">
        <v>26</v>
      </c>
      <c r="E3116" s="10" t="n">
        <v>1789</v>
      </c>
      <c r="F3116" s="9" t="s">
        <v>27</v>
      </c>
      <c r="G3116" s="9" t="s">
        <v>27</v>
      </c>
      <c r="H3116" s="11" t="n">
        <v>26</v>
      </c>
      <c r="I3116" s="11" t="s">
        <v>389</v>
      </c>
      <c r="J3116" s="14" t="n">
        <v>90</v>
      </c>
      <c r="K3116" s="14"/>
      <c r="L3116" s="16"/>
      <c r="M3116" s="27" t="n">
        <f aca="false">J3116+(K3116/20)+(L3116/240)</f>
        <v>90</v>
      </c>
      <c r="N3116" s="17" t="s">
        <v>64</v>
      </c>
      <c r="O3116" s="11"/>
      <c r="P3116" s="28"/>
      <c r="Q3116" s="28" t="n">
        <f aca="false">P3116*$M3116</f>
        <v>0</v>
      </c>
      <c r="R3116" s="28"/>
      <c r="S3116" s="28" t="n">
        <f aca="false">R3116*$M3116</f>
        <v>0</v>
      </c>
      <c r="T3116" s="28"/>
      <c r="U3116" s="28" t="n">
        <f aca="false">T3116*$M3116</f>
        <v>0</v>
      </c>
      <c r="V3116" s="28" t="n">
        <f aca="false">6341/100</f>
        <v>63.41</v>
      </c>
      <c r="W3116" s="28" t="n">
        <v>5707</v>
      </c>
      <c r="X3116" s="28" t="n">
        <f aca="false">10903/100</f>
        <v>109.03</v>
      </c>
      <c r="Y3116" s="28" t="n">
        <v>9813</v>
      </c>
      <c r="Z3116" s="28"/>
      <c r="AA3116" s="28" t="n">
        <f aca="false">Z3116*$M3116</f>
        <v>0</v>
      </c>
      <c r="AB3116" s="28"/>
      <c r="AC3116" s="28" t="n">
        <f aca="false">AB3116*$M3116</f>
        <v>0</v>
      </c>
      <c r="AD3116" s="28"/>
      <c r="AE3116" s="28" t="n">
        <f aca="false">AD3116*$M3116</f>
        <v>0</v>
      </c>
      <c r="AF3116" s="28"/>
      <c r="AG3116" s="28" t="n">
        <f aca="false">AF3116*$M3116</f>
        <v>0</v>
      </c>
      <c r="AH3116" s="28"/>
      <c r="AI3116" s="28" t="n">
        <f aca="false">AH3116*$M3116</f>
        <v>0</v>
      </c>
      <c r="AJ3116" s="28" t="n">
        <f aca="false">127232/100</f>
        <v>1272.32</v>
      </c>
      <c r="AK3116" s="28" t="n">
        <v>114509</v>
      </c>
      <c r="AL3116" s="28" t="n">
        <f aca="false">1835/100</f>
        <v>18.35</v>
      </c>
      <c r="AM3116" s="28" t="n">
        <v>1651</v>
      </c>
      <c r="AN3116" s="28"/>
      <c r="AO3116" s="28" t="n">
        <f aca="false">AN3116*$M3116</f>
        <v>0</v>
      </c>
      <c r="AP3116" s="28"/>
      <c r="AQ3116" s="28" t="n">
        <f aca="false">AP3116*$M3116</f>
        <v>0</v>
      </c>
      <c r="AR3116" s="28"/>
      <c r="AS3116" s="28" t="n">
        <f aca="false">AR3116*$M3116</f>
        <v>0</v>
      </c>
      <c r="AT3116" s="28"/>
      <c r="AU3116" s="28" t="n">
        <f aca="false">AT3116*$M3116</f>
        <v>0</v>
      </c>
      <c r="AV3116" s="28"/>
      <c r="AW3116" s="28" t="n">
        <f aca="false">AV3116*$M3116</f>
        <v>0</v>
      </c>
      <c r="AX3116" s="28"/>
      <c r="AY3116" s="28" t="n">
        <f aca="false">AX3116*$M3116</f>
        <v>0</v>
      </c>
      <c r="AZ3116" s="30" t="n">
        <f aca="false">146311/100</f>
        <v>1463.11</v>
      </c>
      <c r="BA3116" s="11" t="n">
        <v>131680</v>
      </c>
      <c r="BB3116" s="31" t="n">
        <f aca="false">SUM(Q3116,S3116,U3116,W3116,Y3116,AA3116,AC3116,AE3116,AG3116,AI3116,AK3116,AM3116,AO3116,AQ3116,AS3116,AU3116,AW3116,AY3116)</f>
        <v>131680</v>
      </c>
      <c r="BC3116" s="28" t="n">
        <f aca="false">BA3116-BB3116</f>
        <v>0</v>
      </c>
      <c r="BD3116" s="32" t="n">
        <f aca="false">SUM(P3116,R3116,T3116,V3116,X3116,Z3116,AB3116,AD3116,AF3116,AH3116,AJ3116,AL3116,AN3116,AP3116,AR3116,AT3116,AV3116,AX3116)</f>
        <v>1463.11</v>
      </c>
      <c r="BE3116" s="33" t="n">
        <f aca="false">AZ3116-BD3116</f>
        <v>0</v>
      </c>
      <c r="BF3116" s="34" t="n">
        <f aca="false">BD3116*M3116</f>
        <v>131679.9</v>
      </c>
      <c r="BG3116" s="35" t="n">
        <f aca="false">BA3116-BF3116</f>
        <v>0.100000000005821</v>
      </c>
      <c r="BH3116" s="19" t="str">
        <f aca="false">IF(BG3116=0,"",IF(BG3116&lt;&gt;BA3116,"erreur de calcul",IF(BD3116&lt;&gt;0,"pas de prix",IF(M3116&lt;&gt; 0,"pas de quantité","pas de prix, ni de quantité"))))</f>
        <v>erreur de calcul</v>
      </c>
      <c r="BI3116" s="19"/>
    </row>
    <row r="3117" customFormat="false" ht="15" hidden="false" customHeight="false" outlineLevel="0" collapsed="false">
      <c r="A3117" s="0" t="n">
        <v>19</v>
      </c>
      <c r="B3117" s="8" t="s">
        <v>24</v>
      </c>
      <c r="C3117" s="9" t="s">
        <v>25</v>
      </c>
      <c r="D3117" s="9" t="s">
        <v>26</v>
      </c>
      <c r="E3117" s="10" t="n">
        <v>1789</v>
      </c>
      <c r="F3117" s="9" t="s">
        <v>27</v>
      </c>
      <c r="G3117" s="9" t="s">
        <v>27</v>
      </c>
      <c r="H3117" s="11" t="n">
        <v>26</v>
      </c>
      <c r="I3117" s="11" t="s">
        <v>390</v>
      </c>
      <c r="J3117" s="14" t="n">
        <v>25</v>
      </c>
      <c r="K3117" s="14"/>
      <c r="L3117" s="16"/>
      <c r="M3117" s="27" t="n">
        <f aca="false">J3117+(K3117/20)+(L3117/240)</f>
        <v>25</v>
      </c>
      <c r="N3117" s="17" t="s">
        <v>64</v>
      </c>
      <c r="O3117" s="11" t="s">
        <v>277</v>
      </c>
      <c r="P3117" s="28"/>
      <c r="Q3117" s="28" t="n">
        <f aca="false">P3117*$M3117</f>
        <v>0</v>
      </c>
      <c r="R3117" s="28"/>
      <c r="S3117" s="28" t="n">
        <f aca="false">R3117*$M3117</f>
        <v>0</v>
      </c>
      <c r="T3117" s="28"/>
      <c r="U3117" s="28" t="n">
        <f aca="false">T3117*$M3117</f>
        <v>0</v>
      </c>
      <c r="V3117" s="28"/>
      <c r="W3117" s="28" t="n">
        <f aca="false">V3117*$M3117</f>
        <v>0</v>
      </c>
      <c r="X3117" s="28"/>
      <c r="Y3117" s="28" t="n">
        <f aca="false">X3117*$M3117</f>
        <v>0</v>
      </c>
      <c r="Z3117" s="28"/>
      <c r="AA3117" s="28" t="n">
        <f aca="false">Z3117*$M3117</f>
        <v>0</v>
      </c>
      <c r="AB3117" s="28"/>
      <c r="AC3117" s="28" t="n">
        <f aca="false">AB3117*$M3117</f>
        <v>0</v>
      </c>
      <c r="AD3117" s="28"/>
      <c r="AE3117" s="28" t="n">
        <f aca="false">AD3117*$M3117</f>
        <v>0</v>
      </c>
      <c r="AF3117" s="28"/>
      <c r="AG3117" s="28" t="n">
        <f aca="false">AF3117*$M3117</f>
        <v>0</v>
      </c>
      <c r="AH3117" s="28"/>
      <c r="AI3117" s="28" t="n">
        <f aca="false">AH3117*$M3117</f>
        <v>0</v>
      </c>
      <c r="AJ3117" s="28"/>
      <c r="AK3117" s="28" t="n">
        <f aca="false">AJ3117*$M3117</f>
        <v>0</v>
      </c>
      <c r="AL3117" s="28"/>
      <c r="AM3117" s="28" t="n">
        <f aca="false">AL3117*$M3117</f>
        <v>0</v>
      </c>
      <c r="AN3117" s="28"/>
      <c r="AO3117" s="28" t="n">
        <f aca="false">AN3117*$M3117</f>
        <v>0</v>
      </c>
      <c r="AP3117" s="28"/>
      <c r="AQ3117" s="28" t="n">
        <f aca="false">AP3117*$M3117</f>
        <v>0</v>
      </c>
      <c r="AR3117" s="28"/>
      <c r="AS3117" s="28" t="n">
        <f aca="false">AR3117*$M3117</f>
        <v>0</v>
      </c>
      <c r="AT3117" s="28"/>
      <c r="AU3117" s="28" t="n">
        <f aca="false">AT3117*$M3117</f>
        <v>0</v>
      </c>
      <c r="AV3117" s="28"/>
      <c r="AW3117" s="28" t="n">
        <f aca="false">AV3117*$M3117</f>
        <v>0</v>
      </c>
      <c r="AX3117" s="28"/>
      <c r="AY3117" s="28" t="n">
        <f aca="false">AX3117*$M3117</f>
        <v>0</v>
      </c>
      <c r="AZ3117" s="30"/>
      <c r="BA3117" s="11"/>
      <c r="BB3117" s="31" t="n">
        <f aca="false">SUM(Q3117,S3117,U3117,W3117,Y3117,AA3117,AC3117,AE3117,AG3117,AI3117,AK3117,AM3117,AO3117,AQ3117,AS3117,AU3117,AW3117,AY3117)</f>
        <v>0</v>
      </c>
      <c r="BC3117" s="28" t="n">
        <f aca="false">BA3117-BB3117</f>
        <v>0</v>
      </c>
      <c r="BD3117" s="32" t="n">
        <f aca="false">SUM(P3117,R3117,T3117,V3117,X3117,Z3117,AB3117,AD3117,AF3117,AH3117,AJ3117,AL3117,AN3117,AP3117,AR3117,AT3117,AV3117,AX3117)</f>
        <v>0</v>
      </c>
      <c r="BE3117" s="33" t="n">
        <f aca="false">AZ3117-BD3117</f>
        <v>0</v>
      </c>
      <c r="BF3117" s="34" t="n">
        <f aca="false">BD3117*M3117</f>
        <v>0</v>
      </c>
      <c r="BG3117" s="35" t="n">
        <f aca="false">BA3117-BF3117</f>
        <v>0</v>
      </c>
      <c r="BH3117" s="19" t="str">
        <f aca="false">IF(BG3117=0,"",IF(BG3117&lt;&gt;BA3117,"erreur de calcul",IF(BD3117&lt;&gt;0,"pas de prix",IF(M3117&lt;&gt; 0,"pas de quantité","pas de prix, ni de quantité"))))</f>
        <v/>
      </c>
      <c r="BI3117" s="19"/>
    </row>
    <row r="3118" customFormat="false" ht="15" hidden="false" customHeight="false" outlineLevel="0" collapsed="false">
      <c r="A3118" s="0" t="n">
        <v>20</v>
      </c>
      <c r="B3118" s="8" t="s">
        <v>24</v>
      </c>
      <c r="C3118" s="9" t="s">
        <v>25</v>
      </c>
      <c r="D3118" s="9" t="s">
        <v>26</v>
      </c>
      <c r="E3118" s="10" t="n">
        <v>1789</v>
      </c>
      <c r="F3118" s="9" t="s">
        <v>27</v>
      </c>
      <c r="G3118" s="9" t="s">
        <v>27</v>
      </c>
      <c r="H3118" s="11" t="n">
        <v>26</v>
      </c>
      <c r="I3118" s="11" t="s">
        <v>391</v>
      </c>
      <c r="J3118" s="14" t="n">
        <v>35</v>
      </c>
      <c r="K3118" s="14"/>
      <c r="L3118" s="16"/>
      <c r="M3118" s="27" t="n">
        <f aca="false">J3118+(K3118/20)+(L3118/240)</f>
        <v>35</v>
      </c>
      <c r="N3118" s="17" t="s">
        <v>64</v>
      </c>
      <c r="O3118" s="11"/>
      <c r="P3118" s="28"/>
      <c r="Q3118" s="28" t="n">
        <f aca="false">P3118*$M3118</f>
        <v>0</v>
      </c>
      <c r="R3118" s="28"/>
      <c r="S3118" s="28" t="n">
        <f aca="false">R3118*$M3118</f>
        <v>0</v>
      </c>
      <c r="T3118" s="28"/>
      <c r="U3118" s="28" t="n">
        <f aca="false">T3118*$M3118</f>
        <v>0</v>
      </c>
      <c r="V3118" s="28"/>
      <c r="W3118" s="28" t="n">
        <f aca="false">V3118*$M3118</f>
        <v>0</v>
      </c>
      <c r="X3118" s="28"/>
      <c r="Y3118" s="28" t="n">
        <f aca="false">X3118*$M3118</f>
        <v>0</v>
      </c>
      <c r="Z3118" s="28"/>
      <c r="AA3118" s="28" t="n">
        <f aca="false">Z3118*$M3118</f>
        <v>0</v>
      </c>
      <c r="AB3118" s="28"/>
      <c r="AC3118" s="28" t="n">
        <f aca="false">AB3118*$M3118</f>
        <v>0</v>
      </c>
      <c r="AD3118" s="28"/>
      <c r="AE3118" s="28" t="n">
        <f aca="false">AD3118*$M3118</f>
        <v>0</v>
      </c>
      <c r="AF3118" s="28"/>
      <c r="AG3118" s="28" t="n">
        <f aca="false">AF3118*$M3118</f>
        <v>0</v>
      </c>
      <c r="AH3118" s="28"/>
      <c r="AI3118" s="28" t="n">
        <f aca="false">AH3118*$M3118</f>
        <v>0</v>
      </c>
      <c r="AJ3118" s="28" t="n">
        <f aca="false">3950/100</f>
        <v>39.5</v>
      </c>
      <c r="AK3118" s="28" t="n">
        <v>1382</v>
      </c>
      <c r="AL3118" s="28"/>
      <c r="AM3118" s="28" t="n">
        <f aca="false">AL3118*$M3118</f>
        <v>0</v>
      </c>
      <c r="AN3118" s="28"/>
      <c r="AO3118" s="28" t="n">
        <f aca="false">AN3118*$M3118</f>
        <v>0</v>
      </c>
      <c r="AP3118" s="28"/>
      <c r="AQ3118" s="28" t="n">
        <f aca="false">AP3118*$M3118</f>
        <v>0</v>
      </c>
      <c r="AR3118" s="28"/>
      <c r="AS3118" s="28" t="n">
        <f aca="false">AR3118*$M3118</f>
        <v>0</v>
      </c>
      <c r="AT3118" s="28"/>
      <c r="AU3118" s="28" t="n">
        <f aca="false">AT3118*$M3118</f>
        <v>0</v>
      </c>
      <c r="AV3118" s="28"/>
      <c r="AW3118" s="28" t="n">
        <f aca="false">AV3118*$M3118</f>
        <v>0</v>
      </c>
      <c r="AX3118" s="28"/>
      <c r="AY3118" s="28" t="n">
        <f aca="false">AX3118*$M3118</f>
        <v>0</v>
      </c>
      <c r="AZ3118" s="30" t="n">
        <f aca="false">3950/100</f>
        <v>39.5</v>
      </c>
      <c r="BA3118" s="11" t="n">
        <v>1382</v>
      </c>
      <c r="BB3118" s="31" t="n">
        <f aca="false">SUM(Q3118,S3118,U3118,W3118,Y3118,AA3118,AC3118,AE3118,AG3118,AI3118,AK3118,AM3118,AO3118,AQ3118,AS3118,AU3118,AW3118,AY3118)</f>
        <v>1382</v>
      </c>
      <c r="BC3118" s="28" t="n">
        <f aca="false">BA3118-BB3118</f>
        <v>0</v>
      </c>
      <c r="BD3118" s="32" t="n">
        <f aca="false">SUM(P3118,R3118,T3118,V3118,X3118,Z3118,AB3118,AD3118,AF3118,AH3118,AJ3118,AL3118,AN3118,AP3118,AR3118,AT3118,AV3118,AX3118)</f>
        <v>39.5</v>
      </c>
      <c r="BE3118" s="33" t="n">
        <f aca="false">AZ3118-BD3118</f>
        <v>0</v>
      </c>
      <c r="BF3118" s="34" t="n">
        <f aca="false">BD3118*M3118</f>
        <v>1382.5</v>
      </c>
      <c r="BG3118" s="35" t="n">
        <f aca="false">BA3118-BF3118</f>
        <v>-0.5</v>
      </c>
      <c r="BH3118" s="19" t="str">
        <f aca="false">IF(BG3118=0,"",IF(BG3118&lt;&gt;BA3118,"erreur de calcul",IF(BD3118&lt;&gt;0,"pas de prix",IF(M3118&lt;&gt; 0,"pas de quantité","pas de prix, ni de quantité"))))</f>
        <v>erreur de calcul</v>
      </c>
      <c r="BI3118" s="19"/>
    </row>
    <row r="3119" customFormat="false" ht="15" hidden="false" customHeight="false" outlineLevel="0" collapsed="false">
      <c r="A3119" s="0" t="n">
        <v>21</v>
      </c>
      <c r="B3119" s="8" t="s">
        <v>24</v>
      </c>
      <c r="C3119" s="9" t="s">
        <v>25</v>
      </c>
      <c r="D3119" s="9" t="s">
        <v>26</v>
      </c>
      <c r="E3119" s="10" t="n">
        <v>1789</v>
      </c>
      <c r="F3119" s="9" t="s">
        <v>27</v>
      </c>
      <c r="G3119" s="9" t="s">
        <v>27</v>
      </c>
      <c r="H3119" s="11" t="n">
        <v>26</v>
      </c>
      <c r="I3119" s="11" t="s">
        <v>392</v>
      </c>
      <c r="J3119" s="14" t="n">
        <v>60</v>
      </c>
      <c r="K3119" s="14"/>
      <c r="L3119" s="16"/>
      <c r="M3119" s="27" t="n">
        <f aca="false">J3119+(K3119/20)+(L3119/240)</f>
        <v>60</v>
      </c>
      <c r="N3119" s="17" t="s">
        <v>64</v>
      </c>
      <c r="O3119" s="11"/>
      <c r="P3119" s="28"/>
      <c r="Q3119" s="28" t="n">
        <f aca="false">P3119*$M3119</f>
        <v>0</v>
      </c>
      <c r="R3119" s="28"/>
      <c r="S3119" s="28" t="n">
        <f aca="false">R3119*$M3119</f>
        <v>0</v>
      </c>
      <c r="T3119" s="28"/>
      <c r="U3119" s="28" t="n">
        <f aca="false">T3119*$M3119</f>
        <v>0</v>
      </c>
      <c r="V3119" s="28"/>
      <c r="W3119" s="28" t="n">
        <f aca="false">V3119*$M3119</f>
        <v>0</v>
      </c>
      <c r="X3119" s="28" t="n">
        <f aca="false">12306/100</f>
        <v>123.06</v>
      </c>
      <c r="Y3119" s="28" t="n">
        <v>7384</v>
      </c>
      <c r="Z3119" s="28"/>
      <c r="AA3119" s="28" t="n">
        <f aca="false">Z3119*$M3119</f>
        <v>0</v>
      </c>
      <c r="AB3119" s="28"/>
      <c r="AC3119" s="28" t="n">
        <f aca="false">AB3119*$M3119</f>
        <v>0</v>
      </c>
      <c r="AD3119" s="28"/>
      <c r="AE3119" s="28" t="n">
        <f aca="false">AD3119*$M3119</f>
        <v>0</v>
      </c>
      <c r="AF3119" s="28"/>
      <c r="AG3119" s="28" t="n">
        <f aca="false">AF3119*$M3119</f>
        <v>0</v>
      </c>
      <c r="AH3119" s="28"/>
      <c r="AI3119" s="28" t="n">
        <f aca="false">AH3119*$M3119</f>
        <v>0</v>
      </c>
      <c r="AJ3119" s="28" t="n">
        <f aca="false">2557/100</f>
        <v>25.57</v>
      </c>
      <c r="AK3119" s="28" t="n">
        <v>1534</v>
      </c>
      <c r="AL3119" s="28"/>
      <c r="AM3119" s="28" t="n">
        <f aca="false">AL3119*$M3119</f>
        <v>0</v>
      </c>
      <c r="AN3119" s="28"/>
      <c r="AO3119" s="28" t="n">
        <f aca="false">AN3119*$M3119</f>
        <v>0</v>
      </c>
      <c r="AP3119" s="28"/>
      <c r="AQ3119" s="28" t="n">
        <f aca="false">AP3119*$M3119</f>
        <v>0</v>
      </c>
      <c r="AR3119" s="28" t="n">
        <f aca="false">7204/100</f>
        <v>72.04</v>
      </c>
      <c r="AS3119" s="28" t="n">
        <v>4322</v>
      </c>
      <c r="AT3119" s="28"/>
      <c r="AU3119" s="28" t="n">
        <f aca="false">AT3119*$M3119</f>
        <v>0</v>
      </c>
      <c r="AV3119" s="28"/>
      <c r="AW3119" s="28" t="n">
        <f aca="false">AV3119*$M3119</f>
        <v>0</v>
      </c>
      <c r="AX3119" s="28"/>
      <c r="AY3119" s="28" t="n">
        <f aca="false">AX3119*$M3119</f>
        <v>0</v>
      </c>
      <c r="AZ3119" s="30" t="n">
        <f aca="false">22067/100</f>
        <v>220.67</v>
      </c>
      <c r="BA3119" s="11" t="n">
        <v>13240</v>
      </c>
      <c r="BB3119" s="31" t="n">
        <f aca="false">SUM(Q3119,S3119,U3119,W3119,Y3119,AA3119,AC3119,AE3119,AG3119,AI3119,AK3119,AM3119,AO3119,AQ3119,AS3119,AU3119,AW3119,AY3119)</f>
        <v>13240</v>
      </c>
      <c r="BC3119" s="28" t="n">
        <f aca="false">BA3119-BB3119</f>
        <v>0</v>
      </c>
      <c r="BD3119" s="32" t="n">
        <f aca="false">SUM(P3119,R3119,T3119,V3119,X3119,Z3119,AB3119,AD3119,AF3119,AH3119,AJ3119,AL3119,AN3119,AP3119,AR3119,AT3119,AV3119,AX3119)</f>
        <v>220.67</v>
      </c>
      <c r="BE3119" s="33" t="n">
        <f aca="false">AZ3119-BD3119</f>
        <v>0</v>
      </c>
      <c r="BF3119" s="34" t="n">
        <f aca="false">BD3119*M3119</f>
        <v>13240.2</v>
      </c>
      <c r="BG3119" s="35" t="n">
        <f aca="false">BA3119-BF3119</f>
        <v>-0.200000000000728</v>
      </c>
      <c r="BH3119" s="19" t="str">
        <f aca="false">IF(BG3119=0,"",IF(BG3119&lt;&gt;BA3119,"erreur de calcul",IF(BD3119&lt;&gt;0,"pas de prix",IF(M3119&lt;&gt; 0,"pas de quantité","pas de prix, ni de quantité"))))</f>
        <v>erreur de calcul</v>
      </c>
      <c r="BI3119" s="19"/>
    </row>
    <row r="3120" customFormat="false" ht="15" hidden="false" customHeight="false" outlineLevel="0" collapsed="false">
      <c r="A3120" s="0" t="n">
        <v>22</v>
      </c>
      <c r="B3120" s="8" t="s">
        <v>24</v>
      </c>
      <c r="C3120" s="9" t="s">
        <v>25</v>
      </c>
      <c r="D3120" s="9" t="s">
        <v>26</v>
      </c>
      <c r="E3120" s="10" t="n">
        <v>1789</v>
      </c>
      <c r="F3120" s="9" t="s">
        <v>27</v>
      </c>
      <c r="G3120" s="9" t="s">
        <v>27</v>
      </c>
      <c r="H3120" s="11" t="n">
        <v>26</v>
      </c>
      <c r="I3120" s="11" t="s">
        <v>393</v>
      </c>
      <c r="J3120" s="14" t="n">
        <v>120</v>
      </c>
      <c r="K3120" s="14"/>
      <c r="L3120" s="16"/>
      <c r="M3120" s="27" t="n">
        <f aca="false">J3120+(K3120/20)+(L3120/240)</f>
        <v>120</v>
      </c>
      <c r="N3120" s="17" t="s">
        <v>64</v>
      </c>
      <c r="O3120" s="11"/>
      <c r="P3120" s="28"/>
      <c r="Q3120" s="28" t="n">
        <f aca="false">P3120*$M3120</f>
        <v>0</v>
      </c>
      <c r="R3120" s="28"/>
      <c r="S3120" s="28" t="n">
        <f aca="false">R3120*$M3120</f>
        <v>0</v>
      </c>
      <c r="T3120" s="28"/>
      <c r="U3120" s="28" t="n">
        <f aca="false">T3120*$M3120</f>
        <v>0</v>
      </c>
      <c r="V3120" s="28"/>
      <c r="W3120" s="28" t="n">
        <f aca="false">V3120*$M3120</f>
        <v>0</v>
      </c>
      <c r="X3120" s="28"/>
      <c r="Y3120" s="28" t="n">
        <f aca="false">X3120*$M3120</f>
        <v>0</v>
      </c>
      <c r="Z3120" s="28"/>
      <c r="AA3120" s="28" t="n">
        <f aca="false">Z3120*$M3120</f>
        <v>0</v>
      </c>
      <c r="AB3120" s="28"/>
      <c r="AC3120" s="28" t="n">
        <f aca="false">AB3120*$M3120</f>
        <v>0</v>
      </c>
      <c r="AD3120" s="28"/>
      <c r="AE3120" s="28" t="n">
        <f aca="false">AD3120*$M3120</f>
        <v>0</v>
      </c>
      <c r="AF3120" s="28"/>
      <c r="AG3120" s="28" t="n">
        <f aca="false">AF3120*$M3120</f>
        <v>0</v>
      </c>
      <c r="AH3120" s="28" t="n">
        <f aca="false">1810/100</f>
        <v>18.1</v>
      </c>
      <c r="AI3120" s="28" t="n">
        <v>2172</v>
      </c>
      <c r="AJ3120" s="28"/>
      <c r="AK3120" s="28" t="n">
        <f aca="false">AJ3120*$M3120</f>
        <v>0</v>
      </c>
      <c r="AL3120" s="28"/>
      <c r="AM3120" s="28" t="n">
        <f aca="false">AL3120*$M3120</f>
        <v>0</v>
      </c>
      <c r="AN3120" s="28"/>
      <c r="AO3120" s="28" t="n">
        <f aca="false">AN3120*$M3120</f>
        <v>0</v>
      </c>
      <c r="AP3120" s="28"/>
      <c r="AQ3120" s="28" t="n">
        <f aca="false">AP3120*$M3120</f>
        <v>0</v>
      </c>
      <c r="AR3120" s="28"/>
      <c r="AS3120" s="28" t="n">
        <f aca="false">AR3120*$M3120</f>
        <v>0</v>
      </c>
      <c r="AT3120" s="28"/>
      <c r="AU3120" s="28" t="n">
        <f aca="false">AT3120*$M3120</f>
        <v>0</v>
      </c>
      <c r="AV3120" s="28"/>
      <c r="AW3120" s="28" t="n">
        <f aca="false">AV3120*$M3120</f>
        <v>0</v>
      </c>
      <c r="AX3120" s="28"/>
      <c r="AY3120" s="28" t="n">
        <f aca="false">AX3120*$M3120</f>
        <v>0</v>
      </c>
      <c r="AZ3120" s="30" t="n">
        <f aca="false">1810/100</f>
        <v>18.1</v>
      </c>
      <c r="BA3120" s="11" t="n">
        <v>2172</v>
      </c>
      <c r="BB3120" s="31" t="n">
        <f aca="false">SUM(Q3120,S3120,U3120,W3120,Y3120,AA3120,AC3120,AE3120,AG3120,AI3120,AK3120,AM3120,AO3120,AQ3120,AS3120,AU3120,AW3120,AY3120)</f>
        <v>2172</v>
      </c>
      <c r="BC3120" s="28" t="n">
        <f aca="false">BA3120-BB3120</f>
        <v>0</v>
      </c>
      <c r="BD3120" s="32" t="n">
        <f aca="false">SUM(P3120,R3120,T3120,V3120,X3120,Z3120,AB3120,AD3120,AF3120,AH3120,AJ3120,AL3120,AN3120,AP3120,AR3120,AT3120,AV3120,AX3120)</f>
        <v>18.1</v>
      </c>
      <c r="BE3120" s="33" t="n">
        <f aca="false">AZ3120-BD3120</f>
        <v>0</v>
      </c>
      <c r="BF3120" s="34" t="n">
        <f aca="false">BD3120*M3120</f>
        <v>2172</v>
      </c>
      <c r="BG3120" s="35" t="n">
        <f aca="false">BA3120-BF3120</f>
        <v>0</v>
      </c>
      <c r="BH3120" s="19" t="str">
        <f aca="false">IF(BG3120=0,"",IF(BG3120&lt;&gt;BA3120,"erreur de calcul",IF(BD3120&lt;&gt;0,"pas de prix",IF(M3120&lt;&gt; 0,"pas de quantité","pas de prix, ni de quantité"))))</f>
        <v/>
      </c>
      <c r="BI3120" s="19"/>
    </row>
    <row r="3121" customFormat="false" ht="15" hidden="false" customHeight="false" outlineLevel="0" collapsed="false">
      <c r="A3121" s="0" t="n">
        <v>23</v>
      </c>
      <c r="B3121" s="8" t="s">
        <v>24</v>
      </c>
      <c r="C3121" s="9" t="s">
        <v>25</v>
      </c>
      <c r="D3121" s="9" t="s">
        <v>26</v>
      </c>
      <c r="E3121" s="10" t="n">
        <v>1789</v>
      </c>
      <c r="F3121" s="9" t="s">
        <v>27</v>
      </c>
      <c r="G3121" s="9" t="s">
        <v>27</v>
      </c>
      <c r="H3121" s="11" t="n">
        <v>26</v>
      </c>
      <c r="I3121" s="41" t="s">
        <v>394</v>
      </c>
      <c r="J3121" s="14" t="n">
        <v>7</v>
      </c>
      <c r="K3121" s="14"/>
      <c r="L3121" s="16"/>
      <c r="M3121" s="27" t="n">
        <f aca="false">J3121+(K3121/20)+(L3121/240)</f>
        <v>7</v>
      </c>
      <c r="N3121" s="17" t="s">
        <v>64</v>
      </c>
      <c r="O3121" s="11"/>
      <c r="P3121" s="28" t="n">
        <f aca="false">11428/100</f>
        <v>114.28</v>
      </c>
      <c r="Q3121" s="28" t="n">
        <v>800</v>
      </c>
      <c r="R3121" s="28"/>
      <c r="S3121" s="28" t="n">
        <f aca="false">R3121*$M3121</f>
        <v>0</v>
      </c>
      <c r="T3121" s="28" t="n">
        <f aca="false">2084/100</f>
        <v>20.84</v>
      </c>
      <c r="U3121" s="36" t="n">
        <v>246</v>
      </c>
      <c r="V3121" s="28"/>
      <c r="W3121" s="28" t="n">
        <f aca="false">V3121*$M3121</f>
        <v>0</v>
      </c>
      <c r="X3121" s="28"/>
      <c r="Y3121" s="28" t="n">
        <f aca="false">X3121*$M3121</f>
        <v>0</v>
      </c>
      <c r="Z3121" s="28"/>
      <c r="AA3121" s="28" t="n">
        <f aca="false">Z3121*$M3121</f>
        <v>0</v>
      </c>
      <c r="AB3121" s="28"/>
      <c r="AC3121" s="28" t="n">
        <f aca="false">AB3121*$M3121</f>
        <v>0</v>
      </c>
      <c r="AD3121" s="28"/>
      <c r="AE3121" s="28" t="n">
        <f aca="false">AD3121*$M3121</f>
        <v>0</v>
      </c>
      <c r="AF3121" s="28" t="n">
        <f aca="false">6709/100</f>
        <v>67.09</v>
      </c>
      <c r="AG3121" s="28" t="n">
        <v>470</v>
      </c>
      <c r="AH3121" s="28"/>
      <c r="AI3121" s="28" t="n">
        <f aca="false">AH3121*$M3121</f>
        <v>0</v>
      </c>
      <c r="AJ3121" s="28"/>
      <c r="AK3121" s="28" t="n">
        <f aca="false">AJ3121*$M3121</f>
        <v>0</v>
      </c>
      <c r="AL3121" s="28"/>
      <c r="AM3121" s="28" t="n">
        <f aca="false">AL3121*$M3121</f>
        <v>0</v>
      </c>
      <c r="AN3121" s="28"/>
      <c r="AO3121" s="28" t="n">
        <f aca="false">AN3121*$M3121</f>
        <v>0</v>
      </c>
      <c r="AP3121" s="28"/>
      <c r="AQ3121" s="28" t="n">
        <f aca="false">AP3121*$M3121</f>
        <v>0</v>
      </c>
      <c r="AR3121" s="28"/>
      <c r="AS3121" s="28" t="n">
        <f aca="false">AR3121*$M3121</f>
        <v>0</v>
      </c>
      <c r="AT3121" s="28"/>
      <c r="AU3121" s="28" t="n">
        <f aca="false">AT3121*$M3121</f>
        <v>0</v>
      </c>
      <c r="AV3121" s="28"/>
      <c r="AW3121" s="28" t="n">
        <f aca="false">AV3121*$M3121</f>
        <v>0</v>
      </c>
      <c r="AX3121" s="28"/>
      <c r="AY3121" s="28" t="n">
        <f aca="false">AX3121*$M3121</f>
        <v>0</v>
      </c>
      <c r="AZ3121" s="30" t="n">
        <f aca="false">20221/100</f>
        <v>202.21</v>
      </c>
      <c r="BA3121" s="11" t="n">
        <v>1516</v>
      </c>
      <c r="BB3121" s="31" t="n">
        <f aca="false">SUM(Q3121,S3121,U3121,W3121,Y3121,AA3121,AC3121,AE3121,AG3121,AI3121,AK3121,AM3121,AO3121,AQ3121,AS3121,AU3121,AW3121,AY3121)</f>
        <v>1516</v>
      </c>
      <c r="BC3121" s="28" t="n">
        <f aca="false">BA3121-BB3121</f>
        <v>0</v>
      </c>
      <c r="BD3121" s="32" t="n">
        <f aca="false">SUM(P3121,R3121,T3121,V3121,X3121,Z3121,AB3121,AD3121,AF3121,AH3121,AJ3121,AL3121,AN3121,AP3121,AR3121,AT3121,AV3121,AX3121)</f>
        <v>202.21</v>
      </c>
      <c r="BE3121" s="33" t="n">
        <f aca="false">AZ3121-BD3121</f>
        <v>0</v>
      </c>
      <c r="BF3121" s="34" t="n">
        <f aca="false">BD3121*M3121</f>
        <v>1415.47</v>
      </c>
      <c r="BG3121" s="35" t="n">
        <f aca="false">BA3121-BF3121</f>
        <v>100.53</v>
      </c>
      <c r="BH3121" s="19" t="str">
        <f aca="false">IF(BG3121=0,"",IF(BG3121&lt;&gt;BA3121,"erreur de calcul",IF(BD3121&lt;&gt;0,"pas de prix",IF(M3121&lt;&gt; 0,"pas de quantité","pas de prix, ni de quantité"))))</f>
        <v>erreur de calcul</v>
      </c>
      <c r="BI3121" s="19"/>
    </row>
    <row r="3122" customFormat="false" ht="15" hidden="false" customHeight="false" outlineLevel="0" collapsed="false">
      <c r="A3122" s="0" t="n">
        <v>24</v>
      </c>
      <c r="B3122" s="8" t="s">
        <v>24</v>
      </c>
      <c r="C3122" s="9" t="s">
        <v>25</v>
      </c>
      <c r="D3122" s="9" t="s">
        <v>26</v>
      </c>
      <c r="E3122" s="10" t="n">
        <v>1789</v>
      </c>
      <c r="F3122" s="9" t="s">
        <v>27</v>
      </c>
      <c r="G3122" s="9" t="s">
        <v>27</v>
      </c>
      <c r="H3122" s="11" t="n">
        <v>26</v>
      </c>
      <c r="I3122" s="11" t="s">
        <v>395</v>
      </c>
      <c r="J3122" s="14" t="n">
        <v>40</v>
      </c>
      <c r="K3122" s="14"/>
      <c r="L3122" s="16"/>
      <c r="M3122" s="27" t="n">
        <f aca="false">J3122+(K3122/20)+(L3122/240)</f>
        <v>40</v>
      </c>
      <c r="N3122" s="17" t="s">
        <v>66</v>
      </c>
      <c r="O3122" s="11"/>
      <c r="P3122" s="28"/>
      <c r="Q3122" s="28" t="n">
        <f aca="false">P3122*$M3122</f>
        <v>0</v>
      </c>
      <c r="R3122" s="28"/>
      <c r="S3122" s="28" t="n">
        <f aca="false">R3122*$M3122</f>
        <v>0</v>
      </c>
      <c r="T3122" s="28" t="n">
        <v>2339</v>
      </c>
      <c r="U3122" s="28" t="n">
        <v>93560</v>
      </c>
      <c r="V3122" s="28" t="n">
        <v>38</v>
      </c>
      <c r="W3122" s="28" t="n">
        <v>1520</v>
      </c>
      <c r="X3122" s="28"/>
      <c r="Y3122" s="28" t="n">
        <f aca="false">X3122*$M3122</f>
        <v>0</v>
      </c>
      <c r="Z3122" s="28"/>
      <c r="AA3122" s="28" t="n">
        <f aca="false">Z3122*$M3122</f>
        <v>0</v>
      </c>
      <c r="AB3122" s="28"/>
      <c r="AC3122" s="28" t="n">
        <f aca="false">AB3122*$M3122</f>
        <v>0</v>
      </c>
      <c r="AD3122" s="28"/>
      <c r="AE3122" s="28" t="n">
        <f aca="false">AD3122*$M3122</f>
        <v>0</v>
      </c>
      <c r="AF3122" s="28"/>
      <c r="AG3122" s="28" t="n">
        <f aca="false">AF3122*$M3122</f>
        <v>0</v>
      </c>
      <c r="AH3122" s="28"/>
      <c r="AI3122" s="28" t="n">
        <f aca="false">AH3122*$M3122</f>
        <v>0</v>
      </c>
      <c r="AJ3122" s="28"/>
      <c r="AK3122" s="28" t="n">
        <f aca="false">AJ3122*$M3122</f>
        <v>0</v>
      </c>
      <c r="AL3122" s="28"/>
      <c r="AM3122" s="28" t="n">
        <f aca="false">AL3122*$M3122</f>
        <v>0</v>
      </c>
      <c r="AN3122" s="28"/>
      <c r="AO3122" s="28" t="n">
        <f aca="false">AN3122*$M3122</f>
        <v>0</v>
      </c>
      <c r="AP3122" s="28"/>
      <c r="AQ3122" s="28" t="n">
        <f aca="false">AP3122*$M3122</f>
        <v>0</v>
      </c>
      <c r="AR3122" s="28"/>
      <c r="AS3122" s="28" t="n">
        <f aca="false">AR3122*$M3122</f>
        <v>0</v>
      </c>
      <c r="AT3122" s="28"/>
      <c r="AU3122" s="28" t="n">
        <f aca="false">AT3122*$M3122</f>
        <v>0</v>
      </c>
      <c r="AV3122" s="28"/>
      <c r="AW3122" s="28" t="n">
        <f aca="false">AV3122*$M3122</f>
        <v>0</v>
      </c>
      <c r="AX3122" s="28"/>
      <c r="AY3122" s="28" t="n">
        <f aca="false">AX3122*$M3122</f>
        <v>0</v>
      </c>
      <c r="AZ3122" s="30" t="n">
        <v>2377</v>
      </c>
      <c r="BA3122" s="11" t="n">
        <v>95080</v>
      </c>
      <c r="BB3122" s="31" t="n">
        <f aca="false">SUM(Q3122,S3122,U3122,W3122,Y3122,AA3122,AC3122,AE3122,AG3122,AI3122,AK3122,AM3122,AO3122,AQ3122,AS3122,AU3122,AW3122,AY3122)</f>
        <v>95080</v>
      </c>
      <c r="BC3122" s="28" t="n">
        <f aca="false">BA3122-BB3122</f>
        <v>0</v>
      </c>
      <c r="BD3122" s="32" t="n">
        <f aca="false">SUM(P3122,R3122,T3122,V3122,X3122,Z3122,AB3122,AD3122,AF3122,AH3122,AJ3122,AL3122,AN3122,AP3122,AR3122,AT3122,AV3122,AX3122)</f>
        <v>2377</v>
      </c>
      <c r="BE3122" s="33" t="n">
        <f aca="false">AZ3122-BD3122</f>
        <v>0</v>
      </c>
      <c r="BF3122" s="34" t="n">
        <f aca="false">BD3122*M3122</f>
        <v>95080</v>
      </c>
      <c r="BG3122" s="35" t="n">
        <f aca="false">BA3122-BF3122</f>
        <v>0</v>
      </c>
      <c r="BH3122" s="19" t="str">
        <f aca="false">IF(BG3122=0,"",IF(BG3122&lt;&gt;BA3122,"erreur de calcul",IF(BD3122&lt;&gt;0,"pas de prix",IF(M3122&lt;&gt; 0,"pas de quantité","pas de prix, ni de quantité"))))</f>
        <v/>
      </c>
      <c r="BI3122" s="19"/>
    </row>
    <row r="3123" customFormat="false" ht="15" hidden="false" customHeight="false" outlineLevel="0" collapsed="false">
      <c r="A3123" s="0" t="n">
        <v>25</v>
      </c>
      <c r="B3123" s="8" t="s">
        <v>24</v>
      </c>
      <c r="C3123" s="9" t="s">
        <v>25</v>
      </c>
      <c r="D3123" s="9" t="s">
        <v>26</v>
      </c>
      <c r="E3123" s="10" t="n">
        <v>1789</v>
      </c>
      <c r="F3123" s="9" t="s">
        <v>27</v>
      </c>
      <c r="G3123" s="9" t="s">
        <v>27</v>
      </c>
      <c r="H3123" s="11" t="n">
        <v>26</v>
      </c>
      <c r="I3123" s="11" t="s">
        <v>396</v>
      </c>
      <c r="J3123" s="14" t="n">
        <v>2</v>
      </c>
      <c r="K3123" s="14" t="n">
        <v>10</v>
      </c>
      <c r="L3123" s="16"/>
      <c r="M3123" s="27" t="n">
        <f aca="false">J3123+(K3123/20)+(L3123/240)</f>
        <v>2.5</v>
      </c>
      <c r="N3123" s="17" t="s">
        <v>66</v>
      </c>
      <c r="O3123" s="11"/>
      <c r="P3123" s="28"/>
      <c r="Q3123" s="28" t="n">
        <f aca="false">P3123*$M3123</f>
        <v>0</v>
      </c>
      <c r="R3123" s="28"/>
      <c r="S3123" s="28" t="n">
        <f aca="false">R3123*$M3123</f>
        <v>0</v>
      </c>
      <c r="T3123" s="28"/>
      <c r="U3123" s="28" t="n">
        <f aca="false">T3123*$M3123</f>
        <v>0</v>
      </c>
      <c r="V3123" s="28"/>
      <c r="W3123" s="28" t="n">
        <f aca="false">V3123*$M3123</f>
        <v>0</v>
      </c>
      <c r="X3123" s="28"/>
      <c r="Y3123" s="28" t="n">
        <f aca="false">X3123*$M3123</f>
        <v>0</v>
      </c>
      <c r="Z3123" s="28"/>
      <c r="AA3123" s="28" t="n">
        <f aca="false">Z3123*$M3123</f>
        <v>0</v>
      </c>
      <c r="AB3123" s="28"/>
      <c r="AC3123" s="28" t="n">
        <f aca="false">AB3123*$M3123</f>
        <v>0</v>
      </c>
      <c r="AD3123" s="28"/>
      <c r="AE3123" s="28" t="n">
        <f aca="false">AD3123*$M3123</f>
        <v>0</v>
      </c>
      <c r="AF3123" s="28"/>
      <c r="AG3123" s="28" t="n">
        <f aca="false">AF3123*$M3123</f>
        <v>0</v>
      </c>
      <c r="AH3123" s="28"/>
      <c r="AI3123" s="28" t="n">
        <f aca="false">AH3123*$M3123</f>
        <v>0</v>
      </c>
      <c r="AJ3123" s="28" t="n">
        <v>7127</v>
      </c>
      <c r="AK3123" s="28" t="n">
        <v>17817</v>
      </c>
      <c r="AL3123" s="28"/>
      <c r="AM3123" s="28" t="n">
        <f aca="false">AL3123*$M3123</f>
        <v>0</v>
      </c>
      <c r="AN3123" s="28"/>
      <c r="AO3123" s="28" t="n">
        <f aca="false">AN3123*$M3123</f>
        <v>0</v>
      </c>
      <c r="AP3123" s="28"/>
      <c r="AQ3123" s="28" t="n">
        <f aca="false">AP3123*$M3123</f>
        <v>0</v>
      </c>
      <c r="AR3123" s="28"/>
      <c r="AS3123" s="28" t="n">
        <f aca="false">AR3123*$M3123</f>
        <v>0</v>
      </c>
      <c r="AT3123" s="28"/>
      <c r="AU3123" s="28" t="n">
        <f aca="false">AT3123*$M3123</f>
        <v>0</v>
      </c>
      <c r="AV3123" s="28"/>
      <c r="AW3123" s="28" t="n">
        <f aca="false">AV3123*$M3123</f>
        <v>0</v>
      </c>
      <c r="AX3123" s="28"/>
      <c r="AY3123" s="28" t="n">
        <f aca="false">AX3123*$M3123</f>
        <v>0</v>
      </c>
      <c r="AZ3123" s="30" t="n">
        <v>7127</v>
      </c>
      <c r="BA3123" s="11" t="n">
        <v>17817</v>
      </c>
      <c r="BB3123" s="31" t="n">
        <f aca="false">SUM(Q3123,S3123,U3123,W3123,Y3123,AA3123,AC3123,AE3123,AG3123,AI3123,AK3123,AM3123,AO3123,AQ3123,AS3123,AU3123,AW3123,AY3123)</f>
        <v>17817</v>
      </c>
      <c r="BC3123" s="28" t="n">
        <f aca="false">BA3123-BB3123</f>
        <v>0</v>
      </c>
      <c r="BD3123" s="32" t="n">
        <f aca="false">SUM(P3123,R3123,T3123,V3123,X3123,Z3123,AB3123,AD3123,AF3123,AH3123,AJ3123,AL3123,AN3123,AP3123,AR3123,AT3123,AV3123,AX3123)</f>
        <v>7127</v>
      </c>
      <c r="BE3123" s="33" t="n">
        <f aca="false">AZ3123-BD3123</f>
        <v>0</v>
      </c>
      <c r="BF3123" s="34" t="n">
        <f aca="false">BD3123*M3123</f>
        <v>17817.5</v>
      </c>
      <c r="BG3123" s="35" t="n">
        <f aca="false">BA3123-BF3123</f>
        <v>-0.5</v>
      </c>
      <c r="BH3123" s="19" t="str">
        <f aca="false">IF(BG3123=0,"",IF(BG3123&lt;&gt;BA3123,"erreur de calcul",IF(BD3123&lt;&gt;0,"pas de prix",IF(M3123&lt;&gt; 0,"pas de quantité","pas de prix, ni de quantité"))))</f>
        <v>erreur de calcul</v>
      </c>
      <c r="BI3123" s="19"/>
    </row>
    <row r="3124" customFormat="false" ht="15" hidden="false" customHeight="false" outlineLevel="0" collapsed="false">
      <c r="A3124" s="0" t="n">
        <v>26</v>
      </c>
      <c r="B3124" s="8" t="s">
        <v>24</v>
      </c>
      <c r="C3124" s="9" t="s">
        <v>25</v>
      </c>
      <c r="D3124" s="9" t="s">
        <v>26</v>
      </c>
      <c r="E3124" s="10" t="n">
        <v>1789</v>
      </c>
      <c r="F3124" s="9" t="s">
        <v>27</v>
      </c>
      <c r="G3124" s="9" t="s">
        <v>27</v>
      </c>
      <c r="H3124" s="11" t="n">
        <v>26</v>
      </c>
      <c r="I3124" s="11" t="s">
        <v>397</v>
      </c>
      <c r="J3124" s="14" t="n">
        <v>6</v>
      </c>
      <c r="K3124" s="14" t="n">
        <v>10</v>
      </c>
      <c r="L3124" s="16"/>
      <c r="M3124" s="27" t="n">
        <f aca="false">J3124+(K3124/20)+(L3124/240)</f>
        <v>6.5</v>
      </c>
      <c r="N3124" s="17" t="s">
        <v>64</v>
      </c>
      <c r="O3124" s="11"/>
      <c r="P3124" s="28"/>
      <c r="Q3124" s="28" t="n">
        <f aca="false">P3124*$M3124</f>
        <v>0</v>
      </c>
      <c r="R3124" s="28"/>
      <c r="S3124" s="28" t="n">
        <f aca="false">R3124*$M3124</f>
        <v>0</v>
      </c>
      <c r="T3124" s="28"/>
      <c r="U3124" s="28" t="n">
        <f aca="false">T3124*$M3124</f>
        <v>0</v>
      </c>
      <c r="V3124" s="28"/>
      <c r="W3124" s="28" t="n">
        <f aca="false">V3124*$M3124</f>
        <v>0</v>
      </c>
      <c r="X3124" s="28" t="n">
        <f aca="false">22000/100</f>
        <v>220</v>
      </c>
      <c r="Y3124" s="28" t="n">
        <v>1430</v>
      </c>
      <c r="Z3124" s="28"/>
      <c r="AA3124" s="28" t="n">
        <f aca="false">Z3124*$M3124</f>
        <v>0</v>
      </c>
      <c r="AB3124" s="28" t="n">
        <f aca="false">3575715/100</f>
        <v>35757.15</v>
      </c>
      <c r="AC3124" s="36" t="n">
        <v>214543</v>
      </c>
      <c r="AD3124" s="28"/>
      <c r="AE3124" s="28" t="n">
        <f aca="false">AD3124*$M3124</f>
        <v>0</v>
      </c>
      <c r="AF3124" s="28"/>
      <c r="AG3124" s="28" t="n">
        <f aca="false">AF3124*$M3124</f>
        <v>0</v>
      </c>
      <c r="AH3124" s="28"/>
      <c r="AI3124" s="28" t="n">
        <f aca="false">AH3124*$M3124</f>
        <v>0</v>
      </c>
      <c r="AJ3124" s="28"/>
      <c r="AK3124" s="28" t="n">
        <f aca="false">AJ3124*$M3124</f>
        <v>0</v>
      </c>
      <c r="AL3124" s="28"/>
      <c r="AM3124" s="28" t="n">
        <f aca="false">AL3124*$M3124</f>
        <v>0</v>
      </c>
      <c r="AN3124" s="28"/>
      <c r="AO3124" s="28" t="n">
        <f aca="false">AN3124*$M3124</f>
        <v>0</v>
      </c>
      <c r="AP3124" s="28"/>
      <c r="AQ3124" s="28" t="n">
        <f aca="false">AP3124*$M3124</f>
        <v>0</v>
      </c>
      <c r="AR3124" s="28"/>
      <c r="AS3124" s="28" t="n">
        <f aca="false">AR3124*$M3124</f>
        <v>0</v>
      </c>
      <c r="AT3124" s="28"/>
      <c r="AU3124" s="28" t="n">
        <f aca="false">AT3124*$M3124</f>
        <v>0</v>
      </c>
      <c r="AV3124" s="28"/>
      <c r="AW3124" s="28" t="n">
        <f aca="false">AV3124*$M3124</f>
        <v>0</v>
      </c>
      <c r="AX3124" s="28"/>
      <c r="AY3124" s="28" t="n">
        <f aca="false">AX3124*$M3124</f>
        <v>0</v>
      </c>
      <c r="AZ3124" s="30" t="n">
        <f aca="false">3597715/100</f>
        <v>35977.15</v>
      </c>
      <c r="BA3124" s="11" t="n">
        <v>215973</v>
      </c>
      <c r="BB3124" s="31" t="n">
        <f aca="false">SUM(Q3124,S3124,U3124,W3124,Y3124,AA3124,AC3124,AE3124,AG3124,AI3124,AK3124,AM3124,AO3124,AQ3124,AS3124,AU3124,AW3124,AY3124)</f>
        <v>215973</v>
      </c>
      <c r="BC3124" s="28" t="n">
        <f aca="false">BA3124-BB3124</f>
        <v>0</v>
      </c>
      <c r="BD3124" s="32" t="n">
        <f aca="false">SUM(P3124,R3124,T3124,V3124,X3124,Z3124,AB3124,AD3124,AF3124,AH3124,AJ3124,AL3124,AN3124,AP3124,AR3124,AT3124,AV3124,AX3124)</f>
        <v>35977.15</v>
      </c>
      <c r="BE3124" s="33" t="n">
        <f aca="false">AZ3124-BD3124</f>
        <v>0</v>
      </c>
      <c r="BF3124" s="34" t="n">
        <f aca="false">BD3124*M3124</f>
        <v>233851.475</v>
      </c>
      <c r="BG3124" s="35" t="n">
        <f aca="false">BA3124-BF3124</f>
        <v>-17878.475</v>
      </c>
      <c r="BH3124" s="19" t="str">
        <f aca="false">IF(BG3124=0,"",IF(BG3124&lt;&gt;BA3124,"erreur de calcul",IF(BD3124&lt;&gt;0,"pas de prix",IF(M3124&lt;&gt; 0,"pas de quantité","pas de prix, ni de quantité"))))</f>
        <v>erreur de calcul</v>
      </c>
      <c r="BI3124" s="19"/>
    </row>
    <row r="3125" customFormat="false" ht="15" hidden="false" customHeight="false" outlineLevel="0" collapsed="false">
      <c r="A3125" s="0" t="n">
        <v>27</v>
      </c>
      <c r="B3125" s="8" t="s">
        <v>24</v>
      </c>
      <c r="C3125" s="9" t="s">
        <v>25</v>
      </c>
      <c r="D3125" s="9" t="s">
        <v>26</v>
      </c>
      <c r="E3125" s="10" t="n">
        <v>1789</v>
      </c>
      <c r="F3125" s="9" t="s">
        <v>27</v>
      </c>
      <c r="G3125" s="9" t="s">
        <v>27</v>
      </c>
      <c r="H3125" s="11" t="n">
        <v>26</v>
      </c>
      <c r="I3125" s="11" t="s">
        <v>398</v>
      </c>
      <c r="J3125" s="14" t="n">
        <v>11</v>
      </c>
      <c r="K3125" s="14"/>
      <c r="L3125" s="16"/>
      <c r="M3125" s="27" t="n">
        <f aca="false">J3125+(K3125/20)+(L3125/240)</f>
        <v>11</v>
      </c>
      <c r="N3125" s="17" t="s">
        <v>64</v>
      </c>
      <c r="O3125" s="11"/>
      <c r="P3125" s="28" t="n">
        <f aca="false">166667/100</f>
        <v>1666.67</v>
      </c>
      <c r="Q3125" s="28" t="n">
        <v>18333</v>
      </c>
      <c r="R3125" s="28"/>
      <c r="S3125" s="28" t="n">
        <f aca="false">R3125*$M3125</f>
        <v>0</v>
      </c>
      <c r="T3125" s="28"/>
      <c r="U3125" s="28" t="n">
        <f aca="false">T3125*$M3125</f>
        <v>0</v>
      </c>
      <c r="V3125" s="28"/>
      <c r="W3125" s="28" t="n">
        <f aca="false">V3125*$M3125</f>
        <v>0</v>
      </c>
      <c r="X3125" s="28"/>
      <c r="Y3125" s="28" t="n">
        <f aca="false">X3125*$M3125</f>
        <v>0</v>
      </c>
      <c r="Z3125" s="28"/>
      <c r="AA3125" s="28" t="n">
        <f aca="false">Z3125*$M3125</f>
        <v>0</v>
      </c>
      <c r="AB3125" s="28" t="n">
        <f aca="false">3312/100</f>
        <v>33.12</v>
      </c>
      <c r="AC3125" s="28" t="n">
        <v>364</v>
      </c>
      <c r="AD3125" s="28"/>
      <c r="AE3125" s="28" t="n">
        <f aca="false">AD3125*$M3125</f>
        <v>0</v>
      </c>
      <c r="AF3125" s="28"/>
      <c r="AG3125" s="28" t="n">
        <f aca="false">AF3125*$M3125</f>
        <v>0</v>
      </c>
      <c r="AH3125" s="28"/>
      <c r="AI3125" s="28" t="n">
        <f aca="false">AH3125*$M3125</f>
        <v>0</v>
      </c>
      <c r="AJ3125" s="28"/>
      <c r="AK3125" s="28" t="n">
        <f aca="false">AJ3125*$M3125</f>
        <v>0</v>
      </c>
      <c r="AL3125" s="28"/>
      <c r="AM3125" s="28" t="n">
        <f aca="false">AL3125*$M3125</f>
        <v>0</v>
      </c>
      <c r="AN3125" s="28"/>
      <c r="AO3125" s="28" t="n">
        <f aca="false">AN3125*$M3125</f>
        <v>0</v>
      </c>
      <c r="AP3125" s="28"/>
      <c r="AQ3125" s="28" t="n">
        <f aca="false">AP3125*$M3125</f>
        <v>0</v>
      </c>
      <c r="AR3125" s="28"/>
      <c r="AS3125" s="28" t="n">
        <f aca="false">AR3125*$M3125</f>
        <v>0</v>
      </c>
      <c r="AT3125" s="28"/>
      <c r="AU3125" s="28" t="n">
        <f aca="false">AT3125*$M3125</f>
        <v>0</v>
      </c>
      <c r="AV3125" s="28"/>
      <c r="AW3125" s="28" t="n">
        <f aca="false">AV3125*$M3125</f>
        <v>0</v>
      </c>
      <c r="AX3125" s="28"/>
      <c r="AY3125" s="28" t="n">
        <f aca="false">AX3125*$M3125</f>
        <v>0</v>
      </c>
      <c r="AZ3125" s="30" t="n">
        <f aca="false">169979/100</f>
        <v>1699.79</v>
      </c>
      <c r="BA3125" s="11" t="n">
        <v>18697</v>
      </c>
      <c r="BB3125" s="31" t="n">
        <f aca="false">SUM(Q3125,S3125,U3125,W3125,Y3125,AA3125,AC3125,AE3125,AG3125,AI3125,AK3125,AM3125,AO3125,AQ3125,AS3125,AU3125,AW3125,AY3125)</f>
        <v>18697</v>
      </c>
      <c r="BC3125" s="28" t="n">
        <f aca="false">BA3125-BB3125</f>
        <v>0</v>
      </c>
      <c r="BD3125" s="32" t="n">
        <f aca="false">SUM(P3125,R3125,T3125,V3125,X3125,Z3125,AB3125,AD3125,AF3125,AH3125,AJ3125,AL3125,AN3125,AP3125,AR3125,AT3125,AV3125,AX3125)</f>
        <v>1699.79</v>
      </c>
      <c r="BE3125" s="33" t="n">
        <f aca="false">AZ3125-BD3125</f>
        <v>0</v>
      </c>
      <c r="BF3125" s="34" t="n">
        <f aca="false">BD3125*M3125</f>
        <v>18697.69</v>
      </c>
      <c r="BG3125" s="35" t="n">
        <f aca="false">BA3125-BF3125</f>
        <v>-0.68999999999869</v>
      </c>
      <c r="BH3125" s="19" t="str">
        <f aca="false">IF(BG3125=0,"",IF(BG3125&lt;&gt;BA3125,"erreur de calcul",IF(BD3125&lt;&gt;0,"pas de prix",IF(M3125&lt;&gt; 0,"pas de quantité","pas de prix, ni de quantité"))))</f>
        <v>erreur de calcul</v>
      </c>
      <c r="BI3125" s="19"/>
    </row>
    <row r="3126" customFormat="false" ht="15" hidden="false" customHeight="false" outlineLevel="0" collapsed="false">
      <c r="A3126" s="0" t="n">
        <v>28</v>
      </c>
      <c r="B3126" s="8" t="s">
        <v>24</v>
      </c>
      <c r="C3126" s="9" t="s">
        <v>25</v>
      </c>
      <c r="D3126" s="9" t="s">
        <v>26</v>
      </c>
      <c r="E3126" s="10" t="n">
        <v>1789</v>
      </c>
      <c r="F3126" s="9" t="s">
        <v>27</v>
      </c>
      <c r="G3126" s="9" t="s">
        <v>27</v>
      </c>
      <c r="H3126" s="11" t="n">
        <v>26</v>
      </c>
      <c r="I3126" s="11" t="s">
        <v>399</v>
      </c>
      <c r="J3126" s="14" t="n">
        <v>18</v>
      </c>
      <c r="K3126" s="14"/>
      <c r="L3126" s="16"/>
      <c r="M3126" s="27" t="n">
        <f aca="false">J3126+(K3126/20)+(L3126/240)</f>
        <v>18</v>
      </c>
      <c r="N3126" s="17" t="s">
        <v>66</v>
      </c>
      <c r="O3126" s="11"/>
      <c r="P3126" s="28"/>
      <c r="Q3126" s="28" t="n">
        <f aca="false">P3126*$M3126</f>
        <v>0</v>
      </c>
      <c r="R3126" s="28"/>
      <c r="S3126" s="28" t="n">
        <f aca="false">R3126*$M3126</f>
        <v>0</v>
      </c>
      <c r="T3126" s="28"/>
      <c r="U3126" s="28" t="n">
        <f aca="false">T3126*$M3126</f>
        <v>0</v>
      </c>
      <c r="V3126" s="28"/>
      <c r="W3126" s="28" t="n">
        <f aca="false">V3126*$M3126</f>
        <v>0</v>
      </c>
      <c r="X3126" s="28"/>
      <c r="Y3126" s="28" t="n">
        <f aca="false">X3126*$M3126</f>
        <v>0</v>
      </c>
      <c r="Z3126" s="28"/>
      <c r="AA3126" s="28" t="n">
        <f aca="false">Z3126*$M3126</f>
        <v>0</v>
      </c>
      <c r="AB3126" s="28"/>
      <c r="AC3126" s="28" t="n">
        <f aca="false">AB3126*$M3126</f>
        <v>0</v>
      </c>
      <c r="AD3126" s="28"/>
      <c r="AE3126" s="28" t="n">
        <f aca="false">AD3126*$M3126</f>
        <v>0</v>
      </c>
      <c r="AF3126" s="28"/>
      <c r="AG3126" s="28" t="n">
        <f aca="false">AF3126*$M3126</f>
        <v>0</v>
      </c>
      <c r="AH3126" s="28" t="n">
        <v>72036</v>
      </c>
      <c r="AI3126" s="28" t="n">
        <v>1296648</v>
      </c>
      <c r="AJ3126" s="28"/>
      <c r="AK3126" s="28" t="n">
        <f aca="false">AJ3126*$M3126</f>
        <v>0</v>
      </c>
      <c r="AL3126" s="28"/>
      <c r="AM3126" s="28" t="n">
        <f aca="false">AL3126*$M3126</f>
        <v>0</v>
      </c>
      <c r="AN3126" s="28"/>
      <c r="AO3126" s="28" t="n">
        <f aca="false">AN3126*$M3126</f>
        <v>0</v>
      </c>
      <c r="AP3126" s="28"/>
      <c r="AQ3126" s="28" t="n">
        <f aca="false">AP3126*$M3126</f>
        <v>0</v>
      </c>
      <c r="AR3126" s="28"/>
      <c r="AS3126" s="28" t="n">
        <f aca="false">AR3126*$M3126</f>
        <v>0</v>
      </c>
      <c r="AT3126" s="28"/>
      <c r="AU3126" s="28" t="n">
        <f aca="false">AT3126*$M3126</f>
        <v>0</v>
      </c>
      <c r="AV3126" s="28"/>
      <c r="AW3126" s="28" t="n">
        <f aca="false">AV3126*$M3126</f>
        <v>0</v>
      </c>
      <c r="AX3126" s="28"/>
      <c r="AY3126" s="28" t="n">
        <f aca="false">AX3126*$M3126</f>
        <v>0</v>
      </c>
      <c r="AZ3126" s="30" t="n">
        <v>72036</v>
      </c>
      <c r="BA3126" s="11" t="n">
        <v>1296648</v>
      </c>
      <c r="BB3126" s="31" t="n">
        <f aca="false">SUM(Q3126,S3126,U3126,W3126,Y3126,AA3126,AC3126,AE3126,AG3126,AI3126,AK3126,AM3126,AO3126,AQ3126,AS3126,AU3126,AW3126,AY3126)</f>
        <v>1296648</v>
      </c>
      <c r="BC3126" s="28" t="n">
        <f aca="false">BA3126-BB3126</f>
        <v>0</v>
      </c>
      <c r="BD3126" s="32" t="n">
        <f aca="false">SUM(P3126,R3126,T3126,V3126,X3126,Z3126,AB3126,AD3126,AF3126,AH3126,AJ3126,AL3126,AN3126,AP3126,AR3126,AT3126,AV3126,AX3126)</f>
        <v>72036</v>
      </c>
      <c r="BE3126" s="33" t="n">
        <f aca="false">AZ3126-BD3126</f>
        <v>0</v>
      </c>
      <c r="BF3126" s="34" t="n">
        <f aca="false">BD3126*M3126</f>
        <v>1296648</v>
      </c>
      <c r="BG3126" s="35" t="n">
        <f aca="false">BA3126-BF3126</f>
        <v>0</v>
      </c>
      <c r="BH3126" s="19" t="str">
        <f aca="false">IF(BG3126=0,"",IF(BG3126&lt;&gt;BA3126,"erreur de calcul",IF(BD3126&lt;&gt;0,"pas de prix",IF(M3126&lt;&gt; 0,"pas de quantité","pas de prix, ni de quantité"))))</f>
        <v/>
      </c>
      <c r="BI3126" s="19"/>
    </row>
    <row r="3127" customFormat="false" ht="15" hidden="false" customHeight="false" outlineLevel="0" collapsed="false">
      <c r="A3127" s="0" t="n">
        <v>29</v>
      </c>
      <c r="B3127" s="8" t="s">
        <v>24</v>
      </c>
      <c r="C3127" s="9" t="s">
        <v>25</v>
      </c>
      <c r="D3127" s="9" t="s">
        <v>26</v>
      </c>
      <c r="E3127" s="10" t="n">
        <v>1789</v>
      </c>
      <c r="F3127" s="9" t="s">
        <v>27</v>
      </c>
      <c r="G3127" s="9" t="s">
        <v>27</v>
      </c>
      <c r="H3127" s="11" t="n">
        <v>26</v>
      </c>
      <c r="I3127" s="11" t="s">
        <v>400</v>
      </c>
      <c r="J3127" s="14" t="n">
        <v>19</v>
      </c>
      <c r="K3127" s="14"/>
      <c r="L3127" s="16"/>
      <c r="M3127" s="27" t="n">
        <f aca="false">J3127+(K3127/20)+(L3127/240)</f>
        <v>19</v>
      </c>
      <c r="N3127" s="17" t="s">
        <v>66</v>
      </c>
      <c r="O3127" s="11"/>
      <c r="P3127" s="28"/>
      <c r="Q3127" s="28" t="n">
        <f aca="false">P3127*$M3127</f>
        <v>0</v>
      </c>
      <c r="R3127" s="28"/>
      <c r="S3127" s="28" t="n">
        <f aca="false">R3127*$M3127</f>
        <v>0</v>
      </c>
      <c r="T3127" s="28"/>
      <c r="U3127" s="28" t="n">
        <f aca="false">T3127*$M3127</f>
        <v>0</v>
      </c>
      <c r="V3127" s="28"/>
      <c r="W3127" s="28" t="n">
        <f aca="false">V3127*$M3127</f>
        <v>0</v>
      </c>
      <c r="X3127" s="28"/>
      <c r="Y3127" s="28" t="n">
        <f aca="false">X3127*$M3127</f>
        <v>0</v>
      </c>
      <c r="Z3127" s="28"/>
      <c r="AA3127" s="28" t="n">
        <f aca="false">Z3127*$M3127</f>
        <v>0</v>
      </c>
      <c r="AB3127" s="28" t="n">
        <v>1176</v>
      </c>
      <c r="AC3127" s="28" t="n">
        <v>22344</v>
      </c>
      <c r="AD3127" s="28"/>
      <c r="AE3127" s="28" t="n">
        <f aca="false">AD3127*$M3127</f>
        <v>0</v>
      </c>
      <c r="AF3127" s="28"/>
      <c r="AG3127" s="28" t="n">
        <f aca="false">AF3127*$M3127</f>
        <v>0</v>
      </c>
      <c r="AH3127" s="28"/>
      <c r="AI3127" s="28" t="n">
        <f aca="false">AH3127*$M3127</f>
        <v>0</v>
      </c>
      <c r="AJ3127" s="28"/>
      <c r="AK3127" s="28" t="n">
        <f aca="false">AJ3127*$M3127</f>
        <v>0</v>
      </c>
      <c r="AL3127" s="28"/>
      <c r="AM3127" s="28" t="n">
        <f aca="false">AL3127*$M3127</f>
        <v>0</v>
      </c>
      <c r="AN3127" s="28"/>
      <c r="AO3127" s="28" t="n">
        <f aca="false">AN3127*$M3127</f>
        <v>0</v>
      </c>
      <c r="AP3127" s="28"/>
      <c r="AQ3127" s="28" t="n">
        <f aca="false">AP3127*$M3127</f>
        <v>0</v>
      </c>
      <c r="AR3127" s="28"/>
      <c r="AS3127" s="28" t="n">
        <f aca="false">AR3127*$M3127</f>
        <v>0</v>
      </c>
      <c r="AT3127" s="28"/>
      <c r="AU3127" s="28" t="n">
        <f aca="false">AT3127*$M3127</f>
        <v>0</v>
      </c>
      <c r="AV3127" s="28"/>
      <c r="AW3127" s="28" t="n">
        <f aca="false">AV3127*$M3127</f>
        <v>0</v>
      </c>
      <c r="AX3127" s="28"/>
      <c r="AY3127" s="28" t="n">
        <f aca="false">AX3127*$M3127</f>
        <v>0</v>
      </c>
      <c r="AZ3127" s="30" t="n">
        <v>1176</v>
      </c>
      <c r="BA3127" s="11" t="n">
        <v>22344</v>
      </c>
      <c r="BB3127" s="31" t="n">
        <f aca="false">SUM(Q3127,S3127,U3127,W3127,Y3127,AA3127,AC3127,AE3127,AG3127,AI3127,AK3127,AM3127,AO3127,AQ3127,AS3127,AU3127,AW3127,AY3127)</f>
        <v>22344</v>
      </c>
      <c r="BC3127" s="28" t="n">
        <f aca="false">BA3127-BB3127</f>
        <v>0</v>
      </c>
      <c r="BD3127" s="32" t="n">
        <f aca="false">SUM(P3127,R3127,T3127,V3127,X3127,Z3127,AB3127,AD3127,AF3127,AH3127,AJ3127,AL3127,AN3127,AP3127,AR3127,AT3127,AV3127,AX3127)</f>
        <v>1176</v>
      </c>
      <c r="BE3127" s="33" t="n">
        <f aca="false">AZ3127-BD3127</f>
        <v>0</v>
      </c>
      <c r="BF3127" s="34" t="n">
        <f aca="false">BD3127*M3127</f>
        <v>22344</v>
      </c>
      <c r="BG3127" s="35" t="n">
        <f aca="false">BA3127-BF3127</f>
        <v>0</v>
      </c>
      <c r="BH3127" s="19" t="str">
        <f aca="false">IF(BG3127=0,"",IF(BG3127&lt;&gt;BA3127,"erreur de calcul",IF(BD3127&lt;&gt;0,"pas de prix",IF(M3127&lt;&gt; 0,"pas de quantité","pas de prix, ni de quantité"))))</f>
        <v/>
      </c>
      <c r="BI3127" s="19"/>
    </row>
    <row r="3128" customFormat="false" ht="15" hidden="false" customHeight="false" outlineLevel="0" collapsed="false">
      <c r="A3128" s="0" t="n">
        <v>30</v>
      </c>
      <c r="B3128" s="8" t="s">
        <v>24</v>
      </c>
      <c r="C3128" s="9" t="s">
        <v>25</v>
      </c>
      <c r="D3128" s="9" t="s">
        <v>26</v>
      </c>
      <c r="E3128" s="10" t="n">
        <v>1789</v>
      </c>
      <c r="F3128" s="9" t="s">
        <v>27</v>
      </c>
      <c r="G3128" s="9" t="s">
        <v>27</v>
      </c>
      <c r="H3128" s="11" t="n">
        <v>26</v>
      </c>
      <c r="I3128" s="11" t="s">
        <v>401</v>
      </c>
      <c r="J3128" s="14" t="n">
        <v>20</v>
      </c>
      <c r="K3128" s="14"/>
      <c r="L3128" s="16"/>
      <c r="M3128" s="27" t="n">
        <f aca="false">J3128+(K3128/20)+(L3128/240)</f>
        <v>20</v>
      </c>
      <c r="N3128" s="17" t="s">
        <v>66</v>
      </c>
      <c r="O3128" s="11"/>
      <c r="P3128" s="28"/>
      <c r="Q3128" s="28" t="n">
        <f aca="false">P3128*$M3128</f>
        <v>0</v>
      </c>
      <c r="R3128" s="28"/>
      <c r="S3128" s="28" t="n">
        <f aca="false">R3128*$M3128</f>
        <v>0</v>
      </c>
      <c r="T3128" s="28" t="n">
        <v>7478</v>
      </c>
      <c r="U3128" s="28" t="n">
        <v>149560</v>
      </c>
      <c r="V3128" s="28" t="n">
        <v>3386</v>
      </c>
      <c r="W3128" s="36" t="n">
        <v>66720</v>
      </c>
      <c r="X3128" s="28" t="n">
        <v>2233</v>
      </c>
      <c r="Y3128" s="28" t="n">
        <v>44660</v>
      </c>
      <c r="Z3128" s="28" t="n">
        <v>867</v>
      </c>
      <c r="AA3128" s="28" t="n">
        <v>17340</v>
      </c>
      <c r="AB3128" s="28" t="n">
        <v>32380</v>
      </c>
      <c r="AC3128" s="28" t="n">
        <v>647600</v>
      </c>
      <c r="AD3128" s="28"/>
      <c r="AE3128" s="28" t="n">
        <f aca="false">AD3128*$M3128</f>
        <v>0</v>
      </c>
      <c r="AF3128" s="28"/>
      <c r="AG3128" s="28" t="n">
        <f aca="false">AF3128*$M3128</f>
        <v>0</v>
      </c>
      <c r="AH3128" s="28" t="n">
        <v>12038</v>
      </c>
      <c r="AI3128" s="28" t="n">
        <v>240760</v>
      </c>
      <c r="AJ3128" s="28"/>
      <c r="AK3128" s="28" t="n">
        <f aca="false">AJ3128*$M3128</f>
        <v>0</v>
      </c>
      <c r="AL3128" s="28"/>
      <c r="AM3128" s="28" t="n">
        <f aca="false">AL3128*$M3128</f>
        <v>0</v>
      </c>
      <c r="AN3128" s="28"/>
      <c r="AO3128" s="28" t="n">
        <f aca="false">AN3128*$M3128</f>
        <v>0</v>
      </c>
      <c r="AP3128" s="28"/>
      <c r="AQ3128" s="28" t="n">
        <f aca="false">AP3128*$M3128</f>
        <v>0</v>
      </c>
      <c r="AR3128" s="28"/>
      <c r="AS3128" s="28" t="n">
        <f aca="false">AR3128*$M3128</f>
        <v>0</v>
      </c>
      <c r="AT3128" s="28"/>
      <c r="AU3128" s="28" t="n">
        <f aca="false">AT3128*$M3128</f>
        <v>0</v>
      </c>
      <c r="AV3128" s="28"/>
      <c r="AW3128" s="28" t="n">
        <f aca="false">AV3128*$M3128</f>
        <v>0</v>
      </c>
      <c r="AX3128" s="28"/>
      <c r="AY3128" s="28" t="n">
        <f aca="false">AX3128*$M3128</f>
        <v>0</v>
      </c>
      <c r="AZ3128" s="30" t="n">
        <v>58382</v>
      </c>
      <c r="BA3128" s="11" t="n">
        <v>1166640</v>
      </c>
      <c r="BB3128" s="31" t="n">
        <f aca="false">SUM(Q3128,S3128,U3128,W3128,Y3128,AA3128,AC3128,AE3128,AG3128,AI3128,AK3128,AM3128,AO3128,AQ3128,AS3128,AU3128,AW3128,AY3128)</f>
        <v>1166640</v>
      </c>
      <c r="BC3128" s="28" t="n">
        <f aca="false">BA3128-BB3128</f>
        <v>0</v>
      </c>
      <c r="BD3128" s="32" t="n">
        <f aca="false">SUM(P3128,R3128,T3128,V3128,X3128,Z3128,AB3128,AD3128,AF3128,AH3128,AJ3128,AL3128,AN3128,AP3128,AR3128,AT3128,AV3128,AX3128)</f>
        <v>58382</v>
      </c>
      <c r="BE3128" s="33" t="n">
        <f aca="false">AZ3128-BD3128</f>
        <v>0</v>
      </c>
      <c r="BF3128" s="34" t="n">
        <f aca="false">BD3128*M3128</f>
        <v>1167640</v>
      </c>
      <c r="BG3128" s="35" t="n">
        <f aca="false">BA3128-BF3128</f>
        <v>-1000</v>
      </c>
      <c r="BH3128" s="19" t="str">
        <f aca="false">IF(BG3128=0,"",IF(BG3128&lt;&gt;BA3128,"erreur de calcul",IF(BD3128&lt;&gt;0,"pas de prix",IF(M3128&lt;&gt; 0,"pas de quantité","pas de prix, ni de quantité"))))</f>
        <v>erreur de calcul</v>
      </c>
      <c r="BI3128" s="19"/>
    </row>
    <row r="3129" customFormat="false" ht="15" hidden="false" customHeight="false" outlineLevel="0" collapsed="false">
      <c r="A3129" s="0" t="n">
        <v>31</v>
      </c>
      <c r="B3129" s="8" t="s">
        <v>24</v>
      </c>
      <c r="C3129" s="9" t="s">
        <v>25</v>
      </c>
      <c r="D3129" s="9" t="s">
        <v>26</v>
      </c>
      <c r="E3129" s="10" t="n">
        <v>1789</v>
      </c>
      <c r="F3129" s="9" t="s">
        <v>27</v>
      </c>
      <c r="G3129" s="9" t="s">
        <v>27</v>
      </c>
      <c r="H3129" s="11" t="n">
        <v>26</v>
      </c>
      <c r="I3129" s="11" t="s">
        <v>402</v>
      </c>
      <c r="J3129" s="14" t="n">
        <v>17</v>
      </c>
      <c r="K3129" s="14"/>
      <c r="L3129" s="16"/>
      <c r="M3129" s="27" t="n">
        <f aca="false">J3129+(K3129/20)+(L3129/240)</f>
        <v>17</v>
      </c>
      <c r="N3129" s="17" t="s">
        <v>66</v>
      </c>
      <c r="O3129" s="11"/>
      <c r="P3129" s="28"/>
      <c r="Q3129" s="28" t="n">
        <f aca="false">P3129*$M3129</f>
        <v>0</v>
      </c>
      <c r="R3129" s="28"/>
      <c r="S3129" s="28" t="n">
        <f aca="false">R3129*$M3129</f>
        <v>0</v>
      </c>
      <c r="T3129" s="28" t="n">
        <v>126481</v>
      </c>
      <c r="U3129" s="28" t="n">
        <v>2150177</v>
      </c>
      <c r="V3129" s="28"/>
      <c r="W3129" s="28" t="n">
        <f aca="false">V3129*$M3129</f>
        <v>0</v>
      </c>
      <c r="X3129" s="28"/>
      <c r="Y3129" s="28" t="n">
        <f aca="false">X3129*$M3129</f>
        <v>0</v>
      </c>
      <c r="Z3129" s="28"/>
      <c r="AA3129" s="28" t="n">
        <f aca="false">Z3129*$M3129</f>
        <v>0</v>
      </c>
      <c r="AB3129" s="28"/>
      <c r="AC3129" s="28" t="n">
        <f aca="false">AB3129*$M3129</f>
        <v>0</v>
      </c>
      <c r="AD3129" s="28"/>
      <c r="AE3129" s="28" t="n">
        <f aca="false">AD3129*$M3129</f>
        <v>0</v>
      </c>
      <c r="AF3129" s="28"/>
      <c r="AG3129" s="28" t="n">
        <f aca="false">AF3129*$M3129</f>
        <v>0</v>
      </c>
      <c r="AH3129" s="28"/>
      <c r="AI3129" s="28" t="n">
        <f aca="false">AH3129*$M3129</f>
        <v>0</v>
      </c>
      <c r="AJ3129" s="28"/>
      <c r="AK3129" s="28" t="n">
        <f aca="false">AJ3129*$M3129</f>
        <v>0</v>
      </c>
      <c r="AL3129" s="28"/>
      <c r="AM3129" s="28" t="n">
        <f aca="false">AL3129*$M3129</f>
        <v>0</v>
      </c>
      <c r="AN3129" s="28"/>
      <c r="AO3129" s="28" t="n">
        <f aca="false">AN3129*$M3129</f>
        <v>0</v>
      </c>
      <c r="AP3129" s="28"/>
      <c r="AQ3129" s="28" t="n">
        <f aca="false">AP3129*$M3129</f>
        <v>0</v>
      </c>
      <c r="AR3129" s="28"/>
      <c r="AS3129" s="28" t="n">
        <f aca="false">AR3129*$M3129</f>
        <v>0</v>
      </c>
      <c r="AT3129" s="28"/>
      <c r="AU3129" s="28" t="n">
        <f aca="false">AT3129*$M3129</f>
        <v>0</v>
      </c>
      <c r="AV3129" s="28"/>
      <c r="AW3129" s="28" t="n">
        <f aca="false">AV3129*$M3129</f>
        <v>0</v>
      </c>
      <c r="AX3129" s="28"/>
      <c r="AY3129" s="28" t="n">
        <f aca="false">AX3129*$M3129</f>
        <v>0</v>
      </c>
      <c r="AZ3129" s="30" t="n">
        <v>126481</v>
      </c>
      <c r="BA3129" s="11" t="n">
        <v>2150177</v>
      </c>
      <c r="BB3129" s="31" t="n">
        <f aca="false">SUM(Q3129,S3129,U3129,W3129,Y3129,AA3129,AC3129,AE3129,AG3129,AI3129,AK3129,AM3129,AO3129,AQ3129,AS3129,AU3129,AW3129,AY3129)</f>
        <v>2150177</v>
      </c>
      <c r="BC3129" s="28" t="n">
        <f aca="false">BA3129-BB3129</f>
        <v>0</v>
      </c>
      <c r="BD3129" s="32" t="n">
        <f aca="false">SUM(P3129,R3129,T3129,V3129,X3129,Z3129,AB3129,AD3129,AF3129,AH3129,AJ3129,AL3129,AN3129,AP3129,AR3129,AT3129,AV3129,AX3129)</f>
        <v>126481</v>
      </c>
      <c r="BE3129" s="33" t="n">
        <f aca="false">AZ3129-BD3129</f>
        <v>0</v>
      </c>
      <c r="BF3129" s="34" t="n">
        <f aca="false">BD3129*M3129</f>
        <v>2150177</v>
      </c>
      <c r="BG3129" s="35" t="n">
        <f aca="false">BA3129-BF3129</f>
        <v>0</v>
      </c>
      <c r="BH3129" s="19" t="str">
        <f aca="false">IF(BG3129=0,"",IF(BG3129&lt;&gt;BA3129,"erreur de calcul",IF(BD3129&lt;&gt;0,"pas de prix",IF(M3129&lt;&gt; 0,"pas de quantité","pas de prix, ni de quantité"))))</f>
        <v/>
      </c>
      <c r="BI3129" s="19"/>
    </row>
    <row r="3130" customFormat="false" ht="15" hidden="false" customHeight="false" outlineLevel="0" collapsed="false">
      <c r="A3130" s="0" t="n">
        <v>32</v>
      </c>
      <c r="B3130" s="8" t="s">
        <v>24</v>
      </c>
      <c r="C3130" s="9" t="s">
        <v>25</v>
      </c>
      <c r="D3130" s="9" t="s">
        <v>26</v>
      </c>
      <c r="E3130" s="10" t="n">
        <v>1789</v>
      </c>
      <c r="F3130" s="9" t="s">
        <v>27</v>
      </c>
      <c r="G3130" s="9" t="s">
        <v>27</v>
      </c>
      <c r="H3130" s="11" t="n">
        <v>26</v>
      </c>
      <c r="I3130" s="11" t="s">
        <v>403</v>
      </c>
      <c r="J3130" s="14" t="n">
        <v>28</v>
      </c>
      <c r="K3130" s="14"/>
      <c r="L3130" s="16"/>
      <c r="M3130" s="27" t="n">
        <f aca="false">J3130+(K3130/20)+(L3130/240)</f>
        <v>28</v>
      </c>
      <c r="N3130" s="17" t="s">
        <v>66</v>
      </c>
      <c r="O3130" s="11"/>
      <c r="P3130" s="28"/>
      <c r="Q3130" s="28" t="n">
        <f aca="false">P3130*$M3130</f>
        <v>0</v>
      </c>
      <c r="R3130" s="28"/>
      <c r="S3130" s="28" t="n">
        <f aca="false">R3130*$M3130</f>
        <v>0</v>
      </c>
      <c r="T3130" s="28"/>
      <c r="U3130" s="28" t="n">
        <f aca="false">T3130*$M3130</f>
        <v>0</v>
      </c>
      <c r="V3130" s="28" t="n">
        <v>1923</v>
      </c>
      <c r="W3130" s="28" t="n">
        <v>53844</v>
      </c>
      <c r="X3130" s="28" t="n">
        <v>7280</v>
      </c>
      <c r="Y3130" s="36" t="n">
        <v>203860</v>
      </c>
      <c r="Z3130" s="28"/>
      <c r="AA3130" s="28" t="n">
        <f aca="false">Z3130*$M3130</f>
        <v>0</v>
      </c>
      <c r="AB3130" s="28" t="n">
        <v>128803</v>
      </c>
      <c r="AC3130" s="28" t="n">
        <v>3606484</v>
      </c>
      <c r="AD3130" s="28"/>
      <c r="AE3130" s="28" t="n">
        <f aca="false">AD3130*$M3130</f>
        <v>0</v>
      </c>
      <c r="AF3130" s="28"/>
      <c r="AG3130" s="28" t="n">
        <f aca="false">AF3130*$M3130</f>
        <v>0</v>
      </c>
      <c r="AH3130" s="28"/>
      <c r="AI3130" s="28" t="n">
        <f aca="false">AH3130*$M3130</f>
        <v>0</v>
      </c>
      <c r="AJ3130" s="28"/>
      <c r="AK3130" s="28" t="n">
        <f aca="false">AJ3130*$M3130</f>
        <v>0</v>
      </c>
      <c r="AL3130" s="28"/>
      <c r="AM3130" s="28" t="n">
        <f aca="false">AL3130*$M3130</f>
        <v>0</v>
      </c>
      <c r="AN3130" s="28"/>
      <c r="AO3130" s="28" t="n">
        <f aca="false">AN3130*$M3130</f>
        <v>0</v>
      </c>
      <c r="AP3130" s="28"/>
      <c r="AQ3130" s="28" t="n">
        <f aca="false">AP3130*$M3130</f>
        <v>0</v>
      </c>
      <c r="AR3130" s="28"/>
      <c r="AS3130" s="28" t="n">
        <f aca="false">AR3130*$M3130</f>
        <v>0</v>
      </c>
      <c r="AT3130" s="28"/>
      <c r="AU3130" s="28" t="n">
        <f aca="false">AT3130*$M3130</f>
        <v>0</v>
      </c>
      <c r="AV3130" s="28"/>
      <c r="AW3130" s="28" t="n">
        <f aca="false">AV3130*$M3130</f>
        <v>0</v>
      </c>
      <c r="AX3130" s="28"/>
      <c r="AY3130" s="28" t="n">
        <f aca="false">AX3130*$M3130</f>
        <v>0</v>
      </c>
      <c r="AZ3130" s="30" t="n">
        <v>138006</v>
      </c>
      <c r="BA3130" s="11" t="n">
        <v>3864188</v>
      </c>
      <c r="BB3130" s="31" t="n">
        <f aca="false">SUM(Q3130,S3130,U3130,W3130,Y3130,AA3130,AC3130,AE3130,AG3130,AI3130,AK3130,AM3130,AO3130,AQ3130,AS3130,AU3130,AW3130,AY3130)</f>
        <v>3864188</v>
      </c>
      <c r="BC3130" s="28" t="n">
        <f aca="false">BA3130-BB3130</f>
        <v>0</v>
      </c>
      <c r="BD3130" s="32" t="n">
        <f aca="false">SUM(P3130,R3130,T3130,V3130,X3130,Z3130,AB3130,AD3130,AF3130,AH3130,AJ3130,AL3130,AN3130,AP3130,AR3130,AT3130,AV3130,AX3130)</f>
        <v>138006</v>
      </c>
      <c r="BE3130" s="33" t="n">
        <f aca="false">AZ3130-BD3130</f>
        <v>0</v>
      </c>
      <c r="BF3130" s="34" t="n">
        <f aca="false">BD3130*M3130</f>
        <v>3864168</v>
      </c>
      <c r="BG3130" s="35" t="n">
        <f aca="false">BA3130-BF3130</f>
        <v>20</v>
      </c>
      <c r="BH3130" s="19" t="str">
        <f aca="false">IF(BG3130=0,"",IF(BG3130&lt;&gt;BA3130,"erreur de calcul",IF(BD3130&lt;&gt;0,"pas de prix",IF(M3130&lt;&gt; 0,"pas de quantité","pas de prix, ni de quantité"))))</f>
        <v>erreur de calcul</v>
      </c>
      <c r="BI3130" s="19"/>
    </row>
    <row r="3131" customFormat="false" ht="15" hidden="false" customHeight="false" outlineLevel="0" collapsed="false">
      <c r="A3131" s="0" t="n">
        <v>33</v>
      </c>
      <c r="B3131" s="8" t="s">
        <v>24</v>
      </c>
      <c r="C3131" s="9" t="s">
        <v>25</v>
      </c>
      <c r="D3131" s="9" t="s">
        <v>26</v>
      </c>
      <c r="E3131" s="10" t="n">
        <v>1789</v>
      </c>
      <c r="F3131" s="9" t="s">
        <v>27</v>
      </c>
      <c r="G3131" s="9" t="s">
        <v>27</v>
      </c>
      <c r="H3131" s="11" t="n">
        <v>26</v>
      </c>
      <c r="I3131" s="11" t="s">
        <v>404</v>
      </c>
      <c r="J3131" s="14"/>
      <c r="K3131" s="14" t="n">
        <v>30</v>
      </c>
      <c r="L3131" s="16"/>
      <c r="M3131" s="27" t="n">
        <f aca="false">J3131+(K3131/20)+(L3131/240)</f>
        <v>1.5</v>
      </c>
      <c r="N3131" s="17" t="s">
        <v>66</v>
      </c>
      <c r="O3131" s="11"/>
      <c r="P3131" s="28"/>
      <c r="Q3131" s="28" t="n">
        <f aca="false">P3131*$M3131</f>
        <v>0</v>
      </c>
      <c r="R3131" s="28"/>
      <c r="S3131" s="28" t="n">
        <f aca="false">R3131*$M3131</f>
        <v>0</v>
      </c>
      <c r="T3131" s="28" t="n">
        <v>11245</v>
      </c>
      <c r="U3131" s="28" t="n">
        <v>16867</v>
      </c>
      <c r="V3131" s="28"/>
      <c r="W3131" s="28" t="n">
        <f aca="false">V3131*$M3131</f>
        <v>0</v>
      </c>
      <c r="X3131" s="28"/>
      <c r="Y3131" s="28" t="n">
        <f aca="false">X3131*$M3131</f>
        <v>0</v>
      </c>
      <c r="Z3131" s="28"/>
      <c r="AA3131" s="28" t="n">
        <f aca="false">Z3131*$M3131</f>
        <v>0</v>
      </c>
      <c r="AB3131" s="28"/>
      <c r="AC3131" s="28" t="n">
        <f aca="false">AB3131*$M3131</f>
        <v>0</v>
      </c>
      <c r="AD3131" s="28"/>
      <c r="AE3131" s="28" t="n">
        <f aca="false">AD3131*$M3131</f>
        <v>0</v>
      </c>
      <c r="AF3131" s="28"/>
      <c r="AG3131" s="28" t="n">
        <f aca="false">AF3131*$M3131</f>
        <v>0</v>
      </c>
      <c r="AH3131" s="28"/>
      <c r="AI3131" s="28" t="n">
        <f aca="false">AH3131*$M3131</f>
        <v>0</v>
      </c>
      <c r="AJ3131" s="28"/>
      <c r="AK3131" s="28" t="n">
        <f aca="false">AJ3131*$M3131</f>
        <v>0</v>
      </c>
      <c r="AL3131" s="28"/>
      <c r="AM3131" s="28" t="n">
        <f aca="false">AL3131*$M3131</f>
        <v>0</v>
      </c>
      <c r="AN3131" s="28"/>
      <c r="AO3131" s="28" t="n">
        <f aca="false">AN3131*$M3131</f>
        <v>0</v>
      </c>
      <c r="AP3131" s="28"/>
      <c r="AQ3131" s="28" t="n">
        <f aca="false">AP3131*$M3131</f>
        <v>0</v>
      </c>
      <c r="AR3131" s="28"/>
      <c r="AS3131" s="28" t="n">
        <f aca="false">AR3131*$M3131</f>
        <v>0</v>
      </c>
      <c r="AT3131" s="28"/>
      <c r="AU3131" s="28" t="n">
        <f aca="false">AT3131*$M3131</f>
        <v>0</v>
      </c>
      <c r="AV3131" s="28"/>
      <c r="AW3131" s="28" t="n">
        <f aca="false">AV3131*$M3131</f>
        <v>0</v>
      </c>
      <c r="AX3131" s="28"/>
      <c r="AY3131" s="28" t="n">
        <f aca="false">AX3131*$M3131</f>
        <v>0</v>
      </c>
      <c r="AZ3131" s="30" t="n">
        <v>11245</v>
      </c>
      <c r="BA3131" s="11" t="n">
        <v>16867</v>
      </c>
      <c r="BB3131" s="31" t="n">
        <f aca="false">SUM(Q3131,S3131,U3131,W3131,Y3131,AA3131,AC3131,AE3131,AG3131,AI3131,AK3131,AM3131,AO3131,AQ3131,AS3131,AU3131,AW3131,AY3131)</f>
        <v>16867</v>
      </c>
      <c r="BC3131" s="28" t="n">
        <f aca="false">BA3131-BB3131</f>
        <v>0</v>
      </c>
      <c r="BD3131" s="32" t="n">
        <f aca="false">SUM(P3131,R3131,T3131,V3131,X3131,Z3131,AB3131,AD3131,AF3131,AH3131,AJ3131,AL3131,AN3131,AP3131,AR3131,AT3131,AV3131,AX3131)</f>
        <v>11245</v>
      </c>
      <c r="BE3131" s="33" t="n">
        <f aca="false">AZ3131-BD3131</f>
        <v>0</v>
      </c>
      <c r="BF3131" s="34" t="n">
        <f aca="false">BD3131*M3131</f>
        <v>16867.5</v>
      </c>
      <c r="BG3131" s="35" t="n">
        <f aca="false">BA3131-BF3131</f>
        <v>-0.5</v>
      </c>
      <c r="BH3131" s="19" t="str">
        <f aca="false">IF(BG3131=0,"",IF(BG3131&lt;&gt;BA3131,"erreur de calcul",IF(BD3131&lt;&gt;0,"pas de prix",IF(M3131&lt;&gt; 0,"pas de quantité","pas de prix, ni de quantité"))))</f>
        <v>erreur de calcul</v>
      </c>
      <c r="BI3131" s="19"/>
    </row>
    <row r="3132" customFormat="false" ht="15" hidden="false" customHeight="false" outlineLevel="0" collapsed="false">
      <c r="A3132" s="0" t="n">
        <v>34</v>
      </c>
      <c r="B3132" s="8" t="s">
        <v>24</v>
      </c>
      <c r="C3132" s="9" t="s">
        <v>25</v>
      </c>
      <c r="D3132" s="9" t="s">
        <v>26</v>
      </c>
      <c r="E3132" s="10" t="n">
        <v>1789</v>
      </c>
      <c r="F3132" s="9" t="s">
        <v>27</v>
      </c>
      <c r="G3132" s="9" t="s">
        <v>27</v>
      </c>
      <c r="H3132" s="11" t="n">
        <v>26</v>
      </c>
      <c r="I3132" s="11" t="s">
        <v>405</v>
      </c>
      <c r="J3132" s="14"/>
      <c r="K3132" s="14" t="n">
        <v>40</v>
      </c>
      <c r="L3132" s="16"/>
      <c r="M3132" s="27" t="n">
        <f aca="false">J3132+(K3132/20)+(L3132/240)</f>
        <v>2</v>
      </c>
      <c r="N3132" s="17" t="s">
        <v>66</v>
      </c>
      <c r="O3132" s="11"/>
      <c r="P3132" s="28"/>
      <c r="Q3132" s="28" t="n">
        <f aca="false">P3132*$M3132</f>
        <v>0</v>
      </c>
      <c r="R3132" s="28"/>
      <c r="S3132" s="28" t="n">
        <f aca="false">R3132*$M3132</f>
        <v>0</v>
      </c>
      <c r="T3132" s="28"/>
      <c r="U3132" s="28" t="n">
        <f aca="false">T3132*$M3132</f>
        <v>0</v>
      </c>
      <c r="V3132" s="28"/>
      <c r="W3132" s="28" t="n">
        <f aca="false">V3132*$M3132</f>
        <v>0</v>
      </c>
      <c r="X3132" s="28"/>
      <c r="Y3132" s="28" t="n">
        <f aca="false">X3132*$M3132</f>
        <v>0</v>
      </c>
      <c r="Z3132" s="28"/>
      <c r="AA3132" s="28" t="n">
        <f aca="false">Z3132*$M3132</f>
        <v>0</v>
      </c>
      <c r="AB3132" s="28"/>
      <c r="AC3132" s="28" t="n">
        <f aca="false">AB3132*$M3132</f>
        <v>0</v>
      </c>
      <c r="AD3132" s="28"/>
      <c r="AE3132" s="28" t="n">
        <f aca="false">AD3132*$M3132</f>
        <v>0</v>
      </c>
      <c r="AF3132" s="28"/>
      <c r="AG3132" s="28" t="n">
        <f aca="false">AF3132*$M3132</f>
        <v>0</v>
      </c>
      <c r="AH3132" s="28" t="n">
        <v>9380</v>
      </c>
      <c r="AI3132" s="28" t="n">
        <v>18760</v>
      </c>
      <c r="AJ3132" s="28"/>
      <c r="AK3132" s="28" t="n">
        <f aca="false">AJ3132*$M3132</f>
        <v>0</v>
      </c>
      <c r="AL3132" s="28"/>
      <c r="AM3132" s="28" t="n">
        <f aca="false">AL3132*$M3132</f>
        <v>0</v>
      </c>
      <c r="AN3132" s="28"/>
      <c r="AO3132" s="28" t="n">
        <f aca="false">AN3132*$M3132</f>
        <v>0</v>
      </c>
      <c r="AP3132" s="28"/>
      <c r="AQ3132" s="28" t="n">
        <f aca="false">AP3132*$M3132</f>
        <v>0</v>
      </c>
      <c r="AR3132" s="28"/>
      <c r="AS3132" s="28" t="n">
        <f aca="false">AR3132*$M3132</f>
        <v>0</v>
      </c>
      <c r="AT3132" s="28"/>
      <c r="AU3132" s="28" t="n">
        <f aca="false">AT3132*$M3132</f>
        <v>0</v>
      </c>
      <c r="AV3132" s="28"/>
      <c r="AW3132" s="28" t="n">
        <f aca="false">AV3132*$M3132</f>
        <v>0</v>
      </c>
      <c r="AX3132" s="28"/>
      <c r="AY3132" s="28" t="n">
        <f aca="false">AX3132*$M3132</f>
        <v>0</v>
      </c>
      <c r="AZ3132" s="30" t="n">
        <v>9380</v>
      </c>
      <c r="BA3132" s="11" t="n">
        <v>18760</v>
      </c>
      <c r="BB3132" s="31" t="n">
        <f aca="false">SUM(Q3132,S3132,U3132,W3132,Y3132,AA3132,AC3132,AE3132,AG3132,AI3132,AK3132,AM3132,AO3132,AQ3132,AS3132,AU3132,AW3132,AY3132)</f>
        <v>18760</v>
      </c>
      <c r="BC3132" s="28" t="n">
        <f aca="false">BA3132-BB3132</f>
        <v>0</v>
      </c>
      <c r="BD3132" s="32" t="n">
        <f aca="false">SUM(P3132,R3132,T3132,V3132,X3132,Z3132,AB3132,AD3132,AF3132,AH3132,AJ3132,AL3132,AN3132,AP3132,AR3132,AT3132,AV3132,AX3132)</f>
        <v>9380</v>
      </c>
      <c r="BE3132" s="33" t="n">
        <f aca="false">AZ3132-BD3132</f>
        <v>0</v>
      </c>
      <c r="BF3132" s="34" t="n">
        <f aca="false">BD3132*M3132</f>
        <v>18760</v>
      </c>
      <c r="BG3132" s="35" t="n">
        <f aca="false">BA3132-BF3132</f>
        <v>0</v>
      </c>
      <c r="BH3132" s="19" t="str">
        <f aca="false">IF(BG3132=0,"",IF(BG3132&lt;&gt;BA3132,"erreur de calcul",IF(BD3132&lt;&gt;0,"pas de prix",IF(M3132&lt;&gt; 0,"pas de quantité","pas de prix, ni de quantité"))))</f>
        <v/>
      </c>
      <c r="BI3132" s="19"/>
    </row>
    <row r="3133" customFormat="false" ht="15" hidden="false" customHeight="false" outlineLevel="0" collapsed="false">
      <c r="A3133" s="0" t="n">
        <v>35</v>
      </c>
      <c r="B3133" s="8" t="s">
        <v>24</v>
      </c>
      <c r="C3133" s="9" t="s">
        <v>25</v>
      </c>
      <c r="D3133" s="9" t="s">
        <v>26</v>
      </c>
      <c r="E3133" s="10" t="n">
        <v>1789</v>
      </c>
      <c r="F3133" s="9" t="s">
        <v>27</v>
      </c>
      <c r="G3133" s="9" t="s">
        <v>27</v>
      </c>
      <c r="H3133" s="11" t="n">
        <v>26</v>
      </c>
      <c r="I3133" s="11" t="s">
        <v>406</v>
      </c>
      <c r="J3133" s="14" t="n">
        <v>55</v>
      </c>
      <c r="K3133" s="14"/>
      <c r="L3133" s="16"/>
      <c r="M3133" s="27" t="n">
        <f aca="false">J3133+(K3133/20)+(L3133/240)</f>
        <v>55</v>
      </c>
      <c r="N3133" s="17" t="s">
        <v>64</v>
      </c>
      <c r="O3133" s="11"/>
      <c r="P3133" s="28" t="n">
        <f aca="false">634/100</f>
        <v>6.34</v>
      </c>
      <c r="Q3133" s="28" t="n">
        <v>349</v>
      </c>
      <c r="R3133" s="28"/>
      <c r="S3133" s="28" t="n">
        <f aca="false">R3133*$M3133</f>
        <v>0</v>
      </c>
      <c r="T3133" s="28" t="n">
        <f aca="false">2450/100</f>
        <v>24.5</v>
      </c>
      <c r="U3133" s="28" t="n">
        <v>1347</v>
      </c>
      <c r="V3133" s="28" t="n">
        <f aca="false">9685/100</f>
        <v>96.85</v>
      </c>
      <c r="W3133" s="28" t="n">
        <v>5327</v>
      </c>
      <c r="X3133" s="28"/>
      <c r="Y3133" s="28" t="n">
        <f aca="false">X3133*$M3133</f>
        <v>0</v>
      </c>
      <c r="Z3133" s="28"/>
      <c r="AA3133" s="28" t="n">
        <f aca="false">Z3133*$M3133</f>
        <v>0</v>
      </c>
      <c r="AB3133" s="28"/>
      <c r="AC3133" s="28" t="n">
        <f aca="false">AB3133*$M3133</f>
        <v>0</v>
      </c>
      <c r="AD3133" s="28"/>
      <c r="AE3133" s="28" t="n">
        <f aca="false">AD3133*$M3133</f>
        <v>0</v>
      </c>
      <c r="AF3133" s="28"/>
      <c r="AG3133" s="28" t="n">
        <f aca="false">AF3133*$M3133</f>
        <v>0</v>
      </c>
      <c r="AH3133" s="28"/>
      <c r="AI3133" s="28" t="n">
        <f aca="false">AH3133*$M3133</f>
        <v>0</v>
      </c>
      <c r="AJ3133" s="28"/>
      <c r="AK3133" s="28" t="n">
        <f aca="false">AJ3133*$M3133</f>
        <v>0</v>
      </c>
      <c r="AL3133" s="28"/>
      <c r="AM3133" s="28" t="n">
        <f aca="false">AL3133*$M3133</f>
        <v>0</v>
      </c>
      <c r="AN3133" s="28"/>
      <c r="AO3133" s="28" t="n">
        <f aca="false">AN3133*$M3133</f>
        <v>0</v>
      </c>
      <c r="AP3133" s="28"/>
      <c r="AQ3133" s="28" t="n">
        <f aca="false">AP3133*$M3133</f>
        <v>0</v>
      </c>
      <c r="AR3133" s="28"/>
      <c r="AS3133" s="28" t="n">
        <f aca="false">AR3133*$M3133</f>
        <v>0</v>
      </c>
      <c r="AT3133" s="28"/>
      <c r="AU3133" s="28" t="n">
        <f aca="false">AT3133*$M3133</f>
        <v>0</v>
      </c>
      <c r="AV3133" s="28"/>
      <c r="AW3133" s="28" t="n">
        <f aca="false">AV3133*$M3133</f>
        <v>0</v>
      </c>
      <c r="AX3133" s="28"/>
      <c r="AY3133" s="28" t="n">
        <f aca="false">AX3133*$M3133</f>
        <v>0</v>
      </c>
      <c r="AZ3133" s="30" t="n">
        <f aca="false">12769/100</f>
        <v>127.69</v>
      </c>
      <c r="BA3133" s="11" t="n">
        <v>7023</v>
      </c>
      <c r="BB3133" s="31" t="n">
        <f aca="false">SUM(Q3133,S3133,U3133,W3133,Y3133,AA3133,AC3133,AE3133,AG3133,AI3133,AK3133,AM3133,AO3133,AQ3133,AS3133,AU3133,AW3133,AY3133)</f>
        <v>7023</v>
      </c>
      <c r="BC3133" s="28" t="n">
        <f aca="false">BA3133-BB3133</f>
        <v>0</v>
      </c>
      <c r="BD3133" s="32" t="n">
        <f aca="false">SUM(P3133,R3133,T3133,V3133,X3133,Z3133,AB3133,AD3133,AF3133,AH3133,AJ3133,AL3133,AN3133,AP3133,AR3133,AT3133,AV3133,AX3133)</f>
        <v>127.69</v>
      </c>
      <c r="BE3133" s="33" t="n">
        <f aca="false">AZ3133-BD3133</f>
        <v>0</v>
      </c>
      <c r="BF3133" s="34" t="n">
        <f aca="false">BD3133*M3133</f>
        <v>7022.95</v>
      </c>
      <c r="BG3133" s="35" t="n">
        <f aca="false">BA3133-BF3133</f>
        <v>0.0500000000001819</v>
      </c>
      <c r="BH3133" s="19" t="str">
        <f aca="false">IF(BG3133=0,"",IF(BG3133&lt;&gt;BA3133,"erreur de calcul",IF(BD3133&lt;&gt;0,"pas de prix",IF(M3133&lt;&gt; 0,"pas de quantité","pas de prix, ni de quantité"))))</f>
        <v>erreur de calcul</v>
      </c>
      <c r="BI3133" s="19"/>
    </row>
    <row r="3134" customFormat="false" ht="15" hidden="false" customHeight="false" outlineLevel="0" collapsed="false">
      <c r="A3134" s="0" t="n">
        <v>36</v>
      </c>
      <c r="B3134" s="8" t="s">
        <v>24</v>
      </c>
      <c r="C3134" s="9" t="s">
        <v>25</v>
      </c>
      <c r="D3134" s="9" t="s">
        <v>26</v>
      </c>
      <c r="E3134" s="10" t="n">
        <v>1789</v>
      </c>
      <c r="F3134" s="9" t="s">
        <v>27</v>
      </c>
      <c r="G3134" s="9" t="s">
        <v>27</v>
      </c>
      <c r="H3134" s="11" t="n">
        <v>26</v>
      </c>
      <c r="I3134" s="11" t="s">
        <v>407</v>
      </c>
      <c r="J3134" s="14" t="n">
        <v>44</v>
      </c>
      <c r="K3134" s="14"/>
      <c r="L3134" s="16"/>
      <c r="M3134" s="27" t="n">
        <f aca="false">J3134+(K3134/20)+(L3134/240)</f>
        <v>44</v>
      </c>
      <c r="N3134" s="17" t="s">
        <v>64</v>
      </c>
      <c r="O3134" s="11" t="s">
        <v>77</v>
      </c>
      <c r="P3134" s="28" t="n">
        <f aca="false">68669/100</f>
        <v>686.69</v>
      </c>
      <c r="Q3134" s="28" t="n">
        <v>30214</v>
      </c>
      <c r="R3134" s="28"/>
      <c r="S3134" s="28" t="n">
        <f aca="false">R3134*$M3134</f>
        <v>0</v>
      </c>
      <c r="T3134" s="28" t="n">
        <f aca="false">7101/100</f>
        <v>71.01</v>
      </c>
      <c r="U3134" s="28" t="n">
        <v>3124</v>
      </c>
      <c r="V3134" s="28" t="n">
        <f aca="false">27549/100</f>
        <v>275.49</v>
      </c>
      <c r="W3134" s="28" t="n">
        <v>12121</v>
      </c>
      <c r="X3134" s="28" t="n">
        <f aca="false">947914/100</f>
        <v>9479.14</v>
      </c>
      <c r="Y3134" s="28" t="n">
        <v>417082</v>
      </c>
      <c r="Z3134" s="28" t="n">
        <f aca="false">183606/100</f>
        <v>1836.06</v>
      </c>
      <c r="AA3134" s="28" t="n">
        <v>80787</v>
      </c>
      <c r="AB3134" s="28" t="n">
        <f aca="false">36047/100</f>
        <v>360.47</v>
      </c>
      <c r="AC3134" s="28" t="n">
        <v>15861</v>
      </c>
      <c r="AD3134" s="28" t="n">
        <f aca="false">12322/100</f>
        <v>123.22</v>
      </c>
      <c r="AE3134" s="28" t="n">
        <v>5422</v>
      </c>
      <c r="AF3134" s="28"/>
      <c r="AG3134" s="28" t="n">
        <f aca="false">AF3134*$M3134</f>
        <v>0</v>
      </c>
      <c r="AH3134" s="28" t="n">
        <f aca="false">3318/100</f>
        <v>33.18</v>
      </c>
      <c r="AI3134" s="28" t="n">
        <v>1460</v>
      </c>
      <c r="AJ3134" s="28"/>
      <c r="AK3134" s="28" t="n">
        <f aca="false">AJ3134*$M3134</f>
        <v>0</v>
      </c>
      <c r="AL3134" s="28" t="n">
        <f aca="false">28260/100</f>
        <v>282.6</v>
      </c>
      <c r="AM3134" s="28" t="n">
        <v>12434</v>
      </c>
      <c r="AN3134" s="28"/>
      <c r="AO3134" s="28" t="n">
        <f aca="false">AN3134*$M3134</f>
        <v>0</v>
      </c>
      <c r="AP3134" s="28"/>
      <c r="AQ3134" s="28" t="n">
        <f aca="false">AP3134*$M3134</f>
        <v>0</v>
      </c>
      <c r="AR3134" s="28"/>
      <c r="AS3134" s="28" t="n">
        <f aca="false">AR3134*$M3134</f>
        <v>0</v>
      </c>
      <c r="AT3134" s="28"/>
      <c r="AU3134" s="28" t="n">
        <f aca="false">AT3134*$M3134</f>
        <v>0</v>
      </c>
      <c r="AV3134" s="28"/>
      <c r="AW3134" s="28" t="n">
        <f aca="false">AV3134*$M3134</f>
        <v>0</v>
      </c>
      <c r="AX3134" s="28"/>
      <c r="AY3134" s="28" t="n">
        <f aca="false">AX3134*$M3134</f>
        <v>0</v>
      </c>
      <c r="AZ3134" s="30" t="n">
        <f aca="false">1314786/100</f>
        <v>13147.86</v>
      </c>
      <c r="BA3134" s="11" t="n">
        <v>578505</v>
      </c>
      <c r="BB3134" s="31" t="n">
        <f aca="false">SUM(Q3134,S3134,U3134,W3134,Y3134,AA3134,AC3134,AE3134,AG3134,AI3134,AK3134,AM3134,AO3134,AQ3134,AS3134,AU3134,AW3134,AY3134)</f>
        <v>578505</v>
      </c>
      <c r="BC3134" s="28" t="n">
        <f aca="false">BA3134-BB3134</f>
        <v>0</v>
      </c>
      <c r="BD3134" s="32" t="n">
        <f aca="false">SUM(P3134,R3134,T3134,V3134,X3134,Z3134,AB3134,AD3134,AF3134,AH3134,AJ3134,AL3134,AN3134,AP3134,AR3134,AT3134,AV3134,AX3134)</f>
        <v>13147.86</v>
      </c>
      <c r="BE3134" s="33" t="n">
        <f aca="false">AZ3134-BD3134</f>
        <v>0</v>
      </c>
      <c r="BF3134" s="34" t="n">
        <f aca="false">BD3134*M3134</f>
        <v>578505.84</v>
      </c>
      <c r="BG3134" s="35" t="n">
        <f aca="false">BA3134-BF3134</f>
        <v>-0.839999999967404</v>
      </c>
      <c r="BH3134" s="19" t="str">
        <f aca="false">IF(BG3134=0,"",IF(BG3134&lt;&gt;BA3134,"erreur de calcul",IF(BD3134&lt;&gt;0,"pas de prix",IF(M3134&lt;&gt; 0,"pas de quantité","pas de prix, ni de quantité"))))</f>
        <v>erreur de calcul</v>
      </c>
      <c r="BI3134" s="19"/>
    </row>
    <row r="3135" customFormat="false" ht="15" hidden="false" customHeight="false" outlineLevel="0" collapsed="false">
      <c r="A3135" s="0" t="n">
        <v>37</v>
      </c>
      <c r="B3135" s="8" t="s">
        <v>24</v>
      </c>
      <c r="C3135" s="9" t="s">
        <v>25</v>
      </c>
      <c r="D3135" s="9" t="s">
        <v>26</v>
      </c>
      <c r="E3135" s="10" t="n">
        <v>1789</v>
      </c>
      <c r="F3135" s="9" t="s">
        <v>27</v>
      </c>
      <c r="G3135" s="9" t="s">
        <v>27</v>
      </c>
      <c r="H3135" s="11" t="n">
        <v>26</v>
      </c>
      <c r="I3135" s="11" t="s">
        <v>408</v>
      </c>
      <c r="J3135" s="14" t="n">
        <v>40</v>
      </c>
      <c r="K3135" s="14"/>
      <c r="L3135" s="16"/>
      <c r="M3135" s="27" t="n">
        <f aca="false">J3135+(K3135/20)+(L3135/240)</f>
        <v>40</v>
      </c>
      <c r="N3135" s="17" t="s">
        <v>64</v>
      </c>
      <c r="O3135" s="11"/>
      <c r="P3135" s="28"/>
      <c r="Q3135" s="28" t="n">
        <f aca="false">P3135*$M3135</f>
        <v>0</v>
      </c>
      <c r="R3135" s="28"/>
      <c r="S3135" s="28" t="n">
        <f aca="false">R3135*$M3135</f>
        <v>0</v>
      </c>
      <c r="T3135" s="28"/>
      <c r="U3135" s="28" t="n">
        <f aca="false">T3135*$M3135</f>
        <v>0</v>
      </c>
      <c r="V3135" s="28" t="n">
        <f aca="false">4827/100</f>
        <v>48.27</v>
      </c>
      <c r="W3135" s="28" t="n">
        <v>1931</v>
      </c>
      <c r="X3135" s="28"/>
      <c r="Y3135" s="28" t="n">
        <f aca="false">X3135*$M3135</f>
        <v>0</v>
      </c>
      <c r="Z3135" s="28"/>
      <c r="AA3135" s="28" t="n">
        <f aca="false">Z3135*$M3135</f>
        <v>0</v>
      </c>
      <c r="AB3135" s="28"/>
      <c r="AC3135" s="28" t="n">
        <f aca="false">AB3135*$M3135</f>
        <v>0</v>
      </c>
      <c r="AD3135" s="28"/>
      <c r="AE3135" s="28" t="n">
        <f aca="false">AD3135*$M3135</f>
        <v>0</v>
      </c>
      <c r="AF3135" s="28"/>
      <c r="AG3135" s="28" t="n">
        <f aca="false">AF3135*$M3135</f>
        <v>0</v>
      </c>
      <c r="AH3135" s="28"/>
      <c r="AI3135" s="28" t="n">
        <f aca="false">AH3135*$M3135</f>
        <v>0</v>
      </c>
      <c r="AJ3135" s="28"/>
      <c r="AK3135" s="28" t="n">
        <f aca="false">AJ3135*$M3135</f>
        <v>0</v>
      </c>
      <c r="AL3135" s="28"/>
      <c r="AM3135" s="28" t="n">
        <f aca="false">AL3135*$M3135</f>
        <v>0</v>
      </c>
      <c r="AN3135" s="28"/>
      <c r="AO3135" s="28" t="n">
        <f aca="false">AN3135*$M3135</f>
        <v>0</v>
      </c>
      <c r="AP3135" s="28"/>
      <c r="AQ3135" s="28" t="n">
        <f aca="false">AP3135*$M3135</f>
        <v>0</v>
      </c>
      <c r="AR3135" s="28"/>
      <c r="AS3135" s="28" t="n">
        <f aca="false">AR3135*$M3135</f>
        <v>0</v>
      </c>
      <c r="AT3135" s="28"/>
      <c r="AU3135" s="28" t="n">
        <f aca="false">AT3135*$M3135</f>
        <v>0</v>
      </c>
      <c r="AV3135" s="28"/>
      <c r="AW3135" s="28" t="n">
        <f aca="false">AV3135*$M3135</f>
        <v>0</v>
      </c>
      <c r="AX3135" s="28" t="n">
        <f aca="false">835109/100</f>
        <v>8351.09</v>
      </c>
      <c r="AY3135" s="28" t="n">
        <v>334044</v>
      </c>
      <c r="AZ3135" s="30" t="n">
        <f aca="false">839936/100</f>
        <v>8399.36</v>
      </c>
      <c r="BA3135" s="11" t="n">
        <v>335975</v>
      </c>
      <c r="BB3135" s="31" t="n">
        <f aca="false">SUM(Q3135,S3135,U3135,W3135,Y3135,AA3135,AC3135,AE3135,AG3135,AI3135,AK3135,AM3135,AO3135,AQ3135,AS3135,AU3135,AW3135,AY3135)</f>
        <v>335975</v>
      </c>
      <c r="BC3135" s="28" t="n">
        <f aca="false">BA3135-BB3135</f>
        <v>0</v>
      </c>
      <c r="BD3135" s="32" t="n">
        <f aca="false">SUM(P3135,R3135,T3135,V3135,X3135,Z3135,AB3135,AD3135,AF3135,AH3135,AJ3135,AL3135,AN3135,AP3135,AR3135,AT3135,AV3135,AX3135)</f>
        <v>8399.36</v>
      </c>
      <c r="BE3135" s="33" t="n">
        <f aca="false">AZ3135-BD3135</f>
        <v>0</v>
      </c>
      <c r="BF3135" s="34" t="n">
        <f aca="false">BD3135*M3135</f>
        <v>335974.4</v>
      </c>
      <c r="BG3135" s="35" t="n">
        <f aca="false">BA3135-BF3135</f>
        <v>0.599999999976717</v>
      </c>
      <c r="BH3135" s="19" t="str">
        <f aca="false">IF(BG3135=0,"",IF(BG3135&lt;&gt;BA3135,"erreur de calcul",IF(BD3135&lt;&gt;0,"pas de prix",IF(M3135&lt;&gt; 0,"pas de quantité","pas de prix, ni de quantité"))))</f>
        <v>erreur de calcul</v>
      </c>
      <c r="BI3135" s="19"/>
    </row>
    <row r="3136" customFormat="false" ht="16.65" hidden="false" customHeight="false" outlineLevel="0" collapsed="false">
      <c r="A3136" s="0" t="n">
        <v>38</v>
      </c>
      <c r="B3136" s="8" t="s">
        <v>24</v>
      </c>
      <c r="C3136" s="9" t="s">
        <v>25</v>
      </c>
      <c r="D3136" s="9" t="s">
        <v>26</v>
      </c>
      <c r="E3136" s="10" t="n">
        <v>1789</v>
      </c>
      <c r="F3136" s="9" t="s">
        <v>27</v>
      </c>
      <c r="G3136" s="9" t="s">
        <v>27</v>
      </c>
      <c r="H3136" s="11" t="n">
        <v>26</v>
      </c>
      <c r="I3136" s="11" t="s">
        <v>409</v>
      </c>
      <c r="J3136" s="14"/>
      <c r="K3136" s="14" t="n">
        <v>13</v>
      </c>
      <c r="L3136" s="16"/>
      <c r="M3136" s="27" t="n">
        <f aca="false">J3136+(K3136/20)+(L3136/240)</f>
        <v>0.65</v>
      </c>
      <c r="N3136" s="17" t="s">
        <v>64</v>
      </c>
      <c r="O3136" s="11"/>
      <c r="P3136" s="28"/>
      <c r="Q3136" s="28" t="n">
        <f aca="false">P3136*$M3136</f>
        <v>0</v>
      </c>
      <c r="R3136" s="28"/>
      <c r="S3136" s="28" t="n">
        <f aca="false">R3136*$M3136</f>
        <v>0</v>
      </c>
      <c r="T3136" s="28"/>
      <c r="U3136" s="28" t="n">
        <f aca="false">T3136*$M3136</f>
        <v>0</v>
      </c>
      <c r="V3136" s="28"/>
      <c r="W3136" s="28" t="n">
        <f aca="false">V3136*$M3136</f>
        <v>0</v>
      </c>
      <c r="X3136" s="28"/>
      <c r="Y3136" s="28" t="n">
        <f aca="false">X3136*$M3136</f>
        <v>0</v>
      </c>
      <c r="Z3136" s="28" t="n">
        <f aca="false">2471002/100</f>
        <v>24710.02</v>
      </c>
      <c r="AA3136" s="28" t="n">
        <v>16061</v>
      </c>
      <c r="AB3136" s="28"/>
      <c r="AC3136" s="28" t="n">
        <f aca="false">AB3136*$M3136</f>
        <v>0</v>
      </c>
      <c r="AD3136" s="28"/>
      <c r="AE3136" s="28" t="n">
        <f aca="false">AD3136*$M3136</f>
        <v>0</v>
      </c>
      <c r="AF3136" s="28"/>
      <c r="AG3136" s="28" t="n">
        <f aca="false">AF3136*$M3136</f>
        <v>0</v>
      </c>
      <c r="AH3136" s="28"/>
      <c r="AI3136" s="28" t="n">
        <f aca="false">AH3136*$M3136</f>
        <v>0</v>
      </c>
      <c r="AJ3136" s="28"/>
      <c r="AK3136" s="28" t="n">
        <f aca="false">AJ3136*$M3136</f>
        <v>0</v>
      </c>
      <c r="AL3136" s="28"/>
      <c r="AM3136" s="28" t="n">
        <f aca="false">AL3136*$M3136</f>
        <v>0</v>
      </c>
      <c r="AN3136" s="28"/>
      <c r="AO3136" s="28" t="n">
        <f aca="false">AN3136*$M3136</f>
        <v>0</v>
      </c>
      <c r="AP3136" s="28"/>
      <c r="AQ3136" s="28" t="n">
        <f aca="false">AP3136*$M3136</f>
        <v>0</v>
      </c>
      <c r="AR3136" s="28"/>
      <c r="AS3136" s="28" t="n">
        <f aca="false">AR3136*$M3136</f>
        <v>0</v>
      </c>
      <c r="AT3136" s="28"/>
      <c r="AU3136" s="28" t="n">
        <f aca="false">AT3136*$M3136</f>
        <v>0</v>
      </c>
      <c r="AV3136" s="28"/>
      <c r="AW3136" s="28" t="n">
        <f aca="false">AV3136*$M3136</f>
        <v>0</v>
      </c>
      <c r="AX3136" s="28"/>
      <c r="AY3136" s="28" t="n">
        <f aca="false">AX3136*$M3136</f>
        <v>0</v>
      </c>
      <c r="AZ3136" s="30" t="n">
        <f aca="false">2471002</f>
        <v>2471002</v>
      </c>
      <c r="BA3136" s="11" t="n">
        <v>16061</v>
      </c>
      <c r="BB3136" s="31" t="n">
        <f aca="false">SUM(Q3136,S3136,U3136,W3136,Y3136,AA3136,AC3136,AE3136,AG3136,AI3136,AK3136,AM3136,AO3136,AQ3136,AS3136,AU3136,AW3136,AY3136)</f>
        <v>16061</v>
      </c>
      <c r="BC3136" s="28" t="n">
        <f aca="false">BA3136-BB3136</f>
        <v>0</v>
      </c>
      <c r="BD3136" s="32" t="n">
        <f aca="false">SUM(P3136,R3136,T3136,V3136,X3136,Z3136,AB3136,AD3136,AF3136,AH3136,AJ3136,AL3136,AN3136,AP3136,AR3136,AT3136,AV3136,AX3136)</f>
        <v>24710.02</v>
      </c>
      <c r="BE3136" s="33" t="n">
        <f aca="false">AZ3136-BD3136</f>
        <v>2446291.98</v>
      </c>
      <c r="BF3136" s="34" t="n">
        <f aca="false">BD3136*M3136</f>
        <v>16061.513</v>
      </c>
      <c r="BG3136" s="35" t="n">
        <f aca="false">BA3136-BF3136</f>
        <v>-0.513000000000829</v>
      </c>
      <c r="BH3136" s="19" t="str">
        <f aca="false">IF(BG3136=0,"",IF(BG3136&lt;&gt;BA3136,"erreur de calcul",IF(BD3136&lt;&gt;0,"pas de prix",IF(M3136&lt;&gt; 0,"pas de quantité","pas de prix, ni de quantité"))))</f>
        <v>erreur de calcul</v>
      </c>
      <c r="BI3136" s="19"/>
    </row>
    <row r="3137" customFormat="false" ht="15" hidden="false" customHeight="false" outlineLevel="0" collapsed="false">
      <c r="A3137" s="0" t="n">
        <v>39</v>
      </c>
      <c r="B3137" s="8" t="s">
        <v>24</v>
      </c>
      <c r="C3137" s="9" t="s">
        <v>25</v>
      </c>
      <c r="D3137" s="9" t="s">
        <v>26</v>
      </c>
      <c r="E3137" s="10" t="n">
        <v>1789</v>
      </c>
      <c r="F3137" s="9" t="s">
        <v>27</v>
      </c>
      <c r="G3137" s="9" t="s">
        <v>27</v>
      </c>
      <c r="H3137" s="11" t="n">
        <v>26</v>
      </c>
      <c r="I3137" s="11" t="s">
        <v>410</v>
      </c>
      <c r="J3137" s="14" t="n">
        <v>10</v>
      </c>
      <c r="K3137" s="14"/>
      <c r="L3137" s="16"/>
      <c r="M3137" s="27" t="n">
        <f aca="false">J3137+(K3137/20)+(L3137/240)</f>
        <v>10</v>
      </c>
      <c r="N3137" s="17" t="s">
        <v>64</v>
      </c>
      <c r="O3137" s="11"/>
      <c r="P3137" s="28"/>
      <c r="Q3137" s="28" t="n">
        <f aca="false">P3137*$M3137</f>
        <v>0</v>
      </c>
      <c r="R3137" s="28"/>
      <c r="S3137" s="28" t="n">
        <f aca="false">R3137*$M3137</f>
        <v>0</v>
      </c>
      <c r="T3137" s="28"/>
      <c r="U3137" s="28" t="n">
        <f aca="false">T3137*$M3137</f>
        <v>0</v>
      </c>
      <c r="V3137" s="28"/>
      <c r="W3137" s="28" t="n">
        <f aca="false">V3137*$M3137</f>
        <v>0</v>
      </c>
      <c r="X3137" s="28" t="n">
        <f aca="false">2481/100</f>
        <v>24.81</v>
      </c>
      <c r="Y3137" s="28" t="n">
        <v>248</v>
      </c>
      <c r="Z3137" s="28"/>
      <c r="AA3137" s="28" t="n">
        <f aca="false">Z3137*$M3137</f>
        <v>0</v>
      </c>
      <c r="AB3137" s="28"/>
      <c r="AC3137" s="28" t="n">
        <f aca="false">AB3137*$M3137</f>
        <v>0</v>
      </c>
      <c r="AD3137" s="28"/>
      <c r="AE3137" s="28" t="n">
        <f aca="false">AD3137*$M3137</f>
        <v>0</v>
      </c>
      <c r="AF3137" s="28"/>
      <c r="AG3137" s="28" t="n">
        <f aca="false">AF3137*$M3137</f>
        <v>0</v>
      </c>
      <c r="AH3137" s="28"/>
      <c r="AI3137" s="28" t="n">
        <f aca="false">AH3137*$M3137</f>
        <v>0</v>
      </c>
      <c r="AJ3137" s="28"/>
      <c r="AK3137" s="28" t="n">
        <f aca="false">AJ3137*$M3137</f>
        <v>0</v>
      </c>
      <c r="AL3137" s="28"/>
      <c r="AM3137" s="28" t="n">
        <f aca="false">AL3137*$M3137</f>
        <v>0</v>
      </c>
      <c r="AN3137" s="28"/>
      <c r="AO3137" s="28" t="n">
        <f aca="false">AN3137*$M3137</f>
        <v>0</v>
      </c>
      <c r="AP3137" s="28"/>
      <c r="AQ3137" s="28" t="n">
        <f aca="false">AP3137*$M3137</f>
        <v>0</v>
      </c>
      <c r="AR3137" s="28"/>
      <c r="AS3137" s="28" t="n">
        <f aca="false">AR3137*$M3137</f>
        <v>0</v>
      </c>
      <c r="AT3137" s="28"/>
      <c r="AU3137" s="28" t="n">
        <f aca="false">AT3137*$M3137</f>
        <v>0</v>
      </c>
      <c r="AV3137" s="28"/>
      <c r="AW3137" s="28" t="n">
        <f aca="false">AV3137*$M3137</f>
        <v>0</v>
      </c>
      <c r="AX3137" s="28"/>
      <c r="AY3137" s="28" t="n">
        <f aca="false">AX3137*$M3137</f>
        <v>0</v>
      </c>
      <c r="AZ3137" s="30" t="n">
        <f aca="false">2481/100</f>
        <v>24.81</v>
      </c>
      <c r="BA3137" s="11" t="n">
        <v>248</v>
      </c>
      <c r="BB3137" s="31" t="n">
        <f aca="false">SUM(Q3137,S3137,U3137,W3137,Y3137,AA3137,AC3137,AE3137,AG3137,AI3137,AK3137,AM3137,AO3137,AQ3137,AS3137,AU3137,AW3137,AY3137)</f>
        <v>248</v>
      </c>
      <c r="BC3137" s="28" t="n">
        <f aca="false">BA3137-BB3137</f>
        <v>0</v>
      </c>
      <c r="BD3137" s="32" t="n">
        <f aca="false">SUM(P3137,R3137,T3137,V3137,X3137,Z3137,AB3137,AD3137,AF3137,AH3137,AJ3137,AL3137,AN3137,AP3137,AR3137,AT3137,AV3137,AX3137)</f>
        <v>24.81</v>
      </c>
      <c r="BE3137" s="33" t="n">
        <f aca="false">AZ3137-BD3137</f>
        <v>0</v>
      </c>
      <c r="BF3137" s="34" t="n">
        <f aca="false">BD3137*M3137</f>
        <v>248.1</v>
      </c>
      <c r="BG3137" s="35" t="n">
        <f aca="false">BA3137-BF3137</f>
        <v>-0.0999999999999943</v>
      </c>
      <c r="BH3137" s="19" t="str">
        <f aca="false">IF(BG3137=0,"",IF(BG3137&lt;&gt;BA3137,"erreur de calcul",IF(BD3137&lt;&gt;0,"pas de prix",IF(M3137&lt;&gt; 0,"pas de quantité","pas de prix, ni de quantité"))))</f>
        <v>erreur de calcul</v>
      </c>
      <c r="BI3137" s="19"/>
    </row>
    <row r="3138" customFormat="false" ht="15" hidden="false" customHeight="false" outlineLevel="0" collapsed="false">
      <c r="A3138" s="0" t="n">
        <v>40</v>
      </c>
      <c r="B3138" s="8" t="s">
        <v>24</v>
      </c>
      <c r="C3138" s="9" t="s">
        <v>25</v>
      </c>
      <c r="D3138" s="9" t="s">
        <v>26</v>
      </c>
      <c r="E3138" s="10" t="n">
        <v>1789</v>
      </c>
      <c r="F3138" s="9" t="s">
        <v>27</v>
      </c>
      <c r="G3138" s="9" t="s">
        <v>27</v>
      </c>
      <c r="H3138" s="11" t="n">
        <v>26</v>
      </c>
      <c r="I3138" s="11" t="s">
        <v>411</v>
      </c>
      <c r="J3138" s="14" t="n">
        <v>5</v>
      </c>
      <c r="K3138" s="14"/>
      <c r="L3138" s="16"/>
      <c r="M3138" s="27" t="n">
        <f aca="false">J3138+(K3138/20)+(L3138/240)</f>
        <v>5</v>
      </c>
      <c r="N3138" s="17" t="s">
        <v>66</v>
      </c>
      <c r="O3138" s="11" t="s">
        <v>98</v>
      </c>
      <c r="P3138" s="28"/>
      <c r="Q3138" s="28" t="n">
        <f aca="false">P3138*$M3138</f>
        <v>0</v>
      </c>
      <c r="R3138" s="28"/>
      <c r="S3138" s="28" t="n">
        <f aca="false">R3138*$M3138</f>
        <v>0</v>
      </c>
      <c r="T3138" s="28"/>
      <c r="U3138" s="28" t="n">
        <f aca="false">T3138*$M3138</f>
        <v>0</v>
      </c>
      <c r="V3138" s="28"/>
      <c r="W3138" s="28" t="n">
        <f aca="false">V3138*$M3138</f>
        <v>0</v>
      </c>
      <c r="X3138" s="28"/>
      <c r="Y3138" s="28" t="n">
        <f aca="false">X3138*$M3138</f>
        <v>0</v>
      </c>
      <c r="Z3138" s="28"/>
      <c r="AA3138" s="28" t="n">
        <f aca="false">Z3138*$M3138</f>
        <v>0</v>
      </c>
      <c r="AB3138" s="28"/>
      <c r="AC3138" s="28" t="n">
        <f aca="false">AB3138*$M3138</f>
        <v>0</v>
      </c>
      <c r="AD3138" s="28"/>
      <c r="AE3138" s="28" t="n">
        <f aca="false">AD3138*$M3138</f>
        <v>0</v>
      </c>
      <c r="AF3138" s="28" t="n">
        <v>22</v>
      </c>
      <c r="AG3138" s="28" t="n">
        <v>110</v>
      </c>
      <c r="AH3138" s="28" t="n">
        <v>2657</v>
      </c>
      <c r="AI3138" s="28" t="n">
        <v>13285</v>
      </c>
      <c r="AJ3138" s="28"/>
      <c r="AK3138" s="28" t="n">
        <f aca="false">AJ3138*$M3138</f>
        <v>0</v>
      </c>
      <c r="AL3138" s="28"/>
      <c r="AM3138" s="28" t="n">
        <f aca="false">AL3138*$M3138</f>
        <v>0</v>
      </c>
      <c r="AN3138" s="28"/>
      <c r="AO3138" s="28" t="n">
        <f aca="false">AN3138*$M3138</f>
        <v>0</v>
      </c>
      <c r="AP3138" s="28"/>
      <c r="AQ3138" s="28" t="n">
        <f aca="false">AP3138*$M3138</f>
        <v>0</v>
      </c>
      <c r="AR3138" s="28"/>
      <c r="AS3138" s="28" t="n">
        <f aca="false">AR3138*$M3138</f>
        <v>0</v>
      </c>
      <c r="AT3138" s="28"/>
      <c r="AU3138" s="28" t="n">
        <f aca="false">AT3138*$M3138</f>
        <v>0</v>
      </c>
      <c r="AV3138" s="28"/>
      <c r="AW3138" s="28" t="n">
        <f aca="false">AV3138*$M3138</f>
        <v>0</v>
      </c>
      <c r="AX3138" s="28"/>
      <c r="AY3138" s="28" t="n">
        <f aca="false">AX3138*$M3138</f>
        <v>0</v>
      </c>
      <c r="AZ3138" s="30" t="n">
        <v>2679</v>
      </c>
      <c r="BA3138" s="11" t="n">
        <v>13395</v>
      </c>
      <c r="BB3138" s="31" t="n">
        <f aca="false">SUM(Q3138,S3138,U3138,W3138,Y3138,AA3138,AC3138,AE3138,AG3138,AI3138,AK3138,AM3138,AO3138,AQ3138,AS3138,AU3138,AW3138,AY3138)</f>
        <v>13395</v>
      </c>
      <c r="BC3138" s="28" t="n">
        <f aca="false">BA3138-BB3138</f>
        <v>0</v>
      </c>
      <c r="BD3138" s="32" t="n">
        <f aca="false">SUM(P3138,R3138,T3138,V3138,X3138,Z3138,AB3138,AD3138,AF3138,AH3138,AJ3138,AL3138,AN3138,AP3138,AR3138,AT3138,AV3138,AX3138)</f>
        <v>2679</v>
      </c>
      <c r="BE3138" s="33" t="n">
        <f aca="false">AZ3138-BD3138</f>
        <v>0</v>
      </c>
      <c r="BF3138" s="34" t="n">
        <f aca="false">BD3138*M3138</f>
        <v>13395</v>
      </c>
      <c r="BG3138" s="35" t="n">
        <f aca="false">BA3138-BF3138</f>
        <v>0</v>
      </c>
      <c r="BH3138" s="19" t="str">
        <f aca="false">IF(BG3138=0,"",IF(BG3138&lt;&gt;BA3138,"erreur de calcul",IF(BD3138&lt;&gt;0,"pas de prix",IF(M3138&lt;&gt; 0,"pas de quantité","pas de prix, ni de quantité"))))</f>
        <v/>
      </c>
      <c r="BI3138" s="19"/>
    </row>
    <row r="3139" customFormat="false" ht="15" hidden="false" customHeight="false" outlineLevel="0" collapsed="false">
      <c r="A3139" s="0" t="n">
        <v>1</v>
      </c>
      <c r="B3139" s="8" t="s">
        <v>24</v>
      </c>
      <c r="C3139" s="9" t="s">
        <v>25</v>
      </c>
      <c r="D3139" s="9" t="s">
        <v>26</v>
      </c>
      <c r="E3139" s="10" t="n">
        <v>1789</v>
      </c>
      <c r="F3139" s="9" t="s">
        <v>27</v>
      </c>
      <c r="G3139" s="9" t="s">
        <v>27</v>
      </c>
      <c r="H3139" s="11" t="n">
        <v>27</v>
      </c>
      <c r="I3139" s="11" t="s">
        <v>412</v>
      </c>
      <c r="J3139" s="14" t="n">
        <v>7</v>
      </c>
      <c r="K3139" s="14" t="n">
        <v>10</v>
      </c>
      <c r="L3139" s="16"/>
      <c r="M3139" s="27" t="n">
        <f aca="false">J3139+(K3139/20)+(L3139/240)</f>
        <v>7.5</v>
      </c>
      <c r="N3139" s="17" t="s">
        <v>64</v>
      </c>
      <c r="O3139" s="11"/>
      <c r="P3139" s="28" t="n">
        <f aca="false">16667/100</f>
        <v>166.67</v>
      </c>
      <c r="Q3139" s="28" t="n">
        <v>1250</v>
      </c>
      <c r="R3139" s="28"/>
      <c r="S3139" s="28" t="n">
        <f aca="false">R3139*$M3139</f>
        <v>0</v>
      </c>
      <c r="T3139" s="28"/>
      <c r="U3139" s="28" t="n">
        <f aca="false">T3139*$M3139</f>
        <v>0</v>
      </c>
      <c r="V3139" s="28" t="n">
        <f aca="false">407887/100</f>
        <v>4078.87</v>
      </c>
      <c r="W3139" s="28" t="n">
        <v>30591</v>
      </c>
      <c r="X3139" s="28" t="n">
        <f aca="false">4444/100</f>
        <v>44.44</v>
      </c>
      <c r="Y3139" s="28" t="n">
        <v>333</v>
      </c>
      <c r="Z3139" s="28" t="n">
        <f aca="false">16084/100</f>
        <v>160.84</v>
      </c>
      <c r="AA3139" s="28" t="n">
        <v>1206</v>
      </c>
      <c r="AB3139" s="28" t="n">
        <f aca="false">20834/100</f>
        <v>208.34</v>
      </c>
      <c r="AC3139" s="28" t="n">
        <v>1562</v>
      </c>
      <c r="AD3139" s="28"/>
      <c r="AE3139" s="28" t="n">
        <f aca="false">AD3139*$M3139</f>
        <v>0</v>
      </c>
      <c r="AF3139" s="28"/>
      <c r="AG3139" s="28" t="n">
        <f aca="false">AF3139*$M3139</f>
        <v>0</v>
      </c>
      <c r="AH3139" s="28"/>
      <c r="AI3139" s="28" t="n">
        <f aca="false">AH3139*$M3139</f>
        <v>0</v>
      </c>
      <c r="AJ3139" s="28"/>
      <c r="AK3139" s="28" t="n">
        <f aca="false">AJ3139*$M3139</f>
        <v>0</v>
      </c>
      <c r="AL3139" s="28"/>
      <c r="AM3139" s="28" t="n">
        <f aca="false">AL3139*$M3139</f>
        <v>0</v>
      </c>
      <c r="AN3139" s="28"/>
      <c r="AO3139" s="28" t="n">
        <f aca="false">AN3139*$M3139</f>
        <v>0</v>
      </c>
      <c r="AP3139" s="28"/>
      <c r="AQ3139" s="28" t="n">
        <f aca="false">AP3139*$M3139</f>
        <v>0</v>
      </c>
      <c r="AR3139" s="28"/>
      <c r="AS3139" s="28" t="n">
        <f aca="false">AR3139*$M3139</f>
        <v>0</v>
      </c>
      <c r="AT3139" s="28"/>
      <c r="AU3139" s="28" t="n">
        <f aca="false">AT3139*$M3139</f>
        <v>0</v>
      </c>
      <c r="AV3139" s="28"/>
      <c r="AW3139" s="28" t="n">
        <f aca="false">AV3139*$M3139</f>
        <v>0</v>
      </c>
      <c r="AX3139" s="28"/>
      <c r="AY3139" s="28" t="n">
        <f aca="false">AX3139*$M3139</f>
        <v>0</v>
      </c>
      <c r="AZ3139" s="30" t="n">
        <f aca="false">465916/100</f>
        <v>4659.16</v>
      </c>
      <c r="BA3139" s="11" t="n">
        <v>34942</v>
      </c>
      <c r="BB3139" s="31" t="n">
        <f aca="false">SUM(Q3139,S3139,U3139,W3139,Y3139,AA3139,AC3139,AE3139,AG3139,AI3139,AK3139,AM3139,AO3139,AQ3139,AS3139,AU3139,AW3139,AY3139)</f>
        <v>34942</v>
      </c>
      <c r="BC3139" s="28" t="n">
        <f aca="false">BA3139-BB3139</f>
        <v>0</v>
      </c>
      <c r="BD3139" s="32" t="n">
        <f aca="false">SUM(P3139,R3139,T3139,V3139,X3139,Z3139,AB3139,AD3139,AF3139,AH3139,AJ3139,AL3139,AN3139,AP3139,AR3139,AT3139,AV3139,AX3139)</f>
        <v>4659.16</v>
      </c>
      <c r="BE3139" s="33" t="n">
        <f aca="false">AZ3139-BD3139</f>
        <v>0</v>
      </c>
      <c r="BF3139" s="34" t="n">
        <f aca="false">BD3139*M3139</f>
        <v>34943.7</v>
      </c>
      <c r="BG3139" s="35" t="n">
        <f aca="false">BA3139-BF3139</f>
        <v>-1.69999999999709</v>
      </c>
      <c r="BH3139" s="19" t="str">
        <f aca="false">IF(BG3139=0,"",IF(BG3139&lt;&gt;BA3139,"erreur de calcul",IF(BD3139&lt;&gt;0,"pas de prix",IF(M3139&lt;&gt; 0,"pas de quantité","pas de prix, ni de quantité"))))</f>
        <v>erreur de calcul</v>
      </c>
      <c r="BI3139" s="19"/>
    </row>
    <row r="3140" customFormat="false" ht="15" hidden="false" customHeight="false" outlineLevel="0" collapsed="false">
      <c r="A3140" s="0" t="n">
        <v>2</v>
      </c>
      <c r="B3140" s="8" t="s">
        <v>24</v>
      </c>
      <c r="C3140" s="9" t="s">
        <v>25</v>
      </c>
      <c r="D3140" s="9" t="s">
        <v>26</v>
      </c>
      <c r="E3140" s="10" t="n">
        <v>1789</v>
      </c>
      <c r="F3140" s="9" t="s">
        <v>27</v>
      </c>
      <c r="G3140" s="9" t="s">
        <v>27</v>
      </c>
      <c r="H3140" s="11" t="n">
        <v>27</v>
      </c>
      <c r="I3140" s="11" t="s">
        <v>413</v>
      </c>
      <c r="J3140" s="14" t="n">
        <v>3</v>
      </c>
      <c r="K3140" s="14"/>
      <c r="L3140" s="16"/>
      <c r="M3140" s="27" t="n">
        <f aca="false">J3140+(K3140/20)+(L3140/240)</f>
        <v>3</v>
      </c>
      <c r="N3140" s="17" t="s">
        <v>66</v>
      </c>
      <c r="O3140" s="11"/>
      <c r="P3140" s="28"/>
      <c r="Q3140" s="28" t="n">
        <f aca="false">P3140*$M3140</f>
        <v>0</v>
      </c>
      <c r="R3140" s="28"/>
      <c r="S3140" s="28" t="n">
        <f aca="false">R3140*$M3140</f>
        <v>0</v>
      </c>
      <c r="T3140" s="28"/>
      <c r="U3140" s="28" t="n">
        <f aca="false">T3140*$M3140</f>
        <v>0</v>
      </c>
      <c r="V3140" s="28"/>
      <c r="W3140" s="28" t="n">
        <f aca="false">V3140*$M3140</f>
        <v>0</v>
      </c>
      <c r="X3140" s="28"/>
      <c r="Y3140" s="28" t="n">
        <f aca="false">X3140*$M3140</f>
        <v>0</v>
      </c>
      <c r="Z3140" s="28"/>
      <c r="AA3140" s="28" t="n">
        <f aca="false">Z3140*$M3140</f>
        <v>0</v>
      </c>
      <c r="AB3140" s="28"/>
      <c r="AC3140" s="28" t="n">
        <f aca="false">AB3140*$M3140</f>
        <v>0</v>
      </c>
      <c r="AD3140" s="28"/>
      <c r="AE3140" s="28" t="n">
        <f aca="false">AD3140*$M3140</f>
        <v>0</v>
      </c>
      <c r="AF3140" s="28"/>
      <c r="AG3140" s="28" t="n">
        <f aca="false">AF3140*$M3140</f>
        <v>0</v>
      </c>
      <c r="AH3140" s="28" t="n">
        <v>58272</v>
      </c>
      <c r="AI3140" s="28" t="n">
        <v>174816</v>
      </c>
      <c r="AJ3140" s="28"/>
      <c r="AK3140" s="28" t="n">
        <f aca="false">AJ3140*$M3140</f>
        <v>0</v>
      </c>
      <c r="AL3140" s="28"/>
      <c r="AM3140" s="28" t="n">
        <f aca="false">AL3140*$M3140</f>
        <v>0</v>
      </c>
      <c r="AN3140" s="28"/>
      <c r="AO3140" s="28" t="n">
        <f aca="false">AN3140*$M3140</f>
        <v>0</v>
      </c>
      <c r="AP3140" s="28"/>
      <c r="AQ3140" s="28" t="n">
        <f aca="false">AP3140*$M3140</f>
        <v>0</v>
      </c>
      <c r="AR3140" s="28"/>
      <c r="AS3140" s="28" t="n">
        <f aca="false">AR3140*$M3140</f>
        <v>0</v>
      </c>
      <c r="AT3140" s="28"/>
      <c r="AU3140" s="28" t="n">
        <f aca="false">AT3140*$M3140</f>
        <v>0</v>
      </c>
      <c r="AV3140" s="28"/>
      <c r="AW3140" s="28" t="n">
        <f aca="false">AV3140*$M3140</f>
        <v>0</v>
      </c>
      <c r="AX3140" s="28"/>
      <c r="AY3140" s="28" t="n">
        <f aca="false">AX3140*$M3140</f>
        <v>0</v>
      </c>
      <c r="AZ3140" s="30" t="n">
        <f aca="false">58272</f>
        <v>58272</v>
      </c>
      <c r="BA3140" s="11" t="n">
        <v>174816</v>
      </c>
      <c r="BB3140" s="31" t="n">
        <f aca="false">SUM(Q3140,S3140,U3140,W3140,Y3140,AA3140,AC3140,AE3140,AG3140,AI3140,AK3140,AM3140,AO3140,AQ3140,AS3140,AU3140,AW3140,AY3140)</f>
        <v>174816</v>
      </c>
      <c r="BC3140" s="28" t="n">
        <f aca="false">BA3140-BB3140</f>
        <v>0</v>
      </c>
      <c r="BD3140" s="32" t="n">
        <f aca="false">SUM(P3140,R3140,T3140,V3140,X3140,Z3140,AB3140,AD3140,AF3140,AH3140,AJ3140,AL3140,AN3140,AP3140,AR3140,AT3140,AV3140,AX3140)</f>
        <v>58272</v>
      </c>
      <c r="BE3140" s="33" t="n">
        <f aca="false">AZ3140-BD3140</f>
        <v>0</v>
      </c>
      <c r="BF3140" s="34" t="n">
        <f aca="false">BD3140*M3140</f>
        <v>174816</v>
      </c>
      <c r="BG3140" s="35" t="n">
        <f aca="false">BA3140-BF3140</f>
        <v>0</v>
      </c>
      <c r="BH3140" s="19" t="str">
        <f aca="false">IF(BG3140=0,"",IF(BG3140&lt;&gt;BA3140,"erreur de calcul",IF(BD3140&lt;&gt;0,"pas de prix",IF(M3140&lt;&gt; 0,"pas de quantité","pas de prix, ni de quantité"))))</f>
        <v/>
      </c>
      <c r="BI3140" s="19"/>
    </row>
    <row r="3141" customFormat="false" ht="15" hidden="false" customHeight="false" outlineLevel="0" collapsed="false">
      <c r="A3141" s="0" t="n">
        <v>3</v>
      </c>
      <c r="B3141" s="8" t="s">
        <v>24</v>
      </c>
      <c r="C3141" s="9" t="s">
        <v>25</v>
      </c>
      <c r="D3141" s="9" t="s">
        <v>26</v>
      </c>
      <c r="E3141" s="10" t="n">
        <v>1789</v>
      </c>
      <c r="F3141" s="9" t="s">
        <v>27</v>
      </c>
      <c r="G3141" s="9" t="s">
        <v>27</v>
      </c>
      <c r="H3141" s="11" t="n">
        <v>27</v>
      </c>
      <c r="I3141" s="11" t="s">
        <v>414</v>
      </c>
      <c r="J3141" s="14" t="n">
        <v>3</v>
      </c>
      <c r="K3141" s="14"/>
      <c r="L3141" s="16"/>
      <c r="M3141" s="27" t="n">
        <f aca="false">J3141+(K3141/20)+(L3141/240)</f>
        <v>3</v>
      </c>
      <c r="N3141" s="17" t="s">
        <v>66</v>
      </c>
      <c r="O3141" s="11" t="s">
        <v>98</v>
      </c>
      <c r="P3141" s="28"/>
      <c r="Q3141" s="28" t="n">
        <f aca="false">P3141*$M3141</f>
        <v>0</v>
      </c>
      <c r="R3141" s="28"/>
      <c r="S3141" s="28" t="n">
        <f aca="false">R3141*$M3141</f>
        <v>0</v>
      </c>
      <c r="T3141" s="28"/>
      <c r="U3141" s="28" t="n">
        <f aca="false">T3141*$M3141</f>
        <v>0</v>
      </c>
      <c r="V3141" s="28"/>
      <c r="W3141" s="28" t="n">
        <f aca="false">V3141*$M3141</f>
        <v>0</v>
      </c>
      <c r="X3141" s="28"/>
      <c r="Y3141" s="28" t="n">
        <f aca="false">X3141*$M3141</f>
        <v>0</v>
      </c>
      <c r="Z3141" s="28"/>
      <c r="AA3141" s="28" t="n">
        <f aca="false">Z3141*$M3141</f>
        <v>0</v>
      </c>
      <c r="AB3141" s="28"/>
      <c r="AC3141" s="28" t="n">
        <f aca="false">AB3141*$M3141</f>
        <v>0</v>
      </c>
      <c r="AD3141" s="28"/>
      <c r="AE3141" s="28" t="n">
        <f aca="false">AD3141*$M3141</f>
        <v>0</v>
      </c>
      <c r="AF3141" s="28"/>
      <c r="AG3141" s="28" t="n">
        <f aca="false">AF3141*$M3141</f>
        <v>0</v>
      </c>
      <c r="AH3141" s="28" t="n">
        <v>110560</v>
      </c>
      <c r="AI3141" s="28" t="n">
        <v>331680</v>
      </c>
      <c r="AJ3141" s="28"/>
      <c r="AK3141" s="28" t="n">
        <f aca="false">AJ3141*$M3141</f>
        <v>0</v>
      </c>
      <c r="AL3141" s="28"/>
      <c r="AM3141" s="28" t="n">
        <f aca="false">AL3141*$M3141</f>
        <v>0</v>
      </c>
      <c r="AN3141" s="28"/>
      <c r="AO3141" s="28" t="n">
        <f aca="false">AN3141*$M3141</f>
        <v>0</v>
      </c>
      <c r="AP3141" s="28"/>
      <c r="AQ3141" s="28" t="n">
        <f aca="false">AP3141*$M3141</f>
        <v>0</v>
      </c>
      <c r="AR3141" s="28"/>
      <c r="AS3141" s="28" t="n">
        <f aca="false">AR3141*$M3141</f>
        <v>0</v>
      </c>
      <c r="AT3141" s="28"/>
      <c r="AU3141" s="28" t="n">
        <f aca="false">AT3141*$M3141</f>
        <v>0</v>
      </c>
      <c r="AV3141" s="28"/>
      <c r="AW3141" s="28" t="n">
        <f aca="false">AV3141*$M3141</f>
        <v>0</v>
      </c>
      <c r="AX3141" s="28"/>
      <c r="AY3141" s="28" t="n">
        <f aca="false">AX3141*$M3141</f>
        <v>0</v>
      </c>
      <c r="AZ3141" s="30" t="n">
        <v>110560</v>
      </c>
      <c r="BA3141" s="11" t="n">
        <v>331680</v>
      </c>
      <c r="BB3141" s="31" t="n">
        <f aca="false">SUM(Q3141,S3141,U3141,W3141,Y3141,AA3141,AC3141,AE3141,AG3141,AI3141,AK3141,AM3141,AO3141,AQ3141,AS3141,AU3141,AW3141,AY3141)</f>
        <v>331680</v>
      </c>
      <c r="BC3141" s="28" t="n">
        <f aca="false">BA3141-BB3141</f>
        <v>0</v>
      </c>
      <c r="BD3141" s="32" t="n">
        <f aca="false">SUM(P3141,R3141,T3141,V3141,X3141,Z3141,AB3141,AD3141,AF3141,AH3141,AJ3141,AL3141,AN3141,AP3141,AR3141,AT3141,AV3141,AX3141)</f>
        <v>110560</v>
      </c>
      <c r="BE3141" s="33" t="n">
        <f aca="false">AZ3141-BD3141</f>
        <v>0</v>
      </c>
      <c r="BF3141" s="34" t="n">
        <f aca="false">BD3141*M3141</f>
        <v>331680</v>
      </c>
      <c r="BG3141" s="35" t="n">
        <f aca="false">BA3141-BF3141</f>
        <v>0</v>
      </c>
      <c r="BH3141" s="19" t="str">
        <f aca="false">IF(BG3141=0,"",IF(BG3141&lt;&gt;BA3141,"erreur de calcul",IF(BD3141&lt;&gt;0,"pas de prix",IF(M3141&lt;&gt; 0,"pas de quantité","pas de prix, ni de quantité"))))</f>
        <v/>
      </c>
      <c r="BI3141" s="19"/>
    </row>
    <row r="3142" customFormat="false" ht="15" hidden="false" customHeight="false" outlineLevel="0" collapsed="false">
      <c r="A3142" s="0" t="n">
        <v>4</v>
      </c>
      <c r="B3142" s="8" t="s">
        <v>24</v>
      </c>
      <c r="C3142" s="9" t="s">
        <v>25</v>
      </c>
      <c r="D3142" s="9" t="s">
        <v>26</v>
      </c>
      <c r="E3142" s="10" t="n">
        <v>1789</v>
      </c>
      <c r="F3142" s="9" t="s">
        <v>27</v>
      </c>
      <c r="G3142" s="9" t="s">
        <v>27</v>
      </c>
      <c r="H3142" s="11" t="n">
        <v>27</v>
      </c>
      <c r="I3142" s="11" t="s">
        <v>415</v>
      </c>
      <c r="J3142" s="14" t="n">
        <v>3</v>
      </c>
      <c r="K3142" s="14" t="n">
        <v>10</v>
      </c>
      <c r="L3142" s="16"/>
      <c r="M3142" s="27" t="n">
        <f aca="false">J3142+(K3142/20)+(L3142/240)</f>
        <v>3.5</v>
      </c>
      <c r="N3142" s="17" t="s">
        <v>66</v>
      </c>
      <c r="O3142" s="11" t="s">
        <v>98</v>
      </c>
      <c r="P3142" s="28"/>
      <c r="Q3142" s="28" t="n">
        <f aca="false">P3142*$M3142</f>
        <v>0</v>
      </c>
      <c r="R3142" s="28"/>
      <c r="S3142" s="28" t="n">
        <f aca="false">R3142*$M3142</f>
        <v>0</v>
      </c>
      <c r="T3142" s="28"/>
      <c r="U3142" s="28" t="n">
        <f aca="false">T3142*$M3142</f>
        <v>0</v>
      </c>
      <c r="V3142" s="28"/>
      <c r="W3142" s="28" t="n">
        <f aca="false">V3142*$M3142</f>
        <v>0</v>
      </c>
      <c r="X3142" s="28" t="n">
        <v>218</v>
      </c>
      <c r="Y3142" s="28" t="n">
        <v>763</v>
      </c>
      <c r="Z3142" s="28"/>
      <c r="AA3142" s="28" t="n">
        <f aca="false">Z3142*$M3142</f>
        <v>0</v>
      </c>
      <c r="AB3142" s="28"/>
      <c r="AC3142" s="28" t="n">
        <f aca="false">AB3142*$M3142</f>
        <v>0</v>
      </c>
      <c r="AD3142" s="28"/>
      <c r="AE3142" s="28" t="n">
        <f aca="false">AD3142*$M3142</f>
        <v>0</v>
      </c>
      <c r="AF3142" s="28"/>
      <c r="AG3142" s="28" t="n">
        <f aca="false">AF3142*$M3142</f>
        <v>0</v>
      </c>
      <c r="AH3142" s="28" t="n">
        <v>25905</v>
      </c>
      <c r="AI3142" s="28" t="n">
        <v>90667</v>
      </c>
      <c r="AJ3142" s="28"/>
      <c r="AK3142" s="28" t="n">
        <f aca="false">AJ3142*$M3142</f>
        <v>0</v>
      </c>
      <c r="AL3142" s="28"/>
      <c r="AM3142" s="28" t="n">
        <f aca="false">AL3142*$M3142</f>
        <v>0</v>
      </c>
      <c r="AN3142" s="28"/>
      <c r="AO3142" s="28" t="n">
        <f aca="false">AN3142*$M3142</f>
        <v>0</v>
      </c>
      <c r="AP3142" s="28"/>
      <c r="AQ3142" s="28" t="n">
        <f aca="false">AP3142*$M3142</f>
        <v>0</v>
      </c>
      <c r="AR3142" s="28"/>
      <c r="AS3142" s="28" t="n">
        <f aca="false">AR3142*$M3142</f>
        <v>0</v>
      </c>
      <c r="AT3142" s="28"/>
      <c r="AU3142" s="28" t="n">
        <f aca="false">AT3142*$M3142</f>
        <v>0</v>
      </c>
      <c r="AV3142" s="28"/>
      <c r="AW3142" s="28" t="n">
        <f aca="false">AV3142*$M3142</f>
        <v>0</v>
      </c>
      <c r="AX3142" s="28"/>
      <c r="AY3142" s="28" t="n">
        <f aca="false">AX3142*$M3142</f>
        <v>0</v>
      </c>
      <c r="AZ3142" s="30" t="n">
        <v>26123</v>
      </c>
      <c r="BA3142" s="11" t="n">
        <v>91430</v>
      </c>
      <c r="BB3142" s="31" t="n">
        <f aca="false">SUM(Q3142,S3142,U3142,W3142,Y3142,AA3142,AC3142,AE3142,AG3142,AI3142,AK3142,AM3142,AO3142,AQ3142,AS3142,AU3142,AW3142,AY3142)</f>
        <v>91430</v>
      </c>
      <c r="BC3142" s="28" t="n">
        <f aca="false">BA3142-BB3142</f>
        <v>0</v>
      </c>
      <c r="BD3142" s="32" t="n">
        <f aca="false">SUM(P3142,R3142,T3142,V3142,X3142,Z3142,AB3142,AD3142,AF3142,AH3142,AJ3142,AL3142,AN3142,AP3142,AR3142,AT3142,AV3142,AX3142)</f>
        <v>26123</v>
      </c>
      <c r="BE3142" s="33" t="n">
        <f aca="false">AZ3142-BD3142</f>
        <v>0</v>
      </c>
      <c r="BF3142" s="34" t="n">
        <f aca="false">BD3142*M3142</f>
        <v>91430.5</v>
      </c>
      <c r="BG3142" s="35" t="n">
        <f aca="false">BA3142-BF3142</f>
        <v>-0.5</v>
      </c>
      <c r="BH3142" s="19" t="str">
        <f aca="false">IF(BG3142=0,"",IF(BG3142&lt;&gt;BA3142,"erreur de calcul",IF(BD3142&lt;&gt;0,"pas de prix",IF(M3142&lt;&gt; 0,"pas de quantité","pas de prix, ni de quantité"))))</f>
        <v>erreur de calcul</v>
      </c>
      <c r="BI3142" s="19"/>
    </row>
    <row r="3143" customFormat="false" ht="15" hidden="false" customHeight="false" outlineLevel="0" collapsed="false">
      <c r="A3143" s="0" t="n">
        <v>5</v>
      </c>
      <c r="B3143" s="8" t="s">
        <v>24</v>
      </c>
      <c r="C3143" s="9" t="s">
        <v>25</v>
      </c>
      <c r="D3143" s="9" t="s">
        <v>26</v>
      </c>
      <c r="E3143" s="10" t="n">
        <v>1789</v>
      </c>
      <c r="F3143" s="9" t="s">
        <v>27</v>
      </c>
      <c r="G3143" s="9" t="s">
        <v>27</v>
      </c>
      <c r="H3143" s="11" t="n">
        <v>27</v>
      </c>
      <c r="I3143" s="11" t="s">
        <v>416</v>
      </c>
      <c r="J3143" s="14"/>
      <c r="K3143" s="14" t="n">
        <v>30</v>
      </c>
      <c r="L3143" s="16"/>
      <c r="M3143" s="27" t="n">
        <f aca="false">J3143+(K3143/20)+(L3143/240)</f>
        <v>1.5</v>
      </c>
      <c r="N3143" s="17" t="s">
        <v>66</v>
      </c>
      <c r="O3143" s="11"/>
      <c r="P3143" s="28"/>
      <c r="Q3143" s="28" t="n">
        <f aca="false">P3143*$M3143</f>
        <v>0</v>
      </c>
      <c r="R3143" s="28"/>
      <c r="S3143" s="28" t="n">
        <f aca="false">R3143*$M3143</f>
        <v>0</v>
      </c>
      <c r="T3143" s="28"/>
      <c r="U3143" s="28" t="n">
        <f aca="false">T3143*$M3143</f>
        <v>0</v>
      </c>
      <c r="V3143" s="28"/>
      <c r="W3143" s="28" t="n">
        <f aca="false">V3143*$M3143</f>
        <v>0</v>
      </c>
      <c r="X3143" s="28"/>
      <c r="Y3143" s="28" t="n">
        <f aca="false">X3143*$M3143</f>
        <v>0</v>
      </c>
      <c r="Z3143" s="28"/>
      <c r="AA3143" s="28" t="n">
        <f aca="false">Z3143*$M3143</f>
        <v>0</v>
      </c>
      <c r="AB3143" s="28"/>
      <c r="AC3143" s="28" t="n">
        <f aca="false">AB3143*$M3143</f>
        <v>0</v>
      </c>
      <c r="AD3143" s="28"/>
      <c r="AE3143" s="28" t="n">
        <f aca="false">AD3143*$M3143</f>
        <v>0</v>
      </c>
      <c r="AF3143" s="28"/>
      <c r="AG3143" s="28" t="n">
        <f aca="false">AF3143*$M3143</f>
        <v>0</v>
      </c>
      <c r="AH3143" s="28" t="n">
        <v>75870</v>
      </c>
      <c r="AI3143" s="28" t="n">
        <v>113805</v>
      </c>
      <c r="AJ3143" s="28"/>
      <c r="AK3143" s="28" t="n">
        <f aca="false">AJ3143*$M3143</f>
        <v>0</v>
      </c>
      <c r="AL3143" s="28"/>
      <c r="AM3143" s="28" t="n">
        <f aca="false">AL3143*$M3143</f>
        <v>0</v>
      </c>
      <c r="AN3143" s="28"/>
      <c r="AO3143" s="28" t="n">
        <f aca="false">AN3143*$M3143</f>
        <v>0</v>
      </c>
      <c r="AP3143" s="28"/>
      <c r="AQ3143" s="28" t="n">
        <f aca="false">AP3143*$M3143</f>
        <v>0</v>
      </c>
      <c r="AR3143" s="28"/>
      <c r="AS3143" s="28" t="n">
        <f aca="false">AR3143*$M3143</f>
        <v>0</v>
      </c>
      <c r="AT3143" s="28"/>
      <c r="AU3143" s="28" t="n">
        <f aca="false">AT3143*$M3143</f>
        <v>0</v>
      </c>
      <c r="AV3143" s="28"/>
      <c r="AW3143" s="28" t="n">
        <f aca="false">AV3143*$M3143</f>
        <v>0</v>
      </c>
      <c r="AX3143" s="28"/>
      <c r="AY3143" s="28" t="n">
        <f aca="false">AX3143*$M3143</f>
        <v>0</v>
      </c>
      <c r="AZ3143" s="30" t="n">
        <v>75870</v>
      </c>
      <c r="BA3143" s="11" t="n">
        <v>113805</v>
      </c>
      <c r="BB3143" s="31" t="n">
        <f aca="false">SUM(Q3143,S3143,U3143,W3143,Y3143,AA3143,AC3143,AE3143,AG3143,AI3143,AK3143,AM3143,AO3143,AQ3143,AS3143,AU3143,AW3143,AY3143)</f>
        <v>113805</v>
      </c>
      <c r="BC3143" s="28" t="n">
        <f aca="false">BA3143-BB3143</f>
        <v>0</v>
      </c>
      <c r="BD3143" s="32" t="n">
        <f aca="false">SUM(P3143,R3143,T3143,V3143,X3143,Z3143,AB3143,AD3143,AF3143,AH3143,AJ3143,AL3143,AN3143,AP3143,AR3143,AT3143,AV3143,AX3143)</f>
        <v>75870</v>
      </c>
      <c r="BE3143" s="33" t="n">
        <f aca="false">AZ3143-BD3143</f>
        <v>0</v>
      </c>
      <c r="BF3143" s="34" t="n">
        <f aca="false">BD3143*M3143</f>
        <v>113805</v>
      </c>
      <c r="BG3143" s="35" t="n">
        <f aca="false">BA3143-BF3143</f>
        <v>0</v>
      </c>
      <c r="BH3143" s="19" t="str">
        <f aca="false">IF(BG3143=0,"",IF(BG3143&lt;&gt;BA3143,"erreur de calcul",IF(BD3143&lt;&gt;0,"pas de prix",IF(M3143&lt;&gt; 0,"pas de quantité","pas de prix, ni de quantité"))))</f>
        <v/>
      </c>
      <c r="BI3143" s="19"/>
    </row>
    <row r="3144" customFormat="false" ht="15" hidden="false" customHeight="false" outlineLevel="0" collapsed="false">
      <c r="A3144" s="0" t="n">
        <v>6</v>
      </c>
      <c r="B3144" s="8" t="s">
        <v>24</v>
      </c>
      <c r="C3144" s="9" t="s">
        <v>25</v>
      </c>
      <c r="D3144" s="9" t="s">
        <v>26</v>
      </c>
      <c r="E3144" s="10" t="n">
        <v>1789</v>
      </c>
      <c r="F3144" s="9" t="s">
        <v>27</v>
      </c>
      <c r="G3144" s="9" t="s">
        <v>27</v>
      </c>
      <c r="H3144" s="11" t="n">
        <v>27</v>
      </c>
      <c r="I3144" s="11" t="s">
        <v>417</v>
      </c>
      <c r="J3144" s="14" t="n">
        <v>3</v>
      </c>
      <c r="K3144" s="14"/>
      <c r="L3144" s="16"/>
      <c r="M3144" s="27" t="n">
        <f aca="false">J3144+(K3144/20)+(L3144/240)</f>
        <v>3</v>
      </c>
      <c r="N3144" s="17" t="s">
        <v>66</v>
      </c>
      <c r="O3144" s="11"/>
      <c r="P3144" s="28"/>
      <c r="Q3144" s="28" t="n">
        <f aca="false">P3144*$M3144</f>
        <v>0</v>
      </c>
      <c r="R3144" s="28"/>
      <c r="S3144" s="28" t="n">
        <f aca="false">R3144*$M3144</f>
        <v>0</v>
      </c>
      <c r="T3144" s="28"/>
      <c r="U3144" s="28" t="n">
        <f aca="false">T3144*$M3144</f>
        <v>0</v>
      </c>
      <c r="V3144" s="28"/>
      <c r="W3144" s="28" t="n">
        <f aca="false">V3144*$M3144</f>
        <v>0</v>
      </c>
      <c r="X3144" s="28"/>
      <c r="Y3144" s="28" t="n">
        <f aca="false">X3144*$M3144</f>
        <v>0</v>
      </c>
      <c r="Z3144" s="28"/>
      <c r="AA3144" s="28" t="n">
        <f aca="false">Z3144*$M3144</f>
        <v>0</v>
      </c>
      <c r="AB3144" s="28"/>
      <c r="AC3144" s="28" t="n">
        <f aca="false">AB3144*$M3144</f>
        <v>0</v>
      </c>
      <c r="AD3144" s="28"/>
      <c r="AE3144" s="28" t="n">
        <f aca="false">AD3144*$M3144</f>
        <v>0</v>
      </c>
      <c r="AF3144" s="28"/>
      <c r="AG3144" s="28" t="n">
        <f aca="false">AF3144*$M3144</f>
        <v>0</v>
      </c>
      <c r="AH3144" s="28" t="n">
        <v>121588</v>
      </c>
      <c r="AI3144" s="28" t="n">
        <v>364764</v>
      </c>
      <c r="AJ3144" s="28"/>
      <c r="AK3144" s="28" t="n">
        <f aca="false">AJ3144*$M3144</f>
        <v>0</v>
      </c>
      <c r="AL3144" s="28"/>
      <c r="AM3144" s="28" t="n">
        <f aca="false">AL3144*$M3144</f>
        <v>0</v>
      </c>
      <c r="AN3144" s="28"/>
      <c r="AO3144" s="28" t="n">
        <f aca="false">AN3144*$M3144</f>
        <v>0</v>
      </c>
      <c r="AP3144" s="28"/>
      <c r="AQ3144" s="28" t="n">
        <f aca="false">AP3144*$M3144</f>
        <v>0</v>
      </c>
      <c r="AR3144" s="28"/>
      <c r="AS3144" s="28" t="n">
        <f aca="false">AR3144*$M3144</f>
        <v>0</v>
      </c>
      <c r="AT3144" s="28"/>
      <c r="AU3144" s="28" t="n">
        <f aca="false">AT3144*$M3144</f>
        <v>0</v>
      </c>
      <c r="AV3144" s="28"/>
      <c r="AW3144" s="28" t="n">
        <f aca="false">AV3144*$M3144</f>
        <v>0</v>
      </c>
      <c r="AX3144" s="28"/>
      <c r="AY3144" s="28" t="n">
        <f aca="false">AX3144*$M3144</f>
        <v>0</v>
      </c>
      <c r="AZ3144" s="30" t="n">
        <v>121588</v>
      </c>
      <c r="BA3144" s="11" t="n">
        <v>364764</v>
      </c>
      <c r="BB3144" s="31" t="n">
        <f aca="false">SUM(Q3144,S3144,U3144,W3144,Y3144,AA3144,AC3144,AE3144,AG3144,AI3144,AK3144,AM3144,AO3144,AQ3144,AS3144,AU3144,AW3144,AY3144)</f>
        <v>364764</v>
      </c>
      <c r="BC3144" s="28" t="n">
        <f aca="false">BA3144-BB3144</f>
        <v>0</v>
      </c>
      <c r="BD3144" s="32" t="n">
        <f aca="false">SUM(P3144,R3144,T3144,V3144,X3144,Z3144,AB3144,AD3144,AF3144,AH3144,AJ3144,AL3144,AN3144,AP3144,AR3144,AT3144,AV3144,AX3144)</f>
        <v>121588</v>
      </c>
      <c r="BE3144" s="33" t="n">
        <f aca="false">AZ3144-BD3144</f>
        <v>0</v>
      </c>
      <c r="BF3144" s="34" t="n">
        <f aca="false">BD3144*M3144</f>
        <v>364764</v>
      </c>
      <c r="BG3144" s="35" t="n">
        <f aca="false">BA3144-BF3144</f>
        <v>0</v>
      </c>
      <c r="BH3144" s="19" t="str">
        <f aca="false">IF(BG3144=0,"",IF(BG3144&lt;&gt;BA3144,"erreur de calcul",IF(BD3144&lt;&gt;0,"pas de prix",IF(M3144&lt;&gt; 0,"pas de quantité","pas de prix, ni de quantité"))))</f>
        <v/>
      </c>
      <c r="BI3144" s="19"/>
    </row>
    <row r="3145" customFormat="false" ht="15" hidden="false" customHeight="false" outlineLevel="0" collapsed="false">
      <c r="A3145" s="0" t="n">
        <v>7</v>
      </c>
      <c r="B3145" s="8" t="s">
        <v>24</v>
      </c>
      <c r="C3145" s="9" t="s">
        <v>25</v>
      </c>
      <c r="D3145" s="9" t="s">
        <v>26</v>
      </c>
      <c r="E3145" s="10" t="n">
        <v>1789</v>
      </c>
      <c r="F3145" s="9" t="s">
        <v>27</v>
      </c>
      <c r="G3145" s="9" t="s">
        <v>27</v>
      </c>
      <c r="H3145" s="11" t="n">
        <v>27</v>
      </c>
      <c r="I3145" s="11" t="s">
        <v>418</v>
      </c>
      <c r="J3145" s="14"/>
      <c r="K3145" s="14" t="n">
        <v>24</v>
      </c>
      <c r="L3145" s="16"/>
      <c r="M3145" s="27" t="n">
        <f aca="false">J3145+(K3145/20)+(L3145/240)</f>
        <v>1.2</v>
      </c>
      <c r="N3145" s="17" t="s">
        <v>66</v>
      </c>
      <c r="O3145" s="11"/>
      <c r="P3145" s="28"/>
      <c r="Q3145" s="28" t="n">
        <f aca="false">P3145*$M3145</f>
        <v>0</v>
      </c>
      <c r="R3145" s="28"/>
      <c r="S3145" s="28" t="n">
        <f aca="false">R3145*$M3145</f>
        <v>0</v>
      </c>
      <c r="T3145" s="28"/>
      <c r="U3145" s="28" t="n">
        <f aca="false">T3145*$M3145</f>
        <v>0</v>
      </c>
      <c r="V3145" s="28"/>
      <c r="W3145" s="28" t="n">
        <f aca="false">V3145*$M3145</f>
        <v>0</v>
      </c>
      <c r="X3145" s="28"/>
      <c r="Y3145" s="28" t="n">
        <f aca="false">X3145*$M3145</f>
        <v>0</v>
      </c>
      <c r="Z3145" s="28"/>
      <c r="AA3145" s="28" t="n">
        <f aca="false">Z3145*$M3145</f>
        <v>0</v>
      </c>
      <c r="AB3145" s="28"/>
      <c r="AC3145" s="28" t="n">
        <f aca="false">AB3145*$M3145</f>
        <v>0</v>
      </c>
      <c r="AD3145" s="28"/>
      <c r="AE3145" s="28" t="n">
        <f aca="false">AD3145*$M3145</f>
        <v>0</v>
      </c>
      <c r="AF3145" s="28"/>
      <c r="AG3145" s="28" t="n">
        <f aca="false">AF3145*$M3145</f>
        <v>0</v>
      </c>
      <c r="AH3145" s="28" t="n">
        <v>50204</v>
      </c>
      <c r="AI3145" s="28" t="n">
        <v>60245</v>
      </c>
      <c r="AJ3145" s="28"/>
      <c r="AK3145" s="28" t="n">
        <f aca="false">AJ3145*$M3145</f>
        <v>0</v>
      </c>
      <c r="AL3145" s="28"/>
      <c r="AM3145" s="28" t="n">
        <f aca="false">AL3145*$M3145</f>
        <v>0</v>
      </c>
      <c r="AN3145" s="28"/>
      <c r="AO3145" s="28" t="n">
        <f aca="false">AN3145*$M3145</f>
        <v>0</v>
      </c>
      <c r="AP3145" s="28"/>
      <c r="AQ3145" s="28" t="n">
        <f aca="false">AP3145*$M3145</f>
        <v>0</v>
      </c>
      <c r="AR3145" s="28"/>
      <c r="AS3145" s="28" t="n">
        <f aca="false">AR3145*$M3145</f>
        <v>0</v>
      </c>
      <c r="AT3145" s="28"/>
      <c r="AU3145" s="28" t="n">
        <f aca="false">AT3145*$M3145</f>
        <v>0</v>
      </c>
      <c r="AV3145" s="28"/>
      <c r="AW3145" s="28" t="n">
        <f aca="false">AV3145*$M3145</f>
        <v>0</v>
      </c>
      <c r="AX3145" s="28"/>
      <c r="AY3145" s="28" t="n">
        <f aca="false">AX3145*$M3145</f>
        <v>0</v>
      </c>
      <c r="AZ3145" s="30" t="n">
        <v>50204</v>
      </c>
      <c r="BA3145" s="11" t="n">
        <v>60245</v>
      </c>
      <c r="BB3145" s="31" t="n">
        <f aca="false">SUM(Q3145,S3145,U3145,W3145,Y3145,AA3145,AC3145,AE3145,AG3145,AI3145,AK3145,AM3145,AO3145,AQ3145,AS3145,AU3145,AW3145,AY3145)</f>
        <v>60245</v>
      </c>
      <c r="BC3145" s="28" t="n">
        <f aca="false">BA3145-BB3145</f>
        <v>0</v>
      </c>
      <c r="BD3145" s="32" t="n">
        <f aca="false">SUM(P3145,R3145,T3145,V3145,X3145,Z3145,AB3145,AD3145,AF3145,AH3145,AJ3145,AL3145,AN3145,AP3145,AR3145,AT3145,AV3145,AX3145)</f>
        <v>50204</v>
      </c>
      <c r="BE3145" s="33" t="n">
        <f aca="false">AZ3145-BD3145</f>
        <v>0</v>
      </c>
      <c r="BF3145" s="34" t="n">
        <f aca="false">BD3145*M3145</f>
        <v>60244.8</v>
      </c>
      <c r="BG3145" s="35" t="n">
        <f aca="false">BA3145-BF3145</f>
        <v>0.200000000004366</v>
      </c>
      <c r="BH3145" s="19" t="str">
        <f aca="false">IF(BG3145=0,"",IF(BG3145&lt;&gt;BA3145,"erreur de calcul",IF(BD3145&lt;&gt;0,"pas de prix",IF(M3145&lt;&gt; 0,"pas de quantité","pas de prix, ni de quantité"))))</f>
        <v>erreur de calcul</v>
      </c>
      <c r="BI3145" s="19"/>
    </row>
    <row r="3146" customFormat="false" ht="15" hidden="false" customHeight="false" outlineLevel="0" collapsed="false">
      <c r="A3146" s="0" t="n">
        <v>8</v>
      </c>
      <c r="B3146" s="8" t="s">
        <v>24</v>
      </c>
      <c r="C3146" s="9" t="s">
        <v>25</v>
      </c>
      <c r="D3146" s="9" t="s">
        <v>26</v>
      </c>
      <c r="E3146" s="10" t="n">
        <v>1789</v>
      </c>
      <c r="F3146" s="9" t="s">
        <v>27</v>
      </c>
      <c r="G3146" s="9" t="s">
        <v>27</v>
      </c>
      <c r="H3146" s="11" t="n">
        <v>27</v>
      </c>
      <c r="I3146" s="11" t="s">
        <v>419</v>
      </c>
      <c r="J3146" s="14" t="n">
        <v>40</v>
      </c>
      <c r="K3146" s="14"/>
      <c r="L3146" s="16"/>
      <c r="M3146" s="27" t="n">
        <f aca="false">J3146+(K3146/20)+(L3146/240)</f>
        <v>40</v>
      </c>
      <c r="N3146" s="17" t="s">
        <v>66</v>
      </c>
      <c r="O3146" s="11" t="s">
        <v>98</v>
      </c>
      <c r="P3146" s="28"/>
      <c r="Q3146" s="28" t="n">
        <f aca="false">P3146*$M3146</f>
        <v>0</v>
      </c>
      <c r="R3146" s="28"/>
      <c r="S3146" s="28" t="n">
        <f aca="false">R3146*$M3146</f>
        <v>0</v>
      </c>
      <c r="T3146" s="28"/>
      <c r="U3146" s="28" t="n">
        <f aca="false">T3146*$M3146</f>
        <v>0</v>
      </c>
      <c r="V3146" s="28"/>
      <c r="W3146" s="28" t="n">
        <f aca="false">V3146*$M3146</f>
        <v>0</v>
      </c>
      <c r="X3146" s="28"/>
      <c r="Y3146" s="28" t="n">
        <f aca="false">X3146*$M3146</f>
        <v>0</v>
      </c>
      <c r="Z3146" s="28"/>
      <c r="AA3146" s="28" t="n">
        <f aca="false">Z3146*$M3146</f>
        <v>0</v>
      </c>
      <c r="AB3146" s="28"/>
      <c r="AC3146" s="28" t="n">
        <f aca="false">AB3146*$M3146</f>
        <v>0</v>
      </c>
      <c r="AD3146" s="28"/>
      <c r="AE3146" s="28" t="n">
        <f aca="false">AD3146*$M3146</f>
        <v>0</v>
      </c>
      <c r="AF3146" s="28"/>
      <c r="AG3146" s="28" t="n">
        <f aca="false">AF3146*$M3146</f>
        <v>0</v>
      </c>
      <c r="AH3146" s="28"/>
      <c r="AI3146" s="28" t="n">
        <f aca="false">AH3146*$M3146</f>
        <v>0</v>
      </c>
      <c r="AJ3146" s="28"/>
      <c r="AK3146" s="28" t="n">
        <f aca="false">AJ3146*$M3146</f>
        <v>0</v>
      </c>
      <c r="AL3146" s="28"/>
      <c r="AM3146" s="28" t="n">
        <f aca="false">AL3146*$M3146</f>
        <v>0</v>
      </c>
      <c r="AN3146" s="28"/>
      <c r="AO3146" s="28" t="n">
        <f aca="false">AN3146*$M3146</f>
        <v>0</v>
      </c>
      <c r="AP3146" s="28"/>
      <c r="AQ3146" s="28" t="n">
        <f aca="false">AP3146*$M3146</f>
        <v>0</v>
      </c>
      <c r="AR3146" s="28"/>
      <c r="AS3146" s="28" t="n">
        <f aca="false">AR3146*$M3146</f>
        <v>0</v>
      </c>
      <c r="AT3146" s="28"/>
      <c r="AU3146" s="28" t="n">
        <f aca="false">AT3146*$M3146</f>
        <v>0</v>
      </c>
      <c r="AV3146" s="28"/>
      <c r="AW3146" s="28" t="n">
        <f aca="false">AV3146*$M3146</f>
        <v>0</v>
      </c>
      <c r="AX3146" s="28"/>
      <c r="AY3146" s="28" t="n">
        <f aca="false">AX3146*$M3146</f>
        <v>0</v>
      </c>
      <c r="AZ3146" s="30"/>
      <c r="BA3146" s="11"/>
      <c r="BB3146" s="31" t="n">
        <f aca="false">SUM(Q3146,S3146,U3146,W3146,Y3146,AA3146,AC3146,AE3146,AG3146,AI3146,AK3146,AM3146,AO3146,AQ3146,AS3146,AU3146,AW3146,AY3146)</f>
        <v>0</v>
      </c>
      <c r="BC3146" s="28" t="n">
        <f aca="false">BA3146-BB3146</f>
        <v>0</v>
      </c>
      <c r="BD3146" s="32" t="n">
        <f aca="false">SUM(P3146,R3146,T3146,V3146,X3146,Z3146,AB3146,AD3146,AF3146,AH3146,AJ3146,AL3146,AN3146,AP3146,AR3146,AT3146,AV3146,AX3146)</f>
        <v>0</v>
      </c>
      <c r="BE3146" s="33" t="n">
        <f aca="false">AZ3146-BD3146</f>
        <v>0</v>
      </c>
      <c r="BF3146" s="34" t="n">
        <f aca="false">BD3146*M3146</f>
        <v>0</v>
      </c>
      <c r="BG3146" s="35" t="n">
        <f aca="false">BA3146-BF3146</f>
        <v>0</v>
      </c>
      <c r="BH3146" s="19" t="str">
        <f aca="false">IF(BG3146=0,"",IF(BG3146&lt;&gt;BA3146,"erreur de calcul",IF(BD3146&lt;&gt;0,"pas de prix",IF(M3146&lt;&gt; 0,"pas de quantité","pas de prix, ni de quantité"))))</f>
        <v/>
      </c>
      <c r="BI3146" s="19"/>
    </row>
    <row r="3147" customFormat="false" ht="15" hidden="false" customHeight="false" outlineLevel="0" collapsed="false">
      <c r="A3147" s="0" t="n">
        <v>9</v>
      </c>
      <c r="B3147" s="8" t="s">
        <v>24</v>
      </c>
      <c r="C3147" s="9" t="s">
        <v>25</v>
      </c>
      <c r="D3147" s="9" t="s">
        <v>26</v>
      </c>
      <c r="E3147" s="10" t="n">
        <v>1789</v>
      </c>
      <c r="F3147" s="9" t="s">
        <v>27</v>
      </c>
      <c r="G3147" s="9" t="s">
        <v>27</v>
      </c>
      <c r="H3147" s="11" t="n">
        <v>27</v>
      </c>
      <c r="I3147" s="11" t="s">
        <v>420</v>
      </c>
      <c r="J3147" s="14" t="n">
        <v>9</v>
      </c>
      <c r="K3147" s="14"/>
      <c r="L3147" s="16"/>
      <c r="M3147" s="27" t="n">
        <f aca="false">J3147+(K3147/20)+(L3147/240)</f>
        <v>9</v>
      </c>
      <c r="N3147" s="17" t="s">
        <v>81</v>
      </c>
      <c r="O3147" s="11" t="s">
        <v>98</v>
      </c>
      <c r="P3147" s="28"/>
      <c r="Q3147" s="28" t="n">
        <f aca="false">P3147*$M3147</f>
        <v>0</v>
      </c>
      <c r="R3147" s="28"/>
      <c r="S3147" s="28" t="n">
        <f aca="false">R3147*$M3147</f>
        <v>0</v>
      </c>
      <c r="T3147" s="28"/>
      <c r="U3147" s="28" t="n">
        <f aca="false">T3147*$M3147</f>
        <v>0</v>
      </c>
      <c r="V3147" s="28"/>
      <c r="W3147" s="28" t="n">
        <f aca="false">V3147*$M3147</f>
        <v>0</v>
      </c>
      <c r="X3147" s="28"/>
      <c r="Y3147" s="28" t="n">
        <f aca="false">X3147*$M3147</f>
        <v>0</v>
      </c>
      <c r="Z3147" s="28"/>
      <c r="AA3147" s="28" t="n">
        <f aca="false">Z3147*$M3147</f>
        <v>0</v>
      </c>
      <c r="AB3147" s="28"/>
      <c r="AC3147" s="28" t="n">
        <f aca="false">AB3147*$M3147</f>
        <v>0</v>
      </c>
      <c r="AD3147" s="28"/>
      <c r="AE3147" s="28" t="n">
        <f aca="false">AD3147*$M3147</f>
        <v>0</v>
      </c>
      <c r="AF3147" s="28"/>
      <c r="AG3147" s="28" t="n">
        <f aca="false">AF3147*$M3147</f>
        <v>0</v>
      </c>
      <c r="AH3147" s="28"/>
      <c r="AI3147" s="28" t="n">
        <f aca="false">AH3147*$M3147</f>
        <v>0</v>
      </c>
      <c r="AJ3147" s="28"/>
      <c r="AK3147" s="28" t="n">
        <f aca="false">AJ3147*$M3147</f>
        <v>0</v>
      </c>
      <c r="AL3147" s="28"/>
      <c r="AM3147" s="28" t="n">
        <f aca="false">AL3147*$M3147</f>
        <v>0</v>
      </c>
      <c r="AN3147" s="28"/>
      <c r="AO3147" s="28" t="n">
        <f aca="false">AN3147*$M3147</f>
        <v>0</v>
      </c>
      <c r="AP3147" s="28"/>
      <c r="AQ3147" s="28" t="n">
        <f aca="false">AP3147*$M3147</f>
        <v>0</v>
      </c>
      <c r="AR3147" s="28"/>
      <c r="AS3147" s="28" t="n">
        <f aca="false">AR3147*$M3147</f>
        <v>0</v>
      </c>
      <c r="AT3147" s="28"/>
      <c r="AU3147" s="28" t="n">
        <f aca="false">AT3147*$M3147</f>
        <v>0</v>
      </c>
      <c r="AV3147" s="28"/>
      <c r="AW3147" s="28" t="n">
        <f aca="false">AV3147*$M3147</f>
        <v>0</v>
      </c>
      <c r="AX3147" s="28"/>
      <c r="AY3147" s="28" t="n">
        <f aca="false">AX3147*$M3147</f>
        <v>0</v>
      </c>
      <c r="AZ3147" s="30"/>
      <c r="BA3147" s="11"/>
      <c r="BB3147" s="31" t="n">
        <f aca="false">SUM(Q3147,S3147,U3147,W3147,Y3147,AA3147,AC3147,AE3147,AG3147,AI3147,AK3147,AM3147,AO3147,AQ3147,AS3147,AU3147,AW3147,AY3147)</f>
        <v>0</v>
      </c>
      <c r="BC3147" s="28" t="n">
        <f aca="false">BA3147-BB3147</f>
        <v>0</v>
      </c>
      <c r="BD3147" s="32" t="n">
        <f aca="false">SUM(P3147,R3147,T3147,V3147,X3147,Z3147,AB3147,AD3147,AF3147,AH3147,AJ3147,AL3147,AN3147,AP3147,AR3147,AT3147,AV3147,AX3147)</f>
        <v>0</v>
      </c>
      <c r="BE3147" s="33" t="n">
        <f aca="false">AZ3147-BD3147</f>
        <v>0</v>
      </c>
      <c r="BF3147" s="34" t="n">
        <f aca="false">BD3147*M3147</f>
        <v>0</v>
      </c>
      <c r="BG3147" s="35" t="n">
        <f aca="false">BA3147-BF3147</f>
        <v>0</v>
      </c>
      <c r="BH3147" s="19" t="str">
        <f aca="false">IF(BG3147=0,"",IF(BG3147&lt;&gt;BA3147,"erreur de calcul",IF(BD3147&lt;&gt;0,"pas de prix",IF(M3147&lt;&gt; 0,"pas de quantité","pas de prix, ni de quantité"))))</f>
        <v/>
      </c>
      <c r="BI3147" s="19"/>
    </row>
    <row r="3148" customFormat="false" ht="15" hidden="false" customHeight="false" outlineLevel="0" collapsed="false">
      <c r="A3148" s="0" t="n">
        <v>10</v>
      </c>
      <c r="B3148" s="8" t="s">
        <v>24</v>
      </c>
      <c r="C3148" s="9" t="s">
        <v>25</v>
      </c>
      <c r="D3148" s="9" t="s">
        <v>26</v>
      </c>
      <c r="E3148" s="10" t="n">
        <v>1789</v>
      </c>
      <c r="F3148" s="9" t="s">
        <v>27</v>
      </c>
      <c r="G3148" s="9" t="s">
        <v>27</v>
      </c>
      <c r="H3148" s="11" t="n">
        <v>27</v>
      </c>
      <c r="I3148" s="11" t="s">
        <v>421</v>
      </c>
      <c r="J3148" s="14" t="n">
        <v>220</v>
      </c>
      <c r="K3148" s="14"/>
      <c r="L3148" s="16"/>
      <c r="M3148" s="27" t="n">
        <f aca="false">J3148+(K3148/20)+(L3148/240)</f>
        <v>220</v>
      </c>
      <c r="N3148" s="17" t="s">
        <v>64</v>
      </c>
      <c r="O3148" s="11" t="s">
        <v>277</v>
      </c>
      <c r="P3148" s="28" t="n">
        <f aca="false">245/100</f>
        <v>2.45</v>
      </c>
      <c r="Q3148" s="28" t="n">
        <v>539</v>
      </c>
      <c r="R3148" s="28"/>
      <c r="S3148" s="28" t="n">
        <f aca="false">R3148*$M3148</f>
        <v>0</v>
      </c>
      <c r="T3148" s="28" t="n">
        <f aca="false">40119/100</f>
        <v>401.19</v>
      </c>
      <c r="U3148" s="28" t="n">
        <v>88262</v>
      </c>
      <c r="V3148" s="28" t="n">
        <f aca="false">14285/100</f>
        <v>142.85</v>
      </c>
      <c r="W3148" s="28" t="n">
        <v>31427</v>
      </c>
      <c r="X3148" s="28" t="n">
        <f aca="false">62608/100</f>
        <v>626.08</v>
      </c>
      <c r="Y3148" s="28" t="n">
        <v>137738</v>
      </c>
      <c r="Z3148" s="28" t="n">
        <f aca="false">523/100</f>
        <v>5.23</v>
      </c>
      <c r="AA3148" s="28" t="n">
        <v>1151</v>
      </c>
      <c r="AB3148" s="28" t="n">
        <f aca="false">56/100</f>
        <v>0.56</v>
      </c>
      <c r="AC3148" s="28" t="n">
        <v>123</v>
      </c>
      <c r="AD3148" s="28"/>
      <c r="AE3148" s="28" t="n">
        <f aca="false">AD3148*$M3148</f>
        <v>0</v>
      </c>
      <c r="AF3148" s="28"/>
      <c r="AG3148" s="28" t="n">
        <f aca="false">AF3148*$M3148</f>
        <v>0</v>
      </c>
      <c r="AH3148" s="28"/>
      <c r="AI3148" s="28" t="n">
        <f aca="false">AH3148*$M3148</f>
        <v>0</v>
      </c>
      <c r="AJ3148" s="28" t="n">
        <f aca="false">3845/100</f>
        <v>38.45</v>
      </c>
      <c r="AK3148" s="28" t="n">
        <v>8459</v>
      </c>
      <c r="AL3148" s="28" t="n">
        <f aca="false">26510/100</f>
        <v>265.1</v>
      </c>
      <c r="AM3148" s="28" t="n">
        <v>58322</v>
      </c>
      <c r="AN3148" s="28" t="n">
        <f aca="false">330/100</f>
        <v>3.3</v>
      </c>
      <c r="AO3148" s="28" t="n">
        <v>726</v>
      </c>
      <c r="AP3148" s="28"/>
      <c r="AQ3148" s="28" t="n">
        <f aca="false">AP3148*$M3148</f>
        <v>0</v>
      </c>
      <c r="AR3148" s="28"/>
      <c r="AS3148" s="28" t="n">
        <f aca="false">AR3148*$M3148</f>
        <v>0</v>
      </c>
      <c r="AT3148" s="28"/>
      <c r="AU3148" s="28" t="n">
        <f aca="false">AT3148*$M3148</f>
        <v>0</v>
      </c>
      <c r="AV3148" s="28" t="n">
        <f aca="false">1487/100</f>
        <v>14.87</v>
      </c>
      <c r="AW3148" s="28" t="n">
        <v>3271</v>
      </c>
      <c r="AX3148" s="28"/>
      <c r="AY3148" s="28" t="n">
        <f aca="false">AX3148*$M3148</f>
        <v>0</v>
      </c>
      <c r="AZ3148" s="30" t="n">
        <f aca="false">150008/100</f>
        <v>1500.08</v>
      </c>
      <c r="BA3148" s="11" t="n">
        <v>330018</v>
      </c>
      <c r="BB3148" s="31" t="n">
        <f aca="false">SUM(Q3148,S3148,U3148,W3148,Y3148,AA3148,AC3148,AE3148,AG3148,AI3148,AK3148,AM3148,AO3148,AQ3148,AS3148,AU3148,AW3148,AY3148)</f>
        <v>330018</v>
      </c>
      <c r="BC3148" s="28" t="n">
        <f aca="false">BA3148-BB3148</f>
        <v>0</v>
      </c>
      <c r="BD3148" s="32" t="n">
        <f aca="false">SUM(P3148,R3148,T3148,V3148,X3148,Z3148,AB3148,AD3148,AF3148,AH3148,AJ3148,AL3148,AN3148,AP3148,AR3148,AT3148,AV3148,AX3148)</f>
        <v>1500.08</v>
      </c>
      <c r="BE3148" s="33" t="n">
        <f aca="false">AZ3148-BD3148</f>
        <v>0</v>
      </c>
      <c r="BF3148" s="34" t="n">
        <f aca="false">BD3148*M3148</f>
        <v>330017.6</v>
      </c>
      <c r="BG3148" s="35" t="n">
        <f aca="false">BA3148-BF3148</f>
        <v>0.399999999965075</v>
      </c>
      <c r="BH3148" s="19" t="str">
        <f aca="false">IF(BG3148=0,"",IF(BG3148&lt;&gt;BA3148,"erreur de calcul",IF(BD3148&lt;&gt;0,"pas de prix",IF(M3148&lt;&gt; 0,"pas de quantité","pas de prix, ni de quantité"))))</f>
        <v>erreur de calcul</v>
      </c>
      <c r="BI3148" s="19"/>
    </row>
    <row r="3149" customFormat="false" ht="15" hidden="false" customHeight="false" outlineLevel="0" collapsed="false">
      <c r="A3149" s="0" t="n">
        <v>11</v>
      </c>
      <c r="B3149" s="8" t="s">
        <v>24</v>
      </c>
      <c r="C3149" s="9" t="s">
        <v>25</v>
      </c>
      <c r="D3149" s="9" t="s">
        <v>26</v>
      </c>
      <c r="E3149" s="10" t="n">
        <v>1789</v>
      </c>
      <c r="F3149" s="9" t="s">
        <v>27</v>
      </c>
      <c r="G3149" s="9" t="s">
        <v>27</v>
      </c>
      <c r="H3149" s="11" t="n">
        <v>27</v>
      </c>
      <c r="I3149" s="11" t="s">
        <v>422</v>
      </c>
      <c r="J3149" s="14" t="n">
        <v>35</v>
      </c>
      <c r="K3149" s="14"/>
      <c r="L3149" s="16"/>
      <c r="M3149" s="27" t="n">
        <f aca="false">J3149+(K3149/20)+(L3149/240)</f>
        <v>35</v>
      </c>
      <c r="N3149" s="17" t="s">
        <v>64</v>
      </c>
      <c r="O3149" s="11"/>
      <c r="P3149" s="28"/>
      <c r="Q3149" s="28" t="n">
        <f aca="false">P3149*$M3149</f>
        <v>0</v>
      </c>
      <c r="R3149" s="28"/>
      <c r="S3149" s="28" t="n">
        <f aca="false">R3149*$M3149</f>
        <v>0</v>
      </c>
      <c r="T3149" s="28"/>
      <c r="U3149" s="28" t="n">
        <f aca="false">T3149*$M3149</f>
        <v>0</v>
      </c>
      <c r="V3149" s="28"/>
      <c r="W3149" s="28" t="n">
        <f aca="false">V3149*$M3149</f>
        <v>0</v>
      </c>
      <c r="X3149" s="28" t="n">
        <f aca="false">9982/100</f>
        <v>99.82</v>
      </c>
      <c r="Y3149" s="28" t="n">
        <v>3494</v>
      </c>
      <c r="Z3149" s="28"/>
      <c r="AA3149" s="28" t="n">
        <f aca="false">Z3149*$M3149</f>
        <v>0</v>
      </c>
      <c r="AB3149" s="28"/>
      <c r="AC3149" s="28" t="n">
        <f aca="false">AB3149*$M3149</f>
        <v>0</v>
      </c>
      <c r="AD3149" s="28"/>
      <c r="AE3149" s="28" t="n">
        <f aca="false">AD3149*$M3149</f>
        <v>0</v>
      </c>
      <c r="AF3149" s="28"/>
      <c r="AG3149" s="28" t="n">
        <f aca="false">AF3149*$M3149</f>
        <v>0</v>
      </c>
      <c r="AH3149" s="28"/>
      <c r="AI3149" s="28" t="n">
        <f aca="false">AH3149*$M3149</f>
        <v>0</v>
      </c>
      <c r="AJ3149" s="28" t="n">
        <f aca="false">28200/100</f>
        <v>282</v>
      </c>
      <c r="AK3149" s="28" t="n">
        <v>9870</v>
      </c>
      <c r="AL3149" s="28" t="n">
        <f aca="false">163472/100</f>
        <v>1634.72</v>
      </c>
      <c r="AM3149" s="28" t="n">
        <v>57215</v>
      </c>
      <c r="AN3149" s="28"/>
      <c r="AO3149" s="28" t="n">
        <f aca="false">AN3149*$M3149</f>
        <v>0</v>
      </c>
      <c r="AP3149" s="28"/>
      <c r="AQ3149" s="28" t="n">
        <f aca="false">AP3149*$M3149</f>
        <v>0</v>
      </c>
      <c r="AR3149" s="28"/>
      <c r="AS3149" s="28" t="n">
        <f aca="false">AR3149*$M3149</f>
        <v>0</v>
      </c>
      <c r="AT3149" s="28"/>
      <c r="AU3149" s="28" t="n">
        <f aca="false">AT3149*$M3149</f>
        <v>0</v>
      </c>
      <c r="AV3149" s="28" t="n">
        <f aca="false">49250/100</f>
        <v>492.5</v>
      </c>
      <c r="AW3149" s="28" t="n">
        <v>17237</v>
      </c>
      <c r="AX3149" s="28"/>
      <c r="AY3149" s="28" t="n">
        <f aca="false">AX3149*$M3149</f>
        <v>0</v>
      </c>
      <c r="AZ3149" s="30" t="n">
        <f aca="false">250904/100</f>
        <v>2509.04</v>
      </c>
      <c r="BA3149" s="11" t="n">
        <v>87816</v>
      </c>
      <c r="BB3149" s="31" t="n">
        <f aca="false">SUM(Q3149,S3149,U3149,W3149,Y3149,AA3149,AC3149,AE3149,AG3149,AI3149,AK3149,AM3149,AO3149,AQ3149,AS3149,AU3149,AW3149,AY3149)</f>
        <v>87816</v>
      </c>
      <c r="BC3149" s="28" t="n">
        <f aca="false">BA3149-BB3149</f>
        <v>0</v>
      </c>
      <c r="BD3149" s="32" t="n">
        <f aca="false">SUM(P3149,R3149,T3149,V3149,X3149,Z3149,AB3149,AD3149,AF3149,AH3149,AJ3149,AL3149,AN3149,AP3149,AR3149,AT3149,AV3149,AX3149)</f>
        <v>2509.04</v>
      </c>
      <c r="BE3149" s="33" t="n">
        <f aca="false">AZ3149-BD3149</f>
        <v>0</v>
      </c>
      <c r="BF3149" s="34" t="n">
        <f aca="false">BD3149*M3149</f>
        <v>87816.4</v>
      </c>
      <c r="BG3149" s="35" t="n">
        <f aca="false">BA3149-BF3149</f>
        <v>-0.400000000008731</v>
      </c>
      <c r="BH3149" s="19" t="str">
        <f aca="false">IF(BG3149=0,"",IF(BG3149&lt;&gt;BA3149,"erreur de calcul",IF(BD3149&lt;&gt;0,"pas de prix",IF(M3149&lt;&gt; 0,"pas de quantité","pas de prix, ni de quantité"))))</f>
        <v>erreur de calcul</v>
      </c>
      <c r="BI3149" s="19"/>
    </row>
    <row r="3150" customFormat="false" ht="15" hidden="false" customHeight="false" outlineLevel="0" collapsed="false">
      <c r="A3150" s="0" t="n">
        <v>12</v>
      </c>
      <c r="B3150" s="8" t="s">
        <v>24</v>
      </c>
      <c r="C3150" s="9" t="s">
        <v>25</v>
      </c>
      <c r="D3150" s="9" t="s">
        <v>26</v>
      </c>
      <c r="E3150" s="10" t="n">
        <v>1789</v>
      </c>
      <c r="F3150" s="9" t="s">
        <v>27</v>
      </c>
      <c r="G3150" s="9" t="s">
        <v>27</v>
      </c>
      <c r="H3150" s="11" t="n">
        <v>27</v>
      </c>
      <c r="I3150" s="11" t="s">
        <v>423</v>
      </c>
      <c r="J3150" s="14" t="n">
        <v>75</v>
      </c>
      <c r="K3150" s="14"/>
      <c r="L3150" s="16"/>
      <c r="M3150" s="27" t="n">
        <f aca="false">J3150+(K3150/20)+(L3150/240)</f>
        <v>75</v>
      </c>
      <c r="N3150" s="17" t="s">
        <v>64</v>
      </c>
      <c r="O3150" s="11"/>
      <c r="P3150" s="28"/>
      <c r="Q3150" s="28" t="n">
        <f aca="false">P3150*$M3150</f>
        <v>0</v>
      </c>
      <c r="R3150" s="28"/>
      <c r="S3150" s="28" t="n">
        <f aca="false">R3150*$M3150</f>
        <v>0</v>
      </c>
      <c r="T3150" s="28"/>
      <c r="U3150" s="28" t="n">
        <f aca="false">T3150*$M3150</f>
        <v>0</v>
      </c>
      <c r="V3150" s="28" t="n">
        <f aca="false">1030/100</f>
        <v>10.3</v>
      </c>
      <c r="W3150" s="28" t="n">
        <v>772</v>
      </c>
      <c r="X3150" s="28"/>
      <c r="Y3150" s="28" t="n">
        <f aca="false">X3150*$M3150</f>
        <v>0</v>
      </c>
      <c r="Z3150" s="28"/>
      <c r="AA3150" s="28" t="n">
        <f aca="false">Z3150*$M3150</f>
        <v>0</v>
      </c>
      <c r="AB3150" s="28"/>
      <c r="AC3150" s="28" t="n">
        <f aca="false">AB3150*$M3150</f>
        <v>0</v>
      </c>
      <c r="AD3150" s="28"/>
      <c r="AE3150" s="28" t="n">
        <f aca="false">AD3150*$M3150</f>
        <v>0</v>
      </c>
      <c r="AF3150" s="28"/>
      <c r="AG3150" s="28" t="n">
        <f aca="false">AF3150*$M3150</f>
        <v>0</v>
      </c>
      <c r="AH3150" s="28"/>
      <c r="AI3150" s="28" t="n">
        <f aca="false">AH3150*$M3150</f>
        <v>0</v>
      </c>
      <c r="AJ3150" s="28"/>
      <c r="AK3150" s="28" t="n">
        <f aca="false">AJ3150*$M3150</f>
        <v>0</v>
      </c>
      <c r="AL3150" s="28"/>
      <c r="AM3150" s="28" t="n">
        <f aca="false">AL3150*$M3150</f>
        <v>0</v>
      </c>
      <c r="AN3150" s="28"/>
      <c r="AO3150" s="28" t="n">
        <f aca="false">AN3150*$M3150</f>
        <v>0</v>
      </c>
      <c r="AP3150" s="28"/>
      <c r="AQ3150" s="28" t="n">
        <f aca="false">AP3150*$M3150</f>
        <v>0</v>
      </c>
      <c r="AR3150" s="28"/>
      <c r="AS3150" s="28" t="n">
        <f aca="false">AR3150*$M3150</f>
        <v>0</v>
      </c>
      <c r="AT3150" s="28"/>
      <c r="AU3150" s="28" t="n">
        <f aca="false">AT3150*$M3150</f>
        <v>0</v>
      </c>
      <c r="AV3150" s="28"/>
      <c r="AW3150" s="28" t="n">
        <f aca="false">AV3150*$M3150</f>
        <v>0</v>
      </c>
      <c r="AX3150" s="28"/>
      <c r="AY3150" s="28" t="n">
        <f aca="false">AX3150*$M3150</f>
        <v>0</v>
      </c>
      <c r="AZ3150" s="30" t="n">
        <f aca="false">1030/100</f>
        <v>10.3</v>
      </c>
      <c r="BA3150" s="11" t="n">
        <v>772</v>
      </c>
      <c r="BB3150" s="31" t="n">
        <f aca="false">SUM(Q3150,S3150,U3150,W3150,Y3150,AA3150,AC3150,AE3150,AG3150,AI3150,AK3150,AM3150,AO3150,AQ3150,AS3150,AU3150,AW3150,AY3150)</f>
        <v>772</v>
      </c>
      <c r="BC3150" s="28" t="n">
        <f aca="false">BA3150-BB3150</f>
        <v>0</v>
      </c>
      <c r="BD3150" s="32" t="n">
        <f aca="false">SUM(P3150,R3150,T3150,V3150,X3150,Z3150,AB3150,AD3150,AF3150,AH3150,AJ3150,AL3150,AN3150,AP3150,AR3150,AT3150,AV3150,AX3150)</f>
        <v>10.3</v>
      </c>
      <c r="BE3150" s="33" t="n">
        <f aca="false">AZ3150-BD3150</f>
        <v>0</v>
      </c>
      <c r="BF3150" s="34" t="n">
        <f aca="false">BD3150*M3150</f>
        <v>772.5</v>
      </c>
      <c r="BG3150" s="35" t="n">
        <f aca="false">BA3150-BF3150</f>
        <v>-0.5</v>
      </c>
      <c r="BH3150" s="19" t="str">
        <f aca="false">IF(BG3150=0,"",IF(BG3150&lt;&gt;BA3150,"erreur de calcul",IF(BD3150&lt;&gt;0,"pas de prix",IF(M3150&lt;&gt; 0,"pas de quantité","pas de prix, ni de quantité"))))</f>
        <v>erreur de calcul</v>
      </c>
      <c r="BI3150" s="19"/>
    </row>
    <row r="3151" customFormat="false" ht="15" hidden="false" customHeight="false" outlineLevel="0" collapsed="false">
      <c r="A3151" s="0" t="n">
        <v>13</v>
      </c>
      <c r="B3151" s="8" t="s">
        <v>24</v>
      </c>
      <c r="C3151" s="9" t="s">
        <v>25</v>
      </c>
      <c r="D3151" s="9" t="s">
        <v>26</v>
      </c>
      <c r="E3151" s="10" t="n">
        <v>1789</v>
      </c>
      <c r="F3151" s="9" t="s">
        <v>27</v>
      </c>
      <c r="G3151" s="9" t="s">
        <v>27</v>
      </c>
      <c r="H3151" s="11" t="n">
        <v>27</v>
      </c>
      <c r="I3151" s="11" t="s">
        <v>424</v>
      </c>
      <c r="J3151" s="14" t="n">
        <v>6</v>
      </c>
      <c r="K3151" s="14"/>
      <c r="L3151" s="16"/>
      <c r="M3151" s="27" t="n">
        <f aca="false">J3151+(K3151/20)+(L3151/240)</f>
        <v>6</v>
      </c>
      <c r="N3151" s="17" t="s">
        <v>64</v>
      </c>
      <c r="O3151" s="11" t="s">
        <v>277</v>
      </c>
      <c r="P3151" s="28"/>
      <c r="Q3151" s="28" t="n">
        <f aca="false">P3151*$M3151</f>
        <v>0</v>
      </c>
      <c r="R3151" s="28"/>
      <c r="S3151" s="28" t="n">
        <f aca="false">R3151*$M3151</f>
        <v>0</v>
      </c>
      <c r="T3151" s="28"/>
      <c r="U3151" s="28" t="n">
        <f aca="false">T3151*$M3151</f>
        <v>0</v>
      </c>
      <c r="V3151" s="28"/>
      <c r="W3151" s="28" t="n">
        <f aca="false">V3151*$M3151</f>
        <v>0</v>
      </c>
      <c r="X3151" s="28"/>
      <c r="Y3151" s="28" t="n">
        <f aca="false">X3151*$M3151</f>
        <v>0</v>
      </c>
      <c r="Z3151" s="28"/>
      <c r="AA3151" s="28" t="n">
        <f aca="false">Z3151*$M3151</f>
        <v>0</v>
      </c>
      <c r="AB3151" s="28"/>
      <c r="AC3151" s="28" t="n">
        <f aca="false">AB3151*$M3151</f>
        <v>0</v>
      </c>
      <c r="AD3151" s="28"/>
      <c r="AE3151" s="28" t="n">
        <f aca="false">AD3151*$M3151</f>
        <v>0</v>
      </c>
      <c r="AF3151" s="28"/>
      <c r="AG3151" s="28" t="n">
        <f aca="false">AF3151*$M3151</f>
        <v>0</v>
      </c>
      <c r="AH3151" s="28" t="n">
        <f aca="false">9050/100</f>
        <v>90.5</v>
      </c>
      <c r="AI3151" s="28" t="n">
        <v>543</v>
      </c>
      <c r="AJ3151" s="28"/>
      <c r="AK3151" s="28" t="n">
        <f aca="false">AJ3151*$M3151</f>
        <v>0</v>
      </c>
      <c r="AL3151" s="28" t="n">
        <f aca="false">48717/100</f>
        <v>487.17</v>
      </c>
      <c r="AM3151" s="28" t="n">
        <v>2923</v>
      </c>
      <c r="AN3151" s="28"/>
      <c r="AO3151" s="28" t="n">
        <f aca="false">AN3151*$M3151</f>
        <v>0</v>
      </c>
      <c r="AP3151" s="28"/>
      <c r="AQ3151" s="28" t="n">
        <f aca="false">AP3151*$M3151</f>
        <v>0</v>
      </c>
      <c r="AR3151" s="28"/>
      <c r="AS3151" s="28" t="n">
        <f aca="false">AR3151*$M3151</f>
        <v>0</v>
      </c>
      <c r="AT3151" s="28"/>
      <c r="AU3151" s="28" t="n">
        <f aca="false">AT3151*$M3151</f>
        <v>0</v>
      </c>
      <c r="AV3151" s="28"/>
      <c r="AW3151" s="28" t="n">
        <f aca="false">AV3151*$M3151</f>
        <v>0</v>
      </c>
      <c r="AX3151" s="28"/>
      <c r="AY3151" s="28" t="n">
        <f aca="false">AX3151*$M3151</f>
        <v>0</v>
      </c>
      <c r="AZ3151" s="30" t="n">
        <f aca="false">57767/100</f>
        <v>577.67</v>
      </c>
      <c r="BA3151" s="11" t="n">
        <v>3466</v>
      </c>
      <c r="BB3151" s="31" t="n">
        <f aca="false">SUM(Q3151,S3151,U3151,W3151,Y3151,AA3151,AC3151,AE3151,AG3151,AI3151,AK3151,AM3151,AO3151,AQ3151,AS3151,AU3151,AW3151,AY3151)</f>
        <v>3466</v>
      </c>
      <c r="BC3151" s="28" t="n">
        <f aca="false">BA3151-BB3151</f>
        <v>0</v>
      </c>
      <c r="BD3151" s="32" t="n">
        <f aca="false">SUM(P3151,R3151,T3151,V3151,X3151,Z3151,AB3151,AD3151,AF3151,AH3151,AJ3151,AL3151,AN3151,AP3151,AR3151,AT3151,AV3151,AX3151)</f>
        <v>577.67</v>
      </c>
      <c r="BE3151" s="33" t="n">
        <f aca="false">AZ3151-BD3151</f>
        <v>0</v>
      </c>
      <c r="BF3151" s="34" t="n">
        <f aca="false">BD3151*M3151</f>
        <v>3466.02</v>
      </c>
      <c r="BG3151" s="35" t="n">
        <f aca="false">BA3151-BF3151</f>
        <v>-0.0200000000004366</v>
      </c>
      <c r="BH3151" s="19" t="str">
        <f aca="false">IF(BG3151=0,"",IF(BG3151&lt;&gt;BA3151,"erreur de calcul",IF(BD3151&lt;&gt;0,"pas de prix",IF(M3151&lt;&gt; 0,"pas de quantité","pas de prix, ni de quantité"))))</f>
        <v>erreur de calcul</v>
      </c>
      <c r="BI3151" s="19"/>
    </row>
    <row r="3152" customFormat="false" ht="15" hidden="false" customHeight="false" outlineLevel="0" collapsed="false">
      <c r="A3152" s="0" t="n">
        <v>14</v>
      </c>
      <c r="B3152" s="8" t="s">
        <v>24</v>
      </c>
      <c r="C3152" s="9" t="s">
        <v>25</v>
      </c>
      <c r="D3152" s="9" t="s">
        <v>26</v>
      </c>
      <c r="E3152" s="10" t="n">
        <v>1789</v>
      </c>
      <c r="F3152" s="9" t="s">
        <v>27</v>
      </c>
      <c r="G3152" s="9" t="s">
        <v>27</v>
      </c>
      <c r="H3152" s="11" t="n">
        <v>27</v>
      </c>
      <c r="I3152" s="11" t="s">
        <v>425</v>
      </c>
      <c r="J3152" s="14" t="n">
        <v>25</v>
      </c>
      <c r="K3152" s="14"/>
      <c r="L3152" s="16"/>
      <c r="M3152" s="27" t="n">
        <f aca="false">J3152+(K3152/20)+(L3152/240)</f>
        <v>25</v>
      </c>
      <c r="N3152" s="17" t="s">
        <v>64</v>
      </c>
      <c r="O3152" s="11"/>
      <c r="P3152" s="28"/>
      <c r="Q3152" s="28" t="n">
        <f aca="false">P3152*$M3152</f>
        <v>0</v>
      </c>
      <c r="R3152" s="28"/>
      <c r="S3152" s="28" t="n">
        <f aca="false">R3152*$M3152</f>
        <v>0</v>
      </c>
      <c r="T3152" s="28" t="n">
        <f aca="false">10*288*0.02+114*0.02</f>
        <v>59.88</v>
      </c>
      <c r="U3152" s="28" t="n">
        <v>1497</v>
      </c>
      <c r="V3152" s="28"/>
      <c r="W3152" s="28" t="n">
        <f aca="false">V3152*$M3152</f>
        <v>0</v>
      </c>
      <c r="X3152" s="28"/>
      <c r="Y3152" s="28" t="n">
        <f aca="false">X3152*$M3152</f>
        <v>0</v>
      </c>
      <c r="Z3152" s="28"/>
      <c r="AA3152" s="28" t="n">
        <f aca="false">Z3152*$M3152</f>
        <v>0</v>
      </c>
      <c r="AB3152" s="28"/>
      <c r="AC3152" s="28" t="n">
        <f aca="false">AB3152*$M3152</f>
        <v>0</v>
      </c>
      <c r="AD3152" s="28"/>
      <c r="AE3152" s="28" t="n">
        <f aca="false">AD3152*$M3152</f>
        <v>0</v>
      </c>
      <c r="AF3152" s="28"/>
      <c r="AG3152" s="28" t="n">
        <f aca="false">AF3152*$M3152</f>
        <v>0</v>
      </c>
      <c r="AH3152" s="28"/>
      <c r="AI3152" s="28" t="n">
        <f aca="false">AH3152*$M3152</f>
        <v>0</v>
      </c>
      <c r="AJ3152" s="28"/>
      <c r="AK3152" s="28" t="n">
        <f aca="false">AJ3152*$M3152</f>
        <v>0</v>
      </c>
      <c r="AL3152" s="28"/>
      <c r="AM3152" s="28" t="n">
        <f aca="false">AL3152*$M3152</f>
        <v>0</v>
      </c>
      <c r="AN3152" s="28"/>
      <c r="AO3152" s="28" t="n">
        <f aca="false">AN3152*$M3152</f>
        <v>0</v>
      </c>
      <c r="AP3152" s="28"/>
      <c r="AQ3152" s="28" t="n">
        <f aca="false">AP3152*$M3152</f>
        <v>0</v>
      </c>
      <c r="AR3152" s="28"/>
      <c r="AS3152" s="28" t="n">
        <f aca="false">AR3152*$M3152</f>
        <v>0</v>
      </c>
      <c r="AT3152" s="28"/>
      <c r="AU3152" s="28" t="n">
        <f aca="false">AT3152*$M3152</f>
        <v>0</v>
      </c>
      <c r="AV3152" s="28"/>
      <c r="AW3152" s="28" t="n">
        <f aca="false">AV3152*$M3152</f>
        <v>0</v>
      </c>
      <c r="AX3152" s="28"/>
      <c r="AY3152" s="28" t="n">
        <f aca="false">AX3152*$M3152</f>
        <v>0</v>
      </c>
      <c r="AZ3152" s="30" t="n">
        <f aca="false">10*288*0.02+114*0.02</f>
        <v>59.88</v>
      </c>
      <c r="BA3152" s="11" t="n">
        <v>1497</v>
      </c>
      <c r="BB3152" s="31" t="n">
        <f aca="false">SUM(Q3152,S3152,U3152,W3152,Y3152,AA3152,AC3152,AE3152,AG3152,AI3152,AK3152,AM3152,AO3152,AQ3152,AS3152,AU3152,AW3152,AY3152)</f>
        <v>1497</v>
      </c>
      <c r="BC3152" s="28" t="n">
        <f aca="false">BA3152-BB3152</f>
        <v>0</v>
      </c>
      <c r="BD3152" s="32" t="n">
        <f aca="false">SUM(P3152,R3152,T3152,V3152,X3152,Z3152,AB3152,AD3152,AF3152,AH3152,AJ3152,AL3152,AN3152,AP3152,AR3152,AT3152,AV3152,AX3152)</f>
        <v>59.88</v>
      </c>
      <c r="BE3152" s="33" t="n">
        <f aca="false">AZ3152-BD3152</f>
        <v>0</v>
      </c>
      <c r="BF3152" s="34" t="n">
        <f aca="false">BD3152*M3152</f>
        <v>1497</v>
      </c>
      <c r="BG3152" s="35" t="n">
        <f aca="false">BA3152-BF3152</f>
        <v>0</v>
      </c>
      <c r="BH3152" s="19" t="str">
        <f aca="false">IF(BG3152=0,"",IF(BG3152&lt;&gt;BA3152,"erreur de calcul",IF(BD3152&lt;&gt;0,"pas de prix",IF(M3152&lt;&gt; 0,"pas de quantité","pas de prix, ni de quantité"))))</f>
        <v/>
      </c>
      <c r="BI3152" s="19"/>
    </row>
    <row r="3153" customFormat="false" ht="15" hidden="false" customHeight="false" outlineLevel="0" collapsed="false">
      <c r="A3153" s="0" t="n">
        <v>15</v>
      </c>
      <c r="B3153" s="8" t="s">
        <v>24</v>
      </c>
      <c r="C3153" s="9" t="s">
        <v>25</v>
      </c>
      <c r="D3153" s="9" t="s">
        <v>26</v>
      </c>
      <c r="E3153" s="10" t="n">
        <v>1789</v>
      </c>
      <c r="F3153" s="9" t="s">
        <v>27</v>
      </c>
      <c r="G3153" s="9" t="s">
        <v>27</v>
      </c>
      <c r="H3153" s="11" t="n">
        <v>27</v>
      </c>
      <c r="I3153" s="11" t="s">
        <v>426</v>
      </c>
      <c r="J3153" s="14" t="n">
        <v>40</v>
      </c>
      <c r="K3153" s="14"/>
      <c r="L3153" s="16"/>
      <c r="M3153" s="27" t="n">
        <f aca="false">J3153+(K3153/20)+(L3153/240)</f>
        <v>40</v>
      </c>
      <c r="N3153" s="17" t="s">
        <v>64</v>
      </c>
      <c r="O3153" s="11"/>
      <c r="P3153" s="28"/>
      <c r="Q3153" s="28" t="n">
        <f aca="false">P3153*$M3153</f>
        <v>0</v>
      </c>
      <c r="R3153" s="28"/>
      <c r="S3153" s="28" t="n">
        <f aca="false">R3153*$M3153</f>
        <v>0</v>
      </c>
      <c r="T3153" s="28"/>
      <c r="U3153" s="28" t="n">
        <f aca="false">T3153*$M3153</f>
        <v>0</v>
      </c>
      <c r="V3153" s="28"/>
      <c r="W3153" s="28" t="n">
        <f aca="false">V3153*$M3153</f>
        <v>0</v>
      </c>
      <c r="X3153" s="28"/>
      <c r="Y3153" s="28" t="n">
        <f aca="false">X3153*$M3153</f>
        <v>0</v>
      </c>
      <c r="Z3153" s="28"/>
      <c r="AA3153" s="28" t="n">
        <f aca="false">Z3153*$M3153</f>
        <v>0</v>
      </c>
      <c r="AB3153" s="28"/>
      <c r="AC3153" s="28" t="n">
        <f aca="false">AB3153*$M3153</f>
        <v>0</v>
      </c>
      <c r="AD3153" s="28"/>
      <c r="AE3153" s="28" t="n">
        <f aca="false">AD3153*$M3153</f>
        <v>0</v>
      </c>
      <c r="AF3153" s="28"/>
      <c r="AG3153" s="28" t="n">
        <f aca="false">AF3153*$M3153</f>
        <v>0</v>
      </c>
      <c r="AH3153" s="28" t="n">
        <f aca="false">1*288*0.02+59*0.02</f>
        <v>6.94</v>
      </c>
      <c r="AI3153" s="28" t="n">
        <v>278</v>
      </c>
      <c r="AJ3153" s="28"/>
      <c r="AK3153" s="28" t="n">
        <f aca="false">AJ3153*$M3153</f>
        <v>0</v>
      </c>
      <c r="AL3153" s="28"/>
      <c r="AM3153" s="28" t="n">
        <f aca="false">AL3153*$M3153</f>
        <v>0</v>
      </c>
      <c r="AN3153" s="28"/>
      <c r="AO3153" s="28" t="n">
        <f aca="false">AN3153*$M3153</f>
        <v>0</v>
      </c>
      <c r="AP3153" s="28"/>
      <c r="AQ3153" s="28" t="n">
        <f aca="false">AP3153*$M3153</f>
        <v>0</v>
      </c>
      <c r="AR3153" s="28"/>
      <c r="AS3153" s="28" t="n">
        <f aca="false">AR3153*$M3153</f>
        <v>0</v>
      </c>
      <c r="AT3153" s="28"/>
      <c r="AU3153" s="28" t="n">
        <f aca="false">AT3153*$M3153</f>
        <v>0</v>
      </c>
      <c r="AV3153" s="28"/>
      <c r="AW3153" s="28" t="n">
        <f aca="false">AV3153*$M3153</f>
        <v>0</v>
      </c>
      <c r="AX3153" s="28"/>
      <c r="AY3153" s="28" t="n">
        <f aca="false">AX3153*$M3153</f>
        <v>0</v>
      </c>
      <c r="AZ3153" s="30" t="n">
        <f aca="false">1*288*0.02+59*0.02</f>
        <v>6.94</v>
      </c>
      <c r="BA3153" s="11" t="n">
        <v>278</v>
      </c>
      <c r="BB3153" s="31" t="n">
        <f aca="false">SUM(Q3153,S3153,U3153,W3153,Y3153,AA3153,AC3153,AE3153,AG3153,AI3153,AK3153,AM3153,AO3153,AQ3153,AS3153,AU3153,AW3153,AY3153)</f>
        <v>278</v>
      </c>
      <c r="BC3153" s="28" t="n">
        <f aca="false">BA3153-BB3153</f>
        <v>0</v>
      </c>
      <c r="BD3153" s="32" t="n">
        <f aca="false">SUM(P3153,R3153,T3153,V3153,X3153,Z3153,AB3153,AD3153,AF3153,AH3153,AJ3153,AL3153,AN3153,AP3153,AR3153,AT3153,AV3153,AX3153)</f>
        <v>6.94</v>
      </c>
      <c r="BE3153" s="33" t="n">
        <f aca="false">AZ3153-BD3153</f>
        <v>0</v>
      </c>
      <c r="BF3153" s="34" t="n">
        <f aca="false">BD3153*M3153</f>
        <v>277.6</v>
      </c>
      <c r="BG3153" s="35" t="n">
        <f aca="false">BA3153-BF3153</f>
        <v>0.400000000000034</v>
      </c>
      <c r="BH3153" s="19" t="str">
        <f aca="false">IF(BG3153=0,"",IF(BG3153&lt;&gt;BA3153,"erreur de calcul",IF(BD3153&lt;&gt;0,"pas de prix",IF(M3153&lt;&gt; 0,"pas de quantité","pas de prix, ni de quantité"))))</f>
        <v>erreur de calcul</v>
      </c>
      <c r="BI3153" s="19"/>
    </row>
    <row r="3154" customFormat="false" ht="15" hidden="false" customHeight="false" outlineLevel="0" collapsed="false">
      <c r="A3154" s="0" t="n">
        <v>16</v>
      </c>
      <c r="B3154" s="8" t="s">
        <v>24</v>
      </c>
      <c r="C3154" s="9" t="s">
        <v>25</v>
      </c>
      <c r="D3154" s="9" t="s">
        <v>26</v>
      </c>
      <c r="E3154" s="10" t="n">
        <v>1789</v>
      </c>
      <c r="F3154" s="9" t="s">
        <v>27</v>
      </c>
      <c r="G3154" s="9" t="s">
        <v>27</v>
      </c>
      <c r="H3154" s="11" t="n">
        <v>27</v>
      </c>
      <c r="I3154" s="11" t="s">
        <v>427</v>
      </c>
      <c r="J3154" s="14" t="n">
        <v>32</v>
      </c>
      <c r="K3154" s="14"/>
      <c r="L3154" s="16"/>
      <c r="M3154" s="27" t="n">
        <f aca="false">J3154+(K3154/20)+(L3154/240)</f>
        <v>32</v>
      </c>
      <c r="N3154" s="17" t="s">
        <v>64</v>
      </c>
      <c r="O3154" s="11"/>
      <c r="P3154" s="28" t="n">
        <f aca="false">33*288*0.02+179*0.02</f>
        <v>193.66</v>
      </c>
      <c r="Q3154" s="28" t="n">
        <v>6197</v>
      </c>
      <c r="R3154" s="28"/>
      <c r="S3154" s="28" t="n">
        <f aca="false">R3154*$M3154</f>
        <v>0</v>
      </c>
      <c r="T3154" s="28"/>
      <c r="U3154" s="28" t="n">
        <f aca="false">T3154*$M3154</f>
        <v>0</v>
      </c>
      <c r="V3154" s="28"/>
      <c r="W3154" s="28" t="n">
        <f aca="false">V3154*$M3154</f>
        <v>0</v>
      </c>
      <c r="X3154" s="28"/>
      <c r="Y3154" s="28" t="n">
        <f aca="false">X3154*$M3154</f>
        <v>0</v>
      </c>
      <c r="Z3154" s="28"/>
      <c r="AA3154" s="28" t="n">
        <f aca="false">Z3154*$M3154</f>
        <v>0</v>
      </c>
      <c r="AB3154" s="28"/>
      <c r="AC3154" s="28" t="n">
        <f aca="false">AB3154*$M3154</f>
        <v>0</v>
      </c>
      <c r="AD3154" s="28"/>
      <c r="AE3154" s="28" t="n">
        <f aca="false">AD3154*$M3154</f>
        <v>0</v>
      </c>
      <c r="AF3154" s="28"/>
      <c r="AG3154" s="28" t="n">
        <f aca="false">AF3154*$M3154</f>
        <v>0</v>
      </c>
      <c r="AH3154" s="28"/>
      <c r="AI3154" s="28" t="n">
        <f aca="false">AH3154*$M3154</f>
        <v>0</v>
      </c>
      <c r="AJ3154" s="28"/>
      <c r="AK3154" s="28" t="n">
        <f aca="false">AJ3154*$M3154</f>
        <v>0</v>
      </c>
      <c r="AL3154" s="28"/>
      <c r="AM3154" s="28" t="n">
        <f aca="false">AL3154*$M3154</f>
        <v>0</v>
      </c>
      <c r="AN3154" s="28"/>
      <c r="AO3154" s="28" t="n">
        <f aca="false">AN3154*$M3154</f>
        <v>0</v>
      </c>
      <c r="AP3154" s="28"/>
      <c r="AQ3154" s="28" t="n">
        <f aca="false">AP3154*$M3154</f>
        <v>0</v>
      </c>
      <c r="AR3154" s="28"/>
      <c r="AS3154" s="28" t="n">
        <f aca="false">AR3154*$M3154</f>
        <v>0</v>
      </c>
      <c r="AT3154" s="28"/>
      <c r="AU3154" s="28" t="n">
        <f aca="false">AT3154*$M3154</f>
        <v>0</v>
      </c>
      <c r="AV3154" s="28"/>
      <c r="AW3154" s="28" t="n">
        <f aca="false">AV3154*$M3154</f>
        <v>0</v>
      </c>
      <c r="AX3154" s="28"/>
      <c r="AY3154" s="28" t="n">
        <f aca="false">AX3154*$M3154</f>
        <v>0</v>
      </c>
      <c r="AZ3154" s="30" t="n">
        <f aca="false">33*288*0.02+179*0.02</f>
        <v>193.66</v>
      </c>
      <c r="BA3154" s="11" t="n">
        <v>6197</v>
      </c>
      <c r="BB3154" s="31" t="n">
        <f aca="false">SUM(Q3154,S3154,U3154,W3154,Y3154,AA3154,AC3154,AE3154,AG3154,AI3154,AK3154,AM3154,AO3154,AQ3154,AS3154,AU3154,AW3154,AY3154)</f>
        <v>6197</v>
      </c>
      <c r="BC3154" s="28" t="n">
        <f aca="false">BA3154-BB3154</f>
        <v>0</v>
      </c>
      <c r="BD3154" s="32" t="n">
        <f aca="false">SUM(P3154,R3154,T3154,V3154,X3154,Z3154,AB3154,AD3154,AF3154,AH3154,AJ3154,AL3154,AN3154,AP3154,AR3154,AT3154,AV3154,AX3154)</f>
        <v>193.66</v>
      </c>
      <c r="BE3154" s="33" t="n">
        <f aca="false">AZ3154-BD3154</f>
        <v>0</v>
      </c>
      <c r="BF3154" s="34" t="n">
        <f aca="false">BD3154*M3154</f>
        <v>6197.12</v>
      </c>
      <c r="BG3154" s="35" t="n">
        <f aca="false">BA3154-BF3154</f>
        <v>-0.1200000000008</v>
      </c>
      <c r="BH3154" s="19" t="str">
        <f aca="false">IF(BG3154=0,"",IF(BG3154&lt;&gt;BA3154,"erreur de calcul",IF(BD3154&lt;&gt;0,"pas de prix",IF(M3154&lt;&gt; 0,"pas de quantité","pas de prix, ni de quantité"))))</f>
        <v>erreur de calcul</v>
      </c>
      <c r="BI3154" s="19"/>
    </row>
    <row r="3155" customFormat="false" ht="15" hidden="false" customHeight="false" outlineLevel="0" collapsed="false">
      <c r="A3155" s="0" t="n">
        <v>17</v>
      </c>
      <c r="B3155" s="8" t="s">
        <v>24</v>
      </c>
      <c r="C3155" s="9" t="s">
        <v>25</v>
      </c>
      <c r="D3155" s="9" t="s">
        <v>26</v>
      </c>
      <c r="E3155" s="10" t="n">
        <v>1789</v>
      </c>
      <c r="F3155" s="9" t="s">
        <v>27</v>
      </c>
      <c r="G3155" s="9" t="s">
        <v>27</v>
      </c>
      <c r="H3155" s="11" t="n">
        <v>27</v>
      </c>
      <c r="I3155" s="11" t="s">
        <v>428</v>
      </c>
      <c r="J3155" s="14"/>
      <c r="K3155" s="14" t="n">
        <v>12</v>
      </c>
      <c r="L3155" s="16"/>
      <c r="M3155" s="27" t="n">
        <f aca="false">J3155+(K3155/20)+(L3155/240)</f>
        <v>0.6</v>
      </c>
      <c r="N3155" s="17" t="s">
        <v>429</v>
      </c>
      <c r="O3155" s="11"/>
      <c r="P3155" s="28" t="n">
        <f aca="false">620*288+173</f>
        <v>178733</v>
      </c>
      <c r="Q3155" s="28" t="n">
        <v>107240</v>
      </c>
      <c r="R3155" s="28"/>
      <c r="S3155" s="28" t="n">
        <f aca="false">R3155*$M3155</f>
        <v>0</v>
      </c>
      <c r="T3155" s="28"/>
      <c r="U3155" s="28" t="n">
        <f aca="false">T3155*$M3155</f>
        <v>0</v>
      </c>
      <c r="V3155" s="28" t="n">
        <f aca="false">4*288+179</f>
        <v>1331</v>
      </c>
      <c r="W3155" s="28" t="n">
        <v>799</v>
      </c>
      <c r="X3155" s="28"/>
      <c r="Y3155" s="28" t="n">
        <f aca="false">X3155*$M3155</f>
        <v>0</v>
      </c>
      <c r="Z3155" s="28"/>
      <c r="AA3155" s="28" t="n">
        <f aca="false">Z3155*$M3155</f>
        <v>0</v>
      </c>
      <c r="AB3155" s="28"/>
      <c r="AC3155" s="28" t="n">
        <f aca="false">AB3155*$M3155</f>
        <v>0</v>
      </c>
      <c r="AD3155" s="28"/>
      <c r="AE3155" s="28" t="n">
        <f aca="false">AD3155*$M3155</f>
        <v>0</v>
      </c>
      <c r="AF3155" s="28"/>
      <c r="AG3155" s="28" t="n">
        <f aca="false">AF3155*$M3155</f>
        <v>0</v>
      </c>
      <c r="AH3155" s="28" t="n">
        <f aca="false">12*288+227</f>
        <v>3683</v>
      </c>
      <c r="AI3155" s="28" t="n">
        <v>2210</v>
      </c>
      <c r="AJ3155" s="28"/>
      <c r="AK3155" s="28" t="n">
        <f aca="false">AJ3155*$M3155</f>
        <v>0</v>
      </c>
      <c r="AL3155" s="28"/>
      <c r="AM3155" s="28" t="n">
        <f aca="false">AL3155*$M3155</f>
        <v>0</v>
      </c>
      <c r="AN3155" s="28"/>
      <c r="AO3155" s="28" t="n">
        <f aca="false">AN3155*$M3155</f>
        <v>0</v>
      </c>
      <c r="AP3155" s="28"/>
      <c r="AQ3155" s="28" t="n">
        <f aca="false">AP3155*$M3155</f>
        <v>0</v>
      </c>
      <c r="AR3155" s="28"/>
      <c r="AS3155" s="28" t="n">
        <f aca="false">AR3155*$M3155</f>
        <v>0</v>
      </c>
      <c r="AT3155" s="28"/>
      <c r="AU3155" s="28" t="n">
        <f aca="false">AT3155*$M3155</f>
        <v>0</v>
      </c>
      <c r="AV3155" s="28"/>
      <c r="AW3155" s="28" t="n">
        <f aca="false">AV3155*$M3155</f>
        <v>0</v>
      </c>
      <c r="AX3155" s="28"/>
      <c r="AY3155" s="28" t="n">
        <f aca="false">AX3155*$M3155</f>
        <v>0</v>
      </c>
      <c r="AZ3155" s="30" t="n">
        <f aca="false">638*288+3</f>
        <v>183747</v>
      </c>
      <c r="BA3155" s="11" t="n">
        <v>110249</v>
      </c>
      <c r="BB3155" s="31" t="n">
        <f aca="false">SUM(Q3155,S3155,U3155,W3155,Y3155,AA3155,AC3155,AE3155,AG3155,AI3155,AK3155,AM3155,AO3155,AQ3155,AS3155,AU3155,AW3155,AY3155)</f>
        <v>110249</v>
      </c>
      <c r="BC3155" s="28" t="n">
        <f aca="false">BA3155-BB3155</f>
        <v>0</v>
      </c>
      <c r="BD3155" s="32" t="n">
        <f aca="false">SUM(P3155,R3155,T3155,V3155,X3155,Z3155,AB3155,AD3155,AF3155,AH3155,AJ3155,AL3155,AN3155,AP3155,AR3155,AT3155,AV3155,AX3155)</f>
        <v>183747</v>
      </c>
      <c r="BE3155" s="33" t="n">
        <f aca="false">AZ3155-BD3155</f>
        <v>0</v>
      </c>
      <c r="BF3155" s="34" t="n">
        <f aca="false">BD3155*M3155</f>
        <v>110248.2</v>
      </c>
      <c r="BG3155" s="35" t="n">
        <f aca="false">BA3155-BF3155</f>
        <v>0.80000000000291</v>
      </c>
      <c r="BH3155" s="19" t="str">
        <f aca="false">IF(BG3155=0,"",IF(BG3155&lt;&gt;BA3155,"erreur de calcul",IF(BD3155&lt;&gt;0,"pas de prix",IF(M3155&lt;&gt; 0,"pas de quantité","pas de prix, ni de quantité"))))</f>
        <v>erreur de calcul</v>
      </c>
      <c r="BI3155" s="19"/>
    </row>
    <row r="3156" customFormat="false" ht="15" hidden="false" customHeight="false" outlineLevel="0" collapsed="false">
      <c r="A3156" s="0" t="n">
        <v>18</v>
      </c>
      <c r="B3156" s="8" t="s">
        <v>24</v>
      </c>
      <c r="C3156" s="9" t="s">
        <v>25</v>
      </c>
      <c r="D3156" s="9" t="s">
        <v>26</v>
      </c>
      <c r="E3156" s="10" t="n">
        <v>1789</v>
      </c>
      <c r="F3156" s="9" t="s">
        <v>27</v>
      </c>
      <c r="G3156" s="9" t="s">
        <v>27</v>
      </c>
      <c r="H3156" s="11" t="n">
        <v>27</v>
      </c>
      <c r="I3156" s="11" t="s">
        <v>430</v>
      </c>
      <c r="J3156" s="14" t="n">
        <v>30</v>
      </c>
      <c r="K3156" s="14"/>
      <c r="L3156" s="16"/>
      <c r="M3156" s="27" t="n">
        <f aca="false">J3156+(K3156/20)+(L3156/240)</f>
        <v>30</v>
      </c>
      <c r="N3156" s="17" t="s">
        <v>64</v>
      </c>
      <c r="O3156" s="11" t="s">
        <v>77</v>
      </c>
      <c r="P3156" s="28"/>
      <c r="Q3156" s="28" t="n">
        <f aca="false">P3156*$M3156</f>
        <v>0</v>
      </c>
      <c r="R3156" s="28"/>
      <c r="S3156" s="28" t="n">
        <f aca="false">R3156*$M3156</f>
        <v>0</v>
      </c>
      <c r="T3156" s="28" t="n">
        <f aca="false">3*288*0.02+162*0.02</f>
        <v>20.52</v>
      </c>
      <c r="U3156" s="28" t="n">
        <v>616</v>
      </c>
      <c r="V3156" s="28"/>
      <c r="W3156" s="28" t="n">
        <f aca="false">V3156*$M3156</f>
        <v>0</v>
      </c>
      <c r="X3156" s="28" t="n">
        <f aca="false">4*288*0.02+17*0.02</f>
        <v>23.38</v>
      </c>
      <c r="Y3156" s="28" t="n">
        <v>702</v>
      </c>
      <c r="Z3156" s="28" t="n">
        <f aca="false">3*288*0.02+169*0.02</f>
        <v>20.66</v>
      </c>
      <c r="AA3156" s="28" t="n">
        <v>620</v>
      </c>
      <c r="AB3156" s="28" t="n">
        <f aca="false">10*288*0.02+224*0.02</f>
        <v>62.08</v>
      </c>
      <c r="AC3156" s="28" t="n">
        <v>1863</v>
      </c>
      <c r="AD3156" s="28"/>
      <c r="AE3156" s="28" t="n">
        <f aca="false">AD3156*$M3156</f>
        <v>0</v>
      </c>
      <c r="AF3156" s="28"/>
      <c r="AG3156" s="28" t="n">
        <f aca="false">AF3156*$M3156</f>
        <v>0</v>
      </c>
      <c r="AH3156" s="28" t="n">
        <f aca="false">200*0.02</f>
        <v>4</v>
      </c>
      <c r="AI3156" s="28" t="n">
        <v>120</v>
      </c>
      <c r="AJ3156" s="28"/>
      <c r="AK3156" s="28" t="n">
        <f aca="false">AJ3156*$M3156</f>
        <v>0</v>
      </c>
      <c r="AL3156" s="28"/>
      <c r="AM3156" s="28" t="n">
        <f aca="false">AL3156*$M3156</f>
        <v>0</v>
      </c>
      <c r="AN3156" s="28"/>
      <c r="AO3156" s="28" t="n">
        <f aca="false">AN3156*$M3156</f>
        <v>0</v>
      </c>
      <c r="AP3156" s="28"/>
      <c r="AQ3156" s="28" t="n">
        <f aca="false">AP3156*$M3156</f>
        <v>0</v>
      </c>
      <c r="AR3156" s="28"/>
      <c r="AS3156" s="28" t="n">
        <f aca="false">AR3156*$M3156</f>
        <v>0</v>
      </c>
      <c r="AT3156" s="28"/>
      <c r="AU3156" s="28" t="n">
        <f aca="false">AT3156*$M3156</f>
        <v>0</v>
      </c>
      <c r="AV3156" s="28"/>
      <c r="AW3156" s="28" t="n">
        <f aca="false">AV3156*$M3156</f>
        <v>0</v>
      </c>
      <c r="AX3156" s="28"/>
      <c r="AY3156" s="28" t="n">
        <f aca="false">AX3156*$M3156</f>
        <v>0</v>
      </c>
      <c r="AZ3156" s="30" t="n">
        <f aca="false">22*288*0.02+196*0.02</f>
        <v>130.64</v>
      </c>
      <c r="BA3156" s="11" t="n">
        <v>3921</v>
      </c>
      <c r="BB3156" s="31" t="n">
        <f aca="false">SUM(Q3156,S3156,U3156,W3156,Y3156,AA3156,AC3156,AE3156,AG3156,AI3156,AK3156,AM3156,AO3156,AQ3156,AS3156,AU3156,AW3156,AY3156)</f>
        <v>3921</v>
      </c>
      <c r="BC3156" s="28" t="n">
        <f aca="false">BA3156-BB3156</f>
        <v>0</v>
      </c>
      <c r="BD3156" s="32" t="n">
        <f aca="false">SUM(P3156,R3156,T3156,V3156,X3156,Z3156,AB3156,AD3156,AF3156,AH3156,AJ3156,AL3156,AN3156,AP3156,AR3156,AT3156,AV3156,AX3156)</f>
        <v>130.64</v>
      </c>
      <c r="BE3156" s="33" t="n">
        <f aca="false">AZ3156-BD3156</f>
        <v>0</v>
      </c>
      <c r="BF3156" s="34" t="n">
        <f aca="false">BD3156*M3156</f>
        <v>3919.2</v>
      </c>
      <c r="BG3156" s="35" t="n">
        <f aca="false">BA3156-BF3156</f>
        <v>1.80000000000018</v>
      </c>
      <c r="BH3156" s="19" t="str">
        <f aca="false">IF(BG3156=0,"",IF(BG3156&lt;&gt;BA3156,"erreur de calcul",IF(BD3156&lt;&gt;0,"pas de prix",IF(M3156&lt;&gt; 0,"pas de quantité","pas de prix, ni de quantité"))))</f>
        <v>erreur de calcul</v>
      </c>
      <c r="BI3156" s="19"/>
    </row>
    <row r="3157" customFormat="false" ht="15" hidden="false" customHeight="false" outlineLevel="0" collapsed="false">
      <c r="A3157" s="0" t="n">
        <v>19</v>
      </c>
      <c r="B3157" s="8" t="s">
        <v>24</v>
      </c>
      <c r="C3157" s="9" t="s">
        <v>25</v>
      </c>
      <c r="D3157" s="9" t="s">
        <v>26</v>
      </c>
      <c r="E3157" s="10" t="n">
        <v>1789</v>
      </c>
      <c r="F3157" s="9" t="s">
        <v>27</v>
      </c>
      <c r="G3157" s="9" t="s">
        <v>27</v>
      </c>
      <c r="H3157" s="11" t="n">
        <v>27</v>
      </c>
      <c r="I3157" s="11" t="s">
        <v>431</v>
      </c>
      <c r="J3157" s="14" t="n">
        <v>10</v>
      </c>
      <c r="K3157" s="14"/>
      <c r="L3157" s="16"/>
      <c r="M3157" s="27" t="n">
        <f aca="false">J3157+(K3157/20)+(L3157/240)</f>
        <v>10</v>
      </c>
      <c r="N3157" s="17" t="s">
        <v>432</v>
      </c>
      <c r="O3157" s="11" t="s">
        <v>109</v>
      </c>
      <c r="P3157" s="28" t="n">
        <f aca="false">105*(288/62.5)+135/62.5</f>
        <v>486</v>
      </c>
      <c r="Q3157" s="28" t="n">
        <v>4860</v>
      </c>
      <c r="R3157" s="28"/>
      <c r="S3157" s="28" t="n">
        <f aca="false">R3157*$M3157</f>
        <v>0</v>
      </c>
      <c r="T3157" s="28" t="n">
        <f aca="false">8*(288/62.5)+196/62.5</f>
        <v>40</v>
      </c>
      <c r="U3157" s="28" t="n">
        <v>400</v>
      </c>
      <c r="V3157" s="28"/>
      <c r="W3157" s="28" t="n">
        <f aca="false">V3157*$M3157</f>
        <v>0</v>
      </c>
      <c r="X3157" s="28"/>
      <c r="Y3157" s="28" t="n">
        <f aca="false">X3157*$M3157</f>
        <v>0</v>
      </c>
      <c r="Z3157" s="28"/>
      <c r="AA3157" s="28" t="n">
        <f aca="false">Z3157*$M3157</f>
        <v>0</v>
      </c>
      <c r="AB3157" s="28"/>
      <c r="AC3157" s="28" t="n">
        <f aca="false">AB3157*$M3157</f>
        <v>0</v>
      </c>
      <c r="AD3157" s="28"/>
      <c r="AE3157" s="28" t="n">
        <f aca="false">AD3157*$M3157</f>
        <v>0</v>
      </c>
      <c r="AF3157" s="28"/>
      <c r="AG3157" s="28" t="n">
        <f aca="false">AF3157*$M3157</f>
        <v>0</v>
      </c>
      <c r="AH3157" s="28"/>
      <c r="AI3157" s="28" t="n">
        <f aca="false">AH3157*$M3157</f>
        <v>0</v>
      </c>
      <c r="AJ3157" s="28"/>
      <c r="AK3157" s="28" t="n">
        <f aca="false">AJ3157*$M3157</f>
        <v>0</v>
      </c>
      <c r="AL3157" s="28"/>
      <c r="AM3157" s="28" t="n">
        <f aca="false">AL3157*$M3157</f>
        <v>0</v>
      </c>
      <c r="AN3157" s="28"/>
      <c r="AO3157" s="28" t="n">
        <f aca="false">AN3157*$M3157</f>
        <v>0</v>
      </c>
      <c r="AP3157" s="28"/>
      <c r="AQ3157" s="28" t="n">
        <f aca="false">AP3157*$M3157</f>
        <v>0</v>
      </c>
      <c r="AR3157" s="28"/>
      <c r="AS3157" s="28" t="n">
        <f aca="false">AR3157*$M3157</f>
        <v>0</v>
      </c>
      <c r="AT3157" s="28"/>
      <c r="AU3157" s="28" t="n">
        <f aca="false">AT3157*$M3157</f>
        <v>0</v>
      </c>
      <c r="AV3157" s="28"/>
      <c r="AW3157" s="28" t="n">
        <f aca="false">AV3157*$M3157</f>
        <v>0</v>
      </c>
      <c r="AX3157" s="28"/>
      <c r="AY3157" s="28" t="n">
        <f aca="false">AX3157*$M3157</f>
        <v>0</v>
      </c>
      <c r="AZ3157" s="30" t="n">
        <f aca="false">114*(288/62.5)+43/62.5</f>
        <v>526</v>
      </c>
      <c r="BA3157" s="11" t="n">
        <v>5260</v>
      </c>
      <c r="BB3157" s="31" t="n">
        <f aca="false">SUM(Q3157,S3157,U3157,W3157,Y3157,AA3157,AC3157,AE3157,AG3157,AI3157,AK3157,AM3157,AO3157,AQ3157,AS3157,AU3157,AW3157,AY3157)</f>
        <v>5260</v>
      </c>
      <c r="BC3157" s="28" t="n">
        <f aca="false">BA3157-BB3157</f>
        <v>0</v>
      </c>
      <c r="BD3157" s="32" t="n">
        <f aca="false">SUM(P3157,R3157,T3157,V3157,X3157,Z3157,AB3157,AD3157,AF3157,AH3157,AJ3157,AL3157,AN3157,AP3157,AR3157,AT3157,AV3157,AX3157)</f>
        <v>526</v>
      </c>
      <c r="BE3157" s="33" t="n">
        <f aca="false">AZ3157-BD3157</f>
        <v>0</v>
      </c>
      <c r="BF3157" s="34" t="n">
        <f aca="false">BD3157*M3157</f>
        <v>5260</v>
      </c>
      <c r="BG3157" s="35" t="n">
        <f aca="false">BA3157-BF3157</f>
        <v>0</v>
      </c>
      <c r="BH3157" s="19" t="str">
        <f aca="false">IF(BG3157=0,"",IF(BG3157&lt;&gt;BA3157,"erreur de calcul",IF(BD3157&lt;&gt;0,"pas de prix",IF(M3157&lt;&gt; 0,"pas de quantité","pas de prix, ni de quantité"))))</f>
        <v/>
      </c>
      <c r="BI3157" s="19"/>
    </row>
    <row r="3158" customFormat="false" ht="15" hidden="false" customHeight="false" outlineLevel="0" collapsed="false">
      <c r="A3158" s="0" t="n">
        <v>20</v>
      </c>
      <c r="B3158" s="8" t="s">
        <v>24</v>
      </c>
      <c r="C3158" s="9" t="s">
        <v>25</v>
      </c>
      <c r="D3158" s="9" t="s">
        <v>26</v>
      </c>
      <c r="E3158" s="10" t="n">
        <v>1789</v>
      </c>
      <c r="F3158" s="9" t="s">
        <v>27</v>
      </c>
      <c r="G3158" s="9" t="s">
        <v>27</v>
      </c>
      <c r="H3158" s="11" t="n">
        <v>27</v>
      </c>
      <c r="I3158" s="11" t="s">
        <v>433</v>
      </c>
      <c r="J3158" s="14"/>
      <c r="K3158" s="14" t="n">
        <v>14</v>
      </c>
      <c r="L3158" s="16"/>
      <c r="M3158" s="27" t="n">
        <f aca="false">J3158+(K3158/20)+(L3158/240)</f>
        <v>0.7</v>
      </c>
      <c r="N3158" s="17" t="s">
        <v>429</v>
      </c>
      <c r="O3158" s="11"/>
      <c r="P3158" s="28" t="n">
        <f aca="false">103*288+190</f>
        <v>29854</v>
      </c>
      <c r="Q3158" s="28" t="n">
        <v>20898</v>
      </c>
      <c r="R3158" s="28"/>
      <c r="S3158" s="28" t="n">
        <f aca="false">R3158*$M3158</f>
        <v>0</v>
      </c>
      <c r="T3158" s="28"/>
      <c r="U3158" s="28" t="n">
        <f aca="false">T3158*$M3158</f>
        <v>0</v>
      </c>
      <c r="V3158" s="28"/>
      <c r="W3158" s="28" t="n">
        <f aca="false">V3158*$M3158</f>
        <v>0</v>
      </c>
      <c r="X3158" s="28"/>
      <c r="Y3158" s="28" t="n">
        <f aca="false">X3158*$M3158</f>
        <v>0</v>
      </c>
      <c r="Z3158" s="28"/>
      <c r="AA3158" s="28" t="n">
        <f aca="false">Z3158*$M3158</f>
        <v>0</v>
      </c>
      <c r="AB3158" s="28"/>
      <c r="AC3158" s="28" t="n">
        <f aca="false">AB3158*$M3158</f>
        <v>0</v>
      </c>
      <c r="AD3158" s="28"/>
      <c r="AE3158" s="28" t="n">
        <f aca="false">AD3158*$M3158</f>
        <v>0</v>
      </c>
      <c r="AF3158" s="28"/>
      <c r="AG3158" s="28" t="n">
        <f aca="false">AF3158*$M3158</f>
        <v>0</v>
      </c>
      <c r="AH3158" s="28"/>
      <c r="AI3158" s="28" t="n">
        <f aca="false">AH3158*$M3158</f>
        <v>0</v>
      </c>
      <c r="AJ3158" s="28"/>
      <c r="AK3158" s="28" t="n">
        <f aca="false">AJ3158*$M3158</f>
        <v>0</v>
      </c>
      <c r="AL3158" s="28"/>
      <c r="AM3158" s="28" t="n">
        <f aca="false">AL3158*$M3158</f>
        <v>0</v>
      </c>
      <c r="AN3158" s="28"/>
      <c r="AO3158" s="28" t="n">
        <f aca="false">AN3158*$M3158</f>
        <v>0</v>
      </c>
      <c r="AP3158" s="28"/>
      <c r="AQ3158" s="28" t="n">
        <f aca="false">AP3158*$M3158</f>
        <v>0</v>
      </c>
      <c r="AR3158" s="28"/>
      <c r="AS3158" s="28" t="n">
        <f aca="false">AR3158*$M3158</f>
        <v>0</v>
      </c>
      <c r="AT3158" s="28"/>
      <c r="AU3158" s="28" t="n">
        <f aca="false">AT3158*$M3158</f>
        <v>0</v>
      </c>
      <c r="AV3158" s="28"/>
      <c r="AW3158" s="28" t="n">
        <f aca="false">AV3158*$M3158</f>
        <v>0</v>
      </c>
      <c r="AX3158" s="28"/>
      <c r="AY3158" s="28" t="n">
        <f aca="false">AX3158*$M3158</f>
        <v>0</v>
      </c>
      <c r="AZ3158" s="30" t="n">
        <f aca="false">103*288+190</f>
        <v>29854</v>
      </c>
      <c r="BA3158" s="11" t="n">
        <v>20898</v>
      </c>
      <c r="BB3158" s="31" t="n">
        <f aca="false">SUM(Q3158,S3158,U3158,W3158,Y3158,AA3158,AC3158,AE3158,AG3158,AI3158,AK3158,AM3158,AO3158,AQ3158,AS3158,AU3158,AW3158,AY3158)</f>
        <v>20898</v>
      </c>
      <c r="BC3158" s="28" t="n">
        <f aca="false">BA3158-BB3158</f>
        <v>0</v>
      </c>
      <c r="BD3158" s="32" t="n">
        <f aca="false">SUM(P3158,R3158,T3158,V3158,X3158,Z3158,AB3158,AD3158,AF3158,AH3158,AJ3158,AL3158,AN3158,AP3158,AR3158,AT3158,AV3158,AX3158)</f>
        <v>29854</v>
      </c>
      <c r="BE3158" s="33" t="n">
        <f aca="false">AZ3158-BD3158</f>
        <v>0</v>
      </c>
      <c r="BF3158" s="34" t="n">
        <f aca="false">BD3158*M3158</f>
        <v>20897.8</v>
      </c>
      <c r="BG3158" s="35" t="n">
        <f aca="false">BA3158-BF3158</f>
        <v>0.200000000000728</v>
      </c>
      <c r="BH3158" s="19" t="str">
        <f aca="false">IF(BG3158=0,"",IF(BG3158&lt;&gt;BA3158,"erreur de calcul",IF(BD3158&lt;&gt;0,"pas de prix",IF(M3158&lt;&gt; 0,"pas de quantité","pas de prix, ni de quantité"))))</f>
        <v>erreur de calcul</v>
      </c>
      <c r="BI3158" s="19"/>
    </row>
    <row r="3159" customFormat="false" ht="15" hidden="false" customHeight="false" outlineLevel="0" collapsed="false">
      <c r="A3159" s="0" t="n">
        <v>21</v>
      </c>
      <c r="B3159" s="8" t="s">
        <v>24</v>
      </c>
      <c r="C3159" s="9" t="s">
        <v>25</v>
      </c>
      <c r="D3159" s="9" t="s">
        <v>26</v>
      </c>
      <c r="E3159" s="10" t="n">
        <v>1789</v>
      </c>
      <c r="F3159" s="9" t="s">
        <v>27</v>
      </c>
      <c r="G3159" s="9" t="s">
        <v>27</v>
      </c>
      <c r="H3159" s="11" t="n">
        <v>27</v>
      </c>
      <c r="I3159" s="11" t="s">
        <v>434</v>
      </c>
      <c r="J3159" s="14"/>
      <c r="K3159" s="14" t="n">
        <v>5</v>
      </c>
      <c r="L3159" s="16"/>
      <c r="M3159" s="27" t="n">
        <f aca="false">J3159+(K3159/20)+(L3159/240)</f>
        <v>0.25</v>
      </c>
      <c r="N3159" s="17" t="s">
        <v>79</v>
      </c>
      <c r="O3159" s="11"/>
      <c r="P3159" s="28" t="n">
        <v>300402</v>
      </c>
      <c r="Q3159" s="28" t="n">
        <v>75100</v>
      </c>
      <c r="R3159" s="28"/>
      <c r="S3159" s="28" t="n">
        <f aca="false">R3159*$M3159</f>
        <v>0</v>
      </c>
      <c r="T3159" s="28"/>
      <c r="U3159" s="28" t="n">
        <f aca="false">T3159*$M3159</f>
        <v>0</v>
      </c>
      <c r="V3159" s="28" t="n">
        <v>448</v>
      </c>
      <c r="W3159" s="28" t="n">
        <v>112</v>
      </c>
      <c r="X3159" s="28"/>
      <c r="Y3159" s="28" t="n">
        <f aca="false">X3159*$M3159</f>
        <v>0</v>
      </c>
      <c r="Z3159" s="28"/>
      <c r="AA3159" s="28" t="n">
        <f aca="false">Z3159*$M3159</f>
        <v>0</v>
      </c>
      <c r="AB3159" s="28"/>
      <c r="AC3159" s="28" t="n">
        <f aca="false">AB3159*$M3159</f>
        <v>0</v>
      </c>
      <c r="AD3159" s="28"/>
      <c r="AE3159" s="28" t="n">
        <f aca="false">AD3159*$M3159</f>
        <v>0</v>
      </c>
      <c r="AF3159" s="28"/>
      <c r="AG3159" s="28" t="n">
        <f aca="false">AF3159*$M3159</f>
        <v>0</v>
      </c>
      <c r="AH3159" s="28"/>
      <c r="AI3159" s="28" t="n">
        <f aca="false">AH3159*$M3159</f>
        <v>0</v>
      </c>
      <c r="AJ3159" s="28"/>
      <c r="AK3159" s="28" t="n">
        <f aca="false">AJ3159*$M3159</f>
        <v>0</v>
      </c>
      <c r="AL3159" s="28"/>
      <c r="AM3159" s="28" t="n">
        <f aca="false">AL3159*$M3159</f>
        <v>0</v>
      </c>
      <c r="AN3159" s="28"/>
      <c r="AO3159" s="28" t="n">
        <f aca="false">AN3159*$M3159</f>
        <v>0</v>
      </c>
      <c r="AP3159" s="28"/>
      <c r="AQ3159" s="28" t="n">
        <f aca="false">AP3159*$M3159</f>
        <v>0</v>
      </c>
      <c r="AR3159" s="28"/>
      <c r="AS3159" s="28" t="n">
        <f aca="false">AR3159*$M3159</f>
        <v>0</v>
      </c>
      <c r="AT3159" s="28"/>
      <c r="AU3159" s="28" t="n">
        <f aca="false">AT3159*$M3159</f>
        <v>0</v>
      </c>
      <c r="AV3159" s="28"/>
      <c r="AW3159" s="28" t="n">
        <f aca="false">AV3159*$M3159</f>
        <v>0</v>
      </c>
      <c r="AX3159" s="28"/>
      <c r="AY3159" s="28" t="n">
        <f aca="false">AX3159*$M3159</f>
        <v>0</v>
      </c>
      <c r="AZ3159" s="30" t="n">
        <v>300850</v>
      </c>
      <c r="BA3159" s="11" t="n">
        <v>75212</v>
      </c>
      <c r="BB3159" s="31" t="n">
        <f aca="false">SUM(Q3159,S3159,U3159,W3159,Y3159,AA3159,AC3159,AE3159,AG3159,AI3159,AK3159,AM3159,AO3159,AQ3159,AS3159,AU3159,AW3159,AY3159)</f>
        <v>75212</v>
      </c>
      <c r="BC3159" s="28" t="n">
        <f aca="false">BA3159-BB3159</f>
        <v>0</v>
      </c>
      <c r="BD3159" s="32" t="n">
        <f aca="false">SUM(P3159,R3159,T3159,V3159,X3159,Z3159,AB3159,AD3159,AF3159,AH3159,AJ3159,AL3159,AN3159,AP3159,AR3159,AT3159,AV3159,AX3159)</f>
        <v>300850</v>
      </c>
      <c r="BE3159" s="33" t="n">
        <f aca="false">AZ3159-BD3159</f>
        <v>0</v>
      </c>
      <c r="BF3159" s="34" t="n">
        <f aca="false">BD3159*M3159</f>
        <v>75212.5</v>
      </c>
      <c r="BG3159" s="35" t="n">
        <f aca="false">BA3159-BF3159</f>
        <v>-0.5</v>
      </c>
      <c r="BH3159" s="19" t="str">
        <f aca="false">IF(BG3159=0,"",IF(BG3159&lt;&gt;BA3159,"erreur de calcul",IF(BD3159&lt;&gt;0,"pas de prix",IF(M3159&lt;&gt; 0,"pas de quantité","pas de prix, ni de quantité"))))</f>
        <v>erreur de calcul</v>
      </c>
      <c r="BI3159" s="19"/>
    </row>
    <row r="3160" customFormat="false" ht="78.4" hidden="false" customHeight="true" outlineLevel="0" collapsed="false">
      <c r="A3160" s="0" t="s">
        <v>31</v>
      </c>
      <c r="B3160" s="2" t="s">
        <v>0</v>
      </c>
      <c r="C3160" s="2" t="s">
        <v>1</v>
      </c>
      <c r="D3160" s="2" t="s">
        <v>2</v>
      </c>
      <c r="E3160" s="2" t="s">
        <v>3</v>
      </c>
      <c r="F3160" s="2" t="s">
        <v>4</v>
      </c>
      <c r="G3160" s="2" t="s">
        <v>5</v>
      </c>
      <c r="H3160" s="2" t="s">
        <v>6</v>
      </c>
      <c r="I3160" s="3" t="s">
        <v>7</v>
      </c>
      <c r="J3160" s="5" t="s">
        <v>12</v>
      </c>
      <c r="K3160" s="5" t="s">
        <v>13</v>
      </c>
      <c r="L3160" s="5" t="s">
        <v>14</v>
      </c>
      <c r="M3160" s="7" t="s">
        <v>15</v>
      </c>
      <c r="N3160" s="6" t="s">
        <v>32</v>
      </c>
      <c r="O3160" s="6" t="s">
        <v>33</v>
      </c>
      <c r="P3160" s="6" t="s">
        <v>34</v>
      </c>
      <c r="Q3160" s="6"/>
      <c r="R3160" s="6" t="s">
        <v>35</v>
      </c>
      <c r="S3160" s="6"/>
      <c r="T3160" s="6" t="s">
        <v>36</v>
      </c>
      <c r="U3160" s="6"/>
      <c r="V3160" s="6" t="s">
        <v>37</v>
      </c>
      <c r="W3160" s="6"/>
      <c r="X3160" s="6" t="s">
        <v>38</v>
      </c>
      <c r="Y3160" s="6"/>
      <c r="Z3160" s="6" t="s">
        <v>39</v>
      </c>
      <c r="AA3160" s="6"/>
      <c r="AB3160" s="6" t="s">
        <v>40</v>
      </c>
      <c r="AC3160" s="6"/>
      <c r="AD3160" s="6" t="s">
        <v>41</v>
      </c>
      <c r="AE3160" s="6"/>
      <c r="AF3160" s="6" t="s">
        <v>42</v>
      </c>
      <c r="AG3160" s="6"/>
      <c r="AH3160" s="6" t="s">
        <v>43</v>
      </c>
      <c r="AI3160" s="6"/>
      <c r="AJ3160" s="6" t="s">
        <v>44</v>
      </c>
      <c r="AK3160" s="6"/>
      <c r="AL3160" s="6" t="s">
        <v>45</v>
      </c>
      <c r="AM3160" s="6"/>
      <c r="AN3160" s="6" t="s">
        <v>46</v>
      </c>
      <c r="AO3160" s="6"/>
      <c r="AP3160" s="6" t="s">
        <v>47</v>
      </c>
      <c r="AQ3160" s="6"/>
      <c r="AR3160" s="6" t="s">
        <v>48</v>
      </c>
      <c r="AS3160" s="6"/>
      <c r="AT3160" s="6" t="s">
        <v>49</v>
      </c>
      <c r="AU3160" s="6"/>
      <c r="AV3160" s="6" t="s">
        <v>50</v>
      </c>
      <c r="AW3160" s="6"/>
      <c r="AX3160" s="6" t="s">
        <v>51</v>
      </c>
      <c r="AY3160" s="6"/>
      <c r="AZ3160" s="6" t="s">
        <v>52</v>
      </c>
      <c r="BA3160" s="6"/>
      <c r="BB3160" s="6"/>
      <c r="BC3160" s="6"/>
      <c r="BD3160" s="6" t="s">
        <v>53</v>
      </c>
      <c r="BE3160" s="6" t="s">
        <v>54</v>
      </c>
      <c r="BF3160" s="6" t="s">
        <v>55</v>
      </c>
      <c r="BG3160" s="6" t="s">
        <v>56</v>
      </c>
      <c r="BH3160" s="6" t="s">
        <v>57</v>
      </c>
      <c r="BI3160" s="6" t="s">
        <v>23</v>
      </c>
    </row>
    <row r="3161" customFormat="false" ht="15" hidden="false" customHeight="false" outlineLevel="0" collapsed="false">
      <c r="B3161" s="20"/>
      <c r="C3161" s="20"/>
      <c r="D3161" s="20"/>
      <c r="E3161" s="21"/>
      <c r="F3161" s="20"/>
      <c r="G3161" s="20"/>
      <c r="H3161" s="20"/>
      <c r="I3161" s="22"/>
      <c r="J3161" s="23"/>
      <c r="K3161" s="23"/>
      <c r="L3161" s="24"/>
      <c r="M3161" s="25"/>
      <c r="N3161" s="25"/>
      <c r="O3161" s="26" t="s">
        <v>58</v>
      </c>
      <c r="P3161" s="25" t="s">
        <v>59</v>
      </c>
      <c r="Q3161" s="25" t="s">
        <v>60</v>
      </c>
      <c r="R3161" s="25" t="s">
        <v>59</v>
      </c>
      <c r="S3161" s="25" t="s">
        <v>60</v>
      </c>
      <c r="T3161" s="25" t="s">
        <v>59</v>
      </c>
      <c r="U3161" s="25" t="s">
        <v>60</v>
      </c>
      <c r="V3161" s="25" t="s">
        <v>59</v>
      </c>
      <c r="W3161" s="25" t="s">
        <v>60</v>
      </c>
      <c r="X3161" s="25" t="s">
        <v>59</v>
      </c>
      <c r="Y3161" s="25" t="s">
        <v>60</v>
      </c>
      <c r="Z3161" s="25" t="s">
        <v>59</v>
      </c>
      <c r="AA3161" s="25" t="s">
        <v>60</v>
      </c>
      <c r="AB3161" s="25" t="s">
        <v>59</v>
      </c>
      <c r="AC3161" s="25" t="s">
        <v>60</v>
      </c>
      <c r="AD3161" s="25" t="s">
        <v>59</v>
      </c>
      <c r="AE3161" s="25" t="s">
        <v>60</v>
      </c>
      <c r="AF3161" s="25" t="s">
        <v>59</v>
      </c>
      <c r="AG3161" s="25" t="s">
        <v>60</v>
      </c>
      <c r="AH3161" s="25" t="s">
        <v>59</v>
      </c>
      <c r="AI3161" s="25" t="s">
        <v>60</v>
      </c>
      <c r="AJ3161" s="25" t="s">
        <v>59</v>
      </c>
      <c r="AK3161" s="25" t="s">
        <v>60</v>
      </c>
      <c r="AL3161" s="25" t="s">
        <v>59</v>
      </c>
      <c r="AM3161" s="25" t="s">
        <v>60</v>
      </c>
      <c r="AN3161" s="25" t="s">
        <v>59</v>
      </c>
      <c r="AO3161" s="25" t="s">
        <v>60</v>
      </c>
      <c r="AP3161" s="25" t="s">
        <v>59</v>
      </c>
      <c r="AQ3161" s="25" t="s">
        <v>60</v>
      </c>
      <c r="AR3161" s="25" t="s">
        <v>59</v>
      </c>
      <c r="AS3161" s="25" t="s">
        <v>60</v>
      </c>
      <c r="AT3161" s="25" t="s">
        <v>59</v>
      </c>
      <c r="AU3161" s="25" t="s">
        <v>60</v>
      </c>
      <c r="AV3161" s="25" t="s">
        <v>59</v>
      </c>
      <c r="AW3161" s="25" t="s">
        <v>60</v>
      </c>
      <c r="AX3161" s="25" t="s">
        <v>59</v>
      </c>
      <c r="AY3161" s="25" t="s">
        <v>60</v>
      </c>
      <c r="AZ3161" s="25" t="s">
        <v>59</v>
      </c>
      <c r="BA3161" s="25" t="s">
        <v>60</v>
      </c>
      <c r="BB3161" s="25" t="s">
        <v>61</v>
      </c>
      <c r="BC3161" s="25" t="s">
        <v>62</v>
      </c>
      <c r="BD3161" s="20"/>
      <c r="BE3161" s="20"/>
      <c r="BF3161" s="20"/>
      <c r="BG3161" s="20"/>
      <c r="BH3161" s="20"/>
      <c r="BI3161" s="20"/>
    </row>
    <row r="3162" customFormat="false" ht="15" hidden="false" customHeight="false" outlineLevel="0" collapsed="false">
      <c r="A3162" s="0" t="n">
        <v>1</v>
      </c>
      <c r="B3162" s="8" t="s">
        <v>24</v>
      </c>
      <c r="C3162" s="9" t="s">
        <v>25</v>
      </c>
      <c r="D3162" s="9" t="s">
        <v>26</v>
      </c>
      <c r="E3162" s="10" t="n">
        <v>1789</v>
      </c>
      <c r="F3162" s="9" t="s">
        <v>27</v>
      </c>
      <c r="G3162" s="9" t="s">
        <v>27</v>
      </c>
      <c r="H3162" s="11" t="n">
        <v>18</v>
      </c>
      <c r="I3162" s="11" t="s">
        <v>63</v>
      </c>
      <c r="J3162" s="14" t="n">
        <v>27</v>
      </c>
      <c r="K3162" s="14"/>
      <c r="L3162" s="16"/>
      <c r="M3162" s="27" t="n">
        <f aca="false">J3162+(K3162/20)+(L3162/240)</f>
        <v>27</v>
      </c>
      <c r="N3162" s="17" t="s">
        <v>64</v>
      </c>
      <c r="O3162" s="11"/>
      <c r="P3162" s="28"/>
      <c r="Q3162" s="28" t="n">
        <f aca="false">P3162*$M3162</f>
        <v>0</v>
      </c>
      <c r="R3162" s="28"/>
      <c r="S3162" s="28" t="n">
        <f aca="false">R3162*$M3162</f>
        <v>0</v>
      </c>
      <c r="T3162" s="28"/>
      <c r="U3162" s="28" t="n">
        <f aca="false">T3162*$M3162</f>
        <v>0</v>
      </c>
      <c r="V3162" s="28" t="n">
        <f aca="false">700/100</f>
        <v>7</v>
      </c>
      <c r="W3162" s="28" t="n">
        <v>189</v>
      </c>
      <c r="X3162" s="29"/>
      <c r="Y3162" s="28" t="n">
        <v>9506</v>
      </c>
      <c r="Z3162" s="28"/>
      <c r="AA3162" s="28" t="n">
        <f aca="false">Z3162*$M3162</f>
        <v>0</v>
      </c>
      <c r="AB3162" s="28"/>
      <c r="AC3162" s="28" t="n">
        <f aca="false">AB3162*$M3162</f>
        <v>0</v>
      </c>
      <c r="AD3162" s="28"/>
      <c r="AE3162" s="28" t="n">
        <f aca="false">AD3162*$M3162</f>
        <v>0</v>
      </c>
      <c r="AF3162" s="28"/>
      <c r="AG3162" s="28" t="n">
        <f aca="false">AF3162*$M3162</f>
        <v>0</v>
      </c>
      <c r="AH3162" s="28"/>
      <c r="AI3162" s="28" t="n">
        <f aca="false">AH3162*$M3162</f>
        <v>0</v>
      </c>
      <c r="AJ3162" s="28" t="n">
        <f aca="false">72509/100</f>
        <v>725.09</v>
      </c>
      <c r="AK3162" s="28" t="n">
        <v>19577</v>
      </c>
      <c r="AL3162" s="28"/>
      <c r="AM3162" s="28" t="n">
        <f aca="false">AL3162*$M3162</f>
        <v>0</v>
      </c>
      <c r="AN3162" s="28"/>
      <c r="AO3162" s="28" t="n">
        <f aca="false">AN3162*$M3162</f>
        <v>0</v>
      </c>
      <c r="AP3162" s="28"/>
      <c r="AQ3162" s="28" t="n">
        <f aca="false">AP3162*$M3162</f>
        <v>0</v>
      </c>
      <c r="AR3162" s="28" t="n">
        <f aca="false">36750/100</f>
        <v>367.5</v>
      </c>
      <c r="AS3162" s="28" t="n">
        <v>9922</v>
      </c>
      <c r="AT3162" s="28"/>
      <c r="AU3162" s="28" t="n">
        <f aca="false">AT3162*$M3162</f>
        <v>0</v>
      </c>
      <c r="AV3162" s="28"/>
      <c r="AW3162" s="28" t="n">
        <f aca="false">AV3162*$M3162</f>
        <v>0</v>
      </c>
      <c r="AX3162" s="28"/>
      <c r="AY3162" s="28" t="n">
        <f aca="false">AX3162*$M3162</f>
        <v>0</v>
      </c>
      <c r="AZ3162" s="30" t="n">
        <f aca="false">145166/100</f>
        <v>1451.66</v>
      </c>
      <c r="BA3162" s="11" t="n">
        <v>39194</v>
      </c>
      <c r="BB3162" s="31" t="n">
        <f aca="false">SUM(Q3162,S3162,U3162,W3162,Y3162,AA3162,AC3162,AE3162,AG3162,AI3162,AK3162,AM3162,AO3162,AQ3162,AS3162,AU3162,AW3162,AY3162)</f>
        <v>39194</v>
      </c>
      <c r="BC3162" s="28" t="n">
        <f aca="false">BA3162-BB3162</f>
        <v>0</v>
      </c>
      <c r="BD3162" s="32" t="n">
        <f aca="false">SUM(P3162,R3162,T3162,V3162,X3162,Z3162,AB3162,AD3162,AF3162,AH3162,AJ3162,AL3162,AN3162,AP3162,AR3162,AT3162,AV3162,AX3162)</f>
        <v>1099.59</v>
      </c>
      <c r="BE3162" s="33" t="n">
        <f aca="false">AZ3162-BD3162</f>
        <v>352.07</v>
      </c>
      <c r="BF3162" s="34" t="n">
        <f aca="false">BD3162*M3162</f>
        <v>29688.93</v>
      </c>
      <c r="BG3162" s="35" t="n">
        <f aca="false">BA3162-BF3162</f>
        <v>9505.07</v>
      </c>
      <c r="BH3162" s="19" t="str">
        <f aca="false">IF(BG3162=0,"",IF(BG3162&lt;&gt;BA3162,"erreur de calcul",IF(BD3162&lt;&gt;0,"pas de prix",IF(M3162&lt;&gt; 0,"pas de quantité","pas de prix, ni de quantité"))))</f>
        <v>erreur de calcul</v>
      </c>
      <c r="BI3162" s="19"/>
    </row>
    <row r="3163" customFormat="false" ht="15" hidden="false" customHeight="false" outlineLevel="0" collapsed="false">
      <c r="A3163" s="0" t="n">
        <v>2</v>
      </c>
      <c r="B3163" s="8" t="s">
        <v>24</v>
      </c>
      <c r="C3163" s="9" t="s">
        <v>25</v>
      </c>
      <c r="D3163" s="9" t="s">
        <v>26</v>
      </c>
      <c r="E3163" s="10" t="n">
        <v>1789</v>
      </c>
      <c r="F3163" s="9" t="s">
        <v>27</v>
      </c>
      <c r="G3163" s="9" t="s">
        <v>27</v>
      </c>
      <c r="H3163" s="11" t="n">
        <v>18</v>
      </c>
      <c r="I3163" s="11" t="s">
        <v>65</v>
      </c>
      <c r="J3163" s="14"/>
      <c r="K3163" s="14" t="n">
        <v>20</v>
      </c>
      <c r="L3163" s="16"/>
      <c r="M3163" s="27" t="n">
        <f aca="false">J3163+(K3163/20)+(L3163/240)</f>
        <v>1</v>
      </c>
      <c r="N3163" s="17" t="s">
        <v>66</v>
      </c>
      <c r="O3163" s="11"/>
      <c r="P3163" s="28"/>
      <c r="Q3163" s="28" t="n">
        <f aca="false">P3163*$M3163</f>
        <v>0</v>
      </c>
      <c r="R3163" s="28"/>
      <c r="S3163" s="28" t="n">
        <f aca="false">R3163*$M3163</f>
        <v>0</v>
      </c>
      <c r="T3163" s="28"/>
      <c r="U3163" s="28" t="n">
        <f aca="false">T3163*$M3163</f>
        <v>0</v>
      </c>
      <c r="V3163" s="28" t="n">
        <v>2365</v>
      </c>
      <c r="W3163" s="28" t="n">
        <v>2365</v>
      </c>
      <c r="X3163" s="29" t="n">
        <v>234</v>
      </c>
      <c r="Y3163" s="28" t="n">
        <v>234</v>
      </c>
      <c r="Z3163" s="28"/>
      <c r="AA3163" s="28" t="n">
        <f aca="false">Z3163*$M3163</f>
        <v>0</v>
      </c>
      <c r="AB3163" s="28" t="n">
        <v>17776</v>
      </c>
      <c r="AC3163" s="28" t="n">
        <v>17776</v>
      </c>
      <c r="AD3163" s="28"/>
      <c r="AE3163" s="28" t="n">
        <f aca="false">AD3163*$M3163</f>
        <v>0</v>
      </c>
      <c r="AF3163" s="28"/>
      <c r="AG3163" s="28" t="n">
        <f aca="false">AF3163*$M3163</f>
        <v>0</v>
      </c>
      <c r="AH3163" s="28"/>
      <c r="AI3163" s="28" t="n">
        <f aca="false">AH3163*$M3163</f>
        <v>0</v>
      </c>
      <c r="AJ3163" s="28"/>
      <c r="AK3163" s="28" t="n">
        <f aca="false">AJ3163*$M3163</f>
        <v>0</v>
      </c>
      <c r="AL3163" s="28"/>
      <c r="AM3163" s="28" t="n">
        <f aca="false">AL3163*$M3163</f>
        <v>0</v>
      </c>
      <c r="AN3163" s="28"/>
      <c r="AO3163" s="28" t="n">
        <f aca="false">AN3163*$M3163</f>
        <v>0</v>
      </c>
      <c r="AP3163" s="28"/>
      <c r="AQ3163" s="28" t="n">
        <f aca="false">AP3163*$M3163</f>
        <v>0</v>
      </c>
      <c r="AR3163" s="28"/>
      <c r="AS3163" s="28" t="n">
        <f aca="false">AR3163*$M3163</f>
        <v>0</v>
      </c>
      <c r="AT3163" s="28"/>
      <c r="AU3163" s="28" t="n">
        <f aca="false">AT3163*$M3163</f>
        <v>0</v>
      </c>
      <c r="AV3163" s="28"/>
      <c r="AW3163" s="28" t="n">
        <f aca="false">AV3163*$M3163</f>
        <v>0</v>
      </c>
      <c r="AX3163" s="28"/>
      <c r="AY3163" s="28" t="n">
        <f aca="false">AX3163*$M3163</f>
        <v>0</v>
      </c>
      <c r="AZ3163" s="30" t="n">
        <v>20375</v>
      </c>
      <c r="BA3163" s="11" t="n">
        <v>20375</v>
      </c>
      <c r="BB3163" s="31" t="n">
        <f aca="false">SUM(Q3163,S3163,U3163,W3163,Y3163,AA3163,AC3163,AE3163,AG3163,AI3163,AK3163,AM3163,AO3163,AQ3163,AS3163,AU3163,AW3163,AY3163)</f>
        <v>20375</v>
      </c>
      <c r="BC3163" s="28" t="n">
        <f aca="false">BA3163-BB3163</f>
        <v>0</v>
      </c>
      <c r="BD3163" s="32" t="n">
        <f aca="false">SUM(P3163,R3163,T3163,V3163,X3163,Z3163,AB3163,AD3163,AF3163,AH3163,AJ3163,AL3163,AN3163,AP3163,AR3163,AT3163,AV3163,AX3163)</f>
        <v>20375</v>
      </c>
      <c r="BE3163" s="33" t="n">
        <f aca="false">AZ3163-BD3163</f>
        <v>0</v>
      </c>
      <c r="BF3163" s="34" t="n">
        <f aca="false">BD3163*M3163</f>
        <v>20375</v>
      </c>
      <c r="BG3163" s="35" t="n">
        <f aca="false">BA3163-BF3163</f>
        <v>0</v>
      </c>
      <c r="BH3163" s="19" t="str">
        <f aca="false">IF(BG3163=0,"",IF(BG3163&lt;&gt;BA3163,"erreur de calcul",IF(BD3163&lt;&gt;0,"pas de prix",IF(M3163&lt;&gt; 0,"pas de quantité","pas de prix, ni de quantité"))))</f>
        <v/>
      </c>
      <c r="BI3163" s="19"/>
    </row>
    <row r="3164" customFormat="false" ht="15" hidden="false" customHeight="false" outlineLevel="0" collapsed="false">
      <c r="A3164" s="0" t="n">
        <v>3</v>
      </c>
      <c r="B3164" s="8" t="s">
        <v>24</v>
      </c>
      <c r="C3164" s="9" t="s">
        <v>25</v>
      </c>
      <c r="D3164" s="9" t="s">
        <v>26</v>
      </c>
      <c r="E3164" s="10" t="n">
        <v>1789</v>
      </c>
      <c r="F3164" s="9" t="s">
        <v>27</v>
      </c>
      <c r="G3164" s="9" t="s">
        <v>27</v>
      </c>
      <c r="H3164" s="11" t="n">
        <v>18</v>
      </c>
      <c r="I3164" s="11" t="s">
        <v>67</v>
      </c>
      <c r="J3164" s="14" t="n">
        <v>56</v>
      </c>
      <c r="K3164" s="14"/>
      <c r="L3164" s="16"/>
      <c r="M3164" s="27" t="n">
        <f aca="false">J3164+(K3164/20)+(L3164/240)</f>
        <v>56</v>
      </c>
      <c r="N3164" s="17" t="s">
        <v>64</v>
      </c>
      <c r="O3164" s="11"/>
      <c r="P3164" s="28" t="n">
        <f aca="false">27159/100</f>
        <v>271.59</v>
      </c>
      <c r="Q3164" s="28" t="n">
        <v>15209</v>
      </c>
      <c r="R3164" s="28"/>
      <c r="S3164" s="28" t="n">
        <f aca="false">R3164*$M3164</f>
        <v>0</v>
      </c>
      <c r="T3164" s="28" t="n">
        <f aca="false">1044/100</f>
        <v>10.44</v>
      </c>
      <c r="U3164" s="28" t="n">
        <v>585</v>
      </c>
      <c r="V3164" s="28" t="n">
        <f aca="false">1838/100</f>
        <v>18.38</v>
      </c>
      <c r="W3164" s="36" t="n">
        <v>4557</v>
      </c>
      <c r="X3164" s="29"/>
      <c r="Y3164" s="28" t="n">
        <v>2566</v>
      </c>
      <c r="Z3164" s="28"/>
      <c r="AA3164" s="28" t="n">
        <f aca="false">Z3164*$M3164</f>
        <v>0</v>
      </c>
      <c r="AB3164" s="28" t="n">
        <f aca="false">17833/100</f>
        <v>178.33</v>
      </c>
      <c r="AC3164" s="28" t="n">
        <v>9986</v>
      </c>
      <c r="AD3164" s="28"/>
      <c r="AE3164" s="28" t="n">
        <f aca="false">AD3164*$M3164</f>
        <v>0</v>
      </c>
      <c r="AF3164" s="28" t="n">
        <f aca="false">30595/100</f>
        <v>305.95</v>
      </c>
      <c r="AG3164" s="28" t="n">
        <v>17133</v>
      </c>
      <c r="AH3164" s="28"/>
      <c r="AI3164" s="28" t="n">
        <f aca="false">AH3164*$M3164</f>
        <v>0</v>
      </c>
      <c r="AJ3164" s="28"/>
      <c r="AK3164" s="28" t="n">
        <f aca="false">AJ3164*$M3164</f>
        <v>0</v>
      </c>
      <c r="AL3164" s="28"/>
      <c r="AM3164" s="28" t="n">
        <f aca="false">AL3164*$M3164</f>
        <v>0</v>
      </c>
      <c r="AN3164" s="28"/>
      <c r="AO3164" s="28" t="n">
        <f aca="false">AN3164*$M3164</f>
        <v>0</v>
      </c>
      <c r="AP3164" s="28"/>
      <c r="AQ3164" s="28" t="n">
        <f aca="false">AP3164*$M3164</f>
        <v>0</v>
      </c>
      <c r="AR3164" s="28"/>
      <c r="AS3164" s="28" t="n">
        <f aca="false">AR3164*$M3164</f>
        <v>0</v>
      </c>
      <c r="AT3164" s="28"/>
      <c r="AU3164" s="28" t="n">
        <f aca="false">AT3164*$M3164</f>
        <v>0</v>
      </c>
      <c r="AV3164" s="28"/>
      <c r="AW3164" s="28" t="n">
        <f aca="false">AV3164*$M3164</f>
        <v>0</v>
      </c>
      <c r="AX3164" s="28"/>
      <c r="AY3164" s="28" t="n">
        <f aca="false">AX3164*$M3164</f>
        <v>0</v>
      </c>
      <c r="AZ3164" s="30" t="n">
        <f aca="false">83051/100</f>
        <v>830.51</v>
      </c>
      <c r="BA3164" s="11" t="n">
        <v>50036</v>
      </c>
      <c r="BB3164" s="31" t="n">
        <f aca="false">SUM(Q3164,S3164,U3164,W3164,Y3164,AA3164,AC3164,AE3164,AG3164,AI3164,AK3164,AM3164,AO3164,AQ3164,AS3164,AU3164,AW3164,AY3164)</f>
        <v>50036</v>
      </c>
      <c r="BC3164" s="28" t="n">
        <f aca="false">BA3164-BB3164</f>
        <v>0</v>
      </c>
      <c r="BD3164" s="32" t="n">
        <f aca="false">SUM(P3164,R3164,T3164,V3164,X3164,Z3164,AB3164,AD3164,AF3164,AH3164,AJ3164,AL3164,AN3164,AP3164,AR3164,AT3164,AV3164,AX3164)</f>
        <v>784.69</v>
      </c>
      <c r="BE3164" s="33" t="n">
        <f aca="false">AZ3164-BD3164</f>
        <v>45.8199999999999</v>
      </c>
      <c r="BF3164" s="34" t="n">
        <f aca="false">BD3164*M3164</f>
        <v>43942.64</v>
      </c>
      <c r="BG3164" s="35" t="n">
        <f aca="false">BA3164-BF3164</f>
        <v>6093.36</v>
      </c>
      <c r="BH3164" s="19" t="str">
        <f aca="false">IF(BG3164=0,"",IF(BG3164&lt;&gt;BA3164,"erreur de calcul",IF(BD3164&lt;&gt;0,"pas de prix",IF(M3164&lt;&gt; 0,"pas de quantité","pas de prix, ni de quantité"))))</f>
        <v>erreur de calcul</v>
      </c>
      <c r="BI3164" s="19"/>
    </row>
    <row r="3165" customFormat="false" ht="15" hidden="false" customHeight="false" outlineLevel="0" collapsed="false">
      <c r="A3165" s="0" t="n">
        <v>4</v>
      </c>
      <c r="B3165" s="8" t="s">
        <v>24</v>
      </c>
      <c r="C3165" s="9" t="s">
        <v>25</v>
      </c>
      <c r="D3165" s="9" t="s">
        <v>26</v>
      </c>
      <c r="E3165" s="10" t="n">
        <v>1789</v>
      </c>
      <c r="F3165" s="9" t="s">
        <v>27</v>
      </c>
      <c r="G3165" s="9" t="s">
        <v>27</v>
      </c>
      <c r="H3165" s="11" t="n">
        <v>18</v>
      </c>
      <c r="I3165" s="11" t="s">
        <v>68</v>
      </c>
      <c r="J3165" s="14"/>
      <c r="K3165" s="14" t="n">
        <v>30</v>
      </c>
      <c r="L3165" s="16"/>
      <c r="M3165" s="27" t="n">
        <f aca="false">J3165+(K3165/20)+(L3165/240)</f>
        <v>1.5</v>
      </c>
      <c r="N3165" s="17" t="s">
        <v>69</v>
      </c>
      <c r="O3165" s="11"/>
      <c r="P3165" s="28" t="n">
        <v>5460</v>
      </c>
      <c r="Q3165" s="28" t="n">
        <v>8190</v>
      </c>
      <c r="R3165" s="28"/>
      <c r="S3165" s="28" t="n">
        <f aca="false">R3165*$M3165</f>
        <v>0</v>
      </c>
      <c r="T3165" s="28"/>
      <c r="U3165" s="28" t="n">
        <f aca="false">T3165*$M3165</f>
        <v>0</v>
      </c>
      <c r="V3165" s="28" t="n">
        <v>1061</v>
      </c>
      <c r="W3165" s="28" t="n">
        <v>1591</v>
      </c>
      <c r="X3165" s="29"/>
      <c r="Y3165" s="28" t="n">
        <v>5766</v>
      </c>
      <c r="Z3165" s="28"/>
      <c r="AA3165" s="28" t="n">
        <f aca="false">Z3165*$M3165</f>
        <v>0</v>
      </c>
      <c r="AB3165" s="28"/>
      <c r="AC3165" s="28" t="n">
        <f aca="false">AB3165*$M3165</f>
        <v>0</v>
      </c>
      <c r="AD3165" s="28"/>
      <c r="AE3165" s="28" t="n">
        <f aca="false">AD3165*$M3165</f>
        <v>0</v>
      </c>
      <c r="AF3165" s="28"/>
      <c r="AG3165" s="28" t="n">
        <f aca="false">AF3165*$M3165</f>
        <v>0</v>
      </c>
      <c r="AH3165" s="28"/>
      <c r="AI3165" s="28" t="n">
        <f aca="false">AH3165*$M3165</f>
        <v>0</v>
      </c>
      <c r="AJ3165" s="28"/>
      <c r="AK3165" s="28" t="n">
        <f aca="false">AJ3165*$M3165</f>
        <v>0</v>
      </c>
      <c r="AL3165" s="28"/>
      <c r="AM3165" s="28" t="n">
        <f aca="false">AL3165*$M3165</f>
        <v>0</v>
      </c>
      <c r="AN3165" s="28"/>
      <c r="AO3165" s="28" t="n">
        <f aca="false">AN3165*$M3165</f>
        <v>0</v>
      </c>
      <c r="AP3165" s="28"/>
      <c r="AQ3165" s="28" t="n">
        <f aca="false">AP3165*$M3165</f>
        <v>0</v>
      </c>
      <c r="AR3165" s="28"/>
      <c r="AS3165" s="28" t="n">
        <f aca="false">AR3165*$M3165</f>
        <v>0</v>
      </c>
      <c r="AT3165" s="28"/>
      <c r="AU3165" s="28" t="n">
        <f aca="false">AT3165*$M3165</f>
        <v>0</v>
      </c>
      <c r="AV3165" s="28"/>
      <c r="AW3165" s="28" t="n">
        <f aca="false">AV3165*$M3165</f>
        <v>0</v>
      </c>
      <c r="AX3165" s="28"/>
      <c r="AY3165" s="28" t="n">
        <f aca="false">AX3165*$M3165</f>
        <v>0</v>
      </c>
      <c r="AZ3165" s="30" t="n">
        <v>10365</v>
      </c>
      <c r="BA3165" s="11" t="n">
        <v>15547</v>
      </c>
      <c r="BB3165" s="31" t="n">
        <f aca="false">SUM(Q3165,S3165,U3165,W3165,Y3165,AA3165,AC3165,AE3165,AG3165,AI3165,AK3165,AM3165,AO3165,AQ3165,AS3165,AU3165,AW3165,AY3165)</f>
        <v>15547</v>
      </c>
      <c r="BC3165" s="28" t="n">
        <f aca="false">BA3165-BB3165</f>
        <v>0</v>
      </c>
      <c r="BD3165" s="32" t="n">
        <f aca="false">SUM(P3165,R3165,T3165,V3165,X3165,Z3165,AB3165,AD3165,AF3165,AH3165,AJ3165,AL3165,AN3165,AP3165,AR3165,AT3165,AV3165,AX3165)</f>
        <v>6521</v>
      </c>
      <c r="BE3165" s="33" t="n">
        <f aca="false">AZ3165-BD3165</f>
        <v>3844</v>
      </c>
      <c r="BF3165" s="34" t="n">
        <f aca="false">BD3165*M3165</f>
        <v>9781.5</v>
      </c>
      <c r="BG3165" s="35" t="n">
        <f aca="false">BA3165-BF3165</f>
        <v>5765.5</v>
      </c>
      <c r="BH3165" s="19" t="str">
        <f aca="false">IF(BG3165=0,"",IF(BG3165&lt;&gt;BA3165,"erreur de calcul",IF(BD3165&lt;&gt;0,"pas de prix",IF(M3165&lt;&gt; 0,"pas de quantité","pas de prix, ni de quantité"))))</f>
        <v>erreur de calcul</v>
      </c>
      <c r="BI3165" s="19"/>
    </row>
    <row r="3166" customFormat="false" ht="15" hidden="false" customHeight="false" outlineLevel="0" collapsed="false">
      <c r="A3166" s="0" t="n">
        <v>5</v>
      </c>
      <c r="B3166" s="8" t="s">
        <v>24</v>
      </c>
      <c r="C3166" s="9" t="s">
        <v>25</v>
      </c>
      <c r="D3166" s="9" t="s">
        <v>26</v>
      </c>
      <c r="E3166" s="10" t="n">
        <v>1789</v>
      </c>
      <c r="F3166" s="9" t="s">
        <v>27</v>
      </c>
      <c r="G3166" s="9" t="s">
        <v>27</v>
      </c>
      <c r="H3166" s="11" t="n">
        <v>18</v>
      </c>
      <c r="I3166" s="11" t="s">
        <v>70</v>
      </c>
      <c r="J3166" s="14" t="n">
        <v>190</v>
      </c>
      <c r="K3166" s="14"/>
      <c r="L3166" s="16"/>
      <c r="M3166" s="27" t="n">
        <f aca="false">J3166+(K3166/20)+(L3166/240)</f>
        <v>190</v>
      </c>
      <c r="N3166" s="17" t="s">
        <v>64</v>
      </c>
      <c r="O3166" s="11"/>
      <c r="P3166" s="28"/>
      <c r="Q3166" s="28" t="n">
        <f aca="false">P3166*$M3166</f>
        <v>0</v>
      </c>
      <c r="R3166" s="28" t="n">
        <f aca="false">22283/100</f>
        <v>222.83</v>
      </c>
      <c r="S3166" s="28" t="n">
        <v>42338</v>
      </c>
      <c r="T3166" s="28" t="n">
        <f aca="false">1289/100</f>
        <v>12.89</v>
      </c>
      <c r="U3166" s="28" t="n">
        <v>2449</v>
      </c>
      <c r="V3166" s="28"/>
      <c r="W3166" s="28" t="n">
        <f aca="false">V3166*$M3166</f>
        <v>0</v>
      </c>
      <c r="X3166" s="29"/>
      <c r="Y3166" s="28" t="n">
        <f aca="false">X3166*$M3166</f>
        <v>0</v>
      </c>
      <c r="Z3166" s="28"/>
      <c r="AA3166" s="28" t="n">
        <f aca="false">Z3166*$M3166</f>
        <v>0</v>
      </c>
      <c r="AB3166" s="28"/>
      <c r="AC3166" s="28" t="n">
        <f aca="false">AB3166*$M3166</f>
        <v>0</v>
      </c>
      <c r="AD3166" s="28"/>
      <c r="AE3166" s="28" t="n">
        <f aca="false">AD3166*$M3166</f>
        <v>0</v>
      </c>
      <c r="AF3166" s="28"/>
      <c r="AG3166" s="28" t="n">
        <f aca="false">AF3166*$M3166</f>
        <v>0</v>
      </c>
      <c r="AH3166" s="28"/>
      <c r="AI3166" s="28" t="n">
        <f aca="false">AH3166*$M3166</f>
        <v>0</v>
      </c>
      <c r="AJ3166" s="28"/>
      <c r="AK3166" s="28" t="n">
        <f aca="false">AJ3166*$M3166</f>
        <v>0</v>
      </c>
      <c r="AL3166" s="28"/>
      <c r="AM3166" s="28" t="n">
        <f aca="false">AL3166*$M3166</f>
        <v>0</v>
      </c>
      <c r="AN3166" s="28"/>
      <c r="AO3166" s="28" t="n">
        <f aca="false">AN3166*$M3166</f>
        <v>0</v>
      </c>
      <c r="AP3166" s="28"/>
      <c r="AQ3166" s="28" t="n">
        <f aca="false">AP3166*$M3166</f>
        <v>0</v>
      </c>
      <c r="AR3166" s="28"/>
      <c r="AS3166" s="28" t="n">
        <f aca="false">AR3166*$M3166</f>
        <v>0</v>
      </c>
      <c r="AT3166" s="28"/>
      <c r="AU3166" s="28" t="n">
        <f aca="false">AT3166*$M3166</f>
        <v>0</v>
      </c>
      <c r="AV3166" s="28"/>
      <c r="AW3166" s="28" t="n">
        <f aca="false">AV3166*$M3166</f>
        <v>0</v>
      </c>
      <c r="AX3166" s="28"/>
      <c r="AY3166" s="28" t="n">
        <f aca="false">AX3166*$M3166</f>
        <v>0</v>
      </c>
      <c r="AZ3166" s="30" t="n">
        <f aca="false">23572/100</f>
        <v>235.72</v>
      </c>
      <c r="BA3166" s="11" t="n">
        <v>44787</v>
      </c>
      <c r="BB3166" s="31" t="n">
        <f aca="false">SUM(Q3166,S3166,U3166,W3166,Y3166,AA3166,AC3166,AE3166,AG3166,AI3166,AK3166,AM3166,AO3166,AQ3166,AS3166,AU3166,AW3166,AY3166)</f>
        <v>44787</v>
      </c>
      <c r="BC3166" s="28" t="n">
        <f aca="false">BA3166-BB3166</f>
        <v>0</v>
      </c>
      <c r="BD3166" s="32" t="n">
        <f aca="false">SUM(P3166,R3166,T3166,V3166,X3166,Z3166,AB3166,AD3166,AF3166,AH3166,AJ3166,AL3166,AN3166,AP3166,AR3166,AT3166,AV3166,AX3166)</f>
        <v>235.72</v>
      </c>
      <c r="BE3166" s="33" t="n">
        <f aca="false">AZ3166-BD3166</f>
        <v>0</v>
      </c>
      <c r="BF3166" s="34" t="n">
        <f aca="false">BD3166*M3166</f>
        <v>44786.8</v>
      </c>
      <c r="BG3166" s="35" t="n">
        <f aca="false">BA3166-BF3166</f>
        <v>0.19999999999709</v>
      </c>
      <c r="BH3166" s="19" t="str">
        <f aca="false">IF(BG3166=0,"",IF(BG3166&lt;&gt;BA3166,"erreur de calcul",IF(BD3166&lt;&gt;0,"pas de prix",IF(M3166&lt;&gt; 0,"pas de quantité","pas de prix, ni de quantité"))))</f>
        <v>erreur de calcul</v>
      </c>
      <c r="BI3166" s="19"/>
    </row>
    <row r="3167" customFormat="false" ht="15" hidden="false" customHeight="false" outlineLevel="0" collapsed="false">
      <c r="A3167" s="0" t="n">
        <v>6</v>
      </c>
      <c r="B3167" s="8" t="s">
        <v>24</v>
      </c>
      <c r="C3167" s="9" t="s">
        <v>25</v>
      </c>
      <c r="D3167" s="9" t="s">
        <v>26</v>
      </c>
      <c r="E3167" s="10" t="n">
        <v>1789</v>
      </c>
      <c r="F3167" s="9" t="s">
        <v>27</v>
      </c>
      <c r="G3167" s="9" t="s">
        <v>27</v>
      </c>
      <c r="H3167" s="11" t="n">
        <v>18</v>
      </c>
      <c r="I3167" s="11" t="s">
        <v>71</v>
      </c>
      <c r="J3167" s="14" t="n">
        <v>60</v>
      </c>
      <c r="K3167" s="14"/>
      <c r="L3167" s="16"/>
      <c r="M3167" s="27" t="n">
        <f aca="false">J3167+(K3167/20)+(L3167/240)</f>
        <v>60</v>
      </c>
      <c r="N3167" s="17" t="s">
        <v>64</v>
      </c>
      <c r="O3167" s="11"/>
      <c r="P3167" s="28" t="n">
        <f aca="false">674/100</f>
        <v>6.74</v>
      </c>
      <c r="Q3167" s="28" t="n">
        <v>404</v>
      </c>
      <c r="R3167" s="28"/>
      <c r="S3167" s="28" t="n">
        <f aca="false">R3167*$M3167</f>
        <v>0</v>
      </c>
      <c r="T3167" s="28"/>
      <c r="U3167" s="28" t="n">
        <f aca="false">T3167*$M3167</f>
        <v>0</v>
      </c>
      <c r="V3167" s="28"/>
      <c r="W3167" s="28" t="n">
        <f aca="false">V3167*$M3167</f>
        <v>0</v>
      </c>
      <c r="X3167" s="29"/>
      <c r="Y3167" s="28" t="n">
        <f aca="false">X3167*$M3167</f>
        <v>0</v>
      </c>
      <c r="Z3167" s="28"/>
      <c r="AA3167" s="28" t="n">
        <f aca="false">Z3167*$M3167</f>
        <v>0</v>
      </c>
      <c r="AB3167" s="28"/>
      <c r="AC3167" s="28" t="n">
        <f aca="false">AB3167*$M3167</f>
        <v>0</v>
      </c>
      <c r="AD3167" s="28"/>
      <c r="AE3167" s="28" t="n">
        <f aca="false">AD3167*$M3167</f>
        <v>0</v>
      </c>
      <c r="AF3167" s="28"/>
      <c r="AG3167" s="28" t="n">
        <f aca="false">AF3167*$M3167</f>
        <v>0</v>
      </c>
      <c r="AH3167" s="28"/>
      <c r="AI3167" s="28" t="n">
        <f aca="false">AH3167*$M3167</f>
        <v>0</v>
      </c>
      <c r="AJ3167" s="28" t="n">
        <f aca="false">1133/100</f>
        <v>11.33</v>
      </c>
      <c r="AK3167" s="28" t="n">
        <v>680</v>
      </c>
      <c r="AL3167" s="28" t="n">
        <f aca="false">3140/100</f>
        <v>31.4</v>
      </c>
      <c r="AM3167" s="28" t="n">
        <v>1884</v>
      </c>
      <c r="AN3167" s="28"/>
      <c r="AO3167" s="28" t="n">
        <f aca="false">AN3167*$M3167</f>
        <v>0</v>
      </c>
      <c r="AP3167" s="28"/>
      <c r="AQ3167" s="28" t="n">
        <f aca="false">AP3167*$M3167</f>
        <v>0</v>
      </c>
      <c r="AR3167" s="28"/>
      <c r="AS3167" s="28" t="n">
        <f aca="false">AR3167*$M3167</f>
        <v>0</v>
      </c>
      <c r="AT3167" s="28"/>
      <c r="AU3167" s="28" t="n">
        <f aca="false">AT3167*$M3167</f>
        <v>0</v>
      </c>
      <c r="AV3167" s="28"/>
      <c r="AW3167" s="28" t="n">
        <f aca="false">AV3167*$M3167</f>
        <v>0</v>
      </c>
      <c r="AX3167" s="28"/>
      <c r="AY3167" s="28" t="n">
        <f aca="false">AX3167*$M3167</f>
        <v>0</v>
      </c>
      <c r="AZ3167" s="30" t="n">
        <f aca="false">4947/100</f>
        <v>49.47</v>
      </c>
      <c r="BA3167" s="11" t="n">
        <v>2968</v>
      </c>
      <c r="BB3167" s="31" t="n">
        <f aca="false">SUM(Q3167,S3167,U3167,W3167,Y3167,AA3167,AC3167,AE3167,AG3167,AI3167,AK3167,AM3167,AO3167,AQ3167,AS3167,AU3167,AW3167,AY3167)</f>
        <v>2968</v>
      </c>
      <c r="BC3167" s="28" t="n">
        <f aca="false">BA3167-BB3167</f>
        <v>0</v>
      </c>
      <c r="BD3167" s="32" t="n">
        <f aca="false">SUM(P3167,R3167,T3167,V3167,X3167,Z3167,AB3167,AD3167,AF3167,AH3167,AJ3167,AL3167,AN3167,AP3167,AR3167,AT3167,AV3167,AX3167)</f>
        <v>49.47</v>
      </c>
      <c r="BE3167" s="33" t="n">
        <f aca="false">AZ3167-BD3167</f>
        <v>0</v>
      </c>
      <c r="BF3167" s="34" t="n">
        <f aca="false">BD3167*M3167</f>
        <v>2968.2</v>
      </c>
      <c r="BG3167" s="35" t="n">
        <f aca="false">BA3167-BF3167</f>
        <v>-0.199999999999818</v>
      </c>
      <c r="BH3167" s="19" t="str">
        <f aca="false">IF(BG3167=0,"",IF(BG3167&lt;&gt;BA3167,"erreur de calcul",IF(BD3167&lt;&gt;0,"pas de prix",IF(M3167&lt;&gt; 0,"pas de quantité","pas de prix, ni de quantité"))))</f>
        <v>erreur de calcul</v>
      </c>
      <c r="BI3167" s="19"/>
    </row>
    <row r="3168" customFormat="false" ht="15" hidden="false" customHeight="false" outlineLevel="0" collapsed="false">
      <c r="A3168" s="0" t="n">
        <v>7</v>
      </c>
      <c r="B3168" s="8" t="s">
        <v>24</v>
      </c>
      <c r="C3168" s="9" t="s">
        <v>25</v>
      </c>
      <c r="D3168" s="9" t="s">
        <v>26</v>
      </c>
      <c r="E3168" s="10" t="n">
        <v>1789</v>
      </c>
      <c r="F3168" s="9" t="s">
        <v>27</v>
      </c>
      <c r="G3168" s="9" t="s">
        <v>27</v>
      </c>
      <c r="H3168" s="11" t="n">
        <v>18</v>
      </c>
      <c r="I3168" s="11" t="s">
        <v>72</v>
      </c>
      <c r="J3168" s="14" t="n">
        <v>15</v>
      </c>
      <c r="K3168" s="14"/>
      <c r="L3168" s="16"/>
      <c r="M3168" s="27" t="n">
        <f aca="false">J3168+(K3168/20)+(L3168/240)</f>
        <v>15</v>
      </c>
      <c r="N3168" s="17" t="s">
        <v>64</v>
      </c>
      <c r="O3168" s="11"/>
      <c r="P3168" s="28"/>
      <c r="Q3168" s="28" t="n">
        <f aca="false">P3168*$M3168</f>
        <v>0</v>
      </c>
      <c r="R3168" s="28"/>
      <c r="S3168" s="28" t="n">
        <f aca="false">R3168*$M3168</f>
        <v>0</v>
      </c>
      <c r="T3168" s="28"/>
      <c r="U3168" s="28" t="n">
        <f aca="false">T3168*$M3168</f>
        <v>0</v>
      </c>
      <c r="V3168" s="28"/>
      <c r="W3168" s="28" t="n">
        <f aca="false">V3168*$M3168</f>
        <v>0</v>
      </c>
      <c r="X3168" s="29"/>
      <c r="Y3168" s="28" t="n">
        <f aca="false">X3168*$M3168</f>
        <v>0</v>
      </c>
      <c r="Z3168" s="28"/>
      <c r="AA3168" s="28" t="n">
        <f aca="false">Z3168*$M3168</f>
        <v>0</v>
      </c>
      <c r="AB3168" s="28"/>
      <c r="AC3168" s="28" t="n">
        <f aca="false">AB3168*$M3168</f>
        <v>0</v>
      </c>
      <c r="AD3168" s="28"/>
      <c r="AE3168" s="28" t="n">
        <f aca="false">AD3168*$M3168</f>
        <v>0</v>
      </c>
      <c r="AF3168" s="28"/>
      <c r="AG3168" s="28" t="n">
        <f aca="false">AF3168*$M3168</f>
        <v>0</v>
      </c>
      <c r="AH3168" s="28"/>
      <c r="AI3168" s="28" t="n">
        <f aca="false">AH3168*$M3168</f>
        <v>0</v>
      </c>
      <c r="AJ3168" s="28" t="n">
        <f aca="false">119*288*0.02+88*0.02</f>
        <v>687.2</v>
      </c>
      <c r="AK3168" s="28" t="n">
        <v>10308</v>
      </c>
      <c r="AL3168" s="28"/>
      <c r="AM3168" s="28" t="n">
        <f aca="false">AL3168*$M3168</f>
        <v>0</v>
      </c>
      <c r="AN3168" s="28"/>
      <c r="AO3168" s="28" t="n">
        <f aca="false">AN3168*$M3168</f>
        <v>0</v>
      </c>
      <c r="AP3168" s="28"/>
      <c r="AQ3168" s="28" t="n">
        <f aca="false">AP3168*$M3168</f>
        <v>0</v>
      </c>
      <c r="AR3168" s="28"/>
      <c r="AS3168" s="28" t="n">
        <f aca="false">AR3168*$M3168</f>
        <v>0</v>
      </c>
      <c r="AT3168" s="28"/>
      <c r="AU3168" s="28" t="n">
        <f aca="false">AT3168*$M3168</f>
        <v>0</v>
      </c>
      <c r="AV3168" s="28"/>
      <c r="AW3168" s="28" t="n">
        <f aca="false">AV3168*$M3168</f>
        <v>0</v>
      </c>
      <c r="AX3168" s="28"/>
      <c r="AY3168" s="28" t="n">
        <f aca="false">AX3168*$M3168</f>
        <v>0</v>
      </c>
      <c r="AZ3168" s="30" t="n">
        <f aca="false">119*288*0.02+88*0.02</f>
        <v>687.2</v>
      </c>
      <c r="BA3168" s="11" t="n">
        <v>10308</v>
      </c>
      <c r="BB3168" s="31" t="n">
        <f aca="false">SUM(Q3168,S3168,U3168,W3168,Y3168,AA3168,AC3168,AE3168,AG3168,AI3168,AK3168,AM3168,AO3168,AQ3168,AS3168,AU3168,AW3168,AY3168)</f>
        <v>10308</v>
      </c>
      <c r="BC3168" s="28" t="n">
        <f aca="false">BA3168-BB3168</f>
        <v>0</v>
      </c>
      <c r="BD3168" s="32" t="n">
        <f aca="false">SUM(P3168,R3168,T3168,V3168,X3168,Z3168,AB3168,AD3168,AF3168,AH3168,AJ3168,AL3168,AN3168,AP3168,AR3168,AT3168,AV3168,AX3168)</f>
        <v>687.2</v>
      </c>
      <c r="BE3168" s="33" t="n">
        <f aca="false">AZ3168-BD3168</f>
        <v>0</v>
      </c>
      <c r="BF3168" s="34" t="n">
        <f aca="false">BD3168*M3168</f>
        <v>10308</v>
      </c>
      <c r="BG3168" s="35" t="n">
        <f aca="false">BA3168-BF3168</f>
        <v>0</v>
      </c>
      <c r="BH3168" s="19" t="str">
        <f aca="false">IF(BG3168=0,"",IF(BG3168&lt;&gt;BA3168,"erreur de calcul",IF(BD3168&lt;&gt;0,"pas de prix",IF(M3168&lt;&gt; 0,"pas de quantité","pas de prix, ni de quantité"))))</f>
        <v/>
      </c>
      <c r="BI3168" s="19"/>
    </row>
    <row r="3169" customFormat="false" ht="15" hidden="false" customHeight="false" outlineLevel="0" collapsed="false">
      <c r="A3169" s="0" t="n">
        <v>8</v>
      </c>
      <c r="B3169" s="8" t="s">
        <v>24</v>
      </c>
      <c r="C3169" s="9" t="s">
        <v>25</v>
      </c>
      <c r="D3169" s="9" t="s">
        <v>26</v>
      </c>
      <c r="E3169" s="10" t="n">
        <v>1789</v>
      </c>
      <c r="F3169" s="9" t="s">
        <v>27</v>
      </c>
      <c r="G3169" s="9" t="s">
        <v>27</v>
      </c>
      <c r="H3169" s="11" t="n">
        <v>18</v>
      </c>
      <c r="I3169" s="11" t="s">
        <v>73</v>
      </c>
      <c r="J3169" s="14"/>
      <c r="K3169" s="14"/>
      <c r="L3169" s="16"/>
      <c r="M3169" s="27" t="n">
        <f aca="false">J3169+(K3169/20)+(L3169/240)</f>
        <v>0</v>
      </c>
      <c r="N3169" s="17"/>
      <c r="O3169" s="11"/>
      <c r="P3169" s="28"/>
      <c r="Q3169" s="28" t="n">
        <f aca="false">P3169*$M3169</f>
        <v>0</v>
      </c>
      <c r="R3169" s="28"/>
      <c r="S3169" s="28" t="n">
        <f aca="false">R3169*$M3169</f>
        <v>0</v>
      </c>
      <c r="T3169" s="28"/>
      <c r="U3169" s="28" t="n">
        <v>3356</v>
      </c>
      <c r="V3169" s="28"/>
      <c r="W3169" s="28" t="n">
        <v>1444</v>
      </c>
      <c r="X3169" s="29"/>
      <c r="Y3169" s="28" t="n">
        <f aca="false">X3169*$M3169</f>
        <v>0</v>
      </c>
      <c r="Z3169" s="28"/>
      <c r="AA3169" s="28" t="n">
        <f aca="false">Z3169*$M3169</f>
        <v>0</v>
      </c>
      <c r="AB3169" s="28"/>
      <c r="AC3169" s="28" t="n">
        <f aca="false">AB3169*$M3169</f>
        <v>0</v>
      </c>
      <c r="AD3169" s="28"/>
      <c r="AE3169" s="28" t="n">
        <f aca="false">AD3169*$M3169</f>
        <v>0</v>
      </c>
      <c r="AF3169" s="28"/>
      <c r="AG3169" s="28" t="n">
        <f aca="false">AF3169*$M3169</f>
        <v>0</v>
      </c>
      <c r="AH3169" s="28"/>
      <c r="AI3169" s="28" t="n">
        <f aca="false">AH3169*$M3169</f>
        <v>0</v>
      </c>
      <c r="AJ3169" s="28"/>
      <c r="AK3169" s="28" t="n">
        <f aca="false">AJ3169*$M3169</f>
        <v>0</v>
      </c>
      <c r="AL3169" s="28"/>
      <c r="AM3169" s="28" t="n">
        <f aca="false">AL3169*$M3169</f>
        <v>0</v>
      </c>
      <c r="AN3169" s="28"/>
      <c r="AO3169" s="28" t="n">
        <f aca="false">AN3169*$M3169</f>
        <v>0</v>
      </c>
      <c r="AP3169" s="28"/>
      <c r="AQ3169" s="28" t="n">
        <f aca="false">AP3169*$M3169</f>
        <v>0</v>
      </c>
      <c r="AR3169" s="28"/>
      <c r="AS3169" s="28" t="n">
        <f aca="false">AR3169*$M3169</f>
        <v>0</v>
      </c>
      <c r="AT3169" s="28"/>
      <c r="AU3169" s="28" t="n">
        <f aca="false">AT3169*$M3169</f>
        <v>0</v>
      </c>
      <c r="AV3169" s="28"/>
      <c r="AW3169" s="28" t="n">
        <f aca="false">AV3169*$M3169</f>
        <v>0</v>
      </c>
      <c r="AX3169" s="28"/>
      <c r="AY3169" s="28" t="n">
        <f aca="false">AX3169*$M3169</f>
        <v>0</v>
      </c>
      <c r="AZ3169" s="30"/>
      <c r="BA3169" s="11" t="n">
        <v>4800</v>
      </c>
      <c r="BB3169" s="31" t="n">
        <f aca="false">SUM(Q3169,S3169,U3169,W3169,Y3169,AA3169,AC3169,AE3169,AG3169,AI3169,AK3169,AM3169,AO3169,AQ3169,AS3169,AU3169,AW3169,AY3169)</f>
        <v>4800</v>
      </c>
      <c r="BC3169" s="28" t="n">
        <f aca="false">BA3169-BB3169</f>
        <v>0</v>
      </c>
      <c r="BD3169" s="32" t="n">
        <f aca="false">SUM(P3169,R3169,T3169,V3169,X3169,Z3169,AB3169,AD3169,AF3169,AH3169,AJ3169,AL3169,AN3169,AP3169,AR3169,AT3169,AV3169,AX3169)</f>
        <v>0</v>
      </c>
      <c r="BE3169" s="33" t="n">
        <f aca="false">AZ3169-BD3169</f>
        <v>0</v>
      </c>
      <c r="BF3169" s="34" t="n">
        <f aca="false">BD3169*M3169</f>
        <v>0</v>
      </c>
      <c r="BG3169" s="35" t="n">
        <f aca="false">BA3169-BF3169</f>
        <v>4800</v>
      </c>
      <c r="BH3169" s="19" t="str">
        <f aca="false">IF(BG3169=0,"",IF(BG3169&lt;&gt;BA3169,"erreur de calcul",IF(BD3169&lt;&gt;0,"pas de prix",IF(M3169&lt;&gt; 0,"pas de quantité","pas de prix, ni de quantité"))))</f>
        <v>pas de prix, ni de quantité</v>
      </c>
      <c r="BI3169" s="19"/>
    </row>
    <row r="3170" customFormat="false" ht="15" hidden="false" customHeight="false" outlineLevel="0" collapsed="false">
      <c r="A3170" s="0" t="n">
        <v>9</v>
      </c>
      <c r="B3170" s="8" t="s">
        <v>24</v>
      </c>
      <c r="C3170" s="9" t="s">
        <v>25</v>
      </c>
      <c r="D3170" s="9" t="s">
        <v>26</v>
      </c>
      <c r="E3170" s="10" t="n">
        <v>1789</v>
      </c>
      <c r="F3170" s="9" t="s">
        <v>27</v>
      </c>
      <c r="G3170" s="9" t="s">
        <v>27</v>
      </c>
      <c r="H3170" s="11" t="n">
        <v>18</v>
      </c>
      <c r="I3170" s="11" t="s">
        <v>74</v>
      </c>
      <c r="J3170" s="14"/>
      <c r="K3170" s="14"/>
      <c r="L3170" s="16"/>
      <c r="M3170" s="27" t="n">
        <f aca="false">J3170+(K3170/20)+(L3170/240)</f>
        <v>0</v>
      </c>
      <c r="N3170" s="17" t="s">
        <v>66</v>
      </c>
      <c r="O3170" s="11"/>
      <c r="P3170" s="28"/>
      <c r="Q3170" s="28" t="n">
        <f aca="false">P3170*$M3170</f>
        <v>0</v>
      </c>
      <c r="R3170" s="28"/>
      <c r="S3170" s="28" t="n">
        <f aca="false">R3170*$M3170</f>
        <v>0</v>
      </c>
      <c r="T3170" s="28"/>
      <c r="U3170" s="28" t="n">
        <f aca="false">T3170*$M3170</f>
        <v>0</v>
      </c>
      <c r="V3170" s="28"/>
      <c r="W3170" s="28" t="n">
        <f aca="false">V3170*$M3170</f>
        <v>0</v>
      </c>
      <c r="X3170" s="29"/>
      <c r="Y3170" s="28"/>
      <c r="Z3170" s="28"/>
      <c r="AA3170" s="28" t="n">
        <f aca="false">Z3170*$M3170</f>
        <v>0</v>
      </c>
      <c r="AB3170" s="28"/>
      <c r="AC3170" s="28" t="n">
        <f aca="false">AB3170*$M3170</f>
        <v>0</v>
      </c>
      <c r="AD3170" s="28"/>
      <c r="AE3170" s="28" t="n">
        <f aca="false">AD3170*$M3170</f>
        <v>0</v>
      </c>
      <c r="AF3170" s="28"/>
      <c r="AG3170" s="28" t="n">
        <f aca="false">AF3170*$M3170</f>
        <v>0</v>
      </c>
      <c r="AH3170" s="28" t="n">
        <v>45346</v>
      </c>
      <c r="AI3170" s="28" t="n">
        <v>3174</v>
      </c>
      <c r="AJ3170" s="28"/>
      <c r="AK3170" s="28" t="n">
        <f aca="false">AJ3170*$M3170</f>
        <v>0</v>
      </c>
      <c r="AL3170" s="28"/>
      <c r="AM3170" s="28" t="n">
        <f aca="false">AL3170*$M3170</f>
        <v>0</v>
      </c>
      <c r="AN3170" s="28"/>
      <c r="AO3170" s="28" t="n">
        <f aca="false">AN3170*$M3170</f>
        <v>0</v>
      </c>
      <c r="AP3170" s="28"/>
      <c r="AQ3170" s="28" t="n">
        <f aca="false">AP3170*$M3170</f>
        <v>0</v>
      </c>
      <c r="AR3170" s="28"/>
      <c r="AS3170" s="28" t="n">
        <f aca="false">AR3170*$M3170</f>
        <v>0</v>
      </c>
      <c r="AT3170" s="28"/>
      <c r="AU3170" s="28" t="n">
        <f aca="false">AT3170*$M3170</f>
        <v>0</v>
      </c>
      <c r="AV3170" s="28"/>
      <c r="AW3170" s="28" t="n">
        <f aca="false">AV3170*$M3170</f>
        <v>0</v>
      </c>
      <c r="AX3170" s="28"/>
      <c r="AY3170" s="28" t="n">
        <f aca="false">AX3170*$M3170</f>
        <v>0</v>
      </c>
      <c r="AZ3170" s="30" t="n">
        <v>45346</v>
      </c>
      <c r="BA3170" s="11" t="n">
        <v>3174</v>
      </c>
      <c r="BB3170" s="31" t="n">
        <f aca="false">SUM(Q3170,S3170,U3170,W3170,Y3170,AA3170,AC3170,AE3170,AG3170,AI3170,AK3170,AM3170,AO3170,AQ3170,AS3170,AU3170,AW3170,AY3170)</f>
        <v>3174</v>
      </c>
      <c r="BC3170" s="28" t="n">
        <f aca="false">BA3170-BB3170</f>
        <v>0</v>
      </c>
      <c r="BD3170" s="32" t="n">
        <f aca="false">SUM(P3170,R3170,T3170,V3170,X3170,Z3170,AB3170,AD3170,AF3170,AH3170,AJ3170,AL3170,AN3170,AP3170,AR3170,AT3170,AV3170,AX3170)</f>
        <v>45346</v>
      </c>
      <c r="BE3170" s="33" t="n">
        <f aca="false">AZ3170-BD3170</f>
        <v>0</v>
      </c>
      <c r="BF3170" s="34" t="n">
        <f aca="false">BD3170*M3170</f>
        <v>0</v>
      </c>
      <c r="BG3170" s="35" t="n">
        <f aca="false">BA3170-BF3170</f>
        <v>3174</v>
      </c>
      <c r="BH3170" s="19" t="str">
        <f aca="false">IF(BG3170=0,"",IF(BG3170&lt;&gt;BA3170,"erreur de calcul",IF(BD3170&lt;&gt;0,"pas de prix",IF(M3170&lt;&gt; 0,"pas de quantité","pas de prix, ni de quantité"))))</f>
        <v>pas de prix</v>
      </c>
      <c r="BI3170" s="19" t="s">
        <v>75</v>
      </c>
    </row>
    <row r="3171" customFormat="false" ht="15" hidden="false" customHeight="false" outlineLevel="0" collapsed="false">
      <c r="A3171" s="0" t="n">
        <v>10</v>
      </c>
      <c r="B3171" s="8" t="s">
        <v>24</v>
      </c>
      <c r="C3171" s="9" t="s">
        <v>25</v>
      </c>
      <c r="D3171" s="9" t="s">
        <v>26</v>
      </c>
      <c r="E3171" s="10" t="n">
        <v>1789</v>
      </c>
      <c r="F3171" s="9" t="s">
        <v>27</v>
      </c>
      <c r="G3171" s="9" t="s">
        <v>27</v>
      </c>
      <c r="H3171" s="11" t="n">
        <v>18</v>
      </c>
      <c r="I3171" s="11" t="s">
        <v>76</v>
      </c>
      <c r="J3171" s="14"/>
      <c r="K3171" s="14" t="n">
        <v>20</v>
      </c>
      <c r="L3171" s="16"/>
      <c r="M3171" s="27" t="n">
        <f aca="false">J3171+(K3171/20)+(L3171/240)</f>
        <v>1</v>
      </c>
      <c r="N3171" s="17" t="s">
        <v>64</v>
      </c>
      <c r="O3171" s="11" t="s">
        <v>77</v>
      </c>
      <c r="P3171" s="28" t="n">
        <f aca="false">66667/100</f>
        <v>666.67</v>
      </c>
      <c r="Q3171" s="28" t="n">
        <v>667</v>
      </c>
      <c r="R3171" s="28"/>
      <c r="S3171" s="28" t="n">
        <f aca="false">R3171*$M3171</f>
        <v>0</v>
      </c>
      <c r="T3171" s="28"/>
      <c r="U3171" s="28" t="n">
        <f aca="false">T3171*$M3171</f>
        <v>0</v>
      </c>
      <c r="V3171" s="28" t="n">
        <f aca="false">281532/100</f>
        <v>2815.32</v>
      </c>
      <c r="W3171" s="28" t="n">
        <v>2815</v>
      </c>
      <c r="X3171" s="29" t="n">
        <f aca="false">366667/100</f>
        <v>3666.67</v>
      </c>
      <c r="Y3171" s="28" t="n">
        <v>3666</v>
      </c>
      <c r="Z3171" s="28" t="n">
        <f aca="false">33334/100</f>
        <v>333.34</v>
      </c>
      <c r="AA3171" s="28" t="n">
        <v>333</v>
      </c>
      <c r="AB3171" s="28"/>
      <c r="AC3171" s="28" t="n">
        <f aca="false">AB3171*$M3171</f>
        <v>0</v>
      </c>
      <c r="AD3171" s="28"/>
      <c r="AE3171" s="28" t="n">
        <f aca="false">AD3171*$M3171</f>
        <v>0</v>
      </c>
      <c r="AF3171" s="28"/>
      <c r="AG3171" s="28" t="n">
        <f aca="false">AF3171*$M3171</f>
        <v>0</v>
      </c>
      <c r="AH3171" s="28"/>
      <c r="AI3171" s="28" t="n">
        <f aca="false">AH3171*$M3171</f>
        <v>0</v>
      </c>
      <c r="AJ3171" s="28"/>
      <c r="AK3171" s="28" t="n">
        <f aca="false">AJ3171*$M3171</f>
        <v>0</v>
      </c>
      <c r="AL3171" s="28"/>
      <c r="AM3171" s="28" t="n">
        <f aca="false">AL3171*$M3171</f>
        <v>0</v>
      </c>
      <c r="AN3171" s="28"/>
      <c r="AO3171" s="28" t="n">
        <f aca="false">AN3171*$M3171</f>
        <v>0</v>
      </c>
      <c r="AP3171" s="28"/>
      <c r="AQ3171" s="28" t="n">
        <f aca="false">AP3171*$M3171</f>
        <v>0</v>
      </c>
      <c r="AR3171" s="28"/>
      <c r="AS3171" s="28" t="n">
        <f aca="false">AR3171*$M3171</f>
        <v>0</v>
      </c>
      <c r="AT3171" s="28"/>
      <c r="AU3171" s="28" t="n">
        <f aca="false">AT3171*$M3171</f>
        <v>0</v>
      </c>
      <c r="AV3171" s="28"/>
      <c r="AW3171" s="28" t="n">
        <f aca="false">AV3171*$M3171</f>
        <v>0</v>
      </c>
      <c r="AX3171" s="28"/>
      <c r="AY3171" s="28" t="n">
        <f aca="false">AX3171*$M3171</f>
        <v>0</v>
      </c>
      <c r="AZ3171" s="30" t="n">
        <f aca="false">748200/100</f>
        <v>7482</v>
      </c>
      <c r="BA3171" s="11" t="n">
        <v>7481</v>
      </c>
      <c r="BB3171" s="31" t="n">
        <f aca="false">SUM(Q3171,S3171,U3171,W3171,Y3171,AA3171,AC3171,AE3171,AG3171,AI3171,AK3171,AM3171,AO3171,AQ3171,AS3171,AU3171,AW3171,AY3171)</f>
        <v>7481</v>
      </c>
      <c r="BC3171" s="28" t="n">
        <f aca="false">BA3171-BB3171</f>
        <v>0</v>
      </c>
      <c r="BD3171" s="32" t="n">
        <f aca="false">SUM(P3171,R3171,T3171,V3171,X3171,Z3171,AB3171,AD3171,AF3171,AH3171,AJ3171,AL3171,AN3171,AP3171,AR3171,AT3171,AV3171,AX3171)</f>
        <v>7482</v>
      </c>
      <c r="BE3171" s="33" t="n">
        <f aca="false">AZ3171-BD3171</f>
        <v>0</v>
      </c>
      <c r="BF3171" s="34" t="n">
        <f aca="false">BD3171*M3171</f>
        <v>7482</v>
      </c>
      <c r="BG3171" s="35" t="n">
        <f aca="false">BA3171-BF3171</f>
        <v>-1</v>
      </c>
      <c r="BH3171" s="19" t="str">
        <f aca="false">IF(BG3171=0,"",IF(BG3171&lt;&gt;BA3171,"erreur de calcul",IF(BD3171&lt;&gt;0,"pas de prix",IF(M3171&lt;&gt; 0,"pas de quantité","pas de prix, ni de quantité"))))</f>
        <v>erreur de calcul</v>
      </c>
      <c r="BI3171" s="19"/>
    </row>
    <row r="3172" customFormat="false" ht="15" hidden="false" customHeight="false" outlineLevel="0" collapsed="false">
      <c r="A3172" s="0" t="n">
        <v>11</v>
      </c>
      <c r="B3172" s="8" t="s">
        <v>24</v>
      </c>
      <c r="C3172" s="9" t="s">
        <v>25</v>
      </c>
      <c r="D3172" s="9" t="s">
        <v>26</v>
      </c>
      <c r="E3172" s="10" t="n">
        <v>1789</v>
      </c>
      <c r="F3172" s="9" t="s">
        <v>27</v>
      </c>
      <c r="G3172" s="9" t="s">
        <v>27</v>
      </c>
      <c r="H3172" s="11" t="n">
        <v>18</v>
      </c>
      <c r="I3172" s="11" t="s">
        <v>78</v>
      </c>
      <c r="J3172" s="14"/>
      <c r="K3172" s="14" t="n">
        <v>50</v>
      </c>
      <c r="L3172" s="16"/>
      <c r="M3172" s="27" t="n">
        <f aca="false">J3172+(K3172/20)+(L3172/240)</f>
        <v>2.5</v>
      </c>
      <c r="N3172" s="17" t="s">
        <v>79</v>
      </c>
      <c r="O3172" s="11"/>
      <c r="P3172" s="28"/>
      <c r="Q3172" s="28" t="n">
        <f aca="false">P3172*$M3172</f>
        <v>0</v>
      </c>
      <c r="R3172" s="28"/>
      <c r="S3172" s="28" t="n">
        <f aca="false">R3172*$M3172</f>
        <v>0</v>
      </c>
      <c r="T3172" s="28"/>
      <c r="U3172" s="28" t="n">
        <f aca="false">T3172*$M3172</f>
        <v>0</v>
      </c>
      <c r="V3172" s="28" t="n">
        <v>61807</v>
      </c>
      <c r="W3172" s="28" t="n">
        <v>154517</v>
      </c>
      <c r="X3172" s="29"/>
      <c r="Y3172" s="28" t="n">
        <f aca="false">X3172*$M3172</f>
        <v>0</v>
      </c>
      <c r="Z3172" s="28"/>
      <c r="AA3172" s="28" t="n">
        <f aca="false">Z3172*$M3172</f>
        <v>0</v>
      </c>
      <c r="AB3172" s="28" t="n">
        <v>43640</v>
      </c>
      <c r="AC3172" s="28" t="n">
        <v>109100</v>
      </c>
      <c r="AD3172" s="28"/>
      <c r="AE3172" s="28" t="n">
        <f aca="false">AD3172*$M3172</f>
        <v>0</v>
      </c>
      <c r="AF3172" s="28"/>
      <c r="AG3172" s="28" t="n">
        <f aca="false">AF3172*$M3172</f>
        <v>0</v>
      </c>
      <c r="AH3172" s="28"/>
      <c r="AI3172" s="28" t="n">
        <f aca="false">AH3172*$M3172</f>
        <v>0</v>
      </c>
      <c r="AJ3172" s="28"/>
      <c r="AK3172" s="28" t="n">
        <f aca="false">AJ3172*$M3172</f>
        <v>0</v>
      </c>
      <c r="AL3172" s="28"/>
      <c r="AM3172" s="28" t="n">
        <f aca="false">AL3172*$M3172</f>
        <v>0</v>
      </c>
      <c r="AN3172" s="28"/>
      <c r="AO3172" s="28" t="n">
        <f aca="false">AN3172*$M3172</f>
        <v>0</v>
      </c>
      <c r="AP3172" s="28"/>
      <c r="AQ3172" s="28" t="n">
        <f aca="false">AP3172*$M3172</f>
        <v>0</v>
      </c>
      <c r="AR3172" s="28"/>
      <c r="AS3172" s="28" t="n">
        <f aca="false">AR3172*$M3172</f>
        <v>0</v>
      </c>
      <c r="AT3172" s="28"/>
      <c r="AU3172" s="28" t="n">
        <f aca="false">AT3172*$M3172</f>
        <v>0</v>
      </c>
      <c r="AV3172" s="28"/>
      <c r="AW3172" s="28" t="n">
        <f aca="false">AV3172*$M3172</f>
        <v>0</v>
      </c>
      <c r="AX3172" s="28"/>
      <c r="AY3172" s="28" t="n">
        <f aca="false">AX3172*$M3172</f>
        <v>0</v>
      </c>
      <c r="AZ3172" s="30" t="n">
        <v>105447</v>
      </c>
      <c r="BA3172" s="11" t="n">
        <v>263617</v>
      </c>
      <c r="BB3172" s="31" t="n">
        <f aca="false">SUM(Q3172,S3172,U3172,W3172,Y3172,AA3172,AC3172,AE3172,AG3172,AI3172,AK3172,AM3172,AO3172,AQ3172,AS3172,AU3172,AW3172,AY3172)</f>
        <v>263617</v>
      </c>
      <c r="BC3172" s="28" t="n">
        <f aca="false">BA3172-BB3172</f>
        <v>0</v>
      </c>
      <c r="BD3172" s="32" t="n">
        <f aca="false">SUM(P3172,R3172,T3172,V3172,X3172,Z3172,AB3172,AD3172,AF3172,AH3172,AJ3172,AL3172,AN3172,AP3172,AR3172,AT3172,AV3172,AX3172)</f>
        <v>105447</v>
      </c>
      <c r="BE3172" s="33" t="n">
        <f aca="false">AZ3172-BD3172</f>
        <v>0</v>
      </c>
      <c r="BF3172" s="34" t="n">
        <f aca="false">BD3172*M3172</f>
        <v>263617.5</v>
      </c>
      <c r="BG3172" s="35" t="n">
        <f aca="false">BA3172-BF3172</f>
        <v>-0.5</v>
      </c>
      <c r="BH3172" s="19" t="str">
        <f aca="false">IF(BG3172=0,"",IF(BG3172&lt;&gt;BA3172,"erreur de calcul",IF(BD3172&lt;&gt;0,"pas de prix",IF(M3172&lt;&gt; 0,"pas de quantité","pas de prix, ni de quantité"))))</f>
        <v>erreur de calcul</v>
      </c>
      <c r="BI3172" s="19"/>
    </row>
    <row r="3173" customFormat="false" ht="15" hidden="false" customHeight="false" outlineLevel="0" collapsed="false">
      <c r="A3173" s="0" t="n">
        <v>12</v>
      </c>
      <c r="B3173" s="8" t="s">
        <v>24</v>
      </c>
      <c r="C3173" s="9" t="s">
        <v>25</v>
      </c>
      <c r="D3173" s="9" t="s">
        <v>26</v>
      </c>
      <c r="E3173" s="10" t="n">
        <v>1789</v>
      </c>
      <c r="F3173" s="9" t="s">
        <v>27</v>
      </c>
      <c r="G3173" s="9" t="s">
        <v>27</v>
      </c>
      <c r="H3173" s="11" t="n">
        <v>18</v>
      </c>
      <c r="I3173" s="11" t="s">
        <v>80</v>
      </c>
      <c r="J3173" s="14"/>
      <c r="K3173" s="14" t="n">
        <v>4</v>
      </c>
      <c r="L3173" s="16"/>
      <c r="M3173" s="27" t="n">
        <f aca="false">J3173+(K3173/20)+(L3173/240)</f>
        <v>0.2</v>
      </c>
      <c r="N3173" s="17" t="s">
        <v>81</v>
      </c>
      <c r="O3173" s="11"/>
      <c r="P3173" s="28"/>
      <c r="Q3173" s="28" t="n">
        <f aca="false">P3173*$M3173</f>
        <v>0</v>
      </c>
      <c r="R3173" s="28"/>
      <c r="S3173" s="28" t="n">
        <f aca="false">R3173*$M3173</f>
        <v>0</v>
      </c>
      <c r="T3173" s="28"/>
      <c r="U3173" s="28" t="n">
        <f aca="false">T3173*$M3173</f>
        <v>0</v>
      </c>
      <c r="V3173" s="28" t="n">
        <v>5800</v>
      </c>
      <c r="W3173" s="28" t="n">
        <v>1160</v>
      </c>
      <c r="X3173" s="29"/>
      <c r="Y3173" s="28" t="n">
        <v>1069</v>
      </c>
      <c r="Z3173" s="28"/>
      <c r="AA3173" s="28" t="n">
        <f aca="false">Z3173*$M3173</f>
        <v>0</v>
      </c>
      <c r="AB3173" s="28"/>
      <c r="AC3173" s="28" t="n">
        <f aca="false">AB3173*$M3173</f>
        <v>0</v>
      </c>
      <c r="AD3173" s="28"/>
      <c r="AE3173" s="28" t="n">
        <f aca="false">AD3173*$M3173</f>
        <v>0</v>
      </c>
      <c r="AF3173" s="28"/>
      <c r="AG3173" s="28" t="n">
        <f aca="false">AF3173*$M3173</f>
        <v>0</v>
      </c>
      <c r="AH3173" s="28"/>
      <c r="AI3173" s="28" t="n">
        <f aca="false">AH3173*$M3173</f>
        <v>0</v>
      </c>
      <c r="AJ3173" s="28"/>
      <c r="AK3173" s="28" t="n">
        <f aca="false">AJ3173*$M3173</f>
        <v>0</v>
      </c>
      <c r="AL3173" s="28"/>
      <c r="AM3173" s="28" t="n">
        <f aca="false">AL3173*$M3173</f>
        <v>0</v>
      </c>
      <c r="AN3173" s="28"/>
      <c r="AO3173" s="28" t="n">
        <f aca="false">AN3173*$M3173</f>
        <v>0</v>
      </c>
      <c r="AP3173" s="28"/>
      <c r="AQ3173" s="28" t="n">
        <f aca="false">AP3173*$M3173</f>
        <v>0</v>
      </c>
      <c r="AR3173" s="28"/>
      <c r="AS3173" s="28" t="n">
        <f aca="false">AR3173*$M3173</f>
        <v>0</v>
      </c>
      <c r="AT3173" s="28"/>
      <c r="AU3173" s="28" t="n">
        <f aca="false">AT3173*$M3173</f>
        <v>0</v>
      </c>
      <c r="AV3173" s="28"/>
      <c r="AW3173" s="28" t="n">
        <f aca="false">AV3173*$M3173</f>
        <v>0</v>
      </c>
      <c r="AX3173" s="28"/>
      <c r="AY3173" s="28" t="n">
        <f aca="false">AX3173*$M3173</f>
        <v>0</v>
      </c>
      <c r="AZ3173" s="30" t="n">
        <v>11144</v>
      </c>
      <c r="BA3173" s="11" t="n">
        <v>2229</v>
      </c>
      <c r="BB3173" s="31" t="n">
        <f aca="false">SUM(Q3173,S3173,U3173,W3173,Y3173,AA3173,AC3173,AE3173,AG3173,AI3173,AK3173,AM3173,AO3173,AQ3173,AS3173,AU3173,AW3173,AY3173)</f>
        <v>2229</v>
      </c>
      <c r="BC3173" s="28" t="n">
        <f aca="false">BA3173-BB3173</f>
        <v>0</v>
      </c>
      <c r="BD3173" s="32" t="n">
        <f aca="false">SUM(P3173,R3173,T3173,V3173,X3173,Z3173,AB3173,AD3173,AF3173,AH3173,AJ3173,AL3173,AN3173,AP3173,AR3173,AT3173,AV3173,AX3173)</f>
        <v>5800</v>
      </c>
      <c r="BE3173" s="33" t="n">
        <f aca="false">AZ3173-BD3173</f>
        <v>5344</v>
      </c>
      <c r="BF3173" s="34" t="n">
        <f aca="false">BD3173*M3173</f>
        <v>1160</v>
      </c>
      <c r="BG3173" s="35" t="n">
        <f aca="false">BA3173-BF3173</f>
        <v>1069</v>
      </c>
      <c r="BH3173" s="19" t="str">
        <f aca="false">IF(BG3173=0,"",IF(BG3173&lt;&gt;BA3173,"erreur de calcul",IF(BD3173&lt;&gt;0,"pas de prix",IF(M3173&lt;&gt; 0,"pas de quantité","pas de prix, ni de quantité"))))</f>
        <v>erreur de calcul</v>
      </c>
      <c r="BI3173" s="19"/>
    </row>
    <row r="3174" customFormat="false" ht="15" hidden="false" customHeight="false" outlineLevel="0" collapsed="false">
      <c r="A3174" s="0" t="n">
        <v>13</v>
      </c>
      <c r="B3174" s="8" t="s">
        <v>24</v>
      </c>
      <c r="C3174" s="9" t="s">
        <v>25</v>
      </c>
      <c r="D3174" s="9" t="s">
        <v>26</v>
      </c>
      <c r="E3174" s="10" t="n">
        <v>1789</v>
      </c>
      <c r="F3174" s="9" t="s">
        <v>27</v>
      </c>
      <c r="G3174" s="9" t="s">
        <v>27</v>
      </c>
      <c r="H3174" s="11" t="n">
        <v>18</v>
      </c>
      <c r="I3174" s="11" t="s">
        <v>82</v>
      </c>
      <c r="J3174" s="14" t="n">
        <v>17</v>
      </c>
      <c r="K3174" s="14"/>
      <c r="L3174" s="16"/>
      <c r="M3174" s="27" t="n">
        <f aca="false">J3174+(K3174/20)+(L3174/240)</f>
        <v>17</v>
      </c>
      <c r="N3174" s="17" t="s">
        <v>69</v>
      </c>
      <c r="O3174" s="11"/>
      <c r="P3174" s="28"/>
      <c r="Q3174" s="28" t="n">
        <f aca="false">P3174*$M3174</f>
        <v>0</v>
      </c>
      <c r="R3174" s="28"/>
      <c r="S3174" s="28" t="n">
        <f aca="false">R3174*$M3174</f>
        <v>0</v>
      </c>
      <c r="T3174" s="28"/>
      <c r="U3174" s="28" t="n">
        <f aca="false">T3174*$M3174</f>
        <v>0</v>
      </c>
      <c r="V3174" s="28" t="n">
        <v>600</v>
      </c>
      <c r="W3174" s="28" t="n">
        <v>10200</v>
      </c>
      <c r="X3174" s="29"/>
      <c r="Y3174" s="28" t="n">
        <f aca="false">X3174*$M3174</f>
        <v>0</v>
      </c>
      <c r="Z3174" s="28"/>
      <c r="AA3174" s="28" t="n">
        <f aca="false">Z3174*$M3174</f>
        <v>0</v>
      </c>
      <c r="AB3174" s="28"/>
      <c r="AC3174" s="28" t="n">
        <f aca="false">AB3174*$M3174</f>
        <v>0</v>
      </c>
      <c r="AD3174" s="28"/>
      <c r="AE3174" s="28" t="n">
        <f aca="false">AD3174*$M3174</f>
        <v>0</v>
      </c>
      <c r="AF3174" s="28"/>
      <c r="AG3174" s="28" t="n">
        <f aca="false">AF3174*$M3174</f>
        <v>0</v>
      </c>
      <c r="AH3174" s="28"/>
      <c r="AI3174" s="28" t="n">
        <f aca="false">AH3174*$M3174</f>
        <v>0</v>
      </c>
      <c r="AJ3174" s="28"/>
      <c r="AK3174" s="28" t="n">
        <f aca="false">AJ3174*$M3174</f>
        <v>0</v>
      </c>
      <c r="AL3174" s="28"/>
      <c r="AM3174" s="28" t="n">
        <f aca="false">AL3174*$M3174</f>
        <v>0</v>
      </c>
      <c r="AN3174" s="28"/>
      <c r="AO3174" s="28" t="n">
        <f aca="false">AN3174*$M3174</f>
        <v>0</v>
      </c>
      <c r="AP3174" s="28"/>
      <c r="AQ3174" s="28" t="n">
        <f aca="false">AP3174*$M3174</f>
        <v>0</v>
      </c>
      <c r="AR3174" s="28"/>
      <c r="AS3174" s="28" t="n">
        <f aca="false">AR3174*$M3174</f>
        <v>0</v>
      </c>
      <c r="AT3174" s="28"/>
      <c r="AU3174" s="28" t="n">
        <f aca="false">AT3174*$M3174</f>
        <v>0</v>
      </c>
      <c r="AV3174" s="28"/>
      <c r="AW3174" s="28" t="n">
        <f aca="false">AV3174*$M3174</f>
        <v>0</v>
      </c>
      <c r="AX3174" s="28"/>
      <c r="AY3174" s="28" t="n">
        <f aca="false">AX3174*$M3174</f>
        <v>0</v>
      </c>
      <c r="AZ3174" s="30" t="n">
        <v>600</v>
      </c>
      <c r="BA3174" s="11" t="n">
        <v>10200</v>
      </c>
      <c r="BB3174" s="31" t="n">
        <f aca="false">SUM(Q3174,S3174,U3174,W3174,Y3174,AA3174,AC3174,AE3174,AG3174,AI3174,AK3174,AM3174,AO3174,AQ3174,AS3174,AU3174,AW3174,AY3174)</f>
        <v>10200</v>
      </c>
      <c r="BC3174" s="28" t="n">
        <f aca="false">BA3174-BB3174</f>
        <v>0</v>
      </c>
      <c r="BD3174" s="32" t="n">
        <f aca="false">SUM(P3174,R3174,T3174,V3174,X3174,Z3174,AB3174,AD3174,AF3174,AH3174,AJ3174,AL3174,AN3174,AP3174,AR3174,AT3174,AV3174,AX3174)</f>
        <v>600</v>
      </c>
      <c r="BE3174" s="33" t="n">
        <f aca="false">AZ3174-BD3174</f>
        <v>0</v>
      </c>
      <c r="BF3174" s="34" t="n">
        <f aca="false">BD3174*M3174</f>
        <v>10200</v>
      </c>
      <c r="BG3174" s="35" t="n">
        <f aca="false">BA3174-BF3174</f>
        <v>0</v>
      </c>
      <c r="BH3174" s="19" t="str">
        <f aca="false">IF(BG3174=0,"",IF(BG3174&lt;&gt;BA3174,"erreur de calcul",IF(BD3174&lt;&gt;0,"pas de prix",IF(M3174&lt;&gt; 0,"pas de quantité","pas de prix, ni de quantité"))))</f>
        <v/>
      </c>
      <c r="BI3174" s="19"/>
    </row>
    <row r="3175" customFormat="false" ht="15" hidden="false" customHeight="false" outlineLevel="0" collapsed="false">
      <c r="A3175" s="0" t="n">
        <v>14</v>
      </c>
      <c r="B3175" s="8" t="s">
        <v>24</v>
      </c>
      <c r="C3175" s="9" t="s">
        <v>25</v>
      </c>
      <c r="D3175" s="9" t="s">
        <v>26</v>
      </c>
      <c r="E3175" s="10" t="n">
        <v>1789</v>
      </c>
      <c r="F3175" s="9" t="s">
        <v>27</v>
      </c>
      <c r="G3175" s="9" t="s">
        <v>27</v>
      </c>
      <c r="H3175" s="11" t="n">
        <v>18</v>
      </c>
      <c r="I3175" s="11" t="s">
        <v>83</v>
      </c>
      <c r="J3175" s="14" t="n">
        <v>20</v>
      </c>
      <c r="K3175" s="14"/>
      <c r="L3175" s="16"/>
      <c r="M3175" s="27" t="n">
        <f aca="false">J3175+(K3175/20)+(L3175/240)</f>
        <v>20</v>
      </c>
      <c r="N3175" s="17" t="s">
        <v>81</v>
      </c>
      <c r="O3175" s="11"/>
      <c r="P3175" s="28"/>
      <c r="Q3175" s="28" t="n">
        <f aca="false">P3175*$M3175</f>
        <v>0</v>
      </c>
      <c r="R3175" s="28"/>
      <c r="S3175" s="28" t="n">
        <f aca="false">R3175*$M3175</f>
        <v>0</v>
      </c>
      <c r="T3175" s="28"/>
      <c r="U3175" s="28" t="n">
        <f aca="false">T3175*$M3175</f>
        <v>0</v>
      </c>
      <c r="V3175" s="28"/>
      <c r="W3175" s="28" t="n">
        <f aca="false">V3175*$M3175</f>
        <v>0</v>
      </c>
      <c r="X3175" s="29"/>
      <c r="Y3175" s="28" t="n">
        <f aca="false">X3175*$M3175</f>
        <v>0</v>
      </c>
      <c r="Z3175" s="28" t="n">
        <v>460</v>
      </c>
      <c r="AA3175" s="28" t="n">
        <v>9200</v>
      </c>
      <c r="AB3175" s="28"/>
      <c r="AC3175" s="28" t="n">
        <f aca="false">AB3175*$M3175</f>
        <v>0</v>
      </c>
      <c r="AD3175" s="28"/>
      <c r="AE3175" s="28" t="n">
        <f aca="false">AD3175*$M3175</f>
        <v>0</v>
      </c>
      <c r="AF3175" s="28"/>
      <c r="AG3175" s="28" t="n">
        <f aca="false">AF3175*$M3175</f>
        <v>0</v>
      </c>
      <c r="AH3175" s="28"/>
      <c r="AI3175" s="28" t="n">
        <f aca="false">AH3175*$M3175</f>
        <v>0</v>
      </c>
      <c r="AJ3175" s="28"/>
      <c r="AK3175" s="28" t="n">
        <f aca="false">AJ3175*$M3175</f>
        <v>0</v>
      </c>
      <c r="AL3175" s="28"/>
      <c r="AM3175" s="28" t="n">
        <f aca="false">AL3175*$M3175</f>
        <v>0</v>
      </c>
      <c r="AN3175" s="28"/>
      <c r="AO3175" s="28" t="n">
        <f aca="false">AN3175*$M3175</f>
        <v>0</v>
      </c>
      <c r="AP3175" s="28"/>
      <c r="AQ3175" s="28" t="n">
        <f aca="false">AP3175*$M3175</f>
        <v>0</v>
      </c>
      <c r="AR3175" s="28"/>
      <c r="AS3175" s="28" t="n">
        <f aca="false">AR3175*$M3175</f>
        <v>0</v>
      </c>
      <c r="AT3175" s="28"/>
      <c r="AU3175" s="28" t="n">
        <f aca="false">AT3175*$M3175</f>
        <v>0</v>
      </c>
      <c r="AV3175" s="28"/>
      <c r="AW3175" s="28" t="n">
        <f aca="false">AV3175*$M3175</f>
        <v>0</v>
      </c>
      <c r="AX3175" s="28"/>
      <c r="AY3175" s="28" t="n">
        <f aca="false">AX3175*$M3175</f>
        <v>0</v>
      </c>
      <c r="AZ3175" s="30" t="n">
        <v>460</v>
      </c>
      <c r="BA3175" s="11" t="n">
        <v>9200</v>
      </c>
      <c r="BB3175" s="31" t="n">
        <f aca="false">SUM(Q3175,S3175,U3175,W3175,Y3175,AA3175,AC3175,AE3175,AG3175,AI3175,AK3175,AM3175,AO3175,AQ3175,AS3175,AU3175,AW3175,AY3175)</f>
        <v>9200</v>
      </c>
      <c r="BC3175" s="28" t="n">
        <f aca="false">BA3175-BB3175</f>
        <v>0</v>
      </c>
      <c r="BD3175" s="32" t="n">
        <f aca="false">SUM(P3175,R3175,T3175,V3175,X3175,Z3175,AB3175,AD3175,AF3175,AH3175,AJ3175,AL3175,AN3175,AP3175,AR3175,AT3175,AV3175,AX3175)</f>
        <v>460</v>
      </c>
      <c r="BE3175" s="33" t="n">
        <f aca="false">AZ3175-BD3175</f>
        <v>0</v>
      </c>
      <c r="BF3175" s="34" t="n">
        <f aca="false">BD3175*M3175</f>
        <v>9200</v>
      </c>
      <c r="BG3175" s="35" t="n">
        <f aca="false">BA3175-BF3175</f>
        <v>0</v>
      </c>
      <c r="BH3175" s="19" t="str">
        <f aca="false">IF(BG3175=0,"",IF(BG3175&lt;&gt;BA3175,"erreur de calcul",IF(BD3175&lt;&gt;0,"pas de prix",IF(M3175&lt;&gt; 0,"pas de quantité","pas de prix, ni de quantité"))))</f>
        <v/>
      </c>
      <c r="BI3175" s="19"/>
    </row>
    <row r="3176" customFormat="false" ht="15" hidden="false" customHeight="false" outlineLevel="0" collapsed="false">
      <c r="A3176" s="0" t="n">
        <v>15</v>
      </c>
      <c r="B3176" s="8" t="s">
        <v>24</v>
      </c>
      <c r="C3176" s="9" t="s">
        <v>25</v>
      </c>
      <c r="D3176" s="9" t="s">
        <v>26</v>
      </c>
      <c r="E3176" s="10" t="n">
        <v>1789</v>
      </c>
      <c r="F3176" s="9" t="s">
        <v>27</v>
      </c>
      <c r="G3176" s="9" t="s">
        <v>27</v>
      </c>
      <c r="H3176" s="11" t="n">
        <v>18</v>
      </c>
      <c r="I3176" s="11" t="s">
        <v>84</v>
      </c>
      <c r="J3176" s="14" t="n">
        <v>16</v>
      </c>
      <c r="K3176" s="14"/>
      <c r="L3176" s="16"/>
      <c r="M3176" s="27" t="n">
        <f aca="false">J3176+(K3176/20)+(L3176/240)</f>
        <v>16</v>
      </c>
      <c r="N3176" s="17" t="s">
        <v>85</v>
      </c>
      <c r="O3176" s="11"/>
      <c r="P3176" s="28"/>
      <c r="Q3176" s="28" t="n">
        <f aca="false">P3176*$M3176</f>
        <v>0</v>
      </c>
      <c r="R3176" s="28"/>
      <c r="S3176" s="28" t="n">
        <f aca="false">R3176*$M3176</f>
        <v>0</v>
      </c>
      <c r="T3176" s="28" t="n">
        <f aca="false">1600/100</f>
        <v>16</v>
      </c>
      <c r="U3176" s="28" t="n">
        <v>256</v>
      </c>
      <c r="V3176" s="28" t="n">
        <f aca="false">227136/100</f>
        <v>2271.36</v>
      </c>
      <c r="W3176" s="28" t="n">
        <v>36342</v>
      </c>
      <c r="X3176" s="29"/>
      <c r="Y3176" s="28" t="n">
        <v>304</v>
      </c>
      <c r="Z3176" s="28" t="n">
        <f aca="false">6850/100</f>
        <v>68.5</v>
      </c>
      <c r="AA3176" s="28" t="n">
        <v>1096</v>
      </c>
      <c r="AB3176" s="28" t="n">
        <f aca="false">204300/100</f>
        <v>2043</v>
      </c>
      <c r="AC3176" s="28" t="n">
        <v>32688</v>
      </c>
      <c r="AD3176" s="28" t="n">
        <f aca="false">9750/100</f>
        <v>97.5</v>
      </c>
      <c r="AE3176" s="28" t="n">
        <v>1560</v>
      </c>
      <c r="AF3176" s="28"/>
      <c r="AG3176" s="28" t="n">
        <f aca="false">AF3176*$M3176</f>
        <v>0</v>
      </c>
      <c r="AH3176" s="28"/>
      <c r="AI3176" s="28" t="n">
        <f aca="false">AH3176*$M3176</f>
        <v>0</v>
      </c>
      <c r="AJ3176" s="28" t="n">
        <f aca="false">1414/100</f>
        <v>14.14</v>
      </c>
      <c r="AK3176" s="28" t="n">
        <v>226</v>
      </c>
      <c r="AL3176" s="28" t="n">
        <f aca="false">29500/100</f>
        <v>295</v>
      </c>
      <c r="AM3176" s="28" t="n">
        <v>4720</v>
      </c>
      <c r="AN3176" s="28"/>
      <c r="AO3176" s="28" t="n">
        <f aca="false">AN3176*$M3176</f>
        <v>0</v>
      </c>
      <c r="AP3176" s="28" t="n">
        <f aca="false">1520/100</f>
        <v>15.2</v>
      </c>
      <c r="AQ3176" s="28" t="n">
        <v>243</v>
      </c>
      <c r="AR3176" s="28"/>
      <c r="AS3176" s="28" t="n">
        <f aca="false">AR3176*$M3176</f>
        <v>0</v>
      </c>
      <c r="AT3176" s="28" t="n">
        <f aca="false">2100/100</f>
        <v>21</v>
      </c>
      <c r="AU3176" s="28" t="n">
        <v>336</v>
      </c>
      <c r="AV3176" s="28" t="n">
        <f aca="false">1320/100</f>
        <v>13.2</v>
      </c>
      <c r="AW3176" s="28" t="n">
        <v>211</v>
      </c>
      <c r="AX3176" s="28" t="n">
        <f aca="false">177746/100</f>
        <v>1777.46</v>
      </c>
      <c r="AY3176" s="28" t="n">
        <v>28439</v>
      </c>
      <c r="AZ3176" s="30" t="n">
        <f aca="false">665136/100</f>
        <v>6651.36</v>
      </c>
      <c r="BA3176" s="11" t="n">
        <v>106421</v>
      </c>
      <c r="BB3176" s="31" t="n">
        <f aca="false">SUM(Q3176,S3176,U3176,W3176,Y3176,AA3176,AC3176,AE3176,AG3176,AI3176,AK3176,AM3176,AO3176,AQ3176,AS3176,AU3176,AW3176,AY3176)</f>
        <v>106421</v>
      </c>
      <c r="BC3176" s="28" t="n">
        <f aca="false">BA3176-BB3176</f>
        <v>0</v>
      </c>
      <c r="BD3176" s="32" t="n">
        <f aca="false">SUM(P3176,R3176,T3176,V3176,X3176,Z3176,AB3176,AD3176,AF3176,AH3176,AJ3176,AL3176,AN3176,AP3176,AR3176,AT3176,AV3176,AX3176)</f>
        <v>6632.36</v>
      </c>
      <c r="BE3176" s="33" t="n">
        <f aca="false">AZ3176-BD3176</f>
        <v>18.9999999999991</v>
      </c>
      <c r="BF3176" s="34" t="n">
        <f aca="false">BD3176*M3176</f>
        <v>106117.76</v>
      </c>
      <c r="BG3176" s="35" t="n">
        <f aca="false">BA3176-BF3176</f>
        <v>303.239999999991</v>
      </c>
      <c r="BH3176" s="19" t="str">
        <f aca="false">IF(BG3176=0,"",IF(BG3176&lt;&gt;BA3176,"erreur de calcul",IF(BD3176&lt;&gt;0,"pas de prix",IF(M3176&lt;&gt; 0,"pas de quantité","pas de prix, ni de quantité"))))</f>
        <v>erreur de calcul</v>
      </c>
      <c r="BI3176" s="19"/>
    </row>
    <row r="3177" customFormat="false" ht="15" hidden="false" customHeight="false" outlineLevel="0" collapsed="false">
      <c r="A3177" s="0" t="n">
        <v>16</v>
      </c>
      <c r="B3177" s="8" t="s">
        <v>24</v>
      </c>
      <c r="C3177" s="9" t="s">
        <v>25</v>
      </c>
      <c r="D3177" s="9" t="s">
        <v>26</v>
      </c>
      <c r="E3177" s="10" t="n">
        <v>1789</v>
      </c>
      <c r="F3177" s="9" t="s">
        <v>27</v>
      </c>
      <c r="G3177" s="9" t="s">
        <v>27</v>
      </c>
      <c r="H3177" s="11" t="n">
        <v>18</v>
      </c>
      <c r="I3177" s="11" t="s">
        <v>86</v>
      </c>
      <c r="J3177" s="14" t="n">
        <v>55</v>
      </c>
      <c r="K3177" s="14"/>
      <c r="L3177" s="16"/>
      <c r="M3177" s="27" t="n">
        <f aca="false">J3177+(K3177/20)+(L3177/240)</f>
        <v>55</v>
      </c>
      <c r="N3177" s="17" t="s">
        <v>81</v>
      </c>
      <c r="O3177" s="11"/>
      <c r="P3177" s="28"/>
      <c r="Q3177" s="28" t="n">
        <f aca="false">P3177*$M3177</f>
        <v>0</v>
      </c>
      <c r="R3177" s="28"/>
      <c r="S3177" s="28" t="n">
        <f aca="false">R3177*$M3177</f>
        <v>0</v>
      </c>
      <c r="T3177" s="28"/>
      <c r="U3177" s="28" t="n">
        <f aca="false">T3177*$M3177</f>
        <v>0</v>
      </c>
      <c r="V3177" s="28"/>
      <c r="W3177" s="28" t="n">
        <f aca="false">V3177*$M3177</f>
        <v>0</v>
      </c>
      <c r="X3177" s="29"/>
      <c r="Y3177" s="28" t="n">
        <f aca="false">X3177*$M3177</f>
        <v>0</v>
      </c>
      <c r="Z3177" s="28"/>
      <c r="AA3177" s="28" t="n">
        <f aca="false">Z3177*$M3177</f>
        <v>0</v>
      </c>
      <c r="AB3177" s="28"/>
      <c r="AC3177" s="28" t="n">
        <f aca="false">AB3177*$M3177</f>
        <v>0</v>
      </c>
      <c r="AD3177" s="28"/>
      <c r="AE3177" s="28" t="n">
        <f aca="false">AD3177*$M3177</f>
        <v>0</v>
      </c>
      <c r="AF3177" s="28"/>
      <c r="AG3177" s="28" t="n">
        <f aca="false">AF3177*$M3177</f>
        <v>0</v>
      </c>
      <c r="AH3177" s="28"/>
      <c r="AI3177" s="28" t="n">
        <f aca="false">AH3177*$M3177</f>
        <v>0</v>
      </c>
      <c r="AJ3177" s="28"/>
      <c r="AK3177" s="28" t="n">
        <f aca="false">AJ3177*$M3177</f>
        <v>0</v>
      </c>
      <c r="AL3177" s="28"/>
      <c r="AM3177" s="28" t="n">
        <f aca="false">AL3177*$M3177</f>
        <v>0</v>
      </c>
      <c r="AN3177" s="28"/>
      <c r="AO3177" s="28" t="n">
        <f aca="false">AN3177*$M3177</f>
        <v>0</v>
      </c>
      <c r="AP3177" s="28"/>
      <c r="AQ3177" s="28" t="n">
        <f aca="false">AP3177*$M3177</f>
        <v>0</v>
      </c>
      <c r="AR3177" s="28"/>
      <c r="AS3177" s="28" t="n">
        <f aca="false">AR3177*$M3177</f>
        <v>0</v>
      </c>
      <c r="AT3177" s="28" t="n">
        <v>319</v>
      </c>
      <c r="AU3177" s="28" t="n">
        <v>17545</v>
      </c>
      <c r="AV3177" s="28"/>
      <c r="AW3177" s="28" t="n">
        <f aca="false">AV3177*$M3177</f>
        <v>0</v>
      </c>
      <c r="AX3177" s="28"/>
      <c r="AY3177" s="28" t="n">
        <f aca="false">AX3177*$M3177</f>
        <v>0</v>
      </c>
      <c r="AZ3177" s="30" t="n">
        <v>319</v>
      </c>
      <c r="BA3177" s="11" t="n">
        <v>17545</v>
      </c>
      <c r="BB3177" s="31" t="n">
        <f aca="false">SUM(Q3177,S3177,U3177,W3177,Y3177,AA3177,AC3177,AE3177,AG3177,AI3177,AK3177,AM3177,AO3177,AQ3177,AS3177,AU3177,AW3177,AY3177)</f>
        <v>17545</v>
      </c>
      <c r="BC3177" s="28" t="n">
        <f aca="false">BA3177-BB3177</f>
        <v>0</v>
      </c>
      <c r="BD3177" s="32" t="n">
        <f aca="false">SUM(P3177,R3177,T3177,V3177,X3177,Z3177,AB3177,AD3177,AF3177,AH3177,AJ3177,AL3177,AN3177,AP3177,AR3177,AT3177,AV3177,AX3177)</f>
        <v>319</v>
      </c>
      <c r="BE3177" s="33" t="n">
        <f aca="false">AZ3177-BD3177</f>
        <v>0</v>
      </c>
      <c r="BF3177" s="34" t="n">
        <f aca="false">BD3177*M3177</f>
        <v>17545</v>
      </c>
      <c r="BG3177" s="35" t="n">
        <f aca="false">BA3177-BF3177</f>
        <v>0</v>
      </c>
      <c r="BH3177" s="19" t="str">
        <f aca="false">IF(BG3177=0,"",IF(BG3177&lt;&gt;BA3177,"erreur de calcul",IF(BD3177&lt;&gt;0,"pas de prix",IF(M3177&lt;&gt; 0,"pas de quantité","pas de prix, ni de quantité"))))</f>
        <v/>
      </c>
      <c r="BI3177" s="19"/>
    </row>
    <row r="3178" customFormat="false" ht="15" hidden="false" customHeight="false" outlineLevel="0" collapsed="false">
      <c r="A3178" s="0" t="n">
        <v>17</v>
      </c>
      <c r="B3178" s="8" t="s">
        <v>24</v>
      </c>
      <c r="C3178" s="9" t="s">
        <v>25</v>
      </c>
      <c r="D3178" s="9" t="s">
        <v>26</v>
      </c>
      <c r="E3178" s="10" t="n">
        <v>1789</v>
      </c>
      <c r="F3178" s="9" t="s">
        <v>27</v>
      </c>
      <c r="G3178" s="9" t="s">
        <v>27</v>
      </c>
      <c r="H3178" s="11" t="n">
        <v>18</v>
      </c>
      <c r="I3178" s="11" t="s">
        <v>87</v>
      </c>
      <c r="J3178" s="14" t="n">
        <v>6</v>
      </c>
      <c r="K3178" s="14"/>
      <c r="L3178" s="16"/>
      <c r="M3178" s="27" t="n">
        <f aca="false">J3178+(K3178/20)+(L3178/240)</f>
        <v>6</v>
      </c>
      <c r="N3178" s="17" t="s">
        <v>69</v>
      </c>
      <c r="O3178" s="11" t="s">
        <v>77</v>
      </c>
      <c r="P3178" s="28"/>
      <c r="Q3178" s="28" t="n">
        <f aca="false">P3178*$M3178</f>
        <v>0</v>
      </c>
      <c r="R3178" s="28" t="n">
        <v>63</v>
      </c>
      <c r="S3178" s="28" t="n">
        <v>378</v>
      </c>
      <c r="T3178" s="28" t="n">
        <v>2406</v>
      </c>
      <c r="U3178" s="28" t="n">
        <v>14436</v>
      </c>
      <c r="V3178" s="28" t="n">
        <v>222</v>
      </c>
      <c r="W3178" s="28" t="n">
        <v>1332</v>
      </c>
      <c r="X3178" s="29"/>
      <c r="Y3178" s="28" t="n">
        <f aca="false">X3178*$M3178</f>
        <v>0</v>
      </c>
      <c r="Z3178" s="28"/>
      <c r="AA3178" s="28" t="n">
        <f aca="false">Z3178*$M3178</f>
        <v>0</v>
      </c>
      <c r="AB3178" s="28"/>
      <c r="AC3178" s="28" t="n">
        <f aca="false">AB3178*$M3178</f>
        <v>0</v>
      </c>
      <c r="AD3178" s="28" t="n">
        <v>330</v>
      </c>
      <c r="AE3178" s="28" t="n">
        <v>1980</v>
      </c>
      <c r="AF3178" s="28"/>
      <c r="AG3178" s="28" t="n">
        <f aca="false">AF3178*$M3178</f>
        <v>0</v>
      </c>
      <c r="AH3178" s="28"/>
      <c r="AI3178" s="28" t="n">
        <f aca="false">AH3178*$M3178</f>
        <v>0</v>
      </c>
      <c r="AJ3178" s="28"/>
      <c r="AK3178" s="28" t="n">
        <f aca="false">AJ3178*$M3178</f>
        <v>0</v>
      </c>
      <c r="AL3178" s="28"/>
      <c r="AM3178" s="28" t="n">
        <f aca="false">AL3178*$M3178</f>
        <v>0</v>
      </c>
      <c r="AN3178" s="28"/>
      <c r="AO3178" s="28" t="n">
        <f aca="false">AN3178*$M3178</f>
        <v>0</v>
      </c>
      <c r="AP3178" s="28"/>
      <c r="AQ3178" s="28" t="n">
        <f aca="false">AP3178*$M3178</f>
        <v>0</v>
      </c>
      <c r="AR3178" s="28"/>
      <c r="AS3178" s="28" t="n">
        <f aca="false">AR3178*$M3178</f>
        <v>0</v>
      </c>
      <c r="AT3178" s="28"/>
      <c r="AU3178" s="28" t="n">
        <f aca="false">AT3178*$M3178</f>
        <v>0</v>
      </c>
      <c r="AV3178" s="28"/>
      <c r="AW3178" s="28" t="n">
        <f aca="false">AV3178*$M3178</f>
        <v>0</v>
      </c>
      <c r="AX3178" s="28"/>
      <c r="AY3178" s="28" t="n">
        <f aca="false">AX3178*$M3178</f>
        <v>0</v>
      </c>
      <c r="AZ3178" s="30" t="n">
        <v>3021</v>
      </c>
      <c r="BA3178" s="11" t="n">
        <v>18126</v>
      </c>
      <c r="BB3178" s="31" t="n">
        <f aca="false">SUM(Q3178,S3178,U3178,W3178,Y3178,AA3178,AC3178,AE3178,AG3178,AI3178,AK3178,AM3178,AO3178,AQ3178,AS3178,AU3178,AW3178,AY3178)</f>
        <v>18126</v>
      </c>
      <c r="BC3178" s="28" t="n">
        <f aca="false">BA3178-BB3178</f>
        <v>0</v>
      </c>
      <c r="BD3178" s="32" t="n">
        <f aca="false">SUM(P3178,R3178,T3178,V3178,X3178,Z3178,AB3178,AD3178,AF3178,AH3178,AJ3178,AL3178,AN3178,AP3178,AR3178,AT3178,AV3178,AX3178)</f>
        <v>3021</v>
      </c>
      <c r="BE3178" s="33" t="n">
        <f aca="false">AZ3178-BD3178</f>
        <v>0</v>
      </c>
      <c r="BF3178" s="34" t="n">
        <f aca="false">BD3178*M3178</f>
        <v>18126</v>
      </c>
      <c r="BG3178" s="35" t="n">
        <f aca="false">BA3178-BF3178</f>
        <v>0</v>
      </c>
      <c r="BH3178" s="19" t="str">
        <f aca="false">IF(BG3178=0,"",IF(BG3178&lt;&gt;BA3178,"erreur de calcul",IF(BD3178&lt;&gt;0,"pas de prix",IF(M3178&lt;&gt; 0,"pas de quantité","pas de prix, ni de quantité"))))</f>
        <v/>
      </c>
      <c r="BI3178" s="19"/>
    </row>
    <row r="3179" customFormat="false" ht="15" hidden="false" customHeight="false" outlineLevel="0" collapsed="false">
      <c r="A3179" s="0" t="n">
        <v>18</v>
      </c>
      <c r="B3179" s="8" t="s">
        <v>24</v>
      </c>
      <c r="C3179" s="9" t="s">
        <v>25</v>
      </c>
      <c r="D3179" s="9" t="s">
        <v>26</v>
      </c>
      <c r="E3179" s="10" t="n">
        <v>1789</v>
      </c>
      <c r="F3179" s="9" t="s">
        <v>27</v>
      </c>
      <c r="G3179" s="9" t="s">
        <v>27</v>
      </c>
      <c r="H3179" s="11" t="n">
        <v>18</v>
      </c>
      <c r="I3179" s="11" t="s">
        <v>88</v>
      </c>
      <c r="J3179" s="14" t="n">
        <v>26</v>
      </c>
      <c r="K3179" s="14"/>
      <c r="L3179" s="16"/>
      <c r="M3179" s="27" t="n">
        <f aca="false">J3179+(K3179/20)+(L3179/240)</f>
        <v>26</v>
      </c>
      <c r="N3179" s="17" t="s">
        <v>69</v>
      </c>
      <c r="O3179" s="11"/>
      <c r="P3179" s="28"/>
      <c r="Q3179" s="28" t="n">
        <f aca="false">P3179*$M3179</f>
        <v>0</v>
      </c>
      <c r="R3179" s="28"/>
      <c r="S3179" s="28" t="n">
        <f aca="false">R3179*$M3179</f>
        <v>0</v>
      </c>
      <c r="T3179" s="28"/>
      <c r="U3179" s="28" t="n">
        <f aca="false">T3179*$M3179</f>
        <v>0</v>
      </c>
      <c r="V3179" s="28"/>
      <c r="W3179" s="28" t="n">
        <f aca="false">V3179*$M3179</f>
        <v>0</v>
      </c>
      <c r="X3179" s="29"/>
      <c r="Y3179" s="28" t="n">
        <f aca="false">X3179*$M3179</f>
        <v>0</v>
      </c>
      <c r="Z3179" s="28"/>
      <c r="AA3179" s="28" t="n">
        <f aca="false">Z3179*$M3179</f>
        <v>0</v>
      </c>
      <c r="AB3179" s="28"/>
      <c r="AC3179" s="28" t="n">
        <f aca="false">AB3179*$M3179</f>
        <v>0</v>
      </c>
      <c r="AD3179" s="28"/>
      <c r="AE3179" s="28" t="n">
        <f aca="false">AD3179*$M3179</f>
        <v>0</v>
      </c>
      <c r="AF3179" s="28"/>
      <c r="AG3179" s="28" t="n">
        <f aca="false">AF3179*$M3179</f>
        <v>0</v>
      </c>
      <c r="AH3179" s="28"/>
      <c r="AI3179" s="28" t="n">
        <f aca="false">AH3179*$M3179</f>
        <v>0</v>
      </c>
      <c r="AJ3179" s="28"/>
      <c r="AK3179" s="28" t="n">
        <f aca="false">AJ3179*$M3179</f>
        <v>0</v>
      </c>
      <c r="AL3179" s="28" t="n">
        <v>150</v>
      </c>
      <c r="AM3179" s="28" t="n">
        <v>3900</v>
      </c>
      <c r="AN3179" s="28"/>
      <c r="AO3179" s="28" t="n">
        <f aca="false">AN3179*$M3179</f>
        <v>0</v>
      </c>
      <c r="AP3179" s="28" t="n">
        <v>4140</v>
      </c>
      <c r="AQ3179" s="28" t="n">
        <v>107640</v>
      </c>
      <c r="AR3179" s="28" t="n">
        <v>6957</v>
      </c>
      <c r="AS3179" s="28" t="n">
        <v>180882</v>
      </c>
      <c r="AT3179" s="28" t="n">
        <v>171</v>
      </c>
      <c r="AU3179" s="28" t="n">
        <v>4446</v>
      </c>
      <c r="AV3179" s="28" t="n">
        <v>838</v>
      </c>
      <c r="AW3179" s="28" t="n">
        <v>21788</v>
      </c>
      <c r="AX3179" s="28" t="n">
        <v>35</v>
      </c>
      <c r="AY3179" s="28" t="n">
        <v>910</v>
      </c>
      <c r="AZ3179" s="30" t="n">
        <v>12291</v>
      </c>
      <c r="BA3179" s="11" t="n">
        <v>319566</v>
      </c>
      <c r="BB3179" s="31" t="n">
        <f aca="false">SUM(Q3179,S3179,U3179,W3179,Y3179,AA3179,AC3179,AE3179,AG3179,AI3179,AK3179,AM3179,AO3179,AQ3179,AS3179,AU3179,AW3179,AY3179)</f>
        <v>319566</v>
      </c>
      <c r="BC3179" s="28" t="n">
        <f aca="false">BA3179-BB3179</f>
        <v>0</v>
      </c>
      <c r="BD3179" s="32" t="n">
        <f aca="false">SUM(P3179,R3179,T3179,V3179,X3179,Z3179,AB3179,AD3179,AF3179,AH3179,AJ3179,AL3179,AN3179,AP3179,AR3179,AT3179,AV3179,AX3179)</f>
        <v>12291</v>
      </c>
      <c r="BE3179" s="33" t="n">
        <f aca="false">AZ3179-BD3179</f>
        <v>0</v>
      </c>
      <c r="BF3179" s="34" t="n">
        <f aca="false">BD3179*M3179</f>
        <v>319566</v>
      </c>
      <c r="BG3179" s="35" t="n">
        <f aca="false">BA3179-BF3179</f>
        <v>0</v>
      </c>
      <c r="BH3179" s="19" t="str">
        <f aca="false">IF(BG3179=0,"",IF(BG3179&lt;&gt;BA3179,"erreur de calcul",IF(BD3179&lt;&gt;0,"pas de prix",IF(M3179&lt;&gt; 0,"pas de quantité","pas de prix, ni de quantité"))))</f>
        <v/>
      </c>
      <c r="BI3179" s="19"/>
    </row>
    <row r="3180" customFormat="false" ht="15" hidden="false" customHeight="false" outlineLevel="0" collapsed="false">
      <c r="A3180" s="0" t="n">
        <v>19</v>
      </c>
      <c r="B3180" s="8" t="s">
        <v>24</v>
      </c>
      <c r="C3180" s="9" t="s">
        <v>25</v>
      </c>
      <c r="D3180" s="9" t="s">
        <v>26</v>
      </c>
      <c r="E3180" s="10" t="n">
        <v>1789</v>
      </c>
      <c r="F3180" s="9" t="s">
        <v>27</v>
      </c>
      <c r="G3180" s="9" t="s">
        <v>27</v>
      </c>
      <c r="H3180" s="11" t="n">
        <v>18</v>
      </c>
      <c r="I3180" s="11" t="s">
        <v>89</v>
      </c>
      <c r="J3180" s="14" t="n">
        <v>7</v>
      </c>
      <c r="K3180" s="14"/>
      <c r="L3180" s="16"/>
      <c r="M3180" s="27" t="n">
        <f aca="false">J3180+(K3180/20)+(L3180/240)</f>
        <v>7</v>
      </c>
      <c r="N3180" s="17" t="s">
        <v>81</v>
      </c>
      <c r="O3180" s="11" t="s">
        <v>77</v>
      </c>
      <c r="P3180" s="28"/>
      <c r="Q3180" s="28" t="n">
        <f aca="false">P3180*$M3180</f>
        <v>0</v>
      </c>
      <c r="R3180" s="28"/>
      <c r="S3180" s="28" t="n">
        <f aca="false">R3180*$M3180</f>
        <v>0</v>
      </c>
      <c r="T3180" s="28"/>
      <c r="U3180" s="28" t="n">
        <f aca="false">T3180*$M3180</f>
        <v>0</v>
      </c>
      <c r="V3180" s="28"/>
      <c r="W3180" s="28" t="n">
        <f aca="false">V3180*$M3180</f>
        <v>0</v>
      </c>
      <c r="X3180" s="29"/>
      <c r="Y3180" s="28" t="n">
        <f aca="false">X3180*$M3180</f>
        <v>0</v>
      </c>
      <c r="Z3180" s="28"/>
      <c r="AA3180" s="28" t="n">
        <f aca="false">Z3180*$M3180</f>
        <v>0</v>
      </c>
      <c r="AB3180" s="28"/>
      <c r="AC3180" s="28" t="n">
        <f aca="false">AB3180*$M3180</f>
        <v>0</v>
      </c>
      <c r="AD3180" s="28"/>
      <c r="AE3180" s="28" t="n">
        <f aca="false">AD3180*$M3180</f>
        <v>0</v>
      </c>
      <c r="AF3180" s="28"/>
      <c r="AG3180" s="28" t="n">
        <f aca="false">AF3180*$M3180</f>
        <v>0</v>
      </c>
      <c r="AH3180" s="28"/>
      <c r="AI3180" s="28" t="n">
        <f aca="false">AH3180*$M3180</f>
        <v>0</v>
      </c>
      <c r="AJ3180" s="28"/>
      <c r="AK3180" s="28" t="n">
        <f aca="false">AJ3180*$M3180</f>
        <v>0</v>
      </c>
      <c r="AL3180" s="28"/>
      <c r="AM3180" s="28" t="n">
        <f aca="false">AL3180*$M3180</f>
        <v>0</v>
      </c>
      <c r="AN3180" s="28"/>
      <c r="AO3180" s="28" t="n">
        <f aca="false">AN3180*$M3180</f>
        <v>0</v>
      </c>
      <c r="AP3180" s="38" t="n">
        <v>1763</v>
      </c>
      <c r="AQ3180" s="28" t="n">
        <v>42312</v>
      </c>
      <c r="AR3180" s="28"/>
      <c r="AS3180" s="28" t="n">
        <f aca="false">AR3180*$M3180</f>
        <v>0</v>
      </c>
      <c r="AT3180" s="28"/>
      <c r="AU3180" s="28" t="n">
        <f aca="false">AT3180*$M3180</f>
        <v>0</v>
      </c>
      <c r="AV3180" s="38" t="n">
        <v>377</v>
      </c>
      <c r="AW3180" s="28" t="n">
        <v>9425</v>
      </c>
      <c r="AX3180" s="28"/>
      <c r="AY3180" s="28" t="n">
        <f aca="false">AX3180*$M3180</f>
        <v>0</v>
      </c>
      <c r="AZ3180" s="30" t="n">
        <v>2140</v>
      </c>
      <c r="BA3180" s="11" t="n">
        <v>51737</v>
      </c>
      <c r="BB3180" s="31" t="n">
        <f aca="false">SUM(Q3180,S3180,U3180,W3180,Y3180,AA3180,AC3180,AE3180,AG3180,AI3180,AK3180,AM3180,AO3180,AQ3180,AS3180,AU3180,AW3180,AY3180)</f>
        <v>51737</v>
      </c>
      <c r="BC3180" s="28" t="n">
        <f aca="false">BA3180-BB3180</f>
        <v>0</v>
      </c>
      <c r="BD3180" s="32" t="n">
        <f aca="false">SUM(P3180,R3180,T3180,V3180,X3180,Z3180,AB3180,AD3180,AF3180,AH3180,AJ3180,AL3180,AN3180,AP3180,AR3180,AT3180,AV3180,AX3180)</f>
        <v>2140</v>
      </c>
      <c r="BE3180" s="33" t="n">
        <f aca="false">AZ3180-BD3180</f>
        <v>0</v>
      </c>
      <c r="BF3180" s="34" t="n">
        <f aca="false">BD3180*M3180</f>
        <v>14980</v>
      </c>
      <c r="BG3180" s="35" t="n">
        <f aca="false">BA3180-BF3180</f>
        <v>36757</v>
      </c>
      <c r="BH3180" s="19" t="str">
        <f aca="false">IF(BG3180=0,"",IF(BG3180&lt;&gt;BA3180,"erreur de calcul",IF(BD3180&lt;&gt;0,"pas de prix",IF(M3180&lt;&gt; 0,"pas de quantité","pas de prix, ni de quantité"))))</f>
        <v>erreur de calcul</v>
      </c>
      <c r="BI3180" s="19" t="s">
        <v>90</v>
      </c>
    </row>
    <row r="3181" customFormat="false" ht="15" hidden="false" customHeight="false" outlineLevel="0" collapsed="false">
      <c r="A3181" s="0" t="n">
        <v>20</v>
      </c>
      <c r="B3181" s="8" t="s">
        <v>24</v>
      </c>
      <c r="C3181" s="9" t="s">
        <v>25</v>
      </c>
      <c r="D3181" s="9" t="s">
        <v>26</v>
      </c>
      <c r="E3181" s="10" t="n">
        <v>1789</v>
      </c>
      <c r="F3181" s="9" t="s">
        <v>27</v>
      </c>
      <c r="G3181" s="9" t="s">
        <v>27</v>
      </c>
      <c r="H3181" s="11" t="n">
        <v>18</v>
      </c>
      <c r="I3181" s="11" t="s">
        <v>91</v>
      </c>
      <c r="J3181" s="14" t="n">
        <v>30</v>
      </c>
      <c r="K3181" s="14"/>
      <c r="L3181" s="16"/>
      <c r="M3181" s="27" t="n">
        <f aca="false">J3181+(K3181/20)+(L3181/240)</f>
        <v>30</v>
      </c>
      <c r="N3181" s="17" t="s">
        <v>64</v>
      </c>
      <c r="O3181" s="11"/>
      <c r="P3181" s="28"/>
      <c r="Q3181" s="28" t="n">
        <f aca="false">P3181*$M3181</f>
        <v>0</v>
      </c>
      <c r="R3181" s="28"/>
      <c r="S3181" s="28" t="n">
        <f aca="false">R3181*$M3181</f>
        <v>0</v>
      </c>
      <c r="T3181" s="28"/>
      <c r="U3181" s="28" t="n">
        <f aca="false">T3181*$M3181</f>
        <v>0</v>
      </c>
      <c r="V3181" s="28" t="n">
        <f aca="false">12300/100</f>
        <v>123</v>
      </c>
      <c r="W3181" s="28" t="n">
        <v>3690</v>
      </c>
      <c r="X3181" s="29"/>
      <c r="Y3181" s="28" t="n">
        <f aca="false">X3181*$M3181</f>
        <v>0</v>
      </c>
      <c r="Z3181" s="28"/>
      <c r="AA3181" s="28" t="n">
        <f aca="false">Z3181*$M3181</f>
        <v>0</v>
      </c>
      <c r="AB3181" s="28" t="n">
        <f aca="false">16277/100</f>
        <v>162.77</v>
      </c>
      <c r="AC3181" s="28" t="n">
        <v>4883</v>
      </c>
      <c r="AD3181" s="28"/>
      <c r="AE3181" s="28" t="n">
        <f aca="false">AD3181*$M3181</f>
        <v>0</v>
      </c>
      <c r="AF3181" s="28"/>
      <c r="AG3181" s="28" t="n">
        <f aca="false">AF3181*$M3181</f>
        <v>0</v>
      </c>
      <c r="AH3181" s="28"/>
      <c r="AI3181" s="28" t="n">
        <f aca="false">AH3181*$M3181</f>
        <v>0</v>
      </c>
      <c r="AJ3181" s="28"/>
      <c r="AK3181" s="28" t="n">
        <f aca="false">AJ3181*$M3181</f>
        <v>0</v>
      </c>
      <c r="AL3181" s="28"/>
      <c r="AM3181" s="28" t="n">
        <f aca="false">AL3181*$M3181</f>
        <v>0</v>
      </c>
      <c r="AN3181" s="28"/>
      <c r="AO3181" s="28" t="n">
        <f aca="false">AN3181*$M3181</f>
        <v>0</v>
      </c>
      <c r="AP3181" s="28"/>
      <c r="AQ3181" s="28" t="n">
        <f aca="false">AP3181*$M3181</f>
        <v>0</v>
      </c>
      <c r="AR3181" s="28"/>
      <c r="AS3181" s="28" t="n">
        <f aca="false">AR3181*$M3181</f>
        <v>0</v>
      </c>
      <c r="AT3181" s="28"/>
      <c r="AU3181" s="28" t="n">
        <f aca="false">AT3181*$M3181</f>
        <v>0</v>
      </c>
      <c r="AV3181" s="28"/>
      <c r="AW3181" s="28" t="n">
        <f aca="false">AV3181*$M3181</f>
        <v>0</v>
      </c>
      <c r="AX3181" s="28"/>
      <c r="AY3181" s="28" t="n">
        <f aca="false">AX3181*$M3181</f>
        <v>0</v>
      </c>
      <c r="AZ3181" s="30" t="n">
        <f aca="false">28577/100</f>
        <v>285.77</v>
      </c>
      <c r="BA3181" s="11" t="n">
        <v>8573</v>
      </c>
      <c r="BB3181" s="31" t="n">
        <f aca="false">SUM(Q3181,S3181,U3181,W3181,Y3181,AA3181,AC3181,AE3181,AG3181,AI3181,AK3181,AM3181,AO3181,AQ3181,AS3181,AU3181,AW3181,AY3181)</f>
        <v>8573</v>
      </c>
      <c r="BC3181" s="28" t="n">
        <f aca="false">BA3181-BB3181</f>
        <v>0</v>
      </c>
      <c r="BD3181" s="32" t="n">
        <f aca="false">SUM(P3181,R3181,T3181,V3181,X3181,Z3181,AB3181,AD3181,AF3181,AH3181,AJ3181,AL3181,AN3181,AP3181,AR3181,AT3181,AV3181,AX3181)</f>
        <v>285.77</v>
      </c>
      <c r="BE3181" s="33" t="n">
        <f aca="false">AZ3181-BD3181</f>
        <v>0</v>
      </c>
      <c r="BF3181" s="34" t="n">
        <f aca="false">BD3181*M3181</f>
        <v>8573.1</v>
      </c>
      <c r="BG3181" s="35" t="n">
        <f aca="false">BA3181-BF3181</f>
        <v>-0.0999999999985448</v>
      </c>
      <c r="BH3181" s="19" t="str">
        <f aca="false">IF(BG3181=0,"",IF(BG3181&lt;&gt;BA3181,"erreur de calcul",IF(BD3181&lt;&gt;0,"pas de prix",IF(M3181&lt;&gt; 0,"pas de quantité","pas de prix, ni de quantité"))))</f>
        <v>erreur de calcul</v>
      </c>
      <c r="BI3181" s="19"/>
    </row>
    <row r="3182" customFormat="false" ht="15" hidden="false" customHeight="false" outlineLevel="0" collapsed="false">
      <c r="A3182" s="0" t="n">
        <v>21</v>
      </c>
      <c r="B3182" s="8" t="s">
        <v>24</v>
      </c>
      <c r="C3182" s="9" t="s">
        <v>25</v>
      </c>
      <c r="D3182" s="9" t="s">
        <v>26</v>
      </c>
      <c r="E3182" s="10" t="n">
        <v>1789</v>
      </c>
      <c r="F3182" s="9" t="s">
        <v>27</v>
      </c>
      <c r="G3182" s="9" t="s">
        <v>27</v>
      </c>
      <c r="H3182" s="11" t="n">
        <v>18</v>
      </c>
      <c r="I3182" s="11" t="s">
        <v>92</v>
      </c>
      <c r="J3182" s="14"/>
      <c r="K3182" s="14" t="n">
        <v>25</v>
      </c>
      <c r="L3182" s="16"/>
      <c r="M3182" s="27" t="n">
        <f aca="false">J3182+(K3182/20)+(L3182/240)</f>
        <v>1.25</v>
      </c>
      <c r="N3182" s="17" t="s">
        <v>81</v>
      </c>
      <c r="O3182" s="11"/>
      <c r="P3182" s="28"/>
      <c r="Q3182" s="28" t="n">
        <f aca="false">P3182*$M3182</f>
        <v>0</v>
      </c>
      <c r="R3182" s="28"/>
      <c r="S3182" s="28" t="n">
        <f aca="false">R3182*$M3182</f>
        <v>0</v>
      </c>
      <c r="T3182" s="28"/>
      <c r="U3182" s="28" t="n">
        <f aca="false">T3182*$M3182</f>
        <v>0</v>
      </c>
      <c r="V3182" s="28" t="n">
        <v>17192</v>
      </c>
      <c r="W3182" s="28" t="n">
        <v>21490</v>
      </c>
      <c r="X3182" s="29"/>
      <c r="Y3182" s="28" t="n">
        <f aca="false">X3182*$M3182</f>
        <v>0</v>
      </c>
      <c r="Z3182" s="28"/>
      <c r="AA3182" s="28" t="n">
        <f aca="false">Z3182*$M3182</f>
        <v>0</v>
      </c>
      <c r="AB3182" s="28"/>
      <c r="AC3182" s="28" t="n">
        <f aca="false">AB3182*$M3182</f>
        <v>0</v>
      </c>
      <c r="AD3182" s="28"/>
      <c r="AE3182" s="28" t="n">
        <f aca="false">AD3182*$M3182</f>
        <v>0</v>
      </c>
      <c r="AF3182" s="28"/>
      <c r="AG3182" s="28" t="n">
        <f aca="false">AF3182*$M3182</f>
        <v>0</v>
      </c>
      <c r="AH3182" s="28"/>
      <c r="AI3182" s="28" t="n">
        <f aca="false">AH3182*$M3182</f>
        <v>0</v>
      </c>
      <c r="AJ3182" s="28"/>
      <c r="AK3182" s="28" t="n">
        <f aca="false">AJ3182*$M3182</f>
        <v>0</v>
      </c>
      <c r="AL3182" s="28"/>
      <c r="AM3182" s="28" t="n">
        <f aca="false">AL3182*$M3182</f>
        <v>0</v>
      </c>
      <c r="AN3182" s="28"/>
      <c r="AO3182" s="28" t="n">
        <f aca="false">AN3182*$M3182</f>
        <v>0</v>
      </c>
      <c r="AP3182" s="28"/>
      <c r="AQ3182" s="28" t="n">
        <f aca="false">AP3182*$M3182</f>
        <v>0</v>
      </c>
      <c r="AR3182" s="28"/>
      <c r="AS3182" s="28" t="n">
        <f aca="false">AR3182*$M3182</f>
        <v>0</v>
      </c>
      <c r="AT3182" s="28"/>
      <c r="AU3182" s="28" t="n">
        <f aca="false">AT3182*$M3182</f>
        <v>0</v>
      </c>
      <c r="AV3182" s="28"/>
      <c r="AW3182" s="28" t="n">
        <f aca="false">AV3182*$M3182</f>
        <v>0</v>
      </c>
      <c r="AX3182" s="28"/>
      <c r="AY3182" s="28" t="n">
        <f aca="false">AX3182*$M3182</f>
        <v>0</v>
      </c>
      <c r="AZ3182" s="30" t="n">
        <v>17192</v>
      </c>
      <c r="BA3182" s="11" t="n">
        <v>21490</v>
      </c>
      <c r="BB3182" s="31" t="n">
        <f aca="false">SUM(Q3182,S3182,U3182,W3182,Y3182,AA3182,AC3182,AE3182,AG3182,AI3182,AK3182,AM3182,AO3182,AQ3182,AS3182,AU3182,AW3182,AY3182)</f>
        <v>21490</v>
      </c>
      <c r="BC3182" s="28" t="n">
        <f aca="false">BA3182-BB3182</f>
        <v>0</v>
      </c>
      <c r="BD3182" s="32" t="n">
        <f aca="false">SUM(P3182,R3182,T3182,V3182,X3182,Z3182,AB3182,AD3182,AF3182,AH3182,AJ3182,AL3182,AN3182,AP3182,AR3182,AT3182,AV3182,AX3182)</f>
        <v>17192</v>
      </c>
      <c r="BE3182" s="33" t="n">
        <f aca="false">AZ3182-BD3182</f>
        <v>0</v>
      </c>
      <c r="BF3182" s="34" t="n">
        <f aca="false">BD3182*M3182</f>
        <v>21490</v>
      </c>
      <c r="BG3182" s="35" t="n">
        <f aca="false">BA3182-BF3182</f>
        <v>0</v>
      </c>
      <c r="BH3182" s="19" t="str">
        <f aca="false">IF(BG3182=0,"",IF(BG3182&lt;&gt;BA3182,"erreur de calcul",IF(BD3182&lt;&gt;0,"pas de prix",IF(M3182&lt;&gt; 0,"pas de quantité","pas de prix, ni de quantité"))))</f>
        <v/>
      </c>
      <c r="BI3182" s="19"/>
    </row>
    <row r="3183" customFormat="false" ht="15" hidden="false" customHeight="false" outlineLevel="0" collapsed="false">
      <c r="A3183" s="0" t="n">
        <v>22</v>
      </c>
      <c r="B3183" s="8" t="s">
        <v>24</v>
      </c>
      <c r="C3183" s="9" t="s">
        <v>25</v>
      </c>
      <c r="D3183" s="9" t="s">
        <v>26</v>
      </c>
      <c r="E3183" s="10" t="n">
        <v>1789</v>
      </c>
      <c r="F3183" s="9" t="s">
        <v>27</v>
      </c>
      <c r="G3183" s="9" t="s">
        <v>27</v>
      </c>
      <c r="H3183" s="11" t="n">
        <v>18</v>
      </c>
      <c r="I3183" s="11" t="s">
        <v>93</v>
      </c>
      <c r="J3183" s="14" t="n">
        <v>4</v>
      </c>
      <c r="K3183" s="14"/>
      <c r="L3183" s="16"/>
      <c r="M3183" s="27" t="n">
        <f aca="false">J3183+(K3183/20)+(L3183/240)</f>
        <v>4</v>
      </c>
      <c r="N3183" s="17" t="s">
        <v>94</v>
      </c>
      <c r="O3183" s="11"/>
      <c r="P3183" s="28"/>
      <c r="Q3183" s="28" t="n">
        <f aca="false">P3183*$M3183</f>
        <v>0</v>
      </c>
      <c r="R3183" s="28"/>
      <c r="S3183" s="28" t="n">
        <f aca="false">R3183*$M3183</f>
        <v>0</v>
      </c>
      <c r="T3183" s="28"/>
      <c r="U3183" s="28" t="n">
        <f aca="false">T3183*$M3183</f>
        <v>0</v>
      </c>
      <c r="V3183" s="28"/>
      <c r="W3183" s="28" t="n">
        <f aca="false">V3183*$M3183</f>
        <v>0</v>
      </c>
      <c r="X3183" s="29"/>
      <c r="Y3183" s="28" t="n">
        <f aca="false">X3183*$M3183</f>
        <v>0</v>
      </c>
      <c r="Z3183" s="28"/>
      <c r="AA3183" s="28" t="n">
        <f aca="false">Z3183*$M3183</f>
        <v>0</v>
      </c>
      <c r="AB3183" s="28"/>
      <c r="AC3183" s="28" t="n">
        <f aca="false">AB3183*$M3183</f>
        <v>0</v>
      </c>
      <c r="AD3183" s="28" t="n">
        <v>900</v>
      </c>
      <c r="AE3183" s="28" t="n">
        <v>3600</v>
      </c>
      <c r="AF3183" s="28"/>
      <c r="AG3183" s="28" t="n">
        <f aca="false">AF3183*$M3183</f>
        <v>0</v>
      </c>
      <c r="AH3183" s="28"/>
      <c r="AI3183" s="28" t="n">
        <f aca="false">AH3183*$M3183</f>
        <v>0</v>
      </c>
      <c r="AJ3183" s="28"/>
      <c r="AK3183" s="28" t="n">
        <f aca="false">AJ3183*$M3183</f>
        <v>0</v>
      </c>
      <c r="AL3183" s="28"/>
      <c r="AM3183" s="28" t="n">
        <f aca="false">AL3183*$M3183</f>
        <v>0</v>
      </c>
      <c r="AN3183" s="28"/>
      <c r="AO3183" s="28" t="n">
        <f aca="false">AN3183*$M3183</f>
        <v>0</v>
      </c>
      <c r="AP3183" s="28" t="n">
        <v>36</v>
      </c>
      <c r="AQ3183" s="28" t="n">
        <v>144</v>
      </c>
      <c r="AR3183" s="28"/>
      <c r="AS3183" s="28" t="n">
        <f aca="false">AR3183*$M3183</f>
        <v>0</v>
      </c>
      <c r="AT3183" s="28"/>
      <c r="AU3183" s="28" t="n">
        <f aca="false">AT3183*$M3183</f>
        <v>0</v>
      </c>
      <c r="AV3183" s="28"/>
      <c r="AW3183" s="28" t="n">
        <f aca="false">AV3183*$M3183</f>
        <v>0</v>
      </c>
      <c r="AX3183" s="28"/>
      <c r="AY3183" s="28" t="n">
        <f aca="false">AX3183*$M3183</f>
        <v>0</v>
      </c>
      <c r="AZ3183" s="30" t="n">
        <v>936</v>
      </c>
      <c r="BA3183" s="11" t="n">
        <v>3744</v>
      </c>
      <c r="BB3183" s="31" t="n">
        <f aca="false">SUM(Q3183,S3183,U3183,W3183,Y3183,AA3183,AC3183,AE3183,AG3183,AI3183,AK3183,AM3183,AO3183,AQ3183,AS3183,AU3183,AW3183,AY3183)</f>
        <v>3744</v>
      </c>
      <c r="BC3183" s="28" t="n">
        <f aca="false">BA3183-BB3183</f>
        <v>0</v>
      </c>
      <c r="BD3183" s="32" t="n">
        <f aca="false">SUM(P3183,R3183,T3183,V3183,X3183,Z3183,AB3183,AD3183,AF3183,AH3183,AJ3183,AL3183,AN3183,AP3183,AR3183,AT3183,AV3183,AX3183)</f>
        <v>936</v>
      </c>
      <c r="BE3183" s="33" t="n">
        <f aca="false">AZ3183-BD3183</f>
        <v>0</v>
      </c>
      <c r="BF3183" s="34" t="n">
        <f aca="false">BD3183*M3183</f>
        <v>3744</v>
      </c>
      <c r="BG3183" s="35" t="n">
        <f aca="false">BA3183-BF3183</f>
        <v>0</v>
      </c>
      <c r="BH3183" s="19" t="str">
        <f aca="false">IF(BG3183=0,"",IF(BG3183&lt;&gt;BA3183,"erreur de calcul",IF(BD3183&lt;&gt;0,"pas de prix",IF(M3183&lt;&gt; 0,"pas de quantité","pas de prix, ni de quantité"))))</f>
        <v/>
      </c>
      <c r="BI3183" s="19"/>
    </row>
    <row r="3184" customFormat="false" ht="15" hidden="false" customHeight="false" outlineLevel="0" collapsed="false">
      <c r="A3184" s="0" t="n">
        <v>23</v>
      </c>
      <c r="B3184" s="8" t="s">
        <v>24</v>
      </c>
      <c r="C3184" s="9" t="s">
        <v>25</v>
      </c>
      <c r="D3184" s="9" t="s">
        <v>26</v>
      </c>
      <c r="E3184" s="10" t="n">
        <v>1789</v>
      </c>
      <c r="F3184" s="9" t="s">
        <v>27</v>
      </c>
      <c r="G3184" s="9" t="s">
        <v>27</v>
      </c>
      <c r="H3184" s="11" t="n">
        <v>18</v>
      </c>
      <c r="I3184" s="11" t="s">
        <v>95</v>
      </c>
      <c r="J3184" s="14" t="n">
        <v>40</v>
      </c>
      <c r="K3184" s="14"/>
      <c r="L3184" s="16"/>
      <c r="M3184" s="27" t="n">
        <f aca="false">J3184+(K3184/20)+(L3184/240)</f>
        <v>40</v>
      </c>
      <c r="N3184" s="17" t="s">
        <v>64</v>
      </c>
      <c r="O3184" s="11"/>
      <c r="P3184" s="28" t="n">
        <f aca="false">16000/100</f>
        <v>160</v>
      </c>
      <c r="Q3184" s="28" t="n">
        <v>6400</v>
      </c>
      <c r="R3184" s="28"/>
      <c r="S3184" s="28" t="n">
        <f aca="false">R3184*$M3184</f>
        <v>0</v>
      </c>
      <c r="T3184" s="28"/>
      <c r="U3184" s="28" t="n">
        <f aca="false">T3184*$M3184</f>
        <v>0</v>
      </c>
      <c r="V3184" s="28"/>
      <c r="W3184" s="28" t="n">
        <f aca="false">V3184*$M3184</f>
        <v>0</v>
      </c>
      <c r="X3184" s="29"/>
      <c r="Y3184" s="28" t="n">
        <f aca="false">X3184*$M3184</f>
        <v>0</v>
      </c>
      <c r="Z3184" s="28"/>
      <c r="AA3184" s="28" t="n">
        <f aca="false">Z3184*$M3184</f>
        <v>0</v>
      </c>
      <c r="AB3184" s="28"/>
      <c r="AC3184" s="28" t="n">
        <f aca="false">AB3184*$M3184</f>
        <v>0</v>
      </c>
      <c r="AD3184" s="28"/>
      <c r="AE3184" s="28" t="n">
        <f aca="false">AD3184*$M3184</f>
        <v>0</v>
      </c>
      <c r="AF3184" s="28"/>
      <c r="AG3184" s="28" t="n">
        <f aca="false">AF3184*$M3184</f>
        <v>0</v>
      </c>
      <c r="AH3184" s="28"/>
      <c r="AI3184" s="28" t="n">
        <f aca="false">AH3184*$M3184</f>
        <v>0</v>
      </c>
      <c r="AJ3184" s="28"/>
      <c r="AK3184" s="28" t="n">
        <f aca="false">AJ3184*$M3184</f>
        <v>0</v>
      </c>
      <c r="AL3184" s="28"/>
      <c r="AM3184" s="28" t="n">
        <f aca="false">AL3184*$M3184</f>
        <v>0</v>
      </c>
      <c r="AN3184" s="28"/>
      <c r="AO3184" s="28" t="n">
        <f aca="false">AN3184*$M3184</f>
        <v>0</v>
      </c>
      <c r="AP3184" s="28"/>
      <c r="AQ3184" s="28" t="n">
        <f aca="false">AP3184*$M3184</f>
        <v>0</v>
      </c>
      <c r="AR3184" s="28"/>
      <c r="AS3184" s="28" t="n">
        <f aca="false">AR3184*$M3184</f>
        <v>0</v>
      </c>
      <c r="AT3184" s="28"/>
      <c r="AU3184" s="28" t="n">
        <f aca="false">AT3184*$M3184</f>
        <v>0</v>
      </c>
      <c r="AV3184" s="28"/>
      <c r="AW3184" s="28" t="n">
        <f aca="false">AV3184*$M3184</f>
        <v>0</v>
      </c>
      <c r="AX3184" s="28"/>
      <c r="AY3184" s="28" t="n">
        <f aca="false">AX3184*$M3184</f>
        <v>0</v>
      </c>
      <c r="AZ3184" s="30" t="n">
        <f aca="false">16000/100</f>
        <v>160</v>
      </c>
      <c r="BA3184" s="11" t="n">
        <v>6400</v>
      </c>
      <c r="BB3184" s="31" t="n">
        <f aca="false">SUM(Q3184,S3184,U3184,W3184,Y3184,AA3184,AC3184,AE3184,AG3184,AI3184,AK3184,AM3184,AO3184,AQ3184,AS3184,AU3184,AW3184,AY3184)</f>
        <v>6400</v>
      </c>
      <c r="BC3184" s="28" t="n">
        <f aca="false">BA3184-BB3184</f>
        <v>0</v>
      </c>
      <c r="BD3184" s="32" t="n">
        <f aca="false">SUM(P3184,R3184,T3184,V3184,X3184,Z3184,AB3184,AD3184,AF3184,AH3184,AJ3184,AL3184,AN3184,AP3184,AR3184,AT3184,AV3184,AX3184)</f>
        <v>160</v>
      </c>
      <c r="BE3184" s="33" t="n">
        <f aca="false">AZ3184-BD3184</f>
        <v>0</v>
      </c>
      <c r="BF3184" s="34" t="n">
        <f aca="false">BD3184*M3184</f>
        <v>6400</v>
      </c>
      <c r="BG3184" s="35" t="n">
        <f aca="false">BA3184-BF3184</f>
        <v>0</v>
      </c>
      <c r="BH3184" s="19" t="str">
        <f aca="false">IF(BG3184=0,"",IF(BG3184&lt;&gt;BA3184,"erreur de calcul",IF(BD3184&lt;&gt;0,"pas de prix",IF(M3184&lt;&gt; 0,"pas de quantité","pas de prix, ni de quantité"))))</f>
        <v/>
      </c>
      <c r="BI3184" s="19"/>
    </row>
    <row r="3185" customFormat="false" ht="15" hidden="false" customHeight="false" outlineLevel="0" collapsed="false">
      <c r="A3185" s="0" t="n">
        <v>24</v>
      </c>
      <c r="B3185" s="8" t="s">
        <v>24</v>
      </c>
      <c r="C3185" s="9" t="s">
        <v>25</v>
      </c>
      <c r="D3185" s="9" t="s">
        <v>26</v>
      </c>
      <c r="E3185" s="10" t="n">
        <v>1789</v>
      </c>
      <c r="F3185" s="9" t="s">
        <v>27</v>
      </c>
      <c r="G3185" s="9" t="s">
        <v>27</v>
      </c>
      <c r="H3185" s="11" t="n">
        <v>18</v>
      </c>
      <c r="I3185" s="11" t="s">
        <v>96</v>
      </c>
      <c r="J3185" s="14" t="n">
        <v>25</v>
      </c>
      <c r="K3185" s="14"/>
      <c r="L3185" s="16"/>
      <c r="M3185" s="27" t="n">
        <f aca="false">J3185+(K3185/20)+(L3185/240)</f>
        <v>25</v>
      </c>
      <c r="N3185" s="17" t="s">
        <v>64</v>
      </c>
      <c r="O3185" s="11"/>
      <c r="P3185" s="28" t="n">
        <f aca="false">968306/100</f>
        <v>9683.06</v>
      </c>
      <c r="Q3185" s="28" t="n">
        <v>242076</v>
      </c>
      <c r="R3185" s="28"/>
      <c r="S3185" s="28" t="n">
        <f aca="false">R3185*$M3185</f>
        <v>0</v>
      </c>
      <c r="T3185" s="28"/>
      <c r="U3185" s="28" t="n">
        <f aca="false">T3185*$M3185</f>
        <v>0</v>
      </c>
      <c r="V3185" s="28" t="n">
        <f aca="false">39234/100</f>
        <v>392.34</v>
      </c>
      <c r="W3185" s="28" t="n">
        <v>9808</v>
      </c>
      <c r="X3185" s="29"/>
      <c r="Y3185" s="28" t="n">
        <v>3410</v>
      </c>
      <c r="Z3185" s="28"/>
      <c r="AA3185" s="28" t="n">
        <f aca="false">Z3185*$M3185</f>
        <v>0</v>
      </c>
      <c r="AB3185" s="28"/>
      <c r="AC3185" s="28" t="n">
        <f aca="false">AB3185*$M3185</f>
        <v>0</v>
      </c>
      <c r="AD3185" s="28"/>
      <c r="AE3185" s="28" t="n">
        <f aca="false">AD3185*$M3185</f>
        <v>0</v>
      </c>
      <c r="AF3185" s="28"/>
      <c r="AG3185" s="28" t="n">
        <f aca="false">AF3185*$M3185</f>
        <v>0</v>
      </c>
      <c r="AH3185" s="28"/>
      <c r="AI3185" s="28" t="n">
        <f aca="false">AH3185*$M3185</f>
        <v>0</v>
      </c>
      <c r="AJ3185" s="28" t="n">
        <f aca="false">2665/100</f>
        <v>26.65</v>
      </c>
      <c r="AK3185" s="28" t="n">
        <v>666</v>
      </c>
      <c r="AL3185" s="28"/>
      <c r="AM3185" s="28" t="n">
        <f aca="false">AL3185*$M3185</f>
        <v>0</v>
      </c>
      <c r="AN3185" s="28"/>
      <c r="AO3185" s="28" t="n">
        <f aca="false">AN3185*$M3185</f>
        <v>0</v>
      </c>
      <c r="AP3185" s="28"/>
      <c r="AQ3185" s="28" t="n">
        <f aca="false">AP3185*$M3185</f>
        <v>0</v>
      </c>
      <c r="AR3185" s="28"/>
      <c r="AS3185" s="28" t="n">
        <f aca="false">AR3185*$M3185</f>
        <v>0</v>
      </c>
      <c r="AT3185" s="28"/>
      <c r="AU3185" s="28" t="n">
        <f aca="false">AT3185*$M3185</f>
        <v>0</v>
      </c>
      <c r="AV3185" s="28"/>
      <c r="AW3185" s="28" t="n">
        <f aca="false">AV3185*$M3185</f>
        <v>0</v>
      </c>
      <c r="AX3185" s="28" t="n">
        <f aca="false">118115/100</f>
        <v>1181.15</v>
      </c>
      <c r="AY3185" s="28" t="n">
        <v>29529</v>
      </c>
      <c r="AZ3185" s="30" t="n">
        <f aca="false">1141960/100</f>
        <v>11419.6</v>
      </c>
      <c r="BA3185" s="11" t="n">
        <v>285489</v>
      </c>
      <c r="BB3185" s="31" t="n">
        <f aca="false">SUM(Q3185,S3185,U3185,W3185,Y3185,AA3185,AC3185,AE3185,AG3185,AI3185,AK3185,AM3185,AO3185,AQ3185,AS3185,AU3185,AW3185,AY3185)</f>
        <v>285489</v>
      </c>
      <c r="BC3185" s="28" t="n">
        <f aca="false">BA3185-BB3185</f>
        <v>0</v>
      </c>
      <c r="BD3185" s="32" t="n">
        <f aca="false">SUM(P3185,R3185,T3185,V3185,X3185,Z3185,AB3185,AD3185,AF3185,AH3185,AJ3185,AL3185,AN3185,AP3185,AR3185,AT3185,AV3185,AX3185)</f>
        <v>11283.2</v>
      </c>
      <c r="BE3185" s="33" t="n">
        <f aca="false">AZ3185-BD3185</f>
        <v>136.400000000001</v>
      </c>
      <c r="BF3185" s="34" t="n">
        <f aca="false">BD3185*M3185</f>
        <v>282080</v>
      </c>
      <c r="BG3185" s="35" t="n">
        <f aca="false">BA3185-BF3185</f>
        <v>3409</v>
      </c>
      <c r="BH3185" s="19" t="str">
        <f aca="false">IF(BG3185=0,"",IF(BG3185&lt;&gt;BA3185,"erreur de calcul",IF(BD3185&lt;&gt;0,"pas de prix",IF(M3185&lt;&gt; 0,"pas de quantité","pas de prix, ni de quantité"))))</f>
        <v>erreur de calcul</v>
      </c>
      <c r="BI3185" s="19"/>
    </row>
    <row r="3186" customFormat="false" ht="15" hidden="false" customHeight="false" outlineLevel="0" collapsed="false">
      <c r="A3186" s="0" t="n">
        <v>25</v>
      </c>
      <c r="B3186" s="8" t="s">
        <v>24</v>
      </c>
      <c r="C3186" s="9" t="s">
        <v>25</v>
      </c>
      <c r="D3186" s="9" t="s">
        <v>26</v>
      </c>
      <c r="E3186" s="10" t="n">
        <v>1789</v>
      </c>
      <c r="F3186" s="9" t="s">
        <v>27</v>
      </c>
      <c r="G3186" s="9" t="s">
        <v>27</v>
      </c>
      <c r="H3186" s="11" t="n">
        <v>18</v>
      </c>
      <c r="I3186" s="11" t="s">
        <v>97</v>
      </c>
      <c r="J3186" s="14" t="n">
        <v>30</v>
      </c>
      <c r="K3186" s="14"/>
      <c r="L3186" s="16"/>
      <c r="M3186" s="27" t="n">
        <f aca="false">J3186+(K3186/20)+(L3186/240)</f>
        <v>30</v>
      </c>
      <c r="N3186" s="17" t="s">
        <v>64</v>
      </c>
      <c r="O3186" s="11" t="s">
        <v>98</v>
      </c>
      <c r="P3186" s="28"/>
      <c r="Q3186" s="28" t="n">
        <f aca="false">P3186*$M3186</f>
        <v>0</v>
      </c>
      <c r="R3186" s="28"/>
      <c r="S3186" s="28" t="n">
        <f aca="false">R3186*$M3186</f>
        <v>0</v>
      </c>
      <c r="T3186" s="28"/>
      <c r="U3186" s="28" t="n">
        <f aca="false">T3186*$M3186</f>
        <v>0</v>
      </c>
      <c r="V3186" s="28"/>
      <c r="W3186" s="28" t="n">
        <f aca="false">V3186*$M3186</f>
        <v>0</v>
      </c>
      <c r="X3186" s="29"/>
      <c r="Y3186" s="28" t="n">
        <f aca="false">X3186*$M3186</f>
        <v>0</v>
      </c>
      <c r="Z3186" s="28"/>
      <c r="AA3186" s="28" t="n">
        <f aca="false">Z3186*$M3186</f>
        <v>0</v>
      </c>
      <c r="AB3186" s="28"/>
      <c r="AC3186" s="28" t="n">
        <f aca="false">AB3186*$M3186</f>
        <v>0</v>
      </c>
      <c r="AD3186" s="28"/>
      <c r="AE3186" s="28" t="n">
        <f aca="false">AD3186*$M3186</f>
        <v>0</v>
      </c>
      <c r="AF3186" s="28"/>
      <c r="AG3186" s="28" t="n">
        <f aca="false">AF3186*$M3186</f>
        <v>0</v>
      </c>
      <c r="AH3186" s="28"/>
      <c r="AI3186" s="28" t="n">
        <f aca="false">AH3186*$M3186</f>
        <v>0</v>
      </c>
      <c r="AJ3186" s="28"/>
      <c r="AK3186" s="28" t="n">
        <f aca="false">AJ3186*$M3186</f>
        <v>0</v>
      </c>
      <c r="AL3186" s="28"/>
      <c r="AM3186" s="28" t="n">
        <f aca="false">AL3186*$M3186</f>
        <v>0</v>
      </c>
      <c r="AN3186" s="28"/>
      <c r="AO3186" s="28" t="n">
        <f aca="false">AN3186*$M3186</f>
        <v>0</v>
      </c>
      <c r="AP3186" s="28"/>
      <c r="AQ3186" s="28" t="n">
        <f aca="false">AP3186*$M3186</f>
        <v>0</v>
      </c>
      <c r="AR3186" s="28"/>
      <c r="AS3186" s="28" t="n">
        <f aca="false">AR3186*$M3186</f>
        <v>0</v>
      </c>
      <c r="AT3186" s="28"/>
      <c r="AU3186" s="28" t="n">
        <f aca="false">AT3186*$M3186</f>
        <v>0</v>
      </c>
      <c r="AV3186" s="28"/>
      <c r="AW3186" s="28" t="n">
        <f aca="false">AV3186*$M3186</f>
        <v>0</v>
      </c>
      <c r="AX3186" s="28"/>
      <c r="AY3186" s="28" t="n">
        <f aca="false">AX3186*$M3186</f>
        <v>0</v>
      </c>
      <c r="AZ3186" s="30"/>
      <c r="BA3186" s="11"/>
      <c r="BB3186" s="31" t="n">
        <f aca="false">SUM(Q3186,S3186,U3186,W3186,Y3186,AA3186,AC3186,AE3186,AG3186,AI3186,AK3186,AM3186,AO3186,AQ3186,AS3186,AU3186,AW3186,AY3186)</f>
        <v>0</v>
      </c>
      <c r="BC3186" s="28" t="n">
        <f aca="false">BA3186-BB3186</f>
        <v>0</v>
      </c>
      <c r="BD3186" s="32" t="n">
        <f aca="false">SUM(P3186,R3186,T3186,V3186,X3186,Z3186,AB3186,AD3186,AF3186,AH3186,AJ3186,AL3186,AN3186,AP3186,AR3186,AT3186,AV3186,AX3186)</f>
        <v>0</v>
      </c>
      <c r="BE3186" s="33" t="n">
        <f aca="false">AZ3186-BD3186</f>
        <v>0</v>
      </c>
      <c r="BF3186" s="34" t="n">
        <f aca="false">BD3186*M3186</f>
        <v>0</v>
      </c>
      <c r="BG3186" s="35" t="n">
        <f aca="false">BA3186-BF3186</f>
        <v>0</v>
      </c>
      <c r="BH3186" s="19" t="str">
        <f aca="false">IF(BG3186=0,"",IF(BG3186&lt;&gt;BA3186,"erreur de calcul",IF(BD3186&lt;&gt;0,"pas de prix",IF(M3186&lt;&gt; 0,"pas de quantité","pas de prix, ni de quantité"))))</f>
        <v/>
      </c>
      <c r="BI3186" s="19"/>
    </row>
    <row r="3187" customFormat="false" ht="15" hidden="false" customHeight="false" outlineLevel="0" collapsed="false">
      <c r="A3187" s="0" t="n">
        <v>26</v>
      </c>
      <c r="B3187" s="8" t="s">
        <v>24</v>
      </c>
      <c r="C3187" s="9" t="s">
        <v>25</v>
      </c>
      <c r="D3187" s="9" t="s">
        <v>26</v>
      </c>
      <c r="E3187" s="10" t="n">
        <v>1789</v>
      </c>
      <c r="F3187" s="9" t="s">
        <v>27</v>
      </c>
      <c r="G3187" s="9" t="s">
        <v>27</v>
      </c>
      <c r="H3187" s="11" t="n">
        <v>18</v>
      </c>
      <c r="I3187" s="11" t="s">
        <v>99</v>
      </c>
      <c r="J3187" s="14" t="n">
        <v>12</v>
      </c>
      <c r="K3187" s="14"/>
      <c r="L3187" s="16"/>
      <c r="M3187" s="27" t="n">
        <f aca="false">J3187+(K3187/20)+(L3187/240)</f>
        <v>12</v>
      </c>
      <c r="N3187" s="17" t="s">
        <v>64</v>
      </c>
      <c r="O3187" s="11"/>
      <c r="P3187" s="28" t="n">
        <f aca="false">7077/100</f>
        <v>70.77</v>
      </c>
      <c r="Q3187" s="28" t="n">
        <v>849</v>
      </c>
      <c r="R3187" s="28"/>
      <c r="S3187" s="28" t="n">
        <f aca="false">R3187*$M3187</f>
        <v>0</v>
      </c>
      <c r="T3187" s="28"/>
      <c r="U3187" s="28" t="n">
        <f aca="false">T3187*$M3187</f>
        <v>0</v>
      </c>
      <c r="V3187" s="28"/>
      <c r="W3187" s="28" t="n">
        <f aca="false">V3187*$M3187</f>
        <v>0</v>
      </c>
      <c r="X3187" s="29"/>
      <c r="Y3187" s="28" t="n">
        <v>866</v>
      </c>
      <c r="Z3187" s="28"/>
      <c r="AA3187" s="28" t="n">
        <f aca="false">Z3187*$M3187</f>
        <v>0</v>
      </c>
      <c r="AB3187" s="28"/>
      <c r="AC3187" s="28" t="n">
        <f aca="false">AB3187*$M3187</f>
        <v>0</v>
      </c>
      <c r="AD3187" s="28"/>
      <c r="AE3187" s="28" t="n">
        <f aca="false">AD3187*$M3187</f>
        <v>0</v>
      </c>
      <c r="AF3187" s="28"/>
      <c r="AG3187" s="28" t="n">
        <f aca="false">AF3187*$M3187</f>
        <v>0</v>
      </c>
      <c r="AH3187" s="28"/>
      <c r="AI3187" s="28" t="n">
        <f aca="false">AH3187*$M3187</f>
        <v>0</v>
      </c>
      <c r="AJ3187" s="28"/>
      <c r="AK3187" s="28" t="n">
        <f aca="false">AJ3187*$M3187</f>
        <v>0</v>
      </c>
      <c r="AL3187" s="28"/>
      <c r="AM3187" s="28" t="n">
        <f aca="false">AL3187*$M3187</f>
        <v>0</v>
      </c>
      <c r="AN3187" s="28"/>
      <c r="AO3187" s="28" t="n">
        <f aca="false">AN3187*$M3187</f>
        <v>0</v>
      </c>
      <c r="AP3187" s="28"/>
      <c r="AQ3187" s="28" t="n">
        <f aca="false">AP3187*$M3187</f>
        <v>0</v>
      </c>
      <c r="AR3187" s="28"/>
      <c r="AS3187" s="28" t="n">
        <f aca="false">AR3187*$M3187</f>
        <v>0</v>
      </c>
      <c r="AT3187" s="28"/>
      <c r="AU3187" s="28" t="n">
        <f aca="false">AT3187*$M3187</f>
        <v>0</v>
      </c>
      <c r="AV3187" s="28"/>
      <c r="AW3187" s="28" t="n">
        <f aca="false">AV3187*$M3187</f>
        <v>0</v>
      </c>
      <c r="AX3187" s="28"/>
      <c r="AY3187" s="28" t="n">
        <f aca="false">AX3187*$M3187</f>
        <v>0</v>
      </c>
      <c r="AZ3187" s="30" t="n">
        <f aca="false">14294/100</f>
        <v>142.94</v>
      </c>
      <c r="BA3187" s="11" t="n">
        <v>1715</v>
      </c>
      <c r="BB3187" s="31" t="n">
        <f aca="false">SUM(Q3187,S3187,U3187,W3187,Y3187,AA3187,AC3187,AE3187,AG3187,AI3187,AK3187,AM3187,AO3187,AQ3187,AS3187,AU3187,AW3187,AY3187)</f>
        <v>1715</v>
      </c>
      <c r="BC3187" s="28" t="n">
        <f aca="false">BA3187-BB3187</f>
        <v>0</v>
      </c>
      <c r="BD3187" s="32" t="n">
        <f aca="false">SUM(P3187,R3187,T3187,V3187,X3187,Z3187,AB3187,AD3187,AF3187,AH3187,AJ3187,AL3187,AN3187,AP3187,AR3187,AT3187,AV3187,AX3187)</f>
        <v>70.77</v>
      </c>
      <c r="BE3187" s="33" t="n">
        <f aca="false">AZ3187-BD3187</f>
        <v>72.17</v>
      </c>
      <c r="BF3187" s="34" t="n">
        <f aca="false">BD3187*M3187</f>
        <v>849.24</v>
      </c>
      <c r="BG3187" s="35" t="n">
        <f aca="false">BA3187-BF3187</f>
        <v>865.76</v>
      </c>
      <c r="BH3187" s="19" t="str">
        <f aca="false">IF(BG3187=0,"",IF(BG3187&lt;&gt;BA3187,"erreur de calcul",IF(BD3187&lt;&gt;0,"pas de prix",IF(M3187&lt;&gt; 0,"pas de quantité","pas de prix, ni de quantité"))))</f>
        <v>erreur de calcul</v>
      </c>
      <c r="BI3187" s="19"/>
    </row>
    <row r="3188" customFormat="false" ht="15" hidden="false" customHeight="false" outlineLevel="0" collapsed="false">
      <c r="A3188" s="0" t="n">
        <v>27</v>
      </c>
      <c r="B3188" s="8" t="s">
        <v>24</v>
      </c>
      <c r="C3188" s="9" t="s">
        <v>25</v>
      </c>
      <c r="D3188" s="9" t="s">
        <v>26</v>
      </c>
      <c r="E3188" s="10" t="n">
        <v>1789</v>
      </c>
      <c r="F3188" s="9" t="s">
        <v>27</v>
      </c>
      <c r="G3188" s="9" t="s">
        <v>27</v>
      </c>
      <c r="H3188" s="11" t="n">
        <v>18</v>
      </c>
      <c r="I3188" s="11" t="s">
        <v>100</v>
      </c>
      <c r="J3188" s="14" t="n">
        <v>13</v>
      </c>
      <c r="K3188" s="14"/>
      <c r="L3188" s="16"/>
      <c r="M3188" s="27" t="n">
        <f aca="false">J3188+(K3188/20)+(L3188/240)</f>
        <v>13</v>
      </c>
      <c r="N3188" s="17" t="s">
        <v>64</v>
      </c>
      <c r="O3188" s="11"/>
      <c r="P3188" s="28"/>
      <c r="Q3188" s="28" t="n">
        <f aca="false">P3188*$M3188</f>
        <v>0</v>
      </c>
      <c r="R3188" s="28"/>
      <c r="S3188" s="28" t="n">
        <f aca="false">R3188*$M3188</f>
        <v>0</v>
      </c>
      <c r="T3188" s="28"/>
      <c r="U3188" s="28" t="n">
        <f aca="false">T3188*$M3188</f>
        <v>0</v>
      </c>
      <c r="V3188" s="28"/>
      <c r="W3188" s="28" t="n">
        <f aca="false">V3188*$M3188</f>
        <v>0</v>
      </c>
      <c r="X3188" s="29"/>
      <c r="Y3188" s="28" t="n">
        <f aca="false">X3188*$M3188</f>
        <v>0</v>
      </c>
      <c r="Z3188" s="28"/>
      <c r="AA3188" s="28" t="n">
        <f aca="false">Z3188*$M3188</f>
        <v>0</v>
      </c>
      <c r="AB3188" s="28"/>
      <c r="AC3188" s="28" t="n">
        <f aca="false">AB3188*$M3188</f>
        <v>0</v>
      </c>
      <c r="AD3188" s="28"/>
      <c r="AE3188" s="28" t="n">
        <f aca="false">AD3188*$M3188</f>
        <v>0</v>
      </c>
      <c r="AF3188" s="28"/>
      <c r="AG3188" s="28" t="n">
        <f aca="false">AF3188*$M3188</f>
        <v>0</v>
      </c>
      <c r="AH3188" s="28" t="n">
        <f aca="false">7819/100</f>
        <v>78.19</v>
      </c>
      <c r="AI3188" s="28" t="n">
        <v>1016</v>
      </c>
      <c r="AJ3188" s="28" t="n">
        <f aca="false">10382/100</f>
        <v>103.82</v>
      </c>
      <c r="AK3188" s="28" t="n">
        <v>1350</v>
      </c>
      <c r="AL3188" s="28"/>
      <c r="AM3188" s="28" t="n">
        <f aca="false">AL3188*$M3188</f>
        <v>0</v>
      </c>
      <c r="AN3188" s="28"/>
      <c r="AO3188" s="28" t="n">
        <f aca="false">AN3188*$M3188</f>
        <v>0</v>
      </c>
      <c r="AP3188" s="28"/>
      <c r="AQ3188" s="28" t="n">
        <f aca="false">AP3188*$M3188</f>
        <v>0</v>
      </c>
      <c r="AR3188" s="28"/>
      <c r="AS3188" s="28" t="n">
        <f aca="false">AR3188*$M3188</f>
        <v>0</v>
      </c>
      <c r="AT3188" s="28"/>
      <c r="AU3188" s="28" t="n">
        <f aca="false">AT3188*$M3188</f>
        <v>0</v>
      </c>
      <c r="AV3188" s="28"/>
      <c r="AW3188" s="28" t="n">
        <f aca="false">AV3188*$M3188</f>
        <v>0</v>
      </c>
      <c r="AX3188" s="28"/>
      <c r="AY3188" s="28" t="n">
        <f aca="false">AX3188*$M3188</f>
        <v>0</v>
      </c>
      <c r="AZ3188" s="30" t="n">
        <f aca="false">18201/100</f>
        <v>182.01</v>
      </c>
      <c r="BA3188" s="11" t="n">
        <v>2366</v>
      </c>
      <c r="BB3188" s="31" t="n">
        <f aca="false">SUM(Q3188,S3188,U3188,W3188,Y3188,AA3188,AC3188,AE3188,AG3188,AI3188,AK3188,AM3188,AO3188,AQ3188,AS3188,AU3188,AW3188,AY3188)</f>
        <v>2366</v>
      </c>
      <c r="BC3188" s="28" t="n">
        <f aca="false">BA3188-BB3188</f>
        <v>0</v>
      </c>
      <c r="BD3188" s="32" t="n">
        <f aca="false">SUM(P3188,R3188,T3188,V3188,X3188,Z3188,AB3188,AD3188,AF3188,AH3188,AJ3188,AL3188,AN3188,AP3188,AR3188,AT3188,AV3188,AX3188)</f>
        <v>182.01</v>
      </c>
      <c r="BE3188" s="33" t="n">
        <f aca="false">AZ3188-BD3188</f>
        <v>0</v>
      </c>
      <c r="BF3188" s="34" t="n">
        <f aca="false">BD3188*M3188</f>
        <v>2366.13</v>
      </c>
      <c r="BG3188" s="35" t="n">
        <f aca="false">BA3188-BF3188</f>
        <v>-0.130000000000109</v>
      </c>
      <c r="BH3188" s="19" t="str">
        <f aca="false">IF(BG3188=0,"",IF(BG3188&lt;&gt;BA3188,"erreur de calcul",IF(BD3188&lt;&gt;0,"pas de prix",IF(M3188&lt;&gt; 0,"pas de quantité","pas de prix, ni de quantité"))))</f>
        <v>erreur de calcul</v>
      </c>
      <c r="BI3188" s="19"/>
    </row>
    <row r="3189" customFormat="false" ht="15" hidden="false" customHeight="false" outlineLevel="0" collapsed="false">
      <c r="A3189" s="0" t="n">
        <v>28</v>
      </c>
      <c r="B3189" s="8" t="s">
        <v>24</v>
      </c>
      <c r="C3189" s="9" t="s">
        <v>25</v>
      </c>
      <c r="D3189" s="9" t="s">
        <v>26</v>
      </c>
      <c r="E3189" s="10" t="n">
        <v>1789</v>
      </c>
      <c r="F3189" s="9" t="s">
        <v>27</v>
      </c>
      <c r="G3189" s="9" t="s">
        <v>27</v>
      </c>
      <c r="H3189" s="11" t="n">
        <v>18</v>
      </c>
      <c r="I3189" s="11" t="s">
        <v>101</v>
      </c>
      <c r="J3189" s="14" t="n">
        <v>35</v>
      </c>
      <c r="K3189" s="14"/>
      <c r="L3189" s="16"/>
      <c r="M3189" s="27" t="n">
        <f aca="false">J3189+(K3189/20)+(L3189/240)</f>
        <v>35</v>
      </c>
      <c r="N3189" s="17" t="s">
        <v>64</v>
      </c>
      <c r="O3189" s="11"/>
      <c r="P3189" s="28"/>
      <c r="Q3189" s="28" t="n">
        <f aca="false">P3189*$M3189</f>
        <v>0</v>
      </c>
      <c r="R3189" s="28"/>
      <c r="S3189" s="28" t="n">
        <f aca="false">R3189*$M3189</f>
        <v>0</v>
      </c>
      <c r="T3189" s="28"/>
      <c r="U3189" s="28" t="n">
        <f aca="false">T3189*$M3189</f>
        <v>0</v>
      </c>
      <c r="V3189" s="28"/>
      <c r="W3189" s="28" t="n">
        <f aca="false">V3189*$M3189</f>
        <v>0</v>
      </c>
      <c r="X3189" s="29"/>
      <c r="Y3189" s="28" t="n">
        <f aca="false">X3189*$M3189</f>
        <v>0</v>
      </c>
      <c r="Z3189" s="28"/>
      <c r="AA3189" s="28" t="n">
        <f aca="false">Z3189*$M3189</f>
        <v>0</v>
      </c>
      <c r="AB3189" s="28"/>
      <c r="AC3189" s="28" t="n">
        <f aca="false">AB3189*$M3189</f>
        <v>0</v>
      </c>
      <c r="AD3189" s="28"/>
      <c r="AE3189" s="28" t="n">
        <f aca="false">AD3189*$M3189</f>
        <v>0</v>
      </c>
      <c r="AF3189" s="28"/>
      <c r="AG3189" s="28" t="n">
        <f aca="false">AF3189*$M3189</f>
        <v>0</v>
      </c>
      <c r="AH3189" s="28"/>
      <c r="AI3189" s="28" t="n">
        <f aca="false">AH3189*$M3189</f>
        <v>0</v>
      </c>
      <c r="AJ3189" s="28" t="n">
        <f aca="false">65277/100</f>
        <v>652.77</v>
      </c>
      <c r="AK3189" s="28" t="n">
        <v>22847</v>
      </c>
      <c r="AL3189" s="28"/>
      <c r="AM3189" s="28" t="n">
        <f aca="false">AL3189*$M3189</f>
        <v>0</v>
      </c>
      <c r="AN3189" s="28"/>
      <c r="AO3189" s="28" t="n">
        <f aca="false">AN3189*$M3189</f>
        <v>0</v>
      </c>
      <c r="AP3189" s="28"/>
      <c r="AQ3189" s="28" t="n">
        <f aca="false">AP3189*$M3189</f>
        <v>0</v>
      </c>
      <c r="AR3189" s="28"/>
      <c r="AS3189" s="28" t="n">
        <f aca="false">AR3189*$M3189</f>
        <v>0</v>
      </c>
      <c r="AT3189" s="28"/>
      <c r="AU3189" s="28" t="n">
        <f aca="false">AT3189*$M3189</f>
        <v>0</v>
      </c>
      <c r="AV3189" s="28"/>
      <c r="AW3189" s="28" t="n">
        <f aca="false">AV3189*$M3189</f>
        <v>0</v>
      </c>
      <c r="AX3189" s="28"/>
      <c r="AY3189" s="28" t="n">
        <f aca="false">AX3189*$M3189</f>
        <v>0</v>
      </c>
      <c r="AZ3189" s="30" t="n">
        <f aca="false">65277/100</f>
        <v>652.77</v>
      </c>
      <c r="BA3189" s="11" t="n">
        <v>22847</v>
      </c>
      <c r="BB3189" s="31" t="n">
        <f aca="false">SUM(Q3189,S3189,U3189,W3189,Y3189,AA3189,AC3189,AE3189,AG3189,AI3189,AK3189,AM3189,AO3189,AQ3189,AS3189,AU3189,AW3189,AY3189)</f>
        <v>22847</v>
      </c>
      <c r="BC3189" s="28" t="n">
        <f aca="false">BA3189-BB3189</f>
        <v>0</v>
      </c>
      <c r="BD3189" s="32" t="n">
        <f aca="false">SUM(P3189,R3189,T3189,V3189,X3189,Z3189,AB3189,AD3189,AF3189,AH3189,AJ3189,AL3189,AN3189,AP3189,AR3189,AT3189,AV3189,AX3189)</f>
        <v>652.77</v>
      </c>
      <c r="BE3189" s="33" t="n">
        <f aca="false">AZ3189-BD3189</f>
        <v>0</v>
      </c>
      <c r="BF3189" s="34" t="n">
        <f aca="false">BD3189*M3189</f>
        <v>22846.95</v>
      </c>
      <c r="BG3189" s="35" t="n">
        <f aca="false">BA3189-BF3189</f>
        <v>0.0499999999992724</v>
      </c>
      <c r="BH3189" s="19" t="str">
        <f aca="false">IF(BG3189=0,"",IF(BG3189&lt;&gt;BA3189,"erreur de calcul",IF(BD3189&lt;&gt;0,"pas de prix",IF(M3189&lt;&gt; 0,"pas de quantité","pas de prix, ni de quantité"))))</f>
        <v>erreur de calcul</v>
      </c>
      <c r="BI3189" s="19"/>
    </row>
    <row r="3190" customFormat="false" ht="16.65" hidden="false" customHeight="false" outlineLevel="0" collapsed="false">
      <c r="A3190" s="0" t="n">
        <v>29</v>
      </c>
      <c r="B3190" s="8" t="s">
        <v>24</v>
      </c>
      <c r="C3190" s="9" t="s">
        <v>25</v>
      </c>
      <c r="D3190" s="9" t="s">
        <v>26</v>
      </c>
      <c r="E3190" s="10" t="n">
        <v>1789</v>
      </c>
      <c r="F3190" s="9" t="s">
        <v>27</v>
      </c>
      <c r="G3190" s="9" t="s">
        <v>27</v>
      </c>
      <c r="H3190" s="11" t="n">
        <v>18</v>
      </c>
      <c r="I3190" s="11" t="s">
        <v>102</v>
      </c>
      <c r="J3190" s="14" t="n">
        <v>47</v>
      </c>
      <c r="K3190" s="14"/>
      <c r="L3190" s="16"/>
      <c r="M3190" s="27" t="n">
        <f aca="false">J3190+(K3190/20)+(L3190/240)</f>
        <v>47</v>
      </c>
      <c r="N3190" s="17" t="s">
        <v>64</v>
      </c>
      <c r="O3190" s="11"/>
      <c r="P3190" s="28" t="n">
        <f aca="false">8467/100</f>
        <v>84.67</v>
      </c>
      <c r="Q3190" s="28" t="n">
        <v>3979</v>
      </c>
      <c r="R3190" s="28"/>
      <c r="S3190" s="28" t="n">
        <f aca="false">R3190*$M3190</f>
        <v>0</v>
      </c>
      <c r="T3190" s="28"/>
      <c r="U3190" s="28" t="n">
        <f aca="false">T3190*$M3190</f>
        <v>0</v>
      </c>
      <c r="V3190" s="28"/>
      <c r="W3190" s="28" t="n">
        <f aca="false">V3190*$M3190</f>
        <v>0</v>
      </c>
      <c r="X3190" s="29"/>
      <c r="Y3190" s="28" t="n">
        <f aca="false">X3190*$M3190</f>
        <v>0</v>
      </c>
      <c r="Z3190" s="28"/>
      <c r="AA3190" s="28" t="n">
        <f aca="false">Z3190*$M3190</f>
        <v>0</v>
      </c>
      <c r="AB3190" s="28"/>
      <c r="AC3190" s="28" t="n">
        <f aca="false">AB3190*$M3190</f>
        <v>0</v>
      </c>
      <c r="AD3190" s="28"/>
      <c r="AE3190" s="28" t="n">
        <f aca="false">AD3190*$M3190</f>
        <v>0</v>
      </c>
      <c r="AF3190" s="28"/>
      <c r="AG3190" s="28" t="n">
        <f aca="false">AF3190*$M3190</f>
        <v>0</v>
      </c>
      <c r="AH3190" s="28"/>
      <c r="AI3190" s="28" t="n">
        <f aca="false">AH3190*$M3190</f>
        <v>0</v>
      </c>
      <c r="AJ3190" s="28"/>
      <c r="AK3190" s="28" t="n">
        <f aca="false">AJ3190*$M3190</f>
        <v>0</v>
      </c>
      <c r="AL3190" s="28"/>
      <c r="AM3190" s="28" t="n">
        <f aca="false">AL3190*$M3190</f>
        <v>0</v>
      </c>
      <c r="AN3190" s="28"/>
      <c r="AO3190" s="28" t="n">
        <f aca="false">AN3190*$M3190</f>
        <v>0</v>
      </c>
      <c r="AP3190" s="28"/>
      <c r="AQ3190" s="28" t="n">
        <f aca="false">AP3190*$M3190</f>
        <v>0</v>
      </c>
      <c r="AR3190" s="28"/>
      <c r="AS3190" s="28" t="n">
        <f aca="false">AR3190*$M3190</f>
        <v>0</v>
      </c>
      <c r="AT3190" s="28"/>
      <c r="AU3190" s="28" t="n">
        <f aca="false">AT3190*$M3190</f>
        <v>0</v>
      </c>
      <c r="AV3190" s="28"/>
      <c r="AW3190" s="28" t="n">
        <f aca="false">AV3190*$M3190</f>
        <v>0</v>
      </c>
      <c r="AX3190" s="28"/>
      <c r="AY3190" s="28" t="n">
        <f aca="false">AX3190*$M3190</f>
        <v>0</v>
      </c>
      <c r="AZ3190" s="30" t="n">
        <f aca="false">8467/100</f>
        <v>84.67</v>
      </c>
      <c r="BA3190" s="11" t="n">
        <v>3979</v>
      </c>
      <c r="BB3190" s="31" t="n">
        <f aca="false">SUM(Q3190,S3190,U3190,W3190,Y3190,AA3190,AC3190,AE3190,AG3190,AI3190,AK3190,AM3190,AO3190,AQ3190,AS3190,AU3190,AW3190,AY3190)</f>
        <v>3979</v>
      </c>
      <c r="BC3190" s="28" t="n">
        <f aca="false">BA3190-BB3190</f>
        <v>0</v>
      </c>
      <c r="BD3190" s="32" t="n">
        <f aca="false">SUM(P3190,R3190,T3190,V3190,X3190,Z3190,AB3190,AD3190,AF3190,AH3190,AJ3190,AL3190,AN3190,AP3190,AR3190,AT3190,AV3190,AX3190)</f>
        <v>84.67</v>
      </c>
      <c r="BE3190" s="33" t="n">
        <f aca="false">AZ3190-BD3190</f>
        <v>0</v>
      </c>
      <c r="BF3190" s="34" t="n">
        <f aca="false">BD3190*M3190</f>
        <v>3979.49</v>
      </c>
      <c r="BG3190" s="35" t="n">
        <f aca="false">BA3190-BF3190</f>
        <v>-0.490000000000237</v>
      </c>
      <c r="BH3190" s="19" t="str">
        <f aca="false">IF(BG3190=0,"",IF(BG3190&lt;&gt;BA3190,"erreur de calcul",IF(BD3190&lt;&gt;0,"pas de prix",IF(M3190&lt;&gt; 0,"pas de quantité","pas de prix, ni de quantité"))))</f>
        <v>erreur de calcul</v>
      </c>
      <c r="BI3190" s="19"/>
    </row>
    <row r="3191" customFormat="false" ht="15" hidden="false" customHeight="false" outlineLevel="0" collapsed="false">
      <c r="A3191" s="0" t="n">
        <v>30</v>
      </c>
      <c r="B3191" s="8" t="s">
        <v>24</v>
      </c>
      <c r="C3191" s="9" t="s">
        <v>25</v>
      </c>
      <c r="D3191" s="9" t="s">
        <v>26</v>
      </c>
      <c r="E3191" s="10" t="n">
        <v>1789</v>
      </c>
      <c r="F3191" s="9" t="s">
        <v>27</v>
      </c>
      <c r="G3191" s="9" t="s">
        <v>27</v>
      </c>
      <c r="H3191" s="11" t="n">
        <v>18</v>
      </c>
      <c r="I3191" s="11" t="s">
        <v>103</v>
      </c>
      <c r="J3191" s="14" t="n">
        <v>475</v>
      </c>
      <c r="K3191" s="14"/>
      <c r="L3191" s="16"/>
      <c r="M3191" s="27" t="n">
        <f aca="false">J3191+(K3191/20)+(L3191/240)</f>
        <v>475</v>
      </c>
      <c r="N3191" s="17" t="s">
        <v>64</v>
      </c>
      <c r="O3191" s="11"/>
      <c r="P3191" s="28"/>
      <c r="Q3191" s="28" t="n">
        <f aca="false">P3191*$M3191</f>
        <v>0</v>
      </c>
      <c r="R3191" s="28"/>
      <c r="S3191" s="28" t="n">
        <f aca="false">R3191*$M3191</f>
        <v>0</v>
      </c>
      <c r="T3191" s="28" t="n">
        <f aca="false">1746/100</f>
        <v>17.46</v>
      </c>
      <c r="U3191" s="28" t="n">
        <v>8293</v>
      </c>
      <c r="V3191" s="28"/>
      <c r="W3191" s="28" t="n">
        <f aca="false">V3191*$M3191</f>
        <v>0</v>
      </c>
      <c r="X3191" s="29"/>
      <c r="Y3191" s="28" t="n">
        <f aca="false">X3191*$M3191</f>
        <v>0</v>
      </c>
      <c r="Z3191" s="28"/>
      <c r="AA3191" s="28" t="n">
        <f aca="false">Z3191*$M3191</f>
        <v>0</v>
      </c>
      <c r="AB3191" s="28"/>
      <c r="AC3191" s="28" t="n">
        <f aca="false">AB3191*$M3191</f>
        <v>0</v>
      </c>
      <c r="AD3191" s="28"/>
      <c r="AE3191" s="28" t="n">
        <f aca="false">AD3191*$M3191</f>
        <v>0</v>
      </c>
      <c r="AF3191" s="28"/>
      <c r="AG3191" s="28" t="n">
        <f aca="false">AF3191*$M3191</f>
        <v>0</v>
      </c>
      <c r="AH3191" s="28" t="n">
        <f aca="false">1667/100</f>
        <v>16.67</v>
      </c>
      <c r="AI3191" s="28" t="n">
        <v>7918</v>
      </c>
      <c r="AJ3191" s="28"/>
      <c r="AK3191" s="28" t="n">
        <f aca="false">AJ3191*$M3191</f>
        <v>0</v>
      </c>
      <c r="AL3191" s="28"/>
      <c r="AM3191" s="28" t="n">
        <f aca="false">AL3191*$M3191</f>
        <v>0</v>
      </c>
      <c r="AN3191" s="28"/>
      <c r="AO3191" s="28" t="n">
        <f aca="false">AN3191*$M3191</f>
        <v>0</v>
      </c>
      <c r="AP3191" s="28"/>
      <c r="AQ3191" s="28" t="n">
        <f aca="false">AP3191*$M3191</f>
        <v>0</v>
      </c>
      <c r="AR3191" s="28"/>
      <c r="AS3191" s="28" t="n">
        <f aca="false">AR3191*$M3191</f>
        <v>0</v>
      </c>
      <c r="AT3191" s="28"/>
      <c r="AU3191" s="28" t="n">
        <f aca="false">AT3191*$M3191</f>
        <v>0</v>
      </c>
      <c r="AV3191" s="28"/>
      <c r="AW3191" s="28" t="n">
        <f aca="false">AV3191*$M3191</f>
        <v>0</v>
      </c>
      <c r="AX3191" s="28"/>
      <c r="AY3191" s="28" t="n">
        <f aca="false">AX3191*$M3191</f>
        <v>0</v>
      </c>
      <c r="AZ3191" s="30" t="n">
        <f aca="false">3413/100</f>
        <v>34.13</v>
      </c>
      <c r="BA3191" s="11" t="n">
        <v>16211</v>
      </c>
      <c r="BB3191" s="31" t="n">
        <f aca="false">SUM(Q3191,S3191,U3191,W3191,Y3191,AA3191,AC3191,AE3191,AG3191,AI3191,AK3191,AM3191,AO3191,AQ3191,AS3191,AU3191,AW3191,AY3191)</f>
        <v>16211</v>
      </c>
      <c r="BC3191" s="28" t="n">
        <f aca="false">BA3191-BB3191</f>
        <v>0</v>
      </c>
      <c r="BD3191" s="32" t="n">
        <f aca="false">SUM(P3191,R3191,T3191,V3191,X3191,Z3191,AB3191,AD3191,AF3191,AH3191,AJ3191,AL3191,AN3191,AP3191,AR3191,AT3191,AV3191,AX3191)</f>
        <v>34.13</v>
      </c>
      <c r="BE3191" s="33" t="n">
        <f aca="false">AZ3191-BD3191</f>
        <v>0</v>
      </c>
      <c r="BF3191" s="34" t="n">
        <f aca="false">BD3191*M3191</f>
        <v>16211.75</v>
      </c>
      <c r="BG3191" s="35" t="n">
        <f aca="false">BA3191-BF3191</f>
        <v>-0.750000000001819</v>
      </c>
      <c r="BH3191" s="19" t="str">
        <f aca="false">IF(BG3191=0,"",IF(BG3191&lt;&gt;BA3191,"erreur de calcul",IF(BD3191&lt;&gt;0,"pas de prix",IF(M3191&lt;&gt; 0,"pas de quantité","pas de prix, ni de quantité"))))</f>
        <v>erreur de calcul</v>
      </c>
      <c r="BI3191" s="19"/>
    </row>
    <row r="3192" customFormat="false" ht="15" hidden="false" customHeight="false" outlineLevel="0" collapsed="false">
      <c r="A3192" s="0" t="n">
        <v>31</v>
      </c>
      <c r="B3192" s="8" t="s">
        <v>24</v>
      </c>
      <c r="C3192" s="9" t="s">
        <v>25</v>
      </c>
      <c r="D3192" s="9" t="s">
        <v>26</v>
      </c>
      <c r="E3192" s="10" t="n">
        <v>1789</v>
      </c>
      <c r="F3192" s="9" t="s">
        <v>27</v>
      </c>
      <c r="G3192" s="9" t="s">
        <v>27</v>
      </c>
      <c r="H3192" s="11" t="n">
        <v>18</v>
      </c>
      <c r="I3192" s="11" t="s">
        <v>104</v>
      </c>
      <c r="J3192" s="14" t="n">
        <v>310</v>
      </c>
      <c r="K3192" s="14"/>
      <c r="L3192" s="16"/>
      <c r="M3192" s="27" t="n">
        <f aca="false">J3192+(K3192/20)+(L3192/240)</f>
        <v>310</v>
      </c>
      <c r="N3192" s="17" t="s">
        <v>64</v>
      </c>
      <c r="O3192" s="11"/>
      <c r="P3192" s="28"/>
      <c r="Q3192" s="28" t="n">
        <f aca="false">P3192*$M3192</f>
        <v>0</v>
      </c>
      <c r="R3192" s="28"/>
      <c r="S3192" s="28" t="n">
        <f aca="false">R3192*$M3192</f>
        <v>0</v>
      </c>
      <c r="T3192" s="28" t="n">
        <f aca="false">1087/100</f>
        <v>10.87</v>
      </c>
      <c r="U3192" s="28" t="n">
        <v>3370</v>
      </c>
      <c r="V3192" s="28" t="n">
        <f aca="false">285/100</f>
        <v>2.85</v>
      </c>
      <c r="W3192" s="28" t="n">
        <v>883</v>
      </c>
      <c r="X3192" s="29"/>
      <c r="Y3192" s="28" t="n">
        <f aca="false">X3192*$M3192</f>
        <v>0</v>
      </c>
      <c r="Z3192" s="28"/>
      <c r="AA3192" s="28" t="n">
        <f aca="false">Z3192*$M3192</f>
        <v>0</v>
      </c>
      <c r="AB3192" s="28"/>
      <c r="AC3192" s="28" t="n">
        <f aca="false">AB3192*$M3192</f>
        <v>0</v>
      </c>
      <c r="AD3192" s="28"/>
      <c r="AE3192" s="28" t="n">
        <f aca="false">AD3192*$M3192</f>
        <v>0</v>
      </c>
      <c r="AF3192" s="28"/>
      <c r="AG3192" s="28" t="n">
        <f aca="false">AF3192*$M3192</f>
        <v>0</v>
      </c>
      <c r="AH3192" s="28"/>
      <c r="AI3192" s="28" t="n">
        <f aca="false">AH3192*$M3192</f>
        <v>0</v>
      </c>
      <c r="AJ3192" s="28"/>
      <c r="AK3192" s="28" t="n">
        <f aca="false">AJ3192*$M3192</f>
        <v>0</v>
      </c>
      <c r="AL3192" s="28"/>
      <c r="AM3192" s="28" t="n">
        <f aca="false">AL3192*$M3192</f>
        <v>0</v>
      </c>
      <c r="AN3192" s="28"/>
      <c r="AO3192" s="28" t="n">
        <f aca="false">AN3192*$M3192</f>
        <v>0</v>
      </c>
      <c r="AP3192" s="28"/>
      <c r="AQ3192" s="28" t="n">
        <f aca="false">AP3192*$M3192</f>
        <v>0</v>
      </c>
      <c r="AR3192" s="28"/>
      <c r="AS3192" s="28" t="n">
        <f aca="false">AR3192*$M3192</f>
        <v>0</v>
      </c>
      <c r="AT3192" s="28"/>
      <c r="AU3192" s="28" t="n">
        <f aca="false">AT3192*$M3192</f>
        <v>0</v>
      </c>
      <c r="AV3192" s="28"/>
      <c r="AW3192" s="28" t="n">
        <f aca="false">AV3192*$M3192</f>
        <v>0</v>
      </c>
      <c r="AX3192" s="28"/>
      <c r="AY3192" s="28" t="n">
        <f aca="false">AX3192*$M3192</f>
        <v>0</v>
      </c>
      <c r="AZ3192" s="30" t="n">
        <f aca="false">1372/100</f>
        <v>13.72</v>
      </c>
      <c r="BA3192" s="11" t="n">
        <v>4253</v>
      </c>
      <c r="BB3192" s="31" t="n">
        <f aca="false">SUM(Q3192,S3192,U3192,W3192,Y3192,AA3192,AC3192,AE3192,AG3192,AI3192,AK3192,AM3192,AO3192,AQ3192,AS3192,AU3192,AW3192,AY3192)</f>
        <v>4253</v>
      </c>
      <c r="BC3192" s="28" t="n">
        <f aca="false">BA3192-BB3192</f>
        <v>0</v>
      </c>
      <c r="BD3192" s="32" t="n">
        <f aca="false">SUM(P3192,R3192,T3192,V3192,X3192,Z3192,AB3192,AD3192,AF3192,AH3192,AJ3192,AL3192,AN3192,AP3192,AR3192,AT3192,AV3192,AX3192)</f>
        <v>13.72</v>
      </c>
      <c r="BE3192" s="33" t="n">
        <f aca="false">AZ3192-BD3192</f>
        <v>0</v>
      </c>
      <c r="BF3192" s="34" t="n">
        <f aca="false">BD3192*M3192</f>
        <v>4253.2</v>
      </c>
      <c r="BG3192" s="35" t="n">
        <f aca="false">BA3192-BF3192</f>
        <v>-0.199999999999818</v>
      </c>
      <c r="BH3192" s="19" t="str">
        <f aca="false">IF(BG3192=0,"",IF(BG3192&lt;&gt;BA3192,"erreur de calcul",IF(BD3192&lt;&gt;0,"pas de prix",IF(M3192&lt;&gt; 0,"pas de quantité","pas de prix, ni de quantité"))))</f>
        <v>erreur de calcul</v>
      </c>
      <c r="BI3192" s="19"/>
    </row>
    <row r="3193" customFormat="false" ht="15" hidden="false" customHeight="false" outlineLevel="0" collapsed="false">
      <c r="A3193" s="0" t="n">
        <v>32</v>
      </c>
      <c r="B3193" s="8" t="s">
        <v>24</v>
      </c>
      <c r="C3193" s="9" t="s">
        <v>25</v>
      </c>
      <c r="D3193" s="9" t="s">
        <v>26</v>
      </c>
      <c r="E3193" s="10" t="n">
        <v>1789</v>
      </c>
      <c r="F3193" s="9" t="s">
        <v>27</v>
      </c>
      <c r="G3193" s="9" t="s">
        <v>27</v>
      </c>
      <c r="H3193" s="11" t="n">
        <v>18</v>
      </c>
      <c r="I3193" s="11" t="s">
        <v>105</v>
      </c>
      <c r="J3193" s="14" t="n">
        <v>570</v>
      </c>
      <c r="K3193" s="14"/>
      <c r="L3193" s="16"/>
      <c r="M3193" s="27" t="n">
        <f aca="false">J3193+(K3193/20)+(L3193/240)</f>
        <v>570</v>
      </c>
      <c r="N3193" s="17" t="s">
        <v>64</v>
      </c>
      <c r="O3193" s="11"/>
      <c r="P3193" s="28"/>
      <c r="Q3193" s="28" t="n">
        <f aca="false">P3193*$M3193</f>
        <v>0</v>
      </c>
      <c r="R3193" s="28"/>
      <c r="S3193" s="28" t="n">
        <f aca="false">R3193*$M3193</f>
        <v>0</v>
      </c>
      <c r="T3193" s="28" t="n">
        <f aca="false">7423/100</f>
        <v>74.23</v>
      </c>
      <c r="U3193" s="28" t="n">
        <v>42311</v>
      </c>
      <c r="V3193" s="28" t="n">
        <f aca="false">798/100</f>
        <v>7.98</v>
      </c>
      <c r="W3193" s="28" t="n">
        <v>4549</v>
      </c>
      <c r="X3193" s="29" t="n">
        <f aca="false">2068/100</f>
        <v>20.68</v>
      </c>
      <c r="Y3193" s="28" t="n">
        <v>8368</v>
      </c>
      <c r="Z3193" s="28"/>
      <c r="AA3193" s="28" t="n">
        <f aca="false">Z3193*$M3193</f>
        <v>0</v>
      </c>
      <c r="AB3193" s="28" t="n">
        <f aca="false">226/100</f>
        <v>2.26</v>
      </c>
      <c r="AC3193" s="28" t="n">
        <v>1288</v>
      </c>
      <c r="AD3193" s="28"/>
      <c r="AE3193" s="28" t="n">
        <f aca="false">AD3193*$M3193</f>
        <v>0</v>
      </c>
      <c r="AF3193" s="28"/>
      <c r="AG3193" s="28" t="n">
        <f aca="false">AF3193*$M3193</f>
        <v>0</v>
      </c>
      <c r="AH3193" s="28"/>
      <c r="AI3193" s="28" t="n">
        <f aca="false">AH3193*$M3193</f>
        <v>0</v>
      </c>
      <c r="AJ3193" s="28"/>
      <c r="AK3193" s="28" t="n">
        <f aca="false">AJ3193*$M3193</f>
        <v>0</v>
      </c>
      <c r="AL3193" s="28"/>
      <c r="AM3193" s="28" t="n">
        <f aca="false">AL3193*$M3193</f>
        <v>0</v>
      </c>
      <c r="AN3193" s="28"/>
      <c r="AO3193" s="28" t="n">
        <f aca="false">AN3193*$M3193</f>
        <v>0</v>
      </c>
      <c r="AP3193" s="28"/>
      <c r="AQ3193" s="28" t="n">
        <f aca="false">AP3193*$M3193</f>
        <v>0</v>
      </c>
      <c r="AR3193" s="28"/>
      <c r="AS3193" s="28" t="n">
        <f aca="false">AR3193*$M3193</f>
        <v>0</v>
      </c>
      <c r="AT3193" s="28"/>
      <c r="AU3193" s="28" t="n">
        <f aca="false">AT3193*$M3193</f>
        <v>0</v>
      </c>
      <c r="AV3193" s="28"/>
      <c r="AW3193" s="28" t="n">
        <f aca="false">AV3193*$M3193</f>
        <v>0</v>
      </c>
      <c r="AX3193" s="28"/>
      <c r="AY3193" s="28" t="n">
        <f aca="false">AX3193*$M3193</f>
        <v>0</v>
      </c>
      <c r="AZ3193" s="30" t="n">
        <f aca="false">10515/100</f>
        <v>105.15</v>
      </c>
      <c r="BA3193" s="11" t="n">
        <v>56516</v>
      </c>
      <c r="BB3193" s="31" t="n">
        <f aca="false">SUM(Q3193,S3193,U3193,W3193,Y3193,AA3193,AC3193,AE3193,AG3193,AI3193,AK3193,AM3193,AO3193,AQ3193,AS3193,AU3193,AW3193,AY3193)</f>
        <v>56516</v>
      </c>
      <c r="BC3193" s="28" t="n">
        <f aca="false">BA3193-BB3193</f>
        <v>0</v>
      </c>
      <c r="BD3193" s="32" t="n">
        <f aca="false">SUM(P3193,R3193,T3193,V3193,X3193,Z3193,AB3193,AD3193,AF3193,AH3193,AJ3193,AL3193,AN3193,AP3193,AR3193,AT3193,AV3193,AX3193)</f>
        <v>105.15</v>
      </c>
      <c r="BE3193" s="33" t="n">
        <f aca="false">AZ3193-BD3193</f>
        <v>0</v>
      </c>
      <c r="BF3193" s="34" t="n">
        <f aca="false">BD3193*M3193</f>
        <v>59935.5</v>
      </c>
      <c r="BG3193" s="35" t="n">
        <f aca="false">BA3193-BF3193</f>
        <v>-3419.5</v>
      </c>
      <c r="BH3193" s="19" t="str">
        <f aca="false">IF(BG3193=0,"",IF(BG3193&lt;&gt;BA3193,"erreur de calcul",IF(BD3193&lt;&gt;0,"pas de prix",IF(M3193&lt;&gt; 0,"pas de quantité","pas de prix, ni de quantité"))))</f>
        <v>erreur de calcul</v>
      </c>
      <c r="BI3193" s="19"/>
    </row>
    <row r="3194" customFormat="false" ht="15" hidden="false" customHeight="false" outlineLevel="0" collapsed="false">
      <c r="A3194" s="0" t="n">
        <v>33</v>
      </c>
      <c r="B3194" s="8" t="s">
        <v>24</v>
      </c>
      <c r="C3194" s="9" t="s">
        <v>25</v>
      </c>
      <c r="D3194" s="9" t="s">
        <v>26</v>
      </c>
      <c r="E3194" s="10" t="n">
        <v>1789</v>
      </c>
      <c r="F3194" s="9" t="s">
        <v>27</v>
      </c>
      <c r="G3194" s="9" t="s">
        <v>27</v>
      </c>
      <c r="H3194" s="11" t="n">
        <v>18</v>
      </c>
      <c r="I3194" s="11" t="s">
        <v>106</v>
      </c>
      <c r="J3194" s="14"/>
      <c r="K3194" s="14" t="n">
        <v>40</v>
      </c>
      <c r="L3194" s="16"/>
      <c r="M3194" s="27" t="n">
        <f aca="false">J3194+(K3194/20)+(L3194/240)</f>
        <v>2</v>
      </c>
      <c r="N3194" s="17" t="s">
        <v>66</v>
      </c>
      <c r="O3194" s="11"/>
      <c r="P3194" s="28"/>
      <c r="Q3194" s="28" t="n">
        <f aca="false">P3194*$M3194</f>
        <v>0</v>
      </c>
      <c r="R3194" s="28"/>
      <c r="S3194" s="28" t="n">
        <f aca="false">R3194*$M3194</f>
        <v>0</v>
      </c>
      <c r="T3194" s="28"/>
      <c r="U3194" s="28" t="n">
        <f aca="false">T3194*$M3194</f>
        <v>0</v>
      </c>
      <c r="V3194" s="28" t="n">
        <v>892</v>
      </c>
      <c r="W3194" s="28" t="n">
        <v>1784</v>
      </c>
      <c r="X3194" s="29"/>
      <c r="Y3194" s="28" t="n">
        <f aca="false">X3194*$M3194</f>
        <v>0</v>
      </c>
      <c r="Z3194" s="28"/>
      <c r="AA3194" s="28" t="n">
        <f aca="false">Z3194*$M3194</f>
        <v>0</v>
      </c>
      <c r="AB3194" s="28"/>
      <c r="AC3194" s="28" t="n">
        <f aca="false">AB3194*$M3194</f>
        <v>0</v>
      </c>
      <c r="AD3194" s="28"/>
      <c r="AE3194" s="28" t="n">
        <f aca="false">AD3194*$M3194</f>
        <v>0</v>
      </c>
      <c r="AF3194" s="28"/>
      <c r="AG3194" s="28" t="n">
        <f aca="false">AF3194*$M3194</f>
        <v>0</v>
      </c>
      <c r="AH3194" s="28" t="n">
        <v>1961</v>
      </c>
      <c r="AI3194" s="28" t="n">
        <v>3922</v>
      </c>
      <c r="AJ3194" s="28"/>
      <c r="AK3194" s="28" t="n">
        <f aca="false">AJ3194*$M3194</f>
        <v>0</v>
      </c>
      <c r="AL3194" s="28"/>
      <c r="AM3194" s="28" t="n">
        <f aca="false">AL3194*$M3194</f>
        <v>0</v>
      </c>
      <c r="AN3194" s="28"/>
      <c r="AO3194" s="28" t="n">
        <f aca="false">AN3194*$M3194</f>
        <v>0</v>
      </c>
      <c r="AP3194" s="28"/>
      <c r="AQ3194" s="28" t="n">
        <f aca="false">AP3194*$M3194</f>
        <v>0</v>
      </c>
      <c r="AR3194" s="28"/>
      <c r="AS3194" s="28" t="n">
        <f aca="false">AR3194*$M3194</f>
        <v>0</v>
      </c>
      <c r="AT3194" s="28"/>
      <c r="AU3194" s="28" t="n">
        <f aca="false">AT3194*$M3194</f>
        <v>0</v>
      </c>
      <c r="AV3194" s="28"/>
      <c r="AW3194" s="28" t="n">
        <f aca="false">AV3194*$M3194</f>
        <v>0</v>
      </c>
      <c r="AX3194" s="28"/>
      <c r="AY3194" s="28" t="n">
        <f aca="false">AX3194*$M3194</f>
        <v>0</v>
      </c>
      <c r="AZ3194" s="30" t="n">
        <v>2853</v>
      </c>
      <c r="BA3194" s="11" t="n">
        <v>5706</v>
      </c>
      <c r="BB3194" s="31" t="n">
        <f aca="false">SUM(Q3194,S3194,U3194,W3194,Y3194,AA3194,AC3194,AE3194,AG3194,AI3194,AK3194,AM3194,AO3194,AQ3194,AS3194,AU3194,AW3194,AY3194)</f>
        <v>5706</v>
      </c>
      <c r="BC3194" s="28" t="n">
        <f aca="false">BA3194-BB3194</f>
        <v>0</v>
      </c>
      <c r="BD3194" s="32" t="n">
        <f aca="false">SUM(P3194,R3194,T3194,V3194,X3194,Z3194,AB3194,AD3194,AF3194,AH3194,AJ3194,AL3194,AN3194,AP3194,AR3194,AT3194,AV3194,AX3194)</f>
        <v>2853</v>
      </c>
      <c r="BE3194" s="33" t="n">
        <f aca="false">AZ3194-BD3194</f>
        <v>0</v>
      </c>
      <c r="BF3194" s="34" t="n">
        <f aca="false">BD3194*M3194</f>
        <v>5706</v>
      </c>
      <c r="BG3194" s="35" t="n">
        <f aca="false">BA3194-BF3194</f>
        <v>0</v>
      </c>
      <c r="BH3194" s="19" t="str">
        <f aca="false">IF(BG3194=0,"",IF(BG3194&lt;&gt;BA3194,"erreur de calcul",IF(BD3194&lt;&gt;0,"pas de prix",IF(M3194&lt;&gt; 0,"pas de quantité","pas de prix, ni de quantité"))))</f>
        <v/>
      </c>
      <c r="BI3194" s="19"/>
    </row>
    <row r="3195" customFormat="false" ht="15" hidden="false" customHeight="false" outlineLevel="0" collapsed="false">
      <c r="A3195" s="0" t="n">
        <v>34</v>
      </c>
      <c r="B3195" s="8" t="s">
        <v>24</v>
      </c>
      <c r="C3195" s="9" t="s">
        <v>25</v>
      </c>
      <c r="D3195" s="9" t="s">
        <v>26</v>
      </c>
      <c r="E3195" s="10" t="n">
        <v>1789</v>
      </c>
      <c r="F3195" s="9" t="s">
        <v>27</v>
      </c>
      <c r="G3195" s="9" t="s">
        <v>27</v>
      </c>
      <c r="H3195" s="11" t="n">
        <v>18</v>
      </c>
      <c r="I3195" s="11" t="s">
        <v>107</v>
      </c>
      <c r="J3195" s="14" t="n">
        <v>180</v>
      </c>
      <c r="K3195" s="14"/>
      <c r="L3195" s="16"/>
      <c r="M3195" s="27" t="n">
        <f aca="false">J3195+(K3195/20)+(L3195/240)</f>
        <v>180</v>
      </c>
      <c r="N3195" s="17" t="s">
        <v>64</v>
      </c>
      <c r="O3195" s="11"/>
      <c r="P3195" s="28"/>
      <c r="Q3195" s="28" t="n">
        <f aca="false">P3195*$M3195</f>
        <v>0</v>
      </c>
      <c r="R3195" s="28"/>
      <c r="S3195" s="28" t="n">
        <f aca="false">R3195*$M3195</f>
        <v>0</v>
      </c>
      <c r="T3195" s="28"/>
      <c r="U3195" s="28" t="n">
        <f aca="false">T3195*$M3195</f>
        <v>0</v>
      </c>
      <c r="V3195" s="28"/>
      <c r="W3195" s="28" t="n">
        <f aca="false">V3195*$M3195</f>
        <v>0</v>
      </c>
      <c r="X3195" s="29"/>
      <c r="Y3195" s="28" t="n">
        <f aca="false">X3195*$M3195</f>
        <v>0</v>
      </c>
      <c r="Z3195" s="28"/>
      <c r="AA3195" s="28" t="n">
        <f aca="false">Z3195*$M3195</f>
        <v>0</v>
      </c>
      <c r="AB3195" s="28"/>
      <c r="AC3195" s="28" t="n">
        <f aca="false">AB3195*$M3195</f>
        <v>0</v>
      </c>
      <c r="AD3195" s="28"/>
      <c r="AE3195" s="28" t="n">
        <f aca="false">AD3195*$M3195</f>
        <v>0</v>
      </c>
      <c r="AF3195" s="28"/>
      <c r="AG3195" s="28" t="n">
        <f aca="false">AF3195*$M3195</f>
        <v>0</v>
      </c>
      <c r="AH3195" s="28" t="n">
        <f aca="false">28680/100</f>
        <v>286.8</v>
      </c>
      <c r="AI3195" s="28" t="n">
        <v>51624</v>
      </c>
      <c r="AJ3195" s="28"/>
      <c r="AK3195" s="28" t="n">
        <f aca="false">AJ3195*$M3195</f>
        <v>0</v>
      </c>
      <c r="AL3195" s="28"/>
      <c r="AM3195" s="28" t="n">
        <f aca="false">AL3195*$M3195</f>
        <v>0</v>
      </c>
      <c r="AN3195" s="28"/>
      <c r="AO3195" s="28" t="n">
        <f aca="false">AN3195*$M3195</f>
        <v>0</v>
      </c>
      <c r="AP3195" s="28"/>
      <c r="AQ3195" s="28" t="n">
        <f aca="false">AP3195*$M3195</f>
        <v>0</v>
      </c>
      <c r="AR3195" s="28"/>
      <c r="AS3195" s="28" t="n">
        <f aca="false">AR3195*$M3195</f>
        <v>0</v>
      </c>
      <c r="AT3195" s="28"/>
      <c r="AU3195" s="28" t="n">
        <f aca="false">AT3195*$M3195</f>
        <v>0</v>
      </c>
      <c r="AV3195" s="28"/>
      <c r="AW3195" s="28" t="n">
        <f aca="false">AV3195*$M3195</f>
        <v>0</v>
      </c>
      <c r="AX3195" s="28"/>
      <c r="AY3195" s="28" t="n">
        <f aca="false">AX3195*$M3195</f>
        <v>0</v>
      </c>
      <c r="AZ3195" s="30" t="n">
        <f aca="false">28680/100</f>
        <v>286.8</v>
      </c>
      <c r="BA3195" s="11" t="n">
        <v>51624</v>
      </c>
      <c r="BB3195" s="31" t="n">
        <f aca="false">SUM(Q3195,S3195,U3195,W3195,Y3195,AA3195,AC3195,AE3195,AG3195,AI3195,AK3195,AM3195,AO3195,AQ3195,AS3195,AU3195,AW3195,AY3195)</f>
        <v>51624</v>
      </c>
      <c r="BC3195" s="28" t="n">
        <f aca="false">BA3195-BB3195</f>
        <v>0</v>
      </c>
      <c r="BD3195" s="32" t="n">
        <f aca="false">SUM(P3195,R3195,T3195,V3195,X3195,Z3195,AB3195,AD3195,AF3195,AH3195,AJ3195,AL3195,AN3195,AP3195,AR3195,AT3195,AV3195,AX3195)</f>
        <v>286.8</v>
      </c>
      <c r="BE3195" s="33" t="n">
        <f aca="false">AZ3195-BD3195</f>
        <v>0</v>
      </c>
      <c r="BF3195" s="34" t="n">
        <f aca="false">BD3195*M3195</f>
        <v>51624</v>
      </c>
      <c r="BG3195" s="35" t="n">
        <f aca="false">BA3195-BF3195</f>
        <v>0</v>
      </c>
      <c r="BH3195" s="19" t="str">
        <f aca="false">IF(BG3195=0,"",IF(BG3195&lt;&gt;BA3195,"erreur de calcul",IF(BD3195&lt;&gt;0,"pas de prix",IF(M3195&lt;&gt; 0,"pas de quantité","pas de prix, ni de quantité"))))</f>
        <v/>
      </c>
      <c r="BI3195" s="19"/>
    </row>
    <row r="3196" customFormat="false" ht="15" hidden="false" customHeight="false" outlineLevel="0" collapsed="false">
      <c r="A3196" s="0" t="n">
        <v>35</v>
      </c>
      <c r="B3196" s="8" t="s">
        <v>24</v>
      </c>
      <c r="C3196" s="9" t="s">
        <v>25</v>
      </c>
      <c r="D3196" s="9" t="s">
        <v>26</v>
      </c>
      <c r="E3196" s="10" t="n">
        <v>1789</v>
      </c>
      <c r="F3196" s="9" t="s">
        <v>27</v>
      </c>
      <c r="G3196" s="9" t="s">
        <v>27</v>
      </c>
      <c r="H3196" s="11" t="n">
        <v>18</v>
      </c>
      <c r="I3196" s="11" t="s">
        <v>108</v>
      </c>
      <c r="J3196" s="14" t="n">
        <v>11</v>
      </c>
      <c r="K3196" s="14"/>
      <c r="L3196" s="16"/>
      <c r="M3196" s="27" t="n">
        <f aca="false">J3196+(K3196/20)+(L3196/240)</f>
        <v>11</v>
      </c>
      <c r="N3196" s="17" t="s">
        <v>64</v>
      </c>
      <c r="O3196" s="11" t="s">
        <v>109</v>
      </c>
      <c r="P3196" s="28"/>
      <c r="Q3196" s="28" t="n">
        <f aca="false">P3196*$M3196</f>
        <v>0</v>
      </c>
      <c r="R3196" s="28"/>
      <c r="S3196" s="28" t="n">
        <f aca="false">R3196*$M3196</f>
        <v>0</v>
      </c>
      <c r="T3196" s="28"/>
      <c r="U3196" s="28" t="n">
        <f aca="false">T3196*$M3196</f>
        <v>0</v>
      </c>
      <c r="V3196" s="28"/>
      <c r="W3196" s="28" t="n">
        <f aca="false">V3196*$M3196</f>
        <v>0</v>
      </c>
      <c r="X3196" s="29"/>
      <c r="Y3196" s="28" t="n">
        <f aca="false">X3196*$M3196</f>
        <v>0</v>
      </c>
      <c r="Z3196" s="28"/>
      <c r="AA3196" s="28" t="n">
        <f aca="false">Z3196*$M3196</f>
        <v>0</v>
      </c>
      <c r="AB3196" s="28"/>
      <c r="AC3196" s="28" t="n">
        <f aca="false">AB3196*$M3196</f>
        <v>0</v>
      </c>
      <c r="AD3196" s="28"/>
      <c r="AE3196" s="28" t="n">
        <f aca="false">AD3196*$M3196</f>
        <v>0</v>
      </c>
      <c r="AF3196" s="28"/>
      <c r="AG3196" s="28" t="n">
        <f aca="false">AF3196*$M3196</f>
        <v>0</v>
      </c>
      <c r="AH3196" s="28"/>
      <c r="AI3196" s="28" t="n">
        <f aca="false">AH3196*$M3196</f>
        <v>0</v>
      </c>
      <c r="AJ3196" s="28" t="n">
        <f aca="false">1784/100</f>
        <v>17.84</v>
      </c>
      <c r="AK3196" s="28" t="n">
        <v>196</v>
      </c>
      <c r="AL3196" s="28" t="n">
        <f aca="false">7942/100</f>
        <v>79.42</v>
      </c>
      <c r="AM3196" s="28" t="n">
        <v>874</v>
      </c>
      <c r="AN3196" s="28"/>
      <c r="AO3196" s="28" t="n">
        <f aca="false">AN3196*$M3196</f>
        <v>0</v>
      </c>
      <c r="AP3196" s="28" t="n">
        <f aca="false">13980/100</f>
        <v>139.8</v>
      </c>
      <c r="AQ3196" s="28" t="n">
        <v>1538</v>
      </c>
      <c r="AR3196" s="28" t="n">
        <f aca="false">96390/100</f>
        <v>963.9</v>
      </c>
      <c r="AS3196" s="28" t="n">
        <v>10603</v>
      </c>
      <c r="AT3196" s="28"/>
      <c r="AU3196" s="28" t="n">
        <f aca="false">AT3196*$M3196</f>
        <v>0</v>
      </c>
      <c r="AV3196" s="28"/>
      <c r="AW3196" s="28" t="n">
        <f aca="false">AV3196*$M3196</f>
        <v>0</v>
      </c>
      <c r="AX3196" s="28"/>
      <c r="AY3196" s="28" t="n">
        <f aca="false">AX3196*$M3196</f>
        <v>0</v>
      </c>
      <c r="AZ3196" s="30" t="n">
        <f aca="false">120096/100</f>
        <v>1200.96</v>
      </c>
      <c r="BA3196" s="11" t="n">
        <v>13211</v>
      </c>
      <c r="BB3196" s="31" t="n">
        <f aca="false">SUM(Q3196,S3196,U3196,W3196,Y3196,AA3196,AC3196,AE3196,AG3196,AI3196,AK3196,AM3196,AO3196,AQ3196,AS3196,AU3196,AW3196,AY3196)</f>
        <v>13211</v>
      </c>
      <c r="BC3196" s="28" t="n">
        <f aca="false">BA3196-BB3196</f>
        <v>0</v>
      </c>
      <c r="BD3196" s="32" t="n">
        <f aca="false">SUM(P3196,R3196,T3196,V3196,X3196,Z3196,AB3196,AD3196,AF3196,AH3196,AJ3196,AL3196,AN3196,AP3196,AR3196,AT3196,AV3196,AX3196)</f>
        <v>1200.96</v>
      </c>
      <c r="BE3196" s="33" t="n">
        <f aca="false">AZ3196-BD3196</f>
        <v>0</v>
      </c>
      <c r="BF3196" s="34" t="n">
        <f aca="false">BD3196*M3196</f>
        <v>13210.56</v>
      </c>
      <c r="BG3196" s="35" t="n">
        <f aca="false">BA3196-BF3196</f>
        <v>0.43999999999869</v>
      </c>
      <c r="BH3196" s="19" t="str">
        <f aca="false">IF(BG3196=0,"",IF(BG3196&lt;&gt;BA3196,"erreur de calcul",IF(BD3196&lt;&gt;0,"pas de prix",IF(M3196&lt;&gt; 0,"pas de quantité","pas de prix, ni de quantité"))))</f>
        <v>erreur de calcul</v>
      </c>
      <c r="BI3196" s="19"/>
    </row>
    <row r="3197" customFormat="false" ht="15" hidden="false" customHeight="false" outlineLevel="0" collapsed="false">
      <c r="A3197" s="0" t="n">
        <v>36</v>
      </c>
      <c r="B3197" s="8" t="s">
        <v>24</v>
      </c>
      <c r="C3197" s="9" t="s">
        <v>25</v>
      </c>
      <c r="D3197" s="9" t="s">
        <v>26</v>
      </c>
      <c r="E3197" s="10" t="n">
        <v>1789</v>
      </c>
      <c r="F3197" s="9" t="s">
        <v>27</v>
      </c>
      <c r="G3197" s="9" t="s">
        <v>27</v>
      </c>
      <c r="H3197" s="11" t="n">
        <v>18</v>
      </c>
      <c r="I3197" s="11" t="s">
        <v>110</v>
      </c>
      <c r="J3197" s="14" t="n">
        <v>12</v>
      </c>
      <c r="K3197" s="14"/>
      <c r="L3197" s="16"/>
      <c r="M3197" s="27" t="n">
        <f aca="false">J3197+(K3197/20)+(L3197/240)</f>
        <v>12</v>
      </c>
      <c r="N3197" s="17" t="s">
        <v>64</v>
      </c>
      <c r="O3197" s="11" t="s">
        <v>109</v>
      </c>
      <c r="P3197" s="28" t="n">
        <f aca="false">30663/100</f>
        <v>306.63</v>
      </c>
      <c r="Q3197" s="28" t="n">
        <v>3679</v>
      </c>
      <c r="R3197" s="28"/>
      <c r="S3197" s="28" t="n">
        <f aca="false">R3197*$M3197</f>
        <v>0</v>
      </c>
      <c r="T3197" s="28"/>
      <c r="U3197" s="28" t="n">
        <f aca="false">T3197*$M3197</f>
        <v>0</v>
      </c>
      <c r="V3197" s="28"/>
      <c r="W3197" s="28" t="n">
        <f aca="false">V3197*$M3197</f>
        <v>0</v>
      </c>
      <c r="X3197" s="29"/>
      <c r="Y3197" s="28" t="n">
        <f aca="false">X3197*$M3197</f>
        <v>0</v>
      </c>
      <c r="Z3197" s="28"/>
      <c r="AA3197" s="28" t="n">
        <f aca="false">Z3197*$M3197</f>
        <v>0</v>
      </c>
      <c r="AB3197" s="28"/>
      <c r="AC3197" s="28" t="n">
        <f aca="false">AB3197*$M3197</f>
        <v>0</v>
      </c>
      <c r="AD3197" s="28"/>
      <c r="AE3197" s="28" t="n">
        <f aca="false">AD3197*$M3197</f>
        <v>0</v>
      </c>
      <c r="AF3197" s="28"/>
      <c r="AG3197" s="28" t="n">
        <f aca="false">AF3197*$M3197</f>
        <v>0</v>
      </c>
      <c r="AH3197" s="28"/>
      <c r="AI3197" s="28" t="n">
        <f aca="false">AH3197*$M3197</f>
        <v>0</v>
      </c>
      <c r="AJ3197" s="28"/>
      <c r="AK3197" s="28" t="n">
        <f aca="false">AJ3197*$M3197</f>
        <v>0</v>
      </c>
      <c r="AL3197" s="28" t="n">
        <f aca="false">114207/100</f>
        <v>1142.07</v>
      </c>
      <c r="AM3197" s="28" t="n">
        <v>13705</v>
      </c>
      <c r="AN3197" s="28" t="n">
        <f aca="false">2100/100</f>
        <v>21</v>
      </c>
      <c r="AO3197" s="28" t="n">
        <v>252</v>
      </c>
      <c r="AP3197" s="28" t="n">
        <f aca="false">16107/100</f>
        <v>161.07</v>
      </c>
      <c r="AQ3197" s="28" t="n">
        <v>1933</v>
      </c>
      <c r="AR3197" s="28" t="n">
        <f aca="false">553069/100</f>
        <v>5530.69</v>
      </c>
      <c r="AS3197" s="28" t="n">
        <v>66368</v>
      </c>
      <c r="AT3197" s="28" t="n">
        <f aca="false">6160/100</f>
        <v>61.6</v>
      </c>
      <c r="AU3197" s="28" t="n">
        <v>739</v>
      </c>
      <c r="AV3197" s="28" t="n">
        <f aca="false">2640/100</f>
        <v>26.4</v>
      </c>
      <c r="AW3197" s="28" t="n">
        <v>317</v>
      </c>
      <c r="AX3197" s="28" t="n">
        <f aca="false">8767/100</f>
        <v>87.67</v>
      </c>
      <c r="AY3197" s="36" t="n">
        <v>1085</v>
      </c>
      <c r="AZ3197" s="30" t="n">
        <f aca="false">733753/100</f>
        <v>7337.53</v>
      </c>
      <c r="BA3197" s="11" t="n">
        <v>88078</v>
      </c>
      <c r="BB3197" s="31" t="n">
        <f aca="false">SUM(Q3197,S3197,U3197,W3197,Y3197,AA3197,AC3197,AE3197,AG3197,AI3197,AK3197,AM3197,AO3197,AQ3197,AS3197,AU3197,AW3197,AY3197)</f>
        <v>88078</v>
      </c>
      <c r="BC3197" s="28" t="n">
        <f aca="false">BA3197-BB3197</f>
        <v>0</v>
      </c>
      <c r="BD3197" s="32" t="n">
        <f aca="false">SUM(P3197,R3197,T3197,V3197,X3197,Z3197,AB3197,AD3197,AF3197,AH3197,AJ3197,AL3197,AN3197,AP3197,AR3197,AT3197,AV3197,AX3197)</f>
        <v>7337.13</v>
      </c>
      <c r="BE3197" s="33" t="n">
        <f aca="false">AZ3197-BD3197</f>
        <v>0.400000000000546</v>
      </c>
      <c r="BF3197" s="34" t="n">
        <f aca="false">BD3197*M3197</f>
        <v>88045.56</v>
      </c>
      <c r="BG3197" s="35" t="n">
        <f aca="false">BA3197-BF3197</f>
        <v>32.4400000000023</v>
      </c>
      <c r="BH3197" s="19" t="str">
        <f aca="false">IF(BG3197=0,"",IF(BG3197&lt;&gt;BA3197,"erreur de calcul",IF(BD3197&lt;&gt;0,"pas de prix",IF(M3197&lt;&gt; 0,"pas de quantité","pas de prix, ni de quantité"))))</f>
        <v>erreur de calcul</v>
      </c>
      <c r="BI3197" s="19"/>
    </row>
    <row r="3198" customFormat="false" ht="15" hidden="false" customHeight="false" outlineLevel="0" collapsed="false">
      <c r="A3198" s="0" t="n">
        <v>37</v>
      </c>
      <c r="B3198" s="8" t="s">
        <v>24</v>
      </c>
      <c r="C3198" s="9" t="s">
        <v>25</v>
      </c>
      <c r="D3198" s="9" t="s">
        <v>26</v>
      </c>
      <c r="E3198" s="10" t="n">
        <v>1789</v>
      </c>
      <c r="F3198" s="9" t="s">
        <v>27</v>
      </c>
      <c r="G3198" s="9" t="s">
        <v>27</v>
      </c>
      <c r="H3198" s="11" t="n">
        <v>18</v>
      </c>
      <c r="I3198" s="11" t="s">
        <v>111</v>
      </c>
      <c r="J3198" s="14" t="n">
        <v>10</v>
      </c>
      <c r="K3198" s="14"/>
      <c r="L3198" s="16"/>
      <c r="M3198" s="27" t="n">
        <f aca="false">J3198+(K3198/20)+(L3198/240)</f>
        <v>10</v>
      </c>
      <c r="N3198" s="17" t="s">
        <v>64</v>
      </c>
      <c r="O3198" s="11"/>
      <c r="P3198" s="28"/>
      <c r="Q3198" s="28" t="n">
        <f aca="false">P3198*$M3198</f>
        <v>0</v>
      </c>
      <c r="R3198" s="28"/>
      <c r="S3198" s="28" t="n">
        <f aca="false">R3198*$M3198</f>
        <v>0</v>
      </c>
      <c r="T3198" s="28"/>
      <c r="U3198" s="28" t="n">
        <f aca="false">T3198*$M3198</f>
        <v>0</v>
      </c>
      <c r="V3198" s="28"/>
      <c r="W3198" s="28" t="n">
        <f aca="false">V3198*$M3198</f>
        <v>0</v>
      </c>
      <c r="X3198" s="29"/>
      <c r="Y3198" s="28" t="n">
        <f aca="false">X3198*$M3198</f>
        <v>0</v>
      </c>
      <c r="Z3198" s="28"/>
      <c r="AA3198" s="28" t="n">
        <f aca="false">Z3198*$M3198</f>
        <v>0</v>
      </c>
      <c r="AB3198" s="28"/>
      <c r="AC3198" s="28" t="n">
        <f aca="false">AB3198*$M3198</f>
        <v>0</v>
      </c>
      <c r="AD3198" s="28"/>
      <c r="AE3198" s="28" t="n">
        <f aca="false">AD3198*$M3198</f>
        <v>0</v>
      </c>
      <c r="AF3198" s="28"/>
      <c r="AG3198" s="28" t="n">
        <f aca="false">AF3198*$M3198</f>
        <v>0</v>
      </c>
      <c r="AH3198" s="28"/>
      <c r="AI3198" s="28" t="n">
        <f aca="false">AH3198*$M3198</f>
        <v>0</v>
      </c>
      <c r="AJ3198" s="28"/>
      <c r="AK3198" s="28" t="n">
        <f aca="false">AJ3198*$M3198</f>
        <v>0</v>
      </c>
      <c r="AL3198" s="28"/>
      <c r="AM3198" s="28" t="n">
        <f aca="false">AL3198*$M3198</f>
        <v>0</v>
      </c>
      <c r="AN3198" s="28"/>
      <c r="AO3198" s="28" t="n">
        <f aca="false">AN3198*$M3198</f>
        <v>0</v>
      </c>
      <c r="AP3198" s="28"/>
      <c r="AQ3198" s="28" t="n">
        <f aca="false">AP3198*$M3198</f>
        <v>0</v>
      </c>
      <c r="AR3198" s="28"/>
      <c r="AS3198" s="28" t="n">
        <f aca="false">AR3198*$M3198</f>
        <v>0</v>
      </c>
      <c r="AT3198" s="28"/>
      <c r="AU3198" s="28" t="n">
        <f aca="false">AT3198*$M3198</f>
        <v>0</v>
      </c>
      <c r="AV3198" s="28"/>
      <c r="AW3198" s="28" t="n">
        <f aca="false">AV3198*$M3198</f>
        <v>0</v>
      </c>
      <c r="AX3198" s="28" t="n">
        <f aca="false">16133/100</f>
        <v>161.33</v>
      </c>
      <c r="AY3198" s="28" t="n">
        <v>1613</v>
      </c>
      <c r="AZ3198" s="30"/>
      <c r="BA3198" s="11" t="n">
        <v>1613</v>
      </c>
      <c r="BB3198" s="31" t="n">
        <f aca="false">SUM(Q3198,S3198,U3198,W3198,Y3198,AA3198,AC3198,AE3198,AG3198,AI3198,AK3198,AM3198,AO3198,AQ3198,AS3198,AU3198,AW3198,AY3198)</f>
        <v>1613</v>
      </c>
      <c r="BC3198" s="28" t="n">
        <f aca="false">BA3198-BB3198</f>
        <v>0</v>
      </c>
      <c r="BD3198" s="32" t="n">
        <f aca="false">SUM(P3198,R3198,T3198,V3198,X3198,Z3198,AB3198,AD3198,AF3198,AH3198,AJ3198,AL3198,AN3198,AP3198,AR3198,AT3198,AV3198,AX3198)</f>
        <v>161.33</v>
      </c>
      <c r="BE3198" s="33" t="n">
        <f aca="false">AZ3198-BD3198</f>
        <v>-161.33</v>
      </c>
      <c r="BF3198" s="34" t="n">
        <f aca="false">BD3198*M3198</f>
        <v>1613.3</v>
      </c>
      <c r="BG3198" s="35" t="n">
        <f aca="false">BA3198-BF3198</f>
        <v>-0.300000000000182</v>
      </c>
      <c r="BH3198" s="19" t="str">
        <f aca="false">IF(BG3198=0,"",IF(BG3198&lt;&gt;BA3198,"erreur de calcul",IF(BD3198&lt;&gt;0,"pas de prix",IF(M3198&lt;&gt; 0,"pas de quantité","pas de prix, ni de quantité"))))</f>
        <v>erreur de calcul</v>
      </c>
      <c r="BI3198" s="19"/>
    </row>
    <row r="3199" customFormat="false" ht="15" hidden="false" customHeight="false" outlineLevel="0" collapsed="false">
      <c r="A3199" s="0" t="n">
        <v>38</v>
      </c>
      <c r="B3199" s="8" t="s">
        <v>24</v>
      </c>
      <c r="C3199" s="9" t="s">
        <v>25</v>
      </c>
      <c r="D3199" s="9" t="s">
        <v>26</v>
      </c>
      <c r="E3199" s="10" t="n">
        <v>1789</v>
      </c>
      <c r="F3199" s="9" t="s">
        <v>27</v>
      </c>
      <c r="G3199" s="9" t="s">
        <v>27</v>
      </c>
      <c r="H3199" s="11" t="n">
        <v>18</v>
      </c>
      <c r="I3199" s="11" t="s">
        <v>112</v>
      </c>
      <c r="J3199" s="14" t="n">
        <v>100</v>
      </c>
      <c r="K3199" s="14"/>
      <c r="L3199" s="16"/>
      <c r="M3199" s="27" t="n">
        <f aca="false">J3199+(K3199/20)+(L3199/240)</f>
        <v>100</v>
      </c>
      <c r="N3199" s="17" t="s">
        <v>64</v>
      </c>
      <c r="O3199" s="11"/>
      <c r="P3199" s="28" t="n">
        <f aca="false">69730/100</f>
        <v>697.3</v>
      </c>
      <c r="Q3199" s="28" t="n">
        <v>69730</v>
      </c>
      <c r="R3199" s="28"/>
      <c r="S3199" s="28" t="n">
        <f aca="false">R3199*$M3199</f>
        <v>0</v>
      </c>
      <c r="T3199" s="28"/>
      <c r="U3199" s="28" t="n">
        <f aca="false">T3199*$M3199</f>
        <v>0</v>
      </c>
      <c r="V3199" s="28"/>
      <c r="W3199" s="28" t="n">
        <f aca="false">V3199*$M3199</f>
        <v>0</v>
      </c>
      <c r="X3199" s="29"/>
      <c r="Y3199" s="28" t="n">
        <f aca="false">X3199*$M3199</f>
        <v>0</v>
      </c>
      <c r="Z3199" s="28"/>
      <c r="AA3199" s="28" t="n">
        <f aca="false">Z3199*$M3199</f>
        <v>0</v>
      </c>
      <c r="AB3199" s="28"/>
      <c r="AC3199" s="28" t="n">
        <f aca="false">AB3199*$M3199</f>
        <v>0</v>
      </c>
      <c r="AD3199" s="28"/>
      <c r="AE3199" s="28" t="n">
        <f aca="false">AD3199*$M3199</f>
        <v>0</v>
      </c>
      <c r="AF3199" s="28"/>
      <c r="AG3199" s="28" t="n">
        <f aca="false">AF3199*$M3199</f>
        <v>0</v>
      </c>
      <c r="AH3199" s="28"/>
      <c r="AI3199" s="28" t="n">
        <f aca="false">AH3199*$M3199</f>
        <v>0</v>
      </c>
      <c r="AJ3199" s="28"/>
      <c r="AK3199" s="28" t="n">
        <f aca="false">AJ3199*$M3199</f>
        <v>0</v>
      </c>
      <c r="AL3199" s="28"/>
      <c r="AM3199" s="28" t="n">
        <f aca="false">AL3199*$M3199</f>
        <v>0</v>
      </c>
      <c r="AN3199" s="28"/>
      <c r="AO3199" s="28" t="n">
        <f aca="false">AN3199*$M3199</f>
        <v>0</v>
      </c>
      <c r="AP3199" s="28"/>
      <c r="AQ3199" s="28" t="n">
        <f aca="false">AP3199*$M3199</f>
        <v>0</v>
      </c>
      <c r="AR3199" s="28"/>
      <c r="AS3199" s="28" t="n">
        <f aca="false">AR3199*$M3199</f>
        <v>0</v>
      </c>
      <c r="AT3199" s="28"/>
      <c r="AU3199" s="28" t="n">
        <f aca="false">AT3199*$M3199</f>
        <v>0</v>
      </c>
      <c r="AV3199" s="28"/>
      <c r="AW3199" s="28" t="n">
        <f aca="false">AV3199*$M3199</f>
        <v>0</v>
      </c>
      <c r="AX3199" s="28"/>
      <c r="AY3199" s="28" t="n">
        <f aca="false">AX3199*$M3199</f>
        <v>0</v>
      </c>
      <c r="AZ3199" s="30" t="n">
        <f aca="false">69730/100</f>
        <v>697.3</v>
      </c>
      <c r="BA3199" s="11" t="n">
        <v>69730</v>
      </c>
      <c r="BB3199" s="31" t="n">
        <f aca="false">SUM(Q3199,S3199,U3199,W3199,Y3199,AA3199,AC3199,AE3199,AG3199,AI3199,AK3199,AM3199,AO3199,AQ3199,AS3199,AU3199,AW3199,AY3199)</f>
        <v>69730</v>
      </c>
      <c r="BC3199" s="28" t="n">
        <f aca="false">BA3199-BB3199</f>
        <v>0</v>
      </c>
      <c r="BD3199" s="32" t="n">
        <f aca="false">SUM(P3199,R3199,T3199,V3199,X3199,Z3199,AB3199,AD3199,AF3199,AH3199,AJ3199,AL3199,AN3199,AP3199,AR3199,AT3199,AV3199,AX3199)</f>
        <v>697.3</v>
      </c>
      <c r="BE3199" s="33" t="n">
        <f aca="false">AZ3199-BD3199</f>
        <v>0</v>
      </c>
      <c r="BF3199" s="34" t="n">
        <f aca="false">BD3199*M3199</f>
        <v>69730</v>
      </c>
      <c r="BG3199" s="35" t="n">
        <f aca="false">BA3199-BF3199</f>
        <v>0</v>
      </c>
      <c r="BH3199" s="19" t="str">
        <f aca="false">IF(BG3199=0,"",IF(BG3199&lt;&gt;BA3199,"erreur de calcul",IF(BD3199&lt;&gt;0,"pas de prix",IF(M3199&lt;&gt; 0,"pas de quantité","pas de prix, ni de quantité"))))</f>
        <v/>
      </c>
      <c r="BI3199" s="19" t="s">
        <v>113</v>
      </c>
    </row>
    <row r="3200" customFormat="false" ht="15" hidden="false" customHeight="false" outlineLevel="0" collapsed="false">
      <c r="A3200" s="0" t="n">
        <v>39</v>
      </c>
      <c r="B3200" s="8" t="s">
        <v>24</v>
      </c>
      <c r="C3200" s="9" t="s">
        <v>25</v>
      </c>
      <c r="D3200" s="9" t="s">
        <v>26</v>
      </c>
      <c r="E3200" s="10" t="n">
        <v>1789</v>
      </c>
      <c r="F3200" s="9" t="s">
        <v>27</v>
      </c>
      <c r="G3200" s="9" t="s">
        <v>27</v>
      </c>
      <c r="H3200" s="11" t="n">
        <v>18</v>
      </c>
      <c r="I3200" s="11" t="s">
        <v>112</v>
      </c>
      <c r="J3200" s="14" t="n">
        <v>50</v>
      </c>
      <c r="K3200" s="14"/>
      <c r="L3200" s="16"/>
      <c r="M3200" s="27" t="n">
        <f aca="false">J3200+(K3200/20)+(L3200/240)</f>
        <v>50</v>
      </c>
      <c r="N3200" s="17" t="s">
        <v>64</v>
      </c>
      <c r="O3200" s="11"/>
      <c r="P3200" s="28"/>
      <c r="Q3200" s="28" t="n">
        <f aca="false">P3200*$M3200</f>
        <v>0</v>
      </c>
      <c r="R3200" s="28"/>
      <c r="S3200" s="28" t="n">
        <f aca="false">R3200*$M3200</f>
        <v>0</v>
      </c>
      <c r="T3200" s="28"/>
      <c r="U3200" s="28" t="n">
        <f aca="false">T3200*$M3200</f>
        <v>0</v>
      </c>
      <c r="V3200" s="28" t="n">
        <f aca="false">38043/100</f>
        <v>380.43</v>
      </c>
      <c r="W3200" s="28" t="n">
        <v>19021</v>
      </c>
      <c r="X3200" s="29" t="n">
        <f aca="false">10658/100</f>
        <v>106.58</v>
      </c>
      <c r="Y3200" s="28" t="n">
        <v>5329</v>
      </c>
      <c r="Z3200" s="28"/>
      <c r="AA3200" s="28" t="n">
        <f aca="false">Z3200*$M3200</f>
        <v>0</v>
      </c>
      <c r="AB3200" s="28"/>
      <c r="AC3200" s="28" t="n">
        <f aca="false">AB3200*$M3200</f>
        <v>0</v>
      </c>
      <c r="AD3200" s="28"/>
      <c r="AE3200" s="28" t="n">
        <f aca="false">AD3200*$M3200</f>
        <v>0</v>
      </c>
      <c r="AF3200" s="28"/>
      <c r="AG3200" s="28" t="n">
        <f aca="false">AF3200*$M3200</f>
        <v>0</v>
      </c>
      <c r="AH3200" s="28"/>
      <c r="AI3200" s="28" t="n">
        <f aca="false">AH3200*$M3200</f>
        <v>0</v>
      </c>
      <c r="AJ3200" s="28" t="n">
        <f aca="false">39321/100</f>
        <v>393.21</v>
      </c>
      <c r="AK3200" s="28" t="n">
        <v>19660</v>
      </c>
      <c r="AL3200" s="28"/>
      <c r="AM3200" s="28" t="n">
        <f aca="false">AL3200*$M3200</f>
        <v>0</v>
      </c>
      <c r="AN3200" s="28"/>
      <c r="AO3200" s="28" t="n">
        <f aca="false">AN3200*$M3200</f>
        <v>0</v>
      </c>
      <c r="AP3200" s="28"/>
      <c r="AQ3200" s="28" t="n">
        <f aca="false">AP3200*$M3200</f>
        <v>0</v>
      </c>
      <c r="AR3200" s="28"/>
      <c r="AS3200" s="28" t="n">
        <f aca="false">AR3200*$M3200</f>
        <v>0</v>
      </c>
      <c r="AT3200" s="28"/>
      <c r="AU3200" s="28" t="n">
        <f aca="false">AT3200*$M3200</f>
        <v>0</v>
      </c>
      <c r="AV3200" s="28"/>
      <c r="AW3200" s="28" t="n">
        <f aca="false">AV3200*$M3200</f>
        <v>0</v>
      </c>
      <c r="AX3200" s="28"/>
      <c r="AY3200" s="28" t="n">
        <f aca="false">AX3200*$M3200</f>
        <v>0</v>
      </c>
      <c r="AZ3200" s="30" t="n">
        <f aca="false">88022/100</f>
        <v>880.22</v>
      </c>
      <c r="BA3200" s="11" t="n">
        <v>44010</v>
      </c>
      <c r="BB3200" s="31" t="n">
        <f aca="false">SUM(Q3200,S3200,U3200,W3200,Y3200,AA3200,AC3200,AE3200,AG3200,AI3200,AK3200,AM3200,AO3200,AQ3200,AS3200,AU3200,AW3200,AY3200)</f>
        <v>44010</v>
      </c>
      <c r="BC3200" s="28" t="n">
        <f aca="false">BA3200-BB3200</f>
        <v>0</v>
      </c>
      <c r="BD3200" s="32" t="n">
        <f aca="false">SUM(P3200,R3200,T3200,V3200,X3200,Z3200,AB3200,AD3200,AF3200,AH3200,AJ3200,AL3200,AN3200,AP3200,AR3200,AT3200,AV3200,AX3200)</f>
        <v>880.22</v>
      </c>
      <c r="BE3200" s="33" t="n">
        <f aca="false">AZ3200-BD3200</f>
        <v>0</v>
      </c>
      <c r="BF3200" s="34" t="n">
        <f aca="false">BD3200*M3200</f>
        <v>44011</v>
      </c>
      <c r="BG3200" s="35" t="n">
        <f aca="false">BA3200-BF3200</f>
        <v>-1</v>
      </c>
      <c r="BH3200" s="19" t="str">
        <f aca="false">IF(BG3200=0,"",IF(BG3200&lt;&gt;BA3200,"erreur de calcul",IF(BD3200&lt;&gt;0,"pas de prix",IF(M3200&lt;&gt; 0,"pas de quantité","pas de prix, ni de quantité"))))</f>
        <v>erreur de calcul</v>
      </c>
      <c r="BI3200" s="19" t="s">
        <v>114</v>
      </c>
    </row>
    <row r="3201" customFormat="false" ht="15" hidden="false" customHeight="false" outlineLevel="0" collapsed="false">
      <c r="A3201" s="0" t="n">
        <v>40</v>
      </c>
      <c r="B3201" s="8" t="s">
        <v>24</v>
      </c>
      <c r="C3201" s="9" t="s">
        <v>25</v>
      </c>
      <c r="D3201" s="9" t="s">
        <v>26</v>
      </c>
      <c r="E3201" s="10" t="n">
        <v>1789</v>
      </c>
      <c r="F3201" s="9" t="s">
        <v>27</v>
      </c>
      <c r="G3201" s="9" t="s">
        <v>27</v>
      </c>
      <c r="H3201" s="11" t="n">
        <v>18</v>
      </c>
      <c r="I3201" s="11" t="s">
        <v>115</v>
      </c>
      <c r="J3201" s="14"/>
      <c r="K3201" s="14" t="n">
        <v>28</v>
      </c>
      <c r="L3201" s="16"/>
      <c r="M3201" s="27" t="n">
        <f aca="false">J3201+(K3201/20)+(L3201/240)</f>
        <v>1.4</v>
      </c>
      <c r="N3201" s="17" t="s">
        <v>66</v>
      </c>
      <c r="O3201" s="11" t="s">
        <v>98</v>
      </c>
      <c r="P3201" s="28"/>
      <c r="Q3201" s="28" t="n">
        <f aca="false">P3201*$M3201</f>
        <v>0</v>
      </c>
      <c r="R3201" s="28"/>
      <c r="S3201" s="28" t="n">
        <f aca="false">R3201*$M3201</f>
        <v>0</v>
      </c>
      <c r="T3201" s="28" t="n">
        <v>426</v>
      </c>
      <c r="U3201" s="28" t="n">
        <v>596</v>
      </c>
      <c r="V3201" s="28"/>
      <c r="W3201" s="28" t="n">
        <f aca="false">V3201*$M3201</f>
        <v>0</v>
      </c>
      <c r="X3201" s="29"/>
      <c r="Y3201" s="28" t="n">
        <f aca="false">X3201*$M3201</f>
        <v>0</v>
      </c>
      <c r="Z3201" s="28"/>
      <c r="AA3201" s="28" t="n">
        <f aca="false">Z3201*$M3201</f>
        <v>0</v>
      </c>
      <c r="AB3201" s="28"/>
      <c r="AC3201" s="28" t="n">
        <f aca="false">AB3201*$M3201</f>
        <v>0</v>
      </c>
      <c r="AD3201" s="28"/>
      <c r="AE3201" s="28" t="n">
        <f aca="false">AD3201*$M3201</f>
        <v>0</v>
      </c>
      <c r="AF3201" s="28"/>
      <c r="AG3201" s="28" t="n">
        <f aca="false">AF3201*$M3201</f>
        <v>0</v>
      </c>
      <c r="AH3201" s="28"/>
      <c r="AI3201" s="28" t="n">
        <f aca="false">AH3201*$M3201</f>
        <v>0</v>
      </c>
      <c r="AJ3201" s="28" t="n">
        <v>142</v>
      </c>
      <c r="AK3201" s="28" t="n">
        <v>199</v>
      </c>
      <c r="AL3201" s="28"/>
      <c r="AM3201" s="28" t="n">
        <f aca="false">AL3201*$M3201</f>
        <v>0</v>
      </c>
      <c r="AN3201" s="28"/>
      <c r="AO3201" s="28" t="n">
        <f aca="false">AN3201*$M3201</f>
        <v>0</v>
      </c>
      <c r="AP3201" s="28"/>
      <c r="AQ3201" s="28" t="n">
        <f aca="false">AP3201*$M3201</f>
        <v>0</v>
      </c>
      <c r="AR3201" s="28"/>
      <c r="AS3201" s="28" t="n">
        <f aca="false">AR3201*$M3201</f>
        <v>0</v>
      </c>
      <c r="AT3201" s="28"/>
      <c r="AU3201" s="28" t="n">
        <f aca="false">AT3201*$M3201</f>
        <v>0</v>
      </c>
      <c r="AV3201" s="28"/>
      <c r="AW3201" s="28" t="n">
        <f aca="false">AV3201*$M3201</f>
        <v>0</v>
      </c>
      <c r="AX3201" s="28"/>
      <c r="AY3201" s="28" t="n">
        <f aca="false">AX3201*$M3201</f>
        <v>0</v>
      </c>
      <c r="AZ3201" s="30" t="n">
        <v>568</v>
      </c>
      <c r="BA3201" s="11" t="n">
        <v>795</v>
      </c>
      <c r="BB3201" s="31" t="n">
        <f aca="false">SUM(Q3201,S3201,U3201,W3201,Y3201,AA3201,AC3201,AE3201,AG3201,AI3201,AK3201,AM3201,AO3201,AQ3201,AS3201,AU3201,AW3201,AY3201)</f>
        <v>795</v>
      </c>
      <c r="BC3201" s="28" t="n">
        <f aca="false">BA3201-BB3201</f>
        <v>0</v>
      </c>
      <c r="BD3201" s="32" t="n">
        <f aca="false">SUM(P3201,R3201,T3201,V3201,X3201,Z3201,AB3201,AD3201,AF3201,AH3201,AJ3201,AL3201,AN3201,AP3201,AR3201,AT3201,AV3201,AX3201)</f>
        <v>568</v>
      </c>
      <c r="BE3201" s="33" t="n">
        <f aca="false">AZ3201-BD3201</f>
        <v>0</v>
      </c>
      <c r="BF3201" s="34" t="n">
        <f aca="false">BD3201*M3201</f>
        <v>795.2</v>
      </c>
      <c r="BG3201" s="35" t="n">
        <f aca="false">BA3201-BF3201</f>
        <v>-0.199999999999932</v>
      </c>
      <c r="BH3201" s="19" t="str">
        <f aca="false">IF(BG3201=0,"",IF(BG3201&lt;&gt;BA3201,"erreur de calcul",IF(BD3201&lt;&gt;0,"pas de prix",IF(M3201&lt;&gt; 0,"pas de quantité","pas de prix, ni de quantité"))))</f>
        <v>erreur de calcul</v>
      </c>
      <c r="BI3201" s="19"/>
    </row>
    <row r="3202" customFormat="false" ht="15" hidden="false" customHeight="false" outlineLevel="0" collapsed="false">
      <c r="A3202" s="0" t="n">
        <v>41</v>
      </c>
      <c r="B3202" s="8" t="s">
        <v>24</v>
      </c>
      <c r="C3202" s="9" t="s">
        <v>25</v>
      </c>
      <c r="D3202" s="9" t="s">
        <v>26</v>
      </c>
      <c r="E3202" s="10" t="n">
        <v>1789</v>
      </c>
      <c r="F3202" s="9" t="s">
        <v>27</v>
      </c>
      <c r="G3202" s="9" t="s">
        <v>27</v>
      </c>
      <c r="H3202" s="11" t="n">
        <v>18</v>
      </c>
      <c r="I3202" s="11" t="s">
        <v>116</v>
      </c>
      <c r="J3202" s="14"/>
      <c r="K3202" s="14" t="n">
        <v>40</v>
      </c>
      <c r="L3202" s="16"/>
      <c r="M3202" s="27" t="n">
        <f aca="false">J3202+(K3202/20)+(L3202/240)</f>
        <v>2</v>
      </c>
      <c r="N3202" s="17" t="s">
        <v>66</v>
      </c>
      <c r="O3202" s="11"/>
      <c r="P3202" s="28"/>
      <c r="Q3202" s="28" t="n">
        <f aca="false">P3202*$M3202</f>
        <v>0</v>
      </c>
      <c r="R3202" s="28"/>
      <c r="S3202" s="28" t="n">
        <f aca="false">R3202*$M3202</f>
        <v>0</v>
      </c>
      <c r="T3202" s="28"/>
      <c r="U3202" s="28" t="n">
        <f aca="false">T3202*$M3202</f>
        <v>0</v>
      </c>
      <c r="V3202" s="28"/>
      <c r="W3202" s="28" t="n">
        <f aca="false">V3202*$M3202</f>
        <v>0</v>
      </c>
      <c r="X3202" s="29"/>
      <c r="Y3202" s="28" t="n">
        <f aca="false">X3202*$M3202</f>
        <v>0</v>
      </c>
      <c r="Z3202" s="28"/>
      <c r="AA3202" s="28" t="n">
        <f aca="false">Z3202*$M3202</f>
        <v>0</v>
      </c>
      <c r="AB3202" s="28"/>
      <c r="AC3202" s="28" t="n">
        <f aca="false">AB3202*$M3202</f>
        <v>0</v>
      </c>
      <c r="AD3202" s="28"/>
      <c r="AE3202" s="28" t="n">
        <f aca="false">AD3202*$M3202</f>
        <v>0</v>
      </c>
      <c r="AF3202" s="28"/>
      <c r="AG3202" s="28" t="n">
        <f aca="false">AF3202*$M3202</f>
        <v>0</v>
      </c>
      <c r="AH3202" s="28" t="n">
        <v>232710</v>
      </c>
      <c r="AI3202" s="28" t="n">
        <v>465420</v>
      </c>
      <c r="AJ3202" s="28"/>
      <c r="AK3202" s="28" t="n">
        <f aca="false">AJ3202*$M3202</f>
        <v>0</v>
      </c>
      <c r="AL3202" s="28"/>
      <c r="AM3202" s="28" t="n">
        <f aca="false">AL3202*$M3202</f>
        <v>0</v>
      </c>
      <c r="AN3202" s="28"/>
      <c r="AO3202" s="28" t="n">
        <f aca="false">AN3202*$M3202</f>
        <v>0</v>
      </c>
      <c r="AP3202" s="28"/>
      <c r="AQ3202" s="28" t="n">
        <f aca="false">AP3202*$M3202</f>
        <v>0</v>
      </c>
      <c r="AR3202" s="28"/>
      <c r="AS3202" s="28" t="n">
        <f aca="false">AR3202*$M3202</f>
        <v>0</v>
      </c>
      <c r="AT3202" s="28"/>
      <c r="AU3202" s="28" t="n">
        <f aca="false">AT3202*$M3202</f>
        <v>0</v>
      </c>
      <c r="AV3202" s="28"/>
      <c r="AW3202" s="28" t="n">
        <f aca="false">AV3202*$M3202</f>
        <v>0</v>
      </c>
      <c r="AX3202" s="28"/>
      <c r="AY3202" s="28" t="n">
        <f aca="false">AX3202*$M3202</f>
        <v>0</v>
      </c>
      <c r="AZ3202" s="30" t="n">
        <v>232710</v>
      </c>
      <c r="BA3202" s="11" t="n">
        <v>465420</v>
      </c>
      <c r="BB3202" s="31" t="n">
        <f aca="false">SUM(Q3202,S3202,U3202,W3202,Y3202,AA3202,AC3202,AE3202,AG3202,AI3202,AK3202,AM3202,AO3202,AQ3202,AS3202,AU3202,AW3202,AY3202)</f>
        <v>465420</v>
      </c>
      <c r="BC3202" s="28" t="n">
        <f aca="false">BA3202-BB3202</f>
        <v>0</v>
      </c>
      <c r="BD3202" s="32" t="n">
        <f aca="false">SUM(P3202,R3202,T3202,V3202,X3202,Z3202,AB3202,AD3202,AF3202,AH3202,AJ3202,AL3202,AN3202,AP3202,AR3202,AT3202,AV3202,AX3202)</f>
        <v>232710</v>
      </c>
      <c r="BE3202" s="33" t="n">
        <f aca="false">AZ3202-BD3202</f>
        <v>0</v>
      </c>
      <c r="BF3202" s="34" t="n">
        <f aca="false">BD3202*M3202</f>
        <v>465420</v>
      </c>
      <c r="BG3202" s="35" t="n">
        <f aca="false">BA3202-BF3202</f>
        <v>0</v>
      </c>
      <c r="BH3202" s="19" t="str">
        <f aca="false">IF(BG3202=0,"",IF(BG3202&lt;&gt;BA3202,"erreur de calcul",IF(BD3202&lt;&gt;0,"pas de prix",IF(M3202&lt;&gt; 0,"pas de quantité","pas de prix, ni de quantité"))))</f>
        <v/>
      </c>
      <c r="BI3202" s="19"/>
    </row>
    <row r="3203" customFormat="false" ht="15" hidden="false" customHeight="false" outlineLevel="0" collapsed="false">
      <c r="A3203" s="0" t="n">
        <v>1</v>
      </c>
      <c r="B3203" s="8" t="s">
        <v>24</v>
      </c>
      <c r="C3203" s="9" t="s">
        <v>25</v>
      </c>
      <c r="D3203" s="9" t="s">
        <v>26</v>
      </c>
      <c r="E3203" s="10" t="n">
        <v>1789</v>
      </c>
      <c r="F3203" s="9" t="s">
        <v>27</v>
      </c>
      <c r="G3203" s="9" t="s">
        <v>27</v>
      </c>
      <c r="H3203" s="11" t="n">
        <v>20</v>
      </c>
      <c r="I3203" s="11" t="s">
        <v>117</v>
      </c>
      <c r="J3203" s="14" t="n">
        <v>10</v>
      </c>
      <c r="K3203" s="14"/>
      <c r="L3203" s="16"/>
      <c r="M3203" s="27" t="n">
        <f aca="false">J3203+(K3203/20)+(L3203/240)</f>
        <v>10</v>
      </c>
      <c r="N3203" s="17" t="s">
        <v>64</v>
      </c>
      <c r="O3203" s="11"/>
      <c r="P3203" s="28" t="n">
        <f aca="false">2120/100</f>
        <v>21.2</v>
      </c>
      <c r="Q3203" s="28" t="n">
        <v>212</v>
      </c>
      <c r="R3203" s="28"/>
      <c r="S3203" s="28" t="n">
        <f aca="false">R3203*$M3203</f>
        <v>0</v>
      </c>
      <c r="T3203" s="28" t="n">
        <f aca="false">4184/100</f>
        <v>41.84</v>
      </c>
      <c r="U3203" s="28" t="n">
        <v>418</v>
      </c>
      <c r="V3203" s="28"/>
      <c r="W3203" s="28" t="n">
        <f aca="false">V3203*$M3203</f>
        <v>0</v>
      </c>
      <c r="X3203" s="28"/>
      <c r="Y3203" s="28" t="n">
        <f aca="false">X3203*$M3203</f>
        <v>0</v>
      </c>
      <c r="Z3203" s="28" t="n">
        <f aca="false">4467/100</f>
        <v>44.67</v>
      </c>
      <c r="AA3203" s="28" t="n">
        <v>447</v>
      </c>
      <c r="AB3203" s="28"/>
      <c r="AC3203" s="28" t="n">
        <f aca="false">AB3203*$M3203</f>
        <v>0</v>
      </c>
      <c r="AD3203" s="28"/>
      <c r="AE3203" s="28" t="n">
        <f aca="false">AD3203*$M3203</f>
        <v>0</v>
      </c>
      <c r="AF3203" s="28"/>
      <c r="AG3203" s="28" t="n">
        <f aca="false">AF3203*$M3203</f>
        <v>0</v>
      </c>
      <c r="AH3203" s="28" t="n">
        <f aca="false">37604/100</f>
        <v>376.04</v>
      </c>
      <c r="AI3203" s="28" t="n">
        <v>3760</v>
      </c>
      <c r="AJ3203" s="28"/>
      <c r="AK3203" s="28" t="n">
        <f aca="false">AJ3203*$M3203</f>
        <v>0</v>
      </c>
      <c r="AL3203" s="28"/>
      <c r="AM3203" s="28" t="n">
        <f aca="false">AL3203*$M3203</f>
        <v>0</v>
      </c>
      <c r="AN3203" s="28"/>
      <c r="AO3203" s="28" t="n">
        <f aca="false">AN3203*$M3203</f>
        <v>0</v>
      </c>
      <c r="AP3203" s="28"/>
      <c r="AQ3203" s="28" t="n">
        <f aca="false">AP3203*$M3203</f>
        <v>0</v>
      </c>
      <c r="AR3203" s="28"/>
      <c r="AS3203" s="28" t="n">
        <f aca="false">AR3203*$M3203</f>
        <v>0</v>
      </c>
      <c r="AT3203" s="28"/>
      <c r="AU3203" s="28" t="n">
        <f aca="false">AT3203*$M3203</f>
        <v>0</v>
      </c>
      <c r="AV3203" s="28"/>
      <c r="AW3203" s="28" t="n">
        <f aca="false">AV3203*$M3203</f>
        <v>0</v>
      </c>
      <c r="AX3203" s="28"/>
      <c r="AY3203" s="28" t="n">
        <f aca="false">AX3203*$M3203</f>
        <v>0</v>
      </c>
      <c r="AZ3203" s="30" t="n">
        <f aca="false">46255/100</f>
        <v>462.55</v>
      </c>
      <c r="BA3203" s="11" t="n">
        <v>4837</v>
      </c>
      <c r="BB3203" s="31" t="n">
        <f aca="false">SUM(Q3203,S3203,U3203,W3203,Y3203,AA3203,AC3203,AE3203,AG3203,AI3203,AK3203,AM3203,AO3203,AQ3203,AS3203,AU3203,AW3203,AY3203)</f>
        <v>4837</v>
      </c>
      <c r="BC3203" s="28" t="n">
        <f aca="false">BA3203-BB3203</f>
        <v>0</v>
      </c>
      <c r="BD3203" s="32" t="n">
        <f aca="false">SUM(P3203,R3203,T3203,V3203,X3203,Z3203,AB3203,AD3203,AF3203,AH3203,AJ3203,AL3203,AN3203,AP3203,AR3203,AT3203,AV3203,AX3203)</f>
        <v>483.75</v>
      </c>
      <c r="BE3203" s="33" t="n">
        <f aca="false">AZ3203-BD3203</f>
        <v>-21.2</v>
      </c>
      <c r="BF3203" s="34" t="n">
        <f aca="false">BD3203*M3203</f>
        <v>4837.5</v>
      </c>
      <c r="BG3203" s="35" t="n">
        <f aca="false">BA3203-BF3203</f>
        <v>-0.50000000000091</v>
      </c>
      <c r="BH3203" s="19" t="str">
        <f aca="false">IF(BG3203=0,"",IF(BG3203&lt;&gt;BA3203,"erreur de calcul",IF(BD3203&lt;&gt;0,"pas de prix",IF(M3203&lt;&gt; 0,"pas de quantité","pas de prix, ni de quantité"))))</f>
        <v>erreur de calcul</v>
      </c>
      <c r="BI3203" s="19"/>
    </row>
    <row r="3204" customFormat="false" ht="15" hidden="false" customHeight="false" outlineLevel="0" collapsed="false">
      <c r="A3204" s="0" t="n">
        <v>2</v>
      </c>
      <c r="B3204" s="8" t="s">
        <v>24</v>
      </c>
      <c r="C3204" s="9" t="s">
        <v>25</v>
      </c>
      <c r="D3204" s="9" t="s">
        <v>26</v>
      </c>
      <c r="E3204" s="10" t="n">
        <v>1789</v>
      </c>
      <c r="F3204" s="9" t="s">
        <v>27</v>
      </c>
      <c r="G3204" s="9" t="s">
        <v>27</v>
      </c>
      <c r="H3204" s="11" t="n">
        <v>20</v>
      </c>
      <c r="I3204" s="11" t="s">
        <v>118</v>
      </c>
      <c r="J3204" s="14" t="n">
        <v>10</v>
      </c>
      <c r="K3204" s="14"/>
      <c r="L3204" s="16"/>
      <c r="M3204" s="27" t="n">
        <f aca="false">J3204+(K3204/20)+(L3204/240)</f>
        <v>10</v>
      </c>
      <c r="N3204" s="17" t="s">
        <v>64</v>
      </c>
      <c r="O3204" s="11"/>
      <c r="P3204" s="28" t="n">
        <f aca="false">6450193/100</f>
        <v>64501.93</v>
      </c>
      <c r="Q3204" s="28" t="n">
        <v>645019</v>
      </c>
      <c r="R3204" s="28"/>
      <c r="S3204" s="28" t="n">
        <f aca="false">R3204*$M3204</f>
        <v>0</v>
      </c>
      <c r="T3204" s="28"/>
      <c r="U3204" s="28" t="n">
        <f aca="false">T3204*$M3204</f>
        <v>0</v>
      </c>
      <c r="V3204" s="28"/>
      <c r="W3204" s="28" t="n">
        <f aca="false">V3204*$M3204</f>
        <v>0</v>
      </c>
      <c r="X3204" s="28"/>
      <c r="Y3204" s="28" t="n">
        <f aca="false">X3204*$M3204</f>
        <v>0</v>
      </c>
      <c r="Z3204" s="28"/>
      <c r="AA3204" s="28" t="n">
        <f aca="false">Z3204*$M3204</f>
        <v>0</v>
      </c>
      <c r="AB3204" s="28" t="n">
        <f aca="false">601547/100</f>
        <v>6015.47</v>
      </c>
      <c r="AC3204" s="28" t="n">
        <v>60155</v>
      </c>
      <c r="AD3204" s="28"/>
      <c r="AE3204" s="28" t="n">
        <f aca="false">AD3204*$M3204</f>
        <v>0</v>
      </c>
      <c r="AF3204" s="28" t="n">
        <f aca="false">727551/100</f>
        <v>7275.51</v>
      </c>
      <c r="AG3204" s="28" t="n">
        <v>72755</v>
      </c>
      <c r="AH3204" s="28" t="n">
        <f aca="false">52982/100</f>
        <v>529.82</v>
      </c>
      <c r="AI3204" s="28" t="n">
        <v>5299</v>
      </c>
      <c r="AJ3204" s="28"/>
      <c r="AK3204" s="28" t="n">
        <f aca="false">AJ3204*$M3204</f>
        <v>0</v>
      </c>
      <c r="AL3204" s="28"/>
      <c r="AM3204" s="28" t="n">
        <f aca="false">AL3204*$M3204</f>
        <v>0</v>
      </c>
      <c r="AN3204" s="28"/>
      <c r="AO3204" s="28" t="n">
        <f aca="false">AN3204*$M3204</f>
        <v>0</v>
      </c>
      <c r="AP3204" s="28"/>
      <c r="AQ3204" s="28" t="n">
        <f aca="false">AP3204*$M3204</f>
        <v>0</v>
      </c>
      <c r="AR3204" s="28"/>
      <c r="AS3204" s="28" t="n">
        <f aca="false">AR3204*$M3204</f>
        <v>0</v>
      </c>
      <c r="AT3204" s="28"/>
      <c r="AU3204" s="28" t="n">
        <f aca="false">AT3204*$M3204</f>
        <v>0</v>
      </c>
      <c r="AV3204" s="28"/>
      <c r="AW3204" s="28" t="n">
        <f aca="false">AV3204*$M3204</f>
        <v>0</v>
      </c>
      <c r="AX3204" s="28"/>
      <c r="AY3204" s="28" t="n">
        <f aca="false">AX3204*$M3204</f>
        <v>0</v>
      </c>
      <c r="AZ3204" s="30" t="n">
        <f aca="false">7832273/100</f>
        <v>78322.73</v>
      </c>
      <c r="BA3204" s="11" t="n">
        <v>783228</v>
      </c>
      <c r="BB3204" s="31" t="n">
        <f aca="false">SUM(Q3204,S3204,U3204,W3204,Y3204,AA3204,AC3204,AE3204,AG3204,AI3204,AK3204,AM3204,AO3204,AQ3204,AS3204,AU3204,AW3204,AY3204)</f>
        <v>783228</v>
      </c>
      <c r="BC3204" s="28" t="n">
        <f aca="false">BA3204-BB3204</f>
        <v>0</v>
      </c>
      <c r="BD3204" s="32" t="n">
        <f aca="false">SUM(P3204,R3204,T3204,V3204,X3204,Z3204,AB3204,AD3204,AF3204,AH3204,AJ3204,AL3204,AN3204,AP3204,AR3204,AT3204,AV3204,AX3204)</f>
        <v>78322.73</v>
      </c>
      <c r="BE3204" s="33" t="n">
        <f aca="false">AZ3204-BD3204</f>
        <v>0</v>
      </c>
      <c r="BF3204" s="34" t="n">
        <f aca="false">BD3204*M3204</f>
        <v>783227.3</v>
      </c>
      <c r="BG3204" s="35" t="n">
        <f aca="false">BA3204-BF3204</f>
        <v>0.700000000069849</v>
      </c>
      <c r="BH3204" s="19" t="str">
        <f aca="false">IF(BG3204=0,"",IF(BG3204&lt;&gt;BA3204,"erreur de calcul",IF(BD3204&lt;&gt;0,"pas de prix",IF(M3204&lt;&gt; 0,"pas de quantité","pas de prix, ni de quantité"))))</f>
        <v>erreur de calcul</v>
      </c>
      <c r="BI3204" s="19"/>
    </row>
    <row r="3205" customFormat="false" ht="15" hidden="false" customHeight="false" outlineLevel="0" collapsed="false">
      <c r="A3205" s="0" t="n">
        <v>3</v>
      </c>
      <c r="B3205" s="8" t="s">
        <v>24</v>
      </c>
      <c r="C3205" s="9" t="s">
        <v>25</v>
      </c>
      <c r="D3205" s="9" t="s">
        <v>26</v>
      </c>
      <c r="E3205" s="10" t="n">
        <v>1789</v>
      </c>
      <c r="F3205" s="9" t="s">
        <v>27</v>
      </c>
      <c r="G3205" s="9" t="s">
        <v>27</v>
      </c>
      <c r="H3205" s="11" t="n">
        <v>20</v>
      </c>
      <c r="I3205" s="11" t="s">
        <v>119</v>
      </c>
      <c r="J3205" s="14" t="n">
        <v>10</v>
      </c>
      <c r="K3205" s="14"/>
      <c r="L3205" s="16"/>
      <c r="M3205" s="27" t="n">
        <f aca="false">J3205+(K3205/20)+(L3205/240)</f>
        <v>10</v>
      </c>
      <c r="N3205" s="17" t="s">
        <v>64</v>
      </c>
      <c r="O3205" s="11"/>
      <c r="P3205" s="28" t="n">
        <f aca="false">2617064/100</f>
        <v>26170.64</v>
      </c>
      <c r="Q3205" s="28" t="n">
        <v>261706</v>
      </c>
      <c r="R3205" s="28"/>
      <c r="S3205" s="28" t="n">
        <f aca="false">R3205*$M3205</f>
        <v>0</v>
      </c>
      <c r="T3205" s="28" t="n">
        <f aca="false">251959/100</f>
        <v>2519.59</v>
      </c>
      <c r="U3205" s="28" t="n">
        <v>25196</v>
      </c>
      <c r="V3205" s="28"/>
      <c r="W3205" s="28" t="n">
        <f aca="false">V3205*$M3205</f>
        <v>0</v>
      </c>
      <c r="X3205" s="28"/>
      <c r="Y3205" s="28" t="n">
        <f aca="false">X3205*$M3205</f>
        <v>0</v>
      </c>
      <c r="Z3205" s="28"/>
      <c r="AA3205" s="28" t="n">
        <f aca="false">Z3205*$M3205</f>
        <v>0</v>
      </c>
      <c r="AB3205" s="28"/>
      <c r="AC3205" s="28" t="n">
        <f aca="false">AB3205*$M3205</f>
        <v>0</v>
      </c>
      <c r="AD3205" s="28"/>
      <c r="AE3205" s="28" t="n">
        <f aca="false">AD3205*$M3205</f>
        <v>0</v>
      </c>
      <c r="AF3205" s="28"/>
      <c r="AG3205" s="28" t="n">
        <f aca="false">AF3205*$M3205</f>
        <v>0</v>
      </c>
      <c r="AH3205" s="28"/>
      <c r="AI3205" s="28" t="n">
        <f aca="false">AH3205*$M3205</f>
        <v>0</v>
      </c>
      <c r="AJ3205" s="28"/>
      <c r="AK3205" s="28" t="n">
        <f aca="false">AJ3205*$M3205</f>
        <v>0</v>
      </c>
      <c r="AL3205" s="28"/>
      <c r="AM3205" s="28" t="n">
        <f aca="false">AL3205*$M3205</f>
        <v>0</v>
      </c>
      <c r="AN3205" s="28"/>
      <c r="AO3205" s="28" t="n">
        <f aca="false">AN3205*$M3205</f>
        <v>0</v>
      </c>
      <c r="AP3205" s="28"/>
      <c r="AQ3205" s="28" t="n">
        <f aca="false">AP3205*$M3205</f>
        <v>0</v>
      </c>
      <c r="AR3205" s="28"/>
      <c r="AS3205" s="28" t="n">
        <f aca="false">AR3205*$M3205</f>
        <v>0</v>
      </c>
      <c r="AT3205" s="28"/>
      <c r="AU3205" s="28" t="n">
        <f aca="false">AT3205*$M3205</f>
        <v>0</v>
      </c>
      <c r="AV3205" s="28"/>
      <c r="AW3205" s="28" t="n">
        <f aca="false">AV3205*$M3205</f>
        <v>0</v>
      </c>
      <c r="AX3205" s="28"/>
      <c r="AY3205" s="28" t="n">
        <f aca="false">AX3205*$M3205</f>
        <v>0</v>
      </c>
      <c r="AZ3205" s="30" t="n">
        <f aca="false">2869023/100</f>
        <v>28690.23</v>
      </c>
      <c r="BA3205" s="11" t="n">
        <v>286902</v>
      </c>
      <c r="BB3205" s="31" t="n">
        <f aca="false">SUM(Q3205,S3205,U3205,W3205,Y3205,AA3205,AC3205,AE3205,AG3205,AI3205,AK3205,AM3205,AO3205,AQ3205,AS3205,AU3205,AW3205,AY3205)</f>
        <v>286902</v>
      </c>
      <c r="BC3205" s="28" t="n">
        <f aca="false">BA3205-BB3205</f>
        <v>0</v>
      </c>
      <c r="BD3205" s="32" t="n">
        <f aca="false">SUM(P3205,R3205,T3205,V3205,X3205,Z3205,AB3205,AD3205,AF3205,AH3205,AJ3205,AL3205,AN3205,AP3205,AR3205,AT3205,AV3205,AX3205)</f>
        <v>28690.23</v>
      </c>
      <c r="BE3205" s="33" t="n">
        <f aca="false">AZ3205-BD3205</f>
        <v>0</v>
      </c>
      <c r="BF3205" s="34" t="n">
        <f aca="false">BD3205*M3205</f>
        <v>286902.3</v>
      </c>
      <c r="BG3205" s="35" t="n">
        <f aca="false">BA3205-BF3205</f>
        <v>-0.299999999988358</v>
      </c>
      <c r="BH3205" s="19" t="str">
        <f aca="false">IF(BG3205=0,"",IF(BG3205&lt;&gt;BA3205,"erreur de calcul",IF(BD3205&lt;&gt;0,"pas de prix",IF(M3205&lt;&gt; 0,"pas de quantité","pas de prix, ni de quantité"))))</f>
        <v>erreur de calcul</v>
      </c>
      <c r="BI3205" s="19"/>
    </row>
    <row r="3206" customFormat="false" ht="16.65" hidden="false" customHeight="false" outlineLevel="0" collapsed="false">
      <c r="A3206" s="0" t="n">
        <v>4</v>
      </c>
      <c r="B3206" s="8" t="s">
        <v>24</v>
      </c>
      <c r="C3206" s="9" t="s">
        <v>25</v>
      </c>
      <c r="D3206" s="9" t="s">
        <v>26</v>
      </c>
      <c r="E3206" s="10" t="n">
        <v>1789</v>
      </c>
      <c r="F3206" s="9" t="s">
        <v>27</v>
      </c>
      <c r="G3206" s="9" t="s">
        <v>27</v>
      </c>
      <c r="H3206" s="11" t="n">
        <v>20</v>
      </c>
      <c r="I3206" s="11" t="s">
        <v>120</v>
      </c>
      <c r="J3206" s="14" t="n">
        <v>12</v>
      </c>
      <c r="K3206" s="14"/>
      <c r="L3206" s="16"/>
      <c r="M3206" s="27" t="n">
        <f aca="false">J3206+(K3206/20)+(L3206/240)</f>
        <v>12</v>
      </c>
      <c r="N3206" s="17" t="s">
        <v>64</v>
      </c>
      <c r="O3206" s="11" t="s">
        <v>77</v>
      </c>
      <c r="P3206" s="28"/>
      <c r="Q3206" s="28" t="n">
        <f aca="false">P3206*$M3206</f>
        <v>0</v>
      </c>
      <c r="R3206" s="28"/>
      <c r="S3206" s="28" t="n">
        <f aca="false">R3206*$M3206</f>
        <v>0</v>
      </c>
      <c r="T3206" s="28"/>
      <c r="U3206" s="28" t="n">
        <f aca="false">T3206*$M3206</f>
        <v>0</v>
      </c>
      <c r="V3206" s="28" t="n">
        <f aca="false">15268/100</f>
        <v>152.68</v>
      </c>
      <c r="W3206" s="28" t="n">
        <v>1832</v>
      </c>
      <c r="X3206" s="28"/>
      <c r="Y3206" s="28" t="n">
        <f aca="false">X3206*$M3206</f>
        <v>0</v>
      </c>
      <c r="Z3206" s="28"/>
      <c r="AA3206" s="28" t="n">
        <f aca="false">Z3206*$M3206</f>
        <v>0</v>
      </c>
      <c r="AB3206" s="28"/>
      <c r="AC3206" s="28" t="n">
        <f aca="false">AB3206*$M3206</f>
        <v>0</v>
      </c>
      <c r="AD3206" s="28"/>
      <c r="AE3206" s="28" t="n">
        <f aca="false">AD3206*$M3206</f>
        <v>0</v>
      </c>
      <c r="AF3206" s="28"/>
      <c r="AG3206" s="28" t="n">
        <f aca="false">AF3206*$M3206</f>
        <v>0</v>
      </c>
      <c r="AH3206" s="28" t="n">
        <f aca="false">26667/100</f>
        <v>266.67</v>
      </c>
      <c r="AI3206" s="28" t="n">
        <v>3200</v>
      </c>
      <c r="AJ3206" s="28"/>
      <c r="AK3206" s="28" t="n">
        <f aca="false">AJ3206*$M3206</f>
        <v>0</v>
      </c>
      <c r="AL3206" s="28"/>
      <c r="AM3206" s="28" t="n">
        <f aca="false">AL3206*$M3206</f>
        <v>0</v>
      </c>
      <c r="AN3206" s="28"/>
      <c r="AO3206" s="28" t="n">
        <f aca="false">AN3206*$M3206</f>
        <v>0</v>
      </c>
      <c r="AP3206" s="28"/>
      <c r="AQ3206" s="28" t="n">
        <f aca="false">AP3206*$M3206</f>
        <v>0</v>
      </c>
      <c r="AR3206" s="28"/>
      <c r="AS3206" s="28" t="n">
        <f aca="false">AR3206*$M3206</f>
        <v>0</v>
      </c>
      <c r="AT3206" s="28"/>
      <c r="AU3206" s="28" t="n">
        <f aca="false">AT3206*$M3206</f>
        <v>0</v>
      </c>
      <c r="AV3206" s="28"/>
      <c r="AW3206" s="28" t="n">
        <f aca="false">AV3206*$M3206</f>
        <v>0</v>
      </c>
      <c r="AX3206" s="28"/>
      <c r="AY3206" s="28" t="n">
        <f aca="false">AX3206*$M3206</f>
        <v>0</v>
      </c>
      <c r="AZ3206" s="30" t="n">
        <f aca="false">41935/100</f>
        <v>419.35</v>
      </c>
      <c r="BA3206" s="11" t="n">
        <v>5032</v>
      </c>
      <c r="BB3206" s="31" t="n">
        <f aca="false">SUM(Q3206,S3206,U3206,W3206,Y3206,AA3206,AC3206,AE3206,AG3206,AI3206,AK3206,AM3206,AO3206,AQ3206,AS3206,AU3206,AW3206,AY3206)</f>
        <v>5032</v>
      </c>
      <c r="BC3206" s="28" t="n">
        <f aca="false">BA3206-BB3206</f>
        <v>0</v>
      </c>
      <c r="BD3206" s="32" t="n">
        <f aca="false">SUM(P3206,R3206,T3206,V3206,X3206,Z3206,AB3206,AD3206,AF3206,AH3206,AJ3206,AL3206,AN3206,AP3206,AR3206,AT3206,AV3206,AX3206)</f>
        <v>419.35</v>
      </c>
      <c r="BE3206" s="33" t="n">
        <f aca="false">AZ3206-BD3206</f>
        <v>0</v>
      </c>
      <c r="BF3206" s="34" t="n">
        <f aca="false">BD3206*M3206</f>
        <v>5032.2</v>
      </c>
      <c r="BG3206" s="35" t="n">
        <f aca="false">BA3206-BF3206</f>
        <v>-0.200000000000728</v>
      </c>
      <c r="BH3206" s="19" t="str">
        <f aca="false">IF(BG3206=0,"",IF(BG3206&lt;&gt;BA3206,"erreur de calcul",IF(BD3206&lt;&gt;0,"pas de prix",IF(M3206&lt;&gt; 0,"pas de quantité","pas de prix, ni de quantité"))))</f>
        <v>erreur de calcul</v>
      </c>
      <c r="BI3206" s="19"/>
    </row>
    <row r="3207" customFormat="false" ht="15" hidden="false" customHeight="false" outlineLevel="0" collapsed="false">
      <c r="A3207" s="0" t="n">
        <v>5</v>
      </c>
      <c r="B3207" s="8" t="s">
        <v>24</v>
      </c>
      <c r="C3207" s="9" t="s">
        <v>25</v>
      </c>
      <c r="D3207" s="9" t="s">
        <v>26</v>
      </c>
      <c r="E3207" s="10" t="n">
        <v>1789</v>
      </c>
      <c r="F3207" s="9" t="s">
        <v>27</v>
      </c>
      <c r="G3207" s="9" t="s">
        <v>27</v>
      </c>
      <c r="H3207" s="11" t="n">
        <v>20</v>
      </c>
      <c r="I3207" s="11" t="s">
        <v>121</v>
      </c>
      <c r="J3207" s="14" t="n">
        <v>28</v>
      </c>
      <c r="K3207" s="14"/>
      <c r="L3207" s="16"/>
      <c r="M3207" s="27" t="n">
        <f aca="false">J3207+(K3207/20)+(L3207/240)</f>
        <v>28</v>
      </c>
      <c r="N3207" s="17" t="s">
        <v>64</v>
      </c>
      <c r="O3207" s="11"/>
      <c r="P3207" s="28"/>
      <c r="Q3207" s="28" t="n">
        <f aca="false">P3207*$M3207</f>
        <v>0</v>
      </c>
      <c r="R3207" s="28"/>
      <c r="S3207" s="28" t="n">
        <f aca="false">R3207*$M3207</f>
        <v>0</v>
      </c>
      <c r="T3207" s="28"/>
      <c r="U3207" s="28" t="n">
        <f aca="false">T3207*$M3207</f>
        <v>0</v>
      </c>
      <c r="V3207" s="28"/>
      <c r="W3207" s="28" t="n">
        <f aca="false">V3207*$M3207</f>
        <v>0</v>
      </c>
      <c r="X3207" s="28" t="n">
        <f aca="false">187504/100</f>
        <v>1875.04</v>
      </c>
      <c r="Y3207" s="28" t="n">
        <v>52501</v>
      </c>
      <c r="Z3207" s="28" t="n">
        <f aca="false">1041667/100</f>
        <v>10416.67</v>
      </c>
      <c r="AA3207" s="28" t="n">
        <v>291667</v>
      </c>
      <c r="AB3207" s="28"/>
      <c r="AC3207" s="28" t="n">
        <f aca="false">AB3207*$M3207</f>
        <v>0</v>
      </c>
      <c r="AD3207" s="28"/>
      <c r="AE3207" s="28" t="n">
        <f aca="false">AD3207*$M3207</f>
        <v>0</v>
      </c>
      <c r="AF3207" s="28"/>
      <c r="AG3207" s="28" t="n">
        <f aca="false">AF3207*$M3207</f>
        <v>0</v>
      </c>
      <c r="AH3207" s="28"/>
      <c r="AI3207" s="28" t="n">
        <f aca="false">AH3207*$M3207</f>
        <v>0</v>
      </c>
      <c r="AJ3207" s="28"/>
      <c r="AK3207" s="28" t="n">
        <f aca="false">AJ3207*$M3207</f>
        <v>0</v>
      </c>
      <c r="AL3207" s="28"/>
      <c r="AM3207" s="28" t="n">
        <f aca="false">AL3207*$M3207</f>
        <v>0</v>
      </c>
      <c r="AN3207" s="28"/>
      <c r="AO3207" s="28" t="n">
        <f aca="false">AN3207*$M3207</f>
        <v>0</v>
      </c>
      <c r="AP3207" s="28"/>
      <c r="AQ3207" s="28" t="n">
        <f aca="false">AP3207*$M3207</f>
        <v>0</v>
      </c>
      <c r="AR3207" s="28"/>
      <c r="AS3207" s="28" t="n">
        <f aca="false">AR3207*$M3207</f>
        <v>0</v>
      </c>
      <c r="AT3207" s="28"/>
      <c r="AU3207" s="28" t="n">
        <f aca="false">AT3207*$M3207</f>
        <v>0</v>
      </c>
      <c r="AV3207" s="28"/>
      <c r="AW3207" s="28" t="n">
        <f aca="false">AV3207*$M3207</f>
        <v>0</v>
      </c>
      <c r="AX3207" s="28"/>
      <c r="AY3207" s="28" t="n">
        <f aca="false">AX3207*$M3207</f>
        <v>0</v>
      </c>
      <c r="AZ3207" s="30" t="n">
        <f aca="false">1229171/100</f>
        <v>12291.71</v>
      </c>
      <c r="BA3207" s="11" t="n">
        <v>344168</v>
      </c>
      <c r="BB3207" s="31" t="n">
        <f aca="false">SUM(Q3207,S3207,U3207,W3207,Y3207,AA3207,AC3207,AE3207,AG3207,AI3207,AK3207,AM3207,AO3207,AQ3207,AS3207,AU3207,AW3207,AY3207)</f>
        <v>344168</v>
      </c>
      <c r="BC3207" s="28" t="n">
        <f aca="false">BA3207-BB3207</f>
        <v>0</v>
      </c>
      <c r="BD3207" s="32" t="n">
        <f aca="false">SUM(P3207,R3207,T3207,V3207,X3207,Z3207,AB3207,AD3207,AF3207,AH3207,AJ3207,AL3207,AN3207,AP3207,AR3207,AT3207,AV3207,AX3207)</f>
        <v>12291.71</v>
      </c>
      <c r="BE3207" s="33" t="n">
        <f aca="false">AZ3207-BD3207</f>
        <v>0</v>
      </c>
      <c r="BF3207" s="34" t="n">
        <f aca="false">BD3207*M3207</f>
        <v>344167.88</v>
      </c>
      <c r="BG3207" s="35" t="n">
        <f aca="false">BA3207-BF3207</f>
        <v>0.119999999995343</v>
      </c>
      <c r="BH3207" s="19" t="str">
        <f aca="false">IF(BG3207=0,"",IF(BG3207&lt;&gt;BA3207,"erreur de calcul",IF(BD3207&lt;&gt;0,"pas de prix",IF(M3207&lt;&gt; 0,"pas de quantité","pas de prix, ni de quantité"))))</f>
        <v>erreur de calcul</v>
      </c>
      <c r="BI3207" s="19"/>
    </row>
    <row r="3208" customFormat="false" ht="15" hidden="false" customHeight="false" outlineLevel="0" collapsed="false">
      <c r="A3208" s="0" t="n">
        <v>6</v>
      </c>
      <c r="B3208" s="8" t="s">
        <v>24</v>
      </c>
      <c r="C3208" s="9" t="s">
        <v>25</v>
      </c>
      <c r="D3208" s="9" t="s">
        <v>26</v>
      </c>
      <c r="E3208" s="10" t="n">
        <v>1789</v>
      </c>
      <c r="F3208" s="9" t="s">
        <v>27</v>
      </c>
      <c r="G3208" s="9" t="s">
        <v>27</v>
      </c>
      <c r="H3208" s="11" t="n">
        <v>20</v>
      </c>
      <c r="I3208" s="11" t="s">
        <v>122</v>
      </c>
      <c r="J3208" s="14" t="n">
        <v>16</v>
      </c>
      <c r="K3208" s="14"/>
      <c r="L3208" s="16"/>
      <c r="M3208" s="27" t="n">
        <f aca="false">J3208+(K3208/20)+(L3208/240)</f>
        <v>16</v>
      </c>
      <c r="N3208" s="17" t="s">
        <v>64</v>
      </c>
      <c r="O3208" s="11"/>
      <c r="P3208" s="28" t="n">
        <f aca="false">1774951/100</f>
        <v>17749.51</v>
      </c>
      <c r="Q3208" s="28" t="n">
        <v>283992</v>
      </c>
      <c r="R3208" s="28"/>
      <c r="S3208" s="28" t="n">
        <f aca="false">R3208*$M3208</f>
        <v>0</v>
      </c>
      <c r="T3208" s="28"/>
      <c r="U3208" s="28" t="n">
        <f aca="false">T3208*$M3208</f>
        <v>0</v>
      </c>
      <c r="V3208" s="28" t="n">
        <f aca="false">20834/100</f>
        <v>208.34</v>
      </c>
      <c r="W3208" s="28" t="n">
        <v>3333</v>
      </c>
      <c r="X3208" s="28" t="n">
        <f aca="false">85901/100</f>
        <v>859.01</v>
      </c>
      <c r="Y3208" s="28" t="n">
        <v>13744</v>
      </c>
      <c r="Z3208" s="28"/>
      <c r="AA3208" s="28" t="n">
        <f aca="false">Z3208*$M3208</f>
        <v>0</v>
      </c>
      <c r="AB3208" s="28" t="n">
        <f aca="false">6847841/100</f>
        <v>68478.41</v>
      </c>
      <c r="AC3208" s="28" t="n">
        <v>1095654</v>
      </c>
      <c r="AD3208" s="28"/>
      <c r="AE3208" s="28" t="n">
        <f aca="false">AD3208*$M3208</f>
        <v>0</v>
      </c>
      <c r="AF3208" s="28"/>
      <c r="AG3208" s="28" t="n">
        <f aca="false">AF3208*$M3208</f>
        <v>0</v>
      </c>
      <c r="AH3208" s="28" t="n">
        <f aca="false">50417/100</f>
        <v>504.17</v>
      </c>
      <c r="AI3208" s="28" t="n">
        <v>8067</v>
      </c>
      <c r="AJ3208" s="28"/>
      <c r="AK3208" s="28" t="n">
        <f aca="false">AJ3208*$M3208</f>
        <v>0</v>
      </c>
      <c r="AL3208" s="28"/>
      <c r="AM3208" s="28" t="n">
        <f aca="false">AL3208*$M3208</f>
        <v>0</v>
      </c>
      <c r="AN3208" s="28"/>
      <c r="AO3208" s="28" t="n">
        <f aca="false">AN3208*$M3208</f>
        <v>0</v>
      </c>
      <c r="AP3208" s="28"/>
      <c r="AQ3208" s="28" t="n">
        <f aca="false">AP3208*$M3208</f>
        <v>0</v>
      </c>
      <c r="AR3208" s="28"/>
      <c r="AS3208" s="28" t="n">
        <f aca="false">AR3208*$M3208</f>
        <v>0</v>
      </c>
      <c r="AT3208" s="28"/>
      <c r="AU3208" s="28" t="n">
        <f aca="false">AT3208*$M3208</f>
        <v>0</v>
      </c>
      <c r="AV3208" s="28"/>
      <c r="AW3208" s="28" t="n">
        <f aca="false">AV3208*$M3208</f>
        <v>0</v>
      </c>
      <c r="AX3208" s="28"/>
      <c r="AY3208" s="28" t="n">
        <f aca="false">AX3208*$M3208</f>
        <v>0</v>
      </c>
      <c r="AZ3208" s="30" t="n">
        <f aca="false">8779944/100</f>
        <v>87799.44</v>
      </c>
      <c r="BA3208" s="11" t="n">
        <v>1404790</v>
      </c>
      <c r="BB3208" s="31" t="n">
        <f aca="false">SUM(Q3208,S3208,U3208,W3208,Y3208,AA3208,AC3208,AE3208,AG3208,AI3208,AK3208,AM3208,AO3208,AQ3208,AS3208,AU3208,AW3208,AY3208)</f>
        <v>1404790</v>
      </c>
      <c r="BC3208" s="28" t="n">
        <f aca="false">BA3208-BB3208</f>
        <v>0</v>
      </c>
      <c r="BD3208" s="32" t="n">
        <f aca="false">SUM(P3208,R3208,T3208,V3208,X3208,Z3208,AB3208,AD3208,AF3208,AH3208,AJ3208,AL3208,AN3208,AP3208,AR3208,AT3208,AV3208,AX3208)</f>
        <v>87799.44</v>
      </c>
      <c r="BE3208" s="33" t="n">
        <f aca="false">AZ3208-BD3208</f>
        <v>0</v>
      </c>
      <c r="BF3208" s="34" t="n">
        <f aca="false">BD3208*M3208</f>
        <v>1404791.04</v>
      </c>
      <c r="BG3208" s="35" t="n">
        <f aca="false">BA3208-BF3208</f>
        <v>-1.03999999980442</v>
      </c>
      <c r="BH3208" s="19" t="str">
        <f aca="false">IF(BG3208=0,"",IF(BG3208&lt;&gt;BA3208,"erreur de calcul",IF(BD3208&lt;&gt;0,"pas de prix",IF(M3208&lt;&gt; 0,"pas de quantité","pas de prix, ni de quantité"))))</f>
        <v>erreur de calcul</v>
      </c>
      <c r="BI3208" s="19"/>
    </row>
    <row r="3209" customFormat="false" ht="15" hidden="false" customHeight="false" outlineLevel="0" collapsed="false">
      <c r="A3209" s="0" t="n">
        <v>7</v>
      </c>
      <c r="B3209" s="8" t="s">
        <v>24</v>
      </c>
      <c r="C3209" s="9" t="s">
        <v>25</v>
      </c>
      <c r="D3209" s="9" t="s">
        <v>26</v>
      </c>
      <c r="E3209" s="10" t="n">
        <v>1789</v>
      </c>
      <c r="F3209" s="9" t="s">
        <v>27</v>
      </c>
      <c r="G3209" s="9" t="s">
        <v>27</v>
      </c>
      <c r="H3209" s="11" t="n">
        <v>20</v>
      </c>
      <c r="I3209" s="11" t="s">
        <v>123</v>
      </c>
      <c r="J3209" s="14" t="n">
        <v>12</v>
      </c>
      <c r="K3209" s="14"/>
      <c r="L3209" s="16"/>
      <c r="M3209" s="27" t="n">
        <f aca="false">J3209+(K3209/20)+(L3209/240)</f>
        <v>12</v>
      </c>
      <c r="N3209" s="17" t="s">
        <v>64</v>
      </c>
      <c r="O3209" s="11"/>
      <c r="P3209" s="28"/>
      <c r="Q3209" s="28" t="n">
        <f aca="false">P3209*$M3209</f>
        <v>0</v>
      </c>
      <c r="R3209" s="28"/>
      <c r="S3209" s="28" t="n">
        <f aca="false">R3209*$M3209</f>
        <v>0</v>
      </c>
      <c r="T3209" s="28"/>
      <c r="U3209" s="28" t="n">
        <f aca="false">T3209*$M3209</f>
        <v>0</v>
      </c>
      <c r="V3209" s="28"/>
      <c r="W3209" s="28" t="n">
        <f aca="false">V3209*$M3209</f>
        <v>0</v>
      </c>
      <c r="X3209" s="28"/>
      <c r="Y3209" s="28" t="n">
        <f aca="false">X3209*$M3209</f>
        <v>0</v>
      </c>
      <c r="Z3209" s="28"/>
      <c r="AA3209" s="28" t="n">
        <f aca="false">Z3209*$M3209</f>
        <v>0</v>
      </c>
      <c r="AB3209" s="28"/>
      <c r="AC3209" s="28" t="n">
        <f aca="false">AB3209*$M3209</f>
        <v>0</v>
      </c>
      <c r="AD3209" s="28"/>
      <c r="AE3209" s="28" t="n">
        <f aca="false">AD3209*$M3209</f>
        <v>0</v>
      </c>
      <c r="AF3209" s="28"/>
      <c r="AG3209" s="28" t="n">
        <f aca="false">AF3209*$M3209</f>
        <v>0</v>
      </c>
      <c r="AH3209" s="28" t="n">
        <f aca="false">5697511/100</f>
        <v>56975.11</v>
      </c>
      <c r="AI3209" s="28" t="n">
        <v>683701</v>
      </c>
      <c r="AJ3209" s="28"/>
      <c r="AK3209" s="28" t="n">
        <f aca="false">AJ3209*$M3209</f>
        <v>0</v>
      </c>
      <c r="AL3209" s="28"/>
      <c r="AM3209" s="28" t="n">
        <f aca="false">AL3209*$M3209</f>
        <v>0</v>
      </c>
      <c r="AN3209" s="28"/>
      <c r="AO3209" s="28" t="n">
        <f aca="false">AN3209*$M3209</f>
        <v>0</v>
      </c>
      <c r="AP3209" s="28"/>
      <c r="AQ3209" s="28" t="n">
        <f aca="false">AP3209*$M3209</f>
        <v>0</v>
      </c>
      <c r="AR3209" s="28"/>
      <c r="AS3209" s="28" t="n">
        <f aca="false">AR3209*$M3209</f>
        <v>0</v>
      </c>
      <c r="AT3209" s="28"/>
      <c r="AU3209" s="28" t="n">
        <f aca="false">AT3209*$M3209</f>
        <v>0</v>
      </c>
      <c r="AV3209" s="28"/>
      <c r="AW3209" s="28" t="n">
        <f aca="false">AV3209*$M3209</f>
        <v>0</v>
      </c>
      <c r="AX3209" s="28"/>
      <c r="AY3209" s="28" t="n">
        <f aca="false">AX3209*$M3209</f>
        <v>0</v>
      </c>
      <c r="AZ3209" s="30" t="n">
        <f aca="false">5697511/100</f>
        <v>56975.11</v>
      </c>
      <c r="BA3209" s="11" t="n">
        <v>683701</v>
      </c>
      <c r="BB3209" s="31" t="n">
        <f aca="false">SUM(Q3209,S3209,U3209,W3209,Y3209,AA3209,AC3209,AE3209,AG3209,AI3209,AK3209,AM3209,AO3209,AQ3209,AS3209,AU3209,AW3209,AY3209)</f>
        <v>683701</v>
      </c>
      <c r="BC3209" s="28" t="n">
        <f aca="false">BA3209-BB3209</f>
        <v>0</v>
      </c>
      <c r="BD3209" s="32" t="n">
        <f aca="false">SUM(P3209,R3209,T3209,V3209,X3209,Z3209,AB3209,AD3209,AF3209,AH3209,AJ3209,AL3209,AN3209,AP3209,AR3209,AT3209,AV3209,AX3209)</f>
        <v>56975.11</v>
      </c>
      <c r="BE3209" s="33" t="n">
        <f aca="false">AZ3209-BD3209</f>
        <v>0</v>
      </c>
      <c r="BF3209" s="34" t="n">
        <f aca="false">BD3209*M3209</f>
        <v>683701.32</v>
      </c>
      <c r="BG3209" s="35" t="n">
        <f aca="false">BA3209-BF3209</f>
        <v>-0.320000000065193</v>
      </c>
      <c r="BH3209" s="19" t="str">
        <f aca="false">IF(BG3209=0,"",IF(BG3209&lt;&gt;BA3209,"erreur de calcul",IF(BD3209&lt;&gt;0,"pas de prix",IF(M3209&lt;&gt; 0,"pas de quantité","pas de prix, ni de quantité"))))</f>
        <v>erreur de calcul</v>
      </c>
      <c r="BI3209" s="19"/>
    </row>
    <row r="3210" customFormat="false" ht="15" hidden="false" customHeight="false" outlineLevel="0" collapsed="false">
      <c r="A3210" s="0" t="n">
        <v>8</v>
      </c>
      <c r="B3210" s="8" t="s">
        <v>24</v>
      </c>
      <c r="C3210" s="9" t="s">
        <v>25</v>
      </c>
      <c r="D3210" s="9" t="s">
        <v>26</v>
      </c>
      <c r="E3210" s="10" t="n">
        <v>1789</v>
      </c>
      <c r="F3210" s="9" t="s">
        <v>27</v>
      </c>
      <c r="G3210" s="9" t="s">
        <v>27</v>
      </c>
      <c r="H3210" s="11" t="n">
        <v>20</v>
      </c>
      <c r="I3210" s="11" t="s">
        <v>124</v>
      </c>
      <c r="J3210" s="14" t="n">
        <v>34</v>
      </c>
      <c r="K3210" s="14"/>
      <c r="L3210" s="16"/>
      <c r="M3210" s="27" t="n">
        <f aca="false">J3210+(K3210/20)+(L3210/240)</f>
        <v>34</v>
      </c>
      <c r="N3210" s="17" t="s">
        <v>64</v>
      </c>
      <c r="O3210" s="11"/>
      <c r="P3210" s="28"/>
      <c r="Q3210" s="28" t="n">
        <f aca="false">P3210*$M3210</f>
        <v>0</v>
      </c>
      <c r="R3210" s="28"/>
      <c r="S3210" s="28" t="n">
        <f aca="false">R3210*$M3210</f>
        <v>0</v>
      </c>
      <c r="T3210" s="28" t="n">
        <f aca="false">528/100</f>
        <v>5.28</v>
      </c>
      <c r="U3210" s="28" t="n">
        <v>179</v>
      </c>
      <c r="V3210" s="28"/>
      <c r="W3210" s="28" t="n">
        <f aca="false">V3210*$M3210</f>
        <v>0</v>
      </c>
      <c r="X3210" s="28" t="n">
        <f aca="false">1014/100</f>
        <v>10.14</v>
      </c>
      <c r="Y3210" s="36" t="n">
        <v>243</v>
      </c>
      <c r="Z3210" s="28"/>
      <c r="AA3210" s="28" t="n">
        <f aca="false">Z3210*$M3210</f>
        <v>0</v>
      </c>
      <c r="AB3210" s="28"/>
      <c r="AC3210" s="28" t="n">
        <f aca="false">AB3210*$M3210</f>
        <v>0</v>
      </c>
      <c r="AD3210" s="28"/>
      <c r="AE3210" s="28" t="n">
        <f aca="false">AD3210*$M3210</f>
        <v>0</v>
      </c>
      <c r="AF3210" s="28"/>
      <c r="AG3210" s="28" t="n">
        <f aca="false">AF3210*$M3210</f>
        <v>0</v>
      </c>
      <c r="AH3210" s="28"/>
      <c r="AI3210" s="28" t="n">
        <f aca="false">AH3210*$M3210</f>
        <v>0</v>
      </c>
      <c r="AJ3210" s="28" t="n">
        <f aca="false">1917/100</f>
        <v>19.17</v>
      </c>
      <c r="AK3210" s="28" t="n">
        <v>652</v>
      </c>
      <c r="AL3210" s="28"/>
      <c r="AM3210" s="28" t="n">
        <f aca="false">AL3210*$M3210</f>
        <v>0</v>
      </c>
      <c r="AN3210" s="28"/>
      <c r="AO3210" s="28" t="n">
        <f aca="false">AN3210*$M3210</f>
        <v>0</v>
      </c>
      <c r="AP3210" s="28"/>
      <c r="AQ3210" s="28" t="n">
        <f aca="false">AP3210*$M3210</f>
        <v>0</v>
      </c>
      <c r="AR3210" s="28"/>
      <c r="AS3210" s="28" t="n">
        <f aca="false">AR3210*$M3210</f>
        <v>0</v>
      </c>
      <c r="AT3210" s="28"/>
      <c r="AU3210" s="28" t="n">
        <f aca="false">AT3210*$M3210</f>
        <v>0</v>
      </c>
      <c r="AV3210" s="28"/>
      <c r="AW3210" s="28" t="n">
        <f aca="false">AV3210*$M3210</f>
        <v>0</v>
      </c>
      <c r="AX3210" s="28"/>
      <c r="AY3210" s="28" t="n">
        <f aca="false">AX3210*$M3210</f>
        <v>0</v>
      </c>
      <c r="AZ3210" s="30" t="n">
        <f aca="false">3459/100</f>
        <v>34.59</v>
      </c>
      <c r="BA3210" s="11" t="n">
        <v>1074</v>
      </c>
      <c r="BB3210" s="31" t="n">
        <f aca="false">SUM(Q3210,S3210,U3210,W3210,Y3210,AA3210,AC3210,AE3210,AG3210,AI3210,AK3210,AM3210,AO3210,AQ3210,AS3210,AU3210,AW3210,AY3210)</f>
        <v>1074</v>
      </c>
      <c r="BC3210" s="28" t="n">
        <f aca="false">BA3210-BB3210</f>
        <v>0</v>
      </c>
      <c r="BD3210" s="32" t="n">
        <f aca="false">SUM(P3210,R3210,T3210,V3210,X3210,Z3210,AB3210,AD3210,AF3210,AH3210,AJ3210,AL3210,AN3210,AP3210,AR3210,AT3210,AV3210,AX3210)</f>
        <v>34.59</v>
      </c>
      <c r="BE3210" s="33" t="n">
        <f aca="false">AZ3210-BD3210</f>
        <v>0</v>
      </c>
      <c r="BF3210" s="34" t="n">
        <f aca="false">BD3210*M3210</f>
        <v>1176.06</v>
      </c>
      <c r="BG3210" s="35" t="n">
        <f aca="false">BA3210-BF3210</f>
        <v>-102.06</v>
      </c>
      <c r="BH3210" s="19" t="str">
        <f aca="false">IF(BG3210=0,"",IF(BG3210&lt;&gt;BA3210,"erreur de calcul",IF(BD3210&lt;&gt;0,"pas de prix",IF(M3210&lt;&gt; 0,"pas de quantité","pas de prix, ni de quantité"))))</f>
        <v>erreur de calcul</v>
      </c>
      <c r="BI3210" s="19"/>
    </row>
    <row r="3211" customFormat="false" ht="15" hidden="false" customHeight="false" outlineLevel="0" collapsed="false">
      <c r="A3211" s="0" t="n">
        <v>9</v>
      </c>
      <c r="B3211" s="8" t="s">
        <v>24</v>
      </c>
      <c r="C3211" s="9" t="s">
        <v>25</v>
      </c>
      <c r="D3211" s="9" t="s">
        <v>26</v>
      </c>
      <c r="E3211" s="10" t="n">
        <v>1789</v>
      </c>
      <c r="F3211" s="9" t="s">
        <v>27</v>
      </c>
      <c r="G3211" s="9" t="s">
        <v>27</v>
      </c>
      <c r="H3211" s="11" t="n">
        <v>20</v>
      </c>
      <c r="I3211" s="11" t="s">
        <v>125</v>
      </c>
      <c r="J3211" s="14" t="n">
        <v>30</v>
      </c>
      <c r="K3211" s="14"/>
      <c r="L3211" s="16"/>
      <c r="M3211" s="27" t="n">
        <f aca="false">J3211+(K3211/20)+(L3211/240)</f>
        <v>30</v>
      </c>
      <c r="N3211" s="17" t="s">
        <v>64</v>
      </c>
      <c r="O3211" s="11"/>
      <c r="P3211" s="28" t="n">
        <f aca="false">31476/100</f>
        <v>314.76</v>
      </c>
      <c r="Q3211" s="28" t="n">
        <v>9443</v>
      </c>
      <c r="R3211" s="28"/>
      <c r="S3211" s="28" t="n">
        <f aca="false">R3211*$M3211</f>
        <v>0</v>
      </c>
      <c r="T3211" s="28"/>
      <c r="U3211" s="28" t="n">
        <f aca="false">T3211*$M3211</f>
        <v>0</v>
      </c>
      <c r="V3211" s="28"/>
      <c r="W3211" s="28" t="n">
        <f aca="false">V3211*$M3211</f>
        <v>0</v>
      </c>
      <c r="X3211" s="28" t="n">
        <f aca="false">2320/100</f>
        <v>23.2</v>
      </c>
      <c r="Y3211" s="28" t="n">
        <v>696</v>
      </c>
      <c r="Z3211" s="28"/>
      <c r="AA3211" s="28" t="n">
        <f aca="false">Z3211*$M3211</f>
        <v>0</v>
      </c>
      <c r="AB3211" s="28"/>
      <c r="AC3211" s="28" t="n">
        <f aca="false">AB3211*$M3211</f>
        <v>0</v>
      </c>
      <c r="AD3211" s="28"/>
      <c r="AE3211" s="28" t="n">
        <f aca="false">AD3211*$M3211</f>
        <v>0</v>
      </c>
      <c r="AF3211" s="28"/>
      <c r="AG3211" s="28" t="n">
        <f aca="false">AF3211*$M3211</f>
        <v>0</v>
      </c>
      <c r="AH3211" s="28"/>
      <c r="AI3211" s="28" t="n">
        <f aca="false">AH3211*$M3211</f>
        <v>0</v>
      </c>
      <c r="AJ3211" s="28"/>
      <c r="AK3211" s="28" t="n">
        <f aca="false">AJ3211*$M3211</f>
        <v>0</v>
      </c>
      <c r="AL3211" s="28"/>
      <c r="AM3211" s="28" t="n">
        <f aca="false">AL3211*$M3211</f>
        <v>0</v>
      </c>
      <c r="AN3211" s="28"/>
      <c r="AO3211" s="28" t="n">
        <f aca="false">AN3211*$M3211</f>
        <v>0</v>
      </c>
      <c r="AP3211" s="28" t="n">
        <f aca="false">5100/100</f>
        <v>51</v>
      </c>
      <c r="AQ3211" s="28" t="n">
        <v>1530</v>
      </c>
      <c r="AR3211" s="28"/>
      <c r="AS3211" s="28" t="n">
        <f aca="false">AR3211*$M3211</f>
        <v>0</v>
      </c>
      <c r="AT3211" s="28"/>
      <c r="AU3211" s="28" t="n">
        <f aca="false">AT3211*$M3211</f>
        <v>0</v>
      </c>
      <c r="AV3211" s="28"/>
      <c r="AW3211" s="28" t="n">
        <f aca="false">AV3211*$M3211</f>
        <v>0</v>
      </c>
      <c r="AX3211" s="28" t="n">
        <f aca="false">26345/100</f>
        <v>263.45</v>
      </c>
      <c r="AY3211" s="28" t="n">
        <v>7903</v>
      </c>
      <c r="AZ3211" s="30" t="n">
        <f aca="false">65241/100</f>
        <v>652.41</v>
      </c>
      <c r="BA3211" s="11" t="n">
        <v>19572</v>
      </c>
      <c r="BB3211" s="31" t="n">
        <f aca="false">SUM(Q3211,S3211,U3211,W3211,Y3211,AA3211,AC3211,AE3211,AG3211,AI3211,AK3211,AM3211,AO3211,AQ3211,AS3211,AU3211,AW3211,AY3211)</f>
        <v>19572</v>
      </c>
      <c r="BC3211" s="28" t="n">
        <f aca="false">BA3211-BB3211</f>
        <v>0</v>
      </c>
      <c r="BD3211" s="32" t="n">
        <f aca="false">SUM(P3211,R3211,T3211,V3211,X3211,Z3211,AB3211,AD3211,AF3211,AH3211,AJ3211,AL3211,AN3211,AP3211,AR3211,AT3211,AV3211,AX3211)</f>
        <v>652.41</v>
      </c>
      <c r="BE3211" s="33" t="n">
        <f aca="false">AZ3211-BD3211</f>
        <v>0</v>
      </c>
      <c r="BF3211" s="34" t="n">
        <f aca="false">BD3211*M3211</f>
        <v>19572.3</v>
      </c>
      <c r="BG3211" s="35" t="n">
        <f aca="false">BA3211-BF3211</f>
        <v>-0.299999999999272</v>
      </c>
      <c r="BH3211" s="19" t="str">
        <f aca="false">IF(BG3211=0,"",IF(BG3211&lt;&gt;BA3211,"erreur de calcul",IF(BD3211&lt;&gt;0,"pas de prix",IF(M3211&lt;&gt; 0,"pas de quantité","pas de prix, ni de quantité"))))</f>
        <v>erreur de calcul</v>
      </c>
      <c r="BI3211" s="19"/>
    </row>
    <row r="3212" customFormat="false" ht="15" hidden="false" customHeight="false" outlineLevel="0" collapsed="false">
      <c r="A3212" s="0" t="n">
        <v>10</v>
      </c>
      <c r="B3212" s="8" t="s">
        <v>24</v>
      </c>
      <c r="C3212" s="9" t="s">
        <v>25</v>
      </c>
      <c r="D3212" s="9" t="s">
        <v>26</v>
      </c>
      <c r="E3212" s="10" t="n">
        <v>1789</v>
      </c>
      <c r="F3212" s="9" t="s">
        <v>27</v>
      </c>
      <c r="G3212" s="9" t="s">
        <v>27</v>
      </c>
      <c r="H3212" s="11" t="n">
        <v>20</v>
      </c>
      <c r="I3212" s="11" t="s">
        <v>126</v>
      </c>
      <c r="J3212" s="14" t="n">
        <v>75</v>
      </c>
      <c r="K3212" s="14"/>
      <c r="L3212" s="16"/>
      <c r="M3212" s="27" t="n">
        <f aca="false">J3212+(K3212/20)+(L3212/240)</f>
        <v>75</v>
      </c>
      <c r="N3212" s="17" t="s">
        <v>64</v>
      </c>
      <c r="O3212" s="11"/>
      <c r="P3212" s="28"/>
      <c r="Q3212" s="28" t="n">
        <f aca="false">P3212*$M3212</f>
        <v>0</v>
      </c>
      <c r="R3212" s="28"/>
      <c r="S3212" s="28" t="n">
        <f aca="false">R3212*$M3212</f>
        <v>0</v>
      </c>
      <c r="T3212" s="28"/>
      <c r="U3212" s="28" t="n">
        <f aca="false">T3212*$M3212</f>
        <v>0</v>
      </c>
      <c r="V3212" s="28" t="n">
        <f aca="false">223/100</f>
        <v>2.23</v>
      </c>
      <c r="W3212" s="28" t="n">
        <v>167</v>
      </c>
      <c r="X3212" s="28" t="n">
        <f aca="false">2897/100</f>
        <v>28.97</v>
      </c>
      <c r="Y3212" s="28" t="n">
        <v>2173</v>
      </c>
      <c r="Z3212" s="28"/>
      <c r="AA3212" s="28" t="n">
        <f aca="false">Z3212*$M3212</f>
        <v>0</v>
      </c>
      <c r="AB3212" s="28"/>
      <c r="AC3212" s="28" t="n">
        <f aca="false">AB3212*$M3212</f>
        <v>0</v>
      </c>
      <c r="AD3212" s="28"/>
      <c r="AE3212" s="28" t="n">
        <f aca="false">AD3212*$M3212</f>
        <v>0</v>
      </c>
      <c r="AF3212" s="28"/>
      <c r="AG3212" s="28" t="n">
        <f aca="false">AF3212*$M3212</f>
        <v>0</v>
      </c>
      <c r="AH3212" s="28"/>
      <c r="AI3212" s="28" t="n">
        <f aca="false">AH3212*$M3212</f>
        <v>0</v>
      </c>
      <c r="AJ3212" s="28"/>
      <c r="AK3212" s="28" t="n">
        <f aca="false">AJ3212*$M3212</f>
        <v>0</v>
      </c>
      <c r="AL3212" s="28"/>
      <c r="AM3212" s="28" t="n">
        <f aca="false">AL3212*$M3212</f>
        <v>0</v>
      </c>
      <c r="AN3212" s="28"/>
      <c r="AO3212" s="28" t="n">
        <f aca="false">AN3212*$M3212</f>
        <v>0</v>
      </c>
      <c r="AP3212" s="28"/>
      <c r="AQ3212" s="28" t="n">
        <f aca="false">AP3212*$M3212</f>
        <v>0</v>
      </c>
      <c r="AR3212" s="28"/>
      <c r="AS3212" s="28" t="n">
        <f aca="false">AR3212*$M3212</f>
        <v>0</v>
      </c>
      <c r="AT3212" s="28"/>
      <c r="AU3212" s="28" t="n">
        <f aca="false">AT3212*$M3212</f>
        <v>0</v>
      </c>
      <c r="AV3212" s="28"/>
      <c r="AW3212" s="28" t="n">
        <f aca="false">AV3212*$M3212</f>
        <v>0</v>
      </c>
      <c r="AX3212" s="28"/>
      <c r="AY3212" s="28" t="n">
        <f aca="false">AX3212*$M3212</f>
        <v>0</v>
      </c>
      <c r="AZ3212" s="30" t="n">
        <f aca="false">3120/100</f>
        <v>31.2</v>
      </c>
      <c r="BA3212" s="11" t="n">
        <v>2340</v>
      </c>
      <c r="BB3212" s="31" t="n">
        <f aca="false">SUM(Q3212,S3212,U3212,W3212,Y3212,AA3212,AC3212,AE3212,AG3212,AI3212,AK3212,AM3212,AO3212,AQ3212,AS3212,AU3212,AW3212,AY3212)</f>
        <v>2340</v>
      </c>
      <c r="BC3212" s="28" t="n">
        <f aca="false">BA3212-BB3212</f>
        <v>0</v>
      </c>
      <c r="BD3212" s="32" t="n">
        <f aca="false">SUM(P3212,R3212,T3212,V3212,X3212,Z3212,AB3212,AD3212,AF3212,AH3212,AJ3212,AL3212,AN3212,AP3212,AR3212,AT3212,AV3212,AX3212)</f>
        <v>31.2</v>
      </c>
      <c r="BE3212" s="33" t="n">
        <f aca="false">AZ3212-BD3212</f>
        <v>0</v>
      </c>
      <c r="BF3212" s="34" t="n">
        <f aca="false">BD3212*M3212</f>
        <v>2340</v>
      </c>
      <c r="BG3212" s="35" t="n">
        <f aca="false">BA3212-BF3212</f>
        <v>0</v>
      </c>
      <c r="BH3212" s="19" t="str">
        <f aca="false">IF(BG3212=0,"",IF(BG3212&lt;&gt;BA3212,"erreur de calcul",IF(BD3212&lt;&gt;0,"pas de prix",IF(M3212&lt;&gt; 0,"pas de quantité","pas de prix, ni de quantité"))))</f>
        <v/>
      </c>
      <c r="BI3212" s="19"/>
    </row>
    <row r="3213" customFormat="false" ht="15" hidden="false" customHeight="false" outlineLevel="0" collapsed="false">
      <c r="A3213" s="0" t="n">
        <v>11</v>
      </c>
      <c r="B3213" s="8" t="s">
        <v>24</v>
      </c>
      <c r="C3213" s="9" t="s">
        <v>25</v>
      </c>
      <c r="D3213" s="9" t="s">
        <v>26</v>
      </c>
      <c r="E3213" s="10" t="n">
        <v>1789</v>
      </c>
      <c r="F3213" s="9" t="s">
        <v>27</v>
      </c>
      <c r="G3213" s="9" t="s">
        <v>27</v>
      </c>
      <c r="H3213" s="11" t="n">
        <v>20</v>
      </c>
      <c r="I3213" s="11" t="s">
        <v>127</v>
      </c>
      <c r="J3213" s="14" t="n">
        <v>75</v>
      </c>
      <c r="K3213" s="14"/>
      <c r="L3213" s="16"/>
      <c r="M3213" s="27" t="n">
        <f aca="false">J3213+(K3213/20)+(L3213/240)</f>
        <v>75</v>
      </c>
      <c r="N3213" s="17" t="s">
        <v>64</v>
      </c>
      <c r="O3213" s="11"/>
      <c r="P3213" s="28"/>
      <c r="Q3213" s="28" t="n">
        <f aca="false">P3213*$M3213</f>
        <v>0</v>
      </c>
      <c r="R3213" s="28"/>
      <c r="S3213" s="28" t="n">
        <f aca="false">R3213*$M3213</f>
        <v>0</v>
      </c>
      <c r="T3213" s="28" t="n">
        <f aca="false">5807/100</f>
        <v>58.07</v>
      </c>
      <c r="U3213" s="28" t="n">
        <v>4355</v>
      </c>
      <c r="V3213" s="28"/>
      <c r="W3213" s="28" t="n">
        <f aca="false">V3213*$M3213</f>
        <v>0</v>
      </c>
      <c r="X3213" s="28"/>
      <c r="Y3213" s="28" t="n">
        <f aca="false">X3213*$M3213</f>
        <v>0</v>
      </c>
      <c r="Z3213" s="28"/>
      <c r="AA3213" s="28" t="n">
        <f aca="false">Z3213*$M3213</f>
        <v>0</v>
      </c>
      <c r="AB3213" s="28"/>
      <c r="AC3213" s="28" t="n">
        <f aca="false">AB3213*$M3213</f>
        <v>0</v>
      </c>
      <c r="AD3213" s="28"/>
      <c r="AE3213" s="28" t="n">
        <f aca="false">AD3213*$M3213</f>
        <v>0</v>
      </c>
      <c r="AF3213" s="28"/>
      <c r="AG3213" s="28" t="n">
        <f aca="false">AF3213*$M3213</f>
        <v>0</v>
      </c>
      <c r="AH3213" s="28"/>
      <c r="AI3213" s="28" t="n">
        <f aca="false">AH3213*$M3213</f>
        <v>0</v>
      </c>
      <c r="AJ3213" s="28"/>
      <c r="AK3213" s="28" t="n">
        <f aca="false">AJ3213*$M3213</f>
        <v>0</v>
      </c>
      <c r="AL3213" s="28"/>
      <c r="AM3213" s="28" t="n">
        <f aca="false">AL3213*$M3213</f>
        <v>0</v>
      </c>
      <c r="AN3213" s="28"/>
      <c r="AO3213" s="28" t="n">
        <f aca="false">AN3213*$M3213</f>
        <v>0</v>
      </c>
      <c r="AP3213" s="28"/>
      <c r="AQ3213" s="28" t="n">
        <f aca="false">AP3213*$M3213</f>
        <v>0</v>
      </c>
      <c r="AR3213" s="28"/>
      <c r="AS3213" s="28" t="n">
        <f aca="false">AR3213*$M3213</f>
        <v>0</v>
      </c>
      <c r="AT3213" s="28"/>
      <c r="AU3213" s="28" t="n">
        <f aca="false">AT3213*$M3213</f>
        <v>0</v>
      </c>
      <c r="AV3213" s="28"/>
      <c r="AW3213" s="28" t="n">
        <f aca="false">AV3213*$M3213</f>
        <v>0</v>
      </c>
      <c r="AX3213" s="28"/>
      <c r="AY3213" s="28" t="n">
        <f aca="false">AX3213*$M3213</f>
        <v>0</v>
      </c>
      <c r="AZ3213" s="30" t="n">
        <f aca="false">5807/100</f>
        <v>58.07</v>
      </c>
      <c r="BA3213" s="11" t="n">
        <v>4355</v>
      </c>
      <c r="BB3213" s="31" t="n">
        <f aca="false">SUM(Q3213,S3213,U3213,W3213,Y3213,AA3213,AC3213,AE3213,AG3213,AI3213,AK3213,AM3213,AO3213,AQ3213,AS3213,AU3213,AW3213,AY3213)</f>
        <v>4355</v>
      </c>
      <c r="BC3213" s="28" t="n">
        <f aca="false">BA3213-BB3213</f>
        <v>0</v>
      </c>
      <c r="BD3213" s="32" t="n">
        <f aca="false">SUM(P3213,R3213,T3213,V3213,X3213,Z3213,AB3213,AD3213,AF3213,AH3213,AJ3213,AL3213,AN3213,AP3213,AR3213,AT3213,AV3213,AX3213)</f>
        <v>58.07</v>
      </c>
      <c r="BE3213" s="33" t="n">
        <f aca="false">AZ3213-BD3213</f>
        <v>0</v>
      </c>
      <c r="BF3213" s="34" t="n">
        <f aca="false">BD3213*M3213</f>
        <v>4355.25</v>
      </c>
      <c r="BG3213" s="35" t="n">
        <f aca="false">BA3213-BF3213</f>
        <v>-0.25</v>
      </c>
      <c r="BH3213" s="19" t="str">
        <f aca="false">IF(BG3213=0,"",IF(BG3213&lt;&gt;BA3213,"erreur de calcul",IF(BD3213&lt;&gt;0,"pas de prix",IF(M3213&lt;&gt; 0,"pas de quantité","pas de prix, ni de quantité"))))</f>
        <v>erreur de calcul</v>
      </c>
      <c r="BI3213" s="19"/>
    </row>
    <row r="3214" customFormat="false" ht="15" hidden="false" customHeight="false" outlineLevel="0" collapsed="false">
      <c r="A3214" s="0" t="n">
        <v>12</v>
      </c>
      <c r="B3214" s="8" t="s">
        <v>24</v>
      </c>
      <c r="C3214" s="9" t="s">
        <v>25</v>
      </c>
      <c r="D3214" s="9" t="s">
        <v>26</v>
      </c>
      <c r="E3214" s="10" t="n">
        <v>1789</v>
      </c>
      <c r="F3214" s="9" t="s">
        <v>27</v>
      </c>
      <c r="G3214" s="9" t="s">
        <v>27</v>
      </c>
      <c r="H3214" s="11" t="n">
        <v>20</v>
      </c>
      <c r="I3214" s="11" t="s">
        <v>128</v>
      </c>
      <c r="J3214" s="14" t="n">
        <v>42</v>
      </c>
      <c r="K3214" s="14"/>
      <c r="L3214" s="16"/>
      <c r="M3214" s="27" t="n">
        <f aca="false">J3214+(K3214/20)+(L3214/240)</f>
        <v>42</v>
      </c>
      <c r="N3214" s="17" t="s">
        <v>64</v>
      </c>
      <c r="O3214" s="11"/>
      <c r="P3214" s="28"/>
      <c r="Q3214" s="28" t="n">
        <f aca="false">P3214*$M3214</f>
        <v>0</v>
      </c>
      <c r="R3214" s="28"/>
      <c r="S3214" s="28" t="n">
        <f aca="false">R3214*$M3214</f>
        <v>0</v>
      </c>
      <c r="T3214" s="28" t="n">
        <f aca="false">347073/100</f>
        <v>3470.73</v>
      </c>
      <c r="U3214" s="28" t="n">
        <v>145771</v>
      </c>
      <c r="V3214" s="28" t="n">
        <f aca="false">188616/100</f>
        <v>1886.16</v>
      </c>
      <c r="W3214" s="28" t="n">
        <v>79219</v>
      </c>
      <c r="X3214" s="28" t="n">
        <f aca="false">518894/100</f>
        <v>5188.94</v>
      </c>
      <c r="Y3214" s="28" t="n">
        <v>217935</v>
      </c>
      <c r="Z3214" s="28" t="n">
        <f aca="false">965148/100</f>
        <v>9651.48</v>
      </c>
      <c r="AA3214" s="28" t="n">
        <v>405362</v>
      </c>
      <c r="AB3214" s="28" t="n">
        <f aca="false">759238/100</f>
        <v>7592.38</v>
      </c>
      <c r="AC3214" s="28" t="n">
        <v>318880</v>
      </c>
      <c r="AD3214" s="28" t="n">
        <f aca="false">254167/100</f>
        <v>2541.67</v>
      </c>
      <c r="AE3214" s="28" t="n">
        <v>106750</v>
      </c>
      <c r="AF3214" s="28"/>
      <c r="AG3214" s="28" t="n">
        <f aca="false">AF3214*$M3214</f>
        <v>0</v>
      </c>
      <c r="AH3214" s="28"/>
      <c r="AI3214" s="28" t="n">
        <f aca="false">AH3214*$M3214</f>
        <v>0</v>
      </c>
      <c r="AJ3214" s="28"/>
      <c r="AK3214" s="28" t="n">
        <f aca="false">AJ3214*$M3214</f>
        <v>0</v>
      </c>
      <c r="AL3214" s="28" t="n">
        <f aca="false">73551/100</f>
        <v>735.51</v>
      </c>
      <c r="AM3214" s="28" t="n">
        <v>30891</v>
      </c>
      <c r="AN3214" s="28"/>
      <c r="AO3214" s="28" t="n">
        <f aca="false">AN3214*$M3214</f>
        <v>0</v>
      </c>
      <c r="AP3214" s="28" t="n">
        <f aca="false">45836/100</f>
        <v>458.36</v>
      </c>
      <c r="AQ3214" s="28" t="n">
        <v>19251</v>
      </c>
      <c r="AR3214" s="28"/>
      <c r="AS3214" s="28" t="n">
        <f aca="false">AR3214*$M3214</f>
        <v>0</v>
      </c>
      <c r="AT3214" s="28"/>
      <c r="AU3214" s="28" t="n">
        <f aca="false">AT3214*$M3214</f>
        <v>0</v>
      </c>
      <c r="AV3214" s="28" t="n">
        <f aca="false">566574/100</f>
        <v>5665.74</v>
      </c>
      <c r="AW3214" s="28" t="n">
        <v>237961</v>
      </c>
      <c r="AX3214" s="28"/>
      <c r="AY3214" s="28" t="n">
        <f aca="false">AX3214*$M3214</f>
        <v>0</v>
      </c>
      <c r="AZ3214" s="30" t="n">
        <f aca="false">3719097/100</f>
        <v>37190.97</v>
      </c>
      <c r="BA3214" s="11" t="n">
        <v>1562020</v>
      </c>
      <c r="BB3214" s="31" t="n">
        <f aca="false">SUM(Q3214,S3214,U3214,W3214,Y3214,AA3214,AC3214,AE3214,AG3214,AI3214,AK3214,AM3214,AO3214,AQ3214,AS3214,AU3214,AW3214,AY3214)</f>
        <v>1562020</v>
      </c>
      <c r="BC3214" s="28" t="n">
        <f aca="false">BA3214-BB3214</f>
        <v>0</v>
      </c>
      <c r="BD3214" s="32" t="n">
        <f aca="false">SUM(P3214,R3214,T3214,V3214,X3214,Z3214,AB3214,AD3214,AF3214,AH3214,AJ3214,AL3214,AN3214,AP3214,AR3214,AT3214,AV3214,AX3214)</f>
        <v>37190.97</v>
      </c>
      <c r="BE3214" s="33" t="n">
        <f aca="false">AZ3214-BD3214</f>
        <v>0</v>
      </c>
      <c r="BF3214" s="34" t="n">
        <f aca="false">BD3214*M3214</f>
        <v>1562020.74</v>
      </c>
      <c r="BG3214" s="35" t="n">
        <f aca="false">BA3214-BF3214</f>
        <v>-0.739999999990687</v>
      </c>
      <c r="BH3214" s="19" t="str">
        <f aca="false">IF(BG3214=0,"",IF(BG3214&lt;&gt;BA3214,"erreur de calcul",IF(BD3214&lt;&gt;0,"pas de prix",IF(M3214&lt;&gt; 0,"pas de quantité","pas de prix, ni de quantité"))))</f>
        <v>erreur de calcul</v>
      </c>
      <c r="BI3214" s="19"/>
    </row>
    <row r="3215" customFormat="false" ht="15" hidden="false" customHeight="false" outlineLevel="0" collapsed="false">
      <c r="A3215" s="0" t="n">
        <v>13</v>
      </c>
      <c r="B3215" s="8" t="s">
        <v>24</v>
      </c>
      <c r="C3215" s="9" t="s">
        <v>25</v>
      </c>
      <c r="D3215" s="9" t="s">
        <v>26</v>
      </c>
      <c r="E3215" s="10" t="n">
        <v>1789</v>
      </c>
      <c r="F3215" s="9" t="s">
        <v>27</v>
      </c>
      <c r="G3215" s="9" t="s">
        <v>27</v>
      </c>
      <c r="H3215" s="11" t="n">
        <v>20</v>
      </c>
      <c r="I3215" s="11" t="s">
        <v>129</v>
      </c>
      <c r="J3215" s="14" t="n">
        <v>75</v>
      </c>
      <c r="K3215" s="14"/>
      <c r="L3215" s="16"/>
      <c r="M3215" s="27" t="n">
        <f aca="false">J3215+(K3215/20)+(L3215/240)</f>
        <v>75</v>
      </c>
      <c r="N3215" s="17" t="s">
        <v>64</v>
      </c>
      <c r="O3215" s="11"/>
      <c r="P3215" s="28"/>
      <c r="Q3215" s="28" t="n">
        <f aca="false">P3215*$M3215</f>
        <v>0</v>
      </c>
      <c r="R3215" s="28"/>
      <c r="S3215" s="28" t="n">
        <f aca="false">R3215*$M3215</f>
        <v>0</v>
      </c>
      <c r="T3215" s="28"/>
      <c r="U3215" s="28" t="n">
        <f aca="false">T3215*$M3215</f>
        <v>0</v>
      </c>
      <c r="V3215" s="28" t="n">
        <f aca="false">3418/100</f>
        <v>34.18</v>
      </c>
      <c r="W3215" s="28" t="n">
        <v>2563</v>
      </c>
      <c r="X3215" s="28" t="n">
        <f aca="false">3755/100</f>
        <v>37.55</v>
      </c>
      <c r="Y3215" s="28" t="n">
        <v>2817</v>
      </c>
      <c r="Z3215" s="28"/>
      <c r="AA3215" s="28" t="n">
        <f aca="false">Z3215*$M3215</f>
        <v>0</v>
      </c>
      <c r="AB3215" s="28" t="n">
        <f aca="false">75529/100</f>
        <v>755.29</v>
      </c>
      <c r="AC3215" s="28" t="n">
        <v>56647</v>
      </c>
      <c r="AD3215" s="28"/>
      <c r="AE3215" s="28" t="n">
        <f aca="false">AD3215*$M3215</f>
        <v>0</v>
      </c>
      <c r="AF3215" s="28"/>
      <c r="AG3215" s="28" t="n">
        <f aca="false">AF3215*$M3215</f>
        <v>0</v>
      </c>
      <c r="AH3215" s="28"/>
      <c r="AI3215" s="28" t="n">
        <f aca="false">AH3215*$M3215</f>
        <v>0</v>
      </c>
      <c r="AJ3215" s="28"/>
      <c r="AK3215" s="28" t="n">
        <f aca="false">AJ3215*$M3215</f>
        <v>0</v>
      </c>
      <c r="AL3215" s="28"/>
      <c r="AM3215" s="28" t="n">
        <f aca="false">AL3215*$M3215</f>
        <v>0</v>
      </c>
      <c r="AN3215" s="28"/>
      <c r="AO3215" s="28" t="n">
        <f aca="false">AN3215*$M3215</f>
        <v>0</v>
      </c>
      <c r="AP3215" s="28"/>
      <c r="AQ3215" s="28" t="n">
        <f aca="false">AP3215*$M3215</f>
        <v>0</v>
      </c>
      <c r="AR3215" s="28"/>
      <c r="AS3215" s="28" t="n">
        <f aca="false">AR3215*$M3215</f>
        <v>0</v>
      </c>
      <c r="AT3215" s="28"/>
      <c r="AU3215" s="28" t="n">
        <f aca="false">AT3215*$M3215</f>
        <v>0</v>
      </c>
      <c r="AV3215" s="28"/>
      <c r="AW3215" s="28" t="n">
        <f aca="false">AV3215*$M3215</f>
        <v>0</v>
      </c>
      <c r="AX3215" s="28"/>
      <c r="AY3215" s="28" t="n">
        <f aca="false">AX3215*$M3215</f>
        <v>0</v>
      </c>
      <c r="AZ3215" s="30" t="n">
        <f aca="false">82702/100</f>
        <v>827.02</v>
      </c>
      <c r="BA3215" s="11" t="n">
        <v>62027</v>
      </c>
      <c r="BB3215" s="31" t="n">
        <f aca="false">SUM(Q3215,S3215,U3215,W3215,Y3215,AA3215,AC3215,AE3215,AG3215,AI3215,AK3215,AM3215,AO3215,AQ3215,AS3215,AU3215,AW3215,AY3215)</f>
        <v>62027</v>
      </c>
      <c r="BC3215" s="28" t="n">
        <f aca="false">BA3215-BB3215</f>
        <v>0</v>
      </c>
      <c r="BD3215" s="32" t="n">
        <f aca="false">SUM(P3215,R3215,T3215,V3215,X3215,Z3215,AB3215,AD3215,AF3215,AH3215,AJ3215,AL3215,AN3215,AP3215,AR3215,AT3215,AV3215,AX3215)</f>
        <v>827.02</v>
      </c>
      <c r="BE3215" s="33" t="n">
        <f aca="false">AZ3215-BD3215</f>
        <v>0</v>
      </c>
      <c r="BF3215" s="34" t="n">
        <f aca="false">BD3215*M3215</f>
        <v>62026.5</v>
      </c>
      <c r="BG3215" s="35" t="n">
        <f aca="false">BA3215-BF3215</f>
        <v>0.500000000007276</v>
      </c>
      <c r="BH3215" s="19" t="str">
        <f aca="false">IF(BG3215=0,"",IF(BG3215&lt;&gt;BA3215,"erreur de calcul",IF(BD3215&lt;&gt;0,"pas de prix",IF(M3215&lt;&gt; 0,"pas de quantité","pas de prix, ni de quantité"))))</f>
        <v>erreur de calcul</v>
      </c>
      <c r="BI3215" s="19"/>
    </row>
    <row r="3216" customFormat="false" ht="15" hidden="false" customHeight="false" outlineLevel="0" collapsed="false">
      <c r="A3216" s="0" t="n">
        <v>14</v>
      </c>
      <c r="B3216" s="8" t="s">
        <v>24</v>
      </c>
      <c r="C3216" s="9" t="s">
        <v>25</v>
      </c>
      <c r="D3216" s="9" t="s">
        <v>26</v>
      </c>
      <c r="E3216" s="10" t="n">
        <v>1789</v>
      </c>
      <c r="F3216" s="9" t="s">
        <v>27</v>
      </c>
      <c r="G3216" s="9" t="s">
        <v>27</v>
      </c>
      <c r="H3216" s="11" t="n">
        <v>20</v>
      </c>
      <c r="I3216" s="11" t="s">
        <v>130</v>
      </c>
      <c r="J3216" s="14" t="n">
        <v>170</v>
      </c>
      <c r="K3216" s="14"/>
      <c r="L3216" s="16"/>
      <c r="M3216" s="27" t="n">
        <f aca="false">J3216+(K3216/20)+(L3216/240)</f>
        <v>170</v>
      </c>
      <c r="N3216" s="17" t="s">
        <v>64</v>
      </c>
      <c r="O3216" s="11"/>
      <c r="P3216" s="28"/>
      <c r="Q3216" s="28" t="n">
        <f aca="false">P3216*$M3216</f>
        <v>0</v>
      </c>
      <c r="R3216" s="28"/>
      <c r="S3216" s="28" t="n">
        <f aca="false">R3216*$M3216</f>
        <v>0</v>
      </c>
      <c r="T3216" s="28" t="n">
        <f aca="false">488/100</f>
        <v>4.88</v>
      </c>
      <c r="U3216" s="28" t="n">
        <v>830</v>
      </c>
      <c r="V3216" s="28"/>
      <c r="W3216" s="28" t="n">
        <f aca="false">V3216*$M3216</f>
        <v>0</v>
      </c>
      <c r="X3216" s="28" t="n">
        <f aca="false">8480/100</f>
        <v>84.8</v>
      </c>
      <c r="Y3216" s="28" t="n">
        <v>14416</v>
      </c>
      <c r="Z3216" s="28"/>
      <c r="AA3216" s="28" t="n">
        <f aca="false">Z3216*$M3216</f>
        <v>0</v>
      </c>
      <c r="AB3216" s="28" t="n">
        <f aca="false">291/100</f>
        <v>2.91</v>
      </c>
      <c r="AC3216" s="28" t="n">
        <v>495</v>
      </c>
      <c r="AD3216" s="28"/>
      <c r="AE3216" s="28" t="n">
        <f aca="false">AD3216*$M3216</f>
        <v>0</v>
      </c>
      <c r="AF3216" s="28"/>
      <c r="AG3216" s="28" t="n">
        <f aca="false">AF3216*$M3216</f>
        <v>0</v>
      </c>
      <c r="AH3216" s="28"/>
      <c r="AI3216" s="28" t="n">
        <f aca="false">AH3216*$M3216</f>
        <v>0</v>
      </c>
      <c r="AJ3216" s="28"/>
      <c r="AK3216" s="28" t="n">
        <f aca="false">AJ3216*$M3216</f>
        <v>0</v>
      </c>
      <c r="AL3216" s="28"/>
      <c r="AM3216" s="28" t="n">
        <f aca="false">AL3216*$M3216</f>
        <v>0</v>
      </c>
      <c r="AN3216" s="28"/>
      <c r="AO3216" s="28" t="n">
        <f aca="false">AN3216*$M3216</f>
        <v>0</v>
      </c>
      <c r="AP3216" s="28"/>
      <c r="AQ3216" s="28" t="n">
        <f aca="false">AP3216*$M3216</f>
        <v>0</v>
      </c>
      <c r="AR3216" s="28"/>
      <c r="AS3216" s="28" t="n">
        <f aca="false">AR3216*$M3216</f>
        <v>0</v>
      </c>
      <c r="AT3216" s="28"/>
      <c r="AU3216" s="28" t="n">
        <f aca="false">AT3216*$M3216</f>
        <v>0</v>
      </c>
      <c r="AV3216" s="28"/>
      <c r="AW3216" s="28" t="n">
        <f aca="false">AV3216*$M3216</f>
        <v>0</v>
      </c>
      <c r="AX3216" s="28"/>
      <c r="AY3216" s="28" t="n">
        <f aca="false">AX3216*$M3216</f>
        <v>0</v>
      </c>
      <c r="AZ3216" s="30" t="n">
        <f aca="false">9259/100</f>
        <v>92.59</v>
      </c>
      <c r="BA3216" s="11" t="n">
        <v>15741</v>
      </c>
      <c r="BB3216" s="31" t="n">
        <f aca="false">SUM(Q3216,S3216,U3216,W3216,Y3216,AA3216,AC3216,AE3216,AG3216,AI3216,AK3216,AM3216,AO3216,AQ3216,AS3216,AU3216,AW3216,AY3216)</f>
        <v>15741</v>
      </c>
      <c r="BC3216" s="28" t="n">
        <f aca="false">BA3216-BB3216</f>
        <v>0</v>
      </c>
      <c r="BD3216" s="32" t="n">
        <f aca="false">SUM(P3216,R3216,T3216,V3216,X3216,Z3216,AB3216,AD3216,AF3216,AH3216,AJ3216,AL3216,AN3216,AP3216,AR3216,AT3216,AV3216,AX3216)</f>
        <v>92.59</v>
      </c>
      <c r="BE3216" s="33" t="n">
        <f aca="false">AZ3216-BD3216</f>
        <v>0</v>
      </c>
      <c r="BF3216" s="34" t="n">
        <f aca="false">BD3216*M3216</f>
        <v>15740.3</v>
      </c>
      <c r="BG3216" s="35" t="n">
        <f aca="false">BA3216-BF3216</f>
        <v>0.700000000002547</v>
      </c>
      <c r="BH3216" s="19" t="str">
        <f aca="false">IF(BG3216=0,"",IF(BG3216&lt;&gt;BA3216,"erreur de calcul",IF(BD3216&lt;&gt;0,"pas de prix",IF(M3216&lt;&gt; 0,"pas de quantité","pas de prix, ni de quantité"))))</f>
        <v>erreur de calcul</v>
      </c>
      <c r="BI3216" s="19"/>
    </row>
    <row r="3217" customFormat="false" ht="15" hidden="false" customHeight="false" outlineLevel="0" collapsed="false">
      <c r="A3217" s="0" t="n">
        <v>15</v>
      </c>
      <c r="B3217" s="8" t="s">
        <v>24</v>
      </c>
      <c r="C3217" s="9" t="s">
        <v>25</v>
      </c>
      <c r="D3217" s="9" t="s">
        <v>26</v>
      </c>
      <c r="E3217" s="10" t="n">
        <v>1789</v>
      </c>
      <c r="F3217" s="9" t="s">
        <v>27</v>
      </c>
      <c r="G3217" s="9" t="s">
        <v>27</v>
      </c>
      <c r="H3217" s="11" t="n">
        <v>20</v>
      </c>
      <c r="I3217" s="11" t="s">
        <v>131</v>
      </c>
      <c r="J3217" s="14"/>
      <c r="K3217" s="14" t="n">
        <v>55</v>
      </c>
      <c r="L3217" s="16"/>
      <c r="M3217" s="27" t="n">
        <f aca="false">J3217+(K3217/20)+(L3217/240)</f>
        <v>2.75</v>
      </c>
      <c r="N3217" s="17" t="s">
        <v>64</v>
      </c>
      <c r="O3217" s="11"/>
      <c r="P3217" s="28"/>
      <c r="Q3217" s="28" t="n">
        <f aca="false">P3217*$M3217</f>
        <v>0</v>
      </c>
      <c r="R3217" s="28"/>
      <c r="S3217" s="28" t="n">
        <f aca="false">R3217*$M3217</f>
        <v>0</v>
      </c>
      <c r="T3217" s="28"/>
      <c r="U3217" s="28" t="n">
        <f aca="false">T3217*$M3217</f>
        <v>0</v>
      </c>
      <c r="V3217" s="28"/>
      <c r="W3217" s="28" t="n">
        <f aca="false">V3217*$M3217</f>
        <v>0</v>
      </c>
      <c r="X3217" s="28" t="n">
        <f aca="false">3875617/100</f>
        <v>38756.17</v>
      </c>
      <c r="Y3217" s="28" t="n">
        <v>106579</v>
      </c>
      <c r="Z3217" s="28" t="n">
        <f aca="false">62500/100</f>
        <v>625</v>
      </c>
      <c r="AA3217" s="28" t="n">
        <v>1719</v>
      </c>
      <c r="AB3217" s="28" t="n">
        <f aca="false">360000/100</f>
        <v>3600</v>
      </c>
      <c r="AC3217" s="28" t="n">
        <v>9900</v>
      </c>
      <c r="AD3217" s="28"/>
      <c r="AE3217" s="28" t="n">
        <f aca="false">AD3217*$M3217</f>
        <v>0</v>
      </c>
      <c r="AF3217" s="28"/>
      <c r="AG3217" s="28" t="n">
        <f aca="false">AF3217*$M3217</f>
        <v>0</v>
      </c>
      <c r="AH3217" s="28"/>
      <c r="AI3217" s="28" t="n">
        <f aca="false">AH3217*$M3217</f>
        <v>0</v>
      </c>
      <c r="AJ3217" s="28"/>
      <c r="AK3217" s="28" t="n">
        <f aca="false">AJ3217*$M3217</f>
        <v>0</v>
      </c>
      <c r="AL3217" s="28"/>
      <c r="AM3217" s="28" t="n">
        <f aca="false">AL3217*$M3217</f>
        <v>0</v>
      </c>
      <c r="AN3217" s="28"/>
      <c r="AO3217" s="28" t="n">
        <f aca="false">AN3217*$M3217</f>
        <v>0</v>
      </c>
      <c r="AP3217" s="28"/>
      <c r="AQ3217" s="28" t="n">
        <f aca="false">AP3217*$M3217</f>
        <v>0</v>
      </c>
      <c r="AR3217" s="28"/>
      <c r="AS3217" s="28" t="n">
        <f aca="false">AR3217*$M3217</f>
        <v>0</v>
      </c>
      <c r="AT3217" s="28"/>
      <c r="AU3217" s="28" t="n">
        <f aca="false">AT3217*$M3217</f>
        <v>0</v>
      </c>
      <c r="AV3217" s="28"/>
      <c r="AW3217" s="28" t="n">
        <f aca="false">AV3217*$M3217</f>
        <v>0</v>
      </c>
      <c r="AX3217" s="28"/>
      <c r="AY3217" s="28" t="n">
        <f aca="false">AX3217*$M3217</f>
        <v>0</v>
      </c>
      <c r="AZ3217" s="30" t="n">
        <f aca="false">4298117/100</f>
        <v>42981.17</v>
      </c>
      <c r="BA3217" s="11" t="n">
        <v>118198</v>
      </c>
      <c r="BB3217" s="31" t="n">
        <f aca="false">SUM(Q3217,S3217,U3217,W3217,Y3217,AA3217,AC3217,AE3217,AG3217,AI3217,AK3217,AM3217,AO3217,AQ3217,AS3217,AU3217,AW3217,AY3217)</f>
        <v>118198</v>
      </c>
      <c r="BC3217" s="28" t="n">
        <f aca="false">BA3217-BB3217</f>
        <v>0</v>
      </c>
      <c r="BD3217" s="32" t="n">
        <f aca="false">SUM(P3217,R3217,T3217,V3217,X3217,Z3217,AB3217,AD3217,AF3217,AH3217,AJ3217,AL3217,AN3217,AP3217,AR3217,AT3217,AV3217,AX3217)</f>
        <v>42981.17</v>
      </c>
      <c r="BE3217" s="33" t="n">
        <f aca="false">AZ3217-BD3217</f>
        <v>0</v>
      </c>
      <c r="BF3217" s="34" t="n">
        <f aca="false">BD3217*M3217</f>
        <v>118198.2175</v>
      </c>
      <c r="BG3217" s="35" t="n">
        <f aca="false">BA3217-BF3217</f>
        <v>-0.217499999998836</v>
      </c>
      <c r="BH3217" s="19" t="str">
        <f aca="false">IF(BG3217=0,"",IF(BG3217&lt;&gt;BA3217,"erreur de calcul",IF(BD3217&lt;&gt;0,"pas de prix",IF(M3217&lt;&gt; 0,"pas de quantité","pas de prix, ni de quantité"))))</f>
        <v>erreur de calcul</v>
      </c>
      <c r="BI3217" s="19"/>
    </row>
    <row r="3218" customFormat="false" ht="15" hidden="false" customHeight="false" outlineLevel="0" collapsed="false">
      <c r="A3218" s="0" t="n">
        <v>16</v>
      </c>
      <c r="B3218" s="8" t="s">
        <v>24</v>
      </c>
      <c r="C3218" s="9" t="s">
        <v>25</v>
      </c>
      <c r="D3218" s="9" t="s">
        <v>26</v>
      </c>
      <c r="E3218" s="10" t="n">
        <v>1789</v>
      </c>
      <c r="F3218" s="9" t="s">
        <v>27</v>
      </c>
      <c r="G3218" s="9" t="s">
        <v>27</v>
      </c>
      <c r="H3218" s="11" t="n">
        <v>20</v>
      </c>
      <c r="I3218" s="11" t="s">
        <v>132</v>
      </c>
      <c r="J3218" s="14"/>
      <c r="K3218" s="14" t="n">
        <v>50</v>
      </c>
      <c r="L3218" s="16"/>
      <c r="M3218" s="27" t="n">
        <f aca="false">J3218+(K3218/20)+(L3218/240)</f>
        <v>2.5</v>
      </c>
      <c r="N3218" s="17" t="s">
        <v>64</v>
      </c>
      <c r="O3218" s="11"/>
      <c r="P3218" s="28"/>
      <c r="Q3218" s="28" t="n">
        <f aca="false">P3218*$M3218</f>
        <v>0</v>
      </c>
      <c r="R3218" s="28"/>
      <c r="S3218" s="28" t="n">
        <f aca="false">R3218*$M3218</f>
        <v>0</v>
      </c>
      <c r="T3218" s="28"/>
      <c r="U3218" s="28" t="n">
        <f aca="false">T3218*$M3218</f>
        <v>0</v>
      </c>
      <c r="V3218" s="28" t="n">
        <f aca="false">25000/100</f>
        <v>250</v>
      </c>
      <c r="W3218" s="28" t="n">
        <v>625</v>
      </c>
      <c r="X3218" s="28" t="n">
        <f aca="false">9335/100</f>
        <v>93.35</v>
      </c>
      <c r="Y3218" s="28" t="n">
        <v>233</v>
      </c>
      <c r="Z3218" s="28"/>
      <c r="AA3218" s="28" t="n">
        <f aca="false">Z3218*$M3218</f>
        <v>0</v>
      </c>
      <c r="AB3218" s="28"/>
      <c r="AC3218" s="28" t="n">
        <f aca="false">AB3218*$M3218</f>
        <v>0</v>
      </c>
      <c r="AD3218" s="28"/>
      <c r="AE3218" s="28" t="n">
        <f aca="false">AD3218*$M3218</f>
        <v>0</v>
      </c>
      <c r="AF3218" s="28"/>
      <c r="AG3218" s="28" t="n">
        <f aca="false">AF3218*$M3218</f>
        <v>0</v>
      </c>
      <c r="AH3218" s="28"/>
      <c r="AI3218" s="28" t="n">
        <f aca="false">AH3218*$M3218</f>
        <v>0</v>
      </c>
      <c r="AJ3218" s="28"/>
      <c r="AK3218" s="28" t="n">
        <f aca="false">AJ3218*$M3218</f>
        <v>0</v>
      </c>
      <c r="AL3218" s="28"/>
      <c r="AM3218" s="28" t="n">
        <f aca="false">AL3218*$M3218</f>
        <v>0</v>
      </c>
      <c r="AN3218" s="28"/>
      <c r="AO3218" s="28" t="n">
        <f aca="false">AN3218*$M3218</f>
        <v>0</v>
      </c>
      <c r="AP3218" s="28"/>
      <c r="AQ3218" s="28" t="n">
        <f aca="false">AP3218*$M3218</f>
        <v>0</v>
      </c>
      <c r="AR3218" s="28"/>
      <c r="AS3218" s="28" t="n">
        <f aca="false">AR3218*$M3218</f>
        <v>0</v>
      </c>
      <c r="AT3218" s="28"/>
      <c r="AU3218" s="28" t="n">
        <f aca="false">AT3218*$M3218</f>
        <v>0</v>
      </c>
      <c r="AV3218" s="28"/>
      <c r="AW3218" s="28" t="n">
        <f aca="false">AV3218*$M3218</f>
        <v>0</v>
      </c>
      <c r="AX3218" s="28"/>
      <c r="AY3218" s="28" t="n">
        <f aca="false">AX3218*$M3218</f>
        <v>0</v>
      </c>
      <c r="AZ3218" s="30" t="n">
        <f aca="false">34335/100</f>
        <v>343.35</v>
      </c>
      <c r="BA3218" s="11" t="n">
        <v>858</v>
      </c>
      <c r="BB3218" s="31" t="n">
        <f aca="false">SUM(Q3218,S3218,U3218,W3218,Y3218,AA3218,AC3218,AE3218,AG3218,AI3218,AK3218,AM3218,AO3218,AQ3218,AS3218,AU3218,AW3218,AY3218)</f>
        <v>858</v>
      </c>
      <c r="BC3218" s="28" t="n">
        <f aca="false">BA3218-BB3218</f>
        <v>0</v>
      </c>
      <c r="BD3218" s="32" t="n">
        <f aca="false">SUM(P3218,R3218,T3218,V3218,X3218,Z3218,AB3218,AD3218,AF3218,AH3218,AJ3218,AL3218,AN3218,AP3218,AR3218,AT3218,AV3218,AX3218)</f>
        <v>343.35</v>
      </c>
      <c r="BE3218" s="33" t="n">
        <f aca="false">AZ3218-BD3218</f>
        <v>0</v>
      </c>
      <c r="BF3218" s="34" t="n">
        <f aca="false">BD3218*M3218</f>
        <v>858.375</v>
      </c>
      <c r="BG3218" s="35" t="n">
        <f aca="false">BA3218-BF3218</f>
        <v>-0.375</v>
      </c>
      <c r="BH3218" s="19" t="str">
        <f aca="false">IF(BG3218=0,"",IF(BG3218&lt;&gt;BA3218,"erreur de calcul",IF(BD3218&lt;&gt;0,"pas de prix",IF(M3218&lt;&gt; 0,"pas de quantité","pas de prix, ni de quantité"))))</f>
        <v>erreur de calcul</v>
      </c>
      <c r="BI3218" s="19"/>
    </row>
    <row r="3219" customFormat="false" ht="15" hidden="false" customHeight="false" outlineLevel="0" collapsed="false">
      <c r="A3219" s="0" t="n">
        <v>17</v>
      </c>
      <c r="B3219" s="8" t="s">
        <v>24</v>
      </c>
      <c r="C3219" s="9" t="s">
        <v>25</v>
      </c>
      <c r="D3219" s="9" t="s">
        <v>26</v>
      </c>
      <c r="E3219" s="10" t="n">
        <v>1789</v>
      </c>
      <c r="F3219" s="9" t="s">
        <v>27</v>
      </c>
      <c r="G3219" s="9" t="s">
        <v>27</v>
      </c>
      <c r="H3219" s="11" t="n">
        <v>20</v>
      </c>
      <c r="I3219" s="11" t="s">
        <v>133</v>
      </c>
      <c r="J3219" s="14" t="n">
        <v>175</v>
      </c>
      <c r="K3219" s="14"/>
      <c r="L3219" s="16"/>
      <c r="M3219" s="27" t="n">
        <f aca="false">J3219+(K3219/20)+(L3219/240)</f>
        <v>175</v>
      </c>
      <c r="N3219" s="17" t="s">
        <v>64</v>
      </c>
      <c r="O3219" s="11"/>
      <c r="P3219" s="28" t="n">
        <f aca="false">84/100</f>
        <v>0.84</v>
      </c>
      <c r="Q3219" s="28" t="n">
        <v>147</v>
      </c>
      <c r="R3219" s="28"/>
      <c r="S3219" s="28" t="n">
        <f aca="false">R3219*$M3219</f>
        <v>0</v>
      </c>
      <c r="T3219" s="28"/>
      <c r="U3219" s="28" t="n">
        <f aca="false">T3219*$M3219</f>
        <v>0</v>
      </c>
      <c r="V3219" s="28" t="n">
        <f aca="false">124/100</f>
        <v>1.24</v>
      </c>
      <c r="W3219" s="28" t="n">
        <v>217</v>
      </c>
      <c r="X3219" s="28" t="n">
        <f aca="false">6034/100</f>
        <v>60.34</v>
      </c>
      <c r="Y3219" s="28" t="n">
        <v>10559</v>
      </c>
      <c r="Z3219" s="28" t="n">
        <f aca="false">147/100</f>
        <v>1.47</v>
      </c>
      <c r="AA3219" s="28" t="n">
        <v>257</v>
      </c>
      <c r="AB3219" s="28" t="n">
        <f aca="false">195/100</f>
        <v>1.95</v>
      </c>
      <c r="AC3219" s="28" t="n">
        <v>341</v>
      </c>
      <c r="AD3219" s="28"/>
      <c r="AE3219" s="28" t="n">
        <f aca="false">AD3219*$M3219</f>
        <v>0</v>
      </c>
      <c r="AF3219" s="28"/>
      <c r="AG3219" s="28" t="n">
        <f aca="false">AF3219*$M3219</f>
        <v>0</v>
      </c>
      <c r="AH3219" s="28"/>
      <c r="AI3219" s="28" t="n">
        <f aca="false">AH3219*$M3219</f>
        <v>0</v>
      </c>
      <c r="AJ3219" s="28"/>
      <c r="AK3219" s="28" t="n">
        <f aca="false">AJ3219*$M3219</f>
        <v>0</v>
      </c>
      <c r="AL3219" s="28"/>
      <c r="AM3219" s="28" t="n">
        <f aca="false">AL3219*$M3219</f>
        <v>0</v>
      </c>
      <c r="AN3219" s="28"/>
      <c r="AO3219" s="28" t="n">
        <f aca="false">AN3219*$M3219</f>
        <v>0</v>
      </c>
      <c r="AP3219" s="28"/>
      <c r="AQ3219" s="28" t="n">
        <f aca="false">AP3219*$M3219</f>
        <v>0</v>
      </c>
      <c r="AR3219" s="28"/>
      <c r="AS3219" s="28" t="n">
        <f aca="false">AR3219*$M3219</f>
        <v>0</v>
      </c>
      <c r="AT3219" s="28"/>
      <c r="AU3219" s="28" t="n">
        <f aca="false">AT3219*$M3219</f>
        <v>0</v>
      </c>
      <c r="AV3219" s="28"/>
      <c r="AW3219" s="28" t="n">
        <f aca="false">AV3219*$M3219</f>
        <v>0</v>
      </c>
      <c r="AX3219" s="28"/>
      <c r="AY3219" s="28" t="n">
        <f aca="false">AX3219*$M3219</f>
        <v>0</v>
      </c>
      <c r="AZ3219" s="30" t="n">
        <f aca="false">6584/100</f>
        <v>65.84</v>
      </c>
      <c r="BA3219" s="11" t="n">
        <v>11521</v>
      </c>
      <c r="BB3219" s="31" t="n">
        <f aca="false">SUM(Q3219,S3219,U3219,W3219,Y3219,AA3219,AC3219,AE3219,AG3219,AI3219,AK3219,AM3219,AO3219,AQ3219,AS3219,AU3219,AW3219,AY3219)</f>
        <v>11521</v>
      </c>
      <c r="BC3219" s="28" t="n">
        <f aca="false">BA3219-BB3219</f>
        <v>0</v>
      </c>
      <c r="BD3219" s="32" t="n">
        <f aca="false">SUM(P3219,R3219,T3219,V3219,X3219,Z3219,AB3219,AD3219,AF3219,AH3219,AJ3219,AL3219,AN3219,AP3219,AR3219,AT3219,AV3219,AX3219)</f>
        <v>65.84</v>
      </c>
      <c r="BE3219" s="33" t="n">
        <f aca="false">AZ3219-BD3219</f>
        <v>0</v>
      </c>
      <c r="BF3219" s="34" t="n">
        <f aca="false">BD3219*M3219</f>
        <v>11522</v>
      </c>
      <c r="BG3219" s="35" t="n">
        <f aca="false">BA3219-BF3219</f>
        <v>-1</v>
      </c>
      <c r="BH3219" s="19" t="str">
        <f aca="false">IF(BG3219=0,"",IF(BG3219&lt;&gt;BA3219,"erreur de calcul",IF(BD3219&lt;&gt;0,"pas de prix",IF(M3219&lt;&gt; 0,"pas de quantité","pas de prix, ni de quantité"))))</f>
        <v>erreur de calcul</v>
      </c>
      <c r="BI3219" s="19"/>
    </row>
    <row r="3220" customFormat="false" ht="15" hidden="false" customHeight="false" outlineLevel="0" collapsed="false">
      <c r="A3220" s="0" t="n">
        <v>18</v>
      </c>
      <c r="B3220" s="8" t="s">
        <v>24</v>
      </c>
      <c r="C3220" s="9" t="s">
        <v>25</v>
      </c>
      <c r="D3220" s="9" t="s">
        <v>26</v>
      </c>
      <c r="E3220" s="10" t="n">
        <v>1789</v>
      </c>
      <c r="F3220" s="9" t="s">
        <v>27</v>
      </c>
      <c r="G3220" s="9" t="s">
        <v>27</v>
      </c>
      <c r="H3220" s="11" t="n">
        <v>20</v>
      </c>
      <c r="I3220" s="11" t="s">
        <v>134</v>
      </c>
      <c r="J3220" s="14" t="n">
        <v>210</v>
      </c>
      <c r="K3220" s="14"/>
      <c r="L3220" s="16"/>
      <c r="M3220" s="27" t="n">
        <f aca="false">J3220+(K3220/20)+(L3220/240)</f>
        <v>210</v>
      </c>
      <c r="N3220" s="17" t="s">
        <v>64</v>
      </c>
      <c r="O3220" s="11"/>
      <c r="P3220" s="28"/>
      <c r="Q3220" s="28" t="n">
        <f aca="false">P3220*$M3220</f>
        <v>0</v>
      </c>
      <c r="R3220" s="28"/>
      <c r="S3220" s="28" t="n">
        <f aca="false">R3220*$M3220</f>
        <v>0</v>
      </c>
      <c r="T3220" s="28"/>
      <c r="U3220" s="28" t="n">
        <f aca="false">T3220*$M3220</f>
        <v>0</v>
      </c>
      <c r="V3220" s="28" t="n">
        <f aca="false">869/100</f>
        <v>8.69</v>
      </c>
      <c r="W3220" s="28" t="n">
        <v>1825</v>
      </c>
      <c r="X3220" s="28"/>
      <c r="Y3220" s="28" t="n">
        <f aca="false">X3220*$M3220</f>
        <v>0</v>
      </c>
      <c r="Z3220" s="28"/>
      <c r="AA3220" s="28" t="n">
        <f aca="false">Z3220*$M3220</f>
        <v>0</v>
      </c>
      <c r="AB3220" s="28"/>
      <c r="AC3220" s="28" t="n">
        <f aca="false">AB3220*$M3220</f>
        <v>0</v>
      </c>
      <c r="AD3220" s="28"/>
      <c r="AE3220" s="28" t="n">
        <f aca="false">AD3220*$M3220</f>
        <v>0</v>
      </c>
      <c r="AF3220" s="28"/>
      <c r="AG3220" s="28" t="n">
        <f aca="false">AF3220*$M3220</f>
        <v>0</v>
      </c>
      <c r="AH3220" s="28"/>
      <c r="AI3220" s="28" t="n">
        <f aca="false">AH3220*$M3220</f>
        <v>0</v>
      </c>
      <c r="AJ3220" s="28"/>
      <c r="AK3220" s="28" t="n">
        <f aca="false">AJ3220*$M3220</f>
        <v>0</v>
      </c>
      <c r="AL3220" s="28"/>
      <c r="AM3220" s="28" t="n">
        <f aca="false">AL3220*$M3220</f>
        <v>0</v>
      </c>
      <c r="AN3220" s="28"/>
      <c r="AO3220" s="28" t="n">
        <f aca="false">AN3220*$M3220</f>
        <v>0</v>
      </c>
      <c r="AP3220" s="28"/>
      <c r="AQ3220" s="28" t="n">
        <f aca="false">AP3220*$M3220</f>
        <v>0</v>
      </c>
      <c r="AR3220" s="28"/>
      <c r="AS3220" s="28" t="n">
        <f aca="false">AR3220*$M3220</f>
        <v>0</v>
      </c>
      <c r="AT3220" s="28"/>
      <c r="AU3220" s="28" t="n">
        <f aca="false">AT3220*$M3220</f>
        <v>0</v>
      </c>
      <c r="AV3220" s="28"/>
      <c r="AW3220" s="28" t="n">
        <f aca="false">AV3220*$M3220</f>
        <v>0</v>
      </c>
      <c r="AX3220" s="28"/>
      <c r="AY3220" s="28" t="n">
        <f aca="false">AX3220*$M3220</f>
        <v>0</v>
      </c>
      <c r="AZ3220" s="30" t="n">
        <f aca="false">869/100</f>
        <v>8.69</v>
      </c>
      <c r="BA3220" s="11" t="n">
        <v>1825</v>
      </c>
      <c r="BB3220" s="31" t="n">
        <f aca="false">SUM(Q3220,S3220,U3220,W3220,Y3220,AA3220,AC3220,AE3220,AG3220,AI3220,AK3220,AM3220,AO3220,AQ3220,AS3220,AU3220,AW3220,AY3220)</f>
        <v>1825</v>
      </c>
      <c r="BC3220" s="28" t="n">
        <f aca="false">BA3220-BB3220</f>
        <v>0</v>
      </c>
      <c r="BD3220" s="32" t="n">
        <f aca="false">SUM(P3220,R3220,T3220,V3220,X3220,Z3220,AB3220,AD3220,AF3220,AH3220,AJ3220,AL3220,AN3220,AP3220,AR3220,AT3220,AV3220,AX3220)</f>
        <v>8.69</v>
      </c>
      <c r="BE3220" s="33" t="n">
        <f aca="false">AZ3220-BD3220</f>
        <v>0</v>
      </c>
      <c r="BF3220" s="34" t="n">
        <f aca="false">BD3220*M3220</f>
        <v>1824.9</v>
      </c>
      <c r="BG3220" s="35" t="n">
        <f aca="false">BA3220-BF3220</f>
        <v>0.100000000000136</v>
      </c>
      <c r="BH3220" s="19" t="str">
        <f aca="false">IF(BG3220=0,"",IF(BG3220&lt;&gt;BA3220,"erreur de calcul",IF(BD3220&lt;&gt;0,"pas de prix",IF(M3220&lt;&gt; 0,"pas de quantité","pas de prix, ni de quantité"))))</f>
        <v>erreur de calcul</v>
      </c>
      <c r="BI3220" s="19"/>
    </row>
    <row r="3221" customFormat="false" ht="15" hidden="false" customHeight="false" outlineLevel="0" collapsed="false">
      <c r="A3221" s="0" t="n">
        <v>19</v>
      </c>
      <c r="B3221" s="8" t="s">
        <v>24</v>
      </c>
      <c r="C3221" s="9" t="s">
        <v>25</v>
      </c>
      <c r="D3221" s="9" t="s">
        <v>26</v>
      </c>
      <c r="E3221" s="10" t="n">
        <v>1789</v>
      </c>
      <c r="F3221" s="9" t="s">
        <v>27</v>
      </c>
      <c r="G3221" s="9" t="s">
        <v>27</v>
      </c>
      <c r="H3221" s="11" t="n">
        <v>20</v>
      </c>
      <c r="I3221" s="11" t="s">
        <v>135</v>
      </c>
      <c r="J3221" s="14" t="n">
        <v>170</v>
      </c>
      <c r="K3221" s="14"/>
      <c r="L3221" s="16"/>
      <c r="M3221" s="27" t="n">
        <f aca="false">J3221+(K3221/20)+(L3221/240)</f>
        <v>170</v>
      </c>
      <c r="N3221" s="17" t="s">
        <v>64</v>
      </c>
      <c r="O3221" s="11" t="s">
        <v>77</v>
      </c>
      <c r="P3221" s="28"/>
      <c r="Q3221" s="28" t="n">
        <f aca="false">P3221*$M3221</f>
        <v>0</v>
      </c>
      <c r="R3221" s="28"/>
      <c r="S3221" s="28" t="n">
        <f aca="false">R3221*$M3221</f>
        <v>0</v>
      </c>
      <c r="T3221" s="28"/>
      <c r="U3221" s="28" t="n">
        <f aca="false">T3221*$M3221</f>
        <v>0</v>
      </c>
      <c r="V3221" s="28"/>
      <c r="W3221" s="28" t="n">
        <f aca="false">V3221*$M3221</f>
        <v>0</v>
      </c>
      <c r="X3221" s="28"/>
      <c r="Y3221" s="28" t="n">
        <f aca="false">X3221*$M3221</f>
        <v>0</v>
      </c>
      <c r="Z3221" s="28"/>
      <c r="AA3221" s="28" t="n">
        <f aca="false">Z3221*$M3221</f>
        <v>0</v>
      </c>
      <c r="AB3221" s="28"/>
      <c r="AC3221" s="28" t="n">
        <f aca="false">AB3221*$M3221</f>
        <v>0</v>
      </c>
      <c r="AD3221" s="28"/>
      <c r="AE3221" s="28" t="n">
        <f aca="false">AD3221*$M3221</f>
        <v>0</v>
      </c>
      <c r="AF3221" s="28" t="n">
        <f aca="false">229459/100</f>
        <v>2294.59</v>
      </c>
      <c r="AG3221" s="28" t="n">
        <v>390080</v>
      </c>
      <c r="AH3221" s="28" t="n">
        <f aca="false">202301/100</f>
        <v>2023.01</v>
      </c>
      <c r="AI3221" s="28" t="n">
        <v>343912</v>
      </c>
      <c r="AJ3221" s="28"/>
      <c r="AK3221" s="28" t="n">
        <f aca="false">AJ3221*$M3221</f>
        <v>0</v>
      </c>
      <c r="AL3221" s="28"/>
      <c r="AM3221" s="28" t="n">
        <f aca="false">AL3221*$M3221</f>
        <v>0</v>
      </c>
      <c r="AN3221" s="28"/>
      <c r="AO3221" s="28" t="n">
        <f aca="false">AN3221*$M3221</f>
        <v>0</v>
      </c>
      <c r="AP3221" s="28"/>
      <c r="AQ3221" s="28" t="n">
        <f aca="false">AP3221*$M3221</f>
        <v>0</v>
      </c>
      <c r="AR3221" s="28"/>
      <c r="AS3221" s="28" t="n">
        <f aca="false">AR3221*$M3221</f>
        <v>0</v>
      </c>
      <c r="AT3221" s="28"/>
      <c r="AU3221" s="28" t="n">
        <f aca="false">AT3221*$M3221</f>
        <v>0</v>
      </c>
      <c r="AV3221" s="28"/>
      <c r="AW3221" s="28" t="n">
        <f aca="false">AV3221*$M3221</f>
        <v>0</v>
      </c>
      <c r="AX3221" s="28" t="n">
        <f aca="false">2736/100</f>
        <v>27.36</v>
      </c>
      <c r="AY3221" s="28" t="n">
        <v>4651</v>
      </c>
      <c r="AZ3221" s="30" t="n">
        <f aca="false">434496/100</f>
        <v>4344.96</v>
      </c>
      <c r="BA3221" s="11" t="n">
        <v>738643</v>
      </c>
      <c r="BB3221" s="31" t="n">
        <f aca="false">SUM(Q3221,S3221,U3221,W3221,Y3221,AA3221,AC3221,AE3221,AG3221,AI3221,AK3221,AM3221,AO3221,AQ3221,AS3221,AU3221,AW3221,AY3221)</f>
        <v>738643</v>
      </c>
      <c r="BC3221" s="28" t="n">
        <f aca="false">BA3221-BB3221</f>
        <v>0</v>
      </c>
      <c r="BD3221" s="32" t="n">
        <f aca="false">SUM(P3221,R3221,T3221,V3221,X3221,Z3221,AB3221,AD3221,AF3221,AH3221,AJ3221,AL3221,AN3221,AP3221,AR3221,AT3221,AV3221,AX3221)</f>
        <v>4344.96</v>
      </c>
      <c r="BE3221" s="33" t="n">
        <f aca="false">AZ3221-BD3221</f>
        <v>0</v>
      </c>
      <c r="BF3221" s="34" t="n">
        <f aca="false">BD3221*M3221</f>
        <v>738643.2</v>
      </c>
      <c r="BG3221" s="35" t="n">
        <f aca="false">BA3221-BF3221</f>
        <v>-0.199999999953434</v>
      </c>
      <c r="BH3221" s="19" t="str">
        <f aca="false">IF(BG3221=0,"",IF(BG3221&lt;&gt;BA3221,"erreur de calcul",IF(BD3221&lt;&gt;0,"pas de prix",IF(M3221&lt;&gt; 0,"pas de quantité","pas de prix, ni de quantité"))))</f>
        <v>erreur de calcul</v>
      </c>
      <c r="BI3221" s="19"/>
    </row>
    <row r="3222" customFormat="false" ht="15" hidden="false" customHeight="false" outlineLevel="0" collapsed="false">
      <c r="A3222" s="0" t="n">
        <v>20</v>
      </c>
      <c r="B3222" s="8" t="s">
        <v>24</v>
      </c>
      <c r="C3222" s="9" t="s">
        <v>25</v>
      </c>
      <c r="D3222" s="9" t="s">
        <v>26</v>
      </c>
      <c r="E3222" s="10" t="n">
        <v>1789</v>
      </c>
      <c r="F3222" s="9" t="s">
        <v>27</v>
      </c>
      <c r="G3222" s="9" t="s">
        <v>27</v>
      </c>
      <c r="H3222" s="11" t="n">
        <v>20</v>
      </c>
      <c r="I3222" s="11" t="s">
        <v>136</v>
      </c>
      <c r="J3222" s="14" t="n">
        <v>41</v>
      </c>
      <c r="K3222" s="14"/>
      <c r="L3222" s="16"/>
      <c r="M3222" s="27" t="n">
        <f aca="false">J3222+(K3222/20)+(L3222/240)</f>
        <v>41</v>
      </c>
      <c r="N3222" s="17" t="s">
        <v>64</v>
      </c>
      <c r="O3222" s="11"/>
      <c r="P3222" s="28" t="n">
        <f aca="false">1210/100</f>
        <v>12.1</v>
      </c>
      <c r="Q3222" s="28" t="n">
        <v>496</v>
      </c>
      <c r="R3222" s="28"/>
      <c r="S3222" s="28" t="n">
        <f aca="false">R3222*$M3222</f>
        <v>0</v>
      </c>
      <c r="T3222" s="28"/>
      <c r="U3222" s="28" t="n">
        <f aca="false">T3222*$M3222</f>
        <v>0</v>
      </c>
      <c r="V3222" s="28"/>
      <c r="W3222" s="28" t="n">
        <f aca="false">V3222*$M3222</f>
        <v>0</v>
      </c>
      <c r="X3222" s="28"/>
      <c r="Y3222" s="28" t="n">
        <f aca="false">X3222*$M3222</f>
        <v>0</v>
      </c>
      <c r="Z3222" s="28"/>
      <c r="AA3222" s="28" t="n">
        <f aca="false">Z3222*$M3222</f>
        <v>0</v>
      </c>
      <c r="AB3222" s="28"/>
      <c r="AC3222" s="28" t="n">
        <f aca="false">AB3222*$M3222</f>
        <v>0</v>
      </c>
      <c r="AD3222" s="28"/>
      <c r="AE3222" s="28" t="n">
        <f aca="false">AD3222*$M3222</f>
        <v>0</v>
      </c>
      <c r="AF3222" s="28"/>
      <c r="AG3222" s="28" t="n">
        <f aca="false">AF3222*$M3222</f>
        <v>0</v>
      </c>
      <c r="AH3222" s="28"/>
      <c r="AI3222" s="28" t="n">
        <f aca="false">AH3222*$M3222</f>
        <v>0</v>
      </c>
      <c r="AJ3222" s="28" t="n">
        <f aca="false">85034/100</f>
        <v>850.34</v>
      </c>
      <c r="AK3222" s="28" t="n">
        <v>34864</v>
      </c>
      <c r="AL3222" s="28" t="n">
        <f aca="false">1024/100</f>
        <v>10.24</v>
      </c>
      <c r="AM3222" s="28" t="n">
        <v>420</v>
      </c>
      <c r="AN3222" s="28"/>
      <c r="AO3222" s="28" t="n">
        <f aca="false">AN3222*$M3222</f>
        <v>0</v>
      </c>
      <c r="AP3222" s="28"/>
      <c r="AQ3222" s="28" t="n">
        <f aca="false">AP3222*$M3222</f>
        <v>0</v>
      </c>
      <c r="AR3222" s="28"/>
      <c r="AS3222" s="28" t="n">
        <f aca="false">AR3222*$M3222</f>
        <v>0</v>
      </c>
      <c r="AT3222" s="28"/>
      <c r="AU3222" s="28" t="n">
        <f aca="false">AT3222*$M3222</f>
        <v>0</v>
      </c>
      <c r="AV3222" s="28"/>
      <c r="AW3222" s="28" t="n">
        <f aca="false">AV3222*$M3222</f>
        <v>0</v>
      </c>
      <c r="AX3222" s="28"/>
      <c r="AY3222" s="28" t="n">
        <f aca="false">AX3222*$M3222</f>
        <v>0</v>
      </c>
      <c r="AZ3222" s="30" t="n">
        <f aca="false">87268/100</f>
        <v>872.68</v>
      </c>
      <c r="BA3222" s="11" t="n">
        <v>35780</v>
      </c>
      <c r="BB3222" s="31" t="n">
        <f aca="false">SUM(Q3222,S3222,U3222,W3222,Y3222,AA3222,AC3222,AE3222,AG3222,AI3222,AK3222,AM3222,AO3222,AQ3222,AS3222,AU3222,AW3222,AY3222)</f>
        <v>35780</v>
      </c>
      <c r="BC3222" s="28" t="n">
        <f aca="false">BA3222-BB3222</f>
        <v>0</v>
      </c>
      <c r="BD3222" s="32" t="n">
        <f aca="false">SUM(P3222,R3222,T3222,V3222,X3222,Z3222,AB3222,AD3222,AF3222,AH3222,AJ3222,AL3222,AN3222,AP3222,AR3222,AT3222,AV3222,AX3222)</f>
        <v>872.68</v>
      </c>
      <c r="BE3222" s="33" t="n">
        <f aca="false">AZ3222-BD3222</f>
        <v>0</v>
      </c>
      <c r="BF3222" s="34" t="n">
        <f aca="false">BD3222*M3222</f>
        <v>35779.88</v>
      </c>
      <c r="BG3222" s="35" t="n">
        <f aca="false">BA3222-BF3222</f>
        <v>0.119999999995343</v>
      </c>
      <c r="BH3222" s="19" t="str">
        <f aca="false">IF(BG3222=0,"",IF(BG3222&lt;&gt;BA3222,"erreur de calcul",IF(BD3222&lt;&gt;0,"pas de prix",IF(M3222&lt;&gt; 0,"pas de quantité","pas de prix, ni de quantité"))))</f>
        <v>erreur de calcul</v>
      </c>
      <c r="BI3222" s="19"/>
    </row>
    <row r="3223" customFormat="false" ht="15" hidden="false" customHeight="false" outlineLevel="0" collapsed="false">
      <c r="A3223" s="0" t="n">
        <v>21</v>
      </c>
      <c r="B3223" s="8" t="s">
        <v>24</v>
      </c>
      <c r="C3223" s="9" t="s">
        <v>25</v>
      </c>
      <c r="D3223" s="9" t="s">
        <v>26</v>
      </c>
      <c r="E3223" s="10" t="n">
        <v>1789</v>
      </c>
      <c r="F3223" s="9" t="s">
        <v>27</v>
      </c>
      <c r="G3223" s="9" t="s">
        <v>27</v>
      </c>
      <c r="H3223" s="11" t="n">
        <v>20</v>
      </c>
      <c r="I3223" s="11" t="s">
        <v>137</v>
      </c>
      <c r="J3223" s="14"/>
      <c r="K3223" s="14"/>
      <c r="L3223" s="16"/>
      <c r="M3223" s="27" t="n">
        <f aca="false">J3223+(K3223/20)+(L3223/240)</f>
        <v>0</v>
      </c>
      <c r="N3223" s="39" t="s">
        <v>138</v>
      </c>
      <c r="O3223" s="11"/>
      <c r="P3223" s="28" t="n">
        <v>337</v>
      </c>
      <c r="Q3223" s="28" t="n">
        <v>6250</v>
      </c>
      <c r="R3223" s="28"/>
      <c r="S3223" s="28" t="n">
        <f aca="false">R3223*$M3223</f>
        <v>0</v>
      </c>
      <c r="T3223" s="28"/>
      <c r="U3223" s="28" t="n">
        <f aca="false">T3223*$M3223</f>
        <v>0</v>
      </c>
      <c r="V3223" s="28" t="n">
        <v>760</v>
      </c>
      <c r="W3223" s="28" t="n">
        <v>18259</v>
      </c>
      <c r="X3223" s="28"/>
      <c r="Y3223" s="28" t="n">
        <f aca="false">X3223*$M3223</f>
        <v>0</v>
      </c>
      <c r="Z3223" s="28"/>
      <c r="AA3223" s="28" t="n">
        <f aca="false">Z3223*$M3223</f>
        <v>0</v>
      </c>
      <c r="AB3223" s="28"/>
      <c r="AC3223" s="28" t="n">
        <f aca="false">AB3223*$M3223</f>
        <v>0</v>
      </c>
      <c r="AD3223" s="28"/>
      <c r="AE3223" s="28" t="n">
        <f aca="false">AD3223*$M3223</f>
        <v>0</v>
      </c>
      <c r="AF3223" s="28"/>
      <c r="AG3223" s="28" t="n">
        <f aca="false">AF3223*$M3223</f>
        <v>0</v>
      </c>
      <c r="AH3223" s="28"/>
      <c r="AI3223" s="28" t="n">
        <f aca="false">AH3223*$M3223</f>
        <v>0</v>
      </c>
      <c r="AJ3223" s="28"/>
      <c r="AK3223" s="28" t="n">
        <f aca="false">AJ3223*$M3223</f>
        <v>0</v>
      </c>
      <c r="AL3223" s="28"/>
      <c r="AM3223" s="28" t="n">
        <f aca="false">AL3223*$M3223</f>
        <v>0</v>
      </c>
      <c r="AN3223" s="28"/>
      <c r="AO3223" s="28" t="n">
        <f aca="false">AN3223*$M3223</f>
        <v>0</v>
      </c>
      <c r="AP3223" s="28"/>
      <c r="AQ3223" s="28" t="n">
        <f aca="false">AP3223*$M3223</f>
        <v>0</v>
      </c>
      <c r="AR3223" s="28"/>
      <c r="AS3223" s="28" t="n">
        <f aca="false">AR3223*$M3223</f>
        <v>0</v>
      </c>
      <c r="AT3223" s="28"/>
      <c r="AU3223" s="28" t="n">
        <f aca="false">AT3223*$M3223</f>
        <v>0</v>
      </c>
      <c r="AV3223" s="28"/>
      <c r="AW3223" s="28" t="n">
        <f aca="false">AV3223*$M3223</f>
        <v>0</v>
      </c>
      <c r="AX3223" s="28"/>
      <c r="AY3223" s="28" t="n">
        <f aca="false">AX3223*$M3223</f>
        <v>0</v>
      </c>
      <c r="AZ3223" s="30" t="n">
        <f aca="false">1097</f>
        <v>1097</v>
      </c>
      <c r="BA3223" s="11" t="n">
        <v>24509</v>
      </c>
      <c r="BB3223" s="31" t="n">
        <f aca="false">SUM(Q3223,S3223,U3223,W3223,Y3223,AA3223,AC3223,AE3223,AG3223,AI3223,AK3223,AM3223,AO3223,AQ3223,AS3223,AU3223,AW3223,AY3223)</f>
        <v>24509</v>
      </c>
      <c r="BC3223" s="28" t="n">
        <f aca="false">BA3223-BB3223</f>
        <v>0</v>
      </c>
      <c r="BD3223" s="32" t="n">
        <f aca="false">SUM(P3223,R3223,T3223,V3223,X3223,Z3223,AB3223,AD3223,AF3223,AH3223,AJ3223,AL3223,AN3223,AP3223,AR3223,AT3223,AV3223,AX3223)</f>
        <v>1097</v>
      </c>
      <c r="BE3223" s="33" t="n">
        <f aca="false">AZ3223-BD3223</f>
        <v>0</v>
      </c>
      <c r="BF3223" s="34" t="n">
        <f aca="false">BD3223*M3223</f>
        <v>0</v>
      </c>
      <c r="BG3223" s="35" t="n">
        <f aca="false">BA3223-BF3223</f>
        <v>24509</v>
      </c>
      <c r="BH3223" s="19" t="str">
        <f aca="false">IF(BG3223=0,"",IF(BG3223&lt;&gt;BA3223,"erreur de calcul",IF(BD3223&lt;&gt;0,"pas de prix",IF(M3223&lt;&gt; 0,"pas de quantité","pas de prix, ni de quantité"))))</f>
        <v>pas de prix</v>
      </c>
      <c r="BI3223" s="19" t="s">
        <v>139</v>
      </c>
    </row>
    <row r="3224" customFormat="false" ht="15" hidden="false" customHeight="false" outlineLevel="0" collapsed="false">
      <c r="A3224" s="0" t="n">
        <v>22</v>
      </c>
      <c r="B3224" s="8" t="s">
        <v>24</v>
      </c>
      <c r="C3224" s="9" t="s">
        <v>25</v>
      </c>
      <c r="D3224" s="9" t="s">
        <v>26</v>
      </c>
      <c r="E3224" s="10" t="n">
        <v>1789</v>
      </c>
      <c r="F3224" s="9" t="s">
        <v>27</v>
      </c>
      <c r="G3224" s="9" t="s">
        <v>27</v>
      </c>
      <c r="H3224" s="11" t="n">
        <v>20</v>
      </c>
      <c r="I3224" s="11" t="s">
        <v>140</v>
      </c>
      <c r="J3224" s="14" t="n">
        <v>28</v>
      </c>
      <c r="K3224" s="14"/>
      <c r="L3224" s="16"/>
      <c r="M3224" s="27" t="n">
        <f aca="false">J3224+(K3224/20)+(L3224/240)</f>
        <v>28</v>
      </c>
      <c r="N3224" s="17" t="s">
        <v>64</v>
      </c>
      <c r="O3224" s="11"/>
      <c r="P3224" s="28"/>
      <c r="Q3224" s="28" t="n">
        <f aca="false">P3224*$M3224</f>
        <v>0</v>
      </c>
      <c r="R3224" s="28"/>
      <c r="S3224" s="28" t="n">
        <f aca="false">R3224*$M3224</f>
        <v>0</v>
      </c>
      <c r="T3224" s="28"/>
      <c r="U3224" s="28" t="n">
        <f aca="false">T3224*$M3224</f>
        <v>0</v>
      </c>
      <c r="V3224" s="28"/>
      <c r="W3224" s="28" t="n">
        <f aca="false">V3224*$M3224</f>
        <v>0</v>
      </c>
      <c r="X3224" s="28" t="n">
        <f aca="false">2572/100</f>
        <v>25.72</v>
      </c>
      <c r="Y3224" s="28" t="n">
        <v>720</v>
      </c>
      <c r="Z3224" s="28"/>
      <c r="AA3224" s="28" t="n">
        <f aca="false">Z3224*$M3224</f>
        <v>0</v>
      </c>
      <c r="AB3224" s="28"/>
      <c r="AC3224" s="28" t="n">
        <f aca="false">AB3224*$M3224</f>
        <v>0</v>
      </c>
      <c r="AD3224" s="28"/>
      <c r="AE3224" s="28" t="n">
        <f aca="false">AD3224*$M3224</f>
        <v>0</v>
      </c>
      <c r="AF3224" s="28" t="n">
        <f aca="false">3367/100</f>
        <v>33.67</v>
      </c>
      <c r="AG3224" s="36" t="n">
        <v>915</v>
      </c>
      <c r="AH3224" s="28"/>
      <c r="AI3224" s="28" t="n">
        <f aca="false">AH3224*$M3224</f>
        <v>0</v>
      </c>
      <c r="AJ3224" s="28"/>
      <c r="AK3224" s="28" t="n">
        <f aca="false">AJ3224*$M3224</f>
        <v>0</v>
      </c>
      <c r="AL3224" s="28"/>
      <c r="AM3224" s="28" t="n">
        <f aca="false">AL3224*$M3224</f>
        <v>0</v>
      </c>
      <c r="AN3224" s="28"/>
      <c r="AO3224" s="28" t="n">
        <f aca="false">AN3224*$M3224</f>
        <v>0</v>
      </c>
      <c r="AP3224" s="28"/>
      <c r="AQ3224" s="28" t="n">
        <f aca="false">AP3224*$M3224</f>
        <v>0</v>
      </c>
      <c r="AR3224" s="28"/>
      <c r="AS3224" s="28" t="n">
        <f aca="false">AR3224*$M3224</f>
        <v>0</v>
      </c>
      <c r="AT3224" s="28"/>
      <c r="AU3224" s="28" t="n">
        <f aca="false">AT3224*$M3224</f>
        <v>0</v>
      </c>
      <c r="AV3224" s="28"/>
      <c r="AW3224" s="28" t="n">
        <f aca="false">AV3224*$M3224</f>
        <v>0</v>
      </c>
      <c r="AX3224" s="28"/>
      <c r="AY3224" s="28" t="n">
        <f aca="false">AX3224*$M3224</f>
        <v>0</v>
      </c>
      <c r="AZ3224" s="30" t="n">
        <f aca="false">5939/100</f>
        <v>59.39</v>
      </c>
      <c r="BA3224" s="11" t="n">
        <v>1635</v>
      </c>
      <c r="BB3224" s="31" t="n">
        <f aca="false">SUM(Q3224,S3224,U3224,W3224,Y3224,AA3224,AC3224,AE3224,AG3224,AI3224,AK3224,AM3224,AO3224,AQ3224,AS3224,AU3224,AW3224,AY3224)</f>
        <v>1635</v>
      </c>
      <c r="BC3224" s="28" t="n">
        <f aca="false">BA3224-BB3224</f>
        <v>0</v>
      </c>
      <c r="BD3224" s="32" t="n">
        <f aca="false">SUM(P3224,R3224,T3224,V3224,X3224,Z3224,AB3224,AD3224,AF3224,AH3224,AJ3224,AL3224,AN3224,AP3224,AR3224,AT3224,AV3224,AX3224)</f>
        <v>59.39</v>
      </c>
      <c r="BE3224" s="33" t="n">
        <f aca="false">AZ3224-BD3224</f>
        <v>0</v>
      </c>
      <c r="BF3224" s="34" t="n">
        <f aca="false">BD3224*M3224</f>
        <v>1662.92</v>
      </c>
      <c r="BG3224" s="35" t="n">
        <f aca="false">BA3224-BF3224</f>
        <v>-27.9200000000001</v>
      </c>
      <c r="BH3224" s="19" t="str">
        <f aca="false">IF(BG3224=0,"",IF(BG3224&lt;&gt;BA3224,"erreur de calcul",IF(BD3224&lt;&gt;0,"pas de prix",IF(M3224&lt;&gt; 0,"pas de quantité","pas de prix, ni de quantité"))))</f>
        <v>erreur de calcul</v>
      </c>
      <c r="BI3224" s="19"/>
    </row>
    <row r="3225" customFormat="false" ht="15" hidden="false" customHeight="false" outlineLevel="0" collapsed="false">
      <c r="A3225" s="0" t="n">
        <v>23</v>
      </c>
      <c r="B3225" s="8" t="s">
        <v>24</v>
      </c>
      <c r="C3225" s="9" t="s">
        <v>25</v>
      </c>
      <c r="D3225" s="9" t="s">
        <v>26</v>
      </c>
      <c r="E3225" s="10" t="n">
        <v>1789</v>
      </c>
      <c r="F3225" s="9" t="s">
        <v>27</v>
      </c>
      <c r="G3225" s="9" t="s">
        <v>27</v>
      </c>
      <c r="H3225" s="11" t="n">
        <v>20</v>
      </c>
      <c r="I3225" s="11" t="s">
        <v>141</v>
      </c>
      <c r="J3225" s="14" t="n">
        <v>50</v>
      </c>
      <c r="K3225" s="14"/>
      <c r="L3225" s="16"/>
      <c r="M3225" s="27" t="n">
        <f aca="false">J3225+(K3225/20)+(L3225/240)</f>
        <v>50</v>
      </c>
      <c r="N3225" s="17" t="s">
        <v>64</v>
      </c>
      <c r="O3225" s="11"/>
      <c r="P3225" s="28" t="n">
        <f aca="false">79168/100</f>
        <v>791.68</v>
      </c>
      <c r="Q3225" s="28" t="n">
        <v>39584</v>
      </c>
      <c r="R3225" s="28"/>
      <c r="S3225" s="28" t="n">
        <f aca="false">R3225*$M3225</f>
        <v>0</v>
      </c>
      <c r="T3225" s="28" t="n">
        <f aca="false">18545/100</f>
        <v>185.45</v>
      </c>
      <c r="U3225" s="28" t="n">
        <v>9272</v>
      </c>
      <c r="V3225" s="28" t="n">
        <f aca="false">10784/100</f>
        <v>107.84</v>
      </c>
      <c r="W3225" s="28" t="n">
        <v>5392</v>
      </c>
      <c r="X3225" s="28" t="n">
        <f aca="false">22033/100</f>
        <v>220.33</v>
      </c>
      <c r="Y3225" s="28" t="n">
        <v>11016</v>
      </c>
      <c r="Z3225" s="28" t="n">
        <f aca="false">4478/100</f>
        <v>44.78</v>
      </c>
      <c r="AA3225" s="28" t="n">
        <v>2239</v>
      </c>
      <c r="AB3225" s="28" t="n">
        <f aca="false">8901/100</f>
        <v>89.01</v>
      </c>
      <c r="AC3225" s="28" t="n">
        <v>4450</v>
      </c>
      <c r="AD3225" s="28"/>
      <c r="AE3225" s="28" t="n">
        <f aca="false">AD3225*$M3225</f>
        <v>0</v>
      </c>
      <c r="AF3225" s="28"/>
      <c r="AG3225" s="28" t="n">
        <f aca="false">AF3225*$M3225</f>
        <v>0</v>
      </c>
      <c r="AH3225" s="28"/>
      <c r="AI3225" s="28" t="n">
        <f aca="false">AH3225*$M3225</f>
        <v>0</v>
      </c>
      <c r="AJ3225" s="28" t="n">
        <f aca="false">2917/100</f>
        <v>29.17</v>
      </c>
      <c r="AK3225" s="28" t="n">
        <v>1458</v>
      </c>
      <c r="AL3225" s="28"/>
      <c r="AM3225" s="28" t="n">
        <f aca="false">AL3225*$M3225</f>
        <v>0</v>
      </c>
      <c r="AN3225" s="28"/>
      <c r="AO3225" s="28" t="n">
        <f aca="false">AN3225*$M3225</f>
        <v>0</v>
      </c>
      <c r="AP3225" s="28"/>
      <c r="AQ3225" s="28" t="n">
        <f aca="false">AP3225*$M3225</f>
        <v>0</v>
      </c>
      <c r="AR3225" s="28"/>
      <c r="AS3225" s="28" t="n">
        <f aca="false">AR3225*$M3225</f>
        <v>0</v>
      </c>
      <c r="AT3225" s="28"/>
      <c r="AU3225" s="28" t="n">
        <f aca="false">AT3225*$M3225</f>
        <v>0</v>
      </c>
      <c r="AV3225" s="28" t="n">
        <f aca="false">6667/100</f>
        <v>66.67</v>
      </c>
      <c r="AW3225" s="28" t="n">
        <v>3333</v>
      </c>
      <c r="AX3225" s="28"/>
      <c r="AY3225" s="28" t="n">
        <f aca="false">AX3225*$M3225</f>
        <v>0</v>
      </c>
      <c r="AZ3225" s="30" t="n">
        <f aca="false">153493/100</f>
        <v>1534.93</v>
      </c>
      <c r="BA3225" s="11" t="n">
        <v>76744</v>
      </c>
      <c r="BB3225" s="31" t="n">
        <f aca="false">SUM(Q3225,S3225,U3225,W3225,Y3225,AA3225,AC3225,AE3225,AG3225,AI3225,AK3225,AM3225,AO3225,AQ3225,AS3225,AU3225,AW3225,AY3225)</f>
        <v>76744</v>
      </c>
      <c r="BC3225" s="28" t="n">
        <f aca="false">BA3225-BB3225</f>
        <v>0</v>
      </c>
      <c r="BD3225" s="32" t="n">
        <f aca="false">SUM(P3225,R3225,T3225,V3225,X3225,Z3225,AB3225,AD3225,AF3225,AH3225,AJ3225,AL3225,AN3225,AP3225,AR3225,AT3225,AV3225,AX3225)</f>
        <v>1534.93</v>
      </c>
      <c r="BE3225" s="33" t="n">
        <f aca="false">AZ3225-BD3225</f>
        <v>0</v>
      </c>
      <c r="BF3225" s="34" t="n">
        <f aca="false">BD3225*M3225</f>
        <v>76746.5</v>
      </c>
      <c r="BG3225" s="35" t="n">
        <f aca="false">BA3225-BF3225</f>
        <v>-2.49999999998545</v>
      </c>
      <c r="BH3225" s="19" t="str">
        <f aca="false">IF(BG3225=0,"",IF(BG3225&lt;&gt;BA3225,"erreur de calcul",IF(BD3225&lt;&gt;0,"pas de prix",IF(M3225&lt;&gt; 0,"pas de quantité","pas de prix, ni de quantité"))))</f>
        <v>erreur de calcul</v>
      </c>
      <c r="BI3225" s="19"/>
    </row>
    <row r="3226" customFormat="false" ht="15" hidden="false" customHeight="false" outlineLevel="0" collapsed="false">
      <c r="A3226" s="0" t="n">
        <v>24</v>
      </c>
      <c r="B3226" s="8" t="s">
        <v>24</v>
      </c>
      <c r="C3226" s="9" t="s">
        <v>25</v>
      </c>
      <c r="D3226" s="9" t="s">
        <v>26</v>
      </c>
      <c r="E3226" s="10" t="n">
        <v>1789</v>
      </c>
      <c r="F3226" s="9" t="s">
        <v>27</v>
      </c>
      <c r="G3226" s="9" t="s">
        <v>27</v>
      </c>
      <c r="H3226" s="11" t="n">
        <v>20</v>
      </c>
      <c r="I3226" s="11" t="s">
        <v>142</v>
      </c>
      <c r="J3226" s="14" t="n">
        <v>12</v>
      </c>
      <c r="K3226" s="14"/>
      <c r="L3226" s="16"/>
      <c r="M3226" s="27" t="n">
        <f aca="false">J3226+(K3226/20)+(L3226/240)</f>
        <v>12</v>
      </c>
      <c r="N3226" s="17" t="s">
        <v>66</v>
      </c>
      <c r="O3226" s="11"/>
      <c r="P3226" s="28"/>
      <c r="Q3226" s="28" t="n">
        <f aca="false">P3226*$M3226</f>
        <v>0</v>
      </c>
      <c r="R3226" s="28"/>
      <c r="S3226" s="28" t="n">
        <f aca="false">R3226*$M3226</f>
        <v>0</v>
      </c>
      <c r="T3226" s="28"/>
      <c r="U3226" s="28" t="n">
        <f aca="false">T3226*$M3226</f>
        <v>0</v>
      </c>
      <c r="V3226" s="28"/>
      <c r="W3226" s="28" t="n">
        <f aca="false">V3226*$M3226</f>
        <v>0</v>
      </c>
      <c r="X3226" s="28"/>
      <c r="Y3226" s="28" t="n">
        <f aca="false">X3226*$M3226</f>
        <v>0</v>
      </c>
      <c r="Z3226" s="28" t="n">
        <v>21</v>
      </c>
      <c r="AA3226" s="28" t="n">
        <v>252</v>
      </c>
      <c r="AB3226" s="28" t="n">
        <v>672</v>
      </c>
      <c r="AC3226" s="28" t="n">
        <v>8064</v>
      </c>
      <c r="AD3226" s="28"/>
      <c r="AE3226" s="28" t="n">
        <f aca="false">AD3226*$M3226</f>
        <v>0</v>
      </c>
      <c r="AF3226" s="28"/>
      <c r="AG3226" s="28" t="n">
        <f aca="false">AF3226*$M3226</f>
        <v>0</v>
      </c>
      <c r="AH3226" s="28"/>
      <c r="AI3226" s="28" t="n">
        <f aca="false">AH3226*$M3226</f>
        <v>0</v>
      </c>
      <c r="AJ3226" s="28"/>
      <c r="AK3226" s="28" t="n">
        <f aca="false">AJ3226*$M3226</f>
        <v>0</v>
      </c>
      <c r="AL3226" s="28"/>
      <c r="AM3226" s="28" t="n">
        <f aca="false">AL3226*$M3226</f>
        <v>0</v>
      </c>
      <c r="AN3226" s="28"/>
      <c r="AO3226" s="28" t="n">
        <f aca="false">AN3226*$M3226</f>
        <v>0</v>
      </c>
      <c r="AP3226" s="28"/>
      <c r="AQ3226" s="28" t="n">
        <f aca="false">AP3226*$M3226</f>
        <v>0</v>
      </c>
      <c r="AR3226" s="28"/>
      <c r="AS3226" s="28" t="n">
        <f aca="false">AR3226*$M3226</f>
        <v>0</v>
      </c>
      <c r="AT3226" s="28"/>
      <c r="AU3226" s="28" t="n">
        <f aca="false">AT3226*$M3226</f>
        <v>0</v>
      </c>
      <c r="AV3226" s="28"/>
      <c r="AW3226" s="28" t="n">
        <f aca="false">AV3226*$M3226</f>
        <v>0</v>
      </c>
      <c r="AX3226" s="28"/>
      <c r="AY3226" s="28" t="n">
        <f aca="false">AX3226*$M3226</f>
        <v>0</v>
      </c>
      <c r="AZ3226" s="30" t="n">
        <v>693</v>
      </c>
      <c r="BA3226" s="11" t="n">
        <v>8316</v>
      </c>
      <c r="BB3226" s="31" t="n">
        <f aca="false">SUM(Q3226,S3226,U3226,W3226,Y3226,AA3226,AC3226,AE3226,AG3226,AI3226,AK3226,AM3226,AO3226,AQ3226,AS3226,AU3226,AW3226,AY3226)</f>
        <v>8316</v>
      </c>
      <c r="BC3226" s="28" t="n">
        <f aca="false">BA3226-BB3226</f>
        <v>0</v>
      </c>
      <c r="BD3226" s="32" t="n">
        <f aca="false">SUM(P3226,R3226,T3226,V3226,X3226,Z3226,AB3226,AD3226,AF3226,AH3226,AJ3226,AL3226,AN3226,AP3226,AR3226,AT3226,AV3226,AX3226)</f>
        <v>693</v>
      </c>
      <c r="BE3226" s="33" t="n">
        <f aca="false">AZ3226-BD3226</f>
        <v>0</v>
      </c>
      <c r="BF3226" s="34" t="n">
        <f aca="false">BD3226*M3226</f>
        <v>8316</v>
      </c>
      <c r="BG3226" s="35" t="n">
        <f aca="false">BA3226-BF3226</f>
        <v>0</v>
      </c>
      <c r="BH3226" s="19" t="str">
        <f aca="false">IF(BG3226=0,"",IF(BG3226&lt;&gt;BA3226,"erreur de calcul",IF(BD3226&lt;&gt;0,"pas de prix",IF(M3226&lt;&gt; 0,"pas de quantité","pas de prix, ni de quantité"))))</f>
        <v/>
      </c>
      <c r="BI3226" s="19"/>
    </row>
    <row r="3227" customFormat="false" ht="15" hidden="false" customHeight="false" outlineLevel="0" collapsed="false">
      <c r="A3227" s="0" t="n">
        <v>25</v>
      </c>
      <c r="B3227" s="8" t="s">
        <v>24</v>
      </c>
      <c r="C3227" s="9" t="s">
        <v>25</v>
      </c>
      <c r="D3227" s="9" t="s">
        <v>26</v>
      </c>
      <c r="E3227" s="10" t="n">
        <v>1789</v>
      </c>
      <c r="F3227" s="9" t="s">
        <v>27</v>
      </c>
      <c r="G3227" s="9" t="s">
        <v>27</v>
      </c>
      <c r="H3227" s="11" t="n">
        <v>20</v>
      </c>
      <c r="I3227" s="11" t="s">
        <v>143</v>
      </c>
      <c r="J3227" s="14" t="n">
        <v>8</v>
      </c>
      <c r="K3227" s="14"/>
      <c r="L3227" s="16"/>
      <c r="M3227" s="27" t="n">
        <f aca="false">J3227+(K3227/20)+(L3227/240)</f>
        <v>8</v>
      </c>
      <c r="N3227" s="17" t="s">
        <v>85</v>
      </c>
      <c r="O3227" s="11"/>
      <c r="P3227" s="28" t="n">
        <f aca="false">74969/100</f>
        <v>749.69</v>
      </c>
      <c r="Q3227" s="28" t="n">
        <v>5997</v>
      </c>
      <c r="R3227" s="28"/>
      <c r="S3227" s="28" t="n">
        <f aca="false">R3227*$M3227</f>
        <v>0</v>
      </c>
      <c r="T3227" s="28" t="n">
        <f aca="false">58256/100</f>
        <v>582.56</v>
      </c>
      <c r="U3227" s="28" t="n">
        <v>4660</v>
      </c>
      <c r="V3227" s="28" t="n">
        <f aca="false">14450/100</f>
        <v>144.5</v>
      </c>
      <c r="W3227" s="28" t="n">
        <v>1156</v>
      </c>
      <c r="X3227" s="28" t="n">
        <f aca="false">4397/100</f>
        <v>43.97</v>
      </c>
      <c r="Y3227" s="28" t="n">
        <v>352</v>
      </c>
      <c r="Z3227" s="28"/>
      <c r="AA3227" s="28" t="n">
        <f aca="false">Z3227*$M3227</f>
        <v>0</v>
      </c>
      <c r="AB3227" s="28" t="n">
        <f aca="false">6400/100</f>
        <v>64</v>
      </c>
      <c r="AC3227" s="28" t="n">
        <v>512</v>
      </c>
      <c r="AD3227" s="28" t="n">
        <f aca="false">19450/100</f>
        <v>194.5</v>
      </c>
      <c r="AE3227" s="28" t="n">
        <v>1556</v>
      </c>
      <c r="AF3227" s="28" t="n">
        <f aca="false">2496/100</f>
        <v>24.96</v>
      </c>
      <c r="AG3227" s="28" t="n">
        <v>200</v>
      </c>
      <c r="AH3227" s="28"/>
      <c r="AI3227" s="28" t="n">
        <f aca="false">AH3227*$M3227</f>
        <v>0</v>
      </c>
      <c r="AJ3227" s="28"/>
      <c r="AK3227" s="28" t="n">
        <f aca="false">AJ3227*$M3227</f>
        <v>0</v>
      </c>
      <c r="AL3227" s="28"/>
      <c r="AM3227" s="28" t="n">
        <f aca="false">AL3227*$M3227</f>
        <v>0</v>
      </c>
      <c r="AN3227" s="28"/>
      <c r="AO3227" s="28" t="n">
        <f aca="false">AN3227*$M3227</f>
        <v>0</v>
      </c>
      <c r="AP3227" s="28"/>
      <c r="AQ3227" s="28" t="n">
        <f aca="false">AP3227*$M3227</f>
        <v>0</v>
      </c>
      <c r="AR3227" s="28"/>
      <c r="AS3227" s="28" t="n">
        <f aca="false">AR3227*$M3227</f>
        <v>0</v>
      </c>
      <c r="AT3227" s="28"/>
      <c r="AU3227" s="28" t="n">
        <f aca="false">AT3227*$M3227</f>
        <v>0</v>
      </c>
      <c r="AV3227" s="28"/>
      <c r="AW3227" s="28" t="n">
        <f aca="false">AV3227*$M3227</f>
        <v>0</v>
      </c>
      <c r="AX3227" s="28"/>
      <c r="AY3227" s="28" t="n">
        <f aca="false">AX3227*$M3227</f>
        <v>0</v>
      </c>
      <c r="AZ3227" s="30" t="n">
        <f aca="false">180418/100</f>
        <v>1804.18</v>
      </c>
      <c r="BA3227" s="11" t="n">
        <v>14433</v>
      </c>
      <c r="BB3227" s="31" t="n">
        <f aca="false">SUM(Q3227,S3227,U3227,W3227,Y3227,AA3227,AC3227,AE3227,AG3227,AI3227,AK3227,AM3227,AO3227,AQ3227,AS3227,AU3227,AW3227,AY3227)</f>
        <v>14433</v>
      </c>
      <c r="BC3227" s="28" t="n">
        <f aca="false">BA3227-BB3227</f>
        <v>0</v>
      </c>
      <c r="BD3227" s="32" t="n">
        <f aca="false">SUM(P3227,R3227,T3227,V3227,X3227,Z3227,AB3227,AD3227,AF3227,AH3227,AJ3227,AL3227,AN3227,AP3227,AR3227,AT3227,AV3227,AX3227)</f>
        <v>1804.18</v>
      </c>
      <c r="BE3227" s="33" t="n">
        <f aca="false">AZ3227-BD3227</f>
        <v>0</v>
      </c>
      <c r="BF3227" s="34" t="n">
        <f aca="false">BD3227*M3227</f>
        <v>14433.44</v>
      </c>
      <c r="BG3227" s="35" t="n">
        <f aca="false">BA3227-BF3227</f>
        <v>-0.440000000000509</v>
      </c>
      <c r="BH3227" s="19" t="str">
        <f aca="false">IF(BG3227=0,"",IF(BG3227&lt;&gt;BA3227,"erreur de calcul",IF(BD3227&lt;&gt;0,"pas de prix",IF(M3227&lt;&gt; 0,"pas de quantité","pas de prix, ni de quantité"))))</f>
        <v>erreur de calcul</v>
      </c>
      <c r="BI3227" s="19"/>
    </row>
    <row r="3228" customFormat="false" ht="15" hidden="false" customHeight="false" outlineLevel="0" collapsed="false">
      <c r="A3228" s="0" t="n">
        <v>26</v>
      </c>
      <c r="B3228" s="8" t="s">
        <v>24</v>
      </c>
      <c r="C3228" s="9" t="s">
        <v>25</v>
      </c>
      <c r="D3228" s="9" t="s">
        <v>26</v>
      </c>
      <c r="E3228" s="10" t="n">
        <v>1789</v>
      </c>
      <c r="F3228" s="9" t="s">
        <v>27</v>
      </c>
      <c r="G3228" s="9" t="s">
        <v>27</v>
      </c>
      <c r="H3228" s="11" t="n">
        <v>20</v>
      </c>
      <c r="I3228" s="11" t="s">
        <v>144</v>
      </c>
      <c r="J3228" s="14" t="n">
        <v>3</v>
      </c>
      <c r="K3228" s="14"/>
      <c r="L3228" s="16"/>
      <c r="M3228" s="27" t="n">
        <f aca="false">J3228+(K3228/20)+(L3228/240)</f>
        <v>3</v>
      </c>
      <c r="N3228" s="17" t="s">
        <v>66</v>
      </c>
      <c r="O3228" s="11"/>
      <c r="P3228" s="28"/>
      <c r="Q3228" s="28" t="n">
        <f aca="false">P3228*$M3228</f>
        <v>0</v>
      </c>
      <c r="R3228" s="28"/>
      <c r="S3228" s="28" t="n">
        <f aca="false">R3228*$M3228</f>
        <v>0</v>
      </c>
      <c r="T3228" s="28" t="n">
        <v>24347</v>
      </c>
      <c r="U3228" s="28" t="n">
        <v>73041</v>
      </c>
      <c r="V3228" s="28" t="n">
        <v>2300</v>
      </c>
      <c r="W3228" s="28" t="n">
        <v>6900</v>
      </c>
      <c r="X3228" s="28" t="n">
        <v>152</v>
      </c>
      <c r="Y3228" s="28" t="n">
        <v>456</v>
      </c>
      <c r="Z3228" s="28"/>
      <c r="AA3228" s="28" t="n">
        <f aca="false">Z3228*$M3228</f>
        <v>0</v>
      </c>
      <c r="AB3228" s="28" t="n">
        <v>53940</v>
      </c>
      <c r="AC3228" s="28" t="n">
        <v>161820</v>
      </c>
      <c r="AD3228" s="28"/>
      <c r="AE3228" s="28" t="n">
        <f aca="false">AD3228*$M3228</f>
        <v>0</v>
      </c>
      <c r="AF3228" s="28"/>
      <c r="AG3228" s="28" t="n">
        <f aca="false">AF3228*$M3228</f>
        <v>0</v>
      </c>
      <c r="AH3228" s="28" t="n">
        <v>1668909</v>
      </c>
      <c r="AI3228" s="28" t="n">
        <v>5006727</v>
      </c>
      <c r="AJ3228" s="28"/>
      <c r="AK3228" s="28" t="n">
        <f aca="false">AJ3228*$M3228</f>
        <v>0</v>
      </c>
      <c r="AL3228" s="28"/>
      <c r="AM3228" s="28" t="n">
        <f aca="false">AL3228*$M3228</f>
        <v>0</v>
      </c>
      <c r="AN3228" s="28" t="n">
        <v>165</v>
      </c>
      <c r="AO3228" s="28" t="n">
        <v>495</v>
      </c>
      <c r="AP3228" s="28"/>
      <c r="AQ3228" s="28" t="n">
        <f aca="false">AP3228*$M3228</f>
        <v>0</v>
      </c>
      <c r="AR3228" s="28"/>
      <c r="AS3228" s="28" t="n">
        <f aca="false">AR3228*$M3228</f>
        <v>0</v>
      </c>
      <c r="AT3228" s="28"/>
      <c r="AU3228" s="28" t="n">
        <f aca="false">AT3228*$M3228</f>
        <v>0</v>
      </c>
      <c r="AV3228" s="28"/>
      <c r="AW3228" s="28" t="n">
        <f aca="false">AV3228*$M3228</f>
        <v>0</v>
      </c>
      <c r="AX3228" s="28"/>
      <c r="AY3228" s="28" t="n">
        <f aca="false">AX3228*$M3228</f>
        <v>0</v>
      </c>
      <c r="AZ3228" s="30" t="n">
        <v>1736540</v>
      </c>
      <c r="BA3228" s="11" t="n">
        <v>5249439</v>
      </c>
      <c r="BB3228" s="31" t="n">
        <f aca="false">SUM(Q3228,S3228,U3228,W3228,Y3228,AA3228,AC3228,AE3228,AG3228,AI3228,AK3228,AM3228,AO3228,AQ3228,AS3228,AU3228,AW3228,AY3228)</f>
        <v>5249439</v>
      </c>
      <c r="BC3228" s="28" t="n">
        <f aca="false">BA3228-BB3228</f>
        <v>0</v>
      </c>
      <c r="BD3228" s="32" t="n">
        <f aca="false">SUM(P3228,R3228,T3228,V3228,X3228,Z3228,AB3228,AD3228,AF3228,AH3228,AJ3228,AL3228,AN3228,AP3228,AR3228,AT3228,AV3228,AX3228)</f>
        <v>1749813</v>
      </c>
      <c r="BE3228" s="33" t="n">
        <f aca="false">AZ3228-BD3228</f>
        <v>-13273</v>
      </c>
      <c r="BF3228" s="34" t="n">
        <f aca="false">BD3228*M3228</f>
        <v>5249439</v>
      </c>
      <c r="BG3228" s="35" t="n">
        <f aca="false">BA3228-BF3228</f>
        <v>0</v>
      </c>
      <c r="BH3228" s="19" t="str">
        <f aca="false">IF(BG3228=0,"",IF(BG3228&lt;&gt;BA3228,"erreur de calcul",IF(BD3228&lt;&gt;0,"pas de prix",IF(M3228&lt;&gt; 0,"pas de quantité","pas de prix, ni de quantité"))))</f>
        <v/>
      </c>
      <c r="BI3228" s="19"/>
    </row>
    <row r="3229" customFormat="false" ht="15" hidden="false" customHeight="false" outlineLevel="0" collapsed="false">
      <c r="A3229" s="0" t="n">
        <v>27</v>
      </c>
      <c r="B3229" s="8" t="s">
        <v>24</v>
      </c>
      <c r="C3229" s="9" t="s">
        <v>25</v>
      </c>
      <c r="D3229" s="9" t="s">
        <v>26</v>
      </c>
      <c r="E3229" s="10" t="n">
        <v>1789</v>
      </c>
      <c r="F3229" s="9" t="s">
        <v>27</v>
      </c>
      <c r="G3229" s="9" t="s">
        <v>27</v>
      </c>
      <c r="H3229" s="11" t="n">
        <v>20</v>
      </c>
      <c r="I3229" s="11" t="s">
        <v>145</v>
      </c>
      <c r="J3229" s="14" t="n">
        <v>4</v>
      </c>
      <c r="K3229" s="14" t="n">
        <v>18</v>
      </c>
      <c r="L3229" s="16"/>
      <c r="M3229" s="27" t="n">
        <f aca="false">J3229+(K3229/20)+(L3229/240)</f>
        <v>4.9</v>
      </c>
      <c r="N3229" s="17" t="s">
        <v>66</v>
      </c>
      <c r="O3229" s="11"/>
      <c r="P3229" s="28"/>
      <c r="Q3229" s="28" t="n">
        <f aca="false">P3229*$M3229</f>
        <v>0</v>
      </c>
      <c r="R3229" s="28"/>
      <c r="S3229" s="28" t="n">
        <f aca="false">R3229*$M3229</f>
        <v>0</v>
      </c>
      <c r="T3229" s="28"/>
      <c r="U3229" s="28" t="n">
        <f aca="false">T3229*$M3229</f>
        <v>0</v>
      </c>
      <c r="V3229" s="28"/>
      <c r="W3229" s="28" t="n">
        <f aca="false">V3229*$M3229</f>
        <v>0</v>
      </c>
      <c r="X3229" s="28"/>
      <c r="Y3229" s="28" t="n">
        <f aca="false">X3229*$M3229</f>
        <v>0</v>
      </c>
      <c r="Z3229" s="28"/>
      <c r="AA3229" s="28" t="n">
        <f aca="false">Z3229*$M3229</f>
        <v>0</v>
      </c>
      <c r="AB3229" s="28"/>
      <c r="AC3229" s="28" t="n">
        <f aca="false">AB3229*$M3229</f>
        <v>0</v>
      </c>
      <c r="AD3229" s="28"/>
      <c r="AE3229" s="28" t="n">
        <f aca="false">AD3229*$M3229</f>
        <v>0</v>
      </c>
      <c r="AF3229" s="28"/>
      <c r="AG3229" s="28" t="n">
        <f aca="false">AF3229*$M3229</f>
        <v>0</v>
      </c>
      <c r="AH3229" s="28" t="n">
        <v>14916</v>
      </c>
      <c r="AI3229" s="28" t="n">
        <v>73088</v>
      </c>
      <c r="AJ3229" s="28"/>
      <c r="AK3229" s="28" t="n">
        <f aca="false">AJ3229*$M3229</f>
        <v>0</v>
      </c>
      <c r="AL3229" s="28"/>
      <c r="AM3229" s="28" t="n">
        <f aca="false">AL3229*$M3229</f>
        <v>0</v>
      </c>
      <c r="AN3229" s="28"/>
      <c r="AO3229" s="28" t="n">
        <f aca="false">AN3229*$M3229</f>
        <v>0</v>
      </c>
      <c r="AP3229" s="28"/>
      <c r="AQ3229" s="28" t="n">
        <f aca="false">AP3229*$M3229</f>
        <v>0</v>
      </c>
      <c r="AR3229" s="28"/>
      <c r="AS3229" s="28" t="n">
        <f aca="false">AR3229*$M3229</f>
        <v>0</v>
      </c>
      <c r="AT3229" s="28"/>
      <c r="AU3229" s="28" t="n">
        <f aca="false">AT3229*$M3229</f>
        <v>0</v>
      </c>
      <c r="AV3229" s="28"/>
      <c r="AW3229" s="28" t="n">
        <f aca="false">AV3229*$M3229</f>
        <v>0</v>
      </c>
      <c r="AX3229" s="28"/>
      <c r="AY3229" s="28" t="n">
        <f aca="false">AX3229*$M3229</f>
        <v>0</v>
      </c>
      <c r="AZ3229" s="30" t="n">
        <v>14916</v>
      </c>
      <c r="BA3229" s="11" t="n">
        <v>73088</v>
      </c>
      <c r="BB3229" s="31" t="n">
        <f aca="false">SUM(Q3229,S3229,U3229,W3229,Y3229,AA3229,AC3229,AE3229,AG3229,AI3229,AK3229,AM3229,AO3229,AQ3229,AS3229,AU3229,AW3229,AY3229)</f>
        <v>73088</v>
      </c>
      <c r="BC3229" s="28" t="n">
        <f aca="false">BA3229-BB3229</f>
        <v>0</v>
      </c>
      <c r="BD3229" s="32" t="n">
        <f aca="false">SUM(P3229,R3229,T3229,V3229,X3229,Z3229,AB3229,AD3229,AF3229,AH3229,AJ3229,AL3229,AN3229,AP3229,AR3229,AT3229,AV3229,AX3229)</f>
        <v>14916</v>
      </c>
      <c r="BE3229" s="33" t="n">
        <f aca="false">AZ3229-BD3229</f>
        <v>0</v>
      </c>
      <c r="BF3229" s="34" t="n">
        <f aca="false">BD3229*M3229</f>
        <v>73088.4</v>
      </c>
      <c r="BG3229" s="35" t="n">
        <f aca="false">BA3229-BF3229</f>
        <v>-0.400000000008731</v>
      </c>
      <c r="BH3229" s="19" t="str">
        <f aca="false">IF(BG3229=0,"",IF(BG3229&lt;&gt;BA3229,"erreur de calcul",IF(BD3229&lt;&gt;0,"pas de prix",IF(M3229&lt;&gt; 0,"pas de quantité","pas de prix, ni de quantité"))))</f>
        <v>erreur de calcul</v>
      </c>
      <c r="BI3229" s="19"/>
    </row>
    <row r="3230" customFormat="false" ht="15" hidden="false" customHeight="false" outlineLevel="0" collapsed="false">
      <c r="A3230" s="0" t="n">
        <v>28</v>
      </c>
      <c r="B3230" s="8" t="s">
        <v>24</v>
      </c>
      <c r="C3230" s="9" t="s">
        <v>25</v>
      </c>
      <c r="D3230" s="9" t="s">
        <v>26</v>
      </c>
      <c r="E3230" s="10" t="n">
        <v>1789</v>
      </c>
      <c r="F3230" s="9" t="s">
        <v>27</v>
      </c>
      <c r="G3230" s="9" t="s">
        <v>27</v>
      </c>
      <c r="H3230" s="11" t="n">
        <v>20</v>
      </c>
      <c r="I3230" s="11" t="s">
        <v>146</v>
      </c>
      <c r="J3230" s="14" t="n">
        <v>126</v>
      </c>
      <c r="K3230" s="14"/>
      <c r="L3230" s="16"/>
      <c r="M3230" s="27"/>
      <c r="N3230" s="17" t="s">
        <v>66</v>
      </c>
      <c r="O3230" s="11" t="s">
        <v>98</v>
      </c>
      <c r="P3230" s="28"/>
      <c r="Q3230" s="28" t="n">
        <f aca="false">P3230*$M3230</f>
        <v>0</v>
      </c>
      <c r="R3230" s="28" t="n">
        <v>82676</v>
      </c>
      <c r="S3230" s="28" t="n">
        <v>28572</v>
      </c>
      <c r="T3230" s="28"/>
      <c r="U3230" s="28" t="n">
        <f aca="false">T3230*$M3230</f>
        <v>0</v>
      </c>
      <c r="V3230" s="28"/>
      <c r="W3230" s="28" t="n">
        <f aca="false">V3230*$M3230</f>
        <v>0</v>
      </c>
      <c r="X3230" s="28"/>
      <c r="Y3230" s="28" t="n">
        <f aca="false">X3230*$M3230</f>
        <v>0</v>
      </c>
      <c r="Z3230" s="28"/>
      <c r="AA3230" s="28" t="n">
        <f aca="false">Z3230*$M3230</f>
        <v>0</v>
      </c>
      <c r="AB3230" s="28"/>
      <c r="AC3230" s="28" t="n">
        <f aca="false">AB3230*$M3230</f>
        <v>0</v>
      </c>
      <c r="AD3230" s="28"/>
      <c r="AE3230" s="28" t="n">
        <f aca="false">AD3230*$M3230</f>
        <v>0</v>
      </c>
      <c r="AF3230" s="28"/>
      <c r="AG3230" s="28" t="n">
        <f aca="false">AF3230*$M3230</f>
        <v>0</v>
      </c>
      <c r="AH3230" s="28" t="n">
        <v>6408925</v>
      </c>
      <c r="AI3230" s="28" t="n">
        <v>8075245</v>
      </c>
      <c r="AJ3230" s="28"/>
      <c r="AK3230" s="28" t="n">
        <f aca="false">AJ3230*$M3230</f>
        <v>0</v>
      </c>
      <c r="AL3230" s="28"/>
      <c r="AM3230" s="28" t="n">
        <f aca="false">AL3230*$M3230</f>
        <v>0</v>
      </c>
      <c r="AN3230" s="28"/>
      <c r="AO3230" s="28" t="n">
        <f aca="false">AN3230*$M3230</f>
        <v>0</v>
      </c>
      <c r="AP3230" s="28"/>
      <c r="AQ3230" s="28" t="n">
        <f aca="false">AP3230*$M3230</f>
        <v>0</v>
      </c>
      <c r="AR3230" s="28"/>
      <c r="AS3230" s="28" t="n">
        <f aca="false">AR3230*$M3230</f>
        <v>0</v>
      </c>
      <c r="AT3230" s="28"/>
      <c r="AU3230" s="28" t="n">
        <f aca="false">AT3230*$M3230</f>
        <v>0</v>
      </c>
      <c r="AV3230" s="28"/>
      <c r="AW3230" s="28" t="n">
        <f aca="false">AV3230*$M3230</f>
        <v>0</v>
      </c>
      <c r="AX3230" s="28"/>
      <c r="AY3230" s="28" t="n">
        <f aca="false">AX3230*$M3230</f>
        <v>0</v>
      </c>
      <c r="AZ3230" s="11" t="n">
        <v>6431601</v>
      </c>
      <c r="BA3230" s="11" t="n">
        <v>8103817</v>
      </c>
      <c r="BB3230" s="31" t="n">
        <f aca="false">SUM(Q3230,S3230,U3230,W3230,Y3230,AA3230,AC3230,AE3230,AG3230,AI3230,AK3230,AM3230,AO3230,AQ3230,AS3230,AU3230,AW3230,AY3230)</f>
        <v>8103817</v>
      </c>
      <c r="BC3230" s="28" t="n">
        <f aca="false">BA3230-BB3230</f>
        <v>0</v>
      </c>
      <c r="BD3230" s="32" t="n">
        <f aca="false">SUM(P3230,R3230,T3230,V3230,X3230,Z3230,AB3230,AD3230,AF3230,AH3230,AJ3230,AL3230,AN3230,AP3230,AR3230,AT3230,AV3230,AX3230)</f>
        <v>6491601</v>
      </c>
      <c r="BE3230" s="33" t="n">
        <f aca="false">AZ3230-BD3230</f>
        <v>-60000</v>
      </c>
      <c r="BF3230" s="34" t="n">
        <f aca="false">BD3230*M3230</f>
        <v>0</v>
      </c>
      <c r="BG3230" s="35" t="n">
        <f aca="false">BA3230-BF3230</f>
        <v>8103817</v>
      </c>
      <c r="BH3230" s="19" t="str">
        <f aca="false">IF(BG3230=0,"",IF(BG3230&lt;&gt;BA3230,"erreur de calcul",IF(BD3230&lt;&gt;0,"pas de prix",IF(M3230&lt;&gt; 0,"pas de quantité","pas de prix, ni de quantité"))))</f>
        <v>pas de prix</v>
      </c>
      <c r="BI3230" s="19" t="s">
        <v>147</v>
      </c>
    </row>
    <row r="3231" customFormat="false" ht="15" hidden="false" customHeight="false" outlineLevel="0" collapsed="false">
      <c r="A3231" s="0" t="n">
        <v>29</v>
      </c>
      <c r="B3231" s="8" t="s">
        <v>24</v>
      </c>
      <c r="C3231" s="9" t="s">
        <v>25</v>
      </c>
      <c r="D3231" s="9" t="s">
        <v>26</v>
      </c>
      <c r="E3231" s="10" t="n">
        <v>1789</v>
      </c>
      <c r="F3231" s="9" t="s">
        <v>27</v>
      </c>
      <c r="G3231" s="9" t="s">
        <v>27</v>
      </c>
      <c r="H3231" s="11" t="n">
        <v>20</v>
      </c>
      <c r="I3231" s="11" t="s">
        <v>148</v>
      </c>
      <c r="J3231" s="14"/>
      <c r="K3231" s="14" t="n">
        <v>20</v>
      </c>
      <c r="L3231" s="16"/>
      <c r="M3231" s="27" t="n">
        <f aca="false">J3231+(K3231/20)+(L3231/240)</f>
        <v>1</v>
      </c>
      <c r="N3231" s="17" t="s">
        <v>66</v>
      </c>
      <c r="O3231" s="11"/>
      <c r="P3231" s="28"/>
      <c r="Q3231" s="28" t="n">
        <f aca="false">P3231*$M3231</f>
        <v>0</v>
      </c>
      <c r="R3231" s="28"/>
      <c r="S3231" s="28" t="n">
        <f aca="false">R3231*$M3231</f>
        <v>0</v>
      </c>
      <c r="T3231" s="28" t="n">
        <v>392</v>
      </c>
      <c r="U3231" s="28" t="n">
        <v>392</v>
      </c>
      <c r="V3231" s="28"/>
      <c r="W3231" s="28" t="n">
        <f aca="false">V3231*$M3231</f>
        <v>0</v>
      </c>
      <c r="X3231" s="28"/>
      <c r="Y3231" s="28" t="n">
        <f aca="false">X3231*$M3231</f>
        <v>0</v>
      </c>
      <c r="Z3231" s="28"/>
      <c r="AA3231" s="28" t="n">
        <f aca="false">Z3231*$M3231</f>
        <v>0</v>
      </c>
      <c r="AB3231" s="28" t="n">
        <v>7596</v>
      </c>
      <c r="AC3231" s="28" t="n">
        <v>7596</v>
      </c>
      <c r="AD3231" s="28"/>
      <c r="AE3231" s="28" t="n">
        <f aca="false">AD3231*$M3231</f>
        <v>0</v>
      </c>
      <c r="AF3231" s="28"/>
      <c r="AG3231" s="28" t="n">
        <f aca="false">AF3231*$M3231</f>
        <v>0</v>
      </c>
      <c r="AH3231" s="28"/>
      <c r="AI3231" s="28" t="n">
        <f aca="false">AH3231*$M3231</f>
        <v>0</v>
      </c>
      <c r="AJ3231" s="28"/>
      <c r="AK3231" s="28" t="n">
        <f aca="false">AJ3231*$M3231</f>
        <v>0</v>
      </c>
      <c r="AL3231" s="28"/>
      <c r="AM3231" s="28" t="n">
        <f aca="false">AL3231*$M3231</f>
        <v>0</v>
      </c>
      <c r="AN3231" s="28"/>
      <c r="AO3231" s="28" t="n">
        <f aca="false">AN3231*$M3231</f>
        <v>0</v>
      </c>
      <c r="AP3231" s="28"/>
      <c r="AQ3231" s="28" t="n">
        <f aca="false">AP3231*$M3231</f>
        <v>0</v>
      </c>
      <c r="AR3231" s="28"/>
      <c r="AS3231" s="28" t="n">
        <f aca="false">AR3231*$M3231</f>
        <v>0</v>
      </c>
      <c r="AT3231" s="28"/>
      <c r="AU3231" s="28" t="n">
        <f aca="false">AT3231*$M3231</f>
        <v>0</v>
      </c>
      <c r="AV3231" s="28"/>
      <c r="AW3231" s="28" t="n">
        <f aca="false">AV3231*$M3231</f>
        <v>0</v>
      </c>
      <c r="AX3231" s="28"/>
      <c r="AY3231" s="28" t="n">
        <f aca="false">AX3231*$M3231</f>
        <v>0</v>
      </c>
      <c r="AZ3231" s="30" t="n">
        <v>7988</v>
      </c>
      <c r="BA3231" s="11" t="n">
        <v>7988</v>
      </c>
      <c r="BB3231" s="31" t="n">
        <f aca="false">SUM(Q3231,S3231,U3231,W3231,Y3231,AA3231,AC3231,AE3231,AG3231,AI3231,AK3231,AM3231,AO3231,AQ3231,AS3231,AU3231,AW3231,AY3231)</f>
        <v>7988</v>
      </c>
      <c r="BC3231" s="28" t="n">
        <f aca="false">BA3231-BB3231</f>
        <v>0</v>
      </c>
      <c r="BD3231" s="32" t="n">
        <f aca="false">SUM(P3231,R3231,T3231,V3231,X3231,Z3231,AB3231,AD3231,AF3231,AH3231,AJ3231,AL3231,AN3231,AP3231,AR3231,AT3231,AV3231,AX3231)</f>
        <v>7988</v>
      </c>
      <c r="BE3231" s="33" t="n">
        <f aca="false">AZ3231-BD3231</f>
        <v>0</v>
      </c>
      <c r="BF3231" s="34" t="n">
        <f aca="false">BD3231*M3231</f>
        <v>7988</v>
      </c>
      <c r="BG3231" s="35" t="n">
        <f aca="false">BA3231-BF3231</f>
        <v>0</v>
      </c>
      <c r="BH3231" s="19" t="str">
        <f aca="false">IF(BG3231=0,"",IF(BG3231&lt;&gt;BA3231,"erreur de calcul",IF(BD3231&lt;&gt;0,"pas de prix",IF(M3231&lt;&gt; 0,"pas de quantité","pas de prix, ni de quantité"))))</f>
        <v/>
      </c>
      <c r="BI3231" s="19"/>
    </row>
    <row r="3232" customFormat="false" ht="15" hidden="false" customHeight="false" outlineLevel="0" collapsed="false">
      <c r="A3232" s="0" t="n">
        <v>30</v>
      </c>
      <c r="B3232" s="8" t="s">
        <v>24</v>
      </c>
      <c r="C3232" s="9" t="s">
        <v>25</v>
      </c>
      <c r="D3232" s="9" t="s">
        <v>26</v>
      </c>
      <c r="E3232" s="10" t="n">
        <v>1789</v>
      </c>
      <c r="F3232" s="9" t="s">
        <v>27</v>
      </c>
      <c r="G3232" s="9" t="s">
        <v>27</v>
      </c>
      <c r="H3232" s="11" t="n">
        <v>20</v>
      </c>
      <c r="I3232" s="11" t="s">
        <v>149</v>
      </c>
      <c r="J3232" s="14" t="n">
        <v>70</v>
      </c>
      <c r="K3232" s="14"/>
      <c r="L3232" s="16"/>
      <c r="M3232" s="27" t="n">
        <f aca="false">J3232+(K3232/20)+(L3232/240)</f>
        <v>70</v>
      </c>
      <c r="N3232" s="17" t="s">
        <v>64</v>
      </c>
      <c r="O3232" s="11"/>
      <c r="P3232" s="28"/>
      <c r="Q3232" s="28" t="n">
        <f aca="false">P3232*$M3232</f>
        <v>0</v>
      </c>
      <c r="R3232" s="28"/>
      <c r="S3232" s="28" t="n">
        <f aca="false">R3232*$M3232</f>
        <v>0</v>
      </c>
      <c r="T3232" s="28"/>
      <c r="U3232" s="28" t="n">
        <f aca="false">T3232*$M3232</f>
        <v>0</v>
      </c>
      <c r="V3232" s="28"/>
      <c r="W3232" s="28" t="n">
        <f aca="false">V3232*$M3232</f>
        <v>0</v>
      </c>
      <c r="X3232" s="28" t="n">
        <f aca="false">1904/100</f>
        <v>19.04</v>
      </c>
      <c r="Y3232" s="28" t="n">
        <v>1333</v>
      </c>
      <c r="Z3232" s="28"/>
      <c r="AA3232" s="28" t="n">
        <f aca="false">Z3232*$M3232</f>
        <v>0</v>
      </c>
      <c r="AB3232" s="28" t="n">
        <f aca="false">51370/100</f>
        <v>513.7</v>
      </c>
      <c r="AC3232" s="28" t="n">
        <v>35959</v>
      </c>
      <c r="AD3232" s="28"/>
      <c r="AE3232" s="28" t="n">
        <f aca="false">AD3232*$M3232</f>
        <v>0</v>
      </c>
      <c r="AF3232" s="28" t="n">
        <f aca="false">8872/100</f>
        <v>88.72</v>
      </c>
      <c r="AG3232" s="28" t="n">
        <v>6210</v>
      </c>
      <c r="AH3232" s="28" t="n">
        <f aca="false">14751/100</f>
        <v>147.51</v>
      </c>
      <c r="AI3232" s="28" t="n">
        <v>10326</v>
      </c>
      <c r="AJ3232" s="28"/>
      <c r="AK3232" s="28" t="n">
        <f aca="false">AJ3232*$M3232</f>
        <v>0</v>
      </c>
      <c r="AL3232" s="28"/>
      <c r="AM3232" s="28" t="n">
        <f aca="false">AL3232*$M3232</f>
        <v>0</v>
      </c>
      <c r="AN3232" s="28"/>
      <c r="AO3232" s="28" t="n">
        <f aca="false">AN3232*$M3232</f>
        <v>0</v>
      </c>
      <c r="AP3232" s="28"/>
      <c r="AQ3232" s="28" t="n">
        <f aca="false">AP3232*$M3232</f>
        <v>0</v>
      </c>
      <c r="AR3232" s="28"/>
      <c r="AS3232" s="28" t="n">
        <f aca="false">AR3232*$M3232</f>
        <v>0</v>
      </c>
      <c r="AT3232" s="28"/>
      <c r="AU3232" s="28" t="n">
        <f aca="false">AT3232*$M3232</f>
        <v>0</v>
      </c>
      <c r="AV3232" s="28"/>
      <c r="AW3232" s="28" t="n">
        <f aca="false">AV3232*$M3232</f>
        <v>0</v>
      </c>
      <c r="AX3232" s="28"/>
      <c r="AY3232" s="28" t="n">
        <f aca="false">AX3232*$M3232</f>
        <v>0</v>
      </c>
      <c r="AZ3232" s="30" t="n">
        <f aca="false">76897/100</f>
        <v>768.97</v>
      </c>
      <c r="BA3232" s="11" t="n">
        <v>53828</v>
      </c>
      <c r="BB3232" s="31" t="n">
        <f aca="false">SUM(Q3232,S3232,U3232,W3232,Y3232,AA3232,AC3232,AE3232,AG3232,AI3232,AK3232,AM3232,AO3232,AQ3232,AS3232,AU3232,AW3232,AY3232)</f>
        <v>53828</v>
      </c>
      <c r="BC3232" s="28" t="n">
        <f aca="false">BA3232-BB3232</f>
        <v>0</v>
      </c>
      <c r="BD3232" s="32" t="n">
        <f aca="false">SUM(P3232,R3232,T3232,V3232,X3232,Z3232,AB3232,AD3232,AF3232,AH3232,AJ3232,AL3232,AN3232,AP3232,AR3232,AT3232,AV3232,AX3232)</f>
        <v>768.97</v>
      </c>
      <c r="BE3232" s="33" t="n">
        <f aca="false">AZ3232-BD3232</f>
        <v>0</v>
      </c>
      <c r="BF3232" s="34" t="n">
        <f aca="false">BD3232*M3232</f>
        <v>53827.9</v>
      </c>
      <c r="BG3232" s="35" t="n">
        <f aca="false">BA3232-BF3232</f>
        <v>0.0999999999985448</v>
      </c>
      <c r="BH3232" s="19" t="str">
        <f aca="false">IF(BG3232=0,"",IF(BG3232&lt;&gt;BA3232,"erreur de calcul",IF(BD3232&lt;&gt;0,"pas de prix",IF(M3232&lt;&gt; 0,"pas de quantité","pas de prix, ni de quantité"))))</f>
        <v>erreur de calcul</v>
      </c>
      <c r="BI3232" s="19"/>
    </row>
    <row r="3233" customFormat="false" ht="15" hidden="false" customHeight="false" outlineLevel="0" collapsed="false">
      <c r="A3233" s="0" t="n">
        <v>31</v>
      </c>
      <c r="B3233" s="8" t="s">
        <v>24</v>
      </c>
      <c r="C3233" s="9" t="s">
        <v>25</v>
      </c>
      <c r="D3233" s="9" t="s">
        <v>26</v>
      </c>
      <c r="E3233" s="10" t="n">
        <v>1789</v>
      </c>
      <c r="F3233" s="9" t="s">
        <v>27</v>
      </c>
      <c r="G3233" s="9" t="s">
        <v>27</v>
      </c>
      <c r="H3233" s="11" t="n">
        <v>20</v>
      </c>
      <c r="I3233" s="11" t="s">
        <v>150</v>
      </c>
      <c r="J3233" s="14" t="n">
        <v>70</v>
      </c>
      <c r="K3233" s="14"/>
      <c r="L3233" s="16"/>
      <c r="M3233" s="27" t="n">
        <f aca="false">J3233+(K3233/20)+(L3233/240)</f>
        <v>70</v>
      </c>
      <c r="N3233" s="17" t="s">
        <v>64</v>
      </c>
      <c r="O3233" s="11" t="s">
        <v>77</v>
      </c>
      <c r="P3233" s="28"/>
      <c r="Q3233" s="28" t="n">
        <f aca="false">P3233*$M3233</f>
        <v>0</v>
      </c>
      <c r="R3233" s="28"/>
      <c r="S3233" s="28" t="n">
        <f aca="false">R3233*$M3233</f>
        <v>0</v>
      </c>
      <c r="T3233" s="28"/>
      <c r="U3233" s="28" t="n">
        <f aca="false">T3233*$M3233</f>
        <v>0</v>
      </c>
      <c r="V3233" s="28"/>
      <c r="W3233" s="28" t="n">
        <f aca="false">V3233*$M3233</f>
        <v>0</v>
      </c>
      <c r="X3233" s="28"/>
      <c r="Y3233" s="28" t="n">
        <f aca="false">X3233*$M3233</f>
        <v>0</v>
      </c>
      <c r="Z3233" s="28"/>
      <c r="AA3233" s="28" t="n">
        <f aca="false">Z3233*$M3233</f>
        <v>0</v>
      </c>
      <c r="AB3233" s="28"/>
      <c r="AC3233" s="28" t="n">
        <f aca="false">AB3233*$M3233</f>
        <v>0</v>
      </c>
      <c r="AD3233" s="28"/>
      <c r="AE3233" s="28" t="n">
        <f aca="false">AD3233*$M3233</f>
        <v>0</v>
      </c>
      <c r="AF3233" s="28"/>
      <c r="AG3233" s="28" t="n">
        <f aca="false">AF3233*$M3233</f>
        <v>0</v>
      </c>
      <c r="AH3233" s="28"/>
      <c r="AI3233" s="28" t="n">
        <f aca="false">AH3233*$M3233</f>
        <v>0</v>
      </c>
      <c r="AJ3233" s="28"/>
      <c r="AK3233" s="28" t="n">
        <f aca="false">AJ3233*$M3233</f>
        <v>0</v>
      </c>
      <c r="AL3233" s="28"/>
      <c r="AM3233" s="28" t="n">
        <f aca="false">AL3233*$M3233</f>
        <v>0</v>
      </c>
      <c r="AN3233" s="28"/>
      <c r="AO3233" s="28" t="n">
        <f aca="false">AN3233*$M3233</f>
        <v>0</v>
      </c>
      <c r="AP3233" s="28"/>
      <c r="AQ3233" s="28" t="n">
        <f aca="false">AP3233*$M3233</f>
        <v>0</v>
      </c>
      <c r="AR3233" s="28"/>
      <c r="AS3233" s="28" t="n">
        <f aca="false">AR3233*$M3233</f>
        <v>0</v>
      </c>
      <c r="AT3233" s="28"/>
      <c r="AU3233" s="28" t="n">
        <f aca="false">AT3233*$M3233</f>
        <v>0</v>
      </c>
      <c r="AV3233" s="28"/>
      <c r="AW3233" s="28" t="n">
        <f aca="false">AV3233*$M3233</f>
        <v>0</v>
      </c>
      <c r="AX3233" s="28"/>
      <c r="AY3233" s="28" t="n">
        <f aca="false">AX3233*$M3233</f>
        <v>0</v>
      </c>
      <c r="AZ3233" s="30"/>
      <c r="BA3233" s="11"/>
      <c r="BB3233" s="31" t="n">
        <f aca="false">SUM(Q3233,S3233,U3233,W3233,Y3233,AA3233,AC3233,AE3233,AG3233,AI3233,AK3233,AM3233,AO3233,AQ3233,AS3233,AU3233,AW3233,AY3233)</f>
        <v>0</v>
      </c>
      <c r="BC3233" s="28" t="n">
        <f aca="false">BA3233-BB3233</f>
        <v>0</v>
      </c>
      <c r="BD3233" s="32" t="n">
        <f aca="false">SUM(P3233,R3233,T3233,V3233,X3233,Z3233,AB3233,AD3233,AF3233,AH3233,AJ3233,AL3233,AN3233,AP3233,AR3233,AT3233,AV3233,AX3233)</f>
        <v>0</v>
      </c>
      <c r="BE3233" s="33" t="n">
        <f aca="false">AZ3233-BD3233</f>
        <v>0</v>
      </c>
      <c r="BF3233" s="34" t="n">
        <f aca="false">BD3233*M3233</f>
        <v>0</v>
      </c>
      <c r="BG3233" s="35" t="n">
        <f aca="false">BA3233-BF3233</f>
        <v>0</v>
      </c>
      <c r="BH3233" s="19" t="str">
        <f aca="false">IF(BG3233=0,"",IF(BG3233&lt;&gt;BA3233,"erreur de calcul",IF(BD3233&lt;&gt;0,"pas de prix",IF(M3233&lt;&gt; 0,"pas de quantité","pas de prix, ni de quantité"))))</f>
        <v/>
      </c>
      <c r="BI3233" s="19"/>
    </row>
    <row r="3234" customFormat="false" ht="15" hidden="false" customHeight="false" outlineLevel="0" collapsed="false">
      <c r="A3234" s="0" t="n">
        <v>32</v>
      </c>
      <c r="B3234" s="8" t="s">
        <v>24</v>
      </c>
      <c r="C3234" s="9" t="s">
        <v>25</v>
      </c>
      <c r="D3234" s="9" t="s">
        <v>26</v>
      </c>
      <c r="E3234" s="10" t="n">
        <v>1789</v>
      </c>
      <c r="F3234" s="9" t="s">
        <v>27</v>
      </c>
      <c r="G3234" s="9" t="s">
        <v>27</v>
      </c>
      <c r="H3234" s="11" t="n">
        <v>20</v>
      </c>
      <c r="I3234" s="11" t="s">
        <v>150</v>
      </c>
      <c r="J3234" s="14" t="n">
        <v>70</v>
      </c>
      <c r="K3234" s="14"/>
      <c r="L3234" s="16"/>
      <c r="M3234" s="27" t="n">
        <f aca="false">J3234+(K3234/20)+(L3234/240)</f>
        <v>70</v>
      </c>
      <c r="N3234" s="17" t="s">
        <v>64</v>
      </c>
      <c r="O3234" s="11" t="s">
        <v>98</v>
      </c>
      <c r="P3234" s="28" t="n">
        <f aca="false">382028/100</f>
        <v>3820.28</v>
      </c>
      <c r="Q3234" s="28" t="n">
        <v>267420</v>
      </c>
      <c r="R3234" s="28" t="n">
        <f aca="false">131361/100</f>
        <v>1313.61</v>
      </c>
      <c r="S3234" s="28" t="n">
        <v>91953</v>
      </c>
      <c r="T3234" s="28" t="n">
        <f aca="false">8856/100</f>
        <v>88.56</v>
      </c>
      <c r="U3234" s="28" t="n">
        <v>6199</v>
      </c>
      <c r="V3234" s="28" t="n">
        <f aca="false">171125/100</f>
        <v>1711.25</v>
      </c>
      <c r="W3234" s="28" t="n">
        <v>119787</v>
      </c>
      <c r="X3234" s="28" t="n">
        <f aca="false">24259/100</f>
        <v>242.59</v>
      </c>
      <c r="Y3234" s="28" t="n">
        <v>16981</v>
      </c>
      <c r="Z3234" s="28"/>
      <c r="AA3234" s="28" t="n">
        <f aca="false">Z3234*$M3234</f>
        <v>0</v>
      </c>
      <c r="AB3234" s="28" t="n">
        <f aca="false">33694/100</f>
        <v>336.94</v>
      </c>
      <c r="AC3234" s="28" t="n">
        <v>23586</v>
      </c>
      <c r="AD3234" s="28" t="n">
        <f aca="false">89734/100</f>
        <v>897.34</v>
      </c>
      <c r="AE3234" s="28" t="n">
        <v>62814</v>
      </c>
      <c r="AF3234" s="28" t="n">
        <f aca="false">1955727/100</f>
        <v>19557.27</v>
      </c>
      <c r="AG3234" s="28" t="n">
        <v>1369009</v>
      </c>
      <c r="AH3234" s="28" t="n">
        <f aca="false">11740/100</f>
        <v>117.4</v>
      </c>
      <c r="AI3234" s="28" t="n">
        <v>8218</v>
      </c>
      <c r="AJ3234" s="28"/>
      <c r="AK3234" s="28" t="n">
        <f aca="false">AJ3234*$M3234</f>
        <v>0</v>
      </c>
      <c r="AL3234" s="28"/>
      <c r="AM3234" s="28" t="n">
        <f aca="false">AL3234*$M3234</f>
        <v>0</v>
      </c>
      <c r="AN3234" s="28"/>
      <c r="AO3234" s="28" t="n">
        <f aca="false">AN3234*$M3234</f>
        <v>0</v>
      </c>
      <c r="AP3234" s="28"/>
      <c r="AQ3234" s="28" t="n">
        <f aca="false">AP3234*$M3234</f>
        <v>0</v>
      </c>
      <c r="AR3234" s="28"/>
      <c r="AS3234" s="28" t="n">
        <f aca="false">AR3234*$M3234</f>
        <v>0</v>
      </c>
      <c r="AT3234" s="28"/>
      <c r="AU3234" s="28" t="n">
        <f aca="false">AT3234*$M3234</f>
        <v>0</v>
      </c>
      <c r="AV3234" s="28" t="n">
        <f aca="false">15000/100</f>
        <v>150</v>
      </c>
      <c r="AW3234" s="28" t="n">
        <v>10500</v>
      </c>
      <c r="AX3234" s="28"/>
      <c r="AY3234" s="28" t="n">
        <f aca="false">AX3234*$M3234</f>
        <v>0</v>
      </c>
      <c r="AZ3234" s="30" t="n">
        <f aca="false">2823524/100</f>
        <v>28235.24</v>
      </c>
      <c r="BA3234" s="11" t="n">
        <v>1976467</v>
      </c>
      <c r="BB3234" s="31" t="n">
        <f aca="false">SUM(Q3234,S3234,U3234,W3234,Y3234,AA3234,AC3234,AE3234,AG3234,AI3234,AK3234,AM3234,AO3234,AQ3234,AS3234,AU3234,AW3234,AY3234)</f>
        <v>1976467</v>
      </c>
      <c r="BC3234" s="28" t="n">
        <f aca="false">BA3234-BB3234</f>
        <v>0</v>
      </c>
      <c r="BD3234" s="32" t="n">
        <f aca="false">SUM(P3234,R3234,T3234,V3234,X3234,Z3234,AB3234,AD3234,AF3234,AH3234,AJ3234,AL3234,AN3234,AP3234,AR3234,AT3234,AV3234,AX3234)</f>
        <v>28235.24</v>
      </c>
      <c r="BE3234" s="33" t="n">
        <f aca="false">AZ3234-BD3234</f>
        <v>0</v>
      </c>
      <c r="BF3234" s="34" t="n">
        <f aca="false">BD3234*M3234</f>
        <v>1976466.8</v>
      </c>
      <c r="BG3234" s="35" t="n">
        <f aca="false">BA3234-BF3234</f>
        <v>0.199999999953434</v>
      </c>
      <c r="BH3234" s="19" t="str">
        <f aca="false">IF(BG3234=0,"",IF(BG3234&lt;&gt;BA3234,"erreur de calcul",IF(BD3234&lt;&gt;0,"pas de prix",IF(M3234&lt;&gt; 0,"pas de quantité","pas de prix, ni de quantité"))))</f>
        <v>erreur de calcul</v>
      </c>
      <c r="BI3234" s="19"/>
    </row>
    <row r="3235" customFormat="false" ht="15" hidden="false" customHeight="false" outlineLevel="0" collapsed="false">
      <c r="A3235" s="0" t="n">
        <v>33</v>
      </c>
      <c r="B3235" s="8" t="s">
        <v>24</v>
      </c>
      <c r="C3235" s="9" t="s">
        <v>25</v>
      </c>
      <c r="D3235" s="9" t="s">
        <v>26</v>
      </c>
      <c r="E3235" s="10" t="n">
        <v>1789</v>
      </c>
      <c r="F3235" s="9" t="s">
        <v>27</v>
      </c>
      <c r="G3235" s="9" t="s">
        <v>27</v>
      </c>
      <c r="H3235" s="11" t="n">
        <v>20</v>
      </c>
      <c r="I3235" s="11" t="s">
        <v>151</v>
      </c>
      <c r="J3235" s="14" t="n">
        <v>150</v>
      </c>
      <c r="K3235" s="14"/>
      <c r="L3235" s="16"/>
      <c r="M3235" s="27" t="n">
        <f aca="false">J3235+(K3235/20)+(L3235/240)</f>
        <v>150</v>
      </c>
      <c r="N3235" s="17" t="s">
        <v>64</v>
      </c>
      <c r="O3235" s="11"/>
      <c r="P3235" s="28"/>
      <c r="Q3235" s="28" t="n">
        <f aca="false">P3235*$M3235</f>
        <v>0</v>
      </c>
      <c r="R3235" s="28"/>
      <c r="S3235" s="28" t="n">
        <f aca="false">R3235*$M3235</f>
        <v>0</v>
      </c>
      <c r="T3235" s="28"/>
      <c r="U3235" s="28" t="n">
        <f aca="false">T3235*$M3235</f>
        <v>0</v>
      </c>
      <c r="V3235" s="28"/>
      <c r="W3235" s="28" t="n">
        <f aca="false">V3235*$M3235</f>
        <v>0</v>
      </c>
      <c r="X3235" s="28"/>
      <c r="Y3235" s="28" t="n">
        <f aca="false">X3235*$M3235</f>
        <v>0</v>
      </c>
      <c r="Z3235" s="28"/>
      <c r="AA3235" s="28" t="n">
        <f aca="false">Z3235*$M3235</f>
        <v>0</v>
      </c>
      <c r="AB3235" s="28"/>
      <c r="AC3235" s="28" t="n">
        <f aca="false">AB3235*$M3235</f>
        <v>0</v>
      </c>
      <c r="AD3235" s="28"/>
      <c r="AE3235" s="28" t="n">
        <f aca="false">AD3235*$M3235</f>
        <v>0</v>
      </c>
      <c r="AF3235" s="28"/>
      <c r="AG3235" s="28" t="n">
        <f aca="false">AF3235*$M3235</f>
        <v>0</v>
      </c>
      <c r="AH3235" s="28"/>
      <c r="AI3235" s="28" t="n">
        <f aca="false">AH3235*$M3235</f>
        <v>0</v>
      </c>
      <c r="AJ3235" s="28"/>
      <c r="AK3235" s="28" t="n">
        <f aca="false">AJ3235*$M3235</f>
        <v>0</v>
      </c>
      <c r="AL3235" s="28" t="n">
        <f aca="false">118785/100</f>
        <v>1187.85</v>
      </c>
      <c r="AM3235" s="28" t="n">
        <v>178177</v>
      </c>
      <c r="AN3235" s="28"/>
      <c r="AO3235" s="28" t="n">
        <f aca="false">AN3235*$M3235</f>
        <v>0</v>
      </c>
      <c r="AP3235" s="28"/>
      <c r="AQ3235" s="28" t="n">
        <f aca="false">AP3235*$M3235</f>
        <v>0</v>
      </c>
      <c r="AR3235" s="28"/>
      <c r="AS3235" s="28" t="n">
        <f aca="false">AR3235*$M3235</f>
        <v>0</v>
      </c>
      <c r="AT3235" s="28"/>
      <c r="AU3235" s="28" t="n">
        <f aca="false">AT3235*$M3235</f>
        <v>0</v>
      </c>
      <c r="AV3235" s="28"/>
      <c r="AW3235" s="28" t="n">
        <f aca="false">AV3235*$M3235</f>
        <v>0</v>
      </c>
      <c r="AX3235" s="28"/>
      <c r="AY3235" s="28" t="n">
        <f aca="false">AX3235*$M3235</f>
        <v>0</v>
      </c>
      <c r="AZ3235" s="30" t="n">
        <f aca="false">118785/100</f>
        <v>1187.85</v>
      </c>
      <c r="BA3235" s="11" t="n">
        <v>178177</v>
      </c>
      <c r="BB3235" s="31" t="n">
        <f aca="false">SUM(Q3235,S3235,U3235,W3235,Y3235,AA3235,AC3235,AE3235,AG3235,AI3235,AK3235,AM3235,AO3235,AQ3235,AS3235,AU3235,AW3235,AY3235)</f>
        <v>178177</v>
      </c>
      <c r="BC3235" s="28" t="n">
        <f aca="false">BA3235-BB3235</f>
        <v>0</v>
      </c>
      <c r="BD3235" s="32" t="n">
        <f aca="false">SUM(P3235,R3235,T3235,V3235,X3235,Z3235,AB3235,AD3235,AF3235,AH3235,AJ3235,AL3235,AN3235,AP3235,AR3235,AT3235,AV3235,AX3235)</f>
        <v>1187.85</v>
      </c>
      <c r="BE3235" s="33" t="n">
        <f aca="false">AZ3235-BD3235</f>
        <v>0</v>
      </c>
      <c r="BF3235" s="34" t="n">
        <f aca="false">BD3235*M3235</f>
        <v>178177.5</v>
      </c>
      <c r="BG3235" s="35" t="n">
        <f aca="false">BA3235-BF3235</f>
        <v>-0.5</v>
      </c>
      <c r="BH3235" s="19" t="str">
        <f aca="false">IF(BG3235=0,"",IF(BG3235&lt;&gt;BA3235,"erreur de calcul",IF(BD3235&lt;&gt;0,"pas de prix",IF(M3235&lt;&gt; 0,"pas de quantité","pas de prix, ni de quantité"))))</f>
        <v>erreur de calcul</v>
      </c>
      <c r="BI3235" s="19"/>
    </row>
    <row r="3236" customFormat="false" ht="15" hidden="false" customHeight="false" outlineLevel="0" collapsed="false">
      <c r="A3236" s="0" t="n">
        <v>34</v>
      </c>
      <c r="B3236" s="8" t="s">
        <v>24</v>
      </c>
      <c r="C3236" s="9" t="s">
        <v>25</v>
      </c>
      <c r="D3236" s="9" t="s">
        <v>26</v>
      </c>
      <c r="E3236" s="10" t="n">
        <v>1789</v>
      </c>
      <c r="F3236" s="9" t="s">
        <v>27</v>
      </c>
      <c r="G3236" s="9" t="s">
        <v>27</v>
      </c>
      <c r="H3236" s="11" t="n">
        <v>20</v>
      </c>
      <c r="I3236" s="11" t="s">
        <v>152</v>
      </c>
      <c r="J3236" s="14" t="n">
        <v>80</v>
      </c>
      <c r="K3236" s="14"/>
      <c r="L3236" s="16"/>
      <c r="M3236" s="27" t="n">
        <f aca="false">J3236+(K3236/20)+(L3236/240)</f>
        <v>80</v>
      </c>
      <c r="N3236" s="17" t="s">
        <v>64</v>
      </c>
      <c r="O3236" s="11"/>
      <c r="P3236" s="28"/>
      <c r="Q3236" s="28" t="n">
        <f aca="false">P3236*$M3236</f>
        <v>0</v>
      </c>
      <c r="R3236" s="28"/>
      <c r="S3236" s="28" t="n">
        <f aca="false">R3236*$M3236</f>
        <v>0</v>
      </c>
      <c r="T3236" s="28"/>
      <c r="U3236" s="28" t="n">
        <f aca="false">T3236*$M3236</f>
        <v>0</v>
      </c>
      <c r="V3236" s="28"/>
      <c r="W3236" s="28" t="n">
        <f aca="false">V3236*$M3236</f>
        <v>0</v>
      </c>
      <c r="X3236" s="28"/>
      <c r="Y3236" s="28" t="n">
        <f aca="false">X3236*$M3236</f>
        <v>0</v>
      </c>
      <c r="Z3236" s="28"/>
      <c r="AA3236" s="28" t="n">
        <f aca="false">Z3236*$M3236</f>
        <v>0</v>
      </c>
      <c r="AB3236" s="28" t="n">
        <f aca="false">3142/100</f>
        <v>31.42</v>
      </c>
      <c r="AC3236" s="28" t="n">
        <v>2514</v>
      </c>
      <c r="AD3236" s="28"/>
      <c r="AE3236" s="28" t="n">
        <f aca="false">AD3236*$M3236</f>
        <v>0</v>
      </c>
      <c r="AF3236" s="28" t="n">
        <f aca="false">4868/100</f>
        <v>48.68</v>
      </c>
      <c r="AG3236" s="36" t="n">
        <v>3874</v>
      </c>
      <c r="AH3236" s="28" t="n">
        <f aca="false">1541601/100</f>
        <v>15416.01</v>
      </c>
      <c r="AI3236" s="28" t="n">
        <v>1233281</v>
      </c>
      <c r="AJ3236" s="28"/>
      <c r="AK3236" s="28" t="n">
        <f aca="false">AJ3236*$M3236</f>
        <v>0</v>
      </c>
      <c r="AL3236" s="28"/>
      <c r="AM3236" s="28" t="n">
        <f aca="false">AL3236*$M3236</f>
        <v>0</v>
      </c>
      <c r="AN3236" s="28"/>
      <c r="AO3236" s="28" t="n">
        <f aca="false">AN3236*$M3236</f>
        <v>0</v>
      </c>
      <c r="AP3236" s="28"/>
      <c r="AQ3236" s="28" t="n">
        <f aca="false">AP3236*$M3236</f>
        <v>0</v>
      </c>
      <c r="AR3236" s="28"/>
      <c r="AS3236" s="28" t="n">
        <f aca="false">AR3236*$M3236</f>
        <v>0</v>
      </c>
      <c r="AT3236" s="28"/>
      <c r="AU3236" s="28" t="n">
        <f aca="false">AT3236*$M3236</f>
        <v>0</v>
      </c>
      <c r="AV3236" s="28"/>
      <c r="AW3236" s="28" t="n">
        <f aca="false">AV3236*$M3236</f>
        <v>0</v>
      </c>
      <c r="AX3236" s="28"/>
      <c r="AY3236" s="28" t="n">
        <f aca="false">AX3236*$M3236</f>
        <v>0</v>
      </c>
      <c r="AZ3236" s="30" t="n">
        <f aca="false">1549611/100</f>
        <v>15496.11</v>
      </c>
      <c r="BA3236" s="11" t="n">
        <v>1239669</v>
      </c>
      <c r="BB3236" s="31" t="n">
        <f aca="false">SUM(Q3236,S3236,U3236,W3236,Y3236,AA3236,AC3236,AE3236,AG3236,AI3236,AK3236,AM3236,AO3236,AQ3236,AS3236,AU3236,AW3236,AY3236)</f>
        <v>1239669</v>
      </c>
      <c r="BC3236" s="28" t="n">
        <f aca="false">BA3236-BB3236</f>
        <v>0</v>
      </c>
      <c r="BD3236" s="32" t="n">
        <f aca="false">SUM(P3236,R3236,T3236,V3236,X3236,Z3236,AB3236,AD3236,AF3236,AH3236,AJ3236,AL3236,AN3236,AP3236,AR3236,AT3236,AV3236,AX3236)</f>
        <v>15496.11</v>
      </c>
      <c r="BE3236" s="33" t="n">
        <f aca="false">AZ3236-BD3236</f>
        <v>0</v>
      </c>
      <c r="BF3236" s="34" t="n">
        <f aca="false">BD3236*M3236</f>
        <v>1239688.8</v>
      </c>
      <c r="BG3236" s="35" t="n">
        <f aca="false">BA3236-BF3236</f>
        <v>-19.8000000000466</v>
      </c>
      <c r="BH3236" s="19" t="str">
        <f aca="false">IF(BG3236=0,"",IF(BG3236&lt;&gt;BA3236,"erreur de calcul",IF(BD3236&lt;&gt;0,"pas de prix",IF(M3236&lt;&gt; 0,"pas de quantité","pas de prix, ni de quantité"))))</f>
        <v>erreur de calcul</v>
      </c>
      <c r="BI3236" s="19"/>
    </row>
    <row r="3237" customFormat="false" ht="15" hidden="false" customHeight="false" outlineLevel="0" collapsed="false">
      <c r="A3237" s="0" t="n">
        <v>35</v>
      </c>
      <c r="B3237" s="8" t="s">
        <v>24</v>
      </c>
      <c r="C3237" s="9" t="s">
        <v>25</v>
      </c>
      <c r="D3237" s="9" t="s">
        <v>26</v>
      </c>
      <c r="E3237" s="10" t="n">
        <v>1789</v>
      </c>
      <c r="F3237" s="9" t="s">
        <v>27</v>
      </c>
      <c r="G3237" s="9" t="s">
        <v>27</v>
      </c>
      <c r="H3237" s="11" t="n">
        <v>20</v>
      </c>
      <c r="I3237" s="11" t="s">
        <v>153</v>
      </c>
      <c r="J3237" s="14" t="n">
        <v>148</v>
      </c>
      <c r="K3237" s="14"/>
      <c r="L3237" s="16"/>
      <c r="M3237" s="27" t="n">
        <f aca="false">J3237+(K3237/20)+(L3237/240)</f>
        <v>148</v>
      </c>
      <c r="N3237" s="17" t="s">
        <v>64</v>
      </c>
      <c r="O3237" s="11"/>
      <c r="P3237" s="28"/>
      <c r="Q3237" s="28" t="n">
        <f aca="false">P3237*$M3237</f>
        <v>0</v>
      </c>
      <c r="R3237" s="28"/>
      <c r="S3237" s="28" t="n">
        <f aca="false">R3237*$M3237</f>
        <v>0</v>
      </c>
      <c r="T3237" s="28"/>
      <c r="U3237" s="28" t="n">
        <f aca="false">T3237*$M3237</f>
        <v>0</v>
      </c>
      <c r="V3237" s="28"/>
      <c r="W3237" s="28" t="n">
        <f aca="false">V3237*$M3237</f>
        <v>0</v>
      </c>
      <c r="X3237" s="28"/>
      <c r="Y3237" s="28" t="n">
        <f aca="false">X3237*$M3237</f>
        <v>0</v>
      </c>
      <c r="Z3237" s="28"/>
      <c r="AA3237" s="28" t="n">
        <f aca="false">Z3237*$M3237</f>
        <v>0</v>
      </c>
      <c r="AB3237" s="28"/>
      <c r="AC3237" s="28" t="n">
        <f aca="false">AB3237*$M3237</f>
        <v>0</v>
      </c>
      <c r="AD3237" s="28"/>
      <c r="AE3237" s="28" t="n">
        <f aca="false">AD3237*$M3237</f>
        <v>0</v>
      </c>
      <c r="AF3237" s="28"/>
      <c r="AG3237" s="28" t="n">
        <f aca="false">AF3237*$M3237</f>
        <v>0</v>
      </c>
      <c r="AH3237" s="28"/>
      <c r="AI3237" s="28" t="n">
        <f aca="false">AH3237*$M3237</f>
        <v>0</v>
      </c>
      <c r="AJ3237" s="28" t="n">
        <f aca="false">1472/100</f>
        <v>14.72</v>
      </c>
      <c r="AK3237" s="28" t="n">
        <v>2178</v>
      </c>
      <c r="AL3237" s="28"/>
      <c r="AM3237" s="28" t="n">
        <f aca="false">AL3237*$M3237</f>
        <v>0</v>
      </c>
      <c r="AN3237" s="28"/>
      <c r="AO3237" s="28" t="n">
        <f aca="false">AN3237*$M3237</f>
        <v>0</v>
      </c>
      <c r="AP3237" s="28"/>
      <c r="AQ3237" s="28" t="n">
        <f aca="false">AP3237*$M3237</f>
        <v>0</v>
      </c>
      <c r="AR3237" s="28"/>
      <c r="AS3237" s="28" t="n">
        <f aca="false">AR3237*$M3237</f>
        <v>0</v>
      </c>
      <c r="AT3237" s="28"/>
      <c r="AU3237" s="28" t="n">
        <f aca="false">AT3237*$M3237</f>
        <v>0</v>
      </c>
      <c r="AV3237" s="28"/>
      <c r="AW3237" s="28" t="n">
        <f aca="false">AV3237*$M3237</f>
        <v>0</v>
      </c>
      <c r="AX3237" s="28"/>
      <c r="AY3237" s="28" t="n">
        <f aca="false">AX3237*$M3237</f>
        <v>0</v>
      </c>
      <c r="AZ3237" s="30" t="n">
        <f aca="false">1472/100</f>
        <v>14.72</v>
      </c>
      <c r="BA3237" s="11" t="n">
        <v>2178</v>
      </c>
      <c r="BB3237" s="31" t="n">
        <f aca="false">SUM(Q3237,S3237,U3237,W3237,Y3237,AA3237,AC3237,AE3237,AG3237,AI3237,AK3237,AM3237,AO3237,AQ3237,AS3237,AU3237,AW3237,AY3237)</f>
        <v>2178</v>
      </c>
      <c r="BC3237" s="28" t="n">
        <f aca="false">BA3237-BB3237</f>
        <v>0</v>
      </c>
      <c r="BD3237" s="32" t="n">
        <f aca="false">SUM(P3237,R3237,T3237,V3237,X3237,Z3237,AB3237,AD3237,AF3237,AH3237,AJ3237,AL3237,AN3237,AP3237,AR3237,AT3237,AV3237,AX3237)</f>
        <v>14.72</v>
      </c>
      <c r="BE3237" s="33" t="n">
        <f aca="false">AZ3237-BD3237</f>
        <v>0</v>
      </c>
      <c r="BF3237" s="34" t="n">
        <f aca="false">BD3237*M3237</f>
        <v>2178.56</v>
      </c>
      <c r="BG3237" s="35" t="n">
        <f aca="false">BA3237-BF3237</f>
        <v>-0.559999999999945</v>
      </c>
      <c r="BH3237" s="19" t="str">
        <f aca="false">IF(BG3237=0,"",IF(BG3237&lt;&gt;BA3237,"erreur de calcul",IF(BD3237&lt;&gt;0,"pas de prix",IF(M3237&lt;&gt; 0,"pas de quantité","pas de prix, ni de quantité"))))</f>
        <v>erreur de calcul</v>
      </c>
      <c r="BI3237" s="19"/>
    </row>
    <row r="3238" customFormat="false" ht="15" hidden="false" customHeight="false" outlineLevel="0" collapsed="false">
      <c r="A3238" s="0" t="n">
        <v>36</v>
      </c>
      <c r="B3238" s="8" t="s">
        <v>24</v>
      </c>
      <c r="C3238" s="9" t="s">
        <v>25</v>
      </c>
      <c r="D3238" s="9" t="s">
        <v>26</v>
      </c>
      <c r="E3238" s="10" t="n">
        <v>1789</v>
      </c>
      <c r="F3238" s="9" t="s">
        <v>27</v>
      </c>
      <c r="G3238" s="9" t="s">
        <v>27</v>
      </c>
      <c r="H3238" s="11" t="n">
        <v>20</v>
      </c>
      <c r="I3238" s="11" t="s">
        <v>154</v>
      </c>
      <c r="J3238" s="14" t="n">
        <v>75</v>
      </c>
      <c r="K3238" s="14"/>
      <c r="L3238" s="16"/>
      <c r="M3238" s="27" t="n">
        <f aca="false">J3238+(K3238/20)+(L3238/240)</f>
        <v>75</v>
      </c>
      <c r="N3238" s="17" t="s">
        <v>64</v>
      </c>
      <c r="O3238" s="11"/>
      <c r="P3238" s="28"/>
      <c r="Q3238" s="28" t="n">
        <f aca="false">P3238*$M3238</f>
        <v>0</v>
      </c>
      <c r="R3238" s="28"/>
      <c r="S3238" s="28" t="n">
        <f aca="false">R3238*$M3238</f>
        <v>0</v>
      </c>
      <c r="T3238" s="28" t="n">
        <f aca="false">627/100</f>
        <v>6.27</v>
      </c>
      <c r="U3238" s="28" t="n">
        <v>470</v>
      </c>
      <c r="V3238" s="28"/>
      <c r="W3238" s="28" t="n">
        <f aca="false">V3238*$M3238</f>
        <v>0</v>
      </c>
      <c r="X3238" s="28"/>
      <c r="Y3238" s="28" t="n">
        <f aca="false">X3238*$M3238</f>
        <v>0</v>
      </c>
      <c r="Z3238" s="28"/>
      <c r="AA3238" s="28" t="n">
        <f aca="false">Z3238*$M3238</f>
        <v>0</v>
      </c>
      <c r="AB3238" s="28"/>
      <c r="AC3238" s="28" t="n">
        <f aca="false">AB3238*$M3238</f>
        <v>0</v>
      </c>
      <c r="AD3238" s="28"/>
      <c r="AE3238" s="28" t="n">
        <f aca="false">AD3238*$M3238</f>
        <v>0</v>
      </c>
      <c r="AF3238" s="28"/>
      <c r="AG3238" s="28" t="n">
        <f aca="false">AF3238*$M3238</f>
        <v>0</v>
      </c>
      <c r="AH3238" s="28"/>
      <c r="AI3238" s="28" t="n">
        <f aca="false">AH3238*$M3238</f>
        <v>0</v>
      </c>
      <c r="AJ3238" s="28"/>
      <c r="AK3238" s="28" t="n">
        <f aca="false">AJ3238*$M3238</f>
        <v>0</v>
      </c>
      <c r="AL3238" s="28"/>
      <c r="AM3238" s="28" t="n">
        <f aca="false">AL3238*$M3238</f>
        <v>0</v>
      </c>
      <c r="AN3238" s="28"/>
      <c r="AO3238" s="28" t="n">
        <f aca="false">AN3238*$M3238</f>
        <v>0</v>
      </c>
      <c r="AP3238" s="28"/>
      <c r="AQ3238" s="28" t="n">
        <f aca="false">AP3238*$M3238</f>
        <v>0</v>
      </c>
      <c r="AR3238" s="28"/>
      <c r="AS3238" s="28" t="n">
        <f aca="false">AR3238*$M3238</f>
        <v>0</v>
      </c>
      <c r="AT3238" s="28"/>
      <c r="AU3238" s="28" t="n">
        <f aca="false">AT3238*$M3238</f>
        <v>0</v>
      </c>
      <c r="AV3238" s="28"/>
      <c r="AW3238" s="28" t="n">
        <f aca="false">AV3238*$M3238</f>
        <v>0</v>
      </c>
      <c r="AX3238" s="28"/>
      <c r="AY3238" s="28" t="n">
        <f aca="false">AX3238*$M3238</f>
        <v>0</v>
      </c>
      <c r="AZ3238" s="30" t="n">
        <f aca="false">627/100</f>
        <v>6.27</v>
      </c>
      <c r="BA3238" s="11" t="n">
        <v>470</v>
      </c>
      <c r="BB3238" s="31" t="n">
        <f aca="false">SUM(Q3238,S3238,U3238,W3238,Y3238,AA3238,AC3238,AE3238,AG3238,AI3238,AK3238,AM3238,AO3238,AQ3238,AS3238,AU3238,AW3238,AY3238)</f>
        <v>470</v>
      </c>
      <c r="BC3238" s="28" t="n">
        <f aca="false">BA3238-BB3238</f>
        <v>0</v>
      </c>
      <c r="BD3238" s="32" t="n">
        <f aca="false">SUM(P3238,R3238,T3238,V3238,X3238,Z3238,AB3238,AD3238,AF3238,AH3238,AJ3238,AL3238,AN3238,AP3238,AR3238,AT3238,AV3238,AX3238)</f>
        <v>6.27</v>
      </c>
      <c r="BE3238" s="33" t="n">
        <f aca="false">AZ3238-BD3238</f>
        <v>0</v>
      </c>
      <c r="BF3238" s="34" t="n">
        <f aca="false">BD3238*M3238</f>
        <v>470.25</v>
      </c>
      <c r="BG3238" s="35" t="n">
        <f aca="false">BA3238-BF3238</f>
        <v>-0.249999999999943</v>
      </c>
      <c r="BH3238" s="19" t="str">
        <f aca="false">IF(BG3238=0,"",IF(BG3238&lt;&gt;BA3238,"erreur de calcul",IF(BD3238&lt;&gt;0,"pas de prix",IF(M3238&lt;&gt; 0,"pas de quantité","pas de prix, ni de quantité"))))</f>
        <v>erreur de calcul</v>
      </c>
      <c r="BI3238" s="19"/>
    </row>
    <row r="3239" customFormat="false" ht="15" hidden="false" customHeight="false" outlineLevel="0" collapsed="false">
      <c r="A3239" s="0" t="n">
        <v>1</v>
      </c>
      <c r="B3239" s="8" t="s">
        <v>24</v>
      </c>
      <c r="C3239" s="9" t="s">
        <v>25</v>
      </c>
      <c r="D3239" s="9" t="s">
        <v>26</v>
      </c>
      <c r="E3239" s="10" t="n">
        <v>1789</v>
      </c>
      <c r="F3239" s="9" t="s">
        <v>27</v>
      </c>
      <c r="G3239" s="9" t="s">
        <v>27</v>
      </c>
      <c r="H3239" s="11" t="n">
        <v>21</v>
      </c>
      <c r="I3239" s="11" t="s">
        <v>155</v>
      </c>
      <c r="J3239" s="14" t="n">
        <v>60</v>
      </c>
      <c r="K3239" s="14"/>
      <c r="L3239" s="16"/>
      <c r="M3239" s="27" t="n">
        <f aca="false">J3239+(K3239/20)+(L3239/240)</f>
        <v>60</v>
      </c>
      <c r="N3239" s="17" t="s">
        <v>66</v>
      </c>
      <c r="O3239" s="11"/>
      <c r="P3239" s="28"/>
      <c r="Q3239" s="28" t="n">
        <f aca="false">P3239*$M3239</f>
        <v>0</v>
      </c>
      <c r="R3239" s="28"/>
      <c r="S3239" s="28" t="n">
        <f aca="false">R3239*$M3239</f>
        <v>0</v>
      </c>
      <c r="T3239" s="28"/>
      <c r="U3239" s="28" t="n">
        <f aca="false">T3239*$M3239</f>
        <v>0</v>
      </c>
      <c r="V3239" s="28" t="n">
        <v>10</v>
      </c>
      <c r="W3239" s="28" t="n">
        <v>600</v>
      </c>
      <c r="X3239" s="28"/>
      <c r="Y3239" s="28" t="n">
        <f aca="false">X3239*$M3239</f>
        <v>0</v>
      </c>
      <c r="Z3239" s="28"/>
      <c r="AA3239" s="28" t="n">
        <f aca="false">Z3239*$M3239</f>
        <v>0</v>
      </c>
      <c r="AB3239" s="28"/>
      <c r="AC3239" s="28" t="n">
        <f aca="false">AB3239*$M3239</f>
        <v>0</v>
      </c>
      <c r="AD3239" s="28"/>
      <c r="AE3239" s="28" t="n">
        <f aca="false">AD3239*$M3239</f>
        <v>0</v>
      </c>
      <c r="AF3239" s="28"/>
      <c r="AG3239" s="28" t="n">
        <f aca="false">AF3239*$M3239</f>
        <v>0</v>
      </c>
      <c r="AH3239" s="28"/>
      <c r="AI3239" s="28" t="n">
        <f aca="false">AH3239*$M3239</f>
        <v>0</v>
      </c>
      <c r="AJ3239" s="28"/>
      <c r="AK3239" s="28" t="n">
        <f aca="false">AJ3239*$M3239</f>
        <v>0</v>
      </c>
      <c r="AL3239" s="28"/>
      <c r="AM3239" s="28" t="n">
        <f aca="false">AL3239*$M3239</f>
        <v>0</v>
      </c>
      <c r="AN3239" s="28"/>
      <c r="AO3239" s="28" t="n">
        <f aca="false">AN3239*$M3239</f>
        <v>0</v>
      </c>
      <c r="AP3239" s="28"/>
      <c r="AQ3239" s="28" t="n">
        <f aca="false">AP3239*$M3239</f>
        <v>0</v>
      </c>
      <c r="AR3239" s="28"/>
      <c r="AS3239" s="28" t="n">
        <f aca="false">AR3239*$M3239</f>
        <v>0</v>
      </c>
      <c r="AT3239" s="28"/>
      <c r="AU3239" s="28" t="n">
        <f aca="false">AT3239*$M3239</f>
        <v>0</v>
      </c>
      <c r="AV3239" s="28"/>
      <c r="AW3239" s="28" t="n">
        <f aca="false">AV3239*$M3239</f>
        <v>0</v>
      </c>
      <c r="AX3239" s="28"/>
      <c r="AY3239" s="28" t="n">
        <f aca="false">AX3239*$M3239</f>
        <v>0</v>
      </c>
      <c r="AZ3239" s="30" t="n">
        <v>10</v>
      </c>
      <c r="BA3239" s="11" t="n">
        <v>600</v>
      </c>
      <c r="BB3239" s="31" t="n">
        <f aca="false">SUM(Q3239,S3239,U3239,W3239,Y3239,AA3239,AC3239,AE3239,AG3239,AI3239,AK3239,AM3239,AO3239,AQ3239,AS3239,AU3239,AW3239,AY3239)</f>
        <v>600</v>
      </c>
      <c r="BC3239" s="28" t="n">
        <f aca="false">BA3239-BB3239</f>
        <v>0</v>
      </c>
      <c r="BD3239" s="32" t="n">
        <f aca="false">SUM(P3239,R3239,T3239,V3239,X3239,Z3239,AB3239,AD3239,AF3239,AH3239,AJ3239,AL3239,AN3239,AP3239,AR3239,AT3239,AV3239,AX3239)</f>
        <v>10</v>
      </c>
      <c r="BE3239" s="33" t="n">
        <f aca="false">AZ3239-BD3239</f>
        <v>0</v>
      </c>
      <c r="BF3239" s="34" t="n">
        <f aca="false">BD3239*M3239</f>
        <v>600</v>
      </c>
      <c r="BG3239" s="35" t="n">
        <f aca="false">BA3239-BF3239</f>
        <v>0</v>
      </c>
      <c r="BH3239" s="19" t="str">
        <f aca="false">IF(BG3239=0,"",IF(BG3239&lt;&gt;BA3239,"erreur de calcul",IF(BD3239&lt;&gt;0,"pas de prix",IF(M3239&lt;&gt; 0,"pas de quantité","pas de prix, ni de quantité"))))</f>
        <v/>
      </c>
      <c r="BI3239" s="19"/>
    </row>
    <row r="3240" customFormat="false" ht="15" hidden="false" customHeight="false" outlineLevel="0" collapsed="false">
      <c r="A3240" s="0" t="n">
        <v>2</v>
      </c>
      <c r="B3240" s="8" t="s">
        <v>24</v>
      </c>
      <c r="C3240" s="9" t="s">
        <v>25</v>
      </c>
      <c r="D3240" s="9" t="s">
        <v>26</v>
      </c>
      <c r="E3240" s="10" t="n">
        <v>1789</v>
      </c>
      <c r="F3240" s="9" t="s">
        <v>27</v>
      </c>
      <c r="G3240" s="9" t="s">
        <v>27</v>
      </c>
      <c r="H3240" s="11" t="n">
        <v>21</v>
      </c>
      <c r="I3240" s="11" t="s">
        <v>156</v>
      </c>
      <c r="J3240" s="14"/>
      <c r="K3240" s="14"/>
      <c r="L3240" s="16"/>
      <c r="M3240" s="27" t="n">
        <f aca="false">J3240+(K3240/20)+(L3240/240)</f>
        <v>0</v>
      </c>
      <c r="N3240" s="17"/>
      <c r="O3240" s="11"/>
      <c r="P3240" s="28"/>
      <c r="Q3240" s="28" t="n">
        <v>304</v>
      </c>
      <c r="R3240" s="28"/>
      <c r="S3240" s="28" t="n">
        <f aca="false">R3240*$M3240</f>
        <v>0</v>
      </c>
      <c r="T3240" s="28"/>
      <c r="U3240" s="28" t="n">
        <f aca="false">T3240*$M3240</f>
        <v>0</v>
      </c>
      <c r="V3240" s="28"/>
      <c r="W3240" s="28" t="n">
        <f aca="false">V3240*$M3240</f>
        <v>0</v>
      </c>
      <c r="X3240" s="28"/>
      <c r="Y3240" s="28" t="n">
        <v>270</v>
      </c>
      <c r="Z3240" s="28"/>
      <c r="AA3240" s="28" t="n">
        <f aca="false">Z3240*$M3240</f>
        <v>0</v>
      </c>
      <c r="AB3240" s="28"/>
      <c r="AC3240" s="28" t="n">
        <f aca="false">AB3240*$M3240</f>
        <v>0</v>
      </c>
      <c r="AD3240" s="28"/>
      <c r="AE3240" s="28" t="n">
        <v>175</v>
      </c>
      <c r="AF3240" s="28"/>
      <c r="AG3240" s="28" t="n">
        <f aca="false">AF3240*$M3240</f>
        <v>0</v>
      </c>
      <c r="AH3240" s="28"/>
      <c r="AI3240" s="28" t="n">
        <f aca="false">AH3240*$M3240</f>
        <v>0</v>
      </c>
      <c r="AJ3240" s="28"/>
      <c r="AK3240" s="28" t="n">
        <v>240</v>
      </c>
      <c r="AL3240" s="28"/>
      <c r="AM3240" s="28" t="n">
        <v>808</v>
      </c>
      <c r="AN3240" s="28"/>
      <c r="AO3240" s="28" t="n">
        <f aca="false">AN3240*$M3240</f>
        <v>0</v>
      </c>
      <c r="AP3240" s="28"/>
      <c r="AQ3240" s="28" t="n">
        <f aca="false">AP3240*$M3240</f>
        <v>0</v>
      </c>
      <c r="AR3240" s="28"/>
      <c r="AS3240" s="28" t="n">
        <f aca="false">AR3240*$M3240</f>
        <v>0</v>
      </c>
      <c r="AT3240" s="28"/>
      <c r="AU3240" s="28" t="n">
        <f aca="false">AT3240*$M3240</f>
        <v>0</v>
      </c>
      <c r="AV3240" s="28"/>
      <c r="AW3240" s="28" t="n">
        <f aca="false">AV3240*$M3240</f>
        <v>0</v>
      </c>
      <c r="AX3240" s="28"/>
      <c r="AY3240" s="28" t="n">
        <f aca="false">AX3240*$M3240</f>
        <v>0</v>
      </c>
      <c r="AZ3240" s="30"/>
      <c r="BA3240" s="11" t="n">
        <v>1797</v>
      </c>
      <c r="BB3240" s="31" t="n">
        <f aca="false">SUM(Q3240,S3240,U3240,W3240,Y3240,AA3240,AC3240,AE3240,AG3240,AI3240,AK3240,AM3240,AO3240,AQ3240,AS3240,AU3240,AW3240,AY3240)</f>
        <v>1797</v>
      </c>
      <c r="BC3240" s="28" t="n">
        <f aca="false">BA3240-BB3240</f>
        <v>0</v>
      </c>
      <c r="BD3240" s="32" t="n">
        <f aca="false">SUM(P3240,R3240,T3240,V3240,X3240,Z3240,AB3240,AD3240,AF3240,AH3240,AJ3240,AL3240,AN3240,AP3240,AR3240,AT3240,AV3240,AX3240)</f>
        <v>0</v>
      </c>
      <c r="BE3240" s="33" t="n">
        <f aca="false">AZ3240-BD3240</f>
        <v>0</v>
      </c>
      <c r="BF3240" s="34" t="n">
        <f aca="false">BD3240*M3240</f>
        <v>0</v>
      </c>
      <c r="BG3240" s="35" t="n">
        <f aca="false">BA3240-BF3240</f>
        <v>1797</v>
      </c>
      <c r="BH3240" s="19" t="str">
        <f aca="false">IF(BG3240=0,"",IF(BG3240&lt;&gt;BA3240,"erreur de calcul",IF(BD3240&lt;&gt;0,"pas de prix",IF(M3240&lt;&gt; 0,"pas de quantité","pas de prix, ni de quantité"))))</f>
        <v>pas de prix, ni de quantité</v>
      </c>
      <c r="BI3240" s="19"/>
    </row>
    <row r="3241" customFormat="false" ht="15" hidden="false" customHeight="false" outlineLevel="0" collapsed="false">
      <c r="A3241" s="0" t="n">
        <v>3</v>
      </c>
      <c r="B3241" s="8" t="s">
        <v>24</v>
      </c>
      <c r="C3241" s="9" t="s">
        <v>25</v>
      </c>
      <c r="D3241" s="9" t="s">
        <v>26</v>
      </c>
      <c r="E3241" s="10" t="n">
        <v>1789</v>
      </c>
      <c r="F3241" s="9" t="s">
        <v>27</v>
      </c>
      <c r="G3241" s="9" t="s">
        <v>27</v>
      </c>
      <c r="H3241" s="11" t="n">
        <v>21</v>
      </c>
      <c r="I3241" s="11" t="s">
        <v>156</v>
      </c>
      <c r="J3241" s="14" t="n">
        <v>175</v>
      </c>
      <c r="K3241" s="14"/>
      <c r="L3241" s="16"/>
      <c r="M3241" s="27" t="n">
        <f aca="false">J3241+(K3241/20)+(L3241/240)</f>
        <v>175</v>
      </c>
      <c r="N3241" s="17" t="s">
        <v>64</v>
      </c>
      <c r="O3241" s="11" t="s">
        <v>98</v>
      </c>
      <c r="P3241" s="28" t="n">
        <f aca="false">3429/100</f>
        <v>34.29</v>
      </c>
      <c r="Q3241" s="28" t="n">
        <v>6001</v>
      </c>
      <c r="R3241" s="28"/>
      <c r="S3241" s="28" t="n">
        <f aca="false">R3241*$M3241</f>
        <v>0</v>
      </c>
      <c r="T3241" s="28" t="n">
        <f aca="false">5135/100</f>
        <v>51.35</v>
      </c>
      <c r="U3241" s="28" t="n">
        <v>8986</v>
      </c>
      <c r="V3241" s="28" t="n">
        <f aca="false">33716/100</f>
        <v>337.16</v>
      </c>
      <c r="W3241" s="28" t="n">
        <v>59003</v>
      </c>
      <c r="X3241" s="28" t="n">
        <f aca="false">14982/100</f>
        <v>149.82</v>
      </c>
      <c r="Y3241" s="28" t="n">
        <v>26218</v>
      </c>
      <c r="Z3241" s="28"/>
      <c r="AA3241" s="28" t="n">
        <f aca="false">Z3241*$M3241</f>
        <v>0</v>
      </c>
      <c r="AB3241" s="28"/>
      <c r="AC3241" s="28" t="n">
        <f aca="false">AB3241*$M3241</f>
        <v>0</v>
      </c>
      <c r="AD3241" s="28"/>
      <c r="AE3241" s="28" t="n">
        <f aca="false">AD3241*$M3241</f>
        <v>0</v>
      </c>
      <c r="AF3241" s="28" t="n">
        <f aca="false">439/100</f>
        <v>4.39</v>
      </c>
      <c r="AG3241" s="28" t="n">
        <v>768</v>
      </c>
      <c r="AH3241" s="28" t="n">
        <f aca="false">163722/100</f>
        <v>1637.22</v>
      </c>
      <c r="AI3241" s="28" t="n">
        <v>286513</v>
      </c>
      <c r="AJ3241" s="28" t="n">
        <f aca="false">17649/100</f>
        <v>176.49</v>
      </c>
      <c r="AK3241" s="28" t="n">
        <v>30886</v>
      </c>
      <c r="AL3241" s="28" t="n">
        <f aca="false">6852/100</f>
        <v>68.52</v>
      </c>
      <c r="AM3241" s="28" t="n">
        <v>11991</v>
      </c>
      <c r="AN3241" s="28"/>
      <c r="AO3241" s="28" t="n">
        <f aca="false">AN3241*$M3241</f>
        <v>0</v>
      </c>
      <c r="AP3241" s="28"/>
      <c r="AQ3241" s="28" t="n">
        <f aca="false">AP3241*$M3241</f>
        <v>0</v>
      </c>
      <c r="AR3241" s="28"/>
      <c r="AS3241" s="28" t="n">
        <f aca="false">AR3241*$M3241</f>
        <v>0</v>
      </c>
      <c r="AT3241" s="28"/>
      <c r="AU3241" s="28" t="n">
        <f aca="false">AT3241*$M3241</f>
        <v>0</v>
      </c>
      <c r="AV3241" s="28"/>
      <c r="AW3241" s="28" t="n">
        <f aca="false">AV3241*$M3241</f>
        <v>0</v>
      </c>
      <c r="AX3241" s="28"/>
      <c r="AY3241" s="28" t="n">
        <f aca="false">AX3241*$M3241</f>
        <v>0</v>
      </c>
      <c r="AZ3241" s="30" t="n">
        <f aca="false">245924/100</f>
        <v>2459.24</v>
      </c>
      <c r="BA3241" s="11" t="n">
        <v>430366</v>
      </c>
      <c r="BB3241" s="31" t="n">
        <f aca="false">SUM(Q3241,S3241,U3241,W3241,Y3241,AA3241,AC3241,AE3241,AG3241,AI3241,AK3241,AM3241,AO3241,AQ3241,AS3241,AU3241,AW3241,AY3241)</f>
        <v>430366</v>
      </c>
      <c r="BC3241" s="28" t="n">
        <f aca="false">BA3241-BB3241</f>
        <v>0</v>
      </c>
      <c r="BD3241" s="32" t="n">
        <f aca="false">SUM(P3241,R3241,T3241,V3241,X3241,Z3241,AB3241,AD3241,AF3241,AH3241,AJ3241,AL3241,AN3241,AP3241,AR3241,AT3241,AV3241,AX3241)</f>
        <v>2459.24</v>
      </c>
      <c r="BE3241" s="33" t="n">
        <f aca="false">AZ3241-BD3241</f>
        <v>0</v>
      </c>
      <c r="BF3241" s="34" t="n">
        <f aca="false">BD3241*M3241</f>
        <v>430367</v>
      </c>
      <c r="BG3241" s="35" t="n">
        <f aca="false">BA3241-BF3241</f>
        <v>-0.999999999941792</v>
      </c>
      <c r="BH3241" s="19" t="str">
        <f aca="false">IF(BG3241=0,"",IF(BG3241&lt;&gt;BA3241,"erreur de calcul",IF(BD3241&lt;&gt;0,"pas de prix",IF(M3241&lt;&gt; 0,"pas de quantité","pas de prix, ni de quantité"))))</f>
        <v>erreur de calcul</v>
      </c>
      <c r="BI3241" s="19"/>
    </row>
    <row r="3242" customFormat="false" ht="15" hidden="false" customHeight="false" outlineLevel="0" collapsed="false">
      <c r="A3242" s="0" t="n">
        <v>4</v>
      </c>
      <c r="B3242" s="8" t="s">
        <v>24</v>
      </c>
      <c r="C3242" s="9" t="s">
        <v>25</v>
      </c>
      <c r="D3242" s="9" t="s">
        <v>26</v>
      </c>
      <c r="E3242" s="10" t="n">
        <v>1789</v>
      </c>
      <c r="F3242" s="9" t="s">
        <v>27</v>
      </c>
      <c r="G3242" s="9" t="s">
        <v>27</v>
      </c>
      <c r="H3242" s="11" t="n">
        <v>21</v>
      </c>
      <c r="I3242" s="11" t="s">
        <v>157</v>
      </c>
      <c r="J3242" s="14" t="n">
        <v>240</v>
      </c>
      <c r="K3242" s="14"/>
      <c r="L3242" s="16"/>
      <c r="M3242" s="27" t="n">
        <f aca="false">J3242+(K3242/20)+(L3242/240)</f>
        <v>240</v>
      </c>
      <c r="N3242" s="17" t="s">
        <v>64</v>
      </c>
      <c r="O3242" s="11"/>
      <c r="P3242" s="28"/>
      <c r="Q3242" s="28" t="n">
        <f aca="false">P3242*$M3242</f>
        <v>0</v>
      </c>
      <c r="R3242" s="28"/>
      <c r="S3242" s="28" t="n">
        <f aca="false">R3242*$M3242</f>
        <v>0</v>
      </c>
      <c r="T3242" s="28"/>
      <c r="U3242" s="28" t="n">
        <f aca="false">T3242*$M3242</f>
        <v>0</v>
      </c>
      <c r="V3242" s="28"/>
      <c r="W3242" s="28" t="n">
        <f aca="false">V3242*$M3242</f>
        <v>0</v>
      </c>
      <c r="X3242" s="28"/>
      <c r="Y3242" s="28" t="n">
        <f aca="false">X3242*$M3242</f>
        <v>0</v>
      </c>
      <c r="Z3242" s="28"/>
      <c r="AA3242" s="28" t="n">
        <f aca="false">Z3242*$M3242</f>
        <v>0</v>
      </c>
      <c r="AB3242" s="28"/>
      <c r="AC3242" s="28" t="n">
        <f aca="false">AB3242*$M3242</f>
        <v>0</v>
      </c>
      <c r="AD3242" s="28"/>
      <c r="AE3242" s="28" t="n">
        <f aca="false">AD3242*$M3242</f>
        <v>0</v>
      </c>
      <c r="AF3242" s="28"/>
      <c r="AG3242" s="28" t="n">
        <f aca="false">AF3242*$M3242</f>
        <v>0</v>
      </c>
      <c r="AH3242" s="28"/>
      <c r="AI3242" s="28" t="n">
        <f aca="false">AH3242*$M3242</f>
        <v>0</v>
      </c>
      <c r="AJ3242" s="28" t="n">
        <f aca="false">290/100</f>
        <v>2.9</v>
      </c>
      <c r="AK3242" s="36" t="n">
        <v>2208</v>
      </c>
      <c r="AL3242" s="28"/>
      <c r="AM3242" s="28" t="n">
        <f aca="false">AL3242*$M3242</f>
        <v>0</v>
      </c>
      <c r="AN3242" s="28"/>
      <c r="AO3242" s="28" t="n">
        <f aca="false">AN3242*$M3242</f>
        <v>0</v>
      </c>
      <c r="AP3242" s="28"/>
      <c r="AQ3242" s="28" t="n">
        <f aca="false">AP3242*$M3242</f>
        <v>0</v>
      </c>
      <c r="AR3242" s="28"/>
      <c r="AS3242" s="28" t="n">
        <f aca="false">AR3242*$M3242</f>
        <v>0</v>
      </c>
      <c r="AT3242" s="28"/>
      <c r="AU3242" s="28" t="n">
        <f aca="false">AT3242*$M3242</f>
        <v>0</v>
      </c>
      <c r="AV3242" s="28"/>
      <c r="AW3242" s="28" t="n">
        <f aca="false">AV3242*$M3242</f>
        <v>0</v>
      </c>
      <c r="AX3242" s="28"/>
      <c r="AY3242" s="28" t="n">
        <f aca="false">AX3242*$M3242</f>
        <v>0</v>
      </c>
      <c r="AZ3242" s="30" t="n">
        <f aca="false">290/100</f>
        <v>2.9</v>
      </c>
      <c r="BA3242" s="11" t="n">
        <v>2208</v>
      </c>
      <c r="BB3242" s="31" t="n">
        <f aca="false">SUM(Q3242,S3242,U3242,W3242,Y3242,AA3242,AC3242,AE3242,AG3242,AI3242,AK3242,AM3242,AO3242,AQ3242,AS3242,AU3242,AW3242,AY3242)</f>
        <v>2208</v>
      </c>
      <c r="BC3242" s="28" t="n">
        <f aca="false">BA3242-BB3242</f>
        <v>0</v>
      </c>
      <c r="BD3242" s="32" t="n">
        <f aca="false">SUM(P3242,R3242,T3242,V3242,X3242,Z3242,AB3242,AD3242,AF3242,AH3242,AJ3242,AL3242,AN3242,AP3242,AR3242,AT3242,AV3242,AX3242)</f>
        <v>2.9</v>
      </c>
      <c r="BE3242" s="33" t="n">
        <f aca="false">AZ3242-BD3242</f>
        <v>0</v>
      </c>
      <c r="BF3242" s="34" t="n">
        <f aca="false">BD3242*M3242</f>
        <v>696</v>
      </c>
      <c r="BG3242" s="35" t="n">
        <f aca="false">BA3242-BF3242</f>
        <v>1512</v>
      </c>
      <c r="BH3242" s="19" t="str">
        <f aca="false">IF(BG3242=0,"",IF(BG3242&lt;&gt;BA3242,"erreur de calcul",IF(BD3242&lt;&gt;0,"pas de prix",IF(M3242&lt;&gt; 0,"pas de quantité","pas de prix, ni de quantité"))))</f>
        <v>erreur de calcul</v>
      </c>
      <c r="BI3242" s="19"/>
    </row>
    <row r="3243" customFormat="false" ht="15" hidden="false" customHeight="false" outlineLevel="0" collapsed="false">
      <c r="A3243" s="0" t="n">
        <v>5</v>
      </c>
      <c r="B3243" s="8" t="s">
        <v>24</v>
      </c>
      <c r="C3243" s="9" t="s">
        <v>25</v>
      </c>
      <c r="D3243" s="9" t="s">
        <v>26</v>
      </c>
      <c r="E3243" s="10" t="n">
        <v>1789</v>
      </c>
      <c r="F3243" s="9" t="s">
        <v>27</v>
      </c>
      <c r="G3243" s="9" t="s">
        <v>27</v>
      </c>
      <c r="H3243" s="11" t="n">
        <v>21</v>
      </c>
      <c r="I3243" s="11" t="s">
        <v>158</v>
      </c>
      <c r="J3243" s="14" t="n">
        <v>115</v>
      </c>
      <c r="K3243" s="14"/>
      <c r="L3243" s="16"/>
      <c r="M3243" s="27" t="n">
        <f aca="false">J3243+(K3243/20)+(L3243/240)</f>
        <v>115</v>
      </c>
      <c r="N3243" s="17" t="s">
        <v>64</v>
      </c>
      <c r="O3243" s="11"/>
      <c r="P3243" s="28"/>
      <c r="Q3243" s="28" t="n">
        <f aca="false">P3243*$M3243</f>
        <v>0</v>
      </c>
      <c r="R3243" s="28"/>
      <c r="S3243" s="28" t="n">
        <f aca="false">R3243*$M3243</f>
        <v>0</v>
      </c>
      <c r="T3243" s="28"/>
      <c r="U3243" s="28" t="n">
        <f aca="false">T3243*$M3243</f>
        <v>0</v>
      </c>
      <c r="V3243" s="28"/>
      <c r="W3243" s="28" t="n">
        <f aca="false">V3243*$M3243</f>
        <v>0</v>
      </c>
      <c r="X3243" s="28"/>
      <c r="Y3243" s="28" t="n">
        <f aca="false">X3243*$M3243</f>
        <v>0</v>
      </c>
      <c r="Z3243" s="28"/>
      <c r="AA3243" s="28" t="n">
        <f aca="false">Z3243*$M3243</f>
        <v>0</v>
      </c>
      <c r="AB3243" s="28"/>
      <c r="AC3243" s="28" t="n">
        <f aca="false">AB3243*$M3243</f>
        <v>0</v>
      </c>
      <c r="AD3243" s="28"/>
      <c r="AE3243" s="28" t="n">
        <f aca="false">AD3243*$M3243</f>
        <v>0</v>
      </c>
      <c r="AF3243" s="28"/>
      <c r="AG3243" s="28" t="n">
        <f aca="false">AF3243*$M3243</f>
        <v>0</v>
      </c>
      <c r="AH3243" s="28" t="n">
        <f aca="false">491552/100</f>
        <v>4915.52</v>
      </c>
      <c r="AI3243" s="28" t="n">
        <v>565285</v>
      </c>
      <c r="AJ3243" s="28"/>
      <c r="AK3243" s="28" t="n">
        <f aca="false">AJ3243*$M3243</f>
        <v>0</v>
      </c>
      <c r="AL3243" s="28"/>
      <c r="AM3243" s="28" t="n">
        <f aca="false">AL3243*$M3243</f>
        <v>0</v>
      </c>
      <c r="AN3243" s="28"/>
      <c r="AO3243" s="28" t="n">
        <f aca="false">AN3243*$M3243</f>
        <v>0</v>
      </c>
      <c r="AP3243" s="28"/>
      <c r="AQ3243" s="28" t="n">
        <f aca="false">AP3243*$M3243</f>
        <v>0</v>
      </c>
      <c r="AR3243" s="28"/>
      <c r="AS3243" s="28" t="n">
        <f aca="false">AR3243*$M3243</f>
        <v>0</v>
      </c>
      <c r="AT3243" s="28"/>
      <c r="AU3243" s="28" t="n">
        <f aca="false">AT3243*$M3243</f>
        <v>0</v>
      </c>
      <c r="AV3243" s="28"/>
      <c r="AW3243" s="28" t="n">
        <f aca="false">AV3243*$M3243</f>
        <v>0</v>
      </c>
      <c r="AX3243" s="28"/>
      <c r="AY3243" s="28" t="n">
        <f aca="false">AX3243*$M3243</f>
        <v>0</v>
      </c>
      <c r="AZ3243" s="30" t="n">
        <f aca="false">491552/100</f>
        <v>4915.52</v>
      </c>
      <c r="BA3243" s="11" t="n">
        <v>565285</v>
      </c>
      <c r="BB3243" s="31" t="n">
        <f aca="false">SUM(Q3243,S3243,U3243,W3243,Y3243,AA3243,AC3243,AE3243,AG3243,AI3243,AK3243,AM3243,AO3243,AQ3243,AS3243,AU3243,AW3243,AY3243)</f>
        <v>565285</v>
      </c>
      <c r="BC3243" s="28" t="n">
        <f aca="false">BA3243-BB3243</f>
        <v>0</v>
      </c>
      <c r="BD3243" s="32" t="n">
        <f aca="false">SUM(P3243,R3243,T3243,V3243,X3243,Z3243,AB3243,AD3243,AF3243,AH3243,AJ3243,AL3243,AN3243,AP3243,AR3243,AT3243,AV3243,AX3243)</f>
        <v>4915.52</v>
      </c>
      <c r="BE3243" s="33" t="n">
        <f aca="false">AZ3243-BD3243</f>
        <v>0</v>
      </c>
      <c r="BF3243" s="34" t="n">
        <f aca="false">BD3243*M3243</f>
        <v>565284.8</v>
      </c>
      <c r="BG3243" s="35" t="n">
        <f aca="false">BA3243-BF3243</f>
        <v>0.199999999953434</v>
      </c>
      <c r="BH3243" s="19" t="str">
        <f aca="false">IF(BG3243=0,"",IF(BG3243&lt;&gt;BA3243,"erreur de calcul",IF(BD3243&lt;&gt;0,"pas de prix",IF(M3243&lt;&gt; 0,"pas de quantité","pas de prix, ni de quantité"))))</f>
        <v>erreur de calcul</v>
      </c>
      <c r="BI3243" s="19"/>
    </row>
    <row r="3244" customFormat="false" ht="15" hidden="false" customHeight="false" outlineLevel="0" collapsed="false">
      <c r="A3244" s="0" t="n">
        <v>6</v>
      </c>
      <c r="B3244" s="8" t="s">
        <v>24</v>
      </c>
      <c r="C3244" s="9" t="s">
        <v>25</v>
      </c>
      <c r="D3244" s="9" t="s">
        <v>26</v>
      </c>
      <c r="E3244" s="10" t="n">
        <v>1789</v>
      </c>
      <c r="F3244" s="9" t="s">
        <v>27</v>
      </c>
      <c r="G3244" s="9" t="s">
        <v>27</v>
      </c>
      <c r="H3244" s="11" t="n">
        <v>21</v>
      </c>
      <c r="I3244" s="11" t="s">
        <v>159</v>
      </c>
      <c r="J3244" s="14" t="n">
        <v>240</v>
      </c>
      <c r="K3244" s="14"/>
      <c r="L3244" s="16"/>
      <c r="M3244" s="27" t="n">
        <f aca="false">J3244+(K3244/20)+(L3244/240)</f>
        <v>240</v>
      </c>
      <c r="N3244" s="17" t="s">
        <v>64</v>
      </c>
      <c r="O3244" s="11"/>
      <c r="P3244" s="28"/>
      <c r="Q3244" s="28" t="n">
        <f aca="false">P3244*$M3244</f>
        <v>0</v>
      </c>
      <c r="R3244" s="28"/>
      <c r="S3244" s="28" t="n">
        <f aca="false">R3244*$M3244</f>
        <v>0</v>
      </c>
      <c r="T3244" s="28"/>
      <c r="U3244" s="28" t="n">
        <f aca="false">T3244*$M3244</f>
        <v>0</v>
      </c>
      <c r="V3244" s="28"/>
      <c r="W3244" s="28" t="n">
        <f aca="false">V3244*$M3244</f>
        <v>0</v>
      </c>
      <c r="X3244" s="28"/>
      <c r="Y3244" s="28" t="n">
        <f aca="false">X3244*$M3244</f>
        <v>0</v>
      </c>
      <c r="Z3244" s="28"/>
      <c r="AA3244" s="28" t="n">
        <f aca="false">Z3244*$M3244</f>
        <v>0</v>
      </c>
      <c r="AB3244" s="28"/>
      <c r="AC3244" s="28" t="n">
        <f aca="false">AB3244*$M3244</f>
        <v>0</v>
      </c>
      <c r="AD3244" s="28"/>
      <c r="AE3244" s="28" t="n">
        <f aca="false">AD3244*$M3244</f>
        <v>0</v>
      </c>
      <c r="AF3244" s="28"/>
      <c r="AG3244" s="28" t="n">
        <f aca="false">AF3244*$M3244</f>
        <v>0</v>
      </c>
      <c r="AH3244" s="28" t="n">
        <f aca="false">46293/100</f>
        <v>462.93</v>
      </c>
      <c r="AI3244" s="28" t="n">
        <v>111103</v>
      </c>
      <c r="AJ3244" s="28"/>
      <c r="AK3244" s="28" t="n">
        <f aca="false">AJ3244*$M3244</f>
        <v>0</v>
      </c>
      <c r="AL3244" s="28"/>
      <c r="AM3244" s="28" t="n">
        <f aca="false">AL3244*$M3244</f>
        <v>0</v>
      </c>
      <c r="AN3244" s="28"/>
      <c r="AO3244" s="28" t="n">
        <f aca="false">AN3244*$M3244</f>
        <v>0</v>
      </c>
      <c r="AP3244" s="28"/>
      <c r="AQ3244" s="28" t="n">
        <f aca="false">AP3244*$M3244</f>
        <v>0</v>
      </c>
      <c r="AR3244" s="28"/>
      <c r="AS3244" s="28" t="n">
        <f aca="false">AR3244*$M3244</f>
        <v>0</v>
      </c>
      <c r="AT3244" s="28"/>
      <c r="AU3244" s="28" t="n">
        <f aca="false">AT3244*$M3244</f>
        <v>0</v>
      </c>
      <c r="AV3244" s="28"/>
      <c r="AW3244" s="28" t="n">
        <f aca="false">AV3244*$M3244</f>
        <v>0</v>
      </c>
      <c r="AX3244" s="28"/>
      <c r="AY3244" s="28" t="n">
        <f aca="false">AX3244*$M3244</f>
        <v>0</v>
      </c>
      <c r="AZ3244" s="30" t="n">
        <f aca="false">46293/100</f>
        <v>462.93</v>
      </c>
      <c r="BA3244" s="11" t="n">
        <v>111103</v>
      </c>
      <c r="BB3244" s="31" t="n">
        <f aca="false">SUM(Q3244,S3244,U3244,W3244,Y3244,AA3244,AC3244,AE3244,AG3244,AI3244,AK3244,AM3244,AO3244,AQ3244,AS3244,AU3244,AW3244,AY3244)</f>
        <v>111103</v>
      </c>
      <c r="BC3244" s="28" t="n">
        <f aca="false">BA3244-BB3244</f>
        <v>0</v>
      </c>
      <c r="BD3244" s="32" t="n">
        <f aca="false">SUM(P3244,R3244,T3244,V3244,X3244,Z3244,AB3244,AD3244,AF3244,AH3244,AJ3244,AL3244,AN3244,AP3244,AR3244,AT3244,AV3244,AX3244)</f>
        <v>462.93</v>
      </c>
      <c r="BE3244" s="33" t="n">
        <f aca="false">AZ3244-BD3244</f>
        <v>0</v>
      </c>
      <c r="BF3244" s="34" t="n">
        <f aca="false">BD3244*M3244</f>
        <v>111103.2</v>
      </c>
      <c r="BG3244" s="35" t="n">
        <f aca="false">BA3244-BF3244</f>
        <v>-0.19999999999709</v>
      </c>
      <c r="BH3244" s="19" t="str">
        <f aca="false">IF(BG3244=0,"",IF(BG3244&lt;&gt;BA3244,"erreur de calcul",IF(BD3244&lt;&gt;0,"pas de prix",IF(M3244&lt;&gt; 0,"pas de quantité","pas de prix, ni de quantité"))))</f>
        <v>erreur de calcul</v>
      </c>
      <c r="BI3244" s="19"/>
    </row>
    <row r="3245" customFormat="false" ht="15" hidden="false" customHeight="false" outlineLevel="0" collapsed="false">
      <c r="A3245" s="0" t="n">
        <v>7</v>
      </c>
      <c r="B3245" s="8" t="s">
        <v>24</v>
      </c>
      <c r="C3245" s="9" t="s">
        <v>25</v>
      </c>
      <c r="D3245" s="9" t="s">
        <v>26</v>
      </c>
      <c r="E3245" s="10" t="n">
        <v>1789</v>
      </c>
      <c r="F3245" s="9" t="s">
        <v>27</v>
      </c>
      <c r="G3245" s="9" t="s">
        <v>27</v>
      </c>
      <c r="H3245" s="11" t="n">
        <v>21</v>
      </c>
      <c r="I3245" s="11" t="s">
        <v>160</v>
      </c>
      <c r="J3245" s="14" t="n">
        <v>70</v>
      </c>
      <c r="K3245" s="14"/>
      <c r="L3245" s="16"/>
      <c r="M3245" s="27" t="n">
        <f aca="false">J3245+(K3245/20)+(L3245/240)</f>
        <v>70</v>
      </c>
      <c r="N3245" s="17" t="s">
        <v>64</v>
      </c>
      <c r="O3245" s="11"/>
      <c r="P3245" s="28"/>
      <c r="Q3245" s="28" t="n">
        <f aca="false">P3245*$M3245</f>
        <v>0</v>
      </c>
      <c r="R3245" s="28"/>
      <c r="S3245" s="28" t="n">
        <f aca="false">R3245*$M3245</f>
        <v>0</v>
      </c>
      <c r="T3245" s="28"/>
      <c r="U3245" s="28" t="n">
        <f aca="false">T3245*$M3245</f>
        <v>0</v>
      </c>
      <c r="V3245" s="28"/>
      <c r="W3245" s="28" t="n">
        <f aca="false">V3245*$M3245</f>
        <v>0</v>
      </c>
      <c r="X3245" s="28"/>
      <c r="Y3245" s="28" t="n">
        <f aca="false">X3245*$M3245</f>
        <v>0</v>
      </c>
      <c r="Z3245" s="28"/>
      <c r="AA3245" s="28" t="n">
        <f aca="false">Z3245*$M3245</f>
        <v>0</v>
      </c>
      <c r="AB3245" s="28"/>
      <c r="AC3245" s="28" t="n">
        <f aca="false">AB3245*$M3245</f>
        <v>0</v>
      </c>
      <c r="AD3245" s="28"/>
      <c r="AE3245" s="28" t="n">
        <f aca="false">AD3245*$M3245</f>
        <v>0</v>
      </c>
      <c r="AF3245" s="28" t="n">
        <f aca="false">125849/100</f>
        <v>1258.49</v>
      </c>
      <c r="AG3245" s="28" t="n">
        <v>88094</v>
      </c>
      <c r="AH3245" s="28"/>
      <c r="AI3245" s="28" t="n">
        <f aca="false">AH3245*$M3245</f>
        <v>0</v>
      </c>
      <c r="AJ3245" s="28"/>
      <c r="AK3245" s="28" t="n">
        <f aca="false">AJ3245*$M3245</f>
        <v>0</v>
      </c>
      <c r="AL3245" s="28"/>
      <c r="AM3245" s="28" t="n">
        <f aca="false">AL3245*$M3245</f>
        <v>0</v>
      </c>
      <c r="AN3245" s="28"/>
      <c r="AO3245" s="28" t="n">
        <f aca="false">AN3245*$M3245</f>
        <v>0</v>
      </c>
      <c r="AP3245" s="28"/>
      <c r="AQ3245" s="28" t="n">
        <f aca="false">AP3245*$M3245</f>
        <v>0</v>
      </c>
      <c r="AR3245" s="28"/>
      <c r="AS3245" s="28" t="n">
        <f aca="false">AR3245*$M3245</f>
        <v>0</v>
      </c>
      <c r="AT3245" s="28"/>
      <c r="AU3245" s="28" t="n">
        <f aca="false">AT3245*$M3245</f>
        <v>0</v>
      </c>
      <c r="AV3245" s="28"/>
      <c r="AW3245" s="28" t="n">
        <f aca="false">AV3245*$M3245</f>
        <v>0</v>
      </c>
      <c r="AX3245" s="28"/>
      <c r="AY3245" s="28" t="n">
        <f aca="false">AX3245*$M3245</f>
        <v>0</v>
      </c>
      <c r="AZ3245" s="30" t="n">
        <f aca="false">125849/100</f>
        <v>1258.49</v>
      </c>
      <c r="BA3245" s="11" t="n">
        <v>88094</v>
      </c>
      <c r="BB3245" s="31" t="n">
        <f aca="false">SUM(Q3245,S3245,U3245,W3245,Y3245,AA3245,AC3245,AE3245,AG3245,AI3245,AK3245,AM3245,AO3245,AQ3245,AS3245,AU3245,AW3245,AY3245)</f>
        <v>88094</v>
      </c>
      <c r="BC3245" s="28" t="n">
        <f aca="false">BA3245-BB3245</f>
        <v>0</v>
      </c>
      <c r="BD3245" s="32" t="n">
        <f aca="false">SUM(P3245,R3245,T3245,V3245,X3245,Z3245,AB3245,AD3245,AF3245,AH3245,AJ3245,AL3245,AN3245,AP3245,AR3245,AT3245,AV3245,AX3245)</f>
        <v>1258.49</v>
      </c>
      <c r="BE3245" s="33" t="n">
        <f aca="false">AZ3245-BD3245</f>
        <v>0</v>
      </c>
      <c r="BF3245" s="34" t="n">
        <f aca="false">BD3245*M3245</f>
        <v>88094.3</v>
      </c>
      <c r="BG3245" s="35" t="n">
        <f aca="false">BA3245-BF3245</f>
        <v>-0.30000000000291</v>
      </c>
      <c r="BH3245" s="19" t="str">
        <f aca="false">IF(BG3245=0,"",IF(BG3245&lt;&gt;BA3245,"erreur de calcul",IF(BD3245&lt;&gt;0,"pas de prix",IF(M3245&lt;&gt; 0,"pas de quantité","pas de prix, ni de quantité"))))</f>
        <v>erreur de calcul</v>
      </c>
      <c r="BI3245" s="19"/>
    </row>
    <row r="3246" customFormat="false" ht="15" hidden="false" customHeight="false" outlineLevel="0" collapsed="false">
      <c r="A3246" s="0" t="n">
        <v>8</v>
      </c>
      <c r="B3246" s="8" t="s">
        <v>24</v>
      </c>
      <c r="C3246" s="9" t="s">
        <v>25</v>
      </c>
      <c r="D3246" s="9" t="s">
        <v>26</v>
      </c>
      <c r="E3246" s="10" t="n">
        <v>1789</v>
      </c>
      <c r="F3246" s="9" t="s">
        <v>27</v>
      </c>
      <c r="G3246" s="9" t="s">
        <v>27</v>
      </c>
      <c r="H3246" s="11" t="n">
        <v>21</v>
      </c>
      <c r="I3246" s="11" t="s">
        <v>161</v>
      </c>
      <c r="J3246" s="14" t="n">
        <v>50</v>
      </c>
      <c r="K3246" s="14"/>
      <c r="L3246" s="16"/>
      <c r="M3246" s="27" t="n">
        <f aca="false">J3246+(K3246/20)+(L3246/240)</f>
        <v>50</v>
      </c>
      <c r="N3246" s="17" t="s">
        <v>64</v>
      </c>
      <c r="O3246" s="11"/>
      <c r="P3246" s="28"/>
      <c r="Q3246" s="28" t="n">
        <f aca="false">P3246*$M3246</f>
        <v>0</v>
      </c>
      <c r="R3246" s="28"/>
      <c r="S3246" s="28" t="n">
        <f aca="false">R3246*$M3246</f>
        <v>0</v>
      </c>
      <c r="T3246" s="28"/>
      <c r="U3246" s="28" t="n">
        <f aca="false">T3246*$M3246</f>
        <v>0</v>
      </c>
      <c r="V3246" s="28" t="n">
        <f aca="false">18055/100</f>
        <v>180.55</v>
      </c>
      <c r="W3246" s="28" t="n">
        <v>9027</v>
      </c>
      <c r="X3246" s="28" t="n">
        <f aca="false">17880/100</f>
        <v>178.8</v>
      </c>
      <c r="Y3246" s="28" t="n">
        <v>8940</v>
      </c>
      <c r="Z3246" s="28"/>
      <c r="AA3246" s="28" t="n">
        <f aca="false">Z3246*$M3246</f>
        <v>0</v>
      </c>
      <c r="AB3246" s="28" t="n">
        <f aca="false">104483/100</f>
        <v>1044.83</v>
      </c>
      <c r="AC3246" s="28" t="n">
        <v>52241</v>
      </c>
      <c r="AD3246" s="28"/>
      <c r="AE3246" s="28" t="n">
        <f aca="false">AD3246*$M3246</f>
        <v>0</v>
      </c>
      <c r="AF3246" s="28"/>
      <c r="AG3246" s="28" t="n">
        <f aca="false">AF3246*$M3246</f>
        <v>0</v>
      </c>
      <c r="AH3246" s="28"/>
      <c r="AI3246" s="28" t="n">
        <f aca="false">AH3246*$M3246</f>
        <v>0</v>
      </c>
      <c r="AJ3246" s="28"/>
      <c r="AK3246" s="28" t="n">
        <f aca="false">AJ3246*$M3246</f>
        <v>0</v>
      </c>
      <c r="AL3246" s="28"/>
      <c r="AM3246" s="28" t="n">
        <f aca="false">AL3246*$M3246</f>
        <v>0</v>
      </c>
      <c r="AN3246" s="28"/>
      <c r="AO3246" s="28" t="n">
        <f aca="false">AN3246*$M3246</f>
        <v>0</v>
      </c>
      <c r="AP3246" s="28"/>
      <c r="AQ3246" s="28" t="n">
        <f aca="false">AP3246*$M3246</f>
        <v>0</v>
      </c>
      <c r="AR3246" s="28"/>
      <c r="AS3246" s="28" t="n">
        <f aca="false">AR3246*$M3246</f>
        <v>0</v>
      </c>
      <c r="AT3246" s="28"/>
      <c r="AU3246" s="28" t="n">
        <f aca="false">AT3246*$M3246</f>
        <v>0</v>
      </c>
      <c r="AV3246" s="28"/>
      <c r="AW3246" s="28" t="n">
        <f aca="false">AV3246*$M3246</f>
        <v>0</v>
      </c>
      <c r="AX3246" s="28"/>
      <c r="AY3246" s="28" t="n">
        <f aca="false">AX3246*$M3246</f>
        <v>0</v>
      </c>
      <c r="AZ3246" s="30" t="n">
        <f aca="false">140418/100</f>
        <v>1404.18</v>
      </c>
      <c r="BA3246" s="11" t="n">
        <v>70208</v>
      </c>
      <c r="BB3246" s="31" t="n">
        <f aca="false">SUM(Q3246,S3246,U3246,W3246,Y3246,AA3246,AC3246,AE3246,AG3246,AI3246,AK3246,AM3246,AO3246,AQ3246,AS3246,AU3246,AW3246,AY3246)</f>
        <v>70208</v>
      </c>
      <c r="BC3246" s="28" t="n">
        <f aca="false">BA3246-BB3246</f>
        <v>0</v>
      </c>
      <c r="BD3246" s="32" t="n">
        <f aca="false">SUM(P3246,R3246,T3246,V3246,X3246,Z3246,AB3246,AD3246,AF3246,AH3246,AJ3246,AL3246,AN3246,AP3246,AR3246,AT3246,AV3246,AX3246)</f>
        <v>1404.18</v>
      </c>
      <c r="BE3246" s="33" t="n">
        <f aca="false">AZ3246-BD3246</f>
        <v>0</v>
      </c>
      <c r="BF3246" s="34" t="n">
        <f aca="false">BD3246*M3246</f>
        <v>70209</v>
      </c>
      <c r="BG3246" s="35" t="n">
        <f aca="false">BA3246-BF3246</f>
        <v>-0.999999999985448</v>
      </c>
      <c r="BH3246" s="19" t="str">
        <f aca="false">IF(BG3246=0,"",IF(BG3246&lt;&gt;BA3246,"erreur de calcul",IF(BD3246&lt;&gt;0,"pas de prix",IF(M3246&lt;&gt; 0,"pas de quantité","pas de prix, ni de quantité"))))</f>
        <v>erreur de calcul</v>
      </c>
      <c r="BI3246" s="19"/>
    </row>
    <row r="3247" customFormat="false" ht="15" hidden="false" customHeight="false" outlineLevel="0" collapsed="false">
      <c r="A3247" s="0" t="n">
        <v>9</v>
      </c>
      <c r="B3247" s="8" t="s">
        <v>24</v>
      </c>
      <c r="C3247" s="9" t="s">
        <v>25</v>
      </c>
      <c r="D3247" s="9" t="s">
        <v>26</v>
      </c>
      <c r="E3247" s="10" t="n">
        <v>1789</v>
      </c>
      <c r="F3247" s="9" t="s">
        <v>27</v>
      </c>
      <c r="G3247" s="9" t="s">
        <v>27</v>
      </c>
      <c r="H3247" s="11" t="n">
        <v>21</v>
      </c>
      <c r="I3247" s="11" t="s">
        <v>162</v>
      </c>
      <c r="J3247" s="14" t="n">
        <v>250</v>
      </c>
      <c r="K3247" s="14"/>
      <c r="L3247" s="16"/>
      <c r="M3247" s="27" t="n">
        <f aca="false">J3247+(K3247/20)+(L3247/240)</f>
        <v>250</v>
      </c>
      <c r="N3247" s="17" t="s">
        <v>64</v>
      </c>
      <c r="O3247" s="11"/>
      <c r="P3247" s="28"/>
      <c r="Q3247" s="28" t="n">
        <f aca="false">P3247*$M3247</f>
        <v>0</v>
      </c>
      <c r="R3247" s="28"/>
      <c r="S3247" s="28" t="n">
        <f aca="false">R3247*$M3247</f>
        <v>0</v>
      </c>
      <c r="T3247" s="28"/>
      <c r="U3247" s="28" t="n">
        <f aca="false">T3247*$M3247</f>
        <v>0</v>
      </c>
      <c r="V3247" s="28"/>
      <c r="W3247" s="28" t="n">
        <f aca="false">V3247*$M3247</f>
        <v>0</v>
      </c>
      <c r="X3247" s="28"/>
      <c r="Y3247" s="28" t="n">
        <f aca="false">X3247*$M3247</f>
        <v>0</v>
      </c>
      <c r="Z3247" s="28"/>
      <c r="AA3247" s="28" t="n">
        <f aca="false">Z3247*$M3247</f>
        <v>0</v>
      </c>
      <c r="AB3247" s="28"/>
      <c r="AC3247" s="28" t="n">
        <f aca="false">AB3247*$M3247</f>
        <v>0</v>
      </c>
      <c r="AD3247" s="28"/>
      <c r="AE3247" s="28" t="n">
        <f aca="false">AD3247*$M3247</f>
        <v>0</v>
      </c>
      <c r="AF3247" s="28"/>
      <c r="AG3247" s="28" t="n">
        <f aca="false">AF3247*$M3247</f>
        <v>0</v>
      </c>
      <c r="AH3247" s="28" t="n">
        <f aca="false">2306/100</f>
        <v>23.06</v>
      </c>
      <c r="AI3247" s="36" t="n">
        <v>5073</v>
      </c>
      <c r="AJ3247" s="28"/>
      <c r="AK3247" s="28" t="n">
        <f aca="false">AJ3247*$M3247</f>
        <v>0</v>
      </c>
      <c r="AL3247" s="28"/>
      <c r="AM3247" s="28" t="n">
        <f aca="false">AL3247*$M3247</f>
        <v>0</v>
      </c>
      <c r="AN3247" s="28"/>
      <c r="AO3247" s="28" t="n">
        <f aca="false">AN3247*$M3247</f>
        <v>0</v>
      </c>
      <c r="AP3247" s="28"/>
      <c r="AQ3247" s="28" t="n">
        <f aca="false">AP3247*$M3247</f>
        <v>0</v>
      </c>
      <c r="AR3247" s="28"/>
      <c r="AS3247" s="28" t="n">
        <f aca="false">AR3247*$M3247</f>
        <v>0</v>
      </c>
      <c r="AT3247" s="28"/>
      <c r="AU3247" s="28" t="n">
        <f aca="false">AT3247*$M3247</f>
        <v>0</v>
      </c>
      <c r="AV3247" s="28"/>
      <c r="AW3247" s="28" t="n">
        <f aca="false">AV3247*$M3247</f>
        <v>0</v>
      </c>
      <c r="AX3247" s="28"/>
      <c r="AY3247" s="28" t="n">
        <f aca="false">AX3247*$M3247</f>
        <v>0</v>
      </c>
      <c r="AZ3247" s="30" t="n">
        <f aca="false">2306/100</f>
        <v>23.06</v>
      </c>
      <c r="BA3247" s="11" t="n">
        <v>5073</v>
      </c>
      <c r="BB3247" s="31" t="n">
        <f aca="false">SUM(Q3247,S3247,U3247,W3247,Y3247,AA3247,AC3247,AE3247,AG3247,AI3247,AK3247,AM3247,AO3247,AQ3247,AS3247,AU3247,AW3247,AY3247)</f>
        <v>5073</v>
      </c>
      <c r="BC3247" s="28" t="n">
        <f aca="false">BA3247-BB3247</f>
        <v>0</v>
      </c>
      <c r="BD3247" s="32" t="n">
        <f aca="false">SUM(P3247,R3247,T3247,V3247,X3247,Z3247,AB3247,AD3247,AF3247,AH3247,AJ3247,AL3247,AN3247,AP3247,AR3247,AT3247,AV3247,AX3247)</f>
        <v>23.06</v>
      </c>
      <c r="BE3247" s="33" t="n">
        <f aca="false">AZ3247-BD3247</f>
        <v>0</v>
      </c>
      <c r="BF3247" s="34" t="n">
        <f aca="false">BD3247*M3247</f>
        <v>5765</v>
      </c>
      <c r="BG3247" s="35" t="n">
        <f aca="false">BA3247-BF3247</f>
        <v>-692</v>
      </c>
      <c r="BH3247" s="19" t="str">
        <f aca="false">IF(BG3247=0,"",IF(BG3247&lt;&gt;BA3247,"erreur de calcul",IF(BD3247&lt;&gt;0,"pas de prix",IF(M3247&lt;&gt; 0,"pas de quantité","pas de prix, ni de quantité"))))</f>
        <v>erreur de calcul</v>
      </c>
      <c r="BI3247" s="19"/>
    </row>
    <row r="3248" customFormat="false" ht="15" hidden="false" customHeight="false" outlineLevel="0" collapsed="false">
      <c r="A3248" s="0" t="n">
        <v>10</v>
      </c>
      <c r="B3248" s="8" t="s">
        <v>24</v>
      </c>
      <c r="C3248" s="9" t="s">
        <v>25</v>
      </c>
      <c r="D3248" s="9" t="s">
        <v>26</v>
      </c>
      <c r="E3248" s="10" t="n">
        <v>1789</v>
      </c>
      <c r="F3248" s="9" t="s">
        <v>27</v>
      </c>
      <c r="G3248" s="9" t="s">
        <v>27</v>
      </c>
      <c r="H3248" s="11" t="n">
        <v>21</v>
      </c>
      <c r="I3248" s="11" t="s">
        <v>163</v>
      </c>
      <c r="J3248" s="14"/>
      <c r="K3248" s="14"/>
      <c r="L3248" s="16"/>
      <c r="M3248" s="27" t="n">
        <f aca="false">J3248+(K3248/20)+(L3248/240)</f>
        <v>0</v>
      </c>
      <c r="N3248" s="17"/>
      <c r="O3248" s="11"/>
      <c r="P3248" s="28"/>
      <c r="Q3248" s="28" t="n">
        <v>1571</v>
      </c>
      <c r="R3248" s="28"/>
      <c r="S3248" s="28" t="n">
        <f aca="false">R3248*$M3248</f>
        <v>0</v>
      </c>
      <c r="T3248" s="28"/>
      <c r="U3248" s="28" t="n">
        <v>182</v>
      </c>
      <c r="V3248" s="28"/>
      <c r="W3248" s="28" t="n">
        <v>1801</v>
      </c>
      <c r="X3248" s="28"/>
      <c r="Y3248" s="28" t="n">
        <v>214</v>
      </c>
      <c r="Z3248" s="28"/>
      <c r="AA3248" s="28" t="n">
        <f aca="false">Z3248*$M3248</f>
        <v>0</v>
      </c>
      <c r="AB3248" s="28"/>
      <c r="AC3248" s="28" t="n">
        <v>401</v>
      </c>
      <c r="AD3248" s="28"/>
      <c r="AE3248" s="28" t="n">
        <f aca="false">AD3248*$M3248</f>
        <v>0</v>
      </c>
      <c r="AF3248" s="28"/>
      <c r="AG3248" s="28" t="n">
        <f aca="false">AF3248*$M3248</f>
        <v>0</v>
      </c>
      <c r="AH3248" s="28"/>
      <c r="AI3248" s="28" t="n">
        <f aca="false">AH3248*$M3248</f>
        <v>0</v>
      </c>
      <c r="AJ3248" s="28"/>
      <c r="AK3248" s="28" t="n">
        <v>760</v>
      </c>
      <c r="AL3248" s="28"/>
      <c r="AM3248" s="28" t="n">
        <f aca="false">AL3248*$M3248</f>
        <v>0</v>
      </c>
      <c r="AN3248" s="28"/>
      <c r="AO3248" s="28" t="n">
        <f aca="false">AN3248*$M3248</f>
        <v>0</v>
      </c>
      <c r="AP3248" s="28"/>
      <c r="AQ3248" s="28" t="n">
        <f aca="false">AP3248*$M3248</f>
        <v>0</v>
      </c>
      <c r="AR3248" s="28"/>
      <c r="AS3248" s="28" t="n">
        <f aca="false">AR3248*$M3248</f>
        <v>0</v>
      </c>
      <c r="AT3248" s="28"/>
      <c r="AU3248" s="28" t="n">
        <f aca="false">AT3248*$M3248</f>
        <v>0</v>
      </c>
      <c r="AV3248" s="28"/>
      <c r="AW3248" s="28" t="n">
        <f aca="false">AV3248*$M3248</f>
        <v>0</v>
      </c>
      <c r="AX3248" s="28"/>
      <c r="AY3248" s="28" t="n">
        <f aca="false">AX3248*$M3248</f>
        <v>0</v>
      </c>
      <c r="AZ3248" s="30"/>
      <c r="BA3248" s="11" t="n">
        <v>4929</v>
      </c>
      <c r="BB3248" s="31" t="n">
        <f aca="false">SUM(Q3248,S3248,U3248,W3248,Y3248,AA3248,AC3248,AE3248,AG3248,AI3248,AK3248,AM3248,AO3248,AQ3248,AS3248,AU3248,AW3248,AY3248)</f>
        <v>4929</v>
      </c>
      <c r="BC3248" s="28" t="n">
        <f aca="false">BA3248-BB3248</f>
        <v>0</v>
      </c>
      <c r="BD3248" s="32" t="n">
        <f aca="false">SUM(P3248,R3248,T3248,V3248,X3248,Z3248,AB3248,AD3248,AF3248,AH3248,AJ3248,AL3248,AN3248,AP3248,AR3248,AT3248,AV3248,AX3248)</f>
        <v>0</v>
      </c>
      <c r="BE3248" s="33" t="n">
        <f aca="false">AZ3248-BD3248</f>
        <v>0</v>
      </c>
      <c r="BF3248" s="34" t="n">
        <f aca="false">BD3248*M3248</f>
        <v>0</v>
      </c>
      <c r="BG3248" s="35" t="n">
        <f aca="false">BA3248-BF3248</f>
        <v>4929</v>
      </c>
      <c r="BH3248" s="19" t="str">
        <f aca="false">IF(BG3248=0,"",IF(BG3248&lt;&gt;BA3248,"erreur de calcul",IF(BD3248&lt;&gt;0,"pas de prix",IF(M3248&lt;&gt; 0,"pas de quantité","pas de prix, ni de quantité"))))</f>
        <v>pas de prix, ni de quantité</v>
      </c>
      <c r="BI3248" s="19"/>
    </row>
    <row r="3249" customFormat="false" ht="15" hidden="false" customHeight="false" outlineLevel="0" collapsed="false">
      <c r="A3249" s="0" t="n">
        <v>11</v>
      </c>
      <c r="B3249" s="8" t="s">
        <v>24</v>
      </c>
      <c r="C3249" s="9" t="s">
        <v>25</v>
      </c>
      <c r="D3249" s="9" t="s">
        <v>26</v>
      </c>
      <c r="E3249" s="10" t="n">
        <v>1789</v>
      </c>
      <c r="F3249" s="9" t="s">
        <v>27</v>
      </c>
      <c r="G3249" s="9" t="s">
        <v>27</v>
      </c>
      <c r="H3249" s="11" t="n">
        <v>21</v>
      </c>
      <c r="I3249" s="11" t="s">
        <v>164</v>
      </c>
      <c r="J3249" s="14" t="n">
        <v>580</v>
      </c>
      <c r="K3249" s="14"/>
      <c r="L3249" s="16"/>
      <c r="M3249" s="27" t="n">
        <f aca="false">J3249+(K3249/20)+(L3249/240)</f>
        <v>580</v>
      </c>
      <c r="N3249" s="17" t="s">
        <v>64</v>
      </c>
      <c r="O3249" s="11"/>
      <c r="P3249" s="28" t="n">
        <f aca="false">294/100</f>
        <v>2.94</v>
      </c>
      <c r="Q3249" s="28" t="n">
        <v>1705</v>
      </c>
      <c r="R3249" s="28"/>
      <c r="S3249" s="28" t="n">
        <f aca="false">R3249*$M3249</f>
        <v>0</v>
      </c>
      <c r="T3249" s="28"/>
      <c r="U3249" s="28" t="n">
        <f aca="false">T3249*$M3249</f>
        <v>0</v>
      </c>
      <c r="V3249" s="28"/>
      <c r="W3249" s="28" t="n">
        <f aca="false">V3249*$M3249</f>
        <v>0</v>
      </c>
      <c r="X3249" s="28"/>
      <c r="Y3249" s="28" t="n">
        <f aca="false">X3249*$M3249</f>
        <v>0</v>
      </c>
      <c r="Z3249" s="28"/>
      <c r="AA3249" s="28" t="n">
        <f aca="false">Z3249*$M3249</f>
        <v>0</v>
      </c>
      <c r="AB3249" s="28"/>
      <c r="AC3249" s="28" t="n">
        <f aca="false">AB3249*$M3249</f>
        <v>0</v>
      </c>
      <c r="AD3249" s="28"/>
      <c r="AE3249" s="28" t="n">
        <f aca="false">AD3249*$M3249</f>
        <v>0</v>
      </c>
      <c r="AF3249" s="28"/>
      <c r="AG3249" s="28" t="n">
        <f aca="false">AF3249*$M3249</f>
        <v>0</v>
      </c>
      <c r="AH3249" s="28"/>
      <c r="AI3249" s="28" t="n">
        <f aca="false">AH3249*$M3249</f>
        <v>0</v>
      </c>
      <c r="AJ3249" s="28"/>
      <c r="AK3249" s="28" t="n">
        <f aca="false">AJ3249*$M3249</f>
        <v>0</v>
      </c>
      <c r="AL3249" s="28"/>
      <c r="AM3249" s="28" t="n">
        <f aca="false">AL3249*$M3249</f>
        <v>0</v>
      </c>
      <c r="AN3249" s="28"/>
      <c r="AO3249" s="28" t="n">
        <f aca="false">AN3249*$M3249</f>
        <v>0</v>
      </c>
      <c r="AP3249" s="28"/>
      <c r="AQ3249" s="28" t="n">
        <f aca="false">AP3249*$M3249</f>
        <v>0</v>
      </c>
      <c r="AR3249" s="28"/>
      <c r="AS3249" s="28" t="n">
        <f aca="false">AR3249*$M3249</f>
        <v>0</v>
      </c>
      <c r="AT3249" s="28"/>
      <c r="AU3249" s="28" t="n">
        <f aca="false">AT3249*$M3249</f>
        <v>0</v>
      </c>
      <c r="AV3249" s="28"/>
      <c r="AW3249" s="28" t="n">
        <f aca="false">AV3249*$M3249</f>
        <v>0</v>
      </c>
      <c r="AX3249" s="28"/>
      <c r="AY3249" s="28" t="n">
        <f aca="false">AX3249*$M3249</f>
        <v>0</v>
      </c>
      <c r="AZ3249" s="30" t="n">
        <f aca="false">294/100</f>
        <v>2.94</v>
      </c>
      <c r="BA3249" s="11" t="n">
        <v>1705</v>
      </c>
      <c r="BB3249" s="31" t="n">
        <f aca="false">SUM(Q3249,S3249,U3249,W3249,Y3249,AA3249,AC3249,AE3249,AG3249,AI3249,AK3249,AM3249,AO3249,AQ3249,AS3249,AU3249,AW3249,AY3249)</f>
        <v>1705</v>
      </c>
      <c r="BC3249" s="28" t="n">
        <f aca="false">BA3249-BB3249</f>
        <v>0</v>
      </c>
      <c r="BD3249" s="32" t="n">
        <f aca="false">SUM(P3249,R3249,T3249,V3249,X3249,Z3249,AB3249,AD3249,AF3249,AH3249,AJ3249,AL3249,AN3249,AP3249,AR3249,AT3249,AV3249,AX3249)</f>
        <v>2.94</v>
      </c>
      <c r="BE3249" s="33" t="n">
        <f aca="false">AZ3249-BD3249</f>
        <v>0</v>
      </c>
      <c r="BF3249" s="34" t="n">
        <f aca="false">BD3249*M3249</f>
        <v>1705.2</v>
      </c>
      <c r="BG3249" s="35" t="n">
        <f aca="false">BA3249-BF3249</f>
        <v>-0.200000000000045</v>
      </c>
      <c r="BH3249" s="19" t="str">
        <f aca="false">IF(BG3249=0,"",IF(BG3249&lt;&gt;BA3249,"erreur de calcul",IF(BD3249&lt;&gt;0,"pas de prix",IF(M3249&lt;&gt; 0,"pas de quantité","pas de prix, ni de quantité"))))</f>
        <v>erreur de calcul</v>
      </c>
      <c r="BI3249" s="19"/>
    </row>
    <row r="3250" customFormat="false" ht="15" hidden="false" customHeight="false" outlineLevel="0" collapsed="false">
      <c r="A3250" s="0" t="n">
        <v>12</v>
      </c>
      <c r="B3250" s="8" t="s">
        <v>24</v>
      </c>
      <c r="C3250" s="9" t="s">
        <v>25</v>
      </c>
      <c r="D3250" s="9" t="s">
        <v>26</v>
      </c>
      <c r="E3250" s="10" t="n">
        <v>1789</v>
      </c>
      <c r="F3250" s="9" t="s">
        <v>27</v>
      </c>
      <c r="G3250" s="9" t="s">
        <v>27</v>
      </c>
      <c r="H3250" s="11" t="n">
        <v>21</v>
      </c>
      <c r="I3250" s="11" t="s">
        <v>165</v>
      </c>
      <c r="J3250" s="14" t="n">
        <v>180</v>
      </c>
      <c r="K3250" s="14"/>
      <c r="L3250" s="16"/>
      <c r="M3250" s="27" t="n">
        <f aca="false">J3250+(K3250/20)+(L3250/240)</f>
        <v>180</v>
      </c>
      <c r="N3250" s="17" t="s">
        <v>64</v>
      </c>
      <c r="O3250" s="11"/>
      <c r="P3250" s="28"/>
      <c r="Q3250" s="28" t="n">
        <f aca="false">P3250*$M3250</f>
        <v>0</v>
      </c>
      <c r="R3250" s="28"/>
      <c r="S3250" s="28" t="n">
        <f aca="false">R3250*$M3250</f>
        <v>0</v>
      </c>
      <c r="T3250" s="28"/>
      <c r="U3250" s="28" t="n">
        <f aca="false">T3250*$M3250</f>
        <v>0</v>
      </c>
      <c r="V3250" s="28"/>
      <c r="W3250" s="28" t="n">
        <f aca="false">V3250*$M3250</f>
        <v>0</v>
      </c>
      <c r="X3250" s="28"/>
      <c r="Y3250" s="28" t="n">
        <f aca="false">X3250*$M3250</f>
        <v>0</v>
      </c>
      <c r="Z3250" s="28"/>
      <c r="AA3250" s="28" t="n">
        <f aca="false">Z3250*$M3250</f>
        <v>0</v>
      </c>
      <c r="AB3250" s="28"/>
      <c r="AC3250" s="28" t="n">
        <f aca="false">AB3250*$M3250</f>
        <v>0</v>
      </c>
      <c r="AD3250" s="28"/>
      <c r="AE3250" s="28" t="n">
        <f aca="false">AD3250*$M3250</f>
        <v>0</v>
      </c>
      <c r="AF3250" s="28"/>
      <c r="AG3250" s="28" t="n">
        <f aca="false">AF3250*$M3250</f>
        <v>0</v>
      </c>
      <c r="AH3250" s="28"/>
      <c r="AI3250" s="28" t="n">
        <f aca="false">AH3250*$M3250</f>
        <v>0</v>
      </c>
      <c r="AJ3250" s="28"/>
      <c r="AK3250" s="28" t="n">
        <f aca="false">AJ3250*$M3250</f>
        <v>0</v>
      </c>
      <c r="AL3250" s="28"/>
      <c r="AM3250" s="28" t="n">
        <f aca="false">AL3250*$M3250</f>
        <v>0</v>
      </c>
      <c r="AN3250" s="28" t="n">
        <f aca="false">13754/100</f>
        <v>137.54</v>
      </c>
      <c r="AO3250" s="28" t="n">
        <v>24757</v>
      </c>
      <c r="AP3250" s="28"/>
      <c r="AQ3250" s="28" t="n">
        <f aca="false">AP3250*$M3250</f>
        <v>0</v>
      </c>
      <c r="AR3250" s="28"/>
      <c r="AS3250" s="28" t="n">
        <f aca="false">AR3250*$M3250</f>
        <v>0</v>
      </c>
      <c r="AT3250" s="28"/>
      <c r="AU3250" s="28" t="n">
        <f aca="false">AT3250*$M3250</f>
        <v>0</v>
      </c>
      <c r="AV3250" s="28"/>
      <c r="AW3250" s="28" t="n">
        <f aca="false">AV3250*$M3250</f>
        <v>0</v>
      </c>
      <c r="AX3250" s="28"/>
      <c r="AY3250" s="28" t="n">
        <f aca="false">AX3250*$M3250</f>
        <v>0</v>
      </c>
      <c r="AZ3250" s="30" t="n">
        <f aca="false">17360/100</f>
        <v>173.6</v>
      </c>
      <c r="BA3250" s="11" t="n">
        <v>24757</v>
      </c>
      <c r="BB3250" s="31" t="n">
        <f aca="false">SUM(Q3250,S3250,U3250,W3250,Y3250,AA3250,AC3250,AE3250,AG3250,AI3250,AK3250,AM3250,AO3250,AQ3250,AS3250,AU3250,AW3250,AY3250)</f>
        <v>24757</v>
      </c>
      <c r="BC3250" s="28" t="n">
        <f aca="false">BA3250-BB3250</f>
        <v>0</v>
      </c>
      <c r="BD3250" s="32" t="n">
        <f aca="false">SUM(P3250,R3250,T3250,V3250,X3250,Z3250,AB3250,AD3250,AF3250,AH3250,AJ3250,AL3250,AN3250,AP3250,AR3250,AT3250,AV3250,AX3250)</f>
        <v>137.54</v>
      </c>
      <c r="BE3250" s="33" t="n">
        <f aca="false">AZ3250-BD3250</f>
        <v>36.06</v>
      </c>
      <c r="BF3250" s="34" t="n">
        <f aca="false">BD3250*M3250</f>
        <v>24757.2</v>
      </c>
      <c r="BG3250" s="35" t="n">
        <f aca="false">BA3250-BF3250</f>
        <v>-0.19999999999709</v>
      </c>
      <c r="BH3250" s="19" t="str">
        <f aca="false">IF(BG3250=0,"",IF(BG3250&lt;&gt;BA3250,"erreur de calcul",IF(BD3250&lt;&gt;0,"pas de prix",IF(M3250&lt;&gt; 0,"pas de quantité","pas de prix, ni de quantité"))))</f>
        <v>erreur de calcul</v>
      </c>
      <c r="BI3250" s="19"/>
    </row>
    <row r="3251" customFormat="false" ht="15" hidden="false" customHeight="false" outlineLevel="0" collapsed="false">
      <c r="A3251" s="0" t="n">
        <v>13</v>
      </c>
      <c r="B3251" s="8" t="s">
        <v>24</v>
      </c>
      <c r="C3251" s="9" t="s">
        <v>25</v>
      </c>
      <c r="D3251" s="9" t="s">
        <v>26</v>
      </c>
      <c r="E3251" s="10" t="n">
        <v>1789</v>
      </c>
      <c r="F3251" s="9" t="s">
        <v>27</v>
      </c>
      <c r="G3251" s="9" t="s">
        <v>27</v>
      </c>
      <c r="H3251" s="11" t="n">
        <v>21</v>
      </c>
      <c r="I3251" s="11" t="s">
        <v>166</v>
      </c>
      <c r="J3251" s="14" t="n">
        <v>90</v>
      </c>
      <c r="K3251" s="14"/>
      <c r="L3251" s="16"/>
      <c r="M3251" s="27" t="n">
        <f aca="false">J3251+(K3251/20)+(L3251/240)</f>
        <v>90</v>
      </c>
      <c r="N3251" s="17" t="s">
        <v>64</v>
      </c>
      <c r="O3251" s="11"/>
      <c r="P3251" s="28" t="n">
        <f aca="false">3606/100</f>
        <v>36.06</v>
      </c>
      <c r="Q3251" s="28" t="n">
        <v>3245</v>
      </c>
      <c r="R3251" s="28"/>
      <c r="S3251" s="28" t="n">
        <f aca="false">R3251*$M3251</f>
        <v>0</v>
      </c>
      <c r="T3251" s="28"/>
      <c r="U3251" s="28" t="n">
        <f aca="false">T3251*$M3251</f>
        <v>0</v>
      </c>
      <c r="V3251" s="28"/>
      <c r="W3251" s="28" t="n">
        <f aca="false">V3251*$M3251</f>
        <v>0</v>
      </c>
      <c r="X3251" s="28"/>
      <c r="Y3251" s="28" t="n">
        <f aca="false">X3251*$M3251</f>
        <v>0</v>
      </c>
      <c r="Z3251" s="28"/>
      <c r="AA3251" s="28" t="n">
        <f aca="false">Z3251*$M3251</f>
        <v>0</v>
      </c>
      <c r="AB3251" s="28"/>
      <c r="AC3251" s="28" t="n">
        <f aca="false">AB3251*$M3251</f>
        <v>0</v>
      </c>
      <c r="AD3251" s="28"/>
      <c r="AE3251" s="28" t="n">
        <f aca="false">AD3251*$M3251</f>
        <v>0</v>
      </c>
      <c r="AF3251" s="28"/>
      <c r="AG3251" s="28" t="n">
        <f aca="false">AF3251*$M3251</f>
        <v>0</v>
      </c>
      <c r="AH3251" s="28"/>
      <c r="AI3251" s="28" t="n">
        <f aca="false">AH3251*$M3251</f>
        <v>0</v>
      </c>
      <c r="AJ3251" s="28"/>
      <c r="AK3251" s="28" t="n">
        <f aca="false">AJ3251*$M3251</f>
        <v>0</v>
      </c>
      <c r="AL3251" s="28"/>
      <c r="AM3251" s="28" t="n">
        <f aca="false">AL3251*$M3251</f>
        <v>0</v>
      </c>
      <c r="AN3251" s="28"/>
      <c r="AO3251" s="28" t="n">
        <f aca="false">AN3251*$M3251</f>
        <v>0</v>
      </c>
      <c r="AP3251" s="28"/>
      <c r="AQ3251" s="28" t="n">
        <f aca="false">AP3251*$M3251</f>
        <v>0</v>
      </c>
      <c r="AR3251" s="28"/>
      <c r="AS3251" s="28" t="n">
        <f aca="false">AR3251*$M3251</f>
        <v>0</v>
      </c>
      <c r="AT3251" s="28"/>
      <c r="AU3251" s="28" t="n">
        <f aca="false">AT3251*$M3251</f>
        <v>0</v>
      </c>
      <c r="AV3251" s="28"/>
      <c r="AW3251" s="28" t="n">
        <f aca="false">AV3251*$M3251</f>
        <v>0</v>
      </c>
      <c r="AX3251" s="28"/>
      <c r="AY3251" s="28" t="n">
        <f aca="false">AX3251*$M3251</f>
        <v>0</v>
      </c>
      <c r="AZ3251" s="30" t="n">
        <f aca="false">3606/100</f>
        <v>36.06</v>
      </c>
      <c r="BA3251" s="11" t="n">
        <v>3245</v>
      </c>
      <c r="BB3251" s="31" t="n">
        <f aca="false">SUM(Q3251,S3251,U3251,W3251,Y3251,AA3251,AC3251,AE3251,AG3251,AI3251,AK3251,AM3251,AO3251,AQ3251,AS3251,AU3251,AW3251,AY3251)</f>
        <v>3245</v>
      </c>
      <c r="BC3251" s="28" t="n">
        <f aca="false">BA3251-BB3251</f>
        <v>0</v>
      </c>
      <c r="BD3251" s="32" t="n">
        <f aca="false">SUM(P3251,R3251,T3251,V3251,X3251,Z3251,AB3251,AD3251,AF3251,AH3251,AJ3251,AL3251,AN3251,AP3251,AR3251,AT3251,AV3251,AX3251)</f>
        <v>36.06</v>
      </c>
      <c r="BE3251" s="33" t="n">
        <f aca="false">AZ3251-BD3251</f>
        <v>0</v>
      </c>
      <c r="BF3251" s="34" t="n">
        <f aca="false">BD3251*M3251</f>
        <v>3245.4</v>
      </c>
      <c r="BG3251" s="35" t="n">
        <f aca="false">BA3251-BF3251</f>
        <v>-0.400000000000091</v>
      </c>
      <c r="BH3251" s="19" t="str">
        <f aca="false">IF(BG3251=0,"",IF(BG3251&lt;&gt;BA3251,"erreur de calcul",IF(BD3251&lt;&gt;0,"pas de prix",IF(M3251&lt;&gt; 0,"pas de quantité","pas de prix, ni de quantité"))))</f>
        <v>erreur de calcul</v>
      </c>
      <c r="BI3251" s="19"/>
    </row>
    <row r="3252" customFormat="false" ht="15" hidden="false" customHeight="false" outlineLevel="0" collapsed="false">
      <c r="A3252" s="0" t="n">
        <v>14</v>
      </c>
      <c r="B3252" s="8" t="s">
        <v>24</v>
      </c>
      <c r="C3252" s="9" t="s">
        <v>25</v>
      </c>
      <c r="D3252" s="9" t="s">
        <v>26</v>
      </c>
      <c r="E3252" s="10" t="n">
        <v>1789</v>
      </c>
      <c r="F3252" s="9" t="s">
        <v>27</v>
      </c>
      <c r="G3252" s="9" t="s">
        <v>27</v>
      </c>
      <c r="H3252" s="11" t="n">
        <v>21</v>
      </c>
      <c r="I3252" s="11" t="s">
        <v>167</v>
      </c>
      <c r="J3252" s="14" t="n">
        <v>60</v>
      </c>
      <c r="K3252" s="14"/>
      <c r="L3252" s="16"/>
      <c r="M3252" s="27" t="n">
        <f aca="false">J3252+(K3252/20)+(L3252/240)</f>
        <v>60</v>
      </c>
      <c r="N3252" s="17" t="s">
        <v>64</v>
      </c>
      <c r="O3252" s="11"/>
      <c r="P3252" s="28" t="n">
        <f aca="false">19377/100</f>
        <v>193.77</v>
      </c>
      <c r="Q3252" s="28" t="n">
        <v>11626</v>
      </c>
      <c r="R3252" s="28"/>
      <c r="S3252" s="28" t="n">
        <f aca="false">R3252*$M3252</f>
        <v>0</v>
      </c>
      <c r="T3252" s="28"/>
      <c r="U3252" s="28" t="n">
        <f aca="false">T3252*$M3252</f>
        <v>0</v>
      </c>
      <c r="V3252" s="28"/>
      <c r="W3252" s="28" t="n">
        <f aca="false">V3252*$M3252</f>
        <v>0</v>
      </c>
      <c r="X3252" s="28"/>
      <c r="Y3252" s="28" t="n">
        <f aca="false">X3252*$M3252</f>
        <v>0</v>
      </c>
      <c r="Z3252" s="28"/>
      <c r="AA3252" s="28" t="n">
        <f aca="false">Z3252*$M3252</f>
        <v>0</v>
      </c>
      <c r="AB3252" s="28"/>
      <c r="AC3252" s="28" t="n">
        <f aca="false">AB3252*$M3252</f>
        <v>0</v>
      </c>
      <c r="AD3252" s="28"/>
      <c r="AE3252" s="28" t="n">
        <f aca="false">AD3252*$M3252</f>
        <v>0</v>
      </c>
      <c r="AF3252" s="28"/>
      <c r="AG3252" s="28" t="n">
        <f aca="false">AF3252*$M3252</f>
        <v>0</v>
      </c>
      <c r="AH3252" s="28"/>
      <c r="AI3252" s="28" t="n">
        <f aca="false">AH3252*$M3252</f>
        <v>0</v>
      </c>
      <c r="AJ3252" s="28"/>
      <c r="AK3252" s="28" t="n">
        <f aca="false">AJ3252*$M3252</f>
        <v>0</v>
      </c>
      <c r="AL3252" s="28"/>
      <c r="AM3252" s="28" t="n">
        <f aca="false">AL3252*$M3252</f>
        <v>0</v>
      </c>
      <c r="AN3252" s="28"/>
      <c r="AO3252" s="28" t="n">
        <f aca="false">AN3252*$M3252</f>
        <v>0</v>
      </c>
      <c r="AP3252" s="28"/>
      <c r="AQ3252" s="28" t="n">
        <f aca="false">AP3252*$M3252</f>
        <v>0</v>
      </c>
      <c r="AR3252" s="28"/>
      <c r="AS3252" s="28" t="n">
        <f aca="false">AR3252*$M3252</f>
        <v>0</v>
      </c>
      <c r="AT3252" s="28"/>
      <c r="AU3252" s="28" t="n">
        <f aca="false">AT3252*$M3252</f>
        <v>0</v>
      </c>
      <c r="AV3252" s="28"/>
      <c r="AW3252" s="28" t="n">
        <f aca="false">AV3252*$M3252</f>
        <v>0</v>
      </c>
      <c r="AX3252" s="28"/>
      <c r="AY3252" s="28" t="n">
        <f aca="false">AX3252*$M3252</f>
        <v>0</v>
      </c>
      <c r="AZ3252" s="30" t="n">
        <f aca="false">19377/100</f>
        <v>193.77</v>
      </c>
      <c r="BA3252" s="11" t="n">
        <v>11626</v>
      </c>
      <c r="BB3252" s="31" t="n">
        <f aca="false">SUM(Q3252,S3252,U3252,W3252,Y3252,AA3252,AC3252,AE3252,AG3252,AI3252,AK3252,AM3252,AO3252,AQ3252,AS3252,AU3252,AW3252,AY3252)</f>
        <v>11626</v>
      </c>
      <c r="BC3252" s="28" t="n">
        <f aca="false">BA3252-BB3252</f>
        <v>0</v>
      </c>
      <c r="BD3252" s="32" t="n">
        <f aca="false">SUM(P3252,R3252,T3252,V3252,X3252,Z3252,AB3252,AD3252,AF3252,AH3252,AJ3252,AL3252,AN3252,AP3252,AR3252,AT3252,AV3252,AX3252)</f>
        <v>193.77</v>
      </c>
      <c r="BE3252" s="33" t="n">
        <f aca="false">AZ3252-BD3252</f>
        <v>0</v>
      </c>
      <c r="BF3252" s="34" t="n">
        <f aca="false">BD3252*M3252</f>
        <v>11626.2</v>
      </c>
      <c r="BG3252" s="35" t="n">
        <f aca="false">BA3252-BF3252</f>
        <v>-0.200000000000728</v>
      </c>
      <c r="BH3252" s="19" t="str">
        <f aca="false">IF(BG3252=0,"",IF(BG3252&lt;&gt;BA3252,"erreur de calcul",IF(BD3252&lt;&gt;0,"pas de prix",IF(M3252&lt;&gt; 0,"pas de quantité","pas de prix, ni de quantité"))))</f>
        <v>erreur de calcul</v>
      </c>
      <c r="BI3252" s="19"/>
    </row>
    <row r="3253" customFormat="false" ht="15" hidden="false" customHeight="false" outlineLevel="0" collapsed="false">
      <c r="A3253" s="0" t="n">
        <v>15</v>
      </c>
      <c r="B3253" s="8" t="s">
        <v>24</v>
      </c>
      <c r="C3253" s="9" t="s">
        <v>25</v>
      </c>
      <c r="D3253" s="9" t="s">
        <v>26</v>
      </c>
      <c r="E3253" s="10" t="n">
        <v>1789</v>
      </c>
      <c r="F3253" s="9" t="s">
        <v>27</v>
      </c>
      <c r="G3253" s="9" t="s">
        <v>27</v>
      </c>
      <c r="H3253" s="11" t="n">
        <v>21</v>
      </c>
      <c r="I3253" s="11" t="s">
        <v>168</v>
      </c>
      <c r="J3253" s="14" t="n">
        <v>345</v>
      </c>
      <c r="K3253" s="14"/>
      <c r="L3253" s="16"/>
      <c r="M3253" s="27" t="n">
        <f aca="false">J3253+(K3253/20)+(L3253/240)</f>
        <v>345</v>
      </c>
      <c r="N3253" s="17" t="s">
        <v>64</v>
      </c>
      <c r="O3253" s="11"/>
      <c r="P3253" s="28" t="n">
        <f aca="false">617/100</f>
        <v>6.17</v>
      </c>
      <c r="Q3253" s="28" t="n">
        <v>2129</v>
      </c>
      <c r="R3253" s="28"/>
      <c r="S3253" s="28" t="n">
        <f aca="false">R3253*$M3253</f>
        <v>0</v>
      </c>
      <c r="T3253" s="28"/>
      <c r="U3253" s="28" t="n">
        <f aca="false">T3253*$M3253</f>
        <v>0</v>
      </c>
      <c r="V3253" s="28"/>
      <c r="W3253" s="28" t="n">
        <f aca="false">V3253*$M3253</f>
        <v>0</v>
      </c>
      <c r="X3253" s="28"/>
      <c r="Y3253" s="28" t="n">
        <f aca="false">X3253*$M3253</f>
        <v>0</v>
      </c>
      <c r="Z3253" s="28"/>
      <c r="AA3253" s="28" t="n">
        <f aca="false">Z3253*$M3253</f>
        <v>0</v>
      </c>
      <c r="AB3253" s="28" t="n">
        <f aca="false">1270/100</f>
        <v>12.7</v>
      </c>
      <c r="AC3253" s="28" t="n">
        <v>4381</v>
      </c>
      <c r="AD3253" s="28"/>
      <c r="AE3253" s="28" t="n">
        <f aca="false">AD3253*$M3253</f>
        <v>0</v>
      </c>
      <c r="AF3253" s="28"/>
      <c r="AG3253" s="28" t="n">
        <f aca="false">AF3253*$M3253</f>
        <v>0</v>
      </c>
      <c r="AH3253" s="28"/>
      <c r="AI3253" s="28" t="n">
        <f aca="false">AH3253*$M3253</f>
        <v>0</v>
      </c>
      <c r="AJ3253" s="28"/>
      <c r="AK3253" s="28" t="n">
        <f aca="false">AJ3253*$M3253</f>
        <v>0</v>
      </c>
      <c r="AL3253" s="28"/>
      <c r="AM3253" s="28" t="n">
        <f aca="false">AL3253*$M3253</f>
        <v>0</v>
      </c>
      <c r="AN3253" s="28"/>
      <c r="AO3253" s="28" t="n">
        <f aca="false">AN3253*$M3253</f>
        <v>0</v>
      </c>
      <c r="AP3253" s="28"/>
      <c r="AQ3253" s="28" t="n">
        <f aca="false">AP3253*$M3253</f>
        <v>0</v>
      </c>
      <c r="AR3253" s="28"/>
      <c r="AS3253" s="28" t="n">
        <f aca="false">AR3253*$M3253</f>
        <v>0</v>
      </c>
      <c r="AT3253" s="28"/>
      <c r="AU3253" s="28" t="n">
        <f aca="false">AT3253*$M3253</f>
        <v>0</v>
      </c>
      <c r="AV3253" s="28"/>
      <c r="AW3253" s="28" t="n">
        <f aca="false">AV3253*$M3253</f>
        <v>0</v>
      </c>
      <c r="AX3253" s="28"/>
      <c r="AY3253" s="28" t="n">
        <f aca="false">AX3253*$M3253</f>
        <v>0</v>
      </c>
      <c r="AZ3253" s="30" t="n">
        <f aca="false">1887/100</f>
        <v>18.87</v>
      </c>
      <c r="BA3253" s="11" t="n">
        <v>6510</v>
      </c>
      <c r="BB3253" s="31" t="n">
        <f aca="false">SUM(Q3253,S3253,U3253,W3253,Y3253,AA3253,AC3253,AE3253,AG3253,AI3253,AK3253,AM3253,AO3253,AQ3253,AS3253,AU3253,AW3253,AY3253)</f>
        <v>6510</v>
      </c>
      <c r="BC3253" s="28" t="n">
        <f aca="false">BA3253-BB3253</f>
        <v>0</v>
      </c>
      <c r="BD3253" s="32" t="n">
        <f aca="false">SUM(P3253,R3253,T3253,V3253,X3253,Z3253,AB3253,AD3253,AF3253,AH3253,AJ3253,AL3253,AN3253,AP3253,AR3253,AT3253,AV3253,AX3253)</f>
        <v>18.87</v>
      </c>
      <c r="BE3253" s="33" t="n">
        <f aca="false">AZ3253-BD3253</f>
        <v>0</v>
      </c>
      <c r="BF3253" s="34" t="n">
        <f aca="false">BD3253*M3253</f>
        <v>6510.15</v>
      </c>
      <c r="BG3253" s="35" t="n">
        <f aca="false">BA3253-BF3253</f>
        <v>-0.149999999998727</v>
      </c>
      <c r="BH3253" s="19" t="str">
        <f aca="false">IF(BG3253=0,"",IF(BG3253&lt;&gt;BA3253,"erreur de calcul",IF(BD3253&lt;&gt;0,"pas de prix",IF(M3253&lt;&gt; 0,"pas de quantité","pas de prix, ni de quantité"))))</f>
        <v>erreur de calcul</v>
      </c>
      <c r="BI3253" s="19"/>
    </row>
    <row r="3254" customFormat="false" ht="15" hidden="false" customHeight="false" outlineLevel="0" collapsed="false">
      <c r="A3254" s="0" t="n">
        <v>16</v>
      </c>
      <c r="B3254" s="8" t="s">
        <v>24</v>
      </c>
      <c r="C3254" s="9" t="s">
        <v>25</v>
      </c>
      <c r="D3254" s="9" t="s">
        <v>26</v>
      </c>
      <c r="E3254" s="10" t="n">
        <v>1789</v>
      </c>
      <c r="F3254" s="9" t="s">
        <v>27</v>
      </c>
      <c r="G3254" s="9" t="s">
        <v>27</v>
      </c>
      <c r="H3254" s="11" t="n">
        <v>21</v>
      </c>
      <c r="I3254" s="11" t="s">
        <v>169</v>
      </c>
      <c r="J3254" s="14" t="n">
        <v>6</v>
      </c>
      <c r="K3254" s="14"/>
      <c r="L3254" s="16"/>
      <c r="M3254" s="27" t="n">
        <f aca="false">J3254+(K3254/20)+(L3254/240)</f>
        <v>6</v>
      </c>
      <c r="N3254" s="17" t="s">
        <v>64</v>
      </c>
      <c r="O3254" s="11"/>
      <c r="P3254" s="28"/>
      <c r="Q3254" s="28" t="n">
        <f aca="false">P3254*$M3254</f>
        <v>0</v>
      </c>
      <c r="R3254" s="28"/>
      <c r="S3254" s="28" t="n">
        <f aca="false">R3254*$M3254</f>
        <v>0</v>
      </c>
      <c r="T3254" s="28"/>
      <c r="U3254" s="28" t="n">
        <f aca="false">T3254*$M3254</f>
        <v>0</v>
      </c>
      <c r="V3254" s="28" t="n">
        <f aca="false">39752/100</f>
        <v>397.52</v>
      </c>
      <c r="W3254" s="28" t="n">
        <v>2385</v>
      </c>
      <c r="X3254" s="28"/>
      <c r="Y3254" s="28" t="n">
        <f aca="false">X3254*$M3254</f>
        <v>0</v>
      </c>
      <c r="Z3254" s="28"/>
      <c r="AA3254" s="28" t="n">
        <f aca="false">Z3254*$M3254</f>
        <v>0</v>
      </c>
      <c r="AB3254" s="28"/>
      <c r="AC3254" s="28" t="n">
        <f aca="false">AB3254*$M3254</f>
        <v>0</v>
      </c>
      <c r="AD3254" s="28"/>
      <c r="AE3254" s="28" t="n">
        <f aca="false">AD3254*$M3254</f>
        <v>0</v>
      </c>
      <c r="AF3254" s="28"/>
      <c r="AG3254" s="28" t="n">
        <f aca="false">AF3254*$M3254</f>
        <v>0</v>
      </c>
      <c r="AH3254" s="28"/>
      <c r="AI3254" s="28" t="n">
        <f aca="false">AH3254*$M3254</f>
        <v>0</v>
      </c>
      <c r="AJ3254" s="28"/>
      <c r="AK3254" s="28" t="n">
        <f aca="false">AJ3254*$M3254</f>
        <v>0</v>
      </c>
      <c r="AL3254" s="28"/>
      <c r="AM3254" s="28" t="n">
        <f aca="false">AL3254*$M3254</f>
        <v>0</v>
      </c>
      <c r="AN3254" s="28"/>
      <c r="AO3254" s="28" t="n">
        <f aca="false">AN3254*$M3254</f>
        <v>0</v>
      </c>
      <c r="AP3254" s="28"/>
      <c r="AQ3254" s="28" t="n">
        <f aca="false">AP3254*$M3254</f>
        <v>0</v>
      </c>
      <c r="AR3254" s="28"/>
      <c r="AS3254" s="28" t="n">
        <f aca="false">AR3254*$M3254</f>
        <v>0</v>
      </c>
      <c r="AT3254" s="28"/>
      <c r="AU3254" s="28" t="n">
        <f aca="false">AT3254*$M3254</f>
        <v>0</v>
      </c>
      <c r="AV3254" s="28"/>
      <c r="AW3254" s="28" t="n">
        <f aca="false">AV3254*$M3254</f>
        <v>0</v>
      </c>
      <c r="AX3254" s="28"/>
      <c r="AY3254" s="28" t="n">
        <f aca="false">AX3254*$M3254</f>
        <v>0</v>
      </c>
      <c r="AZ3254" s="30" t="n">
        <f aca="false">39752/100</f>
        <v>397.52</v>
      </c>
      <c r="BA3254" s="11" t="n">
        <v>2385</v>
      </c>
      <c r="BB3254" s="31" t="n">
        <f aca="false">SUM(Q3254,S3254,U3254,W3254,Y3254,AA3254,AC3254,AE3254,AG3254,AI3254,AK3254,AM3254,AO3254,AQ3254,AS3254,AU3254,AW3254,AY3254)</f>
        <v>2385</v>
      </c>
      <c r="BC3254" s="28" t="n">
        <f aca="false">BA3254-BB3254</f>
        <v>0</v>
      </c>
      <c r="BD3254" s="32" t="n">
        <f aca="false">SUM(P3254,R3254,T3254,V3254,X3254,Z3254,AB3254,AD3254,AF3254,AH3254,AJ3254,AL3254,AN3254,AP3254,AR3254,AT3254,AV3254,AX3254)</f>
        <v>397.52</v>
      </c>
      <c r="BE3254" s="33" t="n">
        <f aca="false">AZ3254-BD3254</f>
        <v>0</v>
      </c>
      <c r="BF3254" s="34" t="n">
        <f aca="false">BD3254*M3254</f>
        <v>2385.12</v>
      </c>
      <c r="BG3254" s="35" t="n">
        <f aca="false">BA3254-BF3254</f>
        <v>-0.119999999999891</v>
      </c>
      <c r="BH3254" s="19" t="str">
        <f aca="false">IF(BG3254=0,"",IF(BG3254&lt;&gt;BA3254,"erreur de calcul",IF(BD3254&lt;&gt;0,"pas de prix",IF(M3254&lt;&gt; 0,"pas de quantité","pas de prix, ni de quantité"))))</f>
        <v>erreur de calcul</v>
      </c>
      <c r="BI3254" s="19"/>
    </row>
    <row r="3255" customFormat="false" ht="15" hidden="false" customHeight="false" outlineLevel="0" collapsed="false">
      <c r="A3255" s="0" t="n">
        <v>17</v>
      </c>
      <c r="B3255" s="8" t="s">
        <v>24</v>
      </c>
      <c r="C3255" s="9" t="s">
        <v>25</v>
      </c>
      <c r="D3255" s="9" t="s">
        <v>26</v>
      </c>
      <c r="E3255" s="10" t="n">
        <v>1789</v>
      </c>
      <c r="F3255" s="9" t="s">
        <v>27</v>
      </c>
      <c r="G3255" s="9" t="s">
        <v>27</v>
      </c>
      <c r="H3255" s="11" t="n">
        <v>21</v>
      </c>
      <c r="I3255" s="11" t="s">
        <v>170</v>
      </c>
      <c r="J3255" s="14" t="n">
        <v>90</v>
      </c>
      <c r="K3255" s="14"/>
      <c r="L3255" s="16"/>
      <c r="M3255" s="27" t="n">
        <f aca="false">J3255+(K3255/20)+(L3255/240)</f>
        <v>90</v>
      </c>
      <c r="N3255" s="17" t="s">
        <v>64</v>
      </c>
      <c r="O3255" s="11"/>
      <c r="P3255" s="28"/>
      <c r="Q3255" s="28" t="n">
        <f aca="false">P3255*$M3255</f>
        <v>0</v>
      </c>
      <c r="R3255" s="28"/>
      <c r="S3255" s="28" t="n">
        <f aca="false">R3255*$M3255</f>
        <v>0</v>
      </c>
      <c r="T3255" s="28"/>
      <c r="U3255" s="28" t="n">
        <f aca="false">T3255*$M3255</f>
        <v>0</v>
      </c>
      <c r="V3255" s="28"/>
      <c r="W3255" s="28" t="n">
        <f aca="false">V3255*$M3255</f>
        <v>0</v>
      </c>
      <c r="X3255" s="28" t="n">
        <f aca="false">3136/100</f>
        <v>31.36</v>
      </c>
      <c r="Y3255" s="28" t="n">
        <v>2822</v>
      </c>
      <c r="Z3255" s="28"/>
      <c r="AA3255" s="28" t="n">
        <f aca="false">Z3255*$M3255</f>
        <v>0</v>
      </c>
      <c r="AB3255" s="28"/>
      <c r="AC3255" s="28" t="n">
        <f aca="false">AB3255*$M3255</f>
        <v>0</v>
      </c>
      <c r="AD3255" s="28"/>
      <c r="AE3255" s="28" t="n">
        <f aca="false">AD3255*$M3255</f>
        <v>0</v>
      </c>
      <c r="AF3255" s="28"/>
      <c r="AG3255" s="28" t="n">
        <f aca="false">AF3255*$M3255</f>
        <v>0</v>
      </c>
      <c r="AH3255" s="28"/>
      <c r="AI3255" s="28" t="n">
        <f aca="false">AH3255*$M3255</f>
        <v>0</v>
      </c>
      <c r="AJ3255" s="28"/>
      <c r="AK3255" s="28" t="n">
        <f aca="false">AJ3255*$M3255</f>
        <v>0</v>
      </c>
      <c r="AL3255" s="28"/>
      <c r="AM3255" s="28" t="n">
        <f aca="false">AL3255*$M3255</f>
        <v>0</v>
      </c>
      <c r="AN3255" s="28"/>
      <c r="AO3255" s="28" t="n">
        <f aca="false">AN3255*$M3255</f>
        <v>0</v>
      </c>
      <c r="AP3255" s="28"/>
      <c r="AQ3255" s="28" t="n">
        <f aca="false">AP3255*$M3255</f>
        <v>0</v>
      </c>
      <c r="AR3255" s="28"/>
      <c r="AS3255" s="28" t="n">
        <f aca="false">AR3255*$M3255</f>
        <v>0</v>
      </c>
      <c r="AT3255" s="28"/>
      <c r="AU3255" s="28" t="n">
        <f aca="false">AT3255*$M3255</f>
        <v>0</v>
      </c>
      <c r="AV3255" s="28"/>
      <c r="AW3255" s="28" t="n">
        <f aca="false">AV3255*$M3255</f>
        <v>0</v>
      </c>
      <c r="AX3255" s="28"/>
      <c r="AY3255" s="28" t="n">
        <f aca="false">AX3255*$M3255</f>
        <v>0</v>
      </c>
      <c r="AZ3255" s="30" t="n">
        <f aca="false">3136/100</f>
        <v>31.36</v>
      </c>
      <c r="BA3255" s="11" t="n">
        <v>2822</v>
      </c>
      <c r="BB3255" s="31" t="n">
        <f aca="false">SUM(Q3255,S3255,U3255,W3255,Y3255,AA3255,AC3255,AE3255,AG3255,AI3255,AK3255,AM3255,AO3255,AQ3255,AS3255,AU3255,AW3255,AY3255)</f>
        <v>2822</v>
      </c>
      <c r="BC3255" s="28" t="n">
        <f aca="false">BA3255-BB3255</f>
        <v>0</v>
      </c>
      <c r="BD3255" s="32" t="n">
        <f aca="false">SUM(P3255,R3255,T3255,V3255,X3255,Z3255,AB3255,AD3255,AF3255,AH3255,AJ3255,AL3255,AN3255,AP3255,AR3255,AT3255,AV3255,AX3255)</f>
        <v>31.36</v>
      </c>
      <c r="BE3255" s="33" t="n">
        <f aca="false">AZ3255-BD3255</f>
        <v>0</v>
      </c>
      <c r="BF3255" s="34" t="n">
        <f aca="false">BD3255*M3255</f>
        <v>2822.4</v>
      </c>
      <c r="BG3255" s="35" t="n">
        <f aca="false">BA3255-BF3255</f>
        <v>-0.400000000000091</v>
      </c>
      <c r="BH3255" s="19" t="str">
        <f aca="false">IF(BG3255=0,"",IF(BG3255&lt;&gt;BA3255,"erreur de calcul",IF(BD3255&lt;&gt;0,"pas de prix",IF(M3255&lt;&gt; 0,"pas de quantité","pas de prix, ni de quantité"))))</f>
        <v>erreur de calcul</v>
      </c>
      <c r="BI3255" s="19"/>
    </row>
    <row r="3256" customFormat="false" ht="15" hidden="false" customHeight="false" outlineLevel="0" collapsed="false">
      <c r="A3256" s="0" t="n">
        <v>18</v>
      </c>
      <c r="B3256" s="8" t="s">
        <v>24</v>
      </c>
      <c r="C3256" s="9" t="s">
        <v>25</v>
      </c>
      <c r="D3256" s="9" t="s">
        <v>26</v>
      </c>
      <c r="E3256" s="10" t="n">
        <v>1789</v>
      </c>
      <c r="F3256" s="9" t="s">
        <v>27</v>
      </c>
      <c r="G3256" s="9" t="s">
        <v>27</v>
      </c>
      <c r="H3256" s="11" t="n">
        <v>21</v>
      </c>
      <c r="I3256" s="11" t="s">
        <v>171</v>
      </c>
      <c r="J3256" s="14" t="n">
        <v>90</v>
      </c>
      <c r="K3256" s="14"/>
      <c r="L3256" s="16"/>
      <c r="M3256" s="27" t="n">
        <f aca="false">J3256+(K3256/20)+(L3256/240)</f>
        <v>90</v>
      </c>
      <c r="N3256" s="17" t="s">
        <v>64</v>
      </c>
      <c r="O3256" s="11"/>
      <c r="P3256" s="28"/>
      <c r="Q3256" s="28" t="n">
        <f aca="false">P3256*$M3256</f>
        <v>0</v>
      </c>
      <c r="R3256" s="28"/>
      <c r="S3256" s="28" t="n">
        <f aca="false">R3256*$M3256</f>
        <v>0</v>
      </c>
      <c r="T3256" s="28"/>
      <c r="U3256" s="28" t="n">
        <f aca="false">T3256*$M3256</f>
        <v>0</v>
      </c>
      <c r="V3256" s="28"/>
      <c r="W3256" s="28" t="n">
        <f aca="false">V3256*$M3256</f>
        <v>0</v>
      </c>
      <c r="X3256" s="28"/>
      <c r="Y3256" s="28" t="n">
        <f aca="false">X3256*$M3256</f>
        <v>0</v>
      </c>
      <c r="Z3256" s="28"/>
      <c r="AA3256" s="28" t="n">
        <f aca="false">Z3256*$M3256</f>
        <v>0</v>
      </c>
      <c r="AB3256" s="28"/>
      <c r="AC3256" s="28" t="n">
        <f aca="false">AB3256*$M3256</f>
        <v>0</v>
      </c>
      <c r="AD3256" s="28"/>
      <c r="AE3256" s="28" t="n">
        <f aca="false">AD3256*$M3256</f>
        <v>0</v>
      </c>
      <c r="AF3256" s="28"/>
      <c r="AG3256" s="28" t="n">
        <f aca="false">AF3256*$M3256</f>
        <v>0</v>
      </c>
      <c r="AH3256" s="28" t="n">
        <f aca="false">5337/100</f>
        <v>53.37</v>
      </c>
      <c r="AI3256" s="28" t="n">
        <v>4803</v>
      </c>
      <c r="AJ3256" s="28"/>
      <c r="AK3256" s="28" t="n">
        <f aca="false">AJ3256*$M3256</f>
        <v>0</v>
      </c>
      <c r="AL3256" s="28"/>
      <c r="AM3256" s="28" t="n">
        <f aca="false">AL3256*$M3256</f>
        <v>0</v>
      </c>
      <c r="AN3256" s="28"/>
      <c r="AO3256" s="28" t="n">
        <f aca="false">AN3256*$M3256</f>
        <v>0</v>
      </c>
      <c r="AP3256" s="28"/>
      <c r="AQ3256" s="28" t="n">
        <f aca="false">AP3256*$M3256</f>
        <v>0</v>
      </c>
      <c r="AR3256" s="28"/>
      <c r="AS3256" s="28" t="n">
        <f aca="false">AR3256*$M3256</f>
        <v>0</v>
      </c>
      <c r="AT3256" s="28"/>
      <c r="AU3256" s="28" t="n">
        <f aca="false">AT3256*$M3256</f>
        <v>0</v>
      </c>
      <c r="AV3256" s="28"/>
      <c r="AW3256" s="28" t="n">
        <f aca="false">AV3256*$M3256</f>
        <v>0</v>
      </c>
      <c r="AX3256" s="28"/>
      <c r="AY3256" s="28" t="n">
        <f aca="false">AX3256*$M3256</f>
        <v>0</v>
      </c>
      <c r="AZ3256" s="30" t="n">
        <f aca="false">5337/100</f>
        <v>53.37</v>
      </c>
      <c r="BA3256" s="11" t="n">
        <v>4803</v>
      </c>
      <c r="BB3256" s="31" t="n">
        <f aca="false">SUM(Q3256,S3256,U3256,W3256,Y3256,AA3256,AC3256,AE3256,AG3256,AI3256,AK3256,AM3256,AO3256,AQ3256,AS3256,AU3256,AW3256,AY3256)</f>
        <v>4803</v>
      </c>
      <c r="BC3256" s="28" t="n">
        <f aca="false">BA3256-BB3256</f>
        <v>0</v>
      </c>
      <c r="BD3256" s="32" t="n">
        <f aca="false">SUM(P3256,R3256,T3256,V3256,X3256,Z3256,AB3256,AD3256,AF3256,AH3256,AJ3256,AL3256,AN3256,AP3256,AR3256,AT3256,AV3256,AX3256)</f>
        <v>53.37</v>
      </c>
      <c r="BE3256" s="33" t="n">
        <f aca="false">AZ3256-BD3256</f>
        <v>0</v>
      </c>
      <c r="BF3256" s="34" t="n">
        <f aca="false">BD3256*M3256</f>
        <v>4803.3</v>
      </c>
      <c r="BG3256" s="35" t="n">
        <f aca="false">BA3256-BF3256</f>
        <v>-0.300000000000182</v>
      </c>
      <c r="BH3256" s="19" t="str">
        <f aca="false">IF(BG3256=0,"",IF(BG3256&lt;&gt;BA3256,"erreur de calcul",IF(BD3256&lt;&gt;0,"pas de prix",IF(M3256&lt;&gt; 0,"pas de quantité","pas de prix, ni de quantité"))))</f>
        <v>erreur de calcul</v>
      </c>
      <c r="BI3256" s="19"/>
    </row>
    <row r="3257" customFormat="false" ht="15" hidden="false" customHeight="false" outlineLevel="0" collapsed="false">
      <c r="A3257" s="0" t="n">
        <v>19</v>
      </c>
      <c r="B3257" s="8" t="s">
        <v>24</v>
      </c>
      <c r="C3257" s="9" t="s">
        <v>25</v>
      </c>
      <c r="D3257" s="9" t="s">
        <v>26</v>
      </c>
      <c r="E3257" s="10" t="n">
        <v>1789</v>
      </c>
      <c r="F3257" s="9" t="s">
        <v>27</v>
      </c>
      <c r="G3257" s="9" t="s">
        <v>27</v>
      </c>
      <c r="H3257" s="11" t="n">
        <v>21</v>
      </c>
      <c r="I3257" s="11" t="s">
        <v>172</v>
      </c>
      <c r="J3257" s="14" t="n">
        <v>15</v>
      </c>
      <c r="K3257" s="14"/>
      <c r="L3257" s="16"/>
      <c r="M3257" s="27" t="n">
        <f aca="false">J3257+(K3257/20)+(L3257/240)</f>
        <v>15</v>
      </c>
      <c r="N3257" s="17" t="s">
        <v>64</v>
      </c>
      <c r="O3257" s="11" t="s">
        <v>77</v>
      </c>
      <c r="P3257" s="28"/>
      <c r="Q3257" s="28" t="n">
        <f aca="false">P3257*$M3257</f>
        <v>0</v>
      </c>
      <c r="R3257" s="28"/>
      <c r="S3257" s="28" t="n">
        <f aca="false">R3257*$M3257</f>
        <v>0</v>
      </c>
      <c r="T3257" s="28"/>
      <c r="U3257" s="28" t="n">
        <f aca="false">T3257*$M3257</f>
        <v>0</v>
      </c>
      <c r="V3257" s="28"/>
      <c r="W3257" s="28" t="n">
        <f aca="false">V3257*$M3257</f>
        <v>0</v>
      </c>
      <c r="X3257" s="28"/>
      <c r="Y3257" s="28" t="n">
        <f aca="false">X3257*$M3257</f>
        <v>0</v>
      </c>
      <c r="Z3257" s="28"/>
      <c r="AA3257" s="28" t="n">
        <f aca="false">Z3257*$M3257</f>
        <v>0</v>
      </c>
      <c r="AB3257" s="28"/>
      <c r="AC3257" s="28" t="n">
        <f aca="false">AB3257*$M3257</f>
        <v>0</v>
      </c>
      <c r="AD3257" s="28"/>
      <c r="AE3257" s="28" t="n">
        <f aca="false">AD3257*$M3257</f>
        <v>0</v>
      </c>
      <c r="AF3257" s="28"/>
      <c r="AG3257" s="28" t="n">
        <f aca="false">AF3257*$M3257</f>
        <v>0</v>
      </c>
      <c r="AH3257" s="28"/>
      <c r="AI3257" s="28" t="n">
        <f aca="false">AH3257*$M3257</f>
        <v>0</v>
      </c>
      <c r="AJ3257" s="28"/>
      <c r="AK3257" s="28" t="n">
        <f aca="false">AJ3257*$M3257</f>
        <v>0</v>
      </c>
      <c r="AL3257" s="28"/>
      <c r="AM3257" s="28" t="n">
        <f aca="false">AL3257*$M3257</f>
        <v>0</v>
      </c>
      <c r="AN3257" s="28"/>
      <c r="AO3257" s="28" t="n">
        <f aca="false">AN3257*$M3257</f>
        <v>0</v>
      </c>
      <c r="AP3257" s="28"/>
      <c r="AQ3257" s="28" t="n">
        <f aca="false">AP3257*$M3257</f>
        <v>0</v>
      </c>
      <c r="AR3257" s="28"/>
      <c r="AS3257" s="28" t="n">
        <f aca="false">AR3257*$M3257</f>
        <v>0</v>
      </c>
      <c r="AT3257" s="28"/>
      <c r="AU3257" s="28" t="n">
        <f aca="false">AT3257*$M3257</f>
        <v>0</v>
      </c>
      <c r="AV3257" s="28"/>
      <c r="AW3257" s="28" t="n">
        <f aca="false">AV3257*$M3257</f>
        <v>0</v>
      </c>
      <c r="AX3257" s="28"/>
      <c r="AY3257" s="28" t="n">
        <f aca="false">AX3257*$M3257</f>
        <v>0</v>
      </c>
      <c r="AZ3257" s="30"/>
      <c r="BA3257" s="11"/>
      <c r="BB3257" s="31" t="n">
        <f aca="false">SUM(Q3257,S3257,U3257,W3257,Y3257,AA3257,AC3257,AE3257,AG3257,AI3257,AK3257,AM3257,AO3257,AQ3257,AS3257,AU3257,AW3257,AY3257)</f>
        <v>0</v>
      </c>
      <c r="BC3257" s="28" t="n">
        <f aca="false">BA3257-BB3257</f>
        <v>0</v>
      </c>
      <c r="BD3257" s="32" t="n">
        <f aca="false">SUM(P3257,R3257,T3257,V3257,X3257,Z3257,AB3257,AD3257,AF3257,AH3257,AJ3257,AL3257,AN3257,AP3257,AR3257,AT3257,AV3257,AX3257)</f>
        <v>0</v>
      </c>
      <c r="BE3257" s="33" t="n">
        <f aca="false">AZ3257-BD3257</f>
        <v>0</v>
      </c>
      <c r="BF3257" s="34" t="n">
        <f aca="false">BD3257*M3257</f>
        <v>0</v>
      </c>
      <c r="BG3257" s="35" t="n">
        <f aca="false">BA3257-BF3257</f>
        <v>0</v>
      </c>
      <c r="BH3257" s="19" t="str">
        <f aca="false">IF(BG3257=0,"",IF(BG3257&lt;&gt;BA3257,"erreur de calcul",IF(BD3257&lt;&gt;0,"pas de prix",IF(M3257&lt;&gt; 0,"pas de quantité","pas de prix, ni de quantité"))))</f>
        <v/>
      </c>
      <c r="BI3257" s="19"/>
    </row>
    <row r="3258" customFormat="false" ht="15" hidden="false" customHeight="false" outlineLevel="0" collapsed="false">
      <c r="A3258" s="0" t="n">
        <v>20</v>
      </c>
      <c r="B3258" s="8" t="s">
        <v>24</v>
      </c>
      <c r="C3258" s="9" t="s">
        <v>25</v>
      </c>
      <c r="D3258" s="9" t="s">
        <v>26</v>
      </c>
      <c r="E3258" s="10" t="n">
        <v>1789</v>
      </c>
      <c r="F3258" s="9" t="s">
        <v>27</v>
      </c>
      <c r="G3258" s="9" t="s">
        <v>27</v>
      </c>
      <c r="H3258" s="11" t="n">
        <v>21</v>
      </c>
      <c r="I3258" s="11" t="s">
        <v>173</v>
      </c>
      <c r="J3258" s="14" t="n">
        <v>36</v>
      </c>
      <c r="K3258" s="14"/>
      <c r="L3258" s="16"/>
      <c r="M3258" s="27" t="n">
        <f aca="false">J3258+(K3258/20)+(L3258/240)</f>
        <v>36</v>
      </c>
      <c r="N3258" s="17" t="s">
        <v>64</v>
      </c>
      <c r="O3258" s="11"/>
      <c r="P3258" s="28"/>
      <c r="Q3258" s="28" t="n">
        <f aca="false">P3258*$M3258</f>
        <v>0</v>
      </c>
      <c r="R3258" s="28"/>
      <c r="S3258" s="28" t="n">
        <f aca="false">R3258*$M3258</f>
        <v>0</v>
      </c>
      <c r="T3258" s="28"/>
      <c r="U3258" s="28" t="n">
        <f aca="false">T3258*$M3258</f>
        <v>0</v>
      </c>
      <c r="V3258" s="28"/>
      <c r="W3258" s="28" t="n">
        <f aca="false">V3258*$M3258</f>
        <v>0</v>
      </c>
      <c r="X3258" s="28"/>
      <c r="Y3258" s="28" t="n">
        <f aca="false">X3258*$M3258</f>
        <v>0</v>
      </c>
      <c r="Z3258" s="28"/>
      <c r="AA3258" s="28" t="n">
        <f aca="false">Z3258*$M3258</f>
        <v>0</v>
      </c>
      <c r="AB3258" s="28" t="n">
        <f aca="false">80722/100</f>
        <v>807.22</v>
      </c>
      <c r="AC3258" s="28" t="n">
        <v>29060</v>
      </c>
      <c r="AD3258" s="28"/>
      <c r="AE3258" s="28" t="n">
        <f aca="false">AD3258*$M3258</f>
        <v>0</v>
      </c>
      <c r="AF3258" s="28"/>
      <c r="AG3258" s="28" t="n">
        <f aca="false">AF3258*$M3258</f>
        <v>0</v>
      </c>
      <c r="AH3258" s="28"/>
      <c r="AI3258" s="28" t="n">
        <f aca="false">AH3258*$M3258</f>
        <v>0</v>
      </c>
      <c r="AJ3258" s="28"/>
      <c r="AK3258" s="28" t="n">
        <f aca="false">AJ3258*$M3258</f>
        <v>0</v>
      </c>
      <c r="AL3258" s="28"/>
      <c r="AM3258" s="28" t="n">
        <f aca="false">AL3258*$M3258</f>
        <v>0</v>
      </c>
      <c r="AN3258" s="28"/>
      <c r="AO3258" s="28" t="n">
        <f aca="false">AN3258*$M3258</f>
        <v>0</v>
      </c>
      <c r="AP3258" s="28"/>
      <c r="AQ3258" s="28" t="n">
        <f aca="false">AP3258*$M3258</f>
        <v>0</v>
      </c>
      <c r="AR3258" s="28"/>
      <c r="AS3258" s="28" t="n">
        <f aca="false">AR3258*$M3258</f>
        <v>0</v>
      </c>
      <c r="AT3258" s="28"/>
      <c r="AU3258" s="28" t="n">
        <f aca="false">AT3258*$M3258</f>
        <v>0</v>
      </c>
      <c r="AV3258" s="28"/>
      <c r="AW3258" s="28" t="n">
        <f aca="false">AV3258*$M3258</f>
        <v>0</v>
      </c>
      <c r="AX3258" s="28"/>
      <c r="AY3258" s="28" t="n">
        <f aca="false">AX3258*$M3258</f>
        <v>0</v>
      </c>
      <c r="AZ3258" s="30" t="n">
        <f aca="false">80722/100</f>
        <v>807.22</v>
      </c>
      <c r="BA3258" s="11" t="n">
        <v>29060</v>
      </c>
      <c r="BB3258" s="31" t="n">
        <f aca="false">SUM(Q3258,S3258,U3258,W3258,Y3258,AA3258,AC3258,AE3258,AG3258,AI3258,AK3258,AM3258,AO3258,AQ3258,AS3258,AU3258,AW3258,AY3258)</f>
        <v>29060</v>
      </c>
      <c r="BC3258" s="28" t="n">
        <f aca="false">BA3258-BB3258</f>
        <v>0</v>
      </c>
      <c r="BD3258" s="32" t="n">
        <f aca="false">SUM(P3258,R3258,T3258,V3258,X3258,Z3258,AB3258,AD3258,AF3258,AH3258,AJ3258,AL3258,AN3258,AP3258,AR3258,AT3258,AV3258,AX3258)</f>
        <v>807.22</v>
      </c>
      <c r="BE3258" s="33" t="n">
        <f aca="false">AZ3258-BD3258</f>
        <v>0</v>
      </c>
      <c r="BF3258" s="34" t="n">
        <f aca="false">BD3258*M3258</f>
        <v>29059.92</v>
      </c>
      <c r="BG3258" s="35" t="n">
        <f aca="false">BA3258-BF3258</f>
        <v>0.0799999999981083</v>
      </c>
      <c r="BH3258" s="19" t="str">
        <f aca="false">IF(BG3258=0,"",IF(BG3258&lt;&gt;BA3258,"erreur de calcul",IF(BD3258&lt;&gt;0,"pas de prix",IF(M3258&lt;&gt; 0,"pas de quantité","pas de prix, ni de quantité"))))</f>
        <v>erreur de calcul</v>
      </c>
      <c r="BI3258" s="19"/>
    </row>
    <row r="3259" customFormat="false" ht="15" hidden="false" customHeight="false" outlineLevel="0" collapsed="false">
      <c r="A3259" s="0" t="n">
        <v>21</v>
      </c>
      <c r="B3259" s="8" t="s">
        <v>24</v>
      </c>
      <c r="C3259" s="9" t="s">
        <v>25</v>
      </c>
      <c r="D3259" s="9" t="s">
        <v>26</v>
      </c>
      <c r="E3259" s="10" t="n">
        <v>1789</v>
      </c>
      <c r="F3259" s="9" t="s">
        <v>27</v>
      </c>
      <c r="G3259" s="9" t="s">
        <v>27</v>
      </c>
      <c r="H3259" s="11" t="n">
        <v>21</v>
      </c>
      <c r="I3259" s="11" t="s">
        <v>174</v>
      </c>
      <c r="J3259" s="14" t="n">
        <v>31</v>
      </c>
      <c r="K3259" s="14"/>
      <c r="L3259" s="16"/>
      <c r="M3259" s="27" t="n">
        <f aca="false">J3259+(K3259/20)+(L3259/240)</f>
        <v>31</v>
      </c>
      <c r="N3259" s="17" t="s">
        <v>64</v>
      </c>
      <c r="O3259" s="11"/>
      <c r="P3259" s="28"/>
      <c r="Q3259" s="28" t="n">
        <f aca="false">P3259*$M3259</f>
        <v>0</v>
      </c>
      <c r="R3259" s="28"/>
      <c r="S3259" s="28" t="n">
        <f aca="false">R3259*$M3259</f>
        <v>0</v>
      </c>
      <c r="T3259" s="28"/>
      <c r="U3259" s="28" t="n">
        <f aca="false">T3259*$M3259</f>
        <v>0</v>
      </c>
      <c r="V3259" s="28"/>
      <c r="W3259" s="28" t="n">
        <f aca="false">V3259*$M3259</f>
        <v>0</v>
      </c>
      <c r="X3259" s="28"/>
      <c r="Y3259" s="28" t="n">
        <f aca="false">X3259*$M3259</f>
        <v>0</v>
      </c>
      <c r="Z3259" s="28"/>
      <c r="AA3259" s="28" t="n">
        <f aca="false">Z3259*$M3259</f>
        <v>0</v>
      </c>
      <c r="AB3259" s="28"/>
      <c r="AC3259" s="28" t="n">
        <f aca="false">AB3259*$M3259</f>
        <v>0</v>
      </c>
      <c r="AD3259" s="28"/>
      <c r="AE3259" s="28" t="n">
        <f aca="false">AD3259*$M3259</f>
        <v>0</v>
      </c>
      <c r="AF3259" s="28" t="n">
        <f aca="false">4599/100</f>
        <v>45.99</v>
      </c>
      <c r="AG3259" s="28" t="n">
        <v>1426</v>
      </c>
      <c r="AH3259" s="28" t="n">
        <f aca="false">12691/100</f>
        <v>126.91</v>
      </c>
      <c r="AI3259" s="28" t="n">
        <v>3934</v>
      </c>
      <c r="AJ3259" s="28"/>
      <c r="AK3259" s="28" t="n">
        <f aca="false">AJ3259*$M3259</f>
        <v>0</v>
      </c>
      <c r="AL3259" s="28"/>
      <c r="AM3259" s="28" t="n">
        <f aca="false">AL3259*$M3259</f>
        <v>0</v>
      </c>
      <c r="AN3259" s="28"/>
      <c r="AO3259" s="28" t="n">
        <f aca="false">AN3259*$M3259</f>
        <v>0</v>
      </c>
      <c r="AP3259" s="28"/>
      <c r="AQ3259" s="28" t="n">
        <f aca="false">AP3259*$M3259</f>
        <v>0</v>
      </c>
      <c r="AR3259" s="28"/>
      <c r="AS3259" s="28" t="n">
        <f aca="false">AR3259*$M3259</f>
        <v>0</v>
      </c>
      <c r="AT3259" s="28"/>
      <c r="AU3259" s="28" t="n">
        <f aca="false">AT3259*$M3259</f>
        <v>0</v>
      </c>
      <c r="AV3259" s="28"/>
      <c r="AW3259" s="28" t="n">
        <f aca="false">AV3259*$M3259</f>
        <v>0</v>
      </c>
      <c r="AX3259" s="28"/>
      <c r="AY3259" s="28" t="n">
        <f aca="false">AX3259*$M3259</f>
        <v>0</v>
      </c>
      <c r="AZ3259" s="30" t="n">
        <f aca="false">17290/100</f>
        <v>172.9</v>
      </c>
      <c r="BA3259" s="11" t="n">
        <v>5360</v>
      </c>
      <c r="BB3259" s="31" t="n">
        <f aca="false">SUM(Q3259,S3259,U3259,W3259,Y3259,AA3259,AC3259,AE3259,AG3259,AI3259,AK3259,AM3259,AO3259,AQ3259,AS3259,AU3259,AW3259,AY3259)</f>
        <v>5360</v>
      </c>
      <c r="BC3259" s="28" t="n">
        <f aca="false">BA3259-BB3259</f>
        <v>0</v>
      </c>
      <c r="BD3259" s="32" t="n">
        <f aca="false">SUM(P3259,R3259,T3259,V3259,X3259,Z3259,AB3259,AD3259,AF3259,AH3259,AJ3259,AL3259,AN3259,AP3259,AR3259,AT3259,AV3259,AX3259)</f>
        <v>172.9</v>
      </c>
      <c r="BE3259" s="33" t="n">
        <f aca="false">AZ3259-BD3259</f>
        <v>0</v>
      </c>
      <c r="BF3259" s="34" t="n">
        <f aca="false">BD3259*M3259</f>
        <v>5359.9</v>
      </c>
      <c r="BG3259" s="35" t="n">
        <f aca="false">BA3259-BF3259</f>
        <v>0.0999999999994543</v>
      </c>
      <c r="BH3259" s="19" t="str">
        <f aca="false">IF(BG3259=0,"",IF(BG3259&lt;&gt;BA3259,"erreur de calcul",IF(BD3259&lt;&gt;0,"pas de prix",IF(M3259&lt;&gt; 0,"pas de quantité","pas de prix, ni de quantité"))))</f>
        <v>erreur de calcul</v>
      </c>
      <c r="BI3259" s="19"/>
    </row>
    <row r="3260" customFormat="false" ht="15" hidden="false" customHeight="false" outlineLevel="0" collapsed="false">
      <c r="A3260" s="0" t="n">
        <v>22</v>
      </c>
      <c r="B3260" s="8" t="s">
        <v>24</v>
      </c>
      <c r="C3260" s="9" t="s">
        <v>25</v>
      </c>
      <c r="D3260" s="9" t="s">
        <v>26</v>
      </c>
      <c r="E3260" s="10" t="n">
        <v>1789</v>
      </c>
      <c r="F3260" s="9" t="s">
        <v>27</v>
      </c>
      <c r="G3260" s="9" t="s">
        <v>27</v>
      </c>
      <c r="H3260" s="11" t="n">
        <v>21</v>
      </c>
      <c r="I3260" s="11" t="s">
        <v>175</v>
      </c>
      <c r="J3260" s="14" t="n">
        <v>120</v>
      </c>
      <c r="K3260" s="14"/>
      <c r="L3260" s="16"/>
      <c r="M3260" s="27" t="n">
        <f aca="false">J3260+(K3260/20)+(L3260/240)</f>
        <v>120</v>
      </c>
      <c r="N3260" s="17" t="s">
        <v>64</v>
      </c>
      <c r="O3260" s="11"/>
      <c r="P3260" s="28"/>
      <c r="Q3260" s="28" t="n">
        <f aca="false">P3260*$M3260</f>
        <v>0</v>
      </c>
      <c r="R3260" s="28"/>
      <c r="S3260" s="28" t="n">
        <f aca="false">R3260*$M3260</f>
        <v>0</v>
      </c>
      <c r="T3260" s="28"/>
      <c r="U3260" s="28" t="n">
        <f aca="false">T3260*$M3260</f>
        <v>0</v>
      </c>
      <c r="V3260" s="28" t="n">
        <f aca="false">2364/100</f>
        <v>23.64</v>
      </c>
      <c r="W3260" s="28" t="n">
        <v>2837</v>
      </c>
      <c r="X3260" s="28"/>
      <c r="Y3260" s="28" t="n">
        <f aca="false">X3260*$M3260</f>
        <v>0</v>
      </c>
      <c r="Z3260" s="28"/>
      <c r="AA3260" s="28" t="n">
        <f aca="false">Z3260*$M3260</f>
        <v>0</v>
      </c>
      <c r="AB3260" s="28"/>
      <c r="AC3260" s="28" t="n">
        <f aca="false">AB3260*$M3260</f>
        <v>0</v>
      </c>
      <c r="AD3260" s="28"/>
      <c r="AE3260" s="28" t="n">
        <f aca="false">AD3260*$M3260</f>
        <v>0</v>
      </c>
      <c r="AF3260" s="28"/>
      <c r="AG3260" s="28" t="n">
        <f aca="false">AF3260*$M3260</f>
        <v>0</v>
      </c>
      <c r="AH3260" s="28"/>
      <c r="AI3260" s="28" t="n">
        <f aca="false">AH3260*$M3260</f>
        <v>0</v>
      </c>
      <c r="AJ3260" s="28"/>
      <c r="AK3260" s="28" t="n">
        <f aca="false">AJ3260*$M3260</f>
        <v>0</v>
      </c>
      <c r="AL3260" s="28"/>
      <c r="AM3260" s="28" t="n">
        <f aca="false">AL3260*$M3260</f>
        <v>0</v>
      </c>
      <c r="AN3260" s="28"/>
      <c r="AO3260" s="28" t="n">
        <f aca="false">AN3260*$M3260</f>
        <v>0</v>
      </c>
      <c r="AP3260" s="28"/>
      <c r="AQ3260" s="28" t="n">
        <f aca="false">AP3260*$M3260</f>
        <v>0</v>
      </c>
      <c r="AR3260" s="28"/>
      <c r="AS3260" s="28" t="n">
        <f aca="false">AR3260*$M3260</f>
        <v>0</v>
      </c>
      <c r="AT3260" s="28"/>
      <c r="AU3260" s="28" t="n">
        <f aca="false">AT3260*$M3260</f>
        <v>0</v>
      </c>
      <c r="AV3260" s="28"/>
      <c r="AW3260" s="28" t="n">
        <f aca="false">AV3260*$M3260</f>
        <v>0</v>
      </c>
      <c r="AX3260" s="28"/>
      <c r="AY3260" s="28" t="n">
        <f aca="false">AX3260*$M3260</f>
        <v>0</v>
      </c>
      <c r="AZ3260" s="30" t="n">
        <f aca="false">2364/100</f>
        <v>23.64</v>
      </c>
      <c r="BA3260" s="11" t="n">
        <v>2837</v>
      </c>
      <c r="BB3260" s="31" t="n">
        <f aca="false">SUM(Q3260,S3260,U3260,W3260,Y3260,AA3260,AC3260,AE3260,AG3260,AI3260,AK3260,AM3260,AO3260,AQ3260,AS3260,AU3260,AW3260,AY3260)</f>
        <v>2837</v>
      </c>
      <c r="BC3260" s="28" t="n">
        <f aca="false">BA3260-BB3260</f>
        <v>0</v>
      </c>
      <c r="BD3260" s="32" t="n">
        <f aca="false">SUM(P3260,R3260,T3260,V3260,X3260,Z3260,AB3260,AD3260,AF3260,AH3260,AJ3260,AL3260,AN3260,AP3260,AR3260,AT3260,AV3260,AX3260)</f>
        <v>23.64</v>
      </c>
      <c r="BE3260" s="33" t="n">
        <f aca="false">AZ3260-BD3260</f>
        <v>0</v>
      </c>
      <c r="BF3260" s="34" t="n">
        <f aca="false">BD3260*M3260</f>
        <v>2836.8</v>
      </c>
      <c r="BG3260" s="35" t="n">
        <f aca="false">BA3260-BF3260</f>
        <v>0.199999999999818</v>
      </c>
      <c r="BH3260" s="19" t="str">
        <f aca="false">IF(BG3260=0,"",IF(BG3260&lt;&gt;BA3260,"erreur de calcul",IF(BD3260&lt;&gt;0,"pas de prix",IF(M3260&lt;&gt; 0,"pas de quantité","pas de prix, ni de quantité"))))</f>
        <v>erreur de calcul</v>
      </c>
      <c r="BI3260" s="19"/>
    </row>
    <row r="3261" customFormat="false" ht="15" hidden="false" customHeight="false" outlineLevel="0" collapsed="false">
      <c r="A3261" s="0" t="n">
        <v>23</v>
      </c>
      <c r="B3261" s="8" t="s">
        <v>24</v>
      </c>
      <c r="C3261" s="9" t="s">
        <v>25</v>
      </c>
      <c r="D3261" s="9" t="s">
        <v>26</v>
      </c>
      <c r="E3261" s="10" t="n">
        <v>1789</v>
      </c>
      <c r="F3261" s="9" t="s">
        <v>27</v>
      </c>
      <c r="G3261" s="9" t="s">
        <v>27</v>
      </c>
      <c r="H3261" s="11" t="n">
        <v>21</v>
      </c>
      <c r="I3261" s="11" t="s">
        <v>176</v>
      </c>
      <c r="J3261" s="14" t="n">
        <v>170</v>
      </c>
      <c r="K3261" s="14"/>
      <c r="L3261" s="16"/>
      <c r="M3261" s="27" t="n">
        <f aca="false">J3261+(K3261/20)+(L3261/240)</f>
        <v>170</v>
      </c>
      <c r="N3261" s="17" t="s">
        <v>64</v>
      </c>
      <c r="O3261" s="11"/>
      <c r="P3261" s="28" t="n">
        <f aca="false">9760/100</f>
        <v>97.6</v>
      </c>
      <c r="Q3261" s="28" t="n">
        <v>16592</v>
      </c>
      <c r="R3261" s="28"/>
      <c r="S3261" s="28" t="n">
        <f aca="false">R3261*$M3261</f>
        <v>0</v>
      </c>
      <c r="T3261" s="28"/>
      <c r="U3261" s="28" t="n">
        <f aca="false">T3261*$M3261</f>
        <v>0</v>
      </c>
      <c r="V3261" s="28"/>
      <c r="W3261" s="28" t="n">
        <f aca="false">V3261*$M3261</f>
        <v>0</v>
      </c>
      <c r="X3261" s="28" t="n">
        <f aca="false">1589/100</f>
        <v>15.89</v>
      </c>
      <c r="Y3261" s="28" t="n">
        <v>2701</v>
      </c>
      <c r="Z3261" s="28"/>
      <c r="AA3261" s="28" t="n">
        <f aca="false">Z3261*$M3261</f>
        <v>0</v>
      </c>
      <c r="AB3261" s="28"/>
      <c r="AC3261" s="28" t="n">
        <f aca="false">AB3261*$M3261</f>
        <v>0</v>
      </c>
      <c r="AD3261" s="28"/>
      <c r="AE3261" s="28" t="n">
        <f aca="false">AD3261*$M3261</f>
        <v>0</v>
      </c>
      <c r="AF3261" s="28"/>
      <c r="AG3261" s="28" t="n">
        <f aca="false">AF3261*$M3261</f>
        <v>0</v>
      </c>
      <c r="AH3261" s="28"/>
      <c r="AI3261" s="28" t="n">
        <f aca="false">AH3261*$M3261</f>
        <v>0</v>
      </c>
      <c r="AJ3261" s="28"/>
      <c r="AK3261" s="28" t="n">
        <f aca="false">AJ3261*$M3261</f>
        <v>0</v>
      </c>
      <c r="AL3261" s="28"/>
      <c r="AM3261" s="28" t="n">
        <f aca="false">AL3261*$M3261</f>
        <v>0</v>
      </c>
      <c r="AN3261" s="28"/>
      <c r="AO3261" s="28" t="n">
        <f aca="false">AN3261*$M3261</f>
        <v>0</v>
      </c>
      <c r="AP3261" s="28"/>
      <c r="AQ3261" s="28" t="n">
        <f aca="false">AP3261*$M3261</f>
        <v>0</v>
      </c>
      <c r="AR3261" s="28"/>
      <c r="AS3261" s="28" t="n">
        <f aca="false">AR3261*$M3261</f>
        <v>0</v>
      </c>
      <c r="AT3261" s="28"/>
      <c r="AU3261" s="28" t="n">
        <f aca="false">AT3261*$M3261</f>
        <v>0</v>
      </c>
      <c r="AV3261" s="28"/>
      <c r="AW3261" s="28" t="n">
        <f aca="false">AV3261*$M3261</f>
        <v>0</v>
      </c>
      <c r="AX3261" s="28"/>
      <c r="AY3261" s="28" t="n">
        <f aca="false">AX3261*$M3261</f>
        <v>0</v>
      </c>
      <c r="AZ3261" s="30" t="n">
        <f aca="false">11349/100</f>
        <v>113.49</v>
      </c>
      <c r="BA3261" s="11" t="n">
        <v>19293</v>
      </c>
      <c r="BB3261" s="31" t="n">
        <f aca="false">SUM(Q3261,S3261,U3261,W3261,Y3261,AA3261,AC3261,AE3261,AG3261,AI3261,AK3261,AM3261,AO3261,AQ3261,AS3261,AU3261,AW3261,AY3261)</f>
        <v>19293</v>
      </c>
      <c r="BC3261" s="28" t="n">
        <f aca="false">BA3261-BB3261</f>
        <v>0</v>
      </c>
      <c r="BD3261" s="32" t="n">
        <f aca="false">SUM(P3261,R3261,T3261,V3261,X3261,Z3261,AB3261,AD3261,AF3261,AH3261,AJ3261,AL3261,AN3261,AP3261,AR3261,AT3261,AV3261,AX3261)</f>
        <v>113.49</v>
      </c>
      <c r="BE3261" s="33" t="n">
        <f aca="false">AZ3261-BD3261</f>
        <v>0</v>
      </c>
      <c r="BF3261" s="34" t="n">
        <f aca="false">BD3261*M3261</f>
        <v>19293.3</v>
      </c>
      <c r="BG3261" s="35" t="n">
        <f aca="false">BA3261-BF3261</f>
        <v>-0.299999999999272</v>
      </c>
      <c r="BH3261" s="19" t="str">
        <f aca="false">IF(BG3261=0,"",IF(BG3261&lt;&gt;BA3261,"erreur de calcul",IF(BD3261&lt;&gt;0,"pas de prix",IF(M3261&lt;&gt; 0,"pas de quantité","pas de prix, ni de quantité"))))</f>
        <v>erreur de calcul</v>
      </c>
      <c r="BI3261" s="19"/>
    </row>
    <row r="3262" customFormat="false" ht="15" hidden="false" customHeight="false" outlineLevel="0" collapsed="false">
      <c r="A3262" s="0" t="n">
        <v>24</v>
      </c>
      <c r="B3262" s="8" t="s">
        <v>24</v>
      </c>
      <c r="C3262" s="9" t="s">
        <v>25</v>
      </c>
      <c r="D3262" s="9" t="s">
        <v>26</v>
      </c>
      <c r="E3262" s="10" t="n">
        <v>1789</v>
      </c>
      <c r="F3262" s="9" t="s">
        <v>27</v>
      </c>
      <c r="G3262" s="9" t="s">
        <v>27</v>
      </c>
      <c r="H3262" s="11" t="n">
        <v>21</v>
      </c>
      <c r="I3262" s="11" t="s">
        <v>177</v>
      </c>
      <c r="J3262" s="14" t="n">
        <v>9</v>
      </c>
      <c r="K3262" s="14"/>
      <c r="L3262" s="16"/>
      <c r="M3262" s="27" t="n">
        <f aca="false">J3262+(K3262/20)+(L3262/240)</f>
        <v>9</v>
      </c>
      <c r="N3262" s="17" t="s">
        <v>66</v>
      </c>
      <c r="O3262" s="11"/>
      <c r="P3262" s="28"/>
      <c r="Q3262" s="28" t="n">
        <f aca="false">P3262*$M3262</f>
        <v>0</v>
      </c>
      <c r="R3262" s="28" t="n">
        <v>349</v>
      </c>
      <c r="S3262" s="28" t="n">
        <v>3141</v>
      </c>
      <c r="T3262" s="28"/>
      <c r="U3262" s="28" t="n">
        <f aca="false">T3262*$M3262</f>
        <v>0</v>
      </c>
      <c r="V3262" s="28" t="n">
        <v>315</v>
      </c>
      <c r="W3262" s="28" t="n">
        <v>2835</v>
      </c>
      <c r="X3262" s="28" t="n">
        <v>733</v>
      </c>
      <c r="Y3262" s="28" t="n">
        <v>6597</v>
      </c>
      <c r="Z3262" s="28"/>
      <c r="AA3262" s="28" t="n">
        <f aca="false">Z3262*$M3262</f>
        <v>0</v>
      </c>
      <c r="AB3262" s="28" t="n">
        <v>162</v>
      </c>
      <c r="AC3262" s="28" t="n">
        <v>1458</v>
      </c>
      <c r="AD3262" s="28"/>
      <c r="AE3262" s="28" t="n">
        <f aca="false">AD3262*$M3262</f>
        <v>0</v>
      </c>
      <c r="AF3262" s="28"/>
      <c r="AG3262" s="28" t="n">
        <f aca="false">AF3262*$M3262</f>
        <v>0</v>
      </c>
      <c r="AH3262" s="28"/>
      <c r="AI3262" s="28" t="n">
        <f aca="false">AH3262*$M3262</f>
        <v>0</v>
      </c>
      <c r="AJ3262" s="28"/>
      <c r="AK3262" s="28" t="n">
        <f aca="false">AJ3262*$M3262</f>
        <v>0</v>
      </c>
      <c r="AL3262" s="28"/>
      <c r="AM3262" s="28" t="n">
        <f aca="false">AL3262*$M3262</f>
        <v>0</v>
      </c>
      <c r="AN3262" s="28"/>
      <c r="AO3262" s="28" t="n">
        <f aca="false">AN3262*$M3262</f>
        <v>0</v>
      </c>
      <c r="AP3262" s="28"/>
      <c r="AQ3262" s="28" t="n">
        <f aca="false">AP3262*$M3262</f>
        <v>0</v>
      </c>
      <c r="AR3262" s="28"/>
      <c r="AS3262" s="28" t="n">
        <f aca="false">AR3262*$M3262</f>
        <v>0</v>
      </c>
      <c r="AT3262" s="28"/>
      <c r="AU3262" s="28" t="n">
        <f aca="false">AT3262*$M3262</f>
        <v>0</v>
      </c>
      <c r="AV3262" s="28"/>
      <c r="AW3262" s="28" t="n">
        <f aca="false">AV3262*$M3262</f>
        <v>0</v>
      </c>
      <c r="AX3262" s="28"/>
      <c r="AY3262" s="28" t="n">
        <f aca="false">AX3262*$M3262</f>
        <v>0</v>
      </c>
      <c r="AZ3262" s="30" t="n">
        <f aca="false">1559</f>
        <v>1559</v>
      </c>
      <c r="BA3262" s="11" t="n">
        <v>14031</v>
      </c>
      <c r="BB3262" s="31" t="n">
        <f aca="false">SUM(Q3262,S3262,U3262,W3262,Y3262,AA3262,AC3262,AE3262,AG3262,AI3262,AK3262,AM3262,AO3262,AQ3262,AS3262,AU3262,AW3262,AY3262)</f>
        <v>14031</v>
      </c>
      <c r="BC3262" s="28" t="n">
        <f aca="false">BA3262-BB3262</f>
        <v>0</v>
      </c>
      <c r="BD3262" s="32" t="n">
        <f aca="false">SUM(P3262,R3262,T3262,V3262,X3262,Z3262,AB3262,AD3262,AF3262,AH3262,AJ3262,AL3262,AN3262,AP3262,AR3262,AT3262,AV3262,AX3262)</f>
        <v>1559</v>
      </c>
      <c r="BE3262" s="33" t="n">
        <f aca="false">AZ3262-BD3262</f>
        <v>0</v>
      </c>
      <c r="BF3262" s="34" t="n">
        <f aca="false">BD3262*M3262</f>
        <v>14031</v>
      </c>
      <c r="BG3262" s="35" t="n">
        <f aca="false">BA3262-BF3262</f>
        <v>0</v>
      </c>
      <c r="BH3262" s="19" t="str">
        <f aca="false">IF(BG3262=0,"",IF(BG3262&lt;&gt;BA3262,"erreur de calcul",IF(BD3262&lt;&gt;0,"pas de prix",IF(M3262&lt;&gt; 0,"pas de quantité","pas de prix, ni de quantité"))))</f>
        <v/>
      </c>
      <c r="BI3262" s="19"/>
    </row>
    <row r="3263" customFormat="false" ht="15" hidden="false" customHeight="false" outlineLevel="0" collapsed="false">
      <c r="A3263" s="0" t="n">
        <v>25</v>
      </c>
      <c r="B3263" s="8" t="s">
        <v>24</v>
      </c>
      <c r="C3263" s="9" t="s">
        <v>25</v>
      </c>
      <c r="D3263" s="9" t="s">
        <v>26</v>
      </c>
      <c r="E3263" s="10" t="n">
        <v>1789</v>
      </c>
      <c r="F3263" s="9" t="s">
        <v>27</v>
      </c>
      <c r="G3263" s="9" t="s">
        <v>27</v>
      </c>
      <c r="H3263" s="11" t="n">
        <v>21</v>
      </c>
      <c r="I3263" s="11" t="s">
        <v>178</v>
      </c>
      <c r="J3263" s="14" t="n">
        <v>125</v>
      </c>
      <c r="K3263" s="14"/>
      <c r="L3263" s="16"/>
      <c r="M3263" s="27" t="n">
        <f aca="false">J3263+(K3263/20)+(L3263/240)</f>
        <v>125</v>
      </c>
      <c r="N3263" s="17" t="s">
        <v>64</v>
      </c>
      <c r="O3263" s="11"/>
      <c r="P3263" s="28"/>
      <c r="Q3263" s="28" t="n">
        <f aca="false">P3263*$M3263</f>
        <v>0</v>
      </c>
      <c r="R3263" s="28"/>
      <c r="S3263" s="28" t="n">
        <f aca="false">R3263*$M3263</f>
        <v>0</v>
      </c>
      <c r="T3263" s="28"/>
      <c r="U3263" s="28" t="n">
        <f aca="false">T3263*$M3263</f>
        <v>0</v>
      </c>
      <c r="V3263" s="28" t="n">
        <f aca="false">10764/100</f>
        <v>107.64</v>
      </c>
      <c r="W3263" s="28" t="n">
        <v>13455</v>
      </c>
      <c r="X3263" s="28" t="n">
        <f aca="false">13215/100</f>
        <v>132.15</v>
      </c>
      <c r="Y3263" s="28" t="n">
        <v>16519</v>
      </c>
      <c r="Z3263" s="28"/>
      <c r="AA3263" s="28" t="n">
        <f aca="false">Z3263*$M3263</f>
        <v>0</v>
      </c>
      <c r="AB3263" s="28" t="n">
        <f aca="false">188461/100</f>
        <v>1884.61</v>
      </c>
      <c r="AC3263" s="28" t="n">
        <v>235576</v>
      </c>
      <c r="AD3263" s="28"/>
      <c r="AE3263" s="28" t="n">
        <f aca="false">AD3263*$M3263</f>
        <v>0</v>
      </c>
      <c r="AF3263" s="28"/>
      <c r="AG3263" s="28" t="n">
        <f aca="false">AF3263*$M3263</f>
        <v>0</v>
      </c>
      <c r="AH3263" s="28"/>
      <c r="AI3263" s="28" t="n">
        <f aca="false">AH3263*$M3263</f>
        <v>0</v>
      </c>
      <c r="AJ3263" s="28"/>
      <c r="AK3263" s="28" t="n">
        <f aca="false">AJ3263*$M3263</f>
        <v>0</v>
      </c>
      <c r="AL3263" s="28"/>
      <c r="AM3263" s="28" t="n">
        <f aca="false">AL3263*$M3263</f>
        <v>0</v>
      </c>
      <c r="AN3263" s="28"/>
      <c r="AO3263" s="28" t="n">
        <f aca="false">AN3263*$M3263</f>
        <v>0</v>
      </c>
      <c r="AP3263" s="28"/>
      <c r="AQ3263" s="28" t="n">
        <f aca="false">AP3263*$M3263</f>
        <v>0</v>
      </c>
      <c r="AR3263" s="28"/>
      <c r="AS3263" s="28" t="n">
        <f aca="false">AR3263*$M3263</f>
        <v>0</v>
      </c>
      <c r="AT3263" s="28"/>
      <c r="AU3263" s="28" t="n">
        <f aca="false">AT3263*$M3263</f>
        <v>0</v>
      </c>
      <c r="AV3263" s="28"/>
      <c r="AW3263" s="28" t="n">
        <f aca="false">AV3263*$M3263</f>
        <v>0</v>
      </c>
      <c r="AX3263" s="28"/>
      <c r="AY3263" s="28" t="n">
        <f aca="false">AX3263*$M3263</f>
        <v>0</v>
      </c>
      <c r="AZ3263" s="30" t="n">
        <f aca="false">212440/100</f>
        <v>2124.4</v>
      </c>
      <c r="BA3263" s="11" t="n">
        <v>265550</v>
      </c>
      <c r="BB3263" s="31" t="n">
        <f aca="false">SUM(Q3263,S3263,U3263,W3263,Y3263,AA3263,AC3263,AE3263,AG3263,AI3263,AK3263,AM3263,AO3263,AQ3263,AS3263,AU3263,AW3263,AY3263)</f>
        <v>265550</v>
      </c>
      <c r="BC3263" s="28" t="n">
        <f aca="false">BA3263-BB3263</f>
        <v>0</v>
      </c>
      <c r="BD3263" s="32" t="n">
        <f aca="false">SUM(P3263,R3263,T3263,V3263,X3263,Z3263,AB3263,AD3263,AF3263,AH3263,AJ3263,AL3263,AN3263,AP3263,AR3263,AT3263,AV3263,AX3263)</f>
        <v>2124.4</v>
      </c>
      <c r="BE3263" s="33" t="n">
        <f aca="false">AZ3263-BD3263</f>
        <v>0</v>
      </c>
      <c r="BF3263" s="34" t="n">
        <f aca="false">BD3263*M3263</f>
        <v>265550</v>
      </c>
      <c r="BG3263" s="35" t="n">
        <f aca="false">BA3263-BF3263</f>
        <v>0</v>
      </c>
      <c r="BH3263" s="19" t="str">
        <f aca="false">IF(BG3263=0,"",IF(BG3263&lt;&gt;BA3263,"erreur de calcul",IF(BD3263&lt;&gt;0,"pas de prix",IF(M3263&lt;&gt; 0,"pas de quantité","pas de prix, ni de quantité"))))</f>
        <v/>
      </c>
      <c r="BI3263" s="19"/>
    </row>
    <row r="3264" customFormat="false" ht="15" hidden="false" customHeight="false" outlineLevel="0" collapsed="false">
      <c r="A3264" s="0" t="n">
        <v>26</v>
      </c>
      <c r="B3264" s="8" t="s">
        <v>24</v>
      </c>
      <c r="C3264" s="9" t="s">
        <v>25</v>
      </c>
      <c r="D3264" s="9" t="s">
        <v>26</v>
      </c>
      <c r="E3264" s="10" t="n">
        <v>1789</v>
      </c>
      <c r="F3264" s="9" t="s">
        <v>27</v>
      </c>
      <c r="G3264" s="9" t="s">
        <v>27</v>
      </c>
      <c r="H3264" s="11" t="n">
        <v>21</v>
      </c>
      <c r="I3264" s="11" t="s">
        <v>179</v>
      </c>
      <c r="J3264" s="14" t="n">
        <v>7</v>
      </c>
      <c r="K3264" s="14"/>
      <c r="L3264" s="16"/>
      <c r="M3264" s="27" t="n">
        <f aca="false">J3264+(K3264/20)+(L3264/240)</f>
        <v>7</v>
      </c>
      <c r="N3264" s="17" t="s">
        <v>66</v>
      </c>
      <c r="O3264" s="11"/>
      <c r="P3264" s="28" t="n">
        <v>8441</v>
      </c>
      <c r="Q3264" s="28" t="n">
        <v>59087</v>
      </c>
      <c r="R3264" s="28"/>
      <c r="S3264" s="28" t="n">
        <f aca="false">R3264*$M3264</f>
        <v>0</v>
      </c>
      <c r="T3264" s="28"/>
      <c r="U3264" s="28" t="n">
        <f aca="false">T3264*$M3264</f>
        <v>0</v>
      </c>
      <c r="V3264" s="28"/>
      <c r="W3264" s="28" t="n">
        <f aca="false">V3264*$M3264</f>
        <v>0</v>
      </c>
      <c r="X3264" s="28"/>
      <c r="Y3264" s="28" t="n">
        <f aca="false">X3264*$M3264</f>
        <v>0</v>
      </c>
      <c r="Z3264" s="28" t="n">
        <v>357</v>
      </c>
      <c r="AA3264" s="28" t="n">
        <v>2499</v>
      </c>
      <c r="AB3264" s="28"/>
      <c r="AC3264" s="28" t="n">
        <f aca="false">AB3264*$M3264</f>
        <v>0</v>
      </c>
      <c r="AD3264" s="28"/>
      <c r="AE3264" s="28" t="n">
        <f aca="false">AD3264*$M3264</f>
        <v>0</v>
      </c>
      <c r="AF3264" s="28"/>
      <c r="AG3264" s="28" t="n">
        <f aca="false">AF3264*$M3264</f>
        <v>0</v>
      </c>
      <c r="AH3264" s="28"/>
      <c r="AI3264" s="28" t="n">
        <f aca="false">AH3264*$M3264</f>
        <v>0</v>
      </c>
      <c r="AJ3264" s="28"/>
      <c r="AK3264" s="28" t="n">
        <f aca="false">AJ3264*$M3264</f>
        <v>0</v>
      </c>
      <c r="AL3264" s="28"/>
      <c r="AM3264" s="28" t="n">
        <f aca="false">AL3264*$M3264</f>
        <v>0</v>
      </c>
      <c r="AN3264" s="28"/>
      <c r="AO3264" s="28" t="n">
        <f aca="false">AN3264*$M3264</f>
        <v>0</v>
      </c>
      <c r="AP3264" s="28"/>
      <c r="AQ3264" s="28" t="n">
        <f aca="false">AP3264*$M3264</f>
        <v>0</v>
      </c>
      <c r="AR3264" s="28"/>
      <c r="AS3264" s="28" t="n">
        <f aca="false">AR3264*$M3264</f>
        <v>0</v>
      </c>
      <c r="AT3264" s="28"/>
      <c r="AU3264" s="28" t="n">
        <f aca="false">AT3264*$M3264</f>
        <v>0</v>
      </c>
      <c r="AV3264" s="28"/>
      <c r="AW3264" s="28" t="n">
        <f aca="false">AV3264*$M3264</f>
        <v>0</v>
      </c>
      <c r="AX3264" s="28"/>
      <c r="AY3264" s="28" t="n">
        <f aca="false">AX3264*$M3264</f>
        <v>0</v>
      </c>
      <c r="AZ3264" s="30" t="n">
        <v>8798</v>
      </c>
      <c r="BA3264" s="11" t="n">
        <v>61586</v>
      </c>
      <c r="BB3264" s="31" t="n">
        <f aca="false">SUM(Q3264,S3264,U3264,W3264,Y3264,AA3264,AC3264,AE3264,AG3264,AI3264,AK3264,AM3264,AO3264,AQ3264,AS3264,AU3264,AW3264,AY3264)</f>
        <v>61586</v>
      </c>
      <c r="BC3264" s="28" t="n">
        <f aca="false">BA3264-BB3264</f>
        <v>0</v>
      </c>
      <c r="BD3264" s="32" t="n">
        <f aca="false">SUM(P3264,R3264,T3264,V3264,X3264,Z3264,AB3264,AD3264,AF3264,AH3264,AJ3264,AL3264,AN3264,AP3264,AR3264,AT3264,AV3264,AX3264)</f>
        <v>8798</v>
      </c>
      <c r="BE3264" s="33" t="n">
        <f aca="false">AZ3264-BD3264</f>
        <v>0</v>
      </c>
      <c r="BF3264" s="34" t="n">
        <f aca="false">BD3264*M3264</f>
        <v>61586</v>
      </c>
      <c r="BG3264" s="35" t="n">
        <f aca="false">BA3264-BF3264</f>
        <v>0</v>
      </c>
      <c r="BH3264" s="19" t="str">
        <f aca="false">IF(BG3264=0,"",IF(BG3264&lt;&gt;BA3264,"erreur de calcul",IF(BD3264&lt;&gt;0,"pas de prix",IF(M3264&lt;&gt; 0,"pas de quantité","pas de prix, ni de quantité"))))</f>
        <v/>
      </c>
      <c r="BI3264" s="19"/>
    </row>
    <row r="3265" customFormat="false" ht="15" hidden="false" customHeight="false" outlineLevel="0" collapsed="false">
      <c r="A3265" s="0" t="n">
        <v>27</v>
      </c>
      <c r="B3265" s="8" t="s">
        <v>24</v>
      </c>
      <c r="C3265" s="9" t="s">
        <v>25</v>
      </c>
      <c r="D3265" s="9" t="s">
        <v>26</v>
      </c>
      <c r="E3265" s="10" t="n">
        <v>1789</v>
      </c>
      <c r="F3265" s="9" t="s">
        <v>27</v>
      </c>
      <c r="G3265" s="9" t="s">
        <v>27</v>
      </c>
      <c r="H3265" s="11" t="n">
        <v>21</v>
      </c>
      <c r="I3265" s="11" t="s">
        <v>180</v>
      </c>
      <c r="J3265" s="14" t="n">
        <v>9</v>
      </c>
      <c r="K3265" s="14"/>
      <c r="L3265" s="16"/>
      <c r="M3265" s="27" t="n">
        <f aca="false">J3265+(K3265/20)+(L3265/240)</f>
        <v>9</v>
      </c>
      <c r="N3265" s="17" t="s">
        <v>64</v>
      </c>
      <c r="O3265" s="11"/>
      <c r="P3265" s="28" t="n">
        <f aca="false">22662/100</f>
        <v>226.62</v>
      </c>
      <c r="Q3265" s="28" t="n">
        <v>2039</v>
      </c>
      <c r="R3265" s="28"/>
      <c r="S3265" s="28" t="n">
        <f aca="false">R3265*$M3265</f>
        <v>0</v>
      </c>
      <c r="T3265" s="28"/>
      <c r="U3265" s="28" t="n">
        <f aca="false">T3265*$M3265</f>
        <v>0</v>
      </c>
      <c r="V3265" s="28"/>
      <c r="W3265" s="28" t="n">
        <f aca="false">V3265*$M3265</f>
        <v>0</v>
      </c>
      <c r="X3265" s="28"/>
      <c r="Y3265" s="28" t="n">
        <f aca="false">X3265*$M3265</f>
        <v>0</v>
      </c>
      <c r="Z3265" s="28"/>
      <c r="AA3265" s="28" t="n">
        <f aca="false">Z3265*$M3265</f>
        <v>0</v>
      </c>
      <c r="AB3265" s="28"/>
      <c r="AC3265" s="28" t="n">
        <f aca="false">AB3265*$M3265</f>
        <v>0</v>
      </c>
      <c r="AD3265" s="28"/>
      <c r="AE3265" s="28" t="n">
        <f aca="false">AD3265*$M3265</f>
        <v>0</v>
      </c>
      <c r="AF3265" s="28"/>
      <c r="AG3265" s="28" t="n">
        <f aca="false">AF3265*$M3265</f>
        <v>0</v>
      </c>
      <c r="AH3265" s="28"/>
      <c r="AI3265" s="28" t="n">
        <f aca="false">AH3265*$M3265</f>
        <v>0</v>
      </c>
      <c r="AJ3265" s="28"/>
      <c r="AK3265" s="28" t="n">
        <f aca="false">AJ3265*$M3265</f>
        <v>0</v>
      </c>
      <c r="AL3265" s="28"/>
      <c r="AM3265" s="28" t="n">
        <f aca="false">AL3265*$M3265</f>
        <v>0</v>
      </c>
      <c r="AN3265" s="28"/>
      <c r="AO3265" s="28" t="n">
        <f aca="false">AN3265*$M3265</f>
        <v>0</v>
      </c>
      <c r="AP3265" s="28"/>
      <c r="AQ3265" s="28" t="n">
        <f aca="false">AP3265*$M3265</f>
        <v>0</v>
      </c>
      <c r="AR3265" s="28"/>
      <c r="AS3265" s="28" t="n">
        <f aca="false">AR3265*$M3265</f>
        <v>0</v>
      </c>
      <c r="AT3265" s="28"/>
      <c r="AU3265" s="28" t="n">
        <f aca="false">AT3265*$M3265</f>
        <v>0</v>
      </c>
      <c r="AV3265" s="28"/>
      <c r="AW3265" s="28" t="n">
        <f aca="false">AV3265*$M3265</f>
        <v>0</v>
      </c>
      <c r="AX3265" s="28"/>
      <c r="AY3265" s="28" t="n">
        <f aca="false">AX3265*$M3265</f>
        <v>0</v>
      </c>
      <c r="AZ3265" s="30" t="n">
        <f aca="false">22662/100</f>
        <v>226.62</v>
      </c>
      <c r="BA3265" s="11" t="n">
        <v>2039</v>
      </c>
      <c r="BB3265" s="31" t="n">
        <f aca="false">SUM(Q3265,S3265,U3265,W3265,Y3265,AA3265,AC3265,AE3265,AG3265,AI3265,AK3265,AM3265,AO3265,AQ3265,AS3265,AU3265,AW3265,AY3265)</f>
        <v>2039</v>
      </c>
      <c r="BC3265" s="28" t="n">
        <f aca="false">BA3265-BB3265</f>
        <v>0</v>
      </c>
      <c r="BD3265" s="32" t="n">
        <f aca="false">SUM(P3265,R3265,T3265,V3265,X3265,Z3265,AB3265,AD3265,AF3265,AH3265,AJ3265,AL3265,AN3265,AP3265,AR3265,AT3265,AV3265,AX3265)</f>
        <v>226.62</v>
      </c>
      <c r="BE3265" s="33" t="n">
        <f aca="false">AZ3265-BD3265</f>
        <v>0</v>
      </c>
      <c r="BF3265" s="34" t="n">
        <f aca="false">BD3265*M3265</f>
        <v>2039.58</v>
      </c>
      <c r="BG3265" s="35" t="n">
        <f aca="false">BA3265-BF3265</f>
        <v>-0.579999999999927</v>
      </c>
      <c r="BH3265" s="19" t="str">
        <f aca="false">IF(BG3265=0,"",IF(BG3265&lt;&gt;BA3265,"erreur de calcul",IF(BD3265&lt;&gt;0,"pas de prix",IF(M3265&lt;&gt; 0,"pas de quantité","pas de prix, ni de quantité"))))</f>
        <v>erreur de calcul</v>
      </c>
      <c r="BI3265" s="19"/>
    </row>
    <row r="3266" customFormat="false" ht="15" hidden="false" customHeight="false" outlineLevel="0" collapsed="false">
      <c r="A3266" s="0" t="n">
        <v>28</v>
      </c>
      <c r="B3266" s="8" t="s">
        <v>24</v>
      </c>
      <c r="C3266" s="9" t="s">
        <v>25</v>
      </c>
      <c r="D3266" s="9" t="s">
        <v>26</v>
      </c>
      <c r="E3266" s="10" t="n">
        <v>1789</v>
      </c>
      <c r="F3266" s="9" t="s">
        <v>27</v>
      </c>
      <c r="G3266" s="9" t="s">
        <v>27</v>
      </c>
      <c r="H3266" s="11" t="n">
        <v>21</v>
      </c>
      <c r="I3266" s="11" t="s">
        <v>181</v>
      </c>
      <c r="J3266" s="14" t="n">
        <v>8</v>
      </c>
      <c r="K3266" s="14" t="n">
        <v>10</v>
      </c>
      <c r="L3266" s="16"/>
      <c r="M3266" s="27" t="n">
        <f aca="false">J3266+(K3266/20)+(L3266/240)</f>
        <v>8.5</v>
      </c>
      <c r="N3266" s="17" t="s">
        <v>66</v>
      </c>
      <c r="O3266" s="11"/>
      <c r="P3266" s="28" t="n">
        <v>1770</v>
      </c>
      <c r="Q3266" s="28" t="n">
        <v>15045</v>
      </c>
      <c r="R3266" s="28"/>
      <c r="S3266" s="28" t="n">
        <f aca="false">R3266*$M3266</f>
        <v>0</v>
      </c>
      <c r="T3266" s="28"/>
      <c r="U3266" s="28" t="n">
        <f aca="false">T3266*$M3266</f>
        <v>0</v>
      </c>
      <c r="V3266" s="28"/>
      <c r="W3266" s="28" t="n">
        <f aca="false">V3266*$M3266</f>
        <v>0</v>
      </c>
      <c r="X3266" s="28"/>
      <c r="Y3266" s="28" t="n">
        <f aca="false">X3266*$M3266</f>
        <v>0</v>
      </c>
      <c r="Z3266" s="28"/>
      <c r="AA3266" s="28" t="n">
        <f aca="false">Z3266*$M3266</f>
        <v>0</v>
      </c>
      <c r="AB3266" s="28"/>
      <c r="AC3266" s="28" t="n">
        <f aca="false">AB3266*$M3266</f>
        <v>0</v>
      </c>
      <c r="AD3266" s="28"/>
      <c r="AE3266" s="28" t="n">
        <f aca="false">AD3266*$M3266</f>
        <v>0</v>
      </c>
      <c r="AF3266" s="28"/>
      <c r="AG3266" s="28" t="n">
        <f aca="false">AF3266*$M3266</f>
        <v>0</v>
      </c>
      <c r="AH3266" s="28" t="n">
        <v>323</v>
      </c>
      <c r="AI3266" s="28" t="n">
        <v>2745</v>
      </c>
      <c r="AJ3266" s="28"/>
      <c r="AK3266" s="28" t="n">
        <f aca="false">AJ3266*$M3266</f>
        <v>0</v>
      </c>
      <c r="AL3266" s="28"/>
      <c r="AM3266" s="28" t="n">
        <f aca="false">AL3266*$M3266</f>
        <v>0</v>
      </c>
      <c r="AN3266" s="28"/>
      <c r="AO3266" s="28" t="n">
        <f aca="false">AN3266*$M3266</f>
        <v>0</v>
      </c>
      <c r="AP3266" s="28"/>
      <c r="AQ3266" s="28" t="n">
        <f aca="false">AP3266*$M3266</f>
        <v>0</v>
      </c>
      <c r="AR3266" s="28"/>
      <c r="AS3266" s="28" t="n">
        <f aca="false">AR3266*$M3266</f>
        <v>0</v>
      </c>
      <c r="AT3266" s="28"/>
      <c r="AU3266" s="28" t="n">
        <f aca="false">AT3266*$M3266</f>
        <v>0</v>
      </c>
      <c r="AV3266" s="28"/>
      <c r="AW3266" s="28" t="n">
        <f aca="false">AV3266*$M3266</f>
        <v>0</v>
      </c>
      <c r="AX3266" s="28"/>
      <c r="AY3266" s="28" t="n">
        <f aca="false">AX3266*$M3266</f>
        <v>0</v>
      </c>
      <c r="AZ3266" s="30" t="n">
        <v>2093</v>
      </c>
      <c r="BA3266" s="11" t="n">
        <v>17790</v>
      </c>
      <c r="BB3266" s="31" t="n">
        <f aca="false">SUM(Q3266,S3266,U3266,W3266,Y3266,AA3266,AC3266,AE3266,AG3266,AI3266,AK3266,AM3266,AO3266,AQ3266,AS3266,AU3266,AW3266,AY3266)</f>
        <v>17790</v>
      </c>
      <c r="BC3266" s="28" t="n">
        <f aca="false">BA3266-BB3266</f>
        <v>0</v>
      </c>
      <c r="BD3266" s="32" t="n">
        <f aca="false">SUM(P3266,R3266,T3266,V3266,X3266,Z3266,AB3266,AD3266,AF3266,AH3266,AJ3266,AL3266,AN3266,AP3266,AR3266,AT3266,AV3266,AX3266)</f>
        <v>2093</v>
      </c>
      <c r="BE3266" s="33" t="n">
        <f aca="false">AZ3266-BD3266</f>
        <v>0</v>
      </c>
      <c r="BF3266" s="34" t="n">
        <f aca="false">BD3266*M3266</f>
        <v>17790.5</v>
      </c>
      <c r="BG3266" s="35" t="n">
        <f aca="false">BA3266-BF3266</f>
        <v>-0.5</v>
      </c>
      <c r="BH3266" s="19" t="str">
        <f aca="false">IF(BG3266=0,"",IF(BG3266&lt;&gt;BA3266,"erreur de calcul",IF(BD3266&lt;&gt;0,"pas de prix",IF(M3266&lt;&gt; 0,"pas de quantité","pas de prix, ni de quantité"))))</f>
        <v>erreur de calcul</v>
      </c>
      <c r="BI3266" s="19"/>
    </row>
    <row r="3267" customFormat="false" ht="15" hidden="false" customHeight="false" outlineLevel="0" collapsed="false">
      <c r="A3267" s="0" t="n">
        <v>29</v>
      </c>
      <c r="B3267" s="8" t="s">
        <v>24</v>
      </c>
      <c r="C3267" s="9" t="s">
        <v>25</v>
      </c>
      <c r="D3267" s="9" t="s">
        <v>26</v>
      </c>
      <c r="E3267" s="10" t="n">
        <v>1789</v>
      </c>
      <c r="F3267" s="9" t="s">
        <v>27</v>
      </c>
      <c r="G3267" s="9" t="s">
        <v>27</v>
      </c>
      <c r="H3267" s="11" t="n">
        <v>21</v>
      </c>
      <c r="I3267" s="11" t="s">
        <v>182</v>
      </c>
      <c r="J3267" s="14" t="n">
        <v>24</v>
      </c>
      <c r="K3267" s="14"/>
      <c r="L3267" s="16"/>
      <c r="M3267" s="27" t="n">
        <f aca="false">J3267+(K3267/20)+(L3267/240)</f>
        <v>24</v>
      </c>
      <c r="N3267" s="17" t="s">
        <v>66</v>
      </c>
      <c r="O3267" s="11"/>
      <c r="P3267" s="28" t="n">
        <v>478</v>
      </c>
      <c r="Q3267" s="28" t="n">
        <v>11472</v>
      </c>
      <c r="R3267" s="28"/>
      <c r="S3267" s="28" t="n">
        <f aca="false">R3267*$M3267</f>
        <v>0</v>
      </c>
      <c r="T3267" s="28" t="n">
        <v>38</v>
      </c>
      <c r="U3267" s="28" t="n">
        <v>912</v>
      </c>
      <c r="V3267" s="28"/>
      <c r="W3267" s="28" t="n">
        <f aca="false">V3267*$M3267</f>
        <v>0</v>
      </c>
      <c r="X3267" s="28"/>
      <c r="Y3267" s="28" t="n">
        <f aca="false">X3267*$M3267</f>
        <v>0</v>
      </c>
      <c r="Z3267" s="28"/>
      <c r="AA3267" s="28" t="n">
        <f aca="false">Z3267*$M3267</f>
        <v>0</v>
      </c>
      <c r="AB3267" s="28"/>
      <c r="AC3267" s="28" t="n">
        <f aca="false">AB3267*$M3267</f>
        <v>0</v>
      </c>
      <c r="AD3267" s="28"/>
      <c r="AE3267" s="28" t="n">
        <f aca="false">AD3267*$M3267</f>
        <v>0</v>
      </c>
      <c r="AF3267" s="28"/>
      <c r="AG3267" s="28" t="n">
        <f aca="false">AF3267*$M3267</f>
        <v>0</v>
      </c>
      <c r="AH3267" s="28"/>
      <c r="AI3267" s="28" t="n">
        <f aca="false">AH3267*$M3267</f>
        <v>0</v>
      </c>
      <c r="AJ3267" s="28"/>
      <c r="AK3267" s="28" t="n">
        <f aca="false">AJ3267*$M3267</f>
        <v>0</v>
      </c>
      <c r="AL3267" s="28"/>
      <c r="AM3267" s="28" t="n">
        <f aca="false">AL3267*$M3267</f>
        <v>0</v>
      </c>
      <c r="AN3267" s="28"/>
      <c r="AO3267" s="28" t="n">
        <f aca="false">AN3267*$M3267</f>
        <v>0</v>
      </c>
      <c r="AP3267" s="28"/>
      <c r="AQ3267" s="28" t="n">
        <f aca="false">AP3267*$M3267</f>
        <v>0</v>
      </c>
      <c r="AR3267" s="28"/>
      <c r="AS3267" s="28" t="n">
        <f aca="false">AR3267*$M3267</f>
        <v>0</v>
      </c>
      <c r="AT3267" s="28"/>
      <c r="AU3267" s="28" t="n">
        <f aca="false">AT3267*$M3267</f>
        <v>0</v>
      </c>
      <c r="AV3267" s="28"/>
      <c r="AW3267" s="28" t="n">
        <f aca="false">AV3267*$M3267</f>
        <v>0</v>
      </c>
      <c r="AX3267" s="28"/>
      <c r="AY3267" s="28" t="n">
        <f aca="false">AX3267*$M3267</f>
        <v>0</v>
      </c>
      <c r="AZ3267" s="30" t="n">
        <v>516</v>
      </c>
      <c r="BA3267" s="11" t="n">
        <v>12384</v>
      </c>
      <c r="BB3267" s="31" t="n">
        <f aca="false">SUM(Q3267,S3267,U3267,W3267,Y3267,AA3267,AC3267,AE3267,AG3267,AI3267,AK3267,AM3267,AO3267,AQ3267,AS3267,AU3267,AW3267,AY3267)</f>
        <v>12384</v>
      </c>
      <c r="BC3267" s="28" t="n">
        <f aca="false">BA3267-BB3267</f>
        <v>0</v>
      </c>
      <c r="BD3267" s="32" t="n">
        <f aca="false">SUM(P3267,R3267,T3267,V3267,X3267,Z3267,AB3267,AD3267,AF3267,AH3267,AJ3267,AL3267,AN3267,AP3267,AR3267,AT3267,AV3267,AX3267)</f>
        <v>516</v>
      </c>
      <c r="BE3267" s="33" t="n">
        <f aca="false">AZ3267-BD3267</f>
        <v>0</v>
      </c>
      <c r="BF3267" s="34" t="n">
        <f aca="false">BD3267*M3267</f>
        <v>12384</v>
      </c>
      <c r="BG3267" s="35" t="n">
        <f aca="false">BA3267-BF3267</f>
        <v>0</v>
      </c>
      <c r="BH3267" s="19" t="str">
        <f aca="false">IF(BG3267=0,"",IF(BG3267&lt;&gt;BA3267,"erreur de calcul",IF(BD3267&lt;&gt;0,"pas de prix",IF(M3267&lt;&gt; 0,"pas de quantité","pas de prix, ni de quantité"))))</f>
        <v/>
      </c>
      <c r="BI3267" s="19"/>
    </row>
    <row r="3268" customFormat="false" ht="15" hidden="false" customHeight="false" outlineLevel="0" collapsed="false">
      <c r="A3268" s="0" t="n">
        <v>30</v>
      </c>
      <c r="B3268" s="8" t="s">
        <v>24</v>
      </c>
      <c r="C3268" s="9" t="s">
        <v>25</v>
      </c>
      <c r="D3268" s="9" t="s">
        <v>26</v>
      </c>
      <c r="E3268" s="10" t="n">
        <v>1789</v>
      </c>
      <c r="F3268" s="9" t="s">
        <v>27</v>
      </c>
      <c r="G3268" s="9" t="s">
        <v>27</v>
      </c>
      <c r="H3268" s="11" t="n">
        <v>21</v>
      </c>
      <c r="I3268" s="11" t="s">
        <v>183</v>
      </c>
      <c r="J3268" s="14" t="n">
        <v>240</v>
      </c>
      <c r="K3268" s="14"/>
      <c r="L3268" s="16"/>
      <c r="M3268" s="27" t="n">
        <f aca="false">J3268+(K3268/20)+(L3268/240)</f>
        <v>240</v>
      </c>
      <c r="N3268" s="17" t="s">
        <v>64</v>
      </c>
      <c r="O3268" s="11"/>
      <c r="P3268" s="28" t="n">
        <f aca="false">52196/100</f>
        <v>521.96</v>
      </c>
      <c r="Q3268" s="28" t="n">
        <v>125270</v>
      </c>
      <c r="R3268" s="28" t="n">
        <f aca="false">29767/100</f>
        <v>297.67</v>
      </c>
      <c r="S3268" s="28" t="n">
        <v>71441</v>
      </c>
      <c r="T3268" s="28"/>
      <c r="U3268" s="28" t="n">
        <f aca="false">T3268*$M3268</f>
        <v>0</v>
      </c>
      <c r="V3268" s="28"/>
      <c r="W3268" s="28" t="n">
        <f aca="false">V3268*$M3268</f>
        <v>0</v>
      </c>
      <c r="X3268" s="28"/>
      <c r="Y3268" s="28" t="n">
        <f aca="false">X3268*$M3268</f>
        <v>0</v>
      </c>
      <c r="Z3268" s="28"/>
      <c r="AA3268" s="28" t="n">
        <f aca="false">Z3268*$M3268</f>
        <v>0</v>
      </c>
      <c r="AB3268" s="28"/>
      <c r="AC3268" s="28" t="n">
        <f aca="false">AB3268*$M3268</f>
        <v>0</v>
      </c>
      <c r="AD3268" s="28"/>
      <c r="AE3268" s="28" t="n">
        <f aca="false">AD3268*$M3268</f>
        <v>0</v>
      </c>
      <c r="AF3268" s="28"/>
      <c r="AG3268" s="28" t="n">
        <f aca="false">AF3268*$M3268</f>
        <v>0</v>
      </c>
      <c r="AH3268" s="28"/>
      <c r="AI3268" s="28" t="n">
        <f aca="false">AH3268*$M3268</f>
        <v>0</v>
      </c>
      <c r="AJ3268" s="28"/>
      <c r="AK3268" s="28" t="n">
        <f aca="false">AJ3268*$M3268</f>
        <v>0</v>
      </c>
      <c r="AL3268" s="28"/>
      <c r="AM3268" s="28" t="n">
        <f aca="false">AL3268*$M3268</f>
        <v>0</v>
      </c>
      <c r="AN3268" s="28"/>
      <c r="AO3268" s="28" t="n">
        <f aca="false">AN3268*$M3268</f>
        <v>0</v>
      </c>
      <c r="AP3268" s="28"/>
      <c r="AQ3268" s="28" t="n">
        <f aca="false">AP3268*$M3268</f>
        <v>0</v>
      </c>
      <c r="AR3268" s="28"/>
      <c r="AS3268" s="28" t="n">
        <f aca="false">AR3268*$M3268</f>
        <v>0</v>
      </c>
      <c r="AT3268" s="28"/>
      <c r="AU3268" s="28" t="n">
        <f aca="false">AT3268*$M3268</f>
        <v>0</v>
      </c>
      <c r="AV3268" s="28"/>
      <c r="AW3268" s="28" t="n">
        <f aca="false">AV3268*$M3268</f>
        <v>0</v>
      </c>
      <c r="AX3268" s="28"/>
      <c r="AY3268" s="28" t="n">
        <f aca="false">AX3268*$M3268</f>
        <v>0</v>
      </c>
      <c r="AZ3268" s="30" t="n">
        <f aca="false">81963/100</f>
        <v>819.63</v>
      </c>
      <c r="BA3268" s="11" t="n">
        <v>196711</v>
      </c>
      <c r="BB3268" s="31" t="n">
        <f aca="false">SUM(Q3268,S3268,U3268,W3268,Y3268,AA3268,AC3268,AE3268,AG3268,AI3268,AK3268,AM3268,AO3268,AQ3268,AS3268,AU3268,AW3268,AY3268)</f>
        <v>196711</v>
      </c>
      <c r="BC3268" s="28" t="n">
        <f aca="false">BA3268-BB3268</f>
        <v>0</v>
      </c>
      <c r="BD3268" s="32" t="n">
        <f aca="false">SUM(P3268,R3268,T3268,V3268,X3268,Z3268,AB3268,AD3268,AF3268,AH3268,AJ3268,AL3268,AN3268,AP3268,AR3268,AT3268,AV3268,AX3268)</f>
        <v>819.63</v>
      </c>
      <c r="BE3268" s="33" t="n">
        <f aca="false">AZ3268-BD3268</f>
        <v>0</v>
      </c>
      <c r="BF3268" s="34" t="n">
        <f aca="false">BD3268*M3268</f>
        <v>196711.2</v>
      </c>
      <c r="BG3268" s="35" t="n">
        <f aca="false">BA3268-BF3268</f>
        <v>-0.200000000011642</v>
      </c>
      <c r="BH3268" s="19" t="str">
        <f aca="false">IF(BG3268=0,"",IF(BG3268&lt;&gt;BA3268,"erreur de calcul",IF(BD3268&lt;&gt;0,"pas de prix",IF(M3268&lt;&gt; 0,"pas de quantité","pas de prix, ni de quantité"))))</f>
        <v>erreur de calcul</v>
      </c>
      <c r="BI3268" s="19"/>
    </row>
    <row r="3269" customFormat="false" ht="15" hidden="false" customHeight="false" outlineLevel="0" collapsed="false">
      <c r="A3269" s="0" t="n">
        <v>31</v>
      </c>
      <c r="B3269" s="8" t="s">
        <v>24</v>
      </c>
      <c r="C3269" s="9" t="s">
        <v>25</v>
      </c>
      <c r="D3269" s="9" t="s">
        <v>26</v>
      </c>
      <c r="E3269" s="10" t="n">
        <v>1789</v>
      </c>
      <c r="F3269" s="9" t="s">
        <v>27</v>
      </c>
      <c r="G3269" s="9" t="s">
        <v>27</v>
      </c>
      <c r="H3269" s="11" t="n">
        <v>21</v>
      </c>
      <c r="I3269" s="11" t="s">
        <v>184</v>
      </c>
      <c r="J3269" s="14" t="n">
        <v>13</v>
      </c>
      <c r="K3269" s="14"/>
      <c r="L3269" s="16"/>
      <c r="M3269" s="27" t="n">
        <f aca="false">J3269+(K3269/20)+(L3269/240)</f>
        <v>13</v>
      </c>
      <c r="N3269" s="17" t="s">
        <v>66</v>
      </c>
      <c r="O3269" s="11"/>
      <c r="P3269" s="28"/>
      <c r="Q3269" s="28" t="n">
        <f aca="false">P3269*$M3269</f>
        <v>0</v>
      </c>
      <c r="R3269" s="28"/>
      <c r="S3269" s="28" t="n">
        <f aca="false">R3269*$M3269</f>
        <v>0</v>
      </c>
      <c r="T3269" s="28"/>
      <c r="U3269" s="28" t="n">
        <f aca="false">T3269*$M3269</f>
        <v>0</v>
      </c>
      <c r="V3269" s="28"/>
      <c r="W3269" s="28" t="n">
        <f aca="false">V3269*$M3269</f>
        <v>0</v>
      </c>
      <c r="X3269" s="28"/>
      <c r="Y3269" s="28" t="n">
        <f aca="false">X3269*$M3269</f>
        <v>0</v>
      </c>
      <c r="Z3269" s="28"/>
      <c r="AA3269" s="28" t="n">
        <f aca="false">Z3269*$M3269</f>
        <v>0</v>
      </c>
      <c r="AB3269" s="28"/>
      <c r="AC3269" s="28" t="n">
        <f aca="false">AB3269*$M3269</f>
        <v>0</v>
      </c>
      <c r="AD3269" s="28"/>
      <c r="AE3269" s="28" t="n">
        <f aca="false">AD3269*$M3269</f>
        <v>0</v>
      </c>
      <c r="AF3269" s="28"/>
      <c r="AG3269" s="28" t="n">
        <f aca="false">AF3269*$M3269</f>
        <v>0</v>
      </c>
      <c r="AH3269" s="28" t="n">
        <v>354</v>
      </c>
      <c r="AI3269" s="28" t="n">
        <v>4602</v>
      </c>
      <c r="AJ3269" s="28"/>
      <c r="AK3269" s="28" t="n">
        <f aca="false">AJ3269*$M3269</f>
        <v>0</v>
      </c>
      <c r="AL3269" s="28"/>
      <c r="AM3269" s="28" t="n">
        <f aca="false">AL3269*$M3269</f>
        <v>0</v>
      </c>
      <c r="AN3269" s="28"/>
      <c r="AO3269" s="28" t="n">
        <f aca="false">AN3269*$M3269</f>
        <v>0</v>
      </c>
      <c r="AP3269" s="28"/>
      <c r="AQ3269" s="28" t="n">
        <f aca="false">AP3269*$M3269</f>
        <v>0</v>
      </c>
      <c r="AR3269" s="28"/>
      <c r="AS3269" s="28" t="n">
        <f aca="false">AR3269*$M3269</f>
        <v>0</v>
      </c>
      <c r="AT3269" s="28"/>
      <c r="AU3269" s="28" t="n">
        <f aca="false">AT3269*$M3269</f>
        <v>0</v>
      </c>
      <c r="AV3269" s="28"/>
      <c r="AW3269" s="28" t="n">
        <f aca="false">AV3269*$M3269</f>
        <v>0</v>
      </c>
      <c r="AX3269" s="28"/>
      <c r="AY3269" s="28" t="n">
        <f aca="false">AX3269*$M3269</f>
        <v>0</v>
      </c>
      <c r="AZ3269" s="30" t="n">
        <v>354</v>
      </c>
      <c r="BA3269" s="11" t="n">
        <v>4602</v>
      </c>
      <c r="BB3269" s="31" t="n">
        <f aca="false">SUM(Q3269,S3269,U3269,W3269,Y3269,AA3269,AC3269,AE3269,AG3269,AI3269,AK3269,AM3269,AO3269,AQ3269,AS3269,AU3269,AW3269,AY3269)</f>
        <v>4602</v>
      </c>
      <c r="BC3269" s="28" t="n">
        <f aca="false">BA3269-BB3269</f>
        <v>0</v>
      </c>
      <c r="BD3269" s="32" t="n">
        <f aca="false">SUM(P3269,R3269,T3269,V3269,X3269,Z3269,AB3269,AD3269,AF3269,AH3269,AJ3269,AL3269,AN3269,AP3269,AR3269,AT3269,AV3269,AX3269)</f>
        <v>354</v>
      </c>
      <c r="BE3269" s="33" t="n">
        <f aca="false">AZ3269-BD3269</f>
        <v>0</v>
      </c>
      <c r="BF3269" s="34" t="n">
        <f aca="false">BD3269*M3269</f>
        <v>4602</v>
      </c>
      <c r="BG3269" s="35" t="n">
        <f aca="false">BA3269-BF3269</f>
        <v>0</v>
      </c>
      <c r="BH3269" s="19" t="str">
        <f aca="false">IF(BG3269=0,"",IF(BG3269&lt;&gt;BA3269,"erreur de calcul",IF(BD3269&lt;&gt;0,"pas de prix",IF(M3269&lt;&gt; 0,"pas de quantité","pas de prix, ni de quantité"))))</f>
        <v/>
      </c>
      <c r="BI3269" s="19"/>
    </row>
    <row r="3270" customFormat="false" ht="15" hidden="false" customHeight="false" outlineLevel="0" collapsed="false">
      <c r="A3270" s="0" t="n">
        <v>32</v>
      </c>
      <c r="B3270" s="8" t="s">
        <v>24</v>
      </c>
      <c r="C3270" s="9" t="s">
        <v>25</v>
      </c>
      <c r="D3270" s="9" t="s">
        <v>26</v>
      </c>
      <c r="E3270" s="10" t="n">
        <v>1789</v>
      </c>
      <c r="F3270" s="9" t="s">
        <v>27</v>
      </c>
      <c r="G3270" s="9" t="s">
        <v>27</v>
      </c>
      <c r="H3270" s="11" t="n">
        <v>21</v>
      </c>
      <c r="I3270" s="11" t="s">
        <v>185</v>
      </c>
      <c r="J3270" s="14" t="n">
        <v>245</v>
      </c>
      <c r="K3270" s="14"/>
      <c r="L3270" s="16"/>
      <c r="M3270" s="27" t="n">
        <f aca="false">J3270+(K3270/20)+(L3270/240)</f>
        <v>245</v>
      </c>
      <c r="N3270" s="17" t="s">
        <v>64</v>
      </c>
      <c r="O3270" s="11"/>
      <c r="P3270" s="28"/>
      <c r="Q3270" s="28" t="n">
        <f aca="false">P3270*$M3270</f>
        <v>0</v>
      </c>
      <c r="R3270" s="28"/>
      <c r="S3270" s="28" t="n">
        <f aca="false">R3270*$M3270</f>
        <v>0</v>
      </c>
      <c r="T3270" s="28"/>
      <c r="U3270" s="28" t="n">
        <f aca="false">T3270*$M3270</f>
        <v>0</v>
      </c>
      <c r="V3270" s="28" t="n">
        <f aca="false">720/100</f>
        <v>7.2</v>
      </c>
      <c r="W3270" s="28" t="n">
        <v>1764</v>
      </c>
      <c r="X3270" s="28" t="n">
        <f aca="false">40366/100</f>
        <v>403.66</v>
      </c>
      <c r="Y3270" s="28" t="n">
        <v>98897</v>
      </c>
      <c r="Z3270" s="28"/>
      <c r="AA3270" s="28" t="n">
        <f aca="false">Z3270*$M3270</f>
        <v>0</v>
      </c>
      <c r="AB3270" s="28"/>
      <c r="AC3270" s="28" t="n">
        <f aca="false">AB3270*$M3270</f>
        <v>0</v>
      </c>
      <c r="AD3270" s="28"/>
      <c r="AE3270" s="28" t="n">
        <f aca="false">AD3270*$M3270</f>
        <v>0</v>
      </c>
      <c r="AF3270" s="28"/>
      <c r="AG3270" s="28" t="n">
        <f aca="false">AF3270*$M3270</f>
        <v>0</v>
      </c>
      <c r="AH3270" s="28" t="n">
        <f aca="false">83243/100</f>
        <v>832.43</v>
      </c>
      <c r="AI3270" s="28" t="n">
        <v>203945</v>
      </c>
      <c r="AJ3270" s="28"/>
      <c r="AK3270" s="28" t="n">
        <f aca="false">AJ3270*$M3270</f>
        <v>0</v>
      </c>
      <c r="AL3270" s="28"/>
      <c r="AM3270" s="28" t="n">
        <f aca="false">AL3270*$M3270</f>
        <v>0</v>
      </c>
      <c r="AN3270" s="28"/>
      <c r="AO3270" s="28" t="n">
        <f aca="false">AN3270*$M3270</f>
        <v>0</v>
      </c>
      <c r="AP3270" s="28"/>
      <c r="AQ3270" s="28" t="n">
        <f aca="false">AP3270*$M3270</f>
        <v>0</v>
      </c>
      <c r="AR3270" s="28"/>
      <c r="AS3270" s="28" t="n">
        <f aca="false">AR3270*$M3270</f>
        <v>0</v>
      </c>
      <c r="AT3270" s="28"/>
      <c r="AU3270" s="28" t="n">
        <f aca="false">AT3270*$M3270</f>
        <v>0</v>
      </c>
      <c r="AV3270" s="28"/>
      <c r="AW3270" s="28" t="n">
        <f aca="false">AV3270*$M3270</f>
        <v>0</v>
      </c>
      <c r="AX3270" s="28"/>
      <c r="AY3270" s="28" t="n">
        <f aca="false">AX3270*$M3270</f>
        <v>0</v>
      </c>
      <c r="AZ3270" s="30" t="n">
        <f aca="false">124329/100</f>
        <v>1243.29</v>
      </c>
      <c r="BA3270" s="11" t="n">
        <v>304606</v>
      </c>
      <c r="BB3270" s="31" t="n">
        <f aca="false">SUM(Q3270,S3270,U3270,W3270,Y3270,AA3270,AC3270,AE3270,AG3270,AI3270,AK3270,AM3270,AO3270,AQ3270,AS3270,AU3270,AW3270,AY3270)</f>
        <v>304606</v>
      </c>
      <c r="BC3270" s="28" t="n">
        <f aca="false">BA3270-BB3270</f>
        <v>0</v>
      </c>
      <c r="BD3270" s="32" t="n">
        <f aca="false">SUM(P3270,R3270,T3270,V3270,X3270,Z3270,AB3270,AD3270,AF3270,AH3270,AJ3270,AL3270,AN3270,AP3270,AR3270,AT3270,AV3270,AX3270)</f>
        <v>1243.29</v>
      </c>
      <c r="BE3270" s="33" t="n">
        <f aca="false">AZ3270-BD3270</f>
        <v>0</v>
      </c>
      <c r="BF3270" s="34" t="n">
        <f aca="false">BD3270*M3270</f>
        <v>304606.05</v>
      </c>
      <c r="BG3270" s="35" t="n">
        <f aca="false">BA3270-BF3270</f>
        <v>-0.0499999999883585</v>
      </c>
      <c r="BH3270" s="19" t="str">
        <f aca="false">IF(BG3270=0,"",IF(BG3270&lt;&gt;BA3270,"erreur de calcul",IF(BD3270&lt;&gt;0,"pas de prix",IF(M3270&lt;&gt; 0,"pas de quantité","pas de prix, ni de quantité"))))</f>
        <v>erreur de calcul</v>
      </c>
      <c r="BI3270" s="19"/>
    </row>
    <row r="3271" customFormat="false" ht="15" hidden="false" customHeight="false" outlineLevel="0" collapsed="false">
      <c r="A3271" s="0" t="n">
        <v>33</v>
      </c>
      <c r="B3271" s="8" t="s">
        <v>24</v>
      </c>
      <c r="C3271" s="9" t="s">
        <v>25</v>
      </c>
      <c r="D3271" s="9" t="s">
        <v>26</v>
      </c>
      <c r="E3271" s="10" t="n">
        <v>1789</v>
      </c>
      <c r="F3271" s="9" t="s">
        <v>27</v>
      </c>
      <c r="G3271" s="9" t="s">
        <v>27</v>
      </c>
      <c r="H3271" s="11" t="n">
        <v>21</v>
      </c>
      <c r="I3271" s="11" t="s">
        <v>186</v>
      </c>
      <c r="J3271" s="14" t="n">
        <v>240</v>
      </c>
      <c r="K3271" s="14"/>
      <c r="L3271" s="16"/>
      <c r="M3271" s="27" t="n">
        <f aca="false">J3271+(K3271/20)+(L3271/240)</f>
        <v>240</v>
      </c>
      <c r="N3271" s="17" t="s">
        <v>64</v>
      </c>
      <c r="O3271" s="11"/>
      <c r="P3271" s="28"/>
      <c r="Q3271" s="28" t="n">
        <f aca="false">P3271*$M3271</f>
        <v>0</v>
      </c>
      <c r="R3271" s="28"/>
      <c r="S3271" s="28" t="n">
        <f aca="false">R3271*$M3271</f>
        <v>0</v>
      </c>
      <c r="T3271" s="28"/>
      <c r="U3271" s="28" t="n">
        <f aca="false">T3271*$M3271</f>
        <v>0</v>
      </c>
      <c r="V3271" s="28"/>
      <c r="W3271" s="28" t="n">
        <f aca="false">V3271*$M3271</f>
        <v>0</v>
      </c>
      <c r="X3271" s="28"/>
      <c r="Y3271" s="28" t="n">
        <f aca="false">X3271*$M3271</f>
        <v>0</v>
      </c>
      <c r="Z3271" s="28"/>
      <c r="AA3271" s="28" t="n">
        <f aca="false">Z3271*$M3271</f>
        <v>0</v>
      </c>
      <c r="AB3271" s="28"/>
      <c r="AC3271" s="28" t="n">
        <f aca="false">AB3271*$M3271</f>
        <v>0</v>
      </c>
      <c r="AD3271" s="28"/>
      <c r="AE3271" s="28" t="n">
        <f aca="false">AD3271*$M3271</f>
        <v>0</v>
      </c>
      <c r="AF3271" s="28"/>
      <c r="AG3271" s="28" t="n">
        <f aca="false">AF3271*$M3271</f>
        <v>0</v>
      </c>
      <c r="AH3271" s="28" t="n">
        <f aca="false">803/100</f>
        <v>8.03</v>
      </c>
      <c r="AI3271" s="28" t="n">
        <v>1927</v>
      </c>
      <c r="AJ3271" s="28"/>
      <c r="AK3271" s="28" t="n">
        <f aca="false">AJ3271*$M3271</f>
        <v>0</v>
      </c>
      <c r="AL3271" s="28"/>
      <c r="AM3271" s="28" t="n">
        <f aca="false">AL3271*$M3271</f>
        <v>0</v>
      </c>
      <c r="AN3271" s="28"/>
      <c r="AO3271" s="28" t="n">
        <f aca="false">AN3271*$M3271</f>
        <v>0</v>
      </c>
      <c r="AP3271" s="28"/>
      <c r="AQ3271" s="28" t="n">
        <f aca="false">AP3271*$M3271</f>
        <v>0</v>
      </c>
      <c r="AR3271" s="28"/>
      <c r="AS3271" s="28" t="n">
        <f aca="false">AR3271*$M3271</f>
        <v>0</v>
      </c>
      <c r="AT3271" s="28"/>
      <c r="AU3271" s="28" t="n">
        <f aca="false">AT3271*$M3271</f>
        <v>0</v>
      </c>
      <c r="AV3271" s="28"/>
      <c r="AW3271" s="28" t="n">
        <f aca="false">AV3271*$M3271</f>
        <v>0</v>
      </c>
      <c r="AX3271" s="28"/>
      <c r="AY3271" s="28" t="n">
        <f aca="false">AX3271*$M3271</f>
        <v>0</v>
      </c>
      <c r="AZ3271" s="30" t="n">
        <f aca="false">803/100</f>
        <v>8.03</v>
      </c>
      <c r="BA3271" s="11" t="n">
        <v>1927</v>
      </c>
      <c r="BB3271" s="31" t="n">
        <f aca="false">SUM(Q3271,S3271,U3271,W3271,Y3271,AA3271,AC3271,AE3271,AG3271,AI3271,AK3271,AM3271,AO3271,AQ3271,AS3271,AU3271,AW3271,AY3271)</f>
        <v>1927</v>
      </c>
      <c r="BC3271" s="28" t="n">
        <f aca="false">BA3271-BB3271</f>
        <v>0</v>
      </c>
      <c r="BD3271" s="32" t="n">
        <f aca="false">SUM(P3271,R3271,T3271,V3271,X3271,Z3271,AB3271,AD3271,AF3271,AH3271,AJ3271,AL3271,AN3271,AP3271,AR3271,AT3271,AV3271,AX3271)</f>
        <v>8.03</v>
      </c>
      <c r="BE3271" s="33" t="n">
        <f aca="false">AZ3271-BD3271</f>
        <v>0</v>
      </c>
      <c r="BF3271" s="34" t="n">
        <f aca="false">BD3271*M3271</f>
        <v>1927.2</v>
      </c>
      <c r="BG3271" s="35" t="n">
        <f aca="false">BA3271-BF3271</f>
        <v>-0.199999999999818</v>
      </c>
      <c r="BH3271" s="19" t="str">
        <f aca="false">IF(BG3271=0,"",IF(BG3271&lt;&gt;BA3271,"erreur de calcul",IF(BD3271&lt;&gt;0,"pas de prix",IF(M3271&lt;&gt; 0,"pas de quantité","pas de prix, ni de quantité"))))</f>
        <v>erreur de calcul</v>
      </c>
      <c r="BI3271" s="19"/>
    </row>
    <row r="3272" customFormat="false" ht="15" hidden="false" customHeight="false" outlineLevel="0" collapsed="false">
      <c r="A3272" s="0" t="n">
        <v>34</v>
      </c>
      <c r="B3272" s="8" t="s">
        <v>24</v>
      </c>
      <c r="C3272" s="9" t="s">
        <v>25</v>
      </c>
      <c r="D3272" s="9" t="s">
        <v>26</v>
      </c>
      <c r="E3272" s="10" t="n">
        <v>1789</v>
      </c>
      <c r="F3272" s="9" t="s">
        <v>27</v>
      </c>
      <c r="G3272" s="9" t="s">
        <v>27</v>
      </c>
      <c r="H3272" s="11" t="n">
        <v>21</v>
      </c>
      <c r="I3272" s="11" t="s">
        <v>187</v>
      </c>
      <c r="J3272" s="14" t="n">
        <v>45</v>
      </c>
      <c r="K3272" s="14"/>
      <c r="L3272" s="16"/>
      <c r="M3272" s="27" t="n">
        <f aca="false">J3272+(K3272/20)+(L3272/240)</f>
        <v>45</v>
      </c>
      <c r="N3272" s="17" t="s">
        <v>64</v>
      </c>
      <c r="O3272" s="11"/>
      <c r="P3272" s="28" t="n">
        <f aca="false">8827/100</f>
        <v>88.27</v>
      </c>
      <c r="Q3272" s="28" t="n">
        <v>3972</v>
      </c>
      <c r="R3272" s="28"/>
      <c r="S3272" s="28" t="n">
        <f aca="false">R3272*$M3272</f>
        <v>0</v>
      </c>
      <c r="T3272" s="28"/>
      <c r="U3272" s="28" t="n">
        <f aca="false">T3272*$M3272</f>
        <v>0</v>
      </c>
      <c r="V3272" s="28" t="n">
        <f aca="false">8951/100</f>
        <v>89.51</v>
      </c>
      <c r="W3272" s="28" t="n">
        <v>4028</v>
      </c>
      <c r="X3272" s="28" t="n">
        <f aca="false">49106/100</f>
        <v>491.06</v>
      </c>
      <c r="Y3272" s="28" t="n">
        <v>22098</v>
      </c>
      <c r="Z3272" s="28"/>
      <c r="AA3272" s="28" t="n">
        <f aca="false">Z3272*$M3272</f>
        <v>0</v>
      </c>
      <c r="AB3272" s="28" t="n">
        <f aca="false">313412/100</f>
        <v>3134.12</v>
      </c>
      <c r="AC3272" s="28" t="n">
        <v>141035</v>
      </c>
      <c r="AD3272" s="28"/>
      <c r="AE3272" s="28" t="n">
        <f aca="false">AD3272*$M3272</f>
        <v>0</v>
      </c>
      <c r="AF3272" s="28"/>
      <c r="AG3272" s="28" t="n">
        <f aca="false">AF3272*$M3272</f>
        <v>0</v>
      </c>
      <c r="AH3272" s="28"/>
      <c r="AI3272" s="28" t="n">
        <f aca="false">AH3272*$M3272</f>
        <v>0</v>
      </c>
      <c r="AJ3272" s="28"/>
      <c r="AK3272" s="28" t="n">
        <f aca="false">AJ3272*$M3272</f>
        <v>0</v>
      </c>
      <c r="AL3272" s="28"/>
      <c r="AM3272" s="28" t="n">
        <f aca="false">AL3272*$M3272</f>
        <v>0</v>
      </c>
      <c r="AN3272" s="28"/>
      <c r="AO3272" s="28" t="n">
        <f aca="false">AN3272*$M3272</f>
        <v>0</v>
      </c>
      <c r="AP3272" s="28"/>
      <c r="AQ3272" s="28" t="n">
        <f aca="false">AP3272*$M3272</f>
        <v>0</v>
      </c>
      <c r="AR3272" s="28"/>
      <c r="AS3272" s="28" t="n">
        <f aca="false">AR3272*$M3272</f>
        <v>0</v>
      </c>
      <c r="AT3272" s="28"/>
      <c r="AU3272" s="28" t="n">
        <f aca="false">AT3272*$M3272</f>
        <v>0</v>
      </c>
      <c r="AV3272" s="28"/>
      <c r="AW3272" s="28" t="n">
        <f aca="false">AV3272*$M3272</f>
        <v>0</v>
      </c>
      <c r="AX3272" s="28"/>
      <c r="AY3272" s="28" t="n">
        <f aca="false">AX3272*$M3272</f>
        <v>0</v>
      </c>
      <c r="AZ3272" s="30" t="n">
        <f aca="false">380296/100</f>
        <v>3802.96</v>
      </c>
      <c r="BA3272" s="11" t="n">
        <v>171133</v>
      </c>
      <c r="BB3272" s="31" t="n">
        <f aca="false">SUM(Q3272,S3272,U3272,W3272,Y3272,AA3272,AC3272,AE3272,AG3272,AI3272,AK3272,AM3272,AO3272,AQ3272,AS3272,AU3272,AW3272,AY3272)</f>
        <v>171133</v>
      </c>
      <c r="BC3272" s="28" t="n">
        <f aca="false">BA3272-BB3272</f>
        <v>0</v>
      </c>
      <c r="BD3272" s="32" t="n">
        <f aca="false">SUM(P3272,R3272,T3272,V3272,X3272,Z3272,AB3272,AD3272,AF3272,AH3272,AJ3272,AL3272,AN3272,AP3272,AR3272,AT3272,AV3272,AX3272)</f>
        <v>3802.96</v>
      </c>
      <c r="BE3272" s="33" t="n">
        <f aca="false">AZ3272-BD3272</f>
        <v>0</v>
      </c>
      <c r="BF3272" s="34" t="n">
        <f aca="false">BD3272*M3272</f>
        <v>171133.2</v>
      </c>
      <c r="BG3272" s="35" t="n">
        <f aca="false">BA3272-BF3272</f>
        <v>-0.200000000011642</v>
      </c>
      <c r="BH3272" s="19" t="str">
        <f aca="false">IF(BG3272=0,"",IF(BG3272&lt;&gt;BA3272,"erreur de calcul",IF(BD3272&lt;&gt;0,"pas de prix",IF(M3272&lt;&gt; 0,"pas de quantité","pas de prix, ni de quantité"))))</f>
        <v>erreur de calcul</v>
      </c>
      <c r="BI3272" s="19"/>
    </row>
    <row r="3273" customFormat="false" ht="15" hidden="false" customHeight="false" outlineLevel="0" collapsed="false">
      <c r="A3273" s="0" t="n">
        <v>35</v>
      </c>
      <c r="B3273" s="8" t="s">
        <v>24</v>
      </c>
      <c r="C3273" s="9" t="s">
        <v>25</v>
      </c>
      <c r="D3273" s="9" t="s">
        <v>26</v>
      </c>
      <c r="E3273" s="10" t="n">
        <v>1789</v>
      </c>
      <c r="F3273" s="9" t="s">
        <v>27</v>
      </c>
      <c r="G3273" s="9" t="s">
        <v>27</v>
      </c>
      <c r="H3273" s="11" t="n">
        <v>21</v>
      </c>
      <c r="I3273" s="11" t="s">
        <v>188</v>
      </c>
      <c r="J3273" s="14" t="n">
        <v>60</v>
      </c>
      <c r="K3273" s="14"/>
      <c r="L3273" s="16"/>
      <c r="M3273" s="27" t="n">
        <f aca="false">J3273+(K3273/20)+(L3273/240)</f>
        <v>60</v>
      </c>
      <c r="N3273" s="17" t="s">
        <v>64</v>
      </c>
      <c r="O3273" s="11"/>
      <c r="P3273" s="28"/>
      <c r="Q3273" s="28" t="n">
        <f aca="false">P3273*$M3273</f>
        <v>0</v>
      </c>
      <c r="R3273" s="28"/>
      <c r="S3273" s="28" t="n">
        <f aca="false">R3273*$M3273</f>
        <v>0</v>
      </c>
      <c r="T3273" s="28"/>
      <c r="U3273" s="28" t="n">
        <f aca="false">T3273*$M3273</f>
        <v>0</v>
      </c>
      <c r="V3273" s="28"/>
      <c r="W3273" s="28" t="n">
        <f aca="false">V3273*$M3273</f>
        <v>0</v>
      </c>
      <c r="X3273" s="28"/>
      <c r="Y3273" s="28" t="n">
        <f aca="false">X3273*$M3273</f>
        <v>0</v>
      </c>
      <c r="Z3273" s="28"/>
      <c r="AA3273" s="28" t="n">
        <f aca="false">Z3273*$M3273</f>
        <v>0</v>
      </c>
      <c r="AB3273" s="28"/>
      <c r="AC3273" s="28" t="n">
        <f aca="false">AB3273*$M3273</f>
        <v>0</v>
      </c>
      <c r="AD3273" s="28"/>
      <c r="AE3273" s="28" t="n">
        <f aca="false">AD3273*$M3273</f>
        <v>0</v>
      </c>
      <c r="AF3273" s="28"/>
      <c r="AG3273" s="28" t="n">
        <f aca="false">AF3273*$M3273</f>
        <v>0</v>
      </c>
      <c r="AH3273" s="28" t="n">
        <f aca="false">6391/100</f>
        <v>63.91</v>
      </c>
      <c r="AI3273" s="28" t="n">
        <v>3835</v>
      </c>
      <c r="AJ3273" s="28"/>
      <c r="AK3273" s="28" t="n">
        <f aca="false">AJ3273*$M3273</f>
        <v>0</v>
      </c>
      <c r="AL3273" s="28"/>
      <c r="AM3273" s="28" t="n">
        <f aca="false">AL3273*$M3273</f>
        <v>0</v>
      </c>
      <c r="AN3273" s="28"/>
      <c r="AO3273" s="28" t="n">
        <f aca="false">AN3273*$M3273</f>
        <v>0</v>
      </c>
      <c r="AP3273" s="28"/>
      <c r="AQ3273" s="28" t="n">
        <f aca="false">AP3273*$M3273</f>
        <v>0</v>
      </c>
      <c r="AR3273" s="28"/>
      <c r="AS3273" s="28" t="n">
        <f aca="false">AR3273*$M3273</f>
        <v>0</v>
      </c>
      <c r="AT3273" s="28"/>
      <c r="AU3273" s="28" t="n">
        <f aca="false">AT3273*$M3273</f>
        <v>0</v>
      </c>
      <c r="AV3273" s="28"/>
      <c r="AW3273" s="28" t="n">
        <f aca="false">AV3273*$M3273</f>
        <v>0</v>
      </c>
      <c r="AX3273" s="28"/>
      <c r="AY3273" s="28" t="n">
        <f aca="false">AX3273*$M3273</f>
        <v>0</v>
      </c>
      <c r="AZ3273" s="30" t="n">
        <f aca="false">6391/100</f>
        <v>63.91</v>
      </c>
      <c r="BA3273" s="11" t="n">
        <v>3835</v>
      </c>
      <c r="BB3273" s="31" t="n">
        <f aca="false">SUM(Q3273,S3273,U3273,W3273,Y3273,AA3273,AC3273,AE3273,AG3273,AI3273,AK3273,AM3273,AO3273,AQ3273,AS3273,AU3273,AW3273,AY3273)</f>
        <v>3835</v>
      </c>
      <c r="BC3273" s="28" t="n">
        <f aca="false">BA3273-BB3273</f>
        <v>0</v>
      </c>
      <c r="BD3273" s="32" t="n">
        <f aca="false">SUM(P3273,R3273,T3273,V3273,X3273,Z3273,AB3273,AD3273,AF3273,AH3273,AJ3273,AL3273,AN3273,AP3273,AR3273,AT3273,AV3273,AX3273)</f>
        <v>63.91</v>
      </c>
      <c r="BE3273" s="33" t="n">
        <f aca="false">AZ3273-BD3273</f>
        <v>0</v>
      </c>
      <c r="BF3273" s="34" t="n">
        <f aca="false">BD3273*M3273</f>
        <v>3834.6</v>
      </c>
      <c r="BG3273" s="35" t="n">
        <f aca="false">BA3273-BF3273</f>
        <v>0.400000000000091</v>
      </c>
      <c r="BH3273" s="19" t="str">
        <f aca="false">IF(BG3273=0,"",IF(BG3273&lt;&gt;BA3273,"erreur de calcul",IF(BD3273&lt;&gt;0,"pas de prix",IF(M3273&lt;&gt; 0,"pas de quantité","pas de prix, ni de quantité"))))</f>
        <v>erreur de calcul</v>
      </c>
      <c r="BI3273" s="19"/>
    </row>
    <row r="3274" customFormat="false" ht="15" hidden="false" customHeight="false" outlineLevel="0" collapsed="false">
      <c r="A3274" s="0" t="n">
        <v>36</v>
      </c>
      <c r="B3274" s="8" t="s">
        <v>24</v>
      </c>
      <c r="C3274" s="9" t="s">
        <v>25</v>
      </c>
      <c r="D3274" s="9" t="s">
        <v>26</v>
      </c>
      <c r="E3274" s="10" t="n">
        <v>1789</v>
      </c>
      <c r="F3274" s="9" t="s">
        <v>27</v>
      </c>
      <c r="G3274" s="9" t="s">
        <v>27</v>
      </c>
      <c r="H3274" s="11" t="n">
        <v>21</v>
      </c>
      <c r="I3274" s="11" t="s">
        <v>189</v>
      </c>
      <c r="J3274" s="14" t="n">
        <v>30</v>
      </c>
      <c r="K3274" s="14"/>
      <c r="L3274" s="16"/>
      <c r="M3274" s="27" t="n">
        <f aca="false">J3274+(K3274/20)+(L3274/240)</f>
        <v>30</v>
      </c>
      <c r="N3274" s="17" t="s">
        <v>66</v>
      </c>
      <c r="O3274" s="11"/>
      <c r="P3274" s="28"/>
      <c r="Q3274" s="28" t="n">
        <f aca="false">P3274*$M3274</f>
        <v>0</v>
      </c>
      <c r="R3274" s="28"/>
      <c r="S3274" s="28" t="n">
        <f aca="false">R3274*$M3274</f>
        <v>0</v>
      </c>
      <c r="T3274" s="28"/>
      <c r="U3274" s="28" t="n">
        <f aca="false">T3274*$M3274</f>
        <v>0</v>
      </c>
      <c r="V3274" s="28" t="n">
        <v>146</v>
      </c>
      <c r="W3274" s="28" t="n">
        <v>4380</v>
      </c>
      <c r="X3274" s="28"/>
      <c r="Y3274" s="28" t="n">
        <f aca="false">X3274*$M3274</f>
        <v>0</v>
      </c>
      <c r="Z3274" s="28"/>
      <c r="AA3274" s="28" t="n">
        <f aca="false">Z3274*$M3274</f>
        <v>0</v>
      </c>
      <c r="AB3274" s="28"/>
      <c r="AC3274" s="28" t="n">
        <f aca="false">AB3274*$M3274</f>
        <v>0</v>
      </c>
      <c r="AD3274" s="28"/>
      <c r="AE3274" s="28" t="n">
        <f aca="false">AD3274*$M3274</f>
        <v>0</v>
      </c>
      <c r="AF3274" s="28"/>
      <c r="AG3274" s="28" t="n">
        <f aca="false">AF3274*$M3274</f>
        <v>0</v>
      </c>
      <c r="AH3274" s="28"/>
      <c r="AI3274" s="28" t="n">
        <f aca="false">AH3274*$M3274</f>
        <v>0</v>
      </c>
      <c r="AJ3274" s="28"/>
      <c r="AK3274" s="28" t="n">
        <f aca="false">AJ3274*$M3274</f>
        <v>0</v>
      </c>
      <c r="AL3274" s="28"/>
      <c r="AM3274" s="28" t="n">
        <f aca="false">AL3274*$M3274</f>
        <v>0</v>
      </c>
      <c r="AN3274" s="28"/>
      <c r="AO3274" s="28" t="n">
        <f aca="false">AN3274*$M3274</f>
        <v>0</v>
      </c>
      <c r="AP3274" s="28"/>
      <c r="AQ3274" s="28" t="n">
        <f aca="false">AP3274*$M3274</f>
        <v>0</v>
      </c>
      <c r="AR3274" s="28"/>
      <c r="AS3274" s="28" t="n">
        <f aca="false">AR3274*$M3274</f>
        <v>0</v>
      </c>
      <c r="AT3274" s="28"/>
      <c r="AU3274" s="28" t="n">
        <f aca="false">AT3274*$M3274</f>
        <v>0</v>
      </c>
      <c r="AV3274" s="28"/>
      <c r="AW3274" s="28" t="n">
        <f aca="false">AV3274*$M3274</f>
        <v>0</v>
      </c>
      <c r="AX3274" s="28"/>
      <c r="AY3274" s="28" t="n">
        <f aca="false">AX3274*$M3274</f>
        <v>0</v>
      </c>
      <c r="AZ3274" s="30" t="n">
        <v>146</v>
      </c>
      <c r="BA3274" s="11" t="n">
        <v>4380</v>
      </c>
      <c r="BB3274" s="31" t="n">
        <f aca="false">SUM(Q3274,S3274,U3274,W3274,Y3274,AA3274,AC3274,AE3274,AG3274,AI3274,AK3274,AM3274,AO3274,AQ3274,AS3274,AU3274,AW3274,AY3274)</f>
        <v>4380</v>
      </c>
      <c r="BC3274" s="28" t="n">
        <f aca="false">BA3274-BB3274</f>
        <v>0</v>
      </c>
      <c r="BD3274" s="32" t="n">
        <f aca="false">SUM(P3274,R3274,T3274,V3274,X3274,Z3274,AB3274,AD3274,AF3274,AH3274,AJ3274,AL3274,AN3274,AP3274,AR3274,AT3274,AV3274,AX3274)</f>
        <v>146</v>
      </c>
      <c r="BE3274" s="33" t="n">
        <f aca="false">AZ3274-BD3274</f>
        <v>0</v>
      </c>
      <c r="BF3274" s="34" t="n">
        <f aca="false">BD3274*M3274</f>
        <v>4380</v>
      </c>
      <c r="BG3274" s="35" t="n">
        <f aca="false">BA3274-BF3274</f>
        <v>0</v>
      </c>
      <c r="BH3274" s="19" t="str">
        <f aca="false">IF(BG3274=0,"",IF(BG3274&lt;&gt;BA3274,"erreur de calcul",IF(BD3274&lt;&gt;0,"pas de prix",IF(M3274&lt;&gt; 0,"pas de quantité","pas de prix, ni de quantité"))))</f>
        <v/>
      </c>
      <c r="BI3274" s="19"/>
    </row>
    <row r="3275" customFormat="false" ht="15" hidden="false" customHeight="false" outlineLevel="0" collapsed="false">
      <c r="A3275" s="0" t="n">
        <v>37</v>
      </c>
      <c r="B3275" s="8" t="s">
        <v>24</v>
      </c>
      <c r="C3275" s="9" t="s">
        <v>25</v>
      </c>
      <c r="D3275" s="9" t="s">
        <v>26</v>
      </c>
      <c r="E3275" s="10" t="n">
        <v>1789</v>
      </c>
      <c r="F3275" s="9" t="s">
        <v>27</v>
      </c>
      <c r="G3275" s="9" t="s">
        <v>27</v>
      </c>
      <c r="H3275" s="11" t="n">
        <v>21</v>
      </c>
      <c r="I3275" s="11" t="s">
        <v>190</v>
      </c>
      <c r="J3275" s="14" t="n">
        <v>3</v>
      </c>
      <c r="K3275" s="14"/>
      <c r="L3275" s="16"/>
      <c r="M3275" s="27" t="n">
        <f aca="false">J3275+(K3275/20)+(L3275/240)</f>
        <v>3</v>
      </c>
      <c r="N3275" s="17" t="s">
        <v>66</v>
      </c>
      <c r="O3275" s="11"/>
      <c r="P3275" s="28"/>
      <c r="Q3275" s="28" t="n">
        <f aca="false">P3275*$M3275</f>
        <v>0</v>
      </c>
      <c r="R3275" s="28"/>
      <c r="S3275" s="28" t="n">
        <f aca="false">R3275*$M3275</f>
        <v>0</v>
      </c>
      <c r="T3275" s="28"/>
      <c r="U3275" s="28" t="n">
        <f aca="false">T3275*$M3275</f>
        <v>0</v>
      </c>
      <c r="V3275" s="28" t="n">
        <v>284</v>
      </c>
      <c r="W3275" s="28" t="n">
        <v>852</v>
      </c>
      <c r="X3275" s="28" t="n">
        <v>8028</v>
      </c>
      <c r="Y3275" s="28" t="n">
        <v>24084</v>
      </c>
      <c r="Z3275" s="28"/>
      <c r="AA3275" s="28" t="n">
        <f aca="false">Z3275*$M3275</f>
        <v>0</v>
      </c>
      <c r="AB3275" s="28"/>
      <c r="AC3275" s="28" t="n">
        <f aca="false">AB3275*$M3275</f>
        <v>0</v>
      </c>
      <c r="AD3275" s="28"/>
      <c r="AE3275" s="28" t="n">
        <f aca="false">AD3275*$M3275</f>
        <v>0</v>
      </c>
      <c r="AF3275" s="28"/>
      <c r="AG3275" s="28" t="n">
        <f aca="false">AF3275*$M3275</f>
        <v>0</v>
      </c>
      <c r="AH3275" s="28"/>
      <c r="AI3275" s="28" t="n">
        <f aca="false">AH3275*$M3275</f>
        <v>0</v>
      </c>
      <c r="AJ3275" s="28"/>
      <c r="AK3275" s="28" t="n">
        <f aca="false">AJ3275*$M3275</f>
        <v>0</v>
      </c>
      <c r="AL3275" s="28" t="n">
        <v>2127</v>
      </c>
      <c r="AM3275" s="28" t="n">
        <v>6381</v>
      </c>
      <c r="AN3275" s="28"/>
      <c r="AO3275" s="28" t="n">
        <f aca="false">AN3275*$M3275</f>
        <v>0</v>
      </c>
      <c r="AP3275" s="28"/>
      <c r="AQ3275" s="28" t="n">
        <f aca="false">AP3275*$M3275</f>
        <v>0</v>
      </c>
      <c r="AR3275" s="28"/>
      <c r="AS3275" s="28" t="n">
        <f aca="false">AR3275*$M3275</f>
        <v>0</v>
      </c>
      <c r="AT3275" s="28"/>
      <c r="AU3275" s="28" t="n">
        <f aca="false">AT3275*$M3275</f>
        <v>0</v>
      </c>
      <c r="AV3275" s="28"/>
      <c r="AW3275" s="28" t="n">
        <f aca="false">AV3275*$M3275</f>
        <v>0</v>
      </c>
      <c r="AX3275" s="28"/>
      <c r="AY3275" s="28" t="n">
        <f aca="false">AX3275*$M3275</f>
        <v>0</v>
      </c>
      <c r="AZ3275" s="30" t="n">
        <v>10439</v>
      </c>
      <c r="BA3275" s="11" t="n">
        <v>31317</v>
      </c>
      <c r="BB3275" s="31" t="n">
        <f aca="false">SUM(Q3275,S3275,U3275,W3275,Y3275,AA3275,AC3275,AE3275,AG3275,AI3275,AK3275,AM3275,AO3275,AQ3275,AS3275,AU3275,AW3275,AY3275)</f>
        <v>31317</v>
      </c>
      <c r="BC3275" s="28" t="n">
        <f aca="false">BA3275-BB3275</f>
        <v>0</v>
      </c>
      <c r="BD3275" s="32" t="n">
        <f aca="false">SUM(P3275,R3275,T3275,V3275,X3275,Z3275,AB3275,AD3275,AF3275,AH3275,AJ3275,AL3275,AN3275,AP3275,AR3275,AT3275,AV3275,AX3275)</f>
        <v>10439</v>
      </c>
      <c r="BE3275" s="33" t="n">
        <f aca="false">AZ3275-BD3275</f>
        <v>0</v>
      </c>
      <c r="BF3275" s="34" t="n">
        <f aca="false">BD3275*M3275</f>
        <v>31317</v>
      </c>
      <c r="BG3275" s="35" t="n">
        <f aca="false">BA3275-BF3275</f>
        <v>0</v>
      </c>
      <c r="BH3275" s="19" t="str">
        <f aca="false">IF(BG3275=0,"",IF(BG3275&lt;&gt;BA3275,"erreur de calcul",IF(BD3275&lt;&gt;0,"pas de prix",IF(M3275&lt;&gt; 0,"pas de quantité","pas de prix, ni de quantité"))))</f>
        <v/>
      </c>
      <c r="BI3275" s="19"/>
    </row>
    <row r="3276" customFormat="false" ht="15" hidden="false" customHeight="false" outlineLevel="0" collapsed="false">
      <c r="A3276" s="0" t="n">
        <v>38</v>
      </c>
      <c r="B3276" s="8" t="s">
        <v>24</v>
      </c>
      <c r="C3276" s="9" t="s">
        <v>25</v>
      </c>
      <c r="D3276" s="9" t="s">
        <v>26</v>
      </c>
      <c r="E3276" s="10" t="n">
        <v>1789</v>
      </c>
      <c r="F3276" s="9" t="s">
        <v>27</v>
      </c>
      <c r="G3276" s="9" t="s">
        <v>27</v>
      </c>
      <c r="H3276" s="11" t="n">
        <v>21</v>
      </c>
      <c r="I3276" s="11" t="s">
        <v>191</v>
      </c>
      <c r="J3276" s="14" t="n">
        <v>25</v>
      </c>
      <c r="K3276" s="14"/>
      <c r="L3276" s="16"/>
      <c r="M3276" s="27" t="n">
        <f aca="false">J3276+(K3276/20)+(L3276/240)</f>
        <v>25</v>
      </c>
      <c r="N3276" s="17" t="s">
        <v>64</v>
      </c>
      <c r="O3276" s="11"/>
      <c r="P3276" s="28"/>
      <c r="Q3276" s="28" t="n">
        <f aca="false">P3276*$M3276</f>
        <v>0</v>
      </c>
      <c r="R3276" s="28"/>
      <c r="S3276" s="28" t="n">
        <f aca="false">R3276*$M3276</f>
        <v>0</v>
      </c>
      <c r="T3276" s="28"/>
      <c r="U3276" s="28" t="n">
        <f aca="false">T3276*$M3276</f>
        <v>0</v>
      </c>
      <c r="V3276" s="28"/>
      <c r="W3276" s="28" t="n">
        <f aca="false">V3276*$M3276</f>
        <v>0</v>
      </c>
      <c r="X3276" s="28" t="n">
        <f aca="false">5034/100</f>
        <v>50.34</v>
      </c>
      <c r="Y3276" s="28" t="n">
        <v>1258</v>
      </c>
      <c r="Z3276" s="28"/>
      <c r="AA3276" s="28" t="n">
        <f aca="false">Z3276*$M3276</f>
        <v>0</v>
      </c>
      <c r="AB3276" s="28"/>
      <c r="AC3276" s="28" t="n">
        <f aca="false">AB3276*$M3276</f>
        <v>0</v>
      </c>
      <c r="AD3276" s="28"/>
      <c r="AE3276" s="28" t="n">
        <f aca="false">AD3276*$M3276</f>
        <v>0</v>
      </c>
      <c r="AF3276" s="28"/>
      <c r="AG3276" s="28" t="n">
        <f aca="false">AF3276*$M3276</f>
        <v>0</v>
      </c>
      <c r="AH3276" s="28"/>
      <c r="AI3276" s="28" t="n">
        <f aca="false">AH3276*$M3276</f>
        <v>0</v>
      </c>
      <c r="AJ3276" s="28" t="n">
        <f aca="false">1375/100</f>
        <v>13.75</v>
      </c>
      <c r="AK3276" s="28" t="n">
        <v>344</v>
      </c>
      <c r="AL3276" s="28" t="n">
        <f aca="false">6710/100</f>
        <v>67.1</v>
      </c>
      <c r="AM3276" s="28" t="n">
        <v>1677</v>
      </c>
      <c r="AN3276" s="28"/>
      <c r="AO3276" s="28" t="n">
        <f aca="false">AN3276*$M3276</f>
        <v>0</v>
      </c>
      <c r="AP3276" s="28"/>
      <c r="AQ3276" s="28" t="n">
        <f aca="false">AP3276*$M3276</f>
        <v>0</v>
      </c>
      <c r="AR3276" s="28"/>
      <c r="AS3276" s="28" t="n">
        <f aca="false">AR3276*$M3276</f>
        <v>0</v>
      </c>
      <c r="AT3276" s="28"/>
      <c r="AU3276" s="28" t="n">
        <f aca="false">AT3276*$M3276</f>
        <v>0</v>
      </c>
      <c r="AV3276" s="28"/>
      <c r="AW3276" s="28" t="n">
        <f aca="false">AV3276*$M3276</f>
        <v>0</v>
      </c>
      <c r="AX3276" s="28"/>
      <c r="AY3276" s="28" t="n">
        <f aca="false">AX3276*$M3276</f>
        <v>0</v>
      </c>
      <c r="AZ3276" s="30" t="n">
        <f aca="false">13119/100</f>
        <v>131.19</v>
      </c>
      <c r="BA3276" s="11" t="n">
        <v>3279</v>
      </c>
      <c r="BB3276" s="31" t="n">
        <f aca="false">SUM(Q3276,S3276,U3276,W3276,Y3276,AA3276,AC3276,AE3276,AG3276,AI3276,AK3276,AM3276,AO3276,AQ3276,AS3276,AU3276,AW3276,AY3276)</f>
        <v>3279</v>
      </c>
      <c r="BC3276" s="28" t="n">
        <f aca="false">BA3276-BB3276</f>
        <v>0</v>
      </c>
      <c r="BD3276" s="32" t="n">
        <f aca="false">SUM(P3276,R3276,T3276,V3276,X3276,Z3276,AB3276,AD3276,AF3276,AH3276,AJ3276,AL3276,AN3276,AP3276,AR3276,AT3276,AV3276,AX3276)</f>
        <v>131.19</v>
      </c>
      <c r="BE3276" s="33" t="n">
        <f aca="false">AZ3276-BD3276</f>
        <v>0</v>
      </c>
      <c r="BF3276" s="34" t="n">
        <f aca="false">BD3276*M3276</f>
        <v>3279.75</v>
      </c>
      <c r="BG3276" s="35" t="n">
        <f aca="false">BA3276-BF3276</f>
        <v>-0.75</v>
      </c>
      <c r="BH3276" s="19" t="str">
        <f aca="false">IF(BG3276=0,"",IF(BG3276&lt;&gt;BA3276,"erreur de calcul",IF(BD3276&lt;&gt;0,"pas de prix",IF(M3276&lt;&gt; 0,"pas de quantité","pas de prix, ni de quantité"))))</f>
        <v>erreur de calcul</v>
      </c>
      <c r="BI3276" s="19"/>
    </row>
    <row r="3277" customFormat="false" ht="15" hidden="false" customHeight="false" outlineLevel="0" collapsed="false">
      <c r="A3277" s="0" t="n">
        <v>39</v>
      </c>
      <c r="B3277" s="8" t="s">
        <v>24</v>
      </c>
      <c r="C3277" s="9" t="s">
        <v>25</v>
      </c>
      <c r="D3277" s="9" t="s">
        <v>26</v>
      </c>
      <c r="E3277" s="10" t="n">
        <v>1789</v>
      </c>
      <c r="F3277" s="9" t="s">
        <v>27</v>
      </c>
      <c r="G3277" s="9" t="s">
        <v>27</v>
      </c>
      <c r="H3277" s="11" t="n">
        <v>21</v>
      </c>
      <c r="I3277" s="11" t="s">
        <v>192</v>
      </c>
      <c r="J3277" s="14" t="n">
        <v>25</v>
      </c>
      <c r="K3277" s="14"/>
      <c r="L3277" s="16"/>
      <c r="M3277" s="27" t="n">
        <f aca="false">J3277+(K3277/20)+(L3277/240)</f>
        <v>25</v>
      </c>
      <c r="N3277" s="17" t="s">
        <v>64</v>
      </c>
      <c r="O3277" s="11"/>
      <c r="P3277" s="28"/>
      <c r="Q3277" s="28" t="n">
        <f aca="false">P3277*$M3277</f>
        <v>0</v>
      </c>
      <c r="R3277" s="28"/>
      <c r="S3277" s="28" t="n">
        <f aca="false">R3277*$M3277</f>
        <v>0</v>
      </c>
      <c r="T3277" s="28"/>
      <c r="U3277" s="28" t="n">
        <f aca="false">T3277*$M3277</f>
        <v>0</v>
      </c>
      <c r="V3277" s="28"/>
      <c r="W3277" s="28" t="n">
        <f aca="false">V3277*$M3277</f>
        <v>0</v>
      </c>
      <c r="X3277" s="28" t="n">
        <f aca="false">5561/100</f>
        <v>55.61</v>
      </c>
      <c r="Y3277" s="28" t="n">
        <v>1390</v>
      </c>
      <c r="Z3277" s="28"/>
      <c r="AA3277" s="28" t="n">
        <f aca="false">Z3277*$M3277</f>
        <v>0</v>
      </c>
      <c r="AB3277" s="28"/>
      <c r="AC3277" s="28" t="n">
        <f aca="false">AB3277*$M3277</f>
        <v>0</v>
      </c>
      <c r="AD3277" s="28"/>
      <c r="AE3277" s="28" t="n">
        <f aca="false">AD3277*$M3277</f>
        <v>0</v>
      </c>
      <c r="AF3277" s="28"/>
      <c r="AG3277" s="28" t="n">
        <f aca="false">AF3277*$M3277</f>
        <v>0</v>
      </c>
      <c r="AH3277" s="28"/>
      <c r="AI3277" s="28" t="n">
        <f aca="false">AH3277*$M3277</f>
        <v>0</v>
      </c>
      <c r="AJ3277" s="28"/>
      <c r="AK3277" s="28" t="n">
        <f aca="false">AJ3277*$M3277</f>
        <v>0</v>
      </c>
      <c r="AL3277" s="28"/>
      <c r="AM3277" s="28" t="n">
        <f aca="false">AL3277*$M3277</f>
        <v>0</v>
      </c>
      <c r="AN3277" s="28"/>
      <c r="AO3277" s="28" t="n">
        <f aca="false">AN3277*$M3277</f>
        <v>0</v>
      </c>
      <c r="AP3277" s="28"/>
      <c r="AQ3277" s="28" t="n">
        <f aca="false">AP3277*$M3277</f>
        <v>0</v>
      </c>
      <c r="AR3277" s="28"/>
      <c r="AS3277" s="28" t="n">
        <f aca="false">AR3277*$M3277</f>
        <v>0</v>
      </c>
      <c r="AT3277" s="28"/>
      <c r="AU3277" s="28" t="n">
        <f aca="false">AT3277*$M3277</f>
        <v>0</v>
      </c>
      <c r="AV3277" s="28"/>
      <c r="AW3277" s="28" t="n">
        <f aca="false">AV3277*$M3277</f>
        <v>0</v>
      </c>
      <c r="AX3277" s="28"/>
      <c r="AY3277" s="28" t="n">
        <f aca="false">AX3277*$M3277</f>
        <v>0</v>
      </c>
      <c r="AZ3277" s="30" t="n">
        <f aca="false">5561/100</f>
        <v>55.61</v>
      </c>
      <c r="BA3277" s="11" t="n">
        <v>1390</v>
      </c>
      <c r="BB3277" s="31" t="n">
        <f aca="false">SUM(Q3277,S3277,U3277,W3277,Y3277,AA3277,AC3277,AE3277,AG3277,AI3277,AK3277,AM3277,AO3277,AQ3277,AS3277,AU3277,AW3277,AY3277)</f>
        <v>1390</v>
      </c>
      <c r="BC3277" s="28" t="n">
        <f aca="false">BA3277-BB3277</f>
        <v>0</v>
      </c>
      <c r="BD3277" s="32" t="n">
        <f aca="false">SUM(P3277,R3277,T3277,V3277,X3277,Z3277,AB3277,AD3277,AF3277,AH3277,AJ3277,AL3277,AN3277,AP3277,AR3277,AT3277,AV3277,AX3277)</f>
        <v>55.61</v>
      </c>
      <c r="BE3277" s="33" t="n">
        <f aca="false">AZ3277-BD3277</f>
        <v>0</v>
      </c>
      <c r="BF3277" s="34" t="n">
        <f aca="false">BD3277*M3277</f>
        <v>1390.25</v>
      </c>
      <c r="BG3277" s="35" t="n">
        <f aca="false">BA3277-BF3277</f>
        <v>-0.25</v>
      </c>
      <c r="BH3277" s="19" t="str">
        <f aca="false">IF(BG3277=0,"",IF(BG3277&lt;&gt;BA3277,"erreur de calcul",IF(BD3277&lt;&gt;0,"pas de prix",IF(M3277&lt;&gt; 0,"pas de quantité","pas de prix, ni de quantité"))))</f>
        <v>erreur de calcul</v>
      </c>
      <c r="BI3277" s="19"/>
    </row>
    <row r="3278" customFormat="false" ht="15" hidden="false" customHeight="false" outlineLevel="0" collapsed="false">
      <c r="A3278" s="0" t="n">
        <v>40</v>
      </c>
      <c r="B3278" s="8" t="s">
        <v>24</v>
      </c>
      <c r="C3278" s="9" t="s">
        <v>25</v>
      </c>
      <c r="D3278" s="9" t="s">
        <v>26</v>
      </c>
      <c r="E3278" s="10" t="n">
        <v>1789</v>
      </c>
      <c r="F3278" s="9" t="s">
        <v>27</v>
      </c>
      <c r="G3278" s="9" t="s">
        <v>27</v>
      </c>
      <c r="H3278" s="11" t="n">
        <v>21</v>
      </c>
      <c r="I3278" s="11" t="s">
        <v>193</v>
      </c>
      <c r="J3278" s="14" t="n">
        <v>168</v>
      </c>
      <c r="K3278" s="14"/>
      <c r="L3278" s="16"/>
      <c r="M3278" s="27" t="n">
        <f aca="false">J3278+(K3278/20)+(L3278/240)</f>
        <v>168</v>
      </c>
      <c r="N3278" s="17" t="s">
        <v>64</v>
      </c>
      <c r="O3278" s="11"/>
      <c r="P3278" s="28"/>
      <c r="Q3278" s="28" t="n">
        <f aca="false">P3278*$M3278</f>
        <v>0</v>
      </c>
      <c r="R3278" s="28"/>
      <c r="S3278" s="28" t="n">
        <f aca="false">R3278*$M3278</f>
        <v>0</v>
      </c>
      <c r="T3278" s="28"/>
      <c r="U3278" s="28" t="n">
        <f aca="false">T3278*$M3278</f>
        <v>0</v>
      </c>
      <c r="V3278" s="28"/>
      <c r="W3278" s="28" t="n">
        <f aca="false">V3278*$M3278</f>
        <v>0</v>
      </c>
      <c r="X3278" s="28"/>
      <c r="Y3278" s="28" t="n">
        <f aca="false">X3278*$M3278</f>
        <v>0</v>
      </c>
      <c r="Z3278" s="28"/>
      <c r="AA3278" s="28" t="n">
        <f aca="false">Z3278*$M3278</f>
        <v>0</v>
      </c>
      <c r="AB3278" s="28"/>
      <c r="AC3278" s="28" t="n">
        <f aca="false">AB3278*$M3278</f>
        <v>0</v>
      </c>
      <c r="AD3278" s="28"/>
      <c r="AE3278" s="28" t="n">
        <f aca="false">AD3278*$M3278</f>
        <v>0</v>
      </c>
      <c r="AF3278" s="28"/>
      <c r="AG3278" s="28" t="n">
        <f aca="false">AF3278*$M3278</f>
        <v>0</v>
      </c>
      <c r="AH3278" s="28" t="n">
        <f aca="false">14590/100</f>
        <v>145.9</v>
      </c>
      <c r="AI3278" s="28" t="n">
        <v>24511</v>
      </c>
      <c r="AJ3278" s="28"/>
      <c r="AK3278" s="28" t="n">
        <f aca="false">AJ3278*$M3278</f>
        <v>0</v>
      </c>
      <c r="AL3278" s="28"/>
      <c r="AM3278" s="28" t="n">
        <f aca="false">AL3278*$M3278</f>
        <v>0</v>
      </c>
      <c r="AN3278" s="28"/>
      <c r="AO3278" s="28" t="n">
        <f aca="false">AN3278*$M3278</f>
        <v>0</v>
      </c>
      <c r="AP3278" s="28"/>
      <c r="AQ3278" s="28" t="n">
        <f aca="false">AP3278*$M3278</f>
        <v>0</v>
      </c>
      <c r="AR3278" s="28"/>
      <c r="AS3278" s="28" t="n">
        <f aca="false">AR3278*$M3278</f>
        <v>0</v>
      </c>
      <c r="AT3278" s="28"/>
      <c r="AU3278" s="28" t="n">
        <f aca="false">AT3278*$M3278</f>
        <v>0</v>
      </c>
      <c r="AV3278" s="28"/>
      <c r="AW3278" s="28" t="n">
        <f aca="false">AV3278*$M3278</f>
        <v>0</v>
      </c>
      <c r="AX3278" s="28"/>
      <c r="AY3278" s="28" t="n">
        <f aca="false">AX3278*$M3278</f>
        <v>0</v>
      </c>
      <c r="AZ3278" s="30" t="n">
        <f aca="false">14590/100</f>
        <v>145.9</v>
      </c>
      <c r="BA3278" s="11" t="n">
        <v>24511</v>
      </c>
      <c r="BB3278" s="31" t="n">
        <f aca="false">SUM(Q3278,S3278,U3278,W3278,Y3278,AA3278,AC3278,AE3278,AG3278,AI3278,AK3278,AM3278,AO3278,AQ3278,AS3278,AU3278,AW3278,AY3278)</f>
        <v>24511</v>
      </c>
      <c r="BC3278" s="28" t="n">
        <f aca="false">BA3278-BB3278</f>
        <v>0</v>
      </c>
      <c r="BD3278" s="32" t="n">
        <f aca="false">SUM(P3278,R3278,T3278,V3278,X3278,Z3278,AB3278,AD3278,AF3278,AH3278,AJ3278,AL3278,AN3278,AP3278,AR3278,AT3278,AV3278,AX3278)</f>
        <v>145.9</v>
      </c>
      <c r="BE3278" s="33" t="n">
        <f aca="false">AZ3278-BD3278</f>
        <v>0</v>
      </c>
      <c r="BF3278" s="34" t="n">
        <f aca="false">BD3278*M3278</f>
        <v>24511.2</v>
      </c>
      <c r="BG3278" s="35" t="n">
        <f aca="false">BA3278-BF3278</f>
        <v>-0.200000000000728</v>
      </c>
      <c r="BH3278" s="19" t="str">
        <f aca="false">IF(BG3278=0,"",IF(BG3278&lt;&gt;BA3278,"erreur de calcul",IF(BD3278&lt;&gt;0,"pas de prix",IF(M3278&lt;&gt; 0,"pas de quantité","pas de prix, ni de quantité"))))</f>
        <v>erreur de calcul</v>
      </c>
      <c r="BI3278" s="19"/>
    </row>
    <row r="3279" customFormat="false" ht="15" hidden="false" customHeight="false" outlineLevel="0" collapsed="false">
      <c r="A3279" s="0" t="n">
        <v>41</v>
      </c>
      <c r="B3279" s="8" t="s">
        <v>24</v>
      </c>
      <c r="C3279" s="9" t="s">
        <v>25</v>
      </c>
      <c r="D3279" s="9" t="s">
        <v>26</v>
      </c>
      <c r="E3279" s="10" t="n">
        <v>1789</v>
      </c>
      <c r="F3279" s="9" t="s">
        <v>27</v>
      </c>
      <c r="G3279" s="9" t="s">
        <v>27</v>
      </c>
      <c r="H3279" s="11" t="n">
        <v>21</v>
      </c>
      <c r="I3279" s="11" t="s">
        <v>194</v>
      </c>
      <c r="J3279" s="14" t="n">
        <v>120</v>
      </c>
      <c r="K3279" s="14"/>
      <c r="L3279" s="16"/>
      <c r="M3279" s="27" t="n">
        <f aca="false">J3279+(K3279/20)+(L3279/240)</f>
        <v>120</v>
      </c>
      <c r="N3279" s="17" t="s">
        <v>64</v>
      </c>
      <c r="O3279" s="11"/>
      <c r="P3279" s="28"/>
      <c r="Q3279" s="28" t="n">
        <f aca="false">P3279*$M3279</f>
        <v>0</v>
      </c>
      <c r="R3279" s="28"/>
      <c r="S3279" s="28" t="n">
        <f aca="false">R3279*$M3279</f>
        <v>0</v>
      </c>
      <c r="T3279" s="28"/>
      <c r="U3279" s="28" t="n">
        <f aca="false">T3279*$M3279</f>
        <v>0</v>
      </c>
      <c r="V3279" s="28"/>
      <c r="W3279" s="28" t="n">
        <f aca="false">V3279*$M3279</f>
        <v>0</v>
      </c>
      <c r="X3279" s="28"/>
      <c r="Y3279" s="28" t="n">
        <f aca="false">X3279*$M3279</f>
        <v>0</v>
      </c>
      <c r="Z3279" s="28"/>
      <c r="AA3279" s="28" t="n">
        <f aca="false">Z3279*$M3279</f>
        <v>0</v>
      </c>
      <c r="AB3279" s="28" t="n">
        <f aca="false">6930/100</f>
        <v>69.3</v>
      </c>
      <c r="AC3279" s="28" t="n">
        <v>8316</v>
      </c>
      <c r="AD3279" s="28"/>
      <c r="AE3279" s="28" t="n">
        <f aca="false">AD3279*$M3279</f>
        <v>0</v>
      </c>
      <c r="AF3279" s="28"/>
      <c r="AG3279" s="28" t="n">
        <f aca="false">AF3279*$M3279</f>
        <v>0</v>
      </c>
      <c r="AH3279" s="28"/>
      <c r="AI3279" s="28" t="n">
        <f aca="false">AH3279*$M3279</f>
        <v>0</v>
      </c>
      <c r="AJ3279" s="28"/>
      <c r="AK3279" s="28" t="n">
        <f aca="false">AJ3279*$M3279</f>
        <v>0</v>
      </c>
      <c r="AL3279" s="28"/>
      <c r="AM3279" s="28" t="n">
        <f aca="false">AL3279*$M3279</f>
        <v>0</v>
      </c>
      <c r="AN3279" s="28"/>
      <c r="AO3279" s="28" t="n">
        <f aca="false">AN3279*$M3279</f>
        <v>0</v>
      </c>
      <c r="AP3279" s="28"/>
      <c r="AQ3279" s="28" t="n">
        <f aca="false">AP3279*$M3279</f>
        <v>0</v>
      </c>
      <c r="AR3279" s="28"/>
      <c r="AS3279" s="28" t="n">
        <f aca="false">AR3279*$M3279</f>
        <v>0</v>
      </c>
      <c r="AT3279" s="28"/>
      <c r="AU3279" s="28" t="n">
        <f aca="false">AT3279*$M3279</f>
        <v>0</v>
      </c>
      <c r="AV3279" s="28"/>
      <c r="AW3279" s="28" t="n">
        <f aca="false">AV3279*$M3279</f>
        <v>0</v>
      </c>
      <c r="AX3279" s="28"/>
      <c r="AY3279" s="28" t="n">
        <f aca="false">AX3279*$M3279</f>
        <v>0</v>
      </c>
      <c r="AZ3279" s="30" t="n">
        <f aca="false">6930/100</f>
        <v>69.3</v>
      </c>
      <c r="BA3279" s="11" t="n">
        <v>8316</v>
      </c>
      <c r="BB3279" s="31" t="n">
        <f aca="false">SUM(Q3279,S3279,U3279,W3279,Y3279,AA3279,AC3279,AE3279,AG3279,AI3279,AK3279,AM3279,AO3279,AQ3279,AS3279,AU3279,AW3279,AY3279)</f>
        <v>8316</v>
      </c>
      <c r="BC3279" s="28" t="n">
        <f aca="false">BA3279-BB3279</f>
        <v>0</v>
      </c>
      <c r="BD3279" s="32" t="n">
        <f aca="false">SUM(P3279,R3279,T3279,V3279,X3279,Z3279,AB3279,AD3279,AF3279,AH3279,AJ3279,AL3279,AN3279,AP3279,AR3279,AT3279,AV3279,AX3279)</f>
        <v>69.3</v>
      </c>
      <c r="BE3279" s="33" t="n">
        <f aca="false">AZ3279-BD3279</f>
        <v>0</v>
      </c>
      <c r="BF3279" s="34" t="n">
        <f aca="false">BD3279*M3279</f>
        <v>8316</v>
      </c>
      <c r="BG3279" s="35" t="n">
        <f aca="false">BA3279-BF3279</f>
        <v>0</v>
      </c>
      <c r="BH3279" s="19" t="str">
        <f aca="false">IF(BG3279=0,"",IF(BG3279&lt;&gt;BA3279,"erreur de calcul",IF(BD3279&lt;&gt;0,"pas de prix",IF(M3279&lt;&gt; 0,"pas de quantité","pas de prix, ni de quantité"))))</f>
        <v/>
      </c>
      <c r="BI3279" s="19"/>
    </row>
    <row r="3280" customFormat="false" ht="16.65" hidden="false" customHeight="false" outlineLevel="0" collapsed="false">
      <c r="A3280" s="0" t="n">
        <v>42</v>
      </c>
      <c r="B3280" s="8" t="s">
        <v>24</v>
      </c>
      <c r="C3280" s="9" t="s">
        <v>25</v>
      </c>
      <c r="D3280" s="9" t="s">
        <v>26</v>
      </c>
      <c r="E3280" s="10" t="n">
        <v>1789</v>
      </c>
      <c r="F3280" s="9" t="s">
        <v>27</v>
      </c>
      <c r="G3280" s="9" t="s">
        <v>27</v>
      </c>
      <c r="H3280" s="11" t="n">
        <v>21</v>
      </c>
      <c r="I3280" s="11" t="s">
        <v>195</v>
      </c>
      <c r="J3280" s="14" t="n">
        <v>70</v>
      </c>
      <c r="K3280" s="14"/>
      <c r="L3280" s="16"/>
      <c r="M3280" s="27" t="n">
        <f aca="false">J3280+(K3280/20)+(L3280/240)</f>
        <v>70</v>
      </c>
      <c r="N3280" s="17" t="s">
        <v>64</v>
      </c>
      <c r="O3280" s="11"/>
      <c r="P3280" s="28"/>
      <c r="Q3280" s="28" t="n">
        <f aca="false">P3280*$M3280</f>
        <v>0</v>
      </c>
      <c r="R3280" s="28"/>
      <c r="S3280" s="28" t="n">
        <f aca="false">R3280*$M3280</f>
        <v>0</v>
      </c>
      <c r="T3280" s="28"/>
      <c r="U3280" s="28" t="n">
        <f aca="false">T3280*$M3280</f>
        <v>0</v>
      </c>
      <c r="V3280" s="28"/>
      <c r="W3280" s="28" t="n">
        <f aca="false">V3280*$M3280</f>
        <v>0</v>
      </c>
      <c r="X3280" s="28"/>
      <c r="Y3280" s="28" t="n">
        <f aca="false">X3280*$M3280</f>
        <v>0</v>
      </c>
      <c r="Z3280" s="28"/>
      <c r="AA3280" s="28" t="n">
        <f aca="false">Z3280*$M3280</f>
        <v>0</v>
      </c>
      <c r="AB3280" s="28"/>
      <c r="AC3280" s="28" t="n">
        <f aca="false">AB3280*$M3280</f>
        <v>0</v>
      </c>
      <c r="AD3280" s="28"/>
      <c r="AE3280" s="28" t="n">
        <f aca="false">AD3280*$M3280</f>
        <v>0</v>
      </c>
      <c r="AF3280" s="28"/>
      <c r="AG3280" s="28" t="n">
        <f aca="false">AF3280*$M3280</f>
        <v>0</v>
      </c>
      <c r="AH3280" s="28"/>
      <c r="AI3280" s="28" t="n">
        <f aca="false">AH3280*$M3280</f>
        <v>0</v>
      </c>
      <c r="AJ3280" s="28"/>
      <c r="AK3280" s="28" t="n">
        <f aca="false">AJ3280*$M3280</f>
        <v>0</v>
      </c>
      <c r="AL3280" s="28"/>
      <c r="AM3280" s="28" t="n">
        <f aca="false">AL3280*$M3280</f>
        <v>0</v>
      </c>
      <c r="AN3280" s="28" t="n">
        <f aca="false">13200/100</f>
        <v>132</v>
      </c>
      <c r="AO3280" s="28" t="n">
        <v>9240</v>
      </c>
      <c r="AP3280" s="28"/>
      <c r="AQ3280" s="28" t="n">
        <f aca="false">AP3280*$M3280</f>
        <v>0</v>
      </c>
      <c r="AR3280" s="28"/>
      <c r="AS3280" s="28" t="n">
        <f aca="false">AR3280*$M3280</f>
        <v>0</v>
      </c>
      <c r="AT3280" s="28"/>
      <c r="AU3280" s="28" t="n">
        <f aca="false">AT3280*$M3280</f>
        <v>0</v>
      </c>
      <c r="AV3280" s="28"/>
      <c r="AW3280" s="28" t="n">
        <f aca="false">AV3280*$M3280</f>
        <v>0</v>
      </c>
      <c r="AX3280" s="28"/>
      <c r="AY3280" s="28" t="n">
        <f aca="false">AX3280*$M3280</f>
        <v>0</v>
      </c>
      <c r="AZ3280" s="30" t="n">
        <f aca="false">13200/100</f>
        <v>132</v>
      </c>
      <c r="BA3280" s="11" t="n">
        <v>9240</v>
      </c>
      <c r="BB3280" s="31" t="n">
        <f aca="false">SUM(Q3280,S3280,U3280,W3280,Y3280,AA3280,AC3280,AE3280,AG3280,AI3280,AK3280,AM3280,AO3280,AQ3280,AS3280,AU3280,AW3280,AY3280)</f>
        <v>9240</v>
      </c>
      <c r="BC3280" s="28" t="n">
        <f aca="false">BA3280-BB3280</f>
        <v>0</v>
      </c>
      <c r="BD3280" s="32" t="n">
        <f aca="false">SUM(P3280,R3280,T3280,V3280,X3280,Z3280,AB3280,AD3280,AF3280,AH3280,AJ3280,AL3280,AN3280,AP3280,AR3280,AT3280,AV3280,AX3280)</f>
        <v>132</v>
      </c>
      <c r="BE3280" s="33" t="n">
        <f aca="false">AZ3280-BD3280</f>
        <v>0</v>
      </c>
      <c r="BF3280" s="34" t="n">
        <f aca="false">BD3280*M3280</f>
        <v>9240</v>
      </c>
      <c r="BG3280" s="35" t="n">
        <f aca="false">BA3280-BF3280</f>
        <v>0</v>
      </c>
      <c r="BH3280" s="19" t="str">
        <f aca="false">IF(BG3280=0,"",IF(BG3280&lt;&gt;BA3280,"erreur de calcul",IF(BD3280&lt;&gt;0,"pas de prix",IF(M3280&lt;&gt; 0,"pas de quantité","pas de prix, ni de quantité"))))</f>
        <v/>
      </c>
      <c r="BI3280" s="19"/>
    </row>
    <row r="3281" customFormat="false" ht="15" hidden="false" customHeight="false" outlineLevel="0" collapsed="false">
      <c r="A3281" s="0" t="n">
        <v>43</v>
      </c>
      <c r="B3281" s="8" t="s">
        <v>24</v>
      </c>
      <c r="C3281" s="9" t="s">
        <v>25</v>
      </c>
      <c r="D3281" s="9" t="s">
        <v>26</v>
      </c>
      <c r="E3281" s="10" t="n">
        <v>1789</v>
      </c>
      <c r="F3281" s="9" t="s">
        <v>27</v>
      </c>
      <c r="G3281" s="9" t="s">
        <v>27</v>
      </c>
      <c r="H3281" s="11" t="n">
        <v>21</v>
      </c>
      <c r="I3281" s="11" t="s">
        <v>196</v>
      </c>
      <c r="J3281" s="14" t="n">
        <v>65</v>
      </c>
      <c r="K3281" s="14"/>
      <c r="L3281" s="16"/>
      <c r="M3281" s="27" t="n">
        <f aca="false">J3281+(K3281/20)+(L3281/240)</f>
        <v>65</v>
      </c>
      <c r="N3281" s="17" t="s">
        <v>64</v>
      </c>
      <c r="O3281" s="11"/>
      <c r="P3281" s="28"/>
      <c r="Q3281" s="28" t="n">
        <f aca="false">P3281*$M3281</f>
        <v>0</v>
      </c>
      <c r="R3281" s="28"/>
      <c r="S3281" s="28" t="n">
        <f aca="false">R3281*$M3281</f>
        <v>0</v>
      </c>
      <c r="T3281" s="28"/>
      <c r="U3281" s="28" t="n">
        <f aca="false">T3281*$M3281</f>
        <v>0</v>
      </c>
      <c r="V3281" s="28"/>
      <c r="W3281" s="28" t="n">
        <f aca="false">V3281*$M3281</f>
        <v>0</v>
      </c>
      <c r="X3281" s="28" t="n">
        <f aca="false">44247/100</f>
        <v>442.47</v>
      </c>
      <c r="Y3281" s="28" t="n">
        <v>28760</v>
      </c>
      <c r="Z3281" s="28" t="n">
        <f aca="false">1906/100</f>
        <v>19.06</v>
      </c>
      <c r="AA3281" s="28" t="n">
        <v>1239</v>
      </c>
      <c r="AB3281" s="28"/>
      <c r="AC3281" s="28" t="n">
        <f aca="false">AB3281*$M3281</f>
        <v>0</v>
      </c>
      <c r="AD3281" s="28"/>
      <c r="AE3281" s="28" t="n">
        <f aca="false">AD3281*$M3281</f>
        <v>0</v>
      </c>
      <c r="AF3281" s="28"/>
      <c r="AG3281" s="28" t="n">
        <f aca="false">AF3281*$M3281</f>
        <v>0</v>
      </c>
      <c r="AH3281" s="28"/>
      <c r="AI3281" s="28" t="n">
        <f aca="false">AH3281*$M3281</f>
        <v>0</v>
      </c>
      <c r="AJ3281" s="28" t="n">
        <f aca="false">625/100</f>
        <v>6.25</v>
      </c>
      <c r="AK3281" s="28" t="n">
        <v>406</v>
      </c>
      <c r="AL3281" s="28"/>
      <c r="AM3281" s="28" t="n">
        <f aca="false">AL3281*$M3281</f>
        <v>0</v>
      </c>
      <c r="AN3281" s="28"/>
      <c r="AO3281" s="28" t="n">
        <f aca="false">AN3281*$M3281</f>
        <v>0</v>
      </c>
      <c r="AP3281" s="28"/>
      <c r="AQ3281" s="28" t="n">
        <f aca="false">AP3281*$M3281</f>
        <v>0</v>
      </c>
      <c r="AR3281" s="28"/>
      <c r="AS3281" s="28" t="n">
        <f aca="false">AR3281*$M3281</f>
        <v>0</v>
      </c>
      <c r="AT3281" s="28"/>
      <c r="AU3281" s="28" t="n">
        <f aca="false">AT3281*$M3281</f>
        <v>0</v>
      </c>
      <c r="AV3281" s="28"/>
      <c r="AW3281" s="28" t="n">
        <f aca="false">AV3281*$M3281</f>
        <v>0</v>
      </c>
      <c r="AX3281" s="28"/>
      <c r="AY3281" s="28" t="n">
        <f aca="false">AX3281*$M3281</f>
        <v>0</v>
      </c>
      <c r="AZ3281" s="30" t="n">
        <f aca="false">46778/100</f>
        <v>467.78</v>
      </c>
      <c r="BA3281" s="11" t="n">
        <v>30405</v>
      </c>
      <c r="BB3281" s="31" t="n">
        <f aca="false">SUM(Q3281,S3281,U3281,W3281,Y3281,AA3281,AC3281,AE3281,AG3281,AI3281,AK3281,AM3281,AO3281,AQ3281,AS3281,AU3281,AW3281,AY3281)</f>
        <v>30405</v>
      </c>
      <c r="BC3281" s="28" t="n">
        <f aca="false">BA3281-BB3281</f>
        <v>0</v>
      </c>
      <c r="BD3281" s="32" t="n">
        <f aca="false">SUM(P3281,R3281,T3281,V3281,X3281,Z3281,AB3281,AD3281,AF3281,AH3281,AJ3281,AL3281,AN3281,AP3281,AR3281,AT3281,AV3281,AX3281)</f>
        <v>467.78</v>
      </c>
      <c r="BE3281" s="33" t="n">
        <f aca="false">AZ3281-BD3281</f>
        <v>0</v>
      </c>
      <c r="BF3281" s="34" t="n">
        <f aca="false">BD3281*M3281</f>
        <v>30405.7</v>
      </c>
      <c r="BG3281" s="35" t="n">
        <f aca="false">BA3281-BF3281</f>
        <v>-0.700000000000728</v>
      </c>
      <c r="BH3281" s="19" t="str">
        <f aca="false">IF(BG3281=0,"",IF(BG3281&lt;&gt;BA3281,"erreur de calcul",IF(BD3281&lt;&gt;0,"pas de prix",IF(M3281&lt;&gt; 0,"pas de quantité","pas de prix, ni de quantité"))))</f>
        <v>erreur de calcul</v>
      </c>
      <c r="BI3281" s="19"/>
    </row>
    <row r="3282" customFormat="false" ht="15" hidden="false" customHeight="false" outlineLevel="0" collapsed="false">
      <c r="A3282" s="0" t="n">
        <v>44</v>
      </c>
      <c r="B3282" s="8" t="s">
        <v>24</v>
      </c>
      <c r="C3282" s="9" t="s">
        <v>25</v>
      </c>
      <c r="D3282" s="9" t="s">
        <v>26</v>
      </c>
      <c r="E3282" s="10" t="n">
        <v>1789</v>
      </c>
      <c r="F3282" s="9" t="s">
        <v>27</v>
      </c>
      <c r="G3282" s="9" t="s">
        <v>27</v>
      </c>
      <c r="H3282" s="11" t="n">
        <v>21</v>
      </c>
      <c r="I3282" s="11" t="s">
        <v>197</v>
      </c>
      <c r="J3282" s="14" t="n">
        <v>70</v>
      </c>
      <c r="K3282" s="14"/>
      <c r="L3282" s="16"/>
      <c r="M3282" s="27" t="n">
        <f aca="false">J3282+(K3282/20)+(L3282/240)</f>
        <v>70</v>
      </c>
      <c r="N3282" s="17" t="s">
        <v>64</v>
      </c>
      <c r="O3282" s="11"/>
      <c r="P3282" s="28"/>
      <c r="Q3282" s="28" t="n">
        <f aca="false">P3282*$M3282</f>
        <v>0</v>
      </c>
      <c r="R3282" s="28"/>
      <c r="S3282" s="28" t="n">
        <f aca="false">R3282*$M3282</f>
        <v>0</v>
      </c>
      <c r="T3282" s="28"/>
      <c r="U3282" s="28" t="n">
        <f aca="false">T3282*$M3282</f>
        <v>0</v>
      </c>
      <c r="V3282" s="28"/>
      <c r="W3282" s="28" t="n">
        <f aca="false">V3282*$M3282</f>
        <v>0</v>
      </c>
      <c r="X3282" s="28"/>
      <c r="Y3282" s="28" t="n">
        <f aca="false">X3282*$M3282</f>
        <v>0</v>
      </c>
      <c r="Z3282" s="28"/>
      <c r="AA3282" s="28" t="n">
        <f aca="false">Z3282*$M3282</f>
        <v>0</v>
      </c>
      <c r="AB3282" s="28"/>
      <c r="AC3282" s="28" t="n">
        <f aca="false">AB3282*$M3282</f>
        <v>0</v>
      </c>
      <c r="AD3282" s="28"/>
      <c r="AE3282" s="28" t="n">
        <f aca="false">AD3282*$M3282</f>
        <v>0</v>
      </c>
      <c r="AF3282" s="28"/>
      <c r="AG3282" s="28" t="n">
        <f aca="false">AF3282*$M3282</f>
        <v>0</v>
      </c>
      <c r="AH3282" s="28" t="n">
        <f aca="false">156436/100</f>
        <v>1564.36</v>
      </c>
      <c r="AI3282" s="28" t="n">
        <v>109505</v>
      </c>
      <c r="AJ3282" s="28"/>
      <c r="AK3282" s="28" t="n">
        <f aca="false">AJ3282*$M3282</f>
        <v>0</v>
      </c>
      <c r="AL3282" s="28"/>
      <c r="AM3282" s="28" t="n">
        <f aca="false">AL3282*$M3282</f>
        <v>0</v>
      </c>
      <c r="AN3282" s="28"/>
      <c r="AO3282" s="28" t="n">
        <f aca="false">AN3282*$M3282</f>
        <v>0</v>
      </c>
      <c r="AP3282" s="28"/>
      <c r="AQ3282" s="28" t="n">
        <f aca="false">AP3282*$M3282</f>
        <v>0</v>
      </c>
      <c r="AR3282" s="28"/>
      <c r="AS3282" s="28" t="n">
        <f aca="false">AR3282*$M3282</f>
        <v>0</v>
      </c>
      <c r="AT3282" s="28"/>
      <c r="AU3282" s="28" t="n">
        <f aca="false">AT3282*$M3282</f>
        <v>0</v>
      </c>
      <c r="AV3282" s="28"/>
      <c r="AW3282" s="28" t="n">
        <f aca="false">AV3282*$M3282</f>
        <v>0</v>
      </c>
      <c r="AX3282" s="28"/>
      <c r="AY3282" s="28" t="n">
        <f aca="false">AX3282*$M3282</f>
        <v>0</v>
      </c>
      <c r="AZ3282" s="30" t="n">
        <f aca="false">156436/100</f>
        <v>1564.36</v>
      </c>
      <c r="BA3282" s="11" t="n">
        <v>109505</v>
      </c>
      <c r="BB3282" s="31" t="n">
        <f aca="false">SUM(Q3282,S3282,U3282,W3282,Y3282,AA3282,AC3282,AE3282,AG3282,AI3282,AK3282,AM3282,AO3282,AQ3282,AS3282,AU3282,AW3282,AY3282)</f>
        <v>109505</v>
      </c>
      <c r="BC3282" s="28" t="n">
        <f aca="false">BA3282-BB3282</f>
        <v>0</v>
      </c>
      <c r="BD3282" s="32" t="n">
        <f aca="false">SUM(P3282,R3282,T3282,V3282,X3282,Z3282,AB3282,AD3282,AF3282,AH3282,AJ3282,AL3282,AN3282,AP3282,AR3282,AT3282,AV3282,AX3282)</f>
        <v>1564.36</v>
      </c>
      <c r="BE3282" s="33" t="n">
        <f aca="false">AZ3282-BD3282</f>
        <v>0</v>
      </c>
      <c r="BF3282" s="34" t="n">
        <f aca="false">BD3282*M3282</f>
        <v>109505.2</v>
      </c>
      <c r="BG3282" s="35" t="n">
        <f aca="false">BA3282-BF3282</f>
        <v>-0.19999999999709</v>
      </c>
      <c r="BH3282" s="19" t="str">
        <f aca="false">IF(BG3282=0,"",IF(BG3282&lt;&gt;BA3282,"erreur de calcul",IF(BD3282&lt;&gt;0,"pas de prix",IF(M3282&lt;&gt; 0,"pas de quantité","pas de prix, ni de quantité"))))</f>
        <v>erreur de calcul</v>
      </c>
      <c r="BI3282" s="19"/>
    </row>
    <row r="3283" customFormat="false" ht="15" hidden="false" customHeight="false" outlineLevel="0" collapsed="false">
      <c r="A3283" s="0" t="n">
        <v>45</v>
      </c>
      <c r="B3283" s="8" t="s">
        <v>24</v>
      </c>
      <c r="C3283" s="9" t="s">
        <v>25</v>
      </c>
      <c r="D3283" s="9" t="s">
        <v>26</v>
      </c>
      <c r="E3283" s="10" t="n">
        <v>1789</v>
      </c>
      <c r="F3283" s="9" t="s">
        <v>27</v>
      </c>
      <c r="G3283" s="9" t="s">
        <v>27</v>
      </c>
      <c r="H3283" s="11" t="n">
        <v>21</v>
      </c>
      <c r="I3283" s="11" t="s">
        <v>198</v>
      </c>
      <c r="J3283" s="14"/>
      <c r="K3283" s="14"/>
      <c r="L3283" s="16"/>
      <c r="M3283" s="27" t="n">
        <f aca="false">J3283+(K3283/20)+(L3283/240)</f>
        <v>0</v>
      </c>
      <c r="N3283" s="17"/>
      <c r="O3283" s="11" t="s">
        <v>98</v>
      </c>
      <c r="P3283" s="28"/>
      <c r="Q3283" s="28" t="n">
        <v>387</v>
      </c>
      <c r="R3283" s="28"/>
      <c r="S3283" s="28" t="n">
        <f aca="false">R3283*$M3283</f>
        <v>0</v>
      </c>
      <c r="T3283" s="28"/>
      <c r="U3283" s="28" t="n">
        <v>2349</v>
      </c>
      <c r="V3283" s="28"/>
      <c r="W3283" s="28" t="n">
        <v>978</v>
      </c>
      <c r="X3283" s="28"/>
      <c r="Y3283" s="28" t="n">
        <f aca="false">X3283*$M3283</f>
        <v>0</v>
      </c>
      <c r="Z3283" s="28"/>
      <c r="AA3283" s="28" t="n">
        <f aca="false">Z3283*$M3283</f>
        <v>0</v>
      </c>
      <c r="AB3283" s="28"/>
      <c r="AC3283" s="28" t="n">
        <v>328</v>
      </c>
      <c r="AD3283" s="28"/>
      <c r="AE3283" s="28" t="n">
        <f aca="false">AD3283*$M3283</f>
        <v>0</v>
      </c>
      <c r="AF3283" s="28"/>
      <c r="AG3283" s="28" t="n">
        <f aca="false">AF3283*$M3283</f>
        <v>0</v>
      </c>
      <c r="AH3283" s="28"/>
      <c r="AI3283" s="28" t="n">
        <v>878</v>
      </c>
      <c r="AJ3283" s="28"/>
      <c r="AK3283" s="28" t="n">
        <v>1546</v>
      </c>
      <c r="AL3283" s="28"/>
      <c r="AM3283" s="28" t="n">
        <f aca="false">AL3283*$M3283</f>
        <v>0</v>
      </c>
      <c r="AN3283" s="28"/>
      <c r="AO3283" s="28" t="n">
        <f aca="false">AN3283*$M3283</f>
        <v>0</v>
      </c>
      <c r="AP3283" s="28"/>
      <c r="AQ3283" s="28" t="n">
        <f aca="false">AP3283*$M3283</f>
        <v>0</v>
      </c>
      <c r="AR3283" s="28"/>
      <c r="AS3283" s="28" t="n">
        <f aca="false">AR3283*$M3283</f>
        <v>0</v>
      </c>
      <c r="AT3283" s="28"/>
      <c r="AU3283" s="28" t="n">
        <f aca="false">AT3283*$M3283</f>
        <v>0</v>
      </c>
      <c r="AV3283" s="28"/>
      <c r="AW3283" s="28" t="n">
        <f aca="false">AV3283*$M3283</f>
        <v>0</v>
      </c>
      <c r="AX3283" s="28"/>
      <c r="AY3283" s="28" t="n">
        <f aca="false">AX3283*$M3283</f>
        <v>0</v>
      </c>
      <c r="AZ3283" s="30"/>
      <c r="BA3283" s="11" t="n">
        <v>6466</v>
      </c>
      <c r="BB3283" s="31" t="n">
        <f aca="false">SUM(Q3283,S3283,U3283,W3283,Y3283,AA3283,AC3283,AE3283,AG3283,AI3283,AK3283,AM3283,AO3283,AQ3283,AS3283,AU3283,AW3283,AY3283)</f>
        <v>6466</v>
      </c>
      <c r="BC3283" s="28" t="n">
        <f aca="false">BA3283-BB3283</f>
        <v>0</v>
      </c>
      <c r="BD3283" s="32" t="n">
        <f aca="false">SUM(P3283,R3283,T3283,V3283,X3283,Z3283,AB3283,AD3283,AF3283,AH3283,AJ3283,AL3283,AN3283,AP3283,AR3283,AT3283,AV3283,AX3283)</f>
        <v>0</v>
      </c>
      <c r="BE3283" s="33" t="n">
        <f aca="false">AZ3283-BD3283</f>
        <v>0</v>
      </c>
      <c r="BF3283" s="34" t="n">
        <f aca="false">BD3283*M3283</f>
        <v>0</v>
      </c>
      <c r="BG3283" s="35" t="n">
        <f aca="false">BA3283-BF3283</f>
        <v>6466</v>
      </c>
      <c r="BH3283" s="19" t="str">
        <f aca="false">IF(BG3283=0,"",IF(BG3283&lt;&gt;BA3283,"erreur de calcul",IF(BD3283&lt;&gt;0,"pas de prix",IF(M3283&lt;&gt; 0,"pas de quantité","pas de prix, ni de quantité"))))</f>
        <v>pas de prix, ni de quantité</v>
      </c>
      <c r="BI3283" s="19"/>
    </row>
    <row r="3284" customFormat="false" ht="15" hidden="false" customHeight="false" outlineLevel="0" collapsed="false">
      <c r="A3284" s="0" t="n">
        <v>46</v>
      </c>
      <c r="B3284" s="8" t="s">
        <v>24</v>
      </c>
      <c r="C3284" s="9" t="s">
        <v>25</v>
      </c>
      <c r="D3284" s="9" t="s">
        <v>26</v>
      </c>
      <c r="E3284" s="10" t="n">
        <v>1789</v>
      </c>
      <c r="F3284" s="9" t="s">
        <v>27</v>
      </c>
      <c r="G3284" s="9" t="s">
        <v>27</v>
      </c>
      <c r="H3284" s="11" t="n">
        <v>21</v>
      </c>
      <c r="I3284" s="11" t="s">
        <v>199</v>
      </c>
      <c r="J3284" s="14" t="n">
        <v>27</v>
      </c>
      <c r="K3284" s="14"/>
      <c r="L3284" s="16"/>
      <c r="M3284" s="27" t="n">
        <f aca="false">J3284+(K3284/20)+(L3284/240)</f>
        <v>27</v>
      </c>
      <c r="N3284" s="17" t="s">
        <v>64</v>
      </c>
      <c r="O3284" s="11"/>
      <c r="P3284" s="28" t="n">
        <f aca="false">108627/100</f>
        <v>1086.27</v>
      </c>
      <c r="Q3284" s="28" t="n">
        <v>29329</v>
      </c>
      <c r="R3284" s="28"/>
      <c r="S3284" s="28" t="n">
        <f aca="false">R3284*$M3284</f>
        <v>0</v>
      </c>
      <c r="T3284" s="28"/>
      <c r="U3284" s="28" t="n">
        <f aca="false">T3284*$M3284</f>
        <v>0</v>
      </c>
      <c r="V3284" s="28"/>
      <c r="W3284" s="28" t="n">
        <f aca="false">V3284*$M3284</f>
        <v>0</v>
      </c>
      <c r="X3284" s="28"/>
      <c r="Y3284" s="28" t="n">
        <f aca="false">X3284*$M3284</f>
        <v>0</v>
      </c>
      <c r="Z3284" s="28" t="n">
        <f aca="false">535243/100</f>
        <v>5352.43</v>
      </c>
      <c r="AA3284" s="28" t="n">
        <v>144516</v>
      </c>
      <c r="AB3284" s="28"/>
      <c r="AC3284" s="28" t="n">
        <f aca="false">AB3284*$M3284</f>
        <v>0</v>
      </c>
      <c r="AD3284" s="28" t="n">
        <f aca="false">75759/100</f>
        <v>757.59</v>
      </c>
      <c r="AE3284" s="28" t="n">
        <v>20455</v>
      </c>
      <c r="AF3284" s="28"/>
      <c r="AG3284" s="28" t="n">
        <f aca="false">AF3284*$M3284</f>
        <v>0</v>
      </c>
      <c r="AH3284" s="28" t="n">
        <f aca="false">77800/100</f>
        <v>778</v>
      </c>
      <c r="AI3284" s="36" t="n">
        <v>21016</v>
      </c>
      <c r="AJ3284" s="28" t="n">
        <f aca="false">28078/100</f>
        <v>280.78</v>
      </c>
      <c r="AK3284" s="28" t="n">
        <v>7581</v>
      </c>
      <c r="AL3284" s="28" t="n">
        <f aca="false">15417/100</f>
        <v>154.17</v>
      </c>
      <c r="AM3284" s="28" t="n">
        <v>4162</v>
      </c>
      <c r="AN3284" s="28"/>
      <c r="AO3284" s="28" t="n">
        <f aca="false">AN3284*$M3284</f>
        <v>0</v>
      </c>
      <c r="AP3284" s="28"/>
      <c r="AQ3284" s="28" t="n">
        <f aca="false">AP3284*$M3284</f>
        <v>0</v>
      </c>
      <c r="AR3284" s="28"/>
      <c r="AS3284" s="28" t="n">
        <f aca="false">AR3284*$M3284</f>
        <v>0</v>
      </c>
      <c r="AT3284" s="28"/>
      <c r="AU3284" s="28" t="n">
        <f aca="false">AT3284*$M3284</f>
        <v>0</v>
      </c>
      <c r="AV3284" s="28"/>
      <c r="AW3284" s="28" t="n">
        <f aca="false">AV3284*$M3284</f>
        <v>0</v>
      </c>
      <c r="AX3284" s="28"/>
      <c r="AY3284" s="28" t="n">
        <f aca="false">AX3284*$M3284</f>
        <v>0</v>
      </c>
      <c r="AZ3284" s="30" t="n">
        <f aca="false">840924/100</f>
        <v>8409.24</v>
      </c>
      <c r="BA3284" s="11" t="n">
        <v>227059</v>
      </c>
      <c r="BB3284" s="31" t="n">
        <f aca="false">SUM(Q3284,S3284,U3284,W3284,Y3284,AA3284,AC3284,AE3284,AG3284,AI3284,AK3284,AM3284,AO3284,AQ3284,AS3284,AU3284,AW3284,AY3284)</f>
        <v>227059</v>
      </c>
      <c r="BC3284" s="28" t="n">
        <f aca="false">BA3284-BB3284</f>
        <v>0</v>
      </c>
      <c r="BD3284" s="32" t="n">
        <f aca="false">SUM(P3284,R3284,T3284,V3284,X3284,Z3284,AB3284,AD3284,AF3284,AH3284,AJ3284,AL3284,AN3284,AP3284,AR3284,AT3284,AV3284,AX3284)</f>
        <v>8409.24</v>
      </c>
      <c r="BE3284" s="33" t="n">
        <f aca="false">AZ3284-BD3284</f>
        <v>0</v>
      </c>
      <c r="BF3284" s="34" t="n">
        <f aca="false">BD3284*M3284</f>
        <v>227049.48</v>
      </c>
      <c r="BG3284" s="35" t="n">
        <f aca="false">BA3284-BF3284</f>
        <v>9.52000000001863</v>
      </c>
      <c r="BH3284" s="19" t="str">
        <f aca="false">IF(BG3284=0,"",IF(BG3284&lt;&gt;BA3284,"erreur de calcul",IF(BD3284&lt;&gt;0,"pas de prix",IF(M3284&lt;&gt; 0,"pas de quantité","pas de prix, ni de quantité"))))</f>
        <v>erreur de calcul</v>
      </c>
      <c r="BI3284" s="19"/>
    </row>
    <row r="3285" customFormat="false" ht="15" hidden="false" customHeight="false" outlineLevel="0" collapsed="false">
      <c r="A3285" s="0" t="n">
        <v>47</v>
      </c>
      <c r="B3285" s="8" t="s">
        <v>24</v>
      </c>
      <c r="C3285" s="9" t="s">
        <v>25</v>
      </c>
      <c r="D3285" s="9" t="s">
        <v>26</v>
      </c>
      <c r="E3285" s="10" t="n">
        <v>1789</v>
      </c>
      <c r="F3285" s="9" t="s">
        <v>27</v>
      </c>
      <c r="G3285" s="9" t="s">
        <v>27</v>
      </c>
      <c r="H3285" s="11" t="n">
        <v>21</v>
      </c>
      <c r="I3285" s="11" t="s">
        <v>200</v>
      </c>
      <c r="J3285" s="14" t="n">
        <v>25</v>
      </c>
      <c r="K3285" s="14"/>
      <c r="L3285" s="16"/>
      <c r="M3285" s="27" t="n">
        <f aca="false">J3285+(K3285/20)+(L3285/240)</f>
        <v>25</v>
      </c>
      <c r="N3285" s="17" t="s">
        <v>64</v>
      </c>
      <c r="O3285" s="11"/>
      <c r="P3285" s="28"/>
      <c r="Q3285" s="28" t="n">
        <f aca="false">P3285*$M3285</f>
        <v>0</v>
      </c>
      <c r="R3285" s="28"/>
      <c r="S3285" s="28" t="n">
        <f aca="false">R3285*$M3285</f>
        <v>0</v>
      </c>
      <c r="T3285" s="28" t="n">
        <f aca="false">56427/100</f>
        <v>564.27</v>
      </c>
      <c r="U3285" s="28" t="n">
        <v>14107</v>
      </c>
      <c r="V3285" s="28"/>
      <c r="W3285" s="28" t="n">
        <f aca="false">V3285*$M3285</f>
        <v>0</v>
      </c>
      <c r="X3285" s="28" t="n">
        <f aca="false">98758/100</f>
        <v>987.58</v>
      </c>
      <c r="Y3285" s="28" t="n">
        <v>24689</v>
      </c>
      <c r="Z3285" s="28"/>
      <c r="AA3285" s="28" t="n">
        <f aca="false">Z3285*$M3285</f>
        <v>0</v>
      </c>
      <c r="AB3285" s="28"/>
      <c r="AC3285" s="28" t="n">
        <f aca="false">AB3285*$M3285</f>
        <v>0</v>
      </c>
      <c r="AD3285" s="28"/>
      <c r="AE3285" s="28" t="n">
        <f aca="false">AD3285*$M3285</f>
        <v>0</v>
      </c>
      <c r="AF3285" s="28"/>
      <c r="AG3285" s="28" t="n">
        <f aca="false">AF3285*$M3285</f>
        <v>0</v>
      </c>
      <c r="AH3285" s="28"/>
      <c r="AI3285" s="28" t="n">
        <f aca="false">AH3285*$M3285</f>
        <v>0</v>
      </c>
      <c r="AJ3285" s="28"/>
      <c r="AK3285" s="28" t="n">
        <f aca="false">AJ3285*$M3285</f>
        <v>0</v>
      </c>
      <c r="AL3285" s="28"/>
      <c r="AM3285" s="28" t="n">
        <f aca="false">AL3285*$M3285</f>
        <v>0</v>
      </c>
      <c r="AN3285" s="28"/>
      <c r="AO3285" s="28" t="n">
        <f aca="false">AN3285*$M3285</f>
        <v>0</v>
      </c>
      <c r="AP3285" s="28"/>
      <c r="AQ3285" s="28" t="n">
        <f aca="false">AP3285*$M3285</f>
        <v>0</v>
      </c>
      <c r="AR3285" s="28"/>
      <c r="AS3285" s="28" t="n">
        <f aca="false">AR3285*$M3285</f>
        <v>0</v>
      </c>
      <c r="AT3285" s="28"/>
      <c r="AU3285" s="28" t="n">
        <f aca="false">AT3285*$M3285</f>
        <v>0</v>
      </c>
      <c r="AV3285" s="28"/>
      <c r="AW3285" s="28" t="n">
        <f aca="false">AV3285*$M3285</f>
        <v>0</v>
      </c>
      <c r="AX3285" s="28"/>
      <c r="AY3285" s="28" t="n">
        <f aca="false">AX3285*$M3285</f>
        <v>0</v>
      </c>
      <c r="AZ3285" s="30" t="n">
        <f aca="false">155115/100</f>
        <v>1551.15</v>
      </c>
      <c r="BA3285" s="11" t="n">
        <v>38796</v>
      </c>
      <c r="BB3285" s="31" t="n">
        <f aca="false">SUM(Q3285,S3285,U3285,W3285,Y3285,AA3285,AC3285,AE3285,AG3285,AI3285,AK3285,AM3285,AO3285,AQ3285,AS3285,AU3285,AW3285,AY3285)</f>
        <v>38796</v>
      </c>
      <c r="BC3285" s="28" t="n">
        <f aca="false">BA3285-BB3285</f>
        <v>0</v>
      </c>
      <c r="BD3285" s="32" t="n">
        <f aca="false">SUM(P3285,R3285,T3285,V3285,X3285,Z3285,AB3285,AD3285,AF3285,AH3285,AJ3285,AL3285,AN3285,AP3285,AR3285,AT3285,AV3285,AX3285)</f>
        <v>1551.85</v>
      </c>
      <c r="BE3285" s="33" t="n">
        <f aca="false">AZ3285-BD3285</f>
        <v>-0.699999999999818</v>
      </c>
      <c r="BF3285" s="34" t="n">
        <f aca="false">BD3285*M3285</f>
        <v>38796.25</v>
      </c>
      <c r="BG3285" s="35" t="n">
        <f aca="false">BA3285-BF3285</f>
        <v>-0.25</v>
      </c>
      <c r="BH3285" s="19" t="str">
        <f aca="false">IF(BG3285=0,"",IF(BG3285&lt;&gt;BA3285,"erreur de calcul",IF(BD3285&lt;&gt;0,"pas de prix",IF(M3285&lt;&gt; 0,"pas de quantité","pas de prix, ni de quantité"))))</f>
        <v>erreur de calcul</v>
      </c>
      <c r="BI3285" s="19"/>
    </row>
    <row r="3286" customFormat="false" ht="15" hidden="false" customHeight="false" outlineLevel="0" collapsed="false">
      <c r="A3286" s="0" t="n">
        <v>48</v>
      </c>
      <c r="B3286" s="8" t="s">
        <v>24</v>
      </c>
      <c r="C3286" s="9" t="s">
        <v>25</v>
      </c>
      <c r="D3286" s="9" t="s">
        <v>26</v>
      </c>
      <c r="E3286" s="10" t="n">
        <v>1789</v>
      </c>
      <c r="F3286" s="9" t="s">
        <v>27</v>
      </c>
      <c r="G3286" s="9" t="s">
        <v>27</v>
      </c>
      <c r="H3286" s="11" t="n">
        <v>21</v>
      </c>
      <c r="I3286" s="11" t="s">
        <v>201</v>
      </c>
      <c r="J3286" s="14"/>
      <c r="K3286" s="14" t="n">
        <v>15</v>
      </c>
      <c r="L3286" s="16"/>
      <c r="M3286" s="27" t="n">
        <f aca="false">J3286+(K3286/20)+(L3286/240)</f>
        <v>0.75</v>
      </c>
      <c r="N3286" s="17" t="s">
        <v>66</v>
      </c>
      <c r="O3286" s="11"/>
      <c r="P3286" s="28"/>
      <c r="Q3286" s="28" t="n">
        <f aca="false">P3286*$M3286</f>
        <v>0</v>
      </c>
      <c r="R3286" s="28"/>
      <c r="S3286" s="28" t="n">
        <f aca="false">R3286*$M3286</f>
        <v>0</v>
      </c>
      <c r="T3286" s="28"/>
      <c r="U3286" s="28" t="n">
        <f aca="false">T3286*$M3286</f>
        <v>0</v>
      </c>
      <c r="V3286" s="28"/>
      <c r="W3286" s="28" t="n">
        <f aca="false">V3286*$M3286</f>
        <v>0</v>
      </c>
      <c r="X3286" s="28"/>
      <c r="Y3286" s="28" t="n">
        <f aca="false">X3286*$M3286</f>
        <v>0</v>
      </c>
      <c r="Z3286" s="28"/>
      <c r="AA3286" s="28" t="n">
        <f aca="false">Z3286*$M3286</f>
        <v>0</v>
      </c>
      <c r="AB3286" s="28"/>
      <c r="AC3286" s="28" t="n">
        <f aca="false">AB3286*$M3286</f>
        <v>0</v>
      </c>
      <c r="AD3286" s="28"/>
      <c r="AE3286" s="28" t="n">
        <f aca="false">AD3286*$M3286</f>
        <v>0</v>
      </c>
      <c r="AF3286" s="28"/>
      <c r="AG3286" s="28" t="n">
        <f aca="false">AF3286*$M3286</f>
        <v>0</v>
      </c>
      <c r="AH3286" s="28"/>
      <c r="AI3286" s="28" t="n">
        <f aca="false">AH3286*$M3286</f>
        <v>0</v>
      </c>
      <c r="AJ3286" s="28" t="n">
        <v>6171</v>
      </c>
      <c r="AK3286" s="28" t="n">
        <v>4628</v>
      </c>
      <c r="AL3286" s="28"/>
      <c r="AM3286" s="28" t="n">
        <f aca="false">AL3286*$M3286</f>
        <v>0</v>
      </c>
      <c r="AN3286" s="28"/>
      <c r="AO3286" s="28" t="n">
        <f aca="false">AN3286*$M3286</f>
        <v>0</v>
      </c>
      <c r="AP3286" s="28"/>
      <c r="AQ3286" s="28" t="n">
        <f aca="false">AP3286*$M3286</f>
        <v>0</v>
      </c>
      <c r="AR3286" s="28"/>
      <c r="AS3286" s="28" t="n">
        <f aca="false">AR3286*$M3286</f>
        <v>0</v>
      </c>
      <c r="AT3286" s="28"/>
      <c r="AU3286" s="28" t="n">
        <f aca="false">AT3286*$M3286</f>
        <v>0</v>
      </c>
      <c r="AV3286" s="28"/>
      <c r="AW3286" s="28" t="n">
        <f aca="false">AV3286*$M3286</f>
        <v>0</v>
      </c>
      <c r="AX3286" s="28"/>
      <c r="AY3286" s="28" t="n">
        <f aca="false">AX3286*$M3286</f>
        <v>0</v>
      </c>
      <c r="AZ3286" s="30" t="n">
        <v>6171</v>
      </c>
      <c r="BA3286" s="11" t="n">
        <v>4628</v>
      </c>
      <c r="BB3286" s="31" t="n">
        <f aca="false">SUM(Q3286,S3286,U3286,W3286,Y3286,AA3286,AC3286,AE3286,AG3286,AI3286,AK3286,AM3286,AO3286,AQ3286,AS3286,AU3286,AW3286,AY3286)</f>
        <v>4628</v>
      </c>
      <c r="BC3286" s="28" t="n">
        <f aca="false">BA3286-BB3286</f>
        <v>0</v>
      </c>
      <c r="BD3286" s="32" t="n">
        <f aca="false">SUM(P3286,R3286,T3286,V3286,X3286,Z3286,AB3286,AD3286,AF3286,AH3286,AJ3286,AL3286,AN3286,AP3286,AR3286,AT3286,AV3286,AX3286)</f>
        <v>6171</v>
      </c>
      <c r="BE3286" s="33" t="n">
        <f aca="false">AZ3286-BD3286</f>
        <v>0</v>
      </c>
      <c r="BF3286" s="34" t="n">
        <f aca="false">BD3286*M3286</f>
        <v>4628.25</v>
      </c>
      <c r="BG3286" s="35" t="n">
        <f aca="false">BA3286-BF3286</f>
        <v>-0.25</v>
      </c>
      <c r="BH3286" s="19" t="str">
        <f aca="false">IF(BG3286=0,"",IF(BG3286&lt;&gt;BA3286,"erreur de calcul",IF(BD3286&lt;&gt;0,"pas de prix",IF(M3286&lt;&gt; 0,"pas de quantité","pas de prix, ni de quantité"))))</f>
        <v>erreur de calcul</v>
      </c>
      <c r="BI3286" s="19"/>
    </row>
    <row r="3287" customFormat="false" ht="15" hidden="false" customHeight="false" outlineLevel="0" collapsed="false">
      <c r="A3287" s="0" t="n">
        <v>1</v>
      </c>
      <c r="B3287" s="8" t="s">
        <v>24</v>
      </c>
      <c r="C3287" s="9" t="s">
        <v>25</v>
      </c>
      <c r="D3287" s="9" t="s">
        <v>26</v>
      </c>
      <c r="E3287" s="10" t="n">
        <v>1789</v>
      </c>
      <c r="F3287" s="9" t="s">
        <v>27</v>
      </c>
      <c r="G3287" s="9" t="s">
        <v>27</v>
      </c>
      <c r="H3287" s="11" t="n">
        <v>22</v>
      </c>
      <c r="I3287" s="11" t="s">
        <v>202</v>
      </c>
      <c r="J3287" s="14" t="n">
        <v>10</v>
      </c>
      <c r="K3287" s="14"/>
      <c r="L3287" s="16"/>
      <c r="M3287" s="27" t="n">
        <f aca="false">J3287+(K3287/20)+(L3287/240)</f>
        <v>10</v>
      </c>
      <c r="N3287" s="17" t="s">
        <v>64</v>
      </c>
      <c r="O3287" s="11"/>
      <c r="P3287" s="28" t="n">
        <f aca="false">36147/100</f>
        <v>361.47</v>
      </c>
      <c r="Q3287" s="28" t="n">
        <v>3615</v>
      </c>
      <c r="R3287" s="28"/>
      <c r="S3287" s="28" t="n">
        <f aca="false">R3287*$M3287</f>
        <v>0</v>
      </c>
      <c r="T3287" s="28"/>
      <c r="U3287" s="28" t="n">
        <f aca="false">T3287*$M3287</f>
        <v>0</v>
      </c>
      <c r="V3287" s="28"/>
      <c r="W3287" s="28" t="n">
        <f aca="false">V3287*$M3287</f>
        <v>0</v>
      </c>
      <c r="X3287" s="28"/>
      <c r="Y3287" s="28" t="n">
        <f aca="false">X3287*$M3287</f>
        <v>0</v>
      </c>
      <c r="Z3287" s="28"/>
      <c r="AA3287" s="28" t="n">
        <f aca="false">Z3287*$M3287</f>
        <v>0</v>
      </c>
      <c r="AB3287" s="28" t="n">
        <f aca="false">14437/100</f>
        <v>144.37</v>
      </c>
      <c r="AC3287" s="28" t="n">
        <v>1444</v>
      </c>
      <c r="AD3287" s="28"/>
      <c r="AE3287" s="28" t="n">
        <f aca="false">AD3287*$M3287</f>
        <v>0</v>
      </c>
      <c r="AF3287" s="28"/>
      <c r="AG3287" s="28" t="n">
        <f aca="false">AF3287*$M3287</f>
        <v>0</v>
      </c>
      <c r="AH3287" s="28"/>
      <c r="AI3287" s="28" t="n">
        <f aca="false">AH3287*$M3287</f>
        <v>0</v>
      </c>
      <c r="AJ3287" s="28" t="n">
        <f aca="false">36351/100</f>
        <v>363.51</v>
      </c>
      <c r="AK3287" s="28" t="n">
        <v>3635</v>
      </c>
      <c r="AL3287" s="28"/>
      <c r="AM3287" s="28" t="n">
        <f aca="false">AL3287*$M3287</f>
        <v>0</v>
      </c>
      <c r="AN3287" s="28"/>
      <c r="AO3287" s="28" t="n">
        <f aca="false">AN3287*$M3287</f>
        <v>0</v>
      </c>
      <c r="AP3287" s="28"/>
      <c r="AQ3287" s="28" t="n">
        <f aca="false">AP3287*$M3287</f>
        <v>0</v>
      </c>
      <c r="AR3287" s="28" t="n">
        <f aca="false">25120/100</f>
        <v>251.2</v>
      </c>
      <c r="AS3287" s="28" t="n">
        <v>2512</v>
      </c>
      <c r="AT3287" s="28"/>
      <c r="AU3287" s="28" t="n">
        <f aca="false">AT3287*$M3287</f>
        <v>0</v>
      </c>
      <c r="AV3287" s="28"/>
      <c r="AW3287" s="28" t="n">
        <f aca="false">AV3287*$M3287</f>
        <v>0</v>
      </c>
      <c r="AX3287" s="28"/>
      <c r="AY3287" s="28" t="n">
        <f aca="false">AX3287*$M3287</f>
        <v>0</v>
      </c>
      <c r="AZ3287" s="30" t="n">
        <f aca="false">112055/100</f>
        <v>1120.55</v>
      </c>
      <c r="BA3287" s="11" t="n">
        <v>11206</v>
      </c>
      <c r="BB3287" s="31" t="n">
        <f aca="false">SUM(Q3287,S3287,U3287,W3287,Y3287,AA3287,AC3287,AE3287,AG3287,AI3287,AK3287,AM3287,AO3287,AQ3287,AS3287,AU3287,AW3287,AY3287)</f>
        <v>11206</v>
      </c>
      <c r="BC3287" s="28" t="n">
        <f aca="false">BA3287-BB3287</f>
        <v>0</v>
      </c>
      <c r="BD3287" s="32" t="n">
        <f aca="false">SUM(P3287,R3287,T3287,V3287,X3287,Z3287,AB3287,AD3287,AF3287,AH3287,AJ3287,AL3287,AN3287,AP3287,AR3287,AT3287,AV3287,AX3287)</f>
        <v>1120.55</v>
      </c>
      <c r="BE3287" s="33" t="n">
        <f aca="false">AZ3287-BD3287</f>
        <v>0</v>
      </c>
      <c r="BF3287" s="34" t="n">
        <f aca="false">BD3287*M3287</f>
        <v>11205.5</v>
      </c>
      <c r="BG3287" s="35" t="n">
        <f aca="false">BA3287-BF3287</f>
        <v>0.499999999998181</v>
      </c>
      <c r="BH3287" s="19" t="str">
        <f aca="false">IF(BG3287=0,"",IF(BG3287&lt;&gt;BA3287,"erreur de calcul",IF(BD3287&lt;&gt;0,"pas de prix",IF(M3287&lt;&gt; 0,"pas de quantité","pas de prix, ni de quantité"))))</f>
        <v>erreur de calcul</v>
      </c>
      <c r="BI3287" s="19"/>
    </row>
    <row r="3288" customFormat="false" ht="15" hidden="false" customHeight="false" outlineLevel="0" collapsed="false">
      <c r="A3288" s="0" t="n">
        <v>2</v>
      </c>
      <c r="B3288" s="8" t="s">
        <v>24</v>
      </c>
      <c r="C3288" s="9" t="s">
        <v>25</v>
      </c>
      <c r="D3288" s="9" t="s">
        <v>26</v>
      </c>
      <c r="E3288" s="10" t="n">
        <v>1789</v>
      </c>
      <c r="F3288" s="9" t="s">
        <v>27</v>
      </c>
      <c r="G3288" s="9" t="s">
        <v>27</v>
      </c>
      <c r="H3288" s="11" t="n">
        <v>22</v>
      </c>
      <c r="I3288" s="11" t="s">
        <v>203</v>
      </c>
      <c r="J3288" s="14" t="n">
        <v>20</v>
      </c>
      <c r="K3288" s="14"/>
      <c r="L3288" s="16"/>
      <c r="M3288" s="27" t="n">
        <f aca="false">J3288+(K3288/20)+(L3288/240)</f>
        <v>20</v>
      </c>
      <c r="N3288" s="17" t="s">
        <v>64</v>
      </c>
      <c r="O3288" s="11"/>
      <c r="P3288" s="28"/>
      <c r="Q3288" s="28" t="n">
        <f aca="false">P3288*$M3288</f>
        <v>0</v>
      </c>
      <c r="R3288" s="28"/>
      <c r="S3288" s="28" t="n">
        <f aca="false">R3288*$M3288</f>
        <v>0</v>
      </c>
      <c r="T3288" s="28"/>
      <c r="U3288" s="28" t="n">
        <f aca="false">T3288*$M3288</f>
        <v>0</v>
      </c>
      <c r="V3288" s="28"/>
      <c r="W3288" s="28" t="n">
        <f aca="false">V3288*$M3288</f>
        <v>0</v>
      </c>
      <c r="X3288" s="28"/>
      <c r="Y3288" s="28" t="n">
        <f aca="false">X3288*$M3288</f>
        <v>0</v>
      </c>
      <c r="Z3288" s="28"/>
      <c r="AA3288" s="28" t="n">
        <f aca="false">Z3288*$M3288</f>
        <v>0</v>
      </c>
      <c r="AB3288" s="28"/>
      <c r="AC3288" s="28" t="n">
        <f aca="false">AB3288*$M3288</f>
        <v>0</v>
      </c>
      <c r="AD3288" s="28"/>
      <c r="AE3288" s="28" t="n">
        <f aca="false">AD3288*$M3288</f>
        <v>0</v>
      </c>
      <c r="AF3288" s="28"/>
      <c r="AG3288" s="28" t="n">
        <f aca="false">AF3288*$M3288</f>
        <v>0</v>
      </c>
      <c r="AH3288" s="28"/>
      <c r="AI3288" s="28" t="n">
        <f aca="false">AH3288*$M3288</f>
        <v>0</v>
      </c>
      <c r="AJ3288" s="28" t="n">
        <f aca="false">109254/100</f>
        <v>1092.54</v>
      </c>
      <c r="AK3288" s="28" t="n">
        <v>21851</v>
      </c>
      <c r="AL3288" s="28"/>
      <c r="AM3288" s="28" t="n">
        <f aca="false">AL3288*$M3288</f>
        <v>0</v>
      </c>
      <c r="AN3288" s="28"/>
      <c r="AO3288" s="28" t="n">
        <f aca="false">AN3288*$M3288</f>
        <v>0</v>
      </c>
      <c r="AP3288" s="28"/>
      <c r="AQ3288" s="28" t="n">
        <f aca="false">AP3288*$M3288</f>
        <v>0</v>
      </c>
      <c r="AR3288" s="28"/>
      <c r="AS3288" s="28" t="n">
        <f aca="false">AR3288*$M3288</f>
        <v>0</v>
      </c>
      <c r="AT3288" s="28"/>
      <c r="AU3288" s="28" t="n">
        <f aca="false">AT3288*$M3288</f>
        <v>0</v>
      </c>
      <c r="AV3288" s="28"/>
      <c r="AW3288" s="28" t="n">
        <f aca="false">AV3288*$M3288</f>
        <v>0</v>
      </c>
      <c r="AX3288" s="28"/>
      <c r="AY3288" s="28" t="n">
        <f aca="false">AX3288*$M3288</f>
        <v>0</v>
      </c>
      <c r="AZ3288" s="30" t="n">
        <f aca="false">109254/100</f>
        <v>1092.54</v>
      </c>
      <c r="BA3288" s="11" t="n">
        <v>21851</v>
      </c>
      <c r="BB3288" s="31" t="n">
        <f aca="false">SUM(Q3288,S3288,U3288,W3288,Y3288,AA3288,AC3288,AE3288,AG3288,AI3288,AK3288,AM3288,AO3288,AQ3288,AS3288,AU3288,AW3288,AY3288)</f>
        <v>21851</v>
      </c>
      <c r="BC3288" s="28" t="n">
        <f aca="false">BA3288-BB3288</f>
        <v>0</v>
      </c>
      <c r="BD3288" s="32" t="n">
        <f aca="false">SUM(P3288,R3288,T3288,V3288,X3288,Z3288,AB3288,AD3288,AF3288,AH3288,AJ3288,AL3288,AN3288,AP3288,AR3288,AT3288,AV3288,AX3288)</f>
        <v>1092.54</v>
      </c>
      <c r="BE3288" s="33" t="n">
        <f aca="false">AZ3288-BD3288</f>
        <v>0</v>
      </c>
      <c r="BF3288" s="34" t="n">
        <f aca="false">BD3288*M3288</f>
        <v>21850.8</v>
      </c>
      <c r="BG3288" s="35" t="n">
        <f aca="false">BA3288-BF3288</f>
        <v>0.200000000000728</v>
      </c>
      <c r="BH3288" s="19" t="str">
        <f aca="false">IF(BG3288=0,"",IF(BG3288&lt;&gt;BA3288,"erreur de calcul",IF(BD3288&lt;&gt;0,"pas de prix",IF(M3288&lt;&gt; 0,"pas de quantité","pas de prix, ni de quantité"))))</f>
        <v>erreur de calcul</v>
      </c>
      <c r="BI3288" s="19"/>
    </row>
    <row r="3289" customFormat="false" ht="15" hidden="false" customHeight="false" outlineLevel="0" collapsed="false">
      <c r="A3289" s="0" t="n">
        <v>3</v>
      </c>
      <c r="B3289" s="8" t="s">
        <v>24</v>
      </c>
      <c r="C3289" s="9" t="s">
        <v>25</v>
      </c>
      <c r="D3289" s="9" t="s">
        <v>26</v>
      </c>
      <c r="E3289" s="10" t="n">
        <v>1789</v>
      </c>
      <c r="F3289" s="9" t="s">
        <v>27</v>
      </c>
      <c r="G3289" s="9" t="s">
        <v>27</v>
      </c>
      <c r="H3289" s="11" t="n">
        <v>22</v>
      </c>
      <c r="I3289" s="11" t="s">
        <v>204</v>
      </c>
      <c r="J3289" s="14" t="n">
        <v>20</v>
      </c>
      <c r="K3289" s="14"/>
      <c r="L3289" s="16"/>
      <c r="M3289" s="27" t="n">
        <f aca="false">J3289+(K3289/20)+(L3289/240)</f>
        <v>20</v>
      </c>
      <c r="N3289" s="17" t="s">
        <v>66</v>
      </c>
      <c r="O3289" s="11"/>
      <c r="P3289" s="28" t="n">
        <v>106125</v>
      </c>
      <c r="Q3289" s="36" t="n">
        <v>2162500</v>
      </c>
      <c r="R3289" s="28"/>
      <c r="S3289" s="28" t="n">
        <f aca="false">R3289*$M3289</f>
        <v>0</v>
      </c>
      <c r="T3289" s="28"/>
      <c r="U3289" s="28" t="n">
        <f aca="false">T3289*$M3289</f>
        <v>0</v>
      </c>
      <c r="V3289" s="28"/>
      <c r="W3289" s="28" t="n">
        <f aca="false">V3289*$M3289</f>
        <v>0</v>
      </c>
      <c r="X3289" s="28"/>
      <c r="Y3289" s="28" t="n">
        <f aca="false">X3289*$M3289</f>
        <v>0</v>
      </c>
      <c r="Z3289" s="28"/>
      <c r="AA3289" s="28" t="n">
        <f aca="false">Z3289*$M3289</f>
        <v>0</v>
      </c>
      <c r="AB3289" s="28"/>
      <c r="AC3289" s="28" t="n">
        <f aca="false">AB3289*$M3289</f>
        <v>0</v>
      </c>
      <c r="AD3289" s="28"/>
      <c r="AE3289" s="28" t="n">
        <f aca="false">AD3289*$M3289</f>
        <v>0</v>
      </c>
      <c r="AF3289" s="28"/>
      <c r="AG3289" s="28" t="n">
        <f aca="false">AF3289*$M3289</f>
        <v>0</v>
      </c>
      <c r="AH3289" s="28"/>
      <c r="AI3289" s="28" t="n">
        <f aca="false">AH3289*$M3289</f>
        <v>0</v>
      </c>
      <c r="AJ3289" s="28"/>
      <c r="AK3289" s="28" t="n">
        <f aca="false">AJ3289*$M3289</f>
        <v>0</v>
      </c>
      <c r="AL3289" s="28"/>
      <c r="AM3289" s="28" t="n">
        <f aca="false">AL3289*$M3289</f>
        <v>0</v>
      </c>
      <c r="AN3289" s="28"/>
      <c r="AO3289" s="28" t="n">
        <f aca="false">AN3289*$M3289</f>
        <v>0</v>
      </c>
      <c r="AP3289" s="28"/>
      <c r="AQ3289" s="28" t="n">
        <f aca="false">AP3289*$M3289</f>
        <v>0</v>
      </c>
      <c r="AR3289" s="28"/>
      <c r="AS3289" s="28" t="n">
        <f aca="false">AR3289*$M3289</f>
        <v>0</v>
      </c>
      <c r="AT3289" s="28"/>
      <c r="AU3289" s="28" t="n">
        <f aca="false">AT3289*$M3289</f>
        <v>0</v>
      </c>
      <c r="AV3289" s="28"/>
      <c r="AW3289" s="28" t="n">
        <f aca="false">AV3289*$M3289</f>
        <v>0</v>
      </c>
      <c r="AX3289" s="28"/>
      <c r="AY3289" s="28" t="n">
        <f aca="false">AX3289*$M3289</f>
        <v>0</v>
      </c>
      <c r="AZ3289" s="30" t="n">
        <v>108125</v>
      </c>
      <c r="BA3289" s="11" t="n">
        <v>2162500</v>
      </c>
      <c r="BB3289" s="31" t="n">
        <f aca="false">SUM(Q3289,S3289,U3289,W3289,Y3289,AA3289,AC3289,AE3289,AG3289,AI3289,AK3289,AM3289,AO3289,AQ3289,AS3289,AU3289,AW3289,AY3289)</f>
        <v>2162500</v>
      </c>
      <c r="BC3289" s="28" t="n">
        <f aca="false">BA3289-BB3289</f>
        <v>0</v>
      </c>
      <c r="BD3289" s="32" t="n">
        <f aca="false">SUM(P3289,R3289,T3289,V3289,X3289,Z3289,AB3289,AD3289,AF3289,AH3289,AJ3289,AL3289,AN3289,AP3289,AR3289,AT3289,AV3289,AX3289)</f>
        <v>106125</v>
      </c>
      <c r="BE3289" s="33" t="n">
        <f aca="false">AZ3289-BD3289</f>
        <v>2000</v>
      </c>
      <c r="BF3289" s="34" t="n">
        <f aca="false">BD3289*M3289</f>
        <v>2122500</v>
      </c>
      <c r="BG3289" s="35" t="n">
        <f aca="false">BA3289-BF3289</f>
        <v>40000</v>
      </c>
      <c r="BH3289" s="19" t="str">
        <f aca="false">IF(BG3289=0,"",IF(BG3289&lt;&gt;BA3289,"erreur de calcul",IF(BD3289&lt;&gt;0,"pas de prix",IF(M3289&lt;&gt; 0,"pas de quantité","pas de prix, ni de quantité"))))</f>
        <v>erreur de calcul</v>
      </c>
      <c r="BI3289" s="19"/>
    </row>
    <row r="3290" customFormat="false" ht="15" hidden="false" customHeight="false" outlineLevel="0" collapsed="false">
      <c r="A3290" s="0" t="n">
        <v>4</v>
      </c>
      <c r="B3290" s="8" t="s">
        <v>24</v>
      </c>
      <c r="C3290" s="9" t="s">
        <v>25</v>
      </c>
      <c r="D3290" s="9" t="s">
        <v>26</v>
      </c>
      <c r="E3290" s="10" t="n">
        <v>1789</v>
      </c>
      <c r="F3290" s="9" t="s">
        <v>27</v>
      </c>
      <c r="G3290" s="9" t="s">
        <v>27</v>
      </c>
      <c r="H3290" s="11" t="n">
        <v>22</v>
      </c>
      <c r="I3290" s="11" t="s">
        <v>205</v>
      </c>
      <c r="J3290" s="14" t="n">
        <v>15</v>
      </c>
      <c r="K3290" s="14"/>
      <c r="L3290" s="16"/>
      <c r="M3290" s="27" t="n">
        <f aca="false">J3290+(K3290/20)+(L3290/240)</f>
        <v>15</v>
      </c>
      <c r="N3290" s="17" t="s">
        <v>64</v>
      </c>
      <c r="O3290" s="11"/>
      <c r="P3290" s="28"/>
      <c r="Q3290" s="28" t="n">
        <f aca="false">P3290*$M3290</f>
        <v>0</v>
      </c>
      <c r="R3290" s="28"/>
      <c r="S3290" s="28" t="n">
        <f aca="false">R3290*$M3290</f>
        <v>0</v>
      </c>
      <c r="T3290" s="28"/>
      <c r="U3290" s="28" t="n">
        <f aca="false">T3290*$M3290</f>
        <v>0</v>
      </c>
      <c r="V3290" s="28"/>
      <c r="W3290" s="28" t="n">
        <f aca="false">V3290*$M3290</f>
        <v>0</v>
      </c>
      <c r="X3290" s="28" t="n">
        <f aca="false">27897/100</f>
        <v>278.97</v>
      </c>
      <c r="Y3290" s="28" t="n">
        <v>4184</v>
      </c>
      <c r="Z3290" s="28"/>
      <c r="AA3290" s="28" t="n">
        <f aca="false">Z3290*$M3290</f>
        <v>0</v>
      </c>
      <c r="AB3290" s="28"/>
      <c r="AC3290" s="28" t="n">
        <f aca="false">AB3290*$M3290</f>
        <v>0</v>
      </c>
      <c r="AD3290" s="28"/>
      <c r="AE3290" s="28" t="n">
        <f aca="false">AD3290*$M3290</f>
        <v>0</v>
      </c>
      <c r="AF3290" s="28"/>
      <c r="AG3290" s="28" t="n">
        <f aca="false">AF3290*$M3290</f>
        <v>0</v>
      </c>
      <c r="AH3290" s="28"/>
      <c r="AI3290" s="28" t="n">
        <f aca="false">AH3290*$M3290</f>
        <v>0</v>
      </c>
      <c r="AJ3290" s="28" t="n">
        <f aca="false">63734/100</f>
        <v>637.34</v>
      </c>
      <c r="AK3290" s="28" t="n">
        <v>9560</v>
      </c>
      <c r="AL3290" s="28"/>
      <c r="AM3290" s="28" t="n">
        <f aca="false">AL3290*$M3290</f>
        <v>0</v>
      </c>
      <c r="AN3290" s="28"/>
      <c r="AO3290" s="28" t="n">
        <f aca="false">AN3290*$M3290</f>
        <v>0</v>
      </c>
      <c r="AP3290" s="28"/>
      <c r="AQ3290" s="28" t="n">
        <f aca="false">AP3290*$M3290</f>
        <v>0</v>
      </c>
      <c r="AR3290" s="28"/>
      <c r="AS3290" s="28" t="n">
        <f aca="false">AR3290*$M3290</f>
        <v>0</v>
      </c>
      <c r="AT3290" s="28"/>
      <c r="AU3290" s="28" t="n">
        <f aca="false">AT3290*$M3290</f>
        <v>0</v>
      </c>
      <c r="AV3290" s="28"/>
      <c r="AW3290" s="28" t="n">
        <f aca="false">AV3290*$M3290</f>
        <v>0</v>
      </c>
      <c r="AX3290" s="28"/>
      <c r="AY3290" s="28" t="n">
        <f aca="false">AX3290*$M3290</f>
        <v>0</v>
      </c>
      <c r="AZ3290" s="30" t="n">
        <f aca="false">91631/100</f>
        <v>916.31</v>
      </c>
      <c r="BA3290" s="11" t="n">
        <v>13744</v>
      </c>
      <c r="BB3290" s="31" t="n">
        <f aca="false">SUM(Q3290,S3290,U3290,W3290,Y3290,AA3290,AC3290,AE3290,AG3290,AI3290,AK3290,AM3290,AO3290,AQ3290,AS3290,AU3290,AW3290,AY3290)</f>
        <v>13744</v>
      </c>
      <c r="BC3290" s="28" t="n">
        <f aca="false">BA3290-BB3290</f>
        <v>0</v>
      </c>
      <c r="BD3290" s="32" t="n">
        <f aca="false">SUM(P3290,R3290,T3290,V3290,X3290,Z3290,AB3290,AD3290,AF3290,AH3290,AJ3290,AL3290,AN3290,AP3290,AR3290,AT3290,AV3290,AX3290)</f>
        <v>916.31</v>
      </c>
      <c r="BE3290" s="33" t="n">
        <f aca="false">AZ3290-BD3290</f>
        <v>0</v>
      </c>
      <c r="BF3290" s="34" t="n">
        <f aca="false">BD3290*M3290</f>
        <v>13744.65</v>
      </c>
      <c r="BG3290" s="35" t="n">
        <f aca="false">BA3290-BF3290</f>
        <v>-0.650000000001455</v>
      </c>
      <c r="BH3290" s="19" t="str">
        <f aca="false">IF(BG3290=0,"",IF(BG3290&lt;&gt;BA3290,"erreur de calcul",IF(BD3290&lt;&gt;0,"pas de prix",IF(M3290&lt;&gt; 0,"pas de quantité","pas de prix, ni de quantité"))))</f>
        <v>erreur de calcul</v>
      </c>
      <c r="BI3290" s="19"/>
    </row>
    <row r="3291" customFormat="false" ht="15" hidden="false" customHeight="false" outlineLevel="0" collapsed="false">
      <c r="A3291" s="0" t="n">
        <v>5</v>
      </c>
      <c r="B3291" s="8" t="s">
        <v>24</v>
      </c>
      <c r="C3291" s="9" t="s">
        <v>25</v>
      </c>
      <c r="D3291" s="9" t="s">
        <v>26</v>
      </c>
      <c r="E3291" s="10" t="n">
        <v>1789</v>
      </c>
      <c r="F3291" s="9" t="s">
        <v>27</v>
      </c>
      <c r="G3291" s="9" t="s">
        <v>27</v>
      </c>
      <c r="H3291" s="11" t="n">
        <v>22</v>
      </c>
      <c r="I3291" s="11" t="s">
        <v>206</v>
      </c>
      <c r="J3291" s="14" t="n">
        <v>30</v>
      </c>
      <c r="K3291" s="14"/>
      <c r="L3291" s="16"/>
      <c r="M3291" s="27" t="n">
        <f aca="false">J3291+(K3291/20)+(L3291/240)</f>
        <v>30</v>
      </c>
      <c r="N3291" s="17" t="s">
        <v>64</v>
      </c>
      <c r="O3291" s="11"/>
      <c r="P3291" s="28" t="n">
        <f aca="false">8334/100</f>
        <v>83.34</v>
      </c>
      <c r="Q3291" s="28" t="n">
        <v>2500</v>
      </c>
      <c r="R3291" s="28"/>
      <c r="S3291" s="28" t="n">
        <f aca="false">R3291*$M3291</f>
        <v>0</v>
      </c>
      <c r="T3291" s="28"/>
      <c r="U3291" s="28" t="n">
        <f aca="false">T3291*$M3291</f>
        <v>0</v>
      </c>
      <c r="V3291" s="28"/>
      <c r="W3291" s="28" t="n">
        <f aca="false">V3291*$M3291</f>
        <v>0</v>
      </c>
      <c r="X3291" s="28"/>
      <c r="Y3291" s="28" t="n">
        <f aca="false">X3291*$M3291</f>
        <v>0</v>
      </c>
      <c r="Z3291" s="28"/>
      <c r="AA3291" s="28" t="n">
        <f aca="false">Z3291*$M3291</f>
        <v>0</v>
      </c>
      <c r="AB3291" s="28"/>
      <c r="AC3291" s="28" t="n">
        <f aca="false">AB3291*$M3291</f>
        <v>0</v>
      </c>
      <c r="AD3291" s="28"/>
      <c r="AE3291" s="28" t="n">
        <f aca="false">AD3291*$M3291</f>
        <v>0</v>
      </c>
      <c r="AF3291" s="28"/>
      <c r="AG3291" s="28" t="n">
        <f aca="false">AF3291*$M3291</f>
        <v>0</v>
      </c>
      <c r="AH3291" s="28"/>
      <c r="AI3291" s="28" t="n">
        <f aca="false">AH3291*$M3291</f>
        <v>0</v>
      </c>
      <c r="AJ3291" s="28"/>
      <c r="AK3291" s="28" t="n">
        <f aca="false">AJ3291*$M3291</f>
        <v>0</v>
      </c>
      <c r="AL3291" s="28"/>
      <c r="AM3291" s="28" t="n">
        <f aca="false">AL3291*$M3291</f>
        <v>0</v>
      </c>
      <c r="AN3291" s="28"/>
      <c r="AO3291" s="28" t="n">
        <f aca="false">AN3291*$M3291</f>
        <v>0</v>
      </c>
      <c r="AP3291" s="28"/>
      <c r="AQ3291" s="28" t="n">
        <f aca="false">AP3291*$M3291</f>
        <v>0</v>
      </c>
      <c r="AR3291" s="28"/>
      <c r="AS3291" s="28" t="n">
        <f aca="false">AR3291*$M3291</f>
        <v>0</v>
      </c>
      <c r="AT3291" s="28"/>
      <c r="AU3291" s="28" t="n">
        <f aca="false">AT3291*$M3291</f>
        <v>0</v>
      </c>
      <c r="AV3291" s="28"/>
      <c r="AW3291" s="28" t="n">
        <f aca="false">AV3291*$M3291</f>
        <v>0</v>
      </c>
      <c r="AX3291" s="28"/>
      <c r="AY3291" s="28" t="n">
        <f aca="false">AX3291*$M3291</f>
        <v>0</v>
      </c>
      <c r="AZ3291" s="30" t="n">
        <f aca="false">8334/100</f>
        <v>83.34</v>
      </c>
      <c r="BA3291" s="11" t="n">
        <v>2500</v>
      </c>
      <c r="BB3291" s="31" t="n">
        <f aca="false">SUM(Q3291,S3291,U3291,W3291,Y3291,AA3291,AC3291,AE3291,AG3291,AI3291,AK3291,AM3291,AO3291,AQ3291,AS3291,AU3291,AW3291,AY3291)</f>
        <v>2500</v>
      </c>
      <c r="BC3291" s="28" t="n">
        <f aca="false">BA3291-BB3291</f>
        <v>0</v>
      </c>
      <c r="BD3291" s="32" t="n">
        <f aca="false">SUM(P3291,R3291,T3291,V3291,X3291,Z3291,AB3291,AD3291,AF3291,AH3291,AJ3291,AL3291,AN3291,AP3291,AR3291,AT3291,AV3291,AX3291)</f>
        <v>83.34</v>
      </c>
      <c r="BE3291" s="33" t="n">
        <f aca="false">AZ3291-BD3291</f>
        <v>0</v>
      </c>
      <c r="BF3291" s="34" t="n">
        <f aca="false">BD3291*M3291</f>
        <v>2500.2</v>
      </c>
      <c r="BG3291" s="35" t="n">
        <f aca="false">BA3291-BF3291</f>
        <v>-0.200000000000273</v>
      </c>
      <c r="BH3291" s="19" t="str">
        <f aca="false">IF(BG3291=0,"",IF(BG3291&lt;&gt;BA3291,"erreur de calcul",IF(BD3291&lt;&gt;0,"pas de prix",IF(M3291&lt;&gt; 0,"pas de quantité","pas de prix, ni de quantité"))))</f>
        <v>erreur de calcul</v>
      </c>
      <c r="BI3291" s="19"/>
    </row>
    <row r="3292" customFormat="false" ht="15" hidden="false" customHeight="false" outlineLevel="0" collapsed="false">
      <c r="A3292" s="0" t="n">
        <v>6</v>
      </c>
      <c r="B3292" s="8" t="s">
        <v>24</v>
      </c>
      <c r="C3292" s="9" t="s">
        <v>25</v>
      </c>
      <c r="D3292" s="9" t="s">
        <v>26</v>
      </c>
      <c r="E3292" s="10" t="n">
        <v>1789</v>
      </c>
      <c r="F3292" s="9" t="s">
        <v>27</v>
      </c>
      <c r="G3292" s="9" t="s">
        <v>27</v>
      </c>
      <c r="H3292" s="11" t="n">
        <v>22</v>
      </c>
      <c r="I3292" s="11" t="s">
        <v>207</v>
      </c>
      <c r="J3292" s="14"/>
      <c r="K3292" s="14" t="n">
        <v>20</v>
      </c>
      <c r="L3292" s="16"/>
      <c r="M3292" s="27" t="n">
        <f aca="false">J3292+(K3292/20)+(L3292/240)</f>
        <v>1</v>
      </c>
      <c r="N3292" s="17" t="s">
        <v>66</v>
      </c>
      <c r="O3292" s="11"/>
      <c r="P3292" s="28"/>
      <c r="Q3292" s="28" t="n">
        <f aca="false">P3292*$M3292</f>
        <v>0</v>
      </c>
      <c r="R3292" s="28"/>
      <c r="S3292" s="28" t="n">
        <f aca="false">R3292*$M3292</f>
        <v>0</v>
      </c>
      <c r="T3292" s="28"/>
      <c r="U3292" s="28" t="n">
        <f aca="false">T3292*$M3292</f>
        <v>0</v>
      </c>
      <c r="V3292" s="28" t="n">
        <v>33010</v>
      </c>
      <c r="W3292" s="28" t="n">
        <v>33010</v>
      </c>
      <c r="X3292" s="28" t="n">
        <v>292003</v>
      </c>
      <c r="Y3292" s="28" t="n">
        <v>292003</v>
      </c>
      <c r="Z3292" s="28" t="n">
        <v>15558</v>
      </c>
      <c r="AA3292" s="28" t="n">
        <v>15558</v>
      </c>
      <c r="AB3292" s="28" t="n">
        <v>80515</v>
      </c>
      <c r="AC3292" s="28" t="n">
        <v>80515</v>
      </c>
      <c r="AD3292" s="28"/>
      <c r="AE3292" s="28" t="n">
        <f aca="false">AD3292*$M3292</f>
        <v>0</v>
      </c>
      <c r="AF3292" s="28"/>
      <c r="AG3292" s="28" t="n">
        <f aca="false">AF3292*$M3292</f>
        <v>0</v>
      </c>
      <c r="AH3292" s="28" t="n">
        <v>515373</v>
      </c>
      <c r="AI3292" s="28" t="n">
        <v>515373</v>
      </c>
      <c r="AJ3292" s="28"/>
      <c r="AK3292" s="28" t="n">
        <f aca="false">AJ3292*$M3292</f>
        <v>0</v>
      </c>
      <c r="AL3292" s="28" t="n">
        <v>3480</v>
      </c>
      <c r="AM3292" s="28" t="n">
        <v>3480</v>
      </c>
      <c r="AN3292" s="28"/>
      <c r="AO3292" s="28" t="n">
        <f aca="false">AN3292*$M3292</f>
        <v>0</v>
      </c>
      <c r="AP3292" s="28"/>
      <c r="AQ3292" s="28" t="n">
        <f aca="false">AP3292*$M3292</f>
        <v>0</v>
      </c>
      <c r="AR3292" s="28"/>
      <c r="AS3292" s="28" t="n">
        <f aca="false">AR3292*$M3292</f>
        <v>0</v>
      </c>
      <c r="AT3292" s="28"/>
      <c r="AU3292" s="28" t="n">
        <f aca="false">AT3292*$M3292</f>
        <v>0</v>
      </c>
      <c r="AV3292" s="28"/>
      <c r="AW3292" s="28" t="n">
        <f aca="false">AV3292*$M3292</f>
        <v>0</v>
      </c>
      <c r="AX3292" s="28"/>
      <c r="AY3292" s="28" t="n">
        <f aca="false">AX3292*$M3292</f>
        <v>0</v>
      </c>
      <c r="AZ3292" s="30" t="n">
        <v>939939</v>
      </c>
      <c r="BA3292" s="11" t="n">
        <v>939939</v>
      </c>
      <c r="BB3292" s="31" t="n">
        <f aca="false">SUM(Q3292,S3292,U3292,W3292,Y3292,AA3292,AC3292,AE3292,AG3292,AI3292,AK3292,AM3292,AO3292,AQ3292,AS3292,AU3292,AW3292,AY3292)</f>
        <v>939939</v>
      </c>
      <c r="BC3292" s="28" t="n">
        <f aca="false">BA3292-BB3292</f>
        <v>0</v>
      </c>
      <c r="BD3292" s="32" t="n">
        <f aca="false">SUM(P3292,R3292,T3292,V3292,X3292,Z3292,AB3292,AD3292,AF3292,AH3292,AJ3292,AL3292,AN3292,AP3292,AR3292,AT3292,AV3292,AX3292)</f>
        <v>939939</v>
      </c>
      <c r="BE3292" s="33" t="n">
        <f aca="false">AZ3292-BD3292</f>
        <v>0</v>
      </c>
      <c r="BF3292" s="34" t="n">
        <f aca="false">BD3292*M3292</f>
        <v>939939</v>
      </c>
      <c r="BG3292" s="35" t="n">
        <f aca="false">BA3292-BF3292</f>
        <v>0</v>
      </c>
      <c r="BH3292" s="19" t="str">
        <f aca="false">IF(BG3292=0,"",IF(BG3292&lt;&gt;BA3292,"erreur de calcul",IF(BD3292&lt;&gt;0,"pas de prix",IF(M3292&lt;&gt; 0,"pas de quantité","pas de prix, ni de quantité"))))</f>
        <v/>
      </c>
      <c r="BI3292" s="19"/>
    </row>
    <row r="3293" customFormat="false" ht="15" hidden="false" customHeight="false" outlineLevel="0" collapsed="false">
      <c r="A3293" s="0" t="n">
        <v>7</v>
      </c>
      <c r="B3293" s="8" t="s">
        <v>24</v>
      </c>
      <c r="C3293" s="9" t="s">
        <v>25</v>
      </c>
      <c r="D3293" s="9" t="s">
        <v>26</v>
      </c>
      <c r="E3293" s="10" t="n">
        <v>1789</v>
      </c>
      <c r="F3293" s="9" t="s">
        <v>27</v>
      </c>
      <c r="G3293" s="9" t="s">
        <v>27</v>
      </c>
      <c r="H3293" s="11" t="n">
        <v>22</v>
      </c>
      <c r="I3293" s="11" t="s">
        <v>208</v>
      </c>
      <c r="J3293" s="14" t="n">
        <v>60</v>
      </c>
      <c r="K3293" s="14"/>
      <c r="L3293" s="16"/>
      <c r="M3293" s="27" t="n">
        <f aca="false">J3293+(K3293/20)+(L3293/240)</f>
        <v>60</v>
      </c>
      <c r="N3293" s="17" t="s">
        <v>64</v>
      </c>
      <c r="O3293" s="11"/>
      <c r="P3293" s="28"/>
      <c r="Q3293" s="28" t="n">
        <f aca="false">P3293*$M3293</f>
        <v>0</v>
      </c>
      <c r="R3293" s="28"/>
      <c r="S3293" s="28" t="n">
        <f aca="false">R3293*$M3293</f>
        <v>0</v>
      </c>
      <c r="T3293" s="28"/>
      <c r="U3293" s="28" t="n">
        <f aca="false">T3293*$M3293</f>
        <v>0</v>
      </c>
      <c r="V3293" s="28"/>
      <c r="W3293" s="28" t="n">
        <f aca="false">V3293*$M3293</f>
        <v>0</v>
      </c>
      <c r="X3293" s="28"/>
      <c r="Y3293" s="28" t="n">
        <f aca="false">X3293*$M3293</f>
        <v>0</v>
      </c>
      <c r="Z3293" s="28"/>
      <c r="AA3293" s="28" t="n">
        <f aca="false">Z3293*$M3293</f>
        <v>0</v>
      </c>
      <c r="AB3293" s="28"/>
      <c r="AC3293" s="28" t="n">
        <f aca="false">AB3293*$M3293</f>
        <v>0</v>
      </c>
      <c r="AD3293" s="28"/>
      <c r="AE3293" s="28" t="n">
        <f aca="false">AD3293*$M3293</f>
        <v>0</v>
      </c>
      <c r="AF3293" s="28"/>
      <c r="AG3293" s="28" t="n">
        <f aca="false">AF3293*$M3293</f>
        <v>0</v>
      </c>
      <c r="AH3293" s="28"/>
      <c r="AI3293" s="28" t="n">
        <f aca="false">AH3293*$M3293</f>
        <v>0</v>
      </c>
      <c r="AJ3293" s="28" t="n">
        <f aca="false">28692/100</f>
        <v>286.92</v>
      </c>
      <c r="AK3293" s="28" t="n">
        <v>17215</v>
      </c>
      <c r="AL3293" s="28"/>
      <c r="AM3293" s="28" t="n">
        <f aca="false">AL3293*$M3293</f>
        <v>0</v>
      </c>
      <c r="AN3293" s="28"/>
      <c r="AO3293" s="28" t="n">
        <f aca="false">AN3293*$M3293</f>
        <v>0</v>
      </c>
      <c r="AP3293" s="28"/>
      <c r="AQ3293" s="28" t="n">
        <f aca="false">AP3293*$M3293</f>
        <v>0</v>
      </c>
      <c r="AR3293" s="28"/>
      <c r="AS3293" s="28" t="n">
        <f aca="false">AR3293*$M3293</f>
        <v>0</v>
      </c>
      <c r="AT3293" s="28"/>
      <c r="AU3293" s="28" t="n">
        <f aca="false">AT3293*$M3293</f>
        <v>0</v>
      </c>
      <c r="AV3293" s="28"/>
      <c r="AW3293" s="28" t="n">
        <f aca="false">AV3293*$M3293</f>
        <v>0</v>
      </c>
      <c r="AX3293" s="28"/>
      <c r="AY3293" s="28" t="n">
        <f aca="false">AX3293*$M3293</f>
        <v>0</v>
      </c>
      <c r="AZ3293" s="30" t="n">
        <f aca="false">28692/100</f>
        <v>286.92</v>
      </c>
      <c r="BA3293" s="11" t="n">
        <v>17215</v>
      </c>
      <c r="BB3293" s="31" t="n">
        <f aca="false">SUM(Q3293,S3293,U3293,W3293,Y3293,AA3293,AC3293,AE3293,AG3293,AI3293,AK3293,AM3293,AO3293,AQ3293,AS3293,AU3293,AW3293,AY3293)</f>
        <v>17215</v>
      </c>
      <c r="BC3293" s="28" t="n">
        <f aca="false">BA3293-BB3293</f>
        <v>0</v>
      </c>
      <c r="BD3293" s="32" t="n">
        <f aca="false">SUM(P3293,R3293,T3293,V3293,X3293,Z3293,AB3293,AD3293,AF3293,AH3293,AJ3293,AL3293,AN3293,AP3293,AR3293,AT3293,AV3293,AX3293)</f>
        <v>286.92</v>
      </c>
      <c r="BE3293" s="33" t="n">
        <f aca="false">AZ3293-BD3293</f>
        <v>0</v>
      </c>
      <c r="BF3293" s="34" t="n">
        <f aca="false">BD3293*M3293</f>
        <v>17215.2</v>
      </c>
      <c r="BG3293" s="35" t="n">
        <f aca="false">BA3293-BF3293</f>
        <v>-0.200000000000728</v>
      </c>
      <c r="BH3293" s="19" t="str">
        <f aca="false">IF(BG3293=0,"",IF(BG3293&lt;&gt;BA3293,"erreur de calcul",IF(BD3293&lt;&gt;0,"pas de prix",IF(M3293&lt;&gt; 0,"pas de quantité","pas de prix, ni de quantité"))))</f>
        <v>erreur de calcul</v>
      </c>
      <c r="BI3293" s="19"/>
    </row>
    <row r="3294" customFormat="false" ht="15" hidden="false" customHeight="false" outlineLevel="0" collapsed="false">
      <c r="A3294" s="0" t="n">
        <v>8</v>
      </c>
      <c r="B3294" s="8" t="s">
        <v>24</v>
      </c>
      <c r="C3294" s="9" t="s">
        <v>25</v>
      </c>
      <c r="D3294" s="9" t="s">
        <v>26</v>
      </c>
      <c r="E3294" s="10" t="n">
        <v>1789</v>
      </c>
      <c r="F3294" s="9" t="s">
        <v>27</v>
      </c>
      <c r="G3294" s="9" t="s">
        <v>27</v>
      </c>
      <c r="H3294" s="11" t="n">
        <v>22</v>
      </c>
      <c r="I3294" s="11" t="s">
        <v>209</v>
      </c>
      <c r="J3294" s="14" t="n">
        <v>26</v>
      </c>
      <c r="K3294" s="14"/>
      <c r="L3294" s="16"/>
      <c r="M3294" s="27" t="n">
        <f aca="false">J3294+(K3294/20)+(L3294/240)</f>
        <v>26</v>
      </c>
      <c r="N3294" s="17" t="s">
        <v>64</v>
      </c>
      <c r="O3294" s="11"/>
      <c r="P3294" s="28" t="n">
        <f aca="false">9675/100</f>
        <v>96.75</v>
      </c>
      <c r="Q3294" s="28" t="n">
        <v>2515</v>
      </c>
      <c r="R3294" s="28"/>
      <c r="S3294" s="28" t="n">
        <f aca="false">R3294*$M3294</f>
        <v>0</v>
      </c>
      <c r="T3294" s="28"/>
      <c r="U3294" s="28" t="n">
        <f aca="false">T3294*$M3294</f>
        <v>0</v>
      </c>
      <c r="V3294" s="28"/>
      <c r="W3294" s="28" t="n">
        <f aca="false">V3294*$M3294</f>
        <v>0</v>
      </c>
      <c r="X3294" s="28"/>
      <c r="Y3294" s="28" t="n">
        <f aca="false">X3294*$M3294</f>
        <v>0</v>
      </c>
      <c r="Z3294" s="28"/>
      <c r="AA3294" s="28" t="n">
        <f aca="false">Z3294*$M3294</f>
        <v>0</v>
      </c>
      <c r="AB3294" s="28"/>
      <c r="AC3294" s="28" t="n">
        <f aca="false">AB3294*$M3294</f>
        <v>0</v>
      </c>
      <c r="AD3294" s="28"/>
      <c r="AE3294" s="28" t="n">
        <f aca="false">AD3294*$M3294</f>
        <v>0</v>
      </c>
      <c r="AF3294" s="28"/>
      <c r="AG3294" s="28" t="n">
        <f aca="false">AF3294*$M3294</f>
        <v>0</v>
      </c>
      <c r="AH3294" s="28"/>
      <c r="AI3294" s="28" t="n">
        <f aca="false">AH3294*$M3294</f>
        <v>0</v>
      </c>
      <c r="AJ3294" s="28"/>
      <c r="AK3294" s="28" t="n">
        <f aca="false">AJ3294*$M3294</f>
        <v>0</v>
      </c>
      <c r="AL3294" s="28"/>
      <c r="AM3294" s="28" t="n">
        <f aca="false">AL3294*$M3294</f>
        <v>0</v>
      </c>
      <c r="AN3294" s="28"/>
      <c r="AO3294" s="28" t="n">
        <f aca="false">AN3294*$M3294</f>
        <v>0</v>
      </c>
      <c r="AP3294" s="28"/>
      <c r="AQ3294" s="28" t="n">
        <f aca="false">AP3294*$M3294</f>
        <v>0</v>
      </c>
      <c r="AR3294" s="28"/>
      <c r="AS3294" s="28" t="n">
        <f aca="false">AR3294*$M3294</f>
        <v>0</v>
      </c>
      <c r="AT3294" s="28"/>
      <c r="AU3294" s="28" t="n">
        <f aca="false">AT3294*$M3294</f>
        <v>0</v>
      </c>
      <c r="AV3294" s="28"/>
      <c r="AW3294" s="28" t="n">
        <f aca="false">AV3294*$M3294</f>
        <v>0</v>
      </c>
      <c r="AX3294" s="28"/>
      <c r="AY3294" s="28" t="n">
        <f aca="false">AX3294*$M3294</f>
        <v>0</v>
      </c>
      <c r="AZ3294" s="30" t="n">
        <f aca="false">9675/100</f>
        <v>96.75</v>
      </c>
      <c r="BA3294" s="11" t="n">
        <v>2515</v>
      </c>
      <c r="BB3294" s="31" t="n">
        <f aca="false">SUM(Q3294,S3294,U3294,W3294,Y3294,AA3294,AC3294,AE3294,AG3294,AI3294,AK3294,AM3294,AO3294,AQ3294,AS3294,AU3294,AW3294,AY3294)</f>
        <v>2515</v>
      </c>
      <c r="BC3294" s="28" t="n">
        <f aca="false">BA3294-BB3294</f>
        <v>0</v>
      </c>
      <c r="BD3294" s="32" t="n">
        <f aca="false">SUM(P3294,R3294,T3294,V3294,X3294,Z3294,AB3294,AD3294,AF3294,AH3294,AJ3294,AL3294,AN3294,AP3294,AR3294,AT3294,AV3294,AX3294)</f>
        <v>96.75</v>
      </c>
      <c r="BE3294" s="33" t="n">
        <f aca="false">AZ3294-BD3294</f>
        <v>0</v>
      </c>
      <c r="BF3294" s="34" t="n">
        <f aca="false">BD3294*M3294</f>
        <v>2515.5</v>
      </c>
      <c r="BG3294" s="35" t="n">
        <f aca="false">BA3294-BF3294</f>
        <v>-0.5</v>
      </c>
      <c r="BH3294" s="19" t="str">
        <f aca="false">IF(BG3294=0,"",IF(BG3294&lt;&gt;BA3294,"erreur de calcul",IF(BD3294&lt;&gt;0,"pas de prix",IF(M3294&lt;&gt; 0,"pas de quantité","pas de prix, ni de quantité"))))</f>
        <v>erreur de calcul</v>
      </c>
      <c r="BI3294" s="19"/>
    </row>
    <row r="3295" customFormat="false" ht="15" hidden="false" customHeight="false" outlineLevel="0" collapsed="false">
      <c r="A3295" s="0" t="n">
        <v>9</v>
      </c>
      <c r="B3295" s="8" t="s">
        <v>24</v>
      </c>
      <c r="C3295" s="9" t="s">
        <v>25</v>
      </c>
      <c r="D3295" s="9" t="s">
        <v>26</v>
      </c>
      <c r="E3295" s="10" t="n">
        <v>1789</v>
      </c>
      <c r="F3295" s="9" t="s">
        <v>27</v>
      </c>
      <c r="G3295" s="9" t="s">
        <v>27</v>
      </c>
      <c r="H3295" s="11" t="n">
        <v>22</v>
      </c>
      <c r="I3295" s="11" t="s">
        <v>210</v>
      </c>
      <c r="J3295" s="14" t="n">
        <v>8</v>
      </c>
      <c r="K3295" s="14" t="n">
        <v>15</v>
      </c>
      <c r="L3295" s="16"/>
      <c r="M3295" s="27" t="n">
        <f aca="false">J3295+(K3295/20)+(L3295/240)</f>
        <v>8.75</v>
      </c>
      <c r="N3295" s="17" t="s">
        <v>66</v>
      </c>
      <c r="O3295" s="11"/>
      <c r="P3295" s="28"/>
      <c r="Q3295" s="28" t="n">
        <f aca="false">P3295*$M3295</f>
        <v>0</v>
      </c>
      <c r="R3295" s="28"/>
      <c r="S3295" s="28" t="n">
        <f aca="false">R3295*$M3295</f>
        <v>0</v>
      </c>
      <c r="T3295" s="28" t="n">
        <v>2562</v>
      </c>
      <c r="U3295" s="36" t="n">
        <v>21777</v>
      </c>
      <c r="V3295" s="28" t="n">
        <v>127</v>
      </c>
      <c r="W3295" s="28" t="n">
        <v>1111</v>
      </c>
      <c r="X3295" s="28" t="n">
        <v>1945</v>
      </c>
      <c r="Y3295" s="28" t="n">
        <v>17018</v>
      </c>
      <c r="Z3295" s="28"/>
      <c r="AA3295" s="28" t="n">
        <f aca="false">Z3295*$M3295</f>
        <v>0</v>
      </c>
      <c r="AB3295" s="28"/>
      <c r="AC3295" s="28" t="n">
        <f aca="false">AB3295*$M3295</f>
        <v>0</v>
      </c>
      <c r="AD3295" s="28"/>
      <c r="AE3295" s="28" t="n">
        <f aca="false">AD3295*$M3295</f>
        <v>0</v>
      </c>
      <c r="AF3295" s="28"/>
      <c r="AG3295" s="28" t="n">
        <f aca="false">AF3295*$M3295</f>
        <v>0</v>
      </c>
      <c r="AH3295" s="28"/>
      <c r="AI3295" s="28" t="n">
        <f aca="false">AH3295*$M3295</f>
        <v>0</v>
      </c>
      <c r="AJ3295" s="28" t="n">
        <v>3538</v>
      </c>
      <c r="AK3295" s="36" t="n">
        <v>30073</v>
      </c>
      <c r="AL3295" s="28"/>
      <c r="AM3295" s="28" t="n">
        <f aca="false">AL3295*$M3295</f>
        <v>0</v>
      </c>
      <c r="AN3295" s="28"/>
      <c r="AO3295" s="28" t="n">
        <f aca="false">AN3295*$M3295</f>
        <v>0</v>
      </c>
      <c r="AP3295" s="28"/>
      <c r="AQ3295" s="28" t="n">
        <f aca="false">AP3295*$M3295</f>
        <v>0</v>
      </c>
      <c r="AR3295" s="28"/>
      <c r="AS3295" s="28" t="n">
        <f aca="false">AR3295*$M3295</f>
        <v>0</v>
      </c>
      <c r="AT3295" s="28"/>
      <c r="AU3295" s="28" t="n">
        <f aca="false">AT3295*$M3295</f>
        <v>0</v>
      </c>
      <c r="AV3295" s="28"/>
      <c r="AW3295" s="28" t="n">
        <f aca="false">AV3295*$M3295</f>
        <v>0</v>
      </c>
      <c r="AX3295" s="28" t="n">
        <v>11559</v>
      </c>
      <c r="AY3295" s="28" t="n">
        <v>101141</v>
      </c>
      <c r="AZ3295" s="30" t="n">
        <v>19731</v>
      </c>
      <c r="BA3295" s="11" t="n">
        <v>171120</v>
      </c>
      <c r="BB3295" s="31" t="n">
        <f aca="false">SUM(Q3295,S3295,U3295,W3295,Y3295,AA3295,AC3295,AE3295,AG3295,AI3295,AK3295,AM3295,AO3295,AQ3295,AS3295,AU3295,AW3295,AY3295)</f>
        <v>171120</v>
      </c>
      <c r="BC3295" s="28" t="n">
        <f aca="false">BA3295-BB3295</f>
        <v>0</v>
      </c>
      <c r="BD3295" s="32" t="n">
        <f aca="false">SUM(P3295,R3295,T3295,V3295,X3295,Z3295,AB3295,AD3295,AF3295,AH3295,AJ3295,AL3295,AN3295,AP3295,AR3295,AT3295,AV3295,AX3295)</f>
        <v>19731</v>
      </c>
      <c r="BE3295" s="33" t="n">
        <f aca="false">AZ3295-BD3295</f>
        <v>0</v>
      </c>
      <c r="BF3295" s="34" t="n">
        <f aca="false">BD3295*M3295</f>
        <v>172646.25</v>
      </c>
      <c r="BG3295" s="35" t="n">
        <f aca="false">BA3295-BF3295</f>
        <v>-1526.25</v>
      </c>
      <c r="BH3295" s="19" t="str">
        <f aca="false">IF(BG3295=0,"",IF(BG3295&lt;&gt;BA3295,"erreur de calcul",IF(BD3295&lt;&gt;0,"pas de prix",IF(M3295&lt;&gt; 0,"pas de quantité","pas de prix, ni de quantité"))))</f>
        <v>erreur de calcul</v>
      </c>
      <c r="BI3295" s="19"/>
    </row>
    <row r="3296" customFormat="false" ht="15" hidden="false" customHeight="false" outlineLevel="0" collapsed="false">
      <c r="A3296" s="0" t="n">
        <v>10</v>
      </c>
      <c r="B3296" s="8" t="s">
        <v>24</v>
      </c>
      <c r="C3296" s="9" t="s">
        <v>25</v>
      </c>
      <c r="D3296" s="9" t="s">
        <v>26</v>
      </c>
      <c r="E3296" s="10" t="n">
        <v>1789</v>
      </c>
      <c r="F3296" s="9" t="s">
        <v>27</v>
      </c>
      <c r="G3296" s="9" t="s">
        <v>27</v>
      </c>
      <c r="H3296" s="11" t="n">
        <v>22</v>
      </c>
      <c r="I3296" s="11" t="s">
        <v>211</v>
      </c>
      <c r="J3296" s="14" t="n">
        <v>11</v>
      </c>
      <c r="K3296" s="14"/>
      <c r="L3296" s="16"/>
      <c r="M3296" s="27" t="n">
        <f aca="false">J3296+(K3296/20)+(L3296/240)</f>
        <v>11</v>
      </c>
      <c r="N3296" s="17" t="s">
        <v>66</v>
      </c>
      <c r="O3296" s="11"/>
      <c r="P3296" s="28" t="n">
        <v>95190</v>
      </c>
      <c r="Q3296" s="28" t="n">
        <v>1047090</v>
      </c>
      <c r="R3296" s="28"/>
      <c r="S3296" s="28" t="n">
        <f aca="false">R3296*$M3296</f>
        <v>0</v>
      </c>
      <c r="T3296" s="28"/>
      <c r="U3296" s="28" t="n">
        <f aca="false">T3296*$M3296</f>
        <v>0</v>
      </c>
      <c r="V3296" s="28"/>
      <c r="W3296" s="28" t="n">
        <f aca="false">V3296*$M3296</f>
        <v>0</v>
      </c>
      <c r="X3296" s="28"/>
      <c r="Y3296" s="28" t="n">
        <f aca="false">X3296*$M3296</f>
        <v>0</v>
      </c>
      <c r="Z3296" s="28"/>
      <c r="AA3296" s="28" t="n">
        <f aca="false">Z3296*$M3296</f>
        <v>0</v>
      </c>
      <c r="AB3296" s="28"/>
      <c r="AC3296" s="28" t="n">
        <f aca="false">AB3296*$M3296</f>
        <v>0</v>
      </c>
      <c r="AD3296" s="28"/>
      <c r="AE3296" s="28" t="n">
        <f aca="false">AD3296*$M3296</f>
        <v>0</v>
      </c>
      <c r="AF3296" s="28"/>
      <c r="AG3296" s="28" t="n">
        <f aca="false">AF3296*$M3296</f>
        <v>0</v>
      </c>
      <c r="AH3296" s="28"/>
      <c r="AI3296" s="28" t="n">
        <f aca="false">AH3296*$M3296</f>
        <v>0</v>
      </c>
      <c r="AJ3296" s="28"/>
      <c r="AK3296" s="28" t="n">
        <f aca="false">AJ3296*$M3296</f>
        <v>0</v>
      </c>
      <c r="AL3296" s="28"/>
      <c r="AM3296" s="28" t="n">
        <f aca="false">AL3296*$M3296</f>
        <v>0</v>
      </c>
      <c r="AN3296" s="28"/>
      <c r="AO3296" s="28" t="n">
        <f aca="false">AN3296*$M3296</f>
        <v>0</v>
      </c>
      <c r="AP3296" s="28"/>
      <c r="AQ3296" s="28" t="n">
        <f aca="false">AP3296*$M3296</f>
        <v>0</v>
      </c>
      <c r="AR3296" s="28"/>
      <c r="AS3296" s="28" t="n">
        <f aca="false">AR3296*$M3296</f>
        <v>0</v>
      </c>
      <c r="AT3296" s="28"/>
      <c r="AU3296" s="28" t="n">
        <f aca="false">AT3296*$M3296</f>
        <v>0</v>
      </c>
      <c r="AV3296" s="28"/>
      <c r="AW3296" s="28" t="n">
        <f aca="false">AV3296*$M3296</f>
        <v>0</v>
      </c>
      <c r="AX3296" s="28"/>
      <c r="AY3296" s="28" t="n">
        <f aca="false">AX3296*$M3296</f>
        <v>0</v>
      </c>
      <c r="AZ3296" s="30" t="n">
        <v>95190</v>
      </c>
      <c r="BA3296" s="11" t="n">
        <v>1047090</v>
      </c>
      <c r="BB3296" s="31" t="n">
        <f aca="false">SUM(Q3296,S3296,U3296,W3296,Y3296,AA3296,AC3296,AE3296,AG3296,AI3296,AK3296,AM3296,AO3296,AQ3296,AS3296,AU3296,AW3296,AY3296)</f>
        <v>1047090</v>
      </c>
      <c r="BC3296" s="28" t="n">
        <f aca="false">BA3296-BB3296</f>
        <v>0</v>
      </c>
      <c r="BD3296" s="32" t="n">
        <f aca="false">SUM(P3296,R3296,T3296,V3296,X3296,Z3296,AB3296,AD3296,AF3296,AH3296,AJ3296,AL3296,AN3296,AP3296,AR3296,AT3296,AV3296,AX3296)</f>
        <v>95190</v>
      </c>
      <c r="BE3296" s="33" t="n">
        <f aca="false">AZ3296-BD3296</f>
        <v>0</v>
      </c>
      <c r="BF3296" s="34" t="n">
        <f aca="false">BD3296*M3296</f>
        <v>1047090</v>
      </c>
      <c r="BG3296" s="35" t="n">
        <f aca="false">BA3296-BF3296</f>
        <v>0</v>
      </c>
      <c r="BH3296" s="19" t="str">
        <f aca="false">IF(BG3296=0,"",IF(BG3296&lt;&gt;BA3296,"erreur de calcul",IF(BD3296&lt;&gt;0,"pas de prix",IF(M3296&lt;&gt; 0,"pas de quantité","pas de prix, ni de quantité"))))</f>
        <v/>
      </c>
      <c r="BI3296" s="19"/>
    </row>
    <row r="3297" customFormat="false" ht="17.15" hidden="false" customHeight="false" outlineLevel="0" collapsed="false">
      <c r="A3297" s="0" t="n">
        <v>11</v>
      </c>
      <c r="B3297" s="8" t="s">
        <v>24</v>
      </c>
      <c r="C3297" s="9" t="s">
        <v>25</v>
      </c>
      <c r="D3297" s="9" t="s">
        <v>26</v>
      </c>
      <c r="E3297" s="10" t="n">
        <v>1789</v>
      </c>
      <c r="F3297" s="9" t="s">
        <v>27</v>
      </c>
      <c r="G3297" s="9" t="s">
        <v>27</v>
      </c>
      <c r="H3297" s="11" t="n">
        <v>22</v>
      </c>
      <c r="I3297" s="40" t="s">
        <v>212</v>
      </c>
      <c r="J3297" s="14" t="n">
        <v>75</v>
      </c>
      <c r="K3297" s="14"/>
      <c r="L3297" s="16"/>
      <c r="M3297" s="27" t="n">
        <f aca="false">J3297+(K3297/20)+(L3297/240)</f>
        <v>75</v>
      </c>
      <c r="N3297" s="17" t="s">
        <v>64</v>
      </c>
      <c r="O3297" s="11"/>
      <c r="P3297" s="28"/>
      <c r="Q3297" s="28" t="n">
        <f aca="false">P3297*$M3297</f>
        <v>0</v>
      </c>
      <c r="R3297" s="28"/>
      <c r="S3297" s="28" t="n">
        <f aca="false">R3297*$M3297</f>
        <v>0</v>
      </c>
      <c r="T3297" s="28"/>
      <c r="U3297" s="28" t="n">
        <f aca="false">T3297*$M3297</f>
        <v>0</v>
      </c>
      <c r="V3297" s="28"/>
      <c r="W3297" s="28" t="n">
        <f aca="false">V3297*$M3297</f>
        <v>0</v>
      </c>
      <c r="X3297" s="28"/>
      <c r="Y3297" s="28" t="n">
        <f aca="false">X3297*$M3297</f>
        <v>0</v>
      </c>
      <c r="Z3297" s="28"/>
      <c r="AA3297" s="28" t="n">
        <f aca="false">Z3297*$M3297</f>
        <v>0</v>
      </c>
      <c r="AB3297" s="28"/>
      <c r="AC3297" s="28" t="n">
        <f aca="false">AB3297*$M3297</f>
        <v>0</v>
      </c>
      <c r="AD3297" s="28"/>
      <c r="AE3297" s="28" t="n">
        <f aca="false">AD3297*$M3297</f>
        <v>0</v>
      </c>
      <c r="AF3297" s="28"/>
      <c r="AG3297" s="28" t="n">
        <f aca="false">AF3297*$M3297</f>
        <v>0</v>
      </c>
      <c r="AH3297" s="28"/>
      <c r="AI3297" s="28" t="n">
        <f aca="false">AH3297*$M3297</f>
        <v>0</v>
      </c>
      <c r="AJ3297" s="28" t="n">
        <f aca="false">2372/100</f>
        <v>23.72</v>
      </c>
      <c r="AK3297" s="28" t="n">
        <v>1779</v>
      </c>
      <c r="AL3297" s="28"/>
      <c r="AM3297" s="28" t="n">
        <f aca="false">AL3297*$M3297</f>
        <v>0</v>
      </c>
      <c r="AN3297" s="28"/>
      <c r="AO3297" s="28" t="n">
        <f aca="false">AN3297*$M3297</f>
        <v>0</v>
      </c>
      <c r="AP3297" s="28"/>
      <c r="AQ3297" s="28" t="n">
        <f aca="false">AP3297*$M3297</f>
        <v>0</v>
      </c>
      <c r="AR3297" s="28"/>
      <c r="AS3297" s="28" t="n">
        <f aca="false">AR3297*$M3297</f>
        <v>0</v>
      </c>
      <c r="AT3297" s="28"/>
      <c r="AU3297" s="28" t="n">
        <f aca="false">AT3297*$M3297</f>
        <v>0</v>
      </c>
      <c r="AV3297" s="28"/>
      <c r="AW3297" s="28" t="n">
        <f aca="false">AV3297*$M3297</f>
        <v>0</v>
      </c>
      <c r="AX3297" s="28"/>
      <c r="AY3297" s="28" t="n">
        <f aca="false">AX3297*$M3297</f>
        <v>0</v>
      </c>
      <c r="AZ3297" s="30" t="n">
        <f aca="false">2372/100</f>
        <v>23.72</v>
      </c>
      <c r="BA3297" s="11" t="n">
        <v>1779</v>
      </c>
      <c r="BB3297" s="31" t="n">
        <f aca="false">SUM(Q3297,S3297,U3297,W3297,Y3297,AA3297,AC3297,AE3297,AG3297,AI3297,AK3297,AM3297,AO3297,AQ3297,AS3297,AU3297,AW3297,AY3297)</f>
        <v>1779</v>
      </c>
      <c r="BC3297" s="28" t="n">
        <f aca="false">BA3297-BB3297</f>
        <v>0</v>
      </c>
      <c r="BD3297" s="32" t="n">
        <f aca="false">SUM(P3297,R3297,T3297,V3297,X3297,Z3297,AB3297,AD3297,AF3297,AH3297,AJ3297,AL3297,AN3297,AP3297,AR3297,AT3297,AV3297,AX3297)</f>
        <v>23.72</v>
      </c>
      <c r="BE3297" s="33" t="n">
        <f aca="false">AZ3297-BD3297</f>
        <v>0</v>
      </c>
      <c r="BF3297" s="34" t="n">
        <f aca="false">BD3297*M3297</f>
        <v>1779</v>
      </c>
      <c r="BG3297" s="35" t="n">
        <f aca="false">BA3297-BF3297</f>
        <v>0</v>
      </c>
      <c r="BH3297" s="19" t="str">
        <f aca="false">IF(BG3297=0,"",IF(BG3297&lt;&gt;BA3297,"erreur de calcul",IF(BD3297&lt;&gt;0,"pas de prix",IF(M3297&lt;&gt; 0,"pas de quantité","pas de prix, ni de quantité"))))</f>
        <v/>
      </c>
      <c r="BI3297" s="19"/>
    </row>
    <row r="3298" customFormat="false" ht="15" hidden="false" customHeight="false" outlineLevel="0" collapsed="false">
      <c r="A3298" s="0" t="n">
        <v>12</v>
      </c>
      <c r="B3298" s="8" t="s">
        <v>24</v>
      </c>
      <c r="C3298" s="9" t="s">
        <v>25</v>
      </c>
      <c r="D3298" s="9" t="s">
        <v>26</v>
      </c>
      <c r="E3298" s="10" t="n">
        <v>1789</v>
      </c>
      <c r="F3298" s="9" t="s">
        <v>27</v>
      </c>
      <c r="G3298" s="9" t="s">
        <v>27</v>
      </c>
      <c r="H3298" s="11" t="n">
        <v>22</v>
      </c>
      <c r="I3298" s="11" t="s">
        <v>213</v>
      </c>
      <c r="J3298" s="14" t="n">
        <v>31</v>
      </c>
      <c r="K3298" s="14"/>
      <c r="L3298" s="16"/>
      <c r="M3298" s="27" t="n">
        <f aca="false">J3298+(K3298/20)+(L3298/240)</f>
        <v>31</v>
      </c>
      <c r="N3298" s="17" t="s">
        <v>64</v>
      </c>
      <c r="O3298" s="11"/>
      <c r="P3298" s="28"/>
      <c r="Q3298" s="28" t="n">
        <f aca="false">P3298*$M3298</f>
        <v>0</v>
      </c>
      <c r="R3298" s="28"/>
      <c r="S3298" s="28" t="n">
        <f aca="false">R3298*$M3298</f>
        <v>0</v>
      </c>
      <c r="T3298" s="28"/>
      <c r="U3298" s="28" t="n">
        <f aca="false">T3298*$M3298</f>
        <v>0</v>
      </c>
      <c r="V3298" s="28"/>
      <c r="W3298" s="28" t="n">
        <f aca="false">V3298*$M3298</f>
        <v>0</v>
      </c>
      <c r="X3298" s="28" t="n">
        <f aca="false">18202/100</f>
        <v>182.02</v>
      </c>
      <c r="Y3298" s="28" t="n">
        <v>5643</v>
      </c>
      <c r="Z3298" s="28"/>
      <c r="AA3298" s="28" t="n">
        <f aca="false">Z3298*$M3298</f>
        <v>0</v>
      </c>
      <c r="AB3298" s="28"/>
      <c r="AC3298" s="28" t="n">
        <f aca="false">AB3298*$M3298</f>
        <v>0</v>
      </c>
      <c r="AD3298" s="28"/>
      <c r="AE3298" s="28" t="n">
        <f aca="false">AD3298*$M3298</f>
        <v>0</v>
      </c>
      <c r="AF3298" s="28"/>
      <c r="AG3298" s="28" t="n">
        <f aca="false">AF3298*$M3298</f>
        <v>0</v>
      </c>
      <c r="AH3298" s="28"/>
      <c r="AI3298" s="28" t="n">
        <f aca="false">AH3298*$M3298</f>
        <v>0</v>
      </c>
      <c r="AJ3298" s="28"/>
      <c r="AK3298" s="28" t="n">
        <f aca="false">AJ3298*$M3298</f>
        <v>0</v>
      </c>
      <c r="AL3298" s="28"/>
      <c r="AM3298" s="28" t="n">
        <f aca="false">AL3298*$M3298</f>
        <v>0</v>
      </c>
      <c r="AN3298" s="28"/>
      <c r="AO3298" s="28" t="n">
        <f aca="false">AN3298*$M3298</f>
        <v>0</v>
      </c>
      <c r="AP3298" s="28"/>
      <c r="AQ3298" s="28" t="n">
        <f aca="false">AP3298*$M3298</f>
        <v>0</v>
      </c>
      <c r="AR3298" s="28"/>
      <c r="AS3298" s="28" t="n">
        <f aca="false">AR3298*$M3298</f>
        <v>0</v>
      </c>
      <c r="AT3298" s="28"/>
      <c r="AU3298" s="28" t="n">
        <f aca="false">AT3298*$M3298</f>
        <v>0</v>
      </c>
      <c r="AV3298" s="28"/>
      <c r="AW3298" s="28" t="n">
        <f aca="false">AV3298*$M3298</f>
        <v>0</v>
      </c>
      <c r="AX3298" s="28"/>
      <c r="AY3298" s="28" t="n">
        <f aca="false">AX3298*$M3298</f>
        <v>0</v>
      </c>
      <c r="AZ3298" s="30" t="n">
        <f aca="false">18202/100</f>
        <v>182.02</v>
      </c>
      <c r="BA3298" s="11" t="n">
        <v>5643</v>
      </c>
      <c r="BB3298" s="31" t="n">
        <f aca="false">SUM(Q3298,S3298,U3298,W3298,Y3298,AA3298,AC3298,AE3298,AG3298,AI3298,AK3298,AM3298,AO3298,AQ3298,AS3298,AU3298,AW3298,AY3298)</f>
        <v>5643</v>
      </c>
      <c r="BC3298" s="28" t="n">
        <f aca="false">BA3298-BB3298</f>
        <v>0</v>
      </c>
      <c r="BD3298" s="32" t="n">
        <f aca="false">SUM(P3298,R3298,T3298,V3298,X3298,Z3298,AB3298,AD3298,AF3298,AH3298,AJ3298,AL3298,AN3298,AP3298,AR3298,AT3298,AV3298,AX3298)</f>
        <v>182.02</v>
      </c>
      <c r="BE3298" s="33" t="n">
        <f aca="false">AZ3298-BD3298</f>
        <v>0</v>
      </c>
      <c r="BF3298" s="34" t="n">
        <f aca="false">BD3298*M3298</f>
        <v>5642.62</v>
      </c>
      <c r="BG3298" s="35" t="n">
        <f aca="false">BA3298-BF3298</f>
        <v>0.380000000000109</v>
      </c>
      <c r="BH3298" s="19" t="str">
        <f aca="false">IF(BG3298=0,"",IF(BG3298&lt;&gt;BA3298,"erreur de calcul",IF(BD3298&lt;&gt;0,"pas de prix",IF(M3298&lt;&gt; 0,"pas de quantité","pas de prix, ni de quantité"))))</f>
        <v>erreur de calcul</v>
      </c>
      <c r="BI3298" s="19"/>
    </row>
    <row r="3299" customFormat="false" ht="15" hidden="false" customHeight="false" outlineLevel="0" collapsed="false">
      <c r="A3299" s="0" t="n">
        <v>13</v>
      </c>
      <c r="B3299" s="8" t="s">
        <v>24</v>
      </c>
      <c r="C3299" s="9" t="s">
        <v>25</v>
      </c>
      <c r="D3299" s="9" t="s">
        <v>26</v>
      </c>
      <c r="E3299" s="10" t="n">
        <v>1789</v>
      </c>
      <c r="F3299" s="9" t="s">
        <v>27</v>
      </c>
      <c r="G3299" s="9" t="s">
        <v>27</v>
      </c>
      <c r="H3299" s="11" t="n">
        <v>22</v>
      </c>
      <c r="I3299" s="11" t="s">
        <v>214</v>
      </c>
      <c r="J3299" s="14"/>
      <c r="K3299" s="14" t="n">
        <v>20</v>
      </c>
      <c r="L3299" s="16"/>
      <c r="M3299" s="27" t="n">
        <f aca="false">J3299+(K3299/20)+(L3299/240)</f>
        <v>1</v>
      </c>
      <c r="N3299" s="17" t="s">
        <v>66</v>
      </c>
      <c r="O3299" s="11"/>
      <c r="P3299" s="28"/>
      <c r="Q3299" s="28" t="n">
        <f aca="false">P3299*$M3299</f>
        <v>0</v>
      </c>
      <c r="R3299" s="28"/>
      <c r="S3299" s="28" t="n">
        <f aca="false">R3299*$M3299</f>
        <v>0</v>
      </c>
      <c r="T3299" s="28"/>
      <c r="U3299" s="28" t="n">
        <f aca="false">T3299*$M3299</f>
        <v>0</v>
      </c>
      <c r="V3299" s="28"/>
      <c r="W3299" s="28" t="n">
        <f aca="false">V3299*$M3299</f>
        <v>0</v>
      </c>
      <c r="X3299" s="28"/>
      <c r="Y3299" s="28" t="n">
        <f aca="false">X3299*$M3299</f>
        <v>0</v>
      </c>
      <c r="Z3299" s="28"/>
      <c r="AA3299" s="28" t="n">
        <f aca="false">Z3299*$M3299</f>
        <v>0</v>
      </c>
      <c r="AB3299" s="28"/>
      <c r="AC3299" s="28" t="n">
        <f aca="false">AB3299*$M3299</f>
        <v>0</v>
      </c>
      <c r="AD3299" s="28" t="n">
        <v>2831</v>
      </c>
      <c r="AE3299" s="28" t="n">
        <v>2831</v>
      </c>
      <c r="AF3299" s="28"/>
      <c r="AG3299" s="28" t="n">
        <f aca="false">AF3299*$M3299</f>
        <v>0</v>
      </c>
      <c r="AH3299" s="28"/>
      <c r="AI3299" s="28" t="n">
        <f aca="false">AH3299*$M3299</f>
        <v>0</v>
      </c>
      <c r="AJ3299" s="28"/>
      <c r="AK3299" s="28" t="n">
        <f aca="false">AJ3299*$M3299</f>
        <v>0</v>
      </c>
      <c r="AL3299" s="28"/>
      <c r="AM3299" s="28" t="n">
        <f aca="false">AL3299*$M3299</f>
        <v>0</v>
      </c>
      <c r="AN3299" s="28"/>
      <c r="AO3299" s="28" t="n">
        <f aca="false">AN3299*$M3299</f>
        <v>0</v>
      </c>
      <c r="AP3299" s="28"/>
      <c r="AQ3299" s="28" t="n">
        <f aca="false">AP3299*$M3299</f>
        <v>0</v>
      </c>
      <c r="AR3299" s="28"/>
      <c r="AS3299" s="28" t="n">
        <f aca="false">AR3299*$M3299</f>
        <v>0</v>
      </c>
      <c r="AT3299" s="28"/>
      <c r="AU3299" s="28" t="n">
        <f aca="false">AT3299*$M3299</f>
        <v>0</v>
      </c>
      <c r="AV3299" s="28"/>
      <c r="AW3299" s="28" t="n">
        <f aca="false">AV3299*$M3299</f>
        <v>0</v>
      </c>
      <c r="AX3299" s="28"/>
      <c r="AY3299" s="28" t="n">
        <f aca="false">AX3299*$M3299</f>
        <v>0</v>
      </c>
      <c r="AZ3299" s="30" t="n">
        <v>2831</v>
      </c>
      <c r="BA3299" s="11" t="n">
        <v>2831</v>
      </c>
      <c r="BB3299" s="31" t="n">
        <f aca="false">SUM(Q3299,S3299,U3299,W3299,Y3299,AA3299,AC3299,AE3299,AG3299,AI3299,AK3299,AM3299,AO3299,AQ3299,AS3299,AU3299,AW3299,AY3299)</f>
        <v>2831</v>
      </c>
      <c r="BC3299" s="28" t="n">
        <f aca="false">BA3299-BB3299</f>
        <v>0</v>
      </c>
      <c r="BD3299" s="32" t="n">
        <f aca="false">SUM(P3299,R3299,T3299,V3299,X3299,Z3299,AB3299,AD3299,AF3299,AH3299,AJ3299,AL3299,AN3299,AP3299,AR3299,AT3299,AV3299,AX3299)</f>
        <v>2831</v>
      </c>
      <c r="BE3299" s="33" t="n">
        <f aca="false">AZ3299-BD3299</f>
        <v>0</v>
      </c>
      <c r="BF3299" s="34" t="n">
        <f aca="false">BD3299*M3299</f>
        <v>2831</v>
      </c>
      <c r="BG3299" s="35" t="n">
        <f aca="false">BA3299-BF3299</f>
        <v>0</v>
      </c>
      <c r="BH3299" s="19" t="str">
        <f aca="false">IF(BG3299=0,"",IF(BG3299&lt;&gt;BA3299,"erreur de calcul",IF(BD3299&lt;&gt;0,"pas de prix",IF(M3299&lt;&gt; 0,"pas de quantité","pas de prix, ni de quantité"))))</f>
        <v/>
      </c>
      <c r="BI3299" s="19"/>
    </row>
    <row r="3300" customFormat="false" ht="15" hidden="false" customHeight="false" outlineLevel="0" collapsed="false">
      <c r="A3300" s="0" t="n">
        <v>14</v>
      </c>
      <c r="B3300" s="8" t="s">
        <v>24</v>
      </c>
      <c r="C3300" s="9" t="s">
        <v>25</v>
      </c>
      <c r="D3300" s="9" t="s">
        <v>26</v>
      </c>
      <c r="E3300" s="10" t="n">
        <v>1789</v>
      </c>
      <c r="F3300" s="9" t="s">
        <v>27</v>
      </c>
      <c r="G3300" s="9" t="s">
        <v>27</v>
      </c>
      <c r="H3300" s="11" t="n">
        <v>22</v>
      </c>
      <c r="I3300" s="11" t="s">
        <v>215</v>
      </c>
      <c r="J3300" s="14" t="n">
        <v>36</v>
      </c>
      <c r="K3300" s="14"/>
      <c r="L3300" s="16"/>
      <c r="M3300" s="27" t="n">
        <f aca="false">J3300+(K3300/20)+(L3300/240)</f>
        <v>36</v>
      </c>
      <c r="N3300" s="17" t="s">
        <v>64</v>
      </c>
      <c r="O3300" s="11"/>
      <c r="P3300" s="28"/>
      <c r="Q3300" s="28" t="n">
        <f aca="false">P3300*$M3300</f>
        <v>0</v>
      </c>
      <c r="R3300" s="28"/>
      <c r="S3300" s="28" t="n">
        <f aca="false">R3300*$M3300</f>
        <v>0</v>
      </c>
      <c r="T3300" s="28"/>
      <c r="U3300" s="28" t="n">
        <f aca="false">T3300*$M3300</f>
        <v>0</v>
      </c>
      <c r="V3300" s="28"/>
      <c r="W3300" s="28" t="n">
        <f aca="false">V3300*$M3300</f>
        <v>0</v>
      </c>
      <c r="X3300" s="28"/>
      <c r="Y3300" s="28" t="n">
        <f aca="false">X3300*$M3300</f>
        <v>0</v>
      </c>
      <c r="Z3300" s="28"/>
      <c r="AA3300" s="28" t="n">
        <f aca="false">Z3300*$M3300</f>
        <v>0</v>
      </c>
      <c r="AB3300" s="28"/>
      <c r="AC3300" s="28" t="n">
        <f aca="false">AB3300*$M3300</f>
        <v>0</v>
      </c>
      <c r="AD3300" s="28"/>
      <c r="AE3300" s="28" t="n">
        <f aca="false">AD3300*$M3300</f>
        <v>0</v>
      </c>
      <c r="AF3300" s="28" t="n">
        <f aca="false">92472/100</f>
        <v>924.72</v>
      </c>
      <c r="AG3300" s="28" t="n">
        <v>33290</v>
      </c>
      <c r="AH3300" s="28" t="n">
        <f aca="false">490633/100</f>
        <v>4906.33</v>
      </c>
      <c r="AI3300" s="28" t="n">
        <v>176628</v>
      </c>
      <c r="AJ3300" s="28"/>
      <c r="AK3300" s="28" t="n">
        <f aca="false">AJ3300*$M3300</f>
        <v>0</v>
      </c>
      <c r="AL3300" s="28"/>
      <c r="AM3300" s="28" t="n">
        <f aca="false">AL3300*$M3300</f>
        <v>0</v>
      </c>
      <c r="AN3300" s="28"/>
      <c r="AO3300" s="28" t="n">
        <f aca="false">AN3300*$M3300</f>
        <v>0</v>
      </c>
      <c r="AP3300" s="28"/>
      <c r="AQ3300" s="28" t="n">
        <f aca="false">AP3300*$M3300</f>
        <v>0</v>
      </c>
      <c r="AR3300" s="28"/>
      <c r="AS3300" s="28" t="n">
        <f aca="false">AR3300*$M3300</f>
        <v>0</v>
      </c>
      <c r="AT3300" s="28"/>
      <c r="AU3300" s="28" t="n">
        <f aca="false">AT3300*$M3300</f>
        <v>0</v>
      </c>
      <c r="AV3300" s="28"/>
      <c r="AW3300" s="28" t="n">
        <f aca="false">AV3300*$M3300</f>
        <v>0</v>
      </c>
      <c r="AX3300" s="28"/>
      <c r="AY3300" s="28" t="n">
        <f aca="false">AX3300*$M3300</f>
        <v>0</v>
      </c>
      <c r="AZ3300" s="30" t="n">
        <f aca="false">583105/100</f>
        <v>5831.05</v>
      </c>
      <c r="BA3300" s="11" t="n">
        <v>209918</v>
      </c>
      <c r="BB3300" s="31" t="n">
        <f aca="false">SUM(Q3300,S3300,U3300,W3300,Y3300,AA3300,AC3300,AE3300,AG3300,AI3300,AK3300,AM3300,AO3300,AQ3300,AS3300,AU3300,AW3300,AY3300)</f>
        <v>209918</v>
      </c>
      <c r="BC3300" s="28" t="n">
        <f aca="false">BA3300-BB3300</f>
        <v>0</v>
      </c>
      <c r="BD3300" s="32" t="n">
        <f aca="false">SUM(P3300,R3300,T3300,V3300,X3300,Z3300,AB3300,AD3300,AF3300,AH3300,AJ3300,AL3300,AN3300,AP3300,AR3300,AT3300,AV3300,AX3300)</f>
        <v>5831.05</v>
      </c>
      <c r="BE3300" s="33" t="n">
        <f aca="false">AZ3300-BD3300</f>
        <v>0</v>
      </c>
      <c r="BF3300" s="34" t="n">
        <f aca="false">BD3300*M3300</f>
        <v>209917.8</v>
      </c>
      <c r="BG3300" s="35" t="n">
        <f aca="false">BA3300-BF3300</f>
        <v>0.199999999982538</v>
      </c>
      <c r="BH3300" s="19" t="str">
        <f aca="false">IF(BG3300=0,"",IF(BG3300&lt;&gt;BA3300,"erreur de calcul",IF(BD3300&lt;&gt;0,"pas de prix",IF(M3300&lt;&gt; 0,"pas de quantité","pas de prix, ni de quantité"))))</f>
        <v>erreur de calcul</v>
      </c>
      <c r="BI3300" s="19"/>
    </row>
    <row r="3301" customFormat="false" ht="15" hidden="false" customHeight="false" outlineLevel="0" collapsed="false">
      <c r="A3301" s="0" t="n">
        <v>15</v>
      </c>
      <c r="B3301" s="8" t="s">
        <v>24</v>
      </c>
      <c r="C3301" s="9" t="s">
        <v>25</v>
      </c>
      <c r="D3301" s="9" t="s">
        <v>26</v>
      </c>
      <c r="E3301" s="10" t="n">
        <v>1789</v>
      </c>
      <c r="F3301" s="9" t="s">
        <v>27</v>
      </c>
      <c r="G3301" s="9" t="s">
        <v>27</v>
      </c>
      <c r="H3301" s="11" t="n">
        <v>22</v>
      </c>
      <c r="I3301" s="11" t="s">
        <v>216</v>
      </c>
      <c r="J3301" s="14"/>
      <c r="K3301" s="14" t="n">
        <v>22</v>
      </c>
      <c r="L3301" s="16"/>
      <c r="M3301" s="27" t="n">
        <f aca="false">J3301+(K3301/20)+(L3301/240)</f>
        <v>1.1</v>
      </c>
      <c r="N3301" s="17" t="s">
        <v>66</v>
      </c>
      <c r="O3301" s="11"/>
      <c r="P3301" s="28"/>
      <c r="Q3301" s="28" t="n">
        <f aca="false">P3301*$M3301</f>
        <v>0</v>
      </c>
      <c r="R3301" s="28"/>
      <c r="S3301" s="28" t="n">
        <f aca="false">R3301*$M3301</f>
        <v>0</v>
      </c>
      <c r="T3301" s="28" t="n">
        <v>2875</v>
      </c>
      <c r="U3301" s="28" t="n">
        <v>3162</v>
      </c>
      <c r="V3301" s="28"/>
      <c r="W3301" s="28" t="n">
        <f aca="false">V3301*$M3301</f>
        <v>0</v>
      </c>
      <c r="X3301" s="28"/>
      <c r="Y3301" s="28" t="n">
        <f aca="false">X3301*$M3301</f>
        <v>0</v>
      </c>
      <c r="Z3301" s="28"/>
      <c r="AA3301" s="28" t="n">
        <f aca="false">Z3301*$M3301</f>
        <v>0</v>
      </c>
      <c r="AB3301" s="28"/>
      <c r="AC3301" s="28" t="n">
        <f aca="false">AB3301*$M3301</f>
        <v>0</v>
      </c>
      <c r="AD3301" s="28"/>
      <c r="AE3301" s="28" t="n">
        <f aca="false">AD3301*$M3301</f>
        <v>0</v>
      </c>
      <c r="AF3301" s="28"/>
      <c r="AG3301" s="28" t="n">
        <f aca="false">AF3301*$M3301</f>
        <v>0</v>
      </c>
      <c r="AH3301" s="28"/>
      <c r="AI3301" s="28" t="n">
        <f aca="false">AH3301*$M3301</f>
        <v>0</v>
      </c>
      <c r="AJ3301" s="28"/>
      <c r="AK3301" s="28" t="n">
        <f aca="false">AJ3301*$M3301</f>
        <v>0</v>
      </c>
      <c r="AL3301" s="28"/>
      <c r="AM3301" s="28" t="n">
        <f aca="false">AL3301*$M3301</f>
        <v>0</v>
      </c>
      <c r="AN3301" s="28"/>
      <c r="AO3301" s="28" t="n">
        <f aca="false">AN3301*$M3301</f>
        <v>0</v>
      </c>
      <c r="AP3301" s="28"/>
      <c r="AQ3301" s="28" t="n">
        <f aca="false">AP3301*$M3301</f>
        <v>0</v>
      </c>
      <c r="AR3301" s="28"/>
      <c r="AS3301" s="28" t="n">
        <f aca="false">AR3301*$M3301</f>
        <v>0</v>
      </c>
      <c r="AT3301" s="28"/>
      <c r="AU3301" s="28" t="n">
        <f aca="false">AT3301*$M3301</f>
        <v>0</v>
      </c>
      <c r="AV3301" s="28"/>
      <c r="AW3301" s="28" t="n">
        <f aca="false">AV3301*$M3301</f>
        <v>0</v>
      </c>
      <c r="AX3301" s="28"/>
      <c r="AY3301" s="28" t="n">
        <f aca="false">AX3301*$M3301</f>
        <v>0</v>
      </c>
      <c r="AZ3301" s="30" t="n">
        <v>2875</v>
      </c>
      <c r="BA3301" s="11" t="n">
        <v>3162</v>
      </c>
      <c r="BB3301" s="31" t="n">
        <f aca="false">SUM(Q3301,S3301,U3301,W3301,Y3301,AA3301,AC3301,AE3301,AG3301,AI3301,AK3301,AM3301,AO3301,AQ3301,AS3301,AU3301,AW3301,AY3301)</f>
        <v>3162</v>
      </c>
      <c r="BC3301" s="28" t="n">
        <f aca="false">BA3301-BB3301</f>
        <v>0</v>
      </c>
      <c r="BD3301" s="32" t="n">
        <f aca="false">SUM(P3301,R3301,T3301,V3301,X3301,Z3301,AB3301,AD3301,AF3301,AH3301,AJ3301,AL3301,AN3301,AP3301,AR3301,AT3301,AV3301,AX3301)</f>
        <v>2875</v>
      </c>
      <c r="BE3301" s="33" t="n">
        <f aca="false">AZ3301-BD3301</f>
        <v>0</v>
      </c>
      <c r="BF3301" s="34" t="n">
        <f aca="false">BD3301*M3301</f>
        <v>3162.5</v>
      </c>
      <c r="BG3301" s="35" t="n">
        <f aca="false">BA3301-BF3301</f>
        <v>-0.500000000000455</v>
      </c>
      <c r="BH3301" s="19" t="str">
        <f aca="false">IF(BG3301=0,"",IF(BG3301&lt;&gt;BA3301,"erreur de calcul",IF(BD3301&lt;&gt;0,"pas de prix",IF(M3301&lt;&gt; 0,"pas de quantité","pas de prix, ni de quantité"))))</f>
        <v>erreur de calcul</v>
      </c>
      <c r="BI3301" s="19"/>
    </row>
    <row r="3302" customFormat="false" ht="15" hidden="false" customHeight="false" outlineLevel="0" collapsed="false">
      <c r="A3302" s="0" t="n">
        <v>16</v>
      </c>
      <c r="B3302" s="8" t="s">
        <v>24</v>
      </c>
      <c r="C3302" s="9" t="s">
        <v>25</v>
      </c>
      <c r="D3302" s="9" t="s">
        <v>26</v>
      </c>
      <c r="E3302" s="10" t="n">
        <v>1789</v>
      </c>
      <c r="F3302" s="9" t="s">
        <v>27</v>
      </c>
      <c r="G3302" s="9" t="s">
        <v>27</v>
      </c>
      <c r="H3302" s="11" t="n">
        <v>22</v>
      </c>
      <c r="I3302" s="11" t="s">
        <v>217</v>
      </c>
      <c r="J3302" s="14" t="n">
        <v>90</v>
      </c>
      <c r="K3302" s="14"/>
      <c r="L3302" s="16"/>
      <c r="M3302" s="27" t="n">
        <f aca="false">J3302+(K3302/20)+(L3302/240)</f>
        <v>90</v>
      </c>
      <c r="N3302" s="17" t="s">
        <v>64</v>
      </c>
      <c r="O3302" s="11"/>
      <c r="P3302" s="28"/>
      <c r="Q3302" s="28" t="n">
        <f aca="false">P3302*$M3302</f>
        <v>0</v>
      </c>
      <c r="R3302" s="28"/>
      <c r="S3302" s="28" t="n">
        <f aca="false">R3302*$M3302</f>
        <v>0</v>
      </c>
      <c r="T3302" s="28"/>
      <c r="U3302" s="28" t="n">
        <f aca="false">T3302*$M3302</f>
        <v>0</v>
      </c>
      <c r="V3302" s="28"/>
      <c r="W3302" s="28" t="n">
        <f aca="false">V3302*$M3302</f>
        <v>0</v>
      </c>
      <c r="X3302" s="28" t="n">
        <f aca="false">2440/100</f>
        <v>24.4</v>
      </c>
      <c r="Y3302" s="28" t="n">
        <v>2196</v>
      </c>
      <c r="Z3302" s="28"/>
      <c r="AA3302" s="28" t="n">
        <f aca="false">Z3302*$M3302</f>
        <v>0</v>
      </c>
      <c r="AB3302" s="28"/>
      <c r="AC3302" s="28" t="n">
        <f aca="false">AB3302*$M3302</f>
        <v>0</v>
      </c>
      <c r="AD3302" s="28"/>
      <c r="AE3302" s="28" t="n">
        <f aca="false">AD3302*$M3302</f>
        <v>0</v>
      </c>
      <c r="AF3302" s="28"/>
      <c r="AG3302" s="28" t="n">
        <f aca="false">AF3302*$M3302</f>
        <v>0</v>
      </c>
      <c r="AH3302" s="28" t="n">
        <f aca="false">524577/100</f>
        <v>5245.77</v>
      </c>
      <c r="AI3302" s="28" t="n">
        <v>472116</v>
      </c>
      <c r="AJ3302" s="28"/>
      <c r="AK3302" s="28" t="n">
        <f aca="false">AJ3302*$M3302</f>
        <v>0</v>
      </c>
      <c r="AL3302" s="28"/>
      <c r="AM3302" s="28" t="n">
        <f aca="false">AL3302*$M3302</f>
        <v>0</v>
      </c>
      <c r="AN3302" s="28"/>
      <c r="AO3302" s="28" t="n">
        <f aca="false">AN3302*$M3302</f>
        <v>0</v>
      </c>
      <c r="AP3302" s="28"/>
      <c r="AQ3302" s="28" t="n">
        <f aca="false">AP3302*$M3302</f>
        <v>0</v>
      </c>
      <c r="AR3302" s="28"/>
      <c r="AS3302" s="28" t="n">
        <f aca="false">AR3302*$M3302</f>
        <v>0</v>
      </c>
      <c r="AT3302" s="28"/>
      <c r="AU3302" s="28" t="n">
        <f aca="false">AT3302*$M3302</f>
        <v>0</v>
      </c>
      <c r="AV3302" s="28"/>
      <c r="AW3302" s="28" t="n">
        <f aca="false">AV3302*$M3302</f>
        <v>0</v>
      </c>
      <c r="AX3302" s="28"/>
      <c r="AY3302" s="28" t="n">
        <f aca="false">AX3302*$M3302</f>
        <v>0</v>
      </c>
      <c r="AZ3302" s="30" t="n">
        <f aca="false">526980/100</f>
        <v>5269.8</v>
      </c>
      <c r="BA3302" s="11" t="n">
        <v>474312</v>
      </c>
      <c r="BB3302" s="31" t="n">
        <f aca="false">SUM(Q3302,S3302,U3302,W3302,Y3302,AA3302,AC3302,AE3302,AG3302,AI3302,AK3302,AM3302,AO3302,AQ3302,AS3302,AU3302,AW3302,AY3302)</f>
        <v>474312</v>
      </c>
      <c r="BC3302" s="28" t="n">
        <f aca="false">BA3302-BB3302</f>
        <v>0</v>
      </c>
      <c r="BD3302" s="32" t="n">
        <f aca="false">SUM(P3302,R3302,T3302,V3302,X3302,Z3302,AB3302,AD3302,AF3302,AH3302,AJ3302,AL3302,AN3302,AP3302,AR3302,AT3302,AV3302,AX3302)</f>
        <v>5270.17</v>
      </c>
      <c r="BE3302" s="33" t="n">
        <f aca="false">AZ3302-BD3302</f>
        <v>-0.369999999999891</v>
      </c>
      <c r="BF3302" s="34" t="n">
        <f aca="false">BD3302*M3302</f>
        <v>474315.3</v>
      </c>
      <c r="BG3302" s="35" t="n">
        <f aca="false">BA3302-BF3302</f>
        <v>-3.29999999998836</v>
      </c>
      <c r="BH3302" s="19" t="str">
        <f aca="false">IF(BG3302=0,"",IF(BG3302&lt;&gt;BA3302,"erreur de calcul",IF(BD3302&lt;&gt;0,"pas de prix",IF(M3302&lt;&gt; 0,"pas de quantité","pas de prix, ni de quantité"))))</f>
        <v>erreur de calcul</v>
      </c>
      <c r="BI3302" s="19"/>
    </row>
    <row r="3303" customFormat="false" ht="15" hidden="false" customHeight="false" outlineLevel="0" collapsed="false">
      <c r="A3303" s="0" t="n">
        <v>17</v>
      </c>
      <c r="B3303" s="8" t="s">
        <v>24</v>
      </c>
      <c r="C3303" s="9" t="s">
        <v>25</v>
      </c>
      <c r="D3303" s="9" t="s">
        <v>26</v>
      </c>
      <c r="E3303" s="10" t="n">
        <v>1789</v>
      </c>
      <c r="F3303" s="9" t="s">
        <v>27</v>
      </c>
      <c r="G3303" s="9" t="s">
        <v>27</v>
      </c>
      <c r="H3303" s="11" t="n">
        <v>22</v>
      </c>
      <c r="I3303" s="11" t="s">
        <v>218</v>
      </c>
      <c r="J3303" s="14" t="n">
        <v>15</v>
      </c>
      <c r="K3303" s="14"/>
      <c r="L3303" s="16"/>
      <c r="M3303" s="27" t="n">
        <f aca="false">J3303+(K3303/20)+(L3303/240)</f>
        <v>15</v>
      </c>
      <c r="N3303" s="17" t="s">
        <v>64</v>
      </c>
      <c r="O3303" s="11"/>
      <c r="P3303" s="28" t="n">
        <f aca="false">12250/100</f>
        <v>122.5</v>
      </c>
      <c r="Q3303" s="28" t="n">
        <v>1837</v>
      </c>
      <c r="R3303" s="28"/>
      <c r="S3303" s="28" t="n">
        <f aca="false">R3303*$M3303</f>
        <v>0</v>
      </c>
      <c r="T3303" s="28"/>
      <c r="U3303" s="28" t="n">
        <f aca="false">T3303*$M3303</f>
        <v>0</v>
      </c>
      <c r="V3303" s="28" t="n">
        <f aca="false">118493/100</f>
        <v>1184.93</v>
      </c>
      <c r="W3303" s="28" t="n">
        <v>17774</v>
      </c>
      <c r="X3303" s="28" t="n">
        <f aca="false">16835/100</f>
        <v>168.35</v>
      </c>
      <c r="Y3303" s="28" t="n">
        <v>2525</v>
      </c>
      <c r="Z3303" s="28"/>
      <c r="AA3303" s="28" t="n">
        <f aca="false">Z3303*$M3303</f>
        <v>0</v>
      </c>
      <c r="AB3303" s="28" t="n">
        <f aca="false">268622/100</f>
        <v>2686.22</v>
      </c>
      <c r="AC3303" s="28" t="n">
        <v>40293</v>
      </c>
      <c r="AD3303" s="28"/>
      <c r="AE3303" s="28" t="n">
        <f aca="false">AD3303*$M3303</f>
        <v>0</v>
      </c>
      <c r="AF3303" s="28"/>
      <c r="AG3303" s="28" t="n">
        <f aca="false">AF3303*$M3303</f>
        <v>0</v>
      </c>
      <c r="AH3303" s="28" t="n">
        <f aca="false">70164/100</f>
        <v>701.64</v>
      </c>
      <c r="AI3303" s="28" t="n">
        <v>10524</v>
      </c>
      <c r="AJ3303" s="28"/>
      <c r="AK3303" s="28" t="n">
        <f aca="false">AJ3303*$M3303</f>
        <v>0</v>
      </c>
      <c r="AL3303" s="28"/>
      <c r="AM3303" s="28" t="n">
        <f aca="false">AL3303*$M3303</f>
        <v>0</v>
      </c>
      <c r="AN3303" s="28"/>
      <c r="AO3303" s="28" t="n">
        <f aca="false">AN3303*$M3303</f>
        <v>0</v>
      </c>
      <c r="AP3303" s="28"/>
      <c r="AQ3303" s="28" t="n">
        <f aca="false">AP3303*$M3303</f>
        <v>0</v>
      </c>
      <c r="AR3303" s="28"/>
      <c r="AS3303" s="28" t="n">
        <f aca="false">AR3303*$M3303</f>
        <v>0</v>
      </c>
      <c r="AT3303" s="28"/>
      <c r="AU3303" s="28" t="n">
        <f aca="false">AT3303*$M3303</f>
        <v>0</v>
      </c>
      <c r="AV3303" s="28"/>
      <c r="AW3303" s="28" t="n">
        <f aca="false">AV3303*$M3303</f>
        <v>0</v>
      </c>
      <c r="AX3303" s="28"/>
      <c r="AY3303" s="28" t="n">
        <f aca="false">AX3303*$M3303</f>
        <v>0</v>
      </c>
      <c r="AZ3303" s="30" t="n">
        <f aca="false">486364/100</f>
        <v>4863.64</v>
      </c>
      <c r="BA3303" s="11" t="n">
        <v>72953</v>
      </c>
      <c r="BB3303" s="31" t="n">
        <f aca="false">SUM(Q3303,S3303,U3303,W3303,Y3303,AA3303,AC3303,AE3303,AG3303,AI3303,AK3303,AM3303,AO3303,AQ3303,AS3303,AU3303,AW3303,AY3303)</f>
        <v>72953</v>
      </c>
      <c r="BC3303" s="28" t="n">
        <f aca="false">BA3303-BB3303</f>
        <v>0</v>
      </c>
      <c r="BD3303" s="32" t="n">
        <f aca="false">SUM(P3303,R3303,T3303,V3303,X3303,Z3303,AB3303,AD3303,AF3303,AH3303,AJ3303,AL3303,AN3303,AP3303,AR3303,AT3303,AV3303,AX3303)</f>
        <v>4863.64</v>
      </c>
      <c r="BE3303" s="33" t="n">
        <f aca="false">AZ3303-BD3303</f>
        <v>0</v>
      </c>
      <c r="BF3303" s="34" t="n">
        <f aca="false">BD3303*M3303</f>
        <v>72954.6</v>
      </c>
      <c r="BG3303" s="35" t="n">
        <f aca="false">BA3303-BF3303</f>
        <v>-1.59999999999127</v>
      </c>
      <c r="BH3303" s="19" t="str">
        <f aca="false">IF(BG3303=0,"",IF(BG3303&lt;&gt;BA3303,"erreur de calcul",IF(BD3303&lt;&gt;0,"pas de prix",IF(M3303&lt;&gt; 0,"pas de quantité","pas de prix, ni de quantité"))))</f>
        <v>erreur de calcul</v>
      </c>
      <c r="BI3303" s="19"/>
    </row>
    <row r="3304" customFormat="false" ht="15" hidden="false" customHeight="false" outlineLevel="0" collapsed="false">
      <c r="A3304" s="0" t="n">
        <v>18</v>
      </c>
      <c r="B3304" s="8" t="s">
        <v>24</v>
      </c>
      <c r="C3304" s="9" t="s">
        <v>25</v>
      </c>
      <c r="D3304" s="9" t="s">
        <v>26</v>
      </c>
      <c r="E3304" s="10" t="n">
        <v>1789</v>
      </c>
      <c r="F3304" s="9" t="s">
        <v>27</v>
      </c>
      <c r="G3304" s="9" t="s">
        <v>27</v>
      </c>
      <c r="H3304" s="11" t="n">
        <v>22</v>
      </c>
      <c r="I3304" s="11" t="s">
        <v>219</v>
      </c>
      <c r="J3304" s="14" t="n">
        <v>12</v>
      </c>
      <c r="K3304" s="14"/>
      <c r="L3304" s="16"/>
      <c r="M3304" s="27" t="n">
        <f aca="false">J3304+(K3304/20)+(L3304/240)</f>
        <v>12</v>
      </c>
      <c r="N3304" s="17" t="s">
        <v>64</v>
      </c>
      <c r="O3304" s="11"/>
      <c r="P3304" s="28"/>
      <c r="Q3304" s="28" t="n">
        <f aca="false">P3304*$M3304</f>
        <v>0</v>
      </c>
      <c r="R3304" s="28"/>
      <c r="S3304" s="28" t="n">
        <f aca="false">R3304*$M3304</f>
        <v>0</v>
      </c>
      <c r="T3304" s="28"/>
      <c r="U3304" s="28" t="n">
        <f aca="false">T3304*$M3304</f>
        <v>0</v>
      </c>
      <c r="V3304" s="28" t="n">
        <f aca="false">26072/100</f>
        <v>260.72</v>
      </c>
      <c r="W3304" s="28" t="n">
        <v>3129</v>
      </c>
      <c r="X3304" s="28" t="n">
        <f aca="false">16340/100</f>
        <v>163.4</v>
      </c>
      <c r="Y3304" s="28" t="n">
        <v>1961</v>
      </c>
      <c r="Z3304" s="28"/>
      <c r="AA3304" s="28" t="n">
        <f aca="false">Z3304*$M3304</f>
        <v>0</v>
      </c>
      <c r="AB3304" s="28" t="n">
        <f aca="false">76351/100</f>
        <v>763.51</v>
      </c>
      <c r="AC3304" s="28" t="n">
        <v>9162</v>
      </c>
      <c r="AD3304" s="28"/>
      <c r="AE3304" s="28" t="n">
        <f aca="false">AD3304*$M3304</f>
        <v>0</v>
      </c>
      <c r="AF3304" s="28"/>
      <c r="AG3304" s="28" t="n">
        <f aca="false">AF3304*$M3304</f>
        <v>0</v>
      </c>
      <c r="AH3304" s="28"/>
      <c r="AI3304" s="28" t="n">
        <f aca="false">AH3304*$M3304</f>
        <v>0</v>
      </c>
      <c r="AJ3304" s="28"/>
      <c r="AK3304" s="28" t="n">
        <f aca="false">AJ3304*$M3304</f>
        <v>0</v>
      </c>
      <c r="AL3304" s="28"/>
      <c r="AM3304" s="28" t="n">
        <f aca="false">AL3304*$M3304</f>
        <v>0</v>
      </c>
      <c r="AN3304" s="28"/>
      <c r="AO3304" s="28" t="n">
        <f aca="false">AN3304*$M3304</f>
        <v>0</v>
      </c>
      <c r="AP3304" s="28"/>
      <c r="AQ3304" s="28" t="n">
        <f aca="false">AP3304*$M3304</f>
        <v>0</v>
      </c>
      <c r="AR3304" s="28"/>
      <c r="AS3304" s="28" t="n">
        <f aca="false">AR3304*$M3304</f>
        <v>0</v>
      </c>
      <c r="AT3304" s="28"/>
      <c r="AU3304" s="28" t="n">
        <f aca="false">AT3304*$M3304</f>
        <v>0</v>
      </c>
      <c r="AV3304" s="28"/>
      <c r="AW3304" s="28" t="n">
        <f aca="false">AV3304*$M3304</f>
        <v>0</v>
      </c>
      <c r="AX3304" s="28"/>
      <c r="AY3304" s="28" t="n">
        <f aca="false">AX3304*$M3304</f>
        <v>0</v>
      </c>
      <c r="AZ3304" s="30" t="n">
        <f aca="false">118763/100</f>
        <v>1187.63</v>
      </c>
      <c r="BA3304" s="11" t="n">
        <v>14252</v>
      </c>
      <c r="BB3304" s="31" t="n">
        <f aca="false">SUM(Q3304,S3304,U3304,W3304,Y3304,AA3304,AC3304,AE3304,AG3304,AI3304,AK3304,AM3304,AO3304,AQ3304,AS3304,AU3304,AW3304,AY3304)</f>
        <v>14252</v>
      </c>
      <c r="BC3304" s="28" t="n">
        <f aca="false">BA3304-BB3304</f>
        <v>0</v>
      </c>
      <c r="BD3304" s="32" t="n">
        <f aca="false">SUM(P3304,R3304,T3304,V3304,X3304,Z3304,AB3304,AD3304,AF3304,AH3304,AJ3304,AL3304,AN3304,AP3304,AR3304,AT3304,AV3304,AX3304)</f>
        <v>1187.63</v>
      </c>
      <c r="BE3304" s="33" t="n">
        <f aca="false">AZ3304-BD3304</f>
        <v>0</v>
      </c>
      <c r="BF3304" s="34" t="n">
        <f aca="false">BD3304*M3304</f>
        <v>14251.56</v>
      </c>
      <c r="BG3304" s="35" t="n">
        <f aca="false">BA3304-BF3304</f>
        <v>0.43999999999869</v>
      </c>
      <c r="BH3304" s="19" t="str">
        <f aca="false">IF(BG3304=0,"",IF(BG3304&lt;&gt;BA3304,"erreur de calcul",IF(BD3304&lt;&gt;0,"pas de prix",IF(M3304&lt;&gt; 0,"pas de quantité","pas de prix, ni de quantité"))))</f>
        <v>erreur de calcul</v>
      </c>
      <c r="BI3304" s="19"/>
    </row>
    <row r="3305" customFormat="false" ht="15" hidden="false" customHeight="false" outlineLevel="0" collapsed="false">
      <c r="A3305" s="0" t="n">
        <v>19</v>
      </c>
      <c r="B3305" s="8" t="s">
        <v>24</v>
      </c>
      <c r="C3305" s="9" t="s">
        <v>25</v>
      </c>
      <c r="D3305" s="9" t="s">
        <v>26</v>
      </c>
      <c r="E3305" s="10" t="n">
        <v>1789</v>
      </c>
      <c r="F3305" s="9" t="s">
        <v>27</v>
      </c>
      <c r="G3305" s="9" t="s">
        <v>27</v>
      </c>
      <c r="H3305" s="11" t="n">
        <v>22</v>
      </c>
      <c r="I3305" s="11" t="s">
        <v>220</v>
      </c>
      <c r="J3305" s="14" t="n">
        <v>8</v>
      </c>
      <c r="K3305" s="14"/>
      <c r="L3305" s="16"/>
      <c r="M3305" s="27" t="n">
        <f aca="false">J3305+(K3305/20)+(L3305/240)</f>
        <v>8</v>
      </c>
      <c r="N3305" s="17" t="s">
        <v>66</v>
      </c>
      <c r="O3305" s="11"/>
      <c r="P3305" s="28" t="n">
        <v>3798</v>
      </c>
      <c r="Q3305" s="28" t="n">
        <v>30384</v>
      </c>
      <c r="R3305" s="28"/>
      <c r="S3305" s="28" t="n">
        <f aca="false">R3305*$M3305</f>
        <v>0</v>
      </c>
      <c r="T3305" s="28"/>
      <c r="U3305" s="28" t="n">
        <f aca="false">T3305*$M3305</f>
        <v>0</v>
      </c>
      <c r="V3305" s="28"/>
      <c r="W3305" s="28" t="n">
        <f aca="false">V3305*$M3305</f>
        <v>0</v>
      </c>
      <c r="X3305" s="28"/>
      <c r="Y3305" s="28" t="n">
        <f aca="false">X3305*$M3305</f>
        <v>0</v>
      </c>
      <c r="Z3305" s="28"/>
      <c r="AA3305" s="28" t="n">
        <f aca="false">Z3305*$M3305</f>
        <v>0</v>
      </c>
      <c r="AB3305" s="28"/>
      <c r="AC3305" s="28" t="n">
        <f aca="false">AB3305*$M3305</f>
        <v>0</v>
      </c>
      <c r="AD3305" s="28"/>
      <c r="AE3305" s="28" t="n">
        <f aca="false">AD3305*$M3305</f>
        <v>0</v>
      </c>
      <c r="AF3305" s="28"/>
      <c r="AG3305" s="28" t="n">
        <f aca="false">AF3305*$M3305</f>
        <v>0</v>
      </c>
      <c r="AH3305" s="28" t="n">
        <v>322</v>
      </c>
      <c r="AI3305" s="28" t="n">
        <v>2576</v>
      </c>
      <c r="AJ3305" s="28"/>
      <c r="AK3305" s="28" t="n">
        <f aca="false">AJ3305*$M3305</f>
        <v>0</v>
      </c>
      <c r="AL3305" s="28"/>
      <c r="AM3305" s="28" t="n">
        <f aca="false">AL3305*$M3305</f>
        <v>0</v>
      </c>
      <c r="AN3305" s="28"/>
      <c r="AO3305" s="28" t="n">
        <f aca="false">AN3305*$M3305</f>
        <v>0</v>
      </c>
      <c r="AP3305" s="28"/>
      <c r="AQ3305" s="28" t="n">
        <f aca="false">AP3305*$M3305</f>
        <v>0</v>
      </c>
      <c r="AR3305" s="28"/>
      <c r="AS3305" s="28" t="n">
        <f aca="false">AR3305*$M3305</f>
        <v>0</v>
      </c>
      <c r="AT3305" s="28"/>
      <c r="AU3305" s="28" t="n">
        <f aca="false">AT3305*$M3305</f>
        <v>0</v>
      </c>
      <c r="AV3305" s="28"/>
      <c r="AW3305" s="28" t="n">
        <f aca="false">AV3305*$M3305</f>
        <v>0</v>
      </c>
      <c r="AX3305" s="28"/>
      <c r="AY3305" s="28" t="n">
        <f aca="false">AX3305*$M3305</f>
        <v>0</v>
      </c>
      <c r="AZ3305" s="30" t="n">
        <v>4120</v>
      </c>
      <c r="BA3305" s="11" t="n">
        <v>32960</v>
      </c>
      <c r="BB3305" s="31" t="n">
        <f aca="false">SUM(Q3305,S3305,U3305,W3305,Y3305,AA3305,AC3305,AE3305,AG3305,AI3305,AK3305,AM3305,AO3305,AQ3305,AS3305,AU3305,AW3305,AY3305)</f>
        <v>32960</v>
      </c>
      <c r="BC3305" s="28" t="n">
        <f aca="false">BA3305-BB3305</f>
        <v>0</v>
      </c>
      <c r="BD3305" s="32" t="n">
        <f aca="false">SUM(P3305,R3305,T3305,V3305,X3305,Z3305,AB3305,AD3305,AF3305,AH3305,AJ3305,AL3305,AN3305,AP3305,AR3305,AT3305,AV3305,AX3305)</f>
        <v>4120</v>
      </c>
      <c r="BE3305" s="33" t="n">
        <f aca="false">AZ3305-BD3305</f>
        <v>0</v>
      </c>
      <c r="BF3305" s="34" t="n">
        <f aca="false">BD3305*M3305</f>
        <v>32960</v>
      </c>
      <c r="BG3305" s="35" t="n">
        <f aca="false">BA3305-BF3305</f>
        <v>0</v>
      </c>
      <c r="BH3305" s="19" t="str">
        <f aca="false">IF(BG3305=0,"",IF(BG3305&lt;&gt;BA3305,"erreur de calcul",IF(BD3305&lt;&gt;0,"pas de prix",IF(M3305&lt;&gt; 0,"pas de quantité","pas de prix, ni de quantité"))))</f>
        <v/>
      </c>
      <c r="BI3305" s="19"/>
    </row>
    <row r="3306" customFormat="false" ht="15" hidden="false" customHeight="false" outlineLevel="0" collapsed="false">
      <c r="A3306" s="0" t="n">
        <v>20</v>
      </c>
      <c r="B3306" s="8" t="s">
        <v>24</v>
      </c>
      <c r="C3306" s="9" t="s">
        <v>25</v>
      </c>
      <c r="D3306" s="9" t="s">
        <v>26</v>
      </c>
      <c r="E3306" s="10" t="n">
        <v>1789</v>
      </c>
      <c r="F3306" s="9" t="s">
        <v>27</v>
      </c>
      <c r="G3306" s="9" t="s">
        <v>27</v>
      </c>
      <c r="H3306" s="11" t="n">
        <v>22</v>
      </c>
      <c r="I3306" s="11" t="s">
        <v>221</v>
      </c>
      <c r="J3306" s="14"/>
      <c r="K3306" s="14" t="n">
        <v>20</v>
      </c>
      <c r="L3306" s="16"/>
      <c r="M3306" s="27" t="n">
        <f aca="false">J3306+(K3306/20)+(L3306/240)</f>
        <v>1</v>
      </c>
      <c r="N3306" s="17" t="s">
        <v>66</v>
      </c>
      <c r="O3306" s="11"/>
      <c r="P3306" s="28" t="n">
        <v>1353</v>
      </c>
      <c r="Q3306" s="28" t="n">
        <v>1353</v>
      </c>
      <c r="R3306" s="28"/>
      <c r="S3306" s="28" t="n">
        <f aca="false">R3306*$M3306</f>
        <v>0</v>
      </c>
      <c r="T3306" s="28"/>
      <c r="U3306" s="28" t="n">
        <f aca="false">T3306*$M3306</f>
        <v>0</v>
      </c>
      <c r="V3306" s="28"/>
      <c r="W3306" s="28" t="n">
        <f aca="false">V3306*$M3306</f>
        <v>0</v>
      </c>
      <c r="X3306" s="28"/>
      <c r="Y3306" s="28" t="n">
        <f aca="false">X3306*$M3306</f>
        <v>0</v>
      </c>
      <c r="Z3306" s="28"/>
      <c r="AA3306" s="28" t="n">
        <f aca="false">Z3306*$M3306</f>
        <v>0</v>
      </c>
      <c r="AB3306" s="28"/>
      <c r="AC3306" s="28" t="n">
        <f aca="false">AB3306*$M3306</f>
        <v>0</v>
      </c>
      <c r="AD3306" s="28"/>
      <c r="AE3306" s="28" t="n">
        <f aca="false">AD3306*$M3306</f>
        <v>0</v>
      </c>
      <c r="AF3306" s="28"/>
      <c r="AG3306" s="28" t="n">
        <f aca="false">AF3306*$M3306</f>
        <v>0</v>
      </c>
      <c r="AH3306" s="28"/>
      <c r="AI3306" s="28" t="n">
        <f aca="false">AH3306*$M3306</f>
        <v>0</v>
      </c>
      <c r="AJ3306" s="28"/>
      <c r="AK3306" s="28" t="n">
        <f aca="false">AJ3306*$M3306</f>
        <v>0</v>
      </c>
      <c r="AL3306" s="28"/>
      <c r="AM3306" s="28" t="n">
        <f aca="false">AL3306*$M3306</f>
        <v>0</v>
      </c>
      <c r="AN3306" s="28"/>
      <c r="AO3306" s="28" t="n">
        <f aca="false">AN3306*$M3306</f>
        <v>0</v>
      </c>
      <c r="AP3306" s="28"/>
      <c r="AQ3306" s="28" t="n">
        <f aca="false">AP3306*$M3306</f>
        <v>0</v>
      </c>
      <c r="AR3306" s="28"/>
      <c r="AS3306" s="28" t="n">
        <f aca="false">AR3306*$M3306</f>
        <v>0</v>
      </c>
      <c r="AT3306" s="28"/>
      <c r="AU3306" s="28" t="n">
        <f aca="false">AT3306*$M3306</f>
        <v>0</v>
      </c>
      <c r="AV3306" s="28"/>
      <c r="AW3306" s="28" t="n">
        <f aca="false">AV3306*$M3306</f>
        <v>0</v>
      </c>
      <c r="AX3306" s="28"/>
      <c r="AY3306" s="28" t="n">
        <f aca="false">AX3306*$M3306</f>
        <v>0</v>
      </c>
      <c r="AZ3306" s="30" t="n">
        <v>1353</v>
      </c>
      <c r="BA3306" s="11" t="n">
        <v>1353</v>
      </c>
      <c r="BB3306" s="31" t="n">
        <f aca="false">SUM(Q3306,S3306,U3306,W3306,Y3306,AA3306,AC3306,AE3306,AG3306,AI3306,AK3306,AM3306,AO3306,AQ3306,AS3306,AU3306,AW3306,AY3306)</f>
        <v>1353</v>
      </c>
      <c r="BC3306" s="28" t="n">
        <f aca="false">BA3306-BB3306</f>
        <v>0</v>
      </c>
      <c r="BD3306" s="32" t="n">
        <f aca="false">SUM(P3306,R3306,T3306,V3306,X3306,Z3306,AB3306,AD3306,AF3306,AH3306,AJ3306,AL3306,AN3306,AP3306,AR3306,AT3306,AV3306,AX3306)</f>
        <v>1353</v>
      </c>
      <c r="BE3306" s="33" t="n">
        <f aca="false">AZ3306-BD3306</f>
        <v>0</v>
      </c>
      <c r="BF3306" s="34" t="n">
        <f aca="false">BD3306*M3306</f>
        <v>1353</v>
      </c>
      <c r="BG3306" s="35" t="n">
        <f aca="false">BA3306-BF3306</f>
        <v>0</v>
      </c>
      <c r="BH3306" s="19" t="str">
        <f aca="false">IF(BG3306=0,"",IF(BG3306&lt;&gt;BA3306,"erreur de calcul",IF(BD3306&lt;&gt;0,"pas de prix",IF(M3306&lt;&gt; 0,"pas de quantité","pas de prix, ni de quantité"))))</f>
        <v/>
      </c>
      <c r="BI3306" s="19"/>
    </row>
    <row r="3307" customFormat="false" ht="15" hidden="false" customHeight="false" outlineLevel="0" collapsed="false">
      <c r="A3307" s="0" t="n">
        <v>21</v>
      </c>
      <c r="B3307" s="8" t="s">
        <v>24</v>
      </c>
      <c r="C3307" s="9" t="s">
        <v>25</v>
      </c>
      <c r="D3307" s="9" t="s">
        <v>26</v>
      </c>
      <c r="E3307" s="10" t="n">
        <v>1789</v>
      </c>
      <c r="F3307" s="9" t="s">
        <v>27</v>
      </c>
      <c r="G3307" s="9" t="s">
        <v>27</v>
      </c>
      <c r="H3307" s="11" t="n">
        <v>22</v>
      </c>
      <c r="I3307" s="11" t="s">
        <v>222</v>
      </c>
      <c r="J3307" s="14" t="n">
        <v>85</v>
      </c>
      <c r="K3307" s="14"/>
      <c r="L3307" s="16"/>
      <c r="M3307" s="27" t="n">
        <f aca="false">J3307+(K3307/20)+(L3307/240)</f>
        <v>85</v>
      </c>
      <c r="N3307" s="17" t="s">
        <v>64</v>
      </c>
      <c r="O3307" s="11"/>
      <c r="P3307" s="28"/>
      <c r="Q3307" s="28" t="n">
        <f aca="false">P3307*$M3307</f>
        <v>0</v>
      </c>
      <c r="R3307" s="28"/>
      <c r="S3307" s="28" t="n">
        <f aca="false">R3307*$M3307</f>
        <v>0</v>
      </c>
      <c r="T3307" s="28" t="n">
        <f aca="false">10813/100</f>
        <v>108.13</v>
      </c>
      <c r="U3307" s="28" t="n">
        <v>9191</v>
      </c>
      <c r="V3307" s="28" t="n">
        <f aca="false">43400/100</f>
        <v>434</v>
      </c>
      <c r="W3307" s="28" t="n">
        <v>36890</v>
      </c>
      <c r="X3307" s="28" t="n">
        <f aca="false">702/100</f>
        <v>7.02</v>
      </c>
      <c r="Y3307" s="28" t="n">
        <v>597</v>
      </c>
      <c r="Z3307" s="28"/>
      <c r="AA3307" s="28" t="n">
        <f aca="false">Z3307*$M3307</f>
        <v>0</v>
      </c>
      <c r="AB3307" s="28" t="n">
        <f aca="false">171/100</f>
        <v>1.71</v>
      </c>
      <c r="AC3307" s="28" t="n">
        <v>145</v>
      </c>
      <c r="AD3307" s="28"/>
      <c r="AE3307" s="28" t="n">
        <f aca="false">AD3307*$M3307</f>
        <v>0</v>
      </c>
      <c r="AF3307" s="28"/>
      <c r="AG3307" s="28" t="n">
        <f aca="false">AF3307*$M3307</f>
        <v>0</v>
      </c>
      <c r="AH3307" s="28" t="n">
        <f aca="false">17388/100</f>
        <v>173.88</v>
      </c>
      <c r="AI3307" s="28" t="n">
        <v>14780</v>
      </c>
      <c r="AJ3307" s="28"/>
      <c r="AK3307" s="28" t="n">
        <f aca="false">AJ3307*$M3307</f>
        <v>0</v>
      </c>
      <c r="AL3307" s="28"/>
      <c r="AM3307" s="28" t="n">
        <f aca="false">AL3307*$M3307</f>
        <v>0</v>
      </c>
      <c r="AN3307" s="28"/>
      <c r="AO3307" s="28" t="n">
        <f aca="false">AN3307*$M3307</f>
        <v>0</v>
      </c>
      <c r="AP3307" s="28"/>
      <c r="AQ3307" s="28" t="n">
        <f aca="false">AP3307*$M3307</f>
        <v>0</v>
      </c>
      <c r="AR3307" s="28"/>
      <c r="AS3307" s="28" t="n">
        <f aca="false">AR3307*$M3307</f>
        <v>0</v>
      </c>
      <c r="AT3307" s="28"/>
      <c r="AU3307" s="28" t="n">
        <f aca="false">AT3307*$M3307</f>
        <v>0</v>
      </c>
      <c r="AV3307" s="28"/>
      <c r="AW3307" s="28" t="n">
        <f aca="false">AV3307*$M3307</f>
        <v>0</v>
      </c>
      <c r="AX3307" s="28"/>
      <c r="AY3307" s="28" t="n">
        <f aca="false">AX3307*$M3307</f>
        <v>0</v>
      </c>
      <c r="AZ3307" s="30" t="n">
        <f aca="false">72474/100</f>
        <v>724.74</v>
      </c>
      <c r="BA3307" s="11" t="n">
        <v>61603</v>
      </c>
      <c r="BB3307" s="31" t="n">
        <f aca="false">SUM(Q3307,S3307,U3307,W3307,Y3307,AA3307,AC3307,AE3307,AG3307,AI3307,AK3307,AM3307,AO3307,AQ3307,AS3307,AU3307,AW3307,AY3307)</f>
        <v>61603</v>
      </c>
      <c r="BC3307" s="28" t="n">
        <f aca="false">BA3307-BB3307</f>
        <v>0</v>
      </c>
      <c r="BD3307" s="32" t="n">
        <f aca="false">SUM(P3307,R3307,T3307,V3307,X3307,Z3307,AB3307,AD3307,AF3307,AH3307,AJ3307,AL3307,AN3307,AP3307,AR3307,AT3307,AV3307,AX3307)</f>
        <v>724.74</v>
      </c>
      <c r="BE3307" s="33" t="n">
        <f aca="false">AZ3307-BD3307</f>
        <v>0</v>
      </c>
      <c r="BF3307" s="34" t="n">
        <f aca="false">BD3307*M3307</f>
        <v>61602.9</v>
      </c>
      <c r="BG3307" s="35" t="n">
        <f aca="false">BA3307-BF3307</f>
        <v>0.0999999999985448</v>
      </c>
      <c r="BH3307" s="19" t="str">
        <f aca="false">IF(BG3307=0,"",IF(BG3307&lt;&gt;BA3307,"erreur de calcul",IF(BD3307&lt;&gt;0,"pas de prix",IF(M3307&lt;&gt; 0,"pas de quantité","pas de prix, ni de quantité"))))</f>
        <v>erreur de calcul</v>
      </c>
      <c r="BI3307" s="19"/>
    </row>
    <row r="3308" customFormat="false" ht="15" hidden="false" customHeight="false" outlineLevel="0" collapsed="false">
      <c r="A3308" s="0" t="n">
        <v>22</v>
      </c>
      <c r="B3308" s="8" t="s">
        <v>24</v>
      </c>
      <c r="C3308" s="9" t="s">
        <v>25</v>
      </c>
      <c r="D3308" s="9" t="s">
        <v>26</v>
      </c>
      <c r="E3308" s="10" t="n">
        <v>1789</v>
      </c>
      <c r="F3308" s="9" t="s">
        <v>27</v>
      </c>
      <c r="G3308" s="9" t="s">
        <v>27</v>
      </c>
      <c r="H3308" s="11" t="n">
        <v>22</v>
      </c>
      <c r="I3308" s="11" t="s">
        <v>223</v>
      </c>
      <c r="J3308" s="14" t="n">
        <v>150</v>
      </c>
      <c r="K3308" s="14"/>
      <c r="L3308" s="16"/>
      <c r="M3308" s="27" t="n">
        <f aca="false">J3308+(K3308/20)+(L3308/240)</f>
        <v>150</v>
      </c>
      <c r="N3308" s="17" t="s">
        <v>64</v>
      </c>
      <c r="O3308" s="11"/>
      <c r="P3308" s="28"/>
      <c r="Q3308" s="28" t="n">
        <f aca="false">P3308*$M3308</f>
        <v>0</v>
      </c>
      <c r="R3308" s="28"/>
      <c r="S3308" s="28" t="n">
        <f aca="false">R3308*$M3308</f>
        <v>0</v>
      </c>
      <c r="T3308" s="28"/>
      <c r="U3308" s="28" t="n">
        <f aca="false">T3308*$M3308</f>
        <v>0</v>
      </c>
      <c r="V3308" s="28" t="n">
        <f aca="false">1415/100</f>
        <v>14.15</v>
      </c>
      <c r="W3308" s="28" t="n">
        <v>2122</v>
      </c>
      <c r="X3308" s="28"/>
      <c r="Y3308" s="28" t="n">
        <f aca="false">X3308*$M3308</f>
        <v>0</v>
      </c>
      <c r="Z3308" s="28"/>
      <c r="AA3308" s="28" t="n">
        <f aca="false">Z3308*$M3308</f>
        <v>0</v>
      </c>
      <c r="AB3308" s="28" t="n">
        <f aca="false">1806/100</f>
        <v>18.06</v>
      </c>
      <c r="AC3308" s="28" t="n">
        <v>2709</v>
      </c>
      <c r="AD3308" s="28"/>
      <c r="AE3308" s="28" t="n">
        <f aca="false">AD3308*$M3308</f>
        <v>0</v>
      </c>
      <c r="AF3308" s="28"/>
      <c r="AG3308" s="28" t="n">
        <f aca="false">AF3308*$M3308</f>
        <v>0</v>
      </c>
      <c r="AH3308" s="28"/>
      <c r="AI3308" s="28" t="n">
        <f aca="false">AH3308*$M3308</f>
        <v>0</v>
      </c>
      <c r="AJ3308" s="28"/>
      <c r="AK3308" s="28" t="n">
        <f aca="false">AJ3308*$M3308</f>
        <v>0</v>
      </c>
      <c r="AL3308" s="28"/>
      <c r="AM3308" s="28" t="n">
        <f aca="false">AL3308*$M3308</f>
        <v>0</v>
      </c>
      <c r="AN3308" s="28"/>
      <c r="AO3308" s="28" t="n">
        <f aca="false">AN3308*$M3308</f>
        <v>0</v>
      </c>
      <c r="AP3308" s="28"/>
      <c r="AQ3308" s="28" t="n">
        <f aca="false">AP3308*$M3308</f>
        <v>0</v>
      </c>
      <c r="AR3308" s="28"/>
      <c r="AS3308" s="28" t="n">
        <f aca="false">AR3308*$M3308</f>
        <v>0</v>
      </c>
      <c r="AT3308" s="28"/>
      <c r="AU3308" s="28" t="n">
        <f aca="false">AT3308*$M3308</f>
        <v>0</v>
      </c>
      <c r="AV3308" s="28"/>
      <c r="AW3308" s="28" t="n">
        <f aca="false">AV3308*$M3308</f>
        <v>0</v>
      </c>
      <c r="AX3308" s="28"/>
      <c r="AY3308" s="28" t="n">
        <f aca="false">AX3308*$M3308</f>
        <v>0</v>
      </c>
      <c r="AZ3308" s="30" t="n">
        <f aca="false">3221/100</f>
        <v>32.21</v>
      </c>
      <c r="BA3308" s="11" t="n">
        <v>4831</v>
      </c>
      <c r="BB3308" s="31" t="n">
        <f aca="false">SUM(Q3308,S3308,U3308,W3308,Y3308,AA3308,AC3308,AE3308,AG3308,AI3308,AK3308,AM3308,AO3308,AQ3308,AS3308,AU3308,AW3308,AY3308)</f>
        <v>4831</v>
      </c>
      <c r="BC3308" s="28" t="n">
        <f aca="false">BA3308-BB3308</f>
        <v>0</v>
      </c>
      <c r="BD3308" s="32" t="n">
        <f aca="false">SUM(P3308,R3308,T3308,V3308,X3308,Z3308,AB3308,AD3308,AF3308,AH3308,AJ3308,AL3308,AN3308,AP3308,AR3308,AT3308,AV3308,AX3308)</f>
        <v>32.21</v>
      </c>
      <c r="BE3308" s="33" t="n">
        <f aca="false">AZ3308-BD3308</f>
        <v>0</v>
      </c>
      <c r="BF3308" s="34" t="n">
        <f aca="false">BD3308*M3308</f>
        <v>4831.5</v>
      </c>
      <c r="BG3308" s="35" t="n">
        <f aca="false">BA3308-BF3308</f>
        <v>-0.5</v>
      </c>
      <c r="BH3308" s="19" t="str">
        <f aca="false">IF(BG3308=0,"",IF(BG3308&lt;&gt;BA3308,"erreur de calcul",IF(BD3308&lt;&gt;0,"pas de prix",IF(M3308&lt;&gt; 0,"pas de quantité","pas de prix, ni de quantité"))))</f>
        <v>erreur de calcul</v>
      </c>
      <c r="BI3308" s="19"/>
    </row>
    <row r="3309" customFormat="false" ht="15" hidden="false" customHeight="false" outlineLevel="0" collapsed="false">
      <c r="A3309" s="0" t="n">
        <v>23</v>
      </c>
      <c r="B3309" s="8" t="s">
        <v>24</v>
      </c>
      <c r="C3309" s="9" t="s">
        <v>25</v>
      </c>
      <c r="D3309" s="9" t="s">
        <v>26</v>
      </c>
      <c r="E3309" s="10" t="n">
        <v>1789</v>
      </c>
      <c r="F3309" s="9" t="s">
        <v>27</v>
      </c>
      <c r="G3309" s="9" t="s">
        <v>27</v>
      </c>
      <c r="H3309" s="11" t="n">
        <v>22</v>
      </c>
      <c r="I3309" s="11" t="s">
        <v>224</v>
      </c>
      <c r="J3309" s="14"/>
      <c r="K3309" s="14"/>
      <c r="L3309" s="16"/>
      <c r="M3309" s="27" t="n">
        <f aca="false">J3309+(K3309/20)+(L3309/240)</f>
        <v>0</v>
      </c>
      <c r="N3309" s="17" t="s">
        <v>225</v>
      </c>
      <c r="O3309" s="11"/>
      <c r="P3309" s="28" t="n">
        <f aca="false">2+121/288</f>
        <v>2.42013888888889</v>
      </c>
      <c r="Q3309" s="28" t="n">
        <v>275</v>
      </c>
      <c r="R3309" s="28"/>
      <c r="S3309" s="28" t="n">
        <f aca="false">R3309*$M3309</f>
        <v>0</v>
      </c>
      <c r="T3309" s="28"/>
      <c r="U3309" s="28" t="n">
        <f aca="false">T3309*$M3309</f>
        <v>0</v>
      </c>
      <c r="V3309" s="28"/>
      <c r="W3309" s="28" t="n">
        <f aca="false">V3309*$M3309</f>
        <v>0</v>
      </c>
      <c r="X3309" s="28"/>
      <c r="Y3309" s="28" t="n">
        <f aca="false">X3309*$M3309</f>
        <v>0</v>
      </c>
      <c r="Z3309" s="28"/>
      <c r="AA3309" s="28" t="n">
        <f aca="false">Z3309*$M3309</f>
        <v>0</v>
      </c>
      <c r="AB3309" s="28"/>
      <c r="AC3309" s="28" t="n">
        <f aca="false">AB3309*$M3309</f>
        <v>0</v>
      </c>
      <c r="AD3309" s="28"/>
      <c r="AE3309" s="28" t="n">
        <f aca="false">AD3309*$M3309</f>
        <v>0</v>
      </c>
      <c r="AF3309" s="28"/>
      <c r="AG3309" s="28" t="n">
        <f aca="false">AF3309*$M3309</f>
        <v>0</v>
      </c>
      <c r="AH3309" s="28"/>
      <c r="AI3309" s="28" t="n">
        <f aca="false">AH3309*$M3309</f>
        <v>0</v>
      </c>
      <c r="AJ3309" s="28"/>
      <c r="AK3309" s="28" t="n">
        <f aca="false">AJ3309*$M3309</f>
        <v>0</v>
      </c>
      <c r="AL3309" s="28"/>
      <c r="AM3309" s="28" t="n">
        <f aca="false">AL3309*$M3309</f>
        <v>0</v>
      </c>
      <c r="AN3309" s="28"/>
      <c r="AO3309" s="28" t="n">
        <f aca="false">AN3309*$M3309</f>
        <v>0</v>
      </c>
      <c r="AP3309" s="28"/>
      <c r="AQ3309" s="28" t="n">
        <f aca="false">AP3309*$M3309</f>
        <v>0</v>
      </c>
      <c r="AR3309" s="28"/>
      <c r="AS3309" s="28" t="n">
        <f aca="false">AR3309*$M3309</f>
        <v>0</v>
      </c>
      <c r="AT3309" s="28"/>
      <c r="AU3309" s="28" t="n">
        <f aca="false">AT3309*$M3309</f>
        <v>0</v>
      </c>
      <c r="AV3309" s="28"/>
      <c r="AW3309" s="28" t="n">
        <f aca="false">AV3309*$M3309</f>
        <v>0</v>
      </c>
      <c r="AX3309" s="28"/>
      <c r="AY3309" s="28" t="n">
        <f aca="false">AX3309*$M3309</f>
        <v>0</v>
      </c>
      <c r="AZ3309" s="30" t="n">
        <f aca="false">2+121/288</f>
        <v>2.42013888888889</v>
      </c>
      <c r="BA3309" s="11" t="n">
        <v>275</v>
      </c>
      <c r="BB3309" s="31" t="n">
        <f aca="false">SUM(Q3309,S3309,U3309,W3309,Y3309,AA3309,AC3309,AE3309,AG3309,AI3309,AK3309,AM3309,AO3309,AQ3309,AS3309,AU3309,AW3309,AY3309)</f>
        <v>275</v>
      </c>
      <c r="BC3309" s="28" t="n">
        <f aca="false">BA3309-BB3309</f>
        <v>0</v>
      </c>
      <c r="BD3309" s="32" t="n">
        <f aca="false">SUM(P3309,R3309,T3309,V3309,X3309,Z3309,AB3309,AD3309,AF3309,AH3309,AJ3309,AL3309,AN3309,AP3309,AR3309,AT3309,AV3309,AX3309)</f>
        <v>2.42013888888889</v>
      </c>
      <c r="BE3309" s="33" t="n">
        <f aca="false">AZ3309-BD3309</f>
        <v>0</v>
      </c>
      <c r="BF3309" s="34" t="n">
        <f aca="false">BD3309*M3309</f>
        <v>0</v>
      </c>
      <c r="BG3309" s="35" t="n">
        <f aca="false">BA3309-BF3309</f>
        <v>275</v>
      </c>
      <c r="BH3309" s="19" t="str">
        <f aca="false">IF(BG3309=0,"",IF(BG3309&lt;&gt;BA3309,"erreur de calcul",IF(BD3309&lt;&gt;0,"pas de prix",IF(M3309&lt;&gt; 0,"pas de quantité","pas de prix, ni de quantité"))))</f>
        <v>pas de prix</v>
      </c>
      <c r="BI3309" s="19" t="s">
        <v>226</v>
      </c>
    </row>
    <row r="3310" customFormat="false" ht="15" hidden="false" customHeight="false" outlineLevel="0" collapsed="false">
      <c r="A3310" s="0" t="n">
        <v>24</v>
      </c>
      <c r="B3310" s="8" t="s">
        <v>24</v>
      </c>
      <c r="C3310" s="9" t="s">
        <v>25</v>
      </c>
      <c r="D3310" s="9" t="s">
        <v>26</v>
      </c>
      <c r="E3310" s="10" t="n">
        <v>1789</v>
      </c>
      <c r="F3310" s="9" t="s">
        <v>27</v>
      </c>
      <c r="G3310" s="9" t="s">
        <v>27</v>
      </c>
      <c r="H3310" s="11" t="n">
        <v>22</v>
      </c>
      <c r="I3310" s="11" t="s">
        <v>227</v>
      </c>
      <c r="J3310" s="14" t="n">
        <v>8</v>
      </c>
      <c r="K3310" s="14"/>
      <c r="L3310" s="16"/>
      <c r="M3310" s="27" t="n">
        <f aca="false">J3310+(K3310/20)+(L3310/240)</f>
        <v>8</v>
      </c>
      <c r="N3310" s="17" t="s">
        <v>64</v>
      </c>
      <c r="O3310" s="11" t="s">
        <v>77</v>
      </c>
      <c r="P3310" s="28" t="n">
        <f aca="false">267216/100</f>
        <v>2672.16</v>
      </c>
      <c r="Q3310" s="28" t="n">
        <v>21377</v>
      </c>
      <c r="R3310" s="28"/>
      <c r="S3310" s="28" t="n">
        <f aca="false">R3310*$M3310</f>
        <v>0</v>
      </c>
      <c r="T3310" s="28"/>
      <c r="U3310" s="28" t="n">
        <f aca="false">T3310*$M3310</f>
        <v>0</v>
      </c>
      <c r="V3310" s="28"/>
      <c r="W3310" s="28" t="n">
        <f aca="false">V3310*$M3310</f>
        <v>0</v>
      </c>
      <c r="X3310" s="28"/>
      <c r="Y3310" s="28" t="n">
        <f aca="false">X3310*$M3310</f>
        <v>0</v>
      </c>
      <c r="Z3310" s="28"/>
      <c r="AA3310" s="28" t="n">
        <f aca="false">Z3310*$M3310</f>
        <v>0</v>
      </c>
      <c r="AB3310" s="28" t="n">
        <f aca="false">3334/100</f>
        <v>33.34</v>
      </c>
      <c r="AC3310" s="28" t="n">
        <v>267</v>
      </c>
      <c r="AD3310" s="28"/>
      <c r="AE3310" s="28" t="n">
        <f aca="false">AD3310*$M3310</f>
        <v>0</v>
      </c>
      <c r="AF3310" s="28"/>
      <c r="AG3310" s="28" t="n">
        <f aca="false">AF3310*$M3310</f>
        <v>0</v>
      </c>
      <c r="AH3310" s="28"/>
      <c r="AI3310" s="28" t="n">
        <f aca="false">AH3310*$M3310</f>
        <v>0</v>
      </c>
      <c r="AJ3310" s="28"/>
      <c r="AK3310" s="28" t="n">
        <f aca="false">AJ3310*$M3310</f>
        <v>0</v>
      </c>
      <c r="AL3310" s="28"/>
      <c r="AM3310" s="28" t="n">
        <f aca="false">AL3310*$M3310</f>
        <v>0</v>
      </c>
      <c r="AN3310" s="28"/>
      <c r="AO3310" s="28" t="n">
        <f aca="false">AN3310*$M3310</f>
        <v>0</v>
      </c>
      <c r="AP3310" s="28"/>
      <c r="AQ3310" s="28" t="n">
        <f aca="false">AP3310*$M3310</f>
        <v>0</v>
      </c>
      <c r="AR3310" s="28"/>
      <c r="AS3310" s="28" t="n">
        <f aca="false">AR3310*$M3310</f>
        <v>0</v>
      </c>
      <c r="AT3310" s="28"/>
      <c r="AU3310" s="28" t="n">
        <f aca="false">AT3310*$M3310</f>
        <v>0</v>
      </c>
      <c r="AV3310" s="28"/>
      <c r="AW3310" s="28" t="n">
        <f aca="false">AV3310*$M3310</f>
        <v>0</v>
      </c>
      <c r="AX3310" s="28"/>
      <c r="AY3310" s="28" t="n">
        <f aca="false">AX3310*$M3310</f>
        <v>0</v>
      </c>
      <c r="AZ3310" s="30" t="n">
        <f aca="false">270550/100</f>
        <v>2705.5</v>
      </c>
      <c r="BA3310" s="11" t="n">
        <v>21644</v>
      </c>
      <c r="BB3310" s="31" t="n">
        <f aca="false">SUM(Q3310,S3310,U3310,W3310,Y3310,AA3310,AC3310,AE3310,AG3310,AI3310,AK3310,AM3310,AO3310,AQ3310,AS3310,AU3310,AW3310,AY3310)</f>
        <v>21644</v>
      </c>
      <c r="BC3310" s="28" t="n">
        <f aca="false">BA3310-BB3310</f>
        <v>0</v>
      </c>
      <c r="BD3310" s="32" t="n">
        <f aca="false">SUM(P3310,R3310,T3310,V3310,X3310,Z3310,AB3310,AD3310,AF3310,AH3310,AJ3310,AL3310,AN3310,AP3310,AR3310,AT3310,AV3310,AX3310)</f>
        <v>2705.5</v>
      </c>
      <c r="BE3310" s="33" t="n">
        <f aca="false">AZ3310-BD3310</f>
        <v>0</v>
      </c>
      <c r="BF3310" s="34" t="n">
        <f aca="false">BD3310*M3310</f>
        <v>21644</v>
      </c>
      <c r="BG3310" s="35" t="n">
        <f aca="false">BA3310-BF3310</f>
        <v>0</v>
      </c>
      <c r="BH3310" s="19" t="str">
        <f aca="false">IF(BG3310=0,"",IF(BG3310&lt;&gt;BA3310,"erreur de calcul",IF(BD3310&lt;&gt;0,"pas de prix",IF(M3310&lt;&gt; 0,"pas de quantité","pas de prix, ni de quantité"))))</f>
        <v/>
      </c>
      <c r="BI3310" s="19"/>
    </row>
    <row r="3311" customFormat="false" ht="15" hidden="false" customHeight="false" outlineLevel="0" collapsed="false">
      <c r="A3311" s="0" t="n">
        <v>25</v>
      </c>
      <c r="B3311" s="8" t="s">
        <v>24</v>
      </c>
      <c r="C3311" s="9" t="s">
        <v>25</v>
      </c>
      <c r="D3311" s="9" t="s">
        <v>26</v>
      </c>
      <c r="E3311" s="10" t="n">
        <v>1789</v>
      </c>
      <c r="F3311" s="9" t="s">
        <v>27</v>
      </c>
      <c r="G3311" s="9" t="s">
        <v>27</v>
      </c>
      <c r="H3311" s="11" t="n">
        <v>22</v>
      </c>
      <c r="I3311" s="11" t="s">
        <v>228</v>
      </c>
      <c r="J3311" s="14" t="n">
        <v>11</v>
      </c>
      <c r="K3311" s="14"/>
      <c r="L3311" s="16"/>
      <c r="M3311" s="27" t="n">
        <f aca="false">J3311+(K3311/20)+(L3311/240)</f>
        <v>11</v>
      </c>
      <c r="N3311" s="17" t="s">
        <v>66</v>
      </c>
      <c r="O3311" s="11"/>
      <c r="P3311" s="28"/>
      <c r="Q3311" s="28" t="n">
        <f aca="false">P3311*$M3311</f>
        <v>0</v>
      </c>
      <c r="R3311" s="28" t="n">
        <v>2017</v>
      </c>
      <c r="S3311" s="28" t="n">
        <v>22187</v>
      </c>
      <c r="T3311" s="28"/>
      <c r="U3311" s="28" t="n">
        <f aca="false">T3311*$M3311</f>
        <v>0</v>
      </c>
      <c r="V3311" s="28"/>
      <c r="W3311" s="28" t="n">
        <f aca="false">V3311*$M3311</f>
        <v>0</v>
      </c>
      <c r="X3311" s="28" t="n">
        <v>3804</v>
      </c>
      <c r="Y3311" s="28" t="n">
        <v>41844</v>
      </c>
      <c r="Z3311" s="28"/>
      <c r="AA3311" s="28" t="n">
        <f aca="false">Z3311*$M3311</f>
        <v>0</v>
      </c>
      <c r="AB3311" s="28"/>
      <c r="AC3311" s="28" t="n">
        <f aca="false">AB3311*$M3311</f>
        <v>0</v>
      </c>
      <c r="AD3311" s="28"/>
      <c r="AE3311" s="28" t="n">
        <f aca="false">AD3311*$M3311</f>
        <v>0</v>
      </c>
      <c r="AF3311" s="28"/>
      <c r="AG3311" s="28" t="n">
        <f aca="false">AF3311*$M3311</f>
        <v>0</v>
      </c>
      <c r="AH3311" s="28" t="n">
        <v>117</v>
      </c>
      <c r="AI3311" s="28" t="n">
        <v>1287</v>
      </c>
      <c r="AJ3311" s="28" t="n">
        <v>8694</v>
      </c>
      <c r="AK3311" s="28" t="n">
        <v>95634</v>
      </c>
      <c r="AL3311" s="28"/>
      <c r="AM3311" s="28" t="n">
        <f aca="false">AL3311*$M3311</f>
        <v>0</v>
      </c>
      <c r="AN3311" s="28" t="n">
        <v>5697</v>
      </c>
      <c r="AO3311" s="28" t="n">
        <v>62667</v>
      </c>
      <c r="AP3311" s="28"/>
      <c r="AQ3311" s="28" t="n">
        <f aca="false">AP3311*$M3311</f>
        <v>0</v>
      </c>
      <c r="AR3311" s="28"/>
      <c r="AS3311" s="28" t="n">
        <f aca="false">AR3311*$M3311</f>
        <v>0</v>
      </c>
      <c r="AT3311" s="28"/>
      <c r="AU3311" s="28" t="n">
        <f aca="false">AT3311*$M3311</f>
        <v>0</v>
      </c>
      <c r="AV3311" s="28"/>
      <c r="AW3311" s="28" t="n">
        <f aca="false">AV3311*$M3311</f>
        <v>0</v>
      </c>
      <c r="AX3311" s="28"/>
      <c r="AY3311" s="28" t="n">
        <f aca="false">AX3311*$M3311</f>
        <v>0</v>
      </c>
      <c r="AZ3311" s="30" t="n">
        <v>20329</v>
      </c>
      <c r="BA3311" s="11" t="n">
        <v>223619</v>
      </c>
      <c r="BB3311" s="31" t="n">
        <f aca="false">SUM(Q3311,S3311,U3311,W3311,Y3311,AA3311,AC3311,AE3311,AG3311,AI3311,AK3311,AM3311,AO3311,AQ3311,AS3311,AU3311,AW3311,AY3311)</f>
        <v>223619</v>
      </c>
      <c r="BC3311" s="28" t="n">
        <f aca="false">BA3311-BB3311</f>
        <v>0</v>
      </c>
      <c r="BD3311" s="32" t="n">
        <f aca="false">SUM(P3311,R3311,T3311,V3311,X3311,Z3311,AB3311,AD3311,AF3311,AH3311,AJ3311,AL3311,AN3311,AP3311,AR3311,AT3311,AV3311,AX3311)</f>
        <v>20329</v>
      </c>
      <c r="BE3311" s="33" t="n">
        <f aca="false">AZ3311-BD3311</f>
        <v>0</v>
      </c>
      <c r="BF3311" s="34" t="n">
        <f aca="false">BD3311*M3311</f>
        <v>223619</v>
      </c>
      <c r="BG3311" s="35" t="n">
        <f aca="false">BA3311-BF3311</f>
        <v>0</v>
      </c>
      <c r="BH3311" s="19" t="str">
        <f aca="false">IF(BG3311=0,"",IF(BG3311&lt;&gt;BA3311,"erreur de calcul",IF(BD3311&lt;&gt;0,"pas de prix",IF(M3311&lt;&gt; 0,"pas de quantité","pas de prix, ni de quantité"))))</f>
        <v/>
      </c>
      <c r="BI3311" s="19"/>
    </row>
    <row r="3312" customFormat="false" ht="15" hidden="false" customHeight="false" outlineLevel="0" collapsed="false">
      <c r="A3312" s="0" t="n">
        <v>26</v>
      </c>
      <c r="B3312" s="8" t="s">
        <v>24</v>
      </c>
      <c r="C3312" s="9" t="s">
        <v>25</v>
      </c>
      <c r="D3312" s="9" t="s">
        <v>26</v>
      </c>
      <c r="E3312" s="10" t="n">
        <v>1789</v>
      </c>
      <c r="F3312" s="9" t="s">
        <v>27</v>
      </c>
      <c r="G3312" s="9" t="s">
        <v>27</v>
      </c>
      <c r="H3312" s="11" t="n">
        <v>22</v>
      </c>
      <c r="I3312" s="11" t="s">
        <v>229</v>
      </c>
      <c r="J3312" s="14" t="n">
        <v>5</v>
      </c>
      <c r="K3312" s="14"/>
      <c r="L3312" s="16"/>
      <c r="M3312" s="27" t="n">
        <f aca="false">J3312+(K3312/20)+(L3312/240)</f>
        <v>5</v>
      </c>
      <c r="N3312" s="17" t="s">
        <v>66</v>
      </c>
      <c r="O3312" s="11"/>
      <c r="P3312" s="28"/>
      <c r="Q3312" s="28" t="n">
        <f aca="false">P3312*$M3312</f>
        <v>0</v>
      </c>
      <c r="R3312" s="28" t="n">
        <v>4117</v>
      </c>
      <c r="S3312" s="28" t="n">
        <v>20585</v>
      </c>
      <c r="T3312" s="28"/>
      <c r="U3312" s="28" t="n">
        <f aca="false">T3312*$M3312</f>
        <v>0</v>
      </c>
      <c r="V3312" s="28"/>
      <c r="W3312" s="28" t="n">
        <f aca="false">V3312*$M3312</f>
        <v>0</v>
      </c>
      <c r="X3312" s="28"/>
      <c r="Y3312" s="28" t="n">
        <f aca="false">X3312*$M3312</f>
        <v>0</v>
      </c>
      <c r="Z3312" s="28"/>
      <c r="AA3312" s="28" t="n">
        <f aca="false">Z3312*$M3312</f>
        <v>0</v>
      </c>
      <c r="AB3312" s="28"/>
      <c r="AC3312" s="28" t="n">
        <f aca="false">AB3312*$M3312</f>
        <v>0</v>
      </c>
      <c r="AD3312" s="28"/>
      <c r="AE3312" s="28" t="n">
        <f aca="false">AD3312*$M3312</f>
        <v>0</v>
      </c>
      <c r="AF3312" s="28"/>
      <c r="AG3312" s="28" t="n">
        <f aca="false">AF3312*$M3312</f>
        <v>0</v>
      </c>
      <c r="AH3312" s="28"/>
      <c r="AI3312" s="28" t="n">
        <f aca="false">AH3312*$M3312</f>
        <v>0</v>
      </c>
      <c r="AJ3312" s="28"/>
      <c r="AK3312" s="28" t="n">
        <f aca="false">AJ3312*$M3312</f>
        <v>0</v>
      </c>
      <c r="AL3312" s="28"/>
      <c r="AM3312" s="28" t="n">
        <f aca="false">AL3312*$M3312</f>
        <v>0</v>
      </c>
      <c r="AN3312" s="28"/>
      <c r="AO3312" s="28" t="n">
        <f aca="false">AN3312*$M3312</f>
        <v>0</v>
      </c>
      <c r="AP3312" s="28"/>
      <c r="AQ3312" s="28" t="n">
        <f aca="false">AP3312*$M3312</f>
        <v>0</v>
      </c>
      <c r="AR3312" s="28"/>
      <c r="AS3312" s="28" t="n">
        <f aca="false">AR3312*$M3312</f>
        <v>0</v>
      </c>
      <c r="AT3312" s="28"/>
      <c r="AU3312" s="28" t="n">
        <f aca="false">AT3312*$M3312</f>
        <v>0</v>
      </c>
      <c r="AV3312" s="28"/>
      <c r="AW3312" s="28" t="n">
        <f aca="false">AV3312*$M3312</f>
        <v>0</v>
      </c>
      <c r="AX3312" s="28"/>
      <c r="AY3312" s="28" t="n">
        <f aca="false">AX3312*$M3312</f>
        <v>0</v>
      </c>
      <c r="AZ3312" s="30" t="n">
        <v>4117</v>
      </c>
      <c r="BA3312" s="11" t="n">
        <v>20585</v>
      </c>
      <c r="BB3312" s="31" t="n">
        <f aca="false">SUM(Q3312,S3312,U3312,W3312,Y3312,AA3312,AC3312,AE3312,AG3312,AI3312,AK3312,AM3312,AO3312,AQ3312,AS3312,AU3312,AW3312,AY3312)</f>
        <v>20585</v>
      </c>
      <c r="BC3312" s="28" t="n">
        <f aca="false">BA3312-BB3312</f>
        <v>0</v>
      </c>
      <c r="BD3312" s="32" t="n">
        <f aca="false">SUM(P3312,R3312,T3312,V3312,X3312,Z3312,AB3312,AD3312,AF3312,AH3312,AJ3312,AL3312,AN3312,AP3312,AR3312,AT3312,AV3312,AX3312)</f>
        <v>4117</v>
      </c>
      <c r="BE3312" s="33" t="n">
        <f aca="false">AZ3312-BD3312</f>
        <v>0</v>
      </c>
      <c r="BF3312" s="34" t="n">
        <f aca="false">BD3312*M3312</f>
        <v>20585</v>
      </c>
      <c r="BG3312" s="35" t="n">
        <f aca="false">BA3312-BF3312</f>
        <v>0</v>
      </c>
      <c r="BH3312" s="19" t="str">
        <f aca="false">IF(BG3312=0,"",IF(BG3312&lt;&gt;BA3312,"erreur de calcul",IF(BD3312&lt;&gt;0,"pas de prix",IF(M3312&lt;&gt; 0,"pas de quantité","pas de prix, ni de quantité"))))</f>
        <v/>
      </c>
      <c r="BI3312" s="19"/>
    </row>
    <row r="3313" customFormat="false" ht="15" hidden="false" customHeight="false" outlineLevel="0" collapsed="false">
      <c r="A3313" s="0" t="n">
        <v>27</v>
      </c>
      <c r="B3313" s="8" t="s">
        <v>24</v>
      </c>
      <c r="C3313" s="9" t="s">
        <v>25</v>
      </c>
      <c r="D3313" s="9" t="s">
        <v>26</v>
      </c>
      <c r="E3313" s="10" t="n">
        <v>1789</v>
      </c>
      <c r="F3313" s="9" t="s">
        <v>27</v>
      </c>
      <c r="G3313" s="9" t="s">
        <v>27</v>
      </c>
      <c r="H3313" s="11" t="n">
        <v>22</v>
      </c>
      <c r="I3313" s="11" t="s">
        <v>230</v>
      </c>
      <c r="J3313" s="14" t="n">
        <v>11</v>
      </c>
      <c r="K3313" s="14"/>
      <c r="L3313" s="16"/>
      <c r="M3313" s="27" t="n">
        <f aca="false">J3313+(K3313/20)+(L3313/240)</f>
        <v>11</v>
      </c>
      <c r="N3313" s="17" t="s">
        <v>66</v>
      </c>
      <c r="O3313" s="11"/>
      <c r="P3313" s="28"/>
      <c r="Q3313" s="28" t="n">
        <f aca="false">P3313*$M3313</f>
        <v>0</v>
      </c>
      <c r="R3313" s="28"/>
      <c r="S3313" s="28" t="n">
        <f aca="false">R3313*$M3313</f>
        <v>0</v>
      </c>
      <c r="T3313" s="28"/>
      <c r="U3313" s="28" t="n">
        <f aca="false">T3313*$M3313</f>
        <v>0</v>
      </c>
      <c r="V3313" s="28"/>
      <c r="W3313" s="28" t="n">
        <f aca="false">V3313*$M3313</f>
        <v>0</v>
      </c>
      <c r="X3313" s="28"/>
      <c r="Y3313" s="28" t="n">
        <f aca="false">X3313*$M3313</f>
        <v>0</v>
      </c>
      <c r="Z3313" s="28"/>
      <c r="AA3313" s="28" t="n">
        <f aca="false">Z3313*$M3313</f>
        <v>0</v>
      </c>
      <c r="AB3313" s="28"/>
      <c r="AC3313" s="28" t="n">
        <f aca="false">AB3313*$M3313</f>
        <v>0</v>
      </c>
      <c r="AD3313" s="28"/>
      <c r="AE3313" s="28" t="n">
        <f aca="false">AD3313*$M3313</f>
        <v>0</v>
      </c>
      <c r="AF3313" s="28"/>
      <c r="AG3313" s="28" t="n">
        <f aca="false">AF3313*$M3313</f>
        <v>0</v>
      </c>
      <c r="AH3313" s="28"/>
      <c r="AI3313" s="28" t="n">
        <f aca="false">AH3313*$M3313</f>
        <v>0</v>
      </c>
      <c r="AJ3313" s="28" t="n">
        <v>34854</v>
      </c>
      <c r="AK3313" s="28" t="n">
        <v>383394</v>
      </c>
      <c r="AL3313" s="28"/>
      <c r="AM3313" s="28" t="n">
        <f aca="false">AL3313*$M3313</f>
        <v>0</v>
      </c>
      <c r="AN3313" s="28"/>
      <c r="AO3313" s="28" t="n">
        <f aca="false">AN3313*$M3313</f>
        <v>0</v>
      </c>
      <c r="AP3313" s="28"/>
      <c r="AQ3313" s="28" t="n">
        <f aca="false">AP3313*$M3313</f>
        <v>0</v>
      </c>
      <c r="AR3313" s="28"/>
      <c r="AS3313" s="28" t="n">
        <f aca="false">AR3313*$M3313</f>
        <v>0</v>
      </c>
      <c r="AT3313" s="28"/>
      <c r="AU3313" s="28" t="n">
        <f aca="false">AT3313*$M3313</f>
        <v>0</v>
      </c>
      <c r="AV3313" s="28"/>
      <c r="AW3313" s="28" t="n">
        <f aca="false">AV3313*$M3313</f>
        <v>0</v>
      </c>
      <c r="AX3313" s="28"/>
      <c r="AY3313" s="28" t="n">
        <f aca="false">AX3313*$M3313</f>
        <v>0</v>
      </c>
      <c r="AZ3313" s="30" t="n">
        <v>34854</v>
      </c>
      <c r="BA3313" s="11" t="n">
        <v>383394</v>
      </c>
      <c r="BB3313" s="31" t="n">
        <f aca="false">SUM(Q3313,S3313,U3313,W3313,Y3313,AA3313,AC3313,AE3313,AG3313,AI3313,AK3313,AM3313,AO3313,AQ3313,AS3313,AU3313,AW3313,AY3313)</f>
        <v>383394</v>
      </c>
      <c r="BC3313" s="28" t="n">
        <f aca="false">BA3313-BB3313</f>
        <v>0</v>
      </c>
      <c r="BD3313" s="32" t="n">
        <f aca="false">SUM(P3313,R3313,T3313,V3313,X3313,Z3313,AB3313,AD3313,AF3313,AH3313,AJ3313,AL3313,AN3313,AP3313,AR3313,AT3313,AV3313,AX3313)</f>
        <v>34854</v>
      </c>
      <c r="BE3313" s="33" t="n">
        <f aca="false">AZ3313-BD3313</f>
        <v>0</v>
      </c>
      <c r="BF3313" s="34" t="n">
        <f aca="false">BD3313*M3313</f>
        <v>383394</v>
      </c>
      <c r="BG3313" s="35" t="n">
        <f aca="false">BA3313-BF3313</f>
        <v>0</v>
      </c>
      <c r="BH3313" s="19" t="str">
        <f aca="false">IF(BG3313=0,"",IF(BG3313&lt;&gt;BA3313,"erreur de calcul",IF(BD3313&lt;&gt;0,"pas de prix",IF(M3313&lt;&gt; 0,"pas de quantité","pas de prix, ni de quantité"))))</f>
        <v/>
      </c>
      <c r="BI3313" s="19"/>
    </row>
    <row r="3314" customFormat="false" ht="15" hidden="false" customHeight="false" outlineLevel="0" collapsed="false">
      <c r="A3314" s="0" t="n">
        <v>28</v>
      </c>
      <c r="B3314" s="8" t="s">
        <v>24</v>
      </c>
      <c r="C3314" s="9" t="s">
        <v>25</v>
      </c>
      <c r="D3314" s="9" t="s">
        <v>26</v>
      </c>
      <c r="E3314" s="10" t="n">
        <v>1789</v>
      </c>
      <c r="F3314" s="9" t="s">
        <v>27</v>
      </c>
      <c r="G3314" s="9" t="s">
        <v>27</v>
      </c>
      <c r="H3314" s="11" t="n">
        <v>22</v>
      </c>
      <c r="I3314" s="11" t="s">
        <v>231</v>
      </c>
      <c r="J3314" s="14" t="n">
        <v>18</v>
      </c>
      <c r="K3314" s="14"/>
      <c r="L3314" s="16"/>
      <c r="M3314" s="27" t="n">
        <f aca="false">J3314+(K3314/20)+(L3314/240)</f>
        <v>18</v>
      </c>
      <c r="N3314" s="17" t="s">
        <v>66</v>
      </c>
      <c r="O3314" s="11"/>
      <c r="P3314" s="28"/>
      <c r="Q3314" s="28" t="n">
        <f aca="false">P3314*$M3314</f>
        <v>0</v>
      </c>
      <c r="R3314" s="28"/>
      <c r="S3314" s="28" t="n">
        <f aca="false">R3314*$M3314</f>
        <v>0</v>
      </c>
      <c r="T3314" s="28"/>
      <c r="U3314" s="28" t="n">
        <f aca="false">T3314*$M3314</f>
        <v>0</v>
      </c>
      <c r="V3314" s="28"/>
      <c r="W3314" s="28" t="n">
        <f aca="false">V3314*$M3314</f>
        <v>0</v>
      </c>
      <c r="X3314" s="28"/>
      <c r="Y3314" s="28" t="n">
        <f aca="false">X3314*$M3314</f>
        <v>0</v>
      </c>
      <c r="Z3314" s="28"/>
      <c r="AA3314" s="28" t="n">
        <f aca="false">Z3314*$M3314</f>
        <v>0</v>
      </c>
      <c r="AB3314" s="28"/>
      <c r="AC3314" s="28" t="n">
        <f aca="false">AB3314*$M3314</f>
        <v>0</v>
      </c>
      <c r="AD3314" s="28"/>
      <c r="AE3314" s="28" t="n">
        <f aca="false">AD3314*$M3314</f>
        <v>0</v>
      </c>
      <c r="AF3314" s="28"/>
      <c r="AG3314" s="28" t="n">
        <f aca="false">AF3314*$M3314</f>
        <v>0</v>
      </c>
      <c r="AH3314" s="28"/>
      <c r="AI3314" s="28" t="n">
        <f aca="false">AH3314*$M3314</f>
        <v>0</v>
      </c>
      <c r="AJ3314" s="28" t="n">
        <v>623</v>
      </c>
      <c r="AK3314" s="28" t="n">
        <v>11214</v>
      </c>
      <c r="AL3314" s="28"/>
      <c r="AM3314" s="28" t="n">
        <f aca="false">AL3314*$M3314</f>
        <v>0</v>
      </c>
      <c r="AN3314" s="28"/>
      <c r="AO3314" s="28" t="n">
        <f aca="false">AN3314*$M3314</f>
        <v>0</v>
      </c>
      <c r="AP3314" s="28"/>
      <c r="AQ3314" s="28" t="n">
        <f aca="false">AP3314*$M3314</f>
        <v>0</v>
      </c>
      <c r="AR3314" s="28"/>
      <c r="AS3314" s="28" t="n">
        <f aca="false">AR3314*$M3314</f>
        <v>0</v>
      </c>
      <c r="AT3314" s="28"/>
      <c r="AU3314" s="28" t="n">
        <f aca="false">AT3314*$M3314</f>
        <v>0</v>
      </c>
      <c r="AV3314" s="28"/>
      <c r="AW3314" s="28" t="n">
        <f aca="false">AV3314*$M3314</f>
        <v>0</v>
      </c>
      <c r="AX3314" s="28"/>
      <c r="AY3314" s="28" t="n">
        <f aca="false">AX3314*$M3314</f>
        <v>0</v>
      </c>
      <c r="AZ3314" s="30" t="n">
        <v>623</v>
      </c>
      <c r="BA3314" s="11" t="n">
        <v>11214</v>
      </c>
      <c r="BB3314" s="31" t="n">
        <f aca="false">SUM(Q3314,S3314,U3314,W3314,Y3314,AA3314,AC3314,AE3314,AG3314,AI3314,AK3314,AM3314,AO3314,AQ3314,AS3314,AU3314,AW3314,AY3314)</f>
        <v>11214</v>
      </c>
      <c r="BC3314" s="28" t="n">
        <f aca="false">BA3314-BB3314</f>
        <v>0</v>
      </c>
      <c r="BD3314" s="32" t="n">
        <f aca="false">SUM(P3314,R3314,T3314,V3314,X3314,Z3314,AB3314,AD3314,AF3314,AH3314,AJ3314,AL3314,AN3314,AP3314,AR3314,AT3314,AV3314,AX3314)</f>
        <v>623</v>
      </c>
      <c r="BE3314" s="33" t="n">
        <f aca="false">AZ3314-BD3314</f>
        <v>0</v>
      </c>
      <c r="BF3314" s="34" t="n">
        <f aca="false">BD3314*M3314</f>
        <v>11214</v>
      </c>
      <c r="BG3314" s="35" t="n">
        <f aca="false">BA3314-BF3314</f>
        <v>0</v>
      </c>
      <c r="BH3314" s="19" t="str">
        <f aca="false">IF(BG3314=0,"",IF(BG3314&lt;&gt;BA3314,"erreur de calcul",IF(BD3314&lt;&gt;0,"pas de prix",IF(M3314&lt;&gt; 0,"pas de quantité","pas de prix, ni de quantité"))))</f>
        <v/>
      </c>
      <c r="BI3314" s="19"/>
    </row>
    <row r="3315" customFormat="false" ht="15" hidden="false" customHeight="false" outlineLevel="0" collapsed="false">
      <c r="A3315" s="0" t="n">
        <v>29</v>
      </c>
      <c r="B3315" s="8" t="s">
        <v>24</v>
      </c>
      <c r="C3315" s="9" t="s">
        <v>25</v>
      </c>
      <c r="D3315" s="9" t="s">
        <v>26</v>
      </c>
      <c r="E3315" s="10" t="n">
        <v>1789</v>
      </c>
      <c r="F3315" s="9" t="s">
        <v>27</v>
      </c>
      <c r="G3315" s="9" t="s">
        <v>27</v>
      </c>
      <c r="H3315" s="11" t="n">
        <v>22</v>
      </c>
      <c r="I3315" s="11" t="s">
        <v>232</v>
      </c>
      <c r="J3315" s="14" t="n">
        <v>66</v>
      </c>
      <c r="K3315" s="14"/>
      <c r="L3315" s="16"/>
      <c r="M3315" s="27" t="n">
        <f aca="false">J3315+(K3315/20)+(L3315/240)</f>
        <v>66</v>
      </c>
      <c r="N3315" s="17" t="s">
        <v>64</v>
      </c>
      <c r="O3315" s="11"/>
      <c r="P3315" s="28"/>
      <c r="Q3315" s="28" t="n">
        <f aca="false">P3315*$M3315</f>
        <v>0</v>
      </c>
      <c r="R3315" s="28" t="n">
        <f aca="false">4580/100</f>
        <v>45.8</v>
      </c>
      <c r="S3315" s="28" t="n">
        <v>3023</v>
      </c>
      <c r="T3315" s="28"/>
      <c r="U3315" s="28" t="n">
        <f aca="false">T3315*$M3315</f>
        <v>0</v>
      </c>
      <c r="V3315" s="28"/>
      <c r="W3315" s="28" t="n">
        <f aca="false">V3315*$M3315</f>
        <v>0</v>
      </c>
      <c r="X3315" s="28"/>
      <c r="Y3315" s="28" t="n">
        <f aca="false">X3315*$M3315</f>
        <v>0</v>
      </c>
      <c r="Z3315" s="28"/>
      <c r="AA3315" s="28" t="n">
        <f aca="false">Z3315*$M3315</f>
        <v>0</v>
      </c>
      <c r="AB3315" s="28"/>
      <c r="AC3315" s="28" t="n">
        <f aca="false">AB3315*$M3315</f>
        <v>0</v>
      </c>
      <c r="AD3315" s="28"/>
      <c r="AE3315" s="28" t="n">
        <f aca="false">AD3315*$M3315</f>
        <v>0</v>
      </c>
      <c r="AF3315" s="28"/>
      <c r="AG3315" s="28" t="n">
        <f aca="false">AF3315*$M3315</f>
        <v>0</v>
      </c>
      <c r="AH3315" s="28"/>
      <c r="AI3315" s="28" t="n">
        <f aca="false">AH3315*$M3315</f>
        <v>0</v>
      </c>
      <c r="AJ3315" s="28"/>
      <c r="AK3315" s="28" t="n">
        <f aca="false">AJ3315*$M3315</f>
        <v>0</v>
      </c>
      <c r="AL3315" s="28"/>
      <c r="AM3315" s="28" t="n">
        <f aca="false">AL3315*$M3315</f>
        <v>0</v>
      </c>
      <c r="AN3315" s="28"/>
      <c r="AO3315" s="28" t="n">
        <f aca="false">AN3315*$M3315</f>
        <v>0</v>
      </c>
      <c r="AP3315" s="28"/>
      <c r="AQ3315" s="28" t="n">
        <f aca="false">AP3315*$M3315</f>
        <v>0</v>
      </c>
      <c r="AR3315" s="28"/>
      <c r="AS3315" s="28" t="n">
        <f aca="false">AR3315*$M3315</f>
        <v>0</v>
      </c>
      <c r="AT3315" s="28"/>
      <c r="AU3315" s="28" t="n">
        <f aca="false">AT3315*$M3315</f>
        <v>0</v>
      </c>
      <c r="AV3315" s="28"/>
      <c r="AW3315" s="28" t="n">
        <f aca="false">AV3315*$M3315</f>
        <v>0</v>
      </c>
      <c r="AX3315" s="28"/>
      <c r="AY3315" s="28" t="n">
        <f aca="false">AX3315*$M3315</f>
        <v>0</v>
      </c>
      <c r="AZ3315" s="30" t="n">
        <f aca="false">4580/100</f>
        <v>45.8</v>
      </c>
      <c r="BA3315" s="11" t="n">
        <v>3023</v>
      </c>
      <c r="BB3315" s="31" t="n">
        <f aca="false">SUM(Q3315,S3315,U3315,W3315,Y3315,AA3315,AC3315,AE3315,AG3315,AI3315,AK3315,AM3315,AO3315,AQ3315,AS3315,AU3315,AW3315,AY3315)</f>
        <v>3023</v>
      </c>
      <c r="BC3315" s="28" t="n">
        <f aca="false">BA3315-BB3315</f>
        <v>0</v>
      </c>
      <c r="BD3315" s="32" t="n">
        <f aca="false">SUM(P3315,R3315,T3315,V3315,X3315,Z3315,AB3315,AD3315,AF3315,AH3315,AJ3315,AL3315,AN3315,AP3315,AR3315,AT3315,AV3315,AX3315)</f>
        <v>45.8</v>
      </c>
      <c r="BE3315" s="33" t="n">
        <f aca="false">AZ3315-BD3315</f>
        <v>0</v>
      </c>
      <c r="BF3315" s="34" t="n">
        <f aca="false">BD3315*M3315</f>
        <v>3022.8</v>
      </c>
      <c r="BG3315" s="35" t="n">
        <f aca="false">BA3315-BF3315</f>
        <v>0.200000000000273</v>
      </c>
      <c r="BH3315" s="19" t="str">
        <f aca="false">IF(BG3315=0,"",IF(BG3315&lt;&gt;BA3315,"erreur de calcul",IF(BD3315&lt;&gt;0,"pas de prix",IF(M3315&lt;&gt; 0,"pas de quantité","pas de prix, ni de quantité"))))</f>
        <v>erreur de calcul</v>
      </c>
      <c r="BI3315" s="19"/>
    </row>
    <row r="3316" customFormat="false" ht="15" hidden="false" customHeight="false" outlineLevel="0" collapsed="false">
      <c r="A3316" s="0" t="n">
        <v>30</v>
      </c>
      <c r="B3316" s="8" t="s">
        <v>24</v>
      </c>
      <c r="C3316" s="9" t="s">
        <v>25</v>
      </c>
      <c r="D3316" s="9" t="s">
        <v>26</v>
      </c>
      <c r="E3316" s="10" t="n">
        <v>1789</v>
      </c>
      <c r="F3316" s="9" t="s">
        <v>27</v>
      </c>
      <c r="G3316" s="9" t="s">
        <v>27</v>
      </c>
      <c r="H3316" s="11" t="n">
        <v>22</v>
      </c>
      <c r="I3316" s="11" t="s">
        <v>233</v>
      </c>
      <c r="J3316" s="14" t="n">
        <v>155</v>
      </c>
      <c r="K3316" s="14"/>
      <c r="L3316" s="16"/>
      <c r="M3316" s="27" t="n">
        <f aca="false">J3316+(K3316/20)+(L3316/240)</f>
        <v>155</v>
      </c>
      <c r="N3316" s="17" t="s">
        <v>64</v>
      </c>
      <c r="O3316" s="11"/>
      <c r="P3316" s="28" t="n">
        <f aca="false">27574/100</f>
        <v>275.74</v>
      </c>
      <c r="Q3316" s="28" t="n">
        <v>42740</v>
      </c>
      <c r="R3316" s="28" t="n">
        <f aca="false">7820/100</f>
        <v>78.2</v>
      </c>
      <c r="S3316" s="28" t="n">
        <v>12121</v>
      </c>
      <c r="T3316" s="28"/>
      <c r="U3316" s="28" t="n">
        <f aca="false">T3316*$M3316</f>
        <v>0</v>
      </c>
      <c r="V3316" s="28" t="n">
        <f aca="false">37316/100</f>
        <v>373.16</v>
      </c>
      <c r="W3316" s="28" t="n">
        <v>57840</v>
      </c>
      <c r="X3316" s="28" t="n">
        <f aca="false">1394/100</f>
        <v>13.94</v>
      </c>
      <c r="Y3316" s="28" t="n">
        <v>2161</v>
      </c>
      <c r="Z3316" s="28"/>
      <c r="AA3316" s="28" t="n">
        <f aca="false">Z3316*$M3316</f>
        <v>0</v>
      </c>
      <c r="AB3316" s="28"/>
      <c r="AC3316" s="28" t="n">
        <f aca="false">AB3316*$M3316</f>
        <v>0</v>
      </c>
      <c r="AD3316" s="28"/>
      <c r="AE3316" s="28" t="n">
        <f aca="false">AD3316*$M3316</f>
        <v>0</v>
      </c>
      <c r="AF3316" s="28"/>
      <c r="AG3316" s="28" t="n">
        <f aca="false">AF3316*$M3316</f>
        <v>0</v>
      </c>
      <c r="AH3316" s="28"/>
      <c r="AI3316" s="28" t="n">
        <f aca="false">AH3316*$M3316</f>
        <v>0</v>
      </c>
      <c r="AJ3316" s="28" t="n">
        <f aca="false">158255/100</f>
        <v>1582.55</v>
      </c>
      <c r="AK3316" s="28" t="n">
        <v>245295</v>
      </c>
      <c r="AL3316" s="28"/>
      <c r="AM3316" s="28" t="n">
        <f aca="false">AL3316*$M3316</f>
        <v>0</v>
      </c>
      <c r="AN3316" s="28" t="n">
        <f aca="false">417945/100</f>
        <v>4179.45</v>
      </c>
      <c r="AO3316" s="28" t="n">
        <v>647815</v>
      </c>
      <c r="AP3316" s="28"/>
      <c r="AQ3316" s="28" t="n">
        <f aca="false">AP3316*$M3316</f>
        <v>0</v>
      </c>
      <c r="AR3316" s="28"/>
      <c r="AS3316" s="28" t="n">
        <f aca="false">AR3316*$M3316</f>
        <v>0</v>
      </c>
      <c r="AT3316" s="28"/>
      <c r="AU3316" s="28" t="n">
        <f aca="false">AT3316*$M3316</f>
        <v>0</v>
      </c>
      <c r="AV3316" s="28"/>
      <c r="AW3316" s="28" t="n">
        <f aca="false">AV3316*$M3316</f>
        <v>0</v>
      </c>
      <c r="AX3316" s="28"/>
      <c r="AY3316" s="28" t="n">
        <f aca="false">AX3316*$M3316</f>
        <v>0</v>
      </c>
      <c r="AZ3316" s="30" t="n">
        <f aca="false">650304/100</f>
        <v>6503.04</v>
      </c>
      <c r="BA3316" s="11" t="n">
        <v>1007972</v>
      </c>
      <c r="BB3316" s="31" t="n">
        <f aca="false">SUM(Q3316,S3316,U3316,W3316,Y3316,AA3316,AC3316,AE3316,AG3316,AI3316,AK3316,AM3316,AO3316,AQ3316,AS3316,AU3316,AW3316,AY3316)</f>
        <v>1007972</v>
      </c>
      <c r="BC3316" s="28" t="n">
        <f aca="false">BA3316-BB3316</f>
        <v>0</v>
      </c>
      <c r="BD3316" s="32" t="n">
        <f aca="false">SUM(P3316,R3316,T3316,V3316,X3316,Z3316,AB3316,AD3316,AF3316,AH3316,AJ3316,AL3316,AN3316,AP3316,AR3316,AT3316,AV3316,AX3316)</f>
        <v>6503.04</v>
      </c>
      <c r="BE3316" s="33" t="n">
        <f aca="false">AZ3316-BD3316</f>
        <v>0</v>
      </c>
      <c r="BF3316" s="34" t="n">
        <f aca="false">BD3316*M3316</f>
        <v>1007971.2</v>
      </c>
      <c r="BG3316" s="35" t="n">
        <f aca="false">BA3316-BF3316</f>
        <v>0.800000000162981</v>
      </c>
      <c r="BH3316" s="19" t="str">
        <f aca="false">IF(BG3316=0,"",IF(BG3316&lt;&gt;BA3316,"erreur de calcul",IF(BD3316&lt;&gt;0,"pas de prix",IF(M3316&lt;&gt; 0,"pas de quantité","pas de prix, ni de quantité"))))</f>
        <v>erreur de calcul</v>
      </c>
      <c r="BI3316" s="19"/>
    </row>
    <row r="3317" customFormat="false" ht="15" hidden="false" customHeight="false" outlineLevel="0" collapsed="false">
      <c r="A3317" s="0" t="n">
        <v>31</v>
      </c>
      <c r="B3317" s="8" t="s">
        <v>24</v>
      </c>
      <c r="C3317" s="9" t="s">
        <v>25</v>
      </c>
      <c r="D3317" s="9" t="s">
        <v>26</v>
      </c>
      <c r="E3317" s="10" t="n">
        <v>1789</v>
      </c>
      <c r="F3317" s="9" t="s">
        <v>27</v>
      </c>
      <c r="G3317" s="9" t="s">
        <v>27</v>
      </c>
      <c r="H3317" s="11" t="n">
        <v>22</v>
      </c>
      <c r="I3317" s="11" t="s">
        <v>234</v>
      </c>
      <c r="J3317" s="14" t="n">
        <v>110</v>
      </c>
      <c r="K3317" s="14"/>
      <c r="L3317" s="16"/>
      <c r="M3317" s="27" t="n">
        <f aca="false">J3317+(K3317/20)+(L3317/240)</f>
        <v>110</v>
      </c>
      <c r="N3317" s="17" t="s">
        <v>64</v>
      </c>
      <c r="O3317" s="11"/>
      <c r="P3317" s="28" t="n">
        <f aca="false">73942/100</f>
        <v>739.42</v>
      </c>
      <c r="Q3317" s="28" t="n">
        <v>81336</v>
      </c>
      <c r="R3317" s="28"/>
      <c r="S3317" s="28" t="n">
        <f aca="false">R3317*$M3317</f>
        <v>0</v>
      </c>
      <c r="T3317" s="28"/>
      <c r="U3317" s="28" t="n">
        <f aca="false">T3317*$M3317</f>
        <v>0</v>
      </c>
      <c r="V3317" s="28"/>
      <c r="W3317" s="28" t="n">
        <f aca="false">V3317*$M3317</f>
        <v>0</v>
      </c>
      <c r="X3317" s="28"/>
      <c r="Y3317" s="28" t="n">
        <f aca="false">X3317*$M3317</f>
        <v>0</v>
      </c>
      <c r="Z3317" s="28"/>
      <c r="AA3317" s="28" t="n">
        <f aca="false">Z3317*$M3317</f>
        <v>0</v>
      </c>
      <c r="AB3317" s="28"/>
      <c r="AC3317" s="28" t="n">
        <f aca="false">AB3317*$M3317</f>
        <v>0</v>
      </c>
      <c r="AD3317" s="28"/>
      <c r="AE3317" s="28" t="n">
        <f aca="false">AD3317*$M3317</f>
        <v>0</v>
      </c>
      <c r="AF3317" s="28"/>
      <c r="AG3317" s="28" t="n">
        <f aca="false">AF3317*$M3317</f>
        <v>0</v>
      </c>
      <c r="AH3317" s="28"/>
      <c r="AI3317" s="28" t="n">
        <f aca="false">AH3317*$M3317</f>
        <v>0</v>
      </c>
      <c r="AJ3317" s="28"/>
      <c r="AK3317" s="28" t="n">
        <f aca="false">AJ3317*$M3317</f>
        <v>0</v>
      </c>
      <c r="AL3317" s="28"/>
      <c r="AM3317" s="28" t="n">
        <f aca="false">AL3317*$M3317</f>
        <v>0</v>
      </c>
      <c r="AN3317" s="28"/>
      <c r="AO3317" s="28" t="n">
        <f aca="false">AN3317*$M3317</f>
        <v>0</v>
      </c>
      <c r="AP3317" s="28"/>
      <c r="AQ3317" s="28" t="n">
        <f aca="false">AP3317*$M3317</f>
        <v>0</v>
      </c>
      <c r="AR3317" s="28"/>
      <c r="AS3317" s="28" t="n">
        <f aca="false">AR3317*$M3317</f>
        <v>0</v>
      </c>
      <c r="AT3317" s="28"/>
      <c r="AU3317" s="28" t="n">
        <f aca="false">AT3317*$M3317</f>
        <v>0</v>
      </c>
      <c r="AV3317" s="28"/>
      <c r="AW3317" s="28" t="n">
        <f aca="false">AV3317*$M3317</f>
        <v>0</v>
      </c>
      <c r="AX3317" s="28"/>
      <c r="AY3317" s="28" t="n">
        <f aca="false">AX3317*$M3317</f>
        <v>0</v>
      </c>
      <c r="AZ3317" s="30" t="n">
        <f aca="false">73942/100</f>
        <v>739.42</v>
      </c>
      <c r="BA3317" s="11" t="n">
        <v>81336</v>
      </c>
      <c r="BB3317" s="31" t="n">
        <f aca="false">SUM(Q3317,S3317,U3317,W3317,Y3317,AA3317,AC3317,AE3317,AG3317,AI3317,AK3317,AM3317,AO3317,AQ3317,AS3317,AU3317,AW3317,AY3317)</f>
        <v>81336</v>
      </c>
      <c r="BC3317" s="28" t="n">
        <f aca="false">BA3317-BB3317</f>
        <v>0</v>
      </c>
      <c r="BD3317" s="32" t="n">
        <f aca="false">SUM(P3317,R3317,T3317,V3317,X3317,Z3317,AB3317,AD3317,AF3317,AH3317,AJ3317,AL3317,AN3317,AP3317,AR3317,AT3317,AV3317,AX3317)</f>
        <v>739.42</v>
      </c>
      <c r="BE3317" s="33" t="n">
        <f aca="false">AZ3317-BD3317</f>
        <v>0</v>
      </c>
      <c r="BF3317" s="34" t="n">
        <f aca="false">BD3317*M3317</f>
        <v>81336.2</v>
      </c>
      <c r="BG3317" s="35" t="n">
        <f aca="false">BA3317-BF3317</f>
        <v>-0.19999999999709</v>
      </c>
      <c r="BH3317" s="19" t="str">
        <f aca="false">IF(BG3317=0,"",IF(BG3317&lt;&gt;BA3317,"erreur de calcul",IF(BD3317&lt;&gt;0,"pas de prix",IF(M3317&lt;&gt; 0,"pas de quantité","pas de prix, ni de quantité"))))</f>
        <v>erreur de calcul</v>
      </c>
      <c r="BI3317" s="19"/>
    </row>
    <row r="3318" customFormat="false" ht="15" hidden="false" customHeight="false" outlineLevel="0" collapsed="false">
      <c r="A3318" s="0" t="n">
        <v>32</v>
      </c>
      <c r="B3318" s="8" t="s">
        <v>24</v>
      </c>
      <c r="C3318" s="9" t="s">
        <v>25</v>
      </c>
      <c r="D3318" s="9" t="s">
        <v>26</v>
      </c>
      <c r="E3318" s="10" t="n">
        <v>1789</v>
      </c>
      <c r="F3318" s="9" t="s">
        <v>27</v>
      </c>
      <c r="G3318" s="9" t="s">
        <v>27</v>
      </c>
      <c r="H3318" s="11" t="n">
        <v>22</v>
      </c>
      <c r="I3318" s="11" t="s">
        <v>235</v>
      </c>
      <c r="J3318" s="14" t="n">
        <v>60</v>
      </c>
      <c r="K3318" s="14"/>
      <c r="L3318" s="16"/>
      <c r="M3318" s="27" t="n">
        <f aca="false">J3318+(K3318/20)+(L3318/240)</f>
        <v>60</v>
      </c>
      <c r="N3318" s="17" t="s">
        <v>64</v>
      </c>
      <c r="O3318" s="11"/>
      <c r="P3318" s="28"/>
      <c r="Q3318" s="28" t="n">
        <f aca="false">P3318*$M3318</f>
        <v>0</v>
      </c>
      <c r="R3318" s="28"/>
      <c r="S3318" s="28" t="n">
        <f aca="false">R3318*$M3318</f>
        <v>0</v>
      </c>
      <c r="T3318" s="28"/>
      <c r="U3318" s="28" t="n">
        <f aca="false">T3318*$M3318</f>
        <v>0</v>
      </c>
      <c r="V3318" s="28" t="n">
        <f aca="false">232/100</f>
        <v>2.32</v>
      </c>
      <c r="W3318" s="28" t="n">
        <v>139</v>
      </c>
      <c r="X3318" s="28" t="n">
        <f aca="false">5603/100</f>
        <v>56.03</v>
      </c>
      <c r="Y3318" s="28" t="n">
        <v>3362</v>
      </c>
      <c r="Z3318" s="28"/>
      <c r="AA3318" s="28" t="n">
        <f aca="false">Z3318*$M3318</f>
        <v>0</v>
      </c>
      <c r="AB3318" s="28" t="n">
        <f aca="false">1410/100</f>
        <v>14.1</v>
      </c>
      <c r="AC3318" s="28" t="n">
        <v>846</v>
      </c>
      <c r="AD3318" s="28"/>
      <c r="AE3318" s="28" t="n">
        <f aca="false">AD3318*$M3318</f>
        <v>0</v>
      </c>
      <c r="AF3318" s="28" t="n">
        <f aca="false">162899/100</f>
        <v>1628.99</v>
      </c>
      <c r="AG3318" s="28" t="n">
        <v>97739</v>
      </c>
      <c r="AH3318" s="28" t="n">
        <f aca="false">6506/100</f>
        <v>65.06</v>
      </c>
      <c r="AI3318" s="28" t="n">
        <v>3904</v>
      </c>
      <c r="AJ3318" s="28"/>
      <c r="AK3318" s="28" t="n">
        <f aca="false">AJ3318*$M3318</f>
        <v>0</v>
      </c>
      <c r="AL3318" s="28"/>
      <c r="AM3318" s="28" t="n">
        <f aca="false">AL3318*$M3318</f>
        <v>0</v>
      </c>
      <c r="AN3318" s="28"/>
      <c r="AO3318" s="28" t="n">
        <f aca="false">AN3318*$M3318</f>
        <v>0</v>
      </c>
      <c r="AP3318" s="28"/>
      <c r="AQ3318" s="28" t="n">
        <f aca="false">AP3318*$M3318</f>
        <v>0</v>
      </c>
      <c r="AR3318" s="28"/>
      <c r="AS3318" s="28" t="n">
        <f aca="false">AR3318*$M3318</f>
        <v>0</v>
      </c>
      <c r="AT3318" s="28"/>
      <c r="AU3318" s="28" t="n">
        <f aca="false">AT3318*$M3318</f>
        <v>0</v>
      </c>
      <c r="AV3318" s="28"/>
      <c r="AW3318" s="28" t="n">
        <f aca="false">AV3318*$M3318</f>
        <v>0</v>
      </c>
      <c r="AX3318" s="28"/>
      <c r="AY3318" s="28" t="n">
        <f aca="false">AX3318*$M3318</f>
        <v>0</v>
      </c>
      <c r="AZ3318" s="30" t="n">
        <f aca="false">176650/100</f>
        <v>1766.5</v>
      </c>
      <c r="BA3318" s="11" t="n">
        <v>105990</v>
      </c>
      <c r="BB3318" s="31" t="n">
        <f aca="false">SUM(Q3318,S3318,U3318,W3318,Y3318,AA3318,AC3318,AE3318,AG3318,AI3318,AK3318,AM3318,AO3318,AQ3318,AS3318,AU3318,AW3318,AY3318)</f>
        <v>105990</v>
      </c>
      <c r="BC3318" s="28" t="n">
        <f aca="false">BA3318-BB3318</f>
        <v>0</v>
      </c>
      <c r="BD3318" s="32" t="n">
        <f aca="false">SUM(P3318,R3318,T3318,V3318,X3318,Z3318,AB3318,AD3318,AF3318,AH3318,AJ3318,AL3318,AN3318,AP3318,AR3318,AT3318,AV3318,AX3318)</f>
        <v>1766.5</v>
      </c>
      <c r="BE3318" s="33" t="n">
        <f aca="false">AZ3318-BD3318</f>
        <v>0</v>
      </c>
      <c r="BF3318" s="34" t="n">
        <f aca="false">BD3318*M3318</f>
        <v>105990</v>
      </c>
      <c r="BG3318" s="35" t="n">
        <f aca="false">BA3318-BF3318</f>
        <v>0</v>
      </c>
      <c r="BH3318" s="19" t="str">
        <f aca="false">IF(BG3318=0,"",IF(BG3318&lt;&gt;BA3318,"erreur de calcul",IF(BD3318&lt;&gt;0,"pas de prix",IF(M3318&lt;&gt; 0,"pas de quantité","pas de prix, ni de quantité"))))</f>
        <v/>
      </c>
      <c r="BI3318" s="19"/>
    </row>
    <row r="3319" customFormat="false" ht="15" hidden="false" customHeight="false" outlineLevel="0" collapsed="false">
      <c r="A3319" s="0" t="n">
        <v>33</v>
      </c>
      <c r="B3319" s="8" t="s">
        <v>24</v>
      </c>
      <c r="C3319" s="9" t="s">
        <v>25</v>
      </c>
      <c r="D3319" s="9" t="s">
        <v>26</v>
      </c>
      <c r="E3319" s="10" t="n">
        <v>1789</v>
      </c>
      <c r="F3319" s="9" t="s">
        <v>27</v>
      </c>
      <c r="G3319" s="9" t="s">
        <v>27</v>
      </c>
      <c r="H3319" s="11" t="n">
        <v>22</v>
      </c>
      <c r="I3319" s="11" t="s">
        <v>236</v>
      </c>
      <c r="J3319" s="14" t="n">
        <v>710</v>
      </c>
      <c r="K3319" s="14"/>
      <c r="L3319" s="16"/>
      <c r="M3319" s="27" t="n">
        <f aca="false">J3319+(K3319/20)+(L3319/240)</f>
        <v>710</v>
      </c>
      <c r="N3319" s="17" t="s">
        <v>64</v>
      </c>
      <c r="O3319" s="11"/>
      <c r="P3319" s="28"/>
      <c r="Q3319" s="28" t="n">
        <f aca="false">P3319*$M3319</f>
        <v>0</v>
      </c>
      <c r="R3319" s="28"/>
      <c r="S3319" s="28" t="n">
        <f aca="false">R3319*$M3319</f>
        <v>0</v>
      </c>
      <c r="T3319" s="28" t="n">
        <f aca="false">108/100</f>
        <v>1.08</v>
      </c>
      <c r="U3319" s="28" t="n">
        <v>767</v>
      </c>
      <c r="V3319" s="28" t="n">
        <f aca="false">1190/100</f>
        <v>11.9</v>
      </c>
      <c r="W3319" s="28" t="n">
        <v>8449</v>
      </c>
      <c r="X3319" s="28" t="n">
        <f aca="false">487/100</f>
        <v>4.87</v>
      </c>
      <c r="Y3319" s="28" t="n">
        <v>3458</v>
      </c>
      <c r="Z3319" s="28"/>
      <c r="AA3319" s="28" t="n">
        <f aca="false">Z3319*$M3319</f>
        <v>0</v>
      </c>
      <c r="AB3319" s="28" t="n">
        <f aca="false">9170/100</f>
        <v>91.7</v>
      </c>
      <c r="AC3319" s="28" t="n">
        <v>65107</v>
      </c>
      <c r="AD3319" s="28" t="n">
        <f aca="false">531/100</f>
        <v>5.31</v>
      </c>
      <c r="AE3319" s="28" t="n">
        <v>3770</v>
      </c>
      <c r="AF3319" s="28"/>
      <c r="AG3319" s="28" t="n">
        <f aca="false">AF3319*$M3319</f>
        <v>0</v>
      </c>
      <c r="AH3319" s="28"/>
      <c r="AI3319" s="28" t="n">
        <f aca="false">AH3319*$M3319</f>
        <v>0</v>
      </c>
      <c r="AJ3319" s="28"/>
      <c r="AK3319" s="28" t="n">
        <f aca="false">AJ3319*$M3319</f>
        <v>0</v>
      </c>
      <c r="AL3319" s="28"/>
      <c r="AM3319" s="28" t="n">
        <f aca="false">AL3319*$M3319</f>
        <v>0</v>
      </c>
      <c r="AN3319" s="28"/>
      <c r="AO3319" s="28" t="n">
        <f aca="false">AN3319*$M3319</f>
        <v>0</v>
      </c>
      <c r="AP3319" s="28"/>
      <c r="AQ3319" s="28" t="n">
        <f aca="false">AP3319*$M3319</f>
        <v>0</v>
      </c>
      <c r="AR3319" s="28"/>
      <c r="AS3319" s="28" t="n">
        <f aca="false">AR3319*$M3319</f>
        <v>0</v>
      </c>
      <c r="AT3319" s="28"/>
      <c r="AU3319" s="28" t="n">
        <f aca="false">AT3319*$M3319</f>
        <v>0</v>
      </c>
      <c r="AV3319" s="28"/>
      <c r="AW3319" s="28" t="n">
        <f aca="false">AV3319*$M3319</f>
        <v>0</v>
      </c>
      <c r="AX3319" s="28"/>
      <c r="AY3319" s="28" t="n">
        <f aca="false">AX3319*$M3319</f>
        <v>0</v>
      </c>
      <c r="AZ3319" s="30" t="n">
        <f aca="false">11486/100</f>
        <v>114.86</v>
      </c>
      <c r="BA3319" s="11" t="n">
        <v>81551</v>
      </c>
      <c r="BB3319" s="31" t="n">
        <f aca="false">SUM(Q3319,S3319,U3319,W3319,Y3319,AA3319,AC3319,AE3319,AG3319,AI3319,AK3319,AM3319,AO3319,AQ3319,AS3319,AU3319,AW3319,AY3319)</f>
        <v>81551</v>
      </c>
      <c r="BC3319" s="28" t="n">
        <f aca="false">BA3319-BB3319</f>
        <v>0</v>
      </c>
      <c r="BD3319" s="32" t="n">
        <f aca="false">SUM(P3319,R3319,T3319,V3319,X3319,Z3319,AB3319,AD3319,AF3319,AH3319,AJ3319,AL3319,AN3319,AP3319,AR3319,AT3319,AV3319,AX3319)</f>
        <v>114.86</v>
      </c>
      <c r="BE3319" s="33" t="n">
        <f aca="false">AZ3319-BD3319</f>
        <v>0</v>
      </c>
      <c r="BF3319" s="34" t="n">
        <f aca="false">BD3319*M3319</f>
        <v>81550.6</v>
      </c>
      <c r="BG3319" s="35" t="n">
        <f aca="false">BA3319-BF3319</f>
        <v>0.399999999994179</v>
      </c>
      <c r="BH3319" s="19" t="str">
        <f aca="false">IF(BG3319=0,"",IF(BG3319&lt;&gt;BA3319,"erreur de calcul",IF(BD3319&lt;&gt;0,"pas de prix",IF(M3319&lt;&gt; 0,"pas de quantité","pas de prix, ni de quantité"))))</f>
        <v>erreur de calcul</v>
      </c>
      <c r="BI3319" s="19"/>
    </row>
    <row r="3320" customFormat="false" ht="15" hidden="false" customHeight="false" outlineLevel="0" collapsed="false">
      <c r="A3320" s="0" t="n">
        <v>34</v>
      </c>
      <c r="B3320" s="8" t="s">
        <v>24</v>
      </c>
      <c r="C3320" s="9" t="s">
        <v>25</v>
      </c>
      <c r="D3320" s="9" t="s">
        <v>26</v>
      </c>
      <c r="E3320" s="10" t="n">
        <v>1789</v>
      </c>
      <c r="F3320" s="9" t="s">
        <v>27</v>
      </c>
      <c r="G3320" s="9" t="s">
        <v>27</v>
      </c>
      <c r="H3320" s="11" t="n">
        <v>22</v>
      </c>
      <c r="I3320" s="11" t="s">
        <v>237</v>
      </c>
      <c r="J3320" s="14" t="n">
        <v>91</v>
      </c>
      <c r="K3320" s="14"/>
      <c r="L3320" s="16"/>
      <c r="M3320" s="27" t="n">
        <f aca="false">J3320+(K3320/20)+(L3320/240)</f>
        <v>91</v>
      </c>
      <c r="N3320" s="17" t="s">
        <v>64</v>
      </c>
      <c r="O3320" s="11"/>
      <c r="P3320" s="28"/>
      <c r="Q3320" s="28" t="n">
        <f aca="false">P3320*$M3320</f>
        <v>0</v>
      </c>
      <c r="R3320" s="28"/>
      <c r="S3320" s="28" t="n">
        <f aca="false">R3320*$M3320</f>
        <v>0</v>
      </c>
      <c r="T3320" s="28"/>
      <c r="U3320" s="28" t="n">
        <f aca="false">T3320*$M3320</f>
        <v>0</v>
      </c>
      <c r="V3320" s="28" t="n">
        <f aca="false">3384/100</f>
        <v>33.84</v>
      </c>
      <c r="W3320" s="28" t="n">
        <v>3079</v>
      </c>
      <c r="X3320" s="28" t="n">
        <f aca="false">18105/100</f>
        <v>181.05</v>
      </c>
      <c r="Y3320" s="28" t="n">
        <v>16475</v>
      </c>
      <c r="Z3320" s="28"/>
      <c r="AA3320" s="28" t="n">
        <f aca="false">Z3320*$M3320</f>
        <v>0</v>
      </c>
      <c r="AB3320" s="28"/>
      <c r="AC3320" s="28" t="n">
        <f aca="false">AB3320*$M3320</f>
        <v>0</v>
      </c>
      <c r="AD3320" s="28"/>
      <c r="AE3320" s="28" t="n">
        <f aca="false">AD3320*$M3320</f>
        <v>0</v>
      </c>
      <c r="AF3320" s="28"/>
      <c r="AG3320" s="28" t="n">
        <f aca="false">AF3320*$M3320</f>
        <v>0</v>
      </c>
      <c r="AH3320" s="28"/>
      <c r="AI3320" s="28" t="n">
        <f aca="false">AH3320*$M3320</f>
        <v>0</v>
      </c>
      <c r="AJ3320" s="28"/>
      <c r="AK3320" s="28" t="n">
        <f aca="false">AJ3320*$M3320</f>
        <v>0</v>
      </c>
      <c r="AL3320" s="28"/>
      <c r="AM3320" s="28" t="n">
        <f aca="false">AL3320*$M3320</f>
        <v>0</v>
      </c>
      <c r="AN3320" s="28"/>
      <c r="AO3320" s="28" t="n">
        <f aca="false">AN3320*$M3320</f>
        <v>0</v>
      </c>
      <c r="AP3320" s="28"/>
      <c r="AQ3320" s="28" t="n">
        <f aca="false">AP3320*$M3320</f>
        <v>0</v>
      </c>
      <c r="AR3320" s="28"/>
      <c r="AS3320" s="28" t="n">
        <f aca="false">AR3320*$M3320</f>
        <v>0</v>
      </c>
      <c r="AT3320" s="28"/>
      <c r="AU3320" s="28" t="n">
        <f aca="false">AT3320*$M3320</f>
        <v>0</v>
      </c>
      <c r="AV3320" s="28"/>
      <c r="AW3320" s="28" t="n">
        <f aca="false">AV3320*$M3320</f>
        <v>0</v>
      </c>
      <c r="AX3320" s="28"/>
      <c r="AY3320" s="28" t="n">
        <f aca="false">AX3320*$M3320</f>
        <v>0</v>
      </c>
      <c r="AZ3320" s="30" t="n">
        <f aca="false">21489/100</f>
        <v>214.89</v>
      </c>
      <c r="BA3320" s="11" t="n">
        <v>19554</v>
      </c>
      <c r="BB3320" s="31" t="n">
        <f aca="false">SUM(Q3320,S3320,U3320,W3320,Y3320,AA3320,AC3320,AE3320,AG3320,AI3320,AK3320,AM3320,AO3320,AQ3320,AS3320,AU3320,AW3320,AY3320)</f>
        <v>19554</v>
      </c>
      <c r="BC3320" s="28" t="n">
        <f aca="false">BA3320-BB3320</f>
        <v>0</v>
      </c>
      <c r="BD3320" s="32" t="n">
        <f aca="false">SUM(P3320,R3320,T3320,V3320,X3320,Z3320,AB3320,AD3320,AF3320,AH3320,AJ3320,AL3320,AN3320,AP3320,AR3320,AT3320,AV3320,AX3320)</f>
        <v>214.89</v>
      </c>
      <c r="BE3320" s="33" t="n">
        <f aca="false">AZ3320-BD3320</f>
        <v>0</v>
      </c>
      <c r="BF3320" s="34" t="n">
        <f aca="false">BD3320*M3320</f>
        <v>19554.99</v>
      </c>
      <c r="BG3320" s="35" t="n">
        <f aca="false">BA3320-BF3320</f>
        <v>-0.990000000001601</v>
      </c>
      <c r="BH3320" s="19" t="str">
        <f aca="false">IF(BG3320=0,"",IF(BG3320&lt;&gt;BA3320,"erreur de calcul",IF(BD3320&lt;&gt;0,"pas de prix",IF(M3320&lt;&gt; 0,"pas de quantité","pas de prix, ni de quantité"))))</f>
        <v>erreur de calcul</v>
      </c>
      <c r="BI3320" s="19"/>
    </row>
    <row r="3321" customFormat="false" ht="15" hidden="false" customHeight="false" outlineLevel="0" collapsed="false">
      <c r="A3321" s="0" t="n">
        <v>35</v>
      </c>
      <c r="B3321" s="8" t="s">
        <v>24</v>
      </c>
      <c r="C3321" s="9" t="s">
        <v>25</v>
      </c>
      <c r="D3321" s="9" t="s">
        <v>26</v>
      </c>
      <c r="E3321" s="10" t="n">
        <v>1789</v>
      </c>
      <c r="F3321" s="9" t="s">
        <v>27</v>
      </c>
      <c r="G3321" s="9" t="s">
        <v>27</v>
      </c>
      <c r="H3321" s="11" t="n">
        <v>22</v>
      </c>
      <c r="I3321" s="11" t="s">
        <v>238</v>
      </c>
      <c r="J3321" s="14" t="n">
        <v>40</v>
      </c>
      <c r="K3321" s="14"/>
      <c r="L3321" s="16"/>
      <c r="M3321" s="27" t="n">
        <f aca="false">J3321+(K3321/20)+(L3321/240)</f>
        <v>40</v>
      </c>
      <c r="N3321" s="17" t="s">
        <v>66</v>
      </c>
      <c r="O3321" s="11"/>
      <c r="P3321" s="28" t="n">
        <v>150</v>
      </c>
      <c r="Q3321" s="28" t="n">
        <v>6000</v>
      </c>
      <c r="R3321" s="28"/>
      <c r="S3321" s="28" t="n">
        <f aca="false">R3321*$M3321</f>
        <v>0</v>
      </c>
      <c r="T3321" s="28" t="n">
        <v>467</v>
      </c>
      <c r="U3321" s="28" t="n">
        <v>18680</v>
      </c>
      <c r="V3321" s="28" t="n">
        <v>1124</v>
      </c>
      <c r="W3321" s="28" t="n">
        <v>44960</v>
      </c>
      <c r="X3321" s="28" t="n">
        <v>591</v>
      </c>
      <c r="Y3321" s="28" t="n">
        <v>23640</v>
      </c>
      <c r="Z3321" s="28"/>
      <c r="AA3321" s="28" t="n">
        <f aca="false">Z3321*$M3321</f>
        <v>0</v>
      </c>
      <c r="AB3321" s="28" t="n">
        <v>554</v>
      </c>
      <c r="AC3321" s="28" t="n">
        <v>22160</v>
      </c>
      <c r="AD3321" s="28"/>
      <c r="AE3321" s="28" t="n">
        <f aca="false">AD3321*$M3321</f>
        <v>0</v>
      </c>
      <c r="AF3321" s="28"/>
      <c r="AG3321" s="28" t="n">
        <f aca="false">AF3321*$M3321</f>
        <v>0</v>
      </c>
      <c r="AH3321" s="28" t="n">
        <v>1109</v>
      </c>
      <c r="AI3321" s="28" t="n">
        <v>44360</v>
      </c>
      <c r="AJ3321" s="28"/>
      <c r="AK3321" s="28" t="n">
        <f aca="false">AJ3321*$M3321</f>
        <v>0</v>
      </c>
      <c r="AL3321" s="28"/>
      <c r="AM3321" s="28" t="n">
        <f aca="false">AL3321*$M3321</f>
        <v>0</v>
      </c>
      <c r="AN3321" s="28"/>
      <c r="AO3321" s="28" t="n">
        <f aca="false">AN3321*$M3321</f>
        <v>0</v>
      </c>
      <c r="AP3321" s="28"/>
      <c r="AQ3321" s="28" t="n">
        <f aca="false">AP3321*$M3321</f>
        <v>0</v>
      </c>
      <c r="AR3321" s="28"/>
      <c r="AS3321" s="28" t="n">
        <f aca="false">AR3321*$M3321</f>
        <v>0</v>
      </c>
      <c r="AT3321" s="28"/>
      <c r="AU3321" s="28" t="n">
        <f aca="false">AT3321*$M3321</f>
        <v>0</v>
      </c>
      <c r="AV3321" s="28"/>
      <c r="AW3321" s="28" t="n">
        <f aca="false">AV3321*$M3321</f>
        <v>0</v>
      </c>
      <c r="AX3321" s="28"/>
      <c r="AY3321" s="28" t="n">
        <f aca="false">AX3321*$M3321</f>
        <v>0</v>
      </c>
      <c r="AZ3321" s="30" t="n">
        <v>3995</v>
      </c>
      <c r="BA3321" s="11" t="n">
        <v>159800</v>
      </c>
      <c r="BB3321" s="31" t="n">
        <f aca="false">SUM(Q3321,S3321,U3321,W3321,Y3321,AA3321,AC3321,AE3321,AG3321,AI3321,AK3321,AM3321,AO3321,AQ3321,AS3321,AU3321,AW3321,AY3321)</f>
        <v>159800</v>
      </c>
      <c r="BC3321" s="28" t="n">
        <f aca="false">BA3321-BB3321</f>
        <v>0</v>
      </c>
      <c r="BD3321" s="32" t="n">
        <f aca="false">SUM(P3321,R3321,T3321,V3321,X3321,Z3321,AB3321,AD3321,AF3321,AH3321,AJ3321,AL3321,AN3321,AP3321,AR3321,AT3321,AV3321,AX3321)</f>
        <v>3995</v>
      </c>
      <c r="BE3321" s="33" t="n">
        <f aca="false">AZ3321-BD3321</f>
        <v>0</v>
      </c>
      <c r="BF3321" s="34" t="n">
        <f aca="false">BD3321*M3321</f>
        <v>159800</v>
      </c>
      <c r="BG3321" s="35" t="n">
        <f aca="false">BA3321-BF3321</f>
        <v>0</v>
      </c>
      <c r="BH3321" s="19" t="str">
        <f aca="false">IF(BG3321=0,"",IF(BG3321&lt;&gt;BA3321,"erreur de calcul",IF(BD3321&lt;&gt;0,"pas de prix",IF(M3321&lt;&gt; 0,"pas de quantité","pas de prix, ni de quantité"))))</f>
        <v/>
      </c>
      <c r="BI3321" s="19"/>
    </row>
    <row r="3322" customFormat="false" ht="15" hidden="false" customHeight="false" outlineLevel="0" collapsed="false">
      <c r="A3322" s="0" t="n">
        <v>36</v>
      </c>
      <c r="B3322" s="8" t="s">
        <v>24</v>
      </c>
      <c r="C3322" s="9" t="s">
        <v>25</v>
      </c>
      <c r="D3322" s="9" t="s">
        <v>26</v>
      </c>
      <c r="E3322" s="10" t="n">
        <v>1789</v>
      </c>
      <c r="F3322" s="9" t="s">
        <v>27</v>
      </c>
      <c r="G3322" s="9" t="s">
        <v>27</v>
      </c>
      <c r="H3322" s="11" t="n">
        <v>22</v>
      </c>
      <c r="I3322" s="11" t="s">
        <v>239</v>
      </c>
      <c r="J3322" s="14" t="n">
        <v>48</v>
      </c>
      <c r="K3322" s="14"/>
      <c r="L3322" s="16"/>
      <c r="M3322" s="27" t="n">
        <f aca="false">J3322+(K3322/20)+(L3322/240)</f>
        <v>48</v>
      </c>
      <c r="N3322" s="17" t="s">
        <v>66</v>
      </c>
      <c r="O3322" s="11"/>
      <c r="P3322" s="28"/>
      <c r="Q3322" s="28" t="n">
        <f aca="false">P3322*$M3322</f>
        <v>0</v>
      </c>
      <c r="R3322" s="28"/>
      <c r="S3322" s="28" t="n">
        <f aca="false">R3322*$M3322</f>
        <v>0</v>
      </c>
      <c r="T3322" s="28" t="n">
        <v>690</v>
      </c>
      <c r="U3322" s="28" t="n">
        <v>33120</v>
      </c>
      <c r="V3322" s="28" t="n">
        <v>3577</v>
      </c>
      <c r="W3322" s="28" t="n">
        <v>171696</v>
      </c>
      <c r="X3322" s="28"/>
      <c r="Y3322" s="28" t="n">
        <f aca="false">X3322*$M3322</f>
        <v>0</v>
      </c>
      <c r="Z3322" s="28"/>
      <c r="AA3322" s="28" t="n">
        <f aca="false">Z3322*$M3322</f>
        <v>0</v>
      </c>
      <c r="AB3322" s="28"/>
      <c r="AC3322" s="28" t="n">
        <f aca="false">AB3322*$M3322</f>
        <v>0</v>
      </c>
      <c r="AD3322" s="28"/>
      <c r="AE3322" s="28" t="n">
        <f aca="false">AD3322*$M3322</f>
        <v>0</v>
      </c>
      <c r="AF3322" s="28"/>
      <c r="AG3322" s="28" t="n">
        <f aca="false">AF3322*$M3322</f>
        <v>0</v>
      </c>
      <c r="AH3322" s="28"/>
      <c r="AI3322" s="28" t="n">
        <f aca="false">AH3322*$M3322</f>
        <v>0</v>
      </c>
      <c r="AJ3322" s="28"/>
      <c r="AK3322" s="28" t="n">
        <f aca="false">AJ3322*$M3322</f>
        <v>0</v>
      </c>
      <c r="AL3322" s="28"/>
      <c r="AM3322" s="28" t="n">
        <f aca="false">AL3322*$M3322</f>
        <v>0</v>
      </c>
      <c r="AN3322" s="28"/>
      <c r="AO3322" s="28" t="n">
        <f aca="false">AN3322*$M3322</f>
        <v>0</v>
      </c>
      <c r="AP3322" s="28"/>
      <c r="AQ3322" s="28" t="n">
        <f aca="false">AP3322*$M3322</f>
        <v>0</v>
      </c>
      <c r="AR3322" s="28"/>
      <c r="AS3322" s="28" t="n">
        <f aca="false">AR3322*$M3322</f>
        <v>0</v>
      </c>
      <c r="AT3322" s="28"/>
      <c r="AU3322" s="28" t="n">
        <f aca="false">AT3322*$M3322</f>
        <v>0</v>
      </c>
      <c r="AV3322" s="28"/>
      <c r="AW3322" s="28" t="n">
        <f aca="false">AV3322*$M3322</f>
        <v>0</v>
      </c>
      <c r="AX3322" s="28"/>
      <c r="AY3322" s="28" t="n">
        <f aca="false">AX3322*$M3322</f>
        <v>0</v>
      </c>
      <c r="AZ3322" s="30" t="n">
        <v>4267</v>
      </c>
      <c r="BA3322" s="11" t="n">
        <v>204816</v>
      </c>
      <c r="BB3322" s="31" t="n">
        <f aca="false">SUM(Q3322,S3322,U3322,W3322,Y3322,AA3322,AC3322,AE3322,AG3322,AI3322,AK3322,AM3322,AO3322,AQ3322,AS3322,AU3322,AW3322,AY3322)</f>
        <v>204816</v>
      </c>
      <c r="BC3322" s="28" t="n">
        <f aca="false">BA3322-BB3322</f>
        <v>0</v>
      </c>
      <c r="BD3322" s="32" t="n">
        <f aca="false">SUM(P3322,R3322,T3322,V3322,X3322,Z3322,AB3322,AD3322,AF3322,AH3322,AJ3322,AL3322,AN3322,AP3322,AR3322,AT3322,AV3322,AX3322)</f>
        <v>4267</v>
      </c>
      <c r="BE3322" s="33" t="n">
        <f aca="false">AZ3322-BD3322</f>
        <v>0</v>
      </c>
      <c r="BF3322" s="34" t="n">
        <f aca="false">BD3322*M3322</f>
        <v>204816</v>
      </c>
      <c r="BG3322" s="35" t="n">
        <f aca="false">BA3322-BF3322</f>
        <v>0</v>
      </c>
      <c r="BH3322" s="19" t="str">
        <f aca="false">IF(BG3322=0,"",IF(BG3322&lt;&gt;BA3322,"erreur de calcul",IF(BD3322&lt;&gt;0,"pas de prix",IF(M3322&lt;&gt; 0,"pas de quantité","pas de prix, ni de quantité"))))</f>
        <v/>
      </c>
      <c r="BI3322" s="19"/>
    </row>
    <row r="3323" customFormat="false" ht="15" hidden="false" customHeight="false" outlineLevel="0" collapsed="false">
      <c r="A3323" s="0" t="n">
        <v>37</v>
      </c>
      <c r="B3323" s="8" t="s">
        <v>24</v>
      </c>
      <c r="C3323" s="9" t="s">
        <v>25</v>
      </c>
      <c r="D3323" s="9" t="s">
        <v>26</v>
      </c>
      <c r="E3323" s="10" t="n">
        <v>1789</v>
      </c>
      <c r="F3323" s="9" t="s">
        <v>27</v>
      </c>
      <c r="G3323" s="9" t="s">
        <v>27</v>
      </c>
      <c r="H3323" s="11" t="n">
        <v>22</v>
      </c>
      <c r="I3323" s="11" t="s">
        <v>240</v>
      </c>
      <c r="J3323" s="14" t="n">
        <v>30</v>
      </c>
      <c r="K3323" s="14"/>
      <c r="L3323" s="16"/>
      <c r="M3323" s="27" t="n">
        <f aca="false">J3323+(K3323/20)+(L3323/240)</f>
        <v>30</v>
      </c>
      <c r="N3323" s="17" t="s">
        <v>66</v>
      </c>
      <c r="O3323" s="11"/>
      <c r="P3323" s="28"/>
      <c r="Q3323" s="28" t="n">
        <f aca="false">P3323*$M3323</f>
        <v>0</v>
      </c>
      <c r="R3323" s="28"/>
      <c r="S3323" s="28" t="n">
        <f aca="false">R3323*$M3323</f>
        <v>0</v>
      </c>
      <c r="T3323" s="28"/>
      <c r="U3323" s="28" t="n">
        <f aca="false">T3323*$M3323</f>
        <v>0</v>
      </c>
      <c r="V3323" s="28"/>
      <c r="W3323" s="28" t="n">
        <f aca="false">V3323*$M3323</f>
        <v>0</v>
      </c>
      <c r="X3323" s="28"/>
      <c r="Y3323" s="28" t="n">
        <f aca="false">X3323*$M3323</f>
        <v>0</v>
      </c>
      <c r="Z3323" s="28"/>
      <c r="AA3323" s="28" t="n">
        <f aca="false">Z3323*$M3323</f>
        <v>0</v>
      </c>
      <c r="AB3323" s="28"/>
      <c r="AC3323" s="28" t="n">
        <f aca="false">AB3323*$M3323</f>
        <v>0</v>
      </c>
      <c r="AD3323" s="28"/>
      <c r="AE3323" s="28" t="n">
        <f aca="false">AD3323*$M3323</f>
        <v>0</v>
      </c>
      <c r="AF3323" s="28"/>
      <c r="AG3323" s="28" t="n">
        <f aca="false">AF3323*$M3323</f>
        <v>0</v>
      </c>
      <c r="AH3323" s="28" t="n">
        <v>4770</v>
      </c>
      <c r="AI3323" s="28" t="n">
        <v>143100</v>
      </c>
      <c r="AJ3323" s="28"/>
      <c r="AK3323" s="28" t="n">
        <f aca="false">AJ3323*$M3323</f>
        <v>0</v>
      </c>
      <c r="AL3323" s="28"/>
      <c r="AM3323" s="28" t="n">
        <f aca="false">AL3323*$M3323</f>
        <v>0</v>
      </c>
      <c r="AN3323" s="28"/>
      <c r="AO3323" s="28" t="n">
        <f aca="false">AN3323*$M3323</f>
        <v>0</v>
      </c>
      <c r="AP3323" s="28"/>
      <c r="AQ3323" s="28" t="n">
        <f aca="false">AP3323*$M3323</f>
        <v>0</v>
      </c>
      <c r="AR3323" s="28"/>
      <c r="AS3323" s="28" t="n">
        <f aca="false">AR3323*$M3323</f>
        <v>0</v>
      </c>
      <c r="AT3323" s="28"/>
      <c r="AU3323" s="28" t="n">
        <f aca="false">AT3323*$M3323</f>
        <v>0</v>
      </c>
      <c r="AV3323" s="28"/>
      <c r="AW3323" s="28" t="n">
        <f aca="false">AV3323*$M3323</f>
        <v>0</v>
      </c>
      <c r="AX3323" s="28"/>
      <c r="AY3323" s="28" t="n">
        <f aca="false">AX3323*$M3323</f>
        <v>0</v>
      </c>
      <c r="AZ3323" s="30" t="n">
        <v>4770</v>
      </c>
      <c r="BA3323" s="11" t="n">
        <v>143100</v>
      </c>
      <c r="BB3323" s="31" t="n">
        <f aca="false">SUM(Q3323,S3323,U3323,W3323,Y3323,AA3323,AC3323,AE3323,AG3323,AI3323,AK3323,AM3323,AO3323,AQ3323,AS3323,AU3323,AW3323,AY3323)</f>
        <v>143100</v>
      </c>
      <c r="BC3323" s="28" t="n">
        <f aca="false">BA3323-BB3323</f>
        <v>0</v>
      </c>
      <c r="BD3323" s="32" t="n">
        <f aca="false">SUM(P3323,R3323,T3323,V3323,X3323,Z3323,AB3323,AD3323,AF3323,AH3323,AJ3323,AL3323,AN3323,AP3323,AR3323,AT3323,AV3323,AX3323)</f>
        <v>4770</v>
      </c>
      <c r="BE3323" s="33" t="n">
        <f aca="false">AZ3323-BD3323</f>
        <v>0</v>
      </c>
      <c r="BF3323" s="34" t="n">
        <f aca="false">BD3323*M3323</f>
        <v>143100</v>
      </c>
      <c r="BG3323" s="35" t="n">
        <f aca="false">BA3323-BF3323</f>
        <v>0</v>
      </c>
      <c r="BH3323" s="19" t="str">
        <f aca="false">IF(BG3323=0,"",IF(BG3323&lt;&gt;BA3323,"erreur de calcul",IF(BD3323&lt;&gt;0,"pas de prix",IF(M3323&lt;&gt; 0,"pas de quantité","pas de prix, ni de quantité"))))</f>
        <v/>
      </c>
      <c r="BI3323" s="19"/>
    </row>
    <row r="3324" customFormat="false" ht="15" hidden="false" customHeight="false" outlineLevel="0" collapsed="false">
      <c r="A3324" s="0" t="n">
        <v>38</v>
      </c>
      <c r="B3324" s="8" t="s">
        <v>24</v>
      </c>
      <c r="C3324" s="9" t="s">
        <v>25</v>
      </c>
      <c r="D3324" s="9" t="s">
        <v>26</v>
      </c>
      <c r="E3324" s="10" t="n">
        <v>1789</v>
      </c>
      <c r="F3324" s="9" t="s">
        <v>27</v>
      </c>
      <c r="G3324" s="9" t="s">
        <v>27</v>
      </c>
      <c r="H3324" s="11" t="n">
        <v>22</v>
      </c>
      <c r="I3324" s="11" t="s">
        <v>241</v>
      </c>
      <c r="J3324" s="14" t="n">
        <v>24</v>
      </c>
      <c r="K3324" s="14"/>
      <c r="L3324" s="16"/>
      <c r="M3324" s="27" t="n">
        <f aca="false">J3324+(K3324/20)+(L3324/240)</f>
        <v>24</v>
      </c>
      <c r="N3324" s="17" t="s">
        <v>64</v>
      </c>
      <c r="O3324" s="11"/>
      <c r="P3324" s="28" t="n">
        <f aca="false">188958/100</f>
        <v>1889.58</v>
      </c>
      <c r="Q3324" s="28" t="n">
        <v>45350</v>
      </c>
      <c r="R3324" s="28"/>
      <c r="S3324" s="28" t="n">
        <f aca="false">R3324*$M3324</f>
        <v>0</v>
      </c>
      <c r="T3324" s="28"/>
      <c r="U3324" s="28" t="n">
        <f aca="false">T3324*$M3324</f>
        <v>0</v>
      </c>
      <c r="V3324" s="28" t="n">
        <f aca="false">10567/100</f>
        <v>105.67</v>
      </c>
      <c r="W3324" s="28" t="n">
        <v>2536</v>
      </c>
      <c r="X3324" s="28" t="n">
        <f aca="false">9467/100</f>
        <v>94.67</v>
      </c>
      <c r="Y3324" s="28" t="n">
        <v>2272</v>
      </c>
      <c r="Z3324" s="28"/>
      <c r="AA3324" s="28" t="n">
        <f aca="false">Z3324*$M3324</f>
        <v>0</v>
      </c>
      <c r="AB3324" s="28"/>
      <c r="AC3324" s="28" t="n">
        <f aca="false">AB3324*$M3324</f>
        <v>0</v>
      </c>
      <c r="AD3324" s="28"/>
      <c r="AE3324" s="28" t="n">
        <f aca="false">AD3324*$M3324</f>
        <v>0</v>
      </c>
      <c r="AF3324" s="28"/>
      <c r="AG3324" s="28" t="n">
        <f aca="false">AF3324*$M3324</f>
        <v>0</v>
      </c>
      <c r="AH3324" s="28"/>
      <c r="AI3324" s="28" t="n">
        <f aca="false">AH3324*$M3324</f>
        <v>0</v>
      </c>
      <c r="AJ3324" s="28"/>
      <c r="AK3324" s="28" t="n">
        <f aca="false">AJ3324*$M3324</f>
        <v>0</v>
      </c>
      <c r="AL3324" s="28"/>
      <c r="AM3324" s="28" t="n">
        <f aca="false">AL3324*$M3324</f>
        <v>0</v>
      </c>
      <c r="AN3324" s="28"/>
      <c r="AO3324" s="28" t="n">
        <f aca="false">AN3324*$M3324</f>
        <v>0</v>
      </c>
      <c r="AP3324" s="28"/>
      <c r="AQ3324" s="28" t="n">
        <f aca="false">AP3324*$M3324</f>
        <v>0</v>
      </c>
      <c r="AR3324" s="28"/>
      <c r="AS3324" s="28" t="n">
        <f aca="false">AR3324*$M3324</f>
        <v>0</v>
      </c>
      <c r="AT3324" s="28"/>
      <c r="AU3324" s="28" t="n">
        <f aca="false">AT3324*$M3324</f>
        <v>0</v>
      </c>
      <c r="AV3324" s="28"/>
      <c r="AW3324" s="28" t="n">
        <f aca="false">AV3324*$M3324</f>
        <v>0</v>
      </c>
      <c r="AX3324" s="28" t="n">
        <f aca="false">328659/100</f>
        <v>3286.59</v>
      </c>
      <c r="AY3324" s="28" t="n">
        <v>78878</v>
      </c>
      <c r="AZ3324" s="30" t="n">
        <f aca="false">537651/100</f>
        <v>5376.51</v>
      </c>
      <c r="BA3324" s="11" t="n">
        <v>129036</v>
      </c>
      <c r="BB3324" s="31" t="n">
        <f aca="false">SUM(Q3324,S3324,U3324,W3324,Y3324,AA3324,AC3324,AE3324,AG3324,AI3324,AK3324,AM3324,AO3324,AQ3324,AS3324,AU3324,AW3324,AY3324)</f>
        <v>129036</v>
      </c>
      <c r="BC3324" s="28" t="n">
        <f aca="false">BA3324-BB3324</f>
        <v>0</v>
      </c>
      <c r="BD3324" s="32" t="n">
        <f aca="false">SUM(P3324,R3324,T3324,V3324,X3324,Z3324,AB3324,AD3324,AF3324,AH3324,AJ3324,AL3324,AN3324,AP3324,AR3324,AT3324,AV3324,AX3324)</f>
        <v>5376.51</v>
      </c>
      <c r="BE3324" s="33" t="n">
        <f aca="false">AZ3324-BD3324</f>
        <v>0</v>
      </c>
      <c r="BF3324" s="34" t="n">
        <f aca="false">BD3324*M3324</f>
        <v>129036.24</v>
      </c>
      <c r="BG3324" s="35" t="n">
        <f aca="false">BA3324-BF3324</f>
        <v>-0.240000000005239</v>
      </c>
      <c r="BH3324" s="19" t="str">
        <f aca="false">IF(BG3324=0,"",IF(BG3324&lt;&gt;BA3324,"erreur de calcul",IF(BD3324&lt;&gt;0,"pas de prix",IF(M3324&lt;&gt; 0,"pas de quantité","pas de prix, ni de quantité"))))</f>
        <v>erreur de calcul</v>
      </c>
      <c r="BI3324" s="19"/>
    </row>
    <row r="3325" customFormat="false" ht="15" hidden="false" customHeight="false" outlineLevel="0" collapsed="false">
      <c r="A3325" s="0" t="n">
        <v>39</v>
      </c>
      <c r="B3325" s="8" t="s">
        <v>24</v>
      </c>
      <c r="C3325" s="9" t="s">
        <v>25</v>
      </c>
      <c r="D3325" s="9" t="s">
        <v>26</v>
      </c>
      <c r="E3325" s="10" t="n">
        <v>1789</v>
      </c>
      <c r="F3325" s="9" t="s">
        <v>27</v>
      </c>
      <c r="G3325" s="9" t="s">
        <v>27</v>
      </c>
      <c r="H3325" s="11" t="n">
        <v>22</v>
      </c>
      <c r="I3325" s="11" t="s">
        <v>242</v>
      </c>
      <c r="J3325" s="14" t="n">
        <v>41</v>
      </c>
      <c r="K3325" s="14"/>
      <c r="L3325" s="16"/>
      <c r="M3325" s="27" t="n">
        <f aca="false">J3325+(K3325/20)+(L3325/240)</f>
        <v>41</v>
      </c>
      <c r="N3325" s="17" t="s">
        <v>64</v>
      </c>
      <c r="O3325" s="11"/>
      <c r="P3325" s="28"/>
      <c r="Q3325" s="28" t="n">
        <f aca="false">P3325*$M3325</f>
        <v>0</v>
      </c>
      <c r="R3325" s="28"/>
      <c r="S3325" s="28" t="n">
        <f aca="false">R3325*$M3325</f>
        <v>0</v>
      </c>
      <c r="T3325" s="28" t="n">
        <f aca="false">441/100</f>
        <v>4.41</v>
      </c>
      <c r="U3325" s="28" t="n">
        <v>181</v>
      </c>
      <c r="V3325" s="28"/>
      <c r="W3325" s="28" t="n">
        <f aca="false">V3325*$M3325</f>
        <v>0</v>
      </c>
      <c r="X3325" s="28"/>
      <c r="Y3325" s="28" t="n">
        <f aca="false">X3325*$M3325</f>
        <v>0</v>
      </c>
      <c r="Z3325" s="28"/>
      <c r="AA3325" s="28" t="n">
        <f aca="false">Z3325*$M3325</f>
        <v>0</v>
      </c>
      <c r="AB3325" s="28"/>
      <c r="AC3325" s="28" t="n">
        <f aca="false">AB3325*$M3325</f>
        <v>0</v>
      </c>
      <c r="AD3325" s="28"/>
      <c r="AE3325" s="28" t="n">
        <f aca="false">AD3325*$M3325</f>
        <v>0</v>
      </c>
      <c r="AF3325" s="28"/>
      <c r="AG3325" s="28" t="n">
        <f aca="false">AF3325*$M3325</f>
        <v>0</v>
      </c>
      <c r="AH3325" s="28"/>
      <c r="AI3325" s="28" t="n">
        <f aca="false">AH3325*$M3325</f>
        <v>0</v>
      </c>
      <c r="AJ3325" s="28"/>
      <c r="AK3325" s="28" t="n">
        <f aca="false">AJ3325*$M3325</f>
        <v>0</v>
      </c>
      <c r="AL3325" s="28"/>
      <c r="AM3325" s="28" t="n">
        <f aca="false">AL3325*$M3325</f>
        <v>0</v>
      </c>
      <c r="AN3325" s="28"/>
      <c r="AO3325" s="28" t="n">
        <f aca="false">AN3325*$M3325</f>
        <v>0</v>
      </c>
      <c r="AP3325" s="28"/>
      <c r="AQ3325" s="28" t="n">
        <f aca="false">AP3325*$M3325</f>
        <v>0</v>
      </c>
      <c r="AR3325" s="28"/>
      <c r="AS3325" s="28" t="n">
        <f aca="false">AR3325*$M3325</f>
        <v>0</v>
      </c>
      <c r="AT3325" s="28"/>
      <c r="AU3325" s="28" t="n">
        <f aca="false">AT3325*$M3325</f>
        <v>0</v>
      </c>
      <c r="AV3325" s="28"/>
      <c r="AW3325" s="28" t="n">
        <f aca="false">AV3325*$M3325</f>
        <v>0</v>
      </c>
      <c r="AX3325" s="28"/>
      <c r="AY3325" s="28" t="n">
        <f aca="false">AX3325*$M3325</f>
        <v>0</v>
      </c>
      <c r="AZ3325" s="30" t="n">
        <f aca="false">441/100</f>
        <v>4.41</v>
      </c>
      <c r="BA3325" s="11" t="n">
        <v>181</v>
      </c>
      <c r="BB3325" s="31" t="n">
        <f aca="false">SUM(Q3325,S3325,U3325,W3325,Y3325,AA3325,AC3325,AE3325,AG3325,AI3325,AK3325,AM3325,AO3325,AQ3325,AS3325,AU3325,AW3325,AY3325)</f>
        <v>181</v>
      </c>
      <c r="BC3325" s="28" t="n">
        <f aca="false">BA3325-BB3325</f>
        <v>0</v>
      </c>
      <c r="BD3325" s="32" t="n">
        <f aca="false">SUM(P3325,R3325,T3325,V3325,X3325,Z3325,AB3325,AD3325,AF3325,AH3325,AJ3325,AL3325,AN3325,AP3325,AR3325,AT3325,AV3325,AX3325)</f>
        <v>4.41</v>
      </c>
      <c r="BE3325" s="33" t="n">
        <f aca="false">AZ3325-BD3325</f>
        <v>0</v>
      </c>
      <c r="BF3325" s="34" t="n">
        <f aca="false">BD3325*M3325</f>
        <v>180.81</v>
      </c>
      <c r="BG3325" s="35" t="n">
        <f aca="false">BA3325-BF3325</f>
        <v>0.189999999999998</v>
      </c>
      <c r="BH3325" s="19" t="str">
        <f aca="false">IF(BG3325=0,"",IF(BG3325&lt;&gt;BA3325,"erreur de calcul",IF(BD3325&lt;&gt;0,"pas de prix",IF(M3325&lt;&gt; 0,"pas de quantité","pas de prix, ni de quantité"))))</f>
        <v>erreur de calcul</v>
      </c>
      <c r="BI3325" s="19"/>
    </row>
    <row r="3326" customFormat="false" ht="15" hidden="false" customHeight="false" outlineLevel="0" collapsed="false">
      <c r="A3326" s="0" t="n">
        <v>1</v>
      </c>
      <c r="B3326" s="8" t="s">
        <v>24</v>
      </c>
      <c r="C3326" s="9" t="s">
        <v>25</v>
      </c>
      <c r="D3326" s="9" t="s">
        <v>26</v>
      </c>
      <c r="E3326" s="10" t="n">
        <v>1789</v>
      </c>
      <c r="F3326" s="9" t="s">
        <v>27</v>
      </c>
      <c r="G3326" s="9" t="s">
        <v>27</v>
      </c>
      <c r="H3326" s="11" t="n">
        <v>23</v>
      </c>
      <c r="I3326" s="11" t="s">
        <v>243</v>
      </c>
      <c r="J3326" s="14"/>
      <c r="K3326" s="14"/>
      <c r="L3326" s="16"/>
      <c r="M3326" s="27" t="n">
        <f aca="false">J3326+(K3326/20)+(L3326/240)</f>
        <v>0</v>
      </c>
      <c r="N3326" s="17"/>
      <c r="O3326" s="11"/>
      <c r="P3326" s="28"/>
      <c r="Q3326" s="28" t="n">
        <f aca="false">P3326*$M3326</f>
        <v>0</v>
      </c>
      <c r="R3326" s="28"/>
      <c r="S3326" s="28" t="n">
        <f aca="false">R3326*$M3326</f>
        <v>0</v>
      </c>
      <c r="T3326" s="28"/>
      <c r="U3326" s="28" t="n">
        <f aca="false">T3326*$M3326</f>
        <v>0</v>
      </c>
      <c r="V3326" s="28"/>
      <c r="W3326" s="28" t="n">
        <v>100</v>
      </c>
      <c r="X3326" s="28"/>
      <c r="Y3326" s="28" t="n">
        <v>563</v>
      </c>
      <c r="Z3326" s="28"/>
      <c r="AA3326" s="28" t="n">
        <f aca="false">Z3326*$M3326</f>
        <v>0</v>
      </c>
      <c r="AB3326" s="28"/>
      <c r="AC3326" s="28" t="n">
        <f aca="false">AB3326*$M3326</f>
        <v>0</v>
      </c>
      <c r="AD3326" s="28"/>
      <c r="AE3326" s="28" t="n">
        <f aca="false">AD3326*$M3326</f>
        <v>0</v>
      </c>
      <c r="AF3326" s="28"/>
      <c r="AG3326" s="28" t="n">
        <f aca="false">AF3326*$M3326</f>
        <v>0</v>
      </c>
      <c r="AH3326" s="28"/>
      <c r="AI3326" s="28" t="n">
        <f aca="false">AH3326*$M3326</f>
        <v>0</v>
      </c>
      <c r="AJ3326" s="28"/>
      <c r="AK3326" s="28" t="n">
        <v>1015</v>
      </c>
      <c r="AL3326" s="28"/>
      <c r="AM3326" s="28" t="n">
        <f aca="false">AL3326*$M3326</f>
        <v>0</v>
      </c>
      <c r="AN3326" s="28"/>
      <c r="AO3326" s="28" t="n">
        <f aca="false">AN3326*$M3326</f>
        <v>0</v>
      </c>
      <c r="AP3326" s="28"/>
      <c r="AQ3326" s="28" t="n">
        <f aca="false">AP3326*$M3326</f>
        <v>0</v>
      </c>
      <c r="AR3326" s="28"/>
      <c r="AS3326" s="28" t="n">
        <f aca="false">AR3326*$M3326</f>
        <v>0</v>
      </c>
      <c r="AT3326" s="28"/>
      <c r="AU3326" s="28" t="n">
        <f aca="false">AT3326*$M3326</f>
        <v>0</v>
      </c>
      <c r="AV3326" s="28"/>
      <c r="AW3326" s="28" t="n">
        <f aca="false">AV3326*$M3326</f>
        <v>0</v>
      </c>
      <c r="AX3326" s="28"/>
      <c r="AY3326" s="28" t="n">
        <f aca="false">AX3326*$M3326</f>
        <v>0</v>
      </c>
      <c r="AZ3326" s="30"/>
      <c r="BA3326" s="11" t="n">
        <v>1678</v>
      </c>
      <c r="BB3326" s="31" t="n">
        <f aca="false">SUM(Q3326,S3326,U3326,W3326,Y3326,AA3326,AC3326,AE3326,AG3326,AI3326,AK3326,AM3326,AO3326,AQ3326,AS3326,AU3326,AW3326,AY3326)</f>
        <v>1678</v>
      </c>
      <c r="BC3326" s="28" t="n">
        <f aca="false">BA3326-BB3326</f>
        <v>0</v>
      </c>
      <c r="BD3326" s="32" t="n">
        <f aca="false">SUM(P3326,R3326,T3326,V3326,X3326,Z3326,AB3326,AD3326,AF3326,AH3326,AJ3326,AL3326,AN3326,AP3326,AR3326,AT3326,AV3326,AX3326)</f>
        <v>0</v>
      </c>
      <c r="BE3326" s="33" t="n">
        <f aca="false">AZ3326-BD3326</f>
        <v>0</v>
      </c>
      <c r="BF3326" s="34" t="n">
        <f aca="false">BD3326*M3326</f>
        <v>0</v>
      </c>
      <c r="BG3326" s="35" t="n">
        <f aca="false">BA3326-BF3326</f>
        <v>1678</v>
      </c>
      <c r="BH3326" s="19" t="str">
        <f aca="false">IF(BG3326=0,"",IF(BG3326&lt;&gt;BA3326,"erreur de calcul",IF(BD3326&lt;&gt;0,"pas de prix",IF(M3326&lt;&gt; 0,"pas de quantité","pas de prix, ni de quantité"))))</f>
        <v>pas de prix, ni de quantité</v>
      </c>
      <c r="BI3326" s="19"/>
    </row>
    <row r="3327" customFormat="false" ht="15" hidden="false" customHeight="false" outlineLevel="0" collapsed="false">
      <c r="A3327" s="0" t="n">
        <v>2</v>
      </c>
      <c r="B3327" s="8" t="s">
        <v>24</v>
      </c>
      <c r="C3327" s="9" t="s">
        <v>25</v>
      </c>
      <c r="D3327" s="9" t="s">
        <v>26</v>
      </c>
      <c r="E3327" s="10" t="n">
        <v>1789</v>
      </c>
      <c r="F3327" s="9" t="s">
        <v>27</v>
      </c>
      <c r="G3327" s="9" t="s">
        <v>27</v>
      </c>
      <c r="H3327" s="11" t="n">
        <v>23</v>
      </c>
      <c r="I3327" s="11" t="s">
        <v>244</v>
      </c>
      <c r="J3327" s="14" t="n">
        <v>22</v>
      </c>
      <c r="K3327" s="14"/>
      <c r="L3327" s="16"/>
      <c r="M3327" s="27" t="n">
        <f aca="false">J3327+(K3327/20)+(L3327/240)</f>
        <v>22</v>
      </c>
      <c r="N3327" s="17" t="s">
        <v>64</v>
      </c>
      <c r="O3327" s="11"/>
      <c r="P3327" s="28"/>
      <c r="Q3327" s="28" t="n">
        <f aca="false">P3327*$M3327</f>
        <v>0</v>
      </c>
      <c r="R3327" s="28"/>
      <c r="S3327" s="28" t="n">
        <f aca="false">R3327*$M3327</f>
        <v>0</v>
      </c>
      <c r="T3327" s="28"/>
      <c r="U3327" s="28" t="n">
        <f aca="false">T3327*$M3327</f>
        <v>0</v>
      </c>
      <c r="V3327" s="28" t="n">
        <f aca="false">15346/100</f>
        <v>153.46</v>
      </c>
      <c r="W3327" s="28" t="n">
        <v>3376</v>
      </c>
      <c r="X3327" s="28"/>
      <c r="Y3327" s="28" t="n">
        <f aca="false">X3327*$M3327</f>
        <v>0</v>
      </c>
      <c r="Z3327" s="28"/>
      <c r="AA3327" s="28" t="n">
        <f aca="false">Z3327*$M3327</f>
        <v>0</v>
      </c>
      <c r="AB3327" s="28"/>
      <c r="AC3327" s="28" t="n">
        <f aca="false">AB3327*$M3327</f>
        <v>0</v>
      </c>
      <c r="AD3327" s="28"/>
      <c r="AE3327" s="28" t="n">
        <f aca="false">AD3327*$M3327</f>
        <v>0</v>
      </c>
      <c r="AF3327" s="28"/>
      <c r="AG3327" s="28" t="n">
        <f aca="false">AF3327*$M3327</f>
        <v>0</v>
      </c>
      <c r="AH3327" s="28"/>
      <c r="AI3327" s="28" t="n">
        <f aca="false">AH3327*$M3327</f>
        <v>0</v>
      </c>
      <c r="AJ3327" s="28" t="n">
        <f aca="false">9084/100</f>
        <v>90.84</v>
      </c>
      <c r="AK3327" s="28" t="n">
        <v>1998</v>
      </c>
      <c r="AL3327" s="28" t="n">
        <f aca="false">8917/100</f>
        <v>89.17</v>
      </c>
      <c r="AM3327" s="28" t="n">
        <v>1962</v>
      </c>
      <c r="AN3327" s="28"/>
      <c r="AO3327" s="28" t="n">
        <f aca="false">AN3327*$M3327</f>
        <v>0</v>
      </c>
      <c r="AP3327" s="28"/>
      <c r="AQ3327" s="28" t="n">
        <f aca="false">AP3327*$M3327</f>
        <v>0</v>
      </c>
      <c r="AR3327" s="28"/>
      <c r="AS3327" s="28" t="n">
        <f aca="false">AR3327*$M3327</f>
        <v>0</v>
      </c>
      <c r="AT3327" s="28"/>
      <c r="AU3327" s="28" t="n">
        <f aca="false">AT3327*$M3327</f>
        <v>0</v>
      </c>
      <c r="AV3327" s="28"/>
      <c r="AW3327" s="28" t="n">
        <f aca="false">AV3327*$M3327</f>
        <v>0</v>
      </c>
      <c r="AX3327" s="28"/>
      <c r="AY3327" s="28" t="n">
        <f aca="false">AX3327*$M3327</f>
        <v>0</v>
      </c>
      <c r="AZ3327" s="30" t="n">
        <f aca="false">3347/100</f>
        <v>33.47</v>
      </c>
      <c r="BA3327" s="11" t="n">
        <v>7336</v>
      </c>
      <c r="BB3327" s="31" t="n">
        <f aca="false">SUM(Q3327,S3327,U3327,W3327,Y3327,AA3327,AC3327,AE3327,AG3327,AI3327,AK3327,AM3327,AO3327,AQ3327,AS3327,AU3327,AW3327,AY3327)</f>
        <v>7336</v>
      </c>
      <c r="BC3327" s="28" t="n">
        <f aca="false">BA3327-BB3327</f>
        <v>0</v>
      </c>
      <c r="BD3327" s="32" t="n">
        <f aca="false">SUM(P3327,R3327,T3327,V3327,X3327,Z3327,AB3327,AD3327,AF3327,AH3327,AJ3327,AL3327,AN3327,AP3327,AR3327,AT3327,AV3327,AX3327)</f>
        <v>333.47</v>
      </c>
      <c r="BE3327" s="33" t="n">
        <f aca="false">AZ3327-BD3327</f>
        <v>-300</v>
      </c>
      <c r="BF3327" s="34" t="n">
        <f aca="false">BD3327*M3327</f>
        <v>7336.34</v>
      </c>
      <c r="BG3327" s="35" t="n">
        <f aca="false">BA3327-BF3327</f>
        <v>-0.340000000000146</v>
      </c>
      <c r="BH3327" s="19" t="str">
        <f aca="false">IF(BG3327=0,"",IF(BG3327&lt;&gt;BA3327,"erreur de calcul",IF(BD3327&lt;&gt;0,"pas de prix",IF(M3327&lt;&gt; 0,"pas de quantité","pas de prix, ni de quantité"))))</f>
        <v>erreur de calcul</v>
      </c>
      <c r="BI3327" s="19"/>
    </row>
    <row r="3328" customFormat="false" ht="15" hidden="false" customHeight="false" outlineLevel="0" collapsed="false">
      <c r="A3328" s="0" t="n">
        <v>3</v>
      </c>
      <c r="B3328" s="8" t="s">
        <v>24</v>
      </c>
      <c r="C3328" s="9" t="s">
        <v>25</v>
      </c>
      <c r="D3328" s="9" t="s">
        <v>26</v>
      </c>
      <c r="E3328" s="10" t="n">
        <v>1789</v>
      </c>
      <c r="F3328" s="9" t="s">
        <v>27</v>
      </c>
      <c r="G3328" s="9" t="s">
        <v>27</v>
      </c>
      <c r="H3328" s="11" t="n">
        <v>23</v>
      </c>
      <c r="I3328" s="11" t="s">
        <v>245</v>
      </c>
      <c r="J3328" s="14" t="n">
        <v>28</v>
      </c>
      <c r="K3328" s="14"/>
      <c r="L3328" s="16"/>
      <c r="M3328" s="27" t="n">
        <f aca="false">J3328+(K3328/20)+(L3328/240)</f>
        <v>28</v>
      </c>
      <c r="N3328" s="17" t="s">
        <v>64</v>
      </c>
      <c r="O3328" s="11"/>
      <c r="P3328" s="28"/>
      <c r="Q3328" s="28" t="n">
        <f aca="false">P3328*$M3328</f>
        <v>0</v>
      </c>
      <c r="R3328" s="28"/>
      <c r="S3328" s="28" t="n">
        <f aca="false">R3328*$M3328</f>
        <v>0</v>
      </c>
      <c r="T3328" s="28"/>
      <c r="U3328" s="28" t="n">
        <f aca="false">T3328*$M3328</f>
        <v>0</v>
      </c>
      <c r="V3328" s="28" t="n">
        <f aca="false">61654/100</f>
        <v>616.54</v>
      </c>
      <c r="W3328" s="28" t="n">
        <v>17263</v>
      </c>
      <c r="X3328" s="28"/>
      <c r="Y3328" s="28" t="n">
        <f aca="false">X3328*$M3328</f>
        <v>0</v>
      </c>
      <c r="Z3328" s="28"/>
      <c r="AA3328" s="28" t="n">
        <f aca="false">Z3328*$M3328</f>
        <v>0</v>
      </c>
      <c r="AB3328" s="28"/>
      <c r="AC3328" s="28" t="n">
        <f aca="false">AB3328*$M3328</f>
        <v>0</v>
      </c>
      <c r="AD3328" s="28"/>
      <c r="AE3328" s="28" t="n">
        <f aca="false">AD3328*$M3328</f>
        <v>0</v>
      </c>
      <c r="AF3328" s="28"/>
      <c r="AG3328" s="28" t="n">
        <f aca="false">AF3328*$M3328</f>
        <v>0</v>
      </c>
      <c r="AH3328" s="28"/>
      <c r="AI3328" s="28" t="n">
        <f aca="false">AH3328*$M3328</f>
        <v>0</v>
      </c>
      <c r="AJ3328" s="28"/>
      <c r="AK3328" s="28" t="n">
        <f aca="false">AJ3328*$M3328</f>
        <v>0</v>
      </c>
      <c r="AL3328" s="28" t="n">
        <f aca="false">6250/100</f>
        <v>62.5</v>
      </c>
      <c r="AM3328" s="28" t="n">
        <v>1750</v>
      </c>
      <c r="AN3328" s="28"/>
      <c r="AO3328" s="28" t="n">
        <f aca="false">AN3328*$M3328</f>
        <v>0</v>
      </c>
      <c r="AP3328" s="28"/>
      <c r="AQ3328" s="28" t="n">
        <f aca="false">AP3328*$M3328</f>
        <v>0</v>
      </c>
      <c r="AR3328" s="28"/>
      <c r="AS3328" s="28" t="n">
        <f aca="false">AR3328*$M3328</f>
        <v>0</v>
      </c>
      <c r="AT3328" s="28"/>
      <c r="AU3328" s="28" t="n">
        <f aca="false">AT3328*$M3328</f>
        <v>0</v>
      </c>
      <c r="AV3328" s="28"/>
      <c r="AW3328" s="28" t="n">
        <f aca="false">AV3328*$M3328</f>
        <v>0</v>
      </c>
      <c r="AX3328" s="28"/>
      <c r="AY3328" s="28" t="n">
        <f aca="false">AX3328*$M3328</f>
        <v>0</v>
      </c>
      <c r="AZ3328" s="30" t="n">
        <f aca="false">67904/100</f>
        <v>679.04</v>
      </c>
      <c r="BA3328" s="11" t="n">
        <v>19013</v>
      </c>
      <c r="BB3328" s="31" t="n">
        <f aca="false">SUM(Q3328,S3328,U3328,W3328,Y3328,AA3328,AC3328,AE3328,AG3328,AI3328,AK3328,AM3328,AO3328,AQ3328,AS3328,AU3328,AW3328,AY3328)</f>
        <v>19013</v>
      </c>
      <c r="BC3328" s="28" t="n">
        <f aca="false">BA3328-BB3328</f>
        <v>0</v>
      </c>
      <c r="BD3328" s="32" t="n">
        <f aca="false">SUM(P3328,R3328,T3328,V3328,X3328,Z3328,AB3328,AD3328,AF3328,AH3328,AJ3328,AL3328,AN3328,AP3328,AR3328,AT3328,AV3328,AX3328)</f>
        <v>679.04</v>
      </c>
      <c r="BE3328" s="33" t="n">
        <f aca="false">AZ3328-BD3328</f>
        <v>0</v>
      </c>
      <c r="BF3328" s="34" t="n">
        <f aca="false">BD3328*M3328</f>
        <v>19013.12</v>
      </c>
      <c r="BG3328" s="35" t="n">
        <f aca="false">BA3328-BF3328</f>
        <v>-0.119999999998981</v>
      </c>
      <c r="BH3328" s="19" t="str">
        <f aca="false">IF(BG3328=0,"",IF(BG3328&lt;&gt;BA3328,"erreur de calcul",IF(BD3328&lt;&gt;0,"pas de prix",IF(M3328&lt;&gt; 0,"pas de quantité","pas de prix, ni de quantité"))))</f>
        <v>erreur de calcul</v>
      </c>
      <c r="BI3328" s="19"/>
    </row>
    <row r="3329" customFormat="false" ht="15" hidden="false" customHeight="false" outlineLevel="0" collapsed="false">
      <c r="A3329" s="0" t="n">
        <v>4</v>
      </c>
      <c r="B3329" s="8" t="s">
        <v>24</v>
      </c>
      <c r="C3329" s="9" t="s">
        <v>25</v>
      </c>
      <c r="D3329" s="9" t="s">
        <v>26</v>
      </c>
      <c r="E3329" s="10" t="n">
        <v>1789</v>
      </c>
      <c r="F3329" s="9" t="s">
        <v>27</v>
      </c>
      <c r="G3329" s="9" t="s">
        <v>27</v>
      </c>
      <c r="H3329" s="11" t="n">
        <v>23</v>
      </c>
      <c r="I3329" s="11" t="s">
        <v>246</v>
      </c>
      <c r="J3329" s="14" t="n">
        <v>17</v>
      </c>
      <c r="K3329" s="14"/>
      <c r="L3329" s="16"/>
      <c r="M3329" s="27" t="n">
        <f aca="false">J3329+(K3329/20)+(L3329/240)</f>
        <v>17</v>
      </c>
      <c r="N3329" s="17" t="s">
        <v>64</v>
      </c>
      <c r="O3329" s="11"/>
      <c r="P3329" s="28"/>
      <c r="Q3329" s="28" t="n">
        <f aca="false">P3329*$M3329</f>
        <v>0</v>
      </c>
      <c r="R3329" s="28"/>
      <c r="S3329" s="28" t="n">
        <f aca="false">R3329*$M3329</f>
        <v>0</v>
      </c>
      <c r="T3329" s="28" t="n">
        <f aca="false">25000/100</f>
        <v>250</v>
      </c>
      <c r="U3329" s="28" t="n">
        <v>4250</v>
      </c>
      <c r="V3329" s="28" t="n">
        <f aca="false">78153/100</f>
        <v>781.53</v>
      </c>
      <c r="W3329" s="28" t="n">
        <v>13286</v>
      </c>
      <c r="X3329" s="28"/>
      <c r="Y3329" s="28" t="n">
        <f aca="false">X3329*$M3329</f>
        <v>0</v>
      </c>
      <c r="Z3329" s="28"/>
      <c r="AA3329" s="28" t="n">
        <f aca="false">Z3329*$M3329</f>
        <v>0</v>
      </c>
      <c r="AB3329" s="28"/>
      <c r="AC3329" s="28" t="n">
        <f aca="false">AB3329*$M3329</f>
        <v>0</v>
      </c>
      <c r="AD3329" s="28"/>
      <c r="AE3329" s="28" t="n">
        <f aca="false">AD3329*$M3329</f>
        <v>0</v>
      </c>
      <c r="AF3329" s="28"/>
      <c r="AG3329" s="28" t="n">
        <f aca="false">AF3329*$M3329</f>
        <v>0</v>
      </c>
      <c r="AH3329" s="28"/>
      <c r="AI3329" s="28" t="n">
        <f aca="false">AH3329*$M3329</f>
        <v>0</v>
      </c>
      <c r="AJ3329" s="28" t="n">
        <f aca="false">113774/100</f>
        <v>1137.74</v>
      </c>
      <c r="AK3329" s="28" t="n">
        <v>19341</v>
      </c>
      <c r="AL3329" s="28" t="n">
        <f aca="false">749547/100</f>
        <v>7495.47</v>
      </c>
      <c r="AM3329" s="28" t="n">
        <v>127423</v>
      </c>
      <c r="AN3329" s="28"/>
      <c r="AO3329" s="28" t="n">
        <f aca="false">AN3329*$M3329</f>
        <v>0</v>
      </c>
      <c r="AP3329" s="28" t="n">
        <f aca="false">578251/100</f>
        <v>5782.51</v>
      </c>
      <c r="AQ3329" s="28" t="n">
        <v>98303</v>
      </c>
      <c r="AR3329" s="28" t="n">
        <f aca="false">9141217/100</f>
        <v>91412.17</v>
      </c>
      <c r="AS3329" s="28" t="n">
        <v>1554007</v>
      </c>
      <c r="AT3329" s="28"/>
      <c r="AU3329" s="28" t="n">
        <f aca="false">AT3329*$M3329</f>
        <v>0</v>
      </c>
      <c r="AV3329" s="28" t="n">
        <f aca="false">314570/100</f>
        <v>3145.7</v>
      </c>
      <c r="AW3329" s="28" t="n">
        <v>53477</v>
      </c>
      <c r="AX3329" s="28"/>
      <c r="AY3329" s="28" t="n">
        <f aca="false">AX3329*$M3329</f>
        <v>0</v>
      </c>
      <c r="AZ3329" s="30" t="n">
        <f aca="false">11004767/100</f>
        <v>110047.67</v>
      </c>
      <c r="BA3329" s="11" t="n">
        <v>1870087</v>
      </c>
      <c r="BB3329" s="31" t="n">
        <f aca="false">SUM(Q3329,S3329,U3329,W3329,Y3329,AA3329,AC3329,AE3329,AG3329,AI3329,AK3329,AM3329,AO3329,AQ3329,AS3329,AU3329,AW3329,AY3329)</f>
        <v>1870087</v>
      </c>
      <c r="BC3329" s="28" t="n">
        <f aca="false">BA3329-BB3329</f>
        <v>0</v>
      </c>
      <c r="BD3329" s="32" t="n">
        <f aca="false">SUM(P3329,R3329,T3329,V3329,X3329,Z3329,AB3329,AD3329,AF3329,AH3329,AJ3329,AL3329,AN3329,AP3329,AR3329,AT3329,AV3329,AX3329)</f>
        <v>110005.12</v>
      </c>
      <c r="BE3329" s="33" t="n">
        <f aca="false">AZ3329-BD3329</f>
        <v>42.5500000000029</v>
      </c>
      <c r="BF3329" s="34" t="n">
        <f aca="false">BD3329*M3329</f>
        <v>1870087.04</v>
      </c>
      <c r="BG3329" s="35" t="n">
        <f aca="false">BA3329-BF3329</f>
        <v>-0.0400000000372529</v>
      </c>
      <c r="BH3329" s="19" t="str">
        <f aca="false">IF(BG3329=0,"",IF(BG3329&lt;&gt;BA3329,"erreur de calcul",IF(BD3329&lt;&gt;0,"pas de prix",IF(M3329&lt;&gt; 0,"pas de quantité","pas de prix, ni de quantité"))))</f>
        <v>erreur de calcul</v>
      </c>
      <c r="BI3329" s="19"/>
    </row>
    <row r="3330" customFormat="false" ht="15" hidden="false" customHeight="false" outlineLevel="0" collapsed="false">
      <c r="A3330" s="0" t="n">
        <v>5</v>
      </c>
      <c r="B3330" s="8" t="s">
        <v>24</v>
      </c>
      <c r="C3330" s="9" t="s">
        <v>25</v>
      </c>
      <c r="D3330" s="9" t="s">
        <v>26</v>
      </c>
      <c r="E3330" s="10" t="n">
        <v>1789</v>
      </c>
      <c r="F3330" s="9" t="s">
        <v>27</v>
      </c>
      <c r="G3330" s="9" t="s">
        <v>27</v>
      </c>
      <c r="H3330" s="11" t="n">
        <v>23</v>
      </c>
      <c r="I3330" s="11" t="s">
        <v>247</v>
      </c>
      <c r="J3330" s="14" t="n">
        <v>60</v>
      </c>
      <c r="K3330" s="14"/>
      <c r="L3330" s="16"/>
      <c r="M3330" s="27" t="n">
        <f aca="false">J3330+(K3330/20)+(L3330/240)</f>
        <v>60</v>
      </c>
      <c r="N3330" s="17" t="s">
        <v>64</v>
      </c>
      <c r="O3330" s="11"/>
      <c r="P3330" s="28" t="n">
        <f aca="false">17500/100</f>
        <v>175</v>
      </c>
      <c r="Q3330" s="28" t="n">
        <v>10500</v>
      </c>
      <c r="R3330" s="28"/>
      <c r="S3330" s="28" t="n">
        <f aca="false">R3330*$M3330</f>
        <v>0</v>
      </c>
      <c r="T3330" s="28"/>
      <c r="U3330" s="28" t="n">
        <f aca="false">T3330*$M3330</f>
        <v>0</v>
      </c>
      <c r="V3330" s="28"/>
      <c r="W3330" s="28" t="n">
        <f aca="false">V3330*$M3330</f>
        <v>0</v>
      </c>
      <c r="X3330" s="28"/>
      <c r="Y3330" s="28" t="n">
        <f aca="false">X3330*$M3330</f>
        <v>0</v>
      </c>
      <c r="Z3330" s="28"/>
      <c r="AA3330" s="28" t="n">
        <f aca="false">Z3330*$M3330</f>
        <v>0</v>
      </c>
      <c r="AB3330" s="28"/>
      <c r="AC3330" s="28" t="n">
        <f aca="false">AB3330*$M3330</f>
        <v>0</v>
      </c>
      <c r="AD3330" s="28"/>
      <c r="AE3330" s="28" t="n">
        <f aca="false">AD3330*$M3330</f>
        <v>0</v>
      </c>
      <c r="AF3330" s="28"/>
      <c r="AG3330" s="28" t="n">
        <f aca="false">AF3330*$M3330</f>
        <v>0</v>
      </c>
      <c r="AH3330" s="28"/>
      <c r="AI3330" s="28" t="n">
        <f aca="false">AH3330*$M3330</f>
        <v>0</v>
      </c>
      <c r="AJ3330" s="28"/>
      <c r="AK3330" s="28" t="n">
        <f aca="false">AJ3330*$M3330</f>
        <v>0</v>
      </c>
      <c r="AL3330" s="28" t="n">
        <f aca="false">107571/100</f>
        <v>1075.71</v>
      </c>
      <c r="AM3330" s="28" t="n">
        <v>64543</v>
      </c>
      <c r="AN3330" s="28"/>
      <c r="AO3330" s="28" t="n">
        <f aca="false">AN3330*$M3330</f>
        <v>0</v>
      </c>
      <c r="AP3330" s="28"/>
      <c r="AQ3330" s="28" t="n">
        <f aca="false">AP3330*$M3330</f>
        <v>0</v>
      </c>
      <c r="AR3330" s="28"/>
      <c r="AS3330" s="28" t="n">
        <f aca="false">AR3330*$M3330</f>
        <v>0</v>
      </c>
      <c r="AT3330" s="28"/>
      <c r="AU3330" s="28" t="n">
        <f aca="false">AT3330*$M3330</f>
        <v>0</v>
      </c>
      <c r="AV3330" s="28"/>
      <c r="AW3330" s="28" t="n">
        <f aca="false">AV3330*$M3330</f>
        <v>0</v>
      </c>
      <c r="AX3330" s="28"/>
      <c r="AY3330" s="28" t="n">
        <f aca="false">AX3330*$M3330</f>
        <v>0</v>
      </c>
      <c r="AZ3330" s="30" t="n">
        <f aca="false">125071/100</f>
        <v>1250.71</v>
      </c>
      <c r="BA3330" s="11" t="n">
        <v>75043</v>
      </c>
      <c r="BB3330" s="31" t="n">
        <f aca="false">SUM(Q3330,S3330,U3330,W3330,Y3330,AA3330,AC3330,AE3330,AG3330,AI3330,AK3330,AM3330,AO3330,AQ3330,AS3330,AU3330,AW3330,AY3330)</f>
        <v>75043</v>
      </c>
      <c r="BC3330" s="28" t="n">
        <f aca="false">BA3330-BB3330</f>
        <v>0</v>
      </c>
      <c r="BD3330" s="32" t="n">
        <f aca="false">SUM(P3330,R3330,T3330,V3330,X3330,Z3330,AB3330,AD3330,AF3330,AH3330,AJ3330,AL3330,AN3330,AP3330,AR3330,AT3330,AV3330,AX3330)</f>
        <v>1250.71</v>
      </c>
      <c r="BE3330" s="33" t="n">
        <f aca="false">AZ3330-BD3330</f>
        <v>0</v>
      </c>
      <c r="BF3330" s="34" t="n">
        <f aca="false">BD3330*M3330</f>
        <v>75042.6</v>
      </c>
      <c r="BG3330" s="35" t="n">
        <f aca="false">BA3330-BF3330</f>
        <v>0.399999999994179</v>
      </c>
      <c r="BH3330" s="19" t="str">
        <f aca="false">IF(BG3330=0,"",IF(BG3330&lt;&gt;BA3330,"erreur de calcul",IF(BD3330&lt;&gt;0,"pas de prix",IF(M3330&lt;&gt; 0,"pas de quantité","pas de prix, ni de quantité"))))</f>
        <v>erreur de calcul</v>
      </c>
      <c r="BI3330" s="19"/>
    </row>
    <row r="3331" customFormat="false" ht="15" hidden="false" customHeight="false" outlineLevel="0" collapsed="false">
      <c r="A3331" s="0" t="n">
        <v>6</v>
      </c>
      <c r="B3331" s="8" t="s">
        <v>24</v>
      </c>
      <c r="C3331" s="9" t="s">
        <v>25</v>
      </c>
      <c r="D3331" s="9" t="s">
        <v>26</v>
      </c>
      <c r="E3331" s="10" t="n">
        <v>1789</v>
      </c>
      <c r="F3331" s="9" t="s">
        <v>27</v>
      </c>
      <c r="G3331" s="9" t="s">
        <v>27</v>
      </c>
      <c r="H3331" s="11" t="n">
        <v>23</v>
      </c>
      <c r="I3331" s="11" t="s">
        <v>248</v>
      </c>
      <c r="J3331" s="14" t="n">
        <v>30</v>
      </c>
      <c r="K3331" s="14"/>
      <c r="L3331" s="16"/>
      <c r="M3331" s="27" t="n">
        <f aca="false">J3331+(K3331/20)+(L3331/240)</f>
        <v>30</v>
      </c>
      <c r="N3331" s="17" t="s">
        <v>64</v>
      </c>
      <c r="O3331" s="11"/>
      <c r="P3331" s="28"/>
      <c r="Q3331" s="28" t="n">
        <f aca="false">P3331*$M3331</f>
        <v>0</v>
      </c>
      <c r="R3331" s="28"/>
      <c r="S3331" s="28" t="n">
        <f aca="false">R3331*$M3331</f>
        <v>0</v>
      </c>
      <c r="T3331" s="28"/>
      <c r="U3331" s="28" t="n">
        <f aca="false">T3331*$M3331</f>
        <v>0</v>
      </c>
      <c r="V3331" s="28" t="n">
        <f aca="false">8491/100</f>
        <v>84.91</v>
      </c>
      <c r="W3331" s="28" t="n">
        <v>2547</v>
      </c>
      <c r="X3331" s="28"/>
      <c r="Y3331" s="28" t="n">
        <f aca="false">X3331*$M3331</f>
        <v>0</v>
      </c>
      <c r="Z3331" s="28"/>
      <c r="AA3331" s="28" t="n">
        <f aca="false">Z3331*$M3331</f>
        <v>0</v>
      </c>
      <c r="AB3331" s="28"/>
      <c r="AC3331" s="28" t="n">
        <f aca="false">AB3331*$M3331</f>
        <v>0</v>
      </c>
      <c r="AD3331" s="28"/>
      <c r="AE3331" s="28" t="n">
        <f aca="false">AD3331*$M3331</f>
        <v>0</v>
      </c>
      <c r="AF3331" s="28"/>
      <c r="AG3331" s="28" t="n">
        <f aca="false">AF3331*$M3331</f>
        <v>0</v>
      </c>
      <c r="AH3331" s="28"/>
      <c r="AI3331" s="28" t="n">
        <f aca="false">AH3331*$M3331</f>
        <v>0</v>
      </c>
      <c r="AJ3331" s="28"/>
      <c r="AK3331" s="28" t="n">
        <f aca="false">AJ3331*$M3331</f>
        <v>0</v>
      </c>
      <c r="AL3331" s="28"/>
      <c r="AM3331" s="28" t="n">
        <f aca="false">AL3331*$M3331</f>
        <v>0</v>
      </c>
      <c r="AN3331" s="28"/>
      <c r="AO3331" s="28" t="n">
        <f aca="false">AN3331*$M3331</f>
        <v>0</v>
      </c>
      <c r="AP3331" s="28"/>
      <c r="AQ3331" s="28" t="n">
        <f aca="false">AP3331*$M3331</f>
        <v>0</v>
      </c>
      <c r="AR3331" s="28"/>
      <c r="AS3331" s="28" t="n">
        <f aca="false">AR3331*$M3331</f>
        <v>0</v>
      </c>
      <c r="AT3331" s="28"/>
      <c r="AU3331" s="28" t="n">
        <f aca="false">AT3331*$M3331</f>
        <v>0</v>
      </c>
      <c r="AV3331" s="28"/>
      <c r="AW3331" s="28" t="n">
        <f aca="false">AV3331*$M3331</f>
        <v>0</v>
      </c>
      <c r="AX3331" s="28"/>
      <c r="AY3331" s="28" t="n">
        <f aca="false">AX3331*$M3331</f>
        <v>0</v>
      </c>
      <c r="AZ3331" s="30" t="n">
        <f aca="false">8491/100</f>
        <v>84.91</v>
      </c>
      <c r="BA3331" s="11" t="n">
        <v>2547</v>
      </c>
      <c r="BB3331" s="31" t="n">
        <f aca="false">SUM(Q3331,S3331,U3331,W3331,Y3331,AA3331,AC3331,AE3331,AG3331,AI3331,AK3331,AM3331,AO3331,AQ3331,AS3331,AU3331,AW3331,AY3331)</f>
        <v>2547</v>
      </c>
      <c r="BC3331" s="28" t="n">
        <f aca="false">BA3331-BB3331</f>
        <v>0</v>
      </c>
      <c r="BD3331" s="32" t="n">
        <f aca="false">SUM(P3331,R3331,T3331,V3331,X3331,Z3331,AB3331,AD3331,AF3331,AH3331,AJ3331,AL3331,AN3331,AP3331,AR3331,AT3331,AV3331,AX3331)</f>
        <v>84.91</v>
      </c>
      <c r="BE3331" s="33" t="n">
        <f aca="false">AZ3331-BD3331</f>
        <v>0</v>
      </c>
      <c r="BF3331" s="34" t="n">
        <f aca="false">BD3331*M3331</f>
        <v>2547.3</v>
      </c>
      <c r="BG3331" s="35" t="n">
        <f aca="false">BA3331-BF3331</f>
        <v>-0.299999999999727</v>
      </c>
      <c r="BH3331" s="19" t="str">
        <f aca="false">IF(BG3331=0,"",IF(BG3331&lt;&gt;BA3331,"erreur de calcul",IF(BD3331&lt;&gt;0,"pas de prix",IF(M3331&lt;&gt; 0,"pas de quantité","pas de prix, ni de quantité"))))</f>
        <v>erreur de calcul</v>
      </c>
      <c r="BI3331" s="19"/>
    </row>
    <row r="3332" customFormat="false" ht="15" hidden="false" customHeight="false" outlineLevel="0" collapsed="false">
      <c r="A3332" s="0" t="n">
        <v>7</v>
      </c>
      <c r="B3332" s="8" t="s">
        <v>24</v>
      </c>
      <c r="C3332" s="9" t="s">
        <v>25</v>
      </c>
      <c r="D3332" s="9" t="s">
        <v>26</v>
      </c>
      <c r="E3332" s="10" t="n">
        <v>1789</v>
      </c>
      <c r="F3332" s="9" t="s">
        <v>27</v>
      </c>
      <c r="G3332" s="9" t="s">
        <v>27</v>
      </c>
      <c r="H3332" s="11" t="n">
        <v>23</v>
      </c>
      <c r="I3332" s="11" t="s">
        <v>249</v>
      </c>
      <c r="J3332" s="14" t="n">
        <v>27</v>
      </c>
      <c r="K3332" s="14"/>
      <c r="L3332" s="16"/>
      <c r="M3332" s="27" t="n">
        <f aca="false">J3332+(K3332/20)+(L3332/240)</f>
        <v>27</v>
      </c>
      <c r="N3332" s="17" t="s">
        <v>64</v>
      </c>
      <c r="O3332" s="11"/>
      <c r="P3332" s="28"/>
      <c r="Q3332" s="28" t="n">
        <f aca="false">P3332*$M3332</f>
        <v>0</v>
      </c>
      <c r="R3332" s="28"/>
      <c r="S3332" s="28" t="n">
        <f aca="false">R3332*$M3332</f>
        <v>0</v>
      </c>
      <c r="T3332" s="28"/>
      <c r="U3332" s="28" t="n">
        <f aca="false">T3332*$M3332</f>
        <v>0</v>
      </c>
      <c r="V3332" s="28"/>
      <c r="W3332" s="28" t="n">
        <f aca="false">V3332*$M3332</f>
        <v>0</v>
      </c>
      <c r="X3332" s="28"/>
      <c r="Y3332" s="28" t="n">
        <f aca="false">X3332*$M3332</f>
        <v>0</v>
      </c>
      <c r="Z3332" s="28"/>
      <c r="AA3332" s="28" t="n">
        <f aca="false">Z3332*$M3332</f>
        <v>0</v>
      </c>
      <c r="AB3332" s="28"/>
      <c r="AC3332" s="28" t="n">
        <f aca="false">AB3332*$M3332</f>
        <v>0</v>
      </c>
      <c r="AD3332" s="28"/>
      <c r="AE3332" s="28" t="n">
        <f aca="false">AD3332*$M3332</f>
        <v>0</v>
      </c>
      <c r="AF3332" s="28"/>
      <c r="AG3332" s="28" t="n">
        <f aca="false">AF3332*$M3332</f>
        <v>0</v>
      </c>
      <c r="AH3332" s="28"/>
      <c r="AI3332" s="28" t="n">
        <f aca="false">AH3332*$M3332</f>
        <v>0</v>
      </c>
      <c r="AJ3332" s="28" t="n">
        <f aca="false">168254/100</f>
        <v>1682.54</v>
      </c>
      <c r="AK3332" s="28" t="n">
        <v>45428</v>
      </c>
      <c r="AL3332" s="28"/>
      <c r="AM3332" s="28" t="n">
        <f aca="false">AL3332*$M3332</f>
        <v>0</v>
      </c>
      <c r="AN3332" s="28"/>
      <c r="AO3332" s="28" t="n">
        <f aca="false">AN3332*$M3332</f>
        <v>0</v>
      </c>
      <c r="AP3332" s="28"/>
      <c r="AQ3332" s="28" t="n">
        <f aca="false">AP3332*$M3332</f>
        <v>0</v>
      </c>
      <c r="AR3332" s="28"/>
      <c r="AS3332" s="28" t="n">
        <f aca="false">AR3332*$M3332</f>
        <v>0</v>
      </c>
      <c r="AT3332" s="28"/>
      <c r="AU3332" s="28" t="n">
        <f aca="false">AT3332*$M3332</f>
        <v>0</v>
      </c>
      <c r="AV3332" s="28"/>
      <c r="AW3332" s="28" t="n">
        <f aca="false">AV3332*$M3332</f>
        <v>0</v>
      </c>
      <c r="AX3332" s="28"/>
      <c r="AY3332" s="28" t="n">
        <f aca="false">AX3332*$M3332</f>
        <v>0</v>
      </c>
      <c r="AZ3332" s="30" t="n">
        <f aca="false">168254/100</f>
        <v>1682.54</v>
      </c>
      <c r="BA3332" s="11" t="n">
        <v>45428</v>
      </c>
      <c r="BB3332" s="31" t="n">
        <f aca="false">SUM(Q3332,S3332,U3332,W3332,Y3332,AA3332,AC3332,AE3332,AG3332,AI3332,AK3332,AM3332,AO3332,AQ3332,AS3332,AU3332,AW3332,AY3332)</f>
        <v>45428</v>
      </c>
      <c r="BC3332" s="28" t="n">
        <f aca="false">BA3332-BB3332</f>
        <v>0</v>
      </c>
      <c r="BD3332" s="32" t="n">
        <f aca="false">SUM(P3332,R3332,T3332,V3332,X3332,Z3332,AB3332,AD3332,AF3332,AH3332,AJ3332,AL3332,AN3332,AP3332,AR3332,AT3332,AV3332,AX3332)</f>
        <v>1682.54</v>
      </c>
      <c r="BE3332" s="33" t="n">
        <f aca="false">AZ3332-BD3332</f>
        <v>0</v>
      </c>
      <c r="BF3332" s="34" t="n">
        <f aca="false">BD3332*M3332</f>
        <v>45428.58</v>
      </c>
      <c r="BG3332" s="35" t="n">
        <f aca="false">BA3332-BF3332</f>
        <v>-0.580000000001746</v>
      </c>
      <c r="BH3332" s="19" t="str">
        <f aca="false">IF(BG3332=0,"",IF(BG3332&lt;&gt;BA3332,"erreur de calcul",IF(BD3332&lt;&gt;0,"pas de prix",IF(M3332&lt;&gt; 0,"pas de quantité","pas de prix, ni de quantité"))))</f>
        <v>erreur de calcul</v>
      </c>
      <c r="BI3332" s="19"/>
    </row>
    <row r="3333" customFormat="false" ht="15" hidden="false" customHeight="false" outlineLevel="0" collapsed="false">
      <c r="A3333" s="0" t="n">
        <v>8</v>
      </c>
      <c r="B3333" s="8" t="s">
        <v>24</v>
      </c>
      <c r="C3333" s="9" t="s">
        <v>25</v>
      </c>
      <c r="D3333" s="9" t="s">
        <v>26</v>
      </c>
      <c r="E3333" s="10" t="n">
        <v>1789</v>
      </c>
      <c r="F3333" s="9" t="s">
        <v>27</v>
      </c>
      <c r="G3333" s="9" t="s">
        <v>27</v>
      </c>
      <c r="H3333" s="11" t="n">
        <v>23</v>
      </c>
      <c r="I3333" s="11" t="s">
        <v>250</v>
      </c>
      <c r="J3333" s="14" t="n">
        <v>27</v>
      </c>
      <c r="K3333" s="14"/>
      <c r="L3333" s="16"/>
      <c r="M3333" s="27" t="n">
        <f aca="false">J3333+(K3333/20)+(L3333/240)</f>
        <v>27</v>
      </c>
      <c r="N3333" s="17" t="s">
        <v>64</v>
      </c>
      <c r="O3333" s="11"/>
      <c r="P3333" s="28"/>
      <c r="Q3333" s="28" t="n">
        <f aca="false">P3333*$M3333</f>
        <v>0</v>
      </c>
      <c r="R3333" s="28"/>
      <c r="S3333" s="28" t="n">
        <f aca="false">R3333*$M3333</f>
        <v>0</v>
      </c>
      <c r="T3333" s="28"/>
      <c r="U3333" s="28" t="n">
        <f aca="false">T3333*$M3333</f>
        <v>0</v>
      </c>
      <c r="V3333" s="28"/>
      <c r="W3333" s="28" t="n">
        <f aca="false">V3333*$M3333</f>
        <v>0</v>
      </c>
      <c r="X3333" s="28"/>
      <c r="Y3333" s="28" t="n">
        <f aca="false">X3333*$M3333</f>
        <v>0</v>
      </c>
      <c r="Z3333" s="28"/>
      <c r="AA3333" s="28" t="n">
        <f aca="false">Z3333*$M3333</f>
        <v>0</v>
      </c>
      <c r="AB3333" s="28"/>
      <c r="AC3333" s="28" t="n">
        <f aca="false">AB3333*$M3333</f>
        <v>0</v>
      </c>
      <c r="AD3333" s="28"/>
      <c r="AE3333" s="28" t="n">
        <f aca="false">AD3333*$M3333</f>
        <v>0</v>
      </c>
      <c r="AF3333" s="28"/>
      <c r="AG3333" s="28" t="n">
        <f aca="false">AF3333*$M3333</f>
        <v>0</v>
      </c>
      <c r="AH3333" s="28"/>
      <c r="AI3333" s="28" t="n">
        <f aca="false">AH3333*$M3333</f>
        <v>0</v>
      </c>
      <c r="AJ3333" s="28"/>
      <c r="AK3333" s="28" t="n">
        <f aca="false">AJ3333*$M3333</f>
        <v>0</v>
      </c>
      <c r="AL3333" s="28" t="n">
        <f aca="false">4108/100</f>
        <v>41.08</v>
      </c>
      <c r="AM3333" s="28" t="n">
        <v>1109</v>
      </c>
      <c r="AN3333" s="28"/>
      <c r="AO3333" s="28" t="n">
        <f aca="false">AN3333*$M3333</f>
        <v>0</v>
      </c>
      <c r="AP3333" s="28"/>
      <c r="AQ3333" s="28" t="n">
        <f aca="false">AP3333*$M3333</f>
        <v>0</v>
      </c>
      <c r="AR3333" s="28" t="n">
        <f aca="false">37084/100</f>
        <v>370.84</v>
      </c>
      <c r="AS3333" s="36" t="n">
        <v>9963</v>
      </c>
      <c r="AT3333" s="28"/>
      <c r="AU3333" s="28" t="n">
        <f aca="false">AT3333*$M3333</f>
        <v>0</v>
      </c>
      <c r="AV3333" s="28"/>
      <c r="AW3333" s="28" t="n">
        <f aca="false">AV3333*$M3333</f>
        <v>0</v>
      </c>
      <c r="AX3333" s="28"/>
      <c r="AY3333" s="28" t="n">
        <f aca="false">AX3333*$M3333</f>
        <v>0</v>
      </c>
      <c r="AZ3333" s="30" t="n">
        <f aca="false">41192/100</f>
        <v>411.92</v>
      </c>
      <c r="BA3333" s="11" t="n">
        <v>11072</v>
      </c>
      <c r="BB3333" s="31" t="n">
        <f aca="false">SUM(Q3333,S3333,U3333,W3333,Y3333,AA3333,AC3333,AE3333,AG3333,AI3333,AK3333,AM3333,AO3333,AQ3333,AS3333,AU3333,AW3333,AY3333)</f>
        <v>11072</v>
      </c>
      <c r="BC3333" s="28" t="n">
        <f aca="false">BA3333-BB3333</f>
        <v>0</v>
      </c>
      <c r="BD3333" s="32" t="n">
        <f aca="false">SUM(P3333,R3333,T3333,V3333,X3333,Z3333,AB3333,AD3333,AF3333,AH3333,AJ3333,AL3333,AN3333,AP3333,AR3333,AT3333,AV3333,AX3333)</f>
        <v>411.92</v>
      </c>
      <c r="BE3333" s="33" t="n">
        <f aca="false">AZ3333-BD3333</f>
        <v>0</v>
      </c>
      <c r="BF3333" s="34" t="n">
        <f aca="false">BD3333*M3333</f>
        <v>11121.84</v>
      </c>
      <c r="BG3333" s="35" t="n">
        <f aca="false">BA3333-BF3333</f>
        <v>-49.8399999999983</v>
      </c>
      <c r="BH3333" s="19" t="str">
        <f aca="false">IF(BG3333=0,"",IF(BG3333&lt;&gt;BA3333,"erreur de calcul",IF(BD3333&lt;&gt;0,"pas de prix",IF(M3333&lt;&gt; 0,"pas de quantité","pas de prix, ni de quantité"))))</f>
        <v>erreur de calcul</v>
      </c>
      <c r="BI3333" s="19"/>
    </row>
    <row r="3334" customFormat="false" ht="15" hidden="false" customHeight="false" outlineLevel="0" collapsed="false">
      <c r="A3334" s="0" t="n">
        <v>9</v>
      </c>
      <c r="B3334" s="8" t="s">
        <v>24</v>
      </c>
      <c r="C3334" s="9" t="s">
        <v>25</v>
      </c>
      <c r="D3334" s="9" t="s">
        <v>26</v>
      </c>
      <c r="E3334" s="10" t="n">
        <v>1789</v>
      </c>
      <c r="F3334" s="9" t="s">
        <v>27</v>
      </c>
      <c r="G3334" s="9" t="s">
        <v>27</v>
      </c>
      <c r="H3334" s="11" t="n">
        <v>23</v>
      </c>
      <c r="I3334" s="11" t="s">
        <v>251</v>
      </c>
      <c r="J3334" s="14" t="n">
        <v>6</v>
      </c>
      <c r="K3334" s="14"/>
      <c r="L3334" s="16"/>
      <c r="M3334" s="27" t="n">
        <f aca="false">J3334+(K3334/20)+(L3334/240)</f>
        <v>6</v>
      </c>
      <c r="N3334" s="17" t="s">
        <v>64</v>
      </c>
      <c r="O3334" s="11"/>
      <c r="P3334" s="28"/>
      <c r="Q3334" s="28" t="n">
        <f aca="false">P3334*$M3334</f>
        <v>0</v>
      </c>
      <c r="R3334" s="28"/>
      <c r="S3334" s="28" t="n">
        <f aca="false">R3334*$M3334</f>
        <v>0</v>
      </c>
      <c r="T3334" s="28"/>
      <c r="U3334" s="28" t="n">
        <f aca="false">T3334*$M3334</f>
        <v>0</v>
      </c>
      <c r="V3334" s="28"/>
      <c r="W3334" s="28" t="n">
        <f aca="false">V3334*$M3334</f>
        <v>0</v>
      </c>
      <c r="X3334" s="28"/>
      <c r="Y3334" s="28" t="n">
        <f aca="false">X3334*$M3334</f>
        <v>0</v>
      </c>
      <c r="Z3334" s="28"/>
      <c r="AA3334" s="28" t="n">
        <f aca="false">Z3334*$M3334</f>
        <v>0</v>
      </c>
      <c r="AB3334" s="28"/>
      <c r="AC3334" s="28" t="n">
        <f aca="false">AB3334*$M3334</f>
        <v>0</v>
      </c>
      <c r="AD3334" s="28"/>
      <c r="AE3334" s="28" t="n">
        <f aca="false">AD3334*$M3334</f>
        <v>0</v>
      </c>
      <c r="AF3334" s="28"/>
      <c r="AG3334" s="28" t="n">
        <f aca="false">AF3334*$M3334</f>
        <v>0</v>
      </c>
      <c r="AH3334" s="28"/>
      <c r="AI3334" s="28" t="n">
        <f aca="false">AH3334*$M3334</f>
        <v>0</v>
      </c>
      <c r="AJ3334" s="28"/>
      <c r="AK3334" s="28" t="n">
        <f aca="false">AJ3334*$M3334</f>
        <v>0</v>
      </c>
      <c r="AL3334" s="28"/>
      <c r="AM3334" s="28" t="n">
        <f aca="false">AL3334*$M3334</f>
        <v>0</v>
      </c>
      <c r="AN3334" s="28"/>
      <c r="AO3334" s="28" t="n">
        <f aca="false">AN3334*$M3334</f>
        <v>0</v>
      </c>
      <c r="AP3334" s="28"/>
      <c r="AQ3334" s="28" t="n">
        <f aca="false">AP3334*$M3334</f>
        <v>0</v>
      </c>
      <c r="AR3334" s="28"/>
      <c r="AS3334" s="28" t="n">
        <f aca="false">AR3334*$M3334</f>
        <v>0</v>
      </c>
      <c r="AT3334" s="28"/>
      <c r="AU3334" s="28" t="n">
        <f aca="false">AT3334*$M3334</f>
        <v>0</v>
      </c>
      <c r="AV3334" s="28"/>
      <c r="AW3334" s="28" t="n">
        <f aca="false">AV3334*$M3334</f>
        <v>0</v>
      </c>
      <c r="AX3334" s="28"/>
      <c r="AY3334" s="28" t="n">
        <f aca="false">AX3334*$M3334</f>
        <v>0</v>
      </c>
      <c r="AZ3334" s="30"/>
      <c r="BA3334" s="11"/>
      <c r="BB3334" s="31" t="n">
        <f aca="false">SUM(Q3334,S3334,U3334,W3334,Y3334,AA3334,AC3334,AE3334,AG3334,AI3334,AK3334,AM3334,AO3334,AQ3334,AS3334,AU3334,AW3334,AY3334)</f>
        <v>0</v>
      </c>
      <c r="BC3334" s="28" t="n">
        <f aca="false">BA3334-BB3334</f>
        <v>0</v>
      </c>
      <c r="BD3334" s="32" t="n">
        <f aca="false">SUM(P3334,R3334,T3334,V3334,X3334,Z3334,AB3334,AD3334,AF3334,AH3334,AJ3334,AL3334,AN3334,AP3334,AR3334,AT3334,AV3334,AX3334)</f>
        <v>0</v>
      </c>
      <c r="BE3334" s="33" t="n">
        <f aca="false">AZ3334-BD3334</f>
        <v>0</v>
      </c>
      <c r="BF3334" s="34" t="n">
        <f aca="false">BD3334*M3334</f>
        <v>0</v>
      </c>
      <c r="BG3334" s="35" t="n">
        <f aca="false">BA3334-BF3334</f>
        <v>0</v>
      </c>
      <c r="BH3334" s="19" t="str">
        <f aca="false">IF(BG3334=0,"",IF(BG3334&lt;&gt;BA3334,"erreur de calcul",IF(BD3334&lt;&gt;0,"pas de prix",IF(M3334&lt;&gt; 0,"pas de quantité","pas de prix, ni de quantité"))))</f>
        <v/>
      </c>
      <c r="BI3334" s="19"/>
    </row>
    <row r="3335" customFormat="false" ht="15" hidden="false" customHeight="false" outlineLevel="0" collapsed="false">
      <c r="A3335" s="0" t="n">
        <v>10</v>
      </c>
      <c r="B3335" s="8" t="s">
        <v>24</v>
      </c>
      <c r="C3335" s="9" t="s">
        <v>25</v>
      </c>
      <c r="D3335" s="9" t="s">
        <v>26</v>
      </c>
      <c r="E3335" s="10" t="n">
        <v>1789</v>
      </c>
      <c r="F3335" s="9" t="s">
        <v>27</v>
      </c>
      <c r="G3335" s="9" t="s">
        <v>27</v>
      </c>
      <c r="H3335" s="11" t="n">
        <v>23</v>
      </c>
      <c r="I3335" s="11" t="s">
        <v>252</v>
      </c>
      <c r="J3335" s="14" t="n">
        <v>240</v>
      </c>
      <c r="K3335" s="14"/>
      <c r="L3335" s="16"/>
      <c r="M3335" s="27" t="n">
        <f aca="false">J3335+(K3335/20)+(L3335/240)</f>
        <v>240</v>
      </c>
      <c r="N3335" s="17" t="s">
        <v>64</v>
      </c>
      <c r="O3335" s="11"/>
      <c r="P3335" s="28"/>
      <c r="Q3335" s="28" t="n">
        <f aca="false">P3335*$M3335</f>
        <v>0</v>
      </c>
      <c r="R3335" s="28"/>
      <c r="S3335" s="28" t="n">
        <f aca="false">R3335*$M3335</f>
        <v>0</v>
      </c>
      <c r="T3335" s="28" t="n">
        <f aca="false">4204/100</f>
        <v>42.04</v>
      </c>
      <c r="U3335" s="28" t="n">
        <v>10090</v>
      </c>
      <c r="V3335" s="28" t="n">
        <f aca="false">2799/100</f>
        <v>27.99</v>
      </c>
      <c r="W3335" s="28" t="n">
        <v>6718</v>
      </c>
      <c r="X3335" s="28" t="n">
        <f aca="false">2536/100</f>
        <v>25.36</v>
      </c>
      <c r="Y3335" s="28" t="n">
        <v>6086</v>
      </c>
      <c r="Z3335" s="28" t="n">
        <f aca="false">3393/100</f>
        <v>33.93</v>
      </c>
      <c r="AA3335" s="28" t="n">
        <v>8143</v>
      </c>
      <c r="AB3335" s="28" t="n">
        <f aca="false">242/100</f>
        <v>2.42</v>
      </c>
      <c r="AC3335" s="28" t="n">
        <v>581</v>
      </c>
      <c r="AD3335" s="28"/>
      <c r="AE3335" s="28" t="n">
        <f aca="false">AD3335*$M3335</f>
        <v>0</v>
      </c>
      <c r="AF3335" s="28"/>
      <c r="AG3335" s="28" t="n">
        <f aca="false">AF3335*$M3335</f>
        <v>0</v>
      </c>
      <c r="AH3335" s="28"/>
      <c r="AI3335" s="28" t="n">
        <f aca="false">AH3335*$M3335</f>
        <v>0</v>
      </c>
      <c r="AJ3335" s="28"/>
      <c r="AK3335" s="28" t="n">
        <f aca="false">AJ3335*$M3335</f>
        <v>0</v>
      </c>
      <c r="AL3335" s="28"/>
      <c r="AM3335" s="28" t="n">
        <f aca="false">AL3335*$M3335</f>
        <v>0</v>
      </c>
      <c r="AN3335" s="28"/>
      <c r="AO3335" s="28" t="n">
        <f aca="false">AN3335*$M3335</f>
        <v>0</v>
      </c>
      <c r="AP3335" s="28"/>
      <c r="AQ3335" s="28" t="n">
        <f aca="false">AP3335*$M3335</f>
        <v>0</v>
      </c>
      <c r="AR3335" s="28"/>
      <c r="AS3335" s="28" t="n">
        <f aca="false">AR3335*$M3335</f>
        <v>0</v>
      </c>
      <c r="AT3335" s="28"/>
      <c r="AU3335" s="28" t="n">
        <f aca="false">AT3335*$M3335</f>
        <v>0</v>
      </c>
      <c r="AV3335" s="28"/>
      <c r="AW3335" s="28" t="n">
        <f aca="false">AV3335*$M3335</f>
        <v>0</v>
      </c>
      <c r="AX3335" s="28"/>
      <c r="AY3335" s="28" t="n">
        <f aca="false">AX3335*$M3335</f>
        <v>0</v>
      </c>
      <c r="AZ3335" s="30" t="n">
        <f aca="false">13174/100</f>
        <v>131.74</v>
      </c>
      <c r="BA3335" s="11" t="n">
        <v>31618</v>
      </c>
      <c r="BB3335" s="31" t="n">
        <f aca="false">SUM(Q3335,S3335,U3335,W3335,Y3335,AA3335,AC3335,AE3335,AG3335,AI3335,AK3335,AM3335,AO3335,AQ3335,AS3335,AU3335,AW3335,AY3335)</f>
        <v>31618</v>
      </c>
      <c r="BC3335" s="28" t="n">
        <f aca="false">BA3335-BB3335</f>
        <v>0</v>
      </c>
      <c r="BD3335" s="32" t="n">
        <f aca="false">SUM(P3335,R3335,T3335,V3335,X3335,Z3335,AB3335,AD3335,AF3335,AH3335,AJ3335,AL3335,AN3335,AP3335,AR3335,AT3335,AV3335,AX3335)</f>
        <v>131.74</v>
      </c>
      <c r="BE3335" s="33" t="n">
        <f aca="false">AZ3335-BD3335</f>
        <v>0</v>
      </c>
      <c r="BF3335" s="34" t="n">
        <f aca="false">BD3335*M3335</f>
        <v>31617.6</v>
      </c>
      <c r="BG3335" s="35" t="n">
        <f aca="false">BA3335-BF3335</f>
        <v>0.399999999997817</v>
      </c>
      <c r="BH3335" s="19" t="str">
        <f aca="false">IF(BG3335=0,"",IF(BG3335&lt;&gt;BA3335,"erreur de calcul",IF(BD3335&lt;&gt;0,"pas de prix",IF(M3335&lt;&gt; 0,"pas de quantité","pas de prix, ni de quantité"))))</f>
        <v>erreur de calcul</v>
      </c>
      <c r="BI3335" s="19"/>
    </row>
    <row r="3336" customFormat="false" ht="15" hidden="false" customHeight="false" outlineLevel="0" collapsed="false">
      <c r="A3336" s="0" t="n">
        <v>11</v>
      </c>
      <c r="B3336" s="8" t="s">
        <v>24</v>
      </c>
      <c r="C3336" s="9" t="s">
        <v>25</v>
      </c>
      <c r="D3336" s="9" t="s">
        <v>26</v>
      </c>
      <c r="E3336" s="10" t="n">
        <v>1789</v>
      </c>
      <c r="F3336" s="9" t="s">
        <v>27</v>
      </c>
      <c r="G3336" s="9" t="s">
        <v>27</v>
      </c>
      <c r="H3336" s="11" t="n">
        <v>23</v>
      </c>
      <c r="I3336" s="11" t="s">
        <v>253</v>
      </c>
      <c r="J3336" s="14" t="n">
        <v>190</v>
      </c>
      <c r="K3336" s="14"/>
      <c r="L3336" s="16"/>
      <c r="M3336" s="27" t="n">
        <f aca="false">J3336+(K3336/20)+(L3336/240)</f>
        <v>190</v>
      </c>
      <c r="N3336" s="17" t="s">
        <v>64</v>
      </c>
      <c r="O3336" s="11"/>
      <c r="P3336" s="28"/>
      <c r="Q3336" s="28" t="n">
        <f aca="false">P3336*$M3336</f>
        <v>0</v>
      </c>
      <c r="R3336" s="28"/>
      <c r="S3336" s="28" t="n">
        <f aca="false">R3336*$M3336</f>
        <v>0</v>
      </c>
      <c r="T3336" s="28"/>
      <c r="U3336" s="28" t="n">
        <f aca="false">T3336*$M3336</f>
        <v>0</v>
      </c>
      <c r="V3336" s="28" t="n">
        <f aca="false">14963/100</f>
        <v>149.63</v>
      </c>
      <c r="W3336" s="36" t="n">
        <v>28420</v>
      </c>
      <c r="X3336" s="28"/>
      <c r="Y3336" s="28" t="n">
        <f aca="false">X3336*$M3336</f>
        <v>0</v>
      </c>
      <c r="Z3336" s="28"/>
      <c r="AA3336" s="28" t="n">
        <f aca="false">Z3336*$M3336</f>
        <v>0</v>
      </c>
      <c r="AB3336" s="28"/>
      <c r="AC3336" s="28" t="n">
        <f aca="false">AB3336*$M3336</f>
        <v>0</v>
      </c>
      <c r="AD3336" s="28"/>
      <c r="AE3336" s="28" t="n">
        <f aca="false">AD3336*$M3336</f>
        <v>0</v>
      </c>
      <c r="AF3336" s="28"/>
      <c r="AG3336" s="28" t="n">
        <f aca="false">AF3336*$M3336</f>
        <v>0</v>
      </c>
      <c r="AH3336" s="28"/>
      <c r="AI3336" s="28" t="n">
        <f aca="false">AH3336*$M3336</f>
        <v>0</v>
      </c>
      <c r="AJ3336" s="28"/>
      <c r="AK3336" s="28" t="n">
        <f aca="false">AJ3336*$M3336</f>
        <v>0</v>
      </c>
      <c r="AL3336" s="28"/>
      <c r="AM3336" s="28" t="n">
        <f aca="false">AL3336*$M3336</f>
        <v>0</v>
      </c>
      <c r="AN3336" s="28"/>
      <c r="AO3336" s="28" t="n">
        <f aca="false">AN3336*$M3336</f>
        <v>0</v>
      </c>
      <c r="AP3336" s="28"/>
      <c r="AQ3336" s="28" t="n">
        <f aca="false">AP3336*$M3336</f>
        <v>0</v>
      </c>
      <c r="AR3336" s="28"/>
      <c r="AS3336" s="28" t="n">
        <f aca="false">AR3336*$M3336</f>
        <v>0</v>
      </c>
      <c r="AT3336" s="28"/>
      <c r="AU3336" s="28" t="n">
        <f aca="false">AT3336*$M3336</f>
        <v>0</v>
      </c>
      <c r="AV3336" s="28"/>
      <c r="AW3336" s="28" t="n">
        <f aca="false">AV3336*$M3336</f>
        <v>0</v>
      </c>
      <c r="AX3336" s="28"/>
      <c r="AY3336" s="28" t="n">
        <f aca="false">AX3336*$M3336</f>
        <v>0</v>
      </c>
      <c r="AZ3336" s="30" t="n">
        <f aca="false">14963/100</f>
        <v>149.63</v>
      </c>
      <c r="BA3336" s="11" t="n">
        <v>28420</v>
      </c>
      <c r="BB3336" s="31" t="n">
        <f aca="false">SUM(Q3336,S3336,U3336,W3336,Y3336,AA3336,AC3336,AE3336,AG3336,AI3336,AK3336,AM3336,AO3336,AQ3336,AS3336,AU3336,AW3336,AY3336)</f>
        <v>28420</v>
      </c>
      <c r="BC3336" s="28" t="n">
        <f aca="false">BA3336-BB3336</f>
        <v>0</v>
      </c>
      <c r="BD3336" s="32" t="n">
        <f aca="false">SUM(P3336,R3336,T3336,V3336,X3336,Z3336,AB3336,AD3336,AF3336,AH3336,AJ3336,AL3336,AN3336,AP3336,AR3336,AT3336,AV3336,AX3336)</f>
        <v>149.63</v>
      </c>
      <c r="BE3336" s="33" t="n">
        <f aca="false">AZ3336-BD3336</f>
        <v>0</v>
      </c>
      <c r="BF3336" s="34" t="n">
        <f aca="false">BD3336*M3336</f>
        <v>28429.7</v>
      </c>
      <c r="BG3336" s="35" t="n">
        <f aca="false">BA3336-BF3336</f>
        <v>-9.70000000000073</v>
      </c>
      <c r="BH3336" s="19" t="str">
        <f aca="false">IF(BG3336=0,"",IF(BG3336&lt;&gt;BA3336,"erreur de calcul",IF(BD3336&lt;&gt;0,"pas de prix",IF(M3336&lt;&gt; 0,"pas de quantité","pas de prix, ni de quantité"))))</f>
        <v>erreur de calcul</v>
      </c>
      <c r="BI3336" s="19"/>
    </row>
    <row r="3337" customFormat="false" ht="15" hidden="false" customHeight="false" outlineLevel="0" collapsed="false">
      <c r="A3337" s="0" t="n">
        <v>12</v>
      </c>
      <c r="B3337" s="8" t="s">
        <v>24</v>
      </c>
      <c r="C3337" s="9" t="s">
        <v>25</v>
      </c>
      <c r="D3337" s="9" t="s">
        <v>26</v>
      </c>
      <c r="E3337" s="10" t="n">
        <v>1789</v>
      </c>
      <c r="F3337" s="9" t="s">
        <v>27</v>
      </c>
      <c r="G3337" s="9" t="s">
        <v>27</v>
      </c>
      <c r="H3337" s="11" t="n">
        <v>23</v>
      </c>
      <c r="I3337" s="11" t="s">
        <v>254</v>
      </c>
      <c r="J3337" s="14" t="n">
        <v>14</v>
      </c>
      <c r="K3337" s="14"/>
      <c r="L3337" s="16"/>
      <c r="M3337" s="27" t="n">
        <f aca="false">J3337+(K3337/20)+(L3337/240)</f>
        <v>14</v>
      </c>
      <c r="N3337" s="17" t="s">
        <v>64</v>
      </c>
      <c r="O3337" s="11"/>
      <c r="P3337" s="28"/>
      <c r="Q3337" s="28" t="n">
        <f aca="false">P3337*$M3337</f>
        <v>0</v>
      </c>
      <c r="R3337" s="28"/>
      <c r="S3337" s="28" t="n">
        <f aca="false">R3337*$M3337</f>
        <v>0</v>
      </c>
      <c r="T3337" s="28"/>
      <c r="U3337" s="28" t="n">
        <f aca="false">T3337*$M3337</f>
        <v>0</v>
      </c>
      <c r="V3337" s="28"/>
      <c r="W3337" s="28" t="n">
        <f aca="false">V3337*$M3337</f>
        <v>0</v>
      </c>
      <c r="X3337" s="28" t="n">
        <f aca="false">445483/100</f>
        <v>4454.83</v>
      </c>
      <c r="Y3337" s="28" t="n">
        <v>62368</v>
      </c>
      <c r="Z3337" s="28"/>
      <c r="AA3337" s="28" t="n">
        <f aca="false">Z3337*$M3337</f>
        <v>0</v>
      </c>
      <c r="AB3337" s="28"/>
      <c r="AC3337" s="28" t="n">
        <f aca="false">AB3337*$M3337</f>
        <v>0</v>
      </c>
      <c r="AD3337" s="28"/>
      <c r="AE3337" s="28" t="n">
        <f aca="false">AD3337*$M3337</f>
        <v>0</v>
      </c>
      <c r="AF3337" s="28"/>
      <c r="AG3337" s="28" t="n">
        <f aca="false">AF3337*$M3337</f>
        <v>0</v>
      </c>
      <c r="AH3337" s="28"/>
      <c r="AI3337" s="28" t="n">
        <f aca="false">AH3337*$M3337</f>
        <v>0</v>
      </c>
      <c r="AJ3337" s="28"/>
      <c r="AK3337" s="28" t="n">
        <f aca="false">AJ3337*$M3337</f>
        <v>0</v>
      </c>
      <c r="AL3337" s="28"/>
      <c r="AM3337" s="28" t="n">
        <f aca="false">AL3337*$M3337</f>
        <v>0</v>
      </c>
      <c r="AN3337" s="28"/>
      <c r="AO3337" s="28" t="n">
        <f aca="false">AN3337*$M3337</f>
        <v>0</v>
      </c>
      <c r="AP3337" s="28"/>
      <c r="AQ3337" s="28" t="n">
        <f aca="false">AP3337*$M3337</f>
        <v>0</v>
      </c>
      <c r="AR3337" s="28"/>
      <c r="AS3337" s="28" t="n">
        <f aca="false">AR3337*$M3337</f>
        <v>0</v>
      </c>
      <c r="AT3337" s="28"/>
      <c r="AU3337" s="28" t="n">
        <f aca="false">AT3337*$M3337</f>
        <v>0</v>
      </c>
      <c r="AV3337" s="28"/>
      <c r="AW3337" s="28" t="n">
        <f aca="false">AV3337*$M3337</f>
        <v>0</v>
      </c>
      <c r="AX3337" s="28"/>
      <c r="AY3337" s="28" t="n">
        <f aca="false">AX3337*$M3337</f>
        <v>0</v>
      </c>
      <c r="AZ3337" s="30" t="n">
        <f aca="false">445483/100</f>
        <v>4454.83</v>
      </c>
      <c r="BA3337" s="11" t="n">
        <v>62368</v>
      </c>
      <c r="BB3337" s="31" t="n">
        <f aca="false">SUM(Q3337,S3337,U3337,W3337,Y3337,AA3337,AC3337,AE3337,AG3337,AI3337,AK3337,AM3337,AO3337,AQ3337,AS3337,AU3337,AW3337,AY3337)</f>
        <v>62368</v>
      </c>
      <c r="BC3337" s="28" t="n">
        <f aca="false">BA3337-BB3337</f>
        <v>0</v>
      </c>
      <c r="BD3337" s="32" t="n">
        <f aca="false">SUM(P3337,R3337,T3337,V3337,X3337,Z3337,AB3337,AD3337,AF3337,AH3337,AJ3337,AL3337,AN3337,AP3337,AR3337,AT3337,AV3337,AX3337)</f>
        <v>4454.83</v>
      </c>
      <c r="BE3337" s="33" t="n">
        <f aca="false">AZ3337-BD3337</f>
        <v>0</v>
      </c>
      <c r="BF3337" s="34" t="n">
        <f aca="false">BD3337*M3337</f>
        <v>62367.62</v>
      </c>
      <c r="BG3337" s="35" t="n">
        <f aca="false">BA3337-BF3337</f>
        <v>0.380000000004657</v>
      </c>
      <c r="BH3337" s="19" t="str">
        <f aca="false">IF(BG3337=0,"",IF(BG3337&lt;&gt;BA3337,"erreur de calcul",IF(BD3337&lt;&gt;0,"pas de prix",IF(M3337&lt;&gt; 0,"pas de quantité","pas de prix, ni de quantité"))))</f>
        <v>erreur de calcul</v>
      </c>
      <c r="BI3337" s="19"/>
    </row>
    <row r="3338" customFormat="false" ht="15" hidden="false" customHeight="false" outlineLevel="0" collapsed="false">
      <c r="A3338" s="0" t="n">
        <v>13</v>
      </c>
      <c r="B3338" s="8" t="s">
        <v>24</v>
      </c>
      <c r="C3338" s="9" t="s">
        <v>25</v>
      </c>
      <c r="D3338" s="9" t="s">
        <v>26</v>
      </c>
      <c r="E3338" s="10" t="n">
        <v>1789</v>
      </c>
      <c r="F3338" s="9" t="s">
        <v>27</v>
      </c>
      <c r="G3338" s="9" t="s">
        <v>27</v>
      </c>
      <c r="H3338" s="11" t="n">
        <v>23</v>
      </c>
      <c r="I3338" s="11" t="s">
        <v>255</v>
      </c>
      <c r="J3338" s="14" t="n">
        <v>6</v>
      </c>
      <c r="K3338" s="14"/>
      <c r="L3338" s="16"/>
      <c r="M3338" s="27" t="n">
        <f aca="false">J3338+(K3338/20)+(L3338/240)</f>
        <v>6</v>
      </c>
      <c r="N3338" s="17" t="s">
        <v>64</v>
      </c>
      <c r="O3338" s="11"/>
      <c r="P3338" s="28"/>
      <c r="Q3338" s="28" t="n">
        <f aca="false">P3338*$M3338</f>
        <v>0</v>
      </c>
      <c r="R3338" s="28"/>
      <c r="S3338" s="28" t="n">
        <f aca="false">R3338*$M3338</f>
        <v>0</v>
      </c>
      <c r="T3338" s="28"/>
      <c r="U3338" s="28" t="n">
        <f aca="false">T3338*$M3338</f>
        <v>0</v>
      </c>
      <c r="V3338" s="28" t="n">
        <f aca="false">8263/100</f>
        <v>82.63</v>
      </c>
      <c r="W3338" s="28" t="n">
        <v>496</v>
      </c>
      <c r="X3338" s="28"/>
      <c r="Y3338" s="28" t="n">
        <f aca="false">X3338*$M3338</f>
        <v>0</v>
      </c>
      <c r="Z3338" s="28" t="n">
        <f aca="false">62695/100</f>
        <v>626.95</v>
      </c>
      <c r="AA3338" s="28" t="n">
        <v>3762</v>
      </c>
      <c r="AB3338" s="28"/>
      <c r="AC3338" s="28" t="n">
        <f aca="false">AB3338*$M3338</f>
        <v>0</v>
      </c>
      <c r="AD3338" s="28"/>
      <c r="AE3338" s="28" t="n">
        <f aca="false">AD3338*$M3338</f>
        <v>0</v>
      </c>
      <c r="AF3338" s="28"/>
      <c r="AG3338" s="28" t="n">
        <f aca="false">AF3338*$M3338</f>
        <v>0</v>
      </c>
      <c r="AH3338" s="28"/>
      <c r="AI3338" s="28" t="n">
        <f aca="false">AH3338*$M3338</f>
        <v>0</v>
      </c>
      <c r="AJ3338" s="28"/>
      <c r="AK3338" s="28" t="n">
        <f aca="false">AJ3338*$M3338</f>
        <v>0</v>
      </c>
      <c r="AL3338" s="28"/>
      <c r="AM3338" s="28" t="n">
        <f aca="false">AL3338*$M3338</f>
        <v>0</v>
      </c>
      <c r="AN3338" s="28"/>
      <c r="AO3338" s="28" t="n">
        <f aca="false">AN3338*$M3338</f>
        <v>0</v>
      </c>
      <c r="AP3338" s="28"/>
      <c r="AQ3338" s="28" t="n">
        <f aca="false">AP3338*$M3338</f>
        <v>0</v>
      </c>
      <c r="AR3338" s="28"/>
      <c r="AS3338" s="28" t="n">
        <f aca="false">AR3338*$M3338</f>
        <v>0</v>
      </c>
      <c r="AT3338" s="28"/>
      <c r="AU3338" s="28" t="n">
        <f aca="false">AT3338*$M3338</f>
        <v>0</v>
      </c>
      <c r="AV3338" s="28"/>
      <c r="AW3338" s="28" t="n">
        <f aca="false">AV3338*$M3338</f>
        <v>0</v>
      </c>
      <c r="AX3338" s="28"/>
      <c r="AY3338" s="28" t="n">
        <f aca="false">AX3338*$M3338</f>
        <v>0</v>
      </c>
      <c r="AZ3338" s="30" t="n">
        <f aca="false">70958/100</f>
        <v>709.58</v>
      </c>
      <c r="BA3338" s="11" t="n">
        <v>4258</v>
      </c>
      <c r="BB3338" s="31" t="n">
        <f aca="false">SUM(Q3338,S3338,U3338,W3338,Y3338,AA3338,AC3338,AE3338,AG3338,AI3338,AK3338,AM3338,AO3338,AQ3338,AS3338,AU3338,AW3338,AY3338)</f>
        <v>4258</v>
      </c>
      <c r="BC3338" s="28" t="n">
        <f aca="false">BA3338-BB3338</f>
        <v>0</v>
      </c>
      <c r="BD3338" s="32" t="n">
        <f aca="false">SUM(P3338,R3338,T3338,V3338,X3338,Z3338,AB3338,AD3338,AF3338,AH3338,AJ3338,AL3338,AN3338,AP3338,AR3338,AT3338,AV3338,AX3338)</f>
        <v>709.58</v>
      </c>
      <c r="BE3338" s="33" t="n">
        <f aca="false">AZ3338-BD3338</f>
        <v>0</v>
      </c>
      <c r="BF3338" s="34" t="n">
        <f aca="false">BD3338*M3338</f>
        <v>4257.48</v>
      </c>
      <c r="BG3338" s="35" t="n">
        <f aca="false">BA3338-BF3338</f>
        <v>0.519999999999527</v>
      </c>
      <c r="BH3338" s="19" t="str">
        <f aca="false">IF(BG3338=0,"",IF(BG3338&lt;&gt;BA3338,"erreur de calcul",IF(BD3338&lt;&gt;0,"pas de prix",IF(M3338&lt;&gt; 0,"pas de quantité","pas de prix, ni de quantité"))))</f>
        <v>erreur de calcul</v>
      </c>
      <c r="BI3338" s="19"/>
    </row>
    <row r="3339" customFormat="false" ht="15" hidden="false" customHeight="false" outlineLevel="0" collapsed="false">
      <c r="A3339" s="0" t="n">
        <v>14</v>
      </c>
      <c r="B3339" s="8" t="s">
        <v>24</v>
      </c>
      <c r="C3339" s="9" t="s">
        <v>25</v>
      </c>
      <c r="D3339" s="9" t="s">
        <v>26</v>
      </c>
      <c r="E3339" s="10" t="n">
        <v>1789</v>
      </c>
      <c r="F3339" s="9" t="s">
        <v>27</v>
      </c>
      <c r="G3339" s="9" t="s">
        <v>27</v>
      </c>
      <c r="H3339" s="11" t="n">
        <v>23</v>
      </c>
      <c r="I3339" s="11" t="s">
        <v>256</v>
      </c>
      <c r="J3339" s="14" t="n">
        <v>30</v>
      </c>
      <c r="K3339" s="14"/>
      <c r="L3339" s="16"/>
      <c r="M3339" s="27" t="n">
        <f aca="false">J3339+(K3339/20)+(L3339/240)</f>
        <v>30</v>
      </c>
      <c r="N3339" s="17" t="s">
        <v>64</v>
      </c>
      <c r="O3339" s="11"/>
      <c r="P3339" s="28" t="n">
        <f aca="false">1584/100</f>
        <v>15.84</v>
      </c>
      <c r="Q3339" s="28" t="n">
        <v>475</v>
      </c>
      <c r="R3339" s="28"/>
      <c r="S3339" s="28" t="n">
        <f aca="false">R3339*$M3339</f>
        <v>0</v>
      </c>
      <c r="T3339" s="28" t="n">
        <f aca="false">78834/100</f>
        <v>788.34</v>
      </c>
      <c r="U3339" s="28" t="n">
        <v>23650</v>
      </c>
      <c r="V3339" s="28"/>
      <c r="W3339" s="28" t="n">
        <f aca="false">V3339*$M3339</f>
        <v>0</v>
      </c>
      <c r="X3339" s="28"/>
      <c r="Y3339" s="28" t="n">
        <f aca="false">X3339*$M3339</f>
        <v>0</v>
      </c>
      <c r="Z3339" s="28"/>
      <c r="AA3339" s="28" t="n">
        <f aca="false">Z3339*$M3339</f>
        <v>0</v>
      </c>
      <c r="AB3339" s="28"/>
      <c r="AC3339" s="28" t="n">
        <f aca="false">AB3339*$M3339</f>
        <v>0</v>
      </c>
      <c r="AD3339" s="28"/>
      <c r="AE3339" s="28" t="n">
        <f aca="false">AD3339*$M3339</f>
        <v>0</v>
      </c>
      <c r="AF3339" s="28"/>
      <c r="AG3339" s="28" t="n">
        <f aca="false">AF3339*$M3339</f>
        <v>0</v>
      </c>
      <c r="AH3339" s="28"/>
      <c r="AI3339" s="28" t="n">
        <f aca="false">AH3339*$M3339</f>
        <v>0</v>
      </c>
      <c r="AJ3339" s="28"/>
      <c r="AK3339" s="28" t="n">
        <f aca="false">AJ3339*$M3339</f>
        <v>0</v>
      </c>
      <c r="AL3339" s="28"/>
      <c r="AM3339" s="28" t="n">
        <f aca="false">AL3339*$M3339</f>
        <v>0</v>
      </c>
      <c r="AN3339" s="28"/>
      <c r="AO3339" s="28" t="n">
        <f aca="false">AN3339*$M3339</f>
        <v>0</v>
      </c>
      <c r="AP3339" s="28"/>
      <c r="AQ3339" s="28" t="n">
        <f aca="false">AP3339*$M3339</f>
        <v>0</v>
      </c>
      <c r="AR3339" s="28"/>
      <c r="AS3339" s="28" t="n">
        <f aca="false">AR3339*$M3339</f>
        <v>0</v>
      </c>
      <c r="AT3339" s="28"/>
      <c r="AU3339" s="28" t="n">
        <f aca="false">AT3339*$M3339</f>
        <v>0</v>
      </c>
      <c r="AV3339" s="28"/>
      <c r="AW3339" s="28" t="n">
        <f aca="false">AV3339*$M3339</f>
        <v>0</v>
      </c>
      <c r="AX3339" s="28"/>
      <c r="AY3339" s="28" t="n">
        <f aca="false">AX3339*$M3339</f>
        <v>0</v>
      </c>
      <c r="AZ3339" s="30" t="n">
        <f aca="false">80418/100</f>
        <v>804.18</v>
      </c>
      <c r="BA3339" s="11" t="n">
        <v>24125</v>
      </c>
      <c r="BB3339" s="31" t="n">
        <f aca="false">SUM(Q3339,S3339,U3339,W3339,Y3339,AA3339,AC3339,AE3339,AG3339,AI3339,AK3339,AM3339,AO3339,AQ3339,AS3339,AU3339,AW3339,AY3339)</f>
        <v>24125</v>
      </c>
      <c r="BC3339" s="28" t="n">
        <f aca="false">BA3339-BB3339</f>
        <v>0</v>
      </c>
      <c r="BD3339" s="32" t="n">
        <f aca="false">SUM(P3339,R3339,T3339,V3339,X3339,Z3339,AB3339,AD3339,AF3339,AH3339,AJ3339,AL3339,AN3339,AP3339,AR3339,AT3339,AV3339,AX3339)</f>
        <v>804.18</v>
      </c>
      <c r="BE3339" s="33" t="n">
        <f aca="false">AZ3339-BD3339</f>
        <v>0</v>
      </c>
      <c r="BF3339" s="34" t="n">
        <f aca="false">BD3339*M3339</f>
        <v>24125.4</v>
      </c>
      <c r="BG3339" s="35" t="n">
        <f aca="false">BA3339-BF3339</f>
        <v>-0.400000000001455</v>
      </c>
      <c r="BH3339" s="19" t="str">
        <f aca="false">IF(BG3339=0,"",IF(BG3339&lt;&gt;BA3339,"erreur de calcul",IF(BD3339&lt;&gt;0,"pas de prix",IF(M3339&lt;&gt; 0,"pas de quantité","pas de prix, ni de quantité"))))</f>
        <v>erreur de calcul</v>
      </c>
      <c r="BI3339" s="19"/>
    </row>
    <row r="3340" customFormat="false" ht="15" hidden="false" customHeight="false" outlineLevel="0" collapsed="false">
      <c r="A3340" s="0" t="n">
        <v>15</v>
      </c>
      <c r="B3340" s="8" t="s">
        <v>24</v>
      </c>
      <c r="C3340" s="9" t="s">
        <v>25</v>
      </c>
      <c r="D3340" s="9" t="s">
        <v>26</v>
      </c>
      <c r="E3340" s="10" t="n">
        <v>1789</v>
      </c>
      <c r="F3340" s="9" t="s">
        <v>27</v>
      </c>
      <c r="G3340" s="9" t="s">
        <v>27</v>
      </c>
      <c r="H3340" s="11" t="n">
        <v>23</v>
      </c>
      <c r="I3340" s="11" t="s">
        <v>257</v>
      </c>
      <c r="J3340" s="14" t="n">
        <v>40</v>
      </c>
      <c r="K3340" s="14"/>
      <c r="L3340" s="16"/>
      <c r="M3340" s="27" t="n">
        <f aca="false">J3340+(K3340/20)+(L3340/240)</f>
        <v>40</v>
      </c>
      <c r="N3340" s="17" t="s">
        <v>64</v>
      </c>
      <c r="O3340" s="11"/>
      <c r="P3340" s="28"/>
      <c r="Q3340" s="28" t="n">
        <f aca="false">P3340*$M3340</f>
        <v>0</v>
      </c>
      <c r="R3340" s="28"/>
      <c r="S3340" s="28" t="n">
        <f aca="false">R3340*$M3340</f>
        <v>0</v>
      </c>
      <c r="T3340" s="28"/>
      <c r="U3340" s="28" t="n">
        <f aca="false">T3340*$M3340</f>
        <v>0</v>
      </c>
      <c r="V3340" s="28"/>
      <c r="W3340" s="28" t="n">
        <f aca="false">V3340*$M3340</f>
        <v>0</v>
      </c>
      <c r="X3340" s="28"/>
      <c r="Y3340" s="28" t="n">
        <f aca="false">X3340*$M3340</f>
        <v>0</v>
      </c>
      <c r="Z3340" s="28"/>
      <c r="AA3340" s="28" t="n">
        <f aca="false">Z3340*$M3340</f>
        <v>0</v>
      </c>
      <c r="AB3340" s="28"/>
      <c r="AC3340" s="28" t="n">
        <f aca="false">AB3340*$M3340</f>
        <v>0</v>
      </c>
      <c r="AD3340" s="28"/>
      <c r="AE3340" s="28" t="n">
        <f aca="false">AD3340*$M3340</f>
        <v>0</v>
      </c>
      <c r="AF3340" s="28"/>
      <c r="AG3340" s="28" t="n">
        <f aca="false">AF3340*$M3340</f>
        <v>0</v>
      </c>
      <c r="AH3340" s="28"/>
      <c r="AI3340" s="28" t="n">
        <f aca="false">AH3340*$M3340</f>
        <v>0</v>
      </c>
      <c r="AJ3340" s="28" t="n">
        <f aca="false">784564/100</f>
        <v>7845.64</v>
      </c>
      <c r="AK3340" s="28" t="n">
        <v>313826</v>
      </c>
      <c r="AL3340" s="28" t="n">
        <f aca="false">33500/100</f>
        <v>335</v>
      </c>
      <c r="AM3340" s="28" t="n">
        <v>13400</v>
      </c>
      <c r="AN3340" s="28"/>
      <c r="AO3340" s="28" t="n">
        <f aca="false">AN3340*$M3340</f>
        <v>0</v>
      </c>
      <c r="AP3340" s="28"/>
      <c r="AQ3340" s="28" t="n">
        <f aca="false">AP3340*$M3340</f>
        <v>0</v>
      </c>
      <c r="AR3340" s="28"/>
      <c r="AS3340" s="28" t="n">
        <f aca="false">AR3340*$M3340</f>
        <v>0</v>
      </c>
      <c r="AT3340" s="28"/>
      <c r="AU3340" s="28" t="n">
        <f aca="false">AT3340*$M3340</f>
        <v>0</v>
      </c>
      <c r="AV3340" s="28"/>
      <c r="AW3340" s="28" t="n">
        <f aca="false">AV3340*$M3340</f>
        <v>0</v>
      </c>
      <c r="AX3340" s="28"/>
      <c r="AY3340" s="28" t="n">
        <f aca="false">AX3340*$M3340</f>
        <v>0</v>
      </c>
      <c r="AZ3340" s="30" t="n">
        <f aca="false">818064/100</f>
        <v>8180.64</v>
      </c>
      <c r="BA3340" s="11" t="n">
        <v>327226</v>
      </c>
      <c r="BB3340" s="31" t="n">
        <f aca="false">SUM(Q3340,S3340,U3340,W3340,Y3340,AA3340,AC3340,AE3340,AG3340,AI3340,AK3340,AM3340,AO3340,AQ3340,AS3340,AU3340,AW3340,AY3340)</f>
        <v>327226</v>
      </c>
      <c r="BC3340" s="28" t="n">
        <f aca="false">BA3340-BB3340</f>
        <v>0</v>
      </c>
      <c r="BD3340" s="32" t="n">
        <f aca="false">SUM(P3340,R3340,T3340,V3340,X3340,Z3340,AB3340,AD3340,AF3340,AH3340,AJ3340,AL3340,AN3340,AP3340,AR3340,AT3340,AV3340,AX3340)</f>
        <v>8180.64</v>
      </c>
      <c r="BE3340" s="33" t="n">
        <f aca="false">AZ3340-BD3340</f>
        <v>0</v>
      </c>
      <c r="BF3340" s="34" t="n">
        <f aca="false">BD3340*M3340</f>
        <v>327225.6</v>
      </c>
      <c r="BG3340" s="35" t="n">
        <f aca="false">BA3340-BF3340</f>
        <v>0.399999999965075</v>
      </c>
      <c r="BH3340" s="19" t="str">
        <f aca="false">IF(BG3340=0,"",IF(BG3340&lt;&gt;BA3340,"erreur de calcul",IF(BD3340&lt;&gt;0,"pas de prix",IF(M3340&lt;&gt; 0,"pas de quantité","pas de prix, ni de quantité"))))</f>
        <v>erreur de calcul</v>
      </c>
      <c r="BI3340" s="19"/>
    </row>
    <row r="3341" customFormat="false" ht="15" hidden="false" customHeight="false" outlineLevel="0" collapsed="false">
      <c r="A3341" s="0" t="n">
        <v>16</v>
      </c>
      <c r="B3341" s="8" t="s">
        <v>24</v>
      </c>
      <c r="C3341" s="9" t="s">
        <v>25</v>
      </c>
      <c r="D3341" s="9" t="s">
        <v>26</v>
      </c>
      <c r="E3341" s="10" t="n">
        <v>1789</v>
      </c>
      <c r="F3341" s="9" t="s">
        <v>27</v>
      </c>
      <c r="G3341" s="9" t="s">
        <v>27</v>
      </c>
      <c r="H3341" s="11" t="n">
        <v>23</v>
      </c>
      <c r="I3341" s="11" t="s">
        <v>258</v>
      </c>
      <c r="J3341" s="14" t="n">
        <v>75</v>
      </c>
      <c r="K3341" s="14"/>
      <c r="L3341" s="16"/>
      <c r="M3341" s="27" t="n">
        <f aca="false">J3341+(K3341/20)+(L3341/240)</f>
        <v>75</v>
      </c>
      <c r="N3341" s="17" t="s">
        <v>64</v>
      </c>
      <c r="O3341" s="11"/>
      <c r="P3341" s="28"/>
      <c r="Q3341" s="28" t="n">
        <f aca="false">P3341*$M3341</f>
        <v>0</v>
      </c>
      <c r="R3341" s="28"/>
      <c r="S3341" s="28" t="n">
        <f aca="false">R3341*$M3341</f>
        <v>0</v>
      </c>
      <c r="T3341" s="28" t="n">
        <f aca="false">1000/100</f>
        <v>10</v>
      </c>
      <c r="U3341" s="28" t="n">
        <v>750</v>
      </c>
      <c r="V3341" s="28" t="n">
        <f aca="false">17232/100</f>
        <v>172.32</v>
      </c>
      <c r="W3341" s="28" t="n">
        <v>12924</v>
      </c>
      <c r="X3341" s="28" t="n">
        <f aca="false">942/100</f>
        <v>9.42</v>
      </c>
      <c r="Y3341" s="28" t="n">
        <v>706</v>
      </c>
      <c r="Z3341" s="28"/>
      <c r="AA3341" s="28" t="n">
        <f aca="false">Z3341*$M3341</f>
        <v>0</v>
      </c>
      <c r="AB3341" s="28" t="n">
        <f aca="false">415/100</f>
        <v>4.15</v>
      </c>
      <c r="AC3341" s="28" t="n">
        <v>311</v>
      </c>
      <c r="AD3341" s="28"/>
      <c r="AE3341" s="28" t="n">
        <f aca="false">AD3341*$M3341</f>
        <v>0</v>
      </c>
      <c r="AF3341" s="28"/>
      <c r="AG3341" s="28" t="n">
        <f aca="false">AF3341*$M3341</f>
        <v>0</v>
      </c>
      <c r="AH3341" s="28"/>
      <c r="AI3341" s="28" t="n">
        <f aca="false">AH3341*$M3341</f>
        <v>0</v>
      </c>
      <c r="AJ3341" s="28"/>
      <c r="AK3341" s="28" t="n">
        <f aca="false">AJ3341*$M3341</f>
        <v>0</v>
      </c>
      <c r="AL3341" s="28"/>
      <c r="AM3341" s="28" t="n">
        <f aca="false">AL3341*$M3341</f>
        <v>0</v>
      </c>
      <c r="AN3341" s="28"/>
      <c r="AO3341" s="28" t="n">
        <f aca="false">AN3341*$M3341</f>
        <v>0</v>
      </c>
      <c r="AP3341" s="28"/>
      <c r="AQ3341" s="28" t="n">
        <f aca="false">AP3341*$M3341</f>
        <v>0</v>
      </c>
      <c r="AR3341" s="28"/>
      <c r="AS3341" s="28" t="n">
        <f aca="false">AR3341*$M3341</f>
        <v>0</v>
      </c>
      <c r="AT3341" s="28"/>
      <c r="AU3341" s="28" t="n">
        <f aca="false">AT3341*$M3341</f>
        <v>0</v>
      </c>
      <c r="AV3341" s="28"/>
      <c r="AW3341" s="28" t="n">
        <f aca="false">AV3341*$M3341</f>
        <v>0</v>
      </c>
      <c r="AX3341" s="28"/>
      <c r="AY3341" s="28" t="n">
        <f aca="false">AX3341*$M3341</f>
        <v>0</v>
      </c>
      <c r="AZ3341" s="30" t="n">
        <f aca="false">19589/100</f>
        <v>195.89</v>
      </c>
      <c r="BA3341" s="11" t="n">
        <v>14691</v>
      </c>
      <c r="BB3341" s="31" t="n">
        <f aca="false">SUM(Q3341,S3341,U3341,W3341,Y3341,AA3341,AC3341,AE3341,AG3341,AI3341,AK3341,AM3341,AO3341,AQ3341,AS3341,AU3341,AW3341,AY3341)</f>
        <v>14691</v>
      </c>
      <c r="BC3341" s="28" t="n">
        <f aca="false">BA3341-BB3341</f>
        <v>0</v>
      </c>
      <c r="BD3341" s="32" t="n">
        <f aca="false">SUM(P3341,R3341,T3341,V3341,X3341,Z3341,AB3341,AD3341,AF3341,AH3341,AJ3341,AL3341,AN3341,AP3341,AR3341,AT3341,AV3341,AX3341)</f>
        <v>195.89</v>
      </c>
      <c r="BE3341" s="33" t="n">
        <f aca="false">AZ3341-BD3341</f>
        <v>0</v>
      </c>
      <c r="BF3341" s="34" t="n">
        <f aca="false">BD3341*M3341</f>
        <v>14691.75</v>
      </c>
      <c r="BG3341" s="35" t="n">
        <f aca="false">BA3341-BF3341</f>
        <v>-0.749999999998181</v>
      </c>
      <c r="BH3341" s="19" t="str">
        <f aca="false">IF(BG3341=0,"",IF(BG3341&lt;&gt;BA3341,"erreur de calcul",IF(BD3341&lt;&gt;0,"pas de prix",IF(M3341&lt;&gt; 0,"pas de quantité","pas de prix, ni de quantité"))))</f>
        <v>erreur de calcul</v>
      </c>
      <c r="BI3341" s="19"/>
    </row>
    <row r="3342" customFormat="false" ht="15" hidden="false" customHeight="false" outlineLevel="0" collapsed="false">
      <c r="A3342" s="0" t="n">
        <v>17</v>
      </c>
      <c r="B3342" s="8" t="s">
        <v>24</v>
      </c>
      <c r="C3342" s="9" t="s">
        <v>25</v>
      </c>
      <c r="D3342" s="9" t="s">
        <v>26</v>
      </c>
      <c r="E3342" s="10" t="n">
        <v>1789</v>
      </c>
      <c r="F3342" s="9" t="s">
        <v>27</v>
      </c>
      <c r="G3342" s="9" t="s">
        <v>27</v>
      </c>
      <c r="H3342" s="11" t="n">
        <v>23</v>
      </c>
      <c r="I3342" s="11" t="s">
        <v>259</v>
      </c>
      <c r="J3342" s="14"/>
      <c r="K3342" s="14"/>
      <c r="L3342" s="16"/>
      <c r="M3342" s="27" t="n">
        <f aca="false">J3342+(K3342/20)+(L3342/240)</f>
        <v>0</v>
      </c>
      <c r="N3342" s="17"/>
      <c r="O3342" s="11"/>
      <c r="P3342" s="28"/>
      <c r="Q3342" s="28" t="n">
        <v>957</v>
      </c>
      <c r="R3342" s="28"/>
      <c r="S3342" s="28" t="n">
        <f aca="false">R3342*$M3342</f>
        <v>0</v>
      </c>
      <c r="T3342" s="28"/>
      <c r="U3342" s="28" t="n">
        <v>354</v>
      </c>
      <c r="V3342" s="28"/>
      <c r="W3342" s="28" t="n">
        <v>398</v>
      </c>
      <c r="X3342" s="28"/>
      <c r="Y3342" s="28" t="n">
        <v>685</v>
      </c>
      <c r="Z3342" s="28"/>
      <c r="AA3342" s="28" t="n">
        <v>120</v>
      </c>
      <c r="AB3342" s="28"/>
      <c r="AC3342" s="28" t="n">
        <v>2994</v>
      </c>
      <c r="AD3342" s="28"/>
      <c r="AE3342" s="28" t="n">
        <f aca="false">AD3342*$M3342</f>
        <v>0</v>
      </c>
      <c r="AF3342" s="28"/>
      <c r="AG3342" s="28" t="n">
        <f aca="false">AF3342*$M3342</f>
        <v>0</v>
      </c>
      <c r="AH3342" s="28"/>
      <c r="AI3342" s="28" t="n">
        <v>144</v>
      </c>
      <c r="AJ3342" s="28"/>
      <c r="AK3342" s="28" t="n">
        <f aca="false">AJ3342*$M3342</f>
        <v>0</v>
      </c>
      <c r="AL3342" s="28"/>
      <c r="AM3342" s="28" t="n">
        <f aca="false">AL3342*$M3342</f>
        <v>0</v>
      </c>
      <c r="AN3342" s="28"/>
      <c r="AO3342" s="28" t="n">
        <f aca="false">AN3342*$M3342</f>
        <v>0</v>
      </c>
      <c r="AP3342" s="28"/>
      <c r="AQ3342" s="28" t="n">
        <f aca="false">AP3342*$M3342</f>
        <v>0</v>
      </c>
      <c r="AR3342" s="28"/>
      <c r="AS3342" s="28" t="n">
        <f aca="false">AR3342*$M3342</f>
        <v>0</v>
      </c>
      <c r="AT3342" s="28"/>
      <c r="AU3342" s="28" t="n">
        <f aca="false">AT3342*$M3342</f>
        <v>0</v>
      </c>
      <c r="AV3342" s="28"/>
      <c r="AW3342" s="28" t="n">
        <f aca="false">AV3342*$M3342</f>
        <v>0</v>
      </c>
      <c r="AX3342" s="28"/>
      <c r="AY3342" s="28" t="n">
        <f aca="false">AX3342*$M3342</f>
        <v>0</v>
      </c>
      <c r="AZ3342" s="30"/>
      <c r="BA3342" s="11" t="n">
        <v>5652</v>
      </c>
      <c r="BB3342" s="31" t="n">
        <f aca="false">SUM(Q3342,S3342,U3342,W3342,Y3342,AA3342,AC3342,AE3342,AG3342,AI3342,AK3342,AM3342,AO3342,AQ3342,AS3342,AU3342,AW3342,AY3342)</f>
        <v>5652</v>
      </c>
      <c r="BC3342" s="28" t="n">
        <f aca="false">BA3342-BB3342</f>
        <v>0</v>
      </c>
      <c r="BD3342" s="32" t="n">
        <f aca="false">SUM(P3342,R3342,T3342,V3342,X3342,Z3342,AB3342,AD3342,AF3342,AH3342,AJ3342,AL3342,AN3342,AP3342,AR3342,AT3342,AV3342,AX3342)</f>
        <v>0</v>
      </c>
      <c r="BE3342" s="33" t="n">
        <f aca="false">AZ3342-BD3342</f>
        <v>0</v>
      </c>
      <c r="BF3342" s="34" t="n">
        <f aca="false">BD3342*M3342</f>
        <v>0</v>
      </c>
      <c r="BG3342" s="35" t="n">
        <f aca="false">BA3342-BF3342</f>
        <v>5652</v>
      </c>
      <c r="BH3342" s="19" t="str">
        <f aca="false">IF(BG3342=0,"",IF(BG3342&lt;&gt;BA3342,"erreur de calcul",IF(BD3342&lt;&gt;0,"pas de prix",IF(M3342&lt;&gt; 0,"pas de quantité","pas de prix, ni de quantité"))))</f>
        <v>pas de prix, ni de quantité</v>
      </c>
      <c r="BI3342" s="19"/>
    </row>
    <row r="3343" customFormat="false" ht="15" hidden="false" customHeight="false" outlineLevel="0" collapsed="false">
      <c r="A3343" s="0" t="n">
        <v>18</v>
      </c>
      <c r="B3343" s="8" t="s">
        <v>24</v>
      </c>
      <c r="C3343" s="9" t="s">
        <v>25</v>
      </c>
      <c r="D3343" s="9" t="s">
        <v>26</v>
      </c>
      <c r="E3343" s="10" t="n">
        <v>1789</v>
      </c>
      <c r="F3343" s="9" t="s">
        <v>27</v>
      </c>
      <c r="G3343" s="9" t="s">
        <v>27</v>
      </c>
      <c r="H3343" s="11" t="n">
        <v>23</v>
      </c>
      <c r="I3343" s="11" t="s">
        <v>260</v>
      </c>
      <c r="J3343" s="14" t="n">
        <v>88</v>
      </c>
      <c r="K3343" s="14"/>
      <c r="L3343" s="16"/>
      <c r="M3343" s="27" t="n">
        <f aca="false">J3343+(K3343/20)+(L3343/240)</f>
        <v>88</v>
      </c>
      <c r="N3343" s="17" t="s">
        <v>64</v>
      </c>
      <c r="O3343" s="11"/>
      <c r="P3343" s="28"/>
      <c r="Q3343" s="28" t="n">
        <f aca="false">P3343*$M3343</f>
        <v>0</v>
      </c>
      <c r="R3343" s="28"/>
      <c r="S3343" s="28" t="n">
        <f aca="false">R3343*$M3343</f>
        <v>0</v>
      </c>
      <c r="T3343" s="28"/>
      <c r="U3343" s="28" t="n">
        <f aca="false">T3343*$M3343</f>
        <v>0</v>
      </c>
      <c r="V3343" s="28" t="n">
        <f aca="false">21004/100</f>
        <v>210.04</v>
      </c>
      <c r="W3343" s="28" t="n">
        <v>18483</v>
      </c>
      <c r="X3343" s="28"/>
      <c r="Y3343" s="28" t="n">
        <f aca="false">X3343*$M3343</f>
        <v>0</v>
      </c>
      <c r="Z3343" s="28"/>
      <c r="AA3343" s="28" t="n">
        <f aca="false">Z3343*$M3343</f>
        <v>0</v>
      </c>
      <c r="AB3343" s="28"/>
      <c r="AC3343" s="28" t="n">
        <f aca="false">AB3343*$M3343</f>
        <v>0</v>
      </c>
      <c r="AD3343" s="28"/>
      <c r="AE3343" s="28" t="n">
        <f aca="false">AD3343*$M3343</f>
        <v>0</v>
      </c>
      <c r="AF3343" s="28"/>
      <c r="AG3343" s="28" t="n">
        <f aca="false">AF3343*$M3343</f>
        <v>0</v>
      </c>
      <c r="AH3343" s="28"/>
      <c r="AI3343" s="28" t="n">
        <f aca="false">AH3343*$M3343</f>
        <v>0</v>
      </c>
      <c r="AJ3343" s="28"/>
      <c r="AK3343" s="28" t="n">
        <f aca="false">AJ3343*$M3343</f>
        <v>0</v>
      </c>
      <c r="AL3343" s="28"/>
      <c r="AM3343" s="28" t="n">
        <f aca="false">AL3343*$M3343</f>
        <v>0</v>
      </c>
      <c r="AN3343" s="28"/>
      <c r="AO3343" s="28" t="n">
        <f aca="false">AN3343*$M3343</f>
        <v>0</v>
      </c>
      <c r="AP3343" s="28"/>
      <c r="AQ3343" s="28" t="n">
        <f aca="false">AP3343*$M3343</f>
        <v>0</v>
      </c>
      <c r="AR3343" s="28"/>
      <c r="AS3343" s="28" t="n">
        <f aca="false">AR3343*$M3343</f>
        <v>0</v>
      </c>
      <c r="AT3343" s="28"/>
      <c r="AU3343" s="28" t="n">
        <f aca="false">AT3343*$M3343</f>
        <v>0</v>
      </c>
      <c r="AV3343" s="28"/>
      <c r="AW3343" s="28" t="n">
        <f aca="false">AV3343*$M3343</f>
        <v>0</v>
      </c>
      <c r="AX3343" s="28"/>
      <c r="AY3343" s="28" t="n">
        <f aca="false">AX3343*$M3343</f>
        <v>0</v>
      </c>
      <c r="AZ3343" s="30" t="n">
        <f aca="false">21004/100</f>
        <v>210.04</v>
      </c>
      <c r="BA3343" s="11" t="n">
        <v>18483</v>
      </c>
      <c r="BB3343" s="31" t="n">
        <f aca="false">SUM(Q3343,S3343,U3343,W3343,Y3343,AA3343,AC3343,AE3343,AG3343,AI3343,AK3343,AM3343,AO3343,AQ3343,AS3343,AU3343,AW3343,AY3343)</f>
        <v>18483</v>
      </c>
      <c r="BC3343" s="28" t="n">
        <f aca="false">BA3343-BB3343</f>
        <v>0</v>
      </c>
      <c r="BD3343" s="32" t="n">
        <f aca="false">SUM(P3343,R3343,T3343,V3343,X3343,Z3343,AB3343,AD3343,AF3343,AH3343,AJ3343,AL3343,AN3343,AP3343,AR3343,AT3343,AV3343,AX3343)</f>
        <v>210.04</v>
      </c>
      <c r="BE3343" s="33" t="n">
        <f aca="false">AZ3343-BD3343</f>
        <v>0</v>
      </c>
      <c r="BF3343" s="34" t="n">
        <f aca="false">BD3343*M3343</f>
        <v>18483.52</v>
      </c>
      <c r="BG3343" s="35" t="n">
        <f aca="false">BA3343-BF3343</f>
        <v>-0.520000000000437</v>
      </c>
      <c r="BH3343" s="19" t="str">
        <f aca="false">IF(BG3343=0,"",IF(BG3343&lt;&gt;BA3343,"erreur de calcul",IF(BD3343&lt;&gt;0,"pas de prix",IF(M3343&lt;&gt; 0,"pas de quantité","pas de prix, ni de quantité"))))</f>
        <v>erreur de calcul</v>
      </c>
      <c r="BI3343" s="19"/>
    </row>
    <row r="3344" customFormat="false" ht="15" hidden="false" customHeight="false" outlineLevel="0" collapsed="false">
      <c r="A3344" s="0" t="n">
        <v>19</v>
      </c>
      <c r="B3344" s="8" t="s">
        <v>24</v>
      </c>
      <c r="C3344" s="9" t="s">
        <v>25</v>
      </c>
      <c r="D3344" s="9" t="s">
        <v>26</v>
      </c>
      <c r="E3344" s="10" t="n">
        <v>1789</v>
      </c>
      <c r="F3344" s="9" t="s">
        <v>27</v>
      </c>
      <c r="G3344" s="9" t="s">
        <v>27</v>
      </c>
      <c r="H3344" s="11" t="n">
        <v>23</v>
      </c>
      <c r="I3344" s="11" t="s">
        <v>261</v>
      </c>
      <c r="J3344" s="14" t="n">
        <v>35</v>
      </c>
      <c r="K3344" s="14"/>
      <c r="L3344" s="16"/>
      <c r="M3344" s="27" t="n">
        <f aca="false">J3344+(K3344/20)+(L3344/240)</f>
        <v>35</v>
      </c>
      <c r="N3344" s="17" t="s">
        <v>64</v>
      </c>
      <c r="O3344" s="11"/>
      <c r="P3344" s="28" t="n">
        <f aca="false">2877/100</f>
        <v>28.77</v>
      </c>
      <c r="Q3344" s="28" t="n">
        <v>1007</v>
      </c>
      <c r="R3344" s="28"/>
      <c r="S3344" s="28" t="n">
        <f aca="false">R3344*$M3344</f>
        <v>0</v>
      </c>
      <c r="T3344" s="28"/>
      <c r="U3344" s="28" t="n">
        <f aca="false">T3344*$M3344</f>
        <v>0</v>
      </c>
      <c r="V3344" s="28"/>
      <c r="W3344" s="28" t="n">
        <f aca="false">V3344*$M3344</f>
        <v>0</v>
      </c>
      <c r="X3344" s="28"/>
      <c r="Y3344" s="28" t="n">
        <f aca="false">X3344*$M3344</f>
        <v>0</v>
      </c>
      <c r="Z3344" s="28"/>
      <c r="AA3344" s="28" t="n">
        <f aca="false">Z3344*$M3344</f>
        <v>0</v>
      </c>
      <c r="AB3344" s="28"/>
      <c r="AC3344" s="28" t="n">
        <f aca="false">AB3344*$M3344</f>
        <v>0</v>
      </c>
      <c r="AD3344" s="28"/>
      <c r="AE3344" s="28" t="n">
        <f aca="false">AD3344*$M3344</f>
        <v>0</v>
      </c>
      <c r="AF3344" s="28"/>
      <c r="AG3344" s="28" t="n">
        <f aca="false">AF3344*$M3344</f>
        <v>0</v>
      </c>
      <c r="AH3344" s="28"/>
      <c r="AI3344" s="28" t="n">
        <f aca="false">AH3344*$M3344</f>
        <v>0</v>
      </c>
      <c r="AJ3344" s="28"/>
      <c r="AK3344" s="28" t="n">
        <f aca="false">AJ3344*$M3344</f>
        <v>0</v>
      </c>
      <c r="AL3344" s="28"/>
      <c r="AM3344" s="28" t="n">
        <f aca="false">AL3344*$M3344</f>
        <v>0</v>
      </c>
      <c r="AN3344" s="28"/>
      <c r="AO3344" s="28" t="n">
        <f aca="false">AN3344*$M3344</f>
        <v>0</v>
      </c>
      <c r="AP3344" s="28"/>
      <c r="AQ3344" s="28" t="n">
        <f aca="false">AP3344*$M3344</f>
        <v>0</v>
      </c>
      <c r="AR3344" s="28"/>
      <c r="AS3344" s="28" t="n">
        <f aca="false">AR3344*$M3344</f>
        <v>0</v>
      </c>
      <c r="AT3344" s="28"/>
      <c r="AU3344" s="28" t="n">
        <f aca="false">AT3344*$M3344</f>
        <v>0</v>
      </c>
      <c r="AV3344" s="28"/>
      <c r="AW3344" s="28" t="n">
        <f aca="false">AV3344*$M3344</f>
        <v>0</v>
      </c>
      <c r="AX3344" s="28"/>
      <c r="AY3344" s="28" t="n">
        <f aca="false">AX3344*$M3344</f>
        <v>0</v>
      </c>
      <c r="AZ3344" s="30" t="n">
        <f aca="false">2877/100</f>
        <v>28.77</v>
      </c>
      <c r="BA3344" s="11" t="n">
        <v>1007</v>
      </c>
      <c r="BB3344" s="31" t="n">
        <f aca="false">SUM(Q3344,S3344,U3344,W3344,Y3344,AA3344,AC3344,AE3344,AG3344,AI3344,AK3344,AM3344,AO3344,AQ3344,AS3344,AU3344,AW3344,AY3344)</f>
        <v>1007</v>
      </c>
      <c r="BC3344" s="28" t="n">
        <f aca="false">BA3344-BB3344</f>
        <v>0</v>
      </c>
      <c r="BD3344" s="32" t="n">
        <f aca="false">SUM(P3344,R3344,T3344,V3344,X3344,Z3344,AB3344,AD3344,AF3344,AH3344,AJ3344,AL3344,AN3344,AP3344,AR3344,AT3344,AV3344,AX3344)</f>
        <v>28.77</v>
      </c>
      <c r="BE3344" s="33" t="n">
        <f aca="false">AZ3344-BD3344</f>
        <v>0</v>
      </c>
      <c r="BF3344" s="34" t="n">
        <f aca="false">BD3344*M3344</f>
        <v>1006.95</v>
      </c>
      <c r="BG3344" s="35" t="n">
        <f aca="false">BA3344-BF3344</f>
        <v>0.0500000000000682</v>
      </c>
      <c r="BH3344" s="19" t="str">
        <f aca="false">IF(BG3344=0,"",IF(BG3344&lt;&gt;BA3344,"erreur de calcul",IF(BD3344&lt;&gt;0,"pas de prix",IF(M3344&lt;&gt; 0,"pas de quantité","pas de prix, ni de quantité"))))</f>
        <v>erreur de calcul</v>
      </c>
      <c r="BI3344" s="19"/>
    </row>
    <row r="3345" customFormat="false" ht="15" hidden="false" customHeight="false" outlineLevel="0" collapsed="false">
      <c r="A3345" s="0" t="n">
        <v>20</v>
      </c>
      <c r="B3345" s="8" t="s">
        <v>24</v>
      </c>
      <c r="C3345" s="9" t="s">
        <v>25</v>
      </c>
      <c r="D3345" s="9" t="s">
        <v>26</v>
      </c>
      <c r="E3345" s="10" t="n">
        <v>1789</v>
      </c>
      <c r="F3345" s="9" t="s">
        <v>27</v>
      </c>
      <c r="G3345" s="9" t="s">
        <v>27</v>
      </c>
      <c r="H3345" s="11" t="n">
        <v>23</v>
      </c>
      <c r="I3345" s="11" t="s">
        <v>262</v>
      </c>
      <c r="J3345" s="14" t="n">
        <v>40</v>
      </c>
      <c r="K3345" s="14"/>
      <c r="L3345" s="16"/>
      <c r="M3345" s="27" t="n">
        <f aca="false">J3345+(K3345/20)+(L3345/240)</f>
        <v>40</v>
      </c>
      <c r="N3345" s="17" t="s">
        <v>64</v>
      </c>
      <c r="O3345" s="11"/>
      <c r="P3345" s="28"/>
      <c r="Q3345" s="28" t="n">
        <f aca="false">P3345*$M3345</f>
        <v>0</v>
      </c>
      <c r="R3345" s="28"/>
      <c r="S3345" s="28" t="n">
        <f aca="false">R3345*$M3345</f>
        <v>0</v>
      </c>
      <c r="T3345" s="28"/>
      <c r="U3345" s="28" t="n">
        <f aca="false">T3345*$M3345</f>
        <v>0</v>
      </c>
      <c r="V3345" s="28"/>
      <c r="W3345" s="28" t="n">
        <f aca="false">V3345*$M3345</f>
        <v>0</v>
      </c>
      <c r="X3345" s="28"/>
      <c r="Y3345" s="28" t="n">
        <f aca="false">X3345*$M3345</f>
        <v>0</v>
      </c>
      <c r="Z3345" s="28"/>
      <c r="AA3345" s="28" t="n">
        <f aca="false">Z3345*$M3345</f>
        <v>0</v>
      </c>
      <c r="AB3345" s="28"/>
      <c r="AC3345" s="28" t="n">
        <f aca="false">AB3345*$M3345</f>
        <v>0</v>
      </c>
      <c r="AD3345" s="28"/>
      <c r="AE3345" s="28" t="n">
        <f aca="false">AD3345*$M3345</f>
        <v>0</v>
      </c>
      <c r="AF3345" s="28" t="n">
        <f aca="false">108620/100</f>
        <v>1086.2</v>
      </c>
      <c r="AG3345" s="28" t="n">
        <v>43448</v>
      </c>
      <c r="AH3345" s="28"/>
      <c r="AI3345" s="28" t="n">
        <f aca="false">AH3345*$M3345</f>
        <v>0</v>
      </c>
      <c r="AJ3345" s="28"/>
      <c r="AK3345" s="28" t="n">
        <f aca="false">AJ3345*$M3345</f>
        <v>0</v>
      </c>
      <c r="AL3345" s="28"/>
      <c r="AM3345" s="28" t="n">
        <f aca="false">AL3345*$M3345</f>
        <v>0</v>
      </c>
      <c r="AN3345" s="28"/>
      <c r="AO3345" s="28" t="n">
        <f aca="false">AN3345*$M3345</f>
        <v>0</v>
      </c>
      <c r="AP3345" s="28"/>
      <c r="AQ3345" s="28" t="n">
        <f aca="false">AP3345*$M3345</f>
        <v>0</v>
      </c>
      <c r="AR3345" s="28"/>
      <c r="AS3345" s="28" t="n">
        <f aca="false">AR3345*$M3345</f>
        <v>0</v>
      </c>
      <c r="AT3345" s="28"/>
      <c r="AU3345" s="28" t="n">
        <f aca="false">AT3345*$M3345</f>
        <v>0</v>
      </c>
      <c r="AV3345" s="28"/>
      <c r="AW3345" s="28" t="n">
        <f aca="false">AV3345*$M3345</f>
        <v>0</v>
      </c>
      <c r="AX3345" s="28"/>
      <c r="AY3345" s="28" t="n">
        <f aca="false">AX3345*$M3345</f>
        <v>0</v>
      </c>
      <c r="AZ3345" s="30" t="n">
        <f aca="false">108620/100</f>
        <v>1086.2</v>
      </c>
      <c r="BA3345" s="11" t="n">
        <v>43448</v>
      </c>
      <c r="BB3345" s="31" t="n">
        <f aca="false">SUM(Q3345,S3345,U3345,W3345,Y3345,AA3345,AC3345,AE3345,AG3345,AI3345,AK3345,AM3345,AO3345,AQ3345,AS3345,AU3345,AW3345,AY3345)</f>
        <v>43448</v>
      </c>
      <c r="BC3345" s="28" t="n">
        <f aca="false">BA3345-BB3345</f>
        <v>0</v>
      </c>
      <c r="BD3345" s="32" t="n">
        <f aca="false">SUM(P3345,R3345,T3345,V3345,X3345,Z3345,AB3345,AD3345,AF3345,AH3345,AJ3345,AL3345,AN3345,AP3345,AR3345,AT3345,AV3345,AX3345)</f>
        <v>1086.2</v>
      </c>
      <c r="BE3345" s="33" t="n">
        <f aca="false">AZ3345-BD3345</f>
        <v>0</v>
      </c>
      <c r="BF3345" s="34" t="n">
        <f aca="false">BD3345*M3345</f>
        <v>43448</v>
      </c>
      <c r="BG3345" s="35" t="n">
        <f aca="false">BA3345-BF3345</f>
        <v>0</v>
      </c>
      <c r="BH3345" s="19" t="str">
        <f aca="false">IF(BG3345=0,"",IF(BG3345&lt;&gt;BA3345,"erreur de calcul",IF(BD3345&lt;&gt;0,"pas de prix",IF(M3345&lt;&gt; 0,"pas de quantité","pas de prix, ni de quantité"))))</f>
        <v/>
      </c>
      <c r="BI3345" s="19"/>
    </row>
    <row r="3346" customFormat="false" ht="15" hidden="false" customHeight="false" outlineLevel="0" collapsed="false">
      <c r="A3346" s="0" t="n">
        <v>21</v>
      </c>
      <c r="B3346" s="8" t="s">
        <v>24</v>
      </c>
      <c r="C3346" s="9" t="s">
        <v>25</v>
      </c>
      <c r="D3346" s="9" t="s">
        <v>26</v>
      </c>
      <c r="E3346" s="10" t="n">
        <v>1789</v>
      </c>
      <c r="F3346" s="9" t="s">
        <v>27</v>
      </c>
      <c r="G3346" s="9" t="s">
        <v>27</v>
      </c>
      <c r="H3346" s="11" t="n">
        <v>23</v>
      </c>
      <c r="I3346" s="11" t="s">
        <v>263</v>
      </c>
      <c r="J3346" s="14" t="n">
        <v>12</v>
      </c>
      <c r="K3346" s="14"/>
      <c r="L3346" s="16"/>
      <c r="M3346" s="27" t="n">
        <f aca="false">J3346+(K3346/20)+(L3346/240)</f>
        <v>12</v>
      </c>
      <c r="N3346" s="17" t="s">
        <v>64</v>
      </c>
      <c r="O3346" s="11"/>
      <c r="P3346" s="28"/>
      <c r="Q3346" s="28" t="n">
        <f aca="false">P3346*$M3346</f>
        <v>0</v>
      </c>
      <c r="R3346" s="28"/>
      <c r="S3346" s="28" t="n">
        <f aca="false">R3346*$M3346</f>
        <v>0</v>
      </c>
      <c r="T3346" s="28"/>
      <c r="U3346" s="28" t="n">
        <f aca="false">T3346*$M3346</f>
        <v>0</v>
      </c>
      <c r="V3346" s="28"/>
      <c r="W3346" s="28" t="n">
        <f aca="false">V3346*$M3346</f>
        <v>0</v>
      </c>
      <c r="X3346" s="28"/>
      <c r="Y3346" s="28" t="n">
        <f aca="false">X3346*$M3346</f>
        <v>0</v>
      </c>
      <c r="Z3346" s="28"/>
      <c r="AA3346" s="28" t="n">
        <f aca="false">Z3346*$M3346</f>
        <v>0</v>
      </c>
      <c r="AB3346" s="28" t="n">
        <f aca="false">485726/100</f>
        <v>4857.26</v>
      </c>
      <c r="AC3346" s="28" t="n">
        <v>58287</v>
      </c>
      <c r="AD3346" s="28"/>
      <c r="AE3346" s="28" t="n">
        <f aca="false">AD3346*$M3346</f>
        <v>0</v>
      </c>
      <c r="AF3346" s="28"/>
      <c r="AG3346" s="28" t="n">
        <f aca="false">AF3346*$M3346</f>
        <v>0</v>
      </c>
      <c r="AH3346" s="28" t="n">
        <f aca="false">259291/100</f>
        <v>2592.91</v>
      </c>
      <c r="AI3346" s="28" t="n">
        <v>31115</v>
      </c>
      <c r="AJ3346" s="28"/>
      <c r="AK3346" s="28" t="n">
        <f aca="false">AJ3346*$M3346</f>
        <v>0</v>
      </c>
      <c r="AL3346" s="28"/>
      <c r="AM3346" s="28" t="n">
        <f aca="false">AL3346*$M3346</f>
        <v>0</v>
      </c>
      <c r="AN3346" s="28"/>
      <c r="AO3346" s="28" t="n">
        <f aca="false">AN3346*$M3346</f>
        <v>0</v>
      </c>
      <c r="AP3346" s="28"/>
      <c r="AQ3346" s="28" t="n">
        <f aca="false">AP3346*$M3346</f>
        <v>0</v>
      </c>
      <c r="AR3346" s="28"/>
      <c r="AS3346" s="28" t="n">
        <f aca="false">AR3346*$M3346</f>
        <v>0</v>
      </c>
      <c r="AT3346" s="28"/>
      <c r="AU3346" s="28" t="n">
        <f aca="false">AT3346*$M3346</f>
        <v>0</v>
      </c>
      <c r="AV3346" s="28"/>
      <c r="AW3346" s="28" t="n">
        <f aca="false">AV3346*$M3346</f>
        <v>0</v>
      </c>
      <c r="AX3346" s="28"/>
      <c r="AY3346" s="28" t="n">
        <f aca="false">AX3346*$M3346</f>
        <v>0</v>
      </c>
      <c r="AZ3346" s="30" t="n">
        <f aca="false">745017/100</f>
        <v>7450.17</v>
      </c>
      <c r="BA3346" s="11" t="n">
        <v>89402</v>
      </c>
      <c r="BB3346" s="31" t="n">
        <f aca="false">SUM(Q3346,S3346,U3346,W3346,Y3346,AA3346,AC3346,AE3346,AG3346,AI3346,AK3346,AM3346,AO3346,AQ3346,AS3346,AU3346,AW3346,AY3346)</f>
        <v>89402</v>
      </c>
      <c r="BC3346" s="28" t="n">
        <f aca="false">BA3346-BB3346</f>
        <v>0</v>
      </c>
      <c r="BD3346" s="32" t="n">
        <f aca="false">SUM(P3346,R3346,T3346,V3346,X3346,Z3346,AB3346,AD3346,AF3346,AH3346,AJ3346,AL3346,AN3346,AP3346,AR3346,AT3346,AV3346,AX3346)</f>
        <v>7450.17</v>
      </c>
      <c r="BE3346" s="33" t="n">
        <f aca="false">AZ3346-BD3346</f>
        <v>0</v>
      </c>
      <c r="BF3346" s="34" t="n">
        <f aca="false">BD3346*M3346</f>
        <v>89402.04</v>
      </c>
      <c r="BG3346" s="35" t="n">
        <f aca="false">BA3346-BF3346</f>
        <v>-0.0400000000081491</v>
      </c>
      <c r="BH3346" s="19" t="str">
        <f aca="false">IF(BG3346=0,"",IF(BG3346&lt;&gt;BA3346,"erreur de calcul",IF(BD3346&lt;&gt;0,"pas de prix",IF(M3346&lt;&gt; 0,"pas de quantité","pas de prix, ni de quantité"))))</f>
        <v>erreur de calcul</v>
      </c>
      <c r="BI3346" s="19"/>
    </row>
    <row r="3347" customFormat="false" ht="15" hidden="false" customHeight="false" outlineLevel="0" collapsed="false">
      <c r="A3347" s="0" t="n">
        <v>22</v>
      </c>
      <c r="B3347" s="8" t="s">
        <v>24</v>
      </c>
      <c r="C3347" s="9" t="s">
        <v>25</v>
      </c>
      <c r="D3347" s="9" t="s">
        <v>26</v>
      </c>
      <c r="E3347" s="10" t="n">
        <v>1789</v>
      </c>
      <c r="F3347" s="9" t="s">
        <v>27</v>
      </c>
      <c r="G3347" s="9" t="s">
        <v>27</v>
      </c>
      <c r="H3347" s="11" t="n">
        <v>23</v>
      </c>
      <c r="I3347" s="11" t="s">
        <v>264</v>
      </c>
      <c r="J3347" s="14" t="n">
        <v>15</v>
      </c>
      <c r="K3347" s="14"/>
      <c r="L3347" s="16"/>
      <c r="M3347" s="27" t="n">
        <f aca="false">J3347+(K3347/20)+(L3347/240)</f>
        <v>15</v>
      </c>
      <c r="N3347" s="17" t="s">
        <v>64</v>
      </c>
      <c r="O3347" s="11"/>
      <c r="P3347" s="28"/>
      <c r="Q3347" s="28" t="n">
        <f aca="false">P3347*$M3347</f>
        <v>0</v>
      </c>
      <c r="R3347" s="28"/>
      <c r="S3347" s="28" t="n">
        <f aca="false">R3347*$M3347</f>
        <v>0</v>
      </c>
      <c r="T3347" s="28"/>
      <c r="U3347" s="28" t="n">
        <f aca="false">T3347*$M3347</f>
        <v>0</v>
      </c>
      <c r="V3347" s="28"/>
      <c r="W3347" s="28" t="n">
        <f aca="false">V3347*$M3347</f>
        <v>0</v>
      </c>
      <c r="X3347" s="28" t="n">
        <f aca="false">65502/100</f>
        <v>655.02</v>
      </c>
      <c r="Y3347" s="28" t="n">
        <v>9825</v>
      </c>
      <c r="Z3347" s="28"/>
      <c r="AA3347" s="28" t="n">
        <f aca="false">Z3347*$M3347</f>
        <v>0</v>
      </c>
      <c r="AB3347" s="28" t="n">
        <f aca="false">207046/100</f>
        <v>2070.46</v>
      </c>
      <c r="AC3347" s="28" t="n">
        <v>31057</v>
      </c>
      <c r="AD3347" s="28"/>
      <c r="AE3347" s="28" t="n">
        <f aca="false">AD3347*$M3347</f>
        <v>0</v>
      </c>
      <c r="AF3347" s="28"/>
      <c r="AG3347" s="28" t="n">
        <f aca="false">AF3347*$M3347</f>
        <v>0</v>
      </c>
      <c r="AH3347" s="28" t="n">
        <f aca="false">11048/100</f>
        <v>110.48</v>
      </c>
      <c r="AI3347" s="28" t="n">
        <v>1657</v>
      </c>
      <c r="AJ3347" s="28"/>
      <c r="AK3347" s="28" t="n">
        <f aca="false">AJ3347*$M3347</f>
        <v>0</v>
      </c>
      <c r="AL3347" s="28"/>
      <c r="AM3347" s="28" t="n">
        <f aca="false">AL3347*$M3347</f>
        <v>0</v>
      </c>
      <c r="AN3347" s="28"/>
      <c r="AO3347" s="28" t="n">
        <f aca="false">AN3347*$M3347</f>
        <v>0</v>
      </c>
      <c r="AP3347" s="28"/>
      <c r="AQ3347" s="28" t="n">
        <f aca="false">AP3347*$M3347</f>
        <v>0</v>
      </c>
      <c r="AR3347" s="28"/>
      <c r="AS3347" s="28" t="n">
        <f aca="false">AR3347*$M3347</f>
        <v>0</v>
      </c>
      <c r="AT3347" s="28"/>
      <c r="AU3347" s="28" t="n">
        <f aca="false">AT3347*$M3347</f>
        <v>0</v>
      </c>
      <c r="AV3347" s="28"/>
      <c r="AW3347" s="28" t="n">
        <f aca="false">AV3347*$M3347</f>
        <v>0</v>
      </c>
      <c r="AX3347" s="28"/>
      <c r="AY3347" s="28" t="n">
        <f aca="false">AX3347*$M3347</f>
        <v>0</v>
      </c>
      <c r="AZ3347" s="30" t="n">
        <f aca="false">283596/100</f>
        <v>2835.96</v>
      </c>
      <c r="BA3347" s="11" t="n">
        <v>42539</v>
      </c>
      <c r="BB3347" s="31" t="n">
        <f aca="false">SUM(Q3347,S3347,U3347,W3347,Y3347,AA3347,AC3347,AE3347,AG3347,AI3347,AK3347,AM3347,AO3347,AQ3347,AS3347,AU3347,AW3347,AY3347)</f>
        <v>42539</v>
      </c>
      <c r="BC3347" s="28" t="n">
        <f aca="false">BA3347-BB3347</f>
        <v>0</v>
      </c>
      <c r="BD3347" s="32" t="n">
        <f aca="false">SUM(P3347,R3347,T3347,V3347,X3347,Z3347,AB3347,AD3347,AF3347,AH3347,AJ3347,AL3347,AN3347,AP3347,AR3347,AT3347,AV3347,AX3347)</f>
        <v>2835.96</v>
      </c>
      <c r="BE3347" s="33" t="n">
        <f aca="false">AZ3347-BD3347</f>
        <v>0</v>
      </c>
      <c r="BF3347" s="34" t="n">
        <f aca="false">BD3347*M3347</f>
        <v>42539.4</v>
      </c>
      <c r="BG3347" s="35" t="n">
        <f aca="false">BA3347-BF3347</f>
        <v>-0.400000000001455</v>
      </c>
      <c r="BH3347" s="19" t="str">
        <f aca="false">IF(BG3347=0,"",IF(BG3347&lt;&gt;BA3347,"erreur de calcul",IF(BD3347&lt;&gt;0,"pas de prix",IF(M3347&lt;&gt; 0,"pas de quantité","pas de prix, ni de quantité"))))</f>
        <v>erreur de calcul</v>
      </c>
      <c r="BI3347" s="19"/>
    </row>
    <row r="3348" customFormat="false" ht="15" hidden="false" customHeight="false" outlineLevel="0" collapsed="false">
      <c r="A3348" s="0" t="n">
        <v>23</v>
      </c>
      <c r="B3348" s="8" t="s">
        <v>24</v>
      </c>
      <c r="C3348" s="9" t="s">
        <v>25</v>
      </c>
      <c r="D3348" s="9" t="s">
        <v>26</v>
      </c>
      <c r="E3348" s="10" t="n">
        <v>1789</v>
      </c>
      <c r="F3348" s="9" t="s">
        <v>27</v>
      </c>
      <c r="G3348" s="9" t="s">
        <v>27</v>
      </c>
      <c r="H3348" s="11" t="n">
        <v>23</v>
      </c>
      <c r="I3348" s="11" t="s">
        <v>265</v>
      </c>
      <c r="J3348" s="14"/>
      <c r="K3348" s="14" t="n">
        <v>40</v>
      </c>
      <c r="L3348" s="16"/>
      <c r="M3348" s="27" t="n">
        <f aca="false">J3348+(K3348/20)+(L3348/240)</f>
        <v>2</v>
      </c>
      <c r="N3348" s="17" t="s">
        <v>66</v>
      </c>
      <c r="O3348" s="11"/>
      <c r="P3348" s="28"/>
      <c r="Q3348" s="28" t="n">
        <f aca="false">P3348*$M3348</f>
        <v>0</v>
      </c>
      <c r="R3348" s="28"/>
      <c r="S3348" s="28" t="n">
        <f aca="false">R3348*$M3348</f>
        <v>0</v>
      </c>
      <c r="T3348" s="28"/>
      <c r="U3348" s="28" t="n">
        <f aca="false">T3348*$M3348</f>
        <v>0</v>
      </c>
      <c r="V3348" s="28" t="n">
        <v>6275</v>
      </c>
      <c r="W3348" s="28" t="n">
        <v>12550</v>
      </c>
      <c r="X3348" s="28" t="n">
        <v>8662</v>
      </c>
      <c r="Y3348" s="28" t="n">
        <v>17324</v>
      </c>
      <c r="Z3348" s="28"/>
      <c r="AA3348" s="28" t="n">
        <f aca="false">Z3348*$M3348</f>
        <v>0</v>
      </c>
      <c r="AB3348" s="28" t="n">
        <v>2196</v>
      </c>
      <c r="AC3348" s="28" t="n">
        <v>4392</v>
      </c>
      <c r="AD3348" s="28"/>
      <c r="AE3348" s="28" t="n">
        <f aca="false">AD3348*$M3348</f>
        <v>0</v>
      </c>
      <c r="AF3348" s="28"/>
      <c r="AG3348" s="28" t="n">
        <f aca="false">AF3348*$M3348</f>
        <v>0</v>
      </c>
      <c r="AH3348" s="28"/>
      <c r="AI3348" s="28" t="n">
        <f aca="false">AH3348*$M3348</f>
        <v>0</v>
      </c>
      <c r="AJ3348" s="28"/>
      <c r="AK3348" s="28" t="n">
        <f aca="false">AJ3348*$M3348</f>
        <v>0</v>
      </c>
      <c r="AL3348" s="28"/>
      <c r="AM3348" s="28" t="n">
        <f aca="false">AL3348*$M3348</f>
        <v>0</v>
      </c>
      <c r="AN3348" s="28"/>
      <c r="AO3348" s="28" t="n">
        <f aca="false">AN3348*$M3348</f>
        <v>0</v>
      </c>
      <c r="AP3348" s="28"/>
      <c r="AQ3348" s="28" t="n">
        <f aca="false">AP3348*$M3348</f>
        <v>0</v>
      </c>
      <c r="AR3348" s="28"/>
      <c r="AS3348" s="28" t="n">
        <f aca="false">AR3348*$M3348</f>
        <v>0</v>
      </c>
      <c r="AT3348" s="28"/>
      <c r="AU3348" s="28" t="n">
        <f aca="false">AT3348*$M3348</f>
        <v>0</v>
      </c>
      <c r="AV3348" s="28"/>
      <c r="AW3348" s="28" t="n">
        <f aca="false">AV3348*$M3348</f>
        <v>0</v>
      </c>
      <c r="AX3348" s="28"/>
      <c r="AY3348" s="28" t="n">
        <f aca="false">AX3348*$M3348</f>
        <v>0</v>
      </c>
      <c r="AZ3348" s="30" t="n">
        <v>17133</v>
      </c>
      <c r="BA3348" s="11" t="n">
        <v>34266</v>
      </c>
      <c r="BB3348" s="31" t="n">
        <f aca="false">SUM(Q3348,S3348,U3348,W3348,Y3348,AA3348,AC3348,AE3348,AG3348,AI3348,AK3348,AM3348,AO3348,AQ3348,AS3348,AU3348,AW3348,AY3348)</f>
        <v>34266</v>
      </c>
      <c r="BC3348" s="28" t="n">
        <f aca="false">BA3348-BB3348</f>
        <v>0</v>
      </c>
      <c r="BD3348" s="32" t="n">
        <f aca="false">SUM(P3348,R3348,T3348,V3348,X3348,Z3348,AB3348,AD3348,AF3348,AH3348,AJ3348,AL3348,AN3348,AP3348,AR3348,AT3348,AV3348,AX3348)</f>
        <v>17133</v>
      </c>
      <c r="BE3348" s="33" t="n">
        <f aca="false">AZ3348-BD3348</f>
        <v>0</v>
      </c>
      <c r="BF3348" s="34" t="n">
        <f aca="false">BD3348*M3348</f>
        <v>34266</v>
      </c>
      <c r="BG3348" s="35" t="n">
        <f aca="false">BA3348-BF3348</f>
        <v>0</v>
      </c>
      <c r="BH3348" s="19" t="str">
        <f aca="false">IF(BG3348=0,"",IF(BG3348&lt;&gt;BA3348,"erreur de calcul",IF(BD3348&lt;&gt;0,"pas de prix",IF(M3348&lt;&gt; 0,"pas de quantité","pas de prix, ni de quantité"))))</f>
        <v/>
      </c>
      <c r="BI3348" s="19"/>
    </row>
    <row r="3349" customFormat="false" ht="15" hidden="false" customHeight="false" outlineLevel="0" collapsed="false">
      <c r="A3349" s="0" t="n">
        <v>24</v>
      </c>
      <c r="B3349" s="8" t="s">
        <v>24</v>
      </c>
      <c r="C3349" s="9" t="s">
        <v>25</v>
      </c>
      <c r="D3349" s="9" t="s">
        <v>26</v>
      </c>
      <c r="E3349" s="10" t="n">
        <v>1789</v>
      </c>
      <c r="F3349" s="9" t="s">
        <v>27</v>
      </c>
      <c r="G3349" s="9" t="s">
        <v>27</v>
      </c>
      <c r="H3349" s="11" t="n">
        <v>23</v>
      </c>
      <c r="I3349" s="11" t="s">
        <v>266</v>
      </c>
      <c r="J3349" s="14" t="n">
        <v>17</v>
      </c>
      <c r="K3349" s="14" t="n">
        <v>10</v>
      </c>
      <c r="L3349" s="16"/>
      <c r="M3349" s="27" t="n">
        <f aca="false">J3349+(K3349/20)+(L3349/240)</f>
        <v>17.5</v>
      </c>
      <c r="N3349" s="17" t="s">
        <v>64</v>
      </c>
      <c r="O3349" s="11"/>
      <c r="P3349" s="28" t="n">
        <f aca="false">147621/100</f>
        <v>1476.21</v>
      </c>
      <c r="Q3349" s="28" t="n">
        <v>25834</v>
      </c>
      <c r="R3349" s="28"/>
      <c r="S3349" s="28" t="n">
        <f aca="false">R3349*$M3349</f>
        <v>0</v>
      </c>
      <c r="T3349" s="28"/>
      <c r="U3349" s="28" t="n">
        <f aca="false">T3349*$M3349</f>
        <v>0</v>
      </c>
      <c r="V3349" s="28"/>
      <c r="W3349" s="28" t="n">
        <f aca="false">V3349*$M3349</f>
        <v>0</v>
      </c>
      <c r="X3349" s="28" t="n">
        <f aca="false">7220/100</f>
        <v>72.2</v>
      </c>
      <c r="Y3349" s="28" t="n">
        <v>1263</v>
      </c>
      <c r="Z3349" s="28"/>
      <c r="AA3349" s="28" t="n">
        <f aca="false">Z3349*$M3349</f>
        <v>0</v>
      </c>
      <c r="AB3349" s="28" t="n">
        <f aca="false">524444/100</f>
        <v>5244.44</v>
      </c>
      <c r="AC3349" s="36" t="n">
        <v>91767</v>
      </c>
      <c r="AD3349" s="28"/>
      <c r="AE3349" s="28" t="n">
        <f aca="false">AD3349*$M3349</f>
        <v>0</v>
      </c>
      <c r="AF3349" s="28"/>
      <c r="AG3349" s="28" t="n">
        <f aca="false">AF3349*$M3349</f>
        <v>0</v>
      </c>
      <c r="AH3349" s="28" t="n">
        <f aca="false">124394/100</f>
        <v>1243.94</v>
      </c>
      <c r="AI3349" s="28" t="n">
        <v>21769</v>
      </c>
      <c r="AJ3349" s="28"/>
      <c r="AK3349" s="28" t="n">
        <f aca="false">AJ3349*$M3349</f>
        <v>0</v>
      </c>
      <c r="AL3349" s="28"/>
      <c r="AM3349" s="28" t="n">
        <f aca="false">AL3349*$M3349</f>
        <v>0</v>
      </c>
      <c r="AN3349" s="28"/>
      <c r="AO3349" s="28" t="n">
        <f aca="false">AN3349*$M3349</f>
        <v>0</v>
      </c>
      <c r="AP3349" s="28"/>
      <c r="AQ3349" s="28" t="n">
        <f aca="false">AP3349*$M3349</f>
        <v>0</v>
      </c>
      <c r="AR3349" s="28"/>
      <c r="AS3349" s="28" t="n">
        <f aca="false">AR3349*$M3349</f>
        <v>0</v>
      </c>
      <c r="AT3349" s="28"/>
      <c r="AU3349" s="28" t="n">
        <f aca="false">AT3349*$M3349</f>
        <v>0</v>
      </c>
      <c r="AV3349" s="28"/>
      <c r="AW3349" s="28" t="n">
        <f aca="false">AV3349*$M3349</f>
        <v>0</v>
      </c>
      <c r="AX3349" s="28"/>
      <c r="AY3349" s="28" t="n">
        <f aca="false">AX3349*$M3349</f>
        <v>0</v>
      </c>
      <c r="AZ3349" s="30" t="n">
        <f aca="false">803679/100</f>
        <v>8036.79</v>
      </c>
      <c r="BA3349" s="11" t="n">
        <v>140633</v>
      </c>
      <c r="BB3349" s="31" t="n">
        <f aca="false">SUM(Q3349,S3349,U3349,W3349,Y3349,AA3349,AC3349,AE3349,AG3349,AI3349,AK3349,AM3349,AO3349,AQ3349,AS3349,AU3349,AW3349,AY3349)</f>
        <v>140633</v>
      </c>
      <c r="BC3349" s="28" t="n">
        <f aca="false">BA3349-BB3349</f>
        <v>0</v>
      </c>
      <c r="BD3349" s="32" t="n">
        <f aca="false">SUM(P3349,R3349,T3349,V3349,X3349,Z3349,AB3349,AD3349,AF3349,AH3349,AJ3349,AL3349,AN3349,AP3349,AR3349,AT3349,AV3349,AX3349)</f>
        <v>8036.79</v>
      </c>
      <c r="BE3349" s="33" t="n">
        <f aca="false">AZ3349-BD3349</f>
        <v>0</v>
      </c>
      <c r="BF3349" s="34" t="n">
        <f aca="false">BD3349*M3349</f>
        <v>140643.825</v>
      </c>
      <c r="BG3349" s="35" t="n">
        <f aca="false">BA3349-BF3349</f>
        <v>-10.8249999999825</v>
      </c>
      <c r="BH3349" s="19" t="str">
        <f aca="false">IF(BG3349=0,"",IF(BG3349&lt;&gt;BA3349,"erreur de calcul",IF(BD3349&lt;&gt;0,"pas de prix",IF(M3349&lt;&gt; 0,"pas de quantité","pas de prix, ni de quantité"))))</f>
        <v>erreur de calcul</v>
      </c>
      <c r="BI3349" s="19"/>
    </row>
    <row r="3350" customFormat="false" ht="15" hidden="false" customHeight="false" outlineLevel="0" collapsed="false">
      <c r="A3350" s="0" t="n">
        <v>25</v>
      </c>
      <c r="B3350" s="8" t="s">
        <v>24</v>
      </c>
      <c r="C3350" s="9" t="s">
        <v>25</v>
      </c>
      <c r="D3350" s="9" t="s">
        <v>26</v>
      </c>
      <c r="E3350" s="10" t="n">
        <v>1789</v>
      </c>
      <c r="F3350" s="9" t="s">
        <v>27</v>
      </c>
      <c r="G3350" s="9" t="s">
        <v>27</v>
      </c>
      <c r="H3350" s="11" t="n">
        <v>23</v>
      </c>
      <c r="I3350" s="11" t="s">
        <v>267</v>
      </c>
      <c r="J3350" s="14" t="n">
        <v>25</v>
      </c>
      <c r="K3350" s="14"/>
      <c r="L3350" s="16"/>
      <c r="M3350" s="27" t="n">
        <f aca="false">J3350+(K3350/20)+(L3350/240)</f>
        <v>25</v>
      </c>
      <c r="N3350" s="17" t="s">
        <v>64</v>
      </c>
      <c r="O3350" s="11"/>
      <c r="P3350" s="28"/>
      <c r="Q3350" s="28" t="n">
        <f aca="false">P3350*$M3350</f>
        <v>0</v>
      </c>
      <c r="R3350" s="28"/>
      <c r="S3350" s="28" t="n">
        <f aca="false">R3350*$M3350</f>
        <v>0</v>
      </c>
      <c r="T3350" s="28"/>
      <c r="U3350" s="28" t="n">
        <f aca="false">T3350*$M3350</f>
        <v>0</v>
      </c>
      <c r="V3350" s="28"/>
      <c r="W3350" s="28" t="n">
        <f aca="false">V3350*$M3350</f>
        <v>0</v>
      </c>
      <c r="X3350" s="28"/>
      <c r="Y3350" s="28" t="n">
        <f aca="false">X3350*$M3350</f>
        <v>0</v>
      </c>
      <c r="Z3350" s="28"/>
      <c r="AA3350" s="28" t="n">
        <f aca="false">Z3350*$M3350</f>
        <v>0</v>
      </c>
      <c r="AB3350" s="28" t="n">
        <f aca="false">136004/100</f>
        <v>1360.04</v>
      </c>
      <c r="AC3350" s="28" t="n">
        <v>34001</v>
      </c>
      <c r="AD3350" s="28"/>
      <c r="AE3350" s="28" t="n">
        <f aca="false">AD3350*$M3350</f>
        <v>0</v>
      </c>
      <c r="AF3350" s="28"/>
      <c r="AG3350" s="28" t="n">
        <f aca="false">AF3350*$M3350</f>
        <v>0</v>
      </c>
      <c r="AH3350" s="28" t="n">
        <f aca="false">173052/100</f>
        <v>1730.52</v>
      </c>
      <c r="AI3350" s="28" t="n">
        <v>43263</v>
      </c>
      <c r="AJ3350" s="28"/>
      <c r="AK3350" s="28" t="n">
        <f aca="false">AJ3350*$M3350</f>
        <v>0</v>
      </c>
      <c r="AL3350" s="28"/>
      <c r="AM3350" s="28" t="n">
        <f aca="false">AL3350*$M3350</f>
        <v>0</v>
      </c>
      <c r="AN3350" s="28"/>
      <c r="AO3350" s="28" t="n">
        <f aca="false">AN3350*$M3350</f>
        <v>0</v>
      </c>
      <c r="AP3350" s="28"/>
      <c r="AQ3350" s="28" t="n">
        <f aca="false">AP3350*$M3350</f>
        <v>0</v>
      </c>
      <c r="AR3350" s="28"/>
      <c r="AS3350" s="28" t="n">
        <f aca="false">AR3350*$M3350</f>
        <v>0</v>
      </c>
      <c r="AT3350" s="28"/>
      <c r="AU3350" s="28" t="n">
        <f aca="false">AT3350*$M3350</f>
        <v>0</v>
      </c>
      <c r="AV3350" s="28"/>
      <c r="AW3350" s="28" t="n">
        <f aca="false">AV3350*$M3350</f>
        <v>0</v>
      </c>
      <c r="AX3350" s="28"/>
      <c r="AY3350" s="28" t="n">
        <f aca="false">AX3350*$M3350</f>
        <v>0</v>
      </c>
      <c r="AZ3350" s="30" t="n">
        <f aca="false">309056/100</f>
        <v>3090.56</v>
      </c>
      <c r="BA3350" s="11" t="n">
        <v>77264</v>
      </c>
      <c r="BB3350" s="31" t="n">
        <f aca="false">SUM(Q3350,S3350,U3350,W3350,Y3350,AA3350,AC3350,AE3350,AG3350,AI3350,AK3350,AM3350,AO3350,AQ3350,AS3350,AU3350,AW3350,AY3350)</f>
        <v>77264</v>
      </c>
      <c r="BC3350" s="28" t="n">
        <f aca="false">BA3350-BB3350</f>
        <v>0</v>
      </c>
      <c r="BD3350" s="32" t="n">
        <f aca="false">SUM(P3350,R3350,T3350,V3350,X3350,Z3350,AB3350,AD3350,AF3350,AH3350,AJ3350,AL3350,AN3350,AP3350,AR3350,AT3350,AV3350,AX3350)</f>
        <v>3090.56</v>
      </c>
      <c r="BE3350" s="33" t="n">
        <f aca="false">AZ3350-BD3350</f>
        <v>0</v>
      </c>
      <c r="BF3350" s="34" t="n">
        <f aca="false">BD3350*M3350</f>
        <v>77264</v>
      </c>
      <c r="BG3350" s="35" t="n">
        <f aca="false">BA3350-BF3350</f>
        <v>0</v>
      </c>
      <c r="BH3350" s="19" t="str">
        <f aca="false">IF(BG3350=0,"",IF(BG3350&lt;&gt;BA3350,"erreur de calcul",IF(BD3350&lt;&gt;0,"pas de prix",IF(M3350&lt;&gt; 0,"pas de quantité","pas de prix, ni de quantité"))))</f>
        <v/>
      </c>
      <c r="BI3350" s="19"/>
    </row>
    <row r="3351" customFormat="false" ht="15" hidden="false" customHeight="false" outlineLevel="0" collapsed="false">
      <c r="A3351" s="0" t="n">
        <v>26</v>
      </c>
      <c r="B3351" s="8" t="s">
        <v>24</v>
      </c>
      <c r="C3351" s="9" t="s">
        <v>25</v>
      </c>
      <c r="D3351" s="9" t="s">
        <v>26</v>
      </c>
      <c r="E3351" s="10" t="n">
        <v>1789</v>
      </c>
      <c r="F3351" s="9" t="s">
        <v>27</v>
      </c>
      <c r="G3351" s="9" t="s">
        <v>27</v>
      </c>
      <c r="H3351" s="11" t="n">
        <v>23</v>
      </c>
      <c r="I3351" s="11" t="s">
        <v>268</v>
      </c>
      <c r="J3351" s="14" t="n">
        <v>8</v>
      </c>
      <c r="K3351" s="14"/>
      <c r="L3351" s="16"/>
      <c r="M3351" s="27" t="n">
        <f aca="false">J3351+(K3351/20)+(L3351/240)</f>
        <v>8</v>
      </c>
      <c r="N3351" s="17" t="s">
        <v>64</v>
      </c>
      <c r="O3351" s="11"/>
      <c r="P3351" s="28"/>
      <c r="Q3351" s="28" t="n">
        <f aca="false">P3351*$M3351</f>
        <v>0</v>
      </c>
      <c r="R3351" s="28"/>
      <c r="S3351" s="28" t="n">
        <f aca="false">R3351*$M3351</f>
        <v>0</v>
      </c>
      <c r="T3351" s="28" t="n">
        <f aca="false">260752/100</f>
        <v>2607.52</v>
      </c>
      <c r="U3351" s="28" t="n">
        <v>20860</v>
      </c>
      <c r="V3351" s="28" t="n">
        <f aca="false">170453/100</f>
        <v>1704.53</v>
      </c>
      <c r="W3351" s="28" t="n">
        <v>13636</v>
      </c>
      <c r="X3351" s="28"/>
      <c r="Y3351" s="28" t="n">
        <f aca="false">X3351*$M3351</f>
        <v>0</v>
      </c>
      <c r="Z3351" s="28"/>
      <c r="AA3351" s="28" t="n">
        <f aca="false">Z3351*$M3351</f>
        <v>0</v>
      </c>
      <c r="AB3351" s="28"/>
      <c r="AC3351" s="28" t="n">
        <f aca="false">AB3351*$M3351</f>
        <v>0</v>
      </c>
      <c r="AD3351" s="28"/>
      <c r="AE3351" s="28" t="n">
        <f aca="false">AD3351*$M3351</f>
        <v>0</v>
      </c>
      <c r="AF3351" s="28"/>
      <c r="AG3351" s="28" t="n">
        <f aca="false">AF3351*$M3351</f>
        <v>0</v>
      </c>
      <c r="AH3351" s="28"/>
      <c r="AI3351" s="28" t="n">
        <f aca="false">AH3351*$M3351</f>
        <v>0</v>
      </c>
      <c r="AJ3351" s="28"/>
      <c r="AK3351" s="28" t="n">
        <f aca="false">AJ3351*$M3351</f>
        <v>0</v>
      </c>
      <c r="AL3351" s="28"/>
      <c r="AM3351" s="28" t="n">
        <f aca="false">AL3351*$M3351</f>
        <v>0</v>
      </c>
      <c r="AN3351" s="28"/>
      <c r="AO3351" s="28" t="n">
        <f aca="false">AN3351*$M3351</f>
        <v>0</v>
      </c>
      <c r="AP3351" s="28"/>
      <c r="AQ3351" s="28" t="n">
        <f aca="false">AP3351*$M3351</f>
        <v>0</v>
      </c>
      <c r="AR3351" s="28"/>
      <c r="AS3351" s="28" t="n">
        <f aca="false">AR3351*$M3351</f>
        <v>0</v>
      </c>
      <c r="AT3351" s="28"/>
      <c r="AU3351" s="28" t="n">
        <f aca="false">AT3351*$M3351</f>
        <v>0</v>
      </c>
      <c r="AV3351" s="28"/>
      <c r="AW3351" s="28" t="n">
        <f aca="false">AV3351*$M3351</f>
        <v>0</v>
      </c>
      <c r="AX3351" s="28"/>
      <c r="AY3351" s="28" t="n">
        <f aca="false">AX3351*$M3351</f>
        <v>0</v>
      </c>
      <c r="AZ3351" s="30" t="n">
        <f aca="false">431205/100</f>
        <v>4312.05</v>
      </c>
      <c r="BA3351" s="11" t="n">
        <v>34496</v>
      </c>
      <c r="BB3351" s="31" t="n">
        <f aca="false">SUM(Q3351,S3351,U3351,W3351,Y3351,AA3351,AC3351,AE3351,AG3351,AI3351,AK3351,AM3351,AO3351,AQ3351,AS3351,AU3351,AW3351,AY3351)</f>
        <v>34496</v>
      </c>
      <c r="BC3351" s="28" t="n">
        <f aca="false">BA3351-BB3351</f>
        <v>0</v>
      </c>
      <c r="BD3351" s="32" t="n">
        <f aca="false">SUM(P3351,R3351,T3351,V3351,X3351,Z3351,AB3351,AD3351,AF3351,AH3351,AJ3351,AL3351,AN3351,AP3351,AR3351,AT3351,AV3351,AX3351)</f>
        <v>4312.05</v>
      </c>
      <c r="BE3351" s="33" t="n">
        <f aca="false">AZ3351-BD3351</f>
        <v>0</v>
      </c>
      <c r="BF3351" s="34" t="n">
        <f aca="false">BD3351*M3351</f>
        <v>34496.4</v>
      </c>
      <c r="BG3351" s="35" t="n">
        <f aca="false">BA3351-BF3351</f>
        <v>-0.400000000001455</v>
      </c>
      <c r="BH3351" s="19" t="str">
        <f aca="false">IF(BG3351=0,"",IF(BG3351&lt;&gt;BA3351,"erreur de calcul",IF(BD3351&lt;&gt;0,"pas de prix",IF(M3351&lt;&gt; 0,"pas de quantité","pas de prix, ni de quantité"))))</f>
        <v>erreur de calcul</v>
      </c>
      <c r="BI3351" s="19"/>
    </row>
    <row r="3352" customFormat="false" ht="15" hidden="false" customHeight="false" outlineLevel="0" collapsed="false">
      <c r="A3352" s="0" t="n">
        <v>27</v>
      </c>
      <c r="B3352" s="8" t="s">
        <v>24</v>
      </c>
      <c r="C3352" s="9" t="s">
        <v>25</v>
      </c>
      <c r="D3352" s="9" t="s">
        <v>26</v>
      </c>
      <c r="E3352" s="10" t="n">
        <v>1789</v>
      </c>
      <c r="F3352" s="9" t="s">
        <v>27</v>
      </c>
      <c r="G3352" s="9" t="s">
        <v>27</v>
      </c>
      <c r="H3352" s="11" t="n">
        <v>23</v>
      </c>
      <c r="I3352" s="11" t="s">
        <v>269</v>
      </c>
      <c r="J3352" s="14"/>
      <c r="K3352" s="14" t="n">
        <v>50</v>
      </c>
      <c r="L3352" s="16"/>
      <c r="M3352" s="27" t="n">
        <f aca="false">J3352+(K3352/20)+(L3352/240)</f>
        <v>2.5</v>
      </c>
      <c r="N3352" s="17" t="s">
        <v>85</v>
      </c>
      <c r="O3352" s="11"/>
      <c r="P3352" s="28"/>
      <c r="Q3352" s="28" t="n">
        <f aca="false">P3352*$M3352</f>
        <v>0</v>
      </c>
      <c r="R3352" s="28"/>
      <c r="S3352" s="28" t="n">
        <f aca="false">R3352*$M3352</f>
        <v>0</v>
      </c>
      <c r="T3352" s="28" t="n">
        <f aca="false">221150/100</f>
        <v>2211.5</v>
      </c>
      <c r="U3352" s="28" t="n">
        <v>5529</v>
      </c>
      <c r="V3352" s="28" t="n">
        <f aca="false">3922156/100</f>
        <v>39221.56</v>
      </c>
      <c r="W3352" s="28" t="n">
        <v>98054</v>
      </c>
      <c r="X3352" s="28"/>
      <c r="Y3352" s="28" t="n">
        <f aca="false">X3352*$M3352</f>
        <v>0</v>
      </c>
      <c r="Z3352" s="28"/>
      <c r="AA3352" s="28" t="n">
        <f aca="false">Z3352*$M3352</f>
        <v>0</v>
      </c>
      <c r="AB3352" s="28" t="n">
        <f aca="false">297900/100</f>
        <v>2979</v>
      </c>
      <c r="AC3352" s="28" t="n">
        <v>7447</v>
      </c>
      <c r="AD3352" s="28"/>
      <c r="AE3352" s="28" t="n">
        <f aca="false">AD3352*$M3352</f>
        <v>0</v>
      </c>
      <c r="AF3352" s="28"/>
      <c r="AG3352" s="28" t="n">
        <f aca="false">AF3352*$M3352</f>
        <v>0</v>
      </c>
      <c r="AH3352" s="28"/>
      <c r="AI3352" s="28" t="n">
        <f aca="false">AH3352*$M3352</f>
        <v>0</v>
      </c>
      <c r="AJ3352" s="28"/>
      <c r="AK3352" s="28" t="n">
        <f aca="false">AJ3352*$M3352</f>
        <v>0</v>
      </c>
      <c r="AL3352" s="28"/>
      <c r="AM3352" s="28" t="n">
        <f aca="false">AL3352*$M3352</f>
        <v>0</v>
      </c>
      <c r="AN3352" s="28"/>
      <c r="AO3352" s="28" t="n">
        <f aca="false">AN3352*$M3352</f>
        <v>0</v>
      </c>
      <c r="AP3352" s="28"/>
      <c r="AQ3352" s="28" t="n">
        <f aca="false">AP3352*$M3352</f>
        <v>0</v>
      </c>
      <c r="AR3352" s="28"/>
      <c r="AS3352" s="28" t="n">
        <f aca="false">AR3352*$M3352</f>
        <v>0</v>
      </c>
      <c r="AT3352" s="28"/>
      <c r="AU3352" s="28" t="n">
        <f aca="false">AT3352*$M3352</f>
        <v>0</v>
      </c>
      <c r="AV3352" s="28"/>
      <c r="AW3352" s="28" t="n">
        <f aca="false">AV3352*$M3352</f>
        <v>0</v>
      </c>
      <c r="AX3352" s="28"/>
      <c r="AY3352" s="28" t="n">
        <f aca="false">AX3352*$M3352</f>
        <v>0</v>
      </c>
      <c r="AZ3352" s="30" t="n">
        <f aca="false">4441206/100</f>
        <v>44412.06</v>
      </c>
      <c r="BA3352" s="11" t="n">
        <v>111030</v>
      </c>
      <c r="BB3352" s="31" t="n">
        <f aca="false">SUM(Q3352,S3352,U3352,W3352,Y3352,AA3352,AC3352,AE3352,AG3352,AI3352,AK3352,AM3352,AO3352,AQ3352,AS3352,AU3352,AW3352,AY3352)</f>
        <v>111030</v>
      </c>
      <c r="BC3352" s="28" t="n">
        <f aca="false">BA3352-BB3352</f>
        <v>0</v>
      </c>
      <c r="BD3352" s="32" t="n">
        <f aca="false">SUM(P3352,R3352,T3352,V3352,X3352,Z3352,AB3352,AD3352,AF3352,AH3352,AJ3352,AL3352,AN3352,AP3352,AR3352,AT3352,AV3352,AX3352)</f>
        <v>44412.06</v>
      </c>
      <c r="BE3352" s="33" t="n">
        <f aca="false">AZ3352-BD3352</f>
        <v>0</v>
      </c>
      <c r="BF3352" s="34" t="n">
        <f aca="false">BD3352*M3352</f>
        <v>111030.15</v>
      </c>
      <c r="BG3352" s="35" t="n">
        <f aca="false">BA3352-BF3352</f>
        <v>-0.149999999994179</v>
      </c>
      <c r="BH3352" s="19" t="str">
        <f aca="false">IF(BG3352=0,"",IF(BG3352&lt;&gt;BA3352,"erreur de calcul",IF(BD3352&lt;&gt;0,"pas de prix",IF(M3352&lt;&gt; 0,"pas de quantité","pas de prix, ni de quantité"))))</f>
        <v>erreur de calcul</v>
      </c>
      <c r="BI3352" s="19"/>
    </row>
    <row r="3353" customFormat="false" ht="15" hidden="false" customHeight="false" outlineLevel="0" collapsed="false">
      <c r="A3353" s="0" t="n">
        <v>28</v>
      </c>
      <c r="B3353" s="8" t="s">
        <v>24</v>
      </c>
      <c r="C3353" s="9" t="s">
        <v>25</v>
      </c>
      <c r="D3353" s="9" t="s">
        <v>26</v>
      </c>
      <c r="E3353" s="10" t="n">
        <v>1789</v>
      </c>
      <c r="F3353" s="9" t="s">
        <v>27</v>
      </c>
      <c r="G3353" s="9" t="s">
        <v>27</v>
      </c>
      <c r="H3353" s="11" t="n">
        <v>23</v>
      </c>
      <c r="I3353" s="11" t="s">
        <v>270</v>
      </c>
      <c r="J3353" s="14" t="n">
        <v>5</v>
      </c>
      <c r="K3353" s="14"/>
      <c r="L3353" s="16"/>
      <c r="M3353" s="27" t="n">
        <f aca="false">J3353+(K3353/20)+(L3353/240)</f>
        <v>5</v>
      </c>
      <c r="N3353" s="17" t="s">
        <v>85</v>
      </c>
      <c r="O3353" s="11"/>
      <c r="P3353" s="28" t="n">
        <f aca="false">328200/100</f>
        <v>3282</v>
      </c>
      <c r="Q3353" s="28" t="n">
        <v>16410</v>
      </c>
      <c r="R3353" s="28"/>
      <c r="S3353" s="28" t="n">
        <f aca="false">R3353*$M3353</f>
        <v>0</v>
      </c>
      <c r="T3353" s="28" t="n">
        <f aca="false">667000/100</f>
        <v>6670</v>
      </c>
      <c r="U3353" s="36" t="n">
        <v>33360</v>
      </c>
      <c r="V3353" s="28" t="n">
        <f aca="false">506800/100</f>
        <v>5068</v>
      </c>
      <c r="W3353" s="28" t="n">
        <v>25340</v>
      </c>
      <c r="X3353" s="28"/>
      <c r="Y3353" s="28" t="n">
        <f aca="false">X3353*$M3353</f>
        <v>0</v>
      </c>
      <c r="Z3353" s="28"/>
      <c r="AA3353" s="28" t="n">
        <f aca="false">Z3353*$M3353</f>
        <v>0</v>
      </c>
      <c r="AB3353" s="28"/>
      <c r="AC3353" s="28" t="n">
        <f aca="false">AB3353*$M3353</f>
        <v>0</v>
      </c>
      <c r="AD3353" s="28"/>
      <c r="AE3353" s="28" t="n">
        <f aca="false">AD3353*$M3353</f>
        <v>0</v>
      </c>
      <c r="AF3353" s="28"/>
      <c r="AG3353" s="28" t="n">
        <f aca="false">AF3353*$M3353</f>
        <v>0</v>
      </c>
      <c r="AH3353" s="28" t="n">
        <f aca="false">320500/100</f>
        <v>3205</v>
      </c>
      <c r="AI3353" s="28" t="n">
        <v>16025</v>
      </c>
      <c r="AJ3353" s="28"/>
      <c r="AK3353" s="28" t="n">
        <f aca="false">AJ3353*$M3353</f>
        <v>0</v>
      </c>
      <c r="AL3353" s="28"/>
      <c r="AM3353" s="28" t="n">
        <f aca="false">AL3353*$M3353</f>
        <v>0</v>
      </c>
      <c r="AN3353" s="28"/>
      <c r="AO3353" s="28" t="n">
        <f aca="false">AN3353*$M3353</f>
        <v>0</v>
      </c>
      <c r="AP3353" s="28"/>
      <c r="AQ3353" s="28" t="n">
        <f aca="false">AP3353*$M3353</f>
        <v>0</v>
      </c>
      <c r="AR3353" s="28"/>
      <c r="AS3353" s="28" t="n">
        <f aca="false">AR3353*$M3353</f>
        <v>0</v>
      </c>
      <c r="AT3353" s="28"/>
      <c r="AU3353" s="28" t="n">
        <f aca="false">AT3353*$M3353</f>
        <v>0</v>
      </c>
      <c r="AV3353" s="28"/>
      <c r="AW3353" s="28" t="n">
        <f aca="false">AV3353*$M3353</f>
        <v>0</v>
      </c>
      <c r="AX3353" s="28"/>
      <c r="AY3353" s="28" t="n">
        <f aca="false">AX3353*$M3353</f>
        <v>0</v>
      </c>
      <c r="AZ3353" s="30" t="n">
        <f aca="false">1822500/100</f>
        <v>18225</v>
      </c>
      <c r="BA3353" s="11" t="n">
        <v>91135</v>
      </c>
      <c r="BB3353" s="31" t="n">
        <f aca="false">SUM(Q3353,S3353,U3353,W3353,Y3353,AA3353,AC3353,AE3353,AG3353,AI3353,AK3353,AM3353,AO3353,AQ3353,AS3353,AU3353,AW3353,AY3353)</f>
        <v>91135</v>
      </c>
      <c r="BC3353" s="28" t="n">
        <f aca="false">BA3353-BB3353</f>
        <v>0</v>
      </c>
      <c r="BD3353" s="32" t="n">
        <f aca="false">SUM(P3353,R3353,T3353,V3353,X3353,Z3353,AB3353,AD3353,AF3353,AH3353,AJ3353,AL3353,AN3353,AP3353,AR3353,AT3353,AV3353,AX3353)</f>
        <v>18225</v>
      </c>
      <c r="BE3353" s="33" t="n">
        <f aca="false">AZ3353-BD3353</f>
        <v>0</v>
      </c>
      <c r="BF3353" s="34" t="n">
        <f aca="false">BD3353*M3353</f>
        <v>91125</v>
      </c>
      <c r="BG3353" s="35" t="n">
        <f aca="false">BA3353-BF3353</f>
        <v>10</v>
      </c>
      <c r="BH3353" s="19" t="str">
        <f aca="false">IF(BG3353=0,"",IF(BG3353&lt;&gt;BA3353,"erreur de calcul",IF(BD3353&lt;&gt;0,"pas de prix",IF(M3353&lt;&gt; 0,"pas de quantité","pas de prix, ni de quantité"))))</f>
        <v>erreur de calcul</v>
      </c>
      <c r="BI3353" s="19"/>
    </row>
    <row r="3354" customFormat="false" ht="15" hidden="false" customHeight="false" outlineLevel="0" collapsed="false">
      <c r="A3354" s="0" t="n">
        <v>29</v>
      </c>
      <c r="B3354" s="8" t="s">
        <v>24</v>
      </c>
      <c r="C3354" s="9" t="s">
        <v>25</v>
      </c>
      <c r="D3354" s="9" t="s">
        <v>26</v>
      </c>
      <c r="E3354" s="10" t="n">
        <v>1789</v>
      </c>
      <c r="F3354" s="9" t="s">
        <v>27</v>
      </c>
      <c r="G3354" s="9" t="s">
        <v>27</v>
      </c>
      <c r="H3354" s="11" t="n">
        <v>23</v>
      </c>
      <c r="I3354" s="11" t="s">
        <v>271</v>
      </c>
      <c r="J3354" s="14" t="n">
        <v>7</v>
      </c>
      <c r="K3354" s="14" t="n">
        <v>10</v>
      </c>
      <c r="L3354" s="16"/>
      <c r="M3354" s="27" t="n">
        <f aca="false">J3354+(K3354/20)+(L3354/240)</f>
        <v>7.5</v>
      </c>
      <c r="N3354" s="17" t="s">
        <v>64</v>
      </c>
      <c r="O3354" s="11"/>
      <c r="P3354" s="28"/>
      <c r="Q3354" s="28" t="n">
        <f aca="false">P3354*$M3354</f>
        <v>0</v>
      </c>
      <c r="R3354" s="28"/>
      <c r="S3354" s="28" t="n">
        <f aca="false">R3354*$M3354</f>
        <v>0</v>
      </c>
      <c r="T3354" s="28"/>
      <c r="U3354" s="28" t="n">
        <f aca="false">T3354*$M3354</f>
        <v>0</v>
      </c>
      <c r="V3354" s="28" t="n">
        <f aca="false">191888/100</f>
        <v>1918.88</v>
      </c>
      <c r="W3354" s="28" t="n">
        <v>14392</v>
      </c>
      <c r="X3354" s="28"/>
      <c r="Y3354" s="28" t="n">
        <f aca="false">X3354*$M3354</f>
        <v>0</v>
      </c>
      <c r="Z3354" s="28"/>
      <c r="AA3354" s="28" t="n">
        <f aca="false">Z3354*$M3354</f>
        <v>0</v>
      </c>
      <c r="AB3354" s="28"/>
      <c r="AC3354" s="28" t="n">
        <f aca="false">AB3354*$M3354</f>
        <v>0</v>
      </c>
      <c r="AD3354" s="28"/>
      <c r="AE3354" s="28" t="n">
        <f aca="false">AD3354*$M3354</f>
        <v>0</v>
      </c>
      <c r="AF3354" s="28"/>
      <c r="AG3354" s="28" t="n">
        <f aca="false">AF3354*$M3354</f>
        <v>0</v>
      </c>
      <c r="AH3354" s="28"/>
      <c r="AI3354" s="28" t="n">
        <f aca="false">AH3354*$M3354</f>
        <v>0</v>
      </c>
      <c r="AJ3354" s="28"/>
      <c r="AK3354" s="28" t="n">
        <f aca="false">AJ3354*$M3354</f>
        <v>0</v>
      </c>
      <c r="AL3354" s="28"/>
      <c r="AM3354" s="28" t="n">
        <f aca="false">AL3354*$M3354</f>
        <v>0</v>
      </c>
      <c r="AN3354" s="28"/>
      <c r="AO3354" s="28" t="n">
        <f aca="false">AN3354*$M3354</f>
        <v>0</v>
      </c>
      <c r="AP3354" s="28"/>
      <c r="AQ3354" s="28" t="n">
        <f aca="false">AP3354*$M3354</f>
        <v>0</v>
      </c>
      <c r="AR3354" s="28"/>
      <c r="AS3354" s="28" t="n">
        <f aca="false">AR3354*$M3354</f>
        <v>0</v>
      </c>
      <c r="AT3354" s="28"/>
      <c r="AU3354" s="28" t="n">
        <f aca="false">AT3354*$M3354</f>
        <v>0</v>
      </c>
      <c r="AV3354" s="28"/>
      <c r="AW3354" s="28" t="n">
        <f aca="false">AV3354*$M3354</f>
        <v>0</v>
      </c>
      <c r="AX3354" s="28"/>
      <c r="AY3354" s="28" t="n">
        <f aca="false">AX3354*$M3354</f>
        <v>0</v>
      </c>
      <c r="AZ3354" s="30" t="n">
        <f aca="false">191888/100</f>
        <v>1918.88</v>
      </c>
      <c r="BA3354" s="11" t="n">
        <v>14392</v>
      </c>
      <c r="BB3354" s="31" t="n">
        <f aca="false">SUM(Q3354,S3354,U3354,W3354,Y3354,AA3354,AC3354,AE3354,AG3354,AI3354,AK3354,AM3354,AO3354,AQ3354,AS3354,AU3354,AW3354,AY3354)</f>
        <v>14392</v>
      </c>
      <c r="BC3354" s="28" t="n">
        <f aca="false">BA3354-BB3354</f>
        <v>0</v>
      </c>
      <c r="BD3354" s="32" t="n">
        <f aca="false">SUM(P3354,R3354,T3354,V3354,X3354,Z3354,AB3354,AD3354,AF3354,AH3354,AJ3354,AL3354,AN3354,AP3354,AR3354,AT3354,AV3354,AX3354)</f>
        <v>1918.88</v>
      </c>
      <c r="BE3354" s="33" t="n">
        <f aca="false">AZ3354-BD3354</f>
        <v>0</v>
      </c>
      <c r="BF3354" s="34" t="n">
        <f aca="false">BD3354*M3354</f>
        <v>14391.6</v>
      </c>
      <c r="BG3354" s="35" t="n">
        <f aca="false">BA3354-BF3354</f>
        <v>0.399999999999636</v>
      </c>
      <c r="BH3354" s="19" t="str">
        <f aca="false">IF(BG3354=0,"",IF(BG3354&lt;&gt;BA3354,"erreur de calcul",IF(BD3354&lt;&gt;0,"pas de prix",IF(M3354&lt;&gt; 0,"pas de quantité","pas de prix, ni de quantité"))))</f>
        <v>erreur de calcul</v>
      </c>
      <c r="BI3354" s="19"/>
    </row>
    <row r="3355" customFormat="false" ht="15" hidden="false" customHeight="false" outlineLevel="0" collapsed="false">
      <c r="A3355" s="0" t="n">
        <v>30</v>
      </c>
      <c r="B3355" s="8" t="s">
        <v>24</v>
      </c>
      <c r="C3355" s="9" t="s">
        <v>25</v>
      </c>
      <c r="D3355" s="9" t="s">
        <v>26</v>
      </c>
      <c r="E3355" s="10" t="n">
        <v>1789</v>
      </c>
      <c r="F3355" s="9" t="s">
        <v>27</v>
      </c>
      <c r="G3355" s="9" t="s">
        <v>27</v>
      </c>
      <c r="H3355" s="11" t="n">
        <v>23</v>
      </c>
      <c r="I3355" s="11" t="s">
        <v>272</v>
      </c>
      <c r="J3355" s="14" t="n">
        <v>6</v>
      </c>
      <c r="K3355" s="14"/>
      <c r="L3355" s="16"/>
      <c r="M3355" s="27" t="n">
        <f aca="false">J3355+(K3355/20)+(L3355/240)</f>
        <v>6</v>
      </c>
      <c r="N3355" s="17" t="s">
        <v>64</v>
      </c>
      <c r="O3355" s="11"/>
      <c r="P3355" s="28"/>
      <c r="Q3355" s="28" t="n">
        <f aca="false">P3355*$M3355</f>
        <v>0</v>
      </c>
      <c r="R3355" s="28"/>
      <c r="S3355" s="28" t="n">
        <f aca="false">R3355*$M3355</f>
        <v>0</v>
      </c>
      <c r="T3355" s="28" t="n">
        <f aca="false">26711/100</f>
        <v>267.11</v>
      </c>
      <c r="U3355" s="28" t="n">
        <v>1603</v>
      </c>
      <c r="V3355" s="28" t="n">
        <f aca="false">790699/100</f>
        <v>7906.99</v>
      </c>
      <c r="W3355" s="28" t="n">
        <v>47442</v>
      </c>
      <c r="X3355" s="28" t="n">
        <f aca="false">50169/100</f>
        <v>501.69</v>
      </c>
      <c r="Y3355" s="28" t="n">
        <v>3010</v>
      </c>
      <c r="Z3355" s="28"/>
      <c r="AA3355" s="28" t="n">
        <f aca="false">Z3355*$M3355</f>
        <v>0</v>
      </c>
      <c r="AB3355" s="28"/>
      <c r="AC3355" s="28" t="n">
        <f aca="false">AB3355*$M3355</f>
        <v>0</v>
      </c>
      <c r="AD3355" s="28"/>
      <c r="AE3355" s="28" t="n">
        <f aca="false">AD3355*$M3355</f>
        <v>0</v>
      </c>
      <c r="AF3355" s="28"/>
      <c r="AG3355" s="28" t="n">
        <f aca="false">AF3355*$M3355</f>
        <v>0</v>
      </c>
      <c r="AH3355" s="28"/>
      <c r="AI3355" s="28" t="n">
        <f aca="false">AH3355*$M3355</f>
        <v>0</v>
      </c>
      <c r="AJ3355" s="28"/>
      <c r="AK3355" s="28" t="n">
        <f aca="false">AJ3355*$M3355</f>
        <v>0</v>
      </c>
      <c r="AL3355" s="28"/>
      <c r="AM3355" s="28" t="n">
        <f aca="false">AL3355*$M3355</f>
        <v>0</v>
      </c>
      <c r="AN3355" s="28"/>
      <c r="AO3355" s="28" t="n">
        <f aca="false">AN3355*$M3355</f>
        <v>0</v>
      </c>
      <c r="AP3355" s="28"/>
      <c r="AQ3355" s="28" t="n">
        <f aca="false">AP3355*$M3355</f>
        <v>0</v>
      </c>
      <c r="AR3355" s="28"/>
      <c r="AS3355" s="28" t="n">
        <f aca="false">AR3355*$M3355</f>
        <v>0</v>
      </c>
      <c r="AT3355" s="28"/>
      <c r="AU3355" s="28" t="n">
        <f aca="false">AT3355*$M3355</f>
        <v>0</v>
      </c>
      <c r="AV3355" s="28"/>
      <c r="AW3355" s="28" t="n">
        <f aca="false">AV3355*$M3355</f>
        <v>0</v>
      </c>
      <c r="AX3355" s="28"/>
      <c r="AY3355" s="28" t="n">
        <f aca="false">AX3355*$M3355</f>
        <v>0</v>
      </c>
      <c r="AZ3355" s="30" t="n">
        <f aca="false">867559/100</f>
        <v>8675.59</v>
      </c>
      <c r="BA3355" s="11" t="n">
        <v>52055</v>
      </c>
      <c r="BB3355" s="31" t="n">
        <f aca="false">SUM(Q3355,S3355,U3355,W3355,Y3355,AA3355,AC3355,AE3355,AG3355,AI3355,AK3355,AM3355,AO3355,AQ3355,AS3355,AU3355,AW3355,AY3355)</f>
        <v>52055</v>
      </c>
      <c r="BC3355" s="28" t="n">
        <f aca="false">BA3355-BB3355</f>
        <v>0</v>
      </c>
      <c r="BD3355" s="32" t="n">
        <f aca="false">SUM(P3355,R3355,T3355,V3355,X3355,Z3355,AB3355,AD3355,AF3355,AH3355,AJ3355,AL3355,AN3355,AP3355,AR3355,AT3355,AV3355,AX3355)</f>
        <v>8675.79</v>
      </c>
      <c r="BE3355" s="33" t="n">
        <f aca="false">AZ3355-BD3355</f>
        <v>-0.200000000000728</v>
      </c>
      <c r="BF3355" s="34" t="n">
        <f aca="false">BD3355*M3355</f>
        <v>52054.74</v>
      </c>
      <c r="BG3355" s="35" t="n">
        <f aca="false">BA3355-BF3355</f>
        <v>0.259999999994761</v>
      </c>
      <c r="BH3355" s="19" t="str">
        <f aca="false">IF(BG3355=0,"",IF(BG3355&lt;&gt;BA3355,"erreur de calcul",IF(BD3355&lt;&gt;0,"pas de prix",IF(M3355&lt;&gt; 0,"pas de quantité","pas de prix, ni de quantité"))))</f>
        <v>erreur de calcul</v>
      </c>
      <c r="BI3355" s="19"/>
    </row>
    <row r="3356" customFormat="false" ht="15" hidden="false" customHeight="false" outlineLevel="0" collapsed="false">
      <c r="A3356" s="0" t="n">
        <v>31</v>
      </c>
      <c r="B3356" s="8" t="s">
        <v>24</v>
      </c>
      <c r="C3356" s="9" t="s">
        <v>25</v>
      </c>
      <c r="D3356" s="9" t="s">
        <v>26</v>
      </c>
      <c r="E3356" s="10" t="n">
        <v>1789</v>
      </c>
      <c r="F3356" s="9" t="s">
        <v>27</v>
      </c>
      <c r="G3356" s="9" t="s">
        <v>27</v>
      </c>
      <c r="H3356" s="11" t="n">
        <v>23</v>
      </c>
      <c r="I3356" s="11" t="s">
        <v>273</v>
      </c>
      <c r="J3356" s="14" t="n">
        <v>8</v>
      </c>
      <c r="K3356" s="14"/>
      <c r="L3356" s="16"/>
      <c r="M3356" s="27" t="n">
        <f aca="false">J3356+(K3356/20)+(L3356/240)</f>
        <v>8</v>
      </c>
      <c r="N3356" s="17" t="s">
        <v>81</v>
      </c>
      <c r="O3356" s="11"/>
      <c r="P3356" s="28" t="n">
        <v>27</v>
      </c>
      <c r="Q3356" s="28" t="n">
        <v>216</v>
      </c>
      <c r="R3356" s="28"/>
      <c r="S3356" s="28" t="n">
        <f aca="false">R3356*$M3356</f>
        <v>0</v>
      </c>
      <c r="T3356" s="28"/>
      <c r="U3356" s="28" t="n">
        <f aca="false">T3356*$M3356</f>
        <v>0</v>
      </c>
      <c r="V3356" s="28" t="n">
        <v>40</v>
      </c>
      <c r="W3356" s="28" t="n">
        <v>320</v>
      </c>
      <c r="X3356" s="28"/>
      <c r="Y3356" s="28" t="n">
        <f aca="false">X3356*$M3356</f>
        <v>0</v>
      </c>
      <c r="Z3356" s="28"/>
      <c r="AA3356" s="28" t="n">
        <f aca="false">Z3356*$M3356</f>
        <v>0</v>
      </c>
      <c r="AB3356" s="28" t="n">
        <v>164</v>
      </c>
      <c r="AC3356" s="28" t="n">
        <v>1312</v>
      </c>
      <c r="AD3356" s="28"/>
      <c r="AE3356" s="28" t="n">
        <f aca="false">AD3356*$M3356</f>
        <v>0</v>
      </c>
      <c r="AF3356" s="28" t="n">
        <v>263</v>
      </c>
      <c r="AG3356" s="28" t="n">
        <v>2104</v>
      </c>
      <c r="AH3356" s="28"/>
      <c r="AI3356" s="28" t="n">
        <f aca="false">AH3356*$M3356</f>
        <v>0</v>
      </c>
      <c r="AJ3356" s="28"/>
      <c r="AK3356" s="28" t="n">
        <f aca="false">AJ3356*$M3356</f>
        <v>0</v>
      </c>
      <c r="AL3356" s="28"/>
      <c r="AM3356" s="28" t="n">
        <f aca="false">AL3356*$M3356</f>
        <v>0</v>
      </c>
      <c r="AN3356" s="28"/>
      <c r="AO3356" s="28" t="n">
        <f aca="false">AN3356*$M3356</f>
        <v>0</v>
      </c>
      <c r="AP3356" s="28" t="n">
        <v>278</v>
      </c>
      <c r="AQ3356" s="28" t="n">
        <v>2224</v>
      </c>
      <c r="AR3356" s="28"/>
      <c r="AS3356" s="28" t="n">
        <f aca="false">AR3356*$M3356</f>
        <v>0</v>
      </c>
      <c r="AT3356" s="28"/>
      <c r="AU3356" s="28" t="n">
        <f aca="false">AT3356*$M3356</f>
        <v>0</v>
      </c>
      <c r="AV3356" s="28"/>
      <c r="AW3356" s="28" t="n">
        <f aca="false">AV3356*$M3356</f>
        <v>0</v>
      </c>
      <c r="AX3356" s="28"/>
      <c r="AY3356" s="28" t="n">
        <f aca="false">AX3356*$M3356</f>
        <v>0</v>
      </c>
      <c r="AZ3356" s="30" t="n">
        <v>772</v>
      </c>
      <c r="BA3356" s="11" t="n">
        <v>6176</v>
      </c>
      <c r="BB3356" s="31" t="n">
        <f aca="false">SUM(Q3356,S3356,U3356,W3356,Y3356,AA3356,AC3356,AE3356,AG3356,AI3356,AK3356,AM3356,AO3356,AQ3356,AS3356,AU3356,AW3356,AY3356)</f>
        <v>6176</v>
      </c>
      <c r="BC3356" s="28" t="n">
        <f aca="false">BA3356-BB3356</f>
        <v>0</v>
      </c>
      <c r="BD3356" s="32" t="n">
        <f aca="false">SUM(P3356,R3356,T3356,V3356,X3356,Z3356,AB3356,AD3356,AF3356,AH3356,AJ3356,AL3356,AN3356,AP3356,AR3356,AT3356,AV3356,AX3356)</f>
        <v>772</v>
      </c>
      <c r="BE3356" s="33" t="n">
        <f aca="false">AZ3356-BD3356</f>
        <v>0</v>
      </c>
      <c r="BF3356" s="34" t="n">
        <f aca="false">BD3356*M3356</f>
        <v>6176</v>
      </c>
      <c r="BG3356" s="35" t="n">
        <f aca="false">BA3356-BF3356</f>
        <v>0</v>
      </c>
      <c r="BH3356" s="19" t="str">
        <f aca="false">IF(BG3356=0,"",IF(BG3356&lt;&gt;BA3356,"erreur de calcul",IF(BD3356&lt;&gt;0,"pas de prix",IF(M3356&lt;&gt; 0,"pas de quantité","pas de prix, ni de quantité"))))</f>
        <v/>
      </c>
      <c r="BI3356" s="19"/>
    </row>
    <row r="3357" customFormat="false" ht="15" hidden="false" customHeight="false" outlineLevel="0" collapsed="false">
      <c r="A3357" s="0" t="n">
        <v>32</v>
      </c>
      <c r="B3357" s="8" t="s">
        <v>24</v>
      </c>
      <c r="C3357" s="9" t="s">
        <v>25</v>
      </c>
      <c r="D3357" s="9" t="s">
        <v>26</v>
      </c>
      <c r="E3357" s="10" t="n">
        <v>1789</v>
      </c>
      <c r="F3357" s="9" t="s">
        <v>27</v>
      </c>
      <c r="G3357" s="9" t="s">
        <v>27</v>
      </c>
      <c r="H3357" s="11" t="n">
        <v>23</v>
      </c>
      <c r="I3357" s="11" t="s">
        <v>274</v>
      </c>
      <c r="J3357" s="14" t="n">
        <v>17</v>
      </c>
      <c r="K3357" s="14"/>
      <c r="L3357" s="16"/>
      <c r="M3357" s="27" t="n">
        <f aca="false">J3357+(K3357/20)+(L3357/240)</f>
        <v>17</v>
      </c>
      <c r="N3357" s="17" t="s">
        <v>275</v>
      </c>
      <c r="O3357" s="11"/>
      <c r="P3357" s="28" t="n">
        <v>200</v>
      </c>
      <c r="Q3357" s="28" t="n">
        <v>3400</v>
      </c>
      <c r="R3357" s="28"/>
      <c r="S3357" s="28" t="n">
        <f aca="false">R3357*$M3357</f>
        <v>0</v>
      </c>
      <c r="T3357" s="28"/>
      <c r="U3357" s="28" t="n">
        <f aca="false">T3357*$M3357</f>
        <v>0</v>
      </c>
      <c r="V3357" s="28"/>
      <c r="W3357" s="28" t="n">
        <f aca="false">V3357*$M3357</f>
        <v>0</v>
      </c>
      <c r="X3357" s="28" t="n">
        <v>145</v>
      </c>
      <c r="Y3357" s="28" t="n">
        <v>2465</v>
      </c>
      <c r="Z3357" s="28"/>
      <c r="AA3357" s="28" t="n">
        <f aca="false">Z3357*$M3357</f>
        <v>0</v>
      </c>
      <c r="AB3357" s="28"/>
      <c r="AC3357" s="28" t="n">
        <f aca="false">AB3357*$M3357</f>
        <v>0</v>
      </c>
      <c r="AD3357" s="28"/>
      <c r="AE3357" s="28" t="n">
        <f aca="false">AD3357*$M3357</f>
        <v>0</v>
      </c>
      <c r="AF3357" s="28"/>
      <c r="AG3357" s="28" t="n">
        <f aca="false">AF3357*$M3357</f>
        <v>0</v>
      </c>
      <c r="AH3357" s="28"/>
      <c r="AI3357" s="28" t="n">
        <f aca="false">AH3357*$M3357</f>
        <v>0</v>
      </c>
      <c r="AJ3357" s="28"/>
      <c r="AK3357" s="28" t="n">
        <f aca="false">AJ3357*$M3357</f>
        <v>0</v>
      </c>
      <c r="AL3357" s="28" t="n">
        <v>12</v>
      </c>
      <c r="AM3357" s="28" t="n">
        <v>204</v>
      </c>
      <c r="AN3357" s="28"/>
      <c r="AO3357" s="28" t="n">
        <f aca="false">AN3357*$M3357</f>
        <v>0</v>
      </c>
      <c r="AP3357" s="28"/>
      <c r="AQ3357" s="28" t="n">
        <f aca="false">AP3357*$M3357</f>
        <v>0</v>
      </c>
      <c r="AR3357" s="28"/>
      <c r="AS3357" s="28" t="n">
        <f aca="false">AR3357*$M3357</f>
        <v>0</v>
      </c>
      <c r="AT3357" s="28"/>
      <c r="AU3357" s="28" t="n">
        <f aca="false">AT3357*$M3357</f>
        <v>0</v>
      </c>
      <c r="AV3357" s="28"/>
      <c r="AW3357" s="28" t="n">
        <f aca="false">AV3357*$M3357</f>
        <v>0</v>
      </c>
      <c r="AX3357" s="28"/>
      <c r="AY3357" s="28" t="n">
        <f aca="false">AX3357*$M3357</f>
        <v>0</v>
      </c>
      <c r="AZ3357" s="30" t="n">
        <v>357</v>
      </c>
      <c r="BA3357" s="11" t="n">
        <v>6069</v>
      </c>
      <c r="BB3357" s="31" t="n">
        <f aca="false">SUM(Q3357,S3357,U3357,W3357,Y3357,AA3357,AC3357,AE3357,AG3357,AI3357,AK3357,AM3357,AO3357,AQ3357,AS3357,AU3357,AW3357,AY3357)</f>
        <v>6069</v>
      </c>
      <c r="BC3357" s="28" t="n">
        <f aca="false">BA3357-BB3357</f>
        <v>0</v>
      </c>
      <c r="BD3357" s="32" t="n">
        <f aca="false">SUM(P3357,R3357,T3357,V3357,X3357,Z3357,AB3357,AD3357,AF3357,AH3357,AJ3357,AL3357,AN3357,AP3357,AR3357,AT3357,AV3357,AX3357)</f>
        <v>357</v>
      </c>
      <c r="BE3357" s="33" t="n">
        <f aca="false">AZ3357-BD3357</f>
        <v>0</v>
      </c>
      <c r="BF3357" s="34" t="n">
        <f aca="false">BD3357*M3357</f>
        <v>6069</v>
      </c>
      <c r="BG3357" s="35" t="n">
        <f aca="false">BA3357-BF3357</f>
        <v>0</v>
      </c>
      <c r="BH3357" s="19" t="str">
        <f aca="false">IF(BG3357=0,"",IF(BG3357&lt;&gt;BA3357,"erreur de calcul",IF(BD3357&lt;&gt;0,"pas de prix",IF(M3357&lt;&gt; 0,"pas de quantité","pas de prix, ni de quantité"))))</f>
        <v/>
      </c>
      <c r="BI3357" s="19" t="s">
        <v>275</v>
      </c>
    </row>
    <row r="3358" customFormat="false" ht="15" hidden="false" customHeight="false" outlineLevel="0" collapsed="false">
      <c r="A3358" s="0" t="n">
        <v>33</v>
      </c>
      <c r="B3358" s="8" t="s">
        <v>24</v>
      </c>
      <c r="C3358" s="9" t="s">
        <v>25</v>
      </c>
      <c r="D3358" s="9" t="s">
        <v>26</v>
      </c>
      <c r="E3358" s="10" t="n">
        <v>1789</v>
      </c>
      <c r="F3358" s="9" t="s">
        <v>27</v>
      </c>
      <c r="G3358" s="9" t="s">
        <v>27</v>
      </c>
      <c r="H3358" s="11" t="n">
        <v>23</v>
      </c>
      <c r="I3358" s="11" t="s">
        <v>276</v>
      </c>
      <c r="J3358" s="14" t="n">
        <v>36</v>
      </c>
      <c r="K3358" s="14"/>
      <c r="L3358" s="16"/>
      <c r="M3358" s="27" t="n">
        <f aca="false">J3358+(K3358/20)+(L3358/240)</f>
        <v>36</v>
      </c>
      <c r="N3358" s="17" t="s">
        <v>275</v>
      </c>
      <c r="O3358" s="11" t="s">
        <v>277</v>
      </c>
      <c r="P3358" s="28"/>
      <c r="Q3358" s="28" t="n">
        <f aca="false">P3358*$M3358</f>
        <v>0</v>
      </c>
      <c r="R3358" s="28"/>
      <c r="S3358" s="28" t="n">
        <f aca="false">R3358*$M3358</f>
        <v>0</v>
      </c>
      <c r="T3358" s="28"/>
      <c r="U3358" s="28" t="n">
        <f aca="false">T3358*$M3358</f>
        <v>0</v>
      </c>
      <c r="V3358" s="28"/>
      <c r="W3358" s="28" t="n">
        <f aca="false">V3358*$M3358</f>
        <v>0</v>
      </c>
      <c r="X3358" s="28"/>
      <c r="Y3358" s="28" t="n">
        <f aca="false">X3358*$M3358</f>
        <v>0</v>
      </c>
      <c r="Z3358" s="28"/>
      <c r="AA3358" s="28" t="n">
        <f aca="false">Z3358*$M3358</f>
        <v>0</v>
      </c>
      <c r="AB3358" s="28"/>
      <c r="AC3358" s="28" t="n">
        <f aca="false">AB3358*$M3358</f>
        <v>0</v>
      </c>
      <c r="AD3358" s="28"/>
      <c r="AE3358" s="28" t="n">
        <f aca="false">AD3358*$M3358</f>
        <v>0</v>
      </c>
      <c r="AF3358" s="28"/>
      <c r="AG3358" s="28" t="n">
        <f aca="false">AF3358*$M3358</f>
        <v>0</v>
      </c>
      <c r="AH3358" s="28"/>
      <c r="AI3358" s="28" t="n">
        <f aca="false">AH3358*$M3358</f>
        <v>0</v>
      </c>
      <c r="AJ3358" s="28"/>
      <c r="AK3358" s="28" t="n">
        <f aca="false">AJ3358*$M3358</f>
        <v>0</v>
      </c>
      <c r="AL3358" s="28"/>
      <c r="AM3358" s="28" t="n">
        <f aca="false">AL3358*$M3358</f>
        <v>0</v>
      </c>
      <c r="AN3358" s="28"/>
      <c r="AO3358" s="28" t="n">
        <f aca="false">AN3358*$M3358</f>
        <v>0</v>
      </c>
      <c r="AP3358" s="28"/>
      <c r="AQ3358" s="28" t="n">
        <f aca="false">AP3358*$M3358</f>
        <v>0</v>
      </c>
      <c r="AR3358" s="28"/>
      <c r="AS3358" s="28" t="n">
        <f aca="false">AR3358*$M3358</f>
        <v>0</v>
      </c>
      <c r="AT3358" s="28"/>
      <c r="AU3358" s="28" t="n">
        <f aca="false">AT3358*$M3358</f>
        <v>0</v>
      </c>
      <c r="AV3358" s="28"/>
      <c r="AW3358" s="28" t="n">
        <f aca="false">AV3358*$M3358</f>
        <v>0</v>
      </c>
      <c r="AX3358" s="28"/>
      <c r="AY3358" s="28" t="n">
        <f aca="false">AX3358*$M3358</f>
        <v>0</v>
      </c>
      <c r="AZ3358" s="30"/>
      <c r="BA3358" s="11"/>
      <c r="BB3358" s="31" t="n">
        <f aca="false">SUM(Q3358,S3358,U3358,W3358,Y3358,AA3358,AC3358,AE3358,AG3358,AI3358,AK3358,AM3358,AO3358,AQ3358,AS3358,AU3358,AW3358,AY3358)</f>
        <v>0</v>
      </c>
      <c r="BC3358" s="28" t="n">
        <f aca="false">BA3358-BB3358</f>
        <v>0</v>
      </c>
      <c r="BD3358" s="32" t="n">
        <f aca="false">SUM(P3358,R3358,T3358,V3358,X3358,Z3358,AB3358,AD3358,AF3358,AH3358,AJ3358,AL3358,AN3358,AP3358,AR3358,AT3358,AV3358,AX3358)</f>
        <v>0</v>
      </c>
      <c r="BE3358" s="33" t="n">
        <f aca="false">AZ3358-BD3358</f>
        <v>0</v>
      </c>
      <c r="BF3358" s="34" t="n">
        <f aca="false">BD3358*M3358</f>
        <v>0</v>
      </c>
      <c r="BG3358" s="35" t="n">
        <f aca="false">BA3358-BF3358</f>
        <v>0</v>
      </c>
      <c r="BH3358" s="19" t="str">
        <f aca="false">IF(BG3358=0,"",IF(BG3358&lt;&gt;BA3358,"erreur de calcul",IF(BD3358&lt;&gt;0,"pas de prix",IF(M3358&lt;&gt; 0,"pas de quantité","pas de prix, ni de quantité"))))</f>
        <v/>
      </c>
      <c r="BI3358" s="19" t="s">
        <v>275</v>
      </c>
    </row>
    <row r="3359" customFormat="false" ht="15" hidden="false" customHeight="false" outlineLevel="0" collapsed="false">
      <c r="A3359" s="0" t="n">
        <v>34</v>
      </c>
      <c r="B3359" s="8" t="s">
        <v>24</v>
      </c>
      <c r="C3359" s="9" t="s">
        <v>25</v>
      </c>
      <c r="D3359" s="9" t="s">
        <v>26</v>
      </c>
      <c r="E3359" s="10" t="n">
        <v>1789</v>
      </c>
      <c r="F3359" s="9" t="s">
        <v>27</v>
      </c>
      <c r="G3359" s="9" t="s">
        <v>27</v>
      </c>
      <c r="H3359" s="11" t="n">
        <v>23</v>
      </c>
      <c r="I3359" s="11" t="s">
        <v>276</v>
      </c>
      <c r="J3359" s="14" t="n">
        <v>36</v>
      </c>
      <c r="K3359" s="14"/>
      <c r="L3359" s="16"/>
      <c r="M3359" s="27" t="n">
        <f aca="false">J3359+(K3359/20)+(L3359/240)</f>
        <v>36</v>
      </c>
      <c r="N3359" s="17" t="s">
        <v>275</v>
      </c>
      <c r="O3359" s="11" t="s">
        <v>77</v>
      </c>
      <c r="P3359" s="28" t="n">
        <v>7250</v>
      </c>
      <c r="Q3359" s="28" t="n">
        <v>261000</v>
      </c>
      <c r="R3359" s="28"/>
      <c r="S3359" s="28" t="n">
        <f aca="false">R3359*$M3359</f>
        <v>0</v>
      </c>
      <c r="T3359" s="28" t="n">
        <v>38389</v>
      </c>
      <c r="U3359" s="28" t="n">
        <v>1382004</v>
      </c>
      <c r="V3359" s="28" t="n">
        <v>19350</v>
      </c>
      <c r="W3359" s="28" t="n">
        <v>696600</v>
      </c>
      <c r="X3359" s="28" t="n">
        <v>25392</v>
      </c>
      <c r="Y3359" s="28" t="n">
        <v>914112</v>
      </c>
      <c r="Z3359" s="28" t="n">
        <v>31863</v>
      </c>
      <c r="AA3359" s="28" t="n">
        <v>1147068</v>
      </c>
      <c r="AB3359" s="28" t="n">
        <v>149064</v>
      </c>
      <c r="AC3359" s="28" t="n">
        <v>5366304</v>
      </c>
      <c r="AD3359" s="28" t="n">
        <v>1270</v>
      </c>
      <c r="AE3359" s="28" t="n">
        <v>45720</v>
      </c>
      <c r="AF3359" s="28" t="n">
        <v>54784</v>
      </c>
      <c r="AG3359" s="28" t="n">
        <v>1972224</v>
      </c>
      <c r="AH3359" s="28" t="n">
        <v>1200</v>
      </c>
      <c r="AI3359" s="28" t="n">
        <v>43200</v>
      </c>
      <c r="AJ3359" s="28" t="n">
        <v>10055</v>
      </c>
      <c r="AK3359" s="28" t="n">
        <v>361980</v>
      </c>
      <c r="AL3359" s="28"/>
      <c r="AM3359" s="28" t="n">
        <f aca="false">AL3359*$M3359</f>
        <v>0</v>
      </c>
      <c r="AN3359" s="28"/>
      <c r="AO3359" s="28" t="n">
        <f aca="false">AN3359*$M3359</f>
        <v>0</v>
      </c>
      <c r="AP3359" s="28" t="n">
        <v>220</v>
      </c>
      <c r="AQ3359" s="28" t="n">
        <f aca="false">AP3359*$M3359</f>
        <v>7920</v>
      </c>
      <c r="AR3359" s="28"/>
      <c r="AS3359" s="28" t="n">
        <f aca="false">AR3359*$M3359</f>
        <v>0</v>
      </c>
      <c r="AT3359" s="28"/>
      <c r="AU3359" s="28" t="n">
        <f aca="false">AT3359*$M3359</f>
        <v>0</v>
      </c>
      <c r="AV3359" s="28" t="n">
        <v>100</v>
      </c>
      <c r="AW3359" s="28" t="n">
        <v>3600</v>
      </c>
      <c r="AX3359" s="28" t="n">
        <v>9241</v>
      </c>
      <c r="AY3359" s="28" t="n">
        <v>332676</v>
      </c>
      <c r="AZ3359" s="30" t="n">
        <v>348178</v>
      </c>
      <c r="BA3359" s="11" t="n">
        <v>12534408</v>
      </c>
      <c r="BB3359" s="31" t="n">
        <f aca="false">SUM(Q3359,S3359,U3359,W3359,Y3359,AA3359,AC3359,AE3359,AG3359,AI3359,AK3359,AM3359,AO3359,AQ3359,AS3359,AU3359,AW3359,AY3359)</f>
        <v>12534408</v>
      </c>
      <c r="BC3359" s="28" t="n">
        <f aca="false">BA3359-BB3359</f>
        <v>0</v>
      </c>
      <c r="BD3359" s="32" t="n">
        <f aca="false">SUM(P3359,R3359,T3359,V3359,X3359,Z3359,AB3359,AD3359,AF3359,AH3359,AJ3359,AL3359,AN3359,AP3359,AR3359,AT3359,AV3359,AX3359)</f>
        <v>348178</v>
      </c>
      <c r="BE3359" s="33" t="n">
        <f aca="false">AZ3359-BD3359</f>
        <v>0</v>
      </c>
      <c r="BF3359" s="34" t="n">
        <f aca="false">BD3359*M3359</f>
        <v>12534408</v>
      </c>
      <c r="BG3359" s="35" t="n">
        <f aca="false">BA3359-BF3359</f>
        <v>0</v>
      </c>
      <c r="BH3359" s="19" t="str">
        <f aca="false">IF(BG3359=0,"",IF(BG3359&lt;&gt;BA3359,"erreur de calcul",IF(BD3359&lt;&gt;0,"pas de prix",IF(M3359&lt;&gt; 0,"pas de quantité","pas de prix, ni de quantité"))))</f>
        <v/>
      </c>
      <c r="BI3359" s="19"/>
    </row>
    <row r="3360" customFormat="false" ht="15" hidden="false" customHeight="false" outlineLevel="0" collapsed="false">
      <c r="A3360" s="0" t="n">
        <v>35</v>
      </c>
      <c r="B3360" s="8" t="s">
        <v>24</v>
      </c>
      <c r="C3360" s="9" t="s">
        <v>25</v>
      </c>
      <c r="D3360" s="9" t="s">
        <v>26</v>
      </c>
      <c r="E3360" s="10" t="n">
        <v>1789</v>
      </c>
      <c r="F3360" s="9" t="s">
        <v>27</v>
      </c>
      <c r="G3360" s="9" t="s">
        <v>27</v>
      </c>
      <c r="H3360" s="11" t="n">
        <v>23</v>
      </c>
      <c r="I3360" s="11" t="s">
        <v>278</v>
      </c>
      <c r="J3360" s="14" t="n">
        <v>12</v>
      </c>
      <c r="K3360" s="14"/>
      <c r="L3360" s="16"/>
      <c r="M3360" s="27" t="n">
        <f aca="false">J3360+(K3360/20)+(L3360/240)</f>
        <v>12</v>
      </c>
      <c r="N3360" s="17" t="s">
        <v>64</v>
      </c>
      <c r="O3360" s="11" t="s">
        <v>77</v>
      </c>
      <c r="P3360" s="28" t="n">
        <f aca="false">351312/100</f>
        <v>3513.12</v>
      </c>
      <c r="Q3360" s="28" t="n">
        <v>42157</v>
      </c>
      <c r="R3360" s="28"/>
      <c r="S3360" s="28" t="n">
        <f aca="false">R3360*$M3360</f>
        <v>0</v>
      </c>
      <c r="T3360" s="28" t="n">
        <f aca="false">52251/100</f>
        <v>522.51</v>
      </c>
      <c r="U3360" s="28" t="n">
        <v>6270</v>
      </c>
      <c r="V3360" s="28" t="n">
        <f aca="false">2393/100</f>
        <v>23.93</v>
      </c>
      <c r="W3360" s="28" t="n">
        <v>287</v>
      </c>
      <c r="X3360" s="28" t="n">
        <f aca="false">44842/100</f>
        <v>448.42</v>
      </c>
      <c r="Y3360" s="28" t="n">
        <v>5381</v>
      </c>
      <c r="Z3360" s="28"/>
      <c r="AA3360" s="28" t="n">
        <f aca="false">Z3360*$M3360</f>
        <v>0</v>
      </c>
      <c r="AB3360" s="28"/>
      <c r="AC3360" s="28" t="n">
        <f aca="false">AB3360*$M3360</f>
        <v>0</v>
      </c>
      <c r="AD3360" s="28"/>
      <c r="AE3360" s="28" t="n">
        <f aca="false">AD3360*$M3360</f>
        <v>0</v>
      </c>
      <c r="AF3360" s="28" t="n">
        <f aca="false">164167/100</f>
        <v>1641.67</v>
      </c>
      <c r="AG3360" s="28" t="n">
        <v>19700</v>
      </c>
      <c r="AH3360" s="28"/>
      <c r="AI3360" s="28" t="n">
        <f aca="false">AH3360*$M3360</f>
        <v>0</v>
      </c>
      <c r="AJ3360" s="28"/>
      <c r="AK3360" s="28" t="n">
        <f aca="false">AJ3360*$M3360</f>
        <v>0</v>
      </c>
      <c r="AL3360" s="28"/>
      <c r="AM3360" s="28" t="n">
        <f aca="false">AL3360*$M3360</f>
        <v>0</v>
      </c>
      <c r="AN3360" s="28"/>
      <c r="AO3360" s="28" t="n">
        <f aca="false">AN3360*$M3360</f>
        <v>0</v>
      </c>
      <c r="AP3360" s="28"/>
      <c r="AQ3360" s="28" t="n">
        <f aca="false">AP3360*$M3360</f>
        <v>0</v>
      </c>
      <c r="AR3360" s="28"/>
      <c r="AS3360" s="28" t="n">
        <f aca="false">AR3360*$M3360</f>
        <v>0</v>
      </c>
      <c r="AT3360" s="28"/>
      <c r="AU3360" s="28" t="n">
        <f aca="false">AT3360*$M3360</f>
        <v>0</v>
      </c>
      <c r="AV3360" s="28"/>
      <c r="AW3360" s="28" t="n">
        <f aca="false">AV3360*$M3360</f>
        <v>0</v>
      </c>
      <c r="AX3360" s="28" t="n">
        <f aca="false">25000/100</f>
        <v>250</v>
      </c>
      <c r="AY3360" s="28" t="n">
        <v>3000</v>
      </c>
      <c r="AZ3360" s="30"/>
      <c r="BA3360" s="11" t="n">
        <v>76795</v>
      </c>
      <c r="BB3360" s="31" t="n">
        <f aca="false">SUM(Q3360,S3360,U3360,W3360,Y3360,AA3360,AC3360,AE3360,AG3360,AI3360,AK3360,AM3360,AO3360,AQ3360,AS3360,AU3360,AW3360,AY3360)</f>
        <v>76795</v>
      </c>
      <c r="BC3360" s="28" t="n">
        <f aca="false">BA3360-BB3360</f>
        <v>0</v>
      </c>
      <c r="BD3360" s="32" t="n">
        <f aca="false">SUM(P3360,R3360,T3360,V3360,X3360,Z3360,AB3360,AD3360,AF3360,AH3360,AJ3360,AL3360,AN3360,AP3360,AR3360,AT3360,AV3360,AX3360)</f>
        <v>6399.65</v>
      </c>
      <c r="BE3360" s="33" t="n">
        <f aca="false">AZ3360-BD3360</f>
        <v>-6399.65</v>
      </c>
      <c r="BF3360" s="34" t="n">
        <f aca="false">BD3360*M3360</f>
        <v>76795.8</v>
      </c>
      <c r="BG3360" s="35" t="n">
        <f aca="false">BA3360-BF3360</f>
        <v>-0.799999999988359</v>
      </c>
      <c r="BH3360" s="19" t="str">
        <f aca="false">IF(BG3360=0,"",IF(BG3360&lt;&gt;BA3360,"erreur de calcul",IF(BD3360&lt;&gt;0,"pas de prix",IF(M3360&lt;&gt; 0,"pas de quantité","pas de prix, ni de quantité"))))</f>
        <v>erreur de calcul</v>
      </c>
      <c r="BI3360" s="19"/>
    </row>
    <row r="3361" customFormat="false" ht="15" hidden="false" customHeight="false" outlineLevel="0" collapsed="false">
      <c r="A3361" s="0" t="n">
        <v>36</v>
      </c>
      <c r="B3361" s="8" t="s">
        <v>24</v>
      </c>
      <c r="C3361" s="9" t="s">
        <v>25</v>
      </c>
      <c r="D3361" s="9" t="s">
        <v>26</v>
      </c>
      <c r="E3361" s="10" t="n">
        <v>1789</v>
      </c>
      <c r="F3361" s="9" t="s">
        <v>27</v>
      </c>
      <c r="G3361" s="9" t="s">
        <v>27</v>
      </c>
      <c r="H3361" s="11" t="n">
        <v>23</v>
      </c>
      <c r="I3361" s="11" t="s">
        <v>279</v>
      </c>
      <c r="J3361" s="14" t="n">
        <v>18</v>
      </c>
      <c r="K3361" s="14"/>
      <c r="L3361" s="16"/>
      <c r="M3361" s="27" t="n">
        <f aca="false">J3361+(K3361/20)+(L3361/240)</f>
        <v>18</v>
      </c>
      <c r="N3361" s="17" t="s">
        <v>275</v>
      </c>
      <c r="O3361" s="11"/>
      <c r="P3361" s="28"/>
      <c r="Q3361" s="28" t="n">
        <f aca="false">P3361*$M3361</f>
        <v>0</v>
      </c>
      <c r="R3361" s="28"/>
      <c r="S3361" s="28" t="n">
        <f aca="false">R3361*$M3361</f>
        <v>0</v>
      </c>
      <c r="T3361" s="28" t="n">
        <v>100</v>
      </c>
      <c r="U3361" s="28" t="n">
        <v>1800</v>
      </c>
      <c r="V3361" s="28"/>
      <c r="W3361" s="28" t="n">
        <f aca="false">V3361*$M3361</f>
        <v>0</v>
      </c>
      <c r="X3361" s="28"/>
      <c r="Y3361" s="28" t="n">
        <f aca="false">X3361*$M3361</f>
        <v>0</v>
      </c>
      <c r="Z3361" s="28"/>
      <c r="AA3361" s="28" t="n">
        <f aca="false">Z3361*$M3361</f>
        <v>0</v>
      </c>
      <c r="AB3361" s="28" t="n">
        <v>1936</v>
      </c>
      <c r="AC3361" s="28" t="n">
        <v>34848</v>
      </c>
      <c r="AD3361" s="28"/>
      <c r="AE3361" s="28" t="n">
        <f aca="false">AD3361*$M3361</f>
        <v>0</v>
      </c>
      <c r="AF3361" s="28" t="n">
        <v>600</v>
      </c>
      <c r="AG3361" s="28" t="n">
        <v>10800</v>
      </c>
      <c r="AH3361" s="28"/>
      <c r="AI3361" s="28" t="n">
        <f aca="false">AH3361*$M3361</f>
        <v>0</v>
      </c>
      <c r="AJ3361" s="28"/>
      <c r="AK3361" s="28" t="n">
        <f aca="false">AJ3361*$M3361</f>
        <v>0</v>
      </c>
      <c r="AL3361" s="28" t="n">
        <v>12</v>
      </c>
      <c r="AM3361" s="28" t="n">
        <v>216</v>
      </c>
      <c r="AN3361" s="28"/>
      <c r="AO3361" s="28" t="n">
        <f aca="false">AN3361*$M3361</f>
        <v>0</v>
      </c>
      <c r="AP3361" s="28" t="n">
        <v>12</v>
      </c>
      <c r="AQ3361" s="28" t="n">
        <v>216</v>
      </c>
      <c r="AR3361" s="28"/>
      <c r="AS3361" s="28" t="n">
        <f aca="false">AR3361*$M3361</f>
        <v>0</v>
      </c>
      <c r="AT3361" s="28"/>
      <c r="AU3361" s="28" t="n">
        <f aca="false">AT3361*$M3361</f>
        <v>0</v>
      </c>
      <c r="AV3361" s="28"/>
      <c r="AW3361" s="28" t="n">
        <f aca="false">AV3361*$M3361</f>
        <v>0</v>
      </c>
      <c r="AX3361" s="28"/>
      <c r="AY3361" s="28" t="n">
        <f aca="false">AX3361*$M3361</f>
        <v>0</v>
      </c>
      <c r="AZ3361" s="30" t="n">
        <v>2660</v>
      </c>
      <c r="BA3361" s="11" t="n">
        <v>47880</v>
      </c>
      <c r="BB3361" s="31" t="n">
        <f aca="false">SUM(Q3361,S3361,U3361,W3361,Y3361,AA3361,AC3361,AE3361,AG3361,AI3361,AK3361,AM3361,AO3361,AQ3361,AS3361,AU3361,AW3361,AY3361)</f>
        <v>47880</v>
      </c>
      <c r="BC3361" s="28" t="n">
        <f aca="false">BA3361-BB3361</f>
        <v>0</v>
      </c>
      <c r="BD3361" s="32" t="n">
        <f aca="false">SUM(P3361,R3361,T3361,V3361,X3361,Z3361,AB3361,AD3361,AF3361,AH3361,AJ3361,AL3361,AN3361,AP3361,AR3361,AT3361,AV3361,AX3361)</f>
        <v>2660</v>
      </c>
      <c r="BE3361" s="33" t="n">
        <f aca="false">AZ3361-BD3361</f>
        <v>0</v>
      </c>
      <c r="BF3361" s="34" t="n">
        <f aca="false">BD3361*M3361</f>
        <v>47880</v>
      </c>
      <c r="BG3361" s="35" t="n">
        <f aca="false">BA3361-BF3361</f>
        <v>0</v>
      </c>
      <c r="BH3361" s="19" t="str">
        <f aca="false">IF(BG3361=0,"",IF(BG3361&lt;&gt;BA3361,"erreur de calcul",IF(BD3361&lt;&gt;0,"pas de prix",IF(M3361&lt;&gt; 0,"pas de quantité","pas de prix, ni de quantité"))))</f>
        <v/>
      </c>
      <c r="BI3361" s="19"/>
    </row>
    <row r="3362" customFormat="false" ht="15" hidden="false" customHeight="false" outlineLevel="0" collapsed="false">
      <c r="A3362" s="0" t="n">
        <v>37</v>
      </c>
      <c r="B3362" s="8" t="s">
        <v>24</v>
      </c>
      <c r="C3362" s="9" t="s">
        <v>25</v>
      </c>
      <c r="D3362" s="9" t="s">
        <v>26</v>
      </c>
      <c r="E3362" s="10" t="n">
        <v>1789</v>
      </c>
      <c r="F3362" s="9" t="s">
        <v>27</v>
      </c>
      <c r="G3362" s="9" t="s">
        <v>27</v>
      </c>
      <c r="H3362" s="11" t="n">
        <v>23</v>
      </c>
      <c r="I3362" s="11" t="s">
        <v>280</v>
      </c>
      <c r="J3362" s="14" t="n">
        <v>25</v>
      </c>
      <c r="K3362" s="14"/>
      <c r="L3362" s="16"/>
      <c r="M3362" s="27" t="n">
        <f aca="false">J3362+(K3362/20)+(L3362/240)</f>
        <v>25</v>
      </c>
      <c r="N3362" s="17" t="s">
        <v>64</v>
      </c>
      <c r="O3362" s="11"/>
      <c r="P3362" s="28"/>
      <c r="Q3362" s="28" t="n">
        <f aca="false">P3362*$M3362</f>
        <v>0</v>
      </c>
      <c r="R3362" s="28"/>
      <c r="S3362" s="28" t="n">
        <f aca="false">R3362*$M3362</f>
        <v>0</v>
      </c>
      <c r="T3362" s="28" t="n">
        <f aca="false">1664501/100</f>
        <v>16645.01</v>
      </c>
      <c r="U3362" s="28" t="n">
        <v>416125</v>
      </c>
      <c r="V3362" s="28" t="n">
        <f aca="false">2171980/100</f>
        <v>21719.8</v>
      </c>
      <c r="W3362" s="28" t="n">
        <v>542995</v>
      </c>
      <c r="X3362" s="28" t="n">
        <f aca="false">11567/100</f>
        <v>115.67</v>
      </c>
      <c r="Y3362" s="28" t="n">
        <v>2892</v>
      </c>
      <c r="Z3362" s="28" t="n">
        <f aca="false">985/100</f>
        <v>9.85</v>
      </c>
      <c r="AA3362" s="28" t="n">
        <v>246</v>
      </c>
      <c r="AB3362" s="28" t="n">
        <f aca="false">399494/100</f>
        <v>3994.94</v>
      </c>
      <c r="AC3362" s="28" t="n">
        <v>99873</v>
      </c>
      <c r="AD3362" s="28"/>
      <c r="AE3362" s="28" t="n">
        <f aca="false">AD3362*$M3362</f>
        <v>0</v>
      </c>
      <c r="AF3362" s="28"/>
      <c r="AG3362" s="28" t="n">
        <f aca="false">AF3362*$M3362</f>
        <v>0</v>
      </c>
      <c r="AH3362" s="28"/>
      <c r="AI3362" s="28" t="n">
        <f aca="false">AH3362*$M3362</f>
        <v>0</v>
      </c>
      <c r="AJ3362" s="28"/>
      <c r="AK3362" s="28" t="n">
        <f aca="false">AJ3362*$M3362</f>
        <v>0</v>
      </c>
      <c r="AL3362" s="28"/>
      <c r="AM3362" s="28" t="n">
        <f aca="false">AL3362*$M3362</f>
        <v>0</v>
      </c>
      <c r="AN3362" s="28"/>
      <c r="AO3362" s="28" t="n">
        <f aca="false">AN3362*$M3362</f>
        <v>0</v>
      </c>
      <c r="AP3362" s="28"/>
      <c r="AQ3362" s="28" t="n">
        <f aca="false">AP3362*$M3362</f>
        <v>0</v>
      </c>
      <c r="AR3362" s="28"/>
      <c r="AS3362" s="28" t="n">
        <f aca="false">AR3362*$M3362</f>
        <v>0</v>
      </c>
      <c r="AT3362" s="28"/>
      <c r="AU3362" s="28" t="n">
        <f aca="false">AT3362*$M3362</f>
        <v>0</v>
      </c>
      <c r="AV3362" s="28"/>
      <c r="AW3362" s="28" t="n">
        <f aca="false">AV3362*$M3362</f>
        <v>0</v>
      </c>
      <c r="AX3362" s="28" t="n">
        <f aca="false">57000/100</f>
        <v>570</v>
      </c>
      <c r="AY3362" s="28" t="n">
        <v>14250</v>
      </c>
      <c r="AZ3362" s="30" t="n">
        <f aca="false">4305527/100</f>
        <v>43055.27</v>
      </c>
      <c r="BA3362" s="11" t="n">
        <v>1076381</v>
      </c>
      <c r="BB3362" s="31" t="n">
        <f aca="false">SUM(Q3362,S3362,U3362,W3362,Y3362,AA3362,AC3362,AE3362,AG3362,AI3362,AK3362,AM3362,AO3362,AQ3362,AS3362,AU3362,AW3362,AY3362)</f>
        <v>1076381</v>
      </c>
      <c r="BC3362" s="28" t="n">
        <f aca="false">BA3362-BB3362</f>
        <v>0</v>
      </c>
      <c r="BD3362" s="32" t="n">
        <f aca="false">SUM(P3362,R3362,T3362,V3362,X3362,Z3362,AB3362,AD3362,AF3362,AH3362,AJ3362,AL3362,AN3362,AP3362,AR3362,AT3362,AV3362,AX3362)</f>
        <v>43055.27</v>
      </c>
      <c r="BE3362" s="33" t="n">
        <f aca="false">AZ3362-BD3362</f>
        <v>0</v>
      </c>
      <c r="BF3362" s="34" t="n">
        <f aca="false">BD3362*M3362</f>
        <v>1076381.75</v>
      </c>
      <c r="BG3362" s="35" t="n">
        <f aca="false">BA3362-BF3362</f>
        <v>-0.75</v>
      </c>
      <c r="BH3362" s="19" t="str">
        <f aca="false">IF(BG3362=0,"",IF(BG3362&lt;&gt;BA3362,"erreur de calcul",IF(BD3362&lt;&gt;0,"pas de prix",IF(M3362&lt;&gt; 0,"pas de quantité","pas de prix, ni de quantité"))))</f>
        <v>erreur de calcul</v>
      </c>
      <c r="BI3362" s="19"/>
    </row>
    <row r="3363" customFormat="false" ht="15" hidden="false" customHeight="false" outlineLevel="0" collapsed="false">
      <c r="A3363" s="0" t="n">
        <v>38</v>
      </c>
      <c r="B3363" s="8" t="s">
        <v>24</v>
      </c>
      <c r="C3363" s="9" t="s">
        <v>25</v>
      </c>
      <c r="D3363" s="9" t="s">
        <v>26</v>
      </c>
      <c r="E3363" s="10" t="n">
        <v>1789</v>
      </c>
      <c r="F3363" s="9" t="s">
        <v>27</v>
      </c>
      <c r="G3363" s="9" t="s">
        <v>27</v>
      </c>
      <c r="H3363" s="11" t="n">
        <v>23</v>
      </c>
      <c r="I3363" s="11" t="s">
        <v>281</v>
      </c>
      <c r="J3363" s="14" t="n">
        <v>18</v>
      </c>
      <c r="K3363" s="14"/>
      <c r="L3363" s="16"/>
      <c r="M3363" s="27" t="n">
        <f aca="false">J3363+(K3363/20)+(L3363/240)</f>
        <v>18</v>
      </c>
      <c r="N3363" s="17" t="s">
        <v>275</v>
      </c>
      <c r="O3363" s="11"/>
      <c r="P3363" s="28"/>
      <c r="Q3363" s="28" t="n">
        <f aca="false">P3363*$M3363</f>
        <v>0</v>
      </c>
      <c r="R3363" s="28"/>
      <c r="S3363" s="28" t="n">
        <f aca="false">R3363*$M3363</f>
        <v>0</v>
      </c>
      <c r="T3363" s="28" t="n">
        <v>537</v>
      </c>
      <c r="U3363" s="28" t="n">
        <v>9666</v>
      </c>
      <c r="V3363" s="28"/>
      <c r="W3363" s="28" t="n">
        <f aca="false">V3363*$M3363</f>
        <v>0</v>
      </c>
      <c r="X3363" s="28"/>
      <c r="Y3363" s="28" t="n">
        <f aca="false">X3363*$M3363</f>
        <v>0</v>
      </c>
      <c r="Z3363" s="28"/>
      <c r="AA3363" s="28" t="n">
        <f aca="false">Z3363*$M3363</f>
        <v>0</v>
      </c>
      <c r="AB3363" s="28"/>
      <c r="AC3363" s="28" t="n">
        <f aca="false">AB3363*$M3363</f>
        <v>0</v>
      </c>
      <c r="AD3363" s="28"/>
      <c r="AE3363" s="28" t="n">
        <f aca="false">AD3363*$M3363</f>
        <v>0</v>
      </c>
      <c r="AF3363" s="28"/>
      <c r="AG3363" s="28" t="n">
        <f aca="false">AF3363*$M3363</f>
        <v>0</v>
      </c>
      <c r="AH3363" s="28"/>
      <c r="AI3363" s="28" t="n">
        <f aca="false">AH3363*$M3363</f>
        <v>0</v>
      </c>
      <c r="AJ3363" s="28"/>
      <c r="AK3363" s="28" t="n">
        <f aca="false">AJ3363*$M3363</f>
        <v>0</v>
      </c>
      <c r="AL3363" s="28"/>
      <c r="AM3363" s="28" t="n">
        <f aca="false">AL3363*$M3363</f>
        <v>0</v>
      </c>
      <c r="AN3363" s="28"/>
      <c r="AO3363" s="28" t="n">
        <f aca="false">AN3363*$M3363</f>
        <v>0</v>
      </c>
      <c r="AP3363" s="28"/>
      <c r="AQ3363" s="28" t="n">
        <f aca="false">AP3363*$M3363</f>
        <v>0</v>
      </c>
      <c r="AR3363" s="28"/>
      <c r="AS3363" s="28" t="n">
        <f aca="false">AR3363*$M3363</f>
        <v>0</v>
      </c>
      <c r="AT3363" s="28"/>
      <c r="AU3363" s="28" t="n">
        <f aca="false">AT3363*$M3363</f>
        <v>0</v>
      </c>
      <c r="AV3363" s="28" t="n">
        <v>1700</v>
      </c>
      <c r="AW3363" s="36" t="n">
        <v>33600</v>
      </c>
      <c r="AX3363" s="28"/>
      <c r="AY3363" s="28" t="n">
        <f aca="false">AX3363*$M3363</f>
        <v>0</v>
      </c>
      <c r="AZ3363" s="30" t="n">
        <v>2237</v>
      </c>
      <c r="BA3363" s="11" t="n">
        <v>43266</v>
      </c>
      <c r="BB3363" s="31" t="n">
        <f aca="false">SUM(Q3363,S3363,U3363,W3363,Y3363,AA3363,AC3363,AE3363,AG3363,AI3363,AK3363,AM3363,AO3363,AQ3363,AS3363,AU3363,AW3363,AY3363)</f>
        <v>43266</v>
      </c>
      <c r="BC3363" s="28" t="n">
        <f aca="false">BA3363-BB3363</f>
        <v>0</v>
      </c>
      <c r="BD3363" s="32" t="n">
        <f aca="false">SUM(P3363,R3363,T3363,V3363,X3363,Z3363,AB3363,AD3363,AF3363,AH3363,AJ3363,AL3363,AN3363,AP3363,AR3363,AT3363,AV3363,AX3363)</f>
        <v>2237</v>
      </c>
      <c r="BE3363" s="33" t="n">
        <f aca="false">AZ3363-BD3363</f>
        <v>0</v>
      </c>
      <c r="BF3363" s="34" t="n">
        <f aca="false">BD3363*M3363</f>
        <v>40266</v>
      </c>
      <c r="BG3363" s="35" t="n">
        <f aca="false">BA3363-BF3363</f>
        <v>3000</v>
      </c>
      <c r="BH3363" s="19" t="str">
        <f aca="false">IF(BG3363=0,"",IF(BG3363&lt;&gt;BA3363,"erreur de calcul",IF(BD3363&lt;&gt;0,"pas de prix",IF(M3363&lt;&gt; 0,"pas de quantité","pas de prix, ni de quantité"))))</f>
        <v>erreur de calcul</v>
      </c>
      <c r="BI3363" s="19"/>
    </row>
    <row r="3364" customFormat="false" ht="15" hidden="false" customHeight="false" outlineLevel="0" collapsed="false">
      <c r="A3364" s="0" t="n">
        <v>39</v>
      </c>
      <c r="B3364" s="8" t="s">
        <v>24</v>
      </c>
      <c r="C3364" s="9" t="s">
        <v>25</v>
      </c>
      <c r="D3364" s="9" t="s">
        <v>26</v>
      </c>
      <c r="E3364" s="10" t="n">
        <v>1789</v>
      </c>
      <c r="F3364" s="9" t="s">
        <v>27</v>
      </c>
      <c r="G3364" s="9" t="s">
        <v>27</v>
      </c>
      <c r="H3364" s="11" t="n">
        <v>23</v>
      </c>
      <c r="I3364" s="11" t="s">
        <v>282</v>
      </c>
      <c r="J3364" s="14"/>
      <c r="K3364" s="14"/>
      <c r="L3364" s="16"/>
      <c r="M3364" s="27" t="n">
        <f aca="false">J3364+(K3364/20)+(L3364/240)</f>
        <v>0</v>
      </c>
      <c r="N3364" s="17"/>
      <c r="O3364" s="11"/>
      <c r="P3364" s="28"/>
      <c r="Q3364" s="28" t="n">
        <f aca="false">P3364*$M3364</f>
        <v>0</v>
      </c>
      <c r="R3364" s="28"/>
      <c r="S3364" s="28" t="n">
        <f aca="false">R3364*$M3364</f>
        <v>0</v>
      </c>
      <c r="T3364" s="28"/>
      <c r="U3364" s="28" t="n">
        <v>1962</v>
      </c>
      <c r="V3364" s="28"/>
      <c r="W3364" s="28" t="n">
        <v>148</v>
      </c>
      <c r="X3364" s="28"/>
      <c r="Y3364" s="28" t="n">
        <v>221</v>
      </c>
      <c r="Z3364" s="28"/>
      <c r="AA3364" s="28" t="n">
        <f aca="false">Z3364*$M3364</f>
        <v>0</v>
      </c>
      <c r="AB3364" s="28"/>
      <c r="AC3364" s="28" t="n">
        <v>725</v>
      </c>
      <c r="AD3364" s="28"/>
      <c r="AE3364" s="28" t="n">
        <f aca="false">AD3364*$M3364</f>
        <v>0</v>
      </c>
      <c r="AF3364" s="28"/>
      <c r="AG3364" s="28" t="n">
        <v>414</v>
      </c>
      <c r="AH3364" s="28"/>
      <c r="AI3364" s="28" t="n">
        <f aca="false">AH3364*$M3364</f>
        <v>0</v>
      </c>
      <c r="AJ3364" s="28"/>
      <c r="AK3364" s="28" t="n">
        <f aca="false">AJ3364*$M3364</f>
        <v>0</v>
      </c>
      <c r="AL3364" s="28"/>
      <c r="AM3364" s="28" t="n">
        <f aca="false">AL3364*$M3364</f>
        <v>0</v>
      </c>
      <c r="AN3364" s="28"/>
      <c r="AO3364" s="28" t="n">
        <f aca="false">AN3364*$M3364</f>
        <v>0</v>
      </c>
      <c r="AP3364" s="28"/>
      <c r="AQ3364" s="28" t="n">
        <f aca="false">AP3364*$M3364</f>
        <v>0</v>
      </c>
      <c r="AR3364" s="28"/>
      <c r="AS3364" s="28" t="n">
        <f aca="false">AR3364*$M3364</f>
        <v>0</v>
      </c>
      <c r="AT3364" s="28"/>
      <c r="AU3364" s="28" t="n">
        <v>276</v>
      </c>
      <c r="AV3364" s="28"/>
      <c r="AW3364" s="28" t="n">
        <f aca="false">AV3364*$M3364</f>
        <v>0</v>
      </c>
      <c r="AX3364" s="28"/>
      <c r="AY3364" s="28" t="n">
        <f aca="false">AX3364*$M3364</f>
        <v>0</v>
      </c>
      <c r="AZ3364" s="30"/>
      <c r="BA3364" s="11" t="n">
        <v>3746</v>
      </c>
      <c r="BB3364" s="31" t="n">
        <f aca="false">SUM(Q3364,S3364,U3364,W3364,Y3364,AA3364,AC3364,AE3364,AG3364,AI3364,AK3364,AM3364,AO3364,AQ3364,AS3364,AU3364,AW3364,AY3364)</f>
        <v>3746</v>
      </c>
      <c r="BC3364" s="28" t="n">
        <f aca="false">BA3364-BB3364</f>
        <v>0</v>
      </c>
      <c r="BD3364" s="32" t="n">
        <f aca="false">SUM(P3364,R3364,T3364,V3364,X3364,Z3364,AB3364,AD3364,AF3364,AH3364,AJ3364,AL3364,AN3364,AP3364,AR3364,AT3364,AV3364,AX3364)</f>
        <v>0</v>
      </c>
      <c r="BE3364" s="33" t="n">
        <f aca="false">AZ3364-BD3364</f>
        <v>0</v>
      </c>
      <c r="BF3364" s="34" t="n">
        <f aca="false">BD3364*M3364</f>
        <v>0</v>
      </c>
      <c r="BG3364" s="35" t="n">
        <f aca="false">BA3364-BF3364</f>
        <v>3746</v>
      </c>
      <c r="BH3364" s="19" t="str">
        <f aca="false">IF(BG3364=0,"",IF(BG3364&lt;&gt;BA3364,"erreur de calcul",IF(BD3364&lt;&gt;0,"pas de prix",IF(M3364&lt;&gt; 0,"pas de quantité","pas de prix, ni de quantité"))))</f>
        <v>pas de prix, ni de quantité</v>
      </c>
      <c r="BI3364" s="19"/>
    </row>
    <row r="3365" customFormat="false" ht="15" hidden="false" customHeight="false" outlineLevel="0" collapsed="false">
      <c r="A3365" s="0" t="n">
        <v>40</v>
      </c>
      <c r="B3365" s="8" t="s">
        <v>24</v>
      </c>
      <c r="C3365" s="9" t="s">
        <v>25</v>
      </c>
      <c r="D3365" s="9" t="s">
        <v>26</v>
      </c>
      <c r="E3365" s="10" t="n">
        <v>1789</v>
      </c>
      <c r="F3365" s="9" t="s">
        <v>27</v>
      </c>
      <c r="G3365" s="9" t="s">
        <v>27</v>
      </c>
      <c r="H3365" s="11" t="n">
        <v>23</v>
      </c>
      <c r="I3365" s="11" t="s">
        <v>283</v>
      </c>
      <c r="J3365" s="14" t="n">
        <v>25</v>
      </c>
      <c r="K3365" s="14"/>
      <c r="L3365" s="16"/>
      <c r="M3365" s="27" t="n">
        <f aca="false">J3365+(K3365/20)+(L3365/240)</f>
        <v>25</v>
      </c>
      <c r="N3365" s="17" t="s">
        <v>64</v>
      </c>
      <c r="O3365" s="11"/>
      <c r="P3365" s="28" t="n">
        <f aca="false">12568/100</f>
        <v>125.68</v>
      </c>
      <c r="Q3365" s="28" t="n">
        <v>3142</v>
      </c>
      <c r="R3365" s="28"/>
      <c r="S3365" s="28" t="n">
        <f aca="false">R3365*$M3365</f>
        <v>0</v>
      </c>
      <c r="T3365" s="28"/>
      <c r="U3365" s="28" t="n">
        <f aca="false">T3365*$M3365</f>
        <v>0</v>
      </c>
      <c r="V3365" s="28"/>
      <c r="W3365" s="28" t="n">
        <f aca="false">V3365*$M3365</f>
        <v>0</v>
      </c>
      <c r="X3365" s="28"/>
      <c r="Y3365" s="28" t="n">
        <f aca="false">X3365*$M3365</f>
        <v>0</v>
      </c>
      <c r="Z3365" s="28"/>
      <c r="AA3365" s="28" t="n">
        <f aca="false">Z3365*$M3365</f>
        <v>0</v>
      </c>
      <c r="AB3365" s="28"/>
      <c r="AC3365" s="28" t="n">
        <f aca="false">AB3365*$M3365</f>
        <v>0</v>
      </c>
      <c r="AD3365" s="28"/>
      <c r="AE3365" s="28" t="n">
        <f aca="false">AD3365*$M3365</f>
        <v>0</v>
      </c>
      <c r="AF3365" s="28"/>
      <c r="AG3365" s="28" t="n">
        <f aca="false">AF3365*$M3365</f>
        <v>0</v>
      </c>
      <c r="AH3365" s="28" t="n">
        <f aca="false">5355/100</f>
        <v>53.55</v>
      </c>
      <c r="AI3365" s="28" t="n">
        <v>1339</v>
      </c>
      <c r="AJ3365" s="28"/>
      <c r="AK3365" s="28" t="n">
        <f aca="false">AJ3365*$M3365</f>
        <v>0</v>
      </c>
      <c r="AL3365" s="28"/>
      <c r="AM3365" s="28" t="n">
        <f aca="false">AL3365*$M3365</f>
        <v>0</v>
      </c>
      <c r="AN3365" s="28"/>
      <c r="AO3365" s="28" t="n">
        <f aca="false">AN3365*$M3365</f>
        <v>0</v>
      </c>
      <c r="AP3365" s="28"/>
      <c r="AQ3365" s="28" t="n">
        <f aca="false">AP3365*$M3365</f>
        <v>0</v>
      </c>
      <c r="AR3365" s="28"/>
      <c r="AS3365" s="28" t="n">
        <f aca="false">AR3365*$M3365</f>
        <v>0</v>
      </c>
      <c r="AT3365" s="28"/>
      <c r="AU3365" s="28" t="n">
        <f aca="false">AT3365*$M3365</f>
        <v>0</v>
      </c>
      <c r="AV3365" s="28"/>
      <c r="AW3365" s="28" t="n">
        <f aca="false">AV3365*$M3365</f>
        <v>0</v>
      </c>
      <c r="AX3365" s="28"/>
      <c r="AY3365" s="28" t="n">
        <f aca="false">AX3365*$M3365</f>
        <v>0</v>
      </c>
      <c r="AZ3365" s="30" t="n">
        <f aca="false">17923/100</f>
        <v>179.23</v>
      </c>
      <c r="BA3365" s="11" t="n">
        <v>4481</v>
      </c>
      <c r="BB3365" s="31" t="n">
        <f aca="false">SUM(Q3365,S3365,U3365,W3365,Y3365,AA3365,AC3365,AE3365,AG3365,AI3365,AK3365,AM3365,AO3365,AQ3365,AS3365,AU3365,AW3365,AY3365)</f>
        <v>4481</v>
      </c>
      <c r="BC3365" s="28" t="n">
        <f aca="false">BA3365-BB3365</f>
        <v>0</v>
      </c>
      <c r="BD3365" s="32" t="n">
        <f aca="false">SUM(P3365,R3365,T3365,V3365,X3365,Z3365,AB3365,AD3365,AF3365,AH3365,AJ3365,AL3365,AN3365,AP3365,AR3365,AT3365,AV3365,AX3365)</f>
        <v>179.23</v>
      </c>
      <c r="BE3365" s="33" t="n">
        <f aca="false">AZ3365-BD3365</f>
        <v>0</v>
      </c>
      <c r="BF3365" s="34" t="n">
        <f aca="false">BD3365*M3365</f>
        <v>4480.75</v>
      </c>
      <c r="BG3365" s="35" t="n">
        <f aca="false">BA3365-BF3365</f>
        <v>0.25</v>
      </c>
      <c r="BH3365" s="19" t="str">
        <f aca="false">IF(BG3365=0,"",IF(BG3365&lt;&gt;BA3365,"erreur de calcul",IF(BD3365&lt;&gt;0,"pas de prix",IF(M3365&lt;&gt; 0,"pas de quantité","pas de prix, ni de quantité"))))</f>
        <v>erreur de calcul</v>
      </c>
      <c r="BI3365" s="19"/>
    </row>
    <row r="3366" customFormat="false" ht="15" hidden="false" customHeight="false" outlineLevel="0" collapsed="false">
      <c r="A3366" s="0" t="n">
        <v>41</v>
      </c>
      <c r="B3366" s="8" t="s">
        <v>24</v>
      </c>
      <c r="C3366" s="9" t="s">
        <v>25</v>
      </c>
      <c r="D3366" s="9" t="s">
        <v>26</v>
      </c>
      <c r="E3366" s="10" t="n">
        <v>1789</v>
      </c>
      <c r="F3366" s="9" t="s">
        <v>27</v>
      </c>
      <c r="G3366" s="9" t="s">
        <v>27</v>
      </c>
      <c r="H3366" s="11" t="n">
        <v>23</v>
      </c>
      <c r="I3366" s="11" t="s">
        <v>284</v>
      </c>
      <c r="J3366" s="14" t="n">
        <v>17</v>
      </c>
      <c r="K3366" s="14"/>
      <c r="L3366" s="16"/>
      <c r="M3366" s="27" t="n">
        <f aca="false">J3366+(K3366/20)+(L3366/240)</f>
        <v>17</v>
      </c>
      <c r="N3366" s="17" t="s">
        <v>64</v>
      </c>
      <c r="O3366" s="11"/>
      <c r="P3366" s="28" t="n">
        <f aca="false">56873/100</f>
        <v>568.73</v>
      </c>
      <c r="Q3366" s="36" t="n">
        <v>3981</v>
      </c>
      <c r="R3366" s="28"/>
      <c r="S3366" s="28" t="n">
        <f aca="false">R3366*$M3366</f>
        <v>0</v>
      </c>
      <c r="T3366" s="28"/>
      <c r="U3366" s="28" t="n">
        <f aca="false">T3366*$M3366</f>
        <v>0</v>
      </c>
      <c r="V3366" s="28"/>
      <c r="W3366" s="28" t="n">
        <f aca="false">V3366*$M3366</f>
        <v>0</v>
      </c>
      <c r="X3366" s="28"/>
      <c r="Y3366" s="28" t="n">
        <f aca="false">X3366*$M3366</f>
        <v>0</v>
      </c>
      <c r="Z3366" s="28"/>
      <c r="AA3366" s="28" t="n">
        <f aca="false">Z3366*$M3366</f>
        <v>0</v>
      </c>
      <c r="AB3366" s="28"/>
      <c r="AC3366" s="28" t="n">
        <f aca="false">AB3366*$M3366</f>
        <v>0</v>
      </c>
      <c r="AD3366" s="28"/>
      <c r="AE3366" s="28" t="n">
        <f aca="false">AD3366*$M3366</f>
        <v>0</v>
      </c>
      <c r="AF3366" s="28"/>
      <c r="AG3366" s="28" t="n">
        <f aca="false">AF3366*$M3366</f>
        <v>0</v>
      </c>
      <c r="AH3366" s="28"/>
      <c r="AI3366" s="28" t="n">
        <f aca="false">AH3366*$M3366</f>
        <v>0</v>
      </c>
      <c r="AJ3366" s="28" t="n">
        <f aca="false">19651/100</f>
        <v>196.51</v>
      </c>
      <c r="AK3366" s="28" t="n">
        <v>3341</v>
      </c>
      <c r="AL3366" s="28"/>
      <c r="AM3366" s="28" t="n">
        <f aca="false">AL3366*$M3366</f>
        <v>0</v>
      </c>
      <c r="AN3366" s="28"/>
      <c r="AO3366" s="28" t="n">
        <f aca="false">AN3366*$M3366</f>
        <v>0</v>
      </c>
      <c r="AP3366" s="28"/>
      <c r="AQ3366" s="28" t="n">
        <f aca="false">AP3366*$M3366</f>
        <v>0</v>
      </c>
      <c r="AR3366" s="28"/>
      <c r="AS3366" s="28" t="n">
        <f aca="false">AR3366*$M3366</f>
        <v>0</v>
      </c>
      <c r="AT3366" s="28"/>
      <c r="AU3366" s="28" t="n">
        <f aca="false">AT3366*$M3366</f>
        <v>0</v>
      </c>
      <c r="AV3366" s="28"/>
      <c r="AW3366" s="28" t="n">
        <f aca="false">AV3366*$M3366</f>
        <v>0</v>
      </c>
      <c r="AX3366" s="28"/>
      <c r="AY3366" s="28" t="n">
        <f aca="false">AX3366*$M3366</f>
        <v>0</v>
      </c>
      <c r="AZ3366" s="30" t="n">
        <f aca="false">76524/100</f>
        <v>765.24</v>
      </c>
      <c r="BA3366" s="11" t="n">
        <v>7322</v>
      </c>
      <c r="BB3366" s="31" t="n">
        <f aca="false">SUM(Q3366,S3366,U3366,W3366,Y3366,AA3366,AC3366,AE3366,AG3366,AI3366,AK3366,AM3366,AO3366,AQ3366,AS3366,AU3366,AW3366,AY3366)</f>
        <v>7322</v>
      </c>
      <c r="BC3366" s="28" t="n">
        <f aca="false">BA3366-BB3366</f>
        <v>0</v>
      </c>
      <c r="BD3366" s="32" t="n">
        <f aca="false">SUM(P3366,R3366,T3366,V3366,X3366,Z3366,AB3366,AD3366,AF3366,AH3366,AJ3366,AL3366,AN3366,AP3366,AR3366,AT3366,AV3366,AX3366)</f>
        <v>765.24</v>
      </c>
      <c r="BE3366" s="33" t="n">
        <f aca="false">AZ3366-BD3366</f>
        <v>0</v>
      </c>
      <c r="BF3366" s="34" t="n">
        <f aca="false">BD3366*M3366</f>
        <v>13009.08</v>
      </c>
      <c r="BG3366" s="35" t="n">
        <f aca="false">BA3366-BF3366</f>
        <v>-5687.08</v>
      </c>
      <c r="BH3366" s="19" t="str">
        <f aca="false">IF(BG3366=0,"",IF(BG3366&lt;&gt;BA3366,"erreur de calcul",IF(BD3366&lt;&gt;0,"pas de prix",IF(M3366&lt;&gt; 0,"pas de quantité","pas de prix, ni de quantité"))))</f>
        <v>erreur de calcul</v>
      </c>
      <c r="BI3366" s="19"/>
    </row>
    <row r="3367" customFormat="false" ht="15" hidden="false" customHeight="false" outlineLevel="0" collapsed="false">
      <c r="A3367" s="0" t="n">
        <v>42</v>
      </c>
      <c r="B3367" s="8" t="s">
        <v>24</v>
      </c>
      <c r="C3367" s="9" t="s">
        <v>25</v>
      </c>
      <c r="D3367" s="9" t="s">
        <v>26</v>
      </c>
      <c r="E3367" s="10" t="n">
        <v>1789</v>
      </c>
      <c r="F3367" s="9" t="s">
        <v>27</v>
      </c>
      <c r="G3367" s="9" t="s">
        <v>27</v>
      </c>
      <c r="H3367" s="11" t="n">
        <v>23</v>
      </c>
      <c r="I3367" s="11" t="s">
        <v>285</v>
      </c>
      <c r="J3367" s="14" t="n">
        <v>15</v>
      </c>
      <c r="K3367" s="14"/>
      <c r="L3367" s="16"/>
      <c r="M3367" s="27" t="n">
        <f aca="false">J3367+(K3367/20)+(L3367/240)</f>
        <v>15</v>
      </c>
      <c r="N3367" s="17" t="s">
        <v>64</v>
      </c>
      <c r="O3367" s="11"/>
      <c r="P3367" s="28" t="n">
        <f aca="false">10520/100</f>
        <v>105.2</v>
      </c>
      <c r="Q3367" s="28" t="n">
        <v>1578</v>
      </c>
      <c r="R3367" s="28"/>
      <c r="S3367" s="28" t="n">
        <f aca="false">R3367*$M3367</f>
        <v>0</v>
      </c>
      <c r="T3367" s="28"/>
      <c r="U3367" s="28" t="n">
        <f aca="false">T3367*$M3367</f>
        <v>0</v>
      </c>
      <c r="V3367" s="28"/>
      <c r="W3367" s="28" t="n">
        <f aca="false">V3367*$M3367</f>
        <v>0</v>
      </c>
      <c r="X3367" s="28" t="n">
        <f aca="false">39052/100</f>
        <v>390.52</v>
      </c>
      <c r="Y3367" s="28" t="n">
        <v>5858</v>
      </c>
      <c r="Z3367" s="28"/>
      <c r="AA3367" s="28" t="n">
        <f aca="false">Z3367*$M3367</f>
        <v>0</v>
      </c>
      <c r="AB3367" s="28" t="n">
        <f aca="false">101189/100</f>
        <v>1011.89</v>
      </c>
      <c r="AC3367" s="28" t="n">
        <v>15178</v>
      </c>
      <c r="AD3367" s="28"/>
      <c r="AE3367" s="28" t="n">
        <f aca="false">AD3367*$M3367</f>
        <v>0</v>
      </c>
      <c r="AF3367" s="28" t="n">
        <f aca="false">48408/100</f>
        <v>484.08</v>
      </c>
      <c r="AG3367" s="28" t="n">
        <v>7261</v>
      </c>
      <c r="AH3367" s="28" t="n">
        <f aca="false">17847/100</f>
        <v>178.47</v>
      </c>
      <c r="AI3367" s="28" t="n">
        <v>2677</v>
      </c>
      <c r="AJ3367" s="28"/>
      <c r="AK3367" s="28" t="n">
        <f aca="false">AJ3367*$M3367</f>
        <v>0</v>
      </c>
      <c r="AL3367" s="28"/>
      <c r="AM3367" s="28" t="n">
        <f aca="false">AL3367*$M3367</f>
        <v>0</v>
      </c>
      <c r="AN3367" s="28"/>
      <c r="AO3367" s="28" t="n">
        <f aca="false">AN3367*$M3367</f>
        <v>0</v>
      </c>
      <c r="AP3367" s="28"/>
      <c r="AQ3367" s="28" t="n">
        <f aca="false">AP3367*$M3367</f>
        <v>0</v>
      </c>
      <c r="AR3367" s="28"/>
      <c r="AS3367" s="28" t="n">
        <f aca="false">AR3367*$M3367</f>
        <v>0</v>
      </c>
      <c r="AT3367" s="28"/>
      <c r="AU3367" s="28" t="n">
        <f aca="false">AT3367*$M3367</f>
        <v>0</v>
      </c>
      <c r="AV3367" s="28"/>
      <c r="AW3367" s="28" t="n">
        <f aca="false">AV3367*$M3367</f>
        <v>0</v>
      </c>
      <c r="AX3367" s="28"/>
      <c r="AY3367" s="28" t="n">
        <f aca="false">AX3367*$M3367</f>
        <v>0</v>
      </c>
      <c r="AZ3367" s="30" t="n">
        <f aca="false">217016/100</f>
        <v>2170.16</v>
      </c>
      <c r="BA3367" s="11" t="n">
        <v>32552</v>
      </c>
      <c r="BB3367" s="31" t="n">
        <f aca="false">SUM(Q3367,S3367,U3367,W3367,Y3367,AA3367,AC3367,AE3367,AG3367,AI3367,AK3367,AM3367,AO3367,AQ3367,AS3367,AU3367,AW3367,AY3367)</f>
        <v>32552</v>
      </c>
      <c r="BC3367" s="28" t="n">
        <f aca="false">BA3367-BB3367</f>
        <v>0</v>
      </c>
      <c r="BD3367" s="32" t="n">
        <f aca="false">SUM(P3367,R3367,T3367,V3367,X3367,Z3367,AB3367,AD3367,AF3367,AH3367,AJ3367,AL3367,AN3367,AP3367,AR3367,AT3367,AV3367,AX3367)</f>
        <v>2170.16</v>
      </c>
      <c r="BE3367" s="33" t="n">
        <f aca="false">AZ3367-BD3367</f>
        <v>0</v>
      </c>
      <c r="BF3367" s="34" t="n">
        <f aca="false">BD3367*M3367</f>
        <v>32552.4</v>
      </c>
      <c r="BG3367" s="35" t="n">
        <f aca="false">BA3367-BF3367</f>
        <v>-0.399999999997817</v>
      </c>
      <c r="BH3367" s="19" t="str">
        <f aca="false">IF(BG3367=0,"",IF(BG3367&lt;&gt;BA3367,"erreur de calcul",IF(BD3367&lt;&gt;0,"pas de prix",IF(M3367&lt;&gt; 0,"pas de quantité","pas de prix, ni de quantité"))))</f>
        <v>erreur de calcul</v>
      </c>
      <c r="BI3367" s="19"/>
    </row>
    <row r="3368" customFormat="false" ht="15" hidden="false" customHeight="false" outlineLevel="0" collapsed="false">
      <c r="A3368" s="0" t="n">
        <v>43</v>
      </c>
      <c r="B3368" s="8" t="s">
        <v>24</v>
      </c>
      <c r="C3368" s="9" t="s">
        <v>25</v>
      </c>
      <c r="D3368" s="9" t="s">
        <v>26</v>
      </c>
      <c r="E3368" s="10" t="n">
        <v>1789</v>
      </c>
      <c r="F3368" s="9" t="s">
        <v>27</v>
      </c>
      <c r="G3368" s="9" t="s">
        <v>27</v>
      </c>
      <c r="H3368" s="11" t="n">
        <v>23</v>
      </c>
      <c r="I3368" s="11" t="s">
        <v>286</v>
      </c>
      <c r="J3368" s="14" t="n">
        <v>20</v>
      </c>
      <c r="K3368" s="14"/>
      <c r="L3368" s="16"/>
      <c r="M3368" s="27" t="n">
        <f aca="false">J3368+(K3368/20)+(L3368/240)</f>
        <v>20</v>
      </c>
      <c r="N3368" s="17" t="s">
        <v>64</v>
      </c>
      <c r="O3368" s="11"/>
      <c r="P3368" s="28"/>
      <c r="Q3368" s="28" t="n">
        <f aca="false">P3368*$M3368</f>
        <v>0</v>
      </c>
      <c r="R3368" s="28"/>
      <c r="S3368" s="28" t="n">
        <f aca="false">R3368*$M3368</f>
        <v>0</v>
      </c>
      <c r="T3368" s="28"/>
      <c r="U3368" s="28" t="n">
        <f aca="false">T3368*$M3368</f>
        <v>0</v>
      </c>
      <c r="V3368" s="28"/>
      <c r="W3368" s="28" t="n">
        <f aca="false">V3368*$M3368</f>
        <v>0</v>
      </c>
      <c r="X3368" s="28"/>
      <c r="Y3368" s="28" t="n">
        <f aca="false">X3368*$M3368</f>
        <v>0</v>
      </c>
      <c r="Z3368" s="28"/>
      <c r="AA3368" s="28" t="n">
        <f aca="false">Z3368*$M3368</f>
        <v>0</v>
      </c>
      <c r="AB3368" s="28" t="n">
        <f aca="false">8852/100</f>
        <v>88.52</v>
      </c>
      <c r="AC3368" s="28" t="n">
        <v>1770</v>
      </c>
      <c r="AD3368" s="28"/>
      <c r="AE3368" s="28" t="n">
        <f aca="false">AD3368*$M3368</f>
        <v>0</v>
      </c>
      <c r="AF3368" s="28"/>
      <c r="AG3368" s="28" t="n">
        <f aca="false">AF3368*$M3368</f>
        <v>0</v>
      </c>
      <c r="AH3368" s="28"/>
      <c r="AI3368" s="28" t="n">
        <f aca="false">AH3368*$M3368</f>
        <v>0</v>
      </c>
      <c r="AJ3368" s="28"/>
      <c r="AK3368" s="28" t="n">
        <f aca="false">AJ3368*$M3368</f>
        <v>0</v>
      </c>
      <c r="AL3368" s="28"/>
      <c r="AM3368" s="28" t="n">
        <f aca="false">AL3368*$M3368</f>
        <v>0</v>
      </c>
      <c r="AN3368" s="28"/>
      <c r="AO3368" s="28" t="n">
        <f aca="false">AN3368*$M3368</f>
        <v>0</v>
      </c>
      <c r="AP3368" s="28"/>
      <c r="AQ3368" s="28" t="n">
        <f aca="false">AP3368*$M3368</f>
        <v>0</v>
      </c>
      <c r="AR3368" s="28"/>
      <c r="AS3368" s="28" t="n">
        <f aca="false">AR3368*$M3368</f>
        <v>0</v>
      </c>
      <c r="AT3368" s="28"/>
      <c r="AU3368" s="28" t="n">
        <f aca="false">AT3368*$M3368</f>
        <v>0</v>
      </c>
      <c r="AV3368" s="28"/>
      <c r="AW3368" s="28" t="n">
        <f aca="false">AV3368*$M3368</f>
        <v>0</v>
      </c>
      <c r="AX3368" s="28"/>
      <c r="AY3368" s="28" t="n">
        <f aca="false">AX3368*$M3368</f>
        <v>0</v>
      </c>
      <c r="AZ3368" s="30" t="n">
        <f aca="false">8852/100</f>
        <v>88.52</v>
      </c>
      <c r="BA3368" s="11" t="n">
        <v>1770</v>
      </c>
      <c r="BB3368" s="31" t="n">
        <f aca="false">SUM(Q3368,S3368,U3368,W3368,Y3368,AA3368,AC3368,AE3368,AG3368,AI3368,AK3368,AM3368,AO3368,AQ3368,AS3368,AU3368,AW3368,AY3368)</f>
        <v>1770</v>
      </c>
      <c r="BC3368" s="28" t="n">
        <f aca="false">BA3368-BB3368</f>
        <v>0</v>
      </c>
      <c r="BD3368" s="32" t="n">
        <f aca="false">SUM(P3368,R3368,T3368,V3368,X3368,Z3368,AB3368,AD3368,AF3368,AH3368,AJ3368,AL3368,AN3368,AP3368,AR3368,AT3368,AV3368,AX3368)</f>
        <v>88.52</v>
      </c>
      <c r="BE3368" s="33" t="n">
        <f aca="false">AZ3368-BD3368</f>
        <v>0</v>
      </c>
      <c r="BF3368" s="34" t="n">
        <f aca="false">BD3368*M3368</f>
        <v>1770.4</v>
      </c>
      <c r="BG3368" s="35" t="n">
        <f aca="false">BA3368-BF3368</f>
        <v>-0.399999999999864</v>
      </c>
      <c r="BH3368" s="19" t="str">
        <f aca="false">IF(BG3368=0,"",IF(BG3368&lt;&gt;BA3368,"erreur de calcul",IF(BD3368&lt;&gt;0,"pas de prix",IF(M3368&lt;&gt; 0,"pas de quantité","pas de prix, ni de quantité"))))</f>
        <v>erreur de calcul</v>
      </c>
      <c r="BI3368" s="19"/>
    </row>
    <row r="3369" customFormat="false" ht="15" hidden="false" customHeight="false" outlineLevel="0" collapsed="false">
      <c r="A3369" s="0" t="n">
        <v>44</v>
      </c>
      <c r="B3369" s="8" t="s">
        <v>24</v>
      </c>
      <c r="C3369" s="9" t="s">
        <v>25</v>
      </c>
      <c r="D3369" s="9" t="s">
        <v>26</v>
      </c>
      <c r="E3369" s="10" t="n">
        <v>1789</v>
      </c>
      <c r="F3369" s="9" t="s">
        <v>27</v>
      </c>
      <c r="G3369" s="9" t="s">
        <v>27</v>
      </c>
      <c r="H3369" s="11" t="n">
        <v>23</v>
      </c>
      <c r="I3369" s="11" t="s">
        <v>287</v>
      </c>
      <c r="J3369" s="14" t="n">
        <v>25</v>
      </c>
      <c r="K3369" s="14"/>
      <c r="L3369" s="16"/>
      <c r="M3369" s="27" t="n">
        <f aca="false">J3369+(K3369/20)+(L3369/240)</f>
        <v>25</v>
      </c>
      <c r="N3369" s="17" t="s">
        <v>64</v>
      </c>
      <c r="O3369" s="11" t="s">
        <v>77</v>
      </c>
      <c r="P3369" s="28" t="n">
        <f aca="false">13782/100</f>
        <v>137.82</v>
      </c>
      <c r="Q3369" s="28" t="n">
        <v>3445</v>
      </c>
      <c r="R3369" s="28"/>
      <c r="S3369" s="28" t="n">
        <f aca="false">R3369*$M3369</f>
        <v>0</v>
      </c>
      <c r="T3369" s="28"/>
      <c r="U3369" s="28" t="n">
        <f aca="false">T3369*$M3369</f>
        <v>0</v>
      </c>
      <c r="V3369" s="28" t="n">
        <f aca="false">4293/100</f>
        <v>42.93</v>
      </c>
      <c r="W3369" s="28" t="n">
        <v>1073</v>
      </c>
      <c r="X3369" s="28"/>
      <c r="Y3369" s="28" t="n">
        <f aca="false">X3369*$M3369</f>
        <v>0</v>
      </c>
      <c r="Z3369" s="28"/>
      <c r="AA3369" s="28" t="n">
        <f aca="false">Z3369*$M3369</f>
        <v>0</v>
      </c>
      <c r="AB3369" s="28"/>
      <c r="AC3369" s="28" t="n">
        <f aca="false">AB3369*$M3369</f>
        <v>0</v>
      </c>
      <c r="AD3369" s="28"/>
      <c r="AE3369" s="28" t="n">
        <f aca="false">AD3369*$M3369</f>
        <v>0</v>
      </c>
      <c r="AF3369" s="28"/>
      <c r="AG3369" s="28" t="n">
        <f aca="false">AF3369*$M3369</f>
        <v>0</v>
      </c>
      <c r="AH3369" s="28"/>
      <c r="AI3369" s="28" t="n">
        <f aca="false">AH3369*$M3369</f>
        <v>0</v>
      </c>
      <c r="AJ3369" s="28"/>
      <c r="AK3369" s="28" t="n">
        <f aca="false">AJ3369*$M3369</f>
        <v>0</v>
      </c>
      <c r="AL3369" s="28"/>
      <c r="AM3369" s="28" t="n">
        <f aca="false">AL3369*$M3369</f>
        <v>0</v>
      </c>
      <c r="AN3369" s="28"/>
      <c r="AO3369" s="28" t="n">
        <f aca="false">AN3369*$M3369</f>
        <v>0</v>
      </c>
      <c r="AP3369" s="28"/>
      <c r="AQ3369" s="28" t="n">
        <f aca="false">AP3369*$M3369</f>
        <v>0</v>
      </c>
      <c r="AR3369" s="28"/>
      <c r="AS3369" s="28" t="n">
        <f aca="false">AR3369*$M3369</f>
        <v>0</v>
      </c>
      <c r="AT3369" s="28"/>
      <c r="AU3369" s="28" t="n">
        <f aca="false">AT3369*$M3369</f>
        <v>0</v>
      </c>
      <c r="AV3369" s="28"/>
      <c r="AW3369" s="28" t="n">
        <f aca="false">AV3369*$M3369</f>
        <v>0</v>
      </c>
      <c r="AX3369" s="28"/>
      <c r="AY3369" s="28" t="n">
        <f aca="false">AX3369*$M3369</f>
        <v>0</v>
      </c>
      <c r="AZ3369" s="30" t="n">
        <f aca="false">18075/100</f>
        <v>180.75</v>
      </c>
      <c r="BA3369" s="11" t="n">
        <v>4518</v>
      </c>
      <c r="BB3369" s="31" t="n">
        <f aca="false">SUM(Q3369,S3369,U3369,W3369,Y3369,AA3369,AC3369,AE3369,AG3369,AI3369,AK3369,AM3369,AO3369,AQ3369,AS3369,AU3369,AW3369,AY3369)</f>
        <v>4518</v>
      </c>
      <c r="BC3369" s="28" t="n">
        <f aca="false">BA3369-BB3369</f>
        <v>0</v>
      </c>
      <c r="BD3369" s="32" t="n">
        <f aca="false">SUM(P3369,R3369,T3369,V3369,X3369,Z3369,AB3369,AD3369,AF3369,AH3369,AJ3369,AL3369,AN3369,AP3369,AR3369,AT3369,AV3369,AX3369)</f>
        <v>180.75</v>
      </c>
      <c r="BE3369" s="33" t="n">
        <f aca="false">AZ3369-BD3369</f>
        <v>0</v>
      </c>
      <c r="BF3369" s="34" t="n">
        <f aca="false">BD3369*M3369</f>
        <v>4518.75</v>
      </c>
      <c r="BG3369" s="35" t="n">
        <f aca="false">BA3369-BF3369</f>
        <v>-0.75</v>
      </c>
      <c r="BH3369" s="19" t="str">
        <f aca="false">IF(BG3369=0,"",IF(BG3369&lt;&gt;BA3369,"erreur de calcul",IF(BD3369&lt;&gt;0,"pas de prix",IF(M3369&lt;&gt; 0,"pas de quantité","pas de prix, ni de quantité"))))</f>
        <v>erreur de calcul</v>
      </c>
      <c r="BI3369" s="19"/>
    </row>
    <row r="3370" customFormat="false" ht="15" hidden="false" customHeight="false" outlineLevel="0" collapsed="false">
      <c r="A3370" s="0" t="n">
        <v>1</v>
      </c>
      <c r="B3370" s="8" t="s">
        <v>24</v>
      </c>
      <c r="C3370" s="9" t="s">
        <v>25</v>
      </c>
      <c r="D3370" s="9" t="s">
        <v>26</v>
      </c>
      <c r="E3370" s="10" t="n">
        <v>1789</v>
      </c>
      <c r="F3370" s="9" t="s">
        <v>27</v>
      </c>
      <c r="G3370" s="9" t="s">
        <v>27</v>
      </c>
      <c r="H3370" s="11" t="n">
        <v>24</v>
      </c>
      <c r="I3370" s="11" t="s">
        <v>288</v>
      </c>
      <c r="J3370" s="14" t="n">
        <v>250</v>
      </c>
      <c r="K3370" s="14"/>
      <c r="L3370" s="16"/>
      <c r="M3370" s="27" t="n">
        <f aca="false">J3370+(K3370/20)+(L3370/240)</f>
        <v>250</v>
      </c>
      <c r="N3370" s="17" t="s">
        <v>64</v>
      </c>
      <c r="O3370" s="11"/>
      <c r="P3370" s="28"/>
      <c r="Q3370" s="28" t="n">
        <f aca="false">P3370*$M3370</f>
        <v>0</v>
      </c>
      <c r="R3370" s="28"/>
      <c r="S3370" s="28" t="n">
        <f aca="false">R3370*$M3370</f>
        <v>0</v>
      </c>
      <c r="T3370" s="28"/>
      <c r="U3370" s="28" t="n">
        <f aca="false">T3370*$M3370</f>
        <v>0</v>
      </c>
      <c r="V3370" s="28"/>
      <c r="W3370" s="28" t="n">
        <f aca="false">V3370*$M3370</f>
        <v>0</v>
      </c>
      <c r="X3370" s="28"/>
      <c r="Y3370" s="28" t="n">
        <f aca="false">X3370*$M3370</f>
        <v>0</v>
      </c>
      <c r="Z3370" s="28"/>
      <c r="AA3370" s="28" t="n">
        <f aca="false">Z3370*$M3370</f>
        <v>0</v>
      </c>
      <c r="AB3370" s="28"/>
      <c r="AC3370" s="28" t="n">
        <f aca="false">AB3370*$M3370</f>
        <v>0</v>
      </c>
      <c r="AD3370" s="28"/>
      <c r="AE3370" s="28" t="n">
        <f aca="false">AD3370*$M3370</f>
        <v>0</v>
      </c>
      <c r="AF3370" s="28"/>
      <c r="AG3370" s="28" t="n">
        <f aca="false">AF3370*$M3370</f>
        <v>0</v>
      </c>
      <c r="AH3370" s="28" t="n">
        <f aca="false">5374/100</f>
        <v>53.74</v>
      </c>
      <c r="AI3370" s="28" t="n">
        <v>13435</v>
      </c>
      <c r="AJ3370" s="28"/>
      <c r="AK3370" s="28" t="n">
        <f aca="false">AJ3370*$M3370</f>
        <v>0</v>
      </c>
      <c r="AL3370" s="28"/>
      <c r="AM3370" s="28" t="n">
        <f aca="false">AL3370*$M3370</f>
        <v>0</v>
      </c>
      <c r="AN3370" s="28"/>
      <c r="AO3370" s="28" t="n">
        <f aca="false">AN3370*$M3370</f>
        <v>0</v>
      </c>
      <c r="AP3370" s="28"/>
      <c r="AQ3370" s="28" t="n">
        <f aca="false">AP3370*$M3370</f>
        <v>0</v>
      </c>
      <c r="AR3370" s="28"/>
      <c r="AS3370" s="28" t="n">
        <f aca="false">AR3370*$M3370</f>
        <v>0</v>
      </c>
      <c r="AT3370" s="28"/>
      <c r="AU3370" s="28" t="n">
        <f aca="false">AT3370*$M3370</f>
        <v>0</v>
      </c>
      <c r="AV3370" s="28"/>
      <c r="AW3370" s="28" t="n">
        <f aca="false">AV3370*$M3370</f>
        <v>0</v>
      </c>
      <c r="AX3370" s="28"/>
      <c r="AY3370" s="28" t="n">
        <f aca="false">AX3370*$M3370</f>
        <v>0</v>
      </c>
      <c r="AZ3370" s="30" t="n">
        <f aca="false">5374/100</f>
        <v>53.74</v>
      </c>
      <c r="BA3370" s="11" t="n">
        <v>13435</v>
      </c>
      <c r="BB3370" s="31" t="n">
        <f aca="false">SUM(Q3370,S3370,U3370,W3370,Y3370,AA3370,AC3370,AE3370,AG3370,AI3370,AK3370,AM3370,AO3370,AQ3370,AS3370,AU3370,AW3370,AY3370)</f>
        <v>13435</v>
      </c>
      <c r="BC3370" s="28" t="n">
        <f aca="false">BA3370-BB3370</f>
        <v>0</v>
      </c>
      <c r="BD3370" s="32" t="n">
        <f aca="false">SUM(P3370,R3370,T3370,V3370,X3370,Z3370,AB3370,AD3370,AF3370,AH3370,AJ3370,AL3370,AN3370,AP3370,AR3370,AT3370,AV3370,AX3370)</f>
        <v>53.74</v>
      </c>
      <c r="BE3370" s="33" t="n">
        <f aca="false">AZ3370-BD3370</f>
        <v>0</v>
      </c>
      <c r="BF3370" s="34" t="n">
        <f aca="false">BD3370*M3370</f>
        <v>13435</v>
      </c>
      <c r="BG3370" s="35" t="n">
        <f aca="false">BA3370-BF3370</f>
        <v>0</v>
      </c>
      <c r="BH3370" s="19" t="str">
        <f aca="false">IF(BG3370=0,"",IF(BG3370&lt;&gt;BA3370,"erreur de calcul",IF(BD3370&lt;&gt;0,"pas de prix",IF(M3370&lt;&gt; 0,"pas de quantité","pas de prix, ni de quantité"))))</f>
        <v/>
      </c>
      <c r="BI3370" s="19"/>
    </row>
    <row r="3371" customFormat="false" ht="15" hidden="false" customHeight="false" outlineLevel="0" collapsed="false">
      <c r="A3371" s="0" t="n">
        <v>2</v>
      </c>
      <c r="B3371" s="8" t="s">
        <v>24</v>
      </c>
      <c r="C3371" s="9" t="s">
        <v>25</v>
      </c>
      <c r="D3371" s="9" t="s">
        <v>26</v>
      </c>
      <c r="E3371" s="10" t="n">
        <v>1789</v>
      </c>
      <c r="F3371" s="9" t="s">
        <v>27</v>
      </c>
      <c r="G3371" s="9" t="s">
        <v>27</v>
      </c>
      <c r="H3371" s="11" t="n">
        <v>24</v>
      </c>
      <c r="I3371" s="11" t="s">
        <v>289</v>
      </c>
      <c r="J3371" s="14" t="n">
        <v>3</v>
      </c>
      <c r="K3371" s="14"/>
      <c r="L3371" s="16"/>
      <c r="M3371" s="27" t="n">
        <f aca="false">J3371+(K3371/20)+(L3371/240)</f>
        <v>3</v>
      </c>
      <c r="N3371" s="17" t="s">
        <v>66</v>
      </c>
      <c r="O3371" s="11"/>
      <c r="P3371" s="28"/>
      <c r="Q3371" s="28" t="n">
        <f aca="false">P3371*$M3371</f>
        <v>0</v>
      </c>
      <c r="R3371" s="28"/>
      <c r="S3371" s="28" t="n">
        <f aca="false">R3371*$M3371</f>
        <v>0</v>
      </c>
      <c r="T3371" s="28"/>
      <c r="U3371" s="28" t="n">
        <f aca="false">T3371*$M3371</f>
        <v>0</v>
      </c>
      <c r="V3371" s="28"/>
      <c r="W3371" s="28" t="n">
        <f aca="false">V3371*$M3371</f>
        <v>0</v>
      </c>
      <c r="X3371" s="28"/>
      <c r="Y3371" s="28" t="n">
        <f aca="false">X3371*$M3371</f>
        <v>0</v>
      </c>
      <c r="Z3371" s="28"/>
      <c r="AA3371" s="28" t="n">
        <f aca="false">Z3371*$M3371</f>
        <v>0</v>
      </c>
      <c r="AB3371" s="28"/>
      <c r="AC3371" s="28" t="n">
        <f aca="false">AB3371*$M3371</f>
        <v>0</v>
      </c>
      <c r="AD3371" s="28"/>
      <c r="AE3371" s="28" t="n">
        <f aca="false">AD3371*$M3371</f>
        <v>0</v>
      </c>
      <c r="AF3371" s="28"/>
      <c r="AG3371" s="28" t="n">
        <f aca="false">AF3371*$M3371</f>
        <v>0</v>
      </c>
      <c r="AH3371" s="28" t="n">
        <v>261</v>
      </c>
      <c r="AI3371" s="28" t="n">
        <v>783</v>
      </c>
      <c r="AJ3371" s="28"/>
      <c r="AK3371" s="28" t="n">
        <f aca="false">AJ3371*$M3371</f>
        <v>0</v>
      </c>
      <c r="AL3371" s="28"/>
      <c r="AM3371" s="28" t="n">
        <f aca="false">AL3371*$M3371</f>
        <v>0</v>
      </c>
      <c r="AN3371" s="28"/>
      <c r="AO3371" s="28" t="n">
        <f aca="false">AN3371*$M3371</f>
        <v>0</v>
      </c>
      <c r="AP3371" s="28"/>
      <c r="AQ3371" s="28" t="n">
        <f aca="false">AP3371*$M3371</f>
        <v>0</v>
      </c>
      <c r="AR3371" s="28"/>
      <c r="AS3371" s="28" t="n">
        <f aca="false">AR3371*$M3371</f>
        <v>0</v>
      </c>
      <c r="AT3371" s="28"/>
      <c r="AU3371" s="28" t="n">
        <f aca="false">AT3371*$M3371</f>
        <v>0</v>
      </c>
      <c r="AV3371" s="28"/>
      <c r="AW3371" s="28" t="n">
        <f aca="false">AV3371*$M3371</f>
        <v>0</v>
      </c>
      <c r="AX3371" s="28"/>
      <c r="AY3371" s="28" t="n">
        <f aca="false">AX3371*$M3371</f>
        <v>0</v>
      </c>
      <c r="AZ3371" s="30" t="n">
        <v>261</v>
      </c>
      <c r="BA3371" s="11" t="n">
        <v>783</v>
      </c>
      <c r="BB3371" s="31" t="n">
        <f aca="false">SUM(Q3371,S3371,U3371,W3371,Y3371,AA3371,AC3371,AE3371,AG3371,AI3371,AK3371,AM3371,AO3371,AQ3371,AS3371,AU3371,AW3371,AY3371)</f>
        <v>783</v>
      </c>
      <c r="BC3371" s="28" t="n">
        <f aca="false">BA3371-BB3371</f>
        <v>0</v>
      </c>
      <c r="BD3371" s="32" t="n">
        <f aca="false">SUM(P3371,R3371,T3371,V3371,X3371,Z3371,AB3371,AD3371,AF3371,AH3371,AJ3371,AL3371,AN3371,AP3371,AR3371,AT3371,AV3371,AX3371)</f>
        <v>261</v>
      </c>
      <c r="BE3371" s="33" t="n">
        <f aca="false">AZ3371-BD3371</f>
        <v>0</v>
      </c>
      <c r="BF3371" s="34" t="n">
        <f aca="false">BD3371*M3371</f>
        <v>783</v>
      </c>
      <c r="BG3371" s="35" t="n">
        <f aca="false">BA3371-BF3371</f>
        <v>0</v>
      </c>
      <c r="BH3371" s="19" t="str">
        <f aca="false">IF(BG3371=0,"",IF(BG3371&lt;&gt;BA3371,"erreur de calcul",IF(BD3371&lt;&gt;0,"pas de prix",IF(M3371&lt;&gt; 0,"pas de quantité","pas de prix, ni de quantité"))))</f>
        <v/>
      </c>
      <c r="BI3371" s="19"/>
    </row>
    <row r="3372" customFormat="false" ht="15" hidden="false" customHeight="false" outlineLevel="0" collapsed="false">
      <c r="A3372" s="0" t="n">
        <v>3</v>
      </c>
      <c r="B3372" s="8" t="s">
        <v>24</v>
      </c>
      <c r="C3372" s="9" t="s">
        <v>25</v>
      </c>
      <c r="D3372" s="9" t="s">
        <v>26</v>
      </c>
      <c r="E3372" s="10" t="n">
        <v>1789</v>
      </c>
      <c r="F3372" s="9" t="s">
        <v>27</v>
      </c>
      <c r="G3372" s="9" t="s">
        <v>27</v>
      </c>
      <c r="H3372" s="11" t="n">
        <v>24</v>
      </c>
      <c r="I3372" s="11" t="s">
        <v>290</v>
      </c>
      <c r="J3372" s="14" t="n">
        <v>5</v>
      </c>
      <c r="K3372" s="14"/>
      <c r="L3372" s="16"/>
      <c r="M3372" s="27" t="n">
        <f aca="false">J3372+(K3372/20)+(L3372/240)</f>
        <v>5</v>
      </c>
      <c r="N3372" s="17" t="s">
        <v>66</v>
      </c>
      <c r="O3372" s="11"/>
      <c r="P3372" s="28"/>
      <c r="Q3372" s="28" t="n">
        <f aca="false">P3372*$M3372</f>
        <v>0</v>
      </c>
      <c r="R3372" s="28"/>
      <c r="S3372" s="28" t="n">
        <f aca="false">R3372*$M3372</f>
        <v>0</v>
      </c>
      <c r="T3372" s="28"/>
      <c r="U3372" s="28" t="n">
        <v>4765</v>
      </c>
      <c r="V3372" s="28"/>
      <c r="W3372" s="28" t="n">
        <f aca="false">V3372*$M3372</f>
        <v>0</v>
      </c>
      <c r="X3372" s="28"/>
      <c r="Y3372" s="28" t="n">
        <f aca="false">X3372*$M3372</f>
        <v>0</v>
      </c>
      <c r="Z3372" s="28"/>
      <c r="AA3372" s="28" t="n">
        <f aca="false">Z3372*$M3372</f>
        <v>0</v>
      </c>
      <c r="AB3372" s="28"/>
      <c r="AC3372" s="28" t="n">
        <f aca="false">AB3372*$M3372</f>
        <v>0</v>
      </c>
      <c r="AD3372" s="28"/>
      <c r="AE3372" s="28" t="n">
        <f aca="false">AD3372*$M3372</f>
        <v>0</v>
      </c>
      <c r="AF3372" s="28"/>
      <c r="AG3372" s="28" t="n">
        <f aca="false">AF3372*$M3372</f>
        <v>0</v>
      </c>
      <c r="AH3372" s="28"/>
      <c r="AI3372" s="28" t="n">
        <f aca="false">AH3372*$M3372</f>
        <v>0</v>
      </c>
      <c r="AJ3372" s="28"/>
      <c r="AK3372" s="28" t="n">
        <f aca="false">AJ3372*$M3372</f>
        <v>0</v>
      </c>
      <c r="AL3372" s="28"/>
      <c r="AM3372" s="28" t="n">
        <f aca="false">AL3372*$M3372</f>
        <v>0</v>
      </c>
      <c r="AN3372" s="28"/>
      <c r="AO3372" s="28" t="n">
        <f aca="false">AN3372*$M3372</f>
        <v>0</v>
      </c>
      <c r="AP3372" s="28"/>
      <c r="AQ3372" s="28" t="n">
        <f aca="false">AP3372*$M3372</f>
        <v>0</v>
      </c>
      <c r="AR3372" s="28"/>
      <c r="AS3372" s="28" t="n">
        <f aca="false">AR3372*$M3372</f>
        <v>0</v>
      </c>
      <c r="AT3372" s="28"/>
      <c r="AU3372" s="28" t="n">
        <f aca="false">AT3372*$M3372</f>
        <v>0</v>
      </c>
      <c r="AV3372" s="28"/>
      <c r="AW3372" s="28" t="n">
        <f aca="false">AV3372*$M3372</f>
        <v>0</v>
      </c>
      <c r="AX3372" s="28"/>
      <c r="AY3372" s="28" t="n">
        <f aca="false">AX3372*$M3372</f>
        <v>0</v>
      </c>
      <c r="AZ3372" s="30"/>
      <c r="BA3372" s="11" t="n">
        <v>4765</v>
      </c>
      <c r="BB3372" s="31" t="n">
        <f aca="false">SUM(Q3372,S3372,U3372,W3372,Y3372,AA3372,AC3372,AE3372,AG3372,AI3372,AK3372,AM3372,AO3372,AQ3372,AS3372,AU3372,AW3372,AY3372)</f>
        <v>4765</v>
      </c>
      <c r="BC3372" s="28" t="n">
        <f aca="false">BA3372-BB3372</f>
        <v>0</v>
      </c>
      <c r="BD3372" s="32" t="n">
        <f aca="false">SUM(P3372,R3372,T3372,V3372,X3372,Z3372,AB3372,AD3372,AF3372,AH3372,AJ3372,AL3372,AN3372,AP3372,AR3372,AT3372,AV3372,AX3372)</f>
        <v>0</v>
      </c>
      <c r="BE3372" s="33" t="n">
        <f aca="false">AZ3372-BD3372</f>
        <v>0</v>
      </c>
      <c r="BF3372" s="34" t="n">
        <f aca="false">BD3372*M3372</f>
        <v>0</v>
      </c>
      <c r="BG3372" s="35" t="n">
        <f aca="false">BA3372-BF3372</f>
        <v>4765</v>
      </c>
      <c r="BH3372" s="19" t="str">
        <f aca="false">IF(BG3372=0,"",IF(BG3372&lt;&gt;BA3372,"erreur de calcul",IF(BD3372&lt;&gt;0,"pas de prix",IF(M3372&lt;&gt; 0,"pas de quantité","pas de prix, ni de quantité"))))</f>
        <v>pas de quantité</v>
      </c>
      <c r="BI3372" s="19"/>
    </row>
    <row r="3373" customFormat="false" ht="15" hidden="false" customHeight="false" outlineLevel="0" collapsed="false">
      <c r="A3373" s="0" t="n">
        <v>4</v>
      </c>
      <c r="B3373" s="8" t="s">
        <v>24</v>
      </c>
      <c r="C3373" s="9" t="s">
        <v>25</v>
      </c>
      <c r="D3373" s="9" t="s">
        <v>26</v>
      </c>
      <c r="E3373" s="10" t="n">
        <v>1789</v>
      </c>
      <c r="F3373" s="9" t="s">
        <v>27</v>
      </c>
      <c r="G3373" s="9" t="s">
        <v>27</v>
      </c>
      <c r="H3373" s="11" t="n">
        <v>24</v>
      </c>
      <c r="I3373" s="11" t="s">
        <v>291</v>
      </c>
      <c r="J3373" s="14" t="n">
        <v>36</v>
      </c>
      <c r="K3373" s="14"/>
      <c r="L3373" s="16"/>
      <c r="M3373" s="27" t="n">
        <f aca="false">J3373+(K3373/20)+(L3373/240)</f>
        <v>36</v>
      </c>
      <c r="N3373" s="17" t="s">
        <v>66</v>
      </c>
      <c r="O3373" s="11"/>
      <c r="P3373" s="28"/>
      <c r="Q3373" s="28" t="n">
        <f aca="false">P3373*$M3373</f>
        <v>0</v>
      </c>
      <c r="R3373" s="28"/>
      <c r="S3373" s="28" t="n">
        <f aca="false">R3373*$M3373</f>
        <v>0</v>
      </c>
      <c r="T3373" s="28"/>
      <c r="U3373" s="28" t="n">
        <f aca="false">T3373*$M3373</f>
        <v>0</v>
      </c>
      <c r="V3373" s="28"/>
      <c r="W3373" s="28" t="n">
        <f aca="false">V3373*$M3373</f>
        <v>0</v>
      </c>
      <c r="X3373" s="28"/>
      <c r="Y3373" s="28" t="n">
        <f aca="false">X3373*$M3373</f>
        <v>0</v>
      </c>
      <c r="Z3373" s="28"/>
      <c r="AA3373" s="28" t="n">
        <f aca="false">Z3373*$M3373</f>
        <v>0</v>
      </c>
      <c r="AB3373" s="28"/>
      <c r="AC3373" s="28" t="n">
        <f aca="false">AB3373*$M3373</f>
        <v>0</v>
      </c>
      <c r="AD3373" s="28"/>
      <c r="AE3373" s="28" t="n">
        <f aca="false">AD3373*$M3373</f>
        <v>0</v>
      </c>
      <c r="AF3373" s="28"/>
      <c r="AG3373" s="28" t="n">
        <f aca="false">AF3373*$M3373</f>
        <v>0</v>
      </c>
      <c r="AH3373" s="28"/>
      <c r="AI3373" s="28" t="n">
        <f aca="false">AH3373*$M3373</f>
        <v>0</v>
      </c>
      <c r="AJ3373" s="28" t="n">
        <v>387</v>
      </c>
      <c r="AK3373" s="28" t="n">
        <v>13932</v>
      </c>
      <c r="AL3373" s="28"/>
      <c r="AM3373" s="28" t="n">
        <f aca="false">AL3373*$M3373</f>
        <v>0</v>
      </c>
      <c r="AN3373" s="28"/>
      <c r="AO3373" s="28" t="n">
        <f aca="false">AN3373*$M3373</f>
        <v>0</v>
      </c>
      <c r="AP3373" s="28"/>
      <c r="AQ3373" s="28" t="n">
        <f aca="false">AP3373*$M3373</f>
        <v>0</v>
      </c>
      <c r="AR3373" s="28"/>
      <c r="AS3373" s="28" t="n">
        <f aca="false">AR3373*$M3373</f>
        <v>0</v>
      </c>
      <c r="AT3373" s="28"/>
      <c r="AU3373" s="28" t="n">
        <f aca="false">AT3373*$M3373</f>
        <v>0</v>
      </c>
      <c r="AV3373" s="28"/>
      <c r="AW3373" s="28" t="n">
        <f aca="false">AV3373*$M3373</f>
        <v>0</v>
      </c>
      <c r="AX3373" s="28"/>
      <c r="AY3373" s="28" t="n">
        <f aca="false">AX3373*$M3373</f>
        <v>0</v>
      </c>
      <c r="AZ3373" s="30" t="n">
        <v>387</v>
      </c>
      <c r="BA3373" s="11" t="n">
        <v>13932</v>
      </c>
      <c r="BB3373" s="31" t="n">
        <f aca="false">SUM(Q3373,S3373,U3373,W3373,Y3373,AA3373,AC3373,AE3373,AG3373,AI3373,AK3373,AM3373,AO3373,AQ3373,AS3373,AU3373,AW3373,AY3373)</f>
        <v>13932</v>
      </c>
      <c r="BC3373" s="28" t="n">
        <f aca="false">BA3373-BB3373</f>
        <v>0</v>
      </c>
      <c r="BD3373" s="32" t="n">
        <f aca="false">SUM(P3373,R3373,T3373,V3373,X3373,Z3373,AB3373,AD3373,AF3373,AH3373,AJ3373,AL3373,AN3373,AP3373,AR3373,AT3373,AV3373,AX3373)</f>
        <v>387</v>
      </c>
      <c r="BE3373" s="33" t="n">
        <f aca="false">AZ3373-BD3373</f>
        <v>0</v>
      </c>
      <c r="BF3373" s="34" t="n">
        <f aca="false">BD3373*M3373</f>
        <v>13932</v>
      </c>
      <c r="BG3373" s="35" t="n">
        <f aca="false">BA3373-BF3373</f>
        <v>0</v>
      </c>
      <c r="BH3373" s="19" t="str">
        <f aca="false">IF(BG3373=0,"",IF(BG3373&lt;&gt;BA3373,"erreur de calcul",IF(BD3373&lt;&gt;0,"pas de prix",IF(M3373&lt;&gt; 0,"pas de quantité","pas de prix, ni de quantité"))))</f>
        <v/>
      </c>
      <c r="BI3373" s="19"/>
    </row>
    <row r="3374" customFormat="false" ht="15" hidden="false" customHeight="false" outlineLevel="0" collapsed="false">
      <c r="A3374" s="0" t="n">
        <v>5</v>
      </c>
      <c r="B3374" s="8" t="s">
        <v>24</v>
      </c>
      <c r="C3374" s="9" t="s">
        <v>25</v>
      </c>
      <c r="D3374" s="9" t="s">
        <v>26</v>
      </c>
      <c r="E3374" s="10" t="n">
        <v>1789</v>
      </c>
      <c r="F3374" s="9" t="s">
        <v>27</v>
      </c>
      <c r="G3374" s="9" t="s">
        <v>27</v>
      </c>
      <c r="H3374" s="11" t="n">
        <v>24</v>
      </c>
      <c r="I3374" s="11" t="s">
        <v>292</v>
      </c>
      <c r="J3374" s="14" t="n">
        <v>40</v>
      </c>
      <c r="K3374" s="14"/>
      <c r="L3374" s="16"/>
      <c r="M3374" s="27" t="n">
        <f aca="false">J3374+(K3374/20)+(L3374/240)</f>
        <v>40</v>
      </c>
      <c r="N3374" s="17" t="s">
        <v>64</v>
      </c>
      <c r="O3374" s="11" t="s">
        <v>277</v>
      </c>
      <c r="P3374" s="28"/>
      <c r="Q3374" s="28" t="n">
        <f aca="false">P3374*$M3374</f>
        <v>0</v>
      </c>
      <c r="R3374" s="28"/>
      <c r="S3374" s="28" t="n">
        <f aca="false">R3374*$M3374</f>
        <v>0</v>
      </c>
      <c r="T3374" s="28" t="n">
        <f aca="false">5917/100</f>
        <v>59.17</v>
      </c>
      <c r="U3374" s="28" t="n">
        <v>2367</v>
      </c>
      <c r="V3374" s="28" t="n">
        <f aca="false">12510/100</f>
        <v>125.1</v>
      </c>
      <c r="W3374" s="28" t="n">
        <f aca="false">V3374*$M3374</f>
        <v>5004</v>
      </c>
      <c r="X3374" s="28"/>
      <c r="Y3374" s="28" t="n">
        <f aca="false">X3374*$M3374</f>
        <v>0</v>
      </c>
      <c r="Z3374" s="28"/>
      <c r="AA3374" s="28" t="n">
        <f aca="false">Z3374*$M3374</f>
        <v>0</v>
      </c>
      <c r="AB3374" s="28" t="n">
        <f aca="false">50338/100</f>
        <v>503.38</v>
      </c>
      <c r="AC3374" s="28" t="n">
        <v>20135</v>
      </c>
      <c r="AD3374" s="28"/>
      <c r="AE3374" s="28" t="n">
        <f aca="false">AD3374*$M3374</f>
        <v>0</v>
      </c>
      <c r="AF3374" s="28"/>
      <c r="AG3374" s="28" t="n">
        <f aca="false">AF3374*$M3374</f>
        <v>0</v>
      </c>
      <c r="AH3374" s="28" t="n">
        <f aca="false">440/100</f>
        <v>4.4</v>
      </c>
      <c r="AI3374" s="28" t="n">
        <v>176</v>
      </c>
      <c r="AJ3374" s="28" t="n">
        <f aca="false">18094/100</f>
        <v>180.94</v>
      </c>
      <c r="AK3374" s="28" t="n">
        <v>7238</v>
      </c>
      <c r="AL3374" s="28"/>
      <c r="AM3374" s="28" t="n">
        <f aca="false">AL3374*$M3374</f>
        <v>0</v>
      </c>
      <c r="AN3374" s="28"/>
      <c r="AO3374" s="28" t="n">
        <f aca="false">AN3374*$M3374</f>
        <v>0</v>
      </c>
      <c r="AP3374" s="28"/>
      <c r="AQ3374" s="28" t="n">
        <f aca="false">AP3374*$M3374</f>
        <v>0</v>
      </c>
      <c r="AR3374" s="28"/>
      <c r="AS3374" s="28" t="n">
        <f aca="false">AR3374*$M3374</f>
        <v>0</v>
      </c>
      <c r="AT3374" s="28"/>
      <c r="AU3374" s="28" t="n">
        <f aca="false">AT3374*$M3374</f>
        <v>0</v>
      </c>
      <c r="AV3374" s="28"/>
      <c r="AW3374" s="28" t="n">
        <f aca="false">AV3374*$M3374</f>
        <v>0</v>
      </c>
      <c r="AX3374" s="28"/>
      <c r="AY3374" s="28" t="n">
        <f aca="false">AX3374*$M3374</f>
        <v>0</v>
      </c>
      <c r="AZ3374" s="30" t="n">
        <f aca="false">87279/100</f>
        <v>872.79</v>
      </c>
      <c r="BA3374" s="11" t="n">
        <v>34920</v>
      </c>
      <c r="BB3374" s="31" t="n">
        <f aca="false">SUM(Q3374,S3374,U3374,W3374,Y3374,AA3374,AC3374,AE3374,AG3374,AI3374,AK3374,AM3374,AO3374,AQ3374,AS3374,AU3374,AW3374,AY3374)</f>
        <v>34920</v>
      </c>
      <c r="BC3374" s="28" t="n">
        <f aca="false">BA3374-BB3374</f>
        <v>0</v>
      </c>
      <c r="BD3374" s="32" t="n">
        <f aca="false">SUM(P3374,R3374,T3374,V3374,X3374,Z3374,AB3374,AD3374,AF3374,AH3374,AJ3374,AL3374,AN3374,AP3374,AR3374,AT3374,AV3374,AX3374)</f>
        <v>872.99</v>
      </c>
      <c r="BE3374" s="33" t="n">
        <f aca="false">AZ3374-BD3374</f>
        <v>-0.200000000000045</v>
      </c>
      <c r="BF3374" s="34" t="n">
        <f aca="false">BD3374*M3374</f>
        <v>34919.6</v>
      </c>
      <c r="BG3374" s="35" t="n">
        <f aca="false">BA3374-BF3374</f>
        <v>0.400000000001455</v>
      </c>
      <c r="BH3374" s="19" t="str">
        <f aca="false">IF(BG3374=0,"",IF(BG3374&lt;&gt;BA3374,"erreur de calcul",IF(BD3374&lt;&gt;0,"pas de prix",IF(M3374&lt;&gt; 0,"pas de quantité","pas de prix, ni de quantité"))))</f>
        <v>erreur de calcul</v>
      </c>
      <c r="BI3374" s="19"/>
    </row>
    <row r="3375" customFormat="false" ht="15" hidden="false" customHeight="false" outlineLevel="0" collapsed="false">
      <c r="A3375" s="0" t="n">
        <v>6</v>
      </c>
      <c r="B3375" s="8" t="s">
        <v>24</v>
      </c>
      <c r="C3375" s="9" t="s">
        <v>25</v>
      </c>
      <c r="D3375" s="9" t="s">
        <v>26</v>
      </c>
      <c r="E3375" s="10" t="n">
        <v>1789</v>
      </c>
      <c r="F3375" s="9" t="s">
        <v>27</v>
      </c>
      <c r="G3375" s="9" t="s">
        <v>27</v>
      </c>
      <c r="H3375" s="11" t="n">
        <v>24</v>
      </c>
      <c r="I3375" s="11" t="s">
        <v>293</v>
      </c>
      <c r="J3375" s="14" t="n">
        <v>72</v>
      </c>
      <c r="K3375" s="14"/>
      <c r="L3375" s="16"/>
      <c r="M3375" s="27" t="n">
        <f aca="false">J3375+(K3375/20)+(L3375/240)</f>
        <v>72</v>
      </c>
      <c r="N3375" s="17" t="s">
        <v>294</v>
      </c>
      <c r="O3375" s="11"/>
      <c r="P3375" s="28" t="n">
        <v>16096</v>
      </c>
      <c r="Q3375" s="28" t="n">
        <v>1158912</v>
      </c>
      <c r="R3375" s="28"/>
      <c r="S3375" s="28" t="n">
        <f aca="false">R3375*$M3375</f>
        <v>0</v>
      </c>
      <c r="T3375" s="28" t="n">
        <v>6580</v>
      </c>
      <c r="U3375" s="28" t="n">
        <v>473760</v>
      </c>
      <c r="V3375" s="28" t="n">
        <v>21336</v>
      </c>
      <c r="W3375" s="28" t="n">
        <v>1536192</v>
      </c>
      <c r="X3375" s="28" t="n">
        <v>905</v>
      </c>
      <c r="Y3375" s="28" t="n">
        <v>65160</v>
      </c>
      <c r="Z3375" s="28" t="n">
        <v>250</v>
      </c>
      <c r="AA3375" s="28" t="n">
        <v>18000</v>
      </c>
      <c r="AB3375" s="28" t="n">
        <v>155034</v>
      </c>
      <c r="AC3375" s="28" t="n">
        <v>11162448</v>
      </c>
      <c r="AD3375" s="28"/>
      <c r="AE3375" s="28" t="n">
        <f aca="false">AD3375*$M3375</f>
        <v>0</v>
      </c>
      <c r="AF3375" s="28" t="n">
        <v>18739</v>
      </c>
      <c r="AG3375" s="28" t="n">
        <v>1349208</v>
      </c>
      <c r="AH3375" s="28" t="n">
        <v>44032</v>
      </c>
      <c r="AI3375" s="28" t="n">
        <v>3170304</v>
      </c>
      <c r="AJ3375" s="28"/>
      <c r="AK3375" s="28" t="n">
        <f aca="false">AJ3375*$M3375</f>
        <v>0</v>
      </c>
      <c r="AL3375" s="28"/>
      <c r="AM3375" s="28" t="n">
        <f aca="false">AL3375*$M3375</f>
        <v>0</v>
      </c>
      <c r="AN3375" s="28"/>
      <c r="AO3375" s="28" t="n">
        <f aca="false">AN3375*$M3375</f>
        <v>0</v>
      </c>
      <c r="AP3375" s="28"/>
      <c r="AQ3375" s="28" t="n">
        <f aca="false">AP3375*$M3375</f>
        <v>0</v>
      </c>
      <c r="AR3375" s="28"/>
      <c r="AS3375" s="28" t="n">
        <f aca="false">AR3375*$M3375</f>
        <v>0</v>
      </c>
      <c r="AT3375" s="28"/>
      <c r="AU3375" s="28" t="n">
        <f aca="false">AT3375*$M3375</f>
        <v>0</v>
      </c>
      <c r="AV3375" s="28"/>
      <c r="AW3375" s="28" t="n">
        <f aca="false">AV3375*$M3375</f>
        <v>0</v>
      </c>
      <c r="AX3375" s="28"/>
      <c r="AY3375" s="28" t="n">
        <f aca="false">AX3375*$M3375</f>
        <v>0</v>
      </c>
      <c r="AZ3375" s="30" t="n">
        <v>262972</v>
      </c>
      <c r="BA3375" s="11" t="n">
        <v>18933984</v>
      </c>
      <c r="BB3375" s="31" t="n">
        <f aca="false">SUM(Q3375,S3375,U3375,W3375,Y3375,AA3375,AC3375,AE3375,AG3375,AI3375,AK3375,AM3375,AO3375,AQ3375,AS3375,AU3375,AW3375,AY3375)</f>
        <v>18933984</v>
      </c>
      <c r="BC3375" s="28" t="n">
        <f aca="false">BA3375-BB3375</f>
        <v>0</v>
      </c>
      <c r="BD3375" s="32" t="n">
        <f aca="false">SUM(P3375,R3375,T3375,V3375,X3375,Z3375,AB3375,AD3375,AF3375,AH3375,AJ3375,AL3375,AN3375,AP3375,AR3375,AT3375,AV3375,AX3375)</f>
        <v>262972</v>
      </c>
      <c r="BE3375" s="33" t="n">
        <f aca="false">AZ3375-BD3375</f>
        <v>0</v>
      </c>
      <c r="BF3375" s="34" t="n">
        <f aca="false">BD3375*M3375</f>
        <v>18933984</v>
      </c>
      <c r="BG3375" s="35" t="n">
        <f aca="false">BA3375-BF3375</f>
        <v>0</v>
      </c>
      <c r="BH3375" s="19" t="str">
        <f aca="false">IF(BG3375=0,"",IF(BG3375&lt;&gt;BA3375,"erreur de calcul",IF(BD3375&lt;&gt;0,"pas de prix",IF(M3375&lt;&gt; 0,"pas de quantité","pas de prix, ni de quantité"))))</f>
        <v/>
      </c>
      <c r="BI3375" s="19" t="s">
        <v>295</v>
      </c>
    </row>
    <row r="3376" customFormat="false" ht="15" hidden="false" customHeight="false" outlineLevel="0" collapsed="false">
      <c r="A3376" s="0" t="n">
        <v>7</v>
      </c>
      <c r="B3376" s="8" t="s">
        <v>24</v>
      </c>
      <c r="C3376" s="9" t="s">
        <v>25</v>
      </c>
      <c r="D3376" s="9" t="s">
        <v>26</v>
      </c>
      <c r="E3376" s="10" t="n">
        <v>1789</v>
      </c>
      <c r="F3376" s="9" t="s">
        <v>27</v>
      </c>
      <c r="G3376" s="9" t="s">
        <v>27</v>
      </c>
      <c r="H3376" s="11" t="n">
        <v>24</v>
      </c>
      <c r="I3376" s="11" t="s">
        <v>296</v>
      </c>
      <c r="J3376" s="14" t="n">
        <v>35</v>
      </c>
      <c r="K3376" s="14"/>
      <c r="L3376" s="16"/>
      <c r="M3376" s="27" t="n">
        <f aca="false">J3376+(K3376/20)+(L3376/240)</f>
        <v>35</v>
      </c>
      <c r="N3376" s="17" t="s">
        <v>64</v>
      </c>
      <c r="O3376" s="11" t="s">
        <v>98</v>
      </c>
      <c r="P3376" s="28"/>
      <c r="Q3376" s="28" t="n">
        <f aca="false">P3376*$M3376</f>
        <v>0</v>
      </c>
      <c r="R3376" s="28"/>
      <c r="S3376" s="28" t="n">
        <f aca="false">R3376*$M3376</f>
        <v>0</v>
      </c>
      <c r="T3376" s="28"/>
      <c r="U3376" s="28" t="n">
        <f aca="false">T3376*$M3376</f>
        <v>0</v>
      </c>
      <c r="V3376" s="28"/>
      <c r="W3376" s="28" t="n">
        <f aca="false">V3376*$M3376</f>
        <v>0</v>
      </c>
      <c r="X3376" s="28"/>
      <c r="Y3376" s="28" t="n">
        <f aca="false">X3376*$M3376</f>
        <v>0</v>
      </c>
      <c r="Z3376" s="28"/>
      <c r="AA3376" s="28" t="n">
        <f aca="false">Z3376*$M3376</f>
        <v>0</v>
      </c>
      <c r="AB3376" s="28"/>
      <c r="AC3376" s="28" t="n">
        <f aca="false">AB3376*$M3376</f>
        <v>0</v>
      </c>
      <c r="AD3376" s="28"/>
      <c r="AE3376" s="28" t="n">
        <f aca="false">AD3376*$M3376</f>
        <v>0</v>
      </c>
      <c r="AF3376" s="28"/>
      <c r="AG3376" s="28" t="n">
        <f aca="false">AF3376*$M3376</f>
        <v>0</v>
      </c>
      <c r="AH3376" s="28"/>
      <c r="AI3376" s="28" t="n">
        <f aca="false">AH3376*$M3376</f>
        <v>0</v>
      </c>
      <c r="AJ3376" s="28"/>
      <c r="AK3376" s="28" t="n">
        <f aca="false">AJ3376*$M3376</f>
        <v>0</v>
      </c>
      <c r="AL3376" s="28"/>
      <c r="AM3376" s="28" t="n">
        <f aca="false">AL3376*$M3376</f>
        <v>0</v>
      </c>
      <c r="AN3376" s="28"/>
      <c r="AO3376" s="28" t="n">
        <f aca="false">AN3376*$M3376</f>
        <v>0</v>
      </c>
      <c r="AP3376" s="28"/>
      <c r="AQ3376" s="28" t="n">
        <f aca="false">AP3376*$M3376</f>
        <v>0</v>
      </c>
      <c r="AR3376" s="28"/>
      <c r="AS3376" s="28" t="n">
        <f aca="false">AR3376*$M3376</f>
        <v>0</v>
      </c>
      <c r="AT3376" s="28"/>
      <c r="AU3376" s="28" t="n">
        <f aca="false">AT3376*$M3376</f>
        <v>0</v>
      </c>
      <c r="AV3376" s="28"/>
      <c r="AW3376" s="28" t="n">
        <f aca="false">AV3376*$M3376</f>
        <v>0</v>
      </c>
      <c r="AX3376" s="28"/>
      <c r="AY3376" s="28" t="n">
        <f aca="false">AX3376*$M3376</f>
        <v>0</v>
      </c>
      <c r="AZ3376" s="30"/>
      <c r="BA3376" s="11"/>
      <c r="BB3376" s="31" t="n">
        <f aca="false">SUM(Q3376,S3376,U3376,W3376,Y3376,AA3376,AC3376,AE3376,AG3376,AI3376,AK3376,AM3376,AO3376,AQ3376,AS3376,AU3376,AW3376,AY3376)</f>
        <v>0</v>
      </c>
      <c r="BC3376" s="28" t="n">
        <f aca="false">BA3376-BB3376</f>
        <v>0</v>
      </c>
      <c r="BD3376" s="32" t="n">
        <f aca="false">SUM(P3376,R3376,T3376,V3376,X3376,Z3376,AB3376,AD3376,AF3376,AH3376,AJ3376,AL3376,AN3376,AP3376,AR3376,AT3376,AV3376,AX3376)</f>
        <v>0</v>
      </c>
      <c r="BE3376" s="33" t="n">
        <f aca="false">AZ3376-BD3376</f>
        <v>0</v>
      </c>
      <c r="BF3376" s="34" t="n">
        <f aca="false">BD3376*M3376</f>
        <v>0</v>
      </c>
      <c r="BG3376" s="35" t="n">
        <f aca="false">BA3376-BF3376</f>
        <v>0</v>
      </c>
      <c r="BH3376" s="19" t="str">
        <f aca="false">IF(BG3376=0,"",IF(BG3376&lt;&gt;BA3376,"erreur de calcul",IF(BD3376&lt;&gt;0,"pas de prix",IF(M3376&lt;&gt; 0,"pas de quantité","pas de prix, ni de quantité"))))</f>
        <v/>
      </c>
      <c r="BI3376" s="19"/>
    </row>
    <row r="3377" customFormat="false" ht="15" hidden="false" customHeight="false" outlineLevel="0" collapsed="false">
      <c r="A3377" s="0" t="n">
        <v>8</v>
      </c>
      <c r="B3377" s="8" t="s">
        <v>24</v>
      </c>
      <c r="C3377" s="9" t="s">
        <v>25</v>
      </c>
      <c r="D3377" s="9" t="s">
        <v>26</v>
      </c>
      <c r="E3377" s="10" t="n">
        <v>1789</v>
      </c>
      <c r="F3377" s="9" t="s">
        <v>27</v>
      </c>
      <c r="G3377" s="9" t="s">
        <v>27</v>
      </c>
      <c r="H3377" s="11" t="n">
        <v>24</v>
      </c>
      <c r="I3377" s="11" t="s">
        <v>297</v>
      </c>
      <c r="J3377" s="14" t="n">
        <v>45</v>
      </c>
      <c r="K3377" s="14"/>
      <c r="L3377" s="16"/>
      <c r="M3377" s="27" t="n">
        <f aca="false">J3377+(K3377/20)+(L3377/240)</f>
        <v>45</v>
      </c>
      <c r="N3377" s="17" t="s">
        <v>64</v>
      </c>
      <c r="O3377" s="11"/>
      <c r="P3377" s="28"/>
      <c r="Q3377" s="28" t="n">
        <f aca="false">P3377*$M3377</f>
        <v>0</v>
      </c>
      <c r="R3377" s="28"/>
      <c r="S3377" s="28" t="n">
        <f aca="false">R3377*$M3377</f>
        <v>0</v>
      </c>
      <c r="T3377" s="28"/>
      <c r="U3377" s="28" t="n">
        <f aca="false">T3377*$M3377</f>
        <v>0</v>
      </c>
      <c r="V3377" s="28"/>
      <c r="W3377" s="28" t="n">
        <f aca="false">V3377*$M3377</f>
        <v>0</v>
      </c>
      <c r="X3377" s="28"/>
      <c r="Y3377" s="28" t="n">
        <f aca="false">X3377*$M3377</f>
        <v>0</v>
      </c>
      <c r="Z3377" s="28"/>
      <c r="AA3377" s="28" t="n">
        <f aca="false">Z3377*$M3377</f>
        <v>0</v>
      </c>
      <c r="AB3377" s="28"/>
      <c r="AC3377" s="28" t="n">
        <f aca="false">AB3377*$M3377</f>
        <v>0</v>
      </c>
      <c r="AD3377" s="28"/>
      <c r="AE3377" s="28" t="n">
        <f aca="false">AD3377*$M3377</f>
        <v>0</v>
      </c>
      <c r="AF3377" s="28"/>
      <c r="AG3377" s="28" t="n">
        <f aca="false">AF3377*$M3377</f>
        <v>0</v>
      </c>
      <c r="AH3377" s="28"/>
      <c r="AI3377" s="28" t="n">
        <f aca="false">AH3377*$M3377</f>
        <v>0</v>
      </c>
      <c r="AJ3377" s="28"/>
      <c r="AK3377" s="28" t="n">
        <f aca="false">AJ3377*$M3377</f>
        <v>0</v>
      </c>
      <c r="AL3377" s="28"/>
      <c r="AM3377" s="28" t="n">
        <f aca="false">AL3377*$M3377</f>
        <v>0</v>
      </c>
      <c r="AN3377" s="28"/>
      <c r="AO3377" s="28" t="n">
        <f aca="false">AN3377*$M3377</f>
        <v>0</v>
      </c>
      <c r="AP3377" s="28"/>
      <c r="AQ3377" s="28" t="n">
        <f aca="false">AP3377*$M3377</f>
        <v>0</v>
      </c>
      <c r="AR3377" s="28"/>
      <c r="AS3377" s="28" t="n">
        <f aca="false">AR3377*$M3377</f>
        <v>0</v>
      </c>
      <c r="AT3377" s="28"/>
      <c r="AU3377" s="28" t="n">
        <f aca="false">AT3377*$M3377</f>
        <v>0</v>
      </c>
      <c r="AV3377" s="28"/>
      <c r="AW3377" s="28" t="n">
        <f aca="false">AV3377*$M3377</f>
        <v>0</v>
      </c>
      <c r="AX3377" s="28" t="n">
        <f aca="false">44459/100</f>
        <v>444.59</v>
      </c>
      <c r="AY3377" s="28" t="n">
        <v>20006</v>
      </c>
      <c r="AZ3377" s="30" t="n">
        <f aca="false">44459/100</f>
        <v>444.59</v>
      </c>
      <c r="BA3377" s="11" t="n">
        <v>20006</v>
      </c>
      <c r="BB3377" s="31" t="n">
        <f aca="false">SUM(Q3377,S3377,U3377,W3377,Y3377,AA3377,AC3377,AE3377,AG3377,AI3377,AK3377,AM3377,AO3377,AQ3377,AS3377,AU3377,AW3377,AY3377)</f>
        <v>20006</v>
      </c>
      <c r="BC3377" s="28" t="n">
        <f aca="false">BA3377-BB3377</f>
        <v>0</v>
      </c>
      <c r="BD3377" s="32" t="n">
        <f aca="false">SUM(P3377,R3377,T3377,V3377,X3377,Z3377,AB3377,AD3377,AF3377,AH3377,AJ3377,AL3377,AN3377,AP3377,AR3377,AT3377,AV3377,AX3377)</f>
        <v>444.59</v>
      </c>
      <c r="BE3377" s="33" t="n">
        <f aca="false">AZ3377-BD3377</f>
        <v>0</v>
      </c>
      <c r="BF3377" s="34" t="n">
        <f aca="false">BD3377*M3377</f>
        <v>20006.55</v>
      </c>
      <c r="BG3377" s="35" t="n">
        <f aca="false">BA3377-BF3377</f>
        <v>-0.549999999999272</v>
      </c>
      <c r="BH3377" s="19" t="str">
        <f aca="false">IF(BG3377=0,"",IF(BG3377&lt;&gt;BA3377,"erreur de calcul",IF(BD3377&lt;&gt;0,"pas de prix",IF(M3377&lt;&gt; 0,"pas de quantité","pas de prix, ni de quantité"))))</f>
        <v>erreur de calcul</v>
      </c>
      <c r="BI3377" s="19"/>
    </row>
    <row r="3378" customFormat="false" ht="15" hidden="false" customHeight="false" outlineLevel="0" collapsed="false">
      <c r="A3378" s="0" t="n">
        <v>9</v>
      </c>
      <c r="B3378" s="8" t="s">
        <v>24</v>
      </c>
      <c r="C3378" s="9" t="s">
        <v>25</v>
      </c>
      <c r="D3378" s="9" t="s">
        <v>26</v>
      </c>
      <c r="E3378" s="10" t="n">
        <v>1789</v>
      </c>
      <c r="F3378" s="9" t="s">
        <v>27</v>
      </c>
      <c r="G3378" s="9" t="s">
        <v>27</v>
      </c>
      <c r="H3378" s="11" t="n">
        <v>24</v>
      </c>
      <c r="I3378" s="11" t="s">
        <v>298</v>
      </c>
      <c r="J3378" s="14" t="n">
        <v>550</v>
      </c>
      <c r="K3378" s="14"/>
      <c r="L3378" s="16"/>
      <c r="M3378" s="27" t="n">
        <f aca="false">J3378+(K3378/20)+(L3378/240)</f>
        <v>550</v>
      </c>
      <c r="N3378" s="17" t="s">
        <v>64</v>
      </c>
      <c r="O3378" s="11"/>
      <c r="P3378" s="28"/>
      <c r="Q3378" s="28" t="n">
        <f aca="false">P3378*$M3378</f>
        <v>0</v>
      </c>
      <c r="R3378" s="28"/>
      <c r="S3378" s="28" t="n">
        <f aca="false">R3378*$M3378</f>
        <v>0</v>
      </c>
      <c r="T3378" s="28"/>
      <c r="U3378" s="28" t="n">
        <f aca="false">T3378*$M3378</f>
        <v>0</v>
      </c>
      <c r="V3378" s="28"/>
      <c r="W3378" s="28" t="n">
        <f aca="false">V3378*$M3378</f>
        <v>0</v>
      </c>
      <c r="X3378" s="28"/>
      <c r="Y3378" s="28" t="n">
        <f aca="false">X3378*$M3378</f>
        <v>0</v>
      </c>
      <c r="Z3378" s="28"/>
      <c r="AA3378" s="28" t="n">
        <f aca="false">Z3378*$M3378</f>
        <v>0</v>
      </c>
      <c r="AB3378" s="28"/>
      <c r="AC3378" s="28" t="n">
        <f aca="false">AB3378*$M3378</f>
        <v>0</v>
      </c>
      <c r="AD3378" s="28"/>
      <c r="AE3378" s="28" t="n">
        <f aca="false">AD3378*$M3378</f>
        <v>0</v>
      </c>
      <c r="AF3378" s="28" t="n">
        <f aca="false">200/100</f>
        <v>2</v>
      </c>
      <c r="AG3378" s="28" t="n">
        <v>1100</v>
      </c>
      <c r="AH3378" s="28"/>
      <c r="AI3378" s="28" t="n">
        <f aca="false">AH3378*$M3378</f>
        <v>0</v>
      </c>
      <c r="AJ3378" s="28"/>
      <c r="AK3378" s="28" t="n">
        <f aca="false">AJ3378*$M3378</f>
        <v>0</v>
      </c>
      <c r="AL3378" s="28"/>
      <c r="AM3378" s="28" t="n">
        <f aca="false">AL3378*$M3378</f>
        <v>0</v>
      </c>
      <c r="AN3378" s="28"/>
      <c r="AO3378" s="28" t="n">
        <f aca="false">AN3378*$M3378</f>
        <v>0</v>
      </c>
      <c r="AP3378" s="28"/>
      <c r="AQ3378" s="28" t="n">
        <f aca="false">AP3378*$M3378</f>
        <v>0</v>
      </c>
      <c r="AR3378" s="28"/>
      <c r="AS3378" s="28" t="n">
        <f aca="false">AR3378*$M3378</f>
        <v>0</v>
      </c>
      <c r="AT3378" s="28"/>
      <c r="AU3378" s="28" t="n">
        <f aca="false">AT3378*$M3378</f>
        <v>0</v>
      </c>
      <c r="AV3378" s="28"/>
      <c r="AW3378" s="28" t="n">
        <f aca="false">AV3378*$M3378</f>
        <v>0</v>
      </c>
      <c r="AX3378" s="28"/>
      <c r="AY3378" s="28" t="n">
        <f aca="false">AX3378*$M3378</f>
        <v>0</v>
      </c>
      <c r="AZ3378" s="30" t="n">
        <f aca="false">200/100</f>
        <v>2</v>
      </c>
      <c r="BA3378" s="11" t="n">
        <v>1100</v>
      </c>
      <c r="BB3378" s="31" t="n">
        <f aca="false">SUM(Q3378,S3378,U3378,W3378,Y3378,AA3378,AC3378,AE3378,AG3378,AI3378,AK3378,AM3378,AO3378,AQ3378,AS3378,AU3378,AW3378,AY3378)</f>
        <v>1100</v>
      </c>
      <c r="BC3378" s="28" t="n">
        <f aca="false">BA3378-BB3378</f>
        <v>0</v>
      </c>
      <c r="BD3378" s="32" t="n">
        <f aca="false">SUM(P3378,R3378,T3378,V3378,X3378,Z3378,AB3378,AD3378,AF3378,AH3378,AJ3378,AL3378,AN3378,AP3378,AR3378,AT3378,AV3378,AX3378)</f>
        <v>2</v>
      </c>
      <c r="BE3378" s="33" t="n">
        <f aca="false">AZ3378-BD3378</f>
        <v>0</v>
      </c>
      <c r="BF3378" s="34" t="n">
        <f aca="false">BD3378*M3378</f>
        <v>1100</v>
      </c>
      <c r="BG3378" s="35" t="n">
        <f aca="false">BA3378-BF3378</f>
        <v>0</v>
      </c>
      <c r="BH3378" s="19" t="str">
        <f aca="false">IF(BG3378=0,"",IF(BG3378&lt;&gt;BA3378,"erreur de calcul",IF(BD3378&lt;&gt;0,"pas de prix",IF(M3378&lt;&gt; 0,"pas de quantité","pas de prix, ni de quantité"))))</f>
        <v/>
      </c>
      <c r="BI3378" s="19"/>
    </row>
    <row r="3379" customFormat="false" ht="15" hidden="false" customHeight="false" outlineLevel="0" collapsed="false">
      <c r="A3379" s="0" t="n">
        <v>10</v>
      </c>
      <c r="B3379" s="8" t="s">
        <v>24</v>
      </c>
      <c r="C3379" s="9" t="s">
        <v>25</v>
      </c>
      <c r="D3379" s="9" t="s">
        <v>26</v>
      </c>
      <c r="E3379" s="10" t="n">
        <v>1789</v>
      </c>
      <c r="F3379" s="9" t="s">
        <v>27</v>
      </c>
      <c r="G3379" s="9" t="s">
        <v>27</v>
      </c>
      <c r="H3379" s="11" t="n">
        <v>24</v>
      </c>
      <c r="I3379" s="11" t="s">
        <v>299</v>
      </c>
      <c r="J3379" s="14" t="n">
        <v>16</v>
      </c>
      <c r="K3379" s="14"/>
      <c r="L3379" s="16"/>
      <c r="M3379" s="27" t="n">
        <f aca="false">J3379+(K3379/20)+(L3379/240)</f>
        <v>16</v>
      </c>
      <c r="N3379" s="17" t="s">
        <v>64</v>
      </c>
      <c r="O3379" s="11"/>
      <c r="P3379" s="28" t="n">
        <f aca="false">20*288*0.02+252*0.02</f>
        <v>120.24</v>
      </c>
      <c r="Q3379" s="28" t="n">
        <v>1924</v>
      </c>
      <c r="R3379" s="28"/>
      <c r="S3379" s="28" t="n">
        <f aca="false">R3379*$M3379</f>
        <v>0</v>
      </c>
      <c r="T3379" s="28"/>
      <c r="U3379" s="28" t="n">
        <f aca="false">T3379*$M3379</f>
        <v>0</v>
      </c>
      <c r="V3379" s="28" t="n">
        <f aca="false">16*288*0.02+15*0.02</f>
        <v>92.46</v>
      </c>
      <c r="W3379" s="28" t="n">
        <v>1479</v>
      </c>
      <c r="X3379" s="28" t="n">
        <f aca="false">25*288*0.02+152*0.02</f>
        <v>147.04</v>
      </c>
      <c r="Y3379" s="28" t="n">
        <v>2353</v>
      </c>
      <c r="Z3379" s="28"/>
      <c r="AA3379" s="28" t="n">
        <f aca="false">Z3379*$M3379</f>
        <v>0</v>
      </c>
      <c r="AB3379" s="28" t="n">
        <f aca="false">127*288*0.02+236*0.02</f>
        <v>736.24</v>
      </c>
      <c r="AC3379" s="28" t="n">
        <v>11780</v>
      </c>
      <c r="AD3379" s="28"/>
      <c r="AE3379" s="28" t="n">
        <f aca="false">AD3379*$M3379</f>
        <v>0</v>
      </c>
      <c r="AF3379" s="28"/>
      <c r="AG3379" s="28" t="n">
        <f aca="false">AF3379*$M3379</f>
        <v>0</v>
      </c>
      <c r="AH3379" s="28"/>
      <c r="AI3379" s="28" t="n">
        <f aca="false">AH3379*$M3379</f>
        <v>0</v>
      </c>
      <c r="AJ3379" s="28"/>
      <c r="AK3379" s="28" t="n">
        <f aca="false">AJ3379*$M3379</f>
        <v>0</v>
      </c>
      <c r="AL3379" s="28"/>
      <c r="AM3379" s="28" t="n">
        <f aca="false">AL3379*$M3379</f>
        <v>0</v>
      </c>
      <c r="AN3379" s="28"/>
      <c r="AO3379" s="28" t="n">
        <f aca="false">AN3379*$M3379</f>
        <v>0</v>
      </c>
      <c r="AP3379" s="28"/>
      <c r="AQ3379" s="28" t="n">
        <f aca="false">AP3379*$M3379</f>
        <v>0</v>
      </c>
      <c r="AR3379" s="28"/>
      <c r="AS3379" s="28" t="n">
        <f aca="false">AR3379*$M3379</f>
        <v>0</v>
      </c>
      <c r="AT3379" s="28"/>
      <c r="AU3379" s="28" t="n">
        <f aca="false">AT3379*$M3379</f>
        <v>0</v>
      </c>
      <c r="AV3379" s="28"/>
      <c r="AW3379" s="28" t="n">
        <f aca="false">AV3379*$M3379</f>
        <v>0</v>
      </c>
      <c r="AX3379" s="28"/>
      <c r="AY3379" s="28" t="n">
        <f aca="false">AX3379*$M3379</f>
        <v>0</v>
      </c>
      <c r="AZ3379" s="30" t="n">
        <f aca="false">190*288*0.02+82*0.02</f>
        <v>1096.04</v>
      </c>
      <c r="BA3379" s="11" t="n">
        <v>17536</v>
      </c>
      <c r="BB3379" s="31" t="n">
        <f aca="false">SUM(Q3379,S3379,U3379,W3379,Y3379,AA3379,AC3379,AE3379,AG3379,AI3379,AK3379,AM3379,AO3379,AQ3379,AS3379,AU3379,AW3379,AY3379)</f>
        <v>17536</v>
      </c>
      <c r="BC3379" s="28" t="n">
        <f aca="false">BA3379-BB3379</f>
        <v>0</v>
      </c>
      <c r="BD3379" s="32" t="n">
        <f aca="false">SUM(P3379,R3379,T3379,V3379,X3379,Z3379,AB3379,AD3379,AF3379,AH3379,AJ3379,AL3379,AN3379,AP3379,AR3379,AT3379,AV3379,AX3379)</f>
        <v>1095.98</v>
      </c>
      <c r="BE3379" s="33" t="n">
        <f aca="false">AZ3379-BD3379</f>
        <v>0.0600000000001728</v>
      </c>
      <c r="BF3379" s="34" t="n">
        <f aca="false">BD3379*M3379</f>
        <v>17535.68</v>
      </c>
      <c r="BG3379" s="35" t="n">
        <f aca="false">BA3379-BF3379</f>
        <v>0.319999999999709</v>
      </c>
      <c r="BH3379" s="19" t="str">
        <f aca="false">IF(BG3379=0,"",IF(BG3379&lt;&gt;BA3379,"erreur de calcul",IF(BD3379&lt;&gt;0,"pas de prix",IF(M3379&lt;&gt; 0,"pas de quantité","pas de prix, ni de quantité"))))</f>
        <v>erreur de calcul</v>
      </c>
      <c r="BI3379" s="19"/>
    </row>
    <row r="3380" customFormat="false" ht="15" hidden="false" customHeight="false" outlineLevel="0" collapsed="false">
      <c r="A3380" s="0" t="n">
        <v>11</v>
      </c>
      <c r="B3380" s="8" t="s">
        <v>24</v>
      </c>
      <c r="C3380" s="9" t="s">
        <v>25</v>
      </c>
      <c r="D3380" s="9" t="s">
        <v>26</v>
      </c>
      <c r="E3380" s="10" t="n">
        <v>1789</v>
      </c>
      <c r="F3380" s="9" t="s">
        <v>27</v>
      </c>
      <c r="G3380" s="9" t="s">
        <v>27</v>
      </c>
      <c r="H3380" s="11" t="n">
        <v>24</v>
      </c>
      <c r="I3380" s="11" t="s">
        <v>300</v>
      </c>
      <c r="J3380" s="14" t="n">
        <v>360</v>
      </c>
      <c r="K3380" s="14"/>
      <c r="L3380" s="16"/>
      <c r="M3380" s="27" t="n">
        <f aca="false">J3380+(K3380/20)+(L3380/240)</f>
        <v>360</v>
      </c>
      <c r="N3380" s="17" t="s">
        <v>64</v>
      </c>
      <c r="O3380" s="11"/>
      <c r="P3380" s="28"/>
      <c r="Q3380" s="28" t="n">
        <f aca="false">P3380*$M3380</f>
        <v>0</v>
      </c>
      <c r="R3380" s="28"/>
      <c r="S3380" s="28" t="n">
        <f aca="false">R3380*$M3380</f>
        <v>0</v>
      </c>
      <c r="T3380" s="28"/>
      <c r="U3380" s="28" t="n">
        <f aca="false">T3380*$M3380</f>
        <v>0</v>
      </c>
      <c r="V3380" s="28"/>
      <c r="W3380" s="28" t="n">
        <f aca="false">V3380*$M3380</f>
        <v>0</v>
      </c>
      <c r="X3380" s="28"/>
      <c r="Y3380" s="28" t="n">
        <f aca="false">X3380*$M3380</f>
        <v>0</v>
      </c>
      <c r="Z3380" s="28"/>
      <c r="AA3380" s="28" t="n">
        <f aca="false">Z3380*$M3380</f>
        <v>0</v>
      </c>
      <c r="AB3380" s="28"/>
      <c r="AC3380" s="28" t="n">
        <f aca="false">AB3380*$M3380</f>
        <v>0</v>
      </c>
      <c r="AD3380" s="28"/>
      <c r="AE3380" s="28" t="n">
        <f aca="false">AD3380*$M3380</f>
        <v>0</v>
      </c>
      <c r="AF3380" s="28"/>
      <c r="AG3380" s="28" t="n">
        <f aca="false">AF3380*$M3380</f>
        <v>0</v>
      </c>
      <c r="AH3380" s="28" t="n">
        <f aca="false">371073/100</f>
        <v>3710.73</v>
      </c>
      <c r="AI3380" s="28" t="n">
        <v>1335863</v>
      </c>
      <c r="AJ3380" s="28"/>
      <c r="AK3380" s="28" t="n">
        <f aca="false">AJ3380*$M3380</f>
        <v>0</v>
      </c>
      <c r="AL3380" s="28"/>
      <c r="AM3380" s="28" t="n">
        <f aca="false">AL3380*$M3380</f>
        <v>0</v>
      </c>
      <c r="AN3380" s="28"/>
      <c r="AO3380" s="28" t="n">
        <f aca="false">AN3380*$M3380</f>
        <v>0</v>
      </c>
      <c r="AP3380" s="28"/>
      <c r="AQ3380" s="28" t="n">
        <f aca="false">AP3380*$M3380</f>
        <v>0</v>
      </c>
      <c r="AR3380" s="28"/>
      <c r="AS3380" s="28" t="n">
        <f aca="false">AR3380*$M3380</f>
        <v>0</v>
      </c>
      <c r="AT3380" s="28"/>
      <c r="AU3380" s="28" t="n">
        <f aca="false">AT3380*$M3380</f>
        <v>0</v>
      </c>
      <c r="AV3380" s="28"/>
      <c r="AW3380" s="28" t="n">
        <f aca="false">AV3380*$M3380</f>
        <v>0</v>
      </c>
      <c r="AX3380" s="28"/>
      <c r="AY3380" s="28" t="n">
        <f aca="false">AX3380*$M3380</f>
        <v>0</v>
      </c>
      <c r="AZ3380" s="30" t="n">
        <f aca="false">371073/100</f>
        <v>3710.73</v>
      </c>
      <c r="BA3380" s="11" t="n">
        <v>1335863</v>
      </c>
      <c r="BB3380" s="31" t="n">
        <f aca="false">SUM(Q3380,S3380,U3380,W3380,Y3380,AA3380,AC3380,AE3380,AG3380,AI3380,AK3380,AM3380,AO3380,AQ3380,AS3380,AU3380,AW3380,AY3380)</f>
        <v>1335863</v>
      </c>
      <c r="BC3380" s="28" t="n">
        <f aca="false">BA3380-BB3380</f>
        <v>0</v>
      </c>
      <c r="BD3380" s="32" t="n">
        <f aca="false">SUM(P3380,R3380,T3380,V3380,X3380,Z3380,AB3380,AD3380,AF3380,AH3380,AJ3380,AL3380,AN3380,AP3380,AR3380,AT3380,AV3380,AX3380)</f>
        <v>3710.73</v>
      </c>
      <c r="BE3380" s="33" t="n">
        <f aca="false">AZ3380-BD3380</f>
        <v>0</v>
      </c>
      <c r="BF3380" s="34" t="n">
        <f aca="false">BD3380*M3380</f>
        <v>1335862.8</v>
      </c>
      <c r="BG3380" s="35" t="n">
        <f aca="false">BA3380-BF3380</f>
        <v>0.199999999953434</v>
      </c>
      <c r="BH3380" s="19" t="str">
        <f aca="false">IF(BG3380=0,"",IF(BG3380&lt;&gt;BA3380,"erreur de calcul",IF(BD3380&lt;&gt;0,"pas de prix",IF(M3380&lt;&gt; 0,"pas de quantité","pas de prix, ni de quantité"))))</f>
        <v>erreur de calcul</v>
      </c>
      <c r="BI3380" s="19"/>
    </row>
    <row r="3381" customFormat="false" ht="15" hidden="false" customHeight="false" outlineLevel="0" collapsed="false">
      <c r="A3381" s="0" t="n">
        <v>12</v>
      </c>
      <c r="B3381" s="8" t="s">
        <v>24</v>
      </c>
      <c r="C3381" s="9" t="s">
        <v>25</v>
      </c>
      <c r="D3381" s="9" t="s">
        <v>26</v>
      </c>
      <c r="E3381" s="10" t="n">
        <v>1789</v>
      </c>
      <c r="F3381" s="9" t="s">
        <v>27</v>
      </c>
      <c r="G3381" s="9" t="s">
        <v>27</v>
      </c>
      <c r="H3381" s="11" t="n">
        <v>24</v>
      </c>
      <c r="I3381" s="11" t="s">
        <v>301</v>
      </c>
      <c r="J3381" s="14" t="n">
        <v>3</v>
      </c>
      <c r="K3381" s="14"/>
      <c r="L3381" s="16"/>
      <c r="M3381" s="27" t="n">
        <f aca="false">J3381+(K3381/20)+(L3381/240)</f>
        <v>3</v>
      </c>
      <c r="N3381" s="17" t="s">
        <v>66</v>
      </c>
      <c r="O3381" s="11"/>
      <c r="P3381" s="28"/>
      <c r="Q3381" s="28" t="n">
        <f aca="false">P3381*$M3381</f>
        <v>0</v>
      </c>
      <c r="R3381" s="28"/>
      <c r="S3381" s="28" t="n">
        <f aca="false">R3381*$M3381</f>
        <v>0</v>
      </c>
      <c r="T3381" s="28"/>
      <c r="U3381" s="28" t="n">
        <f aca="false">T3381*$M3381</f>
        <v>0</v>
      </c>
      <c r="V3381" s="28"/>
      <c r="W3381" s="28" t="n">
        <f aca="false">V3381*$M3381</f>
        <v>0</v>
      </c>
      <c r="X3381" s="28"/>
      <c r="Y3381" s="28" t="n">
        <f aca="false">X3381*$M3381</f>
        <v>0</v>
      </c>
      <c r="Z3381" s="28"/>
      <c r="AA3381" s="28" t="n">
        <f aca="false">Z3381*$M3381</f>
        <v>0</v>
      </c>
      <c r="AB3381" s="28"/>
      <c r="AC3381" s="28" t="n">
        <f aca="false">AB3381*$M3381</f>
        <v>0</v>
      </c>
      <c r="AD3381" s="28"/>
      <c r="AE3381" s="28" t="n">
        <f aca="false">AD3381*$M3381</f>
        <v>0</v>
      </c>
      <c r="AF3381" s="28"/>
      <c r="AG3381" s="28" t="n">
        <f aca="false">AF3381*$M3381</f>
        <v>0</v>
      </c>
      <c r="AH3381" s="28" t="n">
        <v>19281</v>
      </c>
      <c r="AI3381" s="28" t="n">
        <v>57843</v>
      </c>
      <c r="AJ3381" s="28"/>
      <c r="AK3381" s="28" t="n">
        <f aca="false">AJ3381*$M3381</f>
        <v>0</v>
      </c>
      <c r="AL3381" s="28"/>
      <c r="AM3381" s="28" t="n">
        <f aca="false">AL3381*$M3381</f>
        <v>0</v>
      </c>
      <c r="AN3381" s="28"/>
      <c r="AO3381" s="28" t="n">
        <f aca="false">AN3381*$M3381</f>
        <v>0</v>
      </c>
      <c r="AP3381" s="28"/>
      <c r="AQ3381" s="28" t="n">
        <f aca="false">AP3381*$M3381</f>
        <v>0</v>
      </c>
      <c r="AR3381" s="28"/>
      <c r="AS3381" s="28" t="n">
        <f aca="false">AR3381*$M3381</f>
        <v>0</v>
      </c>
      <c r="AT3381" s="28"/>
      <c r="AU3381" s="28" t="n">
        <f aca="false">AT3381*$M3381</f>
        <v>0</v>
      </c>
      <c r="AV3381" s="28"/>
      <c r="AW3381" s="28" t="n">
        <f aca="false">AV3381*$M3381</f>
        <v>0</v>
      </c>
      <c r="AX3381" s="28"/>
      <c r="AY3381" s="28" t="n">
        <f aca="false">AX3381*$M3381</f>
        <v>0</v>
      </c>
      <c r="AZ3381" s="30" t="n">
        <v>19281</v>
      </c>
      <c r="BA3381" s="11" t="n">
        <v>57843</v>
      </c>
      <c r="BB3381" s="31" t="n">
        <f aca="false">SUM(Q3381,S3381,U3381,W3381,Y3381,AA3381,AC3381,AE3381,AG3381,AI3381,AK3381,AM3381,AO3381,AQ3381,AS3381,AU3381,AW3381,AY3381)</f>
        <v>57843</v>
      </c>
      <c r="BC3381" s="28" t="n">
        <f aca="false">BA3381-BB3381</f>
        <v>0</v>
      </c>
      <c r="BD3381" s="32" t="n">
        <f aca="false">SUM(P3381,R3381,T3381,V3381,X3381,Z3381,AB3381,AD3381,AF3381,AH3381,AJ3381,AL3381,AN3381,AP3381,AR3381,AT3381,AV3381,AX3381)</f>
        <v>19281</v>
      </c>
      <c r="BE3381" s="33" t="n">
        <f aca="false">AZ3381-BD3381</f>
        <v>0</v>
      </c>
      <c r="BF3381" s="34" t="n">
        <f aca="false">BD3381*M3381</f>
        <v>57843</v>
      </c>
      <c r="BG3381" s="35" t="n">
        <f aca="false">BA3381-BF3381</f>
        <v>0</v>
      </c>
      <c r="BH3381" s="19" t="str">
        <f aca="false">IF(BG3381=0,"",IF(BG3381&lt;&gt;BA3381,"erreur de calcul",IF(BD3381&lt;&gt;0,"pas de prix",IF(M3381&lt;&gt; 0,"pas de quantité","pas de prix, ni de quantité"))))</f>
        <v/>
      </c>
      <c r="BI3381" s="19"/>
    </row>
    <row r="3382" customFormat="false" ht="15" hidden="false" customHeight="false" outlineLevel="0" collapsed="false">
      <c r="A3382" s="0" t="n">
        <v>13</v>
      </c>
      <c r="B3382" s="8" t="s">
        <v>24</v>
      </c>
      <c r="C3382" s="9" t="s">
        <v>25</v>
      </c>
      <c r="D3382" s="9" t="s">
        <v>26</v>
      </c>
      <c r="E3382" s="10" t="n">
        <v>1789</v>
      </c>
      <c r="F3382" s="9" t="s">
        <v>27</v>
      </c>
      <c r="G3382" s="9" t="s">
        <v>27</v>
      </c>
      <c r="H3382" s="11" t="n">
        <v>24</v>
      </c>
      <c r="I3382" s="11" t="s">
        <v>302</v>
      </c>
      <c r="J3382" s="14" t="n">
        <v>112</v>
      </c>
      <c r="K3382" s="14"/>
      <c r="L3382" s="16"/>
      <c r="M3382" s="27" t="n">
        <f aca="false">J3382+(K3382/20)+(L3382/240)</f>
        <v>112</v>
      </c>
      <c r="N3382" s="17" t="s">
        <v>64</v>
      </c>
      <c r="O3382" s="11"/>
      <c r="P3382" s="28" t="n">
        <f aca="false">99503/100</f>
        <v>995.03</v>
      </c>
      <c r="Q3382" s="28" t="n">
        <v>111443</v>
      </c>
      <c r="R3382" s="28"/>
      <c r="S3382" s="28" t="n">
        <f aca="false">R3382*$M3382</f>
        <v>0</v>
      </c>
      <c r="T3382" s="28" t="n">
        <f aca="false">8445/100</f>
        <v>84.45</v>
      </c>
      <c r="U3382" s="28" t="n">
        <v>9458</v>
      </c>
      <c r="V3382" s="28" t="n">
        <f aca="false">2517/100</f>
        <v>25.17</v>
      </c>
      <c r="W3382" s="28" t="n">
        <v>2819</v>
      </c>
      <c r="X3382" s="28" t="n">
        <f aca="false">4729/100</f>
        <v>47.29</v>
      </c>
      <c r="Y3382" s="28" t="n">
        <v>5296</v>
      </c>
      <c r="Z3382" s="28" t="n">
        <f aca="false">198115/100</f>
        <v>1981.15</v>
      </c>
      <c r="AA3382" s="28" t="n">
        <v>221889</v>
      </c>
      <c r="AB3382" s="28"/>
      <c r="AC3382" s="28" t="n">
        <f aca="false">AB3382*$M3382</f>
        <v>0</v>
      </c>
      <c r="AD3382" s="28"/>
      <c r="AE3382" s="28" t="n">
        <f aca="false">AD3382*$M3382</f>
        <v>0</v>
      </c>
      <c r="AF3382" s="28" t="n">
        <f aca="false">67420/100</f>
        <v>674.2</v>
      </c>
      <c r="AG3382" s="28" t="n">
        <v>75510</v>
      </c>
      <c r="AH3382" s="28" t="n">
        <f aca="false">415806/100</f>
        <v>4158.06</v>
      </c>
      <c r="AI3382" s="28" t="n">
        <v>465703</v>
      </c>
      <c r="AJ3382" s="28"/>
      <c r="AK3382" s="28" t="n">
        <f aca="false">AJ3382*$M3382</f>
        <v>0</v>
      </c>
      <c r="AL3382" s="28" t="n">
        <f aca="false">324/100</f>
        <v>3.24</v>
      </c>
      <c r="AM3382" s="28" t="n">
        <v>363</v>
      </c>
      <c r="AN3382" s="28"/>
      <c r="AO3382" s="28" t="n">
        <f aca="false">AN3382*$M3382</f>
        <v>0</v>
      </c>
      <c r="AP3382" s="28"/>
      <c r="AQ3382" s="28" t="n">
        <f aca="false">AP3382*$M3382</f>
        <v>0</v>
      </c>
      <c r="AR3382" s="28"/>
      <c r="AS3382" s="28" t="n">
        <f aca="false">AR3382*$M3382</f>
        <v>0</v>
      </c>
      <c r="AT3382" s="28"/>
      <c r="AU3382" s="28" t="n">
        <f aca="false">AT3382*$M3382</f>
        <v>0</v>
      </c>
      <c r="AV3382" s="28"/>
      <c r="AW3382" s="28" t="n">
        <f aca="false">AV3382*$M3382</f>
        <v>0</v>
      </c>
      <c r="AX3382" s="28"/>
      <c r="AY3382" s="28" t="n">
        <f aca="false">AX3382*$M3382</f>
        <v>0</v>
      </c>
      <c r="AZ3382" s="30" t="n">
        <f aca="false">796859/100</f>
        <v>7968.59</v>
      </c>
      <c r="BA3382" s="11" t="n">
        <v>892481</v>
      </c>
      <c r="BB3382" s="31" t="n">
        <f aca="false">SUM(Q3382,S3382,U3382,W3382,Y3382,AA3382,AC3382,AE3382,AG3382,AI3382,AK3382,AM3382,AO3382,AQ3382,AS3382,AU3382,AW3382,AY3382)</f>
        <v>892481</v>
      </c>
      <c r="BC3382" s="28" t="n">
        <f aca="false">BA3382-BB3382</f>
        <v>0</v>
      </c>
      <c r="BD3382" s="32" t="n">
        <f aca="false">SUM(P3382,R3382,T3382,V3382,X3382,Z3382,AB3382,AD3382,AF3382,AH3382,AJ3382,AL3382,AN3382,AP3382,AR3382,AT3382,AV3382,AX3382)</f>
        <v>7968.59</v>
      </c>
      <c r="BE3382" s="33" t="n">
        <f aca="false">AZ3382-BD3382</f>
        <v>0</v>
      </c>
      <c r="BF3382" s="34" t="n">
        <f aca="false">BD3382*M3382</f>
        <v>892482.08</v>
      </c>
      <c r="BG3382" s="35" t="n">
        <f aca="false">BA3382-BF3382</f>
        <v>-1.07999999995809</v>
      </c>
      <c r="BH3382" s="19" t="str">
        <f aca="false">IF(BG3382=0,"",IF(BG3382&lt;&gt;BA3382,"erreur de calcul",IF(BD3382&lt;&gt;0,"pas de prix",IF(M3382&lt;&gt; 0,"pas de quantité","pas de prix, ni de quantité"))))</f>
        <v>erreur de calcul</v>
      </c>
      <c r="BI3382" s="19"/>
    </row>
    <row r="3383" customFormat="false" ht="15" hidden="false" customHeight="false" outlineLevel="0" collapsed="false">
      <c r="A3383" s="0" t="n">
        <v>14</v>
      </c>
      <c r="B3383" s="8" t="s">
        <v>24</v>
      </c>
      <c r="C3383" s="9" t="s">
        <v>25</v>
      </c>
      <c r="D3383" s="9" t="s">
        <v>26</v>
      </c>
      <c r="E3383" s="10" t="n">
        <v>1789</v>
      </c>
      <c r="F3383" s="9" t="s">
        <v>27</v>
      </c>
      <c r="G3383" s="9" t="s">
        <v>27</v>
      </c>
      <c r="H3383" s="11" t="n">
        <v>24</v>
      </c>
      <c r="I3383" s="11" t="s">
        <v>303</v>
      </c>
      <c r="J3383" s="14" t="n">
        <v>50</v>
      </c>
      <c r="K3383" s="14"/>
      <c r="L3383" s="16"/>
      <c r="M3383" s="27" t="n">
        <f aca="false">J3383+(K3383/20)+(L3383/240)</f>
        <v>50</v>
      </c>
      <c r="N3383" s="17" t="s">
        <v>64</v>
      </c>
      <c r="O3383" s="11"/>
      <c r="P3383" s="28"/>
      <c r="Q3383" s="28" t="n">
        <f aca="false">P3383*$M3383</f>
        <v>0</v>
      </c>
      <c r="R3383" s="28"/>
      <c r="S3383" s="28" t="n">
        <f aca="false">R3383*$M3383</f>
        <v>0</v>
      </c>
      <c r="T3383" s="28"/>
      <c r="U3383" s="28" t="n">
        <f aca="false">T3383*$M3383</f>
        <v>0</v>
      </c>
      <c r="V3383" s="28"/>
      <c r="W3383" s="28" t="n">
        <f aca="false">V3383*$M3383</f>
        <v>0</v>
      </c>
      <c r="X3383" s="28"/>
      <c r="Y3383" s="28" t="n">
        <f aca="false">X3383*$M3383</f>
        <v>0</v>
      </c>
      <c r="Z3383" s="28"/>
      <c r="AA3383" s="28" t="n">
        <f aca="false">Z3383*$M3383</f>
        <v>0</v>
      </c>
      <c r="AB3383" s="28"/>
      <c r="AC3383" s="28" t="n">
        <f aca="false">AB3383*$M3383</f>
        <v>0</v>
      </c>
      <c r="AD3383" s="28"/>
      <c r="AE3383" s="28" t="n">
        <f aca="false">AD3383*$M3383</f>
        <v>0</v>
      </c>
      <c r="AF3383" s="28" t="n">
        <f aca="false">208461/100</f>
        <v>2084.61</v>
      </c>
      <c r="AG3383" s="28" t="n">
        <v>104230</v>
      </c>
      <c r="AH3383" s="28" t="n">
        <f aca="false">757624/100</f>
        <v>7576.24</v>
      </c>
      <c r="AI3383" s="28" t="n">
        <v>378812</v>
      </c>
      <c r="AJ3383" s="28"/>
      <c r="AK3383" s="28" t="n">
        <f aca="false">AJ3383*$M3383</f>
        <v>0</v>
      </c>
      <c r="AL3383" s="28"/>
      <c r="AM3383" s="28" t="n">
        <f aca="false">AL3383*$M3383</f>
        <v>0</v>
      </c>
      <c r="AN3383" s="28"/>
      <c r="AO3383" s="28" t="n">
        <f aca="false">AN3383*$M3383</f>
        <v>0</v>
      </c>
      <c r="AP3383" s="28"/>
      <c r="AQ3383" s="28" t="n">
        <f aca="false">AP3383*$M3383</f>
        <v>0</v>
      </c>
      <c r="AR3383" s="28"/>
      <c r="AS3383" s="28" t="n">
        <f aca="false">AR3383*$M3383</f>
        <v>0</v>
      </c>
      <c r="AT3383" s="28"/>
      <c r="AU3383" s="28" t="n">
        <f aca="false">AT3383*$M3383</f>
        <v>0</v>
      </c>
      <c r="AV3383" s="28"/>
      <c r="AW3383" s="28" t="n">
        <f aca="false">AV3383*$M3383</f>
        <v>0</v>
      </c>
      <c r="AX3383" s="28"/>
      <c r="AY3383" s="28" t="n">
        <f aca="false">AX3383*$M3383</f>
        <v>0</v>
      </c>
      <c r="AZ3383" s="30" t="n">
        <f aca="false">966085/100</f>
        <v>9660.85</v>
      </c>
      <c r="BA3383" s="11" t="n">
        <v>483042</v>
      </c>
      <c r="BB3383" s="31" t="n">
        <f aca="false">SUM(Q3383,S3383,U3383,W3383,Y3383,AA3383,AC3383,AE3383,AG3383,AI3383,AK3383,AM3383,AO3383,AQ3383,AS3383,AU3383,AW3383,AY3383)</f>
        <v>483042</v>
      </c>
      <c r="BC3383" s="28" t="n">
        <f aca="false">BA3383-BB3383</f>
        <v>0</v>
      </c>
      <c r="BD3383" s="32" t="n">
        <f aca="false">SUM(P3383,R3383,T3383,V3383,X3383,Z3383,AB3383,AD3383,AF3383,AH3383,AJ3383,AL3383,AN3383,AP3383,AR3383,AT3383,AV3383,AX3383)</f>
        <v>9660.85</v>
      </c>
      <c r="BE3383" s="33" t="n">
        <f aca="false">AZ3383-BD3383</f>
        <v>0</v>
      </c>
      <c r="BF3383" s="34" t="n">
        <f aca="false">BD3383*M3383</f>
        <v>483042.5</v>
      </c>
      <c r="BG3383" s="35" t="n">
        <f aca="false">BA3383-BF3383</f>
        <v>-0.5</v>
      </c>
      <c r="BH3383" s="19" t="str">
        <f aca="false">IF(BG3383=0,"",IF(BG3383&lt;&gt;BA3383,"erreur de calcul",IF(BD3383&lt;&gt;0,"pas de prix",IF(M3383&lt;&gt; 0,"pas de quantité","pas de prix, ni de quantité"))))</f>
        <v>erreur de calcul</v>
      </c>
      <c r="BI3383" s="19"/>
    </row>
    <row r="3384" customFormat="false" ht="15" hidden="false" customHeight="false" outlineLevel="0" collapsed="false">
      <c r="A3384" s="0" t="n">
        <v>15</v>
      </c>
      <c r="B3384" s="8" t="s">
        <v>24</v>
      </c>
      <c r="C3384" s="9" t="s">
        <v>25</v>
      </c>
      <c r="D3384" s="9" t="s">
        <v>26</v>
      </c>
      <c r="E3384" s="10" t="n">
        <v>1789</v>
      </c>
      <c r="F3384" s="9" t="s">
        <v>27</v>
      </c>
      <c r="G3384" s="9" t="s">
        <v>27</v>
      </c>
      <c r="H3384" s="11" t="n">
        <v>24</v>
      </c>
      <c r="I3384" s="11" t="s">
        <v>304</v>
      </c>
      <c r="J3384" s="14" t="n">
        <v>340</v>
      </c>
      <c r="K3384" s="14"/>
      <c r="L3384" s="16"/>
      <c r="M3384" s="27" t="n">
        <f aca="false">J3384+(K3384/20)+(L3384/240)</f>
        <v>340</v>
      </c>
      <c r="N3384" s="17" t="s">
        <v>64</v>
      </c>
      <c r="O3384" s="11"/>
      <c r="P3384" s="28"/>
      <c r="Q3384" s="28" t="n">
        <f aca="false">P3384*$M3384</f>
        <v>0</v>
      </c>
      <c r="R3384" s="28"/>
      <c r="S3384" s="28" t="n">
        <f aca="false">R3384*$M3384</f>
        <v>0</v>
      </c>
      <c r="T3384" s="28"/>
      <c r="U3384" s="28" t="n">
        <f aca="false">T3384*$M3384</f>
        <v>0</v>
      </c>
      <c r="V3384" s="28"/>
      <c r="W3384" s="28" t="n">
        <f aca="false">V3384*$M3384</f>
        <v>0</v>
      </c>
      <c r="X3384" s="28"/>
      <c r="Y3384" s="28" t="n">
        <f aca="false">X3384*$M3384</f>
        <v>0</v>
      </c>
      <c r="Z3384" s="28"/>
      <c r="AA3384" s="28" t="n">
        <f aca="false">Z3384*$M3384</f>
        <v>0</v>
      </c>
      <c r="AB3384" s="28" t="n">
        <f aca="false">339883/100</f>
        <v>3398.83</v>
      </c>
      <c r="AC3384" s="28" t="n">
        <v>1155602</v>
      </c>
      <c r="AD3384" s="28"/>
      <c r="AE3384" s="28" t="n">
        <f aca="false">AD3384*$M3384</f>
        <v>0</v>
      </c>
      <c r="AF3384" s="28"/>
      <c r="AG3384" s="28" t="n">
        <f aca="false">AF3384*$M3384</f>
        <v>0</v>
      </c>
      <c r="AH3384" s="28"/>
      <c r="AI3384" s="28" t="n">
        <f aca="false">AH3384*$M3384</f>
        <v>0</v>
      </c>
      <c r="AJ3384" s="28"/>
      <c r="AK3384" s="28" t="n">
        <f aca="false">AJ3384*$M3384</f>
        <v>0</v>
      </c>
      <c r="AL3384" s="28"/>
      <c r="AM3384" s="28" t="n">
        <f aca="false">AL3384*$M3384</f>
        <v>0</v>
      </c>
      <c r="AN3384" s="28"/>
      <c r="AO3384" s="28" t="n">
        <f aca="false">AN3384*$M3384</f>
        <v>0</v>
      </c>
      <c r="AP3384" s="28"/>
      <c r="AQ3384" s="28" t="n">
        <f aca="false">AP3384*$M3384</f>
        <v>0</v>
      </c>
      <c r="AR3384" s="28"/>
      <c r="AS3384" s="28" t="n">
        <f aca="false">AR3384*$M3384</f>
        <v>0</v>
      </c>
      <c r="AT3384" s="28"/>
      <c r="AU3384" s="28" t="n">
        <f aca="false">AT3384*$M3384</f>
        <v>0</v>
      </c>
      <c r="AV3384" s="28"/>
      <c r="AW3384" s="28" t="n">
        <f aca="false">AV3384*$M3384</f>
        <v>0</v>
      </c>
      <c r="AX3384" s="28"/>
      <c r="AY3384" s="28" t="n">
        <f aca="false">AX3384*$M3384</f>
        <v>0</v>
      </c>
      <c r="AZ3384" s="30" t="n">
        <f aca="false">339883/100</f>
        <v>3398.83</v>
      </c>
      <c r="BA3384" s="11" t="n">
        <v>1155602</v>
      </c>
      <c r="BB3384" s="31" t="n">
        <f aca="false">SUM(Q3384,S3384,U3384,W3384,Y3384,AA3384,AC3384,AE3384,AG3384,AI3384,AK3384,AM3384,AO3384,AQ3384,AS3384,AU3384,AW3384,AY3384)</f>
        <v>1155602</v>
      </c>
      <c r="BC3384" s="28" t="n">
        <f aca="false">BA3384-BB3384</f>
        <v>0</v>
      </c>
      <c r="BD3384" s="32" t="n">
        <f aca="false">SUM(P3384,R3384,T3384,V3384,X3384,Z3384,AB3384,AD3384,AF3384,AH3384,AJ3384,AL3384,AN3384,AP3384,AR3384,AT3384,AV3384,AX3384)</f>
        <v>3398.83</v>
      </c>
      <c r="BE3384" s="33" t="n">
        <f aca="false">AZ3384-BD3384</f>
        <v>0</v>
      </c>
      <c r="BF3384" s="34" t="n">
        <f aca="false">BD3384*M3384</f>
        <v>1155602.2</v>
      </c>
      <c r="BG3384" s="35" t="n">
        <f aca="false">BA3384-BF3384</f>
        <v>-0.199999999953434</v>
      </c>
      <c r="BH3384" s="19" t="str">
        <f aca="false">IF(BG3384=0,"",IF(BG3384&lt;&gt;BA3384,"erreur de calcul",IF(BD3384&lt;&gt;0,"pas de prix",IF(M3384&lt;&gt; 0,"pas de quantité","pas de prix, ni de quantité"))))</f>
        <v>erreur de calcul</v>
      </c>
      <c r="BI3384" s="19"/>
    </row>
    <row r="3385" customFormat="false" ht="15" hidden="false" customHeight="false" outlineLevel="0" collapsed="false">
      <c r="A3385" s="0" t="n">
        <v>16</v>
      </c>
      <c r="B3385" s="8" t="s">
        <v>24</v>
      </c>
      <c r="C3385" s="9" t="s">
        <v>25</v>
      </c>
      <c r="D3385" s="9" t="s">
        <v>26</v>
      </c>
      <c r="E3385" s="10" t="n">
        <v>1789</v>
      </c>
      <c r="F3385" s="9" t="s">
        <v>27</v>
      </c>
      <c r="G3385" s="9" t="s">
        <v>27</v>
      </c>
      <c r="H3385" s="11" t="n">
        <v>24</v>
      </c>
      <c r="I3385" s="11" t="s">
        <v>305</v>
      </c>
      <c r="J3385" s="14" t="n">
        <v>235</v>
      </c>
      <c r="K3385" s="14"/>
      <c r="L3385" s="16"/>
      <c r="M3385" s="27" t="n">
        <f aca="false">J3385+(K3385/20)+(L3385/240)</f>
        <v>235</v>
      </c>
      <c r="N3385" s="17" t="s">
        <v>64</v>
      </c>
      <c r="O3385" s="11"/>
      <c r="P3385" s="28" t="n">
        <f aca="false">34642/100</f>
        <v>346.42</v>
      </c>
      <c r="Q3385" s="28" t="n">
        <v>81409</v>
      </c>
      <c r="R3385" s="28"/>
      <c r="S3385" s="28" t="n">
        <f aca="false">R3385*$M3385</f>
        <v>0</v>
      </c>
      <c r="T3385" s="28"/>
      <c r="U3385" s="28" t="n">
        <f aca="false">T3385*$M3385</f>
        <v>0</v>
      </c>
      <c r="V3385" s="28"/>
      <c r="W3385" s="28" t="n">
        <f aca="false">V3385*$M3385</f>
        <v>0</v>
      </c>
      <c r="X3385" s="28"/>
      <c r="Y3385" s="28" t="n">
        <f aca="false">X3385*$M3385</f>
        <v>0</v>
      </c>
      <c r="Z3385" s="28"/>
      <c r="AA3385" s="28" t="n">
        <f aca="false">Z3385*$M3385</f>
        <v>0</v>
      </c>
      <c r="AB3385" s="28"/>
      <c r="AC3385" s="28" t="n">
        <f aca="false">AB3385*$M3385</f>
        <v>0</v>
      </c>
      <c r="AD3385" s="28"/>
      <c r="AE3385" s="28" t="n">
        <f aca="false">AD3385*$M3385</f>
        <v>0</v>
      </c>
      <c r="AF3385" s="28"/>
      <c r="AG3385" s="28" t="n">
        <f aca="false">AF3385*$M3385</f>
        <v>0</v>
      </c>
      <c r="AH3385" s="28"/>
      <c r="AI3385" s="28" t="n">
        <f aca="false">AH3385*$M3385</f>
        <v>0</v>
      </c>
      <c r="AJ3385" s="28"/>
      <c r="AK3385" s="28" t="n">
        <f aca="false">AJ3385*$M3385</f>
        <v>0</v>
      </c>
      <c r="AL3385" s="28"/>
      <c r="AM3385" s="28" t="n">
        <f aca="false">AL3385*$M3385</f>
        <v>0</v>
      </c>
      <c r="AN3385" s="28"/>
      <c r="AO3385" s="28" t="n">
        <f aca="false">AN3385*$M3385</f>
        <v>0</v>
      </c>
      <c r="AP3385" s="28"/>
      <c r="AQ3385" s="28" t="n">
        <f aca="false">AP3385*$M3385</f>
        <v>0</v>
      </c>
      <c r="AR3385" s="28"/>
      <c r="AS3385" s="28" t="n">
        <f aca="false">AR3385*$M3385</f>
        <v>0</v>
      </c>
      <c r="AT3385" s="28"/>
      <c r="AU3385" s="28" t="n">
        <f aca="false">AT3385*$M3385</f>
        <v>0</v>
      </c>
      <c r="AV3385" s="28"/>
      <c r="AW3385" s="28" t="n">
        <f aca="false">AV3385*$M3385</f>
        <v>0</v>
      </c>
      <c r="AX3385" s="28"/>
      <c r="AY3385" s="28" t="n">
        <f aca="false">AX3385*$M3385</f>
        <v>0</v>
      </c>
      <c r="AZ3385" s="30" t="n">
        <f aca="false">34642/100</f>
        <v>346.42</v>
      </c>
      <c r="BA3385" s="11" t="n">
        <v>81409</v>
      </c>
      <c r="BB3385" s="31" t="n">
        <f aca="false">SUM(Q3385,S3385,U3385,W3385,Y3385,AA3385,AC3385,AE3385,AG3385,AI3385,AK3385,AM3385,AO3385,AQ3385,AS3385,AU3385,AW3385,AY3385)</f>
        <v>81409</v>
      </c>
      <c r="BC3385" s="28" t="n">
        <f aca="false">BA3385-BB3385</f>
        <v>0</v>
      </c>
      <c r="BD3385" s="32" t="n">
        <f aca="false">SUM(P3385,R3385,T3385,V3385,X3385,Z3385,AB3385,AD3385,AF3385,AH3385,AJ3385,AL3385,AN3385,AP3385,AR3385,AT3385,AV3385,AX3385)</f>
        <v>346.42</v>
      </c>
      <c r="BE3385" s="33" t="n">
        <f aca="false">AZ3385-BD3385</f>
        <v>0</v>
      </c>
      <c r="BF3385" s="34" t="n">
        <f aca="false">BD3385*M3385</f>
        <v>81408.7</v>
      </c>
      <c r="BG3385" s="35" t="n">
        <f aca="false">BA3385-BF3385</f>
        <v>0.30000000000291</v>
      </c>
      <c r="BH3385" s="19" t="str">
        <f aca="false">IF(BG3385=0,"",IF(BG3385&lt;&gt;BA3385,"erreur de calcul",IF(BD3385&lt;&gt;0,"pas de prix",IF(M3385&lt;&gt; 0,"pas de quantité","pas de prix, ni de quantité"))))</f>
        <v>erreur de calcul</v>
      </c>
      <c r="BI3385" s="19"/>
    </row>
    <row r="3386" customFormat="false" ht="15" hidden="false" customHeight="false" outlineLevel="0" collapsed="false">
      <c r="A3386" s="0" t="n">
        <v>17</v>
      </c>
      <c r="B3386" s="8" t="s">
        <v>24</v>
      </c>
      <c r="C3386" s="9" t="s">
        <v>25</v>
      </c>
      <c r="D3386" s="9" t="s">
        <v>26</v>
      </c>
      <c r="E3386" s="10" t="n">
        <v>1789</v>
      </c>
      <c r="F3386" s="9" t="s">
        <v>27</v>
      </c>
      <c r="G3386" s="9" t="s">
        <v>27</v>
      </c>
      <c r="H3386" s="11" t="n">
        <v>24</v>
      </c>
      <c r="I3386" s="11" t="s">
        <v>306</v>
      </c>
      <c r="J3386" s="14" t="n">
        <v>71</v>
      </c>
      <c r="K3386" s="14"/>
      <c r="L3386" s="16"/>
      <c r="M3386" s="27" t="n">
        <f aca="false">J3386+(K3386/20)+(L3386/240)</f>
        <v>71</v>
      </c>
      <c r="N3386" s="17" t="s">
        <v>64</v>
      </c>
      <c r="O3386" s="11"/>
      <c r="P3386" s="28"/>
      <c r="Q3386" s="28" t="n">
        <f aca="false">P3386*$M3386</f>
        <v>0</v>
      </c>
      <c r="R3386" s="28"/>
      <c r="S3386" s="28" t="n">
        <f aca="false">R3386*$M3386</f>
        <v>0</v>
      </c>
      <c r="T3386" s="28" t="n">
        <f aca="false">12674/100</f>
        <v>126.74</v>
      </c>
      <c r="U3386" s="28" t="n">
        <v>8998</v>
      </c>
      <c r="V3386" s="28"/>
      <c r="W3386" s="28" t="n">
        <f aca="false">V3386*$M3386</f>
        <v>0</v>
      </c>
      <c r="X3386" s="28"/>
      <c r="Y3386" s="28" t="n">
        <f aca="false">X3386*$M3386</f>
        <v>0</v>
      </c>
      <c r="Z3386" s="28"/>
      <c r="AA3386" s="28" t="n">
        <f aca="false">Z3386*$M3386</f>
        <v>0</v>
      </c>
      <c r="AB3386" s="28"/>
      <c r="AC3386" s="28" t="n">
        <f aca="false">AB3386*$M3386</f>
        <v>0</v>
      </c>
      <c r="AD3386" s="28" t="n">
        <f aca="false">4283/100</f>
        <v>42.83</v>
      </c>
      <c r="AE3386" s="28" t="n">
        <v>3041</v>
      </c>
      <c r="AF3386" s="28" t="n">
        <f aca="false">2978140/100</f>
        <v>29781.4</v>
      </c>
      <c r="AG3386" s="28" t="n">
        <v>2114479</v>
      </c>
      <c r="AH3386" s="28" t="n">
        <f aca="false">4119032/100</f>
        <v>41190.32</v>
      </c>
      <c r="AI3386" s="28" t="n">
        <v>2924512</v>
      </c>
      <c r="AJ3386" s="28"/>
      <c r="AK3386" s="28" t="n">
        <f aca="false">AJ3386*$M3386</f>
        <v>0</v>
      </c>
      <c r="AL3386" s="28"/>
      <c r="AM3386" s="28" t="n">
        <f aca="false">AL3386*$M3386</f>
        <v>0</v>
      </c>
      <c r="AN3386" s="28"/>
      <c r="AO3386" s="28" t="n">
        <f aca="false">AN3386*$M3386</f>
        <v>0</v>
      </c>
      <c r="AP3386" s="28"/>
      <c r="AQ3386" s="28" t="n">
        <f aca="false">AP3386*$M3386</f>
        <v>0</v>
      </c>
      <c r="AR3386" s="28"/>
      <c r="AS3386" s="28" t="n">
        <f aca="false">AR3386*$M3386</f>
        <v>0</v>
      </c>
      <c r="AT3386" s="28"/>
      <c r="AU3386" s="28" t="n">
        <f aca="false">AT3386*$M3386</f>
        <v>0</v>
      </c>
      <c r="AV3386" s="28"/>
      <c r="AW3386" s="28" t="n">
        <f aca="false">AV3386*$M3386</f>
        <v>0</v>
      </c>
      <c r="AX3386" s="28"/>
      <c r="AY3386" s="28" t="n">
        <f aca="false">AX3386*$M3386</f>
        <v>0</v>
      </c>
      <c r="AZ3386" s="30" t="n">
        <f aca="false">7114129/100</f>
        <v>71141.29</v>
      </c>
      <c r="BA3386" s="11" t="n">
        <v>5051030</v>
      </c>
      <c r="BB3386" s="31" t="n">
        <f aca="false">SUM(Q3386,S3386,U3386,W3386,Y3386,AA3386,AC3386,AE3386,AG3386,AI3386,AK3386,AM3386,AO3386,AQ3386,AS3386,AU3386,AW3386,AY3386)</f>
        <v>5051030</v>
      </c>
      <c r="BC3386" s="28" t="n">
        <f aca="false">BA3386-BB3386</f>
        <v>0</v>
      </c>
      <c r="BD3386" s="32" t="n">
        <f aca="false">SUM(P3386,R3386,T3386,V3386,X3386,Z3386,AB3386,AD3386,AF3386,AH3386,AJ3386,AL3386,AN3386,AP3386,AR3386,AT3386,AV3386,AX3386)</f>
        <v>71141.29</v>
      </c>
      <c r="BE3386" s="33" t="n">
        <f aca="false">AZ3386-BD3386</f>
        <v>0</v>
      </c>
      <c r="BF3386" s="34" t="n">
        <f aca="false">BD3386*M3386</f>
        <v>5051031.59</v>
      </c>
      <c r="BG3386" s="35" t="n">
        <f aca="false">BA3386-BF3386</f>
        <v>-1.59000000078231</v>
      </c>
      <c r="BH3386" s="19" t="str">
        <f aca="false">IF(BG3386=0,"",IF(BG3386&lt;&gt;BA3386,"erreur de calcul",IF(BD3386&lt;&gt;0,"pas de prix",IF(M3386&lt;&gt; 0,"pas de quantité","pas de prix, ni de quantité"))))</f>
        <v>erreur de calcul</v>
      </c>
      <c r="BI3386" s="19"/>
    </row>
    <row r="3387" customFormat="false" ht="15" hidden="false" customHeight="false" outlineLevel="0" collapsed="false">
      <c r="A3387" s="0" t="n">
        <v>18</v>
      </c>
      <c r="B3387" s="8" t="s">
        <v>24</v>
      </c>
      <c r="C3387" s="9" t="s">
        <v>25</v>
      </c>
      <c r="D3387" s="9" t="s">
        <v>26</v>
      </c>
      <c r="E3387" s="10" t="n">
        <v>1789</v>
      </c>
      <c r="F3387" s="9" t="s">
        <v>27</v>
      </c>
      <c r="G3387" s="9" t="s">
        <v>27</v>
      </c>
      <c r="H3387" s="11" t="n">
        <v>24</v>
      </c>
      <c r="I3387" s="11" t="s">
        <v>307</v>
      </c>
      <c r="J3387" s="14" t="n">
        <v>45</v>
      </c>
      <c r="K3387" s="14"/>
      <c r="L3387" s="16"/>
      <c r="M3387" s="27" t="n">
        <f aca="false">J3387+(K3387/20)+(L3387/240)</f>
        <v>45</v>
      </c>
      <c r="N3387" s="17" t="s">
        <v>64</v>
      </c>
      <c r="O3387" s="11"/>
      <c r="P3387" s="28"/>
      <c r="Q3387" s="28" t="n">
        <f aca="false">P3387*$M3387</f>
        <v>0</v>
      </c>
      <c r="R3387" s="28"/>
      <c r="S3387" s="28" t="n">
        <f aca="false">R3387*$M3387</f>
        <v>0</v>
      </c>
      <c r="T3387" s="28"/>
      <c r="U3387" s="28" t="n">
        <f aca="false">T3387*$M3387</f>
        <v>0</v>
      </c>
      <c r="V3387" s="28"/>
      <c r="W3387" s="28" t="n">
        <f aca="false">V3387*$M3387</f>
        <v>0</v>
      </c>
      <c r="X3387" s="28"/>
      <c r="Y3387" s="28" t="n">
        <f aca="false">X3387*$M3387</f>
        <v>0</v>
      </c>
      <c r="Z3387" s="28"/>
      <c r="AA3387" s="28" t="n">
        <f aca="false">Z3387*$M3387</f>
        <v>0</v>
      </c>
      <c r="AB3387" s="28"/>
      <c r="AC3387" s="28" t="n">
        <f aca="false">AB3387*$M3387</f>
        <v>0</v>
      </c>
      <c r="AD3387" s="28"/>
      <c r="AE3387" s="28" t="n">
        <f aca="false">AD3387*$M3387</f>
        <v>0</v>
      </c>
      <c r="AF3387" s="28"/>
      <c r="AG3387" s="28" t="n">
        <f aca="false">AF3387*$M3387</f>
        <v>0</v>
      </c>
      <c r="AH3387" s="28"/>
      <c r="AI3387" s="28" t="n">
        <f aca="false">AH3387*$M3387</f>
        <v>0</v>
      </c>
      <c r="AJ3387" s="28"/>
      <c r="AK3387" s="28" t="n">
        <f aca="false">AJ3387*$M3387</f>
        <v>0</v>
      </c>
      <c r="AL3387" s="28" t="n">
        <f aca="false">971/100</f>
        <v>9.71</v>
      </c>
      <c r="AM3387" s="28" t="n">
        <v>437</v>
      </c>
      <c r="AN3387" s="28"/>
      <c r="AO3387" s="28" t="n">
        <f aca="false">AN3387*$M3387</f>
        <v>0</v>
      </c>
      <c r="AP3387" s="28"/>
      <c r="AQ3387" s="28" t="n">
        <f aca="false">AP3387*$M3387</f>
        <v>0</v>
      </c>
      <c r="AR3387" s="28"/>
      <c r="AS3387" s="28" t="n">
        <f aca="false">AR3387*$M3387</f>
        <v>0</v>
      </c>
      <c r="AT3387" s="28"/>
      <c r="AU3387" s="28" t="n">
        <f aca="false">AT3387*$M3387</f>
        <v>0</v>
      </c>
      <c r="AV3387" s="28"/>
      <c r="AW3387" s="28" t="n">
        <f aca="false">AV3387*$M3387</f>
        <v>0</v>
      </c>
      <c r="AX3387" s="28"/>
      <c r="AY3387" s="28" t="n">
        <f aca="false">AX3387*$M3387</f>
        <v>0</v>
      </c>
      <c r="AZ3387" s="30" t="n">
        <f aca="false">971/100</f>
        <v>9.71</v>
      </c>
      <c r="BA3387" s="11" t="n">
        <v>437</v>
      </c>
      <c r="BB3387" s="31" t="n">
        <f aca="false">SUM(Q3387,S3387,U3387,W3387,Y3387,AA3387,AC3387,AE3387,AG3387,AI3387,AK3387,AM3387,AO3387,AQ3387,AS3387,AU3387,AW3387,AY3387)</f>
        <v>437</v>
      </c>
      <c r="BC3387" s="28" t="n">
        <f aca="false">BA3387-BB3387</f>
        <v>0</v>
      </c>
      <c r="BD3387" s="32" t="n">
        <f aca="false">SUM(P3387,R3387,T3387,V3387,X3387,Z3387,AB3387,AD3387,AF3387,AH3387,AJ3387,AL3387,AN3387,AP3387,AR3387,AT3387,AV3387,AX3387)</f>
        <v>9.71</v>
      </c>
      <c r="BE3387" s="33" t="n">
        <f aca="false">AZ3387-BD3387</f>
        <v>0</v>
      </c>
      <c r="BF3387" s="34" t="n">
        <f aca="false">BD3387*M3387</f>
        <v>436.95</v>
      </c>
      <c r="BG3387" s="35" t="n">
        <f aca="false">BA3387-BF3387</f>
        <v>0.0499999999999545</v>
      </c>
      <c r="BH3387" s="19" t="str">
        <f aca="false">IF(BG3387=0,"",IF(BG3387&lt;&gt;BA3387,"erreur de calcul",IF(BD3387&lt;&gt;0,"pas de prix",IF(M3387&lt;&gt; 0,"pas de quantité","pas de prix, ni de quantité"))))</f>
        <v>erreur de calcul</v>
      </c>
      <c r="BI3387" s="19"/>
    </row>
    <row r="3388" customFormat="false" ht="15" hidden="false" customHeight="false" outlineLevel="0" collapsed="false">
      <c r="A3388" s="0" t="n">
        <v>19</v>
      </c>
      <c r="B3388" s="8" t="s">
        <v>24</v>
      </c>
      <c r="C3388" s="9" t="s">
        <v>25</v>
      </c>
      <c r="D3388" s="9" t="s">
        <v>26</v>
      </c>
      <c r="E3388" s="10" t="n">
        <v>1789</v>
      </c>
      <c r="F3388" s="9" t="s">
        <v>27</v>
      </c>
      <c r="G3388" s="9" t="s">
        <v>27</v>
      </c>
      <c r="H3388" s="11" t="n">
        <v>24</v>
      </c>
      <c r="I3388" s="11" t="s">
        <v>308</v>
      </c>
      <c r="J3388" s="14" t="n">
        <v>240</v>
      </c>
      <c r="K3388" s="14"/>
      <c r="L3388" s="16"/>
      <c r="M3388" s="27" t="n">
        <f aca="false">J3388+(K3388/20)+(L3388/240)</f>
        <v>240</v>
      </c>
      <c r="N3388" s="17" t="s">
        <v>64</v>
      </c>
      <c r="O3388" s="11"/>
      <c r="P3388" s="28"/>
      <c r="Q3388" s="28" t="n">
        <f aca="false">P3388*$M3388</f>
        <v>0</v>
      </c>
      <c r="R3388" s="28"/>
      <c r="S3388" s="28" t="n">
        <f aca="false">R3388*$M3388</f>
        <v>0</v>
      </c>
      <c r="T3388" s="28"/>
      <c r="U3388" s="28" t="n">
        <f aca="false">T3388*$M3388</f>
        <v>0</v>
      </c>
      <c r="V3388" s="28"/>
      <c r="W3388" s="28" t="n">
        <f aca="false">V3388*$M3388</f>
        <v>0</v>
      </c>
      <c r="X3388" s="28"/>
      <c r="Y3388" s="28" t="n">
        <f aca="false">X3388*$M3388</f>
        <v>0</v>
      </c>
      <c r="Z3388" s="28"/>
      <c r="AA3388" s="28" t="n">
        <f aca="false">Z3388*$M3388</f>
        <v>0</v>
      </c>
      <c r="AB3388" s="28"/>
      <c r="AC3388" s="28" t="n">
        <f aca="false">AB3388*$M3388</f>
        <v>0</v>
      </c>
      <c r="AD3388" s="28"/>
      <c r="AE3388" s="28" t="n">
        <f aca="false">AD3388*$M3388</f>
        <v>0</v>
      </c>
      <c r="AF3388" s="28"/>
      <c r="AG3388" s="28" t="n">
        <f aca="false">AF3388*$M3388</f>
        <v>0</v>
      </c>
      <c r="AH3388" s="28"/>
      <c r="AI3388" s="28" t="n">
        <f aca="false">AH3388*$M3388</f>
        <v>0</v>
      </c>
      <c r="AJ3388" s="28" t="n">
        <f aca="false">2173/100</f>
        <v>21.73</v>
      </c>
      <c r="AK3388" s="28" t="n">
        <v>5215</v>
      </c>
      <c r="AL3388" s="28"/>
      <c r="AM3388" s="28" t="n">
        <f aca="false">AL3388*$M3388</f>
        <v>0</v>
      </c>
      <c r="AN3388" s="28"/>
      <c r="AO3388" s="28" t="n">
        <f aca="false">AN3388*$M3388</f>
        <v>0</v>
      </c>
      <c r="AP3388" s="28"/>
      <c r="AQ3388" s="28" t="n">
        <f aca="false">AP3388*$M3388</f>
        <v>0</v>
      </c>
      <c r="AR3388" s="28"/>
      <c r="AS3388" s="28" t="n">
        <f aca="false">AR3388*$M3388</f>
        <v>0</v>
      </c>
      <c r="AT3388" s="28"/>
      <c r="AU3388" s="28" t="n">
        <f aca="false">AT3388*$M3388</f>
        <v>0</v>
      </c>
      <c r="AV3388" s="28"/>
      <c r="AW3388" s="28" t="n">
        <f aca="false">AV3388*$M3388</f>
        <v>0</v>
      </c>
      <c r="AX3388" s="28"/>
      <c r="AY3388" s="28" t="n">
        <f aca="false">AX3388*$M3388</f>
        <v>0</v>
      </c>
      <c r="AZ3388" s="30" t="n">
        <f aca="false">2173/100</f>
        <v>21.73</v>
      </c>
      <c r="BA3388" s="11" t="n">
        <v>5215</v>
      </c>
      <c r="BB3388" s="31" t="n">
        <f aca="false">SUM(Q3388,S3388,U3388,W3388,Y3388,AA3388,AC3388,AE3388,AG3388,AI3388,AK3388,AM3388,AO3388,AQ3388,AS3388,AU3388,AW3388,AY3388)</f>
        <v>5215</v>
      </c>
      <c r="BC3388" s="28" t="n">
        <f aca="false">BA3388-BB3388</f>
        <v>0</v>
      </c>
      <c r="BD3388" s="32" t="n">
        <f aca="false">SUM(P3388,R3388,T3388,V3388,X3388,Z3388,AB3388,AD3388,AF3388,AH3388,AJ3388,AL3388,AN3388,AP3388,AR3388,AT3388,AV3388,AX3388)</f>
        <v>21.73</v>
      </c>
      <c r="BE3388" s="33" t="n">
        <f aca="false">AZ3388-BD3388</f>
        <v>0</v>
      </c>
      <c r="BF3388" s="34" t="n">
        <f aca="false">BD3388*M3388</f>
        <v>5215.2</v>
      </c>
      <c r="BG3388" s="35" t="n">
        <f aca="false">BA3388-BF3388</f>
        <v>-0.199999999999818</v>
      </c>
      <c r="BH3388" s="19" t="str">
        <f aca="false">IF(BG3388=0,"",IF(BG3388&lt;&gt;BA3388,"erreur de calcul",IF(BD3388&lt;&gt;0,"pas de prix",IF(M3388&lt;&gt; 0,"pas de quantité","pas de prix, ni de quantité"))))</f>
        <v>erreur de calcul</v>
      </c>
      <c r="BI3388" s="19"/>
    </row>
    <row r="3389" customFormat="false" ht="15" hidden="false" customHeight="false" outlineLevel="0" collapsed="false">
      <c r="A3389" s="0" t="n">
        <v>20</v>
      </c>
      <c r="B3389" s="8" t="s">
        <v>24</v>
      </c>
      <c r="C3389" s="9" t="s">
        <v>25</v>
      </c>
      <c r="D3389" s="9" t="s">
        <v>26</v>
      </c>
      <c r="E3389" s="10" t="n">
        <v>1789</v>
      </c>
      <c r="F3389" s="9" t="s">
        <v>27</v>
      </c>
      <c r="G3389" s="9" t="s">
        <v>27</v>
      </c>
      <c r="H3389" s="11" t="n">
        <v>24</v>
      </c>
      <c r="I3389" s="11" t="s">
        <v>309</v>
      </c>
      <c r="J3389" s="14"/>
      <c r="K3389" s="14"/>
      <c r="L3389" s="16"/>
      <c r="M3389" s="27" t="n">
        <f aca="false">J3389+(K3389/20)+(L3389/240)</f>
        <v>0</v>
      </c>
      <c r="N3389" s="17"/>
      <c r="O3389" s="11"/>
      <c r="P3389" s="28"/>
      <c r="Q3389" s="28" t="n">
        <f aca="false">P3389*$M3389</f>
        <v>0</v>
      </c>
      <c r="R3389" s="28"/>
      <c r="S3389" s="28" t="n">
        <f aca="false">R3389*$M3389</f>
        <v>0</v>
      </c>
      <c r="T3389" s="28"/>
      <c r="U3389" s="28" t="n">
        <v>195</v>
      </c>
      <c r="V3389" s="28"/>
      <c r="W3389" s="28" t="n">
        <v>640</v>
      </c>
      <c r="X3389" s="28"/>
      <c r="Y3389" s="28" t="n">
        <f aca="false">X3389*$M3389</f>
        <v>0</v>
      </c>
      <c r="Z3389" s="28"/>
      <c r="AA3389" s="28" t="n">
        <f aca="false">Z3389*$M3389</f>
        <v>0</v>
      </c>
      <c r="AB3389" s="28"/>
      <c r="AC3389" s="28" t="n">
        <f aca="false">AB3389*$M3389</f>
        <v>0</v>
      </c>
      <c r="AD3389" s="28"/>
      <c r="AE3389" s="28" t="n">
        <f aca="false">AD3389*$M3389</f>
        <v>0</v>
      </c>
      <c r="AF3389" s="28"/>
      <c r="AG3389" s="28" t="n">
        <f aca="false">AF3389*$M3389</f>
        <v>0</v>
      </c>
      <c r="AH3389" s="28"/>
      <c r="AI3389" s="28" t="n">
        <v>121</v>
      </c>
      <c r="AJ3389" s="28"/>
      <c r="AK3389" s="28" t="n">
        <v>412</v>
      </c>
      <c r="AL3389" s="28"/>
      <c r="AM3389" s="28" t="n">
        <f aca="false">AL3389*$M3389</f>
        <v>0</v>
      </c>
      <c r="AN3389" s="28"/>
      <c r="AO3389" s="28" t="n">
        <f aca="false">AN3389*$M3389</f>
        <v>0</v>
      </c>
      <c r="AP3389" s="28"/>
      <c r="AQ3389" s="28" t="n">
        <f aca="false">AP3389*$M3389</f>
        <v>0</v>
      </c>
      <c r="AR3389" s="28"/>
      <c r="AS3389" s="28" t="n">
        <f aca="false">AR3389*$M3389</f>
        <v>0</v>
      </c>
      <c r="AT3389" s="28"/>
      <c r="AU3389" s="28" t="n">
        <f aca="false">AT3389*$M3389</f>
        <v>0</v>
      </c>
      <c r="AV3389" s="28"/>
      <c r="AW3389" s="28" t="n">
        <f aca="false">AV3389*$M3389</f>
        <v>0</v>
      </c>
      <c r="AX3389" s="28"/>
      <c r="AY3389" s="28" t="n">
        <f aca="false">AX3389*$M3389</f>
        <v>0</v>
      </c>
      <c r="AZ3389" s="30"/>
      <c r="BA3389" s="11" t="n">
        <v>1368</v>
      </c>
      <c r="BB3389" s="31" t="n">
        <f aca="false">SUM(Q3389,S3389,U3389,W3389,Y3389,AA3389,AC3389,AE3389,AG3389,AI3389,AK3389,AM3389,AO3389,AQ3389,AS3389,AU3389,AW3389,AY3389)</f>
        <v>1368</v>
      </c>
      <c r="BC3389" s="28" t="n">
        <f aca="false">BA3389-BB3389</f>
        <v>0</v>
      </c>
      <c r="BD3389" s="32" t="n">
        <f aca="false">SUM(P3389,R3389,T3389,V3389,X3389,Z3389,AB3389,AD3389,AF3389,AH3389,AJ3389,AL3389,AN3389,AP3389,AR3389,AT3389,AV3389,AX3389)</f>
        <v>0</v>
      </c>
      <c r="BE3389" s="33" t="n">
        <f aca="false">AZ3389-BD3389</f>
        <v>0</v>
      </c>
      <c r="BF3389" s="34" t="n">
        <f aca="false">BD3389*M3389</f>
        <v>0</v>
      </c>
      <c r="BG3389" s="35" t="n">
        <f aca="false">BA3389-BF3389</f>
        <v>1368</v>
      </c>
      <c r="BH3389" s="19" t="str">
        <f aca="false">IF(BG3389=0,"",IF(BG3389&lt;&gt;BA3389,"erreur de calcul",IF(BD3389&lt;&gt;0,"pas de prix",IF(M3389&lt;&gt; 0,"pas de quantité","pas de prix, ni de quantité"))))</f>
        <v>pas de prix, ni de quantité</v>
      </c>
      <c r="BI3389" s="19"/>
    </row>
    <row r="3390" customFormat="false" ht="15" hidden="false" customHeight="false" outlineLevel="0" collapsed="false">
      <c r="A3390" s="0" t="n">
        <v>21</v>
      </c>
      <c r="B3390" s="8" t="s">
        <v>24</v>
      </c>
      <c r="C3390" s="9" t="s">
        <v>25</v>
      </c>
      <c r="D3390" s="9" t="s">
        <v>26</v>
      </c>
      <c r="E3390" s="10" t="n">
        <v>1789</v>
      </c>
      <c r="F3390" s="9" t="s">
        <v>27</v>
      </c>
      <c r="G3390" s="9" t="s">
        <v>27</v>
      </c>
      <c r="H3390" s="11" t="n">
        <v>24</v>
      </c>
      <c r="I3390" s="11" t="s">
        <v>310</v>
      </c>
      <c r="J3390" s="14"/>
      <c r="K3390" s="14" t="n">
        <v>3</v>
      </c>
      <c r="L3390" s="16"/>
      <c r="M3390" s="27" t="n">
        <f aca="false">J3390+(K3390/20)+(L3390/240)</f>
        <v>0.15</v>
      </c>
      <c r="N3390" s="17" t="s">
        <v>311</v>
      </c>
      <c r="O3390" s="11"/>
      <c r="P3390" s="28"/>
      <c r="Q3390" s="28" t="n">
        <f aca="false">P3390*$M3390</f>
        <v>0</v>
      </c>
      <c r="R3390" s="28"/>
      <c r="S3390" s="28" t="n">
        <f aca="false">R3390*$M3390</f>
        <v>0</v>
      </c>
      <c r="T3390" s="28"/>
      <c r="U3390" s="28" t="n">
        <f aca="false">T3390*$M3390</f>
        <v>0</v>
      </c>
      <c r="V3390" s="28" t="n">
        <v>32065</v>
      </c>
      <c r="W3390" s="28" t="n">
        <v>4810</v>
      </c>
      <c r="X3390" s="28" t="n">
        <v>20652</v>
      </c>
      <c r="Y3390" s="28" t="n">
        <v>3098</v>
      </c>
      <c r="Z3390" s="28"/>
      <c r="AA3390" s="28" t="n">
        <f aca="false">Z3390*$M3390</f>
        <v>0</v>
      </c>
      <c r="AB3390" s="28"/>
      <c r="AC3390" s="28" t="n">
        <f aca="false">AB3390*$M3390</f>
        <v>0</v>
      </c>
      <c r="AD3390" s="28"/>
      <c r="AE3390" s="28" t="n">
        <f aca="false">AD3390*$M3390</f>
        <v>0</v>
      </c>
      <c r="AF3390" s="28"/>
      <c r="AG3390" s="28" t="n">
        <f aca="false">AF3390*$M3390</f>
        <v>0</v>
      </c>
      <c r="AH3390" s="28"/>
      <c r="AI3390" s="28" t="n">
        <f aca="false">AH3390*$M3390</f>
        <v>0</v>
      </c>
      <c r="AJ3390" s="28"/>
      <c r="AK3390" s="28" t="n">
        <f aca="false">AJ3390*$M3390</f>
        <v>0</v>
      </c>
      <c r="AL3390" s="28"/>
      <c r="AM3390" s="28" t="n">
        <f aca="false">AL3390*$M3390</f>
        <v>0</v>
      </c>
      <c r="AN3390" s="28"/>
      <c r="AO3390" s="28" t="n">
        <f aca="false">AN3390*$M3390</f>
        <v>0</v>
      </c>
      <c r="AP3390" s="28"/>
      <c r="AQ3390" s="28" t="n">
        <f aca="false">AP3390*$M3390</f>
        <v>0</v>
      </c>
      <c r="AR3390" s="28"/>
      <c r="AS3390" s="28" t="n">
        <f aca="false">AR3390*$M3390</f>
        <v>0</v>
      </c>
      <c r="AT3390" s="28"/>
      <c r="AU3390" s="28" t="n">
        <f aca="false">AT3390*$M3390</f>
        <v>0</v>
      </c>
      <c r="AV3390" s="28"/>
      <c r="AW3390" s="28" t="n">
        <f aca="false">AV3390*$M3390</f>
        <v>0</v>
      </c>
      <c r="AX3390" s="28"/>
      <c r="AY3390" s="28" t="n">
        <f aca="false">AX3390*$M3390</f>
        <v>0</v>
      </c>
      <c r="AZ3390" s="30" t="n">
        <v>52717</v>
      </c>
      <c r="BA3390" s="11" t="n">
        <v>7908</v>
      </c>
      <c r="BB3390" s="31" t="n">
        <f aca="false">SUM(Q3390,S3390,U3390,W3390,Y3390,AA3390,AC3390,AE3390,AG3390,AI3390,AK3390,AM3390,AO3390,AQ3390,AS3390,AU3390,AW3390,AY3390)</f>
        <v>7908</v>
      </c>
      <c r="BC3390" s="28" t="n">
        <f aca="false">BA3390-BB3390</f>
        <v>0</v>
      </c>
      <c r="BD3390" s="32" t="n">
        <f aca="false">SUM(P3390,R3390,T3390,V3390,X3390,Z3390,AB3390,AD3390,AF3390,AH3390,AJ3390,AL3390,AN3390,AP3390,AR3390,AT3390,AV3390,AX3390)</f>
        <v>52717</v>
      </c>
      <c r="BE3390" s="33" t="n">
        <f aca="false">AZ3390-BD3390</f>
        <v>0</v>
      </c>
      <c r="BF3390" s="34" t="n">
        <f aca="false">BD3390*M3390</f>
        <v>7907.55</v>
      </c>
      <c r="BG3390" s="35" t="n">
        <f aca="false">BA3390-BF3390</f>
        <v>0.450000000000728</v>
      </c>
      <c r="BH3390" s="19" t="str">
        <f aca="false">IF(BG3390=0,"",IF(BG3390&lt;&gt;BA3390,"erreur de calcul",IF(BD3390&lt;&gt;0,"pas de prix",IF(M3390&lt;&gt; 0,"pas de quantité","pas de prix, ni de quantité"))))</f>
        <v>erreur de calcul</v>
      </c>
      <c r="BI3390" s="19"/>
    </row>
    <row r="3391" customFormat="false" ht="15" hidden="false" customHeight="false" outlineLevel="0" collapsed="false">
      <c r="A3391" s="0" t="n">
        <v>22</v>
      </c>
      <c r="B3391" s="8" t="s">
        <v>24</v>
      </c>
      <c r="C3391" s="9" t="s">
        <v>25</v>
      </c>
      <c r="D3391" s="9" t="s">
        <v>26</v>
      </c>
      <c r="E3391" s="10" t="n">
        <v>1789</v>
      </c>
      <c r="F3391" s="9" t="s">
        <v>27</v>
      </c>
      <c r="G3391" s="9" t="s">
        <v>27</v>
      </c>
      <c r="H3391" s="11" t="n">
        <v>24</v>
      </c>
      <c r="I3391" s="11" t="s">
        <v>312</v>
      </c>
      <c r="J3391" s="14" t="n">
        <v>15</v>
      </c>
      <c r="K3391" s="14"/>
      <c r="L3391" s="16"/>
      <c r="M3391" s="27" t="n">
        <f aca="false">J3391+(K3391/20)+(L3391/240)</f>
        <v>15</v>
      </c>
      <c r="N3391" s="17" t="s">
        <v>275</v>
      </c>
      <c r="O3391" s="11"/>
      <c r="P3391" s="28"/>
      <c r="Q3391" s="28" t="n">
        <f aca="false">P3391*$M3391</f>
        <v>0</v>
      </c>
      <c r="R3391" s="28"/>
      <c r="S3391" s="28" t="n">
        <f aca="false">R3391*$M3391</f>
        <v>0</v>
      </c>
      <c r="T3391" s="28" t="n">
        <v>1479</v>
      </c>
      <c r="U3391" s="28" t="n">
        <v>22185</v>
      </c>
      <c r="V3391" s="28" t="n">
        <v>1500</v>
      </c>
      <c r="W3391" s="28" t="n">
        <v>22500</v>
      </c>
      <c r="X3391" s="28" t="n">
        <v>300</v>
      </c>
      <c r="Y3391" s="28" t="n">
        <v>4500</v>
      </c>
      <c r="Z3391" s="28" t="n">
        <v>168</v>
      </c>
      <c r="AA3391" s="28" t="n">
        <v>2520</v>
      </c>
      <c r="AB3391" s="28" t="n">
        <v>14570</v>
      </c>
      <c r="AC3391" s="28" t="n">
        <v>218550</v>
      </c>
      <c r="AD3391" s="28"/>
      <c r="AE3391" s="28" t="n">
        <f aca="false">AD3391*$M3391</f>
        <v>0</v>
      </c>
      <c r="AF3391" s="28" t="n">
        <v>5748</v>
      </c>
      <c r="AG3391" s="28" t="n">
        <v>86220</v>
      </c>
      <c r="AH3391" s="28"/>
      <c r="AI3391" s="28" t="n">
        <f aca="false">AH3391*$M3391</f>
        <v>0</v>
      </c>
      <c r="AJ3391" s="28" t="n">
        <v>710</v>
      </c>
      <c r="AK3391" s="28" t="n">
        <v>10650</v>
      </c>
      <c r="AL3391" s="28" t="n">
        <v>600</v>
      </c>
      <c r="AM3391" s="28" t="n">
        <v>9000</v>
      </c>
      <c r="AN3391" s="28"/>
      <c r="AO3391" s="28" t="n">
        <f aca="false">AN3391*$M3391</f>
        <v>0</v>
      </c>
      <c r="AP3391" s="28" t="n">
        <v>1200</v>
      </c>
      <c r="AQ3391" s="28" t="n">
        <v>18000</v>
      </c>
      <c r="AR3391" s="28"/>
      <c r="AS3391" s="28" t="n">
        <f aca="false">AR3391*$M3391</f>
        <v>0</v>
      </c>
      <c r="AT3391" s="28"/>
      <c r="AU3391" s="28" t="n">
        <f aca="false">AT3391*$M3391</f>
        <v>0</v>
      </c>
      <c r="AV3391" s="28"/>
      <c r="AW3391" s="28" t="n">
        <f aca="false">AV3391*$M3391</f>
        <v>0</v>
      </c>
      <c r="AX3391" s="28"/>
      <c r="AY3391" s="28" t="n">
        <f aca="false">AX3391*$M3391</f>
        <v>0</v>
      </c>
      <c r="AZ3391" s="30" t="n">
        <v>26275</v>
      </c>
      <c r="BA3391" s="11" t="n">
        <v>394125</v>
      </c>
      <c r="BB3391" s="31" t="n">
        <f aca="false">SUM(Q3391,S3391,U3391,W3391,Y3391,AA3391,AC3391,AE3391,AG3391,AI3391,AK3391,AM3391,AO3391,AQ3391,AS3391,AU3391,AW3391,AY3391)</f>
        <v>394125</v>
      </c>
      <c r="BC3391" s="28" t="n">
        <f aca="false">BA3391-BB3391</f>
        <v>0</v>
      </c>
      <c r="BD3391" s="32" t="n">
        <f aca="false">SUM(P3391,R3391,T3391,V3391,X3391,Z3391,AB3391,AD3391,AF3391,AH3391,AJ3391,AL3391,AN3391,AP3391,AR3391,AT3391,AV3391,AX3391)</f>
        <v>26275</v>
      </c>
      <c r="BE3391" s="33" t="n">
        <f aca="false">AZ3391-BD3391</f>
        <v>0</v>
      </c>
      <c r="BF3391" s="34" t="n">
        <f aca="false">BD3391*M3391</f>
        <v>394125</v>
      </c>
      <c r="BG3391" s="35" t="n">
        <f aca="false">BA3391-BF3391</f>
        <v>0</v>
      </c>
      <c r="BH3391" s="19" t="str">
        <f aca="false">IF(BG3391=0,"",IF(BG3391&lt;&gt;BA3391,"erreur de calcul",IF(BD3391&lt;&gt;0,"pas de prix",IF(M3391&lt;&gt; 0,"pas de quantité","pas de prix, ni de quantité"))))</f>
        <v/>
      </c>
      <c r="BI3391" s="19"/>
    </row>
    <row r="3392" customFormat="false" ht="15" hidden="false" customHeight="false" outlineLevel="0" collapsed="false">
      <c r="A3392" s="0" t="n">
        <v>23</v>
      </c>
      <c r="B3392" s="8" t="s">
        <v>24</v>
      </c>
      <c r="C3392" s="9" t="s">
        <v>25</v>
      </c>
      <c r="D3392" s="9" t="s">
        <v>26</v>
      </c>
      <c r="E3392" s="10" t="n">
        <v>1789</v>
      </c>
      <c r="F3392" s="9" t="s">
        <v>27</v>
      </c>
      <c r="G3392" s="9" t="s">
        <v>27</v>
      </c>
      <c r="H3392" s="11" t="n">
        <v>24</v>
      </c>
      <c r="I3392" s="11" t="s">
        <v>313</v>
      </c>
      <c r="J3392" s="14" t="n">
        <v>9</v>
      </c>
      <c r="K3392" s="14"/>
      <c r="L3392" s="16"/>
      <c r="M3392" s="27" t="n">
        <f aca="false">J3392+(K3392/20)+(L3392/240)</f>
        <v>9</v>
      </c>
      <c r="N3392" s="17" t="s">
        <v>64</v>
      </c>
      <c r="O3392" s="11"/>
      <c r="P3392" s="28"/>
      <c r="Q3392" s="28" t="n">
        <f aca="false">P3392*$M3392</f>
        <v>0</v>
      </c>
      <c r="R3392" s="28"/>
      <c r="S3392" s="28" t="n">
        <f aca="false">R3392*$M3392</f>
        <v>0</v>
      </c>
      <c r="T3392" s="28"/>
      <c r="U3392" s="28" t="n">
        <f aca="false">T3392*$M3392</f>
        <v>0</v>
      </c>
      <c r="V3392" s="28" t="n">
        <f aca="false">145504/100</f>
        <v>1455.04</v>
      </c>
      <c r="W3392" s="28" t="n">
        <v>13095</v>
      </c>
      <c r="X3392" s="28" t="n">
        <f aca="false">58504/100</f>
        <v>585.04</v>
      </c>
      <c r="Y3392" s="28" t="n">
        <v>5265</v>
      </c>
      <c r="Z3392" s="28" t="n">
        <f aca="false">17027/100</f>
        <v>170.27</v>
      </c>
      <c r="AA3392" s="28" t="n">
        <v>1532</v>
      </c>
      <c r="AB3392" s="28" t="n">
        <f aca="false">84396/100</f>
        <v>843.96</v>
      </c>
      <c r="AC3392" s="28" t="n">
        <v>7596</v>
      </c>
      <c r="AD3392" s="28"/>
      <c r="AE3392" s="28" t="n">
        <f aca="false">AD3392*$M3392</f>
        <v>0</v>
      </c>
      <c r="AF3392" s="28" t="n">
        <f aca="false">14807/100</f>
        <v>148.07</v>
      </c>
      <c r="AG3392" s="28" t="n">
        <v>1333</v>
      </c>
      <c r="AH3392" s="28"/>
      <c r="AI3392" s="28" t="n">
        <f aca="false">AH3392*$M3392</f>
        <v>0</v>
      </c>
      <c r="AJ3392" s="28"/>
      <c r="AK3392" s="28" t="n">
        <f aca="false">AJ3392*$M3392</f>
        <v>0</v>
      </c>
      <c r="AL3392" s="28"/>
      <c r="AM3392" s="28" t="n">
        <f aca="false">AL3392*$M3392</f>
        <v>0</v>
      </c>
      <c r="AN3392" s="28"/>
      <c r="AO3392" s="28" t="n">
        <f aca="false">AN3392*$M3392</f>
        <v>0</v>
      </c>
      <c r="AP3392" s="28"/>
      <c r="AQ3392" s="28" t="n">
        <f aca="false">AP3392*$M3392</f>
        <v>0</v>
      </c>
      <c r="AR3392" s="28"/>
      <c r="AS3392" s="28" t="n">
        <f aca="false">AR3392*$M3392</f>
        <v>0</v>
      </c>
      <c r="AT3392" s="28"/>
      <c r="AU3392" s="28" t="n">
        <f aca="false">AT3392*$M3392</f>
        <v>0</v>
      </c>
      <c r="AV3392" s="28"/>
      <c r="AW3392" s="28" t="n">
        <f aca="false">AV3392*$M3392</f>
        <v>0</v>
      </c>
      <c r="AX3392" s="28"/>
      <c r="AY3392" s="28" t="n">
        <f aca="false">AX3392*$M3392</f>
        <v>0</v>
      </c>
      <c r="AZ3392" s="30" t="n">
        <f aca="false">320238/100</f>
        <v>3202.38</v>
      </c>
      <c r="BA3392" s="11" t="n">
        <v>28821</v>
      </c>
      <c r="BB3392" s="31" t="n">
        <f aca="false">SUM(Q3392,S3392,U3392,W3392,Y3392,AA3392,AC3392,AE3392,AG3392,AI3392,AK3392,AM3392,AO3392,AQ3392,AS3392,AU3392,AW3392,AY3392)</f>
        <v>28821</v>
      </c>
      <c r="BC3392" s="28" t="n">
        <f aca="false">BA3392-BB3392</f>
        <v>0</v>
      </c>
      <c r="BD3392" s="32" t="n">
        <f aca="false">SUM(P3392,R3392,T3392,V3392,X3392,Z3392,AB3392,AD3392,AF3392,AH3392,AJ3392,AL3392,AN3392,AP3392,AR3392,AT3392,AV3392,AX3392)</f>
        <v>3202.38</v>
      </c>
      <c r="BE3392" s="33" t="n">
        <f aca="false">AZ3392-BD3392</f>
        <v>0</v>
      </c>
      <c r="BF3392" s="34" t="n">
        <f aca="false">BD3392*M3392</f>
        <v>28821.42</v>
      </c>
      <c r="BG3392" s="35" t="n">
        <f aca="false">BA3392-BF3392</f>
        <v>-0.420000000001892</v>
      </c>
      <c r="BH3392" s="19" t="str">
        <f aca="false">IF(BG3392=0,"",IF(BG3392&lt;&gt;BA3392,"erreur de calcul",IF(BD3392&lt;&gt;0,"pas de prix",IF(M3392&lt;&gt; 0,"pas de quantité","pas de prix, ni de quantité"))))</f>
        <v>erreur de calcul</v>
      </c>
      <c r="BI3392" s="19"/>
    </row>
    <row r="3393" customFormat="false" ht="15" hidden="false" customHeight="false" outlineLevel="0" collapsed="false">
      <c r="A3393" s="0" t="n">
        <v>24</v>
      </c>
      <c r="B3393" s="8" t="s">
        <v>24</v>
      </c>
      <c r="C3393" s="9" t="s">
        <v>25</v>
      </c>
      <c r="D3393" s="9" t="s">
        <v>26</v>
      </c>
      <c r="E3393" s="10" t="n">
        <v>1789</v>
      </c>
      <c r="F3393" s="9" t="s">
        <v>27</v>
      </c>
      <c r="G3393" s="9" t="s">
        <v>27</v>
      </c>
      <c r="H3393" s="11" t="n">
        <v>24</v>
      </c>
      <c r="I3393" s="11" t="s">
        <v>314</v>
      </c>
      <c r="J3393" s="14"/>
      <c r="K3393" s="14" t="n">
        <v>4</v>
      </c>
      <c r="L3393" s="16"/>
      <c r="M3393" s="27" t="n">
        <f aca="false">J3393+(K3393/20)+(L3393/240)</f>
        <v>0.2</v>
      </c>
      <c r="N3393" s="17" t="s">
        <v>311</v>
      </c>
      <c r="O3393" s="11"/>
      <c r="P3393" s="28"/>
      <c r="Q3393" s="28" t="n">
        <f aca="false">P3393*$M3393</f>
        <v>0</v>
      </c>
      <c r="R3393" s="28"/>
      <c r="S3393" s="28" t="n">
        <f aca="false">R3393*$M3393</f>
        <v>0</v>
      </c>
      <c r="T3393" s="28"/>
      <c r="U3393" s="28" t="n">
        <f aca="false">T3393*$M3393</f>
        <v>0</v>
      </c>
      <c r="V3393" s="28" t="n">
        <v>5800</v>
      </c>
      <c r="W3393" s="28" t="n">
        <v>1160</v>
      </c>
      <c r="X3393" s="28"/>
      <c r="Y3393" s="28" t="n">
        <f aca="false">X3393*$M3393</f>
        <v>0</v>
      </c>
      <c r="Z3393" s="28"/>
      <c r="AA3393" s="28" t="n">
        <f aca="false">Z3393*$M3393</f>
        <v>0</v>
      </c>
      <c r="AB3393" s="28"/>
      <c r="AC3393" s="28" t="n">
        <f aca="false">AB3393*$M3393</f>
        <v>0</v>
      </c>
      <c r="AD3393" s="28"/>
      <c r="AE3393" s="28" t="n">
        <f aca="false">AD3393*$M3393</f>
        <v>0</v>
      </c>
      <c r="AF3393" s="28"/>
      <c r="AG3393" s="28" t="n">
        <f aca="false">AF3393*$M3393</f>
        <v>0</v>
      </c>
      <c r="AH3393" s="28"/>
      <c r="AI3393" s="28" t="n">
        <f aca="false">AH3393*$M3393</f>
        <v>0</v>
      </c>
      <c r="AJ3393" s="28"/>
      <c r="AK3393" s="28" t="n">
        <f aca="false">AJ3393*$M3393</f>
        <v>0</v>
      </c>
      <c r="AL3393" s="28"/>
      <c r="AM3393" s="28" t="n">
        <f aca="false">AL3393*$M3393</f>
        <v>0</v>
      </c>
      <c r="AN3393" s="28"/>
      <c r="AO3393" s="28" t="n">
        <f aca="false">AN3393*$M3393</f>
        <v>0</v>
      </c>
      <c r="AP3393" s="28"/>
      <c r="AQ3393" s="28" t="n">
        <f aca="false">AP3393*$M3393</f>
        <v>0</v>
      </c>
      <c r="AR3393" s="28"/>
      <c r="AS3393" s="28" t="n">
        <f aca="false">AR3393*$M3393</f>
        <v>0</v>
      </c>
      <c r="AT3393" s="28"/>
      <c r="AU3393" s="28" t="n">
        <f aca="false">AT3393*$M3393</f>
        <v>0</v>
      </c>
      <c r="AV3393" s="28"/>
      <c r="AW3393" s="28" t="n">
        <f aca="false">AV3393*$M3393</f>
        <v>0</v>
      </c>
      <c r="AX3393" s="28"/>
      <c r="AY3393" s="28" t="n">
        <f aca="false">AX3393*$M3393</f>
        <v>0</v>
      </c>
      <c r="AZ3393" s="30" t="n">
        <v>5800</v>
      </c>
      <c r="BA3393" s="11" t="n">
        <v>1160</v>
      </c>
      <c r="BB3393" s="31" t="n">
        <f aca="false">SUM(Q3393,S3393,U3393,W3393,Y3393,AA3393,AC3393,AE3393,AG3393,AI3393,AK3393,AM3393,AO3393,AQ3393,AS3393,AU3393,AW3393,AY3393)</f>
        <v>1160</v>
      </c>
      <c r="BC3393" s="28" t="n">
        <f aca="false">BA3393-BB3393</f>
        <v>0</v>
      </c>
      <c r="BD3393" s="32" t="n">
        <f aca="false">SUM(P3393,R3393,T3393,V3393,X3393,Z3393,AB3393,AD3393,AF3393,AH3393,AJ3393,AL3393,AN3393,AP3393,AR3393,AT3393,AV3393,AX3393)</f>
        <v>5800</v>
      </c>
      <c r="BE3393" s="33" t="n">
        <f aca="false">AZ3393-BD3393</f>
        <v>0</v>
      </c>
      <c r="BF3393" s="34" t="n">
        <f aca="false">BD3393*M3393</f>
        <v>1160</v>
      </c>
      <c r="BG3393" s="35" t="n">
        <f aca="false">BA3393-BF3393</f>
        <v>0</v>
      </c>
      <c r="BH3393" s="19" t="str">
        <f aca="false">IF(BG3393=0,"",IF(BG3393&lt;&gt;BA3393,"erreur de calcul",IF(BD3393&lt;&gt;0,"pas de prix",IF(M3393&lt;&gt; 0,"pas de quantité","pas de prix, ni de quantité"))))</f>
        <v/>
      </c>
      <c r="BI3393" s="19"/>
    </row>
    <row r="3394" customFormat="false" ht="15" hidden="false" customHeight="false" outlineLevel="0" collapsed="false">
      <c r="A3394" s="0" t="n">
        <v>25</v>
      </c>
      <c r="B3394" s="8" t="s">
        <v>24</v>
      </c>
      <c r="C3394" s="9" t="s">
        <v>25</v>
      </c>
      <c r="D3394" s="9" t="s">
        <v>26</v>
      </c>
      <c r="E3394" s="10" t="n">
        <v>1789</v>
      </c>
      <c r="F3394" s="9" t="s">
        <v>27</v>
      </c>
      <c r="G3394" s="9" t="s">
        <v>27</v>
      </c>
      <c r="H3394" s="11" t="n">
        <v>24</v>
      </c>
      <c r="I3394" s="11" t="s">
        <v>315</v>
      </c>
      <c r="J3394" s="14" t="n">
        <v>10</v>
      </c>
      <c r="K3394" s="14"/>
      <c r="L3394" s="16"/>
      <c r="M3394" s="27" t="n">
        <f aca="false">J3394+(K3394/20)+(L3394/240)</f>
        <v>10</v>
      </c>
      <c r="N3394" s="17" t="s">
        <v>64</v>
      </c>
      <c r="O3394" s="11"/>
      <c r="P3394" s="28"/>
      <c r="Q3394" s="28" t="n">
        <f aca="false">P3394*$M3394</f>
        <v>0</v>
      </c>
      <c r="R3394" s="28"/>
      <c r="S3394" s="28" t="n">
        <f aca="false">R3394*$M3394</f>
        <v>0</v>
      </c>
      <c r="T3394" s="28"/>
      <c r="U3394" s="28" t="n">
        <f aca="false">T3394*$M3394</f>
        <v>0</v>
      </c>
      <c r="V3394" s="28"/>
      <c r="W3394" s="28" t="n">
        <f aca="false">V3394*$M3394</f>
        <v>0</v>
      </c>
      <c r="X3394" s="28"/>
      <c r="Y3394" s="28" t="n">
        <f aca="false">X3394*$M3394</f>
        <v>0</v>
      </c>
      <c r="Z3394" s="28"/>
      <c r="AA3394" s="28" t="n">
        <f aca="false">Z3394*$M3394</f>
        <v>0</v>
      </c>
      <c r="AB3394" s="28"/>
      <c r="AC3394" s="28" t="n">
        <f aca="false">AB3394*$M3394</f>
        <v>0</v>
      </c>
      <c r="AD3394" s="28"/>
      <c r="AE3394" s="28" t="n">
        <f aca="false">AD3394*$M3394</f>
        <v>0</v>
      </c>
      <c r="AF3394" s="28"/>
      <c r="AG3394" s="28" t="n">
        <f aca="false">AF3394*$M3394</f>
        <v>0</v>
      </c>
      <c r="AH3394" s="28"/>
      <c r="AI3394" s="28" t="n">
        <f aca="false">AH3394*$M3394</f>
        <v>0</v>
      </c>
      <c r="AJ3394" s="28" t="n">
        <f aca="false">13584/100</f>
        <v>135.84</v>
      </c>
      <c r="AK3394" s="28" t="n">
        <v>1358</v>
      </c>
      <c r="AL3394" s="28"/>
      <c r="AM3394" s="28" t="n">
        <f aca="false">AL3394*$M3394</f>
        <v>0</v>
      </c>
      <c r="AN3394" s="28"/>
      <c r="AO3394" s="28" t="n">
        <f aca="false">AN3394*$M3394</f>
        <v>0</v>
      </c>
      <c r="AP3394" s="28"/>
      <c r="AQ3394" s="28" t="n">
        <f aca="false">AP3394*$M3394</f>
        <v>0</v>
      </c>
      <c r="AR3394" s="28"/>
      <c r="AS3394" s="28" t="n">
        <f aca="false">AR3394*$M3394</f>
        <v>0</v>
      </c>
      <c r="AT3394" s="28"/>
      <c r="AU3394" s="28" t="n">
        <f aca="false">AT3394*$M3394</f>
        <v>0</v>
      </c>
      <c r="AV3394" s="28"/>
      <c r="AW3394" s="28" t="n">
        <f aca="false">AV3394*$M3394</f>
        <v>0</v>
      </c>
      <c r="AX3394" s="28"/>
      <c r="AY3394" s="28" t="n">
        <f aca="false">AX3394*$M3394</f>
        <v>0</v>
      </c>
      <c r="AZ3394" s="30" t="n">
        <f aca="false">13584/100</f>
        <v>135.84</v>
      </c>
      <c r="BA3394" s="11" t="n">
        <v>1358</v>
      </c>
      <c r="BB3394" s="31" t="n">
        <f aca="false">SUM(Q3394,S3394,U3394,W3394,Y3394,AA3394,AC3394,AE3394,AG3394,AI3394,AK3394,AM3394,AO3394,AQ3394,AS3394,AU3394,AW3394,AY3394)</f>
        <v>1358</v>
      </c>
      <c r="BC3394" s="28" t="n">
        <f aca="false">BA3394-BB3394</f>
        <v>0</v>
      </c>
      <c r="BD3394" s="32" t="n">
        <f aca="false">SUM(P3394,R3394,T3394,V3394,X3394,Z3394,AB3394,AD3394,AF3394,AH3394,AJ3394,AL3394,AN3394,AP3394,AR3394,AT3394,AV3394,AX3394)</f>
        <v>135.84</v>
      </c>
      <c r="BE3394" s="33" t="n">
        <f aca="false">AZ3394-BD3394</f>
        <v>0</v>
      </c>
      <c r="BF3394" s="34" t="n">
        <f aca="false">BD3394*M3394</f>
        <v>1358.4</v>
      </c>
      <c r="BG3394" s="35" t="n">
        <f aca="false">BA3394-BF3394</f>
        <v>-0.400000000000091</v>
      </c>
      <c r="BH3394" s="19" t="str">
        <f aca="false">IF(BG3394=0,"",IF(BG3394&lt;&gt;BA3394,"erreur de calcul",IF(BD3394&lt;&gt;0,"pas de prix",IF(M3394&lt;&gt; 0,"pas de quantité","pas de prix, ni de quantité"))))</f>
        <v>erreur de calcul</v>
      </c>
      <c r="BI3394" s="19"/>
    </row>
    <row r="3395" customFormat="false" ht="15" hidden="false" customHeight="false" outlineLevel="0" collapsed="false">
      <c r="A3395" s="0" t="n">
        <v>26</v>
      </c>
      <c r="B3395" s="8" t="s">
        <v>24</v>
      </c>
      <c r="C3395" s="9" t="s">
        <v>25</v>
      </c>
      <c r="D3395" s="9" t="s">
        <v>26</v>
      </c>
      <c r="E3395" s="10" t="n">
        <v>1789</v>
      </c>
      <c r="F3395" s="9" t="s">
        <v>27</v>
      </c>
      <c r="G3395" s="9" t="s">
        <v>27</v>
      </c>
      <c r="H3395" s="11" t="n">
        <v>24</v>
      </c>
      <c r="I3395" s="11" t="s">
        <v>316</v>
      </c>
      <c r="J3395" s="14" t="n">
        <v>12</v>
      </c>
      <c r="K3395" s="14"/>
      <c r="L3395" s="16"/>
      <c r="M3395" s="27" t="n">
        <f aca="false">J3395+(K3395/20)+(L3395/240)</f>
        <v>12</v>
      </c>
      <c r="N3395" s="17" t="s">
        <v>64</v>
      </c>
      <c r="O3395" s="11"/>
      <c r="P3395" s="28" t="n">
        <f aca="false">8690/100</f>
        <v>86.9</v>
      </c>
      <c r="Q3395" s="28" t="n">
        <v>1043</v>
      </c>
      <c r="R3395" s="28"/>
      <c r="S3395" s="28" t="n">
        <f aca="false">R3395*$M3395</f>
        <v>0</v>
      </c>
      <c r="T3395" s="28"/>
      <c r="U3395" s="28" t="n">
        <f aca="false">T3395*$M3395</f>
        <v>0</v>
      </c>
      <c r="V3395" s="28"/>
      <c r="W3395" s="28" t="n">
        <f aca="false">V3395*$M3395</f>
        <v>0</v>
      </c>
      <c r="X3395" s="28" t="n">
        <f aca="false">10000/100</f>
        <v>100</v>
      </c>
      <c r="Y3395" s="28" t="n">
        <v>1200</v>
      </c>
      <c r="Z3395" s="28"/>
      <c r="AA3395" s="28" t="n">
        <f aca="false">Z3395*$M3395</f>
        <v>0</v>
      </c>
      <c r="AB3395" s="28"/>
      <c r="AC3395" s="28" t="n">
        <f aca="false">AB3395*$M3395</f>
        <v>0</v>
      </c>
      <c r="AD3395" s="28"/>
      <c r="AE3395" s="28" t="n">
        <f aca="false">AD3395*$M3395</f>
        <v>0</v>
      </c>
      <c r="AF3395" s="28"/>
      <c r="AG3395" s="28" t="n">
        <f aca="false">AF3395*$M3395</f>
        <v>0</v>
      </c>
      <c r="AH3395" s="28"/>
      <c r="AI3395" s="28" t="n">
        <f aca="false">AH3395*$M3395</f>
        <v>0</v>
      </c>
      <c r="AJ3395" s="28"/>
      <c r="AK3395" s="28" t="n">
        <f aca="false">AJ3395*$M3395</f>
        <v>0</v>
      </c>
      <c r="AL3395" s="28"/>
      <c r="AM3395" s="28" t="n">
        <f aca="false">AL3395*$M3395</f>
        <v>0</v>
      </c>
      <c r="AN3395" s="28"/>
      <c r="AO3395" s="28" t="n">
        <f aca="false">AN3395*$M3395</f>
        <v>0</v>
      </c>
      <c r="AP3395" s="28"/>
      <c r="AQ3395" s="28" t="n">
        <f aca="false">AP3395*$M3395</f>
        <v>0</v>
      </c>
      <c r="AR3395" s="28"/>
      <c r="AS3395" s="28" t="n">
        <f aca="false">AR3395*$M3395</f>
        <v>0</v>
      </c>
      <c r="AT3395" s="28"/>
      <c r="AU3395" s="28" t="n">
        <f aca="false">AT3395*$M3395</f>
        <v>0</v>
      </c>
      <c r="AV3395" s="28"/>
      <c r="AW3395" s="28" t="n">
        <f aca="false">AV3395*$M3395</f>
        <v>0</v>
      </c>
      <c r="AX3395" s="28"/>
      <c r="AY3395" s="28" t="n">
        <f aca="false">AX3395*$M3395</f>
        <v>0</v>
      </c>
      <c r="AZ3395" s="30" t="n">
        <f aca="false">18690/100</f>
        <v>186.9</v>
      </c>
      <c r="BA3395" s="11" t="n">
        <v>2243</v>
      </c>
      <c r="BB3395" s="31" t="n">
        <f aca="false">SUM(Q3395,S3395,U3395,W3395,Y3395,AA3395,AC3395,AE3395,AG3395,AI3395,AK3395,AM3395,AO3395,AQ3395,AS3395,AU3395,AW3395,AY3395)</f>
        <v>2243</v>
      </c>
      <c r="BC3395" s="28" t="n">
        <f aca="false">BA3395-BB3395</f>
        <v>0</v>
      </c>
      <c r="BD3395" s="32" t="n">
        <f aca="false">SUM(P3395,R3395,T3395,V3395,X3395,Z3395,AB3395,AD3395,AF3395,AH3395,AJ3395,AL3395,AN3395,AP3395,AR3395,AT3395,AV3395,AX3395)</f>
        <v>186.9</v>
      </c>
      <c r="BE3395" s="33" t="n">
        <f aca="false">AZ3395-BD3395</f>
        <v>0</v>
      </c>
      <c r="BF3395" s="34" t="n">
        <f aca="false">BD3395*M3395</f>
        <v>2242.8</v>
      </c>
      <c r="BG3395" s="35" t="n">
        <f aca="false">BA3395-BF3395</f>
        <v>0.199999999999818</v>
      </c>
      <c r="BH3395" s="19" t="str">
        <f aca="false">IF(BG3395=0,"",IF(BG3395&lt;&gt;BA3395,"erreur de calcul",IF(BD3395&lt;&gt;0,"pas de prix",IF(M3395&lt;&gt; 0,"pas de quantité","pas de prix, ni de quantité"))))</f>
        <v>erreur de calcul</v>
      </c>
      <c r="BI3395" s="19"/>
    </row>
    <row r="3396" customFormat="false" ht="15" hidden="false" customHeight="false" outlineLevel="0" collapsed="false">
      <c r="A3396" s="0" t="n">
        <v>27</v>
      </c>
      <c r="B3396" s="8" t="s">
        <v>24</v>
      </c>
      <c r="C3396" s="9" t="s">
        <v>25</v>
      </c>
      <c r="D3396" s="9" t="s">
        <v>26</v>
      </c>
      <c r="E3396" s="10" t="n">
        <v>1789</v>
      </c>
      <c r="F3396" s="9" t="s">
        <v>27</v>
      </c>
      <c r="G3396" s="9" t="s">
        <v>27</v>
      </c>
      <c r="H3396" s="11" t="n">
        <v>24</v>
      </c>
      <c r="I3396" s="11" t="s">
        <v>317</v>
      </c>
      <c r="J3396" s="14" t="n">
        <v>2</v>
      </c>
      <c r="K3396" s="14"/>
      <c r="L3396" s="16"/>
      <c r="M3396" s="27" t="n">
        <f aca="false">J3396+(K3396/20)+(L3396/240)</f>
        <v>2</v>
      </c>
      <c r="N3396" s="17" t="s">
        <v>64</v>
      </c>
      <c r="O3396" s="11"/>
      <c r="P3396" s="28"/>
      <c r="Q3396" s="28" t="n">
        <f aca="false">P3396*$M3396</f>
        <v>0</v>
      </c>
      <c r="R3396" s="28"/>
      <c r="S3396" s="28" t="n">
        <f aca="false">R3396*$M3396</f>
        <v>0</v>
      </c>
      <c r="T3396" s="28"/>
      <c r="U3396" s="28" t="n">
        <f aca="false">T3396*$M3396</f>
        <v>0</v>
      </c>
      <c r="V3396" s="28"/>
      <c r="W3396" s="28" t="n">
        <f aca="false">V3396*$M3396</f>
        <v>0</v>
      </c>
      <c r="X3396" s="28"/>
      <c r="Y3396" s="28" t="n">
        <f aca="false">X3396*$M3396</f>
        <v>0</v>
      </c>
      <c r="Z3396" s="28"/>
      <c r="AA3396" s="28" t="n">
        <f aca="false">Z3396*$M3396</f>
        <v>0</v>
      </c>
      <c r="AB3396" s="28" t="n">
        <f aca="false">15417/100</f>
        <v>154.17</v>
      </c>
      <c r="AC3396" s="28" t="n">
        <v>308</v>
      </c>
      <c r="AD3396" s="28"/>
      <c r="AE3396" s="28" t="n">
        <f aca="false">AD3396*$M3396</f>
        <v>0</v>
      </c>
      <c r="AF3396" s="28"/>
      <c r="AG3396" s="28" t="n">
        <f aca="false">AF3396*$M3396</f>
        <v>0</v>
      </c>
      <c r="AH3396" s="28"/>
      <c r="AI3396" s="28" t="n">
        <f aca="false">AH3396*$M3396</f>
        <v>0</v>
      </c>
      <c r="AJ3396" s="28"/>
      <c r="AK3396" s="28" t="n">
        <f aca="false">AJ3396*$M3396</f>
        <v>0</v>
      </c>
      <c r="AL3396" s="28"/>
      <c r="AM3396" s="28" t="n">
        <f aca="false">AL3396*$M3396</f>
        <v>0</v>
      </c>
      <c r="AN3396" s="28"/>
      <c r="AO3396" s="28" t="n">
        <f aca="false">AN3396*$M3396</f>
        <v>0</v>
      </c>
      <c r="AP3396" s="28"/>
      <c r="AQ3396" s="28" t="n">
        <f aca="false">AP3396*$M3396</f>
        <v>0</v>
      </c>
      <c r="AR3396" s="28"/>
      <c r="AS3396" s="28" t="n">
        <f aca="false">AR3396*$M3396</f>
        <v>0</v>
      </c>
      <c r="AT3396" s="28"/>
      <c r="AU3396" s="28" t="n">
        <f aca="false">AT3396*$M3396</f>
        <v>0</v>
      </c>
      <c r="AV3396" s="28"/>
      <c r="AW3396" s="28" t="n">
        <f aca="false">AV3396*$M3396</f>
        <v>0</v>
      </c>
      <c r="AX3396" s="28"/>
      <c r="AY3396" s="28" t="n">
        <f aca="false">AX3396*$M3396</f>
        <v>0</v>
      </c>
      <c r="AZ3396" s="30" t="n">
        <f aca="false">15417/100</f>
        <v>154.17</v>
      </c>
      <c r="BA3396" s="11" t="n">
        <v>308</v>
      </c>
      <c r="BB3396" s="31" t="n">
        <f aca="false">SUM(Q3396,S3396,U3396,W3396,Y3396,AA3396,AC3396,AE3396,AG3396,AI3396,AK3396,AM3396,AO3396,AQ3396,AS3396,AU3396,AW3396,AY3396)</f>
        <v>308</v>
      </c>
      <c r="BC3396" s="28" t="n">
        <f aca="false">BA3396-BB3396</f>
        <v>0</v>
      </c>
      <c r="BD3396" s="32" t="n">
        <f aca="false">SUM(P3396,R3396,T3396,V3396,X3396,Z3396,AB3396,AD3396,AF3396,AH3396,AJ3396,AL3396,AN3396,AP3396,AR3396,AT3396,AV3396,AX3396)</f>
        <v>154.17</v>
      </c>
      <c r="BE3396" s="33" t="n">
        <f aca="false">AZ3396-BD3396</f>
        <v>0</v>
      </c>
      <c r="BF3396" s="34" t="n">
        <f aca="false">BD3396*M3396</f>
        <v>308.34</v>
      </c>
      <c r="BG3396" s="35" t="n">
        <f aca="false">BA3396-BF3396</f>
        <v>-0.339999999999975</v>
      </c>
      <c r="BH3396" s="19" t="str">
        <f aca="false">IF(BG3396=0,"",IF(BG3396&lt;&gt;BA3396,"erreur de calcul",IF(BD3396&lt;&gt;0,"pas de prix",IF(M3396&lt;&gt; 0,"pas de quantité","pas de prix, ni de quantité"))))</f>
        <v>erreur de calcul</v>
      </c>
      <c r="BI3396" s="19"/>
    </row>
    <row r="3397" customFormat="false" ht="15" hidden="false" customHeight="false" outlineLevel="0" collapsed="false">
      <c r="A3397" s="0" t="n">
        <v>28</v>
      </c>
      <c r="B3397" s="8" t="s">
        <v>24</v>
      </c>
      <c r="C3397" s="9" t="s">
        <v>25</v>
      </c>
      <c r="D3397" s="9" t="s">
        <v>26</v>
      </c>
      <c r="E3397" s="10" t="n">
        <v>1789</v>
      </c>
      <c r="F3397" s="9" t="s">
        <v>27</v>
      </c>
      <c r="G3397" s="9" t="s">
        <v>27</v>
      </c>
      <c r="H3397" s="11" t="n">
        <v>24</v>
      </c>
      <c r="I3397" s="11" t="s">
        <v>318</v>
      </c>
      <c r="J3397" s="14" t="n">
        <v>30</v>
      </c>
      <c r="K3397" s="14"/>
      <c r="L3397" s="16"/>
      <c r="M3397" s="27" t="n">
        <f aca="false">J3397+(K3397/20)+(L3397/240)</f>
        <v>30</v>
      </c>
      <c r="N3397" s="17" t="s">
        <v>64</v>
      </c>
      <c r="O3397" s="11"/>
      <c r="P3397" s="28" t="n">
        <f aca="false">55459/100</f>
        <v>554.59</v>
      </c>
      <c r="Q3397" s="28" t="n">
        <v>16638</v>
      </c>
      <c r="R3397" s="28"/>
      <c r="S3397" s="28" t="n">
        <f aca="false">R3397*$M3397</f>
        <v>0</v>
      </c>
      <c r="T3397" s="28"/>
      <c r="U3397" s="28" t="n">
        <f aca="false">T3397*$M3397</f>
        <v>0</v>
      </c>
      <c r="V3397" s="28"/>
      <c r="W3397" s="28" t="n">
        <f aca="false">V3397*$M3397</f>
        <v>0</v>
      </c>
      <c r="X3397" s="28"/>
      <c r="Y3397" s="28" t="n">
        <f aca="false">X3397*$M3397</f>
        <v>0</v>
      </c>
      <c r="Z3397" s="28"/>
      <c r="AA3397" s="28" t="n">
        <f aca="false">Z3397*$M3397</f>
        <v>0</v>
      </c>
      <c r="AB3397" s="28"/>
      <c r="AC3397" s="28" t="n">
        <f aca="false">AB3397*$M3397</f>
        <v>0</v>
      </c>
      <c r="AD3397" s="28"/>
      <c r="AE3397" s="28" t="n">
        <f aca="false">AD3397*$M3397</f>
        <v>0</v>
      </c>
      <c r="AF3397" s="28"/>
      <c r="AG3397" s="28" t="n">
        <f aca="false">AF3397*$M3397</f>
        <v>0</v>
      </c>
      <c r="AH3397" s="28"/>
      <c r="AI3397" s="28" t="n">
        <f aca="false">AH3397*$M3397</f>
        <v>0</v>
      </c>
      <c r="AJ3397" s="28"/>
      <c r="AK3397" s="28" t="n">
        <f aca="false">AJ3397*$M3397</f>
        <v>0</v>
      </c>
      <c r="AL3397" s="28"/>
      <c r="AM3397" s="28" t="n">
        <f aca="false">AL3397*$M3397</f>
        <v>0</v>
      </c>
      <c r="AN3397" s="28"/>
      <c r="AO3397" s="28" t="n">
        <f aca="false">AN3397*$M3397</f>
        <v>0</v>
      </c>
      <c r="AP3397" s="28"/>
      <c r="AQ3397" s="28" t="n">
        <f aca="false">AP3397*$M3397</f>
        <v>0</v>
      </c>
      <c r="AR3397" s="28"/>
      <c r="AS3397" s="28" t="n">
        <f aca="false">AR3397*$M3397</f>
        <v>0</v>
      </c>
      <c r="AT3397" s="28"/>
      <c r="AU3397" s="28" t="n">
        <f aca="false">AT3397*$M3397</f>
        <v>0</v>
      </c>
      <c r="AV3397" s="28"/>
      <c r="AW3397" s="28" t="n">
        <f aca="false">AV3397*$M3397</f>
        <v>0</v>
      </c>
      <c r="AX3397" s="28"/>
      <c r="AY3397" s="28" t="n">
        <f aca="false">AX3397*$M3397</f>
        <v>0</v>
      </c>
      <c r="AZ3397" s="30" t="n">
        <f aca="false">55459/100</f>
        <v>554.59</v>
      </c>
      <c r="BA3397" s="11" t="n">
        <v>16638</v>
      </c>
      <c r="BB3397" s="31" t="n">
        <f aca="false">SUM(Q3397,S3397,U3397,W3397,Y3397,AA3397,AC3397,AE3397,AG3397,AI3397,AK3397,AM3397,AO3397,AQ3397,AS3397,AU3397,AW3397,AY3397)</f>
        <v>16638</v>
      </c>
      <c r="BC3397" s="28" t="n">
        <f aca="false">BA3397-BB3397</f>
        <v>0</v>
      </c>
      <c r="BD3397" s="32" t="n">
        <f aca="false">SUM(P3397,R3397,T3397,V3397,X3397,Z3397,AB3397,AD3397,AF3397,AH3397,AJ3397,AL3397,AN3397,AP3397,AR3397,AT3397,AV3397,AX3397)</f>
        <v>554.59</v>
      </c>
      <c r="BE3397" s="33" t="n">
        <f aca="false">AZ3397-BD3397</f>
        <v>0</v>
      </c>
      <c r="BF3397" s="34" t="n">
        <f aca="false">BD3397*M3397</f>
        <v>16637.7</v>
      </c>
      <c r="BG3397" s="35" t="n">
        <f aca="false">BA3397-BF3397</f>
        <v>0.299999999999272</v>
      </c>
      <c r="BH3397" s="19" t="str">
        <f aca="false">IF(BG3397=0,"",IF(BG3397&lt;&gt;BA3397,"erreur de calcul",IF(BD3397&lt;&gt;0,"pas de prix",IF(M3397&lt;&gt; 0,"pas de quantité","pas de prix, ni de quantité"))))</f>
        <v>erreur de calcul</v>
      </c>
      <c r="BI3397" s="19"/>
    </row>
    <row r="3398" customFormat="false" ht="15" hidden="false" customHeight="false" outlineLevel="0" collapsed="false">
      <c r="A3398" s="0" t="n">
        <v>29</v>
      </c>
      <c r="B3398" s="8" t="s">
        <v>24</v>
      </c>
      <c r="C3398" s="9" t="s">
        <v>25</v>
      </c>
      <c r="D3398" s="9" t="s">
        <v>26</v>
      </c>
      <c r="E3398" s="10" t="n">
        <v>1789</v>
      </c>
      <c r="F3398" s="9" t="s">
        <v>27</v>
      </c>
      <c r="G3398" s="9" t="s">
        <v>27</v>
      </c>
      <c r="H3398" s="11" t="n">
        <v>24</v>
      </c>
      <c r="I3398" s="11" t="s">
        <v>319</v>
      </c>
      <c r="J3398" s="14" t="n">
        <v>10</v>
      </c>
      <c r="K3398" s="14"/>
      <c r="L3398" s="16"/>
      <c r="M3398" s="27" t="n">
        <f aca="false">J3398+(K3398/20)+(L3398/240)</f>
        <v>10</v>
      </c>
      <c r="N3398" s="17" t="s">
        <v>64</v>
      </c>
      <c r="O3398" s="11"/>
      <c r="P3398" s="28" t="n">
        <f aca="false">48819/100</f>
        <v>488.19</v>
      </c>
      <c r="Q3398" s="28" t="n">
        <v>4882</v>
      </c>
      <c r="R3398" s="28"/>
      <c r="S3398" s="28" t="n">
        <f aca="false">R3398*$M3398</f>
        <v>0</v>
      </c>
      <c r="T3398" s="28" t="n">
        <f aca="false">2500/100</f>
        <v>25</v>
      </c>
      <c r="U3398" s="28" t="n">
        <v>250</v>
      </c>
      <c r="V3398" s="28"/>
      <c r="W3398" s="28" t="n">
        <f aca="false">V3398*$M3398</f>
        <v>0</v>
      </c>
      <c r="X3398" s="28" t="n">
        <f aca="false">6667/100</f>
        <v>66.67</v>
      </c>
      <c r="Y3398" s="28" t="n">
        <v>667</v>
      </c>
      <c r="Z3398" s="28"/>
      <c r="AA3398" s="28" t="n">
        <f aca="false">Z3398*$M3398</f>
        <v>0</v>
      </c>
      <c r="AB3398" s="28"/>
      <c r="AC3398" s="28" t="n">
        <f aca="false">AB3398*$M3398</f>
        <v>0</v>
      </c>
      <c r="AD3398" s="28"/>
      <c r="AE3398" s="28" t="n">
        <f aca="false">AD3398*$M3398</f>
        <v>0</v>
      </c>
      <c r="AF3398" s="28"/>
      <c r="AG3398" s="28" t="n">
        <f aca="false">AF3398*$M3398</f>
        <v>0</v>
      </c>
      <c r="AH3398" s="28"/>
      <c r="AI3398" s="28" t="n">
        <f aca="false">AH3398*$M3398</f>
        <v>0</v>
      </c>
      <c r="AJ3398" s="28"/>
      <c r="AK3398" s="28" t="n">
        <f aca="false">AJ3398*$M3398</f>
        <v>0</v>
      </c>
      <c r="AL3398" s="28"/>
      <c r="AM3398" s="28" t="n">
        <f aca="false">AL3398*$M3398</f>
        <v>0</v>
      </c>
      <c r="AN3398" s="28"/>
      <c r="AO3398" s="28" t="n">
        <f aca="false">AN3398*$M3398</f>
        <v>0</v>
      </c>
      <c r="AP3398" s="28"/>
      <c r="AQ3398" s="28" t="n">
        <f aca="false">AP3398*$M3398</f>
        <v>0</v>
      </c>
      <c r="AR3398" s="28"/>
      <c r="AS3398" s="28" t="n">
        <f aca="false">AR3398*$M3398</f>
        <v>0</v>
      </c>
      <c r="AT3398" s="28"/>
      <c r="AU3398" s="28" t="n">
        <f aca="false">AT3398*$M3398</f>
        <v>0</v>
      </c>
      <c r="AV3398" s="28"/>
      <c r="AW3398" s="28" t="n">
        <f aca="false">AV3398*$M3398</f>
        <v>0</v>
      </c>
      <c r="AX3398" s="28"/>
      <c r="AY3398" s="28" t="n">
        <f aca="false">AX3398*$M3398</f>
        <v>0</v>
      </c>
      <c r="AZ3398" s="30" t="n">
        <f aca="false">57986/100</f>
        <v>579.86</v>
      </c>
      <c r="BA3398" s="11" t="n">
        <v>5799</v>
      </c>
      <c r="BB3398" s="31" t="n">
        <f aca="false">SUM(Q3398,S3398,U3398,W3398,Y3398,AA3398,AC3398,AE3398,AG3398,AI3398,AK3398,AM3398,AO3398,AQ3398,AS3398,AU3398,AW3398,AY3398)</f>
        <v>5799</v>
      </c>
      <c r="BC3398" s="28" t="n">
        <f aca="false">BA3398-BB3398</f>
        <v>0</v>
      </c>
      <c r="BD3398" s="32" t="n">
        <f aca="false">SUM(P3398,R3398,T3398,V3398,X3398,Z3398,AB3398,AD3398,AF3398,AH3398,AJ3398,AL3398,AN3398,AP3398,AR3398,AT3398,AV3398,AX3398)</f>
        <v>579.86</v>
      </c>
      <c r="BE3398" s="33" t="n">
        <f aca="false">AZ3398-BD3398</f>
        <v>0</v>
      </c>
      <c r="BF3398" s="34" t="n">
        <f aca="false">BD3398*M3398</f>
        <v>5798.6</v>
      </c>
      <c r="BG3398" s="35" t="n">
        <f aca="false">BA3398-BF3398</f>
        <v>0.399999999999636</v>
      </c>
      <c r="BH3398" s="19" t="str">
        <f aca="false">IF(BG3398=0,"",IF(BG3398&lt;&gt;BA3398,"erreur de calcul",IF(BD3398&lt;&gt;0,"pas de prix",IF(M3398&lt;&gt; 0,"pas de quantité","pas de prix, ni de quantité"))))</f>
        <v>erreur de calcul</v>
      </c>
      <c r="BI3398" s="19"/>
    </row>
    <row r="3399" customFormat="false" ht="15" hidden="false" customHeight="false" outlineLevel="0" collapsed="false">
      <c r="A3399" s="0" t="n">
        <v>30</v>
      </c>
      <c r="B3399" s="8" t="s">
        <v>24</v>
      </c>
      <c r="C3399" s="9" t="s">
        <v>25</v>
      </c>
      <c r="D3399" s="9" t="s">
        <v>26</v>
      </c>
      <c r="E3399" s="10" t="n">
        <v>1789</v>
      </c>
      <c r="F3399" s="9" t="s">
        <v>27</v>
      </c>
      <c r="G3399" s="9" t="s">
        <v>27</v>
      </c>
      <c r="H3399" s="11" t="n">
        <v>24</v>
      </c>
      <c r="I3399" s="11" t="s">
        <v>320</v>
      </c>
      <c r="J3399" s="14" t="n">
        <v>90</v>
      </c>
      <c r="K3399" s="14"/>
      <c r="L3399" s="16"/>
      <c r="M3399" s="27" t="n">
        <f aca="false">J3399+(K3399/20)+(L3399/240)</f>
        <v>90</v>
      </c>
      <c r="N3399" s="17" t="s">
        <v>64</v>
      </c>
      <c r="O3399" s="11"/>
      <c r="P3399" s="28"/>
      <c r="Q3399" s="28" t="n">
        <f aca="false">P3399*$M3399</f>
        <v>0</v>
      </c>
      <c r="R3399" s="28"/>
      <c r="S3399" s="28" t="n">
        <f aca="false">R3399*$M3399</f>
        <v>0</v>
      </c>
      <c r="T3399" s="28"/>
      <c r="U3399" s="28" t="n">
        <f aca="false">T3399*$M3399</f>
        <v>0</v>
      </c>
      <c r="V3399" s="28"/>
      <c r="W3399" s="28" t="n">
        <f aca="false">V3399*$M3399</f>
        <v>0</v>
      </c>
      <c r="X3399" s="28"/>
      <c r="Y3399" s="28" t="n">
        <f aca="false">X3399*$M3399</f>
        <v>0</v>
      </c>
      <c r="Z3399" s="28"/>
      <c r="AA3399" s="28" t="n">
        <f aca="false">Z3399*$M3399</f>
        <v>0</v>
      </c>
      <c r="AB3399" s="28"/>
      <c r="AC3399" s="28" t="n">
        <f aca="false">AB3399*$M3399</f>
        <v>0</v>
      </c>
      <c r="AD3399" s="28"/>
      <c r="AE3399" s="28" t="n">
        <f aca="false">AD3399*$M3399</f>
        <v>0</v>
      </c>
      <c r="AF3399" s="28"/>
      <c r="AG3399" s="28" t="n">
        <f aca="false">AF3399*$M3399</f>
        <v>0</v>
      </c>
      <c r="AH3399" s="28"/>
      <c r="AI3399" s="28" t="n">
        <f aca="false">AH3399*$M3399</f>
        <v>0</v>
      </c>
      <c r="AJ3399" s="28"/>
      <c r="AK3399" s="28" t="n">
        <f aca="false">AJ3399*$M3399</f>
        <v>0</v>
      </c>
      <c r="AL3399" s="28" t="n">
        <f aca="false">2950/100</f>
        <v>29.5</v>
      </c>
      <c r="AM3399" s="28" t="n">
        <v>2655</v>
      </c>
      <c r="AN3399" s="28"/>
      <c r="AO3399" s="28" t="n">
        <f aca="false">AN3399*$M3399</f>
        <v>0</v>
      </c>
      <c r="AP3399" s="28"/>
      <c r="AQ3399" s="28" t="n">
        <f aca="false">AP3399*$M3399</f>
        <v>0</v>
      </c>
      <c r="AR3399" s="28"/>
      <c r="AS3399" s="28" t="n">
        <f aca="false">AR3399*$M3399</f>
        <v>0</v>
      </c>
      <c r="AT3399" s="28"/>
      <c r="AU3399" s="28" t="n">
        <f aca="false">AT3399*$M3399</f>
        <v>0</v>
      </c>
      <c r="AV3399" s="28"/>
      <c r="AW3399" s="28" t="n">
        <f aca="false">AV3399*$M3399</f>
        <v>0</v>
      </c>
      <c r="AX3399" s="28"/>
      <c r="AY3399" s="28" t="n">
        <f aca="false">AX3399*$M3399</f>
        <v>0</v>
      </c>
      <c r="AZ3399" s="30" t="n">
        <f aca="false">2950/100</f>
        <v>29.5</v>
      </c>
      <c r="BA3399" s="11" t="n">
        <v>2655</v>
      </c>
      <c r="BB3399" s="31" t="n">
        <f aca="false">SUM(Q3399,S3399,U3399,W3399,Y3399,AA3399,AC3399,AE3399,AG3399,AI3399,AK3399,AM3399,AO3399,AQ3399,AS3399,AU3399,AW3399,AY3399)</f>
        <v>2655</v>
      </c>
      <c r="BC3399" s="28" t="n">
        <f aca="false">BA3399-BB3399</f>
        <v>0</v>
      </c>
      <c r="BD3399" s="32" t="n">
        <f aca="false">SUM(P3399,R3399,T3399,V3399,X3399,Z3399,AB3399,AD3399,AF3399,AH3399,AJ3399,AL3399,AN3399,AP3399,AR3399,AT3399,AV3399,AX3399)</f>
        <v>29.5</v>
      </c>
      <c r="BE3399" s="33" t="n">
        <f aca="false">AZ3399-BD3399</f>
        <v>0</v>
      </c>
      <c r="BF3399" s="34" t="n">
        <f aca="false">BD3399*M3399</f>
        <v>2655</v>
      </c>
      <c r="BG3399" s="35" t="n">
        <f aca="false">BA3399-BF3399</f>
        <v>0</v>
      </c>
      <c r="BH3399" s="19" t="str">
        <f aca="false">IF(BG3399=0,"",IF(BG3399&lt;&gt;BA3399,"erreur de calcul",IF(BD3399&lt;&gt;0,"pas de prix",IF(M3399&lt;&gt; 0,"pas de quantité","pas de prix, ni de quantité"))))</f>
        <v/>
      </c>
      <c r="BI3399" s="19"/>
    </row>
    <row r="3400" customFormat="false" ht="15" hidden="false" customHeight="false" outlineLevel="0" collapsed="false">
      <c r="A3400" s="0" t="n">
        <v>31</v>
      </c>
      <c r="B3400" s="8" t="s">
        <v>24</v>
      </c>
      <c r="C3400" s="9" t="s">
        <v>25</v>
      </c>
      <c r="D3400" s="9" t="s">
        <v>26</v>
      </c>
      <c r="E3400" s="10" t="n">
        <v>1789</v>
      </c>
      <c r="F3400" s="9" t="s">
        <v>27</v>
      </c>
      <c r="G3400" s="9" t="s">
        <v>27</v>
      </c>
      <c r="H3400" s="11" t="n">
        <v>24</v>
      </c>
      <c r="I3400" s="11" t="s">
        <v>321</v>
      </c>
      <c r="J3400" s="14" t="n">
        <v>50</v>
      </c>
      <c r="K3400" s="14"/>
      <c r="L3400" s="16"/>
      <c r="M3400" s="27" t="n">
        <f aca="false">J3400+(K3400/20)+(L3400/240)</f>
        <v>50</v>
      </c>
      <c r="N3400" s="17" t="s">
        <v>64</v>
      </c>
      <c r="O3400" s="11" t="s">
        <v>277</v>
      </c>
      <c r="P3400" s="28"/>
      <c r="Q3400" s="28" t="n">
        <f aca="false">P3400*$M3400</f>
        <v>0</v>
      </c>
      <c r="R3400" s="28"/>
      <c r="S3400" s="28" t="n">
        <f aca="false">R3400*$M3400</f>
        <v>0</v>
      </c>
      <c r="T3400" s="28" t="n">
        <f aca="false">2*288*0.02+153*0.02</f>
        <v>14.58</v>
      </c>
      <c r="U3400" s="28" t="n">
        <v>729</v>
      </c>
      <c r="V3400" s="28" t="n">
        <f aca="false">2*288*0.02+118*0.02</f>
        <v>13.88</v>
      </c>
      <c r="W3400" s="28" t="n">
        <v>694</v>
      </c>
      <c r="X3400" s="28" t="n">
        <f aca="false">25*288*0.02+103*0.02</f>
        <v>146.06</v>
      </c>
      <c r="Y3400" s="28" t="n">
        <v>7303</v>
      </c>
      <c r="Z3400" s="28"/>
      <c r="AA3400" s="28" t="n">
        <f aca="false">Z3400*$M3400</f>
        <v>0</v>
      </c>
      <c r="AB3400" s="28" t="n">
        <f aca="false">1*288*0.02+74*0.02</f>
        <v>7.24</v>
      </c>
      <c r="AC3400" s="28" t="n">
        <v>362</v>
      </c>
      <c r="AD3400" s="28" t="n">
        <f aca="false">276*0.02</f>
        <v>5.52</v>
      </c>
      <c r="AE3400" s="28" t="n">
        <v>276</v>
      </c>
      <c r="AF3400" s="28"/>
      <c r="AG3400" s="28" t="n">
        <f aca="false">AF3400*$M3400</f>
        <v>0</v>
      </c>
      <c r="AH3400" s="28" t="n">
        <f aca="false">1*288*0.02+75*0.02</f>
        <v>7.26</v>
      </c>
      <c r="AI3400" s="28" t="n">
        <v>363</v>
      </c>
      <c r="AJ3400" s="28" t="n">
        <f aca="false">2*288*0.02+176*0.02</f>
        <v>15.04</v>
      </c>
      <c r="AK3400" s="28" t="n">
        <v>752</v>
      </c>
      <c r="AL3400" s="28"/>
      <c r="AM3400" s="28" t="n">
        <f aca="false">AL3400*$M3400</f>
        <v>0</v>
      </c>
      <c r="AN3400" s="28"/>
      <c r="AO3400" s="28" t="n">
        <f aca="false">AN3400*$M3400</f>
        <v>0</v>
      </c>
      <c r="AP3400" s="28"/>
      <c r="AQ3400" s="28" t="n">
        <f aca="false">AP3400*$M3400</f>
        <v>0</v>
      </c>
      <c r="AR3400" s="28"/>
      <c r="AS3400" s="28" t="n">
        <f aca="false">AR3400*$M3400</f>
        <v>0</v>
      </c>
      <c r="AT3400" s="28"/>
      <c r="AU3400" s="28" t="n">
        <f aca="false">AT3400*$M3400</f>
        <v>0</v>
      </c>
      <c r="AV3400" s="28"/>
      <c r="AW3400" s="28" t="n">
        <f aca="false">AV3400*$M3400</f>
        <v>0</v>
      </c>
      <c r="AX3400" s="28"/>
      <c r="AY3400" s="28" t="n">
        <f aca="false">AX3400*$M3400</f>
        <v>0</v>
      </c>
      <c r="AZ3400" s="30" t="n">
        <f aca="false">36*288*0.02+111*0.02</f>
        <v>209.58</v>
      </c>
      <c r="BA3400" s="11" t="n">
        <v>10479</v>
      </c>
      <c r="BB3400" s="31" t="n">
        <f aca="false">SUM(Q3400,S3400,U3400,W3400,Y3400,AA3400,AC3400,AE3400,AG3400,AI3400,AK3400,AM3400,AO3400,AQ3400,AS3400,AU3400,AW3400,AY3400)</f>
        <v>10479</v>
      </c>
      <c r="BC3400" s="28" t="n">
        <f aca="false">BA3400-BB3400</f>
        <v>0</v>
      </c>
      <c r="BD3400" s="32" t="n">
        <f aca="false">SUM(P3400,R3400,T3400,V3400,X3400,Z3400,AB3400,AD3400,AF3400,AH3400,AJ3400,AL3400,AN3400,AP3400,AR3400,AT3400,AV3400,AX3400)</f>
        <v>209.58</v>
      </c>
      <c r="BE3400" s="33" t="n">
        <f aca="false">AZ3400-BD3400</f>
        <v>0</v>
      </c>
      <c r="BF3400" s="34" t="n">
        <f aca="false">BD3400*M3400</f>
        <v>10479</v>
      </c>
      <c r="BG3400" s="35" t="n">
        <f aca="false">BA3400-BF3400</f>
        <v>0</v>
      </c>
      <c r="BH3400" s="19" t="str">
        <f aca="false">IF(BG3400=0,"",IF(BG3400&lt;&gt;BA3400,"erreur de calcul",IF(BD3400&lt;&gt;0,"pas de prix",IF(M3400&lt;&gt; 0,"pas de quantité","pas de prix, ni de quantité"))))</f>
        <v/>
      </c>
      <c r="BI3400" s="19"/>
    </row>
    <row r="3401" customFormat="false" ht="15" hidden="false" customHeight="false" outlineLevel="0" collapsed="false">
      <c r="A3401" s="0" t="n">
        <v>32</v>
      </c>
      <c r="B3401" s="8" t="s">
        <v>24</v>
      </c>
      <c r="C3401" s="9" t="s">
        <v>25</v>
      </c>
      <c r="D3401" s="9" t="s">
        <v>26</v>
      </c>
      <c r="E3401" s="10" t="n">
        <v>1789</v>
      </c>
      <c r="F3401" s="9" t="s">
        <v>27</v>
      </c>
      <c r="G3401" s="9" t="s">
        <v>27</v>
      </c>
      <c r="H3401" s="11" t="n">
        <v>24</v>
      </c>
      <c r="I3401" s="11" t="s">
        <v>322</v>
      </c>
      <c r="J3401" s="14" t="n">
        <v>70</v>
      </c>
      <c r="K3401" s="14"/>
      <c r="L3401" s="16"/>
      <c r="M3401" s="27" t="n">
        <f aca="false">J3401+(K3401/20)+(L3401/240)</f>
        <v>70</v>
      </c>
      <c r="N3401" s="17" t="s">
        <v>64</v>
      </c>
      <c r="O3401" s="11"/>
      <c r="P3401" s="28"/>
      <c r="Q3401" s="28" t="n">
        <f aca="false">P3401*$M3401</f>
        <v>0</v>
      </c>
      <c r="R3401" s="28"/>
      <c r="S3401" s="28" t="n">
        <f aca="false">R3401*$M3401</f>
        <v>0</v>
      </c>
      <c r="T3401" s="28"/>
      <c r="U3401" s="28" t="n">
        <f aca="false">T3401*$M3401</f>
        <v>0</v>
      </c>
      <c r="V3401" s="28"/>
      <c r="W3401" s="28" t="n">
        <f aca="false">V3401*$M3401</f>
        <v>0</v>
      </c>
      <c r="X3401" s="28" t="n">
        <f aca="false">2*288*0.02+217*0.02</f>
        <v>15.86</v>
      </c>
      <c r="Y3401" s="28" t="n">
        <v>1111</v>
      </c>
      <c r="Z3401" s="28"/>
      <c r="AA3401" s="28" t="n">
        <f aca="false">Z3401*$M3401</f>
        <v>0</v>
      </c>
      <c r="AB3401" s="28"/>
      <c r="AC3401" s="28" t="n">
        <f aca="false">AB3401*$M3401</f>
        <v>0</v>
      </c>
      <c r="AD3401" s="28"/>
      <c r="AE3401" s="28" t="n">
        <f aca="false">AD3401*$M3401</f>
        <v>0</v>
      </c>
      <c r="AF3401" s="28"/>
      <c r="AG3401" s="28" t="n">
        <f aca="false">AF3401*$M3401</f>
        <v>0</v>
      </c>
      <c r="AH3401" s="28"/>
      <c r="AI3401" s="28" t="n">
        <f aca="false">AH3401*$M3401</f>
        <v>0</v>
      </c>
      <c r="AJ3401" s="28"/>
      <c r="AK3401" s="28" t="n">
        <f aca="false">AJ3401*$M3401</f>
        <v>0</v>
      </c>
      <c r="AL3401" s="28"/>
      <c r="AM3401" s="28" t="n">
        <f aca="false">AL3401*$M3401</f>
        <v>0</v>
      </c>
      <c r="AN3401" s="28"/>
      <c r="AO3401" s="28" t="n">
        <f aca="false">AN3401*$M3401</f>
        <v>0</v>
      </c>
      <c r="AP3401" s="28"/>
      <c r="AQ3401" s="28" t="n">
        <f aca="false">AP3401*$M3401</f>
        <v>0</v>
      </c>
      <c r="AR3401" s="28"/>
      <c r="AS3401" s="28" t="n">
        <f aca="false">AR3401*$M3401</f>
        <v>0</v>
      </c>
      <c r="AT3401" s="28"/>
      <c r="AU3401" s="28" t="n">
        <f aca="false">AT3401*$M3401</f>
        <v>0</v>
      </c>
      <c r="AV3401" s="28"/>
      <c r="AW3401" s="28" t="n">
        <f aca="false">AV3401*$M3401</f>
        <v>0</v>
      </c>
      <c r="AX3401" s="28"/>
      <c r="AY3401" s="28" t="n">
        <f aca="false">AX3401*$M3401</f>
        <v>0</v>
      </c>
      <c r="AZ3401" s="30" t="n">
        <f aca="false">2*288*0.02+217*0.02</f>
        <v>15.86</v>
      </c>
      <c r="BA3401" s="11" t="n">
        <v>1111</v>
      </c>
      <c r="BB3401" s="31" t="n">
        <f aca="false">SUM(Q3401,S3401,U3401,W3401,Y3401,AA3401,AC3401,AE3401,AG3401,AI3401,AK3401,AM3401,AO3401,AQ3401,AS3401,AU3401,AW3401,AY3401)</f>
        <v>1111</v>
      </c>
      <c r="BC3401" s="28" t="n">
        <f aca="false">BA3401-BB3401</f>
        <v>0</v>
      </c>
      <c r="BD3401" s="32" t="n">
        <f aca="false">SUM(P3401,R3401,T3401,V3401,X3401,Z3401,AB3401,AD3401,AF3401,AH3401,AJ3401,AL3401,AN3401,AP3401,AR3401,AT3401,AV3401,AX3401)</f>
        <v>15.86</v>
      </c>
      <c r="BE3401" s="33" t="n">
        <f aca="false">AZ3401-BD3401</f>
        <v>0</v>
      </c>
      <c r="BF3401" s="34" t="n">
        <f aca="false">BD3401*M3401</f>
        <v>1110.2</v>
      </c>
      <c r="BG3401" s="35" t="n">
        <f aca="false">BA3401-BF3401</f>
        <v>0.799999999999955</v>
      </c>
      <c r="BH3401" s="19" t="str">
        <f aca="false">IF(BG3401=0,"",IF(BG3401&lt;&gt;BA3401,"erreur de calcul",IF(BD3401&lt;&gt;0,"pas de prix",IF(M3401&lt;&gt; 0,"pas de quantité","pas de prix, ni de quantité"))))</f>
        <v>erreur de calcul</v>
      </c>
      <c r="BI3401" s="19"/>
    </row>
    <row r="3402" customFormat="false" ht="15" hidden="false" customHeight="false" outlineLevel="0" collapsed="false">
      <c r="A3402" s="0" t="n">
        <v>33</v>
      </c>
      <c r="B3402" s="8" t="s">
        <v>24</v>
      </c>
      <c r="C3402" s="9" t="s">
        <v>25</v>
      </c>
      <c r="D3402" s="9" t="s">
        <v>26</v>
      </c>
      <c r="E3402" s="10" t="n">
        <v>1789</v>
      </c>
      <c r="F3402" s="9" t="s">
        <v>27</v>
      </c>
      <c r="G3402" s="9" t="s">
        <v>27</v>
      </c>
      <c r="H3402" s="11" t="n">
        <v>24</v>
      </c>
      <c r="I3402" s="11" t="s">
        <v>323</v>
      </c>
      <c r="J3402" s="14"/>
      <c r="K3402" s="14" t="n">
        <v>40</v>
      </c>
      <c r="L3402" s="16"/>
      <c r="M3402" s="27" t="n">
        <f aca="false">J3402+(K3402/20)+(L3402/240)</f>
        <v>2</v>
      </c>
      <c r="N3402" s="17" t="s">
        <v>66</v>
      </c>
      <c r="O3402" s="11"/>
      <c r="P3402" s="28" t="n">
        <v>780</v>
      </c>
      <c r="Q3402" s="28" t="n">
        <v>1560</v>
      </c>
      <c r="R3402" s="28"/>
      <c r="S3402" s="28" t="n">
        <f aca="false">R3402*$M3402</f>
        <v>0</v>
      </c>
      <c r="T3402" s="28" t="n">
        <v>1552</v>
      </c>
      <c r="U3402" s="28" t="n">
        <v>3104</v>
      </c>
      <c r="V3402" s="28" t="n">
        <v>1051</v>
      </c>
      <c r="W3402" s="28" t="n">
        <v>2102</v>
      </c>
      <c r="X3402" s="28" t="n">
        <v>1486</v>
      </c>
      <c r="Y3402" s="28" t="n">
        <v>2972</v>
      </c>
      <c r="Z3402" s="28" t="n">
        <v>847</v>
      </c>
      <c r="AA3402" s="28" t="n">
        <v>1694</v>
      </c>
      <c r="AB3402" s="28" t="n">
        <v>114</v>
      </c>
      <c r="AC3402" s="28" t="n">
        <v>228</v>
      </c>
      <c r="AD3402" s="28" t="n">
        <v>407</v>
      </c>
      <c r="AE3402" s="28" t="n">
        <v>814</v>
      </c>
      <c r="AF3402" s="28"/>
      <c r="AG3402" s="28" t="n">
        <f aca="false">AF3402*$M3402</f>
        <v>0</v>
      </c>
      <c r="AH3402" s="28"/>
      <c r="AI3402" s="28" t="n">
        <f aca="false">AH3402*$M3402</f>
        <v>0</v>
      </c>
      <c r="AJ3402" s="28" t="n">
        <v>1297</v>
      </c>
      <c r="AK3402" s="28" t="n">
        <v>2594</v>
      </c>
      <c r="AL3402" s="28"/>
      <c r="AM3402" s="28" t="n">
        <f aca="false">AL3402*$M3402</f>
        <v>0</v>
      </c>
      <c r="AN3402" s="28"/>
      <c r="AO3402" s="28" t="n">
        <f aca="false">AN3402*$M3402</f>
        <v>0</v>
      </c>
      <c r="AP3402" s="28"/>
      <c r="AQ3402" s="28" t="n">
        <f aca="false">AP3402*$M3402</f>
        <v>0</v>
      </c>
      <c r="AR3402" s="28"/>
      <c r="AS3402" s="28" t="n">
        <f aca="false">AR3402*$M3402</f>
        <v>0</v>
      </c>
      <c r="AT3402" s="28"/>
      <c r="AU3402" s="28" t="n">
        <f aca="false">AT3402*$M3402</f>
        <v>0</v>
      </c>
      <c r="AV3402" s="28"/>
      <c r="AW3402" s="28" t="n">
        <f aca="false">AV3402*$M3402</f>
        <v>0</v>
      </c>
      <c r="AX3402" s="28"/>
      <c r="AY3402" s="28" t="n">
        <f aca="false">AX3402*$M3402</f>
        <v>0</v>
      </c>
      <c r="AZ3402" s="30" t="n">
        <v>7534</v>
      </c>
      <c r="BA3402" s="11" t="n">
        <v>15068</v>
      </c>
      <c r="BB3402" s="31" t="n">
        <f aca="false">SUM(Q3402,S3402,U3402,W3402,Y3402,AA3402,AC3402,AE3402,AG3402,AI3402,AK3402,AM3402,AO3402,AQ3402,AS3402,AU3402,AW3402,AY3402)</f>
        <v>15068</v>
      </c>
      <c r="BC3402" s="28" t="n">
        <f aca="false">BA3402-BB3402</f>
        <v>0</v>
      </c>
      <c r="BD3402" s="32" t="n">
        <f aca="false">SUM(P3402,R3402,T3402,V3402,X3402,Z3402,AB3402,AD3402,AF3402,AH3402,AJ3402,AL3402,AN3402,AP3402,AR3402,AT3402,AV3402,AX3402)</f>
        <v>7534</v>
      </c>
      <c r="BE3402" s="33" t="n">
        <f aca="false">AZ3402-BD3402</f>
        <v>0</v>
      </c>
      <c r="BF3402" s="34" t="n">
        <f aca="false">BD3402*M3402</f>
        <v>15068</v>
      </c>
      <c r="BG3402" s="35" t="n">
        <f aca="false">BA3402-BF3402</f>
        <v>0</v>
      </c>
      <c r="BH3402" s="19" t="str">
        <f aca="false">IF(BG3402=0,"",IF(BG3402&lt;&gt;BA3402,"erreur de calcul",IF(BD3402&lt;&gt;0,"pas de prix",IF(M3402&lt;&gt; 0,"pas de quantité","pas de prix, ni de quantité"))))</f>
        <v/>
      </c>
      <c r="BI3402" s="19"/>
    </row>
    <row r="3403" customFormat="false" ht="15" hidden="false" customHeight="false" outlineLevel="0" collapsed="false">
      <c r="A3403" s="0" t="n">
        <v>34</v>
      </c>
      <c r="B3403" s="8" t="s">
        <v>24</v>
      </c>
      <c r="C3403" s="9" t="s">
        <v>25</v>
      </c>
      <c r="D3403" s="9" t="s">
        <v>26</v>
      </c>
      <c r="E3403" s="10" t="n">
        <v>1789</v>
      </c>
      <c r="F3403" s="9" t="s">
        <v>27</v>
      </c>
      <c r="G3403" s="9" t="s">
        <v>27</v>
      </c>
      <c r="H3403" s="11" t="n">
        <v>24</v>
      </c>
      <c r="I3403" s="11" t="s">
        <v>324</v>
      </c>
      <c r="J3403" s="14" t="n">
        <v>15</v>
      </c>
      <c r="K3403" s="14"/>
      <c r="L3403" s="16"/>
      <c r="M3403" s="27" t="n">
        <f aca="false">J3403+(K3403/20)+(L3403/240)</f>
        <v>15</v>
      </c>
      <c r="N3403" s="17" t="s">
        <v>64</v>
      </c>
      <c r="O3403" s="11"/>
      <c r="P3403" s="28" t="n">
        <f aca="false">6834/100</f>
        <v>68.34</v>
      </c>
      <c r="Q3403" s="28" t="n">
        <v>1025</v>
      </c>
      <c r="R3403" s="28"/>
      <c r="S3403" s="28" t="n">
        <f aca="false">R3403*$M3403</f>
        <v>0</v>
      </c>
      <c r="T3403" s="28" t="n">
        <f aca="false">834/100</f>
        <v>8.34</v>
      </c>
      <c r="U3403" s="28" t="n">
        <v>125</v>
      </c>
      <c r="V3403" s="28" t="n">
        <f aca="false">197372/100</f>
        <v>1973.72</v>
      </c>
      <c r="W3403" s="28" t="n">
        <v>29606</v>
      </c>
      <c r="X3403" s="28" t="n">
        <f aca="false">2334702/100</f>
        <v>23347.02</v>
      </c>
      <c r="Y3403" s="28" t="n">
        <v>350205</v>
      </c>
      <c r="Z3403" s="28"/>
      <c r="AA3403" s="28" t="n">
        <f aca="false">Z3403*$M3403</f>
        <v>0</v>
      </c>
      <c r="AB3403" s="28" t="n">
        <f aca="false">1417/100</f>
        <v>14.17</v>
      </c>
      <c r="AC3403" s="28" t="n">
        <v>212</v>
      </c>
      <c r="AD3403" s="28"/>
      <c r="AE3403" s="28" t="n">
        <f aca="false">AD3403*$M3403</f>
        <v>0</v>
      </c>
      <c r="AF3403" s="28"/>
      <c r="AG3403" s="28" t="n">
        <f aca="false">AF3403*$M3403</f>
        <v>0</v>
      </c>
      <c r="AH3403" s="28"/>
      <c r="AI3403" s="28" t="n">
        <f aca="false">AH3403*$M3403</f>
        <v>0</v>
      </c>
      <c r="AJ3403" s="28"/>
      <c r="AK3403" s="28" t="n">
        <f aca="false">AJ3403*$M3403</f>
        <v>0</v>
      </c>
      <c r="AL3403" s="28"/>
      <c r="AM3403" s="28" t="n">
        <f aca="false">AL3403*$M3403</f>
        <v>0</v>
      </c>
      <c r="AN3403" s="28"/>
      <c r="AO3403" s="28" t="n">
        <f aca="false">AN3403*$M3403</f>
        <v>0</v>
      </c>
      <c r="AP3403" s="28"/>
      <c r="AQ3403" s="28" t="n">
        <f aca="false">AP3403*$M3403</f>
        <v>0</v>
      </c>
      <c r="AR3403" s="28"/>
      <c r="AS3403" s="28" t="n">
        <f aca="false">AR3403*$M3403</f>
        <v>0</v>
      </c>
      <c r="AT3403" s="28"/>
      <c r="AU3403" s="28" t="n">
        <f aca="false">AT3403*$M3403</f>
        <v>0</v>
      </c>
      <c r="AV3403" s="28"/>
      <c r="AW3403" s="28" t="n">
        <f aca="false">AV3403*$M3403</f>
        <v>0</v>
      </c>
      <c r="AX3403" s="28"/>
      <c r="AY3403" s="28" t="n">
        <f aca="false">AX3403*$M3403</f>
        <v>0</v>
      </c>
      <c r="AZ3403" s="30" t="n">
        <f aca="false">2541159/100</f>
        <v>25411.59</v>
      </c>
      <c r="BA3403" s="11" t="n">
        <v>381173</v>
      </c>
      <c r="BB3403" s="31" t="n">
        <f aca="false">SUM(Q3403,S3403,U3403,W3403,Y3403,AA3403,AC3403,AE3403,AG3403,AI3403,AK3403,AM3403,AO3403,AQ3403,AS3403,AU3403,AW3403,AY3403)</f>
        <v>381173</v>
      </c>
      <c r="BC3403" s="28" t="n">
        <f aca="false">BA3403-BB3403</f>
        <v>0</v>
      </c>
      <c r="BD3403" s="32" t="n">
        <f aca="false">SUM(P3403,R3403,T3403,V3403,X3403,Z3403,AB3403,AD3403,AF3403,AH3403,AJ3403,AL3403,AN3403,AP3403,AR3403,AT3403,AV3403,AX3403)</f>
        <v>25411.59</v>
      </c>
      <c r="BE3403" s="33" t="n">
        <f aca="false">AZ3403-BD3403</f>
        <v>0</v>
      </c>
      <c r="BF3403" s="34" t="n">
        <f aca="false">BD3403*M3403</f>
        <v>381173.85</v>
      </c>
      <c r="BG3403" s="35" t="n">
        <f aca="false">BA3403-BF3403</f>
        <v>-0.849999999976717</v>
      </c>
      <c r="BH3403" s="19" t="str">
        <f aca="false">IF(BG3403=0,"",IF(BG3403&lt;&gt;BA3403,"erreur de calcul",IF(BD3403&lt;&gt;0,"pas de prix",IF(M3403&lt;&gt; 0,"pas de quantité","pas de prix, ni de quantité"))))</f>
        <v>erreur de calcul</v>
      </c>
      <c r="BI3403" s="19"/>
    </row>
    <row r="3404" customFormat="false" ht="15" hidden="false" customHeight="false" outlineLevel="0" collapsed="false">
      <c r="A3404" s="0" t="n">
        <v>35</v>
      </c>
      <c r="B3404" s="8" t="s">
        <v>24</v>
      </c>
      <c r="C3404" s="9" t="s">
        <v>25</v>
      </c>
      <c r="D3404" s="9" t="s">
        <v>26</v>
      </c>
      <c r="E3404" s="10" t="n">
        <v>1789</v>
      </c>
      <c r="F3404" s="9" t="s">
        <v>27</v>
      </c>
      <c r="G3404" s="9" t="s">
        <v>27</v>
      </c>
      <c r="H3404" s="11" t="n">
        <v>24</v>
      </c>
      <c r="I3404" s="11" t="s">
        <v>325</v>
      </c>
      <c r="J3404" s="14" t="n">
        <v>25</v>
      </c>
      <c r="K3404" s="14"/>
      <c r="L3404" s="16"/>
      <c r="M3404" s="27" t="n">
        <f aca="false">J3404+(K3404/20)+(L3404/240)</f>
        <v>25</v>
      </c>
      <c r="N3404" s="17" t="s">
        <v>64</v>
      </c>
      <c r="O3404" s="11"/>
      <c r="P3404" s="28"/>
      <c r="Q3404" s="28" t="n">
        <f aca="false">P3404*$M3404</f>
        <v>0</v>
      </c>
      <c r="R3404" s="28"/>
      <c r="S3404" s="28" t="n">
        <f aca="false">R3404*$M3404</f>
        <v>0</v>
      </c>
      <c r="T3404" s="28"/>
      <c r="U3404" s="28" t="n">
        <f aca="false">T3404*$M3404</f>
        <v>0</v>
      </c>
      <c r="V3404" s="28"/>
      <c r="W3404" s="28" t="n">
        <f aca="false">V3404*$M3404</f>
        <v>0</v>
      </c>
      <c r="X3404" s="28" t="n">
        <f aca="false">4971/100</f>
        <v>49.71</v>
      </c>
      <c r="Y3404" s="28" t="n">
        <v>1243</v>
      </c>
      <c r="Z3404" s="28" t="n">
        <f aca="false">14812/100</f>
        <v>148.12</v>
      </c>
      <c r="AA3404" s="28" t="n">
        <v>3703</v>
      </c>
      <c r="AB3404" s="28"/>
      <c r="AC3404" s="28" t="n">
        <f aca="false">AB3404*$M3404</f>
        <v>0</v>
      </c>
      <c r="AD3404" s="28"/>
      <c r="AE3404" s="28" t="n">
        <f aca="false">AD3404*$M3404</f>
        <v>0</v>
      </c>
      <c r="AF3404" s="28"/>
      <c r="AG3404" s="28" t="n">
        <f aca="false">AF3404*$M3404</f>
        <v>0</v>
      </c>
      <c r="AH3404" s="28"/>
      <c r="AI3404" s="28" t="n">
        <f aca="false">AH3404*$M3404</f>
        <v>0</v>
      </c>
      <c r="AJ3404" s="28"/>
      <c r="AK3404" s="28" t="n">
        <f aca="false">AJ3404*$M3404</f>
        <v>0</v>
      </c>
      <c r="AL3404" s="28"/>
      <c r="AM3404" s="28" t="n">
        <f aca="false">AL3404*$M3404</f>
        <v>0</v>
      </c>
      <c r="AN3404" s="28"/>
      <c r="AO3404" s="28" t="n">
        <f aca="false">AN3404*$M3404</f>
        <v>0</v>
      </c>
      <c r="AP3404" s="28"/>
      <c r="AQ3404" s="28" t="n">
        <f aca="false">AP3404*$M3404</f>
        <v>0</v>
      </c>
      <c r="AR3404" s="28"/>
      <c r="AS3404" s="28" t="n">
        <f aca="false">AR3404*$M3404</f>
        <v>0</v>
      </c>
      <c r="AT3404" s="28"/>
      <c r="AU3404" s="28" t="n">
        <f aca="false">AT3404*$M3404</f>
        <v>0</v>
      </c>
      <c r="AV3404" s="28"/>
      <c r="AW3404" s="28" t="n">
        <f aca="false">AV3404*$M3404</f>
        <v>0</v>
      </c>
      <c r="AX3404" s="28"/>
      <c r="AY3404" s="28" t="n">
        <f aca="false">AX3404*$M3404</f>
        <v>0</v>
      </c>
      <c r="AZ3404" s="30" t="n">
        <f aca="false">19783/100</f>
        <v>197.83</v>
      </c>
      <c r="BA3404" s="11" t="n">
        <v>4946</v>
      </c>
      <c r="BB3404" s="31" t="n">
        <f aca="false">SUM(Q3404,S3404,U3404,W3404,Y3404,AA3404,AC3404,AE3404,AG3404,AI3404,AK3404,AM3404,AO3404,AQ3404,AS3404,AU3404,AW3404,AY3404)</f>
        <v>4946</v>
      </c>
      <c r="BC3404" s="28" t="n">
        <f aca="false">BA3404-BB3404</f>
        <v>0</v>
      </c>
      <c r="BD3404" s="32" t="n">
        <f aca="false">SUM(P3404,R3404,T3404,V3404,X3404,Z3404,AB3404,AD3404,AF3404,AH3404,AJ3404,AL3404,AN3404,AP3404,AR3404,AT3404,AV3404,AX3404)</f>
        <v>197.83</v>
      </c>
      <c r="BE3404" s="33" t="n">
        <f aca="false">AZ3404-BD3404</f>
        <v>0</v>
      </c>
      <c r="BF3404" s="34" t="n">
        <f aca="false">BD3404*M3404</f>
        <v>4945.75</v>
      </c>
      <c r="BG3404" s="35" t="n">
        <f aca="false">BA3404-BF3404</f>
        <v>0.25</v>
      </c>
      <c r="BH3404" s="19" t="str">
        <f aca="false">IF(BG3404=0,"",IF(BG3404&lt;&gt;BA3404,"erreur de calcul",IF(BD3404&lt;&gt;0,"pas de prix",IF(M3404&lt;&gt; 0,"pas de quantité","pas de prix, ni de quantité"))))</f>
        <v>erreur de calcul</v>
      </c>
      <c r="BI3404" s="19"/>
    </row>
    <row r="3405" customFormat="false" ht="15" hidden="false" customHeight="false" outlineLevel="0" collapsed="false">
      <c r="A3405" s="0" t="n">
        <v>36</v>
      </c>
      <c r="B3405" s="8" t="s">
        <v>24</v>
      </c>
      <c r="C3405" s="9" t="s">
        <v>25</v>
      </c>
      <c r="D3405" s="9" t="s">
        <v>26</v>
      </c>
      <c r="E3405" s="10" t="n">
        <v>1789</v>
      </c>
      <c r="F3405" s="9" t="s">
        <v>27</v>
      </c>
      <c r="G3405" s="9" t="s">
        <v>27</v>
      </c>
      <c r="H3405" s="11" t="n">
        <v>24</v>
      </c>
      <c r="I3405" s="11" t="s">
        <v>326</v>
      </c>
      <c r="J3405" s="14"/>
      <c r="K3405" s="14"/>
      <c r="L3405" s="16"/>
      <c r="M3405" s="27" t="n">
        <f aca="false">J3405+(K3405/20)+(L3405/240)</f>
        <v>0</v>
      </c>
      <c r="N3405" s="17"/>
      <c r="O3405" s="11" t="s">
        <v>77</v>
      </c>
      <c r="P3405" s="28"/>
      <c r="Q3405" s="28" t="n">
        <v>84</v>
      </c>
      <c r="R3405" s="28"/>
      <c r="S3405" s="28" t="n">
        <v>80</v>
      </c>
      <c r="T3405" s="28"/>
      <c r="U3405" s="28" t="n">
        <v>115</v>
      </c>
      <c r="V3405" s="28"/>
      <c r="W3405" s="28" t="n">
        <f aca="false">V3405*$M3405</f>
        <v>0</v>
      </c>
      <c r="X3405" s="28"/>
      <c r="Y3405" s="28" t="n">
        <v>82</v>
      </c>
      <c r="Z3405" s="28"/>
      <c r="AA3405" s="28" t="n">
        <v>32</v>
      </c>
      <c r="AB3405" s="28"/>
      <c r="AC3405" s="28" t="n">
        <v>82</v>
      </c>
      <c r="AD3405" s="28"/>
      <c r="AE3405" s="28" t="n">
        <f aca="false">AD3405*$M3405</f>
        <v>0</v>
      </c>
      <c r="AF3405" s="28"/>
      <c r="AG3405" s="28" t="n">
        <v>129</v>
      </c>
      <c r="AH3405" s="28"/>
      <c r="AI3405" s="28" t="n">
        <f aca="false">AH3405*$M3405</f>
        <v>0</v>
      </c>
      <c r="AJ3405" s="28"/>
      <c r="AK3405" s="28" t="n">
        <v>79</v>
      </c>
      <c r="AL3405" s="28"/>
      <c r="AM3405" s="28" t="n">
        <v>106</v>
      </c>
      <c r="AN3405" s="28"/>
      <c r="AO3405" s="28" t="n">
        <f aca="false">AN3405*$M3405</f>
        <v>0</v>
      </c>
      <c r="AP3405" s="28"/>
      <c r="AQ3405" s="28" t="n">
        <f aca="false">AP3405*$M3405</f>
        <v>0</v>
      </c>
      <c r="AR3405" s="28"/>
      <c r="AS3405" s="28" t="n">
        <f aca="false">AR3405*$M3405</f>
        <v>0</v>
      </c>
      <c r="AT3405" s="28"/>
      <c r="AU3405" s="28" t="n">
        <f aca="false">AT3405*$M3405</f>
        <v>0</v>
      </c>
      <c r="AV3405" s="28"/>
      <c r="AW3405" s="28" t="n">
        <f aca="false">AV3405*$M3405</f>
        <v>0</v>
      </c>
      <c r="AX3405" s="28"/>
      <c r="AY3405" s="28" t="n">
        <f aca="false">AX3405*$M3405</f>
        <v>0</v>
      </c>
      <c r="AZ3405" s="30"/>
      <c r="BA3405" s="11" t="n">
        <v>789</v>
      </c>
      <c r="BB3405" s="31" t="n">
        <f aca="false">SUM(Q3405,S3405,U3405,W3405,Y3405,AA3405,AC3405,AE3405,AG3405,AI3405,AK3405,AM3405,AO3405,AQ3405,AS3405,AU3405,AW3405,AY3405)</f>
        <v>789</v>
      </c>
      <c r="BC3405" s="28" t="n">
        <f aca="false">BA3405-BB3405</f>
        <v>0</v>
      </c>
      <c r="BD3405" s="32" t="n">
        <f aca="false">SUM(P3405,R3405,T3405,V3405,X3405,Z3405,AB3405,AD3405,AF3405,AH3405,AJ3405,AL3405,AN3405,AP3405,AR3405,AT3405,AV3405,AX3405)</f>
        <v>0</v>
      </c>
      <c r="BE3405" s="33" t="n">
        <f aca="false">AZ3405-BD3405</f>
        <v>0</v>
      </c>
      <c r="BF3405" s="34" t="n">
        <f aca="false">BD3405*M3405</f>
        <v>0</v>
      </c>
      <c r="BG3405" s="35" t="n">
        <f aca="false">BA3405-BF3405</f>
        <v>789</v>
      </c>
      <c r="BH3405" s="19" t="str">
        <f aca="false">IF(BG3405=0,"",IF(BG3405&lt;&gt;BA3405,"erreur de calcul",IF(BD3405&lt;&gt;0,"pas de prix",IF(M3405&lt;&gt; 0,"pas de quantité","pas de prix, ni de quantité"))))</f>
        <v>pas de prix, ni de quantité</v>
      </c>
      <c r="BI3405" s="19"/>
    </row>
    <row r="3406" customFormat="false" ht="15" hidden="false" customHeight="false" outlineLevel="0" collapsed="false">
      <c r="A3406" s="0" t="n">
        <v>37</v>
      </c>
      <c r="B3406" s="8" t="s">
        <v>24</v>
      </c>
      <c r="C3406" s="9" t="s">
        <v>25</v>
      </c>
      <c r="D3406" s="9" t="s">
        <v>26</v>
      </c>
      <c r="E3406" s="10" t="n">
        <v>1789</v>
      </c>
      <c r="F3406" s="9" t="s">
        <v>27</v>
      </c>
      <c r="G3406" s="9" t="s">
        <v>27</v>
      </c>
      <c r="H3406" s="11" t="n">
        <v>24</v>
      </c>
      <c r="I3406" s="11" t="s">
        <v>327</v>
      </c>
      <c r="J3406" s="14"/>
      <c r="K3406" s="14" t="n">
        <v>20</v>
      </c>
      <c r="L3406" s="16"/>
      <c r="M3406" s="27" t="n">
        <f aca="false">J3406+(K3406/20)+(L3406/240)</f>
        <v>1</v>
      </c>
      <c r="N3406" s="17" t="s">
        <v>66</v>
      </c>
      <c r="O3406" s="11"/>
      <c r="P3406" s="28"/>
      <c r="Q3406" s="28" t="n">
        <f aca="false">P3406*$M3406</f>
        <v>0</v>
      </c>
      <c r="R3406" s="28"/>
      <c r="S3406" s="28" t="n">
        <f aca="false">R3406*$M3406</f>
        <v>0</v>
      </c>
      <c r="T3406" s="28"/>
      <c r="U3406" s="28" t="n">
        <f aca="false">T3406*$M3406</f>
        <v>0</v>
      </c>
      <c r="V3406" s="28" t="n">
        <v>1705</v>
      </c>
      <c r="W3406" s="28" t="n">
        <v>1705</v>
      </c>
      <c r="X3406" s="28"/>
      <c r="Y3406" s="28" t="n">
        <f aca="false">X3406*$M3406</f>
        <v>0</v>
      </c>
      <c r="Z3406" s="28"/>
      <c r="AA3406" s="28" t="n">
        <f aca="false">Z3406*$M3406</f>
        <v>0</v>
      </c>
      <c r="AB3406" s="28" t="n">
        <v>226</v>
      </c>
      <c r="AC3406" s="28" t="n">
        <v>226</v>
      </c>
      <c r="AD3406" s="28"/>
      <c r="AE3406" s="28" t="n">
        <f aca="false">AD3406*$M3406</f>
        <v>0</v>
      </c>
      <c r="AF3406" s="28"/>
      <c r="AG3406" s="28" t="n">
        <f aca="false">AF3406*$M3406</f>
        <v>0</v>
      </c>
      <c r="AH3406" s="28"/>
      <c r="AI3406" s="28" t="n">
        <f aca="false">AH3406*$M3406</f>
        <v>0</v>
      </c>
      <c r="AJ3406" s="28"/>
      <c r="AK3406" s="28" t="n">
        <f aca="false">AJ3406*$M3406</f>
        <v>0</v>
      </c>
      <c r="AL3406" s="28"/>
      <c r="AM3406" s="28" t="n">
        <f aca="false">AL3406*$M3406</f>
        <v>0</v>
      </c>
      <c r="AN3406" s="28"/>
      <c r="AO3406" s="28" t="n">
        <f aca="false">AN3406*$M3406</f>
        <v>0</v>
      </c>
      <c r="AP3406" s="28"/>
      <c r="AQ3406" s="28" t="n">
        <f aca="false">AP3406*$M3406</f>
        <v>0</v>
      </c>
      <c r="AR3406" s="28"/>
      <c r="AS3406" s="28" t="n">
        <f aca="false">AR3406*$M3406</f>
        <v>0</v>
      </c>
      <c r="AT3406" s="28"/>
      <c r="AU3406" s="28" t="n">
        <f aca="false">AT3406*$M3406</f>
        <v>0</v>
      </c>
      <c r="AV3406" s="28"/>
      <c r="AW3406" s="28" t="n">
        <f aca="false">AV3406*$M3406</f>
        <v>0</v>
      </c>
      <c r="AX3406" s="28"/>
      <c r="AY3406" s="28" t="n">
        <f aca="false">AX3406*$M3406</f>
        <v>0</v>
      </c>
      <c r="AZ3406" s="30" t="n">
        <v>1931</v>
      </c>
      <c r="BA3406" s="11" t="n">
        <v>1931</v>
      </c>
      <c r="BB3406" s="31" t="n">
        <f aca="false">SUM(Q3406,S3406,U3406,W3406,Y3406,AA3406,AC3406,AE3406,AG3406,AI3406,AK3406,AM3406,AO3406,AQ3406,AS3406,AU3406,AW3406,AY3406)</f>
        <v>1931</v>
      </c>
      <c r="BC3406" s="28" t="n">
        <f aca="false">BA3406-BB3406</f>
        <v>0</v>
      </c>
      <c r="BD3406" s="32" t="n">
        <f aca="false">SUM(P3406,R3406,T3406,V3406,X3406,Z3406,AB3406,AD3406,AF3406,AH3406,AJ3406,AL3406,AN3406,AP3406,AR3406,AT3406,AV3406,AX3406)</f>
        <v>1931</v>
      </c>
      <c r="BE3406" s="33" t="n">
        <f aca="false">AZ3406-BD3406</f>
        <v>0</v>
      </c>
      <c r="BF3406" s="34" t="n">
        <f aca="false">BD3406*M3406</f>
        <v>1931</v>
      </c>
      <c r="BG3406" s="35" t="n">
        <f aca="false">BA3406-BF3406</f>
        <v>0</v>
      </c>
      <c r="BH3406" s="19" t="str">
        <f aca="false">IF(BG3406=0,"",IF(BG3406&lt;&gt;BA3406,"erreur de calcul",IF(BD3406&lt;&gt;0,"pas de prix",IF(M3406&lt;&gt; 0,"pas de quantité","pas de prix, ni de quantité"))))</f>
        <v/>
      </c>
      <c r="BI3406" s="19"/>
    </row>
    <row r="3407" customFormat="false" ht="15" hidden="false" customHeight="false" outlineLevel="0" collapsed="false">
      <c r="A3407" s="0" t="n">
        <v>38</v>
      </c>
      <c r="B3407" s="8" t="s">
        <v>24</v>
      </c>
      <c r="C3407" s="9" t="s">
        <v>25</v>
      </c>
      <c r="D3407" s="9" t="s">
        <v>26</v>
      </c>
      <c r="E3407" s="10" t="n">
        <v>1789</v>
      </c>
      <c r="F3407" s="9" t="s">
        <v>27</v>
      </c>
      <c r="G3407" s="9" t="s">
        <v>27</v>
      </c>
      <c r="H3407" s="11" t="n">
        <v>24</v>
      </c>
      <c r="I3407" s="11" t="s">
        <v>328</v>
      </c>
      <c r="J3407" s="14" t="n">
        <v>208</v>
      </c>
      <c r="K3407" s="14"/>
      <c r="L3407" s="16"/>
      <c r="M3407" s="27" t="n">
        <f aca="false">J3407+(K3407/20)+(L3407/240)</f>
        <v>208</v>
      </c>
      <c r="N3407" s="17" t="s">
        <v>64</v>
      </c>
      <c r="O3407" s="11" t="s">
        <v>277</v>
      </c>
      <c r="P3407" s="28"/>
      <c r="Q3407" s="28" t="n">
        <f aca="false">P3407*$M3407</f>
        <v>0</v>
      </c>
      <c r="R3407" s="28"/>
      <c r="S3407" s="28" t="n">
        <f aca="false">R3407*$M3407</f>
        <v>0</v>
      </c>
      <c r="T3407" s="28" t="n">
        <f aca="false">536/100</f>
        <v>5.36</v>
      </c>
      <c r="U3407" s="28" t="n">
        <v>1115</v>
      </c>
      <c r="V3407" s="28" t="n">
        <f aca="false">1983/100</f>
        <v>19.83</v>
      </c>
      <c r="W3407" s="28" t="n">
        <v>4125</v>
      </c>
      <c r="X3407" s="28" t="n">
        <f aca="false">37641/100</f>
        <v>376.41</v>
      </c>
      <c r="Y3407" s="28" t="n">
        <v>78293</v>
      </c>
      <c r="Z3407" s="28" t="n">
        <f aca="false">1281/100</f>
        <v>12.81</v>
      </c>
      <c r="AA3407" s="28" t="n">
        <v>2664</v>
      </c>
      <c r="AB3407" s="28"/>
      <c r="AC3407" s="28" t="n">
        <f aca="false">AB3407*$M3407</f>
        <v>0</v>
      </c>
      <c r="AD3407" s="28"/>
      <c r="AE3407" s="28" t="n">
        <f aca="false">AD3407*$M3407</f>
        <v>0</v>
      </c>
      <c r="AF3407" s="28"/>
      <c r="AG3407" s="28" t="n">
        <f aca="false">AF3407*$M3407</f>
        <v>0</v>
      </c>
      <c r="AH3407" s="28"/>
      <c r="AI3407" s="28" t="n">
        <f aca="false">AH3407*$M3407</f>
        <v>0</v>
      </c>
      <c r="AJ3407" s="28" t="n">
        <f aca="false">20789/100</f>
        <v>207.89</v>
      </c>
      <c r="AK3407" s="28" t="n">
        <v>43241</v>
      </c>
      <c r="AL3407" s="28" t="n">
        <f aca="false">2470/100</f>
        <v>24.7</v>
      </c>
      <c r="AM3407" s="28" t="n">
        <v>5138</v>
      </c>
      <c r="AN3407" s="28"/>
      <c r="AO3407" s="28" t="n">
        <f aca="false">AN3407*$M3407</f>
        <v>0</v>
      </c>
      <c r="AP3407" s="28"/>
      <c r="AQ3407" s="28" t="n">
        <f aca="false">AP3407*$M3407</f>
        <v>0</v>
      </c>
      <c r="AR3407" s="28"/>
      <c r="AS3407" s="28" t="n">
        <f aca="false">AR3407*$M3407</f>
        <v>0</v>
      </c>
      <c r="AT3407" s="28"/>
      <c r="AU3407" s="28" t="n">
        <f aca="false">AT3407*$M3407</f>
        <v>0</v>
      </c>
      <c r="AV3407" s="28"/>
      <c r="AW3407" s="28" t="n">
        <f aca="false">AV3407*$M3407</f>
        <v>0</v>
      </c>
      <c r="AX3407" s="28"/>
      <c r="AY3407" s="28" t="n">
        <f aca="false">AX3407*$M3407</f>
        <v>0</v>
      </c>
      <c r="AZ3407" s="30" t="n">
        <f aca="false">64700/100</f>
        <v>647</v>
      </c>
      <c r="BA3407" s="11" t="n">
        <v>134576</v>
      </c>
      <c r="BB3407" s="31" t="n">
        <f aca="false">SUM(Q3407,S3407,U3407,W3407,Y3407,AA3407,AC3407,AE3407,AG3407,AI3407,AK3407,AM3407,AO3407,AQ3407,AS3407,AU3407,AW3407,AY3407)</f>
        <v>134576</v>
      </c>
      <c r="BC3407" s="28" t="n">
        <f aca="false">BA3407-BB3407</f>
        <v>0</v>
      </c>
      <c r="BD3407" s="32" t="n">
        <f aca="false">SUM(P3407,R3407,T3407,V3407,X3407,Z3407,AB3407,AD3407,AF3407,AH3407,AJ3407,AL3407,AN3407,AP3407,AR3407,AT3407,AV3407,AX3407)</f>
        <v>647</v>
      </c>
      <c r="BE3407" s="33" t="n">
        <f aca="false">AZ3407-BD3407</f>
        <v>0</v>
      </c>
      <c r="BF3407" s="34" t="n">
        <f aca="false">BD3407*M3407</f>
        <v>134576</v>
      </c>
      <c r="BG3407" s="35" t="n">
        <f aca="false">BA3407-BF3407</f>
        <v>0</v>
      </c>
      <c r="BH3407" s="19" t="str">
        <f aca="false">IF(BG3407=0,"",IF(BG3407&lt;&gt;BA3407,"erreur de calcul",IF(BD3407&lt;&gt;0,"pas de prix",IF(M3407&lt;&gt; 0,"pas de quantité","pas de prix, ni de quantité"))))</f>
        <v/>
      </c>
      <c r="BI3407" s="19"/>
    </row>
    <row r="3408" customFormat="false" ht="15" hidden="false" customHeight="false" outlineLevel="0" collapsed="false">
      <c r="A3408" s="0" t="n">
        <v>1</v>
      </c>
      <c r="B3408" s="8" t="s">
        <v>24</v>
      </c>
      <c r="C3408" s="9" t="s">
        <v>25</v>
      </c>
      <c r="D3408" s="9" t="s">
        <v>26</v>
      </c>
      <c r="E3408" s="10" t="n">
        <v>1789</v>
      </c>
      <c r="F3408" s="9" t="s">
        <v>27</v>
      </c>
      <c r="G3408" s="9" t="s">
        <v>27</v>
      </c>
      <c r="H3408" s="11" t="n">
        <v>25</v>
      </c>
      <c r="I3408" s="11" t="s">
        <v>329</v>
      </c>
      <c r="J3408" s="14" t="n">
        <v>30</v>
      </c>
      <c r="K3408" s="14"/>
      <c r="L3408" s="16"/>
      <c r="M3408" s="27" t="n">
        <f aca="false">J3408+(K3408/20)+(L3408/240)</f>
        <v>30</v>
      </c>
      <c r="N3408" s="17" t="s">
        <v>64</v>
      </c>
      <c r="O3408" s="11"/>
      <c r="P3408" s="28" t="n">
        <f aca="false">888/100</f>
        <v>8.88</v>
      </c>
      <c r="Q3408" s="28" t="n">
        <v>266</v>
      </c>
      <c r="R3408" s="28"/>
      <c r="S3408" s="28" t="n">
        <f aca="false">R3408*$M3408</f>
        <v>0</v>
      </c>
      <c r="T3408" s="28" t="n">
        <f aca="false">1151/100</f>
        <v>11.51</v>
      </c>
      <c r="U3408" s="28" t="n">
        <v>345</v>
      </c>
      <c r="V3408" s="28"/>
      <c r="W3408" s="28" t="n">
        <f aca="false">V3408*$M3408</f>
        <v>0</v>
      </c>
      <c r="X3408" s="28"/>
      <c r="Y3408" s="28" t="n">
        <f aca="false">X3408*$M3408</f>
        <v>0</v>
      </c>
      <c r="Z3408" s="28"/>
      <c r="AA3408" s="28" t="n">
        <f aca="false">Z3408*$M3408</f>
        <v>0</v>
      </c>
      <c r="AB3408" s="28"/>
      <c r="AC3408" s="28" t="n">
        <f aca="false">AB3408*$M3408</f>
        <v>0</v>
      </c>
      <c r="AD3408" s="28"/>
      <c r="AE3408" s="28" t="n">
        <f aca="false">AD3408*$M3408</f>
        <v>0</v>
      </c>
      <c r="AF3408" s="28"/>
      <c r="AG3408" s="28" t="n">
        <f aca="false">AF3408*$M3408</f>
        <v>0</v>
      </c>
      <c r="AH3408" s="28"/>
      <c r="AI3408" s="28" t="n">
        <f aca="false">AH3408*$M3408</f>
        <v>0</v>
      </c>
      <c r="AJ3408" s="28"/>
      <c r="AK3408" s="28" t="n">
        <f aca="false">AJ3408*$M3408</f>
        <v>0</v>
      </c>
      <c r="AL3408" s="28"/>
      <c r="AM3408" s="28" t="n">
        <f aca="false">AL3408*$M3408</f>
        <v>0</v>
      </c>
      <c r="AN3408" s="28"/>
      <c r="AO3408" s="28" t="n">
        <f aca="false">AN3408*$M3408</f>
        <v>0</v>
      </c>
      <c r="AP3408" s="28"/>
      <c r="AQ3408" s="28" t="n">
        <f aca="false">AP3408*$M3408</f>
        <v>0</v>
      </c>
      <c r="AR3408" s="28"/>
      <c r="AS3408" s="28" t="n">
        <f aca="false">AR3408*$M3408</f>
        <v>0</v>
      </c>
      <c r="AT3408" s="28"/>
      <c r="AU3408" s="28" t="n">
        <f aca="false">AT3408*$M3408</f>
        <v>0</v>
      </c>
      <c r="AV3408" s="28"/>
      <c r="AW3408" s="28" t="n">
        <f aca="false">AV3408*$M3408</f>
        <v>0</v>
      </c>
      <c r="AX3408" s="28"/>
      <c r="AY3408" s="28" t="n">
        <f aca="false">AX3408*$M3408</f>
        <v>0</v>
      </c>
      <c r="AZ3408" s="30" t="n">
        <f aca="false">2039/100</f>
        <v>20.39</v>
      </c>
      <c r="BA3408" s="11" t="n">
        <v>611</v>
      </c>
      <c r="BB3408" s="31" t="n">
        <f aca="false">SUM(Q3408,S3408,U3408,W3408,Y3408,AA3408,AC3408,AE3408,AG3408,AI3408,AK3408,AM3408,AO3408,AQ3408,AS3408,AU3408,AW3408,AY3408)</f>
        <v>611</v>
      </c>
      <c r="BC3408" s="28" t="n">
        <f aca="false">BA3408-BB3408</f>
        <v>0</v>
      </c>
      <c r="BD3408" s="32" t="n">
        <f aca="false">SUM(P3408,R3408,T3408,V3408,X3408,Z3408,AB3408,AD3408,AF3408,AH3408,AJ3408,AL3408,AN3408,AP3408,AR3408,AT3408,AV3408,AX3408)</f>
        <v>20.39</v>
      </c>
      <c r="BE3408" s="33" t="n">
        <f aca="false">AZ3408-BD3408</f>
        <v>0</v>
      </c>
      <c r="BF3408" s="34" t="n">
        <f aca="false">BD3408*M3408</f>
        <v>611.7</v>
      </c>
      <c r="BG3408" s="35" t="n">
        <f aca="false">BA3408-BF3408</f>
        <v>-0.700000000000046</v>
      </c>
      <c r="BH3408" s="19" t="str">
        <f aca="false">IF(BG3408=0,"",IF(BG3408&lt;&gt;BA3408,"erreur de calcul",IF(BD3408&lt;&gt;0,"pas de prix",IF(M3408&lt;&gt; 0,"pas de quantité","pas de prix, ni de quantité"))))</f>
        <v>erreur de calcul</v>
      </c>
      <c r="BI3408" s="19"/>
    </row>
    <row r="3409" customFormat="false" ht="15" hidden="false" customHeight="false" outlineLevel="0" collapsed="false">
      <c r="A3409" s="0" t="n">
        <v>2</v>
      </c>
      <c r="B3409" s="8" t="s">
        <v>24</v>
      </c>
      <c r="C3409" s="9" t="s">
        <v>25</v>
      </c>
      <c r="D3409" s="9" t="s">
        <v>26</v>
      </c>
      <c r="E3409" s="10" t="n">
        <v>1789</v>
      </c>
      <c r="F3409" s="9" t="s">
        <v>27</v>
      </c>
      <c r="G3409" s="9" t="s">
        <v>27</v>
      </c>
      <c r="H3409" s="11" t="n">
        <v>25</v>
      </c>
      <c r="I3409" s="11" t="s">
        <v>330</v>
      </c>
      <c r="J3409" s="14"/>
      <c r="K3409" s="14" t="n">
        <v>20</v>
      </c>
      <c r="L3409" s="16"/>
      <c r="M3409" s="27" t="n">
        <f aca="false">J3409+(K3409/20)+(L3409/240)</f>
        <v>1</v>
      </c>
      <c r="N3409" s="17" t="s">
        <v>66</v>
      </c>
      <c r="O3409" s="11"/>
      <c r="P3409" s="28"/>
      <c r="Q3409" s="28" t="n">
        <f aca="false">P3409*$M3409</f>
        <v>0</v>
      </c>
      <c r="R3409" s="28"/>
      <c r="S3409" s="28" t="n">
        <f aca="false">R3409*$M3409</f>
        <v>0</v>
      </c>
      <c r="T3409" s="28"/>
      <c r="U3409" s="28" t="n">
        <f aca="false">T3409*$M3409</f>
        <v>0</v>
      </c>
      <c r="V3409" s="28"/>
      <c r="W3409" s="28" t="n">
        <f aca="false">V3409*$M3409</f>
        <v>0</v>
      </c>
      <c r="X3409" s="28"/>
      <c r="Y3409" s="28" t="n">
        <f aca="false">X3409*$M3409</f>
        <v>0</v>
      </c>
      <c r="Z3409" s="28"/>
      <c r="AA3409" s="28" t="n">
        <f aca="false">Z3409*$M3409</f>
        <v>0</v>
      </c>
      <c r="AB3409" s="28"/>
      <c r="AC3409" s="28" t="n">
        <f aca="false">AB3409*$M3409</f>
        <v>0</v>
      </c>
      <c r="AD3409" s="28"/>
      <c r="AE3409" s="28" t="n">
        <f aca="false">AD3409*$M3409</f>
        <v>0</v>
      </c>
      <c r="AF3409" s="28"/>
      <c r="AG3409" s="28" t="n">
        <f aca="false">AF3409*$M3409</f>
        <v>0</v>
      </c>
      <c r="AH3409" s="28"/>
      <c r="AI3409" s="28" t="n">
        <f aca="false">AH3409*$M3409</f>
        <v>0</v>
      </c>
      <c r="AJ3409" s="28" t="n">
        <v>4241</v>
      </c>
      <c r="AK3409" s="28" t="n">
        <v>4241</v>
      </c>
      <c r="AL3409" s="28"/>
      <c r="AM3409" s="28" t="n">
        <f aca="false">AL3409*$M3409</f>
        <v>0</v>
      </c>
      <c r="AN3409" s="28"/>
      <c r="AO3409" s="28" t="n">
        <f aca="false">AN3409*$M3409</f>
        <v>0</v>
      </c>
      <c r="AP3409" s="28"/>
      <c r="AQ3409" s="28" t="n">
        <f aca="false">AP3409*$M3409</f>
        <v>0</v>
      </c>
      <c r="AR3409" s="28"/>
      <c r="AS3409" s="28" t="n">
        <f aca="false">AR3409*$M3409</f>
        <v>0</v>
      </c>
      <c r="AT3409" s="28"/>
      <c r="AU3409" s="28" t="n">
        <f aca="false">AT3409*$M3409</f>
        <v>0</v>
      </c>
      <c r="AV3409" s="28"/>
      <c r="AW3409" s="28" t="n">
        <f aca="false">AV3409*$M3409</f>
        <v>0</v>
      </c>
      <c r="AX3409" s="28"/>
      <c r="AY3409" s="28" t="n">
        <f aca="false">AX3409*$M3409</f>
        <v>0</v>
      </c>
      <c r="AZ3409" s="30" t="n">
        <v>4241</v>
      </c>
      <c r="BA3409" s="11" t="n">
        <v>4241</v>
      </c>
      <c r="BB3409" s="31" t="n">
        <f aca="false">SUM(Q3409,S3409,U3409,W3409,Y3409,AA3409,AC3409,AE3409,AG3409,AI3409,AK3409,AM3409,AO3409,AQ3409,AS3409,AU3409,AW3409,AY3409)</f>
        <v>4241</v>
      </c>
      <c r="BC3409" s="28" t="n">
        <f aca="false">BA3409-BB3409</f>
        <v>0</v>
      </c>
      <c r="BD3409" s="32" t="n">
        <f aca="false">SUM(P3409,R3409,T3409,V3409,X3409,Z3409,AB3409,AD3409,AF3409,AH3409,AJ3409,AL3409,AN3409,AP3409,AR3409,AT3409,AV3409,AX3409)</f>
        <v>4241</v>
      </c>
      <c r="BE3409" s="33" t="n">
        <f aca="false">AZ3409-BD3409</f>
        <v>0</v>
      </c>
      <c r="BF3409" s="34" t="n">
        <f aca="false">BD3409*M3409</f>
        <v>4241</v>
      </c>
      <c r="BG3409" s="35" t="n">
        <f aca="false">BA3409-BF3409</f>
        <v>0</v>
      </c>
      <c r="BH3409" s="19" t="str">
        <f aca="false">IF(BG3409=0,"",IF(BG3409&lt;&gt;BA3409,"erreur de calcul",IF(BD3409&lt;&gt;0,"pas de prix",IF(M3409&lt;&gt; 0,"pas de quantité","pas de prix, ni de quantité"))))</f>
        <v/>
      </c>
      <c r="BI3409" s="19"/>
    </row>
    <row r="3410" customFormat="false" ht="15" hidden="false" customHeight="false" outlineLevel="0" collapsed="false">
      <c r="A3410" s="0" t="n">
        <v>3</v>
      </c>
      <c r="B3410" s="8" t="s">
        <v>24</v>
      </c>
      <c r="C3410" s="9" t="s">
        <v>25</v>
      </c>
      <c r="D3410" s="9" t="s">
        <v>26</v>
      </c>
      <c r="E3410" s="10" t="n">
        <v>1789</v>
      </c>
      <c r="F3410" s="9" t="s">
        <v>27</v>
      </c>
      <c r="G3410" s="9" t="s">
        <v>27</v>
      </c>
      <c r="H3410" s="11" t="n">
        <v>25</v>
      </c>
      <c r="I3410" s="11" t="s">
        <v>331</v>
      </c>
      <c r="J3410" s="14" t="n">
        <v>18</v>
      </c>
      <c r="K3410" s="14"/>
      <c r="L3410" s="16"/>
      <c r="M3410" s="27" t="n">
        <f aca="false">J3410+(K3410/20)+(L3410/240)</f>
        <v>18</v>
      </c>
      <c r="N3410" s="17" t="s">
        <v>66</v>
      </c>
      <c r="O3410" s="11" t="s">
        <v>98</v>
      </c>
      <c r="P3410" s="28"/>
      <c r="Q3410" s="28" t="n">
        <f aca="false">P3410*$M3410</f>
        <v>0</v>
      </c>
      <c r="R3410" s="28"/>
      <c r="S3410" s="28" t="n">
        <f aca="false">R3410*$M3410</f>
        <v>0</v>
      </c>
      <c r="T3410" s="28"/>
      <c r="U3410" s="28" t="n">
        <f aca="false">T3410*$M3410</f>
        <v>0</v>
      </c>
      <c r="V3410" s="28"/>
      <c r="W3410" s="28" t="n">
        <f aca="false">V3410*$M3410</f>
        <v>0</v>
      </c>
      <c r="X3410" s="28"/>
      <c r="Y3410" s="28" t="n">
        <f aca="false">X3410*$M3410</f>
        <v>0</v>
      </c>
      <c r="Z3410" s="28"/>
      <c r="AA3410" s="28" t="n">
        <f aca="false">Z3410*$M3410</f>
        <v>0</v>
      </c>
      <c r="AB3410" s="28"/>
      <c r="AC3410" s="28" t="n">
        <f aca="false">AB3410*$M3410</f>
        <v>0</v>
      </c>
      <c r="AD3410" s="28"/>
      <c r="AE3410" s="28" t="n">
        <f aca="false">AD3410*$M3410</f>
        <v>0</v>
      </c>
      <c r="AF3410" s="28"/>
      <c r="AG3410" s="28" t="n">
        <f aca="false">AF3410*$M3410</f>
        <v>0</v>
      </c>
      <c r="AH3410" s="28"/>
      <c r="AI3410" s="28" t="n">
        <f aca="false">AH3410*$M3410</f>
        <v>0</v>
      </c>
      <c r="AJ3410" s="28"/>
      <c r="AK3410" s="28" t="n">
        <f aca="false">AJ3410*$M3410</f>
        <v>0</v>
      </c>
      <c r="AL3410" s="28"/>
      <c r="AM3410" s="28" t="n">
        <f aca="false">AL3410*$M3410</f>
        <v>0</v>
      </c>
      <c r="AN3410" s="28"/>
      <c r="AO3410" s="28" t="n">
        <f aca="false">AN3410*$M3410</f>
        <v>0</v>
      </c>
      <c r="AP3410" s="28"/>
      <c r="AQ3410" s="28" t="n">
        <f aca="false">AP3410*$M3410</f>
        <v>0</v>
      </c>
      <c r="AR3410" s="28"/>
      <c r="AS3410" s="28" t="n">
        <f aca="false">AR3410*$M3410</f>
        <v>0</v>
      </c>
      <c r="AT3410" s="28"/>
      <c r="AU3410" s="28" t="n">
        <f aca="false">AT3410*$M3410</f>
        <v>0</v>
      </c>
      <c r="AV3410" s="28"/>
      <c r="AW3410" s="28" t="n">
        <f aca="false">AV3410*$M3410</f>
        <v>0</v>
      </c>
      <c r="AX3410" s="28"/>
      <c r="AY3410" s="28" t="n">
        <f aca="false">AX3410*$M3410</f>
        <v>0</v>
      </c>
      <c r="AZ3410" s="30"/>
      <c r="BA3410" s="11"/>
      <c r="BB3410" s="31" t="n">
        <f aca="false">SUM(Q3410,S3410,U3410,W3410,Y3410,AA3410,AC3410,AE3410,AG3410,AI3410,AK3410,AM3410,AO3410,AQ3410,AS3410,AU3410,AW3410,AY3410)</f>
        <v>0</v>
      </c>
      <c r="BC3410" s="28" t="n">
        <f aca="false">BA3410-BB3410</f>
        <v>0</v>
      </c>
      <c r="BD3410" s="32" t="n">
        <f aca="false">SUM(P3410,R3410,T3410,V3410,X3410,Z3410,AB3410,AD3410,AF3410,AH3410,AJ3410,AL3410,AN3410,AP3410,AR3410,AT3410,AV3410,AX3410)</f>
        <v>0</v>
      </c>
      <c r="BE3410" s="33" t="n">
        <f aca="false">AZ3410-BD3410</f>
        <v>0</v>
      </c>
      <c r="BF3410" s="34" t="n">
        <f aca="false">BD3410*M3410</f>
        <v>0</v>
      </c>
      <c r="BG3410" s="35" t="n">
        <f aca="false">BA3410-BF3410</f>
        <v>0</v>
      </c>
      <c r="BH3410" s="19" t="str">
        <f aca="false">IF(BG3410=0,"",IF(BG3410&lt;&gt;BA3410,"erreur de calcul",IF(BD3410&lt;&gt;0,"pas de prix",IF(M3410&lt;&gt; 0,"pas de quantité","pas de prix, ni de quantité"))))</f>
        <v/>
      </c>
      <c r="BI3410" s="19"/>
    </row>
    <row r="3411" customFormat="false" ht="15" hidden="false" customHeight="false" outlineLevel="0" collapsed="false">
      <c r="A3411" s="0" t="n">
        <v>4</v>
      </c>
      <c r="B3411" s="8" t="s">
        <v>24</v>
      </c>
      <c r="C3411" s="9" t="s">
        <v>25</v>
      </c>
      <c r="D3411" s="9" t="s">
        <v>26</v>
      </c>
      <c r="E3411" s="10" t="n">
        <v>1789</v>
      </c>
      <c r="F3411" s="9" t="s">
        <v>27</v>
      </c>
      <c r="G3411" s="9" t="s">
        <v>27</v>
      </c>
      <c r="H3411" s="11" t="n">
        <v>25</v>
      </c>
      <c r="I3411" s="11" t="s">
        <v>332</v>
      </c>
      <c r="J3411" s="14" t="n">
        <v>18</v>
      </c>
      <c r="K3411" s="14"/>
      <c r="L3411" s="16"/>
      <c r="M3411" s="27" t="n">
        <f aca="false">J3411+(K3411/20)+(L3411/240)</f>
        <v>18</v>
      </c>
      <c r="N3411" s="17" t="s">
        <v>66</v>
      </c>
      <c r="O3411" s="11" t="s">
        <v>98</v>
      </c>
      <c r="P3411" s="28"/>
      <c r="Q3411" s="28" t="n">
        <f aca="false">P3411*$M3411</f>
        <v>0</v>
      </c>
      <c r="R3411" s="28"/>
      <c r="S3411" s="28" t="n">
        <f aca="false">R3411*$M3411</f>
        <v>0</v>
      </c>
      <c r="T3411" s="28"/>
      <c r="U3411" s="28" t="n">
        <f aca="false">T3411*$M3411</f>
        <v>0</v>
      </c>
      <c r="V3411" s="28"/>
      <c r="W3411" s="28" t="n">
        <f aca="false">V3411*$M3411</f>
        <v>0</v>
      </c>
      <c r="X3411" s="28"/>
      <c r="Y3411" s="28" t="n">
        <f aca="false">X3411*$M3411</f>
        <v>0</v>
      </c>
      <c r="Z3411" s="28"/>
      <c r="AA3411" s="28" t="n">
        <f aca="false">Z3411*$M3411</f>
        <v>0</v>
      </c>
      <c r="AB3411" s="28"/>
      <c r="AC3411" s="28" t="n">
        <f aca="false">AB3411*$M3411</f>
        <v>0</v>
      </c>
      <c r="AD3411" s="28"/>
      <c r="AE3411" s="28" t="n">
        <f aca="false">AD3411*$M3411</f>
        <v>0</v>
      </c>
      <c r="AF3411" s="28"/>
      <c r="AG3411" s="28" t="n">
        <f aca="false">AF3411*$M3411</f>
        <v>0</v>
      </c>
      <c r="AH3411" s="28"/>
      <c r="AI3411" s="28" t="n">
        <f aca="false">AH3411*$M3411</f>
        <v>0</v>
      </c>
      <c r="AJ3411" s="28"/>
      <c r="AK3411" s="28" t="n">
        <f aca="false">AJ3411*$M3411</f>
        <v>0</v>
      </c>
      <c r="AL3411" s="28"/>
      <c r="AM3411" s="28" t="n">
        <f aca="false">AL3411*$M3411</f>
        <v>0</v>
      </c>
      <c r="AN3411" s="28"/>
      <c r="AO3411" s="28" t="n">
        <f aca="false">AN3411*$M3411</f>
        <v>0</v>
      </c>
      <c r="AP3411" s="28"/>
      <c r="AQ3411" s="28" t="n">
        <f aca="false">AP3411*$M3411</f>
        <v>0</v>
      </c>
      <c r="AR3411" s="28"/>
      <c r="AS3411" s="28" t="n">
        <f aca="false">AR3411*$M3411</f>
        <v>0</v>
      </c>
      <c r="AT3411" s="28"/>
      <c r="AU3411" s="28" t="n">
        <f aca="false">AT3411*$M3411</f>
        <v>0</v>
      </c>
      <c r="AV3411" s="28"/>
      <c r="AW3411" s="28" t="n">
        <f aca="false">AV3411*$M3411</f>
        <v>0</v>
      </c>
      <c r="AX3411" s="28"/>
      <c r="AY3411" s="28" t="n">
        <f aca="false">AX3411*$M3411</f>
        <v>0</v>
      </c>
      <c r="AZ3411" s="30"/>
      <c r="BA3411" s="11"/>
      <c r="BB3411" s="31" t="n">
        <f aca="false">SUM(Q3411,S3411,U3411,W3411,Y3411,AA3411,AC3411,AE3411,AG3411,AI3411,AK3411,AM3411,AO3411,AQ3411,AS3411,AU3411,AW3411,AY3411)</f>
        <v>0</v>
      </c>
      <c r="BC3411" s="28" t="n">
        <f aca="false">BA3411-BB3411</f>
        <v>0</v>
      </c>
      <c r="BD3411" s="32" t="n">
        <f aca="false">SUM(P3411,R3411,T3411,V3411,X3411,Z3411,AB3411,AD3411,AF3411,AH3411,AJ3411,AL3411,AN3411,AP3411,AR3411,AT3411,AV3411,AX3411)</f>
        <v>0</v>
      </c>
      <c r="BE3411" s="33" t="n">
        <f aca="false">AZ3411-BD3411</f>
        <v>0</v>
      </c>
      <c r="BF3411" s="34" t="n">
        <f aca="false">BD3411*M3411</f>
        <v>0</v>
      </c>
      <c r="BG3411" s="35" t="n">
        <f aca="false">BA3411-BF3411</f>
        <v>0</v>
      </c>
      <c r="BH3411" s="19" t="str">
        <f aca="false">IF(BG3411=0,"",IF(BG3411&lt;&gt;BA3411,"erreur de calcul",IF(BD3411&lt;&gt;0,"pas de prix",IF(M3411&lt;&gt; 0,"pas de quantité","pas de prix, ni de quantité"))))</f>
        <v/>
      </c>
      <c r="BI3411" s="19"/>
    </row>
    <row r="3412" customFormat="false" ht="15" hidden="false" customHeight="false" outlineLevel="0" collapsed="false">
      <c r="A3412" s="0" t="n">
        <v>5</v>
      </c>
      <c r="B3412" s="8" t="s">
        <v>24</v>
      </c>
      <c r="C3412" s="9" t="s">
        <v>25</v>
      </c>
      <c r="D3412" s="9" t="s">
        <v>26</v>
      </c>
      <c r="E3412" s="10" t="n">
        <v>1789</v>
      </c>
      <c r="F3412" s="9" t="s">
        <v>27</v>
      </c>
      <c r="G3412" s="9" t="s">
        <v>27</v>
      </c>
      <c r="H3412" s="11" t="n">
        <v>25</v>
      </c>
      <c r="I3412" s="11" t="s">
        <v>333</v>
      </c>
      <c r="J3412" s="14" t="n">
        <v>44</v>
      </c>
      <c r="K3412" s="14"/>
      <c r="L3412" s="16"/>
      <c r="M3412" s="27" t="n">
        <f aca="false">J3412+(K3412/20)+(L3412/240)</f>
        <v>44</v>
      </c>
      <c r="N3412" s="17" t="s">
        <v>66</v>
      </c>
      <c r="O3412" s="11"/>
      <c r="P3412" s="28" t="n">
        <v>1391</v>
      </c>
      <c r="Q3412" s="28" t="n">
        <v>61204</v>
      </c>
      <c r="R3412" s="28"/>
      <c r="S3412" s="28" t="n">
        <f aca="false">R3412*$M3412</f>
        <v>0</v>
      </c>
      <c r="T3412" s="28"/>
      <c r="U3412" s="28" t="n">
        <f aca="false">T3412*$M3412</f>
        <v>0</v>
      </c>
      <c r="V3412" s="28"/>
      <c r="W3412" s="28" t="n">
        <f aca="false">V3412*$M3412</f>
        <v>0</v>
      </c>
      <c r="X3412" s="28"/>
      <c r="Y3412" s="28" t="n">
        <f aca="false">X3412*$M3412</f>
        <v>0</v>
      </c>
      <c r="Z3412" s="28"/>
      <c r="AA3412" s="28" t="n">
        <f aca="false">Z3412*$M3412</f>
        <v>0</v>
      </c>
      <c r="AB3412" s="28"/>
      <c r="AC3412" s="28" t="n">
        <f aca="false">AB3412*$M3412</f>
        <v>0</v>
      </c>
      <c r="AD3412" s="28"/>
      <c r="AE3412" s="28" t="n">
        <f aca="false">AD3412*$M3412</f>
        <v>0</v>
      </c>
      <c r="AF3412" s="28"/>
      <c r="AG3412" s="28" t="n">
        <f aca="false">AF3412*$M3412</f>
        <v>0</v>
      </c>
      <c r="AH3412" s="28"/>
      <c r="AI3412" s="28" t="n">
        <f aca="false">AH3412*$M3412</f>
        <v>0</v>
      </c>
      <c r="AJ3412" s="28"/>
      <c r="AK3412" s="28" t="n">
        <f aca="false">AJ3412*$M3412</f>
        <v>0</v>
      </c>
      <c r="AL3412" s="28"/>
      <c r="AM3412" s="28" t="n">
        <f aca="false">AL3412*$M3412</f>
        <v>0</v>
      </c>
      <c r="AN3412" s="28"/>
      <c r="AO3412" s="28" t="n">
        <f aca="false">AN3412*$M3412</f>
        <v>0</v>
      </c>
      <c r="AP3412" s="28"/>
      <c r="AQ3412" s="28" t="n">
        <f aca="false">AP3412*$M3412</f>
        <v>0</v>
      </c>
      <c r="AR3412" s="28"/>
      <c r="AS3412" s="28" t="n">
        <f aca="false">AR3412*$M3412</f>
        <v>0</v>
      </c>
      <c r="AT3412" s="28"/>
      <c r="AU3412" s="28" t="n">
        <f aca="false">AT3412*$M3412</f>
        <v>0</v>
      </c>
      <c r="AV3412" s="28"/>
      <c r="AW3412" s="28" t="n">
        <f aca="false">AV3412*$M3412</f>
        <v>0</v>
      </c>
      <c r="AX3412" s="28"/>
      <c r="AY3412" s="28" t="n">
        <f aca="false">AX3412*$M3412</f>
        <v>0</v>
      </c>
      <c r="AZ3412" s="30" t="n">
        <v>1391</v>
      </c>
      <c r="BA3412" s="11" t="n">
        <v>61204</v>
      </c>
      <c r="BB3412" s="31" t="n">
        <f aca="false">SUM(Q3412,S3412,U3412,W3412,Y3412,AA3412,AC3412,AE3412,AG3412,AI3412,AK3412,AM3412,AO3412,AQ3412,AS3412,AU3412,AW3412,AY3412)</f>
        <v>61204</v>
      </c>
      <c r="BC3412" s="28" t="n">
        <f aca="false">BA3412-BB3412</f>
        <v>0</v>
      </c>
      <c r="BD3412" s="32" t="n">
        <f aca="false">SUM(P3412,R3412,T3412,V3412,X3412,Z3412,AB3412,AD3412,AF3412,AH3412,AJ3412,AL3412,AN3412,AP3412,AR3412,AT3412,AV3412,AX3412)</f>
        <v>1391</v>
      </c>
      <c r="BE3412" s="33" t="n">
        <f aca="false">AZ3412-BD3412</f>
        <v>0</v>
      </c>
      <c r="BF3412" s="34" t="n">
        <f aca="false">BD3412*M3412</f>
        <v>61204</v>
      </c>
      <c r="BG3412" s="35" t="n">
        <f aca="false">BA3412-BF3412</f>
        <v>0</v>
      </c>
      <c r="BH3412" s="19" t="str">
        <f aca="false">IF(BG3412=0,"",IF(BG3412&lt;&gt;BA3412,"erreur de calcul",IF(BD3412&lt;&gt;0,"pas de prix",IF(M3412&lt;&gt; 0,"pas de quantité","pas de prix, ni de quantité"))))</f>
        <v/>
      </c>
      <c r="BI3412" s="19"/>
    </row>
    <row r="3413" customFormat="false" ht="15" hidden="false" customHeight="false" outlineLevel="0" collapsed="false">
      <c r="A3413" s="0" t="n">
        <v>6</v>
      </c>
      <c r="B3413" s="8" t="s">
        <v>24</v>
      </c>
      <c r="C3413" s="9" t="s">
        <v>25</v>
      </c>
      <c r="D3413" s="9" t="s">
        <v>26</v>
      </c>
      <c r="E3413" s="10" t="n">
        <v>1789</v>
      </c>
      <c r="F3413" s="9" t="s">
        <v>27</v>
      </c>
      <c r="G3413" s="9" t="s">
        <v>27</v>
      </c>
      <c r="H3413" s="11" t="n">
        <v>25</v>
      </c>
      <c r="I3413" s="11" t="s">
        <v>334</v>
      </c>
      <c r="J3413" s="14" t="n">
        <v>12</v>
      </c>
      <c r="K3413" s="14"/>
      <c r="L3413" s="16"/>
      <c r="M3413" s="27" t="n">
        <f aca="false">J3413+(K3413/20)+(L3413/240)</f>
        <v>12</v>
      </c>
      <c r="N3413" s="17" t="s">
        <v>64</v>
      </c>
      <c r="O3413" s="11"/>
      <c r="P3413" s="28"/>
      <c r="Q3413" s="28" t="n">
        <f aca="false">P3413*$M3413</f>
        <v>0</v>
      </c>
      <c r="R3413" s="28"/>
      <c r="S3413" s="28" t="n">
        <f aca="false">R3413*$M3413</f>
        <v>0</v>
      </c>
      <c r="T3413" s="28"/>
      <c r="U3413" s="28" t="n">
        <f aca="false">T3413*$M3413</f>
        <v>0</v>
      </c>
      <c r="V3413" s="28"/>
      <c r="W3413" s="28" t="n">
        <f aca="false">V3413*$M3413</f>
        <v>0</v>
      </c>
      <c r="X3413" s="28" t="n">
        <f aca="false">1111/100</f>
        <v>11.11</v>
      </c>
      <c r="Y3413" s="28" t="n">
        <v>133</v>
      </c>
      <c r="Z3413" s="28"/>
      <c r="AA3413" s="28" t="n">
        <f aca="false">Z3413*$M3413</f>
        <v>0</v>
      </c>
      <c r="AB3413" s="28"/>
      <c r="AC3413" s="28" t="n">
        <f aca="false">AB3413*$M3413</f>
        <v>0</v>
      </c>
      <c r="AD3413" s="28"/>
      <c r="AE3413" s="28" t="n">
        <f aca="false">AD3413*$M3413</f>
        <v>0</v>
      </c>
      <c r="AF3413" s="28"/>
      <c r="AG3413" s="28" t="n">
        <f aca="false">AF3413*$M3413</f>
        <v>0</v>
      </c>
      <c r="AH3413" s="28"/>
      <c r="AI3413" s="28" t="n">
        <f aca="false">AH3413*$M3413</f>
        <v>0</v>
      </c>
      <c r="AJ3413" s="28"/>
      <c r="AK3413" s="28" t="n">
        <f aca="false">AJ3413*$M3413</f>
        <v>0</v>
      </c>
      <c r="AL3413" s="28"/>
      <c r="AM3413" s="28" t="n">
        <f aca="false">AL3413*$M3413</f>
        <v>0</v>
      </c>
      <c r="AN3413" s="28"/>
      <c r="AO3413" s="28" t="n">
        <f aca="false">AN3413*$M3413</f>
        <v>0</v>
      </c>
      <c r="AP3413" s="28"/>
      <c r="AQ3413" s="28" t="n">
        <f aca="false">AP3413*$M3413</f>
        <v>0</v>
      </c>
      <c r="AR3413" s="28"/>
      <c r="AS3413" s="28" t="n">
        <f aca="false">AR3413*$M3413</f>
        <v>0</v>
      </c>
      <c r="AT3413" s="28"/>
      <c r="AU3413" s="28" t="n">
        <f aca="false">AT3413*$M3413</f>
        <v>0</v>
      </c>
      <c r="AV3413" s="28"/>
      <c r="AW3413" s="28" t="n">
        <f aca="false">AV3413*$M3413</f>
        <v>0</v>
      </c>
      <c r="AX3413" s="28"/>
      <c r="AY3413" s="28" t="n">
        <f aca="false">AX3413*$M3413</f>
        <v>0</v>
      </c>
      <c r="AZ3413" s="30" t="n">
        <f aca="false">1111/100</f>
        <v>11.11</v>
      </c>
      <c r="BA3413" s="11" t="n">
        <v>133</v>
      </c>
      <c r="BB3413" s="31" t="n">
        <f aca="false">SUM(Q3413,S3413,U3413,W3413,Y3413,AA3413,AC3413,AE3413,AG3413,AI3413,AK3413,AM3413,AO3413,AQ3413,AS3413,AU3413,AW3413,AY3413)</f>
        <v>133</v>
      </c>
      <c r="BC3413" s="28" t="n">
        <f aca="false">BA3413-BB3413</f>
        <v>0</v>
      </c>
      <c r="BD3413" s="32" t="n">
        <f aca="false">SUM(P3413,R3413,T3413,V3413,X3413,Z3413,AB3413,AD3413,AF3413,AH3413,AJ3413,AL3413,AN3413,AP3413,AR3413,AT3413,AV3413,AX3413)</f>
        <v>11.11</v>
      </c>
      <c r="BE3413" s="33" t="n">
        <f aca="false">AZ3413-BD3413</f>
        <v>0</v>
      </c>
      <c r="BF3413" s="34" t="n">
        <f aca="false">BD3413*M3413</f>
        <v>133.32</v>
      </c>
      <c r="BG3413" s="35" t="n">
        <f aca="false">BA3413-BF3413</f>
        <v>-0.319999999999993</v>
      </c>
      <c r="BH3413" s="19" t="str">
        <f aca="false">IF(BG3413=0,"",IF(BG3413&lt;&gt;BA3413,"erreur de calcul",IF(BD3413&lt;&gt;0,"pas de prix",IF(M3413&lt;&gt; 0,"pas de quantité","pas de prix, ni de quantité"))))</f>
        <v>erreur de calcul</v>
      </c>
      <c r="BI3413" s="19"/>
    </row>
    <row r="3414" customFormat="false" ht="16.65" hidden="false" customHeight="false" outlineLevel="0" collapsed="false">
      <c r="A3414" s="0" t="n">
        <v>7</v>
      </c>
      <c r="B3414" s="8" t="s">
        <v>24</v>
      </c>
      <c r="C3414" s="9" t="s">
        <v>25</v>
      </c>
      <c r="D3414" s="9" t="s">
        <v>26</v>
      </c>
      <c r="E3414" s="10" t="n">
        <v>1789</v>
      </c>
      <c r="F3414" s="9" t="s">
        <v>27</v>
      </c>
      <c r="G3414" s="9" t="s">
        <v>27</v>
      </c>
      <c r="H3414" s="11" t="n">
        <v>25</v>
      </c>
      <c r="I3414" s="11" t="s">
        <v>335</v>
      </c>
      <c r="J3414" s="14" t="n">
        <v>4</v>
      </c>
      <c r="K3414" s="14" t="n">
        <v>10</v>
      </c>
      <c r="L3414" s="16"/>
      <c r="M3414" s="27" t="n">
        <f aca="false">J3414+(K3414/20)+(L3414/240)</f>
        <v>4.5</v>
      </c>
      <c r="N3414" s="17" t="s">
        <v>64</v>
      </c>
      <c r="O3414" s="11" t="s">
        <v>77</v>
      </c>
      <c r="P3414" s="28" t="n">
        <f aca="false">8366/100</f>
        <v>83.66</v>
      </c>
      <c r="Q3414" s="28" t="n">
        <v>376</v>
      </c>
      <c r="R3414" s="28"/>
      <c r="S3414" s="28" t="n">
        <f aca="false">R3414*$M3414</f>
        <v>0</v>
      </c>
      <c r="T3414" s="28"/>
      <c r="U3414" s="28" t="n">
        <f aca="false">T3414*$M3414</f>
        <v>0</v>
      </c>
      <c r="V3414" s="28"/>
      <c r="W3414" s="28" t="n">
        <f aca="false">V3414*$M3414</f>
        <v>0</v>
      </c>
      <c r="X3414" s="28"/>
      <c r="Y3414" s="28" t="n">
        <f aca="false">X3414*$M3414</f>
        <v>0</v>
      </c>
      <c r="Z3414" s="28"/>
      <c r="AA3414" s="28" t="n">
        <f aca="false">Z3414*$M3414</f>
        <v>0</v>
      </c>
      <c r="AB3414" s="28"/>
      <c r="AC3414" s="28" t="n">
        <f aca="false">AB3414*$M3414</f>
        <v>0</v>
      </c>
      <c r="AD3414" s="28"/>
      <c r="AE3414" s="28" t="n">
        <f aca="false">AD3414*$M3414</f>
        <v>0</v>
      </c>
      <c r="AF3414" s="28"/>
      <c r="AG3414" s="28" t="n">
        <f aca="false">AF3414*$M3414</f>
        <v>0</v>
      </c>
      <c r="AH3414" s="28"/>
      <c r="AI3414" s="28" t="n">
        <f aca="false">AH3414*$M3414</f>
        <v>0</v>
      </c>
      <c r="AJ3414" s="28"/>
      <c r="AK3414" s="28" t="n">
        <f aca="false">AJ3414*$M3414</f>
        <v>0</v>
      </c>
      <c r="AL3414" s="28"/>
      <c r="AM3414" s="28" t="n">
        <f aca="false">AL3414*$M3414</f>
        <v>0</v>
      </c>
      <c r="AN3414" s="28"/>
      <c r="AO3414" s="28" t="n">
        <f aca="false">AN3414*$M3414</f>
        <v>0</v>
      </c>
      <c r="AP3414" s="28"/>
      <c r="AQ3414" s="28" t="n">
        <f aca="false">AP3414*$M3414</f>
        <v>0</v>
      </c>
      <c r="AR3414" s="28"/>
      <c r="AS3414" s="28" t="n">
        <f aca="false">AR3414*$M3414</f>
        <v>0</v>
      </c>
      <c r="AT3414" s="28"/>
      <c r="AU3414" s="28" t="n">
        <f aca="false">AT3414*$M3414</f>
        <v>0</v>
      </c>
      <c r="AV3414" s="28"/>
      <c r="AW3414" s="28" t="n">
        <f aca="false">AV3414*$M3414</f>
        <v>0</v>
      </c>
      <c r="AX3414" s="28"/>
      <c r="AY3414" s="28" t="n">
        <f aca="false">AX3414*$M3414</f>
        <v>0</v>
      </c>
      <c r="AZ3414" s="30" t="n">
        <f aca="false">8366/100</f>
        <v>83.66</v>
      </c>
      <c r="BA3414" s="11" t="n">
        <v>376</v>
      </c>
      <c r="BB3414" s="31" t="n">
        <f aca="false">SUM(Q3414,S3414,U3414,W3414,Y3414,AA3414,AC3414,AE3414,AG3414,AI3414,AK3414,AM3414,AO3414,AQ3414,AS3414,AU3414,AW3414,AY3414)</f>
        <v>376</v>
      </c>
      <c r="BC3414" s="28" t="n">
        <f aca="false">BA3414-BB3414</f>
        <v>0</v>
      </c>
      <c r="BD3414" s="32" t="n">
        <f aca="false">SUM(P3414,R3414,T3414,V3414,X3414,Z3414,AB3414,AD3414,AF3414,AH3414,AJ3414,AL3414,AN3414,AP3414,AR3414,AT3414,AV3414,AX3414)</f>
        <v>83.66</v>
      </c>
      <c r="BE3414" s="33" t="n">
        <f aca="false">AZ3414-BD3414</f>
        <v>0</v>
      </c>
      <c r="BF3414" s="34" t="n">
        <f aca="false">BD3414*M3414</f>
        <v>376.47</v>
      </c>
      <c r="BG3414" s="35" t="n">
        <f aca="false">BA3414-BF3414</f>
        <v>-0.46999999999997</v>
      </c>
      <c r="BH3414" s="19" t="str">
        <f aca="false">IF(BG3414=0,"",IF(BG3414&lt;&gt;BA3414,"erreur de calcul",IF(BD3414&lt;&gt;0,"pas de prix",IF(M3414&lt;&gt; 0,"pas de quantité","pas de prix, ni de quantité"))))</f>
        <v>erreur de calcul</v>
      </c>
      <c r="BI3414" s="19"/>
    </row>
    <row r="3415" customFormat="false" ht="15" hidden="false" customHeight="false" outlineLevel="0" collapsed="false">
      <c r="A3415" s="0" t="n">
        <v>8</v>
      </c>
      <c r="B3415" s="8" t="s">
        <v>24</v>
      </c>
      <c r="C3415" s="9" t="s">
        <v>25</v>
      </c>
      <c r="D3415" s="9" t="s">
        <v>26</v>
      </c>
      <c r="E3415" s="10" t="n">
        <v>1789</v>
      </c>
      <c r="F3415" s="9" t="s">
        <v>27</v>
      </c>
      <c r="G3415" s="9" t="s">
        <v>27</v>
      </c>
      <c r="H3415" s="11" t="n">
        <v>25</v>
      </c>
      <c r="I3415" s="11" t="s">
        <v>336</v>
      </c>
      <c r="J3415" s="14" t="n">
        <v>64</v>
      </c>
      <c r="K3415" s="14"/>
      <c r="L3415" s="16"/>
      <c r="M3415" s="27" t="n">
        <f aca="false">J3415+(K3415/20)+(L3415/240)</f>
        <v>64</v>
      </c>
      <c r="N3415" s="17" t="s">
        <v>337</v>
      </c>
      <c r="O3415" s="11"/>
      <c r="P3415" s="28"/>
      <c r="Q3415" s="28" t="n">
        <f aca="false">P3415*$M3415</f>
        <v>0</v>
      </c>
      <c r="R3415" s="28"/>
      <c r="S3415" s="28" t="n">
        <f aca="false">R3415*$M3415</f>
        <v>0</v>
      </c>
      <c r="T3415" s="28" t="n">
        <v>42</v>
      </c>
      <c r="U3415" s="28" t="n">
        <v>2688</v>
      </c>
      <c r="V3415" s="28"/>
      <c r="W3415" s="28" t="n">
        <f aca="false">V3415*$M3415</f>
        <v>0</v>
      </c>
      <c r="X3415" s="28"/>
      <c r="Y3415" s="28" t="n">
        <f aca="false">X3415*$M3415</f>
        <v>0</v>
      </c>
      <c r="Z3415" s="28"/>
      <c r="AA3415" s="28" t="n">
        <f aca="false">Z3415*$M3415</f>
        <v>0</v>
      </c>
      <c r="AB3415" s="28" t="n">
        <v>66</v>
      </c>
      <c r="AC3415" s="28" t="n">
        <v>4224</v>
      </c>
      <c r="AD3415" s="28"/>
      <c r="AE3415" s="28" t="n">
        <f aca="false">AD3415*$M3415</f>
        <v>0</v>
      </c>
      <c r="AF3415" s="28"/>
      <c r="AG3415" s="28" t="n">
        <f aca="false">AF3415*$M3415</f>
        <v>0</v>
      </c>
      <c r="AH3415" s="28"/>
      <c r="AI3415" s="28" t="n">
        <f aca="false">AH3415*$M3415</f>
        <v>0</v>
      </c>
      <c r="AJ3415" s="28"/>
      <c r="AK3415" s="28" t="n">
        <f aca="false">AJ3415*$M3415</f>
        <v>0</v>
      </c>
      <c r="AL3415" s="28"/>
      <c r="AM3415" s="28" t="n">
        <f aca="false">AL3415*$M3415</f>
        <v>0</v>
      </c>
      <c r="AN3415" s="28"/>
      <c r="AO3415" s="28" t="n">
        <f aca="false">AN3415*$M3415</f>
        <v>0</v>
      </c>
      <c r="AP3415" s="28"/>
      <c r="AQ3415" s="28" t="n">
        <f aca="false">AP3415*$M3415</f>
        <v>0</v>
      </c>
      <c r="AR3415" s="28"/>
      <c r="AS3415" s="28" t="n">
        <f aca="false">AR3415*$M3415</f>
        <v>0</v>
      </c>
      <c r="AT3415" s="28"/>
      <c r="AU3415" s="28" t="n">
        <f aca="false">AT3415*$M3415</f>
        <v>0</v>
      </c>
      <c r="AV3415" s="28"/>
      <c r="AW3415" s="28" t="n">
        <f aca="false">AV3415*$M3415</f>
        <v>0</v>
      </c>
      <c r="AX3415" s="28"/>
      <c r="AY3415" s="28" t="n">
        <f aca="false">AX3415*$M3415</f>
        <v>0</v>
      </c>
      <c r="AZ3415" s="30" t="n">
        <v>108</v>
      </c>
      <c r="BA3415" s="11" t="n">
        <v>6912</v>
      </c>
      <c r="BB3415" s="31" t="n">
        <f aca="false">SUM(Q3415,S3415,U3415,W3415,Y3415,AA3415,AC3415,AE3415,AG3415,AI3415,AK3415,AM3415,AO3415,AQ3415,AS3415,AU3415,AW3415,AY3415)</f>
        <v>6912</v>
      </c>
      <c r="BC3415" s="28" t="n">
        <f aca="false">BA3415-BB3415</f>
        <v>0</v>
      </c>
      <c r="BD3415" s="32" t="n">
        <f aca="false">SUM(P3415,R3415,T3415,V3415,X3415,Z3415,AB3415,AD3415,AF3415,AH3415,AJ3415,AL3415,AN3415,AP3415,AR3415,AT3415,AV3415,AX3415)</f>
        <v>108</v>
      </c>
      <c r="BE3415" s="33" t="n">
        <f aca="false">AZ3415-BD3415</f>
        <v>0</v>
      </c>
      <c r="BF3415" s="34" t="n">
        <f aca="false">BD3415*M3415</f>
        <v>6912</v>
      </c>
      <c r="BG3415" s="35" t="n">
        <f aca="false">BA3415-BF3415</f>
        <v>0</v>
      </c>
      <c r="BH3415" s="19" t="str">
        <f aca="false">IF(BG3415=0,"",IF(BG3415&lt;&gt;BA3415,"erreur de calcul",IF(BD3415&lt;&gt;0,"pas de prix",IF(M3415&lt;&gt; 0,"pas de quantité","pas de prix, ni de quantité"))))</f>
        <v/>
      </c>
      <c r="BI3415" s="19"/>
    </row>
    <row r="3416" customFormat="false" ht="15" hidden="false" customHeight="false" outlineLevel="0" collapsed="false">
      <c r="A3416" s="0" t="n">
        <v>9</v>
      </c>
      <c r="B3416" s="8" t="s">
        <v>24</v>
      </c>
      <c r="C3416" s="9" t="s">
        <v>25</v>
      </c>
      <c r="D3416" s="9" t="s">
        <v>26</v>
      </c>
      <c r="E3416" s="10" t="n">
        <v>1789</v>
      </c>
      <c r="F3416" s="9" t="s">
        <v>27</v>
      </c>
      <c r="G3416" s="9" t="s">
        <v>27</v>
      </c>
      <c r="H3416" s="11" t="n">
        <v>25</v>
      </c>
      <c r="I3416" s="11" t="s">
        <v>338</v>
      </c>
      <c r="J3416" s="14"/>
      <c r="K3416" s="14"/>
      <c r="L3416" s="16"/>
      <c r="M3416" s="27" t="n">
        <f aca="false">J3416+(K3416/20)+(L3416/240)</f>
        <v>0</v>
      </c>
      <c r="N3416" s="17"/>
      <c r="O3416" s="11"/>
      <c r="P3416" s="28"/>
      <c r="Q3416" s="28" t="n">
        <f aca="false">P3416*$M3416</f>
        <v>0</v>
      </c>
      <c r="R3416" s="28"/>
      <c r="S3416" s="28" t="n">
        <f aca="false">R3416*$M3416</f>
        <v>0</v>
      </c>
      <c r="T3416" s="28"/>
      <c r="U3416" s="28" t="n">
        <v>135</v>
      </c>
      <c r="V3416" s="28"/>
      <c r="W3416" s="28" t="n">
        <v>642</v>
      </c>
      <c r="X3416" s="28"/>
      <c r="Y3416" s="28" t="n">
        <f aca="false">X3416*$M3416</f>
        <v>0</v>
      </c>
      <c r="Z3416" s="28"/>
      <c r="AA3416" s="28" t="n">
        <f aca="false">Z3416*$M3416</f>
        <v>0</v>
      </c>
      <c r="AB3416" s="28"/>
      <c r="AC3416" s="28" t="n">
        <f aca="false">AB3416*$M3416</f>
        <v>0</v>
      </c>
      <c r="AD3416" s="28"/>
      <c r="AE3416" s="28" t="n">
        <f aca="false">AD3416*$M3416</f>
        <v>0</v>
      </c>
      <c r="AF3416" s="28"/>
      <c r="AG3416" s="28" t="n">
        <f aca="false">AF3416*$M3416</f>
        <v>0</v>
      </c>
      <c r="AH3416" s="28"/>
      <c r="AI3416" s="28" t="n">
        <f aca="false">AH3416*$M3416</f>
        <v>0</v>
      </c>
      <c r="AJ3416" s="28"/>
      <c r="AK3416" s="28" t="n">
        <v>375</v>
      </c>
      <c r="AL3416" s="28"/>
      <c r="AM3416" s="28" t="n">
        <f aca="false">AL3416*$M3416</f>
        <v>0</v>
      </c>
      <c r="AN3416" s="28"/>
      <c r="AO3416" s="28" t="n">
        <f aca="false">AN3416*$M3416</f>
        <v>0</v>
      </c>
      <c r="AP3416" s="28"/>
      <c r="AQ3416" s="28" t="n">
        <f aca="false">AP3416*$M3416</f>
        <v>0</v>
      </c>
      <c r="AR3416" s="28"/>
      <c r="AS3416" s="28" t="n">
        <f aca="false">AR3416*$M3416</f>
        <v>0</v>
      </c>
      <c r="AT3416" s="28"/>
      <c r="AU3416" s="28" t="n">
        <f aca="false">AT3416*$M3416</f>
        <v>0</v>
      </c>
      <c r="AV3416" s="28"/>
      <c r="AW3416" s="28" t="n">
        <v>765</v>
      </c>
      <c r="AX3416" s="28"/>
      <c r="AY3416" s="28" t="n">
        <f aca="false">AX3416*$M3416</f>
        <v>0</v>
      </c>
      <c r="AZ3416" s="30"/>
      <c r="BA3416" s="11" t="n">
        <v>1917</v>
      </c>
      <c r="BB3416" s="31" t="n">
        <f aca="false">SUM(Q3416,S3416,U3416,W3416,Y3416,AA3416,AC3416,AE3416,AG3416,AI3416,AK3416,AM3416,AO3416,AQ3416,AS3416,AU3416,AW3416,AY3416)</f>
        <v>1917</v>
      </c>
      <c r="BC3416" s="28" t="n">
        <f aca="false">BA3416-BB3416</f>
        <v>0</v>
      </c>
      <c r="BD3416" s="32" t="n">
        <f aca="false">SUM(P3416,R3416,T3416,V3416,X3416,Z3416,AB3416,AD3416,AF3416,AH3416,AJ3416,AL3416,AN3416,AP3416,AR3416,AT3416,AV3416,AX3416)</f>
        <v>0</v>
      </c>
      <c r="BE3416" s="33" t="n">
        <f aca="false">AZ3416-BD3416</f>
        <v>0</v>
      </c>
      <c r="BF3416" s="34" t="n">
        <f aca="false">BD3416*M3416</f>
        <v>0</v>
      </c>
      <c r="BG3416" s="35" t="n">
        <f aca="false">BA3416-BF3416</f>
        <v>1917</v>
      </c>
      <c r="BH3416" s="19" t="str">
        <f aca="false">IF(BG3416=0,"",IF(BG3416&lt;&gt;BA3416,"erreur de calcul",IF(BD3416&lt;&gt;0,"pas de prix",IF(M3416&lt;&gt; 0,"pas de quantité","pas de prix, ni de quantité"))))</f>
        <v>pas de prix, ni de quantité</v>
      </c>
      <c r="BI3416" s="19"/>
    </row>
    <row r="3417" customFormat="false" ht="15" hidden="false" customHeight="false" outlineLevel="0" collapsed="false">
      <c r="A3417" s="0" t="n">
        <v>10</v>
      </c>
      <c r="B3417" s="8" t="s">
        <v>24</v>
      </c>
      <c r="C3417" s="9" t="s">
        <v>25</v>
      </c>
      <c r="D3417" s="9" t="s">
        <v>26</v>
      </c>
      <c r="E3417" s="10" t="n">
        <v>1789</v>
      </c>
      <c r="F3417" s="9" t="s">
        <v>27</v>
      </c>
      <c r="G3417" s="9" t="s">
        <v>27</v>
      </c>
      <c r="H3417" s="11" t="n">
        <v>25</v>
      </c>
      <c r="I3417" s="11" t="s">
        <v>339</v>
      </c>
      <c r="J3417" s="14" t="n">
        <v>7</v>
      </c>
      <c r="K3417" s="14"/>
      <c r="L3417" s="16"/>
      <c r="M3417" s="27" t="n">
        <f aca="false">J3417+(K3417/20)+(L3417/240)</f>
        <v>7</v>
      </c>
      <c r="N3417" s="17" t="s">
        <v>69</v>
      </c>
      <c r="O3417" s="11"/>
      <c r="P3417" s="28"/>
      <c r="Q3417" s="28" t="n">
        <f aca="false">P3417*$M3417</f>
        <v>0</v>
      </c>
      <c r="R3417" s="28"/>
      <c r="S3417" s="28" t="n">
        <f aca="false">R3417*$M3417</f>
        <v>0</v>
      </c>
      <c r="T3417" s="28"/>
      <c r="U3417" s="28" t="n">
        <f aca="false">T3417*$M3417</f>
        <v>0</v>
      </c>
      <c r="V3417" s="28" t="n">
        <v>554</v>
      </c>
      <c r="W3417" s="28" t="n">
        <v>3878</v>
      </c>
      <c r="X3417" s="28"/>
      <c r="Y3417" s="28" t="n">
        <f aca="false">X3417*$M3417</f>
        <v>0</v>
      </c>
      <c r="Z3417" s="28"/>
      <c r="AA3417" s="28" t="n">
        <f aca="false">Z3417*$M3417</f>
        <v>0</v>
      </c>
      <c r="AB3417" s="28"/>
      <c r="AC3417" s="28" t="n">
        <f aca="false">AB3417*$M3417</f>
        <v>0</v>
      </c>
      <c r="AD3417" s="28"/>
      <c r="AE3417" s="28" t="n">
        <f aca="false">AD3417*$M3417</f>
        <v>0</v>
      </c>
      <c r="AF3417" s="28"/>
      <c r="AG3417" s="28" t="n">
        <f aca="false">AF3417*$M3417</f>
        <v>0</v>
      </c>
      <c r="AH3417" s="28"/>
      <c r="AI3417" s="28" t="n">
        <f aca="false">AH3417*$M3417</f>
        <v>0</v>
      </c>
      <c r="AJ3417" s="28"/>
      <c r="AK3417" s="28" t="n">
        <f aca="false">AJ3417*$M3417</f>
        <v>0</v>
      </c>
      <c r="AL3417" s="28"/>
      <c r="AM3417" s="28" t="n">
        <f aca="false">AL3417*$M3417</f>
        <v>0</v>
      </c>
      <c r="AN3417" s="28"/>
      <c r="AO3417" s="28" t="n">
        <f aca="false">AN3417*$M3417</f>
        <v>0</v>
      </c>
      <c r="AP3417" s="28"/>
      <c r="AQ3417" s="28" t="n">
        <f aca="false">AP3417*$M3417</f>
        <v>0</v>
      </c>
      <c r="AR3417" s="28"/>
      <c r="AS3417" s="28" t="n">
        <f aca="false">AR3417*$M3417</f>
        <v>0</v>
      </c>
      <c r="AT3417" s="28"/>
      <c r="AU3417" s="28" t="n">
        <f aca="false">AT3417*$M3417</f>
        <v>0</v>
      </c>
      <c r="AV3417" s="28"/>
      <c r="AW3417" s="28" t="n">
        <f aca="false">AV3417*$M3417</f>
        <v>0</v>
      </c>
      <c r="AX3417" s="28"/>
      <c r="AY3417" s="28" t="n">
        <f aca="false">AX3417*$M3417</f>
        <v>0</v>
      </c>
      <c r="AZ3417" s="30" t="n">
        <v>554</v>
      </c>
      <c r="BA3417" s="11" t="n">
        <v>3878</v>
      </c>
      <c r="BB3417" s="31" t="n">
        <f aca="false">SUM(Q3417,S3417,U3417,W3417,Y3417,AA3417,AC3417,AE3417,AG3417,AI3417,AK3417,AM3417,AO3417,AQ3417,AS3417,AU3417,AW3417,AY3417)</f>
        <v>3878</v>
      </c>
      <c r="BC3417" s="28" t="n">
        <f aca="false">BA3417-BB3417</f>
        <v>0</v>
      </c>
      <c r="BD3417" s="32" t="n">
        <f aca="false">SUM(P3417,R3417,T3417,V3417,X3417,Z3417,AB3417,AD3417,AF3417,AH3417,AJ3417,AL3417,AN3417,AP3417,AR3417,AT3417,AV3417,AX3417)</f>
        <v>554</v>
      </c>
      <c r="BE3417" s="33" t="n">
        <f aca="false">AZ3417-BD3417</f>
        <v>0</v>
      </c>
      <c r="BF3417" s="34" t="n">
        <f aca="false">BD3417*M3417</f>
        <v>3878</v>
      </c>
      <c r="BG3417" s="35" t="n">
        <f aca="false">BA3417-BF3417</f>
        <v>0</v>
      </c>
      <c r="BH3417" s="19" t="str">
        <f aca="false">IF(BG3417=0,"",IF(BG3417&lt;&gt;BA3417,"erreur de calcul",IF(BD3417&lt;&gt;0,"pas de prix",IF(M3417&lt;&gt; 0,"pas de quantité","pas de prix, ni de quantité"))))</f>
        <v/>
      </c>
      <c r="BI3417" s="19"/>
    </row>
    <row r="3418" customFormat="false" ht="15" hidden="false" customHeight="false" outlineLevel="0" collapsed="false">
      <c r="A3418" s="0" t="n">
        <v>11</v>
      </c>
      <c r="B3418" s="8" t="s">
        <v>24</v>
      </c>
      <c r="C3418" s="9" t="s">
        <v>25</v>
      </c>
      <c r="D3418" s="9" t="s">
        <v>26</v>
      </c>
      <c r="E3418" s="10" t="n">
        <v>1789</v>
      </c>
      <c r="F3418" s="9" t="s">
        <v>27</v>
      </c>
      <c r="G3418" s="9" t="s">
        <v>27</v>
      </c>
      <c r="H3418" s="11" t="n">
        <v>25</v>
      </c>
      <c r="I3418" s="11" t="s">
        <v>340</v>
      </c>
      <c r="J3418" s="14" t="n">
        <v>15</v>
      </c>
      <c r="K3418" s="14"/>
      <c r="L3418" s="16"/>
      <c r="M3418" s="27" t="n">
        <f aca="false">J3418+(K3418/20)+(L3418/240)</f>
        <v>15</v>
      </c>
      <c r="N3418" s="17" t="s">
        <v>64</v>
      </c>
      <c r="O3418" s="11"/>
      <c r="P3418" s="28" t="n">
        <f aca="false">470959/100</f>
        <v>4709.59</v>
      </c>
      <c r="Q3418" s="28" t="n">
        <v>70644</v>
      </c>
      <c r="R3418" s="28"/>
      <c r="S3418" s="28" t="n">
        <f aca="false">R3418*$M3418</f>
        <v>0</v>
      </c>
      <c r="T3418" s="28"/>
      <c r="U3418" s="28" t="n">
        <f aca="false">T3418*$M3418</f>
        <v>0</v>
      </c>
      <c r="V3418" s="28"/>
      <c r="W3418" s="28" t="n">
        <f aca="false">V3418*$M3418</f>
        <v>0</v>
      </c>
      <c r="X3418" s="28"/>
      <c r="Y3418" s="28" t="n">
        <f aca="false">X3418*$M3418</f>
        <v>0</v>
      </c>
      <c r="Z3418" s="28"/>
      <c r="AA3418" s="28" t="n">
        <f aca="false">Z3418*$M3418</f>
        <v>0</v>
      </c>
      <c r="AB3418" s="28" t="n">
        <f aca="false">50000/100</f>
        <v>500</v>
      </c>
      <c r="AC3418" s="28" t="n">
        <v>7500</v>
      </c>
      <c r="AD3418" s="28"/>
      <c r="AE3418" s="28" t="n">
        <f aca="false">AD3418*$M3418</f>
        <v>0</v>
      </c>
      <c r="AF3418" s="28" t="n">
        <f aca="false">15584/100</f>
        <v>155.84</v>
      </c>
      <c r="AG3418" s="28" t="n">
        <v>2338</v>
      </c>
      <c r="AH3418" s="28"/>
      <c r="AI3418" s="28" t="n">
        <f aca="false">AH3418*$M3418</f>
        <v>0</v>
      </c>
      <c r="AJ3418" s="28"/>
      <c r="AK3418" s="28" t="n">
        <f aca="false">AJ3418*$M3418</f>
        <v>0</v>
      </c>
      <c r="AL3418" s="28"/>
      <c r="AM3418" s="28" t="n">
        <f aca="false">AL3418*$M3418</f>
        <v>0</v>
      </c>
      <c r="AN3418" s="28"/>
      <c r="AO3418" s="28" t="n">
        <f aca="false">AN3418*$M3418</f>
        <v>0</v>
      </c>
      <c r="AP3418" s="28"/>
      <c r="AQ3418" s="28" t="n">
        <f aca="false">AP3418*$M3418</f>
        <v>0</v>
      </c>
      <c r="AR3418" s="28"/>
      <c r="AS3418" s="28" t="n">
        <f aca="false">AR3418*$M3418</f>
        <v>0</v>
      </c>
      <c r="AT3418" s="28"/>
      <c r="AU3418" s="28" t="n">
        <f aca="false">AT3418*$M3418</f>
        <v>0</v>
      </c>
      <c r="AV3418" s="28"/>
      <c r="AW3418" s="28" t="n">
        <f aca="false">AV3418*$M3418</f>
        <v>0</v>
      </c>
      <c r="AX3418" s="28"/>
      <c r="AY3418" s="28" t="n">
        <f aca="false">AX3418*$M3418</f>
        <v>0</v>
      </c>
      <c r="AZ3418" s="30" t="n">
        <f aca="false">535959/100</f>
        <v>5359.59</v>
      </c>
      <c r="BA3418" s="11" t="n">
        <v>80482</v>
      </c>
      <c r="BB3418" s="31" t="n">
        <f aca="false">SUM(Q3418,S3418,U3418,W3418,Y3418,AA3418,AC3418,AE3418,AG3418,AI3418,AK3418,AM3418,AO3418,AQ3418,AS3418,AU3418,AW3418,AY3418)</f>
        <v>80482</v>
      </c>
      <c r="BC3418" s="28" t="n">
        <f aca="false">BA3418-BB3418</f>
        <v>0</v>
      </c>
      <c r="BD3418" s="32" t="n">
        <f aca="false">SUM(P3418,R3418,T3418,V3418,X3418,Z3418,AB3418,AD3418,AF3418,AH3418,AJ3418,AL3418,AN3418,AP3418,AR3418,AT3418,AV3418,AX3418)</f>
        <v>5365.43</v>
      </c>
      <c r="BE3418" s="33" t="n">
        <f aca="false">AZ3418-BD3418</f>
        <v>-5.84000000000015</v>
      </c>
      <c r="BF3418" s="34" t="n">
        <f aca="false">BD3418*M3418</f>
        <v>80481.45</v>
      </c>
      <c r="BG3418" s="35" t="n">
        <f aca="false">BA3418-BF3418</f>
        <v>0.549999999988359</v>
      </c>
      <c r="BH3418" s="19" t="str">
        <f aca="false">IF(BG3418=0,"",IF(BG3418&lt;&gt;BA3418,"erreur de calcul",IF(BD3418&lt;&gt;0,"pas de prix",IF(M3418&lt;&gt; 0,"pas de quantité","pas de prix, ni de quantité"))))</f>
        <v>erreur de calcul</v>
      </c>
      <c r="BI3418" s="19"/>
    </row>
    <row r="3419" customFormat="false" ht="15" hidden="false" customHeight="false" outlineLevel="0" collapsed="false">
      <c r="A3419" s="0" t="n">
        <v>12</v>
      </c>
      <c r="B3419" s="8" t="s">
        <v>24</v>
      </c>
      <c r="C3419" s="9" t="s">
        <v>25</v>
      </c>
      <c r="D3419" s="9" t="s">
        <v>26</v>
      </c>
      <c r="E3419" s="10" t="n">
        <v>1789</v>
      </c>
      <c r="F3419" s="9" t="s">
        <v>27</v>
      </c>
      <c r="G3419" s="9" t="s">
        <v>27</v>
      </c>
      <c r="H3419" s="11" t="n">
        <v>25</v>
      </c>
      <c r="I3419" s="11" t="s">
        <v>341</v>
      </c>
      <c r="J3419" s="14" t="n">
        <v>75</v>
      </c>
      <c r="K3419" s="14"/>
      <c r="L3419" s="16"/>
      <c r="M3419" s="27" t="n">
        <f aca="false">J3419+(K3419/20)+(L3419/240)</f>
        <v>75</v>
      </c>
      <c r="N3419" s="17" t="s">
        <v>85</v>
      </c>
      <c r="O3419" s="11"/>
      <c r="P3419" s="28"/>
      <c r="Q3419" s="28" t="n">
        <f aca="false">P3419*$M3419</f>
        <v>0</v>
      </c>
      <c r="R3419" s="28"/>
      <c r="S3419" s="28" t="n">
        <f aca="false">R3419*$M3419</f>
        <v>0</v>
      </c>
      <c r="T3419" s="28"/>
      <c r="U3419" s="28" t="n">
        <f aca="false">T3419*$M3419</f>
        <v>0</v>
      </c>
      <c r="V3419" s="28"/>
      <c r="W3419" s="28" t="n">
        <f aca="false">V3419*$M3419</f>
        <v>0</v>
      </c>
      <c r="X3419" s="28"/>
      <c r="Y3419" s="28" t="n">
        <f aca="false">X3419*$M3419</f>
        <v>0</v>
      </c>
      <c r="Z3419" s="28"/>
      <c r="AA3419" s="28" t="n">
        <f aca="false">Z3419*$M3419</f>
        <v>0</v>
      </c>
      <c r="AB3419" s="28"/>
      <c r="AC3419" s="28" t="n">
        <f aca="false">AB3419*$M3419</f>
        <v>0</v>
      </c>
      <c r="AD3419" s="28"/>
      <c r="AE3419" s="28" t="n">
        <f aca="false">AD3419*$M3419</f>
        <v>0</v>
      </c>
      <c r="AF3419" s="28"/>
      <c r="AG3419" s="28" t="n">
        <f aca="false">AF3419*$M3419</f>
        <v>0</v>
      </c>
      <c r="AH3419" s="28"/>
      <c r="AI3419" s="28" t="n">
        <f aca="false">AH3419*$M3419</f>
        <v>0</v>
      </c>
      <c r="AJ3419" s="28"/>
      <c r="AK3419" s="28" t="n">
        <f aca="false">AJ3419*$M3419</f>
        <v>0</v>
      </c>
      <c r="AL3419" s="28" t="n">
        <f aca="false">2584/100</f>
        <v>25.84</v>
      </c>
      <c r="AM3419" s="28" t="n">
        <v>1938</v>
      </c>
      <c r="AN3419" s="28"/>
      <c r="AO3419" s="28" t="n">
        <f aca="false">AN3419*$M3419</f>
        <v>0</v>
      </c>
      <c r="AP3419" s="28"/>
      <c r="AQ3419" s="28" t="n">
        <f aca="false">AP3419*$M3419</f>
        <v>0</v>
      </c>
      <c r="AR3419" s="28"/>
      <c r="AS3419" s="28" t="n">
        <f aca="false">AR3419*$M3419</f>
        <v>0</v>
      </c>
      <c r="AT3419" s="28"/>
      <c r="AU3419" s="28" t="n">
        <f aca="false">AT3419*$M3419</f>
        <v>0</v>
      </c>
      <c r="AV3419" s="28"/>
      <c r="AW3419" s="28" t="n">
        <f aca="false">AV3419*$M3419</f>
        <v>0</v>
      </c>
      <c r="AX3419" s="28"/>
      <c r="AY3419" s="28" t="n">
        <f aca="false">AX3419*$M3419</f>
        <v>0</v>
      </c>
      <c r="AZ3419" s="30" t="n">
        <f aca="false">2584/100</f>
        <v>25.84</v>
      </c>
      <c r="BA3419" s="11" t="n">
        <v>1938</v>
      </c>
      <c r="BB3419" s="31" t="n">
        <f aca="false">SUM(Q3419,S3419,U3419,W3419,Y3419,AA3419,AC3419,AE3419,AG3419,AI3419,AK3419,AM3419,AO3419,AQ3419,AS3419,AU3419,AW3419,AY3419)</f>
        <v>1938</v>
      </c>
      <c r="BC3419" s="28" t="n">
        <f aca="false">BA3419-BB3419</f>
        <v>0</v>
      </c>
      <c r="BD3419" s="32" t="n">
        <f aca="false">SUM(P3419,R3419,T3419,V3419,X3419,Z3419,AB3419,AD3419,AF3419,AH3419,AJ3419,AL3419,AN3419,AP3419,AR3419,AT3419,AV3419,AX3419)</f>
        <v>25.84</v>
      </c>
      <c r="BE3419" s="33" t="n">
        <f aca="false">AZ3419-BD3419</f>
        <v>0</v>
      </c>
      <c r="BF3419" s="34" t="n">
        <f aca="false">BD3419*M3419</f>
        <v>1938</v>
      </c>
      <c r="BG3419" s="35" t="n">
        <f aca="false">BA3419-BF3419</f>
        <v>0</v>
      </c>
      <c r="BH3419" s="19" t="str">
        <f aca="false">IF(BG3419=0,"",IF(BG3419&lt;&gt;BA3419,"erreur de calcul",IF(BD3419&lt;&gt;0,"pas de prix",IF(M3419&lt;&gt; 0,"pas de quantité","pas de prix, ni de quantité"))))</f>
        <v/>
      </c>
      <c r="BI3419" s="19"/>
    </row>
    <row r="3420" customFormat="false" ht="15" hidden="false" customHeight="false" outlineLevel="0" collapsed="false">
      <c r="A3420" s="0" t="n">
        <v>13</v>
      </c>
      <c r="B3420" s="8" t="s">
        <v>24</v>
      </c>
      <c r="C3420" s="9" t="s">
        <v>25</v>
      </c>
      <c r="D3420" s="9" t="s">
        <v>26</v>
      </c>
      <c r="E3420" s="10" t="n">
        <v>1789</v>
      </c>
      <c r="F3420" s="9" t="s">
        <v>27</v>
      </c>
      <c r="G3420" s="9" t="s">
        <v>27</v>
      </c>
      <c r="H3420" s="11" t="n">
        <v>25</v>
      </c>
      <c r="I3420" s="11" t="s">
        <v>342</v>
      </c>
      <c r="J3420" s="14" t="n">
        <v>10</v>
      </c>
      <c r="K3420" s="14"/>
      <c r="L3420" s="16"/>
      <c r="M3420" s="27" t="n">
        <f aca="false">J3420+(K3420/20)+(L3420/240)</f>
        <v>10</v>
      </c>
      <c r="N3420" s="17" t="s">
        <v>66</v>
      </c>
      <c r="O3420" s="11"/>
      <c r="P3420" s="28"/>
      <c r="Q3420" s="28" t="n">
        <f aca="false">P3420*$M3420</f>
        <v>0</v>
      </c>
      <c r="R3420" s="28" t="n">
        <v>827</v>
      </c>
      <c r="S3420" s="28" t="n">
        <v>8270</v>
      </c>
      <c r="T3420" s="28"/>
      <c r="U3420" s="28" t="n">
        <f aca="false">T3420*$M3420</f>
        <v>0</v>
      </c>
      <c r="V3420" s="28"/>
      <c r="W3420" s="28" t="n">
        <f aca="false">V3420*$M3420</f>
        <v>0</v>
      </c>
      <c r="X3420" s="28"/>
      <c r="Y3420" s="28" t="n">
        <f aca="false">X3420*$M3420</f>
        <v>0</v>
      </c>
      <c r="Z3420" s="28"/>
      <c r="AA3420" s="28" t="n">
        <f aca="false">Z3420*$M3420</f>
        <v>0</v>
      </c>
      <c r="AB3420" s="28"/>
      <c r="AC3420" s="28" t="n">
        <f aca="false">AB3420*$M3420</f>
        <v>0</v>
      </c>
      <c r="AD3420" s="28"/>
      <c r="AE3420" s="28" t="n">
        <f aca="false">AD3420*$M3420</f>
        <v>0</v>
      </c>
      <c r="AF3420" s="28"/>
      <c r="AG3420" s="28" t="n">
        <f aca="false">AF3420*$M3420</f>
        <v>0</v>
      </c>
      <c r="AH3420" s="28"/>
      <c r="AI3420" s="28" t="n">
        <f aca="false">AH3420*$M3420</f>
        <v>0</v>
      </c>
      <c r="AJ3420" s="28"/>
      <c r="AK3420" s="28" t="n">
        <f aca="false">AJ3420*$M3420</f>
        <v>0</v>
      </c>
      <c r="AL3420" s="28"/>
      <c r="AM3420" s="28" t="n">
        <f aca="false">AL3420*$M3420</f>
        <v>0</v>
      </c>
      <c r="AN3420" s="28"/>
      <c r="AO3420" s="28" t="n">
        <f aca="false">AN3420*$M3420</f>
        <v>0</v>
      </c>
      <c r="AP3420" s="28"/>
      <c r="AQ3420" s="28" t="n">
        <f aca="false">AP3420*$M3420</f>
        <v>0</v>
      </c>
      <c r="AR3420" s="28"/>
      <c r="AS3420" s="28" t="n">
        <f aca="false">AR3420*$M3420</f>
        <v>0</v>
      </c>
      <c r="AT3420" s="28"/>
      <c r="AU3420" s="28" t="n">
        <f aca="false">AT3420*$M3420</f>
        <v>0</v>
      </c>
      <c r="AV3420" s="28"/>
      <c r="AW3420" s="28" t="n">
        <f aca="false">AV3420*$M3420</f>
        <v>0</v>
      </c>
      <c r="AX3420" s="28"/>
      <c r="AY3420" s="28" t="n">
        <f aca="false">AX3420*$M3420</f>
        <v>0</v>
      </c>
      <c r="AZ3420" s="30" t="n">
        <v>827</v>
      </c>
      <c r="BA3420" s="11" t="n">
        <v>8270</v>
      </c>
      <c r="BB3420" s="31" t="n">
        <f aca="false">SUM(Q3420,S3420,U3420,W3420,Y3420,AA3420,AC3420,AE3420,AG3420,AI3420,AK3420,AM3420,AO3420,AQ3420,AS3420,AU3420,AW3420,AY3420)</f>
        <v>8270</v>
      </c>
      <c r="BC3420" s="28" t="n">
        <f aca="false">BA3420-BB3420</f>
        <v>0</v>
      </c>
      <c r="BD3420" s="32" t="n">
        <f aca="false">SUM(P3420,R3420,T3420,V3420,X3420,Z3420,AB3420,AD3420,AF3420,AH3420,AJ3420,AL3420,AN3420,AP3420,AR3420,AT3420,AV3420,AX3420)</f>
        <v>827</v>
      </c>
      <c r="BE3420" s="33" t="n">
        <f aca="false">AZ3420-BD3420</f>
        <v>0</v>
      </c>
      <c r="BF3420" s="34" t="n">
        <f aca="false">BD3420*M3420</f>
        <v>8270</v>
      </c>
      <c r="BG3420" s="35" t="n">
        <f aca="false">BA3420-BF3420</f>
        <v>0</v>
      </c>
      <c r="BH3420" s="19" t="str">
        <f aca="false">IF(BG3420=0,"",IF(BG3420&lt;&gt;BA3420,"erreur de calcul",IF(BD3420&lt;&gt;0,"pas de prix",IF(M3420&lt;&gt; 0,"pas de quantité","pas de prix, ni de quantité"))))</f>
        <v/>
      </c>
      <c r="BI3420" s="19"/>
    </row>
    <row r="3421" customFormat="false" ht="15" hidden="false" customHeight="false" outlineLevel="0" collapsed="false">
      <c r="A3421" s="0" t="n">
        <v>14</v>
      </c>
      <c r="B3421" s="8" t="s">
        <v>24</v>
      </c>
      <c r="C3421" s="9" t="s">
        <v>25</v>
      </c>
      <c r="D3421" s="9" t="s">
        <v>26</v>
      </c>
      <c r="E3421" s="10" t="n">
        <v>1789</v>
      </c>
      <c r="F3421" s="9" t="s">
        <v>27</v>
      </c>
      <c r="G3421" s="9" t="s">
        <v>27</v>
      </c>
      <c r="H3421" s="11" t="n">
        <v>25</v>
      </c>
      <c r="I3421" s="11" t="s">
        <v>343</v>
      </c>
      <c r="J3421" s="14" t="n">
        <v>4</v>
      </c>
      <c r="K3421" s="14"/>
      <c r="L3421" s="16"/>
      <c r="M3421" s="27" t="n">
        <f aca="false">J3421+(K3421/20)+(L3421/240)</f>
        <v>4</v>
      </c>
      <c r="N3421" s="17" t="s">
        <v>69</v>
      </c>
      <c r="O3421" s="11"/>
      <c r="P3421" s="28"/>
      <c r="Q3421" s="28" t="n">
        <f aca="false">P3421*$M3421</f>
        <v>0</v>
      </c>
      <c r="R3421" s="28"/>
      <c r="S3421" s="28" t="n">
        <f aca="false">R3421*$M3421</f>
        <v>0</v>
      </c>
      <c r="T3421" s="28"/>
      <c r="U3421" s="28" t="n">
        <f aca="false">T3421*$M3421</f>
        <v>0</v>
      </c>
      <c r="V3421" s="28" t="n">
        <v>2198</v>
      </c>
      <c r="W3421" s="28" t="n">
        <v>8792</v>
      </c>
      <c r="X3421" s="28"/>
      <c r="Y3421" s="28" t="n">
        <f aca="false">X3421*$M3421</f>
        <v>0</v>
      </c>
      <c r="Z3421" s="28"/>
      <c r="AA3421" s="28" t="n">
        <f aca="false">Z3421*$M3421</f>
        <v>0</v>
      </c>
      <c r="AB3421" s="28"/>
      <c r="AC3421" s="28" t="n">
        <f aca="false">AB3421*$M3421</f>
        <v>0</v>
      </c>
      <c r="AD3421" s="28"/>
      <c r="AE3421" s="28" t="n">
        <f aca="false">AD3421*$M3421</f>
        <v>0</v>
      </c>
      <c r="AF3421" s="28"/>
      <c r="AG3421" s="28" t="n">
        <f aca="false">AF3421*$M3421</f>
        <v>0</v>
      </c>
      <c r="AH3421" s="28"/>
      <c r="AI3421" s="28" t="n">
        <f aca="false">AH3421*$M3421</f>
        <v>0</v>
      </c>
      <c r="AJ3421" s="28"/>
      <c r="AK3421" s="28" t="n">
        <f aca="false">AJ3421*$M3421</f>
        <v>0</v>
      </c>
      <c r="AL3421" s="28"/>
      <c r="AM3421" s="28" t="n">
        <f aca="false">AL3421*$M3421</f>
        <v>0</v>
      </c>
      <c r="AN3421" s="28"/>
      <c r="AO3421" s="28" t="n">
        <f aca="false">AN3421*$M3421</f>
        <v>0</v>
      </c>
      <c r="AP3421" s="28"/>
      <c r="AQ3421" s="28" t="n">
        <f aca="false">AP3421*$M3421</f>
        <v>0</v>
      </c>
      <c r="AR3421" s="28"/>
      <c r="AS3421" s="28" t="n">
        <f aca="false">AR3421*$M3421</f>
        <v>0</v>
      </c>
      <c r="AT3421" s="28"/>
      <c r="AU3421" s="28" t="n">
        <f aca="false">AT3421*$M3421</f>
        <v>0</v>
      </c>
      <c r="AV3421" s="28"/>
      <c r="AW3421" s="28" t="n">
        <f aca="false">AV3421*$M3421</f>
        <v>0</v>
      </c>
      <c r="AX3421" s="28"/>
      <c r="AY3421" s="28" t="n">
        <f aca="false">AX3421*$M3421</f>
        <v>0</v>
      </c>
      <c r="AZ3421" s="30" t="n">
        <v>2198</v>
      </c>
      <c r="BA3421" s="11" t="n">
        <v>8792</v>
      </c>
      <c r="BB3421" s="31" t="n">
        <f aca="false">SUM(Q3421,S3421,U3421,W3421,Y3421,AA3421,AC3421,AE3421,AG3421,AI3421,AK3421,AM3421,AO3421,AQ3421,AS3421,AU3421,AW3421,AY3421)</f>
        <v>8792</v>
      </c>
      <c r="BC3421" s="28" t="n">
        <f aca="false">BA3421-BB3421</f>
        <v>0</v>
      </c>
      <c r="BD3421" s="32" t="n">
        <f aca="false">SUM(P3421,R3421,T3421,V3421,X3421,Z3421,AB3421,AD3421,AF3421,AH3421,AJ3421,AL3421,AN3421,AP3421,AR3421,AT3421,AV3421,AX3421)</f>
        <v>2198</v>
      </c>
      <c r="BE3421" s="33" t="n">
        <f aca="false">AZ3421-BD3421</f>
        <v>0</v>
      </c>
      <c r="BF3421" s="34" t="n">
        <f aca="false">BD3421*M3421</f>
        <v>8792</v>
      </c>
      <c r="BG3421" s="35" t="n">
        <f aca="false">BA3421-BF3421</f>
        <v>0</v>
      </c>
      <c r="BH3421" s="19" t="str">
        <f aca="false">IF(BG3421=0,"",IF(BG3421&lt;&gt;BA3421,"erreur de calcul",IF(BD3421&lt;&gt;0,"pas de prix",IF(M3421&lt;&gt; 0,"pas de quantité","pas de prix, ni de quantité"))))</f>
        <v/>
      </c>
      <c r="BI3421" s="19"/>
    </row>
    <row r="3422" customFormat="false" ht="15" hidden="false" customHeight="false" outlineLevel="0" collapsed="false">
      <c r="A3422" s="0" t="n">
        <v>15</v>
      </c>
      <c r="B3422" s="8" t="s">
        <v>24</v>
      </c>
      <c r="C3422" s="9" t="s">
        <v>25</v>
      </c>
      <c r="D3422" s="9" t="s">
        <v>26</v>
      </c>
      <c r="E3422" s="10" t="n">
        <v>1789</v>
      </c>
      <c r="F3422" s="9" t="s">
        <v>27</v>
      </c>
      <c r="G3422" s="9" t="s">
        <v>27</v>
      </c>
      <c r="H3422" s="11" t="n">
        <v>25</v>
      </c>
      <c r="I3422" s="11" t="s">
        <v>344</v>
      </c>
      <c r="J3422" s="14" t="n">
        <v>2000</v>
      </c>
      <c r="K3422" s="14"/>
      <c r="L3422" s="16"/>
      <c r="M3422" s="27" t="n">
        <f aca="false">J3422+(K3422/20)+(L3422/240)</f>
        <v>2000</v>
      </c>
      <c r="N3422" s="17" t="s">
        <v>64</v>
      </c>
      <c r="O3422" s="11" t="s">
        <v>277</v>
      </c>
      <c r="P3422" s="28"/>
      <c r="Q3422" s="28" t="n">
        <f aca="false">P3422*$M3422</f>
        <v>0</v>
      </c>
      <c r="R3422" s="28"/>
      <c r="S3422" s="28" t="n">
        <f aca="false">R3422*$M3422</f>
        <v>0</v>
      </c>
      <c r="T3422" s="28"/>
      <c r="U3422" s="28" t="n">
        <f aca="false">T3422*$M3422</f>
        <v>0</v>
      </c>
      <c r="V3422" s="28"/>
      <c r="W3422" s="28" t="n">
        <f aca="false">V3422*$M3422</f>
        <v>0</v>
      </c>
      <c r="X3422" s="28"/>
      <c r="Y3422" s="28" t="n">
        <f aca="false">X3422*$M3422</f>
        <v>0</v>
      </c>
      <c r="Z3422" s="28"/>
      <c r="AA3422" s="28" t="n">
        <f aca="false">Z3422*$M3422</f>
        <v>0</v>
      </c>
      <c r="AB3422" s="28"/>
      <c r="AC3422" s="28" t="n">
        <f aca="false">AB3422*$M3422</f>
        <v>0</v>
      </c>
      <c r="AD3422" s="28"/>
      <c r="AE3422" s="28" t="n">
        <f aca="false">AD3422*$M3422</f>
        <v>0</v>
      </c>
      <c r="AF3422" s="28"/>
      <c r="AG3422" s="28" t="n">
        <f aca="false">AF3422*$M3422</f>
        <v>0</v>
      </c>
      <c r="AH3422" s="28"/>
      <c r="AI3422" s="28" t="n">
        <f aca="false">AH3422*$M3422</f>
        <v>0</v>
      </c>
      <c r="AJ3422" s="28"/>
      <c r="AK3422" s="28" t="n">
        <f aca="false">AJ3422*$M3422</f>
        <v>0</v>
      </c>
      <c r="AL3422" s="28"/>
      <c r="AM3422" s="28" t="n">
        <f aca="false">AL3422*$M3422</f>
        <v>0</v>
      </c>
      <c r="AN3422" s="28"/>
      <c r="AO3422" s="28" t="n">
        <f aca="false">AN3422*$M3422</f>
        <v>0</v>
      </c>
      <c r="AP3422" s="28"/>
      <c r="AQ3422" s="28" t="n">
        <f aca="false">AP3422*$M3422</f>
        <v>0</v>
      </c>
      <c r="AR3422" s="28"/>
      <c r="AS3422" s="28" t="n">
        <f aca="false">AR3422*$M3422</f>
        <v>0</v>
      </c>
      <c r="AT3422" s="28"/>
      <c r="AU3422" s="28" t="n">
        <f aca="false">AT3422*$M3422</f>
        <v>0</v>
      </c>
      <c r="AV3422" s="28"/>
      <c r="AW3422" s="28" t="n">
        <f aca="false">AV3422*$M3422</f>
        <v>0</v>
      </c>
      <c r="AX3422" s="28"/>
      <c r="AY3422" s="28" t="n">
        <f aca="false">AX3422*$M3422</f>
        <v>0</v>
      </c>
      <c r="AZ3422" s="30"/>
      <c r="BA3422" s="11"/>
      <c r="BB3422" s="31" t="n">
        <f aca="false">SUM(Q3422,S3422,U3422,W3422,Y3422,AA3422,AC3422,AE3422,AG3422,AI3422,AK3422,AM3422,AO3422,AQ3422,AS3422,AU3422,AW3422,AY3422)</f>
        <v>0</v>
      </c>
      <c r="BC3422" s="28" t="n">
        <f aca="false">BA3422-BB3422</f>
        <v>0</v>
      </c>
      <c r="BD3422" s="32" t="n">
        <f aca="false">SUM(P3422,R3422,T3422,V3422,X3422,Z3422,AB3422,AD3422,AF3422,AH3422,AJ3422,AL3422,AN3422,AP3422,AR3422,AT3422,AV3422,AX3422)</f>
        <v>0</v>
      </c>
      <c r="BE3422" s="33" t="n">
        <f aca="false">AZ3422-BD3422</f>
        <v>0</v>
      </c>
      <c r="BF3422" s="34" t="n">
        <f aca="false">BD3422*M3422</f>
        <v>0</v>
      </c>
      <c r="BG3422" s="35" t="n">
        <f aca="false">BA3422-BF3422</f>
        <v>0</v>
      </c>
      <c r="BH3422" s="19" t="str">
        <f aca="false">IF(BG3422=0,"",IF(BG3422&lt;&gt;BA3422,"erreur de calcul",IF(BD3422&lt;&gt;0,"pas de prix",IF(M3422&lt;&gt; 0,"pas de quantité","pas de prix, ni de quantité"))))</f>
        <v/>
      </c>
      <c r="BI3422" s="19"/>
    </row>
    <row r="3423" customFormat="false" ht="15" hidden="false" customHeight="false" outlineLevel="0" collapsed="false">
      <c r="A3423" s="0" t="n">
        <v>16</v>
      </c>
      <c r="B3423" s="8" t="s">
        <v>24</v>
      </c>
      <c r="C3423" s="9" t="s">
        <v>25</v>
      </c>
      <c r="D3423" s="9" t="s">
        <v>26</v>
      </c>
      <c r="E3423" s="10" t="n">
        <v>1789</v>
      </c>
      <c r="F3423" s="9" t="s">
        <v>27</v>
      </c>
      <c r="G3423" s="9" t="s">
        <v>27</v>
      </c>
      <c r="H3423" s="11" t="n">
        <v>25</v>
      </c>
      <c r="I3423" s="11" t="s">
        <v>344</v>
      </c>
      <c r="J3423" s="14" t="n">
        <v>2000</v>
      </c>
      <c r="K3423" s="14"/>
      <c r="L3423" s="16"/>
      <c r="M3423" s="27" t="n">
        <f aca="false">J3423+(K3423/20)+(L3423/240)</f>
        <v>2000</v>
      </c>
      <c r="N3423" s="17" t="s">
        <v>64</v>
      </c>
      <c r="O3423" s="11" t="s">
        <v>98</v>
      </c>
      <c r="P3423" s="28"/>
      <c r="Q3423" s="28" t="n">
        <f aca="false">P3423*$M3423</f>
        <v>0</v>
      </c>
      <c r="R3423" s="28"/>
      <c r="S3423" s="28" t="n">
        <f aca="false">R3423*$M3423</f>
        <v>0</v>
      </c>
      <c r="T3423" s="28"/>
      <c r="U3423" s="28" t="n">
        <f aca="false">T3423*$M3423</f>
        <v>0</v>
      </c>
      <c r="V3423" s="28"/>
      <c r="W3423" s="28" t="n">
        <f aca="false">V3423*$M3423</f>
        <v>0</v>
      </c>
      <c r="X3423" s="28" t="n">
        <f aca="false">607/100</f>
        <v>6.07</v>
      </c>
      <c r="Y3423" s="28" t="n">
        <f aca="false">X3423*$M3423</f>
        <v>12140</v>
      </c>
      <c r="Z3423" s="28"/>
      <c r="AA3423" s="28" t="n">
        <f aca="false">Z3423*$M3423</f>
        <v>0</v>
      </c>
      <c r="AB3423" s="28"/>
      <c r="AC3423" s="28" t="n">
        <f aca="false">AB3423*$M3423</f>
        <v>0</v>
      </c>
      <c r="AD3423" s="28"/>
      <c r="AE3423" s="28" t="n">
        <f aca="false">AD3423*$M3423</f>
        <v>0</v>
      </c>
      <c r="AF3423" s="28"/>
      <c r="AG3423" s="28" t="n">
        <f aca="false">AF3423*$M3423</f>
        <v>0</v>
      </c>
      <c r="AH3423" s="28"/>
      <c r="AI3423" s="28" t="n">
        <f aca="false">AH3423*$M3423</f>
        <v>0</v>
      </c>
      <c r="AJ3423" s="28"/>
      <c r="AK3423" s="28" t="n">
        <f aca="false">AJ3423*$M3423</f>
        <v>0</v>
      </c>
      <c r="AL3423" s="28" t="n">
        <f aca="false">145/100</f>
        <v>1.45</v>
      </c>
      <c r="AM3423" s="28" t="n">
        <f aca="false">AL3423*$M3423</f>
        <v>2900</v>
      </c>
      <c r="AN3423" s="28" t="n">
        <f aca="false">3865/100</f>
        <v>38.65</v>
      </c>
      <c r="AO3423" s="28" t="n">
        <v>77300</v>
      </c>
      <c r="AP3423" s="28"/>
      <c r="AQ3423" s="28" t="n">
        <f aca="false">AP3423*$M3423</f>
        <v>0</v>
      </c>
      <c r="AR3423" s="28"/>
      <c r="AS3423" s="28" t="n">
        <f aca="false">AR3423*$M3423</f>
        <v>0</v>
      </c>
      <c r="AT3423" s="28"/>
      <c r="AU3423" s="28" t="n">
        <f aca="false">AT3423*$M3423</f>
        <v>0</v>
      </c>
      <c r="AV3423" s="28"/>
      <c r="AW3423" s="28" t="n">
        <f aca="false">AV3423*$M3423</f>
        <v>0</v>
      </c>
      <c r="AX3423" s="28"/>
      <c r="AY3423" s="28" t="n">
        <f aca="false">AX3423*$M3423</f>
        <v>0</v>
      </c>
      <c r="AZ3423" s="30" t="n">
        <f aca="false">4617/100</f>
        <v>46.17</v>
      </c>
      <c r="BA3423" s="11" t="n">
        <v>92340</v>
      </c>
      <c r="BB3423" s="31" t="n">
        <f aca="false">SUM(Q3423,S3423,U3423,W3423,Y3423,AA3423,AC3423,AE3423,AG3423,AI3423,AK3423,AM3423,AO3423,AQ3423,AS3423,AU3423,AW3423,AY3423)</f>
        <v>92340</v>
      </c>
      <c r="BC3423" s="28" t="n">
        <f aca="false">BA3423-BB3423</f>
        <v>0</v>
      </c>
      <c r="BD3423" s="32" t="n">
        <f aca="false">SUM(P3423,R3423,T3423,V3423,X3423,Z3423,AB3423,AD3423,AF3423,AH3423,AJ3423,AL3423,AN3423,AP3423,AR3423,AT3423,AV3423,AX3423)</f>
        <v>46.17</v>
      </c>
      <c r="BE3423" s="33" t="n">
        <f aca="false">AZ3423-BD3423</f>
        <v>0</v>
      </c>
      <c r="BF3423" s="34" t="n">
        <f aca="false">BD3423*M3423</f>
        <v>92340</v>
      </c>
      <c r="BG3423" s="35" t="n">
        <f aca="false">BA3423-BF3423</f>
        <v>0</v>
      </c>
      <c r="BH3423" s="19" t="str">
        <f aca="false">IF(BG3423=0,"",IF(BG3423&lt;&gt;BA3423,"erreur de calcul",IF(BD3423&lt;&gt;0,"pas de prix",IF(M3423&lt;&gt; 0,"pas de quantité","pas de prix, ni de quantité"))))</f>
        <v/>
      </c>
      <c r="BI3423" s="19"/>
    </row>
    <row r="3424" customFormat="false" ht="15" hidden="false" customHeight="false" outlineLevel="0" collapsed="false">
      <c r="A3424" s="0" t="n">
        <v>17</v>
      </c>
      <c r="B3424" s="8" t="s">
        <v>24</v>
      </c>
      <c r="C3424" s="9" t="s">
        <v>25</v>
      </c>
      <c r="D3424" s="9" t="s">
        <v>26</v>
      </c>
      <c r="E3424" s="10" t="n">
        <v>1789</v>
      </c>
      <c r="F3424" s="9" t="s">
        <v>27</v>
      </c>
      <c r="G3424" s="9" t="s">
        <v>27</v>
      </c>
      <c r="H3424" s="11" t="n">
        <v>25</v>
      </c>
      <c r="I3424" s="11" t="s">
        <v>345</v>
      </c>
      <c r="J3424" s="14"/>
      <c r="K3424" s="14" t="n">
        <v>12</v>
      </c>
      <c r="L3424" s="16"/>
      <c r="M3424" s="27" t="n">
        <f aca="false">J3424+(K3424/20)+(L3424/240)</f>
        <v>0.6</v>
      </c>
      <c r="N3424" s="17" t="s">
        <v>66</v>
      </c>
      <c r="O3424" s="11"/>
      <c r="P3424" s="28"/>
      <c r="Q3424" s="28" t="n">
        <f aca="false">P3424*$M3424</f>
        <v>0</v>
      </c>
      <c r="R3424" s="28"/>
      <c r="S3424" s="28" t="n">
        <f aca="false">R3424*$M3424</f>
        <v>0</v>
      </c>
      <c r="T3424" s="28"/>
      <c r="U3424" s="28" t="n">
        <f aca="false">T3424*$M3424</f>
        <v>0</v>
      </c>
      <c r="V3424" s="28"/>
      <c r="W3424" s="28" t="n">
        <f aca="false">V3424*$M3424</f>
        <v>0</v>
      </c>
      <c r="X3424" s="28"/>
      <c r="Y3424" s="28" t="n">
        <f aca="false">X3424*$M3424</f>
        <v>0</v>
      </c>
      <c r="Z3424" s="28"/>
      <c r="AA3424" s="28" t="n">
        <f aca="false">Z3424*$M3424</f>
        <v>0</v>
      </c>
      <c r="AB3424" s="28"/>
      <c r="AC3424" s="28" t="n">
        <f aca="false">AB3424*$M3424</f>
        <v>0</v>
      </c>
      <c r="AD3424" s="28"/>
      <c r="AE3424" s="28" t="n">
        <f aca="false">AD3424*$M3424</f>
        <v>0</v>
      </c>
      <c r="AF3424" s="28"/>
      <c r="AG3424" s="28" t="n">
        <f aca="false">AF3424*$M3424</f>
        <v>0</v>
      </c>
      <c r="AH3424" s="28"/>
      <c r="AI3424" s="28" t="n">
        <f aca="false">AH3424*$M3424</f>
        <v>0</v>
      </c>
      <c r="AJ3424" s="28" t="n">
        <v>41194</v>
      </c>
      <c r="AK3424" s="28" t="n">
        <v>24716</v>
      </c>
      <c r="AL3424" s="28"/>
      <c r="AM3424" s="28" t="n">
        <f aca="false">AL3424*$M3424</f>
        <v>0</v>
      </c>
      <c r="AN3424" s="28"/>
      <c r="AO3424" s="28" t="n">
        <f aca="false">AN3424*$M3424</f>
        <v>0</v>
      </c>
      <c r="AP3424" s="28"/>
      <c r="AQ3424" s="28" t="n">
        <f aca="false">AP3424*$M3424</f>
        <v>0</v>
      </c>
      <c r="AR3424" s="28"/>
      <c r="AS3424" s="28" t="n">
        <f aca="false">AR3424*$M3424</f>
        <v>0</v>
      </c>
      <c r="AT3424" s="28"/>
      <c r="AU3424" s="28" t="n">
        <f aca="false">AT3424*$M3424</f>
        <v>0</v>
      </c>
      <c r="AV3424" s="28"/>
      <c r="AW3424" s="28" t="n">
        <f aca="false">AV3424*$M3424</f>
        <v>0</v>
      </c>
      <c r="AX3424" s="28"/>
      <c r="AY3424" s="28" t="n">
        <f aca="false">AX3424*$M3424</f>
        <v>0</v>
      </c>
      <c r="AZ3424" s="30" t="n">
        <v>41194</v>
      </c>
      <c r="BA3424" s="11" t="n">
        <v>24716</v>
      </c>
      <c r="BB3424" s="31" t="n">
        <f aca="false">SUM(Q3424,S3424,U3424,W3424,Y3424,AA3424,AC3424,AE3424,AG3424,AI3424,AK3424,AM3424,AO3424,AQ3424,AS3424,AU3424,AW3424,AY3424)</f>
        <v>24716</v>
      </c>
      <c r="BC3424" s="28" t="n">
        <f aca="false">BA3424-BB3424</f>
        <v>0</v>
      </c>
      <c r="BD3424" s="32" t="n">
        <f aca="false">SUM(P3424,R3424,T3424,V3424,X3424,Z3424,AB3424,AD3424,AF3424,AH3424,AJ3424,AL3424,AN3424,AP3424,AR3424,AT3424,AV3424,AX3424)</f>
        <v>41194</v>
      </c>
      <c r="BE3424" s="33" t="n">
        <f aca="false">AZ3424-BD3424</f>
        <v>0</v>
      </c>
      <c r="BF3424" s="34" t="n">
        <f aca="false">BD3424*M3424</f>
        <v>24716.4</v>
      </c>
      <c r="BG3424" s="35" t="n">
        <f aca="false">BA3424-BF3424</f>
        <v>-0.399999999997817</v>
      </c>
      <c r="BH3424" s="19" t="str">
        <f aca="false">IF(BG3424=0,"",IF(BG3424&lt;&gt;BA3424,"erreur de calcul",IF(BD3424&lt;&gt;0,"pas de prix",IF(M3424&lt;&gt; 0,"pas de quantité","pas de prix, ni de quantité"))))</f>
        <v>erreur de calcul</v>
      </c>
      <c r="BI3424" s="19"/>
    </row>
    <row r="3425" customFormat="false" ht="15" hidden="false" customHeight="false" outlineLevel="0" collapsed="false">
      <c r="A3425" s="0" t="n">
        <v>18</v>
      </c>
      <c r="B3425" s="8" t="s">
        <v>24</v>
      </c>
      <c r="C3425" s="9" t="s">
        <v>25</v>
      </c>
      <c r="D3425" s="9" t="s">
        <v>26</v>
      </c>
      <c r="E3425" s="10" t="n">
        <v>1789</v>
      </c>
      <c r="F3425" s="9" t="s">
        <v>27</v>
      </c>
      <c r="G3425" s="9" t="s">
        <v>27</v>
      </c>
      <c r="H3425" s="11" t="n">
        <v>25</v>
      </c>
      <c r="I3425" s="11" t="s">
        <v>346</v>
      </c>
      <c r="J3425" s="14"/>
      <c r="K3425" s="14" t="n">
        <v>50</v>
      </c>
      <c r="L3425" s="16"/>
      <c r="M3425" s="27" t="n">
        <f aca="false">J3425+(K3425/20)+(L3425/240)</f>
        <v>2.5</v>
      </c>
      <c r="N3425" s="17" t="s">
        <v>85</v>
      </c>
      <c r="O3425" s="11"/>
      <c r="P3425" s="28" t="n">
        <f aca="false">371167/100</f>
        <v>3711.67</v>
      </c>
      <c r="Q3425" s="28" t="n">
        <v>9279</v>
      </c>
      <c r="R3425" s="28"/>
      <c r="S3425" s="28" t="n">
        <f aca="false">R3425*$M3425</f>
        <v>0</v>
      </c>
      <c r="T3425" s="28"/>
      <c r="U3425" s="28" t="n">
        <f aca="false">T3425*$M3425</f>
        <v>0</v>
      </c>
      <c r="V3425" s="28"/>
      <c r="W3425" s="28" t="n">
        <f aca="false">V3425*$M3425</f>
        <v>0</v>
      </c>
      <c r="X3425" s="28"/>
      <c r="Y3425" s="28" t="n">
        <f aca="false">X3425*$M3425</f>
        <v>0</v>
      </c>
      <c r="Z3425" s="28"/>
      <c r="AA3425" s="28" t="n">
        <f aca="false">Z3425*$M3425</f>
        <v>0</v>
      </c>
      <c r="AB3425" s="28"/>
      <c r="AC3425" s="28" t="n">
        <f aca="false">AB3425*$M3425</f>
        <v>0</v>
      </c>
      <c r="AD3425" s="28"/>
      <c r="AE3425" s="28" t="n">
        <f aca="false">AD3425*$M3425</f>
        <v>0</v>
      </c>
      <c r="AF3425" s="28"/>
      <c r="AG3425" s="28" t="n">
        <f aca="false">AF3425*$M3425</f>
        <v>0</v>
      </c>
      <c r="AH3425" s="28"/>
      <c r="AI3425" s="28" t="n">
        <f aca="false">AH3425*$M3425</f>
        <v>0</v>
      </c>
      <c r="AJ3425" s="28"/>
      <c r="AK3425" s="28" t="n">
        <f aca="false">AJ3425*$M3425</f>
        <v>0</v>
      </c>
      <c r="AL3425" s="28"/>
      <c r="AM3425" s="28" t="n">
        <f aca="false">AL3425*$M3425</f>
        <v>0</v>
      </c>
      <c r="AN3425" s="28"/>
      <c r="AO3425" s="28" t="n">
        <f aca="false">AN3425*$M3425</f>
        <v>0</v>
      </c>
      <c r="AP3425" s="28"/>
      <c r="AQ3425" s="28" t="n">
        <f aca="false">AP3425*$M3425</f>
        <v>0</v>
      </c>
      <c r="AR3425" s="28"/>
      <c r="AS3425" s="28" t="n">
        <f aca="false">AR3425*$M3425</f>
        <v>0</v>
      </c>
      <c r="AT3425" s="28"/>
      <c r="AU3425" s="28" t="n">
        <f aca="false">AT3425*$M3425</f>
        <v>0</v>
      </c>
      <c r="AV3425" s="28"/>
      <c r="AW3425" s="28" t="n">
        <f aca="false">AV3425*$M3425</f>
        <v>0</v>
      </c>
      <c r="AX3425" s="28"/>
      <c r="AY3425" s="28" t="n">
        <f aca="false">AX3425*$M3425</f>
        <v>0</v>
      </c>
      <c r="AZ3425" s="30" t="n">
        <f aca="false">371167/100</f>
        <v>3711.67</v>
      </c>
      <c r="BA3425" s="11" t="n">
        <v>9279</v>
      </c>
      <c r="BB3425" s="31" t="n">
        <f aca="false">SUM(Q3425,S3425,U3425,W3425,Y3425,AA3425,AC3425,AE3425,AG3425,AI3425,AK3425,AM3425,AO3425,AQ3425,AS3425,AU3425,AW3425,AY3425)</f>
        <v>9279</v>
      </c>
      <c r="BC3425" s="28" t="n">
        <f aca="false">BA3425-BB3425</f>
        <v>0</v>
      </c>
      <c r="BD3425" s="32" t="n">
        <f aca="false">SUM(P3425,R3425,T3425,V3425,X3425,Z3425,AB3425,AD3425,AF3425,AH3425,AJ3425,AL3425,AN3425,AP3425,AR3425,AT3425,AV3425,AX3425)</f>
        <v>3711.67</v>
      </c>
      <c r="BE3425" s="33" t="n">
        <f aca="false">AZ3425-BD3425</f>
        <v>0</v>
      </c>
      <c r="BF3425" s="34" t="n">
        <f aca="false">BD3425*M3425</f>
        <v>9279.175</v>
      </c>
      <c r="BG3425" s="35" t="n">
        <f aca="false">BA3425-BF3425</f>
        <v>-0.174999999999272</v>
      </c>
      <c r="BH3425" s="19" t="str">
        <f aca="false">IF(BG3425=0,"",IF(BG3425&lt;&gt;BA3425,"erreur de calcul",IF(BD3425&lt;&gt;0,"pas de prix",IF(M3425&lt;&gt; 0,"pas de quantité","pas de prix, ni de quantité"))))</f>
        <v>erreur de calcul</v>
      </c>
      <c r="BI3425" s="19"/>
    </row>
    <row r="3426" customFormat="false" ht="16.65" hidden="false" customHeight="false" outlineLevel="0" collapsed="false">
      <c r="A3426" s="0" t="n">
        <v>19</v>
      </c>
      <c r="B3426" s="8" t="s">
        <v>24</v>
      </c>
      <c r="C3426" s="9" t="s">
        <v>25</v>
      </c>
      <c r="D3426" s="9" t="s">
        <v>26</v>
      </c>
      <c r="E3426" s="10" t="n">
        <v>1789</v>
      </c>
      <c r="F3426" s="9" t="s">
        <v>27</v>
      </c>
      <c r="G3426" s="9" t="s">
        <v>27</v>
      </c>
      <c r="H3426" s="11" t="n">
        <v>25</v>
      </c>
      <c r="I3426" s="11" t="s">
        <v>347</v>
      </c>
      <c r="J3426" s="14" t="n">
        <v>60</v>
      </c>
      <c r="K3426" s="14"/>
      <c r="L3426" s="16"/>
      <c r="M3426" s="27" t="n">
        <f aca="false">J3426+(K3426/20)+(L3426/240)</f>
        <v>60</v>
      </c>
      <c r="N3426" s="17" t="s">
        <v>64</v>
      </c>
      <c r="O3426" s="11"/>
      <c r="P3426" s="28"/>
      <c r="Q3426" s="28" t="n">
        <f aca="false">P3426*$M3426</f>
        <v>0</v>
      </c>
      <c r="R3426" s="28"/>
      <c r="S3426" s="28" t="n">
        <f aca="false">R3426*$M3426</f>
        <v>0</v>
      </c>
      <c r="T3426" s="28"/>
      <c r="U3426" s="28" t="n">
        <f aca="false">T3426*$M3426</f>
        <v>0</v>
      </c>
      <c r="V3426" s="28" t="n">
        <f aca="false">4151/100</f>
        <v>41.51</v>
      </c>
      <c r="W3426" s="28" t="n">
        <v>2491</v>
      </c>
      <c r="X3426" s="28" t="n">
        <f aca="false">13344/100</f>
        <v>133.44</v>
      </c>
      <c r="Y3426" s="28" t="n">
        <v>8006</v>
      </c>
      <c r="Z3426" s="28" t="n">
        <f aca="false">3323/100</f>
        <v>33.23</v>
      </c>
      <c r="AA3426" s="28" t="n">
        <v>1994</v>
      </c>
      <c r="AB3426" s="28"/>
      <c r="AC3426" s="28" t="n">
        <f aca="false">AB3426*$M3426</f>
        <v>0</v>
      </c>
      <c r="AD3426" s="28" t="n">
        <f aca="false">15268/100</f>
        <v>152.68</v>
      </c>
      <c r="AE3426" s="28" t="n">
        <v>9161</v>
      </c>
      <c r="AF3426" s="28"/>
      <c r="AG3426" s="28" t="n">
        <f aca="false">AF3426*$M3426</f>
        <v>0</v>
      </c>
      <c r="AH3426" s="28"/>
      <c r="AI3426" s="28" t="n">
        <f aca="false">AH3426*$M3426</f>
        <v>0</v>
      </c>
      <c r="AJ3426" s="28"/>
      <c r="AK3426" s="28" t="n">
        <f aca="false">AJ3426*$M3426</f>
        <v>0</v>
      </c>
      <c r="AL3426" s="28"/>
      <c r="AM3426" s="28" t="n">
        <f aca="false">AL3426*$M3426</f>
        <v>0</v>
      </c>
      <c r="AN3426" s="28"/>
      <c r="AO3426" s="28" t="n">
        <f aca="false">AN3426*$M3426</f>
        <v>0</v>
      </c>
      <c r="AP3426" s="28"/>
      <c r="AQ3426" s="28" t="n">
        <f aca="false">AP3426*$M3426</f>
        <v>0</v>
      </c>
      <c r="AR3426" s="28"/>
      <c r="AS3426" s="28" t="n">
        <f aca="false">AR3426*$M3426</f>
        <v>0</v>
      </c>
      <c r="AT3426" s="28"/>
      <c r="AU3426" s="28" t="n">
        <f aca="false">AT3426*$M3426</f>
        <v>0</v>
      </c>
      <c r="AV3426" s="28"/>
      <c r="AW3426" s="28" t="n">
        <f aca="false">AV3426*$M3426</f>
        <v>0</v>
      </c>
      <c r="AX3426" s="28"/>
      <c r="AY3426" s="28" t="n">
        <f aca="false">AX3426*$M3426</f>
        <v>0</v>
      </c>
      <c r="AZ3426" s="30" t="n">
        <f aca="false">32763/100</f>
        <v>327.63</v>
      </c>
      <c r="BA3426" s="11" t="n">
        <v>21652</v>
      </c>
      <c r="BB3426" s="31" t="n">
        <f aca="false">SUM(Q3426,S3426,U3426,W3426,Y3426,AA3426,AC3426,AE3426,AG3426,AI3426,AK3426,AM3426,AO3426,AQ3426,AS3426,AU3426,AW3426,AY3426)</f>
        <v>21652</v>
      </c>
      <c r="BC3426" s="28" t="n">
        <f aca="false">BA3426-BB3426</f>
        <v>0</v>
      </c>
      <c r="BD3426" s="32" t="n">
        <f aca="false">SUM(P3426,R3426,T3426,V3426,X3426,Z3426,AB3426,AD3426,AF3426,AH3426,AJ3426,AL3426,AN3426,AP3426,AR3426,AT3426,AV3426,AX3426)</f>
        <v>360.86</v>
      </c>
      <c r="BE3426" s="33" t="n">
        <f aca="false">AZ3426-BD3426</f>
        <v>-33.23</v>
      </c>
      <c r="BF3426" s="34" t="n">
        <f aca="false">BD3426*M3426</f>
        <v>21651.6</v>
      </c>
      <c r="BG3426" s="35" t="n">
        <f aca="false">BA3426-BF3426</f>
        <v>0.399999999997817</v>
      </c>
      <c r="BH3426" s="19" t="str">
        <f aca="false">IF(BG3426=0,"",IF(BG3426&lt;&gt;BA3426,"erreur de calcul",IF(BD3426&lt;&gt;0,"pas de prix",IF(M3426&lt;&gt; 0,"pas de quantité","pas de prix, ni de quantité"))))</f>
        <v>erreur de calcul</v>
      </c>
      <c r="BI3426" s="19"/>
    </row>
    <row r="3427" customFormat="false" ht="15" hidden="false" customHeight="false" outlineLevel="0" collapsed="false">
      <c r="A3427" s="0" t="n">
        <v>20</v>
      </c>
      <c r="B3427" s="8" t="s">
        <v>24</v>
      </c>
      <c r="C3427" s="9" t="s">
        <v>25</v>
      </c>
      <c r="D3427" s="9" t="s">
        <v>26</v>
      </c>
      <c r="E3427" s="10" t="n">
        <v>1789</v>
      </c>
      <c r="F3427" s="9" t="s">
        <v>27</v>
      </c>
      <c r="G3427" s="9" t="s">
        <v>27</v>
      </c>
      <c r="H3427" s="11" t="n">
        <v>25</v>
      </c>
      <c r="I3427" s="11" t="s">
        <v>348</v>
      </c>
      <c r="J3427" s="14" t="n">
        <v>9</v>
      </c>
      <c r="K3427" s="14"/>
      <c r="L3427" s="16"/>
      <c r="M3427" s="27" t="n">
        <f aca="false">J3427+(K3427/20)+(L3427/240)</f>
        <v>9</v>
      </c>
      <c r="N3427" s="17" t="s">
        <v>349</v>
      </c>
      <c r="O3427" s="11"/>
      <c r="P3427" s="28"/>
      <c r="Q3427" s="28" t="n">
        <f aca="false">P3427*$M3427</f>
        <v>0</v>
      </c>
      <c r="R3427" s="28"/>
      <c r="S3427" s="28" t="n">
        <f aca="false">R3427*$M3427</f>
        <v>0</v>
      </c>
      <c r="T3427" s="28"/>
      <c r="U3427" s="28" t="n">
        <f aca="false">T3427*$M3427</f>
        <v>0</v>
      </c>
      <c r="V3427" s="28" t="n">
        <v>545</v>
      </c>
      <c r="W3427" s="28" t="n">
        <v>4905</v>
      </c>
      <c r="X3427" s="28"/>
      <c r="Y3427" s="28" t="n">
        <f aca="false">X3427*$M3427</f>
        <v>0</v>
      </c>
      <c r="Z3427" s="28"/>
      <c r="AA3427" s="28" t="n">
        <f aca="false">Z3427*$M3427</f>
        <v>0</v>
      </c>
      <c r="AB3427" s="28"/>
      <c r="AC3427" s="28" t="n">
        <f aca="false">AB3427*$M3427</f>
        <v>0</v>
      </c>
      <c r="AD3427" s="28"/>
      <c r="AE3427" s="28" t="n">
        <f aca="false">AD3427*$M3427</f>
        <v>0</v>
      </c>
      <c r="AF3427" s="28"/>
      <c r="AG3427" s="28" t="n">
        <f aca="false">AF3427*$M3427</f>
        <v>0</v>
      </c>
      <c r="AH3427" s="28"/>
      <c r="AI3427" s="28" t="n">
        <f aca="false">AH3427*$M3427</f>
        <v>0</v>
      </c>
      <c r="AJ3427" s="28" t="n">
        <v>592</v>
      </c>
      <c r="AK3427" s="28" t="n">
        <v>5328</v>
      </c>
      <c r="AL3427" s="28"/>
      <c r="AM3427" s="28" t="n">
        <f aca="false">AL3427*$M3427</f>
        <v>0</v>
      </c>
      <c r="AN3427" s="28"/>
      <c r="AO3427" s="28" t="n">
        <f aca="false">AN3427*$M3427</f>
        <v>0</v>
      </c>
      <c r="AP3427" s="28"/>
      <c r="AQ3427" s="28" t="n">
        <f aca="false">AP3427*$M3427</f>
        <v>0</v>
      </c>
      <c r="AR3427" s="28"/>
      <c r="AS3427" s="28" t="n">
        <f aca="false">AR3427*$M3427</f>
        <v>0</v>
      </c>
      <c r="AT3427" s="28"/>
      <c r="AU3427" s="28" t="n">
        <f aca="false">AT3427*$M3427</f>
        <v>0</v>
      </c>
      <c r="AV3427" s="28"/>
      <c r="AW3427" s="28" t="n">
        <f aca="false">AV3427*$M3427</f>
        <v>0</v>
      </c>
      <c r="AX3427" s="28"/>
      <c r="AY3427" s="28" t="n">
        <f aca="false">AX3427*$M3427</f>
        <v>0</v>
      </c>
      <c r="AZ3427" s="30" t="n">
        <v>1137</v>
      </c>
      <c r="BA3427" s="11" t="n">
        <v>10233</v>
      </c>
      <c r="BB3427" s="31" t="n">
        <f aca="false">SUM(Q3427,S3427,U3427,W3427,Y3427,AA3427,AC3427,AE3427,AG3427,AI3427,AK3427,AM3427,AO3427,AQ3427,AS3427,AU3427,AW3427,AY3427)</f>
        <v>10233</v>
      </c>
      <c r="BC3427" s="28" t="n">
        <f aca="false">BA3427-BB3427</f>
        <v>0</v>
      </c>
      <c r="BD3427" s="32" t="n">
        <f aca="false">SUM(P3427,R3427,T3427,V3427,X3427,Z3427,AB3427,AD3427,AF3427,AH3427,AJ3427,AL3427,AN3427,AP3427,AR3427,AT3427,AV3427,AX3427)</f>
        <v>1137</v>
      </c>
      <c r="BE3427" s="33" t="n">
        <f aca="false">AZ3427-BD3427</f>
        <v>0</v>
      </c>
      <c r="BF3427" s="34" t="n">
        <f aca="false">BD3427*M3427</f>
        <v>10233</v>
      </c>
      <c r="BG3427" s="35" t="n">
        <f aca="false">BA3427-BF3427</f>
        <v>0</v>
      </c>
      <c r="BH3427" s="19" t="str">
        <f aca="false">IF(BG3427=0,"",IF(BG3427&lt;&gt;BA3427,"erreur de calcul",IF(BD3427&lt;&gt;0,"pas de prix",IF(M3427&lt;&gt; 0,"pas de quantité","pas de prix, ni de quantité"))))</f>
        <v/>
      </c>
      <c r="BI3427" s="19"/>
    </row>
    <row r="3428" customFormat="false" ht="15" hidden="false" customHeight="false" outlineLevel="0" collapsed="false">
      <c r="A3428" s="0" t="n">
        <v>21</v>
      </c>
      <c r="B3428" s="8" t="s">
        <v>24</v>
      </c>
      <c r="C3428" s="9" t="s">
        <v>25</v>
      </c>
      <c r="D3428" s="9" t="s">
        <v>26</v>
      </c>
      <c r="E3428" s="10" t="n">
        <v>1789</v>
      </c>
      <c r="F3428" s="9" t="s">
        <v>27</v>
      </c>
      <c r="G3428" s="9" t="s">
        <v>27</v>
      </c>
      <c r="H3428" s="11" t="n">
        <v>25</v>
      </c>
      <c r="I3428" s="11" t="s">
        <v>350</v>
      </c>
      <c r="J3428" s="14"/>
      <c r="K3428" s="14" t="n">
        <v>40</v>
      </c>
      <c r="L3428" s="16"/>
      <c r="M3428" s="27" t="n">
        <f aca="false">J3428+(K3428/20)+(L3428/240)</f>
        <v>2</v>
      </c>
      <c r="N3428" s="17" t="s">
        <v>349</v>
      </c>
      <c r="O3428" s="11"/>
      <c r="P3428" s="28"/>
      <c r="Q3428" s="28" t="n">
        <f aca="false">P3428*$M3428</f>
        <v>0</v>
      </c>
      <c r="R3428" s="28"/>
      <c r="S3428" s="28" t="n">
        <f aca="false">R3428*$M3428</f>
        <v>0</v>
      </c>
      <c r="T3428" s="28"/>
      <c r="U3428" s="28" t="n">
        <f aca="false">T3428*$M3428</f>
        <v>0</v>
      </c>
      <c r="V3428" s="28" t="n">
        <v>2688</v>
      </c>
      <c r="W3428" s="28" t="n">
        <v>5376</v>
      </c>
      <c r="X3428" s="28" t="n">
        <v>775</v>
      </c>
      <c r="Y3428" s="28" t="n">
        <v>1550</v>
      </c>
      <c r="Z3428" s="28"/>
      <c r="AA3428" s="28" t="n">
        <f aca="false">Z3428*$M3428</f>
        <v>0</v>
      </c>
      <c r="AB3428" s="28"/>
      <c r="AC3428" s="28" t="n">
        <f aca="false">AB3428*$M3428</f>
        <v>0</v>
      </c>
      <c r="AD3428" s="28"/>
      <c r="AE3428" s="28" t="n">
        <f aca="false">AD3428*$M3428</f>
        <v>0</v>
      </c>
      <c r="AF3428" s="28"/>
      <c r="AG3428" s="28" t="n">
        <f aca="false">AF3428*$M3428</f>
        <v>0</v>
      </c>
      <c r="AH3428" s="28"/>
      <c r="AI3428" s="28" t="n">
        <f aca="false">AH3428*$M3428</f>
        <v>0</v>
      </c>
      <c r="AJ3428" s="28"/>
      <c r="AK3428" s="28" t="n">
        <f aca="false">AJ3428*$M3428</f>
        <v>0</v>
      </c>
      <c r="AL3428" s="28"/>
      <c r="AM3428" s="28" t="n">
        <f aca="false">AL3428*$M3428</f>
        <v>0</v>
      </c>
      <c r="AN3428" s="28"/>
      <c r="AO3428" s="28" t="n">
        <f aca="false">AN3428*$M3428</f>
        <v>0</v>
      </c>
      <c r="AP3428" s="28"/>
      <c r="AQ3428" s="28" t="n">
        <f aca="false">AP3428*$M3428</f>
        <v>0</v>
      </c>
      <c r="AR3428" s="28"/>
      <c r="AS3428" s="28" t="n">
        <f aca="false">AR3428*$M3428</f>
        <v>0</v>
      </c>
      <c r="AT3428" s="28"/>
      <c r="AU3428" s="28" t="n">
        <f aca="false">AT3428*$M3428</f>
        <v>0</v>
      </c>
      <c r="AV3428" s="28"/>
      <c r="AW3428" s="28" t="n">
        <f aca="false">AV3428*$M3428</f>
        <v>0</v>
      </c>
      <c r="AX3428" s="28"/>
      <c r="AY3428" s="28" t="n">
        <f aca="false">AX3428*$M3428</f>
        <v>0</v>
      </c>
      <c r="AZ3428" s="30" t="n">
        <v>3463</v>
      </c>
      <c r="BA3428" s="11" t="n">
        <v>6926</v>
      </c>
      <c r="BB3428" s="31" t="n">
        <f aca="false">SUM(Q3428,S3428,U3428,W3428,Y3428,AA3428,AC3428,AE3428,AG3428,AI3428,AK3428,AM3428,AO3428,AQ3428,AS3428,AU3428,AW3428,AY3428)</f>
        <v>6926</v>
      </c>
      <c r="BC3428" s="28" t="n">
        <f aca="false">BA3428-BB3428</f>
        <v>0</v>
      </c>
      <c r="BD3428" s="32" t="n">
        <f aca="false">SUM(P3428,R3428,T3428,V3428,X3428,Z3428,AB3428,AD3428,AF3428,AH3428,AJ3428,AL3428,AN3428,AP3428,AR3428,AT3428,AV3428,AX3428)</f>
        <v>3463</v>
      </c>
      <c r="BE3428" s="33" t="n">
        <f aca="false">AZ3428-BD3428</f>
        <v>0</v>
      </c>
      <c r="BF3428" s="34" t="n">
        <f aca="false">BD3428*M3428</f>
        <v>6926</v>
      </c>
      <c r="BG3428" s="35" t="n">
        <f aca="false">BA3428-BF3428</f>
        <v>0</v>
      </c>
      <c r="BH3428" s="19" t="str">
        <f aca="false">IF(BG3428=0,"",IF(BG3428&lt;&gt;BA3428,"erreur de calcul",IF(BD3428&lt;&gt;0,"pas de prix",IF(M3428&lt;&gt; 0,"pas de quantité","pas de prix, ni de quantité"))))</f>
        <v/>
      </c>
      <c r="BI3428" s="19"/>
    </row>
    <row r="3429" customFormat="false" ht="15" hidden="false" customHeight="false" outlineLevel="0" collapsed="false">
      <c r="A3429" s="0" t="n">
        <v>22</v>
      </c>
      <c r="B3429" s="8" t="s">
        <v>24</v>
      </c>
      <c r="C3429" s="9" t="s">
        <v>25</v>
      </c>
      <c r="D3429" s="9" t="s">
        <v>26</v>
      </c>
      <c r="E3429" s="10" t="n">
        <v>1789</v>
      </c>
      <c r="F3429" s="9" t="s">
        <v>27</v>
      </c>
      <c r="G3429" s="9" t="s">
        <v>27</v>
      </c>
      <c r="H3429" s="11" t="n">
        <v>25</v>
      </c>
      <c r="I3429" s="11" t="s">
        <v>351</v>
      </c>
      <c r="J3429" s="14" t="n">
        <v>60</v>
      </c>
      <c r="K3429" s="14"/>
      <c r="L3429" s="16"/>
      <c r="M3429" s="27" t="n">
        <f aca="false">J3429+(K3429/20)+(L3429/240)</f>
        <v>60</v>
      </c>
      <c r="N3429" s="17" t="s">
        <v>69</v>
      </c>
      <c r="O3429" s="11"/>
      <c r="P3429" s="28"/>
      <c r="Q3429" s="28" t="n">
        <f aca="false">P3429*$M3429</f>
        <v>0</v>
      </c>
      <c r="R3429" s="28"/>
      <c r="S3429" s="28" t="n">
        <f aca="false">R3429*$M3429</f>
        <v>0</v>
      </c>
      <c r="T3429" s="28" t="n">
        <v>20</v>
      </c>
      <c r="U3429" s="28" t="n">
        <v>1200</v>
      </c>
      <c r="V3429" s="28" t="n">
        <v>82</v>
      </c>
      <c r="W3429" s="28" t="n">
        <v>4920</v>
      </c>
      <c r="X3429" s="28"/>
      <c r="Y3429" s="28" t="n">
        <f aca="false">X3429*$M3429</f>
        <v>0</v>
      </c>
      <c r="Z3429" s="28"/>
      <c r="AA3429" s="28" t="n">
        <f aca="false">Z3429*$M3429</f>
        <v>0</v>
      </c>
      <c r="AB3429" s="28"/>
      <c r="AC3429" s="28" t="n">
        <f aca="false">AB3429*$M3429</f>
        <v>0</v>
      </c>
      <c r="AD3429" s="28"/>
      <c r="AE3429" s="28" t="n">
        <f aca="false">AD3429*$M3429</f>
        <v>0</v>
      </c>
      <c r="AF3429" s="28"/>
      <c r="AG3429" s="28" t="n">
        <f aca="false">AF3429*$M3429</f>
        <v>0</v>
      </c>
      <c r="AH3429" s="28"/>
      <c r="AI3429" s="28" t="n">
        <f aca="false">AH3429*$M3429</f>
        <v>0</v>
      </c>
      <c r="AJ3429" s="28"/>
      <c r="AK3429" s="28" t="n">
        <f aca="false">AJ3429*$M3429</f>
        <v>0</v>
      </c>
      <c r="AL3429" s="28"/>
      <c r="AM3429" s="28" t="n">
        <f aca="false">AL3429*$M3429</f>
        <v>0</v>
      </c>
      <c r="AN3429" s="28"/>
      <c r="AO3429" s="28" t="n">
        <f aca="false">AN3429*$M3429</f>
        <v>0</v>
      </c>
      <c r="AP3429" s="28"/>
      <c r="AQ3429" s="28" t="n">
        <f aca="false">AP3429*$M3429</f>
        <v>0</v>
      </c>
      <c r="AR3429" s="28"/>
      <c r="AS3429" s="28" t="n">
        <f aca="false">AR3429*$M3429</f>
        <v>0</v>
      </c>
      <c r="AT3429" s="28"/>
      <c r="AU3429" s="28" t="n">
        <f aca="false">AT3429*$M3429</f>
        <v>0</v>
      </c>
      <c r="AV3429" s="28"/>
      <c r="AW3429" s="28" t="n">
        <f aca="false">AV3429*$M3429</f>
        <v>0</v>
      </c>
      <c r="AX3429" s="28"/>
      <c r="AY3429" s="28" t="n">
        <f aca="false">AX3429*$M3429</f>
        <v>0</v>
      </c>
      <c r="AZ3429" s="30" t="n">
        <v>102</v>
      </c>
      <c r="BA3429" s="11" t="n">
        <v>6120</v>
      </c>
      <c r="BB3429" s="31" t="n">
        <f aca="false">SUM(Q3429,S3429,U3429,W3429,Y3429,AA3429,AC3429,AE3429,AG3429,AI3429,AK3429,AM3429,AO3429,AQ3429,AS3429,AU3429,AW3429,AY3429)</f>
        <v>6120</v>
      </c>
      <c r="BC3429" s="28" t="n">
        <f aca="false">BA3429-BB3429</f>
        <v>0</v>
      </c>
      <c r="BD3429" s="32" t="n">
        <f aca="false">SUM(P3429,R3429,T3429,V3429,X3429,Z3429,AB3429,AD3429,AF3429,AH3429,AJ3429,AL3429,AN3429,AP3429,AR3429,AT3429,AV3429,AX3429)</f>
        <v>102</v>
      </c>
      <c r="BE3429" s="33" t="n">
        <f aca="false">AZ3429-BD3429</f>
        <v>0</v>
      </c>
      <c r="BF3429" s="34" t="n">
        <f aca="false">BD3429*M3429</f>
        <v>6120</v>
      </c>
      <c r="BG3429" s="35" t="n">
        <f aca="false">BA3429-BF3429</f>
        <v>0</v>
      </c>
      <c r="BH3429" s="19" t="str">
        <f aca="false">IF(BG3429=0,"",IF(BG3429&lt;&gt;BA3429,"erreur de calcul",IF(BD3429&lt;&gt;0,"pas de prix",IF(M3429&lt;&gt; 0,"pas de quantité","pas de prix, ni de quantité"))))</f>
        <v/>
      </c>
      <c r="BI3429" s="19"/>
    </row>
    <row r="3430" customFormat="false" ht="15" hidden="false" customHeight="false" outlineLevel="0" collapsed="false">
      <c r="A3430" s="0" t="n">
        <v>23</v>
      </c>
      <c r="B3430" s="8" t="s">
        <v>24</v>
      </c>
      <c r="C3430" s="9" t="s">
        <v>25</v>
      </c>
      <c r="D3430" s="9" t="s">
        <v>26</v>
      </c>
      <c r="E3430" s="10" t="n">
        <v>1789</v>
      </c>
      <c r="F3430" s="9" t="s">
        <v>27</v>
      </c>
      <c r="G3430" s="9" t="s">
        <v>27</v>
      </c>
      <c r="H3430" s="11" t="n">
        <v>25</v>
      </c>
      <c r="I3430" s="11" t="s">
        <v>352</v>
      </c>
      <c r="J3430" s="14" t="n">
        <v>150</v>
      </c>
      <c r="K3430" s="14"/>
      <c r="L3430" s="16"/>
      <c r="M3430" s="27" t="n">
        <f aca="false">J3430+(K3430/20)+(L3430/240)</f>
        <v>150</v>
      </c>
      <c r="N3430" s="17" t="s">
        <v>64</v>
      </c>
      <c r="O3430" s="11"/>
      <c r="P3430" s="28" t="n">
        <f aca="false">274/100</f>
        <v>2.74</v>
      </c>
      <c r="Q3430" s="28" t="n">
        <v>411</v>
      </c>
      <c r="R3430" s="28"/>
      <c r="S3430" s="28" t="n">
        <f aca="false">R3430*$M3430</f>
        <v>0</v>
      </c>
      <c r="T3430" s="28" t="n">
        <f aca="false">3042/100</f>
        <v>30.42</v>
      </c>
      <c r="U3430" s="28" t="n">
        <v>4563</v>
      </c>
      <c r="V3430" s="28"/>
      <c r="W3430" s="28" t="n">
        <f aca="false">V3430*$M3430</f>
        <v>0</v>
      </c>
      <c r="X3430" s="28"/>
      <c r="Y3430" s="28" t="n">
        <f aca="false">X3430*$M3430</f>
        <v>0</v>
      </c>
      <c r="Z3430" s="28"/>
      <c r="AA3430" s="28" t="n">
        <f aca="false">Z3430*$M3430</f>
        <v>0</v>
      </c>
      <c r="AB3430" s="28" t="n">
        <f aca="false">92/100</f>
        <v>0.92</v>
      </c>
      <c r="AC3430" s="28" t="n">
        <v>138</v>
      </c>
      <c r="AD3430" s="28"/>
      <c r="AE3430" s="28" t="n">
        <f aca="false">AD3430*$M3430</f>
        <v>0</v>
      </c>
      <c r="AF3430" s="28"/>
      <c r="AG3430" s="28" t="n">
        <f aca="false">AF3430*$M3430</f>
        <v>0</v>
      </c>
      <c r="AH3430" s="28"/>
      <c r="AI3430" s="28" t="n">
        <f aca="false">AH3430*$M3430</f>
        <v>0</v>
      </c>
      <c r="AJ3430" s="28"/>
      <c r="AK3430" s="28" t="n">
        <f aca="false">AJ3430*$M3430</f>
        <v>0</v>
      </c>
      <c r="AL3430" s="28"/>
      <c r="AM3430" s="28" t="n">
        <f aca="false">AL3430*$M3430</f>
        <v>0</v>
      </c>
      <c r="AN3430" s="28"/>
      <c r="AO3430" s="28" t="n">
        <f aca="false">AN3430*$M3430</f>
        <v>0</v>
      </c>
      <c r="AP3430" s="28"/>
      <c r="AQ3430" s="28" t="n">
        <f aca="false">AP3430*$M3430</f>
        <v>0</v>
      </c>
      <c r="AR3430" s="28"/>
      <c r="AS3430" s="28" t="n">
        <f aca="false">AR3430*$M3430</f>
        <v>0</v>
      </c>
      <c r="AT3430" s="28"/>
      <c r="AU3430" s="28" t="n">
        <f aca="false">AT3430*$M3430</f>
        <v>0</v>
      </c>
      <c r="AV3430" s="28"/>
      <c r="AW3430" s="28" t="n">
        <f aca="false">AV3430*$M3430</f>
        <v>0</v>
      </c>
      <c r="AX3430" s="28"/>
      <c r="AY3430" s="28" t="n">
        <f aca="false">AX3430*$M3430</f>
        <v>0</v>
      </c>
      <c r="AZ3430" s="30" t="n">
        <f aca="false">3408/100</f>
        <v>34.08</v>
      </c>
      <c r="BA3430" s="11" t="n">
        <v>5112</v>
      </c>
      <c r="BB3430" s="31" t="n">
        <f aca="false">SUM(Q3430,S3430,U3430,W3430,Y3430,AA3430,AC3430,AE3430,AG3430,AI3430,AK3430,AM3430,AO3430,AQ3430,AS3430,AU3430,AW3430,AY3430)</f>
        <v>5112</v>
      </c>
      <c r="BC3430" s="28" t="n">
        <f aca="false">BA3430-BB3430</f>
        <v>0</v>
      </c>
      <c r="BD3430" s="32" t="n">
        <f aca="false">SUM(P3430,R3430,T3430,V3430,X3430,Z3430,AB3430,AD3430,AF3430,AH3430,AJ3430,AL3430,AN3430,AP3430,AR3430,AT3430,AV3430,AX3430)</f>
        <v>34.08</v>
      </c>
      <c r="BE3430" s="33" t="n">
        <f aca="false">AZ3430-BD3430</f>
        <v>0</v>
      </c>
      <c r="BF3430" s="34" t="n">
        <f aca="false">BD3430*M3430</f>
        <v>5112</v>
      </c>
      <c r="BG3430" s="35" t="n">
        <f aca="false">BA3430-BF3430</f>
        <v>0</v>
      </c>
      <c r="BH3430" s="19" t="str">
        <f aca="false">IF(BG3430=0,"",IF(BG3430&lt;&gt;BA3430,"erreur de calcul",IF(BD3430&lt;&gt;0,"pas de prix",IF(M3430&lt;&gt; 0,"pas de quantité","pas de prix, ni de quantité"))))</f>
        <v/>
      </c>
      <c r="BI3430" s="19"/>
    </row>
    <row r="3431" customFormat="false" ht="15" hidden="false" customHeight="false" outlineLevel="0" collapsed="false">
      <c r="A3431" s="0" t="n">
        <v>24</v>
      </c>
      <c r="B3431" s="8" t="s">
        <v>24</v>
      </c>
      <c r="C3431" s="9" t="s">
        <v>25</v>
      </c>
      <c r="D3431" s="9" t="s">
        <v>26</v>
      </c>
      <c r="E3431" s="10" t="n">
        <v>1789</v>
      </c>
      <c r="F3431" s="9" t="s">
        <v>27</v>
      </c>
      <c r="G3431" s="9" t="s">
        <v>27</v>
      </c>
      <c r="H3431" s="11" t="n">
        <v>25</v>
      </c>
      <c r="I3431" s="11" t="s">
        <v>353</v>
      </c>
      <c r="J3431" s="14" t="n">
        <v>40</v>
      </c>
      <c r="K3431" s="14"/>
      <c r="L3431" s="16"/>
      <c r="M3431" s="27" t="n">
        <f aca="false">J3431+(K3431/20)+(L3431/240)</f>
        <v>40</v>
      </c>
      <c r="N3431" s="17" t="s">
        <v>64</v>
      </c>
      <c r="O3431" s="11"/>
      <c r="P3431" s="28"/>
      <c r="Q3431" s="28" t="n">
        <f aca="false">P3431*$M3431</f>
        <v>0</v>
      </c>
      <c r="R3431" s="28"/>
      <c r="S3431" s="28" t="n">
        <f aca="false">R3431*$M3431</f>
        <v>0</v>
      </c>
      <c r="T3431" s="28"/>
      <c r="U3431" s="28" t="n">
        <f aca="false">T3431*$M3431</f>
        <v>0</v>
      </c>
      <c r="V3431" s="28" t="n">
        <f aca="false">4960/100</f>
        <v>49.6</v>
      </c>
      <c r="W3431" s="28" t="n">
        <v>1984</v>
      </c>
      <c r="X3431" s="28" t="n">
        <f aca="false">394/100</f>
        <v>3.94</v>
      </c>
      <c r="Y3431" s="28" t="n">
        <v>158</v>
      </c>
      <c r="Z3431" s="28"/>
      <c r="AA3431" s="28" t="n">
        <f aca="false">Z3431*$M3431</f>
        <v>0</v>
      </c>
      <c r="AB3431" s="28"/>
      <c r="AC3431" s="28" t="n">
        <f aca="false">AB3431*$M3431</f>
        <v>0</v>
      </c>
      <c r="AD3431" s="28"/>
      <c r="AE3431" s="28" t="n">
        <f aca="false">AD3431*$M3431</f>
        <v>0</v>
      </c>
      <c r="AF3431" s="28"/>
      <c r="AG3431" s="28" t="n">
        <f aca="false">AF3431*$M3431</f>
        <v>0</v>
      </c>
      <c r="AH3431" s="28"/>
      <c r="AI3431" s="28" t="n">
        <f aca="false">AH3431*$M3431</f>
        <v>0</v>
      </c>
      <c r="AJ3431" s="28"/>
      <c r="AK3431" s="28" t="n">
        <f aca="false">AJ3431*$M3431</f>
        <v>0</v>
      </c>
      <c r="AL3431" s="28"/>
      <c r="AM3431" s="28" t="n">
        <f aca="false">AL3431*$M3431</f>
        <v>0</v>
      </c>
      <c r="AN3431" s="28"/>
      <c r="AO3431" s="28" t="n">
        <f aca="false">AN3431*$M3431</f>
        <v>0</v>
      </c>
      <c r="AP3431" s="28"/>
      <c r="AQ3431" s="28" t="n">
        <f aca="false">AP3431*$M3431</f>
        <v>0</v>
      </c>
      <c r="AR3431" s="28"/>
      <c r="AS3431" s="28" t="n">
        <f aca="false">AR3431*$M3431</f>
        <v>0</v>
      </c>
      <c r="AT3431" s="28"/>
      <c r="AU3431" s="28" t="n">
        <f aca="false">AT3431*$M3431</f>
        <v>0</v>
      </c>
      <c r="AV3431" s="28"/>
      <c r="AW3431" s="28" t="n">
        <f aca="false">AV3431*$M3431</f>
        <v>0</v>
      </c>
      <c r="AX3431" s="28"/>
      <c r="AY3431" s="28" t="n">
        <f aca="false">AX3431*$M3431</f>
        <v>0</v>
      </c>
      <c r="AZ3431" s="30" t="n">
        <f aca="false">5354/100</f>
        <v>53.54</v>
      </c>
      <c r="BA3431" s="11" t="n">
        <v>2142</v>
      </c>
      <c r="BB3431" s="31" t="n">
        <f aca="false">SUM(Q3431,S3431,U3431,W3431,Y3431,AA3431,AC3431,AE3431,AG3431,AI3431,AK3431,AM3431,AO3431,AQ3431,AS3431,AU3431,AW3431,AY3431)</f>
        <v>2142</v>
      </c>
      <c r="BC3431" s="28" t="n">
        <f aca="false">BA3431-BB3431</f>
        <v>0</v>
      </c>
      <c r="BD3431" s="32" t="n">
        <f aca="false">SUM(P3431,R3431,T3431,V3431,X3431,Z3431,AB3431,AD3431,AF3431,AH3431,AJ3431,AL3431,AN3431,AP3431,AR3431,AT3431,AV3431,AX3431)</f>
        <v>53.54</v>
      </c>
      <c r="BE3431" s="33" t="n">
        <f aca="false">AZ3431-BD3431</f>
        <v>0</v>
      </c>
      <c r="BF3431" s="34" t="n">
        <f aca="false">BD3431*M3431</f>
        <v>2141.6</v>
      </c>
      <c r="BG3431" s="35" t="n">
        <f aca="false">BA3431-BF3431</f>
        <v>0.400000000000091</v>
      </c>
      <c r="BH3431" s="19" t="str">
        <f aca="false">IF(BG3431=0,"",IF(BG3431&lt;&gt;BA3431,"erreur de calcul",IF(BD3431&lt;&gt;0,"pas de prix",IF(M3431&lt;&gt; 0,"pas de quantité","pas de prix, ni de quantité"))))</f>
        <v>erreur de calcul</v>
      </c>
      <c r="BI3431" s="19"/>
    </row>
    <row r="3432" customFormat="false" ht="15" hidden="false" customHeight="false" outlineLevel="0" collapsed="false">
      <c r="A3432" s="0" t="n">
        <v>25</v>
      </c>
      <c r="B3432" s="8" t="s">
        <v>24</v>
      </c>
      <c r="C3432" s="9" t="s">
        <v>25</v>
      </c>
      <c r="D3432" s="9" t="s">
        <v>26</v>
      </c>
      <c r="E3432" s="10" t="n">
        <v>1789</v>
      </c>
      <c r="F3432" s="9" t="s">
        <v>27</v>
      </c>
      <c r="G3432" s="9" t="s">
        <v>27</v>
      </c>
      <c r="H3432" s="11" t="n">
        <v>25</v>
      </c>
      <c r="I3432" s="11" t="s">
        <v>354</v>
      </c>
      <c r="J3432" s="14" t="n">
        <v>200</v>
      </c>
      <c r="K3432" s="14"/>
      <c r="L3432" s="16"/>
      <c r="M3432" s="27" t="n">
        <f aca="false">J3432+(K3432/20)+(L3432/240)</f>
        <v>200</v>
      </c>
      <c r="N3432" s="17" t="s">
        <v>64</v>
      </c>
      <c r="O3432" s="11"/>
      <c r="P3432" s="28"/>
      <c r="Q3432" s="28" t="n">
        <f aca="false">P3432*$M3432</f>
        <v>0</v>
      </c>
      <c r="R3432" s="28"/>
      <c r="S3432" s="28" t="n">
        <f aca="false">R3432*$M3432</f>
        <v>0</v>
      </c>
      <c r="T3432" s="28" t="n">
        <f aca="false">4367/100</f>
        <v>43.67</v>
      </c>
      <c r="U3432" s="28" t="n">
        <v>8734</v>
      </c>
      <c r="V3432" s="28" t="n">
        <f aca="false">346/100</f>
        <v>3.46</v>
      </c>
      <c r="W3432" s="28" t="n">
        <v>692</v>
      </c>
      <c r="X3432" s="28"/>
      <c r="Y3432" s="28" t="n">
        <f aca="false">X3432*$M3432</f>
        <v>0</v>
      </c>
      <c r="Z3432" s="28"/>
      <c r="AA3432" s="28" t="n">
        <f aca="false">Z3432*$M3432</f>
        <v>0</v>
      </c>
      <c r="AB3432" s="28"/>
      <c r="AC3432" s="28" t="n">
        <f aca="false">AB3432*$M3432</f>
        <v>0</v>
      </c>
      <c r="AD3432" s="28"/>
      <c r="AE3432" s="28" t="n">
        <f aca="false">AD3432*$M3432</f>
        <v>0</v>
      </c>
      <c r="AF3432" s="28"/>
      <c r="AG3432" s="28" t="n">
        <f aca="false">AF3432*$M3432</f>
        <v>0</v>
      </c>
      <c r="AH3432" s="28"/>
      <c r="AI3432" s="28" t="n">
        <f aca="false">AH3432*$M3432</f>
        <v>0</v>
      </c>
      <c r="AJ3432" s="28"/>
      <c r="AK3432" s="28" t="n">
        <f aca="false">AJ3432*$M3432</f>
        <v>0</v>
      </c>
      <c r="AL3432" s="28"/>
      <c r="AM3432" s="28" t="n">
        <f aca="false">AL3432*$M3432</f>
        <v>0</v>
      </c>
      <c r="AN3432" s="28"/>
      <c r="AO3432" s="28" t="n">
        <f aca="false">AN3432*$M3432</f>
        <v>0</v>
      </c>
      <c r="AP3432" s="28"/>
      <c r="AQ3432" s="28" t="n">
        <f aca="false">AP3432*$M3432</f>
        <v>0</v>
      </c>
      <c r="AR3432" s="28"/>
      <c r="AS3432" s="28" t="n">
        <f aca="false">AR3432*$M3432</f>
        <v>0</v>
      </c>
      <c r="AT3432" s="28"/>
      <c r="AU3432" s="28" t="n">
        <f aca="false">AT3432*$M3432</f>
        <v>0</v>
      </c>
      <c r="AV3432" s="28"/>
      <c r="AW3432" s="28" t="n">
        <f aca="false">AV3432*$M3432</f>
        <v>0</v>
      </c>
      <c r="AX3432" s="28"/>
      <c r="AY3432" s="28" t="n">
        <f aca="false">AX3432*$M3432</f>
        <v>0</v>
      </c>
      <c r="AZ3432" s="30" t="n">
        <f aca="false">4713/100</f>
        <v>47.13</v>
      </c>
      <c r="BA3432" s="11" t="n">
        <v>9426</v>
      </c>
      <c r="BB3432" s="31" t="n">
        <f aca="false">SUM(Q3432,S3432,U3432,W3432,Y3432,AA3432,AC3432,AE3432,AG3432,AI3432,AK3432,AM3432,AO3432,AQ3432,AS3432,AU3432,AW3432,AY3432)</f>
        <v>9426</v>
      </c>
      <c r="BC3432" s="28" t="n">
        <f aca="false">BA3432-BB3432</f>
        <v>0</v>
      </c>
      <c r="BD3432" s="32" t="n">
        <f aca="false">SUM(P3432,R3432,T3432,V3432,X3432,Z3432,AB3432,AD3432,AF3432,AH3432,AJ3432,AL3432,AN3432,AP3432,AR3432,AT3432,AV3432,AX3432)</f>
        <v>47.13</v>
      </c>
      <c r="BE3432" s="33" t="n">
        <f aca="false">AZ3432-BD3432</f>
        <v>0</v>
      </c>
      <c r="BF3432" s="34" t="n">
        <f aca="false">BD3432*M3432</f>
        <v>9426</v>
      </c>
      <c r="BG3432" s="35" t="n">
        <f aca="false">BA3432-BF3432</f>
        <v>0</v>
      </c>
      <c r="BH3432" s="19" t="str">
        <f aca="false">IF(BG3432=0,"",IF(BG3432&lt;&gt;BA3432,"erreur de calcul",IF(BD3432&lt;&gt;0,"pas de prix",IF(M3432&lt;&gt; 0,"pas de quantité","pas de prix, ni de quantité"))))</f>
        <v/>
      </c>
      <c r="BI3432" s="19"/>
    </row>
    <row r="3433" customFormat="false" ht="15" hidden="false" customHeight="false" outlineLevel="0" collapsed="false">
      <c r="A3433" s="0" t="n">
        <v>26</v>
      </c>
      <c r="B3433" s="8" t="s">
        <v>24</v>
      </c>
      <c r="C3433" s="9" t="s">
        <v>25</v>
      </c>
      <c r="D3433" s="9" t="s">
        <v>26</v>
      </c>
      <c r="E3433" s="10" t="n">
        <v>1789</v>
      </c>
      <c r="F3433" s="9" t="s">
        <v>27</v>
      </c>
      <c r="G3433" s="9" t="s">
        <v>27</v>
      </c>
      <c r="H3433" s="11" t="n">
        <v>25</v>
      </c>
      <c r="I3433" s="11" t="s">
        <v>355</v>
      </c>
      <c r="J3433" s="14" t="n">
        <v>200</v>
      </c>
      <c r="K3433" s="14"/>
      <c r="L3433" s="16"/>
      <c r="M3433" s="27" t="n">
        <f aca="false">J3433+(K3433/20)+(L3433/240)</f>
        <v>200</v>
      </c>
      <c r="N3433" s="17" t="s">
        <v>64</v>
      </c>
      <c r="O3433" s="11"/>
      <c r="P3433" s="28"/>
      <c r="Q3433" s="28" t="n">
        <f aca="false">P3433*$M3433</f>
        <v>0</v>
      </c>
      <c r="R3433" s="28"/>
      <c r="S3433" s="28" t="n">
        <f aca="false">R3433*$M3433</f>
        <v>0</v>
      </c>
      <c r="T3433" s="28" t="n">
        <f aca="false">2471/100</f>
        <v>24.71</v>
      </c>
      <c r="U3433" s="28" t="n">
        <v>4942</v>
      </c>
      <c r="V3433" s="28"/>
      <c r="W3433" s="28" t="n">
        <f aca="false">V3433*$M3433</f>
        <v>0</v>
      </c>
      <c r="X3433" s="28"/>
      <c r="Y3433" s="28" t="n">
        <f aca="false">X3433*$M3433</f>
        <v>0</v>
      </c>
      <c r="Z3433" s="28"/>
      <c r="AA3433" s="28" t="n">
        <f aca="false">Z3433*$M3433</f>
        <v>0</v>
      </c>
      <c r="AB3433" s="28"/>
      <c r="AC3433" s="28" t="n">
        <f aca="false">AB3433*$M3433</f>
        <v>0</v>
      </c>
      <c r="AD3433" s="28"/>
      <c r="AE3433" s="28" t="n">
        <f aca="false">AD3433*$M3433</f>
        <v>0</v>
      </c>
      <c r="AF3433" s="28"/>
      <c r="AG3433" s="28" t="n">
        <f aca="false">AF3433*$M3433</f>
        <v>0</v>
      </c>
      <c r="AH3433" s="28"/>
      <c r="AI3433" s="28" t="n">
        <f aca="false">AH3433*$M3433</f>
        <v>0</v>
      </c>
      <c r="AJ3433" s="28"/>
      <c r="AK3433" s="28" t="n">
        <f aca="false">AJ3433*$M3433</f>
        <v>0</v>
      </c>
      <c r="AL3433" s="28"/>
      <c r="AM3433" s="28" t="n">
        <f aca="false">AL3433*$M3433</f>
        <v>0</v>
      </c>
      <c r="AN3433" s="28"/>
      <c r="AO3433" s="28" t="n">
        <f aca="false">AN3433*$M3433</f>
        <v>0</v>
      </c>
      <c r="AP3433" s="28"/>
      <c r="AQ3433" s="28" t="n">
        <f aca="false">AP3433*$M3433</f>
        <v>0</v>
      </c>
      <c r="AR3433" s="28"/>
      <c r="AS3433" s="28" t="n">
        <f aca="false">AR3433*$M3433</f>
        <v>0</v>
      </c>
      <c r="AT3433" s="28"/>
      <c r="AU3433" s="28" t="n">
        <f aca="false">AT3433*$M3433</f>
        <v>0</v>
      </c>
      <c r="AV3433" s="28"/>
      <c r="AW3433" s="28" t="n">
        <f aca="false">AV3433*$M3433</f>
        <v>0</v>
      </c>
      <c r="AX3433" s="28"/>
      <c r="AY3433" s="28" t="n">
        <f aca="false">AX3433*$M3433</f>
        <v>0</v>
      </c>
      <c r="AZ3433" s="30" t="n">
        <f aca="false">2471/100</f>
        <v>24.71</v>
      </c>
      <c r="BA3433" s="11" t="n">
        <v>4942</v>
      </c>
      <c r="BB3433" s="31" t="n">
        <f aca="false">SUM(Q3433,S3433,U3433,W3433,Y3433,AA3433,AC3433,AE3433,AG3433,AI3433,AK3433,AM3433,AO3433,AQ3433,AS3433,AU3433,AW3433,AY3433)</f>
        <v>4942</v>
      </c>
      <c r="BC3433" s="28" t="n">
        <f aca="false">BA3433-BB3433</f>
        <v>0</v>
      </c>
      <c r="BD3433" s="32" t="n">
        <f aca="false">SUM(P3433,R3433,T3433,V3433,X3433,Z3433,AB3433,AD3433,AF3433,AH3433,AJ3433,AL3433,AN3433,AP3433,AR3433,AT3433,AV3433,AX3433)</f>
        <v>24.71</v>
      </c>
      <c r="BE3433" s="33" t="n">
        <f aca="false">AZ3433-BD3433</f>
        <v>0</v>
      </c>
      <c r="BF3433" s="34" t="n">
        <f aca="false">BD3433*M3433</f>
        <v>4942</v>
      </c>
      <c r="BG3433" s="35" t="n">
        <f aca="false">BA3433-BF3433</f>
        <v>0</v>
      </c>
      <c r="BH3433" s="19" t="str">
        <f aca="false">IF(BG3433=0,"",IF(BG3433&lt;&gt;BA3433,"erreur de calcul",IF(BD3433&lt;&gt;0,"pas de prix",IF(M3433&lt;&gt; 0,"pas de quantité","pas de prix, ni de quantité"))))</f>
        <v/>
      </c>
      <c r="BI3433" s="19"/>
    </row>
    <row r="3434" customFormat="false" ht="15" hidden="false" customHeight="false" outlineLevel="0" collapsed="false">
      <c r="A3434" s="0" t="n">
        <v>27</v>
      </c>
      <c r="B3434" s="8" t="s">
        <v>24</v>
      </c>
      <c r="C3434" s="9" t="s">
        <v>25</v>
      </c>
      <c r="D3434" s="9" t="s">
        <v>26</v>
      </c>
      <c r="E3434" s="10" t="n">
        <v>1789</v>
      </c>
      <c r="F3434" s="9" t="s">
        <v>27</v>
      </c>
      <c r="G3434" s="9" t="s">
        <v>27</v>
      </c>
      <c r="H3434" s="11" t="n">
        <v>25</v>
      </c>
      <c r="I3434" s="11" t="s">
        <v>356</v>
      </c>
      <c r="J3434" s="14" t="n">
        <v>120</v>
      </c>
      <c r="K3434" s="14"/>
      <c r="L3434" s="16"/>
      <c r="M3434" s="27" t="n">
        <f aca="false">J3434+(K3434/20)+(L3434/240)</f>
        <v>120</v>
      </c>
      <c r="N3434" s="17" t="s">
        <v>64</v>
      </c>
      <c r="O3434" s="11"/>
      <c r="P3434" s="28"/>
      <c r="Q3434" s="28" t="n">
        <f aca="false">P3434*$M3434</f>
        <v>0</v>
      </c>
      <c r="R3434" s="28"/>
      <c r="S3434" s="28" t="n">
        <f aca="false">R3434*$M3434</f>
        <v>0</v>
      </c>
      <c r="T3434" s="28"/>
      <c r="U3434" s="28" t="n">
        <f aca="false">T3434*$M3434</f>
        <v>0</v>
      </c>
      <c r="V3434" s="28"/>
      <c r="W3434" s="28" t="n">
        <f aca="false">V3434*$M3434</f>
        <v>0</v>
      </c>
      <c r="X3434" s="28"/>
      <c r="Y3434" s="28" t="n">
        <f aca="false">X3434*$M3434</f>
        <v>0</v>
      </c>
      <c r="Z3434" s="28"/>
      <c r="AA3434" s="28" t="n">
        <f aca="false">Z3434*$M3434</f>
        <v>0</v>
      </c>
      <c r="AB3434" s="28"/>
      <c r="AC3434" s="28" t="n">
        <f aca="false">AB3434*$M3434</f>
        <v>0</v>
      </c>
      <c r="AD3434" s="28"/>
      <c r="AE3434" s="28" t="n">
        <f aca="false">AD3434*$M3434</f>
        <v>0</v>
      </c>
      <c r="AF3434" s="28"/>
      <c r="AG3434" s="28" t="n">
        <f aca="false">AF3434*$M3434</f>
        <v>0</v>
      </c>
      <c r="AH3434" s="28"/>
      <c r="AI3434" s="28" t="n">
        <f aca="false">AH3434*$M3434</f>
        <v>0</v>
      </c>
      <c r="AJ3434" s="28"/>
      <c r="AK3434" s="28" t="n">
        <f aca="false">AJ3434*$M3434</f>
        <v>0</v>
      </c>
      <c r="AL3434" s="28"/>
      <c r="AM3434" s="28" t="n">
        <f aca="false">AL3434*$M3434</f>
        <v>0</v>
      </c>
      <c r="AN3434" s="28" t="n">
        <f aca="false">407/100</f>
        <v>4.07</v>
      </c>
      <c r="AO3434" s="28" t="n">
        <v>488</v>
      </c>
      <c r="AP3434" s="28"/>
      <c r="AQ3434" s="28" t="n">
        <f aca="false">AP3434*$M3434</f>
        <v>0</v>
      </c>
      <c r="AR3434" s="28"/>
      <c r="AS3434" s="28" t="n">
        <f aca="false">AR3434*$M3434</f>
        <v>0</v>
      </c>
      <c r="AT3434" s="28"/>
      <c r="AU3434" s="28" t="n">
        <f aca="false">AT3434*$M3434</f>
        <v>0</v>
      </c>
      <c r="AV3434" s="28"/>
      <c r="AW3434" s="28" t="n">
        <f aca="false">AV3434*$M3434</f>
        <v>0</v>
      </c>
      <c r="AX3434" s="28"/>
      <c r="AY3434" s="28" t="n">
        <f aca="false">AX3434*$M3434</f>
        <v>0</v>
      </c>
      <c r="AZ3434" s="30" t="n">
        <f aca="false">407/100</f>
        <v>4.07</v>
      </c>
      <c r="BA3434" s="11" t="n">
        <v>488</v>
      </c>
      <c r="BB3434" s="31" t="n">
        <f aca="false">SUM(Q3434,S3434,U3434,W3434,Y3434,AA3434,AC3434,AE3434,AG3434,AI3434,AK3434,AM3434,AO3434,AQ3434,AS3434,AU3434,AW3434,AY3434)</f>
        <v>488</v>
      </c>
      <c r="BC3434" s="28" t="n">
        <f aca="false">BA3434-BB3434</f>
        <v>0</v>
      </c>
      <c r="BD3434" s="32" t="n">
        <f aca="false">SUM(P3434,R3434,T3434,V3434,X3434,Z3434,AB3434,AD3434,AF3434,AH3434,AJ3434,AL3434,AN3434,AP3434,AR3434,AT3434,AV3434,AX3434)</f>
        <v>4.07</v>
      </c>
      <c r="BE3434" s="33" t="n">
        <f aca="false">AZ3434-BD3434</f>
        <v>0</v>
      </c>
      <c r="BF3434" s="34" t="n">
        <f aca="false">BD3434*M3434</f>
        <v>488.4</v>
      </c>
      <c r="BG3434" s="35" t="n">
        <f aca="false">BA3434-BF3434</f>
        <v>-0.400000000000034</v>
      </c>
      <c r="BH3434" s="19" t="str">
        <f aca="false">IF(BG3434=0,"",IF(BG3434&lt;&gt;BA3434,"erreur de calcul",IF(BD3434&lt;&gt;0,"pas de prix",IF(M3434&lt;&gt; 0,"pas de quantité","pas de prix, ni de quantité"))))</f>
        <v>erreur de calcul</v>
      </c>
      <c r="BI3434" s="19"/>
    </row>
    <row r="3435" customFormat="false" ht="15" hidden="false" customHeight="false" outlineLevel="0" collapsed="false">
      <c r="A3435" s="0" t="n">
        <v>28</v>
      </c>
      <c r="B3435" s="8" t="s">
        <v>24</v>
      </c>
      <c r="C3435" s="9" t="s">
        <v>25</v>
      </c>
      <c r="D3435" s="9" t="s">
        <v>26</v>
      </c>
      <c r="E3435" s="10" t="n">
        <v>1789</v>
      </c>
      <c r="F3435" s="9" t="s">
        <v>27</v>
      </c>
      <c r="G3435" s="9" t="s">
        <v>27</v>
      </c>
      <c r="H3435" s="11" t="n">
        <v>25</v>
      </c>
      <c r="I3435" s="11" t="s">
        <v>357</v>
      </c>
      <c r="J3435" s="14" t="n">
        <v>30</v>
      </c>
      <c r="K3435" s="14"/>
      <c r="L3435" s="16"/>
      <c r="M3435" s="27" t="n">
        <f aca="false">J3435+(K3435/20)+(L3435/240)</f>
        <v>30</v>
      </c>
      <c r="N3435" s="17" t="s">
        <v>64</v>
      </c>
      <c r="O3435" s="11"/>
      <c r="P3435" s="28"/>
      <c r="Q3435" s="28" t="n">
        <f aca="false">P3435*$M3435</f>
        <v>0</v>
      </c>
      <c r="R3435" s="28"/>
      <c r="S3435" s="28" t="n">
        <f aca="false">R3435*$M3435</f>
        <v>0</v>
      </c>
      <c r="T3435" s="28" t="n">
        <f aca="false">8903/100</f>
        <v>89.03</v>
      </c>
      <c r="U3435" s="28" t="n">
        <v>2671</v>
      </c>
      <c r="V3435" s="28" t="n">
        <f aca="false">2591/100</f>
        <v>25.91</v>
      </c>
      <c r="W3435" s="28" t="n">
        <v>777</v>
      </c>
      <c r="X3435" s="28"/>
      <c r="Y3435" s="28" t="n">
        <f aca="false">X3435*$M3435</f>
        <v>0</v>
      </c>
      <c r="Z3435" s="28" t="n">
        <f aca="false">17041/100</f>
        <v>170.41</v>
      </c>
      <c r="AA3435" s="28" t="n">
        <v>5112</v>
      </c>
      <c r="AB3435" s="28" t="n">
        <f aca="false">42963/100</f>
        <v>429.63</v>
      </c>
      <c r="AC3435" s="28" t="n">
        <v>12889</v>
      </c>
      <c r="AD3435" s="28"/>
      <c r="AE3435" s="28" t="n">
        <f aca="false">AD3435*$M3435</f>
        <v>0</v>
      </c>
      <c r="AF3435" s="28" t="n">
        <f aca="false">138369/100</f>
        <v>1383.69</v>
      </c>
      <c r="AG3435" s="28" t="n">
        <v>41511</v>
      </c>
      <c r="AH3435" s="28"/>
      <c r="AI3435" s="28" t="n">
        <f aca="false">AH3435*$M3435</f>
        <v>0</v>
      </c>
      <c r="AJ3435" s="28"/>
      <c r="AK3435" s="28" t="n">
        <f aca="false">AJ3435*$M3435</f>
        <v>0</v>
      </c>
      <c r="AL3435" s="28"/>
      <c r="AM3435" s="28" t="n">
        <f aca="false">AL3435*$M3435</f>
        <v>0</v>
      </c>
      <c r="AN3435" s="28"/>
      <c r="AO3435" s="28" t="n">
        <f aca="false">AN3435*$M3435</f>
        <v>0</v>
      </c>
      <c r="AP3435" s="28"/>
      <c r="AQ3435" s="28" t="n">
        <f aca="false">AP3435*$M3435</f>
        <v>0</v>
      </c>
      <c r="AR3435" s="28"/>
      <c r="AS3435" s="28" t="n">
        <f aca="false">AR3435*$M3435</f>
        <v>0</v>
      </c>
      <c r="AT3435" s="28"/>
      <c r="AU3435" s="28" t="n">
        <f aca="false">AT3435*$M3435</f>
        <v>0</v>
      </c>
      <c r="AV3435" s="28"/>
      <c r="AW3435" s="28" t="n">
        <f aca="false">AV3435*$M3435</f>
        <v>0</v>
      </c>
      <c r="AX3435" s="28"/>
      <c r="AY3435" s="28" t="n">
        <f aca="false">AX3435*$M3435</f>
        <v>0</v>
      </c>
      <c r="AZ3435" s="30" t="n">
        <f aca="false">209867/100</f>
        <v>2098.67</v>
      </c>
      <c r="BA3435" s="11" t="n">
        <v>62960</v>
      </c>
      <c r="BB3435" s="31" t="n">
        <f aca="false">SUM(Q3435,S3435,U3435,W3435,Y3435,AA3435,AC3435,AE3435,AG3435,AI3435,AK3435,AM3435,AO3435,AQ3435,AS3435,AU3435,AW3435,AY3435)</f>
        <v>62960</v>
      </c>
      <c r="BC3435" s="28" t="n">
        <f aca="false">BA3435-BB3435</f>
        <v>0</v>
      </c>
      <c r="BD3435" s="32" t="n">
        <f aca="false">SUM(P3435,R3435,T3435,V3435,X3435,Z3435,AB3435,AD3435,AF3435,AH3435,AJ3435,AL3435,AN3435,AP3435,AR3435,AT3435,AV3435,AX3435)</f>
        <v>2098.67</v>
      </c>
      <c r="BE3435" s="33" t="n">
        <f aca="false">AZ3435-BD3435</f>
        <v>0</v>
      </c>
      <c r="BF3435" s="34" t="n">
        <f aca="false">BD3435*M3435</f>
        <v>62960.1</v>
      </c>
      <c r="BG3435" s="35" t="n">
        <f aca="false">BA3435-BF3435</f>
        <v>-0.100000000013097</v>
      </c>
      <c r="BH3435" s="19" t="str">
        <f aca="false">IF(BG3435=0,"",IF(BG3435&lt;&gt;BA3435,"erreur de calcul",IF(BD3435&lt;&gt;0,"pas de prix",IF(M3435&lt;&gt; 0,"pas de quantité","pas de prix, ni de quantité"))))</f>
        <v>erreur de calcul</v>
      </c>
      <c r="BI3435" s="19"/>
    </row>
    <row r="3436" customFormat="false" ht="15" hidden="false" customHeight="false" outlineLevel="0" collapsed="false">
      <c r="A3436" s="0" t="n">
        <v>29</v>
      </c>
      <c r="B3436" s="8" t="s">
        <v>24</v>
      </c>
      <c r="C3436" s="9" t="s">
        <v>25</v>
      </c>
      <c r="D3436" s="9" t="s">
        <v>26</v>
      </c>
      <c r="E3436" s="10" t="n">
        <v>1789</v>
      </c>
      <c r="F3436" s="9" t="s">
        <v>27</v>
      </c>
      <c r="G3436" s="9" t="s">
        <v>27</v>
      </c>
      <c r="H3436" s="11" t="n">
        <v>25</v>
      </c>
      <c r="I3436" s="11" t="s">
        <v>358</v>
      </c>
      <c r="J3436" s="14" t="n">
        <v>35</v>
      </c>
      <c r="K3436" s="14"/>
      <c r="L3436" s="16"/>
      <c r="M3436" s="27" t="n">
        <f aca="false">J3436+(K3436/20)+(L3436/240)</f>
        <v>35</v>
      </c>
      <c r="N3436" s="17" t="s">
        <v>64</v>
      </c>
      <c r="O3436" s="11"/>
      <c r="P3436" s="28"/>
      <c r="Q3436" s="28" t="n">
        <f aca="false">P3436*$M3436</f>
        <v>0</v>
      </c>
      <c r="R3436" s="28"/>
      <c r="S3436" s="28" t="n">
        <f aca="false">R3436*$M3436</f>
        <v>0</v>
      </c>
      <c r="T3436" s="28" t="n">
        <f aca="false">62095/100</f>
        <v>620.95</v>
      </c>
      <c r="U3436" s="28" t="n">
        <v>21733</v>
      </c>
      <c r="V3436" s="28" t="n">
        <f aca="false">257918/100</f>
        <v>2579.18</v>
      </c>
      <c r="W3436" s="28" t="n">
        <v>90271</v>
      </c>
      <c r="X3436" s="28" t="n">
        <f aca="false">10723/100</f>
        <v>107.23</v>
      </c>
      <c r="Y3436" s="28" t="n">
        <v>3753</v>
      </c>
      <c r="Z3436" s="28" t="n">
        <f aca="false">21191/100</f>
        <v>211.91</v>
      </c>
      <c r="AA3436" s="28" t="n">
        <v>7417</v>
      </c>
      <c r="AB3436" s="28" t="n">
        <f aca="false">308781/100</f>
        <v>3087.81</v>
      </c>
      <c r="AC3436" s="28" t="n">
        <v>108073</v>
      </c>
      <c r="AD3436" s="28"/>
      <c r="AE3436" s="28" t="n">
        <f aca="false">AD3436*$M3436</f>
        <v>0</v>
      </c>
      <c r="AF3436" s="28" t="n">
        <f aca="false">5225/100</f>
        <v>52.25</v>
      </c>
      <c r="AG3436" s="28" t="n">
        <v>1829</v>
      </c>
      <c r="AH3436" s="28"/>
      <c r="AI3436" s="28" t="n">
        <f aca="false">AH3436*$M3436</f>
        <v>0</v>
      </c>
      <c r="AJ3436" s="28"/>
      <c r="AK3436" s="28" t="n">
        <f aca="false">AJ3436*$M3436</f>
        <v>0</v>
      </c>
      <c r="AL3436" s="28"/>
      <c r="AM3436" s="28" t="n">
        <f aca="false">AL3436*$M3436</f>
        <v>0</v>
      </c>
      <c r="AN3436" s="28"/>
      <c r="AO3436" s="28" t="n">
        <f aca="false">AN3436*$M3436</f>
        <v>0</v>
      </c>
      <c r="AP3436" s="28"/>
      <c r="AQ3436" s="28" t="n">
        <f aca="false">AP3436*$M3436</f>
        <v>0</v>
      </c>
      <c r="AR3436" s="28"/>
      <c r="AS3436" s="28" t="n">
        <f aca="false">AR3436*$M3436</f>
        <v>0</v>
      </c>
      <c r="AT3436" s="28"/>
      <c r="AU3436" s="28" t="n">
        <f aca="false">AT3436*$M3436</f>
        <v>0</v>
      </c>
      <c r="AV3436" s="28"/>
      <c r="AW3436" s="28" t="n">
        <f aca="false">AV3436*$M3436</f>
        <v>0</v>
      </c>
      <c r="AX3436" s="28"/>
      <c r="AY3436" s="28" t="n">
        <f aca="false">AX3436*$M3436</f>
        <v>0</v>
      </c>
      <c r="AZ3436" s="30" t="n">
        <f aca="false">665933/100</f>
        <v>6659.33</v>
      </c>
      <c r="BA3436" s="11" t="n">
        <v>233076</v>
      </c>
      <c r="BB3436" s="31" t="n">
        <f aca="false">SUM(Q3436,S3436,U3436,W3436,Y3436,AA3436,AC3436,AE3436,AG3436,AI3436,AK3436,AM3436,AO3436,AQ3436,AS3436,AU3436,AW3436,AY3436)</f>
        <v>233076</v>
      </c>
      <c r="BC3436" s="28" t="n">
        <f aca="false">BA3436-BB3436</f>
        <v>0</v>
      </c>
      <c r="BD3436" s="32" t="n">
        <f aca="false">SUM(P3436,R3436,T3436,V3436,X3436,Z3436,AB3436,AD3436,AF3436,AH3436,AJ3436,AL3436,AN3436,AP3436,AR3436,AT3436,AV3436,AX3436)</f>
        <v>6659.33</v>
      </c>
      <c r="BE3436" s="33" t="n">
        <f aca="false">AZ3436-BD3436</f>
        <v>0</v>
      </c>
      <c r="BF3436" s="34" t="n">
        <f aca="false">BD3436*M3436</f>
        <v>233076.55</v>
      </c>
      <c r="BG3436" s="35" t="n">
        <f aca="false">BA3436-BF3436</f>
        <v>-0.549999999959255</v>
      </c>
      <c r="BH3436" s="19" t="str">
        <f aca="false">IF(BG3436=0,"",IF(BG3436&lt;&gt;BA3436,"erreur de calcul",IF(BD3436&lt;&gt;0,"pas de prix",IF(M3436&lt;&gt; 0,"pas de quantité","pas de prix, ni de quantité"))))</f>
        <v>erreur de calcul</v>
      </c>
      <c r="BI3436" s="19"/>
    </row>
    <row r="3437" customFormat="false" ht="15" hidden="false" customHeight="false" outlineLevel="0" collapsed="false">
      <c r="A3437" s="0" t="n">
        <v>30</v>
      </c>
      <c r="B3437" s="8" t="s">
        <v>24</v>
      </c>
      <c r="C3437" s="9" t="s">
        <v>25</v>
      </c>
      <c r="D3437" s="9" t="s">
        <v>26</v>
      </c>
      <c r="E3437" s="10" t="n">
        <v>1789</v>
      </c>
      <c r="F3437" s="9" t="s">
        <v>27</v>
      </c>
      <c r="G3437" s="9" t="s">
        <v>27</v>
      </c>
      <c r="H3437" s="11" t="n">
        <v>25</v>
      </c>
      <c r="I3437" s="11" t="s">
        <v>359</v>
      </c>
      <c r="J3437" s="14"/>
      <c r="K3437" s="14"/>
      <c r="L3437" s="16"/>
      <c r="M3437" s="27" t="n">
        <f aca="false">J3437+(K3437/20)+(L3437/240)</f>
        <v>0</v>
      </c>
      <c r="N3437" s="17"/>
      <c r="O3437" s="11" t="s">
        <v>109</v>
      </c>
      <c r="P3437" s="28"/>
      <c r="Q3437" s="28" t="n">
        <f aca="false">P3437*$M3437</f>
        <v>0</v>
      </c>
      <c r="R3437" s="28"/>
      <c r="S3437" s="28" t="n">
        <f aca="false">R3437*$M3437</f>
        <v>0</v>
      </c>
      <c r="T3437" s="28"/>
      <c r="U3437" s="28" t="n">
        <f aca="false">T3437*$M3437</f>
        <v>0</v>
      </c>
      <c r="V3437" s="28"/>
      <c r="W3437" s="28" t="n">
        <f aca="false">V3437*$M3437</f>
        <v>0</v>
      </c>
      <c r="X3437" s="28"/>
      <c r="Y3437" s="28" t="n">
        <f aca="false">X3437*$M3437</f>
        <v>0</v>
      </c>
      <c r="Z3437" s="28"/>
      <c r="AA3437" s="28" t="n">
        <f aca="false">Z3437*$M3437</f>
        <v>0</v>
      </c>
      <c r="AB3437" s="28"/>
      <c r="AC3437" s="28" t="n">
        <f aca="false">AB3437*$M3437</f>
        <v>0</v>
      </c>
      <c r="AD3437" s="28"/>
      <c r="AE3437" s="28" t="n">
        <f aca="false">AD3437*$M3437</f>
        <v>0</v>
      </c>
      <c r="AF3437" s="28"/>
      <c r="AG3437" s="28" t="n">
        <f aca="false">AF3437*$M3437</f>
        <v>0</v>
      </c>
      <c r="AH3437" s="28"/>
      <c r="AI3437" s="28" t="n">
        <f aca="false">AH3437*$M3437</f>
        <v>0</v>
      </c>
      <c r="AJ3437" s="28"/>
      <c r="AK3437" s="28" t="n">
        <f aca="false">AJ3437*$M3437</f>
        <v>0</v>
      </c>
      <c r="AL3437" s="28"/>
      <c r="AM3437" s="28" t="n">
        <f aca="false">AL3437*$M3437</f>
        <v>0</v>
      </c>
      <c r="AN3437" s="28"/>
      <c r="AO3437" s="28" t="n">
        <f aca="false">AN3437*$M3437</f>
        <v>0</v>
      </c>
      <c r="AP3437" s="28"/>
      <c r="AQ3437" s="28" t="n">
        <f aca="false">AP3437*$M3437</f>
        <v>0</v>
      </c>
      <c r="AR3437" s="28"/>
      <c r="AS3437" s="28" t="n">
        <f aca="false">AR3437*$M3437</f>
        <v>0</v>
      </c>
      <c r="AT3437" s="28"/>
      <c r="AU3437" s="28" t="n">
        <f aca="false">AT3437*$M3437</f>
        <v>0</v>
      </c>
      <c r="AV3437" s="28"/>
      <c r="AW3437" s="28" t="n">
        <f aca="false">AV3437*$M3437</f>
        <v>0</v>
      </c>
      <c r="AX3437" s="28"/>
      <c r="AY3437" s="28" t="n">
        <f aca="false">AX3437*$M3437</f>
        <v>0</v>
      </c>
      <c r="AZ3437" s="30"/>
      <c r="BA3437" s="11"/>
      <c r="BB3437" s="31" t="n">
        <f aca="false">SUM(Q3437,S3437,U3437,W3437,Y3437,AA3437,AC3437,AE3437,AG3437,AI3437,AK3437,AM3437,AO3437,AQ3437,AS3437,AU3437,AW3437,AY3437)</f>
        <v>0</v>
      </c>
      <c r="BC3437" s="28" t="n">
        <f aca="false">BA3437-BB3437</f>
        <v>0</v>
      </c>
      <c r="BD3437" s="32" t="n">
        <f aca="false">SUM(P3437,R3437,T3437,V3437,X3437,Z3437,AB3437,AD3437,AF3437,AH3437,AJ3437,AL3437,AN3437,AP3437,AR3437,AT3437,AV3437,AX3437)</f>
        <v>0</v>
      </c>
      <c r="BE3437" s="33" t="n">
        <f aca="false">AZ3437-BD3437</f>
        <v>0</v>
      </c>
      <c r="BF3437" s="34" t="n">
        <f aca="false">BD3437*M3437</f>
        <v>0</v>
      </c>
      <c r="BG3437" s="35" t="n">
        <f aca="false">BA3437-BF3437</f>
        <v>0</v>
      </c>
      <c r="BH3437" s="19" t="str">
        <f aca="false">IF(BG3437=0,"",IF(BG3437&lt;&gt;BA3437,"erreur de calcul",IF(BD3437&lt;&gt;0,"pas de prix",IF(M3437&lt;&gt; 0,"pas de quantité","pas de prix, ni de quantité"))))</f>
        <v/>
      </c>
      <c r="BI3437" s="19"/>
    </row>
    <row r="3438" customFormat="false" ht="15" hidden="false" customHeight="false" outlineLevel="0" collapsed="false">
      <c r="A3438" s="0" t="n">
        <v>31</v>
      </c>
      <c r="B3438" s="8" t="s">
        <v>24</v>
      </c>
      <c r="C3438" s="9" t="s">
        <v>25</v>
      </c>
      <c r="D3438" s="9" t="s">
        <v>26</v>
      </c>
      <c r="E3438" s="10" t="n">
        <v>1789</v>
      </c>
      <c r="F3438" s="9" t="s">
        <v>27</v>
      </c>
      <c r="G3438" s="9" t="s">
        <v>27</v>
      </c>
      <c r="H3438" s="11" t="n">
        <v>25</v>
      </c>
      <c r="I3438" s="11" t="s">
        <v>359</v>
      </c>
      <c r="J3438" s="14"/>
      <c r="K3438" s="14"/>
      <c r="L3438" s="16"/>
      <c r="M3438" s="27" t="n">
        <f aca="false">J3438+(K3438/20)+(L3438/240)</f>
        <v>0</v>
      </c>
      <c r="N3438" s="17"/>
      <c r="O3438" s="11" t="s">
        <v>277</v>
      </c>
      <c r="P3438" s="28"/>
      <c r="Q3438" s="28" t="n">
        <f aca="false">P3438*$M3438</f>
        <v>0</v>
      </c>
      <c r="R3438" s="28"/>
      <c r="S3438" s="28" t="n">
        <f aca="false">R3438*$M3438</f>
        <v>0</v>
      </c>
      <c r="T3438" s="28"/>
      <c r="U3438" s="28" t="n">
        <f aca="false">T3438*$M3438</f>
        <v>0</v>
      </c>
      <c r="V3438" s="28"/>
      <c r="W3438" s="28" t="n">
        <f aca="false">V3438*$M3438</f>
        <v>0</v>
      </c>
      <c r="X3438" s="28"/>
      <c r="Y3438" s="28" t="n">
        <v>1361</v>
      </c>
      <c r="Z3438" s="28"/>
      <c r="AA3438" s="28" t="n">
        <f aca="false">Z3438*$M3438</f>
        <v>0</v>
      </c>
      <c r="AB3438" s="28"/>
      <c r="AC3438" s="28" t="n">
        <v>1182</v>
      </c>
      <c r="AD3438" s="28"/>
      <c r="AE3438" s="28" t="n">
        <v>649</v>
      </c>
      <c r="AF3438" s="28"/>
      <c r="AG3438" s="28" t="n">
        <f aca="false">AF3438*$M3438</f>
        <v>0</v>
      </c>
      <c r="AH3438" s="28"/>
      <c r="AI3438" s="28" t="n">
        <v>862</v>
      </c>
      <c r="AJ3438" s="28"/>
      <c r="AK3438" s="28" t="n">
        <f aca="false">AJ3438*$M3438</f>
        <v>0</v>
      </c>
      <c r="AL3438" s="28"/>
      <c r="AM3438" s="28" t="n">
        <f aca="false">AL3438*$M3438</f>
        <v>0</v>
      </c>
      <c r="AN3438" s="28"/>
      <c r="AO3438" s="28" t="n">
        <f aca="false">AN3438*$M3438</f>
        <v>0</v>
      </c>
      <c r="AP3438" s="28"/>
      <c r="AQ3438" s="28" t="n">
        <f aca="false">AP3438*$M3438</f>
        <v>0</v>
      </c>
      <c r="AR3438" s="28"/>
      <c r="AS3438" s="28" t="n">
        <f aca="false">AR3438*$M3438</f>
        <v>0</v>
      </c>
      <c r="AT3438" s="28"/>
      <c r="AU3438" s="28" t="n">
        <f aca="false">AT3438*$M3438</f>
        <v>0</v>
      </c>
      <c r="AV3438" s="28"/>
      <c r="AW3438" s="28" t="n">
        <f aca="false">AV3438*$M3438</f>
        <v>0</v>
      </c>
      <c r="AX3438" s="28"/>
      <c r="AY3438" s="28" t="n">
        <f aca="false">AX3438*$M3438</f>
        <v>0</v>
      </c>
      <c r="AZ3438" s="30"/>
      <c r="BA3438" s="11" t="n">
        <v>4054</v>
      </c>
      <c r="BB3438" s="31" t="n">
        <f aca="false">SUM(Q3438,S3438,U3438,W3438,Y3438,AA3438,AC3438,AE3438,AG3438,AI3438,AK3438,AM3438,AO3438,AQ3438,AS3438,AU3438,AW3438,AY3438)</f>
        <v>4054</v>
      </c>
      <c r="BC3438" s="28" t="n">
        <f aca="false">BA3438-BB3438</f>
        <v>0</v>
      </c>
      <c r="BD3438" s="32" t="n">
        <f aca="false">SUM(P3438,R3438,T3438,V3438,X3438,Z3438,AB3438,AD3438,AF3438,AH3438,AJ3438,AL3438,AN3438,AP3438,AR3438,AT3438,AV3438,AX3438)</f>
        <v>0</v>
      </c>
      <c r="BE3438" s="33" t="n">
        <f aca="false">AZ3438-BD3438</f>
        <v>0</v>
      </c>
      <c r="BF3438" s="34" t="n">
        <f aca="false">BD3438*M3438</f>
        <v>0</v>
      </c>
      <c r="BG3438" s="35" t="n">
        <f aca="false">BA3438-BF3438</f>
        <v>4054</v>
      </c>
      <c r="BH3438" s="19" t="str">
        <f aca="false">IF(BG3438=0,"",IF(BG3438&lt;&gt;BA3438,"erreur de calcul",IF(BD3438&lt;&gt;0,"pas de prix",IF(M3438&lt;&gt; 0,"pas de quantité","pas de prix, ni de quantité"))))</f>
        <v>pas de prix, ni de quantité</v>
      </c>
      <c r="BI3438" s="19"/>
    </row>
    <row r="3439" customFormat="false" ht="15" hidden="false" customHeight="false" outlineLevel="0" collapsed="false">
      <c r="A3439" s="0" t="n">
        <v>32</v>
      </c>
      <c r="B3439" s="8" t="s">
        <v>24</v>
      </c>
      <c r="C3439" s="9" t="s">
        <v>25</v>
      </c>
      <c r="D3439" s="9" t="s">
        <v>26</v>
      </c>
      <c r="E3439" s="10" t="n">
        <v>1789</v>
      </c>
      <c r="F3439" s="9" t="s">
        <v>27</v>
      </c>
      <c r="G3439" s="9" t="s">
        <v>27</v>
      </c>
      <c r="H3439" s="11" t="n">
        <v>25</v>
      </c>
      <c r="I3439" s="11" t="s">
        <v>360</v>
      </c>
      <c r="J3439" s="14" t="n">
        <v>66</v>
      </c>
      <c r="K3439" s="14"/>
      <c r="L3439" s="16"/>
      <c r="M3439" s="27" t="n">
        <f aca="false">J3439+(K3439/20)+(L3439/240)</f>
        <v>66</v>
      </c>
      <c r="N3439" s="17" t="s">
        <v>64</v>
      </c>
      <c r="O3439" s="11"/>
      <c r="P3439" s="28"/>
      <c r="Q3439" s="28" t="n">
        <f aca="false">P3439*$M3439</f>
        <v>0</v>
      </c>
      <c r="R3439" s="28"/>
      <c r="S3439" s="28" t="n">
        <f aca="false">R3439*$M3439</f>
        <v>0</v>
      </c>
      <c r="T3439" s="28"/>
      <c r="U3439" s="28" t="n">
        <f aca="false">T3439*$M3439</f>
        <v>0</v>
      </c>
      <c r="V3439" s="28"/>
      <c r="W3439" s="28" t="n">
        <f aca="false">V3439*$M3439</f>
        <v>0</v>
      </c>
      <c r="X3439" s="28"/>
      <c r="Y3439" s="28" t="n">
        <f aca="false">X3439*$M3439</f>
        <v>0</v>
      </c>
      <c r="Z3439" s="28"/>
      <c r="AA3439" s="28" t="n">
        <f aca="false">Z3439*$M3439</f>
        <v>0</v>
      </c>
      <c r="AB3439" s="28"/>
      <c r="AC3439" s="28" t="n">
        <f aca="false">AB3439*$M3439</f>
        <v>0</v>
      </c>
      <c r="AD3439" s="28"/>
      <c r="AE3439" s="28" t="n">
        <f aca="false">AD3439*$M3439</f>
        <v>0</v>
      </c>
      <c r="AF3439" s="28"/>
      <c r="AG3439" s="28" t="n">
        <f aca="false">AF3439*$M3439</f>
        <v>0</v>
      </c>
      <c r="AH3439" s="28" t="n">
        <f aca="false">75475/100</f>
        <v>754.75</v>
      </c>
      <c r="AI3439" s="28" t="n">
        <v>49813</v>
      </c>
      <c r="AJ3439" s="28"/>
      <c r="AK3439" s="28" t="n">
        <f aca="false">AJ3439*$M3439</f>
        <v>0</v>
      </c>
      <c r="AL3439" s="28"/>
      <c r="AM3439" s="28" t="n">
        <f aca="false">AL3439*$M3439</f>
        <v>0</v>
      </c>
      <c r="AN3439" s="28"/>
      <c r="AO3439" s="28" t="n">
        <f aca="false">AN3439*$M3439</f>
        <v>0</v>
      </c>
      <c r="AP3439" s="28"/>
      <c r="AQ3439" s="28" t="n">
        <f aca="false">AP3439*$M3439</f>
        <v>0</v>
      </c>
      <c r="AR3439" s="28"/>
      <c r="AS3439" s="28" t="n">
        <f aca="false">AR3439*$M3439</f>
        <v>0</v>
      </c>
      <c r="AT3439" s="28"/>
      <c r="AU3439" s="28" t="n">
        <f aca="false">AT3439*$M3439</f>
        <v>0</v>
      </c>
      <c r="AV3439" s="28"/>
      <c r="AW3439" s="28" t="n">
        <f aca="false">AV3439*$M3439</f>
        <v>0</v>
      </c>
      <c r="AX3439" s="28"/>
      <c r="AY3439" s="28" t="n">
        <f aca="false">AX3439*$M3439</f>
        <v>0</v>
      </c>
      <c r="AZ3439" s="30" t="n">
        <f aca="false">75475/100</f>
        <v>754.75</v>
      </c>
      <c r="BA3439" s="11" t="n">
        <v>49813</v>
      </c>
      <c r="BB3439" s="31" t="n">
        <f aca="false">SUM(Q3439,S3439,U3439,W3439,Y3439,AA3439,AC3439,AE3439,AG3439,AI3439,AK3439,AM3439,AO3439,AQ3439,AS3439,AU3439,AW3439,AY3439)</f>
        <v>49813</v>
      </c>
      <c r="BC3439" s="28" t="n">
        <f aca="false">BA3439-BB3439</f>
        <v>0</v>
      </c>
      <c r="BD3439" s="32" t="n">
        <f aca="false">SUM(P3439,R3439,T3439,V3439,X3439,Z3439,AB3439,AD3439,AF3439,AH3439,AJ3439,AL3439,AN3439,AP3439,AR3439,AT3439,AV3439,AX3439)</f>
        <v>754.75</v>
      </c>
      <c r="BE3439" s="33" t="n">
        <f aca="false">AZ3439-BD3439</f>
        <v>0</v>
      </c>
      <c r="BF3439" s="34" t="n">
        <f aca="false">BD3439*M3439</f>
        <v>49813.5</v>
      </c>
      <c r="BG3439" s="35" t="n">
        <f aca="false">BA3439-BF3439</f>
        <v>-0.5</v>
      </c>
      <c r="BH3439" s="19" t="str">
        <f aca="false">IF(BG3439=0,"",IF(BG3439&lt;&gt;BA3439,"erreur de calcul",IF(BD3439&lt;&gt;0,"pas de prix",IF(M3439&lt;&gt; 0,"pas de quantité","pas de prix, ni de quantité"))))</f>
        <v>erreur de calcul</v>
      </c>
      <c r="BI3439" s="19"/>
    </row>
    <row r="3440" customFormat="false" ht="15" hidden="false" customHeight="false" outlineLevel="0" collapsed="false">
      <c r="A3440" s="0" t="n">
        <v>33</v>
      </c>
      <c r="B3440" s="8" t="s">
        <v>24</v>
      </c>
      <c r="C3440" s="9" t="s">
        <v>25</v>
      </c>
      <c r="D3440" s="9" t="s">
        <v>26</v>
      </c>
      <c r="E3440" s="10" t="n">
        <v>1789</v>
      </c>
      <c r="F3440" s="9" t="s">
        <v>27</v>
      </c>
      <c r="G3440" s="9" t="s">
        <v>27</v>
      </c>
      <c r="H3440" s="11" t="n">
        <v>25</v>
      </c>
      <c r="I3440" s="11" t="s">
        <v>361</v>
      </c>
      <c r="J3440" s="14" t="n">
        <v>175</v>
      </c>
      <c r="K3440" s="14"/>
      <c r="L3440" s="16"/>
      <c r="M3440" s="27" t="n">
        <f aca="false">J3440+(K3440/20)+(L3440/240)</f>
        <v>175</v>
      </c>
      <c r="N3440" s="17" t="s">
        <v>64</v>
      </c>
      <c r="O3440" s="11" t="s">
        <v>77</v>
      </c>
      <c r="P3440" s="28" t="n">
        <f aca="false">1514/100</f>
        <v>15.14</v>
      </c>
      <c r="Q3440" s="28" t="n">
        <v>2649</v>
      </c>
      <c r="R3440" s="28"/>
      <c r="S3440" s="28" t="n">
        <f aca="false">R3440*$M3440</f>
        <v>0</v>
      </c>
      <c r="T3440" s="28" t="n">
        <f aca="false">170926/100</f>
        <v>1709.26</v>
      </c>
      <c r="U3440" s="28" t="n">
        <v>299120</v>
      </c>
      <c r="V3440" s="28" t="n">
        <f aca="false">16985/100</f>
        <v>169.85</v>
      </c>
      <c r="W3440" s="28" t="n">
        <v>29724</v>
      </c>
      <c r="X3440" s="28" t="n">
        <f aca="false">4530/100</f>
        <v>45.3</v>
      </c>
      <c r="Y3440" s="28" t="n">
        <v>7927</v>
      </c>
      <c r="Z3440" s="28"/>
      <c r="AA3440" s="28" t="n">
        <f aca="false">Z3440*$M3440</f>
        <v>0</v>
      </c>
      <c r="AB3440" s="28" t="n">
        <f aca="false">33770/100</f>
        <v>337.7</v>
      </c>
      <c r="AC3440" s="28" t="n">
        <v>59097</v>
      </c>
      <c r="AD3440" s="28"/>
      <c r="AE3440" s="28" t="n">
        <f aca="false">AD3440*$M3440</f>
        <v>0</v>
      </c>
      <c r="AF3440" s="28" t="n">
        <f aca="false">4712/100</f>
        <v>47.12</v>
      </c>
      <c r="AG3440" s="28" t="n">
        <v>8246</v>
      </c>
      <c r="AH3440" s="28" t="n">
        <f aca="false">55822/100</f>
        <v>558.22</v>
      </c>
      <c r="AI3440" s="28" t="n">
        <v>97688</v>
      </c>
      <c r="AJ3440" s="28"/>
      <c r="AK3440" s="28" t="n">
        <f aca="false">AJ3440*$M3440</f>
        <v>0</v>
      </c>
      <c r="AL3440" s="28"/>
      <c r="AM3440" s="28" t="n">
        <f aca="false">AL3440*$M3440</f>
        <v>0</v>
      </c>
      <c r="AN3440" s="28"/>
      <c r="AO3440" s="28" t="n">
        <f aca="false">AN3440*$M3440</f>
        <v>0</v>
      </c>
      <c r="AP3440" s="28"/>
      <c r="AQ3440" s="28" t="n">
        <f aca="false">AP3440*$M3440</f>
        <v>0</v>
      </c>
      <c r="AR3440" s="28"/>
      <c r="AS3440" s="28" t="n">
        <f aca="false">AR3440*$M3440</f>
        <v>0</v>
      </c>
      <c r="AT3440" s="28"/>
      <c r="AU3440" s="28" t="n">
        <f aca="false">AT3440*$M3440</f>
        <v>0</v>
      </c>
      <c r="AV3440" s="28"/>
      <c r="AW3440" s="28" t="n">
        <f aca="false">AV3440*$M3440</f>
        <v>0</v>
      </c>
      <c r="AX3440" s="28"/>
      <c r="AY3440" s="28" t="n">
        <f aca="false">AX3440*$M3440</f>
        <v>0</v>
      </c>
      <c r="AZ3440" s="30" t="n">
        <f aca="false">288259/100</f>
        <v>2882.59</v>
      </c>
      <c r="BA3440" s="11" t="n">
        <v>504451</v>
      </c>
      <c r="BB3440" s="31" t="n">
        <f aca="false">SUM(Q3440,S3440,U3440,W3440,Y3440,AA3440,AC3440,AE3440,AG3440,AI3440,AK3440,AM3440,AO3440,AQ3440,AS3440,AU3440,AW3440,AY3440)</f>
        <v>504451</v>
      </c>
      <c r="BC3440" s="28" t="n">
        <f aca="false">BA3440-BB3440</f>
        <v>0</v>
      </c>
      <c r="BD3440" s="32" t="n">
        <f aca="false">SUM(P3440,R3440,T3440,V3440,X3440,Z3440,AB3440,AD3440,AF3440,AH3440,AJ3440,AL3440,AN3440,AP3440,AR3440,AT3440,AV3440,AX3440)</f>
        <v>2882.59</v>
      </c>
      <c r="BE3440" s="33" t="n">
        <f aca="false">AZ3440-BD3440</f>
        <v>0</v>
      </c>
      <c r="BF3440" s="34" t="n">
        <f aca="false">BD3440*M3440</f>
        <v>504453.25</v>
      </c>
      <c r="BG3440" s="35" t="n">
        <f aca="false">BA3440-BF3440</f>
        <v>-2.24999999994179</v>
      </c>
      <c r="BH3440" s="19" t="str">
        <f aca="false">IF(BG3440=0,"",IF(BG3440&lt;&gt;BA3440,"erreur de calcul",IF(BD3440&lt;&gt;0,"pas de prix",IF(M3440&lt;&gt; 0,"pas de quantité","pas de prix, ni de quantité"))))</f>
        <v>erreur de calcul</v>
      </c>
      <c r="BI3440" s="19"/>
    </row>
    <row r="3441" customFormat="false" ht="15" hidden="false" customHeight="false" outlineLevel="0" collapsed="false">
      <c r="A3441" s="0" t="n">
        <v>34</v>
      </c>
      <c r="B3441" s="8" t="s">
        <v>24</v>
      </c>
      <c r="C3441" s="9" t="s">
        <v>25</v>
      </c>
      <c r="D3441" s="9" t="s">
        <v>26</v>
      </c>
      <c r="E3441" s="10" t="n">
        <v>1789</v>
      </c>
      <c r="F3441" s="9" t="s">
        <v>27</v>
      </c>
      <c r="G3441" s="9" t="s">
        <v>27</v>
      </c>
      <c r="H3441" s="11" t="n">
        <v>25</v>
      </c>
      <c r="I3441" s="11" t="s">
        <v>362</v>
      </c>
      <c r="J3441" s="14" t="n">
        <v>150</v>
      </c>
      <c r="K3441" s="14"/>
      <c r="L3441" s="16"/>
      <c r="M3441" s="27" t="n">
        <f aca="false">J3441+(K3441/20)+(L3441/240)</f>
        <v>150</v>
      </c>
      <c r="N3441" s="17" t="s">
        <v>64</v>
      </c>
      <c r="O3441" s="11"/>
      <c r="P3441" s="28"/>
      <c r="Q3441" s="28" t="n">
        <f aca="false">P3441*$M3441</f>
        <v>0</v>
      </c>
      <c r="R3441" s="28"/>
      <c r="S3441" s="28" t="n">
        <f aca="false">R3441*$M3441</f>
        <v>0</v>
      </c>
      <c r="T3441" s="28" t="n">
        <f aca="false">1842/100</f>
        <v>18.42</v>
      </c>
      <c r="U3441" s="28" t="n">
        <v>2763</v>
      </c>
      <c r="V3441" s="28" t="n">
        <f aca="false">684/100</f>
        <v>6.84</v>
      </c>
      <c r="W3441" s="28" t="n">
        <v>1026</v>
      </c>
      <c r="X3441" s="28"/>
      <c r="Y3441" s="28" t="n">
        <f aca="false">X3441*$M3441</f>
        <v>0</v>
      </c>
      <c r="Z3441" s="28"/>
      <c r="AA3441" s="28" t="n">
        <f aca="false">Z3441*$M3441</f>
        <v>0</v>
      </c>
      <c r="AB3441" s="28"/>
      <c r="AC3441" s="28" t="n">
        <f aca="false">AB3441*$M3441</f>
        <v>0</v>
      </c>
      <c r="AD3441" s="28"/>
      <c r="AE3441" s="28" t="n">
        <f aca="false">AD3441*$M3441</f>
        <v>0</v>
      </c>
      <c r="AF3441" s="28"/>
      <c r="AG3441" s="28" t="n">
        <f aca="false">AF3441*$M3441</f>
        <v>0</v>
      </c>
      <c r="AH3441" s="28"/>
      <c r="AI3441" s="28" t="n">
        <f aca="false">AH3441*$M3441</f>
        <v>0</v>
      </c>
      <c r="AJ3441" s="28"/>
      <c r="AK3441" s="28" t="n">
        <f aca="false">AJ3441*$M3441</f>
        <v>0</v>
      </c>
      <c r="AL3441" s="28"/>
      <c r="AM3441" s="28" t="n">
        <f aca="false">AL3441*$M3441</f>
        <v>0</v>
      </c>
      <c r="AN3441" s="28"/>
      <c r="AO3441" s="28" t="n">
        <f aca="false">AN3441*$M3441</f>
        <v>0</v>
      </c>
      <c r="AP3441" s="28"/>
      <c r="AQ3441" s="28" t="n">
        <f aca="false">AP3441*$M3441</f>
        <v>0</v>
      </c>
      <c r="AR3441" s="28"/>
      <c r="AS3441" s="28" t="n">
        <f aca="false">AR3441*$M3441</f>
        <v>0</v>
      </c>
      <c r="AT3441" s="28"/>
      <c r="AU3441" s="28" t="n">
        <f aca="false">AT3441*$M3441</f>
        <v>0</v>
      </c>
      <c r="AV3441" s="28"/>
      <c r="AW3441" s="28" t="n">
        <f aca="false">AV3441*$M3441</f>
        <v>0</v>
      </c>
      <c r="AX3441" s="28"/>
      <c r="AY3441" s="28" t="n">
        <f aca="false">AX3441*$M3441</f>
        <v>0</v>
      </c>
      <c r="AZ3441" s="30" t="n">
        <f aca="false">2526/100</f>
        <v>25.26</v>
      </c>
      <c r="BA3441" s="11" t="n">
        <v>3789</v>
      </c>
      <c r="BB3441" s="31" t="n">
        <f aca="false">SUM(Q3441,S3441,U3441,W3441,Y3441,AA3441,AC3441,AE3441,AG3441,AI3441,AK3441,AM3441,AO3441,AQ3441,AS3441,AU3441,AW3441,AY3441)</f>
        <v>3789</v>
      </c>
      <c r="BC3441" s="28" t="n">
        <f aca="false">BA3441-BB3441</f>
        <v>0</v>
      </c>
      <c r="BD3441" s="32" t="n">
        <f aca="false">SUM(P3441,R3441,T3441,V3441,X3441,Z3441,AB3441,AD3441,AF3441,AH3441,AJ3441,AL3441,AN3441,AP3441,AR3441,AT3441,AV3441,AX3441)</f>
        <v>25.26</v>
      </c>
      <c r="BE3441" s="33" t="n">
        <f aca="false">AZ3441-BD3441</f>
        <v>0</v>
      </c>
      <c r="BF3441" s="34" t="n">
        <f aca="false">BD3441*M3441</f>
        <v>3789</v>
      </c>
      <c r="BG3441" s="35" t="n">
        <f aca="false">BA3441-BF3441</f>
        <v>0</v>
      </c>
      <c r="BH3441" s="19" t="str">
        <f aca="false">IF(BG3441=0,"",IF(BG3441&lt;&gt;BA3441,"erreur de calcul",IF(BD3441&lt;&gt;0,"pas de prix",IF(M3441&lt;&gt; 0,"pas de quantité","pas de prix, ni de quantité"))))</f>
        <v/>
      </c>
      <c r="BI3441" s="19"/>
    </row>
    <row r="3442" customFormat="false" ht="15" hidden="false" customHeight="false" outlineLevel="0" collapsed="false">
      <c r="A3442" s="0" t="n">
        <v>35</v>
      </c>
      <c r="B3442" s="8" t="s">
        <v>24</v>
      </c>
      <c r="C3442" s="9" t="s">
        <v>25</v>
      </c>
      <c r="D3442" s="9" t="s">
        <v>26</v>
      </c>
      <c r="E3442" s="10" t="n">
        <v>1789</v>
      </c>
      <c r="F3442" s="9" t="s">
        <v>27</v>
      </c>
      <c r="G3442" s="9" t="s">
        <v>27</v>
      </c>
      <c r="H3442" s="11" t="n">
        <v>25</v>
      </c>
      <c r="I3442" s="11" t="s">
        <v>363</v>
      </c>
      <c r="J3442" s="14" t="n">
        <v>150</v>
      </c>
      <c r="K3442" s="14"/>
      <c r="L3442" s="16"/>
      <c r="M3442" s="27" t="n">
        <f aca="false">J3442+(K3442/20)+(L3442/240)</f>
        <v>150</v>
      </c>
      <c r="N3442" s="17" t="s">
        <v>64</v>
      </c>
      <c r="O3442" s="11" t="s">
        <v>77</v>
      </c>
      <c r="P3442" s="28"/>
      <c r="Q3442" s="28" t="n">
        <f aca="false">P3442*$M3442</f>
        <v>0</v>
      </c>
      <c r="R3442" s="28"/>
      <c r="S3442" s="28" t="n">
        <f aca="false">R3442*$M3442</f>
        <v>0</v>
      </c>
      <c r="T3442" s="28"/>
      <c r="U3442" s="28" t="n">
        <f aca="false">T3442*$M3442</f>
        <v>0</v>
      </c>
      <c r="V3442" s="28" t="n">
        <f aca="false">1501/100</f>
        <v>15.01</v>
      </c>
      <c r="W3442" s="28" t="n">
        <v>2251</v>
      </c>
      <c r="X3442" s="28"/>
      <c r="Y3442" s="28" t="n">
        <f aca="false">X3442*$M3442</f>
        <v>0</v>
      </c>
      <c r="Z3442" s="28" t="n">
        <f aca="false">6420/100</f>
        <v>64.2</v>
      </c>
      <c r="AA3442" s="28" t="n">
        <v>9630</v>
      </c>
      <c r="AB3442" s="28"/>
      <c r="AC3442" s="28" t="n">
        <f aca="false">AB3442*$M3442</f>
        <v>0</v>
      </c>
      <c r="AD3442" s="28"/>
      <c r="AE3442" s="28" t="n">
        <f aca="false">AD3442*$M3442</f>
        <v>0</v>
      </c>
      <c r="AF3442" s="28"/>
      <c r="AG3442" s="28" t="n">
        <f aca="false">AF3442*$M3442</f>
        <v>0</v>
      </c>
      <c r="AH3442" s="28" t="n">
        <f aca="false">138039/100</f>
        <v>1380.39</v>
      </c>
      <c r="AI3442" s="28" t="n">
        <v>207058</v>
      </c>
      <c r="AJ3442" s="28"/>
      <c r="AK3442" s="28" t="n">
        <f aca="false">AJ3442*$M3442</f>
        <v>0</v>
      </c>
      <c r="AL3442" s="28" t="n">
        <f aca="false">917/100</f>
        <v>9.17</v>
      </c>
      <c r="AM3442" s="28" t="n">
        <v>1375</v>
      </c>
      <c r="AN3442" s="28"/>
      <c r="AO3442" s="28" t="n">
        <f aca="false">AN3442*$M3442</f>
        <v>0</v>
      </c>
      <c r="AP3442" s="28"/>
      <c r="AQ3442" s="28" t="n">
        <f aca="false">AP3442*$M3442</f>
        <v>0</v>
      </c>
      <c r="AR3442" s="28"/>
      <c r="AS3442" s="28" t="n">
        <f aca="false">AR3442*$M3442</f>
        <v>0</v>
      </c>
      <c r="AT3442" s="28"/>
      <c r="AU3442" s="28" t="n">
        <f aca="false">AT3442*$M3442</f>
        <v>0</v>
      </c>
      <c r="AV3442" s="28"/>
      <c r="AW3442" s="28" t="n">
        <f aca="false">AV3442*$M3442</f>
        <v>0</v>
      </c>
      <c r="AX3442" s="28"/>
      <c r="AY3442" s="28" t="n">
        <f aca="false">AX3442*$M3442</f>
        <v>0</v>
      </c>
      <c r="AZ3442" s="30" t="n">
        <f aca="false">146877/100</f>
        <v>1468.77</v>
      </c>
      <c r="BA3442" s="11" t="n">
        <v>220314</v>
      </c>
      <c r="BB3442" s="31" t="n">
        <f aca="false">SUM(Q3442,S3442,U3442,W3442,Y3442,AA3442,AC3442,AE3442,AG3442,AI3442,AK3442,AM3442,AO3442,AQ3442,AS3442,AU3442,AW3442,AY3442)</f>
        <v>220314</v>
      </c>
      <c r="BC3442" s="28" t="n">
        <f aca="false">BA3442-BB3442</f>
        <v>0</v>
      </c>
      <c r="BD3442" s="32" t="n">
        <f aca="false">SUM(P3442,R3442,T3442,V3442,X3442,Z3442,AB3442,AD3442,AF3442,AH3442,AJ3442,AL3442,AN3442,AP3442,AR3442,AT3442,AV3442,AX3442)</f>
        <v>1468.77</v>
      </c>
      <c r="BE3442" s="33" t="n">
        <f aca="false">AZ3442-BD3442</f>
        <v>0</v>
      </c>
      <c r="BF3442" s="34" t="n">
        <f aca="false">BD3442*M3442</f>
        <v>220315.5</v>
      </c>
      <c r="BG3442" s="35" t="n">
        <f aca="false">BA3442-BF3442</f>
        <v>-1.5000000000291</v>
      </c>
      <c r="BH3442" s="19" t="str">
        <f aca="false">IF(BG3442=0,"",IF(BG3442&lt;&gt;BA3442,"erreur de calcul",IF(BD3442&lt;&gt;0,"pas de prix",IF(M3442&lt;&gt; 0,"pas de quantité","pas de prix, ni de quantité"))))</f>
        <v>erreur de calcul</v>
      </c>
      <c r="BI3442" s="19"/>
    </row>
    <row r="3443" customFormat="false" ht="15" hidden="false" customHeight="false" outlineLevel="0" collapsed="false">
      <c r="A3443" s="0" t="n">
        <v>36</v>
      </c>
      <c r="B3443" s="8" t="s">
        <v>24</v>
      </c>
      <c r="C3443" s="9" t="s">
        <v>25</v>
      </c>
      <c r="D3443" s="9" t="s">
        <v>26</v>
      </c>
      <c r="E3443" s="10" t="n">
        <v>1789</v>
      </c>
      <c r="F3443" s="9" t="s">
        <v>27</v>
      </c>
      <c r="G3443" s="9" t="s">
        <v>27</v>
      </c>
      <c r="H3443" s="11" t="n">
        <v>25</v>
      </c>
      <c r="I3443" s="11" t="s">
        <v>364</v>
      </c>
      <c r="J3443" s="14" t="n">
        <v>122</v>
      </c>
      <c r="K3443" s="14"/>
      <c r="L3443" s="16"/>
      <c r="M3443" s="27" t="n">
        <f aca="false">J3443+(K3443/20)+(L3443/240)</f>
        <v>122</v>
      </c>
      <c r="N3443" s="17" t="s">
        <v>64</v>
      </c>
      <c r="O3443" s="11" t="s">
        <v>77</v>
      </c>
      <c r="P3443" s="28" t="n">
        <f aca="false">2402/100</f>
        <v>24.02</v>
      </c>
      <c r="Q3443" s="28" t="n">
        <v>2930</v>
      </c>
      <c r="R3443" s="28"/>
      <c r="S3443" s="28" t="n">
        <f aca="false">R3443*$M3443</f>
        <v>0</v>
      </c>
      <c r="T3443" s="28" t="n">
        <f aca="false">3566/100</f>
        <v>35.66</v>
      </c>
      <c r="U3443" s="36" t="n">
        <v>4550</v>
      </c>
      <c r="V3443" s="28" t="n">
        <f aca="false">917/100</f>
        <v>9.17</v>
      </c>
      <c r="W3443" s="28" t="n">
        <v>1119</v>
      </c>
      <c r="X3443" s="28"/>
      <c r="Y3443" s="28" t="n">
        <f aca="false">X3443*$M3443</f>
        <v>0</v>
      </c>
      <c r="Z3443" s="28"/>
      <c r="AA3443" s="28" t="n">
        <f aca="false">Z3443*$M3443</f>
        <v>0</v>
      </c>
      <c r="AB3443" s="28" t="n">
        <f aca="false">28087/100</f>
        <v>280.87</v>
      </c>
      <c r="AC3443" s="28" t="n">
        <v>34266</v>
      </c>
      <c r="AD3443" s="28" t="n">
        <f aca="false">1505/100</f>
        <v>15.05</v>
      </c>
      <c r="AE3443" s="28" t="n">
        <v>1836</v>
      </c>
      <c r="AF3443" s="28"/>
      <c r="AG3443" s="28" t="n">
        <f aca="false">AF3443*$M3443</f>
        <v>0</v>
      </c>
      <c r="AH3443" s="28" t="n">
        <f aca="false">15314/100</f>
        <v>153.14</v>
      </c>
      <c r="AI3443" s="28" t="n">
        <v>18683</v>
      </c>
      <c r="AJ3443" s="28"/>
      <c r="AK3443" s="28" t="n">
        <f aca="false">AJ3443*$M3443</f>
        <v>0</v>
      </c>
      <c r="AL3443" s="28"/>
      <c r="AM3443" s="28" t="n">
        <f aca="false">AL3443*$M3443</f>
        <v>0</v>
      </c>
      <c r="AN3443" s="28"/>
      <c r="AO3443" s="28" t="n">
        <f aca="false">AN3443*$M3443</f>
        <v>0</v>
      </c>
      <c r="AP3443" s="28"/>
      <c r="AQ3443" s="28" t="n">
        <f aca="false">AP3443*$M3443</f>
        <v>0</v>
      </c>
      <c r="AR3443" s="28"/>
      <c r="AS3443" s="28" t="n">
        <f aca="false">AR3443*$M3443</f>
        <v>0</v>
      </c>
      <c r="AT3443" s="28"/>
      <c r="AU3443" s="28" t="n">
        <f aca="false">AT3443*$M3443</f>
        <v>0</v>
      </c>
      <c r="AV3443" s="28"/>
      <c r="AW3443" s="28" t="n">
        <f aca="false">AV3443*$M3443</f>
        <v>0</v>
      </c>
      <c r="AX3443" s="28"/>
      <c r="AY3443" s="28" t="n">
        <f aca="false">AX3443*$M3443</f>
        <v>0</v>
      </c>
      <c r="AZ3443" s="30" t="n">
        <f aca="false">51791/100</f>
        <v>517.91</v>
      </c>
      <c r="BA3443" s="11" t="n">
        <v>63384</v>
      </c>
      <c r="BB3443" s="31" t="n">
        <f aca="false">SUM(Q3443,S3443,U3443,W3443,Y3443,AA3443,AC3443,AE3443,AG3443,AI3443,AK3443,AM3443,AO3443,AQ3443,AS3443,AU3443,AW3443,AY3443)</f>
        <v>63384</v>
      </c>
      <c r="BC3443" s="28" t="n">
        <f aca="false">BA3443-BB3443</f>
        <v>0</v>
      </c>
      <c r="BD3443" s="32" t="n">
        <f aca="false">SUM(P3443,R3443,T3443,V3443,X3443,Z3443,AB3443,AD3443,AF3443,AH3443,AJ3443,AL3443,AN3443,AP3443,AR3443,AT3443,AV3443,AX3443)</f>
        <v>517.91</v>
      </c>
      <c r="BE3443" s="33" t="n">
        <f aca="false">AZ3443-BD3443</f>
        <v>0</v>
      </c>
      <c r="BF3443" s="34" t="n">
        <f aca="false">BD3443*M3443</f>
        <v>63185.02</v>
      </c>
      <c r="BG3443" s="35" t="n">
        <f aca="false">BA3443-BF3443</f>
        <v>198.980000000003</v>
      </c>
      <c r="BH3443" s="19" t="str">
        <f aca="false">IF(BG3443=0,"",IF(BG3443&lt;&gt;BA3443,"erreur de calcul",IF(BD3443&lt;&gt;0,"pas de prix",IF(M3443&lt;&gt; 0,"pas de quantité","pas de prix, ni de quantité"))))</f>
        <v>erreur de calcul</v>
      </c>
      <c r="BI3443" s="19"/>
    </row>
    <row r="3444" customFormat="false" ht="15" hidden="false" customHeight="false" outlineLevel="0" collapsed="false">
      <c r="A3444" s="0" t="n">
        <v>37</v>
      </c>
      <c r="B3444" s="8" t="s">
        <v>24</v>
      </c>
      <c r="C3444" s="9" t="s">
        <v>25</v>
      </c>
      <c r="D3444" s="9" t="s">
        <v>26</v>
      </c>
      <c r="E3444" s="10" t="n">
        <v>1789</v>
      </c>
      <c r="F3444" s="9" t="s">
        <v>27</v>
      </c>
      <c r="G3444" s="9" t="s">
        <v>27</v>
      </c>
      <c r="H3444" s="11" t="n">
        <v>25</v>
      </c>
      <c r="I3444" s="11" t="s">
        <v>365</v>
      </c>
      <c r="J3444" s="14" t="n">
        <v>107</v>
      </c>
      <c r="K3444" s="14"/>
      <c r="L3444" s="16"/>
      <c r="M3444" s="27" t="n">
        <f aca="false">J3444+(K3444/20)+(L3444/240)</f>
        <v>107</v>
      </c>
      <c r="N3444" s="17" t="s">
        <v>64</v>
      </c>
      <c r="O3444" s="11" t="s">
        <v>77</v>
      </c>
      <c r="P3444" s="28"/>
      <c r="Q3444" s="28" t="n">
        <f aca="false">P3444*$M3444</f>
        <v>0</v>
      </c>
      <c r="R3444" s="28"/>
      <c r="S3444" s="28" t="n">
        <f aca="false">R3444*$M3444</f>
        <v>0</v>
      </c>
      <c r="T3444" s="28" t="n">
        <f aca="false">1834/100</f>
        <v>18.34</v>
      </c>
      <c r="U3444" s="28" t="n">
        <v>1962</v>
      </c>
      <c r="V3444" s="28"/>
      <c r="W3444" s="28" t="n">
        <f aca="false">V3444*$M3444</f>
        <v>0</v>
      </c>
      <c r="X3444" s="28"/>
      <c r="Y3444" s="28" t="n">
        <f aca="false">X3444*$M3444</f>
        <v>0</v>
      </c>
      <c r="Z3444" s="28"/>
      <c r="AA3444" s="28" t="n">
        <f aca="false">Z3444*$M3444</f>
        <v>0</v>
      </c>
      <c r="AB3444" s="28"/>
      <c r="AC3444" s="28" t="n">
        <f aca="false">AB3444*$M3444</f>
        <v>0</v>
      </c>
      <c r="AD3444" s="28"/>
      <c r="AE3444" s="28" t="n">
        <f aca="false">AD3444*$M3444</f>
        <v>0</v>
      </c>
      <c r="AF3444" s="28" t="n">
        <f aca="false">5202/100</f>
        <v>52.02</v>
      </c>
      <c r="AG3444" s="28" t="n">
        <v>5566</v>
      </c>
      <c r="AH3444" s="28"/>
      <c r="AI3444" s="28" t="n">
        <f aca="false">AH3444*$M3444</f>
        <v>0</v>
      </c>
      <c r="AJ3444" s="28" t="n">
        <f aca="false">3209/100</f>
        <v>32.09</v>
      </c>
      <c r="AK3444" s="28" t="n">
        <v>3434</v>
      </c>
      <c r="AL3444" s="28" t="n">
        <f aca="false">80682/100</f>
        <v>806.82</v>
      </c>
      <c r="AM3444" s="28" t="n">
        <v>86329</v>
      </c>
      <c r="AN3444" s="28"/>
      <c r="AO3444" s="28" t="n">
        <f aca="false">AN3444*$M3444</f>
        <v>0</v>
      </c>
      <c r="AP3444" s="28"/>
      <c r="AQ3444" s="28" t="n">
        <f aca="false">AP3444*$M3444</f>
        <v>0</v>
      </c>
      <c r="AR3444" s="28"/>
      <c r="AS3444" s="28" t="n">
        <f aca="false">AR3444*$M3444</f>
        <v>0</v>
      </c>
      <c r="AT3444" s="28"/>
      <c r="AU3444" s="28" t="n">
        <f aca="false">AT3444*$M3444</f>
        <v>0</v>
      </c>
      <c r="AV3444" s="28"/>
      <c r="AW3444" s="28" t="n">
        <f aca="false">AV3444*$M3444</f>
        <v>0</v>
      </c>
      <c r="AX3444" s="28"/>
      <c r="AY3444" s="28" t="n">
        <f aca="false">AX3444*$M3444</f>
        <v>0</v>
      </c>
      <c r="AZ3444" s="30" t="n">
        <f aca="false">90927/100</f>
        <v>909.27</v>
      </c>
      <c r="BA3444" s="11" t="n">
        <v>97291</v>
      </c>
      <c r="BB3444" s="31" t="n">
        <f aca="false">SUM(Q3444,S3444,U3444,W3444,Y3444,AA3444,AC3444,AE3444,AG3444,AI3444,AK3444,AM3444,AO3444,AQ3444,AS3444,AU3444,AW3444,AY3444)</f>
        <v>97291</v>
      </c>
      <c r="BC3444" s="28" t="n">
        <f aca="false">BA3444-BB3444</f>
        <v>0</v>
      </c>
      <c r="BD3444" s="32" t="n">
        <f aca="false">SUM(P3444,R3444,T3444,V3444,X3444,Z3444,AB3444,AD3444,AF3444,AH3444,AJ3444,AL3444,AN3444,AP3444,AR3444,AT3444,AV3444,AX3444)</f>
        <v>909.27</v>
      </c>
      <c r="BE3444" s="33" t="n">
        <f aca="false">AZ3444-BD3444</f>
        <v>0</v>
      </c>
      <c r="BF3444" s="34" t="n">
        <f aca="false">BD3444*M3444</f>
        <v>97291.89</v>
      </c>
      <c r="BG3444" s="35" t="n">
        <f aca="false">BA3444-BF3444</f>
        <v>-0.89000000001397</v>
      </c>
      <c r="BH3444" s="19" t="str">
        <f aca="false">IF(BG3444=0,"",IF(BG3444&lt;&gt;BA3444,"erreur de calcul",IF(BD3444&lt;&gt;0,"pas de prix",IF(M3444&lt;&gt; 0,"pas de quantité","pas de prix, ni de quantité"))))</f>
        <v>erreur de calcul</v>
      </c>
      <c r="BI3444" s="19"/>
    </row>
    <row r="3445" customFormat="false" ht="15" hidden="false" customHeight="false" outlineLevel="0" collapsed="false">
      <c r="A3445" s="0" t="n">
        <v>38</v>
      </c>
      <c r="B3445" s="8" t="s">
        <v>24</v>
      </c>
      <c r="C3445" s="9" t="s">
        <v>25</v>
      </c>
      <c r="D3445" s="9" t="s">
        <v>26</v>
      </c>
      <c r="E3445" s="10" t="n">
        <v>1789</v>
      </c>
      <c r="F3445" s="9" t="s">
        <v>27</v>
      </c>
      <c r="G3445" s="9" t="s">
        <v>27</v>
      </c>
      <c r="H3445" s="11" t="n">
        <v>25</v>
      </c>
      <c r="I3445" s="11" t="s">
        <v>366</v>
      </c>
      <c r="J3445" s="14"/>
      <c r="K3445" s="14"/>
      <c r="L3445" s="16"/>
      <c r="M3445" s="27" t="n">
        <f aca="false">J3445+(K3445/20)+(L3445/240)</f>
        <v>0</v>
      </c>
      <c r="N3445" s="17" t="s">
        <v>66</v>
      </c>
      <c r="O3445" s="11"/>
      <c r="P3445" s="28"/>
      <c r="Q3445" s="28" t="n">
        <f aca="false">P3445*$M3445</f>
        <v>0</v>
      </c>
      <c r="R3445" s="28"/>
      <c r="S3445" s="28" t="n">
        <f aca="false">R3445*$M3445</f>
        <v>0</v>
      </c>
      <c r="T3445" s="28"/>
      <c r="U3445" s="28" t="n">
        <f aca="false">T3445*$M3445</f>
        <v>0</v>
      </c>
      <c r="V3445" s="28" t="n">
        <v>797</v>
      </c>
      <c r="W3445" s="28" t="n">
        <v>720</v>
      </c>
      <c r="X3445" s="28"/>
      <c r="Y3445" s="28" t="n">
        <f aca="false">X3445*$M3445</f>
        <v>0</v>
      </c>
      <c r="Z3445" s="28"/>
      <c r="AA3445" s="28" t="n">
        <f aca="false">Z3445*$M3445</f>
        <v>0</v>
      </c>
      <c r="AB3445" s="28"/>
      <c r="AC3445" s="28" t="n">
        <f aca="false">AB3445*$M3445</f>
        <v>0</v>
      </c>
      <c r="AD3445" s="28"/>
      <c r="AE3445" s="28" t="n">
        <f aca="false">AD3445*$M3445</f>
        <v>0</v>
      </c>
      <c r="AF3445" s="28"/>
      <c r="AG3445" s="28" t="n">
        <f aca="false">AF3445*$M3445</f>
        <v>0</v>
      </c>
      <c r="AH3445" s="28"/>
      <c r="AI3445" s="28" t="n">
        <f aca="false">AH3445*$M3445</f>
        <v>0</v>
      </c>
      <c r="AJ3445" s="28"/>
      <c r="AK3445" s="28" t="n">
        <f aca="false">AJ3445*$M3445</f>
        <v>0</v>
      </c>
      <c r="AL3445" s="28"/>
      <c r="AM3445" s="28" t="n">
        <f aca="false">AL3445*$M3445</f>
        <v>0</v>
      </c>
      <c r="AN3445" s="28"/>
      <c r="AO3445" s="28" t="n">
        <f aca="false">AN3445*$M3445</f>
        <v>0</v>
      </c>
      <c r="AP3445" s="28"/>
      <c r="AQ3445" s="28" t="n">
        <f aca="false">AP3445*$M3445</f>
        <v>0</v>
      </c>
      <c r="AR3445" s="28"/>
      <c r="AS3445" s="28" t="n">
        <f aca="false">AR3445*$M3445</f>
        <v>0</v>
      </c>
      <c r="AT3445" s="28"/>
      <c r="AU3445" s="28" t="n">
        <f aca="false">AT3445*$M3445</f>
        <v>0</v>
      </c>
      <c r="AV3445" s="28"/>
      <c r="AW3445" s="28" t="n">
        <f aca="false">AV3445*$M3445</f>
        <v>0</v>
      </c>
      <c r="AX3445" s="28"/>
      <c r="AY3445" s="28" t="n">
        <f aca="false">AX3445*$M3445</f>
        <v>0</v>
      </c>
      <c r="AZ3445" s="30" t="n">
        <v>797</v>
      </c>
      <c r="BA3445" s="11" t="n">
        <v>720</v>
      </c>
      <c r="BB3445" s="31" t="n">
        <f aca="false">SUM(Q3445,S3445,U3445,W3445,Y3445,AA3445,AC3445,AE3445,AG3445,AI3445,AK3445,AM3445,AO3445,AQ3445,AS3445,AU3445,AW3445,AY3445)</f>
        <v>720</v>
      </c>
      <c r="BC3445" s="28" t="n">
        <f aca="false">BA3445-BB3445</f>
        <v>0</v>
      </c>
      <c r="BD3445" s="32" t="n">
        <f aca="false">SUM(P3445,R3445,T3445,V3445,X3445,Z3445,AB3445,AD3445,AF3445,AH3445,AJ3445,AL3445,AN3445,AP3445,AR3445,AT3445,AV3445,AX3445)</f>
        <v>797</v>
      </c>
      <c r="BE3445" s="33" t="n">
        <f aca="false">AZ3445-BD3445</f>
        <v>0</v>
      </c>
      <c r="BF3445" s="34" t="n">
        <f aca="false">BD3445*M3445</f>
        <v>0</v>
      </c>
      <c r="BG3445" s="35" t="n">
        <f aca="false">BA3445-BF3445</f>
        <v>720</v>
      </c>
      <c r="BH3445" s="19" t="str">
        <f aca="false">IF(BG3445=0,"",IF(BG3445&lt;&gt;BA3445,"erreur de calcul",IF(BD3445&lt;&gt;0,"pas de prix",IF(M3445&lt;&gt; 0,"pas de quantité","pas de prix, ni de quantité"))))</f>
        <v>pas de prix</v>
      </c>
      <c r="BI3445" s="19" t="s">
        <v>367</v>
      </c>
    </row>
    <row r="3446" customFormat="false" ht="15" hidden="false" customHeight="false" outlineLevel="0" collapsed="false">
      <c r="A3446" s="0" t="n">
        <v>39</v>
      </c>
      <c r="B3446" s="8" t="s">
        <v>24</v>
      </c>
      <c r="C3446" s="9" t="s">
        <v>25</v>
      </c>
      <c r="D3446" s="9" t="s">
        <v>26</v>
      </c>
      <c r="E3446" s="10" t="n">
        <v>1789</v>
      </c>
      <c r="F3446" s="9" t="s">
        <v>27</v>
      </c>
      <c r="G3446" s="9" t="s">
        <v>27</v>
      </c>
      <c r="H3446" s="11" t="n">
        <v>25</v>
      </c>
      <c r="I3446" s="11" t="s">
        <v>368</v>
      </c>
      <c r="J3446" s="14" t="n">
        <v>4</v>
      </c>
      <c r="K3446" s="14"/>
      <c r="L3446" s="16"/>
      <c r="M3446" s="27" t="n">
        <f aca="false">J3446+(K3446/20)+(L3446/240)</f>
        <v>4</v>
      </c>
      <c r="N3446" s="17" t="s">
        <v>64</v>
      </c>
      <c r="O3446" s="11"/>
      <c r="P3446" s="28"/>
      <c r="Q3446" s="28" t="n">
        <f aca="false">P3446*$M3446</f>
        <v>0</v>
      </c>
      <c r="R3446" s="28"/>
      <c r="S3446" s="28" t="n">
        <f aca="false">R3446*$M3446</f>
        <v>0</v>
      </c>
      <c r="T3446" s="28"/>
      <c r="U3446" s="28" t="n">
        <f aca="false">T3446*$M3446</f>
        <v>0</v>
      </c>
      <c r="V3446" s="28" t="n">
        <f aca="false">23693/100</f>
        <v>236.93</v>
      </c>
      <c r="W3446" s="28" t="n">
        <v>948</v>
      </c>
      <c r="X3446" s="28"/>
      <c r="Y3446" s="28" t="n">
        <f aca="false">X3446*$M3446</f>
        <v>0</v>
      </c>
      <c r="Z3446" s="28"/>
      <c r="AA3446" s="28" t="n">
        <f aca="false">Z3446*$M3446</f>
        <v>0</v>
      </c>
      <c r="AB3446" s="28"/>
      <c r="AC3446" s="28" t="n">
        <f aca="false">AB3446*$M3446</f>
        <v>0</v>
      </c>
      <c r="AD3446" s="28"/>
      <c r="AE3446" s="28" t="n">
        <f aca="false">AD3446*$M3446</f>
        <v>0</v>
      </c>
      <c r="AF3446" s="28"/>
      <c r="AG3446" s="28" t="n">
        <f aca="false">AF3446*$M3446</f>
        <v>0</v>
      </c>
      <c r="AH3446" s="28"/>
      <c r="AI3446" s="28" t="n">
        <f aca="false">AH3446*$M3446</f>
        <v>0</v>
      </c>
      <c r="AJ3446" s="28"/>
      <c r="AK3446" s="28" t="n">
        <f aca="false">AJ3446*$M3446</f>
        <v>0</v>
      </c>
      <c r="AL3446" s="28"/>
      <c r="AM3446" s="28" t="n">
        <f aca="false">AL3446*$M3446</f>
        <v>0</v>
      </c>
      <c r="AN3446" s="28"/>
      <c r="AO3446" s="28" t="n">
        <f aca="false">AN3446*$M3446</f>
        <v>0</v>
      </c>
      <c r="AP3446" s="28"/>
      <c r="AQ3446" s="28" t="n">
        <f aca="false">AP3446*$M3446</f>
        <v>0</v>
      </c>
      <c r="AR3446" s="28"/>
      <c r="AS3446" s="28" t="n">
        <f aca="false">AR3446*$M3446</f>
        <v>0</v>
      </c>
      <c r="AT3446" s="28"/>
      <c r="AU3446" s="28" t="n">
        <f aca="false">AT3446*$M3446</f>
        <v>0</v>
      </c>
      <c r="AV3446" s="28"/>
      <c r="AW3446" s="28" t="n">
        <f aca="false">AV3446*$M3446</f>
        <v>0</v>
      </c>
      <c r="AX3446" s="28"/>
      <c r="AY3446" s="28" t="n">
        <f aca="false">AX3446*$M3446</f>
        <v>0</v>
      </c>
      <c r="AZ3446" s="30" t="n">
        <f aca="false">23693/100</f>
        <v>236.93</v>
      </c>
      <c r="BA3446" s="11" t="n">
        <v>948</v>
      </c>
      <c r="BB3446" s="31" t="n">
        <f aca="false">SUM(Q3446,S3446,U3446,W3446,Y3446,AA3446,AC3446,AE3446,AG3446,AI3446,AK3446,AM3446,AO3446,AQ3446,AS3446,AU3446,AW3446,AY3446)</f>
        <v>948</v>
      </c>
      <c r="BC3446" s="28" t="n">
        <f aca="false">BA3446-BB3446</f>
        <v>0</v>
      </c>
      <c r="BD3446" s="32" t="n">
        <f aca="false">SUM(P3446,R3446,T3446,V3446,X3446,Z3446,AB3446,AD3446,AF3446,AH3446,AJ3446,AL3446,AN3446,AP3446,AR3446,AT3446,AV3446,AX3446)</f>
        <v>236.93</v>
      </c>
      <c r="BE3446" s="33" t="n">
        <f aca="false">AZ3446-BD3446</f>
        <v>0</v>
      </c>
      <c r="BF3446" s="34" t="n">
        <f aca="false">BD3446*M3446</f>
        <v>947.72</v>
      </c>
      <c r="BG3446" s="35" t="n">
        <f aca="false">BA3446-BF3446</f>
        <v>0.279999999999973</v>
      </c>
      <c r="BH3446" s="19" t="str">
        <f aca="false">IF(BG3446=0,"",IF(BG3446&lt;&gt;BA3446,"erreur de calcul",IF(BD3446&lt;&gt;0,"pas de prix",IF(M3446&lt;&gt; 0,"pas de quantité","pas de prix, ni de quantité"))))</f>
        <v>erreur de calcul</v>
      </c>
      <c r="BI3446" s="19"/>
    </row>
    <row r="3447" customFormat="false" ht="15" hidden="false" customHeight="false" outlineLevel="0" collapsed="false">
      <c r="A3447" s="0" t="n">
        <v>40</v>
      </c>
      <c r="B3447" s="8" t="s">
        <v>24</v>
      </c>
      <c r="C3447" s="9" t="s">
        <v>25</v>
      </c>
      <c r="D3447" s="9" t="s">
        <v>26</v>
      </c>
      <c r="E3447" s="10" t="n">
        <v>1789</v>
      </c>
      <c r="F3447" s="9" t="s">
        <v>27</v>
      </c>
      <c r="G3447" s="9" t="s">
        <v>27</v>
      </c>
      <c r="H3447" s="11" t="n">
        <v>25</v>
      </c>
      <c r="I3447" s="11" t="s">
        <v>369</v>
      </c>
      <c r="J3447" s="14" t="n">
        <v>92</v>
      </c>
      <c r="K3447" s="14"/>
      <c r="L3447" s="16"/>
      <c r="M3447" s="27" t="n">
        <f aca="false">J3447+(K3447/20)+(L3447/240)</f>
        <v>92</v>
      </c>
      <c r="N3447" s="17" t="s">
        <v>64</v>
      </c>
      <c r="O3447" s="11"/>
      <c r="P3447" s="28"/>
      <c r="Q3447" s="28" t="n">
        <f aca="false">P3447*$M3447</f>
        <v>0</v>
      </c>
      <c r="R3447" s="28"/>
      <c r="S3447" s="28" t="n">
        <f aca="false">R3447*$M3447</f>
        <v>0</v>
      </c>
      <c r="T3447" s="28"/>
      <c r="U3447" s="28" t="n">
        <f aca="false">T3447*$M3447</f>
        <v>0</v>
      </c>
      <c r="V3447" s="28" t="n">
        <f aca="false">82878/100</f>
        <v>828.78</v>
      </c>
      <c r="W3447" s="28" t="n">
        <v>76248</v>
      </c>
      <c r="X3447" s="28" t="n">
        <f aca="false">44264/100</f>
        <v>442.64</v>
      </c>
      <c r="Y3447" s="36" t="n">
        <v>41023</v>
      </c>
      <c r="Z3447" s="28"/>
      <c r="AA3447" s="28" t="n">
        <f aca="false">Z3447*$M3447</f>
        <v>0</v>
      </c>
      <c r="AB3447" s="28"/>
      <c r="AC3447" s="28" t="n">
        <f aca="false">AB3447*$M3447</f>
        <v>0</v>
      </c>
      <c r="AD3447" s="28"/>
      <c r="AE3447" s="28" t="n">
        <f aca="false">AD3447*$M3447</f>
        <v>0</v>
      </c>
      <c r="AF3447" s="28"/>
      <c r="AG3447" s="28" t="n">
        <f aca="false">AF3447*$M3447</f>
        <v>0</v>
      </c>
      <c r="AH3447" s="28"/>
      <c r="AI3447" s="28" t="n">
        <f aca="false">AH3447*$M3447</f>
        <v>0</v>
      </c>
      <c r="AJ3447" s="28"/>
      <c r="AK3447" s="28" t="n">
        <f aca="false">AJ3447*$M3447</f>
        <v>0</v>
      </c>
      <c r="AL3447" s="28"/>
      <c r="AM3447" s="28" t="n">
        <f aca="false">AL3447*$M3447</f>
        <v>0</v>
      </c>
      <c r="AN3447" s="28"/>
      <c r="AO3447" s="28" t="n">
        <f aca="false">AN3447*$M3447</f>
        <v>0</v>
      </c>
      <c r="AP3447" s="28"/>
      <c r="AQ3447" s="28" t="n">
        <f aca="false">AP3447*$M3447</f>
        <v>0</v>
      </c>
      <c r="AR3447" s="28"/>
      <c r="AS3447" s="28" t="n">
        <f aca="false">AR3447*$M3447</f>
        <v>0</v>
      </c>
      <c r="AT3447" s="28"/>
      <c r="AU3447" s="28" t="n">
        <f aca="false">AT3447*$M3447</f>
        <v>0</v>
      </c>
      <c r="AV3447" s="28"/>
      <c r="AW3447" s="28" t="n">
        <f aca="false">AV3447*$M3447</f>
        <v>0</v>
      </c>
      <c r="AX3447" s="28"/>
      <c r="AY3447" s="28" t="n">
        <f aca="false">AX3447*$M3447</f>
        <v>0</v>
      </c>
      <c r="AZ3447" s="30" t="n">
        <f aca="false">127142/100</f>
        <v>1271.42</v>
      </c>
      <c r="BA3447" s="11" t="n">
        <v>117271</v>
      </c>
      <c r="BB3447" s="31" t="n">
        <f aca="false">SUM(Q3447,S3447,U3447,W3447,Y3447,AA3447,AC3447,AE3447,AG3447,AI3447,AK3447,AM3447,AO3447,AQ3447,AS3447,AU3447,AW3447,AY3447)</f>
        <v>117271</v>
      </c>
      <c r="BC3447" s="28" t="n">
        <f aca="false">BA3447-BB3447</f>
        <v>0</v>
      </c>
      <c r="BD3447" s="32" t="n">
        <f aca="false">SUM(P3447,R3447,T3447,V3447,X3447,Z3447,AB3447,AD3447,AF3447,AH3447,AJ3447,AL3447,AN3447,AP3447,AR3447,AT3447,AV3447,AX3447)</f>
        <v>1271.42</v>
      </c>
      <c r="BE3447" s="33" t="n">
        <f aca="false">AZ3447-BD3447</f>
        <v>0</v>
      </c>
      <c r="BF3447" s="34" t="n">
        <f aca="false">BD3447*M3447</f>
        <v>116970.64</v>
      </c>
      <c r="BG3447" s="35" t="n">
        <f aca="false">BA3447-BF3447</f>
        <v>300.359999999986</v>
      </c>
      <c r="BH3447" s="19" t="str">
        <f aca="false">IF(BG3447=0,"",IF(BG3447&lt;&gt;BA3447,"erreur de calcul",IF(BD3447&lt;&gt;0,"pas de prix",IF(M3447&lt;&gt; 0,"pas de quantité","pas de prix, ni de quantité"))))</f>
        <v>erreur de calcul</v>
      </c>
      <c r="BI3447" s="19"/>
    </row>
    <row r="3448" customFormat="false" ht="15" hidden="false" customHeight="false" outlineLevel="0" collapsed="false">
      <c r="A3448" s="0" t="n">
        <v>41</v>
      </c>
      <c r="B3448" s="8" t="s">
        <v>24</v>
      </c>
      <c r="C3448" s="9" t="s">
        <v>25</v>
      </c>
      <c r="D3448" s="9" t="s">
        <v>26</v>
      </c>
      <c r="E3448" s="10" t="n">
        <v>1789</v>
      </c>
      <c r="F3448" s="9" t="s">
        <v>27</v>
      </c>
      <c r="G3448" s="9" t="s">
        <v>27</v>
      </c>
      <c r="H3448" s="11" t="n">
        <v>25</v>
      </c>
      <c r="I3448" s="11" t="s">
        <v>370</v>
      </c>
      <c r="J3448" s="14" t="n">
        <v>12</v>
      </c>
      <c r="K3448" s="14"/>
      <c r="L3448" s="16"/>
      <c r="M3448" s="27" t="n">
        <f aca="false">J3448+(K3448/20)+(L3448/240)</f>
        <v>12</v>
      </c>
      <c r="N3448" s="17" t="s">
        <v>64</v>
      </c>
      <c r="O3448" s="11"/>
      <c r="P3448" s="28"/>
      <c r="Q3448" s="28" t="n">
        <f aca="false">P3448*$M3448</f>
        <v>0</v>
      </c>
      <c r="R3448" s="28"/>
      <c r="S3448" s="28" t="n">
        <f aca="false">R3448*$M3448</f>
        <v>0</v>
      </c>
      <c r="T3448" s="28"/>
      <c r="U3448" s="28" t="n">
        <f aca="false">T3448*$M3448</f>
        <v>0</v>
      </c>
      <c r="V3448" s="28"/>
      <c r="W3448" s="28" t="n">
        <f aca="false">V3448*$M3448</f>
        <v>0</v>
      </c>
      <c r="X3448" s="28"/>
      <c r="Y3448" s="28" t="n">
        <f aca="false">X3448*$M3448</f>
        <v>0</v>
      </c>
      <c r="Z3448" s="28"/>
      <c r="AA3448" s="28" t="n">
        <f aca="false">Z3448*$M3448</f>
        <v>0</v>
      </c>
      <c r="AB3448" s="28"/>
      <c r="AC3448" s="28" t="n">
        <f aca="false">AB3448*$M3448</f>
        <v>0</v>
      </c>
      <c r="AD3448" s="28"/>
      <c r="AE3448" s="28" t="n">
        <f aca="false">AD3448*$M3448</f>
        <v>0</v>
      </c>
      <c r="AF3448" s="28"/>
      <c r="AG3448" s="28" t="n">
        <f aca="false">AF3448*$M3448</f>
        <v>0</v>
      </c>
      <c r="AH3448" s="28" t="n">
        <f aca="false">12168/100</f>
        <v>121.68</v>
      </c>
      <c r="AI3448" s="28" t="n">
        <v>1460</v>
      </c>
      <c r="AJ3448" s="28"/>
      <c r="AK3448" s="28" t="n">
        <f aca="false">AJ3448*$M3448</f>
        <v>0</v>
      </c>
      <c r="AL3448" s="28"/>
      <c r="AM3448" s="28" t="n">
        <f aca="false">AL3448*$M3448</f>
        <v>0</v>
      </c>
      <c r="AN3448" s="28"/>
      <c r="AO3448" s="28" t="n">
        <f aca="false">AN3448*$M3448</f>
        <v>0</v>
      </c>
      <c r="AP3448" s="28"/>
      <c r="AQ3448" s="28" t="n">
        <f aca="false">AP3448*$M3448</f>
        <v>0</v>
      </c>
      <c r="AR3448" s="28"/>
      <c r="AS3448" s="28" t="n">
        <f aca="false">AR3448*$M3448</f>
        <v>0</v>
      </c>
      <c r="AT3448" s="28"/>
      <c r="AU3448" s="28" t="n">
        <f aca="false">AT3448*$M3448</f>
        <v>0</v>
      </c>
      <c r="AV3448" s="28"/>
      <c r="AW3448" s="28" t="n">
        <f aca="false">AV3448*$M3448</f>
        <v>0</v>
      </c>
      <c r="AX3448" s="28"/>
      <c r="AY3448" s="28" t="n">
        <f aca="false">AX3448*$M3448</f>
        <v>0</v>
      </c>
      <c r="AZ3448" s="30" t="n">
        <f aca="false">12168/100</f>
        <v>121.68</v>
      </c>
      <c r="BA3448" s="11" t="n">
        <v>1460</v>
      </c>
      <c r="BB3448" s="31" t="n">
        <f aca="false">SUM(Q3448,S3448,U3448,W3448,Y3448,AA3448,AC3448,AE3448,AG3448,AI3448,AK3448,AM3448,AO3448,AQ3448,AS3448,AU3448,AW3448,AY3448)</f>
        <v>1460</v>
      </c>
      <c r="BC3448" s="28" t="n">
        <f aca="false">BA3448-BB3448</f>
        <v>0</v>
      </c>
      <c r="BD3448" s="32" t="n">
        <f aca="false">SUM(P3448,R3448,T3448,V3448,X3448,Z3448,AB3448,AD3448,AF3448,AH3448,AJ3448,AL3448,AN3448,AP3448,AR3448,AT3448,AV3448,AX3448)</f>
        <v>121.68</v>
      </c>
      <c r="BE3448" s="33" t="n">
        <f aca="false">AZ3448-BD3448</f>
        <v>0</v>
      </c>
      <c r="BF3448" s="34" t="n">
        <f aca="false">BD3448*M3448</f>
        <v>1460.16</v>
      </c>
      <c r="BG3448" s="35" t="n">
        <f aca="false">BA3448-BF3448</f>
        <v>-0.160000000000082</v>
      </c>
      <c r="BH3448" s="19" t="str">
        <f aca="false">IF(BG3448=0,"",IF(BG3448&lt;&gt;BA3448,"erreur de calcul",IF(BD3448&lt;&gt;0,"pas de prix",IF(M3448&lt;&gt; 0,"pas de quantité","pas de prix, ni de quantité"))))</f>
        <v>erreur de calcul</v>
      </c>
      <c r="BI3448" s="19"/>
    </row>
    <row r="3449" customFormat="false" ht="15" hidden="false" customHeight="false" outlineLevel="0" collapsed="false">
      <c r="A3449" s="0" t="n">
        <v>42</v>
      </c>
      <c r="B3449" s="8" t="s">
        <v>24</v>
      </c>
      <c r="C3449" s="9" t="s">
        <v>25</v>
      </c>
      <c r="D3449" s="9" t="s">
        <v>26</v>
      </c>
      <c r="E3449" s="10" t="n">
        <v>1789</v>
      </c>
      <c r="F3449" s="9" t="s">
        <v>27</v>
      </c>
      <c r="G3449" s="9" t="s">
        <v>27</v>
      </c>
      <c r="H3449" s="11" t="n">
        <v>25</v>
      </c>
      <c r="I3449" s="11" t="s">
        <v>371</v>
      </c>
      <c r="J3449" s="14" t="n">
        <v>7</v>
      </c>
      <c r="K3449" s="14"/>
      <c r="L3449" s="16"/>
      <c r="M3449" s="27" t="n">
        <f aca="false">J3449+(K3449/20)+(L3449/240)</f>
        <v>7</v>
      </c>
      <c r="N3449" s="17" t="s">
        <v>64</v>
      </c>
      <c r="O3449" s="11"/>
      <c r="P3449" s="28"/>
      <c r="Q3449" s="28" t="n">
        <f aca="false">P3449*$M3449</f>
        <v>0</v>
      </c>
      <c r="R3449" s="28"/>
      <c r="S3449" s="28" t="n">
        <f aca="false">R3449*$M3449</f>
        <v>0</v>
      </c>
      <c r="T3449" s="28"/>
      <c r="U3449" s="28" t="n">
        <f aca="false">T3449*$M3449</f>
        <v>0</v>
      </c>
      <c r="V3449" s="28"/>
      <c r="W3449" s="28" t="n">
        <f aca="false">V3449*$M3449</f>
        <v>0</v>
      </c>
      <c r="X3449" s="28"/>
      <c r="Y3449" s="28" t="n">
        <f aca="false">X3449*$M3449</f>
        <v>0</v>
      </c>
      <c r="Z3449" s="28"/>
      <c r="AA3449" s="28" t="n">
        <f aca="false">Z3449*$M3449</f>
        <v>0</v>
      </c>
      <c r="AB3449" s="28" t="n">
        <f aca="false">58003/100</f>
        <v>580.03</v>
      </c>
      <c r="AC3449" s="28" t="n">
        <v>4060</v>
      </c>
      <c r="AD3449" s="28"/>
      <c r="AE3449" s="28" t="n">
        <f aca="false">AD3449*$M3449</f>
        <v>0</v>
      </c>
      <c r="AF3449" s="28"/>
      <c r="AG3449" s="28" t="n">
        <f aca="false">AF3449*$M3449</f>
        <v>0</v>
      </c>
      <c r="AH3449" s="28"/>
      <c r="AI3449" s="28" t="n">
        <f aca="false">AH3449*$M3449</f>
        <v>0</v>
      </c>
      <c r="AJ3449" s="28"/>
      <c r="AK3449" s="28" t="n">
        <f aca="false">AJ3449*$M3449</f>
        <v>0</v>
      </c>
      <c r="AL3449" s="28"/>
      <c r="AM3449" s="28" t="n">
        <f aca="false">AL3449*$M3449</f>
        <v>0</v>
      </c>
      <c r="AN3449" s="28"/>
      <c r="AO3449" s="28" t="n">
        <f aca="false">AN3449*$M3449</f>
        <v>0</v>
      </c>
      <c r="AP3449" s="28"/>
      <c r="AQ3449" s="28" t="n">
        <f aca="false">AP3449*$M3449</f>
        <v>0</v>
      </c>
      <c r="AR3449" s="28"/>
      <c r="AS3449" s="28" t="n">
        <f aca="false">AR3449*$M3449</f>
        <v>0</v>
      </c>
      <c r="AT3449" s="28"/>
      <c r="AU3449" s="28" t="n">
        <f aca="false">AT3449*$M3449</f>
        <v>0</v>
      </c>
      <c r="AV3449" s="28"/>
      <c r="AW3449" s="28" t="n">
        <f aca="false">AV3449*$M3449</f>
        <v>0</v>
      </c>
      <c r="AX3449" s="28"/>
      <c r="AY3449" s="28" t="n">
        <f aca="false">AX3449*$M3449</f>
        <v>0</v>
      </c>
      <c r="AZ3449" s="30" t="n">
        <f aca="false">58003/100</f>
        <v>580.03</v>
      </c>
      <c r="BA3449" s="11" t="n">
        <v>4060</v>
      </c>
      <c r="BB3449" s="31" t="n">
        <f aca="false">SUM(Q3449,S3449,U3449,W3449,Y3449,AA3449,AC3449,AE3449,AG3449,AI3449,AK3449,AM3449,AO3449,AQ3449,AS3449,AU3449,AW3449,AY3449)</f>
        <v>4060</v>
      </c>
      <c r="BC3449" s="28" t="n">
        <f aca="false">BA3449-BB3449</f>
        <v>0</v>
      </c>
      <c r="BD3449" s="32" t="n">
        <f aca="false">SUM(P3449,R3449,T3449,V3449,X3449,Z3449,AB3449,AD3449,AF3449,AH3449,AJ3449,AL3449,AN3449,AP3449,AR3449,AT3449,AV3449,AX3449)</f>
        <v>580.03</v>
      </c>
      <c r="BE3449" s="33" t="n">
        <f aca="false">AZ3449-BD3449</f>
        <v>0</v>
      </c>
      <c r="BF3449" s="34" t="n">
        <f aca="false">BD3449*M3449</f>
        <v>4060.21</v>
      </c>
      <c r="BG3449" s="35" t="n">
        <f aca="false">BA3449-BF3449</f>
        <v>-0.210000000000036</v>
      </c>
      <c r="BH3449" s="19" t="str">
        <f aca="false">IF(BG3449=0,"",IF(BG3449&lt;&gt;BA3449,"erreur de calcul",IF(BD3449&lt;&gt;0,"pas de prix",IF(M3449&lt;&gt; 0,"pas de quantité","pas de prix, ni de quantité"))))</f>
        <v>erreur de calcul</v>
      </c>
      <c r="BI3449" s="19"/>
    </row>
    <row r="3450" customFormat="false" ht="15" hidden="false" customHeight="false" outlineLevel="0" collapsed="false">
      <c r="A3450" s="0" t="n">
        <v>1</v>
      </c>
      <c r="B3450" s="8" t="s">
        <v>24</v>
      </c>
      <c r="C3450" s="9" t="s">
        <v>25</v>
      </c>
      <c r="D3450" s="9" t="s">
        <v>26</v>
      </c>
      <c r="E3450" s="10" t="n">
        <v>1789</v>
      </c>
      <c r="F3450" s="9" t="s">
        <v>27</v>
      </c>
      <c r="G3450" s="9" t="s">
        <v>27</v>
      </c>
      <c r="H3450" s="11" t="n">
        <v>26</v>
      </c>
      <c r="I3450" s="11" t="s">
        <v>372</v>
      </c>
      <c r="J3450" s="14" t="n">
        <v>30</v>
      </c>
      <c r="K3450" s="14"/>
      <c r="L3450" s="16"/>
      <c r="M3450" s="27" t="n">
        <f aca="false">J3450+(K3450/20)+(L3450/240)</f>
        <v>30</v>
      </c>
      <c r="N3450" s="17" t="s">
        <v>64</v>
      </c>
      <c r="O3450" s="11"/>
      <c r="P3450" s="28"/>
      <c r="Q3450" s="28" t="n">
        <f aca="false">P3450*$M3450</f>
        <v>0</v>
      </c>
      <c r="R3450" s="28"/>
      <c r="S3450" s="28" t="n">
        <f aca="false">R3450*$M3450</f>
        <v>0</v>
      </c>
      <c r="T3450" s="28"/>
      <c r="U3450" s="28" t="n">
        <f aca="false">T3450*$M3450</f>
        <v>0</v>
      </c>
      <c r="V3450" s="28" t="n">
        <f aca="false">1500/100</f>
        <v>15</v>
      </c>
      <c r="W3450" s="28" t="n">
        <v>450</v>
      </c>
      <c r="X3450" s="28"/>
      <c r="Y3450" s="28" t="n">
        <f aca="false">X3450*$M3450</f>
        <v>0</v>
      </c>
      <c r="Z3450" s="28"/>
      <c r="AA3450" s="28" t="n">
        <f aca="false">Z3450*$M3450</f>
        <v>0</v>
      </c>
      <c r="AB3450" s="28"/>
      <c r="AC3450" s="28" t="n">
        <f aca="false">AB3450*$M3450</f>
        <v>0</v>
      </c>
      <c r="AD3450" s="28"/>
      <c r="AE3450" s="28" t="n">
        <f aca="false">AD3450*$M3450</f>
        <v>0</v>
      </c>
      <c r="AF3450" s="28"/>
      <c r="AG3450" s="28" t="n">
        <f aca="false">AF3450*$M3450</f>
        <v>0</v>
      </c>
      <c r="AH3450" s="28"/>
      <c r="AI3450" s="28" t="n">
        <f aca="false">AH3450*$M3450</f>
        <v>0</v>
      </c>
      <c r="AJ3450" s="28"/>
      <c r="AK3450" s="28" t="n">
        <f aca="false">AJ3450*$M3450</f>
        <v>0</v>
      </c>
      <c r="AL3450" s="28"/>
      <c r="AM3450" s="28" t="n">
        <f aca="false">AL3450*$M3450</f>
        <v>0</v>
      </c>
      <c r="AN3450" s="28"/>
      <c r="AO3450" s="28" t="n">
        <f aca="false">AN3450*$M3450</f>
        <v>0</v>
      </c>
      <c r="AP3450" s="28"/>
      <c r="AQ3450" s="28" t="n">
        <f aca="false">AP3450*$M3450</f>
        <v>0</v>
      </c>
      <c r="AR3450" s="28"/>
      <c r="AS3450" s="28" t="n">
        <f aca="false">AR3450*$M3450</f>
        <v>0</v>
      </c>
      <c r="AT3450" s="28"/>
      <c r="AU3450" s="28" t="n">
        <f aca="false">AT3450*$M3450</f>
        <v>0</v>
      </c>
      <c r="AV3450" s="28"/>
      <c r="AW3450" s="28" t="n">
        <f aca="false">AV3450*$M3450</f>
        <v>0</v>
      </c>
      <c r="AX3450" s="28"/>
      <c r="AY3450" s="28" t="n">
        <f aca="false">AX3450*$M3450</f>
        <v>0</v>
      </c>
      <c r="AZ3450" s="30" t="n">
        <f aca="false">1500/100</f>
        <v>15</v>
      </c>
      <c r="BA3450" s="11" t="n">
        <v>450</v>
      </c>
      <c r="BB3450" s="31" t="n">
        <f aca="false">SUM(Q3450,S3450,U3450,W3450,Y3450,AA3450,AC3450,AE3450,AG3450,AI3450,AK3450,AM3450,AO3450,AQ3450,AS3450,AU3450,AW3450,AY3450)</f>
        <v>450</v>
      </c>
      <c r="BC3450" s="28" t="n">
        <f aca="false">BA3450-BB3450</f>
        <v>0</v>
      </c>
      <c r="BD3450" s="32" t="n">
        <f aca="false">SUM(P3450,R3450,T3450,V3450,X3450,Z3450,AB3450,AD3450,AF3450,AH3450,AJ3450,AL3450,AN3450,AP3450,AR3450,AT3450,AV3450,AX3450)</f>
        <v>15</v>
      </c>
      <c r="BE3450" s="33" t="n">
        <f aca="false">AZ3450-BD3450</f>
        <v>0</v>
      </c>
      <c r="BF3450" s="34" t="n">
        <f aca="false">BD3450*M3450</f>
        <v>450</v>
      </c>
      <c r="BG3450" s="35" t="n">
        <f aca="false">BA3450-BF3450</f>
        <v>0</v>
      </c>
      <c r="BH3450" s="19" t="str">
        <f aca="false">IF(BG3450=0,"",IF(BG3450&lt;&gt;BA3450,"erreur de calcul",IF(BD3450&lt;&gt;0,"pas de prix",IF(M3450&lt;&gt; 0,"pas de quantité","pas de prix, ni de quantité"))))</f>
        <v/>
      </c>
      <c r="BI3450" s="19"/>
    </row>
    <row r="3451" customFormat="false" ht="15" hidden="false" customHeight="false" outlineLevel="0" collapsed="false">
      <c r="A3451" s="0" t="n">
        <v>2</v>
      </c>
      <c r="B3451" s="8" t="s">
        <v>24</v>
      </c>
      <c r="C3451" s="9" t="s">
        <v>25</v>
      </c>
      <c r="D3451" s="9" t="s">
        <v>26</v>
      </c>
      <c r="E3451" s="10" t="n">
        <v>1789</v>
      </c>
      <c r="F3451" s="9" t="s">
        <v>27</v>
      </c>
      <c r="G3451" s="9" t="s">
        <v>27</v>
      </c>
      <c r="H3451" s="11" t="n">
        <v>26</v>
      </c>
      <c r="I3451" s="11" t="s">
        <v>373</v>
      </c>
      <c r="J3451" s="14" t="n">
        <v>25</v>
      </c>
      <c r="K3451" s="14"/>
      <c r="L3451" s="16"/>
      <c r="M3451" s="27" t="n">
        <f aca="false">J3451+(K3451/20)+(L3451/240)</f>
        <v>25</v>
      </c>
      <c r="N3451" s="17" t="s">
        <v>64</v>
      </c>
      <c r="O3451" s="11"/>
      <c r="P3451" s="28"/>
      <c r="Q3451" s="28" t="n">
        <f aca="false">P3451*$M3451</f>
        <v>0</v>
      </c>
      <c r="R3451" s="28"/>
      <c r="S3451" s="28" t="n">
        <f aca="false">R3451*$M3451</f>
        <v>0</v>
      </c>
      <c r="T3451" s="28" t="n">
        <f aca="false">34168/100</f>
        <v>341.68</v>
      </c>
      <c r="U3451" s="28" t="n">
        <v>8542</v>
      </c>
      <c r="V3451" s="28" t="n">
        <f aca="false">128249/100</f>
        <v>1282.49</v>
      </c>
      <c r="W3451" s="28" t="n">
        <v>32062</v>
      </c>
      <c r="X3451" s="28" t="n">
        <f aca="false">21365/100</f>
        <v>213.65</v>
      </c>
      <c r="Y3451" s="28" t="n">
        <v>5341</v>
      </c>
      <c r="Z3451" s="28"/>
      <c r="AA3451" s="28" t="n">
        <f aca="false">Z3451*$M3451</f>
        <v>0</v>
      </c>
      <c r="AB3451" s="28"/>
      <c r="AC3451" s="28" t="n">
        <f aca="false">AB3451*$M3451</f>
        <v>0</v>
      </c>
      <c r="AD3451" s="28"/>
      <c r="AE3451" s="28" t="n">
        <f aca="false">AD3451*$M3451</f>
        <v>0</v>
      </c>
      <c r="AF3451" s="28"/>
      <c r="AG3451" s="28" t="n">
        <f aca="false">AF3451*$M3451</f>
        <v>0</v>
      </c>
      <c r="AH3451" s="28"/>
      <c r="AI3451" s="28" t="n">
        <f aca="false">AH3451*$M3451</f>
        <v>0</v>
      </c>
      <c r="AJ3451" s="28" t="n">
        <f aca="false">155251/100</f>
        <v>1552.51</v>
      </c>
      <c r="AK3451" s="28" t="n">
        <v>38813</v>
      </c>
      <c r="AL3451" s="28" t="n">
        <f aca="false">185000/100</f>
        <v>1850</v>
      </c>
      <c r="AM3451" s="28" t="n">
        <v>46250</v>
      </c>
      <c r="AN3451" s="28"/>
      <c r="AO3451" s="28" t="n">
        <f aca="false">AN3451*$M3451</f>
        <v>0</v>
      </c>
      <c r="AP3451" s="28"/>
      <c r="AQ3451" s="28" t="n">
        <f aca="false">AP3451*$M3451</f>
        <v>0</v>
      </c>
      <c r="AR3451" s="28"/>
      <c r="AS3451" s="28" t="n">
        <f aca="false">AR3451*$M3451</f>
        <v>0</v>
      </c>
      <c r="AT3451" s="28"/>
      <c r="AU3451" s="28" t="n">
        <f aca="false">AT3451*$M3451</f>
        <v>0</v>
      </c>
      <c r="AV3451" s="28"/>
      <c r="AW3451" s="28" t="n">
        <f aca="false">AV3451*$M3451</f>
        <v>0</v>
      </c>
      <c r="AX3451" s="28"/>
      <c r="AY3451" s="28" t="n">
        <f aca="false">AX3451*$M3451</f>
        <v>0</v>
      </c>
      <c r="AZ3451" s="30" t="n">
        <f aca="false">524033/100</f>
        <v>5240.33</v>
      </c>
      <c r="BA3451" s="11" t="n">
        <v>131008</v>
      </c>
      <c r="BB3451" s="31" t="n">
        <f aca="false">SUM(Q3451,S3451,U3451,W3451,Y3451,AA3451,AC3451,AE3451,AG3451,AI3451,AK3451,AM3451,AO3451,AQ3451,AS3451,AU3451,AW3451,AY3451)</f>
        <v>131008</v>
      </c>
      <c r="BC3451" s="28" t="n">
        <f aca="false">BA3451-BB3451</f>
        <v>0</v>
      </c>
      <c r="BD3451" s="32" t="n">
        <f aca="false">SUM(P3451,R3451,T3451,V3451,X3451,Z3451,AB3451,AD3451,AF3451,AH3451,AJ3451,AL3451,AN3451,AP3451,AR3451,AT3451,AV3451,AX3451)</f>
        <v>5240.33</v>
      </c>
      <c r="BE3451" s="33" t="n">
        <f aca="false">AZ3451-BD3451</f>
        <v>0</v>
      </c>
      <c r="BF3451" s="34" t="n">
        <f aca="false">BD3451*M3451</f>
        <v>131008.25</v>
      </c>
      <c r="BG3451" s="35" t="n">
        <f aca="false">BA3451-BF3451</f>
        <v>-0.250000000014552</v>
      </c>
      <c r="BH3451" s="19" t="str">
        <f aca="false">IF(BG3451=0,"",IF(BG3451&lt;&gt;BA3451,"erreur de calcul",IF(BD3451&lt;&gt;0,"pas de prix",IF(M3451&lt;&gt; 0,"pas de quantité","pas de prix, ni de quantité"))))</f>
        <v>erreur de calcul</v>
      </c>
      <c r="BI3451" s="19"/>
    </row>
    <row r="3452" customFormat="false" ht="15" hidden="false" customHeight="false" outlineLevel="0" collapsed="false">
      <c r="A3452" s="0" t="n">
        <v>3</v>
      </c>
      <c r="B3452" s="8" t="s">
        <v>24</v>
      </c>
      <c r="C3452" s="9" t="s">
        <v>25</v>
      </c>
      <c r="D3452" s="9" t="s">
        <v>26</v>
      </c>
      <c r="E3452" s="10" t="n">
        <v>1789</v>
      </c>
      <c r="F3452" s="9" t="s">
        <v>27</v>
      </c>
      <c r="G3452" s="9" t="s">
        <v>27</v>
      </c>
      <c r="H3452" s="11" t="n">
        <v>26</v>
      </c>
      <c r="I3452" s="11" t="s">
        <v>374</v>
      </c>
      <c r="J3452" s="14" t="n">
        <v>70</v>
      </c>
      <c r="K3452" s="14"/>
      <c r="L3452" s="16"/>
      <c r="M3452" s="27" t="n">
        <f aca="false">J3452+(K3452/20)+(L3452/240)</f>
        <v>70</v>
      </c>
      <c r="N3452" s="17" t="s">
        <v>64</v>
      </c>
      <c r="O3452" s="11"/>
      <c r="P3452" s="28"/>
      <c r="Q3452" s="28" t="n">
        <f aca="false">P3452*$M3452</f>
        <v>0</v>
      </c>
      <c r="R3452" s="28"/>
      <c r="S3452" s="28" t="n">
        <f aca="false">R3452*$M3452</f>
        <v>0</v>
      </c>
      <c r="T3452" s="28"/>
      <c r="U3452" s="28" t="n">
        <f aca="false">T3452*$M3452</f>
        <v>0</v>
      </c>
      <c r="V3452" s="28" t="n">
        <f aca="false">4560/100</f>
        <v>45.6</v>
      </c>
      <c r="W3452" s="28" t="n">
        <v>3192</v>
      </c>
      <c r="X3452" s="28" t="n">
        <f aca="false">1115/100</f>
        <v>11.15</v>
      </c>
      <c r="Y3452" s="28" t="n">
        <v>780</v>
      </c>
      <c r="Z3452" s="28"/>
      <c r="AA3452" s="28" t="n">
        <f aca="false">Z3452*$M3452</f>
        <v>0</v>
      </c>
      <c r="AB3452" s="28" t="n">
        <f aca="false">9431/100</f>
        <v>94.31</v>
      </c>
      <c r="AC3452" s="28" t="n">
        <v>6602</v>
      </c>
      <c r="AD3452" s="28"/>
      <c r="AE3452" s="28" t="n">
        <f aca="false">AD3452*$M3452</f>
        <v>0</v>
      </c>
      <c r="AF3452" s="28"/>
      <c r="AG3452" s="28" t="n">
        <f aca="false">AF3452*$M3452</f>
        <v>0</v>
      </c>
      <c r="AH3452" s="28"/>
      <c r="AI3452" s="28" t="n">
        <f aca="false">AH3452*$M3452</f>
        <v>0</v>
      </c>
      <c r="AJ3452" s="28"/>
      <c r="AK3452" s="28" t="n">
        <f aca="false">AJ3452*$M3452</f>
        <v>0</v>
      </c>
      <c r="AL3452" s="28"/>
      <c r="AM3452" s="28" t="n">
        <f aca="false">AL3452*$M3452</f>
        <v>0</v>
      </c>
      <c r="AN3452" s="28"/>
      <c r="AO3452" s="28" t="n">
        <f aca="false">AN3452*$M3452</f>
        <v>0</v>
      </c>
      <c r="AP3452" s="28"/>
      <c r="AQ3452" s="28" t="n">
        <f aca="false">AP3452*$M3452</f>
        <v>0</v>
      </c>
      <c r="AR3452" s="28"/>
      <c r="AS3452" s="28" t="n">
        <f aca="false">AR3452*$M3452</f>
        <v>0</v>
      </c>
      <c r="AT3452" s="28"/>
      <c r="AU3452" s="28" t="n">
        <f aca="false">AT3452*$M3452</f>
        <v>0</v>
      </c>
      <c r="AV3452" s="28"/>
      <c r="AW3452" s="28" t="n">
        <f aca="false">AV3452*$M3452</f>
        <v>0</v>
      </c>
      <c r="AX3452" s="28"/>
      <c r="AY3452" s="28" t="n">
        <f aca="false">AX3452*$M3452</f>
        <v>0</v>
      </c>
      <c r="AZ3452" s="30" t="n">
        <f aca="false">15106/100</f>
        <v>151.06</v>
      </c>
      <c r="BA3452" s="11" t="n">
        <v>10574</v>
      </c>
      <c r="BB3452" s="31" t="n">
        <f aca="false">SUM(Q3452,S3452,U3452,W3452,Y3452,AA3452,AC3452,AE3452,AG3452,AI3452,AK3452,AM3452,AO3452,AQ3452,AS3452,AU3452,AW3452,AY3452)</f>
        <v>10574</v>
      </c>
      <c r="BC3452" s="28" t="n">
        <f aca="false">BA3452-BB3452</f>
        <v>0</v>
      </c>
      <c r="BD3452" s="32" t="n">
        <f aca="false">SUM(P3452,R3452,T3452,V3452,X3452,Z3452,AB3452,AD3452,AF3452,AH3452,AJ3452,AL3452,AN3452,AP3452,AR3452,AT3452,AV3452,AX3452)</f>
        <v>151.06</v>
      </c>
      <c r="BE3452" s="33" t="n">
        <f aca="false">AZ3452-BD3452</f>
        <v>0</v>
      </c>
      <c r="BF3452" s="34" t="n">
        <f aca="false">BD3452*M3452</f>
        <v>10574.2</v>
      </c>
      <c r="BG3452" s="35" t="n">
        <f aca="false">BA3452-BF3452</f>
        <v>-0.200000000000728</v>
      </c>
      <c r="BH3452" s="19" t="str">
        <f aca="false">IF(BG3452=0,"",IF(BG3452&lt;&gt;BA3452,"erreur de calcul",IF(BD3452&lt;&gt;0,"pas de prix",IF(M3452&lt;&gt; 0,"pas de quantité","pas de prix, ni de quantité"))))</f>
        <v>erreur de calcul</v>
      </c>
      <c r="BI3452" s="19"/>
    </row>
    <row r="3453" customFormat="false" ht="15" hidden="false" customHeight="false" outlineLevel="0" collapsed="false">
      <c r="A3453" s="0" t="n">
        <v>4</v>
      </c>
      <c r="B3453" s="8" t="s">
        <v>24</v>
      </c>
      <c r="C3453" s="9" t="s">
        <v>25</v>
      </c>
      <c r="D3453" s="9" t="s">
        <v>26</v>
      </c>
      <c r="E3453" s="10" t="n">
        <v>1789</v>
      </c>
      <c r="F3453" s="9" t="s">
        <v>27</v>
      </c>
      <c r="G3453" s="9" t="s">
        <v>27</v>
      </c>
      <c r="H3453" s="11" t="n">
        <v>26</v>
      </c>
      <c r="I3453" s="11" t="s">
        <v>375</v>
      </c>
      <c r="J3453" s="14" t="n">
        <v>245</v>
      </c>
      <c r="K3453" s="14"/>
      <c r="L3453" s="16"/>
      <c r="M3453" s="27" t="n">
        <f aca="false">J3453+(K3453/20)+(L3453/240)</f>
        <v>245</v>
      </c>
      <c r="N3453" s="17" t="s">
        <v>64</v>
      </c>
      <c r="O3453" s="11"/>
      <c r="P3453" s="28"/>
      <c r="Q3453" s="28" t="n">
        <f aca="false">P3453*$M3453</f>
        <v>0</v>
      </c>
      <c r="R3453" s="28"/>
      <c r="S3453" s="28" t="n">
        <f aca="false">R3453*$M3453</f>
        <v>0</v>
      </c>
      <c r="T3453" s="28"/>
      <c r="U3453" s="28" t="n">
        <f aca="false">T3453*$M3453</f>
        <v>0</v>
      </c>
      <c r="V3453" s="28"/>
      <c r="W3453" s="28" t="n">
        <f aca="false">V3453*$M3453</f>
        <v>0</v>
      </c>
      <c r="X3453" s="28"/>
      <c r="Y3453" s="28" t="n">
        <f aca="false">X3453*$M3453</f>
        <v>0</v>
      </c>
      <c r="Z3453" s="28"/>
      <c r="AA3453" s="28" t="n">
        <f aca="false">Z3453*$M3453</f>
        <v>0</v>
      </c>
      <c r="AB3453" s="28"/>
      <c r="AC3453" s="28" t="n">
        <f aca="false">AB3453*$M3453</f>
        <v>0</v>
      </c>
      <c r="AD3453" s="28"/>
      <c r="AE3453" s="28" t="n">
        <f aca="false">AD3453*$M3453</f>
        <v>0</v>
      </c>
      <c r="AF3453" s="28"/>
      <c r="AG3453" s="28" t="n">
        <f aca="false">AF3453*$M3453</f>
        <v>0</v>
      </c>
      <c r="AH3453" s="28" t="n">
        <f aca="false">751/100</f>
        <v>7.51</v>
      </c>
      <c r="AI3453" s="28" t="n">
        <v>1840</v>
      </c>
      <c r="AJ3453" s="28"/>
      <c r="AK3453" s="28" t="n">
        <f aca="false">AJ3453*$M3453</f>
        <v>0</v>
      </c>
      <c r="AL3453" s="28"/>
      <c r="AM3453" s="28" t="n">
        <f aca="false">AL3453*$M3453</f>
        <v>0</v>
      </c>
      <c r="AN3453" s="28"/>
      <c r="AO3453" s="28" t="n">
        <f aca="false">AN3453*$M3453</f>
        <v>0</v>
      </c>
      <c r="AP3453" s="28"/>
      <c r="AQ3453" s="28" t="n">
        <f aca="false">AP3453*$M3453</f>
        <v>0</v>
      </c>
      <c r="AR3453" s="28"/>
      <c r="AS3453" s="28" t="n">
        <f aca="false">AR3453*$M3453</f>
        <v>0</v>
      </c>
      <c r="AT3453" s="28"/>
      <c r="AU3453" s="28" t="n">
        <f aca="false">AT3453*$M3453</f>
        <v>0</v>
      </c>
      <c r="AV3453" s="28"/>
      <c r="AW3453" s="28" t="n">
        <f aca="false">AV3453*$M3453</f>
        <v>0</v>
      </c>
      <c r="AX3453" s="28"/>
      <c r="AY3453" s="28" t="n">
        <f aca="false">AX3453*$M3453</f>
        <v>0</v>
      </c>
      <c r="AZ3453" s="30" t="n">
        <f aca="false">751/100</f>
        <v>7.51</v>
      </c>
      <c r="BA3453" s="11" t="n">
        <v>1840</v>
      </c>
      <c r="BB3453" s="31" t="n">
        <f aca="false">SUM(Q3453,S3453,U3453,W3453,Y3453,AA3453,AC3453,AE3453,AG3453,AI3453,AK3453,AM3453,AO3453,AQ3453,AS3453,AU3453,AW3453,AY3453)</f>
        <v>1840</v>
      </c>
      <c r="BC3453" s="28" t="n">
        <f aca="false">BA3453-BB3453</f>
        <v>0</v>
      </c>
      <c r="BD3453" s="32" t="n">
        <f aca="false">SUM(P3453,R3453,T3453,V3453,X3453,Z3453,AB3453,AD3453,AF3453,AH3453,AJ3453,AL3453,AN3453,AP3453,AR3453,AT3453,AV3453,AX3453)</f>
        <v>7.51</v>
      </c>
      <c r="BE3453" s="33" t="n">
        <f aca="false">AZ3453-BD3453</f>
        <v>0</v>
      </c>
      <c r="BF3453" s="34" t="n">
        <f aca="false">BD3453*M3453</f>
        <v>1839.95</v>
      </c>
      <c r="BG3453" s="35" t="n">
        <f aca="false">BA3453-BF3453</f>
        <v>0.0499999999999545</v>
      </c>
      <c r="BH3453" s="19" t="str">
        <f aca="false">IF(BG3453=0,"",IF(BG3453&lt;&gt;BA3453,"erreur de calcul",IF(BD3453&lt;&gt;0,"pas de prix",IF(M3453&lt;&gt; 0,"pas de quantité","pas de prix, ni de quantité"))))</f>
        <v>erreur de calcul</v>
      </c>
      <c r="BI3453" s="19"/>
    </row>
    <row r="3454" customFormat="false" ht="15" hidden="false" customHeight="false" outlineLevel="0" collapsed="false">
      <c r="A3454" s="0" t="n">
        <v>5</v>
      </c>
      <c r="B3454" s="8" t="s">
        <v>24</v>
      </c>
      <c r="C3454" s="9" t="s">
        <v>25</v>
      </c>
      <c r="D3454" s="9" t="s">
        <v>26</v>
      </c>
      <c r="E3454" s="10" t="n">
        <v>1789</v>
      </c>
      <c r="F3454" s="9" t="s">
        <v>27</v>
      </c>
      <c r="G3454" s="9" t="s">
        <v>27</v>
      </c>
      <c r="H3454" s="11" t="n">
        <v>26</v>
      </c>
      <c r="I3454" s="11" t="s">
        <v>376</v>
      </c>
      <c r="J3454" s="14" t="n">
        <v>550</v>
      </c>
      <c r="K3454" s="14"/>
      <c r="L3454" s="16"/>
      <c r="M3454" s="27" t="n">
        <f aca="false">J3454+(K3454/20)+(L3454/240)</f>
        <v>550</v>
      </c>
      <c r="N3454" s="17" t="s">
        <v>64</v>
      </c>
      <c r="O3454" s="11"/>
      <c r="P3454" s="28"/>
      <c r="Q3454" s="28" t="n">
        <f aca="false">P3454*$M3454</f>
        <v>0</v>
      </c>
      <c r="R3454" s="28"/>
      <c r="S3454" s="28" t="n">
        <f aca="false">R3454*$M3454</f>
        <v>0</v>
      </c>
      <c r="T3454" s="28"/>
      <c r="U3454" s="28" t="n">
        <f aca="false">T3454*$M3454</f>
        <v>0</v>
      </c>
      <c r="V3454" s="28"/>
      <c r="W3454" s="28" t="n">
        <f aca="false">V3454*$M3454</f>
        <v>0</v>
      </c>
      <c r="X3454" s="28"/>
      <c r="Y3454" s="28" t="n">
        <f aca="false">X3454*$M3454</f>
        <v>0</v>
      </c>
      <c r="Z3454" s="28"/>
      <c r="AA3454" s="28" t="n">
        <f aca="false">Z3454*$M3454</f>
        <v>0</v>
      </c>
      <c r="AB3454" s="28"/>
      <c r="AC3454" s="28" t="n">
        <f aca="false">AB3454*$M3454</f>
        <v>0</v>
      </c>
      <c r="AD3454" s="28"/>
      <c r="AE3454" s="28" t="n">
        <f aca="false">AD3454*$M3454</f>
        <v>0</v>
      </c>
      <c r="AF3454" s="28"/>
      <c r="AG3454" s="28" t="n">
        <f aca="false">AF3454*$M3454</f>
        <v>0</v>
      </c>
      <c r="AH3454" s="28" t="n">
        <f aca="false">215551/100</f>
        <v>2155.51</v>
      </c>
      <c r="AI3454" s="28" t="n">
        <v>1185530</v>
      </c>
      <c r="AJ3454" s="28"/>
      <c r="AK3454" s="28" t="n">
        <f aca="false">AJ3454*$M3454</f>
        <v>0</v>
      </c>
      <c r="AL3454" s="28"/>
      <c r="AM3454" s="28" t="n">
        <f aca="false">AL3454*$M3454</f>
        <v>0</v>
      </c>
      <c r="AN3454" s="28"/>
      <c r="AO3454" s="28" t="n">
        <f aca="false">AN3454*$M3454</f>
        <v>0</v>
      </c>
      <c r="AP3454" s="28"/>
      <c r="AQ3454" s="28" t="n">
        <f aca="false">AP3454*$M3454</f>
        <v>0</v>
      </c>
      <c r="AR3454" s="28"/>
      <c r="AS3454" s="28" t="n">
        <f aca="false">AR3454*$M3454</f>
        <v>0</v>
      </c>
      <c r="AT3454" s="28"/>
      <c r="AU3454" s="28" t="n">
        <f aca="false">AT3454*$M3454</f>
        <v>0</v>
      </c>
      <c r="AV3454" s="28"/>
      <c r="AW3454" s="28" t="n">
        <f aca="false">AV3454*$M3454</f>
        <v>0</v>
      </c>
      <c r="AX3454" s="28"/>
      <c r="AY3454" s="28" t="n">
        <f aca="false">AX3454*$M3454</f>
        <v>0</v>
      </c>
      <c r="AZ3454" s="30" t="n">
        <f aca="false">215551/100</f>
        <v>2155.51</v>
      </c>
      <c r="BA3454" s="11" t="n">
        <v>1185530</v>
      </c>
      <c r="BB3454" s="31" t="n">
        <f aca="false">SUM(Q3454,S3454,U3454,W3454,Y3454,AA3454,AC3454,AE3454,AG3454,AI3454,AK3454,AM3454,AO3454,AQ3454,AS3454,AU3454,AW3454,AY3454)</f>
        <v>1185530</v>
      </c>
      <c r="BC3454" s="28" t="n">
        <f aca="false">BA3454-BB3454</f>
        <v>0</v>
      </c>
      <c r="BD3454" s="32" t="n">
        <f aca="false">SUM(P3454,R3454,T3454,V3454,X3454,Z3454,AB3454,AD3454,AF3454,AH3454,AJ3454,AL3454,AN3454,AP3454,AR3454,AT3454,AV3454,AX3454)</f>
        <v>2155.51</v>
      </c>
      <c r="BE3454" s="33" t="n">
        <f aca="false">AZ3454-BD3454</f>
        <v>0</v>
      </c>
      <c r="BF3454" s="34" t="n">
        <f aca="false">BD3454*M3454</f>
        <v>1185530.5</v>
      </c>
      <c r="BG3454" s="35" t="n">
        <f aca="false">BA3454-BF3454</f>
        <v>-0.500000000232831</v>
      </c>
      <c r="BH3454" s="19" t="str">
        <f aca="false">IF(BG3454=0,"",IF(BG3454&lt;&gt;BA3454,"erreur de calcul",IF(BD3454&lt;&gt;0,"pas de prix",IF(M3454&lt;&gt; 0,"pas de quantité","pas de prix, ni de quantité"))))</f>
        <v>erreur de calcul</v>
      </c>
      <c r="BI3454" s="19"/>
    </row>
    <row r="3455" customFormat="false" ht="15" hidden="false" customHeight="false" outlineLevel="0" collapsed="false">
      <c r="A3455" s="0" t="n">
        <v>6</v>
      </c>
      <c r="B3455" s="8" t="s">
        <v>24</v>
      </c>
      <c r="C3455" s="9" t="s">
        <v>25</v>
      </c>
      <c r="D3455" s="9" t="s">
        <v>26</v>
      </c>
      <c r="E3455" s="10" t="n">
        <v>1789</v>
      </c>
      <c r="F3455" s="9" t="s">
        <v>27</v>
      </c>
      <c r="G3455" s="9" t="s">
        <v>27</v>
      </c>
      <c r="H3455" s="11" t="n">
        <v>26</v>
      </c>
      <c r="I3455" s="11" t="s">
        <v>377</v>
      </c>
      <c r="J3455" s="14"/>
      <c r="K3455" s="14"/>
      <c r="L3455" s="16"/>
      <c r="M3455" s="27" t="n">
        <f aca="false">J3455+(K3455/20)+(L3455/240)</f>
        <v>0</v>
      </c>
      <c r="N3455" s="17"/>
      <c r="O3455" s="11"/>
      <c r="P3455" s="28"/>
      <c r="Q3455" s="28" t="n">
        <f aca="false">P3455*$M3455</f>
        <v>0</v>
      </c>
      <c r="R3455" s="28"/>
      <c r="S3455" s="28" t="n">
        <f aca="false">R3455*$M3455</f>
        <v>0</v>
      </c>
      <c r="T3455" s="28"/>
      <c r="U3455" s="28" t="n">
        <v>517</v>
      </c>
      <c r="V3455" s="28"/>
      <c r="W3455" s="28" t="n">
        <v>1243</v>
      </c>
      <c r="X3455" s="28"/>
      <c r="Y3455" s="28" t="n">
        <f aca="false">X3455*$M3455</f>
        <v>0</v>
      </c>
      <c r="Z3455" s="28"/>
      <c r="AA3455" s="28" t="n">
        <f aca="false">Z3455*$M3455</f>
        <v>0</v>
      </c>
      <c r="AB3455" s="28"/>
      <c r="AC3455" s="28" t="n">
        <v>694</v>
      </c>
      <c r="AD3455" s="28"/>
      <c r="AE3455" s="28" t="n">
        <f aca="false">AD3455*$M3455</f>
        <v>0</v>
      </c>
      <c r="AF3455" s="28"/>
      <c r="AG3455" s="28" t="n">
        <f aca="false">AF3455*$M3455</f>
        <v>0</v>
      </c>
      <c r="AH3455" s="28"/>
      <c r="AI3455" s="28" t="n">
        <f aca="false">AH3455*$M3455</f>
        <v>0</v>
      </c>
      <c r="AJ3455" s="28"/>
      <c r="AK3455" s="28" t="n">
        <v>664</v>
      </c>
      <c r="AL3455" s="28"/>
      <c r="AM3455" s="28" t="n">
        <v>161</v>
      </c>
      <c r="AN3455" s="28"/>
      <c r="AO3455" s="28" t="n">
        <f aca="false">AN3455*$M3455</f>
        <v>0</v>
      </c>
      <c r="AP3455" s="28"/>
      <c r="AQ3455" s="28" t="n">
        <f aca="false">AP3455*$M3455</f>
        <v>0</v>
      </c>
      <c r="AR3455" s="28"/>
      <c r="AS3455" s="28" t="n">
        <f aca="false">AR3455*$M3455</f>
        <v>0</v>
      </c>
      <c r="AT3455" s="28"/>
      <c r="AU3455" s="28" t="n">
        <f aca="false">AT3455*$M3455</f>
        <v>0</v>
      </c>
      <c r="AV3455" s="28"/>
      <c r="AW3455" s="28" t="n">
        <f aca="false">AV3455*$M3455</f>
        <v>0</v>
      </c>
      <c r="AX3455" s="28"/>
      <c r="AY3455" s="28" t="n">
        <f aca="false">AX3455*$M3455</f>
        <v>0</v>
      </c>
      <c r="AZ3455" s="30"/>
      <c r="BA3455" s="11" t="n">
        <v>3279</v>
      </c>
      <c r="BB3455" s="31" t="n">
        <f aca="false">SUM(Q3455,S3455,U3455,W3455,Y3455,AA3455,AC3455,AE3455,AG3455,AI3455,AK3455,AM3455,AO3455,AQ3455,AS3455,AU3455,AW3455,AY3455)</f>
        <v>3279</v>
      </c>
      <c r="BC3455" s="28" t="n">
        <f aca="false">BA3455-BB3455</f>
        <v>0</v>
      </c>
      <c r="BD3455" s="32" t="n">
        <f aca="false">SUM(P3455,R3455,T3455,V3455,X3455,Z3455,AB3455,AD3455,AF3455,AH3455,AJ3455,AL3455,AN3455,AP3455,AR3455,AT3455,AV3455,AX3455)</f>
        <v>0</v>
      </c>
      <c r="BE3455" s="33" t="n">
        <f aca="false">AZ3455-BD3455</f>
        <v>0</v>
      </c>
      <c r="BF3455" s="34" t="n">
        <f aca="false">BD3455*M3455</f>
        <v>0</v>
      </c>
      <c r="BG3455" s="35" t="n">
        <f aca="false">BA3455-BF3455</f>
        <v>3279</v>
      </c>
      <c r="BH3455" s="19" t="str">
        <f aca="false">IF(BG3455=0,"",IF(BG3455&lt;&gt;BA3455,"erreur de calcul",IF(BD3455&lt;&gt;0,"pas de prix",IF(M3455&lt;&gt; 0,"pas de quantité","pas de prix, ni de quantité"))))</f>
        <v>pas de prix, ni de quantité</v>
      </c>
      <c r="BI3455" s="19"/>
    </row>
    <row r="3456" customFormat="false" ht="15" hidden="false" customHeight="false" outlineLevel="0" collapsed="false">
      <c r="A3456" s="0" t="n">
        <v>7</v>
      </c>
      <c r="B3456" s="8" t="s">
        <v>24</v>
      </c>
      <c r="C3456" s="9" t="s">
        <v>25</v>
      </c>
      <c r="D3456" s="9" t="s">
        <v>26</v>
      </c>
      <c r="E3456" s="10" t="n">
        <v>1789</v>
      </c>
      <c r="F3456" s="9" t="s">
        <v>27</v>
      </c>
      <c r="G3456" s="9" t="s">
        <v>27</v>
      </c>
      <c r="H3456" s="11" t="n">
        <v>26</v>
      </c>
      <c r="I3456" s="11" t="s">
        <v>378</v>
      </c>
      <c r="J3456" s="14" t="n">
        <v>27</v>
      </c>
      <c r="K3456" s="14"/>
      <c r="L3456" s="16"/>
      <c r="M3456" s="27" t="n">
        <f aca="false">J3456+(K3456/20)+(L3456/240)</f>
        <v>27</v>
      </c>
      <c r="N3456" s="17" t="s">
        <v>379</v>
      </c>
      <c r="O3456" s="11" t="s">
        <v>98</v>
      </c>
      <c r="P3456" s="28"/>
      <c r="Q3456" s="28" t="n">
        <f aca="false">P3456*$M3456</f>
        <v>0</v>
      </c>
      <c r="R3456" s="28"/>
      <c r="S3456" s="28" t="n">
        <f aca="false">R3456*$M3456</f>
        <v>0</v>
      </c>
      <c r="T3456" s="28"/>
      <c r="U3456" s="28" t="n">
        <f aca="false">T3456*$M3456</f>
        <v>0</v>
      </c>
      <c r="V3456" s="28"/>
      <c r="W3456" s="28" t="n">
        <f aca="false">V3456*$M3456</f>
        <v>0</v>
      </c>
      <c r="X3456" s="28"/>
      <c r="Y3456" s="28" t="n">
        <f aca="false">X3456*$M3456</f>
        <v>0</v>
      </c>
      <c r="Z3456" s="28"/>
      <c r="AA3456" s="28" t="n">
        <f aca="false">Z3456*$M3456</f>
        <v>0</v>
      </c>
      <c r="AB3456" s="28"/>
      <c r="AC3456" s="28" t="n">
        <f aca="false">AB3456*$M3456</f>
        <v>0</v>
      </c>
      <c r="AD3456" s="28"/>
      <c r="AE3456" s="28" t="n">
        <f aca="false">AD3456*$M3456</f>
        <v>0</v>
      </c>
      <c r="AF3456" s="28"/>
      <c r="AG3456" s="28" t="n">
        <f aca="false">AF3456*$M3456</f>
        <v>0</v>
      </c>
      <c r="AH3456" s="28"/>
      <c r="AI3456" s="28" t="n">
        <f aca="false">AH3456*$M3456</f>
        <v>0</v>
      </c>
      <c r="AJ3456" s="28"/>
      <c r="AK3456" s="28" t="n">
        <f aca="false">AJ3456*$M3456</f>
        <v>0</v>
      </c>
      <c r="AL3456" s="28"/>
      <c r="AM3456" s="28" t="n">
        <f aca="false">AL3456*$M3456</f>
        <v>0</v>
      </c>
      <c r="AN3456" s="28"/>
      <c r="AO3456" s="28" t="n">
        <f aca="false">AN3456*$M3456</f>
        <v>0</v>
      </c>
      <c r="AP3456" s="28"/>
      <c r="AQ3456" s="28" t="n">
        <f aca="false">AP3456*$M3456</f>
        <v>0</v>
      </c>
      <c r="AR3456" s="28"/>
      <c r="AS3456" s="28" t="n">
        <f aca="false">AR3456*$M3456</f>
        <v>0</v>
      </c>
      <c r="AT3456" s="28"/>
      <c r="AU3456" s="28" t="n">
        <f aca="false">AT3456*$M3456</f>
        <v>0</v>
      </c>
      <c r="AV3456" s="28"/>
      <c r="AW3456" s="28" t="n">
        <f aca="false">AV3456*$M3456</f>
        <v>0</v>
      </c>
      <c r="AX3456" s="28"/>
      <c r="AY3456" s="28" t="n">
        <f aca="false">AX3456*$M3456</f>
        <v>0</v>
      </c>
      <c r="AZ3456" s="30"/>
      <c r="BA3456" s="11"/>
      <c r="BB3456" s="31" t="n">
        <f aca="false">SUM(Q3456,S3456,U3456,W3456,Y3456,AA3456,AC3456,AE3456,AG3456,AI3456,AK3456,AM3456,AO3456,AQ3456,AS3456,AU3456,AW3456,AY3456)</f>
        <v>0</v>
      </c>
      <c r="BC3456" s="28" t="n">
        <f aca="false">BA3456-BB3456</f>
        <v>0</v>
      </c>
      <c r="BD3456" s="32" t="n">
        <f aca="false">SUM(P3456,R3456,T3456,V3456,X3456,Z3456,AB3456,AD3456,AF3456,AH3456,AJ3456,AL3456,AN3456,AP3456,AR3456,AT3456,AV3456,AX3456)</f>
        <v>0</v>
      </c>
      <c r="BE3456" s="33" t="n">
        <f aca="false">AZ3456-BD3456</f>
        <v>0</v>
      </c>
      <c r="BF3456" s="34" t="n">
        <f aca="false">BD3456*M3456</f>
        <v>0</v>
      </c>
      <c r="BG3456" s="35" t="n">
        <f aca="false">BA3456-BF3456</f>
        <v>0</v>
      </c>
      <c r="BH3456" s="19" t="str">
        <f aca="false">IF(BG3456=0,"",IF(BG3456&lt;&gt;BA3456,"erreur de calcul",IF(BD3456&lt;&gt;0,"pas de prix",IF(M3456&lt;&gt; 0,"pas de quantité","pas de prix, ni de quantité"))))</f>
        <v/>
      </c>
      <c r="BI3456" s="19"/>
    </row>
    <row r="3457" customFormat="false" ht="15" hidden="false" customHeight="false" outlineLevel="0" collapsed="false">
      <c r="A3457" s="0" t="n">
        <v>8</v>
      </c>
      <c r="B3457" s="8" t="s">
        <v>24</v>
      </c>
      <c r="C3457" s="9" t="s">
        <v>25</v>
      </c>
      <c r="D3457" s="9" t="s">
        <v>26</v>
      </c>
      <c r="E3457" s="10" t="n">
        <v>1789</v>
      </c>
      <c r="F3457" s="9" t="s">
        <v>27</v>
      </c>
      <c r="G3457" s="9" t="s">
        <v>27</v>
      </c>
      <c r="H3457" s="11" t="n">
        <v>26</v>
      </c>
      <c r="I3457" s="11" t="s">
        <v>380</v>
      </c>
      <c r="J3457" s="14" t="n">
        <v>30</v>
      </c>
      <c r="K3457" s="14"/>
      <c r="L3457" s="16"/>
      <c r="M3457" s="27" t="n">
        <f aca="false">J3457+(K3457/20)+(L3457/240)</f>
        <v>30</v>
      </c>
      <c r="N3457" s="17" t="s">
        <v>64</v>
      </c>
      <c r="O3457" s="11"/>
      <c r="P3457" s="28"/>
      <c r="Q3457" s="28" t="n">
        <f aca="false">P3457*$M3457</f>
        <v>0</v>
      </c>
      <c r="R3457" s="28"/>
      <c r="S3457" s="28" t="n">
        <f aca="false">R3457*$M3457</f>
        <v>0</v>
      </c>
      <c r="T3457" s="28"/>
      <c r="U3457" s="28" t="n">
        <f aca="false">T3457*$M3457</f>
        <v>0</v>
      </c>
      <c r="V3457" s="28"/>
      <c r="W3457" s="28" t="n">
        <f aca="false">V3457*$M3457</f>
        <v>0</v>
      </c>
      <c r="X3457" s="28"/>
      <c r="Y3457" s="28" t="n">
        <f aca="false">X3457*$M3457</f>
        <v>0</v>
      </c>
      <c r="Z3457" s="28"/>
      <c r="AA3457" s="28" t="n">
        <f aca="false">Z3457*$M3457</f>
        <v>0</v>
      </c>
      <c r="AB3457" s="28"/>
      <c r="AC3457" s="28" t="n">
        <f aca="false">AB3457*$M3457</f>
        <v>0</v>
      </c>
      <c r="AD3457" s="28"/>
      <c r="AE3457" s="28" t="n">
        <f aca="false">AD3457*$M3457</f>
        <v>0</v>
      </c>
      <c r="AF3457" s="28"/>
      <c r="AG3457" s="28" t="n">
        <f aca="false">AF3457*$M3457</f>
        <v>0</v>
      </c>
      <c r="AH3457" s="28"/>
      <c r="AI3457" s="28" t="n">
        <f aca="false">AH3457*$M3457</f>
        <v>0</v>
      </c>
      <c r="AJ3457" s="28"/>
      <c r="AK3457" s="28" t="n">
        <f aca="false">AJ3457*$M3457</f>
        <v>0</v>
      </c>
      <c r="AL3457" s="28"/>
      <c r="AM3457" s="28" t="n">
        <f aca="false">AL3457*$M3457</f>
        <v>0</v>
      </c>
      <c r="AN3457" s="28"/>
      <c r="AO3457" s="28" t="n">
        <f aca="false">AN3457*$M3457</f>
        <v>0</v>
      </c>
      <c r="AP3457" s="28"/>
      <c r="AQ3457" s="28" t="n">
        <f aca="false">AP3457*$M3457</f>
        <v>0</v>
      </c>
      <c r="AR3457" s="28"/>
      <c r="AS3457" s="28" t="n">
        <f aca="false">AR3457*$M3457</f>
        <v>0</v>
      </c>
      <c r="AT3457" s="28"/>
      <c r="AU3457" s="28" t="n">
        <f aca="false">AT3457*$M3457</f>
        <v>0</v>
      </c>
      <c r="AV3457" s="28" t="n">
        <f aca="false">5417/100</f>
        <v>54.17</v>
      </c>
      <c r="AW3457" s="28" t="n">
        <v>1625</v>
      </c>
      <c r="AX3457" s="28"/>
      <c r="AY3457" s="28" t="n">
        <f aca="false">AX3457*$M3457</f>
        <v>0</v>
      </c>
      <c r="AZ3457" s="30"/>
      <c r="BA3457" s="11" t="n">
        <v>1625</v>
      </c>
      <c r="BB3457" s="31" t="n">
        <f aca="false">SUM(Q3457,S3457,U3457,W3457,Y3457,AA3457,AC3457,AE3457,AG3457,AI3457,AK3457,AM3457,AO3457,AQ3457,AS3457,AU3457,AW3457,AY3457)</f>
        <v>1625</v>
      </c>
      <c r="BC3457" s="28" t="n">
        <f aca="false">BA3457-BB3457</f>
        <v>0</v>
      </c>
      <c r="BD3457" s="32" t="n">
        <f aca="false">SUM(P3457,R3457,T3457,V3457,X3457,Z3457,AB3457,AD3457,AF3457,AH3457,AJ3457,AL3457,AN3457,AP3457,AR3457,AT3457,AV3457,AX3457)</f>
        <v>54.17</v>
      </c>
      <c r="BE3457" s="33" t="n">
        <f aca="false">AZ3457-BD3457</f>
        <v>-54.17</v>
      </c>
      <c r="BF3457" s="34" t="n">
        <f aca="false">BD3457*M3457</f>
        <v>1625.1</v>
      </c>
      <c r="BG3457" s="35" t="n">
        <f aca="false">BA3457-BF3457</f>
        <v>-0.100000000000136</v>
      </c>
      <c r="BH3457" s="19" t="str">
        <f aca="false">IF(BG3457=0,"",IF(BG3457&lt;&gt;BA3457,"erreur de calcul",IF(BD3457&lt;&gt;0,"pas de prix",IF(M3457&lt;&gt; 0,"pas de quantité","pas de prix, ni de quantité"))))</f>
        <v>erreur de calcul</v>
      </c>
      <c r="BI3457" s="19"/>
    </row>
    <row r="3458" customFormat="false" ht="15" hidden="false" customHeight="false" outlineLevel="0" collapsed="false">
      <c r="A3458" s="0" t="n">
        <v>9</v>
      </c>
      <c r="B3458" s="8" t="s">
        <v>24</v>
      </c>
      <c r="C3458" s="9" t="s">
        <v>25</v>
      </c>
      <c r="D3458" s="9" t="s">
        <v>26</v>
      </c>
      <c r="E3458" s="10" t="n">
        <v>1789</v>
      </c>
      <c r="F3458" s="9" t="s">
        <v>27</v>
      </c>
      <c r="G3458" s="9" t="s">
        <v>27</v>
      </c>
      <c r="H3458" s="11" t="n">
        <v>26</v>
      </c>
      <c r="I3458" s="11" t="s">
        <v>381</v>
      </c>
      <c r="J3458" s="14" t="n">
        <v>6</v>
      </c>
      <c r="K3458" s="14"/>
      <c r="L3458" s="16"/>
      <c r="M3458" s="27" t="n">
        <f aca="false">J3458+(K3458/20)+(L3458/240)</f>
        <v>6</v>
      </c>
      <c r="N3458" s="17" t="s">
        <v>379</v>
      </c>
      <c r="O3458" s="11" t="s">
        <v>98</v>
      </c>
      <c r="P3458" s="28"/>
      <c r="Q3458" s="28" t="n">
        <f aca="false">P3458*$M3458</f>
        <v>0</v>
      </c>
      <c r="R3458" s="28"/>
      <c r="S3458" s="28" t="n">
        <f aca="false">R3458*$M3458</f>
        <v>0</v>
      </c>
      <c r="T3458" s="28"/>
      <c r="U3458" s="28" t="n">
        <f aca="false">T3458*$M3458</f>
        <v>0</v>
      </c>
      <c r="V3458" s="28"/>
      <c r="W3458" s="28" t="n">
        <f aca="false">V3458*$M3458</f>
        <v>0</v>
      </c>
      <c r="X3458" s="28"/>
      <c r="Y3458" s="28" t="n">
        <f aca="false">X3458*$M3458</f>
        <v>0</v>
      </c>
      <c r="Z3458" s="28"/>
      <c r="AA3458" s="28" t="n">
        <f aca="false">Z3458*$M3458</f>
        <v>0</v>
      </c>
      <c r="AB3458" s="28"/>
      <c r="AC3458" s="28" t="n">
        <f aca="false">AB3458*$M3458</f>
        <v>0</v>
      </c>
      <c r="AD3458" s="28"/>
      <c r="AE3458" s="28" t="n">
        <f aca="false">AD3458*$M3458</f>
        <v>0</v>
      </c>
      <c r="AF3458" s="28"/>
      <c r="AG3458" s="28" t="n">
        <f aca="false">AF3458*$M3458</f>
        <v>0</v>
      </c>
      <c r="AH3458" s="28"/>
      <c r="AI3458" s="28" t="n">
        <f aca="false">AH3458*$M3458</f>
        <v>0</v>
      </c>
      <c r="AJ3458" s="28"/>
      <c r="AK3458" s="28" t="n">
        <f aca="false">AJ3458*$M3458</f>
        <v>0</v>
      </c>
      <c r="AL3458" s="28"/>
      <c r="AM3458" s="28" t="n">
        <f aca="false">AL3458*$M3458</f>
        <v>0</v>
      </c>
      <c r="AN3458" s="28"/>
      <c r="AO3458" s="28" t="n">
        <f aca="false">AN3458*$M3458</f>
        <v>0</v>
      </c>
      <c r="AP3458" s="28"/>
      <c r="AQ3458" s="28" t="n">
        <f aca="false">AP3458*$M3458</f>
        <v>0</v>
      </c>
      <c r="AR3458" s="28"/>
      <c r="AS3458" s="28" t="n">
        <f aca="false">AR3458*$M3458</f>
        <v>0</v>
      </c>
      <c r="AT3458" s="28"/>
      <c r="AU3458" s="28" t="n">
        <f aca="false">AT3458*$M3458</f>
        <v>0</v>
      </c>
      <c r="AV3458" s="28"/>
      <c r="AW3458" s="28" t="n">
        <f aca="false">AV3458*$M3458</f>
        <v>0</v>
      </c>
      <c r="AX3458" s="28"/>
      <c r="AY3458" s="28" t="n">
        <f aca="false">AX3458*$M3458</f>
        <v>0</v>
      </c>
      <c r="AZ3458" s="30"/>
      <c r="BA3458" s="11"/>
      <c r="BB3458" s="31" t="n">
        <f aca="false">SUM(Q3458,S3458,U3458,W3458,Y3458,AA3458,AC3458,AE3458,AG3458,AI3458,AK3458,AM3458,AO3458,AQ3458,AS3458,AU3458,AW3458,AY3458)</f>
        <v>0</v>
      </c>
      <c r="BC3458" s="28" t="n">
        <f aca="false">BA3458-BB3458</f>
        <v>0</v>
      </c>
      <c r="BD3458" s="32" t="n">
        <f aca="false">SUM(P3458,R3458,T3458,V3458,X3458,Z3458,AB3458,AD3458,AF3458,AH3458,AJ3458,AL3458,AN3458,AP3458,AR3458,AT3458,AV3458,AX3458)</f>
        <v>0</v>
      </c>
      <c r="BE3458" s="33" t="n">
        <f aca="false">AZ3458-BD3458</f>
        <v>0</v>
      </c>
      <c r="BF3458" s="34" t="n">
        <f aca="false">BD3458*M3458</f>
        <v>0</v>
      </c>
      <c r="BG3458" s="35" t="n">
        <f aca="false">BA3458-BF3458</f>
        <v>0</v>
      </c>
      <c r="BH3458" s="19" t="str">
        <f aca="false">IF(BG3458=0,"",IF(BG3458&lt;&gt;BA3458,"erreur de calcul",IF(BD3458&lt;&gt;0,"pas de prix",IF(M3458&lt;&gt; 0,"pas de quantité","pas de prix, ni de quantité"))))</f>
        <v/>
      </c>
      <c r="BI3458" s="19"/>
    </row>
    <row r="3459" customFormat="false" ht="15" hidden="false" customHeight="false" outlineLevel="0" collapsed="false">
      <c r="A3459" s="0" t="n">
        <v>10</v>
      </c>
      <c r="B3459" s="8" t="s">
        <v>24</v>
      </c>
      <c r="C3459" s="9" t="s">
        <v>25</v>
      </c>
      <c r="D3459" s="9" t="s">
        <v>26</v>
      </c>
      <c r="E3459" s="10" t="n">
        <v>1789</v>
      </c>
      <c r="F3459" s="9" t="s">
        <v>27</v>
      </c>
      <c r="G3459" s="9" t="s">
        <v>27</v>
      </c>
      <c r="H3459" s="11" t="n">
        <v>26</v>
      </c>
      <c r="I3459" s="11" t="s">
        <v>381</v>
      </c>
      <c r="J3459" s="14" t="n">
        <v>40</v>
      </c>
      <c r="K3459" s="14"/>
      <c r="L3459" s="16"/>
      <c r="M3459" s="27" t="n">
        <f aca="false">J3459+(K3459/20)+(L3459/240)</f>
        <v>40</v>
      </c>
      <c r="N3459" s="17" t="s">
        <v>382</v>
      </c>
      <c r="O3459" s="11" t="s">
        <v>98</v>
      </c>
      <c r="P3459" s="28"/>
      <c r="Q3459" s="28" t="n">
        <f aca="false">P3459*$M3459</f>
        <v>0</v>
      </c>
      <c r="R3459" s="28"/>
      <c r="S3459" s="28" t="n">
        <f aca="false">R3459*$M3459</f>
        <v>0</v>
      </c>
      <c r="T3459" s="28"/>
      <c r="U3459" s="28" t="n">
        <f aca="false">T3459*$M3459</f>
        <v>0</v>
      </c>
      <c r="V3459" s="28"/>
      <c r="W3459" s="28" t="n">
        <f aca="false">V3459*$M3459</f>
        <v>0</v>
      </c>
      <c r="X3459" s="28"/>
      <c r="Y3459" s="28" t="n">
        <f aca="false">X3459*$M3459</f>
        <v>0</v>
      </c>
      <c r="Z3459" s="28"/>
      <c r="AA3459" s="28" t="n">
        <f aca="false">Z3459*$M3459</f>
        <v>0</v>
      </c>
      <c r="AB3459" s="28"/>
      <c r="AC3459" s="28" t="n">
        <f aca="false">AB3459*$M3459</f>
        <v>0</v>
      </c>
      <c r="AD3459" s="28"/>
      <c r="AE3459" s="28" t="n">
        <f aca="false">AD3459*$M3459</f>
        <v>0</v>
      </c>
      <c r="AF3459" s="28"/>
      <c r="AG3459" s="28" t="n">
        <f aca="false">AF3459*$M3459</f>
        <v>0</v>
      </c>
      <c r="AH3459" s="28"/>
      <c r="AI3459" s="28" t="n">
        <f aca="false">AH3459*$M3459</f>
        <v>0</v>
      </c>
      <c r="AJ3459" s="28"/>
      <c r="AK3459" s="28" t="n">
        <f aca="false">AJ3459*$M3459</f>
        <v>0</v>
      </c>
      <c r="AL3459" s="28"/>
      <c r="AM3459" s="28" t="n">
        <f aca="false">AL3459*$M3459</f>
        <v>0</v>
      </c>
      <c r="AN3459" s="28"/>
      <c r="AO3459" s="28" t="n">
        <f aca="false">AN3459*$M3459</f>
        <v>0</v>
      </c>
      <c r="AP3459" s="28"/>
      <c r="AQ3459" s="28" t="n">
        <f aca="false">AP3459*$M3459</f>
        <v>0</v>
      </c>
      <c r="AR3459" s="28"/>
      <c r="AS3459" s="28" t="n">
        <f aca="false">AR3459*$M3459</f>
        <v>0</v>
      </c>
      <c r="AT3459" s="28"/>
      <c r="AU3459" s="28" t="n">
        <f aca="false">AT3459*$M3459</f>
        <v>0</v>
      </c>
      <c r="AV3459" s="28"/>
      <c r="AW3459" s="28" t="n">
        <f aca="false">AV3459*$M3459</f>
        <v>0</v>
      </c>
      <c r="AX3459" s="28"/>
      <c r="AY3459" s="28" t="n">
        <f aca="false">AX3459*$M3459</f>
        <v>0</v>
      </c>
      <c r="AZ3459" s="30"/>
      <c r="BA3459" s="11"/>
      <c r="BB3459" s="31" t="n">
        <f aca="false">SUM(Q3459,S3459,U3459,W3459,Y3459,AA3459,AC3459,AE3459,AG3459,AI3459,AK3459,AM3459,AO3459,AQ3459,AS3459,AU3459,AW3459,AY3459)</f>
        <v>0</v>
      </c>
      <c r="BC3459" s="28" t="n">
        <f aca="false">BA3459-BB3459</f>
        <v>0</v>
      </c>
      <c r="BD3459" s="32" t="n">
        <f aca="false">SUM(P3459,R3459,T3459,V3459,X3459,Z3459,AB3459,AD3459,AF3459,AH3459,AJ3459,AL3459,AN3459,AP3459,AR3459,AT3459,AV3459,AX3459)</f>
        <v>0</v>
      </c>
      <c r="BE3459" s="33" t="n">
        <f aca="false">AZ3459-BD3459</f>
        <v>0</v>
      </c>
      <c r="BF3459" s="34" t="n">
        <f aca="false">BD3459*M3459</f>
        <v>0</v>
      </c>
      <c r="BG3459" s="35" t="n">
        <f aca="false">BA3459-BF3459</f>
        <v>0</v>
      </c>
      <c r="BH3459" s="19" t="str">
        <f aca="false">IF(BG3459=0,"",IF(BG3459&lt;&gt;BA3459,"erreur de calcul",IF(BD3459&lt;&gt;0,"pas de prix",IF(M3459&lt;&gt; 0,"pas de quantité","pas de prix, ni de quantité"))))</f>
        <v/>
      </c>
      <c r="BI3459" s="19"/>
    </row>
    <row r="3460" customFormat="false" ht="15" hidden="false" customHeight="false" outlineLevel="0" collapsed="false">
      <c r="A3460" s="0" t="n">
        <v>11</v>
      </c>
      <c r="B3460" s="8" t="s">
        <v>24</v>
      </c>
      <c r="C3460" s="9" t="s">
        <v>25</v>
      </c>
      <c r="D3460" s="9" t="s">
        <v>26</v>
      </c>
      <c r="E3460" s="10" t="n">
        <v>1789</v>
      </c>
      <c r="F3460" s="9" t="s">
        <v>27</v>
      </c>
      <c r="G3460" s="9" t="s">
        <v>27</v>
      </c>
      <c r="H3460" s="11" t="n">
        <v>26</v>
      </c>
      <c r="I3460" s="11" t="s">
        <v>383</v>
      </c>
      <c r="J3460" s="14" t="n">
        <v>50</v>
      </c>
      <c r="K3460" s="14"/>
      <c r="L3460" s="16"/>
      <c r="M3460" s="27" t="n">
        <f aca="false">J3460+(K3460/20)+(L3460/240)</f>
        <v>50</v>
      </c>
      <c r="N3460" s="17" t="s">
        <v>64</v>
      </c>
      <c r="O3460" s="11"/>
      <c r="P3460" s="28" t="n">
        <f aca="false">54967/100</f>
        <v>549.67</v>
      </c>
      <c r="Q3460" s="28" t="n">
        <v>27483</v>
      </c>
      <c r="R3460" s="28"/>
      <c r="S3460" s="28" t="n">
        <f aca="false">R3460*$M3460</f>
        <v>0</v>
      </c>
      <c r="T3460" s="28" t="n">
        <f aca="false">74693/100</f>
        <v>746.93</v>
      </c>
      <c r="U3460" s="28" t="n">
        <v>37346</v>
      </c>
      <c r="V3460" s="28" t="n">
        <f aca="false">161729/100</f>
        <v>1617.29</v>
      </c>
      <c r="W3460" s="28" t="n">
        <v>80864</v>
      </c>
      <c r="X3460" s="28" t="n">
        <f aca="false">106689/100</f>
        <v>1066.89</v>
      </c>
      <c r="Y3460" s="28" t="n">
        <v>53344</v>
      </c>
      <c r="Z3460" s="28"/>
      <c r="AA3460" s="28" t="n">
        <f aca="false">Z3460*$M3460</f>
        <v>0</v>
      </c>
      <c r="AB3460" s="28"/>
      <c r="AC3460" s="28" t="n">
        <f aca="false">AB3460*$M3460</f>
        <v>0</v>
      </c>
      <c r="AD3460" s="28"/>
      <c r="AE3460" s="28" t="n">
        <f aca="false">AD3460*$M3460</f>
        <v>0</v>
      </c>
      <c r="AF3460" s="28"/>
      <c r="AG3460" s="28" t="n">
        <f aca="false">AF3460*$M3460</f>
        <v>0</v>
      </c>
      <c r="AH3460" s="28"/>
      <c r="AI3460" s="28" t="n">
        <f aca="false">AH3460*$M3460</f>
        <v>0</v>
      </c>
      <c r="AJ3460" s="28"/>
      <c r="AK3460" s="28" t="n">
        <f aca="false">AJ3460*$M3460</f>
        <v>0</v>
      </c>
      <c r="AL3460" s="28"/>
      <c r="AM3460" s="28" t="n">
        <f aca="false">AL3460*$M3460</f>
        <v>0</v>
      </c>
      <c r="AN3460" s="28"/>
      <c r="AO3460" s="28" t="n">
        <f aca="false">AN3460*$M3460</f>
        <v>0</v>
      </c>
      <c r="AP3460" s="28"/>
      <c r="AQ3460" s="28" t="n">
        <f aca="false">AP3460*$M3460</f>
        <v>0</v>
      </c>
      <c r="AR3460" s="28"/>
      <c r="AS3460" s="28" t="n">
        <f aca="false">AR3460*$M3460</f>
        <v>0</v>
      </c>
      <c r="AT3460" s="28"/>
      <c r="AU3460" s="28" t="n">
        <f aca="false">AT3460*$M3460</f>
        <v>0</v>
      </c>
      <c r="AV3460" s="28"/>
      <c r="AW3460" s="28" t="n">
        <f aca="false">AV3460*$M3460</f>
        <v>0</v>
      </c>
      <c r="AX3460" s="28"/>
      <c r="AY3460" s="28" t="n">
        <f aca="false">AX3460*$M3460</f>
        <v>0</v>
      </c>
      <c r="AZ3460" s="30" t="n">
        <f aca="false">398078/100</f>
        <v>3980.78</v>
      </c>
      <c r="BA3460" s="11" t="n">
        <v>199037</v>
      </c>
      <c r="BB3460" s="31" t="n">
        <f aca="false">SUM(Q3460,S3460,U3460,W3460,Y3460,AA3460,AC3460,AE3460,AG3460,AI3460,AK3460,AM3460,AO3460,AQ3460,AS3460,AU3460,AW3460,AY3460)</f>
        <v>199037</v>
      </c>
      <c r="BC3460" s="28" t="n">
        <f aca="false">BA3460-BB3460</f>
        <v>0</v>
      </c>
      <c r="BD3460" s="32" t="n">
        <f aca="false">SUM(P3460,R3460,T3460,V3460,X3460,Z3460,AB3460,AD3460,AF3460,AH3460,AJ3460,AL3460,AN3460,AP3460,AR3460,AT3460,AV3460,AX3460)</f>
        <v>3980.78</v>
      </c>
      <c r="BE3460" s="33" t="n">
        <f aca="false">AZ3460-BD3460</f>
        <v>0</v>
      </c>
      <c r="BF3460" s="34" t="n">
        <f aca="false">BD3460*M3460</f>
        <v>199039</v>
      </c>
      <c r="BG3460" s="35" t="n">
        <f aca="false">BA3460-BF3460</f>
        <v>-2</v>
      </c>
      <c r="BH3460" s="19" t="str">
        <f aca="false">IF(BG3460=0,"",IF(BG3460&lt;&gt;BA3460,"erreur de calcul",IF(BD3460&lt;&gt;0,"pas de prix",IF(M3460&lt;&gt; 0,"pas de quantité","pas de prix, ni de quantité"))))</f>
        <v>erreur de calcul</v>
      </c>
      <c r="BI3460" s="19"/>
    </row>
    <row r="3461" customFormat="false" ht="15" hidden="false" customHeight="false" outlineLevel="0" collapsed="false">
      <c r="A3461" s="0" t="n">
        <v>12</v>
      </c>
      <c r="B3461" s="8" t="s">
        <v>24</v>
      </c>
      <c r="C3461" s="9" t="s">
        <v>25</v>
      </c>
      <c r="D3461" s="9" t="s">
        <v>26</v>
      </c>
      <c r="E3461" s="10" t="n">
        <v>1789</v>
      </c>
      <c r="F3461" s="9" t="s">
        <v>27</v>
      </c>
      <c r="G3461" s="9" t="s">
        <v>27</v>
      </c>
      <c r="H3461" s="11" t="n">
        <v>26</v>
      </c>
      <c r="I3461" s="11" t="s">
        <v>384</v>
      </c>
      <c r="J3461" s="14" t="n">
        <v>27</v>
      </c>
      <c r="K3461" s="14"/>
      <c r="L3461" s="16"/>
      <c r="M3461" s="27" t="n">
        <f aca="false">J3461+(K3461/20)+(L3461/240)</f>
        <v>27</v>
      </c>
      <c r="N3461" s="17" t="s">
        <v>64</v>
      </c>
      <c r="O3461" s="11"/>
      <c r="P3461" s="28"/>
      <c r="Q3461" s="28" t="n">
        <f aca="false">P3461*$M3461</f>
        <v>0</v>
      </c>
      <c r="R3461" s="28"/>
      <c r="S3461" s="28" t="n">
        <f aca="false">R3461*$M3461</f>
        <v>0</v>
      </c>
      <c r="T3461" s="28"/>
      <c r="U3461" s="28" t="n">
        <f aca="false">T3461*$M3461</f>
        <v>0</v>
      </c>
      <c r="V3461" s="28"/>
      <c r="W3461" s="28" t="n">
        <f aca="false">V3461*$M3461</f>
        <v>0</v>
      </c>
      <c r="X3461" s="28" t="n">
        <f aca="false">13334/100</f>
        <v>133.34</v>
      </c>
      <c r="Y3461" s="28" t="n">
        <v>3600</v>
      </c>
      <c r="Z3461" s="28"/>
      <c r="AA3461" s="28" t="n">
        <f aca="false">Z3461*$M3461</f>
        <v>0</v>
      </c>
      <c r="AB3461" s="28"/>
      <c r="AC3461" s="28" t="n">
        <f aca="false">AB3461*$M3461</f>
        <v>0</v>
      </c>
      <c r="AD3461" s="28"/>
      <c r="AE3461" s="28" t="n">
        <f aca="false">AD3461*$M3461</f>
        <v>0</v>
      </c>
      <c r="AF3461" s="28"/>
      <c r="AG3461" s="28" t="n">
        <f aca="false">AF3461*$M3461</f>
        <v>0</v>
      </c>
      <c r="AH3461" s="28"/>
      <c r="AI3461" s="28" t="n">
        <f aca="false">AH3461*$M3461</f>
        <v>0</v>
      </c>
      <c r="AJ3461" s="28"/>
      <c r="AK3461" s="28" t="n">
        <f aca="false">AJ3461*$M3461</f>
        <v>0</v>
      </c>
      <c r="AL3461" s="28"/>
      <c r="AM3461" s="28" t="n">
        <f aca="false">AL3461*$M3461</f>
        <v>0</v>
      </c>
      <c r="AN3461" s="28"/>
      <c r="AO3461" s="28" t="n">
        <f aca="false">AN3461*$M3461</f>
        <v>0</v>
      </c>
      <c r="AP3461" s="28"/>
      <c r="AQ3461" s="28" t="n">
        <f aca="false">AP3461*$M3461</f>
        <v>0</v>
      </c>
      <c r="AR3461" s="28"/>
      <c r="AS3461" s="28" t="n">
        <f aca="false">AR3461*$M3461</f>
        <v>0</v>
      </c>
      <c r="AT3461" s="28"/>
      <c r="AU3461" s="28" t="n">
        <f aca="false">AT3461*$M3461</f>
        <v>0</v>
      </c>
      <c r="AV3461" s="28"/>
      <c r="AW3461" s="28" t="n">
        <f aca="false">AV3461*$M3461</f>
        <v>0</v>
      </c>
      <c r="AX3461" s="28"/>
      <c r="AY3461" s="28" t="n">
        <f aca="false">AX3461*$M3461</f>
        <v>0</v>
      </c>
      <c r="AZ3461" s="30" t="n">
        <f aca="false">13334/100</f>
        <v>133.34</v>
      </c>
      <c r="BA3461" s="11" t="n">
        <v>3600</v>
      </c>
      <c r="BB3461" s="31" t="n">
        <f aca="false">SUM(Q3461,S3461,U3461,W3461,Y3461,AA3461,AC3461,AE3461,AG3461,AI3461,AK3461,AM3461,AO3461,AQ3461,AS3461,AU3461,AW3461,AY3461)</f>
        <v>3600</v>
      </c>
      <c r="BC3461" s="28" t="n">
        <f aca="false">BA3461-BB3461</f>
        <v>0</v>
      </c>
      <c r="BD3461" s="32" t="n">
        <f aca="false">SUM(P3461,R3461,T3461,V3461,X3461,Z3461,AB3461,AD3461,AF3461,AH3461,AJ3461,AL3461,AN3461,AP3461,AR3461,AT3461,AV3461,AX3461)</f>
        <v>133.34</v>
      </c>
      <c r="BE3461" s="33" t="n">
        <f aca="false">AZ3461-BD3461</f>
        <v>0</v>
      </c>
      <c r="BF3461" s="34" t="n">
        <f aca="false">BD3461*M3461</f>
        <v>3600.18</v>
      </c>
      <c r="BG3461" s="35" t="n">
        <f aca="false">BA3461-BF3461</f>
        <v>-0.180000000000291</v>
      </c>
      <c r="BH3461" s="19" t="str">
        <f aca="false">IF(BG3461=0,"",IF(BG3461&lt;&gt;BA3461,"erreur de calcul",IF(BD3461&lt;&gt;0,"pas de prix",IF(M3461&lt;&gt; 0,"pas de quantité","pas de prix, ni de quantité"))))</f>
        <v>erreur de calcul</v>
      </c>
      <c r="BI3461" s="19"/>
    </row>
    <row r="3462" customFormat="false" ht="15" hidden="false" customHeight="false" outlineLevel="0" collapsed="false">
      <c r="A3462" s="0" t="n">
        <v>13</v>
      </c>
      <c r="B3462" s="8" t="s">
        <v>24</v>
      </c>
      <c r="C3462" s="9" t="s">
        <v>25</v>
      </c>
      <c r="D3462" s="9" t="s">
        <v>26</v>
      </c>
      <c r="E3462" s="10" t="n">
        <v>1789</v>
      </c>
      <c r="F3462" s="9" t="s">
        <v>27</v>
      </c>
      <c r="G3462" s="9" t="s">
        <v>27</v>
      </c>
      <c r="H3462" s="11" t="n">
        <v>26</v>
      </c>
      <c r="I3462" s="11" t="s">
        <v>385</v>
      </c>
      <c r="J3462" s="14" t="n">
        <v>40</v>
      </c>
      <c r="K3462" s="14"/>
      <c r="L3462" s="16"/>
      <c r="M3462" s="27" t="n">
        <f aca="false">J3462+(K3462/20)+(L3462/240)</f>
        <v>40</v>
      </c>
      <c r="N3462" s="17" t="s">
        <v>64</v>
      </c>
      <c r="O3462" s="11"/>
      <c r="P3462" s="28"/>
      <c r="Q3462" s="28" t="n">
        <f aca="false">P3462*$M3462</f>
        <v>0</v>
      </c>
      <c r="R3462" s="28"/>
      <c r="S3462" s="28" t="n">
        <f aca="false">R3462*$M3462</f>
        <v>0</v>
      </c>
      <c r="T3462" s="28" t="n">
        <f aca="false">13801/100</f>
        <v>138.01</v>
      </c>
      <c r="U3462" s="28" t="n">
        <v>5520</v>
      </c>
      <c r="V3462" s="28"/>
      <c r="W3462" s="28" t="n">
        <f aca="false">V3462*$M3462</f>
        <v>0</v>
      </c>
      <c r="X3462" s="28"/>
      <c r="Y3462" s="28" t="n">
        <f aca="false">X3462*$M3462</f>
        <v>0</v>
      </c>
      <c r="Z3462" s="28"/>
      <c r="AA3462" s="28" t="n">
        <f aca="false">Z3462*$M3462</f>
        <v>0</v>
      </c>
      <c r="AB3462" s="28"/>
      <c r="AC3462" s="28" t="n">
        <f aca="false">AB3462*$M3462</f>
        <v>0</v>
      </c>
      <c r="AD3462" s="28"/>
      <c r="AE3462" s="28" t="n">
        <f aca="false">AD3462*$M3462</f>
        <v>0</v>
      </c>
      <c r="AF3462" s="28"/>
      <c r="AG3462" s="28" t="n">
        <f aca="false">AF3462*$M3462</f>
        <v>0</v>
      </c>
      <c r="AH3462" s="28"/>
      <c r="AI3462" s="28" t="n">
        <f aca="false">AH3462*$M3462</f>
        <v>0</v>
      </c>
      <c r="AJ3462" s="28"/>
      <c r="AK3462" s="28" t="n">
        <f aca="false">AJ3462*$M3462</f>
        <v>0</v>
      </c>
      <c r="AL3462" s="28"/>
      <c r="AM3462" s="28" t="n">
        <f aca="false">AL3462*$M3462</f>
        <v>0</v>
      </c>
      <c r="AN3462" s="28"/>
      <c r="AO3462" s="28" t="n">
        <f aca="false">AN3462*$M3462</f>
        <v>0</v>
      </c>
      <c r="AP3462" s="28"/>
      <c r="AQ3462" s="28" t="n">
        <f aca="false">AP3462*$M3462</f>
        <v>0</v>
      </c>
      <c r="AR3462" s="28"/>
      <c r="AS3462" s="28" t="n">
        <f aca="false">AR3462*$M3462</f>
        <v>0</v>
      </c>
      <c r="AT3462" s="28"/>
      <c r="AU3462" s="28" t="n">
        <f aca="false">AT3462*$M3462</f>
        <v>0</v>
      </c>
      <c r="AV3462" s="28"/>
      <c r="AW3462" s="28" t="n">
        <f aca="false">AV3462*$M3462</f>
        <v>0</v>
      </c>
      <c r="AX3462" s="28"/>
      <c r="AY3462" s="28" t="n">
        <f aca="false">AX3462*$M3462</f>
        <v>0</v>
      </c>
      <c r="AZ3462" s="30" t="n">
        <f aca="false">13801/100</f>
        <v>138.01</v>
      </c>
      <c r="BA3462" s="11" t="n">
        <v>5520</v>
      </c>
      <c r="BB3462" s="31" t="n">
        <f aca="false">SUM(Q3462,S3462,U3462,W3462,Y3462,AA3462,AC3462,AE3462,AG3462,AI3462,AK3462,AM3462,AO3462,AQ3462,AS3462,AU3462,AW3462,AY3462)</f>
        <v>5520</v>
      </c>
      <c r="BC3462" s="28" t="n">
        <f aca="false">BA3462-BB3462</f>
        <v>0</v>
      </c>
      <c r="BD3462" s="32" t="n">
        <f aca="false">SUM(P3462,R3462,T3462,V3462,X3462,Z3462,AB3462,AD3462,AF3462,AH3462,AJ3462,AL3462,AN3462,AP3462,AR3462,AT3462,AV3462,AX3462)</f>
        <v>138.01</v>
      </c>
      <c r="BE3462" s="33" t="n">
        <f aca="false">AZ3462-BD3462</f>
        <v>0</v>
      </c>
      <c r="BF3462" s="34" t="n">
        <f aca="false">BD3462*M3462</f>
        <v>5520.4</v>
      </c>
      <c r="BG3462" s="35" t="n">
        <f aca="false">BA3462-BF3462</f>
        <v>-0.399999999999636</v>
      </c>
      <c r="BH3462" s="19" t="str">
        <f aca="false">IF(BG3462=0,"",IF(BG3462&lt;&gt;BA3462,"erreur de calcul",IF(BD3462&lt;&gt;0,"pas de prix",IF(M3462&lt;&gt; 0,"pas de quantité","pas de prix, ni de quantité"))))</f>
        <v>erreur de calcul</v>
      </c>
      <c r="BI3462" s="19"/>
    </row>
    <row r="3463" customFormat="false" ht="15" hidden="false" customHeight="false" outlineLevel="0" collapsed="false">
      <c r="A3463" s="0" t="n">
        <v>14</v>
      </c>
      <c r="B3463" s="8" t="s">
        <v>24</v>
      </c>
      <c r="C3463" s="9" t="s">
        <v>25</v>
      </c>
      <c r="D3463" s="9" t="s">
        <v>26</v>
      </c>
      <c r="E3463" s="10" t="n">
        <v>1789</v>
      </c>
      <c r="F3463" s="9" t="s">
        <v>27</v>
      </c>
      <c r="G3463" s="9" t="s">
        <v>27</v>
      </c>
      <c r="H3463" s="11" t="n">
        <v>26</v>
      </c>
      <c r="I3463" s="11" t="s">
        <v>386</v>
      </c>
      <c r="J3463" s="14" t="n">
        <v>10</v>
      </c>
      <c r="K3463" s="14"/>
      <c r="L3463" s="16"/>
      <c r="M3463" s="27" t="n">
        <f aca="false">J3463+(K3463/20)+(L3463/240)</f>
        <v>10</v>
      </c>
      <c r="N3463" s="17" t="s">
        <v>387</v>
      </c>
      <c r="O3463" s="11" t="s">
        <v>77</v>
      </c>
      <c r="P3463" s="28" t="n">
        <v>30740</v>
      </c>
      <c r="Q3463" s="28" t="n">
        <v>307400</v>
      </c>
      <c r="R3463" s="28"/>
      <c r="S3463" s="28" t="n">
        <f aca="false">R3463*$M3463</f>
        <v>0</v>
      </c>
      <c r="T3463" s="28" t="n">
        <v>1357</v>
      </c>
      <c r="U3463" s="28" t="n">
        <v>13570</v>
      </c>
      <c r="V3463" s="28" t="n">
        <v>115</v>
      </c>
      <c r="W3463" s="28" t="n">
        <v>1150</v>
      </c>
      <c r="X3463" s="28"/>
      <c r="Y3463" s="28" t="n">
        <f aca="false">X3463*$M3463</f>
        <v>0</v>
      </c>
      <c r="Z3463" s="28"/>
      <c r="AA3463" s="28" t="n">
        <f aca="false">Z3463*$M3463</f>
        <v>0</v>
      </c>
      <c r="AB3463" s="28"/>
      <c r="AC3463" s="28" t="n">
        <f aca="false">AB3463*$M3463</f>
        <v>0</v>
      </c>
      <c r="AD3463" s="28"/>
      <c r="AE3463" s="28" t="n">
        <f aca="false">AD3463*$M3463</f>
        <v>0</v>
      </c>
      <c r="AF3463" s="28"/>
      <c r="AG3463" s="28" t="n">
        <f aca="false">AF3463*$M3463</f>
        <v>0</v>
      </c>
      <c r="AH3463" s="28"/>
      <c r="AI3463" s="28" t="n">
        <f aca="false">AH3463*$M3463</f>
        <v>0</v>
      </c>
      <c r="AJ3463" s="28"/>
      <c r="AK3463" s="28" t="n">
        <f aca="false">AJ3463*$M3463</f>
        <v>0</v>
      </c>
      <c r="AL3463" s="28"/>
      <c r="AM3463" s="28" t="n">
        <f aca="false">AL3463*$M3463</f>
        <v>0</v>
      </c>
      <c r="AN3463" s="28"/>
      <c r="AO3463" s="28" t="n">
        <f aca="false">AN3463*$M3463</f>
        <v>0</v>
      </c>
      <c r="AP3463" s="28"/>
      <c r="AQ3463" s="28" t="n">
        <f aca="false">AP3463*$M3463</f>
        <v>0</v>
      </c>
      <c r="AR3463" s="28"/>
      <c r="AS3463" s="28" t="n">
        <f aca="false">AR3463*$M3463</f>
        <v>0</v>
      </c>
      <c r="AT3463" s="28"/>
      <c r="AU3463" s="28" t="n">
        <f aca="false">AT3463*$M3463</f>
        <v>0</v>
      </c>
      <c r="AV3463" s="28"/>
      <c r="AW3463" s="28" t="n">
        <f aca="false">AV3463*$M3463</f>
        <v>0</v>
      </c>
      <c r="AX3463" s="28"/>
      <c r="AY3463" s="28" t="n">
        <f aca="false">AX3463*$M3463</f>
        <v>0</v>
      </c>
      <c r="AZ3463" s="30" t="n">
        <f aca="false">32212/100</f>
        <v>322.12</v>
      </c>
      <c r="BA3463" s="11" t="n">
        <v>322120</v>
      </c>
      <c r="BB3463" s="31" t="n">
        <f aca="false">SUM(Q3463,S3463,U3463,W3463,Y3463,AA3463,AC3463,AE3463,AG3463,AI3463,AK3463,AM3463,AO3463,AQ3463,AS3463,AU3463,AW3463,AY3463)</f>
        <v>322120</v>
      </c>
      <c r="BC3463" s="28" t="n">
        <f aca="false">BA3463-BB3463</f>
        <v>0</v>
      </c>
      <c r="BD3463" s="32" t="n">
        <f aca="false">SUM(P3463,R3463,T3463,V3463,X3463,Z3463,AB3463,AD3463,AF3463,AH3463,AJ3463,AL3463,AN3463,AP3463,AR3463,AT3463,AV3463,AX3463)</f>
        <v>32212</v>
      </c>
      <c r="BE3463" s="33" t="n">
        <f aca="false">AZ3463-BD3463</f>
        <v>-31889.88</v>
      </c>
      <c r="BF3463" s="34" t="n">
        <f aca="false">BD3463*M3463</f>
        <v>322120</v>
      </c>
      <c r="BG3463" s="35" t="n">
        <f aca="false">BA3463-BF3463</f>
        <v>0</v>
      </c>
      <c r="BH3463" s="19" t="str">
        <f aca="false">IF(BG3463=0,"",IF(BG3463&lt;&gt;BA3463,"erreur de calcul",IF(BD3463&lt;&gt;0,"pas de prix",IF(M3463&lt;&gt; 0,"pas de quantité","pas de prix, ni de quantité"))))</f>
        <v/>
      </c>
      <c r="BI3463" s="19"/>
    </row>
    <row r="3464" customFormat="false" ht="15" hidden="false" customHeight="false" outlineLevel="0" collapsed="false">
      <c r="A3464" s="0" t="n">
        <v>15</v>
      </c>
      <c r="B3464" s="8" t="s">
        <v>24</v>
      </c>
      <c r="C3464" s="9" t="s">
        <v>25</v>
      </c>
      <c r="D3464" s="9" t="s">
        <v>26</v>
      </c>
      <c r="E3464" s="10" t="n">
        <v>1789</v>
      </c>
      <c r="F3464" s="9" t="s">
        <v>27</v>
      </c>
      <c r="G3464" s="9" t="s">
        <v>27</v>
      </c>
      <c r="H3464" s="11" t="n">
        <v>26</v>
      </c>
      <c r="I3464" s="11" t="s">
        <v>385</v>
      </c>
      <c r="J3464" s="14" t="n">
        <v>60</v>
      </c>
      <c r="K3464" s="14"/>
      <c r="L3464" s="16"/>
      <c r="M3464" s="27" t="n">
        <f aca="false">J3464+(K3464/20)+(L3464/240)</f>
        <v>60</v>
      </c>
      <c r="N3464" s="17" t="s">
        <v>64</v>
      </c>
      <c r="O3464" s="11"/>
      <c r="P3464" s="28"/>
      <c r="Q3464" s="28" t="n">
        <f aca="false">P3464*$M3464</f>
        <v>0</v>
      </c>
      <c r="R3464" s="28"/>
      <c r="S3464" s="28" t="n">
        <f aca="false">R3464*$M3464</f>
        <v>0</v>
      </c>
      <c r="T3464" s="28" t="n">
        <f aca="false">204759/100</f>
        <v>2047.59</v>
      </c>
      <c r="U3464" s="28" t="n">
        <v>122855</v>
      </c>
      <c r="V3464" s="28"/>
      <c r="W3464" s="28" t="n">
        <f aca="false">V3464*$M3464</f>
        <v>0</v>
      </c>
      <c r="X3464" s="28"/>
      <c r="Y3464" s="28" t="n">
        <f aca="false">X3464*$M3464</f>
        <v>0</v>
      </c>
      <c r="Z3464" s="28"/>
      <c r="AA3464" s="28" t="n">
        <f aca="false">Z3464*$M3464</f>
        <v>0</v>
      </c>
      <c r="AB3464" s="28"/>
      <c r="AC3464" s="28" t="n">
        <f aca="false">AB3464*$M3464</f>
        <v>0</v>
      </c>
      <c r="AD3464" s="28"/>
      <c r="AE3464" s="28" t="n">
        <f aca="false">AD3464*$M3464</f>
        <v>0</v>
      </c>
      <c r="AF3464" s="28"/>
      <c r="AG3464" s="28" t="n">
        <f aca="false">AF3464*$M3464</f>
        <v>0</v>
      </c>
      <c r="AH3464" s="28"/>
      <c r="AI3464" s="28" t="n">
        <f aca="false">AH3464*$M3464</f>
        <v>0</v>
      </c>
      <c r="AJ3464" s="28"/>
      <c r="AK3464" s="28" t="n">
        <f aca="false">AJ3464*$M3464</f>
        <v>0</v>
      </c>
      <c r="AL3464" s="28"/>
      <c r="AM3464" s="28" t="n">
        <f aca="false">AL3464*$M3464</f>
        <v>0</v>
      </c>
      <c r="AN3464" s="28"/>
      <c r="AO3464" s="28" t="n">
        <f aca="false">AN3464*$M3464</f>
        <v>0</v>
      </c>
      <c r="AP3464" s="28"/>
      <c r="AQ3464" s="28" t="n">
        <f aca="false">AP3464*$M3464</f>
        <v>0</v>
      </c>
      <c r="AR3464" s="28"/>
      <c r="AS3464" s="28" t="n">
        <f aca="false">AR3464*$M3464</f>
        <v>0</v>
      </c>
      <c r="AT3464" s="28"/>
      <c r="AU3464" s="28" t="n">
        <f aca="false">AT3464*$M3464</f>
        <v>0</v>
      </c>
      <c r="AV3464" s="28"/>
      <c r="AW3464" s="28" t="n">
        <f aca="false">AV3464*$M3464</f>
        <v>0</v>
      </c>
      <c r="AX3464" s="28"/>
      <c r="AY3464" s="28" t="n">
        <f aca="false">AX3464*$M3464</f>
        <v>0</v>
      </c>
      <c r="AZ3464" s="30" t="n">
        <f aca="false">204759/100</f>
        <v>2047.59</v>
      </c>
      <c r="BA3464" s="11" t="n">
        <v>122855</v>
      </c>
      <c r="BB3464" s="31" t="n">
        <f aca="false">SUM(Q3464,S3464,U3464,W3464,Y3464,AA3464,AC3464,AE3464,AG3464,AI3464,AK3464,AM3464,AO3464,AQ3464,AS3464,AU3464,AW3464,AY3464)</f>
        <v>122855</v>
      </c>
      <c r="BC3464" s="28" t="n">
        <f aca="false">BA3464-BB3464</f>
        <v>0</v>
      </c>
      <c r="BD3464" s="32" t="n">
        <f aca="false">SUM(P3464,R3464,T3464,V3464,X3464,Z3464,AB3464,AD3464,AF3464,AH3464,AJ3464,AL3464,AN3464,AP3464,AR3464,AT3464,AV3464,AX3464)</f>
        <v>2047.59</v>
      </c>
      <c r="BE3464" s="33" t="n">
        <f aca="false">AZ3464-BD3464</f>
        <v>0</v>
      </c>
      <c r="BF3464" s="34" t="n">
        <f aca="false">BD3464*M3464</f>
        <v>122855.4</v>
      </c>
      <c r="BG3464" s="35" t="n">
        <f aca="false">BA3464-BF3464</f>
        <v>-0.399999999994179</v>
      </c>
      <c r="BH3464" s="19" t="str">
        <f aca="false">IF(BG3464=0,"",IF(BG3464&lt;&gt;BA3464,"erreur de calcul",IF(BD3464&lt;&gt;0,"pas de prix",IF(M3464&lt;&gt; 0,"pas de quantité","pas de prix, ni de quantité"))))</f>
        <v>erreur de calcul</v>
      </c>
      <c r="BI3464" s="19"/>
    </row>
    <row r="3465" customFormat="false" ht="15" hidden="false" customHeight="false" outlineLevel="0" collapsed="false">
      <c r="A3465" s="0" t="n">
        <v>16</v>
      </c>
      <c r="B3465" s="8" t="s">
        <v>24</v>
      </c>
      <c r="C3465" s="9" t="s">
        <v>25</v>
      </c>
      <c r="D3465" s="9" t="s">
        <v>26</v>
      </c>
      <c r="E3465" s="10" t="n">
        <v>1789</v>
      </c>
      <c r="F3465" s="9" t="s">
        <v>27</v>
      </c>
      <c r="G3465" s="9" t="s">
        <v>27</v>
      </c>
      <c r="H3465" s="11" t="n">
        <v>26</v>
      </c>
      <c r="I3465" s="11" t="s">
        <v>388</v>
      </c>
      <c r="J3465" s="14" t="n">
        <v>4</v>
      </c>
      <c r="K3465" s="14" t="n">
        <v>10</v>
      </c>
      <c r="L3465" s="16"/>
      <c r="M3465" s="27" t="n">
        <f aca="false">J3465+(K3465/20)+(L3465/240)</f>
        <v>4.5</v>
      </c>
      <c r="N3465" s="17" t="s">
        <v>66</v>
      </c>
      <c r="O3465" s="11"/>
      <c r="P3465" s="28" t="n">
        <v>20973</v>
      </c>
      <c r="Q3465" s="28" t="n">
        <v>94378</v>
      </c>
      <c r="R3465" s="28"/>
      <c r="S3465" s="28" t="n">
        <f aca="false">R3465*$M3465</f>
        <v>0</v>
      </c>
      <c r="T3465" s="28"/>
      <c r="U3465" s="28" t="n">
        <f aca="false">T3465*$M3465</f>
        <v>0</v>
      </c>
      <c r="V3465" s="28"/>
      <c r="W3465" s="28" t="n">
        <f aca="false">V3465*$M3465</f>
        <v>0</v>
      </c>
      <c r="X3465" s="28"/>
      <c r="Y3465" s="28" t="n">
        <f aca="false">X3465*$M3465</f>
        <v>0</v>
      </c>
      <c r="Z3465" s="28"/>
      <c r="AA3465" s="28" t="n">
        <f aca="false">Z3465*$M3465</f>
        <v>0</v>
      </c>
      <c r="AB3465" s="28"/>
      <c r="AC3465" s="28" t="n">
        <f aca="false">AB3465*$M3465</f>
        <v>0</v>
      </c>
      <c r="AD3465" s="28"/>
      <c r="AE3465" s="28" t="n">
        <f aca="false">AD3465*$M3465</f>
        <v>0</v>
      </c>
      <c r="AF3465" s="28"/>
      <c r="AG3465" s="28" t="n">
        <f aca="false">AF3465*$M3465</f>
        <v>0</v>
      </c>
      <c r="AH3465" s="28"/>
      <c r="AI3465" s="28" t="n">
        <f aca="false">AH3465*$M3465</f>
        <v>0</v>
      </c>
      <c r="AJ3465" s="28"/>
      <c r="AK3465" s="28" t="n">
        <f aca="false">AJ3465*$M3465</f>
        <v>0</v>
      </c>
      <c r="AL3465" s="28"/>
      <c r="AM3465" s="28" t="n">
        <f aca="false">AL3465*$M3465</f>
        <v>0</v>
      </c>
      <c r="AN3465" s="28"/>
      <c r="AO3465" s="28" t="n">
        <f aca="false">AN3465*$M3465</f>
        <v>0</v>
      </c>
      <c r="AP3465" s="28"/>
      <c r="AQ3465" s="28" t="n">
        <f aca="false">AP3465*$M3465</f>
        <v>0</v>
      </c>
      <c r="AR3465" s="28"/>
      <c r="AS3465" s="28" t="n">
        <f aca="false">AR3465*$M3465</f>
        <v>0</v>
      </c>
      <c r="AT3465" s="28"/>
      <c r="AU3465" s="28" t="n">
        <f aca="false">AT3465*$M3465</f>
        <v>0</v>
      </c>
      <c r="AV3465" s="28"/>
      <c r="AW3465" s="28" t="n">
        <f aca="false">AV3465*$M3465</f>
        <v>0</v>
      </c>
      <c r="AX3465" s="28"/>
      <c r="AY3465" s="28" t="n">
        <f aca="false">AX3465*$M3465</f>
        <v>0</v>
      </c>
      <c r="AZ3465" s="30" t="n">
        <v>20973</v>
      </c>
      <c r="BA3465" s="11" t="n">
        <v>94378</v>
      </c>
      <c r="BB3465" s="31" t="n">
        <f aca="false">SUM(Q3465,S3465,U3465,W3465,Y3465,AA3465,AC3465,AE3465,AG3465,AI3465,AK3465,AM3465,AO3465,AQ3465,AS3465,AU3465,AW3465,AY3465)</f>
        <v>94378</v>
      </c>
      <c r="BC3465" s="28" t="n">
        <f aca="false">BA3465-BB3465</f>
        <v>0</v>
      </c>
      <c r="BD3465" s="32" t="n">
        <f aca="false">SUM(P3465,R3465,T3465,V3465,X3465,Z3465,AB3465,AD3465,AF3465,AH3465,AJ3465,AL3465,AN3465,AP3465,AR3465,AT3465,AV3465,AX3465)</f>
        <v>20973</v>
      </c>
      <c r="BE3465" s="33" t="n">
        <f aca="false">AZ3465-BD3465</f>
        <v>0</v>
      </c>
      <c r="BF3465" s="34" t="n">
        <f aca="false">BD3465*M3465</f>
        <v>94378.5</v>
      </c>
      <c r="BG3465" s="35" t="n">
        <f aca="false">BA3465-BF3465</f>
        <v>-0.5</v>
      </c>
      <c r="BH3465" s="19" t="str">
        <f aca="false">IF(BG3465=0,"",IF(BG3465&lt;&gt;BA3465,"erreur de calcul",IF(BD3465&lt;&gt;0,"pas de prix",IF(M3465&lt;&gt; 0,"pas de quantité","pas de prix, ni de quantité"))))</f>
        <v>erreur de calcul</v>
      </c>
      <c r="BI3465" s="19"/>
    </row>
    <row r="3466" customFormat="false" ht="15" hidden="false" customHeight="false" outlineLevel="0" collapsed="false">
      <c r="A3466" s="0" t="n">
        <v>17</v>
      </c>
      <c r="B3466" s="8" t="s">
        <v>24</v>
      </c>
      <c r="C3466" s="9" t="s">
        <v>25</v>
      </c>
      <c r="D3466" s="9" t="s">
        <v>26</v>
      </c>
      <c r="E3466" s="10" t="n">
        <v>1789</v>
      </c>
      <c r="F3466" s="9" t="s">
        <v>27</v>
      </c>
      <c r="G3466" s="9" t="s">
        <v>27</v>
      </c>
      <c r="H3466" s="11" t="n">
        <v>26</v>
      </c>
      <c r="I3466" s="11" t="s">
        <v>389</v>
      </c>
      <c r="J3466" s="14"/>
      <c r="K3466" s="14"/>
      <c r="L3466" s="16"/>
      <c r="M3466" s="27" t="n">
        <f aca="false">J3466+(K3466/20)+(L3466/240)</f>
        <v>0</v>
      </c>
      <c r="N3466" s="17"/>
      <c r="O3466" s="11" t="s">
        <v>277</v>
      </c>
      <c r="P3466" s="28"/>
      <c r="Q3466" s="28" t="n">
        <f aca="false">P3466*$M3466</f>
        <v>0</v>
      </c>
      <c r="R3466" s="28"/>
      <c r="S3466" s="28" t="n">
        <f aca="false">R3466*$M3466</f>
        <v>0</v>
      </c>
      <c r="T3466" s="28"/>
      <c r="U3466" s="28" t="n">
        <v>189</v>
      </c>
      <c r="V3466" s="28"/>
      <c r="W3466" s="28" t="n">
        <v>540</v>
      </c>
      <c r="X3466" s="28"/>
      <c r="Y3466" s="28" t="n">
        <f aca="false">X3466*$M3466</f>
        <v>0</v>
      </c>
      <c r="Z3466" s="28"/>
      <c r="AA3466" s="28" t="n">
        <f aca="false">Z3466*$M3466</f>
        <v>0</v>
      </c>
      <c r="AB3466" s="28"/>
      <c r="AC3466" s="28" t="n">
        <f aca="false">AB3466*$M3466</f>
        <v>0</v>
      </c>
      <c r="AD3466" s="28"/>
      <c r="AE3466" s="28" t="n">
        <f aca="false">AD3466*$M3466</f>
        <v>0</v>
      </c>
      <c r="AF3466" s="28"/>
      <c r="AG3466" s="28" t="n">
        <f aca="false">AF3466*$M3466</f>
        <v>0</v>
      </c>
      <c r="AH3466" s="28"/>
      <c r="AI3466" s="28" t="n">
        <f aca="false">AH3466*$M3466</f>
        <v>0</v>
      </c>
      <c r="AJ3466" s="28"/>
      <c r="AK3466" s="28" t="n">
        <v>317</v>
      </c>
      <c r="AL3466" s="28"/>
      <c r="AM3466" s="28" t="n">
        <f aca="false">AL3466*$M3466</f>
        <v>0</v>
      </c>
      <c r="AN3466" s="28"/>
      <c r="AO3466" s="28" t="n">
        <f aca="false">AN3466*$M3466</f>
        <v>0</v>
      </c>
      <c r="AP3466" s="28"/>
      <c r="AQ3466" s="28" t="n">
        <f aca="false">AP3466*$M3466</f>
        <v>0</v>
      </c>
      <c r="AR3466" s="28"/>
      <c r="AS3466" s="28" t="n">
        <f aca="false">AR3466*$M3466</f>
        <v>0</v>
      </c>
      <c r="AT3466" s="28"/>
      <c r="AU3466" s="28" t="n">
        <f aca="false">AT3466*$M3466</f>
        <v>0</v>
      </c>
      <c r="AV3466" s="28"/>
      <c r="AW3466" s="28" t="n">
        <f aca="false">AV3466*$M3466</f>
        <v>0</v>
      </c>
      <c r="AX3466" s="28"/>
      <c r="AY3466" s="28" t="n">
        <f aca="false">AX3466*$M3466</f>
        <v>0</v>
      </c>
      <c r="AZ3466" s="30"/>
      <c r="BA3466" s="11" t="n">
        <v>1046</v>
      </c>
      <c r="BB3466" s="31" t="n">
        <f aca="false">SUM(Q3466,S3466,U3466,W3466,Y3466,AA3466,AC3466,AE3466,AG3466,AI3466,AK3466,AM3466,AO3466,AQ3466,AS3466,AU3466,AW3466,AY3466)</f>
        <v>1046</v>
      </c>
      <c r="BC3466" s="28" t="n">
        <f aca="false">BA3466-BB3466</f>
        <v>0</v>
      </c>
      <c r="BD3466" s="32" t="n">
        <f aca="false">SUM(P3466,R3466,T3466,V3466,X3466,Z3466,AB3466,AD3466,AF3466,AH3466,AJ3466,AL3466,AN3466,AP3466,AR3466,AT3466,AV3466,AX3466)</f>
        <v>0</v>
      </c>
      <c r="BE3466" s="33" t="n">
        <f aca="false">AZ3466-BD3466</f>
        <v>0</v>
      </c>
      <c r="BF3466" s="34" t="n">
        <f aca="false">BD3466*M3466</f>
        <v>0</v>
      </c>
      <c r="BG3466" s="35" t="n">
        <f aca="false">BA3466-BF3466</f>
        <v>1046</v>
      </c>
      <c r="BH3466" s="19" t="str">
        <f aca="false">IF(BG3466=0,"",IF(BG3466&lt;&gt;BA3466,"erreur de calcul",IF(BD3466&lt;&gt;0,"pas de prix",IF(M3466&lt;&gt; 0,"pas de quantité","pas de prix, ni de quantité"))))</f>
        <v>pas de prix, ni de quantité</v>
      </c>
      <c r="BI3466" s="19"/>
    </row>
    <row r="3467" customFormat="false" ht="15" hidden="false" customHeight="false" outlineLevel="0" collapsed="false">
      <c r="A3467" s="0" t="n">
        <v>18</v>
      </c>
      <c r="B3467" s="8" t="s">
        <v>24</v>
      </c>
      <c r="C3467" s="9" t="s">
        <v>25</v>
      </c>
      <c r="D3467" s="9" t="s">
        <v>26</v>
      </c>
      <c r="E3467" s="10" t="n">
        <v>1789</v>
      </c>
      <c r="F3467" s="9" t="s">
        <v>27</v>
      </c>
      <c r="G3467" s="9" t="s">
        <v>27</v>
      </c>
      <c r="H3467" s="11" t="n">
        <v>26</v>
      </c>
      <c r="I3467" s="11" t="s">
        <v>389</v>
      </c>
      <c r="J3467" s="14" t="n">
        <v>90</v>
      </c>
      <c r="K3467" s="14"/>
      <c r="L3467" s="16"/>
      <c r="M3467" s="27" t="n">
        <f aca="false">J3467+(K3467/20)+(L3467/240)</f>
        <v>90</v>
      </c>
      <c r="N3467" s="17" t="s">
        <v>64</v>
      </c>
      <c r="O3467" s="11"/>
      <c r="P3467" s="28"/>
      <c r="Q3467" s="28" t="n">
        <f aca="false">P3467*$M3467</f>
        <v>0</v>
      </c>
      <c r="R3467" s="28"/>
      <c r="S3467" s="28" t="n">
        <f aca="false">R3467*$M3467</f>
        <v>0</v>
      </c>
      <c r="T3467" s="28"/>
      <c r="U3467" s="28" t="n">
        <f aca="false">T3467*$M3467</f>
        <v>0</v>
      </c>
      <c r="V3467" s="28" t="n">
        <f aca="false">6341/100</f>
        <v>63.41</v>
      </c>
      <c r="W3467" s="28" t="n">
        <v>5707</v>
      </c>
      <c r="X3467" s="28" t="n">
        <f aca="false">10903/100</f>
        <v>109.03</v>
      </c>
      <c r="Y3467" s="28" t="n">
        <v>9813</v>
      </c>
      <c r="Z3467" s="28"/>
      <c r="AA3467" s="28" t="n">
        <f aca="false">Z3467*$M3467</f>
        <v>0</v>
      </c>
      <c r="AB3467" s="28"/>
      <c r="AC3467" s="28" t="n">
        <f aca="false">AB3467*$M3467</f>
        <v>0</v>
      </c>
      <c r="AD3467" s="28"/>
      <c r="AE3467" s="28" t="n">
        <f aca="false">AD3467*$M3467</f>
        <v>0</v>
      </c>
      <c r="AF3467" s="28"/>
      <c r="AG3467" s="28" t="n">
        <f aca="false">AF3467*$M3467</f>
        <v>0</v>
      </c>
      <c r="AH3467" s="28"/>
      <c r="AI3467" s="28" t="n">
        <f aca="false">AH3467*$M3467</f>
        <v>0</v>
      </c>
      <c r="AJ3467" s="28" t="n">
        <f aca="false">127232/100</f>
        <v>1272.32</v>
      </c>
      <c r="AK3467" s="28" t="n">
        <v>114509</v>
      </c>
      <c r="AL3467" s="28" t="n">
        <f aca="false">1835/100</f>
        <v>18.35</v>
      </c>
      <c r="AM3467" s="28" t="n">
        <v>1651</v>
      </c>
      <c r="AN3467" s="28"/>
      <c r="AO3467" s="28" t="n">
        <f aca="false">AN3467*$M3467</f>
        <v>0</v>
      </c>
      <c r="AP3467" s="28"/>
      <c r="AQ3467" s="28" t="n">
        <f aca="false">AP3467*$M3467</f>
        <v>0</v>
      </c>
      <c r="AR3467" s="28"/>
      <c r="AS3467" s="28" t="n">
        <f aca="false">AR3467*$M3467</f>
        <v>0</v>
      </c>
      <c r="AT3467" s="28"/>
      <c r="AU3467" s="28" t="n">
        <f aca="false">AT3467*$M3467</f>
        <v>0</v>
      </c>
      <c r="AV3467" s="28"/>
      <c r="AW3467" s="28" t="n">
        <f aca="false">AV3467*$M3467</f>
        <v>0</v>
      </c>
      <c r="AX3467" s="28"/>
      <c r="AY3467" s="28" t="n">
        <f aca="false">AX3467*$M3467</f>
        <v>0</v>
      </c>
      <c r="AZ3467" s="30" t="n">
        <f aca="false">146311/100</f>
        <v>1463.11</v>
      </c>
      <c r="BA3467" s="11" t="n">
        <v>131680</v>
      </c>
      <c r="BB3467" s="31" t="n">
        <f aca="false">SUM(Q3467,S3467,U3467,W3467,Y3467,AA3467,AC3467,AE3467,AG3467,AI3467,AK3467,AM3467,AO3467,AQ3467,AS3467,AU3467,AW3467,AY3467)</f>
        <v>131680</v>
      </c>
      <c r="BC3467" s="28" t="n">
        <f aca="false">BA3467-BB3467</f>
        <v>0</v>
      </c>
      <c r="BD3467" s="32" t="n">
        <f aca="false">SUM(P3467,R3467,T3467,V3467,X3467,Z3467,AB3467,AD3467,AF3467,AH3467,AJ3467,AL3467,AN3467,AP3467,AR3467,AT3467,AV3467,AX3467)</f>
        <v>1463.11</v>
      </c>
      <c r="BE3467" s="33" t="n">
        <f aca="false">AZ3467-BD3467</f>
        <v>0</v>
      </c>
      <c r="BF3467" s="34" t="n">
        <f aca="false">BD3467*M3467</f>
        <v>131679.9</v>
      </c>
      <c r="BG3467" s="35" t="n">
        <f aca="false">BA3467-BF3467</f>
        <v>0.100000000005821</v>
      </c>
      <c r="BH3467" s="19" t="str">
        <f aca="false">IF(BG3467=0,"",IF(BG3467&lt;&gt;BA3467,"erreur de calcul",IF(BD3467&lt;&gt;0,"pas de prix",IF(M3467&lt;&gt; 0,"pas de quantité","pas de prix, ni de quantité"))))</f>
        <v>erreur de calcul</v>
      </c>
      <c r="BI3467" s="19"/>
    </row>
    <row r="3468" customFormat="false" ht="15" hidden="false" customHeight="false" outlineLevel="0" collapsed="false">
      <c r="A3468" s="0" t="n">
        <v>19</v>
      </c>
      <c r="B3468" s="8" t="s">
        <v>24</v>
      </c>
      <c r="C3468" s="9" t="s">
        <v>25</v>
      </c>
      <c r="D3468" s="9" t="s">
        <v>26</v>
      </c>
      <c r="E3468" s="10" t="n">
        <v>1789</v>
      </c>
      <c r="F3468" s="9" t="s">
        <v>27</v>
      </c>
      <c r="G3468" s="9" t="s">
        <v>27</v>
      </c>
      <c r="H3468" s="11" t="n">
        <v>26</v>
      </c>
      <c r="I3468" s="11" t="s">
        <v>390</v>
      </c>
      <c r="J3468" s="14" t="n">
        <v>25</v>
      </c>
      <c r="K3468" s="14"/>
      <c r="L3468" s="16"/>
      <c r="M3468" s="27" t="n">
        <f aca="false">J3468+(K3468/20)+(L3468/240)</f>
        <v>25</v>
      </c>
      <c r="N3468" s="17" t="s">
        <v>64</v>
      </c>
      <c r="O3468" s="11" t="s">
        <v>277</v>
      </c>
      <c r="P3468" s="28"/>
      <c r="Q3468" s="28" t="n">
        <f aca="false">P3468*$M3468</f>
        <v>0</v>
      </c>
      <c r="R3468" s="28"/>
      <c r="S3468" s="28" t="n">
        <f aca="false">R3468*$M3468</f>
        <v>0</v>
      </c>
      <c r="T3468" s="28"/>
      <c r="U3468" s="28" t="n">
        <f aca="false">T3468*$M3468</f>
        <v>0</v>
      </c>
      <c r="V3468" s="28"/>
      <c r="W3468" s="28" t="n">
        <f aca="false">V3468*$M3468</f>
        <v>0</v>
      </c>
      <c r="X3468" s="28"/>
      <c r="Y3468" s="28" t="n">
        <f aca="false">X3468*$M3468</f>
        <v>0</v>
      </c>
      <c r="Z3468" s="28"/>
      <c r="AA3468" s="28" t="n">
        <f aca="false">Z3468*$M3468</f>
        <v>0</v>
      </c>
      <c r="AB3468" s="28"/>
      <c r="AC3468" s="28" t="n">
        <f aca="false">AB3468*$M3468</f>
        <v>0</v>
      </c>
      <c r="AD3468" s="28"/>
      <c r="AE3468" s="28" t="n">
        <f aca="false">AD3468*$M3468</f>
        <v>0</v>
      </c>
      <c r="AF3468" s="28"/>
      <c r="AG3468" s="28" t="n">
        <f aca="false">AF3468*$M3468</f>
        <v>0</v>
      </c>
      <c r="AH3468" s="28"/>
      <c r="AI3468" s="28" t="n">
        <f aca="false">AH3468*$M3468</f>
        <v>0</v>
      </c>
      <c r="AJ3468" s="28"/>
      <c r="AK3468" s="28" t="n">
        <f aca="false">AJ3468*$M3468</f>
        <v>0</v>
      </c>
      <c r="AL3468" s="28"/>
      <c r="AM3468" s="28" t="n">
        <f aca="false">AL3468*$M3468</f>
        <v>0</v>
      </c>
      <c r="AN3468" s="28"/>
      <c r="AO3468" s="28" t="n">
        <f aca="false">AN3468*$M3468</f>
        <v>0</v>
      </c>
      <c r="AP3468" s="28"/>
      <c r="AQ3468" s="28" t="n">
        <f aca="false">AP3468*$M3468</f>
        <v>0</v>
      </c>
      <c r="AR3468" s="28"/>
      <c r="AS3468" s="28" t="n">
        <f aca="false">AR3468*$M3468</f>
        <v>0</v>
      </c>
      <c r="AT3468" s="28"/>
      <c r="AU3468" s="28" t="n">
        <f aca="false">AT3468*$M3468</f>
        <v>0</v>
      </c>
      <c r="AV3468" s="28"/>
      <c r="AW3468" s="28" t="n">
        <f aca="false">AV3468*$M3468</f>
        <v>0</v>
      </c>
      <c r="AX3468" s="28"/>
      <c r="AY3468" s="28" t="n">
        <f aca="false">AX3468*$M3468</f>
        <v>0</v>
      </c>
      <c r="AZ3468" s="30"/>
      <c r="BA3468" s="11"/>
      <c r="BB3468" s="31" t="n">
        <f aca="false">SUM(Q3468,S3468,U3468,W3468,Y3468,AA3468,AC3468,AE3468,AG3468,AI3468,AK3468,AM3468,AO3468,AQ3468,AS3468,AU3468,AW3468,AY3468)</f>
        <v>0</v>
      </c>
      <c r="BC3468" s="28" t="n">
        <f aca="false">BA3468-BB3468</f>
        <v>0</v>
      </c>
      <c r="BD3468" s="32" t="n">
        <f aca="false">SUM(P3468,R3468,T3468,V3468,X3468,Z3468,AB3468,AD3468,AF3468,AH3468,AJ3468,AL3468,AN3468,AP3468,AR3468,AT3468,AV3468,AX3468)</f>
        <v>0</v>
      </c>
      <c r="BE3468" s="33" t="n">
        <f aca="false">AZ3468-BD3468</f>
        <v>0</v>
      </c>
      <c r="BF3468" s="34" t="n">
        <f aca="false">BD3468*M3468</f>
        <v>0</v>
      </c>
      <c r="BG3468" s="35" t="n">
        <f aca="false">BA3468-BF3468</f>
        <v>0</v>
      </c>
      <c r="BH3468" s="19" t="str">
        <f aca="false">IF(BG3468=0,"",IF(BG3468&lt;&gt;BA3468,"erreur de calcul",IF(BD3468&lt;&gt;0,"pas de prix",IF(M3468&lt;&gt; 0,"pas de quantité","pas de prix, ni de quantité"))))</f>
        <v/>
      </c>
      <c r="BI3468" s="19"/>
    </row>
    <row r="3469" customFormat="false" ht="15" hidden="false" customHeight="false" outlineLevel="0" collapsed="false">
      <c r="A3469" s="0" t="n">
        <v>20</v>
      </c>
      <c r="B3469" s="8" t="s">
        <v>24</v>
      </c>
      <c r="C3469" s="9" t="s">
        <v>25</v>
      </c>
      <c r="D3469" s="9" t="s">
        <v>26</v>
      </c>
      <c r="E3469" s="10" t="n">
        <v>1789</v>
      </c>
      <c r="F3469" s="9" t="s">
        <v>27</v>
      </c>
      <c r="G3469" s="9" t="s">
        <v>27</v>
      </c>
      <c r="H3469" s="11" t="n">
        <v>26</v>
      </c>
      <c r="I3469" s="11" t="s">
        <v>391</v>
      </c>
      <c r="J3469" s="14" t="n">
        <v>35</v>
      </c>
      <c r="K3469" s="14"/>
      <c r="L3469" s="16"/>
      <c r="M3469" s="27" t="n">
        <f aca="false">J3469+(K3469/20)+(L3469/240)</f>
        <v>35</v>
      </c>
      <c r="N3469" s="17" t="s">
        <v>64</v>
      </c>
      <c r="O3469" s="11"/>
      <c r="P3469" s="28"/>
      <c r="Q3469" s="28" t="n">
        <f aca="false">P3469*$M3469</f>
        <v>0</v>
      </c>
      <c r="R3469" s="28"/>
      <c r="S3469" s="28" t="n">
        <f aca="false">R3469*$M3469</f>
        <v>0</v>
      </c>
      <c r="T3469" s="28"/>
      <c r="U3469" s="28" t="n">
        <f aca="false">T3469*$M3469</f>
        <v>0</v>
      </c>
      <c r="V3469" s="28"/>
      <c r="W3469" s="28" t="n">
        <f aca="false">V3469*$M3469</f>
        <v>0</v>
      </c>
      <c r="X3469" s="28"/>
      <c r="Y3469" s="28" t="n">
        <f aca="false">X3469*$M3469</f>
        <v>0</v>
      </c>
      <c r="Z3469" s="28"/>
      <c r="AA3469" s="28" t="n">
        <f aca="false">Z3469*$M3469</f>
        <v>0</v>
      </c>
      <c r="AB3469" s="28"/>
      <c r="AC3469" s="28" t="n">
        <f aca="false">AB3469*$M3469</f>
        <v>0</v>
      </c>
      <c r="AD3469" s="28"/>
      <c r="AE3469" s="28" t="n">
        <f aca="false">AD3469*$M3469</f>
        <v>0</v>
      </c>
      <c r="AF3469" s="28"/>
      <c r="AG3469" s="28" t="n">
        <f aca="false">AF3469*$M3469</f>
        <v>0</v>
      </c>
      <c r="AH3469" s="28"/>
      <c r="AI3469" s="28" t="n">
        <f aca="false">AH3469*$M3469</f>
        <v>0</v>
      </c>
      <c r="AJ3469" s="28" t="n">
        <f aca="false">3950/100</f>
        <v>39.5</v>
      </c>
      <c r="AK3469" s="28" t="n">
        <v>1382</v>
      </c>
      <c r="AL3469" s="28"/>
      <c r="AM3469" s="28" t="n">
        <f aca="false">AL3469*$M3469</f>
        <v>0</v>
      </c>
      <c r="AN3469" s="28"/>
      <c r="AO3469" s="28" t="n">
        <f aca="false">AN3469*$M3469</f>
        <v>0</v>
      </c>
      <c r="AP3469" s="28"/>
      <c r="AQ3469" s="28" t="n">
        <f aca="false">AP3469*$M3469</f>
        <v>0</v>
      </c>
      <c r="AR3469" s="28"/>
      <c r="AS3469" s="28" t="n">
        <f aca="false">AR3469*$M3469</f>
        <v>0</v>
      </c>
      <c r="AT3469" s="28"/>
      <c r="AU3469" s="28" t="n">
        <f aca="false">AT3469*$M3469</f>
        <v>0</v>
      </c>
      <c r="AV3469" s="28"/>
      <c r="AW3469" s="28" t="n">
        <f aca="false">AV3469*$M3469</f>
        <v>0</v>
      </c>
      <c r="AX3469" s="28"/>
      <c r="AY3469" s="28" t="n">
        <f aca="false">AX3469*$M3469</f>
        <v>0</v>
      </c>
      <c r="AZ3469" s="30" t="n">
        <f aca="false">3950/100</f>
        <v>39.5</v>
      </c>
      <c r="BA3469" s="11" t="n">
        <v>1382</v>
      </c>
      <c r="BB3469" s="31" t="n">
        <f aca="false">SUM(Q3469,S3469,U3469,W3469,Y3469,AA3469,AC3469,AE3469,AG3469,AI3469,AK3469,AM3469,AO3469,AQ3469,AS3469,AU3469,AW3469,AY3469)</f>
        <v>1382</v>
      </c>
      <c r="BC3469" s="28" t="n">
        <f aca="false">BA3469-BB3469</f>
        <v>0</v>
      </c>
      <c r="BD3469" s="32" t="n">
        <f aca="false">SUM(P3469,R3469,T3469,V3469,X3469,Z3469,AB3469,AD3469,AF3469,AH3469,AJ3469,AL3469,AN3469,AP3469,AR3469,AT3469,AV3469,AX3469)</f>
        <v>39.5</v>
      </c>
      <c r="BE3469" s="33" t="n">
        <f aca="false">AZ3469-BD3469</f>
        <v>0</v>
      </c>
      <c r="BF3469" s="34" t="n">
        <f aca="false">BD3469*M3469</f>
        <v>1382.5</v>
      </c>
      <c r="BG3469" s="35" t="n">
        <f aca="false">BA3469-BF3469</f>
        <v>-0.5</v>
      </c>
      <c r="BH3469" s="19" t="str">
        <f aca="false">IF(BG3469=0,"",IF(BG3469&lt;&gt;BA3469,"erreur de calcul",IF(BD3469&lt;&gt;0,"pas de prix",IF(M3469&lt;&gt; 0,"pas de quantité","pas de prix, ni de quantité"))))</f>
        <v>erreur de calcul</v>
      </c>
      <c r="BI3469" s="19"/>
    </row>
    <row r="3470" customFormat="false" ht="15" hidden="false" customHeight="false" outlineLevel="0" collapsed="false">
      <c r="A3470" s="0" t="n">
        <v>21</v>
      </c>
      <c r="B3470" s="8" t="s">
        <v>24</v>
      </c>
      <c r="C3470" s="9" t="s">
        <v>25</v>
      </c>
      <c r="D3470" s="9" t="s">
        <v>26</v>
      </c>
      <c r="E3470" s="10" t="n">
        <v>1789</v>
      </c>
      <c r="F3470" s="9" t="s">
        <v>27</v>
      </c>
      <c r="G3470" s="9" t="s">
        <v>27</v>
      </c>
      <c r="H3470" s="11" t="n">
        <v>26</v>
      </c>
      <c r="I3470" s="11" t="s">
        <v>392</v>
      </c>
      <c r="J3470" s="14" t="n">
        <v>60</v>
      </c>
      <c r="K3470" s="14"/>
      <c r="L3470" s="16"/>
      <c r="M3470" s="27" t="n">
        <f aca="false">J3470+(K3470/20)+(L3470/240)</f>
        <v>60</v>
      </c>
      <c r="N3470" s="17" t="s">
        <v>64</v>
      </c>
      <c r="O3470" s="11"/>
      <c r="P3470" s="28"/>
      <c r="Q3470" s="28" t="n">
        <f aca="false">P3470*$M3470</f>
        <v>0</v>
      </c>
      <c r="R3470" s="28"/>
      <c r="S3470" s="28" t="n">
        <f aca="false">R3470*$M3470</f>
        <v>0</v>
      </c>
      <c r="T3470" s="28"/>
      <c r="U3470" s="28" t="n">
        <f aca="false">T3470*$M3470</f>
        <v>0</v>
      </c>
      <c r="V3470" s="28"/>
      <c r="W3470" s="28" t="n">
        <f aca="false">V3470*$M3470</f>
        <v>0</v>
      </c>
      <c r="X3470" s="28" t="n">
        <f aca="false">12306/100</f>
        <v>123.06</v>
      </c>
      <c r="Y3470" s="28" t="n">
        <v>7384</v>
      </c>
      <c r="Z3470" s="28"/>
      <c r="AA3470" s="28" t="n">
        <f aca="false">Z3470*$M3470</f>
        <v>0</v>
      </c>
      <c r="AB3470" s="28"/>
      <c r="AC3470" s="28" t="n">
        <f aca="false">AB3470*$M3470</f>
        <v>0</v>
      </c>
      <c r="AD3470" s="28"/>
      <c r="AE3470" s="28" t="n">
        <f aca="false">AD3470*$M3470</f>
        <v>0</v>
      </c>
      <c r="AF3470" s="28"/>
      <c r="AG3470" s="28" t="n">
        <f aca="false">AF3470*$M3470</f>
        <v>0</v>
      </c>
      <c r="AH3470" s="28"/>
      <c r="AI3470" s="28" t="n">
        <f aca="false">AH3470*$M3470</f>
        <v>0</v>
      </c>
      <c r="AJ3470" s="28" t="n">
        <f aca="false">2557/100</f>
        <v>25.57</v>
      </c>
      <c r="AK3470" s="28" t="n">
        <v>1534</v>
      </c>
      <c r="AL3470" s="28"/>
      <c r="AM3470" s="28" t="n">
        <f aca="false">AL3470*$M3470</f>
        <v>0</v>
      </c>
      <c r="AN3470" s="28"/>
      <c r="AO3470" s="28" t="n">
        <f aca="false">AN3470*$M3470</f>
        <v>0</v>
      </c>
      <c r="AP3470" s="28"/>
      <c r="AQ3470" s="28" t="n">
        <f aca="false">AP3470*$M3470</f>
        <v>0</v>
      </c>
      <c r="AR3470" s="28" t="n">
        <f aca="false">7204/100</f>
        <v>72.04</v>
      </c>
      <c r="AS3470" s="28" t="n">
        <v>4322</v>
      </c>
      <c r="AT3470" s="28"/>
      <c r="AU3470" s="28" t="n">
        <f aca="false">AT3470*$M3470</f>
        <v>0</v>
      </c>
      <c r="AV3470" s="28"/>
      <c r="AW3470" s="28" t="n">
        <f aca="false">AV3470*$M3470</f>
        <v>0</v>
      </c>
      <c r="AX3470" s="28"/>
      <c r="AY3470" s="28" t="n">
        <f aca="false">AX3470*$M3470</f>
        <v>0</v>
      </c>
      <c r="AZ3470" s="30" t="n">
        <f aca="false">22067/100</f>
        <v>220.67</v>
      </c>
      <c r="BA3470" s="11" t="n">
        <v>13240</v>
      </c>
      <c r="BB3470" s="31" t="n">
        <f aca="false">SUM(Q3470,S3470,U3470,W3470,Y3470,AA3470,AC3470,AE3470,AG3470,AI3470,AK3470,AM3470,AO3470,AQ3470,AS3470,AU3470,AW3470,AY3470)</f>
        <v>13240</v>
      </c>
      <c r="BC3470" s="28" t="n">
        <f aca="false">BA3470-BB3470</f>
        <v>0</v>
      </c>
      <c r="BD3470" s="32" t="n">
        <f aca="false">SUM(P3470,R3470,T3470,V3470,X3470,Z3470,AB3470,AD3470,AF3470,AH3470,AJ3470,AL3470,AN3470,AP3470,AR3470,AT3470,AV3470,AX3470)</f>
        <v>220.67</v>
      </c>
      <c r="BE3470" s="33" t="n">
        <f aca="false">AZ3470-BD3470</f>
        <v>0</v>
      </c>
      <c r="BF3470" s="34" t="n">
        <f aca="false">BD3470*M3470</f>
        <v>13240.2</v>
      </c>
      <c r="BG3470" s="35" t="n">
        <f aca="false">BA3470-BF3470</f>
        <v>-0.200000000000728</v>
      </c>
      <c r="BH3470" s="19" t="str">
        <f aca="false">IF(BG3470=0,"",IF(BG3470&lt;&gt;BA3470,"erreur de calcul",IF(BD3470&lt;&gt;0,"pas de prix",IF(M3470&lt;&gt; 0,"pas de quantité","pas de prix, ni de quantité"))))</f>
        <v>erreur de calcul</v>
      </c>
      <c r="BI3470" s="19"/>
    </row>
    <row r="3471" customFormat="false" ht="15" hidden="false" customHeight="false" outlineLevel="0" collapsed="false">
      <c r="A3471" s="0" t="n">
        <v>22</v>
      </c>
      <c r="B3471" s="8" t="s">
        <v>24</v>
      </c>
      <c r="C3471" s="9" t="s">
        <v>25</v>
      </c>
      <c r="D3471" s="9" t="s">
        <v>26</v>
      </c>
      <c r="E3471" s="10" t="n">
        <v>1789</v>
      </c>
      <c r="F3471" s="9" t="s">
        <v>27</v>
      </c>
      <c r="G3471" s="9" t="s">
        <v>27</v>
      </c>
      <c r="H3471" s="11" t="n">
        <v>26</v>
      </c>
      <c r="I3471" s="11" t="s">
        <v>393</v>
      </c>
      <c r="J3471" s="14" t="n">
        <v>120</v>
      </c>
      <c r="K3471" s="14"/>
      <c r="L3471" s="16"/>
      <c r="M3471" s="27" t="n">
        <f aca="false">J3471+(K3471/20)+(L3471/240)</f>
        <v>120</v>
      </c>
      <c r="N3471" s="17" t="s">
        <v>64</v>
      </c>
      <c r="O3471" s="11"/>
      <c r="P3471" s="28"/>
      <c r="Q3471" s="28" t="n">
        <f aca="false">P3471*$M3471</f>
        <v>0</v>
      </c>
      <c r="R3471" s="28"/>
      <c r="S3471" s="28" t="n">
        <f aca="false">R3471*$M3471</f>
        <v>0</v>
      </c>
      <c r="T3471" s="28"/>
      <c r="U3471" s="28" t="n">
        <f aca="false">T3471*$M3471</f>
        <v>0</v>
      </c>
      <c r="V3471" s="28"/>
      <c r="W3471" s="28" t="n">
        <f aca="false">V3471*$M3471</f>
        <v>0</v>
      </c>
      <c r="X3471" s="28"/>
      <c r="Y3471" s="28" t="n">
        <f aca="false">X3471*$M3471</f>
        <v>0</v>
      </c>
      <c r="Z3471" s="28"/>
      <c r="AA3471" s="28" t="n">
        <f aca="false">Z3471*$M3471</f>
        <v>0</v>
      </c>
      <c r="AB3471" s="28"/>
      <c r="AC3471" s="28" t="n">
        <f aca="false">AB3471*$M3471</f>
        <v>0</v>
      </c>
      <c r="AD3471" s="28"/>
      <c r="AE3471" s="28" t="n">
        <f aca="false">AD3471*$M3471</f>
        <v>0</v>
      </c>
      <c r="AF3471" s="28"/>
      <c r="AG3471" s="28" t="n">
        <f aca="false">AF3471*$M3471</f>
        <v>0</v>
      </c>
      <c r="AH3471" s="28" t="n">
        <f aca="false">1810/100</f>
        <v>18.1</v>
      </c>
      <c r="AI3471" s="28" t="n">
        <v>2172</v>
      </c>
      <c r="AJ3471" s="28"/>
      <c r="AK3471" s="28" t="n">
        <f aca="false">AJ3471*$M3471</f>
        <v>0</v>
      </c>
      <c r="AL3471" s="28"/>
      <c r="AM3471" s="28" t="n">
        <f aca="false">AL3471*$M3471</f>
        <v>0</v>
      </c>
      <c r="AN3471" s="28"/>
      <c r="AO3471" s="28" t="n">
        <f aca="false">AN3471*$M3471</f>
        <v>0</v>
      </c>
      <c r="AP3471" s="28"/>
      <c r="AQ3471" s="28" t="n">
        <f aca="false">AP3471*$M3471</f>
        <v>0</v>
      </c>
      <c r="AR3471" s="28"/>
      <c r="AS3471" s="28" t="n">
        <f aca="false">AR3471*$M3471</f>
        <v>0</v>
      </c>
      <c r="AT3471" s="28"/>
      <c r="AU3471" s="28" t="n">
        <f aca="false">AT3471*$M3471</f>
        <v>0</v>
      </c>
      <c r="AV3471" s="28"/>
      <c r="AW3471" s="28" t="n">
        <f aca="false">AV3471*$M3471</f>
        <v>0</v>
      </c>
      <c r="AX3471" s="28"/>
      <c r="AY3471" s="28" t="n">
        <f aca="false">AX3471*$M3471</f>
        <v>0</v>
      </c>
      <c r="AZ3471" s="30" t="n">
        <f aca="false">1810/100</f>
        <v>18.1</v>
      </c>
      <c r="BA3471" s="11" t="n">
        <v>2172</v>
      </c>
      <c r="BB3471" s="31" t="n">
        <f aca="false">SUM(Q3471,S3471,U3471,W3471,Y3471,AA3471,AC3471,AE3471,AG3471,AI3471,AK3471,AM3471,AO3471,AQ3471,AS3471,AU3471,AW3471,AY3471)</f>
        <v>2172</v>
      </c>
      <c r="BC3471" s="28" t="n">
        <f aca="false">BA3471-BB3471</f>
        <v>0</v>
      </c>
      <c r="BD3471" s="32" t="n">
        <f aca="false">SUM(P3471,R3471,T3471,V3471,X3471,Z3471,AB3471,AD3471,AF3471,AH3471,AJ3471,AL3471,AN3471,AP3471,AR3471,AT3471,AV3471,AX3471)</f>
        <v>18.1</v>
      </c>
      <c r="BE3471" s="33" t="n">
        <f aca="false">AZ3471-BD3471</f>
        <v>0</v>
      </c>
      <c r="BF3471" s="34" t="n">
        <f aca="false">BD3471*M3471</f>
        <v>2172</v>
      </c>
      <c r="BG3471" s="35" t="n">
        <f aca="false">BA3471-BF3471</f>
        <v>0</v>
      </c>
      <c r="BH3471" s="19" t="str">
        <f aca="false">IF(BG3471=0,"",IF(BG3471&lt;&gt;BA3471,"erreur de calcul",IF(BD3471&lt;&gt;0,"pas de prix",IF(M3471&lt;&gt; 0,"pas de quantité","pas de prix, ni de quantité"))))</f>
        <v/>
      </c>
      <c r="BI3471" s="19"/>
    </row>
    <row r="3472" customFormat="false" ht="15" hidden="false" customHeight="false" outlineLevel="0" collapsed="false">
      <c r="A3472" s="0" t="n">
        <v>23</v>
      </c>
      <c r="B3472" s="8" t="s">
        <v>24</v>
      </c>
      <c r="C3472" s="9" t="s">
        <v>25</v>
      </c>
      <c r="D3472" s="9" t="s">
        <v>26</v>
      </c>
      <c r="E3472" s="10" t="n">
        <v>1789</v>
      </c>
      <c r="F3472" s="9" t="s">
        <v>27</v>
      </c>
      <c r="G3472" s="9" t="s">
        <v>27</v>
      </c>
      <c r="H3472" s="11" t="n">
        <v>26</v>
      </c>
      <c r="I3472" s="41" t="s">
        <v>394</v>
      </c>
      <c r="J3472" s="14" t="n">
        <v>7</v>
      </c>
      <c r="K3472" s="14"/>
      <c r="L3472" s="16"/>
      <c r="M3472" s="27" t="n">
        <f aca="false">J3472+(K3472/20)+(L3472/240)</f>
        <v>7</v>
      </c>
      <c r="N3472" s="17" t="s">
        <v>64</v>
      </c>
      <c r="O3472" s="11"/>
      <c r="P3472" s="28" t="n">
        <f aca="false">11428/100</f>
        <v>114.28</v>
      </c>
      <c r="Q3472" s="28" t="n">
        <v>800</v>
      </c>
      <c r="R3472" s="28"/>
      <c r="S3472" s="28" t="n">
        <f aca="false">R3472*$M3472</f>
        <v>0</v>
      </c>
      <c r="T3472" s="28" t="n">
        <f aca="false">2084/100</f>
        <v>20.84</v>
      </c>
      <c r="U3472" s="36" t="n">
        <v>246</v>
      </c>
      <c r="V3472" s="28"/>
      <c r="W3472" s="28" t="n">
        <f aca="false">V3472*$M3472</f>
        <v>0</v>
      </c>
      <c r="X3472" s="28"/>
      <c r="Y3472" s="28" t="n">
        <f aca="false">X3472*$M3472</f>
        <v>0</v>
      </c>
      <c r="Z3472" s="28"/>
      <c r="AA3472" s="28" t="n">
        <f aca="false">Z3472*$M3472</f>
        <v>0</v>
      </c>
      <c r="AB3472" s="28"/>
      <c r="AC3472" s="28" t="n">
        <f aca="false">AB3472*$M3472</f>
        <v>0</v>
      </c>
      <c r="AD3472" s="28"/>
      <c r="AE3472" s="28" t="n">
        <f aca="false">AD3472*$M3472</f>
        <v>0</v>
      </c>
      <c r="AF3472" s="28" t="n">
        <f aca="false">6709/100</f>
        <v>67.09</v>
      </c>
      <c r="AG3472" s="28" t="n">
        <v>470</v>
      </c>
      <c r="AH3472" s="28"/>
      <c r="AI3472" s="28" t="n">
        <f aca="false">AH3472*$M3472</f>
        <v>0</v>
      </c>
      <c r="AJ3472" s="28"/>
      <c r="AK3472" s="28" t="n">
        <f aca="false">AJ3472*$M3472</f>
        <v>0</v>
      </c>
      <c r="AL3472" s="28"/>
      <c r="AM3472" s="28" t="n">
        <f aca="false">AL3472*$M3472</f>
        <v>0</v>
      </c>
      <c r="AN3472" s="28"/>
      <c r="AO3472" s="28" t="n">
        <f aca="false">AN3472*$M3472</f>
        <v>0</v>
      </c>
      <c r="AP3472" s="28"/>
      <c r="AQ3472" s="28" t="n">
        <f aca="false">AP3472*$M3472</f>
        <v>0</v>
      </c>
      <c r="AR3472" s="28"/>
      <c r="AS3472" s="28" t="n">
        <f aca="false">AR3472*$M3472</f>
        <v>0</v>
      </c>
      <c r="AT3472" s="28"/>
      <c r="AU3472" s="28" t="n">
        <f aca="false">AT3472*$M3472</f>
        <v>0</v>
      </c>
      <c r="AV3472" s="28"/>
      <c r="AW3472" s="28" t="n">
        <f aca="false">AV3472*$M3472</f>
        <v>0</v>
      </c>
      <c r="AX3472" s="28"/>
      <c r="AY3472" s="28" t="n">
        <f aca="false">AX3472*$M3472</f>
        <v>0</v>
      </c>
      <c r="AZ3472" s="30" t="n">
        <f aca="false">20221/100</f>
        <v>202.21</v>
      </c>
      <c r="BA3472" s="11" t="n">
        <v>1516</v>
      </c>
      <c r="BB3472" s="31" t="n">
        <f aca="false">SUM(Q3472,S3472,U3472,W3472,Y3472,AA3472,AC3472,AE3472,AG3472,AI3472,AK3472,AM3472,AO3472,AQ3472,AS3472,AU3472,AW3472,AY3472)</f>
        <v>1516</v>
      </c>
      <c r="BC3472" s="28" t="n">
        <f aca="false">BA3472-BB3472</f>
        <v>0</v>
      </c>
      <c r="BD3472" s="32" t="n">
        <f aca="false">SUM(P3472,R3472,T3472,V3472,X3472,Z3472,AB3472,AD3472,AF3472,AH3472,AJ3472,AL3472,AN3472,AP3472,AR3472,AT3472,AV3472,AX3472)</f>
        <v>202.21</v>
      </c>
      <c r="BE3472" s="33" t="n">
        <f aca="false">AZ3472-BD3472</f>
        <v>0</v>
      </c>
      <c r="BF3472" s="34" t="n">
        <f aca="false">BD3472*M3472</f>
        <v>1415.47</v>
      </c>
      <c r="BG3472" s="35" t="n">
        <f aca="false">BA3472-BF3472</f>
        <v>100.53</v>
      </c>
      <c r="BH3472" s="19" t="str">
        <f aca="false">IF(BG3472=0,"",IF(BG3472&lt;&gt;BA3472,"erreur de calcul",IF(BD3472&lt;&gt;0,"pas de prix",IF(M3472&lt;&gt; 0,"pas de quantité","pas de prix, ni de quantité"))))</f>
        <v>erreur de calcul</v>
      </c>
      <c r="BI3472" s="19"/>
    </row>
    <row r="3473" customFormat="false" ht="15" hidden="false" customHeight="false" outlineLevel="0" collapsed="false">
      <c r="A3473" s="0" t="n">
        <v>24</v>
      </c>
      <c r="B3473" s="8" t="s">
        <v>24</v>
      </c>
      <c r="C3473" s="9" t="s">
        <v>25</v>
      </c>
      <c r="D3473" s="9" t="s">
        <v>26</v>
      </c>
      <c r="E3473" s="10" t="n">
        <v>1789</v>
      </c>
      <c r="F3473" s="9" t="s">
        <v>27</v>
      </c>
      <c r="G3473" s="9" t="s">
        <v>27</v>
      </c>
      <c r="H3473" s="11" t="n">
        <v>26</v>
      </c>
      <c r="I3473" s="11" t="s">
        <v>395</v>
      </c>
      <c r="J3473" s="14" t="n">
        <v>40</v>
      </c>
      <c r="K3473" s="14"/>
      <c r="L3473" s="16"/>
      <c r="M3473" s="27" t="n">
        <f aca="false">J3473+(K3473/20)+(L3473/240)</f>
        <v>40</v>
      </c>
      <c r="N3473" s="17" t="s">
        <v>66</v>
      </c>
      <c r="O3473" s="11"/>
      <c r="P3473" s="28"/>
      <c r="Q3473" s="28" t="n">
        <f aca="false">P3473*$M3473</f>
        <v>0</v>
      </c>
      <c r="R3473" s="28"/>
      <c r="S3473" s="28" t="n">
        <f aca="false">R3473*$M3473</f>
        <v>0</v>
      </c>
      <c r="T3473" s="28" t="n">
        <v>2339</v>
      </c>
      <c r="U3473" s="28" t="n">
        <v>93560</v>
      </c>
      <c r="V3473" s="28" t="n">
        <v>38</v>
      </c>
      <c r="W3473" s="28" t="n">
        <v>1520</v>
      </c>
      <c r="X3473" s="28"/>
      <c r="Y3473" s="28" t="n">
        <f aca="false">X3473*$M3473</f>
        <v>0</v>
      </c>
      <c r="Z3473" s="28"/>
      <c r="AA3473" s="28" t="n">
        <f aca="false">Z3473*$M3473</f>
        <v>0</v>
      </c>
      <c r="AB3473" s="28"/>
      <c r="AC3473" s="28" t="n">
        <f aca="false">AB3473*$M3473</f>
        <v>0</v>
      </c>
      <c r="AD3473" s="28"/>
      <c r="AE3473" s="28" t="n">
        <f aca="false">AD3473*$M3473</f>
        <v>0</v>
      </c>
      <c r="AF3473" s="28"/>
      <c r="AG3473" s="28" t="n">
        <f aca="false">AF3473*$M3473</f>
        <v>0</v>
      </c>
      <c r="AH3473" s="28"/>
      <c r="AI3473" s="28" t="n">
        <f aca="false">AH3473*$M3473</f>
        <v>0</v>
      </c>
      <c r="AJ3473" s="28"/>
      <c r="AK3473" s="28" t="n">
        <f aca="false">AJ3473*$M3473</f>
        <v>0</v>
      </c>
      <c r="AL3473" s="28"/>
      <c r="AM3473" s="28" t="n">
        <f aca="false">AL3473*$M3473</f>
        <v>0</v>
      </c>
      <c r="AN3473" s="28"/>
      <c r="AO3473" s="28" t="n">
        <f aca="false">AN3473*$M3473</f>
        <v>0</v>
      </c>
      <c r="AP3473" s="28"/>
      <c r="AQ3473" s="28" t="n">
        <f aca="false">AP3473*$M3473</f>
        <v>0</v>
      </c>
      <c r="AR3473" s="28"/>
      <c r="AS3473" s="28" t="n">
        <f aca="false">AR3473*$M3473</f>
        <v>0</v>
      </c>
      <c r="AT3473" s="28"/>
      <c r="AU3473" s="28" t="n">
        <f aca="false">AT3473*$M3473</f>
        <v>0</v>
      </c>
      <c r="AV3473" s="28"/>
      <c r="AW3473" s="28" t="n">
        <f aca="false">AV3473*$M3473</f>
        <v>0</v>
      </c>
      <c r="AX3473" s="28"/>
      <c r="AY3473" s="28" t="n">
        <f aca="false">AX3473*$M3473</f>
        <v>0</v>
      </c>
      <c r="AZ3473" s="30" t="n">
        <v>2377</v>
      </c>
      <c r="BA3473" s="11" t="n">
        <v>95080</v>
      </c>
      <c r="BB3473" s="31" t="n">
        <f aca="false">SUM(Q3473,S3473,U3473,W3473,Y3473,AA3473,AC3473,AE3473,AG3473,AI3473,AK3473,AM3473,AO3473,AQ3473,AS3473,AU3473,AW3473,AY3473)</f>
        <v>95080</v>
      </c>
      <c r="BC3473" s="28" t="n">
        <f aca="false">BA3473-BB3473</f>
        <v>0</v>
      </c>
      <c r="BD3473" s="32" t="n">
        <f aca="false">SUM(P3473,R3473,T3473,V3473,X3473,Z3473,AB3473,AD3473,AF3473,AH3473,AJ3473,AL3473,AN3473,AP3473,AR3473,AT3473,AV3473,AX3473)</f>
        <v>2377</v>
      </c>
      <c r="BE3473" s="33" t="n">
        <f aca="false">AZ3473-BD3473</f>
        <v>0</v>
      </c>
      <c r="BF3473" s="34" t="n">
        <f aca="false">BD3473*M3473</f>
        <v>95080</v>
      </c>
      <c r="BG3473" s="35" t="n">
        <f aca="false">BA3473-BF3473</f>
        <v>0</v>
      </c>
      <c r="BH3473" s="19" t="str">
        <f aca="false">IF(BG3473=0,"",IF(BG3473&lt;&gt;BA3473,"erreur de calcul",IF(BD3473&lt;&gt;0,"pas de prix",IF(M3473&lt;&gt; 0,"pas de quantité","pas de prix, ni de quantité"))))</f>
        <v/>
      </c>
      <c r="BI3473" s="19"/>
    </row>
    <row r="3474" customFormat="false" ht="15" hidden="false" customHeight="false" outlineLevel="0" collapsed="false">
      <c r="A3474" s="0" t="n">
        <v>25</v>
      </c>
      <c r="B3474" s="8" t="s">
        <v>24</v>
      </c>
      <c r="C3474" s="9" t="s">
        <v>25</v>
      </c>
      <c r="D3474" s="9" t="s">
        <v>26</v>
      </c>
      <c r="E3474" s="10" t="n">
        <v>1789</v>
      </c>
      <c r="F3474" s="9" t="s">
        <v>27</v>
      </c>
      <c r="G3474" s="9" t="s">
        <v>27</v>
      </c>
      <c r="H3474" s="11" t="n">
        <v>26</v>
      </c>
      <c r="I3474" s="11" t="s">
        <v>396</v>
      </c>
      <c r="J3474" s="14" t="n">
        <v>2</v>
      </c>
      <c r="K3474" s="14" t="n">
        <v>10</v>
      </c>
      <c r="L3474" s="16"/>
      <c r="M3474" s="27" t="n">
        <f aca="false">J3474+(K3474/20)+(L3474/240)</f>
        <v>2.5</v>
      </c>
      <c r="N3474" s="17" t="s">
        <v>66</v>
      </c>
      <c r="O3474" s="11"/>
      <c r="P3474" s="28"/>
      <c r="Q3474" s="28" t="n">
        <f aca="false">P3474*$M3474</f>
        <v>0</v>
      </c>
      <c r="R3474" s="28"/>
      <c r="S3474" s="28" t="n">
        <f aca="false">R3474*$M3474</f>
        <v>0</v>
      </c>
      <c r="T3474" s="28"/>
      <c r="U3474" s="28" t="n">
        <f aca="false">T3474*$M3474</f>
        <v>0</v>
      </c>
      <c r="V3474" s="28"/>
      <c r="W3474" s="28" t="n">
        <f aca="false">V3474*$M3474</f>
        <v>0</v>
      </c>
      <c r="X3474" s="28"/>
      <c r="Y3474" s="28" t="n">
        <f aca="false">X3474*$M3474</f>
        <v>0</v>
      </c>
      <c r="Z3474" s="28"/>
      <c r="AA3474" s="28" t="n">
        <f aca="false">Z3474*$M3474</f>
        <v>0</v>
      </c>
      <c r="AB3474" s="28"/>
      <c r="AC3474" s="28" t="n">
        <f aca="false">AB3474*$M3474</f>
        <v>0</v>
      </c>
      <c r="AD3474" s="28"/>
      <c r="AE3474" s="28" t="n">
        <f aca="false">AD3474*$M3474</f>
        <v>0</v>
      </c>
      <c r="AF3474" s="28"/>
      <c r="AG3474" s="28" t="n">
        <f aca="false">AF3474*$M3474</f>
        <v>0</v>
      </c>
      <c r="AH3474" s="28"/>
      <c r="AI3474" s="28" t="n">
        <f aca="false">AH3474*$M3474</f>
        <v>0</v>
      </c>
      <c r="AJ3474" s="28" t="n">
        <v>7127</v>
      </c>
      <c r="AK3474" s="28" t="n">
        <v>17817</v>
      </c>
      <c r="AL3474" s="28"/>
      <c r="AM3474" s="28" t="n">
        <f aca="false">AL3474*$M3474</f>
        <v>0</v>
      </c>
      <c r="AN3474" s="28"/>
      <c r="AO3474" s="28" t="n">
        <f aca="false">AN3474*$M3474</f>
        <v>0</v>
      </c>
      <c r="AP3474" s="28"/>
      <c r="AQ3474" s="28" t="n">
        <f aca="false">AP3474*$M3474</f>
        <v>0</v>
      </c>
      <c r="AR3474" s="28"/>
      <c r="AS3474" s="28" t="n">
        <f aca="false">AR3474*$M3474</f>
        <v>0</v>
      </c>
      <c r="AT3474" s="28"/>
      <c r="AU3474" s="28" t="n">
        <f aca="false">AT3474*$M3474</f>
        <v>0</v>
      </c>
      <c r="AV3474" s="28"/>
      <c r="AW3474" s="28" t="n">
        <f aca="false">AV3474*$M3474</f>
        <v>0</v>
      </c>
      <c r="AX3474" s="28"/>
      <c r="AY3474" s="28" t="n">
        <f aca="false">AX3474*$M3474</f>
        <v>0</v>
      </c>
      <c r="AZ3474" s="30" t="n">
        <v>7127</v>
      </c>
      <c r="BA3474" s="11" t="n">
        <v>17817</v>
      </c>
      <c r="BB3474" s="31" t="n">
        <f aca="false">SUM(Q3474,S3474,U3474,W3474,Y3474,AA3474,AC3474,AE3474,AG3474,AI3474,AK3474,AM3474,AO3474,AQ3474,AS3474,AU3474,AW3474,AY3474)</f>
        <v>17817</v>
      </c>
      <c r="BC3474" s="28" t="n">
        <f aca="false">BA3474-BB3474</f>
        <v>0</v>
      </c>
      <c r="BD3474" s="32" t="n">
        <f aca="false">SUM(P3474,R3474,T3474,V3474,X3474,Z3474,AB3474,AD3474,AF3474,AH3474,AJ3474,AL3474,AN3474,AP3474,AR3474,AT3474,AV3474,AX3474)</f>
        <v>7127</v>
      </c>
      <c r="BE3474" s="33" t="n">
        <f aca="false">AZ3474-BD3474</f>
        <v>0</v>
      </c>
      <c r="BF3474" s="34" t="n">
        <f aca="false">BD3474*M3474</f>
        <v>17817.5</v>
      </c>
      <c r="BG3474" s="35" t="n">
        <f aca="false">BA3474-BF3474</f>
        <v>-0.5</v>
      </c>
      <c r="BH3474" s="19" t="str">
        <f aca="false">IF(BG3474=0,"",IF(BG3474&lt;&gt;BA3474,"erreur de calcul",IF(BD3474&lt;&gt;0,"pas de prix",IF(M3474&lt;&gt; 0,"pas de quantité","pas de prix, ni de quantité"))))</f>
        <v>erreur de calcul</v>
      </c>
      <c r="BI3474" s="19"/>
    </row>
    <row r="3475" customFormat="false" ht="15" hidden="false" customHeight="false" outlineLevel="0" collapsed="false">
      <c r="A3475" s="0" t="n">
        <v>26</v>
      </c>
      <c r="B3475" s="8" t="s">
        <v>24</v>
      </c>
      <c r="C3475" s="9" t="s">
        <v>25</v>
      </c>
      <c r="D3475" s="9" t="s">
        <v>26</v>
      </c>
      <c r="E3475" s="10" t="n">
        <v>1789</v>
      </c>
      <c r="F3475" s="9" t="s">
        <v>27</v>
      </c>
      <c r="G3475" s="9" t="s">
        <v>27</v>
      </c>
      <c r="H3475" s="11" t="n">
        <v>26</v>
      </c>
      <c r="I3475" s="11" t="s">
        <v>397</v>
      </c>
      <c r="J3475" s="14" t="n">
        <v>6</v>
      </c>
      <c r="K3475" s="14" t="n">
        <v>10</v>
      </c>
      <c r="L3475" s="16"/>
      <c r="M3475" s="27" t="n">
        <f aca="false">J3475+(K3475/20)+(L3475/240)</f>
        <v>6.5</v>
      </c>
      <c r="N3475" s="17" t="s">
        <v>64</v>
      </c>
      <c r="O3475" s="11"/>
      <c r="P3475" s="28"/>
      <c r="Q3475" s="28" t="n">
        <f aca="false">P3475*$M3475</f>
        <v>0</v>
      </c>
      <c r="R3475" s="28"/>
      <c r="S3475" s="28" t="n">
        <f aca="false">R3475*$M3475</f>
        <v>0</v>
      </c>
      <c r="T3475" s="28"/>
      <c r="U3475" s="28" t="n">
        <f aca="false">T3475*$M3475</f>
        <v>0</v>
      </c>
      <c r="V3475" s="28"/>
      <c r="W3475" s="28" t="n">
        <f aca="false">V3475*$M3475</f>
        <v>0</v>
      </c>
      <c r="X3475" s="28" t="n">
        <f aca="false">22000/100</f>
        <v>220</v>
      </c>
      <c r="Y3475" s="28" t="n">
        <v>1430</v>
      </c>
      <c r="Z3475" s="28"/>
      <c r="AA3475" s="28" t="n">
        <f aca="false">Z3475*$M3475</f>
        <v>0</v>
      </c>
      <c r="AB3475" s="28" t="n">
        <f aca="false">3575715/100</f>
        <v>35757.15</v>
      </c>
      <c r="AC3475" s="36" t="n">
        <v>214543</v>
      </c>
      <c r="AD3475" s="28"/>
      <c r="AE3475" s="28" t="n">
        <f aca="false">AD3475*$M3475</f>
        <v>0</v>
      </c>
      <c r="AF3475" s="28"/>
      <c r="AG3475" s="28" t="n">
        <f aca="false">AF3475*$M3475</f>
        <v>0</v>
      </c>
      <c r="AH3475" s="28"/>
      <c r="AI3475" s="28" t="n">
        <f aca="false">AH3475*$M3475</f>
        <v>0</v>
      </c>
      <c r="AJ3475" s="28"/>
      <c r="AK3475" s="28" t="n">
        <f aca="false">AJ3475*$M3475</f>
        <v>0</v>
      </c>
      <c r="AL3475" s="28"/>
      <c r="AM3475" s="28" t="n">
        <f aca="false">AL3475*$M3475</f>
        <v>0</v>
      </c>
      <c r="AN3475" s="28"/>
      <c r="AO3475" s="28" t="n">
        <f aca="false">AN3475*$M3475</f>
        <v>0</v>
      </c>
      <c r="AP3475" s="28"/>
      <c r="AQ3475" s="28" t="n">
        <f aca="false">AP3475*$M3475</f>
        <v>0</v>
      </c>
      <c r="AR3475" s="28"/>
      <c r="AS3475" s="28" t="n">
        <f aca="false">AR3475*$M3475</f>
        <v>0</v>
      </c>
      <c r="AT3475" s="28"/>
      <c r="AU3475" s="28" t="n">
        <f aca="false">AT3475*$M3475</f>
        <v>0</v>
      </c>
      <c r="AV3475" s="28"/>
      <c r="AW3475" s="28" t="n">
        <f aca="false">AV3475*$M3475</f>
        <v>0</v>
      </c>
      <c r="AX3475" s="28"/>
      <c r="AY3475" s="28" t="n">
        <f aca="false">AX3475*$M3475</f>
        <v>0</v>
      </c>
      <c r="AZ3475" s="30" t="n">
        <f aca="false">3597715/100</f>
        <v>35977.15</v>
      </c>
      <c r="BA3475" s="11" t="n">
        <v>215973</v>
      </c>
      <c r="BB3475" s="31" t="n">
        <f aca="false">SUM(Q3475,S3475,U3475,W3475,Y3475,AA3475,AC3475,AE3475,AG3475,AI3475,AK3475,AM3475,AO3475,AQ3475,AS3475,AU3475,AW3475,AY3475)</f>
        <v>215973</v>
      </c>
      <c r="BC3475" s="28" t="n">
        <f aca="false">BA3475-BB3475</f>
        <v>0</v>
      </c>
      <c r="BD3475" s="32" t="n">
        <f aca="false">SUM(P3475,R3475,T3475,V3475,X3475,Z3475,AB3475,AD3475,AF3475,AH3475,AJ3475,AL3475,AN3475,AP3475,AR3475,AT3475,AV3475,AX3475)</f>
        <v>35977.15</v>
      </c>
      <c r="BE3475" s="33" t="n">
        <f aca="false">AZ3475-BD3475</f>
        <v>0</v>
      </c>
      <c r="BF3475" s="34" t="n">
        <f aca="false">BD3475*M3475</f>
        <v>233851.475</v>
      </c>
      <c r="BG3475" s="35" t="n">
        <f aca="false">BA3475-BF3475</f>
        <v>-17878.475</v>
      </c>
      <c r="BH3475" s="19" t="str">
        <f aca="false">IF(BG3475=0,"",IF(BG3475&lt;&gt;BA3475,"erreur de calcul",IF(BD3475&lt;&gt;0,"pas de prix",IF(M3475&lt;&gt; 0,"pas de quantité","pas de prix, ni de quantité"))))</f>
        <v>erreur de calcul</v>
      </c>
      <c r="BI3475" s="19"/>
    </row>
    <row r="3476" customFormat="false" ht="15" hidden="false" customHeight="false" outlineLevel="0" collapsed="false">
      <c r="A3476" s="0" t="n">
        <v>27</v>
      </c>
      <c r="B3476" s="8" t="s">
        <v>24</v>
      </c>
      <c r="C3476" s="9" t="s">
        <v>25</v>
      </c>
      <c r="D3476" s="9" t="s">
        <v>26</v>
      </c>
      <c r="E3476" s="10" t="n">
        <v>1789</v>
      </c>
      <c r="F3476" s="9" t="s">
        <v>27</v>
      </c>
      <c r="G3476" s="9" t="s">
        <v>27</v>
      </c>
      <c r="H3476" s="11" t="n">
        <v>26</v>
      </c>
      <c r="I3476" s="11" t="s">
        <v>398</v>
      </c>
      <c r="J3476" s="14" t="n">
        <v>11</v>
      </c>
      <c r="K3476" s="14"/>
      <c r="L3476" s="16"/>
      <c r="M3476" s="27" t="n">
        <f aca="false">J3476+(K3476/20)+(L3476/240)</f>
        <v>11</v>
      </c>
      <c r="N3476" s="17" t="s">
        <v>64</v>
      </c>
      <c r="O3476" s="11"/>
      <c r="P3476" s="28" t="n">
        <f aca="false">166667/100</f>
        <v>1666.67</v>
      </c>
      <c r="Q3476" s="28" t="n">
        <v>18333</v>
      </c>
      <c r="R3476" s="28"/>
      <c r="S3476" s="28" t="n">
        <f aca="false">R3476*$M3476</f>
        <v>0</v>
      </c>
      <c r="T3476" s="28"/>
      <c r="U3476" s="28" t="n">
        <f aca="false">T3476*$M3476</f>
        <v>0</v>
      </c>
      <c r="V3476" s="28"/>
      <c r="W3476" s="28" t="n">
        <f aca="false">V3476*$M3476</f>
        <v>0</v>
      </c>
      <c r="X3476" s="28"/>
      <c r="Y3476" s="28" t="n">
        <f aca="false">X3476*$M3476</f>
        <v>0</v>
      </c>
      <c r="Z3476" s="28"/>
      <c r="AA3476" s="28" t="n">
        <f aca="false">Z3476*$M3476</f>
        <v>0</v>
      </c>
      <c r="AB3476" s="28" t="n">
        <f aca="false">3312/100</f>
        <v>33.12</v>
      </c>
      <c r="AC3476" s="28" t="n">
        <v>364</v>
      </c>
      <c r="AD3476" s="28"/>
      <c r="AE3476" s="28" t="n">
        <f aca="false">AD3476*$M3476</f>
        <v>0</v>
      </c>
      <c r="AF3476" s="28"/>
      <c r="AG3476" s="28" t="n">
        <f aca="false">AF3476*$M3476</f>
        <v>0</v>
      </c>
      <c r="AH3476" s="28"/>
      <c r="AI3476" s="28" t="n">
        <f aca="false">AH3476*$M3476</f>
        <v>0</v>
      </c>
      <c r="AJ3476" s="28"/>
      <c r="AK3476" s="28" t="n">
        <f aca="false">AJ3476*$M3476</f>
        <v>0</v>
      </c>
      <c r="AL3476" s="28"/>
      <c r="AM3476" s="28" t="n">
        <f aca="false">AL3476*$M3476</f>
        <v>0</v>
      </c>
      <c r="AN3476" s="28"/>
      <c r="AO3476" s="28" t="n">
        <f aca="false">AN3476*$M3476</f>
        <v>0</v>
      </c>
      <c r="AP3476" s="28"/>
      <c r="AQ3476" s="28" t="n">
        <f aca="false">AP3476*$M3476</f>
        <v>0</v>
      </c>
      <c r="AR3476" s="28"/>
      <c r="AS3476" s="28" t="n">
        <f aca="false">AR3476*$M3476</f>
        <v>0</v>
      </c>
      <c r="AT3476" s="28"/>
      <c r="AU3476" s="28" t="n">
        <f aca="false">AT3476*$M3476</f>
        <v>0</v>
      </c>
      <c r="AV3476" s="28"/>
      <c r="AW3476" s="28" t="n">
        <f aca="false">AV3476*$M3476</f>
        <v>0</v>
      </c>
      <c r="AX3476" s="28"/>
      <c r="AY3476" s="28" t="n">
        <f aca="false">AX3476*$M3476</f>
        <v>0</v>
      </c>
      <c r="AZ3476" s="30" t="n">
        <f aca="false">169979/100</f>
        <v>1699.79</v>
      </c>
      <c r="BA3476" s="11" t="n">
        <v>18697</v>
      </c>
      <c r="BB3476" s="31" t="n">
        <f aca="false">SUM(Q3476,S3476,U3476,W3476,Y3476,AA3476,AC3476,AE3476,AG3476,AI3476,AK3476,AM3476,AO3476,AQ3476,AS3476,AU3476,AW3476,AY3476)</f>
        <v>18697</v>
      </c>
      <c r="BC3476" s="28" t="n">
        <f aca="false">BA3476-BB3476</f>
        <v>0</v>
      </c>
      <c r="BD3476" s="32" t="n">
        <f aca="false">SUM(P3476,R3476,T3476,V3476,X3476,Z3476,AB3476,AD3476,AF3476,AH3476,AJ3476,AL3476,AN3476,AP3476,AR3476,AT3476,AV3476,AX3476)</f>
        <v>1699.79</v>
      </c>
      <c r="BE3476" s="33" t="n">
        <f aca="false">AZ3476-BD3476</f>
        <v>0</v>
      </c>
      <c r="BF3476" s="34" t="n">
        <f aca="false">BD3476*M3476</f>
        <v>18697.69</v>
      </c>
      <c r="BG3476" s="35" t="n">
        <f aca="false">BA3476-BF3476</f>
        <v>-0.68999999999869</v>
      </c>
      <c r="BH3476" s="19" t="str">
        <f aca="false">IF(BG3476=0,"",IF(BG3476&lt;&gt;BA3476,"erreur de calcul",IF(BD3476&lt;&gt;0,"pas de prix",IF(M3476&lt;&gt; 0,"pas de quantité","pas de prix, ni de quantité"))))</f>
        <v>erreur de calcul</v>
      </c>
      <c r="BI3476" s="19"/>
    </row>
    <row r="3477" customFormat="false" ht="15" hidden="false" customHeight="false" outlineLevel="0" collapsed="false">
      <c r="A3477" s="0" t="n">
        <v>28</v>
      </c>
      <c r="B3477" s="8" t="s">
        <v>24</v>
      </c>
      <c r="C3477" s="9" t="s">
        <v>25</v>
      </c>
      <c r="D3477" s="9" t="s">
        <v>26</v>
      </c>
      <c r="E3477" s="10" t="n">
        <v>1789</v>
      </c>
      <c r="F3477" s="9" t="s">
        <v>27</v>
      </c>
      <c r="G3477" s="9" t="s">
        <v>27</v>
      </c>
      <c r="H3477" s="11" t="n">
        <v>26</v>
      </c>
      <c r="I3477" s="11" t="s">
        <v>399</v>
      </c>
      <c r="J3477" s="14" t="n">
        <v>18</v>
      </c>
      <c r="K3477" s="14"/>
      <c r="L3477" s="16"/>
      <c r="M3477" s="27" t="n">
        <f aca="false">J3477+(K3477/20)+(L3477/240)</f>
        <v>18</v>
      </c>
      <c r="N3477" s="17" t="s">
        <v>66</v>
      </c>
      <c r="O3477" s="11"/>
      <c r="P3477" s="28"/>
      <c r="Q3477" s="28" t="n">
        <f aca="false">P3477*$M3477</f>
        <v>0</v>
      </c>
      <c r="R3477" s="28"/>
      <c r="S3477" s="28" t="n">
        <f aca="false">R3477*$M3477</f>
        <v>0</v>
      </c>
      <c r="T3477" s="28"/>
      <c r="U3477" s="28" t="n">
        <f aca="false">T3477*$M3477</f>
        <v>0</v>
      </c>
      <c r="V3477" s="28"/>
      <c r="W3477" s="28" t="n">
        <f aca="false">V3477*$M3477</f>
        <v>0</v>
      </c>
      <c r="X3477" s="28"/>
      <c r="Y3477" s="28" t="n">
        <f aca="false">X3477*$M3477</f>
        <v>0</v>
      </c>
      <c r="Z3477" s="28"/>
      <c r="AA3477" s="28" t="n">
        <f aca="false">Z3477*$M3477</f>
        <v>0</v>
      </c>
      <c r="AB3477" s="28"/>
      <c r="AC3477" s="28" t="n">
        <f aca="false">AB3477*$M3477</f>
        <v>0</v>
      </c>
      <c r="AD3477" s="28"/>
      <c r="AE3477" s="28" t="n">
        <f aca="false">AD3477*$M3477</f>
        <v>0</v>
      </c>
      <c r="AF3477" s="28"/>
      <c r="AG3477" s="28" t="n">
        <f aca="false">AF3477*$M3477</f>
        <v>0</v>
      </c>
      <c r="AH3477" s="28" t="n">
        <v>72036</v>
      </c>
      <c r="AI3477" s="28" t="n">
        <v>1296648</v>
      </c>
      <c r="AJ3477" s="28"/>
      <c r="AK3477" s="28" t="n">
        <f aca="false">AJ3477*$M3477</f>
        <v>0</v>
      </c>
      <c r="AL3477" s="28"/>
      <c r="AM3477" s="28" t="n">
        <f aca="false">AL3477*$M3477</f>
        <v>0</v>
      </c>
      <c r="AN3477" s="28"/>
      <c r="AO3477" s="28" t="n">
        <f aca="false">AN3477*$M3477</f>
        <v>0</v>
      </c>
      <c r="AP3477" s="28"/>
      <c r="AQ3477" s="28" t="n">
        <f aca="false">AP3477*$M3477</f>
        <v>0</v>
      </c>
      <c r="AR3477" s="28"/>
      <c r="AS3477" s="28" t="n">
        <f aca="false">AR3477*$M3477</f>
        <v>0</v>
      </c>
      <c r="AT3477" s="28"/>
      <c r="AU3477" s="28" t="n">
        <f aca="false">AT3477*$M3477</f>
        <v>0</v>
      </c>
      <c r="AV3477" s="28"/>
      <c r="AW3477" s="28" t="n">
        <f aca="false">AV3477*$M3477</f>
        <v>0</v>
      </c>
      <c r="AX3477" s="28"/>
      <c r="AY3477" s="28" t="n">
        <f aca="false">AX3477*$M3477</f>
        <v>0</v>
      </c>
      <c r="AZ3477" s="30" t="n">
        <v>72036</v>
      </c>
      <c r="BA3477" s="11" t="n">
        <v>1296648</v>
      </c>
      <c r="BB3477" s="31" t="n">
        <f aca="false">SUM(Q3477,S3477,U3477,W3477,Y3477,AA3477,AC3477,AE3477,AG3477,AI3477,AK3477,AM3477,AO3477,AQ3477,AS3477,AU3477,AW3477,AY3477)</f>
        <v>1296648</v>
      </c>
      <c r="BC3477" s="28" t="n">
        <f aca="false">BA3477-BB3477</f>
        <v>0</v>
      </c>
      <c r="BD3477" s="32" t="n">
        <f aca="false">SUM(P3477,R3477,T3477,V3477,X3477,Z3477,AB3477,AD3477,AF3477,AH3477,AJ3477,AL3477,AN3477,AP3477,AR3477,AT3477,AV3477,AX3477)</f>
        <v>72036</v>
      </c>
      <c r="BE3477" s="33" t="n">
        <f aca="false">AZ3477-BD3477</f>
        <v>0</v>
      </c>
      <c r="BF3477" s="34" t="n">
        <f aca="false">BD3477*M3477</f>
        <v>1296648</v>
      </c>
      <c r="BG3477" s="35" t="n">
        <f aca="false">BA3477-BF3477</f>
        <v>0</v>
      </c>
      <c r="BH3477" s="19" t="str">
        <f aca="false">IF(BG3477=0,"",IF(BG3477&lt;&gt;BA3477,"erreur de calcul",IF(BD3477&lt;&gt;0,"pas de prix",IF(M3477&lt;&gt; 0,"pas de quantité","pas de prix, ni de quantité"))))</f>
        <v/>
      </c>
      <c r="BI3477" s="19"/>
    </row>
    <row r="3478" customFormat="false" ht="15" hidden="false" customHeight="false" outlineLevel="0" collapsed="false">
      <c r="A3478" s="0" t="n">
        <v>29</v>
      </c>
      <c r="B3478" s="8" t="s">
        <v>24</v>
      </c>
      <c r="C3478" s="9" t="s">
        <v>25</v>
      </c>
      <c r="D3478" s="9" t="s">
        <v>26</v>
      </c>
      <c r="E3478" s="10" t="n">
        <v>1789</v>
      </c>
      <c r="F3478" s="9" t="s">
        <v>27</v>
      </c>
      <c r="G3478" s="9" t="s">
        <v>27</v>
      </c>
      <c r="H3478" s="11" t="n">
        <v>26</v>
      </c>
      <c r="I3478" s="11" t="s">
        <v>400</v>
      </c>
      <c r="J3478" s="14" t="n">
        <v>19</v>
      </c>
      <c r="K3478" s="14"/>
      <c r="L3478" s="16"/>
      <c r="M3478" s="27" t="n">
        <f aca="false">J3478+(K3478/20)+(L3478/240)</f>
        <v>19</v>
      </c>
      <c r="N3478" s="17" t="s">
        <v>66</v>
      </c>
      <c r="O3478" s="11"/>
      <c r="P3478" s="28"/>
      <c r="Q3478" s="28" t="n">
        <f aca="false">P3478*$M3478</f>
        <v>0</v>
      </c>
      <c r="R3478" s="28"/>
      <c r="S3478" s="28" t="n">
        <f aca="false">R3478*$M3478</f>
        <v>0</v>
      </c>
      <c r="T3478" s="28"/>
      <c r="U3478" s="28" t="n">
        <f aca="false">T3478*$M3478</f>
        <v>0</v>
      </c>
      <c r="V3478" s="28"/>
      <c r="W3478" s="28" t="n">
        <f aca="false">V3478*$M3478</f>
        <v>0</v>
      </c>
      <c r="X3478" s="28"/>
      <c r="Y3478" s="28" t="n">
        <f aca="false">X3478*$M3478</f>
        <v>0</v>
      </c>
      <c r="Z3478" s="28"/>
      <c r="AA3478" s="28" t="n">
        <f aca="false">Z3478*$M3478</f>
        <v>0</v>
      </c>
      <c r="AB3478" s="28" t="n">
        <v>1176</v>
      </c>
      <c r="AC3478" s="28" t="n">
        <v>22344</v>
      </c>
      <c r="AD3478" s="28"/>
      <c r="AE3478" s="28" t="n">
        <f aca="false">AD3478*$M3478</f>
        <v>0</v>
      </c>
      <c r="AF3478" s="28"/>
      <c r="AG3478" s="28" t="n">
        <f aca="false">AF3478*$M3478</f>
        <v>0</v>
      </c>
      <c r="AH3478" s="28"/>
      <c r="AI3478" s="28" t="n">
        <f aca="false">AH3478*$M3478</f>
        <v>0</v>
      </c>
      <c r="AJ3478" s="28"/>
      <c r="AK3478" s="28" t="n">
        <f aca="false">AJ3478*$M3478</f>
        <v>0</v>
      </c>
      <c r="AL3478" s="28"/>
      <c r="AM3478" s="28" t="n">
        <f aca="false">AL3478*$M3478</f>
        <v>0</v>
      </c>
      <c r="AN3478" s="28"/>
      <c r="AO3478" s="28" t="n">
        <f aca="false">AN3478*$M3478</f>
        <v>0</v>
      </c>
      <c r="AP3478" s="28"/>
      <c r="AQ3478" s="28" t="n">
        <f aca="false">AP3478*$M3478</f>
        <v>0</v>
      </c>
      <c r="AR3478" s="28"/>
      <c r="AS3478" s="28" t="n">
        <f aca="false">AR3478*$M3478</f>
        <v>0</v>
      </c>
      <c r="AT3478" s="28"/>
      <c r="AU3478" s="28" t="n">
        <f aca="false">AT3478*$M3478</f>
        <v>0</v>
      </c>
      <c r="AV3478" s="28"/>
      <c r="AW3478" s="28" t="n">
        <f aca="false">AV3478*$M3478</f>
        <v>0</v>
      </c>
      <c r="AX3478" s="28"/>
      <c r="AY3478" s="28" t="n">
        <f aca="false">AX3478*$M3478</f>
        <v>0</v>
      </c>
      <c r="AZ3478" s="30" t="n">
        <v>1176</v>
      </c>
      <c r="BA3478" s="11" t="n">
        <v>22344</v>
      </c>
      <c r="BB3478" s="31" t="n">
        <f aca="false">SUM(Q3478,S3478,U3478,W3478,Y3478,AA3478,AC3478,AE3478,AG3478,AI3478,AK3478,AM3478,AO3478,AQ3478,AS3478,AU3478,AW3478,AY3478)</f>
        <v>22344</v>
      </c>
      <c r="BC3478" s="28" t="n">
        <f aca="false">BA3478-BB3478</f>
        <v>0</v>
      </c>
      <c r="BD3478" s="32" t="n">
        <f aca="false">SUM(P3478,R3478,T3478,V3478,X3478,Z3478,AB3478,AD3478,AF3478,AH3478,AJ3478,AL3478,AN3478,AP3478,AR3478,AT3478,AV3478,AX3478)</f>
        <v>1176</v>
      </c>
      <c r="BE3478" s="33" t="n">
        <f aca="false">AZ3478-BD3478</f>
        <v>0</v>
      </c>
      <c r="BF3478" s="34" t="n">
        <f aca="false">BD3478*M3478</f>
        <v>22344</v>
      </c>
      <c r="BG3478" s="35" t="n">
        <f aca="false">BA3478-BF3478</f>
        <v>0</v>
      </c>
      <c r="BH3478" s="19" t="str">
        <f aca="false">IF(BG3478=0,"",IF(BG3478&lt;&gt;BA3478,"erreur de calcul",IF(BD3478&lt;&gt;0,"pas de prix",IF(M3478&lt;&gt; 0,"pas de quantité","pas de prix, ni de quantité"))))</f>
        <v/>
      </c>
      <c r="BI3478" s="19"/>
    </row>
    <row r="3479" customFormat="false" ht="15" hidden="false" customHeight="false" outlineLevel="0" collapsed="false">
      <c r="A3479" s="0" t="n">
        <v>30</v>
      </c>
      <c r="B3479" s="8" t="s">
        <v>24</v>
      </c>
      <c r="C3479" s="9" t="s">
        <v>25</v>
      </c>
      <c r="D3479" s="9" t="s">
        <v>26</v>
      </c>
      <c r="E3479" s="10" t="n">
        <v>1789</v>
      </c>
      <c r="F3479" s="9" t="s">
        <v>27</v>
      </c>
      <c r="G3479" s="9" t="s">
        <v>27</v>
      </c>
      <c r="H3479" s="11" t="n">
        <v>26</v>
      </c>
      <c r="I3479" s="11" t="s">
        <v>401</v>
      </c>
      <c r="J3479" s="14" t="n">
        <v>20</v>
      </c>
      <c r="K3479" s="14"/>
      <c r="L3479" s="16"/>
      <c r="M3479" s="27" t="n">
        <f aca="false">J3479+(K3479/20)+(L3479/240)</f>
        <v>20</v>
      </c>
      <c r="N3479" s="17" t="s">
        <v>66</v>
      </c>
      <c r="O3479" s="11"/>
      <c r="P3479" s="28"/>
      <c r="Q3479" s="28" t="n">
        <f aca="false">P3479*$M3479</f>
        <v>0</v>
      </c>
      <c r="R3479" s="28"/>
      <c r="S3479" s="28" t="n">
        <f aca="false">R3479*$M3479</f>
        <v>0</v>
      </c>
      <c r="T3479" s="28" t="n">
        <v>7478</v>
      </c>
      <c r="U3479" s="28" t="n">
        <v>149560</v>
      </c>
      <c r="V3479" s="28" t="n">
        <v>3386</v>
      </c>
      <c r="W3479" s="36" t="n">
        <v>66720</v>
      </c>
      <c r="X3479" s="28" t="n">
        <v>2233</v>
      </c>
      <c r="Y3479" s="28" t="n">
        <v>44660</v>
      </c>
      <c r="Z3479" s="28" t="n">
        <v>867</v>
      </c>
      <c r="AA3479" s="28" t="n">
        <v>17340</v>
      </c>
      <c r="AB3479" s="28" t="n">
        <v>32380</v>
      </c>
      <c r="AC3479" s="28" t="n">
        <v>647600</v>
      </c>
      <c r="AD3479" s="28"/>
      <c r="AE3479" s="28" t="n">
        <f aca="false">AD3479*$M3479</f>
        <v>0</v>
      </c>
      <c r="AF3479" s="28"/>
      <c r="AG3479" s="28" t="n">
        <f aca="false">AF3479*$M3479</f>
        <v>0</v>
      </c>
      <c r="AH3479" s="28" t="n">
        <v>12038</v>
      </c>
      <c r="AI3479" s="28" t="n">
        <v>240760</v>
      </c>
      <c r="AJ3479" s="28"/>
      <c r="AK3479" s="28" t="n">
        <f aca="false">AJ3479*$M3479</f>
        <v>0</v>
      </c>
      <c r="AL3479" s="28"/>
      <c r="AM3479" s="28" t="n">
        <f aca="false">AL3479*$M3479</f>
        <v>0</v>
      </c>
      <c r="AN3479" s="28"/>
      <c r="AO3479" s="28" t="n">
        <f aca="false">AN3479*$M3479</f>
        <v>0</v>
      </c>
      <c r="AP3479" s="28"/>
      <c r="AQ3479" s="28" t="n">
        <f aca="false">AP3479*$M3479</f>
        <v>0</v>
      </c>
      <c r="AR3479" s="28"/>
      <c r="AS3479" s="28" t="n">
        <f aca="false">AR3479*$M3479</f>
        <v>0</v>
      </c>
      <c r="AT3479" s="28"/>
      <c r="AU3479" s="28" t="n">
        <f aca="false">AT3479*$M3479</f>
        <v>0</v>
      </c>
      <c r="AV3479" s="28"/>
      <c r="AW3479" s="28" t="n">
        <f aca="false">AV3479*$M3479</f>
        <v>0</v>
      </c>
      <c r="AX3479" s="28"/>
      <c r="AY3479" s="28" t="n">
        <f aca="false">AX3479*$M3479</f>
        <v>0</v>
      </c>
      <c r="AZ3479" s="30" t="n">
        <v>58382</v>
      </c>
      <c r="BA3479" s="11" t="n">
        <v>1166640</v>
      </c>
      <c r="BB3479" s="31" t="n">
        <f aca="false">SUM(Q3479,S3479,U3479,W3479,Y3479,AA3479,AC3479,AE3479,AG3479,AI3479,AK3479,AM3479,AO3479,AQ3479,AS3479,AU3479,AW3479,AY3479)</f>
        <v>1166640</v>
      </c>
      <c r="BC3479" s="28" t="n">
        <f aca="false">BA3479-BB3479</f>
        <v>0</v>
      </c>
      <c r="BD3479" s="32" t="n">
        <f aca="false">SUM(P3479,R3479,T3479,V3479,X3479,Z3479,AB3479,AD3479,AF3479,AH3479,AJ3479,AL3479,AN3479,AP3479,AR3479,AT3479,AV3479,AX3479)</f>
        <v>58382</v>
      </c>
      <c r="BE3479" s="33" t="n">
        <f aca="false">AZ3479-BD3479</f>
        <v>0</v>
      </c>
      <c r="BF3479" s="34" t="n">
        <f aca="false">BD3479*M3479</f>
        <v>1167640</v>
      </c>
      <c r="BG3479" s="35" t="n">
        <f aca="false">BA3479-BF3479</f>
        <v>-1000</v>
      </c>
      <c r="BH3479" s="19" t="str">
        <f aca="false">IF(BG3479=0,"",IF(BG3479&lt;&gt;BA3479,"erreur de calcul",IF(BD3479&lt;&gt;0,"pas de prix",IF(M3479&lt;&gt; 0,"pas de quantité","pas de prix, ni de quantité"))))</f>
        <v>erreur de calcul</v>
      </c>
      <c r="BI3479" s="19"/>
    </row>
    <row r="3480" customFormat="false" ht="15" hidden="false" customHeight="false" outlineLevel="0" collapsed="false">
      <c r="A3480" s="0" t="n">
        <v>31</v>
      </c>
      <c r="B3480" s="8" t="s">
        <v>24</v>
      </c>
      <c r="C3480" s="9" t="s">
        <v>25</v>
      </c>
      <c r="D3480" s="9" t="s">
        <v>26</v>
      </c>
      <c r="E3480" s="10" t="n">
        <v>1789</v>
      </c>
      <c r="F3480" s="9" t="s">
        <v>27</v>
      </c>
      <c r="G3480" s="9" t="s">
        <v>27</v>
      </c>
      <c r="H3480" s="11" t="n">
        <v>26</v>
      </c>
      <c r="I3480" s="11" t="s">
        <v>402</v>
      </c>
      <c r="J3480" s="14" t="n">
        <v>17</v>
      </c>
      <c r="K3480" s="14"/>
      <c r="L3480" s="16"/>
      <c r="M3480" s="27" t="n">
        <f aca="false">J3480+(K3480/20)+(L3480/240)</f>
        <v>17</v>
      </c>
      <c r="N3480" s="17" t="s">
        <v>66</v>
      </c>
      <c r="O3480" s="11"/>
      <c r="P3480" s="28"/>
      <c r="Q3480" s="28" t="n">
        <f aca="false">P3480*$M3480</f>
        <v>0</v>
      </c>
      <c r="R3480" s="28"/>
      <c r="S3480" s="28" t="n">
        <f aca="false">R3480*$M3480</f>
        <v>0</v>
      </c>
      <c r="T3480" s="28" t="n">
        <v>126481</v>
      </c>
      <c r="U3480" s="28" t="n">
        <v>2150177</v>
      </c>
      <c r="V3480" s="28"/>
      <c r="W3480" s="28" t="n">
        <f aca="false">V3480*$M3480</f>
        <v>0</v>
      </c>
      <c r="X3480" s="28"/>
      <c r="Y3480" s="28" t="n">
        <f aca="false">X3480*$M3480</f>
        <v>0</v>
      </c>
      <c r="Z3480" s="28"/>
      <c r="AA3480" s="28" t="n">
        <f aca="false">Z3480*$M3480</f>
        <v>0</v>
      </c>
      <c r="AB3480" s="28"/>
      <c r="AC3480" s="28" t="n">
        <f aca="false">AB3480*$M3480</f>
        <v>0</v>
      </c>
      <c r="AD3480" s="28"/>
      <c r="AE3480" s="28" t="n">
        <f aca="false">AD3480*$M3480</f>
        <v>0</v>
      </c>
      <c r="AF3480" s="28"/>
      <c r="AG3480" s="28" t="n">
        <f aca="false">AF3480*$M3480</f>
        <v>0</v>
      </c>
      <c r="AH3480" s="28"/>
      <c r="AI3480" s="28" t="n">
        <f aca="false">AH3480*$M3480</f>
        <v>0</v>
      </c>
      <c r="AJ3480" s="28"/>
      <c r="AK3480" s="28" t="n">
        <f aca="false">AJ3480*$M3480</f>
        <v>0</v>
      </c>
      <c r="AL3480" s="28"/>
      <c r="AM3480" s="28" t="n">
        <f aca="false">AL3480*$M3480</f>
        <v>0</v>
      </c>
      <c r="AN3480" s="28"/>
      <c r="AO3480" s="28" t="n">
        <f aca="false">AN3480*$M3480</f>
        <v>0</v>
      </c>
      <c r="AP3480" s="28"/>
      <c r="AQ3480" s="28" t="n">
        <f aca="false">AP3480*$M3480</f>
        <v>0</v>
      </c>
      <c r="AR3480" s="28"/>
      <c r="AS3480" s="28" t="n">
        <f aca="false">AR3480*$M3480</f>
        <v>0</v>
      </c>
      <c r="AT3480" s="28"/>
      <c r="AU3480" s="28" t="n">
        <f aca="false">AT3480*$M3480</f>
        <v>0</v>
      </c>
      <c r="AV3480" s="28"/>
      <c r="AW3480" s="28" t="n">
        <f aca="false">AV3480*$M3480</f>
        <v>0</v>
      </c>
      <c r="AX3480" s="28"/>
      <c r="AY3480" s="28" t="n">
        <f aca="false">AX3480*$M3480</f>
        <v>0</v>
      </c>
      <c r="AZ3480" s="30" t="n">
        <v>126481</v>
      </c>
      <c r="BA3480" s="11" t="n">
        <v>2150177</v>
      </c>
      <c r="BB3480" s="31" t="n">
        <f aca="false">SUM(Q3480,S3480,U3480,W3480,Y3480,AA3480,AC3480,AE3480,AG3480,AI3480,AK3480,AM3480,AO3480,AQ3480,AS3480,AU3480,AW3480,AY3480)</f>
        <v>2150177</v>
      </c>
      <c r="BC3480" s="28" t="n">
        <f aca="false">BA3480-BB3480</f>
        <v>0</v>
      </c>
      <c r="BD3480" s="32" t="n">
        <f aca="false">SUM(P3480,R3480,T3480,V3480,X3480,Z3480,AB3480,AD3480,AF3480,AH3480,AJ3480,AL3480,AN3480,AP3480,AR3480,AT3480,AV3480,AX3480)</f>
        <v>126481</v>
      </c>
      <c r="BE3480" s="33" t="n">
        <f aca="false">AZ3480-BD3480</f>
        <v>0</v>
      </c>
      <c r="BF3480" s="34" t="n">
        <f aca="false">BD3480*M3480</f>
        <v>2150177</v>
      </c>
      <c r="BG3480" s="35" t="n">
        <f aca="false">BA3480-BF3480</f>
        <v>0</v>
      </c>
      <c r="BH3480" s="19" t="str">
        <f aca="false">IF(BG3480=0,"",IF(BG3480&lt;&gt;BA3480,"erreur de calcul",IF(BD3480&lt;&gt;0,"pas de prix",IF(M3480&lt;&gt; 0,"pas de quantité","pas de prix, ni de quantité"))))</f>
        <v/>
      </c>
      <c r="BI3480" s="19"/>
    </row>
    <row r="3481" customFormat="false" ht="15" hidden="false" customHeight="false" outlineLevel="0" collapsed="false">
      <c r="A3481" s="0" t="n">
        <v>32</v>
      </c>
      <c r="B3481" s="8" t="s">
        <v>24</v>
      </c>
      <c r="C3481" s="9" t="s">
        <v>25</v>
      </c>
      <c r="D3481" s="9" t="s">
        <v>26</v>
      </c>
      <c r="E3481" s="10" t="n">
        <v>1789</v>
      </c>
      <c r="F3481" s="9" t="s">
        <v>27</v>
      </c>
      <c r="G3481" s="9" t="s">
        <v>27</v>
      </c>
      <c r="H3481" s="11" t="n">
        <v>26</v>
      </c>
      <c r="I3481" s="11" t="s">
        <v>403</v>
      </c>
      <c r="J3481" s="14" t="n">
        <v>28</v>
      </c>
      <c r="K3481" s="14"/>
      <c r="L3481" s="16"/>
      <c r="M3481" s="27" t="n">
        <f aca="false">J3481+(K3481/20)+(L3481/240)</f>
        <v>28</v>
      </c>
      <c r="N3481" s="17" t="s">
        <v>66</v>
      </c>
      <c r="O3481" s="11"/>
      <c r="P3481" s="28"/>
      <c r="Q3481" s="28" t="n">
        <f aca="false">P3481*$M3481</f>
        <v>0</v>
      </c>
      <c r="R3481" s="28"/>
      <c r="S3481" s="28" t="n">
        <f aca="false">R3481*$M3481</f>
        <v>0</v>
      </c>
      <c r="T3481" s="28"/>
      <c r="U3481" s="28" t="n">
        <f aca="false">T3481*$M3481</f>
        <v>0</v>
      </c>
      <c r="V3481" s="28" t="n">
        <v>1923</v>
      </c>
      <c r="W3481" s="28" t="n">
        <v>53844</v>
      </c>
      <c r="X3481" s="28" t="n">
        <v>7280</v>
      </c>
      <c r="Y3481" s="36" t="n">
        <v>203860</v>
      </c>
      <c r="Z3481" s="28"/>
      <c r="AA3481" s="28" t="n">
        <f aca="false">Z3481*$M3481</f>
        <v>0</v>
      </c>
      <c r="AB3481" s="28" t="n">
        <v>128803</v>
      </c>
      <c r="AC3481" s="28" t="n">
        <v>3606484</v>
      </c>
      <c r="AD3481" s="28"/>
      <c r="AE3481" s="28" t="n">
        <f aca="false">AD3481*$M3481</f>
        <v>0</v>
      </c>
      <c r="AF3481" s="28"/>
      <c r="AG3481" s="28" t="n">
        <f aca="false">AF3481*$M3481</f>
        <v>0</v>
      </c>
      <c r="AH3481" s="28"/>
      <c r="AI3481" s="28" t="n">
        <f aca="false">AH3481*$M3481</f>
        <v>0</v>
      </c>
      <c r="AJ3481" s="28"/>
      <c r="AK3481" s="28" t="n">
        <f aca="false">AJ3481*$M3481</f>
        <v>0</v>
      </c>
      <c r="AL3481" s="28"/>
      <c r="AM3481" s="28" t="n">
        <f aca="false">AL3481*$M3481</f>
        <v>0</v>
      </c>
      <c r="AN3481" s="28"/>
      <c r="AO3481" s="28" t="n">
        <f aca="false">AN3481*$M3481</f>
        <v>0</v>
      </c>
      <c r="AP3481" s="28"/>
      <c r="AQ3481" s="28" t="n">
        <f aca="false">AP3481*$M3481</f>
        <v>0</v>
      </c>
      <c r="AR3481" s="28"/>
      <c r="AS3481" s="28" t="n">
        <f aca="false">AR3481*$M3481</f>
        <v>0</v>
      </c>
      <c r="AT3481" s="28"/>
      <c r="AU3481" s="28" t="n">
        <f aca="false">AT3481*$M3481</f>
        <v>0</v>
      </c>
      <c r="AV3481" s="28"/>
      <c r="AW3481" s="28" t="n">
        <f aca="false">AV3481*$M3481</f>
        <v>0</v>
      </c>
      <c r="AX3481" s="28"/>
      <c r="AY3481" s="28" t="n">
        <f aca="false">AX3481*$M3481</f>
        <v>0</v>
      </c>
      <c r="AZ3481" s="30" t="n">
        <v>138006</v>
      </c>
      <c r="BA3481" s="11" t="n">
        <v>3864188</v>
      </c>
      <c r="BB3481" s="31" t="n">
        <f aca="false">SUM(Q3481,S3481,U3481,W3481,Y3481,AA3481,AC3481,AE3481,AG3481,AI3481,AK3481,AM3481,AO3481,AQ3481,AS3481,AU3481,AW3481,AY3481)</f>
        <v>3864188</v>
      </c>
      <c r="BC3481" s="28" t="n">
        <f aca="false">BA3481-BB3481</f>
        <v>0</v>
      </c>
      <c r="BD3481" s="32" t="n">
        <f aca="false">SUM(P3481,R3481,T3481,V3481,X3481,Z3481,AB3481,AD3481,AF3481,AH3481,AJ3481,AL3481,AN3481,AP3481,AR3481,AT3481,AV3481,AX3481)</f>
        <v>138006</v>
      </c>
      <c r="BE3481" s="33" t="n">
        <f aca="false">AZ3481-BD3481</f>
        <v>0</v>
      </c>
      <c r="BF3481" s="34" t="n">
        <f aca="false">BD3481*M3481</f>
        <v>3864168</v>
      </c>
      <c r="BG3481" s="35" t="n">
        <f aca="false">BA3481-BF3481</f>
        <v>20</v>
      </c>
      <c r="BH3481" s="19" t="str">
        <f aca="false">IF(BG3481=0,"",IF(BG3481&lt;&gt;BA3481,"erreur de calcul",IF(BD3481&lt;&gt;0,"pas de prix",IF(M3481&lt;&gt; 0,"pas de quantité","pas de prix, ni de quantité"))))</f>
        <v>erreur de calcul</v>
      </c>
      <c r="BI3481" s="19"/>
    </row>
    <row r="3482" customFormat="false" ht="15" hidden="false" customHeight="false" outlineLevel="0" collapsed="false">
      <c r="A3482" s="0" t="n">
        <v>33</v>
      </c>
      <c r="B3482" s="8" t="s">
        <v>24</v>
      </c>
      <c r="C3482" s="9" t="s">
        <v>25</v>
      </c>
      <c r="D3482" s="9" t="s">
        <v>26</v>
      </c>
      <c r="E3482" s="10" t="n">
        <v>1789</v>
      </c>
      <c r="F3482" s="9" t="s">
        <v>27</v>
      </c>
      <c r="G3482" s="9" t="s">
        <v>27</v>
      </c>
      <c r="H3482" s="11" t="n">
        <v>26</v>
      </c>
      <c r="I3482" s="11" t="s">
        <v>404</v>
      </c>
      <c r="J3482" s="14"/>
      <c r="K3482" s="14" t="n">
        <v>30</v>
      </c>
      <c r="L3482" s="16"/>
      <c r="M3482" s="27" t="n">
        <f aca="false">J3482+(K3482/20)+(L3482/240)</f>
        <v>1.5</v>
      </c>
      <c r="N3482" s="17" t="s">
        <v>66</v>
      </c>
      <c r="O3482" s="11"/>
      <c r="P3482" s="28"/>
      <c r="Q3482" s="28" t="n">
        <f aca="false">P3482*$M3482</f>
        <v>0</v>
      </c>
      <c r="R3482" s="28"/>
      <c r="S3482" s="28" t="n">
        <f aca="false">R3482*$M3482</f>
        <v>0</v>
      </c>
      <c r="T3482" s="28" t="n">
        <v>11245</v>
      </c>
      <c r="U3482" s="28" t="n">
        <v>16867</v>
      </c>
      <c r="V3482" s="28"/>
      <c r="W3482" s="28" t="n">
        <f aca="false">V3482*$M3482</f>
        <v>0</v>
      </c>
      <c r="X3482" s="28"/>
      <c r="Y3482" s="28" t="n">
        <f aca="false">X3482*$M3482</f>
        <v>0</v>
      </c>
      <c r="Z3482" s="28"/>
      <c r="AA3482" s="28" t="n">
        <f aca="false">Z3482*$M3482</f>
        <v>0</v>
      </c>
      <c r="AB3482" s="28"/>
      <c r="AC3482" s="28" t="n">
        <f aca="false">AB3482*$M3482</f>
        <v>0</v>
      </c>
      <c r="AD3482" s="28"/>
      <c r="AE3482" s="28" t="n">
        <f aca="false">AD3482*$M3482</f>
        <v>0</v>
      </c>
      <c r="AF3482" s="28"/>
      <c r="AG3482" s="28" t="n">
        <f aca="false">AF3482*$M3482</f>
        <v>0</v>
      </c>
      <c r="AH3482" s="28"/>
      <c r="AI3482" s="28" t="n">
        <f aca="false">AH3482*$M3482</f>
        <v>0</v>
      </c>
      <c r="AJ3482" s="28"/>
      <c r="AK3482" s="28" t="n">
        <f aca="false">AJ3482*$M3482</f>
        <v>0</v>
      </c>
      <c r="AL3482" s="28"/>
      <c r="AM3482" s="28" t="n">
        <f aca="false">AL3482*$M3482</f>
        <v>0</v>
      </c>
      <c r="AN3482" s="28"/>
      <c r="AO3482" s="28" t="n">
        <f aca="false">AN3482*$M3482</f>
        <v>0</v>
      </c>
      <c r="AP3482" s="28"/>
      <c r="AQ3482" s="28" t="n">
        <f aca="false">AP3482*$M3482</f>
        <v>0</v>
      </c>
      <c r="AR3482" s="28"/>
      <c r="AS3482" s="28" t="n">
        <f aca="false">AR3482*$M3482</f>
        <v>0</v>
      </c>
      <c r="AT3482" s="28"/>
      <c r="AU3482" s="28" t="n">
        <f aca="false">AT3482*$M3482</f>
        <v>0</v>
      </c>
      <c r="AV3482" s="28"/>
      <c r="AW3482" s="28" t="n">
        <f aca="false">AV3482*$M3482</f>
        <v>0</v>
      </c>
      <c r="AX3482" s="28"/>
      <c r="AY3482" s="28" t="n">
        <f aca="false">AX3482*$M3482</f>
        <v>0</v>
      </c>
      <c r="AZ3482" s="30" t="n">
        <v>11245</v>
      </c>
      <c r="BA3482" s="11" t="n">
        <v>16867</v>
      </c>
      <c r="BB3482" s="31" t="n">
        <f aca="false">SUM(Q3482,S3482,U3482,W3482,Y3482,AA3482,AC3482,AE3482,AG3482,AI3482,AK3482,AM3482,AO3482,AQ3482,AS3482,AU3482,AW3482,AY3482)</f>
        <v>16867</v>
      </c>
      <c r="BC3482" s="28" t="n">
        <f aca="false">BA3482-BB3482</f>
        <v>0</v>
      </c>
      <c r="BD3482" s="32" t="n">
        <f aca="false">SUM(P3482,R3482,T3482,V3482,X3482,Z3482,AB3482,AD3482,AF3482,AH3482,AJ3482,AL3482,AN3482,AP3482,AR3482,AT3482,AV3482,AX3482)</f>
        <v>11245</v>
      </c>
      <c r="BE3482" s="33" t="n">
        <f aca="false">AZ3482-BD3482</f>
        <v>0</v>
      </c>
      <c r="BF3482" s="34" t="n">
        <f aca="false">BD3482*M3482</f>
        <v>16867.5</v>
      </c>
      <c r="BG3482" s="35" t="n">
        <f aca="false">BA3482-BF3482</f>
        <v>-0.5</v>
      </c>
      <c r="BH3482" s="19" t="str">
        <f aca="false">IF(BG3482=0,"",IF(BG3482&lt;&gt;BA3482,"erreur de calcul",IF(BD3482&lt;&gt;0,"pas de prix",IF(M3482&lt;&gt; 0,"pas de quantité","pas de prix, ni de quantité"))))</f>
        <v>erreur de calcul</v>
      </c>
      <c r="BI3482" s="19"/>
    </row>
    <row r="3483" customFormat="false" ht="15" hidden="false" customHeight="false" outlineLevel="0" collapsed="false">
      <c r="A3483" s="0" t="n">
        <v>34</v>
      </c>
      <c r="B3483" s="8" t="s">
        <v>24</v>
      </c>
      <c r="C3483" s="9" t="s">
        <v>25</v>
      </c>
      <c r="D3483" s="9" t="s">
        <v>26</v>
      </c>
      <c r="E3483" s="10" t="n">
        <v>1789</v>
      </c>
      <c r="F3483" s="9" t="s">
        <v>27</v>
      </c>
      <c r="G3483" s="9" t="s">
        <v>27</v>
      </c>
      <c r="H3483" s="11" t="n">
        <v>26</v>
      </c>
      <c r="I3483" s="11" t="s">
        <v>405</v>
      </c>
      <c r="J3483" s="14"/>
      <c r="K3483" s="14" t="n">
        <v>40</v>
      </c>
      <c r="L3483" s="16"/>
      <c r="M3483" s="27" t="n">
        <f aca="false">J3483+(K3483/20)+(L3483/240)</f>
        <v>2</v>
      </c>
      <c r="N3483" s="17" t="s">
        <v>66</v>
      </c>
      <c r="O3483" s="11"/>
      <c r="P3483" s="28"/>
      <c r="Q3483" s="28" t="n">
        <f aca="false">P3483*$M3483</f>
        <v>0</v>
      </c>
      <c r="R3483" s="28"/>
      <c r="S3483" s="28" t="n">
        <f aca="false">R3483*$M3483</f>
        <v>0</v>
      </c>
      <c r="T3483" s="28"/>
      <c r="U3483" s="28" t="n">
        <f aca="false">T3483*$M3483</f>
        <v>0</v>
      </c>
      <c r="V3483" s="28"/>
      <c r="W3483" s="28" t="n">
        <f aca="false">V3483*$M3483</f>
        <v>0</v>
      </c>
      <c r="X3483" s="28"/>
      <c r="Y3483" s="28" t="n">
        <f aca="false">X3483*$M3483</f>
        <v>0</v>
      </c>
      <c r="Z3483" s="28"/>
      <c r="AA3483" s="28" t="n">
        <f aca="false">Z3483*$M3483</f>
        <v>0</v>
      </c>
      <c r="AB3483" s="28"/>
      <c r="AC3483" s="28" t="n">
        <f aca="false">AB3483*$M3483</f>
        <v>0</v>
      </c>
      <c r="AD3483" s="28"/>
      <c r="AE3483" s="28" t="n">
        <f aca="false">AD3483*$M3483</f>
        <v>0</v>
      </c>
      <c r="AF3483" s="28"/>
      <c r="AG3483" s="28" t="n">
        <f aca="false">AF3483*$M3483</f>
        <v>0</v>
      </c>
      <c r="AH3483" s="28" t="n">
        <v>9380</v>
      </c>
      <c r="AI3483" s="28" t="n">
        <v>18760</v>
      </c>
      <c r="AJ3483" s="28"/>
      <c r="AK3483" s="28" t="n">
        <f aca="false">AJ3483*$M3483</f>
        <v>0</v>
      </c>
      <c r="AL3483" s="28"/>
      <c r="AM3483" s="28" t="n">
        <f aca="false">AL3483*$M3483</f>
        <v>0</v>
      </c>
      <c r="AN3483" s="28"/>
      <c r="AO3483" s="28" t="n">
        <f aca="false">AN3483*$M3483</f>
        <v>0</v>
      </c>
      <c r="AP3483" s="28"/>
      <c r="AQ3483" s="28" t="n">
        <f aca="false">AP3483*$M3483</f>
        <v>0</v>
      </c>
      <c r="AR3483" s="28"/>
      <c r="AS3483" s="28" t="n">
        <f aca="false">AR3483*$M3483</f>
        <v>0</v>
      </c>
      <c r="AT3483" s="28"/>
      <c r="AU3483" s="28" t="n">
        <f aca="false">AT3483*$M3483</f>
        <v>0</v>
      </c>
      <c r="AV3483" s="28"/>
      <c r="AW3483" s="28" t="n">
        <f aca="false">AV3483*$M3483</f>
        <v>0</v>
      </c>
      <c r="AX3483" s="28"/>
      <c r="AY3483" s="28" t="n">
        <f aca="false">AX3483*$M3483</f>
        <v>0</v>
      </c>
      <c r="AZ3483" s="30" t="n">
        <v>9380</v>
      </c>
      <c r="BA3483" s="11" t="n">
        <v>18760</v>
      </c>
      <c r="BB3483" s="31" t="n">
        <f aca="false">SUM(Q3483,S3483,U3483,W3483,Y3483,AA3483,AC3483,AE3483,AG3483,AI3483,AK3483,AM3483,AO3483,AQ3483,AS3483,AU3483,AW3483,AY3483)</f>
        <v>18760</v>
      </c>
      <c r="BC3483" s="28" t="n">
        <f aca="false">BA3483-BB3483</f>
        <v>0</v>
      </c>
      <c r="BD3483" s="32" t="n">
        <f aca="false">SUM(P3483,R3483,T3483,V3483,X3483,Z3483,AB3483,AD3483,AF3483,AH3483,AJ3483,AL3483,AN3483,AP3483,AR3483,AT3483,AV3483,AX3483)</f>
        <v>9380</v>
      </c>
      <c r="BE3483" s="33" t="n">
        <f aca="false">AZ3483-BD3483</f>
        <v>0</v>
      </c>
      <c r="BF3483" s="34" t="n">
        <f aca="false">BD3483*M3483</f>
        <v>18760</v>
      </c>
      <c r="BG3483" s="35" t="n">
        <f aca="false">BA3483-BF3483</f>
        <v>0</v>
      </c>
      <c r="BH3483" s="19" t="str">
        <f aca="false">IF(BG3483=0,"",IF(BG3483&lt;&gt;BA3483,"erreur de calcul",IF(BD3483&lt;&gt;0,"pas de prix",IF(M3483&lt;&gt; 0,"pas de quantité","pas de prix, ni de quantité"))))</f>
        <v/>
      </c>
      <c r="BI3483" s="19"/>
    </row>
    <row r="3484" customFormat="false" ht="15" hidden="false" customHeight="false" outlineLevel="0" collapsed="false">
      <c r="A3484" s="0" t="n">
        <v>35</v>
      </c>
      <c r="B3484" s="8" t="s">
        <v>24</v>
      </c>
      <c r="C3484" s="9" t="s">
        <v>25</v>
      </c>
      <c r="D3484" s="9" t="s">
        <v>26</v>
      </c>
      <c r="E3484" s="10" t="n">
        <v>1789</v>
      </c>
      <c r="F3484" s="9" t="s">
        <v>27</v>
      </c>
      <c r="G3484" s="9" t="s">
        <v>27</v>
      </c>
      <c r="H3484" s="11" t="n">
        <v>26</v>
      </c>
      <c r="I3484" s="11" t="s">
        <v>406</v>
      </c>
      <c r="J3484" s="14" t="n">
        <v>55</v>
      </c>
      <c r="K3484" s="14"/>
      <c r="L3484" s="16"/>
      <c r="M3484" s="27" t="n">
        <f aca="false">J3484+(K3484/20)+(L3484/240)</f>
        <v>55</v>
      </c>
      <c r="N3484" s="17" t="s">
        <v>64</v>
      </c>
      <c r="O3484" s="11"/>
      <c r="P3484" s="28" t="n">
        <f aca="false">634/100</f>
        <v>6.34</v>
      </c>
      <c r="Q3484" s="28" t="n">
        <v>349</v>
      </c>
      <c r="R3484" s="28"/>
      <c r="S3484" s="28" t="n">
        <f aca="false">R3484*$M3484</f>
        <v>0</v>
      </c>
      <c r="T3484" s="28" t="n">
        <f aca="false">2450/100</f>
        <v>24.5</v>
      </c>
      <c r="U3484" s="28" t="n">
        <v>1347</v>
      </c>
      <c r="V3484" s="28" t="n">
        <f aca="false">9685/100</f>
        <v>96.85</v>
      </c>
      <c r="W3484" s="28" t="n">
        <v>5327</v>
      </c>
      <c r="X3484" s="28"/>
      <c r="Y3484" s="28" t="n">
        <f aca="false">X3484*$M3484</f>
        <v>0</v>
      </c>
      <c r="Z3484" s="28"/>
      <c r="AA3484" s="28" t="n">
        <f aca="false">Z3484*$M3484</f>
        <v>0</v>
      </c>
      <c r="AB3484" s="28"/>
      <c r="AC3484" s="28" t="n">
        <f aca="false">AB3484*$M3484</f>
        <v>0</v>
      </c>
      <c r="AD3484" s="28"/>
      <c r="AE3484" s="28" t="n">
        <f aca="false">AD3484*$M3484</f>
        <v>0</v>
      </c>
      <c r="AF3484" s="28"/>
      <c r="AG3484" s="28" t="n">
        <f aca="false">AF3484*$M3484</f>
        <v>0</v>
      </c>
      <c r="AH3484" s="28"/>
      <c r="AI3484" s="28" t="n">
        <f aca="false">AH3484*$M3484</f>
        <v>0</v>
      </c>
      <c r="AJ3484" s="28"/>
      <c r="AK3484" s="28" t="n">
        <f aca="false">AJ3484*$M3484</f>
        <v>0</v>
      </c>
      <c r="AL3484" s="28"/>
      <c r="AM3484" s="28" t="n">
        <f aca="false">AL3484*$M3484</f>
        <v>0</v>
      </c>
      <c r="AN3484" s="28"/>
      <c r="AO3484" s="28" t="n">
        <f aca="false">AN3484*$M3484</f>
        <v>0</v>
      </c>
      <c r="AP3484" s="28"/>
      <c r="AQ3484" s="28" t="n">
        <f aca="false">AP3484*$M3484</f>
        <v>0</v>
      </c>
      <c r="AR3484" s="28"/>
      <c r="AS3484" s="28" t="n">
        <f aca="false">AR3484*$M3484</f>
        <v>0</v>
      </c>
      <c r="AT3484" s="28"/>
      <c r="AU3484" s="28" t="n">
        <f aca="false">AT3484*$M3484</f>
        <v>0</v>
      </c>
      <c r="AV3484" s="28"/>
      <c r="AW3484" s="28" t="n">
        <f aca="false">AV3484*$M3484</f>
        <v>0</v>
      </c>
      <c r="AX3484" s="28"/>
      <c r="AY3484" s="28" t="n">
        <f aca="false">AX3484*$M3484</f>
        <v>0</v>
      </c>
      <c r="AZ3484" s="30" t="n">
        <f aca="false">12769/100</f>
        <v>127.69</v>
      </c>
      <c r="BA3484" s="11" t="n">
        <v>7023</v>
      </c>
      <c r="BB3484" s="31" t="n">
        <f aca="false">SUM(Q3484,S3484,U3484,W3484,Y3484,AA3484,AC3484,AE3484,AG3484,AI3484,AK3484,AM3484,AO3484,AQ3484,AS3484,AU3484,AW3484,AY3484)</f>
        <v>7023</v>
      </c>
      <c r="BC3484" s="28" t="n">
        <f aca="false">BA3484-BB3484</f>
        <v>0</v>
      </c>
      <c r="BD3484" s="32" t="n">
        <f aca="false">SUM(P3484,R3484,T3484,V3484,X3484,Z3484,AB3484,AD3484,AF3484,AH3484,AJ3484,AL3484,AN3484,AP3484,AR3484,AT3484,AV3484,AX3484)</f>
        <v>127.69</v>
      </c>
      <c r="BE3484" s="33" t="n">
        <f aca="false">AZ3484-BD3484</f>
        <v>0</v>
      </c>
      <c r="BF3484" s="34" t="n">
        <f aca="false">BD3484*M3484</f>
        <v>7022.95</v>
      </c>
      <c r="BG3484" s="35" t="n">
        <f aca="false">BA3484-BF3484</f>
        <v>0.0500000000001819</v>
      </c>
      <c r="BH3484" s="19" t="str">
        <f aca="false">IF(BG3484=0,"",IF(BG3484&lt;&gt;BA3484,"erreur de calcul",IF(BD3484&lt;&gt;0,"pas de prix",IF(M3484&lt;&gt; 0,"pas de quantité","pas de prix, ni de quantité"))))</f>
        <v>erreur de calcul</v>
      </c>
      <c r="BI3484" s="19"/>
    </row>
    <row r="3485" customFormat="false" ht="15" hidden="false" customHeight="false" outlineLevel="0" collapsed="false">
      <c r="A3485" s="0" t="n">
        <v>36</v>
      </c>
      <c r="B3485" s="8" t="s">
        <v>24</v>
      </c>
      <c r="C3485" s="9" t="s">
        <v>25</v>
      </c>
      <c r="D3485" s="9" t="s">
        <v>26</v>
      </c>
      <c r="E3485" s="10" t="n">
        <v>1789</v>
      </c>
      <c r="F3485" s="9" t="s">
        <v>27</v>
      </c>
      <c r="G3485" s="9" t="s">
        <v>27</v>
      </c>
      <c r="H3485" s="11" t="n">
        <v>26</v>
      </c>
      <c r="I3485" s="11" t="s">
        <v>407</v>
      </c>
      <c r="J3485" s="14" t="n">
        <v>44</v>
      </c>
      <c r="K3485" s="14"/>
      <c r="L3485" s="16"/>
      <c r="M3485" s="27" t="n">
        <f aca="false">J3485+(K3485/20)+(L3485/240)</f>
        <v>44</v>
      </c>
      <c r="N3485" s="17" t="s">
        <v>64</v>
      </c>
      <c r="O3485" s="11" t="s">
        <v>77</v>
      </c>
      <c r="P3485" s="28" t="n">
        <f aca="false">68669/100</f>
        <v>686.69</v>
      </c>
      <c r="Q3485" s="28" t="n">
        <v>30214</v>
      </c>
      <c r="R3485" s="28"/>
      <c r="S3485" s="28" t="n">
        <f aca="false">R3485*$M3485</f>
        <v>0</v>
      </c>
      <c r="T3485" s="28" t="n">
        <f aca="false">7101/100</f>
        <v>71.01</v>
      </c>
      <c r="U3485" s="28" t="n">
        <v>3124</v>
      </c>
      <c r="V3485" s="28" t="n">
        <f aca="false">27549/100</f>
        <v>275.49</v>
      </c>
      <c r="W3485" s="28" t="n">
        <v>12121</v>
      </c>
      <c r="X3485" s="28" t="n">
        <f aca="false">947914/100</f>
        <v>9479.14</v>
      </c>
      <c r="Y3485" s="28" t="n">
        <v>417082</v>
      </c>
      <c r="Z3485" s="28" t="n">
        <f aca="false">183606/100</f>
        <v>1836.06</v>
      </c>
      <c r="AA3485" s="28" t="n">
        <v>80787</v>
      </c>
      <c r="AB3485" s="28" t="n">
        <f aca="false">36047/100</f>
        <v>360.47</v>
      </c>
      <c r="AC3485" s="28" t="n">
        <v>15861</v>
      </c>
      <c r="AD3485" s="28" t="n">
        <f aca="false">12322/100</f>
        <v>123.22</v>
      </c>
      <c r="AE3485" s="28" t="n">
        <v>5422</v>
      </c>
      <c r="AF3485" s="28"/>
      <c r="AG3485" s="28" t="n">
        <f aca="false">AF3485*$M3485</f>
        <v>0</v>
      </c>
      <c r="AH3485" s="28" t="n">
        <f aca="false">3318/100</f>
        <v>33.18</v>
      </c>
      <c r="AI3485" s="28" t="n">
        <v>1460</v>
      </c>
      <c r="AJ3485" s="28"/>
      <c r="AK3485" s="28" t="n">
        <f aca="false">AJ3485*$M3485</f>
        <v>0</v>
      </c>
      <c r="AL3485" s="28" t="n">
        <f aca="false">28260/100</f>
        <v>282.6</v>
      </c>
      <c r="AM3485" s="28" t="n">
        <v>12434</v>
      </c>
      <c r="AN3485" s="28"/>
      <c r="AO3485" s="28" t="n">
        <f aca="false">AN3485*$M3485</f>
        <v>0</v>
      </c>
      <c r="AP3485" s="28"/>
      <c r="AQ3485" s="28" t="n">
        <f aca="false">AP3485*$M3485</f>
        <v>0</v>
      </c>
      <c r="AR3485" s="28"/>
      <c r="AS3485" s="28" t="n">
        <f aca="false">AR3485*$M3485</f>
        <v>0</v>
      </c>
      <c r="AT3485" s="28"/>
      <c r="AU3485" s="28" t="n">
        <f aca="false">AT3485*$M3485</f>
        <v>0</v>
      </c>
      <c r="AV3485" s="28"/>
      <c r="AW3485" s="28" t="n">
        <f aca="false">AV3485*$M3485</f>
        <v>0</v>
      </c>
      <c r="AX3485" s="28"/>
      <c r="AY3485" s="28" t="n">
        <f aca="false">AX3485*$M3485</f>
        <v>0</v>
      </c>
      <c r="AZ3485" s="30" t="n">
        <f aca="false">1314786/100</f>
        <v>13147.86</v>
      </c>
      <c r="BA3485" s="11" t="n">
        <v>578505</v>
      </c>
      <c r="BB3485" s="31" t="n">
        <f aca="false">SUM(Q3485,S3485,U3485,W3485,Y3485,AA3485,AC3485,AE3485,AG3485,AI3485,AK3485,AM3485,AO3485,AQ3485,AS3485,AU3485,AW3485,AY3485)</f>
        <v>578505</v>
      </c>
      <c r="BC3485" s="28" t="n">
        <f aca="false">BA3485-BB3485</f>
        <v>0</v>
      </c>
      <c r="BD3485" s="32" t="n">
        <f aca="false">SUM(P3485,R3485,T3485,V3485,X3485,Z3485,AB3485,AD3485,AF3485,AH3485,AJ3485,AL3485,AN3485,AP3485,AR3485,AT3485,AV3485,AX3485)</f>
        <v>13147.86</v>
      </c>
      <c r="BE3485" s="33" t="n">
        <f aca="false">AZ3485-BD3485</f>
        <v>0</v>
      </c>
      <c r="BF3485" s="34" t="n">
        <f aca="false">BD3485*M3485</f>
        <v>578505.84</v>
      </c>
      <c r="BG3485" s="35" t="n">
        <f aca="false">BA3485-BF3485</f>
        <v>-0.839999999967404</v>
      </c>
      <c r="BH3485" s="19" t="str">
        <f aca="false">IF(BG3485=0,"",IF(BG3485&lt;&gt;BA3485,"erreur de calcul",IF(BD3485&lt;&gt;0,"pas de prix",IF(M3485&lt;&gt; 0,"pas de quantité","pas de prix, ni de quantité"))))</f>
        <v>erreur de calcul</v>
      </c>
      <c r="BI3485" s="19"/>
    </row>
    <row r="3486" customFormat="false" ht="15" hidden="false" customHeight="false" outlineLevel="0" collapsed="false">
      <c r="A3486" s="0" t="n">
        <v>37</v>
      </c>
      <c r="B3486" s="8" t="s">
        <v>24</v>
      </c>
      <c r="C3486" s="9" t="s">
        <v>25</v>
      </c>
      <c r="D3486" s="9" t="s">
        <v>26</v>
      </c>
      <c r="E3486" s="10" t="n">
        <v>1789</v>
      </c>
      <c r="F3486" s="9" t="s">
        <v>27</v>
      </c>
      <c r="G3486" s="9" t="s">
        <v>27</v>
      </c>
      <c r="H3486" s="11" t="n">
        <v>26</v>
      </c>
      <c r="I3486" s="11" t="s">
        <v>408</v>
      </c>
      <c r="J3486" s="14" t="n">
        <v>40</v>
      </c>
      <c r="K3486" s="14"/>
      <c r="L3486" s="16"/>
      <c r="M3486" s="27" t="n">
        <f aca="false">J3486+(K3486/20)+(L3486/240)</f>
        <v>40</v>
      </c>
      <c r="N3486" s="17" t="s">
        <v>64</v>
      </c>
      <c r="O3486" s="11"/>
      <c r="P3486" s="28"/>
      <c r="Q3486" s="28" t="n">
        <f aca="false">P3486*$M3486</f>
        <v>0</v>
      </c>
      <c r="R3486" s="28"/>
      <c r="S3486" s="28" t="n">
        <f aca="false">R3486*$M3486</f>
        <v>0</v>
      </c>
      <c r="T3486" s="28"/>
      <c r="U3486" s="28" t="n">
        <f aca="false">T3486*$M3486</f>
        <v>0</v>
      </c>
      <c r="V3486" s="28" t="n">
        <f aca="false">4827/100</f>
        <v>48.27</v>
      </c>
      <c r="W3486" s="28" t="n">
        <v>1931</v>
      </c>
      <c r="X3486" s="28"/>
      <c r="Y3486" s="28" t="n">
        <f aca="false">X3486*$M3486</f>
        <v>0</v>
      </c>
      <c r="Z3486" s="28"/>
      <c r="AA3486" s="28" t="n">
        <f aca="false">Z3486*$M3486</f>
        <v>0</v>
      </c>
      <c r="AB3486" s="28"/>
      <c r="AC3486" s="28" t="n">
        <f aca="false">AB3486*$M3486</f>
        <v>0</v>
      </c>
      <c r="AD3486" s="28"/>
      <c r="AE3486" s="28" t="n">
        <f aca="false">AD3486*$M3486</f>
        <v>0</v>
      </c>
      <c r="AF3486" s="28"/>
      <c r="AG3486" s="28" t="n">
        <f aca="false">AF3486*$M3486</f>
        <v>0</v>
      </c>
      <c r="AH3486" s="28"/>
      <c r="AI3486" s="28" t="n">
        <f aca="false">AH3486*$M3486</f>
        <v>0</v>
      </c>
      <c r="AJ3486" s="28"/>
      <c r="AK3486" s="28" t="n">
        <f aca="false">AJ3486*$M3486</f>
        <v>0</v>
      </c>
      <c r="AL3486" s="28"/>
      <c r="AM3486" s="28" t="n">
        <f aca="false">AL3486*$M3486</f>
        <v>0</v>
      </c>
      <c r="AN3486" s="28"/>
      <c r="AO3486" s="28" t="n">
        <f aca="false">AN3486*$M3486</f>
        <v>0</v>
      </c>
      <c r="AP3486" s="28"/>
      <c r="AQ3486" s="28" t="n">
        <f aca="false">AP3486*$M3486</f>
        <v>0</v>
      </c>
      <c r="AR3486" s="28"/>
      <c r="AS3486" s="28" t="n">
        <f aca="false">AR3486*$M3486</f>
        <v>0</v>
      </c>
      <c r="AT3486" s="28"/>
      <c r="AU3486" s="28" t="n">
        <f aca="false">AT3486*$M3486</f>
        <v>0</v>
      </c>
      <c r="AV3486" s="28"/>
      <c r="AW3486" s="28" t="n">
        <f aca="false">AV3486*$M3486</f>
        <v>0</v>
      </c>
      <c r="AX3486" s="28" t="n">
        <f aca="false">835109/100</f>
        <v>8351.09</v>
      </c>
      <c r="AY3486" s="28" t="n">
        <v>334044</v>
      </c>
      <c r="AZ3486" s="30" t="n">
        <f aca="false">839936/100</f>
        <v>8399.36</v>
      </c>
      <c r="BA3486" s="11" t="n">
        <v>335975</v>
      </c>
      <c r="BB3486" s="31" t="n">
        <f aca="false">SUM(Q3486,S3486,U3486,W3486,Y3486,AA3486,AC3486,AE3486,AG3486,AI3486,AK3486,AM3486,AO3486,AQ3486,AS3486,AU3486,AW3486,AY3486)</f>
        <v>335975</v>
      </c>
      <c r="BC3486" s="28" t="n">
        <f aca="false">BA3486-BB3486</f>
        <v>0</v>
      </c>
      <c r="BD3486" s="32" t="n">
        <f aca="false">SUM(P3486,R3486,T3486,V3486,X3486,Z3486,AB3486,AD3486,AF3486,AH3486,AJ3486,AL3486,AN3486,AP3486,AR3486,AT3486,AV3486,AX3486)</f>
        <v>8399.36</v>
      </c>
      <c r="BE3486" s="33" t="n">
        <f aca="false">AZ3486-BD3486</f>
        <v>0</v>
      </c>
      <c r="BF3486" s="34" t="n">
        <f aca="false">BD3486*M3486</f>
        <v>335974.4</v>
      </c>
      <c r="BG3486" s="35" t="n">
        <f aca="false">BA3486-BF3486</f>
        <v>0.599999999976717</v>
      </c>
      <c r="BH3486" s="19" t="str">
        <f aca="false">IF(BG3486=0,"",IF(BG3486&lt;&gt;BA3486,"erreur de calcul",IF(BD3486&lt;&gt;0,"pas de prix",IF(M3486&lt;&gt; 0,"pas de quantité","pas de prix, ni de quantité"))))</f>
        <v>erreur de calcul</v>
      </c>
      <c r="BI3486" s="19"/>
    </row>
    <row r="3487" customFormat="false" ht="16.65" hidden="false" customHeight="false" outlineLevel="0" collapsed="false">
      <c r="A3487" s="0" t="n">
        <v>38</v>
      </c>
      <c r="B3487" s="8" t="s">
        <v>24</v>
      </c>
      <c r="C3487" s="9" t="s">
        <v>25</v>
      </c>
      <c r="D3487" s="9" t="s">
        <v>26</v>
      </c>
      <c r="E3487" s="10" t="n">
        <v>1789</v>
      </c>
      <c r="F3487" s="9" t="s">
        <v>27</v>
      </c>
      <c r="G3487" s="9" t="s">
        <v>27</v>
      </c>
      <c r="H3487" s="11" t="n">
        <v>26</v>
      </c>
      <c r="I3487" s="11" t="s">
        <v>409</v>
      </c>
      <c r="J3487" s="14"/>
      <c r="K3487" s="14" t="n">
        <v>13</v>
      </c>
      <c r="L3487" s="16"/>
      <c r="M3487" s="27" t="n">
        <f aca="false">J3487+(K3487/20)+(L3487/240)</f>
        <v>0.65</v>
      </c>
      <c r="N3487" s="17" t="s">
        <v>64</v>
      </c>
      <c r="O3487" s="11"/>
      <c r="P3487" s="28"/>
      <c r="Q3487" s="28" t="n">
        <f aca="false">P3487*$M3487</f>
        <v>0</v>
      </c>
      <c r="R3487" s="28"/>
      <c r="S3487" s="28" t="n">
        <f aca="false">R3487*$M3487</f>
        <v>0</v>
      </c>
      <c r="T3487" s="28"/>
      <c r="U3487" s="28" t="n">
        <f aca="false">T3487*$M3487</f>
        <v>0</v>
      </c>
      <c r="V3487" s="28"/>
      <c r="W3487" s="28" t="n">
        <f aca="false">V3487*$M3487</f>
        <v>0</v>
      </c>
      <c r="X3487" s="28"/>
      <c r="Y3487" s="28" t="n">
        <f aca="false">X3487*$M3487</f>
        <v>0</v>
      </c>
      <c r="Z3487" s="28" t="n">
        <f aca="false">2471002/100</f>
        <v>24710.02</v>
      </c>
      <c r="AA3487" s="28" t="n">
        <v>16061</v>
      </c>
      <c r="AB3487" s="28"/>
      <c r="AC3487" s="28" t="n">
        <f aca="false">AB3487*$M3487</f>
        <v>0</v>
      </c>
      <c r="AD3487" s="28"/>
      <c r="AE3487" s="28" t="n">
        <f aca="false">AD3487*$M3487</f>
        <v>0</v>
      </c>
      <c r="AF3487" s="28"/>
      <c r="AG3487" s="28" t="n">
        <f aca="false">AF3487*$M3487</f>
        <v>0</v>
      </c>
      <c r="AH3487" s="28"/>
      <c r="AI3487" s="28" t="n">
        <f aca="false">AH3487*$M3487</f>
        <v>0</v>
      </c>
      <c r="AJ3487" s="28"/>
      <c r="AK3487" s="28" t="n">
        <f aca="false">AJ3487*$M3487</f>
        <v>0</v>
      </c>
      <c r="AL3487" s="28"/>
      <c r="AM3487" s="28" t="n">
        <f aca="false">AL3487*$M3487</f>
        <v>0</v>
      </c>
      <c r="AN3487" s="28"/>
      <c r="AO3487" s="28" t="n">
        <f aca="false">AN3487*$M3487</f>
        <v>0</v>
      </c>
      <c r="AP3487" s="28"/>
      <c r="AQ3487" s="28" t="n">
        <f aca="false">AP3487*$M3487</f>
        <v>0</v>
      </c>
      <c r="AR3487" s="28"/>
      <c r="AS3487" s="28" t="n">
        <f aca="false">AR3487*$M3487</f>
        <v>0</v>
      </c>
      <c r="AT3487" s="28"/>
      <c r="AU3487" s="28" t="n">
        <f aca="false">AT3487*$M3487</f>
        <v>0</v>
      </c>
      <c r="AV3487" s="28"/>
      <c r="AW3487" s="28" t="n">
        <f aca="false">AV3487*$M3487</f>
        <v>0</v>
      </c>
      <c r="AX3487" s="28"/>
      <c r="AY3487" s="28" t="n">
        <f aca="false">AX3487*$M3487</f>
        <v>0</v>
      </c>
      <c r="AZ3487" s="30" t="n">
        <f aca="false">2471002</f>
        <v>2471002</v>
      </c>
      <c r="BA3487" s="11" t="n">
        <v>16061</v>
      </c>
      <c r="BB3487" s="31" t="n">
        <f aca="false">SUM(Q3487,S3487,U3487,W3487,Y3487,AA3487,AC3487,AE3487,AG3487,AI3487,AK3487,AM3487,AO3487,AQ3487,AS3487,AU3487,AW3487,AY3487)</f>
        <v>16061</v>
      </c>
      <c r="BC3487" s="28" t="n">
        <f aca="false">BA3487-BB3487</f>
        <v>0</v>
      </c>
      <c r="BD3487" s="32" t="n">
        <f aca="false">SUM(P3487,R3487,T3487,V3487,X3487,Z3487,AB3487,AD3487,AF3487,AH3487,AJ3487,AL3487,AN3487,AP3487,AR3487,AT3487,AV3487,AX3487)</f>
        <v>24710.02</v>
      </c>
      <c r="BE3487" s="33" t="n">
        <f aca="false">AZ3487-BD3487</f>
        <v>2446291.98</v>
      </c>
      <c r="BF3487" s="34" t="n">
        <f aca="false">BD3487*M3487</f>
        <v>16061.513</v>
      </c>
      <c r="BG3487" s="35" t="n">
        <f aca="false">BA3487-BF3487</f>
        <v>-0.513000000000829</v>
      </c>
      <c r="BH3487" s="19" t="str">
        <f aca="false">IF(BG3487=0,"",IF(BG3487&lt;&gt;BA3487,"erreur de calcul",IF(BD3487&lt;&gt;0,"pas de prix",IF(M3487&lt;&gt; 0,"pas de quantité","pas de prix, ni de quantité"))))</f>
        <v>erreur de calcul</v>
      </c>
      <c r="BI3487" s="19"/>
    </row>
    <row r="3488" customFormat="false" ht="15" hidden="false" customHeight="false" outlineLevel="0" collapsed="false">
      <c r="A3488" s="0" t="n">
        <v>39</v>
      </c>
      <c r="B3488" s="8" t="s">
        <v>24</v>
      </c>
      <c r="C3488" s="9" t="s">
        <v>25</v>
      </c>
      <c r="D3488" s="9" t="s">
        <v>26</v>
      </c>
      <c r="E3488" s="10" t="n">
        <v>1789</v>
      </c>
      <c r="F3488" s="9" t="s">
        <v>27</v>
      </c>
      <c r="G3488" s="9" t="s">
        <v>27</v>
      </c>
      <c r="H3488" s="11" t="n">
        <v>26</v>
      </c>
      <c r="I3488" s="11" t="s">
        <v>410</v>
      </c>
      <c r="J3488" s="14" t="n">
        <v>10</v>
      </c>
      <c r="K3488" s="14"/>
      <c r="L3488" s="16"/>
      <c r="M3488" s="27" t="n">
        <f aca="false">J3488+(K3488/20)+(L3488/240)</f>
        <v>10</v>
      </c>
      <c r="N3488" s="17" t="s">
        <v>64</v>
      </c>
      <c r="O3488" s="11"/>
      <c r="P3488" s="28"/>
      <c r="Q3488" s="28" t="n">
        <f aca="false">P3488*$M3488</f>
        <v>0</v>
      </c>
      <c r="R3488" s="28"/>
      <c r="S3488" s="28" t="n">
        <f aca="false">R3488*$M3488</f>
        <v>0</v>
      </c>
      <c r="T3488" s="28"/>
      <c r="U3488" s="28" t="n">
        <f aca="false">T3488*$M3488</f>
        <v>0</v>
      </c>
      <c r="V3488" s="28"/>
      <c r="W3488" s="28" t="n">
        <f aca="false">V3488*$M3488</f>
        <v>0</v>
      </c>
      <c r="X3488" s="28" t="n">
        <f aca="false">2481/100</f>
        <v>24.81</v>
      </c>
      <c r="Y3488" s="28" t="n">
        <v>248</v>
      </c>
      <c r="Z3488" s="28"/>
      <c r="AA3488" s="28" t="n">
        <f aca="false">Z3488*$M3488</f>
        <v>0</v>
      </c>
      <c r="AB3488" s="28"/>
      <c r="AC3488" s="28" t="n">
        <f aca="false">AB3488*$M3488</f>
        <v>0</v>
      </c>
      <c r="AD3488" s="28"/>
      <c r="AE3488" s="28" t="n">
        <f aca="false">AD3488*$M3488</f>
        <v>0</v>
      </c>
      <c r="AF3488" s="28"/>
      <c r="AG3488" s="28" t="n">
        <f aca="false">AF3488*$M3488</f>
        <v>0</v>
      </c>
      <c r="AH3488" s="28"/>
      <c r="AI3488" s="28" t="n">
        <f aca="false">AH3488*$M3488</f>
        <v>0</v>
      </c>
      <c r="AJ3488" s="28"/>
      <c r="AK3488" s="28" t="n">
        <f aca="false">AJ3488*$M3488</f>
        <v>0</v>
      </c>
      <c r="AL3488" s="28"/>
      <c r="AM3488" s="28" t="n">
        <f aca="false">AL3488*$M3488</f>
        <v>0</v>
      </c>
      <c r="AN3488" s="28"/>
      <c r="AO3488" s="28" t="n">
        <f aca="false">AN3488*$M3488</f>
        <v>0</v>
      </c>
      <c r="AP3488" s="28"/>
      <c r="AQ3488" s="28" t="n">
        <f aca="false">AP3488*$M3488</f>
        <v>0</v>
      </c>
      <c r="AR3488" s="28"/>
      <c r="AS3488" s="28" t="n">
        <f aca="false">AR3488*$M3488</f>
        <v>0</v>
      </c>
      <c r="AT3488" s="28"/>
      <c r="AU3488" s="28" t="n">
        <f aca="false">AT3488*$M3488</f>
        <v>0</v>
      </c>
      <c r="AV3488" s="28"/>
      <c r="AW3488" s="28" t="n">
        <f aca="false">AV3488*$M3488</f>
        <v>0</v>
      </c>
      <c r="AX3488" s="28"/>
      <c r="AY3488" s="28" t="n">
        <f aca="false">AX3488*$M3488</f>
        <v>0</v>
      </c>
      <c r="AZ3488" s="30" t="n">
        <f aca="false">2481/100</f>
        <v>24.81</v>
      </c>
      <c r="BA3488" s="11" t="n">
        <v>248</v>
      </c>
      <c r="BB3488" s="31" t="n">
        <f aca="false">SUM(Q3488,S3488,U3488,W3488,Y3488,AA3488,AC3488,AE3488,AG3488,AI3488,AK3488,AM3488,AO3488,AQ3488,AS3488,AU3488,AW3488,AY3488)</f>
        <v>248</v>
      </c>
      <c r="BC3488" s="28" t="n">
        <f aca="false">BA3488-BB3488</f>
        <v>0</v>
      </c>
      <c r="BD3488" s="32" t="n">
        <f aca="false">SUM(P3488,R3488,T3488,V3488,X3488,Z3488,AB3488,AD3488,AF3488,AH3488,AJ3488,AL3488,AN3488,AP3488,AR3488,AT3488,AV3488,AX3488)</f>
        <v>24.81</v>
      </c>
      <c r="BE3488" s="33" t="n">
        <f aca="false">AZ3488-BD3488</f>
        <v>0</v>
      </c>
      <c r="BF3488" s="34" t="n">
        <f aca="false">BD3488*M3488</f>
        <v>248.1</v>
      </c>
      <c r="BG3488" s="35" t="n">
        <f aca="false">BA3488-BF3488</f>
        <v>-0.0999999999999943</v>
      </c>
      <c r="BH3488" s="19" t="str">
        <f aca="false">IF(BG3488=0,"",IF(BG3488&lt;&gt;BA3488,"erreur de calcul",IF(BD3488&lt;&gt;0,"pas de prix",IF(M3488&lt;&gt; 0,"pas de quantité","pas de prix, ni de quantité"))))</f>
        <v>erreur de calcul</v>
      </c>
      <c r="BI3488" s="19"/>
    </row>
    <row r="3489" customFormat="false" ht="15" hidden="false" customHeight="false" outlineLevel="0" collapsed="false">
      <c r="A3489" s="0" t="n">
        <v>40</v>
      </c>
      <c r="B3489" s="8" t="s">
        <v>24</v>
      </c>
      <c r="C3489" s="9" t="s">
        <v>25</v>
      </c>
      <c r="D3489" s="9" t="s">
        <v>26</v>
      </c>
      <c r="E3489" s="10" t="n">
        <v>1789</v>
      </c>
      <c r="F3489" s="9" t="s">
        <v>27</v>
      </c>
      <c r="G3489" s="9" t="s">
        <v>27</v>
      </c>
      <c r="H3489" s="11" t="n">
        <v>26</v>
      </c>
      <c r="I3489" s="11" t="s">
        <v>411</v>
      </c>
      <c r="J3489" s="14" t="n">
        <v>5</v>
      </c>
      <c r="K3489" s="14"/>
      <c r="L3489" s="16"/>
      <c r="M3489" s="27" t="n">
        <f aca="false">J3489+(K3489/20)+(L3489/240)</f>
        <v>5</v>
      </c>
      <c r="N3489" s="17" t="s">
        <v>66</v>
      </c>
      <c r="O3489" s="11" t="s">
        <v>98</v>
      </c>
      <c r="P3489" s="28"/>
      <c r="Q3489" s="28" t="n">
        <f aca="false">P3489*$M3489</f>
        <v>0</v>
      </c>
      <c r="R3489" s="28"/>
      <c r="S3489" s="28" t="n">
        <f aca="false">R3489*$M3489</f>
        <v>0</v>
      </c>
      <c r="T3489" s="28"/>
      <c r="U3489" s="28" t="n">
        <f aca="false">T3489*$M3489</f>
        <v>0</v>
      </c>
      <c r="V3489" s="28"/>
      <c r="W3489" s="28" t="n">
        <f aca="false">V3489*$M3489</f>
        <v>0</v>
      </c>
      <c r="X3489" s="28"/>
      <c r="Y3489" s="28" t="n">
        <f aca="false">X3489*$M3489</f>
        <v>0</v>
      </c>
      <c r="Z3489" s="28"/>
      <c r="AA3489" s="28" t="n">
        <f aca="false">Z3489*$M3489</f>
        <v>0</v>
      </c>
      <c r="AB3489" s="28"/>
      <c r="AC3489" s="28" t="n">
        <f aca="false">AB3489*$M3489</f>
        <v>0</v>
      </c>
      <c r="AD3489" s="28"/>
      <c r="AE3489" s="28" t="n">
        <f aca="false">AD3489*$M3489</f>
        <v>0</v>
      </c>
      <c r="AF3489" s="28" t="n">
        <v>22</v>
      </c>
      <c r="AG3489" s="28" t="n">
        <v>110</v>
      </c>
      <c r="AH3489" s="28" t="n">
        <v>2657</v>
      </c>
      <c r="AI3489" s="28" t="n">
        <v>13285</v>
      </c>
      <c r="AJ3489" s="28"/>
      <c r="AK3489" s="28" t="n">
        <f aca="false">AJ3489*$M3489</f>
        <v>0</v>
      </c>
      <c r="AL3489" s="28"/>
      <c r="AM3489" s="28" t="n">
        <f aca="false">AL3489*$M3489</f>
        <v>0</v>
      </c>
      <c r="AN3489" s="28"/>
      <c r="AO3489" s="28" t="n">
        <f aca="false">AN3489*$M3489</f>
        <v>0</v>
      </c>
      <c r="AP3489" s="28"/>
      <c r="AQ3489" s="28" t="n">
        <f aca="false">AP3489*$M3489</f>
        <v>0</v>
      </c>
      <c r="AR3489" s="28"/>
      <c r="AS3489" s="28" t="n">
        <f aca="false">AR3489*$M3489</f>
        <v>0</v>
      </c>
      <c r="AT3489" s="28"/>
      <c r="AU3489" s="28" t="n">
        <f aca="false">AT3489*$M3489</f>
        <v>0</v>
      </c>
      <c r="AV3489" s="28"/>
      <c r="AW3489" s="28" t="n">
        <f aca="false">AV3489*$M3489</f>
        <v>0</v>
      </c>
      <c r="AX3489" s="28"/>
      <c r="AY3489" s="28" t="n">
        <f aca="false">AX3489*$M3489</f>
        <v>0</v>
      </c>
      <c r="AZ3489" s="30" t="n">
        <v>2679</v>
      </c>
      <c r="BA3489" s="11" t="n">
        <v>13395</v>
      </c>
      <c r="BB3489" s="31" t="n">
        <f aca="false">SUM(Q3489,S3489,U3489,W3489,Y3489,AA3489,AC3489,AE3489,AG3489,AI3489,AK3489,AM3489,AO3489,AQ3489,AS3489,AU3489,AW3489,AY3489)</f>
        <v>13395</v>
      </c>
      <c r="BC3489" s="28" t="n">
        <f aca="false">BA3489-BB3489</f>
        <v>0</v>
      </c>
      <c r="BD3489" s="32" t="n">
        <f aca="false">SUM(P3489,R3489,T3489,V3489,X3489,Z3489,AB3489,AD3489,AF3489,AH3489,AJ3489,AL3489,AN3489,AP3489,AR3489,AT3489,AV3489,AX3489)</f>
        <v>2679</v>
      </c>
      <c r="BE3489" s="33" t="n">
        <f aca="false">AZ3489-BD3489</f>
        <v>0</v>
      </c>
      <c r="BF3489" s="34" t="n">
        <f aca="false">BD3489*M3489</f>
        <v>13395</v>
      </c>
      <c r="BG3489" s="35" t="n">
        <f aca="false">BA3489-BF3489</f>
        <v>0</v>
      </c>
      <c r="BH3489" s="19" t="str">
        <f aca="false">IF(BG3489=0,"",IF(BG3489&lt;&gt;BA3489,"erreur de calcul",IF(BD3489&lt;&gt;0,"pas de prix",IF(M3489&lt;&gt; 0,"pas de quantité","pas de prix, ni de quantité"))))</f>
        <v/>
      </c>
      <c r="BI3489" s="19"/>
    </row>
    <row r="3490" customFormat="false" ht="15" hidden="false" customHeight="false" outlineLevel="0" collapsed="false">
      <c r="A3490" s="0" t="n">
        <v>1</v>
      </c>
      <c r="B3490" s="8" t="s">
        <v>24</v>
      </c>
      <c r="C3490" s="9" t="s">
        <v>25</v>
      </c>
      <c r="D3490" s="9" t="s">
        <v>26</v>
      </c>
      <c r="E3490" s="10" t="n">
        <v>1789</v>
      </c>
      <c r="F3490" s="9" t="s">
        <v>27</v>
      </c>
      <c r="G3490" s="9" t="s">
        <v>27</v>
      </c>
      <c r="H3490" s="11" t="n">
        <v>27</v>
      </c>
      <c r="I3490" s="11" t="s">
        <v>412</v>
      </c>
      <c r="J3490" s="14" t="n">
        <v>7</v>
      </c>
      <c r="K3490" s="14" t="n">
        <v>10</v>
      </c>
      <c r="L3490" s="16"/>
      <c r="M3490" s="27" t="n">
        <f aca="false">J3490+(K3490/20)+(L3490/240)</f>
        <v>7.5</v>
      </c>
      <c r="N3490" s="17" t="s">
        <v>64</v>
      </c>
      <c r="O3490" s="11"/>
      <c r="P3490" s="28" t="n">
        <f aca="false">16667/100</f>
        <v>166.67</v>
      </c>
      <c r="Q3490" s="28" t="n">
        <v>1250</v>
      </c>
      <c r="R3490" s="28"/>
      <c r="S3490" s="28" t="n">
        <f aca="false">R3490*$M3490</f>
        <v>0</v>
      </c>
      <c r="T3490" s="28"/>
      <c r="U3490" s="28" t="n">
        <f aca="false">T3490*$M3490</f>
        <v>0</v>
      </c>
      <c r="V3490" s="28" t="n">
        <f aca="false">407887/100</f>
        <v>4078.87</v>
      </c>
      <c r="W3490" s="28" t="n">
        <v>30591</v>
      </c>
      <c r="X3490" s="28" t="n">
        <f aca="false">4444/100</f>
        <v>44.44</v>
      </c>
      <c r="Y3490" s="28" t="n">
        <v>333</v>
      </c>
      <c r="Z3490" s="28" t="n">
        <f aca="false">16084/100</f>
        <v>160.84</v>
      </c>
      <c r="AA3490" s="28" t="n">
        <v>1206</v>
      </c>
      <c r="AB3490" s="28" t="n">
        <f aca="false">20834/100</f>
        <v>208.34</v>
      </c>
      <c r="AC3490" s="28" t="n">
        <v>1562</v>
      </c>
      <c r="AD3490" s="28"/>
      <c r="AE3490" s="28" t="n">
        <f aca="false">AD3490*$M3490</f>
        <v>0</v>
      </c>
      <c r="AF3490" s="28"/>
      <c r="AG3490" s="28" t="n">
        <f aca="false">AF3490*$M3490</f>
        <v>0</v>
      </c>
      <c r="AH3490" s="28"/>
      <c r="AI3490" s="28" t="n">
        <f aca="false">AH3490*$M3490</f>
        <v>0</v>
      </c>
      <c r="AJ3490" s="28"/>
      <c r="AK3490" s="28" t="n">
        <f aca="false">AJ3490*$M3490</f>
        <v>0</v>
      </c>
      <c r="AL3490" s="28"/>
      <c r="AM3490" s="28" t="n">
        <f aca="false">AL3490*$M3490</f>
        <v>0</v>
      </c>
      <c r="AN3490" s="28"/>
      <c r="AO3490" s="28" t="n">
        <f aca="false">AN3490*$M3490</f>
        <v>0</v>
      </c>
      <c r="AP3490" s="28"/>
      <c r="AQ3490" s="28" t="n">
        <f aca="false">AP3490*$M3490</f>
        <v>0</v>
      </c>
      <c r="AR3490" s="28"/>
      <c r="AS3490" s="28" t="n">
        <f aca="false">AR3490*$M3490</f>
        <v>0</v>
      </c>
      <c r="AT3490" s="28"/>
      <c r="AU3490" s="28" t="n">
        <f aca="false">AT3490*$M3490</f>
        <v>0</v>
      </c>
      <c r="AV3490" s="28"/>
      <c r="AW3490" s="28" t="n">
        <f aca="false">AV3490*$M3490</f>
        <v>0</v>
      </c>
      <c r="AX3490" s="28"/>
      <c r="AY3490" s="28" t="n">
        <f aca="false">AX3490*$M3490</f>
        <v>0</v>
      </c>
      <c r="AZ3490" s="30" t="n">
        <f aca="false">465916/100</f>
        <v>4659.16</v>
      </c>
      <c r="BA3490" s="11" t="n">
        <v>34942</v>
      </c>
      <c r="BB3490" s="31" t="n">
        <f aca="false">SUM(Q3490,S3490,U3490,W3490,Y3490,AA3490,AC3490,AE3490,AG3490,AI3490,AK3490,AM3490,AO3490,AQ3490,AS3490,AU3490,AW3490,AY3490)</f>
        <v>34942</v>
      </c>
      <c r="BC3490" s="28" t="n">
        <f aca="false">BA3490-BB3490</f>
        <v>0</v>
      </c>
      <c r="BD3490" s="32" t="n">
        <f aca="false">SUM(P3490,R3490,T3490,V3490,X3490,Z3490,AB3490,AD3490,AF3490,AH3490,AJ3490,AL3490,AN3490,AP3490,AR3490,AT3490,AV3490,AX3490)</f>
        <v>4659.16</v>
      </c>
      <c r="BE3490" s="33" t="n">
        <f aca="false">AZ3490-BD3490</f>
        <v>0</v>
      </c>
      <c r="BF3490" s="34" t="n">
        <f aca="false">BD3490*M3490</f>
        <v>34943.7</v>
      </c>
      <c r="BG3490" s="35" t="n">
        <f aca="false">BA3490-BF3490</f>
        <v>-1.69999999999709</v>
      </c>
      <c r="BH3490" s="19" t="str">
        <f aca="false">IF(BG3490=0,"",IF(BG3490&lt;&gt;BA3490,"erreur de calcul",IF(BD3490&lt;&gt;0,"pas de prix",IF(M3490&lt;&gt; 0,"pas de quantité","pas de prix, ni de quantité"))))</f>
        <v>erreur de calcul</v>
      </c>
      <c r="BI3490" s="19"/>
    </row>
    <row r="3491" customFormat="false" ht="15" hidden="false" customHeight="false" outlineLevel="0" collapsed="false">
      <c r="A3491" s="0" t="n">
        <v>2</v>
      </c>
      <c r="B3491" s="8" t="s">
        <v>24</v>
      </c>
      <c r="C3491" s="9" t="s">
        <v>25</v>
      </c>
      <c r="D3491" s="9" t="s">
        <v>26</v>
      </c>
      <c r="E3491" s="10" t="n">
        <v>1789</v>
      </c>
      <c r="F3491" s="9" t="s">
        <v>27</v>
      </c>
      <c r="G3491" s="9" t="s">
        <v>27</v>
      </c>
      <c r="H3491" s="11" t="n">
        <v>27</v>
      </c>
      <c r="I3491" s="11" t="s">
        <v>413</v>
      </c>
      <c r="J3491" s="14" t="n">
        <v>3</v>
      </c>
      <c r="K3491" s="14"/>
      <c r="L3491" s="16"/>
      <c r="M3491" s="27" t="n">
        <f aca="false">J3491+(K3491/20)+(L3491/240)</f>
        <v>3</v>
      </c>
      <c r="N3491" s="17" t="s">
        <v>66</v>
      </c>
      <c r="O3491" s="11"/>
      <c r="P3491" s="28"/>
      <c r="Q3491" s="28" t="n">
        <f aca="false">P3491*$M3491</f>
        <v>0</v>
      </c>
      <c r="R3491" s="28"/>
      <c r="S3491" s="28" t="n">
        <f aca="false">R3491*$M3491</f>
        <v>0</v>
      </c>
      <c r="T3491" s="28"/>
      <c r="U3491" s="28" t="n">
        <f aca="false">T3491*$M3491</f>
        <v>0</v>
      </c>
      <c r="V3491" s="28"/>
      <c r="W3491" s="28" t="n">
        <f aca="false">V3491*$M3491</f>
        <v>0</v>
      </c>
      <c r="X3491" s="28"/>
      <c r="Y3491" s="28" t="n">
        <f aca="false">X3491*$M3491</f>
        <v>0</v>
      </c>
      <c r="Z3491" s="28"/>
      <c r="AA3491" s="28" t="n">
        <f aca="false">Z3491*$M3491</f>
        <v>0</v>
      </c>
      <c r="AB3491" s="28"/>
      <c r="AC3491" s="28" t="n">
        <f aca="false">AB3491*$M3491</f>
        <v>0</v>
      </c>
      <c r="AD3491" s="28"/>
      <c r="AE3491" s="28" t="n">
        <f aca="false">AD3491*$M3491</f>
        <v>0</v>
      </c>
      <c r="AF3491" s="28"/>
      <c r="AG3491" s="28" t="n">
        <f aca="false">AF3491*$M3491</f>
        <v>0</v>
      </c>
      <c r="AH3491" s="28" t="n">
        <v>58272</v>
      </c>
      <c r="AI3491" s="28" t="n">
        <v>174816</v>
      </c>
      <c r="AJ3491" s="28"/>
      <c r="AK3491" s="28" t="n">
        <f aca="false">AJ3491*$M3491</f>
        <v>0</v>
      </c>
      <c r="AL3491" s="28"/>
      <c r="AM3491" s="28" t="n">
        <f aca="false">AL3491*$M3491</f>
        <v>0</v>
      </c>
      <c r="AN3491" s="28"/>
      <c r="AO3491" s="28" t="n">
        <f aca="false">AN3491*$M3491</f>
        <v>0</v>
      </c>
      <c r="AP3491" s="28"/>
      <c r="AQ3491" s="28" t="n">
        <f aca="false">AP3491*$M3491</f>
        <v>0</v>
      </c>
      <c r="AR3491" s="28"/>
      <c r="AS3491" s="28" t="n">
        <f aca="false">AR3491*$M3491</f>
        <v>0</v>
      </c>
      <c r="AT3491" s="28"/>
      <c r="AU3491" s="28" t="n">
        <f aca="false">AT3491*$M3491</f>
        <v>0</v>
      </c>
      <c r="AV3491" s="28"/>
      <c r="AW3491" s="28" t="n">
        <f aca="false">AV3491*$M3491</f>
        <v>0</v>
      </c>
      <c r="AX3491" s="28"/>
      <c r="AY3491" s="28" t="n">
        <f aca="false">AX3491*$M3491</f>
        <v>0</v>
      </c>
      <c r="AZ3491" s="30" t="n">
        <f aca="false">58272</f>
        <v>58272</v>
      </c>
      <c r="BA3491" s="11" t="n">
        <v>174816</v>
      </c>
      <c r="BB3491" s="31" t="n">
        <f aca="false">SUM(Q3491,S3491,U3491,W3491,Y3491,AA3491,AC3491,AE3491,AG3491,AI3491,AK3491,AM3491,AO3491,AQ3491,AS3491,AU3491,AW3491,AY3491)</f>
        <v>174816</v>
      </c>
      <c r="BC3491" s="28" t="n">
        <f aca="false">BA3491-BB3491</f>
        <v>0</v>
      </c>
      <c r="BD3491" s="32" t="n">
        <f aca="false">SUM(P3491,R3491,T3491,V3491,X3491,Z3491,AB3491,AD3491,AF3491,AH3491,AJ3491,AL3491,AN3491,AP3491,AR3491,AT3491,AV3491,AX3491)</f>
        <v>58272</v>
      </c>
      <c r="BE3491" s="33" t="n">
        <f aca="false">AZ3491-BD3491</f>
        <v>0</v>
      </c>
      <c r="BF3491" s="34" t="n">
        <f aca="false">BD3491*M3491</f>
        <v>174816</v>
      </c>
      <c r="BG3491" s="35" t="n">
        <f aca="false">BA3491-BF3491</f>
        <v>0</v>
      </c>
      <c r="BH3491" s="19" t="str">
        <f aca="false">IF(BG3491=0,"",IF(BG3491&lt;&gt;BA3491,"erreur de calcul",IF(BD3491&lt;&gt;0,"pas de prix",IF(M3491&lt;&gt; 0,"pas de quantité","pas de prix, ni de quantité"))))</f>
        <v/>
      </c>
      <c r="BI3491" s="19"/>
    </row>
    <row r="3492" customFormat="false" ht="15" hidden="false" customHeight="false" outlineLevel="0" collapsed="false">
      <c r="A3492" s="0" t="n">
        <v>3</v>
      </c>
      <c r="B3492" s="8" t="s">
        <v>24</v>
      </c>
      <c r="C3492" s="9" t="s">
        <v>25</v>
      </c>
      <c r="D3492" s="9" t="s">
        <v>26</v>
      </c>
      <c r="E3492" s="10" t="n">
        <v>1789</v>
      </c>
      <c r="F3492" s="9" t="s">
        <v>27</v>
      </c>
      <c r="G3492" s="9" t="s">
        <v>27</v>
      </c>
      <c r="H3492" s="11" t="n">
        <v>27</v>
      </c>
      <c r="I3492" s="11" t="s">
        <v>414</v>
      </c>
      <c r="J3492" s="14" t="n">
        <v>3</v>
      </c>
      <c r="K3492" s="14"/>
      <c r="L3492" s="16"/>
      <c r="M3492" s="27" t="n">
        <f aca="false">J3492+(K3492/20)+(L3492/240)</f>
        <v>3</v>
      </c>
      <c r="N3492" s="17" t="s">
        <v>66</v>
      </c>
      <c r="O3492" s="11" t="s">
        <v>98</v>
      </c>
      <c r="P3492" s="28"/>
      <c r="Q3492" s="28" t="n">
        <f aca="false">P3492*$M3492</f>
        <v>0</v>
      </c>
      <c r="R3492" s="28"/>
      <c r="S3492" s="28" t="n">
        <f aca="false">R3492*$M3492</f>
        <v>0</v>
      </c>
      <c r="T3492" s="28"/>
      <c r="U3492" s="28" t="n">
        <f aca="false">T3492*$M3492</f>
        <v>0</v>
      </c>
      <c r="V3492" s="28"/>
      <c r="W3492" s="28" t="n">
        <f aca="false">V3492*$M3492</f>
        <v>0</v>
      </c>
      <c r="X3492" s="28"/>
      <c r="Y3492" s="28" t="n">
        <f aca="false">X3492*$M3492</f>
        <v>0</v>
      </c>
      <c r="Z3492" s="28"/>
      <c r="AA3492" s="28" t="n">
        <f aca="false">Z3492*$M3492</f>
        <v>0</v>
      </c>
      <c r="AB3492" s="28"/>
      <c r="AC3492" s="28" t="n">
        <f aca="false">AB3492*$M3492</f>
        <v>0</v>
      </c>
      <c r="AD3492" s="28"/>
      <c r="AE3492" s="28" t="n">
        <f aca="false">AD3492*$M3492</f>
        <v>0</v>
      </c>
      <c r="AF3492" s="28"/>
      <c r="AG3492" s="28" t="n">
        <f aca="false">AF3492*$M3492</f>
        <v>0</v>
      </c>
      <c r="AH3492" s="28" t="n">
        <v>110560</v>
      </c>
      <c r="AI3492" s="28" t="n">
        <v>331680</v>
      </c>
      <c r="AJ3492" s="28"/>
      <c r="AK3492" s="28" t="n">
        <f aca="false">AJ3492*$M3492</f>
        <v>0</v>
      </c>
      <c r="AL3492" s="28"/>
      <c r="AM3492" s="28" t="n">
        <f aca="false">AL3492*$M3492</f>
        <v>0</v>
      </c>
      <c r="AN3492" s="28"/>
      <c r="AO3492" s="28" t="n">
        <f aca="false">AN3492*$M3492</f>
        <v>0</v>
      </c>
      <c r="AP3492" s="28"/>
      <c r="AQ3492" s="28" t="n">
        <f aca="false">AP3492*$M3492</f>
        <v>0</v>
      </c>
      <c r="AR3492" s="28"/>
      <c r="AS3492" s="28" t="n">
        <f aca="false">AR3492*$M3492</f>
        <v>0</v>
      </c>
      <c r="AT3492" s="28"/>
      <c r="AU3492" s="28" t="n">
        <f aca="false">AT3492*$M3492</f>
        <v>0</v>
      </c>
      <c r="AV3492" s="28"/>
      <c r="AW3492" s="28" t="n">
        <f aca="false">AV3492*$M3492</f>
        <v>0</v>
      </c>
      <c r="AX3492" s="28"/>
      <c r="AY3492" s="28" t="n">
        <f aca="false">AX3492*$M3492</f>
        <v>0</v>
      </c>
      <c r="AZ3492" s="30" t="n">
        <v>110560</v>
      </c>
      <c r="BA3492" s="11" t="n">
        <v>331680</v>
      </c>
      <c r="BB3492" s="31" t="n">
        <f aca="false">SUM(Q3492,S3492,U3492,W3492,Y3492,AA3492,AC3492,AE3492,AG3492,AI3492,AK3492,AM3492,AO3492,AQ3492,AS3492,AU3492,AW3492,AY3492)</f>
        <v>331680</v>
      </c>
      <c r="BC3492" s="28" t="n">
        <f aca="false">BA3492-BB3492</f>
        <v>0</v>
      </c>
      <c r="BD3492" s="32" t="n">
        <f aca="false">SUM(P3492,R3492,T3492,V3492,X3492,Z3492,AB3492,AD3492,AF3492,AH3492,AJ3492,AL3492,AN3492,AP3492,AR3492,AT3492,AV3492,AX3492)</f>
        <v>110560</v>
      </c>
      <c r="BE3492" s="33" t="n">
        <f aca="false">AZ3492-BD3492</f>
        <v>0</v>
      </c>
      <c r="BF3492" s="34" t="n">
        <f aca="false">BD3492*M3492</f>
        <v>331680</v>
      </c>
      <c r="BG3492" s="35" t="n">
        <f aca="false">BA3492-BF3492</f>
        <v>0</v>
      </c>
      <c r="BH3492" s="19" t="str">
        <f aca="false">IF(BG3492=0,"",IF(BG3492&lt;&gt;BA3492,"erreur de calcul",IF(BD3492&lt;&gt;0,"pas de prix",IF(M3492&lt;&gt; 0,"pas de quantité","pas de prix, ni de quantité"))))</f>
        <v/>
      </c>
      <c r="BI3492" s="19"/>
    </row>
    <row r="3493" customFormat="false" ht="15" hidden="false" customHeight="false" outlineLevel="0" collapsed="false">
      <c r="A3493" s="0" t="n">
        <v>4</v>
      </c>
      <c r="B3493" s="8" t="s">
        <v>24</v>
      </c>
      <c r="C3493" s="9" t="s">
        <v>25</v>
      </c>
      <c r="D3493" s="9" t="s">
        <v>26</v>
      </c>
      <c r="E3493" s="10" t="n">
        <v>1789</v>
      </c>
      <c r="F3493" s="9" t="s">
        <v>27</v>
      </c>
      <c r="G3493" s="9" t="s">
        <v>27</v>
      </c>
      <c r="H3493" s="11" t="n">
        <v>27</v>
      </c>
      <c r="I3493" s="11" t="s">
        <v>415</v>
      </c>
      <c r="J3493" s="14" t="n">
        <v>3</v>
      </c>
      <c r="K3493" s="14" t="n">
        <v>10</v>
      </c>
      <c r="L3493" s="16"/>
      <c r="M3493" s="27" t="n">
        <f aca="false">J3493+(K3493/20)+(L3493/240)</f>
        <v>3.5</v>
      </c>
      <c r="N3493" s="17" t="s">
        <v>66</v>
      </c>
      <c r="O3493" s="11" t="s">
        <v>98</v>
      </c>
      <c r="P3493" s="28"/>
      <c r="Q3493" s="28" t="n">
        <f aca="false">P3493*$M3493</f>
        <v>0</v>
      </c>
      <c r="R3493" s="28"/>
      <c r="S3493" s="28" t="n">
        <f aca="false">R3493*$M3493</f>
        <v>0</v>
      </c>
      <c r="T3493" s="28"/>
      <c r="U3493" s="28" t="n">
        <f aca="false">T3493*$M3493</f>
        <v>0</v>
      </c>
      <c r="V3493" s="28"/>
      <c r="W3493" s="28" t="n">
        <f aca="false">V3493*$M3493</f>
        <v>0</v>
      </c>
      <c r="X3493" s="28" t="n">
        <v>218</v>
      </c>
      <c r="Y3493" s="28" t="n">
        <v>763</v>
      </c>
      <c r="Z3493" s="28"/>
      <c r="AA3493" s="28" t="n">
        <f aca="false">Z3493*$M3493</f>
        <v>0</v>
      </c>
      <c r="AB3493" s="28"/>
      <c r="AC3493" s="28" t="n">
        <f aca="false">AB3493*$M3493</f>
        <v>0</v>
      </c>
      <c r="AD3493" s="28"/>
      <c r="AE3493" s="28" t="n">
        <f aca="false">AD3493*$M3493</f>
        <v>0</v>
      </c>
      <c r="AF3493" s="28"/>
      <c r="AG3493" s="28" t="n">
        <f aca="false">AF3493*$M3493</f>
        <v>0</v>
      </c>
      <c r="AH3493" s="28" t="n">
        <v>25905</v>
      </c>
      <c r="AI3493" s="28" t="n">
        <v>90667</v>
      </c>
      <c r="AJ3493" s="28"/>
      <c r="AK3493" s="28" t="n">
        <f aca="false">AJ3493*$M3493</f>
        <v>0</v>
      </c>
      <c r="AL3493" s="28"/>
      <c r="AM3493" s="28" t="n">
        <f aca="false">AL3493*$M3493</f>
        <v>0</v>
      </c>
      <c r="AN3493" s="28"/>
      <c r="AO3493" s="28" t="n">
        <f aca="false">AN3493*$M3493</f>
        <v>0</v>
      </c>
      <c r="AP3493" s="28"/>
      <c r="AQ3493" s="28" t="n">
        <f aca="false">AP3493*$M3493</f>
        <v>0</v>
      </c>
      <c r="AR3493" s="28"/>
      <c r="AS3493" s="28" t="n">
        <f aca="false">AR3493*$M3493</f>
        <v>0</v>
      </c>
      <c r="AT3493" s="28"/>
      <c r="AU3493" s="28" t="n">
        <f aca="false">AT3493*$M3493</f>
        <v>0</v>
      </c>
      <c r="AV3493" s="28"/>
      <c r="AW3493" s="28" t="n">
        <f aca="false">AV3493*$M3493</f>
        <v>0</v>
      </c>
      <c r="AX3493" s="28"/>
      <c r="AY3493" s="28" t="n">
        <f aca="false">AX3493*$M3493</f>
        <v>0</v>
      </c>
      <c r="AZ3493" s="30" t="n">
        <v>26123</v>
      </c>
      <c r="BA3493" s="11" t="n">
        <v>91430</v>
      </c>
      <c r="BB3493" s="31" t="n">
        <f aca="false">SUM(Q3493,S3493,U3493,W3493,Y3493,AA3493,AC3493,AE3493,AG3493,AI3493,AK3493,AM3493,AO3493,AQ3493,AS3493,AU3493,AW3493,AY3493)</f>
        <v>91430</v>
      </c>
      <c r="BC3493" s="28" t="n">
        <f aca="false">BA3493-BB3493</f>
        <v>0</v>
      </c>
      <c r="BD3493" s="32" t="n">
        <f aca="false">SUM(P3493,R3493,T3493,V3493,X3493,Z3493,AB3493,AD3493,AF3493,AH3493,AJ3493,AL3493,AN3493,AP3493,AR3493,AT3493,AV3493,AX3493)</f>
        <v>26123</v>
      </c>
      <c r="BE3493" s="33" t="n">
        <f aca="false">AZ3493-BD3493</f>
        <v>0</v>
      </c>
      <c r="BF3493" s="34" t="n">
        <f aca="false">BD3493*M3493</f>
        <v>91430.5</v>
      </c>
      <c r="BG3493" s="35" t="n">
        <f aca="false">BA3493-BF3493</f>
        <v>-0.5</v>
      </c>
      <c r="BH3493" s="19" t="str">
        <f aca="false">IF(BG3493=0,"",IF(BG3493&lt;&gt;BA3493,"erreur de calcul",IF(BD3493&lt;&gt;0,"pas de prix",IF(M3493&lt;&gt; 0,"pas de quantité","pas de prix, ni de quantité"))))</f>
        <v>erreur de calcul</v>
      </c>
      <c r="BI3493" s="19"/>
    </row>
    <row r="3494" customFormat="false" ht="15" hidden="false" customHeight="false" outlineLevel="0" collapsed="false">
      <c r="A3494" s="0" t="n">
        <v>5</v>
      </c>
      <c r="B3494" s="8" t="s">
        <v>24</v>
      </c>
      <c r="C3494" s="9" t="s">
        <v>25</v>
      </c>
      <c r="D3494" s="9" t="s">
        <v>26</v>
      </c>
      <c r="E3494" s="10" t="n">
        <v>1789</v>
      </c>
      <c r="F3494" s="9" t="s">
        <v>27</v>
      </c>
      <c r="G3494" s="9" t="s">
        <v>27</v>
      </c>
      <c r="H3494" s="11" t="n">
        <v>27</v>
      </c>
      <c r="I3494" s="11" t="s">
        <v>416</v>
      </c>
      <c r="J3494" s="14"/>
      <c r="K3494" s="14" t="n">
        <v>30</v>
      </c>
      <c r="L3494" s="16"/>
      <c r="M3494" s="27" t="n">
        <f aca="false">J3494+(K3494/20)+(L3494/240)</f>
        <v>1.5</v>
      </c>
      <c r="N3494" s="17" t="s">
        <v>66</v>
      </c>
      <c r="O3494" s="11"/>
      <c r="P3494" s="28"/>
      <c r="Q3494" s="28" t="n">
        <f aca="false">P3494*$M3494</f>
        <v>0</v>
      </c>
      <c r="R3494" s="28"/>
      <c r="S3494" s="28" t="n">
        <f aca="false">R3494*$M3494</f>
        <v>0</v>
      </c>
      <c r="T3494" s="28"/>
      <c r="U3494" s="28" t="n">
        <f aca="false">T3494*$M3494</f>
        <v>0</v>
      </c>
      <c r="V3494" s="28"/>
      <c r="W3494" s="28" t="n">
        <f aca="false">V3494*$M3494</f>
        <v>0</v>
      </c>
      <c r="X3494" s="28"/>
      <c r="Y3494" s="28" t="n">
        <f aca="false">X3494*$M3494</f>
        <v>0</v>
      </c>
      <c r="Z3494" s="28"/>
      <c r="AA3494" s="28" t="n">
        <f aca="false">Z3494*$M3494</f>
        <v>0</v>
      </c>
      <c r="AB3494" s="28"/>
      <c r="AC3494" s="28" t="n">
        <f aca="false">AB3494*$M3494</f>
        <v>0</v>
      </c>
      <c r="AD3494" s="28"/>
      <c r="AE3494" s="28" t="n">
        <f aca="false">AD3494*$M3494</f>
        <v>0</v>
      </c>
      <c r="AF3494" s="28"/>
      <c r="AG3494" s="28" t="n">
        <f aca="false">AF3494*$M3494</f>
        <v>0</v>
      </c>
      <c r="AH3494" s="28" t="n">
        <v>75870</v>
      </c>
      <c r="AI3494" s="28" t="n">
        <v>113805</v>
      </c>
      <c r="AJ3494" s="28"/>
      <c r="AK3494" s="28" t="n">
        <f aca="false">AJ3494*$M3494</f>
        <v>0</v>
      </c>
      <c r="AL3494" s="28"/>
      <c r="AM3494" s="28" t="n">
        <f aca="false">AL3494*$M3494</f>
        <v>0</v>
      </c>
      <c r="AN3494" s="28"/>
      <c r="AO3494" s="28" t="n">
        <f aca="false">AN3494*$M3494</f>
        <v>0</v>
      </c>
      <c r="AP3494" s="28"/>
      <c r="AQ3494" s="28" t="n">
        <f aca="false">AP3494*$M3494</f>
        <v>0</v>
      </c>
      <c r="AR3494" s="28"/>
      <c r="AS3494" s="28" t="n">
        <f aca="false">AR3494*$M3494</f>
        <v>0</v>
      </c>
      <c r="AT3494" s="28"/>
      <c r="AU3494" s="28" t="n">
        <f aca="false">AT3494*$M3494</f>
        <v>0</v>
      </c>
      <c r="AV3494" s="28"/>
      <c r="AW3494" s="28" t="n">
        <f aca="false">AV3494*$M3494</f>
        <v>0</v>
      </c>
      <c r="AX3494" s="28"/>
      <c r="AY3494" s="28" t="n">
        <f aca="false">AX3494*$M3494</f>
        <v>0</v>
      </c>
      <c r="AZ3494" s="30" t="n">
        <v>75870</v>
      </c>
      <c r="BA3494" s="11" t="n">
        <v>113805</v>
      </c>
      <c r="BB3494" s="31" t="n">
        <f aca="false">SUM(Q3494,S3494,U3494,W3494,Y3494,AA3494,AC3494,AE3494,AG3494,AI3494,AK3494,AM3494,AO3494,AQ3494,AS3494,AU3494,AW3494,AY3494)</f>
        <v>113805</v>
      </c>
      <c r="BC3494" s="28" t="n">
        <f aca="false">BA3494-BB3494</f>
        <v>0</v>
      </c>
      <c r="BD3494" s="32" t="n">
        <f aca="false">SUM(P3494,R3494,T3494,V3494,X3494,Z3494,AB3494,AD3494,AF3494,AH3494,AJ3494,AL3494,AN3494,AP3494,AR3494,AT3494,AV3494,AX3494)</f>
        <v>75870</v>
      </c>
      <c r="BE3494" s="33" t="n">
        <f aca="false">AZ3494-BD3494</f>
        <v>0</v>
      </c>
      <c r="BF3494" s="34" t="n">
        <f aca="false">BD3494*M3494</f>
        <v>113805</v>
      </c>
      <c r="BG3494" s="35" t="n">
        <f aca="false">BA3494-BF3494</f>
        <v>0</v>
      </c>
      <c r="BH3494" s="19" t="str">
        <f aca="false">IF(BG3494=0,"",IF(BG3494&lt;&gt;BA3494,"erreur de calcul",IF(BD3494&lt;&gt;0,"pas de prix",IF(M3494&lt;&gt; 0,"pas de quantité","pas de prix, ni de quantité"))))</f>
        <v/>
      </c>
      <c r="BI3494" s="19"/>
    </row>
    <row r="3495" customFormat="false" ht="15" hidden="false" customHeight="false" outlineLevel="0" collapsed="false">
      <c r="A3495" s="0" t="n">
        <v>6</v>
      </c>
      <c r="B3495" s="8" t="s">
        <v>24</v>
      </c>
      <c r="C3495" s="9" t="s">
        <v>25</v>
      </c>
      <c r="D3495" s="9" t="s">
        <v>26</v>
      </c>
      <c r="E3495" s="10" t="n">
        <v>1789</v>
      </c>
      <c r="F3495" s="9" t="s">
        <v>27</v>
      </c>
      <c r="G3495" s="9" t="s">
        <v>27</v>
      </c>
      <c r="H3495" s="11" t="n">
        <v>27</v>
      </c>
      <c r="I3495" s="11" t="s">
        <v>417</v>
      </c>
      <c r="J3495" s="14" t="n">
        <v>3</v>
      </c>
      <c r="K3495" s="14"/>
      <c r="L3495" s="16"/>
      <c r="M3495" s="27" t="n">
        <f aca="false">J3495+(K3495/20)+(L3495/240)</f>
        <v>3</v>
      </c>
      <c r="N3495" s="17" t="s">
        <v>66</v>
      </c>
      <c r="O3495" s="11"/>
      <c r="P3495" s="28"/>
      <c r="Q3495" s="28" t="n">
        <f aca="false">P3495*$M3495</f>
        <v>0</v>
      </c>
      <c r="R3495" s="28"/>
      <c r="S3495" s="28" t="n">
        <f aca="false">R3495*$M3495</f>
        <v>0</v>
      </c>
      <c r="T3495" s="28"/>
      <c r="U3495" s="28" t="n">
        <f aca="false">T3495*$M3495</f>
        <v>0</v>
      </c>
      <c r="V3495" s="28"/>
      <c r="W3495" s="28" t="n">
        <f aca="false">V3495*$M3495</f>
        <v>0</v>
      </c>
      <c r="X3495" s="28"/>
      <c r="Y3495" s="28" t="n">
        <f aca="false">X3495*$M3495</f>
        <v>0</v>
      </c>
      <c r="Z3495" s="28"/>
      <c r="AA3495" s="28" t="n">
        <f aca="false">Z3495*$M3495</f>
        <v>0</v>
      </c>
      <c r="AB3495" s="28"/>
      <c r="AC3495" s="28" t="n">
        <f aca="false">AB3495*$M3495</f>
        <v>0</v>
      </c>
      <c r="AD3495" s="28"/>
      <c r="AE3495" s="28" t="n">
        <f aca="false">AD3495*$M3495</f>
        <v>0</v>
      </c>
      <c r="AF3495" s="28"/>
      <c r="AG3495" s="28" t="n">
        <f aca="false">AF3495*$M3495</f>
        <v>0</v>
      </c>
      <c r="AH3495" s="28" t="n">
        <v>121588</v>
      </c>
      <c r="AI3495" s="28" t="n">
        <v>364764</v>
      </c>
      <c r="AJ3495" s="28"/>
      <c r="AK3495" s="28" t="n">
        <f aca="false">AJ3495*$M3495</f>
        <v>0</v>
      </c>
      <c r="AL3495" s="28"/>
      <c r="AM3495" s="28" t="n">
        <f aca="false">AL3495*$M3495</f>
        <v>0</v>
      </c>
      <c r="AN3495" s="28"/>
      <c r="AO3495" s="28" t="n">
        <f aca="false">AN3495*$M3495</f>
        <v>0</v>
      </c>
      <c r="AP3495" s="28"/>
      <c r="AQ3495" s="28" t="n">
        <f aca="false">AP3495*$M3495</f>
        <v>0</v>
      </c>
      <c r="AR3495" s="28"/>
      <c r="AS3495" s="28" t="n">
        <f aca="false">AR3495*$M3495</f>
        <v>0</v>
      </c>
      <c r="AT3495" s="28"/>
      <c r="AU3495" s="28" t="n">
        <f aca="false">AT3495*$M3495</f>
        <v>0</v>
      </c>
      <c r="AV3495" s="28"/>
      <c r="AW3495" s="28" t="n">
        <f aca="false">AV3495*$M3495</f>
        <v>0</v>
      </c>
      <c r="AX3495" s="28"/>
      <c r="AY3495" s="28" t="n">
        <f aca="false">AX3495*$M3495</f>
        <v>0</v>
      </c>
      <c r="AZ3495" s="30" t="n">
        <v>121588</v>
      </c>
      <c r="BA3495" s="11" t="n">
        <v>364764</v>
      </c>
      <c r="BB3495" s="31" t="n">
        <f aca="false">SUM(Q3495,S3495,U3495,W3495,Y3495,AA3495,AC3495,AE3495,AG3495,AI3495,AK3495,AM3495,AO3495,AQ3495,AS3495,AU3495,AW3495,AY3495)</f>
        <v>364764</v>
      </c>
      <c r="BC3495" s="28" t="n">
        <f aca="false">BA3495-BB3495</f>
        <v>0</v>
      </c>
      <c r="BD3495" s="32" t="n">
        <f aca="false">SUM(P3495,R3495,T3495,V3495,X3495,Z3495,AB3495,AD3495,AF3495,AH3495,AJ3495,AL3495,AN3495,AP3495,AR3495,AT3495,AV3495,AX3495)</f>
        <v>121588</v>
      </c>
      <c r="BE3495" s="33" t="n">
        <f aca="false">AZ3495-BD3495</f>
        <v>0</v>
      </c>
      <c r="BF3495" s="34" t="n">
        <f aca="false">BD3495*M3495</f>
        <v>364764</v>
      </c>
      <c r="BG3495" s="35" t="n">
        <f aca="false">BA3495-BF3495</f>
        <v>0</v>
      </c>
      <c r="BH3495" s="19" t="str">
        <f aca="false">IF(BG3495=0,"",IF(BG3495&lt;&gt;BA3495,"erreur de calcul",IF(BD3495&lt;&gt;0,"pas de prix",IF(M3495&lt;&gt; 0,"pas de quantité","pas de prix, ni de quantité"))))</f>
        <v/>
      </c>
      <c r="BI3495" s="19"/>
    </row>
    <row r="3496" customFormat="false" ht="15" hidden="false" customHeight="false" outlineLevel="0" collapsed="false">
      <c r="A3496" s="0" t="n">
        <v>7</v>
      </c>
      <c r="B3496" s="8" t="s">
        <v>24</v>
      </c>
      <c r="C3496" s="9" t="s">
        <v>25</v>
      </c>
      <c r="D3496" s="9" t="s">
        <v>26</v>
      </c>
      <c r="E3496" s="10" t="n">
        <v>1789</v>
      </c>
      <c r="F3496" s="9" t="s">
        <v>27</v>
      </c>
      <c r="G3496" s="9" t="s">
        <v>27</v>
      </c>
      <c r="H3496" s="11" t="n">
        <v>27</v>
      </c>
      <c r="I3496" s="11" t="s">
        <v>418</v>
      </c>
      <c r="J3496" s="14"/>
      <c r="K3496" s="14" t="n">
        <v>24</v>
      </c>
      <c r="L3496" s="16"/>
      <c r="M3496" s="27" t="n">
        <f aca="false">J3496+(K3496/20)+(L3496/240)</f>
        <v>1.2</v>
      </c>
      <c r="N3496" s="17" t="s">
        <v>66</v>
      </c>
      <c r="O3496" s="11"/>
      <c r="P3496" s="28"/>
      <c r="Q3496" s="28" t="n">
        <f aca="false">P3496*$M3496</f>
        <v>0</v>
      </c>
      <c r="R3496" s="28"/>
      <c r="S3496" s="28" t="n">
        <f aca="false">R3496*$M3496</f>
        <v>0</v>
      </c>
      <c r="T3496" s="28"/>
      <c r="U3496" s="28" t="n">
        <f aca="false">T3496*$M3496</f>
        <v>0</v>
      </c>
      <c r="V3496" s="28"/>
      <c r="W3496" s="28" t="n">
        <f aca="false">V3496*$M3496</f>
        <v>0</v>
      </c>
      <c r="X3496" s="28"/>
      <c r="Y3496" s="28" t="n">
        <f aca="false">X3496*$M3496</f>
        <v>0</v>
      </c>
      <c r="Z3496" s="28"/>
      <c r="AA3496" s="28" t="n">
        <f aca="false">Z3496*$M3496</f>
        <v>0</v>
      </c>
      <c r="AB3496" s="28"/>
      <c r="AC3496" s="28" t="n">
        <f aca="false">AB3496*$M3496</f>
        <v>0</v>
      </c>
      <c r="AD3496" s="28"/>
      <c r="AE3496" s="28" t="n">
        <f aca="false">AD3496*$M3496</f>
        <v>0</v>
      </c>
      <c r="AF3496" s="28"/>
      <c r="AG3496" s="28" t="n">
        <f aca="false">AF3496*$M3496</f>
        <v>0</v>
      </c>
      <c r="AH3496" s="28" t="n">
        <v>50204</v>
      </c>
      <c r="AI3496" s="28" t="n">
        <v>60245</v>
      </c>
      <c r="AJ3496" s="28"/>
      <c r="AK3496" s="28" t="n">
        <f aca="false">AJ3496*$M3496</f>
        <v>0</v>
      </c>
      <c r="AL3496" s="28"/>
      <c r="AM3496" s="28" t="n">
        <f aca="false">AL3496*$M3496</f>
        <v>0</v>
      </c>
      <c r="AN3496" s="28"/>
      <c r="AO3496" s="28" t="n">
        <f aca="false">AN3496*$M3496</f>
        <v>0</v>
      </c>
      <c r="AP3496" s="28"/>
      <c r="AQ3496" s="28" t="n">
        <f aca="false">AP3496*$M3496</f>
        <v>0</v>
      </c>
      <c r="AR3496" s="28"/>
      <c r="AS3496" s="28" t="n">
        <f aca="false">AR3496*$M3496</f>
        <v>0</v>
      </c>
      <c r="AT3496" s="28"/>
      <c r="AU3496" s="28" t="n">
        <f aca="false">AT3496*$M3496</f>
        <v>0</v>
      </c>
      <c r="AV3496" s="28"/>
      <c r="AW3496" s="28" t="n">
        <f aca="false">AV3496*$M3496</f>
        <v>0</v>
      </c>
      <c r="AX3496" s="28"/>
      <c r="AY3496" s="28" t="n">
        <f aca="false">AX3496*$M3496</f>
        <v>0</v>
      </c>
      <c r="AZ3496" s="30" t="n">
        <v>50204</v>
      </c>
      <c r="BA3496" s="11" t="n">
        <v>60245</v>
      </c>
      <c r="BB3496" s="31" t="n">
        <f aca="false">SUM(Q3496,S3496,U3496,W3496,Y3496,AA3496,AC3496,AE3496,AG3496,AI3496,AK3496,AM3496,AO3496,AQ3496,AS3496,AU3496,AW3496,AY3496)</f>
        <v>60245</v>
      </c>
      <c r="BC3496" s="28" t="n">
        <f aca="false">BA3496-BB3496</f>
        <v>0</v>
      </c>
      <c r="BD3496" s="32" t="n">
        <f aca="false">SUM(P3496,R3496,T3496,V3496,X3496,Z3496,AB3496,AD3496,AF3496,AH3496,AJ3496,AL3496,AN3496,AP3496,AR3496,AT3496,AV3496,AX3496)</f>
        <v>50204</v>
      </c>
      <c r="BE3496" s="33" t="n">
        <f aca="false">AZ3496-BD3496</f>
        <v>0</v>
      </c>
      <c r="BF3496" s="34" t="n">
        <f aca="false">BD3496*M3496</f>
        <v>60244.8</v>
      </c>
      <c r="BG3496" s="35" t="n">
        <f aca="false">BA3496-BF3496</f>
        <v>0.200000000004366</v>
      </c>
      <c r="BH3496" s="19" t="str">
        <f aca="false">IF(BG3496=0,"",IF(BG3496&lt;&gt;BA3496,"erreur de calcul",IF(BD3496&lt;&gt;0,"pas de prix",IF(M3496&lt;&gt; 0,"pas de quantité","pas de prix, ni de quantité"))))</f>
        <v>erreur de calcul</v>
      </c>
      <c r="BI3496" s="19"/>
    </row>
    <row r="3497" customFormat="false" ht="15" hidden="false" customHeight="false" outlineLevel="0" collapsed="false">
      <c r="A3497" s="0" t="n">
        <v>8</v>
      </c>
      <c r="B3497" s="8" t="s">
        <v>24</v>
      </c>
      <c r="C3497" s="9" t="s">
        <v>25</v>
      </c>
      <c r="D3497" s="9" t="s">
        <v>26</v>
      </c>
      <c r="E3497" s="10" t="n">
        <v>1789</v>
      </c>
      <c r="F3497" s="9" t="s">
        <v>27</v>
      </c>
      <c r="G3497" s="9" t="s">
        <v>27</v>
      </c>
      <c r="H3497" s="11" t="n">
        <v>27</v>
      </c>
      <c r="I3497" s="11" t="s">
        <v>419</v>
      </c>
      <c r="J3497" s="14" t="n">
        <v>40</v>
      </c>
      <c r="K3497" s="14"/>
      <c r="L3497" s="16"/>
      <c r="M3497" s="27" t="n">
        <f aca="false">J3497+(K3497/20)+(L3497/240)</f>
        <v>40</v>
      </c>
      <c r="N3497" s="17" t="s">
        <v>66</v>
      </c>
      <c r="O3497" s="11" t="s">
        <v>98</v>
      </c>
      <c r="P3497" s="28"/>
      <c r="Q3497" s="28" t="n">
        <f aca="false">P3497*$M3497</f>
        <v>0</v>
      </c>
      <c r="R3497" s="28"/>
      <c r="S3497" s="28" t="n">
        <f aca="false">R3497*$M3497</f>
        <v>0</v>
      </c>
      <c r="T3497" s="28"/>
      <c r="U3497" s="28" t="n">
        <f aca="false">T3497*$M3497</f>
        <v>0</v>
      </c>
      <c r="V3497" s="28"/>
      <c r="W3497" s="28" t="n">
        <f aca="false">V3497*$M3497</f>
        <v>0</v>
      </c>
      <c r="X3497" s="28"/>
      <c r="Y3497" s="28" t="n">
        <f aca="false">X3497*$M3497</f>
        <v>0</v>
      </c>
      <c r="Z3497" s="28"/>
      <c r="AA3497" s="28" t="n">
        <f aca="false">Z3497*$M3497</f>
        <v>0</v>
      </c>
      <c r="AB3497" s="28"/>
      <c r="AC3497" s="28" t="n">
        <f aca="false">AB3497*$M3497</f>
        <v>0</v>
      </c>
      <c r="AD3497" s="28"/>
      <c r="AE3497" s="28" t="n">
        <f aca="false">AD3497*$M3497</f>
        <v>0</v>
      </c>
      <c r="AF3497" s="28"/>
      <c r="AG3497" s="28" t="n">
        <f aca="false">AF3497*$M3497</f>
        <v>0</v>
      </c>
      <c r="AH3497" s="28"/>
      <c r="AI3497" s="28" t="n">
        <f aca="false">AH3497*$M3497</f>
        <v>0</v>
      </c>
      <c r="AJ3497" s="28"/>
      <c r="AK3497" s="28" t="n">
        <f aca="false">AJ3497*$M3497</f>
        <v>0</v>
      </c>
      <c r="AL3497" s="28"/>
      <c r="AM3497" s="28" t="n">
        <f aca="false">AL3497*$M3497</f>
        <v>0</v>
      </c>
      <c r="AN3497" s="28"/>
      <c r="AO3497" s="28" t="n">
        <f aca="false">AN3497*$M3497</f>
        <v>0</v>
      </c>
      <c r="AP3497" s="28"/>
      <c r="AQ3497" s="28" t="n">
        <f aca="false">AP3497*$M3497</f>
        <v>0</v>
      </c>
      <c r="AR3497" s="28"/>
      <c r="AS3497" s="28" t="n">
        <f aca="false">AR3497*$M3497</f>
        <v>0</v>
      </c>
      <c r="AT3497" s="28"/>
      <c r="AU3497" s="28" t="n">
        <f aca="false">AT3497*$M3497</f>
        <v>0</v>
      </c>
      <c r="AV3497" s="28"/>
      <c r="AW3497" s="28" t="n">
        <f aca="false">AV3497*$M3497</f>
        <v>0</v>
      </c>
      <c r="AX3497" s="28"/>
      <c r="AY3497" s="28" t="n">
        <f aca="false">AX3497*$M3497</f>
        <v>0</v>
      </c>
      <c r="AZ3497" s="30"/>
      <c r="BA3497" s="11"/>
      <c r="BB3497" s="31" t="n">
        <f aca="false">SUM(Q3497,S3497,U3497,W3497,Y3497,AA3497,AC3497,AE3497,AG3497,AI3497,AK3497,AM3497,AO3497,AQ3497,AS3497,AU3497,AW3497,AY3497)</f>
        <v>0</v>
      </c>
      <c r="BC3497" s="28" t="n">
        <f aca="false">BA3497-BB3497</f>
        <v>0</v>
      </c>
      <c r="BD3497" s="32" t="n">
        <f aca="false">SUM(P3497,R3497,T3497,V3497,X3497,Z3497,AB3497,AD3497,AF3497,AH3497,AJ3497,AL3497,AN3497,AP3497,AR3497,AT3497,AV3497,AX3497)</f>
        <v>0</v>
      </c>
      <c r="BE3497" s="33" t="n">
        <f aca="false">AZ3497-BD3497</f>
        <v>0</v>
      </c>
      <c r="BF3497" s="34" t="n">
        <f aca="false">BD3497*M3497</f>
        <v>0</v>
      </c>
      <c r="BG3497" s="35" t="n">
        <f aca="false">BA3497-BF3497</f>
        <v>0</v>
      </c>
      <c r="BH3497" s="19" t="str">
        <f aca="false">IF(BG3497=0,"",IF(BG3497&lt;&gt;BA3497,"erreur de calcul",IF(BD3497&lt;&gt;0,"pas de prix",IF(M3497&lt;&gt; 0,"pas de quantité","pas de prix, ni de quantité"))))</f>
        <v/>
      </c>
      <c r="BI3497" s="19"/>
    </row>
    <row r="3498" customFormat="false" ht="15" hidden="false" customHeight="false" outlineLevel="0" collapsed="false">
      <c r="A3498" s="0" t="n">
        <v>9</v>
      </c>
      <c r="B3498" s="8" t="s">
        <v>24</v>
      </c>
      <c r="C3498" s="9" t="s">
        <v>25</v>
      </c>
      <c r="D3498" s="9" t="s">
        <v>26</v>
      </c>
      <c r="E3498" s="10" t="n">
        <v>1789</v>
      </c>
      <c r="F3498" s="9" t="s">
        <v>27</v>
      </c>
      <c r="G3498" s="9" t="s">
        <v>27</v>
      </c>
      <c r="H3498" s="11" t="n">
        <v>27</v>
      </c>
      <c r="I3498" s="11" t="s">
        <v>420</v>
      </c>
      <c r="J3498" s="14" t="n">
        <v>9</v>
      </c>
      <c r="K3498" s="14"/>
      <c r="L3498" s="16"/>
      <c r="M3498" s="27" t="n">
        <f aca="false">J3498+(K3498/20)+(L3498/240)</f>
        <v>9</v>
      </c>
      <c r="N3498" s="17" t="s">
        <v>81</v>
      </c>
      <c r="O3498" s="11" t="s">
        <v>98</v>
      </c>
      <c r="P3498" s="28"/>
      <c r="Q3498" s="28" t="n">
        <f aca="false">P3498*$M3498</f>
        <v>0</v>
      </c>
      <c r="R3498" s="28"/>
      <c r="S3498" s="28" t="n">
        <f aca="false">R3498*$M3498</f>
        <v>0</v>
      </c>
      <c r="T3498" s="28"/>
      <c r="U3498" s="28" t="n">
        <f aca="false">T3498*$M3498</f>
        <v>0</v>
      </c>
      <c r="V3498" s="28"/>
      <c r="W3498" s="28" t="n">
        <f aca="false">V3498*$M3498</f>
        <v>0</v>
      </c>
      <c r="X3498" s="28"/>
      <c r="Y3498" s="28" t="n">
        <f aca="false">X3498*$M3498</f>
        <v>0</v>
      </c>
      <c r="Z3498" s="28"/>
      <c r="AA3498" s="28" t="n">
        <f aca="false">Z3498*$M3498</f>
        <v>0</v>
      </c>
      <c r="AB3498" s="28"/>
      <c r="AC3498" s="28" t="n">
        <f aca="false">AB3498*$M3498</f>
        <v>0</v>
      </c>
      <c r="AD3498" s="28"/>
      <c r="AE3498" s="28" t="n">
        <f aca="false">AD3498*$M3498</f>
        <v>0</v>
      </c>
      <c r="AF3498" s="28"/>
      <c r="AG3498" s="28" t="n">
        <f aca="false">AF3498*$M3498</f>
        <v>0</v>
      </c>
      <c r="AH3498" s="28"/>
      <c r="AI3498" s="28" t="n">
        <f aca="false">AH3498*$M3498</f>
        <v>0</v>
      </c>
      <c r="AJ3498" s="28"/>
      <c r="AK3498" s="28" t="n">
        <f aca="false">AJ3498*$M3498</f>
        <v>0</v>
      </c>
      <c r="AL3498" s="28"/>
      <c r="AM3498" s="28" t="n">
        <f aca="false">AL3498*$M3498</f>
        <v>0</v>
      </c>
      <c r="AN3498" s="28"/>
      <c r="AO3498" s="28" t="n">
        <f aca="false">AN3498*$M3498</f>
        <v>0</v>
      </c>
      <c r="AP3498" s="28"/>
      <c r="AQ3498" s="28" t="n">
        <f aca="false">AP3498*$M3498</f>
        <v>0</v>
      </c>
      <c r="AR3498" s="28"/>
      <c r="AS3498" s="28" t="n">
        <f aca="false">AR3498*$M3498</f>
        <v>0</v>
      </c>
      <c r="AT3498" s="28"/>
      <c r="AU3498" s="28" t="n">
        <f aca="false">AT3498*$M3498</f>
        <v>0</v>
      </c>
      <c r="AV3498" s="28"/>
      <c r="AW3498" s="28" t="n">
        <f aca="false">AV3498*$M3498</f>
        <v>0</v>
      </c>
      <c r="AX3498" s="28"/>
      <c r="AY3498" s="28" t="n">
        <f aca="false">AX3498*$M3498</f>
        <v>0</v>
      </c>
      <c r="AZ3498" s="30"/>
      <c r="BA3498" s="11"/>
      <c r="BB3498" s="31" t="n">
        <f aca="false">SUM(Q3498,S3498,U3498,W3498,Y3498,AA3498,AC3498,AE3498,AG3498,AI3498,AK3498,AM3498,AO3498,AQ3498,AS3498,AU3498,AW3498,AY3498)</f>
        <v>0</v>
      </c>
      <c r="BC3498" s="28" t="n">
        <f aca="false">BA3498-BB3498</f>
        <v>0</v>
      </c>
      <c r="BD3498" s="32" t="n">
        <f aca="false">SUM(P3498,R3498,T3498,V3498,X3498,Z3498,AB3498,AD3498,AF3498,AH3498,AJ3498,AL3498,AN3498,AP3498,AR3498,AT3498,AV3498,AX3498)</f>
        <v>0</v>
      </c>
      <c r="BE3498" s="33" t="n">
        <f aca="false">AZ3498-BD3498</f>
        <v>0</v>
      </c>
      <c r="BF3498" s="34" t="n">
        <f aca="false">BD3498*M3498</f>
        <v>0</v>
      </c>
      <c r="BG3498" s="35" t="n">
        <f aca="false">BA3498-BF3498</f>
        <v>0</v>
      </c>
      <c r="BH3498" s="19" t="str">
        <f aca="false">IF(BG3498=0,"",IF(BG3498&lt;&gt;BA3498,"erreur de calcul",IF(BD3498&lt;&gt;0,"pas de prix",IF(M3498&lt;&gt; 0,"pas de quantité","pas de prix, ni de quantité"))))</f>
        <v/>
      </c>
      <c r="BI3498" s="19"/>
    </row>
    <row r="3499" customFormat="false" ht="15" hidden="false" customHeight="false" outlineLevel="0" collapsed="false">
      <c r="A3499" s="0" t="n">
        <v>10</v>
      </c>
      <c r="B3499" s="8" t="s">
        <v>24</v>
      </c>
      <c r="C3499" s="9" t="s">
        <v>25</v>
      </c>
      <c r="D3499" s="9" t="s">
        <v>26</v>
      </c>
      <c r="E3499" s="10" t="n">
        <v>1789</v>
      </c>
      <c r="F3499" s="9" t="s">
        <v>27</v>
      </c>
      <c r="G3499" s="9" t="s">
        <v>27</v>
      </c>
      <c r="H3499" s="11" t="n">
        <v>27</v>
      </c>
      <c r="I3499" s="11" t="s">
        <v>421</v>
      </c>
      <c r="J3499" s="14" t="n">
        <v>220</v>
      </c>
      <c r="K3499" s="14"/>
      <c r="L3499" s="16"/>
      <c r="M3499" s="27" t="n">
        <f aca="false">J3499+(K3499/20)+(L3499/240)</f>
        <v>220</v>
      </c>
      <c r="N3499" s="17" t="s">
        <v>64</v>
      </c>
      <c r="O3499" s="11" t="s">
        <v>277</v>
      </c>
      <c r="P3499" s="28" t="n">
        <f aca="false">245/100</f>
        <v>2.45</v>
      </c>
      <c r="Q3499" s="28" t="n">
        <v>539</v>
      </c>
      <c r="R3499" s="28"/>
      <c r="S3499" s="28" t="n">
        <f aca="false">R3499*$M3499</f>
        <v>0</v>
      </c>
      <c r="T3499" s="28" t="n">
        <f aca="false">40119/100</f>
        <v>401.19</v>
      </c>
      <c r="U3499" s="28" t="n">
        <v>88262</v>
      </c>
      <c r="V3499" s="28" t="n">
        <f aca="false">14285/100</f>
        <v>142.85</v>
      </c>
      <c r="W3499" s="28" t="n">
        <v>31427</v>
      </c>
      <c r="X3499" s="28" t="n">
        <f aca="false">62608/100</f>
        <v>626.08</v>
      </c>
      <c r="Y3499" s="28" t="n">
        <v>137738</v>
      </c>
      <c r="Z3499" s="28" t="n">
        <f aca="false">523/100</f>
        <v>5.23</v>
      </c>
      <c r="AA3499" s="28" t="n">
        <v>1151</v>
      </c>
      <c r="AB3499" s="28" t="n">
        <f aca="false">56/100</f>
        <v>0.56</v>
      </c>
      <c r="AC3499" s="28" t="n">
        <v>123</v>
      </c>
      <c r="AD3499" s="28"/>
      <c r="AE3499" s="28" t="n">
        <f aca="false">AD3499*$M3499</f>
        <v>0</v>
      </c>
      <c r="AF3499" s="28"/>
      <c r="AG3499" s="28" t="n">
        <f aca="false">AF3499*$M3499</f>
        <v>0</v>
      </c>
      <c r="AH3499" s="28"/>
      <c r="AI3499" s="28" t="n">
        <f aca="false">AH3499*$M3499</f>
        <v>0</v>
      </c>
      <c r="AJ3499" s="28" t="n">
        <f aca="false">3845/100</f>
        <v>38.45</v>
      </c>
      <c r="AK3499" s="28" t="n">
        <v>8459</v>
      </c>
      <c r="AL3499" s="28" t="n">
        <f aca="false">26510/100</f>
        <v>265.1</v>
      </c>
      <c r="AM3499" s="28" t="n">
        <v>58322</v>
      </c>
      <c r="AN3499" s="28" t="n">
        <f aca="false">330/100</f>
        <v>3.3</v>
      </c>
      <c r="AO3499" s="28" t="n">
        <v>726</v>
      </c>
      <c r="AP3499" s="28"/>
      <c r="AQ3499" s="28" t="n">
        <f aca="false">AP3499*$M3499</f>
        <v>0</v>
      </c>
      <c r="AR3499" s="28"/>
      <c r="AS3499" s="28" t="n">
        <f aca="false">AR3499*$M3499</f>
        <v>0</v>
      </c>
      <c r="AT3499" s="28"/>
      <c r="AU3499" s="28" t="n">
        <f aca="false">AT3499*$M3499</f>
        <v>0</v>
      </c>
      <c r="AV3499" s="28" t="n">
        <f aca="false">1487/100</f>
        <v>14.87</v>
      </c>
      <c r="AW3499" s="28" t="n">
        <v>3271</v>
      </c>
      <c r="AX3499" s="28"/>
      <c r="AY3499" s="28" t="n">
        <f aca="false">AX3499*$M3499</f>
        <v>0</v>
      </c>
      <c r="AZ3499" s="30" t="n">
        <f aca="false">150008/100</f>
        <v>1500.08</v>
      </c>
      <c r="BA3499" s="11" t="n">
        <v>330018</v>
      </c>
      <c r="BB3499" s="31" t="n">
        <f aca="false">SUM(Q3499,S3499,U3499,W3499,Y3499,AA3499,AC3499,AE3499,AG3499,AI3499,AK3499,AM3499,AO3499,AQ3499,AS3499,AU3499,AW3499,AY3499)</f>
        <v>330018</v>
      </c>
      <c r="BC3499" s="28" t="n">
        <f aca="false">BA3499-BB3499</f>
        <v>0</v>
      </c>
      <c r="BD3499" s="32" t="n">
        <f aca="false">SUM(P3499,R3499,T3499,V3499,X3499,Z3499,AB3499,AD3499,AF3499,AH3499,AJ3499,AL3499,AN3499,AP3499,AR3499,AT3499,AV3499,AX3499)</f>
        <v>1500.08</v>
      </c>
      <c r="BE3499" s="33" t="n">
        <f aca="false">AZ3499-BD3499</f>
        <v>0</v>
      </c>
      <c r="BF3499" s="34" t="n">
        <f aca="false">BD3499*M3499</f>
        <v>330017.6</v>
      </c>
      <c r="BG3499" s="35" t="n">
        <f aca="false">BA3499-BF3499</f>
        <v>0.399999999965075</v>
      </c>
      <c r="BH3499" s="19" t="str">
        <f aca="false">IF(BG3499=0,"",IF(BG3499&lt;&gt;BA3499,"erreur de calcul",IF(BD3499&lt;&gt;0,"pas de prix",IF(M3499&lt;&gt; 0,"pas de quantité","pas de prix, ni de quantité"))))</f>
        <v>erreur de calcul</v>
      </c>
      <c r="BI3499" s="19"/>
    </row>
    <row r="3500" customFormat="false" ht="15" hidden="false" customHeight="false" outlineLevel="0" collapsed="false">
      <c r="A3500" s="0" t="n">
        <v>11</v>
      </c>
      <c r="B3500" s="8" t="s">
        <v>24</v>
      </c>
      <c r="C3500" s="9" t="s">
        <v>25</v>
      </c>
      <c r="D3500" s="9" t="s">
        <v>26</v>
      </c>
      <c r="E3500" s="10" t="n">
        <v>1789</v>
      </c>
      <c r="F3500" s="9" t="s">
        <v>27</v>
      </c>
      <c r="G3500" s="9" t="s">
        <v>27</v>
      </c>
      <c r="H3500" s="11" t="n">
        <v>27</v>
      </c>
      <c r="I3500" s="11" t="s">
        <v>422</v>
      </c>
      <c r="J3500" s="14" t="n">
        <v>35</v>
      </c>
      <c r="K3500" s="14"/>
      <c r="L3500" s="16"/>
      <c r="M3500" s="27" t="n">
        <f aca="false">J3500+(K3500/20)+(L3500/240)</f>
        <v>35</v>
      </c>
      <c r="N3500" s="17" t="s">
        <v>64</v>
      </c>
      <c r="O3500" s="11"/>
      <c r="P3500" s="28"/>
      <c r="Q3500" s="28" t="n">
        <f aca="false">P3500*$M3500</f>
        <v>0</v>
      </c>
      <c r="R3500" s="28"/>
      <c r="S3500" s="28" t="n">
        <f aca="false">R3500*$M3500</f>
        <v>0</v>
      </c>
      <c r="T3500" s="28"/>
      <c r="U3500" s="28" t="n">
        <f aca="false">T3500*$M3500</f>
        <v>0</v>
      </c>
      <c r="V3500" s="28"/>
      <c r="W3500" s="28" t="n">
        <f aca="false">V3500*$M3500</f>
        <v>0</v>
      </c>
      <c r="X3500" s="28" t="n">
        <f aca="false">9982/100</f>
        <v>99.82</v>
      </c>
      <c r="Y3500" s="28" t="n">
        <v>3494</v>
      </c>
      <c r="Z3500" s="28"/>
      <c r="AA3500" s="28" t="n">
        <f aca="false">Z3500*$M3500</f>
        <v>0</v>
      </c>
      <c r="AB3500" s="28"/>
      <c r="AC3500" s="28" t="n">
        <f aca="false">AB3500*$M3500</f>
        <v>0</v>
      </c>
      <c r="AD3500" s="28"/>
      <c r="AE3500" s="28" t="n">
        <f aca="false">AD3500*$M3500</f>
        <v>0</v>
      </c>
      <c r="AF3500" s="28"/>
      <c r="AG3500" s="28" t="n">
        <f aca="false">AF3500*$M3500</f>
        <v>0</v>
      </c>
      <c r="AH3500" s="28"/>
      <c r="AI3500" s="28" t="n">
        <f aca="false">AH3500*$M3500</f>
        <v>0</v>
      </c>
      <c r="AJ3500" s="28" t="n">
        <f aca="false">28200/100</f>
        <v>282</v>
      </c>
      <c r="AK3500" s="28" t="n">
        <v>9870</v>
      </c>
      <c r="AL3500" s="28" t="n">
        <f aca="false">163472/100</f>
        <v>1634.72</v>
      </c>
      <c r="AM3500" s="28" t="n">
        <v>57215</v>
      </c>
      <c r="AN3500" s="28"/>
      <c r="AO3500" s="28" t="n">
        <f aca="false">AN3500*$M3500</f>
        <v>0</v>
      </c>
      <c r="AP3500" s="28"/>
      <c r="AQ3500" s="28" t="n">
        <f aca="false">AP3500*$M3500</f>
        <v>0</v>
      </c>
      <c r="AR3500" s="28"/>
      <c r="AS3500" s="28" t="n">
        <f aca="false">AR3500*$M3500</f>
        <v>0</v>
      </c>
      <c r="AT3500" s="28"/>
      <c r="AU3500" s="28" t="n">
        <f aca="false">AT3500*$M3500</f>
        <v>0</v>
      </c>
      <c r="AV3500" s="28" t="n">
        <f aca="false">49250/100</f>
        <v>492.5</v>
      </c>
      <c r="AW3500" s="28" t="n">
        <v>17237</v>
      </c>
      <c r="AX3500" s="28"/>
      <c r="AY3500" s="28" t="n">
        <f aca="false">AX3500*$M3500</f>
        <v>0</v>
      </c>
      <c r="AZ3500" s="30" t="n">
        <f aca="false">250904/100</f>
        <v>2509.04</v>
      </c>
      <c r="BA3500" s="11" t="n">
        <v>87816</v>
      </c>
      <c r="BB3500" s="31" t="n">
        <f aca="false">SUM(Q3500,S3500,U3500,W3500,Y3500,AA3500,AC3500,AE3500,AG3500,AI3500,AK3500,AM3500,AO3500,AQ3500,AS3500,AU3500,AW3500,AY3500)</f>
        <v>87816</v>
      </c>
      <c r="BC3500" s="28" t="n">
        <f aca="false">BA3500-BB3500</f>
        <v>0</v>
      </c>
      <c r="BD3500" s="32" t="n">
        <f aca="false">SUM(P3500,R3500,T3500,V3500,X3500,Z3500,AB3500,AD3500,AF3500,AH3500,AJ3500,AL3500,AN3500,AP3500,AR3500,AT3500,AV3500,AX3500)</f>
        <v>2509.04</v>
      </c>
      <c r="BE3500" s="33" t="n">
        <f aca="false">AZ3500-BD3500</f>
        <v>0</v>
      </c>
      <c r="BF3500" s="34" t="n">
        <f aca="false">BD3500*M3500</f>
        <v>87816.4</v>
      </c>
      <c r="BG3500" s="35" t="n">
        <f aca="false">BA3500-BF3500</f>
        <v>-0.400000000008731</v>
      </c>
      <c r="BH3500" s="19" t="str">
        <f aca="false">IF(BG3500=0,"",IF(BG3500&lt;&gt;BA3500,"erreur de calcul",IF(BD3500&lt;&gt;0,"pas de prix",IF(M3500&lt;&gt; 0,"pas de quantité","pas de prix, ni de quantité"))))</f>
        <v>erreur de calcul</v>
      </c>
      <c r="BI3500" s="19"/>
    </row>
    <row r="3501" customFormat="false" ht="15" hidden="false" customHeight="false" outlineLevel="0" collapsed="false">
      <c r="A3501" s="0" t="n">
        <v>12</v>
      </c>
      <c r="B3501" s="8" t="s">
        <v>24</v>
      </c>
      <c r="C3501" s="9" t="s">
        <v>25</v>
      </c>
      <c r="D3501" s="9" t="s">
        <v>26</v>
      </c>
      <c r="E3501" s="10" t="n">
        <v>1789</v>
      </c>
      <c r="F3501" s="9" t="s">
        <v>27</v>
      </c>
      <c r="G3501" s="9" t="s">
        <v>27</v>
      </c>
      <c r="H3501" s="11" t="n">
        <v>27</v>
      </c>
      <c r="I3501" s="11" t="s">
        <v>423</v>
      </c>
      <c r="J3501" s="14" t="n">
        <v>75</v>
      </c>
      <c r="K3501" s="14"/>
      <c r="L3501" s="16"/>
      <c r="M3501" s="27" t="n">
        <f aca="false">J3501+(K3501/20)+(L3501/240)</f>
        <v>75</v>
      </c>
      <c r="N3501" s="17" t="s">
        <v>64</v>
      </c>
      <c r="O3501" s="11"/>
      <c r="P3501" s="28"/>
      <c r="Q3501" s="28" t="n">
        <f aca="false">P3501*$M3501</f>
        <v>0</v>
      </c>
      <c r="R3501" s="28"/>
      <c r="S3501" s="28" t="n">
        <f aca="false">R3501*$M3501</f>
        <v>0</v>
      </c>
      <c r="T3501" s="28"/>
      <c r="U3501" s="28" t="n">
        <f aca="false">T3501*$M3501</f>
        <v>0</v>
      </c>
      <c r="V3501" s="28" t="n">
        <f aca="false">1030/100</f>
        <v>10.3</v>
      </c>
      <c r="W3501" s="28" t="n">
        <v>772</v>
      </c>
      <c r="X3501" s="28"/>
      <c r="Y3501" s="28" t="n">
        <f aca="false">X3501*$M3501</f>
        <v>0</v>
      </c>
      <c r="Z3501" s="28"/>
      <c r="AA3501" s="28" t="n">
        <f aca="false">Z3501*$M3501</f>
        <v>0</v>
      </c>
      <c r="AB3501" s="28"/>
      <c r="AC3501" s="28" t="n">
        <f aca="false">AB3501*$M3501</f>
        <v>0</v>
      </c>
      <c r="AD3501" s="28"/>
      <c r="AE3501" s="28" t="n">
        <f aca="false">AD3501*$M3501</f>
        <v>0</v>
      </c>
      <c r="AF3501" s="28"/>
      <c r="AG3501" s="28" t="n">
        <f aca="false">AF3501*$M3501</f>
        <v>0</v>
      </c>
      <c r="AH3501" s="28"/>
      <c r="AI3501" s="28" t="n">
        <f aca="false">AH3501*$M3501</f>
        <v>0</v>
      </c>
      <c r="AJ3501" s="28"/>
      <c r="AK3501" s="28" t="n">
        <f aca="false">AJ3501*$M3501</f>
        <v>0</v>
      </c>
      <c r="AL3501" s="28"/>
      <c r="AM3501" s="28" t="n">
        <f aca="false">AL3501*$M3501</f>
        <v>0</v>
      </c>
      <c r="AN3501" s="28"/>
      <c r="AO3501" s="28" t="n">
        <f aca="false">AN3501*$M3501</f>
        <v>0</v>
      </c>
      <c r="AP3501" s="28"/>
      <c r="AQ3501" s="28" t="n">
        <f aca="false">AP3501*$M3501</f>
        <v>0</v>
      </c>
      <c r="AR3501" s="28"/>
      <c r="AS3501" s="28" t="n">
        <f aca="false">AR3501*$M3501</f>
        <v>0</v>
      </c>
      <c r="AT3501" s="28"/>
      <c r="AU3501" s="28" t="n">
        <f aca="false">AT3501*$M3501</f>
        <v>0</v>
      </c>
      <c r="AV3501" s="28"/>
      <c r="AW3501" s="28" t="n">
        <f aca="false">AV3501*$M3501</f>
        <v>0</v>
      </c>
      <c r="AX3501" s="28"/>
      <c r="AY3501" s="28" t="n">
        <f aca="false">AX3501*$M3501</f>
        <v>0</v>
      </c>
      <c r="AZ3501" s="30" t="n">
        <f aca="false">1030/100</f>
        <v>10.3</v>
      </c>
      <c r="BA3501" s="11" t="n">
        <v>772</v>
      </c>
      <c r="BB3501" s="31" t="n">
        <f aca="false">SUM(Q3501,S3501,U3501,W3501,Y3501,AA3501,AC3501,AE3501,AG3501,AI3501,AK3501,AM3501,AO3501,AQ3501,AS3501,AU3501,AW3501,AY3501)</f>
        <v>772</v>
      </c>
      <c r="BC3501" s="28" t="n">
        <f aca="false">BA3501-BB3501</f>
        <v>0</v>
      </c>
      <c r="BD3501" s="32" t="n">
        <f aca="false">SUM(P3501,R3501,T3501,V3501,X3501,Z3501,AB3501,AD3501,AF3501,AH3501,AJ3501,AL3501,AN3501,AP3501,AR3501,AT3501,AV3501,AX3501)</f>
        <v>10.3</v>
      </c>
      <c r="BE3501" s="33" t="n">
        <f aca="false">AZ3501-BD3501</f>
        <v>0</v>
      </c>
      <c r="BF3501" s="34" t="n">
        <f aca="false">BD3501*M3501</f>
        <v>772.5</v>
      </c>
      <c r="BG3501" s="35" t="n">
        <f aca="false">BA3501-BF3501</f>
        <v>-0.5</v>
      </c>
      <c r="BH3501" s="19" t="str">
        <f aca="false">IF(BG3501=0,"",IF(BG3501&lt;&gt;BA3501,"erreur de calcul",IF(BD3501&lt;&gt;0,"pas de prix",IF(M3501&lt;&gt; 0,"pas de quantité","pas de prix, ni de quantité"))))</f>
        <v>erreur de calcul</v>
      </c>
      <c r="BI3501" s="19"/>
    </row>
    <row r="3502" customFormat="false" ht="15" hidden="false" customHeight="false" outlineLevel="0" collapsed="false">
      <c r="A3502" s="0" t="n">
        <v>13</v>
      </c>
      <c r="B3502" s="8" t="s">
        <v>24</v>
      </c>
      <c r="C3502" s="9" t="s">
        <v>25</v>
      </c>
      <c r="D3502" s="9" t="s">
        <v>26</v>
      </c>
      <c r="E3502" s="10" t="n">
        <v>1789</v>
      </c>
      <c r="F3502" s="9" t="s">
        <v>27</v>
      </c>
      <c r="G3502" s="9" t="s">
        <v>27</v>
      </c>
      <c r="H3502" s="11" t="n">
        <v>27</v>
      </c>
      <c r="I3502" s="11" t="s">
        <v>424</v>
      </c>
      <c r="J3502" s="14" t="n">
        <v>6</v>
      </c>
      <c r="K3502" s="14"/>
      <c r="L3502" s="16"/>
      <c r="M3502" s="27" t="n">
        <f aca="false">J3502+(K3502/20)+(L3502/240)</f>
        <v>6</v>
      </c>
      <c r="N3502" s="17" t="s">
        <v>64</v>
      </c>
      <c r="O3502" s="11" t="s">
        <v>277</v>
      </c>
      <c r="P3502" s="28"/>
      <c r="Q3502" s="28" t="n">
        <f aca="false">P3502*$M3502</f>
        <v>0</v>
      </c>
      <c r="R3502" s="28"/>
      <c r="S3502" s="28" t="n">
        <f aca="false">R3502*$M3502</f>
        <v>0</v>
      </c>
      <c r="T3502" s="28"/>
      <c r="U3502" s="28" t="n">
        <f aca="false">T3502*$M3502</f>
        <v>0</v>
      </c>
      <c r="V3502" s="28"/>
      <c r="W3502" s="28" t="n">
        <f aca="false">V3502*$M3502</f>
        <v>0</v>
      </c>
      <c r="X3502" s="28"/>
      <c r="Y3502" s="28" t="n">
        <f aca="false">X3502*$M3502</f>
        <v>0</v>
      </c>
      <c r="Z3502" s="28"/>
      <c r="AA3502" s="28" t="n">
        <f aca="false">Z3502*$M3502</f>
        <v>0</v>
      </c>
      <c r="AB3502" s="28"/>
      <c r="AC3502" s="28" t="n">
        <f aca="false">AB3502*$M3502</f>
        <v>0</v>
      </c>
      <c r="AD3502" s="28"/>
      <c r="AE3502" s="28" t="n">
        <f aca="false">AD3502*$M3502</f>
        <v>0</v>
      </c>
      <c r="AF3502" s="28"/>
      <c r="AG3502" s="28" t="n">
        <f aca="false">AF3502*$M3502</f>
        <v>0</v>
      </c>
      <c r="AH3502" s="28" t="n">
        <f aca="false">9050/100</f>
        <v>90.5</v>
      </c>
      <c r="AI3502" s="28" t="n">
        <v>543</v>
      </c>
      <c r="AJ3502" s="28"/>
      <c r="AK3502" s="28" t="n">
        <f aca="false">AJ3502*$M3502</f>
        <v>0</v>
      </c>
      <c r="AL3502" s="28" t="n">
        <f aca="false">48717/100</f>
        <v>487.17</v>
      </c>
      <c r="AM3502" s="28" t="n">
        <v>2923</v>
      </c>
      <c r="AN3502" s="28"/>
      <c r="AO3502" s="28" t="n">
        <f aca="false">AN3502*$M3502</f>
        <v>0</v>
      </c>
      <c r="AP3502" s="28"/>
      <c r="AQ3502" s="28" t="n">
        <f aca="false">AP3502*$M3502</f>
        <v>0</v>
      </c>
      <c r="AR3502" s="28"/>
      <c r="AS3502" s="28" t="n">
        <f aca="false">AR3502*$M3502</f>
        <v>0</v>
      </c>
      <c r="AT3502" s="28"/>
      <c r="AU3502" s="28" t="n">
        <f aca="false">AT3502*$M3502</f>
        <v>0</v>
      </c>
      <c r="AV3502" s="28"/>
      <c r="AW3502" s="28" t="n">
        <f aca="false">AV3502*$M3502</f>
        <v>0</v>
      </c>
      <c r="AX3502" s="28"/>
      <c r="AY3502" s="28" t="n">
        <f aca="false">AX3502*$M3502</f>
        <v>0</v>
      </c>
      <c r="AZ3502" s="30" t="n">
        <f aca="false">57767/100</f>
        <v>577.67</v>
      </c>
      <c r="BA3502" s="11" t="n">
        <v>3466</v>
      </c>
      <c r="BB3502" s="31" t="n">
        <f aca="false">SUM(Q3502,S3502,U3502,W3502,Y3502,AA3502,AC3502,AE3502,AG3502,AI3502,AK3502,AM3502,AO3502,AQ3502,AS3502,AU3502,AW3502,AY3502)</f>
        <v>3466</v>
      </c>
      <c r="BC3502" s="28" t="n">
        <f aca="false">BA3502-BB3502</f>
        <v>0</v>
      </c>
      <c r="BD3502" s="32" t="n">
        <f aca="false">SUM(P3502,R3502,T3502,V3502,X3502,Z3502,AB3502,AD3502,AF3502,AH3502,AJ3502,AL3502,AN3502,AP3502,AR3502,AT3502,AV3502,AX3502)</f>
        <v>577.67</v>
      </c>
      <c r="BE3502" s="33" t="n">
        <f aca="false">AZ3502-BD3502</f>
        <v>0</v>
      </c>
      <c r="BF3502" s="34" t="n">
        <f aca="false">BD3502*M3502</f>
        <v>3466.02</v>
      </c>
      <c r="BG3502" s="35" t="n">
        <f aca="false">BA3502-BF3502</f>
        <v>-0.0200000000004366</v>
      </c>
      <c r="BH3502" s="19" t="str">
        <f aca="false">IF(BG3502=0,"",IF(BG3502&lt;&gt;BA3502,"erreur de calcul",IF(BD3502&lt;&gt;0,"pas de prix",IF(M3502&lt;&gt; 0,"pas de quantité","pas de prix, ni de quantité"))))</f>
        <v>erreur de calcul</v>
      </c>
      <c r="BI3502" s="19"/>
    </row>
    <row r="3503" customFormat="false" ht="15" hidden="false" customHeight="false" outlineLevel="0" collapsed="false">
      <c r="A3503" s="0" t="n">
        <v>14</v>
      </c>
      <c r="B3503" s="8" t="s">
        <v>24</v>
      </c>
      <c r="C3503" s="9" t="s">
        <v>25</v>
      </c>
      <c r="D3503" s="9" t="s">
        <v>26</v>
      </c>
      <c r="E3503" s="10" t="n">
        <v>1789</v>
      </c>
      <c r="F3503" s="9" t="s">
        <v>27</v>
      </c>
      <c r="G3503" s="9" t="s">
        <v>27</v>
      </c>
      <c r="H3503" s="11" t="n">
        <v>27</v>
      </c>
      <c r="I3503" s="11" t="s">
        <v>425</v>
      </c>
      <c r="J3503" s="14" t="n">
        <v>25</v>
      </c>
      <c r="K3503" s="14"/>
      <c r="L3503" s="16"/>
      <c r="M3503" s="27" t="n">
        <f aca="false">J3503+(K3503/20)+(L3503/240)</f>
        <v>25</v>
      </c>
      <c r="N3503" s="17" t="s">
        <v>64</v>
      </c>
      <c r="O3503" s="11"/>
      <c r="P3503" s="28"/>
      <c r="Q3503" s="28" t="n">
        <f aca="false">P3503*$M3503</f>
        <v>0</v>
      </c>
      <c r="R3503" s="28"/>
      <c r="S3503" s="28" t="n">
        <f aca="false">R3503*$M3503</f>
        <v>0</v>
      </c>
      <c r="T3503" s="28" t="n">
        <f aca="false">10*288*0.02+114*0.02</f>
        <v>59.88</v>
      </c>
      <c r="U3503" s="28" t="n">
        <v>1497</v>
      </c>
      <c r="V3503" s="28"/>
      <c r="W3503" s="28" t="n">
        <f aca="false">V3503*$M3503</f>
        <v>0</v>
      </c>
      <c r="X3503" s="28"/>
      <c r="Y3503" s="28" t="n">
        <f aca="false">X3503*$M3503</f>
        <v>0</v>
      </c>
      <c r="Z3503" s="28"/>
      <c r="AA3503" s="28" t="n">
        <f aca="false">Z3503*$M3503</f>
        <v>0</v>
      </c>
      <c r="AB3503" s="28"/>
      <c r="AC3503" s="28" t="n">
        <f aca="false">AB3503*$M3503</f>
        <v>0</v>
      </c>
      <c r="AD3503" s="28"/>
      <c r="AE3503" s="28" t="n">
        <f aca="false">AD3503*$M3503</f>
        <v>0</v>
      </c>
      <c r="AF3503" s="28"/>
      <c r="AG3503" s="28" t="n">
        <f aca="false">AF3503*$M3503</f>
        <v>0</v>
      </c>
      <c r="AH3503" s="28"/>
      <c r="AI3503" s="28" t="n">
        <f aca="false">AH3503*$M3503</f>
        <v>0</v>
      </c>
      <c r="AJ3503" s="28"/>
      <c r="AK3503" s="28" t="n">
        <f aca="false">AJ3503*$M3503</f>
        <v>0</v>
      </c>
      <c r="AL3503" s="28"/>
      <c r="AM3503" s="28" t="n">
        <f aca="false">AL3503*$M3503</f>
        <v>0</v>
      </c>
      <c r="AN3503" s="28"/>
      <c r="AO3503" s="28" t="n">
        <f aca="false">AN3503*$M3503</f>
        <v>0</v>
      </c>
      <c r="AP3503" s="28"/>
      <c r="AQ3503" s="28" t="n">
        <f aca="false">AP3503*$M3503</f>
        <v>0</v>
      </c>
      <c r="AR3503" s="28"/>
      <c r="AS3503" s="28" t="n">
        <f aca="false">AR3503*$M3503</f>
        <v>0</v>
      </c>
      <c r="AT3503" s="28"/>
      <c r="AU3503" s="28" t="n">
        <f aca="false">AT3503*$M3503</f>
        <v>0</v>
      </c>
      <c r="AV3503" s="28"/>
      <c r="AW3503" s="28" t="n">
        <f aca="false">AV3503*$M3503</f>
        <v>0</v>
      </c>
      <c r="AX3503" s="28"/>
      <c r="AY3503" s="28" t="n">
        <f aca="false">AX3503*$M3503</f>
        <v>0</v>
      </c>
      <c r="AZ3503" s="30" t="n">
        <f aca="false">10*288*0.02+114*0.02</f>
        <v>59.88</v>
      </c>
      <c r="BA3503" s="11" t="n">
        <v>1497</v>
      </c>
      <c r="BB3503" s="31" t="n">
        <f aca="false">SUM(Q3503,S3503,U3503,W3503,Y3503,AA3503,AC3503,AE3503,AG3503,AI3503,AK3503,AM3503,AO3503,AQ3503,AS3503,AU3503,AW3503,AY3503)</f>
        <v>1497</v>
      </c>
      <c r="BC3503" s="28" t="n">
        <f aca="false">BA3503-BB3503</f>
        <v>0</v>
      </c>
      <c r="BD3503" s="32" t="n">
        <f aca="false">SUM(P3503,R3503,T3503,V3503,X3503,Z3503,AB3503,AD3503,AF3503,AH3503,AJ3503,AL3503,AN3503,AP3503,AR3503,AT3503,AV3503,AX3503)</f>
        <v>59.88</v>
      </c>
      <c r="BE3503" s="33" t="n">
        <f aca="false">AZ3503-BD3503</f>
        <v>0</v>
      </c>
      <c r="BF3503" s="34" t="n">
        <f aca="false">BD3503*M3503</f>
        <v>1497</v>
      </c>
      <c r="BG3503" s="35" t="n">
        <f aca="false">BA3503-BF3503</f>
        <v>0</v>
      </c>
      <c r="BH3503" s="19" t="str">
        <f aca="false">IF(BG3503=0,"",IF(BG3503&lt;&gt;BA3503,"erreur de calcul",IF(BD3503&lt;&gt;0,"pas de prix",IF(M3503&lt;&gt; 0,"pas de quantité","pas de prix, ni de quantité"))))</f>
        <v/>
      </c>
      <c r="BI3503" s="19"/>
    </row>
    <row r="3504" customFormat="false" ht="15" hidden="false" customHeight="false" outlineLevel="0" collapsed="false">
      <c r="A3504" s="0" t="n">
        <v>15</v>
      </c>
      <c r="B3504" s="8" t="s">
        <v>24</v>
      </c>
      <c r="C3504" s="9" t="s">
        <v>25</v>
      </c>
      <c r="D3504" s="9" t="s">
        <v>26</v>
      </c>
      <c r="E3504" s="10" t="n">
        <v>1789</v>
      </c>
      <c r="F3504" s="9" t="s">
        <v>27</v>
      </c>
      <c r="G3504" s="9" t="s">
        <v>27</v>
      </c>
      <c r="H3504" s="11" t="n">
        <v>27</v>
      </c>
      <c r="I3504" s="11" t="s">
        <v>426</v>
      </c>
      <c r="J3504" s="14" t="n">
        <v>40</v>
      </c>
      <c r="K3504" s="14"/>
      <c r="L3504" s="16"/>
      <c r="M3504" s="27" t="n">
        <f aca="false">J3504+(K3504/20)+(L3504/240)</f>
        <v>40</v>
      </c>
      <c r="N3504" s="17" t="s">
        <v>64</v>
      </c>
      <c r="O3504" s="11"/>
      <c r="P3504" s="28"/>
      <c r="Q3504" s="28" t="n">
        <f aca="false">P3504*$M3504</f>
        <v>0</v>
      </c>
      <c r="R3504" s="28"/>
      <c r="S3504" s="28" t="n">
        <f aca="false">R3504*$M3504</f>
        <v>0</v>
      </c>
      <c r="T3504" s="28"/>
      <c r="U3504" s="28" t="n">
        <f aca="false">T3504*$M3504</f>
        <v>0</v>
      </c>
      <c r="V3504" s="28"/>
      <c r="W3504" s="28" t="n">
        <f aca="false">V3504*$M3504</f>
        <v>0</v>
      </c>
      <c r="X3504" s="28"/>
      <c r="Y3504" s="28" t="n">
        <f aca="false">X3504*$M3504</f>
        <v>0</v>
      </c>
      <c r="Z3504" s="28"/>
      <c r="AA3504" s="28" t="n">
        <f aca="false">Z3504*$M3504</f>
        <v>0</v>
      </c>
      <c r="AB3504" s="28"/>
      <c r="AC3504" s="28" t="n">
        <f aca="false">AB3504*$M3504</f>
        <v>0</v>
      </c>
      <c r="AD3504" s="28"/>
      <c r="AE3504" s="28" t="n">
        <f aca="false">AD3504*$M3504</f>
        <v>0</v>
      </c>
      <c r="AF3504" s="28"/>
      <c r="AG3504" s="28" t="n">
        <f aca="false">AF3504*$M3504</f>
        <v>0</v>
      </c>
      <c r="AH3504" s="28" t="n">
        <f aca="false">1*288*0.02+59*0.02</f>
        <v>6.94</v>
      </c>
      <c r="AI3504" s="28" t="n">
        <v>278</v>
      </c>
      <c r="AJ3504" s="28"/>
      <c r="AK3504" s="28" t="n">
        <f aca="false">AJ3504*$M3504</f>
        <v>0</v>
      </c>
      <c r="AL3504" s="28"/>
      <c r="AM3504" s="28" t="n">
        <f aca="false">AL3504*$M3504</f>
        <v>0</v>
      </c>
      <c r="AN3504" s="28"/>
      <c r="AO3504" s="28" t="n">
        <f aca="false">AN3504*$M3504</f>
        <v>0</v>
      </c>
      <c r="AP3504" s="28"/>
      <c r="AQ3504" s="28" t="n">
        <f aca="false">AP3504*$M3504</f>
        <v>0</v>
      </c>
      <c r="AR3504" s="28"/>
      <c r="AS3504" s="28" t="n">
        <f aca="false">AR3504*$M3504</f>
        <v>0</v>
      </c>
      <c r="AT3504" s="28"/>
      <c r="AU3504" s="28" t="n">
        <f aca="false">AT3504*$M3504</f>
        <v>0</v>
      </c>
      <c r="AV3504" s="28"/>
      <c r="AW3504" s="28" t="n">
        <f aca="false">AV3504*$M3504</f>
        <v>0</v>
      </c>
      <c r="AX3504" s="28"/>
      <c r="AY3504" s="28" t="n">
        <f aca="false">AX3504*$M3504</f>
        <v>0</v>
      </c>
      <c r="AZ3504" s="30" t="n">
        <f aca="false">1*288*0.02+59*0.02</f>
        <v>6.94</v>
      </c>
      <c r="BA3504" s="11" t="n">
        <v>278</v>
      </c>
      <c r="BB3504" s="31" t="n">
        <f aca="false">SUM(Q3504,S3504,U3504,W3504,Y3504,AA3504,AC3504,AE3504,AG3504,AI3504,AK3504,AM3504,AO3504,AQ3504,AS3504,AU3504,AW3504,AY3504)</f>
        <v>278</v>
      </c>
      <c r="BC3504" s="28" t="n">
        <f aca="false">BA3504-BB3504</f>
        <v>0</v>
      </c>
      <c r="BD3504" s="32" t="n">
        <f aca="false">SUM(P3504,R3504,T3504,V3504,X3504,Z3504,AB3504,AD3504,AF3504,AH3504,AJ3504,AL3504,AN3504,AP3504,AR3504,AT3504,AV3504,AX3504)</f>
        <v>6.94</v>
      </c>
      <c r="BE3504" s="33" t="n">
        <f aca="false">AZ3504-BD3504</f>
        <v>0</v>
      </c>
      <c r="BF3504" s="34" t="n">
        <f aca="false">BD3504*M3504</f>
        <v>277.6</v>
      </c>
      <c r="BG3504" s="35" t="n">
        <f aca="false">BA3504-BF3504</f>
        <v>0.400000000000034</v>
      </c>
      <c r="BH3504" s="19" t="str">
        <f aca="false">IF(BG3504=0,"",IF(BG3504&lt;&gt;BA3504,"erreur de calcul",IF(BD3504&lt;&gt;0,"pas de prix",IF(M3504&lt;&gt; 0,"pas de quantité","pas de prix, ni de quantité"))))</f>
        <v>erreur de calcul</v>
      </c>
      <c r="BI3504" s="19"/>
    </row>
    <row r="3505" customFormat="false" ht="15" hidden="false" customHeight="false" outlineLevel="0" collapsed="false">
      <c r="A3505" s="0" t="n">
        <v>16</v>
      </c>
      <c r="B3505" s="8" t="s">
        <v>24</v>
      </c>
      <c r="C3505" s="9" t="s">
        <v>25</v>
      </c>
      <c r="D3505" s="9" t="s">
        <v>26</v>
      </c>
      <c r="E3505" s="10" t="n">
        <v>1789</v>
      </c>
      <c r="F3505" s="9" t="s">
        <v>27</v>
      </c>
      <c r="G3505" s="9" t="s">
        <v>27</v>
      </c>
      <c r="H3505" s="11" t="n">
        <v>27</v>
      </c>
      <c r="I3505" s="11" t="s">
        <v>427</v>
      </c>
      <c r="J3505" s="14" t="n">
        <v>32</v>
      </c>
      <c r="K3505" s="14"/>
      <c r="L3505" s="16"/>
      <c r="M3505" s="27" t="n">
        <f aca="false">J3505+(K3505/20)+(L3505/240)</f>
        <v>32</v>
      </c>
      <c r="N3505" s="17" t="s">
        <v>64</v>
      </c>
      <c r="O3505" s="11"/>
      <c r="P3505" s="28" t="n">
        <f aca="false">33*288*0.02+179*0.02</f>
        <v>193.66</v>
      </c>
      <c r="Q3505" s="28" t="n">
        <v>6197</v>
      </c>
      <c r="R3505" s="28"/>
      <c r="S3505" s="28" t="n">
        <f aca="false">R3505*$M3505</f>
        <v>0</v>
      </c>
      <c r="T3505" s="28"/>
      <c r="U3505" s="28" t="n">
        <f aca="false">T3505*$M3505</f>
        <v>0</v>
      </c>
      <c r="V3505" s="28"/>
      <c r="W3505" s="28" t="n">
        <f aca="false">V3505*$M3505</f>
        <v>0</v>
      </c>
      <c r="X3505" s="28"/>
      <c r="Y3505" s="28" t="n">
        <f aca="false">X3505*$M3505</f>
        <v>0</v>
      </c>
      <c r="Z3505" s="28"/>
      <c r="AA3505" s="28" t="n">
        <f aca="false">Z3505*$M3505</f>
        <v>0</v>
      </c>
      <c r="AB3505" s="28"/>
      <c r="AC3505" s="28" t="n">
        <f aca="false">AB3505*$M3505</f>
        <v>0</v>
      </c>
      <c r="AD3505" s="28"/>
      <c r="AE3505" s="28" t="n">
        <f aca="false">AD3505*$M3505</f>
        <v>0</v>
      </c>
      <c r="AF3505" s="28"/>
      <c r="AG3505" s="28" t="n">
        <f aca="false">AF3505*$M3505</f>
        <v>0</v>
      </c>
      <c r="AH3505" s="28"/>
      <c r="AI3505" s="28" t="n">
        <f aca="false">AH3505*$M3505</f>
        <v>0</v>
      </c>
      <c r="AJ3505" s="28"/>
      <c r="AK3505" s="28" t="n">
        <f aca="false">AJ3505*$M3505</f>
        <v>0</v>
      </c>
      <c r="AL3505" s="28"/>
      <c r="AM3505" s="28" t="n">
        <f aca="false">AL3505*$M3505</f>
        <v>0</v>
      </c>
      <c r="AN3505" s="28"/>
      <c r="AO3505" s="28" t="n">
        <f aca="false">AN3505*$M3505</f>
        <v>0</v>
      </c>
      <c r="AP3505" s="28"/>
      <c r="AQ3505" s="28" t="n">
        <f aca="false">AP3505*$M3505</f>
        <v>0</v>
      </c>
      <c r="AR3505" s="28"/>
      <c r="AS3505" s="28" t="n">
        <f aca="false">AR3505*$M3505</f>
        <v>0</v>
      </c>
      <c r="AT3505" s="28"/>
      <c r="AU3505" s="28" t="n">
        <f aca="false">AT3505*$M3505</f>
        <v>0</v>
      </c>
      <c r="AV3505" s="28"/>
      <c r="AW3505" s="28" t="n">
        <f aca="false">AV3505*$M3505</f>
        <v>0</v>
      </c>
      <c r="AX3505" s="28"/>
      <c r="AY3505" s="28" t="n">
        <f aca="false">AX3505*$M3505</f>
        <v>0</v>
      </c>
      <c r="AZ3505" s="30" t="n">
        <f aca="false">33*288*0.02+179*0.02</f>
        <v>193.66</v>
      </c>
      <c r="BA3505" s="11" t="n">
        <v>6197</v>
      </c>
      <c r="BB3505" s="31" t="n">
        <f aca="false">SUM(Q3505,S3505,U3505,W3505,Y3505,AA3505,AC3505,AE3505,AG3505,AI3505,AK3505,AM3505,AO3505,AQ3505,AS3505,AU3505,AW3505,AY3505)</f>
        <v>6197</v>
      </c>
      <c r="BC3505" s="28" t="n">
        <f aca="false">BA3505-BB3505</f>
        <v>0</v>
      </c>
      <c r="BD3505" s="32" t="n">
        <f aca="false">SUM(P3505,R3505,T3505,V3505,X3505,Z3505,AB3505,AD3505,AF3505,AH3505,AJ3505,AL3505,AN3505,AP3505,AR3505,AT3505,AV3505,AX3505)</f>
        <v>193.66</v>
      </c>
      <c r="BE3505" s="33" t="n">
        <f aca="false">AZ3505-BD3505</f>
        <v>0</v>
      </c>
      <c r="BF3505" s="34" t="n">
        <f aca="false">BD3505*M3505</f>
        <v>6197.12</v>
      </c>
      <c r="BG3505" s="35" t="n">
        <f aca="false">BA3505-BF3505</f>
        <v>-0.1200000000008</v>
      </c>
      <c r="BH3505" s="19" t="str">
        <f aca="false">IF(BG3505=0,"",IF(BG3505&lt;&gt;BA3505,"erreur de calcul",IF(BD3505&lt;&gt;0,"pas de prix",IF(M3505&lt;&gt; 0,"pas de quantité","pas de prix, ni de quantité"))))</f>
        <v>erreur de calcul</v>
      </c>
      <c r="BI3505" s="19"/>
    </row>
    <row r="3506" customFormat="false" ht="15" hidden="false" customHeight="false" outlineLevel="0" collapsed="false">
      <c r="A3506" s="0" t="n">
        <v>17</v>
      </c>
      <c r="B3506" s="8" t="s">
        <v>24</v>
      </c>
      <c r="C3506" s="9" t="s">
        <v>25</v>
      </c>
      <c r="D3506" s="9" t="s">
        <v>26</v>
      </c>
      <c r="E3506" s="10" t="n">
        <v>1789</v>
      </c>
      <c r="F3506" s="9" t="s">
        <v>27</v>
      </c>
      <c r="G3506" s="9" t="s">
        <v>27</v>
      </c>
      <c r="H3506" s="11" t="n">
        <v>27</v>
      </c>
      <c r="I3506" s="11" t="s">
        <v>428</v>
      </c>
      <c r="J3506" s="14"/>
      <c r="K3506" s="14" t="n">
        <v>12</v>
      </c>
      <c r="L3506" s="16"/>
      <c r="M3506" s="27" t="n">
        <f aca="false">J3506+(K3506/20)+(L3506/240)</f>
        <v>0.6</v>
      </c>
      <c r="N3506" s="17" t="s">
        <v>429</v>
      </c>
      <c r="O3506" s="11"/>
      <c r="P3506" s="28" t="n">
        <f aca="false">620*288+173</f>
        <v>178733</v>
      </c>
      <c r="Q3506" s="28" t="n">
        <v>107240</v>
      </c>
      <c r="R3506" s="28"/>
      <c r="S3506" s="28" t="n">
        <f aca="false">R3506*$M3506</f>
        <v>0</v>
      </c>
      <c r="T3506" s="28"/>
      <c r="U3506" s="28" t="n">
        <f aca="false">T3506*$M3506</f>
        <v>0</v>
      </c>
      <c r="V3506" s="28" t="n">
        <f aca="false">4*288+179</f>
        <v>1331</v>
      </c>
      <c r="W3506" s="28" t="n">
        <v>799</v>
      </c>
      <c r="X3506" s="28"/>
      <c r="Y3506" s="28" t="n">
        <f aca="false">X3506*$M3506</f>
        <v>0</v>
      </c>
      <c r="Z3506" s="28"/>
      <c r="AA3506" s="28" t="n">
        <f aca="false">Z3506*$M3506</f>
        <v>0</v>
      </c>
      <c r="AB3506" s="28"/>
      <c r="AC3506" s="28" t="n">
        <f aca="false">AB3506*$M3506</f>
        <v>0</v>
      </c>
      <c r="AD3506" s="28"/>
      <c r="AE3506" s="28" t="n">
        <f aca="false">AD3506*$M3506</f>
        <v>0</v>
      </c>
      <c r="AF3506" s="28"/>
      <c r="AG3506" s="28" t="n">
        <f aca="false">AF3506*$M3506</f>
        <v>0</v>
      </c>
      <c r="AH3506" s="28" t="n">
        <f aca="false">12*288+227</f>
        <v>3683</v>
      </c>
      <c r="AI3506" s="28" t="n">
        <v>2210</v>
      </c>
      <c r="AJ3506" s="28"/>
      <c r="AK3506" s="28" t="n">
        <f aca="false">AJ3506*$M3506</f>
        <v>0</v>
      </c>
      <c r="AL3506" s="28"/>
      <c r="AM3506" s="28" t="n">
        <f aca="false">AL3506*$M3506</f>
        <v>0</v>
      </c>
      <c r="AN3506" s="28"/>
      <c r="AO3506" s="28" t="n">
        <f aca="false">AN3506*$M3506</f>
        <v>0</v>
      </c>
      <c r="AP3506" s="28"/>
      <c r="AQ3506" s="28" t="n">
        <f aca="false">AP3506*$M3506</f>
        <v>0</v>
      </c>
      <c r="AR3506" s="28"/>
      <c r="AS3506" s="28" t="n">
        <f aca="false">AR3506*$M3506</f>
        <v>0</v>
      </c>
      <c r="AT3506" s="28"/>
      <c r="AU3506" s="28" t="n">
        <f aca="false">AT3506*$M3506</f>
        <v>0</v>
      </c>
      <c r="AV3506" s="28"/>
      <c r="AW3506" s="28" t="n">
        <f aca="false">AV3506*$M3506</f>
        <v>0</v>
      </c>
      <c r="AX3506" s="28"/>
      <c r="AY3506" s="28" t="n">
        <f aca="false">AX3506*$M3506</f>
        <v>0</v>
      </c>
      <c r="AZ3506" s="30" t="n">
        <f aca="false">638*288+3</f>
        <v>183747</v>
      </c>
      <c r="BA3506" s="11" t="n">
        <v>110249</v>
      </c>
      <c r="BB3506" s="31" t="n">
        <f aca="false">SUM(Q3506,S3506,U3506,W3506,Y3506,AA3506,AC3506,AE3506,AG3506,AI3506,AK3506,AM3506,AO3506,AQ3506,AS3506,AU3506,AW3506,AY3506)</f>
        <v>110249</v>
      </c>
      <c r="BC3506" s="28" t="n">
        <f aca="false">BA3506-BB3506</f>
        <v>0</v>
      </c>
      <c r="BD3506" s="32" t="n">
        <f aca="false">SUM(P3506,R3506,T3506,V3506,X3506,Z3506,AB3506,AD3506,AF3506,AH3506,AJ3506,AL3506,AN3506,AP3506,AR3506,AT3506,AV3506,AX3506)</f>
        <v>183747</v>
      </c>
      <c r="BE3506" s="33" t="n">
        <f aca="false">AZ3506-BD3506</f>
        <v>0</v>
      </c>
      <c r="BF3506" s="34" t="n">
        <f aca="false">BD3506*M3506</f>
        <v>110248.2</v>
      </c>
      <c r="BG3506" s="35" t="n">
        <f aca="false">BA3506-BF3506</f>
        <v>0.80000000000291</v>
      </c>
      <c r="BH3506" s="19" t="str">
        <f aca="false">IF(BG3506=0,"",IF(BG3506&lt;&gt;BA3506,"erreur de calcul",IF(BD3506&lt;&gt;0,"pas de prix",IF(M3506&lt;&gt; 0,"pas de quantité","pas de prix, ni de quantité"))))</f>
        <v>erreur de calcul</v>
      </c>
      <c r="BI3506" s="19"/>
    </row>
    <row r="3507" customFormat="false" ht="15" hidden="false" customHeight="false" outlineLevel="0" collapsed="false">
      <c r="A3507" s="0" t="n">
        <v>18</v>
      </c>
      <c r="B3507" s="8" t="s">
        <v>24</v>
      </c>
      <c r="C3507" s="9" t="s">
        <v>25</v>
      </c>
      <c r="D3507" s="9" t="s">
        <v>26</v>
      </c>
      <c r="E3507" s="10" t="n">
        <v>1789</v>
      </c>
      <c r="F3507" s="9" t="s">
        <v>27</v>
      </c>
      <c r="G3507" s="9" t="s">
        <v>27</v>
      </c>
      <c r="H3507" s="11" t="n">
        <v>27</v>
      </c>
      <c r="I3507" s="11" t="s">
        <v>430</v>
      </c>
      <c r="J3507" s="14" t="n">
        <v>30</v>
      </c>
      <c r="K3507" s="14"/>
      <c r="L3507" s="16"/>
      <c r="M3507" s="27" t="n">
        <f aca="false">J3507+(K3507/20)+(L3507/240)</f>
        <v>30</v>
      </c>
      <c r="N3507" s="17" t="s">
        <v>64</v>
      </c>
      <c r="O3507" s="11" t="s">
        <v>77</v>
      </c>
      <c r="P3507" s="28"/>
      <c r="Q3507" s="28" t="n">
        <f aca="false">P3507*$M3507</f>
        <v>0</v>
      </c>
      <c r="R3507" s="28"/>
      <c r="S3507" s="28" t="n">
        <f aca="false">R3507*$M3507</f>
        <v>0</v>
      </c>
      <c r="T3507" s="28" t="n">
        <f aca="false">3*288*0.02+162*0.02</f>
        <v>20.52</v>
      </c>
      <c r="U3507" s="28" t="n">
        <v>616</v>
      </c>
      <c r="V3507" s="28"/>
      <c r="W3507" s="28" t="n">
        <f aca="false">V3507*$M3507</f>
        <v>0</v>
      </c>
      <c r="X3507" s="28" t="n">
        <f aca="false">4*288*0.02+17*0.02</f>
        <v>23.38</v>
      </c>
      <c r="Y3507" s="28" t="n">
        <v>702</v>
      </c>
      <c r="Z3507" s="28" t="n">
        <f aca="false">3*288*0.02+169*0.02</f>
        <v>20.66</v>
      </c>
      <c r="AA3507" s="28" t="n">
        <v>620</v>
      </c>
      <c r="AB3507" s="28" t="n">
        <f aca="false">10*288*0.02+224*0.02</f>
        <v>62.08</v>
      </c>
      <c r="AC3507" s="28" t="n">
        <v>1863</v>
      </c>
      <c r="AD3507" s="28"/>
      <c r="AE3507" s="28" t="n">
        <f aca="false">AD3507*$M3507</f>
        <v>0</v>
      </c>
      <c r="AF3507" s="28"/>
      <c r="AG3507" s="28" t="n">
        <f aca="false">AF3507*$M3507</f>
        <v>0</v>
      </c>
      <c r="AH3507" s="28" t="n">
        <f aca="false">200*0.02</f>
        <v>4</v>
      </c>
      <c r="AI3507" s="28" t="n">
        <v>120</v>
      </c>
      <c r="AJ3507" s="28"/>
      <c r="AK3507" s="28" t="n">
        <f aca="false">AJ3507*$M3507</f>
        <v>0</v>
      </c>
      <c r="AL3507" s="28"/>
      <c r="AM3507" s="28" t="n">
        <f aca="false">AL3507*$M3507</f>
        <v>0</v>
      </c>
      <c r="AN3507" s="28"/>
      <c r="AO3507" s="28" t="n">
        <f aca="false">AN3507*$M3507</f>
        <v>0</v>
      </c>
      <c r="AP3507" s="28"/>
      <c r="AQ3507" s="28" t="n">
        <f aca="false">AP3507*$M3507</f>
        <v>0</v>
      </c>
      <c r="AR3507" s="28"/>
      <c r="AS3507" s="28" t="n">
        <f aca="false">AR3507*$M3507</f>
        <v>0</v>
      </c>
      <c r="AT3507" s="28"/>
      <c r="AU3507" s="28" t="n">
        <f aca="false">AT3507*$M3507</f>
        <v>0</v>
      </c>
      <c r="AV3507" s="28"/>
      <c r="AW3507" s="28" t="n">
        <f aca="false">AV3507*$M3507</f>
        <v>0</v>
      </c>
      <c r="AX3507" s="28"/>
      <c r="AY3507" s="28" t="n">
        <f aca="false">AX3507*$M3507</f>
        <v>0</v>
      </c>
      <c r="AZ3507" s="30" t="n">
        <f aca="false">22*288*0.02+196*0.02</f>
        <v>130.64</v>
      </c>
      <c r="BA3507" s="11" t="n">
        <v>3921</v>
      </c>
      <c r="BB3507" s="31" t="n">
        <f aca="false">SUM(Q3507,S3507,U3507,W3507,Y3507,AA3507,AC3507,AE3507,AG3507,AI3507,AK3507,AM3507,AO3507,AQ3507,AS3507,AU3507,AW3507,AY3507)</f>
        <v>3921</v>
      </c>
      <c r="BC3507" s="28" t="n">
        <f aca="false">BA3507-BB3507</f>
        <v>0</v>
      </c>
      <c r="BD3507" s="32" t="n">
        <f aca="false">SUM(P3507,R3507,T3507,V3507,X3507,Z3507,AB3507,AD3507,AF3507,AH3507,AJ3507,AL3507,AN3507,AP3507,AR3507,AT3507,AV3507,AX3507)</f>
        <v>130.64</v>
      </c>
      <c r="BE3507" s="33" t="n">
        <f aca="false">AZ3507-BD3507</f>
        <v>0</v>
      </c>
      <c r="BF3507" s="34" t="n">
        <f aca="false">BD3507*M3507</f>
        <v>3919.2</v>
      </c>
      <c r="BG3507" s="35" t="n">
        <f aca="false">BA3507-BF3507</f>
        <v>1.80000000000018</v>
      </c>
      <c r="BH3507" s="19" t="str">
        <f aca="false">IF(BG3507=0,"",IF(BG3507&lt;&gt;BA3507,"erreur de calcul",IF(BD3507&lt;&gt;0,"pas de prix",IF(M3507&lt;&gt; 0,"pas de quantité","pas de prix, ni de quantité"))))</f>
        <v>erreur de calcul</v>
      </c>
      <c r="BI3507" s="19"/>
    </row>
    <row r="3508" customFormat="false" ht="15" hidden="false" customHeight="false" outlineLevel="0" collapsed="false">
      <c r="A3508" s="0" t="n">
        <v>19</v>
      </c>
      <c r="B3508" s="8" t="s">
        <v>24</v>
      </c>
      <c r="C3508" s="9" t="s">
        <v>25</v>
      </c>
      <c r="D3508" s="9" t="s">
        <v>26</v>
      </c>
      <c r="E3508" s="10" t="n">
        <v>1789</v>
      </c>
      <c r="F3508" s="9" t="s">
        <v>27</v>
      </c>
      <c r="G3508" s="9" t="s">
        <v>27</v>
      </c>
      <c r="H3508" s="11" t="n">
        <v>27</v>
      </c>
      <c r="I3508" s="11" t="s">
        <v>431</v>
      </c>
      <c r="J3508" s="14" t="n">
        <v>10</v>
      </c>
      <c r="K3508" s="14"/>
      <c r="L3508" s="16"/>
      <c r="M3508" s="27" t="n">
        <f aca="false">J3508+(K3508/20)+(L3508/240)</f>
        <v>10</v>
      </c>
      <c r="N3508" s="17" t="s">
        <v>432</v>
      </c>
      <c r="O3508" s="11" t="s">
        <v>109</v>
      </c>
      <c r="P3508" s="28" t="n">
        <f aca="false">105*(288/62.5)+135/62.5</f>
        <v>486</v>
      </c>
      <c r="Q3508" s="28" t="n">
        <v>4860</v>
      </c>
      <c r="R3508" s="28"/>
      <c r="S3508" s="28" t="n">
        <f aca="false">R3508*$M3508</f>
        <v>0</v>
      </c>
      <c r="T3508" s="28" t="n">
        <f aca="false">8*(288/62.5)+196/62.5</f>
        <v>40</v>
      </c>
      <c r="U3508" s="28" t="n">
        <v>400</v>
      </c>
      <c r="V3508" s="28"/>
      <c r="W3508" s="28" t="n">
        <f aca="false">V3508*$M3508</f>
        <v>0</v>
      </c>
      <c r="X3508" s="28"/>
      <c r="Y3508" s="28" t="n">
        <f aca="false">X3508*$M3508</f>
        <v>0</v>
      </c>
      <c r="Z3508" s="28"/>
      <c r="AA3508" s="28" t="n">
        <f aca="false">Z3508*$M3508</f>
        <v>0</v>
      </c>
      <c r="AB3508" s="28"/>
      <c r="AC3508" s="28" t="n">
        <f aca="false">AB3508*$M3508</f>
        <v>0</v>
      </c>
      <c r="AD3508" s="28"/>
      <c r="AE3508" s="28" t="n">
        <f aca="false">AD3508*$M3508</f>
        <v>0</v>
      </c>
      <c r="AF3508" s="28"/>
      <c r="AG3508" s="28" t="n">
        <f aca="false">AF3508*$M3508</f>
        <v>0</v>
      </c>
      <c r="AH3508" s="28"/>
      <c r="AI3508" s="28" t="n">
        <f aca="false">AH3508*$M3508</f>
        <v>0</v>
      </c>
      <c r="AJ3508" s="28"/>
      <c r="AK3508" s="28" t="n">
        <f aca="false">AJ3508*$M3508</f>
        <v>0</v>
      </c>
      <c r="AL3508" s="28"/>
      <c r="AM3508" s="28" t="n">
        <f aca="false">AL3508*$M3508</f>
        <v>0</v>
      </c>
      <c r="AN3508" s="28"/>
      <c r="AO3508" s="28" t="n">
        <f aca="false">AN3508*$M3508</f>
        <v>0</v>
      </c>
      <c r="AP3508" s="28"/>
      <c r="AQ3508" s="28" t="n">
        <f aca="false">AP3508*$M3508</f>
        <v>0</v>
      </c>
      <c r="AR3508" s="28"/>
      <c r="AS3508" s="28" t="n">
        <f aca="false">AR3508*$M3508</f>
        <v>0</v>
      </c>
      <c r="AT3508" s="28"/>
      <c r="AU3508" s="28" t="n">
        <f aca="false">AT3508*$M3508</f>
        <v>0</v>
      </c>
      <c r="AV3508" s="28"/>
      <c r="AW3508" s="28" t="n">
        <f aca="false">AV3508*$M3508</f>
        <v>0</v>
      </c>
      <c r="AX3508" s="28"/>
      <c r="AY3508" s="28" t="n">
        <f aca="false">AX3508*$M3508</f>
        <v>0</v>
      </c>
      <c r="AZ3508" s="30" t="n">
        <f aca="false">114*(288/62.5)+43/62.5</f>
        <v>526</v>
      </c>
      <c r="BA3508" s="11" t="n">
        <v>5260</v>
      </c>
      <c r="BB3508" s="31" t="n">
        <f aca="false">SUM(Q3508,S3508,U3508,W3508,Y3508,AA3508,AC3508,AE3508,AG3508,AI3508,AK3508,AM3508,AO3508,AQ3508,AS3508,AU3508,AW3508,AY3508)</f>
        <v>5260</v>
      </c>
      <c r="BC3508" s="28" t="n">
        <f aca="false">BA3508-BB3508</f>
        <v>0</v>
      </c>
      <c r="BD3508" s="32" t="n">
        <f aca="false">SUM(P3508,R3508,T3508,V3508,X3508,Z3508,AB3508,AD3508,AF3508,AH3508,AJ3508,AL3508,AN3508,AP3508,AR3508,AT3508,AV3508,AX3508)</f>
        <v>526</v>
      </c>
      <c r="BE3508" s="33" t="n">
        <f aca="false">AZ3508-BD3508</f>
        <v>0</v>
      </c>
      <c r="BF3508" s="34" t="n">
        <f aca="false">BD3508*M3508</f>
        <v>5260</v>
      </c>
      <c r="BG3508" s="35" t="n">
        <f aca="false">BA3508-BF3508</f>
        <v>0</v>
      </c>
      <c r="BH3508" s="19" t="str">
        <f aca="false">IF(BG3508=0,"",IF(BG3508&lt;&gt;BA3508,"erreur de calcul",IF(BD3508&lt;&gt;0,"pas de prix",IF(M3508&lt;&gt; 0,"pas de quantité","pas de prix, ni de quantité"))))</f>
        <v/>
      </c>
      <c r="BI3508" s="19"/>
    </row>
    <row r="3509" customFormat="false" ht="15" hidden="false" customHeight="false" outlineLevel="0" collapsed="false">
      <c r="A3509" s="0" t="n">
        <v>20</v>
      </c>
      <c r="B3509" s="8" t="s">
        <v>24</v>
      </c>
      <c r="C3509" s="9" t="s">
        <v>25</v>
      </c>
      <c r="D3509" s="9" t="s">
        <v>26</v>
      </c>
      <c r="E3509" s="10" t="n">
        <v>1789</v>
      </c>
      <c r="F3509" s="9" t="s">
        <v>27</v>
      </c>
      <c r="G3509" s="9" t="s">
        <v>27</v>
      </c>
      <c r="H3509" s="11" t="n">
        <v>27</v>
      </c>
      <c r="I3509" s="11" t="s">
        <v>433</v>
      </c>
      <c r="J3509" s="14"/>
      <c r="K3509" s="14" t="n">
        <v>14</v>
      </c>
      <c r="L3509" s="16"/>
      <c r="M3509" s="27" t="n">
        <f aca="false">J3509+(K3509/20)+(L3509/240)</f>
        <v>0.7</v>
      </c>
      <c r="N3509" s="17" t="s">
        <v>429</v>
      </c>
      <c r="O3509" s="11"/>
      <c r="P3509" s="28" t="n">
        <f aca="false">103*288+190</f>
        <v>29854</v>
      </c>
      <c r="Q3509" s="28" t="n">
        <v>20898</v>
      </c>
      <c r="R3509" s="28"/>
      <c r="S3509" s="28" t="n">
        <f aca="false">R3509*$M3509</f>
        <v>0</v>
      </c>
      <c r="T3509" s="28"/>
      <c r="U3509" s="28" t="n">
        <f aca="false">T3509*$M3509</f>
        <v>0</v>
      </c>
      <c r="V3509" s="28"/>
      <c r="W3509" s="28" t="n">
        <f aca="false">V3509*$M3509</f>
        <v>0</v>
      </c>
      <c r="X3509" s="28"/>
      <c r="Y3509" s="28" t="n">
        <f aca="false">X3509*$M3509</f>
        <v>0</v>
      </c>
      <c r="Z3509" s="28"/>
      <c r="AA3509" s="28" t="n">
        <f aca="false">Z3509*$M3509</f>
        <v>0</v>
      </c>
      <c r="AB3509" s="28"/>
      <c r="AC3509" s="28" t="n">
        <f aca="false">AB3509*$M3509</f>
        <v>0</v>
      </c>
      <c r="AD3509" s="28"/>
      <c r="AE3509" s="28" t="n">
        <f aca="false">AD3509*$M3509</f>
        <v>0</v>
      </c>
      <c r="AF3509" s="28"/>
      <c r="AG3509" s="28" t="n">
        <f aca="false">AF3509*$M3509</f>
        <v>0</v>
      </c>
      <c r="AH3509" s="28"/>
      <c r="AI3509" s="28" t="n">
        <f aca="false">AH3509*$M3509</f>
        <v>0</v>
      </c>
      <c r="AJ3509" s="28"/>
      <c r="AK3509" s="28" t="n">
        <f aca="false">AJ3509*$M3509</f>
        <v>0</v>
      </c>
      <c r="AL3509" s="28"/>
      <c r="AM3509" s="28" t="n">
        <f aca="false">AL3509*$M3509</f>
        <v>0</v>
      </c>
      <c r="AN3509" s="28"/>
      <c r="AO3509" s="28" t="n">
        <f aca="false">AN3509*$M3509</f>
        <v>0</v>
      </c>
      <c r="AP3509" s="28"/>
      <c r="AQ3509" s="28" t="n">
        <f aca="false">AP3509*$M3509</f>
        <v>0</v>
      </c>
      <c r="AR3509" s="28"/>
      <c r="AS3509" s="28" t="n">
        <f aca="false">AR3509*$M3509</f>
        <v>0</v>
      </c>
      <c r="AT3509" s="28"/>
      <c r="AU3509" s="28" t="n">
        <f aca="false">AT3509*$M3509</f>
        <v>0</v>
      </c>
      <c r="AV3509" s="28"/>
      <c r="AW3509" s="28" t="n">
        <f aca="false">AV3509*$M3509</f>
        <v>0</v>
      </c>
      <c r="AX3509" s="28"/>
      <c r="AY3509" s="28" t="n">
        <f aca="false">AX3509*$M3509</f>
        <v>0</v>
      </c>
      <c r="AZ3509" s="30" t="n">
        <f aca="false">103*288+190</f>
        <v>29854</v>
      </c>
      <c r="BA3509" s="11" t="n">
        <v>20898</v>
      </c>
      <c r="BB3509" s="31" t="n">
        <f aca="false">SUM(Q3509,S3509,U3509,W3509,Y3509,AA3509,AC3509,AE3509,AG3509,AI3509,AK3509,AM3509,AO3509,AQ3509,AS3509,AU3509,AW3509,AY3509)</f>
        <v>20898</v>
      </c>
      <c r="BC3509" s="28" t="n">
        <f aca="false">BA3509-BB3509</f>
        <v>0</v>
      </c>
      <c r="BD3509" s="32" t="n">
        <f aca="false">SUM(P3509,R3509,T3509,V3509,X3509,Z3509,AB3509,AD3509,AF3509,AH3509,AJ3509,AL3509,AN3509,AP3509,AR3509,AT3509,AV3509,AX3509)</f>
        <v>29854</v>
      </c>
      <c r="BE3509" s="33" t="n">
        <f aca="false">AZ3509-BD3509</f>
        <v>0</v>
      </c>
      <c r="BF3509" s="34" t="n">
        <f aca="false">BD3509*M3509</f>
        <v>20897.8</v>
      </c>
      <c r="BG3509" s="35" t="n">
        <f aca="false">BA3509-BF3509</f>
        <v>0.200000000000728</v>
      </c>
      <c r="BH3509" s="19" t="str">
        <f aca="false">IF(BG3509=0,"",IF(BG3509&lt;&gt;BA3509,"erreur de calcul",IF(BD3509&lt;&gt;0,"pas de prix",IF(M3509&lt;&gt; 0,"pas de quantité","pas de prix, ni de quantité"))))</f>
        <v>erreur de calcul</v>
      </c>
      <c r="BI3509" s="19"/>
    </row>
    <row r="3510" customFormat="false" ht="15" hidden="false" customHeight="false" outlineLevel="0" collapsed="false">
      <c r="A3510" s="0" t="n">
        <v>21</v>
      </c>
      <c r="B3510" s="8" t="s">
        <v>24</v>
      </c>
      <c r="C3510" s="9" t="s">
        <v>25</v>
      </c>
      <c r="D3510" s="9" t="s">
        <v>26</v>
      </c>
      <c r="E3510" s="10" t="n">
        <v>1789</v>
      </c>
      <c r="F3510" s="9" t="s">
        <v>27</v>
      </c>
      <c r="G3510" s="9" t="s">
        <v>27</v>
      </c>
      <c r="H3510" s="11" t="n">
        <v>27</v>
      </c>
      <c r="I3510" s="11" t="s">
        <v>434</v>
      </c>
      <c r="J3510" s="14"/>
      <c r="K3510" s="14" t="n">
        <v>5</v>
      </c>
      <c r="L3510" s="16"/>
      <c r="M3510" s="27" t="n">
        <f aca="false">J3510+(K3510/20)+(L3510/240)</f>
        <v>0.25</v>
      </c>
      <c r="N3510" s="17" t="s">
        <v>79</v>
      </c>
      <c r="O3510" s="11"/>
      <c r="P3510" s="28" t="n">
        <v>300402</v>
      </c>
      <c r="Q3510" s="28" t="n">
        <v>75100</v>
      </c>
      <c r="R3510" s="28"/>
      <c r="S3510" s="28" t="n">
        <f aca="false">R3510*$M3510</f>
        <v>0</v>
      </c>
      <c r="T3510" s="28"/>
      <c r="U3510" s="28" t="n">
        <f aca="false">T3510*$M3510</f>
        <v>0</v>
      </c>
      <c r="V3510" s="28" t="n">
        <v>448</v>
      </c>
      <c r="W3510" s="28" t="n">
        <v>112</v>
      </c>
      <c r="X3510" s="28"/>
      <c r="Y3510" s="28" t="n">
        <f aca="false">X3510*$M3510</f>
        <v>0</v>
      </c>
      <c r="Z3510" s="28"/>
      <c r="AA3510" s="28" t="n">
        <f aca="false">Z3510*$M3510</f>
        <v>0</v>
      </c>
      <c r="AB3510" s="28"/>
      <c r="AC3510" s="28" t="n">
        <f aca="false">AB3510*$M3510</f>
        <v>0</v>
      </c>
      <c r="AD3510" s="28"/>
      <c r="AE3510" s="28" t="n">
        <f aca="false">AD3510*$M3510</f>
        <v>0</v>
      </c>
      <c r="AF3510" s="28"/>
      <c r="AG3510" s="28" t="n">
        <f aca="false">AF3510*$M3510</f>
        <v>0</v>
      </c>
      <c r="AH3510" s="28"/>
      <c r="AI3510" s="28" t="n">
        <f aca="false">AH3510*$M3510</f>
        <v>0</v>
      </c>
      <c r="AJ3510" s="28"/>
      <c r="AK3510" s="28" t="n">
        <f aca="false">AJ3510*$M3510</f>
        <v>0</v>
      </c>
      <c r="AL3510" s="28"/>
      <c r="AM3510" s="28" t="n">
        <f aca="false">AL3510*$M3510</f>
        <v>0</v>
      </c>
      <c r="AN3510" s="28"/>
      <c r="AO3510" s="28" t="n">
        <f aca="false">AN3510*$M3510</f>
        <v>0</v>
      </c>
      <c r="AP3510" s="28"/>
      <c r="AQ3510" s="28" t="n">
        <f aca="false">AP3510*$M3510</f>
        <v>0</v>
      </c>
      <c r="AR3510" s="28"/>
      <c r="AS3510" s="28" t="n">
        <f aca="false">AR3510*$M3510</f>
        <v>0</v>
      </c>
      <c r="AT3510" s="28"/>
      <c r="AU3510" s="28" t="n">
        <f aca="false">AT3510*$M3510</f>
        <v>0</v>
      </c>
      <c r="AV3510" s="28"/>
      <c r="AW3510" s="28" t="n">
        <f aca="false">AV3510*$M3510</f>
        <v>0</v>
      </c>
      <c r="AX3510" s="28"/>
      <c r="AY3510" s="28" t="n">
        <f aca="false">AX3510*$M3510</f>
        <v>0</v>
      </c>
      <c r="AZ3510" s="30" t="n">
        <v>300850</v>
      </c>
      <c r="BA3510" s="11" t="n">
        <v>75212</v>
      </c>
      <c r="BB3510" s="31" t="n">
        <f aca="false">SUM(Q3510,S3510,U3510,W3510,Y3510,AA3510,AC3510,AE3510,AG3510,AI3510,AK3510,AM3510,AO3510,AQ3510,AS3510,AU3510,AW3510,AY3510)</f>
        <v>75212</v>
      </c>
      <c r="BC3510" s="28" t="n">
        <f aca="false">BA3510-BB3510</f>
        <v>0</v>
      </c>
      <c r="BD3510" s="32" t="n">
        <f aca="false">SUM(P3510,R3510,T3510,V3510,X3510,Z3510,AB3510,AD3510,AF3510,AH3510,AJ3510,AL3510,AN3510,AP3510,AR3510,AT3510,AV3510,AX3510)</f>
        <v>300850</v>
      </c>
      <c r="BE3510" s="33" t="n">
        <f aca="false">AZ3510-BD3510</f>
        <v>0</v>
      </c>
      <c r="BF3510" s="34" t="n">
        <f aca="false">BD3510*M3510</f>
        <v>75212.5</v>
      </c>
      <c r="BG3510" s="35" t="n">
        <f aca="false">BA3510-BF3510</f>
        <v>-0.5</v>
      </c>
      <c r="BH3510" s="19" t="str">
        <f aca="false">IF(BG3510=0,"",IF(BG3510&lt;&gt;BA3510,"erreur de calcul",IF(BD3510&lt;&gt;0,"pas de prix",IF(M3510&lt;&gt; 0,"pas de quantité","pas de prix, ni de quantité"))))</f>
        <v>erreur de calcul</v>
      </c>
      <c r="BI3510" s="19"/>
    </row>
    <row r="3511" customFormat="false" ht="78.4" hidden="false" customHeight="true" outlineLevel="0" collapsed="false">
      <c r="A3511" s="0" t="s">
        <v>31</v>
      </c>
      <c r="B3511" s="2" t="s">
        <v>0</v>
      </c>
      <c r="C3511" s="2" t="s">
        <v>1</v>
      </c>
      <c r="D3511" s="2" t="s">
        <v>2</v>
      </c>
      <c r="E3511" s="2" t="s">
        <v>3</v>
      </c>
      <c r="F3511" s="2" t="s">
        <v>4</v>
      </c>
      <c r="G3511" s="2" t="s">
        <v>5</v>
      </c>
      <c r="H3511" s="2" t="s">
        <v>6</v>
      </c>
      <c r="I3511" s="3" t="s">
        <v>7</v>
      </c>
      <c r="J3511" s="5" t="s">
        <v>12</v>
      </c>
      <c r="K3511" s="5" t="s">
        <v>13</v>
      </c>
      <c r="L3511" s="5" t="s">
        <v>14</v>
      </c>
      <c r="M3511" s="7" t="s">
        <v>15</v>
      </c>
      <c r="N3511" s="6" t="s">
        <v>32</v>
      </c>
      <c r="O3511" s="6" t="s">
        <v>33</v>
      </c>
      <c r="P3511" s="6" t="s">
        <v>34</v>
      </c>
      <c r="Q3511" s="6"/>
      <c r="R3511" s="6" t="s">
        <v>35</v>
      </c>
      <c r="S3511" s="6"/>
      <c r="T3511" s="6" t="s">
        <v>36</v>
      </c>
      <c r="U3511" s="6"/>
      <c r="V3511" s="6" t="s">
        <v>37</v>
      </c>
      <c r="W3511" s="6"/>
      <c r="X3511" s="6" t="s">
        <v>38</v>
      </c>
      <c r="Y3511" s="6"/>
      <c r="Z3511" s="6" t="s">
        <v>39</v>
      </c>
      <c r="AA3511" s="6"/>
      <c r="AB3511" s="6" t="s">
        <v>40</v>
      </c>
      <c r="AC3511" s="6"/>
      <c r="AD3511" s="6" t="s">
        <v>41</v>
      </c>
      <c r="AE3511" s="6"/>
      <c r="AF3511" s="6" t="s">
        <v>42</v>
      </c>
      <c r="AG3511" s="6"/>
      <c r="AH3511" s="6" t="s">
        <v>43</v>
      </c>
      <c r="AI3511" s="6"/>
      <c r="AJ3511" s="6" t="s">
        <v>44</v>
      </c>
      <c r="AK3511" s="6"/>
      <c r="AL3511" s="6" t="s">
        <v>45</v>
      </c>
      <c r="AM3511" s="6"/>
      <c r="AN3511" s="6" t="s">
        <v>46</v>
      </c>
      <c r="AO3511" s="6"/>
      <c r="AP3511" s="6" t="s">
        <v>47</v>
      </c>
      <c r="AQ3511" s="6"/>
      <c r="AR3511" s="6" t="s">
        <v>48</v>
      </c>
      <c r="AS3511" s="6"/>
      <c r="AT3511" s="6" t="s">
        <v>49</v>
      </c>
      <c r="AU3511" s="6"/>
      <c r="AV3511" s="6" t="s">
        <v>50</v>
      </c>
      <c r="AW3511" s="6"/>
      <c r="AX3511" s="6" t="s">
        <v>51</v>
      </c>
      <c r="AY3511" s="6"/>
      <c r="AZ3511" s="6" t="s">
        <v>52</v>
      </c>
      <c r="BA3511" s="6"/>
      <c r="BB3511" s="6"/>
      <c r="BC3511" s="6"/>
      <c r="BD3511" s="6" t="s">
        <v>53</v>
      </c>
      <c r="BE3511" s="6" t="s">
        <v>54</v>
      </c>
      <c r="BF3511" s="6" t="s">
        <v>55</v>
      </c>
      <c r="BG3511" s="6" t="s">
        <v>56</v>
      </c>
      <c r="BH3511" s="6" t="s">
        <v>57</v>
      </c>
      <c r="BI3511" s="6" t="s">
        <v>23</v>
      </c>
    </row>
    <row r="3512" customFormat="false" ht="15" hidden="false" customHeight="false" outlineLevel="0" collapsed="false">
      <c r="B3512" s="20"/>
      <c r="C3512" s="20"/>
      <c r="D3512" s="20"/>
      <c r="E3512" s="21"/>
      <c r="F3512" s="20"/>
      <c r="G3512" s="20"/>
      <c r="H3512" s="20"/>
      <c r="I3512" s="22"/>
      <c r="J3512" s="23"/>
      <c r="K3512" s="23"/>
      <c r="L3512" s="24"/>
      <c r="M3512" s="25"/>
      <c r="N3512" s="25"/>
      <c r="O3512" s="26" t="s">
        <v>58</v>
      </c>
      <c r="P3512" s="25" t="s">
        <v>59</v>
      </c>
      <c r="Q3512" s="25" t="s">
        <v>60</v>
      </c>
      <c r="R3512" s="25" t="s">
        <v>59</v>
      </c>
      <c r="S3512" s="25" t="s">
        <v>60</v>
      </c>
      <c r="T3512" s="25" t="s">
        <v>59</v>
      </c>
      <c r="U3512" s="25" t="s">
        <v>60</v>
      </c>
      <c r="V3512" s="25" t="s">
        <v>59</v>
      </c>
      <c r="W3512" s="25" t="s">
        <v>60</v>
      </c>
      <c r="X3512" s="25" t="s">
        <v>59</v>
      </c>
      <c r="Y3512" s="25" t="s">
        <v>60</v>
      </c>
      <c r="Z3512" s="25" t="s">
        <v>59</v>
      </c>
      <c r="AA3512" s="25" t="s">
        <v>60</v>
      </c>
      <c r="AB3512" s="25" t="s">
        <v>59</v>
      </c>
      <c r="AC3512" s="25" t="s">
        <v>60</v>
      </c>
      <c r="AD3512" s="25" t="s">
        <v>59</v>
      </c>
      <c r="AE3512" s="25" t="s">
        <v>60</v>
      </c>
      <c r="AF3512" s="25" t="s">
        <v>59</v>
      </c>
      <c r="AG3512" s="25" t="s">
        <v>60</v>
      </c>
      <c r="AH3512" s="25" t="s">
        <v>59</v>
      </c>
      <c r="AI3512" s="25" t="s">
        <v>60</v>
      </c>
      <c r="AJ3512" s="25" t="s">
        <v>59</v>
      </c>
      <c r="AK3512" s="25" t="s">
        <v>60</v>
      </c>
      <c r="AL3512" s="25" t="s">
        <v>59</v>
      </c>
      <c r="AM3512" s="25" t="s">
        <v>60</v>
      </c>
      <c r="AN3512" s="25" t="s">
        <v>59</v>
      </c>
      <c r="AO3512" s="25" t="s">
        <v>60</v>
      </c>
      <c r="AP3512" s="25" t="s">
        <v>59</v>
      </c>
      <c r="AQ3512" s="25" t="s">
        <v>60</v>
      </c>
      <c r="AR3512" s="25" t="s">
        <v>59</v>
      </c>
      <c r="AS3512" s="25" t="s">
        <v>60</v>
      </c>
      <c r="AT3512" s="25" t="s">
        <v>59</v>
      </c>
      <c r="AU3512" s="25" t="s">
        <v>60</v>
      </c>
      <c r="AV3512" s="25" t="s">
        <v>59</v>
      </c>
      <c r="AW3512" s="25" t="s">
        <v>60</v>
      </c>
      <c r="AX3512" s="25" t="s">
        <v>59</v>
      </c>
      <c r="AY3512" s="25" t="s">
        <v>60</v>
      </c>
      <c r="AZ3512" s="25" t="s">
        <v>59</v>
      </c>
      <c r="BA3512" s="25" t="s">
        <v>60</v>
      </c>
      <c r="BB3512" s="25" t="s">
        <v>61</v>
      </c>
      <c r="BC3512" s="25" t="s">
        <v>62</v>
      </c>
      <c r="BD3512" s="20"/>
      <c r="BE3512" s="20"/>
      <c r="BF3512" s="20"/>
      <c r="BG3512" s="20"/>
      <c r="BH3512" s="20"/>
      <c r="BI3512" s="20"/>
    </row>
    <row r="3513" customFormat="false" ht="15" hidden="false" customHeight="false" outlineLevel="0" collapsed="false">
      <c r="A3513" s="0" t="n">
        <v>1</v>
      </c>
      <c r="B3513" s="8" t="s">
        <v>24</v>
      </c>
      <c r="C3513" s="9" t="s">
        <v>25</v>
      </c>
      <c r="D3513" s="9" t="s">
        <v>26</v>
      </c>
      <c r="E3513" s="10" t="n">
        <v>1789</v>
      </c>
      <c r="F3513" s="9" t="s">
        <v>27</v>
      </c>
      <c r="G3513" s="9" t="s">
        <v>27</v>
      </c>
      <c r="H3513" s="11" t="n">
        <v>18</v>
      </c>
      <c r="I3513" s="11" t="s">
        <v>63</v>
      </c>
      <c r="J3513" s="14" t="n">
        <v>27</v>
      </c>
      <c r="K3513" s="14"/>
      <c r="L3513" s="16"/>
      <c r="M3513" s="27" t="n">
        <f aca="false">J3513+(K3513/20)+(L3513/240)</f>
        <v>27</v>
      </c>
      <c r="N3513" s="17" t="s">
        <v>64</v>
      </c>
      <c r="O3513" s="11"/>
      <c r="P3513" s="28"/>
      <c r="Q3513" s="28" t="n">
        <f aca="false">P3513*$M3513</f>
        <v>0</v>
      </c>
      <c r="R3513" s="28"/>
      <c r="S3513" s="28" t="n">
        <f aca="false">R3513*$M3513</f>
        <v>0</v>
      </c>
      <c r="T3513" s="28"/>
      <c r="U3513" s="28" t="n">
        <f aca="false">T3513*$M3513</f>
        <v>0</v>
      </c>
      <c r="V3513" s="28" t="n">
        <f aca="false">700/100</f>
        <v>7</v>
      </c>
      <c r="W3513" s="28" t="n">
        <v>189</v>
      </c>
      <c r="X3513" s="29"/>
      <c r="Y3513" s="28" t="n">
        <v>9506</v>
      </c>
      <c r="Z3513" s="28"/>
      <c r="AA3513" s="28" t="n">
        <f aca="false">Z3513*$M3513</f>
        <v>0</v>
      </c>
      <c r="AB3513" s="28"/>
      <c r="AC3513" s="28" t="n">
        <f aca="false">AB3513*$M3513</f>
        <v>0</v>
      </c>
      <c r="AD3513" s="28"/>
      <c r="AE3513" s="28" t="n">
        <f aca="false">AD3513*$M3513</f>
        <v>0</v>
      </c>
      <c r="AF3513" s="28"/>
      <c r="AG3513" s="28" t="n">
        <f aca="false">AF3513*$M3513</f>
        <v>0</v>
      </c>
      <c r="AH3513" s="28"/>
      <c r="AI3513" s="28" t="n">
        <f aca="false">AH3513*$M3513</f>
        <v>0</v>
      </c>
      <c r="AJ3513" s="28" t="n">
        <f aca="false">72509/100</f>
        <v>725.09</v>
      </c>
      <c r="AK3513" s="28" t="n">
        <v>19577</v>
      </c>
      <c r="AL3513" s="28"/>
      <c r="AM3513" s="28" t="n">
        <f aca="false">AL3513*$M3513</f>
        <v>0</v>
      </c>
      <c r="AN3513" s="28"/>
      <c r="AO3513" s="28" t="n">
        <f aca="false">AN3513*$M3513</f>
        <v>0</v>
      </c>
      <c r="AP3513" s="28"/>
      <c r="AQ3513" s="28" t="n">
        <f aca="false">AP3513*$M3513</f>
        <v>0</v>
      </c>
      <c r="AR3513" s="28" t="n">
        <f aca="false">36750/100</f>
        <v>367.5</v>
      </c>
      <c r="AS3513" s="28" t="n">
        <v>9922</v>
      </c>
      <c r="AT3513" s="28"/>
      <c r="AU3513" s="28" t="n">
        <f aca="false">AT3513*$M3513</f>
        <v>0</v>
      </c>
      <c r="AV3513" s="28"/>
      <c r="AW3513" s="28" t="n">
        <f aca="false">AV3513*$M3513</f>
        <v>0</v>
      </c>
      <c r="AX3513" s="28"/>
      <c r="AY3513" s="28" t="n">
        <f aca="false">AX3513*$M3513</f>
        <v>0</v>
      </c>
      <c r="AZ3513" s="30" t="n">
        <f aca="false">145166/100</f>
        <v>1451.66</v>
      </c>
      <c r="BA3513" s="11" t="n">
        <v>39194</v>
      </c>
      <c r="BB3513" s="31" t="n">
        <f aca="false">SUM(Q3513,S3513,U3513,W3513,Y3513,AA3513,AC3513,AE3513,AG3513,AI3513,AK3513,AM3513,AO3513,AQ3513,AS3513,AU3513,AW3513,AY3513)</f>
        <v>39194</v>
      </c>
      <c r="BC3513" s="28" t="n">
        <f aca="false">BA3513-BB3513</f>
        <v>0</v>
      </c>
      <c r="BD3513" s="32" t="n">
        <f aca="false">SUM(P3513,R3513,T3513,V3513,X3513,Z3513,AB3513,AD3513,AF3513,AH3513,AJ3513,AL3513,AN3513,AP3513,AR3513,AT3513,AV3513,AX3513)</f>
        <v>1099.59</v>
      </c>
      <c r="BE3513" s="33" t="n">
        <f aca="false">AZ3513-BD3513</f>
        <v>352.07</v>
      </c>
      <c r="BF3513" s="34" t="n">
        <f aca="false">BD3513*M3513</f>
        <v>29688.93</v>
      </c>
      <c r="BG3513" s="35" t="n">
        <f aca="false">BA3513-BF3513</f>
        <v>9505.07</v>
      </c>
      <c r="BH3513" s="19" t="str">
        <f aca="false">IF(BG3513=0,"",IF(BG3513&lt;&gt;BA3513,"erreur de calcul",IF(BD3513&lt;&gt;0,"pas de prix",IF(M3513&lt;&gt; 0,"pas de quantité","pas de prix, ni de quantité"))))</f>
        <v>erreur de calcul</v>
      </c>
      <c r="BI3513" s="19"/>
    </row>
    <row r="3514" customFormat="false" ht="15" hidden="false" customHeight="false" outlineLevel="0" collapsed="false">
      <c r="A3514" s="0" t="n">
        <v>2</v>
      </c>
      <c r="B3514" s="8" t="s">
        <v>24</v>
      </c>
      <c r="C3514" s="9" t="s">
        <v>25</v>
      </c>
      <c r="D3514" s="9" t="s">
        <v>26</v>
      </c>
      <c r="E3514" s="10" t="n">
        <v>1789</v>
      </c>
      <c r="F3514" s="9" t="s">
        <v>27</v>
      </c>
      <c r="G3514" s="9" t="s">
        <v>27</v>
      </c>
      <c r="H3514" s="11" t="n">
        <v>18</v>
      </c>
      <c r="I3514" s="11" t="s">
        <v>65</v>
      </c>
      <c r="J3514" s="14"/>
      <c r="K3514" s="14" t="n">
        <v>20</v>
      </c>
      <c r="L3514" s="16"/>
      <c r="M3514" s="27" t="n">
        <f aca="false">J3514+(K3514/20)+(L3514/240)</f>
        <v>1</v>
      </c>
      <c r="N3514" s="17" t="s">
        <v>66</v>
      </c>
      <c r="O3514" s="11"/>
      <c r="P3514" s="28"/>
      <c r="Q3514" s="28" t="n">
        <f aca="false">P3514*$M3514</f>
        <v>0</v>
      </c>
      <c r="R3514" s="28"/>
      <c r="S3514" s="28" t="n">
        <f aca="false">R3514*$M3514</f>
        <v>0</v>
      </c>
      <c r="T3514" s="28"/>
      <c r="U3514" s="28" t="n">
        <f aca="false">T3514*$M3514</f>
        <v>0</v>
      </c>
      <c r="V3514" s="28" t="n">
        <v>2365</v>
      </c>
      <c r="W3514" s="28" t="n">
        <v>2365</v>
      </c>
      <c r="X3514" s="29" t="n">
        <v>234</v>
      </c>
      <c r="Y3514" s="28" t="n">
        <v>234</v>
      </c>
      <c r="Z3514" s="28"/>
      <c r="AA3514" s="28" t="n">
        <f aca="false">Z3514*$M3514</f>
        <v>0</v>
      </c>
      <c r="AB3514" s="28" t="n">
        <v>17776</v>
      </c>
      <c r="AC3514" s="28" t="n">
        <v>17776</v>
      </c>
      <c r="AD3514" s="28"/>
      <c r="AE3514" s="28" t="n">
        <f aca="false">AD3514*$M3514</f>
        <v>0</v>
      </c>
      <c r="AF3514" s="28"/>
      <c r="AG3514" s="28" t="n">
        <f aca="false">AF3514*$M3514</f>
        <v>0</v>
      </c>
      <c r="AH3514" s="28"/>
      <c r="AI3514" s="28" t="n">
        <f aca="false">AH3514*$M3514</f>
        <v>0</v>
      </c>
      <c r="AJ3514" s="28"/>
      <c r="AK3514" s="28" t="n">
        <f aca="false">AJ3514*$M3514</f>
        <v>0</v>
      </c>
      <c r="AL3514" s="28"/>
      <c r="AM3514" s="28" t="n">
        <f aca="false">AL3514*$M3514</f>
        <v>0</v>
      </c>
      <c r="AN3514" s="28"/>
      <c r="AO3514" s="28" t="n">
        <f aca="false">AN3514*$M3514</f>
        <v>0</v>
      </c>
      <c r="AP3514" s="28"/>
      <c r="AQ3514" s="28" t="n">
        <f aca="false">AP3514*$M3514</f>
        <v>0</v>
      </c>
      <c r="AR3514" s="28"/>
      <c r="AS3514" s="28" t="n">
        <f aca="false">AR3514*$M3514</f>
        <v>0</v>
      </c>
      <c r="AT3514" s="28"/>
      <c r="AU3514" s="28" t="n">
        <f aca="false">AT3514*$M3514</f>
        <v>0</v>
      </c>
      <c r="AV3514" s="28"/>
      <c r="AW3514" s="28" t="n">
        <f aca="false">AV3514*$M3514</f>
        <v>0</v>
      </c>
      <c r="AX3514" s="28"/>
      <c r="AY3514" s="28" t="n">
        <f aca="false">AX3514*$M3514</f>
        <v>0</v>
      </c>
      <c r="AZ3514" s="30" t="n">
        <v>20375</v>
      </c>
      <c r="BA3514" s="11" t="n">
        <v>20375</v>
      </c>
      <c r="BB3514" s="31" t="n">
        <f aca="false">SUM(Q3514,S3514,U3514,W3514,Y3514,AA3514,AC3514,AE3514,AG3514,AI3514,AK3514,AM3514,AO3514,AQ3514,AS3514,AU3514,AW3514,AY3514)</f>
        <v>20375</v>
      </c>
      <c r="BC3514" s="28" t="n">
        <f aca="false">BA3514-BB3514</f>
        <v>0</v>
      </c>
      <c r="BD3514" s="32" t="n">
        <f aca="false">SUM(P3514,R3514,T3514,V3514,X3514,Z3514,AB3514,AD3514,AF3514,AH3514,AJ3514,AL3514,AN3514,AP3514,AR3514,AT3514,AV3514,AX3514)</f>
        <v>20375</v>
      </c>
      <c r="BE3514" s="33" t="n">
        <f aca="false">AZ3514-BD3514</f>
        <v>0</v>
      </c>
      <c r="BF3514" s="34" t="n">
        <f aca="false">BD3514*M3514</f>
        <v>20375</v>
      </c>
      <c r="BG3514" s="35" t="n">
        <f aca="false">BA3514-BF3514</f>
        <v>0</v>
      </c>
      <c r="BH3514" s="19" t="str">
        <f aca="false">IF(BG3514=0,"",IF(BG3514&lt;&gt;BA3514,"erreur de calcul",IF(BD3514&lt;&gt;0,"pas de prix",IF(M3514&lt;&gt; 0,"pas de quantité","pas de prix, ni de quantité"))))</f>
        <v/>
      </c>
      <c r="BI3514" s="19"/>
    </row>
    <row r="3515" customFormat="false" ht="15" hidden="false" customHeight="false" outlineLevel="0" collapsed="false">
      <c r="A3515" s="0" t="n">
        <v>3</v>
      </c>
      <c r="B3515" s="8" t="s">
        <v>24</v>
      </c>
      <c r="C3515" s="9" t="s">
        <v>25</v>
      </c>
      <c r="D3515" s="9" t="s">
        <v>26</v>
      </c>
      <c r="E3515" s="10" t="n">
        <v>1789</v>
      </c>
      <c r="F3515" s="9" t="s">
        <v>27</v>
      </c>
      <c r="G3515" s="9" t="s">
        <v>27</v>
      </c>
      <c r="H3515" s="11" t="n">
        <v>18</v>
      </c>
      <c r="I3515" s="11" t="s">
        <v>67</v>
      </c>
      <c r="J3515" s="14" t="n">
        <v>56</v>
      </c>
      <c r="K3515" s="14"/>
      <c r="L3515" s="16"/>
      <c r="M3515" s="27" t="n">
        <f aca="false">J3515+(K3515/20)+(L3515/240)</f>
        <v>56</v>
      </c>
      <c r="N3515" s="17" t="s">
        <v>64</v>
      </c>
      <c r="O3515" s="11"/>
      <c r="P3515" s="28" t="n">
        <f aca="false">27159/100</f>
        <v>271.59</v>
      </c>
      <c r="Q3515" s="28" t="n">
        <v>15209</v>
      </c>
      <c r="R3515" s="28"/>
      <c r="S3515" s="28" t="n">
        <f aca="false">R3515*$M3515</f>
        <v>0</v>
      </c>
      <c r="T3515" s="28" t="n">
        <f aca="false">1044/100</f>
        <v>10.44</v>
      </c>
      <c r="U3515" s="28" t="n">
        <v>585</v>
      </c>
      <c r="V3515" s="28" t="n">
        <f aca="false">1838/100</f>
        <v>18.38</v>
      </c>
      <c r="W3515" s="36" t="n">
        <v>4557</v>
      </c>
      <c r="X3515" s="29"/>
      <c r="Y3515" s="28" t="n">
        <v>2566</v>
      </c>
      <c r="Z3515" s="28"/>
      <c r="AA3515" s="28" t="n">
        <f aca="false">Z3515*$M3515</f>
        <v>0</v>
      </c>
      <c r="AB3515" s="28" t="n">
        <f aca="false">17833/100</f>
        <v>178.33</v>
      </c>
      <c r="AC3515" s="28" t="n">
        <v>9986</v>
      </c>
      <c r="AD3515" s="28"/>
      <c r="AE3515" s="28" t="n">
        <f aca="false">AD3515*$M3515</f>
        <v>0</v>
      </c>
      <c r="AF3515" s="28" t="n">
        <f aca="false">30595/100</f>
        <v>305.95</v>
      </c>
      <c r="AG3515" s="28" t="n">
        <v>17133</v>
      </c>
      <c r="AH3515" s="28"/>
      <c r="AI3515" s="28" t="n">
        <f aca="false">AH3515*$M3515</f>
        <v>0</v>
      </c>
      <c r="AJ3515" s="28"/>
      <c r="AK3515" s="28" t="n">
        <f aca="false">AJ3515*$M3515</f>
        <v>0</v>
      </c>
      <c r="AL3515" s="28"/>
      <c r="AM3515" s="28" t="n">
        <f aca="false">AL3515*$M3515</f>
        <v>0</v>
      </c>
      <c r="AN3515" s="28"/>
      <c r="AO3515" s="28" t="n">
        <f aca="false">AN3515*$M3515</f>
        <v>0</v>
      </c>
      <c r="AP3515" s="28"/>
      <c r="AQ3515" s="28" t="n">
        <f aca="false">AP3515*$M3515</f>
        <v>0</v>
      </c>
      <c r="AR3515" s="28"/>
      <c r="AS3515" s="28" t="n">
        <f aca="false">AR3515*$M3515</f>
        <v>0</v>
      </c>
      <c r="AT3515" s="28"/>
      <c r="AU3515" s="28" t="n">
        <f aca="false">AT3515*$M3515</f>
        <v>0</v>
      </c>
      <c r="AV3515" s="28"/>
      <c r="AW3515" s="28" t="n">
        <f aca="false">AV3515*$M3515</f>
        <v>0</v>
      </c>
      <c r="AX3515" s="28"/>
      <c r="AY3515" s="28" t="n">
        <f aca="false">AX3515*$M3515</f>
        <v>0</v>
      </c>
      <c r="AZ3515" s="30" t="n">
        <f aca="false">83051/100</f>
        <v>830.51</v>
      </c>
      <c r="BA3515" s="11" t="n">
        <v>50036</v>
      </c>
      <c r="BB3515" s="31" t="n">
        <f aca="false">SUM(Q3515,S3515,U3515,W3515,Y3515,AA3515,AC3515,AE3515,AG3515,AI3515,AK3515,AM3515,AO3515,AQ3515,AS3515,AU3515,AW3515,AY3515)</f>
        <v>50036</v>
      </c>
      <c r="BC3515" s="28" t="n">
        <f aca="false">BA3515-BB3515</f>
        <v>0</v>
      </c>
      <c r="BD3515" s="32" t="n">
        <f aca="false">SUM(P3515,R3515,T3515,V3515,X3515,Z3515,AB3515,AD3515,AF3515,AH3515,AJ3515,AL3515,AN3515,AP3515,AR3515,AT3515,AV3515,AX3515)</f>
        <v>784.69</v>
      </c>
      <c r="BE3515" s="33" t="n">
        <f aca="false">AZ3515-BD3515</f>
        <v>45.8199999999999</v>
      </c>
      <c r="BF3515" s="34" t="n">
        <f aca="false">BD3515*M3515</f>
        <v>43942.64</v>
      </c>
      <c r="BG3515" s="35" t="n">
        <f aca="false">BA3515-BF3515</f>
        <v>6093.36</v>
      </c>
      <c r="BH3515" s="19" t="str">
        <f aca="false">IF(BG3515=0,"",IF(BG3515&lt;&gt;BA3515,"erreur de calcul",IF(BD3515&lt;&gt;0,"pas de prix",IF(M3515&lt;&gt; 0,"pas de quantité","pas de prix, ni de quantité"))))</f>
        <v>erreur de calcul</v>
      </c>
      <c r="BI3515" s="19"/>
    </row>
    <row r="3516" customFormat="false" ht="15" hidden="false" customHeight="false" outlineLevel="0" collapsed="false">
      <c r="A3516" s="0" t="n">
        <v>4</v>
      </c>
      <c r="B3516" s="8" t="s">
        <v>24</v>
      </c>
      <c r="C3516" s="9" t="s">
        <v>25</v>
      </c>
      <c r="D3516" s="9" t="s">
        <v>26</v>
      </c>
      <c r="E3516" s="10" t="n">
        <v>1789</v>
      </c>
      <c r="F3516" s="9" t="s">
        <v>27</v>
      </c>
      <c r="G3516" s="9" t="s">
        <v>27</v>
      </c>
      <c r="H3516" s="11" t="n">
        <v>18</v>
      </c>
      <c r="I3516" s="11" t="s">
        <v>68</v>
      </c>
      <c r="J3516" s="14"/>
      <c r="K3516" s="14" t="n">
        <v>30</v>
      </c>
      <c r="L3516" s="16"/>
      <c r="M3516" s="27" t="n">
        <f aca="false">J3516+(K3516/20)+(L3516/240)</f>
        <v>1.5</v>
      </c>
      <c r="N3516" s="17" t="s">
        <v>69</v>
      </c>
      <c r="O3516" s="11"/>
      <c r="P3516" s="28" t="n">
        <v>5460</v>
      </c>
      <c r="Q3516" s="28" t="n">
        <v>8190</v>
      </c>
      <c r="R3516" s="28"/>
      <c r="S3516" s="28" t="n">
        <f aca="false">R3516*$M3516</f>
        <v>0</v>
      </c>
      <c r="T3516" s="28"/>
      <c r="U3516" s="28" t="n">
        <f aca="false">T3516*$M3516</f>
        <v>0</v>
      </c>
      <c r="V3516" s="28" t="n">
        <v>1061</v>
      </c>
      <c r="W3516" s="28" t="n">
        <v>1591</v>
      </c>
      <c r="X3516" s="29"/>
      <c r="Y3516" s="28" t="n">
        <v>5766</v>
      </c>
      <c r="Z3516" s="28"/>
      <c r="AA3516" s="28" t="n">
        <f aca="false">Z3516*$M3516</f>
        <v>0</v>
      </c>
      <c r="AB3516" s="28"/>
      <c r="AC3516" s="28" t="n">
        <f aca="false">AB3516*$M3516</f>
        <v>0</v>
      </c>
      <c r="AD3516" s="28"/>
      <c r="AE3516" s="28" t="n">
        <f aca="false">AD3516*$M3516</f>
        <v>0</v>
      </c>
      <c r="AF3516" s="28"/>
      <c r="AG3516" s="28" t="n">
        <f aca="false">AF3516*$M3516</f>
        <v>0</v>
      </c>
      <c r="AH3516" s="28"/>
      <c r="AI3516" s="28" t="n">
        <f aca="false">AH3516*$M3516</f>
        <v>0</v>
      </c>
      <c r="AJ3516" s="28"/>
      <c r="AK3516" s="28" t="n">
        <f aca="false">AJ3516*$M3516</f>
        <v>0</v>
      </c>
      <c r="AL3516" s="28"/>
      <c r="AM3516" s="28" t="n">
        <f aca="false">AL3516*$M3516</f>
        <v>0</v>
      </c>
      <c r="AN3516" s="28"/>
      <c r="AO3516" s="28" t="n">
        <f aca="false">AN3516*$M3516</f>
        <v>0</v>
      </c>
      <c r="AP3516" s="28"/>
      <c r="AQ3516" s="28" t="n">
        <f aca="false">AP3516*$M3516</f>
        <v>0</v>
      </c>
      <c r="AR3516" s="28"/>
      <c r="AS3516" s="28" t="n">
        <f aca="false">AR3516*$M3516</f>
        <v>0</v>
      </c>
      <c r="AT3516" s="28"/>
      <c r="AU3516" s="28" t="n">
        <f aca="false">AT3516*$M3516</f>
        <v>0</v>
      </c>
      <c r="AV3516" s="28"/>
      <c r="AW3516" s="28" t="n">
        <f aca="false">AV3516*$M3516</f>
        <v>0</v>
      </c>
      <c r="AX3516" s="28"/>
      <c r="AY3516" s="28" t="n">
        <f aca="false">AX3516*$M3516</f>
        <v>0</v>
      </c>
      <c r="AZ3516" s="30" t="n">
        <v>10365</v>
      </c>
      <c r="BA3516" s="11" t="n">
        <v>15547</v>
      </c>
      <c r="BB3516" s="31" t="n">
        <f aca="false">SUM(Q3516,S3516,U3516,W3516,Y3516,AA3516,AC3516,AE3516,AG3516,AI3516,AK3516,AM3516,AO3516,AQ3516,AS3516,AU3516,AW3516,AY3516)</f>
        <v>15547</v>
      </c>
      <c r="BC3516" s="28" t="n">
        <f aca="false">BA3516-BB3516</f>
        <v>0</v>
      </c>
      <c r="BD3516" s="32" t="n">
        <f aca="false">SUM(P3516,R3516,T3516,V3516,X3516,Z3516,AB3516,AD3516,AF3516,AH3516,AJ3516,AL3516,AN3516,AP3516,AR3516,AT3516,AV3516,AX3516)</f>
        <v>6521</v>
      </c>
      <c r="BE3516" s="33" t="n">
        <f aca="false">AZ3516-BD3516</f>
        <v>3844</v>
      </c>
      <c r="BF3516" s="34" t="n">
        <f aca="false">BD3516*M3516</f>
        <v>9781.5</v>
      </c>
      <c r="BG3516" s="35" t="n">
        <f aca="false">BA3516-BF3516</f>
        <v>5765.5</v>
      </c>
      <c r="BH3516" s="19" t="str">
        <f aca="false">IF(BG3516=0,"",IF(BG3516&lt;&gt;BA3516,"erreur de calcul",IF(BD3516&lt;&gt;0,"pas de prix",IF(M3516&lt;&gt; 0,"pas de quantité","pas de prix, ni de quantité"))))</f>
        <v>erreur de calcul</v>
      </c>
      <c r="BI3516" s="19"/>
    </row>
    <row r="3517" customFormat="false" ht="15" hidden="false" customHeight="false" outlineLevel="0" collapsed="false">
      <c r="A3517" s="0" t="n">
        <v>5</v>
      </c>
      <c r="B3517" s="8" t="s">
        <v>24</v>
      </c>
      <c r="C3517" s="9" t="s">
        <v>25</v>
      </c>
      <c r="D3517" s="9" t="s">
        <v>26</v>
      </c>
      <c r="E3517" s="10" t="n">
        <v>1789</v>
      </c>
      <c r="F3517" s="9" t="s">
        <v>27</v>
      </c>
      <c r="G3517" s="9" t="s">
        <v>27</v>
      </c>
      <c r="H3517" s="11" t="n">
        <v>18</v>
      </c>
      <c r="I3517" s="11" t="s">
        <v>70</v>
      </c>
      <c r="J3517" s="14" t="n">
        <v>190</v>
      </c>
      <c r="K3517" s="14"/>
      <c r="L3517" s="16"/>
      <c r="M3517" s="27" t="n">
        <f aca="false">J3517+(K3517/20)+(L3517/240)</f>
        <v>190</v>
      </c>
      <c r="N3517" s="17" t="s">
        <v>64</v>
      </c>
      <c r="O3517" s="11"/>
      <c r="P3517" s="28"/>
      <c r="Q3517" s="28" t="n">
        <f aca="false">P3517*$M3517</f>
        <v>0</v>
      </c>
      <c r="R3517" s="28" t="n">
        <f aca="false">22283/100</f>
        <v>222.83</v>
      </c>
      <c r="S3517" s="28" t="n">
        <v>42338</v>
      </c>
      <c r="T3517" s="28" t="n">
        <f aca="false">1289/100</f>
        <v>12.89</v>
      </c>
      <c r="U3517" s="28" t="n">
        <v>2449</v>
      </c>
      <c r="V3517" s="28"/>
      <c r="W3517" s="28" t="n">
        <f aca="false">V3517*$M3517</f>
        <v>0</v>
      </c>
      <c r="X3517" s="29"/>
      <c r="Y3517" s="28" t="n">
        <f aca="false">X3517*$M3517</f>
        <v>0</v>
      </c>
      <c r="Z3517" s="28"/>
      <c r="AA3517" s="28" t="n">
        <f aca="false">Z3517*$M3517</f>
        <v>0</v>
      </c>
      <c r="AB3517" s="28"/>
      <c r="AC3517" s="28" t="n">
        <f aca="false">AB3517*$M3517</f>
        <v>0</v>
      </c>
      <c r="AD3517" s="28"/>
      <c r="AE3517" s="28" t="n">
        <f aca="false">AD3517*$M3517</f>
        <v>0</v>
      </c>
      <c r="AF3517" s="28"/>
      <c r="AG3517" s="28" t="n">
        <f aca="false">AF3517*$M3517</f>
        <v>0</v>
      </c>
      <c r="AH3517" s="28"/>
      <c r="AI3517" s="28" t="n">
        <f aca="false">AH3517*$M3517</f>
        <v>0</v>
      </c>
      <c r="AJ3517" s="28"/>
      <c r="AK3517" s="28" t="n">
        <f aca="false">AJ3517*$M3517</f>
        <v>0</v>
      </c>
      <c r="AL3517" s="28"/>
      <c r="AM3517" s="28" t="n">
        <f aca="false">AL3517*$M3517</f>
        <v>0</v>
      </c>
      <c r="AN3517" s="28"/>
      <c r="AO3517" s="28" t="n">
        <f aca="false">AN3517*$M3517</f>
        <v>0</v>
      </c>
      <c r="AP3517" s="28"/>
      <c r="AQ3517" s="28" t="n">
        <f aca="false">AP3517*$M3517</f>
        <v>0</v>
      </c>
      <c r="AR3517" s="28"/>
      <c r="AS3517" s="28" t="n">
        <f aca="false">AR3517*$M3517</f>
        <v>0</v>
      </c>
      <c r="AT3517" s="28"/>
      <c r="AU3517" s="28" t="n">
        <f aca="false">AT3517*$M3517</f>
        <v>0</v>
      </c>
      <c r="AV3517" s="28"/>
      <c r="AW3517" s="28" t="n">
        <f aca="false">AV3517*$M3517</f>
        <v>0</v>
      </c>
      <c r="AX3517" s="28"/>
      <c r="AY3517" s="28" t="n">
        <f aca="false">AX3517*$M3517</f>
        <v>0</v>
      </c>
      <c r="AZ3517" s="30" t="n">
        <f aca="false">23572/100</f>
        <v>235.72</v>
      </c>
      <c r="BA3517" s="11" t="n">
        <v>44787</v>
      </c>
      <c r="BB3517" s="31" t="n">
        <f aca="false">SUM(Q3517,S3517,U3517,W3517,Y3517,AA3517,AC3517,AE3517,AG3517,AI3517,AK3517,AM3517,AO3517,AQ3517,AS3517,AU3517,AW3517,AY3517)</f>
        <v>44787</v>
      </c>
      <c r="BC3517" s="28" t="n">
        <f aca="false">BA3517-BB3517</f>
        <v>0</v>
      </c>
      <c r="BD3517" s="32" t="n">
        <f aca="false">SUM(P3517,R3517,T3517,V3517,X3517,Z3517,AB3517,AD3517,AF3517,AH3517,AJ3517,AL3517,AN3517,AP3517,AR3517,AT3517,AV3517,AX3517)</f>
        <v>235.72</v>
      </c>
      <c r="BE3517" s="33" t="n">
        <f aca="false">AZ3517-BD3517</f>
        <v>0</v>
      </c>
      <c r="BF3517" s="34" t="n">
        <f aca="false">BD3517*M3517</f>
        <v>44786.8</v>
      </c>
      <c r="BG3517" s="35" t="n">
        <f aca="false">BA3517-BF3517</f>
        <v>0.19999999999709</v>
      </c>
      <c r="BH3517" s="19" t="str">
        <f aca="false">IF(BG3517=0,"",IF(BG3517&lt;&gt;BA3517,"erreur de calcul",IF(BD3517&lt;&gt;0,"pas de prix",IF(M3517&lt;&gt; 0,"pas de quantité","pas de prix, ni de quantité"))))</f>
        <v>erreur de calcul</v>
      </c>
      <c r="BI3517" s="19"/>
    </row>
    <row r="3518" customFormat="false" ht="15" hidden="false" customHeight="false" outlineLevel="0" collapsed="false">
      <c r="A3518" s="0" t="n">
        <v>6</v>
      </c>
      <c r="B3518" s="8" t="s">
        <v>24</v>
      </c>
      <c r="C3518" s="9" t="s">
        <v>25</v>
      </c>
      <c r="D3518" s="9" t="s">
        <v>26</v>
      </c>
      <c r="E3518" s="10" t="n">
        <v>1789</v>
      </c>
      <c r="F3518" s="9" t="s">
        <v>27</v>
      </c>
      <c r="G3518" s="9" t="s">
        <v>27</v>
      </c>
      <c r="H3518" s="11" t="n">
        <v>18</v>
      </c>
      <c r="I3518" s="11" t="s">
        <v>71</v>
      </c>
      <c r="J3518" s="14" t="n">
        <v>60</v>
      </c>
      <c r="K3518" s="14"/>
      <c r="L3518" s="16"/>
      <c r="M3518" s="27" t="n">
        <f aca="false">J3518+(K3518/20)+(L3518/240)</f>
        <v>60</v>
      </c>
      <c r="N3518" s="17" t="s">
        <v>64</v>
      </c>
      <c r="O3518" s="11"/>
      <c r="P3518" s="28" t="n">
        <f aca="false">674/100</f>
        <v>6.74</v>
      </c>
      <c r="Q3518" s="28" t="n">
        <v>404</v>
      </c>
      <c r="R3518" s="28"/>
      <c r="S3518" s="28" t="n">
        <f aca="false">R3518*$M3518</f>
        <v>0</v>
      </c>
      <c r="T3518" s="28"/>
      <c r="U3518" s="28" t="n">
        <f aca="false">T3518*$M3518</f>
        <v>0</v>
      </c>
      <c r="V3518" s="28"/>
      <c r="W3518" s="28" t="n">
        <f aca="false">V3518*$M3518</f>
        <v>0</v>
      </c>
      <c r="X3518" s="29"/>
      <c r="Y3518" s="28" t="n">
        <f aca="false">X3518*$M3518</f>
        <v>0</v>
      </c>
      <c r="Z3518" s="28"/>
      <c r="AA3518" s="28" t="n">
        <f aca="false">Z3518*$M3518</f>
        <v>0</v>
      </c>
      <c r="AB3518" s="28"/>
      <c r="AC3518" s="28" t="n">
        <f aca="false">AB3518*$M3518</f>
        <v>0</v>
      </c>
      <c r="AD3518" s="28"/>
      <c r="AE3518" s="28" t="n">
        <f aca="false">AD3518*$M3518</f>
        <v>0</v>
      </c>
      <c r="AF3518" s="28"/>
      <c r="AG3518" s="28" t="n">
        <f aca="false">AF3518*$M3518</f>
        <v>0</v>
      </c>
      <c r="AH3518" s="28"/>
      <c r="AI3518" s="28" t="n">
        <f aca="false">AH3518*$M3518</f>
        <v>0</v>
      </c>
      <c r="AJ3518" s="28" t="n">
        <f aca="false">1133/100</f>
        <v>11.33</v>
      </c>
      <c r="AK3518" s="28" t="n">
        <v>680</v>
      </c>
      <c r="AL3518" s="28" t="n">
        <f aca="false">3140/100</f>
        <v>31.4</v>
      </c>
      <c r="AM3518" s="28" t="n">
        <v>1884</v>
      </c>
      <c r="AN3518" s="28"/>
      <c r="AO3518" s="28" t="n">
        <f aca="false">AN3518*$M3518</f>
        <v>0</v>
      </c>
      <c r="AP3518" s="28"/>
      <c r="AQ3518" s="28" t="n">
        <f aca="false">AP3518*$M3518</f>
        <v>0</v>
      </c>
      <c r="AR3518" s="28"/>
      <c r="AS3518" s="28" t="n">
        <f aca="false">AR3518*$M3518</f>
        <v>0</v>
      </c>
      <c r="AT3518" s="28"/>
      <c r="AU3518" s="28" t="n">
        <f aca="false">AT3518*$M3518</f>
        <v>0</v>
      </c>
      <c r="AV3518" s="28"/>
      <c r="AW3518" s="28" t="n">
        <f aca="false">AV3518*$M3518</f>
        <v>0</v>
      </c>
      <c r="AX3518" s="28"/>
      <c r="AY3518" s="28" t="n">
        <f aca="false">AX3518*$M3518</f>
        <v>0</v>
      </c>
      <c r="AZ3518" s="30" t="n">
        <f aca="false">4947/100</f>
        <v>49.47</v>
      </c>
      <c r="BA3518" s="11" t="n">
        <v>2968</v>
      </c>
      <c r="BB3518" s="31" t="n">
        <f aca="false">SUM(Q3518,S3518,U3518,W3518,Y3518,AA3518,AC3518,AE3518,AG3518,AI3518,AK3518,AM3518,AO3518,AQ3518,AS3518,AU3518,AW3518,AY3518)</f>
        <v>2968</v>
      </c>
      <c r="BC3518" s="28" t="n">
        <f aca="false">BA3518-BB3518</f>
        <v>0</v>
      </c>
      <c r="BD3518" s="32" t="n">
        <f aca="false">SUM(P3518,R3518,T3518,V3518,X3518,Z3518,AB3518,AD3518,AF3518,AH3518,AJ3518,AL3518,AN3518,AP3518,AR3518,AT3518,AV3518,AX3518)</f>
        <v>49.47</v>
      </c>
      <c r="BE3518" s="33" t="n">
        <f aca="false">AZ3518-BD3518</f>
        <v>0</v>
      </c>
      <c r="BF3518" s="34" t="n">
        <f aca="false">BD3518*M3518</f>
        <v>2968.2</v>
      </c>
      <c r="BG3518" s="35" t="n">
        <f aca="false">BA3518-BF3518</f>
        <v>-0.199999999999818</v>
      </c>
      <c r="BH3518" s="19" t="str">
        <f aca="false">IF(BG3518=0,"",IF(BG3518&lt;&gt;BA3518,"erreur de calcul",IF(BD3518&lt;&gt;0,"pas de prix",IF(M3518&lt;&gt; 0,"pas de quantité","pas de prix, ni de quantité"))))</f>
        <v>erreur de calcul</v>
      </c>
      <c r="BI3518" s="19"/>
    </row>
    <row r="3519" customFormat="false" ht="15" hidden="false" customHeight="false" outlineLevel="0" collapsed="false">
      <c r="A3519" s="0" t="n">
        <v>7</v>
      </c>
      <c r="B3519" s="8" t="s">
        <v>24</v>
      </c>
      <c r="C3519" s="9" t="s">
        <v>25</v>
      </c>
      <c r="D3519" s="9" t="s">
        <v>26</v>
      </c>
      <c r="E3519" s="10" t="n">
        <v>1789</v>
      </c>
      <c r="F3519" s="9" t="s">
        <v>27</v>
      </c>
      <c r="G3519" s="9" t="s">
        <v>27</v>
      </c>
      <c r="H3519" s="11" t="n">
        <v>18</v>
      </c>
      <c r="I3519" s="11" t="s">
        <v>72</v>
      </c>
      <c r="J3519" s="14" t="n">
        <v>15</v>
      </c>
      <c r="K3519" s="14"/>
      <c r="L3519" s="16"/>
      <c r="M3519" s="27" t="n">
        <f aca="false">J3519+(K3519/20)+(L3519/240)</f>
        <v>15</v>
      </c>
      <c r="N3519" s="17" t="s">
        <v>64</v>
      </c>
      <c r="O3519" s="11"/>
      <c r="P3519" s="28"/>
      <c r="Q3519" s="28" t="n">
        <f aca="false">P3519*$M3519</f>
        <v>0</v>
      </c>
      <c r="R3519" s="28"/>
      <c r="S3519" s="28" t="n">
        <f aca="false">R3519*$M3519</f>
        <v>0</v>
      </c>
      <c r="T3519" s="28"/>
      <c r="U3519" s="28" t="n">
        <f aca="false">T3519*$M3519</f>
        <v>0</v>
      </c>
      <c r="V3519" s="28"/>
      <c r="W3519" s="28" t="n">
        <f aca="false">V3519*$M3519</f>
        <v>0</v>
      </c>
      <c r="X3519" s="29"/>
      <c r="Y3519" s="28" t="n">
        <f aca="false">X3519*$M3519</f>
        <v>0</v>
      </c>
      <c r="Z3519" s="28"/>
      <c r="AA3519" s="28" t="n">
        <f aca="false">Z3519*$M3519</f>
        <v>0</v>
      </c>
      <c r="AB3519" s="28"/>
      <c r="AC3519" s="28" t="n">
        <f aca="false">AB3519*$M3519</f>
        <v>0</v>
      </c>
      <c r="AD3519" s="28"/>
      <c r="AE3519" s="28" t="n">
        <f aca="false">AD3519*$M3519</f>
        <v>0</v>
      </c>
      <c r="AF3519" s="28"/>
      <c r="AG3519" s="28" t="n">
        <f aca="false">AF3519*$M3519</f>
        <v>0</v>
      </c>
      <c r="AH3519" s="28"/>
      <c r="AI3519" s="28" t="n">
        <f aca="false">AH3519*$M3519</f>
        <v>0</v>
      </c>
      <c r="AJ3519" s="28" t="n">
        <f aca="false">119*288*0.02+88*0.02</f>
        <v>687.2</v>
      </c>
      <c r="AK3519" s="28" t="n">
        <v>10308</v>
      </c>
      <c r="AL3519" s="28"/>
      <c r="AM3519" s="28" t="n">
        <f aca="false">AL3519*$M3519</f>
        <v>0</v>
      </c>
      <c r="AN3519" s="28"/>
      <c r="AO3519" s="28" t="n">
        <f aca="false">AN3519*$M3519</f>
        <v>0</v>
      </c>
      <c r="AP3519" s="28"/>
      <c r="AQ3519" s="28" t="n">
        <f aca="false">AP3519*$M3519</f>
        <v>0</v>
      </c>
      <c r="AR3519" s="28"/>
      <c r="AS3519" s="28" t="n">
        <f aca="false">AR3519*$M3519</f>
        <v>0</v>
      </c>
      <c r="AT3519" s="28"/>
      <c r="AU3519" s="28" t="n">
        <f aca="false">AT3519*$M3519</f>
        <v>0</v>
      </c>
      <c r="AV3519" s="28"/>
      <c r="AW3519" s="28" t="n">
        <f aca="false">AV3519*$M3519</f>
        <v>0</v>
      </c>
      <c r="AX3519" s="28"/>
      <c r="AY3519" s="28" t="n">
        <f aca="false">AX3519*$M3519</f>
        <v>0</v>
      </c>
      <c r="AZ3519" s="30" t="n">
        <f aca="false">119*288*0.02+88*0.02</f>
        <v>687.2</v>
      </c>
      <c r="BA3519" s="11" t="n">
        <v>10308</v>
      </c>
      <c r="BB3519" s="31" t="n">
        <f aca="false">SUM(Q3519,S3519,U3519,W3519,Y3519,AA3519,AC3519,AE3519,AG3519,AI3519,AK3519,AM3519,AO3519,AQ3519,AS3519,AU3519,AW3519,AY3519)</f>
        <v>10308</v>
      </c>
      <c r="BC3519" s="28" t="n">
        <f aca="false">BA3519-BB3519</f>
        <v>0</v>
      </c>
      <c r="BD3519" s="32" t="n">
        <f aca="false">SUM(P3519,R3519,T3519,V3519,X3519,Z3519,AB3519,AD3519,AF3519,AH3519,AJ3519,AL3519,AN3519,AP3519,AR3519,AT3519,AV3519,AX3519)</f>
        <v>687.2</v>
      </c>
      <c r="BE3519" s="33" t="n">
        <f aca="false">AZ3519-BD3519</f>
        <v>0</v>
      </c>
      <c r="BF3519" s="34" t="n">
        <f aca="false">BD3519*M3519</f>
        <v>10308</v>
      </c>
      <c r="BG3519" s="35" t="n">
        <f aca="false">BA3519-BF3519</f>
        <v>0</v>
      </c>
      <c r="BH3519" s="19" t="str">
        <f aca="false">IF(BG3519=0,"",IF(BG3519&lt;&gt;BA3519,"erreur de calcul",IF(BD3519&lt;&gt;0,"pas de prix",IF(M3519&lt;&gt; 0,"pas de quantité","pas de prix, ni de quantité"))))</f>
        <v/>
      </c>
      <c r="BI3519" s="19"/>
    </row>
    <row r="3520" customFormat="false" ht="15" hidden="false" customHeight="false" outlineLevel="0" collapsed="false">
      <c r="A3520" s="0" t="n">
        <v>8</v>
      </c>
      <c r="B3520" s="8" t="s">
        <v>24</v>
      </c>
      <c r="C3520" s="9" t="s">
        <v>25</v>
      </c>
      <c r="D3520" s="9" t="s">
        <v>26</v>
      </c>
      <c r="E3520" s="10" t="n">
        <v>1789</v>
      </c>
      <c r="F3520" s="9" t="s">
        <v>27</v>
      </c>
      <c r="G3520" s="9" t="s">
        <v>27</v>
      </c>
      <c r="H3520" s="11" t="n">
        <v>18</v>
      </c>
      <c r="I3520" s="11" t="s">
        <v>73</v>
      </c>
      <c r="J3520" s="14"/>
      <c r="K3520" s="14"/>
      <c r="L3520" s="16"/>
      <c r="M3520" s="27" t="n">
        <f aca="false">J3520+(K3520/20)+(L3520/240)</f>
        <v>0</v>
      </c>
      <c r="N3520" s="17"/>
      <c r="O3520" s="11"/>
      <c r="P3520" s="28"/>
      <c r="Q3520" s="28" t="n">
        <f aca="false">P3520*$M3520</f>
        <v>0</v>
      </c>
      <c r="R3520" s="28"/>
      <c r="S3520" s="28" t="n">
        <f aca="false">R3520*$M3520</f>
        <v>0</v>
      </c>
      <c r="T3520" s="28"/>
      <c r="U3520" s="28" t="n">
        <v>3356</v>
      </c>
      <c r="V3520" s="28"/>
      <c r="W3520" s="28" t="n">
        <v>1444</v>
      </c>
      <c r="X3520" s="29"/>
      <c r="Y3520" s="28" t="n">
        <f aca="false">X3520*$M3520</f>
        <v>0</v>
      </c>
      <c r="Z3520" s="28"/>
      <c r="AA3520" s="28" t="n">
        <f aca="false">Z3520*$M3520</f>
        <v>0</v>
      </c>
      <c r="AB3520" s="28"/>
      <c r="AC3520" s="28" t="n">
        <f aca="false">AB3520*$M3520</f>
        <v>0</v>
      </c>
      <c r="AD3520" s="28"/>
      <c r="AE3520" s="28" t="n">
        <f aca="false">AD3520*$M3520</f>
        <v>0</v>
      </c>
      <c r="AF3520" s="28"/>
      <c r="AG3520" s="28" t="n">
        <f aca="false">AF3520*$M3520</f>
        <v>0</v>
      </c>
      <c r="AH3520" s="28"/>
      <c r="AI3520" s="28" t="n">
        <f aca="false">AH3520*$M3520</f>
        <v>0</v>
      </c>
      <c r="AJ3520" s="28"/>
      <c r="AK3520" s="28" t="n">
        <f aca="false">AJ3520*$M3520</f>
        <v>0</v>
      </c>
      <c r="AL3520" s="28"/>
      <c r="AM3520" s="28" t="n">
        <f aca="false">AL3520*$M3520</f>
        <v>0</v>
      </c>
      <c r="AN3520" s="28"/>
      <c r="AO3520" s="28" t="n">
        <f aca="false">AN3520*$M3520</f>
        <v>0</v>
      </c>
      <c r="AP3520" s="28"/>
      <c r="AQ3520" s="28" t="n">
        <f aca="false">AP3520*$M3520</f>
        <v>0</v>
      </c>
      <c r="AR3520" s="28"/>
      <c r="AS3520" s="28" t="n">
        <f aca="false">AR3520*$M3520</f>
        <v>0</v>
      </c>
      <c r="AT3520" s="28"/>
      <c r="AU3520" s="28" t="n">
        <f aca="false">AT3520*$M3520</f>
        <v>0</v>
      </c>
      <c r="AV3520" s="28"/>
      <c r="AW3520" s="28" t="n">
        <f aca="false">AV3520*$M3520</f>
        <v>0</v>
      </c>
      <c r="AX3520" s="28"/>
      <c r="AY3520" s="28" t="n">
        <f aca="false">AX3520*$M3520</f>
        <v>0</v>
      </c>
      <c r="AZ3520" s="30"/>
      <c r="BA3520" s="11" t="n">
        <v>4800</v>
      </c>
      <c r="BB3520" s="31" t="n">
        <f aca="false">SUM(Q3520,S3520,U3520,W3520,Y3520,AA3520,AC3520,AE3520,AG3520,AI3520,AK3520,AM3520,AO3520,AQ3520,AS3520,AU3520,AW3520,AY3520)</f>
        <v>4800</v>
      </c>
      <c r="BC3520" s="28" t="n">
        <f aca="false">BA3520-BB3520</f>
        <v>0</v>
      </c>
      <c r="BD3520" s="32" t="n">
        <f aca="false">SUM(P3520,R3520,T3520,V3520,X3520,Z3520,AB3520,AD3520,AF3520,AH3520,AJ3520,AL3520,AN3520,AP3520,AR3520,AT3520,AV3520,AX3520)</f>
        <v>0</v>
      </c>
      <c r="BE3520" s="33" t="n">
        <f aca="false">AZ3520-BD3520</f>
        <v>0</v>
      </c>
      <c r="BF3520" s="34" t="n">
        <f aca="false">BD3520*M3520</f>
        <v>0</v>
      </c>
      <c r="BG3520" s="35" t="n">
        <f aca="false">BA3520-BF3520</f>
        <v>4800</v>
      </c>
      <c r="BH3520" s="19" t="str">
        <f aca="false">IF(BG3520=0,"",IF(BG3520&lt;&gt;BA3520,"erreur de calcul",IF(BD3520&lt;&gt;0,"pas de prix",IF(M3520&lt;&gt; 0,"pas de quantité","pas de prix, ni de quantité"))))</f>
        <v>pas de prix, ni de quantité</v>
      </c>
      <c r="BI3520" s="19"/>
    </row>
    <row r="3521" customFormat="false" ht="15" hidden="false" customHeight="false" outlineLevel="0" collapsed="false">
      <c r="A3521" s="0" t="n">
        <v>9</v>
      </c>
      <c r="B3521" s="8" t="s">
        <v>24</v>
      </c>
      <c r="C3521" s="9" t="s">
        <v>25</v>
      </c>
      <c r="D3521" s="9" t="s">
        <v>26</v>
      </c>
      <c r="E3521" s="10" t="n">
        <v>1789</v>
      </c>
      <c r="F3521" s="9" t="s">
        <v>27</v>
      </c>
      <c r="G3521" s="9" t="s">
        <v>27</v>
      </c>
      <c r="H3521" s="11" t="n">
        <v>18</v>
      </c>
      <c r="I3521" s="11" t="s">
        <v>74</v>
      </c>
      <c r="J3521" s="14"/>
      <c r="K3521" s="14"/>
      <c r="L3521" s="16"/>
      <c r="M3521" s="27" t="n">
        <f aca="false">J3521+(K3521/20)+(L3521/240)</f>
        <v>0</v>
      </c>
      <c r="N3521" s="17" t="s">
        <v>66</v>
      </c>
      <c r="O3521" s="11"/>
      <c r="P3521" s="28"/>
      <c r="Q3521" s="28" t="n">
        <f aca="false">P3521*$M3521</f>
        <v>0</v>
      </c>
      <c r="R3521" s="28"/>
      <c r="S3521" s="28" t="n">
        <f aca="false">R3521*$M3521</f>
        <v>0</v>
      </c>
      <c r="T3521" s="28"/>
      <c r="U3521" s="28" t="n">
        <f aca="false">T3521*$M3521</f>
        <v>0</v>
      </c>
      <c r="V3521" s="28"/>
      <c r="W3521" s="28" t="n">
        <f aca="false">V3521*$M3521</f>
        <v>0</v>
      </c>
      <c r="X3521" s="29"/>
      <c r="Y3521" s="28"/>
      <c r="Z3521" s="28"/>
      <c r="AA3521" s="28" t="n">
        <f aca="false">Z3521*$M3521</f>
        <v>0</v>
      </c>
      <c r="AB3521" s="28"/>
      <c r="AC3521" s="28" t="n">
        <f aca="false">AB3521*$M3521</f>
        <v>0</v>
      </c>
      <c r="AD3521" s="28"/>
      <c r="AE3521" s="28" t="n">
        <f aca="false">AD3521*$M3521</f>
        <v>0</v>
      </c>
      <c r="AF3521" s="28"/>
      <c r="AG3521" s="28" t="n">
        <f aca="false">AF3521*$M3521</f>
        <v>0</v>
      </c>
      <c r="AH3521" s="28" t="n">
        <v>45346</v>
      </c>
      <c r="AI3521" s="28" t="n">
        <v>3174</v>
      </c>
      <c r="AJ3521" s="28"/>
      <c r="AK3521" s="28" t="n">
        <f aca="false">AJ3521*$M3521</f>
        <v>0</v>
      </c>
      <c r="AL3521" s="28"/>
      <c r="AM3521" s="28" t="n">
        <f aca="false">AL3521*$M3521</f>
        <v>0</v>
      </c>
      <c r="AN3521" s="28"/>
      <c r="AO3521" s="28" t="n">
        <f aca="false">AN3521*$M3521</f>
        <v>0</v>
      </c>
      <c r="AP3521" s="28"/>
      <c r="AQ3521" s="28" t="n">
        <f aca="false">AP3521*$M3521</f>
        <v>0</v>
      </c>
      <c r="AR3521" s="28"/>
      <c r="AS3521" s="28" t="n">
        <f aca="false">AR3521*$M3521</f>
        <v>0</v>
      </c>
      <c r="AT3521" s="28"/>
      <c r="AU3521" s="28" t="n">
        <f aca="false">AT3521*$M3521</f>
        <v>0</v>
      </c>
      <c r="AV3521" s="28"/>
      <c r="AW3521" s="28" t="n">
        <f aca="false">AV3521*$M3521</f>
        <v>0</v>
      </c>
      <c r="AX3521" s="28"/>
      <c r="AY3521" s="28" t="n">
        <f aca="false">AX3521*$M3521</f>
        <v>0</v>
      </c>
      <c r="AZ3521" s="30" t="n">
        <v>45346</v>
      </c>
      <c r="BA3521" s="11" t="n">
        <v>3174</v>
      </c>
      <c r="BB3521" s="31" t="n">
        <f aca="false">SUM(Q3521,S3521,U3521,W3521,Y3521,AA3521,AC3521,AE3521,AG3521,AI3521,AK3521,AM3521,AO3521,AQ3521,AS3521,AU3521,AW3521,AY3521)</f>
        <v>3174</v>
      </c>
      <c r="BC3521" s="28" t="n">
        <f aca="false">BA3521-BB3521</f>
        <v>0</v>
      </c>
      <c r="BD3521" s="32" t="n">
        <f aca="false">SUM(P3521,R3521,T3521,V3521,X3521,Z3521,AB3521,AD3521,AF3521,AH3521,AJ3521,AL3521,AN3521,AP3521,AR3521,AT3521,AV3521,AX3521)</f>
        <v>45346</v>
      </c>
      <c r="BE3521" s="33" t="n">
        <f aca="false">AZ3521-BD3521</f>
        <v>0</v>
      </c>
      <c r="BF3521" s="34" t="n">
        <f aca="false">BD3521*M3521</f>
        <v>0</v>
      </c>
      <c r="BG3521" s="35" t="n">
        <f aca="false">BA3521-BF3521</f>
        <v>3174</v>
      </c>
      <c r="BH3521" s="19" t="str">
        <f aca="false">IF(BG3521=0,"",IF(BG3521&lt;&gt;BA3521,"erreur de calcul",IF(BD3521&lt;&gt;0,"pas de prix",IF(M3521&lt;&gt; 0,"pas de quantité","pas de prix, ni de quantité"))))</f>
        <v>pas de prix</v>
      </c>
      <c r="BI3521" s="19" t="s">
        <v>75</v>
      </c>
    </row>
    <row r="3522" customFormat="false" ht="15" hidden="false" customHeight="false" outlineLevel="0" collapsed="false">
      <c r="A3522" s="0" t="n">
        <v>10</v>
      </c>
      <c r="B3522" s="8" t="s">
        <v>24</v>
      </c>
      <c r="C3522" s="9" t="s">
        <v>25</v>
      </c>
      <c r="D3522" s="9" t="s">
        <v>26</v>
      </c>
      <c r="E3522" s="10" t="n">
        <v>1789</v>
      </c>
      <c r="F3522" s="9" t="s">
        <v>27</v>
      </c>
      <c r="G3522" s="9" t="s">
        <v>27</v>
      </c>
      <c r="H3522" s="11" t="n">
        <v>18</v>
      </c>
      <c r="I3522" s="11" t="s">
        <v>76</v>
      </c>
      <c r="J3522" s="14"/>
      <c r="K3522" s="14" t="n">
        <v>20</v>
      </c>
      <c r="L3522" s="16"/>
      <c r="M3522" s="27" t="n">
        <f aca="false">J3522+(K3522/20)+(L3522/240)</f>
        <v>1</v>
      </c>
      <c r="N3522" s="17" t="s">
        <v>64</v>
      </c>
      <c r="O3522" s="11" t="s">
        <v>77</v>
      </c>
      <c r="P3522" s="28" t="n">
        <f aca="false">66667/100</f>
        <v>666.67</v>
      </c>
      <c r="Q3522" s="28" t="n">
        <v>667</v>
      </c>
      <c r="R3522" s="28"/>
      <c r="S3522" s="28" t="n">
        <f aca="false">R3522*$M3522</f>
        <v>0</v>
      </c>
      <c r="T3522" s="28"/>
      <c r="U3522" s="28" t="n">
        <f aca="false">T3522*$M3522</f>
        <v>0</v>
      </c>
      <c r="V3522" s="28" t="n">
        <f aca="false">281532/100</f>
        <v>2815.32</v>
      </c>
      <c r="W3522" s="28" t="n">
        <v>2815</v>
      </c>
      <c r="X3522" s="29" t="n">
        <f aca="false">366667/100</f>
        <v>3666.67</v>
      </c>
      <c r="Y3522" s="28" t="n">
        <v>3666</v>
      </c>
      <c r="Z3522" s="28" t="n">
        <f aca="false">33334/100</f>
        <v>333.34</v>
      </c>
      <c r="AA3522" s="28" t="n">
        <v>333</v>
      </c>
      <c r="AB3522" s="28"/>
      <c r="AC3522" s="28" t="n">
        <f aca="false">AB3522*$M3522</f>
        <v>0</v>
      </c>
      <c r="AD3522" s="28"/>
      <c r="AE3522" s="28" t="n">
        <f aca="false">AD3522*$M3522</f>
        <v>0</v>
      </c>
      <c r="AF3522" s="28"/>
      <c r="AG3522" s="28" t="n">
        <f aca="false">AF3522*$M3522</f>
        <v>0</v>
      </c>
      <c r="AH3522" s="28"/>
      <c r="AI3522" s="28" t="n">
        <f aca="false">AH3522*$M3522</f>
        <v>0</v>
      </c>
      <c r="AJ3522" s="28"/>
      <c r="AK3522" s="28" t="n">
        <f aca="false">AJ3522*$M3522</f>
        <v>0</v>
      </c>
      <c r="AL3522" s="28"/>
      <c r="AM3522" s="28" t="n">
        <f aca="false">AL3522*$M3522</f>
        <v>0</v>
      </c>
      <c r="AN3522" s="28"/>
      <c r="AO3522" s="28" t="n">
        <f aca="false">AN3522*$M3522</f>
        <v>0</v>
      </c>
      <c r="AP3522" s="28"/>
      <c r="AQ3522" s="28" t="n">
        <f aca="false">AP3522*$M3522</f>
        <v>0</v>
      </c>
      <c r="AR3522" s="28"/>
      <c r="AS3522" s="28" t="n">
        <f aca="false">AR3522*$M3522</f>
        <v>0</v>
      </c>
      <c r="AT3522" s="28"/>
      <c r="AU3522" s="28" t="n">
        <f aca="false">AT3522*$M3522</f>
        <v>0</v>
      </c>
      <c r="AV3522" s="28"/>
      <c r="AW3522" s="28" t="n">
        <f aca="false">AV3522*$M3522</f>
        <v>0</v>
      </c>
      <c r="AX3522" s="28"/>
      <c r="AY3522" s="28" t="n">
        <f aca="false">AX3522*$M3522</f>
        <v>0</v>
      </c>
      <c r="AZ3522" s="30" t="n">
        <f aca="false">748200/100</f>
        <v>7482</v>
      </c>
      <c r="BA3522" s="11" t="n">
        <v>7481</v>
      </c>
      <c r="BB3522" s="31" t="n">
        <f aca="false">SUM(Q3522,S3522,U3522,W3522,Y3522,AA3522,AC3522,AE3522,AG3522,AI3522,AK3522,AM3522,AO3522,AQ3522,AS3522,AU3522,AW3522,AY3522)</f>
        <v>7481</v>
      </c>
      <c r="BC3522" s="28" t="n">
        <f aca="false">BA3522-BB3522</f>
        <v>0</v>
      </c>
      <c r="BD3522" s="32" t="n">
        <f aca="false">SUM(P3522,R3522,T3522,V3522,X3522,Z3522,AB3522,AD3522,AF3522,AH3522,AJ3522,AL3522,AN3522,AP3522,AR3522,AT3522,AV3522,AX3522)</f>
        <v>7482</v>
      </c>
      <c r="BE3522" s="33" t="n">
        <f aca="false">AZ3522-BD3522</f>
        <v>0</v>
      </c>
      <c r="BF3522" s="34" t="n">
        <f aca="false">BD3522*M3522</f>
        <v>7482</v>
      </c>
      <c r="BG3522" s="35" t="n">
        <f aca="false">BA3522-BF3522</f>
        <v>-1</v>
      </c>
      <c r="BH3522" s="19" t="str">
        <f aca="false">IF(BG3522=0,"",IF(BG3522&lt;&gt;BA3522,"erreur de calcul",IF(BD3522&lt;&gt;0,"pas de prix",IF(M3522&lt;&gt; 0,"pas de quantité","pas de prix, ni de quantité"))))</f>
        <v>erreur de calcul</v>
      </c>
      <c r="BI3522" s="19"/>
    </row>
    <row r="3523" customFormat="false" ht="15" hidden="false" customHeight="false" outlineLevel="0" collapsed="false">
      <c r="A3523" s="0" t="n">
        <v>11</v>
      </c>
      <c r="B3523" s="8" t="s">
        <v>24</v>
      </c>
      <c r="C3523" s="9" t="s">
        <v>25</v>
      </c>
      <c r="D3523" s="9" t="s">
        <v>26</v>
      </c>
      <c r="E3523" s="10" t="n">
        <v>1789</v>
      </c>
      <c r="F3523" s="9" t="s">
        <v>27</v>
      </c>
      <c r="G3523" s="9" t="s">
        <v>27</v>
      </c>
      <c r="H3523" s="11" t="n">
        <v>18</v>
      </c>
      <c r="I3523" s="11" t="s">
        <v>78</v>
      </c>
      <c r="J3523" s="14"/>
      <c r="K3523" s="14" t="n">
        <v>50</v>
      </c>
      <c r="L3523" s="16"/>
      <c r="M3523" s="27" t="n">
        <f aca="false">J3523+(K3523/20)+(L3523/240)</f>
        <v>2.5</v>
      </c>
      <c r="N3523" s="17" t="s">
        <v>79</v>
      </c>
      <c r="O3523" s="11"/>
      <c r="P3523" s="28"/>
      <c r="Q3523" s="28" t="n">
        <f aca="false">P3523*$M3523</f>
        <v>0</v>
      </c>
      <c r="R3523" s="28"/>
      <c r="S3523" s="28" t="n">
        <f aca="false">R3523*$M3523</f>
        <v>0</v>
      </c>
      <c r="T3523" s="28"/>
      <c r="U3523" s="28" t="n">
        <f aca="false">T3523*$M3523</f>
        <v>0</v>
      </c>
      <c r="V3523" s="28" t="n">
        <v>61807</v>
      </c>
      <c r="W3523" s="28" t="n">
        <v>154517</v>
      </c>
      <c r="X3523" s="29"/>
      <c r="Y3523" s="28" t="n">
        <f aca="false">X3523*$M3523</f>
        <v>0</v>
      </c>
      <c r="Z3523" s="28"/>
      <c r="AA3523" s="28" t="n">
        <f aca="false">Z3523*$M3523</f>
        <v>0</v>
      </c>
      <c r="AB3523" s="28" t="n">
        <v>43640</v>
      </c>
      <c r="AC3523" s="28" t="n">
        <v>109100</v>
      </c>
      <c r="AD3523" s="28"/>
      <c r="AE3523" s="28" t="n">
        <f aca="false">AD3523*$M3523</f>
        <v>0</v>
      </c>
      <c r="AF3523" s="28"/>
      <c r="AG3523" s="28" t="n">
        <f aca="false">AF3523*$M3523</f>
        <v>0</v>
      </c>
      <c r="AH3523" s="28"/>
      <c r="AI3523" s="28" t="n">
        <f aca="false">AH3523*$M3523</f>
        <v>0</v>
      </c>
      <c r="AJ3523" s="28"/>
      <c r="AK3523" s="28" t="n">
        <f aca="false">AJ3523*$M3523</f>
        <v>0</v>
      </c>
      <c r="AL3523" s="28"/>
      <c r="AM3523" s="28" t="n">
        <f aca="false">AL3523*$M3523</f>
        <v>0</v>
      </c>
      <c r="AN3523" s="28"/>
      <c r="AO3523" s="28" t="n">
        <f aca="false">AN3523*$M3523</f>
        <v>0</v>
      </c>
      <c r="AP3523" s="28"/>
      <c r="AQ3523" s="28" t="n">
        <f aca="false">AP3523*$M3523</f>
        <v>0</v>
      </c>
      <c r="AR3523" s="28"/>
      <c r="AS3523" s="28" t="n">
        <f aca="false">AR3523*$M3523</f>
        <v>0</v>
      </c>
      <c r="AT3523" s="28"/>
      <c r="AU3523" s="28" t="n">
        <f aca="false">AT3523*$M3523</f>
        <v>0</v>
      </c>
      <c r="AV3523" s="28"/>
      <c r="AW3523" s="28" t="n">
        <f aca="false">AV3523*$M3523</f>
        <v>0</v>
      </c>
      <c r="AX3523" s="28"/>
      <c r="AY3523" s="28" t="n">
        <f aca="false">AX3523*$M3523</f>
        <v>0</v>
      </c>
      <c r="AZ3523" s="30" t="n">
        <v>105447</v>
      </c>
      <c r="BA3523" s="11" t="n">
        <v>263617</v>
      </c>
      <c r="BB3523" s="31" t="n">
        <f aca="false">SUM(Q3523,S3523,U3523,W3523,Y3523,AA3523,AC3523,AE3523,AG3523,AI3523,AK3523,AM3523,AO3523,AQ3523,AS3523,AU3523,AW3523,AY3523)</f>
        <v>263617</v>
      </c>
      <c r="BC3523" s="28" t="n">
        <f aca="false">BA3523-BB3523</f>
        <v>0</v>
      </c>
      <c r="BD3523" s="32" t="n">
        <f aca="false">SUM(P3523,R3523,T3523,V3523,X3523,Z3523,AB3523,AD3523,AF3523,AH3523,AJ3523,AL3523,AN3523,AP3523,AR3523,AT3523,AV3523,AX3523)</f>
        <v>105447</v>
      </c>
      <c r="BE3523" s="33" t="n">
        <f aca="false">AZ3523-BD3523</f>
        <v>0</v>
      </c>
      <c r="BF3523" s="34" t="n">
        <f aca="false">BD3523*M3523</f>
        <v>263617.5</v>
      </c>
      <c r="BG3523" s="35" t="n">
        <f aca="false">BA3523-BF3523</f>
        <v>-0.5</v>
      </c>
      <c r="BH3523" s="19" t="str">
        <f aca="false">IF(BG3523=0,"",IF(BG3523&lt;&gt;BA3523,"erreur de calcul",IF(BD3523&lt;&gt;0,"pas de prix",IF(M3523&lt;&gt; 0,"pas de quantité","pas de prix, ni de quantité"))))</f>
        <v>erreur de calcul</v>
      </c>
      <c r="BI3523" s="19"/>
    </row>
    <row r="3524" customFormat="false" ht="15" hidden="false" customHeight="false" outlineLevel="0" collapsed="false">
      <c r="A3524" s="0" t="n">
        <v>12</v>
      </c>
      <c r="B3524" s="8" t="s">
        <v>24</v>
      </c>
      <c r="C3524" s="9" t="s">
        <v>25</v>
      </c>
      <c r="D3524" s="9" t="s">
        <v>26</v>
      </c>
      <c r="E3524" s="10" t="n">
        <v>1789</v>
      </c>
      <c r="F3524" s="9" t="s">
        <v>27</v>
      </c>
      <c r="G3524" s="9" t="s">
        <v>27</v>
      </c>
      <c r="H3524" s="11" t="n">
        <v>18</v>
      </c>
      <c r="I3524" s="11" t="s">
        <v>80</v>
      </c>
      <c r="J3524" s="14"/>
      <c r="K3524" s="14" t="n">
        <v>4</v>
      </c>
      <c r="L3524" s="16"/>
      <c r="M3524" s="27" t="n">
        <f aca="false">J3524+(K3524/20)+(L3524/240)</f>
        <v>0.2</v>
      </c>
      <c r="N3524" s="17" t="s">
        <v>81</v>
      </c>
      <c r="O3524" s="11"/>
      <c r="P3524" s="28"/>
      <c r="Q3524" s="28" t="n">
        <f aca="false">P3524*$M3524</f>
        <v>0</v>
      </c>
      <c r="R3524" s="28"/>
      <c r="S3524" s="28" t="n">
        <f aca="false">R3524*$M3524</f>
        <v>0</v>
      </c>
      <c r="T3524" s="28"/>
      <c r="U3524" s="28" t="n">
        <f aca="false">T3524*$M3524</f>
        <v>0</v>
      </c>
      <c r="V3524" s="28" t="n">
        <v>5800</v>
      </c>
      <c r="W3524" s="28" t="n">
        <v>1160</v>
      </c>
      <c r="X3524" s="29"/>
      <c r="Y3524" s="28" t="n">
        <v>1069</v>
      </c>
      <c r="Z3524" s="28"/>
      <c r="AA3524" s="28" t="n">
        <f aca="false">Z3524*$M3524</f>
        <v>0</v>
      </c>
      <c r="AB3524" s="28"/>
      <c r="AC3524" s="28" t="n">
        <f aca="false">AB3524*$M3524</f>
        <v>0</v>
      </c>
      <c r="AD3524" s="28"/>
      <c r="AE3524" s="28" t="n">
        <f aca="false">AD3524*$M3524</f>
        <v>0</v>
      </c>
      <c r="AF3524" s="28"/>
      <c r="AG3524" s="28" t="n">
        <f aca="false">AF3524*$M3524</f>
        <v>0</v>
      </c>
      <c r="AH3524" s="28"/>
      <c r="AI3524" s="28" t="n">
        <f aca="false">AH3524*$M3524</f>
        <v>0</v>
      </c>
      <c r="AJ3524" s="28"/>
      <c r="AK3524" s="28" t="n">
        <f aca="false">AJ3524*$M3524</f>
        <v>0</v>
      </c>
      <c r="AL3524" s="28"/>
      <c r="AM3524" s="28" t="n">
        <f aca="false">AL3524*$M3524</f>
        <v>0</v>
      </c>
      <c r="AN3524" s="28"/>
      <c r="AO3524" s="28" t="n">
        <f aca="false">AN3524*$M3524</f>
        <v>0</v>
      </c>
      <c r="AP3524" s="28"/>
      <c r="AQ3524" s="28" t="n">
        <f aca="false">AP3524*$M3524</f>
        <v>0</v>
      </c>
      <c r="AR3524" s="28"/>
      <c r="AS3524" s="28" t="n">
        <f aca="false">AR3524*$M3524</f>
        <v>0</v>
      </c>
      <c r="AT3524" s="28"/>
      <c r="AU3524" s="28" t="n">
        <f aca="false">AT3524*$M3524</f>
        <v>0</v>
      </c>
      <c r="AV3524" s="28"/>
      <c r="AW3524" s="28" t="n">
        <f aca="false">AV3524*$M3524</f>
        <v>0</v>
      </c>
      <c r="AX3524" s="28"/>
      <c r="AY3524" s="28" t="n">
        <f aca="false">AX3524*$M3524</f>
        <v>0</v>
      </c>
      <c r="AZ3524" s="30" t="n">
        <v>11144</v>
      </c>
      <c r="BA3524" s="11" t="n">
        <v>2229</v>
      </c>
      <c r="BB3524" s="31" t="n">
        <f aca="false">SUM(Q3524,S3524,U3524,W3524,Y3524,AA3524,AC3524,AE3524,AG3524,AI3524,AK3524,AM3524,AO3524,AQ3524,AS3524,AU3524,AW3524,AY3524)</f>
        <v>2229</v>
      </c>
      <c r="BC3524" s="28" t="n">
        <f aca="false">BA3524-BB3524</f>
        <v>0</v>
      </c>
      <c r="BD3524" s="32" t="n">
        <f aca="false">SUM(P3524,R3524,T3524,V3524,X3524,Z3524,AB3524,AD3524,AF3524,AH3524,AJ3524,AL3524,AN3524,AP3524,AR3524,AT3524,AV3524,AX3524)</f>
        <v>5800</v>
      </c>
      <c r="BE3524" s="33" t="n">
        <f aca="false">AZ3524-BD3524</f>
        <v>5344</v>
      </c>
      <c r="BF3524" s="34" t="n">
        <f aca="false">BD3524*M3524</f>
        <v>1160</v>
      </c>
      <c r="BG3524" s="35" t="n">
        <f aca="false">BA3524-BF3524</f>
        <v>1069</v>
      </c>
      <c r="BH3524" s="19" t="str">
        <f aca="false">IF(BG3524=0,"",IF(BG3524&lt;&gt;BA3524,"erreur de calcul",IF(BD3524&lt;&gt;0,"pas de prix",IF(M3524&lt;&gt; 0,"pas de quantité","pas de prix, ni de quantité"))))</f>
        <v>erreur de calcul</v>
      </c>
      <c r="BI3524" s="19"/>
    </row>
    <row r="3525" customFormat="false" ht="15" hidden="false" customHeight="false" outlineLevel="0" collapsed="false">
      <c r="A3525" s="0" t="n">
        <v>13</v>
      </c>
      <c r="B3525" s="8" t="s">
        <v>24</v>
      </c>
      <c r="C3525" s="9" t="s">
        <v>25</v>
      </c>
      <c r="D3525" s="9" t="s">
        <v>26</v>
      </c>
      <c r="E3525" s="10" t="n">
        <v>1789</v>
      </c>
      <c r="F3525" s="9" t="s">
        <v>27</v>
      </c>
      <c r="G3525" s="9" t="s">
        <v>27</v>
      </c>
      <c r="H3525" s="11" t="n">
        <v>18</v>
      </c>
      <c r="I3525" s="11" t="s">
        <v>82</v>
      </c>
      <c r="J3525" s="14" t="n">
        <v>17</v>
      </c>
      <c r="K3525" s="14"/>
      <c r="L3525" s="16"/>
      <c r="M3525" s="27" t="n">
        <f aca="false">J3525+(K3525/20)+(L3525/240)</f>
        <v>17</v>
      </c>
      <c r="N3525" s="17" t="s">
        <v>69</v>
      </c>
      <c r="O3525" s="11"/>
      <c r="P3525" s="28"/>
      <c r="Q3525" s="28" t="n">
        <f aca="false">P3525*$M3525</f>
        <v>0</v>
      </c>
      <c r="R3525" s="28"/>
      <c r="S3525" s="28" t="n">
        <f aca="false">R3525*$M3525</f>
        <v>0</v>
      </c>
      <c r="T3525" s="28"/>
      <c r="U3525" s="28" t="n">
        <f aca="false">T3525*$M3525</f>
        <v>0</v>
      </c>
      <c r="V3525" s="28" t="n">
        <v>600</v>
      </c>
      <c r="W3525" s="28" t="n">
        <v>10200</v>
      </c>
      <c r="X3525" s="29"/>
      <c r="Y3525" s="28" t="n">
        <f aca="false">X3525*$M3525</f>
        <v>0</v>
      </c>
      <c r="Z3525" s="28"/>
      <c r="AA3525" s="28" t="n">
        <f aca="false">Z3525*$M3525</f>
        <v>0</v>
      </c>
      <c r="AB3525" s="28"/>
      <c r="AC3525" s="28" t="n">
        <f aca="false">AB3525*$M3525</f>
        <v>0</v>
      </c>
      <c r="AD3525" s="28"/>
      <c r="AE3525" s="28" t="n">
        <f aca="false">AD3525*$M3525</f>
        <v>0</v>
      </c>
      <c r="AF3525" s="28"/>
      <c r="AG3525" s="28" t="n">
        <f aca="false">AF3525*$M3525</f>
        <v>0</v>
      </c>
      <c r="AH3525" s="28"/>
      <c r="AI3525" s="28" t="n">
        <f aca="false">AH3525*$M3525</f>
        <v>0</v>
      </c>
      <c r="AJ3525" s="28"/>
      <c r="AK3525" s="28" t="n">
        <f aca="false">AJ3525*$M3525</f>
        <v>0</v>
      </c>
      <c r="AL3525" s="28"/>
      <c r="AM3525" s="28" t="n">
        <f aca="false">AL3525*$M3525</f>
        <v>0</v>
      </c>
      <c r="AN3525" s="28"/>
      <c r="AO3525" s="28" t="n">
        <f aca="false">AN3525*$M3525</f>
        <v>0</v>
      </c>
      <c r="AP3525" s="28"/>
      <c r="AQ3525" s="28" t="n">
        <f aca="false">AP3525*$M3525</f>
        <v>0</v>
      </c>
      <c r="AR3525" s="28"/>
      <c r="AS3525" s="28" t="n">
        <f aca="false">AR3525*$M3525</f>
        <v>0</v>
      </c>
      <c r="AT3525" s="28"/>
      <c r="AU3525" s="28" t="n">
        <f aca="false">AT3525*$M3525</f>
        <v>0</v>
      </c>
      <c r="AV3525" s="28"/>
      <c r="AW3525" s="28" t="n">
        <f aca="false">AV3525*$M3525</f>
        <v>0</v>
      </c>
      <c r="AX3525" s="28"/>
      <c r="AY3525" s="28" t="n">
        <f aca="false">AX3525*$M3525</f>
        <v>0</v>
      </c>
      <c r="AZ3525" s="30" t="n">
        <v>600</v>
      </c>
      <c r="BA3525" s="11" t="n">
        <v>10200</v>
      </c>
      <c r="BB3525" s="31" t="n">
        <f aca="false">SUM(Q3525,S3525,U3525,W3525,Y3525,AA3525,AC3525,AE3525,AG3525,AI3525,AK3525,AM3525,AO3525,AQ3525,AS3525,AU3525,AW3525,AY3525)</f>
        <v>10200</v>
      </c>
      <c r="BC3525" s="28" t="n">
        <f aca="false">BA3525-BB3525</f>
        <v>0</v>
      </c>
      <c r="BD3525" s="32" t="n">
        <f aca="false">SUM(P3525,R3525,T3525,V3525,X3525,Z3525,AB3525,AD3525,AF3525,AH3525,AJ3525,AL3525,AN3525,AP3525,AR3525,AT3525,AV3525,AX3525)</f>
        <v>600</v>
      </c>
      <c r="BE3525" s="33" t="n">
        <f aca="false">AZ3525-BD3525</f>
        <v>0</v>
      </c>
      <c r="BF3525" s="34" t="n">
        <f aca="false">BD3525*M3525</f>
        <v>10200</v>
      </c>
      <c r="BG3525" s="35" t="n">
        <f aca="false">BA3525-BF3525</f>
        <v>0</v>
      </c>
      <c r="BH3525" s="19" t="str">
        <f aca="false">IF(BG3525=0,"",IF(BG3525&lt;&gt;BA3525,"erreur de calcul",IF(BD3525&lt;&gt;0,"pas de prix",IF(M3525&lt;&gt; 0,"pas de quantité","pas de prix, ni de quantité"))))</f>
        <v/>
      </c>
      <c r="BI3525" s="19"/>
    </row>
    <row r="3526" customFormat="false" ht="15" hidden="false" customHeight="false" outlineLevel="0" collapsed="false">
      <c r="A3526" s="0" t="n">
        <v>14</v>
      </c>
      <c r="B3526" s="8" t="s">
        <v>24</v>
      </c>
      <c r="C3526" s="9" t="s">
        <v>25</v>
      </c>
      <c r="D3526" s="9" t="s">
        <v>26</v>
      </c>
      <c r="E3526" s="10" t="n">
        <v>1789</v>
      </c>
      <c r="F3526" s="9" t="s">
        <v>27</v>
      </c>
      <c r="G3526" s="9" t="s">
        <v>27</v>
      </c>
      <c r="H3526" s="11" t="n">
        <v>18</v>
      </c>
      <c r="I3526" s="11" t="s">
        <v>83</v>
      </c>
      <c r="J3526" s="14" t="n">
        <v>20</v>
      </c>
      <c r="K3526" s="14"/>
      <c r="L3526" s="16"/>
      <c r="M3526" s="27" t="n">
        <f aca="false">J3526+(K3526/20)+(L3526/240)</f>
        <v>20</v>
      </c>
      <c r="N3526" s="17" t="s">
        <v>81</v>
      </c>
      <c r="O3526" s="11"/>
      <c r="P3526" s="28"/>
      <c r="Q3526" s="28" t="n">
        <f aca="false">P3526*$M3526</f>
        <v>0</v>
      </c>
      <c r="R3526" s="28"/>
      <c r="S3526" s="28" t="n">
        <f aca="false">R3526*$M3526</f>
        <v>0</v>
      </c>
      <c r="T3526" s="28"/>
      <c r="U3526" s="28" t="n">
        <f aca="false">T3526*$M3526</f>
        <v>0</v>
      </c>
      <c r="V3526" s="28"/>
      <c r="W3526" s="28" t="n">
        <f aca="false">V3526*$M3526</f>
        <v>0</v>
      </c>
      <c r="X3526" s="29"/>
      <c r="Y3526" s="28" t="n">
        <f aca="false">X3526*$M3526</f>
        <v>0</v>
      </c>
      <c r="Z3526" s="28" t="n">
        <v>460</v>
      </c>
      <c r="AA3526" s="28" t="n">
        <v>9200</v>
      </c>
      <c r="AB3526" s="28"/>
      <c r="AC3526" s="28" t="n">
        <f aca="false">AB3526*$M3526</f>
        <v>0</v>
      </c>
      <c r="AD3526" s="28"/>
      <c r="AE3526" s="28" t="n">
        <f aca="false">AD3526*$M3526</f>
        <v>0</v>
      </c>
      <c r="AF3526" s="28"/>
      <c r="AG3526" s="28" t="n">
        <f aca="false">AF3526*$M3526</f>
        <v>0</v>
      </c>
      <c r="AH3526" s="28"/>
      <c r="AI3526" s="28" t="n">
        <f aca="false">AH3526*$M3526</f>
        <v>0</v>
      </c>
      <c r="AJ3526" s="28"/>
      <c r="AK3526" s="28" t="n">
        <f aca="false">AJ3526*$M3526</f>
        <v>0</v>
      </c>
      <c r="AL3526" s="28"/>
      <c r="AM3526" s="28" t="n">
        <f aca="false">AL3526*$M3526</f>
        <v>0</v>
      </c>
      <c r="AN3526" s="28"/>
      <c r="AO3526" s="28" t="n">
        <f aca="false">AN3526*$M3526</f>
        <v>0</v>
      </c>
      <c r="AP3526" s="28"/>
      <c r="AQ3526" s="28" t="n">
        <f aca="false">AP3526*$M3526</f>
        <v>0</v>
      </c>
      <c r="AR3526" s="28"/>
      <c r="AS3526" s="28" t="n">
        <f aca="false">AR3526*$M3526</f>
        <v>0</v>
      </c>
      <c r="AT3526" s="28"/>
      <c r="AU3526" s="28" t="n">
        <f aca="false">AT3526*$M3526</f>
        <v>0</v>
      </c>
      <c r="AV3526" s="28"/>
      <c r="AW3526" s="28" t="n">
        <f aca="false">AV3526*$M3526</f>
        <v>0</v>
      </c>
      <c r="AX3526" s="28"/>
      <c r="AY3526" s="28" t="n">
        <f aca="false">AX3526*$M3526</f>
        <v>0</v>
      </c>
      <c r="AZ3526" s="30" t="n">
        <v>460</v>
      </c>
      <c r="BA3526" s="11" t="n">
        <v>9200</v>
      </c>
      <c r="BB3526" s="31" t="n">
        <f aca="false">SUM(Q3526,S3526,U3526,W3526,Y3526,AA3526,AC3526,AE3526,AG3526,AI3526,AK3526,AM3526,AO3526,AQ3526,AS3526,AU3526,AW3526,AY3526)</f>
        <v>9200</v>
      </c>
      <c r="BC3526" s="28" t="n">
        <f aca="false">BA3526-BB3526</f>
        <v>0</v>
      </c>
      <c r="BD3526" s="32" t="n">
        <f aca="false">SUM(P3526,R3526,T3526,V3526,X3526,Z3526,AB3526,AD3526,AF3526,AH3526,AJ3526,AL3526,AN3526,AP3526,AR3526,AT3526,AV3526,AX3526)</f>
        <v>460</v>
      </c>
      <c r="BE3526" s="33" t="n">
        <f aca="false">AZ3526-BD3526</f>
        <v>0</v>
      </c>
      <c r="BF3526" s="34" t="n">
        <f aca="false">BD3526*M3526</f>
        <v>9200</v>
      </c>
      <c r="BG3526" s="35" t="n">
        <f aca="false">BA3526-BF3526</f>
        <v>0</v>
      </c>
      <c r="BH3526" s="19" t="str">
        <f aca="false">IF(BG3526=0,"",IF(BG3526&lt;&gt;BA3526,"erreur de calcul",IF(BD3526&lt;&gt;0,"pas de prix",IF(M3526&lt;&gt; 0,"pas de quantité","pas de prix, ni de quantité"))))</f>
        <v/>
      </c>
      <c r="BI3526" s="19"/>
    </row>
    <row r="3527" customFormat="false" ht="15" hidden="false" customHeight="false" outlineLevel="0" collapsed="false">
      <c r="A3527" s="0" t="n">
        <v>15</v>
      </c>
      <c r="B3527" s="8" t="s">
        <v>24</v>
      </c>
      <c r="C3527" s="9" t="s">
        <v>25</v>
      </c>
      <c r="D3527" s="9" t="s">
        <v>26</v>
      </c>
      <c r="E3527" s="10" t="n">
        <v>1789</v>
      </c>
      <c r="F3527" s="9" t="s">
        <v>27</v>
      </c>
      <c r="G3527" s="9" t="s">
        <v>27</v>
      </c>
      <c r="H3527" s="11" t="n">
        <v>18</v>
      </c>
      <c r="I3527" s="11" t="s">
        <v>84</v>
      </c>
      <c r="J3527" s="14" t="n">
        <v>16</v>
      </c>
      <c r="K3527" s="14"/>
      <c r="L3527" s="16"/>
      <c r="M3527" s="27" t="n">
        <f aca="false">J3527+(K3527/20)+(L3527/240)</f>
        <v>16</v>
      </c>
      <c r="N3527" s="17" t="s">
        <v>85</v>
      </c>
      <c r="O3527" s="11"/>
      <c r="P3527" s="28"/>
      <c r="Q3527" s="28" t="n">
        <f aca="false">P3527*$M3527</f>
        <v>0</v>
      </c>
      <c r="R3527" s="28"/>
      <c r="S3527" s="28" t="n">
        <f aca="false">R3527*$M3527</f>
        <v>0</v>
      </c>
      <c r="T3527" s="28" t="n">
        <f aca="false">1600/100</f>
        <v>16</v>
      </c>
      <c r="U3527" s="28" t="n">
        <v>256</v>
      </c>
      <c r="V3527" s="28" t="n">
        <f aca="false">227136/100</f>
        <v>2271.36</v>
      </c>
      <c r="W3527" s="28" t="n">
        <v>36342</v>
      </c>
      <c r="X3527" s="29"/>
      <c r="Y3527" s="28" t="n">
        <v>304</v>
      </c>
      <c r="Z3527" s="28" t="n">
        <f aca="false">6850/100</f>
        <v>68.5</v>
      </c>
      <c r="AA3527" s="28" t="n">
        <v>1096</v>
      </c>
      <c r="AB3527" s="28" t="n">
        <f aca="false">204300/100</f>
        <v>2043</v>
      </c>
      <c r="AC3527" s="28" t="n">
        <v>32688</v>
      </c>
      <c r="AD3527" s="28" t="n">
        <f aca="false">9750/100</f>
        <v>97.5</v>
      </c>
      <c r="AE3527" s="28" t="n">
        <v>1560</v>
      </c>
      <c r="AF3527" s="28"/>
      <c r="AG3527" s="28" t="n">
        <f aca="false">AF3527*$M3527</f>
        <v>0</v>
      </c>
      <c r="AH3527" s="28"/>
      <c r="AI3527" s="28" t="n">
        <f aca="false">AH3527*$M3527</f>
        <v>0</v>
      </c>
      <c r="AJ3527" s="28" t="n">
        <f aca="false">1414/100</f>
        <v>14.14</v>
      </c>
      <c r="AK3527" s="28" t="n">
        <v>226</v>
      </c>
      <c r="AL3527" s="28" t="n">
        <f aca="false">29500/100</f>
        <v>295</v>
      </c>
      <c r="AM3527" s="28" t="n">
        <v>4720</v>
      </c>
      <c r="AN3527" s="28"/>
      <c r="AO3527" s="28" t="n">
        <f aca="false">AN3527*$M3527</f>
        <v>0</v>
      </c>
      <c r="AP3527" s="28" t="n">
        <f aca="false">1520/100</f>
        <v>15.2</v>
      </c>
      <c r="AQ3527" s="28" t="n">
        <v>243</v>
      </c>
      <c r="AR3527" s="28"/>
      <c r="AS3527" s="28" t="n">
        <f aca="false">AR3527*$M3527</f>
        <v>0</v>
      </c>
      <c r="AT3527" s="28" t="n">
        <f aca="false">2100/100</f>
        <v>21</v>
      </c>
      <c r="AU3527" s="28" t="n">
        <v>336</v>
      </c>
      <c r="AV3527" s="28" t="n">
        <f aca="false">1320/100</f>
        <v>13.2</v>
      </c>
      <c r="AW3527" s="28" t="n">
        <v>211</v>
      </c>
      <c r="AX3527" s="28" t="n">
        <f aca="false">177746/100</f>
        <v>1777.46</v>
      </c>
      <c r="AY3527" s="28" t="n">
        <v>28439</v>
      </c>
      <c r="AZ3527" s="30" t="n">
        <f aca="false">665136/100</f>
        <v>6651.36</v>
      </c>
      <c r="BA3527" s="11" t="n">
        <v>106421</v>
      </c>
      <c r="BB3527" s="31" t="n">
        <f aca="false">SUM(Q3527,S3527,U3527,W3527,Y3527,AA3527,AC3527,AE3527,AG3527,AI3527,AK3527,AM3527,AO3527,AQ3527,AS3527,AU3527,AW3527,AY3527)</f>
        <v>106421</v>
      </c>
      <c r="BC3527" s="28" t="n">
        <f aca="false">BA3527-BB3527</f>
        <v>0</v>
      </c>
      <c r="BD3527" s="32" t="n">
        <f aca="false">SUM(P3527,R3527,T3527,V3527,X3527,Z3527,AB3527,AD3527,AF3527,AH3527,AJ3527,AL3527,AN3527,AP3527,AR3527,AT3527,AV3527,AX3527)</f>
        <v>6632.36</v>
      </c>
      <c r="BE3527" s="33" t="n">
        <f aca="false">AZ3527-BD3527</f>
        <v>18.9999999999991</v>
      </c>
      <c r="BF3527" s="34" t="n">
        <f aca="false">BD3527*M3527</f>
        <v>106117.76</v>
      </c>
      <c r="BG3527" s="35" t="n">
        <f aca="false">BA3527-BF3527</f>
        <v>303.239999999991</v>
      </c>
      <c r="BH3527" s="19" t="str">
        <f aca="false">IF(BG3527=0,"",IF(BG3527&lt;&gt;BA3527,"erreur de calcul",IF(BD3527&lt;&gt;0,"pas de prix",IF(M3527&lt;&gt; 0,"pas de quantité","pas de prix, ni de quantité"))))</f>
        <v>erreur de calcul</v>
      </c>
      <c r="BI3527" s="19"/>
    </row>
    <row r="3528" customFormat="false" ht="15" hidden="false" customHeight="false" outlineLevel="0" collapsed="false">
      <c r="A3528" s="0" t="n">
        <v>16</v>
      </c>
      <c r="B3528" s="8" t="s">
        <v>24</v>
      </c>
      <c r="C3528" s="9" t="s">
        <v>25</v>
      </c>
      <c r="D3528" s="9" t="s">
        <v>26</v>
      </c>
      <c r="E3528" s="10" t="n">
        <v>1789</v>
      </c>
      <c r="F3528" s="9" t="s">
        <v>27</v>
      </c>
      <c r="G3528" s="9" t="s">
        <v>27</v>
      </c>
      <c r="H3528" s="11" t="n">
        <v>18</v>
      </c>
      <c r="I3528" s="11" t="s">
        <v>86</v>
      </c>
      <c r="J3528" s="14" t="n">
        <v>55</v>
      </c>
      <c r="K3528" s="14"/>
      <c r="L3528" s="16"/>
      <c r="M3528" s="27" t="n">
        <f aca="false">J3528+(K3528/20)+(L3528/240)</f>
        <v>55</v>
      </c>
      <c r="N3528" s="17" t="s">
        <v>81</v>
      </c>
      <c r="O3528" s="11"/>
      <c r="P3528" s="28"/>
      <c r="Q3528" s="28" t="n">
        <f aca="false">P3528*$M3528</f>
        <v>0</v>
      </c>
      <c r="R3528" s="28"/>
      <c r="S3528" s="28" t="n">
        <f aca="false">R3528*$M3528</f>
        <v>0</v>
      </c>
      <c r="T3528" s="28"/>
      <c r="U3528" s="28" t="n">
        <f aca="false">T3528*$M3528</f>
        <v>0</v>
      </c>
      <c r="V3528" s="28"/>
      <c r="W3528" s="28" t="n">
        <f aca="false">V3528*$M3528</f>
        <v>0</v>
      </c>
      <c r="X3528" s="29"/>
      <c r="Y3528" s="28" t="n">
        <f aca="false">X3528*$M3528</f>
        <v>0</v>
      </c>
      <c r="Z3528" s="28"/>
      <c r="AA3528" s="28" t="n">
        <f aca="false">Z3528*$M3528</f>
        <v>0</v>
      </c>
      <c r="AB3528" s="28"/>
      <c r="AC3528" s="28" t="n">
        <f aca="false">AB3528*$M3528</f>
        <v>0</v>
      </c>
      <c r="AD3528" s="28"/>
      <c r="AE3528" s="28" t="n">
        <f aca="false">AD3528*$M3528</f>
        <v>0</v>
      </c>
      <c r="AF3528" s="28"/>
      <c r="AG3528" s="28" t="n">
        <f aca="false">AF3528*$M3528</f>
        <v>0</v>
      </c>
      <c r="AH3528" s="28"/>
      <c r="AI3528" s="28" t="n">
        <f aca="false">AH3528*$M3528</f>
        <v>0</v>
      </c>
      <c r="AJ3528" s="28"/>
      <c r="AK3528" s="28" t="n">
        <f aca="false">AJ3528*$M3528</f>
        <v>0</v>
      </c>
      <c r="AL3528" s="28"/>
      <c r="AM3528" s="28" t="n">
        <f aca="false">AL3528*$M3528</f>
        <v>0</v>
      </c>
      <c r="AN3528" s="28"/>
      <c r="AO3528" s="28" t="n">
        <f aca="false">AN3528*$M3528</f>
        <v>0</v>
      </c>
      <c r="AP3528" s="28"/>
      <c r="AQ3528" s="28" t="n">
        <f aca="false">AP3528*$M3528</f>
        <v>0</v>
      </c>
      <c r="AR3528" s="28"/>
      <c r="AS3528" s="28" t="n">
        <f aca="false">AR3528*$M3528</f>
        <v>0</v>
      </c>
      <c r="AT3528" s="28" t="n">
        <v>319</v>
      </c>
      <c r="AU3528" s="28" t="n">
        <v>17545</v>
      </c>
      <c r="AV3528" s="28"/>
      <c r="AW3528" s="28" t="n">
        <f aca="false">AV3528*$M3528</f>
        <v>0</v>
      </c>
      <c r="AX3528" s="28"/>
      <c r="AY3528" s="28" t="n">
        <f aca="false">AX3528*$M3528</f>
        <v>0</v>
      </c>
      <c r="AZ3528" s="30" t="n">
        <v>319</v>
      </c>
      <c r="BA3528" s="11" t="n">
        <v>17545</v>
      </c>
      <c r="BB3528" s="31" t="n">
        <f aca="false">SUM(Q3528,S3528,U3528,W3528,Y3528,AA3528,AC3528,AE3528,AG3528,AI3528,AK3528,AM3528,AO3528,AQ3528,AS3528,AU3528,AW3528,AY3528)</f>
        <v>17545</v>
      </c>
      <c r="BC3528" s="28" t="n">
        <f aca="false">BA3528-BB3528</f>
        <v>0</v>
      </c>
      <c r="BD3528" s="32" t="n">
        <f aca="false">SUM(P3528,R3528,T3528,V3528,X3528,Z3528,AB3528,AD3528,AF3528,AH3528,AJ3528,AL3528,AN3528,AP3528,AR3528,AT3528,AV3528,AX3528)</f>
        <v>319</v>
      </c>
      <c r="BE3528" s="33" t="n">
        <f aca="false">AZ3528-BD3528</f>
        <v>0</v>
      </c>
      <c r="BF3528" s="34" t="n">
        <f aca="false">BD3528*M3528</f>
        <v>17545</v>
      </c>
      <c r="BG3528" s="35" t="n">
        <f aca="false">BA3528-BF3528</f>
        <v>0</v>
      </c>
      <c r="BH3528" s="19" t="str">
        <f aca="false">IF(BG3528=0,"",IF(BG3528&lt;&gt;BA3528,"erreur de calcul",IF(BD3528&lt;&gt;0,"pas de prix",IF(M3528&lt;&gt; 0,"pas de quantité","pas de prix, ni de quantité"))))</f>
        <v/>
      </c>
      <c r="BI3528" s="19"/>
    </row>
    <row r="3529" customFormat="false" ht="15" hidden="false" customHeight="false" outlineLevel="0" collapsed="false">
      <c r="A3529" s="0" t="n">
        <v>17</v>
      </c>
      <c r="B3529" s="8" t="s">
        <v>24</v>
      </c>
      <c r="C3529" s="9" t="s">
        <v>25</v>
      </c>
      <c r="D3529" s="9" t="s">
        <v>26</v>
      </c>
      <c r="E3529" s="10" t="n">
        <v>1789</v>
      </c>
      <c r="F3529" s="9" t="s">
        <v>27</v>
      </c>
      <c r="G3529" s="9" t="s">
        <v>27</v>
      </c>
      <c r="H3529" s="11" t="n">
        <v>18</v>
      </c>
      <c r="I3529" s="11" t="s">
        <v>87</v>
      </c>
      <c r="J3529" s="14" t="n">
        <v>6</v>
      </c>
      <c r="K3529" s="14"/>
      <c r="L3529" s="16"/>
      <c r="M3529" s="27" t="n">
        <f aca="false">J3529+(K3529/20)+(L3529/240)</f>
        <v>6</v>
      </c>
      <c r="N3529" s="17" t="s">
        <v>69</v>
      </c>
      <c r="O3529" s="11" t="s">
        <v>77</v>
      </c>
      <c r="P3529" s="28"/>
      <c r="Q3529" s="28" t="n">
        <f aca="false">P3529*$M3529</f>
        <v>0</v>
      </c>
      <c r="R3529" s="28" t="n">
        <v>63</v>
      </c>
      <c r="S3529" s="28" t="n">
        <v>378</v>
      </c>
      <c r="T3529" s="28" t="n">
        <v>2406</v>
      </c>
      <c r="U3529" s="28" t="n">
        <v>14436</v>
      </c>
      <c r="V3529" s="28" t="n">
        <v>222</v>
      </c>
      <c r="W3529" s="28" t="n">
        <v>1332</v>
      </c>
      <c r="X3529" s="29"/>
      <c r="Y3529" s="28" t="n">
        <f aca="false">X3529*$M3529</f>
        <v>0</v>
      </c>
      <c r="Z3529" s="28"/>
      <c r="AA3529" s="28" t="n">
        <f aca="false">Z3529*$M3529</f>
        <v>0</v>
      </c>
      <c r="AB3529" s="28"/>
      <c r="AC3529" s="28" t="n">
        <f aca="false">AB3529*$M3529</f>
        <v>0</v>
      </c>
      <c r="AD3529" s="28" t="n">
        <v>330</v>
      </c>
      <c r="AE3529" s="28" t="n">
        <v>1980</v>
      </c>
      <c r="AF3529" s="28"/>
      <c r="AG3529" s="28" t="n">
        <f aca="false">AF3529*$M3529</f>
        <v>0</v>
      </c>
      <c r="AH3529" s="28"/>
      <c r="AI3529" s="28" t="n">
        <f aca="false">AH3529*$M3529</f>
        <v>0</v>
      </c>
      <c r="AJ3529" s="28"/>
      <c r="AK3529" s="28" t="n">
        <f aca="false">AJ3529*$M3529</f>
        <v>0</v>
      </c>
      <c r="AL3529" s="28"/>
      <c r="AM3529" s="28" t="n">
        <f aca="false">AL3529*$M3529</f>
        <v>0</v>
      </c>
      <c r="AN3529" s="28"/>
      <c r="AO3529" s="28" t="n">
        <f aca="false">AN3529*$M3529</f>
        <v>0</v>
      </c>
      <c r="AP3529" s="28"/>
      <c r="AQ3529" s="28" t="n">
        <f aca="false">AP3529*$M3529</f>
        <v>0</v>
      </c>
      <c r="AR3529" s="28"/>
      <c r="AS3529" s="28" t="n">
        <f aca="false">AR3529*$M3529</f>
        <v>0</v>
      </c>
      <c r="AT3529" s="28"/>
      <c r="AU3529" s="28" t="n">
        <f aca="false">AT3529*$M3529</f>
        <v>0</v>
      </c>
      <c r="AV3529" s="28"/>
      <c r="AW3529" s="28" t="n">
        <f aca="false">AV3529*$M3529</f>
        <v>0</v>
      </c>
      <c r="AX3529" s="28"/>
      <c r="AY3529" s="28" t="n">
        <f aca="false">AX3529*$M3529</f>
        <v>0</v>
      </c>
      <c r="AZ3529" s="30" t="n">
        <v>3021</v>
      </c>
      <c r="BA3529" s="11" t="n">
        <v>18126</v>
      </c>
      <c r="BB3529" s="31" t="n">
        <f aca="false">SUM(Q3529,S3529,U3529,W3529,Y3529,AA3529,AC3529,AE3529,AG3529,AI3529,AK3529,AM3529,AO3529,AQ3529,AS3529,AU3529,AW3529,AY3529)</f>
        <v>18126</v>
      </c>
      <c r="BC3529" s="28" t="n">
        <f aca="false">BA3529-BB3529</f>
        <v>0</v>
      </c>
      <c r="BD3529" s="32" t="n">
        <f aca="false">SUM(P3529,R3529,T3529,V3529,X3529,Z3529,AB3529,AD3529,AF3529,AH3529,AJ3529,AL3529,AN3529,AP3529,AR3529,AT3529,AV3529,AX3529)</f>
        <v>3021</v>
      </c>
      <c r="BE3529" s="33" t="n">
        <f aca="false">AZ3529-BD3529</f>
        <v>0</v>
      </c>
      <c r="BF3529" s="34" t="n">
        <f aca="false">BD3529*M3529</f>
        <v>18126</v>
      </c>
      <c r="BG3529" s="35" t="n">
        <f aca="false">BA3529-BF3529</f>
        <v>0</v>
      </c>
      <c r="BH3529" s="19" t="str">
        <f aca="false">IF(BG3529=0,"",IF(BG3529&lt;&gt;BA3529,"erreur de calcul",IF(BD3529&lt;&gt;0,"pas de prix",IF(M3529&lt;&gt; 0,"pas de quantité","pas de prix, ni de quantité"))))</f>
        <v/>
      </c>
      <c r="BI3529" s="19"/>
    </row>
    <row r="3530" customFormat="false" ht="15" hidden="false" customHeight="false" outlineLevel="0" collapsed="false">
      <c r="A3530" s="0" t="n">
        <v>18</v>
      </c>
      <c r="B3530" s="8" t="s">
        <v>24</v>
      </c>
      <c r="C3530" s="9" t="s">
        <v>25</v>
      </c>
      <c r="D3530" s="9" t="s">
        <v>26</v>
      </c>
      <c r="E3530" s="10" t="n">
        <v>1789</v>
      </c>
      <c r="F3530" s="9" t="s">
        <v>27</v>
      </c>
      <c r="G3530" s="9" t="s">
        <v>27</v>
      </c>
      <c r="H3530" s="11" t="n">
        <v>18</v>
      </c>
      <c r="I3530" s="11" t="s">
        <v>88</v>
      </c>
      <c r="J3530" s="14" t="n">
        <v>26</v>
      </c>
      <c r="K3530" s="14"/>
      <c r="L3530" s="16"/>
      <c r="M3530" s="27" t="n">
        <f aca="false">J3530+(K3530/20)+(L3530/240)</f>
        <v>26</v>
      </c>
      <c r="N3530" s="17" t="s">
        <v>69</v>
      </c>
      <c r="O3530" s="11"/>
      <c r="P3530" s="28"/>
      <c r="Q3530" s="28" t="n">
        <f aca="false">P3530*$M3530</f>
        <v>0</v>
      </c>
      <c r="R3530" s="28"/>
      <c r="S3530" s="28" t="n">
        <f aca="false">R3530*$M3530</f>
        <v>0</v>
      </c>
      <c r="T3530" s="28"/>
      <c r="U3530" s="28" t="n">
        <f aca="false">T3530*$M3530</f>
        <v>0</v>
      </c>
      <c r="V3530" s="28"/>
      <c r="W3530" s="28" t="n">
        <f aca="false">V3530*$M3530</f>
        <v>0</v>
      </c>
      <c r="X3530" s="29"/>
      <c r="Y3530" s="28" t="n">
        <f aca="false">X3530*$M3530</f>
        <v>0</v>
      </c>
      <c r="Z3530" s="28"/>
      <c r="AA3530" s="28" t="n">
        <f aca="false">Z3530*$M3530</f>
        <v>0</v>
      </c>
      <c r="AB3530" s="28"/>
      <c r="AC3530" s="28" t="n">
        <f aca="false">AB3530*$M3530</f>
        <v>0</v>
      </c>
      <c r="AD3530" s="28"/>
      <c r="AE3530" s="28" t="n">
        <f aca="false">AD3530*$M3530</f>
        <v>0</v>
      </c>
      <c r="AF3530" s="28"/>
      <c r="AG3530" s="28" t="n">
        <f aca="false">AF3530*$M3530</f>
        <v>0</v>
      </c>
      <c r="AH3530" s="28"/>
      <c r="AI3530" s="28" t="n">
        <f aca="false">AH3530*$M3530</f>
        <v>0</v>
      </c>
      <c r="AJ3530" s="28"/>
      <c r="AK3530" s="28" t="n">
        <f aca="false">AJ3530*$M3530</f>
        <v>0</v>
      </c>
      <c r="AL3530" s="28" t="n">
        <v>150</v>
      </c>
      <c r="AM3530" s="28" t="n">
        <v>3900</v>
      </c>
      <c r="AN3530" s="28"/>
      <c r="AO3530" s="28" t="n">
        <f aca="false">AN3530*$M3530</f>
        <v>0</v>
      </c>
      <c r="AP3530" s="28" t="n">
        <v>4140</v>
      </c>
      <c r="AQ3530" s="28" t="n">
        <v>107640</v>
      </c>
      <c r="AR3530" s="28" t="n">
        <v>6957</v>
      </c>
      <c r="AS3530" s="28" t="n">
        <v>180882</v>
      </c>
      <c r="AT3530" s="28" t="n">
        <v>171</v>
      </c>
      <c r="AU3530" s="28" t="n">
        <v>4446</v>
      </c>
      <c r="AV3530" s="28" t="n">
        <v>838</v>
      </c>
      <c r="AW3530" s="28" t="n">
        <v>21788</v>
      </c>
      <c r="AX3530" s="28" t="n">
        <v>35</v>
      </c>
      <c r="AY3530" s="28" t="n">
        <v>910</v>
      </c>
      <c r="AZ3530" s="30" t="n">
        <v>12291</v>
      </c>
      <c r="BA3530" s="11" t="n">
        <v>319566</v>
      </c>
      <c r="BB3530" s="31" t="n">
        <f aca="false">SUM(Q3530,S3530,U3530,W3530,Y3530,AA3530,AC3530,AE3530,AG3530,AI3530,AK3530,AM3530,AO3530,AQ3530,AS3530,AU3530,AW3530,AY3530)</f>
        <v>319566</v>
      </c>
      <c r="BC3530" s="28" t="n">
        <f aca="false">BA3530-BB3530</f>
        <v>0</v>
      </c>
      <c r="BD3530" s="32" t="n">
        <f aca="false">SUM(P3530,R3530,T3530,V3530,X3530,Z3530,AB3530,AD3530,AF3530,AH3530,AJ3530,AL3530,AN3530,AP3530,AR3530,AT3530,AV3530,AX3530)</f>
        <v>12291</v>
      </c>
      <c r="BE3530" s="33" t="n">
        <f aca="false">AZ3530-BD3530</f>
        <v>0</v>
      </c>
      <c r="BF3530" s="34" t="n">
        <f aca="false">BD3530*M3530</f>
        <v>319566</v>
      </c>
      <c r="BG3530" s="35" t="n">
        <f aca="false">BA3530-BF3530</f>
        <v>0</v>
      </c>
      <c r="BH3530" s="19" t="str">
        <f aca="false">IF(BG3530=0,"",IF(BG3530&lt;&gt;BA3530,"erreur de calcul",IF(BD3530&lt;&gt;0,"pas de prix",IF(M3530&lt;&gt; 0,"pas de quantité","pas de prix, ni de quantité"))))</f>
        <v/>
      </c>
      <c r="BI3530" s="19"/>
    </row>
    <row r="3531" customFormat="false" ht="15" hidden="false" customHeight="false" outlineLevel="0" collapsed="false">
      <c r="A3531" s="0" t="n">
        <v>19</v>
      </c>
      <c r="B3531" s="8" t="s">
        <v>24</v>
      </c>
      <c r="C3531" s="9" t="s">
        <v>25</v>
      </c>
      <c r="D3531" s="9" t="s">
        <v>26</v>
      </c>
      <c r="E3531" s="10" t="n">
        <v>1789</v>
      </c>
      <c r="F3531" s="9" t="s">
        <v>27</v>
      </c>
      <c r="G3531" s="9" t="s">
        <v>27</v>
      </c>
      <c r="H3531" s="11" t="n">
        <v>18</v>
      </c>
      <c r="I3531" s="11" t="s">
        <v>89</v>
      </c>
      <c r="J3531" s="14" t="n">
        <v>7</v>
      </c>
      <c r="K3531" s="14"/>
      <c r="L3531" s="16"/>
      <c r="M3531" s="27" t="n">
        <f aca="false">J3531+(K3531/20)+(L3531/240)</f>
        <v>7</v>
      </c>
      <c r="N3531" s="17" t="s">
        <v>81</v>
      </c>
      <c r="O3531" s="11" t="s">
        <v>77</v>
      </c>
      <c r="P3531" s="28"/>
      <c r="Q3531" s="28" t="n">
        <f aca="false">P3531*$M3531</f>
        <v>0</v>
      </c>
      <c r="R3531" s="28"/>
      <c r="S3531" s="28" t="n">
        <f aca="false">R3531*$M3531</f>
        <v>0</v>
      </c>
      <c r="T3531" s="28"/>
      <c r="U3531" s="28" t="n">
        <f aca="false">T3531*$M3531</f>
        <v>0</v>
      </c>
      <c r="V3531" s="28"/>
      <c r="W3531" s="28" t="n">
        <f aca="false">V3531*$M3531</f>
        <v>0</v>
      </c>
      <c r="X3531" s="29"/>
      <c r="Y3531" s="28" t="n">
        <f aca="false">X3531*$M3531</f>
        <v>0</v>
      </c>
      <c r="Z3531" s="28"/>
      <c r="AA3531" s="28" t="n">
        <f aca="false">Z3531*$M3531</f>
        <v>0</v>
      </c>
      <c r="AB3531" s="28"/>
      <c r="AC3531" s="28" t="n">
        <f aca="false">AB3531*$M3531</f>
        <v>0</v>
      </c>
      <c r="AD3531" s="28"/>
      <c r="AE3531" s="28" t="n">
        <f aca="false">AD3531*$M3531</f>
        <v>0</v>
      </c>
      <c r="AF3531" s="28"/>
      <c r="AG3531" s="28" t="n">
        <f aca="false">AF3531*$M3531</f>
        <v>0</v>
      </c>
      <c r="AH3531" s="28"/>
      <c r="AI3531" s="28" t="n">
        <f aca="false">AH3531*$M3531</f>
        <v>0</v>
      </c>
      <c r="AJ3531" s="28"/>
      <c r="AK3531" s="28" t="n">
        <f aca="false">AJ3531*$M3531</f>
        <v>0</v>
      </c>
      <c r="AL3531" s="28"/>
      <c r="AM3531" s="28" t="n">
        <f aca="false">AL3531*$M3531</f>
        <v>0</v>
      </c>
      <c r="AN3531" s="28"/>
      <c r="AO3531" s="28" t="n">
        <f aca="false">AN3531*$M3531</f>
        <v>0</v>
      </c>
      <c r="AP3531" s="38" t="n">
        <v>1763</v>
      </c>
      <c r="AQ3531" s="28" t="n">
        <v>42312</v>
      </c>
      <c r="AR3531" s="28"/>
      <c r="AS3531" s="28" t="n">
        <f aca="false">AR3531*$M3531</f>
        <v>0</v>
      </c>
      <c r="AT3531" s="28"/>
      <c r="AU3531" s="28" t="n">
        <f aca="false">AT3531*$M3531</f>
        <v>0</v>
      </c>
      <c r="AV3531" s="38" t="n">
        <v>377</v>
      </c>
      <c r="AW3531" s="28" t="n">
        <v>9425</v>
      </c>
      <c r="AX3531" s="28"/>
      <c r="AY3531" s="28" t="n">
        <f aca="false">AX3531*$M3531</f>
        <v>0</v>
      </c>
      <c r="AZ3531" s="30" t="n">
        <v>2140</v>
      </c>
      <c r="BA3531" s="11" t="n">
        <v>51737</v>
      </c>
      <c r="BB3531" s="31" t="n">
        <f aca="false">SUM(Q3531,S3531,U3531,W3531,Y3531,AA3531,AC3531,AE3531,AG3531,AI3531,AK3531,AM3531,AO3531,AQ3531,AS3531,AU3531,AW3531,AY3531)</f>
        <v>51737</v>
      </c>
      <c r="BC3531" s="28" t="n">
        <f aca="false">BA3531-BB3531</f>
        <v>0</v>
      </c>
      <c r="BD3531" s="32" t="n">
        <f aca="false">SUM(P3531,R3531,T3531,V3531,X3531,Z3531,AB3531,AD3531,AF3531,AH3531,AJ3531,AL3531,AN3531,AP3531,AR3531,AT3531,AV3531,AX3531)</f>
        <v>2140</v>
      </c>
      <c r="BE3531" s="33" t="n">
        <f aca="false">AZ3531-BD3531</f>
        <v>0</v>
      </c>
      <c r="BF3531" s="34" t="n">
        <f aca="false">BD3531*M3531</f>
        <v>14980</v>
      </c>
      <c r="BG3531" s="35" t="n">
        <f aca="false">BA3531-BF3531</f>
        <v>36757</v>
      </c>
      <c r="BH3531" s="19" t="str">
        <f aca="false">IF(BG3531=0,"",IF(BG3531&lt;&gt;BA3531,"erreur de calcul",IF(BD3531&lt;&gt;0,"pas de prix",IF(M3531&lt;&gt; 0,"pas de quantité","pas de prix, ni de quantité"))))</f>
        <v>erreur de calcul</v>
      </c>
      <c r="BI3531" s="19" t="s">
        <v>90</v>
      </c>
    </row>
    <row r="3532" customFormat="false" ht="15" hidden="false" customHeight="false" outlineLevel="0" collapsed="false">
      <c r="A3532" s="0" t="n">
        <v>20</v>
      </c>
      <c r="B3532" s="8" t="s">
        <v>24</v>
      </c>
      <c r="C3532" s="9" t="s">
        <v>25</v>
      </c>
      <c r="D3532" s="9" t="s">
        <v>26</v>
      </c>
      <c r="E3532" s="10" t="n">
        <v>1789</v>
      </c>
      <c r="F3532" s="9" t="s">
        <v>27</v>
      </c>
      <c r="G3532" s="9" t="s">
        <v>27</v>
      </c>
      <c r="H3532" s="11" t="n">
        <v>18</v>
      </c>
      <c r="I3532" s="11" t="s">
        <v>91</v>
      </c>
      <c r="J3532" s="14" t="n">
        <v>30</v>
      </c>
      <c r="K3532" s="14"/>
      <c r="L3532" s="16"/>
      <c r="M3532" s="27" t="n">
        <f aca="false">J3532+(K3532/20)+(L3532/240)</f>
        <v>30</v>
      </c>
      <c r="N3532" s="17" t="s">
        <v>64</v>
      </c>
      <c r="O3532" s="11"/>
      <c r="P3532" s="28"/>
      <c r="Q3532" s="28" t="n">
        <f aca="false">P3532*$M3532</f>
        <v>0</v>
      </c>
      <c r="R3532" s="28"/>
      <c r="S3532" s="28" t="n">
        <f aca="false">R3532*$M3532</f>
        <v>0</v>
      </c>
      <c r="T3532" s="28"/>
      <c r="U3532" s="28" t="n">
        <f aca="false">T3532*$M3532</f>
        <v>0</v>
      </c>
      <c r="V3532" s="28" t="n">
        <f aca="false">12300/100</f>
        <v>123</v>
      </c>
      <c r="W3532" s="28" t="n">
        <v>3690</v>
      </c>
      <c r="X3532" s="29"/>
      <c r="Y3532" s="28" t="n">
        <f aca="false">X3532*$M3532</f>
        <v>0</v>
      </c>
      <c r="Z3532" s="28"/>
      <c r="AA3532" s="28" t="n">
        <f aca="false">Z3532*$M3532</f>
        <v>0</v>
      </c>
      <c r="AB3532" s="28" t="n">
        <f aca="false">16277/100</f>
        <v>162.77</v>
      </c>
      <c r="AC3532" s="28" t="n">
        <v>4883</v>
      </c>
      <c r="AD3532" s="28"/>
      <c r="AE3532" s="28" t="n">
        <f aca="false">AD3532*$M3532</f>
        <v>0</v>
      </c>
      <c r="AF3532" s="28"/>
      <c r="AG3532" s="28" t="n">
        <f aca="false">AF3532*$M3532</f>
        <v>0</v>
      </c>
      <c r="AH3532" s="28"/>
      <c r="AI3532" s="28" t="n">
        <f aca="false">AH3532*$M3532</f>
        <v>0</v>
      </c>
      <c r="AJ3532" s="28"/>
      <c r="AK3532" s="28" t="n">
        <f aca="false">AJ3532*$M3532</f>
        <v>0</v>
      </c>
      <c r="AL3532" s="28"/>
      <c r="AM3532" s="28" t="n">
        <f aca="false">AL3532*$M3532</f>
        <v>0</v>
      </c>
      <c r="AN3532" s="28"/>
      <c r="AO3532" s="28" t="n">
        <f aca="false">AN3532*$M3532</f>
        <v>0</v>
      </c>
      <c r="AP3532" s="28"/>
      <c r="AQ3532" s="28" t="n">
        <f aca="false">AP3532*$M3532</f>
        <v>0</v>
      </c>
      <c r="AR3532" s="28"/>
      <c r="AS3532" s="28" t="n">
        <f aca="false">AR3532*$M3532</f>
        <v>0</v>
      </c>
      <c r="AT3532" s="28"/>
      <c r="AU3532" s="28" t="n">
        <f aca="false">AT3532*$M3532</f>
        <v>0</v>
      </c>
      <c r="AV3532" s="28"/>
      <c r="AW3532" s="28" t="n">
        <f aca="false">AV3532*$M3532</f>
        <v>0</v>
      </c>
      <c r="AX3532" s="28"/>
      <c r="AY3532" s="28" t="n">
        <f aca="false">AX3532*$M3532</f>
        <v>0</v>
      </c>
      <c r="AZ3532" s="30" t="n">
        <f aca="false">28577/100</f>
        <v>285.77</v>
      </c>
      <c r="BA3532" s="11" t="n">
        <v>8573</v>
      </c>
      <c r="BB3532" s="31" t="n">
        <f aca="false">SUM(Q3532,S3532,U3532,W3532,Y3532,AA3532,AC3532,AE3532,AG3532,AI3532,AK3532,AM3532,AO3532,AQ3532,AS3532,AU3532,AW3532,AY3532)</f>
        <v>8573</v>
      </c>
      <c r="BC3532" s="28" t="n">
        <f aca="false">BA3532-BB3532</f>
        <v>0</v>
      </c>
      <c r="BD3532" s="32" t="n">
        <f aca="false">SUM(P3532,R3532,T3532,V3532,X3532,Z3532,AB3532,AD3532,AF3532,AH3532,AJ3532,AL3532,AN3532,AP3532,AR3532,AT3532,AV3532,AX3532)</f>
        <v>285.77</v>
      </c>
      <c r="BE3532" s="33" t="n">
        <f aca="false">AZ3532-BD3532</f>
        <v>0</v>
      </c>
      <c r="BF3532" s="34" t="n">
        <f aca="false">BD3532*M3532</f>
        <v>8573.1</v>
      </c>
      <c r="BG3532" s="35" t="n">
        <f aca="false">BA3532-BF3532</f>
        <v>-0.0999999999985448</v>
      </c>
      <c r="BH3532" s="19" t="str">
        <f aca="false">IF(BG3532=0,"",IF(BG3532&lt;&gt;BA3532,"erreur de calcul",IF(BD3532&lt;&gt;0,"pas de prix",IF(M3532&lt;&gt; 0,"pas de quantité","pas de prix, ni de quantité"))))</f>
        <v>erreur de calcul</v>
      </c>
      <c r="BI3532" s="19"/>
    </row>
    <row r="3533" customFormat="false" ht="15" hidden="false" customHeight="false" outlineLevel="0" collapsed="false">
      <c r="A3533" s="0" t="n">
        <v>21</v>
      </c>
      <c r="B3533" s="8" t="s">
        <v>24</v>
      </c>
      <c r="C3533" s="9" t="s">
        <v>25</v>
      </c>
      <c r="D3533" s="9" t="s">
        <v>26</v>
      </c>
      <c r="E3533" s="10" t="n">
        <v>1789</v>
      </c>
      <c r="F3533" s="9" t="s">
        <v>27</v>
      </c>
      <c r="G3533" s="9" t="s">
        <v>27</v>
      </c>
      <c r="H3533" s="11" t="n">
        <v>18</v>
      </c>
      <c r="I3533" s="11" t="s">
        <v>92</v>
      </c>
      <c r="J3533" s="14"/>
      <c r="K3533" s="14" t="n">
        <v>25</v>
      </c>
      <c r="L3533" s="16"/>
      <c r="M3533" s="27" t="n">
        <f aca="false">J3533+(K3533/20)+(L3533/240)</f>
        <v>1.25</v>
      </c>
      <c r="N3533" s="17" t="s">
        <v>81</v>
      </c>
      <c r="O3533" s="11"/>
      <c r="P3533" s="28"/>
      <c r="Q3533" s="28" t="n">
        <f aca="false">P3533*$M3533</f>
        <v>0</v>
      </c>
      <c r="R3533" s="28"/>
      <c r="S3533" s="28" t="n">
        <f aca="false">R3533*$M3533</f>
        <v>0</v>
      </c>
      <c r="T3533" s="28"/>
      <c r="U3533" s="28" t="n">
        <f aca="false">T3533*$M3533</f>
        <v>0</v>
      </c>
      <c r="V3533" s="28" t="n">
        <v>17192</v>
      </c>
      <c r="W3533" s="28" t="n">
        <v>21490</v>
      </c>
      <c r="X3533" s="29"/>
      <c r="Y3533" s="28" t="n">
        <f aca="false">X3533*$M3533</f>
        <v>0</v>
      </c>
      <c r="Z3533" s="28"/>
      <c r="AA3533" s="28" t="n">
        <f aca="false">Z3533*$M3533</f>
        <v>0</v>
      </c>
      <c r="AB3533" s="28"/>
      <c r="AC3533" s="28" t="n">
        <f aca="false">AB3533*$M3533</f>
        <v>0</v>
      </c>
      <c r="AD3533" s="28"/>
      <c r="AE3533" s="28" t="n">
        <f aca="false">AD3533*$M3533</f>
        <v>0</v>
      </c>
      <c r="AF3533" s="28"/>
      <c r="AG3533" s="28" t="n">
        <f aca="false">AF3533*$M3533</f>
        <v>0</v>
      </c>
      <c r="AH3533" s="28"/>
      <c r="AI3533" s="28" t="n">
        <f aca="false">AH3533*$M3533</f>
        <v>0</v>
      </c>
      <c r="AJ3533" s="28"/>
      <c r="AK3533" s="28" t="n">
        <f aca="false">AJ3533*$M3533</f>
        <v>0</v>
      </c>
      <c r="AL3533" s="28"/>
      <c r="AM3533" s="28" t="n">
        <f aca="false">AL3533*$M3533</f>
        <v>0</v>
      </c>
      <c r="AN3533" s="28"/>
      <c r="AO3533" s="28" t="n">
        <f aca="false">AN3533*$M3533</f>
        <v>0</v>
      </c>
      <c r="AP3533" s="28"/>
      <c r="AQ3533" s="28" t="n">
        <f aca="false">AP3533*$M3533</f>
        <v>0</v>
      </c>
      <c r="AR3533" s="28"/>
      <c r="AS3533" s="28" t="n">
        <f aca="false">AR3533*$M3533</f>
        <v>0</v>
      </c>
      <c r="AT3533" s="28"/>
      <c r="AU3533" s="28" t="n">
        <f aca="false">AT3533*$M3533</f>
        <v>0</v>
      </c>
      <c r="AV3533" s="28"/>
      <c r="AW3533" s="28" t="n">
        <f aca="false">AV3533*$M3533</f>
        <v>0</v>
      </c>
      <c r="AX3533" s="28"/>
      <c r="AY3533" s="28" t="n">
        <f aca="false">AX3533*$M3533</f>
        <v>0</v>
      </c>
      <c r="AZ3533" s="30" t="n">
        <v>17192</v>
      </c>
      <c r="BA3533" s="11" t="n">
        <v>21490</v>
      </c>
      <c r="BB3533" s="31" t="n">
        <f aca="false">SUM(Q3533,S3533,U3533,W3533,Y3533,AA3533,AC3533,AE3533,AG3533,AI3533,AK3533,AM3533,AO3533,AQ3533,AS3533,AU3533,AW3533,AY3533)</f>
        <v>21490</v>
      </c>
      <c r="BC3533" s="28" t="n">
        <f aca="false">BA3533-BB3533</f>
        <v>0</v>
      </c>
      <c r="BD3533" s="32" t="n">
        <f aca="false">SUM(P3533,R3533,T3533,V3533,X3533,Z3533,AB3533,AD3533,AF3533,AH3533,AJ3533,AL3533,AN3533,AP3533,AR3533,AT3533,AV3533,AX3533)</f>
        <v>17192</v>
      </c>
      <c r="BE3533" s="33" t="n">
        <f aca="false">AZ3533-BD3533</f>
        <v>0</v>
      </c>
      <c r="BF3533" s="34" t="n">
        <f aca="false">BD3533*M3533</f>
        <v>21490</v>
      </c>
      <c r="BG3533" s="35" t="n">
        <f aca="false">BA3533-BF3533</f>
        <v>0</v>
      </c>
      <c r="BH3533" s="19" t="str">
        <f aca="false">IF(BG3533=0,"",IF(BG3533&lt;&gt;BA3533,"erreur de calcul",IF(BD3533&lt;&gt;0,"pas de prix",IF(M3533&lt;&gt; 0,"pas de quantité","pas de prix, ni de quantité"))))</f>
        <v/>
      </c>
      <c r="BI3533" s="19"/>
    </row>
    <row r="3534" customFormat="false" ht="15" hidden="false" customHeight="false" outlineLevel="0" collapsed="false">
      <c r="A3534" s="0" t="n">
        <v>22</v>
      </c>
      <c r="B3534" s="8" t="s">
        <v>24</v>
      </c>
      <c r="C3534" s="9" t="s">
        <v>25</v>
      </c>
      <c r="D3534" s="9" t="s">
        <v>26</v>
      </c>
      <c r="E3534" s="10" t="n">
        <v>1789</v>
      </c>
      <c r="F3534" s="9" t="s">
        <v>27</v>
      </c>
      <c r="G3534" s="9" t="s">
        <v>27</v>
      </c>
      <c r="H3534" s="11" t="n">
        <v>18</v>
      </c>
      <c r="I3534" s="11" t="s">
        <v>93</v>
      </c>
      <c r="J3534" s="14" t="n">
        <v>4</v>
      </c>
      <c r="K3534" s="14"/>
      <c r="L3534" s="16"/>
      <c r="M3534" s="27" t="n">
        <f aca="false">J3534+(K3534/20)+(L3534/240)</f>
        <v>4</v>
      </c>
      <c r="N3534" s="17" t="s">
        <v>94</v>
      </c>
      <c r="O3534" s="11"/>
      <c r="P3534" s="28"/>
      <c r="Q3534" s="28" t="n">
        <f aca="false">P3534*$M3534</f>
        <v>0</v>
      </c>
      <c r="R3534" s="28"/>
      <c r="S3534" s="28" t="n">
        <f aca="false">R3534*$M3534</f>
        <v>0</v>
      </c>
      <c r="T3534" s="28"/>
      <c r="U3534" s="28" t="n">
        <f aca="false">T3534*$M3534</f>
        <v>0</v>
      </c>
      <c r="V3534" s="28"/>
      <c r="W3534" s="28" t="n">
        <f aca="false">V3534*$M3534</f>
        <v>0</v>
      </c>
      <c r="X3534" s="29"/>
      <c r="Y3534" s="28" t="n">
        <f aca="false">X3534*$M3534</f>
        <v>0</v>
      </c>
      <c r="Z3534" s="28"/>
      <c r="AA3534" s="28" t="n">
        <f aca="false">Z3534*$M3534</f>
        <v>0</v>
      </c>
      <c r="AB3534" s="28"/>
      <c r="AC3534" s="28" t="n">
        <f aca="false">AB3534*$M3534</f>
        <v>0</v>
      </c>
      <c r="AD3534" s="28" t="n">
        <v>900</v>
      </c>
      <c r="AE3534" s="28" t="n">
        <v>3600</v>
      </c>
      <c r="AF3534" s="28"/>
      <c r="AG3534" s="28" t="n">
        <f aca="false">AF3534*$M3534</f>
        <v>0</v>
      </c>
      <c r="AH3534" s="28"/>
      <c r="AI3534" s="28" t="n">
        <f aca="false">AH3534*$M3534</f>
        <v>0</v>
      </c>
      <c r="AJ3534" s="28"/>
      <c r="AK3534" s="28" t="n">
        <f aca="false">AJ3534*$M3534</f>
        <v>0</v>
      </c>
      <c r="AL3534" s="28"/>
      <c r="AM3534" s="28" t="n">
        <f aca="false">AL3534*$M3534</f>
        <v>0</v>
      </c>
      <c r="AN3534" s="28"/>
      <c r="AO3534" s="28" t="n">
        <f aca="false">AN3534*$M3534</f>
        <v>0</v>
      </c>
      <c r="AP3534" s="28" t="n">
        <v>36</v>
      </c>
      <c r="AQ3534" s="28" t="n">
        <v>144</v>
      </c>
      <c r="AR3534" s="28"/>
      <c r="AS3534" s="28" t="n">
        <f aca="false">AR3534*$M3534</f>
        <v>0</v>
      </c>
      <c r="AT3534" s="28"/>
      <c r="AU3534" s="28" t="n">
        <f aca="false">AT3534*$M3534</f>
        <v>0</v>
      </c>
      <c r="AV3534" s="28"/>
      <c r="AW3534" s="28" t="n">
        <f aca="false">AV3534*$M3534</f>
        <v>0</v>
      </c>
      <c r="AX3534" s="28"/>
      <c r="AY3534" s="28" t="n">
        <f aca="false">AX3534*$M3534</f>
        <v>0</v>
      </c>
      <c r="AZ3534" s="30" t="n">
        <v>936</v>
      </c>
      <c r="BA3534" s="11" t="n">
        <v>3744</v>
      </c>
      <c r="BB3534" s="31" t="n">
        <f aca="false">SUM(Q3534,S3534,U3534,W3534,Y3534,AA3534,AC3534,AE3534,AG3534,AI3534,AK3534,AM3534,AO3534,AQ3534,AS3534,AU3534,AW3534,AY3534)</f>
        <v>3744</v>
      </c>
      <c r="BC3534" s="28" t="n">
        <f aca="false">BA3534-BB3534</f>
        <v>0</v>
      </c>
      <c r="BD3534" s="32" t="n">
        <f aca="false">SUM(P3534,R3534,T3534,V3534,X3534,Z3534,AB3534,AD3534,AF3534,AH3534,AJ3534,AL3534,AN3534,AP3534,AR3534,AT3534,AV3534,AX3534)</f>
        <v>936</v>
      </c>
      <c r="BE3534" s="33" t="n">
        <f aca="false">AZ3534-BD3534</f>
        <v>0</v>
      </c>
      <c r="BF3534" s="34" t="n">
        <f aca="false">BD3534*M3534</f>
        <v>3744</v>
      </c>
      <c r="BG3534" s="35" t="n">
        <f aca="false">BA3534-BF3534</f>
        <v>0</v>
      </c>
      <c r="BH3534" s="19" t="str">
        <f aca="false">IF(BG3534=0,"",IF(BG3534&lt;&gt;BA3534,"erreur de calcul",IF(BD3534&lt;&gt;0,"pas de prix",IF(M3534&lt;&gt; 0,"pas de quantité","pas de prix, ni de quantité"))))</f>
        <v/>
      </c>
      <c r="BI3534" s="19"/>
    </row>
    <row r="3535" customFormat="false" ht="15" hidden="false" customHeight="false" outlineLevel="0" collapsed="false">
      <c r="A3535" s="0" t="n">
        <v>23</v>
      </c>
      <c r="B3535" s="8" t="s">
        <v>24</v>
      </c>
      <c r="C3535" s="9" t="s">
        <v>25</v>
      </c>
      <c r="D3535" s="9" t="s">
        <v>26</v>
      </c>
      <c r="E3535" s="10" t="n">
        <v>1789</v>
      </c>
      <c r="F3535" s="9" t="s">
        <v>27</v>
      </c>
      <c r="G3535" s="9" t="s">
        <v>27</v>
      </c>
      <c r="H3535" s="11" t="n">
        <v>18</v>
      </c>
      <c r="I3535" s="11" t="s">
        <v>95</v>
      </c>
      <c r="J3535" s="14" t="n">
        <v>40</v>
      </c>
      <c r="K3535" s="14"/>
      <c r="L3535" s="16"/>
      <c r="M3535" s="27" t="n">
        <f aca="false">J3535+(K3535/20)+(L3535/240)</f>
        <v>40</v>
      </c>
      <c r="N3535" s="17" t="s">
        <v>64</v>
      </c>
      <c r="O3535" s="11"/>
      <c r="P3535" s="28" t="n">
        <f aca="false">16000/100</f>
        <v>160</v>
      </c>
      <c r="Q3535" s="28" t="n">
        <v>6400</v>
      </c>
      <c r="R3535" s="28"/>
      <c r="S3535" s="28" t="n">
        <f aca="false">R3535*$M3535</f>
        <v>0</v>
      </c>
      <c r="T3535" s="28"/>
      <c r="U3535" s="28" t="n">
        <f aca="false">T3535*$M3535</f>
        <v>0</v>
      </c>
      <c r="V3535" s="28"/>
      <c r="W3535" s="28" t="n">
        <f aca="false">V3535*$M3535</f>
        <v>0</v>
      </c>
      <c r="X3535" s="29"/>
      <c r="Y3535" s="28" t="n">
        <f aca="false">X3535*$M3535</f>
        <v>0</v>
      </c>
      <c r="Z3535" s="28"/>
      <c r="AA3535" s="28" t="n">
        <f aca="false">Z3535*$M3535</f>
        <v>0</v>
      </c>
      <c r="AB3535" s="28"/>
      <c r="AC3535" s="28" t="n">
        <f aca="false">AB3535*$M3535</f>
        <v>0</v>
      </c>
      <c r="AD3535" s="28"/>
      <c r="AE3535" s="28" t="n">
        <f aca="false">AD3535*$M3535</f>
        <v>0</v>
      </c>
      <c r="AF3535" s="28"/>
      <c r="AG3535" s="28" t="n">
        <f aca="false">AF3535*$M3535</f>
        <v>0</v>
      </c>
      <c r="AH3535" s="28"/>
      <c r="AI3535" s="28" t="n">
        <f aca="false">AH3535*$M3535</f>
        <v>0</v>
      </c>
      <c r="AJ3535" s="28"/>
      <c r="AK3535" s="28" t="n">
        <f aca="false">AJ3535*$M3535</f>
        <v>0</v>
      </c>
      <c r="AL3535" s="28"/>
      <c r="AM3535" s="28" t="n">
        <f aca="false">AL3535*$M3535</f>
        <v>0</v>
      </c>
      <c r="AN3535" s="28"/>
      <c r="AO3535" s="28" t="n">
        <f aca="false">AN3535*$M3535</f>
        <v>0</v>
      </c>
      <c r="AP3535" s="28"/>
      <c r="AQ3535" s="28" t="n">
        <f aca="false">AP3535*$M3535</f>
        <v>0</v>
      </c>
      <c r="AR3535" s="28"/>
      <c r="AS3535" s="28" t="n">
        <f aca="false">AR3535*$M3535</f>
        <v>0</v>
      </c>
      <c r="AT3535" s="28"/>
      <c r="AU3535" s="28" t="n">
        <f aca="false">AT3535*$M3535</f>
        <v>0</v>
      </c>
      <c r="AV3535" s="28"/>
      <c r="AW3535" s="28" t="n">
        <f aca="false">AV3535*$M3535</f>
        <v>0</v>
      </c>
      <c r="AX3535" s="28"/>
      <c r="AY3535" s="28" t="n">
        <f aca="false">AX3535*$M3535</f>
        <v>0</v>
      </c>
      <c r="AZ3535" s="30" t="n">
        <f aca="false">16000/100</f>
        <v>160</v>
      </c>
      <c r="BA3535" s="11" t="n">
        <v>6400</v>
      </c>
      <c r="BB3535" s="31" t="n">
        <f aca="false">SUM(Q3535,S3535,U3535,W3535,Y3535,AA3535,AC3535,AE3535,AG3535,AI3535,AK3535,AM3535,AO3535,AQ3535,AS3535,AU3535,AW3535,AY3535)</f>
        <v>6400</v>
      </c>
      <c r="BC3535" s="28" t="n">
        <f aca="false">BA3535-BB3535</f>
        <v>0</v>
      </c>
      <c r="BD3535" s="32" t="n">
        <f aca="false">SUM(P3535,R3535,T3535,V3535,X3535,Z3535,AB3535,AD3535,AF3535,AH3535,AJ3535,AL3535,AN3535,AP3535,AR3535,AT3535,AV3535,AX3535)</f>
        <v>160</v>
      </c>
      <c r="BE3535" s="33" t="n">
        <f aca="false">AZ3535-BD3535</f>
        <v>0</v>
      </c>
      <c r="BF3535" s="34" t="n">
        <f aca="false">BD3535*M3535</f>
        <v>6400</v>
      </c>
      <c r="BG3535" s="35" t="n">
        <f aca="false">BA3535-BF3535</f>
        <v>0</v>
      </c>
      <c r="BH3535" s="19" t="str">
        <f aca="false">IF(BG3535=0,"",IF(BG3535&lt;&gt;BA3535,"erreur de calcul",IF(BD3535&lt;&gt;0,"pas de prix",IF(M3535&lt;&gt; 0,"pas de quantité","pas de prix, ni de quantité"))))</f>
        <v/>
      </c>
      <c r="BI3535" s="19"/>
    </row>
    <row r="3536" customFormat="false" ht="15" hidden="false" customHeight="false" outlineLevel="0" collapsed="false">
      <c r="A3536" s="0" t="n">
        <v>24</v>
      </c>
      <c r="B3536" s="8" t="s">
        <v>24</v>
      </c>
      <c r="C3536" s="9" t="s">
        <v>25</v>
      </c>
      <c r="D3536" s="9" t="s">
        <v>26</v>
      </c>
      <c r="E3536" s="10" t="n">
        <v>1789</v>
      </c>
      <c r="F3536" s="9" t="s">
        <v>27</v>
      </c>
      <c r="G3536" s="9" t="s">
        <v>27</v>
      </c>
      <c r="H3536" s="11" t="n">
        <v>18</v>
      </c>
      <c r="I3536" s="11" t="s">
        <v>96</v>
      </c>
      <c r="J3536" s="14" t="n">
        <v>25</v>
      </c>
      <c r="K3536" s="14"/>
      <c r="L3536" s="16"/>
      <c r="M3536" s="27" t="n">
        <f aca="false">J3536+(K3536/20)+(L3536/240)</f>
        <v>25</v>
      </c>
      <c r="N3536" s="17" t="s">
        <v>64</v>
      </c>
      <c r="O3536" s="11"/>
      <c r="P3536" s="28" t="n">
        <f aca="false">968306/100</f>
        <v>9683.06</v>
      </c>
      <c r="Q3536" s="28" t="n">
        <v>242076</v>
      </c>
      <c r="R3536" s="28"/>
      <c r="S3536" s="28" t="n">
        <f aca="false">R3536*$M3536</f>
        <v>0</v>
      </c>
      <c r="T3536" s="28"/>
      <c r="U3536" s="28" t="n">
        <f aca="false">T3536*$M3536</f>
        <v>0</v>
      </c>
      <c r="V3536" s="28" t="n">
        <f aca="false">39234/100</f>
        <v>392.34</v>
      </c>
      <c r="W3536" s="28" t="n">
        <v>9808</v>
      </c>
      <c r="X3536" s="29"/>
      <c r="Y3536" s="28" t="n">
        <v>3410</v>
      </c>
      <c r="Z3536" s="28"/>
      <c r="AA3536" s="28" t="n">
        <f aca="false">Z3536*$M3536</f>
        <v>0</v>
      </c>
      <c r="AB3536" s="28"/>
      <c r="AC3536" s="28" t="n">
        <f aca="false">AB3536*$M3536</f>
        <v>0</v>
      </c>
      <c r="AD3536" s="28"/>
      <c r="AE3536" s="28" t="n">
        <f aca="false">AD3536*$M3536</f>
        <v>0</v>
      </c>
      <c r="AF3536" s="28"/>
      <c r="AG3536" s="28" t="n">
        <f aca="false">AF3536*$M3536</f>
        <v>0</v>
      </c>
      <c r="AH3536" s="28"/>
      <c r="AI3536" s="28" t="n">
        <f aca="false">AH3536*$M3536</f>
        <v>0</v>
      </c>
      <c r="AJ3536" s="28" t="n">
        <f aca="false">2665/100</f>
        <v>26.65</v>
      </c>
      <c r="AK3536" s="28" t="n">
        <v>666</v>
      </c>
      <c r="AL3536" s="28"/>
      <c r="AM3536" s="28" t="n">
        <f aca="false">AL3536*$M3536</f>
        <v>0</v>
      </c>
      <c r="AN3536" s="28"/>
      <c r="AO3536" s="28" t="n">
        <f aca="false">AN3536*$M3536</f>
        <v>0</v>
      </c>
      <c r="AP3536" s="28"/>
      <c r="AQ3536" s="28" t="n">
        <f aca="false">AP3536*$M3536</f>
        <v>0</v>
      </c>
      <c r="AR3536" s="28"/>
      <c r="AS3536" s="28" t="n">
        <f aca="false">AR3536*$M3536</f>
        <v>0</v>
      </c>
      <c r="AT3536" s="28"/>
      <c r="AU3536" s="28" t="n">
        <f aca="false">AT3536*$M3536</f>
        <v>0</v>
      </c>
      <c r="AV3536" s="28"/>
      <c r="AW3536" s="28" t="n">
        <f aca="false">AV3536*$M3536</f>
        <v>0</v>
      </c>
      <c r="AX3536" s="28" t="n">
        <f aca="false">118115/100</f>
        <v>1181.15</v>
      </c>
      <c r="AY3536" s="28" t="n">
        <v>29529</v>
      </c>
      <c r="AZ3536" s="30" t="n">
        <f aca="false">1141960/100</f>
        <v>11419.6</v>
      </c>
      <c r="BA3536" s="11" t="n">
        <v>285489</v>
      </c>
      <c r="BB3536" s="31" t="n">
        <f aca="false">SUM(Q3536,S3536,U3536,W3536,Y3536,AA3536,AC3536,AE3536,AG3536,AI3536,AK3536,AM3536,AO3536,AQ3536,AS3536,AU3536,AW3536,AY3536)</f>
        <v>285489</v>
      </c>
      <c r="BC3536" s="28" t="n">
        <f aca="false">BA3536-BB3536</f>
        <v>0</v>
      </c>
      <c r="BD3536" s="32" t="n">
        <f aca="false">SUM(P3536,R3536,T3536,V3536,X3536,Z3536,AB3536,AD3536,AF3536,AH3536,AJ3536,AL3536,AN3536,AP3536,AR3536,AT3536,AV3536,AX3536)</f>
        <v>11283.2</v>
      </c>
      <c r="BE3536" s="33" t="n">
        <f aca="false">AZ3536-BD3536</f>
        <v>136.400000000001</v>
      </c>
      <c r="BF3536" s="34" t="n">
        <f aca="false">BD3536*M3536</f>
        <v>282080</v>
      </c>
      <c r="BG3536" s="35" t="n">
        <f aca="false">BA3536-BF3536</f>
        <v>3409</v>
      </c>
      <c r="BH3536" s="19" t="str">
        <f aca="false">IF(BG3536=0,"",IF(BG3536&lt;&gt;BA3536,"erreur de calcul",IF(BD3536&lt;&gt;0,"pas de prix",IF(M3536&lt;&gt; 0,"pas de quantité","pas de prix, ni de quantité"))))</f>
        <v>erreur de calcul</v>
      </c>
      <c r="BI3536" s="19"/>
    </row>
    <row r="3537" customFormat="false" ht="15" hidden="false" customHeight="false" outlineLevel="0" collapsed="false">
      <c r="A3537" s="0" t="n">
        <v>25</v>
      </c>
      <c r="B3537" s="8" t="s">
        <v>24</v>
      </c>
      <c r="C3537" s="9" t="s">
        <v>25</v>
      </c>
      <c r="D3537" s="9" t="s">
        <v>26</v>
      </c>
      <c r="E3537" s="10" t="n">
        <v>1789</v>
      </c>
      <c r="F3537" s="9" t="s">
        <v>27</v>
      </c>
      <c r="G3537" s="9" t="s">
        <v>27</v>
      </c>
      <c r="H3537" s="11" t="n">
        <v>18</v>
      </c>
      <c r="I3537" s="11" t="s">
        <v>97</v>
      </c>
      <c r="J3537" s="14" t="n">
        <v>30</v>
      </c>
      <c r="K3537" s="14"/>
      <c r="L3537" s="16"/>
      <c r="M3537" s="27" t="n">
        <f aca="false">J3537+(K3537/20)+(L3537/240)</f>
        <v>30</v>
      </c>
      <c r="N3537" s="17" t="s">
        <v>64</v>
      </c>
      <c r="O3537" s="11" t="s">
        <v>98</v>
      </c>
      <c r="P3537" s="28"/>
      <c r="Q3537" s="28" t="n">
        <f aca="false">P3537*$M3537</f>
        <v>0</v>
      </c>
      <c r="R3537" s="28"/>
      <c r="S3537" s="28" t="n">
        <f aca="false">R3537*$M3537</f>
        <v>0</v>
      </c>
      <c r="T3537" s="28"/>
      <c r="U3537" s="28" t="n">
        <f aca="false">T3537*$M3537</f>
        <v>0</v>
      </c>
      <c r="V3537" s="28"/>
      <c r="W3537" s="28" t="n">
        <f aca="false">V3537*$M3537</f>
        <v>0</v>
      </c>
      <c r="X3537" s="29"/>
      <c r="Y3537" s="28" t="n">
        <f aca="false">X3537*$M3537</f>
        <v>0</v>
      </c>
      <c r="Z3537" s="28"/>
      <c r="AA3537" s="28" t="n">
        <f aca="false">Z3537*$M3537</f>
        <v>0</v>
      </c>
      <c r="AB3537" s="28"/>
      <c r="AC3537" s="28" t="n">
        <f aca="false">AB3537*$M3537</f>
        <v>0</v>
      </c>
      <c r="AD3537" s="28"/>
      <c r="AE3537" s="28" t="n">
        <f aca="false">AD3537*$M3537</f>
        <v>0</v>
      </c>
      <c r="AF3537" s="28"/>
      <c r="AG3537" s="28" t="n">
        <f aca="false">AF3537*$M3537</f>
        <v>0</v>
      </c>
      <c r="AH3537" s="28"/>
      <c r="AI3537" s="28" t="n">
        <f aca="false">AH3537*$M3537</f>
        <v>0</v>
      </c>
      <c r="AJ3537" s="28"/>
      <c r="AK3537" s="28" t="n">
        <f aca="false">AJ3537*$M3537</f>
        <v>0</v>
      </c>
      <c r="AL3537" s="28"/>
      <c r="AM3537" s="28" t="n">
        <f aca="false">AL3537*$M3537</f>
        <v>0</v>
      </c>
      <c r="AN3537" s="28"/>
      <c r="AO3537" s="28" t="n">
        <f aca="false">AN3537*$M3537</f>
        <v>0</v>
      </c>
      <c r="AP3537" s="28"/>
      <c r="AQ3537" s="28" t="n">
        <f aca="false">AP3537*$M3537</f>
        <v>0</v>
      </c>
      <c r="AR3537" s="28"/>
      <c r="AS3537" s="28" t="n">
        <f aca="false">AR3537*$M3537</f>
        <v>0</v>
      </c>
      <c r="AT3537" s="28"/>
      <c r="AU3537" s="28" t="n">
        <f aca="false">AT3537*$M3537</f>
        <v>0</v>
      </c>
      <c r="AV3537" s="28"/>
      <c r="AW3537" s="28" t="n">
        <f aca="false">AV3537*$M3537</f>
        <v>0</v>
      </c>
      <c r="AX3537" s="28"/>
      <c r="AY3537" s="28" t="n">
        <f aca="false">AX3537*$M3537</f>
        <v>0</v>
      </c>
      <c r="AZ3537" s="30"/>
      <c r="BA3537" s="11"/>
      <c r="BB3537" s="31" t="n">
        <f aca="false">SUM(Q3537,S3537,U3537,W3537,Y3537,AA3537,AC3537,AE3537,AG3537,AI3537,AK3537,AM3537,AO3537,AQ3537,AS3537,AU3537,AW3537,AY3537)</f>
        <v>0</v>
      </c>
      <c r="BC3537" s="28" t="n">
        <f aca="false">BA3537-BB3537</f>
        <v>0</v>
      </c>
      <c r="BD3537" s="32" t="n">
        <f aca="false">SUM(P3537,R3537,T3537,V3537,X3537,Z3537,AB3537,AD3537,AF3537,AH3537,AJ3537,AL3537,AN3537,AP3537,AR3537,AT3537,AV3537,AX3537)</f>
        <v>0</v>
      </c>
      <c r="BE3537" s="33" t="n">
        <f aca="false">AZ3537-BD3537</f>
        <v>0</v>
      </c>
      <c r="BF3537" s="34" t="n">
        <f aca="false">BD3537*M3537</f>
        <v>0</v>
      </c>
      <c r="BG3537" s="35" t="n">
        <f aca="false">BA3537-BF3537</f>
        <v>0</v>
      </c>
      <c r="BH3537" s="19" t="str">
        <f aca="false">IF(BG3537=0,"",IF(BG3537&lt;&gt;BA3537,"erreur de calcul",IF(BD3537&lt;&gt;0,"pas de prix",IF(M3537&lt;&gt; 0,"pas de quantité","pas de prix, ni de quantité"))))</f>
        <v/>
      </c>
      <c r="BI3537" s="19"/>
    </row>
    <row r="3538" customFormat="false" ht="15" hidden="false" customHeight="false" outlineLevel="0" collapsed="false">
      <c r="A3538" s="0" t="n">
        <v>26</v>
      </c>
      <c r="B3538" s="8" t="s">
        <v>24</v>
      </c>
      <c r="C3538" s="9" t="s">
        <v>25</v>
      </c>
      <c r="D3538" s="9" t="s">
        <v>26</v>
      </c>
      <c r="E3538" s="10" t="n">
        <v>1789</v>
      </c>
      <c r="F3538" s="9" t="s">
        <v>27</v>
      </c>
      <c r="G3538" s="9" t="s">
        <v>27</v>
      </c>
      <c r="H3538" s="11" t="n">
        <v>18</v>
      </c>
      <c r="I3538" s="11" t="s">
        <v>99</v>
      </c>
      <c r="J3538" s="14" t="n">
        <v>12</v>
      </c>
      <c r="K3538" s="14"/>
      <c r="L3538" s="16"/>
      <c r="M3538" s="27" t="n">
        <f aca="false">J3538+(K3538/20)+(L3538/240)</f>
        <v>12</v>
      </c>
      <c r="N3538" s="17" t="s">
        <v>64</v>
      </c>
      <c r="O3538" s="11"/>
      <c r="P3538" s="28" t="n">
        <f aca="false">7077/100</f>
        <v>70.77</v>
      </c>
      <c r="Q3538" s="28" t="n">
        <v>849</v>
      </c>
      <c r="R3538" s="28"/>
      <c r="S3538" s="28" t="n">
        <f aca="false">R3538*$M3538</f>
        <v>0</v>
      </c>
      <c r="T3538" s="28"/>
      <c r="U3538" s="28" t="n">
        <f aca="false">T3538*$M3538</f>
        <v>0</v>
      </c>
      <c r="V3538" s="28"/>
      <c r="W3538" s="28" t="n">
        <f aca="false">V3538*$M3538</f>
        <v>0</v>
      </c>
      <c r="X3538" s="29"/>
      <c r="Y3538" s="28" t="n">
        <v>866</v>
      </c>
      <c r="Z3538" s="28"/>
      <c r="AA3538" s="28" t="n">
        <f aca="false">Z3538*$M3538</f>
        <v>0</v>
      </c>
      <c r="AB3538" s="28"/>
      <c r="AC3538" s="28" t="n">
        <f aca="false">AB3538*$M3538</f>
        <v>0</v>
      </c>
      <c r="AD3538" s="28"/>
      <c r="AE3538" s="28" t="n">
        <f aca="false">AD3538*$M3538</f>
        <v>0</v>
      </c>
      <c r="AF3538" s="28"/>
      <c r="AG3538" s="28" t="n">
        <f aca="false">AF3538*$M3538</f>
        <v>0</v>
      </c>
      <c r="AH3538" s="28"/>
      <c r="AI3538" s="28" t="n">
        <f aca="false">AH3538*$M3538</f>
        <v>0</v>
      </c>
      <c r="AJ3538" s="28"/>
      <c r="AK3538" s="28" t="n">
        <f aca="false">AJ3538*$M3538</f>
        <v>0</v>
      </c>
      <c r="AL3538" s="28"/>
      <c r="AM3538" s="28" t="n">
        <f aca="false">AL3538*$M3538</f>
        <v>0</v>
      </c>
      <c r="AN3538" s="28"/>
      <c r="AO3538" s="28" t="n">
        <f aca="false">AN3538*$M3538</f>
        <v>0</v>
      </c>
      <c r="AP3538" s="28"/>
      <c r="AQ3538" s="28" t="n">
        <f aca="false">AP3538*$M3538</f>
        <v>0</v>
      </c>
      <c r="AR3538" s="28"/>
      <c r="AS3538" s="28" t="n">
        <f aca="false">AR3538*$M3538</f>
        <v>0</v>
      </c>
      <c r="AT3538" s="28"/>
      <c r="AU3538" s="28" t="n">
        <f aca="false">AT3538*$M3538</f>
        <v>0</v>
      </c>
      <c r="AV3538" s="28"/>
      <c r="AW3538" s="28" t="n">
        <f aca="false">AV3538*$M3538</f>
        <v>0</v>
      </c>
      <c r="AX3538" s="28"/>
      <c r="AY3538" s="28" t="n">
        <f aca="false">AX3538*$M3538</f>
        <v>0</v>
      </c>
      <c r="AZ3538" s="30" t="n">
        <f aca="false">14294/100</f>
        <v>142.94</v>
      </c>
      <c r="BA3538" s="11" t="n">
        <v>1715</v>
      </c>
      <c r="BB3538" s="31" t="n">
        <f aca="false">SUM(Q3538,S3538,U3538,W3538,Y3538,AA3538,AC3538,AE3538,AG3538,AI3538,AK3538,AM3538,AO3538,AQ3538,AS3538,AU3538,AW3538,AY3538)</f>
        <v>1715</v>
      </c>
      <c r="BC3538" s="28" t="n">
        <f aca="false">BA3538-BB3538</f>
        <v>0</v>
      </c>
      <c r="BD3538" s="32" t="n">
        <f aca="false">SUM(P3538,R3538,T3538,V3538,X3538,Z3538,AB3538,AD3538,AF3538,AH3538,AJ3538,AL3538,AN3538,AP3538,AR3538,AT3538,AV3538,AX3538)</f>
        <v>70.77</v>
      </c>
      <c r="BE3538" s="33" t="n">
        <f aca="false">AZ3538-BD3538</f>
        <v>72.17</v>
      </c>
      <c r="BF3538" s="34" t="n">
        <f aca="false">BD3538*M3538</f>
        <v>849.24</v>
      </c>
      <c r="BG3538" s="35" t="n">
        <f aca="false">BA3538-BF3538</f>
        <v>865.76</v>
      </c>
      <c r="BH3538" s="19" t="str">
        <f aca="false">IF(BG3538=0,"",IF(BG3538&lt;&gt;BA3538,"erreur de calcul",IF(BD3538&lt;&gt;0,"pas de prix",IF(M3538&lt;&gt; 0,"pas de quantité","pas de prix, ni de quantité"))))</f>
        <v>erreur de calcul</v>
      </c>
      <c r="BI3538" s="19"/>
    </row>
    <row r="3539" customFormat="false" ht="15" hidden="false" customHeight="false" outlineLevel="0" collapsed="false">
      <c r="A3539" s="0" t="n">
        <v>27</v>
      </c>
      <c r="B3539" s="8" t="s">
        <v>24</v>
      </c>
      <c r="C3539" s="9" t="s">
        <v>25</v>
      </c>
      <c r="D3539" s="9" t="s">
        <v>26</v>
      </c>
      <c r="E3539" s="10" t="n">
        <v>1789</v>
      </c>
      <c r="F3539" s="9" t="s">
        <v>27</v>
      </c>
      <c r="G3539" s="9" t="s">
        <v>27</v>
      </c>
      <c r="H3539" s="11" t="n">
        <v>18</v>
      </c>
      <c r="I3539" s="11" t="s">
        <v>100</v>
      </c>
      <c r="J3539" s="14" t="n">
        <v>13</v>
      </c>
      <c r="K3539" s="14"/>
      <c r="L3539" s="16"/>
      <c r="M3539" s="27" t="n">
        <f aca="false">J3539+(K3539/20)+(L3539/240)</f>
        <v>13</v>
      </c>
      <c r="N3539" s="17" t="s">
        <v>64</v>
      </c>
      <c r="O3539" s="11"/>
      <c r="P3539" s="28"/>
      <c r="Q3539" s="28" t="n">
        <f aca="false">P3539*$M3539</f>
        <v>0</v>
      </c>
      <c r="R3539" s="28"/>
      <c r="S3539" s="28" t="n">
        <f aca="false">R3539*$M3539</f>
        <v>0</v>
      </c>
      <c r="T3539" s="28"/>
      <c r="U3539" s="28" t="n">
        <f aca="false">T3539*$M3539</f>
        <v>0</v>
      </c>
      <c r="V3539" s="28"/>
      <c r="W3539" s="28" t="n">
        <f aca="false">V3539*$M3539</f>
        <v>0</v>
      </c>
      <c r="X3539" s="29"/>
      <c r="Y3539" s="28" t="n">
        <f aca="false">X3539*$M3539</f>
        <v>0</v>
      </c>
      <c r="Z3539" s="28"/>
      <c r="AA3539" s="28" t="n">
        <f aca="false">Z3539*$M3539</f>
        <v>0</v>
      </c>
      <c r="AB3539" s="28"/>
      <c r="AC3539" s="28" t="n">
        <f aca="false">AB3539*$M3539</f>
        <v>0</v>
      </c>
      <c r="AD3539" s="28"/>
      <c r="AE3539" s="28" t="n">
        <f aca="false">AD3539*$M3539</f>
        <v>0</v>
      </c>
      <c r="AF3539" s="28"/>
      <c r="AG3539" s="28" t="n">
        <f aca="false">AF3539*$M3539</f>
        <v>0</v>
      </c>
      <c r="AH3539" s="28" t="n">
        <f aca="false">7819/100</f>
        <v>78.19</v>
      </c>
      <c r="AI3539" s="28" t="n">
        <v>1016</v>
      </c>
      <c r="AJ3539" s="28" t="n">
        <f aca="false">10382/100</f>
        <v>103.82</v>
      </c>
      <c r="AK3539" s="28" t="n">
        <v>1350</v>
      </c>
      <c r="AL3539" s="28"/>
      <c r="AM3539" s="28" t="n">
        <f aca="false">AL3539*$M3539</f>
        <v>0</v>
      </c>
      <c r="AN3539" s="28"/>
      <c r="AO3539" s="28" t="n">
        <f aca="false">AN3539*$M3539</f>
        <v>0</v>
      </c>
      <c r="AP3539" s="28"/>
      <c r="AQ3539" s="28" t="n">
        <f aca="false">AP3539*$M3539</f>
        <v>0</v>
      </c>
      <c r="AR3539" s="28"/>
      <c r="AS3539" s="28" t="n">
        <f aca="false">AR3539*$M3539</f>
        <v>0</v>
      </c>
      <c r="AT3539" s="28"/>
      <c r="AU3539" s="28" t="n">
        <f aca="false">AT3539*$M3539</f>
        <v>0</v>
      </c>
      <c r="AV3539" s="28"/>
      <c r="AW3539" s="28" t="n">
        <f aca="false">AV3539*$M3539</f>
        <v>0</v>
      </c>
      <c r="AX3539" s="28"/>
      <c r="AY3539" s="28" t="n">
        <f aca="false">AX3539*$M3539</f>
        <v>0</v>
      </c>
      <c r="AZ3539" s="30" t="n">
        <f aca="false">18201/100</f>
        <v>182.01</v>
      </c>
      <c r="BA3539" s="11" t="n">
        <v>2366</v>
      </c>
      <c r="BB3539" s="31" t="n">
        <f aca="false">SUM(Q3539,S3539,U3539,W3539,Y3539,AA3539,AC3539,AE3539,AG3539,AI3539,AK3539,AM3539,AO3539,AQ3539,AS3539,AU3539,AW3539,AY3539)</f>
        <v>2366</v>
      </c>
      <c r="BC3539" s="28" t="n">
        <f aca="false">BA3539-BB3539</f>
        <v>0</v>
      </c>
      <c r="BD3539" s="32" t="n">
        <f aca="false">SUM(P3539,R3539,T3539,V3539,X3539,Z3539,AB3539,AD3539,AF3539,AH3539,AJ3539,AL3539,AN3539,AP3539,AR3539,AT3539,AV3539,AX3539)</f>
        <v>182.01</v>
      </c>
      <c r="BE3539" s="33" t="n">
        <f aca="false">AZ3539-BD3539</f>
        <v>0</v>
      </c>
      <c r="BF3539" s="34" t="n">
        <f aca="false">BD3539*M3539</f>
        <v>2366.13</v>
      </c>
      <c r="BG3539" s="35" t="n">
        <f aca="false">BA3539-BF3539</f>
        <v>-0.130000000000109</v>
      </c>
      <c r="BH3539" s="19" t="str">
        <f aca="false">IF(BG3539=0,"",IF(BG3539&lt;&gt;BA3539,"erreur de calcul",IF(BD3539&lt;&gt;0,"pas de prix",IF(M3539&lt;&gt; 0,"pas de quantité","pas de prix, ni de quantité"))))</f>
        <v>erreur de calcul</v>
      </c>
      <c r="BI3539" s="19"/>
    </row>
    <row r="3540" customFormat="false" ht="15" hidden="false" customHeight="false" outlineLevel="0" collapsed="false">
      <c r="A3540" s="0" t="n">
        <v>28</v>
      </c>
      <c r="B3540" s="8" t="s">
        <v>24</v>
      </c>
      <c r="C3540" s="9" t="s">
        <v>25</v>
      </c>
      <c r="D3540" s="9" t="s">
        <v>26</v>
      </c>
      <c r="E3540" s="10" t="n">
        <v>1789</v>
      </c>
      <c r="F3540" s="9" t="s">
        <v>27</v>
      </c>
      <c r="G3540" s="9" t="s">
        <v>27</v>
      </c>
      <c r="H3540" s="11" t="n">
        <v>18</v>
      </c>
      <c r="I3540" s="11" t="s">
        <v>101</v>
      </c>
      <c r="J3540" s="14" t="n">
        <v>35</v>
      </c>
      <c r="K3540" s="14"/>
      <c r="L3540" s="16"/>
      <c r="M3540" s="27" t="n">
        <f aca="false">J3540+(K3540/20)+(L3540/240)</f>
        <v>35</v>
      </c>
      <c r="N3540" s="17" t="s">
        <v>64</v>
      </c>
      <c r="O3540" s="11"/>
      <c r="P3540" s="28"/>
      <c r="Q3540" s="28" t="n">
        <f aca="false">P3540*$M3540</f>
        <v>0</v>
      </c>
      <c r="R3540" s="28"/>
      <c r="S3540" s="28" t="n">
        <f aca="false">R3540*$M3540</f>
        <v>0</v>
      </c>
      <c r="T3540" s="28"/>
      <c r="U3540" s="28" t="n">
        <f aca="false">T3540*$M3540</f>
        <v>0</v>
      </c>
      <c r="V3540" s="28"/>
      <c r="W3540" s="28" t="n">
        <f aca="false">V3540*$M3540</f>
        <v>0</v>
      </c>
      <c r="X3540" s="29"/>
      <c r="Y3540" s="28" t="n">
        <f aca="false">X3540*$M3540</f>
        <v>0</v>
      </c>
      <c r="Z3540" s="28"/>
      <c r="AA3540" s="28" t="n">
        <f aca="false">Z3540*$M3540</f>
        <v>0</v>
      </c>
      <c r="AB3540" s="28"/>
      <c r="AC3540" s="28" t="n">
        <f aca="false">AB3540*$M3540</f>
        <v>0</v>
      </c>
      <c r="AD3540" s="28"/>
      <c r="AE3540" s="28" t="n">
        <f aca="false">AD3540*$M3540</f>
        <v>0</v>
      </c>
      <c r="AF3540" s="28"/>
      <c r="AG3540" s="28" t="n">
        <f aca="false">AF3540*$M3540</f>
        <v>0</v>
      </c>
      <c r="AH3540" s="28"/>
      <c r="AI3540" s="28" t="n">
        <f aca="false">AH3540*$M3540</f>
        <v>0</v>
      </c>
      <c r="AJ3540" s="28" t="n">
        <f aca="false">65277/100</f>
        <v>652.77</v>
      </c>
      <c r="AK3540" s="28" t="n">
        <v>22847</v>
      </c>
      <c r="AL3540" s="28"/>
      <c r="AM3540" s="28" t="n">
        <f aca="false">AL3540*$M3540</f>
        <v>0</v>
      </c>
      <c r="AN3540" s="28"/>
      <c r="AO3540" s="28" t="n">
        <f aca="false">AN3540*$M3540</f>
        <v>0</v>
      </c>
      <c r="AP3540" s="28"/>
      <c r="AQ3540" s="28" t="n">
        <f aca="false">AP3540*$M3540</f>
        <v>0</v>
      </c>
      <c r="AR3540" s="28"/>
      <c r="AS3540" s="28" t="n">
        <f aca="false">AR3540*$M3540</f>
        <v>0</v>
      </c>
      <c r="AT3540" s="28"/>
      <c r="AU3540" s="28" t="n">
        <f aca="false">AT3540*$M3540</f>
        <v>0</v>
      </c>
      <c r="AV3540" s="28"/>
      <c r="AW3540" s="28" t="n">
        <f aca="false">AV3540*$M3540</f>
        <v>0</v>
      </c>
      <c r="AX3540" s="28"/>
      <c r="AY3540" s="28" t="n">
        <f aca="false">AX3540*$M3540</f>
        <v>0</v>
      </c>
      <c r="AZ3540" s="30" t="n">
        <f aca="false">65277/100</f>
        <v>652.77</v>
      </c>
      <c r="BA3540" s="11" t="n">
        <v>22847</v>
      </c>
      <c r="BB3540" s="31" t="n">
        <f aca="false">SUM(Q3540,S3540,U3540,W3540,Y3540,AA3540,AC3540,AE3540,AG3540,AI3540,AK3540,AM3540,AO3540,AQ3540,AS3540,AU3540,AW3540,AY3540)</f>
        <v>22847</v>
      </c>
      <c r="BC3540" s="28" t="n">
        <f aca="false">BA3540-BB3540</f>
        <v>0</v>
      </c>
      <c r="BD3540" s="32" t="n">
        <f aca="false">SUM(P3540,R3540,T3540,V3540,X3540,Z3540,AB3540,AD3540,AF3540,AH3540,AJ3540,AL3540,AN3540,AP3540,AR3540,AT3540,AV3540,AX3540)</f>
        <v>652.77</v>
      </c>
      <c r="BE3540" s="33" t="n">
        <f aca="false">AZ3540-BD3540</f>
        <v>0</v>
      </c>
      <c r="BF3540" s="34" t="n">
        <f aca="false">BD3540*M3540</f>
        <v>22846.95</v>
      </c>
      <c r="BG3540" s="35" t="n">
        <f aca="false">BA3540-BF3540</f>
        <v>0.0499999999992724</v>
      </c>
      <c r="BH3540" s="19" t="str">
        <f aca="false">IF(BG3540=0,"",IF(BG3540&lt;&gt;BA3540,"erreur de calcul",IF(BD3540&lt;&gt;0,"pas de prix",IF(M3540&lt;&gt; 0,"pas de quantité","pas de prix, ni de quantité"))))</f>
        <v>erreur de calcul</v>
      </c>
      <c r="BI3540" s="19"/>
    </row>
    <row r="3541" customFormat="false" ht="16.65" hidden="false" customHeight="false" outlineLevel="0" collapsed="false">
      <c r="A3541" s="0" t="n">
        <v>29</v>
      </c>
      <c r="B3541" s="8" t="s">
        <v>24</v>
      </c>
      <c r="C3541" s="9" t="s">
        <v>25</v>
      </c>
      <c r="D3541" s="9" t="s">
        <v>26</v>
      </c>
      <c r="E3541" s="10" t="n">
        <v>1789</v>
      </c>
      <c r="F3541" s="9" t="s">
        <v>27</v>
      </c>
      <c r="G3541" s="9" t="s">
        <v>27</v>
      </c>
      <c r="H3541" s="11" t="n">
        <v>18</v>
      </c>
      <c r="I3541" s="11" t="s">
        <v>102</v>
      </c>
      <c r="J3541" s="14" t="n">
        <v>47</v>
      </c>
      <c r="K3541" s="14"/>
      <c r="L3541" s="16"/>
      <c r="M3541" s="27" t="n">
        <f aca="false">J3541+(K3541/20)+(L3541/240)</f>
        <v>47</v>
      </c>
      <c r="N3541" s="17" t="s">
        <v>64</v>
      </c>
      <c r="O3541" s="11"/>
      <c r="P3541" s="28" t="n">
        <f aca="false">8467/100</f>
        <v>84.67</v>
      </c>
      <c r="Q3541" s="28" t="n">
        <v>3979</v>
      </c>
      <c r="R3541" s="28"/>
      <c r="S3541" s="28" t="n">
        <f aca="false">R3541*$M3541</f>
        <v>0</v>
      </c>
      <c r="T3541" s="28"/>
      <c r="U3541" s="28" t="n">
        <f aca="false">T3541*$M3541</f>
        <v>0</v>
      </c>
      <c r="V3541" s="28"/>
      <c r="W3541" s="28" t="n">
        <f aca="false">V3541*$M3541</f>
        <v>0</v>
      </c>
      <c r="X3541" s="29"/>
      <c r="Y3541" s="28" t="n">
        <f aca="false">X3541*$M3541</f>
        <v>0</v>
      </c>
      <c r="Z3541" s="28"/>
      <c r="AA3541" s="28" t="n">
        <f aca="false">Z3541*$M3541</f>
        <v>0</v>
      </c>
      <c r="AB3541" s="28"/>
      <c r="AC3541" s="28" t="n">
        <f aca="false">AB3541*$M3541</f>
        <v>0</v>
      </c>
      <c r="AD3541" s="28"/>
      <c r="AE3541" s="28" t="n">
        <f aca="false">AD3541*$M3541</f>
        <v>0</v>
      </c>
      <c r="AF3541" s="28"/>
      <c r="AG3541" s="28" t="n">
        <f aca="false">AF3541*$M3541</f>
        <v>0</v>
      </c>
      <c r="AH3541" s="28"/>
      <c r="AI3541" s="28" t="n">
        <f aca="false">AH3541*$M3541</f>
        <v>0</v>
      </c>
      <c r="AJ3541" s="28"/>
      <c r="AK3541" s="28" t="n">
        <f aca="false">AJ3541*$M3541</f>
        <v>0</v>
      </c>
      <c r="AL3541" s="28"/>
      <c r="AM3541" s="28" t="n">
        <f aca="false">AL3541*$M3541</f>
        <v>0</v>
      </c>
      <c r="AN3541" s="28"/>
      <c r="AO3541" s="28" t="n">
        <f aca="false">AN3541*$M3541</f>
        <v>0</v>
      </c>
      <c r="AP3541" s="28"/>
      <c r="AQ3541" s="28" t="n">
        <f aca="false">AP3541*$M3541</f>
        <v>0</v>
      </c>
      <c r="AR3541" s="28"/>
      <c r="AS3541" s="28" t="n">
        <f aca="false">AR3541*$M3541</f>
        <v>0</v>
      </c>
      <c r="AT3541" s="28"/>
      <c r="AU3541" s="28" t="n">
        <f aca="false">AT3541*$M3541</f>
        <v>0</v>
      </c>
      <c r="AV3541" s="28"/>
      <c r="AW3541" s="28" t="n">
        <f aca="false">AV3541*$M3541</f>
        <v>0</v>
      </c>
      <c r="AX3541" s="28"/>
      <c r="AY3541" s="28" t="n">
        <f aca="false">AX3541*$M3541</f>
        <v>0</v>
      </c>
      <c r="AZ3541" s="30" t="n">
        <f aca="false">8467/100</f>
        <v>84.67</v>
      </c>
      <c r="BA3541" s="11" t="n">
        <v>3979</v>
      </c>
      <c r="BB3541" s="31" t="n">
        <f aca="false">SUM(Q3541,S3541,U3541,W3541,Y3541,AA3541,AC3541,AE3541,AG3541,AI3541,AK3541,AM3541,AO3541,AQ3541,AS3541,AU3541,AW3541,AY3541)</f>
        <v>3979</v>
      </c>
      <c r="BC3541" s="28" t="n">
        <f aca="false">BA3541-BB3541</f>
        <v>0</v>
      </c>
      <c r="BD3541" s="32" t="n">
        <f aca="false">SUM(P3541,R3541,T3541,V3541,X3541,Z3541,AB3541,AD3541,AF3541,AH3541,AJ3541,AL3541,AN3541,AP3541,AR3541,AT3541,AV3541,AX3541)</f>
        <v>84.67</v>
      </c>
      <c r="BE3541" s="33" t="n">
        <f aca="false">AZ3541-BD3541</f>
        <v>0</v>
      </c>
      <c r="BF3541" s="34" t="n">
        <f aca="false">BD3541*M3541</f>
        <v>3979.49</v>
      </c>
      <c r="BG3541" s="35" t="n">
        <f aca="false">BA3541-BF3541</f>
        <v>-0.490000000000237</v>
      </c>
      <c r="BH3541" s="19" t="str">
        <f aca="false">IF(BG3541=0,"",IF(BG3541&lt;&gt;BA3541,"erreur de calcul",IF(BD3541&lt;&gt;0,"pas de prix",IF(M3541&lt;&gt; 0,"pas de quantité","pas de prix, ni de quantité"))))</f>
        <v>erreur de calcul</v>
      </c>
      <c r="BI3541" s="19"/>
    </row>
    <row r="3542" customFormat="false" ht="15" hidden="false" customHeight="false" outlineLevel="0" collapsed="false">
      <c r="A3542" s="0" t="n">
        <v>30</v>
      </c>
      <c r="B3542" s="8" t="s">
        <v>24</v>
      </c>
      <c r="C3542" s="9" t="s">
        <v>25</v>
      </c>
      <c r="D3542" s="9" t="s">
        <v>26</v>
      </c>
      <c r="E3542" s="10" t="n">
        <v>1789</v>
      </c>
      <c r="F3542" s="9" t="s">
        <v>27</v>
      </c>
      <c r="G3542" s="9" t="s">
        <v>27</v>
      </c>
      <c r="H3542" s="11" t="n">
        <v>18</v>
      </c>
      <c r="I3542" s="11" t="s">
        <v>103</v>
      </c>
      <c r="J3542" s="14" t="n">
        <v>475</v>
      </c>
      <c r="K3542" s="14"/>
      <c r="L3542" s="16"/>
      <c r="M3542" s="27" t="n">
        <f aca="false">J3542+(K3542/20)+(L3542/240)</f>
        <v>475</v>
      </c>
      <c r="N3542" s="17" t="s">
        <v>64</v>
      </c>
      <c r="O3542" s="11"/>
      <c r="P3542" s="28"/>
      <c r="Q3542" s="28" t="n">
        <f aca="false">P3542*$M3542</f>
        <v>0</v>
      </c>
      <c r="R3542" s="28"/>
      <c r="S3542" s="28" t="n">
        <f aca="false">R3542*$M3542</f>
        <v>0</v>
      </c>
      <c r="T3542" s="28" t="n">
        <f aca="false">1746/100</f>
        <v>17.46</v>
      </c>
      <c r="U3542" s="28" t="n">
        <v>8293</v>
      </c>
      <c r="V3542" s="28"/>
      <c r="W3542" s="28" t="n">
        <f aca="false">V3542*$M3542</f>
        <v>0</v>
      </c>
      <c r="X3542" s="29"/>
      <c r="Y3542" s="28" t="n">
        <f aca="false">X3542*$M3542</f>
        <v>0</v>
      </c>
      <c r="Z3542" s="28"/>
      <c r="AA3542" s="28" t="n">
        <f aca="false">Z3542*$M3542</f>
        <v>0</v>
      </c>
      <c r="AB3542" s="28"/>
      <c r="AC3542" s="28" t="n">
        <f aca="false">AB3542*$M3542</f>
        <v>0</v>
      </c>
      <c r="AD3542" s="28"/>
      <c r="AE3542" s="28" t="n">
        <f aca="false">AD3542*$M3542</f>
        <v>0</v>
      </c>
      <c r="AF3542" s="28"/>
      <c r="AG3542" s="28" t="n">
        <f aca="false">AF3542*$M3542</f>
        <v>0</v>
      </c>
      <c r="AH3542" s="28" t="n">
        <f aca="false">1667/100</f>
        <v>16.67</v>
      </c>
      <c r="AI3542" s="28" t="n">
        <v>7918</v>
      </c>
      <c r="AJ3542" s="28"/>
      <c r="AK3542" s="28" t="n">
        <f aca="false">AJ3542*$M3542</f>
        <v>0</v>
      </c>
      <c r="AL3542" s="28"/>
      <c r="AM3542" s="28" t="n">
        <f aca="false">AL3542*$M3542</f>
        <v>0</v>
      </c>
      <c r="AN3542" s="28"/>
      <c r="AO3542" s="28" t="n">
        <f aca="false">AN3542*$M3542</f>
        <v>0</v>
      </c>
      <c r="AP3542" s="28"/>
      <c r="AQ3542" s="28" t="n">
        <f aca="false">AP3542*$M3542</f>
        <v>0</v>
      </c>
      <c r="AR3542" s="28"/>
      <c r="AS3542" s="28" t="n">
        <f aca="false">AR3542*$M3542</f>
        <v>0</v>
      </c>
      <c r="AT3542" s="28"/>
      <c r="AU3542" s="28" t="n">
        <f aca="false">AT3542*$M3542</f>
        <v>0</v>
      </c>
      <c r="AV3542" s="28"/>
      <c r="AW3542" s="28" t="n">
        <f aca="false">AV3542*$M3542</f>
        <v>0</v>
      </c>
      <c r="AX3542" s="28"/>
      <c r="AY3542" s="28" t="n">
        <f aca="false">AX3542*$M3542</f>
        <v>0</v>
      </c>
      <c r="AZ3542" s="30" t="n">
        <f aca="false">3413/100</f>
        <v>34.13</v>
      </c>
      <c r="BA3542" s="11" t="n">
        <v>16211</v>
      </c>
      <c r="BB3542" s="31" t="n">
        <f aca="false">SUM(Q3542,S3542,U3542,W3542,Y3542,AA3542,AC3542,AE3542,AG3542,AI3542,AK3542,AM3542,AO3542,AQ3542,AS3542,AU3542,AW3542,AY3542)</f>
        <v>16211</v>
      </c>
      <c r="BC3542" s="28" t="n">
        <f aca="false">BA3542-BB3542</f>
        <v>0</v>
      </c>
      <c r="BD3542" s="32" t="n">
        <f aca="false">SUM(P3542,R3542,T3542,V3542,X3542,Z3542,AB3542,AD3542,AF3542,AH3542,AJ3542,AL3542,AN3542,AP3542,AR3542,AT3542,AV3542,AX3542)</f>
        <v>34.13</v>
      </c>
      <c r="BE3542" s="33" t="n">
        <f aca="false">AZ3542-BD3542</f>
        <v>0</v>
      </c>
      <c r="BF3542" s="34" t="n">
        <f aca="false">BD3542*M3542</f>
        <v>16211.75</v>
      </c>
      <c r="BG3542" s="35" t="n">
        <f aca="false">BA3542-BF3542</f>
        <v>-0.750000000001819</v>
      </c>
      <c r="BH3542" s="19" t="str">
        <f aca="false">IF(BG3542=0,"",IF(BG3542&lt;&gt;BA3542,"erreur de calcul",IF(BD3542&lt;&gt;0,"pas de prix",IF(M3542&lt;&gt; 0,"pas de quantité","pas de prix, ni de quantité"))))</f>
        <v>erreur de calcul</v>
      </c>
      <c r="BI3542" s="19"/>
    </row>
    <row r="3543" customFormat="false" ht="15" hidden="false" customHeight="false" outlineLevel="0" collapsed="false">
      <c r="A3543" s="0" t="n">
        <v>31</v>
      </c>
      <c r="B3543" s="8" t="s">
        <v>24</v>
      </c>
      <c r="C3543" s="9" t="s">
        <v>25</v>
      </c>
      <c r="D3543" s="9" t="s">
        <v>26</v>
      </c>
      <c r="E3543" s="10" t="n">
        <v>1789</v>
      </c>
      <c r="F3543" s="9" t="s">
        <v>27</v>
      </c>
      <c r="G3543" s="9" t="s">
        <v>27</v>
      </c>
      <c r="H3543" s="11" t="n">
        <v>18</v>
      </c>
      <c r="I3543" s="11" t="s">
        <v>104</v>
      </c>
      <c r="J3543" s="14" t="n">
        <v>310</v>
      </c>
      <c r="K3543" s="14"/>
      <c r="L3543" s="16"/>
      <c r="M3543" s="27" t="n">
        <f aca="false">J3543+(K3543/20)+(L3543/240)</f>
        <v>310</v>
      </c>
      <c r="N3543" s="17" t="s">
        <v>64</v>
      </c>
      <c r="O3543" s="11"/>
      <c r="P3543" s="28"/>
      <c r="Q3543" s="28" t="n">
        <f aca="false">P3543*$M3543</f>
        <v>0</v>
      </c>
      <c r="R3543" s="28"/>
      <c r="S3543" s="28" t="n">
        <f aca="false">R3543*$M3543</f>
        <v>0</v>
      </c>
      <c r="T3543" s="28" t="n">
        <f aca="false">1087/100</f>
        <v>10.87</v>
      </c>
      <c r="U3543" s="28" t="n">
        <v>3370</v>
      </c>
      <c r="V3543" s="28" t="n">
        <f aca="false">285/100</f>
        <v>2.85</v>
      </c>
      <c r="W3543" s="28" t="n">
        <v>883</v>
      </c>
      <c r="X3543" s="29"/>
      <c r="Y3543" s="28" t="n">
        <f aca="false">X3543*$M3543</f>
        <v>0</v>
      </c>
      <c r="Z3543" s="28"/>
      <c r="AA3543" s="28" t="n">
        <f aca="false">Z3543*$M3543</f>
        <v>0</v>
      </c>
      <c r="AB3543" s="28"/>
      <c r="AC3543" s="28" t="n">
        <f aca="false">AB3543*$M3543</f>
        <v>0</v>
      </c>
      <c r="AD3543" s="28"/>
      <c r="AE3543" s="28" t="n">
        <f aca="false">AD3543*$M3543</f>
        <v>0</v>
      </c>
      <c r="AF3543" s="28"/>
      <c r="AG3543" s="28" t="n">
        <f aca="false">AF3543*$M3543</f>
        <v>0</v>
      </c>
      <c r="AH3543" s="28"/>
      <c r="AI3543" s="28" t="n">
        <f aca="false">AH3543*$M3543</f>
        <v>0</v>
      </c>
      <c r="AJ3543" s="28"/>
      <c r="AK3543" s="28" t="n">
        <f aca="false">AJ3543*$M3543</f>
        <v>0</v>
      </c>
      <c r="AL3543" s="28"/>
      <c r="AM3543" s="28" t="n">
        <f aca="false">AL3543*$M3543</f>
        <v>0</v>
      </c>
      <c r="AN3543" s="28"/>
      <c r="AO3543" s="28" t="n">
        <f aca="false">AN3543*$M3543</f>
        <v>0</v>
      </c>
      <c r="AP3543" s="28"/>
      <c r="AQ3543" s="28" t="n">
        <f aca="false">AP3543*$M3543</f>
        <v>0</v>
      </c>
      <c r="AR3543" s="28"/>
      <c r="AS3543" s="28" t="n">
        <f aca="false">AR3543*$M3543</f>
        <v>0</v>
      </c>
      <c r="AT3543" s="28"/>
      <c r="AU3543" s="28" t="n">
        <f aca="false">AT3543*$M3543</f>
        <v>0</v>
      </c>
      <c r="AV3543" s="28"/>
      <c r="AW3543" s="28" t="n">
        <f aca="false">AV3543*$M3543</f>
        <v>0</v>
      </c>
      <c r="AX3543" s="28"/>
      <c r="AY3543" s="28" t="n">
        <f aca="false">AX3543*$M3543</f>
        <v>0</v>
      </c>
      <c r="AZ3543" s="30" t="n">
        <f aca="false">1372/100</f>
        <v>13.72</v>
      </c>
      <c r="BA3543" s="11" t="n">
        <v>4253</v>
      </c>
      <c r="BB3543" s="31" t="n">
        <f aca="false">SUM(Q3543,S3543,U3543,W3543,Y3543,AA3543,AC3543,AE3543,AG3543,AI3543,AK3543,AM3543,AO3543,AQ3543,AS3543,AU3543,AW3543,AY3543)</f>
        <v>4253</v>
      </c>
      <c r="BC3543" s="28" t="n">
        <f aca="false">BA3543-BB3543</f>
        <v>0</v>
      </c>
      <c r="BD3543" s="32" t="n">
        <f aca="false">SUM(P3543,R3543,T3543,V3543,X3543,Z3543,AB3543,AD3543,AF3543,AH3543,AJ3543,AL3543,AN3543,AP3543,AR3543,AT3543,AV3543,AX3543)</f>
        <v>13.72</v>
      </c>
      <c r="BE3543" s="33" t="n">
        <f aca="false">AZ3543-BD3543</f>
        <v>0</v>
      </c>
      <c r="BF3543" s="34" t="n">
        <f aca="false">BD3543*M3543</f>
        <v>4253.2</v>
      </c>
      <c r="BG3543" s="35" t="n">
        <f aca="false">BA3543-BF3543</f>
        <v>-0.199999999999818</v>
      </c>
      <c r="BH3543" s="19" t="str">
        <f aca="false">IF(BG3543=0,"",IF(BG3543&lt;&gt;BA3543,"erreur de calcul",IF(BD3543&lt;&gt;0,"pas de prix",IF(M3543&lt;&gt; 0,"pas de quantité","pas de prix, ni de quantité"))))</f>
        <v>erreur de calcul</v>
      </c>
      <c r="BI3543" s="19"/>
    </row>
    <row r="3544" customFormat="false" ht="15" hidden="false" customHeight="false" outlineLevel="0" collapsed="false">
      <c r="A3544" s="0" t="n">
        <v>32</v>
      </c>
      <c r="B3544" s="8" t="s">
        <v>24</v>
      </c>
      <c r="C3544" s="9" t="s">
        <v>25</v>
      </c>
      <c r="D3544" s="9" t="s">
        <v>26</v>
      </c>
      <c r="E3544" s="10" t="n">
        <v>1789</v>
      </c>
      <c r="F3544" s="9" t="s">
        <v>27</v>
      </c>
      <c r="G3544" s="9" t="s">
        <v>27</v>
      </c>
      <c r="H3544" s="11" t="n">
        <v>18</v>
      </c>
      <c r="I3544" s="11" t="s">
        <v>105</v>
      </c>
      <c r="J3544" s="14" t="n">
        <v>570</v>
      </c>
      <c r="K3544" s="14"/>
      <c r="L3544" s="16"/>
      <c r="M3544" s="27" t="n">
        <f aca="false">J3544+(K3544/20)+(L3544/240)</f>
        <v>570</v>
      </c>
      <c r="N3544" s="17" t="s">
        <v>64</v>
      </c>
      <c r="O3544" s="11"/>
      <c r="P3544" s="28"/>
      <c r="Q3544" s="28" t="n">
        <f aca="false">P3544*$M3544</f>
        <v>0</v>
      </c>
      <c r="R3544" s="28"/>
      <c r="S3544" s="28" t="n">
        <f aca="false">R3544*$M3544</f>
        <v>0</v>
      </c>
      <c r="T3544" s="28" t="n">
        <f aca="false">7423/100</f>
        <v>74.23</v>
      </c>
      <c r="U3544" s="28" t="n">
        <v>42311</v>
      </c>
      <c r="V3544" s="28" t="n">
        <f aca="false">798/100</f>
        <v>7.98</v>
      </c>
      <c r="W3544" s="28" t="n">
        <v>4549</v>
      </c>
      <c r="X3544" s="29" t="n">
        <f aca="false">2068/100</f>
        <v>20.68</v>
      </c>
      <c r="Y3544" s="28" t="n">
        <v>8368</v>
      </c>
      <c r="Z3544" s="28"/>
      <c r="AA3544" s="28" t="n">
        <f aca="false">Z3544*$M3544</f>
        <v>0</v>
      </c>
      <c r="AB3544" s="28" t="n">
        <f aca="false">226/100</f>
        <v>2.26</v>
      </c>
      <c r="AC3544" s="28" t="n">
        <v>1288</v>
      </c>
      <c r="AD3544" s="28"/>
      <c r="AE3544" s="28" t="n">
        <f aca="false">AD3544*$M3544</f>
        <v>0</v>
      </c>
      <c r="AF3544" s="28"/>
      <c r="AG3544" s="28" t="n">
        <f aca="false">AF3544*$M3544</f>
        <v>0</v>
      </c>
      <c r="AH3544" s="28"/>
      <c r="AI3544" s="28" t="n">
        <f aca="false">AH3544*$M3544</f>
        <v>0</v>
      </c>
      <c r="AJ3544" s="28"/>
      <c r="AK3544" s="28" t="n">
        <f aca="false">AJ3544*$M3544</f>
        <v>0</v>
      </c>
      <c r="AL3544" s="28"/>
      <c r="AM3544" s="28" t="n">
        <f aca="false">AL3544*$M3544</f>
        <v>0</v>
      </c>
      <c r="AN3544" s="28"/>
      <c r="AO3544" s="28" t="n">
        <f aca="false">AN3544*$M3544</f>
        <v>0</v>
      </c>
      <c r="AP3544" s="28"/>
      <c r="AQ3544" s="28" t="n">
        <f aca="false">AP3544*$M3544</f>
        <v>0</v>
      </c>
      <c r="AR3544" s="28"/>
      <c r="AS3544" s="28" t="n">
        <f aca="false">AR3544*$M3544</f>
        <v>0</v>
      </c>
      <c r="AT3544" s="28"/>
      <c r="AU3544" s="28" t="n">
        <f aca="false">AT3544*$M3544</f>
        <v>0</v>
      </c>
      <c r="AV3544" s="28"/>
      <c r="AW3544" s="28" t="n">
        <f aca="false">AV3544*$M3544</f>
        <v>0</v>
      </c>
      <c r="AX3544" s="28"/>
      <c r="AY3544" s="28" t="n">
        <f aca="false">AX3544*$M3544</f>
        <v>0</v>
      </c>
      <c r="AZ3544" s="30" t="n">
        <f aca="false">10515/100</f>
        <v>105.15</v>
      </c>
      <c r="BA3544" s="11" t="n">
        <v>56516</v>
      </c>
      <c r="BB3544" s="31" t="n">
        <f aca="false">SUM(Q3544,S3544,U3544,W3544,Y3544,AA3544,AC3544,AE3544,AG3544,AI3544,AK3544,AM3544,AO3544,AQ3544,AS3544,AU3544,AW3544,AY3544)</f>
        <v>56516</v>
      </c>
      <c r="BC3544" s="28" t="n">
        <f aca="false">BA3544-BB3544</f>
        <v>0</v>
      </c>
      <c r="BD3544" s="32" t="n">
        <f aca="false">SUM(P3544,R3544,T3544,V3544,X3544,Z3544,AB3544,AD3544,AF3544,AH3544,AJ3544,AL3544,AN3544,AP3544,AR3544,AT3544,AV3544,AX3544)</f>
        <v>105.15</v>
      </c>
      <c r="BE3544" s="33" t="n">
        <f aca="false">AZ3544-BD3544</f>
        <v>0</v>
      </c>
      <c r="BF3544" s="34" t="n">
        <f aca="false">BD3544*M3544</f>
        <v>59935.5</v>
      </c>
      <c r="BG3544" s="35" t="n">
        <f aca="false">BA3544-BF3544</f>
        <v>-3419.5</v>
      </c>
      <c r="BH3544" s="19" t="str">
        <f aca="false">IF(BG3544=0,"",IF(BG3544&lt;&gt;BA3544,"erreur de calcul",IF(BD3544&lt;&gt;0,"pas de prix",IF(M3544&lt;&gt; 0,"pas de quantité","pas de prix, ni de quantité"))))</f>
        <v>erreur de calcul</v>
      </c>
      <c r="BI3544" s="19"/>
    </row>
    <row r="3545" customFormat="false" ht="15" hidden="false" customHeight="false" outlineLevel="0" collapsed="false">
      <c r="A3545" s="0" t="n">
        <v>33</v>
      </c>
      <c r="B3545" s="8" t="s">
        <v>24</v>
      </c>
      <c r="C3545" s="9" t="s">
        <v>25</v>
      </c>
      <c r="D3545" s="9" t="s">
        <v>26</v>
      </c>
      <c r="E3545" s="10" t="n">
        <v>1789</v>
      </c>
      <c r="F3545" s="9" t="s">
        <v>27</v>
      </c>
      <c r="G3545" s="9" t="s">
        <v>27</v>
      </c>
      <c r="H3545" s="11" t="n">
        <v>18</v>
      </c>
      <c r="I3545" s="11" t="s">
        <v>106</v>
      </c>
      <c r="J3545" s="14"/>
      <c r="K3545" s="14" t="n">
        <v>40</v>
      </c>
      <c r="L3545" s="16"/>
      <c r="M3545" s="27" t="n">
        <f aca="false">J3545+(K3545/20)+(L3545/240)</f>
        <v>2</v>
      </c>
      <c r="N3545" s="17" t="s">
        <v>66</v>
      </c>
      <c r="O3545" s="11"/>
      <c r="P3545" s="28"/>
      <c r="Q3545" s="28" t="n">
        <f aca="false">P3545*$M3545</f>
        <v>0</v>
      </c>
      <c r="R3545" s="28"/>
      <c r="S3545" s="28" t="n">
        <f aca="false">R3545*$M3545</f>
        <v>0</v>
      </c>
      <c r="T3545" s="28"/>
      <c r="U3545" s="28" t="n">
        <f aca="false">T3545*$M3545</f>
        <v>0</v>
      </c>
      <c r="V3545" s="28" t="n">
        <v>892</v>
      </c>
      <c r="W3545" s="28" t="n">
        <v>1784</v>
      </c>
      <c r="X3545" s="29"/>
      <c r="Y3545" s="28" t="n">
        <f aca="false">X3545*$M3545</f>
        <v>0</v>
      </c>
      <c r="Z3545" s="28"/>
      <c r="AA3545" s="28" t="n">
        <f aca="false">Z3545*$M3545</f>
        <v>0</v>
      </c>
      <c r="AB3545" s="28"/>
      <c r="AC3545" s="28" t="n">
        <f aca="false">AB3545*$M3545</f>
        <v>0</v>
      </c>
      <c r="AD3545" s="28"/>
      <c r="AE3545" s="28" t="n">
        <f aca="false">AD3545*$M3545</f>
        <v>0</v>
      </c>
      <c r="AF3545" s="28"/>
      <c r="AG3545" s="28" t="n">
        <f aca="false">AF3545*$M3545</f>
        <v>0</v>
      </c>
      <c r="AH3545" s="28" t="n">
        <v>1961</v>
      </c>
      <c r="AI3545" s="28" t="n">
        <v>3922</v>
      </c>
      <c r="AJ3545" s="28"/>
      <c r="AK3545" s="28" t="n">
        <f aca="false">AJ3545*$M3545</f>
        <v>0</v>
      </c>
      <c r="AL3545" s="28"/>
      <c r="AM3545" s="28" t="n">
        <f aca="false">AL3545*$M3545</f>
        <v>0</v>
      </c>
      <c r="AN3545" s="28"/>
      <c r="AO3545" s="28" t="n">
        <f aca="false">AN3545*$M3545</f>
        <v>0</v>
      </c>
      <c r="AP3545" s="28"/>
      <c r="AQ3545" s="28" t="n">
        <f aca="false">AP3545*$M3545</f>
        <v>0</v>
      </c>
      <c r="AR3545" s="28"/>
      <c r="AS3545" s="28" t="n">
        <f aca="false">AR3545*$M3545</f>
        <v>0</v>
      </c>
      <c r="AT3545" s="28"/>
      <c r="AU3545" s="28" t="n">
        <f aca="false">AT3545*$M3545</f>
        <v>0</v>
      </c>
      <c r="AV3545" s="28"/>
      <c r="AW3545" s="28" t="n">
        <f aca="false">AV3545*$M3545</f>
        <v>0</v>
      </c>
      <c r="AX3545" s="28"/>
      <c r="AY3545" s="28" t="n">
        <f aca="false">AX3545*$M3545</f>
        <v>0</v>
      </c>
      <c r="AZ3545" s="30" t="n">
        <v>2853</v>
      </c>
      <c r="BA3545" s="11" t="n">
        <v>5706</v>
      </c>
      <c r="BB3545" s="31" t="n">
        <f aca="false">SUM(Q3545,S3545,U3545,W3545,Y3545,AA3545,AC3545,AE3545,AG3545,AI3545,AK3545,AM3545,AO3545,AQ3545,AS3545,AU3545,AW3545,AY3545)</f>
        <v>5706</v>
      </c>
      <c r="BC3545" s="28" t="n">
        <f aca="false">BA3545-BB3545</f>
        <v>0</v>
      </c>
      <c r="BD3545" s="32" t="n">
        <f aca="false">SUM(P3545,R3545,T3545,V3545,X3545,Z3545,AB3545,AD3545,AF3545,AH3545,AJ3545,AL3545,AN3545,AP3545,AR3545,AT3545,AV3545,AX3545)</f>
        <v>2853</v>
      </c>
      <c r="BE3545" s="33" t="n">
        <f aca="false">AZ3545-BD3545</f>
        <v>0</v>
      </c>
      <c r="BF3545" s="34" t="n">
        <f aca="false">BD3545*M3545</f>
        <v>5706</v>
      </c>
      <c r="BG3545" s="35" t="n">
        <f aca="false">BA3545-BF3545</f>
        <v>0</v>
      </c>
      <c r="BH3545" s="19" t="str">
        <f aca="false">IF(BG3545=0,"",IF(BG3545&lt;&gt;BA3545,"erreur de calcul",IF(BD3545&lt;&gt;0,"pas de prix",IF(M3545&lt;&gt; 0,"pas de quantité","pas de prix, ni de quantité"))))</f>
        <v/>
      </c>
      <c r="BI3545" s="19"/>
    </row>
    <row r="3546" customFormat="false" ht="15" hidden="false" customHeight="false" outlineLevel="0" collapsed="false">
      <c r="A3546" s="0" t="n">
        <v>34</v>
      </c>
      <c r="B3546" s="8" t="s">
        <v>24</v>
      </c>
      <c r="C3546" s="9" t="s">
        <v>25</v>
      </c>
      <c r="D3546" s="9" t="s">
        <v>26</v>
      </c>
      <c r="E3546" s="10" t="n">
        <v>1789</v>
      </c>
      <c r="F3546" s="9" t="s">
        <v>27</v>
      </c>
      <c r="G3546" s="9" t="s">
        <v>27</v>
      </c>
      <c r="H3546" s="11" t="n">
        <v>18</v>
      </c>
      <c r="I3546" s="11" t="s">
        <v>107</v>
      </c>
      <c r="J3546" s="14" t="n">
        <v>180</v>
      </c>
      <c r="K3546" s="14"/>
      <c r="L3546" s="16"/>
      <c r="M3546" s="27" t="n">
        <f aca="false">J3546+(K3546/20)+(L3546/240)</f>
        <v>180</v>
      </c>
      <c r="N3546" s="17" t="s">
        <v>64</v>
      </c>
      <c r="O3546" s="11"/>
      <c r="P3546" s="28"/>
      <c r="Q3546" s="28" t="n">
        <f aca="false">P3546*$M3546</f>
        <v>0</v>
      </c>
      <c r="R3546" s="28"/>
      <c r="S3546" s="28" t="n">
        <f aca="false">R3546*$M3546</f>
        <v>0</v>
      </c>
      <c r="T3546" s="28"/>
      <c r="U3546" s="28" t="n">
        <f aca="false">T3546*$M3546</f>
        <v>0</v>
      </c>
      <c r="V3546" s="28"/>
      <c r="W3546" s="28" t="n">
        <f aca="false">V3546*$M3546</f>
        <v>0</v>
      </c>
      <c r="X3546" s="29"/>
      <c r="Y3546" s="28" t="n">
        <f aca="false">X3546*$M3546</f>
        <v>0</v>
      </c>
      <c r="Z3546" s="28"/>
      <c r="AA3546" s="28" t="n">
        <f aca="false">Z3546*$M3546</f>
        <v>0</v>
      </c>
      <c r="AB3546" s="28"/>
      <c r="AC3546" s="28" t="n">
        <f aca="false">AB3546*$M3546</f>
        <v>0</v>
      </c>
      <c r="AD3546" s="28"/>
      <c r="AE3546" s="28" t="n">
        <f aca="false">AD3546*$M3546</f>
        <v>0</v>
      </c>
      <c r="AF3546" s="28"/>
      <c r="AG3546" s="28" t="n">
        <f aca="false">AF3546*$M3546</f>
        <v>0</v>
      </c>
      <c r="AH3546" s="28" t="n">
        <f aca="false">28680/100</f>
        <v>286.8</v>
      </c>
      <c r="AI3546" s="28" t="n">
        <v>51624</v>
      </c>
      <c r="AJ3546" s="28"/>
      <c r="AK3546" s="28" t="n">
        <f aca="false">AJ3546*$M3546</f>
        <v>0</v>
      </c>
      <c r="AL3546" s="28"/>
      <c r="AM3546" s="28" t="n">
        <f aca="false">AL3546*$M3546</f>
        <v>0</v>
      </c>
      <c r="AN3546" s="28"/>
      <c r="AO3546" s="28" t="n">
        <f aca="false">AN3546*$M3546</f>
        <v>0</v>
      </c>
      <c r="AP3546" s="28"/>
      <c r="AQ3546" s="28" t="n">
        <f aca="false">AP3546*$M3546</f>
        <v>0</v>
      </c>
      <c r="AR3546" s="28"/>
      <c r="AS3546" s="28" t="n">
        <f aca="false">AR3546*$M3546</f>
        <v>0</v>
      </c>
      <c r="AT3546" s="28"/>
      <c r="AU3546" s="28" t="n">
        <f aca="false">AT3546*$M3546</f>
        <v>0</v>
      </c>
      <c r="AV3546" s="28"/>
      <c r="AW3546" s="28" t="n">
        <f aca="false">AV3546*$M3546</f>
        <v>0</v>
      </c>
      <c r="AX3546" s="28"/>
      <c r="AY3546" s="28" t="n">
        <f aca="false">AX3546*$M3546</f>
        <v>0</v>
      </c>
      <c r="AZ3546" s="30" t="n">
        <f aca="false">28680/100</f>
        <v>286.8</v>
      </c>
      <c r="BA3546" s="11" t="n">
        <v>51624</v>
      </c>
      <c r="BB3546" s="31" t="n">
        <f aca="false">SUM(Q3546,S3546,U3546,W3546,Y3546,AA3546,AC3546,AE3546,AG3546,AI3546,AK3546,AM3546,AO3546,AQ3546,AS3546,AU3546,AW3546,AY3546)</f>
        <v>51624</v>
      </c>
      <c r="BC3546" s="28" t="n">
        <f aca="false">BA3546-BB3546</f>
        <v>0</v>
      </c>
      <c r="BD3546" s="32" t="n">
        <f aca="false">SUM(P3546,R3546,T3546,V3546,X3546,Z3546,AB3546,AD3546,AF3546,AH3546,AJ3546,AL3546,AN3546,AP3546,AR3546,AT3546,AV3546,AX3546)</f>
        <v>286.8</v>
      </c>
      <c r="BE3546" s="33" t="n">
        <f aca="false">AZ3546-BD3546</f>
        <v>0</v>
      </c>
      <c r="BF3546" s="34" t="n">
        <f aca="false">BD3546*M3546</f>
        <v>51624</v>
      </c>
      <c r="BG3546" s="35" t="n">
        <f aca="false">BA3546-BF3546</f>
        <v>0</v>
      </c>
      <c r="BH3546" s="19" t="str">
        <f aca="false">IF(BG3546=0,"",IF(BG3546&lt;&gt;BA3546,"erreur de calcul",IF(BD3546&lt;&gt;0,"pas de prix",IF(M3546&lt;&gt; 0,"pas de quantité","pas de prix, ni de quantité"))))</f>
        <v/>
      </c>
      <c r="BI3546" s="19"/>
    </row>
    <row r="3547" customFormat="false" ht="15" hidden="false" customHeight="false" outlineLevel="0" collapsed="false">
      <c r="A3547" s="0" t="n">
        <v>35</v>
      </c>
      <c r="B3547" s="8" t="s">
        <v>24</v>
      </c>
      <c r="C3547" s="9" t="s">
        <v>25</v>
      </c>
      <c r="D3547" s="9" t="s">
        <v>26</v>
      </c>
      <c r="E3547" s="10" t="n">
        <v>1789</v>
      </c>
      <c r="F3547" s="9" t="s">
        <v>27</v>
      </c>
      <c r="G3547" s="9" t="s">
        <v>27</v>
      </c>
      <c r="H3547" s="11" t="n">
        <v>18</v>
      </c>
      <c r="I3547" s="11" t="s">
        <v>108</v>
      </c>
      <c r="J3547" s="14" t="n">
        <v>11</v>
      </c>
      <c r="K3547" s="14"/>
      <c r="L3547" s="16"/>
      <c r="M3547" s="27" t="n">
        <f aca="false">J3547+(K3547/20)+(L3547/240)</f>
        <v>11</v>
      </c>
      <c r="N3547" s="17" t="s">
        <v>64</v>
      </c>
      <c r="O3547" s="11" t="s">
        <v>109</v>
      </c>
      <c r="P3547" s="28"/>
      <c r="Q3547" s="28" t="n">
        <f aca="false">P3547*$M3547</f>
        <v>0</v>
      </c>
      <c r="R3547" s="28"/>
      <c r="S3547" s="28" t="n">
        <f aca="false">R3547*$M3547</f>
        <v>0</v>
      </c>
      <c r="T3547" s="28"/>
      <c r="U3547" s="28" t="n">
        <f aca="false">T3547*$M3547</f>
        <v>0</v>
      </c>
      <c r="V3547" s="28"/>
      <c r="W3547" s="28" t="n">
        <f aca="false">V3547*$M3547</f>
        <v>0</v>
      </c>
      <c r="X3547" s="29"/>
      <c r="Y3547" s="28" t="n">
        <f aca="false">X3547*$M3547</f>
        <v>0</v>
      </c>
      <c r="Z3547" s="28"/>
      <c r="AA3547" s="28" t="n">
        <f aca="false">Z3547*$M3547</f>
        <v>0</v>
      </c>
      <c r="AB3547" s="28"/>
      <c r="AC3547" s="28" t="n">
        <f aca="false">AB3547*$M3547</f>
        <v>0</v>
      </c>
      <c r="AD3547" s="28"/>
      <c r="AE3547" s="28" t="n">
        <f aca="false">AD3547*$M3547</f>
        <v>0</v>
      </c>
      <c r="AF3547" s="28"/>
      <c r="AG3547" s="28" t="n">
        <f aca="false">AF3547*$M3547</f>
        <v>0</v>
      </c>
      <c r="AH3547" s="28"/>
      <c r="AI3547" s="28" t="n">
        <f aca="false">AH3547*$M3547</f>
        <v>0</v>
      </c>
      <c r="AJ3547" s="28" t="n">
        <f aca="false">1784/100</f>
        <v>17.84</v>
      </c>
      <c r="AK3547" s="28" t="n">
        <v>196</v>
      </c>
      <c r="AL3547" s="28" t="n">
        <f aca="false">7942/100</f>
        <v>79.42</v>
      </c>
      <c r="AM3547" s="28" t="n">
        <v>874</v>
      </c>
      <c r="AN3547" s="28"/>
      <c r="AO3547" s="28" t="n">
        <f aca="false">AN3547*$M3547</f>
        <v>0</v>
      </c>
      <c r="AP3547" s="28" t="n">
        <f aca="false">13980/100</f>
        <v>139.8</v>
      </c>
      <c r="AQ3547" s="28" t="n">
        <v>1538</v>
      </c>
      <c r="AR3547" s="28" t="n">
        <f aca="false">96390/100</f>
        <v>963.9</v>
      </c>
      <c r="AS3547" s="28" t="n">
        <v>10603</v>
      </c>
      <c r="AT3547" s="28"/>
      <c r="AU3547" s="28" t="n">
        <f aca="false">AT3547*$M3547</f>
        <v>0</v>
      </c>
      <c r="AV3547" s="28"/>
      <c r="AW3547" s="28" t="n">
        <f aca="false">AV3547*$M3547</f>
        <v>0</v>
      </c>
      <c r="AX3547" s="28"/>
      <c r="AY3547" s="28" t="n">
        <f aca="false">AX3547*$M3547</f>
        <v>0</v>
      </c>
      <c r="AZ3547" s="30" t="n">
        <f aca="false">120096/100</f>
        <v>1200.96</v>
      </c>
      <c r="BA3547" s="11" t="n">
        <v>13211</v>
      </c>
      <c r="BB3547" s="31" t="n">
        <f aca="false">SUM(Q3547,S3547,U3547,W3547,Y3547,AA3547,AC3547,AE3547,AG3547,AI3547,AK3547,AM3547,AO3547,AQ3547,AS3547,AU3547,AW3547,AY3547)</f>
        <v>13211</v>
      </c>
      <c r="BC3547" s="28" t="n">
        <f aca="false">BA3547-BB3547</f>
        <v>0</v>
      </c>
      <c r="BD3547" s="32" t="n">
        <f aca="false">SUM(P3547,R3547,T3547,V3547,X3547,Z3547,AB3547,AD3547,AF3547,AH3547,AJ3547,AL3547,AN3547,AP3547,AR3547,AT3547,AV3547,AX3547)</f>
        <v>1200.96</v>
      </c>
      <c r="BE3547" s="33" t="n">
        <f aca="false">AZ3547-BD3547</f>
        <v>0</v>
      </c>
      <c r="BF3547" s="34" t="n">
        <f aca="false">BD3547*M3547</f>
        <v>13210.56</v>
      </c>
      <c r="BG3547" s="35" t="n">
        <f aca="false">BA3547-BF3547</f>
        <v>0.43999999999869</v>
      </c>
      <c r="BH3547" s="19" t="str">
        <f aca="false">IF(BG3547=0,"",IF(BG3547&lt;&gt;BA3547,"erreur de calcul",IF(BD3547&lt;&gt;0,"pas de prix",IF(M3547&lt;&gt; 0,"pas de quantité","pas de prix, ni de quantité"))))</f>
        <v>erreur de calcul</v>
      </c>
      <c r="BI3547" s="19"/>
    </row>
    <row r="3548" customFormat="false" ht="15" hidden="false" customHeight="false" outlineLevel="0" collapsed="false">
      <c r="A3548" s="0" t="n">
        <v>36</v>
      </c>
      <c r="B3548" s="8" t="s">
        <v>24</v>
      </c>
      <c r="C3548" s="9" t="s">
        <v>25</v>
      </c>
      <c r="D3548" s="9" t="s">
        <v>26</v>
      </c>
      <c r="E3548" s="10" t="n">
        <v>1789</v>
      </c>
      <c r="F3548" s="9" t="s">
        <v>27</v>
      </c>
      <c r="G3548" s="9" t="s">
        <v>27</v>
      </c>
      <c r="H3548" s="11" t="n">
        <v>18</v>
      </c>
      <c r="I3548" s="11" t="s">
        <v>110</v>
      </c>
      <c r="J3548" s="14" t="n">
        <v>12</v>
      </c>
      <c r="K3548" s="14"/>
      <c r="L3548" s="16"/>
      <c r="M3548" s="27" t="n">
        <f aca="false">J3548+(K3548/20)+(L3548/240)</f>
        <v>12</v>
      </c>
      <c r="N3548" s="17" t="s">
        <v>64</v>
      </c>
      <c r="O3548" s="11" t="s">
        <v>109</v>
      </c>
      <c r="P3548" s="28" t="n">
        <f aca="false">30663/100</f>
        <v>306.63</v>
      </c>
      <c r="Q3548" s="28" t="n">
        <v>3679</v>
      </c>
      <c r="R3548" s="28"/>
      <c r="S3548" s="28" t="n">
        <f aca="false">R3548*$M3548</f>
        <v>0</v>
      </c>
      <c r="T3548" s="28"/>
      <c r="U3548" s="28" t="n">
        <f aca="false">T3548*$M3548</f>
        <v>0</v>
      </c>
      <c r="V3548" s="28"/>
      <c r="W3548" s="28" t="n">
        <f aca="false">V3548*$M3548</f>
        <v>0</v>
      </c>
      <c r="X3548" s="29"/>
      <c r="Y3548" s="28" t="n">
        <f aca="false">X3548*$M3548</f>
        <v>0</v>
      </c>
      <c r="Z3548" s="28"/>
      <c r="AA3548" s="28" t="n">
        <f aca="false">Z3548*$M3548</f>
        <v>0</v>
      </c>
      <c r="AB3548" s="28"/>
      <c r="AC3548" s="28" t="n">
        <f aca="false">AB3548*$M3548</f>
        <v>0</v>
      </c>
      <c r="AD3548" s="28"/>
      <c r="AE3548" s="28" t="n">
        <f aca="false">AD3548*$M3548</f>
        <v>0</v>
      </c>
      <c r="AF3548" s="28"/>
      <c r="AG3548" s="28" t="n">
        <f aca="false">AF3548*$M3548</f>
        <v>0</v>
      </c>
      <c r="AH3548" s="28"/>
      <c r="AI3548" s="28" t="n">
        <f aca="false">AH3548*$M3548</f>
        <v>0</v>
      </c>
      <c r="AJ3548" s="28"/>
      <c r="AK3548" s="28" t="n">
        <f aca="false">AJ3548*$M3548</f>
        <v>0</v>
      </c>
      <c r="AL3548" s="28" t="n">
        <f aca="false">114207/100</f>
        <v>1142.07</v>
      </c>
      <c r="AM3548" s="28" t="n">
        <v>13705</v>
      </c>
      <c r="AN3548" s="28" t="n">
        <f aca="false">2100/100</f>
        <v>21</v>
      </c>
      <c r="AO3548" s="28" t="n">
        <v>252</v>
      </c>
      <c r="AP3548" s="28" t="n">
        <f aca="false">16107/100</f>
        <v>161.07</v>
      </c>
      <c r="AQ3548" s="28" t="n">
        <v>1933</v>
      </c>
      <c r="AR3548" s="28" t="n">
        <f aca="false">553069/100</f>
        <v>5530.69</v>
      </c>
      <c r="AS3548" s="28" t="n">
        <v>66368</v>
      </c>
      <c r="AT3548" s="28" t="n">
        <f aca="false">6160/100</f>
        <v>61.6</v>
      </c>
      <c r="AU3548" s="28" t="n">
        <v>739</v>
      </c>
      <c r="AV3548" s="28" t="n">
        <f aca="false">2640/100</f>
        <v>26.4</v>
      </c>
      <c r="AW3548" s="28" t="n">
        <v>317</v>
      </c>
      <c r="AX3548" s="28" t="n">
        <f aca="false">8767/100</f>
        <v>87.67</v>
      </c>
      <c r="AY3548" s="36" t="n">
        <v>1085</v>
      </c>
      <c r="AZ3548" s="30" t="n">
        <f aca="false">733753/100</f>
        <v>7337.53</v>
      </c>
      <c r="BA3548" s="11" t="n">
        <v>88078</v>
      </c>
      <c r="BB3548" s="31" t="n">
        <f aca="false">SUM(Q3548,S3548,U3548,W3548,Y3548,AA3548,AC3548,AE3548,AG3548,AI3548,AK3548,AM3548,AO3548,AQ3548,AS3548,AU3548,AW3548,AY3548)</f>
        <v>88078</v>
      </c>
      <c r="BC3548" s="28" t="n">
        <f aca="false">BA3548-BB3548</f>
        <v>0</v>
      </c>
      <c r="BD3548" s="32" t="n">
        <f aca="false">SUM(P3548,R3548,T3548,V3548,X3548,Z3548,AB3548,AD3548,AF3548,AH3548,AJ3548,AL3548,AN3548,AP3548,AR3548,AT3548,AV3548,AX3548)</f>
        <v>7337.13</v>
      </c>
      <c r="BE3548" s="33" t="n">
        <f aca="false">AZ3548-BD3548</f>
        <v>0.400000000000546</v>
      </c>
      <c r="BF3548" s="34" t="n">
        <f aca="false">BD3548*M3548</f>
        <v>88045.56</v>
      </c>
      <c r="BG3548" s="35" t="n">
        <f aca="false">BA3548-BF3548</f>
        <v>32.4400000000023</v>
      </c>
      <c r="BH3548" s="19" t="str">
        <f aca="false">IF(BG3548=0,"",IF(BG3548&lt;&gt;BA3548,"erreur de calcul",IF(BD3548&lt;&gt;0,"pas de prix",IF(M3548&lt;&gt; 0,"pas de quantité","pas de prix, ni de quantité"))))</f>
        <v>erreur de calcul</v>
      </c>
      <c r="BI3548" s="19"/>
    </row>
    <row r="3549" customFormat="false" ht="15" hidden="false" customHeight="false" outlineLevel="0" collapsed="false">
      <c r="A3549" s="0" t="n">
        <v>37</v>
      </c>
      <c r="B3549" s="8" t="s">
        <v>24</v>
      </c>
      <c r="C3549" s="9" t="s">
        <v>25</v>
      </c>
      <c r="D3549" s="9" t="s">
        <v>26</v>
      </c>
      <c r="E3549" s="10" t="n">
        <v>1789</v>
      </c>
      <c r="F3549" s="9" t="s">
        <v>27</v>
      </c>
      <c r="G3549" s="9" t="s">
        <v>27</v>
      </c>
      <c r="H3549" s="11" t="n">
        <v>18</v>
      </c>
      <c r="I3549" s="11" t="s">
        <v>111</v>
      </c>
      <c r="J3549" s="14" t="n">
        <v>10</v>
      </c>
      <c r="K3549" s="14"/>
      <c r="L3549" s="16"/>
      <c r="M3549" s="27" t="n">
        <f aca="false">J3549+(K3549/20)+(L3549/240)</f>
        <v>10</v>
      </c>
      <c r="N3549" s="17" t="s">
        <v>64</v>
      </c>
      <c r="O3549" s="11"/>
      <c r="P3549" s="28"/>
      <c r="Q3549" s="28" t="n">
        <f aca="false">P3549*$M3549</f>
        <v>0</v>
      </c>
      <c r="R3549" s="28"/>
      <c r="S3549" s="28" t="n">
        <f aca="false">R3549*$M3549</f>
        <v>0</v>
      </c>
      <c r="T3549" s="28"/>
      <c r="U3549" s="28" t="n">
        <f aca="false">T3549*$M3549</f>
        <v>0</v>
      </c>
      <c r="V3549" s="28"/>
      <c r="W3549" s="28" t="n">
        <f aca="false">V3549*$M3549</f>
        <v>0</v>
      </c>
      <c r="X3549" s="29"/>
      <c r="Y3549" s="28" t="n">
        <f aca="false">X3549*$M3549</f>
        <v>0</v>
      </c>
      <c r="Z3549" s="28"/>
      <c r="AA3549" s="28" t="n">
        <f aca="false">Z3549*$M3549</f>
        <v>0</v>
      </c>
      <c r="AB3549" s="28"/>
      <c r="AC3549" s="28" t="n">
        <f aca="false">AB3549*$M3549</f>
        <v>0</v>
      </c>
      <c r="AD3549" s="28"/>
      <c r="AE3549" s="28" t="n">
        <f aca="false">AD3549*$M3549</f>
        <v>0</v>
      </c>
      <c r="AF3549" s="28"/>
      <c r="AG3549" s="28" t="n">
        <f aca="false">AF3549*$M3549</f>
        <v>0</v>
      </c>
      <c r="AH3549" s="28"/>
      <c r="AI3549" s="28" t="n">
        <f aca="false">AH3549*$M3549</f>
        <v>0</v>
      </c>
      <c r="AJ3549" s="28"/>
      <c r="AK3549" s="28" t="n">
        <f aca="false">AJ3549*$M3549</f>
        <v>0</v>
      </c>
      <c r="AL3549" s="28"/>
      <c r="AM3549" s="28" t="n">
        <f aca="false">AL3549*$M3549</f>
        <v>0</v>
      </c>
      <c r="AN3549" s="28"/>
      <c r="AO3549" s="28" t="n">
        <f aca="false">AN3549*$M3549</f>
        <v>0</v>
      </c>
      <c r="AP3549" s="28"/>
      <c r="AQ3549" s="28" t="n">
        <f aca="false">AP3549*$M3549</f>
        <v>0</v>
      </c>
      <c r="AR3549" s="28"/>
      <c r="AS3549" s="28" t="n">
        <f aca="false">AR3549*$M3549</f>
        <v>0</v>
      </c>
      <c r="AT3549" s="28"/>
      <c r="AU3549" s="28" t="n">
        <f aca="false">AT3549*$M3549</f>
        <v>0</v>
      </c>
      <c r="AV3549" s="28"/>
      <c r="AW3549" s="28" t="n">
        <f aca="false">AV3549*$M3549</f>
        <v>0</v>
      </c>
      <c r="AX3549" s="28" t="n">
        <f aca="false">16133/100</f>
        <v>161.33</v>
      </c>
      <c r="AY3549" s="28" t="n">
        <v>1613</v>
      </c>
      <c r="AZ3549" s="30"/>
      <c r="BA3549" s="11" t="n">
        <v>1613</v>
      </c>
      <c r="BB3549" s="31" t="n">
        <f aca="false">SUM(Q3549,S3549,U3549,W3549,Y3549,AA3549,AC3549,AE3549,AG3549,AI3549,AK3549,AM3549,AO3549,AQ3549,AS3549,AU3549,AW3549,AY3549)</f>
        <v>1613</v>
      </c>
      <c r="BC3549" s="28" t="n">
        <f aca="false">BA3549-BB3549</f>
        <v>0</v>
      </c>
      <c r="BD3549" s="32" t="n">
        <f aca="false">SUM(P3549,R3549,T3549,V3549,X3549,Z3549,AB3549,AD3549,AF3549,AH3549,AJ3549,AL3549,AN3549,AP3549,AR3549,AT3549,AV3549,AX3549)</f>
        <v>161.33</v>
      </c>
      <c r="BE3549" s="33" t="n">
        <f aca="false">AZ3549-BD3549</f>
        <v>-161.33</v>
      </c>
      <c r="BF3549" s="34" t="n">
        <f aca="false">BD3549*M3549</f>
        <v>1613.3</v>
      </c>
      <c r="BG3549" s="35" t="n">
        <f aca="false">BA3549-BF3549</f>
        <v>-0.300000000000182</v>
      </c>
      <c r="BH3549" s="19" t="str">
        <f aca="false">IF(BG3549=0,"",IF(BG3549&lt;&gt;BA3549,"erreur de calcul",IF(BD3549&lt;&gt;0,"pas de prix",IF(M3549&lt;&gt; 0,"pas de quantité","pas de prix, ni de quantité"))))</f>
        <v>erreur de calcul</v>
      </c>
      <c r="BI3549" s="19"/>
    </row>
    <row r="3550" customFormat="false" ht="15" hidden="false" customHeight="false" outlineLevel="0" collapsed="false">
      <c r="A3550" s="0" t="n">
        <v>38</v>
      </c>
      <c r="B3550" s="8" t="s">
        <v>24</v>
      </c>
      <c r="C3550" s="9" t="s">
        <v>25</v>
      </c>
      <c r="D3550" s="9" t="s">
        <v>26</v>
      </c>
      <c r="E3550" s="10" t="n">
        <v>1789</v>
      </c>
      <c r="F3550" s="9" t="s">
        <v>27</v>
      </c>
      <c r="G3550" s="9" t="s">
        <v>27</v>
      </c>
      <c r="H3550" s="11" t="n">
        <v>18</v>
      </c>
      <c r="I3550" s="11" t="s">
        <v>112</v>
      </c>
      <c r="J3550" s="14" t="n">
        <v>100</v>
      </c>
      <c r="K3550" s="14"/>
      <c r="L3550" s="16"/>
      <c r="M3550" s="27" t="n">
        <f aca="false">J3550+(K3550/20)+(L3550/240)</f>
        <v>100</v>
      </c>
      <c r="N3550" s="17" t="s">
        <v>64</v>
      </c>
      <c r="O3550" s="11"/>
      <c r="P3550" s="28" t="n">
        <f aca="false">69730/100</f>
        <v>697.3</v>
      </c>
      <c r="Q3550" s="28" t="n">
        <v>69730</v>
      </c>
      <c r="R3550" s="28"/>
      <c r="S3550" s="28" t="n">
        <f aca="false">R3550*$M3550</f>
        <v>0</v>
      </c>
      <c r="T3550" s="28"/>
      <c r="U3550" s="28" t="n">
        <f aca="false">T3550*$M3550</f>
        <v>0</v>
      </c>
      <c r="V3550" s="28"/>
      <c r="W3550" s="28" t="n">
        <f aca="false">V3550*$M3550</f>
        <v>0</v>
      </c>
      <c r="X3550" s="29"/>
      <c r="Y3550" s="28" t="n">
        <f aca="false">X3550*$M3550</f>
        <v>0</v>
      </c>
      <c r="Z3550" s="28"/>
      <c r="AA3550" s="28" t="n">
        <f aca="false">Z3550*$M3550</f>
        <v>0</v>
      </c>
      <c r="AB3550" s="28"/>
      <c r="AC3550" s="28" t="n">
        <f aca="false">AB3550*$M3550</f>
        <v>0</v>
      </c>
      <c r="AD3550" s="28"/>
      <c r="AE3550" s="28" t="n">
        <f aca="false">AD3550*$M3550</f>
        <v>0</v>
      </c>
      <c r="AF3550" s="28"/>
      <c r="AG3550" s="28" t="n">
        <f aca="false">AF3550*$M3550</f>
        <v>0</v>
      </c>
      <c r="AH3550" s="28"/>
      <c r="AI3550" s="28" t="n">
        <f aca="false">AH3550*$M3550</f>
        <v>0</v>
      </c>
      <c r="AJ3550" s="28"/>
      <c r="AK3550" s="28" t="n">
        <f aca="false">AJ3550*$M3550</f>
        <v>0</v>
      </c>
      <c r="AL3550" s="28"/>
      <c r="AM3550" s="28" t="n">
        <f aca="false">AL3550*$M3550</f>
        <v>0</v>
      </c>
      <c r="AN3550" s="28"/>
      <c r="AO3550" s="28" t="n">
        <f aca="false">AN3550*$M3550</f>
        <v>0</v>
      </c>
      <c r="AP3550" s="28"/>
      <c r="AQ3550" s="28" t="n">
        <f aca="false">AP3550*$M3550</f>
        <v>0</v>
      </c>
      <c r="AR3550" s="28"/>
      <c r="AS3550" s="28" t="n">
        <f aca="false">AR3550*$M3550</f>
        <v>0</v>
      </c>
      <c r="AT3550" s="28"/>
      <c r="AU3550" s="28" t="n">
        <f aca="false">AT3550*$M3550</f>
        <v>0</v>
      </c>
      <c r="AV3550" s="28"/>
      <c r="AW3550" s="28" t="n">
        <f aca="false">AV3550*$M3550</f>
        <v>0</v>
      </c>
      <c r="AX3550" s="28"/>
      <c r="AY3550" s="28" t="n">
        <f aca="false">AX3550*$M3550</f>
        <v>0</v>
      </c>
      <c r="AZ3550" s="30" t="n">
        <f aca="false">69730/100</f>
        <v>697.3</v>
      </c>
      <c r="BA3550" s="11" t="n">
        <v>69730</v>
      </c>
      <c r="BB3550" s="31" t="n">
        <f aca="false">SUM(Q3550,S3550,U3550,W3550,Y3550,AA3550,AC3550,AE3550,AG3550,AI3550,AK3550,AM3550,AO3550,AQ3550,AS3550,AU3550,AW3550,AY3550)</f>
        <v>69730</v>
      </c>
      <c r="BC3550" s="28" t="n">
        <f aca="false">BA3550-BB3550</f>
        <v>0</v>
      </c>
      <c r="BD3550" s="32" t="n">
        <f aca="false">SUM(P3550,R3550,T3550,V3550,X3550,Z3550,AB3550,AD3550,AF3550,AH3550,AJ3550,AL3550,AN3550,AP3550,AR3550,AT3550,AV3550,AX3550)</f>
        <v>697.3</v>
      </c>
      <c r="BE3550" s="33" t="n">
        <f aca="false">AZ3550-BD3550</f>
        <v>0</v>
      </c>
      <c r="BF3550" s="34" t="n">
        <f aca="false">BD3550*M3550</f>
        <v>69730</v>
      </c>
      <c r="BG3550" s="35" t="n">
        <f aca="false">BA3550-BF3550</f>
        <v>0</v>
      </c>
      <c r="BH3550" s="19" t="str">
        <f aca="false">IF(BG3550=0,"",IF(BG3550&lt;&gt;BA3550,"erreur de calcul",IF(BD3550&lt;&gt;0,"pas de prix",IF(M3550&lt;&gt; 0,"pas de quantité","pas de prix, ni de quantité"))))</f>
        <v/>
      </c>
      <c r="BI3550" s="19" t="s">
        <v>113</v>
      </c>
    </row>
    <row r="3551" customFormat="false" ht="15" hidden="false" customHeight="false" outlineLevel="0" collapsed="false">
      <c r="A3551" s="0" t="n">
        <v>39</v>
      </c>
      <c r="B3551" s="8" t="s">
        <v>24</v>
      </c>
      <c r="C3551" s="9" t="s">
        <v>25</v>
      </c>
      <c r="D3551" s="9" t="s">
        <v>26</v>
      </c>
      <c r="E3551" s="10" t="n">
        <v>1789</v>
      </c>
      <c r="F3551" s="9" t="s">
        <v>27</v>
      </c>
      <c r="G3551" s="9" t="s">
        <v>27</v>
      </c>
      <c r="H3551" s="11" t="n">
        <v>18</v>
      </c>
      <c r="I3551" s="11" t="s">
        <v>112</v>
      </c>
      <c r="J3551" s="14" t="n">
        <v>50</v>
      </c>
      <c r="K3551" s="14"/>
      <c r="L3551" s="16"/>
      <c r="M3551" s="27" t="n">
        <f aca="false">J3551+(K3551/20)+(L3551/240)</f>
        <v>50</v>
      </c>
      <c r="N3551" s="17" t="s">
        <v>64</v>
      </c>
      <c r="O3551" s="11"/>
      <c r="P3551" s="28"/>
      <c r="Q3551" s="28" t="n">
        <f aca="false">P3551*$M3551</f>
        <v>0</v>
      </c>
      <c r="R3551" s="28"/>
      <c r="S3551" s="28" t="n">
        <f aca="false">R3551*$M3551</f>
        <v>0</v>
      </c>
      <c r="T3551" s="28"/>
      <c r="U3551" s="28" t="n">
        <f aca="false">T3551*$M3551</f>
        <v>0</v>
      </c>
      <c r="V3551" s="28" t="n">
        <f aca="false">38043/100</f>
        <v>380.43</v>
      </c>
      <c r="W3551" s="28" t="n">
        <v>19021</v>
      </c>
      <c r="X3551" s="29" t="n">
        <f aca="false">10658/100</f>
        <v>106.58</v>
      </c>
      <c r="Y3551" s="28" t="n">
        <v>5329</v>
      </c>
      <c r="Z3551" s="28"/>
      <c r="AA3551" s="28" t="n">
        <f aca="false">Z3551*$M3551</f>
        <v>0</v>
      </c>
      <c r="AB3551" s="28"/>
      <c r="AC3551" s="28" t="n">
        <f aca="false">AB3551*$M3551</f>
        <v>0</v>
      </c>
      <c r="AD3551" s="28"/>
      <c r="AE3551" s="28" t="n">
        <f aca="false">AD3551*$M3551</f>
        <v>0</v>
      </c>
      <c r="AF3551" s="28"/>
      <c r="AG3551" s="28" t="n">
        <f aca="false">AF3551*$M3551</f>
        <v>0</v>
      </c>
      <c r="AH3551" s="28"/>
      <c r="AI3551" s="28" t="n">
        <f aca="false">AH3551*$M3551</f>
        <v>0</v>
      </c>
      <c r="AJ3551" s="28" t="n">
        <f aca="false">39321/100</f>
        <v>393.21</v>
      </c>
      <c r="AK3551" s="28" t="n">
        <v>19660</v>
      </c>
      <c r="AL3551" s="28"/>
      <c r="AM3551" s="28" t="n">
        <f aca="false">AL3551*$M3551</f>
        <v>0</v>
      </c>
      <c r="AN3551" s="28"/>
      <c r="AO3551" s="28" t="n">
        <f aca="false">AN3551*$M3551</f>
        <v>0</v>
      </c>
      <c r="AP3551" s="28"/>
      <c r="AQ3551" s="28" t="n">
        <f aca="false">AP3551*$M3551</f>
        <v>0</v>
      </c>
      <c r="AR3551" s="28"/>
      <c r="AS3551" s="28" t="n">
        <f aca="false">AR3551*$M3551</f>
        <v>0</v>
      </c>
      <c r="AT3551" s="28"/>
      <c r="AU3551" s="28" t="n">
        <f aca="false">AT3551*$M3551</f>
        <v>0</v>
      </c>
      <c r="AV3551" s="28"/>
      <c r="AW3551" s="28" t="n">
        <f aca="false">AV3551*$M3551</f>
        <v>0</v>
      </c>
      <c r="AX3551" s="28"/>
      <c r="AY3551" s="28" t="n">
        <f aca="false">AX3551*$M3551</f>
        <v>0</v>
      </c>
      <c r="AZ3551" s="30" t="n">
        <f aca="false">88022/100</f>
        <v>880.22</v>
      </c>
      <c r="BA3551" s="11" t="n">
        <v>44010</v>
      </c>
      <c r="BB3551" s="31" t="n">
        <f aca="false">SUM(Q3551,S3551,U3551,W3551,Y3551,AA3551,AC3551,AE3551,AG3551,AI3551,AK3551,AM3551,AO3551,AQ3551,AS3551,AU3551,AW3551,AY3551)</f>
        <v>44010</v>
      </c>
      <c r="BC3551" s="28" t="n">
        <f aca="false">BA3551-BB3551</f>
        <v>0</v>
      </c>
      <c r="BD3551" s="32" t="n">
        <f aca="false">SUM(P3551,R3551,T3551,V3551,X3551,Z3551,AB3551,AD3551,AF3551,AH3551,AJ3551,AL3551,AN3551,AP3551,AR3551,AT3551,AV3551,AX3551)</f>
        <v>880.22</v>
      </c>
      <c r="BE3551" s="33" t="n">
        <f aca="false">AZ3551-BD3551</f>
        <v>0</v>
      </c>
      <c r="BF3551" s="34" t="n">
        <f aca="false">BD3551*M3551</f>
        <v>44011</v>
      </c>
      <c r="BG3551" s="35" t="n">
        <f aca="false">BA3551-BF3551</f>
        <v>-1</v>
      </c>
      <c r="BH3551" s="19" t="str">
        <f aca="false">IF(BG3551=0,"",IF(BG3551&lt;&gt;BA3551,"erreur de calcul",IF(BD3551&lt;&gt;0,"pas de prix",IF(M3551&lt;&gt; 0,"pas de quantité","pas de prix, ni de quantité"))))</f>
        <v>erreur de calcul</v>
      </c>
      <c r="BI3551" s="19" t="s">
        <v>114</v>
      </c>
    </row>
    <row r="3552" customFormat="false" ht="15" hidden="false" customHeight="false" outlineLevel="0" collapsed="false">
      <c r="A3552" s="0" t="n">
        <v>40</v>
      </c>
      <c r="B3552" s="8" t="s">
        <v>24</v>
      </c>
      <c r="C3552" s="9" t="s">
        <v>25</v>
      </c>
      <c r="D3552" s="9" t="s">
        <v>26</v>
      </c>
      <c r="E3552" s="10" t="n">
        <v>1789</v>
      </c>
      <c r="F3552" s="9" t="s">
        <v>27</v>
      </c>
      <c r="G3552" s="9" t="s">
        <v>27</v>
      </c>
      <c r="H3552" s="11" t="n">
        <v>18</v>
      </c>
      <c r="I3552" s="11" t="s">
        <v>115</v>
      </c>
      <c r="J3552" s="14"/>
      <c r="K3552" s="14" t="n">
        <v>28</v>
      </c>
      <c r="L3552" s="16"/>
      <c r="M3552" s="27" t="n">
        <f aca="false">J3552+(K3552/20)+(L3552/240)</f>
        <v>1.4</v>
      </c>
      <c r="N3552" s="17" t="s">
        <v>66</v>
      </c>
      <c r="O3552" s="11" t="s">
        <v>98</v>
      </c>
      <c r="P3552" s="28"/>
      <c r="Q3552" s="28" t="n">
        <f aca="false">P3552*$M3552</f>
        <v>0</v>
      </c>
      <c r="R3552" s="28"/>
      <c r="S3552" s="28" t="n">
        <f aca="false">R3552*$M3552</f>
        <v>0</v>
      </c>
      <c r="T3552" s="28" t="n">
        <v>426</v>
      </c>
      <c r="U3552" s="28" t="n">
        <v>596</v>
      </c>
      <c r="V3552" s="28"/>
      <c r="W3552" s="28" t="n">
        <f aca="false">V3552*$M3552</f>
        <v>0</v>
      </c>
      <c r="X3552" s="29"/>
      <c r="Y3552" s="28" t="n">
        <f aca="false">X3552*$M3552</f>
        <v>0</v>
      </c>
      <c r="Z3552" s="28"/>
      <c r="AA3552" s="28" t="n">
        <f aca="false">Z3552*$M3552</f>
        <v>0</v>
      </c>
      <c r="AB3552" s="28"/>
      <c r="AC3552" s="28" t="n">
        <f aca="false">AB3552*$M3552</f>
        <v>0</v>
      </c>
      <c r="AD3552" s="28"/>
      <c r="AE3552" s="28" t="n">
        <f aca="false">AD3552*$M3552</f>
        <v>0</v>
      </c>
      <c r="AF3552" s="28"/>
      <c r="AG3552" s="28" t="n">
        <f aca="false">AF3552*$M3552</f>
        <v>0</v>
      </c>
      <c r="AH3552" s="28"/>
      <c r="AI3552" s="28" t="n">
        <f aca="false">AH3552*$M3552</f>
        <v>0</v>
      </c>
      <c r="AJ3552" s="28" t="n">
        <v>142</v>
      </c>
      <c r="AK3552" s="28" t="n">
        <v>199</v>
      </c>
      <c r="AL3552" s="28"/>
      <c r="AM3552" s="28" t="n">
        <f aca="false">AL3552*$M3552</f>
        <v>0</v>
      </c>
      <c r="AN3552" s="28"/>
      <c r="AO3552" s="28" t="n">
        <f aca="false">AN3552*$M3552</f>
        <v>0</v>
      </c>
      <c r="AP3552" s="28"/>
      <c r="AQ3552" s="28" t="n">
        <f aca="false">AP3552*$M3552</f>
        <v>0</v>
      </c>
      <c r="AR3552" s="28"/>
      <c r="AS3552" s="28" t="n">
        <f aca="false">AR3552*$M3552</f>
        <v>0</v>
      </c>
      <c r="AT3552" s="28"/>
      <c r="AU3552" s="28" t="n">
        <f aca="false">AT3552*$M3552</f>
        <v>0</v>
      </c>
      <c r="AV3552" s="28"/>
      <c r="AW3552" s="28" t="n">
        <f aca="false">AV3552*$M3552</f>
        <v>0</v>
      </c>
      <c r="AX3552" s="28"/>
      <c r="AY3552" s="28" t="n">
        <f aca="false">AX3552*$M3552</f>
        <v>0</v>
      </c>
      <c r="AZ3552" s="30" t="n">
        <v>568</v>
      </c>
      <c r="BA3552" s="11" t="n">
        <v>795</v>
      </c>
      <c r="BB3552" s="31" t="n">
        <f aca="false">SUM(Q3552,S3552,U3552,W3552,Y3552,AA3552,AC3552,AE3552,AG3552,AI3552,AK3552,AM3552,AO3552,AQ3552,AS3552,AU3552,AW3552,AY3552)</f>
        <v>795</v>
      </c>
      <c r="BC3552" s="28" t="n">
        <f aca="false">BA3552-BB3552</f>
        <v>0</v>
      </c>
      <c r="BD3552" s="32" t="n">
        <f aca="false">SUM(P3552,R3552,T3552,V3552,X3552,Z3552,AB3552,AD3552,AF3552,AH3552,AJ3552,AL3552,AN3552,AP3552,AR3552,AT3552,AV3552,AX3552)</f>
        <v>568</v>
      </c>
      <c r="BE3552" s="33" t="n">
        <f aca="false">AZ3552-BD3552</f>
        <v>0</v>
      </c>
      <c r="BF3552" s="34" t="n">
        <f aca="false">BD3552*M3552</f>
        <v>795.2</v>
      </c>
      <c r="BG3552" s="35" t="n">
        <f aca="false">BA3552-BF3552</f>
        <v>-0.199999999999932</v>
      </c>
      <c r="BH3552" s="19" t="str">
        <f aca="false">IF(BG3552=0,"",IF(BG3552&lt;&gt;BA3552,"erreur de calcul",IF(BD3552&lt;&gt;0,"pas de prix",IF(M3552&lt;&gt; 0,"pas de quantité","pas de prix, ni de quantité"))))</f>
        <v>erreur de calcul</v>
      </c>
      <c r="BI3552" s="19"/>
    </row>
    <row r="3553" customFormat="false" ht="15" hidden="false" customHeight="false" outlineLevel="0" collapsed="false">
      <c r="A3553" s="0" t="n">
        <v>41</v>
      </c>
      <c r="B3553" s="8" t="s">
        <v>24</v>
      </c>
      <c r="C3553" s="9" t="s">
        <v>25</v>
      </c>
      <c r="D3553" s="9" t="s">
        <v>26</v>
      </c>
      <c r="E3553" s="10" t="n">
        <v>1789</v>
      </c>
      <c r="F3553" s="9" t="s">
        <v>27</v>
      </c>
      <c r="G3553" s="9" t="s">
        <v>27</v>
      </c>
      <c r="H3553" s="11" t="n">
        <v>18</v>
      </c>
      <c r="I3553" s="11" t="s">
        <v>116</v>
      </c>
      <c r="J3553" s="14"/>
      <c r="K3553" s="14" t="n">
        <v>40</v>
      </c>
      <c r="L3553" s="16"/>
      <c r="M3553" s="27" t="n">
        <f aca="false">J3553+(K3553/20)+(L3553/240)</f>
        <v>2</v>
      </c>
      <c r="N3553" s="17" t="s">
        <v>66</v>
      </c>
      <c r="O3553" s="11"/>
      <c r="P3553" s="28"/>
      <c r="Q3553" s="28" t="n">
        <f aca="false">P3553*$M3553</f>
        <v>0</v>
      </c>
      <c r="R3553" s="28"/>
      <c r="S3553" s="28" t="n">
        <f aca="false">R3553*$M3553</f>
        <v>0</v>
      </c>
      <c r="T3553" s="28"/>
      <c r="U3553" s="28" t="n">
        <f aca="false">T3553*$M3553</f>
        <v>0</v>
      </c>
      <c r="V3553" s="28"/>
      <c r="W3553" s="28" t="n">
        <f aca="false">V3553*$M3553</f>
        <v>0</v>
      </c>
      <c r="X3553" s="29"/>
      <c r="Y3553" s="28" t="n">
        <f aca="false">X3553*$M3553</f>
        <v>0</v>
      </c>
      <c r="Z3553" s="28"/>
      <c r="AA3553" s="28" t="n">
        <f aca="false">Z3553*$M3553</f>
        <v>0</v>
      </c>
      <c r="AB3553" s="28"/>
      <c r="AC3553" s="28" t="n">
        <f aca="false">AB3553*$M3553</f>
        <v>0</v>
      </c>
      <c r="AD3553" s="28"/>
      <c r="AE3553" s="28" t="n">
        <f aca="false">AD3553*$M3553</f>
        <v>0</v>
      </c>
      <c r="AF3553" s="28"/>
      <c r="AG3553" s="28" t="n">
        <f aca="false">AF3553*$M3553</f>
        <v>0</v>
      </c>
      <c r="AH3553" s="28" t="n">
        <v>232710</v>
      </c>
      <c r="AI3553" s="28" t="n">
        <v>465420</v>
      </c>
      <c r="AJ3553" s="28"/>
      <c r="AK3553" s="28" t="n">
        <f aca="false">AJ3553*$M3553</f>
        <v>0</v>
      </c>
      <c r="AL3553" s="28"/>
      <c r="AM3553" s="28" t="n">
        <f aca="false">AL3553*$M3553</f>
        <v>0</v>
      </c>
      <c r="AN3553" s="28"/>
      <c r="AO3553" s="28" t="n">
        <f aca="false">AN3553*$M3553</f>
        <v>0</v>
      </c>
      <c r="AP3553" s="28"/>
      <c r="AQ3553" s="28" t="n">
        <f aca="false">AP3553*$M3553</f>
        <v>0</v>
      </c>
      <c r="AR3553" s="28"/>
      <c r="AS3553" s="28" t="n">
        <f aca="false">AR3553*$M3553</f>
        <v>0</v>
      </c>
      <c r="AT3553" s="28"/>
      <c r="AU3553" s="28" t="n">
        <f aca="false">AT3553*$M3553</f>
        <v>0</v>
      </c>
      <c r="AV3553" s="28"/>
      <c r="AW3553" s="28" t="n">
        <f aca="false">AV3553*$M3553</f>
        <v>0</v>
      </c>
      <c r="AX3553" s="28"/>
      <c r="AY3553" s="28" t="n">
        <f aca="false">AX3553*$M3553</f>
        <v>0</v>
      </c>
      <c r="AZ3553" s="30" t="n">
        <v>232710</v>
      </c>
      <c r="BA3553" s="11" t="n">
        <v>465420</v>
      </c>
      <c r="BB3553" s="31" t="n">
        <f aca="false">SUM(Q3553,S3553,U3553,W3553,Y3553,AA3553,AC3553,AE3553,AG3553,AI3553,AK3553,AM3553,AO3553,AQ3553,AS3553,AU3553,AW3553,AY3553)</f>
        <v>465420</v>
      </c>
      <c r="BC3553" s="28" t="n">
        <f aca="false">BA3553-BB3553</f>
        <v>0</v>
      </c>
      <c r="BD3553" s="32" t="n">
        <f aca="false">SUM(P3553,R3553,T3553,V3553,X3553,Z3553,AB3553,AD3553,AF3553,AH3553,AJ3553,AL3553,AN3553,AP3553,AR3553,AT3553,AV3553,AX3553)</f>
        <v>232710</v>
      </c>
      <c r="BE3553" s="33" t="n">
        <f aca="false">AZ3553-BD3553</f>
        <v>0</v>
      </c>
      <c r="BF3553" s="34" t="n">
        <f aca="false">BD3553*M3553</f>
        <v>465420</v>
      </c>
      <c r="BG3553" s="35" t="n">
        <f aca="false">BA3553-BF3553</f>
        <v>0</v>
      </c>
      <c r="BH3553" s="19" t="str">
        <f aca="false">IF(BG3553=0,"",IF(BG3553&lt;&gt;BA3553,"erreur de calcul",IF(BD3553&lt;&gt;0,"pas de prix",IF(M3553&lt;&gt; 0,"pas de quantité","pas de prix, ni de quantité"))))</f>
        <v/>
      </c>
      <c r="BI3553" s="19"/>
    </row>
    <row r="3554" customFormat="false" ht="15" hidden="false" customHeight="false" outlineLevel="0" collapsed="false">
      <c r="A3554" s="0" t="n">
        <v>1</v>
      </c>
      <c r="B3554" s="8" t="s">
        <v>24</v>
      </c>
      <c r="C3554" s="9" t="s">
        <v>25</v>
      </c>
      <c r="D3554" s="9" t="s">
        <v>26</v>
      </c>
      <c r="E3554" s="10" t="n">
        <v>1789</v>
      </c>
      <c r="F3554" s="9" t="s">
        <v>27</v>
      </c>
      <c r="G3554" s="9" t="s">
        <v>27</v>
      </c>
      <c r="H3554" s="11" t="n">
        <v>20</v>
      </c>
      <c r="I3554" s="11" t="s">
        <v>117</v>
      </c>
      <c r="J3554" s="14" t="n">
        <v>10</v>
      </c>
      <c r="K3554" s="14"/>
      <c r="L3554" s="16"/>
      <c r="M3554" s="27" t="n">
        <f aca="false">J3554+(K3554/20)+(L3554/240)</f>
        <v>10</v>
      </c>
      <c r="N3554" s="17" t="s">
        <v>64</v>
      </c>
      <c r="O3554" s="11"/>
      <c r="P3554" s="28" t="n">
        <f aca="false">2120/100</f>
        <v>21.2</v>
      </c>
      <c r="Q3554" s="28" t="n">
        <v>212</v>
      </c>
      <c r="R3554" s="28"/>
      <c r="S3554" s="28" t="n">
        <f aca="false">R3554*$M3554</f>
        <v>0</v>
      </c>
      <c r="T3554" s="28" t="n">
        <f aca="false">4184/100</f>
        <v>41.84</v>
      </c>
      <c r="U3554" s="28" t="n">
        <v>418</v>
      </c>
      <c r="V3554" s="28"/>
      <c r="W3554" s="28" t="n">
        <f aca="false">V3554*$M3554</f>
        <v>0</v>
      </c>
      <c r="X3554" s="28"/>
      <c r="Y3554" s="28" t="n">
        <f aca="false">X3554*$M3554</f>
        <v>0</v>
      </c>
      <c r="Z3554" s="28" t="n">
        <f aca="false">4467/100</f>
        <v>44.67</v>
      </c>
      <c r="AA3554" s="28" t="n">
        <v>447</v>
      </c>
      <c r="AB3554" s="28"/>
      <c r="AC3554" s="28" t="n">
        <f aca="false">AB3554*$M3554</f>
        <v>0</v>
      </c>
      <c r="AD3554" s="28"/>
      <c r="AE3554" s="28" t="n">
        <f aca="false">AD3554*$M3554</f>
        <v>0</v>
      </c>
      <c r="AF3554" s="28"/>
      <c r="AG3554" s="28" t="n">
        <f aca="false">AF3554*$M3554</f>
        <v>0</v>
      </c>
      <c r="AH3554" s="28" t="n">
        <f aca="false">37604/100</f>
        <v>376.04</v>
      </c>
      <c r="AI3554" s="28" t="n">
        <v>3760</v>
      </c>
      <c r="AJ3554" s="28"/>
      <c r="AK3554" s="28" t="n">
        <f aca="false">AJ3554*$M3554</f>
        <v>0</v>
      </c>
      <c r="AL3554" s="28"/>
      <c r="AM3554" s="28" t="n">
        <f aca="false">AL3554*$M3554</f>
        <v>0</v>
      </c>
      <c r="AN3554" s="28"/>
      <c r="AO3554" s="28" t="n">
        <f aca="false">AN3554*$M3554</f>
        <v>0</v>
      </c>
      <c r="AP3554" s="28"/>
      <c r="AQ3554" s="28" t="n">
        <f aca="false">AP3554*$M3554</f>
        <v>0</v>
      </c>
      <c r="AR3554" s="28"/>
      <c r="AS3554" s="28" t="n">
        <f aca="false">AR3554*$M3554</f>
        <v>0</v>
      </c>
      <c r="AT3554" s="28"/>
      <c r="AU3554" s="28" t="n">
        <f aca="false">AT3554*$M3554</f>
        <v>0</v>
      </c>
      <c r="AV3554" s="28"/>
      <c r="AW3554" s="28" t="n">
        <f aca="false">AV3554*$M3554</f>
        <v>0</v>
      </c>
      <c r="AX3554" s="28"/>
      <c r="AY3554" s="28" t="n">
        <f aca="false">AX3554*$M3554</f>
        <v>0</v>
      </c>
      <c r="AZ3554" s="30" t="n">
        <f aca="false">46255/100</f>
        <v>462.55</v>
      </c>
      <c r="BA3554" s="11" t="n">
        <v>4837</v>
      </c>
      <c r="BB3554" s="31" t="n">
        <f aca="false">SUM(Q3554,S3554,U3554,W3554,Y3554,AA3554,AC3554,AE3554,AG3554,AI3554,AK3554,AM3554,AO3554,AQ3554,AS3554,AU3554,AW3554,AY3554)</f>
        <v>4837</v>
      </c>
      <c r="BC3554" s="28" t="n">
        <f aca="false">BA3554-BB3554</f>
        <v>0</v>
      </c>
      <c r="BD3554" s="32" t="n">
        <f aca="false">SUM(P3554,R3554,T3554,V3554,X3554,Z3554,AB3554,AD3554,AF3554,AH3554,AJ3554,AL3554,AN3554,AP3554,AR3554,AT3554,AV3554,AX3554)</f>
        <v>483.75</v>
      </c>
      <c r="BE3554" s="33" t="n">
        <f aca="false">AZ3554-BD3554</f>
        <v>-21.2</v>
      </c>
      <c r="BF3554" s="34" t="n">
        <f aca="false">BD3554*M3554</f>
        <v>4837.5</v>
      </c>
      <c r="BG3554" s="35" t="n">
        <f aca="false">BA3554-BF3554</f>
        <v>-0.50000000000091</v>
      </c>
      <c r="BH3554" s="19" t="str">
        <f aca="false">IF(BG3554=0,"",IF(BG3554&lt;&gt;BA3554,"erreur de calcul",IF(BD3554&lt;&gt;0,"pas de prix",IF(M3554&lt;&gt; 0,"pas de quantité","pas de prix, ni de quantité"))))</f>
        <v>erreur de calcul</v>
      </c>
      <c r="BI3554" s="19"/>
    </row>
    <row r="3555" customFormat="false" ht="15" hidden="false" customHeight="false" outlineLevel="0" collapsed="false">
      <c r="A3555" s="0" t="n">
        <v>2</v>
      </c>
      <c r="B3555" s="8" t="s">
        <v>24</v>
      </c>
      <c r="C3555" s="9" t="s">
        <v>25</v>
      </c>
      <c r="D3555" s="9" t="s">
        <v>26</v>
      </c>
      <c r="E3555" s="10" t="n">
        <v>1789</v>
      </c>
      <c r="F3555" s="9" t="s">
        <v>27</v>
      </c>
      <c r="G3555" s="9" t="s">
        <v>27</v>
      </c>
      <c r="H3555" s="11" t="n">
        <v>20</v>
      </c>
      <c r="I3555" s="11" t="s">
        <v>118</v>
      </c>
      <c r="J3555" s="14" t="n">
        <v>10</v>
      </c>
      <c r="K3555" s="14"/>
      <c r="L3555" s="16"/>
      <c r="M3555" s="27" t="n">
        <f aca="false">J3555+(K3555/20)+(L3555/240)</f>
        <v>10</v>
      </c>
      <c r="N3555" s="17" t="s">
        <v>64</v>
      </c>
      <c r="O3555" s="11"/>
      <c r="P3555" s="28" t="n">
        <f aca="false">6450193/100</f>
        <v>64501.93</v>
      </c>
      <c r="Q3555" s="28" t="n">
        <v>645019</v>
      </c>
      <c r="R3555" s="28"/>
      <c r="S3555" s="28" t="n">
        <f aca="false">R3555*$M3555</f>
        <v>0</v>
      </c>
      <c r="T3555" s="28"/>
      <c r="U3555" s="28" t="n">
        <f aca="false">T3555*$M3555</f>
        <v>0</v>
      </c>
      <c r="V3555" s="28"/>
      <c r="W3555" s="28" t="n">
        <f aca="false">V3555*$M3555</f>
        <v>0</v>
      </c>
      <c r="X3555" s="28"/>
      <c r="Y3555" s="28" t="n">
        <f aca="false">X3555*$M3555</f>
        <v>0</v>
      </c>
      <c r="Z3555" s="28"/>
      <c r="AA3555" s="28" t="n">
        <f aca="false">Z3555*$M3555</f>
        <v>0</v>
      </c>
      <c r="AB3555" s="28" t="n">
        <f aca="false">601547/100</f>
        <v>6015.47</v>
      </c>
      <c r="AC3555" s="28" t="n">
        <v>60155</v>
      </c>
      <c r="AD3555" s="28"/>
      <c r="AE3555" s="28" t="n">
        <f aca="false">AD3555*$M3555</f>
        <v>0</v>
      </c>
      <c r="AF3555" s="28" t="n">
        <f aca="false">727551/100</f>
        <v>7275.51</v>
      </c>
      <c r="AG3555" s="28" t="n">
        <v>72755</v>
      </c>
      <c r="AH3555" s="28" t="n">
        <f aca="false">52982/100</f>
        <v>529.82</v>
      </c>
      <c r="AI3555" s="28" t="n">
        <v>5299</v>
      </c>
      <c r="AJ3555" s="28"/>
      <c r="AK3555" s="28" t="n">
        <f aca="false">AJ3555*$M3555</f>
        <v>0</v>
      </c>
      <c r="AL3555" s="28"/>
      <c r="AM3555" s="28" t="n">
        <f aca="false">AL3555*$M3555</f>
        <v>0</v>
      </c>
      <c r="AN3555" s="28"/>
      <c r="AO3555" s="28" t="n">
        <f aca="false">AN3555*$M3555</f>
        <v>0</v>
      </c>
      <c r="AP3555" s="28"/>
      <c r="AQ3555" s="28" t="n">
        <f aca="false">AP3555*$M3555</f>
        <v>0</v>
      </c>
      <c r="AR3555" s="28"/>
      <c r="AS3555" s="28" t="n">
        <f aca="false">AR3555*$M3555</f>
        <v>0</v>
      </c>
      <c r="AT3555" s="28"/>
      <c r="AU3555" s="28" t="n">
        <f aca="false">AT3555*$M3555</f>
        <v>0</v>
      </c>
      <c r="AV3555" s="28"/>
      <c r="AW3555" s="28" t="n">
        <f aca="false">AV3555*$M3555</f>
        <v>0</v>
      </c>
      <c r="AX3555" s="28"/>
      <c r="AY3555" s="28" t="n">
        <f aca="false">AX3555*$M3555</f>
        <v>0</v>
      </c>
      <c r="AZ3555" s="30" t="n">
        <f aca="false">7832273/100</f>
        <v>78322.73</v>
      </c>
      <c r="BA3555" s="11" t="n">
        <v>783228</v>
      </c>
      <c r="BB3555" s="31" t="n">
        <f aca="false">SUM(Q3555,S3555,U3555,W3555,Y3555,AA3555,AC3555,AE3555,AG3555,AI3555,AK3555,AM3555,AO3555,AQ3555,AS3555,AU3555,AW3555,AY3555)</f>
        <v>783228</v>
      </c>
      <c r="BC3555" s="28" t="n">
        <f aca="false">BA3555-BB3555</f>
        <v>0</v>
      </c>
      <c r="BD3555" s="32" t="n">
        <f aca="false">SUM(P3555,R3555,T3555,V3555,X3555,Z3555,AB3555,AD3555,AF3555,AH3555,AJ3555,AL3555,AN3555,AP3555,AR3555,AT3555,AV3555,AX3555)</f>
        <v>78322.73</v>
      </c>
      <c r="BE3555" s="33" t="n">
        <f aca="false">AZ3555-BD3555</f>
        <v>0</v>
      </c>
      <c r="BF3555" s="34" t="n">
        <f aca="false">BD3555*M3555</f>
        <v>783227.3</v>
      </c>
      <c r="BG3555" s="35" t="n">
        <f aca="false">BA3555-BF3555</f>
        <v>0.700000000069849</v>
      </c>
      <c r="BH3555" s="19" t="str">
        <f aca="false">IF(BG3555=0,"",IF(BG3555&lt;&gt;BA3555,"erreur de calcul",IF(BD3555&lt;&gt;0,"pas de prix",IF(M3555&lt;&gt; 0,"pas de quantité","pas de prix, ni de quantité"))))</f>
        <v>erreur de calcul</v>
      </c>
      <c r="BI3555" s="19"/>
    </row>
    <row r="3556" customFormat="false" ht="15" hidden="false" customHeight="false" outlineLevel="0" collapsed="false">
      <c r="A3556" s="0" t="n">
        <v>3</v>
      </c>
      <c r="B3556" s="8" t="s">
        <v>24</v>
      </c>
      <c r="C3556" s="9" t="s">
        <v>25</v>
      </c>
      <c r="D3556" s="9" t="s">
        <v>26</v>
      </c>
      <c r="E3556" s="10" t="n">
        <v>1789</v>
      </c>
      <c r="F3556" s="9" t="s">
        <v>27</v>
      </c>
      <c r="G3556" s="9" t="s">
        <v>27</v>
      </c>
      <c r="H3556" s="11" t="n">
        <v>20</v>
      </c>
      <c r="I3556" s="11" t="s">
        <v>119</v>
      </c>
      <c r="J3556" s="14" t="n">
        <v>10</v>
      </c>
      <c r="K3556" s="14"/>
      <c r="L3556" s="16"/>
      <c r="M3556" s="27" t="n">
        <f aca="false">J3556+(K3556/20)+(L3556/240)</f>
        <v>10</v>
      </c>
      <c r="N3556" s="17" t="s">
        <v>64</v>
      </c>
      <c r="O3556" s="11"/>
      <c r="P3556" s="28" t="n">
        <f aca="false">2617064/100</f>
        <v>26170.64</v>
      </c>
      <c r="Q3556" s="28" t="n">
        <v>261706</v>
      </c>
      <c r="R3556" s="28"/>
      <c r="S3556" s="28" t="n">
        <f aca="false">R3556*$M3556</f>
        <v>0</v>
      </c>
      <c r="T3556" s="28" t="n">
        <f aca="false">251959/100</f>
        <v>2519.59</v>
      </c>
      <c r="U3556" s="28" t="n">
        <v>25196</v>
      </c>
      <c r="V3556" s="28"/>
      <c r="W3556" s="28" t="n">
        <f aca="false">V3556*$M3556</f>
        <v>0</v>
      </c>
      <c r="X3556" s="28"/>
      <c r="Y3556" s="28" t="n">
        <f aca="false">X3556*$M3556</f>
        <v>0</v>
      </c>
      <c r="Z3556" s="28"/>
      <c r="AA3556" s="28" t="n">
        <f aca="false">Z3556*$M3556</f>
        <v>0</v>
      </c>
      <c r="AB3556" s="28"/>
      <c r="AC3556" s="28" t="n">
        <f aca="false">AB3556*$M3556</f>
        <v>0</v>
      </c>
      <c r="AD3556" s="28"/>
      <c r="AE3556" s="28" t="n">
        <f aca="false">AD3556*$M3556</f>
        <v>0</v>
      </c>
      <c r="AF3556" s="28"/>
      <c r="AG3556" s="28" t="n">
        <f aca="false">AF3556*$M3556</f>
        <v>0</v>
      </c>
      <c r="AH3556" s="28"/>
      <c r="AI3556" s="28" t="n">
        <f aca="false">AH3556*$M3556</f>
        <v>0</v>
      </c>
      <c r="AJ3556" s="28"/>
      <c r="AK3556" s="28" t="n">
        <f aca="false">AJ3556*$M3556</f>
        <v>0</v>
      </c>
      <c r="AL3556" s="28"/>
      <c r="AM3556" s="28" t="n">
        <f aca="false">AL3556*$M3556</f>
        <v>0</v>
      </c>
      <c r="AN3556" s="28"/>
      <c r="AO3556" s="28" t="n">
        <f aca="false">AN3556*$M3556</f>
        <v>0</v>
      </c>
      <c r="AP3556" s="28"/>
      <c r="AQ3556" s="28" t="n">
        <f aca="false">AP3556*$M3556</f>
        <v>0</v>
      </c>
      <c r="AR3556" s="28"/>
      <c r="AS3556" s="28" t="n">
        <f aca="false">AR3556*$M3556</f>
        <v>0</v>
      </c>
      <c r="AT3556" s="28"/>
      <c r="AU3556" s="28" t="n">
        <f aca="false">AT3556*$M3556</f>
        <v>0</v>
      </c>
      <c r="AV3556" s="28"/>
      <c r="AW3556" s="28" t="n">
        <f aca="false">AV3556*$M3556</f>
        <v>0</v>
      </c>
      <c r="AX3556" s="28"/>
      <c r="AY3556" s="28" t="n">
        <f aca="false">AX3556*$M3556</f>
        <v>0</v>
      </c>
      <c r="AZ3556" s="30" t="n">
        <f aca="false">2869023/100</f>
        <v>28690.23</v>
      </c>
      <c r="BA3556" s="11" t="n">
        <v>286902</v>
      </c>
      <c r="BB3556" s="31" t="n">
        <f aca="false">SUM(Q3556,S3556,U3556,W3556,Y3556,AA3556,AC3556,AE3556,AG3556,AI3556,AK3556,AM3556,AO3556,AQ3556,AS3556,AU3556,AW3556,AY3556)</f>
        <v>286902</v>
      </c>
      <c r="BC3556" s="28" t="n">
        <f aca="false">BA3556-BB3556</f>
        <v>0</v>
      </c>
      <c r="BD3556" s="32" t="n">
        <f aca="false">SUM(P3556,R3556,T3556,V3556,X3556,Z3556,AB3556,AD3556,AF3556,AH3556,AJ3556,AL3556,AN3556,AP3556,AR3556,AT3556,AV3556,AX3556)</f>
        <v>28690.23</v>
      </c>
      <c r="BE3556" s="33" t="n">
        <f aca="false">AZ3556-BD3556</f>
        <v>0</v>
      </c>
      <c r="BF3556" s="34" t="n">
        <f aca="false">BD3556*M3556</f>
        <v>286902.3</v>
      </c>
      <c r="BG3556" s="35" t="n">
        <f aca="false">BA3556-BF3556</f>
        <v>-0.299999999988358</v>
      </c>
      <c r="BH3556" s="19" t="str">
        <f aca="false">IF(BG3556=0,"",IF(BG3556&lt;&gt;BA3556,"erreur de calcul",IF(BD3556&lt;&gt;0,"pas de prix",IF(M3556&lt;&gt; 0,"pas de quantité","pas de prix, ni de quantité"))))</f>
        <v>erreur de calcul</v>
      </c>
      <c r="BI3556" s="19"/>
    </row>
    <row r="3557" customFormat="false" ht="16.65" hidden="false" customHeight="false" outlineLevel="0" collapsed="false">
      <c r="A3557" s="0" t="n">
        <v>4</v>
      </c>
      <c r="B3557" s="8" t="s">
        <v>24</v>
      </c>
      <c r="C3557" s="9" t="s">
        <v>25</v>
      </c>
      <c r="D3557" s="9" t="s">
        <v>26</v>
      </c>
      <c r="E3557" s="10" t="n">
        <v>1789</v>
      </c>
      <c r="F3557" s="9" t="s">
        <v>27</v>
      </c>
      <c r="G3557" s="9" t="s">
        <v>27</v>
      </c>
      <c r="H3557" s="11" t="n">
        <v>20</v>
      </c>
      <c r="I3557" s="11" t="s">
        <v>120</v>
      </c>
      <c r="J3557" s="14" t="n">
        <v>12</v>
      </c>
      <c r="K3557" s="14"/>
      <c r="L3557" s="16"/>
      <c r="M3557" s="27" t="n">
        <f aca="false">J3557+(K3557/20)+(L3557/240)</f>
        <v>12</v>
      </c>
      <c r="N3557" s="17" t="s">
        <v>64</v>
      </c>
      <c r="O3557" s="11" t="s">
        <v>77</v>
      </c>
      <c r="P3557" s="28"/>
      <c r="Q3557" s="28" t="n">
        <f aca="false">P3557*$M3557</f>
        <v>0</v>
      </c>
      <c r="R3557" s="28"/>
      <c r="S3557" s="28" t="n">
        <f aca="false">R3557*$M3557</f>
        <v>0</v>
      </c>
      <c r="T3557" s="28"/>
      <c r="U3557" s="28" t="n">
        <f aca="false">T3557*$M3557</f>
        <v>0</v>
      </c>
      <c r="V3557" s="28" t="n">
        <f aca="false">15268/100</f>
        <v>152.68</v>
      </c>
      <c r="W3557" s="28" t="n">
        <v>1832</v>
      </c>
      <c r="X3557" s="28"/>
      <c r="Y3557" s="28" t="n">
        <f aca="false">X3557*$M3557</f>
        <v>0</v>
      </c>
      <c r="Z3557" s="28"/>
      <c r="AA3557" s="28" t="n">
        <f aca="false">Z3557*$M3557</f>
        <v>0</v>
      </c>
      <c r="AB3557" s="28"/>
      <c r="AC3557" s="28" t="n">
        <f aca="false">AB3557*$M3557</f>
        <v>0</v>
      </c>
      <c r="AD3557" s="28"/>
      <c r="AE3557" s="28" t="n">
        <f aca="false">AD3557*$M3557</f>
        <v>0</v>
      </c>
      <c r="AF3557" s="28"/>
      <c r="AG3557" s="28" t="n">
        <f aca="false">AF3557*$M3557</f>
        <v>0</v>
      </c>
      <c r="AH3557" s="28" t="n">
        <f aca="false">26667/100</f>
        <v>266.67</v>
      </c>
      <c r="AI3557" s="28" t="n">
        <v>3200</v>
      </c>
      <c r="AJ3557" s="28"/>
      <c r="AK3557" s="28" t="n">
        <f aca="false">AJ3557*$M3557</f>
        <v>0</v>
      </c>
      <c r="AL3557" s="28"/>
      <c r="AM3557" s="28" t="n">
        <f aca="false">AL3557*$M3557</f>
        <v>0</v>
      </c>
      <c r="AN3557" s="28"/>
      <c r="AO3557" s="28" t="n">
        <f aca="false">AN3557*$M3557</f>
        <v>0</v>
      </c>
      <c r="AP3557" s="28"/>
      <c r="AQ3557" s="28" t="n">
        <f aca="false">AP3557*$M3557</f>
        <v>0</v>
      </c>
      <c r="AR3557" s="28"/>
      <c r="AS3557" s="28" t="n">
        <f aca="false">AR3557*$M3557</f>
        <v>0</v>
      </c>
      <c r="AT3557" s="28"/>
      <c r="AU3557" s="28" t="n">
        <f aca="false">AT3557*$M3557</f>
        <v>0</v>
      </c>
      <c r="AV3557" s="28"/>
      <c r="AW3557" s="28" t="n">
        <f aca="false">AV3557*$M3557</f>
        <v>0</v>
      </c>
      <c r="AX3557" s="28"/>
      <c r="AY3557" s="28" t="n">
        <f aca="false">AX3557*$M3557</f>
        <v>0</v>
      </c>
      <c r="AZ3557" s="30" t="n">
        <f aca="false">41935/100</f>
        <v>419.35</v>
      </c>
      <c r="BA3557" s="11" t="n">
        <v>5032</v>
      </c>
      <c r="BB3557" s="31" t="n">
        <f aca="false">SUM(Q3557,S3557,U3557,W3557,Y3557,AA3557,AC3557,AE3557,AG3557,AI3557,AK3557,AM3557,AO3557,AQ3557,AS3557,AU3557,AW3557,AY3557)</f>
        <v>5032</v>
      </c>
      <c r="BC3557" s="28" t="n">
        <f aca="false">BA3557-BB3557</f>
        <v>0</v>
      </c>
      <c r="BD3557" s="32" t="n">
        <f aca="false">SUM(P3557,R3557,T3557,V3557,X3557,Z3557,AB3557,AD3557,AF3557,AH3557,AJ3557,AL3557,AN3557,AP3557,AR3557,AT3557,AV3557,AX3557)</f>
        <v>419.35</v>
      </c>
      <c r="BE3557" s="33" t="n">
        <f aca="false">AZ3557-BD3557</f>
        <v>0</v>
      </c>
      <c r="BF3557" s="34" t="n">
        <f aca="false">BD3557*M3557</f>
        <v>5032.2</v>
      </c>
      <c r="BG3557" s="35" t="n">
        <f aca="false">BA3557-BF3557</f>
        <v>-0.200000000000728</v>
      </c>
      <c r="BH3557" s="19" t="str">
        <f aca="false">IF(BG3557=0,"",IF(BG3557&lt;&gt;BA3557,"erreur de calcul",IF(BD3557&lt;&gt;0,"pas de prix",IF(M3557&lt;&gt; 0,"pas de quantité","pas de prix, ni de quantité"))))</f>
        <v>erreur de calcul</v>
      </c>
      <c r="BI3557" s="19"/>
    </row>
    <row r="3558" customFormat="false" ht="15" hidden="false" customHeight="false" outlineLevel="0" collapsed="false">
      <c r="A3558" s="0" t="n">
        <v>5</v>
      </c>
      <c r="B3558" s="8" t="s">
        <v>24</v>
      </c>
      <c r="C3558" s="9" t="s">
        <v>25</v>
      </c>
      <c r="D3558" s="9" t="s">
        <v>26</v>
      </c>
      <c r="E3558" s="10" t="n">
        <v>1789</v>
      </c>
      <c r="F3558" s="9" t="s">
        <v>27</v>
      </c>
      <c r="G3558" s="9" t="s">
        <v>27</v>
      </c>
      <c r="H3558" s="11" t="n">
        <v>20</v>
      </c>
      <c r="I3558" s="11" t="s">
        <v>121</v>
      </c>
      <c r="J3558" s="14" t="n">
        <v>28</v>
      </c>
      <c r="K3558" s="14"/>
      <c r="L3558" s="16"/>
      <c r="M3558" s="27" t="n">
        <f aca="false">J3558+(K3558/20)+(L3558/240)</f>
        <v>28</v>
      </c>
      <c r="N3558" s="17" t="s">
        <v>64</v>
      </c>
      <c r="O3558" s="11"/>
      <c r="P3558" s="28"/>
      <c r="Q3558" s="28" t="n">
        <f aca="false">P3558*$M3558</f>
        <v>0</v>
      </c>
      <c r="R3558" s="28"/>
      <c r="S3558" s="28" t="n">
        <f aca="false">R3558*$M3558</f>
        <v>0</v>
      </c>
      <c r="T3558" s="28"/>
      <c r="U3558" s="28" t="n">
        <f aca="false">T3558*$M3558</f>
        <v>0</v>
      </c>
      <c r="V3558" s="28"/>
      <c r="W3558" s="28" t="n">
        <f aca="false">V3558*$M3558</f>
        <v>0</v>
      </c>
      <c r="X3558" s="28" t="n">
        <f aca="false">187504/100</f>
        <v>1875.04</v>
      </c>
      <c r="Y3558" s="28" t="n">
        <v>52501</v>
      </c>
      <c r="Z3558" s="28" t="n">
        <f aca="false">1041667/100</f>
        <v>10416.67</v>
      </c>
      <c r="AA3558" s="28" t="n">
        <v>291667</v>
      </c>
      <c r="AB3558" s="28"/>
      <c r="AC3558" s="28" t="n">
        <f aca="false">AB3558*$M3558</f>
        <v>0</v>
      </c>
      <c r="AD3558" s="28"/>
      <c r="AE3558" s="28" t="n">
        <f aca="false">AD3558*$M3558</f>
        <v>0</v>
      </c>
      <c r="AF3558" s="28"/>
      <c r="AG3558" s="28" t="n">
        <f aca="false">AF3558*$M3558</f>
        <v>0</v>
      </c>
      <c r="AH3558" s="28"/>
      <c r="AI3558" s="28" t="n">
        <f aca="false">AH3558*$M3558</f>
        <v>0</v>
      </c>
      <c r="AJ3558" s="28"/>
      <c r="AK3558" s="28" t="n">
        <f aca="false">AJ3558*$M3558</f>
        <v>0</v>
      </c>
      <c r="AL3558" s="28"/>
      <c r="AM3558" s="28" t="n">
        <f aca="false">AL3558*$M3558</f>
        <v>0</v>
      </c>
      <c r="AN3558" s="28"/>
      <c r="AO3558" s="28" t="n">
        <f aca="false">AN3558*$M3558</f>
        <v>0</v>
      </c>
      <c r="AP3558" s="28"/>
      <c r="AQ3558" s="28" t="n">
        <f aca="false">AP3558*$M3558</f>
        <v>0</v>
      </c>
      <c r="AR3558" s="28"/>
      <c r="AS3558" s="28" t="n">
        <f aca="false">AR3558*$M3558</f>
        <v>0</v>
      </c>
      <c r="AT3558" s="28"/>
      <c r="AU3558" s="28" t="n">
        <f aca="false">AT3558*$M3558</f>
        <v>0</v>
      </c>
      <c r="AV3558" s="28"/>
      <c r="AW3558" s="28" t="n">
        <f aca="false">AV3558*$M3558</f>
        <v>0</v>
      </c>
      <c r="AX3558" s="28"/>
      <c r="AY3558" s="28" t="n">
        <f aca="false">AX3558*$M3558</f>
        <v>0</v>
      </c>
      <c r="AZ3558" s="30" t="n">
        <f aca="false">1229171/100</f>
        <v>12291.71</v>
      </c>
      <c r="BA3558" s="11" t="n">
        <v>344168</v>
      </c>
      <c r="BB3558" s="31" t="n">
        <f aca="false">SUM(Q3558,S3558,U3558,W3558,Y3558,AA3558,AC3558,AE3558,AG3558,AI3558,AK3558,AM3558,AO3558,AQ3558,AS3558,AU3558,AW3558,AY3558)</f>
        <v>344168</v>
      </c>
      <c r="BC3558" s="28" t="n">
        <f aca="false">BA3558-BB3558</f>
        <v>0</v>
      </c>
      <c r="BD3558" s="32" t="n">
        <f aca="false">SUM(P3558,R3558,T3558,V3558,X3558,Z3558,AB3558,AD3558,AF3558,AH3558,AJ3558,AL3558,AN3558,AP3558,AR3558,AT3558,AV3558,AX3558)</f>
        <v>12291.71</v>
      </c>
      <c r="BE3558" s="33" t="n">
        <f aca="false">AZ3558-BD3558</f>
        <v>0</v>
      </c>
      <c r="BF3558" s="34" t="n">
        <f aca="false">BD3558*M3558</f>
        <v>344167.88</v>
      </c>
      <c r="BG3558" s="35" t="n">
        <f aca="false">BA3558-BF3558</f>
        <v>0.119999999995343</v>
      </c>
      <c r="BH3558" s="19" t="str">
        <f aca="false">IF(BG3558=0,"",IF(BG3558&lt;&gt;BA3558,"erreur de calcul",IF(BD3558&lt;&gt;0,"pas de prix",IF(M3558&lt;&gt; 0,"pas de quantité","pas de prix, ni de quantité"))))</f>
        <v>erreur de calcul</v>
      </c>
      <c r="BI3558" s="19"/>
    </row>
    <row r="3559" customFormat="false" ht="15" hidden="false" customHeight="false" outlineLevel="0" collapsed="false">
      <c r="A3559" s="0" t="n">
        <v>6</v>
      </c>
      <c r="B3559" s="8" t="s">
        <v>24</v>
      </c>
      <c r="C3559" s="9" t="s">
        <v>25</v>
      </c>
      <c r="D3559" s="9" t="s">
        <v>26</v>
      </c>
      <c r="E3559" s="10" t="n">
        <v>1789</v>
      </c>
      <c r="F3559" s="9" t="s">
        <v>27</v>
      </c>
      <c r="G3559" s="9" t="s">
        <v>27</v>
      </c>
      <c r="H3559" s="11" t="n">
        <v>20</v>
      </c>
      <c r="I3559" s="11" t="s">
        <v>122</v>
      </c>
      <c r="J3559" s="14" t="n">
        <v>16</v>
      </c>
      <c r="K3559" s="14"/>
      <c r="L3559" s="16"/>
      <c r="M3559" s="27" t="n">
        <f aca="false">J3559+(K3559/20)+(L3559/240)</f>
        <v>16</v>
      </c>
      <c r="N3559" s="17" t="s">
        <v>64</v>
      </c>
      <c r="O3559" s="11"/>
      <c r="P3559" s="28" t="n">
        <f aca="false">1774951/100</f>
        <v>17749.51</v>
      </c>
      <c r="Q3559" s="28" t="n">
        <v>283992</v>
      </c>
      <c r="R3559" s="28"/>
      <c r="S3559" s="28" t="n">
        <f aca="false">R3559*$M3559</f>
        <v>0</v>
      </c>
      <c r="T3559" s="28"/>
      <c r="U3559" s="28" t="n">
        <f aca="false">T3559*$M3559</f>
        <v>0</v>
      </c>
      <c r="V3559" s="28" t="n">
        <f aca="false">20834/100</f>
        <v>208.34</v>
      </c>
      <c r="W3559" s="28" t="n">
        <v>3333</v>
      </c>
      <c r="X3559" s="28" t="n">
        <f aca="false">85901/100</f>
        <v>859.01</v>
      </c>
      <c r="Y3559" s="28" t="n">
        <v>13744</v>
      </c>
      <c r="Z3559" s="28"/>
      <c r="AA3559" s="28" t="n">
        <f aca="false">Z3559*$M3559</f>
        <v>0</v>
      </c>
      <c r="AB3559" s="28" t="n">
        <f aca="false">6847841/100</f>
        <v>68478.41</v>
      </c>
      <c r="AC3559" s="28" t="n">
        <v>1095654</v>
      </c>
      <c r="AD3559" s="28"/>
      <c r="AE3559" s="28" t="n">
        <f aca="false">AD3559*$M3559</f>
        <v>0</v>
      </c>
      <c r="AF3559" s="28"/>
      <c r="AG3559" s="28" t="n">
        <f aca="false">AF3559*$M3559</f>
        <v>0</v>
      </c>
      <c r="AH3559" s="28" t="n">
        <f aca="false">50417/100</f>
        <v>504.17</v>
      </c>
      <c r="AI3559" s="28" t="n">
        <v>8067</v>
      </c>
      <c r="AJ3559" s="28"/>
      <c r="AK3559" s="28" t="n">
        <f aca="false">AJ3559*$M3559</f>
        <v>0</v>
      </c>
      <c r="AL3559" s="28"/>
      <c r="AM3559" s="28" t="n">
        <f aca="false">AL3559*$M3559</f>
        <v>0</v>
      </c>
      <c r="AN3559" s="28"/>
      <c r="AO3559" s="28" t="n">
        <f aca="false">AN3559*$M3559</f>
        <v>0</v>
      </c>
      <c r="AP3559" s="28"/>
      <c r="AQ3559" s="28" t="n">
        <f aca="false">AP3559*$M3559</f>
        <v>0</v>
      </c>
      <c r="AR3559" s="28"/>
      <c r="AS3559" s="28" t="n">
        <f aca="false">AR3559*$M3559</f>
        <v>0</v>
      </c>
      <c r="AT3559" s="28"/>
      <c r="AU3559" s="28" t="n">
        <f aca="false">AT3559*$M3559</f>
        <v>0</v>
      </c>
      <c r="AV3559" s="28"/>
      <c r="AW3559" s="28" t="n">
        <f aca="false">AV3559*$M3559</f>
        <v>0</v>
      </c>
      <c r="AX3559" s="28"/>
      <c r="AY3559" s="28" t="n">
        <f aca="false">AX3559*$M3559</f>
        <v>0</v>
      </c>
      <c r="AZ3559" s="30" t="n">
        <f aca="false">8779944/100</f>
        <v>87799.44</v>
      </c>
      <c r="BA3559" s="11" t="n">
        <v>1404790</v>
      </c>
      <c r="BB3559" s="31" t="n">
        <f aca="false">SUM(Q3559,S3559,U3559,W3559,Y3559,AA3559,AC3559,AE3559,AG3559,AI3559,AK3559,AM3559,AO3559,AQ3559,AS3559,AU3559,AW3559,AY3559)</f>
        <v>1404790</v>
      </c>
      <c r="BC3559" s="28" t="n">
        <f aca="false">BA3559-BB3559</f>
        <v>0</v>
      </c>
      <c r="BD3559" s="32" t="n">
        <f aca="false">SUM(P3559,R3559,T3559,V3559,X3559,Z3559,AB3559,AD3559,AF3559,AH3559,AJ3559,AL3559,AN3559,AP3559,AR3559,AT3559,AV3559,AX3559)</f>
        <v>87799.44</v>
      </c>
      <c r="BE3559" s="33" t="n">
        <f aca="false">AZ3559-BD3559</f>
        <v>0</v>
      </c>
      <c r="BF3559" s="34" t="n">
        <f aca="false">BD3559*M3559</f>
        <v>1404791.04</v>
      </c>
      <c r="BG3559" s="35" t="n">
        <f aca="false">BA3559-BF3559</f>
        <v>-1.03999999980442</v>
      </c>
      <c r="BH3559" s="19" t="str">
        <f aca="false">IF(BG3559=0,"",IF(BG3559&lt;&gt;BA3559,"erreur de calcul",IF(BD3559&lt;&gt;0,"pas de prix",IF(M3559&lt;&gt; 0,"pas de quantité","pas de prix, ni de quantité"))))</f>
        <v>erreur de calcul</v>
      </c>
      <c r="BI3559" s="19"/>
    </row>
    <row r="3560" customFormat="false" ht="15" hidden="false" customHeight="false" outlineLevel="0" collapsed="false">
      <c r="A3560" s="0" t="n">
        <v>7</v>
      </c>
      <c r="B3560" s="8" t="s">
        <v>24</v>
      </c>
      <c r="C3560" s="9" t="s">
        <v>25</v>
      </c>
      <c r="D3560" s="9" t="s">
        <v>26</v>
      </c>
      <c r="E3560" s="10" t="n">
        <v>1789</v>
      </c>
      <c r="F3560" s="9" t="s">
        <v>27</v>
      </c>
      <c r="G3560" s="9" t="s">
        <v>27</v>
      </c>
      <c r="H3560" s="11" t="n">
        <v>20</v>
      </c>
      <c r="I3560" s="11" t="s">
        <v>123</v>
      </c>
      <c r="J3560" s="14" t="n">
        <v>12</v>
      </c>
      <c r="K3560" s="14"/>
      <c r="L3560" s="16"/>
      <c r="M3560" s="27" t="n">
        <f aca="false">J3560+(K3560/20)+(L3560/240)</f>
        <v>12</v>
      </c>
      <c r="N3560" s="17" t="s">
        <v>64</v>
      </c>
      <c r="O3560" s="11"/>
      <c r="P3560" s="28"/>
      <c r="Q3560" s="28" t="n">
        <f aca="false">P3560*$M3560</f>
        <v>0</v>
      </c>
      <c r="R3560" s="28"/>
      <c r="S3560" s="28" t="n">
        <f aca="false">R3560*$M3560</f>
        <v>0</v>
      </c>
      <c r="T3560" s="28"/>
      <c r="U3560" s="28" t="n">
        <f aca="false">T3560*$M3560</f>
        <v>0</v>
      </c>
      <c r="V3560" s="28"/>
      <c r="W3560" s="28" t="n">
        <f aca="false">V3560*$M3560</f>
        <v>0</v>
      </c>
      <c r="X3560" s="28"/>
      <c r="Y3560" s="28" t="n">
        <f aca="false">X3560*$M3560</f>
        <v>0</v>
      </c>
      <c r="Z3560" s="28"/>
      <c r="AA3560" s="28" t="n">
        <f aca="false">Z3560*$M3560</f>
        <v>0</v>
      </c>
      <c r="AB3560" s="28"/>
      <c r="AC3560" s="28" t="n">
        <f aca="false">AB3560*$M3560</f>
        <v>0</v>
      </c>
      <c r="AD3560" s="28"/>
      <c r="AE3560" s="28" t="n">
        <f aca="false">AD3560*$M3560</f>
        <v>0</v>
      </c>
      <c r="AF3560" s="28"/>
      <c r="AG3560" s="28" t="n">
        <f aca="false">AF3560*$M3560</f>
        <v>0</v>
      </c>
      <c r="AH3560" s="28" t="n">
        <f aca="false">5697511/100</f>
        <v>56975.11</v>
      </c>
      <c r="AI3560" s="28" t="n">
        <v>683701</v>
      </c>
      <c r="AJ3560" s="28"/>
      <c r="AK3560" s="28" t="n">
        <f aca="false">AJ3560*$M3560</f>
        <v>0</v>
      </c>
      <c r="AL3560" s="28"/>
      <c r="AM3560" s="28" t="n">
        <f aca="false">AL3560*$M3560</f>
        <v>0</v>
      </c>
      <c r="AN3560" s="28"/>
      <c r="AO3560" s="28" t="n">
        <f aca="false">AN3560*$M3560</f>
        <v>0</v>
      </c>
      <c r="AP3560" s="28"/>
      <c r="AQ3560" s="28" t="n">
        <f aca="false">AP3560*$M3560</f>
        <v>0</v>
      </c>
      <c r="AR3560" s="28"/>
      <c r="AS3560" s="28" t="n">
        <f aca="false">AR3560*$M3560</f>
        <v>0</v>
      </c>
      <c r="AT3560" s="28"/>
      <c r="AU3560" s="28" t="n">
        <f aca="false">AT3560*$M3560</f>
        <v>0</v>
      </c>
      <c r="AV3560" s="28"/>
      <c r="AW3560" s="28" t="n">
        <f aca="false">AV3560*$M3560</f>
        <v>0</v>
      </c>
      <c r="AX3560" s="28"/>
      <c r="AY3560" s="28" t="n">
        <f aca="false">AX3560*$M3560</f>
        <v>0</v>
      </c>
      <c r="AZ3560" s="30" t="n">
        <f aca="false">5697511/100</f>
        <v>56975.11</v>
      </c>
      <c r="BA3560" s="11" t="n">
        <v>683701</v>
      </c>
      <c r="BB3560" s="31" t="n">
        <f aca="false">SUM(Q3560,S3560,U3560,W3560,Y3560,AA3560,AC3560,AE3560,AG3560,AI3560,AK3560,AM3560,AO3560,AQ3560,AS3560,AU3560,AW3560,AY3560)</f>
        <v>683701</v>
      </c>
      <c r="BC3560" s="28" t="n">
        <f aca="false">BA3560-BB3560</f>
        <v>0</v>
      </c>
      <c r="BD3560" s="32" t="n">
        <f aca="false">SUM(P3560,R3560,T3560,V3560,X3560,Z3560,AB3560,AD3560,AF3560,AH3560,AJ3560,AL3560,AN3560,AP3560,AR3560,AT3560,AV3560,AX3560)</f>
        <v>56975.11</v>
      </c>
      <c r="BE3560" s="33" t="n">
        <f aca="false">AZ3560-BD3560</f>
        <v>0</v>
      </c>
      <c r="BF3560" s="34" t="n">
        <f aca="false">BD3560*M3560</f>
        <v>683701.32</v>
      </c>
      <c r="BG3560" s="35" t="n">
        <f aca="false">BA3560-BF3560</f>
        <v>-0.320000000065193</v>
      </c>
      <c r="BH3560" s="19" t="str">
        <f aca="false">IF(BG3560=0,"",IF(BG3560&lt;&gt;BA3560,"erreur de calcul",IF(BD3560&lt;&gt;0,"pas de prix",IF(M3560&lt;&gt; 0,"pas de quantité","pas de prix, ni de quantité"))))</f>
        <v>erreur de calcul</v>
      </c>
      <c r="BI3560" s="19"/>
    </row>
    <row r="3561" customFormat="false" ht="15" hidden="false" customHeight="false" outlineLevel="0" collapsed="false">
      <c r="A3561" s="0" t="n">
        <v>8</v>
      </c>
      <c r="B3561" s="8" t="s">
        <v>24</v>
      </c>
      <c r="C3561" s="9" t="s">
        <v>25</v>
      </c>
      <c r="D3561" s="9" t="s">
        <v>26</v>
      </c>
      <c r="E3561" s="10" t="n">
        <v>1789</v>
      </c>
      <c r="F3561" s="9" t="s">
        <v>27</v>
      </c>
      <c r="G3561" s="9" t="s">
        <v>27</v>
      </c>
      <c r="H3561" s="11" t="n">
        <v>20</v>
      </c>
      <c r="I3561" s="11" t="s">
        <v>124</v>
      </c>
      <c r="J3561" s="14" t="n">
        <v>34</v>
      </c>
      <c r="K3561" s="14"/>
      <c r="L3561" s="16"/>
      <c r="M3561" s="27" t="n">
        <f aca="false">J3561+(K3561/20)+(L3561/240)</f>
        <v>34</v>
      </c>
      <c r="N3561" s="17" t="s">
        <v>64</v>
      </c>
      <c r="O3561" s="11"/>
      <c r="P3561" s="28"/>
      <c r="Q3561" s="28" t="n">
        <f aca="false">P3561*$M3561</f>
        <v>0</v>
      </c>
      <c r="R3561" s="28"/>
      <c r="S3561" s="28" t="n">
        <f aca="false">R3561*$M3561</f>
        <v>0</v>
      </c>
      <c r="T3561" s="28" t="n">
        <f aca="false">528/100</f>
        <v>5.28</v>
      </c>
      <c r="U3561" s="28" t="n">
        <v>179</v>
      </c>
      <c r="V3561" s="28"/>
      <c r="W3561" s="28" t="n">
        <f aca="false">V3561*$M3561</f>
        <v>0</v>
      </c>
      <c r="X3561" s="28" t="n">
        <f aca="false">1014/100</f>
        <v>10.14</v>
      </c>
      <c r="Y3561" s="36" t="n">
        <v>243</v>
      </c>
      <c r="Z3561" s="28"/>
      <c r="AA3561" s="28" t="n">
        <f aca="false">Z3561*$M3561</f>
        <v>0</v>
      </c>
      <c r="AB3561" s="28"/>
      <c r="AC3561" s="28" t="n">
        <f aca="false">AB3561*$M3561</f>
        <v>0</v>
      </c>
      <c r="AD3561" s="28"/>
      <c r="AE3561" s="28" t="n">
        <f aca="false">AD3561*$M3561</f>
        <v>0</v>
      </c>
      <c r="AF3561" s="28"/>
      <c r="AG3561" s="28" t="n">
        <f aca="false">AF3561*$M3561</f>
        <v>0</v>
      </c>
      <c r="AH3561" s="28"/>
      <c r="AI3561" s="28" t="n">
        <f aca="false">AH3561*$M3561</f>
        <v>0</v>
      </c>
      <c r="AJ3561" s="28" t="n">
        <f aca="false">1917/100</f>
        <v>19.17</v>
      </c>
      <c r="AK3561" s="28" t="n">
        <v>652</v>
      </c>
      <c r="AL3561" s="28"/>
      <c r="AM3561" s="28" t="n">
        <f aca="false">AL3561*$M3561</f>
        <v>0</v>
      </c>
      <c r="AN3561" s="28"/>
      <c r="AO3561" s="28" t="n">
        <f aca="false">AN3561*$M3561</f>
        <v>0</v>
      </c>
      <c r="AP3561" s="28"/>
      <c r="AQ3561" s="28" t="n">
        <f aca="false">AP3561*$M3561</f>
        <v>0</v>
      </c>
      <c r="AR3561" s="28"/>
      <c r="AS3561" s="28" t="n">
        <f aca="false">AR3561*$M3561</f>
        <v>0</v>
      </c>
      <c r="AT3561" s="28"/>
      <c r="AU3561" s="28" t="n">
        <f aca="false">AT3561*$M3561</f>
        <v>0</v>
      </c>
      <c r="AV3561" s="28"/>
      <c r="AW3561" s="28" t="n">
        <f aca="false">AV3561*$M3561</f>
        <v>0</v>
      </c>
      <c r="AX3561" s="28"/>
      <c r="AY3561" s="28" t="n">
        <f aca="false">AX3561*$M3561</f>
        <v>0</v>
      </c>
      <c r="AZ3561" s="30" t="n">
        <f aca="false">3459/100</f>
        <v>34.59</v>
      </c>
      <c r="BA3561" s="11" t="n">
        <v>1074</v>
      </c>
      <c r="BB3561" s="31" t="n">
        <f aca="false">SUM(Q3561,S3561,U3561,W3561,Y3561,AA3561,AC3561,AE3561,AG3561,AI3561,AK3561,AM3561,AO3561,AQ3561,AS3561,AU3561,AW3561,AY3561)</f>
        <v>1074</v>
      </c>
      <c r="BC3561" s="28" t="n">
        <f aca="false">BA3561-BB3561</f>
        <v>0</v>
      </c>
      <c r="BD3561" s="32" t="n">
        <f aca="false">SUM(P3561,R3561,T3561,V3561,X3561,Z3561,AB3561,AD3561,AF3561,AH3561,AJ3561,AL3561,AN3561,AP3561,AR3561,AT3561,AV3561,AX3561)</f>
        <v>34.59</v>
      </c>
      <c r="BE3561" s="33" t="n">
        <f aca="false">AZ3561-BD3561</f>
        <v>0</v>
      </c>
      <c r="BF3561" s="34" t="n">
        <f aca="false">BD3561*M3561</f>
        <v>1176.06</v>
      </c>
      <c r="BG3561" s="35" t="n">
        <f aca="false">BA3561-BF3561</f>
        <v>-102.06</v>
      </c>
      <c r="BH3561" s="19" t="str">
        <f aca="false">IF(BG3561=0,"",IF(BG3561&lt;&gt;BA3561,"erreur de calcul",IF(BD3561&lt;&gt;0,"pas de prix",IF(M3561&lt;&gt; 0,"pas de quantité","pas de prix, ni de quantité"))))</f>
        <v>erreur de calcul</v>
      </c>
      <c r="BI3561" s="19"/>
    </row>
    <row r="3562" customFormat="false" ht="15" hidden="false" customHeight="false" outlineLevel="0" collapsed="false">
      <c r="A3562" s="0" t="n">
        <v>9</v>
      </c>
      <c r="B3562" s="8" t="s">
        <v>24</v>
      </c>
      <c r="C3562" s="9" t="s">
        <v>25</v>
      </c>
      <c r="D3562" s="9" t="s">
        <v>26</v>
      </c>
      <c r="E3562" s="10" t="n">
        <v>1789</v>
      </c>
      <c r="F3562" s="9" t="s">
        <v>27</v>
      </c>
      <c r="G3562" s="9" t="s">
        <v>27</v>
      </c>
      <c r="H3562" s="11" t="n">
        <v>20</v>
      </c>
      <c r="I3562" s="11" t="s">
        <v>125</v>
      </c>
      <c r="J3562" s="14" t="n">
        <v>30</v>
      </c>
      <c r="K3562" s="14"/>
      <c r="L3562" s="16"/>
      <c r="M3562" s="27" t="n">
        <f aca="false">J3562+(K3562/20)+(L3562/240)</f>
        <v>30</v>
      </c>
      <c r="N3562" s="17" t="s">
        <v>64</v>
      </c>
      <c r="O3562" s="11"/>
      <c r="P3562" s="28" t="n">
        <f aca="false">31476/100</f>
        <v>314.76</v>
      </c>
      <c r="Q3562" s="28" t="n">
        <v>9443</v>
      </c>
      <c r="R3562" s="28"/>
      <c r="S3562" s="28" t="n">
        <f aca="false">R3562*$M3562</f>
        <v>0</v>
      </c>
      <c r="T3562" s="28"/>
      <c r="U3562" s="28" t="n">
        <f aca="false">T3562*$M3562</f>
        <v>0</v>
      </c>
      <c r="V3562" s="28"/>
      <c r="W3562" s="28" t="n">
        <f aca="false">V3562*$M3562</f>
        <v>0</v>
      </c>
      <c r="X3562" s="28" t="n">
        <f aca="false">2320/100</f>
        <v>23.2</v>
      </c>
      <c r="Y3562" s="28" t="n">
        <v>696</v>
      </c>
      <c r="Z3562" s="28"/>
      <c r="AA3562" s="28" t="n">
        <f aca="false">Z3562*$M3562</f>
        <v>0</v>
      </c>
      <c r="AB3562" s="28"/>
      <c r="AC3562" s="28" t="n">
        <f aca="false">AB3562*$M3562</f>
        <v>0</v>
      </c>
      <c r="AD3562" s="28"/>
      <c r="AE3562" s="28" t="n">
        <f aca="false">AD3562*$M3562</f>
        <v>0</v>
      </c>
      <c r="AF3562" s="28"/>
      <c r="AG3562" s="28" t="n">
        <f aca="false">AF3562*$M3562</f>
        <v>0</v>
      </c>
      <c r="AH3562" s="28"/>
      <c r="AI3562" s="28" t="n">
        <f aca="false">AH3562*$M3562</f>
        <v>0</v>
      </c>
      <c r="AJ3562" s="28"/>
      <c r="AK3562" s="28" t="n">
        <f aca="false">AJ3562*$M3562</f>
        <v>0</v>
      </c>
      <c r="AL3562" s="28"/>
      <c r="AM3562" s="28" t="n">
        <f aca="false">AL3562*$M3562</f>
        <v>0</v>
      </c>
      <c r="AN3562" s="28"/>
      <c r="AO3562" s="28" t="n">
        <f aca="false">AN3562*$M3562</f>
        <v>0</v>
      </c>
      <c r="AP3562" s="28" t="n">
        <f aca="false">5100/100</f>
        <v>51</v>
      </c>
      <c r="AQ3562" s="28" t="n">
        <v>1530</v>
      </c>
      <c r="AR3562" s="28"/>
      <c r="AS3562" s="28" t="n">
        <f aca="false">AR3562*$M3562</f>
        <v>0</v>
      </c>
      <c r="AT3562" s="28"/>
      <c r="AU3562" s="28" t="n">
        <f aca="false">AT3562*$M3562</f>
        <v>0</v>
      </c>
      <c r="AV3562" s="28"/>
      <c r="AW3562" s="28" t="n">
        <f aca="false">AV3562*$M3562</f>
        <v>0</v>
      </c>
      <c r="AX3562" s="28" t="n">
        <f aca="false">26345/100</f>
        <v>263.45</v>
      </c>
      <c r="AY3562" s="28" t="n">
        <v>7903</v>
      </c>
      <c r="AZ3562" s="30" t="n">
        <f aca="false">65241/100</f>
        <v>652.41</v>
      </c>
      <c r="BA3562" s="11" t="n">
        <v>19572</v>
      </c>
      <c r="BB3562" s="31" t="n">
        <f aca="false">SUM(Q3562,S3562,U3562,W3562,Y3562,AA3562,AC3562,AE3562,AG3562,AI3562,AK3562,AM3562,AO3562,AQ3562,AS3562,AU3562,AW3562,AY3562)</f>
        <v>19572</v>
      </c>
      <c r="BC3562" s="28" t="n">
        <f aca="false">BA3562-BB3562</f>
        <v>0</v>
      </c>
      <c r="BD3562" s="32" t="n">
        <f aca="false">SUM(P3562,R3562,T3562,V3562,X3562,Z3562,AB3562,AD3562,AF3562,AH3562,AJ3562,AL3562,AN3562,AP3562,AR3562,AT3562,AV3562,AX3562)</f>
        <v>652.41</v>
      </c>
      <c r="BE3562" s="33" t="n">
        <f aca="false">AZ3562-BD3562</f>
        <v>0</v>
      </c>
      <c r="BF3562" s="34" t="n">
        <f aca="false">BD3562*M3562</f>
        <v>19572.3</v>
      </c>
      <c r="BG3562" s="35" t="n">
        <f aca="false">BA3562-BF3562</f>
        <v>-0.299999999999272</v>
      </c>
      <c r="BH3562" s="19" t="str">
        <f aca="false">IF(BG3562=0,"",IF(BG3562&lt;&gt;BA3562,"erreur de calcul",IF(BD3562&lt;&gt;0,"pas de prix",IF(M3562&lt;&gt; 0,"pas de quantité","pas de prix, ni de quantité"))))</f>
        <v>erreur de calcul</v>
      </c>
      <c r="BI3562" s="19"/>
    </row>
    <row r="3563" customFormat="false" ht="15" hidden="false" customHeight="false" outlineLevel="0" collapsed="false">
      <c r="A3563" s="0" t="n">
        <v>10</v>
      </c>
      <c r="B3563" s="8" t="s">
        <v>24</v>
      </c>
      <c r="C3563" s="9" t="s">
        <v>25</v>
      </c>
      <c r="D3563" s="9" t="s">
        <v>26</v>
      </c>
      <c r="E3563" s="10" t="n">
        <v>1789</v>
      </c>
      <c r="F3563" s="9" t="s">
        <v>27</v>
      </c>
      <c r="G3563" s="9" t="s">
        <v>27</v>
      </c>
      <c r="H3563" s="11" t="n">
        <v>20</v>
      </c>
      <c r="I3563" s="11" t="s">
        <v>126</v>
      </c>
      <c r="J3563" s="14" t="n">
        <v>75</v>
      </c>
      <c r="K3563" s="14"/>
      <c r="L3563" s="16"/>
      <c r="M3563" s="27" t="n">
        <f aca="false">J3563+(K3563/20)+(L3563/240)</f>
        <v>75</v>
      </c>
      <c r="N3563" s="17" t="s">
        <v>64</v>
      </c>
      <c r="O3563" s="11"/>
      <c r="P3563" s="28"/>
      <c r="Q3563" s="28" t="n">
        <f aca="false">P3563*$M3563</f>
        <v>0</v>
      </c>
      <c r="R3563" s="28"/>
      <c r="S3563" s="28" t="n">
        <f aca="false">R3563*$M3563</f>
        <v>0</v>
      </c>
      <c r="T3563" s="28"/>
      <c r="U3563" s="28" t="n">
        <f aca="false">T3563*$M3563</f>
        <v>0</v>
      </c>
      <c r="V3563" s="28" t="n">
        <f aca="false">223/100</f>
        <v>2.23</v>
      </c>
      <c r="W3563" s="28" t="n">
        <v>167</v>
      </c>
      <c r="X3563" s="28" t="n">
        <f aca="false">2897/100</f>
        <v>28.97</v>
      </c>
      <c r="Y3563" s="28" t="n">
        <v>2173</v>
      </c>
      <c r="Z3563" s="28"/>
      <c r="AA3563" s="28" t="n">
        <f aca="false">Z3563*$M3563</f>
        <v>0</v>
      </c>
      <c r="AB3563" s="28"/>
      <c r="AC3563" s="28" t="n">
        <f aca="false">AB3563*$M3563</f>
        <v>0</v>
      </c>
      <c r="AD3563" s="28"/>
      <c r="AE3563" s="28" t="n">
        <f aca="false">AD3563*$M3563</f>
        <v>0</v>
      </c>
      <c r="AF3563" s="28"/>
      <c r="AG3563" s="28" t="n">
        <f aca="false">AF3563*$M3563</f>
        <v>0</v>
      </c>
      <c r="AH3563" s="28"/>
      <c r="AI3563" s="28" t="n">
        <f aca="false">AH3563*$M3563</f>
        <v>0</v>
      </c>
      <c r="AJ3563" s="28"/>
      <c r="AK3563" s="28" t="n">
        <f aca="false">AJ3563*$M3563</f>
        <v>0</v>
      </c>
      <c r="AL3563" s="28"/>
      <c r="AM3563" s="28" t="n">
        <f aca="false">AL3563*$M3563</f>
        <v>0</v>
      </c>
      <c r="AN3563" s="28"/>
      <c r="AO3563" s="28" t="n">
        <f aca="false">AN3563*$M3563</f>
        <v>0</v>
      </c>
      <c r="AP3563" s="28"/>
      <c r="AQ3563" s="28" t="n">
        <f aca="false">AP3563*$M3563</f>
        <v>0</v>
      </c>
      <c r="AR3563" s="28"/>
      <c r="AS3563" s="28" t="n">
        <f aca="false">AR3563*$M3563</f>
        <v>0</v>
      </c>
      <c r="AT3563" s="28"/>
      <c r="AU3563" s="28" t="n">
        <f aca="false">AT3563*$M3563</f>
        <v>0</v>
      </c>
      <c r="AV3563" s="28"/>
      <c r="AW3563" s="28" t="n">
        <f aca="false">AV3563*$M3563</f>
        <v>0</v>
      </c>
      <c r="AX3563" s="28"/>
      <c r="AY3563" s="28" t="n">
        <f aca="false">AX3563*$M3563</f>
        <v>0</v>
      </c>
      <c r="AZ3563" s="30" t="n">
        <f aca="false">3120/100</f>
        <v>31.2</v>
      </c>
      <c r="BA3563" s="11" t="n">
        <v>2340</v>
      </c>
      <c r="BB3563" s="31" t="n">
        <f aca="false">SUM(Q3563,S3563,U3563,W3563,Y3563,AA3563,AC3563,AE3563,AG3563,AI3563,AK3563,AM3563,AO3563,AQ3563,AS3563,AU3563,AW3563,AY3563)</f>
        <v>2340</v>
      </c>
      <c r="BC3563" s="28" t="n">
        <f aca="false">BA3563-BB3563</f>
        <v>0</v>
      </c>
      <c r="BD3563" s="32" t="n">
        <f aca="false">SUM(P3563,R3563,T3563,V3563,X3563,Z3563,AB3563,AD3563,AF3563,AH3563,AJ3563,AL3563,AN3563,AP3563,AR3563,AT3563,AV3563,AX3563)</f>
        <v>31.2</v>
      </c>
      <c r="BE3563" s="33" t="n">
        <f aca="false">AZ3563-BD3563</f>
        <v>0</v>
      </c>
      <c r="BF3563" s="34" t="n">
        <f aca="false">BD3563*M3563</f>
        <v>2340</v>
      </c>
      <c r="BG3563" s="35" t="n">
        <f aca="false">BA3563-BF3563</f>
        <v>0</v>
      </c>
      <c r="BH3563" s="19" t="str">
        <f aca="false">IF(BG3563=0,"",IF(BG3563&lt;&gt;BA3563,"erreur de calcul",IF(BD3563&lt;&gt;0,"pas de prix",IF(M3563&lt;&gt; 0,"pas de quantité","pas de prix, ni de quantité"))))</f>
        <v/>
      </c>
      <c r="BI3563" s="19"/>
    </row>
    <row r="3564" customFormat="false" ht="15" hidden="false" customHeight="false" outlineLevel="0" collapsed="false">
      <c r="A3564" s="0" t="n">
        <v>11</v>
      </c>
      <c r="B3564" s="8" t="s">
        <v>24</v>
      </c>
      <c r="C3564" s="9" t="s">
        <v>25</v>
      </c>
      <c r="D3564" s="9" t="s">
        <v>26</v>
      </c>
      <c r="E3564" s="10" t="n">
        <v>1789</v>
      </c>
      <c r="F3564" s="9" t="s">
        <v>27</v>
      </c>
      <c r="G3564" s="9" t="s">
        <v>27</v>
      </c>
      <c r="H3564" s="11" t="n">
        <v>20</v>
      </c>
      <c r="I3564" s="11" t="s">
        <v>127</v>
      </c>
      <c r="J3564" s="14" t="n">
        <v>75</v>
      </c>
      <c r="K3564" s="14"/>
      <c r="L3564" s="16"/>
      <c r="M3564" s="27" t="n">
        <f aca="false">J3564+(K3564/20)+(L3564/240)</f>
        <v>75</v>
      </c>
      <c r="N3564" s="17" t="s">
        <v>64</v>
      </c>
      <c r="O3564" s="11"/>
      <c r="P3564" s="28"/>
      <c r="Q3564" s="28" t="n">
        <f aca="false">P3564*$M3564</f>
        <v>0</v>
      </c>
      <c r="R3564" s="28"/>
      <c r="S3564" s="28" t="n">
        <f aca="false">R3564*$M3564</f>
        <v>0</v>
      </c>
      <c r="T3564" s="28" t="n">
        <f aca="false">5807/100</f>
        <v>58.07</v>
      </c>
      <c r="U3564" s="28" t="n">
        <v>4355</v>
      </c>
      <c r="V3564" s="28"/>
      <c r="W3564" s="28" t="n">
        <f aca="false">V3564*$M3564</f>
        <v>0</v>
      </c>
      <c r="X3564" s="28"/>
      <c r="Y3564" s="28" t="n">
        <f aca="false">X3564*$M3564</f>
        <v>0</v>
      </c>
      <c r="Z3564" s="28"/>
      <c r="AA3564" s="28" t="n">
        <f aca="false">Z3564*$M3564</f>
        <v>0</v>
      </c>
      <c r="AB3564" s="28"/>
      <c r="AC3564" s="28" t="n">
        <f aca="false">AB3564*$M3564</f>
        <v>0</v>
      </c>
      <c r="AD3564" s="28"/>
      <c r="AE3564" s="28" t="n">
        <f aca="false">AD3564*$M3564</f>
        <v>0</v>
      </c>
      <c r="AF3564" s="28"/>
      <c r="AG3564" s="28" t="n">
        <f aca="false">AF3564*$M3564</f>
        <v>0</v>
      </c>
      <c r="AH3564" s="28"/>
      <c r="AI3564" s="28" t="n">
        <f aca="false">AH3564*$M3564</f>
        <v>0</v>
      </c>
      <c r="AJ3564" s="28"/>
      <c r="AK3564" s="28" t="n">
        <f aca="false">AJ3564*$M3564</f>
        <v>0</v>
      </c>
      <c r="AL3564" s="28"/>
      <c r="AM3564" s="28" t="n">
        <f aca="false">AL3564*$M3564</f>
        <v>0</v>
      </c>
      <c r="AN3564" s="28"/>
      <c r="AO3564" s="28" t="n">
        <f aca="false">AN3564*$M3564</f>
        <v>0</v>
      </c>
      <c r="AP3564" s="28"/>
      <c r="AQ3564" s="28" t="n">
        <f aca="false">AP3564*$M3564</f>
        <v>0</v>
      </c>
      <c r="AR3564" s="28"/>
      <c r="AS3564" s="28" t="n">
        <f aca="false">AR3564*$M3564</f>
        <v>0</v>
      </c>
      <c r="AT3564" s="28"/>
      <c r="AU3564" s="28" t="n">
        <f aca="false">AT3564*$M3564</f>
        <v>0</v>
      </c>
      <c r="AV3564" s="28"/>
      <c r="AW3564" s="28" t="n">
        <f aca="false">AV3564*$M3564</f>
        <v>0</v>
      </c>
      <c r="AX3564" s="28"/>
      <c r="AY3564" s="28" t="n">
        <f aca="false">AX3564*$M3564</f>
        <v>0</v>
      </c>
      <c r="AZ3564" s="30" t="n">
        <f aca="false">5807/100</f>
        <v>58.07</v>
      </c>
      <c r="BA3564" s="11" t="n">
        <v>4355</v>
      </c>
      <c r="BB3564" s="31" t="n">
        <f aca="false">SUM(Q3564,S3564,U3564,W3564,Y3564,AA3564,AC3564,AE3564,AG3564,AI3564,AK3564,AM3564,AO3564,AQ3564,AS3564,AU3564,AW3564,AY3564)</f>
        <v>4355</v>
      </c>
      <c r="BC3564" s="28" t="n">
        <f aca="false">BA3564-BB3564</f>
        <v>0</v>
      </c>
      <c r="BD3564" s="32" t="n">
        <f aca="false">SUM(P3564,R3564,T3564,V3564,X3564,Z3564,AB3564,AD3564,AF3564,AH3564,AJ3564,AL3564,AN3564,AP3564,AR3564,AT3564,AV3564,AX3564)</f>
        <v>58.07</v>
      </c>
      <c r="BE3564" s="33" t="n">
        <f aca="false">AZ3564-BD3564</f>
        <v>0</v>
      </c>
      <c r="BF3564" s="34" t="n">
        <f aca="false">BD3564*M3564</f>
        <v>4355.25</v>
      </c>
      <c r="BG3564" s="35" t="n">
        <f aca="false">BA3564-BF3564</f>
        <v>-0.25</v>
      </c>
      <c r="BH3564" s="19" t="str">
        <f aca="false">IF(BG3564=0,"",IF(BG3564&lt;&gt;BA3564,"erreur de calcul",IF(BD3564&lt;&gt;0,"pas de prix",IF(M3564&lt;&gt; 0,"pas de quantité","pas de prix, ni de quantité"))))</f>
        <v>erreur de calcul</v>
      </c>
      <c r="BI3564" s="19"/>
    </row>
    <row r="3565" customFormat="false" ht="15" hidden="false" customHeight="false" outlineLevel="0" collapsed="false">
      <c r="A3565" s="0" t="n">
        <v>12</v>
      </c>
      <c r="B3565" s="8" t="s">
        <v>24</v>
      </c>
      <c r="C3565" s="9" t="s">
        <v>25</v>
      </c>
      <c r="D3565" s="9" t="s">
        <v>26</v>
      </c>
      <c r="E3565" s="10" t="n">
        <v>1789</v>
      </c>
      <c r="F3565" s="9" t="s">
        <v>27</v>
      </c>
      <c r="G3565" s="9" t="s">
        <v>27</v>
      </c>
      <c r="H3565" s="11" t="n">
        <v>20</v>
      </c>
      <c r="I3565" s="11" t="s">
        <v>128</v>
      </c>
      <c r="J3565" s="14" t="n">
        <v>42</v>
      </c>
      <c r="K3565" s="14"/>
      <c r="L3565" s="16"/>
      <c r="M3565" s="27" t="n">
        <f aca="false">J3565+(K3565/20)+(L3565/240)</f>
        <v>42</v>
      </c>
      <c r="N3565" s="17" t="s">
        <v>64</v>
      </c>
      <c r="O3565" s="11"/>
      <c r="P3565" s="28"/>
      <c r="Q3565" s="28" t="n">
        <f aca="false">P3565*$M3565</f>
        <v>0</v>
      </c>
      <c r="R3565" s="28"/>
      <c r="S3565" s="28" t="n">
        <f aca="false">R3565*$M3565</f>
        <v>0</v>
      </c>
      <c r="T3565" s="28" t="n">
        <f aca="false">347073/100</f>
        <v>3470.73</v>
      </c>
      <c r="U3565" s="28" t="n">
        <v>145771</v>
      </c>
      <c r="V3565" s="28" t="n">
        <f aca="false">188616/100</f>
        <v>1886.16</v>
      </c>
      <c r="W3565" s="28" t="n">
        <v>79219</v>
      </c>
      <c r="X3565" s="28" t="n">
        <f aca="false">518894/100</f>
        <v>5188.94</v>
      </c>
      <c r="Y3565" s="28" t="n">
        <v>217935</v>
      </c>
      <c r="Z3565" s="28" t="n">
        <f aca="false">965148/100</f>
        <v>9651.48</v>
      </c>
      <c r="AA3565" s="28" t="n">
        <v>405362</v>
      </c>
      <c r="AB3565" s="28" t="n">
        <f aca="false">759238/100</f>
        <v>7592.38</v>
      </c>
      <c r="AC3565" s="28" t="n">
        <v>318880</v>
      </c>
      <c r="AD3565" s="28" t="n">
        <f aca="false">254167/100</f>
        <v>2541.67</v>
      </c>
      <c r="AE3565" s="28" t="n">
        <v>106750</v>
      </c>
      <c r="AF3565" s="28"/>
      <c r="AG3565" s="28" t="n">
        <f aca="false">AF3565*$M3565</f>
        <v>0</v>
      </c>
      <c r="AH3565" s="28"/>
      <c r="AI3565" s="28" t="n">
        <f aca="false">AH3565*$M3565</f>
        <v>0</v>
      </c>
      <c r="AJ3565" s="28"/>
      <c r="AK3565" s="28" t="n">
        <f aca="false">AJ3565*$M3565</f>
        <v>0</v>
      </c>
      <c r="AL3565" s="28" t="n">
        <f aca="false">73551/100</f>
        <v>735.51</v>
      </c>
      <c r="AM3565" s="28" t="n">
        <v>30891</v>
      </c>
      <c r="AN3565" s="28"/>
      <c r="AO3565" s="28" t="n">
        <f aca="false">AN3565*$M3565</f>
        <v>0</v>
      </c>
      <c r="AP3565" s="28" t="n">
        <f aca="false">45836/100</f>
        <v>458.36</v>
      </c>
      <c r="AQ3565" s="28" t="n">
        <v>19251</v>
      </c>
      <c r="AR3565" s="28"/>
      <c r="AS3565" s="28" t="n">
        <f aca="false">AR3565*$M3565</f>
        <v>0</v>
      </c>
      <c r="AT3565" s="28"/>
      <c r="AU3565" s="28" t="n">
        <f aca="false">AT3565*$M3565</f>
        <v>0</v>
      </c>
      <c r="AV3565" s="28" t="n">
        <f aca="false">566574/100</f>
        <v>5665.74</v>
      </c>
      <c r="AW3565" s="28" t="n">
        <v>237961</v>
      </c>
      <c r="AX3565" s="28"/>
      <c r="AY3565" s="28" t="n">
        <f aca="false">AX3565*$M3565</f>
        <v>0</v>
      </c>
      <c r="AZ3565" s="30" t="n">
        <f aca="false">3719097/100</f>
        <v>37190.97</v>
      </c>
      <c r="BA3565" s="11" t="n">
        <v>1562020</v>
      </c>
      <c r="BB3565" s="31" t="n">
        <f aca="false">SUM(Q3565,S3565,U3565,W3565,Y3565,AA3565,AC3565,AE3565,AG3565,AI3565,AK3565,AM3565,AO3565,AQ3565,AS3565,AU3565,AW3565,AY3565)</f>
        <v>1562020</v>
      </c>
      <c r="BC3565" s="28" t="n">
        <f aca="false">BA3565-BB3565</f>
        <v>0</v>
      </c>
      <c r="BD3565" s="32" t="n">
        <f aca="false">SUM(P3565,R3565,T3565,V3565,X3565,Z3565,AB3565,AD3565,AF3565,AH3565,AJ3565,AL3565,AN3565,AP3565,AR3565,AT3565,AV3565,AX3565)</f>
        <v>37190.97</v>
      </c>
      <c r="BE3565" s="33" t="n">
        <f aca="false">AZ3565-BD3565</f>
        <v>0</v>
      </c>
      <c r="BF3565" s="34" t="n">
        <f aca="false">BD3565*M3565</f>
        <v>1562020.74</v>
      </c>
      <c r="BG3565" s="35" t="n">
        <f aca="false">BA3565-BF3565</f>
        <v>-0.739999999990687</v>
      </c>
      <c r="BH3565" s="19" t="str">
        <f aca="false">IF(BG3565=0,"",IF(BG3565&lt;&gt;BA3565,"erreur de calcul",IF(BD3565&lt;&gt;0,"pas de prix",IF(M3565&lt;&gt; 0,"pas de quantité","pas de prix, ni de quantité"))))</f>
        <v>erreur de calcul</v>
      </c>
      <c r="BI3565" s="19"/>
    </row>
    <row r="3566" customFormat="false" ht="15" hidden="false" customHeight="false" outlineLevel="0" collapsed="false">
      <c r="A3566" s="0" t="n">
        <v>13</v>
      </c>
      <c r="B3566" s="8" t="s">
        <v>24</v>
      </c>
      <c r="C3566" s="9" t="s">
        <v>25</v>
      </c>
      <c r="D3566" s="9" t="s">
        <v>26</v>
      </c>
      <c r="E3566" s="10" t="n">
        <v>1789</v>
      </c>
      <c r="F3566" s="9" t="s">
        <v>27</v>
      </c>
      <c r="G3566" s="9" t="s">
        <v>27</v>
      </c>
      <c r="H3566" s="11" t="n">
        <v>20</v>
      </c>
      <c r="I3566" s="11" t="s">
        <v>129</v>
      </c>
      <c r="J3566" s="14" t="n">
        <v>75</v>
      </c>
      <c r="K3566" s="14"/>
      <c r="L3566" s="16"/>
      <c r="M3566" s="27" t="n">
        <f aca="false">J3566+(K3566/20)+(L3566/240)</f>
        <v>75</v>
      </c>
      <c r="N3566" s="17" t="s">
        <v>64</v>
      </c>
      <c r="O3566" s="11"/>
      <c r="P3566" s="28"/>
      <c r="Q3566" s="28" t="n">
        <f aca="false">P3566*$M3566</f>
        <v>0</v>
      </c>
      <c r="R3566" s="28"/>
      <c r="S3566" s="28" t="n">
        <f aca="false">R3566*$M3566</f>
        <v>0</v>
      </c>
      <c r="T3566" s="28"/>
      <c r="U3566" s="28" t="n">
        <f aca="false">T3566*$M3566</f>
        <v>0</v>
      </c>
      <c r="V3566" s="28" t="n">
        <f aca="false">3418/100</f>
        <v>34.18</v>
      </c>
      <c r="W3566" s="28" t="n">
        <v>2563</v>
      </c>
      <c r="X3566" s="28" t="n">
        <f aca="false">3755/100</f>
        <v>37.55</v>
      </c>
      <c r="Y3566" s="28" t="n">
        <v>2817</v>
      </c>
      <c r="Z3566" s="28"/>
      <c r="AA3566" s="28" t="n">
        <f aca="false">Z3566*$M3566</f>
        <v>0</v>
      </c>
      <c r="AB3566" s="28" t="n">
        <f aca="false">75529/100</f>
        <v>755.29</v>
      </c>
      <c r="AC3566" s="28" t="n">
        <v>56647</v>
      </c>
      <c r="AD3566" s="28"/>
      <c r="AE3566" s="28" t="n">
        <f aca="false">AD3566*$M3566</f>
        <v>0</v>
      </c>
      <c r="AF3566" s="28"/>
      <c r="AG3566" s="28" t="n">
        <f aca="false">AF3566*$M3566</f>
        <v>0</v>
      </c>
      <c r="AH3566" s="28"/>
      <c r="AI3566" s="28" t="n">
        <f aca="false">AH3566*$M3566</f>
        <v>0</v>
      </c>
      <c r="AJ3566" s="28"/>
      <c r="AK3566" s="28" t="n">
        <f aca="false">AJ3566*$M3566</f>
        <v>0</v>
      </c>
      <c r="AL3566" s="28"/>
      <c r="AM3566" s="28" t="n">
        <f aca="false">AL3566*$M3566</f>
        <v>0</v>
      </c>
      <c r="AN3566" s="28"/>
      <c r="AO3566" s="28" t="n">
        <f aca="false">AN3566*$M3566</f>
        <v>0</v>
      </c>
      <c r="AP3566" s="28"/>
      <c r="AQ3566" s="28" t="n">
        <f aca="false">AP3566*$M3566</f>
        <v>0</v>
      </c>
      <c r="AR3566" s="28"/>
      <c r="AS3566" s="28" t="n">
        <f aca="false">AR3566*$M3566</f>
        <v>0</v>
      </c>
      <c r="AT3566" s="28"/>
      <c r="AU3566" s="28" t="n">
        <f aca="false">AT3566*$M3566</f>
        <v>0</v>
      </c>
      <c r="AV3566" s="28"/>
      <c r="AW3566" s="28" t="n">
        <f aca="false">AV3566*$M3566</f>
        <v>0</v>
      </c>
      <c r="AX3566" s="28"/>
      <c r="AY3566" s="28" t="n">
        <f aca="false">AX3566*$M3566</f>
        <v>0</v>
      </c>
      <c r="AZ3566" s="30" t="n">
        <f aca="false">82702/100</f>
        <v>827.02</v>
      </c>
      <c r="BA3566" s="11" t="n">
        <v>62027</v>
      </c>
      <c r="BB3566" s="31" t="n">
        <f aca="false">SUM(Q3566,S3566,U3566,W3566,Y3566,AA3566,AC3566,AE3566,AG3566,AI3566,AK3566,AM3566,AO3566,AQ3566,AS3566,AU3566,AW3566,AY3566)</f>
        <v>62027</v>
      </c>
      <c r="BC3566" s="28" t="n">
        <f aca="false">BA3566-BB3566</f>
        <v>0</v>
      </c>
      <c r="BD3566" s="32" t="n">
        <f aca="false">SUM(P3566,R3566,T3566,V3566,X3566,Z3566,AB3566,AD3566,AF3566,AH3566,AJ3566,AL3566,AN3566,AP3566,AR3566,AT3566,AV3566,AX3566)</f>
        <v>827.02</v>
      </c>
      <c r="BE3566" s="33" t="n">
        <f aca="false">AZ3566-BD3566</f>
        <v>0</v>
      </c>
      <c r="BF3566" s="34" t="n">
        <f aca="false">BD3566*M3566</f>
        <v>62026.5</v>
      </c>
      <c r="BG3566" s="35" t="n">
        <f aca="false">BA3566-BF3566</f>
        <v>0.500000000007276</v>
      </c>
      <c r="BH3566" s="19" t="str">
        <f aca="false">IF(BG3566=0,"",IF(BG3566&lt;&gt;BA3566,"erreur de calcul",IF(BD3566&lt;&gt;0,"pas de prix",IF(M3566&lt;&gt; 0,"pas de quantité","pas de prix, ni de quantité"))))</f>
        <v>erreur de calcul</v>
      </c>
      <c r="BI3566" s="19"/>
    </row>
    <row r="3567" customFormat="false" ht="15" hidden="false" customHeight="false" outlineLevel="0" collapsed="false">
      <c r="A3567" s="0" t="n">
        <v>14</v>
      </c>
      <c r="B3567" s="8" t="s">
        <v>24</v>
      </c>
      <c r="C3567" s="9" t="s">
        <v>25</v>
      </c>
      <c r="D3567" s="9" t="s">
        <v>26</v>
      </c>
      <c r="E3567" s="10" t="n">
        <v>1789</v>
      </c>
      <c r="F3567" s="9" t="s">
        <v>27</v>
      </c>
      <c r="G3567" s="9" t="s">
        <v>27</v>
      </c>
      <c r="H3567" s="11" t="n">
        <v>20</v>
      </c>
      <c r="I3567" s="11" t="s">
        <v>130</v>
      </c>
      <c r="J3567" s="14" t="n">
        <v>170</v>
      </c>
      <c r="K3567" s="14"/>
      <c r="L3567" s="16"/>
      <c r="M3567" s="27" t="n">
        <f aca="false">J3567+(K3567/20)+(L3567/240)</f>
        <v>170</v>
      </c>
      <c r="N3567" s="17" t="s">
        <v>64</v>
      </c>
      <c r="O3567" s="11"/>
      <c r="P3567" s="28"/>
      <c r="Q3567" s="28" t="n">
        <f aca="false">P3567*$M3567</f>
        <v>0</v>
      </c>
      <c r="R3567" s="28"/>
      <c r="S3567" s="28" t="n">
        <f aca="false">R3567*$M3567</f>
        <v>0</v>
      </c>
      <c r="T3567" s="28" t="n">
        <f aca="false">488/100</f>
        <v>4.88</v>
      </c>
      <c r="U3567" s="28" t="n">
        <v>830</v>
      </c>
      <c r="V3567" s="28"/>
      <c r="W3567" s="28" t="n">
        <f aca="false">V3567*$M3567</f>
        <v>0</v>
      </c>
      <c r="X3567" s="28" t="n">
        <f aca="false">8480/100</f>
        <v>84.8</v>
      </c>
      <c r="Y3567" s="28" t="n">
        <v>14416</v>
      </c>
      <c r="Z3567" s="28"/>
      <c r="AA3567" s="28" t="n">
        <f aca="false">Z3567*$M3567</f>
        <v>0</v>
      </c>
      <c r="AB3567" s="28" t="n">
        <f aca="false">291/100</f>
        <v>2.91</v>
      </c>
      <c r="AC3567" s="28" t="n">
        <v>495</v>
      </c>
      <c r="AD3567" s="28"/>
      <c r="AE3567" s="28" t="n">
        <f aca="false">AD3567*$M3567</f>
        <v>0</v>
      </c>
      <c r="AF3567" s="28"/>
      <c r="AG3567" s="28" t="n">
        <f aca="false">AF3567*$M3567</f>
        <v>0</v>
      </c>
      <c r="AH3567" s="28"/>
      <c r="AI3567" s="28" t="n">
        <f aca="false">AH3567*$M3567</f>
        <v>0</v>
      </c>
      <c r="AJ3567" s="28"/>
      <c r="AK3567" s="28" t="n">
        <f aca="false">AJ3567*$M3567</f>
        <v>0</v>
      </c>
      <c r="AL3567" s="28"/>
      <c r="AM3567" s="28" t="n">
        <f aca="false">AL3567*$M3567</f>
        <v>0</v>
      </c>
      <c r="AN3567" s="28"/>
      <c r="AO3567" s="28" t="n">
        <f aca="false">AN3567*$M3567</f>
        <v>0</v>
      </c>
      <c r="AP3567" s="28"/>
      <c r="AQ3567" s="28" t="n">
        <f aca="false">AP3567*$M3567</f>
        <v>0</v>
      </c>
      <c r="AR3567" s="28"/>
      <c r="AS3567" s="28" t="n">
        <f aca="false">AR3567*$M3567</f>
        <v>0</v>
      </c>
      <c r="AT3567" s="28"/>
      <c r="AU3567" s="28" t="n">
        <f aca="false">AT3567*$M3567</f>
        <v>0</v>
      </c>
      <c r="AV3567" s="28"/>
      <c r="AW3567" s="28" t="n">
        <f aca="false">AV3567*$M3567</f>
        <v>0</v>
      </c>
      <c r="AX3567" s="28"/>
      <c r="AY3567" s="28" t="n">
        <f aca="false">AX3567*$M3567</f>
        <v>0</v>
      </c>
      <c r="AZ3567" s="30" t="n">
        <f aca="false">9259/100</f>
        <v>92.59</v>
      </c>
      <c r="BA3567" s="11" t="n">
        <v>15741</v>
      </c>
      <c r="BB3567" s="31" t="n">
        <f aca="false">SUM(Q3567,S3567,U3567,W3567,Y3567,AA3567,AC3567,AE3567,AG3567,AI3567,AK3567,AM3567,AO3567,AQ3567,AS3567,AU3567,AW3567,AY3567)</f>
        <v>15741</v>
      </c>
      <c r="BC3567" s="28" t="n">
        <f aca="false">BA3567-BB3567</f>
        <v>0</v>
      </c>
      <c r="BD3567" s="32" t="n">
        <f aca="false">SUM(P3567,R3567,T3567,V3567,X3567,Z3567,AB3567,AD3567,AF3567,AH3567,AJ3567,AL3567,AN3567,AP3567,AR3567,AT3567,AV3567,AX3567)</f>
        <v>92.59</v>
      </c>
      <c r="BE3567" s="33" t="n">
        <f aca="false">AZ3567-BD3567</f>
        <v>0</v>
      </c>
      <c r="BF3567" s="34" t="n">
        <f aca="false">BD3567*M3567</f>
        <v>15740.3</v>
      </c>
      <c r="BG3567" s="35" t="n">
        <f aca="false">BA3567-BF3567</f>
        <v>0.700000000002547</v>
      </c>
      <c r="BH3567" s="19" t="str">
        <f aca="false">IF(BG3567=0,"",IF(BG3567&lt;&gt;BA3567,"erreur de calcul",IF(BD3567&lt;&gt;0,"pas de prix",IF(M3567&lt;&gt; 0,"pas de quantité","pas de prix, ni de quantité"))))</f>
        <v>erreur de calcul</v>
      </c>
      <c r="BI3567" s="19"/>
    </row>
    <row r="3568" customFormat="false" ht="15" hidden="false" customHeight="false" outlineLevel="0" collapsed="false">
      <c r="A3568" s="0" t="n">
        <v>15</v>
      </c>
      <c r="B3568" s="8" t="s">
        <v>24</v>
      </c>
      <c r="C3568" s="9" t="s">
        <v>25</v>
      </c>
      <c r="D3568" s="9" t="s">
        <v>26</v>
      </c>
      <c r="E3568" s="10" t="n">
        <v>1789</v>
      </c>
      <c r="F3568" s="9" t="s">
        <v>27</v>
      </c>
      <c r="G3568" s="9" t="s">
        <v>27</v>
      </c>
      <c r="H3568" s="11" t="n">
        <v>20</v>
      </c>
      <c r="I3568" s="11" t="s">
        <v>131</v>
      </c>
      <c r="J3568" s="14"/>
      <c r="K3568" s="14" t="n">
        <v>55</v>
      </c>
      <c r="L3568" s="16"/>
      <c r="M3568" s="27" t="n">
        <f aca="false">J3568+(K3568/20)+(L3568/240)</f>
        <v>2.75</v>
      </c>
      <c r="N3568" s="17" t="s">
        <v>64</v>
      </c>
      <c r="O3568" s="11"/>
      <c r="P3568" s="28"/>
      <c r="Q3568" s="28" t="n">
        <f aca="false">P3568*$M3568</f>
        <v>0</v>
      </c>
      <c r="R3568" s="28"/>
      <c r="S3568" s="28" t="n">
        <f aca="false">R3568*$M3568</f>
        <v>0</v>
      </c>
      <c r="T3568" s="28"/>
      <c r="U3568" s="28" t="n">
        <f aca="false">T3568*$M3568</f>
        <v>0</v>
      </c>
      <c r="V3568" s="28"/>
      <c r="W3568" s="28" t="n">
        <f aca="false">V3568*$M3568</f>
        <v>0</v>
      </c>
      <c r="X3568" s="28" t="n">
        <f aca="false">3875617/100</f>
        <v>38756.17</v>
      </c>
      <c r="Y3568" s="28" t="n">
        <v>106579</v>
      </c>
      <c r="Z3568" s="28" t="n">
        <f aca="false">62500/100</f>
        <v>625</v>
      </c>
      <c r="AA3568" s="28" t="n">
        <v>1719</v>
      </c>
      <c r="AB3568" s="28" t="n">
        <f aca="false">360000/100</f>
        <v>3600</v>
      </c>
      <c r="AC3568" s="28" t="n">
        <v>9900</v>
      </c>
      <c r="AD3568" s="28"/>
      <c r="AE3568" s="28" t="n">
        <f aca="false">AD3568*$M3568</f>
        <v>0</v>
      </c>
      <c r="AF3568" s="28"/>
      <c r="AG3568" s="28" t="n">
        <f aca="false">AF3568*$M3568</f>
        <v>0</v>
      </c>
      <c r="AH3568" s="28"/>
      <c r="AI3568" s="28" t="n">
        <f aca="false">AH3568*$M3568</f>
        <v>0</v>
      </c>
      <c r="AJ3568" s="28"/>
      <c r="AK3568" s="28" t="n">
        <f aca="false">AJ3568*$M3568</f>
        <v>0</v>
      </c>
      <c r="AL3568" s="28"/>
      <c r="AM3568" s="28" t="n">
        <f aca="false">AL3568*$M3568</f>
        <v>0</v>
      </c>
      <c r="AN3568" s="28"/>
      <c r="AO3568" s="28" t="n">
        <f aca="false">AN3568*$M3568</f>
        <v>0</v>
      </c>
      <c r="AP3568" s="28"/>
      <c r="AQ3568" s="28" t="n">
        <f aca="false">AP3568*$M3568</f>
        <v>0</v>
      </c>
      <c r="AR3568" s="28"/>
      <c r="AS3568" s="28" t="n">
        <f aca="false">AR3568*$M3568</f>
        <v>0</v>
      </c>
      <c r="AT3568" s="28"/>
      <c r="AU3568" s="28" t="n">
        <f aca="false">AT3568*$M3568</f>
        <v>0</v>
      </c>
      <c r="AV3568" s="28"/>
      <c r="AW3568" s="28" t="n">
        <f aca="false">AV3568*$M3568</f>
        <v>0</v>
      </c>
      <c r="AX3568" s="28"/>
      <c r="AY3568" s="28" t="n">
        <f aca="false">AX3568*$M3568</f>
        <v>0</v>
      </c>
      <c r="AZ3568" s="30" t="n">
        <f aca="false">4298117/100</f>
        <v>42981.17</v>
      </c>
      <c r="BA3568" s="11" t="n">
        <v>118198</v>
      </c>
      <c r="BB3568" s="31" t="n">
        <f aca="false">SUM(Q3568,S3568,U3568,W3568,Y3568,AA3568,AC3568,AE3568,AG3568,AI3568,AK3568,AM3568,AO3568,AQ3568,AS3568,AU3568,AW3568,AY3568)</f>
        <v>118198</v>
      </c>
      <c r="BC3568" s="28" t="n">
        <f aca="false">BA3568-BB3568</f>
        <v>0</v>
      </c>
      <c r="BD3568" s="32" t="n">
        <f aca="false">SUM(P3568,R3568,T3568,V3568,X3568,Z3568,AB3568,AD3568,AF3568,AH3568,AJ3568,AL3568,AN3568,AP3568,AR3568,AT3568,AV3568,AX3568)</f>
        <v>42981.17</v>
      </c>
      <c r="BE3568" s="33" t="n">
        <f aca="false">AZ3568-BD3568</f>
        <v>0</v>
      </c>
      <c r="BF3568" s="34" t="n">
        <f aca="false">BD3568*M3568</f>
        <v>118198.2175</v>
      </c>
      <c r="BG3568" s="35" t="n">
        <f aca="false">BA3568-BF3568</f>
        <v>-0.217499999998836</v>
      </c>
      <c r="BH3568" s="19" t="str">
        <f aca="false">IF(BG3568=0,"",IF(BG3568&lt;&gt;BA3568,"erreur de calcul",IF(BD3568&lt;&gt;0,"pas de prix",IF(M3568&lt;&gt; 0,"pas de quantité","pas de prix, ni de quantité"))))</f>
        <v>erreur de calcul</v>
      </c>
      <c r="BI3568" s="19"/>
    </row>
    <row r="3569" customFormat="false" ht="15" hidden="false" customHeight="false" outlineLevel="0" collapsed="false">
      <c r="A3569" s="0" t="n">
        <v>16</v>
      </c>
      <c r="B3569" s="8" t="s">
        <v>24</v>
      </c>
      <c r="C3569" s="9" t="s">
        <v>25</v>
      </c>
      <c r="D3569" s="9" t="s">
        <v>26</v>
      </c>
      <c r="E3569" s="10" t="n">
        <v>1789</v>
      </c>
      <c r="F3569" s="9" t="s">
        <v>27</v>
      </c>
      <c r="G3569" s="9" t="s">
        <v>27</v>
      </c>
      <c r="H3569" s="11" t="n">
        <v>20</v>
      </c>
      <c r="I3569" s="11" t="s">
        <v>132</v>
      </c>
      <c r="J3569" s="14"/>
      <c r="K3569" s="14" t="n">
        <v>50</v>
      </c>
      <c r="L3569" s="16"/>
      <c r="M3569" s="27" t="n">
        <f aca="false">J3569+(K3569/20)+(L3569/240)</f>
        <v>2.5</v>
      </c>
      <c r="N3569" s="17" t="s">
        <v>64</v>
      </c>
      <c r="O3569" s="11"/>
      <c r="P3569" s="28"/>
      <c r="Q3569" s="28" t="n">
        <f aca="false">P3569*$M3569</f>
        <v>0</v>
      </c>
      <c r="R3569" s="28"/>
      <c r="S3569" s="28" t="n">
        <f aca="false">R3569*$M3569</f>
        <v>0</v>
      </c>
      <c r="T3569" s="28"/>
      <c r="U3569" s="28" t="n">
        <f aca="false">T3569*$M3569</f>
        <v>0</v>
      </c>
      <c r="V3569" s="28" t="n">
        <f aca="false">25000/100</f>
        <v>250</v>
      </c>
      <c r="W3569" s="28" t="n">
        <v>625</v>
      </c>
      <c r="X3569" s="28" t="n">
        <f aca="false">9335/100</f>
        <v>93.35</v>
      </c>
      <c r="Y3569" s="28" t="n">
        <v>233</v>
      </c>
      <c r="Z3569" s="28"/>
      <c r="AA3569" s="28" t="n">
        <f aca="false">Z3569*$M3569</f>
        <v>0</v>
      </c>
      <c r="AB3569" s="28"/>
      <c r="AC3569" s="28" t="n">
        <f aca="false">AB3569*$M3569</f>
        <v>0</v>
      </c>
      <c r="AD3569" s="28"/>
      <c r="AE3569" s="28" t="n">
        <f aca="false">AD3569*$M3569</f>
        <v>0</v>
      </c>
      <c r="AF3569" s="28"/>
      <c r="AG3569" s="28" t="n">
        <f aca="false">AF3569*$M3569</f>
        <v>0</v>
      </c>
      <c r="AH3569" s="28"/>
      <c r="AI3569" s="28" t="n">
        <f aca="false">AH3569*$M3569</f>
        <v>0</v>
      </c>
      <c r="AJ3569" s="28"/>
      <c r="AK3569" s="28" t="n">
        <f aca="false">AJ3569*$M3569</f>
        <v>0</v>
      </c>
      <c r="AL3569" s="28"/>
      <c r="AM3569" s="28" t="n">
        <f aca="false">AL3569*$M3569</f>
        <v>0</v>
      </c>
      <c r="AN3569" s="28"/>
      <c r="AO3569" s="28" t="n">
        <f aca="false">AN3569*$M3569</f>
        <v>0</v>
      </c>
      <c r="AP3569" s="28"/>
      <c r="AQ3569" s="28" t="n">
        <f aca="false">AP3569*$M3569</f>
        <v>0</v>
      </c>
      <c r="AR3569" s="28"/>
      <c r="AS3569" s="28" t="n">
        <f aca="false">AR3569*$M3569</f>
        <v>0</v>
      </c>
      <c r="AT3569" s="28"/>
      <c r="AU3569" s="28" t="n">
        <f aca="false">AT3569*$M3569</f>
        <v>0</v>
      </c>
      <c r="AV3569" s="28"/>
      <c r="AW3569" s="28" t="n">
        <f aca="false">AV3569*$M3569</f>
        <v>0</v>
      </c>
      <c r="AX3569" s="28"/>
      <c r="AY3569" s="28" t="n">
        <f aca="false">AX3569*$M3569</f>
        <v>0</v>
      </c>
      <c r="AZ3569" s="30" t="n">
        <f aca="false">34335/100</f>
        <v>343.35</v>
      </c>
      <c r="BA3569" s="11" t="n">
        <v>858</v>
      </c>
      <c r="BB3569" s="31" t="n">
        <f aca="false">SUM(Q3569,S3569,U3569,W3569,Y3569,AA3569,AC3569,AE3569,AG3569,AI3569,AK3569,AM3569,AO3569,AQ3569,AS3569,AU3569,AW3569,AY3569)</f>
        <v>858</v>
      </c>
      <c r="BC3569" s="28" t="n">
        <f aca="false">BA3569-BB3569</f>
        <v>0</v>
      </c>
      <c r="BD3569" s="32" t="n">
        <f aca="false">SUM(P3569,R3569,T3569,V3569,X3569,Z3569,AB3569,AD3569,AF3569,AH3569,AJ3569,AL3569,AN3569,AP3569,AR3569,AT3569,AV3569,AX3569)</f>
        <v>343.35</v>
      </c>
      <c r="BE3569" s="33" t="n">
        <f aca="false">AZ3569-BD3569</f>
        <v>0</v>
      </c>
      <c r="BF3569" s="34" t="n">
        <f aca="false">BD3569*M3569</f>
        <v>858.375</v>
      </c>
      <c r="BG3569" s="35" t="n">
        <f aca="false">BA3569-BF3569</f>
        <v>-0.375</v>
      </c>
      <c r="BH3569" s="19" t="str">
        <f aca="false">IF(BG3569=0,"",IF(BG3569&lt;&gt;BA3569,"erreur de calcul",IF(BD3569&lt;&gt;0,"pas de prix",IF(M3569&lt;&gt; 0,"pas de quantité","pas de prix, ni de quantité"))))</f>
        <v>erreur de calcul</v>
      </c>
      <c r="BI3569" s="19"/>
    </row>
    <row r="3570" customFormat="false" ht="15" hidden="false" customHeight="false" outlineLevel="0" collapsed="false">
      <c r="A3570" s="0" t="n">
        <v>17</v>
      </c>
      <c r="B3570" s="8" t="s">
        <v>24</v>
      </c>
      <c r="C3570" s="9" t="s">
        <v>25</v>
      </c>
      <c r="D3570" s="9" t="s">
        <v>26</v>
      </c>
      <c r="E3570" s="10" t="n">
        <v>1789</v>
      </c>
      <c r="F3570" s="9" t="s">
        <v>27</v>
      </c>
      <c r="G3570" s="9" t="s">
        <v>27</v>
      </c>
      <c r="H3570" s="11" t="n">
        <v>20</v>
      </c>
      <c r="I3570" s="11" t="s">
        <v>133</v>
      </c>
      <c r="J3570" s="14" t="n">
        <v>175</v>
      </c>
      <c r="K3570" s="14"/>
      <c r="L3570" s="16"/>
      <c r="M3570" s="27" t="n">
        <f aca="false">J3570+(K3570/20)+(L3570/240)</f>
        <v>175</v>
      </c>
      <c r="N3570" s="17" t="s">
        <v>64</v>
      </c>
      <c r="O3570" s="11"/>
      <c r="P3570" s="28" t="n">
        <f aca="false">84/100</f>
        <v>0.84</v>
      </c>
      <c r="Q3570" s="28" t="n">
        <v>147</v>
      </c>
      <c r="R3570" s="28"/>
      <c r="S3570" s="28" t="n">
        <f aca="false">R3570*$M3570</f>
        <v>0</v>
      </c>
      <c r="T3570" s="28"/>
      <c r="U3570" s="28" t="n">
        <f aca="false">T3570*$M3570</f>
        <v>0</v>
      </c>
      <c r="V3570" s="28" t="n">
        <f aca="false">124/100</f>
        <v>1.24</v>
      </c>
      <c r="W3570" s="28" t="n">
        <v>217</v>
      </c>
      <c r="X3570" s="28" t="n">
        <f aca="false">6034/100</f>
        <v>60.34</v>
      </c>
      <c r="Y3570" s="28" t="n">
        <v>10559</v>
      </c>
      <c r="Z3570" s="28" t="n">
        <f aca="false">147/100</f>
        <v>1.47</v>
      </c>
      <c r="AA3570" s="28" t="n">
        <v>257</v>
      </c>
      <c r="AB3570" s="28" t="n">
        <f aca="false">195/100</f>
        <v>1.95</v>
      </c>
      <c r="AC3570" s="28" t="n">
        <v>341</v>
      </c>
      <c r="AD3570" s="28"/>
      <c r="AE3570" s="28" t="n">
        <f aca="false">AD3570*$M3570</f>
        <v>0</v>
      </c>
      <c r="AF3570" s="28"/>
      <c r="AG3570" s="28" t="n">
        <f aca="false">AF3570*$M3570</f>
        <v>0</v>
      </c>
      <c r="AH3570" s="28"/>
      <c r="AI3570" s="28" t="n">
        <f aca="false">AH3570*$M3570</f>
        <v>0</v>
      </c>
      <c r="AJ3570" s="28"/>
      <c r="AK3570" s="28" t="n">
        <f aca="false">AJ3570*$M3570</f>
        <v>0</v>
      </c>
      <c r="AL3570" s="28"/>
      <c r="AM3570" s="28" t="n">
        <f aca="false">AL3570*$M3570</f>
        <v>0</v>
      </c>
      <c r="AN3570" s="28"/>
      <c r="AO3570" s="28" t="n">
        <f aca="false">AN3570*$M3570</f>
        <v>0</v>
      </c>
      <c r="AP3570" s="28"/>
      <c r="AQ3570" s="28" t="n">
        <f aca="false">AP3570*$M3570</f>
        <v>0</v>
      </c>
      <c r="AR3570" s="28"/>
      <c r="AS3570" s="28" t="n">
        <f aca="false">AR3570*$M3570</f>
        <v>0</v>
      </c>
      <c r="AT3570" s="28"/>
      <c r="AU3570" s="28" t="n">
        <f aca="false">AT3570*$M3570</f>
        <v>0</v>
      </c>
      <c r="AV3570" s="28"/>
      <c r="AW3570" s="28" t="n">
        <f aca="false">AV3570*$M3570</f>
        <v>0</v>
      </c>
      <c r="AX3570" s="28"/>
      <c r="AY3570" s="28" t="n">
        <f aca="false">AX3570*$M3570</f>
        <v>0</v>
      </c>
      <c r="AZ3570" s="30" t="n">
        <f aca="false">6584/100</f>
        <v>65.84</v>
      </c>
      <c r="BA3570" s="11" t="n">
        <v>11521</v>
      </c>
      <c r="BB3570" s="31" t="n">
        <f aca="false">SUM(Q3570,S3570,U3570,W3570,Y3570,AA3570,AC3570,AE3570,AG3570,AI3570,AK3570,AM3570,AO3570,AQ3570,AS3570,AU3570,AW3570,AY3570)</f>
        <v>11521</v>
      </c>
      <c r="BC3570" s="28" t="n">
        <f aca="false">BA3570-BB3570</f>
        <v>0</v>
      </c>
      <c r="BD3570" s="32" t="n">
        <f aca="false">SUM(P3570,R3570,T3570,V3570,X3570,Z3570,AB3570,AD3570,AF3570,AH3570,AJ3570,AL3570,AN3570,AP3570,AR3570,AT3570,AV3570,AX3570)</f>
        <v>65.84</v>
      </c>
      <c r="BE3570" s="33" t="n">
        <f aca="false">AZ3570-BD3570</f>
        <v>0</v>
      </c>
      <c r="BF3570" s="34" t="n">
        <f aca="false">BD3570*M3570</f>
        <v>11522</v>
      </c>
      <c r="BG3570" s="35" t="n">
        <f aca="false">BA3570-BF3570</f>
        <v>-1</v>
      </c>
      <c r="BH3570" s="19" t="str">
        <f aca="false">IF(BG3570=0,"",IF(BG3570&lt;&gt;BA3570,"erreur de calcul",IF(BD3570&lt;&gt;0,"pas de prix",IF(M3570&lt;&gt; 0,"pas de quantité","pas de prix, ni de quantité"))))</f>
        <v>erreur de calcul</v>
      </c>
      <c r="BI3570" s="19"/>
    </row>
    <row r="3571" customFormat="false" ht="15" hidden="false" customHeight="false" outlineLevel="0" collapsed="false">
      <c r="A3571" s="0" t="n">
        <v>18</v>
      </c>
      <c r="B3571" s="8" t="s">
        <v>24</v>
      </c>
      <c r="C3571" s="9" t="s">
        <v>25</v>
      </c>
      <c r="D3571" s="9" t="s">
        <v>26</v>
      </c>
      <c r="E3571" s="10" t="n">
        <v>1789</v>
      </c>
      <c r="F3571" s="9" t="s">
        <v>27</v>
      </c>
      <c r="G3571" s="9" t="s">
        <v>27</v>
      </c>
      <c r="H3571" s="11" t="n">
        <v>20</v>
      </c>
      <c r="I3571" s="11" t="s">
        <v>134</v>
      </c>
      <c r="J3571" s="14" t="n">
        <v>210</v>
      </c>
      <c r="K3571" s="14"/>
      <c r="L3571" s="16"/>
      <c r="M3571" s="27" t="n">
        <f aca="false">J3571+(K3571/20)+(L3571/240)</f>
        <v>210</v>
      </c>
      <c r="N3571" s="17" t="s">
        <v>64</v>
      </c>
      <c r="O3571" s="11"/>
      <c r="P3571" s="28"/>
      <c r="Q3571" s="28" t="n">
        <f aca="false">P3571*$M3571</f>
        <v>0</v>
      </c>
      <c r="R3571" s="28"/>
      <c r="S3571" s="28" t="n">
        <f aca="false">R3571*$M3571</f>
        <v>0</v>
      </c>
      <c r="T3571" s="28"/>
      <c r="U3571" s="28" t="n">
        <f aca="false">T3571*$M3571</f>
        <v>0</v>
      </c>
      <c r="V3571" s="28" t="n">
        <f aca="false">869/100</f>
        <v>8.69</v>
      </c>
      <c r="W3571" s="28" t="n">
        <v>1825</v>
      </c>
      <c r="X3571" s="28"/>
      <c r="Y3571" s="28" t="n">
        <f aca="false">X3571*$M3571</f>
        <v>0</v>
      </c>
      <c r="Z3571" s="28"/>
      <c r="AA3571" s="28" t="n">
        <f aca="false">Z3571*$M3571</f>
        <v>0</v>
      </c>
      <c r="AB3571" s="28"/>
      <c r="AC3571" s="28" t="n">
        <f aca="false">AB3571*$M3571</f>
        <v>0</v>
      </c>
      <c r="AD3571" s="28"/>
      <c r="AE3571" s="28" t="n">
        <f aca="false">AD3571*$M3571</f>
        <v>0</v>
      </c>
      <c r="AF3571" s="28"/>
      <c r="AG3571" s="28" t="n">
        <f aca="false">AF3571*$M3571</f>
        <v>0</v>
      </c>
      <c r="AH3571" s="28"/>
      <c r="AI3571" s="28" t="n">
        <f aca="false">AH3571*$M3571</f>
        <v>0</v>
      </c>
      <c r="AJ3571" s="28"/>
      <c r="AK3571" s="28" t="n">
        <f aca="false">AJ3571*$M3571</f>
        <v>0</v>
      </c>
      <c r="AL3571" s="28"/>
      <c r="AM3571" s="28" t="n">
        <f aca="false">AL3571*$M3571</f>
        <v>0</v>
      </c>
      <c r="AN3571" s="28"/>
      <c r="AO3571" s="28" t="n">
        <f aca="false">AN3571*$M3571</f>
        <v>0</v>
      </c>
      <c r="AP3571" s="28"/>
      <c r="AQ3571" s="28" t="n">
        <f aca="false">AP3571*$M3571</f>
        <v>0</v>
      </c>
      <c r="AR3571" s="28"/>
      <c r="AS3571" s="28" t="n">
        <f aca="false">AR3571*$M3571</f>
        <v>0</v>
      </c>
      <c r="AT3571" s="28"/>
      <c r="AU3571" s="28" t="n">
        <f aca="false">AT3571*$M3571</f>
        <v>0</v>
      </c>
      <c r="AV3571" s="28"/>
      <c r="AW3571" s="28" t="n">
        <f aca="false">AV3571*$M3571</f>
        <v>0</v>
      </c>
      <c r="AX3571" s="28"/>
      <c r="AY3571" s="28" t="n">
        <f aca="false">AX3571*$M3571</f>
        <v>0</v>
      </c>
      <c r="AZ3571" s="30" t="n">
        <f aca="false">869/100</f>
        <v>8.69</v>
      </c>
      <c r="BA3571" s="11" t="n">
        <v>1825</v>
      </c>
      <c r="BB3571" s="31" t="n">
        <f aca="false">SUM(Q3571,S3571,U3571,W3571,Y3571,AA3571,AC3571,AE3571,AG3571,AI3571,AK3571,AM3571,AO3571,AQ3571,AS3571,AU3571,AW3571,AY3571)</f>
        <v>1825</v>
      </c>
      <c r="BC3571" s="28" t="n">
        <f aca="false">BA3571-BB3571</f>
        <v>0</v>
      </c>
      <c r="BD3571" s="32" t="n">
        <f aca="false">SUM(P3571,R3571,T3571,V3571,X3571,Z3571,AB3571,AD3571,AF3571,AH3571,AJ3571,AL3571,AN3571,AP3571,AR3571,AT3571,AV3571,AX3571)</f>
        <v>8.69</v>
      </c>
      <c r="BE3571" s="33" t="n">
        <f aca="false">AZ3571-BD3571</f>
        <v>0</v>
      </c>
      <c r="BF3571" s="34" t="n">
        <f aca="false">BD3571*M3571</f>
        <v>1824.9</v>
      </c>
      <c r="BG3571" s="35" t="n">
        <f aca="false">BA3571-BF3571</f>
        <v>0.100000000000136</v>
      </c>
      <c r="BH3571" s="19" t="str">
        <f aca="false">IF(BG3571=0,"",IF(BG3571&lt;&gt;BA3571,"erreur de calcul",IF(BD3571&lt;&gt;0,"pas de prix",IF(M3571&lt;&gt; 0,"pas de quantité","pas de prix, ni de quantité"))))</f>
        <v>erreur de calcul</v>
      </c>
      <c r="BI3571" s="19"/>
    </row>
    <row r="3572" customFormat="false" ht="15" hidden="false" customHeight="false" outlineLevel="0" collapsed="false">
      <c r="A3572" s="0" t="n">
        <v>19</v>
      </c>
      <c r="B3572" s="8" t="s">
        <v>24</v>
      </c>
      <c r="C3572" s="9" t="s">
        <v>25</v>
      </c>
      <c r="D3572" s="9" t="s">
        <v>26</v>
      </c>
      <c r="E3572" s="10" t="n">
        <v>1789</v>
      </c>
      <c r="F3572" s="9" t="s">
        <v>27</v>
      </c>
      <c r="G3572" s="9" t="s">
        <v>27</v>
      </c>
      <c r="H3572" s="11" t="n">
        <v>20</v>
      </c>
      <c r="I3572" s="11" t="s">
        <v>135</v>
      </c>
      <c r="J3572" s="14" t="n">
        <v>170</v>
      </c>
      <c r="K3572" s="14"/>
      <c r="L3572" s="16"/>
      <c r="M3572" s="27" t="n">
        <f aca="false">J3572+(K3572/20)+(L3572/240)</f>
        <v>170</v>
      </c>
      <c r="N3572" s="17" t="s">
        <v>64</v>
      </c>
      <c r="O3572" s="11" t="s">
        <v>77</v>
      </c>
      <c r="P3572" s="28"/>
      <c r="Q3572" s="28" t="n">
        <f aca="false">P3572*$M3572</f>
        <v>0</v>
      </c>
      <c r="R3572" s="28"/>
      <c r="S3572" s="28" t="n">
        <f aca="false">R3572*$M3572</f>
        <v>0</v>
      </c>
      <c r="T3572" s="28"/>
      <c r="U3572" s="28" t="n">
        <f aca="false">T3572*$M3572</f>
        <v>0</v>
      </c>
      <c r="V3572" s="28"/>
      <c r="W3572" s="28" t="n">
        <f aca="false">V3572*$M3572</f>
        <v>0</v>
      </c>
      <c r="X3572" s="28"/>
      <c r="Y3572" s="28" t="n">
        <f aca="false">X3572*$M3572</f>
        <v>0</v>
      </c>
      <c r="Z3572" s="28"/>
      <c r="AA3572" s="28" t="n">
        <f aca="false">Z3572*$M3572</f>
        <v>0</v>
      </c>
      <c r="AB3572" s="28"/>
      <c r="AC3572" s="28" t="n">
        <f aca="false">AB3572*$M3572</f>
        <v>0</v>
      </c>
      <c r="AD3572" s="28"/>
      <c r="AE3572" s="28" t="n">
        <f aca="false">AD3572*$M3572</f>
        <v>0</v>
      </c>
      <c r="AF3572" s="28" t="n">
        <f aca="false">229459/100</f>
        <v>2294.59</v>
      </c>
      <c r="AG3572" s="28" t="n">
        <v>390080</v>
      </c>
      <c r="AH3572" s="28" t="n">
        <f aca="false">202301/100</f>
        <v>2023.01</v>
      </c>
      <c r="AI3572" s="28" t="n">
        <v>343912</v>
      </c>
      <c r="AJ3572" s="28"/>
      <c r="AK3572" s="28" t="n">
        <f aca="false">AJ3572*$M3572</f>
        <v>0</v>
      </c>
      <c r="AL3572" s="28"/>
      <c r="AM3572" s="28" t="n">
        <f aca="false">AL3572*$M3572</f>
        <v>0</v>
      </c>
      <c r="AN3572" s="28"/>
      <c r="AO3572" s="28" t="n">
        <f aca="false">AN3572*$M3572</f>
        <v>0</v>
      </c>
      <c r="AP3572" s="28"/>
      <c r="AQ3572" s="28" t="n">
        <f aca="false">AP3572*$M3572</f>
        <v>0</v>
      </c>
      <c r="AR3572" s="28"/>
      <c r="AS3572" s="28" t="n">
        <f aca="false">AR3572*$M3572</f>
        <v>0</v>
      </c>
      <c r="AT3572" s="28"/>
      <c r="AU3572" s="28" t="n">
        <f aca="false">AT3572*$M3572</f>
        <v>0</v>
      </c>
      <c r="AV3572" s="28"/>
      <c r="AW3572" s="28" t="n">
        <f aca="false">AV3572*$M3572</f>
        <v>0</v>
      </c>
      <c r="AX3572" s="28" t="n">
        <f aca="false">2736/100</f>
        <v>27.36</v>
      </c>
      <c r="AY3572" s="28" t="n">
        <v>4651</v>
      </c>
      <c r="AZ3572" s="30" t="n">
        <f aca="false">434496/100</f>
        <v>4344.96</v>
      </c>
      <c r="BA3572" s="11" t="n">
        <v>738643</v>
      </c>
      <c r="BB3572" s="31" t="n">
        <f aca="false">SUM(Q3572,S3572,U3572,W3572,Y3572,AA3572,AC3572,AE3572,AG3572,AI3572,AK3572,AM3572,AO3572,AQ3572,AS3572,AU3572,AW3572,AY3572)</f>
        <v>738643</v>
      </c>
      <c r="BC3572" s="28" t="n">
        <f aca="false">BA3572-BB3572</f>
        <v>0</v>
      </c>
      <c r="BD3572" s="32" t="n">
        <f aca="false">SUM(P3572,R3572,T3572,V3572,X3572,Z3572,AB3572,AD3572,AF3572,AH3572,AJ3572,AL3572,AN3572,AP3572,AR3572,AT3572,AV3572,AX3572)</f>
        <v>4344.96</v>
      </c>
      <c r="BE3572" s="33" t="n">
        <f aca="false">AZ3572-BD3572</f>
        <v>0</v>
      </c>
      <c r="BF3572" s="34" t="n">
        <f aca="false">BD3572*M3572</f>
        <v>738643.2</v>
      </c>
      <c r="BG3572" s="35" t="n">
        <f aca="false">BA3572-BF3572</f>
        <v>-0.199999999953434</v>
      </c>
      <c r="BH3572" s="19" t="str">
        <f aca="false">IF(BG3572=0,"",IF(BG3572&lt;&gt;BA3572,"erreur de calcul",IF(BD3572&lt;&gt;0,"pas de prix",IF(M3572&lt;&gt; 0,"pas de quantité","pas de prix, ni de quantité"))))</f>
        <v>erreur de calcul</v>
      </c>
      <c r="BI3572" s="19"/>
    </row>
    <row r="3573" customFormat="false" ht="15" hidden="false" customHeight="false" outlineLevel="0" collapsed="false">
      <c r="A3573" s="0" t="n">
        <v>20</v>
      </c>
      <c r="B3573" s="8" t="s">
        <v>24</v>
      </c>
      <c r="C3573" s="9" t="s">
        <v>25</v>
      </c>
      <c r="D3573" s="9" t="s">
        <v>26</v>
      </c>
      <c r="E3573" s="10" t="n">
        <v>1789</v>
      </c>
      <c r="F3573" s="9" t="s">
        <v>27</v>
      </c>
      <c r="G3573" s="9" t="s">
        <v>27</v>
      </c>
      <c r="H3573" s="11" t="n">
        <v>20</v>
      </c>
      <c r="I3573" s="11" t="s">
        <v>136</v>
      </c>
      <c r="J3573" s="14" t="n">
        <v>41</v>
      </c>
      <c r="K3573" s="14"/>
      <c r="L3573" s="16"/>
      <c r="M3573" s="27" t="n">
        <f aca="false">J3573+(K3573/20)+(L3573/240)</f>
        <v>41</v>
      </c>
      <c r="N3573" s="17" t="s">
        <v>64</v>
      </c>
      <c r="O3573" s="11"/>
      <c r="P3573" s="28" t="n">
        <f aca="false">1210/100</f>
        <v>12.1</v>
      </c>
      <c r="Q3573" s="28" t="n">
        <v>496</v>
      </c>
      <c r="R3573" s="28"/>
      <c r="S3573" s="28" t="n">
        <f aca="false">R3573*$M3573</f>
        <v>0</v>
      </c>
      <c r="T3573" s="28"/>
      <c r="U3573" s="28" t="n">
        <f aca="false">T3573*$M3573</f>
        <v>0</v>
      </c>
      <c r="V3573" s="28"/>
      <c r="W3573" s="28" t="n">
        <f aca="false">V3573*$M3573</f>
        <v>0</v>
      </c>
      <c r="X3573" s="28"/>
      <c r="Y3573" s="28" t="n">
        <f aca="false">X3573*$M3573</f>
        <v>0</v>
      </c>
      <c r="Z3573" s="28"/>
      <c r="AA3573" s="28" t="n">
        <f aca="false">Z3573*$M3573</f>
        <v>0</v>
      </c>
      <c r="AB3573" s="28"/>
      <c r="AC3573" s="28" t="n">
        <f aca="false">AB3573*$M3573</f>
        <v>0</v>
      </c>
      <c r="AD3573" s="28"/>
      <c r="AE3573" s="28" t="n">
        <f aca="false">AD3573*$M3573</f>
        <v>0</v>
      </c>
      <c r="AF3573" s="28"/>
      <c r="AG3573" s="28" t="n">
        <f aca="false">AF3573*$M3573</f>
        <v>0</v>
      </c>
      <c r="AH3573" s="28"/>
      <c r="AI3573" s="28" t="n">
        <f aca="false">AH3573*$M3573</f>
        <v>0</v>
      </c>
      <c r="AJ3573" s="28" t="n">
        <f aca="false">85034/100</f>
        <v>850.34</v>
      </c>
      <c r="AK3573" s="28" t="n">
        <v>34864</v>
      </c>
      <c r="AL3573" s="28" t="n">
        <f aca="false">1024/100</f>
        <v>10.24</v>
      </c>
      <c r="AM3573" s="28" t="n">
        <v>420</v>
      </c>
      <c r="AN3573" s="28"/>
      <c r="AO3573" s="28" t="n">
        <f aca="false">AN3573*$M3573</f>
        <v>0</v>
      </c>
      <c r="AP3573" s="28"/>
      <c r="AQ3573" s="28" t="n">
        <f aca="false">AP3573*$M3573</f>
        <v>0</v>
      </c>
      <c r="AR3573" s="28"/>
      <c r="AS3573" s="28" t="n">
        <f aca="false">AR3573*$M3573</f>
        <v>0</v>
      </c>
      <c r="AT3573" s="28"/>
      <c r="AU3573" s="28" t="n">
        <f aca="false">AT3573*$M3573</f>
        <v>0</v>
      </c>
      <c r="AV3573" s="28"/>
      <c r="AW3573" s="28" t="n">
        <f aca="false">AV3573*$M3573</f>
        <v>0</v>
      </c>
      <c r="AX3573" s="28"/>
      <c r="AY3573" s="28" t="n">
        <f aca="false">AX3573*$M3573</f>
        <v>0</v>
      </c>
      <c r="AZ3573" s="30" t="n">
        <f aca="false">87268/100</f>
        <v>872.68</v>
      </c>
      <c r="BA3573" s="11" t="n">
        <v>35780</v>
      </c>
      <c r="BB3573" s="31" t="n">
        <f aca="false">SUM(Q3573,S3573,U3573,W3573,Y3573,AA3573,AC3573,AE3573,AG3573,AI3573,AK3573,AM3573,AO3573,AQ3573,AS3573,AU3573,AW3573,AY3573)</f>
        <v>35780</v>
      </c>
      <c r="BC3573" s="28" t="n">
        <f aca="false">BA3573-BB3573</f>
        <v>0</v>
      </c>
      <c r="BD3573" s="32" t="n">
        <f aca="false">SUM(P3573,R3573,T3573,V3573,X3573,Z3573,AB3573,AD3573,AF3573,AH3573,AJ3573,AL3573,AN3573,AP3573,AR3573,AT3573,AV3573,AX3573)</f>
        <v>872.68</v>
      </c>
      <c r="BE3573" s="33" t="n">
        <f aca="false">AZ3573-BD3573</f>
        <v>0</v>
      </c>
      <c r="BF3573" s="34" t="n">
        <f aca="false">BD3573*M3573</f>
        <v>35779.88</v>
      </c>
      <c r="BG3573" s="35" t="n">
        <f aca="false">BA3573-BF3573</f>
        <v>0.119999999995343</v>
      </c>
      <c r="BH3573" s="19" t="str">
        <f aca="false">IF(BG3573=0,"",IF(BG3573&lt;&gt;BA3573,"erreur de calcul",IF(BD3573&lt;&gt;0,"pas de prix",IF(M3573&lt;&gt; 0,"pas de quantité","pas de prix, ni de quantité"))))</f>
        <v>erreur de calcul</v>
      </c>
      <c r="BI3573" s="19"/>
    </row>
    <row r="3574" customFormat="false" ht="15" hidden="false" customHeight="false" outlineLevel="0" collapsed="false">
      <c r="A3574" s="0" t="n">
        <v>21</v>
      </c>
      <c r="B3574" s="8" t="s">
        <v>24</v>
      </c>
      <c r="C3574" s="9" t="s">
        <v>25</v>
      </c>
      <c r="D3574" s="9" t="s">
        <v>26</v>
      </c>
      <c r="E3574" s="10" t="n">
        <v>1789</v>
      </c>
      <c r="F3574" s="9" t="s">
        <v>27</v>
      </c>
      <c r="G3574" s="9" t="s">
        <v>27</v>
      </c>
      <c r="H3574" s="11" t="n">
        <v>20</v>
      </c>
      <c r="I3574" s="11" t="s">
        <v>137</v>
      </c>
      <c r="J3574" s="14"/>
      <c r="K3574" s="14"/>
      <c r="L3574" s="16"/>
      <c r="M3574" s="27" t="n">
        <f aca="false">J3574+(K3574/20)+(L3574/240)</f>
        <v>0</v>
      </c>
      <c r="N3574" s="39" t="s">
        <v>138</v>
      </c>
      <c r="O3574" s="11"/>
      <c r="P3574" s="28" t="n">
        <v>337</v>
      </c>
      <c r="Q3574" s="28" t="n">
        <v>6250</v>
      </c>
      <c r="R3574" s="28"/>
      <c r="S3574" s="28" t="n">
        <f aca="false">R3574*$M3574</f>
        <v>0</v>
      </c>
      <c r="T3574" s="28"/>
      <c r="U3574" s="28" t="n">
        <f aca="false">T3574*$M3574</f>
        <v>0</v>
      </c>
      <c r="V3574" s="28" t="n">
        <v>760</v>
      </c>
      <c r="W3574" s="28" t="n">
        <v>18259</v>
      </c>
      <c r="X3574" s="28"/>
      <c r="Y3574" s="28" t="n">
        <f aca="false">X3574*$M3574</f>
        <v>0</v>
      </c>
      <c r="Z3574" s="28"/>
      <c r="AA3574" s="28" t="n">
        <f aca="false">Z3574*$M3574</f>
        <v>0</v>
      </c>
      <c r="AB3574" s="28"/>
      <c r="AC3574" s="28" t="n">
        <f aca="false">AB3574*$M3574</f>
        <v>0</v>
      </c>
      <c r="AD3574" s="28"/>
      <c r="AE3574" s="28" t="n">
        <f aca="false">AD3574*$M3574</f>
        <v>0</v>
      </c>
      <c r="AF3574" s="28"/>
      <c r="AG3574" s="28" t="n">
        <f aca="false">AF3574*$M3574</f>
        <v>0</v>
      </c>
      <c r="AH3574" s="28"/>
      <c r="AI3574" s="28" t="n">
        <f aca="false">AH3574*$M3574</f>
        <v>0</v>
      </c>
      <c r="AJ3574" s="28"/>
      <c r="AK3574" s="28" t="n">
        <f aca="false">AJ3574*$M3574</f>
        <v>0</v>
      </c>
      <c r="AL3574" s="28"/>
      <c r="AM3574" s="28" t="n">
        <f aca="false">AL3574*$M3574</f>
        <v>0</v>
      </c>
      <c r="AN3574" s="28"/>
      <c r="AO3574" s="28" t="n">
        <f aca="false">AN3574*$M3574</f>
        <v>0</v>
      </c>
      <c r="AP3574" s="28"/>
      <c r="AQ3574" s="28" t="n">
        <f aca="false">AP3574*$M3574</f>
        <v>0</v>
      </c>
      <c r="AR3574" s="28"/>
      <c r="AS3574" s="28" t="n">
        <f aca="false">AR3574*$M3574</f>
        <v>0</v>
      </c>
      <c r="AT3574" s="28"/>
      <c r="AU3574" s="28" t="n">
        <f aca="false">AT3574*$M3574</f>
        <v>0</v>
      </c>
      <c r="AV3574" s="28"/>
      <c r="AW3574" s="28" t="n">
        <f aca="false">AV3574*$M3574</f>
        <v>0</v>
      </c>
      <c r="AX3574" s="28"/>
      <c r="AY3574" s="28" t="n">
        <f aca="false">AX3574*$M3574</f>
        <v>0</v>
      </c>
      <c r="AZ3574" s="30" t="n">
        <f aca="false">1097</f>
        <v>1097</v>
      </c>
      <c r="BA3574" s="11" t="n">
        <v>24509</v>
      </c>
      <c r="BB3574" s="31" t="n">
        <f aca="false">SUM(Q3574,S3574,U3574,W3574,Y3574,AA3574,AC3574,AE3574,AG3574,AI3574,AK3574,AM3574,AO3574,AQ3574,AS3574,AU3574,AW3574,AY3574)</f>
        <v>24509</v>
      </c>
      <c r="BC3574" s="28" t="n">
        <f aca="false">BA3574-BB3574</f>
        <v>0</v>
      </c>
      <c r="BD3574" s="32" t="n">
        <f aca="false">SUM(P3574,R3574,T3574,V3574,X3574,Z3574,AB3574,AD3574,AF3574,AH3574,AJ3574,AL3574,AN3574,AP3574,AR3574,AT3574,AV3574,AX3574)</f>
        <v>1097</v>
      </c>
      <c r="BE3574" s="33" t="n">
        <f aca="false">AZ3574-BD3574</f>
        <v>0</v>
      </c>
      <c r="BF3574" s="34" t="n">
        <f aca="false">BD3574*M3574</f>
        <v>0</v>
      </c>
      <c r="BG3574" s="35" t="n">
        <f aca="false">BA3574-BF3574</f>
        <v>24509</v>
      </c>
      <c r="BH3574" s="19" t="str">
        <f aca="false">IF(BG3574=0,"",IF(BG3574&lt;&gt;BA3574,"erreur de calcul",IF(BD3574&lt;&gt;0,"pas de prix",IF(M3574&lt;&gt; 0,"pas de quantité","pas de prix, ni de quantité"))))</f>
        <v>pas de prix</v>
      </c>
      <c r="BI3574" s="19" t="s">
        <v>139</v>
      </c>
    </row>
    <row r="3575" customFormat="false" ht="15" hidden="false" customHeight="false" outlineLevel="0" collapsed="false">
      <c r="A3575" s="0" t="n">
        <v>22</v>
      </c>
      <c r="B3575" s="8" t="s">
        <v>24</v>
      </c>
      <c r="C3575" s="9" t="s">
        <v>25</v>
      </c>
      <c r="D3575" s="9" t="s">
        <v>26</v>
      </c>
      <c r="E3575" s="10" t="n">
        <v>1789</v>
      </c>
      <c r="F3575" s="9" t="s">
        <v>27</v>
      </c>
      <c r="G3575" s="9" t="s">
        <v>27</v>
      </c>
      <c r="H3575" s="11" t="n">
        <v>20</v>
      </c>
      <c r="I3575" s="11" t="s">
        <v>140</v>
      </c>
      <c r="J3575" s="14" t="n">
        <v>28</v>
      </c>
      <c r="K3575" s="14"/>
      <c r="L3575" s="16"/>
      <c r="M3575" s="27" t="n">
        <f aca="false">J3575+(K3575/20)+(L3575/240)</f>
        <v>28</v>
      </c>
      <c r="N3575" s="17" t="s">
        <v>64</v>
      </c>
      <c r="O3575" s="11"/>
      <c r="P3575" s="28"/>
      <c r="Q3575" s="28" t="n">
        <f aca="false">P3575*$M3575</f>
        <v>0</v>
      </c>
      <c r="R3575" s="28"/>
      <c r="S3575" s="28" t="n">
        <f aca="false">R3575*$M3575</f>
        <v>0</v>
      </c>
      <c r="T3575" s="28"/>
      <c r="U3575" s="28" t="n">
        <f aca="false">T3575*$M3575</f>
        <v>0</v>
      </c>
      <c r="V3575" s="28"/>
      <c r="W3575" s="28" t="n">
        <f aca="false">V3575*$M3575</f>
        <v>0</v>
      </c>
      <c r="X3575" s="28" t="n">
        <f aca="false">2572/100</f>
        <v>25.72</v>
      </c>
      <c r="Y3575" s="28" t="n">
        <v>720</v>
      </c>
      <c r="Z3575" s="28"/>
      <c r="AA3575" s="28" t="n">
        <f aca="false">Z3575*$M3575</f>
        <v>0</v>
      </c>
      <c r="AB3575" s="28"/>
      <c r="AC3575" s="28" t="n">
        <f aca="false">AB3575*$M3575</f>
        <v>0</v>
      </c>
      <c r="AD3575" s="28"/>
      <c r="AE3575" s="28" t="n">
        <f aca="false">AD3575*$M3575</f>
        <v>0</v>
      </c>
      <c r="AF3575" s="28" t="n">
        <f aca="false">3367/100</f>
        <v>33.67</v>
      </c>
      <c r="AG3575" s="36" t="n">
        <v>915</v>
      </c>
      <c r="AH3575" s="28"/>
      <c r="AI3575" s="28" t="n">
        <f aca="false">AH3575*$M3575</f>
        <v>0</v>
      </c>
      <c r="AJ3575" s="28"/>
      <c r="AK3575" s="28" t="n">
        <f aca="false">AJ3575*$M3575</f>
        <v>0</v>
      </c>
      <c r="AL3575" s="28"/>
      <c r="AM3575" s="28" t="n">
        <f aca="false">AL3575*$M3575</f>
        <v>0</v>
      </c>
      <c r="AN3575" s="28"/>
      <c r="AO3575" s="28" t="n">
        <f aca="false">AN3575*$M3575</f>
        <v>0</v>
      </c>
      <c r="AP3575" s="28"/>
      <c r="AQ3575" s="28" t="n">
        <f aca="false">AP3575*$M3575</f>
        <v>0</v>
      </c>
      <c r="AR3575" s="28"/>
      <c r="AS3575" s="28" t="n">
        <f aca="false">AR3575*$M3575</f>
        <v>0</v>
      </c>
      <c r="AT3575" s="28"/>
      <c r="AU3575" s="28" t="n">
        <f aca="false">AT3575*$M3575</f>
        <v>0</v>
      </c>
      <c r="AV3575" s="28"/>
      <c r="AW3575" s="28" t="n">
        <f aca="false">AV3575*$M3575</f>
        <v>0</v>
      </c>
      <c r="AX3575" s="28"/>
      <c r="AY3575" s="28" t="n">
        <f aca="false">AX3575*$M3575</f>
        <v>0</v>
      </c>
      <c r="AZ3575" s="30" t="n">
        <f aca="false">5939/100</f>
        <v>59.39</v>
      </c>
      <c r="BA3575" s="11" t="n">
        <v>1635</v>
      </c>
      <c r="BB3575" s="31" t="n">
        <f aca="false">SUM(Q3575,S3575,U3575,W3575,Y3575,AA3575,AC3575,AE3575,AG3575,AI3575,AK3575,AM3575,AO3575,AQ3575,AS3575,AU3575,AW3575,AY3575)</f>
        <v>1635</v>
      </c>
      <c r="BC3575" s="28" t="n">
        <f aca="false">BA3575-BB3575</f>
        <v>0</v>
      </c>
      <c r="BD3575" s="32" t="n">
        <f aca="false">SUM(P3575,R3575,T3575,V3575,X3575,Z3575,AB3575,AD3575,AF3575,AH3575,AJ3575,AL3575,AN3575,AP3575,AR3575,AT3575,AV3575,AX3575)</f>
        <v>59.39</v>
      </c>
      <c r="BE3575" s="33" t="n">
        <f aca="false">AZ3575-BD3575</f>
        <v>0</v>
      </c>
      <c r="BF3575" s="34" t="n">
        <f aca="false">BD3575*M3575</f>
        <v>1662.92</v>
      </c>
      <c r="BG3575" s="35" t="n">
        <f aca="false">BA3575-BF3575</f>
        <v>-27.9200000000001</v>
      </c>
      <c r="BH3575" s="19" t="str">
        <f aca="false">IF(BG3575=0,"",IF(BG3575&lt;&gt;BA3575,"erreur de calcul",IF(BD3575&lt;&gt;0,"pas de prix",IF(M3575&lt;&gt; 0,"pas de quantité","pas de prix, ni de quantité"))))</f>
        <v>erreur de calcul</v>
      </c>
      <c r="BI3575" s="19"/>
    </row>
    <row r="3576" customFormat="false" ht="15" hidden="false" customHeight="false" outlineLevel="0" collapsed="false">
      <c r="A3576" s="0" t="n">
        <v>23</v>
      </c>
      <c r="B3576" s="8" t="s">
        <v>24</v>
      </c>
      <c r="C3576" s="9" t="s">
        <v>25</v>
      </c>
      <c r="D3576" s="9" t="s">
        <v>26</v>
      </c>
      <c r="E3576" s="10" t="n">
        <v>1789</v>
      </c>
      <c r="F3576" s="9" t="s">
        <v>27</v>
      </c>
      <c r="G3576" s="9" t="s">
        <v>27</v>
      </c>
      <c r="H3576" s="11" t="n">
        <v>20</v>
      </c>
      <c r="I3576" s="11" t="s">
        <v>141</v>
      </c>
      <c r="J3576" s="14" t="n">
        <v>50</v>
      </c>
      <c r="K3576" s="14"/>
      <c r="L3576" s="16"/>
      <c r="M3576" s="27" t="n">
        <f aca="false">J3576+(K3576/20)+(L3576/240)</f>
        <v>50</v>
      </c>
      <c r="N3576" s="17" t="s">
        <v>64</v>
      </c>
      <c r="O3576" s="11"/>
      <c r="P3576" s="28" t="n">
        <f aca="false">79168/100</f>
        <v>791.68</v>
      </c>
      <c r="Q3576" s="28" t="n">
        <v>39584</v>
      </c>
      <c r="R3576" s="28"/>
      <c r="S3576" s="28" t="n">
        <f aca="false">R3576*$M3576</f>
        <v>0</v>
      </c>
      <c r="T3576" s="28" t="n">
        <f aca="false">18545/100</f>
        <v>185.45</v>
      </c>
      <c r="U3576" s="28" t="n">
        <v>9272</v>
      </c>
      <c r="V3576" s="28" t="n">
        <f aca="false">10784/100</f>
        <v>107.84</v>
      </c>
      <c r="W3576" s="28" t="n">
        <v>5392</v>
      </c>
      <c r="X3576" s="28" t="n">
        <f aca="false">22033/100</f>
        <v>220.33</v>
      </c>
      <c r="Y3576" s="28" t="n">
        <v>11016</v>
      </c>
      <c r="Z3576" s="28" t="n">
        <f aca="false">4478/100</f>
        <v>44.78</v>
      </c>
      <c r="AA3576" s="28" t="n">
        <v>2239</v>
      </c>
      <c r="AB3576" s="28" t="n">
        <f aca="false">8901/100</f>
        <v>89.01</v>
      </c>
      <c r="AC3576" s="28" t="n">
        <v>4450</v>
      </c>
      <c r="AD3576" s="28"/>
      <c r="AE3576" s="28" t="n">
        <f aca="false">AD3576*$M3576</f>
        <v>0</v>
      </c>
      <c r="AF3576" s="28"/>
      <c r="AG3576" s="28" t="n">
        <f aca="false">AF3576*$M3576</f>
        <v>0</v>
      </c>
      <c r="AH3576" s="28"/>
      <c r="AI3576" s="28" t="n">
        <f aca="false">AH3576*$M3576</f>
        <v>0</v>
      </c>
      <c r="AJ3576" s="28" t="n">
        <f aca="false">2917/100</f>
        <v>29.17</v>
      </c>
      <c r="AK3576" s="28" t="n">
        <v>1458</v>
      </c>
      <c r="AL3576" s="28"/>
      <c r="AM3576" s="28" t="n">
        <f aca="false">AL3576*$M3576</f>
        <v>0</v>
      </c>
      <c r="AN3576" s="28"/>
      <c r="AO3576" s="28" t="n">
        <f aca="false">AN3576*$M3576</f>
        <v>0</v>
      </c>
      <c r="AP3576" s="28"/>
      <c r="AQ3576" s="28" t="n">
        <f aca="false">AP3576*$M3576</f>
        <v>0</v>
      </c>
      <c r="AR3576" s="28"/>
      <c r="AS3576" s="28" t="n">
        <f aca="false">AR3576*$M3576</f>
        <v>0</v>
      </c>
      <c r="AT3576" s="28"/>
      <c r="AU3576" s="28" t="n">
        <f aca="false">AT3576*$M3576</f>
        <v>0</v>
      </c>
      <c r="AV3576" s="28" t="n">
        <f aca="false">6667/100</f>
        <v>66.67</v>
      </c>
      <c r="AW3576" s="28" t="n">
        <v>3333</v>
      </c>
      <c r="AX3576" s="28"/>
      <c r="AY3576" s="28" t="n">
        <f aca="false">AX3576*$M3576</f>
        <v>0</v>
      </c>
      <c r="AZ3576" s="30" t="n">
        <f aca="false">153493/100</f>
        <v>1534.93</v>
      </c>
      <c r="BA3576" s="11" t="n">
        <v>76744</v>
      </c>
      <c r="BB3576" s="31" t="n">
        <f aca="false">SUM(Q3576,S3576,U3576,W3576,Y3576,AA3576,AC3576,AE3576,AG3576,AI3576,AK3576,AM3576,AO3576,AQ3576,AS3576,AU3576,AW3576,AY3576)</f>
        <v>76744</v>
      </c>
      <c r="BC3576" s="28" t="n">
        <f aca="false">BA3576-BB3576</f>
        <v>0</v>
      </c>
      <c r="BD3576" s="32" t="n">
        <f aca="false">SUM(P3576,R3576,T3576,V3576,X3576,Z3576,AB3576,AD3576,AF3576,AH3576,AJ3576,AL3576,AN3576,AP3576,AR3576,AT3576,AV3576,AX3576)</f>
        <v>1534.93</v>
      </c>
      <c r="BE3576" s="33" t="n">
        <f aca="false">AZ3576-BD3576</f>
        <v>0</v>
      </c>
      <c r="BF3576" s="34" t="n">
        <f aca="false">BD3576*M3576</f>
        <v>76746.5</v>
      </c>
      <c r="BG3576" s="35" t="n">
        <f aca="false">BA3576-BF3576</f>
        <v>-2.49999999998545</v>
      </c>
      <c r="BH3576" s="19" t="str">
        <f aca="false">IF(BG3576=0,"",IF(BG3576&lt;&gt;BA3576,"erreur de calcul",IF(BD3576&lt;&gt;0,"pas de prix",IF(M3576&lt;&gt; 0,"pas de quantité","pas de prix, ni de quantité"))))</f>
        <v>erreur de calcul</v>
      </c>
      <c r="BI3576" s="19"/>
    </row>
    <row r="3577" customFormat="false" ht="15" hidden="false" customHeight="false" outlineLevel="0" collapsed="false">
      <c r="A3577" s="0" t="n">
        <v>24</v>
      </c>
      <c r="B3577" s="8" t="s">
        <v>24</v>
      </c>
      <c r="C3577" s="9" t="s">
        <v>25</v>
      </c>
      <c r="D3577" s="9" t="s">
        <v>26</v>
      </c>
      <c r="E3577" s="10" t="n">
        <v>1789</v>
      </c>
      <c r="F3577" s="9" t="s">
        <v>27</v>
      </c>
      <c r="G3577" s="9" t="s">
        <v>27</v>
      </c>
      <c r="H3577" s="11" t="n">
        <v>20</v>
      </c>
      <c r="I3577" s="11" t="s">
        <v>142</v>
      </c>
      <c r="J3577" s="14" t="n">
        <v>12</v>
      </c>
      <c r="K3577" s="14"/>
      <c r="L3577" s="16"/>
      <c r="M3577" s="27" t="n">
        <f aca="false">J3577+(K3577/20)+(L3577/240)</f>
        <v>12</v>
      </c>
      <c r="N3577" s="17" t="s">
        <v>66</v>
      </c>
      <c r="O3577" s="11"/>
      <c r="P3577" s="28"/>
      <c r="Q3577" s="28" t="n">
        <f aca="false">P3577*$M3577</f>
        <v>0</v>
      </c>
      <c r="R3577" s="28"/>
      <c r="S3577" s="28" t="n">
        <f aca="false">R3577*$M3577</f>
        <v>0</v>
      </c>
      <c r="T3577" s="28"/>
      <c r="U3577" s="28" t="n">
        <f aca="false">T3577*$M3577</f>
        <v>0</v>
      </c>
      <c r="V3577" s="28"/>
      <c r="W3577" s="28" t="n">
        <f aca="false">V3577*$M3577</f>
        <v>0</v>
      </c>
      <c r="X3577" s="28"/>
      <c r="Y3577" s="28" t="n">
        <f aca="false">X3577*$M3577</f>
        <v>0</v>
      </c>
      <c r="Z3577" s="28" t="n">
        <v>21</v>
      </c>
      <c r="AA3577" s="28" t="n">
        <v>252</v>
      </c>
      <c r="AB3577" s="28" t="n">
        <v>672</v>
      </c>
      <c r="AC3577" s="28" t="n">
        <v>8064</v>
      </c>
      <c r="AD3577" s="28"/>
      <c r="AE3577" s="28" t="n">
        <f aca="false">AD3577*$M3577</f>
        <v>0</v>
      </c>
      <c r="AF3577" s="28"/>
      <c r="AG3577" s="28" t="n">
        <f aca="false">AF3577*$M3577</f>
        <v>0</v>
      </c>
      <c r="AH3577" s="28"/>
      <c r="AI3577" s="28" t="n">
        <f aca="false">AH3577*$M3577</f>
        <v>0</v>
      </c>
      <c r="AJ3577" s="28"/>
      <c r="AK3577" s="28" t="n">
        <f aca="false">AJ3577*$M3577</f>
        <v>0</v>
      </c>
      <c r="AL3577" s="28"/>
      <c r="AM3577" s="28" t="n">
        <f aca="false">AL3577*$M3577</f>
        <v>0</v>
      </c>
      <c r="AN3577" s="28"/>
      <c r="AO3577" s="28" t="n">
        <f aca="false">AN3577*$M3577</f>
        <v>0</v>
      </c>
      <c r="AP3577" s="28"/>
      <c r="AQ3577" s="28" t="n">
        <f aca="false">AP3577*$M3577</f>
        <v>0</v>
      </c>
      <c r="AR3577" s="28"/>
      <c r="AS3577" s="28" t="n">
        <f aca="false">AR3577*$M3577</f>
        <v>0</v>
      </c>
      <c r="AT3577" s="28"/>
      <c r="AU3577" s="28" t="n">
        <f aca="false">AT3577*$M3577</f>
        <v>0</v>
      </c>
      <c r="AV3577" s="28"/>
      <c r="AW3577" s="28" t="n">
        <f aca="false">AV3577*$M3577</f>
        <v>0</v>
      </c>
      <c r="AX3577" s="28"/>
      <c r="AY3577" s="28" t="n">
        <f aca="false">AX3577*$M3577</f>
        <v>0</v>
      </c>
      <c r="AZ3577" s="30" t="n">
        <v>693</v>
      </c>
      <c r="BA3577" s="11" t="n">
        <v>8316</v>
      </c>
      <c r="BB3577" s="31" t="n">
        <f aca="false">SUM(Q3577,S3577,U3577,W3577,Y3577,AA3577,AC3577,AE3577,AG3577,AI3577,AK3577,AM3577,AO3577,AQ3577,AS3577,AU3577,AW3577,AY3577)</f>
        <v>8316</v>
      </c>
      <c r="BC3577" s="28" t="n">
        <f aca="false">BA3577-BB3577</f>
        <v>0</v>
      </c>
      <c r="BD3577" s="32" t="n">
        <f aca="false">SUM(P3577,R3577,T3577,V3577,X3577,Z3577,AB3577,AD3577,AF3577,AH3577,AJ3577,AL3577,AN3577,AP3577,AR3577,AT3577,AV3577,AX3577)</f>
        <v>693</v>
      </c>
      <c r="BE3577" s="33" t="n">
        <f aca="false">AZ3577-BD3577</f>
        <v>0</v>
      </c>
      <c r="BF3577" s="34" t="n">
        <f aca="false">BD3577*M3577</f>
        <v>8316</v>
      </c>
      <c r="BG3577" s="35" t="n">
        <f aca="false">BA3577-BF3577</f>
        <v>0</v>
      </c>
      <c r="BH3577" s="19" t="str">
        <f aca="false">IF(BG3577=0,"",IF(BG3577&lt;&gt;BA3577,"erreur de calcul",IF(BD3577&lt;&gt;0,"pas de prix",IF(M3577&lt;&gt; 0,"pas de quantité","pas de prix, ni de quantité"))))</f>
        <v/>
      </c>
      <c r="BI3577" s="19"/>
    </row>
    <row r="3578" customFormat="false" ht="15" hidden="false" customHeight="false" outlineLevel="0" collapsed="false">
      <c r="A3578" s="0" t="n">
        <v>25</v>
      </c>
      <c r="B3578" s="8" t="s">
        <v>24</v>
      </c>
      <c r="C3578" s="9" t="s">
        <v>25</v>
      </c>
      <c r="D3578" s="9" t="s">
        <v>26</v>
      </c>
      <c r="E3578" s="10" t="n">
        <v>1789</v>
      </c>
      <c r="F3578" s="9" t="s">
        <v>27</v>
      </c>
      <c r="G3578" s="9" t="s">
        <v>27</v>
      </c>
      <c r="H3578" s="11" t="n">
        <v>20</v>
      </c>
      <c r="I3578" s="11" t="s">
        <v>143</v>
      </c>
      <c r="J3578" s="14" t="n">
        <v>8</v>
      </c>
      <c r="K3578" s="14"/>
      <c r="L3578" s="16"/>
      <c r="M3578" s="27" t="n">
        <f aca="false">J3578+(K3578/20)+(L3578/240)</f>
        <v>8</v>
      </c>
      <c r="N3578" s="17" t="s">
        <v>85</v>
      </c>
      <c r="O3578" s="11"/>
      <c r="P3578" s="28" t="n">
        <f aca="false">74969/100</f>
        <v>749.69</v>
      </c>
      <c r="Q3578" s="28" t="n">
        <v>5997</v>
      </c>
      <c r="R3578" s="28"/>
      <c r="S3578" s="28" t="n">
        <f aca="false">R3578*$M3578</f>
        <v>0</v>
      </c>
      <c r="T3578" s="28" t="n">
        <f aca="false">58256/100</f>
        <v>582.56</v>
      </c>
      <c r="U3578" s="28" t="n">
        <v>4660</v>
      </c>
      <c r="V3578" s="28" t="n">
        <f aca="false">14450/100</f>
        <v>144.5</v>
      </c>
      <c r="W3578" s="28" t="n">
        <v>1156</v>
      </c>
      <c r="X3578" s="28" t="n">
        <f aca="false">4397/100</f>
        <v>43.97</v>
      </c>
      <c r="Y3578" s="28" t="n">
        <v>352</v>
      </c>
      <c r="Z3578" s="28"/>
      <c r="AA3578" s="28" t="n">
        <f aca="false">Z3578*$M3578</f>
        <v>0</v>
      </c>
      <c r="AB3578" s="28" t="n">
        <f aca="false">6400/100</f>
        <v>64</v>
      </c>
      <c r="AC3578" s="28" t="n">
        <v>512</v>
      </c>
      <c r="AD3578" s="28" t="n">
        <f aca="false">19450/100</f>
        <v>194.5</v>
      </c>
      <c r="AE3578" s="28" t="n">
        <v>1556</v>
      </c>
      <c r="AF3578" s="28" t="n">
        <f aca="false">2496/100</f>
        <v>24.96</v>
      </c>
      <c r="AG3578" s="28" t="n">
        <v>200</v>
      </c>
      <c r="AH3578" s="28"/>
      <c r="AI3578" s="28" t="n">
        <f aca="false">AH3578*$M3578</f>
        <v>0</v>
      </c>
      <c r="AJ3578" s="28"/>
      <c r="AK3578" s="28" t="n">
        <f aca="false">AJ3578*$M3578</f>
        <v>0</v>
      </c>
      <c r="AL3578" s="28"/>
      <c r="AM3578" s="28" t="n">
        <f aca="false">AL3578*$M3578</f>
        <v>0</v>
      </c>
      <c r="AN3578" s="28"/>
      <c r="AO3578" s="28" t="n">
        <f aca="false">AN3578*$M3578</f>
        <v>0</v>
      </c>
      <c r="AP3578" s="28"/>
      <c r="AQ3578" s="28" t="n">
        <f aca="false">AP3578*$M3578</f>
        <v>0</v>
      </c>
      <c r="AR3578" s="28"/>
      <c r="AS3578" s="28" t="n">
        <f aca="false">AR3578*$M3578</f>
        <v>0</v>
      </c>
      <c r="AT3578" s="28"/>
      <c r="AU3578" s="28" t="n">
        <f aca="false">AT3578*$M3578</f>
        <v>0</v>
      </c>
      <c r="AV3578" s="28"/>
      <c r="AW3578" s="28" t="n">
        <f aca="false">AV3578*$M3578</f>
        <v>0</v>
      </c>
      <c r="AX3578" s="28"/>
      <c r="AY3578" s="28" t="n">
        <f aca="false">AX3578*$M3578</f>
        <v>0</v>
      </c>
      <c r="AZ3578" s="30" t="n">
        <f aca="false">180418/100</f>
        <v>1804.18</v>
      </c>
      <c r="BA3578" s="11" t="n">
        <v>14433</v>
      </c>
      <c r="BB3578" s="31" t="n">
        <f aca="false">SUM(Q3578,S3578,U3578,W3578,Y3578,AA3578,AC3578,AE3578,AG3578,AI3578,AK3578,AM3578,AO3578,AQ3578,AS3578,AU3578,AW3578,AY3578)</f>
        <v>14433</v>
      </c>
      <c r="BC3578" s="28" t="n">
        <f aca="false">BA3578-BB3578</f>
        <v>0</v>
      </c>
      <c r="BD3578" s="32" t="n">
        <f aca="false">SUM(P3578,R3578,T3578,V3578,X3578,Z3578,AB3578,AD3578,AF3578,AH3578,AJ3578,AL3578,AN3578,AP3578,AR3578,AT3578,AV3578,AX3578)</f>
        <v>1804.18</v>
      </c>
      <c r="BE3578" s="33" t="n">
        <f aca="false">AZ3578-BD3578</f>
        <v>0</v>
      </c>
      <c r="BF3578" s="34" t="n">
        <f aca="false">BD3578*M3578</f>
        <v>14433.44</v>
      </c>
      <c r="BG3578" s="35" t="n">
        <f aca="false">BA3578-BF3578</f>
        <v>-0.440000000000509</v>
      </c>
      <c r="BH3578" s="19" t="str">
        <f aca="false">IF(BG3578=0,"",IF(BG3578&lt;&gt;BA3578,"erreur de calcul",IF(BD3578&lt;&gt;0,"pas de prix",IF(M3578&lt;&gt; 0,"pas de quantité","pas de prix, ni de quantité"))))</f>
        <v>erreur de calcul</v>
      </c>
      <c r="BI3578" s="19"/>
    </row>
    <row r="3579" customFormat="false" ht="15" hidden="false" customHeight="false" outlineLevel="0" collapsed="false">
      <c r="A3579" s="0" t="n">
        <v>26</v>
      </c>
      <c r="B3579" s="8" t="s">
        <v>24</v>
      </c>
      <c r="C3579" s="9" t="s">
        <v>25</v>
      </c>
      <c r="D3579" s="9" t="s">
        <v>26</v>
      </c>
      <c r="E3579" s="10" t="n">
        <v>1789</v>
      </c>
      <c r="F3579" s="9" t="s">
        <v>27</v>
      </c>
      <c r="G3579" s="9" t="s">
        <v>27</v>
      </c>
      <c r="H3579" s="11" t="n">
        <v>20</v>
      </c>
      <c r="I3579" s="11" t="s">
        <v>144</v>
      </c>
      <c r="J3579" s="14" t="n">
        <v>3</v>
      </c>
      <c r="K3579" s="14"/>
      <c r="L3579" s="16"/>
      <c r="M3579" s="27" t="n">
        <f aca="false">J3579+(K3579/20)+(L3579/240)</f>
        <v>3</v>
      </c>
      <c r="N3579" s="17" t="s">
        <v>66</v>
      </c>
      <c r="O3579" s="11"/>
      <c r="P3579" s="28"/>
      <c r="Q3579" s="28" t="n">
        <f aca="false">P3579*$M3579</f>
        <v>0</v>
      </c>
      <c r="R3579" s="28"/>
      <c r="S3579" s="28" t="n">
        <f aca="false">R3579*$M3579</f>
        <v>0</v>
      </c>
      <c r="T3579" s="28" t="n">
        <v>24347</v>
      </c>
      <c r="U3579" s="28" t="n">
        <v>73041</v>
      </c>
      <c r="V3579" s="28" t="n">
        <v>2300</v>
      </c>
      <c r="W3579" s="28" t="n">
        <v>6900</v>
      </c>
      <c r="X3579" s="28" t="n">
        <v>152</v>
      </c>
      <c r="Y3579" s="28" t="n">
        <v>456</v>
      </c>
      <c r="Z3579" s="28"/>
      <c r="AA3579" s="28" t="n">
        <f aca="false">Z3579*$M3579</f>
        <v>0</v>
      </c>
      <c r="AB3579" s="28" t="n">
        <v>53940</v>
      </c>
      <c r="AC3579" s="28" t="n">
        <v>161820</v>
      </c>
      <c r="AD3579" s="28"/>
      <c r="AE3579" s="28" t="n">
        <f aca="false">AD3579*$M3579</f>
        <v>0</v>
      </c>
      <c r="AF3579" s="28"/>
      <c r="AG3579" s="28" t="n">
        <f aca="false">AF3579*$M3579</f>
        <v>0</v>
      </c>
      <c r="AH3579" s="28" t="n">
        <v>1668909</v>
      </c>
      <c r="AI3579" s="28" t="n">
        <v>5006727</v>
      </c>
      <c r="AJ3579" s="28"/>
      <c r="AK3579" s="28" t="n">
        <f aca="false">AJ3579*$M3579</f>
        <v>0</v>
      </c>
      <c r="AL3579" s="28"/>
      <c r="AM3579" s="28" t="n">
        <f aca="false">AL3579*$M3579</f>
        <v>0</v>
      </c>
      <c r="AN3579" s="28" t="n">
        <v>165</v>
      </c>
      <c r="AO3579" s="28" t="n">
        <v>495</v>
      </c>
      <c r="AP3579" s="28"/>
      <c r="AQ3579" s="28" t="n">
        <f aca="false">AP3579*$M3579</f>
        <v>0</v>
      </c>
      <c r="AR3579" s="28"/>
      <c r="AS3579" s="28" t="n">
        <f aca="false">AR3579*$M3579</f>
        <v>0</v>
      </c>
      <c r="AT3579" s="28"/>
      <c r="AU3579" s="28" t="n">
        <f aca="false">AT3579*$M3579</f>
        <v>0</v>
      </c>
      <c r="AV3579" s="28"/>
      <c r="AW3579" s="28" t="n">
        <f aca="false">AV3579*$M3579</f>
        <v>0</v>
      </c>
      <c r="AX3579" s="28"/>
      <c r="AY3579" s="28" t="n">
        <f aca="false">AX3579*$M3579</f>
        <v>0</v>
      </c>
      <c r="AZ3579" s="30" t="n">
        <v>1736540</v>
      </c>
      <c r="BA3579" s="11" t="n">
        <v>5249439</v>
      </c>
      <c r="BB3579" s="31" t="n">
        <f aca="false">SUM(Q3579,S3579,U3579,W3579,Y3579,AA3579,AC3579,AE3579,AG3579,AI3579,AK3579,AM3579,AO3579,AQ3579,AS3579,AU3579,AW3579,AY3579)</f>
        <v>5249439</v>
      </c>
      <c r="BC3579" s="28" t="n">
        <f aca="false">BA3579-BB3579</f>
        <v>0</v>
      </c>
      <c r="BD3579" s="32" t="n">
        <f aca="false">SUM(P3579,R3579,T3579,V3579,X3579,Z3579,AB3579,AD3579,AF3579,AH3579,AJ3579,AL3579,AN3579,AP3579,AR3579,AT3579,AV3579,AX3579)</f>
        <v>1749813</v>
      </c>
      <c r="BE3579" s="33" t="n">
        <f aca="false">AZ3579-BD3579</f>
        <v>-13273</v>
      </c>
      <c r="BF3579" s="34" t="n">
        <f aca="false">BD3579*M3579</f>
        <v>5249439</v>
      </c>
      <c r="BG3579" s="35" t="n">
        <f aca="false">BA3579-BF3579</f>
        <v>0</v>
      </c>
      <c r="BH3579" s="19" t="str">
        <f aca="false">IF(BG3579=0,"",IF(BG3579&lt;&gt;BA3579,"erreur de calcul",IF(BD3579&lt;&gt;0,"pas de prix",IF(M3579&lt;&gt; 0,"pas de quantité","pas de prix, ni de quantité"))))</f>
        <v/>
      </c>
      <c r="BI3579" s="19"/>
    </row>
    <row r="3580" customFormat="false" ht="15" hidden="false" customHeight="false" outlineLevel="0" collapsed="false">
      <c r="A3580" s="0" t="n">
        <v>27</v>
      </c>
      <c r="B3580" s="8" t="s">
        <v>24</v>
      </c>
      <c r="C3580" s="9" t="s">
        <v>25</v>
      </c>
      <c r="D3580" s="9" t="s">
        <v>26</v>
      </c>
      <c r="E3580" s="10" t="n">
        <v>1789</v>
      </c>
      <c r="F3580" s="9" t="s">
        <v>27</v>
      </c>
      <c r="G3580" s="9" t="s">
        <v>27</v>
      </c>
      <c r="H3580" s="11" t="n">
        <v>20</v>
      </c>
      <c r="I3580" s="11" t="s">
        <v>145</v>
      </c>
      <c r="J3580" s="14" t="n">
        <v>4</v>
      </c>
      <c r="K3580" s="14" t="n">
        <v>18</v>
      </c>
      <c r="L3580" s="16"/>
      <c r="M3580" s="27" t="n">
        <f aca="false">J3580+(K3580/20)+(L3580/240)</f>
        <v>4.9</v>
      </c>
      <c r="N3580" s="17" t="s">
        <v>66</v>
      </c>
      <c r="O3580" s="11"/>
      <c r="P3580" s="28"/>
      <c r="Q3580" s="28" t="n">
        <f aca="false">P3580*$M3580</f>
        <v>0</v>
      </c>
      <c r="R3580" s="28"/>
      <c r="S3580" s="28" t="n">
        <f aca="false">R3580*$M3580</f>
        <v>0</v>
      </c>
      <c r="T3580" s="28"/>
      <c r="U3580" s="28" t="n">
        <f aca="false">T3580*$M3580</f>
        <v>0</v>
      </c>
      <c r="V3580" s="28"/>
      <c r="W3580" s="28" t="n">
        <f aca="false">V3580*$M3580</f>
        <v>0</v>
      </c>
      <c r="X3580" s="28"/>
      <c r="Y3580" s="28" t="n">
        <f aca="false">X3580*$M3580</f>
        <v>0</v>
      </c>
      <c r="Z3580" s="28"/>
      <c r="AA3580" s="28" t="n">
        <f aca="false">Z3580*$M3580</f>
        <v>0</v>
      </c>
      <c r="AB3580" s="28"/>
      <c r="AC3580" s="28" t="n">
        <f aca="false">AB3580*$M3580</f>
        <v>0</v>
      </c>
      <c r="AD3580" s="28"/>
      <c r="AE3580" s="28" t="n">
        <f aca="false">AD3580*$M3580</f>
        <v>0</v>
      </c>
      <c r="AF3580" s="28"/>
      <c r="AG3580" s="28" t="n">
        <f aca="false">AF3580*$M3580</f>
        <v>0</v>
      </c>
      <c r="AH3580" s="28" t="n">
        <v>14916</v>
      </c>
      <c r="AI3580" s="28" t="n">
        <v>73088</v>
      </c>
      <c r="AJ3580" s="28"/>
      <c r="AK3580" s="28" t="n">
        <f aca="false">AJ3580*$M3580</f>
        <v>0</v>
      </c>
      <c r="AL3580" s="28"/>
      <c r="AM3580" s="28" t="n">
        <f aca="false">AL3580*$M3580</f>
        <v>0</v>
      </c>
      <c r="AN3580" s="28"/>
      <c r="AO3580" s="28" t="n">
        <f aca="false">AN3580*$M3580</f>
        <v>0</v>
      </c>
      <c r="AP3580" s="28"/>
      <c r="AQ3580" s="28" t="n">
        <f aca="false">AP3580*$M3580</f>
        <v>0</v>
      </c>
      <c r="AR3580" s="28"/>
      <c r="AS3580" s="28" t="n">
        <f aca="false">AR3580*$M3580</f>
        <v>0</v>
      </c>
      <c r="AT3580" s="28"/>
      <c r="AU3580" s="28" t="n">
        <f aca="false">AT3580*$M3580</f>
        <v>0</v>
      </c>
      <c r="AV3580" s="28"/>
      <c r="AW3580" s="28" t="n">
        <f aca="false">AV3580*$M3580</f>
        <v>0</v>
      </c>
      <c r="AX3580" s="28"/>
      <c r="AY3580" s="28" t="n">
        <f aca="false">AX3580*$M3580</f>
        <v>0</v>
      </c>
      <c r="AZ3580" s="30" t="n">
        <v>14916</v>
      </c>
      <c r="BA3580" s="11" t="n">
        <v>73088</v>
      </c>
      <c r="BB3580" s="31" t="n">
        <f aca="false">SUM(Q3580,S3580,U3580,W3580,Y3580,AA3580,AC3580,AE3580,AG3580,AI3580,AK3580,AM3580,AO3580,AQ3580,AS3580,AU3580,AW3580,AY3580)</f>
        <v>73088</v>
      </c>
      <c r="BC3580" s="28" t="n">
        <f aca="false">BA3580-BB3580</f>
        <v>0</v>
      </c>
      <c r="BD3580" s="32" t="n">
        <f aca="false">SUM(P3580,R3580,T3580,V3580,X3580,Z3580,AB3580,AD3580,AF3580,AH3580,AJ3580,AL3580,AN3580,AP3580,AR3580,AT3580,AV3580,AX3580)</f>
        <v>14916</v>
      </c>
      <c r="BE3580" s="33" t="n">
        <f aca="false">AZ3580-BD3580</f>
        <v>0</v>
      </c>
      <c r="BF3580" s="34" t="n">
        <f aca="false">BD3580*M3580</f>
        <v>73088.4</v>
      </c>
      <c r="BG3580" s="35" t="n">
        <f aca="false">BA3580-BF3580</f>
        <v>-0.400000000008731</v>
      </c>
      <c r="BH3580" s="19" t="str">
        <f aca="false">IF(BG3580=0,"",IF(BG3580&lt;&gt;BA3580,"erreur de calcul",IF(BD3580&lt;&gt;0,"pas de prix",IF(M3580&lt;&gt; 0,"pas de quantité","pas de prix, ni de quantité"))))</f>
        <v>erreur de calcul</v>
      </c>
      <c r="BI3580" s="19"/>
    </row>
    <row r="3581" customFormat="false" ht="15" hidden="false" customHeight="false" outlineLevel="0" collapsed="false">
      <c r="A3581" s="0" t="n">
        <v>28</v>
      </c>
      <c r="B3581" s="8" t="s">
        <v>24</v>
      </c>
      <c r="C3581" s="9" t="s">
        <v>25</v>
      </c>
      <c r="D3581" s="9" t="s">
        <v>26</v>
      </c>
      <c r="E3581" s="10" t="n">
        <v>1789</v>
      </c>
      <c r="F3581" s="9" t="s">
        <v>27</v>
      </c>
      <c r="G3581" s="9" t="s">
        <v>27</v>
      </c>
      <c r="H3581" s="11" t="n">
        <v>20</v>
      </c>
      <c r="I3581" s="11" t="s">
        <v>146</v>
      </c>
      <c r="J3581" s="14" t="n">
        <v>126</v>
      </c>
      <c r="K3581" s="14"/>
      <c r="L3581" s="16"/>
      <c r="M3581" s="27"/>
      <c r="N3581" s="17" t="s">
        <v>66</v>
      </c>
      <c r="O3581" s="11" t="s">
        <v>98</v>
      </c>
      <c r="P3581" s="28"/>
      <c r="Q3581" s="28" t="n">
        <f aca="false">P3581*$M3581</f>
        <v>0</v>
      </c>
      <c r="R3581" s="28" t="n">
        <v>82676</v>
      </c>
      <c r="S3581" s="28" t="n">
        <v>28572</v>
      </c>
      <c r="T3581" s="28"/>
      <c r="U3581" s="28" t="n">
        <f aca="false">T3581*$M3581</f>
        <v>0</v>
      </c>
      <c r="V3581" s="28"/>
      <c r="W3581" s="28" t="n">
        <f aca="false">V3581*$M3581</f>
        <v>0</v>
      </c>
      <c r="X3581" s="28"/>
      <c r="Y3581" s="28" t="n">
        <f aca="false">X3581*$M3581</f>
        <v>0</v>
      </c>
      <c r="Z3581" s="28"/>
      <c r="AA3581" s="28" t="n">
        <f aca="false">Z3581*$M3581</f>
        <v>0</v>
      </c>
      <c r="AB3581" s="28"/>
      <c r="AC3581" s="28" t="n">
        <f aca="false">AB3581*$M3581</f>
        <v>0</v>
      </c>
      <c r="AD3581" s="28"/>
      <c r="AE3581" s="28" t="n">
        <f aca="false">AD3581*$M3581</f>
        <v>0</v>
      </c>
      <c r="AF3581" s="28"/>
      <c r="AG3581" s="28" t="n">
        <f aca="false">AF3581*$M3581</f>
        <v>0</v>
      </c>
      <c r="AH3581" s="28" t="n">
        <v>6408925</v>
      </c>
      <c r="AI3581" s="28" t="n">
        <v>8075245</v>
      </c>
      <c r="AJ3581" s="28"/>
      <c r="AK3581" s="28" t="n">
        <f aca="false">AJ3581*$M3581</f>
        <v>0</v>
      </c>
      <c r="AL3581" s="28"/>
      <c r="AM3581" s="28" t="n">
        <f aca="false">AL3581*$M3581</f>
        <v>0</v>
      </c>
      <c r="AN3581" s="28"/>
      <c r="AO3581" s="28" t="n">
        <f aca="false">AN3581*$M3581</f>
        <v>0</v>
      </c>
      <c r="AP3581" s="28"/>
      <c r="AQ3581" s="28" t="n">
        <f aca="false">AP3581*$M3581</f>
        <v>0</v>
      </c>
      <c r="AR3581" s="28"/>
      <c r="AS3581" s="28" t="n">
        <f aca="false">AR3581*$M3581</f>
        <v>0</v>
      </c>
      <c r="AT3581" s="28"/>
      <c r="AU3581" s="28" t="n">
        <f aca="false">AT3581*$M3581</f>
        <v>0</v>
      </c>
      <c r="AV3581" s="28"/>
      <c r="AW3581" s="28" t="n">
        <f aca="false">AV3581*$M3581</f>
        <v>0</v>
      </c>
      <c r="AX3581" s="28"/>
      <c r="AY3581" s="28" t="n">
        <f aca="false">AX3581*$M3581</f>
        <v>0</v>
      </c>
      <c r="AZ3581" s="11" t="n">
        <v>6431601</v>
      </c>
      <c r="BA3581" s="11" t="n">
        <v>8103817</v>
      </c>
      <c r="BB3581" s="31" t="n">
        <f aca="false">SUM(Q3581,S3581,U3581,W3581,Y3581,AA3581,AC3581,AE3581,AG3581,AI3581,AK3581,AM3581,AO3581,AQ3581,AS3581,AU3581,AW3581,AY3581)</f>
        <v>8103817</v>
      </c>
      <c r="BC3581" s="28" t="n">
        <f aca="false">BA3581-BB3581</f>
        <v>0</v>
      </c>
      <c r="BD3581" s="32" t="n">
        <f aca="false">SUM(P3581,R3581,T3581,V3581,X3581,Z3581,AB3581,AD3581,AF3581,AH3581,AJ3581,AL3581,AN3581,AP3581,AR3581,AT3581,AV3581,AX3581)</f>
        <v>6491601</v>
      </c>
      <c r="BE3581" s="33" t="n">
        <f aca="false">AZ3581-BD3581</f>
        <v>-60000</v>
      </c>
      <c r="BF3581" s="34" t="n">
        <f aca="false">BD3581*M3581</f>
        <v>0</v>
      </c>
      <c r="BG3581" s="35" t="n">
        <f aca="false">BA3581-BF3581</f>
        <v>8103817</v>
      </c>
      <c r="BH3581" s="19" t="str">
        <f aca="false">IF(BG3581=0,"",IF(BG3581&lt;&gt;BA3581,"erreur de calcul",IF(BD3581&lt;&gt;0,"pas de prix",IF(M3581&lt;&gt; 0,"pas de quantité","pas de prix, ni de quantité"))))</f>
        <v>pas de prix</v>
      </c>
      <c r="BI3581" s="19" t="s">
        <v>147</v>
      </c>
    </row>
    <row r="3582" customFormat="false" ht="15" hidden="false" customHeight="false" outlineLevel="0" collapsed="false">
      <c r="A3582" s="0" t="n">
        <v>29</v>
      </c>
      <c r="B3582" s="8" t="s">
        <v>24</v>
      </c>
      <c r="C3582" s="9" t="s">
        <v>25</v>
      </c>
      <c r="D3582" s="9" t="s">
        <v>26</v>
      </c>
      <c r="E3582" s="10" t="n">
        <v>1789</v>
      </c>
      <c r="F3582" s="9" t="s">
        <v>27</v>
      </c>
      <c r="G3582" s="9" t="s">
        <v>27</v>
      </c>
      <c r="H3582" s="11" t="n">
        <v>20</v>
      </c>
      <c r="I3582" s="11" t="s">
        <v>148</v>
      </c>
      <c r="J3582" s="14"/>
      <c r="K3582" s="14" t="n">
        <v>20</v>
      </c>
      <c r="L3582" s="16"/>
      <c r="M3582" s="27" t="n">
        <f aca="false">J3582+(K3582/20)+(L3582/240)</f>
        <v>1</v>
      </c>
      <c r="N3582" s="17" t="s">
        <v>66</v>
      </c>
      <c r="O3582" s="11"/>
      <c r="P3582" s="28"/>
      <c r="Q3582" s="28" t="n">
        <f aca="false">P3582*$M3582</f>
        <v>0</v>
      </c>
      <c r="R3582" s="28"/>
      <c r="S3582" s="28" t="n">
        <f aca="false">R3582*$M3582</f>
        <v>0</v>
      </c>
      <c r="T3582" s="28" t="n">
        <v>392</v>
      </c>
      <c r="U3582" s="28" t="n">
        <v>392</v>
      </c>
      <c r="V3582" s="28"/>
      <c r="W3582" s="28" t="n">
        <f aca="false">V3582*$M3582</f>
        <v>0</v>
      </c>
      <c r="X3582" s="28"/>
      <c r="Y3582" s="28" t="n">
        <f aca="false">X3582*$M3582</f>
        <v>0</v>
      </c>
      <c r="Z3582" s="28"/>
      <c r="AA3582" s="28" t="n">
        <f aca="false">Z3582*$M3582</f>
        <v>0</v>
      </c>
      <c r="AB3582" s="28" t="n">
        <v>7596</v>
      </c>
      <c r="AC3582" s="28" t="n">
        <v>7596</v>
      </c>
      <c r="AD3582" s="28"/>
      <c r="AE3582" s="28" t="n">
        <f aca="false">AD3582*$M3582</f>
        <v>0</v>
      </c>
      <c r="AF3582" s="28"/>
      <c r="AG3582" s="28" t="n">
        <f aca="false">AF3582*$M3582</f>
        <v>0</v>
      </c>
      <c r="AH3582" s="28"/>
      <c r="AI3582" s="28" t="n">
        <f aca="false">AH3582*$M3582</f>
        <v>0</v>
      </c>
      <c r="AJ3582" s="28"/>
      <c r="AK3582" s="28" t="n">
        <f aca="false">AJ3582*$M3582</f>
        <v>0</v>
      </c>
      <c r="AL3582" s="28"/>
      <c r="AM3582" s="28" t="n">
        <f aca="false">AL3582*$M3582</f>
        <v>0</v>
      </c>
      <c r="AN3582" s="28"/>
      <c r="AO3582" s="28" t="n">
        <f aca="false">AN3582*$M3582</f>
        <v>0</v>
      </c>
      <c r="AP3582" s="28"/>
      <c r="AQ3582" s="28" t="n">
        <f aca="false">AP3582*$M3582</f>
        <v>0</v>
      </c>
      <c r="AR3582" s="28"/>
      <c r="AS3582" s="28" t="n">
        <f aca="false">AR3582*$M3582</f>
        <v>0</v>
      </c>
      <c r="AT3582" s="28"/>
      <c r="AU3582" s="28" t="n">
        <f aca="false">AT3582*$M3582</f>
        <v>0</v>
      </c>
      <c r="AV3582" s="28"/>
      <c r="AW3582" s="28" t="n">
        <f aca="false">AV3582*$M3582</f>
        <v>0</v>
      </c>
      <c r="AX3582" s="28"/>
      <c r="AY3582" s="28" t="n">
        <f aca="false">AX3582*$M3582</f>
        <v>0</v>
      </c>
      <c r="AZ3582" s="30" t="n">
        <v>7988</v>
      </c>
      <c r="BA3582" s="11" t="n">
        <v>7988</v>
      </c>
      <c r="BB3582" s="31" t="n">
        <f aca="false">SUM(Q3582,S3582,U3582,W3582,Y3582,AA3582,AC3582,AE3582,AG3582,AI3582,AK3582,AM3582,AO3582,AQ3582,AS3582,AU3582,AW3582,AY3582)</f>
        <v>7988</v>
      </c>
      <c r="BC3582" s="28" t="n">
        <f aca="false">BA3582-BB3582</f>
        <v>0</v>
      </c>
      <c r="BD3582" s="32" t="n">
        <f aca="false">SUM(P3582,R3582,T3582,V3582,X3582,Z3582,AB3582,AD3582,AF3582,AH3582,AJ3582,AL3582,AN3582,AP3582,AR3582,AT3582,AV3582,AX3582)</f>
        <v>7988</v>
      </c>
      <c r="BE3582" s="33" t="n">
        <f aca="false">AZ3582-BD3582</f>
        <v>0</v>
      </c>
      <c r="BF3582" s="34" t="n">
        <f aca="false">BD3582*M3582</f>
        <v>7988</v>
      </c>
      <c r="BG3582" s="35" t="n">
        <f aca="false">BA3582-BF3582</f>
        <v>0</v>
      </c>
      <c r="BH3582" s="19" t="str">
        <f aca="false">IF(BG3582=0,"",IF(BG3582&lt;&gt;BA3582,"erreur de calcul",IF(BD3582&lt;&gt;0,"pas de prix",IF(M3582&lt;&gt; 0,"pas de quantité","pas de prix, ni de quantité"))))</f>
        <v/>
      </c>
      <c r="BI3582" s="19"/>
    </row>
    <row r="3583" customFormat="false" ht="15" hidden="false" customHeight="false" outlineLevel="0" collapsed="false">
      <c r="A3583" s="0" t="n">
        <v>30</v>
      </c>
      <c r="B3583" s="8" t="s">
        <v>24</v>
      </c>
      <c r="C3583" s="9" t="s">
        <v>25</v>
      </c>
      <c r="D3583" s="9" t="s">
        <v>26</v>
      </c>
      <c r="E3583" s="10" t="n">
        <v>1789</v>
      </c>
      <c r="F3583" s="9" t="s">
        <v>27</v>
      </c>
      <c r="G3583" s="9" t="s">
        <v>27</v>
      </c>
      <c r="H3583" s="11" t="n">
        <v>20</v>
      </c>
      <c r="I3583" s="11" t="s">
        <v>149</v>
      </c>
      <c r="J3583" s="14" t="n">
        <v>70</v>
      </c>
      <c r="K3583" s="14"/>
      <c r="L3583" s="16"/>
      <c r="M3583" s="27" t="n">
        <f aca="false">J3583+(K3583/20)+(L3583/240)</f>
        <v>70</v>
      </c>
      <c r="N3583" s="17" t="s">
        <v>64</v>
      </c>
      <c r="O3583" s="11"/>
      <c r="P3583" s="28"/>
      <c r="Q3583" s="28" t="n">
        <f aca="false">P3583*$M3583</f>
        <v>0</v>
      </c>
      <c r="R3583" s="28"/>
      <c r="S3583" s="28" t="n">
        <f aca="false">R3583*$M3583</f>
        <v>0</v>
      </c>
      <c r="T3583" s="28"/>
      <c r="U3583" s="28" t="n">
        <f aca="false">T3583*$M3583</f>
        <v>0</v>
      </c>
      <c r="V3583" s="28"/>
      <c r="W3583" s="28" t="n">
        <f aca="false">V3583*$M3583</f>
        <v>0</v>
      </c>
      <c r="X3583" s="28" t="n">
        <f aca="false">1904/100</f>
        <v>19.04</v>
      </c>
      <c r="Y3583" s="28" t="n">
        <v>1333</v>
      </c>
      <c r="Z3583" s="28"/>
      <c r="AA3583" s="28" t="n">
        <f aca="false">Z3583*$M3583</f>
        <v>0</v>
      </c>
      <c r="AB3583" s="28" t="n">
        <f aca="false">51370/100</f>
        <v>513.7</v>
      </c>
      <c r="AC3583" s="28" t="n">
        <v>35959</v>
      </c>
      <c r="AD3583" s="28"/>
      <c r="AE3583" s="28" t="n">
        <f aca="false">AD3583*$M3583</f>
        <v>0</v>
      </c>
      <c r="AF3583" s="28" t="n">
        <f aca="false">8872/100</f>
        <v>88.72</v>
      </c>
      <c r="AG3583" s="28" t="n">
        <v>6210</v>
      </c>
      <c r="AH3583" s="28" t="n">
        <f aca="false">14751/100</f>
        <v>147.51</v>
      </c>
      <c r="AI3583" s="28" t="n">
        <v>10326</v>
      </c>
      <c r="AJ3583" s="28"/>
      <c r="AK3583" s="28" t="n">
        <f aca="false">AJ3583*$M3583</f>
        <v>0</v>
      </c>
      <c r="AL3583" s="28"/>
      <c r="AM3583" s="28" t="n">
        <f aca="false">AL3583*$M3583</f>
        <v>0</v>
      </c>
      <c r="AN3583" s="28"/>
      <c r="AO3583" s="28" t="n">
        <f aca="false">AN3583*$M3583</f>
        <v>0</v>
      </c>
      <c r="AP3583" s="28"/>
      <c r="AQ3583" s="28" t="n">
        <f aca="false">AP3583*$M3583</f>
        <v>0</v>
      </c>
      <c r="AR3583" s="28"/>
      <c r="AS3583" s="28" t="n">
        <f aca="false">AR3583*$M3583</f>
        <v>0</v>
      </c>
      <c r="AT3583" s="28"/>
      <c r="AU3583" s="28" t="n">
        <f aca="false">AT3583*$M3583</f>
        <v>0</v>
      </c>
      <c r="AV3583" s="28"/>
      <c r="AW3583" s="28" t="n">
        <f aca="false">AV3583*$M3583</f>
        <v>0</v>
      </c>
      <c r="AX3583" s="28"/>
      <c r="AY3583" s="28" t="n">
        <f aca="false">AX3583*$M3583</f>
        <v>0</v>
      </c>
      <c r="AZ3583" s="30" t="n">
        <f aca="false">76897/100</f>
        <v>768.97</v>
      </c>
      <c r="BA3583" s="11" t="n">
        <v>53828</v>
      </c>
      <c r="BB3583" s="31" t="n">
        <f aca="false">SUM(Q3583,S3583,U3583,W3583,Y3583,AA3583,AC3583,AE3583,AG3583,AI3583,AK3583,AM3583,AO3583,AQ3583,AS3583,AU3583,AW3583,AY3583)</f>
        <v>53828</v>
      </c>
      <c r="BC3583" s="28" t="n">
        <f aca="false">BA3583-BB3583</f>
        <v>0</v>
      </c>
      <c r="BD3583" s="32" t="n">
        <f aca="false">SUM(P3583,R3583,T3583,V3583,X3583,Z3583,AB3583,AD3583,AF3583,AH3583,AJ3583,AL3583,AN3583,AP3583,AR3583,AT3583,AV3583,AX3583)</f>
        <v>768.97</v>
      </c>
      <c r="BE3583" s="33" t="n">
        <f aca="false">AZ3583-BD3583</f>
        <v>0</v>
      </c>
      <c r="BF3583" s="34" t="n">
        <f aca="false">BD3583*M3583</f>
        <v>53827.9</v>
      </c>
      <c r="BG3583" s="35" t="n">
        <f aca="false">BA3583-BF3583</f>
        <v>0.0999999999985448</v>
      </c>
      <c r="BH3583" s="19" t="str">
        <f aca="false">IF(BG3583=0,"",IF(BG3583&lt;&gt;BA3583,"erreur de calcul",IF(BD3583&lt;&gt;0,"pas de prix",IF(M3583&lt;&gt; 0,"pas de quantité","pas de prix, ni de quantité"))))</f>
        <v>erreur de calcul</v>
      </c>
      <c r="BI3583" s="19"/>
    </row>
    <row r="3584" customFormat="false" ht="15" hidden="false" customHeight="false" outlineLevel="0" collapsed="false">
      <c r="A3584" s="0" t="n">
        <v>31</v>
      </c>
      <c r="B3584" s="8" t="s">
        <v>24</v>
      </c>
      <c r="C3584" s="9" t="s">
        <v>25</v>
      </c>
      <c r="D3584" s="9" t="s">
        <v>26</v>
      </c>
      <c r="E3584" s="10" t="n">
        <v>1789</v>
      </c>
      <c r="F3584" s="9" t="s">
        <v>27</v>
      </c>
      <c r="G3584" s="9" t="s">
        <v>27</v>
      </c>
      <c r="H3584" s="11" t="n">
        <v>20</v>
      </c>
      <c r="I3584" s="11" t="s">
        <v>150</v>
      </c>
      <c r="J3584" s="14" t="n">
        <v>70</v>
      </c>
      <c r="K3584" s="14"/>
      <c r="L3584" s="16"/>
      <c r="M3584" s="27" t="n">
        <f aca="false">J3584+(K3584/20)+(L3584/240)</f>
        <v>70</v>
      </c>
      <c r="N3584" s="17" t="s">
        <v>64</v>
      </c>
      <c r="O3584" s="11" t="s">
        <v>77</v>
      </c>
      <c r="P3584" s="28"/>
      <c r="Q3584" s="28" t="n">
        <f aca="false">P3584*$M3584</f>
        <v>0</v>
      </c>
      <c r="R3584" s="28"/>
      <c r="S3584" s="28" t="n">
        <f aca="false">R3584*$M3584</f>
        <v>0</v>
      </c>
      <c r="T3584" s="28"/>
      <c r="U3584" s="28" t="n">
        <f aca="false">T3584*$M3584</f>
        <v>0</v>
      </c>
      <c r="V3584" s="28"/>
      <c r="W3584" s="28" t="n">
        <f aca="false">V3584*$M3584</f>
        <v>0</v>
      </c>
      <c r="X3584" s="28"/>
      <c r="Y3584" s="28" t="n">
        <f aca="false">X3584*$M3584</f>
        <v>0</v>
      </c>
      <c r="Z3584" s="28"/>
      <c r="AA3584" s="28" t="n">
        <f aca="false">Z3584*$M3584</f>
        <v>0</v>
      </c>
      <c r="AB3584" s="28"/>
      <c r="AC3584" s="28" t="n">
        <f aca="false">AB3584*$M3584</f>
        <v>0</v>
      </c>
      <c r="AD3584" s="28"/>
      <c r="AE3584" s="28" t="n">
        <f aca="false">AD3584*$M3584</f>
        <v>0</v>
      </c>
      <c r="AF3584" s="28"/>
      <c r="AG3584" s="28" t="n">
        <f aca="false">AF3584*$M3584</f>
        <v>0</v>
      </c>
      <c r="AH3584" s="28"/>
      <c r="AI3584" s="28" t="n">
        <f aca="false">AH3584*$M3584</f>
        <v>0</v>
      </c>
      <c r="AJ3584" s="28"/>
      <c r="AK3584" s="28" t="n">
        <f aca="false">AJ3584*$M3584</f>
        <v>0</v>
      </c>
      <c r="AL3584" s="28"/>
      <c r="AM3584" s="28" t="n">
        <f aca="false">AL3584*$M3584</f>
        <v>0</v>
      </c>
      <c r="AN3584" s="28"/>
      <c r="AO3584" s="28" t="n">
        <f aca="false">AN3584*$M3584</f>
        <v>0</v>
      </c>
      <c r="AP3584" s="28"/>
      <c r="AQ3584" s="28" t="n">
        <f aca="false">AP3584*$M3584</f>
        <v>0</v>
      </c>
      <c r="AR3584" s="28"/>
      <c r="AS3584" s="28" t="n">
        <f aca="false">AR3584*$M3584</f>
        <v>0</v>
      </c>
      <c r="AT3584" s="28"/>
      <c r="AU3584" s="28" t="n">
        <f aca="false">AT3584*$M3584</f>
        <v>0</v>
      </c>
      <c r="AV3584" s="28"/>
      <c r="AW3584" s="28" t="n">
        <f aca="false">AV3584*$M3584</f>
        <v>0</v>
      </c>
      <c r="AX3584" s="28"/>
      <c r="AY3584" s="28" t="n">
        <f aca="false">AX3584*$M3584</f>
        <v>0</v>
      </c>
      <c r="AZ3584" s="30"/>
      <c r="BA3584" s="11"/>
      <c r="BB3584" s="31" t="n">
        <f aca="false">SUM(Q3584,S3584,U3584,W3584,Y3584,AA3584,AC3584,AE3584,AG3584,AI3584,AK3584,AM3584,AO3584,AQ3584,AS3584,AU3584,AW3584,AY3584)</f>
        <v>0</v>
      </c>
      <c r="BC3584" s="28" t="n">
        <f aca="false">BA3584-BB3584</f>
        <v>0</v>
      </c>
      <c r="BD3584" s="32" t="n">
        <f aca="false">SUM(P3584,R3584,T3584,V3584,X3584,Z3584,AB3584,AD3584,AF3584,AH3584,AJ3584,AL3584,AN3584,AP3584,AR3584,AT3584,AV3584,AX3584)</f>
        <v>0</v>
      </c>
      <c r="BE3584" s="33" t="n">
        <f aca="false">AZ3584-BD3584</f>
        <v>0</v>
      </c>
      <c r="BF3584" s="34" t="n">
        <f aca="false">BD3584*M3584</f>
        <v>0</v>
      </c>
      <c r="BG3584" s="35" t="n">
        <f aca="false">BA3584-BF3584</f>
        <v>0</v>
      </c>
      <c r="BH3584" s="19" t="str">
        <f aca="false">IF(BG3584=0,"",IF(BG3584&lt;&gt;BA3584,"erreur de calcul",IF(BD3584&lt;&gt;0,"pas de prix",IF(M3584&lt;&gt; 0,"pas de quantité","pas de prix, ni de quantité"))))</f>
        <v/>
      </c>
      <c r="BI3584" s="19"/>
    </row>
    <row r="3585" customFormat="false" ht="15" hidden="false" customHeight="false" outlineLevel="0" collapsed="false">
      <c r="A3585" s="0" t="n">
        <v>32</v>
      </c>
      <c r="B3585" s="8" t="s">
        <v>24</v>
      </c>
      <c r="C3585" s="9" t="s">
        <v>25</v>
      </c>
      <c r="D3585" s="9" t="s">
        <v>26</v>
      </c>
      <c r="E3585" s="10" t="n">
        <v>1789</v>
      </c>
      <c r="F3585" s="9" t="s">
        <v>27</v>
      </c>
      <c r="G3585" s="9" t="s">
        <v>27</v>
      </c>
      <c r="H3585" s="11" t="n">
        <v>20</v>
      </c>
      <c r="I3585" s="11" t="s">
        <v>150</v>
      </c>
      <c r="J3585" s="14" t="n">
        <v>70</v>
      </c>
      <c r="K3585" s="14"/>
      <c r="L3585" s="16"/>
      <c r="M3585" s="27" t="n">
        <f aca="false">J3585+(K3585/20)+(L3585/240)</f>
        <v>70</v>
      </c>
      <c r="N3585" s="17" t="s">
        <v>64</v>
      </c>
      <c r="O3585" s="11" t="s">
        <v>98</v>
      </c>
      <c r="P3585" s="28" t="n">
        <f aca="false">382028/100</f>
        <v>3820.28</v>
      </c>
      <c r="Q3585" s="28" t="n">
        <v>267420</v>
      </c>
      <c r="R3585" s="28" t="n">
        <f aca="false">131361/100</f>
        <v>1313.61</v>
      </c>
      <c r="S3585" s="28" t="n">
        <v>91953</v>
      </c>
      <c r="T3585" s="28" t="n">
        <f aca="false">8856/100</f>
        <v>88.56</v>
      </c>
      <c r="U3585" s="28" t="n">
        <v>6199</v>
      </c>
      <c r="V3585" s="28" t="n">
        <f aca="false">171125/100</f>
        <v>1711.25</v>
      </c>
      <c r="W3585" s="28" t="n">
        <v>119787</v>
      </c>
      <c r="X3585" s="28" t="n">
        <f aca="false">24259/100</f>
        <v>242.59</v>
      </c>
      <c r="Y3585" s="28" t="n">
        <v>16981</v>
      </c>
      <c r="Z3585" s="28"/>
      <c r="AA3585" s="28" t="n">
        <f aca="false">Z3585*$M3585</f>
        <v>0</v>
      </c>
      <c r="AB3585" s="28" t="n">
        <f aca="false">33694/100</f>
        <v>336.94</v>
      </c>
      <c r="AC3585" s="28" t="n">
        <v>23586</v>
      </c>
      <c r="AD3585" s="28" t="n">
        <f aca="false">89734/100</f>
        <v>897.34</v>
      </c>
      <c r="AE3585" s="28" t="n">
        <v>62814</v>
      </c>
      <c r="AF3585" s="28" t="n">
        <f aca="false">1955727/100</f>
        <v>19557.27</v>
      </c>
      <c r="AG3585" s="28" t="n">
        <v>1369009</v>
      </c>
      <c r="AH3585" s="28" t="n">
        <f aca="false">11740/100</f>
        <v>117.4</v>
      </c>
      <c r="AI3585" s="28" t="n">
        <v>8218</v>
      </c>
      <c r="AJ3585" s="28"/>
      <c r="AK3585" s="28" t="n">
        <f aca="false">AJ3585*$M3585</f>
        <v>0</v>
      </c>
      <c r="AL3585" s="28"/>
      <c r="AM3585" s="28" t="n">
        <f aca="false">AL3585*$M3585</f>
        <v>0</v>
      </c>
      <c r="AN3585" s="28"/>
      <c r="AO3585" s="28" t="n">
        <f aca="false">AN3585*$M3585</f>
        <v>0</v>
      </c>
      <c r="AP3585" s="28"/>
      <c r="AQ3585" s="28" t="n">
        <f aca="false">AP3585*$M3585</f>
        <v>0</v>
      </c>
      <c r="AR3585" s="28"/>
      <c r="AS3585" s="28" t="n">
        <f aca="false">AR3585*$M3585</f>
        <v>0</v>
      </c>
      <c r="AT3585" s="28"/>
      <c r="AU3585" s="28" t="n">
        <f aca="false">AT3585*$M3585</f>
        <v>0</v>
      </c>
      <c r="AV3585" s="28" t="n">
        <f aca="false">15000/100</f>
        <v>150</v>
      </c>
      <c r="AW3585" s="28" t="n">
        <v>10500</v>
      </c>
      <c r="AX3585" s="28"/>
      <c r="AY3585" s="28" t="n">
        <f aca="false">AX3585*$M3585</f>
        <v>0</v>
      </c>
      <c r="AZ3585" s="30" t="n">
        <f aca="false">2823524/100</f>
        <v>28235.24</v>
      </c>
      <c r="BA3585" s="11" t="n">
        <v>1976467</v>
      </c>
      <c r="BB3585" s="31" t="n">
        <f aca="false">SUM(Q3585,S3585,U3585,W3585,Y3585,AA3585,AC3585,AE3585,AG3585,AI3585,AK3585,AM3585,AO3585,AQ3585,AS3585,AU3585,AW3585,AY3585)</f>
        <v>1976467</v>
      </c>
      <c r="BC3585" s="28" t="n">
        <f aca="false">BA3585-BB3585</f>
        <v>0</v>
      </c>
      <c r="BD3585" s="32" t="n">
        <f aca="false">SUM(P3585,R3585,T3585,V3585,X3585,Z3585,AB3585,AD3585,AF3585,AH3585,AJ3585,AL3585,AN3585,AP3585,AR3585,AT3585,AV3585,AX3585)</f>
        <v>28235.24</v>
      </c>
      <c r="BE3585" s="33" t="n">
        <f aca="false">AZ3585-BD3585</f>
        <v>0</v>
      </c>
      <c r="BF3585" s="34" t="n">
        <f aca="false">BD3585*M3585</f>
        <v>1976466.8</v>
      </c>
      <c r="BG3585" s="35" t="n">
        <f aca="false">BA3585-BF3585</f>
        <v>0.199999999953434</v>
      </c>
      <c r="BH3585" s="19" t="str">
        <f aca="false">IF(BG3585=0,"",IF(BG3585&lt;&gt;BA3585,"erreur de calcul",IF(BD3585&lt;&gt;0,"pas de prix",IF(M3585&lt;&gt; 0,"pas de quantité","pas de prix, ni de quantité"))))</f>
        <v>erreur de calcul</v>
      </c>
      <c r="BI3585" s="19"/>
    </row>
    <row r="3586" customFormat="false" ht="15" hidden="false" customHeight="false" outlineLevel="0" collapsed="false">
      <c r="A3586" s="0" t="n">
        <v>33</v>
      </c>
      <c r="B3586" s="8" t="s">
        <v>24</v>
      </c>
      <c r="C3586" s="9" t="s">
        <v>25</v>
      </c>
      <c r="D3586" s="9" t="s">
        <v>26</v>
      </c>
      <c r="E3586" s="10" t="n">
        <v>1789</v>
      </c>
      <c r="F3586" s="9" t="s">
        <v>27</v>
      </c>
      <c r="G3586" s="9" t="s">
        <v>27</v>
      </c>
      <c r="H3586" s="11" t="n">
        <v>20</v>
      </c>
      <c r="I3586" s="11" t="s">
        <v>151</v>
      </c>
      <c r="J3586" s="14" t="n">
        <v>150</v>
      </c>
      <c r="K3586" s="14"/>
      <c r="L3586" s="16"/>
      <c r="M3586" s="27" t="n">
        <f aca="false">J3586+(K3586/20)+(L3586/240)</f>
        <v>150</v>
      </c>
      <c r="N3586" s="17" t="s">
        <v>64</v>
      </c>
      <c r="O3586" s="11"/>
      <c r="P3586" s="28"/>
      <c r="Q3586" s="28" t="n">
        <f aca="false">P3586*$M3586</f>
        <v>0</v>
      </c>
      <c r="R3586" s="28"/>
      <c r="S3586" s="28" t="n">
        <f aca="false">R3586*$M3586</f>
        <v>0</v>
      </c>
      <c r="T3586" s="28"/>
      <c r="U3586" s="28" t="n">
        <f aca="false">T3586*$M3586</f>
        <v>0</v>
      </c>
      <c r="V3586" s="28"/>
      <c r="W3586" s="28" t="n">
        <f aca="false">V3586*$M3586</f>
        <v>0</v>
      </c>
      <c r="X3586" s="28"/>
      <c r="Y3586" s="28" t="n">
        <f aca="false">X3586*$M3586</f>
        <v>0</v>
      </c>
      <c r="Z3586" s="28"/>
      <c r="AA3586" s="28" t="n">
        <f aca="false">Z3586*$M3586</f>
        <v>0</v>
      </c>
      <c r="AB3586" s="28"/>
      <c r="AC3586" s="28" t="n">
        <f aca="false">AB3586*$M3586</f>
        <v>0</v>
      </c>
      <c r="AD3586" s="28"/>
      <c r="AE3586" s="28" t="n">
        <f aca="false">AD3586*$M3586</f>
        <v>0</v>
      </c>
      <c r="AF3586" s="28"/>
      <c r="AG3586" s="28" t="n">
        <f aca="false">AF3586*$M3586</f>
        <v>0</v>
      </c>
      <c r="AH3586" s="28"/>
      <c r="AI3586" s="28" t="n">
        <f aca="false">AH3586*$M3586</f>
        <v>0</v>
      </c>
      <c r="AJ3586" s="28"/>
      <c r="AK3586" s="28" t="n">
        <f aca="false">AJ3586*$M3586</f>
        <v>0</v>
      </c>
      <c r="AL3586" s="28" t="n">
        <f aca="false">118785/100</f>
        <v>1187.85</v>
      </c>
      <c r="AM3586" s="28" t="n">
        <v>178177</v>
      </c>
      <c r="AN3586" s="28"/>
      <c r="AO3586" s="28" t="n">
        <f aca="false">AN3586*$M3586</f>
        <v>0</v>
      </c>
      <c r="AP3586" s="28"/>
      <c r="AQ3586" s="28" t="n">
        <f aca="false">AP3586*$M3586</f>
        <v>0</v>
      </c>
      <c r="AR3586" s="28"/>
      <c r="AS3586" s="28" t="n">
        <f aca="false">AR3586*$M3586</f>
        <v>0</v>
      </c>
      <c r="AT3586" s="28"/>
      <c r="AU3586" s="28" t="n">
        <f aca="false">AT3586*$M3586</f>
        <v>0</v>
      </c>
      <c r="AV3586" s="28"/>
      <c r="AW3586" s="28" t="n">
        <f aca="false">AV3586*$M3586</f>
        <v>0</v>
      </c>
      <c r="AX3586" s="28"/>
      <c r="AY3586" s="28" t="n">
        <f aca="false">AX3586*$M3586</f>
        <v>0</v>
      </c>
      <c r="AZ3586" s="30" t="n">
        <f aca="false">118785/100</f>
        <v>1187.85</v>
      </c>
      <c r="BA3586" s="11" t="n">
        <v>178177</v>
      </c>
      <c r="BB3586" s="31" t="n">
        <f aca="false">SUM(Q3586,S3586,U3586,W3586,Y3586,AA3586,AC3586,AE3586,AG3586,AI3586,AK3586,AM3586,AO3586,AQ3586,AS3586,AU3586,AW3586,AY3586)</f>
        <v>178177</v>
      </c>
      <c r="BC3586" s="28" t="n">
        <f aca="false">BA3586-BB3586</f>
        <v>0</v>
      </c>
      <c r="BD3586" s="32" t="n">
        <f aca="false">SUM(P3586,R3586,T3586,V3586,X3586,Z3586,AB3586,AD3586,AF3586,AH3586,AJ3586,AL3586,AN3586,AP3586,AR3586,AT3586,AV3586,AX3586)</f>
        <v>1187.85</v>
      </c>
      <c r="BE3586" s="33" t="n">
        <f aca="false">AZ3586-BD3586</f>
        <v>0</v>
      </c>
      <c r="BF3586" s="34" t="n">
        <f aca="false">BD3586*M3586</f>
        <v>178177.5</v>
      </c>
      <c r="BG3586" s="35" t="n">
        <f aca="false">BA3586-BF3586</f>
        <v>-0.5</v>
      </c>
      <c r="BH3586" s="19" t="str">
        <f aca="false">IF(BG3586=0,"",IF(BG3586&lt;&gt;BA3586,"erreur de calcul",IF(BD3586&lt;&gt;0,"pas de prix",IF(M3586&lt;&gt; 0,"pas de quantité","pas de prix, ni de quantité"))))</f>
        <v>erreur de calcul</v>
      </c>
      <c r="BI3586" s="19"/>
    </row>
    <row r="3587" customFormat="false" ht="15" hidden="false" customHeight="false" outlineLevel="0" collapsed="false">
      <c r="A3587" s="0" t="n">
        <v>34</v>
      </c>
      <c r="B3587" s="8" t="s">
        <v>24</v>
      </c>
      <c r="C3587" s="9" t="s">
        <v>25</v>
      </c>
      <c r="D3587" s="9" t="s">
        <v>26</v>
      </c>
      <c r="E3587" s="10" t="n">
        <v>1789</v>
      </c>
      <c r="F3587" s="9" t="s">
        <v>27</v>
      </c>
      <c r="G3587" s="9" t="s">
        <v>27</v>
      </c>
      <c r="H3587" s="11" t="n">
        <v>20</v>
      </c>
      <c r="I3587" s="11" t="s">
        <v>152</v>
      </c>
      <c r="J3587" s="14" t="n">
        <v>80</v>
      </c>
      <c r="K3587" s="14"/>
      <c r="L3587" s="16"/>
      <c r="M3587" s="27" t="n">
        <f aca="false">J3587+(K3587/20)+(L3587/240)</f>
        <v>80</v>
      </c>
      <c r="N3587" s="17" t="s">
        <v>64</v>
      </c>
      <c r="O3587" s="11"/>
      <c r="P3587" s="28"/>
      <c r="Q3587" s="28" t="n">
        <f aca="false">P3587*$M3587</f>
        <v>0</v>
      </c>
      <c r="R3587" s="28"/>
      <c r="S3587" s="28" t="n">
        <f aca="false">R3587*$M3587</f>
        <v>0</v>
      </c>
      <c r="T3587" s="28"/>
      <c r="U3587" s="28" t="n">
        <f aca="false">T3587*$M3587</f>
        <v>0</v>
      </c>
      <c r="V3587" s="28"/>
      <c r="W3587" s="28" t="n">
        <f aca="false">V3587*$M3587</f>
        <v>0</v>
      </c>
      <c r="X3587" s="28"/>
      <c r="Y3587" s="28" t="n">
        <f aca="false">X3587*$M3587</f>
        <v>0</v>
      </c>
      <c r="Z3587" s="28"/>
      <c r="AA3587" s="28" t="n">
        <f aca="false">Z3587*$M3587</f>
        <v>0</v>
      </c>
      <c r="AB3587" s="28" t="n">
        <f aca="false">3142/100</f>
        <v>31.42</v>
      </c>
      <c r="AC3587" s="28" t="n">
        <v>2514</v>
      </c>
      <c r="AD3587" s="28"/>
      <c r="AE3587" s="28" t="n">
        <f aca="false">AD3587*$M3587</f>
        <v>0</v>
      </c>
      <c r="AF3587" s="28" t="n">
        <f aca="false">4868/100</f>
        <v>48.68</v>
      </c>
      <c r="AG3587" s="36" t="n">
        <v>3874</v>
      </c>
      <c r="AH3587" s="28" t="n">
        <f aca="false">1541601/100</f>
        <v>15416.01</v>
      </c>
      <c r="AI3587" s="28" t="n">
        <v>1233281</v>
      </c>
      <c r="AJ3587" s="28"/>
      <c r="AK3587" s="28" t="n">
        <f aca="false">AJ3587*$M3587</f>
        <v>0</v>
      </c>
      <c r="AL3587" s="28"/>
      <c r="AM3587" s="28" t="n">
        <f aca="false">AL3587*$M3587</f>
        <v>0</v>
      </c>
      <c r="AN3587" s="28"/>
      <c r="AO3587" s="28" t="n">
        <f aca="false">AN3587*$M3587</f>
        <v>0</v>
      </c>
      <c r="AP3587" s="28"/>
      <c r="AQ3587" s="28" t="n">
        <f aca="false">AP3587*$M3587</f>
        <v>0</v>
      </c>
      <c r="AR3587" s="28"/>
      <c r="AS3587" s="28" t="n">
        <f aca="false">AR3587*$M3587</f>
        <v>0</v>
      </c>
      <c r="AT3587" s="28"/>
      <c r="AU3587" s="28" t="n">
        <f aca="false">AT3587*$M3587</f>
        <v>0</v>
      </c>
      <c r="AV3587" s="28"/>
      <c r="AW3587" s="28" t="n">
        <f aca="false">AV3587*$M3587</f>
        <v>0</v>
      </c>
      <c r="AX3587" s="28"/>
      <c r="AY3587" s="28" t="n">
        <f aca="false">AX3587*$M3587</f>
        <v>0</v>
      </c>
      <c r="AZ3587" s="30" t="n">
        <f aca="false">1549611/100</f>
        <v>15496.11</v>
      </c>
      <c r="BA3587" s="11" t="n">
        <v>1239669</v>
      </c>
      <c r="BB3587" s="31" t="n">
        <f aca="false">SUM(Q3587,S3587,U3587,W3587,Y3587,AA3587,AC3587,AE3587,AG3587,AI3587,AK3587,AM3587,AO3587,AQ3587,AS3587,AU3587,AW3587,AY3587)</f>
        <v>1239669</v>
      </c>
      <c r="BC3587" s="28" t="n">
        <f aca="false">BA3587-BB3587</f>
        <v>0</v>
      </c>
      <c r="BD3587" s="32" t="n">
        <f aca="false">SUM(P3587,R3587,T3587,V3587,X3587,Z3587,AB3587,AD3587,AF3587,AH3587,AJ3587,AL3587,AN3587,AP3587,AR3587,AT3587,AV3587,AX3587)</f>
        <v>15496.11</v>
      </c>
      <c r="BE3587" s="33" t="n">
        <f aca="false">AZ3587-BD3587</f>
        <v>0</v>
      </c>
      <c r="BF3587" s="34" t="n">
        <f aca="false">BD3587*M3587</f>
        <v>1239688.8</v>
      </c>
      <c r="BG3587" s="35" t="n">
        <f aca="false">BA3587-BF3587</f>
        <v>-19.8000000000466</v>
      </c>
      <c r="BH3587" s="19" t="str">
        <f aca="false">IF(BG3587=0,"",IF(BG3587&lt;&gt;BA3587,"erreur de calcul",IF(BD3587&lt;&gt;0,"pas de prix",IF(M3587&lt;&gt; 0,"pas de quantité","pas de prix, ni de quantité"))))</f>
        <v>erreur de calcul</v>
      </c>
      <c r="BI3587" s="19"/>
    </row>
    <row r="3588" customFormat="false" ht="15" hidden="false" customHeight="false" outlineLevel="0" collapsed="false">
      <c r="A3588" s="0" t="n">
        <v>35</v>
      </c>
      <c r="B3588" s="8" t="s">
        <v>24</v>
      </c>
      <c r="C3588" s="9" t="s">
        <v>25</v>
      </c>
      <c r="D3588" s="9" t="s">
        <v>26</v>
      </c>
      <c r="E3588" s="10" t="n">
        <v>1789</v>
      </c>
      <c r="F3588" s="9" t="s">
        <v>27</v>
      </c>
      <c r="G3588" s="9" t="s">
        <v>27</v>
      </c>
      <c r="H3588" s="11" t="n">
        <v>20</v>
      </c>
      <c r="I3588" s="11" t="s">
        <v>153</v>
      </c>
      <c r="J3588" s="14" t="n">
        <v>148</v>
      </c>
      <c r="K3588" s="14"/>
      <c r="L3588" s="16"/>
      <c r="M3588" s="27" t="n">
        <f aca="false">J3588+(K3588/20)+(L3588/240)</f>
        <v>148</v>
      </c>
      <c r="N3588" s="17" t="s">
        <v>64</v>
      </c>
      <c r="O3588" s="11"/>
      <c r="P3588" s="28"/>
      <c r="Q3588" s="28" t="n">
        <f aca="false">P3588*$M3588</f>
        <v>0</v>
      </c>
      <c r="R3588" s="28"/>
      <c r="S3588" s="28" t="n">
        <f aca="false">R3588*$M3588</f>
        <v>0</v>
      </c>
      <c r="T3588" s="28"/>
      <c r="U3588" s="28" t="n">
        <f aca="false">T3588*$M3588</f>
        <v>0</v>
      </c>
      <c r="V3588" s="28"/>
      <c r="W3588" s="28" t="n">
        <f aca="false">V3588*$M3588</f>
        <v>0</v>
      </c>
      <c r="X3588" s="28"/>
      <c r="Y3588" s="28" t="n">
        <f aca="false">X3588*$M3588</f>
        <v>0</v>
      </c>
      <c r="Z3588" s="28"/>
      <c r="AA3588" s="28" t="n">
        <f aca="false">Z3588*$M3588</f>
        <v>0</v>
      </c>
      <c r="AB3588" s="28"/>
      <c r="AC3588" s="28" t="n">
        <f aca="false">AB3588*$M3588</f>
        <v>0</v>
      </c>
      <c r="AD3588" s="28"/>
      <c r="AE3588" s="28" t="n">
        <f aca="false">AD3588*$M3588</f>
        <v>0</v>
      </c>
      <c r="AF3588" s="28"/>
      <c r="AG3588" s="28" t="n">
        <f aca="false">AF3588*$M3588</f>
        <v>0</v>
      </c>
      <c r="AH3588" s="28"/>
      <c r="AI3588" s="28" t="n">
        <f aca="false">AH3588*$M3588</f>
        <v>0</v>
      </c>
      <c r="AJ3588" s="28" t="n">
        <f aca="false">1472/100</f>
        <v>14.72</v>
      </c>
      <c r="AK3588" s="28" t="n">
        <v>2178</v>
      </c>
      <c r="AL3588" s="28"/>
      <c r="AM3588" s="28" t="n">
        <f aca="false">AL3588*$M3588</f>
        <v>0</v>
      </c>
      <c r="AN3588" s="28"/>
      <c r="AO3588" s="28" t="n">
        <f aca="false">AN3588*$M3588</f>
        <v>0</v>
      </c>
      <c r="AP3588" s="28"/>
      <c r="AQ3588" s="28" t="n">
        <f aca="false">AP3588*$M3588</f>
        <v>0</v>
      </c>
      <c r="AR3588" s="28"/>
      <c r="AS3588" s="28" t="n">
        <f aca="false">AR3588*$M3588</f>
        <v>0</v>
      </c>
      <c r="AT3588" s="28"/>
      <c r="AU3588" s="28" t="n">
        <f aca="false">AT3588*$M3588</f>
        <v>0</v>
      </c>
      <c r="AV3588" s="28"/>
      <c r="AW3588" s="28" t="n">
        <f aca="false">AV3588*$M3588</f>
        <v>0</v>
      </c>
      <c r="AX3588" s="28"/>
      <c r="AY3588" s="28" t="n">
        <f aca="false">AX3588*$M3588</f>
        <v>0</v>
      </c>
      <c r="AZ3588" s="30" t="n">
        <f aca="false">1472/100</f>
        <v>14.72</v>
      </c>
      <c r="BA3588" s="11" t="n">
        <v>2178</v>
      </c>
      <c r="BB3588" s="31" t="n">
        <f aca="false">SUM(Q3588,S3588,U3588,W3588,Y3588,AA3588,AC3588,AE3588,AG3588,AI3588,AK3588,AM3588,AO3588,AQ3588,AS3588,AU3588,AW3588,AY3588)</f>
        <v>2178</v>
      </c>
      <c r="BC3588" s="28" t="n">
        <f aca="false">BA3588-BB3588</f>
        <v>0</v>
      </c>
      <c r="BD3588" s="32" t="n">
        <f aca="false">SUM(P3588,R3588,T3588,V3588,X3588,Z3588,AB3588,AD3588,AF3588,AH3588,AJ3588,AL3588,AN3588,AP3588,AR3588,AT3588,AV3588,AX3588)</f>
        <v>14.72</v>
      </c>
      <c r="BE3588" s="33" t="n">
        <f aca="false">AZ3588-BD3588</f>
        <v>0</v>
      </c>
      <c r="BF3588" s="34" t="n">
        <f aca="false">BD3588*M3588</f>
        <v>2178.56</v>
      </c>
      <c r="BG3588" s="35" t="n">
        <f aca="false">BA3588-BF3588</f>
        <v>-0.559999999999945</v>
      </c>
      <c r="BH3588" s="19" t="str">
        <f aca="false">IF(BG3588=0,"",IF(BG3588&lt;&gt;BA3588,"erreur de calcul",IF(BD3588&lt;&gt;0,"pas de prix",IF(M3588&lt;&gt; 0,"pas de quantité","pas de prix, ni de quantité"))))</f>
        <v>erreur de calcul</v>
      </c>
      <c r="BI3588" s="19"/>
    </row>
    <row r="3589" customFormat="false" ht="15" hidden="false" customHeight="false" outlineLevel="0" collapsed="false">
      <c r="A3589" s="0" t="n">
        <v>36</v>
      </c>
      <c r="B3589" s="8" t="s">
        <v>24</v>
      </c>
      <c r="C3589" s="9" t="s">
        <v>25</v>
      </c>
      <c r="D3589" s="9" t="s">
        <v>26</v>
      </c>
      <c r="E3589" s="10" t="n">
        <v>1789</v>
      </c>
      <c r="F3589" s="9" t="s">
        <v>27</v>
      </c>
      <c r="G3589" s="9" t="s">
        <v>27</v>
      </c>
      <c r="H3589" s="11" t="n">
        <v>20</v>
      </c>
      <c r="I3589" s="11" t="s">
        <v>154</v>
      </c>
      <c r="J3589" s="14" t="n">
        <v>75</v>
      </c>
      <c r="K3589" s="14"/>
      <c r="L3589" s="16"/>
      <c r="M3589" s="27" t="n">
        <f aca="false">J3589+(K3589/20)+(L3589/240)</f>
        <v>75</v>
      </c>
      <c r="N3589" s="17" t="s">
        <v>64</v>
      </c>
      <c r="O3589" s="11"/>
      <c r="P3589" s="28"/>
      <c r="Q3589" s="28" t="n">
        <f aca="false">P3589*$M3589</f>
        <v>0</v>
      </c>
      <c r="R3589" s="28"/>
      <c r="S3589" s="28" t="n">
        <f aca="false">R3589*$M3589</f>
        <v>0</v>
      </c>
      <c r="T3589" s="28" t="n">
        <f aca="false">627/100</f>
        <v>6.27</v>
      </c>
      <c r="U3589" s="28" t="n">
        <v>470</v>
      </c>
      <c r="V3589" s="28"/>
      <c r="W3589" s="28" t="n">
        <f aca="false">V3589*$M3589</f>
        <v>0</v>
      </c>
      <c r="X3589" s="28"/>
      <c r="Y3589" s="28" t="n">
        <f aca="false">X3589*$M3589</f>
        <v>0</v>
      </c>
      <c r="Z3589" s="28"/>
      <c r="AA3589" s="28" t="n">
        <f aca="false">Z3589*$M3589</f>
        <v>0</v>
      </c>
      <c r="AB3589" s="28"/>
      <c r="AC3589" s="28" t="n">
        <f aca="false">AB3589*$M3589</f>
        <v>0</v>
      </c>
      <c r="AD3589" s="28"/>
      <c r="AE3589" s="28" t="n">
        <f aca="false">AD3589*$M3589</f>
        <v>0</v>
      </c>
      <c r="AF3589" s="28"/>
      <c r="AG3589" s="28" t="n">
        <f aca="false">AF3589*$M3589</f>
        <v>0</v>
      </c>
      <c r="AH3589" s="28"/>
      <c r="AI3589" s="28" t="n">
        <f aca="false">AH3589*$M3589</f>
        <v>0</v>
      </c>
      <c r="AJ3589" s="28"/>
      <c r="AK3589" s="28" t="n">
        <f aca="false">AJ3589*$M3589</f>
        <v>0</v>
      </c>
      <c r="AL3589" s="28"/>
      <c r="AM3589" s="28" t="n">
        <f aca="false">AL3589*$M3589</f>
        <v>0</v>
      </c>
      <c r="AN3589" s="28"/>
      <c r="AO3589" s="28" t="n">
        <f aca="false">AN3589*$M3589</f>
        <v>0</v>
      </c>
      <c r="AP3589" s="28"/>
      <c r="AQ3589" s="28" t="n">
        <f aca="false">AP3589*$M3589</f>
        <v>0</v>
      </c>
      <c r="AR3589" s="28"/>
      <c r="AS3589" s="28" t="n">
        <f aca="false">AR3589*$M3589</f>
        <v>0</v>
      </c>
      <c r="AT3589" s="28"/>
      <c r="AU3589" s="28" t="n">
        <f aca="false">AT3589*$M3589</f>
        <v>0</v>
      </c>
      <c r="AV3589" s="28"/>
      <c r="AW3589" s="28" t="n">
        <f aca="false">AV3589*$M3589</f>
        <v>0</v>
      </c>
      <c r="AX3589" s="28"/>
      <c r="AY3589" s="28" t="n">
        <f aca="false">AX3589*$M3589</f>
        <v>0</v>
      </c>
      <c r="AZ3589" s="30" t="n">
        <f aca="false">627/100</f>
        <v>6.27</v>
      </c>
      <c r="BA3589" s="11" t="n">
        <v>470</v>
      </c>
      <c r="BB3589" s="31" t="n">
        <f aca="false">SUM(Q3589,S3589,U3589,W3589,Y3589,AA3589,AC3589,AE3589,AG3589,AI3589,AK3589,AM3589,AO3589,AQ3589,AS3589,AU3589,AW3589,AY3589)</f>
        <v>470</v>
      </c>
      <c r="BC3589" s="28" t="n">
        <f aca="false">BA3589-BB3589</f>
        <v>0</v>
      </c>
      <c r="BD3589" s="32" t="n">
        <f aca="false">SUM(P3589,R3589,T3589,V3589,X3589,Z3589,AB3589,AD3589,AF3589,AH3589,AJ3589,AL3589,AN3589,AP3589,AR3589,AT3589,AV3589,AX3589)</f>
        <v>6.27</v>
      </c>
      <c r="BE3589" s="33" t="n">
        <f aca="false">AZ3589-BD3589</f>
        <v>0</v>
      </c>
      <c r="BF3589" s="34" t="n">
        <f aca="false">BD3589*M3589</f>
        <v>470.25</v>
      </c>
      <c r="BG3589" s="35" t="n">
        <f aca="false">BA3589-BF3589</f>
        <v>-0.249999999999943</v>
      </c>
      <c r="BH3589" s="19" t="str">
        <f aca="false">IF(BG3589=0,"",IF(BG3589&lt;&gt;BA3589,"erreur de calcul",IF(BD3589&lt;&gt;0,"pas de prix",IF(M3589&lt;&gt; 0,"pas de quantité","pas de prix, ni de quantité"))))</f>
        <v>erreur de calcul</v>
      </c>
      <c r="BI3589" s="19"/>
    </row>
    <row r="3590" customFormat="false" ht="15" hidden="false" customHeight="false" outlineLevel="0" collapsed="false">
      <c r="A3590" s="0" t="n">
        <v>1</v>
      </c>
      <c r="B3590" s="8" t="s">
        <v>24</v>
      </c>
      <c r="C3590" s="9" t="s">
        <v>25</v>
      </c>
      <c r="D3590" s="9" t="s">
        <v>26</v>
      </c>
      <c r="E3590" s="10" t="n">
        <v>1789</v>
      </c>
      <c r="F3590" s="9" t="s">
        <v>27</v>
      </c>
      <c r="G3590" s="9" t="s">
        <v>27</v>
      </c>
      <c r="H3590" s="11" t="n">
        <v>21</v>
      </c>
      <c r="I3590" s="11" t="s">
        <v>155</v>
      </c>
      <c r="J3590" s="14" t="n">
        <v>60</v>
      </c>
      <c r="K3590" s="14"/>
      <c r="L3590" s="16"/>
      <c r="M3590" s="27" t="n">
        <f aca="false">J3590+(K3590/20)+(L3590/240)</f>
        <v>60</v>
      </c>
      <c r="N3590" s="17" t="s">
        <v>66</v>
      </c>
      <c r="O3590" s="11"/>
      <c r="P3590" s="28"/>
      <c r="Q3590" s="28" t="n">
        <f aca="false">P3590*$M3590</f>
        <v>0</v>
      </c>
      <c r="R3590" s="28"/>
      <c r="S3590" s="28" t="n">
        <f aca="false">R3590*$M3590</f>
        <v>0</v>
      </c>
      <c r="T3590" s="28"/>
      <c r="U3590" s="28" t="n">
        <f aca="false">T3590*$M3590</f>
        <v>0</v>
      </c>
      <c r="V3590" s="28" t="n">
        <v>10</v>
      </c>
      <c r="W3590" s="28" t="n">
        <v>600</v>
      </c>
      <c r="X3590" s="28"/>
      <c r="Y3590" s="28" t="n">
        <f aca="false">X3590*$M3590</f>
        <v>0</v>
      </c>
      <c r="Z3590" s="28"/>
      <c r="AA3590" s="28" t="n">
        <f aca="false">Z3590*$M3590</f>
        <v>0</v>
      </c>
      <c r="AB3590" s="28"/>
      <c r="AC3590" s="28" t="n">
        <f aca="false">AB3590*$M3590</f>
        <v>0</v>
      </c>
      <c r="AD3590" s="28"/>
      <c r="AE3590" s="28" t="n">
        <f aca="false">AD3590*$M3590</f>
        <v>0</v>
      </c>
      <c r="AF3590" s="28"/>
      <c r="AG3590" s="28" t="n">
        <f aca="false">AF3590*$M3590</f>
        <v>0</v>
      </c>
      <c r="AH3590" s="28"/>
      <c r="AI3590" s="28" t="n">
        <f aca="false">AH3590*$M3590</f>
        <v>0</v>
      </c>
      <c r="AJ3590" s="28"/>
      <c r="AK3590" s="28" t="n">
        <f aca="false">AJ3590*$M3590</f>
        <v>0</v>
      </c>
      <c r="AL3590" s="28"/>
      <c r="AM3590" s="28" t="n">
        <f aca="false">AL3590*$M3590</f>
        <v>0</v>
      </c>
      <c r="AN3590" s="28"/>
      <c r="AO3590" s="28" t="n">
        <f aca="false">AN3590*$M3590</f>
        <v>0</v>
      </c>
      <c r="AP3590" s="28"/>
      <c r="AQ3590" s="28" t="n">
        <f aca="false">AP3590*$M3590</f>
        <v>0</v>
      </c>
      <c r="AR3590" s="28"/>
      <c r="AS3590" s="28" t="n">
        <f aca="false">AR3590*$M3590</f>
        <v>0</v>
      </c>
      <c r="AT3590" s="28"/>
      <c r="AU3590" s="28" t="n">
        <f aca="false">AT3590*$M3590</f>
        <v>0</v>
      </c>
      <c r="AV3590" s="28"/>
      <c r="AW3590" s="28" t="n">
        <f aca="false">AV3590*$M3590</f>
        <v>0</v>
      </c>
      <c r="AX3590" s="28"/>
      <c r="AY3590" s="28" t="n">
        <f aca="false">AX3590*$M3590</f>
        <v>0</v>
      </c>
      <c r="AZ3590" s="30" t="n">
        <v>10</v>
      </c>
      <c r="BA3590" s="11" t="n">
        <v>600</v>
      </c>
      <c r="BB3590" s="31" t="n">
        <f aca="false">SUM(Q3590,S3590,U3590,W3590,Y3590,AA3590,AC3590,AE3590,AG3590,AI3590,AK3590,AM3590,AO3590,AQ3590,AS3590,AU3590,AW3590,AY3590)</f>
        <v>600</v>
      </c>
      <c r="BC3590" s="28" t="n">
        <f aca="false">BA3590-BB3590</f>
        <v>0</v>
      </c>
      <c r="BD3590" s="32" t="n">
        <f aca="false">SUM(P3590,R3590,T3590,V3590,X3590,Z3590,AB3590,AD3590,AF3590,AH3590,AJ3590,AL3590,AN3590,AP3590,AR3590,AT3590,AV3590,AX3590)</f>
        <v>10</v>
      </c>
      <c r="BE3590" s="33" t="n">
        <f aca="false">AZ3590-BD3590</f>
        <v>0</v>
      </c>
      <c r="BF3590" s="34" t="n">
        <f aca="false">BD3590*M3590</f>
        <v>600</v>
      </c>
      <c r="BG3590" s="35" t="n">
        <f aca="false">BA3590-BF3590</f>
        <v>0</v>
      </c>
      <c r="BH3590" s="19" t="str">
        <f aca="false">IF(BG3590=0,"",IF(BG3590&lt;&gt;BA3590,"erreur de calcul",IF(BD3590&lt;&gt;0,"pas de prix",IF(M3590&lt;&gt; 0,"pas de quantité","pas de prix, ni de quantité"))))</f>
        <v/>
      </c>
      <c r="BI3590" s="19"/>
    </row>
    <row r="3591" customFormat="false" ht="15" hidden="false" customHeight="false" outlineLevel="0" collapsed="false">
      <c r="A3591" s="0" t="n">
        <v>2</v>
      </c>
      <c r="B3591" s="8" t="s">
        <v>24</v>
      </c>
      <c r="C3591" s="9" t="s">
        <v>25</v>
      </c>
      <c r="D3591" s="9" t="s">
        <v>26</v>
      </c>
      <c r="E3591" s="10" t="n">
        <v>1789</v>
      </c>
      <c r="F3591" s="9" t="s">
        <v>27</v>
      </c>
      <c r="G3591" s="9" t="s">
        <v>27</v>
      </c>
      <c r="H3591" s="11" t="n">
        <v>21</v>
      </c>
      <c r="I3591" s="11" t="s">
        <v>156</v>
      </c>
      <c r="J3591" s="14"/>
      <c r="K3591" s="14"/>
      <c r="L3591" s="16"/>
      <c r="M3591" s="27" t="n">
        <f aca="false">J3591+(K3591/20)+(L3591/240)</f>
        <v>0</v>
      </c>
      <c r="N3591" s="17"/>
      <c r="O3591" s="11"/>
      <c r="P3591" s="28"/>
      <c r="Q3591" s="28" t="n">
        <v>304</v>
      </c>
      <c r="R3591" s="28"/>
      <c r="S3591" s="28" t="n">
        <f aca="false">R3591*$M3591</f>
        <v>0</v>
      </c>
      <c r="T3591" s="28"/>
      <c r="U3591" s="28" t="n">
        <f aca="false">T3591*$M3591</f>
        <v>0</v>
      </c>
      <c r="V3591" s="28"/>
      <c r="W3591" s="28" t="n">
        <f aca="false">V3591*$M3591</f>
        <v>0</v>
      </c>
      <c r="X3591" s="28"/>
      <c r="Y3591" s="28" t="n">
        <v>270</v>
      </c>
      <c r="Z3591" s="28"/>
      <c r="AA3591" s="28" t="n">
        <f aca="false">Z3591*$M3591</f>
        <v>0</v>
      </c>
      <c r="AB3591" s="28"/>
      <c r="AC3591" s="28" t="n">
        <f aca="false">AB3591*$M3591</f>
        <v>0</v>
      </c>
      <c r="AD3591" s="28"/>
      <c r="AE3591" s="28" t="n">
        <v>175</v>
      </c>
      <c r="AF3591" s="28"/>
      <c r="AG3591" s="28" t="n">
        <f aca="false">AF3591*$M3591</f>
        <v>0</v>
      </c>
      <c r="AH3591" s="28"/>
      <c r="AI3591" s="28" t="n">
        <f aca="false">AH3591*$M3591</f>
        <v>0</v>
      </c>
      <c r="AJ3591" s="28"/>
      <c r="AK3591" s="28" t="n">
        <v>240</v>
      </c>
      <c r="AL3591" s="28"/>
      <c r="AM3591" s="28" t="n">
        <v>808</v>
      </c>
      <c r="AN3591" s="28"/>
      <c r="AO3591" s="28" t="n">
        <f aca="false">AN3591*$M3591</f>
        <v>0</v>
      </c>
      <c r="AP3591" s="28"/>
      <c r="AQ3591" s="28" t="n">
        <f aca="false">AP3591*$M3591</f>
        <v>0</v>
      </c>
      <c r="AR3591" s="28"/>
      <c r="AS3591" s="28" t="n">
        <f aca="false">AR3591*$M3591</f>
        <v>0</v>
      </c>
      <c r="AT3591" s="28"/>
      <c r="AU3591" s="28" t="n">
        <f aca="false">AT3591*$M3591</f>
        <v>0</v>
      </c>
      <c r="AV3591" s="28"/>
      <c r="AW3591" s="28" t="n">
        <f aca="false">AV3591*$M3591</f>
        <v>0</v>
      </c>
      <c r="AX3591" s="28"/>
      <c r="AY3591" s="28" t="n">
        <f aca="false">AX3591*$M3591</f>
        <v>0</v>
      </c>
      <c r="AZ3591" s="30"/>
      <c r="BA3591" s="11" t="n">
        <v>1797</v>
      </c>
      <c r="BB3591" s="31" t="n">
        <f aca="false">SUM(Q3591,S3591,U3591,W3591,Y3591,AA3591,AC3591,AE3591,AG3591,AI3591,AK3591,AM3591,AO3591,AQ3591,AS3591,AU3591,AW3591,AY3591)</f>
        <v>1797</v>
      </c>
      <c r="BC3591" s="28" t="n">
        <f aca="false">BA3591-BB3591</f>
        <v>0</v>
      </c>
      <c r="BD3591" s="32" t="n">
        <f aca="false">SUM(P3591,R3591,T3591,V3591,X3591,Z3591,AB3591,AD3591,AF3591,AH3591,AJ3591,AL3591,AN3591,AP3591,AR3591,AT3591,AV3591,AX3591)</f>
        <v>0</v>
      </c>
      <c r="BE3591" s="33" t="n">
        <f aca="false">AZ3591-BD3591</f>
        <v>0</v>
      </c>
      <c r="BF3591" s="34" t="n">
        <f aca="false">BD3591*M3591</f>
        <v>0</v>
      </c>
      <c r="BG3591" s="35" t="n">
        <f aca="false">BA3591-BF3591</f>
        <v>1797</v>
      </c>
      <c r="BH3591" s="19" t="str">
        <f aca="false">IF(BG3591=0,"",IF(BG3591&lt;&gt;BA3591,"erreur de calcul",IF(BD3591&lt;&gt;0,"pas de prix",IF(M3591&lt;&gt; 0,"pas de quantité","pas de prix, ni de quantité"))))</f>
        <v>pas de prix, ni de quantité</v>
      </c>
      <c r="BI3591" s="19"/>
    </row>
    <row r="3592" customFormat="false" ht="15" hidden="false" customHeight="false" outlineLevel="0" collapsed="false">
      <c r="A3592" s="0" t="n">
        <v>3</v>
      </c>
      <c r="B3592" s="8" t="s">
        <v>24</v>
      </c>
      <c r="C3592" s="9" t="s">
        <v>25</v>
      </c>
      <c r="D3592" s="9" t="s">
        <v>26</v>
      </c>
      <c r="E3592" s="10" t="n">
        <v>1789</v>
      </c>
      <c r="F3592" s="9" t="s">
        <v>27</v>
      </c>
      <c r="G3592" s="9" t="s">
        <v>27</v>
      </c>
      <c r="H3592" s="11" t="n">
        <v>21</v>
      </c>
      <c r="I3592" s="11" t="s">
        <v>156</v>
      </c>
      <c r="J3592" s="14" t="n">
        <v>175</v>
      </c>
      <c r="K3592" s="14"/>
      <c r="L3592" s="16"/>
      <c r="M3592" s="27" t="n">
        <f aca="false">J3592+(K3592/20)+(L3592/240)</f>
        <v>175</v>
      </c>
      <c r="N3592" s="17" t="s">
        <v>64</v>
      </c>
      <c r="O3592" s="11" t="s">
        <v>98</v>
      </c>
      <c r="P3592" s="28" t="n">
        <f aca="false">3429/100</f>
        <v>34.29</v>
      </c>
      <c r="Q3592" s="28" t="n">
        <v>6001</v>
      </c>
      <c r="R3592" s="28"/>
      <c r="S3592" s="28" t="n">
        <f aca="false">R3592*$M3592</f>
        <v>0</v>
      </c>
      <c r="T3592" s="28" t="n">
        <f aca="false">5135/100</f>
        <v>51.35</v>
      </c>
      <c r="U3592" s="28" t="n">
        <v>8986</v>
      </c>
      <c r="V3592" s="28" t="n">
        <f aca="false">33716/100</f>
        <v>337.16</v>
      </c>
      <c r="W3592" s="28" t="n">
        <v>59003</v>
      </c>
      <c r="X3592" s="28" t="n">
        <f aca="false">14982/100</f>
        <v>149.82</v>
      </c>
      <c r="Y3592" s="28" t="n">
        <v>26218</v>
      </c>
      <c r="Z3592" s="28"/>
      <c r="AA3592" s="28" t="n">
        <f aca="false">Z3592*$M3592</f>
        <v>0</v>
      </c>
      <c r="AB3592" s="28"/>
      <c r="AC3592" s="28" t="n">
        <f aca="false">AB3592*$M3592</f>
        <v>0</v>
      </c>
      <c r="AD3592" s="28"/>
      <c r="AE3592" s="28" t="n">
        <f aca="false">AD3592*$M3592</f>
        <v>0</v>
      </c>
      <c r="AF3592" s="28" t="n">
        <f aca="false">439/100</f>
        <v>4.39</v>
      </c>
      <c r="AG3592" s="28" t="n">
        <v>768</v>
      </c>
      <c r="AH3592" s="28" t="n">
        <f aca="false">163722/100</f>
        <v>1637.22</v>
      </c>
      <c r="AI3592" s="28" t="n">
        <v>286513</v>
      </c>
      <c r="AJ3592" s="28" t="n">
        <f aca="false">17649/100</f>
        <v>176.49</v>
      </c>
      <c r="AK3592" s="28" t="n">
        <v>30886</v>
      </c>
      <c r="AL3592" s="28" t="n">
        <f aca="false">6852/100</f>
        <v>68.52</v>
      </c>
      <c r="AM3592" s="28" t="n">
        <v>11991</v>
      </c>
      <c r="AN3592" s="28"/>
      <c r="AO3592" s="28" t="n">
        <f aca="false">AN3592*$M3592</f>
        <v>0</v>
      </c>
      <c r="AP3592" s="28"/>
      <c r="AQ3592" s="28" t="n">
        <f aca="false">AP3592*$M3592</f>
        <v>0</v>
      </c>
      <c r="AR3592" s="28"/>
      <c r="AS3592" s="28" t="n">
        <f aca="false">AR3592*$M3592</f>
        <v>0</v>
      </c>
      <c r="AT3592" s="28"/>
      <c r="AU3592" s="28" t="n">
        <f aca="false">AT3592*$M3592</f>
        <v>0</v>
      </c>
      <c r="AV3592" s="28"/>
      <c r="AW3592" s="28" t="n">
        <f aca="false">AV3592*$M3592</f>
        <v>0</v>
      </c>
      <c r="AX3592" s="28"/>
      <c r="AY3592" s="28" t="n">
        <f aca="false">AX3592*$M3592</f>
        <v>0</v>
      </c>
      <c r="AZ3592" s="30" t="n">
        <f aca="false">245924/100</f>
        <v>2459.24</v>
      </c>
      <c r="BA3592" s="11" t="n">
        <v>430366</v>
      </c>
      <c r="BB3592" s="31" t="n">
        <f aca="false">SUM(Q3592,S3592,U3592,W3592,Y3592,AA3592,AC3592,AE3592,AG3592,AI3592,AK3592,AM3592,AO3592,AQ3592,AS3592,AU3592,AW3592,AY3592)</f>
        <v>430366</v>
      </c>
      <c r="BC3592" s="28" t="n">
        <f aca="false">BA3592-BB3592</f>
        <v>0</v>
      </c>
      <c r="BD3592" s="32" t="n">
        <f aca="false">SUM(P3592,R3592,T3592,V3592,X3592,Z3592,AB3592,AD3592,AF3592,AH3592,AJ3592,AL3592,AN3592,AP3592,AR3592,AT3592,AV3592,AX3592)</f>
        <v>2459.24</v>
      </c>
      <c r="BE3592" s="33" t="n">
        <f aca="false">AZ3592-BD3592</f>
        <v>0</v>
      </c>
      <c r="BF3592" s="34" t="n">
        <f aca="false">BD3592*M3592</f>
        <v>430367</v>
      </c>
      <c r="BG3592" s="35" t="n">
        <f aca="false">BA3592-BF3592</f>
        <v>-0.999999999941792</v>
      </c>
      <c r="BH3592" s="19" t="str">
        <f aca="false">IF(BG3592=0,"",IF(BG3592&lt;&gt;BA3592,"erreur de calcul",IF(BD3592&lt;&gt;0,"pas de prix",IF(M3592&lt;&gt; 0,"pas de quantité","pas de prix, ni de quantité"))))</f>
        <v>erreur de calcul</v>
      </c>
      <c r="BI3592" s="19"/>
    </row>
    <row r="3593" customFormat="false" ht="15" hidden="false" customHeight="false" outlineLevel="0" collapsed="false">
      <c r="A3593" s="0" t="n">
        <v>4</v>
      </c>
      <c r="B3593" s="8" t="s">
        <v>24</v>
      </c>
      <c r="C3593" s="9" t="s">
        <v>25</v>
      </c>
      <c r="D3593" s="9" t="s">
        <v>26</v>
      </c>
      <c r="E3593" s="10" t="n">
        <v>1789</v>
      </c>
      <c r="F3593" s="9" t="s">
        <v>27</v>
      </c>
      <c r="G3593" s="9" t="s">
        <v>27</v>
      </c>
      <c r="H3593" s="11" t="n">
        <v>21</v>
      </c>
      <c r="I3593" s="11" t="s">
        <v>157</v>
      </c>
      <c r="J3593" s="14" t="n">
        <v>240</v>
      </c>
      <c r="K3593" s="14"/>
      <c r="L3593" s="16"/>
      <c r="M3593" s="27" t="n">
        <f aca="false">J3593+(K3593/20)+(L3593/240)</f>
        <v>240</v>
      </c>
      <c r="N3593" s="17" t="s">
        <v>64</v>
      </c>
      <c r="O3593" s="11"/>
      <c r="P3593" s="28"/>
      <c r="Q3593" s="28" t="n">
        <f aca="false">P3593*$M3593</f>
        <v>0</v>
      </c>
      <c r="R3593" s="28"/>
      <c r="S3593" s="28" t="n">
        <f aca="false">R3593*$M3593</f>
        <v>0</v>
      </c>
      <c r="T3593" s="28"/>
      <c r="U3593" s="28" t="n">
        <f aca="false">T3593*$M3593</f>
        <v>0</v>
      </c>
      <c r="V3593" s="28"/>
      <c r="W3593" s="28" t="n">
        <f aca="false">V3593*$M3593</f>
        <v>0</v>
      </c>
      <c r="X3593" s="28"/>
      <c r="Y3593" s="28" t="n">
        <f aca="false">X3593*$M3593</f>
        <v>0</v>
      </c>
      <c r="Z3593" s="28"/>
      <c r="AA3593" s="28" t="n">
        <f aca="false">Z3593*$M3593</f>
        <v>0</v>
      </c>
      <c r="AB3593" s="28"/>
      <c r="AC3593" s="28" t="n">
        <f aca="false">AB3593*$M3593</f>
        <v>0</v>
      </c>
      <c r="AD3593" s="28"/>
      <c r="AE3593" s="28" t="n">
        <f aca="false">AD3593*$M3593</f>
        <v>0</v>
      </c>
      <c r="AF3593" s="28"/>
      <c r="AG3593" s="28" t="n">
        <f aca="false">AF3593*$M3593</f>
        <v>0</v>
      </c>
      <c r="AH3593" s="28"/>
      <c r="AI3593" s="28" t="n">
        <f aca="false">AH3593*$M3593</f>
        <v>0</v>
      </c>
      <c r="AJ3593" s="28" t="n">
        <f aca="false">290/100</f>
        <v>2.9</v>
      </c>
      <c r="AK3593" s="36" t="n">
        <v>2208</v>
      </c>
      <c r="AL3593" s="28"/>
      <c r="AM3593" s="28" t="n">
        <f aca="false">AL3593*$M3593</f>
        <v>0</v>
      </c>
      <c r="AN3593" s="28"/>
      <c r="AO3593" s="28" t="n">
        <f aca="false">AN3593*$M3593</f>
        <v>0</v>
      </c>
      <c r="AP3593" s="28"/>
      <c r="AQ3593" s="28" t="n">
        <f aca="false">AP3593*$M3593</f>
        <v>0</v>
      </c>
      <c r="AR3593" s="28"/>
      <c r="AS3593" s="28" t="n">
        <f aca="false">AR3593*$M3593</f>
        <v>0</v>
      </c>
      <c r="AT3593" s="28"/>
      <c r="AU3593" s="28" t="n">
        <f aca="false">AT3593*$M3593</f>
        <v>0</v>
      </c>
      <c r="AV3593" s="28"/>
      <c r="AW3593" s="28" t="n">
        <f aca="false">AV3593*$M3593</f>
        <v>0</v>
      </c>
      <c r="AX3593" s="28"/>
      <c r="AY3593" s="28" t="n">
        <f aca="false">AX3593*$M3593</f>
        <v>0</v>
      </c>
      <c r="AZ3593" s="30" t="n">
        <f aca="false">290/100</f>
        <v>2.9</v>
      </c>
      <c r="BA3593" s="11" t="n">
        <v>2208</v>
      </c>
      <c r="BB3593" s="31" t="n">
        <f aca="false">SUM(Q3593,S3593,U3593,W3593,Y3593,AA3593,AC3593,AE3593,AG3593,AI3593,AK3593,AM3593,AO3593,AQ3593,AS3593,AU3593,AW3593,AY3593)</f>
        <v>2208</v>
      </c>
      <c r="BC3593" s="28" t="n">
        <f aca="false">BA3593-BB3593</f>
        <v>0</v>
      </c>
      <c r="BD3593" s="32" t="n">
        <f aca="false">SUM(P3593,R3593,T3593,V3593,X3593,Z3593,AB3593,AD3593,AF3593,AH3593,AJ3593,AL3593,AN3593,AP3593,AR3593,AT3593,AV3593,AX3593)</f>
        <v>2.9</v>
      </c>
      <c r="BE3593" s="33" t="n">
        <f aca="false">AZ3593-BD3593</f>
        <v>0</v>
      </c>
      <c r="BF3593" s="34" t="n">
        <f aca="false">BD3593*M3593</f>
        <v>696</v>
      </c>
      <c r="BG3593" s="35" t="n">
        <f aca="false">BA3593-BF3593</f>
        <v>1512</v>
      </c>
      <c r="BH3593" s="19" t="str">
        <f aca="false">IF(BG3593=0,"",IF(BG3593&lt;&gt;BA3593,"erreur de calcul",IF(BD3593&lt;&gt;0,"pas de prix",IF(M3593&lt;&gt; 0,"pas de quantité","pas de prix, ni de quantité"))))</f>
        <v>erreur de calcul</v>
      </c>
      <c r="BI3593" s="19"/>
    </row>
    <row r="3594" customFormat="false" ht="15" hidden="false" customHeight="false" outlineLevel="0" collapsed="false">
      <c r="A3594" s="0" t="n">
        <v>5</v>
      </c>
      <c r="B3594" s="8" t="s">
        <v>24</v>
      </c>
      <c r="C3594" s="9" t="s">
        <v>25</v>
      </c>
      <c r="D3594" s="9" t="s">
        <v>26</v>
      </c>
      <c r="E3594" s="10" t="n">
        <v>1789</v>
      </c>
      <c r="F3594" s="9" t="s">
        <v>27</v>
      </c>
      <c r="G3594" s="9" t="s">
        <v>27</v>
      </c>
      <c r="H3594" s="11" t="n">
        <v>21</v>
      </c>
      <c r="I3594" s="11" t="s">
        <v>158</v>
      </c>
      <c r="J3594" s="14" t="n">
        <v>115</v>
      </c>
      <c r="K3594" s="14"/>
      <c r="L3594" s="16"/>
      <c r="M3594" s="27" t="n">
        <f aca="false">J3594+(K3594/20)+(L3594/240)</f>
        <v>115</v>
      </c>
      <c r="N3594" s="17" t="s">
        <v>64</v>
      </c>
      <c r="O3594" s="11"/>
      <c r="P3594" s="28"/>
      <c r="Q3594" s="28" t="n">
        <f aca="false">P3594*$M3594</f>
        <v>0</v>
      </c>
      <c r="R3594" s="28"/>
      <c r="S3594" s="28" t="n">
        <f aca="false">R3594*$M3594</f>
        <v>0</v>
      </c>
      <c r="T3594" s="28"/>
      <c r="U3594" s="28" t="n">
        <f aca="false">T3594*$M3594</f>
        <v>0</v>
      </c>
      <c r="V3594" s="28"/>
      <c r="W3594" s="28" t="n">
        <f aca="false">V3594*$M3594</f>
        <v>0</v>
      </c>
      <c r="X3594" s="28"/>
      <c r="Y3594" s="28" t="n">
        <f aca="false">X3594*$M3594</f>
        <v>0</v>
      </c>
      <c r="Z3594" s="28"/>
      <c r="AA3594" s="28" t="n">
        <f aca="false">Z3594*$M3594</f>
        <v>0</v>
      </c>
      <c r="AB3594" s="28"/>
      <c r="AC3594" s="28" t="n">
        <f aca="false">AB3594*$M3594</f>
        <v>0</v>
      </c>
      <c r="AD3594" s="28"/>
      <c r="AE3594" s="28" t="n">
        <f aca="false">AD3594*$M3594</f>
        <v>0</v>
      </c>
      <c r="AF3594" s="28"/>
      <c r="AG3594" s="28" t="n">
        <f aca="false">AF3594*$M3594</f>
        <v>0</v>
      </c>
      <c r="AH3594" s="28" t="n">
        <f aca="false">491552/100</f>
        <v>4915.52</v>
      </c>
      <c r="AI3594" s="28" t="n">
        <v>565285</v>
      </c>
      <c r="AJ3594" s="28"/>
      <c r="AK3594" s="28" t="n">
        <f aca="false">AJ3594*$M3594</f>
        <v>0</v>
      </c>
      <c r="AL3594" s="28"/>
      <c r="AM3594" s="28" t="n">
        <f aca="false">AL3594*$M3594</f>
        <v>0</v>
      </c>
      <c r="AN3594" s="28"/>
      <c r="AO3594" s="28" t="n">
        <f aca="false">AN3594*$M3594</f>
        <v>0</v>
      </c>
      <c r="AP3594" s="28"/>
      <c r="AQ3594" s="28" t="n">
        <f aca="false">AP3594*$M3594</f>
        <v>0</v>
      </c>
      <c r="AR3594" s="28"/>
      <c r="AS3594" s="28" t="n">
        <f aca="false">AR3594*$M3594</f>
        <v>0</v>
      </c>
      <c r="AT3594" s="28"/>
      <c r="AU3594" s="28" t="n">
        <f aca="false">AT3594*$M3594</f>
        <v>0</v>
      </c>
      <c r="AV3594" s="28"/>
      <c r="AW3594" s="28" t="n">
        <f aca="false">AV3594*$M3594</f>
        <v>0</v>
      </c>
      <c r="AX3594" s="28"/>
      <c r="AY3594" s="28" t="n">
        <f aca="false">AX3594*$M3594</f>
        <v>0</v>
      </c>
      <c r="AZ3594" s="30" t="n">
        <f aca="false">491552/100</f>
        <v>4915.52</v>
      </c>
      <c r="BA3594" s="11" t="n">
        <v>565285</v>
      </c>
      <c r="BB3594" s="31" t="n">
        <f aca="false">SUM(Q3594,S3594,U3594,W3594,Y3594,AA3594,AC3594,AE3594,AG3594,AI3594,AK3594,AM3594,AO3594,AQ3594,AS3594,AU3594,AW3594,AY3594)</f>
        <v>565285</v>
      </c>
      <c r="BC3594" s="28" t="n">
        <f aca="false">BA3594-BB3594</f>
        <v>0</v>
      </c>
      <c r="BD3594" s="32" t="n">
        <f aca="false">SUM(P3594,R3594,T3594,V3594,X3594,Z3594,AB3594,AD3594,AF3594,AH3594,AJ3594,AL3594,AN3594,AP3594,AR3594,AT3594,AV3594,AX3594)</f>
        <v>4915.52</v>
      </c>
      <c r="BE3594" s="33" t="n">
        <f aca="false">AZ3594-BD3594</f>
        <v>0</v>
      </c>
      <c r="BF3594" s="34" t="n">
        <f aca="false">BD3594*M3594</f>
        <v>565284.8</v>
      </c>
      <c r="BG3594" s="35" t="n">
        <f aca="false">BA3594-BF3594</f>
        <v>0.199999999953434</v>
      </c>
      <c r="BH3594" s="19" t="str">
        <f aca="false">IF(BG3594=0,"",IF(BG3594&lt;&gt;BA3594,"erreur de calcul",IF(BD3594&lt;&gt;0,"pas de prix",IF(M3594&lt;&gt; 0,"pas de quantité","pas de prix, ni de quantité"))))</f>
        <v>erreur de calcul</v>
      </c>
      <c r="BI3594" s="19"/>
    </row>
    <row r="3595" customFormat="false" ht="15" hidden="false" customHeight="false" outlineLevel="0" collapsed="false">
      <c r="A3595" s="0" t="n">
        <v>6</v>
      </c>
      <c r="B3595" s="8" t="s">
        <v>24</v>
      </c>
      <c r="C3595" s="9" t="s">
        <v>25</v>
      </c>
      <c r="D3595" s="9" t="s">
        <v>26</v>
      </c>
      <c r="E3595" s="10" t="n">
        <v>1789</v>
      </c>
      <c r="F3595" s="9" t="s">
        <v>27</v>
      </c>
      <c r="G3595" s="9" t="s">
        <v>27</v>
      </c>
      <c r="H3595" s="11" t="n">
        <v>21</v>
      </c>
      <c r="I3595" s="11" t="s">
        <v>159</v>
      </c>
      <c r="J3595" s="14" t="n">
        <v>240</v>
      </c>
      <c r="K3595" s="14"/>
      <c r="L3595" s="16"/>
      <c r="M3595" s="27" t="n">
        <f aca="false">J3595+(K3595/20)+(L3595/240)</f>
        <v>240</v>
      </c>
      <c r="N3595" s="17" t="s">
        <v>64</v>
      </c>
      <c r="O3595" s="11"/>
      <c r="P3595" s="28"/>
      <c r="Q3595" s="28" t="n">
        <f aca="false">P3595*$M3595</f>
        <v>0</v>
      </c>
      <c r="R3595" s="28"/>
      <c r="S3595" s="28" t="n">
        <f aca="false">R3595*$M3595</f>
        <v>0</v>
      </c>
      <c r="T3595" s="28"/>
      <c r="U3595" s="28" t="n">
        <f aca="false">T3595*$M3595</f>
        <v>0</v>
      </c>
      <c r="V3595" s="28"/>
      <c r="W3595" s="28" t="n">
        <f aca="false">V3595*$M3595</f>
        <v>0</v>
      </c>
      <c r="X3595" s="28"/>
      <c r="Y3595" s="28" t="n">
        <f aca="false">X3595*$M3595</f>
        <v>0</v>
      </c>
      <c r="Z3595" s="28"/>
      <c r="AA3595" s="28" t="n">
        <f aca="false">Z3595*$M3595</f>
        <v>0</v>
      </c>
      <c r="AB3595" s="28"/>
      <c r="AC3595" s="28" t="n">
        <f aca="false">AB3595*$M3595</f>
        <v>0</v>
      </c>
      <c r="AD3595" s="28"/>
      <c r="AE3595" s="28" t="n">
        <f aca="false">AD3595*$M3595</f>
        <v>0</v>
      </c>
      <c r="AF3595" s="28"/>
      <c r="AG3595" s="28" t="n">
        <f aca="false">AF3595*$M3595</f>
        <v>0</v>
      </c>
      <c r="AH3595" s="28" t="n">
        <f aca="false">46293/100</f>
        <v>462.93</v>
      </c>
      <c r="AI3595" s="28" t="n">
        <v>111103</v>
      </c>
      <c r="AJ3595" s="28"/>
      <c r="AK3595" s="28" t="n">
        <f aca="false">AJ3595*$M3595</f>
        <v>0</v>
      </c>
      <c r="AL3595" s="28"/>
      <c r="AM3595" s="28" t="n">
        <f aca="false">AL3595*$M3595</f>
        <v>0</v>
      </c>
      <c r="AN3595" s="28"/>
      <c r="AO3595" s="28" t="n">
        <f aca="false">AN3595*$M3595</f>
        <v>0</v>
      </c>
      <c r="AP3595" s="28"/>
      <c r="AQ3595" s="28" t="n">
        <f aca="false">AP3595*$M3595</f>
        <v>0</v>
      </c>
      <c r="AR3595" s="28"/>
      <c r="AS3595" s="28" t="n">
        <f aca="false">AR3595*$M3595</f>
        <v>0</v>
      </c>
      <c r="AT3595" s="28"/>
      <c r="AU3595" s="28" t="n">
        <f aca="false">AT3595*$M3595</f>
        <v>0</v>
      </c>
      <c r="AV3595" s="28"/>
      <c r="AW3595" s="28" t="n">
        <f aca="false">AV3595*$M3595</f>
        <v>0</v>
      </c>
      <c r="AX3595" s="28"/>
      <c r="AY3595" s="28" t="n">
        <f aca="false">AX3595*$M3595</f>
        <v>0</v>
      </c>
      <c r="AZ3595" s="30" t="n">
        <f aca="false">46293/100</f>
        <v>462.93</v>
      </c>
      <c r="BA3595" s="11" t="n">
        <v>111103</v>
      </c>
      <c r="BB3595" s="31" t="n">
        <f aca="false">SUM(Q3595,S3595,U3595,W3595,Y3595,AA3595,AC3595,AE3595,AG3595,AI3595,AK3595,AM3595,AO3595,AQ3595,AS3595,AU3595,AW3595,AY3595)</f>
        <v>111103</v>
      </c>
      <c r="BC3595" s="28" t="n">
        <f aca="false">BA3595-BB3595</f>
        <v>0</v>
      </c>
      <c r="BD3595" s="32" t="n">
        <f aca="false">SUM(P3595,R3595,T3595,V3595,X3595,Z3595,AB3595,AD3595,AF3595,AH3595,AJ3595,AL3595,AN3595,AP3595,AR3595,AT3595,AV3595,AX3595)</f>
        <v>462.93</v>
      </c>
      <c r="BE3595" s="33" t="n">
        <f aca="false">AZ3595-BD3595</f>
        <v>0</v>
      </c>
      <c r="BF3595" s="34" t="n">
        <f aca="false">BD3595*M3595</f>
        <v>111103.2</v>
      </c>
      <c r="BG3595" s="35" t="n">
        <f aca="false">BA3595-BF3595</f>
        <v>-0.19999999999709</v>
      </c>
      <c r="BH3595" s="19" t="str">
        <f aca="false">IF(BG3595=0,"",IF(BG3595&lt;&gt;BA3595,"erreur de calcul",IF(BD3595&lt;&gt;0,"pas de prix",IF(M3595&lt;&gt; 0,"pas de quantité","pas de prix, ni de quantité"))))</f>
        <v>erreur de calcul</v>
      </c>
      <c r="BI3595" s="19"/>
    </row>
    <row r="3596" customFormat="false" ht="15" hidden="false" customHeight="false" outlineLevel="0" collapsed="false">
      <c r="A3596" s="0" t="n">
        <v>7</v>
      </c>
      <c r="B3596" s="8" t="s">
        <v>24</v>
      </c>
      <c r="C3596" s="9" t="s">
        <v>25</v>
      </c>
      <c r="D3596" s="9" t="s">
        <v>26</v>
      </c>
      <c r="E3596" s="10" t="n">
        <v>1789</v>
      </c>
      <c r="F3596" s="9" t="s">
        <v>27</v>
      </c>
      <c r="G3596" s="9" t="s">
        <v>27</v>
      </c>
      <c r="H3596" s="11" t="n">
        <v>21</v>
      </c>
      <c r="I3596" s="11" t="s">
        <v>160</v>
      </c>
      <c r="J3596" s="14" t="n">
        <v>70</v>
      </c>
      <c r="K3596" s="14"/>
      <c r="L3596" s="16"/>
      <c r="M3596" s="27" t="n">
        <f aca="false">J3596+(K3596/20)+(L3596/240)</f>
        <v>70</v>
      </c>
      <c r="N3596" s="17" t="s">
        <v>64</v>
      </c>
      <c r="O3596" s="11"/>
      <c r="P3596" s="28"/>
      <c r="Q3596" s="28" t="n">
        <f aca="false">P3596*$M3596</f>
        <v>0</v>
      </c>
      <c r="R3596" s="28"/>
      <c r="S3596" s="28" t="n">
        <f aca="false">R3596*$M3596</f>
        <v>0</v>
      </c>
      <c r="T3596" s="28"/>
      <c r="U3596" s="28" t="n">
        <f aca="false">T3596*$M3596</f>
        <v>0</v>
      </c>
      <c r="V3596" s="28"/>
      <c r="W3596" s="28" t="n">
        <f aca="false">V3596*$M3596</f>
        <v>0</v>
      </c>
      <c r="X3596" s="28"/>
      <c r="Y3596" s="28" t="n">
        <f aca="false">X3596*$M3596</f>
        <v>0</v>
      </c>
      <c r="Z3596" s="28"/>
      <c r="AA3596" s="28" t="n">
        <f aca="false">Z3596*$M3596</f>
        <v>0</v>
      </c>
      <c r="AB3596" s="28"/>
      <c r="AC3596" s="28" t="n">
        <f aca="false">AB3596*$M3596</f>
        <v>0</v>
      </c>
      <c r="AD3596" s="28"/>
      <c r="AE3596" s="28" t="n">
        <f aca="false">AD3596*$M3596</f>
        <v>0</v>
      </c>
      <c r="AF3596" s="28" t="n">
        <f aca="false">125849/100</f>
        <v>1258.49</v>
      </c>
      <c r="AG3596" s="28" t="n">
        <v>88094</v>
      </c>
      <c r="AH3596" s="28"/>
      <c r="AI3596" s="28" t="n">
        <f aca="false">AH3596*$M3596</f>
        <v>0</v>
      </c>
      <c r="AJ3596" s="28"/>
      <c r="AK3596" s="28" t="n">
        <f aca="false">AJ3596*$M3596</f>
        <v>0</v>
      </c>
      <c r="AL3596" s="28"/>
      <c r="AM3596" s="28" t="n">
        <f aca="false">AL3596*$M3596</f>
        <v>0</v>
      </c>
      <c r="AN3596" s="28"/>
      <c r="AO3596" s="28" t="n">
        <f aca="false">AN3596*$M3596</f>
        <v>0</v>
      </c>
      <c r="AP3596" s="28"/>
      <c r="AQ3596" s="28" t="n">
        <f aca="false">AP3596*$M3596</f>
        <v>0</v>
      </c>
      <c r="AR3596" s="28"/>
      <c r="AS3596" s="28" t="n">
        <f aca="false">AR3596*$M3596</f>
        <v>0</v>
      </c>
      <c r="AT3596" s="28"/>
      <c r="AU3596" s="28" t="n">
        <f aca="false">AT3596*$M3596</f>
        <v>0</v>
      </c>
      <c r="AV3596" s="28"/>
      <c r="AW3596" s="28" t="n">
        <f aca="false">AV3596*$M3596</f>
        <v>0</v>
      </c>
      <c r="AX3596" s="28"/>
      <c r="AY3596" s="28" t="n">
        <f aca="false">AX3596*$M3596</f>
        <v>0</v>
      </c>
      <c r="AZ3596" s="30" t="n">
        <f aca="false">125849/100</f>
        <v>1258.49</v>
      </c>
      <c r="BA3596" s="11" t="n">
        <v>88094</v>
      </c>
      <c r="BB3596" s="31" t="n">
        <f aca="false">SUM(Q3596,S3596,U3596,W3596,Y3596,AA3596,AC3596,AE3596,AG3596,AI3596,AK3596,AM3596,AO3596,AQ3596,AS3596,AU3596,AW3596,AY3596)</f>
        <v>88094</v>
      </c>
      <c r="BC3596" s="28" t="n">
        <f aca="false">BA3596-BB3596</f>
        <v>0</v>
      </c>
      <c r="BD3596" s="32" t="n">
        <f aca="false">SUM(P3596,R3596,T3596,V3596,X3596,Z3596,AB3596,AD3596,AF3596,AH3596,AJ3596,AL3596,AN3596,AP3596,AR3596,AT3596,AV3596,AX3596)</f>
        <v>1258.49</v>
      </c>
      <c r="BE3596" s="33" t="n">
        <f aca="false">AZ3596-BD3596</f>
        <v>0</v>
      </c>
      <c r="BF3596" s="34" t="n">
        <f aca="false">BD3596*M3596</f>
        <v>88094.3</v>
      </c>
      <c r="BG3596" s="35" t="n">
        <f aca="false">BA3596-BF3596</f>
        <v>-0.30000000000291</v>
      </c>
      <c r="BH3596" s="19" t="str">
        <f aca="false">IF(BG3596=0,"",IF(BG3596&lt;&gt;BA3596,"erreur de calcul",IF(BD3596&lt;&gt;0,"pas de prix",IF(M3596&lt;&gt; 0,"pas de quantité","pas de prix, ni de quantité"))))</f>
        <v>erreur de calcul</v>
      </c>
      <c r="BI3596" s="19"/>
    </row>
    <row r="3597" customFormat="false" ht="15" hidden="false" customHeight="false" outlineLevel="0" collapsed="false">
      <c r="A3597" s="0" t="n">
        <v>8</v>
      </c>
      <c r="B3597" s="8" t="s">
        <v>24</v>
      </c>
      <c r="C3597" s="9" t="s">
        <v>25</v>
      </c>
      <c r="D3597" s="9" t="s">
        <v>26</v>
      </c>
      <c r="E3597" s="10" t="n">
        <v>1789</v>
      </c>
      <c r="F3597" s="9" t="s">
        <v>27</v>
      </c>
      <c r="G3597" s="9" t="s">
        <v>27</v>
      </c>
      <c r="H3597" s="11" t="n">
        <v>21</v>
      </c>
      <c r="I3597" s="11" t="s">
        <v>161</v>
      </c>
      <c r="J3597" s="14" t="n">
        <v>50</v>
      </c>
      <c r="K3597" s="14"/>
      <c r="L3597" s="16"/>
      <c r="M3597" s="27" t="n">
        <f aca="false">J3597+(K3597/20)+(L3597/240)</f>
        <v>50</v>
      </c>
      <c r="N3597" s="17" t="s">
        <v>64</v>
      </c>
      <c r="O3597" s="11"/>
      <c r="P3597" s="28"/>
      <c r="Q3597" s="28" t="n">
        <f aca="false">P3597*$M3597</f>
        <v>0</v>
      </c>
      <c r="R3597" s="28"/>
      <c r="S3597" s="28" t="n">
        <f aca="false">R3597*$M3597</f>
        <v>0</v>
      </c>
      <c r="T3597" s="28"/>
      <c r="U3597" s="28" t="n">
        <f aca="false">T3597*$M3597</f>
        <v>0</v>
      </c>
      <c r="V3597" s="28" t="n">
        <f aca="false">18055/100</f>
        <v>180.55</v>
      </c>
      <c r="W3597" s="28" t="n">
        <v>9027</v>
      </c>
      <c r="X3597" s="28" t="n">
        <f aca="false">17880/100</f>
        <v>178.8</v>
      </c>
      <c r="Y3597" s="28" t="n">
        <v>8940</v>
      </c>
      <c r="Z3597" s="28"/>
      <c r="AA3597" s="28" t="n">
        <f aca="false">Z3597*$M3597</f>
        <v>0</v>
      </c>
      <c r="AB3597" s="28" t="n">
        <f aca="false">104483/100</f>
        <v>1044.83</v>
      </c>
      <c r="AC3597" s="28" t="n">
        <v>52241</v>
      </c>
      <c r="AD3597" s="28"/>
      <c r="AE3597" s="28" t="n">
        <f aca="false">AD3597*$M3597</f>
        <v>0</v>
      </c>
      <c r="AF3597" s="28"/>
      <c r="AG3597" s="28" t="n">
        <f aca="false">AF3597*$M3597</f>
        <v>0</v>
      </c>
      <c r="AH3597" s="28"/>
      <c r="AI3597" s="28" t="n">
        <f aca="false">AH3597*$M3597</f>
        <v>0</v>
      </c>
      <c r="AJ3597" s="28"/>
      <c r="AK3597" s="28" t="n">
        <f aca="false">AJ3597*$M3597</f>
        <v>0</v>
      </c>
      <c r="AL3597" s="28"/>
      <c r="AM3597" s="28" t="n">
        <f aca="false">AL3597*$M3597</f>
        <v>0</v>
      </c>
      <c r="AN3597" s="28"/>
      <c r="AO3597" s="28" t="n">
        <f aca="false">AN3597*$M3597</f>
        <v>0</v>
      </c>
      <c r="AP3597" s="28"/>
      <c r="AQ3597" s="28" t="n">
        <f aca="false">AP3597*$M3597</f>
        <v>0</v>
      </c>
      <c r="AR3597" s="28"/>
      <c r="AS3597" s="28" t="n">
        <f aca="false">AR3597*$M3597</f>
        <v>0</v>
      </c>
      <c r="AT3597" s="28"/>
      <c r="AU3597" s="28" t="n">
        <f aca="false">AT3597*$M3597</f>
        <v>0</v>
      </c>
      <c r="AV3597" s="28"/>
      <c r="AW3597" s="28" t="n">
        <f aca="false">AV3597*$M3597</f>
        <v>0</v>
      </c>
      <c r="AX3597" s="28"/>
      <c r="AY3597" s="28" t="n">
        <f aca="false">AX3597*$M3597</f>
        <v>0</v>
      </c>
      <c r="AZ3597" s="30" t="n">
        <f aca="false">140418/100</f>
        <v>1404.18</v>
      </c>
      <c r="BA3597" s="11" t="n">
        <v>70208</v>
      </c>
      <c r="BB3597" s="31" t="n">
        <f aca="false">SUM(Q3597,S3597,U3597,W3597,Y3597,AA3597,AC3597,AE3597,AG3597,AI3597,AK3597,AM3597,AO3597,AQ3597,AS3597,AU3597,AW3597,AY3597)</f>
        <v>70208</v>
      </c>
      <c r="BC3597" s="28" t="n">
        <f aca="false">BA3597-BB3597</f>
        <v>0</v>
      </c>
      <c r="BD3597" s="32" t="n">
        <f aca="false">SUM(P3597,R3597,T3597,V3597,X3597,Z3597,AB3597,AD3597,AF3597,AH3597,AJ3597,AL3597,AN3597,AP3597,AR3597,AT3597,AV3597,AX3597)</f>
        <v>1404.18</v>
      </c>
      <c r="BE3597" s="33" t="n">
        <f aca="false">AZ3597-BD3597</f>
        <v>0</v>
      </c>
      <c r="BF3597" s="34" t="n">
        <f aca="false">BD3597*M3597</f>
        <v>70209</v>
      </c>
      <c r="BG3597" s="35" t="n">
        <f aca="false">BA3597-BF3597</f>
        <v>-0.999999999985448</v>
      </c>
      <c r="BH3597" s="19" t="str">
        <f aca="false">IF(BG3597=0,"",IF(BG3597&lt;&gt;BA3597,"erreur de calcul",IF(BD3597&lt;&gt;0,"pas de prix",IF(M3597&lt;&gt; 0,"pas de quantité","pas de prix, ni de quantité"))))</f>
        <v>erreur de calcul</v>
      </c>
      <c r="BI3597" s="19"/>
    </row>
    <row r="3598" customFormat="false" ht="15" hidden="false" customHeight="false" outlineLevel="0" collapsed="false">
      <c r="A3598" s="0" t="n">
        <v>9</v>
      </c>
      <c r="B3598" s="8" t="s">
        <v>24</v>
      </c>
      <c r="C3598" s="9" t="s">
        <v>25</v>
      </c>
      <c r="D3598" s="9" t="s">
        <v>26</v>
      </c>
      <c r="E3598" s="10" t="n">
        <v>1789</v>
      </c>
      <c r="F3598" s="9" t="s">
        <v>27</v>
      </c>
      <c r="G3598" s="9" t="s">
        <v>27</v>
      </c>
      <c r="H3598" s="11" t="n">
        <v>21</v>
      </c>
      <c r="I3598" s="11" t="s">
        <v>162</v>
      </c>
      <c r="J3598" s="14" t="n">
        <v>250</v>
      </c>
      <c r="K3598" s="14"/>
      <c r="L3598" s="16"/>
      <c r="M3598" s="27" t="n">
        <f aca="false">J3598+(K3598/20)+(L3598/240)</f>
        <v>250</v>
      </c>
      <c r="N3598" s="17" t="s">
        <v>64</v>
      </c>
      <c r="O3598" s="11"/>
      <c r="P3598" s="28"/>
      <c r="Q3598" s="28" t="n">
        <f aca="false">P3598*$M3598</f>
        <v>0</v>
      </c>
      <c r="R3598" s="28"/>
      <c r="S3598" s="28" t="n">
        <f aca="false">R3598*$M3598</f>
        <v>0</v>
      </c>
      <c r="T3598" s="28"/>
      <c r="U3598" s="28" t="n">
        <f aca="false">T3598*$M3598</f>
        <v>0</v>
      </c>
      <c r="V3598" s="28"/>
      <c r="W3598" s="28" t="n">
        <f aca="false">V3598*$M3598</f>
        <v>0</v>
      </c>
      <c r="X3598" s="28"/>
      <c r="Y3598" s="28" t="n">
        <f aca="false">X3598*$M3598</f>
        <v>0</v>
      </c>
      <c r="Z3598" s="28"/>
      <c r="AA3598" s="28" t="n">
        <f aca="false">Z3598*$M3598</f>
        <v>0</v>
      </c>
      <c r="AB3598" s="28"/>
      <c r="AC3598" s="28" t="n">
        <f aca="false">AB3598*$M3598</f>
        <v>0</v>
      </c>
      <c r="AD3598" s="28"/>
      <c r="AE3598" s="28" t="n">
        <f aca="false">AD3598*$M3598</f>
        <v>0</v>
      </c>
      <c r="AF3598" s="28"/>
      <c r="AG3598" s="28" t="n">
        <f aca="false">AF3598*$M3598</f>
        <v>0</v>
      </c>
      <c r="AH3598" s="28" t="n">
        <f aca="false">2306/100</f>
        <v>23.06</v>
      </c>
      <c r="AI3598" s="36" t="n">
        <v>5073</v>
      </c>
      <c r="AJ3598" s="28"/>
      <c r="AK3598" s="28" t="n">
        <f aca="false">AJ3598*$M3598</f>
        <v>0</v>
      </c>
      <c r="AL3598" s="28"/>
      <c r="AM3598" s="28" t="n">
        <f aca="false">AL3598*$M3598</f>
        <v>0</v>
      </c>
      <c r="AN3598" s="28"/>
      <c r="AO3598" s="28" t="n">
        <f aca="false">AN3598*$M3598</f>
        <v>0</v>
      </c>
      <c r="AP3598" s="28"/>
      <c r="AQ3598" s="28" t="n">
        <f aca="false">AP3598*$M3598</f>
        <v>0</v>
      </c>
      <c r="AR3598" s="28"/>
      <c r="AS3598" s="28" t="n">
        <f aca="false">AR3598*$M3598</f>
        <v>0</v>
      </c>
      <c r="AT3598" s="28"/>
      <c r="AU3598" s="28" t="n">
        <f aca="false">AT3598*$M3598</f>
        <v>0</v>
      </c>
      <c r="AV3598" s="28"/>
      <c r="AW3598" s="28" t="n">
        <f aca="false">AV3598*$M3598</f>
        <v>0</v>
      </c>
      <c r="AX3598" s="28"/>
      <c r="AY3598" s="28" t="n">
        <f aca="false">AX3598*$M3598</f>
        <v>0</v>
      </c>
      <c r="AZ3598" s="30" t="n">
        <f aca="false">2306/100</f>
        <v>23.06</v>
      </c>
      <c r="BA3598" s="11" t="n">
        <v>5073</v>
      </c>
      <c r="BB3598" s="31" t="n">
        <f aca="false">SUM(Q3598,S3598,U3598,W3598,Y3598,AA3598,AC3598,AE3598,AG3598,AI3598,AK3598,AM3598,AO3598,AQ3598,AS3598,AU3598,AW3598,AY3598)</f>
        <v>5073</v>
      </c>
      <c r="BC3598" s="28" t="n">
        <f aca="false">BA3598-BB3598</f>
        <v>0</v>
      </c>
      <c r="BD3598" s="32" t="n">
        <f aca="false">SUM(P3598,R3598,T3598,V3598,X3598,Z3598,AB3598,AD3598,AF3598,AH3598,AJ3598,AL3598,AN3598,AP3598,AR3598,AT3598,AV3598,AX3598)</f>
        <v>23.06</v>
      </c>
      <c r="BE3598" s="33" t="n">
        <f aca="false">AZ3598-BD3598</f>
        <v>0</v>
      </c>
      <c r="BF3598" s="34" t="n">
        <f aca="false">BD3598*M3598</f>
        <v>5765</v>
      </c>
      <c r="BG3598" s="35" t="n">
        <f aca="false">BA3598-BF3598</f>
        <v>-692</v>
      </c>
      <c r="BH3598" s="19" t="str">
        <f aca="false">IF(BG3598=0,"",IF(BG3598&lt;&gt;BA3598,"erreur de calcul",IF(BD3598&lt;&gt;0,"pas de prix",IF(M3598&lt;&gt; 0,"pas de quantité","pas de prix, ni de quantité"))))</f>
        <v>erreur de calcul</v>
      </c>
      <c r="BI3598" s="19"/>
    </row>
    <row r="3599" customFormat="false" ht="15" hidden="false" customHeight="false" outlineLevel="0" collapsed="false">
      <c r="A3599" s="0" t="n">
        <v>10</v>
      </c>
      <c r="B3599" s="8" t="s">
        <v>24</v>
      </c>
      <c r="C3599" s="9" t="s">
        <v>25</v>
      </c>
      <c r="D3599" s="9" t="s">
        <v>26</v>
      </c>
      <c r="E3599" s="10" t="n">
        <v>1789</v>
      </c>
      <c r="F3599" s="9" t="s">
        <v>27</v>
      </c>
      <c r="G3599" s="9" t="s">
        <v>27</v>
      </c>
      <c r="H3599" s="11" t="n">
        <v>21</v>
      </c>
      <c r="I3599" s="11" t="s">
        <v>163</v>
      </c>
      <c r="J3599" s="14"/>
      <c r="K3599" s="14"/>
      <c r="L3599" s="16"/>
      <c r="M3599" s="27" t="n">
        <f aca="false">J3599+(K3599/20)+(L3599/240)</f>
        <v>0</v>
      </c>
      <c r="N3599" s="17"/>
      <c r="O3599" s="11"/>
      <c r="P3599" s="28"/>
      <c r="Q3599" s="28" t="n">
        <v>1571</v>
      </c>
      <c r="R3599" s="28"/>
      <c r="S3599" s="28" t="n">
        <f aca="false">R3599*$M3599</f>
        <v>0</v>
      </c>
      <c r="T3599" s="28"/>
      <c r="U3599" s="28" t="n">
        <v>182</v>
      </c>
      <c r="V3599" s="28"/>
      <c r="W3599" s="28" t="n">
        <v>1801</v>
      </c>
      <c r="X3599" s="28"/>
      <c r="Y3599" s="28" t="n">
        <v>214</v>
      </c>
      <c r="Z3599" s="28"/>
      <c r="AA3599" s="28" t="n">
        <f aca="false">Z3599*$M3599</f>
        <v>0</v>
      </c>
      <c r="AB3599" s="28"/>
      <c r="AC3599" s="28" t="n">
        <v>401</v>
      </c>
      <c r="AD3599" s="28"/>
      <c r="AE3599" s="28" t="n">
        <f aca="false">AD3599*$M3599</f>
        <v>0</v>
      </c>
      <c r="AF3599" s="28"/>
      <c r="AG3599" s="28" t="n">
        <f aca="false">AF3599*$M3599</f>
        <v>0</v>
      </c>
      <c r="AH3599" s="28"/>
      <c r="AI3599" s="28" t="n">
        <f aca="false">AH3599*$M3599</f>
        <v>0</v>
      </c>
      <c r="AJ3599" s="28"/>
      <c r="AK3599" s="28" t="n">
        <v>760</v>
      </c>
      <c r="AL3599" s="28"/>
      <c r="AM3599" s="28" t="n">
        <f aca="false">AL3599*$M3599</f>
        <v>0</v>
      </c>
      <c r="AN3599" s="28"/>
      <c r="AO3599" s="28" t="n">
        <f aca="false">AN3599*$M3599</f>
        <v>0</v>
      </c>
      <c r="AP3599" s="28"/>
      <c r="AQ3599" s="28" t="n">
        <f aca="false">AP3599*$M3599</f>
        <v>0</v>
      </c>
      <c r="AR3599" s="28"/>
      <c r="AS3599" s="28" t="n">
        <f aca="false">AR3599*$M3599</f>
        <v>0</v>
      </c>
      <c r="AT3599" s="28"/>
      <c r="AU3599" s="28" t="n">
        <f aca="false">AT3599*$M3599</f>
        <v>0</v>
      </c>
      <c r="AV3599" s="28"/>
      <c r="AW3599" s="28" t="n">
        <f aca="false">AV3599*$M3599</f>
        <v>0</v>
      </c>
      <c r="AX3599" s="28"/>
      <c r="AY3599" s="28" t="n">
        <f aca="false">AX3599*$M3599</f>
        <v>0</v>
      </c>
      <c r="AZ3599" s="30"/>
      <c r="BA3599" s="11" t="n">
        <v>4929</v>
      </c>
      <c r="BB3599" s="31" t="n">
        <f aca="false">SUM(Q3599,S3599,U3599,W3599,Y3599,AA3599,AC3599,AE3599,AG3599,AI3599,AK3599,AM3599,AO3599,AQ3599,AS3599,AU3599,AW3599,AY3599)</f>
        <v>4929</v>
      </c>
      <c r="BC3599" s="28" t="n">
        <f aca="false">BA3599-BB3599</f>
        <v>0</v>
      </c>
      <c r="BD3599" s="32" t="n">
        <f aca="false">SUM(P3599,R3599,T3599,V3599,X3599,Z3599,AB3599,AD3599,AF3599,AH3599,AJ3599,AL3599,AN3599,AP3599,AR3599,AT3599,AV3599,AX3599)</f>
        <v>0</v>
      </c>
      <c r="BE3599" s="33" t="n">
        <f aca="false">AZ3599-BD3599</f>
        <v>0</v>
      </c>
      <c r="BF3599" s="34" t="n">
        <f aca="false">BD3599*M3599</f>
        <v>0</v>
      </c>
      <c r="BG3599" s="35" t="n">
        <f aca="false">BA3599-BF3599</f>
        <v>4929</v>
      </c>
      <c r="BH3599" s="19" t="str">
        <f aca="false">IF(BG3599=0,"",IF(BG3599&lt;&gt;BA3599,"erreur de calcul",IF(BD3599&lt;&gt;0,"pas de prix",IF(M3599&lt;&gt; 0,"pas de quantité","pas de prix, ni de quantité"))))</f>
        <v>pas de prix, ni de quantité</v>
      </c>
      <c r="BI3599" s="19"/>
    </row>
    <row r="3600" customFormat="false" ht="15" hidden="false" customHeight="false" outlineLevel="0" collapsed="false">
      <c r="A3600" s="0" t="n">
        <v>11</v>
      </c>
      <c r="B3600" s="8" t="s">
        <v>24</v>
      </c>
      <c r="C3600" s="9" t="s">
        <v>25</v>
      </c>
      <c r="D3600" s="9" t="s">
        <v>26</v>
      </c>
      <c r="E3600" s="10" t="n">
        <v>1789</v>
      </c>
      <c r="F3600" s="9" t="s">
        <v>27</v>
      </c>
      <c r="G3600" s="9" t="s">
        <v>27</v>
      </c>
      <c r="H3600" s="11" t="n">
        <v>21</v>
      </c>
      <c r="I3600" s="11" t="s">
        <v>164</v>
      </c>
      <c r="J3600" s="14" t="n">
        <v>580</v>
      </c>
      <c r="K3600" s="14"/>
      <c r="L3600" s="16"/>
      <c r="M3600" s="27" t="n">
        <f aca="false">J3600+(K3600/20)+(L3600/240)</f>
        <v>580</v>
      </c>
      <c r="N3600" s="17" t="s">
        <v>64</v>
      </c>
      <c r="O3600" s="11"/>
      <c r="P3600" s="28" t="n">
        <f aca="false">294/100</f>
        <v>2.94</v>
      </c>
      <c r="Q3600" s="28" t="n">
        <v>1705</v>
      </c>
      <c r="R3600" s="28"/>
      <c r="S3600" s="28" t="n">
        <f aca="false">R3600*$M3600</f>
        <v>0</v>
      </c>
      <c r="T3600" s="28"/>
      <c r="U3600" s="28" t="n">
        <f aca="false">T3600*$M3600</f>
        <v>0</v>
      </c>
      <c r="V3600" s="28"/>
      <c r="W3600" s="28" t="n">
        <f aca="false">V3600*$M3600</f>
        <v>0</v>
      </c>
      <c r="X3600" s="28"/>
      <c r="Y3600" s="28" t="n">
        <f aca="false">X3600*$M3600</f>
        <v>0</v>
      </c>
      <c r="Z3600" s="28"/>
      <c r="AA3600" s="28" t="n">
        <f aca="false">Z3600*$M3600</f>
        <v>0</v>
      </c>
      <c r="AB3600" s="28"/>
      <c r="AC3600" s="28" t="n">
        <f aca="false">AB3600*$M3600</f>
        <v>0</v>
      </c>
      <c r="AD3600" s="28"/>
      <c r="AE3600" s="28" t="n">
        <f aca="false">AD3600*$M3600</f>
        <v>0</v>
      </c>
      <c r="AF3600" s="28"/>
      <c r="AG3600" s="28" t="n">
        <f aca="false">AF3600*$M3600</f>
        <v>0</v>
      </c>
      <c r="AH3600" s="28"/>
      <c r="AI3600" s="28" t="n">
        <f aca="false">AH3600*$M3600</f>
        <v>0</v>
      </c>
      <c r="AJ3600" s="28"/>
      <c r="AK3600" s="28" t="n">
        <f aca="false">AJ3600*$M3600</f>
        <v>0</v>
      </c>
      <c r="AL3600" s="28"/>
      <c r="AM3600" s="28" t="n">
        <f aca="false">AL3600*$M3600</f>
        <v>0</v>
      </c>
      <c r="AN3600" s="28"/>
      <c r="AO3600" s="28" t="n">
        <f aca="false">AN3600*$M3600</f>
        <v>0</v>
      </c>
      <c r="AP3600" s="28"/>
      <c r="AQ3600" s="28" t="n">
        <f aca="false">AP3600*$M3600</f>
        <v>0</v>
      </c>
      <c r="AR3600" s="28"/>
      <c r="AS3600" s="28" t="n">
        <f aca="false">AR3600*$M3600</f>
        <v>0</v>
      </c>
      <c r="AT3600" s="28"/>
      <c r="AU3600" s="28" t="n">
        <f aca="false">AT3600*$M3600</f>
        <v>0</v>
      </c>
      <c r="AV3600" s="28"/>
      <c r="AW3600" s="28" t="n">
        <f aca="false">AV3600*$M3600</f>
        <v>0</v>
      </c>
      <c r="AX3600" s="28"/>
      <c r="AY3600" s="28" t="n">
        <f aca="false">AX3600*$M3600</f>
        <v>0</v>
      </c>
      <c r="AZ3600" s="30" t="n">
        <f aca="false">294/100</f>
        <v>2.94</v>
      </c>
      <c r="BA3600" s="11" t="n">
        <v>1705</v>
      </c>
      <c r="BB3600" s="31" t="n">
        <f aca="false">SUM(Q3600,S3600,U3600,W3600,Y3600,AA3600,AC3600,AE3600,AG3600,AI3600,AK3600,AM3600,AO3600,AQ3600,AS3600,AU3600,AW3600,AY3600)</f>
        <v>1705</v>
      </c>
      <c r="BC3600" s="28" t="n">
        <f aca="false">BA3600-BB3600</f>
        <v>0</v>
      </c>
      <c r="BD3600" s="32" t="n">
        <f aca="false">SUM(P3600,R3600,T3600,V3600,X3600,Z3600,AB3600,AD3600,AF3600,AH3600,AJ3600,AL3600,AN3600,AP3600,AR3600,AT3600,AV3600,AX3600)</f>
        <v>2.94</v>
      </c>
      <c r="BE3600" s="33" t="n">
        <f aca="false">AZ3600-BD3600</f>
        <v>0</v>
      </c>
      <c r="BF3600" s="34" t="n">
        <f aca="false">BD3600*M3600</f>
        <v>1705.2</v>
      </c>
      <c r="BG3600" s="35" t="n">
        <f aca="false">BA3600-BF3600</f>
        <v>-0.200000000000045</v>
      </c>
      <c r="BH3600" s="19" t="str">
        <f aca="false">IF(BG3600=0,"",IF(BG3600&lt;&gt;BA3600,"erreur de calcul",IF(BD3600&lt;&gt;0,"pas de prix",IF(M3600&lt;&gt; 0,"pas de quantité","pas de prix, ni de quantité"))))</f>
        <v>erreur de calcul</v>
      </c>
      <c r="BI3600" s="19"/>
    </row>
    <row r="3601" customFormat="false" ht="15" hidden="false" customHeight="false" outlineLevel="0" collapsed="false">
      <c r="A3601" s="0" t="n">
        <v>12</v>
      </c>
      <c r="B3601" s="8" t="s">
        <v>24</v>
      </c>
      <c r="C3601" s="9" t="s">
        <v>25</v>
      </c>
      <c r="D3601" s="9" t="s">
        <v>26</v>
      </c>
      <c r="E3601" s="10" t="n">
        <v>1789</v>
      </c>
      <c r="F3601" s="9" t="s">
        <v>27</v>
      </c>
      <c r="G3601" s="9" t="s">
        <v>27</v>
      </c>
      <c r="H3601" s="11" t="n">
        <v>21</v>
      </c>
      <c r="I3601" s="11" t="s">
        <v>165</v>
      </c>
      <c r="J3601" s="14" t="n">
        <v>180</v>
      </c>
      <c r="K3601" s="14"/>
      <c r="L3601" s="16"/>
      <c r="M3601" s="27" t="n">
        <f aca="false">J3601+(K3601/20)+(L3601/240)</f>
        <v>180</v>
      </c>
      <c r="N3601" s="17" t="s">
        <v>64</v>
      </c>
      <c r="O3601" s="11"/>
      <c r="P3601" s="28"/>
      <c r="Q3601" s="28" t="n">
        <f aca="false">P3601*$M3601</f>
        <v>0</v>
      </c>
      <c r="R3601" s="28"/>
      <c r="S3601" s="28" t="n">
        <f aca="false">R3601*$M3601</f>
        <v>0</v>
      </c>
      <c r="T3601" s="28"/>
      <c r="U3601" s="28" t="n">
        <f aca="false">T3601*$M3601</f>
        <v>0</v>
      </c>
      <c r="V3601" s="28"/>
      <c r="W3601" s="28" t="n">
        <f aca="false">V3601*$M3601</f>
        <v>0</v>
      </c>
      <c r="X3601" s="28"/>
      <c r="Y3601" s="28" t="n">
        <f aca="false">X3601*$M3601</f>
        <v>0</v>
      </c>
      <c r="Z3601" s="28"/>
      <c r="AA3601" s="28" t="n">
        <f aca="false">Z3601*$M3601</f>
        <v>0</v>
      </c>
      <c r="AB3601" s="28"/>
      <c r="AC3601" s="28" t="n">
        <f aca="false">AB3601*$M3601</f>
        <v>0</v>
      </c>
      <c r="AD3601" s="28"/>
      <c r="AE3601" s="28" t="n">
        <f aca="false">AD3601*$M3601</f>
        <v>0</v>
      </c>
      <c r="AF3601" s="28"/>
      <c r="AG3601" s="28" t="n">
        <f aca="false">AF3601*$M3601</f>
        <v>0</v>
      </c>
      <c r="AH3601" s="28"/>
      <c r="AI3601" s="28" t="n">
        <f aca="false">AH3601*$M3601</f>
        <v>0</v>
      </c>
      <c r="AJ3601" s="28"/>
      <c r="AK3601" s="28" t="n">
        <f aca="false">AJ3601*$M3601</f>
        <v>0</v>
      </c>
      <c r="AL3601" s="28"/>
      <c r="AM3601" s="28" t="n">
        <f aca="false">AL3601*$M3601</f>
        <v>0</v>
      </c>
      <c r="AN3601" s="28" t="n">
        <f aca="false">13754/100</f>
        <v>137.54</v>
      </c>
      <c r="AO3601" s="28" t="n">
        <v>24757</v>
      </c>
      <c r="AP3601" s="28"/>
      <c r="AQ3601" s="28" t="n">
        <f aca="false">AP3601*$M3601</f>
        <v>0</v>
      </c>
      <c r="AR3601" s="28"/>
      <c r="AS3601" s="28" t="n">
        <f aca="false">AR3601*$M3601</f>
        <v>0</v>
      </c>
      <c r="AT3601" s="28"/>
      <c r="AU3601" s="28" t="n">
        <f aca="false">AT3601*$M3601</f>
        <v>0</v>
      </c>
      <c r="AV3601" s="28"/>
      <c r="AW3601" s="28" t="n">
        <f aca="false">AV3601*$M3601</f>
        <v>0</v>
      </c>
      <c r="AX3601" s="28"/>
      <c r="AY3601" s="28" t="n">
        <f aca="false">AX3601*$M3601</f>
        <v>0</v>
      </c>
      <c r="AZ3601" s="30" t="n">
        <f aca="false">17360/100</f>
        <v>173.6</v>
      </c>
      <c r="BA3601" s="11" t="n">
        <v>24757</v>
      </c>
      <c r="BB3601" s="31" t="n">
        <f aca="false">SUM(Q3601,S3601,U3601,W3601,Y3601,AA3601,AC3601,AE3601,AG3601,AI3601,AK3601,AM3601,AO3601,AQ3601,AS3601,AU3601,AW3601,AY3601)</f>
        <v>24757</v>
      </c>
      <c r="BC3601" s="28" t="n">
        <f aca="false">BA3601-BB3601</f>
        <v>0</v>
      </c>
      <c r="BD3601" s="32" t="n">
        <f aca="false">SUM(P3601,R3601,T3601,V3601,X3601,Z3601,AB3601,AD3601,AF3601,AH3601,AJ3601,AL3601,AN3601,AP3601,AR3601,AT3601,AV3601,AX3601)</f>
        <v>137.54</v>
      </c>
      <c r="BE3601" s="33" t="n">
        <f aca="false">AZ3601-BD3601</f>
        <v>36.06</v>
      </c>
      <c r="BF3601" s="34" t="n">
        <f aca="false">BD3601*M3601</f>
        <v>24757.2</v>
      </c>
      <c r="BG3601" s="35" t="n">
        <f aca="false">BA3601-BF3601</f>
        <v>-0.19999999999709</v>
      </c>
      <c r="BH3601" s="19" t="str">
        <f aca="false">IF(BG3601=0,"",IF(BG3601&lt;&gt;BA3601,"erreur de calcul",IF(BD3601&lt;&gt;0,"pas de prix",IF(M3601&lt;&gt; 0,"pas de quantité","pas de prix, ni de quantité"))))</f>
        <v>erreur de calcul</v>
      </c>
      <c r="BI3601" s="19"/>
    </row>
    <row r="3602" customFormat="false" ht="15" hidden="false" customHeight="false" outlineLevel="0" collapsed="false">
      <c r="A3602" s="0" t="n">
        <v>13</v>
      </c>
      <c r="B3602" s="8" t="s">
        <v>24</v>
      </c>
      <c r="C3602" s="9" t="s">
        <v>25</v>
      </c>
      <c r="D3602" s="9" t="s">
        <v>26</v>
      </c>
      <c r="E3602" s="10" t="n">
        <v>1789</v>
      </c>
      <c r="F3602" s="9" t="s">
        <v>27</v>
      </c>
      <c r="G3602" s="9" t="s">
        <v>27</v>
      </c>
      <c r="H3602" s="11" t="n">
        <v>21</v>
      </c>
      <c r="I3602" s="11" t="s">
        <v>166</v>
      </c>
      <c r="J3602" s="14" t="n">
        <v>90</v>
      </c>
      <c r="K3602" s="14"/>
      <c r="L3602" s="16"/>
      <c r="M3602" s="27" t="n">
        <f aca="false">J3602+(K3602/20)+(L3602/240)</f>
        <v>90</v>
      </c>
      <c r="N3602" s="17" t="s">
        <v>64</v>
      </c>
      <c r="O3602" s="11"/>
      <c r="P3602" s="28" t="n">
        <f aca="false">3606/100</f>
        <v>36.06</v>
      </c>
      <c r="Q3602" s="28" t="n">
        <v>3245</v>
      </c>
      <c r="R3602" s="28"/>
      <c r="S3602" s="28" t="n">
        <f aca="false">R3602*$M3602</f>
        <v>0</v>
      </c>
      <c r="T3602" s="28"/>
      <c r="U3602" s="28" t="n">
        <f aca="false">T3602*$M3602</f>
        <v>0</v>
      </c>
      <c r="V3602" s="28"/>
      <c r="W3602" s="28" t="n">
        <f aca="false">V3602*$M3602</f>
        <v>0</v>
      </c>
      <c r="X3602" s="28"/>
      <c r="Y3602" s="28" t="n">
        <f aca="false">X3602*$M3602</f>
        <v>0</v>
      </c>
      <c r="Z3602" s="28"/>
      <c r="AA3602" s="28" t="n">
        <f aca="false">Z3602*$M3602</f>
        <v>0</v>
      </c>
      <c r="AB3602" s="28"/>
      <c r="AC3602" s="28" t="n">
        <f aca="false">AB3602*$M3602</f>
        <v>0</v>
      </c>
      <c r="AD3602" s="28"/>
      <c r="AE3602" s="28" t="n">
        <f aca="false">AD3602*$M3602</f>
        <v>0</v>
      </c>
      <c r="AF3602" s="28"/>
      <c r="AG3602" s="28" t="n">
        <f aca="false">AF3602*$M3602</f>
        <v>0</v>
      </c>
      <c r="AH3602" s="28"/>
      <c r="AI3602" s="28" t="n">
        <f aca="false">AH3602*$M3602</f>
        <v>0</v>
      </c>
      <c r="AJ3602" s="28"/>
      <c r="AK3602" s="28" t="n">
        <f aca="false">AJ3602*$M3602</f>
        <v>0</v>
      </c>
      <c r="AL3602" s="28"/>
      <c r="AM3602" s="28" t="n">
        <f aca="false">AL3602*$M3602</f>
        <v>0</v>
      </c>
      <c r="AN3602" s="28"/>
      <c r="AO3602" s="28" t="n">
        <f aca="false">AN3602*$M3602</f>
        <v>0</v>
      </c>
      <c r="AP3602" s="28"/>
      <c r="AQ3602" s="28" t="n">
        <f aca="false">AP3602*$M3602</f>
        <v>0</v>
      </c>
      <c r="AR3602" s="28"/>
      <c r="AS3602" s="28" t="n">
        <f aca="false">AR3602*$M3602</f>
        <v>0</v>
      </c>
      <c r="AT3602" s="28"/>
      <c r="AU3602" s="28" t="n">
        <f aca="false">AT3602*$M3602</f>
        <v>0</v>
      </c>
      <c r="AV3602" s="28"/>
      <c r="AW3602" s="28" t="n">
        <f aca="false">AV3602*$M3602</f>
        <v>0</v>
      </c>
      <c r="AX3602" s="28"/>
      <c r="AY3602" s="28" t="n">
        <f aca="false">AX3602*$M3602</f>
        <v>0</v>
      </c>
      <c r="AZ3602" s="30" t="n">
        <f aca="false">3606/100</f>
        <v>36.06</v>
      </c>
      <c r="BA3602" s="11" t="n">
        <v>3245</v>
      </c>
      <c r="BB3602" s="31" t="n">
        <f aca="false">SUM(Q3602,S3602,U3602,W3602,Y3602,AA3602,AC3602,AE3602,AG3602,AI3602,AK3602,AM3602,AO3602,AQ3602,AS3602,AU3602,AW3602,AY3602)</f>
        <v>3245</v>
      </c>
      <c r="BC3602" s="28" t="n">
        <f aca="false">BA3602-BB3602</f>
        <v>0</v>
      </c>
      <c r="BD3602" s="32" t="n">
        <f aca="false">SUM(P3602,R3602,T3602,V3602,X3602,Z3602,AB3602,AD3602,AF3602,AH3602,AJ3602,AL3602,AN3602,AP3602,AR3602,AT3602,AV3602,AX3602)</f>
        <v>36.06</v>
      </c>
      <c r="BE3602" s="33" t="n">
        <f aca="false">AZ3602-BD3602</f>
        <v>0</v>
      </c>
      <c r="BF3602" s="34" t="n">
        <f aca="false">BD3602*M3602</f>
        <v>3245.4</v>
      </c>
      <c r="BG3602" s="35" t="n">
        <f aca="false">BA3602-BF3602</f>
        <v>-0.400000000000091</v>
      </c>
      <c r="BH3602" s="19" t="str">
        <f aca="false">IF(BG3602=0,"",IF(BG3602&lt;&gt;BA3602,"erreur de calcul",IF(BD3602&lt;&gt;0,"pas de prix",IF(M3602&lt;&gt; 0,"pas de quantité","pas de prix, ni de quantité"))))</f>
        <v>erreur de calcul</v>
      </c>
      <c r="BI3602" s="19"/>
    </row>
    <row r="3603" customFormat="false" ht="15" hidden="false" customHeight="false" outlineLevel="0" collapsed="false">
      <c r="A3603" s="0" t="n">
        <v>14</v>
      </c>
      <c r="B3603" s="8" t="s">
        <v>24</v>
      </c>
      <c r="C3603" s="9" t="s">
        <v>25</v>
      </c>
      <c r="D3603" s="9" t="s">
        <v>26</v>
      </c>
      <c r="E3603" s="10" t="n">
        <v>1789</v>
      </c>
      <c r="F3603" s="9" t="s">
        <v>27</v>
      </c>
      <c r="G3603" s="9" t="s">
        <v>27</v>
      </c>
      <c r="H3603" s="11" t="n">
        <v>21</v>
      </c>
      <c r="I3603" s="11" t="s">
        <v>167</v>
      </c>
      <c r="J3603" s="14" t="n">
        <v>60</v>
      </c>
      <c r="K3603" s="14"/>
      <c r="L3603" s="16"/>
      <c r="M3603" s="27" t="n">
        <f aca="false">J3603+(K3603/20)+(L3603/240)</f>
        <v>60</v>
      </c>
      <c r="N3603" s="17" t="s">
        <v>64</v>
      </c>
      <c r="O3603" s="11"/>
      <c r="P3603" s="28" t="n">
        <f aca="false">19377/100</f>
        <v>193.77</v>
      </c>
      <c r="Q3603" s="28" t="n">
        <v>11626</v>
      </c>
      <c r="R3603" s="28"/>
      <c r="S3603" s="28" t="n">
        <f aca="false">R3603*$M3603</f>
        <v>0</v>
      </c>
      <c r="T3603" s="28"/>
      <c r="U3603" s="28" t="n">
        <f aca="false">T3603*$M3603</f>
        <v>0</v>
      </c>
      <c r="V3603" s="28"/>
      <c r="W3603" s="28" t="n">
        <f aca="false">V3603*$M3603</f>
        <v>0</v>
      </c>
      <c r="X3603" s="28"/>
      <c r="Y3603" s="28" t="n">
        <f aca="false">X3603*$M3603</f>
        <v>0</v>
      </c>
      <c r="Z3603" s="28"/>
      <c r="AA3603" s="28" t="n">
        <f aca="false">Z3603*$M3603</f>
        <v>0</v>
      </c>
      <c r="AB3603" s="28"/>
      <c r="AC3603" s="28" t="n">
        <f aca="false">AB3603*$M3603</f>
        <v>0</v>
      </c>
      <c r="AD3603" s="28"/>
      <c r="AE3603" s="28" t="n">
        <f aca="false">AD3603*$M3603</f>
        <v>0</v>
      </c>
      <c r="AF3603" s="28"/>
      <c r="AG3603" s="28" t="n">
        <f aca="false">AF3603*$M3603</f>
        <v>0</v>
      </c>
      <c r="AH3603" s="28"/>
      <c r="AI3603" s="28" t="n">
        <f aca="false">AH3603*$M3603</f>
        <v>0</v>
      </c>
      <c r="AJ3603" s="28"/>
      <c r="AK3603" s="28" t="n">
        <f aca="false">AJ3603*$M3603</f>
        <v>0</v>
      </c>
      <c r="AL3603" s="28"/>
      <c r="AM3603" s="28" t="n">
        <f aca="false">AL3603*$M3603</f>
        <v>0</v>
      </c>
      <c r="AN3603" s="28"/>
      <c r="AO3603" s="28" t="n">
        <f aca="false">AN3603*$M3603</f>
        <v>0</v>
      </c>
      <c r="AP3603" s="28"/>
      <c r="AQ3603" s="28" t="n">
        <f aca="false">AP3603*$M3603</f>
        <v>0</v>
      </c>
      <c r="AR3603" s="28"/>
      <c r="AS3603" s="28" t="n">
        <f aca="false">AR3603*$M3603</f>
        <v>0</v>
      </c>
      <c r="AT3603" s="28"/>
      <c r="AU3603" s="28" t="n">
        <f aca="false">AT3603*$M3603</f>
        <v>0</v>
      </c>
      <c r="AV3603" s="28"/>
      <c r="AW3603" s="28" t="n">
        <f aca="false">AV3603*$M3603</f>
        <v>0</v>
      </c>
      <c r="AX3603" s="28"/>
      <c r="AY3603" s="28" t="n">
        <f aca="false">AX3603*$M3603</f>
        <v>0</v>
      </c>
      <c r="AZ3603" s="30" t="n">
        <f aca="false">19377/100</f>
        <v>193.77</v>
      </c>
      <c r="BA3603" s="11" t="n">
        <v>11626</v>
      </c>
      <c r="BB3603" s="31" t="n">
        <f aca="false">SUM(Q3603,S3603,U3603,W3603,Y3603,AA3603,AC3603,AE3603,AG3603,AI3603,AK3603,AM3603,AO3603,AQ3603,AS3603,AU3603,AW3603,AY3603)</f>
        <v>11626</v>
      </c>
      <c r="BC3603" s="28" t="n">
        <f aca="false">BA3603-BB3603</f>
        <v>0</v>
      </c>
      <c r="BD3603" s="32" t="n">
        <f aca="false">SUM(P3603,R3603,T3603,V3603,X3603,Z3603,AB3603,AD3603,AF3603,AH3603,AJ3603,AL3603,AN3603,AP3603,AR3603,AT3603,AV3603,AX3603)</f>
        <v>193.77</v>
      </c>
      <c r="BE3603" s="33" t="n">
        <f aca="false">AZ3603-BD3603</f>
        <v>0</v>
      </c>
      <c r="BF3603" s="34" t="n">
        <f aca="false">BD3603*M3603</f>
        <v>11626.2</v>
      </c>
      <c r="BG3603" s="35" t="n">
        <f aca="false">BA3603-BF3603</f>
        <v>-0.200000000000728</v>
      </c>
      <c r="BH3603" s="19" t="str">
        <f aca="false">IF(BG3603=0,"",IF(BG3603&lt;&gt;BA3603,"erreur de calcul",IF(BD3603&lt;&gt;0,"pas de prix",IF(M3603&lt;&gt; 0,"pas de quantité","pas de prix, ni de quantité"))))</f>
        <v>erreur de calcul</v>
      </c>
      <c r="BI3603" s="19"/>
    </row>
    <row r="3604" customFormat="false" ht="15" hidden="false" customHeight="false" outlineLevel="0" collapsed="false">
      <c r="A3604" s="0" t="n">
        <v>15</v>
      </c>
      <c r="B3604" s="8" t="s">
        <v>24</v>
      </c>
      <c r="C3604" s="9" t="s">
        <v>25</v>
      </c>
      <c r="D3604" s="9" t="s">
        <v>26</v>
      </c>
      <c r="E3604" s="10" t="n">
        <v>1789</v>
      </c>
      <c r="F3604" s="9" t="s">
        <v>27</v>
      </c>
      <c r="G3604" s="9" t="s">
        <v>27</v>
      </c>
      <c r="H3604" s="11" t="n">
        <v>21</v>
      </c>
      <c r="I3604" s="11" t="s">
        <v>168</v>
      </c>
      <c r="J3604" s="14" t="n">
        <v>345</v>
      </c>
      <c r="K3604" s="14"/>
      <c r="L3604" s="16"/>
      <c r="M3604" s="27" t="n">
        <f aca="false">J3604+(K3604/20)+(L3604/240)</f>
        <v>345</v>
      </c>
      <c r="N3604" s="17" t="s">
        <v>64</v>
      </c>
      <c r="O3604" s="11"/>
      <c r="P3604" s="28" t="n">
        <f aca="false">617/100</f>
        <v>6.17</v>
      </c>
      <c r="Q3604" s="28" t="n">
        <v>2129</v>
      </c>
      <c r="R3604" s="28"/>
      <c r="S3604" s="28" t="n">
        <f aca="false">R3604*$M3604</f>
        <v>0</v>
      </c>
      <c r="T3604" s="28"/>
      <c r="U3604" s="28" t="n">
        <f aca="false">T3604*$M3604</f>
        <v>0</v>
      </c>
      <c r="V3604" s="28"/>
      <c r="W3604" s="28" t="n">
        <f aca="false">V3604*$M3604</f>
        <v>0</v>
      </c>
      <c r="X3604" s="28"/>
      <c r="Y3604" s="28" t="n">
        <f aca="false">X3604*$M3604</f>
        <v>0</v>
      </c>
      <c r="Z3604" s="28"/>
      <c r="AA3604" s="28" t="n">
        <f aca="false">Z3604*$M3604</f>
        <v>0</v>
      </c>
      <c r="AB3604" s="28" t="n">
        <f aca="false">1270/100</f>
        <v>12.7</v>
      </c>
      <c r="AC3604" s="28" t="n">
        <v>4381</v>
      </c>
      <c r="AD3604" s="28"/>
      <c r="AE3604" s="28" t="n">
        <f aca="false">AD3604*$M3604</f>
        <v>0</v>
      </c>
      <c r="AF3604" s="28"/>
      <c r="AG3604" s="28" t="n">
        <f aca="false">AF3604*$M3604</f>
        <v>0</v>
      </c>
      <c r="AH3604" s="28"/>
      <c r="AI3604" s="28" t="n">
        <f aca="false">AH3604*$M3604</f>
        <v>0</v>
      </c>
      <c r="AJ3604" s="28"/>
      <c r="AK3604" s="28" t="n">
        <f aca="false">AJ3604*$M3604</f>
        <v>0</v>
      </c>
      <c r="AL3604" s="28"/>
      <c r="AM3604" s="28" t="n">
        <f aca="false">AL3604*$M3604</f>
        <v>0</v>
      </c>
      <c r="AN3604" s="28"/>
      <c r="AO3604" s="28" t="n">
        <f aca="false">AN3604*$M3604</f>
        <v>0</v>
      </c>
      <c r="AP3604" s="28"/>
      <c r="AQ3604" s="28" t="n">
        <f aca="false">AP3604*$M3604</f>
        <v>0</v>
      </c>
      <c r="AR3604" s="28"/>
      <c r="AS3604" s="28" t="n">
        <f aca="false">AR3604*$M3604</f>
        <v>0</v>
      </c>
      <c r="AT3604" s="28"/>
      <c r="AU3604" s="28" t="n">
        <f aca="false">AT3604*$M3604</f>
        <v>0</v>
      </c>
      <c r="AV3604" s="28"/>
      <c r="AW3604" s="28" t="n">
        <f aca="false">AV3604*$M3604</f>
        <v>0</v>
      </c>
      <c r="AX3604" s="28"/>
      <c r="AY3604" s="28" t="n">
        <f aca="false">AX3604*$M3604</f>
        <v>0</v>
      </c>
      <c r="AZ3604" s="30" t="n">
        <f aca="false">1887/100</f>
        <v>18.87</v>
      </c>
      <c r="BA3604" s="11" t="n">
        <v>6510</v>
      </c>
      <c r="BB3604" s="31" t="n">
        <f aca="false">SUM(Q3604,S3604,U3604,W3604,Y3604,AA3604,AC3604,AE3604,AG3604,AI3604,AK3604,AM3604,AO3604,AQ3604,AS3604,AU3604,AW3604,AY3604)</f>
        <v>6510</v>
      </c>
      <c r="BC3604" s="28" t="n">
        <f aca="false">BA3604-BB3604</f>
        <v>0</v>
      </c>
      <c r="BD3604" s="32" t="n">
        <f aca="false">SUM(P3604,R3604,T3604,V3604,X3604,Z3604,AB3604,AD3604,AF3604,AH3604,AJ3604,AL3604,AN3604,AP3604,AR3604,AT3604,AV3604,AX3604)</f>
        <v>18.87</v>
      </c>
      <c r="BE3604" s="33" t="n">
        <f aca="false">AZ3604-BD3604</f>
        <v>0</v>
      </c>
      <c r="BF3604" s="34" t="n">
        <f aca="false">BD3604*M3604</f>
        <v>6510.15</v>
      </c>
      <c r="BG3604" s="35" t="n">
        <f aca="false">BA3604-BF3604</f>
        <v>-0.149999999998727</v>
      </c>
      <c r="BH3604" s="19" t="str">
        <f aca="false">IF(BG3604=0,"",IF(BG3604&lt;&gt;BA3604,"erreur de calcul",IF(BD3604&lt;&gt;0,"pas de prix",IF(M3604&lt;&gt; 0,"pas de quantité","pas de prix, ni de quantité"))))</f>
        <v>erreur de calcul</v>
      </c>
      <c r="BI3604" s="19"/>
    </row>
    <row r="3605" customFormat="false" ht="15" hidden="false" customHeight="false" outlineLevel="0" collapsed="false">
      <c r="A3605" s="0" t="n">
        <v>16</v>
      </c>
      <c r="B3605" s="8" t="s">
        <v>24</v>
      </c>
      <c r="C3605" s="9" t="s">
        <v>25</v>
      </c>
      <c r="D3605" s="9" t="s">
        <v>26</v>
      </c>
      <c r="E3605" s="10" t="n">
        <v>1789</v>
      </c>
      <c r="F3605" s="9" t="s">
        <v>27</v>
      </c>
      <c r="G3605" s="9" t="s">
        <v>27</v>
      </c>
      <c r="H3605" s="11" t="n">
        <v>21</v>
      </c>
      <c r="I3605" s="11" t="s">
        <v>169</v>
      </c>
      <c r="J3605" s="14" t="n">
        <v>6</v>
      </c>
      <c r="K3605" s="14"/>
      <c r="L3605" s="16"/>
      <c r="M3605" s="27" t="n">
        <f aca="false">J3605+(K3605/20)+(L3605/240)</f>
        <v>6</v>
      </c>
      <c r="N3605" s="17" t="s">
        <v>64</v>
      </c>
      <c r="O3605" s="11"/>
      <c r="P3605" s="28"/>
      <c r="Q3605" s="28" t="n">
        <f aca="false">P3605*$M3605</f>
        <v>0</v>
      </c>
      <c r="R3605" s="28"/>
      <c r="S3605" s="28" t="n">
        <f aca="false">R3605*$M3605</f>
        <v>0</v>
      </c>
      <c r="T3605" s="28"/>
      <c r="U3605" s="28" t="n">
        <f aca="false">T3605*$M3605</f>
        <v>0</v>
      </c>
      <c r="V3605" s="28" t="n">
        <f aca="false">39752/100</f>
        <v>397.52</v>
      </c>
      <c r="W3605" s="28" t="n">
        <v>2385</v>
      </c>
      <c r="X3605" s="28"/>
      <c r="Y3605" s="28" t="n">
        <f aca="false">X3605*$M3605</f>
        <v>0</v>
      </c>
      <c r="Z3605" s="28"/>
      <c r="AA3605" s="28" t="n">
        <f aca="false">Z3605*$M3605</f>
        <v>0</v>
      </c>
      <c r="AB3605" s="28"/>
      <c r="AC3605" s="28" t="n">
        <f aca="false">AB3605*$M3605</f>
        <v>0</v>
      </c>
      <c r="AD3605" s="28"/>
      <c r="AE3605" s="28" t="n">
        <f aca="false">AD3605*$M3605</f>
        <v>0</v>
      </c>
      <c r="AF3605" s="28"/>
      <c r="AG3605" s="28" t="n">
        <f aca="false">AF3605*$M3605</f>
        <v>0</v>
      </c>
      <c r="AH3605" s="28"/>
      <c r="AI3605" s="28" t="n">
        <f aca="false">AH3605*$M3605</f>
        <v>0</v>
      </c>
      <c r="AJ3605" s="28"/>
      <c r="AK3605" s="28" t="n">
        <f aca="false">AJ3605*$M3605</f>
        <v>0</v>
      </c>
      <c r="AL3605" s="28"/>
      <c r="AM3605" s="28" t="n">
        <f aca="false">AL3605*$M3605</f>
        <v>0</v>
      </c>
      <c r="AN3605" s="28"/>
      <c r="AO3605" s="28" t="n">
        <f aca="false">AN3605*$M3605</f>
        <v>0</v>
      </c>
      <c r="AP3605" s="28"/>
      <c r="AQ3605" s="28" t="n">
        <f aca="false">AP3605*$M3605</f>
        <v>0</v>
      </c>
      <c r="AR3605" s="28"/>
      <c r="AS3605" s="28" t="n">
        <f aca="false">AR3605*$M3605</f>
        <v>0</v>
      </c>
      <c r="AT3605" s="28"/>
      <c r="AU3605" s="28" t="n">
        <f aca="false">AT3605*$M3605</f>
        <v>0</v>
      </c>
      <c r="AV3605" s="28"/>
      <c r="AW3605" s="28" t="n">
        <f aca="false">AV3605*$M3605</f>
        <v>0</v>
      </c>
      <c r="AX3605" s="28"/>
      <c r="AY3605" s="28" t="n">
        <f aca="false">AX3605*$M3605</f>
        <v>0</v>
      </c>
      <c r="AZ3605" s="30" t="n">
        <f aca="false">39752/100</f>
        <v>397.52</v>
      </c>
      <c r="BA3605" s="11" t="n">
        <v>2385</v>
      </c>
      <c r="BB3605" s="31" t="n">
        <f aca="false">SUM(Q3605,S3605,U3605,W3605,Y3605,AA3605,AC3605,AE3605,AG3605,AI3605,AK3605,AM3605,AO3605,AQ3605,AS3605,AU3605,AW3605,AY3605)</f>
        <v>2385</v>
      </c>
      <c r="BC3605" s="28" t="n">
        <f aca="false">BA3605-BB3605</f>
        <v>0</v>
      </c>
      <c r="BD3605" s="32" t="n">
        <f aca="false">SUM(P3605,R3605,T3605,V3605,X3605,Z3605,AB3605,AD3605,AF3605,AH3605,AJ3605,AL3605,AN3605,AP3605,AR3605,AT3605,AV3605,AX3605)</f>
        <v>397.52</v>
      </c>
      <c r="BE3605" s="33" t="n">
        <f aca="false">AZ3605-BD3605</f>
        <v>0</v>
      </c>
      <c r="BF3605" s="34" t="n">
        <f aca="false">BD3605*M3605</f>
        <v>2385.12</v>
      </c>
      <c r="BG3605" s="35" t="n">
        <f aca="false">BA3605-BF3605</f>
        <v>-0.119999999999891</v>
      </c>
      <c r="BH3605" s="19" t="str">
        <f aca="false">IF(BG3605=0,"",IF(BG3605&lt;&gt;BA3605,"erreur de calcul",IF(BD3605&lt;&gt;0,"pas de prix",IF(M3605&lt;&gt; 0,"pas de quantité","pas de prix, ni de quantité"))))</f>
        <v>erreur de calcul</v>
      </c>
      <c r="BI3605" s="19"/>
    </row>
    <row r="3606" customFormat="false" ht="15" hidden="false" customHeight="false" outlineLevel="0" collapsed="false">
      <c r="A3606" s="0" t="n">
        <v>17</v>
      </c>
      <c r="B3606" s="8" t="s">
        <v>24</v>
      </c>
      <c r="C3606" s="9" t="s">
        <v>25</v>
      </c>
      <c r="D3606" s="9" t="s">
        <v>26</v>
      </c>
      <c r="E3606" s="10" t="n">
        <v>1789</v>
      </c>
      <c r="F3606" s="9" t="s">
        <v>27</v>
      </c>
      <c r="G3606" s="9" t="s">
        <v>27</v>
      </c>
      <c r="H3606" s="11" t="n">
        <v>21</v>
      </c>
      <c r="I3606" s="11" t="s">
        <v>170</v>
      </c>
      <c r="J3606" s="14" t="n">
        <v>90</v>
      </c>
      <c r="K3606" s="14"/>
      <c r="L3606" s="16"/>
      <c r="M3606" s="27" t="n">
        <f aca="false">J3606+(K3606/20)+(L3606/240)</f>
        <v>90</v>
      </c>
      <c r="N3606" s="17" t="s">
        <v>64</v>
      </c>
      <c r="O3606" s="11"/>
      <c r="P3606" s="28"/>
      <c r="Q3606" s="28" t="n">
        <f aca="false">P3606*$M3606</f>
        <v>0</v>
      </c>
      <c r="R3606" s="28"/>
      <c r="S3606" s="28" t="n">
        <f aca="false">R3606*$M3606</f>
        <v>0</v>
      </c>
      <c r="T3606" s="28"/>
      <c r="U3606" s="28" t="n">
        <f aca="false">T3606*$M3606</f>
        <v>0</v>
      </c>
      <c r="V3606" s="28"/>
      <c r="W3606" s="28" t="n">
        <f aca="false">V3606*$M3606</f>
        <v>0</v>
      </c>
      <c r="X3606" s="28" t="n">
        <f aca="false">3136/100</f>
        <v>31.36</v>
      </c>
      <c r="Y3606" s="28" t="n">
        <v>2822</v>
      </c>
      <c r="Z3606" s="28"/>
      <c r="AA3606" s="28" t="n">
        <f aca="false">Z3606*$M3606</f>
        <v>0</v>
      </c>
      <c r="AB3606" s="28"/>
      <c r="AC3606" s="28" t="n">
        <f aca="false">AB3606*$M3606</f>
        <v>0</v>
      </c>
      <c r="AD3606" s="28"/>
      <c r="AE3606" s="28" t="n">
        <f aca="false">AD3606*$M3606</f>
        <v>0</v>
      </c>
      <c r="AF3606" s="28"/>
      <c r="AG3606" s="28" t="n">
        <f aca="false">AF3606*$M3606</f>
        <v>0</v>
      </c>
      <c r="AH3606" s="28"/>
      <c r="AI3606" s="28" t="n">
        <f aca="false">AH3606*$M3606</f>
        <v>0</v>
      </c>
      <c r="AJ3606" s="28"/>
      <c r="AK3606" s="28" t="n">
        <f aca="false">AJ3606*$M3606</f>
        <v>0</v>
      </c>
      <c r="AL3606" s="28"/>
      <c r="AM3606" s="28" t="n">
        <f aca="false">AL3606*$M3606</f>
        <v>0</v>
      </c>
      <c r="AN3606" s="28"/>
      <c r="AO3606" s="28" t="n">
        <f aca="false">AN3606*$M3606</f>
        <v>0</v>
      </c>
      <c r="AP3606" s="28"/>
      <c r="AQ3606" s="28" t="n">
        <f aca="false">AP3606*$M3606</f>
        <v>0</v>
      </c>
      <c r="AR3606" s="28"/>
      <c r="AS3606" s="28" t="n">
        <f aca="false">AR3606*$M3606</f>
        <v>0</v>
      </c>
      <c r="AT3606" s="28"/>
      <c r="AU3606" s="28" t="n">
        <f aca="false">AT3606*$M3606</f>
        <v>0</v>
      </c>
      <c r="AV3606" s="28"/>
      <c r="AW3606" s="28" t="n">
        <f aca="false">AV3606*$M3606</f>
        <v>0</v>
      </c>
      <c r="AX3606" s="28"/>
      <c r="AY3606" s="28" t="n">
        <f aca="false">AX3606*$M3606</f>
        <v>0</v>
      </c>
      <c r="AZ3606" s="30" t="n">
        <f aca="false">3136/100</f>
        <v>31.36</v>
      </c>
      <c r="BA3606" s="11" t="n">
        <v>2822</v>
      </c>
      <c r="BB3606" s="31" t="n">
        <f aca="false">SUM(Q3606,S3606,U3606,W3606,Y3606,AA3606,AC3606,AE3606,AG3606,AI3606,AK3606,AM3606,AO3606,AQ3606,AS3606,AU3606,AW3606,AY3606)</f>
        <v>2822</v>
      </c>
      <c r="BC3606" s="28" t="n">
        <f aca="false">BA3606-BB3606</f>
        <v>0</v>
      </c>
      <c r="BD3606" s="32" t="n">
        <f aca="false">SUM(P3606,R3606,T3606,V3606,X3606,Z3606,AB3606,AD3606,AF3606,AH3606,AJ3606,AL3606,AN3606,AP3606,AR3606,AT3606,AV3606,AX3606)</f>
        <v>31.36</v>
      </c>
      <c r="BE3606" s="33" t="n">
        <f aca="false">AZ3606-BD3606</f>
        <v>0</v>
      </c>
      <c r="BF3606" s="34" t="n">
        <f aca="false">BD3606*M3606</f>
        <v>2822.4</v>
      </c>
      <c r="BG3606" s="35" t="n">
        <f aca="false">BA3606-BF3606</f>
        <v>-0.400000000000091</v>
      </c>
      <c r="BH3606" s="19" t="str">
        <f aca="false">IF(BG3606=0,"",IF(BG3606&lt;&gt;BA3606,"erreur de calcul",IF(BD3606&lt;&gt;0,"pas de prix",IF(M3606&lt;&gt; 0,"pas de quantité","pas de prix, ni de quantité"))))</f>
        <v>erreur de calcul</v>
      </c>
      <c r="BI3606" s="19"/>
    </row>
    <row r="3607" customFormat="false" ht="15" hidden="false" customHeight="false" outlineLevel="0" collapsed="false">
      <c r="A3607" s="0" t="n">
        <v>18</v>
      </c>
      <c r="B3607" s="8" t="s">
        <v>24</v>
      </c>
      <c r="C3607" s="9" t="s">
        <v>25</v>
      </c>
      <c r="D3607" s="9" t="s">
        <v>26</v>
      </c>
      <c r="E3607" s="10" t="n">
        <v>1789</v>
      </c>
      <c r="F3607" s="9" t="s">
        <v>27</v>
      </c>
      <c r="G3607" s="9" t="s">
        <v>27</v>
      </c>
      <c r="H3607" s="11" t="n">
        <v>21</v>
      </c>
      <c r="I3607" s="11" t="s">
        <v>171</v>
      </c>
      <c r="J3607" s="14" t="n">
        <v>90</v>
      </c>
      <c r="K3607" s="14"/>
      <c r="L3607" s="16"/>
      <c r="M3607" s="27" t="n">
        <f aca="false">J3607+(K3607/20)+(L3607/240)</f>
        <v>90</v>
      </c>
      <c r="N3607" s="17" t="s">
        <v>64</v>
      </c>
      <c r="O3607" s="11"/>
      <c r="P3607" s="28"/>
      <c r="Q3607" s="28" t="n">
        <f aca="false">P3607*$M3607</f>
        <v>0</v>
      </c>
      <c r="R3607" s="28"/>
      <c r="S3607" s="28" t="n">
        <f aca="false">R3607*$M3607</f>
        <v>0</v>
      </c>
      <c r="T3607" s="28"/>
      <c r="U3607" s="28" t="n">
        <f aca="false">T3607*$M3607</f>
        <v>0</v>
      </c>
      <c r="V3607" s="28"/>
      <c r="W3607" s="28" t="n">
        <f aca="false">V3607*$M3607</f>
        <v>0</v>
      </c>
      <c r="X3607" s="28"/>
      <c r="Y3607" s="28" t="n">
        <f aca="false">X3607*$M3607</f>
        <v>0</v>
      </c>
      <c r="Z3607" s="28"/>
      <c r="AA3607" s="28" t="n">
        <f aca="false">Z3607*$M3607</f>
        <v>0</v>
      </c>
      <c r="AB3607" s="28"/>
      <c r="AC3607" s="28" t="n">
        <f aca="false">AB3607*$M3607</f>
        <v>0</v>
      </c>
      <c r="AD3607" s="28"/>
      <c r="AE3607" s="28" t="n">
        <f aca="false">AD3607*$M3607</f>
        <v>0</v>
      </c>
      <c r="AF3607" s="28"/>
      <c r="AG3607" s="28" t="n">
        <f aca="false">AF3607*$M3607</f>
        <v>0</v>
      </c>
      <c r="AH3607" s="28" t="n">
        <f aca="false">5337/100</f>
        <v>53.37</v>
      </c>
      <c r="AI3607" s="28" t="n">
        <v>4803</v>
      </c>
      <c r="AJ3607" s="28"/>
      <c r="AK3607" s="28" t="n">
        <f aca="false">AJ3607*$M3607</f>
        <v>0</v>
      </c>
      <c r="AL3607" s="28"/>
      <c r="AM3607" s="28" t="n">
        <f aca="false">AL3607*$M3607</f>
        <v>0</v>
      </c>
      <c r="AN3607" s="28"/>
      <c r="AO3607" s="28" t="n">
        <f aca="false">AN3607*$M3607</f>
        <v>0</v>
      </c>
      <c r="AP3607" s="28"/>
      <c r="AQ3607" s="28" t="n">
        <f aca="false">AP3607*$M3607</f>
        <v>0</v>
      </c>
      <c r="AR3607" s="28"/>
      <c r="AS3607" s="28" t="n">
        <f aca="false">AR3607*$M3607</f>
        <v>0</v>
      </c>
      <c r="AT3607" s="28"/>
      <c r="AU3607" s="28" t="n">
        <f aca="false">AT3607*$M3607</f>
        <v>0</v>
      </c>
      <c r="AV3607" s="28"/>
      <c r="AW3607" s="28" t="n">
        <f aca="false">AV3607*$M3607</f>
        <v>0</v>
      </c>
      <c r="AX3607" s="28"/>
      <c r="AY3607" s="28" t="n">
        <f aca="false">AX3607*$M3607</f>
        <v>0</v>
      </c>
      <c r="AZ3607" s="30" t="n">
        <f aca="false">5337/100</f>
        <v>53.37</v>
      </c>
      <c r="BA3607" s="11" t="n">
        <v>4803</v>
      </c>
      <c r="BB3607" s="31" t="n">
        <f aca="false">SUM(Q3607,S3607,U3607,W3607,Y3607,AA3607,AC3607,AE3607,AG3607,AI3607,AK3607,AM3607,AO3607,AQ3607,AS3607,AU3607,AW3607,AY3607)</f>
        <v>4803</v>
      </c>
      <c r="BC3607" s="28" t="n">
        <f aca="false">BA3607-BB3607</f>
        <v>0</v>
      </c>
      <c r="BD3607" s="32" t="n">
        <f aca="false">SUM(P3607,R3607,T3607,V3607,X3607,Z3607,AB3607,AD3607,AF3607,AH3607,AJ3607,AL3607,AN3607,AP3607,AR3607,AT3607,AV3607,AX3607)</f>
        <v>53.37</v>
      </c>
      <c r="BE3607" s="33" t="n">
        <f aca="false">AZ3607-BD3607</f>
        <v>0</v>
      </c>
      <c r="BF3607" s="34" t="n">
        <f aca="false">BD3607*M3607</f>
        <v>4803.3</v>
      </c>
      <c r="BG3607" s="35" t="n">
        <f aca="false">BA3607-BF3607</f>
        <v>-0.300000000000182</v>
      </c>
      <c r="BH3607" s="19" t="str">
        <f aca="false">IF(BG3607=0,"",IF(BG3607&lt;&gt;BA3607,"erreur de calcul",IF(BD3607&lt;&gt;0,"pas de prix",IF(M3607&lt;&gt; 0,"pas de quantité","pas de prix, ni de quantité"))))</f>
        <v>erreur de calcul</v>
      </c>
      <c r="BI3607" s="19"/>
    </row>
    <row r="3608" customFormat="false" ht="15" hidden="false" customHeight="false" outlineLevel="0" collapsed="false">
      <c r="A3608" s="0" t="n">
        <v>19</v>
      </c>
      <c r="B3608" s="8" t="s">
        <v>24</v>
      </c>
      <c r="C3608" s="9" t="s">
        <v>25</v>
      </c>
      <c r="D3608" s="9" t="s">
        <v>26</v>
      </c>
      <c r="E3608" s="10" t="n">
        <v>1789</v>
      </c>
      <c r="F3608" s="9" t="s">
        <v>27</v>
      </c>
      <c r="G3608" s="9" t="s">
        <v>27</v>
      </c>
      <c r="H3608" s="11" t="n">
        <v>21</v>
      </c>
      <c r="I3608" s="11" t="s">
        <v>172</v>
      </c>
      <c r="J3608" s="14" t="n">
        <v>15</v>
      </c>
      <c r="K3608" s="14"/>
      <c r="L3608" s="16"/>
      <c r="M3608" s="27" t="n">
        <f aca="false">J3608+(K3608/20)+(L3608/240)</f>
        <v>15</v>
      </c>
      <c r="N3608" s="17" t="s">
        <v>64</v>
      </c>
      <c r="O3608" s="11" t="s">
        <v>77</v>
      </c>
      <c r="P3608" s="28"/>
      <c r="Q3608" s="28" t="n">
        <f aca="false">P3608*$M3608</f>
        <v>0</v>
      </c>
      <c r="R3608" s="28"/>
      <c r="S3608" s="28" t="n">
        <f aca="false">R3608*$M3608</f>
        <v>0</v>
      </c>
      <c r="T3608" s="28"/>
      <c r="U3608" s="28" t="n">
        <f aca="false">T3608*$M3608</f>
        <v>0</v>
      </c>
      <c r="V3608" s="28"/>
      <c r="W3608" s="28" t="n">
        <f aca="false">V3608*$M3608</f>
        <v>0</v>
      </c>
      <c r="X3608" s="28"/>
      <c r="Y3608" s="28" t="n">
        <f aca="false">X3608*$M3608</f>
        <v>0</v>
      </c>
      <c r="Z3608" s="28"/>
      <c r="AA3608" s="28" t="n">
        <f aca="false">Z3608*$M3608</f>
        <v>0</v>
      </c>
      <c r="AB3608" s="28"/>
      <c r="AC3608" s="28" t="n">
        <f aca="false">AB3608*$M3608</f>
        <v>0</v>
      </c>
      <c r="AD3608" s="28"/>
      <c r="AE3608" s="28" t="n">
        <f aca="false">AD3608*$M3608</f>
        <v>0</v>
      </c>
      <c r="AF3608" s="28"/>
      <c r="AG3608" s="28" t="n">
        <f aca="false">AF3608*$M3608</f>
        <v>0</v>
      </c>
      <c r="AH3608" s="28"/>
      <c r="AI3608" s="28" t="n">
        <f aca="false">AH3608*$M3608</f>
        <v>0</v>
      </c>
      <c r="AJ3608" s="28"/>
      <c r="AK3608" s="28" t="n">
        <f aca="false">AJ3608*$M3608</f>
        <v>0</v>
      </c>
      <c r="AL3608" s="28"/>
      <c r="AM3608" s="28" t="n">
        <f aca="false">AL3608*$M3608</f>
        <v>0</v>
      </c>
      <c r="AN3608" s="28"/>
      <c r="AO3608" s="28" t="n">
        <f aca="false">AN3608*$M3608</f>
        <v>0</v>
      </c>
      <c r="AP3608" s="28"/>
      <c r="AQ3608" s="28" t="n">
        <f aca="false">AP3608*$M3608</f>
        <v>0</v>
      </c>
      <c r="AR3608" s="28"/>
      <c r="AS3608" s="28" t="n">
        <f aca="false">AR3608*$M3608</f>
        <v>0</v>
      </c>
      <c r="AT3608" s="28"/>
      <c r="AU3608" s="28" t="n">
        <f aca="false">AT3608*$M3608</f>
        <v>0</v>
      </c>
      <c r="AV3608" s="28"/>
      <c r="AW3608" s="28" t="n">
        <f aca="false">AV3608*$M3608</f>
        <v>0</v>
      </c>
      <c r="AX3608" s="28"/>
      <c r="AY3608" s="28" t="n">
        <f aca="false">AX3608*$M3608</f>
        <v>0</v>
      </c>
      <c r="AZ3608" s="30"/>
      <c r="BA3608" s="11"/>
      <c r="BB3608" s="31" t="n">
        <f aca="false">SUM(Q3608,S3608,U3608,W3608,Y3608,AA3608,AC3608,AE3608,AG3608,AI3608,AK3608,AM3608,AO3608,AQ3608,AS3608,AU3608,AW3608,AY3608)</f>
        <v>0</v>
      </c>
      <c r="BC3608" s="28" t="n">
        <f aca="false">BA3608-BB3608</f>
        <v>0</v>
      </c>
      <c r="BD3608" s="32" t="n">
        <f aca="false">SUM(P3608,R3608,T3608,V3608,X3608,Z3608,AB3608,AD3608,AF3608,AH3608,AJ3608,AL3608,AN3608,AP3608,AR3608,AT3608,AV3608,AX3608)</f>
        <v>0</v>
      </c>
      <c r="BE3608" s="33" t="n">
        <f aca="false">AZ3608-BD3608</f>
        <v>0</v>
      </c>
      <c r="BF3608" s="34" t="n">
        <f aca="false">BD3608*M3608</f>
        <v>0</v>
      </c>
      <c r="BG3608" s="35" t="n">
        <f aca="false">BA3608-BF3608</f>
        <v>0</v>
      </c>
      <c r="BH3608" s="19" t="str">
        <f aca="false">IF(BG3608=0,"",IF(BG3608&lt;&gt;BA3608,"erreur de calcul",IF(BD3608&lt;&gt;0,"pas de prix",IF(M3608&lt;&gt; 0,"pas de quantité","pas de prix, ni de quantité"))))</f>
        <v/>
      </c>
      <c r="BI3608" s="19"/>
    </row>
    <row r="3609" customFormat="false" ht="15" hidden="false" customHeight="false" outlineLevel="0" collapsed="false">
      <c r="A3609" s="0" t="n">
        <v>20</v>
      </c>
      <c r="B3609" s="8" t="s">
        <v>24</v>
      </c>
      <c r="C3609" s="9" t="s">
        <v>25</v>
      </c>
      <c r="D3609" s="9" t="s">
        <v>26</v>
      </c>
      <c r="E3609" s="10" t="n">
        <v>1789</v>
      </c>
      <c r="F3609" s="9" t="s">
        <v>27</v>
      </c>
      <c r="G3609" s="9" t="s">
        <v>27</v>
      </c>
      <c r="H3609" s="11" t="n">
        <v>21</v>
      </c>
      <c r="I3609" s="11" t="s">
        <v>173</v>
      </c>
      <c r="J3609" s="14" t="n">
        <v>36</v>
      </c>
      <c r="K3609" s="14"/>
      <c r="L3609" s="16"/>
      <c r="M3609" s="27" t="n">
        <f aca="false">J3609+(K3609/20)+(L3609/240)</f>
        <v>36</v>
      </c>
      <c r="N3609" s="17" t="s">
        <v>64</v>
      </c>
      <c r="O3609" s="11"/>
      <c r="P3609" s="28"/>
      <c r="Q3609" s="28" t="n">
        <f aca="false">P3609*$M3609</f>
        <v>0</v>
      </c>
      <c r="R3609" s="28"/>
      <c r="S3609" s="28" t="n">
        <f aca="false">R3609*$M3609</f>
        <v>0</v>
      </c>
      <c r="T3609" s="28"/>
      <c r="U3609" s="28" t="n">
        <f aca="false">T3609*$M3609</f>
        <v>0</v>
      </c>
      <c r="V3609" s="28"/>
      <c r="W3609" s="28" t="n">
        <f aca="false">V3609*$M3609</f>
        <v>0</v>
      </c>
      <c r="X3609" s="28"/>
      <c r="Y3609" s="28" t="n">
        <f aca="false">X3609*$M3609</f>
        <v>0</v>
      </c>
      <c r="Z3609" s="28"/>
      <c r="AA3609" s="28" t="n">
        <f aca="false">Z3609*$M3609</f>
        <v>0</v>
      </c>
      <c r="AB3609" s="28" t="n">
        <f aca="false">80722/100</f>
        <v>807.22</v>
      </c>
      <c r="AC3609" s="28" t="n">
        <v>29060</v>
      </c>
      <c r="AD3609" s="28"/>
      <c r="AE3609" s="28" t="n">
        <f aca="false">AD3609*$M3609</f>
        <v>0</v>
      </c>
      <c r="AF3609" s="28"/>
      <c r="AG3609" s="28" t="n">
        <f aca="false">AF3609*$M3609</f>
        <v>0</v>
      </c>
      <c r="AH3609" s="28"/>
      <c r="AI3609" s="28" t="n">
        <f aca="false">AH3609*$M3609</f>
        <v>0</v>
      </c>
      <c r="AJ3609" s="28"/>
      <c r="AK3609" s="28" t="n">
        <f aca="false">AJ3609*$M3609</f>
        <v>0</v>
      </c>
      <c r="AL3609" s="28"/>
      <c r="AM3609" s="28" t="n">
        <f aca="false">AL3609*$M3609</f>
        <v>0</v>
      </c>
      <c r="AN3609" s="28"/>
      <c r="AO3609" s="28" t="n">
        <f aca="false">AN3609*$M3609</f>
        <v>0</v>
      </c>
      <c r="AP3609" s="28"/>
      <c r="AQ3609" s="28" t="n">
        <f aca="false">AP3609*$M3609</f>
        <v>0</v>
      </c>
      <c r="AR3609" s="28"/>
      <c r="AS3609" s="28" t="n">
        <f aca="false">AR3609*$M3609</f>
        <v>0</v>
      </c>
      <c r="AT3609" s="28"/>
      <c r="AU3609" s="28" t="n">
        <f aca="false">AT3609*$M3609</f>
        <v>0</v>
      </c>
      <c r="AV3609" s="28"/>
      <c r="AW3609" s="28" t="n">
        <f aca="false">AV3609*$M3609</f>
        <v>0</v>
      </c>
      <c r="AX3609" s="28"/>
      <c r="AY3609" s="28" t="n">
        <f aca="false">AX3609*$M3609</f>
        <v>0</v>
      </c>
      <c r="AZ3609" s="30" t="n">
        <f aca="false">80722/100</f>
        <v>807.22</v>
      </c>
      <c r="BA3609" s="11" t="n">
        <v>29060</v>
      </c>
      <c r="BB3609" s="31" t="n">
        <f aca="false">SUM(Q3609,S3609,U3609,W3609,Y3609,AA3609,AC3609,AE3609,AG3609,AI3609,AK3609,AM3609,AO3609,AQ3609,AS3609,AU3609,AW3609,AY3609)</f>
        <v>29060</v>
      </c>
      <c r="BC3609" s="28" t="n">
        <f aca="false">BA3609-BB3609</f>
        <v>0</v>
      </c>
      <c r="BD3609" s="32" t="n">
        <f aca="false">SUM(P3609,R3609,T3609,V3609,X3609,Z3609,AB3609,AD3609,AF3609,AH3609,AJ3609,AL3609,AN3609,AP3609,AR3609,AT3609,AV3609,AX3609)</f>
        <v>807.22</v>
      </c>
      <c r="BE3609" s="33" t="n">
        <f aca="false">AZ3609-BD3609</f>
        <v>0</v>
      </c>
      <c r="BF3609" s="34" t="n">
        <f aca="false">BD3609*M3609</f>
        <v>29059.92</v>
      </c>
      <c r="BG3609" s="35" t="n">
        <f aca="false">BA3609-BF3609</f>
        <v>0.0799999999981083</v>
      </c>
      <c r="BH3609" s="19" t="str">
        <f aca="false">IF(BG3609=0,"",IF(BG3609&lt;&gt;BA3609,"erreur de calcul",IF(BD3609&lt;&gt;0,"pas de prix",IF(M3609&lt;&gt; 0,"pas de quantité","pas de prix, ni de quantité"))))</f>
        <v>erreur de calcul</v>
      </c>
      <c r="BI3609" s="19"/>
    </row>
    <row r="3610" customFormat="false" ht="15" hidden="false" customHeight="false" outlineLevel="0" collapsed="false">
      <c r="A3610" s="0" t="n">
        <v>21</v>
      </c>
      <c r="B3610" s="8" t="s">
        <v>24</v>
      </c>
      <c r="C3610" s="9" t="s">
        <v>25</v>
      </c>
      <c r="D3610" s="9" t="s">
        <v>26</v>
      </c>
      <c r="E3610" s="10" t="n">
        <v>1789</v>
      </c>
      <c r="F3610" s="9" t="s">
        <v>27</v>
      </c>
      <c r="G3610" s="9" t="s">
        <v>27</v>
      </c>
      <c r="H3610" s="11" t="n">
        <v>21</v>
      </c>
      <c r="I3610" s="11" t="s">
        <v>174</v>
      </c>
      <c r="J3610" s="14" t="n">
        <v>31</v>
      </c>
      <c r="K3610" s="14"/>
      <c r="L3610" s="16"/>
      <c r="M3610" s="27" t="n">
        <f aca="false">J3610+(K3610/20)+(L3610/240)</f>
        <v>31</v>
      </c>
      <c r="N3610" s="17" t="s">
        <v>64</v>
      </c>
      <c r="O3610" s="11"/>
      <c r="P3610" s="28"/>
      <c r="Q3610" s="28" t="n">
        <f aca="false">P3610*$M3610</f>
        <v>0</v>
      </c>
      <c r="R3610" s="28"/>
      <c r="S3610" s="28" t="n">
        <f aca="false">R3610*$M3610</f>
        <v>0</v>
      </c>
      <c r="T3610" s="28"/>
      <c r="U3610" s="28" t="n">
        <f aca="false">T3610*$M3610</f>
        <v>0</v>
      </c>
      <c r="V3610" s="28"/>
      <c r="W3610" s="28" t="n">
        <f aca="false">V3610*$M3610</f>
        <v>0</v>
      </c>
      <c r="X3610" s="28"/>
      <c r="Y3610" s="28" t="n">
        <f aca="false">X3610*$M3610</f>
        <v>0</v>
      </c>
      <c r="Z3610" s="28"/>
      <c r="AA3610" s="28" t="n">
        <f aca="false">Z3610*$M3610</f>
        <v>0</v>
      </c>
      <c r="AB3610" s="28"/>
      <c r="AC3610" s="28" t="n">
        <f aca="false">AB3610*$M3610</f>
        <v>0</v>
      </c>
      <c r="AD3610" s="28"/>
      <c r="AE3610" s="28" t="n">
        <f aca="false">AD3610*$M3610</f>
        <v>0</v>
      </c>
      <c r="AF3610" s="28" t="n">
        <f aca="false">4599/100</f>
        <v>45.99</v>
      </c>
      <c r="AG3610" s="28" t="n">
        <v>1426</v>
      </c>
      <c r="AH3610" s="28" t="n">
        <f aca="false">12691/100</f>
        <v>126.91</v>
      </c>
      <c r="AI3610" s="28" t="n">
        <v>3934</v>
      </c>
      <c r="AJ3610" s="28"/>
      <c r="AK3610" s="28" t="n">
        <f aca="false">AJ3610*$M3610</f>
        <v>0</v>
      </c>
      <c r="AL3610" s="28"/>
      <c r="AM3610" s="28" t="n">
        <f aca="false">AL3610*$M3610</f>
        <v>0</v>
      </c>
      <c r="AN3610" s="28"/>
      <c r="AO3610" s="28" t="n">
        <f aca="false">AN3610*$M3610</f>
        <v>0</v>
      </c>
      <c r="AP3610" s="28"/>
      <c r="AQ3610" s="28" t="n">
        <f aca="false">AP3610*$M3610</f>
        <v>0</v>
      </c>
      <c r="AR3610" s="28"/>
      <c r="AS3610" s="28" t="n">
        <f aca="false">AR3610*$M3610</f>
        <v>0</v>
      </c>
      <c r="AT3610" s="28"/>
      <c r="AU3610" s="28" t="n">
        <f aca="false">AT3610*$M3610</f>
        <v>0</v>
      </c>
      <c r="AV3610" s="28"/>
      <c r="AW3610" s="28" t="n">
        <f aca="false">AV3610*$M3610</f>
        <v>0</v>
      </c>
      <c r="AX3610" s="28"/>
      <c r="AY3610" s="28" t="n">
        <f aca="false">AX3610*$M3610</f>
        <v>0</v>
      </c>
      <c r="AZ3610" s="30" t="n">
        <f aca="false">17290/100</f>
        <v>172.9</v>
      </c>
      <c r="BA3610" s="11" t="n">
        <v>5360</v>
      </c>
      <c r="BB3610" s="31" t="n">
        <f aca="false">SUM(Q3610,S3610,U3610,W3610,Y3610,AA3610,AC3610,AE3610,AG3610,AI3610,AK3610,AM3610,AO3610,AQ3610,AS3610,AU3610,AW3610,AY3610)</f>
        <v>5360</v>
      </c>
      <c r="BC3610" s="28" t="n">
        <f aca="false">BA3610-BB3610</f>
        <v>0</v>
      </c>
      <c r="BD3610" s="32" t="n">
        <f aca="false">SUM(P3610,R3610,T3610,V3610,X3610,Z3610,AB3610,AD3610,AF3610,AH3610,AJ3610,AL3610,AN3610,AP3610,AR3610,AT3610,AV3610,AX3610)</f>
        <v>172.9</v>
      </c>
      <c r="BE3610" s="33" t="n">
        <f aca="false">AZ3610-BD3610</f>
        <v>0</v>
      </c>
      <c r="BF3610" s="34" t="n">
        <f aca="false">BD3610*M3610</f>
        <v>5359.9</v>
      </c>
      <c r="BG3610" s="35" t="n">
        <f aca="false">BA3610-BF3610</f>
        <v>0.0999999999994543</v>
      </c>
      <c r="BH3610" s="19" t="str">
        <f aca="false">IF(BG3610=0,"",IF(BG3610&lt;&gt;BA3610,"erreur de calcul",IF(BD3610&lt;&gt;0,"pas de prix",IF(M3610&lt;&gt; 0,"pas de quantité","pas de prix, ni de quantité"))))</f>
        <v>erreur de calcul</v>
      </c>
      <c r="BI3610" s="19"/>
    </row>
    <row r="3611" customFormat="false" ht="15" hidden="false" customHeight="false" outlineLevel="0" collapsed="false">
      <c r="A3611" s="0" t="n">
        <v>22</v>
      </c>
      <c r="B3611" s="8" t="s">
        <v>24</v>
      </c>
      <c r="C3611" s="9" t="s">
        <v>25</v>
      </c>
      <c r="D3611" s="9" t="s">
        <v>26</v>
      </c>
      <c r="E3611" s="10" t="n">
        <v>1789</v>
      </c>
      <c r="F3611" s="9" t="s">
        <v>27</v>
      </c>
      <c r="G3611" s="9" t="s">
        <v>27</v>
      </c>
      <c r="H3611" s="11" t="n">
        <v>21</v>
      </c>
      <c r="I3611" s="11" t="s">
        <v>175</v>
      </c>
      <c r="J3611" s="14" t="n">
        <v>120</v>
      </c>
      <c r="K3611" s="14"/>
      <c r="L3611" s="16"/>
      <c r="M3611" s="27" t="n">
        <f aca="false">J3611+(K3611/20)+(L3611/240)</f>
        <v>120</v>
      </c>
      <c r="N3611" s="17" t="s">
        <v>64</v>
      </c>
      <c r="O3611" s="11"/>
      <c r="P3611" s="28"/>
      <c r="Q3611" s="28" t="n">
        <f aca="false">P3611*$M3611</f>
        <v>0</v>
      </c>
      <c r="R3611" s="28"/>
      <c r="S3611" s="28" t="n">
        <f aca="false">R3611*$M3611</f>
        <v>0</v>
      </c>
      <c r="T3611" s="28"/>
      <c r="U3611" s="28" t="n">
        <f aca="false">T3611*$M3611</f>
        <v>0</v>
      </c>
      <c r="V3611" s="28" t="n">
        <f aca="false">2364/100</f>
        <v>23.64</v>
      </c>
      <c r="W3611" s="28" t="n">
        <v>2837</v>
      </c>
      <c r="X3611" s="28"/>
      <c r="Y3611" s="28" t="n">
        <f aca="false">X3611*$M3611</f>
        <v>0</v>
      </c>
      <c r="Z3611" s="28"/>
      <c r="AA3611" s="28" t="n">
        <f aca="false">Z3611*$M3611</f>
        <v>0</v>
      </c>
      <c r="AB3611" s="28"/>
      <c r="AC3611" s="28" t="n">
        <f aca="false">AB3611*$M3611</f>
        <v>0</v>
      </c>
      <c r="AD3611" s="28"/>
      <c r="AE3611" s="28" t="n">
        <f aca="false">AD3611*$M3611</f>
        <v>0</v>
      </c>
      <c r="AF3611" s="28"/>
      <c r="AG3611" s="28" t="n">
        <f aca="false">AF3611*$M3611</f>
        <v>0</v>
      </c>
      <c r="AH3611" s="28"/>
      <c r="AI3611" s="28" t="n">
        <f aca="false">AH3611*$M3611</f>
        <v>0</v>
      </c>
      <c r="AJ3611" s="28"/>
      <c r="AK3611" s="28" t="n">
        <f aca="false">AJ3611*$M3611</f>
        <v>0</v>
      </c>
      <c r="AL3611" s="28"/>
      <c r="AM3611" s="28" t="n">
        <f aca="false">AL3611*$M3611</f>
        <v>0</v>
      </c>
      <c r="AN3611" s="28"/>
      <c r="AO3611" s="28" t="n">
        <f aca="false">AN3611*$M3611</f>
        <v>0</v>
      </c>
      <c r="AP3611" s="28"/>
      <c r="AQ3611" s="28" t="n">
        <f aca="false">AP3611*$M3611</f>
        <v>0</v>
      </c>
      <c r="AR3611" s="28"/>
      <c r="AS3611" s="28" t="n">
        <f aca="false">AR3611*$M3611</f>
        <v>0</v>
      </c>
      <c r="AT3611" s="28"/>
      <c r="AU3611" s="28" t="n">
        <f aca="false">AT3611*$M3611</f>
        <v>0</v>
      </c>
      <c r="AV3611" s="28"/>
      <c r="AW3611" s="28" t="n">
        <f aca="false">AV3611*$M3611</f>
        <v>0</v>
      </c>
      <c r="AX3611" s="28"/>
      <c r="AY3611" s="28" t="n">
        <f aca="false">AX3611*$M3611</f>
        <v>0</v>
      </c>
      <c r="AZ3611" s="30" t="n">
        <f aca="false">2364/100</f>
        <v>23.64</v>
      </c>
      <c r="BA3611" s="11" t="n">
        <v>2837</v>
      </c>
      <c r="BB3611" s="31" t="n">
        <f aca="false">SUM(Q3611,S3611,U3611,W3611,Y3611,AA3611,AC3611,AE3611,AG3611,AI3611,AK3611,AM3611,AO3611,AQ3611,AS3611,AU3611,AW3611,AY3611)</f>
        <v>2837</v>
      </c>
      <c r="BC3611" s="28" t="n">
        <f aca="false">BA3611-BB3611</f>
        <v>0</v>
      </c>
      <c r="BD3611" s="32" t="n">
        <f aca="false">SUM(P3611,R3611,T3611,V3611,X3611,Z3611,AB3611,AD3611,AF3611,AH3611,AJ3611,AL3611,AN3611,AP3611,AR3611,AT3611,AV3611,AX3611)</f>
        <v>23.64</v>
      </c>
      <c r="BE3611" s="33" t="n">
        <f aca="false">AZ3611-BD3611</f>
        <v>0</v>
      </c>
      <c r="BF3611" s="34" t="n">
        <f aca="false">BD3611*M3611</f>
        <v>2836.8</v>
      </c>
      <c r="BG3611" s="35" t="n">
        <f aca="false">BA3611-BF3611</f>
        <v>0.199999999999818</v>
      </c>
      <c r="BH3611" s="19" t="str">
        <f aca="false">IF(BG3611=0,"",IF(BG3611&lt;&gt;BA3611,"erreur de calcul",IF(BD3611&lt;&gt;0,"pas de prix",IF(M3611&lt;&gt; 0,"pas de quantité","pas de prix, ni de quantité"))))</f>
        <v>erreur de calcul</v>
      </c>
      <c r="BI3611" s="19"/>
    </row>
    <row r="3612" customFormat="false" ht="15" hidden="false" customHeight="false" outlineLevel="0" collapsed="false">
      <c r="A3612" s="0" t="n">
        <v>23</v>
      </c>
      <c r="B3612" s="8" t="s">
        <v>24</v>
      </c>
      <c r="C3612" s="9" t="s">
        <v>25</v>
      </c>
      <c r="D3612" s="9" t="s">
        <v>26</v>
      </c>
      <c r="E3612" s="10" t="n">
        <v>1789</v>
      </c>
      <c r="F3612" s="9" t="s">
        <v>27</v>
      </c>
      <c r="G3612" s="9" t="s">
        <v>27</v>
      </c>
      <c r="H3612" s="11" t="n">
        <v>21</v>
      </c>
      <c r="I3612" s="11" t="s">
        <v>176</v>
      </c>
      <c r="J3612" s="14" t="n">
        <v>170</v>
      </c>
      <c r="K3612" s="14"/>
      <c r="L3612" s="16"/>
      <c r="M3612" s="27" t="n">
        <f aca="false">J3612+(K3612/20)+(L3612/240)</f>
        <v>170</v>
      </c>
      <c r="N3612" s="17" t="s">
        <v>64</v>
      </c>
      <c r="O3612" s="11"/>
      <c r="P3612" s="28" t="n">
        <f aca="false">9760/100</f>
        <v>97.6</v>
      </c>
      <c r="Q3612" s="28" t="n">
        <v>16592</v>
      </c>
      <c r="R3612" s="28"/>
      <c r="S3612" s="28" t="n">
        <f aca="false">R3612*$M3612</f>
        <v>0</v>
      </c>
      <c r="T3612" s="28"/>
      <c r="U3612" s="28" t="n">
        <f aca="false">T3612*$M3612</f>
        <v>0</v>
      </c>
      <c r="V3612" s="28"/>
      <c r="W3612" s="28" t="n">
        <f aca="false">V3612*$M3612</f>
        <v>0</v>
      </c>
      <c r="X3612" s="28" t="n">
        <f aca="false">1589/100</f>
        <v>15.89</v>
      </c>
      <c r="Y3612" s="28" t="n">
        <v>2701</v>
      </c>
      <c r="Z3612" s="28"/>
      <c r="AA3612" s="28" t="n">
        <f aca="false">Z3612*$M3612</f>
        <v>0</v>
      </c>
      <c r="AB3612" s="28"/>
      <c r="AC3612" s="28" t="n">
        <f aca="false">AB3612*$M3612</f>
        <v>0</v>
      </c>
      <c r="AD3612" s="28"/>
      <c r="AE3612" s="28" t="n">
        <f aca="false">AD3612*$M3612</f>
        <v>0</v>
      </c>
      <c r="AF3612" s="28"/>
      <c r="AG3612" s="28" t="n">
        <f aca="false">AF3612*$M3612</f>
        <v>0</v>
      </c>
      <c r="AH3612" s="28"/>
      <c r="AI3612" s="28" t="n">
        <f aca="false">AH3612*$M3612</f>
        <v>0</v>
      </c>
      <c r="AJ3612" s="28"/>
      <c r="AK3612" s="28" t="n">
        <f aca="false">AJ3612*$M3612</f>
        <v>0</v>
      </c>
      <c r="AL3612" s="28"/>
      <c r="AM3612" s="28" t="n">
        <f aca="false">AL3612*$M3612</f>
        <v>0</v>
      </c>
      <c r="AN3612" s="28"/>
      <c r="AO3612" s="28" t="n">
        <f aca="false">AN3612*$M3612</f>
        <v>0</v>
      </c>
      <c r="AP3612" s="28"/>
      <c r="AQ3612" s="28" t="n">
        <f aca="false">AP3612*$M3612</f>
        <v>0</v>
      </c>
      <c r="AR3612" s="28"/>
      <c r="AS3612" s="28" t="n">
        <f aca="false">AR3612*$M3612</f>
        <v>0</v>
      </c>
      <c r="AT3612" s="28"/>
      <c r="AU3612" s="28" t="n">
        <f aca="false">AT3612*$M3612</f>
        <v>0</v>
      </c>
      <c r="AV3612" s="28"/>
      <c r="AW3612" s="28" t="n">
        <f aca="false">AV3612*$M3612</f>
        <v>0</v>
      </c>
      <c r="AX3612" s="28"/>
      <c r="AY3612" s="28" t="n">
        <f aca="false">AX3612*$M3612</f>
        <v>0</v>
      </c>
      <c r="AZ3612" s="30" t="n">
        <f aca="false">11349/100</f>
        <v>113.49</v>
      </c>
      <c r="BA3612" s="11" t="n">
        <v>19293</v>
      </c>
      <c r="BB3612" s="31" t="n">
        <f aca="false">SUM(Q3612,S3612,U3612,W3612,Y3612,AA3612,AC3612,AE3612,AG3612,AI3612,AK3612,AM3612,AO3612,AQ3612,AS3612,AU3612,AW3612,AY3612)</f>
        <v>19293</v>
      </c>
      <c r="BC3612" s="28" t="n">
        <f aca="false">BA3612-BB3612</f>
        <v>0</v>
      </c>
      <c r="BD3612" s="32" t="n">
        <f aca="false">SUM(P3612,R3612,T3612,V3612,X3612,Z3612,AB3612,AD3612,AF3612,AH3612,AJ3612,AL3612,AN3612,AP3612,AR3612,AT3612,AV3612,AX3612)</f>
        <v>113.49</v>
      </c>
      <c r="BE3612" s="33" t="n">
        <f aca="false">AZ3612-BD3612</f>
        <v>0</v>
      </c>
      <c r="BF3612" s="34" t="n">
        <f aca="false">BD3612*M3612</f>
        <v>19293.3</v>
      </c>
      <c r="BG3612" s="35" t="n">
        <f aca="false">BA3612-BF3612</f>
        <v>-0.299999999999272</v>
      </c>
      <c r="BH3612" s="19" t="str">
        <f aca="false">IF(BG3612=0,"",IF(BG3612&lt;&gt;BA3612,"erreur de calcul",IF(BD3612&lt;&gt;0,"pas de prix",IF(M3612&lt;&gt; 0,"pas de quantité","pas de prix, ni de quantité"))))</f>
        <v>erreur de calcul</v>
      </c>
      <c r="BI3612" s="19"/>
    </row>
    <row r="3613" customFormat="false" ht="15" hidden="false" customHeight="false" outlineLevel="0" collapsed="false">
      <c r="A3613" s="0" t="n">
        <v>24</v>
      </c>
      <c r="B3613" s="8" t="s">
        <v>24</v>
      </c>
      <c r="C3613" s="9" t="s">
        <v>25</v>
      </c>
      <c r="D3613" s="9" t="s">
        <v>26</v>
      </c>
      <c r="E3613" s="10" t="n">
        <v>1789</v>
      </c>
      <c r="F3613" s="9" t="s">
        <v>27</v>
      </c>
      <c r="G3613" s="9" t="s">
        <v>27</v>
      </c>
      <c r="H3613" s="11" t="n">
        <v>21</v>
      </c>
      <c r="I3613" s="11" t="s">
        <v>177</v>
      </c>
      <c r="J3613" s="14" t="n">
        <v>9</v>
      </c>
      <c r="K3613" s="14"/>
      <c r="L3613" s="16"/>
      <c r="M3613" s="27" t="n">
        <f aca="false">J3613+(K3613/20)+(L3613/240)</f>
        <v>9</v>
      </c>
      <c r="N3613" s="17" t="s">
        <v>66</v>
      </c>
      <c r="O3613" s="11"/>
      <c r="P3613" s="28"/>
      <c r="Q3613" s="28" t="n">
        <f aca="false">P3613*$M3613</f>
        <v>0</v>
      </c>
      <c r="R3613" s="28" t="n">
        <v>349</v>
      </c>
      <c r="S3613" s="28" t="n">
        <v>3141</v>
      </c>
      <c r="T3613" s="28"/>
      <c r="U3613" s="28" t="n">
        <f aca="false">T3613*$M3613</f>
        <v>0</v>
      </c>
      <c r="V3613" s="28" t="n">
        <v>315</v>
      </c>
      <c r="W3613" s="28" t="n">
        <v>2835</v>
      </c>
      <c r="X3613" s="28" t="n">
        <v>733</v>
      </c>
      <c r="Y3613" s="28" t="n">
        <v>6597</v>
      </c>
      <c r="Z3613" s="28"/>
      <c r="AA3613" s="28" t="n">
        <f aca="false">Z3613*$M3613</f>
        <v>0</v>
      </c>
      <c r="AB3613" s="28" t="n">
        <v>162</v>
      </c>
      <c r="AC3613" s="28" t="n">
        <v>1458</v>
      </c>
      <c r="AD3613" s="28"/>
      <c r="AE3613" s="28" t="n">
        <f aca="false">AD3613*$M3613</f>
        <v>0</v>
      </c>
      <c r="AF3613" s="28"/>
      <c r="AG3613" s="28" t="n">
        <f aca="false">AF3613*$M3613</f>
        <v>0</v>
      </c>
      <c r="AH3613" s="28"/>
      <c r="AI3613" s="28" t="n">
        <f aca="false">AH3613*$M3613</f>
        <v>0</v>
      </c>
      <c r="AJ3613" s="28"/>
      <c r="AK3613" s="28" t="n">
        <f aca="false">AJ3613*$M3613</f>
        <v>0</v>
      </c>
      <c r="AL3613" s="28"/>
      <c r="AM3613" s="28" t="n">
        <f aca="false">AL3613*$M3613</f>
        <v>0</v>
      </c>
      <c r="AN3613" s="28"/>
      <c r="AO3613" s="28" t="n">
        <f aca="false">AN3613*$M3613</f>
        <v>0</v>
      </c>
      <c r="AP3613" s="28"/>
      <c r="AQ3613" s="28" t="n">
        <f aca="false">AP3613*$M3613</f>
        <v>0</v>
      </c>
      <c r="AR3613" s="28"/>
      <c r="AS3613" s="28" t="n">
        <f aca="false">AR3613*$M3613</f>
        <v>0</v>
      </c>
      <c r="AT3613" s="28"/>
      <c r="AU3613" s="28" t="n">
        <f aca="false">AT3613*$M3613</f>
        <v>0</v>
      </c>
      <c r="AV3613" s="28"/>
      <c r="AW3613" s="28" t="n">
        <f aca="false">AV3613*$M3613</f>
        <v>0</v>
      </c>
      <c r="AX3613" s="28"/>
      <c r="AY3613" s="28" t="n">
        <f aca="false">AX3613*$M3613</f>
        <v>0</v>
      </c>
      <c r="AZ3613" s="30" t="n">
        <f aca="false">1559</f>
        <v>1559</v>
      </c>
      <c r="BA3613" s="11" t="n">
        <v>14031</v>
      </c>
      <c r="BB3613" s="31" t="n">
        <f aca="false">SUM(Q3613,S3613,U3613,W3613,Y3613,AA3613,AC3613,AE3613,AG3613,AI3613,AK3613,AM3613,AO3613,AQ3613,AS3613,AU3613,AW3613,AY3613)</f>
        <v>14031</v>
      </c>
      <c r="BC3613" s="28" t="n">
        <f aca="false">BA3613-BB3613</f>
        <v>0</v>
      </c>
      <c r="BD3613" s="32" t="n">
        <f aca="false">SUM(P3613,R3613,T3613,V3613,X3613,Z3613,AB3613,AD3613,AF3613,AH3613,AJ3613,AL3613,AN3613,AP3613,AR3613,AT3613,AV3613,AX3613)</f>
        <v>1559</v>
      </c>
      <c r="BE3613" s="33" t="n">
        <f aca="false">AZ3613-BD3613</f>
        <v>0</v>
      </c>
      <c r="BF3613" s="34" t="n">
        <f aca="false">BD3613*M3613</f>
        <v>14031</v>
      </c>
      <c r="BG3613" s="35" t="n">
        <f aca="false">BA3613-BF3613</f>
        <v>0</v>
      </c>
      <c r="BH3613" s="19" t="str">
        <f aca="false">IF(BG3613=0,"",IF(BG3613&lt;&gt;BA3613,"erreur de calcul",IF(BD3613&lt;&gt;0,"pas de prix",IF(M3613&lt;&gt; 0,"pas de quantité","pas de prix, ni de quantité"))))</f>
        <v/>
      </c>
      <c r="BI3613" s="19"/>
    </row>
    <row r="3614" customFormat="false" ht="15" hidden="false" customHeight="false" outlineLevel="0" collapsed="false">
      <c r="A3614" s="0" t="n">
        <v>25</v>
      </c>
      <c r="B3614" s="8" t="s">
        <v>24</v>
      </c>
      <c r="C3614" s="9" t="s">
        <v>25</v>
      </c>
      <c r="D3614" s="9" t="s">
        <v>26</v>
      </c>
      <c r="E3614" s="10" t="n">
        <v>1789</v>
      </c>
      <c r="F3614" s="9" t="s">
        <v>27</v>
      </c>
      <c r="G3614" s="9" t="s">
        <v>27</v>
      </c>
      <c r="H3614" s="11" t="n">
        <v>21</v>
      </c>
      <c r="I3614" s="11" t="s">
        <v>178</v>
      </c>
      <c r="J3614" s="14" t="n">
        <v>125</v>
      </c>
      <c r="K3614" s="14"/>
      <c r="L3614" s="16"/>
      <c r="M3614" s="27" t="n">
        <f aca="false">J3614+(K3614/20)+(L3614/240)</f>
        <v>125</v>
      </c>
      <c r="N3614" s="17" t="s">
        <v>64</v>
      </c>
      <c r="O3614" s="11"/>
      <c r="P3614" s="28"/>
      <c r="Q3614" s="28" t="n">
        <f aca="false">P3614*$M3614</f>
        <v>0</v>
      </c>
      <c r="R3614" s="28"/>
      <c r="S3614" s="28" t="n">
        <f aca="false">R3614*$M3614</f>
        <v>0</v>
      </c>
      <c r="T3614" s="28"/>
      <c r="U3614" s="28" t="n">
        <f aca="false">T3614*$M3614</f>
        <v>0</v>
      </c>
      <c r="V3614" s="28" t="n">
        <f aca="false">10764/100</f>
        <v>107.64</v>
      </c>
      <c r="W3614" s="28" t="n">
        <v>13455</v>
      </c>
      <c r="X3614" s="28" t="n">
        <f aca="false">13215/100</f>
        <v>132.15</v>
      </c>
      <c r="Y3614" s="28" t="n">
        <v>16519</v>
      </c>
      <c r="Z3614" s="28"/>
      <c r="AA3614" s="28" t="n">
        <f aca="false">Z3614*$M3614</f>
        <v>0</v>
      </c>
      <c r="AB3614" s="28" t="n">
        <f aca="false">188461/100</f>
        <v>1884.61</v>
      </c>
      <c r="AC3614" s="28" t="n">
        <v>235576</v>
      </c>
      <c r="AD3614" s="28"/>
      <c r="AE3614" s="28" t="n">
        <f aca="false">AD3614*$M3614</f>
        <v>0</v>
      </c>
      <c r="AF3614" s="28"/>
      <c r="AG3614" s="28" t="n">
        <f aca="false">AF3614*$M3614</f>
        <v>0</v>
      </c>
      <c r="AH3614" s="28"/>
      <c r="AI3614" s="28" t="n">
        <f aca="false">AH3614*$M3614</f>
        <v>0</v>
      </c>
      <c r="AJ3614" s="28"/>
      <c r="AK3614" s="28" t="n">
        <f aca="false">AJ3614*$M3614</f>
        <v>0</v>
      </c>
      <c r="AL3614" s="28"/>
      <c r="AM3614" s="28" t="n">
        <f aca="false">AL3614*$M3614</f>
        <v>0</v>
      </c>
      <c r="AN3614" s="28"/>
      <c r="AO3614" s="28" t="n">
        <f aca="false">AN3614*$M3614</f>
        <v>0</v>
      </c>
      <c r="AP3614" s="28"/>
      <c r="AQ3614" s="28" t="n">
        <f aca="false">AP3614*$M3614</f>
        <v>0</v>
      </c>
      <c r="AR3614" s="28"/>
      <c r="AS3614" s="28" t="n">
        <f aca="false">AR3614*$M3614</f>
        <v>0</v>
      </c>
      <c r="AT3614" s="28"/>
      <c r="AU3614" s="28" t="n">
        <f aca="false">AT3614*$M3614</f>
        <v>0</v>
      </c>
      <c r="AV3614" s="28"/>
      <c r="AW3614" s="28" t="n">
        <f aca="false">AV3614*$M3614</f>
        <v>0</v>
      </c>
      <c r="AX3614" s="28"/>
      <c r="AY3614" s="28" t="n">
        <f aca="false">AX3614*$M3614</f>
        <v>0</v>
      </c>
      <c r="AZ3614" s="30" t="n">
        <f aca="false">212440/100</f>
        <v>2124.4</v>
      </c>
      <c r="BA3614" s="11" t="n">
        <v>265550</v>
      </c>
      <c r="BB3614" s="31" t="n">
        <f aca="false">SUM(Q3614,S3614,U3614,W3614,Y3614,AA3614,AC3614,AE3614,AG3614,AI3614,AK3614,AM3614,AO3614,AQ3614,AS3614,AU3614,AW3614,AY3614)</f>
        <v>265550</v>
      </c>
      <c r="BC3614" s="28" t="n">
        <f aca="false">BA3614-BB3614</f>
        <v>0</v>
      </c>
      <c r="BD3614" s="32" t="n">
        <f aca="false">SUM(P3614,R3614,T3614,V3614,X3614,Z3614,AB3614,AD3614,AF3614,AH3614,AJ3614,AL3614,AN3614,AP3614,AR3614,AT3614,AV3614,AX3614)</f>
        <v>2124.4</v>
      </c>
      <c r="BE3614" s="33" t="n">
        <f aca="false">AZ3614-BD3614</f>
        <v>0</v>
      </c>
      <c r="BF3614" s="34" t="n">
        <f aca="false">BD3614*M3614</f>
        <v>265550</v>
      </c>
      <c r="BG3614" s="35" t="n">
        <f aca="false">BA3614-BF3614</f>
        <v>0</v>
      </c>
      <c r="BH3614" s="19" t="str">
        <f aca="false">IF(BG3614=0,"",IF(BG3614&lt;&gt;BA3614,"erreur de calcul",IF(BD3614&lt;&gt;0,"pas de prix",IF(M3614&lt;&gt; 0,"pas de quantité","pas de prix, ni de quantité"))))</f>
        <v/>
      </c>
      <c r="BI3614" s="19"/>
    </row>
    <row r="3615" customFormat="false" ht="15" hidden="false" customHeight="false" outlineLevel="0" collapsed="false">
      <c r="A3615" s="0" t="n">
        <v>26</v>
      </c>
      <c r="B3615" s="8" t="s">
        <v>24</v>
      </c>
      <c r="C3615" s="9" t="s">
        <v>25</v>
      </c>
      <c r="D3615" s="9" t="s">
        <v>26</v>
      </c>
      <c r="E3615" s="10" t="n">
        <v>1789</v>
      </c>
      <c r="F3615" s="9" t="s">
        <v>27</v>
      </c>
      <c r="G3615" s="9" t="s">
        <v>27</v>
      </c>
      <c r="H3615" s="11" t="n">
        <v>21</v>
      </c>
      <c r="I3615" s="11" t="s">
        <v>179</v>
      </c>
      <c r="J3615" s="14" t="n">
        <v>7</v>
      </c>
      <c r="K3615" s="14"/>
      <c r="L3615" s="16"/>
      <c r="M3615" s="27" t="n">
        <f aca="false">J3615+(K3615/20)+(L3615/240)</f>
        <v>7</v>
      </c>
      <c r="N3615" s="17" t="s">
        <v>66</v>
      </c>
      <c r="O3615" s="11"/>
      <c r="P3615" s="28" t="n">
        <v>8441</v>
      </c>
      <c r="Q3615" s="28" t="n">
        <v>59087</v>
      </c>
      <c r="R3615" s="28"/>
      <c r="S3615" s="28" t="n">
        <f aca="false">R3615*$M3615</f>
        <v>0</v>
      </c>
      <c r="T3615" s="28"/>
      <c r="U3615" s="28" t="n">
        <f aca="false">T3615*$M3615</f>
        <v>0</v>
      </c>
      <c r="V3615" s="28"/>
      <c r="W3615" s="28" t="n">
        <f aca="false">V3615*$M3615</f>
        <v>0</v>
      </c>
      <c r="X3615" s="28"/>
      <c r="Y3615" s="28" t="n">
        <f aca="false">X3615*$M3615</f>
        <v>0</v>
      </c>
      <c r="Z3615" s="28" t="n">
        <v>357</v>
      </c>
      <c r="AA3615" s="28" t="n">
        <v>2499</v>
      </c>
      <c r="AB3615" s="28"/>
      <c r="AC3615" s="28" t="n">
        <f aca="false">AB3615*$M3615</f>
        <v>0</v>
      </c>
      <c r="AD3615" s="28"/>
      <c r="AE3615" s="28" t="n">
        <f aca="false">AD3615*$M3615</f>
        <v>0</v>
      </c>
      <c r="AF3615" s="28"/>
      <c r="AG3615" s="28" t="n">
        <f aca="false">AF3615*$M3615</f>
        <v>0</v>
      </c>
      <c r="AH3615" s="28"/>
      <c r="AI3615" s="28" t="n">
        <f aca="false">AH3615*$M3615</f>
        <v>0</v>
      </c>
      <c r="AJ3615" s="28"/>
      <c r="AK3615" s="28" t="n">
        <f aca="false">AJ3615*$M3615</f>
        <v>0</v>
      </c>
      <c r="AL3615" s="28"/>
      <c r="AM3615" s="28" t="n">
        <f aca="false">AL3615*$M3615</f>
        <v>0</v>
      </c>
      <c r="AN3615" s="28"/>
      <c r="AO3615" s="28" t="n">
        <f aca="false">AN3615*$M3615</f>
        <v>0</v>
      </c>
      <c r="AP3615" s="28"/>
      <c r="AQ3615" s="28" t="n">
        <f aca="false">AP3615*$M3615</f>
        <v>0</v>
      </c>
      <c r="AR3615" s="28"/>
      <c r="AS3615" s="28" t="n">
        <f aca="false">AR3615*$M3615</f>
        <v>0</v>
      </c>
      <c r="AT3615" s="28"/>
      <c r="AU3615" s="28" t="n">
        <f aca="false">AT3615*$M3615</f>
        <v>0</v>
      </c>
      <c r="AV3615" s="28"/>
      <c r="AW3615" s="28" t="n">
        <f aca="false">AV3615*$M3615</f>
        <v>0</v>
      </c>
      <c r="AX3615" s="28"/>
      <c r="AY3615" s="28" t="n">
        <f aca="false">AX3615*$M3615</f>
        <v>0</v>
      </c>
      <c r="AZ3615" s="30" t="n">
        <v>8798</v>
      </c>
      <c r="BA3615" s="11" t="n">
        <v>61586</v>
      </c>
      <c r="BB3615" s="31" t="n">
        <f aca="false">SUM(Q3615,S3615,U3615,W3615,Y3615,AA3615,AC3615,AE3615,AG3615,AI3615,AK3615,AM3615,AO3615,AQ3615,AS3615,AU3615,AW3615,AY3615)</f>
        <v>61586</v>
      </c>
      <c r="BC3615" s="28" t="n">
        <f aca="false">BA3615-BB3615</f>
        <v>0</v>
      </c>
      <c r="BD3615" s="32" t="n">
        <f aca="false">SUM(P3615,R3615,T3615,V3615,X3615,Z3615,AB3615,AD3615,AF3615,AH3615,AJ3615,AL3615,AN3615,AP3615,AR3615,AT3615,AV3615,AX3615)</f>
        <v>8798</v>
      </c>
      <c r="BE3615" s="33" t="n">
        <f aca="false">AZ3615-BD3615</f>
        <v>0</v>
      </c>
      <c r="BF3615" s="34" t="n">
        <f aca="false">BD3615*M3615</f>
        <v>61586</v>
      </c>
      <c r="BG3615" s="35" t="n">
        <f aca="false">BA3615-BF3615</f>
        <v>0</v>
      </c>
      <c r="BH3615" s="19" t="str">
        <f aca="false">IF(BG3615=0,"",IF(BG3615&lt;&gt;BA3615,"erreur de calcul",IF(BD3615&lt;&gt;0,"pas de prix",IF(M3615&lt;&gt; 0,"pas de quantité","pas de prix, ni de quantité"))))</f>
        <v/>
      </c>
      <c r="BI3615" s="19"/>
    </row>
    <row r="3616" customFormat="false" ht="15" hidden="false" customHeight="false" outlineLevel="0" collapsed="false">
      <c r="A3616" s="0" t="n">
        <v>27</v>
      </c>
      <c r="B3616" s="8" t="s">
        <v>24</v>
      </c>
      <c r="C3616" s="9" t="s">
        <v>25</v>
      </c>
      <c r="D3616" s="9" t="s">
        <v>26</v>
      </c>
      <c r="E3616" s="10" t="n">
        <v>1789</v>
      </c>
      <c r="F3616" s="9" t="s">
        <v>27</v>
      </c>
      <c r="G3616" s="9" t="s">
        <v>27</v>
      </c>
      <c r="H3616" s="11" t="n">
        <v>21</v>
      </c>
      <c r="I3616" s="11" t="s">
        <v>180</v>
      </c>
      <c r="J3616" s="14" t="n">
        <v>9</v>
      </c>
      <c r="K3616" s="14"/>
      <c r="L3616" s="16"/>
      <c r="M3616" s="27" t="n">
        <f aca="false">J3616+(K3616/20)+(L3616/240)</f>
        <v>9</v>
      </c>
      <c r="N3616" s="17" t="s">
        <v>64</v>
      </c>
      <c r="O3616" s="11"/>
      <c r="P3616" s="28" t="n">
        <f aca="false">22662/100</f>
        <v>226.62</v>
      </c>
      <c r="Q3616" s="28" t="n">
        <v>2039</v>
      </c>
      <c r="R3616" s="28"/>
      <c r="S3616" s="28" t="n">
        <f aca="false">R3616*$M3616</f>
        <v>0</v>
      </c>
      <c r="T3616" s="28"/>
      <c r="U3616" s="28" t="n">
        <f aca="false">T3616*$M3616</f>
        <v>0</v>
      </c>
      <c r="V3616" s="28"/>
      <c r="W3616" s="28" t="n">
        <f aca="false">V3616*$M3616</f>
        <v>0</v>
      </c>
      <c r="X3616" s="28"/>
      <c r="Y3616" s="28" t="n">
        <f aca="false">X3616*$M3616</f>
        <v>0</v>
      </c>
      <c r="Z3616" s="28"/>
      <c r="AA3616" s="28" t="n">
        <f aca="false">Z3616*$M3616</f>
        <v>0</v>
      </c>
      <c r="AB3616" s="28"/>
      <c r="AC3616" s="28" t="n">
        <f aca="false">AB3616*$M3616</f>
        <v>0</v>
      </c>
      <c r="AD3616" s="28"/>
      <c r="AE3616" s="28" t="n">
        <f aca="false">AD3616*$M3616</f>
        <v>0</v>
      </c>
      <c r="AF3616" s="28"/>
      <c r="AG3616" s="28" t="n">
        <f aca="false">AF3616*$M3616</f>
        <v>0</v>
      </c>
      <c r="AH3616" s="28"/>
      <c r="AI3616" s="28" t="n">
        <f aca="false">AH3616*$M3616</f>
        <v>0</v>
      </c>
      <c r="AJ3616" s="28"/>
      <c r="AK3616" s="28" t="n">
        <f aca="false">AJ3616*$M3616</f>
        <v>0</v>
      </c>
      <c r="AL3616" s="28"/>
      <c r="AM3616" s="28" t="n">
        <f aca="false">AL3616*$M3616</f>
        <v>0</v>
      </c>
      <c r="AN3616" s="28"/>
      <c r="AO3616" s="28" t="n">
        <f aca="false">AN3616*$M3616</f>
        <v>0</v>
      </c>
      <c r="AP3616" s="28"/>
      <c r="AQ3616" s="28" t="n">
        <f aca="false">AP3616*$M3616</f>
        <v>0</v>
      </c>
      <c r="AR3616" s="28"/>
      <c r="AS3616" s="28" t="n">
        <f aca="false">AR3616*$M3616</f>
        <v>0</v>
      </c>
      <c r="AT3616" s="28"/>
      <c r="AU3616" s="28" t="n">
        <f aca="false">AT3616*$M3616</f>
        <v>0</v>
      </c>
      <c r="AV3616" s="28"/>
      <c r="AW3616" s="28" t="n">
        <f aca="false">AV3616*$M3616</f>
        <v>0</v>
      </c>
      <c r="AX3616" s="28"/>
      <c r="AY3616" s="28" t="n">
        <f aca="false">AX3616*$M3616</f>
        <v>0</v>
      </c>
      <c r="AZ3616" s="30" t="n">
        <f aca="false">22662/100</f>
        <v>226.62</v>
      </c>
      <c r="BA3616" s="11" t="n">
        <v>2039</v>
      </c>
      <c r="BB3616" s="31" t="n">
        <f aca="false">SUM(Q3616,S3616,U3616,W3616,Y3616,AA3616,AC3616,AE3616,AG3616,AI3616,AK3616,AM3616,AO3616,AQ3616,AS3616,AU3616,AW3616,AY3616)</f>
        <v>2039</v>
      </c>
      <c r="BC3616" s="28" t="n">
        <f aca="false">BA3616-BB3616</f>
        <v>0</v>
      </c>
      <c r="BD3616" s="32" t="n">
        <f aca="false">SUM(P3616,R3616,T3616,V3616,X3616,Z3616,AB3616,AD3616,AF3616,AH3616,AJ3616,AL3616,AN3616,AP3616,AR3616,AT3616,AV3616,AX3616)</f>
        <v>226.62</v>
      </c>
      <c r="BE3616" s="33" t="n">
        <f aca="false">AZ3616-BD3616</f>
        <v>0</v>
      </c>
      <c r="BF3616" s="34" t="n">
        <f aca="false">BD3616*M3616</f>
        <v>2039.58</v>
      </c>
      <c r="BG3616" s="35" t="n">
        <f aca="false">BA3616-BF3616</f>
        <v>-0.579999999999927</v>
      </c>
      <c r="BH3616" s="19" t="str">
        <f aca="false">IF(BG3616=0,"",IF(BG3616&lt;&gt;BA3616,"erreur de calcul",IF(BD3616&lt;&gt;0,"pas de prix",IF(M3616&lt;&gt; 0,"pas de quantité","pas de prix, ni de quantité"))))</f>
        <v>erreur de calcul</v>
      </c>
      <c r="BI3616" s="19"/>
    </row>
    <row r="3617" customFormat="false" ht="15" hidden="false" customHeight="false" outlineLevel="0" collapsed="false">
      <c r="A3617" s="0" t="n">
        <v>28</v>
      </c>
      <c r="B3617" s="8" t="s">
        <v>24</v>
      </c>
      <c r="C3617" s="9" t="s">
        <v>25</v>
      </c>
      <c r="D3617" s="9" t="s">
        <v>26</v>
      </c>
      <c r="E3617" s="10" t="n">
        <v>1789</v>
      </c>
      <c r="F3617" s="9" t="s">
        <v>27</v>
      </c>
      <c r="G3617" s="9" t="s">
        <v>27</v>
      </c>
      <c r="H3617" s="11" t="n">
        <v>21</v>
      </c>
      <c r="I3617" s="11" t="s">
        <v>181</v>
      </c>
      <c r="J3617" s="14" t="n">
        <v>8</v>
      </c>
      <c r="K3617" s="14" t="n">
        <v>10</v>
      </c>
      <c r="L3617" s="16"/>
      <c r="M3617" s="27" t="n">
        <f aca="false">J3617+(K3617/20)+(L3617/240)</f>
        <v>8.5</v>
      </c>
      <c r="N3617" s="17" t="s">
        <v>66</v>
      </c>
      <c r="O3617" s="11"/>
      <c r="P3617" s="28" t="n">
        <v>1770</v>
      </c>
      <c r="Q3617" s="28" t="n">
        <v>15045</v>
      </c>
      <c r="R3617" s="28"/>
      <c r="S3617" s="28" t="n">
        <f aca="false">R3617*$M3617</f>
        <v>0</v>
      </c>
      <c r="T3617" s="28"/>
      <c r="U3617" s="28" t="n">
        <f aca="false">T3617*$M3617</f>
        <v>0</v>
      </c>
      <c r="V3617" s="28"/>
      <c r="W3617" s="28" t="n">
        <f aca="false">V3617*$M3617</f>
        <v>0</v>
      </c>
      <c r="X3617" s="28"/>
      <c r="Y3617" s="28" t="n">
        <f aca="false">X3617*$M3617</f>
        <v>0</v>
      </c>
      <c r="Z3617" s="28"/>
      <c r="AA3617" s="28" t="n">
        <f aca="false">Z3617*$M3617</f>
        <v>0</v>
      </c>
      <c r="AB3617" s="28"/>
      <c r="AC3617" s="28" t="n">
        <f aca="false">AB3617*$M3617</f>
        <v>0</v>
      </c>
      <c r="AD3617" s="28"/>
      <c r="AE3617" s="28" t="n">
        <f aca="false">AD3617*$M3617</f>
        <v>0</v>
      </c>
      <c r="AF3617" s="28"/>
      <c r="AG3617" s="28" t="n">
        <f aca="false">AF3617*$M3617</f>
        <v>0</v>
      </c>
      <c r="AH3617" s="28" t="n">
        <v>323</v>
      </c>
      <c r="AI3617" s="28" t="n">
        <v>2745</v>
      </c>
      <c r="AJ3617" s="28"/>
      <c r="AK3617" s="28" t="n">
        <f aca="false">AJ3617*$M3617</f>
        <v>0</v>
      </c>
      <c r="AL3617" s="28"/>
      <c r="AM3617" s="28" t="n">
        <f aca="false">AL3617*$M3617</f>
        <v>0</v>
      </c>
      <c r="AN3617" s="28"/>
      <c r="AO3617" s="28" t="n">
        <f aca="false">AN3617*$M3617</f>
        <v>0</v>
      </c>
      <c r="AP3617" s="28"/>
      <c r="AQ3617" s="28" t="n">
        <f aca="false">AP3617*$M3617</f>
        <v>0</v>
      </c>
      <c r="AR3617" s="28"/>
      <c r="AS3617" s="28" t="n">
        <f aca="false">AR3617*$M3617</f>
        <v>0</v>
      </c>
      <c r="AT3617" s="28"/>
      <c r="AU3617" s="28" t="n">
        <f aca="false">AT3617*$M3617</f>
        <v>0</v>
      </c>
      <c r="AV3617" s="28"/>
      <c r="AW3617" s="28" t="n">
        <f aca="false">AV3617*$M3617</f>
        <v>0</v>
      </c>
      <c r="AX3617" s="28"/>
      <c r="AY3617" s="28" t="n">
        <f aca="false">AX3617*$M3617</f>
        <v>0</v>
      </c>
      <c r="AZ3617" s="30" t="n">
        <v>2093</v>
      </c>
      <c r="BA3617" s="11" t="n">
        <v>17790</v>
      </c>
      <c r="BB3617" s="31" t="n">
        <f aca="false">SUM(Q3617,S3617,U3617,W3617,Y3617,AA3617,AC3617,AE3617,AG3617,AI3617,AK3617,AM3617,AO3617,AQ3617,AS3617,AU3617,AW3617,AY3617)</f>
        <v>17790</v>
      </c>
      <c r="BC3617" s="28" t="n">
        <f aca="false">BA3617-BB3617</f>
        <v>0</v>
      </c>
      <c r="BD3617" s="32" t="n">
        <f aca="false">SUM(P3617,R3617,T3617,V3617,X3617,Z3617,AB3617,AD3617,AF3617,AH3617,AJ3617,AL3617,AN3617,AP3617,AR3617,AT3617,AV3617,AX3617)</f>
        <v>2093</v>
      </c>
      <c r="BE3617" s="33" t="n">
        <f aca="false">AZ3617-BD3617</f>
        <v>0</v>
      </c>
      <c r="BF3617" s="34" t="n">
        <f aca="false">BD3617*M3617</f>
        <v>17790.5</v>
      </c>
      <c r="BG3617" s="35" t="n">
        <f aca="false">BA3617-BF3617</f>
        <v>-0.5</v>
      </c>
      <c r="BH3617" s="19" t="str">
        <f aca="false">IF(BG3617=0,"",IF(BG3617&lt;&gt;BA3617,"erreur de calcul",IF(BD3617&lt;&gt;0,"pas de prix",IF(M3617&lt;&gt; 0,"pas de quantité","pas de prix, ni de quantité"))))</f>
        <v>erreur de calcul</v>
      </c>
      <c r="BI3617" s="19"/>
    </row>
    <row r="3618" customFormat="false" ht="15" hidden="false" customHeight="false" outlineLevel="0" collapsed="false">
      <c r="A3618" s="0" t="n">
        <v>29</v>
      </c>
      <c r="B3618" s="8" t="s">
        <v>24</v>
      </c>
      <c r="C3618" s="9" t="s">
        <v>25</v>
      </c>
      <c r="D3618" s="9" t="s">
        <v>26</v>
      </c>
      <c r="E3618" s="10" t="n">
        <v>1789</v>
      </c>
      <c r="F3618" s="9" t="s">
        <v>27</v>
      </c>
      <c r="G3618" s="9" t="s">
        <v>27</v>
      </c>
      <c r="H3618" s="11" t="n">
        <v>21</v>
      </c>
      <c r="I3618" s="11" t="s">
        <v>182</v>
      </c>
      <c r="J3618" s="14" t="n">
        <v>24</v>
      </c>
      <c r="K3618" s="14"/>
      <c r="L3618" s="16"/>
      <c r="M3618" s="27" t="n">
        <f aca="false">J3618+(K3618/20)+(L3618/240)</f>
        <v>24</v>
      </c>
      <c r="N3618" s="17" t="s">
        <v>66</v>
      </c>
      <c r="O3618" s="11"/>
      <c r="P3618" s="28" t="n">
        <v>478</v>
      </c>
      <c r="Q3618" s="28" t="n">
        <v>11472</v>
      </c>
      <c r="R3618" s="28"/>
      <c r="S3618" s="28" t="n">
        <f aca="false">R3618*$M3618</f>
        <v>0</v>
      </c>
      <c r="T3618" s="28" t="n">
        <v>38</v>
      </c>
      <c r="U3618" s="28" t="n">
        <v>912</v>
      </c>
      <c r="V3618" s="28"/>
      <c r="W3618" s="28" t="n">
        <f aca="false">V3618*$M3618</f>
        <v>0</v>
      </c>
      <c r="X3618" s="28"/>
      <c r="Y3618" s="28" t="n">
        <f aca="false">X3618*$M3618</f>
        <v>0</v>
      </c>
      <c r="Z3618" s="28"/>
      <c r="AA3618" s="28" t="n">
        <f aca="false">Z3618*$M3618</f>
        <v>0</v>
      </c>
      <c r="AB3618" s="28"/>
      <c r="AC3618" s="28" t="n">
        <f aca="false">AB3618*$M3618</f>
        <v>0</v>
      </c>
      <c r="AD3618" s="28"/>
      <c r="AE3618" s="28" t="n">
        <f aca="false">AD3618*$M3618</f>
        <v>0</v>
      </c>
      <c r="AF3618" s="28"/>
      <c r="AG3618" s="28" t="n">
        <f aca="false">AF3618*$M3618</f>
        <v>0</v>
      </c>
      <c r="AH3618" s="28"/>
      <c r="AI3618" s="28" t="n">
        <f aca="false">AH3618*$M3618</f>
        <v>0</v>
      </c>
      <c r="AJ3618" s="28"/>
      <c r="AK3618" s="28" t="n">
        <f aca="false">AJ3618*$M3618</f>
        <v>0</v>
      </c>
      <c r="AL3618" s="28"/>
      <c r="AM3618" s="28" t="n">
        <f aca="false">AL3618*$M3618</f>
        <v>0</v>
      </c>
      <c r="AN3618" s="28"/>
      <c r="AO3618" s="28" t="n">
        <f aca="false">AN3618*$M3618</f>
        <v>0</v>
      </c>
      <c r="AP3618" s="28"/>
      <c r="AQ3618" s="28" t="n">
        <f aca="false">AP3618*$M3618</f>
        <v>0</v>
      </c>
      <c r="AR3618" s="28"/>
      <c r="AS3618" s="28" t="n">
        <f aca="false">AR3618*$M3618</f>
        <v>0</v>
      </c>
      <c r="AT3618" s="28"/>
      <c r="AU3618" s="28" t="n">
        <f aca="false">AT3618*$M3618</f>
        <v>0</v>
      </c>
      <c r="AV3618" s="28"/>
      <c r="AW3618" s="28" t="n">
        <f aca="false">AV3618*$M3618</f>
        <v>0</v>
      </c>
      <c r="AX3618" s="28"/>
      <c r="AY3618" s="28" t="n">
        <f aca="false">AX3618*$M3618</f>
        <v>0</v>
      </c>
      <c r="AZ3618" s="30" t="n">
        <v>516</v>
      </c>
      <c r="BA3618" s="11" t="n">
        <v>12384</v>
      </c>
      <c r="BB3618" s="31" t="n">
        <f aca="false">SUM(Q3618,S3618,U3618,W3618,Y3618,AA3618,AC3618,AE3618,AG3618,AI3618,AK3618,AM3618,AO3618,AQ3618,AS3618,AU3618,AW3618,AY3618)</f>
        <v>12384</v>
      </c>
      <c r="BC3618" s="28" t="n">
        <f aca="false">BA3618-BB3618</f>
        <v>0</v>
      </c>
      <c r="BD3618" s="32" t="n">
        <f aca="false">SUM(P3618,R3618,T3618,V3618,X3618,Z3618,AB3618,AD3618,AF3618,AH3618,AJ3618,AL3618,AN3618,AP3618,AR3618,AT3618,AV3618,AX3618)</f>
        <v>516</v>
      </c>
      <c r="BE3618" s="33" t="n">
        <f aca="false">AZ3618-BD3618</f>
        <v>0</v>
      </c>
      <c r="BF3618" s="34" t="n">
        <f aca="false">BD3618*M3618</f>
        <v>12384</v>
      </c>
      <c r="BG3618" s="35" t="n">
        <f aca="false">BA3618-BF3618</f>
        <v>0</v>
      </c>
      <c r="BH3618" s="19" t="str">
        <f aca="false">IF(BG3618=0,"",IF(BG3618&lt;&gt;BA3618,"erreur de calcul",IF(BD3618&lt;&gt;0,"pas de prix",IF(M3618&lt;&gt; 0,"pas de quantité","pas de prix, ni de quantité"))))</f>
        <v/>
      </c>
      <c r="BI3618" s="19"/>
    </row>
    <row r="3619" customFormat="false" ht="15" hidden="false" customHeight="false" outlineLevel="0" collapsed="false">
      <c r="A3619" s="0" t="n">
        <v>30</v>
      </c>
      <c r="B3619" s="8" t="s">
        <v>24</v>
      </c>
      <c r="C3619" s="9" t="s">
        <v>25</v>
      </c>
      <c r="D3619" s="9" t="s">
        <v>26</v>
      </c>
      <c r="E3619" s="10" t="n">
        <v>1789</v>
      </c>
      <c r="F3619" s="9" t="s">
        <v>27</v>
      </c>
      <c r="G3619" s="9" t="s">
        <v>27</v>
      </c>
      <c r="H3619" s="11" t="n">
        <v>21</v>
      </c>
      <c r="I3619" s="11" t="s">
        <v>183</v>
      </c>
      <c r="J3619" s="14" t="n">
        <v>240</v>
      </c>
      <c r="K3619" s="14"/>
      <c r="L3619" s="16"/>
      <c r="M3619" s="27" t="n">
        <f aca="false">J3619+(K3619/20)+(L3619/240)</f>
        <v>240</v>
      </c>
      <c r="N3619" s="17" t="s">
        <v>64</v>
      </c>
      <c r="O3619" s="11"/>
      <c r="P3619" s="28" t="n">
        <f aca="false">52196/100</f>
        <v>521.96</v>
      </c>
      <c r="Q3619" s="28" t="n">
        <v>125270</v>
      </c>
      <c r="R3619" s="28" t="n">
        <f aca="false">29767/100</f>
        <v>297.67</v>
      </c>
      <c r="S3619" s="28" t="n">
        <v>71441</v>
      </c>
      <c r="T3619" s="28"/>
      <c r="U3619" s="28" t="n">
        <f aca="false">T3619*$M3619</f>
        <v>0</v>
      </c>
      <c r="V3619" s="28"/>
      <c r="W3619" s="28" t="n">
        <f aca="false">V3619*$M3619</f>
        <v>0</v>
      </c>
      <c r="X3619" s="28"/>
      <c r="Y3619" s="28" t="n">
        <f aca="false">X3619*$M3619</f>
        <v>0</v>
      </c>
      <c r="Z3619" s="28"/>
      <c r="AA3619" s="28" t="n">
        <f aca="false">Z3619*$M3619</f>
        <v>0</v>
      </c>
      <c r="AB3619" s="28"/>
      <c r="AC3619" s="28" t="n">
        <f aca="false">AB3619*$M3619</f>
        <v>0</v>
      </c>
      <c r="AD3619" s="28"/>
      <c r="AE3619" s="28" t="n">
        <f aca="false">AD3619*$M3619</f>
        <v>0</v>
      </c>
      <c r="AF3619" s="28"/>
      <c r="AG3619" s="28" t="n">
        <f aca="false">AF3619*$M3619</f>
        <v>0</v>
      </c>
      <c r="AH3619" s="28"/>
      <c r="AI3619" s="28" t="n">
        <f aca="false">AH3619*$M3619</f>
        <v>0</v>
      </c>
      <c r="AJ3619" s="28"/>
      <c r="AK3619" s="28" t="n">
        <f aca="false">AJ3619*$M3619</f>
        <v>0</v>
      </c>
      <c r="AL3619" s="28"/>
      <c r="AM3619" s="28" t="n">
        <f aca="false">AL3619*$M3619</f>
        <v>0</v>
      </c>
      <c r="AN3619" s="28"/>
      <c r="AO3619" s="28" t="n">
        <f aca="false">AN3619*$M3619</f>
        <v>0</v>
      </c>
      <c r="AP3619" s="28"/>
      <c r="AQ3619" s="28" t="n">
        <f aca="false">AP3619*$M3619</f>
        <v>0</v>
      </c>
      <c r="AR3619" s="28"/>
      <c r="AS3619" s="28" t="n">
        <f aca="false">AR3619*$M3619</f>
        <v>0</v>
      </c>
      <c r="AT3619" s="28"/>
      <c r="AU3619" s="28" t="n">
        <f aca="false">AT3619*$M3619</f>
        <v>0</v>
      </c>
      <c r="AV3619" s="28"/>
      <c r="AW3619" s="28" t="n">
        <f aca="false">AV3619*$M3619</f>
        <v>0</v>
      </c>
      <c r="AX3619" s="28"/>
      <c r="AY3619" s="28" t="n">
        <f aca="false">AX3619*$M3619</f>
        <v>0</v>
      </c>
      <c r="AZ3619" s="30" t="n">
        <f aca="false">81963/100</f>
        <v>819.63</v>
      </c>
      <c r="BA3619" s="11" t="n">
        <v>196711</v>
      </c>
      <c r="BB3619" s="31" t="n">
        <f aca="false">SUM(Q3619,S3619,U3619,W3619,Y3619,AA3619,AC3619,AE3619,AG3619,AI3619,AK3619,AM3619,AO3619,AQ3619,AS3619,AU3619,AW3619,AY3619)</f>
        <v>196711</v>
      </c>
      <c r="BC3619" s="28" t="n">
        <f aca="false">BA3619-BB3619</f>
        <v>0</v>
      </c>
      <c r="BD3619" s="32" t="n">
        <f aca="false">SUM(P3619,R3619,T3619,V3619,X3619,Z3619,AB3619,AD3619,AF3619,AH3619,AJ3619,AL3619,AN3619,AP3619,AR3619,AT3619,AV3619,AX3619)</f>
        <v>819.63</v>
      </c>
      <c r="BE3619" s="33" t="n">
        <f aca="false">AZ3619-BD3619</f>
        <v>0</v>
      </c>
      <c r="BF3619" s="34" t="n">
        <f aca="false">BD3619*M3619</f>
        <v>196711.2</v>
      </c>
      <c r="BG3619" s="35" t="n">
        <f aca="false">BA3619-BF3619</f>
        <v>-0.200000000011642</v>
      </c>
      <c r="BH3619" s="19" t="str">
        <f aca="false">IF(BG3619=0,"",IF(BG3619&lt;&gt;BA3619,"erreur de calcul",IF(BD3619&lt;&gt;0,"pas de prix",IF(M3619&lt;&gt; 0,"pas de quantité","pas de prix, ni de quantité"))))</f>
        <v>erreur de calcul</v>
      </c>
      <c r="BI3619" s="19"/>
    </row>
    <row r="3620" customFormat="false" ht="15" hidden="false" customHeight="false" outlineLevel="0" collapsed="false">
      <c r="A3620" s="0" t="n">
        <v>31</v>
      </c>
      <c r="B3620" s="8" t="s">
        <v>24</v>
      </c>
      <c r="C3620" s="9" t="s">
        <v>25</v>
      </c>
      <c r="D3620" s="9" t="s">
        <v>26</v>
      </c>
      <c r="E3620" s="10" t="n">
        <v>1789</v>
      </c>
      <c r="F3620" s="9" t="s">
        <v>27</v>
      </c>
      <c r="G3620" s="9" t="s">
        <v>27</v>
      </c>
      <c r="H3620" s="11" t="n">
        <v>21</v>
      </c>
      <c r="I3620" s="11" t="s">
        <v>184</v>
      </c>
      <c r="J3620" s="14" t="n">
        <v>13</v>
      </c>
      <c r="K3620" s="14"/>
      <c r="L3620" s="16"/>
      <c r="M3620" s="27" t="n">
        <f aca="false">J3620+(K3620/20)+(L3620/240)</f>
        <v>13</v>
      </c>
      <c r="N3620" s="17" t="s">
        <v>66</v>
      </c>
      <c r="O3620" s="11"/>
      <c r="P3620" s="28"/>
      <c r="Q3620" s="28" t="n">
        <f aca="false">P3620*$M3620</f>
        <v>0</v>
      </c>
      <c r="R3620" s="28"/>
      <c r="S3620" s="28" t="n">
        <f aca="false">R3620*$M3620</f>
        <v>0</v>
      </c>
      <c r="T3620" s="28"/>
      <c r="U3620" s="28" t="n">
        <f aca="false">T3620*$M3620</f>
        <v>0</v>
      </c>
      <c r="V3620" s="28"/>
      <c r="W3620" s="28" t="n">
        <f aca="false">V3620*$M3620</f>
        <v>0</v>
      </c>
      <c r="X3620" s="28"/>
      <c r="Y3620" s="28" t="n">
        <f aca="false">X3620*$M3620</f>
        <v>0</v>
      </c>
      <c r="Z3620" s="28"/>
      <c r="AA3620" s="28" t="n">
        <f aca="false">Z3620*$M3620</f>
        <v>0</v>
      </c>
      <c r="AB3620" s="28"/>
      <c r="AC3620" s="28" t="n">
        <f aca="false">AB3620*$M3620</f>
        <v>0</v>
      </c>
      <c r="AD3620" s="28"/>
      <c r="AE3620" s="28" t="n">
        <f aca="false">AD3620*$M3620</f>
        <v>0</v>
      </c>
      <c r="AF3620" s="28"/>
      <c r="AG3620" s="28" t="n">
        <f aca="false">AF3620*$M3620</f>
        <v>0</v>
      </c>
      <c r="AH3620" s="28" t="n">
        <v>354</v>
      </c>
      <c r="AI3620" s="28" t="n">
        <v>4602</v>
      </c>
      <c r="AJ3620" s="28"/>
      <c r="AK3620" s="28" t="n">
        <f aca="false">AJ3620*$M3620</f>
        <v>0</v>
      </c>
      <c r="AL3620" s="28"/>
      <c r="AM3620" s="28" t="n">
        <f aca="false">AL3620*$M3620</f>
        <v>0</v>
      </c>
      <c r="AN3620" s="28"/>
      <c r="AO3620" s="28" t="n">
        <f aca="false">AN3620*$M3620</f>
        <v>0</v>
      </c>
      <c r="AP3620" s="28"/>
      <c r="AQ3620" s="28" t="n">
        <f aca="false">AP3620*$M3620</f>
        <v>0</v>
      </c>
      <c r="AR3620" s="28"/>
      <c r="AS3620" s="28" t="n">
        <f aca="false">AR3620*$M3620</f>
        <v>0</v>
      </c>
      <c r="AT3620" s="28"/>
      <c r="AU3620" s="28" t="n">
        <f aca="false">AT3620*$M3620</f>
        <v>0</v>
      </c>
      <c r="AV3620" s="28"/>
      <c r="AW3620" s="28" t="n">
        <f aca="false">AV3620*$M3620</f>
        <v>0</v>
      </c>
      <c r="AX3620" s="28"/>
      <c r="AY3620" s="28" t="n">
        <f aca="false">AX3620*$M3620</f>
        <v>0</v>
      </c>
      <c r="AZ3620" s="30" t="n">
        <v>354</v>
      </c>
      <c r="BA3620" s="11" t="n">
        <v>4602</v>
      </c>
      <c r="BB3620" s="31" t="n">
        <f aca="false">SUM(Q3620,S3620,U3620,W3620,Y3620,AA3620,AC3620,AE3620,AG3620,AI3620,AK3620,AM3620,AO3620,AQ3620,AS3620,AU3620,AW3620,AY3620)</f>
        <v>4602</v>
      </c>
      <c r="BC3620" s="28" t="n">
        <f aca="false">BA3620-BB3620</f>
        <v>0</v>
      </c>
      <c r="BD3620" s="32" t="n">
        <f aca="false">SUM(P3620,R3620,T3620,V3620,X3620,Z3620,AB3620,AD3620,AF3620,AH3620,AJ3620,AL3620,AN3620,AP3620,AR3620,AT3620,AV3620,AX3620)</f>
        <v>354</v>
      </c>
      <c r="BE3620" s="33" t="n">
        <f aca="false">AZ3620-BD3620</f>
        <v>0</v>
      </c>
      <c r="BF3620" s="34" t="n">
        <f aca="false">BD3620*M3620</f>
        <v>4602</v>
      </c>
      <c r="BG3620" s="35" t="n">
        <f aca="false">BA3620-BF3620</f>
        <v>0</v>
      </c>
      <c r="BH3620" s="19" t="str">
        <f aca="false">IF(BG3620=0,"",IF(BG3620&lt;&gt;BA3620,"erreur de calcul",IF(BD3620&lt;&gt;0,"pas de prix",IF(M3620&lt;&gt; 0,"pas de quantité","pas de prix, ni de quantité"))))</f>
        <v/>
      </c>
      <c r="BI3620" s="19"/>
    </row>
    <row r="3621" customFormat="false" ht="15" hidden="false" customHeight="false" outlineLevel="0" collapsed="false">
      <c r="A3621" s="0" t="n">
        <v>32</v>
      </c>
      <c r="B3621" s="8" t="s">
        <v>24</v>
      </c>
      <c r="C3621" s="9" t="s">
        <v>25</v>
      </c>
      <c r="D3621" s="9" t="s">
        <v>26</v>
      </c>
      <c r="E3621" s="10" t="n">
        <v>1789</v>
      </c>
      <c r="F3621" s="9" t="s">
        <v>27</v>
      </c>
      <c r="G3621" s="9" t="s">
        <v>27</v>
      </c>
      <c r="H3621" s="11" t="n">
        <v>21</v>
      </c>
      <c r="I3621" s="11" t="s">
        <v>185</v>
      </c>
      <c r="J3621" s="14" t="n">
        <v>245</v>
      </c>
      <c r="K3621" s="14"/>
      <c r="L3621" s="16"/>
      <c r="M3621" s="27" t="n">
        <f aca="false">J3621+(K3621/20)+(L3621/240)</f>
        <v>245</v>
      </c>
      <c r="N3621" s="17" t="s">
        <v>64</v>
      </c>
      <c r="O3621" s="11"/>
      <c r="P3621" s="28"/>
      <c r="Q3621" s="28" t="n">
        <f aca="false">P3621*$M3621</f>
        <v>0</v>
      </c>
      <c r="R3621" s="28"/>
      <c r="S3621" s="28" t="n">
        <f aca="false">R3621*$M3621</f>
        <v>0</v>
      </c>
      <c r="T3621" s="28"/>
      <c r="U3621" s="28" t="n">
        <f aca="false">T3621*$M3621</f>
        <v>0</v>
      </c>
      <c r="V3621" s="28" t="n">
        <f aca="false">720/100</f>
        <v>7.2</v>
      </c>
      <c r="W3621" s="28" t="n">
        <v>1764</v>
      </c>
      <c r="X3621" s="28" t="n">
        <f aca="false">40366/100</f>
        <v>403.66</v>
      </c>
      <c r="Y3621" s="28" t="n">
        <v>98897</v>
      </c>
      <c r="Z3621" s="28"/>
      <c r="AA3621" s="28" t="n">
        <f aca="false">Z3621*$M3621</f>
        <v>0</v>
      </c>
      <c r="AB3621" s="28"/>
      <c r="AC3621" s="28" t="n">
        <f aca="false">AB3621*$M3621</f>
        <v>0</v>
      </c>
      <c r="AD3621" s="28"/>
      <c r="AE3621" s="28" t="n">
        <f aca="false">AD3621*$M3621</f>
        <v>0</v>
      </c>
      <c r="AF3621" s="28"/>
      <c r="AG3621" s="28" t="n">
        <f aca="false">AF3621*$M3621</f>
        <v>0</v>
      </c>
      <c r="AH3621" s="28" t="n">
        <f aca="false">83243/100</f>
        <v>832.43</v>
      </c>
      <c r="AI3621" s="28" t="n">
        <v>203945</v>
      </c>
      <c r="AJ3621" s="28"/>
      <c r="AK3621" s="28" t="n">
        <f aca="false">AJ3621*$M3621</f>
        <v>0</v>
      </c>
      <c r="AL3621" s="28"/>
      <c r="AM3621" s="28" t="n">
        <f aca="false">AL3621*$M3621</f>
        <v>0</v>
      </c>
      <c r="AN3621" s="28"/>
      <c r="AO3621" s="28" t="n">
        <f aca="false">AN3621*$M3621</f>
        <v>0</v>
      </c>
      <c r="AP3621" s="28"/>
      <c r="AQ3621" s="28" t="n">
        <f aca="false">AP3621*$M3621</f>
        <v>0</v>
      </c>
      <c r="AR3621" s="28"/>
      <c r="AS3621" s="28" t="n">
        <f aca="false">AR3621*$M3621</f>
        <v>0</v>
      </c>
      <c r="AT3621" s="28"/>
      <c r="AU3621" s="28" t="n">
        <f aca="false">AT3621*$M3621</f>
        <v>0</v>
      </c>
      <c r="AV3621" s="28"/>
      <c r="AW3621" s="28" t="n">
        <f aca="false">AV3621*$M3621</f>
        <v>0</v>
      </c>
      <c r="AX3621" s="28"/>
      <c r="AY3621" s="28" t="n">
        <f aca="false">AX3621*$M3621</f>
        <v>0</v>
      </c>
      <c r="AZ3621" s="30" t="n">
        <f aca="false">124329/100</f>
        <v>1243.29</v>
      </c>
      <c r="BA3621" s="11" t="n">
        <v>304606</v>
      </c>
      <c r="BB3621" s="31" t="n">
        <f aca="false">SUM(Q3621,S3621,U3621,W3621,Y3621,AA3621,AC3621,AE3621,AG3621,AI3621,AK3621,AM3621,AO3621,AQ3621,AS3621,AU3621,AW3621,AY3621)</f>
        <v>304606</v>
      </c>
      <c r="BC3621" s="28" t="n">
        <f aca="false">BA3621-BB3621</f>
        <v>0</v>
      </c>
      <c r="BD3621" s="32" t="n">
        <f aca="false">SUM(P3621,R3621,T3621,V3621,X3621,Z3621,AB3621,AD3621,AF3621,AH3621,AJ3621,AL3621,AN3621,AP3621,AR3621,AT3621,AV3621,AX3621)</f>
        <v>1243.29</v>
      </c>
      <c r="BE3621" s="33" t="n">
        <f aca="false">AZ3621-BD3621</f>
        <v>0</v>
      </c>
      <c r="BF3621" s="34" t="n">
        <f aca="false">BD3621*M3621</f>
        <v>304606.05</v>
      </c>
      <c r="BG3621" s="35" t="n">
        <f aca="false">BA3621-BF3621</f>
        <v>-0.0499999999883585</v>
      </c>
      <c r="BH3621" s="19" t="str">
        <f aca="false">IF(BG3621=0,"",IF(BG3621&lt;&gt;BA3621,"erreur de calcul",IF(BD3621&lt;&gt;0,"pas de prix",IF(M3621&lt;&gt; 0,"pas de quantité","pas de prix, ni de quantité"))))</f>
        <v>erreur de calcul</v>
      </c>
      <c r="BI3621" s="19"/>
    </row>
    <row r="3622" customFormat="false" ht="15" hidden="false" customHeight="false" outlineLevel="0" collapsed="false">
      <c r="A3622" s="0" t="n">
        <v>33</v>
      </c>
      <c r="B3622" s="8" t="s">
        <v>24</v>
      </c>
      <c r="C3622" s="9" t="s">
        <v>25</v>
      </c>
      <c r="D3622" s="9" t="s">
        <v>26</v>
      </c>
      <c r="E3622" s="10" t="n">
        <v>1789</v>
      </c>
      <c r="F3622" s="9" t="s">
        <v>27</v>
      </c>
      <c r="G3622" s="9" t="s">
        <v>27</v>
      </c>
      <c r="H3622" s="11" t="n">
        <v>21</v>
      </c>
      <c r="I3622" s="11" t="s">
        <v>186</v>
      </c>
      <c r="J3622" s="14" t="n">
        <v>240</v>
      </c>
      <c r="K3622" s="14"/>
      <c r="L3622" s="16"/>
      <c r="M3622" s="27" t="n">
        <f aca="false">J3622+(K3622/20)+(L3622/240)</f>
        <v>240</v>
      </c>
      <c r="N3622" s="17" t="s">
        <v>64</v>
      </c>
      <c r="O3622" s="11"/>
      <c r="P3622" s="28"/>
      <c r="Q3622" s="28" t="n">
        <f aca="false">P3622*$M3622</f>
        <v>0</v>
      </c>
      <c r="R3622" s="28"/>
      <c r="S3622" s="28" t="n">
        <f aca="false">R3622*$M3622</f>
        <v>0</v>
      </c>
      <c r="T3622" s="28"/>
      <c r="U3622" s="28" t="n">
        <f aca="false">T3622*$M3622</f>
        <v>0</v>
      </c>
      <c r="V3622" s="28"/>
      <c r="W3622" s="28" t="n">
        <f aca="false">V3622*$M3622</f>
        <v>0</v>
      </c>
      <c r="X3622" s="28"/>
      <c r="Y3622" s="28" t="n">
        <f aca="false">X3622*$M3622</f>
        <v>0</v>
      </c>
      <c r="Z3622" s="28"/>
      <c r="AA3622" s="28" t="n">
        <f aca="false">Z3622*$M3622</f>
        <v>0</v>
      </c>
      <c r="AB3622" s="28"/>
      <c r="AC3622" s="28" t="n">
        <f aca="false">AB3622*$M3622</f>
        <v>0</v>
      </c>
      <c r="AD3622" s="28"/>
      <c r="AE3622" s="28" t="n">
        <f aca="false">AD3622*$M3622</f>
        <v>0</v>
      </c>
      <c r="AF3622" s="28"/>
      <c r="AG3622" s="28" t="n">
        <f aca="false">AF3622*$M3622</f>
        <v>0</v>
      </c>
      <c r="AH3622" s="28" t="n">
        <f aca="false">803/100</f>
        <v>8.03</v>
      </c>
      <c r="AI3622" s="28" t="n">
        <v>1927</v>
      </c>
      <c r="AJ3622" s="28"/>
      <c r="AK3622" s="28" t="n">
        <f aca="false">AJ3622*$M3622</f>
        <v>0</v>
      </c>
      <c r="AL3622" s="28"/>
      <c r="AM3622" s="28" t="n">
        <f aca="false">AL3622*$M3622</f>
        <v>0</v>
      </c>
      <c r="AN3622" s="28"/>
      <c r="AO3622" s="28" t="n">
        <f aca="false">AN3622*$M3622</f>
        <v>0</v>
      </c>
      <c r="AP3622" s="28"/>
      <c r="AQ3622" s="28" t="n">
        <f aca="false">AP3622*$M3622</f>
        <v>0</v>
      </c>
      <c r="AR3622" s="28"/>
      <c r="AS3622" s="28" t="n">
        <f aca="false">AR3622*$M3622</f>
        <v>0</v>
      </c>
      <c r="AT3622" s="28"/>
      <c r="AU3622" s="28" t="n">
        <f aca="false">AT3622*$M3622</f>
        <v>0</v>
      </c>
      <c r="AV3622" s="28"/>
      <c r="AW3622" s="28" t="n">
        <f aca="false">AV3622*$M3622</f>
        <v>0</v>
      </c>
      <c r="AX3622" s="28"/>
      <c r="AY3622" s="28" t="n">
        <f aca="false">AX3622*$M3622</f>
        <v>0</v>
      </c>
      <c r="AZ3622" s="30" t="n">
        <f aca="false">803/100</f>
        <v>8.03</v>
      </c>
      <c r="BA3622" s="11" t="n">
        <v>1927</v>
      </c>
      <c r="BB3622" s="31" t="n">
        <f aca="false">SUM(Q3622,S3622,U3622,W3622,Y3622,AA3622,AC3622,AE3622,AG3622,AI3622,AK3622,AM3622,AO3622,AQ3622,AS3622,AU3622,AW3622,AY3622)</f>
        <v>1927</v>
      </c>
      <c r="BC3622" s="28" t="n">
        <f aca="false">BA3622-BB3622</f>
        <v>0</v>
      </c>
      <c r="BD3622" s="32" t="n">
        <f aca="false">SUM(P3622,R3622,T3622,V3622,X3622,Z3622,AB3622,AD3622,AF3622,AH3622,AJ3622,AL3622,AN3622,AP3622,AR3622,AT3622,AV3622,AX3622)</f>
        <v>8.03</v>
      </c>
      <c r="BE3622" s="33" t="n">
        <f aca="false">AZ3622-BD3622</f>
        <v>0</v>
      </c>
      <c r="BF3622" s="34" t="n">
        <f aca="false">BD3622*M3622</f>
        <v>1927.2</v>
      </c>
      <c r="BG3622" s="35" t="n">
        <f aca="false">BA3622-BF3622</f>
        <v>-0.199999999999818</v>
      </c>
      <c r="BH3622" s="19" t="str">
        <f aca="false">IF(BG3622=0,"",IF(BG3622&lt;&gt;BA3622,"erreur de calcul",IF(BD3622&lt;&gt;0,"pas de prix",IF(M3622&lt;&gt; 0,"pas de quantité","pas de prix, ni de quantité"))))</f>
        <v>erreur de calcul</v>
      </c>
      <c r="BI3622" s="19"/>
    </row>
    <row r="3623" customFormat="false" ht="15" hidden="false" customHeight="false" outlineLevel="0" collapsed="false">
      <c r="A3623" s="0" t="n">
        <v>34</v>
      </c>
      <c r="B3623" s="8" t="s">
        <v>24</v>
      </c>
      <c r="C3623" s="9" t="s">
        <v>25</v>
      </c>
      <c r="D3623" s="9" t="s">
        <v>26</v>
      </c>
      <c r="E3623" s="10" t="n">
        <v>1789</v>
      </c>
      <c r="F3623" s="9" t="s">
        <v>27</v>
      </c>
      <c r="G3623" s="9" t="s">
        <v>27</v>
      </c>
      <c r="H3623" s="11" t="n">
        <v>21</v>
      </c>
      <c r="I3623" s="11" t="s">
        <v>187</v>
      </c>
      <c r="J3623" s="14" t="n">
        <v>45</v>
      </c>
      <c r="K3623" s="14"/>
      <c r="L3623" s="16"/>
      <c r="M3623" s="27" t="n">
        <f aca="false">J3623+(K3623/20)+(L3623/240)</f>
        <v>45</v>
      </c>
      <c r="N3623" s="17" t="s">
        <v>64</v>
      </c>
      <c r="O3623" s="11"/>
      <c r="P3623" s="28" t="n">
        <f aca="false">8827/100</f>
        <v>88.27</v>
      </c>
      <c r="Q3623" s="28" t="n">
        <v>3972</v>
      </c>
      <c r="R3623" s="28"/>
      <c r="S3623" s="28" t="n">
        <f aca="false">R3623*$M3623</f>
        <v>0</v>
      </c>
      <c r="T3623" s="28"/>
      <c r="U3623" s="28" t="n">
        <f aca="false">T3623*$M3623</f>
        <v>0</v>
      </c>
      <c r="V3623" s="28" t="n">
        <f aca="false">8951/100</f>
        <v>89.51</v>
      </c>
      <c r="W3623" s="28" t="n">
        <v>4028</v>
      </c>
      <c r="X3623" s="28" t="n">
        <f aca="false">49106/100</f>
        <v>491.06</v>
      </c>
      <c r="Y3623" s="28" t="n">
        <v>22098</v>
      </c>
      <c r="Z3623" s="28"/>
      <c r="AA3623" s="28" t="n">
        <f aca="false">Z3623*$M3623</f>
        <v>0</v>
      </c>
      <c r="AB3623" s="28" t="n">
        <f aca="false">313412/100</f>
        <v>3134.12</v>
      </c>
      <c r="AC3623" s="28" t="n">
        <v>141035</v>
      </c>
      <c r="AD3623" s="28"/>
      <c r="AE3623" s="28" t="n">
        <f aca="false">AD3623*$M3623</f>
        <v>0</v>
      </c>
      <c r="AF3623" s="28"/>
      <c r="AG3623" s="28" t="n">
        <f aca="false">AF3623*$M3623</f>
        <v>0</v>
      </c>
      <c r="AH3623" s="28"/>
      <c r="AI3623" s="28" t="n">
        <f aca="false">AH3623*$M3623</f>
        <v>0</v>
      </c>
      <c r="AJ3623" s="28"/>
      <c r="AK3623" s="28" t="n">
        <f aca="false">AJ3623*$M3623</f>
        <v>0</v>
      </c>
      <c r="AL3623" s="28"/>
      <c r="AM3623" s="28" t="n">
        <f aca="false">AL3623*$M3623</f>
        <v>0</v>
      </c>
      <c r="AN3623" s="28"/>
      <c r="AO3623" s="28" t="n">
        <f aca="false">AN3623*$M3623</f>
        <v>0</v>
      </c>
      <c r="AP3623" s="28"/>
      <c r="AQ3623" s="28" t="n">
        <f aca="false">AP3623*$M3623</f>
        <v>0</v>
      </c>
      <c r="AR3623" s="28"/>
      <c r="AS3623" s="28" t="n">
        <f aca="false">AR3623*$M3623</f>
        <v>0</v>
      </c>
      <c r="AT3623" s="28"/>
      <c r="AU3623" s="28" t="n">
        <f aca="false">AT3623*$M3623</f>
        <v>0</v>
      </c>
      <c r="AV3623" s="28"/>
      <c r="AW3623" s="28" t="n">
        <f aca="false">AV3623*$M3623</f>
        <v>0</v>
      </c>
      <c r="AX3623" s="28"/>
      <c r="AY3623" s="28" t="n">
        <f aca="false">AX3623*$M3623</f>
        <v>0</v>
      </c>
      <c r="AZ3623" s="30" t="n">
        <f aca="false">380296/100</f>
        <v>3802.96</v>
      </c>
      <c r="BA3623" s="11" t="n">
        <v>171133</v>
      </c>
      <c r="BB3623" s="31" t="n">
        <f aca="false">SUM(Q3623,S3623,U3623,W3623,Y3623,AA3623,AC3623,AE3623,AG3623,AI3623,AK3623,AM3623,AO3623,AQ3623,AS3623,AU3623,AW3623,AY3623)</f>
        <v>171133</v>
      </c>
      <c r="BC3623" s="28" t="n">
        <f aca="false">BA3623-BB3623</f>
        <v>0</v>
      </c>
      <c r="BD3623" s="32" t="n">
        <f aca="false">SUM(P3623,R3623,T3623,V3623,X3623,Z3623,AB3623,AD3623,AF3623,AH3623,AJ3623,AL3623,AN3623,AP3623,AR3623,AT3623,AV3623,AX3623)</f>
        <v>3802.96</v>
      </c>
      <c r="BE3623" s="33" t="n">
        <f aca="false">AZ3623-BD3623</f>
        <v>0</v>
      </c>
      <c r="BF3623" s="34" t="n">
        <f aca="false">BD3623*M3623</f>
        <v>171133.2</v>
      </c>
      <c r="BG3623" s="35" t="n">
        <f aca="false">BA3623-BF3623</f>
        <v>-0.200000000011642</v>
      </c>
      <c r="BH3623" s="19" t="str">
        <f aca="false">IF(BG3623=0,"",IF(BG3623&lt;&gt;BA3623,"erreur de calcul",IF(BD3623&lt;&gt;0,"pas de prix",IF(M3623&lt;&gt; 0,"pas de quantité","pas de prix, ni de quantité"))))</f>
        <v>erreur de calcul</v>
      </c>
      <c r="BI3623" s="19"/>
    </row>
    <row r="3624" customFormat="false" ht="15" hidden="false" customHeight="false" outlineLevel="0" collapsed="false">
      <c r="A3624" s="0" t="n">
        <v>35</v>
      </c>
      <c r="B3624" s="8" t="s">
        <v>24</v>
      </c>
      <c r="C3624" s="9" t="s">
        <v>25</v>
      </c>
      <c r="D3624" s="9" t="s">
        <v>26</v>
      </c>
      <c r="E3624" s="10" t="n">
        <v>1789</v>
      </c>
      <c r="F3624" s="9" t="s">
        <v>27</v>
      </c>
      <c r="G3624" s="9" t="s">
        <v>27</v>
      </c>
      <c r="H3624" s="11" t="n">
        <v>21</v>
      </c>
      <c r="I3624" s="11" t="s">
        <v>188</v>
      </c>
      <c r="J3624" s="14" t="n">
        <v>60</v>
      </c>
      <c r="K3624" s="14"/>
      <c r="L3624" s="16"/>
      <c r="M3624" s="27" t="n">
        <f aca="false">J3624+(K3624/20)+(L3624/240)</f>
        <v>60</v>
      </c>
      <c r="N3624" s="17" t="s">
        <v>64</v>
      </c>
      <c r="O3624" s="11"/>
      <c r="P3624" s="28"/>
      <c r="Q3624" s="28" t="n">
        <f aca="false">P3624*$M3624</f>
        <v>0</v>
      </c>
      <c r="R3624" s="28"/>
      <c r="S3624" s="28" t="n">
        <f aca="false">R3624*$M3624</f>
        <v>0</v>
      </c>
      <c r="T3624" s="28"/>
      <c r="U3624" s="28" t="n">
        <f aca="false">T3624*$M3624</f>
        <v>0</v>
      </c>
      <c r="V3624" s="28"/>
      <c r="W3624" s="28" t="n">
        <f aca="false">V3624*$M3624</f>
        <v>0</v>
      </c>
      <c r="X3624" s="28"/>
      <c r="Y3624" s="28" t="n">
        <f aca="false">X3624*$M3624</f>
        <v>0</v>
      </c>
      <c r="Z3624" s="28"/>
      <c r="AA3624" s="28" t="n">
        <f aca="false">Z3624*$M3624</f>
        <v>0</v>
      </c>
      <c r="AB3624" s="28"/>
      <c r="AC3624" s="28" t="n">
        <f aca="false">AB3624*$M3624</f>
        <v>0</v>
      </c>
      <c r="AD3624" s="28"/>
      <c r="AE3624" s="28" t="n">
        <f aca="false">AD3624*$M3624</f>
        <v>0</v>
      </c>
      <c r="AF3624" s="28"/>
      <c r="AG3624" s="28" t="n">
        <f aca="false">AF3624*$M3624</f>
        <v>0</v>
      </c>
      <c r="AH3624" s="28" t="n">
        <f aca="false">6391/100</f>
        <v>63.91</v>
      </c>
      <c r="AI3624" s="28" t="n">
        <v>3835</v>
      </c>
      <c r="AJ3624" s="28"/>
      <c r="AK3624" s="28" t="n">
        <f aca="false">AJ3624*$M3624</f>
        <v>0</v>
      </c>
      <c r="AL3624" s="28"/>
      <c r="AM3624" s="28" t="n">
        <f aca="false">AL3624*$M3624</f>
        <v>0</v>
      </c>
      <c r="AN3624" s="28"/>
      <c r="AO3624" s="28" t="n">
        <f aca="false">AN3624*$M3624</f>
        <v>0</v>
      </c>
      <c r="AP3624" s="28"/>
      <c r="AQ3624" s="28" t="n">
        <f aca="false">AP3624*$M3624</f>
        <v>0</v>
      </c>
      <c r="AR3624" s="28"/>
      <c r="AS3624" s="28" t="n">
        <f aca="false">AR3624*$M3624</f>
        <v>0</v>
      </c>
      <c r="AT3624" s="28"/>
      <c r="AU3624" s="28" t="n">
        <f aca="false">AT3624*$M3624</f>
        <v>0</v>
      </c>
      <c r="AV3624" s="28"/>
      <c r="AW3624" s="28" t="n">
        <f aca="false">AV3624*$M3624</f>
        <v>0</v>
      </c>
      <c r="AX3624" s="28"/>
      <c r="AY3624" s="28" t="n">
        <f aca="false">AX3624*$M3624</f>
        <v>0</v>
      </c>
      <c r="AZ3624" s="30" t="n">
        <f aca="false">6391/100</f>
        <v>63.91</v>
      </c>
      <c r="BA3624" s="11" t="n">
        <v>3835</v>
      </c>
      <c r="BB3624" s="31" t="n">
        <f aca="false">SUM(Q3624,S3624,U3624,W3624,Y3624,AA3624,AC3624,AE3624,AG3624,AI3624,AK3624,AM3624,AO3624,AQ3624,AS3624,AU3624,AW3624,AY3624)</f>
        <v>3835</v>
      </c>
      <c r="BC3624" s="28" t="n">
        <f aca="false">BA3624-BB3624</f>
        <v>0</v>
      </c>
      <c r="BD3624" s="32" t="n">
        <f aca="false">SUM(P3624,R3624,T3624,V3624,X3624,Z3624,AB3624,AD3624,AF3624,AH3624,AJ3624,AL3624,AN3624,AP3624,AR3624,AT3624,AV3624,AX3624)</f>
        <v>63.91</v>
      </c>
      <c r="BE3624" s="33" t="n">
        <f aca="false">AZ3624-BD3624</f>
        <v>0</v>
      </c>
      <c r="BF3624" s="34" t="n">
        <f aca="false">BD3624*M3624</f>
        <v>3834.6</v>
      </c>
      <c r="BG3624" s="35" t="n">
        <f aca="false">BA3624-BF3624</f>
        <v>0.400000000000091</v>
      </c>
      <c r="BH3624" s="19" t="str">
        <f aca="false">IF(BG3624=0,"",IF(BG3624&lt;&gt;BA3624,"erreur de calcul",IF(BD3624&lt;&gt;0,"pas de prix",IF(M3624&lt;&gt; 0,"pas de quantité","pas de prix, ni de quantité"))))</f>
        <v>erreur de calcul</v>
      </c>
      <c r="BI3624" s="19"/>
    </row>
    <row r="3625" customFormat="false" ht="15" hidden="false" customHeight="false" outlineLevel="0" collapsed="false">
      <c r="A3625" s="0" t="n">
        <v>36</v>
      </c>
      <c r="B3625" s="8" t="s">
        <v>24</v>
      </c>
      <c r="C3625" s="9" t="s">
        <v>25</v>
      </c>
      <c r="D3625" s="9" t="s">
        <v>26</v>
      </c>
      <c r="E3625" s="10" t="n">
        <v>1789</v>
      </c>
      <c r="F3625" s="9" t="s">
        <v>27</v>
      </c>
      <c r="G3625" s="9" t="s">
        <v>27</v>
      </c>
      <c r="H3625" s="11" t="n">
        <v>21</v>
      </c>
      <c r="I3625" s="11" t="s">
        <v>189</v>
      </c>
      <c r="J3625" s="14" t="n">
        <v>30</v>
      </c>
      <c r="K3625" s="14"/>
      <c r="L3625" s="16"/>
      <c r="M3625" s="27" t="n">
        <f aca="false">J3625+(K3625/20)+(L3625/240)</f>
        <v>30</v>
      </c>
      <c r="N3625" s="17" t="s">
        <v>66</v>
      </c>
      <c r="O3625" s="11"/>
      <c r="P3625" s="28"/>
      <c r="Q3625" s="28" t="n">
        <f aca="false">P3625*$M3625</f>
        <v>0</v>
      </c>
      <c r="R3625" s="28"/>
      <c r="S3625" s="28" t="n">
        <f aca="false">R3625*$M3625</f>
        <v>0</v>
      </c>
      <c r="T3625" s="28"/>
      <c r="U3625" s="28" t="n">
        <f aca="false">T3625*$M3625</f>
        <v>0</v>
      </c>
      <c r="V3625" s="28" t="n">
        <v>146</v>
      </c>
      <c r="W3625" s="28" t="n">
        <v>4380</v>
      </c>
      <c r="X3625" s="28"/>
      <c r="Y3625" s="28" t="n">
        <f aca="false">X3625*$M3625</f>
        <v>0</v>
      </c>
      <c r="Z3625" s="28"/>
      <c r="AA3625" s="28" t="n">
        <f aca="false">Z3625*$M3625</f>
        <v>0</v>
      </c>
      <c r="AB3625" s="28"/>
      <c r="AC3625" s="28" t="n">
        <f aca="false">AB3625*$M3625</f>
        <v>0</v>
      </c>
      <c r="AD3625" s="28"/>
      <c r="AE3625" s="28" t="n">
        <f aca="false">AD3625*$M3625</f>
        <v>0</v>
      </c>
      <c r="AF3625" s="28"/>
      <c r="AG3625" s="28" t="n">
        <f aca="false">AF3625*$M3625</f>
        <v>0</v>
      </c>
      <c r="AH3625" s="28"/>
      <c r="AI3625" s="28" t="n">
        <f aca="false">AH3625*$M3625</f>
        <v>0</v>
      </c>
      <c r="AJ3625" s="28"/>
      <c r="AK3625" s="28" t="n">
        <f aca="false">AJ3625*$M3625</f>
        <v>0</v>
      </c>
      <c r="AL3625" s="28"/>
      <c r="AM3625" s="28" t="n">
        <f aca="false">AL3625*$M3625</f>
        <v>0</v>
      </c>
      <c r="AN3625" s="28"/>
      <c r="AO3625" s="28" t="n">
        <f aca="false">AN3625*$M3625</f>
        <v>0</v>
      </c>
      <c r="AP3625" s="28"/>
      <c r="AQ3625" s="28" t="n">
        <f aca="false">AP3625*$M3625</f>
        <v>0</v>
      </c>
      <c r="AR3625" s="28"/>
      <c r="AS3625" s="28" t="n">
        <f aca="false">AR3625*$M3625</f>
        <v>0</v>
      </c>
      <c r="AT3625" s="28"/>
      <c r="AU3625" s="28" t="n">
        <f aca="false">AT3625*$M3625</f>
        <v>0</v>
      </c>
      <c r="AV3625" s="28"/>
      <c r="AW3625" s="28" t="n">
        <f aca="false">AV3625*$M3625</f>
        <v>0</v>
      </c>
      <c r="AX3625" s="28"/>
      <c r="AY3625" s="28" t="n">
        <f aca="false">AX3625*$M3625</f>
        <v>0</v>
      </c>
      <c r="AZ3625" s="30" t="n">
        <v>146</v>
      </c>
      <c r="BA3625" s="11" t="n">
        <v>4380</v>
      </c>
      <c r="BB3625" s="31" t="n">
        <f aca="false">SUM(Q3625,S3625,U3625,W3625,Y3625,AA3625,AC3625,AE3625,AG3625,AI3625,AK3625,AM3625,AO3625,AQ3625,AS3625,AU3625,AW3625,AY3625)</f>
        <v>4380</v>
      </c>
      <c r="BC3625" s="28" t="n">
        <f aca="false">BA3625-BB3625</f>
        <v>0</v>
      </c>
      <c r="BD3625" s="32" t="n">
        <f aca="false">SUM(P3625,R3625,T3625,V3625,X3625,Z3625,AB3625,AD3625,AF3625,AH3625,AJ3625,AL3625,AN3625,AP3625,AR3625,AT3625,AV3625,AX3625)</f>
        <v>146</v>
      </c>
      <c r="BE3625" s="33" t="n">
        <f aca="false">AZ3625-BD3625</f>
        <v>0</v>
      </c>
      <c r="BF3625" s="34" t="n">
        <f aca="false">BD3625*M3625</f>
        <v>4380</v>
      </c>
      <c r="BG3625" s="35" t="n">
        <f aca="false">BA3625-BF3625</f>
        <v>0</v>
      </c>
      <c r="BH3625" s="19" t="str">
        <f aca="false">IF(BG3625=0,"",IF(BG3625&lt;&gt;BA3625,"erreur de calcul",IF(BD3625&lt;&gt;0,"pas de prix",IF(M3625&lt;&gt; 0,"pas de quantité","pas de prix, ni de quantité"))))</f>
        <v/>
      </c>
      <c r="BI3625" s="19"/>
    </row>
    <row r="3626" customFormat="false" ht="15" hidden="false" customHeight="false" outlineLevel="0" collapsed="false">
      <c r="A3626" s="0" t="n">
        <v>37</v>
      </c>
      <c r="B3626" s="8" t="s">
        <v>24</v>
      </c>
      <c r="C3626" s="9" t="s">
        <v>25</v>
      </c>
      <c r="D3626" s="9" t="s">
        <v>26</v>
      </c>
      <c r="E3626" s="10" t="n">
        <v>1789</v>
      </c>
      <c r="F3626" s="9" t="s">
        <v>27</v>
      </c>
      <c r="G3626" s="9" t="s">
        <v>27</v>
      </c>
      <c r="H3626" s="11" t="n">
        <v>21</v>
      </c>
      <c r="I3626" s="11" t="s">
        <v>190</v>
      </c>
      <c r="J3626" s="14" t="n">
        <v>3</v>
      </c>
      <c r="K3626" s="14"/>
      <c r="L3626" s="16"/>
      <c r="M3626" s="27" t="n">
        <f aca="false">J3626+(K3626/20)+(L3626/240)</f>
        <v>3</v>
      </c>
      <c r="N3626" s="17" t="s">
        <v>66</v>
      </c>
      <c r="O3626" s="11"/>
      <c r="P3626" s="28"/>
      <c r="Q3626" s="28" t="n">
        <f aca="false">P3626*$M3626</f>
        <v>0</v>
      </c>
      <c r="R3626" s="28"/>
      <c r="S3626" s="28" t="n">
        <f aca="false">R3626*$M3626</f>
        <v>0</v>
      </c>
      <c r="T3626" s="28"/>
      <c r="U3626" s="28" t="n">
        <f aca="false">T3626*$M3626</f>
        <v>0</v>
      </c>
      <c r="V3626" s="28" t="n">
        <v>284</v>
      </c>
      <c r="W3626" s="28" t="n">
        <v>852</v>
      </c>
      <c r="X3626" s="28" t="n">
        <v>8028</v>
      </c>
      <c r="Y3626" s="28" t="n">
        <v>24084</v>
      </c>
      <c r="Z3626" s="28"/>
      <c r="AA3626" s="28" t="n">
        <f aca="false">Z3626*$M3626</f>
        <v>0</v>
      </c>
      <c r="AB3626" s="28"/>
      <c r="AC3626" s="28" t="n">
        <f aca="false">AB3626*$M3626</f>
        <v>0</v>
      </c>
      <c r="AD3626" s="28"/>
      <c r="AE3626" s="28" t="n">
        <f aca="false">AD3626*$M3626</f>
        <v>0</v>
      </c>
      <c r="AF3626" s="28"/>
      <c r="AG3626" s="28" t="n">
        <f aca="false">AF3626*$M3626</f>
        <v>0</v>
      </c>
      <c r="AH3626" s="28"/>
      <c r="AI3626" s="28" t="n">
        <f aca="false">AH3626*$M3626</f>
        <v>0</v>
      </c>
      <c r="AJ3626" s="28"/>
      <c r="AK3626" s="28" t="n">
        <f aca="false">AJ3626*$M3626</f>
        <v>0</v>
      </c>
      <c r="AL3626" s="28" t="n">
        <v>2127</v>
      </c>
      <c r="AM3626" s="28" t="n">
        <v>6381</v>
      </c>
      <c r="AN3626" s="28"/>
      <c r="AO3626" s="28" t="n">
        <f aca="false">AN3626*$M3626</f>
        <v>0</v>
      </c>
      <c r="AP3626" s="28"/>
      <c r="AQ3626" s="28" t="n">
        <f aca="false">AP3626*$M3626</f>
        <v>0</v>
      </c>
      <c r="AR3626" s="28"/>
      <c r="AS3626" s="28" t="n">
        <f aca="false">AR3626*$M3626</f>
        <v>0</v>
      </c>
      <c r="AT3626" s="28"/>
      <c r="AU3626" s="28" t="n">
        <f aca="false">AT3626*$M3626</f>
        <v>0</v>
      </c>
      <c r="AV3626" s="28"/>
      <c r="AW3626" s="28" t="n">
        <f aca="false">AV3626*$M3626</f>
        <v>0</v>
      </c>
      <c r="AX3626" s="28"/>
      <c r="AY3626" s="28" t="n">
        <f aca="false">AX3626*$M3626</f>
        <v>0</v>
      </c>
      <c r="AZ3626" s="30" t="n">
        <v>10439</v>
      </c>
      <c r="BA3626" s="11" t="n">
        <v>31317</v>
      </c>
      <c r="BB3626" s="31" t="n">
        <f aca="false">SUM(Q3626,S3626,U3626,W3626,Y3626,AA3626,AC3626,AE3626,AG3626,AI3626,AK3626,AM3626,AO3626,AQ3626,AS3626,AU3626,AW3626,AY3626)</f>
        <v>31317</v>
      </c>
      <c r="BC3626" s="28" t="n">
        <f aca="false">BA3626-BB3626</f>
        <v>0</v>
      </c>
      <c r="BD3626" s="32" t="n">
        <f aca="false">SUM(P3626,R3626,T3626,V3626,X3626,Z3626,AB3626,AD3626,AF3626,AH3626,AJ3626,AL3626,AN3626,AP3626,AR3626,AT3626,AV3626,AX3626)</f>
        <v>10439</v>
      </c>
      <c r="BE3626" s="33" t="n">
        <f aca="false">AZ3626-BD3626</f>
        <v>0</v>
      </c>
      <c r="BF3626" s="34" t="n">
        <f aca="false">BD3626*M3626</f>
        <v>31317</v>
      </c>
      <c r="BG3626" s="35" t="n">
        <f aca="false">BA3626-BF3626</f>
        <v>0</v>
      </c>
      <c r="BH3626" s="19" t="str">
        <f aca="false">IF(BG3626=0,"",IF(BG3626&lt;&gt;BA3626,"erreur de calcul",IF(BD3626&lt;&gt;0,"pas de prix",IF(M3626&lt;&gt; 0,"pas de quantité","pas de prix, ni de quantité"))))</f>
        <v/>
      </c>
      <c r="BI3626" s="19"/>
    </row>
    <row r="3627" customFormat="false" ht="15" hidden="false" customHeight="false" outlineLevel="0" collapsed="false">
      <c r="A3627" s="0" t="n">
        <v>38</v>
      </c>
      <c r="B3627" s="8" t="s">
        <v>24</v>
      </c>
      <c r="C3627" s="9" t="s">
        <v>25</v>
      </c>
      <c r="D3627" s="9" t="s">
        <v>26</v>
      </c>
      <c r="E3627" s="10" t="n">
        <v>1789</v>
      </c>
      <c r="F3627" s="9" t="s">
        <v>27</v>
      </c>
      <c r="G3627" s="9" t="s">
        <v>27</v>
      </c>
      <c r="H3627" s="11" t="n">
        <v>21</v>
      </c>
      <c r="I3627" s="11" t="s">
        <v>191</v>
      </c>
      <c r="J3627" s="14" t="n">
        <v>25</v>
      </c>
      <c r="K3627" s="14"/>
      <c r="L3627" s="16"/>
      <c r="M3627" s="27" t="n">
        <f aca="false">J3627+(K3627/20)+(L3627/240)</f>
        <v>25</v>
      </c>
      <c r="N3627" s="17" t="s">
        <v>64</v>
      </c>
      <c r="O3627" s="11"/>
      <c r="P3627" s="28"/>
      <c r="Q3627" s="28" t="n">
        <f aca="false">P3627*$M3627</f>
        <v>0</v>
      </c>
      <c r="R3627" s="28"/>
      <c r="S3627" s="28" t="n">
        <f aca="false">R3627*$M3627</f>
        <v>0</v>
      </c>
      <c r="T3627" s="28"/>
      <c r="U3627" s="28" t="n">
        <f aca="false">T3627*$M3627</f>
        <v>0</v>
      </c>
      <c r="V3627" s="28"/>
      <c r="W3627" s="28" t="n">
        <f aca="false">V3627*$M3627</f>
        <v>0</v>
      </c>
      <c r="X3627" s="28" t="n">
        <f aca="false">5034/100</f>
        <v>50.34</v>
      </c>
      <c r="Y3627" s="28" t="n">
        <v>1258</v>
      </c>
      <c r="Z3627" s="28"/>
      <c r="AA3627" s="28" t="n">
        <f aca="false">Z3627*$M3627</f>
        <v>0</v>
      </c>
      <c r="AB3627" s="28"/>
      <c r="AC3627" s="28" t="n">
        <f aca="false">AB3627*$M3627</f>
        <v>0</v>
      </c>
      <c r="AD3627" s="28"/>
      <c r="AE3627" s="28" t="n">
        <f aca="false">AD3627*$M3627</f>
        <v>0</v>
      </c>
      <c r="AF3627" s="28"/>
      <c r="AG3627" s="28" t="n">
        <f aca="false">AF3627*$M3627</f>
        <v>0</v>
      </c>
      <c r="AH3627" s="28"/>
      <c r="AI3627" s="28" t="n">
        <f aca="false">AH3627*$M3627</f>
        <v>0</v>
      </c>
      <c r="AJ3627" s="28" t="n">
        <f aca="false">1375/100</f>
        <v>13.75</v>
      </c>
      <c r="AK3627" s="28" t="n">
        <v>344</v>
      </c>
      <c r="AL3627" s="28" t="n">
        <f aca="false">6710/100</f>
        <v>67.1</v>
      </c>
      <c r="AM3627" s="28" t="n">
        <v>1677</v>
      </c>
      <c r="AN3627" s="28"/>
      <c r="AO3627" s="28" t="n">
        <f aca="false">AN3627*$M3627</f>
        <v>0</v>
      </c>
      <c r="AP3627" s="28"/>
      <c r="AQ3627" s="28" t="n">
        <f aca="false">AP3627*$M3627</f>
        <v>0</v>
      </c>
      <c r="AR3627" s="28"/>
      <c r="AS3627" s="28" t="n">
        <f aca="false">AR3627*$M3627</f>
        <v>0</v>
      </c>
      <c r="AT3627" s="28"/>
      <c r="AU3627" s="28" t="n">
        <f aca="false">AT3627*$M3627</f>
        <v>0</v>
      </c>
      <c r="AV3627" s="28"/>
      <c r="AW3627" s="28" t="n">
        <f aca="false">AV3627*$M3627</f>
        <v>0</v>
      </c>
      <c r="AX3627" s="28"/>
      <c r="AY3627" s="28" t="n">
        <f aca="false">AX3627*$M3627</f>
        <v>0</v>
      </c>
      <c r="AZ3627" s="30" t="n">
        <f aca="false">13119/100</f>
        <v>131.19</v>
      </c>
      <c r="BA3627" s="11" t="n">
        <v>3279</v>
      </c>
      <c r="BB3627" s="31" t="n">
        <f aca="false">SUM(Q3627,S3627,U3627,W3627,Y3627,AA3627,AC3627,AE3627,AG3627,AI3627,AK3627,AM3627,AO3627,AQ3627,AS3627,AU3627,AW3627,AY3627)</f>
        <v>3279</v>
      </c>
      <c r="BC3627" s="28" t="n">
        <f aca="false">BA3627-BB3627</f>
        <v>0</v>
      </c>
      <c r="BD3627" s="32" t="n">
        <f aca="false">SUM(P3627,R3627,T3627,V3627,X3627,Z3627,AB3627,AD3627,AF3627,AH3627,AJ3627,AL3627,AN3627,AP3627,AR3627,AT3627,AV3627,AX3627)</f>
        <v>131.19</v>
      </c>
      <c r="BE3627" s="33" t="n">
        <f aca="false">AZ3627-BD3627</f>
        <v>0</v>
      </c>
      <c r="BF3627" s="34" t="n">
        <f aca="false">BD3627*M3627</f>
        <v>3279.75</v>
      </c>
      <c r="BG3627" s="35" t="n">
        <f aca="false">BA3627-BF3627</f>
        <v>-0.75</v>
      </c>
      <c r="BH3627" s="19" t="str">
        <f aca="false">IF(BG3627=0,"",IF(BG3627&lt;&gt;BA3627,"erreur de calcul",IF(BD3627&lt;&gt;0,"pas de prix",IF(M3627&lt;&gt; 0,"pas de quantité","pas de prix, ni de quantité"))))</f>
        <v>erreur de calcul</v>
      </c>
      <c r="BI3627" s="19"/>
    </row>
    <row r="3628" customFormat="false" ht="15" hidden="false" customHeight="false" outlineLevel="0" collapsed="false">
      <c r="A3628" s="0" t="n">
        <v>39</v>
      </c>
      <c r="B3628" s="8" t="s">
        <v>24</v>
      </c>
      <c r="C3628" s="9" t="s">
        <v>25</v>
      </c>
      <c r="D3628" s="9" t="s">
        <v>26</v>
      </c>
      <c r="E3628" s="10" t="n">
        <v>1789</v>
      </c>
      <c r="F3628" s="9" t="s">
        <v>27</v>
      </c>
      <c r="G3628" s="9" t="s">
        <v>27</v>
      </c>
      <c r="H3628" s="11" t="n">
        <v>21</v>
      </c>
      <c r="I3628" s="11" t="s">
        <v>192</v>
      </c>
      <c r="J3628" s="14" t="n">
        <v>25</v>
      </c>
      <c r="K3628" s="14"/>
      <c r="L3628" s="16"/>
      <c r="M3628" s="27" t="n">
        <f aca="false">J3628+(K3628/20)+(L3628/240)</f>
        <v>25</v>
      </c>
      <c r="N3628" s="17" t="s">
        <v>64</v>
      </c>
      <c r="O3628" s="11"/>
      <c r="P3628" s="28"/>
      <c r="Q3628" s="28" t="n">
        <f aca="false">P3628*$M3628</f>
        <v>0</v>
      </c>
      <c r="R3628" s="28"/>
      <c r="S3628" s="28" t="n">
        <f aca="false">R3628*$M3628</f>
        <v>0</v>
      </c>
      <c r="T3628" s="28"/>
      <c r="U3628" s="28" t="n">
        <f aca="false">T3628*$M3628</f>
        <v>0</v>
      </c>
      <c r="V3628" s="28"/>
      <c r="W3628" s="28" t="n">
        <f aca="false">V3628*$M3628</f>
        <v>0</v>
      </c>
      <c r="X3628" s="28" t="n">
        <f aca="false">5561/100</f>
        <v>55.61</v>
      </c>
      <c r="Y3628" s="28" t="n">
        <v>1390</v>
      </c>
      <c r="Z3628" s="28"/>
      <c r="AA3628" s="28" t="n">
        <f aca="false">Z3628*$M3628</f>
        <v>0</v>
      </c>
      <c r="AB3628" s="28"/>
      <c r="AC3628" s="28" t="n">
        <f aca="false">AB3628*$M3628</f>
        <v>0</v>
      </c>
      <c r="AD3628" s="28"/>
      <c r="AE3628" s="28" t="n">
        <f aca="false">AD3628*$M3628</f>
        <v>0</v>
      </c>
      <c r="AF3628" s="28"/>
      <c r="AG3628" s="28" t="n">
        <f aca="false">AF3628*$M3628</f>
        <v>0</v>
      </c>
      <c r="AH3628" s="28"/>
      <c r="AI3628" s="28" t="n">
        <f aca="false">AH3628*$M3628</f>
        <v>0</v>
      </c>
      <c r="AJ3628" s="28"/>
      <c r="AK3628" s="28" t="n">
        <f aca="false">AJ3628*$M3628</f>
        <v>0</v>
      </c>
      <c r="AL3628" s="28"/>
      <c r="AM3628" s="28" t="n">
        <f aca="false">AL3628*$M3628</f>
        <v>0</v>
      </c>
      <c r="AN3628" s="28"/>
      <c r="AO3628" s="28" t="n">
        <f aca="false">AN3628*$M3628</f>
        <v>0</v>
      </c>
      <c r="AP3628" s="28"/>
      <c r="AQ3628" s="28" t="n">
        <f aca="false">AP3628*$M3628</f>
        <v>0</v>
      </c>
      <c r="AR3628" s="28"/>
      <c r="AS3628" s="28" t="n">
        <f aca="false">AR3628*$M3628</f>
        <v>0</v>
      </c>
      <c r="AT3628" s="28"/>
      <c r="AU3628" s="28" t="n">
        <f aca="false">AT3628*$M3628</f>
        <v>0</v>
      </c>
      <c r="AV3628" s="28"/>
      <c r="AW3628" s="28" t="n">
        <f aca="false">AV3628*$M3628</f>
        <v>0</v>
      </c>
      <c r="AX3628" s="28"/>
      <c r="AY3628" s="28" t="n">
        <f aca="false">AX3628*$M3628</f>
        <v>0</v>
      </c>
      <c r="AZ3628" s="30" t="n">
        <f aca="false">5561/100</f>
        <v>55.61</v>
      </c>
      <c r="BA3628" s="11" t="n">
        <v>1390</v>
      </c>
      <c r="BB3628" s="31" t="n">
        <f aca="false">SUM(Q3628,S3628,U3628,W3628,Y3628,AA3628,AC3628,AE3628,AG3628,AI3628,AK3628,AM3628,AO3628,AQ3628,AS3628,AU3628,AW3628,AY3628)</f>
        <v>1390</v>
      </c>
      <c r="BC3628" s="28" t="n">
        <f aca="false">BA3628-BB3628</f>
        <v>0</v>
      </c>
      <c r="BD3628" s="32" t="n">
        <f aca="false">SUM(P3628,R3628,T3628,V3628,X3628,Z3628,AB3628,AD3628,AF3628,AH3628,AJ3628,AL3628,AN3628,AP3628,AR3628,AT3628,AV3628,AX3628)</f>
        <v>55.61</v>
      </c>
      <c r="BE3628" s="33" t="n">
        <f aca="false">AZ3628-BD3628</f>
        <v>0</v>
      </c>
      <c r="BF3628" s="34" t="n">
        <f aca="false">BD3628*M3628</f>
        <v>1390.25</v>
      </c>
      <c r="BG3628" s="35" t="n">
        <f aca="false">BA3628-BF3628</f>
        <v>-0.25</v>
      </c>
      <c r="BH3628" s="19" t="str">
        <f aca="false">IF(BG3628=0,"",IF(BG3628&lt;&gt;BA3628,"erreur de calcul",IF(BD3628&lt;&gt;0,"pas de prix",IF(M3628&lt;&gt; 0,"pas de quantité","pas de prix, ni de quantité"))))</f>
        <v>erreur de calcul</v>
      </c>
      <c r="BI3628" s="19"/>
    </row>
    <row r="3629" customFormat="false" ht="15" hidden="false" customHeight="false" outlineLevel="0" collapsed="false">
      <c r="A3629" s="0" t="n">
        <v>40</v>
      </c>
      <c r="B3629" s="8" t="s">
        <v>24</v>
      </c>
      <c r="C3629" s="9" t="s">
        <v>25</v>
      </c>
      <c r="D3629" s="9" t="s">
        <v>26</v>
      </c>
      <c r="E3629" s="10" t="n">
        <v>1789</v>
      </c>
      <c r="F3629" s="9" t="s">
        <v>27</v>
      </c>
      <c r="G3629" s="9" t="s">
        <v>27</v>
      </c>
      <c r="H3629" s="11" t="n">
        <v>21</v>
      </c>
      <c r="I3629" s="11" t="s">
        <v>193</v>
      </c>
      <c r="J3629" s="14" t="n">
        <v>168</v>
      </c>
      <c r="K3629" s="14"/>
      <c r="L3629" s="16"/>
      <c r="M3629" s="27" t="n">
        <f aca="false">J3629+(K3629/20)+(L3629/240)</f>
        <v>168</v>
      </c>
      <c r="N3629" s="17" t="s">
        <v>64</v>
      </c>
      <c r="O3629" s="11"/>
      <c r="P3629" s="28"/>
      <c r="Q3629" s="28" t="n">
        <f aca="false">P3629*$M3629</f>
        <v>0</v>
      </c>
      <c r="R3629" s="28"/>
      <c r="S3629" s="28" t="n">
        <f aca="false">R3629*$M3629</f>
        <v>0</v>
      </c>
      <c r="T3629" s="28"/>
      <c r="U3629" s="28" t="n">
        <f aca="false">T3629*$M3629</f>
        <v>0</v>
      </c>
      <c r="V3629" s="28"/>
      <c r="W3629" s="28" t="n">
        <f aca="false">V3629*$M3629</f>
        <v>0</v>
      </c>
      <c r="X3629" s="28"/>
      <c r="Y3629" s="28" t="n">
        <f aca="false">X3629*$M3629</f>
        <v>0</v>
      </c>
      <c r="Z3629" s="28"/>
      <c r="AA3629" s="28" t="n">
        <f aca="false">Z3629*$M3629</f>
        <v>0</v>
      </c>
      <c r="AB3629" s="28"/>
      <c r="AC3629" s="28" t="n">
        <f aca="false">AB3629*$M3629</f>
        <v>0</v>
      </c>
      <c r="AD3629" s="28"/>
      <c r="AE3629" s="28" t="n">
        <f aca="false">AD3629*$M3629</f>
        <v>0</v>
      </c>
      <c r="AF3629" s="28"/>
      <c r="AG3629" s="28" t="n">
        <f aca="false">AF3629*$M3629</f>
        <v>0</v>
      </c>
      <c r="AH3629" s="28" t="n">
        <f aca="false">14590/100</f>
        <v>145.9</v>
      </c>
      <c r="AI3629" s="28" t="n">
        <v>24511</v>
      </c>
      <c r="AJ3629" s="28"/>
      <c r="AK3629" s="28" t="n">
        <f aca="false">AJ3629*$M3629</f>
        <v>0</v>
      </c>
      <c r="AL3629" s="28"/>
      <c r="AM3629" s="28" t="n">
        <f aca="false">AL3629*$M3629</f>
        <v>0</v>
      </c>
      <c r="AN3629" s="28"/>
      <c r="AO3629" s="28" t="n">
        <f aca="false">AN3629*$M3629</f>
        <v>0</v>
      </c>
      <c r="AP3629" s="28"/>
      <c r="AQ3629" s="28" t="n">
        <f aca="false">AP3629*$M3629</f>
        <v>0</v>
      </c>
      <c r="AR3629" s="28"/>
      <c r="AS3629" s="28" t="n">
        <f aca="false">AR3629*$M3629</f>
        <v>0</v>
      </c>
      <c r="AT3629" s="28"/>
      <c r="AU3629" s="28" t="n">
        <f aca="false">AT3629*$M3629</f>
        <v>0</v>
      </c>
      <c r="AV3629" s="28"/>
      <c r="AW3629" s="28" t="n">
        <f aca="false">AV3629*$M3629</f>
        <v>0</v>
      </c>
      <c r="AX3629" s="28"/>
      <c r="AY3629" s="28" t="n">
        <f aca="false">AX3629*$M3629</f>
        <v>0</v>
      </c>
      <c r="AZ3629" s="30" t="n">
        <f aca="false">14590/100</f>
        <v>145.9</v>
      </c>
      <c r="BA3629" s="11" t="n">
        <v>24511</v>
      </c>
      <c r="BB3629" s="31" t="n">
        <f aca="false">SUM(Q3629,S3629,U3629,W3629,Y3629,AA3629,AC3629,AE3629,AG3629,AI3629,AK3629,AM3629,AO3629,AQ3629,AS3629,AU3629,AW3629,AY3629)</f>
        <v>24511</v>
      </c>
      <c r="BC3629" s="28" t="n">
        <f aca="false">BA3629-BB3629</f>
        <v>0</v>
      </c>
      <c r="BD3629" s="32" t="n">
        <f aca="false">SUM(P3629,R3629,T3629,V3629,X3629,Z3629,AB3629,AD3629,AF3629,AH3629,AJ3629,AL3629,AN3629,AP3629,AR3629,AT3629,AV3629,AX3629)</f>
        <v>145.9</v>
      </c>
      <c r="BE3629" s="33" t="n">
        <f aca="false">AZ3629-BD3629</f>
        <v>0</v>
      </c>
      <c r="BF3629" s="34" t="n">
        <f aca="false">BD3629*M3629</f>
        <v>24511.2</v>
      </c>
      <c r="BG3629" s="35" t="n">
        <f aca="false">BA3629-BF3629</f>
        <v>-0.200000000000728</v>
      </c>
      <c r="BH3629" s="19" t="str">
        <f aca="false">IF(BG3629=0,"",IF(BG3629&lt;&gt;BA3629,"erreur de calcul",IF(BD3629&lt;&gt;0,"pas de prix",IF(M3629&lt;&gt; 0,"pas de quantité","pas de prix, ni de quantité"))))</f>
        <v>erreur de calcul</v>
      </c>
      <c r="BI3629" s="19"/>
    </row>
    <row r="3630" customFormat="false" ht="15" hidden="false" customHeight="false" outlineLevel="0" collapsed="false">
      <c r="A3630" s="0" t="n">
        <v>41</v>
      </c>
      <c r="B3630" s="8" t="s">
        <v>24</v>
      </c>
      <c r="C3630" s="9" t="s">
        <v>25</v>
      </c>
      <c r="D3630" s="9" t="s">
        <v>26</v>
      </c>
      <c r="E3630" s="10" t="n">
        <v>1789</v>
      </c>
      <c r="F3630" s="9" t="s">
        <v>27</v>
      </c>
      <c r="G3630" s="9" t="s">
        <v>27</v>
      </c>
      <c r="H3630" s="11" t="n">
        <v>21</v>
      </c>
      <c r="I3630" s="11" t="s">
        <v>194</v>
      </c>
      <c r="J3630" s="14" t="n">
        <v>120</v>
      </c>
      <c r="K3630" s="14"/>
      <c r="L3630" s="16"/>
      <c r="M3630" s="27" t="n">
        <f aca="false">J3630+(K3630/20)+(L3630/240)</f>
        <v>120</v>
      </c>
      <c r="N3630" s="17" t="s">
        <v>64</v>
      </c>
      <c r="O3630" s="11"/>
      <c r="P3630" s="28"/>
      <c r="Q3630" s="28" t="n">
        <f aca="false">P3630*$M3630</f>
        <v>0</v>
      </c>
      <c r="R3630" s="28"/>
      <c r="S3630" s="28" t="n">
        <f aca="false">R3630*$M3630</f>
        <v>0</v>
      </c>
      <c r="T3630" s="28"/>
      <c r="U3630" s="28" t="n">
        <f aca="false">T3630*$M3630</f>
        <v>0</v>
      </c>
      <c r="V3630" s="28"/>
      <c r="W3630" s="28" t="n">
        <f aca="false">V3630*$M3630</f>
        <v>0</v>
      </c>
      <c r="X3630" s="28"/>
      <c r="Y3630" s="28" t="n">
        <f aca="false">X3630*$M3630</f>
        <v>0</v>
      </c>
      <c r="Z3630" s="28"/>
      <c r="AA3630" s="28" t="n">
        <f aca="false">Z3630*$M3630</f>
        <v>0</v>
      </c>
      <c r="AB3630" s="28" t="n">
        <f aca="false">6930/100</f>
        <v>69.3</v>
      </c>
      <c r="AC3630" s="28" t="n">
        <v>8316</v>
      </c>
      <c r="AD3630" s="28"/>
      <c r="AE3630" s="28" t="n">
        <f aca="false">AD3630*$M3630</f>
        <v>0</v>
      </c>
      <c r="AF3630" s="28"/>
      <c r="AG3630" s="28" t="n">
        <f aca="false">AF3630*$M3630</f>
        <v>0</v>
      </c>
      <c r="AH3630" s="28"/>
      <c r="AI3630" s="28" t="n">
        <f aca="false">AH3630*$M3630</f>
        <v>0</v>
      </c>
      <c r="AJ3630" s="28"/>
      <c r="AK3630" s="28" t="n">
        <f aca="false">AJ3630*$M3630</f>
        <v>0</v>
      </c>
      <c r="AL3630" s="28"/>
      <c r="AM3630" s="28" t="n">
        <f aca="false">AL3630*$M3630</f>
        <v>0</v>
      </c>
      <c r="AN3630" s="28"/>
      <c r="AO3630" s="28" t="n">
        <f aca="false">AN3630*$M3630</f>
        <v>0</v>
      </c>
      <c r="AP3630" s="28"/>
      <c r="AQ3630" s="28" t="n">
        <f aca="false">AP3630*$M3630</f>
        <v>0</v>
      </c>
      <c r="AR3630" s="28"/>
      <c r="AS3630" s="28" t="n">
        <f aca="false">AR3630*$M3630</f>
        <v>0</v>
      </c>
      <c r="AT3630" s="28"/>
      <c r="AU3630" s="28" t="n">
        <f aca="false">AT3630*$M3630</f>
        <v>0</v>
      </c>
      <c r="AV3630" s="28"/>
      <c r="AW3630" s="28" t="n">
        <f aca="false">AV3630*$M3630</f>
        <v>0</v>
      </c>
      <c r="AX3630" s="28"/>
      <c r="AY3630" s="28" t="n">
        <f aca="false">AX3630*$M3630</f>
        <v>0</v>
      </c>
      <c r="AZ3630" s="30" t="n">
        <f aca="false">6930/100</f>
        <v>69.3</v>
      </c>
      <c r="BA3630" s="11" t="n">
        <v>8316</v>
      </c>
      <c r="BB3630" s="31" t="n">
        <f aca="false">SUM(Q3630,S3630,U3630,W3630,Y3630,AA3630,AC3630,AE3630,AG3630,AI3630,AK3630,AM3630,AO3630,AQ3630,AS3630,AU3630,AW3630,AY3630)</f>
        <v>8316</v>
      </c>
      <c r="BC3630" s="28" t="n">
        <f aca="false">BA3630-BB3630</f>
        <v>0</v>
      </c>
      <c r="BD3630" s="32" t="n">
        <f aca="false">SUM(P3630,R3630,T3630,V3630,X3630,Z3630,AB3630,AD3630,AF3630,AH3630,AJ3630,AL3630,AN3630,AP3630,AR3630,AT3630,AV3630,AX3630)</f>
        <v>69.3</v>
      </c>
      <c r="BE3630" s="33" t="n">
        <f aca="false">AZ3630-BD3630</f>
        <v>0</v>
      </c>
      <c r="BF3630" s="34" t="n">
        <f aca="false">BD3630*M3630</f>
        <v>8316</v>
      </c>
      <c r="BG3630" s="35" t="n">
        <f aca="false">BA3630-BF3630</f>
        <v>0</v>
      </c>
      <c r="BH3630" s="19" t="str">
        <f aca="false">IF(BG3630=0,"",IF(BG3630&lt;&gt;BA3630,"erreur de calcul",IF(BD3630&lt;&gt;0,"pas de prix",IF(M3630&lt;&gt; 0,"pas de quantité","pas de prix, ni de quantité"))))</f>
        <v/>
      </c>
      <c r="BI3630" s="19"/>
    </row>
    <row r="3631" customFormat="false" ht="16.65" hidden="false" customHeight="false" outlineLevel="0" collapsed="false">
      <c r="A3631" s="0" t="n">
        <v>42</v>
      </c>
      <c r="B3631" s="8" t="s">
        <v>24</v>
      </c>
      <c r="C3631" s="9" t="s">
        <v>25</v>
      </c>
      <c r="D3631" s="9" t="s">
        <v>26</v>
      </c>
      <c r="E3631" s="10" t="n">
        <v>1789</v>
      </c>
      <c r="F3631" s="9" t="s">
        <v>27</v>
      </c>
      <c r="G3631" s="9" t="s">
        <v>27</v>
      </c>
      <c r="H3631" s="11" t="n">
        <v>21</v>
      </c>
      <c r="I3631" s="11" t="s">
        <v>195</v>
      </c>
      <c r="J3631" s="14" t="n">
        <v>70</v>
      </c>
      <c r="K3631" s="14"/>
      <c r="L3631" s="16"/>
      <c r="M3631" s="27" t="n">
        <f aca="false">J3631+(K3631/20)+(L3631/240)</f>
        <v>70</v>
      </c>
      <c r="N3631" s="17" t="s">
        <v>64</v>
      </c>
      <c r="O3631" s="11"/>
      <c r="P3631" s="28"/>
      <c r="Q3631" s="28" t="n">
        <f aca="false">P3631*$M3631</f>
        <v>0</v>
      </c>
      <c r="R3631" s="28"/>
      <c r="S3631" s="28" t="n">
        <f aca="false">R3631*$M3631</f>
        <v>0</v>
      </c>
      <c r="T3631" s="28"/>
      <c r="U3631" s="28" t="n">
        <f aca="false">T3631*$M3631</f>
        <v>0</v>
      </c>
      <c r="V3631" s="28"/>
      <c r="W3631" s="28" t="n">
        <f aca="false">V3631*$M3631</f>
        <v>0</v>
      </c>
      <c r="X3631" s="28"/>
      <c r="Y3631" s="28" t="n">
        <f aca="false">X3631*$M3631</f>
        <v>0</v>
      </c>
      <c r="Z3631" s="28"/>
      <c r="AA3631" s="28" t="n">
        <f aca="false">Z3631*$M3631</f>
        <v>0</v>
      </c>
      <c r="AB3631" s="28"/>
      <c r="AC3631" s="28" t="n">
        <f aca="false">AB3631*$M3631</f>
        <v>0</v>
      </c>
      <c r="AD3631" s="28"/>
      <c r="AE3631" s="28" t="n">
        <f aca="false">AD3631*$M3631</f>
        <v>0</v>
      </c>
      <c r="AF3631" s="28"/>
      <c r="AG3631" s="28" t="n">
        <f aca="false">AF3631*$M3631</f>
        <v>0</v>
      </c>
      <c r="AH3631" s="28"/>
      <c r="AI3631" s="28" t="n">
        <f aca="false">AH3631*$M3631</f>
        <v>0</v>
      </c>
      <c r="AJ3631" s="28"/>
      <c r="AK3631" s="28" t="n">
        <f aca="false">AJ3631*$M3631</f>
        <v>0</v>
      </c>
      <c r="AL3631" s="28"/>
      <c r="AM3631" s="28" t="n">
        <f aca="false">AL3631*$M3631</f>
        <v>0</v>
      </c>
      <c r="AN3631" s="28" t="n">
        <f aca="false">13200/100</f>
        <v>132</v>
      </c>
      <c r="AO3631" s="28" t="n">
        <v>9240</v>
      </c>
      <c r="AP3631" s="28"/>
      <c r="AQ3631" s="28" t="n">
        <f aca="false">AP3631*$M3631</f>
        <v>0</v>
      </c>
      <c r="AR3631" s="28"/>
      <c r="AS3631" s="28" t="n">
        <f aca="false">AR3631*$M3631</f>
        <v>0</v>
      </c>
      <c r="AT3631" s="28"/>
      <c r="AU3631" s="28" t="n">
        <f aca="false">AT3631*$M3631</f>
        <v>0</v>
      </c>
      <c r="AV3631" s="28"/>
      <c r="AW3631" s="28" t="n">
        <f aca="false">AV3631*$M3631</f>
        <v>0</v>
      </c>
      <c r="AX3631" s="28"/>
      <c r="AY3631" s="28" t="n">
        <f aca="false">AX3631*$M3631</f>
        <v>0</v>
      </c>
      <c r="AZ3631" s="30" t="n">
        <f aca="false">13200/100</f>
        <v>132</v>
      </c>
      <c r="BA3631" s="11" t="n">
        <v>9240</v>
      </c>
      <c r="BB3631" s="31" t="n">
        <f aca="false">SUM(Q3631,S3631,U3631,W3631,Y3631,AA3631,AC3631,AE3631,AG3631,AI3631,AK3631,AM3631,AO3631,AQ3631,AS3631,AU3631,AW3631,AY3631)</f>
        <v>9240</v>
      </c>
      <c r="BC3631" s="28" t="n">
        <f aca="false">BA3631-BB3631</f>
        <v>0</v>
      </c>
      <c r="BD3631" s="32" t="n">
        <f aca="false">SUM(P3631,R3631,T3631,V3631,X3631,Z3631,AB3631,AD3631,AF3631,AH3631,AJ3631,AL3631,AN3631,AP3631,AR3631,AT3631,AV3631,AX3631)</f>
        <v>132</v>
      </c>
      <c r="BE3631" s="33" t="n">
        <f aca="false">AZ3631-BD3631</f>
        <v>0</v>
      </c>
      <c r="BF3631" s="34" t="n">
        <f aca="false">BD3631*M3631</f>
        <v>9240</v>
      </c>
      <c r="BG3631" s="35" t="n">
        <f aca="false">BA3631-BF3631</f>
        <v>0</v>
      </c>
      <c r="BH3631" s="19" t="str">
        <f aca="false">IF(BG3631=0,"",IF(BG3631&lt;&gt;BA3631,"erreur de calcul",IF(BD3631&lt;&gt;0,"pas de prix",IF(M3631&lt;&gt; 0,"pas de quantité","pas de prix, ni de quantité"))))</f>
        <v/>
      </c>
      <c r="BI3631" s="19"/>
    </row>
    <row r="3632" customFormat="false" ht="15" hidden="false" customHeight="false" outlineLevel="0" collapsed="false">
      <c r="A3632" s="0" t="n">
        <v>43</v>
      </c>
      <c r="B3632" s="8" t="s">
        <v>24</v>
      </c>
      <c r="C3632" s="9" t="s">
        <v>25</v>
      </c>
      <c r="D3632" s="9" t="s">
        <v>26</v>
      </c>
      <c r="E3632" s="10" t="n">
        <v>1789</v>
      </c>
      <c r="F3632" s="9" t="s">
        <v>27</v>
      </c>
      <c r="G3632" s="9" t="s">
        <v>27</v>
      </c>
      <c r="H3632" s="11" t="n">
        <v>21</v>
      </c>
      <c r="I3632" s="11" t="s">
        <v>196</v>
      </c>
      <c r="J3632" s="14" t="n">
        <v>65</v>
      </c>
      <c r="K3632" s="14"/>
      <c r="L3632" s="16"/>
      <c r="M3632" s="27" t="n">
        <f aca="false">J3632+(K3632/20)+(L3632/240)</f>
        <v>65</v>
      </c>
      <c r="N3632" s="17" t="s">
        <v>64</v>
      </c>
      <c r="O3632" s="11"/>
      <c r="P3632" s="28"/>
      <c r="Q3632" s="28" t="n">
        <f aca="false">P3632*$M3632</f>
        <v>0</v>
      </c>
      <c r="R3632" s="28"/>
      <c r="S3632" s="28" t="n">
        <f aca="false">R3632*$M3632</f>
        <v>0</v>
      </c>
      <c r="T3632" s="28"/>
      <c r="U3632" s="28" t="n">
        <f aca="false">T3632*$M3632</f>
        <v>0</v>
      </c>
      <c r="V3632" s="28"/>
      <c r="W3632" s="28" t="n">
        <f aca="false">V3632*$M3632</f>
        <v>0</v>
      </c>
      <c r="X3632" s="28" t="n">
        <f aca="false">44247/100</f>
        <v>442.47</v>
      </c>
      <c r="Y3632" s="28" t="n">
        <v>28760</v>
      </c>
      <c r="Z3632" s="28" t="n">
        <f aca="false">1906/100</f>
        <v>19.06</v>
      </c>
      <c r="AA3632" s="28" t="n">
        <v>1239</v>
      </c>
      <c r="AB3632" s="28"/>
      <c r="AC3632" s="28" t="n">
        <f aca="false">AB3632*$M3632</f>
        <v>0</v>
      </c>
      <c r="AD3632" s="28"/>
      <c r="AE3632" s="28" t="n">
        <f aca="false">AD3632*$M3632</f>
        <v>0</v>
      </c>
      <c r="AF3632" s="28"/>
      <c r="AG3632" s="28" t="n">
        <f aca="false">AF3632*$M3632</f>
        <v>0</v>
      </c>
      <c r="AH3632" s="28"/>
      <c r="AI3632" s="28" t="n">
        <f aca="false">AH3632*$M3632</f>
        <v>0</v>
      </c>
      <c r="AJ3632" s="28" t="n">
        <f aca="false">625/100</f>
        <v>6.25</v>
      </c>
      <c r="AK3632" s="28" t="n">
        <v>406</v>
      </c>
      <c r="AL3632" s="28"/>
      <c r="AM3632" s="28" t="n">
        <f aca="false">AL3632*$M3632</f>
        <v>0</v>
      </c>
      <c r="AN3632" s="28"/>
      <c r="AO3632" s="28" t="n">
        <f aca="false">AN3632*$M3632</f>
        <v>0</v>
      </c>
      <c r="AP3632" s="28"/>
      <c r="AQ3632" s="28" t="n">
        <f aca="false">AP3632*$M3632</f>
        <v>0</v>
      </c>
      <c r="AR3632" s="28"/>
      <c r="AS3632" s="28" t="n">
        <f aca="false">AR3632*$M3632</f>
        <v>0</v>
      </c>
      <c r="AT3632" s="28"/>
      <c r="AU3632" s="28" t="n">
        <f aca="false">AT3632*$M3632</f>
        <v>0</v>
      </c>
      <c r="AV3632" s="28"/>
      <c r="AW3632" s="28" t="n">
        <f aca="false">AV3632*$M3632</f>
        <v>0</v>
      </c>
      <c r="AX3632" s="28"/>
      <c r="AY3632" s="28" t="n">
        <f aca="false">AX3632*$M3632</f>
        <v>0</v>
      </c>
      <c r="AZ3632" s="30" t="n">
        <f aca="false">46778/100</f>
        <v>467.78</v>
      </c>
      <c r="BA3632" s="11" t="n">
        <v>30405</v>
      </c>
      <c r="BB3632" s="31" t="n">
        <f aca="false">SUM(Q3632,S3632,U3632,W3632,Y3632,AA3632,AC3632,AE3632,AG3632,AI3632,AK3632,AM3632,AO3632,AQ3632,AS3632,AU3632,AW3632,AY3632)</f>
        <v>30405</v>
      </c>
      <c r="BC3632" s="28" t="n">
        <f aca="false">BA3632-BB3632</f>
        <v>0</v>
      </c>
      <c r="BD3632" s="32" t="n">
        <f aca="false">SUM(P3632,R3632,T3632,V3632,X3632,Z3632,AB3632,AD3632,AF3632,AH3632,AJ3632,AL3632,AN3632,AP3632,AR3632,AT3632,AV3632,AX3632)</f>
        <v>467.78</v>
      </c>
      <c r="BE3632" s="33" t="n">
        <f aca="false">AZ3632-BD3632</f>
        <v>0</v>
      </c>
      <c r="BF3632" s="34" t="n">
        <f aca="false">BD3632*M3632</f>
        <v>30405.7</v>
      </c>
      <c r="BG3632" s="35" t="n">
        <f aca="false">BA3632-BF3632</f>
        <v>-0.700000000000728</v>
      </c>
      <c r="BH3632" s="19" t="str">
        <f aca="false">IF(BG3632=0,"",IF(BG3632&lt;&gt;BA3632,"erreur de calcul",IF(BD3632&lt;&gt;0,"pas de prix",IF(M3632&lt;&gt; 0,"pas de quantité","pas de prix, ni de quantité"))))</f>
        <v>erreur de calcul</v>
      </c>
      <c r="BI3632" s="19"/>
    </row>
    <row r="3633" customFormat="false" ht="15" hidden="false" customHeight="false" outlineLevel="0" collapsed="false">
      <c r="A3633" s="0" t="n">
        <v>44</v>
      </c>
      <c r="B3633" s="8" t="s">
        <v>24</v>
      </c>
      <c r="C3633" s="9" t="s">
        <v>25</v>
      </c>
      <c r="D3633" s="9" t="s">
        <v>26</v>
      </c>
      <c r="E3633" s="10" t="n">
        <v>1789</v>
      </c>
      <c r="F3633" s="9" t="s">
        <v>27</v>
      </c>
      <c r="G3633" s="9" t="s">
        <v>27</v>
      </c>
      <c r="H3633" s="11" t="n">
        <v>21</v>
      </c>
      <c r="I3633" s="11" t="s">
        <v>197</v>
      </c>
      <c r="J3633" s="14" t="n">
        <v>70</v>
      </c>
      <c r="K3633" s="14"/>
      <c r="L3633" s="16"/>
      <c r="M3633" s="27" t="n">
        <f aca="false">J3633+(K3633/20)+(L3633/240)</f>
        <v>70</v>
      </c>
      <c r="N3633" s="17" t="s">
        <v>64</v>
      </c>
      <c r="O3633" s="11"/>
      <c r="P3633" s="28"/>
      <c r="Q3633" s="28" t="n">
        <f aca="false">P3633*$M3633</f>
        <v>0</v>
      </c>
      <c r="R3633" s="28"/>
      <c r="S3633" s="28" t="n">
        <f aca="false">R3633*$M3633</f>
        <v>0</v>
      </c>
      <c r="T3633" s="28"/>
      <c r="U3633" s="28" t="n">
        <f aca="false">T3633*$M3633</f>
        <v>0</v>
      </c>
      <c r="V3633" s="28"/>
      <c r="W3633" s="28" t="n">
        <f aca="false">V3633*$M3633</f>
        <v>0</v>
      </c>
      <c r="X3633" s="28"/>
      <c r="Y3633" s="28" t="n">
        <f aca="false">X3633*$M3633</f>
        <v>0</v>
      </c>
      <c r="Z3633" s="28"/>
      <c r="AA3633" s="28" t="n">
        <f aca="false">Z3633*$M3633</f>
        <v>0</v>
      </c>
      <c r="AB3633" s="28"/>
      <c r="AC3633" s="28" t="n">
        <f aca="false">AB3633*$M3633</f>
        <v>0</v>
      </c>
      <c r="AD3633" s="28"/>
      <c r="AE3633" s="28" t="n">
        <f aca="false">AD3633*$M3633</f>
        <v>0</v>
      </c>
      <c r="AF3633" s="28"/>
      <c r="AG3633" s="28" t="n">
        <f aca="false">AF3633*$M3633</f>
        <v>0</v>
      </c>
      <c r="AH3633" s="28" t="n">
        <f aca="false">156436/100</f>
        <v>1564.36</v>
      </c>
      <c r="AI3633" s="28" t="n">
        <v>109505</v>
      </c>
      <c r="AJ3633" s="28"/>
      <c r="AK3633" s="28" t="n">
        <f aca="false">AJ3633*$M3633</f>
        <v>0</v>
      </c>
      <c r="AL3633" s="28"/>
      <c r="AM3633" s="28" t="n">
        <f aca="false">AL3633*$M3633</f>
        <v>0</v>
      </c>
      <c r="AN3633" s="28"/>
      <c r="AO3633" s="28" t="n">
        <f aca="false">AN3633*$M3633</f>
        <v>0</v>
      </c>
      <c r="AP3633" s="28"/>
      <c r="AQ3633" s="28" t="n">
        <f aca="false">AP3633*$M3633</f>
        <v>0</v>
      </c>
      <c r="AR3633" s="28"/>
      <c r="AS3633" s="28" t="n">
        <f aca="false">AR3633*$M3633</f>
        <v>0</v>
      </c>
      <c r="AT3633" s="28"/>
      <c r="AU3633" s="28" t="n">
        <f aca="false">AT3633*$M3633</f>
        <v>0</v>
      </c>
      <c r="AV3633" s="28"/>
      <c r="AW3633" s="28" t="n">
        <f aca="false">AV3633*$M3633</f>
        <v>0</v>
      </c>
      <c r="AX3633" s="28"/>
      <c r="AY3633" s="28" t="n">
        <f aca="false">AX3633*$M3633</f>
        <v>0</v>
      </c>
      <c r="AZ3633" s="30" t="n">
        <f aca="false">156436/100</f>
        <v>1564.36</v>
      </c>
      <c r="BA3633" s="11" t="n">
        <v>109505</v>
      </c>
      <c r="BB3633" s="31" t="n">
        <f aca="false">SUM(Q3633,S3633,U3633,W3633,Y3633,AA3633,AC3633,AE3633,AG3633,AI3633,AK3633,AM3633,AO3633,AQ3633,AS3633,AU3633,AW3633,AY3633)</f>
        <v>109505</v>
      </c>
      <c r="BC3633" s="28" t="n">
        <f aca="false">BA3633-BB3633</f>
        <v>0</v>
      </c>
      <c r="BD3633" s="32" t="n">
        <f aca="false">SUM(P3633,R3633,T3633,V3633,X3633,Z3633,AB3633,AD3633,AF3633,AH3633,AJ3633,AL3633,AN3633,AP3633,AR3633,AT3633,AV3633,AX3633)</f>
        <v>1564.36</v>
      </c>
      <c r="BE3633" s="33" t="n">
        <f aca="false">AZ3633-BD3633</f>
        <v>0</v>
      </c>
      <c r="BF3633" s="34" t="n">
        <f aca="false">BD3633*M3633</f>
        <v>109505.2</v>
      </c>
      <c r="BG3633" s="35" t="n">
        <f aca="false">BA3633-BF3633</f>
        <v>-0.19999999999709</v>
      </c>
      <c r="BH3633" s="19" t="str">
        <f aca="false">IF(BG3633=0,"",IF(BG3633&lt;&gt;BA3633,"erreur de calcul",IF(BD3633&lt;&gt;0,"pas de prix",IF(M3633&lt;&gt; 0,"pas de quantité","pas de prix, ni de quantité"))))</f>
        <v>erreur de calcul</v>
      </c>
      <c r="BI3633" s="19"/>
    </row>
    <row r="3634" customFormat="false" ht="15" hidden="false" customHeight="false" outlineLevel="0" collapsed="false">
      <c r="A3634" s="0" t="n">
        <v>45</v>
      </c>
      <c r="B3634" s="8" t="s">
        <v>24</v>
      </c>
      <c r="C3634" s="9" t="s">
        <v>25</v>
      </c>
      <c r="D3634" s="9" t="s">
        <v>26</v>
      </c>
      <c r="E3634" s="10" t="n">
        <v>1789</v>
      </c>
      <c r="F3634" s="9" t="s">
        <v>27</v>
      </c>
      <c r="G3634" s="9" t="s">
        <v>27</v>
      </c>
      <c r="H3634" s="11" t="n">
        <v>21</v>
      </c>
      <c r="I3634" s="11" t="s">
        <v>198</v>
      </c>
      <c r="J3634" s="14"/>
      <c r="K3634" s="14"/>
      <c r="L3634" s="16"/>
      <c r="M3634" s="27" t="n">
        <f aca="false">J3634+(K3634/20)+(L3634/240)</f>
        <v>0</v>
      </c>
      <c r="N3634" s="17"/>
      <c r="O3634" s="11" t="s">
        <v>98</v>
      </c>
      <c r="P3634" s="28"/>
      <c r="Q3634" s="28" t="n">
        <v>387</v>
      </c>
      <c r="R3634" s="28"/>
      <c r="S3634" s="28" t="n">
        <f aca="false">R3634*$M3634</f>
        <v>0</v>
      </c>
      <c r="T3634" s="28"/>
      <c r="U3634" s="28" t="n">
        <v>2349</v>
      </c>
      <c r="V3634" s="28"/>
      <c r="W3634" s="28" t="n">
        <v>978</v>
      </c>
      <c r="X3634" s="28"/>
      <c r="Y3634" s="28" t="n">
        <f aca="false">X3634*$M3634</f>
        <v>0</v>
      </c>
      <c r="Z3634" s="28"/>
      <c r="AA3634" s="28" t="n">
        <f aca="false">Z3634*$M3634</f>
        <v>0</v>
      </c>
      <c r="AB3634" s="28"/>
      <c r="AC3634" s="28" t="n">
        <v>328</v>
      </c>
      <c r="AD3634" s="28"/>
      <c r="AE3634" s="28" t="n">
        <f aca="false">AD3634*$M3634</f>
        <v>0</v>
      </c>
      <c r="AF3634" s="28"/>
      <c r="AG3634" s="28" t="n">
        <f aca="false">AF3634*$M3634</f>
        <v>0</v>
      </c>
      <c r="AH3634" s="28"/>
      <c r="AI3634" s="28" t="n">
        <v>878</v>
      </c>
      <c r="AJ3634" s="28"/>
      <c r="AK3634" s="28" t="n">
        <v>1546</v>
      </c>
      <c r="AL3634" s="28"/>
      <c r="AM3634" s="28" t="n">
        <f aca="false">AL3634*$M3634</f>
        <v>0</v>
      </c>
      <c r="AN3634" s="28"/>
      <c r="AO3634" s="28" t="n">
        <f aca="false">AN3634*$M3634</f>
        <v>0</v>
      </c>
      <c r="AP3634" s="28"/>
      <c r="AQ3634" s="28" t="n">
        <f aca="false">AP3634*$M3634</f>
        <v>0</v>
      </c>
      <c r="AR3634" s="28"/>
      <c r="AS3634" s="28" t="n">
        <f aca="false">AR3634*$M3634</f>
        <v>0</v>
      </c>
      <c r="AT3634" s="28"/>
      <c r="AU3634" s="28" t="n">
        <f aca="false">AT3634*$M3634</f>
        <v>0</v>
      </c>
      <c r="AV3634" s="28"/>
      <c r="AW3634" s="28" t="n">
        <f aca="false">AV3634*$M3634</f>
        <v>0</v>
      </c>
      <c r="AX3634" s="28"/>
      <c r="AY3634" s="28" t="n">
        <f aca="false">AX3634*$M3634</f>
        <v>0</v>
      </c>
      <c r="AZ3634" s="30"/>
      <c r="BA3634" s="11" t="n">
        <v>6466</v>
      </c>
      <c r="BB3634" s="31" t="n">
        <f aca="false">SUM(Q3634,S3634,U3634,W3634,Y3634,AA3634,AC3634,AE3634,AG3634,AI3634,AK3634,AM3634,AO3634,AQ3634,AS3634,AU3634,AW3634,AY3634)</f>
        <v>6466</v>
      </c>
      <c r="BC3634" s="28" t="n">
        <f aca="false">BA3634-BB3634</f>
        <v>0</v>
      </c>
      <c r="BD3634" s="32" t="n">
        <f aca="false">SUM(P3634,R3634,T3634,V3634,X3634,Z3634,AB3634,AD3634,AF3634,AH3634,AJ3634,AL3634,AN3634,AP3634,AR3634,AT3634,AV3634,AX3634)</f>
        <v>0</v>
      </c>
      <c r="BE3634" s="33" t="n">
        <f aca="false">AZ3634-BD3634</f>
        <v>0</v>
      </c>
      <c r="BF3634" s="34" t="n">
        <f aca="false">BD3634*M3634</f>
        <v>0</v>
      </c>
      <c r="BG3634" s="35" t="n">
        <f aca="false">BA3634-BF3634</f>
        <v>6466</v>
      </c>
      <c r="BH3634" s="19" t="str">
        <f aca="false">IF(BG3634=0,"",IF(BG3634&lt;&gt;BA3634,"erreur de calcul",IF(BD3634&lt;&gt;0,"pas de prix",IF(M3634&lt;&gt; 0,"pas de quantité","pas de prix, ni de quantité"))))</f>
        <v>pas de prix, ni de quantité</v>
      </c>
      <c r="BI3634" s="19"/>
    </row>
    <row r="3635" customFormat="false" ht="15" hidden="false" customHeight="false" outlineLevel="0" collapsed="false">
      <c r="A3635" s="0" t="n">
        <v>46</v>
      </c>
      <c r="B3635" s="8" t="s">
        <v>24</v>
      </c>
      <c r="C3635" s="9" t="s">
        <v>25</v>
      </c>
      <c r="D3635" s="9" t="s">
        <v>26</v>
      </c>
      <c r="E3635" s="10" t="n">
        <v>1789</v>
      </c>
      <c r="F3635" s="9" t="s">
        <v>27</v>
      </c>
      <c r="G3635" s="9" t="s">
        <v>27</v>
      </c>
      <c r="H3635" s="11" t="n">
        <v>21</v>
      </c>
      <c r="I3635" s="11" t="s">
        <v>199</v>
      </c>
      <c r="J3635" s="14" t="n">
        <v>27</v>
      </c>
      <c r="K3635" s="14"/>
      <c r="L3635" s="16"/>
      <c r="M3635" s="27" t="n">
        <f aca="false">J3635+(K3635/20)+(L3635/240)</f>
        <v>27</v>
      </c>
      <c r="N3635" s="17" t="s">
        <v>64</v>
      </c>
      <c r="O3635" s="11"/>
      <c r="P3635" s="28" t="n">
        <f aca="false">108627/100</f>
        <v>1086.27</v>
      </c>
      <c r="Q3635" s="28" t="n">
        <v>29329</v>
      </c>
      <c r="R3635" s="28"/>
      <c r="S3635" s="28" t="n">
        <f aca="false">R3635*$M3635</f>
        <v>0</v>
      </c>
      <c r="T3635" s="28"/>
      <c r="U3635" s="28" t="n">
        <f aca="false">T3635*$M3635</f>
        <v>0</v>
      </c>
      <c r="V3635" s="28"/>
      <c r="W3635" s="28" t="n">
        <f aca="false">V3635*$M3635</f>
        <v>0</v>
      </c>
      <c r="X3635" s="28"/>
      <c r="Y3635" s="28" t="n">
        <f aca="false">X3635*$M3635</f>
        <v>0</v>
      </c>
      <c r="Z3635" s="28" t="n">
        <f aca="false">535243/100</f>
        <v>5352.43</v>
      </c>
      <c r="AA3635" s="28" t="n">
        <v>144516</v>
      </c>
      <c r="AB3635" s="28"/>
      <c r="AC3635" s="28" t="n">
        <f aca="false">AB3635*$M3635</f>
        <v>0</v>
      </c>
      <c r="AD3635" s="28" t="n">
        <f aca="false">75759/100</f>
        <v>757.59</v>
      </c>
      <c r="AE3635" s="28" t="n">
        <v>20455</v>
      </c>
      <c r="AF3635" s="28"/>
      <c r="AG3635" s="28" t="n">
        <f aca="false">AF3635*$M3635</f>
        <v>0</v>
      </c>
      <c r="AH3635" s="28" t="n">
        <f aca="false">77800/100</f>
        <v>778</v>
      </c>
      <c r="AI3635" s="36" t="n">
        <v>21016</v>
      </c>
      <c r="AJ3635" s="28" t="n">
        <f aca="false">28078/100</f>
        <v>280.78</v>
      </c>
      <c r="AK3635" s="28" t="n">
        <v>7581</v>
      </c>
      <c r="AL3635" s="28" t="n">
        <f aca="false">15417/100</f>
        <v>154.17</v>
      </c>
      <c r="AM3635" s="28" t="n">
        <v>4162</v>
      </c>
      <c r="AN3635" s="28"/>
      <c r="AO3635" s="28" t="n">
        <f aca="false">AN3635*$M3635</f>
        <v>0</v>
      </c>
      <c r="AP3635" s="28"/>
      <c r="AQ3635" s="28" t="n">
        <f aca="false">AP3635*$M3635</f>
        <v>0</v>
      </c>
      <c r="AR3635" s="28"/>
      <c r="AS3635" s="28" t="n">
        <f aca="false">AR3635*$M3635</f>
        <v>0</v>
      </c>
      <c r="AT3635" s="28"/>
      <c r="AU3635" s="28" t="n">
        <f aca="false">AT3635*$M3635</f>
        <v>0</v>
      </c>
      <c r="AV3635" s="28"/>
      <c r="AW3635" s="28" t="n">
        <f aca="false">AV3635*$M3635</f>
        <v>0</v>
      </c>
      <c r="AX3635" s="28"/>
      <c r="AY3635" s="28" t="n">
        <f aca="false">AX3635*$M3635</f>
        <v>0</v>
      </c>
      <c r="AZ3635" s="30" t="n">
        <f aca="false">840924/100</f>
        <v>8409.24</v>
      </c>
      <c r="BA3635" s="11" t="n">
        <v>227059</v>
      </c>
      <c r="BB3635" s="31" t="n">
        <f aca="false">SUM(Q3635,S3635,U3635,W3635,Y3635,AA3635,AC3635,AE3635,AG3635,AI3635,AK3635,AM3635,AO3635,AQ3635,AS3635,AU3635,AW3635,AY3635)</f>
        <v>227059</v>
      </c>
      <c r="BC3635" s="28" t="n">
        <f aca="false">BA3635-BB3635</f>
        <v>0</v>
      </c>
      <c r="BD3635" s="32" t="n">
        <f aca="false">SUM(P3635,R3635,T3635,V3635,X3635,Z3635,AB3635,AD3635,AF3635,AH3635,AJ3635,AL3635,AN3635,AP3635,AR3635,AT3635,AV3635,AX3635)</f>
        <v>8409.24</v>
      </c>
      <c r="BE3635" s="33" t="n">
        <f aca="false">AZ3635-BD3635</f>
        <v>0</v>
      </c>
      <c r="BF3635" s="34" t="n">
        <f aca="false">BD3635*M3635</f>
        <v>227049.48</v>
      </c>
      <c r="BG3635" s="35" t="n">
        <f aca="false">BA3635-BF3635</f>
        <v>9.52000000001863</v>
      </c>
      <c r="BH3635" s="19" t="str">
        <f aca="false">IF(BG3635=0,"",IF(BG3635&lt;&gt;BA3635,"erreur de calcul",IF(BD3635&lt;&gt;0,"pas de prix",IF(M3635&lt;&gt; 0,"pas de quantité","pas de prix, ni de quantité"))))</f>
        <v>erreur de calcul</v>
      </c>
      <c r="BI3635" s="19"/>
    </row>
    <row r="3636" customFormat="false" ht="15" hidden="false" customHeight="false" outlineLevel="0" collapsed="false">
      <c r="A3636" s="0" t="n">
        <v>47</v>
      </c>
      <c r="B3636" s="8" t="s">
        <v>24</v>
      </c>
      <c r="C3636" s="9" t="s">
        <v>25</v>
      </c>
      <c r="D3636" s="9" t="s">
        <v>26</v>
      </c>
      <c r="E3636" s="10" t="n">
        <v>1789</v>
      </c>
      <c r="F3636" s="9" t="s">
        <v>27</v>
      </c>
      <c r="G3636" s="9" t="s">
        <v>27</v>
      </c>
      <c r="H3636" s="11" t="n">
        <v>21</v>
      </c>
      <c r="I3636" s="11" t="s">
        <v>200</v>
      </c>
      <c r="J3636" s="14" t="n">
        <v>25</v>
      </c>
      <c r="K3636" s="14"/>
      <c r="L3636" s="16"/>
      <c r="M3636" s="27" t="n">
        <f aca="false">J3636+(K3636/20)+(L3636/240)</f>
        <v>25</v>
      </c>
      <c r="N3636" s="17" t="s">
        <v>64</v>
      </c>
      <c r="O3636" s="11"/>
      <c r="P3636" s="28"/>
      <c r="Q3636" s="28" t="n">
        <f aca="false">P3636*$M3636</f>
        <v>0</v>
      </c>
      <c r="R3636" s="28"/>
      <c r="S3636" s="28" t="n">
        <f aca="false">R3636*$M3636</f>
        <v>0</v>
      </c>
      <c r="T3636" s="28" t="n">
        <f aca="false">56427/100</f>
        <v>564.27</v>
      </c>
      <c r="U3636" s="28" t="n">
        <v>14107</v>
      </c>
      <c r="V3636" s="28"/>
      <c r="W3636" s="28" t="n">
        <f aca="false">V3636*$M3636</f>
        <v>0</v>
      </c>
      <c r="X3636" s="28" t="n">
        <f aca="false">98758/100</f>
        <v>987.58</v>
      </c>
      <c r="Y3636" s="28" t="n">
        <v>24689</v>
      </c>
      <c r="Z3636" s="28"/>
      <c r="AA3636" s="28" t="n">
        <f aca="false">Z3636*$M3636</f>
        <v>0</v>
      </c>
      <c r="AB3636" s="28"/>
      <c r="AC3636" s="28" t="n">
        <f aca="false">AB3636*$M3636</f>
        <v>0</v>
      </c>
      <c r="AD3636" s="28"/>
      <c r="AE3636" s="28" t="n">
        <f aca="false">AD3636*$M3636</f>
        <v>0</v>
      </c>
      <c r="AF3636" s="28"/>
      <c r="AG3636" s="28" t="n">
        <f aca="false">AF3636*$M3636</f>
        <v>0</v>
      </c>
      <c r="AH3636" s="28"/>
      <c r="AI3636" s="28" t="n">
        <f aca="false">AH3636*$M3636</f>
        <v>0</v>
      </c>
      <c r="AJ3636" s="28"/>
      <c r="AK3636" s="28" t="n">
        <f aca="false">AJ3636*$M3636</f>
        <v>0</v>
      </c>
      <c r="AL3636" s="28"/>
      <c r="AM3636" s="28" t="n">
        <f aca="false">AL3636*$M3636</f>
        <v>0</v>
      </c>
      <c r="AN3636" s="28"/>
      <c r="AO3636" s="28" t="n">
        <f aca="false">AN3636*$M3636</f>
        <v>0</v>
      </c>
      <c r="AP3636" s="28"/>
      <c r="AQ3636" s="28" t="n">
        <f aca="false">AP3636*$M3636</f>
        <v>0</v>
      </c>
      <c r="AR3636" s="28"/>
      <c r="AS3636" s="28" t="n">
        <f aca="false">AR3636*$M3636</f>
        <v>0</v>
      </c>
      <c r="AT3636" s="28"/>
      <c r="AU3636" s="28" t="n">
        <f aca="false">AT3636*$M3636</f>
        <v>0</v>
      </c>
      <c r="AV3636" s="28"/>
      <c r="AW3636" s="28" t="n">
        <f aca="false">AV3636*$M3636</f>
        <v>0</v>
      </c>
      <c r="AX3636" s="28"/>
      <c r="AY3636" s="28" t="n">
        <f aca="false">AX3636*$M3636</f>
        <v>0</v>
      </c>
      <c r="AZ3636" s="30" t="n">
        <f aca="false">155115/100</f>
        <v>1551.15</v>
      </c>
      <c r="BA3636" s="11" t="n">
        <v>38796</v>
      </c>
      <c r="BB3636" s="31" t="n">
        <f aca="false">SUM(Q3636,S3636,U3636,W3636,Y3636,AA3636,AC3636,AE3636,AG3636,AI3636,AK3636,AM3636,AO3636,AQ3636,AS3636,AU3636,AW3636,AY3636)</f>
        <v>38796</v>
      </c>
      <c r="BC3636" s="28" t="n">
        <f aca="false">BA3636-BB3636</f>
        <v>0</v>
      </c>
      <c r="BD3636" s="32" t="n">
        <f aca="false">SUM(P3636,R3636,T3636,V3636,X3636,Z3636,AB3636,AD3636,AF3636,AH3636,AJ3636,AL3636,AN3636,AP3636,AR3636,AT3636,AV3636,AX3636)</f>
        <v>1551.85</v>
      </c>
      <c r="BE3636" s="33" t="n">
        <f aca="false">AZ3636-BD3636</f>
        <v>-0.699999999999818</v>
      </c>
      <c r="BF3636" s="34" t="n">
        <f aca="false">BD3636*M3636</f>
        <v>38796.25</v>
      </c>
      <c r="BG3636" s="35" t="n">
        <f aca="false">BA3636-BF3636</f>
        <v>-0.25</v>
      </c>
      <c r="BH3636" s="19" t="str">
        <f aca="false">IF(BG3636=0,"",IF(BG3636&lt;&gt;BA3636,"erreur de calcul",IF(BD3636&lt;&gt;0,"pas de prix",IF(M3636&lt;&gt; 0,"pas de quantité","pas de prix, ni de quantité"))))</f>
        <v>erreur de calcul</v>
      </c>
      <c r="BI3636" s="19"/>
    </row>
    <row r="3637" customFormat="false" ht="15" hidden="false" customHeight="false" outlineLevel="0" collapsed="false">
      <c r="A3637" s="0" t="n">
        <v>48</v>
      </c>
      <c r="B3637" s="8" t="s">
        <v>24</v>
      </c>
      <c r="C3637" s="9" t="s">
        <v>25</v>
      </c>
      <c r="D3637" s="9" t="s">
        <v>26</v>
      </c>
      <c r="E3637" s="10" t="n">
        <v>1789</v>
      </c>
      <c r="F3637" s="9" t="s">
        <v>27</v>
      </c>
      <c r="G3637" s="9" t="s">
        <v>27</v>
      </c>
      <c r="H3637" s="11" t="n">
        <v>21</v>
      </c>
      <c r="I3637" s="11" t="s">
        <v>201</v>
      </c>
      <c r="J3637" s="14"/>
      <c r="K3637" s="14" t="n">
        <v>15</v>
      </c>
      <c r="L3637" s="16"/>
      <c r="M3637" s="27" t="n">
        <f aca="false">J3637+(K3637/20)+(L3637/240)</f>
        <v>0.75</v>
      </c>
      <c r="N3637" s="17" t="s">
        <v>66</v>
      </c>
      <c r="O3637" s="11"/>
      <c r="P3637" s="28"/>
      <c r="Q3637" s="28" t="n">
        <f aca="false">P3637*$M3637</f>
        <v>0</v>
      </c>
      <c r="R3637" s="28"/>
      <c r="S3637" s="28" t="n">
        <f aca="false">R3637*$M3637</f>
        <v>0</v>
      </c>
      <c r="T3637" s="28"/>
      <c r="U3637" s="28" t="n">
        <f aca="false">T3637*$M3637</f>
        <v>0</v>
      </c>
      <c r="V3637" s="28"/>
      <c r="W3637" s="28" t="n">
        <f aca="false">V3637*$M3637</f>
        <v>0</v>
      </c>
      <c r="X3637" s="28"/>
      <c r="Y3637" s="28" t="n">
        <f aca="false">X3637*$M3637</f>
        <v>0</v>
      </c>
      <c r="Z3637" s="28"/>
      <c r="AA3637" s="28" t="n">
        <f aca="false">Z3637*$M3637</f>
        <v>0</v>
      </c>
      <c r="AB3637" s="28"/>
      <c r="AC3637" s="28" t="n">
        <f aca="false">AB3637*$M3637</f>
        <v>0</v>
      </c>
      <c r="AD3637" s="28"/>
      <c r="AE3637" s="28" t="n">
        <f aca="false">AD3637*$M3637</f>
        <v>0</v>
      </c>
      <c r="AF3637" s="28"/>
      <c r="AG3637" s="28" t="n">
        <f aca="false">AF3637*$M3637</f>
        <v>0</v>
      </c>
      <c r="AH3637" s="28"/>
      <c r="AI3637" s="28" t="n">
        <f aca="false">AH3637*$M3637</f>
        <v>0</v>
      </c>
      <c r="AJ3637" s="28" t="n">
        <v>6171</v>
      </c>
      <c r="AK3637" s="28" t="n">
        <v>4628</v>
      </c>
      <c r="AL3637" s="28"/>
      <c r="AM3637" s="28" t="n">
        <f aca="false">AL3637*$M3637</f>
        <v>0</v>
      </c>
      <c r="AN3637" s="28"/>
      <c r="AO3637" s="28" t="n">
        <f aca="false">AN3637*$M3637</f>
        <v>0</v>
      </c>
      <c r="AP3637" s="28"/>
      <c r="AQ3637" s="28" t="n">
        <f aca="false">AP3637*$M3637</f>
        <v>0</v>
      </c>
      <c r="AR3637" s="28"/>
      <c r="AS3637" s="28" t="n">
        <f aca="false">AR3637*$M3637</f>
        <v>0</v>
      </c>
      <c r="AT3637" s="28"/>
      <c r="AU3637" s="28" t="n">
        <f aca="false">AT3637*$M3637</f>
        <v>0</v>
      </c>
      <c r="AV3637" s="28"/>
      <c r="AW3637" s="28" t="n">
        <f aca="false">AV3637*$M3637</f>
        <v>0</v>
      </c>
      <c r="AX3637" s="28"/>
      <c r="AY3637" s="28" t="n">
        <f aca="false">AX3637*$M3637</f>
        <v>0</v>
      </c>
      <c r="AZ3637" s="30" t="n">
        <v>6171</v>
      </c>
      <c r="BA3637" s="11" t="n">
        <v>4628</v>
      </c>
      <c r="BB3637" s="31" t="n">
        <f aca="false">SUM(Q3637,S3637,U3637,W3637,Y3637,AA3637,AC3637,AE3637,AG3637,AI3637,AK3637,AM3637,AO3637,AQ3637,AS3637,AU3637,AW3637,AY3637)</f>
        <v>4628</v>
      </c>
      <c r="BC3637" s="28" t="n">
        <f aca="false">BA3637-BB3637</f>
        <v>0</v>
      </c>
      <c r="BD3637" s="32" t="n">
        <f aca="false">SUM(P3637,R3637,T3637,V3637,X3637,Z3637,AB3637,AD3637,AF3637,AH3637,AJ3637,AL3637,AN3637,AP3637,AR3637,AT3637,AV3637,AX3637)</f>
        <v>6171</v>
      </c>
      <c r="BE3637" s="33" t="n">
        <f aca="false">AZ3637-BD3637</f>
        <v>0</v>
      </c>
      <c r="BF3637" s="34" t="n">
        <f aca="false">BD3637*M3637</f>
        <v>4628.25</v>
      </c>
      <c r="BG3637" s="35" t="n">
        <f aca="false">BA3637-BF3637</f>
        <v>-0.25</v>
      </c>
      <c r="BH3637" s="19" t="str">
        <f aca="false">IF(BG3637=0,"",IF(BG3637&lt;&gt;BA3637,"erreur de calcul",IF(BD3637&lt;&gt;0,"pas de prix",IF(M3637&lt;&gt; 0,"pas de quantité","pas de prix, ni de quantité"))))</f>
        <v>erreur de calcul</v>
      </c>
      <c r="BI3637" s="19"/>
    </row>
    <row r="3638" customFormat="false" ht="15" hidden="false" customHeight="false" outlineLevel="0" collapsed="false">
      <c r="A3638" s="0" t="n">
        <v>1</v>
      </c>
      <c r="B3638" s="8" t="s">
        <v>24</v>
      </c>
      <c r="C3638" s="9" t="s">
        <v>25</v>
      </c>
      <c r="D3638" s="9" t="s">
        <v>26</v>
      </c>
      <c r="E3638" s="10" t="n">
        <v>1789</v>
      </c>
      <c r="F3638" s="9" t="s">
        <v>27</v>
      </c>
      <c r="G3638" s="9" t="s">
        <v>27</v>
      </c>
      <c r="H3638" s="11" t="n">
        <v>22</v>
      </c>
      <c r="I3638" s="11" t="s">
        <v>202</v>
      </c>
      <c r="J3638" s="14" t="n">
        <v>10</v>
      </c>
      <c r="K3638" s="14"/>
      <c r="L3638" s="16"/>
      <c r="M3638" s="27" t="n">
        <f aca="false">J3638+(K3638/20)+(L3638/240)</f>
        <v>10</v>
      </c>
      <c r="N3638" s="17" t="s">
        <v>64</v>
      </c>
      <c r="O3638" s="11"/>
      <c r="P3638" s="28" t="n">
        <f aca="false">36147/100</f>
        <v>361.47</v>
      </c>
      <c r="Q3638" s="28" t="n">
        <v>3615</v>
      </c>
      <c r="R3638" s="28"/>
      <c r="S3638" s="28" t="n">
        <f aca="false">R3638*$M3638</f>
        <v>0</v>
      </c>
      <c r="T3638" s="28"/>
      <c r="U3638" s="28" t="n">
        <f aca="false">T3638*$M3638</f>
        <v>0</v>
      </c>
      <c r="V3638" s="28"/>
      <c r="W3638" s="28" t="n">
        <f aca="false">V3638*$M3638</f>
        <v>0</v>
      </c>
      <c r="X3638" s="28"/>
      <c r="Y3638" s="28" t="n">
        <f aca="false">X3638*$M3638</f>
        <v>0</v>
      </c>
      <c r="Z3638" s="28"/>
      <c r="AA3638" s="28" t="n">
        <f aca="false">Z3638*$M3638</f>
        <v>0</v>
      </c>
      <c r="AB3638" s="28" t="n">
        <f aca="false">14437/100</f>
        <v>144.37</v>
      </c>
      <c r="AC3638" s="28" t="n">
        <v>1444</v>
      </c>
      <c r="AD3638" s="28"/>
      <c r="AE3638" s="28" t="n">
        <f aca="false">AD3638*$M3638</f>
        <v>0</v>
      </c>
      <c r="AF3638" s="28"/>
      <c r="AG3638" s="28" t="n">
        <f aca="false">AF3638*$M3638</f>
        <v>0</v>
      </c>
      <c r="AH3638" s="28"/>
      <c r="AI3638" s="28" t="n">
        <f aca="false">AH3638*$M3638</f>
        <v>0</v>
      </c>
      <c r="AJ3638" s="28" t="n">
        <f aca="false">36351/100</f>
        <v>363.51</v>
      </c>
      <c r="AK3638" s="28" t="n">
        <v>3635</v>
      </c>
      <c r="AL3638" s="28"/>
      <c r="AM3638" s="28" t="n">
        <f aca="false">AL3638*$M3638</f>
        <v>0</v>
      </c>
      <c r="AN3638" s="28"/>
      <c r="AO3638" s="28" t="n">
        <f aca="false">AN3638*$M3638</f>
        <v>0</v>
      </c>
      <c r="AP3638" s="28"/>
      <c r="AQ3638" s="28" t="n">
        <f aca="false">AP3638*$M3638</f>
        <v>0</v>
      </c>
      <c r="AR3638" s="28" t="n">
        <f aca="false">25120/100</f>
        <v>251.2</v>
      </c>
      <c r="AS3638" s="28" t="n">
        <v>2512</v>
      </c>
      <c r="AT3638" s="28"/>
      <c r="AU3638" s="28" t="n">
        <f aca="false">AT3638*$M3638</f>
        <v>0</v>
      </c>
      <c r="AV3638" s="28"/>
      <c r="AW3638" s="28" t="n">
        <f aca="false">AV3638*$M3638</f>
        <v>0</v>
      </c>
      <c r="AX3638" s="28"/>
      <c r="AY3638" s="28" t="n">
        <f aca="false">AX3638*$M3638</f>
        <v>0</v>
      </c>
      <c r="AZ3638" s="30" t="n">
        <f aca="false">112055/100</f>
        <v>1120.55</v>
      </c>
      <c r="BA3638" s="11" t="n">
        <v>11206</v>
      </c>
      <c r="BB3638" s="31" t="n">
        <f aca="false">SUM(Q3638,S3638,U3638,W3638,Y3638,AA3638,AC3638,AE3638,AG3638,AI3638,AK3638,AM3638,AO3638,AQ3638,AS3638,AU3638,AW3638,AY3638)</f>
        <v>11206</v>
      </c>
      <c r="BC3638" s="28" t="n">
        <f aca="false">BA3638-BB3638</f>
        <v>0</v>
      </c>
      <c r="BD3638" s="32" t="n">
        <f aca="false">SUM(P3638,R3638,T3638,V3638,X3638,Z3638,AB3638,AD3638,AF3638,AH3638,AJ3638,AL3638,AN3638,AP3638,AR3638,AT3638,AV3638,AX3638)</f>
        <v>1120.55</v>
      </c>
      <c r="BE3638" s="33" t="n">
        <f aca="false">AZ3638-BD3638</f>
        <v>0</v>
      </c>
      <c r="BF3638" s="34" t="n">
        <f aca="false">BD3638*M3638</f>
        <v>11205.5</v>
      </c>
      <c r="BG3638" s="35" t="n">
        <f aca="false">BA3638-BF3638</f>
        <v>0.499999999998181</v>
      </c>
      <c r="BH3638" s="19" t="str">
        <f aca="false">IF(BG3638=0,"",IF(BG3638&lt;&gt;BA3638,"erreur de calcul",IF(BD3638&lt;&gt;0,"pas de prix",IF(M3638&lt;&gt; 0,"pas de quantité","pas de prix, ni de quantité"))))</f>
        <v>erreur de calcul</v>
      </c>
      <c r="BI3638" s="19"/>
    </row>
    <row r="3639" customFormat="false" ht="15" hidden="false" customHeight="false" outlineLevel="0" collapsed="false">
      <c r="A3639" s="0" t="n">
        <v>2</v>
      </c>
      <c r="B3639" s="8" t="s">
        <v>24</v>
      </c>
      <c r="C3639" s="9" t="s">
        <v>25</v>
      </c>
      <c r="D3639" s="9" t="s">
        <v>26</v>
      </c>
      <c r="E3639" s="10" t="n">
        <v>1789</v>
      </c>
      <c r="F3639" s="9" t="s">
        <v>27</v>
      </c>
      <c r="G3639" s="9" t="s">
        <v>27</v>
      </c>
      <c r="H3639" s="11" t="n">
        <v>22</v>
      </c>
      <c r="I3639" s="11" t="s">
        <v>203</v>
      </c>
      <c r="J3639" s="14" t="n">
        <v>20</v>
      </c>
      <c r="K3639" s="14"/>
      <c r="L3639" s="16"/>
      <c r="M3639" s="27" t="n">
        <f aca="false">J3639+(K3639/20)+(L3639/240)</f>
        <v>20</v>
      </c>
      <c r="N3639" s="17" t="s">
        <v>64</v>
      </c>
      <c r="O3639" s="11"/>
      <c r="P3639" s="28"/>
      <c r="Q3639" s="28" t="n">
        <f aca="false">P3639*$M3639</f>
        <v>0</v>
      </c>
      <c r="R3639" s="28"/>
      <c r="S3639" s="28" t="n">
        <f aca="false">R3639*$M3639</f>
        <v>0</v>
      </c>
      <c r="T3639" s="28"/>
      <c r="U3639" s="28" t="n">
        <f aca="false">T3639*$M3639</f>
        <v>0</v>
      </c>
      <c r="V3639" s="28"/>
      <c r="W3639" s="28" t="n">
        <f aca="false">V3639*$M3639</f>
        <v>0</v>
      </c>
      <c r="X3639" s="28"/>
      <c r="Y3639" s="28" t="n">
        <f aca="false">X3639*$M3639</f>
        <v>0</v>
      </c>
      <c r="Z3639" s="28"/>
      <c r="AA3639" s="28" t="n">
        <f aca="false">Z3639*$M3639</f>
        <v>0</v>
      </c>
      <c r="AB3639" s="28"/>
      <c r="AC3639" s="28" t="n">
        <f aca="false">AB3639*$M3639</f>
        <v>0</v>
      </c>
      <c r="AD3639" s="28"/>
      <c r="AE3639" s="28" t="n">
        <f aca="false">AD3639*$M3639</f>
        <v>0</v>
      </c>
      <c r="AF3639" s="28"/>
      <c r="AG3639" s="28" t="n">
        <f aca="false">AF3639*$M3639</f>
        <v>0</v>
      </c>
      <c r="AH3639" s="28"/>
      <c r="AI3639" s="28" t="n">
        <f aca="false">AH3639*$M3639</f>
        <v>0</v>
      </c>
      <c r="AJ3639" s="28" t="n">
        <f aca="false">109254/100</f>
        <v>1092.54</v>
      </c>
      <c r="AK3639" s="28" t="n">
        <v>21851</v>
      </c>
      <c r="AL3639" s="28"/>
      <c r="AM3639" s="28" t="n">
        <f aca="false">AL3639*$M3639</f>
        <v>0</v>
      </c>
      <c r="AN3639" s="28"/>
      <c r="AO3639" s="28" t="n">
        <f aca="false">AN3639*$M3639</f>
        <v>0</v>
      </c>
      <c r="AP3639" s="28"/>
      <c r="AQ3639" s="28" t="n">
        <f aca="false">AP3639*$M3639</f>
        <v>0</v>
      </c>
      <c r="AR3639" s="28"/>
      <c r="AS3639" s="28" t="n">
        <f aca="false">AR3639*$M3639</f>
        <v>0</v>
      </c>
      <c r="AT3639" s="28"/>
      <c r="AU3639" s="28" t="n">
        <f aca="false">AT3639*$M3639</f>
        <v>0</v>
      </c>
      <c r="AV3639" s="28"/>
      <c r="AW3639" s="28" t="n">
        <f aca="false">AV3639*$M3639</f>
        <v>0</v>
      </c>
      <c r="AX3639" s="28"/>
      <c r="AY3639" s="28" t="n">
        <f aca="false">AX3639*$M3639</f>
        <v>0</v>
      </c>
      <c r="AZ3639" s="30" t="n">
        <f aca="false">109254/100</f>
        <v>1092.54</v>
      </c>
      <c r="BA3639" s="11" t="n">
        <v>21851</v>
      </c>
      <c r="BB3639" s="31" t="n">
        <f aca="false">SUM(Q3639,S3639,U3639,W3639,Y3639,AA3639,AC3639,AE3639,AG3639,AI3639,AK3639,AM3639,AO3639,AQ3639,AS3639,AU3639,AW3639,AY3639)</f>
        <v>21851</v>
      </c>
      <c r="BC3639" s="28" t="n">
        <f aca="false">BA3639-BB3639</f>
        <v>0</v>
      </c>
      <c r="BD3639" s="32" t="n">
        <f aca="false">SUM(P3639,R3639,T3639,V3639,X3639,Z3639,AB3639,AD3639,AF3639,AH3639,AJ3639,AL3639,AN3639,AP3639,AR3639,AT3639,AV3639,AX3639)</f>
        <v>1092.54</v>
      </c>
      <c r="BE3639" s="33" t="n">
        <f aca="false">AZ3639-BD3639</f>
        <v>0</v>
      </c>
      <c r="BF3639" s="34" t="n">
        <f aca="false">BD3639*M3639</f>
        <v>21850.8</v>
      </c>
      <c r="BG3639" s="35" t="n">
        <f aca="false">BA3639-BF3639</f>
        <v>0.200000000000728</v>
      </c>
      <c r="BH3639" s="19" t="str">
        <f aca="false">IF(BG3639=0,"",IF(BG3639&lt;&gt;BA3639,"erreur de calcul",IF(BD3639&lt;&gt;0,"pas de prix",IF(M3639&lt;&gt; 0,"pas de quantité","pas de prix, ni de quantité"))))</f>
        <v>erreur de calcul</v>
      </c>
      <c r="BI3639" s="19"/>
    </row>
    <row r="3640" customFormat="false" ht="15" hidden="false" customHeight="false" outlineLevel="0" collapsed="false">
      <c r="A3640" s="0" t="n">
        <v>3</v>
      </c>
      <c r="B3640" s="8" t="s">
        <v>24</v>
      </c>
      <c r="C3640" s="9" t="s">
        <v>25</v>
      </c>
      <c r="D3640" s="9" t="s">
        <v>26</v>
      </c>
      <c r="E3640" s="10" t="n">
        <v>1789</v>
      </c>
      <c r="F3640" s="9" t="s">
        <v>27</v>
      </c>
      <c r="G3640" s="9" t="s">
        <v>27</v>
      </c>
      <c r="H3640" s="11" t="n">
        <v>22</v>
      </c>
      <c r="I3640" s="11" t="s">
        <v>204</v>
      </c>
      <c r="J3640" s="14" t="n">
        <v>20</v>
      </c>
      <c r="K3640" s="14"/>
      <c r="L3640" s="16"/>
      <c r="M3640" s="27" t="n">
        <f aca="false">J3640+(K3640/20)+(L3640/240)</f>
        <v>20</v>
      </c>
      <c r="N3640" s="17" t="s">
        <v>66</v>
      </c>
      <c r="O3640" s="11"/>
      <c r="P3640" s="28" t="n">
        <v>106125</v>
      </c>
      <c r="Q3640" s="36" t="n">
        <v>2162500</v>
      </c>
      <c r="R3640" s="28"/>
      <c r="S3640" s="28" t="n">
        <f aca="false">R3640*$M3640</f>
        <v>0</v>
      </c>
      <c r="T3640" s="28"/>
      <c r="U3640" s="28" t="n">
        <f aca="false">T3640*$M3640</f>
        <v>0</v>
      </c>
      <c r="V3640" s="28"/>
      <c r="W3640" s="28" t="n">
        <f aca="false">V3640*$M3640</f>
        <v>0</v>
      </c>
      <c r="X3640" s="28"/>
      <c r="Y3640" s="28" t="n">
        <f aca="false">X3640*$M3640</f>
        <v>0</v>
      </c>
      <c r="Z3640" s="28"/>
      <c r="AA3640" s="28" t="n">
        <f aca="false">Z3640*$M3640</f>
        <v>0</v>
      </c>
      <c r="AB3640" s="28"/>
      <c r="AC3640" s="28" t="n">
        <f aca="false">AB3640*$M3640</f>
        <v>0</v>
      </c>
      <c r="AD3640" s="28"/>
      <c r="AE3640" s="28" t="n">
        <f aca="false">AD3640*$M3640</f>
        <v>0</v>
      </c>
      <c r="AF3640" s="28"/>
      <c r="AG3640" s="28" t="n">
        <f aca="false">AF3640*$M3640</f>
        <v>0</v>
      </c>
      <c r="AH3640" s="28"/>
      <c r="AI3640" s="28" t="n">
        <f aca="false">AH3640*$M3640</f>
        <v>0</v>
      </c>
      <c r="AJ3640" s="28"/>
      <c r="AK3640" s="28" t="n">
        <f aca="false">AJ3640*$M3640</f>
        <v>0</v>
      </c>
      <c r="AL3640" s="28"/>
      <c r="AM3640" s="28" t="n">
        <f aca="false">AL3640*$M3640</f>
        <v>0</v>
      </c>
      <c r="AN3640" s="28"/>
      <c r="AO3640" s="28" t="n">
        <f aca="false">AN3640*$M3640</f>
        <v>0</v>
      </c>
      <c r="AP3640" s="28"/>
      <c r="AQ3640" s="28" t="n">
        <f aca="false">AP3640*$M3640</f>
        <v>0</v>
      </c>
      <c r="AR3640" s="28"/>
      <c r="AS3640" s="28" t="n">
        <f aca="false">AR3640*$M3640</f>
        <v>0</v>
      </c>
      <c r="AT3640" s="28"/>
      <c r="AU3640" s="28" t="n">
        <f aca="false">AT3640*$M3640</f>
        <v>0</v>
      </c>
      <c r="AV3640" s="28"/>
      <c r="AW3640" s="28" t="n">
        <f aca="false">AV3640*$M3640</f>
        <v>0</v>
      </c>
      <c r="AX3640" s="28"/>
      <c r="AY3640" s="28" t="n">
        <f aca="false">AX3640*$M3640</f>
        <v>0</v>
      </c>
      <c r="AZ3640" s="30" t="n">
        <v>108125</v>
      </c>
      <c r="BA3640" s="11" t="n">
        <v>2162500</v>
      </c>
      <c r="BB3640" s="31" t="n">
        <f aca="false">SUM(Q3640,S3640,U3640,W3640,Y3640,AA3640,AC3640,AE3640,AG3640,AI3640,AK3640,AM3640,AO3640,AQ3640,AS3640,AU3640,AW3640,AY3640)</f>
        <v>2162500</v>
      </c>
      <c r="BC3640" s="28" t="n">
        <f aca="false">BA3640-BB3640</f>
        <v>0</v>
      </c>
      <c r="BD3640" s="32" t="n">
        <f aca="false">SUM(P3640,R3640,T3640,V3640,X3640,Z3640,AB3640,AD3640,AF3640,AH3640,AJ3640,AL3640,AN3640,AP3640,AR3640,AT3640,AV3640,AX3640)</f>
        <v>106125</v>
      </c>
      <c r="BE3640" s="33" t="n">
        <f aca="false">AZ3640-BD3640</f>
        <v>2000</v>
      </c>
      <c r="BF3640" s="34" t="n">
        <f aca="false">BD3640*M3640</f>
        <v>2122500</v>
      </c>
      <c r="BG3640" s="35" t="n">
        <f aca="false">BA3640-BF3640</f>
        <v>40000</v>
      </c>
      <c r="BH3640" s="19" t="str">
        <f aca="false">IF(BG3640=0,"",IF(BG3640&lt;&gt;BA3640,"erreur de calcul",IF(BD3640&lt;&gt;0,"pas de prix",IF(M3640&lt;&gt; 0,"pas de quantité","pas de prix, ni de quantité"))))</f>
        <v>erreur de calcul</v>
      </c>
      <c r="BI3640" s="19"/>
    </row>
    <row r="3641" customFormat="false" ht="15" hidden="false" customHeight="false" outlineLevel="0" collapsed="false">
      <c r="A3641" s="0" t="n">
        <v>4</v>
      </c>
      <c r="B3641" s="8" t="s">
        <v>24</v>
      </c>
      <c r="C3641" s="9" t="s">
        <v>25</v>
      </c>
      <c r="D3641" s="9" t="s">
        <v>26</v>
      </c>
      <c r="E3641" s="10" t="n">
        <v>1789</v>
      </c>
      <c r="F3641" s="9" t="s">
        <v>27</v>
      </c>
      <c r="G3641" s="9" t="s">
        <v>27</v>
      </c>
      <c r="H3641" s="11" t="n">
        <v>22</v>
      </c>
      <c r="I3641" s="11" t="s">
        <v>205</v>
      </c>
      <c r="J3641" s="14" t="n">
        <v>15</v>
      </c>
      <c r="K3641" s="14"/>
      <c r="L3641" s="16"/>
      <c r="M3641" s="27" t="n">
        <f aca="false">J3641+(K3641/20)+(L3641/240)</f>
        <v>15</v>
      </c>
      <c r="N3641" s="17" t="s">
        <v>64</v>
      </c>
      <c r="O3641" s="11"/>
      <c r="P3641" s="28"/>
      <c r="Q3641" s="28" t="n">
        <f aca="false">P3641*$M3641</f>
        <v>0</v>
      </c>
      <c r="R3641" s="28"/>
      <c r="S3641" s="28" t="n">
        <f aca="false">R3641*$M3641</f>
        <v>0</v>
      </c>
      <c r="T3641" s="28"/>
      <c r="U3641" s="28" t="n">
        <f aca="false">T3641*$M3641</f>
        <v>0</v>
      </c>
      <c r="V3641" s="28"/>
      <c r="W3641" s="28" t="n">
        <f aca="false">V3641*$M3641</f>
        <v>0</v>
      </c>
      <c r="X3641" s="28" t="n">
        <f aca="false">27897/100</f>
        <v>278.97</v>
      </c>
      <c r="Y3641" s="28" t="n">
        <v>4184</v>
      </c>
      <c r="Z3641" s="28"/>
      <c r="AA3641" s="28" t="n">
        <f aca="false">Z3641*$M3641</f>
        <v>0</v>
      </c>
      <c r="AB3641" s="28"/>
      <c r="AC3641" s="28" t="n">
        <f aca="false">AB3641*$M3641</f>
        <v>0</v>
      </c>
      <c r="AD3641" s="28"/>
      <c r="AE3641" s="28" t="n">
        <f aca="false">AD3641*$M3641</f>
        <v>0</v>
      </c>
      <c r="AF3641" s="28"/>
      <c r="AG3641" s="28" t="n">
        <f aca="false">AF3641*$M3641</f>
        <v>0</v>
      </c>
      <c r="AH3641" s="28"/>
      <c r="AI3641" s="28" t="n">
        <f aca="false">AH3641*$M3641</f>
        <v>0</v>
      </c>
      <c r="AJ3641" s="28" t="n">
        <f aca="false">63734/100</f>
        <v>637.34</v>
      </c>
      <c r="AK3641" s="28" t="n">
        <v>9560</v>
      </c>
      <c r="AL3641" s="28"/>
      <c r="AM3641" s="28" t="n">
        <f aca="false">AL3641*$M3641</f>
        <v>0</v>
      </c>
      <c r="AN3641" s="28"/>
      <c r="AO3641" s="28" t="n">
        <f aca="false">AN3641*$M3641</f>
        <v>0</v>
      </c>
      <c r="AP3641" s="28"/>
      <c r="AQ3641" s="28" t="n">
        <f aca="false">AP3641*$M3641</f>
        <v>0</v>
      </c>
      <c r="AR3641" s="28"/>
      <c r="AS3641" s="28" t="n">
        <f aca="false">AR3641*$M3641</f>
        <v>0</v>
      </c>
      <c r="AT3641" s="28"/>
      <c r="AU3641" s="28" t="n">
        <f aca="false">AT3641*$M3641</f>
        <v>0</v>
      </c>
      <c r="AV3641" s="28"/>
      <c r="AW3641" s="28" t="n">
        <f aca="false">AV3641*$M3641</f>
        <v>0</v>
      </c>
      <c r="AX3641" s="28"/>
      <c r="AY3641" s="28" t="n">
        <f aca="false">AX3641*$M3641</f>
        <v>0</v>
      </c>
      <c r="AZ3641" s="30" t="n">
        <f aca="false">91631/100</f>
        <v>916.31</v>
      </c>
      <c r="BA3641" s="11" t="n">
        <v>13744</v>
      </c>
      <c r="BB3641" s="31" t="n">
        <f aca="false">SUM(Q3641,S3641,U3641,W3641,Y3641,AA3641,AC3641,AE3641,AG3641,AI3641,AK3641,AM3641,AO3641,AQ3641,AS3641,AU3641,AW3641,AY3641)</f>
        <v>13744</v>
      </c>
      <c r="BC3641" s="28" t="n">
        <f aca="false">BA3641-BB3641</f>
        <v>0</v>
      </c>
      <c r="BD3641" s="32" t="n">
        <f aca="false">SUM(P3641,R3641,T3641,V3641,X3641,Z3641,AB3641,AD3641,AF3641,AH3641,AJ3641,AL3641,AN3641,AP3641,AR3641,AT3641,AV3641,AX3641)</f>
        <v>916.31</v>
      </c>
      <c r="BE3641" s="33" t="n">
        <f aca="false">AZ3641-BD3641</f>
        <v>0</v>
      </c>
      <c r="BF3641" s="34" t="n">
        <f aca="false">BD3641*M3641</f>
        <v>13744.65</v>
      </c>
      <c r="BG3641" s="35" t="n">
        <f aca="false">BA3641-BF3641</f>
        <v>-0.650000000001455</v>
      </c>
      <c r="BH3641" s="19" t="str">
        <f aca="false">IF(BG3641=0,"",IF(BG3641&lt;&gt;BA3641,"erreur de calcul",IF(BD3641&lt;&gt;0,"pas de prix",IF(M3641&lt;&gt; 0,"pas de quantité","pas de prix, ni de quantité"))))</f>
        <v>erreur de calcul</v>
      </c>
      <c r="BI3641" s="19"/>
    </row>
    <row r="3642" customFormat="false" ht="15" hidden="false" customHeight="false" outlineLevel="0" collapsed="false">
      <c r="A3642" s="0" t="n">
        <v>5</v>
      </c>
      <c r="B3642" s="8" t="s">
        <v>24</v>
      </c>
      <c r="C3642" s="9" t="s">
        <v>25</v>
      </c>
      <c r="D3642" s="9" t="s">
        <v>26</v>
      </c>
      <c r="E3642" s="10" t="n">
        <v>1789</v>
      </c>
      <c r="F3642" s="9" t="s">
        <v>27</v>
      </c>
      <c r="G3642" s="9" t="s">
        <v>27</v>
      </c>
      <c r="H3642" s="11" t="n">
        <v>22</v>
      </c>
      <c r="I3642" s="11" t="s">
        <v>206</v>
      </c>
      <c r="J3642" s="14" t="n">
        <v>30</v>
      </c>
      <c r="K3642" s="14"/>
      <c r="L3642" s="16"/>
      <c r="M3642" s="27" t="n">
        <f aca="false">J3642+(K3642/20)+(L3642/240)</f>
        <v>30</v>
      </c>
      <c r="N3642" s="17" t="s">
        <v>64</v>
      </c>
      <c r="O3642" s="11"/>
      <c r="P3642" s="28" t="n">
        <f aca="false">8334/100</f>
        <v>83.34</v>
      </c>
      <c r="Q3642" s="28" t="n">
        <v>2500</v>
      </c>
      <c r="R3642" s="28"/>
      <c r="S3642" s="28" t="n">
        <f aca="false">R3642*$M3642</f>
        <v>0</v>
      </c>
      <c r="T3642" s="28"/>
      <c r="U3642" s="28" t="n">
        <f aca="false">T3642*$M3642</f>
        <v>0</v>
      </c>
      <c r="V3642" s="28"/>
      <c r="W3642" s="28" t="n">
        <f aca="false">V3642*$M3642</f>
        <v>0</v>
      </c>
      <c r="X3642" s="28"/>
      <c r="Y3642" s="28" t="n">
        <f aca="false">X3642*$M3642</f>
        <v>0</v>
      </c>
      <c r="Z3642" s="28"/>
      <c r="AA3642" s="28" t="n">
        <f aca="false">Z3642*$M3642</f>
        <v>0</v>
      </c>
      <c r="AB3642" s="28"/>
      <c r="AC3642" s="28" t="n">
        <f aca="false">AB3642*$M3642</f>
        <v>0</v>
      </c>
      <c r="AD3642" s="28"/>
      <c r="AE3642" s="28" t="n">
        <f aca="false">AD3642*$M3642</f>
        <v>0</v>
      </c>
      <c r="AF3642" s="28"/>
      <c r="AG3642" s="28" t="n">
        <f aca="false">AF3642*$M3642</f>
        <v>0</v>
      </c>
      <c r="AH3642" s="28"/>
      <c r="AI3642" s="28" t="n">
        <f aca="false">AH3642*$M3642</f>
        <v>0</v>
      </c>
      <c r="AJ3642" s="28"/>
      <c r="AK3642" s="28" t="n">
        <f aca="false">AJ3642*$M3642</f>
        <v>0</v>
      </c>
      <c r="AL3642" s="28"/>
      <c r="AM3642" s="28" t="n">
        <f aca="false">AL3642*$M3642</f>
        <v>0</v>
      </c>
      <c r="AN3642" s="28"/>
      <c r="AO3642" s="28" t="n">
        <f aca="false">AN3642*$M3642</f>
        <v>0</v>
      </c>
      <c r="AP3642" s="28"/>
      <c r="AQ3642" s="28" t="n">
        <f aca="false">AP3642*$M3642</f>
        <v>0</v>
      </c>
      <c r="AR3642" s="28"/>
      <c r="AS3642" s="28" t="n">
        <f aca="false">AR3642*$M3642</f>
        <v>0</v>
      </c>
      <c r="AT3642" s="28"/>
      <c r="AU3642" s="28" t="n">
        <f aca="false">AT3642*$M3642</f>
        <v>0</v>
      </c>
      <c r="AV3642" s="28"/>
      <c r="AW3642" s="28" t="n">
        <f aca="false">AV3642*$M3642</f>
        <v>0</v>
      </c>
      <c r="AX3642" s="28"/>
      <c r="AY3642" s="28" t="n">
        <f aca="false">AX3642*$M3642</f>
        <v>0</v>
      </c>
      <c r="AZ3642" s="30" t="n">
        <f aca="false">8334/100</f>
        <v>83.34</v>
      </c>
      <c r="BA3642" s="11" t="n">
        <v>2500</v>
      </c>
      <c r="BB3642" s="31" t="n">
        <f aca="false">SUM(Q3642,S3642,U3642,W3642,Y3642,AA3642,AC3642,AE3642,AG3642,AI3642,AK3642,AM3642,AO3642,AQ3642,AS3642,AU3642,AW3642,AY3642)</f>
        <v>2500</v>
      </c>
      <c r="BC3642" s="28" t="n">
        <f aca="false">BA3642-BB3642</f>
        <v>0</v>
      </c>
      <c r="BD3642" s="32" t="n">
        <f aca="false">SUM(P3642,R3642,T3642,V3642,X3642,Z3642,AB3642,AD3642,AF3642,AH3642,AJ3642,AL3642,AN3642,AP3642,AR3642,AT3642,AV3642,AX3642)</f>
        <v>83.34</v>
      </c>
      <c r="BE3642" s="33" t="n">
        <f aca="false">AZ3642-BD3642</f>
        <v>0</v>
      </c>
      <c r="BF3642" s="34" t="n">
        <f aca="false">BD3642*M3642</f>
        <v>2500.2</v>
      </c>
      <c r="BG3642" s="35" t="n">
        <f aca="false">BA3642-BF3642</f>
        <v>-0.200000000000273</v>
      </c>
      <c r="BH3642" s="19" t="str">
        <f aca="false">IF(BG3642=0,"",IF(BG3642&lt;&gt;BA3642,"erreur de calcul",IF(BD3642&lt;&gt;0,"pas de prix",IF(M3642&lt;&gt; 0,"pas de quantité","pas de prix, ni de quantité"))))</f>
        <v>erreur de calcul</v>
      </c>
      <c r="BI3642" s="19"/>
    </row>
    <row r="3643" customFormat="false" ht="15" hidden="false" customHeight="false" outlineLevel="0" collapsed="false">
      <c r="A3643" s="0" t="n">
        <v>6</v>
      </c>
      <c r="B3643" s="8" t="s">
        <v>24</v>
      </c>
      <c r="C3643" s="9" t="s">
        <v>25</v>
      </c>
      <c r="D3643" s="9" t="s">
        <v>26</v>
      </c>
      <c r="E3643" s="10" t="n">
        <v>1789</v>
      </c>
      <c r="F3643" s="9" t="s">
        <v>27</v>
      </c>
      <c r="G3643" s="9" t="s">
        <v>27</v>
      </c>
      <c r="H3643" s="11" t="n">
        <v>22</v>
      </c>
      <c r="I3643" s="11" t="s">
        <v>207</v>
      </c>
      <c r="J3643" s="14"/>
      <c r="K3643" s="14" t="n">
        <v>20</v>
      </c>
      <c r="L3643" s="16"/>
      <c r="M3643" s="27" t="n">
        <f aca="false">J3643+(K3643/20)+(L3643/240)</f>
        <v>1</v>
      </c>
      <c r="N3643" s="17" t="s">
        <v>66</v>
      </c>
      <c r="O3643" s="11"/>
      <c r="P3643" s="28"/>
      <c r="Q3643" s="28" t="n">
        <f aca="false">P3643*$M3643</f>
        <v>0</v>
      </c>
      <c r="R3643" s="28"/>
      <c r="S3643" s="28" t="n">
        <f aca="false">R3643*$M3643</f>
        <v>0</v>
      </c>
      <c r="T3643" s="28"/>
      <c r="U3643" s="28" t="n">
        <f aca="false">T3643*$M3643</f>
        <v>0</v>
      </c>
      <c r="V3643" s="28" t="n">
        <v>33010</v>
      </c>
      <c r="W3643" s="28" t="n">
        <v>33010</v>
      </c>
      <c r="X3643" s="28" t="n">
        <v>292003</v>
      </c>
      <c r="Y3643" s="28" t="n">
        <v>292003</v>
      </c>
      <c r="Z3643" s="28" t="n">
        <v>15558</v>
      </c>
      <c r="AA3643" s="28" t="n">
        <v>15558</v>
      </c>
      <c r="AB3643" s="28" t="n">
        <v>80515</v>
      </c>
      <c r="AC3643" s="28" t="n">
        <v>80515</v>
      </c>
      <c r="AD3643" s="28"/>
      <c r="AE3643" s="28" t="n">
        <f aca="false">AD3643*$M3643</f>
        <v>0</v>
      </c>
      <c r="AF3643" s="28"/>
      <c r="AG3643" s="28" t="n">
        <f aca="false">AF3643*$M3643</f>
        <v>0</v>
      </c>
      <c r="AH3643" s="28" t="n">
        <v>515373</v>
      </c>
      <c r="AI3643" s="28" t="n">
        <v>515373</v>
      </c>
      <c r="AJ3643" s="28"/>
      <c r="AK3643" s="28" t="n">
        <f aca="false">AJ3643*$M3643</f>
        <v>0</v>
      </c>
      <c r="AL3643" s="28" t="n">
        <v>3480</v>
      </c>
      <c r="AM3643" s="28" t="n">
        <v>3480</v>
      </c>
      <c r="AN3643" s="28"/>
      <c r="AO3643" s="28" t="n">
        <f aca="false">AN3643*$M3643</f>
        <v>0</v>
      </c>
      <c r="AP3643" s="28"/>
      <c r="AQ3643" s="28" t="n">
        <f aca="false">AP3643*$M3643</f>
        <v>0</v>
      </c>
      <c r="AR3643" s="28"/>
      <c r="AS3643" s="28" t="n">
        <f aca="false">AR3643*$M3643</f>
        <v>0</v>
      </c>
      <c r="AT3643" s="28"/>
      <c r="AU3643" s="28" t="n">
        <f aca="false">AT3643*$M3643</f>
        <v>0</v>
      </c>
      <c r="AV3643" s="28"/>
      <c r="AW3643" s="28" t="n">
        <f aca="false">AV3643*$M3643</f>
        <v>0</v>
      </c>
      <c r="AX3643" s="28"/>
      <c r="AY3643" s="28" t="n">
        <f aca="false">AX3643*$M3643</f>
        <v>0</v>
      </c>
      <c r="AZ3643" s="30" t="n">
        <v>939939</v>
      </c>
      <c r="BA3643" s="11" t="n">
        <v>939939</v>
      </c>
      <c r="BB3643" s="31" t="n">
        <f aca="false">SUM(Q3643,S3643,U3643,W3643,Y3643,AA3643,AC3643,AE3643,AG3643,AI3643,AK3643,AM3643,AO3643,AQ3643,AS3643,AU3643,AW3643,AY3643)</f>
        <v>939939</v>
      </c>
      <c r="BC3643" s="28" t="n">
        <f aca="false">BA3643-BB3643</f>
        <v>0</v>
      </c>
      <c r="BD3643" s="32" t="n">
        <f aca="false">SUM(P3643,R3643,T3643,V3643,X3643,Z3643,AB3643,AD3643,AF3643,AH3643,AJ3643,AL3643,AN3643,AP3643,AR3643,AT3643,AV3643,AX3643)</f>
        <v>939939</v>
      </c>
      <c r="BE3643" s="33" t="n">
        <f aca="false">AZ3643-BD3643</f>
        <v>0</v>
      </c>
      <c r="BF3643" s="34" t="n">
        <f aca="false">BD3643*M3643</f>
        <v>939939</v>
      </c>
      <c r="BG3643" s="35" t="n">
        <f aca="false">BA3643-BF3643</f>
        <v>0</v>
      </c>
      <c r="BH3643" s="19" t="str">
        <f aca="false">IF(BG3643=0,"",IF(BG3643&lt;&gt;BA3643,"erreur de calcul",IF(BD3643&lt;&gt;0,"pas de prix",IF(M3643&lt;&gt; 0,"pas de quantité","pas de prix, ni de quantité"))))</f>
        <v/>
      </c>
      <c r="BI3643" s="19"/>
    </row>
    <row r="3644" customFormat="false" ht="15" hidden="false" customHeight="false" outlineLevel="0" collapsed="false">
      <c r="A3644" s="0" t="n">
        <v>7</v>
      </c>
      <c r="B3644" s="8" t="s">
        <v>24</v>
      </c>
      <c r="C3644" s="9" t="s">
        <v>25</v>
      </c>
      <c r="D3644" s="9" t="s">
        <v>26</v>
      </c>
      <c r="E3644" s="10" t="n">
        <v>1789</v>
      </c>
      <c r="F3644" s="9" t="s">
        <v>27</v>
      </c>
      <c r="G3644" s="9" t="s">
        <v>27</v>
      </c>
      <c r="H3644" s="11" t="n">
        <v>22</v>
      </c>
      <c r="I3644" s="11" t="s">
        <v>208</v>
      </c>
      <c r="J3644" s="14" t="n">
        <v>60</v>
      </c>
      <c r="K3644" s="14"/>
      <c r="L3644" s="16"/>
      <c r="M3644" s="27" t="n">
        <f aca="false">J3644+(K3644/20)+(L3644/240)</f>
        <v>60</v>
      </c>
      <c r="N3644" s="17" t="s">
        <v>64</v>
      </c>
      <c r="O3644" s="11"/>
      <c r="P3644" s="28"/>
      <c r="Q3644" s="28" t="n">
        <f aca="false">P3644*$M3644</f>
        <v>0</v>
      </c>
      <c r="R3644" s="28"/>
      <c r="S3644" s="28" t="n">
        <f aca="false">R3644*$M3644</f>
        <v>0</v>
      </c>
      <c r="T3644" s="28"/>
      <c r="U3644" s="28" t="n">
        <f aca="false">T3644*$M3644</f>
        <v>0</v>
      </c>
      <c r="V3644" s="28"/>
      <c r="W3644" s="28" t="n">
        <f aca="false">V3644*$M3644</f>
        <v>0</v>
      </c>
      <c r="X3644" s="28"/>
      <c r="Y3644" s="28" t="n">
        <f aca="false">X3644*$M3644</f>
        <v>0</v>
      </c>
      <c r="Z3644" s="28"/>
      <c r="AA3644" s="28" t="n">
        <f aca="false">Z3644*$M3644</f>
        <v>0</v>
      </c>
      <c r="AB3644" s="28"/>
      <c r="AC3644" s="28" t="n">
        <f aca="false">AB3644*$M3644</f>
        <v>0</v>
      </c>
      <c r="AD3644" s="28"/>
      <c r="AE3644" s="28" t="n">
        <f aca="false">AD3644*$M3644</f>
        <v>0</v>
      </c>
      <c r="AF3644" s="28"/>
      <c r="AG3644" s="28" t="n">
        <f aca="false">AF3644*$M3644</f>
        <v>0</v>
      </c>
      <c r="AH3644" s="28"/>
      <c r="AI3644" s="28" t="n">
        <f aca="false">AH3644*$M3644</f>
        <v>0</v>
      </c>
      <c r="AJ3644" s="28" t="n">
        <f aca="false">28692/100</f>
        <v>286.92</v>
      </c>
      <c r="AK3644" s="28" t="n">
        <v>17215</v>
      </c>
      <c r="AL3644" s="28"/>
      <c r="AM3644" s="28" t="n">
        <f aca="false">AL3644*$M3644</f>
        <v>0</v>
      </c>
      <c r="AN3644" s="28"/>
      <c r="AO3644" s="28" t="n">
        <f aca="false">AN3644*$M3644</f>
        <v>0</v>
      </c>
      <c r="AP3644" s="28"/>
      <c r="AQ3644" s="28" t="n">
        <f aca="false">AP3644*$M3644</f>
        <v>0</v>
      </c>
      <c r="AR3644" s="28"/>
      <c r="AS3644" s="28" t="n">
        <f aca="false">AR3644*$M3644</f>
        <v>0</v>
      </c>
      <c r="AT3644" s="28"/>
      <c r="AU3644" s="28" t="n">
        <f aca="false">AT3644*$M3644</f>
        <v>0</v>
      </c>
      <c r="AV3644" s="28"/>
      <c r="AW3644" s="28" t="n">
        <f aca="false">AV3644*$M3644</f>
        <v>0</v>
      </c>
      <c r="AX3644" s="28"/>
      <c r="AY3644" s="28" t="n">
        <f aca="false">AX3644*$M3644</f>
        <v>0</v>
      </c>
      <c r="AZ3644" s="30" t="n">
        <f aca="false">28692/100</f>
        <v>286.92</v>
      </c>
      <c r="BA3644" s="11" t="n">
        <v>17215</v>
      </c>
      <c r="BB3644" s="31" t="n">
        <f aca="false">SUM(Q3644,S3644,U3644,W3644,Y3644,AA3644,AC3644,AE3644,AG3644,AI3644,AK3644,AM3644,AO3644,AQ3644,AS3644,AU3644,AW3644,AY3644)</f>
        <v>17215</v>
      </c>
      <c r="BC3644" s="28" t="n">
        <f aca="false">BA3644-BB3644</f>
        <v>0</v>
      </c>
      <c r="BD3644" s="32" t="n">
        <f aca="false">SUM(P3644,R3644,T3644,V3644,X3644,Z3644,AB3644,AD3644,AF3644,AH3644,AJ3644,AL3644,AN3644,AP3644,AR3644,AT3644,AV3644,AX3644)</f>
        <v>286.92</v>
      </c>
      <c r="BE3644" s="33" t="n">
        <f aca="false">AZ3644-BD3644</f>
        <v>0</v>
      </c>
      <c r="BF3644" s="34" t="n">
        <f aca="false">BD3644*M3644</f>
        <v>17215.2</v>
      </c>
      <c r="BG3644" s="35" t="n">
        <f aca="false">BA3644-BF3644</f>
        <v>-0.200000000000728</v>
      </c>
      <c r="BH3644" s="19" t="str">
        <f aca="false">IF(BG3644=0,"",IF(BG3644&lt;&gt;BA3644,"erreur de calcul",IF(BD3644&lt;&gt;0,"pas de prix",IF(M3644&lt;&gt; 0,"pas de quantité","pas de prix, ni de quantité"))))</f>
        <v>erreur de calcul</v>
      </c>
      <c r="BI3644" s="19"/>
    </row>
    <row r="3645" customFormat="false" ht="15" hidden="false" customHeight="false" outlineLevel="0" collapsed="false">
      <c r="A3645" s="0" t="n">
        <v>8</v>
      </c>
      <c r="B3645" s="8" t="s">
        <v>24</v>
      </c>
      <c r="C3645" s="9" t="s">
        <v>25</v>
      </c>
      <c r="D3645" s="9" t="s">
        <v>26</v>
      </c>
      <c r="E3645" s="10" t="n">
        <v>1789</v>
      </c>
      <c r="F3645" s="9" t="s">
        <v>27</v>
      </c>
      <c r="G3645" s="9" t="s">
        <v>27</v>
      </c>
      <c r="H3645" s="11" t="n">
        <v>22</v>
      </c>
      <c r="I3645" s="11" t="s">
        <v>209</v>
      </c>
      <c r="J3645" s="14" t="n">
        <v>26</v>
      </c>
      <c r="K3645" s="14"/>
      <c r="L3645" s="16"/>
      <c r="M3645" s="27" t="n">
        <f aca="false">J3645+(K3645/20)+(L3645/240)</f>
        <v>26</v>
      </c>
      <c r="N3645" s="17" t="s">
        <v>64</v>
      </c>
      <c r="O3645" s="11"/>
      <c r="P3645" s="28" t="n">
        <f aca="false">9675/100</f>
        <v>96.75</v>
      </c>
      <c r="Q3645" s="28" t="n">
        <v>2515</v>
      </c>
      <c r="R3645" s="28"/>
      <c r="S3645" s="28" t="n">
        <f aca="false">R3645*$M3645</f>
        <v>0</v>
      </c>
      <c r="T3645" s="28"/>
      <c r="U3645" s="28" t="n">
        <f aca="false">T3645*$M3645</f>
        <v>0</v>
      </c>
      <c r="V3645" s="28"/>
      <c r="W3645" s="28" t="n">
        <f aca="false">V3645*$M3645</f>
        <v>0</v>
      </c>
      <c r="X3645" s="28"/>
      <c r="Y3645" s="28" t="n">
        <f aca="false">X3645*$M3645</f>
        <v>0</v>
      </c>
      <c r="Z3645" s="28"/>
      <c r="AA3645" s="28" t="n">
        <f aca="false">Z3645*$M3645</f>
        <v>0</v>
      </c>
      <c r="AB3645" s="28"/>
      <c r="AC3645" s="28" t="n">
        <f aca="false">AB3645*$M3645</f>
        <v>0</v>
      </c>
      <c r="AD3645" s="28"/>
      <c r="AE3645" s="28" t="n">
        <f aca="false">AD3645*$M3645</f>
        <v>0</v>
      </c>
      <c r="AF3645" s="28"/>
      <c r="AG3645" s="28" t="n">
        <f aca="false">AF3645*$M3645</f>
        <v>0</v>
      </c>
      <c r="AH3645" s="28"/>
      <c r="AI3645" s="28" t="n">
        <f aca="false">AH3645*$M3645</f>
        <v>0</v>
      </c>
      <c r="AJ3645" s="28"/>
      <c r="AK3645" s="28" t="n">
        <f aca="false">AJ3645*$M3645</f>
        <v>0</v>
      </c>
      <c r="AL3645" s="28"/>
      <c r="AM3645" s="28" t="n">
        <f aca="false">AL3645*$M3645</f>
        <v>0</v>
      </c>
      <c r="AN3645" s="28"/>
      <c r="AO3645" s="28" t="n">
        <f aca="false">AN3645*$M3645</f>
        <v>0</v>
      </c>
      <c r="AP3645" s="28"/>
      <c r="AQ3645" s="28" t="n">
        <f aca="false">AP3645*$M3645</f>
        <v>0</v>
      </c>
      <c r="AR3645" s="28"/>
      <c r="AS3645" s="28" t="n">
        <f aca="false">AR3645*$M3645</f>
        <v>0</v>
      </c>
      <c r="AT3645" s="28"/>
      <c r="AU3645" s="28" t="n">
        <f aca="false">AT3645*$M3645</f>
        <v>0</v>
      </c>
      <c r="AV3645" s="28"/>
      <c r="AW3645" s="28" t="n">
        <f aca="false">AV3645*$M3645</f>
        <v>0</v>
      </c>
      <c r="AX3645" s="28"/>
      <c r="AY3645" s="28" t="n">
        <f aca="false">AX3645*$M3645</f>
        <v>0</v>
      </c>
      <c r="AZ3645" s="30" t="n">
        <f aca="false">9675/100</f>
        <v>96.75</v>
      </c>
      <c r="BA3645" s="11" t="n">
        <v>2515</v>
      </c>
      <c r="BB3645" s="31" t="n">
        <f aca="false">SUM(Q3645,S3645,U3645,W3645,Y3645,AA3645,AC3645,AE3645,AG3645,AI3645,AK3645,AM3645,AO3645,AQ3645,AS3645,AU3645,AW3645,AY3645)</f>
        <v>2515</v>
      </c>
      <c r="BC3645" s="28" t="n">
        <f aca="false">BA3645-BB3645</f>
        <v>0</v>
      </c>
      <c r="BD3645" s="32" t="n">
        <f aca="false">SUM(P3645,R3645,T3645,V3645,X3645,Z3645,AB3645,AD3645,AF3645,AH3645,AJ3645,AL3645,AN3645,AP3645,AR3645,AT3645,AV3645,AX3645)</f>
        <v>96.75</v>
      </c>
      <c r="BE3645" s="33" t="n">
        <f aca="false">AZ3645-BD3645</f>
        <v>0</v>
      </c>
      <c r="BF3645" s="34" t="n">
        <f aca="false">BD3645*M3645</f>
        <v>2515.5</v>
      </c>
      <c r="BG3645" s="35" t="n">
        <f aca="false">BA3645-BF3645</f>
        <v>-0.5</v>
      </c>
      <c r="BH3645" s="19" t="str">
        <f aca="false">IF(BG3645=0,"",IF(BG3645&lt;&gt;BA3645,"erreur de calcul",IF(BD3645&lt;&gt;0,"pas de prix",IF(M3645&lt;&gt; 0,"pas de quantité","pas de prix, ni de quantité"))))</f>
        <v>erreur de calcul</v>
      </c>
      <c r="BI3645" s="19"/>
    </row>
    <row r="3646" customFormat="false" ht="15" hidden="false" customHeight="false" outlineLevel="0" collapsed="false">
      <c r="A3646" s="0" t="n">
        <v>9</v>
      </c>
      <c r="B3646" s="8" t="s">
        <v>24</v>
      </c>
      <c r="C3646" s="9" t="s">
        <v>25</v>
      </c>
      <c r="D3646" s="9" t="s">
        <v>26</v>
      </c>
      <c r="E3646" s="10" t="n">
        <v>1789</v>
      </c>
      <c r="F3646" s="9" t="s">
        <v>27</v>
      </c>
      <c r="G3646" s="9" t="s">
        <v>27</v>
      </c>
      <c r="H3646" s="11" t="n">
        <v>22</v>
      </c>
      <c r="I3646" s="11" t="s">
        <v>210</v>
      </c>
      <c r="J3646" s="14" t="n">
        <v>8</v>
      </c>
      <c r="K3646" s="14" t="n">
        <v>15</v>
      </c>
      <c r="L3646" s="16"/>
      <c r="M3646" s="27" t="n">
        <f aca="false">J3646+(K3646/20)+(L3646/240)</f>
        <v>8.75</v>
      </c>
      <c r="N3646" s="17" t="s">
        <v>66</v>
      </c>
      <c r="O3646" s="11"/>
      <c r="P3646" s="28"/>
      <c r="Q3646" s="28" t="n">
        <f aca="false">P3646*$M3646</f>
        <v>0</v>
      </c>
      <c r="R3646" s="28"/>
      <c r="S3646" s="28" t="n">
        <f aca="false">R3646*$M3646</f>
        <v>0</v>
      </c>
      <c r="T3646" s="28" t="n">
        <v>2562</v>
      </c>
      <c r="U3646" s="36" t="n">
        <v>21777</v>
      </c>
      <c r="V3646" s="28" t="n">
        <v>127</v>
      </c>
      <c r="W3646" s="28" t="n">
        <v>1111</v>
      </c>
      <c r="X3646" s="28" t="n">
        <v>1945</v>
      </c>
      <c r="Y3646" s="28" t="n">
        <v>17018</v>
      </c>
      <c r="Z3646" s="28"/>
      <c r="AA3646" s="28" t="n">
        <f aca="false">Z3646*$M3646</f>
        <v>0</v>
      </c>
      <c r="AB3646" s="28"/>
      <c r="AC3646" s="28" t="n">
        <f aca="false">AB3646*$M3646</f>
        <v>0</v>
      </c>
      <c r="AD3646" s="28"/>
      <c r="AE3646" s="28" t="n">
        <f aca="false">AD3646*$M3646</f>
        <v>0</v>
      </c>
      <c r="AF3646" s="28"/>
      <c r="AG3646" s="28" t="n">
        <f aca="false">AF3646*$M3646</f>
        <v>0</v>
      </c>
      <c r="AH3646" s="28"/>
      <c r="AI3646" s="28" t="n">
        <f aca="false">AH3646*$M3646</f>
        <v>0</v>
      </c>
      <c r="AJ3646" s="28" t="n">
        <v>3538</v>
      </c>
      <c r="AK3646" s="36" t="n">
        <v>30073</v>
      </c>
      <c r="AL3646" s="28"/>
      <c r="AM3646" s="28" t="n">
        <f aca="false">AL3646*$M3646</f>
        <v>0</v>
      </c>
      <c r="AN3646" s="28"/>
      <c r="AO3646" s="28" t="n">
        <f aca="false">AN3646*$M3646</f>
        <v>0</v>
      </c>
      <c r="AP3646" s="28"/>
      <c r="AQ3646" s="28" t="n">
        <f aca="false">AP3646*$M3646</f>
        <v>0</v>
      </c>
      <c r="AR3646" s="28"/>
      <c r="AS3646" s="28" t="n">
        <f aca="false">AR3646*$M3646</f>
        <v>0</v>
      </c>
      <c r="AT3646" s="28"/>
      <c r="AU3646" s="28" t="n">
        <f aca="false">AT3646*$M3646</f>
        <v>0</v>
      </c>
      <c r="AV3646" s="28"/>
      <c r="AW3646" s="28" t="n">
        <f aca="false">AV3646*$M3646</f>
        <v>0</v>
      </c>
      <c r="AX3646" s="28" t="n">
        <v>11559</v>
      </c>
      <c r="AY3646" s="28" t="n">
        <v>101141</v>
      </c>
      <c r="AZ3646" s="30" t="n">
        <v>19731</v>
      </c>
      <c r="BA3646" s="11" t="n">
        <v>171120</v>
      </c>
      <c r="BB3646" s="31" t="n">
        <f aca="false">SUM(Q3646,S3646,U3646,W3646,Y3646,AA3646,AC3646,AE3646,AG3646,AI3646,AK3646,AM3646,AO3646,AQ3646,AS3646,AU3646,AW3646,AY3646)</f>
        <v>171120</v>
      </c>
      <c r="BC3646" s="28" t="n">
        <f aca="false">BA3646-BB3646</f>
        <v>0</v>
      </c>
      <c r="BD3646" s="32" t="n">
        <f aca="false">SUM(P3646,R3646,T3646,V3646,X3646,Z3646,AB3646,AD3646,AF3646,AH3646,AJ3646,AL3646,AN3646,AP3646,AR3646,AT3646,AV3646,AX3646)</f>
        <v>19731</v>
      </c>
      <c r="BE3646" s="33" t="n">
        <f aca="false">AZ3646-BD3646</f>
        <v>0</v>
      </c>
      <c r="BF3646" s="34" t="n">
        <f aca="false">BD3646*M3646</f>
        <v>172646.25</v>
      </c>
      <c r="BG3646" s="35" t="n">
        <f aca="false">BA3646-BF3646</f>
        <v>-1526.25</v>
      </c>
      <c r="BH3646" s="19" t="str">
        <f aca="false">IF(BG3646=0,"",IF(BG3646&lt;&gt;BA3646,"erreur de calcul",IF(BD3646&lt;&gt;0,"pas de prix",IF(M3646&lt;&gt; 0,"pas de quantité","pas de prix, ni de quantité"))))</f>
        <v>erreur de calcul</v>
      </c>
      <c r="BI3646" s="19"/>
    </row>
    <row r="3647" customFormat="false" ht="15" hidden="false" customHeight="false" outlineLevel="0" collapsed="false">
      <c r="A3647" s="0" t="n">
        <v>10</v>
      </c>
      <c r="B3647" s="8" t="s">
        <v>24</v>
      </c>
      <c r="C3647" s="9" t="s">
        <v>25</v>
      </c>
      <c r="D3647" s="9" t="s">
        <v>26</v>
      </c>
      <c r="E3647" s="10" t="n">
        <v>1789</v>
      </c>
      <c r="F3647" s="9" t="s">
        <v>27</v>
      </c>
      <c r="G3647" s="9" t="s">
        <v>27</v>
      </c>
      <c r="H3647" s="11" t="n">
        <v>22</v>
      </c>
      <c r="I3647" s="11" t="s">
        <v>211</v>
      </c>
      <c r="J3647" s="14" t="n">
        <v>11</v>
      </c>
      <c r="K3647" s="14"/>
      <c r="L3647" s="16"/>
      <c r="M3647" s="27" t="n">
        <f aca="false">J3647+(K3647/20)+(L3647/240)</f>
        <v>11</v>
      </c>
      <c r="N3647" s="17" t="s">
        <v>66</v>
      </c>
      <c r="O3647" s="11"/>
      <c r="P3647" s="28" t="n">
        <v>95190</v>
      </c>
      <c r="Q3647" s="28" t="n">
        <v>1047090</v>
      </c>
      <c r="R3647" s="28"/>
      <c r="S3647" s="28" t="n">
        <f aca="false">R3647*$M3647</f>
        <v>0</v>
      </c>
      <c r="T3647" s="28"/>
      <c r="U3647" s="28" t="n">
        <f aca="false">T3647*$M3647</f>
        <v>0</v>
      </c>
      <c r="V3647" s="28"/>
      <c r="W3647" s="28" t="n">
        <f aca="false">V3647*$M3647</f>
        <v>0</v>
      </c>
      <c r="X3647" s="28"/>
      <c r="Y3647" s="28" t="n">
        <f aca="false">X3647*$M3647</f>
        <v>0</v>
      </c>
      <c r="Z3647" s="28"/>
      <c r="AA3647" s="28" t="n">
        <f aca="false">Z3647*$M3647</f>
        <v>0</v>
      </c>
      <c r="AB3647" s="28"/>
      <c r="AC3647" s="28" t="n">
        <f aca="false">AB3647*$M3647</f>
        <v>0</v>
      </c>
      <c r="AD3647" s="28"/>
      <c r="AE3647" s="28" t="n">
        <f aca="false">AD3647*$M3647</f>
        <v>0</v>
      </c>
      <c r="AF3647" s="28"/>
      <c r="AG3647" s="28" t="n">
        <f aca="false">AF3647*$M3647</f>
        <v>0</v>
      </c>
      <c r="AH3647" s="28"/>
      <c r="AI3647" s="28" t="n">
        <f aca="false">AH3647*$M3647</f>
        <v>0</v>
      </c>
      <c r="AJ3647" s="28"/>
      <c r="AK3647" s="28" t="n">
        <f aca="false">AJ3647*$M3647</f>
        <v>0</v>
      </c>
      <c r="AL3647" s="28"/>
      <c r="AM3647" s="28" t="n">
        <f aca="false">AL3647*$M3647</f>
        <v>0</v>
      </c>
      <c r="AN3647" s="28"/>
      <c r="AO3647" s="28" t="n">
        <f aca="false">AN3647*$M3647</f>
        <v>0</v>
      </c>
      <c r="AP3647" s="28"/>
      <c r="AQ3647" s="28" t="n">
        <f aca="false">AP3647*$M3647</f>
        <v>0</v>
      </c>
      <c r="AR3647" s="28"/>
      <c r="AS3647" s="28" t="n">
        <f aca="false">AR3647*$M3647</f>
        <v>0</v>
      </c>
      <c r="AT3647" s="28"/>
      <c r="AU3647" s="28" t="n">
        <f aca="false">AT3647*$M3647</f>
        <v>0</v>
      </c>
      <c r="AV3647" s="28"/>
      <c r="AW3647" s="28" t="n">
        <f aca="false">AV3647*$M3647</f>
        <v>0</v>
      </c>
      <c r="AX3647" s="28"/>
      <c r="AY3647" s="28" t="n">
        <f aca="false">AX3647*$M3647</f>
        <v>0</v>
      </c>
      <c r="AZ3647" s="30" t="n">
        <v>95190</v>
      </c>
      <c r="BA3647" s="11" t="n">
        <v>1047090</v>
      </c>
      <c r="BB3647" s="31" t="n">
        <f aca="false">SUM(Q3647,S3647,U3647,W3647,Y3647,AA3647,AC3647,AE3647,AG3647,AI3647,AK3647,AM3647,AO3647,AQ3647,AS3647,AU3647,AW3647,AY3647)</f>
        <v>1047090</v>
      </c>
      <c r="BC3647" s="28" t="n">
        <f aca="false">BA3647-BB3647</f>
        <v>0</v>
      </c>
      <c r="BD3647" s="32" t="n">
        <f aca="false">SUM(P3647,R3647,T3647,V3647,X3647,Z3647,AB3647,AD3647,AF3647,AH3647,AJ3647,AL3647,AN3647,AP3647,AR3647,AT3647,AV3647,AX3647)</f>
        <v>95190</v>
      </c>
      <c r="BE3647" s="33" t="n">
        <f aca="false">AZ3647-BD3647</f>
        <v>0</v>
      </c>
      <c r="BF3647" s="34" t="n">
        <f aca="false">BD3647*M3647</f>
        <v>1047090</v>
      </c>
      <c r="BG3647" s="35" t="n">
        <f aca="false">BA3647-BF3647</f>
        <v>0</v>
      </c>
      <c r="BH3647" s="19" t="str">
        <f aca="false">IF(BG3647=0,"",IF(BG3647&lt;&gt;BA3647,"erreur de calcul",IF(BD3647&lt;&gt;0,"pas de prix",IF(M3647&lt;&gt; 0,"pas de quantité","pas de prix, ni de quantité"))))</f>
        <v/>
      </c>
      <c r="BI3647" s="19"/>
    </row>
    <row r="3648" customFormat="false" ht="17.15" hidden="false" customHeight="false" outlineLevel="0" collapsed="false">
      <c r="A3648" s="0" t="n">
        <v>11</v>
      </c>
      <c r="B3648" s="8" t="s">
        <v>24</v>
      </c>
      <c r="C3648" s="9" t="s">
        <v>25</v>
      </c>
      <c r="D3648" s="9" t="s">
        <v>26</v>
      </c>
      <c r="E3648" s="10" t="n">
        <v>1789</v>
      </c>
      <c r="F3648" s="9" t="s">
        <v>27</v>
      </c>
      <c r="G3648" s="9" t="s">
        <v>27</v>
      </c>
      <c r="H3648" s="11" t="n">
        <v>22</v>
      </c>
      <c r="I3648" s="40" t="s">
        <v>212</v>
      </c>
      <c r="J3648" s="14" t="n">
        <v>75</v>
      </c>
      <c r="K3648" s="14"/>
      <c r="L3648" s="16"/>
      <c r="M3648" s="27" t="n">
        <f aca="false">J3648+(K3648/20)+(L3648/240)</f>
        <v>75</v>
      </c>
      <c r="N3648" s="17" t="s">
        <v>64</v>
      </c>
      <c r="O3648" s="11"/>
      <c r="P3648" s="28"/>
      <c r="Q3648" s="28" t="n">
        <f aca="false">P3648*$M3648</f>
        <v>0</v>
      </c>
      <c r="R3648" s="28"/>
      <c r="S3648" s="28" t="n">
        <f aca="false">R3648*$M3648</f>
        <v>0</v>
      </c>
      <c r="T3648" s="28"/>
      <c r="U3648" s="28" t="n">
        <f aca="false">T3648*$M3648</f>
        <v>0</v>
      </c>
      <c r="V3648" s="28"/>
      <c r="W3648" s="28" t="n">
        <f aca="false">V3648*$M3648</f>
        <v>0</v>
      </c>
      <c r="X3648" s="28"/>
      <c r="Y3648" s="28" t="n">
        <f aca="false">X3648*$M3648</f>
        <v>0</v>
      </c>
      <c r="Z3648" s="28"/>
      <c r="AA3648" s="28" t="n">
        <f aca="false">Z3648*$M3648</f>
        <v>0</v>
      </c>
      <c r="AB3648" s="28"/>
      <c r="AC3648" s="28" t="n">
        <f aca="false">AB3648*$M3648</f>
        <v>0</v>
      </c>
      <c r="AD3648" s="28"/>
      <c r="AE3648" s="28" t="n">
        <f aca="false">AD3648*$M3648</f>
        <v>0</v>
      </c>
      <c r="AF3648" s="28"/>
      <c r="AG3648" s="28" t="n">
        <f aca="false">AF3648*$M3648</f>
        <v>0</v>
      </c>
      <c r="AH3648" s="28"/>
      <c r="AI3648" s="28" t="n">
        <f aca="false">AH3648*$M3648</f>
        <v>0</v>
      </c>
      <c r="AJ3648" s="28" t="n">
        <f aca="false">2372/100</f>
        <v>23.72</v>
      </c>
      <c r="AK3648" s="28" t="n">
        <v>1779</v>
      </c>
      <c r="AL3648" s="28"/>
      <c r="AM3648" s="28" t="n">
        <f aca="false">AL3648*$M3648</f>
        <v>0</v>
      </c>
      <c r="AN3648" s="28"/>
      <c r="AO3648" s="28" t="n">
        <f aca="false">AN3648*$M3648</f>
        <v>0</v>
      </c>
      <c r="AP3648" s="28"/>
      <c r="AQ3648" s="28" t="n">
        <f aca="false">AP3648*$M3648</f>
        <v>0</v>
      </c>
      <c r="AR3648" s="28"/>
      <c r="AS3648" s="28" t="n">
        <f aca="false">AR3648*$M3648</f>
        <v>0</v>
      </c>
      <c r="AT3648" s="28"/>
      <c r="AU3648" s="28" t="n">
        <f aca="false">AT3648*$M3648</f>
        <v>0</v>
      </c>
      <c r="AV3648" s="28"/>
      <c r="AW3648" s="28" t="n">
        <f aca="false">AV3648*$M3648</f>
        <v>0</v>
      </c>
      <c r="AX3648" s="28"/>
      <c r="AY3648" s="28" t="n">
        <f aca="false">AX3648*$M3648</f>
        <v>0</v>
      </c>
      <c r="AZ3648" s="30" t="n">
        <f aca="false">2372/100</f>
        <v>23.72</v>
      </c>
      <c r="BA3648" s="11" t="n">
        <v>1779</v>
      </c>
      <c r="BB3648" s="31" t="n">
        <f aca="false">SUM(Q3648,S3648,U3648,W3648,Y3648,AA3648,AC3648,AE3648,AG3648,AI3648,AK3648,AM3648,AO3648,AQ3648,AS3648,AU3648,AW3648,AY3648)</f>
        <v>1779</v>
      </c>
      <c r="BC3648" s="28" t="n">
        <f aca="false">BA3648-BB3648</f>
        <v>0</v>
      </c>
      <c r="BD3648" s="32" t="n">
        <f aca="false">SUM(P3648,R3648,T3648,V3648,X3648,Z3648,AB3648,AD3648,AF3648,AH3648,AJ3648,AL3648,AN3648,AP3648,AR3648,AT3648,AV3648,AX3648)</f>
        <v>23.72</v>
      </c>
      <c r="BE3648" s="33" t="n">
        <f aca="false">AZ3648-BD3648</f>
        <v>0</v>
      </c>
      <c r="BF3648" s="34" t="n">
        <f aca="false">BD3648*M3648</f>
        <v>1779</v>
      </c>
      <c r="BG3648" s="35" t="n">
        <f aca="false">BA3648-BF3648</f>
        <v>0</v>
      </c>
      <c r="BH3648" s="19" t="str">
        <f aca="false">IF(BG3648=0,"",IF(BG3648&lt;&gt;BA3648,"erreur de calcul",IF(BD3648&lt;&gt;0,"pas de prix",IF(M3648&lt;&gt; 0,"pas de quantité","pas de prix, ni de quantité"))))</f>
        <v/>
      </c>
      <c r="BI3648" s="19"/>
    </row>
    <row r="3649" customFormat="false" ht="15" hidden="false" customHeight="false" outlineLevel="0" collapsed="false">
      <c r="A3649" s="0" t="n">
        <v>12</v>
      </c>
      <c r="B3649" s="8" t="s">
        <v>24</v>
      </c>
      <c r="C3649" s="9" t="s">
        <v>25</v>
      </c>
      <c r="D3649" s="9" t="s">
        <v>26</v>
      </c>
      <c r="E3649" s="10" t="n">
        <v>1789</v>
      </c>
      <c r="F3649" s="9" t="s">
        <v>27</v>
      </c>
      <c r="G3649" s="9" t="s">
        <v>27</v>
      </c>
      <c r="H3649" s="11" t="n">
        <v>22</v>
      </c>
      <c r="I3649" s="11" t="s">
        <v>213</v>
      </c>
      <c r="J3649" s="14" t="n">
        <v>31</v>
      </c>
      <c r="K3649" s="14"/>
      <c r="L3649" s="16"/>
      <c r="M3649" s="27" t="n">
        <f aca="false">J3649+(K3649/20)+(L3649/240)</f>
        <v>31</v>
      </c>
      <c r="N3649" s="17" t="s">
        <v>64</v>
      </c>
      <c r="O3649" s="11"/>
      <c r="P3649" s="28"/>
      <c r="Q3649" s="28" t="n">
        <f aca="false">P3649*$M3649</f>
        <v>0</v>
      </c>
      <c r="R3649" s="28"/>
      <c r="S3649" s="28" t="n">
        <f aca="false">R3649*$M3649</f>
        <v>0</v>
      </c>
      <c r="T3649" s="28"/>
      <c r="U3649" s="28" t="n">
        <f aca="false">T3649*$M3649</f>
        <v>0</v>
      </c>
      <c r="V3649" s="28"/>
      <c r="W3649" s="28" t="n">
        <f aca="false">V3649*$M3649</f>
        <v>0</v>
      </c>
      <c r="X3649" s="28" t="n">
        <f aca="false">18202/100</f>
        <v>182.02</v>
      </c>
      <c r="Y3649" s="28" t="n">
        <v>5643</v>
      </c>
      <c r="Z3649" s="28"/>
      <c r="AA3649" s="28" t="n">
        <f aca="false">Z3649*$M3649</f>
        <v>0</v>
      </c>
      <c r="AB3649" s="28"/>
      <c r="AC3649" s="28" t="n">
        <f aca="false">AB3649*$M3649</f>
        <v>0</v>
      </c>
      <c r="AD3649" s="28"/>
      <c r="AE3649" s="28" t="n">
        <f aca="false">AD3649*$M3649</f>
        <v>0</v>
      </c>
      <c r="AF3649" s="28"/>
      <c r="AG3649" s="28" t="n">
        <f aca="false">AF3649*$M3649</f>
        <v>0</v>
      </c>
      <c r="AH3649" s="28"/>
      <c r="AI3649" s="28" t="n">
        <f aca="false">AH3649*$M3649</f>
        <v>0</v>
      </c>
      <c r="AJ3649" s="28"/>
      <c r="AK3649" s="28" t="n">
        <f aca="false">AJ3649*$M3649</f>
        <v>0</v>
      </c>
      <c r="AL3649" s="28"/>
      <c r="AM3649" s="28" t="n">
        <f aca="false">AL3649*$M3649</f>
        <v>0</v>
      </c>
      <c r="AN3649" s="28"/>
      <c r="AO3649" s="28" t="n">
        <f aca="false">AN3649*$M3649</f>
        <v>0</v>
      </c>
      <c r="AP3649" s="28"/>
      <c r="AQ3649" s="28" t="n">
        <f aca="false">AP3649*$M3649</f>
        <v>0</v>
      </c>
      <c r="AR3649" s="28"/>
      <c r="AS3649" s="28" t="n">
        <f aca="false">AR3649*$M3649</f>
        <v>0</v>
      </c>
      <c r="AT3649" s="28"/>
      <c r="AU3649" s="28" t="n">
        <f aca="false">AT3649*$M3649</f>
        <v>0</v>
      </c>
      <c r="AV3649" s="28"/>
      <c r="AW3649" s="28" t="n">
        <f aca="false">AV3649*$M3649</f>
        <v>0</v>
      </c>
      <c r="AX3649" s="28"/>
      <c r="AY3649" s="28" t="n">
        <f aca="false">AX3649*$M3649</f>
        <v>0</v>
      </c>
      <c r="AZ3649" s="30" t="n">
        <f aca="false">18202/100</f>
        <v>182.02</v>
      </c>
      <c r="BA3649" s="11" t="n">
        <v>5643</v>
      </c>
      <c r="BB3649" s="31" t="n">
        <f aca="false">SUM(Q3649,S3649,U3649,W3649,Y3649,AA3649,AC3649,AE3649,AG3649,AI3649,AK3649,AM3649,AO3649,AQ3649,AS3649,AU3649,AW3649,AY3649)</f>
        <v>5643</v>
      </c>
      <c r="BC3649" s="28" t="n">
        <f aca="false">BA3649-BB3649</f>
        <v>0</v>
      </c>
      <c r="BD3649" s="32" t="n">
        <f aca="false">SUM(P3649,R3649,T3649,V3649,X3649,Z3649,AB3649,AD3649,AF3649,AH3649,AJ3649,AL3649,AN3649,AP3649,AR3649,AT3649,AV3649,AX3649)</f>
        <v>182.02</v>
      </c>
      <c r="BE3649" s="33" t="n">
        <f aca="false">AZ3649-BD3649</f>
        <v>0</v>
      </c>
      <c r="BF3649" s="34" t="n">
        <f aca="false">BD3649*M3649</f>
        <v>5642.62</v>
      </c>
      <c r="BG3649" s="35" t="n">
        <f aca="false">BA3649-BF3649</f>
        <v>0.380000000000109</v>
      </c>
      <c r="BH3649" s="19" t="str">
        <f aca="false">IF(BG3649=0,"",IF(BG3649&lt;&gt;BA3649,"erreur de calcul",IF(BD3649&lt;&gt;0,"pas de prix",IF(M3649&lt;&gt; 0,"pas de quantité","pas de prix, ni de quantité"))))</f>
        <v>erreur de calcul</v>
      </c>
      <c r="BI3649" s="19"/>
    </row>
    <row r="3650" customFormat="false" ht="15" hidden="false" customHeight="false" outlineLevel="0" collapsed="false">
      <c r="A3650" s="0" t="n">
        <v>13</v>
      </c>
      <c r="B3650" s="8" t="s">
        <v>24</v>
      </c>
      <c r="C3650" s="9" t="s">
        <v>25</v>
      </c>
      <c r="D3650" s="9" t="s">
        <v>26</v>
      </c>
      <c r="E3650" s="10" t="n">
        <v>1789</v>
      </c>
      <c r="F3650" s="9" t="s">
        <v>27</v>
      </c>
      <c r="G3650" s="9" t="s">
        <v>27</v>
      </c>
      <c r="H3650" s="11" t="n">
        <v>22</v>
      </c>
      <c r="I3650" s="11" t="s">
        <v>214</v>
      </c>
      <c r="J3650" s="14"/>
      <c r="K3650" s="14" t="n">
        <v>20</v>
      </c>
      <c r="L3650" s="16"/>
      <c r="M3650" s="27" t="n">
        <f aca="false">J3650+(K3650/20)+(L3650/240)</f>
        <v>1</v>
      </c>
      <c r="N3650" s="17" t="s">
        <v>66</v>
      </c>
      <c r="O3650" s="11"/>
      <c r="P3650" s="28"/>
      <c r="Q3650" s="28" t="n">
        <f aca="false">P3650*$M3650</f>
        <v>0</v>
      </c>
      <c r="R3650" s="28"/>
      <c r="S3650" s="28" t="n">
        <f aca="false">R3650*$M3650</f>
        <v>0</v>
      </c>
      <c r="T3650" s="28"/>
      <c r="U3650" s="28" t="n">
        <f aca="false">T3650*$M3650</f>
        <v>0</v>
      </c>
      <c r="V3650" s="28"/>
      <c r="W3650" s="28" t="n">
        <f aca="false">V3650*$M3650</f>
        <v>0</v>
      </c>
      <c r="X3650" s="28"/>
      <c r="Y3650" s="28" t="n">
        <f aca="false">X3650*$M3650</f>
        <v>0</v>
      </c>
      <c r="Z3650" s="28"/>
      <c r="AA3650" s="28" t="n">
        <f aca="false">Z3650*$M3650</f>
        <v>0</v>
      </c>
      <c r="AB3650" s="28"/>
      <c r="AC3650" s="28" t="n">
        <f aca="false">AB3650*$M3650</f>
        <v>0</v>
      </c>
      <c r="AD3650" s="28" t="n">
        <v>2831</v>
      </c>
      <c r="AE3650" s="28" t="n">
        <v>2831</v>
      </c>
      <c r="AF3650" s="28"/>
      <c r="AG3650" s="28" t="n">
        <f aca="false">AF3650*$M3650</f>
        <v>0</v>
      </c>
      <c r="AH3650" s="28"/>
      <c r="AI3650" s="28" t="n">
        <f aca="false">AH3650*$M3650</f>
        <v>0</v>
      </c>
      <c r="AJ3650" s="28"/>
      <c r="AK3650" s="28" t="n">
        <f aca="false">AJ3650*$M3650</f>
        <v>0</v>
      </c>
      <c r="AL3650" s="28"/>
      <c r="AM3650" s="28" t="n">
        <f aca="false">AL3650*$M3650</f>
        <v>0</v>
      </c>
      <c r="AN3650" s="28"/>
      <c r="AO3650" s="28" t="n">
        <f aca="false">AN3650*$M3650</f>
        <v>0</v>
      </c>
      <c r="AP3650" s="28"/>
      <c r="AQ3650" s="28" t="n">
        <f aca="false">AP3650*$M3650</f>
        <v>0</v>
      </c>
      <c r="AR3650" s="28"/>
      <c r="AS3650" s="28" t="n">
        <f aca="false">AR3650*$M3650</f>
        <v>0</v>
      </c>
      <c r="AT3650" s="28"/>
      <c r="AU3650" s="28" t="n">
        <f aca="false">AT3650*$M3650</f>
        <v>0</v>
      </c>
      <c r="AV3650" s="28"/>
      <c r="AW3650" s="28" t="n">
        <f aca="false">AV3650*$M3650</f>
        <v>0</v>
      </c>
      <c r="AX3650" s="28"/>
      <c r="AY3650" s="28" t="n">
        <f aca="false">AX3650*$M3650</f>
        <v>0</v>
      </c>
      <c r="AZ3650" s="30" t="n">
        <v>2831</v>
      </c>
      <c r="BA3650" s="11" t="n">
        <v>2831</v>
      </c>
      <c r="BB3650" s="31" t="n">
        <f aca="false">SUM(Q3650,S3650,U3650,W3650,Y3650,AA3650,AC3650,AE3650,AG3650,AI3650,AK3650,AM3650,AO3650,AQ3650,AS3650,AU3650,AW3650,AY3650)</f>
        <v>2831</v>
      </c>
      <c r="BC3650" s="28" t="n">
        <f aca="false">BA3650-BB3650</f>
        <v>0</v>
      </c>
      <c r="BD3650" s="32" t="n">
        <f aca="false">SUM(P3650,R3650,T3650,V3650,X3650,Z3650,AB3650,AD3650,AF3650,AH3650,AJ3650,AL3650,AN3650,AP3650,AR3650,AT3650,AV3650,AX3650)</f>
        <v>2831</v>
      </c>
      <c r="BE3650" s="33" t="n">
        <f aca="false">AZ3650-BD3650</f>
        <v>0</v>
      </c>
      <c r="BF3650" s="34" t="n">
        <f aca="false">BD3650*M3650</f>
        <v>2831</v>
      </c>
      <c r="BG3650" s="35" t="n">
        <f aca="false">BA3650-BF3650</f>
        <v>0</v>
      </c>
      <c r="BH3650" s="19" t="str">
        <f aca="false">IF(BG3650=0,"",IF(BG3650&lt;&gt;BA3650,"erreur de calcul",IF(BD3650&lt;&gt;0,"pas de prix",IF(M3650&lt;&gt; 0,"pas de quantité","pas de prix, ni de quantité"))))</f>
        <v/>
      </c>
      <c r="BI3650" s="19"/>
    </row>
    <row r="3651" customFormat="false" ht="15" hidden="false" customHeight="false" outlineLevel="0" collapsed="false">
      <c r="A3651" s="0" t="n">
        <v>14</v>
      </c>
      <c r="B3651" s="8" t="s">
        <v>24</v>
      </c>
      <c r="C3651" s="9" t="s">
        <v>25</v>
      </c>
      <c r="D3651" s="9" t="s">
        <v>26</v>
      </c>
      <c r="E3651" s="10" t="n">
        <v>1789</v>
      </c>
      <c r="F3651" s="9" t="s">
        <v>27</v>
      </c>
      <c r="G3651" s="9" t="s">
        <v>27</v>
      </c>
      <c r="H3651" s="11" t="n">
        <v>22</v>
      </c>
      <c r="I3651" s="11" t="s">
        <v>215</v>
      </c>
      <c r="J3651" s="14" t="n">
        <v>36</v>
      </c>
      <c r="K3651" s="14"/>
      <c r="L3651" s="16"/>
      <c r="M3651" s="27" t="n">
        <f aca="false">J3651+(K3651/20)+(L3651/240)</f>
        <v>36</v>
      </c>
      <c r="N3651" s="17" t="s">
        <v>64</v>
      </c>
      <c r="O3651" s="11"/>
      <c r="P3651" s="28"/>
      <c r="Q3651" s="28" t="n">
        <f aca="false">P3651*$M3651</f>
        <v>0</v>
      </c>
      <c r="R3651" s="28"/>
      <c r="S3651" s="28" t="n">
        <f aca="false">R3651*$M3651</f>
        <v>0</v>
      </c>
      <c r="T3651" s="28"/>
      <c r="U3651" s="28" t="n">
        <f aca="false">T3651*$M3651</f>
        <v>0</v>
      </c>
      <c r="V3651" s="28"/>
      <c r="W3651" s="28" t="n">
        <f aca="false">V3651*$M3651</f>
        <v>0</v>
      </c>
      <c r="X3651" s="28"/>
      <c r="Y3651" s="28" t="n">
        <f aca="false">X3651*$M3651</f>
        <v>0</v>
      </c>
      <c r="Z3651" s="28"/>
      <c r="AA3651" s="28" t="n">
        <f aca="false">Z3651*$M3651</f>
        <v>0</v>
      </c>
      <c r="AB3651" s="28"/>
      <c r="AC3651" s="28" t="n">
        <f aca="false">AB3651*$M3651</f>
        <v>0</v>
      </c>
      <c r="AD3651" s="28"/>
      <c r="AE3651" s="28" t="n">
        <f aca="false">AD3651*$M3651</f>
        <v>0</v>
      </c>
      <c r="AF3651" s="28" t="n">
        <f aca="false">92472/100</f>
        <v>924.72</v>
      </c>
      <c r="AG3651" s="28" t="n">
        <v>33290</v>
      </c>
      <c r="AH3651" s="28" t="n">
        <f aca="false">490633/100</f>
        <v>4906.33</v>
      </c>
      <c r="AI3651" s="28" t="n">
        <v>176628</v>
      </c>
      <c r="AJ3651" s="28"/>
      <c r="AK3651" s="28" t="n">
        <f aca="false">AJ3651*$M3651</f>
        <v>0</v>
      </c>
      <c r="AL3651" s="28"/>
      <c r="AM3651" s="28" t="n">
        <f aca="false">AL3651*$M3651</f>
        <v>0</v>
      </c>
      <c r="AN3651" s="28"/>
      <c r="AO3651" s="28" t="n">
        <f aca="false">AN3651*$M3651</f>
        <v>0</v>
      </c>
      <c r="AP3651" s="28"/>
      <c r="AQ3651" s="28" t="n">
        <f aca="false">AP3651*$M3651</f>
        <v>0</v>
      </c>
      <c r="AR3651" s="28"/>
      <c r="AS3651" s="28" t="n">
        <f aca="false">AR3651*$M3651</f>
        <v>0</v>
      </c>
      <c r="AT3651" s="28"/>
      <c r="AU3651" s="28" t="n">
        <f aca="false">AT3651*$M3651</f>
        <v>0</v>
      </c>
      <c r="AV3651" s="28"/>
      <c r="AW3651" s="28" t="n">
        <f aca="false">AV3651*$M3651</f>
        <v>0</v>
      </c>
      <c r="AX3651" s="28"/>
      <c r="AY3651" s="28" t="n">
        <f aca="false">AX3651*$M3651</f>
        <v>0</v>
      </c>
      <c r="AZ3651" s="30" t="n">
        <f aca="false">583105/100</f>
        <v>5831.05</v>
      </c>
      <c r="BA3651" s="11" t="n">
        <v>209918</v>
      </c>
      <c r="BB3651" s="31" t="n">
        <f aca="false">SUM(Q3651,S3651,U3651,W3651,Y3651,AA3651,AC3651,AE3651,AG3651,AI3651,AK3651,AM3651,AO3651,AQ3651,AS3651,AU3651,AW3651,AY3651)</f>
        <v>209918</v>
      </c>
      <c r="BC3651" s="28" t="n">
        <f aca="false">BA3651-BB3651</f>
        <v>0</v>
      </c>
      <c r="BD3651" s="32" t="n">
        <f aca="false">SUM(P3651,R3651,T3651,V3651,X3651,Z3651,AB3651,AD3651,AF3651,AH3651,AJ3651,AL3651,AN3651,AP3651,AR3651,AT3651,AV3651,AX3651)</f>
        <v>5831.05</v>
      </c>
      <c r="BE3651" s="33" t="n">
        <f aca="false">AZ3651-BD3651</f>
        <v>0</v>
      </c>
      <c r="BF3651" s="34" t="n">
        <f aca="false">BD3651*M3651</f>
        <v>209917.8</v>
      </c>
      <c r="BG3651" s="35" t="n">
        <f aca="false">BA3651-BF3651</f>
        <v>0.199999999982538</v>
      </c>
      <c r="BH3651" s="19" t="str">
        <f aca="false">IF(BG3651=0,"",IF(BG3651&lt;&gt;BA3651,"erreur de calcul",IF(BD3651&lt;&gt;0,"pas de prix",IF(M3651&lt;&gt; 0,"pas de quantité","pas de prix, ni de quantité"))))</f>
        <v>erreur de calcul</v>
      </c>
      <c r="BI3651" s="19"/>
    </row>
    <row r="3652" customFormat="false" ht="15" hidden="false" customHeight="false" outlineLevel="0" collapsed="false">
      <c r="A3652" s="0" t="n">
        <v>15</v>
      </c>
      <c r="B3652" s="8" t="s">
        <v>24</v>
      </c>
      <c r="C3652" s="9" t="s">
        <v>25</v>
      </c>
      <c r="D3652" s="9" t="s">
        <v>26</v>
      </c>
      <c r="E3652" s="10" t="n">
        <v>1789</v>
      </c>
      <c r="F3652" s="9" t="s">
        <v>27</v>
      </c>
      <c r="G3652" s="9" t="s">
        <v>27</v>
      </c>
      <c r="H3652" s="11" t="n">
        <v>22</v>
      </c>
      <c r="I3652" s="11" t="s">
        <v>216</v>
      </c>
      <c r="J3652" s="14"/>
      <c r="K3652" s="14" t="n">
        <v>22</v>
      </c>
      <c r="L3652" s="16"/>
      <c r="M3652" s="27" t="n">
        <f aca="false">J3652+(K3652/20)+(L3652/240)</f>
        <v>1.1</v>
      </c>
      <c r="N3652" s="17" t="s">
        <v>66</v>
      </c>
      <c r="O3652" s="11"/>
      <c r="P3652" s="28"/>
      <c r="Q3652" s="28" t="n">
        <f aca="false">P3652*$M3652</f>
        <v>0</v>
      </c>
      <c r="R3652" s="28"/>
      <c r="S3652" s="28" t="n">
        <f aca="false">R3652*$M3652</f>
        <v>0</v>
      </c>
      <c r="T3652" s="28" t="n">
        <v>2875</v>
      </c>
      <c r="U3652" s="28" t="n">
        <v>3162</v>
      </c>
      <c r="V3652" s="28"/>
      <c r="W3652" s="28" t="n">
        <f aca="false">V3652*$M3652</f>
        <v>0</v>
      </c>
      <c r="X3652" s="28"/>
      <c r="Y3652" s="28" t="n">
        <f aca="false">X3652*$M3652</f>
        <v>0</v>
      </c>
      <c r="Z3652" s="28"/>
      <c r="AA3652" s="28" t="n">
        <f aca="false">Z3652*$M3652</f>
        <v>0</v>
      </c>
      <c r="AB3652" s="28"/>
      <c r="AC3652" s="28" t="n">
        <f aca="false">AB3652*$M3652</f>
        <v>0</v>
      </c>
      <c r="AD3652" s="28"/>
      <c r="AE3652" s="28" t="n">
        <f aca="false">AD3652*$M3652</f>
        <v>0</v>
      </c>
      <c r="AF3652" s="28"/>
      <c r="AG3652" s="28" t="n">
        <f aca="false">AF3652*$M3652</f>
        <v>0</v>
      </c>
      <c r="AH3652" s="28"/>
      <c r="AI3652" s="28" t="n">
        <f aca="false">AH3652*$M3652</f>
        <v>0</v>
      </c>
      <c r="AJ3652" s="28"/>
      <c r="AK3652" s="28" t="n">
        <f aca="false">AJ3652*$M3652</f>
        <v>0</v>
      </c>
      <c r="AL3652" s="28"/>
      <c r="AM3652" s="28" t="n">
        <f aca="false">AL3652*$M3652</f>
        <v>0</v>
      </c>
      <c r="AN3652" s="28"/>
      <c r="AO3652" s="28" t="n">
        <f aca="false">AN3652*$M3652</f>
        <v>0</v>
      </c>
      <c r="AP3652" s="28"/>
      <c r="AQ3652" s="28" t="n">
        <f aca="false">AP3652*$M3652</f>
        <v>0</v>
      </c>
      <c r="AR3652" s="28"/>
      <c r="AS3652" s="28" t="n">
        <f aca="false">AR3652*$M3652</f>
        <v>0</v>
      </c>
      <c r="AT3652" s="28"/>
      <c r="AU3652" s="28" t="n">
        <f aca="false">AT3652*$M3652</f>
        <v>0</v>
      </c>
      <c r="AV3652" s="28"/>
      <c r="AW3652" s="28" t="n">
        <f aca="false">AV3652*$M3652</f>
        <v>0</v>
      </c>
      <c r="AX3652" s="28"/>
      <c r="AY3652" s="28" t="n">
        <f aca="false">AX3652*$M3652</f>
        <v>0</v>
      </c>
      <c r="AZ3652" s="30" t="n">
        <v>2875</v>
      </c>
      <c r="BA3652" s="11" t="n">
        <v>3162</v>
      </c>
      <c r="BB3652" s="31" t="n">
        <f aca="false">SUM(Q3652,S3652,U3652,W3652,Y3652,AA3652,AC3652,AE3652,AG3652,AI3652,AK3652,AM3652,AO3652,AQ3652,AS3652,AU3652,AW3652,AY3652)</f>
        <v>3162</v>
      </c>
      <c r="BC3652" s="28" t="n">
        <f aca="false">BA3652-BB3652</f>
        <v>0</v>
      </c>
      <c r="BD3652" s="32" t="n">
        <f aca="false">SUM(P3652,R3652,T3652,V3652,X3652,Z3652,AB3652,AD3652,AF3652,AH3652,AJ3652,AL3652,AN3652,AP3652,AR3652,AT3652,AV3652,AX3652)</f>
        <v>2875</v>
      </c>
      <c r="BE3652" s="33" t="n">
        <f aca="false">AZ3652-BD3652</f>
        <v>0</v>
      </c>
      <c r="BF3652" s="34" t="n">
        <f aca="false">BD3652*M3652</f>
        <v>3162.5</v>
      </c>
      <c r="BG3652" s="35" t="n">
        <f aca="false">BA3652-BF3652</f>
        <v>-0.500000000000455</v>
      </c>
      <c r="BH3652" s="19" t="str">
        <f aca="false">IF(BG3652=0,"",IF(BG3652&lt;&gt;BA3652,"erreur de calcul",IF(BD3652&lt;&gt;0,"pas de prix",IF(M3652&lt;&gt; 0,"pas de quantité","pas de prix, ni de quantité"))))</f>
        <v>erreur de calcul</v>
      </c>
      <c r="BI3652" s="19"/>
    </row>
    <row r="3653" customFormat="false" ht="15" hidden="false" customHeight="false" outlineLevel="0" collapsed="false">
      <c r="A3653" s="0" t="n">
        <v>16</v>
      </c>
      <c r="B3653" s="8" t="s">
        <v>24</v>
      </c>
      <c r="C3653" s="9" t="s">
        <v>25</v>
      </c>
      <c r="D3653" s="9" t="s">
        <v>26</v>
      </c>
      <c r="E3653" s="10" t="n">
        <v>1789</v>
      </c>
      <c r="F3653" s="9" t="s">
        <v>27</v>
      </c>
      <c r="G3653" s="9" t="s">
        <v>27</v>
      </c>
      <c r="H3653" s="11" t="n">
        <v>22</v>
      </c>
      <c r="I3653" s="11" t="s">
        <v>217</v>
      </c>
      <c r="J3653" s="14" t="n">
        <v>90</v>
      </c>
      <c r="K3653" s="14"/>
      <c r="L3653" s="16"/>
      <c r="M3653" s="27" t="n">
        <f aca="false">J3653+(K3653/20)+(L3653/240)</f>
        <v>90</v>
      </c>
      <c r="N3653" s="17" t="s">
        <v>64</v>
      </c>
      <c r="O3653" s="11"/>
      <c r="P3653" s="28"/>
      <c r="Q3653" s="28" t="n">
        <f aca="false">P3653*$M3653</f>
        <v>0</v>
      </c>
      <c r="R3653" s="28"/>
      <c r="S3653" s="28" t="n">
        <f aca="false">R3653*$M3653</f>
        <v>0</v>
      </c>
      <c r="T3653" s="28"/>
      <c r="U3653" s="28" t="n">
        <f aca="false">T3653*$M3653</f>
        <v>0</v>
      </c>
      <c r="V3653" s="28"/>
      <c r="W3653" s="28" t="n">
        <f aca="false">V3653*$M3653</f>
        <v>0</v>
      </c>
      <c r="X3653" s="28" t="n">
        <f aca="false">2440/100</f>
        <v>24.4</v>
      </c>
      <c r="Y3653" s="28" t="n">
        <v>2196</v>
      </c>
      <c r="Z3653" s="28"/>
      <c r="AA3653" s="28" t="n">
        <f aca="false">Z3653*$M3653</f>
        <v>0</v>
      </c>
      <c r="AB3653" s="28"/>
      <c r="AC3653" s="28" t="n">
        <f aca="false">AB3653*$M3653</f>
        <v>0</v>
      </c>
      <c r="AD3653" s="28"/>
      <c r="AE3653" s="28" t="n">
        <f aca="false">AD3653*$M3653</f>
        <v>0</v>
      </c>
      <c r="AF3653" s="28"/>
      <c r="AG3653" s="28" t="n">
        <f aca="false">AF3653*$M3653</f>
        <v>0</v>
      </c>
      <c r="AH3653" s="28" t="n">
        <f aca="false">524577/100</f>
        <v>5245.77</v>
      </c>
      <c r="AI3653" s="28" t="n">
        <v>472116</v>
      </c>
      <c r="AJ3653" s="28"/>
      <c r="AK3653" s="28" t="n">
        <f aca="false">AJ3653*$M3653</f>
        <v>0</v>
      </c>
      <c r="AL3653" s="28"/>
      <c r="AM3653" s="28" t="n">
        <f aca="false">AL3653*$M3653</f>
        <v>0</v>
      </c>
      <c r="AN3653" s="28"/>
      <c r="AO3653" s="28" t="n">
        <f aca="false">AN3653*$M3653</f>
        <v>0</v>
      </c>
      <c r="AP3653" s="28"/>
      <c r="AQ3653" s="28" t="n">
        <f aca="false">AP3653*$M3653</f>
        <v>0</v>
      </c>
      <c r="AR3653" s="28"/>
      <c r="AS3653" s="28" t="n">
        <f aca="false">AR3653*$M3653</f>
        <v>0</v>
      </c>
      <c r="AT3653" s="28"/>
      <c r="AU3653" s="28" t="n">
        <f aca="false">AT3653*$M3653</f>
        <v>0</v>
      </c>
      <c r="AV3653" s="28"/>
      <c r="AW3653" s="28" t="n">
        <f aca="false">AV3653*$M3653</f>
        <v>0</v>
      </c>
      <c r="AX3653" s="28"/>
      <c r="AY3653" s="28" t="n">
        <f aca="false">AX3653*$M3653</f>
        <v>0</v>
      </c>
      <c r="AZ3653" s="30" t="n">
        <f aca="false">526980/100</f>
        <v>5269.8</v>
      </c>
      <c r="BA3653" s="11" t="n">
        <v>474312</v>
      </c>
      <c r="BB3653" s="31" t="n">
        <f aca="false">SUM(Q3653,S3653,U3653,W3653,Y3653,AA3653,AC3653,AE3653,AG3653,AI3653,AK3653,AM3653,AO3653,AQ3653,AS3653,AU3653,AW3653,AY3653)</f>
        <v>474312</v>
      </c>
      <c r="BC3653" s="28" t="n">
        <f aca="false">BA3653-BB3653</f>
        <v>0</v>
      </c>
      <c r="BD3653" s="32" t="n">
        <f aca="false">SUM(P3653,R3653,T3653,V3653,X3653,Z3653,AB3653,AD3653,AF3653,AH3653,AJ3653,AL3653,AN3653,AP3653,AR3653,AT3653,AV3653,AX3653)</f>
        <v>5270.17</v>
      </c>
      <c r="BE3653" s="33" t="n">
        <f aca="false">AZ3653-BD3653</f>
        <v>-0.369999999999891</v>
      </c>
      <c r="BF3653" s="34" t="n">
        <f aca="false">BD3653*M3653</f>
        <v>474315.3</v>
      </c>
      <c r="BG3653" s="35" t="n">
        <f aca="false">BA3653-BF3653</f>
        <v>-3.29999999998836</v>
      </c>
      <c r="BH3653" s="19" t="str">
        <f aca="false">IF(BG3653=0,"",IF(BG3653&lt;&gt;BA3653,"erreur de calcul",IF(BD3653&lt;&gt;0,"pas de prix",IF(M3653&lt;&gt; 0,"pas de quantité","pas de prix, ni de quantité"))))</f>
        <v>erreur de calcul</v>
      </c>
      <c r="BI3653" s="19"/>
    </row>
    <row r="3654" customFormat="false" ht="15" hidden="false" customHeight="false" outlineLevel="0" collapsed="false">
      <c r="A3654" s="0" t="n">
        <v>17</v>
      </c>
      <c r="B3654" s="8" t="s">
        <v>24</v>
      </c>
      <c r="C3654" s="9" t="s">
        <v>25</v>
      </c>
      <c r="D3654" s="9" t="s">
        <v>26</v>
      </c>
      <c r="E3654" s="10" t="n">
        <v>1789</v>
      </c>
      <c r="F3654" s="9" t="s">
        <v>27</v>
      </c>
      <c r="G3654" s="9" t="s">
        <v>27</v>
      </c>
      <c r="H3654" s="11" t="n">
        <v>22</v>
      </c>
      <c r="I3654" s="11" t="s">
        <v>218</v>
      </c>
      <c r="J3654" s="14" t="n">
        <v>15</v>
      </c>
      <c r="K3654" s="14"/>
      <c r="L3654" s="16"/>
      <c r="M3654" s="27" t="n">
        <f aca="false">J3654+(K3654/20)+(L3654/240)</f>
        <v>15</v>
      </c>
      <c r="N3654" s="17" t="s">
        <v>64</v>
      </c>
      <c r="O3654" s="11"/>
      <c r="P3654" s="28" t="n">
        <f aca="false">12250/100</f>
        <v>122.5</v>
      </c>
      <c r="Q3654" s="28" t="n">
        <v>1837</v>
      </c>
      <c r="R3654" s="28"/>
      <c r="S3654" s="28" t="n">
        <f aca="false">R3654*$M3654</f>
        <v>0</v>
      </c>
      <c r="T3654" s="28"/>
      <c r="U3654" s="28" t="n">
        <f aca="false">T3654*$M3654</f>
        <v>0</v>
      </c>
      <c r="V3654" s="28" t="n">
        <f aca="false">118493/100</f>
        <v>1184.93</v>
      </c>
      <c r="W3654" s="28" t="n">
        <v>17774</v>
      </c>
      <c r="X3654" s="28" t="n">
        <f aca="false">16835/100</f>
        <v>168.35</v>
      </c>
      <c r="Y3654" s="28" t="n">
        <v>2525</v>
      </c>
      <c r="Z3654" s="28"/>
      <c r="AA3654" s="28" t="n">
        <f aca="false">Z3654*$M3654</f>
        <v>0</v>
      </c>
      <c r="AB3654" s="28" t="n">
        <f aca="false">268622/100</f>
        <v>2686.22</v>
      </c>
      <c r="AC3654" s="28" t="n">
        <v>40293</v>
      </c>
      <c r="AD3654" s="28"/>
      <c r="AE3654" s="28" t="n">
        <f aca="false">AD3654*$M3654</f>
        <v>0</v>
      </c>
      <c r="AF3654" s="28"/>
      <c r="AG3654" s="28" t="n">
        <f aca="false">AF3654*$M3654</f>
        <v>0</v>
      </c>
      <c r="AH3654" s="28" t="n">
        <f aca="false">70164/100</f>
        <v>701.64</v>
      </c>
      <c r="AI3654" s="28" t="n">
        <v>10524</v>
      </c>
      <c r="AJ3654" s="28"/>
      <c r="AK3654" s="28" t="n">
        <f aca="false">AJ3654*$M3654</f>
        <v>0</v>
      </c>
      <c r="AL3654" s="28"/>
      <c r="AM3654" s="28" t="n">
        <f aca="false">AL3654*$M3654</f>
        <v>0</v>
      </c>
      <c r="AN3654" s="28"/>
      <c r="AO3654" s="28" t="n">
        <f aca="false">AN3654*$M3654</f>
        <v>0</v>
      </c>
      <c r="AP3654" s="28"/>
      <c r="AQ3654" s="28" t="n">
        <f aca="false">AP3654*$M3654</f>
        <v>0</v>
      </c>
      <c r="AR3654" s="28"/>
      <c r="AS3654" s="28" t="n">
        <f aca="false">AR3654*$M3654</f>
        <v>0</v>
      </c>
      <c r="AT3654" s="28"/>
      <c r="AU3654" s="28" t="n">
        <f aca="false">AT3654*$M3654</f>
        <v>0</v>
      </c>
      <c r="AV3654" s="28"/>
      <c r="AW3654" s="28" t="n">
        <f aca="false">AV3654*$M3654</f>
        <v>0</v>
      </c>
      <c r="AX3654" s="28"/>
      <c r="AY3654" s="28" t="n">
        <f aca="false">AX3654*$M3654</f>
        <v>0</v>
      </c>
      <c r="AZ3654" s="30" t="n">
        <f aca="false">486364/100</f>
        <v>4863.64</v>
      </c>
      <c r="BA3654" s="11" t="n">
        <v>72953</v>
      </c>
      <c r="BB3654" s="31" t="n">
        <f aca="false">SUM(Q3654,S3654,U3654,W3654,Y3654,AA3654,AC3654,AE3654,AG3654,AI3654,AK3654,AM3654,AO3654,AQ3654,AS3654,AU3654,AW3654,AY3654)</f>
        <v>72953</v>
      </c>
      <c r="BC3654" s="28" t="n">
        <f aca="false">BA3654-BB3654</f>
        <v>0</v>
      </c>
      <c r="BD3654" s="32" t="n">
        <f aca="false">SUM(P3654,R3654,T3654,V3654,X3654,Z3654,AB3654,AD3654,AF3654,AH3654,AJ3654,AL3654,AN3654,AP3654,AR3654,AT3654,AV3654,AX3654)</f>
        <v>4863.64</v>
      </c>
      <c r="BE3654" s="33" t="n">
        <f aca="false">AZ3654-BD3654</f>
        <v>0</v>
      </c>
      <c r="BF3654" s="34" t="n">
        <f aca="false">BD3654*M3654</f>
        <v>72954.6</v>
      </c>
      <c r="BG3654" s="35" t="n">
        <f aca="false">BA3654-BF3654</f>
        <v>-1.59999999999127</v>
      </c>
      <c r="BH3654" s="19" t="str">
        <f aca="false">IF(BG3654=0,"",IF(BG3654&lt;&gt;BA3654,"erreur de calcul",IF(BD3654&lt;&gt;0,"pas de prix",IF(M3654&lt;&gt; 0,"pas de quantité","pas de prix, ni de quantité"))))</f>
        <v>erreur de calcul</v>
      </c>
      <c r="BI3654" s="19"/>
    </row>
    <row r="3655" customFormat="false" ht="15" hidden="false" customHeight="false" outlineLevel="0" collapsed="false">
      <c r="A3655" s="0" t="n">
        <v>18</v>
      </c>
      <c r="B3655" s="8" t="s">
        <v>24</v>
      </c>
      <c r="C3655" s="9" t="s">
        <v>25</v>
      </c>
      <c r="D3655" s="9" t="s">
        <v>26</v>
      </c>
      <c r="E3655" s="10" t="n">
        <v>1789</v>
      </c>
      <c r="F3655" s="9" t="s">
        <v>27</v>
      </c>
      <c r="G3655" s="9" t="s">
        <v>27</v>
      </c>
      <c r="H3655" s="11" t="n">
        <v>22</v>
      </c>
      <c r="I3655" s="11" t="s">
        <v>219</v>
      </c>
      <c r="J3655" s="14" t="n">
        <v>12</v>
      </c>
      <c r="K3655" s="14"/>
      <c r="L3655" s="16"/>
      <c r="M3655" s="27" t="n">
        <f aca="false">J3655+(K3655/20)+(L3655/240)</f>
        <v>12</v>
      </c>
      <c r="N3655" s="17" t="s">
        <v>64</v>
      </c>
      <c r="O3655" s="11"/>
      <c r="P3655" s="28"/>
      <c r="Q3655" s="28" t="n">
        <f aca="false">P3655*$M3655</f>
        <v>0</v>
      </c>
      <c r="R3655" s="28"/>
      <c r="S3655" s="28" t="n">
        <f aca="false">R3655*$M3655</f>
        <v>0</v>
      </c>
      <c r="T3655" s="28"/>
      <c r="U3655" s="28" t="n">
        <f aca="false">T3655*$M3655</f>
        <v>0</v>
      </c>
      <c r="V3655" s="28" t="n">
        <f aca="false">26072/100</f>
        <v>260.72</v>
      </c>
      <c r="W3655" s="28" t="n">
        <v>3129</v>
      </c>
      <c r="X3655" s="28" t="n">
        <f aca="false">16340/100</f>
        <v>163.4</v>
      </c>
      <c r="Y3655" s="28" t="n">
        <v>1961</v>
      </c>
      <c r="Z3655" s="28"/>
      <c r="AA3655" s="28" t="n">
        <f aca="false">Z3655*$M3655</f>
        <v>0</v>
      </c>
      <c r="AB3655" s="28" t="n">
        <f aca="false">76351/100</f>
        <v>763.51</v>
      </c>
      <c r="AC3655" s="28" t="n">
        <v>9162</v>
      </c>
      <c r="AD3655" s="28"/>
      <c r="AE3655" s="28" t="n">
        <f aca="false">AD3655*$M3655</f>
        <v>0</v>
      </c>
      <c r="AF3655" s="28"/>
      <c r="AG3655" s="28" t="n">
        <f aca="false">AF3655*$M3655</f>
        <v>0</v>
      </c>
      <c r="AH3655" s="28"/>
      <c r="AI3655" s="28" t="n">
        <f aca="false">AH3655*$M3655</f>
        <v>0</v>
      </c>
      <c r="AJ3655" s="28"/>
      <c r="AK3655" s="28" t="n">
        <f aca="false">AJ3655*$M3655</f>
        <v>0</v>
      </c>
      <c r="AL3655" s="28"/>
      <c r="AM3655" s="28" t="n">
        <f aca="false">AL3655*$M3655</f>
        <v>0</v>
      </c>
      <c r="AN3655" s="28"/>
      <c r="AO3655" s="28" t="n">
        <f aca="false">AN3655*$M3655</f>
        <v>0</v>
      </c>
      <c r="AP3655" s="28"/>
      <c r="AQ3655" s="28" t="n">
        <f aca="false">AP3655*$M3655</f>
        <v>0</v>
      </c>
      <c r="AR3655" s="28"/>
      <c r="AS3655" s="28" t="n">
        <f aca="false">AR3655*$M3655</f>
        <v>0</v>
      </c>
      <c r="AT3655" s="28"/>
      <c r="AU3655" s="28" t="n">
        <f aca="false">AT3655*$M3655</f>
        <v>0</v>
      </c>
      <c r="AV3655" s="28"/>
      <c r="AW3655" s="28" t="n">
        <f aca="false">AV3655*$M3655</f>
        <v>0</v>
      </c>
      <c r="AX3655" s="28"/>
      <c r="AY3655" s="28" t="n">
        <f aca="false">AX3655*$M3655</f>
        <v>0</v>
      </c>
      <c r="AZ3655" s="30" t="n">
        <f aca="false">118763/100</f>
        <v>1187.63</v>
      </c>
      <c r="BA3655" s="11" t="n">
        <v>14252</v>
      </c>
      <c r="BB3655" s="31" t="n">
        <f aca="false">SUM(Q3655,S3655,U3655,W3655,Y3655,AA3655,AC3655,AE3655,AG3655,AI3655,AK3655,AM3655,AO3655,AQ3655,AS3655,AU3655,AW3655,AY3655)</f>
        <v>14252</v>
      </c>
      <c r="BC3655" s="28" t="n">
        <f aca="false">BA3655-BB3655</f>
        <v>0</v>
      </c>
      <c r="BD3655" s="32" t="n">
        <f aca="false">SUM(P3655,R3655,T3655,V3655,X3655,Z3655,AB3655,AD3655,AF3655,AH3655,AJ3655,AL3655,AN3655,AP3655,AR3655,AT3655,AV3655,AX3655)</f>
        <v>1187.63</v>
      </c>
      <c r="BE3655" s="33" t="n">
        <f aca="false">AZ3655-BD3655</f>
        <v>0</v>
      </c>
      <c r="BF3655" s="34" t="n">
        <f aca="false">BD3655*M3655</f>
        <v>14251.56</v>
      </c>
      <c r="BG3655" s="35" t="n">
        <f aca="false">BA3655-BF3655</f>
        <v>0.43999999999869</v>
      </c>
      <c r="BH3655" s="19" t="str">
        <f aca="false">IF(BG3655=0,"",IF(BG3655&lt;&gt;BA3655,"erreur de calcul",IF(BD3655&lt;&gt;0,"pas de prix",IF(M3655&lt;&gt; 0,"pas de quantité","pas de prix, ni de quantité"))))</f>
        <v>erreur de calcul</v>
      </c>
      <c r="BI3655" s="19"/>
    </row>
    <row r="3656" customFormat="false" ht="15" hidden="false" customHeight="false" outlineLevel="0" collapsed="false">
      <c r="A3656" s="0" t="n">
        <v>19</v>
      </c>
      <c r="B3656" s="8" t="s">
        <v>24</v>
      </c>
      <c r="C3656" s="9" t="s">
        <v>25</v>
      </c>
      <c r="D3656" s="9" t="s">
        <v>26</v>
      </c>
      <c r="E3656" s="10" t="n">
        <v>1789</v>
      </c>
      <c r="F3656" s="9" t="s">
        <v>27</v>
      </c>
      <c r="G3656" s="9" t="s">
        <v>27</v>
      </c>
      <c r="H3656" s="11" t="n">
        <v>22</v>
      </c>
      <c r="I3656" s="11" t="s">
        <v>220</v>
      </c>
      <c r="J3656" s="14" t="n">
        <v>8</v>
      </c>
      <c r="K3656" s="14"/>
      <c r="L3656" s="16"/>
      <c r="M3656" s="27" t="n">
        <f aca="false">J3656+(K3656/20)+(L3656/240)</f>
        <v>8</v>
      </c>
      <c r="N3656" s="17" t="s">
        <v>66</v>
      </c>
      <c r="O3656" s="11"/>
      <c r="P3656" s="28" t="n">
        <v>3798</v>
      </c>
      <c r="Q3656" s="28" t="n">
        <v>30384</v>
      </c>
      <c r="R3656" s="28"/>
      <c r="S3656" s="28" t="n">
        <f aca="false">R3656*$M3656</f>
        <v>0</v>
      </c>
      <c r="T3656" s="28"/>
      <c r="U3656" s="28" t="n">
        <f aca="false">T3656*$M3656</f>
        <v>0</v>
      </c>
      <c r="V3656" s="28"/>
      <c r="W3656" s="28" t="n">
        <f aca="false">V3656*$M3656</f>
        <v>0</v>
      </c>
      <c r="X3656" s="28"/>
      <c r="Y3656" s="28" t="n">
        <f aca="false">X3656*$M3656</f>
        <v>0</v>
      </c>
      <c r="Z3656" s="28"/>
      <c r="AA3656" s="28" t="n">
        <f aca="false">Z3656*$M3656</f>
        <v>0</v>
      </c>
      <c r="AB3656" s="28"/>
      <c r="AC3656" s="28" t="n">
        <f aca="false">AB3656*$M3656</f>
        <v>0</v>
      </c>
      <c r="AD3656" s="28"/>
      <c r="AE3656" s="28" t="n">
        <f aca="false">AD3656*$M3656</f>
        <v>0</v>
      </c>
      <c r="AF3656" s="28"/>
      <c r="AG3656" s="28" t="n">
        <f aca="false">AF3656*$M3656</f>
        <v>0</v>
      </c>
      <c r="AH3656" s="28" t="n">
        <v>322</v>
      </c>
      <c r="AI3656" s="28" t="n">
        <v>2576</v>
      </c>
      <c r="AJ3656" s="28"/>
      <c r="AK3656" s="28" t="n">
        <f aca="false">AJ3656*$M3656</f>
        <v>0</v>
      </c>
      <c r="AL3656" s="28"/>
      <c r="AM3656" s="28" t="n">
        <f aca="false">AL3656*$M3656</f>
        <v>0</v>
      </c>
      <c r="AN3656" s="28"/>
      <c r="AO3656" s="28" t="n">
        <f aca="false">AN3656*$M3656</f>
        <v>0</v>
      </c>
      <c r="AP3656" s="28"/>
      <c r="AQ3656" s="28" t="n">
        <f aca="false">AP3656*$M3656</f>
        <v>0</v>
      </c>
      <c r="AR3656" s="28"/>
      <c r="AS3656" s="28" t="n">
        <f aca="false">AR3656*$M3656</f>
        <v>0</v>
      </c>
      <c r="AT3656" s="28"/>
      <c r="AU3656" s="28" t="n">
        <f aca="false">AT3656*$M3656</f>
        <v>0</v>
      </c>
      <c r="AV3656" s="28"/>
      <c r="AW3656" s="28" t="n">
        <f aca="false">AV3656*$M3656</f>
        <v>0</v>
      </c>
      <c r="AX3656" s="28"/>
      <c r="AY3656" s="28" t="n">
        <f aca="false">AX3656*$M3656</f>
        <v>0</v>
      </c>
      <c r="AZ3656" s="30" t="n">
        <v>4120</v>
      </c>
      <c r="BA3656" s="11" t="n">
        <v>32960</v>
      </c>
      <c r="BB3656" s="31" t="n">
        <f aca="false">SUM(Q3656,S3656,U3656,W3656,Y3656,AA3656,AC3656,AE3656,AG3656,AI3656,AK3656,AM3656,AO3656,AQ3656,AS3656,AU3656,AW3656,AY3656)</f>
        <v>32960</v>
      </c>
      <c r="BC3656" s="28" t="n">
        <f aca="false">BA3656-BB3656</f>
        <v>0</v>
      </c>
      <c r="BD3656" s="32" t="n">
        <f aca="false">SUM(P3656,R3656,T3656,V3656,X3656,Z3656,AB3656,AD3656,AF3656,AH3656,AJ3656,AL3656,AN3656,AP3656,AR3656,AT3656,AV3656,AX3656)</f>
        <v>4120</v>
      </c>
      <c r="BE3656" s="33" t="n">
        <f aca="false">AZ3656-BD3656</f>
        <v>0</v>
      </c>
      <c r="BF3656" s="34" t="n">
        <f aca="false">BD3656*M3656</f>
        <v>32960</v>
      </c>
      <c r="BG3656" s="35" t="n">
        <f aca="false">BA3656-BF3656</f>
        <v>0</v>
      </c>
      <c r="BH3656" s="19" t="str">
        <f aca="false">IF(BG3656=0,"",IF(BG3656&lt;&gt;BA3656,"erreur de calcul",IF(BD3656&lt;&gt;0,"pas de prix",IF(M3656&lt;&gt; 0,"pas de quantité","pas de prix, ni de quantité"))))</f>
        <v/>
      </c>
      <c r="BI3656" s="19"/>
    </row>
    <row r="3657" customFormat="false" ht="15" hidden="false" customHeight="false" outlineLevel="0" collapsed="false">
      <c r="A3657" s="0" t="n">
        <v>20</v>
      </c>
      <c r="B3657" s="8" t="s">
        <v>24</v>
      </c>
      <c r="C3657" s="9" t="s">
        <v>25</v>
      </c>
      <c r="D3657" s="9" t="s">
        <v>26</v>
      </c>
      <c r="E3657" s="10" t="n">
        <v>1789</v>
      </c>
      <c r="F3657" s="9" t="s">
        <v>27</v>
      </c>
      <c r="G3657" s="9" t="s">
        <v>27</v>
      </c>
      <c r="H3657" s="11" t="n">
        <v>22</v>
      </c>
      <c r="I3657" s="11" t="s">
        <v>221</v>
      </c>
      <c r="J3657" s="14"/>
      <c r="K3657" s="14" t="n">
        <v>20</v>
      </c>
      <c r="L3657" s="16"/>
      <c r="M3657" s="27" t="n">
        <f aca="false">J3657+(K3657/20)+(L3657/240)</f>
        <v>1</v>
      </c>
      <c r="N3657" s="17" t="s">
        <v>66</v>
      </c>
      <c r="O3657" s="11"/>
      <c r="P3657" s="28" t="n">
        <v>1353</v>
      </c>
      <c r="Q3657" s="28" t="n">
        <v>1353</v>
      </c>
      <c r="R3657" s="28"/>
      <c r="S3657" s="28" t="n">
        <f aca="false">R3657*$M3657</f>
        <v>0</v>
      </c>
      <c r="T3657" s="28"/>
      <c r="U3657" s="28" t="n">
        <f aca="false">T3657*$M3657</f>
        <v>0</v>
      </c>
      <c r="V3657" s="28"/>
      <c r="W3657" s="28" t="n">
        <f aca="false">V3657*$M3657</f>
        <v>0</v>
      </c>
      <c r="X3657" s="28"/>
      <c r="Y3657" s="28" t="n">
        <f aca="false">X3657*$M3657</f>
        <v>0</v>
      </c>
      <c r="Z3657" s="28"/>
      <c r="AA3657" s="28" t="n">
        <f aca="false">Z3657*$M3657</f>
        <v>0</v>
      </c>
      <c r="AB3657" s="28"/>
      <c r="AC3657" s="28" t="n">
        <f aca="false">AB3657*$M3657</f>
        <v>0</v>
      </c>
      <c r="AD3657" s="28"/>
      <c r="AE3657" s="28" t="n">
        <f aca="false">AD3657*$M3657</f>
        <v>0</v>
      </c>
      <c r="AF3657" s="28"/>
      <c r="AG3657" s="28" t="n">
        <f aca="false">AF3657*$M3657</f>
        <v>0</v>
      </c>
      <c r="AH3657" s="28"/>
      <c r="AI3657" s="28" t="n">
        <f aca="false">AH3657*$M3657</f>
        <v>0</v>
      </c>
      <c r="AJ3657" s="28"/>
      <c r="AK3657" s="28" t="n">
        <f aca="false">AJ3657*$M3657</f>
        <v>0</v>
      </c>
      <c r="AL3657" s="28"/>
      <c r="AM3657" s="28" t="n">
        <f aca="false">AL3657*$M3657</f>
        <v>0</v>
      </c>
      <c r="AN3657" s="28"/>
      <c r="AO3657" s="28" t="n">
        <f aca="false">AN3657*$M3657</f>
        <v>0</v>
      </c>
      <c r="AP3657" s="28"/>
      <c r="AQ3657" s="28" t="n">
        <f aca="false">AP3657*$M3657</f>
        <v>0</v>
      </c>
      <c r="AR3657" s="28"/>
      <c r="AS3657" s="28" t="n">
        <f aca="false">AR3657*$M3657</f>
        <v>0</v>
      </c>
      <c r="AT3657" s="28"/>
      <c r="AU3657" s="28" t="n">
        <f aca="false">AT3657*$M3657</f>
        <v>0</v>
      </c>
      <c r="AV3657" s="28"/>
      <c r="AW3657" s="28" t="n">
        <f aca="false">AV3657*$M3657</f>
        <v>0</v>
      </c>
      <c r="AX3657" s="28"/>
      <c r="AY3657" s="28" t="n">
        <f aca="false">AX3657*$M3657</f>
        <v>0</v>
      </c>
      <c r="AZ3657" s="30" t="n">
        <v>1353</v>
      </c>
      <c r="BA3657" s="11" t="n">
        <v>1353</v>
      </c>
      <c r="BB3657" s="31" t="n">
        <f aca="false">SUM(Q3657,S3657,U3657,W3657,Y3657,AA3657,AC3657,AE3657,AG3657,AI3657,AK3657,AM3657,AO3657,AQ3657,AS3657,AU3657,AW3657,AY3657)</f>
        <v>1353</v>
      </c>
      <c r="BC3657" s="28" t="n">
        <f aca="false">BA3657-BB3657</f>
        <v>0</v>
      </c>
      <c r="BD3657" s="32" t="n">
        <f aca="false">SUM(P3657,R3657,T3657,V3657,X3657,Z3657,AB3657,AD3657,AF3657,AH3657,AJ3657,AL3657,AN3657,AP3657,AR3657,AT3657,AV3657,AX3657)</f>
        <v>1353</v>
      </c>
      <c r="BE3657" s="33" t="n">
        <f aca="false">AZ3657-BD3657</f>
        <v>0</v>
      </c>
      <c r="BF3657" s="34" t="n">
        <f aca="false">BD3657*M3657</f>
        <v>1353</v>
      </c>
      <c r="BG3657" s="35" t="n">
        <f aca="false">BA3657-BF3657</f>
        <v>0</v>
      </c>
      <c r="BH3657" s="19" t="str">
        <f aca="false">IF(BG3657=0,"",IF(BG3657&lt;&gt;BA3657,"erreur de calcul",IF(BD3657&lt;&gt;0,"pas de prix",IF(M3657&lt;&gt; 0,"pas de quantité","pas de prix, ni de quantité"))))</f>
        <v/>
      </c>
      <c r="BI3657" s="19"/>
    </row>
    <row r="3658" customFormat="false" ht="15" hidden="false" customHeight="false" outlineLevel="0" collapsed="false">
      <c r="A3658" s="0" t="n">
        <v>21</v>
      </c>
      <c r="B3658" s="8" t="s">
        <v>24</v>
      </c>
      <c r="C3658" s="9" t="s">
        <v>25</v>
      </c>
      <c r="D3658" s="9" t="s">
        <v>26</v>
      </c>
      <c r="E3658" s="10" t="n">
        <v>1789</v>
      </c>
      <c r="F3658" s="9" t="s">
        <v>27</v>
      </c>
      <c r="G3658" s="9" t="s">
        <v>27</v>
      </c>
      <c r="H3658" s="11" t="n">
        <v>22</v>
      </c>
      <c r="I3658" s="11" t="s">
        <v>222</v>
      </c>
      <c r="J3658" s="14" t="n">
        <v>85</v>
      </c>
      <c r="K3658" s="14"/>
      <c r="L3658" s="16"/>
      <c r="M3658" s="27" t="n">
        <f aca="false">J3658+(K3658/20)+(L3658/240)</f>
        <v>85</v>
      </c>
      <c r="N3658" s="17" t="s">
        <v>64</v>
      </c>
      <c r="O3658" s="11"/>
      <c r="P3658" s="28"/>
      <c r="Q3658" s="28" t="n">
        <f aca="false">P3658*$M3658</f>
        <v>0</v>
      </c>
      <c r="R3658" s="28"/>
      <c r="S3658" s="28" t="n">
        <f aca="false">R3658*$M3658</f>
        <v>0</v>
      </c>
      <c r="T3658" s="28" t="n">
        <f aca="false">10813/100</f>
        <v>108.13</v>
      </c>
      <c r="U3658" s="28" t="n">
        <v>9191</v>
      </c>
      <c r="V3658" s="28" t="n">
        <f aca="false">43400/100</f>
        <v>434</v>
      </c>
      <c r="W3658" s="28" t="n">
        <v>36890</v>
      </c>
      <c r="X3658" s="28" t="n">
        <f aca="false">702/100</f>
        <v>7.02</v>
      </c>
      <c r="Y3658" s="28" t="n">
        <v>597</v>
      </c>
      <c r="Z3658" s="28"/>
      <c r="AA3658" s="28" t="n">
        <f aca="false">Z3658*$M3658</f>
        <v>0</v>
      </c>
      <c r="AB3658" s="28" t="n">
        <f aca="false">171/100</f>
        <v>1.71</v>
      </c>
      <c r="AC3658" s="28" t="n">
        <v>145</v>
      </c>
      <c r="AD3658" s="28"/>
      <c r="AE3658" s="28" t="n">
        <f aca="false">AD3658*$M3658</f>
        <v>0</v>
      </c>
      <c r="AF3658" s="28"/>
      <c r="AG3658" s="28" t="n">
        <f aca="false">AF3658*$M3658</f>
        <v>0</v>
      </c>
      <c r="AH3658" s="28" t="n">
        <f aca="false">17388/100</f>
        <v>173.88</v>
      </c>
      <c r="AI3658" s="28" t="n">
        <v>14780</v>
      </c>
      <c r="AJ3658" s="28"/>
      <c r="AK3658" s="28" t="n">
        <f aca="false">AJ3658*$M3658</f>
        <v>0</v>
      </c>
      <c r="AL3658" s="28"/>
      <c r="AM3658" s="28" t="n">
        <f aca="false">AL3658*$M3658</f>
        <v>0</v>
      </c>
      <c r="AN3658" s="28"/>
      <c r="AO3658" s="28" t="n">
        <f aca="false">AN3658*$M3658</f>
        <v>0</v>
      </c>
      <c r="AP3658" s="28"/>
      <c r="AQ3658" s="28" t="n">
        <f aca="false">AP3658*$M3658</f>
        <v>0</v>
      </c>
      <c r="AR3658" s="28"/>
      <c r="AS3658" s="28" t="n">
        <f aca="false">AR3658*$M3658</f>
        <v>0</v>
      </c>
      <c r="AT3658" s="28"/>
      <c r="AU3658" s="28" t="n">
        <f aca="false">AT3658*$M3658</f>
        <v>0</v>
      </c>
      <c r="AV3658" s="28"/>
      <c r="AW3658" s="28" t="n">
        <f aca="false">AV3658*$M3658</f>
        <v>0</v>
      </c>
      <c r="AX3658" s="28"/>
      <c r="AY3658" s="28" t="n">
        <f aca="false">AX3658*$M3658</f>
        <v>0</v>
      </c>
      <c r="AZ3658" s="30" t="n">
        <f aca="false">72474/100</f>
        <v>724.74</v>
      </c>
      <c r="BA3658" s="11" t="n">
        <v>61603</v>
      </c>
      <c r="BB3658" s="31" t="n">
        <f aca="false">SUM(Q3658,S3658,U3658,W3658,Y3658,AA3658,AC3658,AE3658,AG3658,AI3658,AK3658,AM3658,AO3658,AQ3658,AS3658,AU3658,AW3658,AY3658)</f>
        <v>61603</v>
      </c>
      <c r="BC3658" s="28" t="n">
        <f aca="false">BA3658-BB3658</f>
        <v>0</v>
      </c>
      <c r="BD3658" s="32" t="n">
        <f aca="false">SUM(P3658,R3658,T3658,V3658,X3658,Z3658,AB3658,AD3658,AF3658,AH3658,AJ3658,AL3658,AN3658,AP3658,AR3658,AT3658,AV3658,AX3658)</f>
        <v>724.74</v>
      </c>
      <c r="BE3658" s="33" t="n">
        <f aca="false">AZ3658-BD3658</f>
        <v>0</v>
      </c>
      <c r="BF3658" s="34" t="n">
        <f aca="false">BD3658*M3658</f>
        <v>61602.9</v>
      </c>
      <c r="BG3658" s="35" t="n">
        <f aca="false">BA3658-BF3658</f>
        <v>0.0999999999985448</v>
      </c>
      <c r="BH3658" s="19" t="str">
        <f aca="false">IF(BG3658=0,"",IF(BG3658&lt;&gt;BA3658,"erreur de calcul",IF(BD3658&lt;&gt;0,"pas de prix",IF(M3658&lt;&gt; 0,"pas de quantité","pas de prix, ni de quantité"))))</f>
        <v>erreur de calcul</v>
      </c>
      <c r="BI3658" s="19"/>
    </row>
    <row r="3659" customFormat="false" ht="15" hidden="false" customHeight="false" outlineLevel="0" collapsed="false">
      <c r="A3659" s="0" t="n">
        <v>22</v>
      </c>
      <c r="B3659" s="8" t="s">
        <v>24</v>
      </c>
      <c r="C3659" s="9" t="s">
        <v>25</v>
      </c>
      <c r="D3659" s="9" t="s">
        <v>26</v>
      </c>
      <c r="E3659" s="10" t="n">
        <v>1789</v>
      </c>
      <c r="F3659" s="9" t="s">
        <v>27</v>
      </c>
      <c r="G3659" s="9" t="s">
        <v>27</v>
      </c>
      <c r="H3659" s="11" t="n">
        <v>22</v>
      </c>
      <c r="I3659" s="11" t="s">
        <v>223</v>
      </c>
      <c r="J3659" s="14" t="n">
        <v>150</v>
      </c>
      <c r="K3659" s="14"/>
      <c r="L3659" s="16"/>
      <c r="M3659" s="27" t="n">
        <f aca="false">J3659+(K3659/20)+(L3659/240)</f>
        <v>150</v>
      </c>
      <c r="N3659" s="17" t="s">
        <v>64</v>
      </c>
      <c r="O3659" s="11"/>
      <c r="P3659" s="28"/>
      <c r="Q3659" s="28" t="n">
        <f aca="false">P3659*$M3659</f>
        <v>0</v>
      </c>
      <c r="R3659" s="28"/>
      <c r="S3659" s="28" t="n">
        <f aca="false">R3659*$M3659</f>
        <v>0</v>
      </c>
      <c r="T3659" s="28"/>
      <c r="U3659" s="28" t="n">
        <f aca="false">T3659*$M3659</f>
        <v>0</v>
      </c>
      <c r="V3659" s="28" t="n">
        <f aca="false">1415/100</f>
        <v>14.15</v>
      </c>
      <c r="W3659" s="28" t="n">
        <v>2122</v>
      </c>
      <c r="X3659" s="28"/>
      <c r="Y3659" s="28" t="n">
        <f aca="false">X3659*$M3659</f>
        <v>0</v>
      </c>
      <c r="Z3659" s="28"/>
      <c r="AA3659" s="28" t="n">
        <f aca="false">Z3659*$M3659</f>
        <v>0</v>
      </c>
      <c r="AB3659" s="28" t="n">
        <f aca="false">1806/100</f>
        <v>18.06</v>
      </c>
      <c r="AC3659" s="28" t="n">
        <v>2709</v>
      </c>
      <c r="AD3659" s="28"/>
      <c r="AE3659" s="28" t="n">
        <f aca="false">AD3659*$M3659</f>
        <v>0</v>
      </c>
      <c r="AF3659" s="28"/>
      <c r="AG3659" s="28" t="n">
        <f aca="false">AF3659*$M3659</f>
        <v>0</v>
      </c>
      <c r="AH3659" s="28"/>
      <c r="AI3659" s="28" t="n">
        <f aca="false">AH3659*$M3659</f>
        <v>0</v>
      </c>
      <c r="AJ3659" s="28"/>
      <c r="AK3659" s="28" t="n">
        <f aca="false">AJ3659*$M3659</f>
        <v>0</v>
      </c>
      <c r="AL3659" s="28"/>
      <c r="AM3659" s="28" t="n">
        <f aca="false">AL3659*$M3659</f>
        <v>0</v>
      </c>
      <c r="AN3659" s="28"/>
      <c r="AO3659" s="28" t="n">
        <f aca="false">AN3659*$M3659</f>
        <v>0</v>
      </c>
      <c r="AP3659" s="28"/>
      <c r="AQ3659" s="28" t="n">
        <f aca="false">AP3659*$M3659</f>
        <v>0</v>
      </c>
      <c r="AR3659" s="28"/>
      <c r="AS3659" s="28" t="n">
        <f aca="false">AR3659*$M3659</f>
        <v>0</v>
      </c>
      <c r="AT3659" s="28"/>
      <c r="AU3659" s="28" t="n">
        <f aca="false">AT3659*$M3659</f>
        <v>0</v>
      </c>
      <c r="AV3659" s="28"/>
      <c r="AW3659" s="28" t="n">
        <f aca="false">AV3659*$M3659</f>
        <v>0</v>
      </c>
      <c r="AX3659" s="28"/>
      <c r="AY3659" s="28" t="n">
        <f aca="false">AX3659*$M3659</f>
        <v>0</v>
      </c>
      <c r="AZ3659" s="30" t="n">
        <f aca="false">3221/100</f>
        <v>32.21</v>
      </c>
      <c r="BA3659" s="11" t="n">
        <v>4831</v>
      </c>
      <c r="BB3659" s="31" t="n">
        <f aca="false">SUM(Q3659,S3659,U3659,W3659,Y3659,AA3659,AC3659,AE3659,AG3659,AI3659,AK3659,AM3659,AO3659,AQ3659,AS3659,AU3659,AW3659,AY3659)</f>
        <v>4831</v>
      </c>
      <c r="BC3659" s="28" t="n">
        <f aca="false">BA3659-BB3659</f>
        <v>0</v>
      </c>
      <c r="BD3659" s="32" t="n">
        <f aca="false">SUM(P3659,R3659,T3659,V3659,X3659,Z3659,AB3659,AD3659,AF3659,AH3659,AJ3659,AL3659,AN3659,AP3659,AR3659,AT3659,AV3659,AX3659)</f>
        <v>32.21</v>
      </c>
      <c r="BE3659" s="33" t="n">
        <f aca="false">AZ3659-BD3659</f>
        <v>0</v>
      </c>
      <c r="BF3659" s="34" t="n">
        <f aca="false">BD3659*M3659</f>
        <v>4831.5</v>
      </c>
      <c r="BG3659" s="35" t="n">
        <f aca="false">BA3659-BF3659</f>
        <v>-0.5</v>
      </c>
      <c r="BH3659" s="19" t="str">
        <f aca="false">IF(BG3659=0,"",IF(BG3659&lt;&gt;BA3659,"erreur de calcul",IF(BD3659&lt;&gt;0,"pas de prix",IF(M3659&lt;&gt; 0,"pas de quantité","pas de prix, ni de quantité"))))</f>
        <v>erreur de calcul</v>
      </c>
      <c r="BI3659" s="19"/>
    </row>
    <row r="3660" customFormat="false" ht="15" hidden="false" customHeight="false" outlineLevel="0" collapsed="false">
      <c r="A3660" s="0" t="n">
        <v>23</v>
      </c>
      <c r="B3660" s="8" t="s">
        <v>24</v>
      </c>
      <c r="C3660" s="9" t="s">
        <v>25</v>
      </c>
      <c r="D3660" s="9" t="s">
        <v>26</v>
      </c>
      <c r="E3660" s="10" t="n">
        <v>1789</v>
      </c>
      <c r="F3660" s="9" t="s">
        <v>27</v>
      </c>
      <c r="G3660" s="9" t="s">
        <v>27</v>
      </c>
      <c r="H3660" s="11" t="n">
        <v>22</v>
      </c>
      <c r="I3660" s="11" t="s">
        <v>224</v>
      </c>
      <c r="J3660" s="14"/>
      <c r="K3660" s="14"/>
      <c r="L3660" s="16"/>
      <c r="M3660" s="27" t="n">
        <f aca="false">J3660+(K3660/20)+(L3660/240)</f>
        <v>0</v>
      </c>
      <c r="N3660" s="17" t="s">
        <v>225</v>
      </c>
      <c r="O3660" s="11"/>
      <c r="P3660" s="28" t="n">
        <f aca="false">2+121/288</f>
        <v>2.42013888888889</v>
      </c>
      <c r="Q3660" s="28" t="n">
        <v>275</v>
      </c>
      <c r="R3660" s="28"/>
      <c r="S3660" s="28" t="n">
        <f aca="false">R3660*$M3660</f>
        <v>0</v>
      </c>
      <c r="T3660" s="28"/>
      <c r="U3660" s="28" t="n">
        <f aca="false">T3660*$M3660</f>
        <v>0</v>
      </c>
      <c r="V3660" s="28"/>
      <c r="W3660" s="28" t="n">
        <f aca="false">V3660*$M3660</f>
        <v>0</v>
      </c>
      <c r="X3660" s="28"/>
      <c r="Y3660" s="28" t="n">
        <f aca="false">X3660*$M3660</f>
        <v>0</v>
      </c>
      <c r="Z3660" s="28"/>
      <c r="AA3660" s="28" t="n">
        <f aca="false">Z3660*$M3660</f>
        <v>0</v>
      </c>
      <c r="AB3660" s="28"/>
      <c r="AC3660" s="28" t="n">
        <f aca="false">AB3660*$M3660</f>
        <v>0</v>
      </c>
      <c r="AD3660" s="28"/>
      <c r="AE3660" s="28" t="n">
        <f aca="false">AD3660*$M3660</f>
        <v>0</v>
      </c>
      <c r="AF3660" s="28"/>
      <c r="AG3660" s="28" t="n">
        <f aca="false">AF3660*$M3660</f>
        <v>0</v>
      </c>
      <c r="AH3660" s="28"/>
      <c r="AI3660" s="28" t="n">
        <f aca="false">AH3660*$M3660</f>
        <v>0</v>
      </c>
      <c r="AJ3660" s="28"/>
      <c r="AK3660" s="28" t="n">
        <f aca="false">AJ3660*$M3660</f>
        <v>0</v>
      </c>
      <c r="AL3660" s="28"/>
      <c r="AM3660" s="28" t="n">
        <f aca="false">AL3660*$M3660</f>
        <v>0</v>
      </c>
      <c r="AN3660" s="28"/>
      <c r="AO3660" s="28" t="n">
        <f aca="false">AN3660*$M3660</f>
        <v>0</v>
      </c>
      <c r="AP3660" s="28"/>
      <c r="AQ3660" s="28" t="n">
        <f aca="false">AP3660*$M3660</f>
        <v>0</v>
      </c>
      <c r="AR3660" s="28"/>
      <c r="AS3660" s="28" t="n">
        <f aca="false">AR3660*$M3660</f>
        <v>0</v>
      </c>
      <c r="AT3660" s="28"/>
      <c r="AU3660" s="28" t="n">
        <f aca="false">AT3660*$M3660</f>
        <v>0</v>
      </c>
      <c r="AV3660" s="28"/>
      <c r="AW3660" s="28" t="n">
        <f aca="false">AV3660*$M3660</f>
        <v>0</v>
      </c>
      <c r="AX3660" s="28"/>
      <c r="AY3660" s="28" t="n">
        <f aca="false">AX3660*$M3660</f>
        <v>0</v>
      </c>
      <c r="AZ3660" s="30" t="n">
        <f aca="false">2+121/288</f>
        <v>2.42013888888889</v>
      </c>
      <c r="BA3660" s="11" t="n">
        <v>275</v>
      </c>
      <c r="BB3660" s="31" t="n">
        <f aca="false">SUM(Q3660,S3660,U3660,W3660,Y3660,AA3660,AC3660,AE3660,AG3660,AI3660,AK3660,AM3660,AO3660,AQ3660,AS3660,AU3660,AW3660,AY3660)</f>
        <v>275</v>
      </c>
      <c r="BC3660" s="28" t="n">
        <f aca="false">BA3660-BB3660</f>
        <v>0</v>
      </c>
      <c r="BD3660" s="32" t="n">
        <f aca="false">SUM(P3660,R3660,T3660,V3660,X3660,Z3660,AB3660,AD3660,AF3660,AH3660,AJ3660,AL3660,AN3660,AP3660,AR3660,AT3660,AV3660,AX3660)</f>
        <v>2.42013888888889</v>
      </c>
      <c r="BE3660" s="33" t="n">
        <f aca="false">AZ3660-BD3660</f>
        <v>0</v>
      </c>
      <c r="BF3660" s="34" t="n">
        <f aca="false">BD3660*M3660</f>
        <v>0</v>
      </c>
      <c r="BG3660" s="35" t="n">
        <f aca="false">BA3660-BF3660</f>
        <v>275</v>
      </c>
      <c r="BH3660" s="19" t="str">
        <f aca="false">IF(BG3660=0,"",IF(BG3660&lt;&gt;BA3660,"erreur de calcul",IF(BD3660&lt;&gt;0,"pas de prix",IF(M3660&lt;&gt; 0,"pas de quantité","pas de prix, ni de quantité"))))</f>
        <v>pas de prix</v>
      </c>
      <c r="BI3660" s="19" t="s">
        <v>226</v>
      </c>
    </row>
    <row r="3661" customFormat="false" ht="15" hidden="false" customHeight="false" outlineLevel="0" collapsed="false">
      <c r="A3661" s="0" t="n">
        <v>24</v>
      </c>
      <c r="B3661" s="8" t="s">
        <v>24</v>
      </c>
      <c r="C3661" s="9" t="s">
        <v>25</v>
      </c>
      <c r="D3661" s="9" t="s">
        <v>26</v>
      </c>
      <c r="E3661" s="10" t="n">
        <v>1789</v>
      </c>
      <c r="F3661" s="9" t="s">
        <v>27</v>
      </c>
      <c r="G3661" s="9" t="s">
        <v>27</v>
      </c>
      <c r="H3661" s="11" t="n">
        <v>22</v>
      </c>
      <c r="I3661" s="11" t="s">
        <v>227</v>
      </c>
      <c r="J3661" s="14" t="n">
        <v>8</v>
      </c>
      <c r="K3661" s="14"/>
      <c r="L3661" s="16"/>
      <c r="M3661" s="27" t="n">
        <f aca="false">J3661+(K3661/20)+(L3661/240)</f>
        <v>8</v>
      </c>
      <c r="N3661" s="17" t="s">
        <v>64</v>
      </c>
      <c r="O3661" s="11" t="s">
        <v>77</v>
      </c>
      <c r="P3661" s="28" t="n">
        <f aca="false">267216/100</f>
        <v>2672.16</v>
      </c>
      <c r="Q3661" s="28" t="n">
        <v>21377</v>
      </c>
      <c r="R3661" s="28"/>
      <c r="S3661" s="28" t="n">
        <f aca="false">R3661*$M3661</f>
        <v>0</v>
      </c>
      <c r="T3661" s="28"/>
      <c r="U3661" s="28" t="n">
        <f aca="false">T3661*$M3661</f>
        <v>0</v>
      </c>
      <c r="V3661" s="28"/>
      <c r="W3661" s="28" t="n">
        <f aca="false">V3661*$M3661</f>
        <v>0</v>
      </c>
      <c r="X3661" s="28"/>
      <c r="Y3661" s="28" t="n">
        <f aca="false">X3661*$M3661</f>
        <v>0</v>
      </c>
      <c r="Z3661" s="28"/>
      <c r="AA3661" s="28" t="n">
        <f aca="false">Z3661*$M3661</f>
        <v>0</v>
      </c>
      <c r="AB3661" s="28" t="n">
        <f aca="false">3334/100</f>
        <v>33.34</v>
      </c>
      <c r="AC3661" s="28" t="n">
        <v>267</v>
      </c>
      <c r="AD3661" s="28"/>
      <c r="AE3661" s="28" t="n">
        <f aca="false">AD3661*$M3661</f>
        <v>0</v>
      </c>
      <c r="AF3661" s="28"/>
      <c r="AG3661" s="28" t="n">
        <f aca="false">AF3661*$M3661</f>
        <v>0</v>
      </c>
      <c r="AH3661" s="28"/>
      <c r="AI3661" s="28" t="n">
        <f aca="false">AH3661*$M3661</f>
        <v>0</v>
      </c>
      <c r="AJ3661" s="28"/>
      <c r="AK3661" s="28" t="n">
        <f aca="false">AJ3661*$M3661</f>
        <v>0</v>
      </c>
      <c r="AL3661" s="28"/>
      <c r="AM3661" s="28" t="n">
        <f aca="false">AL3661*$M3661</f>
        <v>0</v>
      </c>
      <c r="AN3661" s="28"/>
      <c r="AO3661" s="28" t="n">
        <f aca="false">AN3661*$M3661</f>
        <v>0</v>
      </c>
      <c r="AP3661" s="28"/>
      <c r="AQ3661" s="28" t="n">
        <f aca="false">AP3661*$M3661</f>
        <v>0</v>
      </c>
      <c r="AR3661" s="28"/>
      <c r="AS3661" s="28" t="n">
        <f aca="false">AR3661*$M3661</f>
        <v>0</v>
      </c>
      <c r="AT3661" s="28"/>
      <c r="AU3661" s="28" t="n">
        <f aca="false">AT3661*$M3661</f>
        <v>0</v>
      </c>
      <c r="AV3661" s="28"/>
      <c r="AW3661" s="28" t="n">
        <f aca="false">AV3661*$M3661</f>
        <v>0</v>
      </c>
      <c r="AX3661" s="28"/>
      <c r="AY3661" s="28" t="n">
        <f aca="false">AX3661*$M3661</f>
        <v>0</v>
      </c>
      <c r="AZ3661" s="30" t="n">
        <f aca="false">270550/100</f>
        <v>2705.5</v>
      </c>
      <c r="BA3661" s="11" t="n">
        <v>21644</v>
      </c>
      <c r="BB3661" s="31" t="n">
        <f aca="false">SUM(Q3661,S3661,U3661,W3661,Y3661,AA3661,AC3661,AE3661,AG3661,AI3661,AK3661,AM3661,AO3661,AQ3661,AS3661,AU3661,AW3661,AY3661)</f>
        <v>21644</v>
      </c>
      <c r="BC3661" s="28" t="n">
        <f aca="false">BA3661-BB3661</f>
        <v>0</v>
      </c>
      <c r="BD3661" s="32" t="n">
        <f aca="false">SUM(P3661,R3661,T3661,V3661,X3661,Z3661,AB3661,AD3661,AF3661,AH3661,AJ3661,AL3661,AN3661,AP3661,AR3661,AT3661,AV3661,AX3661)</f>
        <v>2705.5</v>
      </c>
      <c r="BE3661" s="33" t="n">
        <f aca="false">AZ3661-BD3661</f>
        <v>0</v>
      </c>
      <c r="BF3661" s="34" t="n">
        <f aca="false">BD3661*M3661</f>
        <v>21644</v>
      </c>
      <c r="BG3661" s="35" t="n">
        <f aca="false">BA3661-BF3661</f>
        <v>0</v>
      </c>
      <c r="BH3661" s="19" t="str">
        <f aca="false">IF(BG3661=0,"",IF(BG3661&lt;&gt;BA3661,"erreur de calcul",IF(BD3661&lt;&gt;0,"pas de prix",IF(M3661&lt;&gt; 0,"pas de quantité","pas de prix, ni de quantité"))))</f>
        <v/>
      </c>
      <c r="BI3661" s="19"/>
    </row>
    <row r="3662" customFormat="false" ht="15" hidden="false" customHeight="false" outlineLevel="0" collapsed="false">
      <c r="A3662" s="0" t="n">
        <v>25</v>
      </c>
      <c r="B3662" s="8" t="s">
        <v>24</v>
      </c>
      <c r="C3662" s="9" t="s">
        <v>25</v>
      </c>
      <c r="D3662" s="9" t="s">
        <v>26</v>
      </c>
      <c r="E3662" s="10" t="n">
        <v>1789</v>
      </c>
      <c r="F3662" s="9" t="s">
        <v>27</v>
      </c>
      <c r="G3662" s="9" t="s">
        <v>27</v>
      </c>
      <c r="H3662" s="11" t="n">
        <v>22</v>
      </c>
      <c r="I3662" s="11" t="s">
        <v>228</v>
      </c>
      <c r="J3662" s="14" t="n">
        <v>11</v>
      </c>
      <c r="K3662" s="14"/>
      <c r="L3662" s="16"/>
      <c r="M3662" s="27" t="n">
        <f aca="false">J3662+(K3662/20)+(L3662/240)</f>
        <v>11</v>
      </c>
      <c r="N3662" s="17" t="s">
        <v>66</v>
      </c>
      <c r="O3662" s="11"/>
      <c r="P3662" s="28"/>
      <c r="Q3662" s="28" t="n">
        <f aca="false">P3662*$M3662</f>
        <v>0</v>
      </c>
      <c r="R3662" s="28" t="n">
        <v>2017</v>
      </c>
      <c r="S3662" s="28" t="n">
        <v>22187</v>
      </c>
      <c r="T3662" s="28"/>
      <c r="U3662" s="28" t="n">
        <f aca="false">T3662*$M3662</f>
        <v>0</v>
      </c>
      <c r="V3662" s="28"/>
      <c r="W3662" s="28" t="n">
        <f aca="false">V3662*$M3662</f>
        <v>0</v>
      </c>
      <c r="X3662" s="28" t="n">
        <v>3804</v>
      </c>
      <c r="Y3662" s="28" t="n">
        <v>41844</v>
      </c>
      <c r="Z3662" s="28"/>
      <c r="AA3662" s="28" t="n">
        <f aca="false">Z3662*$M3662</f>
        <v>0</v>
      </c>
      <c r="AB3662" s="28"/>
      <c r="AC3662" s="28" t="n">
        <f aca="false">AB3662*$M3662</f>
        <v>0</v>
      </c>
      <c r="AD3662" s="28"/>
      <c r="AE3662" s="28" t="n">
        <f aca="false">AD3662*$M3662</f>
        <v>0</v>
      </c>
      <c r="AF3662" s="28"/>
      <c r="AG3662" s="28" t="n">
        <f aca="false">AF3662*$M3662</f>
        <v>0</v>
      </c>
      <c r="AH3662" s="28" t="n">
        <v>117</v>
      </c>
      <c r="AI3662" s="28" t="n">
        <v>1287</v>
      </c>
      <c r="AJ3662" s="28" t="n">
        <v>8694</v>
      </c>
      <c r="AK3662" s="28" t="n">
        <v>95634</v>
      </c>
      <c r="AL3662" s="28"/>
      <c r="AM3662" s="28" t="n">
        <f aca="false">AL3662*$M3662</f>
        <v>0</v>
      </c>
      <c r="AN3662" s="28" t="n">
        <v>5697</v>
      </c>
      <c r="AO3662" s="28" t="n">
        <v>62667</v>
      </c>
      <c r="AP3662" s="28"/>
      <c r="AQ3662" s="28" t="n">
        <f aca="false">AP3662*$M3662</f>
        <v>0</v>
      </c>
      <c r="AR3662" s="28"/>
      <c r="AS3662" s="28" t="n">
        <f aca="false">AR3662*$M3662</f>
        <v>0</v>
      </c>
      <c r="AT3662" s="28"/>
      <c r="AU3662" s="28" t="n">
        <f aca="false">AT3662*$M3662</f>
        <v>0</v>
      </c>
      <c r="AV3662" s="28"/>
      <c r="AW3662" s="28" t="n">
        <f aca="false">AV3662*$M3662</f>
        <v>0</v>
      </c>
      <c r="AX3662" s="28"/>
      <c r="AY3662" s="28" t="n">
        <f aca="false">AX3662*$M3662</f>
        <v>0</v>
      </c>
      <c r="AZ3662" s="30" t="n">
        <v>20329</v>
      </c>
      <c r="BA3662" s="11" t="n">
        <v>223619</v>
      </c>
      <c r="BB3662" s="31" t="n">
        <f aca="false">SUM(Q3662,S3662,U3662,W3662,Y3662,AA3662,AC3662,AE3662,AG3662,AI3662,AK3662,AM3662,AO3662,AQ3662,AS3662,AU3662,AW3662,AY3662)</f>
        <v>223619</v>
      </c>
      <c r="BC3662" s="28" t="n">
        <f aca="false">BA3662-BB3662</f>
        <v>0</v>
      </c>
      <c r="BD3662" s="32" t="n">
        <f aca="false">SUM(P3662,R3662,T3662,V3662,X3662,Z3662,AB3662,AD3662,AF3662,AH3662,AJ3662,AL3662,AN3662,AP3662,AR3662,AT3662,AV3662,AX3662)</f>
        <v>20329</v>
      </c>
      <c r="BE3662" s="33" t="n">
        <f aca="false">AZ3662-BD3662</f>
        <v>0</v>
      </c>
      <c r="BF3662" s="34" t="n">
        <f aca="false">BD3662*M3662</f>
        <v>223619</v>
      </c>
      <c r="BG3662" s="35" t="n">
        <f aca="false">BA3662-BF3662</f>
        <v>0</v>
      </c>
      <c r="BH3662" s="19" t="str">
        <f aca="false">IF(BG3662=0,"",IF(BG3662&lt;&gt;BA3662,"erreur de calcul",IF(BD3662&lt;&gt;0,"pas de prix",IF(M3662&lt;&gt; 0,"pas de quantité","pas de prix, ni de quantité"))))</f>
        <v/>
      </c>
      <c r="BI3662" s="19"/>
    </row>
    <row r="3663" customFormat="false" ht="15" hidden="false" customHeight="false" outlineLevel="0" collapsed="false">
      <c r="A3663" s="0" t="n">
        <v>26</v>
      </c>
      <c r="B3663" s="8" t="s">
        <v>24</v>
      </c>
      <c r="C3663" s="9" t="s">
        <v>25</v>
      </c>
      <c r="D3663" s="9" t="s">
        <v>26</v>
      </c>
      <c r="E3663" s="10" t="n">
        <v>1789</v>
      </c>
      <c r="F3663" s="9" t="s">
        <v>27</v>
      </c>
      <c r="G3663" s="9" t="s">
        <v>27</v>
      </c>
      <c r="H3663" s="11" t="n">
        <v>22</v>
      </c>
      <c r="I3663" s="11" t="s">
        <v>229</v>
      </c>
      <c r="J3663" s="14" t="n">
        <v>5</v>
      </c>
      <c r="K3663" s="14"/>
      <c r="L3663" s="16"/>
      <c r="M3663" s="27" t="n">
        <f aca="false">J3663+(K3663/20)+(L3663/240)</f>
        <v>5</v>
      </c>
      <c r="N3663" s="17" t="s">
        <v>66</v>
      </c>
      <c r="O3663" s="11"/>
      <c r="P3663" s="28"/>
      <c r="Q3663" s="28" t="n">
        <f aca="false">P3663*$M3663</f>
        <v>0</v>
      </c>
      <c r="R3663" s="28" t="n">
        <v>4117</v>
      </c>
      <c r="S3663" s="28" t="n">
        <v>20585</v>
      </c>
      <c r="T3663" s="28"/>
      <c r="U3663" s="28" t="n">
        <f aca="false">T3663*$M3663</f>
        <v>0</v>
      </c>
      <c r="V3663" s="28"/>
      <c r="W3663" s="28" t="n">
        <f aca="false">V3663*$M3663</f>
        <v>0</v>
      </c>
      <c r="X3663" s="28"/>
      <c r="Y3663" s="28" t="n">
        <f aca="false">X3663*$M3663</f>
        <v>0</v>
      </c>
      <c r="Z3663" s="28"/>
      <c r="AA3663" s="28" t="n">
        <f aca="false">Z3663*$M3663</f>
        <v>0</v>
      </c>
      <c r="AB3663" s="28"/>
      <c r="AC3663" s="28" t="n">
        <f aca="false">AB3663*$M3663</f>
        <v>0</v>
      </c>
      <c r="AD3663" s="28"/>
      <c r="AE3663" s="28" t="n">
        <f aca="false">AD3663*$M3663</f>
        <v>0</v>
      </c>
      <c r="AF3663" s="28"/>
      <c r="AG3663" s="28" t="n">
        <f aca="false">AF3663*$M3663</f>
        <v>0</v>
      </c>
      <c r="AH3663" s="28"/>
      <c r="AI3663" s="28" t="n">
        <f aca="false">AH3663*$M3663</f>
        <v>0</v>
      </c>
      <c r="AJ3663" s="28"/>
      <c r="AK3663" s="28" t="n">
        <f aca="false">AJ3663*$M3663</f>
        <v>0</v>
      </c>
      <c r="AL3663" s="28"/>
      <c r="AM3663" s="28" t="n">
        <f aca="false">AL3663*$M3663</f>
        <v>0</v>
      </c>
      <c r="AN3663" s="28"/>
      <c r="AO3663" s="28" t="n">
        <f aca="false">AN3663*$M3663</f>
        <v>0</v>
      </c>
      <c r="AP3663" s="28"/>
      <c r="AQ3663" s="28" t="n">
        <f aca="false">AP3663*$M3663</f>
        <v>0</v>
      </c>
      <c r="AR3663" s="28"/>
      <c r="AS3663" s="28" t="n">
        <f aca="false">AR3663*$M3663</f>
        <v>0</v>
      </c>
      <c r="AT3663" s="28"/>
      <c r="AU3663" s="28" t="n">
        <f aca="false">AT3663*$M3663</f>
        <v>0</v>
      </c>
      <c r="AV3663" s="28"/>
      <c r="AW3663" s="28" t="n">
        <f aca="false">AV3663*$M3663</f>
        <v>0</v>
      </c>
      <c r="AX3663" s="28"/>
      <c r="AY3663" s="28" t="n">
        <f aca="false">AX3663*$M3663</f>
        <v>0</v>
      </c>
      <c r="AZ3663" s="30" t="n">
        <v>4117</v>
      </c>
      <c r="BA3663" s="11" t="n">
        <v>20585</v>
      </c>
      <c r="BB3663" s="31" t="n">
        <f aca="false">SUM(Q3663,S3663,U3663,W3663,Y3663,AA3663,AC3663,AE3663,AG3663,AI3663,AK3663,AM3663,AO3663,AQ3663,AS3663,AU3663,AW3663,AY3663)</f>
        <v>20585</v>
      </c>
      <c r="BC3663" s="28" t="n">
        <f aca="false">BA3663-BB3663</f>
        <v>0</v>
      </c>
      <c r="BD3663" s="32" t="n">
        <f aca="false">SUM(P3663,R3663,T3663,V3663,X3663,Z3663,AB3663,AD3663,AF3663,AH3663,AJ3663,AL3663,AN3663,AP3663,AR3663,AT3663,AV3663,AX3663)</f>
        <v>4117</v>
      </c>
      <c r="BE3663" s="33" t="n">
        <f aca="false">AZ3663-BD3663</f>
        <v>0</v>
      </c>
      <c r="BF3663" s="34" t="n">
        <f aca="false">BD3663*M3663</f>
        <v>20585</v>
      </c>
      <c r="BG3663" s="35" t="n">
        <f aca="false">BA3663-BF3663</f>
        <v>0</v>
      </c>
      <c r="BH3663" s="19" t="str">
        <f aca="false">IF(BG3663=0,"",IF(BG3663&lt;&gt;BA3663,"erreur de calcul",IF(BD3663&lt;&gt;0,"pas de prix",IF(M3663&lt;&gt; 0,"pas de quantité","pas de prix, ni de quantité"))))</f>
        <v/>
      </c>
      <c r="BI3663" s="19"/>
    </row>
    <row r="3664" customFormat="false" ht="15" hidden="false" customHeight="false" outlineLevel="0" collapsed="false">
      <c r="A3664" s="0" t="n">
        <v>27</v>
      </c>
      <c r="B3664" s="8" t="s">
        <v>24</v>
      </c>
      <c r="C3664" s="9" t="s">
        <v>25</v>
      </c>
      <c r="D3664" s="9" t="s">
        <v>26</v>
      </c>
      <c r="E3664" s="10" t="n">
        <v>1789</v>
      </c>
      <c r="F3664" s="9" t="s">
        <v>27</v>
      </c>
      <c r="G3664" s="9" t="s">
        <v>27</v>
      </c>
      <c r="H3664" s="11" t="n">
        <v>22</v>
      </c>
      <c r="I3664" s="11" t="s">
        <v>230</v>
      </c>
      <c r="J3664" s="14" t="n">
        <v>11</v>
      </c>
      <c r="K3664" s="14"/>
      <c r="L3664" s="16"/>
      <c r="M3664" s="27" t="n">
        <f aca="false">J3664+(K3664/20)+(L3664/240)</f>
        <v>11</v>
      </c>
      <c r="N3664" s="17" t="s">
        <v>66</v>
      </c>
      <c r="O3664" s="11"/>
      <c r="P3664" s="28"/>
      <c r="Q3664" s="28" t="n">
        <f aca="false">P3664*$M3664</f>
        <v>0</v>
      </c>
      <c r="R3664" s="28"/>
      <c r="S3664" s="28" t="n">
        <f aca="false">R3664*$M3664</f>
        <v>0</v>
      </c>
      <c r="T3664" s="28"/>
      <c r="U3664" s="28" t="n">
        <f aca="false">T3664*$M3664</f>
        <v>0</v>
      </c>
      <c r="V3664" s="28"/>
      <c r="W3664" s="28" t="n">
        <f aca="false">V3664*$M3664</f>
        <v>0</v>
      </c>
      <c r="X3664" s="28"/>
      <c r="Y3664" s="28" t="n">
        <f aca="false">X3664*$M3664</f>
        <v>0</v>
      </c>
      <c r="Z3664" s="28"/>
      <c r="AA3664" s="28" t="n">
        <f aca="false">Z3664*$M3664</f>
        <v>0</v>
      </c>
      <c r="AB3664" s="28"/>
      <c r="AC3664" s="28" t="n">
        <f aca="false">AB3664*$M3664</f>
        <v>0</v>
      </c>
      <c r="AD3664" s="28"/>
      <c r="AE3664" s="28" t="n">
        <f aca="false">AD3664*$M3664</f>
        <v>0</v>
      </c>
      <c r="AF3664" s="28"/>
      <c r="AG3664" s="28" t="n">
        <f aca="false">AF3664*$M3664</f>
        <v>0</v>
      </c>
      <c r="AH3664" s="28"/>
      <c r="AI3664" s="28" t="n">
        <f aca="false">AH3664*$M3664</f>
        <v>0</v>
      </c>
      <c r="AJ3664" s="28" t="n">
        <v>34854</v>
      </c>
      <c r="AK3664" s="28" t="n">
        <v>383394</v>
      </c>
      <c r="AL3664" s="28"/>
      <c r="AM3664" s="28" t="n">
        <f aca="false">AL3664*$M3664</f>
        <v>0</v>
      </c>
      <c r="AN3664" s="28"/>
      <c r="AO3664" s="28" t="n">
        <f aca="false">AN3664*$M3664</f>
        <v>0</v>
      </c>
      <c r="AP3664" s="28"/>
      <c r="AQ3664" s="28" t="n">
        <f aca="false">AP3664*$M3664</f>
        <v>0</v>
      </c>
      <c r="AR3664" s="28"/>
      <c r="AS3664" s="28" t="n">
        <f aca="false">AR3664*$M3664</f>
        <v>0</v>
      </c>
      <c r="AT3664" s="28"/>
      <c r="AU3664" s="28" t="n">
        <f aca="false">AT3664*$M3664</f>
        <v>0</v>
      </c>
      <c r="AV3664" s="28"/>
      <c r="AW3664" s="28" t="n">
        <f aca="false">AV3664*$M3664</f>
        <v>0</v>
      </c>
      <c r="AX3664" s="28"/>
      <c r="AY3664" s="28" t="n">
        <f aca="false">AX3664*$M3664</f>
        <v>0</v>
      </c>
      <c r="AZ3664" s="30" t="n">
        <v>34854</v>
      </c>
      <c r="BA3664" s="11" t="n">
        <v>383394</v>
      </c>
      <c r="BB3664" s="31" t="n">
        <f aca="false">SUM(Q3664,S3664,U3664,W3664,Y3664,AA3664,AC3664,AE3664,AG3664,AI3664,AK3664,AM3664,AO3664,AQ3664,AS3664,AU3664,AW3664,AY3664)</f>
        <v>383394</v>
      </c>
      <c r="BC3664" s="28" t="n">
        <f aca="false">BA3664-BB3664</f>
        <v>0</v>
      </c>
      <c r="BD3664" s="32" t="n">
        <f aca="false">SUM(P3664,R3664,T3664,V3664,X3664,Z3664,AB3664,AD3664,AF3664,AH3664,AJ3664,AL3664,AN3664,AP3664,AR3664,AT3664,AV3664,AX3664)</f>
        <v>34854</v>
      </c>
      <c r="BE3664" s="33" t="n">
        <f aca="false">AZ3664-BD3664</f>
        <v>0</v>
      </c>
      <c r="BF3664" s="34" t="n">
        <f aca="false">BD3664*M3664</f>
        <v>383394</v>
      </c>
      <c r="BG3664" s="35" t="n">
        <f aca="false">BA3664-BF3664</f>
        <v>0</v>
      </c>
      <c r="BH3664" s="19" t="str">
        <f aca="false">IF(BG3664=0,"",IF(BG3664&lt;&gt;BA3664,"erreur de calcul",IF(BD3664&lt;&gt;0,"pas de prix",IF(M3664&lt;&gt; 0,"pas de quantité","pas de prix, ni de quantité"))))</f>
        <v/>
      </c>
      <c r="BI3664" s="19"/>
    </row>
    <row r="3665" customFormat="false" ht="15" hidden="false" customHeight="false" outlineLevel="0" collapsed="false">
      <c r="A3665" s="0" t="n">
        <v>28</v>
      </c>
      <c r="B3665" s="8" t="s">
        <v>24</v>
      </c>
      <c r="C3665" s="9" t="s">
        <v>25</v>
      </c>
      <c r="D3665" s="9" t="s">
        <v>26</v>
      </c>
      <c r="E3665" s="10" t="n">
        <v>1789</v>
      </c>
      <c r="F3665" s="9" t="s">
        <v>27</v>
      </c>
      <c r="G3665" s="9" t="s">
        <v>27</v>
      </c>
      <c r="H3665" s="11" t="n">
        <v>22</v>
      </c>
      <c r="I3665" s="11" t="s">
        <v>231</v>
      </c>
      <c r="J3665" s="14" t="n">
        <v>18</v>
      </c>
      <c r="K3665" s="14"/>
      <c r="L3665" s="16"/>
      <c r="M3665" s="27" t="n">
        <f aca="false">J3665+(K3665/20)+(L3665/240)</f>
        <v>18</v>
      </c>
      <c r="N3665" s="17" t="s">
        <v>66</v>
      </c>
      <c r="O3665" s="11"/>
      <c r="P3665" s="28"/>
      <c r="Q3665" s="28" t="n">
        <f aca="false">P3665*$M3665</f>
        <v>0</v>
      </c>
      <c r="R3665" s="28"/>
      <c r="S3665" s="28" t="n">
        <f aca="false">R3665*$M3665</f>
        <v>0</v>
      </c>
      <c r="T3665" s="28"/>
      <c r="U3665" s="28" t="n">
        <f aca="false">T3665*$M3665</f>
        <v>0</v>
      </c>
      <c r="V3665" s="28"/>
      <c r="W3665" s="28" t="n">
        <f aca="false">V3665*$M3665</f>
        <v>0</v>
      </c>
      <c r="X3665" s="28"/>
      <c r="Y3665" s="28" t="n">
        <f aca="false">X3665*$M3665</f>
        <v>0</v>
      </c>
      <c r="Z3665" s="28"/>
      <c r="AA3665" s="28" t="n">
        <f aca="false">Z3665*$M3665</f>
        <v>0</v>
      </c>
      <c r="AB3665" s="28"/>
      <c r="AC3665" s="28" t="n">
        <f aca="false">AB3665*$M3665</f>
        <v>0</v>
      </c>
      <c r="AD3665" s="28"/>
      <c r="AE3665" s="28" t="n">
        <f aca="false">AD3665*$M3665</f>
        <v>0</v>
      </c>
      <c r="AF3665" s="28"/>
      <c r="AG3665" s="28" t="n">
        <f aca="false">AF3665*$M3665</f>
        <v>0</v>
      </c>
      <c r="AH3665" s="28"/>
      <c r="AI3665" s="28" t="n">
        <f aca="false">AH3665*$M3665</f>
        <v>0</v>
      </c>
      <c r="AJ3665" s="28" t="n">
        <v>623</v>
      </c>
      <c r="AK3665" s="28" t="n">
        <v>11214</v>
      </c>
      <c r="AL3665" s="28"/>
      <c r="AM3665" s="28" t="n">
        <f aca="false">AL3665*$M3665</f>
        <v>0</v>
      </c>
      <c r="AN3665" s="28"/>
      <c r="AO3665" s="28" t="n">
        <f aca="false">AN3665*$M3665</f>
        <v>0</v>
      </c>
      <c r="AP3665" s="28"/>
      <c r="AQ3665" s="28" t="n">
        <f aca="false">AP3665*$M3665</f>
        <v>0</v>
      </c>
      <c r="AR3665" s="28"/>
      <c r="AS3665" s="28" t="n">
        <f aca="false">AR3665*$M3665</f>
        <v>0</v>
      </c>
      <c r="AT3665" s="28"/>
      <c r="AU3665" s="28" t="n">
        <f aca="false">AT3665*$M3665</f>
        <v>0</v>
      </c>
      <c r="AV3665" s="28"/>
      <c r="AW3665" s="28" t="n">
        <f aca="false">AV3665*$M3665</f>
        <v>0</v>
      </c>
      <c r="AX3665" s="28"/>
      <c r="AY3665" s="28" t="n">
        <f aca="false">AX3665*$M3665</f>
        <v>0</v>
      </c>
      <c r="AZ3665" s="30" t="n">
        <v>623</v>
      </c>
      <c r="BA3665" s="11" t="n">
        <v>11214</v>
      </c>
      <c r="BB3665" s="31" t="n">
        <f aca="false">SUM(Q3665,S3665,U3665,W3665,Y3665,AA3665,AC3665,AE3665,AG3665,AI3665,AK3665,AM3665,AO3665,AQ3665,AS3665,AU3665,AW3665,AY3665)</f>
        <v>11214</v>
      </c>
      <c r="BC3665" s="28" t="n">
        <f aca="false">BA3665-BB3665</f>
        <v>0</v>
      </c>
      <c r="BD3665" s="32" t="n">
        <f aca="false">SUM(P3665,R3665,T3665,V3665,X3665,Z3665,AB3665,AD3665,AF3665,AH3665,AJ3665,AL3665,AN3665,AP3665,AR3665,AT3665,AV3665,AX3665)</f>
        <v>623</v>
      </c>
      <c r="BE3665" s="33" t="n">
        <f aca="false">AZ3665-BD3665</f>
        <v>0</v>
      </c>
      <c r="BF3665" s="34" t="n">
        <f aca="false">BD3665*M3665</f>
        <v>11214</v>
      </c>
      <c r="BG3665" s="35" t="n">
        <f aca="false">BA3665-BF3665</f>
        <v>0</v>
      </c>
      <c r="BH3665" s="19" t="str">
        <f aca="false">IF(BG3665=0,"",IF(BG3665&lt;&gt;BA3665,"erreur de calcul",IF(BD3665&lt;&gt;0,"pas de prix",IF(M3665&lt;&gt; 0,"pas de quantité","pas de prix, ni de quantité"))))</f>
        <v/>
      </c>
      <c r="BI3665" s="19"/>
    </row>
    <row r="3666" customFormat="false" ht="15" hidden="false" customHeight="false" outlineLevel="0" collapsed="false">
      <c r="A3666" s="0" t="n">
        <v>29</v>
      </c>
      <c r="B3666" s="8" t="s">
        <v>24</v>
      </c>
      <c r="C3666" s="9" t="s">
        <v>25</v>
      </c>
      <c r="D3666" s="9" t="s">
        <v>26</v>
      </c>
      <c r="E3666" s="10" t="n">
        <v>1789</v>
      </c>
      <c r="F3666" s="9" t="s">
        <v>27</v>
      </c>
      <c r="G3666" s="9" t="s">
        <v>27</v>
      </c>
      <c r="H3666" s="11" t="n">
        <v>22</v>
      </c>
      <c r="I3666" s="11" t="s">
        <v>232</v>
      </c>
      <c r="J3666" s="14" t="n">
        <v>66</v>
      </c>
      <c r="K3666" s="14"/>
      <c r="L3666" s="16"/>
      <c r="M3666" s="27" t="n">
        <f aca="false">J3666+(K3666/20)+(L3666/240)</f>
        <v>66</v>
      </c>
      <c r="N3666" s="17" t="s">
        <v>64</v>
      </c>
      <c r="O3666" s="11"/>
      <c r="P3666" s="28"/>
      <c r="Q3666" s="28" t="n">
        <f aca="false">P3666*$M3666</f>
        <v>0</v>
      </c>
      <c r="R3666" s="28" t="n">
        <f aca="false">4580/100</f>
        <v>45.8</v>
      </c>
      <c r="S3666" s="28" t="n">
        <v>3023</v>
      </c>
      <c r="T3666" s="28"/>
      <c r="U3666" s="28" t="n">
        <f aca="false">T3666*$M3666</f>
        <v>0</v>
      </c>
      <c r="V3666" s="28"/>
      <c r="W3666" s="28" t="n">
        <f aca="false">V3666*$M3666</f>
        <v>0</v>
      </c>
      <c r="X3666" s="28"/>
      <c r="Y3666" s="28" t="n">
        <f aca="false">X3666*$M3666</f>
        <v>0</v>
      </c>
      <c r="Z3666" s="28"/>
      <c r="AA3666" s="28" t="n">
        <f aca="false">Z3666*$M3666</f>
        <v>0</v>
      </c>
      <c r="AB3666" s="28"/>
      <c r="AC3666" s="28" t="n">
        <f aca="false">AB3666*$M3666</f>
        <v>0</v>
      </c>
      <c r="AD3666" s="28"/>
      <c r="AE3666" s="28" t="n">
        <f aca="false">AD3666*$M3666</f>
        <v>0</v>
      </c>
      <c r="AF3666" s="28"/>
      <c r="AG3666" s="28" t="n">
        <f aca="false">AF3666*$M3666</f>
        <v>0</v>
      </c>
      <c r="AH3666" s="28"/>
      <c r="AI3666" s="28" t="n">
        <f aca="false">AH3666*$M3666</f>
        <v>0</v>
      </c>
      <c r="AJ3666" s="28"/>
      <c r="AK3666" s="28" t="n">
        <f aca="false">AJ3666*$M3666</f>
        <v>0</v>
      </c>
      <c r="AL3666" s="28"/>
      <c r="AM3666" s="28" t="n">
        <f aca="false">AL3666*$M3666</f>
        <v>0</v>
      </c>
      <c r="AN3666" s="28"/>
      <c r="AO3666" s="28" t="n">
        <f aca="false">AN3666*$M3666</f>
        <v>0</v>
      </c>
      <c r="AP3666" s="28"/>
      <c r="AQ3666" s="28" t="n">
        <f aca="false">AP3666*$M3666</f>
        <v>0</v>
      </c>
      <c r="AR3666" s="28"/>
      <c r="AS3666" s="28" t="n">
        <f aca="false">AR3666*$M3666</f>
        <v>0</v>
      </c>
      <c r="AT3666" s="28"/>
      <c r="AU3666" s="28" t="n">
        <f aca="false">AT3666*$M3666</f>
        <v>0</v>
      </c>
      <c r="AV3666" s="28"/>
      <c r="AW3666" s="28" t="n">
        <f aca="false">AV3666*$M3666</f>
        <v>0</v>
      </c>
      <c r="AX3666" s="28"/>
      <c r="AY3666" s="28" t="n">
        <f aca="false">AX3666*$M3666</f>
        <v>0</v>
      </c>
      <c r="AZ3666" s="30" t="n">
        <f aca="false">4580/100</f>
        <v>45.8</v>
      </c>
      <c r="BA3666" s="11" t="n">
        <v>3023</v>
      </c>
      <c r="BB3666" s="31" t="n">
        <f aca="false">SUM(Q3666,S3666,U3666,W3666,Y3666,AA3666,AC3666,AE3666,AG3666,AI3666,AK3666,AM3666,AO3666,AQ3666,AS3666,AU3666,AW3666,AY3666)</f>
        <v>3023</v>
      </c>
      <c r="BC3666" s="28" t="n">
        <f aca="false">BA3666-BB3666</f>
        <v>0</v>
      </c>
      <c r="BD3666" s="32" t="n">
        <f aca="false">SUM(P3666,R3666,T3666,V3666,X3666,Z3666,AB3666,AD3666,AF3666,AH3666,AJ3666,AL3666,AN3666,AP3666,AR3666,AT3666,AV3666,AX3666)</f>
        <v>45.8</v>
      </c>
      <c r="BE3666" s="33" t="n">
        <f aca="false">AZ3666-BD3666</f>
        <v>0</v>
      </c>
      <c r="BF3666" s="34" t="n">
        <f aca="false">BD3666*M3666</f>
        <v>3022.8</v>
      </c>
      <c r="BG3666" s="35" t="n">
        <f aca="false">BA3666-BF3666</f>
        <v>0.200000000000273</v>
      </c>
      <c r="BH3666" s="19" t="str">
        <f aca="false">IF(BG3666=0,"",IF(BG3666&lt;&gt;BA3666,"erreur de calcul",IF(BD3666&lt;&gt;0,"pas de prix",IF(M3666&lt;&gt; 0,"pas de quantité","pas de prix, ni de quantité"))))</f>
        <v>erreur de calcul</v>
      </c>
      <c r="BI3666" s="19"/>
    </row>
    <row r="3667" customFormat="false" ht="15" hidden="false" customHeight="false" outlineLevel="0" collapsed="false">
      <c r="A3667" s="0" t="n">
        <v>30</v>
      </c>
      <c r="B3667" s="8" t="s">
        <v>24</v>
      </c>
      <c r="C3667" s="9" t="s">
        <v>25</v>
      </c>
      <c r="D3667" s="9" t="s">
        <v>26</v>
      </c>
      <c r="E3667" s="10" t="n">
        <v>1789</v>
      </c>
      <c r="F3667" s="9" t="s">
        <v>27</v>
      </c>
      <c r="G3667" s="9" t="s">
        <v>27</v>
      </c>
      <c r="H3667" s="11" t="n">
        <v>22</v>
      </c>
      <c r="I3667" s="11" t="s">
        <v>233</v>
      </c>
      <c r="J3667" s="14" t="n">
        <v>155</v>
      </c>
      <c r="K3667" s="14"/>
      <c r="L3667" s="16"/>
      <c r="M3667" s="27" t="n">
        <f aca="false">J3667+(K3667/20)+(L3667/240)</f>
        <v>155</v>
      </c>
      <c r="N3667" s="17" t="s">
        <v>64</v>
      </c>
      <c r="O3667" s="11"/>
      <c r="P3667" s="28" t="n">
        <f aca="false">27574/100</f>
        <v>275.74</v>
      </c>
      <c r="Q3667" s="28" t="n">
        <v>42740</v>
      </c>
      <c r="R3667" s="28" t="n">
        <f aca="false">7820/100</f>
        <v>78.2</v>
      </c>
      <c r="S3667" s="28" t="n">
        <v>12121</v>
      </c>
      <c r="T3667" s="28"/>
      <c r="U3667" s="28" t="n">
        <f aca="false">T3667*$M3667</f>
        <v>0</v>
      </c>
      <c r="V3667" s="28" t="n">
        <f aca="false">37316/100</f>
        <v>373.16</v>
      </c>
      <c r="W3667" s="28" t="n">
        <v>57840</v>
      </c>
      <c r="X3667" s="28" t="n">
        <f aca="false">1394/100</f>
        <v>13.94</v>
      </c>
      <c r="Y3667" s="28" t="n">
        <v>2161</v>
      </c>
      <c r="Z3667" s="28"/>
      <c r="AA3667" s="28" t="n">
        <f aca="false">Z3667*$M3667</f>
        <v>0</v>
      </c>
      <c r="AB3667" s="28"/>
      <c r="AC3667" s="28" t="n">
        <f aca="false">AB3667*$M3667</f>
        <v>0</v>
      </c>
      <c r="AD3667" s="28"/>
      <c r="AE3667" s="28" t="n">
        <f aca="false">AD3667*$M3667</f>
        <v>0</v>
      </c>
      <c r="AF3667" s="28"/>
      <c r="AG3667" s="28" t="n">
        <f aca="false">AF3667*$M3667</f>
        <v>0</v>
      </c>
      <c r="AH3667" s="28"/>
      <c r="AI3667" s="28" t="n">
        <f aca="false">AH3667*$M3667</f>
        <v>0</v>
      </c>
      <c r="AJ3667" s="28" t="n">
        <f aca="false">158255/100</f>
        <v>1582.55</v>
      </c>
      <c r="AK3667" s="28" t="n">
        <v>245295</v>
      </c>
      <c r="AL3667" s="28"/>
      <c r="AM3667" s="28" t="n">
        <f aca="false">AL3667*$M3667</f>
        <v>0</v>
      </c>
      <c r="AN3667" s="28" t="n">
        <f aca="false">417945/100</f>
        <v>4179.45</v>
      </c>
      <c r="AO3667" s="28" t="n">
        <v>647815</v>
      </c>
      <c r="AP3667" s="28"/>
      <c r="AQ3667" s="28" t="n">
        <f aca="false">AP3667*$M3667</f>
        <v>0</v>
      </c>
      <c r="AR3667" s="28"/>
      <c r="AS3667" s="28" t="n">
        <f aca="false">AR3667*$M3667</f>
        <v>0</v>
      </c>
      <c r="AT3667" s="28"/>
      <c r="AU3667" s="28" t="n">
        <f aca="false">AT3667*$M3667</f>
        <v>0</v>
      </c>
      <c r="AV3667" s="28"/>
      <c r="AW3667" s="28" t="n">
        <f aca="false">AV3667*$M3667</f>
        <v>0</v>
      </c>
      <c r="AX3667" s="28"/>
      <c r="AY3667" s="28" t="n">
        <f aca="false">AX3667*$M3667</f>
        <v>0</v>
      </c>
      <c r="AZ3667" s="30" t="n">
        <f aca="false">650304/100</f>
        <v>6503.04</v>
      </c>
      <c r="BA3667" s="11" t="n">
        <v>1007972</v>
      </c>
      <c r="BB3667" s="31" t="n">
        <f aca="false">SUM(Q3667,S3667,U3667,W3667,Y3667,AA3667,AC3667,AE3667,AG3667,AI3667,AK3667,AM3667,AO3667,AQ3667,AS3667,AU3667,AW3667,AY3667)</f>
        <v>1007972</v>
      </c>
      <c r="BC3667" s="28" t="n">
        <f aca="false">BA3667-BB3667</f>
        <v>0</v>
      </c>
      <c r="BD3667" s="32" t="n">
        <f aca="false">SUM(P3667,R3667,T3667,V3667,X3667,Z3667,AB3667,AD3667,AF3667,AH3667,AJ3667,AL3667,AN3667,AP3667,AR3667,AT3667,AV3667,AX3667)</f>
        <v>6503.04</v>
      </c>
      <c r="BE3667" s="33" t="n">
        <f aca="false">AZ3667-BD3667</f>
        <v>0</v>
      </c>
      <c r="BF3667" s="34" t="n">
        <f aca="false">BD3667*M3667</f>
        <v>1007971.2</v>
      </c>
      <c r="BG3667" s="35" t="n">
        <f aca="false">BA3667-BF3667</f>
        <v>0.800000000162981</v>
      </c>
      <c r="BH3667" s="19" t="str">
        <f aca="false">IF(BG3667=0,"",IF(BG3667&lt;&gt;BA3667,"erreur de calcul",IF(BD3667&lt;&gt;0,"pas de prix",IF(M3667&lt;&gt; 0,"pas de quantité","pas de prix, ni de quantité"))))</f>
        <v>erreur de calcul</v>
      </c>
      <c r="BI3667" s="19"/>
    </row>
    <row r="3668" customFormat="false" ht="15" hidden="false" customHeight="false" outlineLevel="0" collapsed="false">
      <c r="A3668" s="0" t="n">
        <v>31</v>
      </c>
      <c r="B3668" s="8" t="s">
        <v>24</v>
      </c>
      <c r="C3668" s="9" t="s">
        <v>25</v>
      </c>
      <c r="D3668" s="9" t="s">
        <v>26</v>
      </c>
      <c r="E3668" s="10" t="n">
        <v>1789</v>
      </c>
      <c r="F3668" s="9" t="s">
        <v>27</v>
      </c>
      <c r="G3668" s="9" t="s">
        <v>27</v>
      </c>
      <c r="H3668" s="11" t="n">
        <v>22</v>
      </c>
      <c r="I3668" s="11" t="s">
        <v>234</v>
      </c>
      <c r="J3668" s="14" t="n">
        <v>110</v>
      </c>
      <c r="K3668" s="14"/>
      <c r="L3668" s="16"/>
      <c r="M3668" s="27" t="n">
        <f aca="false">J3668+(K3668/20)+(L3668/240)</f>
        <v>110</v>
      </c>
      <c r="N3668" s="17" t="s">
        <v>64</v>
      </c>
      <c r="O3668" s="11"/>
      <c r="P3668" s="28" t="n">
        <f aca="false">73942/100</f>
        <v>739.42</v>
      </c>
      <c r="Q3668" s="28" t="n">
        <v>81336</v>
      </c>
      <c r="R3668" s="28"/>
      <c r="S3668" s="28" t="n">
        <f aca="false">R3668*$M3668</f>
        <v>0</v>
      </c>
      <c r="T3668" s="28"/>
      <c r="U3668" s="28" t="n">
        <f aca="false">T3668*$M3668</f>
        <v>0</v>
      </c>
      <c r="V3668" s="28"/>
      <c r="W3668" s="28" t="n">
        <f aca="false">V3668*$M3668</f>
        <v>0</v>
      </c>
      <c r="X3668" s="28"/>
      <c r="Y3668" s="28" t="n">
        <f aca="false">X3668*$M3668</f>
        <v>0</v>
      </c>
      <c r="Z3668" s="28"/>
      <c r="AA3668" s="28" t="n">
        <f aca="false">Z3668*$M3668</f>
        <v>0</v>
      </c>
      <c r="AB3668" s="28"/>
      <c r="AC3668" s="28" t="n">
        <f aca="false">AB3668*$M3668</f>
        <v>0</v>
      </c>
      <c r="AD3668" s="28"/>
      <c r="AE3668" s="28" t="n">
        <f aca="false">AD3668*$M3668</f>
        <v>0</v>
      </c>
      <c r="AF3668" s="28"/>
      <c r="AG3668" s="28" t="n">
        <f aca="false">AF3668*$M3668</f>
        <v>0</v>
      </c>
      <c r="AH3668" s="28"/>
      <c r="AI3668" s="28" t="n">
        <f aca="false">AH3668*$M3668</f>
        <v>0</v>
      </c>
      <c r="AJ3668" s="28"/>
      <c r="AK3668" s="28" t="n">
        <f aca="false">AJ3668*$M3668</f>
        <v>0</v>
      </c>
      <c r="AL3668" s="28"/>
      <c r="AM3668" s="28" t="n">
        <f aca="false">AL3668*$M3668</f>
        <v>0</v>
      </c>
      <c r="AN3668" s="28"/>
      <c r="AO3668" s="28" t="n">
        <f aca="false">AN3668*$M3668</f>
        <v>0</v>
      </c>
      <c r="AP3668" s="28"/>
      <c r="AQ3668" s="28" t="n">
        <f aca="false">AP3668*$M3668</f>
        <v>0</v>
      </c>
      <c r="AR3668" s="28"/>
      <c r="AS3668" s="28" t="n">
        <f aca="false">AR3668*$M3668</f>
        <v>0</v>
      </c>
      <c r="AT3668" s="28"/>
      <c r="AU3668" s="28" t="n">
        <f aca="false">AT3668*$M3668</f>
        <v>0</v>
      </c>
      <c r="AV3668" s="28"/>
      <c r="AW3668" s="28" t="n">
        <f aca="false">AV3668*$M3668</f>
        <v>0</v>
      </c>
      <c r="AX3668" s="28"/>
      <c r="AY3668" s="28" t="n">
        <f aca="false">AX3668*$M3668</f>
        <v>0</v>
      </c>
      <c r="AZ3668" s="30" t="n">
        <f aca="false">73942/100</f>
        <v>739.42</v>
      </c>
      <c r="BA3668" s="11" t="n">
        <v>81336</v>
      </c>
      <c r="BB3668" s="31" t="n">
        <f aca="false">SUM(Q3668,S3668,U3668,W3668,Y3668,AA3668,AC3668,AE3668,AG3668,AI3668,AK3668,AM3668,AO3668,AQ3668,AS3668,AU3668,AW3668,AY3668)</f>
        <v>81336</v>
      </c>
      <c r="BC3668" s="28" t="n">
        <f aca="false">BA3668-BB3668</f>
        <v>0</v>
      </c>
      <c r="BD3668" s="32" t="n">
        <f aca="false">SUM(P3668,R3668,T3668,V3668,X3668,Z3668,AB3668,AD3668,AF3668,AH3668,AJ3668,AL3668,AN3668,AP3668,AR3668,AT3668,AV3668,AX3668)</f>
        <v>739.42</v>
      </c>
      <c r="BE3668" s="33" t="n">
        <f aca="false">AZ3668-BD3668</f>
        <v>0</v>
      </c>
      <c r="BF3668" s="34" t="n">
        <f aca="false">BD3668*M3668</f>
        <v>81336.2</v>
      </c>
      <c r="BG3668" s="35" t="n">
        <f aca="false">BA3668-BF3668</f>
        <v>-0.19999999999709</v>
      </c>
      <c r="BH3668" s="19" t="str">
        <f aca="false">IF(BG3668=0,"",IF(BG3668&lt;&gt;BA3668,"erreur de calcul",IF(BD3668&lt;&gt;0,"pas de prix",IF(M3668&lt;&gt; 0,"pas de quantité","pas de prix, ni de quantité"))))</f>
        <v>erreur de calcul</v>
      </c>
      <c r="BI3668" s="19"/>
    </row>
    <row r="3669" customFormat="false" ht="15" hidden="false" customHeight="false" outlineLevel="0" collapsed="false">
      <c r="A3669" s="0" t="n">
        <v>32</v>
      </c>
      <c r="B3669" s="8" t="s">
        <v>24</v>
      </c>
      <c r="C3669" s="9" t="s">
        <v>25</v>
      </c>
      <c r="D3669" s="9" t="s">
        <v>26</v>
      </c>
      <c r="E3669" s="10" t="n">
        <v>1789</v>
      </c>
      <c r="F3669" s="9" t="s">
        <v>27</v>
      </c>
      <c r="G3669" s="9" t="s">
        <v>27</v>
      </c>
      <c r="H3669" s="11" t="n">
        <v>22</v>
      </c>
      <c r="I3669" s="11" t="s">
        <v>235</v>
      </c>
      <c r="J3669" s="14" t="n">
        <v>60</v>
      </c>
      <c r="K3669" s="14"/>
      <c r="L3669" s="16"/>
      <c r="M3669" s="27" t="n">
        <f aca="false">J3669+(K3669/20)+(L3669/240)</f>
        <v>60</v>
      </c>
      <c r="N3669" s="17" t="s">
        <v>64</v>
      </c>
      <c r="O3669" s="11"/>
      <c r="P3669" s="28"/>
      <c r="Q3669" s="28" t="n">
        <f aca="false">P3669*$M3669</f>
        <v>0</v>
      </c>
      <c r="R3669" s="28"/>
      <c r="S3669" s="28" t="n">
        <f aca="false">R3669*$M3669</f>
        <v>0</v>
      </c>
      <c r="T3669" s="28"/>
      <c r="U3669" s="28" t="n">
        <f aca="false">T3669*$M3669</f>
        <v>0</v>
      </c>
      <c r="V3669" s="28" t="n">
        <f aca="false">232/100</f>
        <v>2.32</v>
      </c>
      <c r="W3669" s="28" t="n">
        <v>139</v>
      </c>
      <c r="X3669" s="28" t="n">
        <f aca="false">5603/100</f>
        <v>56.03</v>
      </c>
      <c r="Y3669" s="28" t="n">
        <v>3362</v>
      </c>
      <c r="Z3669" s="28"/>
      <c r="AA3669" s="28" t="n">
        <f aca="false">Z3669*$M3669</f>
        <v>0</v>
      </c>
      <c r="AB3669" s="28" t="n">
        <f aca="false">1410/100</f>
        <v>14.1</v>
      </c>
      <c r="AC3669" s="28" t="n">
        <v>846</v>
      </c>
      <c r="AD3669" s="28"/>
      <c r="AE3669" s="28" t="n">
        <f aca="false">AD3669*$M3669</f>
        <v>0</v>
      </c>
      <c r="AF3669" s="28" t="n">
        <f aca="false">162899/100</f>
        <v>1628.99</v>
      </c>
      <c r="AG3669" s="28" t="n">
        <v>97739</v>
      </c>
      <c r="AH3669" s="28" t="n">
        <f aca="false">6506/100</f>
        <v>65.06</v>
      </c>
      <c r="AI3669" s="28" t="n">
        <v>3904</v>
      </c>
      <c r="AJ3669" s="28"/>
      <c r="AK3669" s="28" t="n">
        <f aca="false">AJ3669*$M3669</f>
        <v>0</v>
      </c>
      <c r="AL3669" s="28"/>
      <c r="AM3669" s="28" t="n">
        <f aca="false">AL3669*$M3669</f>
        <v>0</v>
      </c>
      <c r="AN3669" s="28"/>
      <c r="AO3669" s="28" t="n">
        <f aca="false">AN3669*$M3669</f>
        <v>0</v>
      </c>
      <c r="AP3669" s="28"/>
      <c r="AQ3669" s="28" t="n">
        <f aca="false">AP3669*$M3669</f>
        <v>0</v>
      </c>
      <c r="AR3669" s="28"/>
      <c r="AS3669" s="28" t="n">
        <f aca="false">AR3669*$M3669</f>
        <v>0</v>
      </c>
      <c r="AT3669" s="28"/>
      <c r="AU3669" s="28" t="n">
        <f aca="false">AT3669*$M3669</f>
        <v>0</v>
      </c>
      <c r="AV3669" s="28"/>
      <c r="AW3669" s="28" t="n">
        <f aca="false">AV3669*$M3669</f>
        <v>0</v>
      </c>
      <c r="AX3669" s="28"/>
      <c r="AY3669" s="28" t="n">
        <f aca="false">AX3669*$M3669</f>
        <v>0</v>
      </c>
      <c r="AZ3669" s="30" t="n">
        <f aca="false">176650/100</f>
        <v>1766.5</v>
      </c>
      <c r="BA3669" s="11" t="n">
        <v>105990</v>
      </c>
      <c r="BB3669" s="31" t="n">
        <f aca="false">SUM(Q3669,S3669,U3669,W3669,Y3669,AA3669,AC3669,AE3669,AG3669,AI3669,AK3669,AM3669,AO3669,AQ3669,AS3669,AU3669,AW3669,AY3669)</f>
        <v>105990</v>
      </c>
      <c r="BC3669" s="28" t="n">
        <f aca="false">BA3669-BB3669</f>
        <v>0</v>
      </c>
      <c r="BD3669" s="32" t="n">
        <f aca="false">SUM(P3669,R3669,T3669,V3669,X3669,Z3669,AB3669,AD3669,AF3669,AH3669,AJ3669,AL3669,AN3669,AP3669,AR3669,AT3669,AV3669,AX3669)</f>
        <v>1766.5</v>
      </c>
      <c r="BE3669" s="33" t="n">
        <f aca="false">AZ3669-BD3669</f>
        <v>0</v>
      </c>
      <c r="BF3669" s="34" t="n">
        <f aca="false">BD3669*M3669</f>
        <v>105990</v>
      </c>
      <c r="BG3669" s="35" t="n">
        <f aca="false">BA3669-BF3669</f>
        <v>0</v>
      </c>
      <c r="BH3669" s="19" t="str">
        <f aca="false">IF(BG3669=0,"",IF(BG3669&lt;&gt;BA3669,"erreur de calcul",IF(BD3669&lt;&gt;0,"pas de prix",IF(M3669&lt;&gt; 0,"pas de quantité","pas de prix, ni de quantité"))))</f>
        <v/>
      </c>
      <c r="BI3669" s="19"/>
    </row>
    <row r="3670" customFormat="false" ht="15" hidden="false" customHeight="false" outlineLevel="0" collapsed="false">
      <c r="A3670" s="0" t="n">
        <v>33</v>
      </c>
      <c r="B3670" s="8" t="s">
        <v>24</v>
      </c>
      <c r="C3670" s="9" t="s">
        <v>25</v>
      </c>
      <c r="D3670" s="9" t="s">
        <v>26</v>
      </c>
      <c r="E3670" s="10" t="n">
        <v>1789</v>
      </c>
      <c r="F3670" s="9" t="s">
        <v>27</v>
      </c>
      <c r="G3670" s="9" t="s">
        <v>27</v>
      </c>
      <c r="H3670" s="11" t="n">
        <v>22</v>
      </c>
      <c r="I3670" s="11" t="s">
        <v>236</v>
      </c>
      <c r="J3670" s="14" t="n">
        <v>710</v>
      </c>
      <c r="K3670" s="14"/>
      <c r="L3670" s="16"/>
      <c r="M3670" s="27" t="n">
        <f aca="false">J3670+(K3670/20)+(L3670/240)</f>
        <v>710</v>
      </c>
      <c r="N3670" s="17" t="s">
        <v>64</v>
      </c>
      <c r="O3670" s="11"/>
      <c r="P3670" s="28"/>
      <c r="Q3670" s="28" t="n">
        <f aca="false">P3670*$M3670</f>
        <v>0</v>
      </c>
      <c r="R3670" s="28"/>
      <c r="S3670" s="28" t="n">
        <f aca="false">R3670*$M3670</f>
        <v>0</v>
      </c>
      <c r="T3670" s="28" t="n">
        <f aca="false">108/100</f>
        <v>1.08</v>
      </c>
      <c r="U3670" s="28" t="n">
        <v>767</v>
      </c>
      <c r="V3670" s="28" t="n">
        <f aca="false">1190/100</f>
        <v>11.9</v>
      </c>
      <c r="W3670" s="28" t="n">
        <v>8449</v>
      </c>
      <c r="X3670" s="28" t="n">
        <f aca="false">487/100</f>
        <v>4.87</v>
      </c>
      <c r="Y3670" s="28" t="n">
        <v>3458</v>
      </c>
      <c r="Z3670" s="28"/>
      <c r="AA3670" s="28" t="n">
        <f aca="false">Z3670*$M3670</f>
        <v>0</v>
      </c>
      <c r="AB3670" s="28" t="n">
        <f aca="false">9170/100</f>
        <v>91.7</v>
      </c>
      <c r="AC3670" s="28" t="n">
        <v>65107</v>
      </c>
      <c r="AD3670" s="28" t="n">
        <f aca="false">531/100</f>
        <v>5.31</v>
      </c>
      <c r="AE3670" s="28" t="n">
        <v>3770</v>
      </c>
      <c r="AF3670" s="28"/>
      <c r="AG3670" s="28" t="n">
        <f aca="false">AF3670*$M3670</f>
        <v>0</v>
      </c>
      <c r="AH3670" s="28"/>
      <c r="AI3670" s="28" t="n">
        <f aca="false">AH3670*$M3670</f>
        <v>0</v>
      </c>
      <c r="AJ3670" s="28"/>
      <c r="AK3670" s="28" t="n">
        <f aca="false">AJ3670*$M3670</f>
        <v>0</v>
      </c>
      <c r="AL3670" s="28"/>
      <c r="AM3670" s="28" t="n">
        <f aca="false">AL3670*$M3670</f>
        <v>0</v>
      </c>
      <c r="AN3670" s="28"/>
      <c r="AO3670" s="28" t="n">
        <f aca="false">AN3670*$M3670</f>
        <v>0</v>
      </c>
      <c r="AP3670" s="28"/>
      <c r="AQ3670" s="28" t="n">
        <f aca="false">AP3670*$M3670</f>
        <v>0</v>
      </c>
      <c r="AR3670" s="28"/>
      <c r="AS3670" s="28" t="n">
        <f aca="false">AR3670*$M3670</f>
        <v>0</v>
      </c>
      <c r="AT3670" s="28"/>
      <c r="AU3670" s="28" t="n">
        <f aca="false">AT3670*$M3670</f>
        <v>0</v>
      </c>
      <c r="AV3670" s="28"/>
      <c r="AW3670" s="28" t="n">
        <f aca="false">AV3670*$M3670</f>
        <v>0</v>
      </c>
      <c r="AX3670" s="28"/>
      <c r="AY3670" s="28" t="n">
        <f aca="false">AX3670*$M3670</f>
        <v>0</v>
      </c>
      <c r="AZ3670" s="30" t="n">
        <f aca="false">11486/100</f>
        <v>114.86</v>
      </c>
      <c r="BA3670" s="11" t="n">
        <v>81551</v>
      </c>
      <c r="BB3670" s="31" t="n">
        <f aca="false">SUM(Q3670,S3670,U3670,W3670,Y3670,AA3670,AC3670,AE3670,AG3670,AI3670,AK3670,AM3670,AO3670,AQ3670,AS3670,AU3670,AW3670,AY3670)</f>
        <v>81551</v>
      </c>
      <c r="BC3670" s="28" t="n">
        <f aca="false">BA3670-BB3670</f>
        <v>0</v>
      </c>
      <c r="BD3670" s="32" t="n">
        <f aca="false">SUM(P3670,R3670,T3670,V3670,X3670,Z3670,AB3670,AD3670,AF3670,AH3670,AJ3670,AL3670,AN3670,AP3670,AR3670,AT3670,AV3670,AX3670)</f>
        <v>114.86</v>
      </c>
      <c r="BE3670" s="33" t="n">
        <f aca="false">AZ3670-BD3670</f>
        <v>0</v>
      </c>
      <c r="BF3670" s="34" t="n">
        <f aca="false">BD3670*M3670</f>
        <v>81550.6</v>
      </c>
      <c r="BG3670" s="35" t="n">
        <f aca="false">BA3670-BF3670</f>
        <v>0.399999999994179</v>
      </c>
      <c r="BH3670" s="19" t="str">
        <f aca="false">IF(BG3670=0,"",IF(BG3670&lt;&gt;BA3670,"erreur de calcul",IF(BD3670&lt;&gt;0,"pas de prix",IF(M3670&lt;&gt; 0,"pas de quantité","pas de prix, ni de quantité"))))</f>
        <v>erreur de calcul</v>
      </c>
      <c r="BI3670" s="19"/>
    </row>
    <row r="3671" customFormat="false" ht="15" hidden="false" customHeight="false" outlineLevel="0" collapsed="false">
      <c r="A3671" s="0" t="n">
        <v>34</v>
      </c>
      <c r="B3671" s="8" t="s">
        <v>24</v>
      </c>
      <c r="C3671" s="9" t="s">
        <v>25</v>
      </c>
      <c r="D3671" s="9" t="s">
        <v>26</v>
      </c>
      <c r="E3671" s="10" t="n">
        <v>1789</v>
      </c>
      <c r="F3671" s="9" t="s">
        <v>27</v>
      </c>
      <c r="G3671" s="9" t="s">
        <v>27</v>
      </c>
      <c r="H3671" s="11" t="n">
        <v>22</v>
      </c>
      <c r="I3671" s="11" t="s">
        <v>237</v>
      </c>
      <c r="J3671" s="14" t="n">
        <v>91</v>
      </c>
      <c r="K3671" s="14"/>
      <c r="L3671" s="16"/>
      <c r="M3671" s="27" t="n">
        <f aca="false">J3671+(K3671/20)+(L3671/240)</f>
        <v>91</v>
      </c>
      <c r="N3671" s="17" t="s">
        <v>64</v>
      </c>
      <c r="O3671" s="11"/>
      <c r="P3671" s="28"/>
      <c r="Q3671" s="28" t="n">
        <f aca="false">P3671*$M3671</f>
        <v>0</v>
      </c>
      <c r="R3671" s="28"/>
      <c r="S3671" s="28" t="n">
        <f aca="false">R3671*$M3671</f>
        <v>0</v>
      </c>
      <c r="T3671" s="28"/>
      <c r="U3671" s="28" t="n">
        <f aca="false">T3671*$M3671</f>
        <v>0</v>
      </c>
      <c r="V3671" s="28" t="n">
        <f aca="false">3384/100</f>
        <v>33.84</v>
      </c>
      <c r="W3671" s="28" t="n">
        <v>3079</v>
      </c>
      <c r="X3671" s="28" t="n">
        <f aca="false">18105/100</f>
        <v>181.05</v>
      </c>
      <c r="Y3671" s="28" t="n">
        <v>16475</v>
      </c>
      <c r="Z3671" s="28"/>
      <c r="AA3671" s="28" t="n">
        <f aca="false">Z3671*$M3671</f>
        <v>0</v>
      </c>
      <c r="AB3671" s="28"/>
      <c r="AC3671" s="28" t="n">
        <f aca="false">AB3671*$M3671</f>
        <v>0</v>
      </c>
      <c r="AD3671" s="28"/>
      <c r="AE3671" s="28" t="n">
        <f aca="false">AD3671*$M3671</f>
        <v>0</v>
      </c>
      <c r="AF3671" s="28"/>
      <c r="AG3671" s="28" t="n">
        <f aca="false">AF3671*$M3671</f>
        <v>0</v>
      </c>
      <c r="AH3671" s="28"/>
      <c r="AI3671" s="28" t="n">
        <f aca="false">AH3671*$M3671</f>
        <v>0</v>
      </c>
      <c r="AJ3671" s="28"/>
      <c r="AK3671" s="28" t="n">
        <f aca="false">AJ3671*$M3671</f>
        <v>0</v>
      </c>
      <c r="AL3671" s="28"/>
      <c r="AM3671" s="28" t="n">
        <f aca="false">AL3671*$M3671</f>
        <v>0</v>
      </c>
      <c r="AN3671" s="28"/>
      <c r="AO3671" s="28" t="n">
        <f aca="false">AN3671*$M3671</f>
        <v>0</v>
      </c>
      <c r="AP3671" s="28"/>
      <c r="AQ3671" s="28" t="n">
        <f aca="false">AP3671*$M3671</f>
        <v>0</v>
      </c>
      <c r="AR3671" s="28"/>
      <c r="AS3671" s="28" t="n">
        <f aca="false">AR3671*$M3671</f>
        <v>0</v>
      </c>
      <c r="AT3671" s="28"/>
      <c r="AU3671" s="28" t="n">
        <f aca="false">AT3671*$M3671</f>
        <v>0</v>
      </c>
      <c r="AV3671" s="28"/>
      <c r="AW3671" s="28" t="n">
        <f aca="false">AV3671*$M3671</f>
        <v>0</v>
      </c>
      <c r="AX3671" s="28"/>
      <c r="AY3671" s="28" t="n">
        <f aca="false">AX3671*$M3671</f>
        <v>0</v>
      </c>
      <c r="AZ3671" s="30" t="n">
        <f aca="false">21489/100</f>
        <v>214.89</v>
      </c>
      <c r="BA3671" s="11" t="n">
        <v>19554</v>
      </c>
      <c r="BB3671" s="31" t="n">
        <f aca="false">SUM(Q3671,S3671,U3671,W3671,Y3671,AA3671,AC3671,AE3671,AG3671,AI3671,AK3671,AM3671,AO3671,AQ3671,AS3671,AU3671,AW3671,AY3671)</f>
        <v>19554</v>
      </c>
      <c r="BC3671" s="28" t="n">
        <f aca="false">BA3671-BB3671</f>
        <v>0</v>
      </c>
      <c r="BD3671" s="32" t="n">
        <f aca="false">SUM(P3671,R3671,T3671,V3671,X3671,Z3671,AB3671,AD3671,AF3671,AH3671,AJ3671,AL3671,AN3671,AP3671,AR3671,AT3671,AV3671,AX3671)</f>
        <v>214.89</v>
      </c>
      <c r="BE3671" s="33" t="n">
        <f aca="false">AZ3671-BD3671</f>
        <v>0</v>
      </c>
      <c r="BF3671" s="34" t="n">
        <f aca="false">BD3671*M3671</f>
        <v>19554.99</v>
      </c>
      <c r="BG3671" s="35" t="n">
        <f aca="false">BA3671-BF3671</f>
        <v>-0.990000000001601</v>
      </c>
      <c r="BH3671" s="19" t="str">
        <f aca="false">IF(BG3671=0,"",IF(BG3671&lt;&gt;BA3671,"erreur de calcul",IF(BD3671&lt;&gt;0,"pas de prix",IF(M3671&lt;&gt; 0,"pas de quantité","pas de prix, ni de quantité"))))</f>
        <v>erreur de calcul</v>
      </c>
      <c r="BI3671" s="19"/>
    </row>
    <row r="3672" customFormat="false" ht="15" hidden="false" customHeight="false" outlineLevel="0" collapsed="false">
      <c r="A3672" s="0" t="n">
        <v>35</v>
      </c>
      <c r="B3672" s="8" t="s">
        <v>24</v>
      </c>
      <c r="C3672" s="9" t="s">
        <v>25</v>
      </c>
      <c r="D3672" s="9" t="s">
        <v>26</v>
      </c>
      <c r="E3672" s="10" t="n">
        <v>1789</v>
      </c>
      <c r="F3672" s="9" t="s">
        <v>27</v>
      </c>
      <c r="G3672" s="9" t="s">
        <v>27</v>
      </c>
      <c r="H3672" s="11" t="n">
        <v>22</v>
      </c>
      <c r="I3672" s="11" t="s">
        <v>238</v>
      </c>
      <c r="J3672" s="14" t="n">
        <v>40</v>
      </c>
      <c r="K3672" s="14"/>
      <c r="L3672" s="16"/>
      <c r="M3672" s="27" t="n">
        <f aca="false">J3672+(K3672/20)+(L3672/240)</f>
        <v>40</v>
      </c>
      <c r="N3672" s="17" t="s">
        <v>66</v>
      </c>
      <c r="O3672" s="11"/>
      <c r="P3672" s="28" t="n">
        <v>150</v>
      </c>
      <c r="Q3672" s="28" t="n">
        <v>6000</v>
      </c>
      <c r="R3672" s="28"/>
      <c r="S3672" s="28" t="n">
        <f aca="false">R3672*$M3672</f>
        <v>0</v>
      </c>
      <c r="T3672" s="28" t="n">
        <v>467</v>
      </c>
      <c r="U3672" s="28" t="n">
        <v>18680</v>
      </c>
      <c r="V3672" s="28" t="n">
        <v>1124</v>
      </c>
      <c r="W3672" s="28" t="n">
        <v>44960</v>
      </c>
      <c r="X3672" s="28" t="n">
        <v>591</v>
      </c>
      <c r="Y3672" s="28" t="n">
        <v>23640</v>
      </c>
      <c r="Z3672" s="28"/>
      <c r="AA3672" s="28" t="n">
        <f aca="false">Z3672*$M3672</f>
        <v>0</v>
      </c>
      <c r="AB3672" s="28" t="n">
        <v>554</v>
      </c>
      <c r="AC3672" s="28" t="n">
        <v>22160</v>
      </c>
      <c r="AD3672" s="28"/>
      <c r="AE3672" s="28" t="n">
        <f aca="false">AD3672*$M3672</f>
        <v>0</v>
      </c>
      <c r="AF3672" s="28"/>
      <c r="AG3672" s="28" t="n">
        <f aca="false">AF3672*$M3672</f>
        <v>0</v>
      </c>
      <c r="AH3672" s="28" t="n">
        <v>1109</v>
      </c>
      <c r="AI3672" s="28" t="n">
        <v>44360</v>
      </c>
      <c r="AJ3672" s="28"/>
      <c r="AK3672" s="28" t="n">
        <f aca="false">AJ3672*$M3672</f>
        <v>0</v>
      </c>
      <c r="AL3672" s="28"/>
      <c r="AM3672" s="28" t="n">
        <f aca="false">AL3672*$M3672</f>
        <v>0</v>
      </c>
      <c r="AN3672" s="28"/>
      <c r="AO3672" s="28" t="n">
        <f aca="false">AN3672*$M3672</f>
        <v>0</v>
      </c>
      <c r="AP3672" s="28"/>
      <c r="AQ3672" s="28" t="n">
        <f aca="false">AP3672*$M3672</f>
        <v>0</v>
      </c>
      <c r="AR3672" s="28"/>
      <c r="AS3672" s="28" t="n">
        <f aca="false">AR3672*$M3672</f>
        <v>0</v>
      </c>
      <c r="AT3672" s="28"/>
      <c r="AU3672" s="28" t="n">
        <f aca="false">AT3672*$M3672</f>
        <v>0</v>
      </c>
      <c r="AV3672" s="28"/>
      <c r="AW3672" s="28" t="n">
        <f aca="false">AV3672*$M3672</f>
        <v>0</v>
      </c>
      <c r="AX3672" s="28"/>
      <c r="AY3672" s="28" t="n">
        <f aca="false">AX3672*$M3672</f>
        <v>0</v>
      </c>
      <c r="AZ3672" s="30" t="n">
        <v>3995</v>
      </c>
      <c r="BA3672" s="11" t="n">
        <v>159800</v>
      </c>
      <c r="BB3672" s="31" t="n">
        <f aca="false">SUM(Q3672,S3672,U3672,W3672,Y3672,AA3672,AC3672,AE3672,AG3672,AI3672,AK3672,AM3672,AO3672,AQ3672,AS3672,AU3672,AW3672,AY3672)</f>
        <v>159800</v>
      </c>
      <c r="BC3672" s="28" t="n">
        <f aca="false">BA3672-BB3672</f>
        <v>0</v>
      </c>
      <c r="BD3672" s="32" t="n">
        <f aca="false">SUM(P3672,R3672,T3672,V3672,X3672,Z3672,AB3672,AD3672,AF3672,AH3672,AJ3672,AL3672,AN3672,AP3672,AR3672,AT3672,AV3672,AX3672)</f>
        <v>3995</v>
      </c>
      <c r="BE3672" s="33" t="n">
        <f aca="false">AZ3672-BD3672</f>
        <v>0</v>
      </c>
      <c r="BF3672" s="34" t="n">
        <f aca="false">BD3672*M3672</f>
        <v>159800</v>
      </c>
      <c r="BG3672" s="35" t="n">
        <f aca="false">BA3672-BF3672</f>
        <v>0</v>
      </c>
      <c r="BH3672" s="19" t="str">
        <f aca="false">IF(BG3672=0,"",IF(BG3672&lt;&gt;BA3672,"erreur de calcul",IF(BD3672&lt;&gt;0,"pas de prix",IF(M3672&lt;&gt; 0,"pas de quantité","pas de prix, ni de quantité"))))</f>
        <v/>
      </c>
      <c r="BI3672" s="19"/>
    </row>
    <row r="3673" customFormat="false" ht="15" hidden="false" customHeight="false" outlineLevel="0" collapsed="false">
      <c r="A3673" s="0" t="n">
        <v>36</v>
      </c>
      <c r="B3673" s="8" t="s">
        <v>24</v>
      </c>
      <c r="C3673" s="9" t="s">
        <v>25</v>
      </c>
      <c r="D3673" s="9" t="s">
        <v>26</v>
      </c>
      <c r="E3673" s="10" t="n">
        <v>1789</v>
      </c>
      <c r="F3673" s="9" t="s">
        <v>27</v>
      </c>
      <c r="G3673" s="9" t="s">
        <v>27</v>
      </c>
      <c r="H3673" s="11" t="n">
        <v>22</v>
      </c>
      <c r="I3673" s="11" t="s">
        <v>239</v>
      </c>
      <c r="J3673" s="14" t="n">
        <v>48</v>
      </c>
      <c r="K3673" s="14"/>
      <c r="L3673" s="16"/>
      <c r="M3673" s="27" t="n">
        <f aca="false">J3673+(K3673/20)+(L3673/240)</f>
        <v>48</v>
      </c>
      <c r="N3673" s="17" t="s">
        <v>66</v>
      </c>
      <c r="O3673" s="11"/>
      <c r="P3673" s="28"/>
      <c r="Q3673" s="28" t="n">
        <f aca="false">P3673*$M3673</f>
        <v>0</v>
      </c>
      <c r="R3673" s="28"/>
      <c r="S3673" s="28" t="n">
        <f aca="false">R3673*$M3673</f>
        <v>0</v>
      </c>
      <c r="T3673" s="28" t="n">
        <v>690</v>
      </c>
      <c r="U3673" s="28" t="n">
        <v>33120</v>
      </c>
      <c r="V3673" s="28" t="n">
        <v>3577</v>
      </c>
      <c r="W3673" s="28" t="n">
        <v>171696</v>
      </c>
      <c r="X3673" s="28"/>
      <c r="Y3673" s="28" t="n">
        <f aca="false">X3673*$M3673</f>
        <v>0</v>
      </c>
      <c r="Z3673" s="28"/>
      <c r="AA3673" s="28" t="n">
        <f aca="false">Z3673*$M3673</f>
        <v>0</v>
      </c>
      <c r="AB3673" s="28"/>
      <c r="AC3673" s="28" t="n">
        <f aca="false">AB3673*$M3673</f>
        <v>0</v>
      </c>
      <c r="AD3673" s="28"/>
      <c r="AE3673" s="28" t="n">
        <f aca="false">AD3673*$M3673</f>
        <v>0</v>
      </c>
      <c r="AF3673" s="28"/>
      <c r="AG3673" s="28" t="n">
        <f aca="false">AF3673*$M3673</f>
        <v>0</v>
      </c>
      <c r="AH3673" s="28"/>
      <c r="AI3673" s="28" t="n">
        <f aca="false">AH3673*$M3673</f>
        <v>0</v>
      </c>
      <c r="AJ3673" s="28"/>
      <c r="AK3673" s="28" t="n">
        <f aca="false">AJ3673*$M3673</f>
        <v>0</v>
      </c>
      <c r="AL3673" s="28"/>
      <c r="AM3673" s="28" t="n">
        <f aca="false">AL3673*$M3673</f>
        <v>0</v>
      </c>
      <c r="AN3673" s="28"/>
      <c r="AO3673" s="28" t="n">
        <f aca="false">AN3673*$M3673</f>
        <v>0</v>
      </c>
      <c r="AP3673" s="28"/>
      <c r="AQ3673" s="28" t="n">
        <f aca="false">AP3673*$M3673</f>
        <v>0</v>
      </c>
      <c r="AR3673" s="28"/>
      <c r="AS3673" s="28" t="n">
        <f aca="false">AR3673*$M3673</f>
        <v>0</v>
      </c>
      <c r="AT3673" s="28"/>
      <c r="AU3673" s="28" t="n">
        <f aca="false">AT3673*$M3673</f>
        <v>0</v>
      </c>
      <c r="AV3673" s="28"/>
      <c r="AW3673" s="28" t="n">
        <f aca="false">AV3673*$M3673</f>
        <v>0</v>
      </c>
      <c r="AX3673" s="28"/>
      <c r="AY3673" s="28" t="n">
        <f aca="false">AX3673*$M3673</f>
        <v>0</v>
      </c>
      <c r="AZ3673" s="30" t="n">
        <v>4267</v>
      </c>
      <c r="BA3673" s="11" t="n">
        <v>204816</v>
      </c>
      <c r="BB3673" s="31" t="n">
        <f aca="false">SUM(Q3673,S3673,U3673,W3673,Y3673,AA3673,AC3673,AE3673,AG3673,AI3673,AK3673,AM3673,AO3673,AQ3673,AS3673,AU3673,AW3673,AY3673)</f>
        <v>204816</v>
      </c>
      <c r="BC3673" s="28" t="n">
        <f aca="false">BA3673-BB3673</f>
        <v>0</v>
      </c>
      <c r="BD3673" s="32" t="n">
        <f aca="false">SUM(P3673,R3673,T3673,V3673,X3673,Z3673,AB3673,AD3673,AF3673,AH3673,AJ3673,AL3673,AN3673,AP3673,AR3673,AT3673,AV3673,AX3673)</f>
        <v>4267</v>
      </c>
      <c r="BE3673" s="33" t="n">
        <f aca="false">AZ3673-BD3673</f>
        <v>0</v>
      </c>
      <c r="BF3673" s="34" t="n">
        <f aca="false">BD3673*M3673</f>
        <v>204816</v>
      </c>
      <c r="BG3673" s="35" t="n">
        <f aca="false">BA3673-BF3673</f>
        <v>0</v>
      </c>
      <c r="BH3673" s="19" t="str">
        <f aca="false">IF(BG3673=0,"",IF(BG3673&lt;&gt;BA3673,"erreur de calcul",IF(BD3673&lt;&gt;0,"pas de prix",IF(M3673&lt;&gt; 0,"pas de quantité","pas de prix, ni de quantité"))))</f>
        <v/>
      </c>
      <c r="BI3673" s="19"/>
    </row>
    <row r="3674" customFormat="false" ht="15" hidden="false" customHeight="false" outlineLevel="0" collapsed="false">
      <c r="A3674" s="0" t="n">
        <v>37</v>
      </c>
      <c r="B3674" s="8" t="s">
        <v>24</v>
      </c>
      <c r="C3674" s="9" t="s">
        <v>25</v>
      </c>
      <c r="D3674" s="9" t="s">
        <v>26</v>
      </c>
      <c r="E3674" s="10" t="n">
        <v>1789</v>
      </c>
      <c r="F3674" s="9" t="s">
        <v>27</v>
      </c>
      <c r="G3674" s="9" t="s">
        <v>27</v>
      </c>
      <c r="H3674" s="11" t="n">
        <v>22</v>
      </c>
      <c r="I3674" s="11" t="s">
        <v>240</v>
      </c>
      <c r="J3674" s="14" t="n">
        <v>30</v>
      </c>
      <c r="K3674" s="14"/>
      <c r="L3674" s="16"/>
      <c r="M3674" s="27" t="n">
        <f aca="false">J3674+(K3674/20)+(L3674/240)</f>
        <v>30</v>
      </c>
      <c r="N3674" s="17" t="s">
        <v>66</v>
      </c>
      <c r="O3674" s="11"/>
      <c r="P3674" s="28"/>
      <c r="Q3674" s="28" t="n">
        <f aca="false">P3674*$M3674</f>
        <v>0</v>
      </c>
      <c r="R3674" s="28"/>
      <c r="S3674" s="28" t="n">
        <f aca="false">R3674*$M3674</f>
        <v>0</v>
      </c>
      <c r="T3674" s="28"/>
      <c r="U3674" s="28" t="n">
        <f aca="false">T3674*$M3674</f>
        <v>0</v>
      </c>
      <c r="V3674" s="28"/>
      <c r="W3674" s="28" t="n">
        <f aca="false">V3674*$M3674</f>
        <v>0</v>
      </c>
      <c r="X3674" s="28"/>
      <c r="Y3674" s="28" t="n">
        <f aca="false">X3674*$M3674</f>
        <v>0</v>
      </c>
      <c r="Z3674" s="28"/>
      <c r="AA3674" s="28" t="n">
        <f aca="false">Z3674*$M3674</f>
        <v>0</v>
      </c>
      <c r="AB3674" s="28"/>
      <c r="AC3674" s="28" t="n">
        <f aca="false">AB3674*$M3674</f>
        <v>0</v>
      </c>
      <c r="AD3674" s="28"/>
      <c r="AE3674" s="28" t="n">
        <f aca="false">AD3674*$M3674</f>
        <v>0</v>
      </c>
      <c r="AF3674" s="28"/>
      <c r="AG3674" s="28" t="n">
        <f aca="false">AF3674*$M3674</f>
        <v>0</v>
      </c>
      <c r="AH3674" s="28" t="n">
        <v>4770</v>
      </c>
      <c r="AI3674" s="28" t="n">
        <v>143100</v>
      </c>
      <c r="AJ3674" s="28"/>
      <c r="AK3674" s="28" t="n">
        <f aca="false">AJ3674*$M3674</f>
        <v>0</v>
      </c>
      <c r="AL3674" s="28"/>
      <c r="AM3674" s="28" t="n">
        <f aca="false">AL3674*$M3674</f>
        <v>0</v>
      </c>
      <c r="AN3674" s="28"/>
      <c r="AO3674" s="28" t="n">
        <f aca="false">AN3674*$M3674</f>
        <v>0</v>
      </c>
      <c r="AP3674" s="28"/>
      <c r="AQ3674" s="28" t="n">
        <f aca="false">AP3674*$M3674</f>
        <v>0</v>
      </c>
      <c r="AR3674" s="28"/>
      <c r="AS3674" s="28" t="n">
        <f aca="false">AR3674*$M3674</f>
        <v>0</v>
      </c>
      <c r="AT3674" s="28"/>
      <c r="AU3674" s="28" t="n">
        <f aca="false">AT3674*$M3674</f>
        <v>0</v>
      </c>
      <c r="AV3674" s="28"/>
      <c r="AW3674" s="28" t="n">
        <f aca="false">AV3674*$M3674</f>
        <v>0</v>
      </c>
      <c r="AX3674" s="28"/>
      <c r="AY3674" s="28" t="n">
        <f aca="false">AX3674*$M3674</f>
        <v>0</v>
      </c>
      <c r="AZ3674" s="30" t="n">
        <v>4770</v>
      </c>
      <c r="BA3674" s="11" t="n">
        <v>143100</v>
      </c>
      <c r="BB3674" s="31" t="n">
        <f aca="false">SUM(Q3674,S3674,U3674,W3674,Y3674,AA3674,AC3674,AE3674,AG3674,AI3674,AK3674,AM3674,AO3674,AQ3674,AS3674,AU3674,AW3674,AY3674)</f>
        <v>143100</v>
      </c>
      <c r="BC3674" s="28" t="n">
        <f aca="false">BA3674-BB3674</f>
        <v>0</v>
      </c>
      <c r="BD3674" s="32" t="n">
        <f aca="false">SUM(P3674,R3674,T3674,V3674,X3674,Z3674,AB3674,AD3674,AF3674,AH3674,AJ3674,AL3674,AN3674,AP3674,AR3674,AT3674,AV3674,AX3674)</f>
        <v>4770</v>
      </c>
      <c r="BE3674" s="33" t="n">
        <f aca="false">AZ3674-BD3674</f>
        <v>0</v>
      </c>
      <c r="BF3674" s="34" t="n">
        <f aca="false">BD3674*M3674</f>
        <v>143100</v>
      </c>
      <c r="BG3674" s="35" t="n">
        <f aca="false">BA3674-BF3674</f>
        <v>0</v>
      </c>
      <c r="BH3674" s="19" t="str">
        <f aca="false">IF(BG3674=0,"",IF(BG3674&lt;&gt;BA3674,"erreur de calcul",IF(BD3674&lt;&gt;0,"pas de prix",IF(M3674&lt;&gt; 0,"pas de quantité","pas de prix, ni de quantité"))))</f>
        <v/>
      </c>
      <c r="BI3674" s="19"/>
    </row>
    <row r="3675" customFormat="false" ht="15" hidden="false" customHeight="false" outlineLevel="0" collapsed="false">
      <c r="A3675" s="0" t="n">
        <v>38</v>
      </c>
      <c r="B3675" s="8" t="s">
        <v>24</v>
      </c>
      <c r="C3675" s="9" t="s">
        <v>25</v>
      </c>
      <c r="D3675" s="9" t="s">
        <v>26</v>
      </c>
      <c r="E3675" s="10" t="n">
        <v>1789</v>
      </c>
      <c r="F3675" s="9" t="s">
        <v>27</v>
      </c>
      <c r="G3675" s="9" t="s">
        <v>27</v>
      </c>
      <c r="H3675" s="11" t="n">
        <v>22</v>
      </c>
      <c r="I3675" s="11" t="s">
        <v>241</v>
      </c>
      <c r="J3675" s="14" t="n">
        <v>24</v>
      </c>
      <c r="K3675" s="14"/>
      <c r="L3675" s="16"/>
      <c r="M3675" s="27" t="n">
        <f aca="false">J3675+(K3675/20)+(L3675/240)</f>
        <v>24</v>
      </c>
      <c r="N3675" s="17" t="s">
        <v>64</v>
      </c>
      <c r="O3675" s="11"/>
      <c r="P3675" s="28" t="n">
        <f aca="false">188958/100</f>
        <v>1889.58</v>
      </c>
      <c r="Q3675" s="28" t="n">
        <v>45350</v>
      </c>
      <c r="R3675" s="28"/>
      <c r="S3675" s="28" t="n">
        <f aca="false">R3675*$M3675</f>
        <v>0</v>
      </c>
      <c r="T3675" s="28"/>
      <c r="U3675" s="28" t="n">
        <f aca="false">T3675*$M3675</f>
        <v>0</v>
      </c>
      <c r="V3675" s="28" t="n">
        <f aca="false">10567/100</f>
        <v>105.67</v>
      </c>
      <c r="W3675" s="28" t="n">
        <v>2536</v>
      </c>
      <c r="X3675" s="28" t="n">
        <f aca="false">9467/100</f>
        <v>94.67</v>
      </c>
      <c r="Y3675" s="28" t="n">
        <v>2272</v>
      </c>
      <c r="Z3675" s="28"/>
      <c r="AA3675" s="28" t="n">
        <f aca="false">Z3675*$M3675</f>
        <v>0</v>
      </c>
      <c r="AB3675" s="28"/>
      <c r="AC3675" s="28" t="n">
        <f aca="false">AB3675*$M3675</f>
        <v>0</v>
      </c>
      <c r="AD3675" s="28"/>
      <c r="AE3675" s="28" t="n">
        <f aca="false">AD3675*$M3675</f>
        <v>0</v>
      </c>
      <c r="AF3675" s="28"/>
      <c r="AG3675" s="28" t="n">
        <f aca="false">AF3675*$M3675</f>
        <v>0</v>
      </c>
      <c r="AH3675" s="28"/>
      <c r="AI3675" s="28" t="n">
        <f aca="false">AH3675*$M3675</f>
        <v>0</v>
      </c>
      <c r="AJ3675" s="28"/>
      <c r="AK3675" s="28" t="n">
        <f aca="false">AJ3675*$M3675</f>
        <v>0</v>
      </c>
      <c r="AL3675" s="28"/>
      <c r="AM3675" s="28" t="n">
        <f aca="false">AL3675*$M3675</f>
        <v>0</v>
      </c>
      <c r="AN3675" s="28"/>
      <c r="AO3675" s="28" t="n">
        <f aca="false">AN3675*$M3675</f>
        <v>0</v>
      </c>
      <c r="AP3675" s="28"/>
      <c r="AQ3675" s="28" t="n">
        <f aca="false">AP3675*$M3675</f>
        <v>0</v>
      </c>
      <c r="AR3675" s="28"/>
      <c r="AS3675" s="28" t="n">
        <f aca="false">AR3675*$M3675</f>
        <v>0</v>
      </c>
      <c r="AT3675" s="28"/>
      <c r="AU3675" s="28" t="n">
        <f aca="false">AT3675*$M3675</f>
        <v>0</v>
      </c>
      <c r="AV3675" s="28"/>
      <c r="AW3675" s="28" t="n">
        <f aca="false">AV3675*$M3675</f>
        <v>0</v>
      </c>
      <c r="AX3675" s="28" t="n">
        <f aca="false">328659/100</f>
        <v>3286.59</v>
      </c>
      <c r="AY3675" s="28" t="n">
        <v>78878</v>
      </c>
      <c r="AZ3675" s="30" t="n">
        <f aca="false">537651/100</f>
        <v>5376.51</v>
      </c>
      <c r="BA3675" s="11" t="n">
        <v>129036</v>
      </c>
      <c r="BB3675" s="31" t="n">
        <f aca="false">SUM(Q3675,S3675,U3675,W3675,Y3675,AA3675,AC3675,AE3675,AG3675,AI3675,AK3675,AM3675,AO3675,AQ3675,AS3675,AU3675,AW3675,AY3675)</f>
        <v>129036</v>
      </c>
      <c r="BC3675" s="28" t="n">
        <f aca="false">BA3675-BB3675</f>
        <v>0</v>
      </c>
      <c r="BD3675" s="32" t="n">
        <f aca="false">SUM(P3675,R3675,T3675,V3675,X3675,Z3675,AB3675,AD3675,AF3675,AH3675,AJ3675,AL3675,AN3675,AP3675,AR3675,AT3675,AV3675,AX3675)</f>
        <v>5376.51</v>
      </c>
      <c r="BE3675" s="33" t="n">
        <f aca="false">AZ3675-BD3675</f>
        <v>0</v>
      </c>
      <c r="BF3675" s="34" t="n">
        <f aca="false">BD3675*M3675</f>
        <v>129036.24</v>
      </c>
      <c r="BG3675" s="35" t="n">
        <f aca="false">BA3675-BF3675</f>
        <v>-0.240000000005239</v>
      </c>
      <c r="BH3675" s="19" t="str">
        <f aca="false">IF(BG3675=0,"",IF(BG3675&lt;&gt;BA3675,"erreur de calcul",IF(BD3675&lt;&gt;0,"pas de prix",IF(M3675&lt;&gt; 0,"pas de quantité","pas de prix, ni de quantité"))))</f>
        <v>erreur de calcul</v>
      </c>
      <c r="BI3675" s="19"/>
    </row>
    <row r="3676" customFormat="false" ht="15" hidden="false" customHeight="false" outlineLevel="0" collapsed="false">
      <c r="A3676" s="0" t="n">
        <v>39</v>
      </c>
      <c r="B3676" s="8" t="s">
        <v>24</v>
      </c>
      <c r="C3676" s="9" t="s">
        <v>25</v>
      </c>
      <c r="D3676" s="9" t="s">
        <v>26</v>
      </c>
      <c r="E3676" s="10" t="n">
        <v>1789</v>
      </c>
      <c r="F3676" s="9" t="s">
        <v>27</v>
      </c>
      <c r="G3676" s="9" t="s">
        <v>27</v>
      </c>
      <c r="H3676" s="11" t="n">
        <v>22</v>
      </c>
      <c r="I3676" s="11" t="s">
        <v>242</v>
      </c>
      <c r="J3676" s="14" t="n">
        <v>41</v>
      </c>
      <c r="K3676" s="14"/>
      <c r="L3676" s="16"/>
      <c r="M3676" s="27" t="n">
        <f aca="false">J3676+(K3676/20)+(L3676/240)</f>
        <v>41</v>
      </c>
      <c r="N3676" s="17" t="s">
        <v>64</v>
      </c>
      <c r="O3676" s="11"/>
      <c r="P3676" s="28"/>
      <c r="Q3676" s="28" t="n">
        <f aca="false">P3676*$M3676</f>
        <v>0</v>
      </c>
      <c r="R3676" s="28"/>
      <c r="S3676" s="28" t="n">
        <f aca="false">R3676*$M3676</f>
        <v>0</v>
      </c>
      <c r="T3676" s="28" t="n">
        <f aca="false">441/100</f>
        <v>4.41</v>
      </c>
      <c r="U3676" s="28" t="n">
        <v>181</v>
      </c>
      <c r="V3676" s="28"/>
      <c r="W3676" s="28" t="n">
        <f aca="false">V3676*$M3676</f>
        <v>0</v>
      </c>
      <c r="X3676" s="28"/>
      <c r="Y3676" s="28" t="n">
        <f aca="false">X3676*$M3676</f>
        <v>0</v>
      </c>
      <c r="Z3676" s="28"/>
      <c r="AA3676" s="28" t="n">
        <f aca="false">Z3676*$M3676</f>
        <v>0</v>
      </c>
      <c r="AB3676" s="28"/>
      <c r="AC3676" s="28" t="n">
        <f aca="false">AB3676*$M3676</f>
        <v>0</v>
      </c>
      <c r="AD3676" s="28"/>
      <c r="AE3676" s="28" t="n">
        <f aca="false">AD3676*$M3676</f>
        <v>0</v>
      </c>
      <c r="AF3676" s="28"/>
      <c r="AG3676" s="28" t="n">
        <f aca="false">AF3676*$M3676</f>
        <v>0</v>
      </c>
      <c r="AH3676" s="28"/>
      <c r="AI3676" s="28" t="n">
        <f aca="false">AH3676*$M3676</f>
        <v>0</v>
      </c>
      <c r="AJ3676" s="28"/>
      <c r="AK3676" s="28" t="n">
        <f aca="false">AJ3676*$M3676</f>
        <v>0</v>
      </c>
      <c r="AL3676" s="28"/>
      <c r="AM3676" s="28" t="n">
        <f aca="false">AL3676*$M3676</f>
        <v>0</v>
      </c>
      <c r="AN3676" s="28"/>
      <c r="AO3676" s="28" t="n">
        <f aca="false">AN3676*$M3676</f>
        <v>0</v>
      </c>
      <c r="AP3676" s="28"/>
      <c r="AQ3676" s="28" t="n">
        <f aca="false">AP3676*$M3676</f>
        <v>0</v>
      </c>
      <c r="AR3676" s="28"/>
      <c r="AS3676" s="28" t="n">
        <f aca="false">AR3676*$M3676</f>
        <v>0</v>
      </c>
      <c r="AT3676" s="28"/>
      <c r="AU3676" s="28" t="n">
        <f aca="false">AT3676*$M3676</f>
        <v>0</v>
      </c>
      <c r="AV3676" s="28"/>
      <c r="AW3676" s="28" t="n">
        <f aca="false">AV3676*$M3676</f>
        <v>0</v>
      </c>
      <c r="AX3676" s="28"/>
      <c r="AY3676" s="28" t="n">
        <f aca="false">AX3676*$M3676</f>
        <v>0</v>
      </c>
      <c r="AZ3676" s="30" t="n">
        <f aca="false">441/100</f>
        <v>4.41</v>
      </c>
      <c r="BA3676" s="11" t="n">
        <v>181</v>
      </c>
      <c r="BB3676" s="31" t="n">
        <f aca="false">SUM(Q3676,S3676,U3676,W3676,Y3676,AA3676,AC3676,AE3676,AG3676,AI3676,AK3676,AM3676,AO3676,AQ3676,AS3676,AU3676,AW3676,AY3676)</f>
        <v>181</v>
      </c>
      <c r="BC3676" s="28" t="n">
        <f aca="false">BA3676-BB3676</f>
        <v>0</v>
      </c>
      <c r="BD3676" s="32" t="n">
        <f aca="false">SUM(P3676,R3676,T3676,V3676,X3676,Z3676,AB3676,AD3676,AF3676,AH3676,AJ3676,AL3676,AN3676,AP3676,AR3676,AT3676,AV3676,AX3676)</f>
        <v>4.41</v>
      </c>
      <c r="BE3676" s="33" t="n">
        <f aca="false">AZ3676-BD3676</f>
        <v>0</v>
      </c>
      <c r="BF3676" s="34" t="n">
        <f aca="false">BD3676*M3676</f>
        <v>180.81</v>
      </c>
      <c r="BG3676" s="35" t="n">
        <f aca="false">BA3676-BF3676</f>
        <v>0.189999999999998</v>
      </c>
      <c r="BH3676" s="19" t="str">
        <f aca="false">IF(BG3676=0,"",IF(BG3676&lt;&gt;BA3676,"erreur de calcul",IF(BD3676&lt;&gt;0,"pas de prix",IF(M3676&lt;&gt; 0,"pas de quantité","pas de prix, ni de quantité"))))</f>
        <v>erreur de calcul</v>
      </c>
      <c r="BI3676" s="19"/>
    </row>
    <row r="3677" customFormat="false" ht="15" hidden="false" customHeight="false" outlineLevel="0" collapsed="false">
      <c r="A3677" s="0" t="n">
        <v>1</v>
      </c>
      <c r="B3677" s="8" t="s">
        <v>24</v>
      </c>
      <c r="C3677" s="9" t="s">
        <v>25</v>
      </c>
      <c r="D3677" s="9" t="s">
        <v>26</v>
      </c>
      <c r="E3677" s="10" t="n">
        <v>1789</v>
      </c>
      <c r="F3677" s="9" t="s">
        <v>27</v>
      </c>
      <c r="G3677" s="9" t="s">
        <v>27</v>
      </c>
      <c r="H3677" s="11" t="n">
        <v>23</v>
      </c>
      <c r="I3677" s="11" t="s">
        <v>243</v>
      </c>
      <c r="J3677" s="14"/>
      <c r="K3677" s="14"/>
      <c r="L3677" s="16"/>
      <c r="M3677" s="27" t="n">
        <f aca="false">J3677+(K3677/20)+(L3677/240)</f>
        <v>0</v>
      </c>
      <c r="N3677" s="17"/>
      <c r="O3677" s="11"/>
      <c r="P3677" s="28"/>
      <c r="Q3677" s="28" t="n">
        <f aca="false">P3677*$M3677</f>
        <v>0</v>
      </c>
      <c r="R3677" s="28"/>
      <c r="S3677" s="28" t="n">
        <f aca="false">R3677*$M3677</f>
        <v>0</v>
      </c>
      <c r="T3677" s="28"/>
      <c r="U3677" s="28" t="n">
        <f aca="false">T3677*$M3677</f>
        <v>0</v>
      </c>
      <c r="V3677" s="28"/>
      <c r="W3677" s="28" t="n">
        <v>100</v>
      </c>
      <c r="X3677" s="28"/>
      <c r="Y3677" s="28" t="n">
        <v>563</v>
      </c>
      <c r="Z3677" s="28"/>
      <c r="AA3677" s="28" t="n">
        <f aca="false">Z3677*$M3677</f>
        <v>0</v>
      </c>
      <c r="AB3677" s="28"/>
      <c r="AC3677" s="28" t="n">
        <f aca="false">AB3677*$M3677</f>
        <v>0</v>
      </c>
      <c r="AD3677" s="28"/>
      <c r="AE3677" s="28" t="n">
        <f aca="false">AD3677*$M3677</f>
        <v>0</v>
      </c>
      <c r="AF3677" s="28"/>
      <c r="AG3677" s="28" t="n">
        <f aca="false">AF3677*$M3677</f>
        <v>0</v>
      </c>
      <c r="AH3677" s="28"/>
      <c r="AI3677" s="28" t="n">
        <f aca="false">AH3677*$M3677</f>
        <v>0</v>
      </c>
      <c r="AJ3677" s="28"/>
      <c r="AK3677" s="28" t="n">
        <v>1015</v>
      </c>
      <c r="AL3677" s="28"/>
      <c r="AM3677" s="28" t="n">
        <f aca="false">AL3677*$M3677</f>
        <v>0</v>
      </c>
      <c r="AN3677" s="28"/>
      <c r="AO3677" s="28" t="n">
        <f aca="false">AN3677*$M3677</f>
        <v>0</v>
      </c>
      <c r="AP3677" s="28"/>
      <c r="AQ3677" s="28" t="n">
        <f aca="false">AP3677*$M3677</f>
        <v>0</v>
      </c>
      <c r="AR3677" s="28"/>
      <c r="AS3677" s="28" t="n">
        <f aca="false">AR3677*$M3677</f>
        <v>0</v>
      </c>
      <c r="AT3677" s="28"/>
      <c r="AU3677" s="28" t="n">
        <f aca="false">AT3677*$M3677</f>
        <v>0</v>
      </c>
      <c r="AV3677" s="28"/>
      <c r="AW3677" s="28" t="n">
        <f aca="false">AV3677*$M3677</f>
        <v>0</v>
      </c>
      <c r="AX3677" s="28"/>
      <c r="AY3677" s="28" t="n">
        <f aca="false">AX3677*$M3677</f>
        <v>0</v>
      </c>
      <c r="AZ3677" s="30"/>
      <c r="BA3677" s="11" t="n">
        <v>1678</v>
      </c>
      <c r="BB3677" s="31" t="n">
        <f aca="false">SUM(Q3677,S3677,U3677,W3677,Y3677,AA3677,AC3677,AE3677,AG3677,AI3677,AK3677,AM3677,AO3677,AQ3677,AS3677,AU3677,AW3677,AY3677)</f>
        <v>1678</v>
      </c>
      <c r="BC3677" s="28" t="n">
        <f aca="false">BA3677-BB3677</f>
        <v>0</v>
      </c>
      <c r="BD3677" s="32" t="n">
        <f aca="false">SUM(P3677,R3677,T3677,V3677,X3677,Z3677,AB3677,AD3677,AF3677,AH3677,AJ3677,AL3677,AN3677,AP3677,AR3677,AT3677,AV3677,AX3677)</f>
        <v>0</v>
      </c>
      <c r="BE3677" s="33" t="n">
        <f aca="false">AZ3677-BD3677</f>
        <v>0</v>
      </c>
      <c r="BF3677" s="34" t="n">
        <f aca="false">BD3677*M3677</f>
        <v>0</v>
      </c>
      <c r="BG3677" s="35" t="n">
        <f aca="false">BA3677-BF3677</f>
        <v>1678</v>
      </c>
      <c r="BH3677" s="19" t="str">
        <f aca="false">IF(BG3677=0,"",IF(BG3677&lt;&gt;BA3677,"erreur de calcul",IF(BD3677&lt;&gt;0,"pas de prix",IF(M3677&lt;&gt; 0,"pas de quantité","pas de prix, ni de quantité"))))</f>
        <v>pas de prix, ni de quantité</v>
      </c>
      <c r="BI3677" s="19"/>
    </row>
    <row r="3678" customFormat="false" ht="15" hidden="false" customHeight="false" outlineLevel="0" collapsed="false">
      <c r="A3678" s="0" t="n">
        <v>2</v>
      </c>
      <c r="B3678" s="8" t="s">
        <v>24</v>
      </c>
      <c r="C3678" s="9" t="s">
        <v>25</v>
      </c>
      <c r="D3678" s="9" t="s">
        <v>26</v>
      </c>
      <c r="E3678" s="10" t="n">
        <v>1789</v>
      </c>
      <c r="F3678" s="9" t="s">
        <v>27</v>
      </c>
      <c r="G3678" s="9" t="s">
        <v>27</v>
      </c>
      <c r="H3678" s="11" t="n">
        <v>23</v>
      </c>
      <c r="I3678" s="11" t="s">
        <v>244</v>
      </c>
      <c r="J3678" s="14" t="n">
        <v>22</v>
      </c>
      <c r="K3678" s="14"/>
      <c r="L3678" s="16"/>
      <c r="M3678" s="27" t="n">
        <f aca="false">J3678+(K3678/20)+(L3678/240)</f>
        <v>22</v>
      </c>
      <c r="N3678" s="17" t="s">
        <v>64</v>
      </c>
      <c r="O3678" s="11"/>
      <c r="P3678" s="28"/>
      <c r="Q3678" s="28" t="n">
        <f aca="false">P3678*$M3678</f>
        <v>0</v>
      </c>
      <c r="R3678" s="28"/>
      <c r="S3678" s="28" t="n">
        <f aca="false">R3678*$M3678</f>
        <v>0</v>
      </c>
      <c r="T3678" s="28"/>
      <c r="U3678" s="28" t="n">
        <f aca="false">T3678*$M3678</f>
        <v>0</v>
      </c>
      <c r="V3678" s="28" t="n">
        <f aca="false">15346/100</f>
        <v>153.46</v>
      </c>
      <c r="W3678" s="28" t="n">
        <v>3376</v>
      </c>
      <c r="X3678" s="28"/>
      <c r="Y3678" s="28" t="n">
        <f aca="false">X3678*$M3678</f>
        <v>0</v>
      </c>
      <c r="Z3678" s="28"/>
      <c r="AA3678" s="28" t="n">
        <f aca="false">Z3678*$M3678</f>
        <v>0</v>
      </c>
      <c r="AB3678" s="28"/>
      <c r="AC3678" s="28" t="n">
        <f aca="false">AB3678*$M3678</f>
        <v>0</v>
      </c>
      <c r="AD3678" s="28"/>
      <c r="AE3678" s="28" t="n">
        <f aca="false">AD3678*$M3678</f>
        <v>0</v>
      </c>
      <c r="AF3678" s="28"/>
      <c r="AG3678" s="28" t="n">
        <f aca="false">AF3678*$M3678</f>
        <v>0</v>
      </c>
      <c r="AH3678" s="28"/>
      <c r="AI3678" s="28" t="n">
        <f aca="false">AH3678*$M3678</f>
        <v>0</v>
      </c>
      <c r="AJ3678" s="28" t="n">
        <f aca="false">9084/100</f>
        <v>90.84</v>
      </c>
      <c r="AK3678" s="28" t="n">
        <v>1998</v>
      </c>
      <c r="AL3678" s="28" t="n">
        <f aca="false">8917/100</f>
        <v>89.17</v>
      </c>
      <c r="AM3678" s="28" t="n">
        <v>1962</v>
      </c>
      <c r="AN3678" s="28"/>
      <c r="AO3678" s="28" t="n">
        <f aca="false">AN3678*$M3678</f>
        <v>0</v>
      </c>
      <c r="AP3678" s="28"/>
      <c r="AQ3678" s="28" t="n">
        <f aca="false">AP3678*$M3678</f>
        <v>0</v>
      </c>
      <c r="AR3678" s="28"/>
      <c r="AS3678" s="28" t="n">
        <f aca="false">AR3678*$M3678</f>
        <v>0</v>
      </c>
      <c r="AT3678" s="28"/>
      <c r="AU3678" s="28" t="n">
        <f aca="false">AT3678*$M3678</f>
        <v>0</v>
      </c>
      <c r="AV3678" s="28"/>
      <c r="AW3678" s="28" t="n">
        <f aca="false">AV3678*$M3678</f>
        <v>0</v>
      </c>
      <c r="AX3678" s="28"/>
      <c r="AY3678" s="28" t="n">
        <f aca="false">AX3678*$M3678</f>
        <v>0</v>
      </c>
      <c r="AZ3678" s="30" t="n">
        <f aca="false">3347/100</f>
        <v>33.47</v>
      </c>
      <c r="BA3678" s="11" t="n">
        <v>7336</v>
      </c>
      <c r="BB3678" s="31" t="n">
        <f aca="false">SUM(Q3678,S3678,U3678,W3678,Y3678,AA3678,AC3678,AE3678,AG3678,AI3678,AK3678,AM3678,AO3678,AQ3678,AS3678,AU3678,AW3678,AY3678)</f>
        <v>7336</v>
      </c>
      <c r="BC3678" s="28" t="n">
        <f aca="false">BA3678-BB3678</f>
        <v>0</v>
      </c>
      <c r="BD3678" s="32" t="n">
        <f aca="false">SUM(P3678,R3678,T3678,V3678,X3678,Z3678,AB3678,AD3678,AF3678,AH3678,AJ3678,AL3678,AN3678,AP3678,AR3678,AT3678,AV3678,AX3678)</f>
        <v>333.47</v>
      </c>
      <c r="BE3678" s="33" t="n">
        <f aca="false">AZ3678-BD3678</f>
        <v>-300</v>
      </c>
      <c r="BF3678" s="34" t="n">
        <f aca="false">BD3678*M3678</f>
        <v>7336.34</v>
      </c>
      <c r="BG3678" s="35" t="n">
        <f aca="false">BA3678-BF3678</f>
        <v>-0.340000000000146</v>
      </c>
      <c r="BH3678" s="19" t="str">
        <f aca="false">IF(BG3678=0,"",IF(BG3678&lt;&gt;BA3678,"erreur de calcul",IF(BD3678&lt;&gt;0,"pas de prix",IF(M3678&lt;&gt; 0,"pas de quantité","pas de prix, ni de quantité"))))</f>
        <v>erreur de calcul</v>
      </c>
      <c r="BI3678" s="19"/>
    </row>
    <row r="3679" customFormat="false" ht="15" hidden="false" customHeight="false" outlineLevel="0" collapsed="false">
      <c r="A3679" s="0" t="n">
        <v>3</v>
      </c>
      <c r="B3679" s="8" t="s">
        <v>24</v>
      </c>
      <c r="C3679" s="9" t="s">
        <v>25</v>
      </c>
      <c r="D3679" s="9" t="s">
        <v>26</v>
      </c>
      <c r="E3679" s="10" t="n">
        <v>1789</v>
      </c>
      <c r="F3679" s="9" t="s">
        <v>27</v>
      </c>
      <c r="G3679" s="9" t="s">
        <v>27</v>
      </c>
      <c r="H3679" s="11" t="n">
        <v>23</v>
      </c>
      <c r="I3679" s="11" t="s">
        <v>245</v>
      </c>
      <c r="J3679" s="14" t="n">
        <v>28</v>
      </c>
      <c r="K3679" s="14"/>
      <c r="L3679" s="16"/>
      <c r="M3679" s="27" t="n">
        <f aca="false">J3679+(K3679/20)+(L3679/240)</f>
        <v>28</v>
      </c>
      <c r="N3679" s="17" t="s">
        <v>64</v>
      </c>
      <c r="O3679" s="11"/>
      <c r="P3679" s="28"/>
      <c r="Q3679" s="28" t="n">
        <f aca="false">P3679*$M3679</f>
        <v>0</v>
      </c>
      <c r="R3679" s="28"/>
      <c r="S3679" s="28" t="n">
        <f aca="false">R3679*$M3679</f>
        <v>0</v>
      </c>
      <c r="T3679" s="28"/>
      <c r="U3679" s="28" t="n">
        <f aca="false">T3679*$M3679</f>
        <v>0</v>
      </c>
      <c r="V3679" s="28" t="n">
        <f aca="false">61654/100</f>
        <v>616.54</v>
      </c>
      <c r="W3679" s="28" t="n">
        <v>17263</v>
      </c>
      <c r="X3679" s="28"/>
      <c r="Y3679" s="28" t="n">
        <f aca="false">X3679*$M3679</f>
        <v>0</v>
      </c>
      <c r="Z3679" s="28"/>
      <c r="AA3679" s="28" t="n">
        <f aca="false">Z3679*$M3679</f>
        <v>0</v>
      </c>
      <c r="AB3679" s="28"/>
      <c r="AC3679" s="28" t="n">
        <f aca="false">AB3679*$M3679</f>
        <v>0</v>
      </c>
      <c r="AD3679" s="28"/>
      <c r="AE3679" s="28" t="n">
        <f aca="false">AD3679*$M3679</f>
        <v>0</v>
      </c>
      <c r="AF3679" s="28"/>
      <c r="AG3679" s="28" t="n">
        <f aca="false">AF3679*$M3679</f>
        <v>0</v>
      </c>
      <c r="AH3679" s="28"/>
      <c r="AI3679" s="28" t="n">
        <f aca="false">AH3679*$M3679</f>
        <v>0</v>
      </c>
      <c r="AJ3679" s="28"/>
      <c r="AK3679" s="28" t="n">
        <f aca="false">AJ3679*$M3679</f>
        <v>0</v>
      </c>
      <c r="AL3679" s="28" t="n">
        <f aca="false">6250/100</f>
        <v>62.5</v>
      </c>
      <c r="AM3679" s="28" t="n">
        <v>1750</v>
      </c>
      <c r="AN3679" s="28"/>
      <c r="AO3679" s="28" t="n">
        <f aca="false">AN3679*$M3679</f>
        <v>0</v>
      </c>
      <c r="AP3679" s="28"/>
      <c r="AQ3679" s="28" t="n">
        <f aca="false">AP3679*$M3679</f>
        <v>0</v>
      </c>
      <c r="AR3679" s="28"/>
      <c r="AS3679" s="28" t="n">
        <f aca="false">AR3679*$M3679</f>
        <v>0</v>
      </c>
      <c r="AT3679" s="28"/>
      <c r="AU3679" s="28" t="n">
        <f aca="false">AT3679*$M3679</f>
        <v>0</v>
      </c>
      <c r="AV3679" s="28"/>
      <c r="AW3679" s="28" t="n">
        <f aca="false">AV3679*$M3679</f>
        <v>0</v>
      </c>
      <c r="AX3679" s="28"/>
      <c r="AY3679" s="28" t="n">
        <f aca="false">AX3679*$M3679</f>
        <v>0</v>
      </c>
      <c r="AZ3679" s="30" t="n">
        <f aca="false">67904/100</f>
        <v>679.04</v>
      </c>
      <c r="BA3679" s="11" t="n">
        <v>19013</v>
      </c>
      <c r="BB3679" s="31" t="n">
        <f aca="false">SUM(Q3679,S3679,U3679,W3679,Y3679,AA3679,AC3679,AE3679,AG3679,AI3679,AK3679,AM3679,AO3679,AQ3679,AS3679,AU3679,AW3679,AY3679)</f>
        <v>19013</v>
      </c>
      <c r="BC3679" s="28" t="n">
        <f aca="false">BA3679-BB3679</f>
        <v>0</v>
      </c>
      <c r="BD3679" s="32" t="n">
        <f aca="false">SUM(P3679,R3679,T3679,V3679,X3679,Z3679,AB3679,AD3679,AF3679,AH3679,AJ3679,AL3679,AN3679,AP3679,AR3679,AT3679,AV3679,AX3679)</f>
        <v>679.04</v>
      </c>
      <c r="BE3679" s="33" t="n">
        <f aca="false">AZ3679-BD3679</f>
        <v>0</v>
      </c>
      <c r="BF3679" s="34" t="n">
        <f aca="false">BD3679*M3679</f>
        <v>19013.12</v>
      </c>
      <c r="BG3679" s="35" t="n">
        <f aca="false">BA3679-BF3679</f>
        <v>-0.119999999998981</v>
      </c>
      <c r="BH3679" s="19" t="str">
        <f aca="false">IF(BG3679=0,"",IF(BG3679&lt;&gt;BA3679,"erreur de calcul",IF(BD3679&lt;&gt;0,"pas de prix",IF(M3679&lt;&gt; 0,"pas de quantité","pas de prix, ni de quantité"))))</f>
        <v>erreur de calcul</v>
      </c>
      <c r="BI3679" s="19"/>
    </row>
    <row r="3680" customFormat="false" ht="15" hidden="false" customHeight="false" outlineLevel="0" collapsed="false">
      <c r="A3680" s="0" t="n">
        <v>4</v>
      </c>
      <c r="B3680" s="8" t="s">
        <v>24</v>
      </c>
      <c r="C3680" s="9" t="s">
        <v>25</v>
      </c>
      <c r="D3680" s="9" t="s">
        <v>26</v>
      </c>
      <c r="E3680" s="10" t="n">
        <v>1789</v>
      </c>
      <c r="F3680" s="9" t="s">
        <v>27</v>
      </c>
      <c r="G3680" s="9" t="s">
        <v>27</v>
      </c>
      <c r="H3680" s="11" t="n">
        <v>23</v>
      </c>
      <c r="I3680" s="11" t="s">
        <v>246</v>
      </c>
      <c r="J3680" s="14" t="n">
        <v>17</v>
      </c>
      <c r="K3680" s="14"/>
      <c r="L3680" s="16"/>
      <c r="M3680" s="27" t="n">
        <f aca="false">J3680+(K3680/20)+(L3680/240)</f>
        <v>17</v>
      </c>
      <c r="N3680" s="17" t="s">
        <v>64</v>
      </c>
      <c r="O3680" s="11"/>
      <c r="P3680" s="28"/>
      <c r="Q3680" s="28" t="n">
        <f aca="false">P3680*$M3680</f>
        <v>0</v>
      </c>
      <c r="R3680" s="28"/>
      <c r="S3680" s="28" t="n">
        <f aca="false">R3680*$M3680</f>
        <v>0</v>
      </c>
      <c r="T3680" s="28" t="n">
        <f aca="false">25000/100</f>
        <v>250</v>
      </c>
      <c r="U3680" s="28" t="n">
        <v>4250</v>
      </c>
      <c r="V3680" s="28" t="n">
        <f aca="false">78153/100</f>
        <v>781.53</v>
      </c>
      <c r="W3680" s="28" t="n">
        <v>13286</v>
      </c>
      <c r="X3680" s="28"/>
      <c r="Y3680" s="28" t="n">
        <f aca="false">X3680*$M3680</f>
        <v>0</v>
      </c>
      <c r="Z3680" s="28"/>
      <c r="AA3680" s="28" t="n">
        <f aca="false">Z3680*$M3680</f>
        <v>0</v>
      </c>
      <c r="AB3680" s="28"/>
      <c r="AC3680" s="28" t="n">
        <f aca="false">AB3680*$M3680</f>
        <v>0</v>
      </c>
      <c r="AD3680" s="28"/>
      <c r="AE3680" s="28" t="n">
        <f aca="false">AD3680*$M3680</f>
        <v>0</v>
      </c>
      <c r="AF3680" s="28"/>
      <c r="AG3680" s="28" t="n">
        <f aca="false">AF3680*$M3680</f>
        <v>0</v>
      </c>
      <c r="AH3680" s="28"/>
      <c r="AI3680" s="28" t="n">
        <f aca="false">AH3680*$M3680</f>
        <v>0</v>
      </c>
      <c r="AJ3680" s="28" t="n">
        <f aca="false">113774/100</f>
        <v>1137.74</v>
      </c>
      <c r="AK3680" s="28" t="n">
        <v>19341</v>
      </c>
      <c r="AL3680" s="28" t="n">
        <f aca="false">749547/100</f>
        <v>7495.47</v>
      </c>
      <c r="AM3680" s="28" t="n">
        <v>127423</v>
      </c>
      <c r="AN3680" s="28"/>
      <c r="AO3680" s="28" t="n">
        <f aca="false">AN3680*$M3680</f>
        <v>0</v>
      </c>
      <c r="AP3680" s="28" t="n">
        <f aca="false">578251/100</f>
        <v>5782.51</v>
      </c>
      <c r="AQ3680" s="28" t="n">
        <v>98303</v>
      </c>
      <c r="AR3680" s="28" t="n">
        <f aca="false">9141217/100</f>
        <v>91412.17</v>
      </c>
      <c r="AS3680" s="28" t="n">
        <v>1554007</v>
      </c>
      <c r="AT3680" s="28"/>
      <c r="AU3680" s="28" t="n">
        <f aca="false">AT3680*$M3680</f>
        <v>0</v>
      </c>
      <c r="AV3680" s="28" t="n">
        <f aca="false">314570/100</f>
        <v>3145.7</v>
      </c>
      <c r="AW3680" s="28" t="n">
        <v>53477</v>
      </c>
      <c r="AX3680" s="28"/>
      <c r="AY3680" s="28" t="n">
        <f aca="false">AX3680*$M3680</f>
        <v>0</v>
      </c>
      <c r="AZ3680" s="30" t="n">
        <f aca="false">11004767/100</f>
        <v>110047.67</v>
      </c>
      <c r="BA3680" s="11" t="n">
        <v>1870087</v>
      </c>
      <c r="BB3680" s="31" t="n">
        <f aca="false">SUM(Q3680,S3680,U3680,W3680,Y3680,AA3680,AC3680,AE3680,AG3680,AI3680,AK3680,AM3680,AO3680,AQ3680,AS3680,AU3680,AW3680,AY3680)</f>
        <v>1870087</v>
      </c>
      <c r="BC3680" s="28" t="n">
        <f aca="false">BA3680-BB3680</f>
        <v>0</v>
      </c>
      <c r="BD3680" s="32" t="n">
        <f aca="false">SUM(P3680,R3680,T3680,V3680,X3680,Z3680,AB3680,AD3680,AF3680,AH3680,AJ3680,AL3680,AN3680,AP3680,AR3680,AT3680,AV3680,AX3680)</f>
        <v>110005.12</v>
      </c>
      <c r="BE3680" s="33" t="n">
        <f aca="false">AZ3680-BD3680</f>
        <v>42.5500000000029</v>
      </c>
      <c r="BF3680" s="34" t="n">
        <f aca="false">BD3680*M3680</f>
        <v>1870087.04</v>
      </c>
      <c r="BG3680" s="35" t="n">
        <f aca="false">BA3680-BF3680</f>
        <v>-0.0400000000372529</v>
      </c>
      <c r="BH3680" s="19" t="str">
        <f aca="false">IF(BG3680=0,"",IF(BG3680&lt;&gt;BA3680,"erreur de calcul",IF(BD3680&lt;&gt;0,"pas de prix",IF(M3680&lt;&gt; 0,"pas de quantité","pas de prix, ni de quantité"))))</f>
        <v>erreur de calcul</v>
      </c>
      <c r="BI3680" s="19"/>
    </row>
    <row r="3681" customFormat="false" ht="15" hidden="false" customHeight="false" outlineLevel="0" collapsed="false">
      <c r="A3681" s="0" t="n">
        <v>5</v>
      </c>
      <c r="B3681" s="8" t="s">
        <v>24</v>
      </c>
      <c r="C3681" s="9" t="s">
        <v>25</v>
      </c>
      <c r="D3681" s="9" t="s">
        <v>26</v>
      </c>
      <c r="E3681" s="10" t="n">
        <v>1789</v>
      </c>
      <c r="F3681" s="9" t="s">
        <v>27</v>
      </c>
      <c r="G3681" s="9" t="s">
        <v>27</v>
      </c>
      <c r="H3681" s="11" t="n">
        <v>23</v>
      </c>
      <c r="I3681" s="11" t="s">
        <v>247</v>
      </c>
      <c r="J3681" s="14" t="n">
        <v>60</v>
      </c>
      <c r="K3681" s="14"/>
      <c r="L3681" s="16"/>
      <c r="M3681" s="27" t="n">
        <f aca="false">J3681+(K3681/20)+(L3681/240)</f>
        <v>60</v>
      </c>
      <c r="N3681" s="17" t="s">
        <v>64</v>
      </c>
      <c r="O3681" s="11"/>
      <c r="P3681" s="28" t="n">
        <f aca="false">17500/100</f>
        <v>175</v>
      </c>
      <c r="Q3681" s="28" t="n">
        <v>10500</v>
      </c>
      <c r="R3681" s="28"/>
      <c r="S3681" s="28" t="n">
        <f aca="false">R3681*$M3681</f>
        <v>0</v>
      </c>
      <c r="T3681" s="28"/>
      <c r="U3681" s="28" t="n">
        <f aca="false">T3681*$M3681</f>
        <v>0</v>
      </c>
      <c r="V3681" s="28"/>
      <c r="W3681" s="28" t="n">
        <f aca="false">V3681*$M3681</f>
        <v>0</v>
      </c>
      <c r="X3681" s="28"/>
      <c r="Y3681" s="28" t="n">
        <f aca="false">X3681*$M3681</f>
        <v>0</v>
      </c>
      <c r="Z3681" s="28"/>
      <c r="AA3681" s="28" t="n">
        <f aca="false">Z3681*$M3681</f>
        <v>0</v>
      </c>
      <c r="AB3681" s="28"/>
      <c r="AC3681" s="28" t="n">
        <f aca="false">AB3681*$M3681</f>
        <v>0</v>
      </c>
      <c r="AD3681" s="28"/>
      <c r="AE3681" s="28" t="n">
        <f aca="false">AD3681*$M3681</f>
        <v>0</v>
      </c>
      <c r="AF3681" s="28"/>
      <c r="AG3681" s="28" t="n">
        <f aca="false">AF3681*$M3681</f>
        <v>0</v>
      </c>
      <c r="AH3681" s="28"/>
      <c r="AI3681" s="28" t="n">
        <f aca="false">AH3681*$M3681</f>
        <v>0</v>
      </c>
      <c r="AJ3681" s="28"/>
      <c r="AK3681" s="28" t="n">
        <f aca="false">AJ3681*$M3681</f>
        <v>0</v>
      </c>
      <c r="AL3681" s="28" t="n">
        <f aca="false">107571/100</f>
        <v>1075.71</v>
      </c>
      <c r="AM3681" s="28" t="n">
        <v>64543</v>
      </c>
      <c r="AN3681" s="28"/>
      <c r="AO3681" s="28" t="n">
        <f aca="false">AN3681*$M3681</f>
        <v>0</v>
      </c>
      <c r="AP3681" s="28"/>
      <c r="AQ3681" s="28" t="n">
        <f aca="false">AP3681*$M3681</f>
        <v>0</v>
      </c>
      <c r="AR3681" s="28"/>
      <c r="AS3681" s="28" t="n">
        <f aca="false">AR3681*$M3681</f>
        <v>0</v>
      </c>
      <c r="AT3681" s="28"/>
      <c r="AU3681" s="28" t="n">
        <f aca="false">AT3681*$M3681</f>
        <v>0</v>
      </c>
      <c r="AV3681" s="28"/>
      <c r="AW3681" s="28" t="n">
        <f aca="false">AV3681*$M3681</f>
        <v>0</v>
      </c>
      <c r="AX3681" s="28"/>
      <c r="AY3681" s="28" t="n">
        <f aca="false">AX3681*$M3681</f>
        <v>0</v>
      </c>
      <c r="AZ3681" s="30" t="n">
        <f aca="false">125071/100</f>
        <v>1250.71</v>
      </c>
      <c r="BA3681" s="11" t="n">
        <v>75043</v>
      </c>
      <c r="BB3681" s="31" t="n">
        <f aca="false">SUM(Q3681,S3681,U3681,W3681,Y3681,AA3681,AC3681,AE3681,AG3681,AI3681,AK3681,AM3681,AO3681,AQ3681,AS3681,AU3681,AW3681,AY3681)</f>
        <v>75043</v>
      </c>
      <c r="BC3681" s="28" t="n">
        <f aca="false">BA3681-BB3681</f>
        <v>0</v>
      </c>
      <c r="BD3681" s="32" t="n">
        <f aca="false">SUM(P3681,R3681,T3681,V3681,X3681,Z3681,AB3681,AD3681,AF3681,AH3681,AJ3681,AL3681,AN3681,AP3681,AR3681,AT3681,AV3681,AX3681)</f>
        <v>1250.71</v>
      </c>
      <c r="BE3681" s="33" t="n">
        <f aca="false">AZ3681-BD3681</f>
        <v>0</v>
      </c>
      <c r="BF3681" s="34" t="n">
        <f aca="false">BD3681*M3681</f>
        <v>75042.6</v>
      </c>
      <c r="BG3681" s="35" t="n">
        <f aca="false">BA3681-BF3681</f>
        <v>0.399999999994179</v>
      </c>
      <c r="BH3681" s="19" t="str">
        <f aca="false">IF(BG3681=0,"",IF(BG3681&lt;&gt;BA3681,"erreur de calcul",IF(BD3681&lt;&gt;0,"pas de prix",IF(M3681&lt;&gt; 0,"pas de quantité","pas de prix, ni de quantité"))))</f>
        <v>erreur de calcul</v>
      </c>
      <c r="BI3681" s="19"/>
    </row>
    <row r="3682" customFormat="false" ht="15" hidden="false" customHeight="false" outlineLevel="0" collapsed="false">
      <c r="A3682" s="0" t="n">
        <v>6</v>
      </c>
      <c r="B3682" s="8" t="s">
        <v>24</v>
      </c>
      <c r="C3682" s="9" t="s">
        <v>25</v>
      </c>
      <c r="D3682" s="9" t="s">
        <v>26</v>
      </c>
      <c r="E3682" s="10" t="n">
        <v>1789</v>
      </c>
      <c r="F3682" s="9" t="s">
        <v>27</v>
      </c>
      <c r="G3682" s="9" t="s">
        <v>27</v>
      </c>
      <c r="H3682" s="11" t="n">
        <v>23</v>
      </c>
      <c r="I3682" s="11" t="s">
        <v>248</v>
      </c>
      <c r="J3682" s="14" t="n">
        <v>30</v>
      </c>
      <c r="K3682" s="14"/>
      <c r="L3682" s="16"/>
      <c r="M3682" s="27" t="n">
        <f aca="false">J3682+(K3682/20)+(L3682/240)</f>
        <v>30</v>
      </c>
      <c r="N3682" s="17" t="s">
        <v>64</v>
      </c>
      <c r="O3682" s="11"/>
      <c r="P3682" s="28"/>
      <c r="Q3682" s="28" t="n">
        <f aca="false">P3682*$M3682</f>
        <v>0</v>
      </c>
      <c r="R3682" s="28"/>
      <c r="S3682" s="28" t="n">
        <f aca="false">R3682*$M3682</f>
        <v>0</v>
      </c>
      <c r="T3682" s="28"/>
      <c r="U3682" s="28" t="n">
        <f aca="false">T3682*$M3682</f>
        <v>0</v>
      </c>
      <c r="V3682" s="28" t="n">
        <f aca="false">8491/100</f>
        <v>84.91</v>
      </c>
      <c r="W3682" s="28" t="n">
        <v>2547</v>
      </c>
      <c r="X3682" s="28"/>
      <c r="Y3682" s="28" t="n">
        <f aca="false">X3682*$M3682</f>
        <v>0</v>
      </c>
      <c r="Z3682" s="28"/>
      <c r="AA3682" s="28" t="n">
        <f aca="false">Z3682*$M3682</f>
        <v>0</v>
      </c>
      <c r="AB3682" s="28"/>
      <c r="AC3682" s="28" t="n">
        <f aca="false">AB3682*$M3682</f>
        <v>0</v>
      </c>
      <c r="AD3682" s="28"/>
      <c r="AE3682" s="28" t="n">
        <f aca="false">AD3682*$M3682</f>
        <v>0</v>
      </c>
      <c r="AF3682" s="28"/>
      <c r="AG3682" s="28" t="n">
        <f aca="false">AF3682*$M3682</f>
        <v>0</v>
      </c>
      <c r="AH3682" s="28"/>
      <c r="AI3682" s="28" t="n">
        <f aca="false">AH3682*$M3682</f>
        <v>0</v>
      </c>
      <c r="AJ3682" s="28"/>
      <c r="AK3682" s="28" t="n">
        <f aca="false">AJ3682*$M3682</f>
        <v>0</v>
      </c>
      <c r="AL3682" s="28"/>
      <c r="AM3682" s="28" t="n">
        <f aca="false">AL3682*$M3682</f>
        <v>0</v>
      </c>
      <c r="AN3682" s="28"/>
      <c r="AO3682" s="28" t="n">
        <f aca="false">AN3682*$M3682</f>
        <v>0</v>
      </c>
      <c r="AP3682" s="28"/>
      <c r="AQ3682" s="28" t="n">
        <f aca="false">AP3682*$M3682</f>
        <v>0</v>
      </c>
      <c r="AR3682" s="28"/>
      <c r="AS3682" s="28" t="n">
        <f aca="false">AR3682*$M3682</f>
        <v>0</v>
      </c>
      <c r="AT3682" s="28"/>
      <c r="AU3682" s="28" t="n">
        <f aca="false">AT3682*$M3682</f>
        <v>0</v>
      </c>
      <c r="AV3682" s="28"/>
      <c r="AW3682" s="28" t="n">
        <f aca="false">AV3682*$M3682</f>
        <v>0</v>
      </c>
      <c r="AX3682" s="28"/>
      <c r="AY3682" s="28" t="n">
        <f aca="false">AX3682*$M3682</f>
        <v>0</v>
      </c>
      <c r="AZ3682" s="30" t="n">
        <f aca="false">8491/100</f>
        <v>84.91</v>
      </c>
      <c r="BA3682" s="11" t="n">
        <v>2547</v>
      </c>
      <c r="BB3682" s="31" t="n">
        <f aca="false">SUM(Q3682,S3682,U3682,W3682,Y3682,AA3682,AC3682,AE3682,AG3682,AI3682,AK3682,AM3682,AO3682,AQ3682,AS3682,AU3682,AW3682,AY3682)</f>
        <v>2547</v>
      </c>
      <c r="BC3682" s="28" t="n">
        <f aca="false">BA3682-BB3682</f>
        <v>0</v>
      </c>
      <c r="BD3682" s="32" t="n">
        <f aca="false">SUM(P3682,R3682,T3682,V3682,X3682,Z3682,AB3682,AD3682,AF3682,AH3682,AJ3682,AL3682,AN3682,AP3682,AR3682,AT3682,AV3682,AX3682)</f>
        <v>84.91</v>
      </c>
      <c r="BE3682" s="33" t="n">
        <f aca="false">AZ3682-BD3682</f>
        <v>0</v>
      </c>
      <c r="BF3682" s="34" t="n">
        <f aca="false">BD3682*M3682</f>
        <v>2547.3</v>
      </c>
      <c r="BG3682" s="35" t="n">
        <f aca="false">BA3682-BF3682</f>
        <v>-0.299999999999727</v>
      </c>
      <c r="BH3682" s="19" t="str">
        <f aca="false">IF(BG3682=0,"",IF(BG3682&lt;&gt;BA3682,"erreur de calcul",IF(BD3682&lt;&gt;0,"pas de prix",IF(M3682&lt;&gt; 0,"pas de quantité","pas de prix, ni de quantité"))))</f>
        <v>erreur de calcul</v>
      </c>
      <c r="BI3682" s="19"/>
    </row>
    <row r="3683" customFormat="false" ht="15" hidden="false" customHeight="false" outlineLevel="0" collapsed="false">
      <c r="A3683" s="0" t="n">
        <v>7</v>
      </c>
      <c r="B3683" s="8" t="s">
        <v>24</v>
      </c>
      <c r="C3683" s="9" t="s">
        <v>25</v>
      </c>
      <c r="D3683" s="9" t="s">
        <v>26</v>
      </c>
      <c r="E3683" s="10" t="n">
        <v>1789</v>
      </c>
      <c r="F3683" s="9" t="s">
        <v>27</v>
      </c>
      <c r="G3683" s="9" t="s">
        <v>27</v>
      </c>
      <c r="H3683" s="11" t="n">
        <v>23</v>
      </c>
      <c r="I3683" s="11" t="s">
        <v>249</v>
      </c>
      <c r="J3683" s="14" t="n">
        <v>27</v>
      </c>
      <c r="K3683" s="14"/>
      <c r="L3683" s="16"/>
      <c r="M3683" s="27" t="n">
        <f aca="false">J3683+(K3683/20)+(L3683/240)</f>
        <v>27</v>
      </c>
      <c r="N3683" s="17" t="s">
        <v>64</v>
      </c>
      <c r="O3683" s="11"/>
      <c r="P3683" s="28"/>
      <c r="Q3683" s="28" t="n">
        <f aca="false">P3683*$M3683</f>
        <v>0</v>
      </c>
      <c r="R3683" s="28"/>
      <c r="S3683" s="28" t="n">
        <f aca="false">R3683*$M3683</f>
        <v>0</v>
      </c>
      <c r="T3683" s="28"/>
      <c r="U3683" s="28" t="n">
        <f aca="false">T3683*$M3683</f>
        <v>0</v>
      </c>
      <c r="V3683" s="28"/>
      <c r="W3683" s="28" t="n">
        <f aca="false">V3683*$M3683</f>
        <v>0</v>
      </c>
      <c r="X3683" s="28"/>
      <c r="Y3683" s="28" t="n">
        <f aca="false">X3683*$M3683</f>
        <v>0</v>
      </c>
      <c r="Z3683" s="28"/>
      <c r="AA3683" s="28" t="n">
        <f aca="false">Z3683*$M3683</f>
        <v>0</v>
      </c>
      <c r="AB3683" s="28"/>
      <c r="AC3683" s="28" t="n">
        <f aca="false">AB3683*$M3683</f>
        <v>0</v>
      </c>
      <c r="AD3683" s="28"/>
      <c r="AE3683" s="28" t="n">
        <f aca="false">AD3683*$M3683</f>
        <v>0</v>
      </c>
      <c r="AF3683" s="28"/>
      <c r="AG3683" s="28" t="n">
        <f aca="false">AF3683*$M3683</f>
        <v>0</v>
      </c>
      <c r="AH3683" s="28"/>
      <c r="AI3683" s="28" t="n">
        <f aca="false">AH3683*$M3683</f>
        <v>0</v>
      </c>
      <c r="AJ3683" s="28" t="n">
        <f aca="false">168254/100</f>
        <v>1682.54</v>
      </c>
      <c r="AK3683" s="28" t="n">
        <v>45428</v>
      </c>
      <c r="AL3683" s="28"/>
      <c r="AM3683" s="28" t="n">
        <f aca="false">AL3683*$M3683</f>
        <v>0</v>
      </c>
      <c r="AN3683" s="28"/>
      <c r="AO3683" s="28" t="n">
        <f aca="false">AN3683*$M3683</f>
        <v>0</v>
      </c>
      <c r="AP3683" s="28"/>
      <c r="AQ3683" s="28" t="n">
        <f aca="false">AP3683*$M3683</f>
        <v>0</v>
      </c>
      <c r="AR3683" s="28"/>
      <c r="AS3683" s="28" t="n">
        <f aca="false">AR3683*$M3683</f>
        <v>0</v>
      </c>
      <c r="AT3683" s="28"/>
      <c r="AU3683" s="28" t="n">
        <f aca="false">AT3683*$M3683</f>
        <v>0</v>
      </c>
      <c r="AV3683" s="28"/>
      <c r="AW3683" s="28" t="n">
        <f aca="false">AV3683*$M3683</f>
        <v>0</v>
      </c>
      <c r="AX3683" s="28"/>
      <c r="AY3683" s="28" t="n">
        <f aca="false">AX3683*$M3683</f>
        <v>0</v>
      </c>
      <c r="AZ3683" s="30" t="n">
        <f aca="false">168254/100</f>
        <v>1682.54</v>
      </c>
      <c r="BA3683" s="11" t="n">
        <v>45428</v>
      </c>
      <c r="BB3683" s="31" t="n">
        <f aca="false">SUM(Q3683,S3683,U3683,W3683,Y3683,AA3683,AC3683,AE3683,AG3683,AI3683,AK3683,AM3683,AO3683,AQ3683,AS3683,AU3683,AW3683,AY3683)</f>
        <v>45428</v>
      </c>
      <c r="BC3683" s="28" t="n">
        <f aca="false">BA3683-BB3683</f>
        <v>0</v>
      </c>
      <c r="BD3683" s="32" t="n">
        <f aca="false">SUM(P3683,R3683,T3683,V3683,X3683,Z3683,AB3683,AD3683,AF3683,AH3683,AJ3683,AL3683,AN3683,AP3683,AR3683,AT3683,AV3683,AX3683)</f>
        <v>1682.54</v>
      </c>
      <c r="BE3683" s="33" t="n">
        <f aca="false">AZ3683-BD3683</f>
        <v>0</v>
      </c>
      <c r="BF3683" s="34" t="n">
        <f aca="false">BD3683*M3683</f>
        <v>45428.58</v>
      </c>
      <c r="BG3683" s="35" t="n">
        <f aca="false">BA3683-BF3683</f>
        <v>-0.580000000001746</v>
      </c>
      <c r="BH3683" s="19" t="str">
        <f aca="false">IF(BG3683=0,"",IF(BG3683&lt;&gt;BA3683,"erreur de calcul",IF(BD3683&lt;&gt;0,"pas de prix",IF(M3683&lt;&gt; 0,"pas de quantité","pas de prix, ni de quantité"))))</f>
        <v>erreur de calcul</v>
      </c>
      <c r="BI3683" s="19"/>
    </row>
    <row r="3684" customFormat="false" ht="15" hidden="false" customHeight="false" outlineLevel="0" collapsed="false">
      <c r="A3684" s="0" t="n">
        <v>8</v>
      </c>
      <c r="B3684" s="8" t="s">
        <v>24</v>
      </c>
      <c r="C3684" s="9" t="s">
        <v>25</v>
      </c>
      <c r="D3684" s="9" t="s">
        <v>26</v>
      </c>
      <c r="E3684" s="10" t="n">
        <v>1789</v>
      </c>
      <c r="F3684" s="9" t="s">
        <v>27</v>
      </c>
      <c r="G3684" s="9" t="s">
        <v>27</v>
      </c>
      <c r="H3684" s="11" t="n">
        <v>23</v>
      </c>
      <c r="I3684" s="11" t="s">
        <v>250</v>
      </c>
      <c r="J3684" s="14" t="n">
        <v>27</v>
      </c>
      <c r="K3684" s="14"/>
      <c r="L3684" s="16"/>
      <c r="M3684" s="27" t="n">
        <f aca="false">J3684+(K3684/20)+(L3684/240)</f>
        <v>27</v>
      </c>
      <c r="N3684" s="17" t="s">
        <v>64</v>
      </c>
      <c r="O3684" s="11"/>
      <c r="P3684" s="28"/>
      <c r="Q3684" s="28" t="n">
        <f aca="false">P3684*$M3684</f>
        <v>0</v>
      </c>
      <c r="R3684" s="28"/>
      <c r="S3684" s="28" t="n">
        <f aca="false">R3684*$M3684</f>
        <v>0</v>
      </c>
      <c r="T3684" s="28"/>
      <c r="U3684" s="28" t="n">
        <f aca="false">T3684*$M3684</f>
        <v>0</v>
      </c>
      <c r="V3684" s="28"/>
      <c r="W3684" s="28" t="n">
        <f aca="false">V3684*$M3684</f>
        <v>0</v>
      </c>
      <c r="X3684" s="28"/>
      <c r="Y3684" s="28" t="n">
        <f aca="false">X3684*$M3684</f>
        <v>0</v>
      </c>
      <c r="Z3684" s="28"/>
      <c r="AA3684" s="28" t="n">
        <f aca="false">Z3684*$M3684</f>
        <v>0</v>
      </c>
      <c r="AB3684" s="28"/>
      <c r="AC3684" s="28" t="n">
        <f aca="false">AB3684*$M3684</f>
        <v>0</v>
      </c>
      <c r="AD3684" s="28"/>
      <c r="AE3684" s="28" t="n">
        <f aca="false">AD3684*$M3684</f>
        <v>0</v>
      </c>
      <c r="AF3684" s="28"/>
      <c r="AG3684" s="28" t="n">
        <f aca="false">AF3684*$M3684</f>
        <v>0</v>
      </c>
      <c r="AH3684" s="28"/>
      <c r="AI3684" s="28" t="n">
        <f aca="false">AH3684*$M3684</f>
        <v>0</v>
      </c>
      <c r="AJ3684" s="28"/>
      <c r="AK3684" s="28" t="n">
        <f aca="false">AJ3684*$M3684</f>
        <v>0</v>
      </c>
      <c r="AL3684" s="28" t="n">
        <f aca="false">4108/100</f>
        <v>41.08</v>
      </c>
      <c r="AM3684" s="28" t="n">
        <v>1109</v>
      </c>
      <c r="AN3684" s="28"/>
      <c r="AO3684" s="28" t="n">
        <f aca="false">AN3684*$M3684</f>
        <v>0</v>
      </c>
      <c r="AP3684" s="28"/>
      <c r="AQ3684" s="28" t="n">
        <f aca="false">AP3684*$M3684</f>
        <v>0</v>
      </c>
      <c r="AR3684" s="28" t="n">
        <f aca="false">37084/100</f>
        <v>370.84</v>
      </c>
      <c r="AS3684" s="36" t="n">
        <v>9963</v>
      </c>
      <c r="AT3684" s="28"/>
      <c r="AU3684" s="28" t="n">
        <f aca="false">AT3684*$M3684</f>
        <v>0</v>
      </c>
      <c r="AV3684" s="28"/>
      <c r="AW3684" s="28" t="n">
        <f aca="false">AV3684*$M3684</f>
        <v>0</v>
      </c>
      <c r="AX3684" s="28"/>
      <c r="AY3684" s="28" t="n">
        <f aca="false">AX3684*$M3684</f>
        <v>0</v>
      </c>
      <c r="AZ3684" s="30" t="n">
        <f aca="false">41192/100</f>
        <v>411.92</v>
      </c>
      <c r="BA3684" s="11" t="n">
        <v>11072</v>
      </c>
      <c r="BB3684" s="31" t="n">
        <f aca="false">SUM(Q3684,S3684,U3684,W3684,Y3684,AA3684,AC3684,AE3684,AG3684,AI3684,AK3684,AM3684,AO3684,AQ3684,AS3684,AU3684,AW3684,AY3684)</f>
        <v>11072</v>
      </c>
      <c r="BC3684" s="28" t="n">
        <f aca="false">BA3684-BB3684</f>
        <v>0</v>
      </c>
      <c r="BD3684" s="32" t="n">
        <f aca="false">SUM(P3684,R3684,T3684,V3684,X3684,Z3684,AB3684,AD3684,AF3684,AH3684,AJ3684,AL3684,AN3684,AP3684,AR3684,AT3684,AV3684,AX3684)</f>
        <v>411.92</v>
      </c>
      <c r="BE3684" s="33" t="n">
        <f aca="false">AZ3684-BD3684</f>
        <v>0</v>
      </c>
      <c r="BF3684" s="34" t="n">
        <f aca="false">BD3684*M3684</f>
        <v>11121.84</v>
      </c>
      <c r="BG3684" s="35" t="n">
        <f aca="false">BA3684-BF3684</f>
        <v>-49.8399999999983</v>
      </c>
      <c r="BH3684" s="19" t="str">
        <f aca="false">IF(BG3684=0,"",IF(BG3684&lt;&gt;BA3684,"erreur de calcul",IF(BD3684&lt;&gt;0,"pas de prix",IF(M3684&lt;&gt; 0,"pas de quantité","pas de prix, ni de quantité"))))</f>
        <v>erreur de calcul</v>
      </c>
      <c r="BI3684" s="19"/>
    </row>
    <row r="3685" customFormat="false" ht="15" hidden="false" customHeight="false" outlineLevel="0" collapsed="false">
      <c r="A3685" s="0" t="n">
        <v>9</v>
      </c>
      <c r="B3685" s="8" t="s">
        <v>24</v>
      </c>
      <c r="C3685" s="9" t="s">
        <v>25</v>
      </c>
      <c r="D3685" s="9" t="s">
        <v>26</v>
      </c>
      <c r="E3685" s="10" t="n">
        <v>1789</v>
      </c>
      <c r="F3685" s="9" t="s">
        <v>27</v>
      </c>
      <c r="G3685" s="9" t="s">
        <v>27</v>
      </c>
      <c r="H3685" s="11" t="n">
        <v>23</v>
      </c>
      <c r="I3685" s="11" t="s">
        <v>251</v>
      </c>
      <c r="J3685" s="14" t="n">
        <v>6</v>
      </c>
      <c r="K3685" s="14"/>
      <c r="L3685" s="16"/>
      <c r="M3685" s="27" t="n">
        <f aca="false">J3685+(K3685/20)+(L3685/240)</f>
        <v>6</v>
      </c>
      <c r="N3685" s="17" t="s">
        <v>64</v>
      </c>
      <c r="O3685" s="11"/>
      <c r="P3685" s="28"/>
      <c r="Q3685" s="28" t="n">
        <f aca="false">P3685*$M3685</f>
        <v>0</v>
      </c>
      <c r="R3685" s="28"/>
      <c r="S3685" s="28" t="n">
        <f aca="false">R3685*$M3685</f>
        <v>0</v>
      </c>
      <c r="T3685" s="28"/>
      <c r="U3685" s="28" t="n">
        <f aca="false">T3685*$M3685</f>
        <v>0</v>
      </c>
      <c r="V3685" s="28"/>
      <c r="W3685" s="28" t="n">
        <f aca="false">V3685*$M3685</f>
        <v>0</v>
      </c>
      <c r="X3685" s="28"/>
      <c r="Y3685" s="28" t="n">
        <f aca="false">X3685*$M3685</f>
        <v>0</v>
      </c>
      <c r="Z3685" s="28"/>
      <c r="AA3685" s="28" t="n">
        <f aca="false">Z3685*$M3685</f>
        <v>0</v>
      </c>
      <c r="AB3685" s="28"/>
      <c r="AC3685" s="28" t="n">
        <f aca="false">AB3685*$M3685</f>
        <v>0</v>
      </c>
      <c r="AD3685" s="28"/>
      <c r="AE3685" s="28" t="n">
        <f aca="false">AD3685*$M3685</f>
        <v>0</v>
      </c>
      <c r="AF3685" s="28"/>
      <c r="AG3685" s="28" t="n">
        <f aca="false">AF3685*$M3685</f>
        <v>0</v>
      </c>
      <c r="AH3685" s="28"/>
      <c r="AI3685" s="28" t="n">
        <f aca="false">AH3685*$M3685</f>
        <v>0</v>
      </c>
      <c r="AJ3685" s="28"/>
      <c r="AK3685" s="28" t="n">
        <f aca="false">AJ3685*$M3685</f>
        <v>0</v>
      </c>
      <c r="AL3685" s="28"/>
      <c r="AM3685" s="28" t="n">
        <f aca="false">AL3685*$M3685</f>
        <v>0</v>
      </c>
      <c r="AN3685" s="28"/>
      <c r="AO3685" s="28" t="n">
        <f aca="false">AN3685*$M3685</f>
        <v>0</v>
      </c>
      <c r="AP3685" s="28"/>
      <c r="AQ3685" s="28" t="n">
        <f aca="false">AP3685*$M3685</f>
        <v>0</v>
      </c>
      <c r="AR3685" s="28"/>
      <c r="AS3685" s="28" t="n">
        <f aca="false">AR3685*$M3685</f>
        <v>0</v>
      </c>
      <c r="AT3685" s="28"/>
      <c r="AU3685" s="28" t="n">
        <f aca="false">AT3685*$M3685</f>
        <v>0</v>
      </c>
      <c r="AV3685" s="28"/>
      <c r="AW3685" s="28" t="n">
        <f aca="false">AV3685*$M3685</f>
        <v>0</v>
      </c>
      <c r="AX3685" s="28"/>
      <c r="AY3685" s="28" t="n">
        <f aca="false">AX3685*$M3685</f>
        <v>0</v>
      </c>
      <c r="AZ3685" s="30"/>
      <c r="BA3685" s="11"/>
      <c r="BB3685" s="31" t="n">
        <f aca="false">SUM(Q3685,S3685,U3685,W3685,Y3685,AA3685,AC3685,AE3685,AG3685,AI3685,AK3685,AM3685,AO3685,AQ3685,AS3685,AU3685,AW3685,AY3685)</f>
        <v>0</v>
      </c>
      <c r="BC3685" s="28" t="n">
        <f aca="false">BA3685-BB3685</f>
        <v>0</v>
      </c>
      <c r="BD3685" s="32" t="n">
        <f aca="false">SUM(P3685,R3685,T3685,V3685,X3685,Z3685,AB3685,AD3685,AF3685,AH3685,AJ3685,AL3685,AN3685,AP3685,AR3685,AT3685,AV3685,AX3685)</f>
        <v>0</v>
      </c>
      <c r="BE3685" s="33" t="n">
        <f aca="false">AZ3685-BD3685</f>
        <v>0</v>
      </c>
      <c r="BF3685" s="34" t="n">
        <f aca="false">BD3685*M3685</f>
        <v>0</v>
      </c>
      <c r="BG3685" s="35" t="n">
        <f aca="false">BA3685-BF3685</f>
        <v>0</v>
      </c>
      <c r="BH3685" s="19" t="str">
        <f aca="false">IF(BG3685=0,"",IF(BG3685&lt;&gt;BA3685,"erreur de calcul",IF(BD3685&lt;&gt;0,"pas de prix",IF(M3685&lt;&gt; 0,"pas de quantité","pas de prix, ni de quantité"))))</f>
        <v/>
      </c>
      <c r="BI3685" s="19"/>
    </row>
    <row r="3686" customFormat="false" ht="15" hidden="false" customHeight="false" outlineLevel="0" collapsed="false">
      <c r="A3686" s="0" t="n">
        <v>10</v>
      </c>
      <c r="B3686" s="8" t="s">
        <v>24</v>
      </c>
      <c r="C3686" s="9" t="s">
        <v>25</v>
      </c>
      <c r="D3686" s="9" t="s">
        <v>26</v>
      </c>
      <c r="E3686" s="10" t="n">
        <v>1789</v>
      </c>
      <c r="F3686" s="9" t="s">
        <v>27</v>
      </c>
      <c r="G3686" s="9" t="s">
        <v>27</v>
      </c>
      <c r="H3686" s="11" t="n">
        <v>23</v>
      </c>
      <c r="I3686" s="11" t="s">
        <v>252</v>
      </c>
      <c r="J3686" s="14" t="n">
        <v>240</v>
      </c>
      <c r="K3686" s="14"/>
      <c r="L3686" s="16"/>
      <c r="M3686" s="27" t="n">
        <f aca="false">J3686+(K3686/20)+(L3686/240)</f>
        <v>240</v>
      </c>
      <c r="N3686" s="17" t="s">
        <v>64</v>
      </c>
      <c r="O3686" s="11"/>
      <c r="P3686" s="28"/>
      <c r="Q3686" s="28" t="n">
        <f aca="false">P3686*$M3686</f>
        <v>0</v>
      </c>
      <c r="R3686" s="28"/>
      <c r="S3686" s="28" t="n">
        <f aca="false">R3686*$M3686</f>
        <v>0</v>
      </c>
      <c r="T3686" s="28" t="n">
        <f aca="false">4204/100</f>
        <v>42.04</v>
      </c>
      <c r="U3686" s="28" t="n">
        <v>10090</v>
      </c>
      <c r="V3686" s="28" t="n">
        <f aca="false">2799/100</f>
        <v>27.99</v>
      </c>
      <c r="W3686" s="28" t="n">
        <v>6718</v>
      </c>
      <c r="X3686" s="28" t="n">
        <f aca="false">2536/100</f>
        <v>25.36</v>
      </c>
      <c r="Y3686" s="28" t="n">
        <v>6086</v>
      </c>
      <c r="Z3686" s="28" t="n">
        <f aca="false">3393/100</f>
        <v>33.93</v>
      </c>
      <c r="AA3686" s="28" t="n">
        <v>8143</v>
      </c>
      <c r="AB3686" s="28" t="n">
        <f aca="false">242/100</f>
        <v>2.42</v>
      </c>
      <c r="AC3686" s="28" t="n">
        <v>581</v>
      </c>
      <c r="AD3686" s="28"/>
      <c r="AE3686" s="28" t="n">
        <f aca="false">AD3686*$M3686</f>
        <v>0</v>
      </c>
      <c r="AF3686" s="28"/>
      <c r="AG3686" s="28" t="n">
        <f aca="false">AF3686*$M3686</f>
        <v>0</v>
      </c>
      <c r="AH3686" s="28"/>
      <c r="AI3686" s="28" t="n">
        <f aca="false">AH3686*$M3686</f>
        <v>0</v>
      </c>
      <c r="AJ3686" s="28"/>
      <c r="AK3686" s="28" t="n">
        <f aca="false">AJ3686*$M3686</f>
        <v>0</v>
      </c>
      <c r="AL3686" s="28"/>
      <c r="AM3686" s="28" t="n">
        <f aca="false">AL3686*$M3686</f>
        <v>0</v>
      </c>
      <c r="AN3686" s="28"/>
      <c r="AO3686" s="28" t="n">
        <f aca="false">AN3686*$M3686</f>
        <v>0</v>
      </c>
      <c r="AP3686" s="28"/>
      <c r="AQ3686" s="28" t="n">
        <f aca="false">AP3686*$M3686</f>
        <v>0</v>
      </c>
      <c r="AR3686" s="28"/>
      <c r="AS3686" s="28" t="n">
        <f aca="false">AR3686*$M3686</f>
        <v>0</v>
      </c>
      <c r="AT3686" s="28"/>
      <c r="AU3686" s="28" t="n">
        <f aca="false">AT3686*$M3686</f>
        <v>0</v>
      </c>
      <c r="AV3686" s="28"/>
      <c r="AW3686" s="28" t="n">
        <f aca="false">AV3686*$M3686</f>
        <v>0</v>
      </c>
      <c r="AX3686" s="28"/>
      <c r="AY3686" s="28" t="n">
        <f aca="false">AX3686*$M3686</f>
        <v>0</v>
      </c>
      <c r="AZ3686" s="30" t="n">
        <f aca="false">13174/100</f>
        <v>131.74</v>
      </c>
      <c r="BA3686" s="11" t="n">
        <v>31618</v>
      </c>
      <c r="BB3686" s="31" t="n">
        <f aca="false">SUM(Q3686,S3686,U3686,W3686,Y3686,AA3686,AC3686,AE3686,AG3686,AI3686,AK3686,AM3686,AO3686,AQ3686,AS3686,AU3686,AW3686,AY3686)</f>
        <v>31618</v>
      </c>
      <c r="BC3686" s="28" t="n">
        <f aca="false">BA3686-BB3686</f>
        <v>0</v>
      </c>
      <c r="BD3686" s="32" t="n">
        <f aca="false">SUM(P3686,R3686,T3686,V3686,X3686,Z3686,AB3686,AD3686,AF3686,AH3686,AJ3686,AL3686,AN3686,AP3686,AR3686,AT3686,AV3686,AX3686)</f>
        <v>131.74</v>
      </c>
      <c r="BE3686" s="33" t="n">
        <f aca="false">AZ3686-BD3686</f>
        <v>0</v>
      </c>
      <c r="BF3686" s="34" t="n">
        <f aca="false">BD3686*M3686</f>
        <v>31617.6</v>
      </c>
      <c r="BG3686" s="35" t="n">
        <f aca="false">BA3686-BF3686</f>
        <v>0.399999999997817</v>
      </c>
      <c r="BH3686" s="19" t="str">
        <f aca="false">IF(BG3686=0,"",IF(BG3686&lt;&gt;BA3686,"erreur de calcul",IF(BD3686&lt;&gt;0,"pas de prix",IF(M3686&lt;&gt; 0,"pas de quantité","pas de prix, ni de quantité"))))</f>
        <v>erreur de calcul</v>
      </c>
      <c r="BI3686" s="19"/>
    </row>
    <row r="3687" customFormat="false" ht="15" hidden="false" customHeight="false" outlineLevel="0" collapsed="false">
      <c r="A3687" s="0" t="n">
        <v>11</v>
      </c>
      <c r="B3687" s="8" t="s">
        <v>24</v>
      </c>
      <c r="C3687" s="9" t="s">
        <v>25</v>
      </c>
      <c r="D3687" s="9" t="s">
        <v>26</v>
      </c>
      <c r="E3687" s="10" t="n">
        <v>1789</v>
      </c>
      <c r="F3687" s="9" t="s">
        <v>27</v>
      </c>
      <c r="G3687" s="9" t="s">
        <v>27</v>
      </c>
      <c r="H3687" s="11" t="n">
        <v>23</v>
      </c>
      <c r="I3687" s="11" t="s">
        <v>253</v>
      </c>
      <c r="J3687" s="14" t="n">
        <v>190</v>
      </c>
      <c r="K3687" s="14"/>
      <c r="L3687" s="16"/>
      <c r="M3687" s="27" t="n">
        <f aca="false">J3687+(K3687/20)+(L3687/240)</f>
        <v>190</v>
      </c>
      <c r="N3687" s="17" t="s">
        <v>64</v>
      </c>
      <c r="O3687" s="11"/>
      <c r="P3687" s="28"/>
      <c r="Q3687" s="28" t="n">
        <f aca="false">P3687*$M3687</f>
        <v>0</v>
      </c>
      <c r="R3687" s="28"/>
      <c r="S3687" s="28" t="n">
        <f aca="false">R3687*$M3687</f>
        <v>0</v>
      </c>
      <c r="T3687" s="28"/>
      <c r="U3687" s="28" t="n">
        <f aca="false">T3687*$M3687</f>
        <v>0</v>
      </c>
      <c r="V3687" s="28" t="n">
        <f aca="false">14963/100</f>
        <v>149.63</v>
      </c>
      <c r="W3687" s="36" t="n">
        <v>28420</v>
      </c>
      <c r="X3687" s="28"/>
      <c r="Y3687" s="28" t="n">
        <f aca="false">X3687*$M3687</f>
        <v>0</v>
      </c>
      <c r="Z3687" s="28"/>
      <c r="AA3687" s="28" t="n">
        <f aca="false">Z3687*$M3687</f>
        <v>0</v>
      </c>
      <c r="AB3687" s="28"/>
      <c r="AC3687" s="28" t="n">
        <f aca="false">AB3687*$M3687</f>
        <v>0</v>
      </c>
      <c r="AD3687" s="28"/>
      <c r="AE3687" s="28" t="n">
        <f aca="false">AD3687*$M3687</f>
        <v>0</v>
      </c>
      <c r="AF3687" s="28"/>
      <c r="AG3687" s="28" t="n">
        <f aca="false">AF3687*$M3687</f>
        <v>0</v>
      </c>
      <c r="AH3687" s="28"/>
      <c r="AI3687" s="28" t="n">
        <f aca="false">AH3687*$M3687</f>
        <v>0</v>
      </c>
      <c r="AJ3687" s="28"/>
      <c r="AK3687" s="28" t="n">
        <f aca="false">AJ3687*$M3687</f>
        <v>0</v>
      </c>
      <c r="AL3687" s="28"/>
      <c r="AM3687" s="28" t="n">
        <f aca="false">AL3687*$M3687</f>
        <v>0</v>
      </c>
      <c r="AN3687" s="28"/>
      <c r="AO3687" s="28" t="n">
        <f aca="false">AN3687*$M3687</f>
        <v>0</v>
      </c>
      <c r="AP3687" s="28"/>
      <c r="AQ3687" s="28" t="n">
        <f aca="false">AP3687*$M3687</f>
        <v>0</v>
      </c>
      <c r="AR3687" s="28"/>
      <c r="AS3687" s="28" t="n">
        <f aca="false">AR3687*$M3687</f>
        <v>0</v>
      </c>
      <c r="AT3687" s="28"/>
      <c r="AU3687" s="28" t="n">
        <f aca="false">AT3687*$M3687</f>
        <v>0</v>
      </c>
      <c r="AV3687" s="28"/>
      <c r="AW3687" s="28" t="n">
        <f aca="false">AV3687*$M3687</f>
        <v>0</v>
      </c>
      <c r="AX3687" s="28"/>
      <c r="AY3687" s="28" t="n">
        <f aca="false">AX3687*$M3687</f>
        <v>0</v>
      </c>
      <c r="AZ3687" s="30" t="n">
        <f aca="false">14963/100</f>
        <v>149.63</v>
      </c>
      <c r="BA3687" s="11" t="n">
        <v>28420</v>
      </c>
      <c r="BB3687" s="31" t="n">
        <f aca="false">SUM(Q3687,S3687,U3687,W3687,Y3687,AA3687,AC3687,AE3687,AG3687,AI3687,AK3687,AM3687,AO3687,AQ3687,AS3687,AU3687,AW3687,AY3687)</f>
        <v>28420</v>
      </c>
      <c r="BC3687" s="28" t="n">
        <f aca="false">BA3687-BB3687</f>
        <v>0</v>
      </c>
      <c r="BD3687" s="32" t="n">
        <f aca="false">SUM(P3687,R3687,T3687,V3687,X3687,Z3687,AB3687,AD3687,AF3687,AH3687,AJ3687,AL3687,AN3687,AP3687,AR3687,AT3687,AV3687,AX3687)</f>
        <v>149.63</v>
      </c>
      <c r="BE3687" s="33" t="n">
        <f aca="false">AZ3687-BD3687</f>
        <v>0</v>
      </c>
      <c r="BF3687" s="34" t="n">
        <f aca="false">BD3687*M3687</f>
        <v>28429.7</v>
      </c>
      <c r="BG3687" s="35" t="n">
        <f aca="false">BA3687-BF3687</f>
        <v>-9.70000000000073</v>
      </c>
      <c r="BH3687" s="19" t="str">
        <f aca="false">IF(BG3687=0,"",IF(BG3687&lt;&gt;BA3687,"erreur de calcul",IF(BD3687&lt;&gt;0,"pas de prix",IF(M3687&lt;&gt; 0,"pas de quantité","pas de prix, ni de quantité"))))</f>
        <v>erreur de calcul</v>
      </c>
      <c r="BI3687" s="19"/>
    </row>
    <row r="3688" customFormat="false" ht="15" hidden="false" customHeight="false" outlineLevel="0" collapsed="false">
      <c r="A3688" s="0" t="n">
        <v>12</v>
      </c>
      <c r="B3688" s="8" t="s">
        <v>24</v>
      </c>
      <c r="C3688" s="9" t="s">
        <v>25</v>
      </c>
      <c r="D3688" s="9" t="s">
        <v>26</v>
      </c>
      <c r="E3688" s="10" t="n">
        <v>1789</v>
      </c>
      <c r="F3688" s="9" t="s">
        <v>27</v>
      </c>
      <c r="G3688" s="9" t="s">
        <v>27</v>
      </c>
      <c r="H3688" s="11" t="n">
        <v>23</v>
      </c>
      <c r="I3688" s="11" t="s">
        <v>254</v>
      </c>
      <c r="J3688" s="14" t="n">
        <v>14</v>
      </c>
      <c r="K3688" s="14"/>
      <c r="L3688" s="16"/>
      <c r="M3688" s="27" t="n">
        <f aca="false">J3688+(K3688/20)+(L3688/240)</f>
        <v>14</v>
      </c>
      <c r="N3688" s="17" t="s">
        <v>64</v>
      </c>
      <c r="O3688" s="11"/>
      <c r="P3688" s="28"/>
      <c r="Q3688" s="28" t="n">
        <f aca="false">P3688*$M3688</f>
        <v>0</v>
      </c>
      <c r="R3688" s="28"/>
      <c r="S3688" s="28" t="n">
        <f aca="false">R3688*$M3688</f>
        <v>0</v>
      </c>
      <c r="T3688" s="28"/>
      <c r="U3688" s="28" t="n">
        <f aca="false">T3688*$M3688</f>
        <v>0</v>
      </c>
      <c r="V3688" s="28"/>
      <c r="W3688" s="28" t="n">
        <f aca="false">V3688*$M3688</f>
        <v>0</v>
      </c>
      <c r="X3688" s="28" t="n">
        <f aca="false">445483/100</f>
        <v>4454.83</v>
      </c>
      <c r="Y3688" s="28" t="n">
        <v>62368</v>
      </c>
      <c r="Z3688" s="28"/>
      <c r="AA3688" s="28" t="n">
        <f aca="false">Z3688*$M3688</f>
        <v>0</v>
      </c>
      <c r="AB3688" s="28"/>
      <c r="AC3688" s="28" t="n">
        <f aca="false">AB3688*$M3688</f>
        <v>0</v>
      </c>
      <c r="AD3688" s="28"/>
      <c r="AE3688" s="28" t="n">
        <f aca="false">AD3688*$M3688</f>
        <v>0</v>
      </c>
      <c r="AF3688" s="28"/>
      <c r="AG3688" s="28" t="n">
        <f aca="false">AF3688*$M3688</f>
        <v>0</v>
      </c>
      <c r="AH3688" s="28"/>
      <c r="AI3688" s="28" t="n">
        <f aca="false">AH3688*$M3688</f>
        <v>0</v>
      </c>
      <c r="AJ3688" s="28"/>
      <c r="AK3688" s="28" t="n">
        <f aca="false">AJ3688*$M3688</f>
        <v>0</v>
      </c>
      <c r="AL3688" s="28"/>
      <c r="AM3688" s="28" t="n">
        <f aca="false">AL3688*$M3688</f>
        <v>0</v>
      </c>
      <c r="AN3688" s="28"/>
      <c r="AO3688" s="28" t="n">
        <f aca="false">AN3688*$M3688</f>
        <v>0</v>
      </c>
      <c r="AP3688" s="28"/>
      <c r="AQ3688" s="28" t="n">
        <f aca="false">AP3688*$M3688</f>
        <v>0</v>
      </c>
      <c r="AR3688" s="28"/>
      <c r="AS3688" s="28" t="n">
        <f aca="false">AR3688*$M3688</f>
        <v>0</v>
      </c>
      <c r="AT3688" s="28"/>
      <c r="AU3688" s="28" t="n">
        <f aca="false">AT3688*$M3688</f>
        <v>0</v>
      </c>
      <c r="AV3688" s="28"/>
      <c r="AW3688" s="28" t="n">
        <f aca="false">AV3688*$M3688</f>
        <v>0</v>
      </c>
      <c r="AX3688" s="28"/>
      <c r="AY3688" s="28" t="n">
        <f aca="false">AX3688*$M3688</f>
        <v>0</v>
      </c>
      <c r="AZ3688" s="30" t="n">
        <f aca="false">445483/100</f>
        <v>4454.83</v>
      </c>
      <c r="BA3688" s="11" t="n">
        <v>62368</v>
      </c>
      <c r="BB3688" s="31" t="n">
        <f aca="false">SUM(Q3688,S3688,U3688,W3688,Y3688,AA3688,AC3688,AE3688,AG3688,AI3688,AK3688,AM3688,AO3688,AQ3688,AS3688,AU3688,AW3688,AY3688)</f>
        <v>62368</v>
      </c>
      <c r="BC3688" s="28" t="n">
        <f aca="false">BA3688-BB3688</f>
        <v>0</v>
      </c>
      <c r="BD3688" s="32" t="n">
        <f aca="false">SUM(P3688,R3688,T3688,V3688,X3688,Z3688,AB3688,AD3688,AF3688,AH3688,AJ3688,AL3688,AN3688,AP3688,AR3688,AT3688,AV3688,AX3688)</f>
        <v>4454.83</v>
      </c>
      <c r="BE3688" s="33" t="n">
        <f aca="false">AZ3688-BD3688</f>
        <v>0</v>
      </c>
      <c r="BF3688" s="34" t="n">
        <f aca="false">BD3688*M3688</f>
        <v>62367.62</v>
      </c>
      <c r="BG3688" s="35" t="n">
        <f aca="false">BA3688-BF3688</f>
        <v>0.380000000004657</v>
      </c>
      <c r="BH3688" s="19" t="str">
        <f aca="false">IF(BG3688=0,"",IF(BG3688&lt;&gt;BA3688,"erreur de calcul",IF(BD3688&lt;&gt;0,"pas de prix",IF(M3688&lt;&gt; 0,"pas de quantité","pas de prix, ni de quantité"))))</f>
        <v>erreur de calcul</v>
      </c>
      <c r="BI3688" s="19"/>
    </row>
    <row r="3689" customFormat="false" ht="15" hidden="false" customHeight="false" outlineLevel="0" collapsed="false">
      <c r="A3689" s="0" t="n">
        <v>13</v>
      </c>
      <c r="B3689" s="8" t="s">
        <v>24</v>
      </c>
      <c r="C3689" s="9" t="s">
        <v>25</v>
      </c>
      <c r="D3689" s="9" t="s">
        <v>26</v>
      </c>
      <c r="E3689" s="10" t="n">
        <v>1789</v>
      </c>
      <c r="F3689" s="9" t="s">
        <v>27</v>
      </c>
      <c r="G3689" s="9" t="s">
        <v>27</v>
      </c>
      <c r="H3689" s="11" t="n">
        <v>23</v>
      </c>
      <c r="I3689" s="11" t="s">
        <v>255</v>
      </c>
      <c r="J3689" s="14" t="n">
        <v>6</v>
      </c>
      <c r="K3689" s="14"/>
      <c r="L3689" s="16"/>
      <c r="M3689" s="27" t="n">
        <f aca="false">J3689+(K3689/20)+(L3689/240)</f>
        <v>6</v>
      </c>
      <c r="N3689" s="17" t="s">
        <v>64</v>
      </c>
      <c r="O3689" s="11"/>
      <c r="P3689" s="28"/>
      <c r="Q3689" s="28" t="n">
        <f aca="false">P3689*$M3689</f>
        <v>0</v>
      </c>
      <c r="R3689" s="28"/>
      <c r="S3689" s="28" t="n">
        <f aca="false">R3689*$M3689</f>
        <v>0</v>
      </c>
      <c r="T3689" s="28"/>
      <c r="U3689" s="28" t="n">
        <f aca="false">T3689*$M3689</f>
        <v>0</v>
      </c>
      <c r="V3689" s="28" t="n">
        <f aca="false">8263/100</f>
        <v>82.63</v>
      </c>
      <c r="W3689" s="28" t="n">
        <v>496</v>
      </c>
      <c r="X3689" s="28"/>
      <c r="Y3689" s="28" t="n">
        <f aca="false">X3689*$M3689</f>
        <v>0</v>
      </c>
      <c r="Z3689" s="28" t="n">
        <f aca="false">62695/100</f>
        <v>626.95</v>
      </c>
      <c r="AA3689" s="28" t="n">
        <v>3762</v>
      </c>
      <c r="AB3689" s="28"/>
      <c r="AC3689" s="28" t="n">
        <f aca="false">AB3689*$M3689</f>
        <v>0</v>
      </c>
      <c r="AD3689" s="28"/>
      <c r="AE3689" s="28" t="n">
        <f aca="false">AD3689*$M3689</f>
        <v>0</v>
      </c>
      <c r="AF3689" s="28"/>
      <c r="AG3689" s="28" t="n">
        <f aca="false">AF3689*$M3689</f>
        <v>0</v>
      </c>
      <c r="AH3689" s="28"/>
      <c r="AI3689" s="28" t="n">
        <f aca="false">AH3689*$M3689</f>
        <v>0</v>
      </c>
      <c r="AJ3689" s="28"/>
      <c r="AK3689" s="28" t="n">
        <f aca="false">AJ3689*$M3689</f>
        <v>0</v>
      </c>
      <c r="AL3689" s="28"/>
      <c r="AM3689" s="28" t="n">
        <f aca="false">AL3689*$M3689</f>
        <v>0</v>
      </c>
      <c r="AN3689" s="28"/>
      <c r="AO3689" s="28" t="n">
        <f aca="false">AN3689*$M3689</f>
        <v>0</v>
      </c>
      <c r="AP3689" s="28"/>
      <c r="AQ3689" s="28" t="n">
        <f aca="false">AP3689*$M3689</f>
        <v>0</v>
      </c>
      <c r="AR3689" s="28"/>
      <c r="AS3689" s="28" t="n">
        <f aca="false">AR3689*$M3689</f>
        <v>0</v>
      </c>
      <c r="AT3689" s="28"/>
      <c r="AU3689" s="28" t="n">
        <f aca="false">AT3689*$M3689</f>
        <v>0</v>
      </c>
      <c r="AV3689" s="28"/>
      <c r="AW3689" s="28" t="n">
        <f aca="false">AV3689*$M3689</f>
        <v>0</v>
      </c>
      <c r="AX3689" s="28"/>
      <c r="AY3689" s="28" t="n">
        <f aca="false">AX3689*$M3689</f>
        <v>0</v>
      </c>
      <c r="AZ3689" s="30" t="n">
        <f aca="false">70958/100</f>
        <v>709.58</v>
      </c>
      <c r="BA3689" s="11" t="n">
        <v>4258</v>
      </c>
      <c r="BB3689" s="31" t="n">
        <f aca="false">SUM(Q3689,S3689,U3689,W3689,Y3689,AA3689,AC3689,AE3689,AG3689,AI3689,AK3689,AM3689,AO3689,AQ3689,AS3689,AU3689,AW3689,AY3689)</f>
        <v>4258</v>
      </c>
      <c r="BC3689" s="28" t="n">
        <f aca="false">BA3689-BB3689</f>
        <v>0</v>
      </c>
      <c r="BD3689" s="32" t="n">
        <f aca="false">SUM(P3689,R3689,T3689,V3689,X3689,Z3689,AB3689,AD3689,AF3689,AH3689,AJ3689,AL3689,AN3689,AP3689,AR3689,AT3689,AV3689,AX3689)</f>
        <v>709.58</v>
      </c>
      <c r="BE3689" s="33" t="n">
        <f aca="false">AZ3689-BD3689</f>
        <v>0</v>
      </c>
      <c r="BF3689" s="34" t="n">
        <f aca="false">BD3689*M3689</f>
        <v>4257.48</v>
      </c>
      <c r="BG3689" s="35" t="n">
        <f aca="false">BA3689-BF3689</f>
        <v>0.519999999999527</v>
      </c>
      <c r="BH3689" s="19" t="str">
        <f aca="false">IF(BG3689=0,"",IF(BG3689&lt;&gt;BA3689,"erreur de calcul",IF(BD3689&lt;&gt;0,"pas de prix",IF(M3689&lt;&gt; 0,"pas de quantité","pas de prix, ni de quantité"))))</f>
        <v>erreur de calcul</v>
      </c>
      <c r="BI3689" s="19"/>
    </row>
    <row r="3690" customFormat="false" ht="15" hidden="false" customHeight="false" outlineLevel="0" collapsed="false">
      <c r="A3690" s="0" t="n">
        <v>14</v>
      </c>
      <c r="B3690" s="8" t="s">
        <v>24</v>
      </c>
      <c r="C3690" s="9" t="s">
        <v>25</v>
      </c>
      <c r="D3690" s="9" t="s">
        <v>26</v>
      </c>
      <c r="E3690" s="10" t="n">
        <v>1789</v>
      </c>
      <c r="F3690" s="9" t="s">
        <v>27</v>
      </c>
      <c r="G3690" s="9" t="s">
        <v>27</v>
      </c>
      <c r="H3690" s="11" t="n">
        <v>23</v>
      </c>
      <c r="I3690" s="11" t="s">
        <v>256</v>
      </c>
      <c r="J3690" s="14" t="n">
        <v>30</v>
      </c>
      <c r="K3690" s="14"/>
      <c r="L3690" s="16"/>
      <c r="M3690" s="27" t="n">
        <f aca="false">J3690+(K3690/20)+(L3690/240)</f>
        <v>30</v>
      </c>
      <c r="N3690" s="17" t="s">
        <v>64</v>
      </c>
      <c r="O3690" s="11"/>
      <c r="P3690" s="28" t="n">
        <f aca="false">1584/100</f>
        <v>15.84</v>
      </c>
      <c r="Q3690" s="28" t="n">
        <v>475</v>
      </c>
      <c r="R3690" s="28"/>
      <c r="S3690" s="28" t="n">
        <f aca="false">R3690*$M3690</f>
        <v>0</v>
      </c>
      <c r="T3690" s="28" t="n">
        <f aca="false">78834/100</f>
        <v>788.34</v>
      </c>
      <c r="U3690" s="28" t="n">
        <v>23650</v>
      </c>
      <c r="V3690" s="28"/>
      <c r="W3690" s="28" t="n">
        <f aca="false">V3690*$M3690</f>
        <v>0</v>
      </c>
      <c r="X3690" s="28"/>
      <c r="Y3690" s="28" t="n">
        <f aca="false">X3690*$M3690</f>
        <v>0</v>
      </c>
      <c r="Z3690" s="28"/>
      <c r="AA3690" s="28" t="n">
        <f aca="false">Z3690*$M3690</f>
        <v>0</v>
      </c>
      <c r="AB3690" s="28"/>
      <c r="AC3690" s="28" t="n">
        <f aca="false">AB3690*$M3690</f>
        <v>0</v>
      </c>
      <c r="AD3690" s="28"/>
      <c r="AE3690" s="28" t="n">
        <f aca="false">AD3690*$M3690</f>
        <v>0</v>
      </c>
      <c r="AF3690" s="28"/>
      <c r="AG3690" s="28" t="n">
        <f aca="false">AF3690*$M3690</f>
        <v>0</v>
      </c>
      <c r="AH3690" s="28"/>
      <c r="AI3690" s="28" t="n">
        <f aca="false">AH3690*$M3690</f>
        <v>0</v>
      </c>
      <c r="AJ3690" s="28"/>
      <c r="AK3690" s="28" t="n">
        <f aca="false">AJ3690*$M3690</f>
        <v>0</v>
      </c>
      <c r="AL3690" s="28"/>
      <c r="AM3690" s="28" t="n">
        <f aca="false">AL3690*$M3690</f>
        <v>0</v>
      </c>
      <c r="AN3690" s="28"/>
      <c r="AO3690" s="28" t="n">
        <f aca="false">AN3690*$M3690</f>
        <v>0</v>
      </c>
      <c r="AP3690" s="28"/>
      <c r="AQ3690" s="28" t="n">
        <f aca="false">AP3690*$M3690</f>
        <v>0</v>
      </c>
      <c r="AR3690" s="28"/>
      <c r="AS3690" s="28" t="n">
        <f aca="false">AR3690*$M3690</f>
        <v>0</v>
      </c>
      <c r="AT3690" s="28"/>
      <c r="AU3690" s="28" t="n">
        <f aca="false">AT3690*$M3690</f>
        <v>0</v>
      </c>
      <c r="AV3690" s="28"/>
      <c r="AW3690" s="28" t="n">
        <f aca="false">AV3690*$M3690</f>
        <v>0</v>
      </c>
      <c r="AX3690" s="28"/>
      <c r="AY3690" s="28" t="n">
        <f aca="false">AX3690*$M3690</f>
        <v>0</v>
      </c>
      <c r="AZ3690" s="30" t="n">
        <f aca="false">80418/100</f>
        <v>804.18</v>
      </c>
      <c r="BA3690" s="11" t="n">
        <v>24125</v>
      </c>
      <c r="BB3690" s="31" t="n">
        <f aca="false">SUM(Q3690,S3690,U3690,W3690,Y3690,AA3690,AC3690,AE3690,AG3690,AI3690,AK3690,AM3690,AO3690,AQ3690,AS3690,AU3690,AW3690,AY3690)</f>
        <v>24125</v>
      </c>
      <c r="BC3690" s="28" t="n">
        <f aca="false">BA3690-BB3690</f>
        <v>0</v>
      </c>
      <c r="BD3690" s="32" t="n">
        <f aca="false">SUM(P3690,R3690,T3690,V3690,X3690,Z3690,AB3690,AD3690,AF3690,AH3690,AJ3690,AL3690,AN3690,AP3690,AR3690,AT3690,AV3690,AX3690)</f>
        <v>804.18</v>
      </c>
      <c r="BE3690" s="33" t="n">
        <f aca="false">AZ3690-BD3690</f>
        <v>0</v>
      </c>
      <c r="BF3690" s="34" t="n">
        <f aca="false">BD3690*M3690</f>
        <v>24125.4</v>
      </c>
      <c r="BG3690" s="35" t="n">
        <f aca="false">BA3690-BF3690</f>
        <v>-0.400000000001455</v>
      </c>
      <c r="BH3690" s="19" t="str">
        <f aca="false">IF(BG3690=0,"",IF(BG3690&lt;&gt;BA3690,"erreur de calcul",IF(BD3690&lt;&gt;0,"pas de prix",IF(M3690&lt;&gt; 0,"pas de quantité","pas de prix, ni de quantité"))))</f>
        <v>erreur de calcul</v>
      </c>
      <c r="BI3690" s="19"/>
    </row>
    <row r="3691" customFormat="false" ht="15" hidden="false" customHeight="false" outlineLevel="0" collapsed="false">
      <c r="A3691" s="0" t="n">
        <v>15</v>
      </c>
      <c r="B3691" s="8" t="s">
        <v>24</v>
      </c>
      <c r="C3691" s="9" t="s">
        <v>25</v>
      </c>
      <c r="D3691" s="9" t="s">
        <v>26</v>
      </c>
      <c r="E3691" s="10" t="n">
        <v>1789</v>
      </c>
      <c r="F3691" s="9" t="s">
        <v>27</v>
      </c>
      <c r="G3691" s="9" t="s">
        <v>27</v>
      </c>
      <c r="H3691" s="11" t="n">
        <v>23</v>
      </c>
      <c r="I3691" s="11" t="s">
        <v>257</v>
      </c>
      <c r="J3691" s="14" t="n">
        <v>40</v>
      </c>
      <c r="K3691" s="14"/>
      <c r="L3691" s="16"/>
      <c r="M3691" s="27" t="n">
        <f aca="false">J3691+(K3691/20)+(L3691/240)</f>
        <v>40</v>
      </c>
      <c r="N3691" s="17" t="s">
        <v>64</v>
      </c>
      <c r="O3691" s="11"/>
      <c r="P3691" s="28"/>
      <c r="Q3691" s="28" t="n">
        <f aca="false">P3691*$M3691</f>
        <v>0</v>
      </c>
      <c r="R3691" s="28"/>
      <c r="S3691" s="28" t="n">
        <f aca="false">R3691*$M3691</f>
        <v>0</v>
      </c>
      <c r="T3691" s="28"/>
      <c r="U3691" s="28" t="n">
        <f aca="false">T3691*$M3691</f>
        <v>0</v>
      </c>
      <c r="V3691" s="28"/>
      <c r="W3691" s="28" t="n">
        <f aca="false">V3691*$M3691</f>
        <v>0</v>
      </c>
      <c r="X3691" s="28"/>
      <c r="Y3691" s="28" t="n">
        <f aca="false">X3691*$M3691</f>
        <v>0</v>
      </c>
      <c r="Z3691" s="28"/>
      <c r="AA3691" s="28" t="n">
        <f aca="false">Z3691*$M3691</f>
        <v>0</v>
      </c>
      <c r="AB3691" s="28"/>
      <c r="AC3691" s="28" t="n">
        <f aca="false">AB3691*$M3691</f>
        <v>0</v>
      </c>
      <c r="AD3691" s="28"/>
      <c r="AE3691" s="28" t="n">
        <f aca="false">AD3691*$M3691</f>
        <v>0</v>
      </c>
      <c r="AF3691" s="28"/>
      <c r="AG3691" s="28" t="n">
        <f aca="false">AF3691*$M3691</f>
        <v>0</v>
      </c>
      <c r="AH3691" s="28"/>
      <c r="AI3691" s="28" t="n">
        <f aca="false">AH3691*$M3691</f>
        <v>0</v>
      </c>
      <c r="AJ3691" s="28" t="n">
        <f aca="false">784564/100</f>
        <v>7845.64</v>
      </c>
      <c r="AK3691" s="28" t="n">
        <v>313826</v>
      </c>
      <c r="AL3691" s="28" t="n">
        <f aca="false">33500/100</f>
        <v>335</v>
      </c>
      <c r="AM3691" s="28" t="n">
        <v>13400</v>
      </c>
      <c r="AN3691" s="28"/>
      <c r="AO3691" s="28" t="n">
        <f aca="false">AN3691*$M3691</f>
        <v>0</v>
      </c>
      <c r="AP3691" s="28"/>
      <c r="AQ3691" s="28" t="n">
        <f aca="false">AP3691*$M3691</f>
        <v>0</v>
      </c>
      <c r="AR3691" s="28"/>
      <c r="AS3691" s="28" t="n">
        <f aca="false">AR3691*$M3691</f>
        <v>0</v>
      </c>
      <c r="AT3691" s="28"/>
      <c r="AU3691" s="28" t="n">
        <f aca="false">AT3691*$M3691</f>
        <v>0</v>
      </c>
      <c r="AV3691" s="28"/>
      <c r="AW3691" s="28" t="n">
        <f aca="false">AV3691*$M3691</f>
        <v>0</v>
      </c>
      <c r="AX3691" s="28"/>
      <c r="AY3691" s="28" t="n">
        <f aca="false">AX3691*$M3691</f>
        <v>0</v>
      </c>
      <c r="AZ3691" s="30" t="n">
        <f aca="false">818064/100</f>
        <v>8180.64</v>
      </c>
      <c r="BA3691" s="11" t="n">
        <v>327226</v>
      </c>
      <c r="BB3691" s="31" t="n">
        <f aca="false">SUM(Q3691,S3691,U3691,W3691,Y3691,AA3691,AC3691,AE3691,AG3691,AI3691,AK3691,AM3691,AO3691,AQ3691,AS3691,AU3691,AW3691,AY3691)</f>
        <v>327226</v>
      </c>
      <c r="BC3691" s="28" t="n">
        <f aca="false">BA3691-BB3691</f>
        <v>0</v>
      </c>
      <c r="BD3691" s="32" t="n">
        <f aca="false">SUM(P3691,R3691,T3691,V3691,X3691,Z3691,AB3691,AD3691,AF3691,AH3691,AJ3691,AL3691,AN3691,AP3691,AR3691,AT3691,AV3691,AX3691)</f>
        <v>8180.64</v>
      </c>
      <c r="BE3691" s="33" t="n">
        <f aca="false">AZ3691-BD3691</f>
        <v>0</v>
      </c>
      <c r="BF3691" s="34" t="n">
        <f aca="false">BD3691*M3691</f>
        <v>327225.6</v>
      </c>
      <c r="BG3691" s="35" t="n">
        <f aca="false">BA3691-BF3691</f>
        <v>0.399999999965075</v>
      </c>
      <c r="BH3691" s="19" t="str">
        <f aca="false">IF(BG3691=0,"",IF(BG3691&lt;&gt;BA3691,"erreur de calcul",IF(BD3691&lt;&gt;0,"pas de prix",IF(M3691&lt;&gt; 0,"pas de quantité","pas de prix, ni de quantité"))))</f>
        <v>erreur de calcul</v>
      </c>
      <c r="BI3691" s="19"/>
    </row>
    <row r="3692" customFormat="false" ht="15" hidden="false" customHeight="false" outlineLevel="0" collapsed="false">
      <c r="A3692" s="0" t="n">
        <v>16</v>
      </c>
      <c r="B3692" s="8" t="s">
        <v>24</v>
      </c>
      <c r="C3692" s="9" t="s">
        <v>25</v>
      </c>
      <c r="D3692" s="9" t="s">
        <v>26</v>
      </c>
      <c r="E3692" s="10" t="n">
        <v>1789</v>
      </c>
      <c r="F3692" s="9" t="s">
        <v>27</v>
      </c>
      <c r="G3692" s="9" t="s">
        <v>27</v>
      </c>
      <c r="H3692" s="11" t="n">
        <v>23</v>
      </c>
      <c r="I3692" s="11" t="s">
        <v>258</v>
      </c>
      <c r="J3692" s="14" t="n">
        <v>75</v>
      </c>
      <c r="K3692" s="14"/>
      <c r="L3692" s="16"/>
      <c r="M3692" s="27" t="n">
        <f aca="false">J3692+(K3692/20)+(L3692/240)</f>
        <v>75</v>
      </c>
      <c r="N3692" s="17" t="s">
        <v>64</v>
      </c>
      <c r="O3692" s="11"/>
      <c r="P3692" s="28"/>
      <c r="Q3692" s="28" t="n">
        <f aca="false">P3692*$M3692</f>
        <v>0</v>
      </c>
      <c r="R3692" s="28"/>
      <c r="S3692" s="28" t="n">
        <f aca="false">R3692*$M3692</f>
        <v>0</v>
      </c>
      <c r="T3692" s="28" t="n">
        <f aca="false">1000/100</f>
        <v>10</v>
      </c>
      <c r="U3692" s="28" t="n">
        <v>750</v>
      </c>
      <c r="V3692" s="28" t="n">
        <f aca="false">17232/100</f>
        <v>172.32</v>
      </c>
      <c r="W3692" s="28" t="n">
        <v>12924</v>
      </c>
      <c r="X3692" s="28" t="n">
        <f aca="false">942/100</f>
        <v>9.42</v>
      </c>
      <c r="Y3692" s="28" t="n">
        <v>706</v>
      </c>
      <c r="Z3692" s="28"/>
      <c r="AA3692" s="28" t="n">
        <f aca="false">Z3692*$M3692</f>
        <v>0</v>
      </c>
      <c r="AB3692" s="28" t="n">
        <f aca="false">415/100</f>
        <v>4.15</v>
      </c>
      <c r="AC3692" s="28" t="n">
        <v>311</v>
      </c>
      <c r="AD3692" s="28"/>
      <c r="AE3692" s="28" t="n">
        <f aca="false">AD3692*$M3692</f>
        <v>0</v>
      </c>
      <c r="AF3692" s="28"/>
      <c r="AG3692" s="28" t="n">
        <f aca="false">AF3692*$M3692</f>
        <v>0</v>
      </c>
      <c r="AH3692" s="28"/>
      <c r="AI3692" s="28" t="n">
        <f aca="false">AH3692*$M3692</f>
        <v>0</v>
      </c>
      <c r="AJ3692" s="28"/>
      <c r="AK3692" s="28" t="n">
        <f aca="false">AJ3692*$M3692</f>
        <v>0</v>
      </c>
      <c r="AL3692" s="28"/>
      <c r="AM3692" s="28" t="n">
        <f aca="false">AL3692*$M3692</f>
        <v>0</v>
      </c>
      <c r="AN3692" s="28"/>
      <c r="AO3692" s="28" t="n">
        <f aca="false">AN3692*$M3692</f>
        <v>0</v>
      </c>
      <c r="AP3692" s="28"/>
      <c r="AQ3692" s="28" t="n">
        <f aca="false">AP3692*$M3692</f>
        <v>0</v>
      </c>
      <c r="AR3692" s="28"/>
      <c r="AS3692" s="28" t="n">
        <f aca="false">AR3692*$M3692</f>
        <v>0</v>
      </c>
      <c r="AT3692" s="28"/>
      <c r="AU3692" s="28" t="n">
        <f aca="false">AT3692*$M3692</f>
        <v>0</v>
      </c>
      <c r="AV3692" s="28"/>
      <c r="AW3692" s="28" t="n">
        <f aca="false">AV3692*$M3692</f>
        <v>0</v>
      </c>
      <c r="AX3692" s="28"/>
      <c r="AY3692" s="28" t="n">
        <f aca="false">AX3692*$M3692</f>
        <v>0</v>
      </c>
      <c r="AZ3692" s="30" t="n">
        <f aca="false">19589/100</f>
        <v>195.89</v>
      </c>
      <c r="BA3692" s="11" t="n">
        <v>14691</v>
      </c>
      <c r="BB3692" s="31" t="n">
        <f aca="false">SUM(Q3692,S3692,U3692,W3692,Y3692,AA3692,AC3692,AE3692,AG3692,AI3692,AK3692,AM3692,AO3692,AQ3692,AS3692,AU3692,AW3692,AY3692)</f>
        <v>14691</v>
      </c>
      <c r="BC3692" s="28" t="n">
        <f aca="false">BA3692-BB3692</f>
        <v>0</v>
      </c>
      <c r="BD3692" s="32" t="n">
        <f aca="false">SUM(P3692,R3692,T3692,V3692,X3692,Z3692,AB3692,AD3692,AF3692,AH3692,AJ3692,AL3692,AN3692,AP3692,AR3692,AT3692,AV3692,AX3692)</f>
        <v>195.89</v>
      </c>
      <c r="BE3692" s="33" t="n">
        <f aca="false">AZ3692-BD3692</f>
        <v>0</v>
      </c>
      <c r="BF3692" s="34" t="n">
        <f aca="false">BD3692*M3692</f>
        <v>14691.75</v>
      </c>
      <c r="BG3692" s="35" t="n">
        <f aca="false">BA3692-BF3692</f>
        <v>-0.749999999998181</v>
      </c>
      <c r="BH3692" s="19" t="str">
        <f aca="false">IF(BG3692=0,"",IF(BG3692&lt;&gt;BA3692,"erreur de calcul",IF(BD3692&lt;&gt;0,"pas de prix",IF(M3692&lt;&gt; 0,"pas de quantité","pas de prix, ni de quantité"))))</f>
        <v>erreur de calcul</v>
      </c>
      <c r="BI3692" s="19"/>
    </row>
    <row r="3693" customFormat="false" ht="15" hidden="false" customHeight="false" outlineLevel="0" collapsed="false">
      <c r="A3693" s="0" t="n">
        <v>17</v>
      </c>
      <c r="B3693" s="8" t="s">
        <v>24</v>
      </c>
      <c r="C3693" s="9" t="s">
        <v>25</v>
      </c>
      <c r="D3693" s="9" t="s">
        <v>26</v>
      </c>
      <c r="E3693" s="10" t="n">
        <v>1789</v>
      </c>
      <c r="F3693" s="9" t="s">
        <v>27</v>
      </c>
      <c r="G3693" s="9" t="s">
        <v>27</v>
      </c>
      <c r="H3693" s="11" t="n">
        <v>23</v>
      </c>
      <c r="I3693" s="11" t="s">
        <v>259</v>
      </c>
      <c r="J3693" s="14"/>
      <c r="K3693" s="14"/>
      <c r="L3693" s="16"/>
      <c r="M3693" s="27" t="n">
        <f aca="false">J3693+(K3693/20)+(L3693/240)</f>
        <v>0</v>
      </c>
      <c r="N3693" s="17"/>
      <c r="O3693" s="11"/>
      <c r="P3693" s="28"/>
      <c r="Q3693" s="28" t="n">
        <v>957</v>
      </c>
      <c r="R3693" s="28"/>
      <c r="S3693" s="28" t="n">
        <f aca="false">R3693*$M3693</f>
        <v>0</v>
      </c>
      <c r="T3693" s="28"/>
      <c r="U3693" s="28" t="n">
        <v>354</v>
      </c>
      <c r="V3693" s="28"/>
      <c r="W3693" s="28" t="n">
        <v>398</v>
      </c>
      <c r="X3693" s="28"/>
      <c r="Y3693" s="28" t="n">
        <v>685</v>
      </c>
      <c r="Z3693" s="28"/>
      <c r="AA3693" s="28" t="n">
        <v>120</v>
      </c>
      <c r="AB3693" s="28"/>
      <c r="AC3693" s="28" t="n">
        <v>2994</v>
      </c>
      <c r="AD3693" s="28"/>
      <c r="AE3693" s="28" t="n">
        <f aca="false">AD3693*$M3693</f>
        <v>0</v>
      </c>
      <c r="AF3693" s="28"/>
      <c r="AG3693" s="28" t="n">
        <f aca="false">AF3693*$M3693</f>
        <v>0</v>
      </c>
      <c r="AH3693" s="28"/>
      <c r="AI3693" s="28" t="n">
        <v>144</v>
      </c>
      <c r="AJ3693" s="28"/>
      <c r="AK3693" s="28" t="n">
        <f aca="false">AJ3693*$M3693</f>
        <v>0</v>
      </c>
      <c r="AL3693" s="28"/>
      <c r="AM3693" s="28" t="n">
        <f aca="false">AL3693*$M3693</f>
        <v>0</v>
      </c>
      <c r="AN3693" s="28"/>
      <c r="AO3693" s="28" t="n">
        <f aca="false">AN3693*$M3693</f>
        <v>0</v>
      </c>
      <c r="AP3693" s="28"/>
      <c r="AQ3693" s="28" t="n">
        <f aca="false">AP3693*$M3693</f>
        <v>0</v>
      </c>
      <c r="AR3693" s="28"/>
      <c r="AS3693" s="28" t="n">
        <f aca="false">AR3693*$M3693</f>
        <v>0</v>
      </c>
      <c r="AT3693" s="28"/>
      <c r="AU3693" s="28" t="n">
        <f aca="false">AT3693*$M3693</f>
        <v>0</v>
      </c>
      <c r="AV3693" s="28"/>
      <c r="AW3693" s="28" t="n">
        <f aca="false">AV3693*$M3693</f>
        <v>0</v>
      </c>
      <c r="AX3693" s="28"/>
      <c r="AY3693" s="28" t="n">
        <f aca="false">AX3693*$M3693</f>
        <v>0</v>
      </c>
      <c r="AZ3693" s="30"/>
      <c r="BA3693" s="11" t="n">
        <v>5652</v>
      </c>
      <c r="BB3693" s="31" t="n">
        <f aca="false">SUM(Q3693,S3693,U3693,W3693,Y3693,AA3693,AC3693,AE3693,AG3693,AI3693,AK3693,AM3693,AO3693,AQ3693,AS3693,AU3693,AW3693,AY3693)</f>
        <v>5652</v>
      </c>
      <c r="BC3693" s="28" t="n">
        <f aca="false">BA3693-BB3693</f>
        <v>0</v>
      </c>
      <c r="BD3693" s="32" t="n">
        <f aca="false">SUM(P3693,R3693,T3693,V3693,X3693,Z3693,AB3693,AD3693,AF3693,AH3693,AJ3693,AL3693,AN3693,AP3693,AR3693,AT3693,AV3693,AX3693)</f>
        <v>0</v>
      </c>
      <c r="BE3693" s="33" t="n">
        <f aca="false">AZ3693-BD3693</f>
        <v>0</v>
      </c>
      <c r="BF3693" s="34" t="n">
        <f aca="false">BD3693*M3693</f>
        <v>0</v>
      </c>
      <c r="BG3693" s="35" t="n">
        <f aca="false">BA3693-BF3693</f>
        <v>5652</v>
      </c>
      <c r="BH3693" s="19" t="str">
        <f aca="false">IF(BG3693=0,"",IF(BG3693&lt;&gt;BA3693,"erreur de calcul",IF(BD3693&lt;&gt;0,"pas de prix",IF(M3693&lt;&gt; 0,"pas de quantité","pas de prix, ni de quantité"))))</f>
        <v>pas de prix, ni de quantité</v>
      </c>
      <c r="BI3693" s="19"/>
    </row>
    <row r="3694" customFormat="false" ht="15" hidden="false" customHeight="false" outlineLevel="0" collapsed="false">
      <c r="A3694" s="0" t="n">
        <v>18</v>
      </c>
      <c r="B3694" s="8" t="s">
        <v>24</v>
      </c>
      <c r="C3694" s="9" t="s">
        <v>25</v>
      </c>
      <c r="D3694" s="9" t="s">
        <v>26</v>
      </c>
      <c r="E3694" s="10" t="n">
        <v>1789</v>
      </c>
      <c r="F3694" s="9" t="s">
        <v>27</v>
      </c>
      <c r="G3694" s="9" t="s">
        <v>27</v>
      </c>
      <c r="H3694" s="11" t="n">
        <v>23</v>
      </c>
      <c r="I3694" s="11" t="s">
        <v>260</v>
      </c>
      <c r="J3694" s="14" t="n">
        <v>88</v>
      </c>
      <c r="K3694" s="14"/>
      <c r="L3694" s="16"/>
      <c r="M3694" s="27" t="n">
        <f aca="false">J3694+(K3694/20)+(L3694/240)</f>
        <v>88</v>
      </c>
      <c r="N3694" s="17" t="s">
        <v>64</v>
      </c>
      <c r="O3694" s="11"/>
      <c r="P3694" s="28"/>
      <c r="Q3694" s="28" t="n">
        <f aca="false">P3694*$M3694</f>
        <v>0</v>
      </c>
      <c r="R3694" s="28"/>
      <c r="S3694" s="28" t="n">
        <f aca="false">R3694*$M3694</f>
        <v>0</v>
      </c>
      <c r="T3694" s="28"/>
      <c r="U3694" s="28" t="n">
        <f aca="false">T3694*$M3694</f>
        <v>0</v>
      </c>
      <c r="V3694" s="28" t="n">
        <f aca="false">21004/100</f>
        <v>210.04</v>
      </c>
      <c r="W3694" s="28" t="n">
        <v>18483</v>
      </c>
      <c r="X3694" s="28"/>
      <c r="Y3694" s="28" t="n">
        <f aca="false">X3694*$M3694</f>
        <v>0</v>
      </c>
      <c r="Z3694" s="28"/>
      <c r="AA3694" s="28" t="n">
        <f aca="false">Z3694*$M3694</f>
        <v>0</v>
      </c>
      <c r="AB3694" s="28"/>
      <c r="AC3694" s="28" t="n">
        <f aca="false">AB3694*$M3694</f>
        <v>0</v>
      </c>
      <c r="AD3694" s="28"/>
      <c r="AE3694" s="28" t="n">
        <f aca="false">AD3694*$M3694</f>
        <v>0</v>
      </c>
      <c r="AF3694" s="28"/>
      <c r="AG3694" s="28" t="n">
        <f aca="false">AF3694*$M3694</f>
        <v>0</v>
      </c>
      <c r="AH3694" s="28"/>
      <c r="AI3694" s="28" t="n">
        <f aca="false">AH3694*$M3694</f>
        <v>0</v>
      </c>
      <c r="AJ3694" s="28"/>
      <c r="AK3694" s="28" t="n">
        <f aca="false">AJ3694*$M3694</f>
        <v>0</v>
      </c>
      <c r="AL3694" s="28"/>
      <c r="AM3694" s="28" t="n">
        <f aca="false">AL3694*$M3694</f>
        <v>0</v>
      </c>
      <c r="AN3694" s="28"/>
      <c r="AO3694" s="28" t="n">
        <f aca="false">AN3694*$M3694</f>
        <v>0</v>
      </c>
      <c r="AP3694" s="28"/>
      <c r="AQ3694" s="28" t="n">
        <f aca="false">AP3694*$M3694</f>
        <v>0</v>
      </c>
      <c r="AR3694" s="28"/>
      <c r="AS3694" s="28" t="n">
        <f aca="false">AR3694*$M3694</f>
        <v>0</v>
      </c>
      <c r="AT3694" s="28"/>
      <c r="AU3694" s="28" t="n">
        <f aca="false">AT3694*$M3694</f>
        <v>0</v>
      </c>
      <c r="AV3694" s="28"/>
      <c r="AW3694" s="28" t="n">
        <f aca="false">AV3694*$M3694</f>
        <v>0</v>
      </c>
      <c r="AX3694" s="28"/>
      <c r="AY3694" s="28" t="n">
        <f aca="false">AX3694*$M3694</f>
        <v>0</v>
      </c>
      <c r="AZ3694" s="30" t="n">
        <f aca="false">21004/100</f>
        <v>210.04</v>
      </c>
      <c r="BA3694" s="11" t="n">
        <v>18483</v>
      </c>
      <c r="BB3694" s="31" t="n">
        <f aca="false">SUM(Q3694,S3694,U3694,W3694,Y3694,AA3694,AC3694,AE3694,AG3694,AI3694,AK3694,AM3694,AO3694,AQ3694,AS3694,AU3694,AW3694,AY3694)</f>
        <v>18483</v>
      </c>
      <c r="BC3694" s="28" t="n">
        <f aca="false">BA3694-BB3694</f>
        <v>0</v>
      </c>
      <c r="BD3694" s="32" t="n">
        <f aca="false">SUM(P3694,R3694,T3694,V3694,X3694,Z3694,AB3694,AD3694,AF3694,AH3694,AJ3694,AL3694,AN3694,AP3694,AR3694,AT3694,AV3694,AX3694)</f>
        <v>210.04</v>
      </c>
      <c r="BE3694" s="33" t="n">
        <f aca="false">AZ3694-BD3694</f>
        <v>0</v>
      </c>
      <c r="BF3694" s="34" t="n">
        <f aca="false">BD3694*M3694</f>
        <v>18483.52</v>
      </c>
      <c r="BG3694" s="35" t="n">
        <f aca="false">BA3694-BF3694</f>
        <v>-0.520000000000437</v>
      </c>
      <c r="BH3694" s="19" t="str">
        <f aca="false">IF(BG3694=0,"",IF(BG3694&lt;&gt;BA3694,"erreur de calcul",IF(BD3694&lt;&gt;0,"pas de prix",IF(M3694&lt;&gt; 0,"pas de quantité","pas de prix, ni de quantité"))))</f>
        <v>erreur de calcul</v>
      </c>
      <c r="BI3694" s="19"/>
    </row>
    <row r="3695" customFormat="false" ht="15" hidden="false" customHeight="false" outlineLevel="0" collapsed="false">
      <c r="A3695" s="0" t="n">
        <v>19</v>
      </c>
      <c r="B3695" s="8" t="s">
        <v>24</v>
      </c>
      <c r="C3695" s="9" t="s">
        <v>25</v>
      </c>
      <c r="D3695" s="9" t="s">
        <v>26</v>
      </c>
      <c r="E3695" s="10" t="n">
        <v>1789</v>
      </c>
      <c r="F3695" s="9" t="s">
        <v>27</v>
      </c>
      <c r="G3695" s="9" t="s">
        <v>27</v>
      </c>
      <c r="H3695" s="11" t="n">
        <v>23</v>
      </c>
      <c r="I3695" s="11" t="s">
        <v>261</v>
      </c>
      <c r="J3695" s="14" t="n">
        <v>35</v>
      </c>
      <c r="K3695" s="14"/>
      <c r="L3695" s="16"/>
      <c r="M3695" s="27" t="n">
        <f aca="false">J3695+(K3695/20)+(L3695/240)</f>
        <v>35</v>
      </c>
      <c r="N3695" s="17" t="s">
        <v>64</v>
      </c>
      <c r="O3695" s="11"/>
      <c r="P3695" s="28" t="n">
        <f aca="false">2877/100</f>
        <v>28.77</v>
      </c>
      <c r="Q3695" s="28" t="n">
        <v>1007</v>
      </c>
      <c r="R3695" s="28"/>
      <c r="S3695" s="28" t="n">
        <f aca="false">R3695*$M3695</f>
        <v>0</v>
      </c>
      <c r="T3695" s="28"/>
      <c r="U3695" s="28" t="n">
        <f aca="false">T3695*$M3695</f>
        <v>0</v>
      </c>
      <c r="V3695" s="28"/>
      <c r="W3695" s="28" t="n">
        <f aca="false">V3695*$M3695</f>
        <v>0</v>
      </c>
      <c r="X3695" s="28"/>
      <c r="Y3695" s="28" t="n">
        <f aca="false">X3695*$M3695</f>
        <v>0</v>
      </c>
      <c r="Z3695" s="28"/>
      <c r="AA3695" s="28" t="n">
        <f aca="false">Z3695*$M3695</f>
        <v>0</v>
      </c>
      <c r="AB3695" s="28"/>
      <c r="AC3695" s="28" t="n">
        <f aca="false">AB3695*$M3695</f>
        <v>0</v>
      </c>
      <c r="AD3695" s="28"/>
      <c r="AE3695" s="28" t="n">
        <f aca="false">AD3695*$M3695</f>
        <v>0</v>
      </c>
      <c r="AF3695" s="28"/>
      <c r="AG3695" s="28" t="n">
        <f aca="false">AF3695*$M3695</f>
        <v>0</v>
      </c>
      <c r="AH3695" s="28"/>
      <c r="AI3695" s="28" t="n">
        <f aca="false">AH3695*$M3695</f>
        <v>0</v>
      </c>
      <c r="AJ3695" s="28"/>
      <c r="AK3695" s="28" t="n">
        <f aca="false">AJ3695*$M3695</f>
        <v>0</v>
      </c>
      <c r="AL3695" s="28"/>
      <c r="AM3695" s="28" t="n">
        <f aca="false">AL3695*$M3695</f>
        <v>0</v>
      </c>
      <c r="AN3695" s="28"/>
      <c r="AO3695" s="28" t="n">
        <f aca="false">AN3695*$M3695</f>
        <v>0</v>
      </c>
      <c r="AP3695" s="28"/>
      <c r="AQ3695" s="28" t="n">
        <f aca="false">AP3695*$M3695</f>
        <v>0</v>
      </c>
      <c r="AR3695" s="28"/>
      <c r="AS3695" s="28" t="n">
        <f aca="false">AR3695*$M3695</f>
        <v>0</v>
      </c>
      <c r="AT3695" s="28"/>
      <c r="AU3695" s="28" t="n">
        <f aca="false">AT3695*$M3695</f>
        <v>0</v>
      </c>
      <c r="AV3695" s="28"/>
      <c r="AW3695" s="28" t="n">
        <f aca="false">AV3695*$M3695</f>
        <v>0</v>
      </c>
      <c r="AX3695" s="28"/>
      <c r="AY3695" s="28" t="n">
        <f aca="false">AX3695*$M3695</f>
        <v>0</v>
      </c>
      <c r="AZ3695" s="30" t="n">
        <f aca="false">2877/100</f>
        <v>28.77</v>
      </c>
      <c r="BA3695" s="11" t="n">
        <v>1007</v>
      </c>
      <c r="BB3695" s="31" t="n">
        <f aca="false">SUM(Q3695,S3695,U3695,W3695,Y3695,AA3695,AC3695,AE3695,AG3695,AI3695,AK3695,AM3695,AO3695,AQ3695,AS3695,AU3695,AW3695,AY3695)</f>
        <v>1007</v>
      </c>
      <c r="BC3695" s="28" t="n">
        <f aca="false">BA3695-BB3695</f>
        <v>0</v>
      </c>
      <c r="BD3695" s="32" t="n">
        <f aca="false">SUM(P3695,R3695,T3695,V3695,X3695,Z3695,AB3695,AD3695,AF3695,AH3695,AJ3695,AL3695,AN3695,AP3695,AR3695,AT3695,AV3695,AX3695)</f>
        <v>28.77</v>
      </c>
      <c r="BE3695" s="33" t="n">
        <f aca="false">AZ3695-BD3695</f>
        <v>0</v>
      </c>
      <c r="BF3695" s="34" t="n">
        <f aca="false">BD3695*M3695</f>
        <v>1006.95</v>
      </c>
      <c r="BG3695" s="35" t="n">
        <f aca="false">BA3695-BF3695</f>
        <v>0.0500000000000682</v>
      </c>
      <c r="BH3695" s="19" t="str">
        <f aca="false">IF(BG3695=0,"",IF(BG3695&lt;&gt;BA3695,"erreur de calcul",IF(BD3695&lt;&gt;0,"pas de prix",IF(M3695&lt;&gt; 0,"pas de quantité","pas de prix, ni de quantité"))))</f>
        <v>erreur de calcul</v>
      </c>
      <c r="BI3695" s="19"/>
    </row>
    <row r="3696" customFormat="false" ht="15" hidden="false" customHeight="false" outlineLevel="0" collapsed="false">
      <c r="A3696" s="0" t="n">
        <v>20</v>
      </c>
      <c r="B3696" s="8" t="s">
        <v>24</v>
      </c>
      <c r="C3696" s="9" t="s">
        <v>25</v>
      </c>
      <c r="D3696" s="9" t="s">
        <v>26</v>
      </c>
      <c r="E3696" s="10" t="n">
        <v>1789</v>
      </c>
      <c r="F3696" s="9" t="s">
        <v>27</v>
      </c>
      <c r="G3696" s="9" t="s">
        <v>27</v>
      </c>
      <c r="H3696" s="11" t="n">
        <v>23</v>
      </c>
      <c r="I3696" s="11" t="s">
        <v>262</v>
      </c>
      <c r="J3696" s="14" t="n">
        <v>40</v>
      </c>
      <c r="K3696" s="14"/>
      <c r="L3696" s="16"/>
      <c r="M3696" s="27" t="n">
        <f aca="false">J3696+(K3696/20)+(L3696/240)</f>
        <v>40</v>
      </c>
      <c r="N3696" s="17" t="s">
        <v>64</v>
      </c>
      <c r="O3696" s="11"/>
      <c r="P3696" s="28"/>
      <c r="Q3696" s="28" t="n">
        <f aca="false">P3696*$M3696</f>
        <v>0</v>
      </c>
      <c r="R3696" s="28"/>
      <c r="S3696" s="28" t="n">
        <f aca="false">R3696*$M3696</f>
        <v>0</v>
      </c>
      <c r="T3696" s="28"/>
      <c r="U3696" s="28" t="n">
        <f aca="false">T3696*$M3696</f>
        <v>0</v>
      </c>
      <c r="V3696" s="28"/>
      <c r="W3696" s="28" t="n">
        <f aca="false">V3696*$M3696</f>
        <v>0</v>
      </c>
      <c r="X3696" s="28"/>
      <c r="Y3696" s="28" t="n">
        <f aca="false">X3696*$M3696</f>
        <v>0</v>
      </c>
      <c r="Z3696" s="28"/>
      <c r="AA3696" s="28" t="n">
        <f aca="false">Z3696*$M3696</f>
        <v>0</v>
      </c>
      <c r="AB3696" s="28"/>
      <c r="AC3696" s="28" t="n">
        <f aca="false">AB3696*$M3696</f>
        <v>0</v>
      </c>
      <c r="AD3696" s="28"/>
      <c r="AE3696" s="28" t="n">
        <f aca="false">AD3696*$M3696</f>
        <v>0</v>
      </c>
      <c r="AF3696" s="28" t="n">
        <f aca="false">108620/100</f>
        <v>1086.2</v>
      </c>
      <c r="AG3696" s="28" t="n">
        <v>43448</v>
      </c>
      <c r="AH3696" s="28"/>
      <c r="AI3696" s="28" t="n">
        <f aca="false">AH3696*$M3696</f>
        <v>0</v>
      </c>
      <c r="AJ3696" s="28"/>
      <c r="AK3696" s="28" t="n">
        <f aca="false">AJ3696*$M3696</f>
        <v>0</v>
      </c>
      <c r="AL3696" s="28"/>
      <c r="AM3696" s="28" t="n">
        <f aca="false">AL3696*$M3696</f>
        <v>0</v>
      </c>
      <c r="AN3696" s="28"/>
      <c r="AO3696" s="28" t="n">
        <f aca="false">AN3696*$M3696</f>
        <v>0</v>
      </c>
      <c r="AP3696" s="28"/>
      <c r="AQ3696" s="28" t="n">
        <f aca="false">AP3696*$M3696</f>
        <v>0</v>
      </c>
      <c r="AR3696" s="28"/>
      <c r="AS3696" s="28" t="n">
        <f aca="false">AR3696*$M3696</f>
        <v>0</v>
      </c>
      <c r="AT3696" s="28"/>
      <c r="AU3696" s="28" t="n">
        <f aca="false">AT3696*$M3696</f>
        <v>0</v>
      </c>
      <c r="AV3696" s="28"/>
      <c r="AW3696" s="28" t="n">
        <f aca="false">AV3696*$M3696</f>
        <v>0</v>
      </c>
      <c r="AX3696" s="28"/>
      <c r="AY3696" s="28" t="n">
        <f aca="false">AX3696*$M3696</f>
        <v>0</v>
      </c>
      <c r="AZ3696" s="30" t="n">
        <f aca="false">108620/100</f>
        <v>1086.2</v>
      </c>
      <c r="BA3696" s="11" t="n">
        <v>43448</v>
      </c>
      <c r="BB3696" s="31" t="n">
        <f aca="false">SUM(Q3696,S3696,U3696,W3696,Y3696,AA3696,AC3696,AE3696,AG3696,AI3696,AK3696,AM3696,AO3696,AQ3696,AS3696,AU3696,AW3696,AY3696)</f>
        <v>43448</v>
      </c>
      <c r="BC3696" s="28" t="n">
        <f aca="false">BA3696-BB3696</f>
        <v>0</v>
      </c>
      <c r="BD3696" s="32" t="n">
        <f aca="false">SUM(P3696,R3696,T3696,V3696,X3696,Z3696,AB3696,AD3696,AF3696,AH3696,AJ3696,AL3696,AN3696,AP3696,AR3696,AT3696,AV3696,AX3696)</f>
        <v>1086.2</v>
      </c>
      <c r="BE3696" s="33" t="n">
        <f aca="false">AZ3696-BD3696</f>
        <v>0</v>
      </c>
      <c r="BF3696" s="34" t="n">
        <f aca="false">BD3696*M3696</f>
        <v>43448</v>
      </c>
      <c r="BG3696" s="35" t="n">
        <f aca="false">BA3696-BF3696</f>
        <v>0</v>
      </c>
      <c r="BH3696" s="19" t="str">
        <f aca="false">IF(BG3696=0,"",IF(BG3696&lt;&gt;BA3696,"erreur de calcul",IF(BD3696&lt;&gt;0,"pas de prix",IF(M3696&lt;&gt; 0,"pas de quantité","pas de prix, ni de quantité"))))</f>
        <v/>
      </c>
      <c r="BI3696" s="19"/>
    </row>
    <row r="3697" customFormat="false" ht="15" hidden="false" customHeight="false" outlineLevel="0" collapsed="false">
      <c r="A3697" s="0" t="n">
        <v>21</v>
      </c>
      <c r="B3697" s="8" t="s">
        <v>24</v>
      </c>
      <c r="C3697" s="9" t="s">
        <v>25</v>
      </c>
      <c r="D3697" s="9" t="s">
        <v>26</v>
      </c>
      <c r="E3697" s="10" t="n">
        <v>1789</v>
      </c>
      <c r="F3697" s="9" t="s">
        <v>27</v>
      </c>
      <c r="G3697" s="9" t="s">
        <v>27</v>
      </c>
      <c r="H3697" s="11" t="n">
        <v>23</v>
      </c>
      <c r="I3697" s="11" t="s">
        <v>263</v>
      </c>
      <c r="J3697" s="14" t="n">
        <v>12</v>
      </c>
      <c r="K3697" s="14"/>
      <c r="L3697" s="16"/>
      <c r="M3697" s="27" t="n">
        <f aca="false">J3697+(K3697/20)+(L3697/240)</f>
        <v>12</v>
      </c>
      <c r="N3697" s="17" t="s">
        <v>64</v>
      </c>
      <c r="O3697" s="11"/>
      <c r="P3697" s="28"/>
      <c r="Q3697" s="28" t="n">
        <f aca="false">P3697*$M3697</f>
        <v>0</v>
      </c>
      <c r="R3697" s="28"/>
      <c r="S3697" s="28" t="n">
        <f aca="false">R3697*$M3697</f>
        <v>0</v>
      </c>
      <c r="T3697" s="28"/>
      <c r="U3697" s="28" t="n">
        <f aca="false">T3697*$M3697</f>
        <v>0</v>
      </c>
      <c r="V3697" s="28"/>
      <c r="W3697" s="28" t="n">
        <f aca="false">V3697*$M3697</f>
        <v>0</v>
      </c>
      <c r="X3697" s="28"/>
      <c r="Y3697" s="28" t="n">
        <f aca="false">X3697*$M3697</f>
        <v>0</v>
      </c>
      <c r="Z3697" s="28"/>
      <c r="AA3697" s="28" t="n">
        <f aca="false">Z3697*$M3697</f>
        <v>0</v>
      </c>
      <c r="AB3697" s="28" t="n">
        <f aca="false">485726/100</f>
        <v>4857.26</v>
      </c>
      <c r="AC3697" s="28" t="n">
        <v>58287</v>
      </c>
      <c r="AD3697" s="28"/>
      <c r="AE3697" s="28" t="n">
        <f aca="false">AD3697*$M3697</f>
        <v>0</v>
      </c>
      <c r="AF3697" s="28"/>
      <c r="AG3697" s="28" t="n">
        <f aca="false">AF3697*$M3697</f>
        <v>0</v>
      </c>
      <c r="AH3697" s="28" t="n">
        <f aca="false">259291/100</f>
        <v>2592.91</v>
      </c>
      <c r="AI3697" s="28" t="n">
        <v>31115</v>
      </c>
      <c r="AJ3697" s="28"/>
      <c r="AK3697" s="28" t="n">
        <f aca="false">AJ3697*$M3697</f>
        <v>0</v>
      </c>
      <c r="AL3697" s="28"/>
      <c r="AM3697" s="28" t="n">
        <f aca="false">AL3697*$M3697</f>
        <v>0</v>
      </c>
      <c r="AN3697" s="28"/>
      <c r="AO3697" s="28" t="n">
        <f aca="false">AN3697*$M3697</f>
        <v>0</v>
      </c>
      <c r="AP3697" s="28"/>
      <c r="AQ3697" s="28" t="n">
        <f aca="false">AP3697*$M3697</f>
        <v>0</v>
      </c>
      <c r="AR3697" s="28"/>
      <c r="AS3697" s="28" t="n">
        <f aca="false">AR3697*$M3697</f>
        <v>0</v>
      </c>
      <c r="AT3697" s="28"/>
      <c r="AU3697" s="28" t="n">
        <f aca="false">AT3697*$M3697</f>
        <v>0</v>
      </c>
      <c r="AV3697" s="28"/>
      <c r="AW3697" s="28" t="n">
        <f aca="false">AV3697*$M3697</f>
        <v>0</v>
      </c>
      <c r="AX3697" s="28"/>
      <c r="AY3697" s="28" t="n">
        <f aca="false">AX3697*$M3697</f>
        <v>0</v>
      </c>
      <c r="AZ3697" s="30" t="n">
        <f aca="false">745017/100</f>
        <v>7450.17</v>
      </c>
      <c r="BA3697" s="11" t="n">
        <v>89402</v>
      </c>
      <c r="BB3697" s="31" t="n">
        <f aca="false">SUM(Q3697,S3697,U3697,W3697,Y3697,AA3697,AC3697,AE3697,AG3697,AI3697,AK3697,AM3697,AO3697,AQ3697,AS3697,AU3697,AW3697,AY3697)</f>
        <v>89402</v>
      </c>
      <c r="BC3697" s="28" t="n">
        <f aca="false">BA3697-BB3697</f>
        <v>0</v>
      </c>
      <c r="BD3697" s="32" t="n">
        <f aca="false">SUM(P3697,R3697,T3697,V3697,X3697,Z3697,AB3697,AD3697,AF3697,AH3697,AJ3697,AL3697,AN3697,AP3697,AR3697,AT3697,AV3697,AX3697)</f>
        <v>7450.17</v>
      </c>
      <c r="BE3697" s="33" t="n">
        <f aca="false">AZ3697-BD3697</f>
        <v>0</v>
      </c>
      <c r="BF3697" s="34" t="n">
        <f aca="false">BD3697*M3697</f>
        <v>89402.04</v>
      </c>
      <c r="BG3697" s="35" t="n">
        <f aca="false">BA3697-BF3697</f>
        <v>-0.0400000000081491</v>
      </c>
      <c r="BH3697" s="19" t="str">
        <f aca="false">IF(BG3697=0,"",IF(BG3697&lt;&gt;BA3697,"erreur de calcul",IF(BD3697&lt;&gt;0,"pas de prix",IF(M3697&lt;&gt; 0,"pas de quantité","pas de prix, ni de quantité"))))</f>
        <v>erreur de calcul</v>
      </c>
      <c r="BI3697" s="19"/>
    </row>
    <row r="3698" customFormat="false" ht="15" hidden="false" customHeight="false" outlineLevel="0" collapsed="false">
      <c r="A3698" s="0" t="n">
        <v>22</v>
      </c>
      <c r="B3698" s="8" t="s">
        <v>24</v>
      </c>
      <c r="C3698" s="9" t="s">
        <v>25</v>
      </c>
      <c r="D3698" s="9" t="s">
        <v>26</v>
      </c>
      <c r="E3698" s="10" t="n">
        <v>1789</v>
      </c>
      <c r="F3698" s="9" t="s">
        <v>27</v>
      </c>
      <c r="G3698" s="9" t="s">
        <v>27</v>
      </c>
      <c r="H3698" s="11" t="n">
        <v>23</v>
      </c>
      <c r="I3698" s="11" t="s">
        <v>264</v>
      </c>
      <c r="J3698" s="14" t="n">
        <v>15</v>
      </c>
      <c r="K3698" s="14"/>
      <c r="L3698" s="16"/>
      <c r="M3698" s="27" t="n">
        <f aca="false">J3698+(K3698/20)+(L3698/240)</f>
        <v>15</v>
      </c>
      <c r="N3698" s="17" t="s">
        <v>64</v>
      </c>
      <c r="O3698" s="11"/>
      <c r="P3698" s="28"/>
      <c r="Q3698" s="28" t="n">
        <f aca="false">P3698*$M3698</f>
        <v>0</v>
      </c>
      <c r="R3698" s="28"/>
      <c r="S3698" s="28" t="n">
        <f aca="false">R3698*$M3698</f>
        <v>0</v>
      </c>
      <c r="T3698" s="28"/>
      <c r="U3698" s="28" t="n">
        <f aca="false">T3698*$M3698</f>
        <v>0</v>
      </c>
      <c r="V3698" s="28"/>
      <c r="W3698" s="28" t="n">
        <f aca="false">V3698*$M3698</f>
        <v>0</v>
      </c>
      <c r="X3698" s="28" t="n">
        <f aca="false">65502/100</f>
        <v>655.02</v>
      </c>
      <c r="Y3698" s="28" t="n">
        <v>9825</v>
      </c>
      <c r="Z3698" s="28"/>
      <c r="AA3698" s="28" t="n">
        <f aca="false">Z3698*$M3698</f>
        <v>0</v>
      </c>
      <c r="AB3698" s="28" t="n">
        <f aca="false">207046/100</f>
        <v>2070.46</v>
      </c>
      <c r="AC3698" s="28" t="n">
        <v>31057</v>
      </c>
      <c r="AD3698" s="28"/>
      <c r="AE3698" s="28" t="n">
        <f aca="false">AD3698*$M3698</f>
        <v>0</v>
      </c>
      <c r="AF3698" s="28"/>
      <c r="AG3698" s="28" t="n">
        <f aca="false">AF3698*$M3698</f>
        <v>0</v>
      </c>
      <c r="AH3698" s="28" t="n">
        <f aca="false">11048/100</f>
        <v>110.48</v>
      </c>
      <c r="AI3698" s="28" t="n">
        <v>1657</v>
      </c>
      <c r="AJ3698" s="28"/>
      <c r="AK3698" s="28" t="n">
        <f aca="false">AJ3698*$M3698</f>
        <v>0</v>
      </c>
      <c r="AL3698" s="28"/>
      <c r="AM3698" s="28" t="n">
        <f aca="false">AL3698*$M3698</f>
        <v>0</v>
      </c>
      <c r="AN3698" s="28"/>
      <c r="AO3698" s="28" t="n">
        <f aca="false">AN3698*$M3698</f>
        <v>0</v>
      </c>
      <c r="AP3698" s="28"/>
      <c r="AQ3698" s="28" t="n">
        <f aca="false">AP3698*$M3698</f>
        <v>0</v>
      </c>
      <c r="AR3698" s="28"/>
      <c r="AS3698" s="28" t="n">
        <f aca="false">AR3698*$M3698</f>
        <v>0</v>
      </c>
      <c r="AT3698" s="28"/>
      <c r="AU3698" s="28" t="n">
        <f aca="false">AT3698*$M3698</f>
        <v>0</v>
      </c>
      <c r="AV3698" s="28"/>
      <c r="AW3698" s="28" t="n">
        <f aca="false">AV3698*$M3698</f>
        <v>0</v>
      </c>
      <c r="AX3698" s="28"/>
      <c r="AY3698" s="28" t="n">
        <f aca="false">AX3698*$M3698</f>
        <v>0</v>
      </c>
      <c r="AZ3698" s="30" t="n">
        <f aca="false">283596/100</f>
        <v>2835.96</v>
      </c>
      <c r="BA3698" s="11" t="n">
        <v>42539</v>
      </c>
      <c r="BB3698" s="31" t="n">
        <f aca="false">SUM(Q3698,S3698,U3698,W3698,Y3698,AA3698,AC3698,AE3698,AG3698,AI3698,AK3698,AM3698,AO3698,AQ3698,AS3698,AU3698,AW3698,AY3698)</f>
        <v>42539</v>
      </c>
      <c r="BC3698" s="28" t="n">
        <f aca="false">BA3698-BB3698</f>
        <v>0</v>
      </c>
      <c r="BD3698" s="32" t="n">
        <f aca="false">SUM(P3698,R3698,T3698,V3698,X3698,Z3698,AB3698,AD3698,AF3698,AH3698,AJ3698,AL3698,AN3698,AP3698,AR3698,AT3698,AV3698,AX3698)</f>
        <v>2835.96</v>
      </c>
      <c r="BE3698" s="33" t="n">
        <f aca="false">AZ3698-BD3698</f>
        <v>0</v>
      </c>
      <c r="BF3698" s="34" t="n">
        <f aca="false">BD3698*M3698</f>
        <v>42539.4</v>
      </c>
      <c r="BG3698" s="35" t="n">
        <f aca="false">BA3698-BF3698</f>
        <v>-0.400000000001455</v>
      </c>
      <c r="BH3698" s="19" t="str">
        <f aca="false">IF(BG3698=0,"",IF(BG3698&lt;&gt;BA3698,"erreur de calcul",IF(BD3698&lt;&gt;0,"pas de prix",IF(M3698&lt;&gt; 0,"pas de quantité","pas de prix, ni de quantité"))))</f>
        <v>erreur de calcul</v>
      </c>
      <c r="BI3698" s="19"/>
    </row>
    <row r="3699" customFormat="false" ht="15" hidden="false" customHeight="false" outlineLevel="0" collapsed="false">
      <c r="A3699" s="0" t="n">
        <v>23</v>
      </c>
      <c r="B3699" s="8" t="s">
        <v>24</v>
      </c>
      <c r="C3699" s="9" t="s">
        <v>25</v>
      </c>
      <c r="D3699" s="9" t="s">
        <v>26</v>
      </c>
      <c r="E3699" s="10" t="n">
        <v>1789</v>
      </c>
      <c r="F3699" s="9" t="s">
        <v>27</v>
      </c>
      <c r="G3699" s="9" t="s">
        <v>27</v>
      </c>
      <c r="H3699" s="11" t="n">
        <v>23</v>
      </c>
      <c r="I3699" s="11" t="s">
        <v>265</v>
      </c>
      <c r="J3699" s="14"/>
      <c r="K3699" s="14" t="n">
        <v>40</v>
      </c>
      <c r="L3699" s="16"/>
      <c r="M3699" s="27" t="n">
        <f aca="false">J3699+(K3699/20)+(L3699/240)</f>
        <v>2</v>
      </c>
      <c r="N3699" s="17" t="s">
        <v>66</v>
      </c>
      <c r="O3699" s="11"/>
      <c r="P3699" s="28"/>
      <c r="Q3699" s="28" t="n">
        <f aca="false">P3699*$M3699</f>
        <v>0</v>
      </c>
      <c r="R3699" s="28"/>
      <c r="S3699" s="28" t="n">
        <f aca="false">R3699*$M3699</f>
        <v>0</v>
      </c>
      <c r="T3699" s="28"/>
      <c r="U3699" s="28" t="n">
        <f aca="false">T3699*$M3699</f>
        <v>0</v>
      </c>
      <c r="V3699" s="28" t="n">
        <v>6275</v>
      </c>
      <c r="W3699" s="28" t="n">
        <v>12550</v>
      </c>
      <c r="X3699" s="28" t="n">
        <v>8662</v>
      </c>
      <c r="Y3699" s="28" t="n">
        <v>17324</v>
      </c>
      <c r="Z3699" s="28"/>
      <c r="AA3699" s="28" t="n">
        <f aca="false">Z3699*$M3699</f>
        <v>0</v>
      </c>
      <c r="AB3699" s="28" t="n">
        <v>2196</v>
      </c>
      <c r="AC3699" s="28" t="n">
        <v>4392</v>
      </c>
      <c r="AD3699" s="28"/>
      <c r="AE3699" s="28" t="n">
        <f aca="false">AD3699*$M3699</f>
        <v>0</v>
      </c>
      <c r="AF3699" s="28"/>
      <c r="AG3699" s="28" t="n">
        <f aca="false">AF3699*$M3699</f>
        <v>0</v>
      </c>
      <c r="AH3699" s="28"/>
      <c r="AI3699" s="28" t="n">
        <f aca="false">AH3699*$M3699</f>
        <v>0</v>
      </c>
      <c r="AJ3699" s="28"/>
      <c r="AK3699" s="28" t="n">
        <f aca="false">AJ3699*$M3699</f>
        <v>0</v>
      </c>
      <c r="AL3699" s="28"/>
      <c r="AM3699" s="28" t="n">
        <f aca="false">AL3699*$M3699</f>
        <v>0</v>
      </c>
      <c r="AN3699" s="28"/>
      <c r="AO3699" s="28" t="n">
        <f aca="false">AN3699*$M3699</f>
        <v>0</v>
      </c>
      <c r="AP3699" s="28"/>
      <c r="AQ3699" s="28" t="n">
        <f aca="false">AP3699*$M3699</f>
        <v>0</v>
      </c>
      <c r="AR3699" s="28"/>
      <c r="AS3699" s="28" t="n">
        <f aca="false">AR3699*$M3699</f>
        <v>0</v>
      </c>
      <c r="AT3699" s="28"/>
      <c r="AU3699" s="28" t="n">
        <f aca="false">AT3699*$M3699</f>
        <v>0</v>
      </c>
      <c r="AV3699" s="28"/>
      <c r="AW3699" s="28" t="n">
        <f aca="false">AV3699*$M3699</f>
        <v>0</v>
      </c>
      <c r="AX3699" s="28"/>
      <c r="AY3699" s="28" t="n">
        <f aca="false">AX3699*$M3699</f>
        <v>0</v>
      </c>
      <c r="AZ3699" s="30" t="n">
        <v>17133</v>
      </c>
      <c r="BA3699" s="11" t="n">
        <v>34266</v>
      </c>
      <c r="BB3699" s="31" t="n">
        <f aca="false">SUM(Q3699,S3699,U3699,W3699,Y3699,AA3699,AC3699,AE3699,AG3699,AI3699,AK3699,AM3699,AO3699,AQ3699,AS3699,AU3699,AW3699,AY3699)</f>
        <v>34266</v>
      </c>
      <c r="BC3699" s="28" t="n">
        <f aca="false">BA3699-BB3699</f>
        <v>0</v>
      </c>
      <c r="BD3699" s="32" t="n">
        <f aca="false">SUM(P3699,R3699,T3699,V3699,X3699,Z3699,AB3699,AD3699,AF3699,AH3699,AJ3699,AL3699,AN3699,AP3699,AR3699,AT3699,AV3699,AX3699)</f>
        <v>17133</v>
      </c>
      <c r="BE3699" s="33" t="n">
        <f aca="false">AZ3699-BD3699</f>
        <v>0</v>
      </c>
      <c r="BF3699" s="34" t="n">
        <f aca="false">BD3699*M3699</f>
        <v>34266</v>
      </c>
      <c r="BG3699" s="35" t="n">
        <f aca="false">BA3699-BF3699</f>
        <v>0</v>
      </c>
      <c r="BH3699" s="19" t="str">
        <f aca="false">IF(BG3699=0,"",IF(BG3699&lt;&gt;BA3699,"erreur de calcul",IF(BD3699&lt;&gt;0,"pas de prix",IF(M3699&lt;&gt; 0,"pas de quantité","pas de prix, ni de quantité"))))</f>
        <v/>
      </c>
      <c r="BI3699" s="19"/>
    </row>
    <row r="3700" customFormat="false" ht="15" hidden="false" customHeight="false" outlineLevel="0" collapsed="false">
      <c r="A3700" s="0" t="n">
        <v>24</v>
      </c>
      <c r="B3700" s="8" t="s">
        <v>24</v>
      </c>
      <c r="C3700" s="9" t="s">
        <v>25</v>
      </c>
      <c r="D3700" s="9" t="s">
        <v>26</v>
      </c>
      <c r="E3700" s="10" t="n">
        <v>1789</v>
      </c>
      <c r="F3700" s="9" t="s">
        <v>27</v>
      </c>
      <c r="G3700" s="9" t="s">
        <v>27</v>
      </c>
      <c r="H3700" s="11" t="n">
        <v>23</v>
      </c>
      <c r="I3700" s="11" t="s">
        <v>266</v>
      </c>
      <c r="J3700" s="14" t="n">
        <v>17</v>
      </c>
      <c r="K3700" s="14" t="n">
        <v>10</v>
      </c>
      <c r="L3700" s="16"/>
      <c r="M3700" s="27" t="n">
        <f aca="false">J3700+(K3700/20)+(L3700/240)</f>
        <v>17.5</v>
      </c>
      <c r="N3700" s="17" t="s">
        <v>64</v>
      </c>
      <c r="O3700" s="11"/>
      <c r="P3700" s="28" t="n">
        <f aca="false">147621/100</f>
        <v>1476.21</v>
      </c>
      <c r="Q3700" s="28" t="n">
        <v>25834</v>
      </c>
      <c r="R3700" s="28"/>
      <c r="S3700" s="28" t="n">
        <f aca="false">R3700*$M3700</f>
        <v>0</v>
      </c>
      <c r="T3700" s="28"/>
      <c r="U3700" s="28" t="n">
        <f aca="false">T3700*$M3700</f>
        <v>0</v>
      </c>
      <c r="V3700" s="28"/>
      <c r="W3700" s="28" t="n">
        <f aca="false">V3700*$M3700</f>
        <v>0</v>
      </c>
      <c r="X3700" s="28" t="n">
        <f aca="false">7220/100</f>
        <v>72.2</v>
      </c>
      <c r="Y3700" s="28" t="n">
        <v>1263</v>
      </c>
      <c r="Z3700" s="28"/>
      <c r="AA3700" s="28" t="n">
        <f aca="false">Z3700*$M3700</f>
        <v>0</v>
      </c>
      <c r="AB3700" s="28" t="n">
        <f aca="false">524444/100</f>
        <v>5244.44</v>
      </c>
      <c r="AC3700" s="36" t="n">
        <v>91767</v>
      </c>
      <c r="AD3700" s="28"/>
      <c r="AE3700" s="28" t="n">
        <f aca="false">AD3700*$M3700</f>
        <v>0</v>
      </c>
      <c r="AF3700" s="28"/>
      <c r="AG3700" s="28" t="n">
        <f aca="false">AF3700*$M3700</f>
        <v>0</v>
      </c>
      <c r="AH3700" s="28" t="n">
        <f aca="false">124394/100</f>
        <v>1243.94</v>
      </c>
      <c r="AI3700" s="28" t="n">
        <v>21769</v>
      </c>
      <c r="AJ3700" s="28"/>
      <c r="AK3700" s="28" t="n">
        <f aca="false">AJ3700*$M3700</f>
        <v>0</v>
      </c>
      <c r="AL3700" s="28"/>
      <c r="AM3700" s="28" t="n">
        <f aca="false">AL3700*$M3700</f>
        <v>0</v>
      </c>
      <c r="AN3700" s="28"/>
      <c r="AO3700" s="28" t="n">
        <f aca="false">AN3700*$M3700</f>
        <v>0</v>
      </c>
      <c r="AP3700" s="28"/>
      <c r="AQ3700" s="28" t="n">
        <f aca="false">AP3700*$M3700</f>
        <v>0</v>
      </c>
      <c r="AR3700" s="28"/>
      <c r="AS3700" s="28" t="n">
        <f aca="false">AR3700*$M3700</f>
        <v>0</v>
      </c>
      <c r="AT3700" s="28"/>
      <c r="AU3700" s="28" t="n">
        <f aca="false">AT3700*$M3700</f>
        <v>0</v>
      </c>
      <c r="AV3700" s="28"/>
      <c r="AW3700" s="28" t="n">
        <f aca="false">AV3700*$M3700</f>
        <v>0</v>
      </c>
      <c r="AX3700" s="28"/>
      <c r="AY3700" s="28" t="n">
        <f aca="false">AX3700*$M3700</f>
        <v>0</v>
      </c>
      <c r="AZ3700" s="30" t="n">
        <f aca="false">803679/100</f>
        <v>8036.79</v>
      </c>
      <c r="BA3700" s="11" t="n">
        <v>140633</v>
      </c>
      <c r="BB3700" s="31" t="n">
        <f aca="false">SUM(Q3700,S3700,U3700,W3700,Y3700,AA3700,AC3700,AE3700,AG3700,AI3700,AK3700,AM3700,AO3700,AQ3700,AS3700,AU3700,AW3700,AY3700)</f>
        <v>140633</v>
      </c>
      <c r="BC3700" s="28" t="n">
        <f aca="false">BA3700-BB3700</f>
        <v>0</v>
      </c>
      <c r="BD3700" s="32" t="n">
        <f aca="false">SUM(P3700,R3700,T3700,V3700,X3700,Z3700,AB3700,AD3700,AF3700,AH3700,AJ3700,AL3700,AN3700,AP3700,AR3700,AT3700,AV3700,AX3700)</f>
        <v>8036.79</v>
      </c>
      <c r="BE3700" s="33" t="n">
        <f aca="false">AZ3700-BD3700</f>
        <v>0</v>
      </c>
      <c r="BF3700" s="34" t="n">
        <f aca="false">BD3700*M3700</f>
        <v>140643.825</v>
      </c>
      <c r="BG3700" s="35" t="n">
        <f aca="false">BA3700-BF3700</f>
        <v>-10.8249999999825</v>
      </c>
      <c r="BH3700" s="19" t="str">
        <f aca="false">IF(BG3700=0,"",IF(BG3700&lt;&gt;BA3700,"erreur de calcul",IF(BD3700&lt;&gt;0,"pas de prix",IF(M3700&lt;&gt; 0,"pas de quantité","pas de prix, ni de quantité"))))</f>
        <v>erreur de calcul</v>
      </c>
      <c r="BI3700" s="19"/>
    </row>
    <row r="3701" customFormat="false" ht="15" hidden="false" customHeight="false" outlineLevel="0" collapsed="false">
      <c r="A3701" s="0" t="n">
        <v>25</v>
      </c>
      <c r="B3701" s="8" t="s">
        <v>24</v>
      </c>
      <c r="C3701" s="9" t="s">
        <v>25</v>
      </c>
      <c r="D3701" s="9" t="s">
        <v>26</v>
      </c>
      <c r="E3701" s="10" t="n">
        <v>1789</v>
      </c>
      <c r="F3701" s="9" t="s">
        <v>27</v>
      </c>
      <c r="G3701" s="9" t="s">
        <v>27</v>
      </c>
      <c r="H3701" s="11" t="n">
        <v>23</v>
      </c>
      <c r="I3701" s="11" t="s">
        <v>267</v>
      </c>
      <c r="J3701" s="14" t="n">
        <v>25</v>
      </c>
      <c r="K3701" s="14"/>
      <c r="L3701" s="16"/>
      <c r="M3701" s="27" t="n">
        <f aca="false">J3701+(K3701/20)+(L3701/240)</f>
        <v>25</v>
      </c>
      <c r="N3701" s="17" t="s">
        <v>64</v>
      </c>
      <c r="O3701" s="11"/>
      <c r="P3701" s="28"/>
      <c r="Q3701" s="28" t="n">
        <f aca="false">P3701*$M3701</f>
        <v>0</v>
      </c>
      <c r="R3701" s="28"/>
      <c r="S3701" s="28" t="n">
        <f aca="false">R3701*$M3701</f>
        <v>0</v>
      </c>
      <c r="T3701" s="28"/>
      <c r="U3701" s="28" t="n">
        <f aca="false">T3701*$M3701</f>
        <v>0</v>
      </c>
      <c r="V3701" s="28"/>
      <c r="W3701" s="28" t="n">
        <f aca="false">V3701*$M3701</f>
        <v>0</v>
      </c>
      <c r="X3701" s="28"/>
      <c r="Y3701" s="28" t="n">
        <f aca="false">X3701*$M3701</f>
        <v>0</v>
      </c>
      <c r="Z3701" s="28"/>
      <c r="AA3701" s="28" t="n">
        <f aca="false">Z3701*$M3701</f>
        <v>0</v>
      </c>
      <c r="AB3701" s="28" t="n">
        <f aca="false">136004/100</f>
        <v>1360.04</v>
      </c>
      <c r="AC3701" s="28" t="n">
        <v>34001</v>
      </c>
      <c r="AD3701" s="28"/>
      <c r="AE3701" s="28" t="n">
        <f aca="false">AD3701*$M3701</f>
        <v>0</v>
      </c>
      <c r="AF3701" s="28"/>
      <c r="AG3701" s="28" t="n">
        <f aca="false">AF3701*$M3701</f>
        <v>0</v>
      </c>
      <c r="AH3701" s="28" t="n">
        <f aca="false">173052/100</f>
        <v>1730.52</v>
      </c>
      <c r="AI3701" s="28" t="n">
        <v>43263</v>
      </c>
      <c r="AJ3701" s="28"/>
      <c r="AK3701" s="28" t="n">
        <f aca="false">AJ3701*$M3701</f>
        <v>0</v>
      </c>
      <c r="AL3701" s="28"/>
      <c r="AM3701" s="28" t="n">
        <f aca="false">AL3701*$M3701</f>
        <v>0</v>
      </c>
      <c r="AN3701" s="28"/>
      <c r="AO3701" s="28" t="n">
        <f aca="false">AN3701*$M3701</f>
        <v>0</v>
      </c>
      <c r="AP3701" s="28"/>
      <c r="AQ3701" s="28" t="n">
        <f aca="false">AP3701*$M3701</f>
        <v>0</v>
      </c>
      <c r="AR3701" s="28"/>
      <c r="AS3701" s="28" t="n">
        <f aca="false">AR3701*$M3701</f>
        <v>0</v>
      </c>
      <c r="AT3701" s="28"/>
      <c r="AU3701" s="28" t="n">
        <f aca="false">AT3701*$M3701</f>
        <v>0</v>
      </c>
      <c r="AV3701" s="28"/>
      <c r="AW3701" s="28" t="n">
        <f aca="false">AV3701*$M3701</f>
        <v>0</v>
      </c>
      <c r="AX3701" s="28"/>
      <c r="AY3701" s="28" t="n">
        <f aca="false">AX3701*$M3701</f>
        <v>0</v>
      </c>
      <c r="AZ3701" s="30" t="n">
        <f aca="false">309056/100</f>
        <v>3090.56</v>
      </c>
      <c r="BA3701" s="11" t="n">
        <v>77264</v>
      </c>
      <c r="BB3701" s="31" t="n">
        <f aca="false">SUM(Q3701,S3701,U3701,W3701,Y3701,AA3701,AC3701,AE3701,AG3701,AI3701,AK3701,AM3701,AO3701,AQ3701,AS3701,AU3701,AW3701,AY3701)</f>
        <v>77264</v>
      </c>
      <c r="BC3701" s="28" t="n">
        <f aca="false">BA3701-BB3701</f>
        <v>0</v>
      </c>
      <c r="BD3701" s="32" t="n">
        <f aca="false">SUM(P3701,R3701,T3701,V3701,X3701,Z3701,AB3701,AD3701,AF3701,AH3701,AJ3701,AL3701,AN3701,AP3701,AR3701,AT3701,AV3701,AX3701)</f>
        <v>3090.56</v>
      </c>
      <c r="BE3701" s="33" t="n">
        <f aca="false">AZ3701-BD3701</f>
        <v>0</v>
      </c>
      <c r="BF3701" s="34" t="n">
        <f aca="false">BD3701*M3701</f>
        <v>77264</v>
      </c>
      <c r="BG3701" s="35" t="n">
        <f aca="false">BA3701-BF3701</f>
        <v>0</v>
      </c>
      <c r="BH3701" s="19" t="str">
        <f aca="false">IF(BG3701=0,"",IF(BG3701&lt;&gt;BA3701,"erreur de calcul",IF(BD3701&lt;&gt;0,"pas de prix",IF(M3701&lt;&gt; 0,"pas de quantité","pas de prix, ni de quantité"))))</f>
        <v/>
      </c>
      <c r="BI3701" s="19"/>
    </row>
    <row r="3702" customFormat="false" ht="15" hidden="false" customHeight="false" outlineLevel="0" collapsed="false">
      <c r="A3702" s="0" t="n">
        <v>26</v>
      </c>
      <c r="B3702" s="8" t="s">
        <v>24</v>
      </c>
      <c r="C3702" s="9" t="s">
        <v>25</v>
      </c>
      <c r="D3702" s="9" t="s">
        <v>26</v>
      </c>
      <c r="E3702" s="10" t="n">
        <v>1789</v>
      </c>
      <c r="F3702" s="9" t="s">
        <v>27</v>
      </c>
      <c r="G3702" s="9" t="s">
        <v>27</v>
      </c>
      <c r="H3702" s="11" t="n">
        <v>23</v>
      </c>
      <c r="I3702" s="11" t="s">
        <v>268</v>
      </c>
      <c r="J3702" s="14" t="n">
        <v>8</v>
      </c>
      <c r="K3702" s="14"/>
      <c r="L3702" s="16"/>
      <c r="M3702" s="27" t="n">
        <f aca="false">J3702+(K3702/20)+(L3702/240)</f>
        <v>8</v>
      </c>
      <c r="N3702" s="17" t="s">
        <v>64</v>
      </c>
      <c r="O3702" s="11"/>
      <c r="P3702" s="28"/>
      <c r="Q3702" s="28" t="n">
        <f aca="false">P3702*$M3702</f>
        <v>0</v>
      </c>
      <c r="R3702" s="28"/>
      <c r="S3702" s="28" t="n">
        <f aca="false">R3702*$M3702</f>
        <v>0</v>
      </c>
      <c r="T3702" s="28" t="n">
        <f aca="false">260752/100</f>
        <v>2607.52</v>
      </c>
      <c r="U3702" s="28" t="n">
        <v>20860</v>
      </c>
      <c r="V3702" s="28" t="n">
        <f aca="false">170453/100</f>
        <v>1704.53</v>
      </c>
      <c r="W3702" s="28" t="n">
        <v>13636</v>
      </c>
      <c r="X3702" s="28"/>
      <c r="Y3702" s="28" t="n">
        <f aca="false">X3702*$M3702</f>
        <v>0</v>
      </c>
      <c r="Z3702" s="28"/>
      <c r="AA3702" s="28" t="n">
        <f aca="false">Z3702*$M3702</f>
        <v>0</v>
      </c>
      <c r="AB3702" s="28"/>
      <c r="AC3702" s="28" t="n">
        <f aca="false">AB3702*$M3702</f>
        <v>0</v>
      </c>
      <c r="AD3702" s="28"/>
      <c r="AE3702" s="28" t="n">
        <f aca="false">AD3702*$M3702</f>
        <v>0</v>
      </c>
      <c r="AF3702" s="28"/>
      <c r="AG3702" s="28" t="n">
        <f aca="false">AF3702*$M3702</f>
        <v>0</v>
      </c>
      <c r="AH3702" s="28"/>
      <c r="AI3702" s="28" t="n">
        <f aca="false">AH3702*$M3702</f>
        <v>0</v>
      </c>
      <c r="AJ3702" s="28"/>
      <c r="AK3702" s="28" t="n">
        <f aca="false">AJ3702*$M3702</f>
        <v>0</v>
      </c>
      <c r="AL3702" s="28"/>
      <c r="AM3702" s="28" t="n">
        <f aca="false">AL3702*$M3702</f>
        <v>0</v>
      </c>
      <c r="AN3702" s="28"/>
      <c r="AO3702" s="28" t="n">
        <f aca="false">AN3702*$M3702</f>
        <v>0</v>
      </c>
      <c r="AP3702" s="28"/>
      <c r="AQ3702" s="28" t="n">
        <f aca="false">AP3702*$M3702</f>
        <v>0</v>
      </c>
      <c r="AR3702" s="28"/>
      <c r="AS3702" s="28" t="n">
        <f aca="false">AR3702*$M3702</f>
        <v>0</v>
      </c>
      <c r="AT3702" s="28"/>
      <c r="AU3702" s="28" t="n">
        <f aca="false">AT3702*$M3702</f>
        <v>0</v>
      </c>
      <c r="AV3702" s="28"/>
      <c r="AW3702" s="28" t="n">
        <f aca="false">AV3702*$M3702</f>
        <v>0</v>
      </c>
      <c r="AX3702" s="28"/>
      <c r="AY3702" s="28" t="n">
        <f aca="false">AX3702*$M3702</f>
        <v>0</v>
      </c>
      <c r="AZ3702" s="30" t="n">
        <f aca="false">431205/100</f>
        <v>4312.05</v>
      </c>
      <c r="BA3702" s="11" t="n">
        <v>34496</v>
      </c>
      <c r="BB3702" s="31" t="n">
        <f aca="false">SUM(Q3702,S3702,U3702,W3702,Y3702,AA3702,AC3702,AE3702,AG3702,AI3702,AK3702,AM3702,AO3702,AQ3702,AS3702,AU3702,AW3702,AY3702)</f>
        <v>34496</v>
      </c>
      <c r="BC3702" s="28" t="n">
        <f aca="false">BA3702-BB3702</f>
        <v>0</v>
      </c>
      <c r="BD3702" s="32" t="n">
        <f aca="false">SUM(P3702,R3702,T3702,V3702,X3702,Z3702,AB3702,AD3702,AF3702,AH3702,AJ3702,AL3702,AN3702,AP3702,AR3702,AT3702,AV3702,AX3702)</f>
        <v>4312.05</v>
      </c>
      <c r="BE3702" s="33" t="n">
        <f aca="false">AZ3702-BD3702</f>
        <v>0</v>
      </c>
      <c r="BF3702" s="34" t="n">
        <f aca="false">BD3702*M3702</f>
        <v>34496.4</v>
      </c>
      <c r="BG3702" s="35" t="n">
        <f aca="false">BA3702-BF3702</f>
        <v>-0.400000000001455</v>
      </c>
      <c r="BH3702" s="19" t="str">
        <f aca="false">IF(BG3702=0,"",IF(BG3702&lt;&gt;BA3702,"erreur de calcul",IF(BD3702&lt;&gt;0,"pas de prix",IF(M3702&lt;&gt; 0,"pas de quantité","pas de prix, ni de quantité"))))</f>
        <v>erreur de calcul</v>
      </c>
      <c r="BI3702" s="19"/>
    </row>
    <row r="3703" customFormat="false" ht="15" hidden="false" customHeight="false" outlineLevel="0" collapsed="false">
      <c r="A3703" s="0" t="n">
        <v>27</v>
      </c>
      <c r="B3703" s="8" t="s">
        <v>24</v>
      </c>
      <c r="C3703" s="9" t="s">
        <v>25</v>
      </c>
      <c r="D3703" s="9" t="s">
        <v>26</v>
      </c>
      <c r="E3703" s="10" t="n">
        <v>1789</v>
      </c>
      <c r="F3703" s="9" t="s">
        <v>27</v>
      </c>
      <c r="G3703" s="9" t="s">
        <v>27</v>
      </c>
      <c r="H3703" s="11" t="n">
        <v>23</v>
      </c>
      <c r="I3703" s="11" t="s">
        <v>269</v>
      </c>
      <c r="J3703" s="14"/>
      <c r="K3703" s="14" t="n">
        <v>50</v>
      </c>
      <c r="L3703" s="16"/>
      <c r="M3703" s="27" t="n">
        <f aca="false">J3703+(K3703/20)+(L3703/240)</f>
        <v>2.5</v>
      </c>
      <c r="N3703" s="17" t="s">
        <v>85</v>
      </c>
      <c r="O3703" s="11"/>
      <c r="P3703" s="28"/>
      <c r="Q3703" s="28" t="n">
        <f aca="false">P3703*$M3703</f>
        <v>0</v>
      </c>
      <c r="R3703" s="28"/>
      <c r="S3703" s="28" t="n">
        <f aca="false">R3703*$M3703</f>
        <v>0</v>
      </c>
      <c r="T3703" s="28" t="n">
        <f aca="false">221150/100</f>
        <v>2211.5</v>
      </c>
      <c r="U3703" s="28" t="n">
        <v>5529</v>
      </c>
      <c r="V3703" s="28" t="n">
        <f aca="false">3922156/100</f>
        <v>39221.56</v>
      </c>
      <c r="W3703" s="28" t="n">
        <v>98054</v>
      </c>
      <c r="X3703" s="28"/>
      <c r="Y3703" s="28" t="n">
        <f aca="false">X3703*$M3703</f>
        <v>0</v>
      </c>
      <c r="Z3703" s="28"/>
      <c r="AA3703" s="28" t="n">
        <f aca="false">Z3703*$M3703</f>
        <v>0</v>
      </c>
      <c r="AB3703" s="28" t="n">
        <f aca="false">297900/100</f>
        <v>2979</v>
      </c>
      <c r="AC3703" s="28" t="n">
        <v>7447</v>
      </c>
      <c r="AD3703" s="28"/>
      <c r="AE3703" s="28" t="n">
        <f aca="false">AD3703*$M3703</f>
        <v>0</v>
      </c>
      <c r="AF3703" s="28"/>
      <c r="AG3703" s="28" t="n">
        <f aca="false">AF3703*$M3703</f>
        <v>0</v>
      </c>
      <c r="AH3703" s="28"/>
      <c r="AI3703" s="28" t="n">
        <f aca="false">AH3703*$M3703</f>
        <v>0</v>
      </c>
      <c r="AJ3703" s="28"/>
      <c r="AK3703" s="28" t="n">
        <f aca="false">AJ3703*$M3703</f>
        <v>0</v>
      </c>
      <c r="AL3703" s="28"/>
      <c r="AM3703" s="28" t="n">
        <f aca="false">AL3703*$M3703</f>
        <v>0</v>
      </c>
      <c r="AN3703" s="28"/>
      <c r="AO3703" s="28" t="n">
        <f aca="false">AN3703*$M3703</f>
        <v>0</v>
      </c>
      <c r="AP3703" s="28"/>
      <c r="AQ3703" s="28" t="n">
        <f aca="false">AP3703*$M3703</f>
        <v>0</v>
      </c>
      <c r="AR3703" s="28"/>
      <c r="AS3703" s="28" t="n">
        <f aca="false">AR3703*$M3703</f>
        <v>0</v>
      </c>
      <c r="AT3703" s="28"/>
      <c r="AU3703" s="28" t="n">
        <f aca="false">AT3703*$M3703</f>
        <v>0</v>
      </c>
      <c r="AV3703" s="28"/>
      <c r="AW3703" s="28" t="n">
        <f aca="false">AV3703*$M3703</f>
        <v>0</v>
      </c>
      <c r="AX3703" s="28"/>
      <c r="AY3703" s="28" t="n">
        <f aca="false">AX3703*$M3703</f>
        <v>0</v>
      </c>
      <c r="AZ3703" s="30" t="n">
        <f aca="false">4441206/100</f>
        <v>44412.06</v>
      </c>
      <c r="BA3703" s="11" t="n">
        <v>111030</v>
      </c>
      <c r="BB3703" s="31" t="n">
        <f aca="false">SUM(Q3703,S3703,U3703,W3703,Y3703,AA3703,AC3703,AE3703,AG3703,AI3703,AK3703,AM3703,AO3703,AQ3703,AS3703,AU3703,AW3703,AY3703)</f>
        <v>111030</v>
      </c>
      <c r="BC3703" s="28" t="n">
        <f aca="false">BA3703-BB3703</f>
        <v>0</v>
      </c>
      <c r="BD3703" s="32" t="n">
        <f aca="false">SUM(P3703,R3703,T3703,V3703,X3703,Z3703,AB3703,AD3703,AF3703,AH3703,AJ3703,AL3703,AN3703,AP3703,AR3703,AT3703,AV3703,AX3703)</f>
        <v>44412.06</v>
      </c>
      <c r="BE3703" s="33" t="n">
        <f aca="false">AZ3703-BD3703</f>
        <v>0</v>
      </c>
      <c r="BF3703" s="34" t="n">
        <f aca="false">BD3703*M3703</f>
        <v>111030.15</v>
      </c>
      <c r="BG3703" s="35" t="n">
        <f aca="false">BA3703-BF3703</f>
        <v>-0.149999999994179</v>
      </c>
      <c r="BH3703" s="19" t="str">
        <f aca="false">IF(BG3703=0,"",IF(BG3703&lt;&gt;BA3703,"erreur de calcul",IF(BD3703&lt;&gt;0,"pas de prix",IF(M3703&lt;&gt; 0,"pas de quantité","pas de prix, ni de quantité"))))</f>
        <v>erreur de calcul</v>
      </c>
      <c r="BI3703" s="19"/>
    </row>
    <row r="3704" customFormat="false" ht="15" hidden="false" customHeight="false" outlineLevel="0" collapsed="false">
      <c r="A3704" s="0" t="n">
        <v>28</v>
      </c>
      <c r="B3704" s="8" t="s">
        <v>24</v>
      </c>
      <c r="C3704" s="9" t="s">
        <v>25</v>
      </c>
      <c r="D3704" s="9" t="s">
        <v>26</v>
      </c>
      <c r="E3704" s="10" t="n">
        <v>1789</v>
      </c>
      <c r="F3704" s="9" t="s">
        <v>27</v>
      </c>
      <c r="G3704" s="9" t="s">
        <v>27</v>
      </c>
      <c r="H3704" s="11" t="n">
        <v>23</v>
      </c>
      <c r="I3704" s="11" t="s">
        <v>270</v>
      </c>
      <c r="J3704" s="14" t="n">
        <v>5</v>
      </c>
      <c r="K3704" s="14"/>
      <c r="L3704" s="16"/>
      <c r="M3704" s="27" t="n">
        <f aca="false">J3704+(K3704/20)+(L3704/240)</f>
        <v>5</v>
      </c>
      <c r="N3704" s="17" t="s">
        <v>85</v>
      </c>
      <c r="O3704" s="11"/>
      <c r="P3704" s="28" t="n">
        <f aca="false">328200/100</f>
        <v>3282</v>
      </c>
      <c r="Q3704" s="28" t="n">
        <v>16410</v>
      </c>
      <c r="R3704" s="28"/>
      <c r="S3704" s="28" t="n">
        <f aca="false">R3704*$M3704</f>
        <v>0</v>
      </c>
      <c r="T3704" s="28" t="n">
        <f aca="false">667000/100</f>
        <v>6670</v>
      </c>
      <c r="U3704" s="36" t="n">
        <v>33360</v>
      </c>
      <c r="V3704" s="28" t="n">
        <f aca="false">506800/100</f>
        <v>5068</v>
      </c>
      <c r="W3704" s="28" t="n">
        <v>25340</v>
      </c>
      <c r="X3704" s="28"/>
      <c r="Y3704" s="28" t="n">
        <f aca="false">X3704*$M3704</f>
        <v>0</v>
      </c>
      <c r="Z3704" s="28"/>
      <c r="AA3704" s="28" t="n">
        <f aca="false">Z3704*$M3704</f>
        <v>0</v>
      </c>
      <c r="AB3704" s="28"/>
      <c r="AC3704" s="28" t="n">
        <f aca="false">AB3704*$M3704</f>
        <v>0</v>
      </c>
      <c r="AD3704" s="28"/>
      <c r="AE3704" s="28" t="n">
        <f aca="false">AD3704*$M3704</f>
        <v>0</v>
      </c>
      <c r="AF3704" s="28"/>
      <c r="AG3704" s="28" t="n">
        <f aca="false">AF3704*$M3704</f>
        <v>0</v>
      </c>
      <c r="AH3704" s="28" t="n">
        <f aca="false">320500/100</f>
        <v>3205</v>
      </c>
      <c r="AI3704" s="28" t="n">
        <v>16025</v>
      </c>
      <c r="AJ3704" s="28"/>
      <c r="AK3704" s="28" t="n">
        <f aca="false">AJ3704*$M3704</f>
        <v>0</v>
      </c>
      <c r="AL3704" s="28"/>
      <c r="AM3704" s="28" t="n">
        <f aca="false">AL3704*$M3704</f>
        <v>0</v>
      </c>
      <c r="AN3704" s="28"/>
      <c r="AO3704" s="28" t="n">
        <f aca="false">AN3704*$M3704</f>
        <v>0</v>
      </c>
      <c r="AP3704" s="28"/>
      <c r="AQ3704" s="28" t="n">
        <f aca="false">AP3704*$M3704</f>
        <v>0</v>
      </c>
      <c r="AR3704" s="28"/>
      <c r="AS3704" s="28" t="n">
        <f aca="false">AR3704*$M3704</f>
        <v>0</v>
      </c>
      <c r="AT3704" s="28"/>
      <c r="AU3704" s="28" t="n">
        <f aca="false">AT3704*$M3704</f>
        <v>0</v>
      </c>
      <c r="AV3704" s="28"/>
      <c r="AW3704" s="28" t="n">
        <f aca="false">AV3704*$M3704</f>
        <v>0</v>
      </c>
      <c r="AX3704" s="28"/>
      <c r="AY3704" s="28" t="n">
        <f aca="false">AX3704*$M3704</f>
        <v>0</v>
      </c>
      <c r="AZ3704" s="30" t="n">
        <f aca="false">1822500/100</f>
        <v>18225</v>
      </c>
      <c r="BA3704" s="11" t="n">
        <v>91135</v>
      </c>
      <c r="BB3704" s="31" t="n">
        <f aca="false">SUM(Q3704,S3704,U3704,W3704,Y3704,AA3704,AC3704,AE3704,AG3704,AI3704,AK3704,AM3704,AO3704,AQ3704,AS3704,AU3704,AW3704,AY3704)</f>
        <v>91135</v>
      </c>
      <c r="BC3704" s="28" t="n">
        <f aca="false">BA3704-BB3704</f>
        <v>0</v>
      </c>
      <c r="BD3704" s="32" t="n">
        <f aca="false">SUM(P3704,R3704,T3704,V3704,X3704,Z3704,AB3704,AD3704,AF3704,AH3704,AJ3704,AL3704,AN3704,AP3704,AR3704,AT3704,AV3704,AX3704)</f>
        <v>18225</v>
      </c>
      <c r="BE3704" s="33" t="n">
        <f aca="false">AZ3704-BD3704</f>
        <v>0</v>
      </c>
      <c r="BF3704" s="34" t="n">
        <f aca="false">BD3704*M3704</f>
        <v>91125</v>
      </c>
      <c r="BG3704" s="35" t="n">
        <f aca="false">BA3704-BF3704</f>
        <v>10</v>
      </c>
      <c r="BH3704" s="19" t="str">
        <f aca="false">IF(BG3704=0,"",IF(BG3704&lt;&gt;BA3704,"erreur de calcul",IF(BD3704&lt;&gt;0,"pas de prix",IF(M3704&lt;&gt; 0,"pas de quantité","pas de prix, ni de quantité"))))</f>
        <v>erreur de calcul</v>
      </c>
      <c r="BI3704" s="19"/>
    </row>
    <row r="3705" customFormat="false" ht="15" hidden="false" customHeight="false" outlineLevel="0" collapsed="false">
      <c r="A3705" s="0" t="n">
        <v>29</v>
      </c>
      <c r="B3705" s="8" t="s">
        <v>24</v>
      </c>
      <c r="C3705" s="9" t="s">
        <v>25</v>
      </c>
      <c r="D3705" s="9" t="s">
        <v>26</v>
      </c>
      <c r="E3705" s="10" t="n">
        <v>1789</v>
      </c>
      <c r="F3705" s="9" t="s">
        <v>27</v>
      </c>
      <c r="G3705" s="9" t="s">
        <v>27</v>
      </c>
      <c r="H3705" s="11" t="n">
        <v>23</v>
      </c>
      <c r="I3705" s="11" t="s">
        <v>271</v>
      </c>
      <c r="J3705" s="14" t="n">
        <v>7</v>
      </c>
      <c r="K3705" s="14" t="n">
        <v>10</v>
      </c>
      <c r="L3705" s="16"/>
      <c r="M3705" s="27" t="n">
        <f aca="false">J3705+(K3705/20)+(L3705/240)</f>
        <v>7.5</v>
      </c>
      <c r="N3705" s="17" t="s">
        <v>64</v>
      </c>
      <c r="O3705" s="11"/>
      <c r="P3705" s="28"/>
      <c r="Q3705" s="28" t="n">
        <f aca="false">P3705*$M3705</f>
        <v>0</v>
      </c>
      <c r="R3705" s="28"/>
      <c r="S3705" s="28" t="n">
        <f aca="false">R3705*$M3705</f>
        <v>0</v>
      </c>
      <c r="T3705" s="28"/>
      <c r="U3705" s="28" t="n">
        <f aca="false">T3705*$M3705</f>
        <v>0</v>
      </c>
      <c r="V3705" s="28" t="n">
        <f aca="false">191888/100</f>
        <v>1918.88</v>
      </c>
      <c r="W3705" s="28" t="n">
        <v>14392</v>
      </c>
      <c r="X3705" s="28"/>
      <c r="Y3705" s="28" t="n">
        <f aca="false">X3705*$M3705</f>
        <v>0</v>
      </c>
      <c r="Z3705" s="28"/>
      <c r="AA3705" s="28" t="n">
        <f aca="false">Z3705*$M3705</f>
        <v>0</v>
      </c>
      <c r="AB3705" s="28"/>
      <c r="AC3705" s="28" t="n">
        <f aca="false">AB3705*$M3705</f>
        <v>0</v>
      </c>
      <c r="AD3705" s="28"/>
      <c r="AE3705" s="28" t="n">
        <f aca="false">AD3705*$M3705</f>
        <v>0</v>
      </c>
      <c r="AF3705" s="28"/>
      <c r="AG3705" s="28" t="n">
        <f aca="false">AF3705*$M3705</f>
        <v>0</v>
      </c>
      <c r="AH3705" s="28"/>
      <c r="AI3705" s="28" t="n">
        <f aca="false">AH3705*$M3705</f>
        <v>0</v>
      </c>
      <c r="AJ3705" s="28"/>
      <c r="AK3705" s="28" t="n">
        <f aca="false">AJ3705*$M3705</f>
        <v>0</v>
      </c>
      <c r="AL3705" s="28"/>
      <c r="AM3705" s="28" t="n">
        <f aca="false">AL3705*$M3705</f>
        <v>0</v>
      </c>
      <c r="AN3705" s="28"/>
      <c r="AO3705" s="28" t="n">
        <f aca="false">AN3705*$M3705</f>
        <v>0</v>
      </c>
      <c r="AP3705" s="28"/>
      <c r="AQ3705" s="28" t="n">
        <f aca="false">AP3705*$M3705</f>
        <v>0</v>
      </c>
      <c r="AR3705" s="28"/>
      <c r="AS3705" s="28" t="n">
        <f aca="false">AR3705*$M3705</f>
        <v>0</v>
      </c>
      <c r="AT3705" s="28"/>
      <c r="AU3705" s="28" t="n">
        <f aca="false">AT3705*$M3705</f>
        <v>0</v>
      </c>
      <c r="AV3705" s="28"/>
      <c r="AW3705" s="28" t="n">
        <f aca="false">AV3705*$M3705</f>
        <v>0</v>
      </c>
      <c r="AX3705" s="28"/>
      <c r="AY3705" s="28" t="n">
        <f aca="false">AX3705*$M3705</f>
        <v>0</v>
      </c>
      <c r="AZ3705" s="30" t="n">
        <f aca="false">191888/100</f>
        <v>1918.88</v>
      </c>
      <c r="BA3705" s="11" t="n">
        <v>14392</v>
      </c>
      <c r="BB3705" s="31" t="n">
        <f aca="false">SUM(Q3705,S3705,U3705,W3705,Y3705,AA3705,AC3705,AE3705,AG3705,AI3705,AK3705,AM3705,AO3705,AQ3705,AS3705,AU3705,AW3705,AY3705)</f>
        <v>14392</v>
      </c>
      <c r="BC3705" s="28" t="n">
        <f aca="false">BA3705-BB3705</f>
        <v>0</v>
      </c>
      <c r="BD3705" s="32" t="n">
        <f aca="false">SUM(P3705,R3705,T3705,V3705,X3705,Z3705,AB3705,AD3705,AF3705,AH3705,AJ3705,AL3705,AN3705,AP3705,AR3705,AT3705,AV3705,AX3705)</f>
        <v>1918.88</v>
      </c>
      <c r="BE3705" s="33" t="n">
        <f aca="false">AZ3705-BD3705</f>
        <v>0</v>
      </c>
      <c r="BF3705" s="34" t="n">
        <f aca="false">BD3705*M3705</f>
        <v>14391.6</v>
      </c>
      <c r="BG3705" s="35" t="n">
        <f aca="false">BA3705-BF3705</f>
        <v>0.399999999999636</v>
      </c>
      <c r="BH3705" s="19" t="str">
        <f aca="false">IF(BG3705=0,"",IF(BG3705&lt;&gt;BA3705,"erreur de calcul",IF(BD3705&lt;&gt;0,"pas de prix",IF(M3705&lt;&gt; 0,"pas de quantité","pas de prix, ni de quantité"))))</f>
        <v>erreur de calcul</v>
      </c>
      <c r="BI3705" s="19"/>
    </row>
    <row r="3706" customFormat="false" ht="15" hidden="false" customHeight="false" outlineLevel="0" collapsed="false">
      <c r="A3706" s="0" t="n">
        <v>30</v>
      </c>
      <c r="B3706" s="8" t="s">
        <v>24</v>
      </c>
      <c r="C3706" s="9" t="s">
        <v>25</v>
      </c>
      <c r="D3706" s="9" t="s">
        <v>26</v>
      </c>
      <c r="E3706" s="10" t="n">
        <v>1789</v>
      </c>
      <c r="F3706" s="9" t="s">
        <v>27</v>
      </c>
      <c r="G3706" s="9" t="s">
        <v>27</v>
      </c>
      <c r="H3706" s="11" t="n">
        <v>23</v>
      </c>
      <c r="I3706" s="11" t="s">
        <v>272</v>
      </c>
      <c r="J3706" s="14" t="n">
        <v>6</v>
      </c>
      <c r="K3706" s="14"/>
      <c r="L3706" s="16"/>
      <c r="M3706" s="27" t="n">
        <f aca="false">J3706+(K3706/20)+(L3706/240)</f>
        <v>6</v>
      </c>
      <c r="N3706" s="17" t="s">
        <v>64</v>
      </c>
      <c r="O3706" s="11"/>
      <c r="P3706" s="28"/>
      <c r="Q3706" s="28" t="n">
        <f aca="false">P3706*$M3706</f>
        <v>0</v>
      </c>
      <c r="R3706" s="28"/>
      <c r="S3706" s="28" t="n">
        <f aca="false">R3706*$M3706</f>
        <v>0</v>
      </c>
      <c r="T3706" s="28" t="n">
        <f aca="false">26711/100</f>
        <v>267.11</v>
      </c>
      <c r="U3706" s="28" t="n">
        <v>1603</v>
      </c>
      <c r="V3706" s="28" t="n">
        <f aca="false">790699/100</f>
        <v>7906.99</v>
      </c>
      <c r="W3706" s="28" t="n">
        <v>47442</v>
      </c>
      <c r="X3706" s="28" t="n">
        <f aca="false">50169/100</f>
        <v>501.69</v>
      </c>
      <c r="Y3706" s="28" t="n">
        <v>3010</v>
      </c>
      <c r="Z3706" s="28"/>
      <c r="AA3706" s="28" t="n">
        <f aca="false">Z3706*$M3706</f>
        <v>0</v>
      </c>
      <c r="AB3706" s="28"/>
      <c r="AC3706" s="28" t="n">
        <f aca="false">AB3706*$M3706</f>
        <v>0</v>
      </c>
      <c r="AD3706" s="28"/>
      <c r="AE3706" s="28" t="n">
        <f aca="false">AD3706*$M3706</f>
        <v>0</v>
      </c>
      <c r="AF3706" s="28"/>
      <c r="AG3706" s="28" t="n">
        <f aca="false">AF3706*$M3706</f>
        <v>0</v>
      </c>
      <c r="AH3706" s="28"/>
      <c r="AI3706" s="28" t="n">
        <f aca="false">AH3706*$M3706</f>
        <v>0</v>
      </c>
      <c r="AJ3706" s="28"/>
      <c r="AK3706" s="28" t="n">
        <f aca="false">AJ3706*$M3706</f>
        <v>0</v>
      </c>
      <c r="AL3706" s="28"/>
      <c r="AM3706" s="28" t="n">
        <f aca="false">AL3706*$M3706</f>
        <v>0</v>
      </c>
      <c r="AN3706" s="28"/>
      <c r="AO3706" s="28" t="n">
        <f aca="false">AN3706*$M3706</f>
        <v>0</v>
      </c>
      <c r="AP3706" s="28"/>
      <c r="AQ3706" s="28" t="n">
        <f aca="false">AP3706*$M3706</f>
        <v>0</v>
      </c>
      <c r="AR3706" s="28"/>
      <c r="AS3706" s="28" t="n">
        <f aca="false">AR3706*$M3706</f>
        <v>0</v>
      </c>
      <c r="AT3706" s="28"/>
      <c r="AU3706" s="28" t="n">
        <f aca="false">AT3706*$M3706</f>
        <v>0</v>
      </c>
      <c r="AV3706" s="28"/>
      <c r="AW3706" s="28" t="n">
        <f aca="false">AV3706*$M3706</f>
        <v>0</v>
      </c>
      <c r="AX3706" s="28"/>
      <c r="AY3706" s="28" t="n">
        <f aca="false">AX3706*$M3706</f>
        <v>0</v>
      </c>
      <c r="AZ3706" s="30" t="n">
        <f aca="false">867559/100</f>
        <v>8675.59</v>
      </c>
      <c r="BA3706" s="11" t="n">
        <v>52055</v>
      </c>
      <c r="BB3706" s="31" t="n">
        <f aca="false">SUM(Q3706,S3706,U3706,W3706,Y3706,AA3706,AC3706,AE3706,AG3706,AI3706,AK3706,AM3706,AO3706,AQ3706,AS3706,AU3706,AW3706,AY3706)</f>
        <v>52055</v>
      </c>
      <c r="BC3706" s="28" t="n">
        <f aca="false">BA3706-BB3706</f>
        <v>0</v>
      </c>
      <c r="BD3706" s="32" t="n">
        <f aca="false">SUM(P3706,R3706,T3706,V3706,X3706,Z3706,AB3706,AD3706,AF3706,AH3706,AJ3706,AL3706,AN3706,AP3706,AR3706,AT3706,AV3706,AX3706)</f>
        <v>8675.79</v>
      </c>
      <c r="BE3706" s="33" t="n">
        <f aca="false">AZ3706-BD3706</f>
        <v>-0.200000000000728</v>
      </c>
      <c r="BF3706" s="34" t="n">
        <f aca="false">BD3706*M3706</f>
        <v>52054.74</v>
      </c>
      <c r="BG3706" s="35" t="n">
        <f aca="false">BA3706-BF3706</f>
        <v>0.259999999994761</v>
      </c>
      <c r="BH3706" s="19" t="str">
        <f aca="false">IF(BG3706=0,"",IF(BG3706&lt;&gt;BA3706,"erreur de calcul",IF(BD3706&lt;&gt;0,"pas de prix",IF(M3706&lt;&gt; 0,"pas de quantité","pas de prix, ni de quantité"))))</f>
        <v>erreur de calcul</v>
      </c>
      <c r="BI3706" s="19"/>
    </row>
    <row r="3707" customFormat="false" ht="15" hidden="false" customHeight="false" outlineLevel="0" collapsed="false">
      <c r="A3707" s="0" t="n">
        <v>31</v>
      </c>
      <c r="B3707" s="8" t="s">
        <v>24</v>
      </c>
      <c r="C3707" s="9" t="s">
        <v>25</v>
      </c>
      <c r="D3707" s="9" t="s">
        <v>26</v>
      </c>
      <c r="E3707" s="10" t="n">
        <v>1789</v>
      </c>
      <c r="F3707" s="9" t="s">
        <v>27</v>
      </c>
      <c r="G3707" s="9" t="s">
        <v>27</v>
      </c>
      <c r="H3707" s="11" t="n">
        <v>23</v>
      </c>
      <c r="I3707" s="11" t="s">
        <v>273</v>
      </c>
      <c r="J3707" s="14" t="n">
        <v>8</v>
      </c>
      <c r="K3707" s="14"/>
      <c r="L3707" s="16"/>
      <c r="M3707" s="27" t="n">
        <f aca="false">J3707+(K3707/20)+(L3707/240)</f>
        <v>8</v>
      </c>
      <c r="N3707" s="17" t="s">
        <v>81</v>
      </c>
      <c r="O3707" s="11"/>
      <c r="P3707" s="28" t="n">
        <v>27</v>
      </c>
      <c r="Q3707" s="28" t="n">
        <v>216</v>
      </c>
      <c r="R3707" s="28"/>
      <c r="S3707" s="28" t="n">
        <f aca="false">R3707*$M3707</f>
        <v>0</v>
      </c>
      <c r="T3707" s="28"/>
      <c r="U3707" s="28" t="n">
        <f aca="false">T3707*$M3707</f>
        <v>0</v>
      </c>
      <c r="V3707" s="28" t="n">
        <v>40</v>
      </c>
      <c r="W3707" s="28" t="n">
        <v>320</v>
      </c>
      <c r="X3707" s="28"/>
      <c r="Y3707" s="28" t="n">
        <f aca="false">X3707*$M3707</f>
        <v>0</v>
      </c>
      <c r="Z3707" s="28"/>
      <c r="AA3707" s="28" t="n">
        <f aca="false">Z3707*$M3707</f>
        <v>0</v>
      </c>
      <c r="AB3707" s="28" t="n">
        <v>164</v>
      </c>
      <c r="AC3707" s="28" t="n">
        <v>1312</v>
      </c>
      <c r="AD3707" s="28"/>
      <c r="AE3707" s="28" t="n">
        <f aca="false">AD3707*$M3707</f>
        <v>0</v>
      </c>
      <c r="AF3707" s="28" t="n">
        <v>263</v>
      </c>
      <c r="AG3707" s="28" t="n">
        <v>2104</v>
      </c>
      <c r="AH3707" s="28"/>
      <c r="AI3707" s="28" t="n">
        <f aca="false">AH3707*$M3707</f>
        <v>0</v>
      </c>
      <c r="AJ3707" s="28"/>
      <c r="AK3707" s="28" t="n">
        <f aca="false">AJ3707*$M3707</f>
        <v>0</v>
      </c>
      <c r="AL3707" s="28"/>
      <c r="AM3707" s="28" t="n">
        <f aca="false">AL3707*$M3707</f>
        <v>0</v>
      </c>
      <c r="AN3707" s="28"/>
      <c r="AO3707" s="28" t="n">
        <f aca="false">AN3707*$M3707</f>
        <v>0</v>
      </c>
      <c r="AP3707" s="28" t="n">
        <v>278</v>
      </c>
      <c r="AQ3707" s="28" t="n">
        <v>2224</v>
      </c>
      <c r="AR3707" s="28"/>
      <c r="AS3707" s="28" t="n">
        <f aca="false">AR3707*$M3707</f>
        <v>0</v>
      </c>
      <c r="AT3707" s="28"/>
      <c r="AU3707" s="28" t="n">
        <f aca="false">AT3707*$M3707</f>
        <v>0</v>
      </c>
      <c r="AV3707" s="28"/>
      <c r="AW3707" s="28" t="n">
        <f aca="false">AV3707*$M3707</f>
        <v>0</v>
      </c>
      <c r="AX3707" s="28"/>
      <c r="AY3707" s="28" t="n">
        <f aca="false">AX3707*$M3707</f>
        <v>0</v>
      </c>
      <c r="AZ3707" s="30" t="n">
        <v>772</v>
      </c>
      <c r="BA3707" s="11" t="n">
        <v>6176</v>
      </c>
      <c r="BB3707" s="31" t="n">
        <f aca="false">SUM(Q3707,S3707,U3707,W3707,Y3707,AA3707,AC3707,AE3707,AG3707,AI3707,AK3707,AM3707,AO3707,AQ3707,AS3707,AU3707,AW3707,AY3707)</f>
        <v>6176</v>
      </c>
      <c r="BC3707" s="28" t="n">
        <f aca="false">BA3707-BB3707</f>
        <v>0</v>
      </c>
      <c r="BD3707" s="32" t="n">
        <f aca="false">SUM(P3707,R3707,T3707,V3707,X3707,Z3707,AB3707,AD3707,AF3707,AH3707,AJ3707,AL3707,AN3707,AP3707,AR3707,AT3707,AV3707,AX3707)</f>
        <v>772</v>
      </c>
      <c r="BE3707" s="33" t="n">
        <f aca="false">AZ3707-BD3707</f>
        <v>0</v>
      </c>
      <c r="BF3707" s="34" t="n">
        <f aca="false">BD3707*M3707</f>
        <v>6176</v>
      </c>
      <c r="BG3707" s="35" t="n">
        <f aca="false">BA3707-BF3707</f>
        <v>0</v>
      </c>
      <c r="BH3707" s="19" t="str">
        <f aca="false">IF(BG3707=0,"",IF(BG3707&lt;&gt;BA3707,"erreur de calcul",IF(BD3707&lt;&gt;0,"pas de prix",IF(M3707&lt;&gt; 0,"pas de quantité","pas de prix, ni de quantité"))))</f>
        <v/>
      </c>
      <c r="BI3707" s="19"/>
    </row>
    <row r="3708" customFormat="false" ht="15" hidden="false" customHeight="false" outlineLevel="0" collapsed="false">
      <c r="A3708" s="0" t="n">
        <v>32</v>
      </c>
      <c r="B3708" s="8" t="s">
        <v>24</v>
      </c>
      <c r="C3708" s="9" t="s">
        <v>25</v>
      </c>
      <c r="D3708" s="9" t="s">
        <v>26</v>
      </c>
      <c r="E3708" s="10" t="n">
        <v>1789</v>
      </c>
      <c r="F3708" s="9" t="s">
        <v>27</v>
      </c>
      <c r="G3708" s="9" t="s">
        <v>27</v>
      </c>
      <c r="H3708" s="11" t="n">
        <v>23</v>
      </c>
      <c r="I3708" s="11" t="s">
        <v>274</v>
      </c>
      <c r="J3708" s="14" t="n">
        <v>17</v>
      </c>
      <c r="K3708" s="14"/>
      <c r="L3708" s="16"/>
      <c r="M3708" s="27" t="n">
        <f aca="false">J3708+(K3708/20)+(L3708/240)</f>
        <v>17</v>
      </c>
      <c r="N3708" s="17" t="s">
        <v>275</v>
      </c>
      <c r="O3708" s="11"/>
      <c r="P3708" s="28" t="n">
        <v>200</v>
      </c>
      <c r="Q3708" s="28" t="n">
        <v>3400</v>
      </c>
      <c r="R3708" s="28"/>
      <c r="S3708" s="28" t="n">
        <f aca="false">R3708*$M3708</f>
        <v>0</v>
      </c>
      <c r="T3708" s="28"/>
      <c r="U3708" s="28" t="n">
        <f aca="false">T3708*$M3708</f>
        <v>0</v>
      </c>
      <c r="V3708" s="28"/>
      <c r="W3708" s="28" t="n">
        <f aca="false">V3708*$M3708</f>
        <v>0</v>
      </c>
      <c r="X3708" s="28" t="n">
        <v>145</v>
      </c>
      <c r="Y3708" s="28" t="n">
        <v>2465</v>
      </c>
      <c r="Z3708" s="28"/>
      <c r="AA3708" s="28" t="n">
        <f aca="false">Z3708*$M3708</f>
        <v>0</v>
      </c>
      <c r="AB3708" s="28"/>
      <c r="AC3708" s="28" t="n">
        <f aca="false">AB3708*$M3708</f>
        <v>0</v>
      </c>
      <c r="AD3708" s="28"/>
      <c r="AE3708" s="28" t="n">
        <f aca="false">AD3708*$M3708</f>
        <v>0</v>
      </c>
      <c r="AF3708" s="28"/>
      <c r="AG3708" s="28" t="n">
        <f aca="false">AF3708*$M3708</f>
        <v>0</v>
      </c>
      <c r="AH3708" s="28"/>
      <c r="AI3708" s="28" t="n">
        <f aca="false">AH3708*$M3708</f>
        <v>0</v>
      </c>
      <c r="AJ3708" s="28"/>
      <c r="AK3708" s="28" t="n">
        <f aca="false">AJ3708*$M3708</f>
        <v>0</v>
      </c>
      <c r="AL3708" s="28" t="n">
        <v>12</v>
      </c>
      <c r="AM3708" s="28" t="n">
        <v>204</v>
      </c>
      <c r="AN3708" s="28"/>
      <c r="AO3708" s="28" t="n">
        <f aca="false">AN3708*$M3708</f>
        <v>0</v>
      </c>
      <c r="AP3708" s="28"/>
      <c r="AQ3708" s="28" t="n">
        <f aca="false">AP3708*$M3708</f>
        <v>0</v>
      </c>
      <c r="AR3708" s="28"/>
      <c r="AS3708" s="28" t="n">
        <f aca="false">AR3708*$M3708</f>
        <v>0</v>
      </c>
      <c r="AT3708" s="28"/>
      <c r="AU3708" s="28" t="n">
        <f aca="false">AT3708*$M3708</f>
        <v>0</v>
      </c>
      <c r="AV3708" s="28"/>
      <c r="AW3708" s="28" t="n">
        <f aca="false">AV3708*$M3708</f>
        <v>0</v>
      </c>
      <c r="AX3708" s="28"/>
      <c r="AY3708" s="28" t="n">
        <f aca="false">AX3708*$M3708</f>
        <v>0</v>
      </c>
      <c r="AZ3708" s="30" t="n">
        <v>357</v>
      </c>
      <c r="BA3708" s="11" t="n">
        <v>6069</v>
      </c>
      <c r="BB3708" s="31" t="n">
        <f aca="false">SUM(Q3708,S3708,U3708,W3708,Y3708,AA3708,AC3708,AE3708,AG3708,AI3708,AK3708,AM3708,AO3708,AQ3708,AS3708,AU3708,AW3708,AY3708)</f>
        <v>6069</v>
      </c>
      <c r="BC3708" s="28" t="n">
        <f aca="false">BA3708-BB3708</f>
        <v>0</v>
      </c>
      <c r="BD3708" s="32" t="n">
        <f aca="false">SUM(P3708,R3708,T3708,V3708,X3708,Z3708,AB3708,AD3708,AF3708,AH3708,AJ3708,AL3708,AN3708,AP3708,AR3708,AT3708,AV3708,AX3708)</f>
        <v>357</v>
      </c>
      <c r="BE3708" s="33" t="n">
        <f aca="false">AZ3708-BD3708</f>
        <v>0</v>
      </c>
      <c r="BF3708" s="34" t="n">
        <f aca="false">BD3708*M3708</f>
        <v>6069</v>
      </c>
      <c r="BG3708" s="35" t="n">
        <f aca="false">BA3708-BF3708</f>
        <v>0</v>
      </c>
      <c r="BH3708" s="19" t="str">
        <f aca="false">IF(BG3708=0,"",IF(BG3708&lt;&gt;BA3708,"erreur de calcul",IF(BD3708&lt;&gt;0,"pas de prix",IF(M3708&lt;&gt; 0,"pas de quantité","pas de prix, ni de quantité"))))</f>
        <v/>
      </c>
      <c r="BI3708" s="19" t="s">
        <v>275</v>
      </c>
    </row>
    <row r="3709" customFormat="false" ht="15" hidden="false" customHeight="false" outlineLevel="0" collapsed="false">
      <c r="A3709" s="0" t="n">
        <v>33</v>
      </c>
      <c r="B3709" s="8" t="s">
        <v>24</v>
      </c>
      <c r="C3709" s="9" t="s">
        <v>25</v>
      </c>
      <c r="D3709" s="9" t="s">
        <v>26</v>
      </c>
      <c r="E3709" s="10" t="n">
        <v>1789</v>
      </c>
      <c r="F3709" s="9" t="s">
        <v>27</v>
      </c>
      <c r="G3709" s="9" t="s">
        <v>27</v>
      </c>
      <c r="H3709" s="11" t="n">
        <v>23</v>
      </c>
      <c r="I3709" s="11" t="s">
        <v>276</v>
      </c>
      <c r="J3709" s="14" t="n">
        <v>36</v>
      </c>
      <c r="K3709" s="14"/>
      <c r="L3709" s="16"/>
      <c r="M3709" s="27" t="n">
        <f aca="false">J3709+(K3709/20)+(L3709/240)</f>
        <v>36</v>
      </c>
      <c r="N3709" s="17" t="s">
        <v>275</v>
      </c>
      <c r="O3709" s="11" t="s">
        <v>277</v>
      </c>
      <c r="P3709" s="28"/>
      <c r="Q3709" s="28" t="n">
        <f aca="false">P3709*$M3709</f>
        <v>0</v>
      </c>
      <c r="R3709" s="28"/>
      <c r="S3709" s="28" t="n">
        <f aca="false">R3709*$M3709</f>
        <v>0</v>
      </c>
      <c r="T3709" s="28"/>
      <c r="U3709" s="28" t="n">
        <f aca="false">T3709*$M3709</f>
        <v>0</v>
      </c>
      <c r="V3709" s="28"/>
      <c r="W3709" s="28" t="n">
        <f aca="false">V3709*$M3709</f>
        <v>0</v>
      </c>
      <c r="X3709" s="28"/>
      <c r="Y3709" s="28" t="n">
        <f aca="false">X3709*$M3709</f>
        <v>0</v>
      </c>
      <c r="Z3709" s="28"/>
      <c r="AA3709" s="28" t="n">
        <f aca="false">Z3709*$M3709</f>
        <v>0</v>
      </c>
      <c r="AB3709" s="28"/>
      <c r="AC3709" s="28" t="n">
        <f aca="false">AB3709*$M3709</f>
        <v>0</v>
      </c>
      <c r="AD3709" s="28"/>
      <c r="AE3709" s="28" t="n">
        <f aca="false">AD3709*$M3709</f>
        <v>0</v>
      </c>
      <c r="AF3709" s="28"/>
      <c r="AG3709" s="28" t="n">
        <f aca="false">AF3709*$M3709</f>
        <v>0</v>
      </c>
      <c r="AH3709" s="28"/>
      <c r="AI3709" s="28" t="n">
        <f aca="false">AH3709*$M3709</f>
        <v>0</v>
      </c>
      <c r="AJ3709" s="28"/>
      <c r="AK3709" s="28" t="n">
        <f aca="false">AJ3709*$M3709</f>
        <v>0</v>
      </c>
      <c r="AL3709" s="28"/>
      <c r="AM3709" s="28" t="n">
        <f aca="false">AL3709*$M3709</f>
        <v>0</v>
      </c>
      <c r="AN3709" s="28"/>
      <c r="AO3709" s="28" t="n">
        <f aca="false">AN3709*$M3709</f>
        <v>0</v>
      </c>
      <c r="AP3709" s="28"/>
      <c r="AQ3709" s="28" t="n">
        <f aca="false">AP3709*$M3709</f>
        <v>0</v>
      </c>
      <c r="AR3709" s="28"/>
      <c r="AS3709" s="28" t="n">
        <f aca="false">AR3709*$M3709</f>
        <v>0</v>
      </c>
      <c r="AT3709" s="28"/>
      <c r="AU3709" s="28" t="n">
        <f aca="false">AT3709*$M3709</f>
        <v>0</v>
      </c>
      <c r="AV3709" s="28"/>
      <c r="AW3709" s="28" t="n">
        <f aca="false">AV3709*$M3709</f>
        <v>0</v>
      </c>
      <c r="AX3709" s="28"/>
      <c r="AY3709" s="28" t="n">
        <f aca="false">AX3709*$M3709</f>
        <v>0</v>
      </c>
      <c r="AZ3709" s="30"/>
      <c r="BA3709" s="11"/>
      <c r="BB3709" s="31" t="n">
        <f aca="false">SUM(Q3709,S3709,U3709,W3709,Y3709,AA3709,AC3709,AE3709,AG3709,AI3709,AK3709,AM3709,AO3709,AQ3709,AS3709,AU3709,AW3709,AY3709)</f>
        <v>0</v>
      </c>
      <c r="BC3709" s="28" t="n">
        <f aca="false">BA3709-BB3709</f>
        <v>0</v>
      </c>
      <c r="BD3709" s="32" t="n">
        <f aca="false">SUM(P3709,R3709,T3709,V3709,X3709,Z3709,AB3709,AD3709,AF3709,AH3709,AJ3709,AL3709,AN3709,AP3709,AR3709,AT3709,AV3709,AX3709)</f>
        <v>0</v>
      </c>
      <c r="BE3709" s="33" t="n">
        <f aca="false">AZ3709-BD3709</f>
        <v>0</v>
      </c>
      <c r="BF3709" s="34" t="n">
        <f aca="false">BD3709*M3709</f>
        <v>0</v>
      </c>
      <c r="BG3709" s="35" t="n">
        <f aca="false">BA3709-BF3709</f>
        <v>0</v>
      </c>
      <c r="BH3709" s="19" t="str">
        <f aca="false">IF(BG3709=0,"",IF(BG3709&lt;&gt;BA3709,"erreur de calcul",IF(BD3709&lt;&gt;0,"pas de prix",IF(M3709&lt;&gt; 0,"pas de quantité","pas de prix, ni de quantité"))))</f>
        <v/>
      </c>
      <c r="BI3709" s="19" t="s">
        <v>275</v>
      </c>
    </row>
    <row r="3710" customFormat="false" ht="15" hidden="false" customHeight="false" outlineLevel="0" collapsed="false">
      <c r="A3710" s="0" t="n">
        <v>34</v>
      </c>
      <c r="B3710" s="8" t="s">
        <v>24</v>
      </c>
      <c r="C3710" s="9" t="s">
        <v>25</v>
      </c>
      <c r="D3710" s="9" t="s">
        <v>26</v>
      </c>
      <c r="E3710" s="10" t="n">
        <v>1789</v>
      </c>
      <c r="F3710" s="9" t="s">
        <v>27</v>
      </c>
      <c r="G3710" s="9" t="s">
        <v>27</v>
      </c>
      <c r="H3710" s="11" t="n">
        <v>23</v>
      </c>
      <c r="I3710" s="11" t="s">
        <v>276</v>
      </c>
      <c r="J3710" s="14" t="n">
        <v>36</v>
      </c>
      <c r="K3710" s="14"/>
      <c r="L3710" s="16"/>
      <c r="M3710" s="27" t="n">
        <f aca="false">J3710+(K3710/20)+(L3710/240)</f>
        <v>36</v>
      </c>
      <c r="N3710" s="17" t="s">
        <v>275</v>
      </c>
      <c r="O3710" s="11" t="s">
        <v>77</v>
      </c>
      <c r="P3710" s="28" t="n">
        <v>7250</v>
      </c>
      <c r="Q3710" s="28" t="n">
        <v>261000</v>
      </c>
      <c r="R3710" s="28"/>
      <c r="S3710" s="28" t="n">
        <f aca="false">R3710*$M3710</f>
        <v>0</v>
      </c>
      <c r="T3710" s="28" t="n">
        <v>38389</v>
      </c>
      <c r="U3710" s="28" t="n">
        <v>1382004</v>
      </c>
      <c r="V3710" s="28" t="n">
        <v>19350</v>
      </c>
      <c r="W3710" s="28" t="n">
        <v>696600</v>
      </c>
      <c r="X3710" s="28" t="n">
        <v>25392</v>
      </c>
      <c r="Y3710" s="28" t="n">
        <v>914112</v>
      </c>
      <c r="Z3710" s="28" t="n">
        <v>31863</v>
      </c>
      <c r="AA3710" s="28" t="n">
        <v>1147068</v>
      </c>
      <c r="AB3710" s="28" t="n">
        <v>149064</v>
      </c>
      <c r="AC3710" s="28" t="n">
        <v>5366304</v>
      </c>
      <c r="AD3710" s="28" t="n">
        <v>1270</v>
      </c>
      <c r="AE3710" s="28" t="n">
        <v>45720</v>
      </c>
      <c r="AF3710" s="28" t="n">
        <v>54784</v>
      </c>
      <c r="AG3710" s="28" t="n">
        <v>1972224</v>
      </c>
      <c r="AH3710" s="28" t="n">
        <v>1200</v>
      </c>
      <c r="AI3710" s="28" t="n">
        <v>43200</v>
      </c>
      <c r="AJ3710" s="28" t="n">
        <v>10055</v>
      </c>
      <c r="AK3710" s="28" t="n">
        <v>361980</v>
      </c>
      <c r="AL3710" s="28"/>
      <c r="AM3710" s="28" t="n">
        <f aca="false">AL3710*$M3710</f>
        <v>0</v>
      </c>
      <c r="AN3710" s="28"/>
      <c r="AO3710" s="28" t="n">
        <f aca="false">AN3710*$M3710</f>
        <v>0</v>
      </c>
      <c r="AP3710" s="28" t="n">
        <v>220</v>
      </c>
      <c r="AQ3710" s="28" t="n">
        <f aca="false">AP3710*$M3710</f>
        <v>7920</v>
      </c>
      <c r="AR3710" s="28"/>
      <c r="AS3710" s="28" t="n">
        <f aca="false">AR3710*$M3710</f>
        <v>0</v>
      </c>
      <c r="AT3710" s="28"/>
      <c r="AU3710" s="28" t="n">
        <f aca="false">AT3710*$M3710</f>
        <v>0</v>
      </c>
      <c r="AV3710" s="28" t="n">
        <v>100</v>
      </c>
      <c r="AW3710" s="28" t="n">
        <v>3600</v>
      </c>
      <c r="AX3710" s="28" t="n">
        <v>9241</v>
      </c>
      <c r="AY3710" s="28" t="n">
        <v>332676</v>
      </c>
      <c r="AZ3710" s="30" t="n">
        <v>348178</v>
      </c>
      <c r="BA3710" s="11" t="n">
        <v>12534408</v>
      </c>
      <c r="BB3710" s="31" t="n">
        <f aca="false">SUM(Q3710,S3710,U3710,W3710,Y3710,AA3710,AC3710,AE3710,AG3710,AI3710,AK3710,AM3710,AO3710,AQ3710,AS3710,AU3710,AW3710,AY3710)</f>
        <v>12534408</v>
      </c>
      <c r="BC3710" s="28" t="n">
        <f aca="false">BA3710-BB3710</f>
        <v>0</v>
      </c>
      <c r="BD3710" s="32" t="n">
        <f aca="false">SUM(P3710,R3710,T3710,V3710,X3710,Z3710,AB3710,AD3710,AF3710,AH3710,AJ3710,AL3710,AN3710,AP3710,AR3710,AT3710,AV3710,AX3710)</f>
        <v>348178</v>
      </c>
      <c r="BE3710" s="33" t="n">
        <f aca="false">AZ3710-BD3710</f>
        <v>0</v>
      </c>
      <c r="BF3710" s="34" t="n">
        <f aca="false">BD3710*M3710</f>
        <v>12534408</v>
      </c>
      <c r="BG3710" s="35" t="n">
        <f aca="false">BA3710-BF3710</f>
        <v>0</v>
      </c>
      <c r="BH3710" s="19" t="str">
        <f aca="false">IF(BG3710=0,"",IF(BG3710&lt;&gt;BA3710,"erreur de calcul",IF(BD3710&lt;&gt;0,"pas de prix",IF(M3710&lt;&gt; 0,"pas de quantité","pas de prix, ni de quantité"))))</f>
        <v/>
      </c>
      <c r="BI3710" s="19"/>
    </row>
    <row r="3711" customFormat="false" ht="15" hidden="false" customHeight="false" outlineLevel="0" collapsed="false">
      <c r="A3711" s="0" t="n">
        <v>35</v>
      </c>
      <c r="B3711" s="8" t="s">
        <v>24</v>
      </c>
      <c r="C3711" s="9" t="s">
        <v>25</v>
      </c>
      <c r="D3711" s="9" t="s">
        <v>26</v>
      </c>
      <c r="E3711" s="10" t="n">
        <v>1789</v>
      </c>
      <c r="F3711" s="9" t="s">
        <v>27</v>
      </c>
      <c r="G3711" s="9" t="s">
        <v>27</v>
      </c>
      <c r="H3711" s="11" t="n">
        <v>23</v>
      </c>
      <c r="I3711" s="11" t="s">
        <v>278</v>
      </c>
      <c r="J3711" s="14" t="n">
        <v>12</v>
      </c>
      <c r="K3711" s="14"/>
      <c r="L3711" s="16"/>
      <c r="M3711" s="27" t="n">
        <f aca="false">J3711+(K3711/20)+(L3711/240)</f>
        <v>12</v>
      </c>
      <c r="N3711" s="17" t="s">
        <v>64</v>
      </c>
      <c r="O3711" s="11" t="s">
        <v>77</v>
      </c>
      <c r="P3711" s="28" t="n">
        <f aca="false">351312/100</f>
        <v>3513.12</v>
      </c>
      <c r="Q3711" s="28" t="n">
        <v>42157</v>
      </c>
      <c r="R3711" s="28"/>
      <c r="S3711" s="28" t="n">
        <f aca="false">R3711*$M3711</f>
        <v>0</v>
      </c>
      <c r="T3711" s="28" t="n">
        <f aca="false">52251/100</f>
        <v>522.51</v>
      </c>
      <c r="U3711" s="28" t="n">
        <v>6270</v>
      </c>
      <c r="V3711" s="28" t="n">
        <f aca="false">2393/100</f>
        <v>23.93</v>
      </c>
      <c r="W3711" s="28" t="n">
        <v>287</v>
      </c>
      <c r="X3711" s="28" t="n">
        <f aca="false">44842/100</f>
        <v>448.42</v>
      </c>
      <c r="Y3711" s="28" t="n">
        <v>5381</v>
      </c>
      <c r="Z3711" s="28"/>
      <c r="AA3711" s="28" t="n">
        <f aca="false">Z3711*$M3711</f>
        <v>0</v>
      </c>
      <c r="AB3711" s="28"/>
      <c r="AC3711" s="28" t="n">
        <f aca="false">AB3711*$M3711</f>
        <v>0</v>
      </c>
      <c r="AD3711" s="28"/>
      <c r="AE3711" s="28" t="n">
        <f aca="false">AD3711*$M3711</f>
        <v>0</v>
      </c>
      <c r="AF3711" s="28" t="n">
        <f aca="false">164167/100</f>
        <v>1641.67</v>
      </c>
      <c r="AG3711" s="28" t="n">
        <v>19700</v>
      </c>
      <c r="AH3711" s="28"/>
      <c r="AI3711" s="28" t="n">
        <f aca="false">AH3711*$M3711</f>
        <v>0</v>
      </c>
      <c r="AJ3711" s="28"/>
      <c r="AK3711" s="28" t="n">
        <f aca="false">AJ3711*$M3711</f>
        <v>0</v>
      </c>
      <c r="AL3711" s="28"/>
      <c r="AM3711" s="28" t="n">
        <f aca="false">AL3711*$M3711</f>
        <v>0</v>
      </c>
      <c r="AN3711" s="28"/>
      <c r="AO3711" s="28" t="n">
        <f aca="false">AN3711*$M3711</f>
        <v>0</v>
      </c>
      <c r="AP3711" s="28"/>
      <c r="AQ3711" s="28" t="n">
        <f aca="false">AP3711*$M3711</f>
        <v>0</v>
      </c>
      <c r="AR3711" s="28"/>
      <c r="AS3711" s="28" t="n">
        <f aca="false">AR3711*$M3711</f>
        <v>0</v>
      </c>
      <c r="AT3711" s="28"/>
      <c r="AU3711" s="28" t="n">
        <f aca="false">AT3711*$M3711</f>
        <v>0</v>
      </c>
      <c r="AV3711" s="28"/>
      <c r="AW3711" s="28" t="n">
        <f aca="false">AV3711*$M3711</f>
        <v>0</v>
      </c>
      <c r="AX3711" s="28" t="n">
        <f aca="false">25000/100</f>
        <v>250</v>
      </c>
      <c r="AY3711" s="28" t="n">
        <v>3000</v>
      </c>
      <c r="AZ3711" s="30"/>
      <c r="BA3711" s="11" t="n">
        <v>76795</v>
      </c>
      <c r="BB3711" s="31" t="n">
        <f aca="false">SUM(Q3711,S3711,U3711,W3711,Y3711,AA3711,AC3711,AE3711,AG3711,AI3711,AK3711,AM3711,AO3711,AQ3711,AS3711,AU3711,AW3711,AY3711)</f>
        <v>76795</v>
      </c>
      <c r="BC3711" s="28" t="n">
        <f aca="false">BA3711-BB3711</f>
        <v>0</v>
      </c>
      <c r="BD3711" s="32" t="n">
        <f aca="false">SUM(P3711,R3711,T3711,V3711,X3711,Z3711,AB3711,AD3711,AF3711,AH3711,AJ3711,AL3711,AN3711,AP3711,AR3711,AT3711,AV3711,AX3711)</f>
        <v>6399.65</v>
      </c>
      <c r="BE3711" s="33" t="n">
        <f aca="false">AZ3711-BD3711</f>
        <v>-6399.65</v>
      </c>
      <c r="BF3711" s="34" t="n">
        <f aca="false">BD3711*M3711</f>
        <v>76795.8</v>
      </c>
      <c r="BG3711" s="35" t="n">
        <f aca="false">BA3711-BF3711</f>
        <v>-0.799999999988359</v>
      </c>
      <c r="BH3711" s="19" t="str">
        <f aca="false">IF(BG3711=0,"",IF(BG3711&lt;&gt;BA3711,"erreur de calcul",IF(BD3711&lt;&gt;0,"pas de prix",IF(M3711&lt;&gt; 0,"pas de quantité","pas de prix, ni de quantité"))))</f>
        <v>erreur de calcul</v>
      </c>
      <c r="BI3711" s="19"/>
    </row>
    <row r="3712" customFormat="false" ht="15" hidden="false" customHeight="false" outlineLevel="0" collapsed="false">
      <c r="A3712" s="0" t="n">
        <v>36</v>
      </c>
      <c r="B3712" s="8" t="s">
        <v>24</v>
      </c>
      <c r="C3712" s="9" t="s">
        <v>25</v>
      </c>
      <c r="D3712" s="9" t="s">
        <v>26</v>
      </c>
      <c r="E3712" s="10" t="n">
        <v>1789</v>
      </c>
      <c r="F3712" s="9" t="s">
        <v>27</v>
      </c>
      <c r="G3712" s="9" t="s">
        <v>27</v>
      </c>
      <c r="H3712" s="11" t="n">
        <v>23</v>
      </c>
      <c r="I3712" s="11" t="s">
        <v>279</v>
      </c>
      <c r="J3712" s="14" t="n">
        <v>18</v>
      </c>
      <c r="K3712" s="14"/>
      <c r="L3712" s="16"/>
      <c r="M3712" s="27" t="n">
        <f aca="false">J3712+(K3712/20)+(L3712/240)</f>
        <v>18</v>
      </c>
      <c r="N3712" s="17" t="s">
        <v>275</v>
      </c>
      <c r="O3712" s="11"/>
      <c r="P3712" s="28"/>
      <c r="Q3712" s="28" t="n">
        <f aca="false">P3712*$M3712</f>
        <v>0</v>
      </c>
      <c r="R3712" s="28"/>
      <c r="S3712" s="28" t="n">
        <f aca="false">R3712*$M3712</f>
        <v>0</v>
      </c>
      <c r="T3712" s="28" t="n">
        <v>100</v>
      </c>
      <c r="U3712" s="28" t="n">
        <v>1800</v>
      </c>
      <c r="V3712" s="28"/>
      <c r="W3712" s="28" t="n">
        <f aca="false">V3712*$M3712</f>
        <v>0</v>
      </c>
      <c r="X3712" s="28"/>
      <c r="Y3712" s="28" t="n">
        <f aca="false">X3712*$M3712</f>
        <v>0</v>
      </c>
      <c r="Z3712" s="28"/>
      <c r="AA3712" s="28" t="n">
        <f aca="false">Z3712*$M3712</f>
        <v>0</v>
      </c>
      <c r="AB3712" s="28" t="n">
        <v>1936</v>
      </c>
      <c r="AC3712" s="28" t="n">
        <v>34848</v>
      </c>
      <c r="AD3712" s="28"/>
      <c r="AE3712" s="28" t="n">
        <f aca="false">AD3712*$M3712</f>
        <v>0</v>
      </c>
      <c r="AF3712" s="28" t="n">
        <v>600</v>
      </c>
      <c r="AG3712" s="28" t="n">
        <v>10800</v>
      </c>
      <c r="AH3712" s="28"/>
      <c r="AI3712" s="28" t="n">
        <f aca="false">AH3712*$M3712</f>
        <v>0</v>
      </c>
      <c r="AJ3712" s="28"/>
      <c r="AK3712" s="28" t="n">
        <f aca="false">AJ3712*$M3712</f>
        <v>0</v>
      </c>
      <c r="AL3712" s="28" t="n">
        <v>12</v>
      </c>
      <c r="AM3712" s="28" t="n">
        <v>216</v>
      </c>
      <c r="AN3712" s="28"/>
      <c r="AO3712" s="28" t="n">
        <f aca="false">AN3712*$M3712</f>
        <v>0</v>
      </c>
      <c r="AP3712" s="28" t="n">
        <v>12</v>
      </c>
      <c r="AQ3712" s="28" t="n">
        <v>216</v>
      </c>
      <c r="AR3712" s="28"/>
      <c r="AS3712" s="28" t="n">
        <f aca="false">AR3712*$M3712</f>
        <v>0</v>
      </c>
      <c r="AT3712" s="28"/>
      <c r="AU3712" s="28" t="n">
        <f aca="false">AT3712*$M3712</f>
        <v>0</v>
      </c>
      <c r="AV3712" s="28"/>
      <c r="AW3712" s="28" t="n">
        <f aca="false">AV3712*$M3712</f>
        <v>0</v>
      </c>
      <c r="AX3712" s="28"/>
      <c r="AY3712" s="28" t="n">
        <f aca="false">AX3712*$M3712</f>
        <v>0</v>
      </c>
      <c r="AZ3712" s="30" t="n">
        <v>2660</v>
      </c>
      <c r="BA3712" s="11" t="n">
        <v>47880</v>
      </c>
      <c r="BB3712" s="31" t="n">
        <f aca="false">SUM(Q3712,S3712,U3712,W3712,Y3712,AA3712,AC3712,AE3712,AG3712,AI3712,AK3712,AM3712,AO3712,AQ3712,AS3712,AU3712,AW3712,AY3712)</f>
        <v>47880</v>
      </c>
      <c r="BC3712" s="28" t="n">
        <f aca="false">BA3712-BB3712</f>
        <v>0</v>
      </c>
      <c r="BD3712" s="32" t="n">
        <f aca="false">SUM(P3712,R3712,T3712,V3712,X3712,Z3712,AB3712,AD3712,AF3712,AH3712,AJ3712,AL3712,AN3712,AP3712,AR3712,AT3712,AV3712,AX3712)</f>
        <v>2660</v>
      </c>
      <c r="BE3712" s="33" t="n">
        <f aca="false">AZ3712-BD3712</f>
        <v>0</v>
      </c>
      <c r="BF3712" s="34" t="n">
        <f aca="false">BD3712*M3712</f>
        <v>47880</v>
      </c>
      <c r="BG3712" s="35" t="n">
        <f aca="false">BA3712-BF3712</f>
        <v>0</v>
      </c>
      <c r="BH3712" s="19" t="str">
        <f aca="false">IF(BG3712=0,"",IF(BG3712&lt;&gt;BA3712,"erreur de calcul",IF(BD3712&lt;&gt;0,"pas de prix",IF(M3712&lt;&gt; 0,"pas de quantité","pas de prix, ni de quantité"))))</f>
        <v/>
      </c>
      <c r="BI3712" s="19"/>
    </row>
    <row r="3713" customFormat="false" ht="15" hidden="false" customHeight="false" outlineLevel="0" collapsed="false">
      <c r="A3713" s="0" t="n">
        <v>37</v>
      </c>
      <c r="B3713" s="8" t="s">
        <v>24</v>
      </c>
      <c r="C3713" s="9" t="s">
        <v>25</v>
      </c>
      <c r="D3713" s="9" t="s">
        <v>26</v>
      </c>
      <c r="E3713" s="10" t="n">
        <v>1789</v>
      </c>
      <c r="F3713" s="9" t="s">
        <v>27</v>
      </c>
      <c r="G3713" s="9" t="s">
        <v>27</v>
      </c>
      <c r="H3713" s="11" t="n">
        <v>23</v>
      </c>
      <c r="I3713" s="11" t="s">
        <v>280</v>
      </c>
      <c r="J3713" s="14" t="n">
        <v>25</v>
      </c>
      <c r="K3713" s="14"/>
      <c r="L3713" s="16"/>
      <c r="M3713" s="27" t="n">
        <f aca="false">J3713+(K3713/20)+(L3713/240)</f>
        <v>25</v>
      </c>
      <c r="N3713" s="17" t="s">
        <v>64</v>
      </c>
      <c r="O3713" s="11"/>
      <c r="P3713" s="28"/>
      <c r="Q3713" s="28" t="n">
        <f aca="false">P3713*$M3713</f>
        <v>0</v>
      </c>
      <c r="R3713" s="28"/>
      <c r="S3713" s="28" t="n">
        <f aca="false">R3713*$M3713</f>
        <v>0</v>
      </c>
      <c r="T3713" s="28" t="n">
        <f aca="false">1664501/100</f>
        <v>16645.01</v>
      </c>
      <c r="U3713" s="28" t="n">
        <v>416125</v>
      </c>
      <c r="V3713" s="28" t="n">
        <f aca="false">2171980/100</f>
        <v>21719.8</v>
      </c>
      <c r="W3713" s="28" t="n">
        <v>542995</v>
      </c>
      <c r="X3713" s="28" t="n">
        <f aca="false">11567/100</f>
        <v>115.67</v>
      </c>
      <c r="Y3713" s="28" t="n">
        <v>2892</v>
      </c>
      <c r="Z3713" s="28" t="n">
        <f aca="false">985/100</f>
        <v>9.85</v>
      </c>
      <c r="AA3713" s="28" t="n">
        <v>246</v>
      </c>
      <c r="AB3713" s="28" t="n">
        <f aca="false">399494/100</f>
        <v>3994.94</v>
      </c>
      <c r="AC3713" s="28" t="n">
        <v>99873</v>
      </c>
      <c r="AD3713" s="28"/>
      <c r="AE3713" s="28" t="n">
        <f aca="false">AD3713*$M3713</f>
        <v>0</v>
      </c>
      <c r="AF3713" s="28"/>
      <c r="AG3713" s="28" t="n">
        <f aca="false">AF3713*$M3713</f>
        <v>0</v>
      </c>
      <c r="AH3713" s="28"/>
      <c r="AI3713" s="28" t="n">
        <f aca="false">AH3713*$M3713</f>
        <v>0</v>
      </c>
      <c r="AJ3713" s="28"/>
      <c r="AK3713" s="28" t="n">
        <f aca="false">AJ3713*$M3713</f>
        <v>0</v>
      </c>
      <c r="AL3713" s="28"/>
      <c r="AM3713" s="28" t="n">
        <f aca="false">AL3713*$M3713</f>
        <v>0</v>
      </c>
      <c r="AN3713" s="28"/>
      <c r="AO3713" s="28" t="n">
        <f aca="false">AN3713*$M3713</f>
        <v>0</v>
      </c>
      <c r="AP3713" s="28"/>
      <c r="AQ3713" s="28" t="n">
        <f aca="false">AP3713*$M3713</f>
        <v>0</v>
      </c>
      <c r="AR3713" s="28"/>
      <c r="AS3713" s="28" t="n">
        <f aca="false">AR3713*$M3713</f>
        <v>0</v>
      </c>
      <c r="AT3713" s="28"/>
      <c r="AU3713" s="28" t="n">
        <f aca="false">AT3713*$M3713</f>
        <v>0</v>
      </c>
      <c r="AV3713" s="28"/>
      <c r="AW3713" s="28" t="n">
        <f aca="false">AV3713*$M3713</f>
        <v>0</v>
      </c>
      <c r="AX3713" s="28" t="n">
        <f aca="false">57000/100</f>
        <v>570</v>
      </c>
      <c r="AY3713" s="28" t="n">
        <v>14250</v>
      </c>
      <c r="AZ3713" s="30" t="n">
        <f aca="false">4305527/100</f>
        <v>43055.27</v>
      </c>
      <c r="BA3713" s="11" t="n">
        <v>1076381</v>
      </c>
      <c r="BB3713" s="31" t="n">
        <f aca="false">SUM(Q3713,S3713,U3713,W3713,Y3713,AA3713,AC3713,AE3713,AG3713,AI3713,AK3713,AM3713,AO3713,AQ3713,AS3713,AU3713,AW3713,AY3713)</f>
        <v>1076381</v>
      </c>
      <c r="BC3713" s="28" t="n">
        <f aca="false">BA3713-BB3713</f>
        <v>0</v>
      </c>
      <c r="BD3713" s="32" t="n">
        <f aca="false">SUM(P3713,R3713,T3713,V3713,X3713,Z3713,AB3713,AD3713,AF3713,AH3713,AJ3713,AL3713,AN3713,AP3713,AR3713,AT3713,AV3713,AX3713)</f>
        <v>43055.27</v>
      </c>
      <c r="BE3713" s="33" t="n">
        <f aca="false">AZ3713-BD3713</f>
        <v>0</v>
      </c>
      <c r="BF3713" s="34" t="n">
        <f aca="false">BD3713*M3713</f>
        <v>1076381.75</v>
      </c>
      <c r="BG3713" s="35" t="n">
        <f aca="false">BA3713-BF3713</f>
        <v>-0.75</v>
      </c>
      <c r="BH3713" s="19" t="str">
        <f aca="false">IF(BG3713=0,"",IF(BG3713&lt;&gt;BA3713,"erreur de calcul",IF(BD3713&lt;&gt;0,"pas de prix",IF(M3713&lt;&gt; 0,"pas de quantité","pas de prix, ni de quantité"))))</f>
        <v>erreur de calcul</v>
      </c>
      <c r="BI3713" s="19"/>
    </row>
    <row r="3714" customFormat="false" ht="15" hidden="false" customHeight="false" outlineLevel="0" collapsed="false">
      <c r="A3714" s="0" t="n">
        <v>38</v>
      </c>
      <c r="B3714" s="8" t="s">
        <v>24</v>
      </c>
      <c r="C3714" s="9" t="s">
        <v>25</v>
      </c>
      <c r="D3714" s="9" t="s">
        <v>26</v>
      </c>
      <c r="E3714" s="10" t="n">
        <v>1789</v>
      </c>
      <c r="F3714" s="9" t="s">
        <v>27</v>
      </c>
      <c r="G3714" s="9" t="s">
        <v>27</v>
      </c>
      <c r="H3714" s="11" t="n">
        <v>23</v>
      </c>
      <c r="I3714" s="11" t="s">
        <v>281</v>
      </c>
      <c r="J3714" s="14" t="n">
        <v>18</v>
      </c>
      <c r="K3714" s="14"/>
      <c r="L3714" s="16"/>
      <c r="M3714" s="27" t="n">
        <f aca="false">J3714+(K3714/20)+(L3714/240)</f>
        <v>18</v>
      </c>
      <c r="N3714" s="17" t="s">
        <v>275</v>
      </c>
      <c r="O3714" s="11"/>
      <c r="P3714" s="28"/>
      <c r="Q3714" s="28" t="n">
        <f aca="false">P3714*$M3714</f>
        <v>0</v>
      </c>
      <c r="R3714" s="28"/>
      <c r="S3714" s="28" t="n">
        <f aca="false">R3714*$M3714</f>
        <v>0</v>
      </c>
      <c r="T3714" s="28" t="n">
        <v>537</v>
      </c>
      <c r="U3714" s="28" t="n">
        <v>9666</v>
      </c>
      <c r="V3714" s="28"/>
      <c r="W3714" s="28" t="n">
        <f aca="false">V3714*$M3714</f>
        <v>0</v>
      </c>
      <c r="X3714" s="28"/>
      <c r="Y3714" s="28" t="n">
        <f aca="false">X3714*$M3714</f>
        <v>0</v>
      </c>
      <c r="Z3714" s="28"/>
      <c r="AA3714" s="28" t="n">
        <f aca="false">Z3714*$M3714</f>
        <v>0</v>
      </c>
      <c r="AB3714" s="28"/>
      <c r="AC3714" s="28" t="n">
        <f aca="false">AB3714*$M3714</f>
        <v>0</v>
      </c>
      <c r="AD3714" s="28"/>
      <c r="AE3714" s="28" t="n">
        <f aca="false">AD3714*$M3714</f>
        <v>0</v>
      </c>
      <c r="AF3714" s="28"/>
      <c r="AG3714" s="28" t="n">
        <f aca="false">AF3714*$M3714</f>
        <v>0</v>
      </c>
      <c r="AH3714" s="28"/>
      <c r="AI3714" s="28" t="n">
        <f aca="false">AH3714*$M3714</f>
        <v>0</v>
      </c>
      <c r="AJ3714" s="28"/>
      <c r="AK3714" s="28" t="n">
        <f aca="false">AJ3714*$M3714</f>
        <v>0</v>
      </c>
      <c r="AL3714" s="28"/>
      <c r="AM3714" s="28" t="n">
        <f aca="false">AL3714*$M3714</f>
        <v>0</v>
      </c>
      <c r="AN3714" s="28"/>
      <c r="AO3714" s="28" t="n">
        <f aca="false">AN3714*$M3714</f>
        <v>0</v>
      </c>
      <c r="AP3714" s="28"/>
      <c r="AQ3714" s="28" t="n">
        <f aca="false">AP3714*$M3714</f>
        <v>0</v>
      </c>
      <c r="AR3714" s="28"/>
      <c r="AS3714" s="28" t="n">
        <f aca="false">AR3714*$M3714</f>
        <v>0</v>
      </c>
      <c r="AT3714" s="28"/>
      <c r="AU3714" s="28" t="n">
        <f aca="false">AT3714*$M3714</f>
        <v>0</v>
      </c>
      <c r="AV3714" s="28" t="n">
        <v>1700</v>
      </c>
      <c r="AW3714" s="36" t="n">
        <v>33600</v>
      </c>
      <c r="AX3714" s="28"/>
      <c r="AY3714" s="28" t="n">
        <f aca="false">AX3714*$M3714</f>
        <v>0</v>
      </c>
      <c r="AZ3714" s="30" t="n">
        <v>2237</v>
      </c>
      <c r="BA3714" s="11" t="n">
        <v>43266</v>
      </c>
      <c r="BB3714" s="31" t="n">
        <f aca="false">SUM(Q3714,S3714,U3714,W3714,Y3714,AA3714,AC3714,AE3714,AG3714,AI3714,AK3714,AM3714,AO3714,AQ3714,AS3714,AU3714,AW3714,AY3714)</f>
        <v>43266</v>
      </c>
      <c r="BC3714" s="28" t="n">
        <f aca="false">BA3714-BB3714</f>
        <v>0</v>
      </c>
      <c r="BD3714" s="32" t="n">
        <f aca="false">SUM(P3714,R3714,T3714,V3714,X3714,Z3714,AB3714,AD3714,AF3714,AH3714,AJ3714,AL3714,AN3714,AP3714,AR3714,AT3714,AV3714,AX3714)</f>
        <v>2237</v>
      </c>
      <c r="BE3714" s="33" t="n">
        <f aca="false">AZ3714-BD3714</f>
        <v>0</v>
      </c>
      <c r="BF3714" s="34" t="n">
        <f aca="false">BD3714*M3714</f>
        <v>40266</v>
      </c>
      <c r="BG3714" s="35" t="n">
        <f aca="false">BA3714-BF3714</f>
        <v>3000</v>
      </c>
      <c r="BH3714" s="19" t="str">
        <f aca="false">IF(BG3714=0,"",IF(BG3714&lt;&gt;BA3714,"erreur de calcul",IF(BD3714&lt;&gt;0,"pas de prix",IF(M3714&lt;&gt; 0,"pas de quantité","pas de prix, ni de quantité"))))</f>
        <v>erreur de calcul</v>
      </c>
      <c r="BI3714" s="19"/>
    </row>
    <row r="3715" customFormat="false" ht="15" hidden="false" customHeight="false" outlineLevel="0" collapsed="false">
      <c r="A3715" s="0" t="n">
        <v>39</v>
      </c>
      <c r="B3715" s="8" t="s">
        <v>24</v>
      </c>
      <c r="C3715" s="9" t="s">
        <v>25</v>
      </c>
      <c r="D3715" s="9" t="s">
        <v>26</v>
      </c>
      <c r="E3715" s="10" t="n">
        <v>1789</v>
      </c>
      <c r="F3715" s="9" t="s">
        <v>27</v>
      </c>
      <c r="G3715" s="9" t="s">
        <v>27</v>
      </c>
      <c r="H3715" s="11" t="n">
        <v>23</v>
      </c>
      <c r="I3715" s="11" t="s">
        <v>282</v>
      </c>
      <c r="J3715" s="14"/>
      <c r="K3715" s="14"/>
      <c r="L3715" s="16"/>
      <c r="M3715" s="27" t="n">
        <f aca="false">J3715+(K3715/20)+(L3715/240)</f>
        <v>0</v>
      </c>
      <c r="N3715" s="17"/>
      <c r="O3715" s="11"/>
      <c r="P3715" s="28"/>
      <c r="Q3715" s="28" t="n">
        <f aca="false">P3715*$M3715</f>
        <v>0</v>
      </c>
      <c r="R3715" s="28"/>
      <c r="S3715" s="28" t="n">
        <f aca="false">R3715*$M3715</f>
        <v>0</v>
      </c>
      <c r="T3715" s="28"/>
      <c r="U3715" s="28" t="n">
        <v>1962</v>
      </c>
      <c r="V3715" s="28"/>
      <c r="W3715" s="28" t="n">
        <v>148</v>
      </c>
      <c r="X3715" s="28"/>
      <c r="Y3715" s="28" t="n">
        <v>221</v>
      </c>
      <c r="Z3715" s="28"/>
      <c r="AA3715" s="28" t="n">
        <f aca="false">Z3715*$M3715</f>
        <v>0</v>
      </c>
      <c r="AB3715" s="28"/>
      <c r="AC3715" s="28" t="n">
        <v>725</v>
      </c>
      <c r="AD3715" s="28"/>
      <c r="AE3715" s="28" t="n">
        <f aca="false">AD3715*$M3715</f>
        <v>0</v>
      </c>
      <c r="AF3715" s="28"/>
      <c r="AG3715" s="28" t="n">
        <v>414</v>
      </c>
      <c r="AH3715" s="28"/>
      <c r="AI3715" s="28" t="n">
        <f aca="false">AH3715*$M3715</f>
        <v>0</v>
      </c>
      <c r="AJ3715" s="28"/>
      <c r="AK3715" s="28" t="n">
        <f aca="false">AJ3715*$M3715</f>
        <v>0</v>
      </c>
      <c r="AL3715" s="28"/>
      <c r="AM3715" s="28" t="n">
        <f aca="false">AL3715*$M3715</f>
        <v>0</v>
      </c>
      <c r="AN3715" s="28"/>
      <c r="AO3715" s="28" t="n">
        <f aca="false">AN3715*$M3715</f>
        <v>0</v>
      </c>
      <c r="AP3715" s="28"/>
      <c r="AQ3715" s="28" t="n">
        <f aca="false">AP3715*$M3715</f>
        <v>0</v>
      </c>
      <c r="AR3715" s="28"/>
      <c r="AS3715" s="28" t="n">
        <f aca="false">AR3715*$M3715</f>
        <v>0</v>
      </c>
      <c r="AT3715" s="28"/>
      <c r="AU3715" s="28" t="n">
        <v>276</v>
      </c>
      <c r="AV3715" s="28"/>
      <c r="AW3715" s="28" t="n">
        <f aca="false">AV3715*$M3715</f>
        <v>0</v>
      </c>
      <c r="AX3715" s="28"/>
      <c r="AY3715" s="28" t="n">
        <f aca="false">AX3715*$M3715</f>
        <v>0</v>
      </c>
      <c r="AZ3715" s="30"/>
      <c r="BA3715" s="11" t="n">
        <v>3746</v>
      </c>
      <c r="BB3715" s="31" t="n">
        <f aca="false">SUM(Q3715,S3715,U3715,W3715,Y3715,AA3715,AC3715,AE3715,AG3715,AI3715,AK3715,AM3715,AO3715,AQ3715,AS3715,AU3715,AW3715,AY3715)</f>
        <v>3746</v>
      </c>
      <c r="BC3715" s="28" t="n">
        <f aca="false">BA3715-BB3715</f>
        <v>0</v>
      </c>
      <c r="BD3715" s="32" t="n">
        <f aca="false">SUM(P3715,R3715,T3715,V3715,X3715,Z3715,AB3715,AD3715,AF3715,AH3715,AJ3715,AL3715,AN3715,AP3715,AR3715,AT3715,AV3715,AX3715)</f>
        <v>0</v>
      </c>
      <c r="BE3715" s="33" t="n">
        <f aca="false">AZ3715-BD3715</f>
        <v>0</v>
      </c>
      <c r="BF3715" s="34" t="n">
        <f aca="false">BD3715*M3715</f>
        <v>0</v>
      </c>
      <c r="BG3715" s="35" t="n">
        <f aca="false">BA3715-BF3715</f>
        <v>3746</v>
      </c>
      <c r="BH3715" s="19" t="str">
        <f aca="false">IF(BG3715=0,"",IF(BG3715&lt;&gt;BA3715,"erreur de calcul",IF(BD3715&lt;&gt;0,"pas de prix",IF(M3715&lt;&gt; 0,"pas de quantité","pas de prix, ni de quantité"))))</f>
        <v>pas de prix, ni de quantité</v>
      </c>
      <c r="BI3715" s="19"/>
    </row>
    <row r="3716" customFormat="false" ht="15" hidden="false" customHeight="false" outlineLevel="0" collapsed="false">
      <c r="A3716" s="0" t="n">
        <v>40</v>
      </c>
      <c r="B3716" s="8" t="s">
        <v>24</v>
      </c>
      <c r="C3716" s="9" t="s">
        <v>25</v>
      </c>
      <c r="D3716" s="9" t="s">
        <v>26</v>
      </c>
      <c r="E3716" s="10" t="n">
        <v>1789</v>
      </c>
      <c r="F3716" s="9" t="s">
        <v>27</v>
      </c>
      <c r="G3716" s="9" t="s">
        <v>27</v>
      </c>
      <c r="H3716" s="11" t="n">
        <v>23</v>
      </c>
      <c r="I3716" s="11" t="s">
        <v>283</v>
      </c>
      <c r="J3716" s="14" t="n">
        <v>25</v>
      </c>
      <c r="K3716" s="14"/>
      <c r="L3716" s="16"/>
      <c r="M3716" s="27" t="n">
        <f aca="false">J3716+(K3716/20)+(L3716/240)</f>
        <v>25</v>
      </c>
      <c r="N3716" s="17" t="s">
        <v>64</v>
      </c>
      <c r="O3716" s="11"/>
      <c r="P3716" s="28" t="n">
        <f aca="false">12568/100</f>
        <v>125.68</v>
      </c>
      <c r="Q3716" s="28" t="n">
        <v>3142</v>
      </c>
      <c r="R3716" s="28"/>
      <c r="S3716" s="28" t="n">
        <f aca="false">R3716*$M3716</f>
        <v>0</v>
      </c>
      <c r="T3716" s="28"/>
      <c r="U3716" s="28" t="n">
        <f aca="false">T3716*$M3716</f>
        <v>0</v>
      </c>
      <c r="V3716" s="28"/>
      <c r="W3716" s="28" t="n">
        <f aca="false">V3716*$M3716</f>
        <v>0</v>
      </c>
      <c r="X3716" s="28"/>
      <c r="Y3716" s="28" t="n">
        <f aca="false">X3716*$M3716</f>
        <v>0</v>
      </c>
      <c r="Z3716" s="28"/>
      <c r="AA3716" s="28" t="n">
        <f aca="false">Z3716*$M3716</f>
        <v>0</v>
      </c>
      <c r="AB3716" s="28"/>
      <c r="AC3716" s="28" t="n">
        <f aca="false">AB3716*$M3716</f>
        <v>0</v>
      </c>
      <c r="AD3716" s="28"/>
      <c r="AE3716" s="28" t="n">
        <f aca="false">AD3716*$M3716</f>
        <v>0</v>
      </c>
      <c r="AF3716" s="28"/>
      <c r="AG3716" s="28" t="n">
        <f aca="false">AF3716*$M3716</f>
        <v>0</v>
      </c>
      <c r="AH3716" s="28" t="n">
        <f aca="false">5355/100</f>
        <v>53.55</v>
      </c>
      <c r="AI3716" s="28" t="n">
        <v>1339</v>
      </c>
      <c r="AJ3716" s="28"/>
      <c r="AK3716" s="28" t="n">
        <f aca="false">AJ3716*$M3716</f>
        <v>0</v>
      </c>
      <c r="AL3716" s="28"/>
      <c r="AM3716" s="28" t="n">
        <f aca="false">AL3716*$M3716</f>
        <v>0</v>
      </c>
      <c r="AN3716" s="28"/>
      <c r="AO3716" s="28" t="n">
        <f aca="false">AN3716*$M3716</f>
        <v>0</v>
      </c>
      <c r="AP3716" s="28"/>
      <c r="AQ3716" s="28" t="n">
        <f aca="false">AP3716*$M3716</f>
        <v>0</v>
      </c>
      <c r="AR3716" s="28"/>
      <c r="AS3716" s="28" t="n">
        <f aca="false">AR3716*$M3716</f>
        <v>0</v>
      </c>
      <c r="AT3716" s="28"/>
      <c r="AU3716" s="28" t="n">
        <f aca="false">AT3716*$M3716</f>
        <v>0</v>
      </c>
      <c r="AV3716" s="28"/>
      <c r="AW3716" s="28" t="n">
        <f aca="false">AV3716*$M3716</f>
        <v>0</v>
      </c>
      <c r="AX3716" s="28"/>
      <c r="AY3716" s="28" t="n">
        <f aca="false">AX3716*$M3716</f>
        <v>0</v>
      </c>
      <c r="AZ3716" s="30" t="n">
        <f aca="false">17923/100</f>
        <v>179.23</v>
      </c>
      <c r="BA3716" s="11" t="n">
        <v>4481</v>
      </c>
      <c r="BB3716" s="31" t="n">
        <f aca="false">SUM(Q3716,S3716,U3716,W3716,Y3716,AA3716,AC3716,AE3716,AG3716,AI3716,AK3716,AM3716,AO3716,AQ3716,AS3716,AU3716,AW3716,AY3716)</f>
        <v>4481</v>
      </c>
      <c r="BC3716" s="28" t="n">
        <f aca="false">BA3716-BB3716</f>
        <v>0</v>
      </c>
      <c r="BD3716" s="32" t="n">
        <f aca="false">SUM(P3716,R3716,T3716,V3716,X3716,Z3716,AB3716,AD3716,AF3716,AH3716,AJ3716,AL3716,AN3716,AP3716,AR3716,AT3716,AV3716,AX3716)</f>
        <v>179.23</v>
      </c>
      <c r="BE3716" s="33" t="n">
        <f aca="false">AZ3716-BD3716</f>
        <v>0</v>
      </c>
      <c r="BF3716" s="34" t="n">
        <f aca="false">BD3716*M3716</f>
        <v>4480.75</v>
      </c>
      <c r="BG3716" s="35" t="n">
        <f aca="false">BA3716-BF3716</f>
        <v>0.25</v>
      </c>
      <c r="BH3716" s="19" t="str">
        <f aca="false">IF(BG3716=0,"",IF(BG3716&lt;&gt;BA3716,"erreur de calcul",IF(BD3716&lt;&gt;0,"pas de prix",IF(M3716&lt;&gt; 0,"pas de quantité","pas de prix, ni de quantité"))))</f>
        <v>erreur de calcul</v>
      </c>
      <c r="BI3716" s="19"/>
    </row>
    <row r="3717" customFormat="false" ht="15" hidden="false" customHeight="false" outlineLevel="0" collapsed="false">
      <c r="A3717" s="0" t="n">
        <v>41</v>
      </c>
      <c r="B3717" s="8" t="s">
        <v>24</v>
      </c>
      <c r="C3717" s="9" t="s">
        <v>25</v>
      </c>
      <c r="D3717" s="9" t="s">
        <v>26</v>
      </c>
      <c r="E3717" s="10" t="n">
        <v>1789</v>
      </c>
      <c r="F3717" s="9" t="s">
        <v>27</v>
      </c>
      <c r="G3717" s="9" t="s">
        <v>27</v>
      </c>
      <c r="H3717" s="11" t="n">
        <v>23</v>
      </c>
      <c r="I3717" s="11" t="s">
        <v>284</v>
      </c>
      <c r="J3717" s="14" t="n">
        <v>17</v>
      </c>
      <c r="K3717" s="14"/>
      <c r="L3717" s="16"/>
      <c r="M3717" s="27" t="n">
        <f aca="false">J3717+(K3717/20)+(L3717/240)</f>
        <v>17</v>
      </c>
      <c r="N3717" s="17" t="s">
        <v>64</v>
      </c>
      <c r="O3717" s="11"/>
      <c r="P3717" s="28" t="n">
        <f aca="false">56873/100</f>
        <v>568.73</v>
      </c>
      <c r="Q3717" s="36" t="n">
        <v>3981</v>
      </c>
      <c r="R3717" s="28"/>
      <c r="S3717" s="28" t="n">
        <f aca="false">R3717*$M3717</f>
        <v>0</v>
      </c>
      <c r="T3717" s="28"/>
      <c r="U3717" s="28" t="n">
        <f aca="false">T3717*$M3717</f>
        <v>0</v>
      </c>
      <c r="V3717" s="28"/>
      <c r="W3717" s="28" t="n">
        <f aca="false">V3717*$M3717</f>
        <v>0</v>
      </c>
      <c r="X3717" s="28"/>
      <c r="Y3717" s="28" t="n">
        <f aca="false">X3717*$M3717</f>
        <v>0</v>
      </c>
      <c r="Z3717" s="28"/>
      <c r="AA3717" s="28" t="n">
        <f aca="false">Z3717*$M3717</f>
        <v>0</v>
      </c>
      <c r="AB3717" s="28"/>
      <c r="AC3717" s="28" t="n">
        <f aca="false">AB3717*$M3717</f>
        <v>0</v>
      </c>
      <c r="AD3717" s="28"/>
      <c r="AE3717" s="28" t="n">
        <f aca="false">AD3717*$M3717</f>
        <v>0</v>
      </c>
      <c r="AF3717" s="28"/>
      <c r="AG3717" s="28" t="n">
        <f aca="false">AF3717*$M3717</f>
        <v>0</v>
      </c>
      <c r="AH3717" s="28"/>
      <c r="AI3717" s="28" t="n">
        <f aca="false">AH3717*$M3717</f>
        <v>0</v>
      </c>
      <c r="AJ3717" s="28" t="n">
        <f aca="false">19651/100</f>
        <v>196.51</v>
      </c>
      <c r="AK3717" s="28" t="n">
        <v>3341</v>
      </c>
      <c r="AL3717" s="28"/>
      <c r="AM3717" s="28" t="n">
        <f aca="false">AL3717*$M3717</f>
        <v>0</v>
      </c>
      <c r="AN3717" s="28"/>
      <c r="AO3717" s="28" t="n">
        <f aca="false">AN3717*$M3717</f>
        <v>0</v>
      </c>
      <c r="AP3717" s="28"/>
      <c r="AQ3717" s="28" t="n">
        <f aca="false">AP3717*$M3717</f>
        <v>0</v>
      </c>
      <c r="AR3717" s="28"/>
      <c r="AS3717" s="28" t="n">
        <f aca="false">AR3717*$M3717</f>
        <v>0</v>
      </c>
      <c r="AT3717" s="28"/>
      <c r="AU3717" s="28" t="n">
        <f aca="false">AT3717*$M3717</f>
        <v>0</v>
      </c>
      <c r="AV3717" s="28"/>
      <c r="AW3717" s="28" t="n">
        <f aca="false">AV3717*$M3717</f>
        <v>0</v>
      </c>
      <c r="AX3717" s="28"/>
      <c r="AY3717" s="28" t="n">
        <f aca="false">AX3717*$M3717</f>
        <v>0</v>
      </c>
      <c r="AZ3717" s="30" t="n">
        <f aca="false">76524/100</f>
        <v>765.24</v>
      </c>
      <c r="BA3717" s="11" t="n">
        <v>7322</v>
      </c>
      <c r="BB3717" s="31" t="n">
        <f aca="false">SUM(Q3717,S3717,U3717,W3717,Y3717,AA3717,AC3717,AE3717,AG3717,AI3717,AK3717,AM3717,AO3717,AQ3717,AS3717,AU3717,AW3717,AY3717)</f>
        <v>7322</v>
      </c>
      <c r="BC3717" s="28" t="n">
        <f aca="false">BA3717-BB3717</f>
        <v>0</v>
      </c>
      <c r="BD3717" s="32" t="n">
        <f aca="false">SUM(P3717,R3717,T3717,V3717,X3717,Z3717,AB3717,AD3717,AF3717,AH3717,AJ3717,AL3717,AN3717,AP3717,AR3717,AT3717,AV3717,AX3717)</f>
        <v>765.24</v>
      </c>
      <c r="BE3717" s="33" t="n">
        <f aca="false">AZ3717-BD3717</f>
        <v>0</v>
      </c>
      <c r="BF3717" s="34" t="n">
        <f aca="false">BD3717*M3717</f>
        <v>13009.08</v>
      </c>
      <c r="BG3717" s="35" t="n">
        <f aca="false">BA3717-BF3717</f>
        <v>-5687.08</v>
      </c>
      <c r="BH3717" s="19" t="str">
        <f aca="false">IF(BG3717=0,"",IF(BG3717&lt;&gt;BA3717,"erreur de calcul",IF(BD3717&lt;&gt;0,"pas de prix",IF(M3717&lt;&gt; 0,"pas de quantité","pas de prix, ni de quantité"))))</f>
        <v>erreur de calcul</v>
      </c>
      <c r="BI3717" s="19"/>
    </row>
    <row r="3718" customFormat="false" ht="15" hidden="false" customHeight="false" outlineLevel="0" collapsed="false">
      <c r="A3718" s="0" t="n">
        <v>42</v>
      </c>
      <c r="B3718" s="8" t="s">
        <v>24</v>
      </c>
      <c r="C3718" s="9" t="s">
        <v>25</v>
      </c>
      <c r="D3718" s="9" t="s">
        <v>26</v>
      </c>
      <c r="E3718" s="10" t="n">
        <v>1789</v>
      </c>
      <c r="F3718" s="9" t="s">
        <v>27</v>
      </c>
      <c r="G3718" s="9" t="s">
        <v>27</v>
      </c>
      <c r="H3718" s="11" t="n">
        <v>23</v>
      </c>
      <c r="I3718" s="11" t="s">
        <v>285</v>
      </c>
      <c r="J3718" s="14" t="n">
        <v>15</v>
      </c>
      <c r="K3718" s="14"/>
      <c r="L3718" s="16"/>
      <c r="M3718" s="27" t="n">
        <f aca="false">J3718+(K3718/20)+(L3718/240)</f>
        <v>15</v>
      </c>
      <c r="N3718" s="17" t="s">
        <v>64</v>
      </c>
      <c r="O3718" s="11"/>
      <c r="P3718" s="28" t="n">
        <f aca="false">10520/100</f>
        <v>105.2</v>
      </c>
      <c r="Q3718" s="28" t="n">
        <v>1578</v>
      </c>
      <c r="R3718" s="28"/>
      <c r="S3718" s="28" t="n">
        <f aca="false">R3718*$M3718</f>
        <v>0</v>
      </c>
      <c r="T3718" s="28"/>
      <c r="U3718" s="28" t="n">
        <f aca="false">T3718*$M3718</f>
        <v>0</v>
      </c>
      <c r="V3718" s="28"/>
      <c r="W3718" s="28" t="n">
        <f aca="false">V3718*$M3718</f>
        <v>0</v>
      </c>
      <c r="X3718" s="28" t="n">
        <f aca="false">39052/100</f>
        <v>390.52</v>
      </c>
      <c r="Y3718" s="28" t="n">
        <v>5858</v>
      </c>
      <c r="Z3718" s="28"/>
      <c r="AA3718" s="28" t="n">
        <f aca="false">Z3718*$M3718</f>
        <v>0</v>
      </c>
      <c r="AB3718" s="28" t="n">
        <f aca="false">101189/100</f>
        <v>1011.89</v>
      </c>
      <c r="AC3718" s="28" t="n">
        <v>15178</v>
      </c>
      <c r="AD3718" s="28"/>
      <c r="AE3718" s="28" t="n">
        <f aca="false">AD3718*$M3718</f>
        <v>0</v>
      </c>
      <c r="AF3718" s="28" t="n">
        <f aca="false">48408/100</f>
        <v>484.08</v>
      </c>
      <c r="AG3718" s="28" t="n">
        <v>7261</v>
      </c>
      <c r="AH3718" s="28" t="n">
        <f aca="false">17847/100</f>
        <v>178.47</v>
      </c>
      <c r="AI3718" s="28" t="n">
        <v>2677</v>
      </c>
      <c r="AJ3718" s="28"/>
      <c r="AK3718" s="28" t="n">
        <f aca="false">AJ3718*$M3718</f>
        <v>0</v>
      </c>
      <c r="AL3718" s="28"/>
      <c r="AM3718" s="28" t="n">
        <f aca="false">AL3718*$M3718</f>
        <v>0</v>
      </c>
      <c r="AN3718" s="28"/>
      <c r="AO3718" s="28" t="n">
        <f aca="false">AN3718*$M3718</f>
        <v>0</v>
      </c>
      <c r="AP3718" s="28"/>
      <c r="AQ3718" s="28" t="n">
        <f aca="false">AP3718*$M3718</f>
        <v>0</v>
      </c>
      <c r="AR3718" s="28"/>
      <c r="AS3718" s="28" t="n">
        <f aca="false">AR3718*$M3718</f>
        <v>0</v>
      </c>
      <c r="AT3718" s="28"/>
      <c r="AU3718" s="28" t="n">
        <f aca="false">AT3718*$M3718</f>
        <v>0</v>
      </c>
      <c r="AV3718" s="28"/>
      <c r="AW3718" s="28" t="n">
        <f aca="false">AV3718*$M3718</f>
        <v>0</v>
      </c>
      <c r="AX3718" s="28"/>
      <c r="AY3718" s="28" t="n">
        <f aca="false">AX3718*$M3718</f>
        <v>0</v>
      </c>
      <c r="AZ3718" s="30" t="n">
        <f aca="false">217016/100</f>
        <v>2170.16</v>
      </c>
      <c r="BA3718" s="11" t="n">
        <v>32552</v>
      </c>
      <c r="BB3718" s="31" t="n">
        <f aca="false">SUM(Q3718,S3718,U3718,W3718,Y3718,AA3718,AC3718,AE3718,AG3718,AI3718,AK3718,AM3718,AO3718,AQ3718,AS3718,AU3718,AW3718,AY3718)</f>
        <v>32552</v>
      </c>
      <c r="BC3718" s="28" t="n">
        <f aca="false">BA3718-BB3718</f>
        <v>0</v>
      </c>
      <c r="BD3718" s="32" t="n">
        <f aca="false">SUM(P3718,R3718,T3718,V3718,X3718,Z3718,AB3718,AD3718,AF3718,AH3718,AJ3718,AL3718,AN3718,AP3718,AR3718,AT3718,AV3718,AX3718)</f>
        <v>2170.16</v>
      </c>
      <c r="BE3718" s="33" t="n">
        <f aca="false">AZ3718-BD3718</f>
        <v>0</v>
      </c>
      <c r="BF3718" s="34" t="n">
        <f aca="false">BD3718*M3718</f>
        <v>32552.4</v>
      </c>
      <c r="BG3718" s="35" t="n">
        <f aca="false">BA3718-BF3718</f>
        <v>-0.399999999997817</v>
      </c>
      <c r="BH3718" s="19" t="str">
        <f aca="false">IF(BG3718=0,"",IF(BG3718&lt;&gt;BA3718,"erreur de calcul",IF(BD3718&lt;&gt;0,"pas de prix",IF(M3718&lt;&gt; 0,"pas de quantité","pas de prix, ni de quantité"))))</f>
        <v>erreur de calcul</v>
      </c>
      <c r="BI3718" s="19"/>
    </row>
    <row r="3719" customFormat="false" ht="15" hidden="false" customHeight="false" outlineLevel="0" collapsed="false">
      <c r="A3719" s="0" t="n">
        <v>43</v>
      </c>
      <c r="B3719" s="8" t="s">
        <v>24</v>
      </c>
      <c r="C3719" s="9" t="s">
        <v>25</v>
      </c>
      <c r="D3719" s="9" t="s">
        <v>26</v>
      </c>
      <c r="E3719" s="10" t="n">
        <v>1789</v>
      </c>
      <c r="F3719" s="9" t="s">
        <v>27</v>
      </c>
      <c r="G3719" s="9" t="s">
        <v>27</v>
      </c>
      <c r="H3719" s="11" t="n">
        <v>23</v>
      </c>
      <c r="I3719" s="11" t="s">
        <v>286</v>
      </c>
      <c r="J3719" s="14" t="n">
        <v>20</v>
      </c>
      <c r="K3719" s="14"/>
      <c r="L3719" s="16"/>
      <c r="M3719" s="27" t="n">
        <f aca="false">J3719+(K3719/20)+(L3719/240)</f>
        <v>20</v>
      </c>
      <c r="N3719" s="17" t="s">
        <v>64</v>
      </c>
      <c r="O3719" s="11"/>
      <c r="P3719" s="28"/>
      <c r="Q3719" s="28" t="n">
        <f aca="false">P3719*$M3719</f>
        <v>0</v>
      </c>
      <c r="R3719" s="28"/>
      <c r="S3719" s="28" t="n">
        <f aca="false">R3719*$M3719</f>
        <v>0</v>
      </c>
      <c r="T3719" s="28"/>
      <c r="U3719" s="28" t="n">
        <f aca="false">T3719*$M3719</f>
        <v>0</v>
      </c>
      <c r="V3719" s="28"/>
      <c r="W3719" s="28" t="n">
        <f aca="false">V3719*$M3719</f>
        <v>0</v>
      </c>
      <c r="X3719" s="28"/>
      <c r="Y3719" s="28" t="n">
        <f aca="false">X3719*$M3719</f>
        <v>0</v>
      </c>
      <c r="Z3719" s="28"/>
      <c r="AA3719" s="28" t="n">
        <f aca="false">Z3719*$M3719</f>
        <v>0</v>
      </c>
      <c r="AB3719" s="28" t="n">
        <f aca="false">8852/100</f>
        <v>88.52</v>
      </c>
      <c r="AC3719" s="28" t="n">
        <v>1770</v>
      </c>
      <c r="AD3719" s="28"/>
      <c r="AE3719" s="28" t="n">
        <f aca="false">AD3719*$M3719</f>
        <v>0</v>
      </c>
      <c r="AF3719" s="28"/>
      <c r="AG3719" s="28" t="n">
        <f aca="false">AF3719*$M3719</f>
        <v>0</v>
      </c>
      <c r="AH3719" s="28"/>
      <c r="AI3719" s="28" t="n">
        <f aca="false">AH3719*$M3719</f>
        <v>0</v>
      </c>
      <c r="AJ3719" s="28"/>
      <c r="AK3719" s="28" t="n">
        <f aca="false">AJ3719*$M3719</f>
        <v>0</v>
      </c>
      <c r="AL3719" s="28"/>
      <c r="AM3719" s="28" t="n">
        <f aca="false">AL3719*$M3719</f>
        <v>0</v>
      </c>
      <c r="AN3719" s="28"/>
      <c r="AO3719" s="28" t="n">
        <f aca="false">AN3719*$M3719</f>
        <v>0</v>
      </c>
      <c r="AP3719" s="28"/>
      <c r="AQ3719" s="28" t="n">
        <f aca="false">AP3719*$M3719</f>
        <v>0</v>
      </c>
      <c r="AR3719" s="28"/>
      <c r="AS3719" s="28" t="n">
        <f aca="false">AR3719*$M3719</f>
        <v>0</v>
      </c>
      <c r="AT3719" s="28"/>
      <c r="AU3719" s="28" t="n">
        <f aca="false">AT3719*$M3719</f>
        <v>0</v>
      </c>
      <c r="AV3719" s="28"/>
      <c r="AW3719" s="28" t="n">
        <f aca="false">AV3719*$M3719</f>
        <v>0</v>
      </c>
      <c r="AX3719" s="28"/>
      <c r="AY3719" s="28" t="n">
        <f aca="false">AX3719*$M3719</f>
        <v>0</v>
      </c>
      <c r="AZ3719" s="30" t="n">
        <f aca="false">8852/100</f>
        <v>88.52</v>
      </c>
      <c r="BA3719" s="11" t="n">
        <v>1770</v>
      </c>
      <c r="BB3719" s="31" t="n">
        <f aca="false">SUM(Q3719,S3719,U3719,W3719,Y3719,AA3719,AC3719,AE3719,AG3719,AI3719,AK3719,AM3719,AO3719,AQ3719,AS3719,AU3719,AW3719,AY3719)</f>
        <v>1770</v>
      </c>
      <c r="BC3719" s="28" t="n">
        <f aca="false">BA3719-BB3719</f>
        <v>0</v>
      </c>
      <c r="BD3719" s="32" t="n">
        <f aca="false">SUM(P3719,R3719,T3719,V3719,X3719,Z3719,AB3719,AD3719,AF3719,AH3719,AJ3719,AL3719,AN3719,AP3719,AR3719,AT3719,AV3719,AX3719)</f>
        <v>88.52</v>
      </c>
      <c r="BE3719" s="33" t="n">
        <f aca="false">AZ3719-BD3719</f>
        <v>0</v>
      </c>
      <c r="BF3719" s="34" t="n">
        <f aca="false">BD3719*M3719</f>
        <v>1770.4</v>
      </c>
      <c r="BG3719" s="35" t="n">
        <f aca="false">BA3719-BF3719</f>
        <v>-0.399999999999864</v>
      </c>
      <c r="BH3719" s="19" t="str">
        <f aca="false">IF(BG3719=0,"",IF(BG3719&lt;&gt;BA3719,"erreur de calcul",IF(BD3719&lt;&gt;0,"pas de prix",IF(M3719&lt;&gt; 0,"pas de quantité","pas de prix, ni de quantité"))))</f>
        <v>erreur de calcul</v>
      </c>
      <c r="BI3719" s="19"/>
    </row>
    <row r="3720" customFormat="false" ht="15" hidden="false" customHeight="false" outlineLevel="0" collapsed="false">
      <c r="A3720" s="0" t="n">
        <v>44</v>
      </c>
      <c r="B3720" s="8" t="s">
        <v>24</v>
      </c>
      <c r="C3720" s="9" t="s">
        <v>25</v>
      </c>
      <c r="D3720" s="9" t="s">
        <v>26</v>
      </c>
      <c r="E3720" s="10" t="n">
        <v>1789</v>
      </c>
      <c r="F3720" s="9" t="s">
        <v>27</v>
      </c>
      <c r="G3720" s="9" t="s">
        <v>27</v>
      </c>
      <c r="H3720" s="11" t="n">
        <v>23</v>
      </c>
      <c r="I3720" s="11" t="s">
        <v>287</v>
      </c>
      <c r="J3720" s="14" t="n">
        <v>25</v>
      </c>
      <c r="K3720" s="14"/>
      <c r="L3720" s="16"/>
      <c r="M3720" s="27" t="n">
        <f aca="false">J3720+(K3720/20)+(L3720/240)</f>
        <v>25</v>
      </c>
      <c r="N3720" s="17" t="s">
        <v>64</v>
      </c>
      <c r="O3720" s="11" t="s">
        <v>77</v>
      </c>
      <c r="P3720" s="28" t="n">
        <f aca="false">13782/100</f>
        <v>137.82</v>
      </c>
      <c r="Q3720" s="28" t="n">
        <v>3445</v>
      </c>
      <c r="R3720" s="28"/>
      <c r="S3720" s="28" t="n">
        <f aca="false">R3720*$M3720</f>
        <v>0</v>
      </c>
      <c r="T3720" s="28"/>
      <c r="U3720" s="28" t="n">
        <f aca="false">T3720*$M3720</f>
        <v>0</v>
      </c>
      <c r="V3720" s="28" t="n">
        <f aca="false">4293/100</f>
        <v>42.93</v>
      </c>
      <c r="W3720" s="28" t="n">
        <v>1073</v>
      </c>
      <c r="X3720" s="28"/>
      <c r="Y3720" s="28" t="n">
        <f aca="false">X3720*$M3720</f>
        <v>0</v>
      </c>
      <c r="Z3720" s="28"/>
      <c r="AA3720" s="28" t="n">
        <f aca="false">Z3720*$M3720</f>
        <v>0</v>
      </c>
      <c r="AB3720" s="28"/>
      <c r="AC3720" s="28" t="n">
        <f aca="false">AB3720*$M3720</f>
        <v>0</v>
      </c>
      <c r="AD3720" s="28"/>
      <c r="AE3720" s="28" t="n">
        <f aca="false">AD3720*$M3720</f>
        <v>0</v>
      </c>
      <c r="AF3720" s="28"/>
      <c r="AG3720" s="28" t="n">
        <f aca="false">AF3720*$M3720</f>
        <v>0</v>
      </c>
      <c r="AH3720" s="28"/>
      <c r="AI3720" s="28" t="n">
        <f aca="false">AH3720*$M3720</f>
        <v>0</v>
      </c>
      <c r="AJ3720" s="28"/>
      <c r="AK3720" s="28" t="n">
        <f aca="false">AJ3720*$M3720</f>
        <v>0</v>
      </c>
      <c r="AL3720" s="28"/>
      <c r="AM3720" s="28" t="n">
        <f aca="false">AL3720*$M3720</f>
        <v>0</v>
      </c>
      <c r="AN3720" s="28"/>
      <c r="AO3720" s="28" t="n">
        <f aca="false">AN3720*$M3720</f>
        <v>0</v>
      </c>
      <c r="AP3720" s="28"/>
      <c r="AQ3720" s="28" t="n">
        <f aca="false">AP3720*$M3720</f>
        <v>0</v>
      </c>
      <c r="AR3720" s="28"/>
      <c r="AS3720" s="28" t="n">
        <f aca="false">AR3720*$M3720</f>
        <v>0</v>
      </c>
      <c r="AT3720" s="28"/>
      <c r="AU3720" s="28" t="n">
        <f aca="false">AT3720*$M3720</f>
        <v>0</v>
      </c>
      <c r="AV3720" s="28"/>
      <c r="AW3720" s="28" t="n">
        <f aca="false">AV3720*$M3720</f>
        <v>0</v>
      </c>
      <c r="AX3720" s="28"/>
      <c r="AY3720" s="28" t="n">
        <f aca="false">AX3720*$M3720</f>
        <v>0</v>
      </c>
      <c r="AZ3720" s="30" t="n">
        <f aca="false">18075/100</f>
        <v>180.75</v>
      </c>
      <c r="BA3720" s="11" t="n">
        <v>4518</v>
      </c>
      <c r="BB3720" s="31" t="n">
        <f aca="false">SUM(Q3720,S3720,U3720,W3720,Y3720,AA3720,AC3720,AE3720,AG3720,AI3720,AK3720,AM3720,AO3720,AQ3720,AS3720,AU3720,AW3720,AY3720)</f>
        <v>4518</v>
      </c>
      <c r="BC3720" s="28" t="n">
        <f aca="false">BA3720-BB3720</f>
        <v>0</v>
      </c>
      <c r="BD3720" s="32" t="n">
        <f aca="false">SUM(P3720,R3720,T3720,V3720,X3720,Z3720,AB3720,AD3720,AF3720,AH3720,AJ3720,AL3720,AN3720,AP3720,AR3720,AT3720,AV3720,AX3720)</f>
        <v>180.75</v>
      </c>
      <c r="BE3720" s="33" t="n">
        <f aca="false">AZ3720-BD3720</f>
        <v>0</v>
      </c>
      <c r="BF3720" s="34" t="n">
        <f aca="false">BD3720*M3720</f>
        <v>4518.75</v>
      </c>
      <c r="BG3720" s="35" t="n">
        <f aca="false">BA3720-BF3720</f>
        <v>-0.75</v>
      </c>
      <c r="BH3720" s="19" t="str">
        <f aca="false">IF(BG3720=0,"",IF(BG3720&lt;&gt;BA3720,"erreur de calcul",IF(BD3720&lt;&gt;0,"pas de prix",IF(M3720&lt;&gt; 0,"pas de quantité","pas de prix, ni de quantité"))))</f>
        <v>erreur de calcul</v>
      </c>
      <c r="BI3720" s="19"/>
    </row>
    <row r="3721" customFormat="false" ht="15" hidden="false" customHeight="false" outlineLevel="0" collapsed="false">
      <c r="A3721" s="0" t="n">
        <v>1</v>
      </c>
      <c r="B3721" s="8" t="s">
        <v>24</v>
      </c>
      <c r="C3721" s="9" t="s">
        <v>25</v>
      </c>
      <c r="D3721" s="9" t="s">
        <v>26</v>
      </c>
      <c r="E3721" s="10" t="n">
        <v>1789</v>
      </c>
      <c r="F3721" s="9" t="s">
        <v>27</v>
      </c>
      <c r="G3721" s="9" t="s">
        <v>27</v>
      </c>
      <c r="H3721" s="11" t="n">
        <v>24</v>
      </c>
      <c r="I3721" s="11" t="s">
        <v>288</v>
      </c>
      <c r="J3721" s="14" t="n">
        <v>250</v>
      </c>
      <c r="K3721" s="14"/>
      <c r="L3721" s="16"/>
      <c r="M3721" s="27" t="n">
        <f aca="false">J3721+(K3721/20)+(L3721/240)</f>
        <v>250</v>
      </c>
      <c r="N3721" s="17" t="s">
        <v>64</v>
      </c>
      <c r="O3721" s="11"/>
      <c r="P3721" s="28"/>
      <c r="Q3721" s="28" t="n">
        <f aca="false">P3721*$M3721</f>
        <v>0</v>
      </c>
      <c r="R3721" s="28"/>
      <c r="S3721" s="28" t="n">
        <f aca="false">R3721*$M3721</f>
        <v>0</v>
      </c>
      <c r="T3721" s="28"/>
      <c r="U3721" s="28" t="n">
        <f aca="false">T3721*$M3721</f>
        <v>0</v>
      </c>
      <c r="V3721" s="28"/>
      <c r="W3721" s="28" t="n">
        <f aca="false">V3721*$M3721</f>
        <v>0</v>
      </c>
      <c r="X3721" s="28"/>
      <c r="Y3721" s="28" t="n">
        <f aca="false">X3721*$M3721</f>
        <v>0</v>
      </c>
      <c r="Z3721" s="28"/>
      <c r="AA3721" s="28" t="n">
        <f aca="false">Z3721*$M3721</f>
        <v>0</v>
      </c>
      <c r="AB3721" s="28"/>
      <c r="AC3721" s="28" t="n">
        <f aca="false">AB3721*$M3721</f>
        <v>0</v>
      </c>
      <c r="AD3721" s="28"/>
      <c r="AE3721" s="28" t="n">
        <f aca="false">AD3721*$M3721</f>
        <v>0</v>
      </c>
      <c r="AF3721" s="28"/>
      <c r="AG3721" s="28" t="n">
        <f aca="false">AF3721*$M3721</f>
        <v>0</v>
      </c>
      <c r="AH3721" s="28" t="n">
        <f aca="false">5374/100</f>
        <v>53.74</v>
      </c>
      <c r="AI3721" s="28" t="n">
        <v>13435</v>
      </c>
      <c r="AJ3721" s="28"/>
      <c r="AK3721" s="28" t="n">
        <f aca="false">AJ3721*$M3721</f>
        <v>0</v>
      </c>
      <c r="AL3721" s="28"/>
      <c r="AM3721" s="28" t="n">
        <f aca="false">AL3721*$M3721</f>
        <v>0</v>
      </c>
      <c r="AN3721" s="28"/>
      <c r="AO3721" s="28" t="n">
        <f aca="false">AN3721*$M3721</f>
        <v>0</v>
      </c>
      <c r="AP3721" s="28"/>
      <c r="AQ3721" s="28" t="n">
        <f aca="false">AP3721*$M3721</f>
        <v>0</v>
      </c>
      <c r="AR3721" s="28"/>
      <c r="AS3721" s="28" t="n">
        <f aca="false">AR3721*$M3721</f>
        <v>0</v>
      </c>
      <c r="AT3721" s="28"/>
      <c r="AU3721" s="28" t="n">
        <f aca="false">AT3721*$M3721</f>
        <v>0</v>
      </c>
      <c r="AV3721" s="28"/>
      <c r="AW3721" s="28" t="n">
        <f aca="false">AV3721*$M3721</f>
        <v>0</v>
      </c>
      <c r="AX3721" s="28"/>
      <c r="AY3721" s="28" t="n">
        <f aca="false">AX3721*$M3721</f>
        <v>0</v>
      </c>
      <c r="AZ3721" s="30" t="n">
        <f aca="false">5374/100</f>
        <v>53.74</v>
      </c>
      <c r="BA3721" s="11" t="n">
        <v>13435</v>
      </c>
      <c r="BB3721" s="31" t="n">
        <f aca="false">SUM(Q3721,S3721,U3721,W3721,Y3721,AA3721,AC3721,AE3721,AG3721,AI3721,AK3721,AM3721,AO3721,AQ3721,AS3721,AU3721,AW3721,AY3721)</f>
        <v>13435</v>
      </c>
      <c r="BC3721" s="28" t="n">
        <f aca="false">BA3721-BB3721</f>
        <v>0</v>
      </c>
      <c r="BD3721" s="32" t="n">
        <f aca="false">SUM(P3721,R3721,T3721,V3721,X3721,Z3721,AB3721,AD3721,AF3721,AH3721,AJ3721,AL3721,AN3721,AP3721,AR3721,AT3721,AV3721,AX3721)</f>
        <v>53.74</v>
      </c>
      <c r="BE3721" s="33" t="n">
        <f aca="false">AZ3721-BD3721</f>
        <v>0</v>
      </c>
      <c r="BF3721" s="34" t="n">
        <f aca="false">BD3721*M3721</f>
        <v>13435</v>
      </c>
      <c r="BG3721" s="35" t="n">
        <f aca="false">BA3721-BF3721</f>
        <v>0</v>
      </c>
      <c r="BH3721" s="19" t="str">
        <f aca="false">IF(BG3721=0,"",IF(BG3721&lt;&gt;BA3721,"erreur de calcul",IF(BD3721&lt;&gt;0,"pas de prix",IF(M3721&lt;&gt; 0,"pas de quantité","pas de prix, ni de quantité"))))</f>
        <v/>
      </c>
      <c r="BI3721" s="19"/>
    </row>
    <row r="3722" customFormat="false" ht="15" hidden="false" customHeight="false" outlineLevel="0" collapsed="false">
      <c r="A3722" s="0" t="n">
        <v>2</v>
      </c>
      <c r="B3722" s="8" t="s">
        <v>24</v>
      </c>
      <c r="C3722" s="9" t="s">
        <v>25</v>
      </c>
      <c r="D3722" s="9" t="s">
        <v>26</v>
      </c>
      <c r="E3722" s="10" t="n">
        <v>1789</v>
      </c>
      <c r="F3722" s="9" t="s">
        <v>27</v>
      </c>
      <c r="G3722" s="9" t="s">
        <v>27</v>
      </c>
      <c r="H3722" s="11" t="n">
        <v>24</v>
      </c>
      <c r="I3722" s="11" t="s">
        <v>289</v>
      </c>
      <c r="J3722" s="14" t="n">
        <v>3</v>
      </c>
      <c r="K3722" s="14"/>
      <c r="L3722" s="16"/>
      <c r="M3722" s="27" t="n">
        <f aca="false">J3722+(K3722/20)+(L3722/240)</f>
        <v>3</v>
      </c>
      <c r="N3722" s="17" t="s">
        <v>66</v>
      </c>
      <c r="O3722" s="11"/>
      <c r="P3722" s="28"/>
      <c r="Q3722" s="28" t="n">
        <f aca="false">P3722*$M3722</f>
        <v>0</v>
      </c>
      <c r="R3722" s="28"/>
      <c r="S3722" s="28" t="n">
        <f aca="false">R3722*$M3722</f>
        <v>0</v>
      </c>
      <c r="T3722" s="28"/>
      <c r="U3722" s="28" t="n">
        <f aca="false">T3722*$M3722</f>
        <v>0</v>
      </c>
      <c r="V3722" s="28"/>
      <c r="W3722" s="28" t="n">
        <f aca="false">V3722*$M3722</f>
        <v>0</v>
      </c>
      <c r="X3722" s="28"/>
      <c r="Y3722" s="28" t="n">
        <f aca="false">X3722*$M3722</f>
        <v>0</v>
      </c>
      <c r="Z3722" s="28"/>
      <c r="AA3722" s="28" t="n">
        <f aca="false">Z3722*$M3722</f>
        <v>0</v>
      </c>
      <c r="AB3722" s="28"/>
      <c r="AC3722" s="28" t="n">
        <f aca="false">AB3722*$M3722</f>
        <v>0</v>
      </c>
      <c r="AD3722" s="28"/>
      <c r="AE3722" s="28" t="n">
        <f aca="false">AD3722*$M3722</f>
        <v>0</v>
      </c>
      <c r="AF3722" s="28"/>
      <c r="AG3722" s="28" t="n">
        <f aca="false">AF3722*$M3722</f>
        <v>0</v>
      </c>
      <c r="AH3722" s="28" t="n">
        <v>261</v>
      </c>
      <c r="AI3722" s="28" t="n">
        <v>783</v>
      </c>
      <c r="AJ3722" s="28"/>
      <c r="AK3722" s="28" t="n">
        <f aca="false">AJ3722*$M3722</f>
        <v>0</v>
      </c>
      <c r="AL3722" s="28"/>
      <c r="AM3722" s="28" t="n">
        <f aca="false">AL3722*$M3722</f>
        <v>0</v>
      </c>
      <c r="AN3722" s="28"/>
      <c r="AO3722" s="28" t="n">
        <f aca="false">AN3722*$M3722</f>
        <v>0</v>
      </c>
      <c r="AP3722" s="28"/>
      <c r="AQ3722" s="28" t="n">
        <f aca="false">AP3722*$M3722</f>
        <v>0</v>
      </c>
      <c r="AR3722" s="28"/>
      <c r="AS3722" s="28" t="n">
        <f aca="false">AR3722*$M3722</f>
        <v>0</v>
      </c>
      <c r="AT3722" s="28"/>
      <c r="AU3722" s="28" t="n">
        <f aca="false">AT3722*$M3722</f>
        <v>0</v>
      </c>
      <c r="AV3722" s="28"/>
      <c r="AW3722" s="28" t="n">
        <f aca="false">AV3722*$M3722</f>
        <v>0</v>
      </c>
      <c r="AX3722" s="28"/>
      <c r="AY3722" s="28" t="n">
        <f aca="false">AX3722*$M3722</f>
        <v>0</v>
      </c>
      <c r="AZ3722" s="30" t="n">
        <v>261</v>
      </c>
      <c r="BA3722" s="11" t="n">
        <v>783</v>
      </c>
      <c r="BB3722" s="31" t="n">
        <f aca="false">SUM(Q3722,S3722,U3722,W3722,Y3722,AA3722,AC3722,AE3722,AG3722,AI3722,AK3722,AM3722,AO3722,AQ3722,AS3722,AU3722,AW3722,AY3722)</f>
        <v>783</v>
      </c>
      <c r="BC3722" s="28" t="n">
        <f aca="false">BA3722-BB3722</f>
        <v>0</v>
      </c>
      <c r="BD3722" s="32" t="n">
        <f aca="false">SUM(P3722,R3722,T3722,V3722,X3722,Z3722,AB3722,AD3722,AF3722,AH3722,AJ3722,AL3722,AN3722,AP3722,AR3722,AT3722,AV3722,AX3722)</f>
        <v>261</v>
      </c>
      <c r="BE3722" s="33" t="n">
        <f aca="false">AZ3722-BD3722</f>
        <v>0</v>
      </c>
      <c r="BF3722" s="34" t="n">
        <f aca="false">BD3722*M3722</f>
        <v>783</v>
      </c>
      <c r="BG3722" s="35" t="n">
        <f aca="false">BA3722-BF3722</f>
        <v>0</v>
      </c>
      <c r="BH3722" s="19" t="str">
        <f aca="false">IF(BG3722=0,"",IF(BG3722&lt;&gt;BA3722,"erreur de calcul",IF(BD3722&lt;&gt;0,"pas de prix",IF(M3722&lt;&gt; 0,"pas de quantité","pas de prix, ni de quantité"))))</f>
        <v/>
      </c>
      <c r="BI3722" s="19"/>
    </row>
    <row r="3723" customFormat="false" ht="15" hidden="false" customHeight="false" outlineLevel="0" collapsed="false">
      <c r="A3723" s="0" t="n">
        <v>3</v>
      </c>
      <c r="B3723" s="8" t="s">
        <v>24</v>
      </c>
      <c r="C3723" s="9" t="s">
        <v>25</v>
      </c>
      <c r="D3723" s="9" t="s">
        <v>26</v>
      </c>
      <c r="E3723" s="10" t="n">
        <v>1789</v>
      </c>
      <c r="F3723" s="9" t="s">
        <v>27</v>
      </c>
      <c r="G3723" s="9" t="s">
        <v>27</v>
      </c>
      <c r="H3723" s="11" t="n">
        <v>24</v>
      </c>
      <c r="I3723" s="11" t="s">
        <v>290</v>
      </c>
      <c r="J3723" s="14" t="n">
        <v>5</v>
      </c>
      <c r="K3723" s="14"/>
      <c r="L3723" s="16"/>
      <c r="M3723" s="27" t="n">
        <f aca="false">J3723+(K3723/20)+(L3723/240)</f>
        <v>5</v>
      </c>
      <c r="N3723" s="17" t="s">
        <v>66</v>
      </c>
      <c r="O3723" s="11"/>
      <c r="P3723" s="28"/>
      <c r="Q3723" s="28" t="n">
        <f aca="false">P3723*$M3723</f>
        <v>0</v>
      </c>
      <c r="R3723" s="28"/>
      <c r="S3723" s="28" t="n">
        <f aca="false">R3723*$M3723</f>
        <v>0</v>
      </c>
      <c r="T3723" s="28"/>
      <c r="U3723" s="28" t="n">
        <v>4765</v>
      </c>
      <c r="V3723" s="28"/>
      <c r="W3723" s="28" t="n">
        <f aca="false">V3723*$M3723</f>
        <v>0</v>
      </c>
      <c r="X3723" s="28"/>
      <c r="Y3723" s="28" t="n">
        <f aca="false">X3723*$M3723</f>
        <v>0</v>
      </c>
      <c r="Z3723" s="28"/>
      <c r="AA3723" s="28" t="n">
        <f aca="false">Z3723*$M3723</f>
        <v>0</v>
      </c>
      <c r="AB3723" s="28"/>
      <c r="AC3723" s="28" t="n">
        <f aca="false">AB3723*$M3723</f>
        <v>0</v>
      </c>
      <c r="AD3723" s="28"/>
      <c r="AE3723" s="28" t="n">
        <f aca="false">AD3723*$M3723</f>
        <v>0</v>
      </c>
      <c r="AF3723" s="28"/>
      <c r="AG3723" s="28" t="n">
        <f aca="false">AF3723*$M3723</f>
        <v>0</v>
      </c>
      <c r="AH3723" s="28"/>
      <c r="AI3723" s="28" t="n">
        <f aca="false">AH3723*$M3723</f>
        <v>0</v>
      </c>
      <c r="AJ3723" s="28"/>
      <c r="AK3723" s="28" t="n">
        <f aca="false">AJ3723*$M3723</f>
        <v>0</v>
      </c>
      <c r="AL3723" s="28"/>
      <c r="AM3723" s="28" t="n">
        <f aca="false">AL3723*$M3723</f>
        <v>0</v>
      </c>
      <c r="AN3723" s="28"/>
      <c r="AO3723" s="28" t="n">
        <f aca="false">AN3723*$M3723</f>
        <v>0</v>
      </c>
      <c r="AP3723" s="28"/>
      <c r="AQ3723" s="28" t="n">
        <f aca="false">AP3723*$M3723</f>
        <v>0</v>
      </c>
      <c r="AR3723" s="28"/>
      <c r="AS3723" s="28" t="n">
        <f aca="false">AR3723*$M3723</f>
        <v>0</v>
      </c>
      <c r="AT3723" s="28"/>
      <c r="AU3723" s="28" t="n">
        <f aca="false">AT3723*$M3723</f>
        <v>0</v>
      </c>
      <c r="AV3723" s="28"/>
      <c r="AW3723" s="28" t="n">
        <f aca="false">AV3723*$M3723</f>
        <v>0</v>
      </c>
      <c r="AX3723" s="28"/>
      <c r="AY3723" s="28" t="n">
        <f aca="false">AX3723*$M3723</f>
        <v>0</v>
      </c>
      <c r="AZ3723" s="30"/>
      <c r="BA3723" s="11" t="n">
        <v>4765</v>
      </c>
      <c r="BB3723" s="31" t="n">
        <f aca="false">SUM(Q3723,S3723,U3723,W3723,Y3723,AA3723,AC3723,AE3723,AG3723,AI3723,AK3723,AM3723,AO3723,AQ3723,AS3723,AU3723,AW3723,AY3723)</f>
        <v>4765</v>
      </c>
      <c r="BC3723" s="28" t="n">
        <f aca="false">BA3723-BB3723</f>
        <v>0</v>
      </c>
      <c r="BD3723" s="32" t="n">
        <f aca="false">SUM(P3723,R3723,T3723,V3723,X3723,Z3723,AB3723,AD3723,AF3723,AH3723,AJ3723,AL3723,AN3723,AP3723,AR3723,AT3723,AV3723,AX3723)</f>
        <v>0</v>
      </c>
      <c r="BE3723" s="33" t="n">
        <f aca="false">AZ3723-BD3723</f>
        <v>0</v>
      </c>
      <c r="BF3723" s="34" t="n">
        <f aca="false">BD3723*M3723</f>
        <v>0</v>
      </c>
      <c r="BG3723" s="35" t="n">
        <f aca="false">BA3723-BF3723</f>
        <v>4765</v>
      </c>
      <c r="BH3723" s="19" t="str">
        <f aca="false">IF(BG3723=0,"",IF(BG3723&lt;&gt;BA3723,"erreur de calcul",IF(BD3723&lt;&gt;0,"pas de prix",IF(M3723&lt;&gt; 0,"pas de quantité","pas de prix, ni de quantité"))))</f>
        <v>pas de quantité</v>
      </c>
      <c r="BI3723" s="19"/>
    </row>
    <row r="3724" customFormat="false" ht="15" hidden="false" customHeight="false" outlineLevel="0" collapsed="false">
      <c r="A3724" s="0" t="n">
        <v>4</v>
      </c>
      <c r="B3724" s="8" t="s">
        <v>24</v>
      </c>
      <c r="C3724" s="9" t="s">
        <v>25</v>
      </c>
      <c r="D3724" s="9" t="s">
        <v>26</v>
      </c>
      <c r="E3724" s="10" t="n">
        <v>1789</v>
      </c>
      <c r="F3724" s="9" t="s">
        <v>27</v>
      </c>
      <c r="G3724" s="9" t="s">
        <v>27</v>
      </c>
      <c r="H3724" s="11" t="n">
        <v>24</v>
      </c>
      <c r="I3724" s="11" t="s">
        <v>291</v>
      </c>
      <c r="J3724" s="14" t="n">
        <v>36</v>
      </c>
      <c r="K3724" s="14"/>
      <c r="L3724" s="16"/>
      <c r="M3724" s="27" t="n">
        <f aca="false">J3724+(K3724/20)+(L3724/240)</f>
        <v>36</v>
      </c>
      <c r="N3724" s="17" t="s">
        <v>66</v>
      </c>
      <c r="O3724" s="11"/>
      <c r="P3724" s="28"/>
      <c r="Q3724" s="28" t="n">
        <f aca="false">P3724*$M3724</f>
        <v>0</v>
      </c>
      <c r="R3724" s="28"/>
      <c r="S3724" s="28" t="n">
        <f aca="false">R3724*$M3724</f>
        <v>0</v>
      </c>
      <c r="T3724" s="28"/>
      <c r="U3724" s="28" t="n">
        <f aca="false">T3724*$M3724</f>
        <v>0</v>
      </c>
      <c r="V3724" s="28"/>
      <c r="W3724" s="28" t="n">
        <f aca="false">V3724*$M3724</f>
        <v>0</v>
      </c>
      <c r="X3724" s="28"/>
      <c r="Y3724" s="28" t="n">
        <f aca="false">X3724*$M3724</f>
        <v>0</v>
      </c>
      <c r="Z3724" s="28"/>
      <c r="AA3724" s="28" t="n">
        <f aca="false">Z3724*$M3724</f>
        <v>0</v>
      </c>
      <c r="AB3724" s="28"/>
      <c r="AC3724" s="28" t="n">
        <f aca="false">AB3724*$M3724</f>
        <v>0</v>
      </c>
      <c r="AD3724" s="28"/>
      <c r="AE3724" s="28" t="n">
        <f aca="false">AD3724*$M3724</f>
        <v>0</v>
      </c>
      <c r="AF3724" s="28"/>
      <c r="AG3724" s="28" t="n">
        <f aca="false">AF3724*$M3724</f>
        <v>0</v>
      </c>
      <c r="AH3724" s="28"/>
      <c r="AI3724" s="28" t="n">
        <f aca="false">AH3724*$M3724</f>
        <v>0</v>
      </c>
      <c r="AJ3724" s="28" t="n">
        <v>387</v>
      </c>
      <c r="AK3724" s="28" t="n">
        <v>13932</v>
      </c>
      <c r="AL3724" s="28"/>
      <c r="AM3724" s="28" t="n">
        <f aca="false">AL3724*$M3724</f>
        <v>0</v>
      </c>
      <c r="AN3724" s="28"/>
      <c r="AO3724" s="28" t="n">
        <f aca="false">AN3724*$M3724</f>
        <v>0</v>
      </c>
      <c r="AP3724" s="28"/>
      <c r="AQ3724" s="28" t="n">
        <f aca="false">AP3724*$M3724</f>
        <v>0</v>
      </c>
      <c r="AR3724" s="28"/>
      <c r="AS3724" s="28" t="n">
        <f aca="false">AR3724*$M3724</f>
        <v>0</v>
      </c>
      <c r="AT3724" s="28"/>
      <c r="AU3724" s="28" t="n">
        <f aca="false">AT3724*$M3724</f>
        <v>0</v>
      </c>
      <c r="AV3724" s="28"/>
      <c r="AW3724" s="28" t="n">
        <f aca="false">AV3724*$M3724</f>
        <v>0</v>
      </c>
      <c r="AX3724" s="28"/>
      <c r="AY3724" s="28" t="n">
        <f aca="false">AX3724*$M3724</f>
        <v>0</v>
      </c>
      <c r="AZ3724" s="30" t="n">
        <v>387</v>
      </c>
      <c r="BA3724" s="11" t="n">
        <v>13932</v>
      </c>
      <c r="BB3724" s="31" t="n">
        <f aca="false">SUM(Q3724,S3724,U3724,W3724,Y3724,AA3724,AC3724,AE3724,AG3724,AI3724,AK3724,AM3724,AO3724,AQ3724,AS3724,AU3724,AW3724,AY3724)</f>
        <v>13932</v>
      </c>
      <c r="BC3724" s="28" t="n">
        <f aca="false">BA3724-BB3724</f>
        <v>0</v>
      </c>
      <c r="BD3724" s="32" t="n">
        <f aca="false">SUM(P3724,R3724,T3724,V3724,X3724,Z3724,AB3724,AD3724,AF3724,AH3724,AJ3724,AL3724,AN3724,AP3724,AR3724,AT3724,AV3724,AX3724)</f>
        <v>387</v>
      </c>
      <c r="BE3724" s="33" t="n">
        <f aca="false">AZ3724-BD3724</f>
        <v>0</v>
      </c>
      <c r="BF3724" s="34" t="n">
        <f aca="false">BD3724*M3724</f>
        <v>13932</v>
      </c>
      <c r="BG3724" s="35" t="n">
        <f aca="false">BA3724-BF3724</f>
        <v>0</v>
      </c>
      <c r="BH3724" s="19" t="str">
        <f aca="false">IF(BG3724=0,"",IF(BG3724&lt;&gt;BA3724,"erreur de calcul",IF(BD3724&lt;&gt;0,"pas de prix",IF(M3724&lt;&gt; 0,"pas de quantité","pas de prix, ni de quantité"))))</f>
        <v/>
      </c>
      <c r="BI3724" s="19"/>
    </row>
    <row r="3725" customFormat="false" ht="15" hidden="false" customHeight="false" outlineLevel="0" collapsed="false">
      <c r="A3725" s="0" t="n">
        <v>5</v>
      </c>
      <c r="B3725" s="8" t="s">
        <v>24</v>
      </c>
      <c r="C3725" s="9" t="s">
        <v>25</v>
      </c>
      <c r="D3725" s="9" t="s">
        <v>26</v>
      </c>
      <c r="E3725" s="10" t="n">
        <v>1789</v>
      </c>
      <c r="F3725" s="9" t="s">
        <v>27</v>
      </c>
      <c r="G3725" s="9" t="s">
        <v>27</v>
      </c>
      <c r="H3725" s="11" t="n">
        <v>24</v>
      </c>
      <c r="I3725" s="11" t="s">
        <v>292</v>
      </c>
      <c r="J3725" s="14" t="n">
        <v>40</v>
      </c>
      <c r="K3725" s="14"/>
      <c r="L3725" s="16"/>
      <c r="M3725" s="27" t="n">
        <f aca="false">J3725+(K3725/20)+(L3725/240)</f>
        <v>40</v>
      </c>
      <c r="N3725" s="17" t="s">
        <v>64</v>
      </c>
      <c r="O3725" s="11" t="s">
        <v>277</v>
      </c>
      <c r="P3725" s="28"/>
      <c r="Q3725" s="28" t="n">
        <f aca="false">P3725*$M3725</f>
        <v>0</v>
      </c>
      <c r="R3725" s="28"/>
      <c r="S3725" s="28" t="n">
        <f aca="false">R3725*$M3725</f>
        <v>0</v>
      </c>
      <c r="T3725" s="28" t="n">
        <f aca="false">5917/100</f>
        <v>59.17</v>
      </c>
      <c r="U3725" s="28" t="n">
        <v>2367</v>
      </c>
      <c r="V3725" s="28" t="n">
        <f aca="false">12510/100</f>
        <v>125.1</v>
      </c>
      <c r="W3725" s="28" t="n">
        <f aca="false">V3725*$M3725</f>
        <v>5004</v>
      </c>
      <c r="X3725" s="28"/>
      <c r="Y3725" s="28" t="n">
        <f aca="false">X3725*$M3725</f>
        <v>0</v>
      </c>
      <c r="Z3725" s="28"/>
      <c r="AA3725" s="28" t="n">
        <f aca="false">Z3725*$M3725</f>
        <v>0</v>
      </c>
      <c r="AB3725" s="28" t="n">
        <f aca="false">50338/100</f>
        <v>503.38</v>
      </c>
      <c r="AC3725" s="28" t="n">
        <v>20135</v>
      </c>
      <c r="AD3725" s="28"/>
      <c r="AE3725" s="28" t="n">
        <f aca="false">AD3725*$M3725</f>
        <v>0</v>
      </c>
      <c r="AF3725" s="28"/>
      <c r="AG3725" s="28" t="n">
        <f aca="false">AF3725*$M3725</f>
        <v>0</v>
      </c>
      <c r="AH3725" s="28" t="n">
        <f aca="false">440/100</f>
        <v>4.4</v>
      </c>
      <c r="AI3725" s="28" t="n">
        <v>176</v>
      </c>
      <c r="AJ3725" s="28" t="n">
        <f aca="false">18094/100</f>
        <v>180.94</v>
      </c>
      <c r="AK3725" s="28" t="n">
        <v>7238</v>
      </c>
      <c r="AL3725" s="28"/>
      <c r="AM3725" s="28" t="n">
        <f aca="false">AL3725*$M3725</f>
        <v>0</v>
      </c>
      <c r="AN3725" s="28"/>
      <c r="AO3725" s="28" t="n">
        <f aca="false">AN3725*$M3725</f>
        <v>0</v>
      </c>
      <c r="AP3725" s="28"/>
      <c r="AQ3725" s="28" t="n">
        <f aca="false">AP3725*$M3725</f>
        <v>0</v>
      </c>
      <c r="AR3725" s="28"/>
      <c r="AS3725" s="28" t="n">
        <f aca="false">AR3725*$M3725</f>
        <v>0</v>
      </c>
      <c r="AT3725" s="28"/>
      <c r="AU3725" s="28" t="n">
        <f aca="false">AT3725*$M3725</f>
        <v>0</v>
      </c>
      <c r="AV3725" s="28"/>
      <c r="AW3725" s="28" t="n">
        <f aca="false">AV3725*$M3725</f>
        <v>0</v>
      </c>
      <c r="AX3725" s="28"/>
      <c r="AY3725" s="28" t="n">
        <f aca="false">AX3725*$M3725</f>
        <v>0</v>
      </c>
      <c r="AZ3725" s="30" t="n">
        <f aca="false">87279/100</f>
        <v>872.79</v>
      </c>
      <c r="BA3725" s="11" t="n">
        <v>34920</v>
      </c>
      <c r="BB3725" s="31" t="n">
        <f aca="false">SUM(Q3725,S3725,U3725,W3725,Y3725,AA3725,AC3725,AE3725,AG3725,AI3725,AK3725,AM3725,AO3725,AQ3725,AS3725,AU3725,AW3725,AY3725)</f>
        <v>34920</v>
      </c>
      <c r="BC3725" s="28" t="n">
        <f aca="false">BA3725-BB3725</f>
        <v>0</v>
      </c>
      <c r="BD3725" s="32" t="n">
        <f aca="false">SUM(P3725,R3725,T3725,V3725,X3725,Z3725,AB3725,AD3725,AF3725,AH3725,AJ3725,AL3725,AN3725,AP3725,AR3725,AT3725,AV3725,AX3725)</f>
        <v>872.99</v>
      </c>
      <c r="BE3725" s="33" t="n">
        <f aca="false">AZ3725-BD3725</f>
        <v>-0.200000000000045</v>
      </c>
      <c r="BF3725" s="34" t="n">
        <f aca="false">BD3725*M3725</f>
        <v>34919.6</v>
      </c>
      <c r="BG3725" s="35" t="n">
        <f aca="false">BA3725-BF3725</f>
        <v>0.400000000001455</v>
      </c>
      <c r="BH3725" s="19" t="str">
        <f aca="false">IF(BG3725=0,"",IF(BG3725&lt;&gt;BA3725,"erreur de calcul",IF(BD3725&lt;&gt;0,"pas de prix",IF(M3725&lt;&gt; 0,"pas de quantité","pas de prix, ni de quantité"))))</f>
        <v>erreur de calcul</v>
      </c>
      <c r="BI3725" s="19"/>
    </row>
    <row r="3726" customFormat="false" ht="15" hidden="false" customHeight="false" outlineLevel="0" collapsed="false">
      <c r="A3726" s="0" t="n">
        <v>6</v>
      </c>
      <c r="B3726" s="8" t="s">
        <v>24</v>
      </c>
      <c r="C3726" s="9" t="s">
        <v>25</v>
      </c>
      <c r="D3726" s="9" t="s">
        <v>26</v>
      </c>
      <c r="E3726" s="10" t="n">
        <v>1789</v>
      </c>
      <c r="F3726" s="9" t="s">
        <v>27</v>
      </c>
      <c r="G3726" s="9" t="s">
        <v>27</v>
      </c>
      <c r="H3726" s="11" t="n">
        <v>24</v>
      </c>
      <c r="I3726" s="11" t="s">
        <v>293</v>
      </c>
      <c r="J3726" s="14" t="n">
        <v>72</v>
      </c>
      <c r="K3726" s="14"/>
      <c r="L3726" s="16"/>
      <c r="M3726" s="27" t="n">
        <f aca="false">J3726+(K3726/20)+(L3726/240)</f>
        <v>72</v>
      </c>
      <c r="N3726" s="17" t="s">
        <v>294</v>
      </c>
      <c r="O3726" s="11"/>
      <c r="P3726" s="28" t="n">
        <v>16096</v>
      </c>
      <c r="Q3726" s="28" t="n">
        <v>1158912</v>
      </c>
      <c r="R3726" s="28"/>
      <c r="S3726" s="28" t="n">
        <f aca="false">R3726*$M3726</f>
        <v>0</v>
      </c>
      <c r="T3726" s="28" t="n">
        <v>6580</v>
      </c>
      <c r="U3726" s="28" t="n">
        <v>473760</v>
      </c>
      <c r="V3726" s="28" t="n">
        <v>21336</v>
      </c>
      <c r="W3726" s="28" t="n">
        <v>1536192</v>
      </c>
      <c r="X3726" s="28" t="n">
        <v>905</v>
      </c>
      <c r="Y3726" s="28" t="n">
        <v>65160</v>
      </c>
      <c r="Z3726" s="28" t="n">
        <v>250</v>
      </c>
      <c r="AA3726" s="28" t="n">
        <v>18000</v>
      </c>
      <c r="AB3726" s="28" t="n">
        <v>155034</v>
      </c>
      <c r="AC3726" s="28" t="n">
        <v>11162448</v>
      </c>
      <c r="AD3726" s="28"/>
      <c r="AE3726" s="28" t="n">
        <f aca="false">AD3726*$M3726</f>
        <v>0</v>
      </c>
      <c r="AF3726" s="28" t="n">
        <v>18739</v>
      </c>
      <c r="AG3726" s="28" t="n">
        <v>1349208</v>
      </c>
      <c r="AH3726" s="28" t="n">
        <v>44032</v>
      </c>
      <c r="AI3726" s="28" t="n">
        <v>3170304</v>
      </c>
      <c r="AJ3726" s="28"/>
      <c r="AK3726" s="28" t="n">
        <f aca="false">AJ3726*$M3726</f>
        <v>0</v>
      </c>
      <c r="AL3726" s="28"/>
      <c r="AM3726" s="28" t="n">
        <f aca="false">AL3726*$M3726</f>
        <v>0</v>
      </c>
      <c r="AN3726" s="28"/>
      <c r="AO3726" s="28" t="n">
        <f aca="false">AN3726*$M3726</f>
        <v>0</v>
      </c>
      <c r="AP3726" s="28"/>
      <c r="AQ3726" s="28" t="n">
        <f aca="false">AP3726*$M3726</f>
        <v>0</v>
      </c>
      <c r="AR3726" s="28"/>
      <c r="AS3726" s="28" t="n">
        <f aca="false">AR3726*$M3726</f>
        <v>0</v>
      </c>
      <c r="AT3726" s="28"/>
      <c r="AU3726" s="28" t="n">
        <f aca="false">AT3726*$M3726</f>
        <v>0</v>
      </c>
      <c r="AV3726" s="28"/>
      <c r="AW3726" s="28" t="n">
        <f aca="false">AV3726*$M3726</f>
        <v>0</v>
      </c>
      <c r="AX3726" s="28"/>
      <c r="AY3726" s="28" t="n">
        <f aca="false">AX3726*$M3726</f>
        <v>0</v>
      </c>
      <c r="AZ3726" s="30" t="n">
        <v>262972</v>
      </c>
      <c r="BA3726" s="11" t="n">
        <v>18933984</v>
      </c>
      <c r="BB3726" s="31" t="n">
        <f aca="false">SUM(Q3726,S3726,U3726,W3726,Y3726,AA3726,AC3726,AE3726,AG3726,AI3726,AK3726,AM3726,AO3726,AQ3726,AS3726,AU3726,AW3726,AY3726)</f>
        <v>18933984</v>
      </c>
      <c r="BC3726" s="28" t="n">
        <f aca="false">BA3726-BB3726</f>
        <v>0</v>
      </c>
      <c r="BD3726" s="32" t="n">
        <f aca="false">SUM(P3726,R3726,T3726,V3726,X3726,Z3726,AB3726,AD3726,AF3726,AH3726,AJ3726,AL3726,AN3726,AP3726,AR3726,AT3726,AV3726,AX3726)</f>
        <v>262972</v>
      </c>
      <c r="BE3726" s="33" t="n">
        <f aca="false">AZ3726-BD3726</f>
        <v>0</v>
      </c>
      <c r="BF3726" s="34" t="n">
        <f aca="false">BD3726*M3726</f>
        <v>18933984</v>
      </c>
      <c r="BG3726" s="35" t="n">
        <f aca="false">BA3726-BF3726</f>
        <v>0</v>
      </c>
      <c r="BH3726" s="19" t="str">
        <f aca="false">IF(BG3726=0,"",IF(BG3726&lt;&gt;BA3726,"erreur de calcul",IF(BD3726&lt;&gt;0,"pas de prix",IF(M3726&lt;&gt; 0,"pas de quantité","pas de prix, ni de quantité"))))</f>
        <v/>
      </c>
      <c r="BI3726" s="19" t="s">
        <v>295</v>
      </c>
    </row>
    <row r="3727" customFormat="false" ht="15" hidden="false" customHeight="false" outlineLevel="0" collapsed="false">
      <c r="A3727" s="0" t="n">
        <v>7</v>
      </c>
      <c r="B3727" s="8" t="s">
        <v>24</v>
      </c>
      <c r="C3727" s="9" t="s">
        <v>25</v>
      </c>
      <c r="D3727" s="9" t="s">
        <v>26</v>
      </c>
      <c r="E3727" s="10" t="n">
        <v>1789</v>
      </c>
      <c r="F3727" s="9" t="s">
        <v>27</v>
      </c>
      <c r="G3727" s="9" t="s">
        <v>27</v>
      </c>
      <c r="H3727" s="11" t="n">
        <v>24</v>
      </c>
      <c r="I3727" s="11" t="s">
        <v>296</v>
      </c>
      <c r="J3727" s="14" t="n">
        <v>35</v>
      </c>
      <c r="K3727" s="14"/>
      <c r="L3727" s="16"/>
      <c r="M3727" s="27" t="n">
        <f aca="false">J3727+(K3727/20)+(L3727/240)</f>
        <v>35</v>
      </c>
      <c r="N3727" s="17" t="s">
        <v>64</v>
      </c>
      <c r="O3727" s="11" t="s">
        <v>98</v>
      </c>
      <c r="P3727" s="28"/>
      <c r="Q3727" s="28" t="n">
        <f aca="false">P3727*$M3727</f>
        <v>0</v>
      </c>
      <c r="R3727" s="28"/>
      <c r="S3727" s="28" t="n">
        <f aca="false">R3727*$M3727</f>
        <v>0</v>
      </c>
      <c r="T3727" s="28"/>
      <c r="U3727" s="28" t="n">
        <f aca="false">T3727*$M3727</f>
        <v>0</v>
      </c>
      <c r="V3727" s="28"/>
      <c r="W3727" s="28" t="n">
        <f aca="false">V3727*$M3727</f>
        <v>0</v>
      </c>
      <c r="X3727" s="28"/>
      <c r="Y3727" s="28" t="n">
        <f aca="false">X3727*$M3727</f>
        <v>0</v>
      </c>
      <c r="Z3727" s="28"/>
      <c r="AA3727" s="28" t="n">
        <f aca="false">Z3727*$M3727</f>
        <v>0</v>
      </c>
      <c r="AB3727" s="28"/>
      <c r="AC3727" s="28" t="n">
        <f aca="false">AB3727*$M3727</f>
        <v>0</v>
      </c>
      <c r="AD3727" s="28"/>
      <c r="AE3727" s="28" t="n">
        <f aca="false">AD3727*$M3727</f>
        <v>0</v>
      </c>
      <c r="AF3727" s="28"/>
      <c r="AG3727" s="28" t="n">
        <f aca="false">AF3727*$M3727</f>
        <v>0</v>
      </c>
      <c r="AH3727" s="28"/>
      <c r="AI3727" s="28" t="n">
        <f aca="false">AH3727*$M3727</f>
        <v>0</v>
      </c>
      <c r="AJ3727" s="28"/>
      <c r="AK3727" s="28" t="n">
        <f aca="false">AJ3727*$M3727</f>
        <v>0</v>
      </c>
      <c r="AL3727" s="28"/>
      <c r="AM3727" s="28" t="n">
        <f aca="false">AL3727*$M3727</f>
        <v>0</v>
      </c>
      <c r="AN3727" s="28"/>
      <c r="AO3727" s="28" t="n">
        <f aca="false">AN3727*$M3727</f>
        <v>0</v>
      </c>
      <c r="AP3727" s="28"/>
      <c r="AQ3727" s="28" t="n">
        <f aca="false">AP3727*$M3727</f>
        <v>0</v>
      </c>
      <c r="AR3727" s="28"/>
      <c r="AS3727" s="28" t="n">
        <f aca="false">AR3727*$M3727</f>
        <v>0</v>
      </c>
      <c r="AT3727" s="28"/>
      <c r="AU3727" s="28" t="n">
        <f aca="false">AT3727*$M3727</f>
        <v>0</v>
      </c>
      <c r="AV3727" s="28"/>
      <c r="AW3727" s="28" t="n">
        <f aca="false">AV3727*$M3727</f>
        <v>0</v>
      </c>
      <c r="AX3727" s="28"/>
      <c r="AY3727" s="28" t="n">
        <f aca="false">AX3727*$M3727</f>
        <v>0</v>
      </c>
      <c r="AZ3727" s="30"/>
      <c r="BA3727" s="11"/>
      <c r="BB3727" s="31" t="n">
        <f aca="false">SUM(Q3727,S3727,U3727,W3727,Y3727,AA3727,AC3727,AE3727,AG3727,AI3727,AK3727,AM3727,AO3727,AQ3727,AS3727,AU3727,AW3727,AY3727)</f>
        <v>0</v>
      </c>
      <c r="BC3727" s="28" t="n">
        <f aca="false">BA3727-BB3727</f>
        <v>0</v>
      </c>
      <c r="BD3727" s="32" t="n">
        <f aca="false">SUM(P3727,R3727,T3727,V3727,X3727,Z3727,AB3727,AD3727,AF3727,AH3727,AJ3727,AL3727,AN3727,AP3727,AR3727,AT3727,AV3727,AX3727)</f>
        <v>0</v>
      </c>
      <c r="BE3727" s="33" t="n">
        <f aca="false">AZ3727-BD3727</f>
        <v>0</v>
      </c>
      <c r="BF3727" s="34" t="n">
        <f aca="false">BD3727*M3727</f>
        <v>0</v>
      </c>
      <c r="BG3727" s="35" t="n">
        <f aca="false">BA3727-BF3727</f>
        <v>0</v>
      </c>
      <c r="BH3727" s="19" t="str">
        <f aca="false">IF(BG3727=0,"",IF(BG3727&lt;&gt;BA3727,"erreur de calcul",IF(BD3727&lt;&gt;0,"pas de prix",IF(M3727&lt;&gt; 0,"pas de quantité","pas de prix, ni de quantité"))))</f>
        <v/>
      </c>
      <c r="BI3727" s="19"/>
    </row>
    <row r="3728" customFormat="false" ht="15" hidden="false" customHeight="false" outlineLevel="0" collapsed="false">
      <c r="A3728" s="0" t="n">
        <v>8</v>
      </c>
      <c r="B3728" s="8" t="s">
        <v>24</v>
      </c>
      <c r="C3728" s="9" t="s">
        <v>25</v>
      </c>
      <c r="D3728" s="9" t="s">
        <v>26</v>
      </c>
      <c r="E3728" s="10" t="n">
        <v>1789</v>
      </c>
      <c r="F3728" s="9" t="s">
        <v>27</v>
      </c>
      <c r="G3728" s="9" t="s">
        <v>27</v>
      </c>
      <c r="H3728" s="11" t="n">
        <v>24</v>
      </c>
      <c r="I3728" s="11" t="s">
        <v>297</v>
      </c>
      <c r="J3728" s="14" t="n">
        <v>45</v>
      </c>
      <c r="K3728" s="14"/>
      <c r="L3728" s="16"/>
      <c r="M3728" s="27" t="n">
        <f aca="false">J3728+(K3728/20)+(L3728/240)</f>
        <v>45</v>
      </c>
      <c r="N3728" s="17" t="s">
        <v>64</v>
      </c>
      <c r="O3728" s="11"/>
      <c r="P3728" s="28"/>
      <c r="Q3728" s="28" t="n">
        <f aca="false">P3728*$M3728</f>
        <v>0</v>
      </c>
      <c r="R3728" s="28"/>
      <c r="S3728" s="28" t="n">
        <f aca="false">R3728*$M3728</f>
        <v>0</v>
      </c>
      <c r="T3728" s="28"/>
      <c r="U3728" s="28" t="n">
        <f aca="false">T3728*$M3728</f>
        <v>0</v>
      </c>
      <c r="V3728" s="28"/>
      <c r="W3728" s="28" t="n">
        <f aca="false">V3728*$M3728</f>
        <v>0</v>
      </c>
      <c r="X3728" s="28"/>
      <c r="Y3728" s="28" t="n">
        <f aca="false">X3728*$M3728</f>
        <v>0</v>
      </c>
      <c r="Z3728" s="28"/>
      <c r="AA3728" s="28" t="n">
        <f aca="false">Z3728*$M3728</f>
        <v>0</v>
      </c>
      <c r="AB3728" s="28"/>
      <c r="AC3728" s="28" t="n">
        <f aca="false">AB3728*$M3728</f>
        <v>0</v>
      </c>
      <c r="AD3728" s="28"/>
      <c r="AE3728" s="28" t="n">
        <f aca="false">AD3728*$M3728</f>
        <v>0</v>
      </c>
      <c r="AF3728" s="28"/>
      <c r="AG3728" s="28" t="n">
        <f aca="false">AF3728*$M3728</f>
        <v>0</v>
      </c>
      <c r="AH3728" s="28"/>
      <c r="AI3728" s="28" t="n">
        <f aca="false">AH3728*$M3728</f>
        <v>0</v>
      </c>
      <c r="AJ3728" s="28"/>
      <c r="AK3728" s="28" t="n">
        <f aca="false">AJ3728*$M3728</f>
        <v>0</v>
      </c>
      <c r="AL3728" s="28"/>
      <c r="AM3728" s="28" t="n">
        <f aca="false">AL3728*$M3728</f>
        <v>0</v>
      </c>
      <c r="AN3728" s="28"/>
      <c r="AO3728" s="28" t="n">
        <f aca="false">AN3728*$M3728</f>
        <v>0</v>
      </c>
      <c r="AP3728" s="28"/>
      <c r="AQ3728" s="28" t="n">
        <f aca="false">AP3728*$M3728</f>
        <v>0</v>
      </c>
      <c r="AR3728" s="28"/>
      <c r="AS3728" s="28" t="n">
        <f aca="false">AR3728*$M3728</f>
        <v>0</v>
      </c>
      <c r="AT3728" s="28"/>
      <c r="AU3728" s="28" t="n">
        <f aca="false">AT3728*$M3728</f>
        <v>0</v>
      </c>
      <c r="AV3728" s="28"/>
      <c r="AW3728" s="28" t="n">
        <f aca="false">AV3728*$M3728</f>
        <v>0</v>
      </c>
      <c r="AX3728" s="28" t="n">
        <f aca="false">44459/100</f>
        <v>444.59</v>
      </c>
      <c r="AY3728" s="28" t="n">
        <v>20006</v>
      </c>
      <c r="AZ3728" s="30" t="n">
        <f aca="false">44459/100</f>
        <v>444.59</v>
      </c>
      <c r="BA3728" s="11" t="n">
        <v>20006</v>
      </c>
      <c r="BB3728" s="31" t="n">
        <f aca="false">SUM(Q3728,S3728,U3728,W3728,Y3728,AA3728,AC3728,AE3728,AG3728,AI3728,AK3728,AM3728,AO3728,AQ3728,AS3728,AU3728,AW3728,AY3728)</f>
        <v>20006</v>
      </c>
      <c r="BC3728" s="28" t="n">
        <f aca="false">BA3728-BB3728</f>
        <v>0</v>
      </c>
      <c r="BD3728" s="32" t="n">
        <f aca="false">SUM(P3728,R3728,T3728,V3728,X3728,Z3728,AB3728,AD3728,AF3728,AH3728,AJ3728,AL3728,AN3728,AP3728,AR3728,AT3728,AV3728,AX3728)</f>
        <v>444.59</v>
      </c>
      <c r="BE3728" s="33" t="n">
        <f aca="false">AZ3728-BD3728</f>
        <v>0</v>
      </c>
      <c r="BF3728" s="34" t="n">
        <f aca="false">BD3728*M3728</f>
        <v>20006.55</v>
      </c>
      <c r="BG3728" s="35" t="n">
        <f aca="false">BA3728-BF3728</f>
        <v>-0.549999999999272</v>
      </c>
      <c r="BH3728" s="19" t="str">
        <f aca="false">IF(BG3728=0,"",IF(BG3728&lt;&gt;BA3728,"erreur de calcul",IF(BD3728&lt;&gt;0,"pas de prix",IF(M3728&lt;&gt; 0,"pas de quantité","pas de prix, ni de quantité"))))</f>
        <v>erreur de calcul</v>
      </c>
      <c r="BI3728" s="19"/>
    </row>
    <row r="3729" customFormat="false" ht="15" hidden="false" customHeight="false" outlineLevel="0" collapsed="false">
      <c r="A3729" s="0" t="n">
        <v>9</v>
      </c>
      <c r="B3729" s="8" t="s">
        <v>24</v>
      </c>
      <c r="C3729" s="9" t="s">
        <v>25</v>
      </c>
      <c r="D3729" s="9" t="s">
        <v>26</v>
      </c>
      <c r="E3729" s="10" t="n">
        <v>1789</v>
      </c>
      <c r="F3729" s="9" t="s">
        <v>27</v>
      </c>
      <c r="G3729" s="9" t="s">
        <v>27</v>
      </c>
      <c r="H3729" s="11" t="n">
        <v>24</v>
      </c>
      <c r="I3729" s="11" t="s">
        <v>298</v>
      </c>
      <c r="J3729" s="14" t="n">
        <v>550</v>
      </c>
      <c r="K3729" s="14"/>
      <c r="L3729" s="16"/>
      <c r="M3729" s="27" t="n">
        <f aca="false">J3729+(K3729/20)+(L3729/240)</f>
        <v>550</v>
      </c>
      <c r="N3729" s="17" t="s">
        <v>64</v>
      </c>
      <c r="O3729" s="11"/>
      <c r="P3729" s="28"/>
      <c r="Q3729" s="28" t="n">
        <f aca="false">P3729*$M3729</f>
        <v>0</v>
      </c>
      <c r="R3729" s="28"/>
      <c r="S3729" s="28" t="n">
        <f aca="false">R3729*$M3729</f>
        <v>0</v>
      </c>
      <c r="T3729" s="28"/>
      <c r="U3729" s="28" t="n">
        <f aca="false">T3729*$M3729</f>
        <v>0</v>
      </c>
      <c r="V3729" s="28"/>
      <c r="W3729" s="28" t="n">
        <f aca="false">V3729*$M3729</f>
        <v>0</v>
      </c>
      <c r="X3729" s="28"/>
      <c r="Y3729" s="28" t="n">
        <f aca="false">X3729*$M3729</f>
        <v>0</v>
      </c>
      <c r="Z3729" s="28"/>
      <c r="AA3729" s="28" t="n">
        <f aca="false">Z3729*$M3729</f>
        <v>0</v>
      </c>
      <c r="AB3729" s="28"/>
      <c r="AC3729" s="28" t="n">
        <f aca="false">AB3729*$M3729</f>
        <v>0</v>
      </c>
      <c r="AD3729" s="28"/>
      <c r="AE3729" s="28" t="n">
        <f aca="false">AD3729*$M3729</f>
        <v>0</v>
      </c>
      <c r="AF3729" s="28" t="n">
        <f aca="false">200/100</f>
        <v>2</v>
      </c>
      <c r="AG3729" s="28" t="n">
        <v>1100</v>
      </c>
      <c r="AH3729" s="28"/>
      <c r="AI3729" s="28" t="n">
        <f aca="false">AH3729*$M3729</f>
        <v>0</v>
      </c>
      <c r="AJ3729" s="28"/>
      <c r="AK3729" s="28" t="n">
        <f aca="false">AJ3729*$M3729</f>
        <v>0</v>
      </c>
      <c r="AL3729" s="28"/>
      <c r="AM3729" s="28" t="n">
        <f aca="false">AL3729*$M3729</f>
        <v>0</v>
      </c>
      <c r="AN3729" s="28"/>
      <c r="AO3729" s="28" t="n">
        <f aca="false">AN3729*$M3729</f>
        <v>0</v>
      </c>
      <c r="AP3729" s="28"/>
      <c r="AQ3729" s="28" t="n">
        <f aca="false">AP3729*$M3729</f>
        <v>0</v>
      </c>
      <c r="AR3729" s="28"/>
      <c r="AS3729" s="28" t="n">
        <f aca="false">AR3729*$M3729</f>
        <v>0</v>
      </c>
      <c r="AT3729" s="28"/>
      <c r="AU3729" s="28" t="n">
        <f aca="false">AT3729*$M3729</f>
        <v>0</v>
      </c>
      <c r="AV3729" s="28"/>
      <c r="AW3729" s="28" t="n">
        <f aca="false">AV3729*$M3729</f>
        <v>0</v>
      </c>
      <c r="AX3729" s="28"/>
      <c r="AY3729" s="28" t="n">
        <f aca="false">AX3729*$M3729</f>
        <v>0</v>
      </c>
      <c r="AZ3729" s="30" t="n">
        <f aca="false">200/100</f>
        <v>2</v>
      </c>
      <c r="BA3729" s="11" t="n">
        <v>1100</v>
      </c>
      <c r="BB3729" s="31" t="n">
        <f aca="false">SUM(Q3729,S3729,U3729,W3729,Y3729,AA3729,AC3729,AE3729,AG3729,AI3729,AK3729,AM3729,AO3729,AQ3729,AS3729,AU3729,AW3729,AY3729)</f>
        <v>1100</v>
      </c>
      <c r="BC3729" s="28" t="n">
        <f aca="false">BA3729-BB3729</f>
        <v>0</v>
      </c>
      <c r="BD3729" s="32" t="n">
        <f aca="false">SUM(P3729,R3729,T3729,V3729,X3729,Z3729,AB3729,AD3729,AF3729,AH3729,AJ3729,AL3729,AN3729,AP3729,AR3729,AT3729,AV3729,AX3729)</f>
        <v>2</v>
      </c>
      <c r="BE3729" s="33" t="n">
        <f aca="false">AZ3729-BD3729</f>
        <v>0</v>
      </c>
      <c r="BF3729" s="34" t="n">
        <f aca="false">BD3729*M3729</f>
        <v>1100</v>
      </c>
      <c r="BG3729" s="35" t="n">
        <f aca="false">BA3729-BF3729</f>
        <v>0</v>
      </c>
      <c r="BH3729" s="19" t="str">
        <f aca="false">IF(BG3729=0,"",IF(BG3729&lt;&gt;BA3729,"erreur de calcul",IF(BD3729&lt;&gt;0,"pas de prix",IF(M3729&lt;&gt; 0,"pas de quantité","pas de prix, ni de quantité"))))</f>
        <v/>
      </c>
      <c r="BI3729" s="19"/>
    </row>
    <row r="3730" customFormat="false" ht="15" hidden="false" customHeight="false" outlineLevel="0" collapsed="false">
      <c r="A3730" s="0" t="n">
        <v>10</v>
      </c>
      <c r="B3730" s="8" t="s">
        <v>24</v>
      </c>
      <c r="C3730" s="9" t="s">
        <v>25</v>
      </c>
      <c r="D3730" s="9" t="s">
        <v>26</v>
      </c>
      <c r="E3730" s="10" t="n">
        <v>1789</v>
      </c>
      <c r="F3730" s="9" t="s">
        <v>27</v>
      </c>
      <c r="G3730" s="9" t="s">
        <v>27</v>
      </c>
      <c r="H3730" s="11" t="n">
        <v>24</v>
      </c>
      <c r="I3730" s="11" t="s">
        <v>299</v>
      </c>
      <c r="J3730" s="14" t="n">
        <v>16</v>
      </c>
      <c r="K3730" s="14"/>
      <c r="L3730" s="16"/>
      <c r="M3730" s="27" t="n">
        <f aca="false">J3730+(K3730/20)+(L3730/240)</f>
        <v>16</v>
      </c>
      <c r="N3730" s="17" t="s">
        <v>64</v>
      </c>
      <c r="O3730" s="11"/>
      <c r="P3730" s="28" t="n">
        <f aca="false">20*288*0.02+252*0.02</f>
        <v>120.24</v>
      </c>
      <c r="Q3730" s="28" t="n">
        <v>1924</v>
      </c>
      <c r="R3730" s="28"/>
      <c r="S3730" s="28" t="n">
        <f aca="false">R3730*$M3730</f>
        <v>0</v>
      </c>
      <c r="T3730" s="28"/>
      <c r="U3730" s="28" t="n">
        <f aca="false">T3730*$M3730</f>
        <v>0</v>
      </c>
      <c r="V3730" s="28" t="n">
        <f aca="false">16*288*0.02+15*0.02</f>
        <v>92.46</v>
      </c>
      <c r="W3730" s="28" t="n">
        <v>1479</v>
      </c>
      <c r="X3730" s="28" t="n">
        <f aca="false">25*288*0.02+152*0.02</f>
        <v>147.04</v>
      </c>
      <c r="Y3730" s="28" t="n">
        <v>2353</v>
      </c>
      <c r="Z3730" s="28"/>
      <c r="AA3730" s="28" t="n">
        <f aca="false">Z3730*$M3730</f>
        <v>0</v>
      </c>
      <c r="AB3730" s="28" t="n">
        <f aca="false">127*288*0.02+236*0.02</f>
        <v>736.24</v>
      </c>
      <c r="AC3730" s="28" t="n">
        <v>11780</v>
      </c>
      <c r="AD3730" s="28"/>
      <c r="AE3730" s="28" t="n">
        <f aca="false">AD3730*$M3730</f>
        <v>0</v>
      </c>
      <c r="AF3730" s="28"/>
      <c r="AG3730" s="28" t="n">
        <f aca="false">AF3730*$M3730</f>
        <v>0</v>
      </c>
      <c r="AH3730" s="28"/>
      <c r="AI3730" s="28" t="n">
        <f aca="false">AH3730*$M3730</f>
        <v>0</v>
      </c>
      <c r="AJ3730" s="28"/>
      <c r="AK3730" s="28" t="n">
        <f aca="false">AJ3730*$M3730</f>
        <v>0</v>
      </c>
      <c r="AL3730" s="28"/>
      <c r="AM3730" s="28" t="n">
        <f aca="false">AL3730*$M3730</f>
        <v>0</v>
      </c>
      <c r="AN3730" s="28"/>
      <c r="AO3730" s="28" t="n">
        <f aca="false">AN3730*$M3730</f>
        <v>0</v>
      </c>
      <c r="AP3730" s="28"/>
      <c r="AQ3730" s="28" t="n">
        <f aca="false">AP3730*$M3730</f>
        <v>0</v>
      </c>
      <c r="AR3730" s="28"/>
      <c r="AS3730" s="28" t="n">
        <f aca="false">AR3730*$M3730</f>
        <v>0</v>
      </c>
      <c r="AT3730" s="28"/>
      <c r="AU3730" s="28" t="n">
        <f aca="false">AT3730*$M3730</f>
        <v>0</v>
      </c>
      <c r="AV3730" s="28"/>
      <c r="AW3730" s="28" t="n">
        <f aca="false">AV3730*$M3730</f>
        <v>0</v>
      </c>
      <c r="AX3730" s="28"/>
      <c r="AY3730" s="28" t="n">
        <f aca="false">AX3730*$M3730</f>
        <v>0</v>
      </c>
      <c r="AZ3730" s="30" t="n">
        <f aca="false">190*288*0.02+82*0.02</f>
        <v>1096.04</v>
      </c>
      <c r="BA3730" s="11" t="n">
        <v>17536</v>
      </c>
      <c r="BB3730" s="31" t="n">
        <f aca="false">SUM(Q3730,S3730,U3730,W3730,Y3730,AA3730,AC3730,AE3730,AG3730,AI3730,AK3730,AM3730,AO3730,AQ3730,AS3730,AU3730,AW3730,AY3730)</f>
        <v>17536</v>
      </c>
      <c r="BC3730" s="28" t="n">
        <f aca="false">BA3730-BB3730</f>
        <v>0</v>
      </c>
      <c r="BD3730" s="32" t="n">
        <f aca="false">SUM(P3730,R3730,T3730,V3730,X3730,Z3730,AB3730,AD3730,AF3730,AH3730,AJ3730,AL3730,AN3730,AP3730,AR3730,AT3730,AV3730,AX3730)</f>
        <v>1095.98</v>
      </c>
      <c r="BE3730" s="33" t="n">
        <f aca="false">AZ3730-BD3730</f>
        <v>0.0600000000001728</v>
      </c>
      <c r="BF3730" s="34" t="n">
        <f aca="false">BD3730*M3730</f>
        <v>17535.68</v>
      </c>
      <c r="BG3730" s="35" t="n">
        <f aca="false">BA3730-BF3730</f>
        <v>0.319999999999709</v>
      </c>
      <c r="BH3730" s="19" t="str">
        <f aca="false">IF(BG3730=0,"",IF(BG3730&lt;&gt;BA3730,"erreur de calcul",IF(BD3730&lt;&gt;0,"pas de prix",IF(M3730&lt;&gt; 0,"pas de quantité","pas de prix, ni de quantité"))))</f>
        <v>erreur de calcul</v>
      </c>
      <c r="BI3730" s="19"/>
    </row>
    <row r="3731" customFormat="false" ht="15" hidden="false" customHeight="false" outlineLevel="0" collapsed="false">
      <c r="A3731" s="0" t="n">
        <v>11</v>
      </c>
      <c r="B3731" s="8" t="s">
        <v>24</v>
      </c>
      <c r="C3731" s="9" t="s">
        <v>25</v>
      </c>
      <c r="D3731" s="9" t="s">
        <v>26</v>
      </c>
      <c r="E3731" s="10" t="n">
        <v>1789</v>
      </c>
      <c r="F3731" s="9" t="s">
        <v>27</v>
      </c>
      <c r="G3731" s="9" t="s">
        <v>27</v>
      </c>
      <c r="H3731" s="11" t="n">
        <v>24</v>
      </c>
      <c r="I3731" s="11" t="s">
        <v>300</v>
      </c>
      <c r="J3731" s="14" t="n">
        <v>360</v>
      </c>
      <c r="K3731" s="14"/>
      <c r="L3731" s="16"/>
      <c r="M3731" s="27" t="n">
        <f aca="false">J3731+(K3731/20)+(L3731/240)</f>
        <v>360</v>
      </c>
      <c r="N3731" s="17" t="s">
        <v>64</v>
      </c>
      <c r="O3731" s="11"/>
      <c r="P3731" s="28"/>
      <c r="Q3731" s="28" t="n">
        <f aca="false">P3731*$M3731</f>
        <v>0</v>
      </c>
      <c r="R3731" s="28"/>
      <c r="S3731" s="28" t="n">
        <f aca="false">R3731*$M3731</f>
        <v>0</v>
      </c>
      <c r="T3731" s="28"/>
      <c r="U3731" s="28" t="n">
        <f aca="false">T3731*$M3731</f>
        <v>0</v>
      </c>
      <c r="V3731" s="28"/>
      <c r="W3731" s="28" t="n">
        <f aca="false">V3731*$M3731</f>
        <v>0</v>
      </c>
      <c r="X3731" s="28"/>
      <c r="Y3731" s="28" t="n">
        <f aca="false">X3731*$M3731</f>
        <v>0</v>
      </c>
      <c r="Z3731" s="28"/>
      <c r="AA3731" s="28" t="n">
        <f aca="false">Z3731*$M3731</f>
        <v>0</v>
      </c>
      <c r="AB3731" s="28"/>
      <c r="AC3731" s="28" t="n">
        <f aca="false">AB3731*$M3731</f>
        <v>0</v>
      </c>
      <c r="AD3731" s="28"/>
      <c r="AE3731" s="28" t="n">
        <f aca="false">AD3731*$M3731</f>
        <v>0</v>
      </c>
      <c r="AF3731" s="28"/>
      <c r="AG3731" s="28" t="n">
        <f aca="false">AF3731*$M3731</f>
        <v>0</v>
      </c>
      <c r="AH3731" s="28" t="n">
        <f aca="false">371073/100</f>
        <v>3710.73</v>
      </c>
      <c r="AI3731" s="28" t="n">
        <v>1335863</v>
      </c>
      <c r="AJ3731" s="28"/>
      <c r="AK3731" s="28" t="n">
        <f aca="false">AJ3731*$M3731</f>
        <v>0</v>
      </c>
      <c r="AL3731" s="28"/>
      <c r="AM3731" s="28" t="n">
        <f aca="false">AL3731*$M3731</f>
        <v>0</v>
      </c>
      <c r="AN3731" s="28"/>
      <c r="AO3731" s="28" t="n">
        <f aca="false">AN3731*$M3731</f>
        <v>0</v>
      </c>
      <c r="AP3731" s="28"/>
      <c r="AQ3731" s="28" t="n">
        <f aca="false">AP3731*$M3731</f>
        <v>0</v>
      </c>
      <c r="AR3731" s="28"/>
      <c r="AS3731" s="28" t="n">
        <f aca="false">AR3731*$M3731</f>
        <v>0</v>
      </c>
      <c r="AT3731" s="28"/>
      <c r="AU3731" s="28" t="n">
        <f aca="false">AT3731*$M3731</f>
        <v>0</v>
      </c>
      <c r="AV3731" s="28"/>
      <c r="AW3731" s="28" t="n">
        <f aca="false">AV3731*$M3731</f>
        <v>0</v>
      </c>
      <c r="AX3731" s="28"/>
      <c r="AY3731" s="28" t="n">
        <f aca="false">AX3731*$M3731</f>
        <v>0</v>
      </c>
      <c r="AZ3731" s="30" t="n">
        <f aca="false">371073/100</f>
        <v>3710.73</v>
      </c>
      <c r="BA3731" s="11" t="n">
        <v>1335863</v>
      </c>
      <c r="BB3731" s="31" t="n">
        <f aca="false">SUM(Q3731,S3731,U3731,W3731,Y3731,AA3731,AC3731,AE3731,AG3731,AI3731,AK3731,AM3731,AO3731,AQ3731,AS3731,AU3731,AW3731,AY3731)</f>
        <v>1335863</v>
      </c>
      <c r="BC3731" s="28" t="n">
        <f aca="false">BA3731-BB3731</f>
        <v>0</v>
      </c>
      <c r="BD3731" s="32" t="n">
        <f aca="false">SUM(P3731,R3731,T3731,V3731,X3731,Z3731,AB3731,AD3731,AF3731,AH3731,AJ3731,AL3731,AN3731,AP3731,AR3731,AT3731,AV3731,AX3731)</f>
        <v>3710.73</v>
      </c>
      <c r="BE3731" s="33" t="n">
        <f aca="false">AZ3731-BD3731</f>
        <v>0</v>
      </c>
      <c r="BF3731" s="34" t="n">
        <f aca="false">BD3731*M3731</f>
        <v>1335862.8</v>
      </c>
      <c r="BG3731" s="35" t="n">
        <f aca="false">BA3731-BF3731</f>
        <v>0.199999999953434</v>
      </c>
      <c r="BH3731" s="19" t="str">
        <f aca="false">IF(BG3731=0,"",IF(BG3731&lt;&gt;BA3731,"erreur de calcul",IF(BD3731&lt;&gt;0,"pas de prix",IF(M3731&lt;&gt; 0,"pas de quantité","pas de prix, ni de quantité"))))</f>
        <v>erreur de calcul</v>
      </c>
      <c r="BI3731" s="19"/>
    </row>
    <row r="3732" customFormat="false" ht="15" hidden="false" customHeight="false" outlineLevel="0" collapsed="false">
      <c r="A3732" s="0" t="n">
        <v>12</v>
      </c>
      <c r="B3732" s="8" t="s">
        <v>24</v>
      </c>
      <c r="C3732" s="9" t="s">
        <v>25</v>
      </c>
      <c r="D3732" s="9" t="s">
        <v>26</v>
      </c>
      <c r="E3732" s="10" t="n">
        <v>1789</v>
      </c>
      <c r="F3732" s="9" t="s">
        <v>27</v>
      </c>
      <c r="G3732" s="9" t="s">
        <v>27</v>
      </c>
      <c r="H3732" s="11" t="n">
        <v>24</v>
      </c>
      <c r="I3732" s="11" t="s">
        <v>301</v>
      </c>
      <c r="J3732" s="14" t="n">
        <v>3</v>
      </c>
      <c r="K3732" s="14"/>
      <c r="L3732" s="16"/>
      <c r="M3732" s="27" t="n">
        <f aca="false">J3732+(K3732/20)+(L3732/240)</f>
        <v>3</v>
      </c>
      <c r="N3732" s="17" t="s">
        <v>66</v>
      </c>
      <c r="O3732" s="11"/>
      <c r="P3732" s="28"/>
      <c r="Q3732" s="28" t="n">
        <f aca="false">P3732*$M3732</f>
        <v>0</v>
      </c>
      <c r="R3732" s="28"/>
      <c r="S3732" s="28" t="n">
        <f aca="false">R3732*$M3732</f>
        <v>0</v>
      </c>
      <c r="T3732" s="28"/>
      <c r="U3732" s="28" t="n">
        <f aca="false">T3732*$M3732</f>
        <v>0</v>
      </c>
      <c r="V3732" s="28"/>
      <c r="W3732" s="28" t="n">
        <f aca="false">V3732*$M3732</f>
        <v>0</v>
      </c>
      <c r="X3732" s="28"/>
      <c r="Y3732" s="28" t="n">
        <f aca="false">X3732*$M3732</f>
        <v>0</v>
      </c>
      <c r="Z3732" s="28"/>
      <c r="AA3732" s="28" t="n">
        <f aca="false">Z3732*$M3732</f>
        <v>0</v>
      </c>
      <c r="AB3732" s="28"/>
      <c r="AC3732" s="28" t="n">
        <f aca="false">AB3732*$M3732</f>
        <v>0</v>
      </c>
      <c r="AD3732" s="28"/>
      <c r="AE3732" s="28" t="n">
        <f aca="false">AD3732*$M3732</f>
        <v>0</v>
      </c>
      <c r="AF3732" s="28"/>
      <c r="AG3732" s="28" t="n">
        <f aca="false">AF3732*$M3732</f>
        <v>0</v>
      </c>
      <c r="AH3732" s="28" t="n">
        <v>19281</v>
      </c>
      <c r="AI3732" s="28" t="n">
        <v>57843</v>
      </c>
      <c r="AJ3732" s="28"/>
      <c r="AK3732" s="28" t="n">
        <f aca="false">AJ3732*$M3732</f>
        <v>0</v>
      </c>
      <c r="AL3732" s="28"/>
      <c r="AM3732" s="28" t="n">
        <f aca="false">AL3732*$M3732</f>
        <v>0</v>
      </c>
      <c r="AN3732" s="28"/>
      <c r="AO3732" s="28" t="n">
        <f aca="false">AN3732*$M3732</f>
        <v>0</v>
      </c>
      <c r="AP3732" s="28"/>
      <c r="AQ3732" s="28" t="n">
        <f aca="false">AP3732*$M3732</f>
        <v>0</v>
      </c>
      <c r="AR3732" s="28"/>
      <c r="AS3732" s="28" t="n">
        <f aca="false">AR3732*$M3732</f>
        <v>0</v>
      </c>
      <c r="AT3732" s="28"/>
      <c r="AU3732" s="28" t="n">
        <f aca="false">AT3732*$M3732</f>
        <v>0</v>
      </c>
      <c r="AV3732" s="28"/>
      <c r="AW3732" s="28" t="n">
        <f aca="false">AV3732*$M3732</f>
        <v>0</v>
      </c>
      <c r="AX3732" s="28"/>
      <c r="AY3732" s="28" t="n">
        <f aca="false">AX3732*$M3732</f>
        <v>0</v>
      </c>
      <c r="AZ3732" s="30" t="n">
        <v>19281</v>
      </c>
      <c r="BA3732" s="11" t="n">
        <v>57843</v>
      </c>
      <c r="BB3732" s="31" t="n">
        <f aca="false">SUM(Q3732,S3732,U3732,W3732,Y3732,AA3732,AC3732,AE3732,AG3732,AI3732,AK3732,AM3732,AO3732,AQ3732,AS3732,AU3732,AW3732,AY3732)</f>
        <v>57843</v>
      </c>
      <c r="BC3732" s="28" t="n">
        <f aca="false">BA3732-BB3732</f>
        <v>0</v>
      </c>
      <c r="BD3732" s="32" t="n">
        <f aca="false">SUM(P3732,R3732,T3732,V3732,X3732,Z3732,AB3732,AD3732,AF3732,AH3732,AJ3732,AL3732,AN3732,AP3732,AR3732,AT3732,AV3732,AX3732)</f>
        <v>19281</v>
      </c>
      <c r="BE3732" s="33" t="n">
        <f aca="false">AZ3732-BD3732</f>
        <v>0</v>
      </c>
      <c r="BF3732" s="34" t="n">
        <f aca="false">BD3732*M3732</f>
        <v>57843</v>
      </c>
      <c r="BG3732" s="35" t="n">
        <f aca="false">BA3732-BF3732</f>
        <v>0</v>
      </c>
      <c r="BH3732" s="19" t="str">
        <f aca="false">IF(BG3732=0,"",IF(BG3732&lt;&gt;BA3732,"erreur de calcul",IF(BD3732&lt;&gt;0,"pas de prix",IF(M3732&lt;&gt; 0,"pas de quantité","pas de prix, ni de quantité"))))</f>
        <v/>
      </c>
      <c r="BI3732" s="19"/>
    </row>
    <row r="3733" customFormat="false" ht="15" hidden="false" customHeight="false" outlineLevel="0" collapsed="false">
      <c r="A3733" s="0" t="n">
        <v>13</v>
      </c>
      <c r="B3733" s="8" t="s">
        <v>24</v>
      </c>
      <c r="C3733" s="9" t="s">
        <v>25</v>
      </c>
      <c r="D3733" s="9" t="s">
        <v>26</v>
      </c>
      <c r="E3733" s="10" t="n">
        <v>1789</v>
      </c>
      <c r="F3733" s="9" t="s">
        <v>27</v>
      </c>
      <c r="G3733" s="9" t="s">
        <v>27</v>
      </c>
      <c r="H3733" s="11" t="n">
        <v>24</v>
      </c>
      <c r="I3733" s="11" t="s">
        <v>302</v>
      </c>
      <c r="J3733" s="14" t="n">
        <v>112</v>
      </c>
      <c r="K3733" s="14"/>
      <c r="L3733" s="16"/>
      <c r="M3733" s="27" t="n">
        <f aca="false">J3733+(K3733/20)+(L3733/240)</f>
        <v>112</v>
      </c>
      <c r="N3733" s="17" t="s">
        <v>64</v>
      </c>
      <c r="O3733" s="11"/>
      <c r="P3733" s="28" t="n">
        <f aca="false">99503/100</f>
        <v>995.03</v>
      </c>
      <c r="Q3733" s="28" t="n">
        <v>111443</v>
      </c>
      <c r="R3733" s="28"/>
      <c r="S3733" s="28" t="n">
        <f aca="false">R3733*$M3733</f>
        <v>0</v>
      </c>
      <c r="T3733" s="28" t="n">
        <f aca="false">8445/100</f>
        <v>84.45</v>
      </c>
      <c r="U3733" s="28" t="n">
        <v>9458</v>
      </c>
      <c r="V3733" s="28" t="n">
        <f aca="false">2517/100</f>
        <v>25.17</v>
      </c>
      <c r="W3733" s="28" t="n">
        <v>2819</v>
      </c>
      <c r="X3733" s="28" t="n">
        <f aca="false">4729/100</f>
        <v>47.29</v>
      </c>
      <c r="Y3733" s="28" t="n">
        <v>5296</v>
      </c>
      <c r="Z3733" s="28" t="n">
        <f aca="false">198115/100</f>
        <v>1981.15</v>
      </c>
      <c r="AA3733" s="28" t="n">
        <v>221889</v>
      </c>
      <c r="AB3733" s="28"/>
      <c r="AC3733" s="28" t="n">
        <f aca="false">AB3733*$M3733</f>
        <v>0</v>
      </c>
      <c r="AD3733" s="28"/>
      <c r="AE3733" s="28" t="n">
        <f aca="false">AD3733*$M3733</f>
        <v>0</v>
      </c>
      <c r="AF3733" s="28" t="n">
        <f aca="false">67420/100</f>
        <v>674.2</v>
      </c>
      <c r="AG3733" s="28" t="n">
        <v>75510</v>
      </c>
      <c r="AH3733" s="28" t="n">
        <f aca="false">415806/100</f>
        <v>4158.06</v>
      </c>
      <c r="AI3733" s="28" t="n">
        <v>465703</v>
      </c>
      <c r="AJ3733" s="28"/>
      <c r="AK3733" s="28" t="n">
        <f aca="false">AJ3733*$M3733</f>
        <v>0</v>
      </c>
      <c r="AL3733" s="28" t="n">
        <f aca="false">324/100</f>
        <v>3.24</v>
      </c>
      <c r="AM3733" s="28" t="n">
        <v>363</v>
      </c>
      <c r="AN3733" s="28"/>
      <c r="AO3733" s="28" t="n">
        <f aca="false">AN3733*$M3733</f>
        <v>0</v>
      </c>
      <c r="AP3733" s="28"/>
      <c r="AQ3733" s="28" t="n">
        <f aca="false">AP3733*$M3733</f>
        <v>0</v>
      </c>
      <c r="AR3733" s="28"/>
      <c r="AS3733" s="28" t="n">
        <f aca="false">AR3733*$M3733</f>
        <v>0</v>
      </c>
      <c r="AT3733" s="28"/>
      <c r="AU3733" s="28" t="n">
        <f aca="false">AT3733*$M3733</f>
        <v>0</v>
      </c>
      <c r="AV3733" s="28"/>
      <c r="AW3733" s="28" t="n">
        <f aca="false">AV3733*$M3733</f>
        <v>0</v>
      </c>
      <c r="AX3733" s="28"/>
      <c r="AY3733" s="28" t="n">
        <f aca="false">AX3733*$M3733</f>
        <v>0</v>
      </c>
      <c r="AZ3733" s="30" t="n">
        <f aca="false">796859/100</f>
        <v>7968.59</v>
      </c>
      <c r="BA3733" s="11" t="n">
        <v>892481</v>
      </c>
      <c r="BB3733" s="31" t="n">
        <f aca="false">SUM(Q3733,S3733,U3733,W3733,Y3733,AA3733,AC3733,AE3733,AG3733,AI3733,AK3733,AM3733,AO3733,AQ3733,AS3733,AU3733,AW3733,AY3733)</f>
        <v>892481</v>
      </c>
      <c r="BC3733" s="28" t="n">
        <f aca="false">BA3733-BB3733</f>
        <v>0</v>
      </c>
      <c r="BD3733" s="32" t="n">
        <f aca="false">SUM(P3733,R3733,T3733,V3733,X3733,Z3733,AB3733,AD3733,AF3733,AH3733,AJ3733,AL3733,AN3733,AP3733,AR3733,AT3733,AV3733,AX3733)</f>
        <v>7968.59</v>
      </c>
      <c r="BE3733" s="33" t="n">
        <f aca="false">AZ3733-BD3733</f>
        <v>0</v>
      </c>
      <c r="BF3733" s="34" t="n">
        <f aca="false">BD3733*M3733</f>
        <v>892482.08</v>
      </c>
      <c r="BG3733" s="35" t="n">
        <f aca="false">BA3733-BF3733</f>
        <v>-1.07999999995809</v>
      </c>
      <c r="BH3733" s="19" t="str">
        <f aca="false">IF(BG3733=0,"",IF(BG3733&lt;&gt;BA3733,"erreur de calcul",IF(BD3733&lt;&gt;0,"pas de prix",IF(M3733&lt;&gt; 0,"pas de quantité","pas de prix, ni de quantité"))))</f>
        <v>erreur de calcul</v>
      </c>
      <c r="BI3733" s="19"/>
    </row>
    <row r="3734" customFormat="false" ht="15" hidden="false" customHeight="false" outlineLevel="0" collapsed="false">
      <c r="A3734" s="0" t="n">
        <v>14</v>
      </c>
      <c r="B3734" s="8" t="s">
        <v>24</v>
      </c>
      <c r="C3734" s="9" t="s">
        <v>25</v>
      </c>
      <c r="D3734" s="9" t="s">
        <v>26</v>
      </c>
      <c r="E3734" s="10" t="n">
        <v>1789</v>
      </c>
      <c r="F3734" s="9" t="s">
        <v>27</v>
      </c>
      <c r="G3734" s="9" t="s">
        <v>27</v>
      </c>
      <c r="H3734" s="11" t="n">
        <v>24</v>
      </c>
      <c r="I3734" s="11" t="s">
        <v>303</v>
      </c>
      <c r="J3734" s="14" t="n">
        <v>50</v>
      </c>
      <c r="K3734" s="14"/>
      <c r="L3734" s="16"/>
      <c r="M3734" s="27" t="n">
        <f aca="false">J3734+(K3734/20)+(L3734/240)</f>
        <v>50</v>
      </c>
      <c r="N3734" s="17" t="s">
        <v>64</v>
      </c>
      <c r="O3734" s="11"/>
      <c r="P3734" s="28"/>
      <c r="Q3734" s="28" t="n">
        <f aca="false">P3734*$M3734</f>
        <v>0</v>
      </c>
      <c r="R3734" s="28"/>
      <c r="S3734" s="28" t="n">
        <f aca="false">R3734*$M3734</f>
        <v>0</v>
      </c>
      <c r="T3734" s="28"/>
      <c r="U3734" s="28" t="n">
        <f aca="false">T3734*$M3734</f>
        <v>0</v>
      </c>
      <c r="V3734" s="28"/>
      <c r="W3734" s="28" t="n">
        <f aca="false">V3734*$M3734</f>
        <v>0</v>
      </c>
      <c r="X3734" s="28"/>
      <c r="Y3734" s="28" t="n">
        <f aca="false">X3734*$M3734</f>
        <v>0</v>
      </c>
      <c r="Z3734" s="28"/>
      <c r="AA3734" s="28" t="n">
        <f aca="false">Z3734*$M3734</f>
        <v>0</v>
      </c>
      <c r="AB3734" s="28"/>
      <c r="AC3734" s="28" t="n">
        <f aca="false">AB3734*$M3734</f>
        <v>0</v>
      </c>
      <c r="AD3734" s="28"/>
      <c r="AE3734" s="28" t="n">
        <f aca="false">AD3734*$M3734</f>
        <v>0</v>
      </c>
      <c r="AF3734" s="28" t="n">
        <f aca="false">208461/100</f>
        <v>2084.61</v>
      </c>
      <c r="AG3734" s="28" t="n">
        <v>104230</v>
      </c>
      <c r="AH3734" s="28" t="n">
        <f aca="false">757624/100</f>
        <v>7576.24</v>
      </c>
      <c r="AI3734" s="28" t="n">
        <v>378812</v>
      </c>
      <c r="AJ3734" s="28"/>
      <c r="AK3734" s="28" t="n">
        <f aca="false">AJ3734*$M3734</f>
        <v>0</v>
      </c>
      <c r="AL3734" s="28"/>
      <c r="AM3734" s="28" t="n">
        <f aca="false">AL3734*$M3734</f>
        <v>0</v>
      </c>
      <c r="AN3734" s="28"/>
      <c r="AO3734" s="28" t="n">
        <f aca="false">AN3734*$M3734</f>
        <v>0</v>
      </c>
      <c r="AP3734" s="28"/>
      <c r="AQ3734" s="28" t="n">
        <f aca="false">AP3734*$M3734</f>
        <v>0</v>
      </c>
      <c r="AR3734" s="28"/>
      <c r="AS3734" s="28" t="n">
        <f aca="false">AR3734*$M3734</f>
        <v>0</v>
      </c>
      <c r="AT3734" s="28"/>
      <c r="AU3734" s="28" t="n">
        <f aca="false">AT3734*$M3734</f>
        <v>0</v>
      </c>
      <c r="AV3734" s="28"/>
      <c r="AW3734" s="28" t="n">
        <f aca="false">AV3734*$M3734</f>
        <v>0</v>
      </c>
      <c r="AX3734" s="28"/>
      <c r="AY3734" s="28" t="n">
        <f aca="false">AX3734*$M3734</f>
        <v>0</v>
      </c>
      <c r="AZ3734" s="30" t="n">
        <f aca="false">966085/100</f>
        <v>9660.85</v>
      </c>
      <c r="BA3734" s="11" t="n">
        <v>483042</v>
      </c>
      <c r="BB3734" s="31" t="n">
        <f aca="false">SUM(Q3734,S3734,U3734,W3734,Y3734,AA3734,AC3734,AE3734,AG3734,AI3734,AK3734,AM3734,AO3734,AQ3734,AS3734,AU3734,AW3734,AY3734)</f>
        <v>483042</v>
      </c>
      <c r="BC3734" s="28" t="n">
        <f aca="false">BA3734-BB3734</f>
        <v>0</v>
      </c>
      <c r="BD3734" s="32" t="n">
        <f aca="false">SUM(P3734,R3734,T3734,V3734,X3734,Z3734,AB3734,AD3734,AF3734,AH3734,AJ3734,AL3734,AN3734,AP3734,AR3734,AT3734,AV3734,AX3734)</f>
        <v>9660.85</v>
      </c>
      <c r="BE3734" s="33" t="n">
        <f aca="false">AZ3734-BD3734</f>
        <v>0</v>
      </c>
      <c r="BF3734" s="34" t="n">
        <f aca="false">BD3734*M3734</f>
        <v>483042.5</v>
      </c>
      <c r="BG3734" s="35" t="n">
        <f aca="false">BA3734-BF3734</f>
        <v>-0.5</v>
      </c>
      <c r="BH3734" s="19" t="str">
        <f aca="false">IF(BG3734=0,"",IF(BG3734&lt;&gt;BA3734,"erreur de calcul",IF(BD3734&lt;&gt;0,"pas de prix",IF(M3734&lt;&gt; 0,"pas de quantité","pas de prix, ni de quantité"))))</f>
        <v>erreur de calcul</v>
      </c>
      <c r="BI3734" s="19"/>
    </row>
    <row r="3735" customFormat="false" ht="15" hidden="false" customHeight="false" outlineLevel="0" collapsed="false">
      <c r="A3735" s="0" t="n">
        <v>15</v>
      </c>
      <c r="B3735" s="8" t="s">
        <v>24</v>
      </c>
      <c r="C3735" s="9" t="s">
        <v>25</v>
      </c>
      <c r="D3735" s="9" t="s">
        <v>26</v>
      </c>
      <c r="E3735" s="10" t="n">
        <v>1789</v>
      </c>
      <c r="F3735" s="9" t="s">
        <v>27</v>
      </c>
      <c r="G3735" s="9" t="s">
        <v>27</v>
      </c>
      <c r="H3735" s="11" t="n">
        <v>24</v>
      </c>
      <c r="I3735" s="11" t="s">
        <v>304</v>
      </c>
      <c r="J3735" s="14" t="n">
        <v>340</v>
      </c>
      <c r="K3735" s="14"/>
      <c r="L3735" s="16"/>
      <c r="M3735" s="27" t="n">
        <f aca="false">J3735+(K3735/20)+(L3735/240)</f>
        <v>340</v>
      </c>
      <c r="N3735" s="17" t="s">
        <v>64</v>
      </c>
      <c r="O3735" s="11"/>
      <c r="P3735" s="28"/>
      <c r="Q3735" s="28" t="n">
        <f aca="false">P3735*$M3735</f>
        <v>0</v>
      </c>
      <c r="R3735" s="28"/>
      <c r="S3735" s="28" t="n">
        <f aca="false">R3735*$M3735</f>
        <v>0</v>
      </c>
      <c r="T3735" s="28"/>
      <c r="U3735" s="28" t="n">
        <f aca="false">T3735*$M3735</f>
        <v>0</v>
      </c>
      <c r="V3735" s="28"/>
      <c r="W3735" s="28" t="n">
        <f aca="false">V3735*$M3735</f>
        <v>0</v>
      </c>
      <c r="X3735" s="28"/>
      <c r="Y3735" s="28" t="n">
        <f aca="false">X3735*$M3735</f>
        <v>0</v>
      </c>
      <c r="Z3735" s="28"/>
      <c r="AA3735" s="28" t="n">
        <f aca="false">Z3735*$M3735</f>
        <v>0</v>
      </c>
      <c r="AB3735" s="28" t="n">
        <f aca="false">339883/100</f>
        <v>3398.83</v>
      </c>
      <c r="AC3735" s="28" t="n">
        <v>1155602</v>
      </c>
      <c r="AD3735" s="28"/>
      <c r="AE3735" s="28" t="n">
        <f aca="false">AD3735*$M3735</f>
        <v>0</v>
      </c>
      <c r="AF3735" s="28"/>
      <c r="AG3735" s="28" t="n">
        <f aca="false">AF3735*$M3735</f>
        <v>0</v>
      </c>
      <c r="AH3735" s="28"/>
      <c r="AI3735" s="28" t="n">
        <f aca="false">AH3735*$M3735</f>
        <v>0</v>
      </c>
      <c r="AJ3735" s="28"/>
      <c r="AK3735" s="28" t="n">
        <f aca="false">AJ3735*$M3735</f>
        <v>0</v>
      </c>
      <c r="AL3735" s="28"/>
      <c r="AM3735" s="28" t="n">
        <f aca="false">AL3735*$M3735</f>
        <v>0</v>
      </c>
      <c r="AN3735" s="28"/>
      <c r="AO3735" s="28" t="n">
        <f aca="false">AN3735*$M3735</f>
        <v>0</v>
      </c>
      <c r="AP3735" s="28"/>
      <c r="AQ3735" s="28" t="n">
        <f aca="false">AP3735*$M3735</f>
        <v>0</v>
      </c>
      <c r="AR3735" s="28"/>
      <c r="AS3735" s="28" t="n">
        <f aca="false">AR3735*$M3735</f>
        <v>0</v>
      </c>
      <c r="AT3735" s="28"/>
      <c r="AU3735" s="28" t="n">
        <f aca="false">AT3735*$M3735</f>
        <v>0</v>
      </c>
      <c r="AV3735" s="28"/>
      <c r="AW3735" s="28" t="n">
        <f aca="false">AV3735*$M3735</f>
        <v>0</v>
      </c>
      <c r="AX3735" s="28"/>
      <c r="AY3735" s="28" t="n">
        <f aca="false">AX3735*$M3735</f>
        <v>0</v>
      </c>
      <c r="AZ3735" s="30" t="n">
        <f aca="false">339883/100</f>
        <v>3398.83</v>
      </c>
      <c r="BA3735" s="11" t="n">
        <v>1155602</v>
      </c>
      <c r="BB3735" s="31" t="n">
        <f aca="false">SUM(Q3735,S3735,U3735,W3735,Y3735,AA3735,AC3735,AE3735,AG3735,AI3735,AK3735,AM3735,AO3735,AQ3735,AS3735,AU3735,AW3735,AY3735)</f>
        <v>1155602</v>
      </c>
      <c r="BC3735" s="28" t="n">
        <f aca="false">BA3735-BB3735</f>
        <v>0</v>
      </c>
      <c r="BD3735" s="32" t="n">
        <f aca="false">SUM(P3735,R3735,T3735,V3735,X3735,Z3735,AB3735,AD3735,AF3735,AH3735,AJ3735,AL3735,AN3735,AP3735,AR3735,AT3735,AV3735,AX3735)</f>
        <v>3398.83</v>
      </c>
      <c r="BE3735" s="33" t="n">
        <f aca="false">AZ3735-BD3735</f>
        <v>0</v>
      </c>
      <c r="BF3735" s="34" t="n">
        <f aca="false">BD3735*M3735</f>
        <v>1155602.2</v>
      </c>
      <c r="BG3735" s="35" t="n">
        <f aca="false">BA3735-BF3735</f>
        <v>-0.199999999953434</v>
      </c>
      <c r="BH3735" s="19" t="str">
        <f aca="false">IF(BG3735=0,"",IF(BG3735&lt;&gt;BA3735,"erreur de calcul",IF(BD3735&lt;&gt;0,"pas de prix",IF(M3735&lt;&gt; 0,"pas de quantité","pas de prix, ni de quantité"))))</f>
        <v>erreur de calcul</v>
      </c>
      <c r="BI3735" s="19"/>
    </row>
    <row r="3736" customFormat="false" ht="15" hidden="false" customHeight="false" outlineLevel="0" collapsed="false">
      <c r="A3736" s="0" t="n">
        <v>16</v>
      </c>
      <c r="B3736" s="8" t="s">
        <v>24</v>
      </c>
      <c r="C3736" s="9" t="s">
        <v>25</v>
      </c>
      <c r="D3736" s="9" t="s">
        <v>26</v>
      </c>
      <c r="E3736" s="10" t="n">
        <v>1789</v>
      </c>
      <c r="F3736" s="9" t="s">
        <v>27</v>
      </c>
      <c r="G3736" s="9" t="s">
        <v>27</v>
      </c>
      <c r="H3736" s="11" t="n">
        <v>24</v>
      </c>
      <c r="I3736" s="11" t="s">
        <v>305</v>
      </c>
      <c r="J3736" s="14" t="n">
        <v>235</v>
      </c>
      <c r="K3736" s="14"/>
      <c r="L3736" s="16"/>
      <c r="M3736" s="27" t="n">
        <f aca="false">J3736+(K3736/20)+(L3736/240)</f>
        <v>235</v>
      </c>
      <c r="N3736" s="17" t="s">
        <v>64</v>
      </c>
      <c r="O3736" s="11"/>
      <c r="P3736" s="28" t="n">
        <f aca="false">34642/100</f>
        <v>346.42</v>
      </c>
      <c r="Q3736" s="28" t="n">
        <v>81409</v>
      </c>
      <c r="R3736" s="28"/>
      <c r="S3736" s="28" t="n">
        <f aca="false">R3736*$M3736</f>
        <v>0</v>
      </c>
      <c r="T3736" s="28"/>
      <c r="U3736" s="28" t="n">
        <f aca="false">T3736*$M3736</f>
        <v>0</v>
      </c>
      <c r="V3736" s="28"/>
      <c r="W3736" s="28" t="n">
        <f aca="false">V3736*$M3736</f>
        <v>0</v>
      </c>
      <c r="X3736" s="28"/>
      <c r="Y3736" s="28" t="n">
        <f aca="false">X3736*$M3736</f>
        <v>0</v>
      </c>
      <c r="Z3736" s="28"/>
      <c r="AA3736" s="28" t="n">
        <f aca="false">Z3736*$M3736</f>
        <v>0</v>
      </c>
      <c r="AB3736" s="28"/>
      <c r="AC3736" s="28" t="n">
        <f aca="false">AB3736*$M3736</f>
        <v>0</v>
      </c>
      <c r="AD3736" s="28"/>
      <c r="AE3736" s="28" t="n">
        <f aca="false">AD3736*$M3736</f>
        <v>0</v>
      </c>
      <c r="AF3736" s="28"/>
      <c r="AG3736" s="28" t="n">
        <f aca="false">AF3736*$M3736</f>
        <v>0</v>
      </c>
      <c r="AH3736" s="28"/>
      <c r="AI3736" s="28" t="n">
        <f aca="false">AH3736*$M3736</f>
        <v>0</v>
      </c>
      <c r="AJ3736" s="28"/>
      <c r="AK3736" s="28" t="n">
        <f aca="false">AJ3736*$M3736</f>
        <v>0</v>
      </c>
      <c r="AL3736" s="28"/>
      <c r="AM3736" s="28" t="n">
        <f aca="false">AL3736*$M3736</f>
        <v>0</v>
      </c>
      <c r="AN3736" s="28"/>
      <c r="AO3736" s="28" t="n">
        <f aca="false">AN3736*$M3736</f>
        <v>0</v>
      </c>
      <c r="AP3736" s="28"/>
      <c r="AQ3736" s="28" t="n">
        <f aca="false">AP3736*$M3736</f>
        <v>0</v>
      </c>
      <c r="AR3736" s="28"/>
      <c r="AS3736" s="28" t="n">
        <f aca="false">AR3736*$M3736</f>
        <v>0</v>
      </c>
      <c r="AT3736" s="28"/>
      <c r="AU3736" s="28" t="n">
        <f aca="false">AT3736*$M3736</f>
        <v>0</v>
      </c>
      <c r="AV3736" s="28"/>
      <c r="AW3736" s="28" t="n">
        <f aca="false">AV3736*$M3736</f>
        <v>0</v>
      </c>
      <c r="AX3736" s="28"/>
      <c r="AY3736" s="28" t="n">
        <f aca="false">AX3736*$M3736</f>
        <v>0</v>
      </c>
      <c r="AZ3736" s="30" t="n">
        <f aca="false">34642/100</f>
        <v>346.42</v>
      </c>
      <c r="BA3736" s="11" t="n">
        <v>81409</v>
      </c>
      <c r="BB3736" s="31" t="n">
        <f aca="false">SUM(Q3736,S3736,U3736,W3736,Y3736,AA3736,AC3736,AE3736,AG3736,AI3736,AK3736,AM3736,AO3736,AQ3736,AS3736,AU3736,AW3736,AY3736)</f>
        <v>81409</v>
      </c>
      <c r="BC3736" s="28" t="n">
        <f aca="false">BA3736-BB3736</f>
        <v>0</v>
      </c>
      <c r="BD3736" s="32" t="n">
        <f aca="false">SUM(P3736,R3736,T3736,V3736,X3736,Z3736,AB3736,AD3736,AF3736,AH3736,AJ3736,AL3736,AN3736,AP3736,AR3736,AT3736,AV3736,AX3736)</f>
        <v>346.42</v>
      </c>
      <c r="BE3736" s="33" t="n">
        <f aca="false">AZ3736-BD3736</f>
        <v>0</v>
      </c>
      <c r="BF3736" s="34" t="n">
        <f aca="false">BD3736*M3736</f>
        <v>81408.7</v>
      </c>
      <c r="BG3736" s="35" t="n">
        <f aca="false">BA3736-BF3736</f>
        <v>0.30000000000291</v>
      </c>
      <c r="BH3736" s="19" t="str">
        <f aca="false">IF(BG3736=0,"",IF(BG3736&lt;&gt;BA3736,"erreur de calcul",IF(BD3736&lt;&gt;0,"pas de prix",IF(M3736&lt;&gt; 0,"pas de quantité","pas de prix, ni de quantité"))))</f>
        <v>erreur de calcul</v>
      </c>
      <c r="BI3736" s="19"/>
    </row>
    <row r="3737" customFormat="false" ht="15" hidden="false" customHeight="false" outlineLevel="0" collapsed="false">
      <c r="A3737" s="0" t="n">
        <v>17</v>
      </c>
      <c r="B3737" s="8" t="s">
        <v>24</v>
      </c>
      <c r="C3737" s="9" t="s">
        <v>25</v>
      </c>
      <c r="D3737" s="9" t="s">
        <v>26</v>
      </c>
      <c r="E3737" s="10" t="n">
        <v>1789</v>
      </c>
      <c r="F3737" s="9" t="s">
        <v>27</v>
      </c>
      <c r="G3737" s="9" t="s">
        <v>27</v>
      </c>
      <c r="H3737" s="11" t="n">
        <v>24</v>
      </c>
      <c r="I3737" s="11" t="s">
        <v>306</v>
      </c>
      <c r="J3737" s="14" t="n">
        <v>71</v>
      </c>
      <c r="K3737" s="14"/>
      <c r="L3737" s="16"/>
      <c r="M3737" s="27" t="n">
        <f aca="false">J3737+(K3737/20)+(L3737/240)</f>
        <v>71</v>
      </c>
      <c r="N3737" s="17" t="s">
        <v>64</v>
      </c>
      <c r="O3737" s="11"/>
      <c r="P3737" s="28"/>
      <c r="Q3737" s="28" t="n">
        <f aca="false">P3737*$M3737</f>
        <v>0</v>
      </c>
      <c r="R3737" s="28"/>
      <c r="S3737" s="28" t="n">
        <f aca="false">R3737*$M3737</f>
        <v>0</v>
      </c>
      <c r="T3737" s="28" t="n">
        <f aca="false">12674/100</f>
        <v>126.74</v>
      </c>
      <c r="U3737" s="28" t="n">
        <v>8998</v>
      </c>
      <c r="V3737" s="28"/>
      <c r="W3737" s="28" t="n">
        <f aca="false">V3737*$M3737</f>
        <v>0</v>
      </c>
      <c r="X3737" s="28"/>
      <c r="Y3737" s="28" t="n">
        <f aca="false">X3737*$M3737</f>
        <v>0</v>
      </c>
      <c r="Z3737" s="28"/>
      <c r="AA3737" s="28" t="n">
        <f aca="false">Z3737*$M3737</f>
        <v>0</v>
      </c>
      <c r="AB3737" s="28"/>
      <c r="AC3737" s="28" t="n">
        <f aca="false">AB3737*$M3737</f>
        <v>0</v>
      </c>
      <c r="AD3737" s="28" t="n">
        <f aca="false">4283/100</f>
        <v>42.83</v>
      </c>
      <c r="AE3737" s="28" t="n">
        <v>3041</v>
      </c>
      <c r="AF3737" s="28" t="n">
        <f aca="false">2978140/100</f>
        <v>29781.4</v>
      </c>
      <c r="AG3737" s="28" t="n">
        <v>2114479</v>
      </c>
      <c r="AH3737" s="28" t="n">
        <f aca="false">4119032/100</f>
        <v>41190.32</v>
      </c>
      <c r="AI3737" s="28" t="n">
        <v>2924512</v>
      </c>
      <c r="AJ3737" s="28"/>
      <c r="AK3737" s="28" t="n">
        <f aca="false">AJ3737*$M3737</f>
        <v>0</v>
      </c>
      <c r="AL3737" s="28"/>
      <c r="AM3737" s="28" t="n">
        <f aca="false">AL3737*$M3737</f>
        <v>0</v>
      </c>
      <c r="AN3737" s="28"/>
      <c r="AO3737" s="28" t="n">
        <f aca="false">AN3737*$M3737</f>
        <v>0</v>
      </c>
      <c r="AP3737" s="28"/>
      <c r="AQ3737" s="28" t="n">
        <f aca="false">AP3737*$M3737</f>
        <v>0</v>
      </c>
      <c r="AR3737" s="28"/>
      <c r="AS3737" s="28" t="n">
        <f aca="false">AR3737*$M3737</f>
        <v>0</v>
      </c>
      <c r="AT3737" s="28"/>
      <c r="AU3737" s="28" t="n">
        <f aca="false">AT3737*$M3737</f>
        <v>0</v>
      </c>
      <c r="AV3737" s="28"/>
      <c r="AW3737" s="28" t="n">
        <f aca="false">AV3737*$M3737</f>
        <v>0</v>
      </c>
      <c r="AX3737" s="28"/>
      <c r="AY3737" s="28" t="n">
        <f aca="false">AX3737*$M3737</f>
        <v>0</v>
      </c>
      <c r="AZ3737" s="30" t="n">
        <f aca="false">7114129/100</f>
        <v>71141.29</v>
      </c>
      <c r="BA3737" s="11" t="n">
        <v>5051030</v>
      </c>
      <c r="BB3737" s="31" t="n">
        <f aca="false">SUM(Q3737,S3737,U3737,W3737,Y3737,AA3737,AC3737,AE3737,AG3737,AI3737,AK3737,AM3737,AO3737,AQ3737,AS3737,AU3737,AW3737,AY3737)</f>
        <v>5051030</v>
      </c>
      <c r="BC3737" s="28" t="n">
        <f aca="false">BA3737-BB3737</f>
        <v>0</v>
      </c>
      <c r="BD3737" s="32" t="n">
        <f aca="false">SUM(P3737,R3737,T3737,V3737,X3737,Z3737,AB3737,AD3737,AF3737,AH3737,AJ3737,AL3737,AN3737,AP3737,AR3737,AT3737,AV3737,AX3737)</f>
        <v>71141.29</v>
      </c>
      <c r="BE3737" s="33" t="n">
        <f aca="false">AZ3737-BD3737</f>
        <v>0</v>
      </c>
      <c r="BF3737" s="34" t="n">
        <f aca="false">BD3737*M3737</f>
        <v>5051031.59</v>
      </c>
      <c r="BG3737" s="35" t="n">
        <f aca="false">BA3737-BF3737</f>
        <v>-1.59000000078231</v>
      </c>
      <c r="BH3737" s="19" t="str">
        <f aca="false">IF(BG3737=0,"",IF(BG3737&lt;&gt;BA3737,"erreur de calcul",IF(BD3737&lt;&gt;0,"pas de prix",IF(M3737&lt;&gt; 0,"pas de quantité","pas de prix, ni de quantité"))))</f>
        <v>erreur de calcul</v>
      </c>
      <c r="BI3737" s="19"/>
    </row>
    <row r="3738" customFormat="false" ht="15" hidden="false" customHeight="false" outlineLevel="0" collapsed="false">
      <c r="A3738" s="0" t="n">
        <v>18</v>
      </c>
      <c r="B3738" s="8" t="s">
        <v>24</v>
      </c>
      <c r="C3738" s="9" t="s">
        <v>25</v>
      </c>
      <c r="D3738" s="9" t="s">
        <v>26</v>
      </c>
      <c r="E3738" s="10" t="n">
        <v>1789</v>
      </c>
      <c r="F3738" s="9" t="s">
        <v>27</v>
      </c>
      <c r="G3738" s="9" t="s">
        <v>27</v>
      </c>
      <c r="H3738" s="11" t="n">
        <v>24</v>
      </c>
      <c r="I3738" s="11" t="s">
        <v>307</v>
      </c>
      <c r="J3738" s="14" t="n">
        <v>45</v>
      </c>
      <c r="K3738" s="14"/>
      <c r="L3738" s="16"/>
      <c r="M3738" s="27" t="n">
        <f aca="false">J3738+(K3738/20)+(L3738/240)</f>
        <v>45</v>
      </c>
      <c r="N3738" s="17" t="s">
        <v>64</v>
      </c>
      <c r="O3738" s="11"/>
      <c r="P3738" s="28"/>
      <c r="Q3738" s="28" t="n">
        <f aca="false">P3738*$M3738</f>
        <v>0</v>
      </c>
      <c r="R3738" s="28"/>
      <c r="S3738" s="28" t="n">
        <f aca="false">R3738*$M3738</f>
        <v>0</v>
      </c>
      <c r="T3738" s="28"/>
      <c r="U3738" s="28" t="n">
        <f aca="false">T3738*$M3738</f>
        <v>0</v>
      </c>
      <c r="V3738" s="28"/>
      <c r="W3738" s="28" t="n">
        <f aca="false">V3738*$M3738</f>
        <v>0</v>
      </c>
      <c r="X3738" s="28"/>
      <c r="Y3738" s="28" t="n">
        <f aca="false">X3738*$M3738</f>
        <v>0</v>
      </c>
      <c r="Z3738" s="28"/>
      <c r="AA3738" s="28" t="n">
        <f aca="false">Z3738*$M3738</f>
        <v>0</v>
      </c>
      <c r="AB3738" s="28"/>
      <c r="AC3738" s="28" t="n">
        <f aca="false">AB3738*$M3738</f>
        <v>0</v>
      </c>
      <c r="AD3738" s="28"/>
      <c r="AE3738" s="28" t="n">
        <f aca="false">AD3738*$M3738</f>
        <v>0</v>
      </c>
      <c r="AF3738" s="28"/>
      <c r="AG3738" s="28" t="n">
        <f aca="false">AF3738*$M3738</f>
        <v>0</v>
      </c>
      <c r="AH3738" s="28"/>
      <c r="AI3738" s="28" t="n">
        <f aca="false">AH3738*$M3738</f>
        <v>0</v>
      </c>
      <c r="AJ3738" s="28"/>
      <c r="AK3738" s="28" t="n">
        <f aca="false">AJ3738*$M3738</f>
        <v>0</v>
      </c>
      <c r="AL3738" s="28" t="n">
        <f aca="false">971/100</f>
        <v>9.71</v>
      </c>
      <c r="AM3738" s="28" t="n">
        <v>437</v>
      </c>
      <c r="AN3738" s="28"/>
      <c r="AO3738" s="28" t="n">
        <f aca="false">AN3738*$M3738</f>
        <v>0</v>
      </c>
      <c r="AP3738" s="28"/>
      <c r="AQ3738" s="28" t="n">
        <f aca="false">AP3738*$M3738</f>
        <v>0</v>
      </c>
      <c r="AR3738" s="28"/>
      <c r="AS3738" s="28" t="n">
        <f aca="false">AR3738*$M3738</f>
        <v>0</v>
      </c>
      <c r="AT3738" s="28"/>
      <c r="AU3738" s="28" t="n">
        <f aca="false">AT3738*$M3738</f>
        <v>0</v>
      </c>
      <c r="AV3738" s="28"/>
      <c r="AW3738" s="28" t="n">
        <f aca="false">AV3738*$M3738</f>
        <v>0</v>
      </c>
      <c r="AX3738" s="28"/>
      <c r="AY3738" s="28" t="n">
        <f aca="false">AX3738*$M3738</f>
        <v>0</v>
      </c>
      <c r="AZ3738" s="30" t="n">
        <f aca="false">971/100</f>
        <v>9.71</v>
      </c>
      <c r="BA3738" s="11" t="n">
        <v>437</v>
      </c>
      <c r="BB3738" s="31" t="n">
        <f aca="false">SUM(Q3738,S3738,U3738,W3738,Y3738,AA3738,AC3738,AE3738,AG3738,AI3738,AK3738,AM3738,AO3738,AQ3738,AS3738,AU3738,AW3738,AY3738)</f>
        <v>437</v>
      </c>
      <c r="BC3738" s="28" t="n">
        <f aca="false">BA3738-BB3738</f>
        <v>0</v>
      </c>
      <c r="BD3738" s="32" t="n">
        <f aca="false">SUM(P3738,R3738,T3738,V3738,X3738,Z3738,AB3738,AD3738,AF3738,AH3738,AJ3738,AL3738,AN3738,AP3738,AR3738,AT3738,AV3738,AX3738)</f>
        <v>9.71</v>
      </c>
      <c r="BE3738" s="33" t="n">
        <f aca="false">AZ3738-BD3738</f>
        <v>0</v>
      </c>
      <c r="BF3738" s="34" t="n">
        <f aca="false">BD3738*M3738</f>
        <v>436.95</v>
      </c>
      <c r="BG3738" s="35" t="n">
        <f aca="false">BA3738-BF3738</f>
        <v>0.0499999999999545</v>
      </c>
      <c r="BH3738" s="19" t="str">
        <f aca="false">IF(BG3738=0,"",IF(BG3738&lt;&gt;BA3738,"erreur de calcul",IF(BD3738&lt;&gt;0,"pas de prix",IF(M3738&lt;&gt; 0,"pas de quantité","pas de prix, ni de quantité"))))</f>
        <v>erreur de calcul</v>
      </c>
      <c r="BI3738" s="19"/>
    </row>
    <row r="3739" customFormat="false" ht="15" hidden="false" customHeight="false" outlineLevel="0" collapsed="false">
      <c r="A3739" s="0" t="n">
        <v>19</v>
      </c>
      <c r="B3739" s="8" t="s">
        <v>24</v>
      </c>
      <c r="C3739" s="9" t="s">
        <v>25</v>
      </c>
      <c r="D3739" s="9" t="s">
        <v>26</v>
      </c>
      <c r="E3739" s="10" t="n">
        <v>1789</v>
      </c>
      <c r="F3739" s="9" t="s">
        <v>27</v>
      </c>
      <c r="G3739" s="9" t="s">
        <v>27</v>
      </c>
      <c r="H3739" s="11" t="n">
        <v>24</v>
      </c>
      <c r="I3739" s="11" t="s">
        <v>308</v>
      </c>
      <c r="J3739" s="14" t="n">
        <v>240</v>
      </c>
      <c r="K3739" s="14"/>
      <c r="L3739" s="16"/>
      <c r="M3739" s="27" t="n">
        <f aca="false">J3739+(K3739/20)+(L3739/240)</f>
        <v>240</v>
      </c>
      <c r="N3739" s="17" t="s">
        <v>64</v>
      </c>
      <c r="O3739" s="11"/>
      <c r="P3739" s="28"/>
      <c r="Q3739" s="28" t="n">
        <f aca="false">P3739*$M3739</f>
        <v>0</v>
      </c>
      <c r="R3739" s="28"/>
      <c r="S3739" s="28" t="n">
        <f aca="false">R3739*$M3739</f>
        <v>0</v>
      </c>
      <c r="T3739" s="28"/>
      <c r="U3739" s="28" t="n">
        <f aca="false">T3739*$M3739</f>
        <v>0</v>
      </c>
      <c r="V3739" s="28"/>
      <c r="W3739" s="28" t="n">
        <f aca="false">V3739*$M3739</f>
        <v>0</v>
      </c>
      <c r="X3739" s="28"/>
      <c r="Y3739" s="28" t="n">
        <f aca="false">X3739*$M3739</f>
        <v>0</v>
      </c>
      <c r="Z3739" s="28"/>
      <c r="AA3739" s="28" t="n">
        <f aca="false">Z3739*$M3739</f>
        <v>0</v>
      </c>
      <c r="AB3739" s="28"/>
      <c r="AC3739" s="28" t="n">
        <f aca="false">AB3739*$M3739</f>
        <v>0</v>
      </c>
      <c r="AD3739" s="28"/>
      <c r="AE3739" s="28" t="n">
        <f aca="false">AD3739*$M3739</f>
        <v>0</v>
      </c>
      <c r="AF3739" s="28"/>
      <c r="AG3739" s="28" t="n">
        <f aca="false">AF3739*$M3739</f>
        <v>0</v>
      </c>
      <c r="AH3739" s="28"/>
      <c r="AI3739" s="28" t="n">
        <f aca="false">AH3739*$M3739</f>
        <v>0</v>
      </c>
      <c r="AJ3739" s="28" t="n">
        <f aca="false">2173/100</f>
        <v>21.73</v>
      </c>
      <c r="AK3739" s="28" t="n">
        <v>5215</v>
      </c>
      <c r="AL3739" s="28"/>
      <c r="AM3739" s="28" t="n">
        <f aca="false">AL3739*$M3739</f>
        <v>0</v>
      </c>
      <c r="AN3739" s="28"/>
      <c r="AO3739" s="28" t="n">
        <f aca="false">AN3739*$M3739</f>
        <v>0</v>
      </c>
      <c r="AP3739" s="28"/>
      <c r="AQ3739" s="28" t="n">
        <f aca="false">AP3739*$M3739</f>
        <v>0</v>
      </c>
      <c r="AR3739" s="28"/>
      <c r="AS3739" s="28" t="n">
        <f aca="false">AR3739*$M3739</f>
        <v>0</v>
      </c>
      <c r="AT3739" s="28"/>
      <c r="AU3739" s="28" t="n">
        <f aca="false">AT3739*$M3739</f>
        <v>0</v>
      </c>
      <c r="AV3739" s="28"/>
      <c r="AW3739" s="28" t="n">
        <f aca="false">AV3739*$M3739</f>
        <v>0</v>
      </c>
      <c r="AX3739" s="28"/>
      <c r="AY3739" s="28" t="n">
        <f aca="false">AX3739*$M3739</f>
        <v>0</v>
      </c>
      <c r="AZ3739" s="30" t="n">
        <f aca="false">2173/100</f>
        <v>21.73</v>
      </c>
      <c r="BA3739" s="11" t="n">
        <v>5215</v>
      </c>
      <c r="BB3739" s="31" t="n">
        <f aca="false">SUM(Q3739,S3739,U3739,W3739,Y3739,AA3739,AC3739,AE3739,AG3739,AI3739,AK3739,AM3739,AO3739,AQ3739,AS3739,AU3739,AW3739,AY3739)</f>
        <v>5215</v>
      </c>
      <c r="BC3739" s="28" t="n">
        <f aca="false">BA3739-BB3739</f>
        <v>0</v>
      </c>
      <c r="BD3739" s="32" t="n">
        <f aca="false">SUM(P3739,R3739,T3739,V3739,X3739,Z3739,AB3739,AD3739,AF3739,AH3739,AJ3739,AL3739,AN3739,AP3739,AR3739,AT3739,AV3739,AX3739)</f>
        <v>21.73</v>
      </c>
      <c r="BE3739" s="33" t="n">
        <f aca="false">AZ3739-BD3739</f>
        <v>0</v>
      </c>
      <c r="BF3739" s="34" t="n">
        <f aca="false">BD3739*M3739</f>
        <v>5215.2</v>
      </c>
      <c r="BG3739" s="35" t="n">
        <f aca="false">BA3739-BF3739</f>
        <v>-0.199999999999818</v>
      </c>
      <c r="BH3739" s="19" t="str">
        <f aca="false">IF(BG3739=0,"",IF(BG3739&lt;&gt;BA3739,"erreur de calcul",IF(BD3739&lt;&gt;0,"pas de prix",IF(M3739&lt;&gt; 0,"pas de quantité","pas de prix, ni de quantité"))))</f>
        <v>erreur de calcul</v>
      </c>
      <c r="BI3739" s="19"/>
    </row>
    <row r="3740" customFormat="false" ht="15" hidden="false" customHeight="false" outlineLevel="0" collapsed="false">
      <c r="A3740" s="0" t="n">
        <v>20</v>
      </c>
      <c r="B3740" s="8" t="s">
        <v>24</v>
      </c>
      <c r="C3740" s="9" t="s">
        <v>25</v>
      </c>
      <c r="D3740" s="9" t="s">
        <v>26</v>
      </c>
      <c r="E3740" s="10" t="n">
        <v>1789</v>
      </c>
      <c r="F3740" s="9" t="s">
        <v>27</v>
      </c>
      <c r="G3740" s="9" t="s">
        <v>27</v>
      </c>
      <c r="H3740" s="11" t="n">
        <v>24</v>
      </c>
      <c r="I3740" s="11" t="s">
        <v>309</v>
      </c>
      <c r="J3740" s="14"/>
      <c r="K3740" s="14"/>
      <c r="L3740" s="16"/>
      <c r="M3740" s="27" t="n">
        <f aca="false">J3740+(K3740/20)+(L3740/240)</f>
        <v>0</v>
      </c>
      <c r="N3740" s="17"/>
      <c r="O3740" s="11"/>
      <c r="P3740" s="28"/>
      <c r="Q3740" s="28" t="n">
        <f aca="false">P3740*$M3740</f>
        <v>0</v>
      </c>
      <c r="R3740" s="28"/>
      <c r="S3740" s="28" t="n">
        <f aca="false">R3740*$M3740</f>
        <v>0</v>
      </c>
      <c r="T3740" s="28"/>
      <c r="U3740" s="28" t="n">
        <v>195</v>
      </c>
      <c r="V3740" s="28"/>
      <c r="W3740" s="28" t="n">
        <v>640</v>
      </c>
      <c r="X3740" s="28"/>
      <c r="Y3740" s="28" t="n">
        <f aca="false">X3740*$M3740</f>
        <v>0</v>
      </c>
      <c r="Z3740" s="28"/>
      <c r="AA3740" s="28" t="n">
        <f aca="false">Z3740*$M3740</f>
        <v>0</v>
      </c>
      <c r="AB3740" s="28"/>
      <c r="AC3740" s="28" t="n">
        <f aca="false">AB3740*$M3740</f>
        <v>0</v>
      </c>
      <c r="AD3740" s="28"/>
      <c r="AE3740" s="28" t="n">
        <f aca="false">AD3740*$M3740</f>
        <v>0</v>
      </c>
      <c r="AF3740" s="28"/>
      <c r="AG3740" s="28" t="n">
        <f aca="false">AF3740*$M3740</f>
        <v>0</v>
      </c>
      <c r="AH3740" s="28"/>
      <c r="AI3740" s="28" t="n">
        <v>121</v>
      </c>
      <c r="AJ3740" s="28"/>
      <c r="AK3740" s="28" t="n">
        <v>412</v>
      </c>
      <c r="AL3740" s="28"/>
      <c r="AM3740" s="28" t="n">
        <f aca="false">AL3740*$M3740</f>
        <v>0</v>
      </c>
      <c r="AN3740" s="28"/>
      <c r="AO3740" s="28" t="n">
        <f aca="false">AN3740*$M3740</f>
        <v>0</v>
      </c>
      <c r="AP3740" s="28"/>
      <c r="AQ3740" s="28" t="n">
        <f aca="false">AP3740*$M3740</f>
        <v>0</v>
      </c>
      <c r="AR3740" s="28"/>
      <c r="AS3740" s="28" t="n">
        <f aca="false">AR3740*$M3740</f>
        <v>0</v>
      </c>
      <c r="AT3740" s="28"/>
      <c r="AU3740" s="28" t="n">
        <f aca="false">AT3740*$M3740</f>
        <v>0</v>
      </c>
      <c r="AV3740" s="28"/>
      <c r="AW3740" s="28" t="n">
        <f aca="false">AV3740*$M3740</f>
        <v>0</v>
      </c>
      <c r="AX3740" s="28"/>
      <c r="AY3740" s="28" t="n">
        <f aca="false">AX3740*$M3740</f>
        <v>0</v>
      </c>
      <c r="AZ3740" s="30"/>
      <c r="BA3740" s="11" t="n">
        <v>1368</v>
      </c>
      <c r="BB3740" s="31" t="n">
        <f aca="false">SUM(Q3740,S3740,U3740,W3740,Y3740,AA3740,AC3740,AE3740,AG3740,AI3740,AK3740,AM3740,AO3740,AQ3740,AS3740,AU3740,AW3740,AY3740)</f>
        <v>1368</v>
      </c>
      <c r="BC3740" s="28" t="n">
        <f aca="false">BA3740-BB3740</f>
        <v>0</v>
      </c>
      <c r="BD3740" s="32" t="n">
        <f aca="false">SUM(P3740,R3740,T3740,V3740,X3740,Z3740,AB3740,AD3740,AF3740,AH3740,AJ3740,AL3740,AN3740,AP3740,AR3740,AT3740,AV3740,AX3740)</f>
        <v>0</v>
      </c>
      <c r="BE3740" s="33" t="n">
        <f aca="false">AZ3740-BD3740</f>
        <v>0</v>
      </c>
      <c r="BF3740" s="34" t="n">
        <f aca="false">BD3740*M3740</f>
        <v>0</v>
      </c>
      <c r="BG3740" s="35" t="n">
        <f aca="false">BA3740-BF3740</f>
        <v>1368</v>
      </c>
      <c r="BH3740" s="19" t="str">
        <f aca="false">IF(BG3740=0,"",IF(BG3740&lt;&gt;BA3740,"erreur de calcul",IF(BD3740&lt;&gt;0,"pas de prix",IF(M3740&lt;&gt; 0,"pas de quantité","pas de prix, ni de quantité"))))</f>
        <v>pas de prix, ni de quantité</v>
      </c>
      <c r="BI3740" s="19"/>
    </row>
    <row r="3741" customFormat="false" ht="15" hidden="false" customHeight="false" outlineLevel="0" collapsed="false">
      <c r="A3741" s="0" t="n">
        <v>21</v>
      </c>
      <c r="B3741" s="8" t="s">
        <v>24</v>
      </c>
      <c r="C3741" s="9" t="s">
        <v>25</v>
      </c>
      <c r="D3741" s="9" t="s">
        <v>26</v>
      </c>
      <c r="E3741" s="10" t="n">
        <v>1789</v>
      </c>
      <c r="F3741" s="9" t="s">
        <v>27</v>
      </c>
      <c r="G3741" s="9" t="s">
        <v>27</v>
      </c>
      <c r="H3741" s="11" t="n">
        <v>24</v>
      </c>
      <c r="I3741" s="11" t="s">
        <v>310</v>
      </c>
      <c r="J3741" s="14"/>
      <c r="K3741" s="14" t="n">
        <v>3</v>
      </c>
      <c r="L3741" s="16"/>
      <c r="M3741" s="27" t="n">
        <f aca="false">J3741+(K3741/20)+(L3741/240)</f>
        <v>0.15</v>
      </c>
      <c r="N3741" s="17" t="s">
        <v>311</v>
      </c>
      <c r="O3741" s="11"/>
      <c r="P3741" s="28"/>
      <c r="Q3741" s="28" t="n">
        <f aca="false">P3741*$M3741</f>
        <v>0</v>
      </c>
      <c r="R3741" s="28"/>
      <c r="S3741" s="28" t="n">
        <f aca="false">R3741*$M3741</f>
        <v>0</v>
      </c>
      <c r="T3741" s="28"/>
      <c r="U3741" s="28" t="n">
        <f aca="false">T3741*$M3741</f>
        <v>0</v>
      </c>
      <c r="V3741" s="28" t="n">
        <v>32065</v>
      </c>
      <c r="W3741" s="28" t="n">
        <v>4810</v>
      </c>
      <c r="X3741" s="28" t="n">
        <v>20652</v>
      </c>
      <c r="Y3741" s="28" t="n">
        <v>3098</v>
      </c>
      <c r="Z3741" s="28"/>
      <c r="AA3741" s="28" t="n">
        <f aca="false">Z3741*$M3741</f>
        <v>0</v>
      </c>
      <c r="AB3741" s="28"/>
      <c r="AC3741" s="28" t="n">
        <f aca="false">AB3741*$M3741</f>
        <v>0</v>
      </c>
      <c r="AD3741" s="28"/>
      <c r="AE3741" s="28" t="n">
        <f aca="false">AD3741*$M3741</f>
        <v>0</v>
      </c>
      <c r="AF3741" s="28"/>
      <c r="AG3741" s="28" t="n">
        <f aca="false">AF3741*$M3741</f>
        <v>0</v>
      </c>
      <c r="AH3741" s="28"/>
      <c r="AI3741" s="28" t="n">
        <f aca="false">AH3741*$M3741</f>
        <v>0</v>
      </c>
      <c r="AJ3741" s="28"/>
      <c r="AK3741" s="28" t="n">
        <f aca="false">AJ3741*$M3741</f>
        <v>0</v>
      </c>
      <c r="AL3741" s="28"/>
      <c r="AM3741" s="28" t="n">
        <f aca="false">AL3741*$M3741</f>
        <v>0</v>
      </c>
      <c r="AN3741" s="28"/>
      <c r="AO3741" s="28" t="n">
        <f aca="false">AN3741*$M3741</f>
        <v>0</v>
      </c>
      <c r="AP3741" s="28"/>
      <c r="AQ3741" s="28" t="n">
        <f aca="false">AP3741*$M3741</f>
        <v>0</v>
      </c>
      <c r="AR3741" s="28"/>
      <c r="AS3741" s="28" t="n">
        <f aca="false">AR3741*$M3741</f>
        <v>0</v>
      </c>
      <c r="AT3741" s="28"/>
      <c r="AU3741" s="28" t="n">
        <f aca="false">AT3741*$M3741</f>
        <v>0</v>
      </c>
      <c r="AV3741" s="28"/>
      <c r="AW3741" s="28" t="n">
        <f aca="false">AV3741*$M3741</f>
        <v>0</v>
      </c>
      <c r="AX3741" s="28"/>
      <c r="AY3741" s="28" t="n">
        <f aca="false">AX3741*$M3741</f>
        <v>0</v>
      </c>
      <c r="AZ3741" s="30" t="n">
        <v>52717</v>
      </c>
      <c r="BA3741" s="11" t="n">
        <v>7908</v>
      </c>
      <c r="BB3741" s="31" t="n">
        <f aca="false">SUM(Q3741,S3741,U3741,W3741,Y3741,AA3741,AC3741,AE3741,AG3741,AI3741,AK3741,AM3741,AO3741,AQ3741,AS3741,AU3741,AW3741,AY3741)</f>
        <v>7908</v>
      </c>
      <c r="BC3741" s="28" t="n">
        <f aca="false">BA3741-BB3741</f>
        <v>0</v>
      </c>
      <c r="BD3741" s="32" t="n">
        <f aca="false">SUM(P3741,R3741,T3741,V3741,X3741,Z3741,AB3741,AD3741,AF3741,AH3741,AJ3741,AL3741,AN3741,AP3741,AR3741,AT3741,AV3741,AX3741)</f>
        <v>52717</v>
      </c>
      <c r="BE3741" s="33" t="n">
        <f aca="false">AZ3741-BD3741</f>
        <v>0</v>
      </c>
      <c r="BF3741" s="34" t="n">
        <f aca="false">BD3741*M3741</f>
        <v>7907.55</v>
      </c>
      <c r="BG3741" s="35" t="n">
        <f aca="false">BA3741-BF3741</f>
        <v>0.450000000000728</v>
      </c>
      <c r="BH3741" s="19" t="str">
        <f aca="false">IF(BG3741=0,"",IF(BG3741&lt;&gt;BA3741,"erreur de calcul",IF(BD3741&lt;&gt;0,"pas de prix",IF(M3741&lt;&gt; 0,"pas de quantité","pas de prix, ni de quantité"))))</f>
        <v>erreur de calcul</v>
      </c>
      <c r="BI3741" s="19"/>
    </row>
    <row r="3742" customFormat="false" ht="15" hidden="false" customHeight="false" outlineLevel="0" collapsed="false">
      <c r="A3742" s="0" t="n">
        <v>22</v>
      </c>
      <c r="B3742" s="8" t="s">
        <v>24</v>
      </c>
      <c r="C3742" s="9" t="s">
        <v>25</v>
      </c>
      <c r="D3742" s="9" t="s">
        <v>26</v>
      </c>
      <c r="E3742" s="10" t="n">
        <v>1789</v>
      </c>
      <c r="F3742" s="9" t="s">
        <v>27</v>
      </c>
      <c r="G3742" s="9" t="s">
        <v>27</v>
      </c>
      <c r="H3742" s="11" t="n">
        <v>24</v>
      </c>
      <c r="I3742" s="11" t="s">
        <v>312</v>
      </c>
      <c r="J3742" s="14" t="n">
        <v>15</v>
      </c>
      <c r="K3742" s="14"/>
      <c r="L3742" s="16"/>
      <c r="M3742" s="27" t="n">
        <f aca="false">J3742+(K3742/20)+(L3742/240)</f>
        <v>15</v>
      </c>
      <c r="N3742" s="17" t="s">
        <v>275</v>
      </c>
      <c r="O3742" s="11"/>
      <c r="P3742" s="28"/>
      <c r="Q3742" s="28" t="n">
        <f aca="false">P3742*$M3742</f>
        <v>0</v>
      </c>
      <c r="R3742" s="28"/>
      <c r="S3742" s="28" t="n">
        <f aca="false">R3742*$M3742</f>
        <v>0</v>
      </c>
      <c r="T3742" s="28" t="n">
        <v>1479</v>
      </c>
      <c r="U3742" s="28" t="n">
        <v>22185</v>
      </c>
      <c r="V3742" s="28" t="n">
        <v>1500</v>
      </c>
      <c r="W3742" s="28" t="n">
        <v>22500</v>
      </c>
      <c r="X3742" s="28" t="n">
        <v>300</v>
      </c>
      <c r="Y3742" s="28" t="n">
        <v>4500</v>
      </c>
      <c r="Z3742" s="28" t="n">
        <v>168</v>
      </c>
      <c r="AA3742" s="28" t="n">
        <v>2520</v>
      </c>
      <c r="AB3742" s="28" t="n">
        <v>14570</v>
      </c>
      <c r="AC3742" s="28" t="n">
        <v>218550</v>
      </c>
      <c r="AD3742" s="28"/>
      <c r="AE3742" s="28" t="n">
        <f aca="false">AD3742*$M3742</f>
        <v>0</v>
      </c>
      <c r="AF3742" s="28" t="n">
        <v>5748</v>
      </c>
      <c r="AG3742" s="28" t="n">
        <v>86220</v>
      </c>
      <c r="AH3742" s="28"/>
      <c r="AI3742" s="28" t="n">
        <f aca="false">AH3742*$M3742</f>
        <v>0</v>
      </c>
      <c r="AJ3742" s="28" t="n">
        <v>710</v>
      </c>
      <c r="AK3742" s="28" t="n">
        <v>10650</v>
      </c>
      <c r="AL3742" s="28" t="n">
        <v>600</v>
      </c>
      <c r="AM3742" s="28" t="n">
        <v>9000</v>
      </c>
      <c r="AN3742" s="28"/>
      <c r="AO3742" s="28" t="n">
        <f aca="false">AN3742*$M3742</f>
        <v>0</v>
      </c>
      <c r="AP3742" s="28" t="n">
        <v>1200</v>
      </c>
      <c r="AQ3742" s="28" t="n">
        <v>18000</v>
      </c>
      <c r="AR3742" s="28"/>
      <c r="AS3742" s="28" t="n">
        <f aca="false">AR3742*$M3742</f>
        <v>0</v>
      </c>
      <c r="AT3742" s="28"/>
      <c r="AU3742" s="28" t="n">
        <f aca="false">AT3742*$M3742</f>
        <v>0</v>
      </c>
      <c r="AV3742" s="28"/>
      <c r="AW3742" s="28" t="n">
        <f aca="false">AV3742*$M3742</f>
        <v>0</v>
      </c>
      <c r="AX3742" s="28"/>
      <c r="AY3742" s="28" t="n">
        <f aca="false">AX3742*$M3742</f>
        <v>0</v>
      </c>
      <c r="AZ3742" s="30" t="n">
        <v>26275</v>
      </c>
      <c r="BA3742" s="11" t="n">
        <v>394125</v>
      </c>
      <c r="BB3742" s="31" t="n">
        <f aca="false">SUM(Q3742,S3742,U3742,W3742,Y3742,AA3742,AC3742,AE3742,AG3742,AI3742,AK3742,AM3742,AO3742,AQ3742,AS3742,AU3742,AW3742,AY3742)</f>
        <v>394125</v>
      </c>
      <c r="BC3742" s="28" t="n">
        <f aca="false">BA3742-BB3742</f>
        <v>0</v>
      </c>
      <c r="BD3742" s="32" t="n">
        <f aca="false">SUM(P3742,R3742,T3742,V3742,X3742,Z3742,AB3742,AD3742,AF3742,AH3742,AJ3742,AL3742,AN3742,AP3742,AR3742,AT3742,AV3742,AX3742)</f>
        <v>26275</v>
      </c>
      <c r="BE3742" s="33" t="n">
        <f aca="false">AZ3742-BD3742</f>
        <v>0</v>
      </c>
      <c r="BF3742" s="34" t="n">
        <f aca="false">BD3742*M3742</f>
        <v>394125</v>
      </c>
      <c r="BG3742" s="35" t="n">
        <f aca="false">BA3742-BF3742</f>
        <v>0</v>
      </c>
      <c r="BH3742" s="19" t="str">
        <f aca="false">IF(BG3742=0,"",IF(BG3742&lt;&gt;BA3742,"erreur de calcul",IF(BD3742&lt;&gt;0,"pas de prix",IF(M3742&lt;&gt; 0,"pas de quantité","pas de prix, ni de quantité"))))</f>
        <v/>
      </c>
      <c r="BI3742" s="19"/>
    </row>
    <row r="3743" customFormat="false" ht="15" hidden="false" customHeight="false" outlineLevel="0" collapsed="false">
      <c r="A3743" s="0" t="n">
        <v>23</v>
      </c>
      <c r="B3743" s="8" t="s">
        <v>24</v>
      </c>
      <c r="C3743" s="9" t="s">
        <v>25</v>
      </c>
      <c r="D3743" s="9" t="s">
        <v>26</v>
      </c>
      <c r="E3743" s="10" t="n">
        <v>1789</v>
      </c>
      <c r="F3743" s="9" t="s">
        <v>27</v>
      </c>
      <c r="G3743" s="9" t="s">
        <v>27</v>
      </c>
      <c r="H3743" s="11" t="n">
        <v>24</v>
      </c>
      <c r="I3743" s="11" t="s">
        <v>313</v>
      </c>
      <c r="J3743" s="14" t="n">
        <v>9</v>
      </c>
      <c r="K3743" s="14"/>
      <c r="L3743" s="16"/>
      <c r="M3743" s="27" t="n">
        <f aca="false">J3743+(K3743/20)+(L3743/240)</f>
        <v>9</v>
      </c>
      <c r="N3743" s="17" t="s">
        <v>64</v>
      </c>
      <c r="O3743" s="11"/>
      <c r="P3743" s="28"/>
      <c r="Q3743" s="28" t="n">
        <f aca="false">P3743*$M3743</f>
        <v>0</v>
      </c>
      <c r="R3743" s="28"/>
      <c r="S3743" s="28" t="n">
        <f aca="false">R3743*$M3743</f>
        <v>0</v>
      </c>
      <c r="T3743" s="28"/>
      <c r="U3743" s="28" t="n">
        <f aca="false">T3743*$M3743</f>
        <v>0</v>
      </c>
      <c r="V3743" s="28" t="n">
        <f aca="false">145504/100</f>
        <v>1455.04</v>
      </c>
      <c r="W3743" s="28" t="n">
        <v>13095</v>
      </c>
      <c r="X3743" s="28" t="n">
        <f aca="false">58504/100</f>
        <v>585.04</v>
      </c>
      <c r="Y3743" s="28" t="n">
        <v>5265</v>
      </c>
      <c r="Z3743" s="28" t="n">
        <f aca="false">17027/100</f>
        <v>170.27</v>
      </c>
      <c r="AA3743" s="28" t="n">
        <v>1532</v>
      </c>
      <c r="AB3743" s="28" t="n">
        <f aca="false">84396/100</f>
        <v>843.96</v>
      </c>
      <c r="AC3743" s="28" t="n">
        <v>7596</v>
      </c>
      <c r="AD3743" s="28"/>
      <c r="AE3743" s="28" t="n">
        <f aca="false">AD3743*$M3743</f>
        <v>0</v>
      </c>
      <c r="AF3743" s="28" t="n">
        <f aca="false">14807/100</f>
        <v>148.07</v>
      </c>
      <c r="AG3743" s="28" t="n">
        <v>1333</v>
      </c>
      <c r="AH3743" s="28"/>
      <c r="AI3743" s="28" t="n">
        <f aca="false">AH3743*$M3743</f>
        <v>0</v>
      </c>
      <c r="AJ3743" s="28"/>
      <c r="AK3743" s="28" t="n">
        <f aca="false">AJ3743*$M3743</f>
        <v>0</v>
      </c>
      <c r="AL3743" s="28"/>
      <c r="AM3743" s="28" t="n">
        <f aca="false">AL3743*$M3743</f>
        <v>0</v>
      </c>
      <c r="AN3743" s="28"/>
      <c r="AO3743" s="28" t="n">
        <f aca="false">AN3743*$M3743</f>
        <v>0</v>
      </c>
      <c r="AP3743" s="28"/>
      <c r="AQ3743" s="28" t="n">
        <f aca="false">AP3743*$M3743</f>
        <v>0</v>
      </c>
      <c r="AR3743" s="28"/>
      <c r="AS3743" s="28" t="n">
        <f aca="false">AR3743*$M3743</f>
        <v>0</v>
      </c>
      <c r="AT3743" s="28"/>
      <c r="AU3743" s="28" t="n">
        <f aca="false">AT3743*$M3743</f>
        <v>0</v>
      </c>
      <c r="AV3743" s="28"/>
      <c r="AW3743" s="28" t="n">
        <f aca="false">AV3743*$M3743</f>
        <v>0</v>
      </c>
      <c r="AX3743" s="28"/>
      <c r="AY3743" s="28" t="n">
        <f aca="false">AX3743*$M3743</f>
        <v>0</v>
      </c>
      <c r="AZ3743" s="30" t="n">
        <f aca="false">320238/100</f>
        <v>3202.38</v>
      </c>
      <c r="BA3743" s="11" t="n">
        <v>28821</v>
      </c>
      <c r="BB3743" s="31" t="n">
        <f aca="false">SUM(Q3743,S3743,U3743,W3743,Y3743,AA3743,AC3743,AE3743,AG3743,AI3743,AK3743,AM3743,AO3743,AQ3743,AS3743,AU3743,AW3743,AY3743)</f>
        <v>28821</v>
      </c>
      <c r="BC3743" s="28" t="n">
        <f aca="false">BA3743-BB3743</f>
        <v>0</v>
      </c>
      <c r="BD3743" s="32" t="n">
        <f aca="false">SUM(P3743,R3743,T3743,V3743,X3743,Z3743,AB3743,AD3743,AF3743,AH3743,AJ3743,AL3743,AN3743,AP3743,AR3743,AT3743,AV3743,AX3743)</f>
        <v>3202.38</v>
      </c>
      <c r="BE3743" s="33" t="n">
        <f aca="false">AZ3743-BD3743</f>
        <v>0</v>
      </c>
      <c r="BF3743" s="34" t="n">
        <f aca="false">BD3743*M3743</f>
        <v>28821.42</v>
      </c>
      <c r="BG3743" s="35" t="n">
        <f aca="false">BA3743-BF3743</f>
        <v>-0.420000000001892</v>
      </c>
      <c r="BH3743" s="19" t="str">
        <f aca="false">IF(BG3743=0,"",IF(BG3743&lt;&gt;BA3743,"erreur de calcul",IF(BD3743&lt;&gt;0,"pas de prix",IF(M3743&lt;&gt; 0,"pas de quantité","pas de prix, ni de quantité"))))</f>
        <v>erreur de calcul</v>
      </c>
      <c r="BI3743" s="19"/>
    </row>
    <row r="3744" customFormat="false" ht="15" hidden="false" customHeight="false" outlineLevel="0" collapsed="false">
      <c r="A3744" s="0" t="n">
        <v>24</v>
      </c>
      <c r="B3744" s="8" t="s">
        <v>24</v>
      </c>
      <c r="C3744" s="9" t="s">
        <v>25</v>
      </c>
      <c r="D3744" s="9" t="s">
        <v>26</v>
      </c>
      <c r="E3744" s="10" t="n">
        <v>1789</v>
      </c>
      <c r="F3744" s="9" t="s">
        <v>27</v>
      </c>
      <c r="G3744" s="9" t="s">
        <v>27</v>
      </c>
      <c r="H3744" s="11" t="n">
        <v>24</v>
      </c>
      <c r="I3744" s="11" t="s">
        <v>314</v>
      </c>
      <c r="J3744" s="14"/>
      <c r="K3744" s="14" t="n">
        <v>4</v>
      </c>
      <c r="L3744" s="16"/>
      <c r="M3744" s="27" t="n">
        <f aca="false">J3744+(K3744/20)+(L3744/240)</f>
        <v>0.2</v>
      </c>
      <c r="N3744" s="17" t="s">
        <v>311</v>
      </c>
      <c r="O3744" s="11"/>
      <c r="P3744" s="28"/>
      <c r="Q3744" s="28" t="n">
        <f aca="false">P3744*$M3744</f>
        <v>0</v>
      </c>
      <c r="R3744" s="28"/>
      <c r="S3744" s="28" t="n">
        <f aca="false">R3744*$M3744</f>
        <v>0</v>
      </c>
      <c r="T3744" s="28"/>
      <c r="U3744" s="28" t="n">
        <f aca="false">T3744*$M3744</f>
        <v>0</v>
      </c>
      <c r="V3744" s="28" t="n">
        <v>5800</v>
      </c>
      <c r="W3744" s="28" t="n">
        <v>1160</v>
      </c>
      <c r="X3744" s="28"/>
      <c r="Y3744" s="28" t="n">
        <f aca="false">X3744*$M3744</f>
        <v>0</v>
      </c>
      <c r="Z3744" s="28"/>
      <c r="AA3744" s="28" t="n">
        <f aca="false">Z3744*$M3744</f>
        <v>0</v>
      </c>
      <c r="AB3744" s="28"/>
      <c r="AC3744" s="28" t="n">
        <f aca="false">AB3744*$M3744</f>
        <v>0</v>
      </c>
      <c r="AD3744" s="28"/>
      <c r="AE3744" s="28" t="n">
        <f aca="false">AD3744*$M3744</f>
        <v>0</v>
      </c>
      <c r="AF3744" s="28"/>
      <c r="AG3744" s="28" t="n">
        <f aca="false">AF3744*$M3744</f>
        <v>0</v>
      </c>
      <c r="AH3744" s="28"/>
      <c r="AI3744" s="28" t="n">
        <f aca="false">AH3744*$M3744</f>
        <v>0</v>
      </c>
      <c r="AJ3744" s="28"/>
      <c r="AK3744" s="28" t="n">
        <f aca="false">AJ3744*$M3744</f>
        <v>0</v>
      </c>
      <c r="AL3744" s="28"/>
      <c r="AM3744" s="28" t="n">
        <f aca="false">AL3744*$M3744</f>
        <v>0</v>
      </c>
      <c r="AN3744" s="28"/>
      <c r="AO3744" s="28" t="n">
        <f aca="false">AN3744*$M3744</f>
        <v>0</v>
      </c>
      <c r="AP3744" s="28"/>
      <c r="AQ3744" s="28" t="n">
        <f aca="false">AP3744*$M3744</f>
        <v>0</v>
      </c>
      <c r="AR3744" s="28"/>
      <c r="AS3744" s="28" t="n">
        <f aca="false">AR3744*$M3744</f>
        <v>0</v>
      </c>
      <c r="AT3744" s="28"/>
      <c r="AU3744" s="28" t="n">
        <f aca="false">AT3744*$M3744</f>
        <v>0</v>
      </c>
      <c r="AV3744" s="28"/>
      <c r="AW3744" s="28" t="n">
        <f aca="false">AV3744*$M3744</f>
        <v>0</v>
      </c>
      <c r="AX3744" s="28"/>
      <c r="AY3744" s="28" t="n">
        <f aca="false">AX3744*$M3744</f>
        <v>0</v>
      </c>
      <c r="AZ3744" s="30" t="n">
        <v>5800</v>
      </c>
      <c r="BA3744" s="11" t="n">
        <v>1160</v>
      </c>
      <c r="BB3744" s="31" t="n">
        <f aca="false">SUM(Q3744,S3744,U3744,W3744,Y3744,AA3744,AC3744,AE3744,AG3744,AI3744,AK3744,AM3744,AO3744,AQ3744,AS3744,AU3744,AW3744,AY3744)</f>
        <v>1160</v>
      </c>
      <c r="BC3744" s="28" t="n">
        <f aca="false">BA3744-BB3744</f>
        <v>0</v>
      </c>
      <c r="BD3744" s="32" t="n">
        <f aca="false">SUM(P3744,R3744,T3744,V3744,X3744,Z3744,AB3744,AD3744,AF3744,AH3744,AJ3744,AL3744,AN3744,AP3744,AR3744,AT3744,AV3744,AX3744)</f>
        <v>5800</v>
      </c>
      <c r="BE3744" s="33" t="n">
        <f aca="false">AZ3744-BD3744</f>
        <v>0</v>
      </c>
      <c r="BF3744" s="34" t="n">
        <f aca="false">BD3744*M3744</f>
        <v>1160</v>
      </c>
      <c r="BG3744" s="35" t="n">
        <f aca="false">BA3744-BF3744</f>
        <v>0</v>
      </c>
      <c r="BH3744" s="19" t="str">
        <f aca="false">IF(BG3744=0,"",IF(BG3744&lt;&gt;BA3744,"erreur de calcul",IF(BD3744&lt;&gt;0,"pas de prix",IF(M3744&lt;&gt; 0,"pas de quantité","pas de prix, ni de quantité"))))</f>
        <v/>
      </c>
      <c r="BI3744" s="19"/>
    </row>
    <row r="3745" customFormat="false" ht="15" hidden="false" customHeight="false" outlineLevel="0" collapsed="false">
      <c r="A3745" s="0" t="n">
        <v>25</v>
      </c>
      <c r="B3745" s="8" t="s">
        <v>24</v>
      </c>
      <c r="C3745" s="9" t="s">
        <v>25</v>
      </c>
      <c r="D3745" s="9" t="s">
        <v>26</v>
      </c>
      <c r="E3745" s="10" t="n">
        <v>1789</v>
      </c>
      <c r="F3745" s="9" t="s">
        <v>27</v>
      </c>
      <c r="G3745" s="9" t="s">
        <v>27</v>
      </c>
      <c r="H3745" s="11" t="n">
        <v>24</v>
      </c>
      <c r="I3745" s="11" t="s">
        <v>315</v>
      </c>
      <c r="J3745" s="14" t="n">
        <v>10</v>
      </c>
      <c r="K3745" s="14"/>
      <c r="L3745" s="16"/>
      <c r="M3745" s="27" t="n">
        <f aca="false">J3745+(K3745/20)+(L3745/240)</f>
        <v>10</v>
      </c>
      <c r="N3745" s="17" t="s">
        <v>64</v>
      </c>
      <c r="O3745" s="11"/>
      <c r="P3745" s="28"/>
      <c r="Q3745" s="28" t="n">
        <f aca="false">P3745*$M3745</f>
        <v>0</v>
      </c>
      <c r="R3745" s="28"/>
      <c r="S3745" s="28" t="n">
        <f aca="false">R3745*$M3745</f>
        <v>0</v>
      </c>
      <c r="T3745" s="28"/>
      <c r="U3745" s="28" t="n">
        <f aca="false">T3745*$M3745</f>
        <v>0</v>
      </c>
      <c r="V3745" s="28"/>
      <c r="W3745" s="28" t="n">
        <f aca="false">V3745*$M3745</f>
        <v>0</v>
      </c>
      <c r="X3745" s="28"/>
      <c r="Y3745" s="28" t="n">
        <f aca="false">X3745*$M3745</f>
        <v>0</v>
      </c>
      <c r="Z3745" s="28"/>
      <c r="AA3745" s="28" t="n">
        <f aca="false">Z3745*$M3745</f>
        <v>0</v>
      </c>
      <c r="AB3745" s="28"/>
      <c r="AC3745" s="28" t="n">
        <f aca="false">AB3745*$M3745</f>
        <v>0</v>
      </c>
      <c r="AD3745" s="28"/>
      <c r="AE3745" s="28" t="n">
        <f aca="false">AD3745*$M3745</f>
        <v>0</v>
      </c>
      <c r="AF3745" s="28"/>
      <c r="AG3745" s="28" t="n">
        <f aca="false">AF3745*$M3745</f>
        <v>0</v>
      </c>
      <c r="AH3745" s="28"/>
      <c r="AI3745" s="28" t="n">
        <f aca="false">AH3745*$M3745</f>
        <v>0</v>
      </c>
      <c r="AJ3745" s="28" t="n">
        <f aca="false">13584/100</f>
        <v>135.84</v>
      </c>
      <c r="AK3745" s="28" t="n">
        <v>1358</v>
      </c>
      <c r="AL3745" s="28"/>
      <c r="AM3745" s="28" t="n">
        <f aca="false">AL3745*$M3745</f>
        <v>0</v>
      </c>
      <c r="AN3745" s="28"/>
      <c r="AO3745" s="28" t="n">
        <f aca="false">AN3745*$M3745</f>
        <v>0</v>
      </c>
      <c r="AP3745" s="28"/>
      <c r="AQ3745" s="28" t="n">
        <f aca="false">AP3745*$M3745</f>
        <v>0</v>
      </c>
      <c r="AR3745" s="28"/>
      <c r="AS3745" s="28" t="n">
        <f aca="false">AR3745*$M3745</f>
        <v>0</v>
      </c>
      <c r="AT3745" s="28"/>
      <c r="AU3745" s="28" t="n">
        <f aca="false">AT3745*$M3745</f>
        <v>0</v>
      </c>
      <c r="AV3745" s="28"/>
      <c r="AW3745" s="28" t="n">
        <f aca="false">AV3745*$M3745</f>
        <v>0</v>
      </c>
      <c r="AX3745" s="28"/>
      <c r="AY3745" s="28" t="n">
        <f aca="false">AX3745*$M3745</f>
        <v>0</v>
      </c>
      <c r="AZ3745" s="30" t="n">
        <f aca="false">13584/100</f>
        <v>135.84</v>
      </c>
      <c r="BA3745" s="11" t="n">
        <v>1358</v>
      </c>
      <c r="BB3745" s="31" t="n">
        <f aca="false">SUM(Q3745,S3745,U3745,W3745,Y3745,AA3745,AC3745,AE3745,AG3745,AI3745,AK3745,AM3745,AO3745,AQ3745,AS3745,AU3745,AW3745,AY3745)</f>
        <v>1358</v>
      </c>
      <c r="BC3745" s="28" t="n">
        <f aca="false">BA3745-BB3745</f>
        <v>0</v>
      </c>
      <c r="BD3745" s="32" t="n">
        <f aca="false">SUM(P3745,R3745,T3745,V3745,X3745,Z3745,AB3745,AD3745,AF3745,AH3745,AJ3745,AL3745,AN3745,AP3745,AR3745,AT3745,AV3745,AX3745)</f>
        <v>135.84</v>
      </c>
      <c r="BE3745" s="33" t="n">
        <f aca="false">AZ3745-BD3745</f>
        <v>0</v>
      </c>
      <c r="BF3745" s="34" t="n">
        <f aca="false">BD3745*M3745</f>
        <v>1358.4</v>
      </c>
      <c r="BG3745" s="35" t="n">
        <f aca="false">BA3745-BF3745</f>
        <v>-0.400000000000091</v>
      </c>
      <c r="BH3745" s="19" t="str">
        <f aca="false">IF(BG3745=0,"",IF(BG3745&lt;&gt;BA3745,"erreur de calcul",IF(BD3745&lt;&gt;0,"pas de prix",IF(M3745&lt;&gt; 0,"pas de quantité","pas de prix, ni de quantité"))))</f>
        <v>erreur de calcul</v>
      </c>
      <c r="BI3745" s="19"/>
    </row>
    <row r="3746" customFormat="false" ht="15" hidden="false" customHeight="false" outlineLevel="0" collapsed="false">
      <c r="A3746" s="0" t="n">
        <v>26</v>
      </c>
      <c r="B3746" s="8" t="s">
        <v>24</v>
      </c>
      <c r="C3746" s="9" t="s">
        <v>25</v>
      </c>
      <c r="D3746" s="9" t="s">
        <v>26</v>
      </c>
      <c r="E3746" s="10" t="n">
        <v>1789</v>
      </c>
      <c r="F3746" s="9" t="s">
        <v>27</v>
      </c>
      <c r="G3746" s="9" t="s">
        <v>27</v>
      </c>
      <c r="H3746" s="11" t="n">
        <v>24</v>
      </c>
      <c r="I3746" s="11" t="s">
        <v>316</v>
      </c>
      <c r="J3746" s="14" t="n">
        <v>12</v>
      </c>
      <c r="K3746" s="14"/>
      <c r="L3746" s="16"/>
      <c r="M3746" s="27" t="n">
        <f aca="false">J3746+(K3746/20)+(L3746/240)</f>
        <v>12</v>
      </c>
      <c r="N3746" s="17" t="s">
        <v>64</v>
      </c>
      <c r="O3746" s="11"/>
      <c r="P3746" s="28" t="n">
        <f aca="false">8690/100</f>
        <v>86.9</v>
      </c>
      <c r="Q3746" s="28" t="n">
        <v>1043</v>
      </c>
      <c r="R3746" s="28"/>
      <c r="S3746" s="28" t="n">
        <f aca="false">R3746*$M3746</f>
        <v>0</v>
      </c>
      <c r="T3746" s="28"/>
      <c r="U3746" s="28" t="n">
        <f aca="false">T3746*$M3746</f>
        <v>0</v>
      </c>
      <c r="V3746" s="28"/>
      <c r="W3746" s="28" t="n">
        <f aca="false">V3746*$M3746</f>
        <v>0</v>
      </c>
      <c r="X3746" s="28" t="n">
        <f aca="false">10000/100</f>
        <v>100</v>
      </c>
      <c r="Y3746" s="28" t="n">
        <v>1200</v>
      </c>
      <c r="Z3746" s="28"/>
      <c r="AA3746" s="28" t="n">
        <f aca="false">Z3746*$M3746</f>
        <v>0</v>
      </c>
      <c r="AB3746" s="28"/>
      <c r="AC3746" s="28" t="n">
        <f aca="false">AB3746*$M3746</f>
        <v>0</v>
      </c>
      <c r="AD3746" s="28"/>
      <c r="AE3746" s="28" t="n">
        <f aca="false">AD3746*$M3746</f>
        <v>0</v>
      </c>
      <c r="AF3746" s="28"/>
      <c r="AG3746" s="28" t="n">
        <f aca="false">AF3746*$M3746</f>
        <v>0</v>
      </c>
      <c r="AH3746" s="28"/>
      <c r="AI3746" s="28" t="n">
        <f aca="false">AH3746*$M3746</f>
        <v>0</v>
      </c>
      <c r="AJ3746" s="28"/>
      <c r="AK3746" s="28" t="n">
        <f aca="false">AJ3746*$M3746</f>
        <v>0</v>
      </c>
      <c r="AL3746" s="28"/>
      <c r="AM3746" s="28" t="n">
        <f aca="false">AL3746*$M3746</f>
        <v>0</v>
      </c>
      <c r="AN3746" s="28"/>
      <c r="AO3746" s="28" t="n">
        <f aca="false">AN3746*$M3746</f>
        <v>0</v>
      </c>
      <c r="AP3746" s="28"/>
      <c r="AQ3746" s="28" t="n">
        <f aca="false">AP3746*$M3746</f>
        <v>0</v>
      </c>
      <c r="AR3746" s="28"/>
      <c r="AS3746" s="28" t="n">
        <f aca="false">AR3746*$M3746</f>
        <v>0</v>
      </c>
      <c r="AT3746" s="28"/>
      <c r="AU3746" s="28" t="n">
        <f aca="false">AT3746*$M3746</f>
        <v>0</v>
      </c>
      <c r="AV3746" s="28"/>
      <c r="AW3746" s="28" t="n">
        <f aca="false">AV3746*$M3746</f>
        <v>0</v>
      </c>
      <c r="AX3746" s="28"/>
      <c r="AY3746" s="28" t="n">
        <f aca="false">AX3746*$M3746</f>
        <v>0</v>
      </c>
      <c r="AZ3746" s="30" t="n">
        <f aca="false">18690/100</f>
        <v>186.9</v>
      </c>
      <c r="BA3746" s="11" t="n">
        <v>2243</v>
      </c>
      <c r="BB3746" s="31" t="n">
        <f aca="false">SUM(Q3746,S3746,U3746,W3746,Y3746,AA3746,AC3746,AE3746,AG3746,AI3746,AK3746,AM3746,AO3746,AQ3746,AS3746,AU3746,AW3746,AY3746)</f>
        <v>2243</v>
      </c>
      <c r="BC3746" s="28" t="n">
        <f aca="false">BA3746-BB3746</f>
        <v>0</v>
      </c>
      <c r="BD3746" s="32" t="n">
        <f aca="false">SUM(P3746,R3746,T3746,V3746,X3746,Z3746,AB3746,AD3746,AF3746,AH3746,AJ3746,AL3746,AN3746,AP3746,AR3746,AT3746,AV3746,AX3746)</f>
        <v>186.9</v>
      </c>
      <c r="BE3746" s="33" t="n">
        <f aca="false">AZ3746-BD3746</f>
        <v>0</v>
      </c>
      <c r="BF3746" s="34" t="n">
        <f aca="false">BD3746*M3746</f>
        <v>2242.8</v>
      </c>
      <c r="BG3746" s="35" t="n">
        <f aca="false">BA3746-BF3746</f>
        <v>0.199999999999818</v>
      </c>
      <c r="BH3746" s="19" t="str">
        <f aca="false">IF(BG3746=0,"",IF(BG3746&lt;&gt;BA3746,"erreur de calcul",IF(BD3746&lt;&gt;0,"pas de prix",IF(M3746&lt;&gt; 0,"pas de quantité","pas de prix, ni de quantité"))))</f>
        <v>erreur de calcul</v>
      </c>
      <c r="BI3746" s="19"/>
    </row>
    <row r="3747" customFormat="false" ht="15" hidden="false" customHeight="false" outlineLevel="0" collapsed="false">
      <c r="A3747" s="0" t="n">
        <v>27</v>
      </c>
      <c r="B3747" s="8" t="s">
        <v>24</v>
      </c>
      <c r="C3747" s="9" t="s">
        <v>25</v>
      </c>
      <c r="D3747" s="9" t="s">
        <v>26</v>
      </c>
      <c r="E3747" s="10" t="n">
        <v>1789</v>
      </c>
      <c r="F3747" s="9" t="s">
        <v>27</v>
      </c>
      <c r="G3747" s="9" t="s">
        <v>27</v>
      </c>
      <c r="H3747" s="11" t="n">
        <v>24</v>
      </c>
      <c r="I3747" s="11" t="s">
        <v>317</v>
      </c>
      <c r="J3747" s="14" t="n">
        <v>2</v>
      </c>
      <c r="K3747" s="14"/>
      <c r="L3747" s="16"/>
      <c r="M3747" s="27" t="n">
        <f aca="false">J3747+(K3747/20)+(L3747/240)</f>
        <v>2</v>
      </c>
      <c r="N3747" s="17" t="s">
        <v>64</v>
      </c>
      <c r="O3747" s="11"/>
      <c r="P3747" s="28"/>
      <c r="Q3747" s="28" t="n">
        <f aca="false">P3747*$M3747</f>
        <v>0</v>
      </c>
      <c r="R3747" s="28"/>
      <c r="S3747" s="28" t="n">
        <f aca="false">R3747*$M3747</f>
        <v>0</v>
      </c>
      <c r="T3747" s="28"/>
      <c r="U3747" s="28" t="n">
        <f aca="false">T3747*$M3747</f>
        <v>0</v>
      </c>
      <c r="V3747" s="28"/>
      <c r="W3747" s="28" t="n">
        <f aca="false">V3747*$M3747</f>
        <v>0</v>
      </c>
      <c r="X3747" s="28"/>
      <c r="Y3747" s="28" t="n">
        <f aca="false">X3747*$M3747</f>
        <v>0</v>
      </c>
      <c r="Z3747" s="28"/>
      <c r="AA3747" s="28" t="n">
        <f aca="false">Z3747*$M3747</f>
        <v>0</v>
      </c>
      <c r="AB3747" s="28" t="n">
        <f aca="false">15417/100</f>
        <v>154.17</v>
      </c>
      <c r="AC3747" s="28" t="n">
        <v>308</v>
      </c>
      <c r="AD3747" s="28"/>
      <c r="AE3747" s="28" t="n">
        <f aca="false">AD3747*$M3747</f>
        <v>0</v>
      </c>
      <c r="AF3747" s="28"/>
      <c r="AG3747" s="28" t="n">
        <f aca="false">AF3747*$M3747</f>
        <v>0</v>
      </c>
      <c r="AH3747" s="28"/>
      <c r="AI3747" s="28" t="n">
        <f aca="false">AH3747*$M3747</f>
        <v>0</v>
      </c>
      <c r="AJ3747" s="28"/>
      <c r="AK3747" s="28" t="n">
        <f aca="false">AJ3747*$M3747</f>
        <v>0</v>
      </c>
      <c r="AL3747" s="28"/>
      <c r="AM3747" s="28" t="n">
        <f aca="false">AL3747*$M3747</f>
        <v>0</v>
      </c>
      <c r="AN3747" s="28"/>
      <c r="AO3747" s="28" t="n">
        <f aca="false">AN3747*$M3747</f>
        <v>0</v>
      </c>
      <c r="AP3747" s="28"/>
      <c r="AQ3747" s="28" t="n">
        <f aca="false">AP3747*$M3747</f>
        <v>0</v>
      </c>
      <c r="AR3747" s="28"/>
      <c r="AS3747" s="28" t="n">
        <f aca="false">AR3747*$M3747</f>
        <v>0</v>
      </c>
      <c r="AT3747" s="28"/>
      <c r="AU3747" s="28" t="n">
        <f aca="false">AT3747*$M3747</f>
        <v>0</v>
      </c>
      <c r="AV3747" s="28"/>
      <c r="AW3747" s="28" t="n">
        <f aca="false">AV3747*$M3747</f>
        <v>0</v>
      </c>
      <c r="AX3747" s="28"/>
      <c r="AY3747" s="28" t="n">
        <f aca="false">AX3747*$M3747</f>
        <v>0</v>
      </c>
      <c r="AZ3747" s="30" t="n">
        <f aca="false">15417/100</f>
        <v>154.17</v>
      </c>
      <c r="BA3747" s="11" t="n">
        <v>308</v>
      </c>
      <c r="BB3747" s="31" t="n">
        <f aca="false">SUM(Q3747,S3747,U3747,W3747,Y3747,AA3747,AC3747,AE3747,AG3747,AI3747,AK3747,AM3747,AO3747,AQ3747,AS3747,AU3747,AW3747,AY3747)</f>
        <v>308</v>
      </c>
      <c r="BC3747" s="28" t="n">
        <f aca="false">BA3747-BB3747</f>
        <v>0</v>
      </c>
      <c r="BD3747" s="32" t="n">
        <f aca="false">SUM(P3747,R3747,T3747,V3747,X3747,Z3747,AB3747,AD3747,AF3747,AH3747,AJ3747,AL3747,AN3747,AP3747,AR3747,AT3747,AV3747,AX3747)</f>
        <v>154.17</v>
      </c>
      <c r="BE3747" s="33" t="n">
        <f aca="false">AZ3747-BD3747</f>
        <v>0</v>
      </c>
      <c r="BF3747" s="34" t="n">
        <f aca="false">BD3747*M3747</f>
        <v>308.34</v>
      </c>
      <c r="BG3747" s="35" t="n">
        <f aca="false">BA3747-BF3747</f>
        <v>-0.339999999999975</v>
      </c>
      <c r="BH3747" s="19" t="str">
        <f aca="false">IF(BG3747=0,"",IF(BG3747&lt;&gt;BA3747,"erreur de calcul",IF(BD3747&lt;&gt;0,"pas de prix",IF(M3747&lt;&gt; 0,"pas de quantité","pas de prix, ni de quantité"))))</f>
        <v>erreur de calcul</v>
      </c>
      <c r="BI3747" s="19"/>
    </row>
    <row r="3748" customFormat="false" ht="15" hidden="false" customHeight="false" outlineLevel="0" collapsed="false">
      <c r="A3748" s="0" t="n">
        <v>28</v>
      </c>
      <c r="B3748" s="8" t="s">
        <v>24</v>
      </c>
      <c r="C3748" s="9" t="s">
        <v>25</v>
      </c>
      <c r="D3748" s="9" t="s">
        <v>26</v>
      </c>
      <c r="E3748" s="10" t="n">
        <v>1789</v>
      </c>
      <c r="F3748" s="9" t="s">
        <v>27</v>
      </c>
      <c r="G3748" s="9" t="s">
        <v>27</v>
      </c>
      <c r="H3748" s="11" t="n">
        <v>24</v>
      </c>
      <c r="I3748" s="11" t="s">
        <v>318</v>
      </c>
      <c r="J3748" s="14" t="n">
        <v>30</v>
      </c>
      <c r="K3748" s="14"/>
      <c r="L3748" s="16"/>
      <c r="M3748" s="27" t="n">
        <f aca="false">J3748+(K3748/20)+(L3748/240)</f>
        <v>30</v>
      </c>
      <c r="N3748" s="17" t="s">
        <v>64</v>
      </c>
      <c r="O3748" s="11"/>
      <c r="P3748" s="28" t="n">
        <f aca="false">55459/100</f>
        <v>554.59</v>
      </c>
      <c r="Q3748" s="28" t="n">
        <v>16638</v>
      </c>
      <c r="R3748" s="28"/>
      <c r="S3748" s="28" t="n">
        <f aca="false">R3748*$M3748</f>
        <v>0</v>
      </c>
      <c r="T3748" s="28"/>
      <c r="U3748" s="28" t="n">
        <f aca="false">T3748*$M3748</f>
        <v>0</v>
      </c>
      <c r="V3748" s="28"/>
      <c r="W3748" s="28" t="n">
        <f aca="false">V3748*$M3748</f>
        <v>0</v>
      </c>
      <c r="X3748" s="28"/>
      <c r="Y3748" s="28" t="n">
        <f aca="false">X3748*$M3748</f>
        <v>0</v>
      </c>
      <c r="Z3748" s="28"/>
      <c r="AA3748" s="28" t="n">
        <f aca="false">Z3748*$M3748</f>
        <v>0</v>
      </c>
      <c r="AB3748" s="28"/>
      <c r="AC3748" s="28" t="n">
        <f aca="false">AB3748*$M3748</f>
        <v>0</v>
      </c>
      <c r="AD3748" s="28"/>
      <c r="AE3748" s="28" t="n">
        <f aca="false">AD3748*$M3748</f>
        <v>0</v>
      </c>
      <c r="AF3748" s="28"/>
      <c r="AG3748" s="28" t="n">
        <f aca="false">AF3748*$M3748</f>
        <v>0</v>
      </c>
      <c r="AH3748" s="28"/>
      <c r="AI3748" s="28" t="n">
        <f aca="false">AH3748*$M3748</f>
        <v>0</v>
      </c>
      <c r="AJ3748" s="28"/>
      <c r="AK3748" s="28" t="n">
        <f aca="false">AJ3748*$M3748</f>
        <v>0</v>
      </c>
      <c r="AL3748" s="28"/>
      <c r="AM3748" s="28" t="n">
        <f aca="false">AL3748*$M3748</f>
        <v>0</v>
      </c>
      <c r="AN3748" s="28"/>
      <c r="AO3748" s="28" t="n">
        <f aca="false">AN3748*$M3748</f>
        <v>0</v>
      </c>
      <c r="AP3748" s="28"/>
      <c r="AQ3748" s="28" t="n">
        <f aca="false">AP3748*$M3748</f>
        <v>0</v>
      </c>
      <c r="AR3748" s="28"/>
      <c r="AS3748" s="28" t="n">
        <f aca="false">AR3748*$M3748</f>
        <v>0</v>
      </c>
      <c r="AT3748" s="28"/>
      <c r="AU3748" s="28" t="n">
        <f aca="false">AT3748*$M3748</f>
        <v>0</v>
      </c>
      <c r="AV3748" s="28"/>
      <c r="AW3748" s="28" t="n">
        <f aca="false">AV3748*$M3748</f>
        <v>0</v>
      </c>
      <c r="AX3748" s="28"/>
      <c r="AY3748" s="28" t="n">
        <f aca="false">AX3748*$M3748</f>
        <v>0</v>
      </c>
      <c r="AZ3748" s="30" t="n">
        <f aca="false">55459/100</f>
        <v>554.59</v>
      </c>
      <c r="BA3748" s="11" t="n">
        <v>16638</v>
      </c>
      <c r="BB3748" s="31" t="n">
        <f aca="false">SUM(Q3748,S3748,U3748,W3748,Y3748,AA3748,AC3748,AE3748,AG3748,AI3748,AK3748,AM3748,AO3748,AQ3748,AS3748,AU3748,AW3748,AY3748)</f>
        <v>16638</v>
      </c>
      <c r="BC3748" s="28" t="n">
        <f aca="false">BA3748-BB3748</f>
        <v>0</v>
      </c>
      <c r="BD3748" s="32" t="n">
        <f aca="false">SUM(P3748,R3748,T3748,V3748,X3748,Z3748,AB3748,AD3748,AF3748,AH3748,AJ3748,AL3748,AN3748,AP3748,AR3748,AT3748,AV3748,AX3748)</f>
        <v>554.59</v>
      </c>
      <c r="BE3748" s="33" t="n">
        <f aca="false">AZ3748-BD3748</f>
        <v>0</v>
      </c>
      <c r="BF3748" s="34" t="n">
        <f aca="false">BD3748*M3748</f>
        <v>16637.7</v>
      </c>
      <c r="BG3748" s="35" t="n">
        <f aca="false">BA3748-BF3748</f>
        <v>0.299999999999272</v>
      </c>
      <c r="BH3748" s="19" t="str">
        <f aca="false">IF(BG3748=0,"",IF(BG3748&lt;&gt;BA3748,"erreur de calcul",IF(BD3748&lt;&gt;0,"pas de prix",IF(M3748&lt;&gt; 0,"pas de quantité","pas de prix, ni de quantité"))))</f>
        <v>erreur de calcul</v>
      </c>
      <c r="BI3748" s="19"/>
    </row>
    <row r="3749" customFormat="false" ht="15" hidden="false" customHeight="false" outlineLevel="0" collapsed="false">
      <c r="A3749" s="0" t="n">
        <v>29</v>
      </c>
      <c r="B3749" s="8" t="s">
        <v>24</v>
      </c>
      <c r="C3749" s="9" t="s">
        <v>25</v>
      </c>
      <c r="D3749" s="9" t="s">
        <v>26</v>
      </c>
      <c r="E3749" s="10" t="n">
        <v>1789</v>
      </c>
      <c r="F3749" s="9" t="s">
        <v>27</v>
      </c>
      <c r="G3749" s="9" t="s">
        <v>27</v>
      </c>
      <c r="H3749" s="11" t="n">
        <v>24</v>
      </c>
      <c r="I3749" s="11" t="s">
        <v>319</v>
      </c>
      <c r="J3749" s="14" t="n">
        <v>10</v>
      </c>
      <c r="K3749" s="14"/>
      <c r="L3749" s="16"/>
      <c r="M3749" s="27" t="n">
        <f aca="false">J3749+(K3749/20)+(L3749/240)</f>
        <v>10</v>
      </c>
      <c r="N3749" s="17" t="s">
        <v>64</v>
      </c>
      <c r="O3749" s="11"/>
      <c r="P3749" s="28" t="n">
        <f aca="false">48819/100</f>
        <v>488.19</v>
      </c>
      <c r="Q3749" s="28" t="n">
        <v>4882</v>
      </c>
      <c r="R3749" s="28"/>
      <c r="S3749" s="28" t="n">
        <f aca="false">R3749*$M3749</f>
        <v>0</v>
      </c>
      <c r="T3749" s="28" t="n">
        <f aca="false">2500/100</f>
        <v>25</v>
      </c>
      <c r="U3749" s="28" t="n">
        <v>250</v>
      </c>
      <c r="V3749" s="28"/>
      <c r="W3749" s="28" t="n">
        <f aca="false">V3749*$M3749</f>
        <v>0</v>
      </c>
      <c r="X3749" s="28" t="n">
        <f aca="false">6667/100</f>
        <v>66.67</v>
      </c>
      <c r="Y3749" s="28" t="n">
        <v>667</v>
      </c>
      <c r="Z3749" s="28"/>
      <c r="AA3749" s="28" t="n">
        <f aca="false">Z3749*$M3749</f>
        <v>0</v>
      </c>
      <c r="AB3749" s="28"/>
      <c r="AC3749" s="28" t="n">
        <f aca="false">AB3749*$M3749</f>
        <v>0</v>
      </c>
      <c r="AD3749" s="28"/>
      <c r="AE3749" s="28" t="n">
        <f aca="false">AD3749*$M3749</f>
        <v>0</v>
      </c>
      <c r="AF3749" s="28"/>
      <c r="AG3749" s="28" t="n">
        <f aca="false">AF3749*$M3749</f>
        <v>0</v>
      </c>
      <c r="AH3749" s="28"/>
      <c r="AI3749" s="28" t="n">
        <f aca="false">AH3749*$M3749</f>
        <v>0</v>
      </c>
      <c r="AJ3749" s="28"/>
      <c r="AK3749" s="28" t="n">
        <f aca="false">AJ3749*$M3749</f>
        <v>0</v>
      </c>
      <c r="AL3749" s="28"/>
      <c r="AM3749" s="28" t="n">
        <f aca="false">AL3749*$M3749</f>
        <v>0</v>
      </c>
      <c r="AN3749" s="28"/>
      <c r="AO3749" s="28" t="n">
        <f aca="false">AN3749*$M3749</f>
        <v>0</v>
      </c>
      <c r="AP3749" s="28"/>
      <c r="AQ3749" s="28" t="n">
        <f aca="false">AP3749*$M3749</f>
        <v>0</v>
      </c>
      <c r="AR3749" s="28"/>
      <c r="AS3749" s="28" t="n">
        <f aca="false">AR3749*$M3749</f>
        <v>0</v>
      </c>
      <c r="AT3749" s="28"/>
      <c r="AU3749" s="28" t="n">
        <f aca="false">AT3749*$M3749</f>
        <v>0</v>
      </c>
      <c r="AV3749" s="28"/>
      <c r="AW3749" s="28" t="n">
        <f aca="false">AV3749*$M3749</f>
        <v>0</v>
      </c>
      <c r="AX3749" s="28"/>
      <c r="AY3749" s="28" t="n">
        <f aca="false">AX3749*$M3749</f>
        <v>0</v>
      </c>
      <c r="AZ3749" s="30" t="n">
        <f aca="false">57986/100</f>
        <v>579.86</v>
      </c>
      <c r="BA3749" s="11" t="n">
        <v>5799</v>
      </c>
      <c r="BB3749" s="31" t="n">
        <f aca="false">SUM(Q3749,S3749,U3749,W3749,Y3749,AA3749,AC3749,AE3749,AG3749,AI3749,AK3749,AM3749,AO3749,AQ3749,AS3749,AU3749,AW3749,AY3749)</f>
        <v>5799</v>
      </c>
      <c r="BC3749" s="28" t="n">
        <f aca="false">BA3749-BB3749</f>
        <v>0</v>
      </c>
      <c r="BD3749" s="32" t="n">
        <f aca="false">SUM(P3749,R3749,T3749,V3749,X3749,Z3749,AB3749,AD3749,AF3749,AH3749,AJ3749,AL3749,AN3749,AP3749,AR3749,AT3749,AV3749,AX3749)</f>
        <v>579.86</v>
      </c>
      <c r="BE3749" s="33" t="n">
        <f aca="false">AZ3749-BD3749</f>
        <v>0</v>
      </c>
      <c r="BF3749" s="34" t="n">
        <f aca="false">BD3749*M3749</f>
        <v>5798.6</v>
      </c>
      <c r="BG3749" s="35" t="n">
        <f aca="false">BA3749-BF3749</f>
        <v>0.399999999999636</v>
      </c>
      <c r="BH3749" s="19" t="str">
        <f aca="false">IF(BG3749=0,"",IF(BG3749&lt;&gt;BA3749,"erreur de calcul",IF(BD3749&lt;&gt;0,"pas de prix",IF(M3749&lt;&gt; 0,"pas de quantité","pas de prix, ni de quantité"))))</f>
        <v>erreur de calcul</v>
      </c>
      <c r="BI3749" s="19"/>
    </row>
    <row r="3750" customFormat="false" ht="15" hidden="false" customHeight="false" outlineLevel="0" collapsed="false">
      <c r="A3750" s="0" t="n">
        <v>30</v>
      </c>
      <c r="B3750" s="8" t="s">
        <v>24</v>
      </c>
      <c r="C3750" s="9" t="s">
        <v>25</v>
      </c>
      <c r="D3750" s="9" t="s">
        <v>26</v>
      </c>
      <c r="E3750" s="10" t="n">
        <v>1789</v>
      </c>
      <c r="F3750" s="9" t="s">
        <v>27</v>
      </c>
      <c r="G3750" s="9" t="s">
        <v>27</v>
      </c>
      <c r="H3750" s="11" t="n">
        <v>24</v>
      </c>
      <c r="I3750" s="11" t="s">
        <v>320</v>
      </c>
      <c r="J3750" s="14" t="n">
        <v>90</v>
      </c>
      <c r="K3750" s="14"/>
      <c r="L3750" s="16"/>
      <c r="M3750" s="27" t="n">
        <f aca="false">J3750+(K3750/20)+(L3750/240)</f>
        <v>90</v>
      </c>
      <c r="N3750" s="17" t="s">
        <v>64</v>
      </c>
      <c r="O3750" s="11"/>
      <c r="P3750" s="28"/>
      <c r="Q3750" s="28" t="n">
        <f aca="false">P3750*$M3750</f>
        <v>0</v>
      </c>
      <c r="R3750" s="28"/>
      <c r="S3750" s="28" t="n">
        <f aca="false">R3750*$M3750</f>
        <v>0</v>
      </c>
      <c r="T3750" s="28"/>
      <c r="U3750" s="28" t="n">
        <f aca="false">T3750*$M3750</f>
        <v>0</v>
      </c>
      <c r="V3750" s="28"/>
      <c r="W3750" s="28" t="n">
        <f aca="false">V3750*$M3750</f>
        <v>0</v>
      </c>
      <c r="X3750" s="28"/>
      <c r="Y3750" s="28" t="n">
        <f aca="false">X3750*$M3750</f>
        <v>0</v>
      </c>
      <c r="Z3750" s="28"/>
      <c r="AA3750" s="28" t="n">
        <f aca="false">Z3750*$M3750</f>
        <v>0</v>
      </c>
      <c r="AB3750" s="28"/>
      <c r="AC3750" s="28" t="n">
        <f aca="false">AB3750*$M3750</f>
        <v>0</v>
      </c>
      <c r="AD3750" s="28"/>
      <c r="AE3750" s="28" t="n">
        <f aca="false">AD3750*$M3750</f>
        <v>0</v>
      </c>
      <c r="AF3750" s="28"/>
      <c r="AG3750" s="28" t="n">
        <f aca="false">AF3750*$M3750</f>
        <v>0</v>
      </c>
      <c r="AH3750" s="28"/>
      <c r="AI3750" s="28" t="n">
        <f aca="false">AH3750*$M3750</f>
        <v>0</v>
      </c>
      <c r="AJ3750" s="28"/>
      <c r="AK3750" s="28" t="n">
        <f aca="false">AJ3750*$M3750</f>
        <v>0</v>
      </c>
      <c r="AL3750" s="28" t="n">
        <f aca="false">2950/100</f>
        <v>29.5</v>
      </c>
      <c r="AM3750" s="28" t="n">
        <v>2655</v>
      </c>
      <c r="AN3750" s="28"/>
      <c r="AO3750" s="28" t="n">
        <f aca="false">AN3750*$M3750</f>
        <v>0</v>
      </c>
      <c r="AP3750" s="28"/>
      <c r="AQ3750" s="28" t="n">
        <f aca="false">AP3750*$M3750</f>
        <v>0</v>
      </c>
      <c r="AR3750" s="28"/>
      <c r="AS3750" s="28" t="n">
        <f aca="false">AR3750*$M3750</f>
        <v>0</v>
      </c>
      <c r="AT3750" s="28"/>
      <c r="AU3750" s="28" t="n">
        <f aca="false">AT3750*$M3750</f>
        <v>0</v>
      </c>
      <c r="AV3750" s="28"/>
      <c r="AW3750" s="28" t="n">
        <f aca="false">AV3750*$M3750</f>
        <v>0</v>
      </c>
      <c r="AX3750" s="28"/>
      <c r="AY3750" s="28" t="n">
        <f aca="false">AX3750*$M3750</f>
        <v>0</v>
      </c>
      <c r="AZ3750" s="30" t="n">
        <f aca="false">2950/100</f>
        <v>29.5</v>
      </c>
      <c r="BA3750" s="11" t="n">
        <v>2655</v>
      </c>
      <c r="BB3750" s="31" t="n">
        <f aca="false">SUM(Q3750,S3750,U3750,W3750,Y3750,AA3750,AC3750,AE3750,AG3750,AI3750,AK3750,AM3750,AO3750,AQ3750,AS3750,AU3750,AW3750,AY3750)</f>
        <v>2655</v>
      </c>
      <c r="BC3750" s="28" t="n">
        <f aca="false">BA3750-BB3750</f>
        <v>0</v>
      </c>
      <c r="BD3750" s="32" t="n">
        <f aca="false">SUM(P3750,R3750,T3750,V3750,X3750,Z3750,AB3750,AD3750,AF3750,AH3750,AJ3750,AL3750,AN3750,AP3750,AR3750,AT3750,AV3750,AX3750)</f>
        <v>29.5</v>
      </c>
      <c r="BE3750" s="33" t="n">
        <f aca="false">AZ3750-BD3750</f>
        <v>0</v>
      </c>
      <c r="BF3750" s="34" t="n">
        <f aca="false">BD3750*M3750</f>
        <v>2655</v>
      </c>
      <c r="BG3750" s="35" t="n">
        <f aca="false">BA3750-BF3750</f>
        <v>0</v>
      </c>
      <c r="BH3750" s="19" t="str">
        <f aca="false">IF(BG3750=0,"",IF(BG3750&lt;&gt;BA3750,"erreur de calcul",IF(BD3750&lt;&gt;0,"pas de prix",IF(M3750&lt;&gt; 0,"pas de quantité","pas de prix, ni de quantité"))))</f>
        <v/>
      </c>
      <c r="BI3750" s="19"/>
    </row>
    <row r="3751" customFormat="false" ht="15" hidden="false" customHeight="false" outlineLevel="0" collapsed="false">
      <c r="A3751" s="0" t="n">
        <v>31</v>
      </c>
      <c r="B3751" s="8" t="s">
        <v>24</v>
      </c>
      <c r="C3751" s="9" t="s">
        <v>25</v>
      </c>
      <c r="D3751" s="9" t="s">
        <v>26</v>
      </c>
      <c r="E3751" s="10" t="n">
        <v>1789</v>
      </c>
      <c r="F3751" s="9" t="s">
        <v>27</v>
      </c>
      <c r="G3751" s="9" t="s">
        <v>27</v>
      </c>
      <c r="H3751" s="11" t="n">
        <v>24</v>
      </c>
      <c r="I3751" s="11" t="s">
        <v>321</v>
      </c>
      <c r="J3751" s="14" t="n">
        <v>50</v>
      </c>
      <c r="K3751" s="14"/>
      <c r="L3751" s="16"/>
      <c r="M3751" s="27" t="n">
        <f aca="false">J3751+(K3751/20)+(L3751/240)</f>
        <v>50</v>
      </c>
      <c r="N3751" s="17" t="s">
        <v>64</v>
      </c>
      <c r="O3751" s="11" t="s">
        <v>277</v>
      </c>
      <c r="P3751" s="28"/>
      <c r="Q3751" s="28" t="n">
        <f aca="false">P3751*$M3751</f>
        <v>0</v>
      </c>
      <c r="R3751" s="28"/>
      <c r="S3751" s="28" t="n">
        <f aca="false">R3751*$M3751</f>
        <v>0</v>
      </c>
      <c r="T3751" s="28" t="n">
        <f aca="false">2*288*0.02+153*0.02</f>
        <v>14.58</v>
      </c>
      <c r="U3751" s="28" t="n">
        <v>729</v>
      </c>
      <c r="V3751" s="28" t="n">
        <f aca="false">2*288*0.02+118*0.02</f>
        <v>13.88</v>
      </c>
      <c r="W3751" s="28" t="n">
        <v>694</v>
      </c>
      <c r="X3751" s="28" t="n">
        <f aca="false">25*288*0.02+103*0.02</f>
        <v>146.06</v>
      </c>
      <c r="Y3751" s="28" t="n">
        <v>7303</v>
      </c>
      <c r="Z3751" s="28"/>
      <c r="AA3751" s="28" t="n">
        <f aca="false">Z3751*$M3751</f>
        <v>0</v>
      </c>
      <c r="AB3751" s="28" t="n">
        <f aca="false">1*288*0.02+74*0.02</f>
        <v>7.24</v>
      </c>
      <c r="AC3751" s="28" t="n">
        <v>362</v>
      </c>
      <c r="AD3751" s="28" t="n">
        <f aca="false">276*0.02</f>
        <v>5.52</v>
      </c>
      <c r="AE3751" s="28" t="n">
        <v>276</v>
      </c>
      <c r="AF3751" s="28"/>
      <c r="AG3751" s="28" t="n">
        <f aca="false">AF3751*$M3751</f>
        <v>0</v>
      </c>
      <c r="AH3751" s="28" t="n">
        <f aca="false">1*288*0.02+75*0.02</f>
        <v>7.26</v>
      </c>
      <c r="AI3751" s="28" t="n">
        <v>363</v>
      </c>
      <c r="AJ3751" s="28" t="n">
        <f aca="false">2*288*0.02+176*0.02</f>
        <v>15.04</v>
      </c>
      <c r="AK3751" s="28" t="n">
        <v>752</v>
      </c>
      <c r="AL3751" s="28"/>
      <c r="AM3751" s="28" t="n">
        <f aca="false">AL3751*$M3751</f>
        <v>0</v>
      </c>
      <c r="AN3751" s="28"/>
      <c r="AO3751" s="28" t="n">
        <f aca="false">AN3751*$M3751</f>
        <v>0</v>
      </c>
      <c r="AP3751" s="28"/>
      <c r="AQ3751" s="28" t="n">
        <f aca="false">AP3751*$M3751</f>
        <v>0</v>
      </c>
      <c r="AR3751" s="28"/>
      <c r="AS3751" s="28" t="n">
        <f aca="false">AR3751*$M3751</f>
        <v>0</v>
      </c>
      <c r="AT3751" s="28"/>
      <c r="AU3751" s="28" t="n">
        <f aca="false">AT3751*$M3751</f>
        <v>0</v>
      </c>
      <c r="AV3751" s="28"/>
      <c r="AW3751" s="28" t="n">
        <f aca="false">AV3751*$M3751</f>
        <v>0</v>
      </c>
      <c r="AX3751" s="28"/>
      <c r="AY3751" s="28" t="n">
        <f aca="false">AX3751*$M3751</f>
        <v>0</v>
      </c>
      <c r="AZ3751" s="30" t="n">
        <f aca="false">36*288*0.02+111*0.02</f>
        <v>209.58</v>
      </c>
      <c r="BA3751" s="11" t="n">
        <v>10479</v>
      </c>
      <c r="BB3751" s="31" t="n">
        <f aca="false">SUM(Q3751,S3751,U3751,W3751,Y3751,AA3751,AC3751,AE3751,AG3751,AI3751,AK3751,AM3751,AO3751,AQ3751,AS3751,AU3751,AW3751,AY3751)</f>
        <v>10479</v>
      </c>
      <c r="BC3751" s="28" t="n">
        <f aca="false">BA3751-BB3751</f>
        <v>0</v>
      </c>
      <c r="BD3751" s="32" t="n">
        <f aca="false">SUM(P3751,R3751,T3751,V3751,X3751,Z3751,AB3751,AD3751,AF3751,AH3751,AJ3751,AL3751,AN3751,AP3751,AR3751,AT3751,AV3751,AX3751)</f>
        <v>209.58</v>
      </c>
      <c r="BE3751" s="33" t="n">
        <f aca="false">AZ3751-BD3751</f>
        <v>0</v>
      </c>
      <c r="BF3751" s="34" t="n">
        <f aca="false">BD3751*M3751</f>
        <v>10479</v>
      </c>
      <c r="BG3751" s="35" t="n">
        <f aca="false">BA3751-BF3751</f>
        <v>0</v>
      </c>
      <c r="BH3751" s="19" t="str">
        <f aca="false">IF(BG3751=0,"",IF(BG3751&lt;&gt;BA3751,"erreur de calcul",IF(BD3751&lt;&gt;0,"pas de prix",IF(M3751&lt;&gt; 0,"pas de quantité","pas de prix, ni de quantité"))))</f>
        <v/>
      </c>
      <c r="BI3751" s="19"/>
    </row>
    <row r="3752" customFormat="false" ht="15" hidden="false" customHeight="false" outlineLevel="0" collapsed="false">
      <c r="A3752" s="0" t="n">
        <v>32</v>
      </c>
      <c r="B3752" s="8" t="s">
        <v>24</v>
      </c>
      <c r="C3752" s="9" t="s">
        <v>25</v>
      </c>
      <c r="D3752" s="9" t="s">
        <v>26</v>
      </c>
      <c r="E3752" s="10" t="n">
        <v>1789</v>
      </c>
      <c r="F3752" s="9" t="s">
        <v>27</v>
      </c>
      <c r="G3752" s="9" t="s">
        <v>27</v>
      </c>
      <c r="H3752" s="11" t="n">
        <v>24</v>
      </c>
      <c r="I3752" s="11" t="s">
        <v>322</v>
      </c>
      <c r="J3752" s="14" t="n">
        <v>70</v>
      </c>
      <c r="K3752" s="14"/>
      <c r="L3752" s="16"/>
      <c r="M3752" s="27" t="n">
        <f aca="false">J3752+(K3752/20)+(L3752/240)</f>
        <v>70</v>
      </c>
      <c r="N3752" s="17" t="s">
        <v>64</v>
      </c>
      <c r="O3752" s="11"/>
      <c r="P3752" s="28"/>
      <c r="Q3752" s="28" t="n">
        <f aca="false">P3752*$M3752</f>
        <v>0</v>
      </c>
      <c r="R3752" s="28"/>
      <c r="S3752" s="28" t="n">
        <f aca="false">R3752*$M3752</f>
        <v>0</v>
      </c>
      <c r="T3752" s="28"/>
      <c r="U3752" s="28" t="n">
        <f aca="false">T3752*$M3752</f>
        <v>0</v>
      </c>
      <c r="V3752" s="28"/>
      <c r="W3752" s="28" t="n">
        <f aca="false">V3752*$M3752</f>
        <v>0</v>
      </c>
      <c r="X3752" s="28" t="n">
        <f aca="false">2*288*0.02+217*0.02</f>
        <v>15.86</v>
      </c>
      <c r="Y3752" s="28" t="n">
        <v>1111</v>
      </c>
      <c r="Z3752" s="28"/>
      <c r="AA3752" s="28" t="n">
        <f aca="false">Z3752*$M3752</f>
        <v>0</v>
      </c>
      <c r="AB3752" s="28"/>
      <c r="AC3752" s="28" t="n">
        <f aca="false">AB3752*$M3752</f>
        <v>0</v>
      </c>
      <c r="AD3752" s="28"/>
      <c r="AE3752" s="28" t="n">
        <f aca="false">AD3752*$M3752</f>
        <v>0</v>
      </c>
      <c r="AF3752" s="28"/>
      <c r="AG3752" s="28" t="n">
        <f aca="false">AF3752*$M3752</f>
        <v>0</v>
      </c>
      <c r="AH3752" s="28"/>
      <c r="AI3752" s="28" t="n">
        <f aca="false">AH3752*$M3752</f>
        <v>0</v>
      </c>
      <c r="AJ3752" s="28"/>
      <c r="AK3752" s="28" t="n">
        <f aca="false">AJ3752*$M3752</f>
        <v>0</v>
      </c>
      <c r="AL3752" s="28"/>
      <c r="AM3752" s="28" t="n">
        <f aca="false">AL3752*$M3752</f>
        <v>0</v>
      </c>
      <c r="AN3752" s="28"/>
      <c r="AO3752" s="28" t="n">
        <f aca="false">AN3752*$M3752</f>
        <v>0</v>
      </c>
      <c r="AP3752" s="28"/>
      <c r="AQ3752" s="28" t="n">
        <f aca="false">AP3752*$M3752</f>
        <v>0</v>
      </c>
      <c r="AR3752" s="28"/>
      <c r="AS3752" s="28" t="n">
        <f aca="false">AR3752*$M3752</f>
        <v>0</v>
      </c>
      <c r="AT3752" s="28"/>
      <c r="AU3752" s="28" t="n">
        <f aca="false">AT3752*$M3752</f>
        <v>0</v>
      </c>
      <c r="AV3752" s="28"/>
      <c r="AW3752" s="28" t="n">
        <f aca="false">AV3752*$M3752</f>
        <v>0</v>
      </c>
      <c r="AX3752" s="28"/>
      <c r="AY3752" s="28" t="n">
        <f aca="false">AX3752*$M3752</f>
        <v>0</v>
      </c>
      <c r="AZ3752" s="30" t="n">
        <f aca="false">2*288*0.02+217*0.02</f>
        <v>15.86</v>
      </c>
      <c r="BA3752" s="11" t="n">
        <v>1111</v>
      </c>
      <c r="BB3752" s="31" t="n">
        <f aca="false">SUM(Q3752,S3752,U3752,W3752,Y3752,AA3752,AC3752,AE3752,AG3752,AI3752,AK3752,AM3752,AO3752,AQ3752,AS3752,AU3752,AW3752,AY3752)</f>
        <v>1111</v>
      </c>
      <c r="BC3752" s="28" t="n">
        <f aca="false">BA3752-BB3752</f>
        <v>0</v>
      </c>
      <c r="BD3752" s="32" t="n">
        <f aca="false">SUM(P3752,R3752,T3752,V3752,X3752,Z3752,AB3752,AD3752,AF3752,AH3752,AJ3752,AL3752,AN3752,AP3752,AR3752,AT3752,AV3752,AX3752)</f>
        <v>15.86</v>
      </c>
      <c r="BE3752" s="33" t="n">
        <f aca="false">AZ3752-BD3752</f>
        <v>0</v>
      </c>
      <c r="BF3752" s="34" t="n">
        <f aca="false">BD3752*M3752</f>
        <v>1110.2</v>
      </c>
      <c r="BG3752" s="35" t="n">
        <f aca="false">BA3752-BF3752</f>
        <v>0.799999999999955</v>
      </c>
      <c r="BH3752" s="19" t="str">
        <f aca="false">IF(BG3752=0,"",IF(BG3752&lt;&gt;BA3752,"erreur de calcul",IF(BD3752&lt;&gt;0,"pas de prix",IF(M3752&lt;&gt; 0,"pas de quantité","pas de prix, ni de quantité"))))</f>
        <v>erreur de calcul</v>
      </c>
      <c r="BI3752" s="19"/>
    </row>
    <row r="3753" customFormat="false" ht="15" hidden="false" customHeight="false" outlineLevel="0" collapsed="false">
      <c r="A3753" s="0" t="n">
        <v>33</v>
      </c>
      <c r="B3753" s="8" t="s">
        <v>24</v>
      </c>
      <c r="C3753" s="9" t="s">
        <v>25</v>
      </c>
      <c r="D3753" s="9" t="s">
        <v>26</v>
      </c>
      <c r="E3753" s="10" t="n">
        <v>1789</v>
      </c>
      <c r="F3753" s="9" t="s">
        <v>27</v>
      </c>
      <c r="G3753" s="9" t="s">
        <v>27</v>
      </c>
      <c r="H3753" s="11" t="n">
        <v>24</v>
      </c>
      <c r="I3753" s="11" t="s">
        <v>323</v>
      </c>
      <c r="J3753" s="14"/>
      <c r="K3753" s="14" t="n">
        <v>40</v>
      </c>
      <c r="L3753" s="16"/>
      <c r="M3753" s="27" t="n">
        <f aca="false">J3753+(K3753/20)+(L3753/240)</f>
        <v>2</v>
      </c>
      <c r="N3753" s="17" t="s">
        <v>66</v>
      </c>
      <c r="O3753" s="11"/>
      <c r="P3753" s="28" t="n">
        <v>780</v>
      </c>
      <c r="Q3753" s="28" t="n">
        <v>1560</v>
      </c>
      <c r="R3753" s="28"/>
      <c r="S3753" s="28" t="n">
        <f aca="false">R3753*$M3753</f>
        <v>0</v>
      </c>
      <c r="T3753" s="28" t="n">
        <v>1552</v>
      </c>
      <c r="U3753" s="28" t="n">
        <v>3104</v>
      </c>
      <c r="V3753" s="28" t="n">
        <v>1051</v>
      </c>
      <c r="W3753" s="28" t="n">
        <v>2102</v>
      </c>
      <c r="X3753" s="28" t="n">
        <v>1486</v>
      </c>
      <c r="Y3753" s="28" t="n">
        <v>2972</v>
      </c>
      <c r="Z3753" s="28" t="n">
        <v>847</v>
      </c>
      <c r="AA3753" s="28" t="n">
        <v>1694</v>
      </c>
      <c r="AB3753" s="28" t="n">
        <v>114</v>
      </c>
      <c r="AC3753" s="28" t="n">
        <v>228</v>
      </c>
      <c r="AD3753" s="28" t="n">
        <v>407</v>
      </c>
      <c r="AE3753" s="28" t="n">
        <v>814</v>
      </c>
      <c r="AF3753" s="28"/>
      <c r="AG3753" s="28" t="n">
        <f aca="false">AF3753*$M3753</f>
        <v>0</v>
      </c>
      <c r="AH3753" s="28"/>
      <c r="AI3753" s="28" t="n">
        <f aca="false">AH3753*$M3753</f>
        <v>0</v>
      </c>
      <c r="AJ3753" s="28" t="n">
        <v>1297</v>
      </c>
      <c r="AK3753" s="28" t="n">
        <v>2594</v>
      </c>
      <c r="AL3753" s="28"/>
      <c r="AM3753" s="28" t="n">
        <f aca="false">AL3753*$M3753</f>
        <v>0</v>
      </c>
      <c r="AN3753" s="28"/>
      <c r="AO3753" s="28" t="n">
        <f aca="false">AN3753*$M3753</f>
        <v>0</v>
      </c>
      <c r="AP3753" s="28"/>
      <c r="AQ3753" s="28" t="n">
        <f aca="false">AP3753*$M3753</f>
        <v>0</v>
      </c>
      <c r="AR3753" s="28"/>
      <c r="AS3753" s="28" t="n">
        <f aca="false">AR3753*$M3753</f>
        <v>0</v>
      </c>
      <c r="AT3753" s="28"/>
      <c r="AU3753" s="28" t="n">
        <f aca="false">AT3753*$M3753</f>
        <v>0</v>
      </c>
      <c r="AV3753" s="28"/>
      <c r="AW3753" s="28" t="n">
        <f aca="false">AV3753*$M3753</f>
        <v>0</v>
      </c>
      <c r="AX3753" s="28"/>
      <c r="AY3753" s="28" t="n">
        <f aca="false">AX3753*$M3753</f>
        <v>0</v>
      </c>
      <c r="AZ3753" s="30" t="n">
        <v>7534</v>
      </c>
      <c r="BA3753" s="11" t="n">
        <v>15068</v>
      </c>
      <c r="BB3753" s="31" t="n">
        <f aca="false">SUM(Q3753,S3753,U3753,W3753,Y3753,AA3753,AC3753,AE3753,AG3753,AI3753,AK3753,AM3753,AO3753,AQ3753,AS3753,AU3753,AW3753,AY3753)</f>
        <v>15068</v>
      </c>
      <c r="BC3753" s="28" t="n">
        <f aca="false">BA3753-BB3753</f>
        <v>0</v>
      </c>
      <c r="BD3753" s="32" t="n">
        <f aca="false">SUM(P3753,R3753,T3753,V3753,X3753,Z3753,AB3753,AD3753,AF3753,AH3753,AJ3753,AL3753,AN3753,AP3753,AR3753,AT3753,AV3753,AX3753)</f>
        <v>7534</v>
      </c>
      <c r="BE3753" s="33" t="n">
        <f aca="false">AZ3753-BD3753</f>
        <v>0</v>
      </c>
      <c r="BF3753" s="34" t="n">
        <f aca="false">BD3753*M3753</f>
        <v>15068</v>
      </c>
      <c r="BG3753" s="35" t="n">
        <f aca="false">BA3753-BF3753</f>
        <v>0</v>
      </c>
      <c r="BH3753" s="19" t="str">
        <f aca="false">IF(BG3753=0,"",IF(BG3753&lt;&gt;BA3753,"erreur de calcul",IF(BD3753&lt;&gt;0,"pas de prix",IF(M3753&lt;&gt; 0,"pas de quantité","pas de prix, ni de quantité"))))</f>
        <v/>
      </c>
      <c r="BI3753" s="19"/>
    </row>
    <row r="3754" customFormat="false" ht="15" hidden="false" customHeight="false" outlineLevel="0" collapsed="false">
      <c r="A3754" s="0" t="n">
        <v>34</v>
      </c>
      <c r="B3754" s="8" t="s">
        <v>24</v>
      </c>
      <c r="C3754" s="9" t="s">
        <v>25</v>
      </c>
      <c r="D3754" s="9" t="s">
        <v>26</v>
      </c>
      <c r="E3754" s="10" t="n">
        <v>1789</v>
      </c>
      <c r="F3754" s="9" t="s">
        <v>27</v>
      </c>
      <c r="G3754" s="9" t="s">
        <v>27</v>
      </c>
      <c r="H3754" s="11" t="n">
        <v>24</v>
      </c>
      <c r="I3754" s="11" t="s">
        <v>324</v>
      </c>
      <c r="J3754" s="14" t="n">
        <v>15</v>
      </c>
      <c r="K3754" s="14"/>
      <c r="L3754" s="16"/>
      <c r="M3754" s="27" t="n">
        <f aca="false">J3754+(K3754/20)+(L3754/240)</f>
        <v>15</v>
      </c>
      <c r="N3754" s="17" t="s">
        <v>64</v>
      </c>
      <c r="O3754" s="11"/>
      <c r="P3754" s="28" t="n">
        <f aca="false">6834/100</f>
        <v>68.34</v>
      </c>
      <c r="Q3754" s="28" t="n">
        <v>1025</v>
      </c>
      <c r="R3754" s="28"/>
      <c r="S3754" s="28" t="n">
        <f aca="false">R3754*$M3754</f>
        <v>0</v>
      </c>
      <c r="T3754" s="28" t="n">
        <f aca="false">834/100</f>
        <v>8.34</v>
      </c>
      <c r="U3754" s="28" t="n">
        <v>125</v>
      </c>
      <c r="V3754" s="28" t="n">
        <f aca="false">197372/100</f>
        <v>1973.72</v>
      </c>
      <c r="W3754" s="28" t="n">
        <v>29606</v>
      </c>
      <c r="X3754" s="28" t="n">
        <f aca="false">2334702/100</f>
        <v>23347.02</v>
      </c>
      <c r="Y3754" s="28" t="n">
        <v>350205</v>
      </c>
      <c r="Z3754" s="28"/>
      <c r="AA3754" s="28" t="n">
        <f aca="false">Z3754*$M3754</f>
        <v>0</v>
      </c>
      <c r="AB3754" s="28" t="n">
        <f aca="false">1417/100</f>
        <v>14.17</v>
      </c>
      <c r="AC3754" s="28" t="n">
        <v>212</v>
      </c>
      <c r="AD3754" s="28"/>
      <c r="AE3754" s="28" t="n">
        <f aca="false">AD3754*$M3754</f>
        <v>0</v>
      </c>
      <c r="AF3754" s="28"/>
      <c r="AG3754" s="28" t="n">
        <f aca="false">AF3754*$M3754</f>
        <v>0</v>
      </c>
      <c r="AH3754" s="28"/>
      <c r="AI3754" s="28" t="n">
        <f aca="false">AH3754*$M3754</f>
        <v>0</v>
      </c>
      <c r="AJ3754" s="28"/>
      <c r="AK3754" s="28" t="n">
        <f aca="false">AJ3754*$M3754</f>
        <v>0</v>
      </c>
      <c r="AL3754" s="28"/>
      <c r="AM3754" s="28" t="n">
        <f aca="false">AL3754*$M3754</f>
        <v>0</v>
      </c>
      <c r="AN3754" s="28"/>
      <c r="AO3754" s="28" t="n">
        <f aca="false">AN3754*$M3754</f>
        <v>0</v>
      </c>
      <c r="AP3754" s="28"/>
      <c r="AQ3754" s="28" t="n">
        <f aca="false">AP3754*$M3754</f>
        <v>0</v>
      </c>
      <c r="AR3754" s="28"/>
      <c r="AS3754" s="28" t="n">
        <f aca="false">AR3754*$M3754</f>
        <v>0</v>
      </c>
      <c r="AT3754" s="28"/>
      <c r="AU3754" s="28" t="n">
        <f aca="false">AT3754*$M3754</f>
        <v>0</v>
      </c>
      <c r="AV3754" s="28"/>
      <c r="AW3754" s="28" t="n">
        <f aca="false">AV3754*$M3754</f>
        <v>0</v>
      </c>
      <c r="AX3754" s="28"/>
      <c r="AY3754" s="28" t="n">
        <f aca="false">AX3754*$M3754</f>
        <v>0</v>
      </c>
      <c r="AZ3754" s="30" t="n">
        <f aca="false">2541159/100</f>
        <v>25411.59</v>
      </c>
      <c r="BA3754" s="11" t="n">
        <v>381173</v>
      </c>
      <c r="BB3754" s="31" t="n">
        <f aca="false">SUM(Q3754,S3754,U3754,W3754,Y3754,AA3754,AC3754,AE3754,AG3754,AI3754,AK3754,AM3754,AO3754,AQ3754,AS3754,AU3754,AW3754,AY3754)</f>
        <v>381173</v>
      </c>
      <c r="BC3754" s="28" t="n">
        <f aca="false">BA3754-BB3754</f>
        <v>0</v>
      </c>
      <c r="BD3754" s="32" t="n">
        <f aca="false">SUM(P3754,R3754,T3754,V3754,X3754,Z3754,AB3754,AD3754,AF3754,AH3754,AJ3754,AL3754,AN3754,AP3754,AR3754,AT3754,AV3754,AX3754)</f>
        <v>25411.59</v>
      </c>
      <c r="BE3754" s="33" t="n">
        <f aca="false">AZ3754-BD3754</f>
        <v>0</v>
      </c>
      <c r="BF3754" s="34" t="n">
        <f aca="false">BD3754*M3754</f>
        <v>381173.85</v>
      </c>
      <c r="BG3754" s="35" t="n">
        <f aca="false">BA3754-BF3754</f>
        <v>-0.849999999976717</v>
      </c>
      <c r="BH3754" s="19" t="str">
        <f aca="false">IF(BG3754=0,"",IF(BG3754&lt;&gt;BA3754,"erreur de calcul",IF(BD3754&lt;&gt;0,"pas de prix",IF(M3754&lt;&gt; 0,"pas de quantité","pas de prix, ni de quantité"))))</f>
        <v>erreur de calcul</v>
      </c>
      <c r="BI3754" s="19"/>
    </row>
    <row r="3755" customFormat="false" ht="15" hidden="false" customHeight="false" outlineLevel="0" collapsed="false">
      <c r="A3755" s="0" t="n">
        <v>35</v>
      </c>
      <c r="B3755" s="8" t="s">
        <v>24</v>
      </c>
      <c r="C3755" s="9" t="s">
        <v>25</v>
      </c>
      <c r="D3755" s="9" t="s">
        <v>26</v>
      </c>
      <c r="E3755" s="10" t="n">
        <v>1789</v>
      </c>
      <c r="F3755" s="9" t="s">
        <v>27</v>
      </c>
      <c r="G3755" s="9" t="s">
        <v>27</v>
      </c>
      <c r="H3755" s="11" t="n">
        <v>24</v>
      </c>
      <c r="I3755" s="11" t="s">
        <v>325</v>
      </c>
      <c r="J3755" s="14" t="n">
        <v>25</v>
      </c>
      <c r="K3755" s="14"/>
      <c r="L3755" s="16"/>
      <c r="M3755" s="27" t="n">
        <f aca="false">J3755+(K3755/20)+(L3755/240)</f>
        <v>25</v>
      </c>
      <c r="N3755" s="17" t="s">
        <v>64</v>
      </c>
      <c r="O3755" s="11"/>
      <c r="P3755" s="28"/>
      <c r="Q3755" s="28" t="n">
        <f aca="false">P3755*$M3755</f>
        <v>0</v>
      </c>
      <c r="R3755" s="28"/>
      <c r="S3755" s="28" t="n">
        <f aca="false">R3755*$M3755</f>
        <v>0</v>
      </c>
      <c r="T3755" s="28"/>
      <c r="U3755" s="28" t="n">
        <f aca="false">T3755*$M3755</f>
        <v>0</v>
      </c>
      <c r="V3755" s="28"/>
      <c r="W3755" s="28" t="n">
        <f aca="false">V3755*$M3755</f>
        <v>0</v>
      </c>
      <c r="X3755" s="28" t="n">
        <f aca="false">4971/100</f>
        <v>49.71</v>
      </c>
      <c r="Y3755" s="28" t="n">
        <v>1243</v>
      </c>
      <c r="Z3755" s="28" t="n">
        <f aca="false">14812/100</f>
        <v>148.12</v>
      </c>
      <c r="AA3755" s="28" t="n">
        <v>3703</v>
      </c>
      <c r="AB3755" s="28"/>
      <c r="AC3755" s="28" t="n">
        <f aca="false">AB3755*$M3755</f>
        <v>0</v>
      </c>
      <c r="AD3755" s="28"/>
      <c r="AE3755" s="28" t="n">
        <f aca="false">AD3755*$M3755</f>
        <v>0</v>
      </c>
      <c r="AF3755" s="28"/>
      <c r="AG3755" s="28" t="n">
        <f aca="false">AF3755*$M3755</f>
        <v>0</v>
      </c>
      <c r="AH3755" s="28"/>
      <c r="AI3755" s="28" t="n">
        <f aca="false">AH3755*$M3755</f>
        <v>0</v>
      </c>
      <c r="AJ3755" s="28"/>
      <c r="AK3755" s="28" t="n">
        <f aca="false">AJ3755*$M3755</f>
        <v>0</v>
      </c>
      <c r="AL3755" s="28"/>
      <c r="AM3755" s="28" t="n">
        <f aca="false">AL3755*$M3755</f>
        <v>0</v>
      </c>
      <c r="AN3755" s="28"/>
      <c r="AO3755" s="28" t="n">
        <f aca="false">AN3755*$M3755</f>
        <v>0</v>
      </c>
      <c r="AP3755" s="28"/>
      <c r="AQ3755" s="28" t="n">
        <f aca="false">AP3755*$M3755</f>
        <v>0</v>
      </c>
      <c r="AR3755" s="28"/>
      <c r="AS3755" s="28" t="n">
        <f aca="false">AR3755*$M3755</f>
        <v>0</v>
      </c>
      <c r="AT3755" s="28"/>
      <c r="AU3755" s="28" t="n">
        <f aca="false">AT3755*$M3755</f>
        <v>0</v>
      </c>
      <c r="AV3755" s="28"/>
      <c r="AW3755" s="28" t="n">
        <f aca="false">AV3755*$M3755</f>
        <v>0</v>
      </c>
      <c r="AX3755" s="28"/>
      <c r="AY3755" s="28" t="n">
        <f aca="false">AX3755*$M3755</f>
        <v>0</v>
      </c>
      <c r="AZ3755" s="30" t="n">
        <f aca="false">19783/100</f>
        <v>197.83</v>
      </c>
      <c r="BA3755" s="11" t="n">
        <v>4946</v>
      </c>
      <c r="BB3755" s="31" t="n">
        <f aca="false">SUM(Q3755,S3755,U3755,W3755,Y3755,AA3755,AC3755,AE3755,AG3755,AI3755,AK3755,AM3755,AO3755,AQ3755,AS3755,AU3755,AW3755,AY3755)</f>
        <v>4946</v>
      </c>
      <c r="BC3755" s="28" t="n">
        <f aca="false">BA3755-BB3755</f>
        <v>0</v>
      </c>
      <c r="BD3755" s="32" t="n">
        <f aca="false">SUM(P3755,R3755,T3755,V3755,X3755,Z3755,AB3755,AD3755,AF3755,AH3755,AJ3755,AL3755,AN3755,AP3755,AR3755,AT3755,AV3755,AX3755)</f>
        <v>197.83</v>
      </c>
      <c r="BE3755" s="33" t="n">
        <f aca="false">AZ3755-BD3755</f>
        <v>0</v>
      </c>
      <c r="BF3755" s="34" t="n">
        <f aca="false">BD3755*M3755</f>
        <v>4945.75</v>
      </c>
      <c r="BG3755" s="35" t="n">
        <f aca="false">BA3755-BF3755</f>
        <v>0.25</v>
      </c>
      <c r="BH3755" s="19" t="str">
        <f aca="false">IF(BG3755=0,"",IF(BG3755&lt;&gt;BA3755,"erreur de calcul",IF(BD3755&lt;&gt;0,"pas de prix",IF(M3755&lt;&gt; 0,"pas de quantité","pas de prix, ni de quantité"))))</f>
        <v>erreur de calcul</v>
      </c>
      <c r="BI3755" s="19"/>
    </row>
    <row r="3756" customFormat="false" ht="15" hidden="false" customHeight="false" outlineLevel="0" collapsed="false">
      <c r="A3756" s="0" t="n">
        <v>36</v>
      </c>
      <c r="B3756" s="8" t="s">
        <v>24</v>
      </c>
      <c r="C3756" s="9" t="s">
        <v>25</v>
      </c>
      <c r="D3756" s="9" t="s">
        <v>26</v>
      </c>
      <c r="E3756" s="10" t="n">
        <v>1789</v>
      </c>
      <c r="F3756" s="9" t="s">
        <v>27</v>
      </c>
      <c r="G3756" s="9" t="s">
        <v>27</v>
      </c>
      <c r="H3756" s="11" t="n">
        <v>24</v>
      </c>
      <c r="I3756" s="11" t="s">
        <v>326</v>
      </c>
      <c r="J3756" s="14"/>
      <c r="K3756" s="14"/>
      <c r="L3756" s="16"/>
      <c r="M3756" s="27" t="n">
        <f aca="false">J3756+(K3756/20)+(L3756/240)</f>
        <v>0</v>
      </c>
      <c r="N3756" s="17"/>
      <c r="O3756" s="11" t="s">
        <v>77</v>
      </c>
      <c r="P3756" s="28"/>
      <c r="Q3756" s="28" t="n">
        <v>84</v>
      </c>
      <c r="R3756" s="28"/>
      <c r="S3756" s="28" t="n">
        <v>80</v>
      </c>
      <c r="T3756" s="28"/>
      <c r="U3756" s="28" t="n">
        <v>115</v>
      </c>
      <c r="V3756" s="28"/>
      <c r="W3756" s="28" t="n">
        <f aca="false">V3756*$M3756</f>
        <v>0</v>
      </c>
      <c r="X3756" s="28"/>
      <c r="Y3756" s="28" t="n">
        <v>82</v>
      </c>
      <c r="Z3756" s="28"/>
      <c r="AA3756" s="28" t="n">
        <v>32</v>
      </c>
      <c r="AB3756" s="28"/>
      <c r="AC3756" s="28" t="n">
        <v>82</v>
      </c>
      <c r="AD3756" s="28"/>
      <c r="AE3756" s="28" t="n">
        <f aca="false">AD3756*$M3756</f>
        <v>0</v>
      </c>
      <c r="AF3756" s="28"/>
      <c r="AG3756" s="28" t="n">
        <v>129</v>
      </c>
      <c r="AH3756" s="28"/>
      <c r="AI3756" s="28" t="n">
        <f aca="false">AH3756*$M3756</f>
        <v>0</v>
      </c>
      <c r="AJ3756" s="28"/>
      <c r="AK3756" s="28" t="n">
        <v>79</v>
      </c>
      <c r="AL3756" s="28"/>
      <c r="AM3756" s="28" t="n">
        <v>106</v>
      </c>
      <c r="AN3756" s="28"/>
      <c r="AO3756" s="28" t="n">
        <f aca="false">AN3756*$M3756</f>
        <v>0</v>
      </c>
      <c r="AP3756" s="28"/>
      <c r="AQ3756" s="28" t="n">
        <f aca="false">AP3756*$M3756</f>
        <v>0</v>
      </c>
      <c r="AR3756" s="28"/>
      <c r="AS3756" s="28" t="n">
        <f aca="false">AR3756*$M3756</f>
        <v>0</v>
      </c>
      <c r="AT3756" s="28"/>
      <c r="AU3756" s="28" t="n">
        <f aca="false">AT3756*$M3756</f>
        <v>0</v>
      </c>
      <c r="AV3756" s="28"/>
      <c r="AW3756" s="28" t="n">
        <f aca="false">AV3756*$M3756</f>
        <v>0</v>
      </c>
      <c r="AX3756" s="28"/>
      <c r="AY3756" s="28" t="n">
        <f aca="false">AX3756*$M3756</f>
        <v>0</v>
      </c>
      <c r="AZ3756" s="30"/>
      <c r="BA3756" s="11" t="n">
        <v>789</v>
      </c>
      <c r="BB3756" s="31" t="n">
        <f aca="false">SUM(Q3756,S3756,U3756,W3756,Y3756,AA3756,AC3756,AE3756,AG3756,AI3756,AK3756,AM3756,AO3756,AQ3756,AS3756,AU3756,AW3756,AY3756)</f>
        <v>789</v>
      </c>
      <c r="BC3756" s="28" t="n">
        <f aca="false">BA3756-BB3756</f>
        <v>0</v>
      </c>
      <c r="BD3756" s="32" t="n">
        <f aca="false">SUM(P3756,R3756,T3756,V3756,X3756,Z3756,AB3756,AD3756,AF3756,AH3756,AJ3756,AL3756,AN3756,AP3756,AR3756,AT3756,AV3756,AX3756)</f>
        <v>0</v>
      </c>
      <c r="BE3756" s="33" t="n">
        <f aca="false">AZ3756-BD3756</f>
        <v>0</v>
      </c>
      <c r="BF3756" s="34" t="n">
        <f aca="false">BD3756*M3756</f>
        <v>0</v>
      </c>
      <c r="BG3756" s="35" t="n">
        <f aca="false">BA3756-BF3756</f>
        <v>789</v>
      </c>
      <c r="BH3756" s="19" t="str">
        <f aca="false">IF(BG3756=0,"",IF(BG3756&lt;&gt;BA3756,"erreur de calcul",IF(BD3756&lt;&gt;0,"pas de prix",IF(M3756&lt;&gt; 0,"pas de quantité","pas de prix, ni de quantité"))))</f>
        <v>pas de prix, ni de quantité</v>
      </c>
      <c r="BI3756" s="19"/>
    </row>
    <row r="3757" customFormat="false" ht="15" hidden="false" customHeight="false" outlineLevel="0" collapsed="false">
      <c r="A3757" s="0" t="n">
        <v>37</v>
      </c>
      <c r="B3757" s="8" t="s">
        <v>24</v>
      </c>
      <c r="C3757" s="9" t="s">
        <v>25</v>
      </c>
      <c r="D3757" s="9" t="s">
        <v>26</v>
      </c>
      <c r="E3757" s="10" t="n">
        <v>1789</v>
      </c>
      <c r="F3757" s="9" t="s">
        <v>27</v>
      </c>
      <c r="G3757" s="9" t="s">
        <v>27</v>
      </c>
      <c r="H3757" s="11" t="n">
        <v>24</v>
      </c>
      <c r="I3757" s="11" t="s">
        <v>327</v>
      </c>
      <c r="J3757" s="14"/>
      <c r="K3757" s="14" t="n">
        <v>20</v>
      </c>
      <c r="L3757" s="16"/>
      <c r="M3757" s="27" t="n">
        <f aca="false">J3757+(K3757/20)+(L3757/240)</f>
        <v>1</v>
      </c>
      <c r="N3757" s="17" t="s">
        <v>66</v>
      </c>
      <c r="O3757" s="11"/>
      <c r="P3757" s="28"/>
      <c r="Q3757" s="28" t="n">
        <f aca="false">P3757*$M3757</f>
        <v>0</v>
      </c>
      <c r="R3757" s="28"/>
      <c r="S3757" s="28" t="n">
        <f aca="false">R3757*$M3757</f>
        <v>0</v>
      </c>
      <c r="T3757" s="28"/>
      <c r="U3757" s="28" t="n">
        <f aca="false">T3757*$M3757</f>
        <v>0</v>
      </c>
      <c r="V3757" s="28" t="n">
        <v>1705</v>
      </c>
      <c r="W3757" s="28" t="n">
        <v>1705</v>
      </c>
      <c r="X3757" s="28"/>
      <c r="Y3757" s="28" t="n">
        <f aca="false">X3757*$M3757</f>
        <v>0</v>
      </c>
      <c r="Z3757" s="28"/>
      <c r="AA3757" s="28" t="n">
        <f aca="false">Z3757*$M3757</f>
        <v>0</v>
      </c>
      <c r="AB3757" s="28" t="n">
        <v>226</v>
      </c>
      <c r="AC3757" s="28" t="n">
        <v>226</v>
      </c>
      <c r="AD3757" s="28"/>
      <c r="AE3757" s="28" t="n">
        <f aca="false">AD3757*$M3757</f>
        <v>0</v>
      </c>
      <c r="AF3757" s="28"/>
      <c r="AG3757" s="28" t="n">
        <f aca="false">AF3757*$M3757</f>
        <v>0</v>
      </c>
      <c r="AH3757" s="28"/>
      <c r="AI3757" s="28" t="n">
        <f aca="false">AH3757*$M3757</f>
        <v>0</v>
      </c>
      <c r="AJ3757" s="28"/>
      <c r="AK3757" s="28" t="n">
        <f aca="false">AJ3757*$M3757</f>
        <v>0</v>
      </c>
      <c r="AL3757" s="28"/>
      <c r="AM3757" s="28" t="n">
        <f aca="false">AL3757*$M3757</f>
        <v>0</v>
      </c>
      <c r="AN3757" s="28"/>
      <c r="AO3757" s="28" t="n">
        <f aca="false">AN3757*$M3757</f>
        <v>0</v>
      </c>
      <c r="AP3757" s="28"/>
      <c r="AQ3757" s="28" t="n">
        <f aca="false">AP3757*$M3757</f>
        <v>0</v>
      </c>
      <c r="AR3757" s="28"/>
      <c r="AS3757" s="28" t="n">
        <f aca="false">AR3757*$M3757</f>
        <v>0</v>
      </c>
      <c r="AT3757" s="28"/>
      <c r="AU3757" s="28" t="n">
        <f aca="false">AT3757*$M3757</f>
        <v>0</v>
      </c>
      <c r="AV3757" s="28"/>
      <c r="AW3757" s="28" t="n">
        <f aca="false">AV3757*$M3757</f>
        <v>0</v>
      </c>
      <c r="AX3757" s="28"/>
      <c r="AY3757" s="28" t="n">
        <f aca="false">AX3757*$M3757</f>
        <v>0</v>
      </c>
      <c r="AZ3757" s="30" t="n">
        <v>1931</v>
      </c>
      <c r="BA3757" s="11" t="n">
        <v>1931</v>
      </c>
      <c r="BB3757" s="31" t="n">
        <f aca="false">SUM(Q3757,S3757,U3757,W3757,Y3757,AA3757,AC3757,AE3757,AG3757,AI3757,AK3757,AM3757,AO3757,AQ3757,AS3757,AU3757,AW3757,AY3757)</f>
        <v>1931</v>
      </c>
      <c r="BC3757" s="28" t="n">
        <f aca="false">BA3757-BB3757</f>
        <v>0</v>
      </c>
      <c r="BD3757" s="32" t="n">
        <f aca="false">SUM(P3757,R3757,T3757,V3757,X3757,Z3757,AB3757,AD3757,AF3757,AH3757,AJ3757,AL3757,AN3757,AP3757,AR3757,AT3757,AV3757,AX3757)</f>
        <v>1931</v>
      </c>
      <c r="BE3757" s="33" t="n">
        <f aca="false">AZ3757-BD3757</f>
        <v>0</v>
      </c>
      <c r="BF3757" s="34" t="n">
        <f aca="false">BD3757*M3757</f>
        <v>1931</v>
      </c>
      <c r="BG3757" s="35" t="n">
        <f aca="false">BA3757-BF3757</f>
        <v>0</v>
      </c>
      <c r="BH3757" s="19" t="str">
        <f aca="false">IF(BG3757=0,"",IF(BG3757&lt;&gt;BA3757,"erreur de calcul",IF(BD3757&lt;&gt;0,"pas de prix",IF(M3757&lt;&gt; 0,"pas de quantité","pas de prix, ni de quantité"))))</f>
        <v/>
      </c>
      <c r="BI3757" s="19"/>
    </row>
    <row r="3758" customFormat="false" ht="15" hidden="false" customHeight="false" outlineLevel="0" collapsed="false">
      <c r="A3758" s="0" t="n">
        <v>38</v>
      </c>
      <c r="B3758" s="8" t="s">
        <v>24</v>
      </c>
      <c r="C3758" s="9" t="s">
        <v>25</v>
      </c>
      <c r="D3758" s="9" t="s">
        <v>26</v>
      </c>
      <c r="E3758" s="10" t="n">
        <v>1789</v>
      </c>
      <c r="F3758" s="9" t="s">
        <v>27</v>
      </c>
      <c r="G3758" s="9" t="s">
        <v>27</v>
      </c>
      <c r="H3758" s="11" t="n">
        <v>24</v>
      </c>
      <c r="I3758" s="11" t="s">
        <v>328</v>
      </c>
      <c r="J3758" s="14" t="n">
        <v>208</v>
      </c>
      <c r="K3758" s="14"/>
      <c r="L3758" s="16"/>
      <c r="M3758" s="27" t="n">
        <f aca="false">J3758+(K3758/20)+(L3758/240)</f>
        <v>208</v>
      </c>
      <c r="N3758" s="17" t="s">
        <v>64</v>
      </c>
      <c r="O3758" s="11" t="s">
        <v>277</v>
      </c>
      <c r="P3758" s="28"/>
      <c r="Q3758" s="28" t="n">
        <f aca="false">P3758*$M3758</f>
        <v>0</v>
      </c>
      <c r="R3758" s="28"/>
      <c r="S3758" s="28" t="n">
        <f aca="false">R3758*$M3758</f>
        <v>0</v>
      </c>
      <c r="T3758" s="28" t="n">
        <f aca="false">536/100</f>
        <v>5.36</v>
      </c>
      <c r="U3758" s="28" t="n">
        <v>1115</v>
      </c>
      <c r="V3758" s="28" t="n">
        <f aca="false">1983/100</f>
        <v>19.83</v>
      </c>
      <c r="W3758" s="28" t="n">
        <v>4125</v>
      </c>
      <c r="X3758" s="28" t="n">
        <f aca="false">37641/100</f>
        <v>376.41</v>
      </c>
      <c r="Y3758" s="28" t="n">
        <v>78293</v>
      </c>
      <c r="Z3758" s="28" t="n">
        <f aca="false">1281/100</f>
        <v>12.81</v>
      </c>
      <c r="AA3758" s="28" t="n">
        <v>2664</v>
      </c>
      <c r="AB3758" s="28"/>
      <c r="AC3758" s="28" t="n">
        <f aca="false">AB3758*$M3758</f>
        <v>0</v>
      </c>
      <c r="AD3758" s="28"/>
      <c r="AE3758" s="28" t="n">
        <f aca="false">AD3758*$M3758</f>
        <v>0</v>
      </c>
      <c r="AF3758" s="28"/>
      <c r="AG3758" s="28" t="n">
        <f aca="false">AF3758*$M3758</f>
        <v>0</v>
      </c>
      <c r="AH3758" s="28"/>
      <c r="AI3758" s="28" t="n">
        <f aca="false">AH3758*$M3758</f>
        <v>0</v>
      </c>
      <c r="AJ3758" s="28" t="n">
        <f aca="false">20789/100</f>
        <v>207.89</v>
      </c>
      <c r="AK3758" s="28" t="n">
        <v>43241</v>
      </c>
      <c r="AL3758" s="28" t="n">
        <f aca="false">2470/100</f>
        <v>24.7</v>
      </c>
      <c r="AM3758" s="28" t="n">
        <v>5138</v>
      </c>
      <c r="AN3758" s="28"/>
      <c r="AO3758" s="28" t="n">
        <f aca="false">AN3758*$M3758</f>
        <v>0</v>
      </c>
      <c r="AP3758" s="28"/>
      <c r="AQ3758" s="28" t="n">
        <f aca="false">AP3758*$M3758</f>
        <v>0</v>
      </c>
      <c r="AR3758" s="28"/>
      <c r="AS3758" s="28" t="n">
        <f aca="false">AR3758*$M3758</f>
        <v>0</v>
      </c>
      <c r="AT3758" s="28"/>
      <c r="AU3758" s="28" t="n">
        <f aca="false">AT3758*$M3758</f>
        <v>0</v>
      </c>
      <c r="AV3758" s="28"/>
      <c r="AW3758" s="28" t="n">
        <f aca="false">AV3758*$M3758</f>
        <v>0</v>
      </c>
      <c r="AX3758" s="28"/>
      <c r="AY3758" s="28" t="n">
        <f aca="false">AX3758*$M3758</f>
        <v>0</v>
      </c>
      <c r="AZ3758" s="30" t="n">
        <f aca="false">64700/100</f>
        <v>647</v>
      </c>
      <c r="BA3758" s="11" t="n">
        <v>134576</v>
      </c>
      <c r="BB3758" s="31" t="n">
        <f aca="false">SUM(Q3758,S3758,U3758,W3758,Y3758,AA3758,AC3758,AE3758,AG3758,AI3758,AK3758,AM3758,AO3758,AQ3758,AS3758,AU3758,AW3758,AY3758)</f>
        <v>134576</v>
      </c>
      <c r="BC3758" s="28" t="n">
        <f aca="false">BA3758-BB3758</f>
        <v>0</v>
      </c>
      <c r="BD3758" s="32" t="n">
        <f aca="false">SUM(P3758,R3758,T3758,V3758,X3758,Z3758,AB3758,AD3758,AF3758,AH3758,AJ3758,AL3758,AN3758,AP3758,AR3758,AT3758,AV3758,AX3758)</f>
        <v>647</v>
      </c>
      <c r="BE3758" s="33" t="n">
        <f aca="false">AZ3758-BD3758</f>
        <v>0</v>
      </c>
      <c r="BF3758" s="34" t="n">
        <f aca="false">BD3758*M3758</f>
        <v>134576</v>
      </c>
      <c r="BG3758" s="35" t="n">
        <f aca="false">BA3758-BF3758</f>
        <v>0</v>
      </c>
      <c r="BH3758" s="19" t="str">
        <f aca="false">IF(BG3758=0,"",IF(BG3758&lt;&gt;BA3758,"erreur de calcul",IF(BD3758&lt;&gt;0,"pas de prix",IF(M3758&lt;&gt; 0,"pas de quantité","pas de prix, ni de quantité"))))</f>
        <v/>
      </c>
      <c r="BI3758" s="19"/>
    </row>
    <row r="3759" customFormat="false" ht="15" hidden="false" customHeight="false" outlineLevel="0" collapsed="false">
      <c r="A3759" s="0" t="n">
        <v>1</v>
      </c>
      <c r="B3759" s="8" t="s">
        <v>24</v>
      </c>
      <c r="C3759" s="9" t="s">
        <v>25</v>
      </c>
      <c r="D3759" s="9" t="s">
        <v>26</v>
      </c>
      <c r="E3759" s="10" t="n">
        <v>1789</v>
      </c>
      <c r="F3759" s="9" t="s">
        <v>27</v>
      </c>
      <c r="G3759" s="9" t="s">
        <v>27</v>
      </c>
      <c r="H3759" s="11" t="n">
        <v>25</v>
      </c>
      <c r="I3759" s="11" t="s">
        <v>329</v>
      </c>
      <c r="J3759" s="14" t="n">
        <v>30</v>
      </c>
      <c r="K3759" s="14"/>
      <c r="L3759" s="16"/>
      <c r="M3759" s="27" t="n">
        <f aca="false">J3759+(K3759/20)+(L3759/240)</f>
        <v>30</v>
      </c>
      <c r="N3759" s="17" t="s">
        <v>64</v>
      </c>
      <c r="O3759" s="11"/>
      <c r="P3759" s="28" t="n">
        <f aca="false">888/100</f>
        <v>8.88</v>
      </c>
      <c r="Q3759" s="28" t="n">
        <v>266</v>
      </c>
      <c r="R3759" s="28"/>
      <c r="S3759" s="28" t="n">
        <f aca="false">R3759*$M3759</f>
        <v>0</v>
      </c>
      <c r="T3759" s="28" t="n">
        <f aca="false">1151/100</f>
        <v>11.51</v>
      </c>
      <c r="U3759" s="28" t="n">
        <v>345</v>
      </c>
      <c r="V3759" s="28"/>
      <c r="W3759" s="28" t="n">
        <f aca="false">V3759*$M3759</f>
        <v>0</v>
      </c>
      <c r="X3759" s="28"/>
      <c r="Y3759" s="28" t="n">
        <f aca="false">X3759*$M3759</f>
        <v>0</v>
      </c>
      <c r="Z3759" s="28"/>
      <c r="AA3759" s="28" t="n">
        <f aca="false">Z3759*$M3759</f>
        <v>0</v>
      </c>
      <c r="AB3759" s="28"/>
      <c r="AC3759" s="28" t="n">
        <f aca="false">AB3759*$M3759</f>
        <v>0</v>
      </c>
      <c r="AD3759" s="28"/>
      <c r="AE3759" s="28" t="n">
        <f aca="false">AD3759*$M3759</f>
        <v>0</v>
      </c>
      <c r="AF3759" s="28"/>
      <c r="AG3759" s="28" t="n">
        <f aca="false">AF3759*$M3759</f>
        <v>0</v>
      </c>
      <c r="AH3759" s="28"/>
      <c r="AI3759" s="28" t="n">
        <f aca="false">AH3759*$M3759</f>
        <v>0</v>
      </c>
      <c r="AJ3759" s="28"/>
      <c r="AK3759" s="28" t="n">
        <f aca="false">AJ3759*$M3759</f>
        <v>0</v>
      </c>
      <c r="AL3759" s="28"/>
      <c r="AM3759" s="28" t="n">
        <f aca="false">AL3759*$M3759</f>
        <v>0</v>
      </c>
      <c r="AN3759" s="28"/>
      <c r="AO3759" s="28" t="n">
        <f aca="false">AN3759*$M3759</f>
        <v>0</v>
      </c>
      <c r="AP3759" s="28"/>
      <c r="AQ3759" s="28" t="n">
        <f aca="false">AP3759*$M3759</f>
        <v>0</v>
      </c>
      <c r="AR3759" s="28"/>
      <c r="AS3759" s="28" t="n">
        <f aca="false">AR3759*$M3759</f>
        <v>0</v>
      </c>
      <c r="AT3759" s="28"/>
      <c r="AU3759" s="28" t="n">
        <f aca="false">AT3759*$M3759</f>
        <v>0</v>
      </c>
      <c r="AV3759" s="28"/>
      <c r="AW3759" s="28" t="n">
        <f aca="false">AV3759*$M3759</f>
        <v>0</v>
      </c>
      <c r="AX3759" s="28"/>
      <c r="AY3759" s="28" t="n">
        <f aca="false">AX3759*$M3759</f>
        <v>0</v>
      </c>
      <c r="AZ3759" s="30" t="n">
        <f aca="false">2039/100</f>
        <v>20.39</v>
      </c>
      <c r="BA3759" s="11" t="n">
        <v>611</v>
      </c>
      <c r="BB3759" s="31" t="n">
        <f aca="false">SUM(Q3759,S3759,U3759,W3759,Y3759,AA3759,AC3759,AE3759,AG3759,AI3759,AK3759,AM3759,AO3759,AQ3759,AS3759,AU3759,AW3759,AY3759)</f>
        <v>611</v>
      </c>
      <c r="BC3759" s="28" t="n">
        <f aca="false">BA3759-BB3759</f>
        <v>0</v>
      </c>
      <c r="BD3759" s="32" t="n">
        <f aca="false">SUM(P3759,R3759,T3759,V3759,X3759,Z3759,AB3759,AD3759,AF3759,AH3759,AJ3759,AL3759,AN3759,AP3759,AR3759,AT3759,AV3759,AX3759)</f>
        <v>20.39</v>
      </c>
      <c r="BE3759" s="33" t="n">
        <f aca="false">AZ3759-BD3759</f>
        <v>0</v>
      </c>
      <c r="BF3759" s="34" t="n">
        <f aca="false">BD3759*M3759</f>
        <v>611.7</v>
      </c>
      <c r="BG3759" s="35" t="n">
        <f aca="false">BA3759-BF3759</f>
        <v>-0.700000000000046</v>
      </c>
      <c r="BH3759" s="19" t="str">
        <f aca="false">IF(BG3759=0,"",IF(BG3759&lt;&gt;BA3759,"erreur de calcul",IF(BD3759&lt;&gt;0,"pas de prix",IF(M3759&lt;&gt; 0,"pas de quantité","pas de prix, ni de quantité"))))</f>
        <v>erreur de calcul</v>
      </c>
      <c r="BI3759" s="19"/>
    </row>
    <row r="3760" customFormat="false" ht="15" hidden="false" customHeight="false" outlineLevel="0" collapsed="false">
      <c r="A3760" s="0" t="n">
        <v>2</v>
      </c>
      <c r="B3760" s="8" t="s">
        <v>24</v>
      </c>
      <c r="C3760" s="9" t="s">
        <v>25</v>
      </c>
      <c r="D3760" s="9" t="s">
        <v>26</v>
      </c>
      <c r="E3760" s="10" t="n">
        <v>1789</v>
      </c>
      <c r="F3760" s="9" t="s">
        <v>27</v>
      </c>
      <c r="G3760" s="9" t="s">
        <v>27</v>
      </c>
      <c r="H3760" s="11" t="n">
        <v>25</v>
      </c>
      <c r="I3760" s="11" t="s">
        <v>330</v>
      </c>
      <c r="J3760" s="14"/>
      <c r="K3760" s="14" t="n">
        <v>20</v>
      </c>
      <c r="L3760" s="16"/>
      <c r="M3760" s="27" t="n">
        <f aca="false">J3760+(K3760/20)+(L3760/240)</f>
        <v>1</v>
      </c>
      <c r="N3760" s="17" t="s">
        <v>66</v>
      </c>
      <c r="O3760" s="11"/>
      <c r="P3760" s="28"/>
      <c r="Q3760" s="28" t="n">
        <f aca="false">P3760*$M3760</f>
        <v>0</v>
      </c>
      <c r="R3760" s="28"/>
      <c r="S3760" s="28" t="n">
        <f aca="false">R3760*$M3760</f>
        <v>0</v>
      </c>
      <c r="T3760" s="28"/>
      <c r="U3760" s="28" t="n">
        <f aca="false">T3760*$M3760</f>
        <v>0</v>
      </c>
      <c r="V3760" s="28"/>
      <c r="W3760" s="28" t="n">
        <f aca="false">V3760*$M3760</f>
        <v>0</v>
      </c>
      <c r="X3760" s="28"/>
      <c r="Y3760" s="28" t="n">
        <f aca="false">X3760*$M3760</f>
        <v>0</v>
      </c>
      <c r="Z3760" s="28"/>
      <c r="AA3760" s="28" t="n">
        <f aca="false">Z3760*$M3760</f>
        <v>0</v>
      </c>
      <c r="AB3760" s="28"/>
      <c r="AC3760" s="28" t="n">
        <f aca="false">AB3760*$M3760</f>
        <v>0</v>
      </c>
      <c r="AD3760" s="28"/>
      <c r="AE3760" s="28" t="n">
        <f aca="false">AD3760*$M3760</f>
        <v>0</v>
      </c>
      <c r="AF3760" s="28"/>
      <c r="AG3760" s="28" t="n">
        <f aca="false">AF3760*$M3760</f>
        <v>0</v>
      </c>
      <c r="AH3760" s="28"/>
      <c r="AI3760" s="28" t="n">
        <f aca="false">AH3760*$M3760</f>
        <v>0</v>
      </c>
      <c r="AJ3760" s="28" t="n">
        <v>4241</v>
      </c>
      <c r="AK3760" s="28" t="n">
        <v>4241</v>
      </c>
      <c r="AL3760" s="28"/>
      <c r="AM3760" s="28" t="n">
        <f aca="false">AL3760*$M3760</f>
        <v>0</v>
      </c>
      <c r="AN3760" s="28"/>
      <c r="AO3760" s="28" t="n">
        <f aca="false">AN3760*$M3760</f>
        <v>0</v>
      </c>
      <c r="AP3760" s="28"/>
      <c r="AQ3760" s="28" t="n">
        <f aca="false">AP3760*$M3760</f>
        <v>0</v>
      </c>
      <c r="AR3760" s="28"/>
      <c r="AS3760" s="28" t="n">
        <f aca="false">AR3760*$M3760</f>
        <v>0</v>
      </c>
      <c r="AT3760" s="28"/>
      <c r="AU3760" s="28" t="n">
        <f aca="false">AT3760*$M3760</f>
        <v>0</v>
      </c>
      <c r="AV3760" s="28"/>
      <c r="AW3760" s="28" t="n">
        <f aca="false">AV3760*$M3760</f>
        <v>0</v>
      </c>
      <c r="AX3760" s="28"/>
      <c r="AY3760" s="28" t="n">
        <f aca="false">AX3760*$M3760</f>
        <v>0</v>
      </c>
      <c r="AZ3760" s="30" t="n">
        <v>4241</v>
      </c>
      <c r="BA3760" s="11" t="n">
        <v>4241</v>
      </c>
      <c r="BB3760" s="31" t="n">
        <f aca="false">SUM(Q3760,S3760,U3760,W3760,Y3760,AA3760,AC3760,AE3760,AG3760,AI3760,AK3760,AM3760,AO3760,AQ3760,AS3760,AU3760,AW3760,AY3760)</f>
        <v>4241</v>
      </c>
      <c r="BC3760" s="28" t="n">
        <f aca="false">BA3760-BB3760</f>
        <v>0</v>
      </c>
      <c r="BD3760" s="32" t="n">
        <f aca="false">SUM(P3760,R3760,T3760,V3760,X3760,Z3760,AB3760,AD3760,AF3760,AH3760,AJ3760,AL3760,AN3760,AP3760,AR3760,AT3760,AV3760,AX3760)</f>
        <v>4241</v>
      </c>
      <c r="BE3760" s="33" t="n">
        <f aca="false">AZ3760-BD3760</f>
        <v>0</v>
      </c>
      <c r="BF3760" s="34" t="n">
        <f aca="false">BD3760*M3760</f>
        <v>4241</v>
      </c>
      <c r="BG3760" s="35" t="n">
        <f aca="false">BA3760-BF3760</f>
        <v>0</v>
      </c>
      <c r="BH3760" s="19" t="str">
        <f aca="false">IF(BG3760=0,"",IF(BG3760&lt;&gt;BA3760,"erreur de calcul",IF(BD3760&lt;&gt;0,"pas de prix",IF(M3760&lt;&gt; 0,"pas de quantité","pas de prix, ni de quantité"))))</f>
        <v/>
      </c>
      <c r="BI3760" s="19"/>
    </row>
    <row r="3761" customFormat="false" ht="15" hidden="false" customHeight="false" outlineLevel="0" collapsed="false">
      <c r="A3761" s="0" t="n">
        <v>3</v>
      </c>
      <c r="B3761" s="8" t="s">
        <v>24</v>
      </c>
      <c r="C3761" s="9" t="s">
        <v>25</v>
      </c>
      <c r="D3761" s="9" t="s">
        <v>26</v>
      </c>
      <c r="E3761" s="10" t="n">
        <v>1789</v>
      </c>
      <c r="F3761" s="9" t="s">
        <v>27</v>
      </c>
      <c r="G3761" s="9" t="s">
        <v>27</v>
      </c>
      <c r="H3761" s="11" t="n">
        <v>25</v>
      </c>
      <c r="I3761" s="11" t="s">
        <v>331</v>
      </c>
      <c r="J3761" s="14" t="n">
        <v>18</v>
      </c>
      <c r="K3761" s="14"/>
      <c r="L3761" s="16"/>
      <c r="M3761" s="27" t="n">
        <f aca="false">J3761+(K3761/20)+(L3761/240)</f>
        <v>18</v>
      </c>
      <c r="N3761" s="17" t="s">
        <v>66</v>
      </c>
      <c r="O3761" s="11" t="s">
        <v>98</v>
      </c>
      <c r="P3761" s="28"/>
      <c r="Q3761" s="28" t="n">
        <f aca="false">P3761*$M3761</f>
        <v>0</v>
      </c>
      <c r="R3761" s="28"/>
      <c r="S3761" s="28" t="n">
        <f aca="false">R3761*$M3761</f>
        <v>0</v>
      </c>
      <c r="T3761" s="28"/>
      <c r="U3761" s="28" t="n">
        <f aca="false">T3761*$M3761</f>
        <v>0</v>
      </c>
      <c r="V3761" s="28"/>
      <c r="W3761" s="28" t="n">
        <f aca="false">V3761*$M3761</f>
        <v>0</v>
      </c>
      <c r="X3761" s="28"/>
      <c r="Y3761" s="28" t="n">
        <f aca="false">X3761*$M3761</f>
        <v>0</v>
      </c>
      <c r="Z3761" s="28"/>
      <c r="AA3761" s="28" t="n">
        <f aca="false">Z3761*$M3761</f>
        <v>0</v>
      </c>
      <c r="AB3761" s="28"/>
      <c r="AC3761" s="28" t="n">
        <f aca="false">AB3761*$M3761</f>
        <v>0</v>
      </c>
      <c r="AD3761" s="28"/>
      <c r="AE3761" s="28" t="n">
        <f aca="false">AD3761*$M3761</f>
        <v>0</v>
      </c>
      <c r="AF3761" s="28"/>
      <c r="AG3761" s="28" t="n">
        <f aca="false">AF3761*$M3761</f>
        <v>0</v>
      </c>
      <c r="AH3761" s="28"/>
      <c r="AI3761" s="28" t="n">
        <f aca="false">AH3761*$M3761</f>
        <v>0</v>
      </c>
      <c r="AJ3761" s="28"/>
      <c r="AK3761" s="28" t="n">
        <f aca="false">AJ3761*$M3761</f>
        <v>0</v>
      </c>
      <c r="AL3761" s="28"/>
      <c r="AM3761" s="28" t="n">
        <f aca="false">AL3761*$M3761</f>
        <v>0</v>
      </c>
      <c r="AN3761" s="28"/>
      <c r="AO3761" s="28" t="n">
        <f aca="false">AN3761*$M3761</f>
        <v>0</v>
      </c>
      <c r="AP3761" s="28"/>
      <c r="AQ3761" s="28" t="n">
        <f aca="false">AP3761*$M3761</f>
        <v>0</v>
      </c>
      <c r="AR3761" s="28"/>
      <c r="AS3761" s="28" t="n">
        <f aca="false">AR3761*$M3761</f>
        <v>0</v>
      </c>
      <c r="AT3761" s="28"/>
      <c r="AU3761" s="28" t="n">
        <f aca="false">AT3761*$M3761</f>
        <v>0</v>
      </c>
      <c r="AV3761" s="28"/>
      <c r="AW3761" s="28" t="n">
        <f aca="false">AV3761*$M3761</f>
        <v>0</v>
      </c>
      <c r="AX3761" s="28"/>
      <c r="AY3761" s="28" t="n">
        <f aca="false">AX3761*$M3761</f>
        <v>0</v>
      </c>
      <c r="AZ3761" s="30"/>
      <c r="BA3761" s="11"/>
      <c r="BB3761" s="31" t="n">
        <f aca="false">SUM(Q3761,S3761,U3761,W3761,Y3761,AA3761,AC3761,AE3761,AG3761,AI3761,AK3761,AM3761,AO3761,AQ3761,AS3761,AU3761,AW3761,AY3761)</f>
        <v>0</v>
      </c>
      <c r="BC3761" s="28" t="n">
        <f aca="false">BA3761-BB3761</f>
        <v>0</v>
      </c>
      <c r="BD3761" s="32" t="n">
        <f aca="false">SUM(P3761,R3761,T3761,V3761,X3761,Z3761,AB3761,AD3761,AF3761,AH3761,AJ3761,AL3761,AN3761,AP3761,AR3761,AT3761,AV3761,AX3761)</f>
        <v>0</v>
      </c>
      <c r="BE3761" s="33" t="n">
        <f aca="false">AZ3761-BD3761</f>
        <v>0</v>
      </c>
      <c r="BF3761" s="34" t="n">
        <f aca="false">BD3761*M3761</f>
        <v>0</v>
      </c>
      <c r="BG3761" s="35" t="n">
        <f aca="false">BA3761-BF3761</f>
        <v>0</v>
      </c>
      <c r="BH3761" s="19" t="str">
        <f aca="false">IF(BG3761=0,"",IF(BG3761&lt;&gt;BA3761,"erreur de calcul",IF(BD3761&lt;&gt;0,"pas de prix",IF(M3761&lt;&gt; 0,"pas de quantité","pas de prix, ni de quantité"))))</f>
        <v/>
      </c>
      <c r="BI3761" s="19"/>
    </row>
    <row r="3762" customFormat="false" ht="15" hidden="false" customHeight="false" outlineLevel="0" collapsed="false">
      <c r="A3762" s="0" t="n">
        <v>4</v>
      </c>
      <c r="B3762" s="8" t="s">
        <v>24</v>
      </c>
      <c r="C3762" s="9" t="s">
        <v>25</v>
      </c>
      <c r="D3762" s="9" t="s">
        <v>26</v>
      </c>
      <c r="E3762" s="10" t="n">
        <v>1789</v>
      </c>
      <c r="F3762" s="9" t="s">
        <v>27</v>
      </c>
      <c r="G3762" s="9" t="s">
        <v>27</v>
      </c>
      <c r="H3762" s="11" t="n">
        <v>25</v>
      </c>
      <c r="I3762" s="11" t="s">
        <v>332</v>
      </c>
      <c r="J3762" s="14" t="n">
        <v>18</v>
      </c>
      <c r="K3762" s="14"/>
      <c r="L3762" s="16"/>
      <c r="M3762" s="27" t="n">
        <f aca="false">J3762+(K3762/20)+(L3762/240)</f>
        <v>18</v>
      </c>
      <c r="N3762" s="17" t="s">
        <v>66</v>
      </c>
      <c r="O3762" s="11" t="s">
        <v>98</v>
      </c>
      <c r="P3762" s="28"/>
      <c r="Q3762" s="28" t="n">
        <f aca="false">P3762*$M3762</f>
        <v>0</v>
      </c>
      <c r="R3762" s="28"/>
      <c r="S3762" s="28" t="n">
        <f aca="false">R3762*$M3762</f>
        <v>0</v>
      </c>
      <c r="T3762" s="28"/>
      <c r="U3762" s="28" t="n">
        <f aca="false">T3762*$M3762</f>
        <v>0</v>
      </c>
      <c r="V3762" s="28"/>
      <c r="W3762" s="28" t="n">
        <f aca="false">V3762*$M3762</f>
        <v>0</v>
      </c>
      <c r="X3762" s="28"/>
      <c r="Y3762" s="28" t="n">
        <f aca="false">X3762*$M3762</f>
        <v>0</v>
      </c>
      <c r="Z3762" s="28"/>
      <c r="AA3762" s="28" t="n">
        <f aca="false">Z3762*$M3762</f>
        <v>0</v>
      </c>
      <c r="AB3762" s="28"/>
      <c r="AC3762" s="28" t="n">
        <f aca="false">AB3762*$M3762</f>
        <v>0</v>
      </c>
      <c r="AD3762" s="28"/>
      <c r="AE3762" s="28" t="n">
        <f aca="false">AD3762*$M3762</f>
        <v>0</v>
      </c>
      <c r="AF3762" s="28"/>
      <c r="AG3762" s="28" t="n">
        <f aca="false">AF3762*$M3762</f>
        <v>0</v>
      </c>
      <c r="AH3762" s="28"/>
      <c r="AI3762" s="28" t="n">
        <f aca="false">AH3762*$M3762</f>
        <v>0</v>
      </c>
      <c r="AJ3762" s="28"/>
      <c r="AK3762" s="28" t="n">
        <f aca="false">AJ3762*$M3762</f>
        <v>0</v>
      </c>
      <c r="AL3762" s="28"/>
      <c r="AM3762" s="28" t="n">
        <f aca="false">AL3762*$M3762</f>
        <v>0</v>
      </c>
      <c r="AN3762" s="28"/>
      <c r="AO3762" s="28" t="n">
        <f aca="false">AN3762*$M3762</f>
        <v>0</v>
      </c>
      <c r="AP3762" s="28"/>
      <c r="AQ3762" s="28" t="n">
        <f aca="false">AP3762*$M3762</f>
        <v>0</v>
      </c>
      <c r="AR3762" s="28"/>
      <c r="AS3762" s="28" t="n">
        <f aca="false">AR3762*$M3762</f>
        <v>0</v>
      </c>
      <c r="AT3762" s="28"/>
      <c r="AU3762" s="28" t="n">
        <f aca="false">AT3762*$M3762</f>
        <v>0</v>
      </c>
      <c r="AV3762" s="28"/>
      <c r="AW3762" s="28" t="n">
        <f aca="false">AV3762*$M3762</f>
        <v>0</v>
      </c>
      <c r="AX3762" s="28"/>
      <c r="AY3762" s="28" t="n">
        <f aca="false">AX3762*$M3762</f>
        <v>0</v>
      </c>
      <c r="AZ3762" s="30"/>
      <c r="BA3762" s="11"/>
      <c r="BB3762" s="31" t="n">
        <f aca="false">SUM(Q3762,S3762,U3762,W3762,Y3762,AA3762,AC3762,AE3762,AG3762,AI3762,AK3762,AM3762,AO3762,AQ3762,AS3762,AU3762,AW3762,AY3762)</f>
        <v>0</v>
      </c>
      <c r="BC3762" s="28" t="n">
        <f aca="false">BA3762-BB3762</f>
        <v>0</v>
      </c>
      <c r="BD3762" s="32" t="n">
        <f aca="false">SUM(P3762,R3762,T3762,V3762,X3762,Z3762,AB3762,AD3762,AF3762,AH3762,AJ3762,AL3762,AN3762,AP3762,AR3762,AT3762,AV3762,AX3762)</f>
        <v>0</v>
      </c>
      <c r="BE3762" s="33" t="n">
        <f aca="false">AZ3762-BD3762</f>
        <v>0</v>
      </c>
      <c r="BF3762" s="34" t="n">
        <f aca="false">BD3762*M3762</f>
        <v>0</v>
      </c>
      <c r="BG3762" s="35" t="n">
        <f aca="false">BA3762-BF3762</f>
        <v>0</v>
      </c>
      <c r="BH3762" s="19" t="str">
        <f aca="false">IF(BG3762=0,"",IF(BG3762&lt;&gt;BA3762,"erreur de calcul",IF(BD3762&lt;&gt;0,"pas de prix",IF(M3762&lt;&gt; 0,"pas de quantité","pas de prix, ni de quantité"))))</f>
        <v/>
      </c>
      <c r="BI3762" s="19"/>
    </row>
    <row r="3763" customFormat="false" ht="15" hidden="false" customHeight="false" outlineLevel="0" collapsed="false">
      <c r="A3763" s="0" t="n">
        <v>5</v>
      </c>
      <c r="B3763" s="8" t="s">
        <v>24</v>
      </c>
      <c r="C3763" s="9" t="s">
        <v>25</v>
      </c>
      <c r="D3763" s="9" t="s">
        <v>26</v>
      </c>
      <c r="E3763" s="10" t="n">
        <v>1789</v>
      </c>
      <c r="F3763" s="9" t="s">
        <v>27</v>
      </c>
      <c r="G3763" s="9" t="s">
        <v>27</v>
      </c>
      <c r="H3763" s="11" t="n">
        <v>25</v>
      </c>
      <c r="I3763" s="11" t="s">
        <v>333</v>
      </c>
      <c r="J3763" s="14" t="n">
        <v>44</v>
      </c>
      <c r="K3763" s="14"/>
      <c r="L3763" s="16"/>
      <c r="M3763" s="27" t="n">
        <f aca="false">J3763+(K3763/20)+(L3763/240)</f>
        <v>44</v>
      </c>
      <c r="N3763" s="17" t="s">
        <v>66</v>
      </c>
      <c r="O3763" s="11"/>
      <c r="P3763" s="28" t="n">
        <v>1391</v>
      </c>
      <c r="Q3763" s="28" t="n">
        <v>61204</v>
      </c>
      <c r="R3763" s="28"/>
      <c r="S3763" s="28" t="n">
        <f aca="false">R3763*$M3763</f>
        <v>0</v>
      </c>
      <c r="T3763" s="28"/>
      <c r="U3763" s="28" t="n">
        <f aca="false">T3763*$M3763</f>
        <v>0</v>
      </c>
      <c r="V3763" s="28"/>
      <c r="W3763" s="28" t="n">
        <f aca="false">V3763*$M3763</f>
        <v>0</v>
      </c>
      <c r="X3763" s="28"/>
      <c r="Y3763" s="28" t="n">
        <f aca="false">X3763*$M3763</f>
        <v>0</v>
      </c>
      <c r="Z3763" s="28"/>
      <c r="AA3763" s="28" t="n">
        <f aca="false">Z3763*$M3763</f>
        <v>0</v>
      </c>
      <c r="AB3763" s="28"/>
      <c r="AC3763" s="28" t="n">
        <f aca="false">AB3763*$M3763</f>
        <v>0</v>
      </c>
      <c r="AD3763" s="28"/>
      <c r="AE3763" s="28" t="n">
        <f aca="false">AD3763*$M3763</f>
        <v>0</v>
      </c>
      <c r="AF3763" s="28"/>
      <c r="AG3763" s="28" t="n">
        <f aca="false">AF3763*$M3763</f>
        <v>0</v>
      </c>
      <c r="AH3763" s="28"/>
      <c r="AI3763" s="28" t="n">
        <f aca="false">AH3763*$M3763</f>
        <v>0</v>
      </c>
      <c r="AJ3763" s="28"/>
      <c r="AK3763" s="28" t="n">
        <f aca="false">AJ3763*$M3763</f>
        <v>0</v>
      </c>
      <c r="AL3763" s="28"/>
      <c r="AM3763" s="28" t="n">
        <f aca="false">AL3763*$M3763</f>
        <v>0</v>
      </c>
      <c r="AN3763" s="28"/>
      <c r="AO3763" s="28" t="n">
        <f aca="false">AN3763*$M3763</f>
        <v>0</v>
      </c>
      <c r="AP3763" s="28"/>
      <c r="AQ3763" s="28" t="n">
        <f aca="false">AP3763*$M3763</f>
        <v>0</v>
      </c>
      <c r="AR3763" s="28"/>
      <c r="AS3763" s="28" t="n">
        <f aca="false">AR3763*$M3763</f>
        <v>0</v>
      </c>
      <c r="AT3763" s="28"/>
      <c r="AU3763" s="28" t="n">
        <f aca="false">AT3763*$M3763</f>
        <v>0</v>
      </c>
      <c r="AV3763" s="28"/>
      <c r="AW3763" s="28" t="n">
        <f aca="false">AV3763*$M3763</f>
        <v>0</v>
      </c>
      <c r="AX3763" s="28"/>
      <c r="AY3763" s="28" t="n">
        <f aca="false">AX3763*$M3763</f>
        <v>0</v>
      </c>
      <c r="AZ3763" s="30" t="n">
        <v>1391</v>
      </c>
      <c r="BA3763" s="11" t="n">
        <v>61204</v>
      </c>
      <c r="BB3763" s="31" t="n">
        <f aca="false">SUM(Q3763,S3763,U3763,W3763,Y3763,AA3763,AC3763,AE3763,AG3763,AI3763,AK3763,AM3763,AO3763,AQ3763,AS3763,AU3763,AW3763,AY3763)</f>
        <v>61204</v>
      </c>
      <c r="BC3763" s="28" t="n">
        <f aca="false">BA3763-BB3763</f>
        <v>0</v>
      </c>
      <c r="BD3763" s="32" t="n">
        <f aca="false">SUM(P3763,R3763,T3763,V3763,X3763,Z3763,AB3763,AD3763,AF3763,AH3763,AJ3763,AL3763,AN3763,AP3763,AR3763,AT3763,AV3763,AX3763)</f>
        <v>1391</v>
      </c>
      <c r="BE3763" s="33" t="n">
        <f aca="false">AZ3763-BD3763</f>
        <v>0</v>
      </c>
      <c r="BF3763" s="34" t="n">
        <f aca="false">BD3763*M3763</f>
        <v>61204</v>
      </c>
      <c r="BG3763" s="35" t="n">
        <f aca="false">BA3763-BF3763</f>
        <v>0</v>
      </c>
      <c r="BH3763" s="19" t="str">
        <f aca="false">IF(BG3763=0,"",IF(BG3763&lt;&gt;BA3763,"erreur de calcul",IF(BD3763&lt;&gt;0,"pas de prix",IF(M3763&lt;&gt; 0,"pas de quantité","pas de prix, ni de quantité"))))</f>
        <v/>
      </c>
      <c r="BI3763" s="19"/>
    </row>
    <row r="3764" customFormat="false" ht="15" hidden="false" customHeight="false" outlineLevel="0" collapsed="false">
      <c r="A3764" s="0" t="n">
        <v>6</v>
      </c>
      <c r="B3764" s="8" t="s">
        <v>24</v>
      </c>
      <c r="C3764" s="9" t="s">
        <v>25</v>
      </c>
      <c r="D3764" s="9" t="s">
        <v>26</v>
      </c>
      <c r="E3764" s="10" t="n">
        <v>1789</v>
      </c>
      <c r="F3764" s="9" t="s">
        <v>27</v>
      </c>
      <c r="G3764" s="9" t="s">
        <v>27</v>
      </c>
      <c r="H3764" s="11" t="n">
        <v>25</v>
      </c>
      <c r="I3764" s="11" t="s">
        <v>334</v>
      </c>
      <c r="J3764" s="14" t="n">
        <v>12</v>
      </c>
      <c r="K3764" s="14"/>
      <c r="L3764" s="16"/>
      <c r="M3764" s="27" t="n">
        <f aca="false">J3764+(K3764/20)+(L3764/240)</f>
        <v>12</v>
      </c>
      <c r="N3764" s="17" t="s">
        <v>64</v>
      </c>
      <c r="O3764" s="11"/>
      <c r="P3764" s="28"/>
      <c r="Q3764" s="28" t="n">
        <f aca="false">P3764*$M3764</f>
        <v>0</v>
      </c>
      <c r="R3764" s="28"/>
      <c r="S3764" s="28" t="n">
        <f aca="false">R3764*$M3764</f>
        <v>0</v>
      </c>
      <c r="T3764" s="28"/>
      <c r="U3764" s="28" t="n">
        <f aca="false">T3764*$M3764</f>
        <v>0</v>
      </c>
      <c r="V3764" s="28"/>
      <c r="W3764" s="28" t="n">
        <f aca="false">V3764*$M3764</f>
        <v>0</v>
      </c>
      <c r="X3764" s="28" t="n">
        <f aca="false">1111/100</f>
        <v>11.11</v>
      </c>
      <c r="Y3764" s="28" t="n">
        <v>133</v>
      </c>
      <c r="Z3764" s="28"/>
      <c r="AA3764" s="28" t="n">
        <f aca="false">Z3764*$M3764</f>
        <v>0</v>
      </c>
      <c r="AB3764" s="28"/>
      <c r="AC3764" s="28" t="n">
        <f aca="false">AB3764*$M3764</f>
        <v>0</v>
      </c>
      <c r="AD3764" s="28"/>
      <c r="AE3764" s="28" t="n">
        <f aca="false">AD3764*$M3764</f>
        <v>0</v>
      </c>
      <c r="AF3764" s="28"/>
      <c r="AG3764" s="28" t="n">
        <f aca="false">AF3764*$M3764</f>
        <v>0</v>
      </c>
      <c r="AH3764" s="28"/>
      <c r="AI3764" s="28" t="n">
        <f aca="false">AH3764*$M3764</f>
        <v>0</v>
      </c>
      <c r="AJ3764" s="28"/>
      <c r="AK3764" s="28" t="n">
        <f aca="false">AJ3764*$M3764</f>
        <v>0</v>
      </c>
      <c r="AL3764" s="28"/>
      <c r="AM3764" s="28" t="n">
        <f aca="false">AL3764*$M3764</f>
        <v>0</v>
      </c>
      <c r="AN3764" s="28"/>
      <c r="AO3764" s="28" t="n">
        <f aca="false">AN3764*$M3764</f>
        <v>0</v>
      </c>
      <c r="AP3764" s="28"/>
      <c r="AQ3764" s="28" t="n">
        <f aca="false">AP3764*$M3764</f>
        <v>0</v>
      </c>
      <c r="AR3764" s="28"/>
      <c r="AS3764" s="28" t="n">
        <f aca="false">AR3764*$M3764</f>
        <v>0</v>
      </c>
      <c r="AT3764" s="28"/>
      <c r="AU3764" s="28" t="n">
        <f aca="false">AT3764*$M3764</f>
        <v>0</v>
      </c>
      <c r="AV3764" s="28"/>
      <c r="AW3764" s="28" t="n">
        <f aca="false">AV3764*$M3764</f>
        <v>0</v>
      </c>
      <c r="AX3764" s="28"/>
      <c r="AY3764" s="28" t="n">
        <f aca="false">AX3764*$M3764</f>
        <v>0</v>
      </c>
      <c r="AZ3764" s="30" t="n">
        <f aca="false">1111/100</f>
        <v>11.11</v>
      </c>
      <c r="BA3764" s="11" t="n">
        <v>133</v>
      </c>
      <c r="BB3764" s="31" t="n">
        <f aca="false">SUM(Q3764,S3764,U3764,W3764,Y3764,AA3764,AC3764,AE3764,AG3764,AI3764,AK3764,AM3764,AO3764,AQ3764,AS3764,AU3764,AW3764,AY3764)</f>
        <v>133</v>
      </c>
      <c r="BC3764" s="28" t="n">
        <f aca="false">BA3764-BB3764</f>
        <v>0</v>
      </c>
      <c r="BD3764" s="32" t="n">
        <f aca="false">SUM(P3764,R3764,T3764,V3764,X3764,Z3764,AB3764,AD3764,AF3764,AH3764,AJ3764,AL3764,AN3764,AP3764,AR3764,AT3764,AV3764,AX3764)</f>
        <v>11.11</v>
      </c>
      <c r="BE3764" s="33" t="n">
        <f aca="false">AZ3764-BD3764</f>
        <v>0</v>
      </c>
      <c r="BF3764" s="34" t="n">
        <f aca="false">BD3764*M3764</f>
        <v>133.32</v>
      </c>
      <c r="BG3764" s="35" t="n">
        <f aca="false">BA3764-BF3764</f>
        <v>-0.319999999999993</v>
      </c>
      <c r="BH3764" s="19" t="str">
        <f aca="false">IF(BG3764=0,"",IF(BG3764&lt;&gt;BA3764,"erreur de calcul",IF(BD3764&lt;&gt;0,"pas de prix",IF(M3764&lt;&gt; 0,"pas de quantité","pas de prix, ni de quantité"))))</f>
        <v>erreur de calcul</v>
      </c>
      <c r="BI3764" s="19"/>
    </row>
    <row r="3765" customFormat="false" ht="16.65" hidden="false" customHeight="false" outlineLevel="0" collapsed="false">
      <c r="A3765" s="0" t="n">
        <v>7</v>
      </c>
      <c r="B3765" s="8" t="s">
        <v>24</v>
      </c>
      <c r="C3765" s="9" t="s">
        <v>25</v>
      </c>
      <c r="D3765" s="9" t="s">
        <v>26</v>
      </c>
      <c r="E3765" s="10" t="n">
        <v>1789</v>
      </c>
      <c r="F3765" s="9" t="s">
        <v>27</v>
      </c>
      <c r="G3765" s="9" t="s">
        <v>27</v>
      </c>
      <c r="H3765" s="11" t="n">
        <v>25</v>
      </c>
      <c r="I3765" s="11" t="s">
        <v>335</v>
      </c>
      <c r="J3765" s="14" t="n">
        <v>4</v>
      </c>
      <c r="K3765" s="14" t="n">
        <v>10</v>
      </c>
      <c r="L3765" s="16"/>
      <c r="M3765" s="27" t="n">
        <f aca="false">J3765+(K3765/20)+(L3765/240)</f>
        <v>4.5</v>
      </c>
      <c r="N3765" s="17" t="s">
        <v>64</v>
      </c>
      <c r="O3765" s="11" t="s">
        <v>77</v>
      </c>
      <c r="P3765" s="28" t="n">
        <f aca="false">8366/100</f>
        <v>83.66</v>
      </c>
      <c r="Q3765" s="28" t="n">
        <v>376</v>
      </c>
      <c r="R3765" s="28"/>
      <c r="S3765" s="28" t="n">
        <f aca="false">R3765*$M3765</f>
        <v>0</v>
      </c>
      <c r="T3765" s="28"/>
      <c r="U3765" s="28" t="n">
        <f aca="false">T3765*$M3765</f>
        <v>0</v>
      </c>
      <c r="V3765" s="28"/>
      <c r="W3765" s="28" t="n">
        <f aca="false">V3765*$M3765</f>
        <v>0</v>
      </c>
      <c r="X3765" s="28"/>
      <c r="Y3765" s="28" t="n">
        <f aca="false">X3765*$M3765</f>
        <v>0</v>
      </c>
      <c r="Z3765" s="28"/>
      <c r="AA3765" s="28" t="n">
        <f aca="false">Z3765*$M3765</f>
        <v>0</v>
      </c>
      <c r="AB3765" s="28"/>
      <c r="AC3765" s="28" t="n">
        <f aca="false">AB3765*$M3765</f>
        <v>0</v>
      </c>
      <c r="AD3765" s="28"/>
      <c r="AE3765" s="28" t="n">
        <f aca="false">AD3765*$M3765</f>
        <v>0</v>
      </c>
      <c r="AF3765" s="28"/>
      <c r="AG3765" s="28" t="n">
        <f aca="false">AF3765*$M3765</f>
        <v>0</v>
      </c>
      <c r="AH3765" s="28"/>
      <c r="AI3765" s="28" t="n">
        <f aca="false">AH3765*$M3765</f>
        <v>0</v>
      </c>
      <c r="AJ3765" s="28"/>
      <c r="AK3765" s="28" t="n">
        <f aca="false">AJ3765*$M3765</f>
        <v>0</v>
      </c>
      <c r="AL3765" s="28"/>
      <c r="AM3765" s="28" t="n">
        <f aca="false">AL3765*$M3765</f>
        <v>0</v>
      </c>
      <c r="AN3765" s="28"/>
      <c r="AO3765" s="28" t="n">
        <f aca="false">AN3765*$M3765</f>
        <v>0</v>
      </c>
      <c r="AP3765" s="28"/>
      <c r="AQ3765" s="28" t="n">
        <f aca="false">AP3765*$M3765</f>
        <v>0</v>
      </c>
      <c r="AR3765" s="28"/>
      <c r="AS3765" s="28" t="n">
        <f aca="false">AR3765*$M3765</f>
        <v>0</v>
      </c>
      <c r="AT3765" s="28"/>
      <c r="AU3765" s="28" t="n">
        <f aca="false">AT3765*$M3765</f>
        <v>0</v>
      </c>
      <c r="AV3765" s="28"/>
      <c r="AW3765" s="28" t="n">
        <f aca="false">AV3765*$M3765</f>
        <v>0</v>
      </c>
      <c r="AX3765" s="28"/>
      <c r="AY3765" s="28" t="n">
        <f aca="false">AX3765*$M3765</f>
        <v>0</v>
      </c>
      <c r="AZ3765" s="30" t="n">
        <f aca="false">8366/100</f>
        <v>83.66</v>
      </c>
      <c r="BA3765" s="11" t="n">
        <v>376</v>
      </c>
      <c r="BB3765" s="31" t="n">
        <f aca="false">SUM(Q3765,S3765,U3765,W3765,Y3765,AA3765,AC3765,AE3765,AG3765,AI3765,AK3765,AM3765,AO3765,AQ3765,AS3765,AU3765,AW3765,AY3765)</f>
        <v>376</v>
      </c>
      <c r="BC3765" s="28" t="n">
        <f aca="false">BA3765-BB3765</f>
        <v>0</v>
      </c>
      <c r="BD3765" s="32" t="n">
        <f aca="false">SUM(P3765,R3765,T3765,V3765,X3765,Z3765,AB3765,AD3765,AF3765,AH3765,AJ3765,AL3765,AN3765,AP3765,AR3765,AT3765,AV3765,AX3765)</f>
        <v>83.66</v>
      </c>
      <c r="BE3765" s="33" t="n">
        <f aca="false">AZ3765-BD3765</f>
        <v>0</v>
      </c>
      <c r="BF3765" s="34" t="n">
        <f aca="false">BD3765*M3765</f>
        <v>376.47</v>
      </c>
      <c r="BG3765" s="35" t="n">
        <f aca="false">BA3765-BF3765</f>
        <v>-0.46999999999997</v>
      </c>
      <c r="BH3765" s="19" t="str">
        <f aca="false">IF(BG3765=0,"",IF(BG3765&lt;&gt;BA3765,"erreur de calcul",IF(BD3765&lt;&gt;0,"pas de prix",IF(M3765&lt;&gt; 0,"pas de quantité","pas de prix, ni de quantité"))))</f>
        <v>erreur de calcul</v>
      </c>
      <c r="BI3765" s="19"/>
    </row>
    <row r="3766" customFormat="false" ht="15" hidden="false" customHeight="false" outlineLevel="0" collapsed="false">
      <c r="A3766" s="0" t="n">
        <v>8</v>
      </c>
      <c r="B3766" s="8" t="s">
        <v>24</v>
      </c>
      <c r="C3766" s="9" t="s">
        <v>25</v>
      </c>
      <c r="D3766" s="9" t="s">
        <v>26</v>
      </c>
      <c r="E3766" s="10" t="n">
        <v>1789</v>
      </c>
      <c r="F3766" s="9" t="s">
        <v>27</v>
      </c>
      <c r="G3766" s="9" t="s">
        <v>27</v>
      </c>
      <c r="H3766" s="11" t="n">
        <v>25</v>
      </c>
      <c r="I3766" s="11" t="s">
        <v>336</v>
      </c>
      <c r="J3766" s="14" t="n">
        <v>64</v>
      </c>
      <c r="K3766" s="14"/>
      <c r="L3766" s="16"/>
      <c r="M3766" s="27" t="n">
        <f aca="false">J3766+(K3766/20)+(L3766/240)</f>
        <v>64</v>
      </c>
      <c r="N3766" s="17" t="s">
        <v>337</v>
      </c>
      <c r="O3766" s="11"/>
      <c r="P3766" s="28"/>
      <c r="Q3766" s="28" t="n">
        <f aca="false">P3766*$M3766</f>
        <v>0</v>
      </c>
      <c r="R3766" s="28"/>
      <c r="S3766" s="28" t="n">
        <f aca="false">R3766*$M3766</f>
        <v>0</v>
      </c>
      <c r="T3766" s="28" t="n">
        <v>42</v>
      </c>
      <c r="U3766" s="28" t="n">
        <v>2688</v>
      </c>
      <c r="V3766" s="28"/>
      <c r="W3766" s="28" t="n">
        <f aca="false">V3766*$M3766</f>
        <v>0</v>
      </c>
      <c r="X3766" s="28"/>
      <c r="Y3766" s="28" t="n">
        <f aca="false">X3766*$M3766</f>
        <v>0</v>
      </c>
      <c r="Z3766" s="28"/>
      <c r="AA3766" s="28" t="n">
        <f aca="false">Z3766*$M3766</f>
        <v>0</v>
      </c>
      <c r="AB3766" s="28" t="n">
        <v>66</v>
      </c>
      <c r="AC3766" s="28" t="n">
        <v>4224</v>
      </c>
      <c r="AD3766" s="28"/>
      <c r="AE3766" s="28" t="n">
        <f aca="false">AD3766*$M3766</f>
        <v>0</v>
      </c>
      <c r="AF3766" s="28"/>
      <c r="AG3766" s="28" t="n">
        <f aca="false">AF3766*$M3766</f>
        <v>0</v>
      </c>
      <c r="AH3766" s="28"/>
      <c r="AI3766" s="28" t="n">
        <f aca="false">AH3766*$M3766</f>
        <v>0</v>
      </c>
      <c r="AJ3766" s="28"/>
      <c r="AK3766" s="28" t="n">
        <f aca="false">AJ3766*$M3766</f>
        <v>0</v>
      </c>
      <c r="AL3766" s="28"/>
      <c r="AM3766" s="28" t="n">
        <f aca="false">AL3766*$M3766</f>
        <v>0</v>
      </c>
      <c r="AN3766" s="28"/>
      <c r="AO3766" s="28" t="n">
        <f aca="false">AN3766*$M3766</f>
        <v>0</v>
      </c>
      <c r="AP3766" s="28"/>
      <c r="AQ3766" s="28" t="n">
        <f aca="false">AP3766*$M3766</f>
        <v>0</v>
      </c>
      <c r="AR3766" s="28"/>
      <c r="AS3766" s="28" t="n">
        <f aca="false">AR3766*$M3766</f>
        <v>0</v>
      </c>
      <c r="AT3766" s="28"/>
      <c r="AU3766" s="28" t="n">
        <f aca="false">AT3766*$M3766</f>
        <v>0</v>
      </c>
      <c r="AV3766" s="28"/>
      <c r="AW3766" s="28" t="n">
        <f aca="false">AV3766*$M3766</f>
        <v>0</v>
      </c>
      <c r="AX3766" s="28"/>
      <c r="AY3766" s="28" t="n">
        <f aca="false">AX3766*$M3766</f>
        <v>0</v>
      </c>
      <c r="AZ3766" s="30" t="n">
        <v>108</v>
      </c>
      <c r="BA3766" s="11" t="n">
        <v>6912</v>
      </c>
      <c r="BB3766" s="31" t="n">
        <f aca="false">SUM(Q3766,S3766,U3766,W3766,Y3766,AA3766,AC3766,AE3766,AG3766,AI3766,AK3766,AM3766,AO3766,AQ3766,AS3766,AU3766,AW3766,AY3766)</f>
        <v>6912</v>
      </c>
      <c r="BC3766" s="28" t="n">
        <f aca="false">BA3766-BB3766</f>
        <v>0</v>
      </c>
      <c r="BD3766" s="32" t="n">
        <f aca="false">SUM(P3766,R3766,T3766,V3766,X3766,Z3766,AB3766,AD3766,AF3766,AH3766,AJ3766,AL3766,AN3766,AP3766,AR3766,AT3766,AV3766,AX3766)</f>
        <v>108</v>
      </c>
      <c r="BE3766" s="33" t="n">
        <f aca="false">AZ3766-BD3766</f>
        <v>0</v>
      </c>
      <c r="BF3766" s="34" t="n">
        <f aca="false">BD3766*M3766</f>
        <v>6912</v>
      </c>
      <c r="BG3766" s="35" t="n">
        <f aca="false">BA3766-BF3766</f>
        <v>0</v>
      </c>
      <c r="BH3766" s="19" t="str">
        <f aca="false">IF(BG3766=0,"",IF(BG3766&lt;&gt;BA3766,"erreur de calcul",IF(BD3766&lt;&gt;0,"pas de prix",IF(M3766&lt;&gt; 0,"pas de quantité","pas de prix, ni de quantité"))))</f>
        <v/>
      </c>
      <c r="BI3766" s="19"/>
    </row>
    <row r="3767" customFormat="false" ht="15" hidden="false" customHeight="false" outlineLevel="0" collapsed="false">
      <c r="A3767" s="0" t="n">
        <v>9</v>
      </c>
      <c r="B3767" s="8" t="s">
        <v>24</v>
      </c>
      <c r="C3767" s="9" t="s">
        <v>25</v>
      </c>
      <c r="D3767" s="9" t="s">
        <v>26</v>
      </c>
      <c r="E3767" s="10" t="n">
        <v>1789</v>
      </c>
      <c r="F3767" s="9" t="s">
        <v>27</v>
      </c>
      <c r="G3767" s="9" t="s">
        <v>27</v>
      </c>
      <c r="H3767" s="11" t="n">
        <v>25</v>
      </c>
      <c r="I3767" s="11" t="s">
        <v>338</v>
      </c>
      <c r="J3767" s="14"/>
      <c r="K3767" s="14"/>
      <c r="L3767" s="16"/>
      <c r="M3767" s="27" t="n">
        <f aca="false">J3767+(K3767/20)+(L3767/240)</f>
        <v>0</v>
      </c>
      <c r="N3767" s="17"/>
      <c r="O3767" s="11"/>
      <c r="P3767" s="28"/>
      <c r="Q3767" s="28" t="n">
        <f aca="false">P3767*$M3767</f>
        <v>0</v>
      </c>
      <c r="R3767" s="28"/>
      <c r="S3767" s="28" t="n">
        <f aca="false">R3767*$M3767</f>
        <v>0</v>
      </c>
      <c r="T3767" s="28"/>
      <c r="U3767" s="28" t="n">
        <v>135</v>
      </c>
      <c r="V3767" s="28"/>
      <c r="W3767" s="28" t="n">
        <v>642</v>
      </c>
      <c r="X3767" s="28"/>
      <c r="Y3767" s="28" t="n">
        <f aca="false">X3767*$M3767</f>
        <v>0</v>
      </c>
      <c r="Z3767" s="28"/>
      <c r="AA3767" s="28" t="n">
        <f aca="false">Z3767*$M3767</f>
        <v>0</v>
      </c>
      <c r="AB3767" s="28"/>
      <c r="AC3767" s="28" t="n">
        <f aca="false">AB3767*$M3767</f>
        <v>0</v>
      </c>
      <c r="AD3767" s="28"/>
      <c r="AE3767" s="28" t="n">
        <f aca="false">AD3767*$M3767</f>
        <v>0</v>
      </c>
      <c r="AF3767" s="28"/>
      <c r="AG3767" s="28" t="n">
        <f aca="false">AF3767*$M3767</f>
        <v>0</v>
      </c>
      <c r="AH3767" s="28"/>
      <c r="AI3767" s="28" t="n">
        <f aca="false">AH3767*$M3767</f>
        <v>0</v>
      </c>
      <c r="AJ3767" s="28"/>
      <c r="AK3767" s="28" t="n">
        <v>375</v>
      </c>
      <c r="AL3767" s="28"/>
      <c r="AM3767" s="28" t="n">
        <f aca="false">AL3767*$M3767</f>
        <v>0</v>
      </c>
      <c r="AN3767" s="28"/>
      <c r="AO3767" s="28" t="n">
        <f aca="false">AN3767*$M3767</f>
        <v>0</v>
      </c>
      <c r="AP3767" s="28"/>
      <c r="AQ3767" s="28" t="n">
        <f aca="false">AP3767*$M3767</f>
        <v>0</v>
      </c>
      <c r="AR3767" s="28"/>
      <c r="AS3767" s="28" t="n">
        <f aca="false">AR3767*$M3767</f>
        <v>0</v>
      </c>
      <c r="AT3767" s="28"/>
      <c r="AU3767" s="28" t="n">
        <f aca="false">AT3767*$M3767</f>
        <v>0</v>
      </c>
      <c r="AV3767" s="28"/>
      <c r="AW3767" s="28" t="n">
        <v>765</v>
      </c>
      <c r="AX3767" s="28"/>
      <c r="AY3767" s="28" t="n">
        <f aca="false">AX3767*$M3767</f>
        <v>0</v>
      </c>
      <c r="AZ3767" s="30"/>
      <c r="BA3767" s="11" t="n">
        <v>1917</v>
      </c>
      <c r="BB3767" s="31" t="n">
        <f aca="false">SUM(Q3767,S3767,U3767,W3767,Y3767,AA3767,AC3767,AE3767,AG3767,AI3767,AK3767,AM3767,AO3767,AQ3767,AS3767,AU3767,AW3767,AY3767)</f>
        <v>1917</v>
      </c>
      <c r="BC3767" s="28" t="n">
        <f aca="false">BA3767-BB3767</f>
        <v>0</v>
      </c>
      <c r="BD3767" s="32" t="n">
        <f aca="false">SUM(P3767,R3767,T3767,V3767,X3767,Z3767,AB3767,AD3767,AF3767,AH3767,AJ3767,AL3767,AN3767,AP3767,AR3767,AT3767,AV3767,AX3767)</f>
        <v>0</v>
      </c>
      <c r="BE3767" s="33" t="n">
        <f aca="false">AZ3767-BD3767</f>
        <v>0</v>
      </c>
      <c r="BF3767" s="34" t="n">
        <f aca="false">BD3767*M3767</f>
        <v>0</v>
      </c>
      <c r="BG3767" s="35" t="n">
        <f aca="false">BA3767-BF3767</f>
        <v>1917</v>
      </c>
      <c r="BH3767" s="19" t="str">
        <f aca="false">IF(BG3767=0,"",IF(BG3767&lt;&gt;BA3767,"erreur de calcul",IF(BD3767&lt;&gt;0,"pas de prix",IF(M3767&lt;&gt; 0,"pas de quantité","pas de prix, ni de quantité"))))</f>
        <v>pas de prix, ni de quantité</v>
      </c>
      <c r="BI3767" s="19"/>
    </row>
    <row r="3768" customFormat="false" ht="15" hidden="false" customHeight="false" outlineLevel="0" collapsed="false">
      <c r="A3768" s="0" t="n">
        <v>10</v>
      </c>
      <c r="B3768" s="8" t="s">
        <v>24</v>
      </c>
      <c r="C3768" s="9" t="s">
        <v>25</v>
      </c>
      <c r="D3768" s="9" t="s">
        <v>26</v>
      </c>
      <c r="E3768" s="10" t="n">
        <v>1789</v>
      </c>
      <c r="F3768" s="9" t="s">
        <v>27</v>
      </c>
      <c r="G3768" s="9" t="s">
        <v>27</v>
      </c>
      <c r="H3768" s="11" t="n">
        <v>25</v>
      </c>
      <c r="I3768" s="11" t="s">
        <v>339</v>
      </c>
      <c r="J3768" s="14" t="n">
        <v>7</v>
      </c>
      <c r="K3768" s="14"/>
      <c r="L3768" s="16"/>
      <c r="M3768" s="27" t="n">
        <f aca="false">J3768+(K3768/20)+(L3768/240)</f>
        <v>7</v>
      </c>
      <c r="N3768" s="17" t="s">
        <v>69</v>
      </c>
      <c r="O3768" s="11"/>
      <c r="P3768" s="28"/>
      <c r="Q3768" s="28" t="n">
        <f aca="false">P3768*$M3768</f>
        <v>0</v>
      </c>
      <c r="R3768" s="28"/>
      <c r="S3768" s="28" t="n">
        <f aca="false">R3768*$M3768</f>
        <v>0</v>
      </c>
      <c r="T3768" s="28"/>
      <c r="U3768" s="28" t="n">
        <f aca="false">T3768*$M3768</f>
        <v>0</v>
      </c>
      <c r="V3768" s="28" t="n">
        <v>554</v>
      </c>
      <c r="W3768" s="28" t="n">
        <v>3878</v>
      </c>
      <c r="X3768" s="28"/>
      <c r="Y3768" s="28" t="n">
        <f aca="false">X3768*$M3768</f>
        <v>0</v>
      </c>
      <c r="Z3768" s="28"/>
      <c r="AA3768" s="28" t="n">
        <f aca="false">Z3768*$M3768</f>
        <v>0</v>
      </c>
      <c r="AB3768" s="28"/>
      <c r="AC3768" s="28" t="n">
        <f aca="false">AB3768*$M3768</f>
        <v>0</v>
      </c>
      <c r="AD3768" s="28"/>
      <c r="AE3768" s="28" t="n">
        <f aca="false">AD3768*$M3768</f>
        <v>0</v>
      </c>
      <c r="AF3768" s="28"/>
      <c r="AG3768" s="28" t="n">
        <f aca="false">AF3768*$M3768</f>
        <v>0</v>
      </c>
      <c r="AH3768" s="28"/>
      <c r="AI3768" s="28" t="n">
        <f aca="false">AH3768*$M3768</f>
        <v>0</v>
      </c>
      <c r="AJ3768" s="28"/>
      <c r="AK3768" s="28" t="n">
        <f aca="false">AJ3768*$M3768</f>
        <v>0</v>
      </c>
      <c r="AL3768" s="28"/>
      <c r="AM3768" s="28" t="n">
        <f aca="false">AL3768*$M3768</f>
        <v>0</v>
      </c>
      <c r="AN3768" s="28"/>
      <c r="AO3768" s="28" t="n">
        <f aca="false">AN3768*$M3768</f>
        <v>0</v>
      </c>
      <c r="AP3768" s="28"/>
      <c r="AQ3768" s="28" t="n">
        <f aca="false">AP3768*$M3768</f>
        <v>0</v>
      </c>
      <c r="AR3768" s="28"/>
      <c r="AS3768" s="28" t="n">
        <f aca="false">AR3768*$M3768</f>
        <v>0</v>
      </c>
      <c r="AT3768" s="28"/>
      <c r="AU3768" s="28" t="n">
        <f aca="false">AT3768*$M3768</f>
        <v>0</v>
      </c>
      <c r="AV3768" s="28"/>
      <c r="AW3768" s="28" t="n">
        <f aca="false">AV3768*$M3768</f>
        <v>0</v>
      </c>
      <c r="AX3768" s="28"/>
      <c r="AY3768" s="28" t="n">
        <f aca="false">AX3768*$M3768</f>
        <v>0</v>
      </c>
      <c r="AZ3768" s="30" t="n">
        <v>554</v>
      </c>
      <c r="BA3768" s="11" t="n">
        <v>3878</v>
      </c>
      <c r="BB3768" s="31" t="n">
        <f aca="false">SUM(Q3768,S3768,U3768,W3768,Y3768,AA3768,AC3768,AE3768,AG3768,AI3768,AK3768,AM3768,AO3768,AQ3768,AS3768,AU3768,AW3768,AY3768)</f>
        <v>3878</v>
      </c>
      <c r="BC3768" s="28" t="n">
        <f aca="false">BA3768-BB3768</f>
        <v>0</v>
      </c>
      <c r="BD3768" s="32" t="n">
        <f aca="false">SUM(P3768,R3768,T3768,V3768,X3768,Z3768,AB3768,AD3768,AF3768,AH3768,AJ3768,AL3768,AN3768,AP3768,AR3768,AT3768,AV3768,AX3768)</f>
        <v>554</v>
      </c>
      <c r="BE3768" s="33" t="n">
        <f aca="false">AZ3768-BD3768</f>
        <v>0</v>
      </c>
      <c r="BF3768" s="34" t="n">
        <f aca="false">BD3768*M3768</f>
        <v>3878</v>
      </c>
      <c r="BG3768" s="35" t="n">
        <f aca="false">BA3768-BF3768</f>
        <v>0</v>
      </c>
      <c r="BH3768" s="19" t="str">
        <f aca="false">IF(BG3768=0,"",IF(BG3768&lt;&gt;BA3768,"erreur de calcul",IF(BD3768&lt;&gt;0,"pas de prix",IF(M3768&lt;&gt; 0,"pas de quantité","pas de prix, ni de quantité"))))</f>
        <v/>
      </c>
      <c r="BI3768" s="19"/>
    </row>
    <row r="3769" customFormat="false" ht="15" hidden="false" customHeight="false" outlineLevel="0" collapsed="false">
      <c r="A3769" s="0" t="n">
        <v>11</v>
      </c>
      <c r="B3769" s="8" t="s">
        <v>24</v>
      </c>
      <c r="C3769" s="9" t="s">
        <v>25</v>
      </c>
      <c r="D3769" s="9" t="s">
        <v>26</v>
      </c>
      <c r="E3769" s="10" t="n">
        <v>1789</v>
      </c>
      <c r="F3769" s="9" t="s">
        <v>27</v>
      </c>
      <c r="G3769" s="9" t="s">
        <v>27</v>
      </c>
      <c r="H3769" s="11" t="n">
        <v>25</v>
      </c>
      <c r="I3769" s="11" t="s">
        <v>340</v>
      </c>
      <c r="J3769" s="14" t="n">
        <v>15</v>
      </c>
      <c r="K3769" s="14"/>
      <c r="L3769" s="16"/>
      <c r="M3769" s="27" t="n">
        <f aca="false">J3769+(K3769/20)+(L3769/240)</f>
        <v>15</v>
      </c>
      <c r="N3769" s="17" t="s">
        <v>64</v>
      </c>
      <c r="O3769" s="11"/>
      <c r="P3769" s="28" t="n">
        <f aca="false">470959/100</f>
        <v>4709.59</v>
      </c>
      <c r="Q3769" s="28" t="n">
        <v>70644</v>
      </c>
      <c r="R3769" s="28"/>
      <c r="S3769" s="28" t="n">
        <f aca="false">R3769*$M3769</f>
        <v>0</v>
      </c>
      <c r="T3769" s="28"/>
      <c r="U3769" s="28" t="n">
        <f aca="false">T3769*$M3769</f>
        <v>0</v>
      </c>
      <c r="V3769" s="28"/>
      <c r="W3769" s="28" t="n">
        <f aca="false">V3769*$M3769</f>
        <v>0</v>
      </c>
      <c r="X3769" s="28"/>
      <c r="Y3769" s="28" t="n">
        <f aca="false">X3769*$M3769</f>
        <v>0</v>
      </c>
      <c r="Z3769" s="28"/>
      <c r="AA3769" s="28" t="n">
        <f aca="false">Z3769*$M3769</f>
        <v>0</v>
      </c>
      <c r="AB3769" s="28" t="n">
        <f aca="false">50000/100</f>
        <v>500</v>
      </c>
      <c r="AC3769" s="28" t="n">
        <v>7500</v>
      </c>
      <c r="AD3769" s="28"/>
      <c r="AE3769" s="28" t="n">
        <f aca="false">AD3769*$M3769</f>
        <v>0</v>
      </c>
      <c r="AF3769" s="28" t="n">
        <f aca="false">15584/100</f>
        <v>155.84</v>
      </c>
      <c r="AG3769" s="28" t="n">
        <v>2338</v>
      </c>
      <c r="AH3769" s="28"/>
      <c r="AI3769" s="28" t="n">
        <f aca="false">AH3769*$M3769</f>
        <v>0</v>
      </c>
      <c r="AJ3769" s="28"/>
      <c r="AK3769" s="28" t="n">
        <f aca="false">AJ3769*$M3769</f>
        <v>0</v>
      </c>
      <c r="AL3769" s="28"/>
      <c r="AM3769" s="28" t="n">
        <f aca="false">AL3769*$M3769</f>
        <v>0</v>
      </c>
      <c r="AN3769" s="28"/>
      <c r="AO3769" s="28" t="n">
        <f aca="false">AN3769*$M3769</f>
        <v>0</v>
      </c>
      <c r="AP3769" s="28"/>
      <c r="AQ3769" s="28" t="n">
        <f aca="false">AP3769*$M3769</f>
        <v>0</v>
      </c>
      <c r="AR3769" s="28"/>
      <c r="AS3769" s="28" t="n">
        <f aca="false">AR3769*$M3769</f>
        <v>0</v>
      </c>
      <c r="AT3769" s="28"/>
      <c r="AU3769" s="28" t="n">
        <f aca="false">AT3769*$M3769</f>
        <v>0</v>
      </c>
      <c r="AV3769" s="28"/>
      <c r="AW3769" s="28" t="n">
        <f aca="false">AV3769*$M3769</f>
        <v>0</v>
      </c>
      <c r="AX3769" s="28"/>
      <c r="AY3769" s="28" t="n">
        <f aca="false">AX3769*$M3769</f>
        <v>0</v>
      </c>
      <c r="AZ3769" s="30" t="n">
        <f aca="false">535959/100</f>
        <v>5359.59</v>
      </c>
      <c r="BA3769" s="11" t="n">
        <v>80482</v>
      </c>
      <c r="BB3769" s="31" t="n">
        <f aca="false">SUM(Q3769,S3769,U3769,W3769,Y3769,AA3769,AC3769,AE3769,AG3769,AI3769,AK3769,AM3769,AO3769,AQ3769,AS3769,AU3769,AW3769,AY3769)</f>
        <v>80482</v>
      </c>
      <c r="BC3769" s="28" t="n">
        <f aca="false">BA3769-BB3769</f>
        <v>0</v>
      </c>
      <c r="BD3769" s="32" t="n">
        <f aca="false">SUM(P3769,R3769,T3769,V3769,X3769,Z3769,AB3769,AD3769,AF3769,AH3769,AJ3769,AL3769,AN3769,AP3769,AR3769,AT3769,AV3769,AX3769)</f>
        <v>5365.43</v>
      </c>
      <c r="BE3769" s="33" t="n">
        <f aca="false">AZ3769-BD3769</f>
        <v>-5.84000000000015</v>
      </c>
      <c r="BF3769" s="34" t="n">
        <f aca="false">BD3769*M3769</f>
        <v>80481.45</v>
      </c>
      <c r="BG3769" s="35" t="n">
        <f aca="false">BA3769-BF3769</f>
        <v>0.549999999988359</v>
      </c>
      <c r="BH3769" s="19" t="str">
        <f aca="false">IF(BG3769=0,"",IF(BG3769&lt;&gt;BA3769,"erreur de calcul",IF(BD3769&lt;&gt;0,"pas de prix",IF(M3769&lt;&gt; 0,"pas de quantité","pas de prix, ni de quantité"))))</f>
        <v>erreur de calcul</v>
      </c>
      <c r="BI3769" s="19"/>
    </row>
    <row r="3770" customFormat="false" ht="15" hidden="false" customHeight="false" outlineLevel="0" collapsed="false">
      <c r="A3770" s="0" t="n">
        <v>12</v>
      </c>
      <c r="B3770" s="8" t="s">
        <v>24</v>
      </c>
      <c r="C3770" s="9" t="s">
        <v>25</v>
      </c>
      <c r="D3770" s="9" t="s">
        <v>26</v>
      </c>
      <c r="E3770" s="10" t="n">
        <v>1789</v>
      </c>
      <c r="F3770" s="9" t="s">
        <v>27</v>
      </c>
      <c r="G3770" s="9" t="s">
        <v>27</v>
      </c>
      <c r="H3770" s="11" t="n">
        <v>25</v>
      </c>
      <c r="I3770" s="11" t="s">
        <v>341</v>
      </c>
      <c r="J3770" s="14" t="n">
        <v>75</v>
      </c>
      <c r="K3770" s="14"/>
      <c r="L3770" s="16"/>
      <c r="M3770" s="27" t="n">
        <f aca="false">J3770+(K3770/20)+(L3770/240)</f>
        <v>75</v>
      </c>
      <c r="N3770" s="17" t="s">
        <v>85</v>
      </c>
      <c r="O3770" s="11"/>
      <c r="P3770" s="28"/>
      <c r="Q3770" s="28" t="n">
        <f aca="false">P3770*$M3770</f>
        <v>0</v>
      </c>
      <c r="R3770" s="28"/>
      <c r="S3770" s="28" t="n">
        <f aca="false">R3770*$M3770</f>
        <v>0</v>
      </c>
      <c r="T3770" s="28"/>
      <c r="U3770" s="28" t="n">
        <f aca="false">T3770*$M3770</f>
        <v>0</v>
      </c>
      <c r="V3770" s="28"/>
      <c r="W3770" s="28" t="n">
        <f aca="false">V3770*$M3770</f>
        <v>0</v>
      </c>
      <c r="X3770" s="28"/>
      <c r="Y3770" s="28" t="n">
        <f aca="false">X3770*$M3770</f>
        <v>0</v>
      </c>
      <c r="Z3770" s="28"/>
      <c r="AA3770" s="28" t="n">
        <f aca="false">Z3770*$M3770</f>
        <v>0</v>
      </c>
      <c r="AB3770" s="28"/>
      <c r="AC3770" s="28" t="n">
        <f aca="false">AB3770*$M3770</f>
        <v>0</v>
      </c>
      <c r="AD3770" s="28"/>
      <c r="AE3770" s="28" t="n">
        <f aca="false">AD3770*$M3770</f>
        <v>0</v>
      </c>
      <c r="AF3770" s="28"/>
      <c r="AG3770" s="28" t="n">
        <f aca="false">AF3770*$M3770</f>
        <v>0</v>
      </c>
      <c r="AH3770" s="28"/>
      <c r="AI3770" s="28" t="n">
        <f aca="false">AH3770*$M3770</f>
        <v>0</v>
      </c>
      <c r="AJ3770" s="28"/>
      <c r="AK3770" s="28" t="n">
        <f aca="false">AJ3770*$M3770</f>
        <v>0</v>
      </c>
      <c r="AL3770" s="28" t="n">
        <f aca="false">2584/100</f>
        <v>25.84</v>
      </c>
      <c r="AM3770" s="28" t="n">
        <v>1938</v>
      </c>
      <c r="AN3770" s="28"/>
      <c r="AO3770" s="28" t="n">
        <f aca="false">AN3770*$M3770</f>
        <v>0</v>
      </c>
      <c r="AP3770" s="28"/>
      <c r="AQ3770" s="28" t="n">
        <f aca="false">AP3770*$M3770</f>
        <v>0</v>
      </c>
      <c r="AR3770" s="28"/>
      <c r="AS3770" s="28" t="n">
        <f aca="false">AR3770*$M3770</f>
        <v>0</v>
      </c>
      <c r="AT3770" s="28"/>
      <c r="AU3770" s="28" t="n">
        <f aca="false">AT3770*$M3770</f>
        <v>0</v>
      </c>
      <c r="AV3770" s="28"/>
      <c r="AW3770" s="28" t="n">
        <f aca="false">AV3770*$M3770</f>
        <v>0</v>
      </c>
      <c r="AX3770" s="28"/>
      <c r="AY3770" s="28" t="n">
        <f aca="false">AX3770*$M3770</f>
        <v>0</v>
      </c>
      <c r="AZ3770" s="30" t="n">
        <f aca="false">2584/100</f>
        <v>25.84</v>
      </c>
      <c r="BA3770" s="11" t="n">
        <v>1938</v>
      </c>
      <c r="BB3770" s="31" t="n">
        <f aca="false">SUM(Q3770,S3770,U3770,W3770,Y3770,AA3770,AC3770,AE3770,AG3770,AI3770,AK3770,AM3770,AO3770,AQ3770,AS3770,AU3770,AW3770,AY3770)</f>
        <v>1938</v>
      </c>
      <c r="BC3770" s="28" t="n">
        <f aca="false">BA3770-BB3770</f>
        <v>0</v>
      </c>
      <c r="BD3770" s="32" t="n">
        <f aca="false">SUM(P3770,R3770,T3770,V3770,X3770,Z3770,AB3770,AD3770,AF3770,AH3770,AJ3770,AL3770,AN3770,AP3770,AR3770,AT3770,AV3770,AX3770)</f>
        <v>25.84</v>
      </c>
      <c r="BE3770" s="33" t="n">
        <f aca="false">AZ3770-BD3770</f>
        <v>0</v>
      </c>
      <c r="BF3770" s="34" t="n">
        <f aca="false">BD3770*M3770</f>
        <v>1938</v>
      </c>
      <c r="BG3770" s="35" t="n">
        <f aca="false">BA3770-BF3770</f>
        <v>0</v>
      </c>
      <c r="BH3770" s="19" t="str">
        <f aca="false">IF(BG3770=0,"",IF(BG3770&lt;&gt;BA3770,"erreur de calcul",IF(BD3770&lt;&gt;0,"pas de prix",IF(M3770&lt;&gt; 0,"pas de quantité","pas de prix, ni de quantité"))))</f>
        <v/>
      </c>
      <c r="BI3770" s="19"/>
    </row>
    <row r="3771" customFormat="false" ht="15" hidden="false" customHeight="false" outlineLevel="0" collapsed="false">
      <c r="A3771" s="0" t="n">
        <v>13</v>
      </c>
      <c r="B3771" s="8" t="s">
        <v>24</v>
      </c>
      <c r="C3771" s="9" t="s">
        <v>25</v>
      </c>
      <c r="D3771" s="9" t="s">
        <v>26</v>
      </c>
      <c r="E3771" s="10" t="n">
        <v>1789</v>
      </c>
      <c r="F3771" s="9" t="s">
        <v>27</v>
      </c>
      <c r="G3771" s="9" t="s">
        <v>27</v>
      </c>
      <c r="H3771" s="11" t="n">
        <v>25</v>
      </c>
      <c r="I3771" s="11" t="s">
        <v>342</v>
      </c>
      <c r="J3771" s="14" t="n">
        <v>10</v>
      </c>
      <c r="K3771" s="14"/>
      <c r="L3771" s="16"/>
      <c r="M3771" s="27" t="n">
        <f aca="false">J3771+(K3771/20)+(L3771/240)</f>
        <v>10</v>
      </c>
      <c r="N3771" s="17" t="s">
        <v>66</v>
      </c>
      <c r="O3771" s="11"/>
      <c r="P3771" s="28"/>
      <c r="Q3771" s="28" t="n">
        <f aca="false">P3771*$M3771</f>
        <v>0</v>
      </c>
      <c r="R3771" s="28" t="n">
        <v>827</v>
      </c>
      <c r="S3771" s="28" t="n">
        <v>8270</v>
      </c>
      <c r="T3771" s="28"/>
      <c r="U3771" s="28" t="n">
        <f aca="false">T3771*$M3771</f>
        <v>0</v>
      </c>
      <c r="V3771" s="28"/>
      <c r="W3771" s="28" t="n">
        <f aca="false">V3771*$M3771</f>
        <v>0</v>
      </c>
      <c r="X3771" s="28"/>
      <c r="Y3771" s="28" t="n">
        <f aca="false">X3771*$M3771</f>
        <v>0</v>
      </c>
      <c r="Z3771" s="28"/>
      <c r="AA3771" s="28" t="n">
        <f aca="false">Z3771*$M3771</f>
        <v>0</v>
      </c>
      <c r="AB3771" s="28"/>
      <c r="AC3771" s="28" t="n">
        <f aca="false">AB3771*$M3771</f>
        <v>0</v>
      </c>
      <c r="AD3771" s="28"/>
      <c r="AE3771" s="28" t="n">
        <f aca="false">AD3771*$M3771</f>
        <v>0</v>
      </c>
      <c r="AF3771" s="28"/>
      <c r="AG3771" s="28" t="n">
        <f aca="false">AF3771*$M3771</f>
        <v>0</v>
      </c>
      <c r="AH3771" s="28"/>
      <c r="AI3771" s="28" t="n">
        <f aca="false">AH3771*$M3771</f>
        <v>0</v>
      </c>
      <c r="AJ3771" s="28"/>
      <c r="AK3771" s="28" t="n">
        <f aca="false">AJ3771*$M3771</f>
        <v>0</v>
      </c>
      <c r="AL3771" s="28"/>
      <c r="AM3771" s="28" t="n">
        <f aca="false">AL3771*$M3771</f>
        <v>0</v>
      </c>
      <c r="AN3771" s="28"/>
      <c r="AO3771" s="28" t="n">
        <f aca="false">AN3771*$M3771</f>
        <v>0</v>
      </c>
      <c r="AP3771" s="28"/>
      <c r="AQ3771" s="28" t="n">
        <f aca="false">AP3771*$M3771</f>
        <v>0</v>
      </c>
      <c r="AR3771" s="28"/>
      <c r="AS3771" s="28" t="n">
        <f aca="false">AR3771*$M3771</f>
        <v>0</v>
      </c>
      <c r="AT3771" s="28"/>
      <c r="AU3771" s="28" t="n">
        <f aca="false">AT3771*$M3771</f>
        <v>0</v>
      </c>
      <c r="AV3771" s="28"/>
      <c r="AW3771" s="28" t="n">
        <f aca="false">AV3771*$M3771</f>
        <v>0</v>
      </c>
      <c r="AX3771" s="28"/>
      <c r="AY3771" s="28" t="n">
        <f aca="false">AX3771*$M3771</f>
        <v>0</v>
      </c>
      <c r="AZ3771" s="30" t="n">
        <v>827</v>
      </c>
      <c r="BA3771" s="11" t="n">
        <v>8270</v>
      </c>
      <c r="BB3771" s="31" t="n">
        <f aca="false">SUM(Q3771,S3771,U3771,W3771,Y3771,AA3771,AC3771,AE3771,AG3771,AI3771,AK3771,AM3771,AO3771,AQ3771,AS3771,AU3771,AW3771,AY3771)</f>
        <v>8270</v>
      </c>
      <c r="BC3771" s="28" t="n">
        <f aca="false">BA3771-BB3771</f>
        <v>0</v>
      </c>
      <c r="BD3771" s="32" t="n">
        <f aca="false">SUM(P3771,R3771,T3771,V3771,X3771,Z3771,AB3771,AD3771,AF3771,AH3771,AJ3771,AL3771,AN3771,AP3771,AR3771,AT3771,AV3771,AX3771)</f>
        <v>827</v>
      </c>
      <c r="BE3771" s="33" t="n">
        <f aca="false">AZ3771-BD3771</f>
        <v>0</v>
      </c>
      <c r="BF3771" s="34" t="n">
        <f aca="false">BD3771*M3771</f>
        <v>8270</v>
      </c>
      <c r="BG3771" s="35" t="n">
        <f aca="false">BA3771-BF3771</f>
        <v>0</v>
      </c>
      <c r="BH3771" s="19" t="str">
        <f aca="false">IF(BG3771=0,"",IF(BG3771&lt;&gt;BA3771,"erreur de calcul",IF(BD3771&lt;&gt;0,"pas de prix",IF(M3771&lt;&gt; 0,"pas de quantité","pas de prix, ni de quantité"))))</f>
        <v/>
      </c>
      <c r="BI3771" s="19"/>
    </row>
    <row r="3772" customFormat="false" ht="15" hidden="false" customHeight="false" outlineLevel="0" collapsed="false">
      <c r="A3772" s="0" t="n">
        <v>14</v>
      </c>
      <c r="B3772" s="8" t="s">
        <v>24</v>
      </c>
      <c r="C3772" s="9" t="s">
        <v>25</v>
      </c>
      <c r="D3772" s="9" t="s">
        <v>26</v>
      </c>
      <c r="E3772" s="10" t="n">
        <v>1789</v>
      </c>
      <c r="F3772" s="9" t="s">
        <v>27</v>
      </c>
      <c r="G3772" s="9" t="s">
        <v>27</v>
      </c>
      <c r="H3772" s="11" t="n">
        <v>25</v>
      </c>
      <c r="I3772" s="11" t="s">
        <v>343</v>
      </c>
      <c r="J3772" s="14" t="n">
        <v>4</v>
      </c>
      <c r="K3772" s="14"/>
      <c r="L3772" s="16"/>
      <c r="M3772" s="27" t="n">
        <f aca="false">J3772+(K3772/20)+(L3772/240)</f>
        <v>4</v>
      </c>
      <c r="N3772" s="17" t="s">
        <v>69</v>
      </c>
      <c r="O3772" s="11"/>
      <c r="P3772" s="28"/>
      <c r="Q3772" s="28" t="n">
        <f aca="false">P3772*$M3772</f>
        <v>0</v>
      </c>
      <c r="R3772" s="28"/>
      <c r="S3772" s="28" t="n">
        <f aca="false">R3772*$M3772</f>
        <v>0</v>
      </c>
      <c r="T3772" s="28"/>
      <c r="U3772" s="28" t="n">
        <f aca="false">T3772*$M3772</f>
        <v>0</v>
      </c>
      <c r="V3772" s="28" t="n">
        <v>2198</v>
      </c>
      <c r="W3772" s="28" t="n">
        <v>8792</v>
      </c>
      <c r="X3772" s="28"/>
      <c r="Y3772" s="28" t="n">
        <f aca="false">X3772*$M3772</f>
        <v>0</v>
      </c>
      <c r="Z3772" s="28"/>
      <c r="AA3772" s="28" t="n">
        <f aca="false">Z3772*$M3772</f>
        <v>0</v>
      </c>
      <c r="AB3772" s="28"/>
      <c r="AC3772" s="28" t="n">
        <f aca="false">AB3772*$M3772</f>
        <v>0</v>
      </c>
      <c r="AD3772" s="28"/>
      <c r="AE3772" s="28" t="n">
        <f aca="false">AD3772*$M3772</f>
        <v>0</v>
      </c>
      <c r="AF3772" s="28"/>
      <c r="AG3772" s="28" t="n">
        <f aca="false">AF3772*$M3772</f>
        <v>0</v>
      </c>
      <c r="AH3772" s="28"/>
      <c r="AI3772" s="28" t="n">
        <f aca="false">AH3772*$M3772</f>
        <v>0</v>
      </c>
      <c r="AJ3772" s="28"/>
      <c r="AK3772" s="28" t="n">
        <f aca="false">AJ3772*$M3772</f>
        <v>0</v>
      </c>
      <c r="AL3772" s="28"/>
      <c r="AM3772" s="28" t="n">
        <f aca="false">AL3772*$M3772</f>
        <v>0</v>
      </c>
      <c r="AN3772" s="28"/>
      <c r="AO3772" s="28" t="n">
        <f aca="false">AN3772*$M3772</f>
        <v>0</v>
      </c>
      <c r="AP3772" s="28"/>
      <c r="AQ3772" s="28" t="n">
        <f aca="false">AP3772*$M3772</f>
        <v>0</v>
      </c>
      <c r="AR3772" s="28"/>
      <c r="AS3772" s="28" t="n">
        <f aca="false">AR3772*$M3772</f>
        <v>0</v>
      </c>
      <c r="AT3772" s="28"/>
      <c r="AU3772" s="28" t="n">
        <f aca="false">AT3772*$M3772</f>
        <v>0</v>
      </c>
      <c r="AV3772" s="28"/>
      <c r="AW3772" s="28" t="n">
        <f aca="false">AV3772*$M3772</f>
        <v>0</v>
      </c>
      <c r="AX3772" s="28"/>
      <c r="AY3772" s="28" t="n">
        <f aca="false">AX3772*$M3772</f>
        <v>0</v>
      </c>
      <c r="AZ3772" s="30" t="n">
        <v>2198</v>
      </c>
      <c r="BA3772" s="11" t="n">
        <v>8792</v>
      </c>
      <c r="BB3772" s="31" t="n">
        <f aca="false">SUM(Q3772,S3772,U3772,W3772,Y3772,AA3772,AC3772,AE3772,AG3772,AI3772,AK3772,AM3772,AO3772,AQ3772,AS3772,AU3772,AW3772,AY3772)</f>
        <v>8792</v>
      </c>
      <c r="BC3772" s="28" t="n">
        <f aca="false">BA3772-BB3772</f>
        <v>0</v>
      </c>
      <c r="BD3772" s="32" t="n">
        <f aca="false">SUM(P3772,R3772,T3772,V3772,X3772,Z3772,AB3772,AD3772,AF3772,AH3772,AJ3772,AL3772,AN3772,AP3772,AR3772,AT3772,AV3772,AX3772)</f>
        <v>2198</v>
      </c>
      <c r="BE3772" s="33" t="n">
        <f aca="false">AZ3772-BD3772</f>
        <v>0</v>
      </c>
      <c r="BF3772" s="34" t="n">
        <f aca="false">BD3772*M3772</f>
        <v>8792</v>
      </c>
      <c r="BG3772" s="35" t="n">
        <f aca="false">BA3772-BF3772</f>
        <v>0</v>
      </c>
      <c r="BH3772" s="19" t="str">
        <f aca="false">IF(BG3772=0,"",IF(BG3772&lt;&gt;BA3772,"erreur de calcul",IF(BD3772&lt;&gt;0,"pas de prix",IF(M3772&lt;&gt; 0,"pas de quantité","pas de prix, ni de quantité"))))</f>
        <v/>
      </c>
      <c r="BI3772" s="19"/>
    </row>
    <row r="3773" customFormat="false" ht="15" hidden="false" customHeight="false" outlineLevel="0" collapsed="false">
      <c r="A3773" s="0" t="n">
        <v>15</v>
      </c>
      <c r="B3773" s="8" t="s">
        <v>24</v>
      </c>
      <c r="C3773" s="9" t="s">
        <v>25</v>
      </c>
      <c r="D3773" s="9" t="s">
        <v>26</v>
      </c>
      <c r="E3773" s="10" t="n">
        <v>1789</v>
      </c>
      <c r="F3773" s="9" t="s">
        <v>27</v>
      </c>
      <c r="G3773" s="9" t="s">
        <v>27</v>
      </c>
      <c r="H3773" s="11" t="n">
        <v>25</v>
      </c>
      <c r="I3773" s="11" t="s">
        <v>344</v>
      </c>
      <c r="J3773" s="14" t="n">
        <v>2000</v>
      </c>
      <c r="K3773" s="14"/>
      <c r="L3773" s="16"/>
      <c r="M3773" s="27" t="n">
        <f aca="false">J3773+(K3773/20)+(L3773/240)</f>
        <v>2000</v>
      </c>
      <c r="N3773" s="17" t="s">
        <v>64</v>
      </c>
      <c r="O3773" s="11" t="s">
        <v>277</v>
      </c>
      <c r="P3773" s="28"/>
      <c r="Q3773" s="28" t="n">
        <f aca="false">P3773*$M3773</f>
        <v>0</v>
      </c>
      <c r="R3773" s="28"/>
      <c r="S3773" s="28" t="n">
        <f aca="false">R3773*$M3773</f>
        <v>0</v>
      </c>
      <c r="T3773" s="28"/>
      <c r="U3773" s="28" t="n">
        <f aca="false">T3773*$M3773</f>
        <v>0</v>
      </c>
      <c r="V3773" s="28"/>
      <c r="W3773" s="28" t="n">
        <f aca="false">V3773*$M3773</f>
        <v>0</v>
      </c>
      <c r="X3773" s="28"/>
      <c r="Y3773" s="28" t="n">
        <f aca="false">X3773*$M3773</f>
        <v>0</v>
      </c>
      <c r="Z3773" s="28"/>
      <c r="AA3773" s="28" t="n">
        <f aca="false">Z3773*$M3773</f>
        <v>0</v>
      </c>
      <c r="AB3773" s="28"/>
      <c r="AC3773" s="28" t="n">
        <f aca="false">AB3773*$M3773</f>
        <v>0</v>
      </c>
      <c r="AD3773" s="28"/>
      <c r="AE3773" s="28" t="n">
        <f aca="false">AD3773*$M3773</f>
        <v>0</v>
      </c>
      <c r="AF3773" s="28"/>
      <c r="AG3773" s="28" t="n">
        <f aca="false">AF3773*$M3773</f>
        <v>0</v>
      </c>
      <c r="AH3773" s="28"/>
      <c r="AI3773" s="28" t="n">
        <f aca="false">AH3773*$M3773</f>
        <v>0</v>
      </c>
      <c r="AJ3773" s="28"/>
      <c r="AK3773" s="28" t="n">
        <f aca="false">AJ3773*$M3773</f>
        <v>0</v>
      </c>
      <c r="AL3773" s="28"/>
      <c r="AM3773" s="28" t="n">
        <f aca="false">AL3773*$M3773</f>
        <v>0</v>
      </c>
      <c r="AN3773" s="28"/>
      <c r="AO3773" s="28" t="n">
        <f aca="false">AN3773*$M3773</f>
        <v>0</v>
      </c>
      <c r="AP3773" s="28"/>
      <c r="AQ3773" s="28" t="n">
        <f aca="false">AP3773*$M3773</f>
        <v>0</v>
      </c>
      <c r="AR3773" s="28"/>
      <c r="AS3773" s="28" t="n">
        <f aca="false">AR3773*$M3773</f>
        <v>0</v>
      </c>
      <c r="AT3773" s="28"/>
      <c r="AU3773" s="28" t="n">
        <f aca="false">AT3773*$M3773</f>
        <v>0</v>
      </c>
      <c r="AV3773" s="28"/>
      <c r="AW3773" s="28" t="n">
        <f aca="false">AV3773*$M3773</f>
        <v>0</v>
      </c>
      <c r="AX3773" s="28"/>
      <c r="AY3773" s="28" t="n">
        <f aca="false">AX3773*$M3773</f>
        <v>0</v>
      </c>
      <c r="AZ3773" s="30"/>
      <c r="BA3773" s="11"/>
      <c r="BB3773" s="31" t="n">
        <f aca="false">SUM(Q3773,S3773,U3773,W3773,Y3773,AA3773,AC3773,AE3773,AG3773,AI3773,AK3773,AM3773,AO3773,AQ3773,AS3773,AU3773,AW3773,AY3773)</f>
        <v>0</v>
      </c>
      <c r="BC3773" s="28" t="n">
        <f aca="false">BA3773-BB3773</f>
        <v>0</v>
      </c>
      <c r="BD3773" s="32" t="n">
        <f aca="false">SUM(P3773,R3773,T3773,V3773,X3773,Z3773,AB3773,AD3773,AF3773,AH3773,AJ3773,AL3773,AN3773,AP3773,AR3773,AT3773,AV3773,AX3773)</f>
        <v>0</v>
      </c>
      <c r="BE3773" s="33" t="n">
        <f aca="false">AZ3773-BD3773</f>
        <v>0</v>
      </c>
      <c r="BF3773" s="34" t="n">
        <f aca="false">BD3773*M3773</f>
        <v>0</v>
      </c>
      <c r="BG3773" s="35" t="n">
        <f aca="false">BA3773-BF3773</f>
        <v>0</v>
      </c>
      <c r="BH3773" s="19" t="str">
        <f aca="false">IF(BG3773=0,"",IF(BG3773&lt;&gt;BA3773,"erreur de calcul",IF(BD3773&lt;&gt;0,"pas de prix",IF(M3773&lt;&gt; 0,"pas de quantité","pas de prix, ni de quantité"))))</f>
        <v/>
      </c>
      <c r="BI3773" s="19"/>
    </row>
    <row r="3774" customFormat="false" ht="15" hidden="false" customHeight="false" outlineLevel="0" collapsed="false">
      <c r="A3774" s="0" t="n">
        <v>16</v>
      </c>
      <c r="B3774" s="8" t="s">
        <v>24</v>
      </c>
      <c r="C3774" s="9" t="s">
        <v>25</v>
      </c>
      <c r="D3774" s="9" t="s">
        <v>26</v>
      </c>
      <c r="E3774" s="10" t="n">
        <v>1789</v>
      </c>
      <c r="F3774" s="9" t="s">
        <v>27</v>
      </c>
      <c r="G3774" s="9" t="s">
        <v>27</v>
      </c>
      <c r="H3774" s="11" t="n">
        <v>25</v>
      </c>
      <c r="I3774" s="11" t="s">
        <v>344</v>
      </c>
      <c r="J3774" s="14" t="n">
        <v>2000</v>
      </c>
      <c r="K3774" s="14"/>
      <c r="L3774" s="16"/>
      <c r="M3774" s="27" t="n">
        <f aca="false">J3774+(K3774/20)+(L3774/240)</f>
        <v>2000</v>
      </c>
      <c r="N3774" s="17" t="s">
        <v>64</v>
      </c>
      <c r="O3774" s="11" t="s">
        <v>98</v>
      </c>
      <c r="P3774" s="28"/>
      <c r="Q3774" s="28" t="n">
        <f aca="false">P3774*$M3774</f>
        <v>0</v>
      </c>
      <c r="R3774" s="28"/>
      <c r="S3774" s="28" t="n">
        <f aca="false">R3774*$M3774</f>
        <v>0</v>
      </c>
      <c r="T3774" s="28"/>
      <c r="U3774" s="28" t="n">
        <f aca="false">T3774*$M3774</f>
        <v>0</v>
      </c>
      <c r="V3774" s="28"/>
      <c r="W3774" s="28" t="n">
        <f aca="false">V3774*$M3774</f>
        <v>0</v>
      </c>
      <c r="X3774" s="28" t="n">
        <f aca="false">607/100</f>
        <v>6.07</v>
      </c>
      <c r="Y3774" s="28" t="n">
        <f aca="false">X3774*$M3774</f>
        <v>12140</v>
      </c>
      <c r="Z3774" s="28"/>
      <c r="AA3774" s="28" t="n">
        <f aca="false">Z3774*$M3774</f>
        <v>0</v>
      </c>
      <c r="AB3774" s="28"/>
      <c r="AC3774" s="28" t="n">
        <f aca="false">AB3774*$M3774</f>
        <v>0</v>
      </c>
      <c r="AD3774" s="28"/>
      <c r="AE3774" s="28" t="n">
        <f aca="false">AD3774*$M3774</f>
        <v>0</v>
      </c>
      <c r="AF3774" s="28"/>
      <c r="AG3774" s="28" t="n">
        <f aca="false">AF3774*$M3774</f>
        <v>0</v>
      </c>
      <c r="AH3774" s="28"/>
      <c r="AI3774" s="28" t="n">
        <f aca="false">AH3774*$M3774</f>
        <v>0</v>
      </c>
      <c r="AJ3774" s="28"/>
      <c r="AK3774" s="28" t="n">
        <f aca="false">AJ3774*$M3774</f>
        <v>0</v>
      </c>
      <c r="AL3774" s="28" t="n">
        <f aca="false">145/100</f>
        <v>1.45</v>
      </c>
      <c r="AM3774" s="28" t="n">
        <f aca="false">AL3774*$M3774</f>
        <v>2900</v>
      </c>
      <c r="AN3774" s="28" t="n">
        <f aca="false">3865/100</f>
        <v>38.65</v>
      </c>
      <c r="AO3774" s="28" t="n">
        <v>77300</v>
      </c>
      <c r="AP3774" s="28"/>
      <c r="AQ3774" s="28" t="n">
        <f aca="false">AP3774*$M3774</f>
        <v>0</v>
      </c>
      <c r="AR3774" s="28"/>
      <c r="AS3774" s="28" t="n">
        <f aca="false">AR3774*$M3774</f>
        <v>0</v>
      </c>
      <c r="AT3774" s="28"/>
      <c r="AU3774" s="28" t="n">
        <f aca="false">AT3774*$M3774</f>
        <v>0</v>
      </c>
      <c r="AV3774" s="28"/>
      <c r="AW3774" s="28" t="n">
        <f aca="false">AV3774*$M3774</f>
        <v>0</v>
      </c>
      <c r="AX3774" s="28"/>
      <c r="AY3774" s="28" t="n">
        <f aca="false">AX3774*$M3774</f>
        <v>0</v>
      </c>
      <c r="AZ3774" s="30" t="n">
        <f aca="false">4617/100</f>
        <v>46.17</v>
      </c>
      <c r="BA3774" s="11" t="n">
        <v>92340</v>
      </c>
      <c r="BB3774" s="31" t="n">
        <f aca="false">SUM(Q3774,S3774,U3774,W3774,Y3774,AA3774,AC3774,AE3774,AG3774,AI3774,AK3774,AM3774,AO3774,AQ3774,AS3774,AU3774,AW3774,AY3774)</f>
        <v>92340</v>
      </c>
      <c r="BC3774" s="28" t="n">
        <f aca="false">BA3774-BB3774</f>
        <v>0</v>
      </c>
      <c r="BD3774" s="32" t="n">
        <f aca="false">SUM(P3774,R3774,T3774,V3774,X3774,Z3774,AB3774,AD3774,AF3774,AH3774,AJ3774,AL3774,AN3774,AP3774,AR3774,AT3774,AV3774,AX3774)</f>
        <v>46.17</v>
      </c>
      <c r="BE3774" s="33" t="n">
        <f aca="false">AZ3774-BD3774</f>
        <v>0</v>
      </c>
      <c r="BF3774" s="34" t="n">
        <f aca="false">BD3774*M3774</f>
        <v>92340</v>
      </c>
      <c r="BG3774" s="35" t="n">
        <f aca="false">BA3774-BF3774</f>
        <v>0</v>
      </c>
      <c r="BH3774" s="19" t="str">
        <f aca="false">IF(BG3774=0,"",IF(BG3774&lt;&gt;BA3774,"erreur de calcul",IF(BD3774&lt;&gt;0,"pas de prix",IF(M3774&lt;&gt; 0,"pas de quantité","pas de prix, ni de quantité"))))</f>
        <v/>
      </c>
      <c r="BI3774" s="19"/>
    </row>
    <row r="3775" customFormat="false" ht="15" hidden="false" customHeight="false" outlineLevel="0" collapsed="false">
      <c r="A3775" s="0" t="n">
        <v>17</v>
      </c>
      <c r="B3775" s="8" t="s">
        <v>24</v>
      </c>
      <c r="C3775" s="9" t="s">
        <v>25</v>
      </c>
      <c r="D3775" s="9" t="s">
        <v>26</v>
      </c>
      <c r="E3775" s="10" t="n">
        <v>1789</v>
      </c>
      <c r="F3775" s="9" t="s">
        <v>27</v>
      </c>
      <c r="G3775" s="9" t="s">
        <v>27</v>
      </c>
      <c r="H3775" s="11" t="n">
        <v>25</v>
      </c>
      <c r="I3775" s="11" t="s">
        <v>345</v>
      </c>
      <c r="J3775" s="14"/>
      <c r="K3775" s="14" t="n">
        <v>12</v>
      </c>
      <c r="L3775" s="16"/>
      <c r="M3775" s="27" t="n">
        <f aca="false">J3775+(K3775/20)+(L3775/240)</f>
        <v>0.6</v>
      </c>
      <c r="N3775" s="17" t="s">
        <v>66</v>
      </c>
      <c r="O3775" s="11"/>
      <c r="P3775" s="28"/>
      <c r="Q3775" s="28" t="n">
        <f aca="false">P3775*$M3775</f>
        <v>0</v>
      </c>
      <c r="R3775" s="28"/>
      <c r="S3775" s="28" t="n">
        <f aca="false">R3775*$M3775</f>
        <v>0</v>
      </c>
      <c r="T3775" s="28"/>
      <c r="U3775" s="28" t="n">
        <f aca="false">T3775*$M3775</f>
        <v>0</v>
      </c>
      <c r="V3775" s="28"/>
      <c r="W3775" s="28" t="n">
        <f aca="false">V3775*$M3775</f>
        <v>0</v>
      </c>
      <c r="X3775" s="28"/>
      <c r="Y3775" s="28" t="n">
        <f aca="false">X3775*$M3775</f>
        <v>0</v>
      </c>
      <c r="Z3775" s="28"/>
      <c r="AA3775" s="28" t="n">
        <f aca="false">Z3775*$M3775</f>
        <v>0</v>
      </c>
      <c r="AB3775" s="28"/>
      <c r="AC3775" s="28" t="n">
        <f aca="false">AB3775*$M3775</f>
        <v>0</v>
      </c>
      <c r="AD3775" s="28"/>
      <c r="AE3775" s="28" t="n">
        <f aca="false">AD3775*$M3775</f>
        <v>0</v>
      </c>
      <c r="AF3775" s="28"/>
      <c r="AG3775" s="28" t="n">
        <f aca="false">AF3775*$M3775</f>
        <v>0</v>
      </c>
      <c r="AH3775" s="28"/>
      <c r="AI3775" s="28" t="n">
        <f aca="false">AH3775*$M3775</f>
        <v>0</v>
      </c>
      <c r="AJ3775" s="28" t="n">
        <v>41194</v>
      </c>
      <c r="AK3775" s="28" t="n">
        <v>24716</v>
      </c>
      <c r="AL3775" s="28"/>
      <c r="AM3775" s="28" t="n">
        <f aca="false">AL3775*$M3775</f>
        <v>0</v>
      </c>
      <c r="AN3775" s="28"/>
      <c r="AO3775" s="28" t="n">
        <f aca="false">AN3775*$M3775</f>
        <v>0</v>
      </c>
      <c r="AP3775" s="28"/>
      <c r="AQ3775" s="28" t="n">
        <f aca="false">AP3775*$M3775</f>
        <v>0</v>
      </c>
      <c r="AR3775" s="28"/>
      <c r="AS3775" s="28" t="n">
        <f aca="false">AR3775*$M3775</f>
        <v>0</v>
      </c>
      <c r="AT3775" s="28"/>
      <c r="AU3775" s="28" t="n">
        <f aca="false">AT3775*$M3775</f>
        <v>0</v>
      </c>
      <c r="AV3775" s="28"/>
      <c r="AW3775" s="28" t="n">
        <f aca="false">AV3775*$M3775</f>
        <v>0</v>
      </c>
      <c r="AX3775" s="28"/>
      <c r="AY3775" s="28" t="n">
        <f aca="false">AX3775*$M3775</f>
        <v>0</v>
      </c>
      <c r="AZ3775" s="30" t="n">
        <v>41194</v>
      </c>
      <c r="BA3775" s="11" t="n">
        <v>24716</v>
      </c>
      <c r="BB3775" s="31" t="n">
        <f aca="false">SUM(Q3775,S3775,U3775,W3775,Y3775,AA3775,AC3775,AE3775,AG3775,AI3775,AK3775,AM3775,AO3775,AQ3775,AS3775,AU3775,AW3775,AY3775)</f>
        <v>24716</v>
      </c>
      <c r="BC3775" s="28" t="n">
        <f aca="false">BA3775-BB3775</f>
        <v>0</v>
      </c>
      <c r="BD3775" s="32" t="n">
        <f aca="false">SUM(P3775,R3775,T3775,V3775,X3775,Z3775,AB3775,AD3775,AF3775,AH3775,AJ3775,AL3775,AN3775,AP3775,AR3775,AT3775,AV3775,AX3775)</f>
        <v>41194</v>
      </c>
      <c r="BE3775" s="33" t="n">
        <f aca="false">AZ3775-BD3775</f>
        <v>0</v>
      </c>
      <c r="BF3775" s="34" t="n">
        <f aca="false">BD3775*M3775</f>
        <v>24716.4</v>
      </c>
      <c r="BG3775" s="35" t="n">
        <f aca="false">BA3775-BF3775</f>
        <v>-0.399999999997817</v>
      </c>
      <c r="BH3775" s="19" t="str">
        <f aca="false">IF(BG3775=0,"",IF(BG3775&lt;&gt;BA3775,"erreur de calcul",IF(BD3775&lt;&gt;0,"pas de prix",IF(M3775&lt;&gt; 0,"pas de quantité","pas de prix, ni de quantité"))))</f>
        <v>erreur de calcul</v>
      </c>
      <c r="BI3775" s="19"/>
    </row>
    <row r="3776" customFormat="false" ht="15" hidden="false" customHeight="false" outlineLevel="0" collapsed="false">
      <c r="A3776" s="0" t="n">
        <v>18</v>
      </c>
      <c r="B3776" s="8" t="s">
        <v>24</v>
      </c>
      <c r="C3776" s="9" t="s">
        <v>25</v>
      </c>
      <c r="D3776" s="9" t="s">
        <v>26</v>
      </c>
      <c r="E3776" s="10" t="n">
        <v>1789</v>
      </c>
      <c r="F3776" s="9" t="s">
        <v>27</v>
      </c>
      <c r="G3776" s="9" t="s">
        <v>27</v>
      </c>
      <c r="H3776" s="11" t="n">
        <v>25</v>
      </c>
      <c r="I3776" s="11" t="s">
        <v>346</v>
      </c>
      <c r="J3776" s="14"/>
      <c r="K3776" s="14" t="n">
        <v>50</v>
      </c>
      <c r="L3776" s="16"/>
      <c r="M3776" s="27" t="n">
        <f aca="false">J3776+(K3776/20)+(L3776/240)</f>
        <v>2.5</v>
      </c>
      <c r="N3776" s="17" t="s">
        <v>85</v>
      </c>
      <c r="O3776" s="11"/>
      <c r="P3776" s="28" t="n">
        <f aca="false">371167/100</f>
        <v>3711.67</v>
      </c>
      <c r="Q3776" s="28" t="n">
        <v>9279</v>
      </c>
      <c r="R3776" s="28"/>
      <c r="S3776" s="28" t="n">
        <f aca="false">R3776*$M3776</f>
        <v>0</v>
      </c>
      <c r="T3776" s="28"/>
      <c r="U3776" s="28" t="n">
        <f aca="false">T3776*$M3776</f>
        <v>0</v>
      </c>
      <c r="V3776" s="28"/>
      <c r="W3776" s="28" t="n">
        <f aca="false">V3776*$M3776</f>
        <v>0</v>
      </c>
      <c r="X3776" s="28"/>
      <c r="Y3776" s="28" t="n">
        <f aca="false">X3776*$M3776</f>
        <v>0</v>
      </c>
      <c r="Z3776" s="28"/>
      <c r="AA3776" s="28" t="n">
        <f aca="false">Z3776*$M3776</f>
        <v>0</v>
      </c>
      <c r="AB3776" s="28"/>
      <c r="AC3776" s="28" t="n">
        <f aca="false">AB3776*$M3776</f>
        <v>0</v>
      </c>
      <c r="AD3776" s="28"/>
      <c r="AE3776" s="28" t="n">
        <f aca="false">AD3776*$M3776</f>
        <v>0</v>
      </c>
      <c r="AF3776" s="28"/>
      <c r="AG3776" s="28" t="n">
        <f aca="false">AF3776*$M3776</f>
        <v>0</v>
      </c>
      <c r="AH3776" s="28"/>
      <c r="AI3776" s="28" t="n">
        <f aca="false">AH3776*$M3776</f>
        <v>0</v>
      </c>
      <c r="AJ3776" s="28"/>
      <c r="AK3776" s="28" t="n">
        <f aca="false">AJ3776*$M3776</f>
        <v>0</v>
      </c>
      <c r="AL3776" s="28"/>
      <c r="AM3776" s="28" t="n">
        <f aca="false">AL3776*$M3776</f>
        <v>0</v>
      </c>
      <c r="AN3776" s="28"/>
      <c r="AO3776" s="28" t="n">
        <f aca="false">AN3776*$M3776</f>
        <v>0</v>
      </c>
      <c r="AP3776" s="28"/>
      <c r="AQ3776" s="28" t="n">
        <f aca="false">AP3776*$M3776</f>
        <v>0</v>
      </c>
      <c r="AR3776" s="28"/>
      <c r="AS3776" s="28" t="n">
        <f aca="false">AR3776*$M3776</f>
        <v>0</v>
      </c>
      <c r="AT3776" s="28"/>
      <c r="AU3776" s="28" t="n">
        <f aca="false">AT3776*$M3776</f>
        <v>0</v>
      </c>
      <c r="AV3776" s="28"/>
      <c r="AW3776" s="28" t="n">
        <f aca="false">AV3776*$M3776</f>
        <v>0</v>
      </c>
      <c r="AX3776" s="28"/>
      <c r="AY3776" s="28" t="n">
        <f aca="false">AX3776*$M3776</f>
        <v>0</v>
      </c>
      <c r="AZ3776" s="30" t="n">
        <f aca="false">371167/100</f>
        <v>3711.67</v>
      </c>
      <c r="BA3776" s="11" t="n">
        <v>9279</v>
      </c>
      <c r="BB3776" s="31" t="n">
        <f aca="false">SUM(Q3776,S3776,U3776,W3776,Y3776,AA3776,AC3776,AE3776,AG3776,AI3776,AK3776,AM3776,AO3776,AQ3776,AS3776,AU3776,AW3776,AY3776)</f>
        <v>9279</v>
      </c>
      <c r="BC3776" s="28" t="n">
        <f aca="false">BA3776-BB3776</f>
        <v>0</v>
      </c>
      <c r="BD3776" s="32" t="n">
        <f aca="false">SUM(P3776,R3776,T3776,V3776,X3776,Z3776,AB3776,AD3776,AF3776,AH3776,AJ3776,AL3776,AN3776,AP3776,AR3776,AT3776,AV3776,AX3776)</f>
        <v>3711.67</v>
      </c>
      <c r="BE3776" s="33" t="n">
        <f aca="false">AZ3776-BD3776</f>
        <v>0</v>
      </c>
      <c r="BF3776" s="34" t="n">
        <f aca="false">BD3776*M3776</f>
        <v>9279.175</v>
      </c>
      <c r="BG3776" s="35" t="n">
        <f aca="false">BA3776-BF3776</f>
        <v>-0.174999999999272</v>
      </c>
      <c r="BH3776" s="19" t="str">
        <f aca="false">IF(BG3776=0,"",IF(BG3776&lt;&gt;BA3776,"erreur de calcul",IF(BD3776&lt;&gt;0,"pas de prix",IF(M3776&lt;&gt; 0,"pas de quantité","pas de prix, ni de quantité"))))</f>
        <v>erreur de calcul</v>
      </c>
      <c r="BI3776" s="19"/>
    </row>
    <row r="3777" customFormat="false" ht="16.65" hidden="false" customHeight="false" outlineLevel="0" collapsed="false">
      <c r="A3777" s="0" t="n">
        <v>19</v>
      </c>
      <c r="B3777" s="8" t="s">
        <v>24</v>
      </c>
      <c r="C3777" s="9" t="s">
        <v>25</v>
      </c>
      <c r="D3777" s="9" t="s">
        <v>26</v>
      </c>
      <c r="E3777" s="10" t="n">
        <v>1789</v>
      </c>
      <c r="F3777" s="9" t="s">
        <v>27</v>
      </c>
      <c r="G3777" s="9" t="s">
        <v>27</v>
      </c>
      <c r="H3777" s="11" t="n">
        <v>25</v>
      </c>
      <c r="I3777" s="11" t="s">
        <v>347</v>
      </c>
      <c r="J3777" s="14" t="n">
        <v>60</v>
      </c>
      <c r="K3777" s="14"/>
      <c r="L3777" s="16"/>
      <c r="M3777" s="27" t="n">
        <f aca="false">J3777+(K3777/20)+(L3777/240)</f>
        <v>60</v>
      </c>
      <c r="N3777" s="17" t="s">
        <v>64</v>
      </c>
      <c r="O3777" s="11"/>
      <c r="P3777" s="28"/>
      <c r="Q3777" s="28" t="n">
        <f aca="false">P3777*$M3777</f>
        <v>0</v>
      </c>
      <c r="R3777" s="28"/>
      <c r="S3777" s="28" t="n">
        <f aca="false">R3777*$M3777</f>
        <v>0</v>
      </c>
      <c r="T3777" s="28"/>
      <c r="U3777" s="28" t="n">
        <f aca="false">T3777*$M3777</f>
        <v>0</v>
      </c>
      <c r="V3777" s="28" t="n">
        <f aca="false">4151/100</f>
        <v>41.51</v>
      </c>
      <c r="W3777" s="28" t="n">
        <v>2491</v>
      </c>
      <c r="X3777" s="28" t="n">
        <f aca="false">13344/100</f>
        <v>133.44</v>
      </c>
      <c r="Y3777" s="28" t="n">
        <v>8006</v>
      </c>
      <c r="Z3777" s="28" t="n">
        <f aca="false">3323/100</f>
        <v>33.23</v>
      </c>
      <c r="AA3777" s="28" t="n">
        <v>1994</v>
      </c>
      <c r="AB3777" s="28"/>
      <c r="AC3777" s="28" t="n">
        <f aca="false">AB3777*$M3777</f>
        <v>0</v>
      </c>
      <c r="AD3777" s="28" t="n">
        <f aca="false">15268/100</f>
        <v>152.68</v>
      </c>
      <c r="AE3777" s="28" t="n">
        <v>9161</v>
      </c>
      <c r="AF3777" s="28"/>
      <c r="AG3777" s="28" t="n">
        <f aca="false">AF3777*$M3777</f>
        <v>0</v>
      </c>
      <c r="AH3777" s="28"/>
      <c r="AI3777" s="28" t="n">
        <f aca="false">AH3777*$M3777</f>
        <v>0</v>
      </c>
      <c r="AJ3777" s="28"/>
      <c r="AK3777" s="28" t="n">
        <f aca="false">AJ3777*$M3777</f>
        <v>0</v>
      </c>
      <c r="AL3777" s="28"/>
      <c r="AM3777" s="28" t="n">
        <f aca="false">AL3777*$M3777</f>
        <v>0</v>
      </c>
      <c r="AN3777" s="28"/>
      <c r="AO3777" s="28" t="n">
        <f aca="false">AN3777*$M3777</f>
        <v>0</v>
      </c>
      <c r="AP3777" s="28"/>
      <c r="AQ3777" s="28" t="n">
        <f aca="false">AP3777*$M3777</f>
        <v>0</v>
      </c>
      <c r="AR3777" s="28"/>
      <c r="AS3777" s="28" t="n">
        <f aca="false">AR3777*$M3777</f>
        <v>0</v>
      </c>
      <c r="AT3777" s="28"/>
      <c r="AU3777" s="28" t="n">
        <f aca="false">AT3777*$M3777</f>
        <v>0</v>
      </c>
      <c r="AV3777" s="28"/>
      <c r="AW3777" s="28" t="n">
        <f aca="false">AV3777*$M3777</f>
        <v>0</v>
      </c>
      <c r="AX3777" s="28"/>
      <c r="AY3777" s="28" t="n">
        <f aca="false">AX3777*$M3777</f>
        <v>0</v>
      </c>
      <c r="AZ3777" s="30" t="n">
        <f aca="false">32763/100</f>
        <v>327.63</v>
      </c>
      <c r="BA3777" s="11" t="n">
        <v>21652</v>
      </c>
      <c r="BB3777" s="31" t="n">
        <f aca="false">SUM(Q3777,S3777,U3777,W3777,Y3777,AA3777,AC3777,AE3777,AG3777,AI3777,AK3777,AM3777,AO3777,AQ3777,AS3777,AU3777,AW3777,AY3777)</f>
        <v>21652</v>
      </c>
      <c r="BC3777" s="28" t="n">
        <f aca="false">BA3777-BB3777</f>
        <v>0</v>
      </c>
      <c r="BD3777" s="32" t="n">
        <f aca="false">SUM(P3777,R3777,T3777,V3777,X3777,Z3777,AB3777,AD3777,AF3777,AH3777,AJ3777,AL3777,AN3777,AP3777,AR3777,AT3777,AV3777,AX3777)</f>
        <v>360.86</v>
      </c>
      <c r="BE3777" s="33" t="n">
        <f aca="false">AZ3777-BD3777</f>
        <v>-33.23</v>
      </c>
      <c r="BF3777" s="34" t="n">
        <f aca="false">BD3777*M3777</f>
        <v>21651.6</v>
      </c>
      <c r="BG3777" s="35" t="n">
        <f aca="false">BA3777-BF3777</f>
        <v>0.399999999997817</v>
      </c>
      <c r="BH3777" s="19" t="str">
        <f aca="false">IF(BG3777=0,"",IF(BG3777&lt;&gt;BA3777,"erreur de calcul",IF(BD3777&lt;&gt;0,"pas de prix",IF(M3777&lt;&gt; 0,"pas de quantité","pas de prix, ni de quantité"))))</f>
        <v>erreur de calcul</v>
      </c>
      <c r="BI3777" s="19"/>
    </row>
    <row r="3778" customFormat="false" ht="15" hidden="false" customHeight="false" outlineLevel="0" collapsed="false">
      <c r="A3778" s="0" t="n">
        <v>20</v>
      </c>
      <c r="B3778" s="8" t="s">
        <v>24</v>
      </c>
      <c r="C3778" s="9" t="s">
        <v>25</v>
      </c>
      <c r="D3778" s="9" t="s">
        <v>26</v>
      </c>
      <c r="E3778" s="10" t="n">
        <v>1789</v>
      </c>
      <c r="F3778" s="9" t="s">
        <v>27</v>
      </c>
      <c r="G3778" s="9" t="s">
        <v>27</v>
      </c>
      <c r="H3778" s="11" t="n">
        <v>25</v>
      </c>
      <c r="I3778" s="11" t="s">
        <v>348</v>
      </c>
      <c r="J3778" s="14" t="n">
        <v>9</v>
      </c>
      <c r="K3778" s="14"/>
      <c r="L3778" s="16"/>
      <c r="M3778" s="27" t="n">
        <f aca="false">J3778+(K3778/20)+(L3778/240)</f>
        <v>9</v>
      </c>
      <c r="N3778" s="17" t="s">
        <v>349</v>
      </c>
      <c r="O3778" s="11"/>
      <c r="P3778" s="28"/>
      <c r="Q3778" s="28" t="n">
        <f aca="false">P3778*$M3778</f>
        <v>0</v>
      </c>
      <c r="R3778" s="28"/>
      <c r="S3778" s="28" t="n">
        <f aca="false">R3778*$M3778</f>
        <v>0</v>
      </c>
      <c r="T3778" s="28"/>
      <c r="U3778" s="28" t="n">
        <f aca="false">T3778*$M3778</f>
        <v>0</v>
      </c>
      <c r="V3778" s="28" t="n">
        <v>545</v>
      </c>
      <c r="W3778" s="28" t="n">
        <v>4905</v>
      </c>
      <c r="X3778" s="28"/>
      <c r="Y3778" s="28" t="n">
        <f aca="false">X3778*$M3778</f>
        <v>0</v>
      </c>
      <c r="Z3778" s="28"/>
      <c r="AA3778" s="28" t="n">
        <f aca="false">Z3778*$M3778</f>
        <v>0</v>
      </c>
      <c r="AB3778" s="28"/>
      <c r="AC3778" s="28" t="n">
        <f aca="false">AB3778*$M3778</f>
        <v>0</v>
      </c>
      <c r="AD3778" s="28"/>
      <c r="AE3778" s="28" t="n">
        <f aca="false">AD3778*$M3778</f>
        <v>0</v>
      </c>
      <c r="AF3778" s="28"/>
      <c r="AG3778" s="28" t="n">
        <f aca="false">AF3778*$M3778</f>
        <v>0</v>
      </c>
      <c r="AH3778" s="28"/>
      <c r="AI3778" s="28" t="n">
        <f aca="false">AH3778*$M3778</f>
        <v>0</v>
      </c>
      <c r="AJ3778" s="28" t="n">
        <v>592</v>
      </c>
      <c r="AK3778" s="28" t="n">
        <v>5328</v>
      </c>
      <c r="AL3778" s="28"/>
      <c r="AM3778" s="28" t="n">
        <f aca="false">AL3778*$M3778</f>
        <v>0</v>
      </c>
      <c r="AN3778" s="28"/>
      <c r="AO3778" s="28" t="n">
        <f aca="false">AN3778*$M3778</f>
        <v>0</v>
      </c>
      <c r="AP3778" s="28"/>
      <c r="AQ3778" s="28" t="n">
        <f aca="false">AP3778*$M3778</f>
        <v>0</v>
      </c>
      <c r="AR3778" s="28"/>
      <c r="AS3778" s="28" t="n">
        <f aca="false">AR3778*$M3778</f>
        <v>0</v>
      </c>
      <c r="AT3778" s="28"/>
      <c r="AU3778" s="28" t="n">
        <f aca="false">AT3778*$M3778</f>
        <v>0</v>
      </c>
      <c r="AV3778" s="28"/>
      <c r="AW3778" s="28" t="n">
        <f aca="false">AV3778*$M3778</f>
        <v>0</v>
      </c>
      <c r="AX3778" s="28"/>
      <c r="AY3778" s="28" t="n">
        <f aca="false">AX3778*$M3778</f>
        <v>0</v>
      </c>
      <c r="AZ3778" s="30" t="n">
        <v>1137</v>
      </c>
      <c r="BA3778" s="11" t="n">
        <v>10233</v>
      </c>
      <c r="BB3778" s="31" t="n">
        <f aca="false">SUM(Q3778,S3778,U3778,W3778,Y3778,AA3778,AC3778,AE3778,AG3778,AI3778,AK3778,AM3778,AO3778,AQ3778,AS3778,AU3778,AW3778,AY3778)</f>
        <v>10233</v>
      </c>
      <c r="BC3778" s="28" t="n">
        <f aca="false">BA3778-BB3778</f>
        <v>0</v>
      </c>
      <c r="BD3778" s="32" t="n">
        <f aca="false">SUM(P3778,R3778,T3778,V3778,X3778,Z3778,AB3778,AD3778,AF3778,AH3778,AJ3778,AL3778,AN3778,AP3778,AR3778,AT3778,AV3778,AX3778)</f>
        <v>1137</v>
      </c>
      <c r="BE3778" s="33" t="n">
        <f aca="false">AZ3778-BD3778</f>
        <v>0</v>
      </c>
      <c r="BF3778" s="34" t="n">
        <f aca="false">BD3778*M3778</f>
        <v>10233</v>
      </c>
      <c r="BG3778" s="35" t="n">
        <f aca="false">BA3778-BF3778</f>
        <v>0</v>
      </c>
      <c r="BH3778" s="19" t="str">
        <f aca="false">IF(BG3778=0,"",IF(BG3778&lt;&gt;BA3778,"erreur de calcul",IF(BD3778&lt;&gt;0,"pas de prix",IF(M3778&lt;&gt; 0,"pas de quantité","pas de prix, ni de quantité"))))</f>
        <v/>
      </c>
      <c r="BI3778" s="19"/>
    </row>
    <row r="3779" customFormat="false" ht="15" hidden="false" customHeight="false" outlineLevel="0" collapsed="false">
      <c r="A3779" s="0" t="n">
        <v>21</v>
      </c>
      <c r="B3779" s="8" t="s">
        <v>24</v>
      </c>
      <c r="C3779" s="9" t="s">
        <v>25</v>
      </c>
      <c r="D3779" s="9" t="s">
        <v>26</v>
      </c>
      <c r="E3779" s="10" t="n">
        <v>1789</v>
      </c>
      <c r="F3779" s="9" t="s">
        <v>27</v>
      </c>
      <c r="G3779" s="9" t="s">
        <v>27</v>
      </c>
      <c r="H3779" s="11" t="n">
        <v>25</v>
      </c>
      <c r="I3779" s="11" t="s">
        <v>350</v>
      </c>
      <c r="J3779" s="14"/>
      <c r="K3779" s="14" t="n">
        <v>40</v>
      </c>
      <c r="L3779" s="16"/>
      <c r="M3779" s="27" t="n">
        <f aca="false">J3779+(K3779/20)+(L3779/240)</f>
        <v>2</v>
      </c>
      <c r="N3779" s="17" t="s">
        <v>349</v>
      </c>
      <c r="O3779" s="11"/>
      <c r="P3779" s="28"/>
      <c r="Q3779" s="28" t="n">
        <f aca="false">P3779*$M3779</f>
        <v>0</v>
      </c>
      <c r="R3779" s="28"/>
      <c r="S3779" s="28" t="n">
        <f aca="false">R3779*$M3779</f>
        <v>0</v>
      </c>
      <c r="T3779" s="28"/>
      <c r="U3779" s="28" t="n">
        <f aca="false">T3779*$M3779</f>
        <v>0</v>
      </c>
      <c r="V3779" s="28" t="n">
        <v>2688</v>
      </c>
      <c r="W3779" s="28" t="n">
        <v>5376</v>
      </c>
      <c r="X3779" s="28" t="n">
        <v>775</v>
      </c>
      <c r="Y3779" s="28" t="n">
        <v>1550</v>
      </c>
      <c r="Z3779" s="28"/>
      <c r="AA3779" s="28" t="n">
        <f aca="false">Z3779*$M3779</f>
        <v>0</v>
      </c>
      <c r="AB3779" s="28"/>
      <c r="AC3779" s="28" t="n">
        <f aca="false">AB3779*$M3779</f>
        <v>0</v>
      </c>
      <c r="AD3779" s="28"/>
      <c r="AE3779" s="28" t="n">
        <f aca="false">AD3779*$M3779</f>
        <v>0</v>
      </c>
      <c r="AF3779" s="28"/>
      <c r="AG3779" s="28" t="n">
        <f aca="false">AF3779*$M3779</f>
        <v>0</v>
      </c>
      <c r="AH3779" s="28"/>
      <c r="AI3779" s="28" t="n">
        <f aca="false">AH3779*$M3779</f>
        <v>0</v>
      </c>
      <c r="AJ3779" s="28"/>
      <c r="AK3779" s="28" t="n">
        <f aca="false">AJ3779*$M3779</f>
        <v>0</v>
      </c>
      <c r="AL3779" s="28"/>
      <c r="AM3779" s="28" t="n">
        <f aca="false">AL3779*$M3779</f>
        <v>0</v>
      </c>
      <c r="AN3779" s="28"/>
      <c r="AO3779" s="28" t="n">
        <f aca="false">AN3779*$M3779</f>
        <v>0</v>
      </c>
      <c r="AP3779" s="28"/>
      <c r="AQ3779" s="28" t="n">
        <f aca="false">AP3779*$M3779</f>
        <v>0</v>
      </c>
      <c r="AR3779" s="28"/>
      <c r="AS3779" s="28" t="n">
        <f aca="false">AR3779*$M3779</f>
        <v>0</v>
      </c>
      <c r="AT3779" s="28"/>
      <c r="AU3779" s="28" t="n">
        <f aca="false">AT3779*$M3779</f>
        <v>0</v>
      </c>
      <c r="AV3779" s="28"/>
      <c r="AW3779" s="28" t="n">
        <f aca="false">AV3779*$M3779</f>
        <v>0</v>
      </c>
      <c r="AX3779" s="28"/>
      <c r="AY3779" s="28" t="n">
        <f aca="false">AX3779*$M3779</f>
        <v>0</v>
      </c>
      <c r="AZ3779" s="30" t="n">
        <v>3463</v>
      </c>
      <c r="BA3779" s="11" t="n">
        <v>6926</v>
      </c>
      <c r="BB3779" s="31" t="n">
        <f aca="false">SUM(Q3779,S3779,U3779,W3779,Y3779,AA3779,AC3779,AE3779,AG3779,AI3779,AK3779,AM3779,AO3779,AQ3779,AS3779,AU3779,AW3779,AY3779)</f>
        <v>6926</v>
      </c>
      <c r="BC3779" s="28" t="n">
        <f aca="false">BA3779-BB3779</f>
        <v>0</v>
      </c>
      <c r="BD3779" s="32" t="n">
        <f aca="false">SUM(P3779,R3779,T3779,V3779,X3779,Z3779,AB3779,AD3779,AF3779,AH3779,AJ3779,AL3779,AN3779,AP3779,AR3779,AT3779,AV3779,AX3779)</f>
        <v>3463</v>
      </c>
      <c r="BE3779" s="33" t="n">
        <f aca="false">AZ3779-BD3779</f>
        <v>0</v>
      </c>
      <c r="BF3779" s="34" t="n">
        <f aca="false">BD3779*M3779</f>
        <v>6926</v>
      </c>
      <c r="BG3779" s="35" t="n">
        <f aca="false">BA3779-BF3779</f>
        <v>0</v>
      </c>
      <c r="BH3779" s="19" t="str">
        <f aca="false">IF(BG3779=0,"",IF(BG3779&lt;&gt;BA3779,"erreur de calcul",IF(BD3779&lt;&gt;0,"pas de prix",IF(M3779&lt;&gt; 0,"pas de quantité","pas de prix, ni de quantité"))))</f>
        <v/>
      </c>
      <c r="BI3779" s="19"/>
    </row>
    <row r="3780" customFormat="false" ht="15" hidden="false" customHeight="false" outlineLevel="0" collapsed="false">
      <c r="A3780" s="0" t="n">
        <v>22</v>
      </c>
      <c r="B3780" s="8" t="s">
        <v>24</v>
      </c>
      <c r="C3780" s="9" t="s">
        <v>25</v>
      </c>
      <c r="D3780" s="9" t="s">
        <v>26</v>
      </c>
      <c r="E3780" s="10" t="n">
        <v>1789</v>
      </c>
      <c r="F3780" s="9" t="s">
        <v>27</v>
      </c>
      <c r="G3780" s="9" t="s">
        <v>27</v>
      </c>
      <c r="H3780" s="11" t="n">
        <v>25</v>
      </c>
      <c r="I3780" s="11" t="s">
        <v>351</v>
      </c>
      <c r="J3780" s="14" t="n">
        <v>60</v>
      </c>
      <c r="K3780" s="14"/>
      <c r="L3780" s="16"/>
      <c r="M3780" s="27" t="n">
        <f aca="false">J3780+(K3780/20)+(L3780/240)</f>
        <v>60</v>
      </c>
      <c r="N3780" s="17" t="s">
        <v>69</v>
      </c>
      <c r="O3780" s="11"/>
      <c r="P3780" s="28"/>
      <c r="Q3780" s="28" t="n">
        <f aca="false">P3780*$M3780</f>
        <v>0</v>
      </c>
      <c r="R3780" s="28"/>
      <c r="S3780" s="28" t="n">
        <f aca="false">R3780*$M3780</f>
        <v>0</v>
      </c>
      <c r="T3780" s="28" t="n">
        <v>20</v>
      </c>
      <c r="U3780" s="28" t="n">
        <v>1200</v>
      </c>
      <c r="V3780" s="28" t="n">
        <v>82</v>
      </c>
      <c r="W3780" s="28" t="n">
        <v>4920</v>
      </c>
      <c r="X3780" s="28"/>
      <c r="Y3780" s="28" t="n">
        <f aca="false">X3780*$M3780</f>
        <v>0</v>
      </c>
      <c r="Z3780" s="28"/>
      <c r="AA3780" s="28" t="n">
        <f aca="false">Z3780*$M3780</f>
        <v>0</v>
      </c>
      <c r="AB3780" s="28"/>
      <c r="AC3780" s="28" t="n">
        <f aca="false">AB3780*$M3780</f>
        <v>0</v>
      </c>
      <c r="AD3780" s="28"/>
      <c r="AE3780" s="28" t="n">
        <f aca="false">AD3780*$M3780</f>
        <v>0</v>
      </c>
      <c r="AF3780" s="28"/>
      <c r="AG3780" s="28" t="n">
        <f aca="false">AF3780*$M3780</f>
        <v>0</v>
      </c>
      <c r="AH3780" s="28"/>
      <c r="AI3780" s="28" t="n">
        <f aca="false">AH3780*$M3780</f>
        <v>0</v>
      </c>
      <c r="AJ3780" s="28"/>
      <c r="AK3780" s="28" t="n">
        <f aca="false">AJ3780*$M3780</f>
        <v>0</v>
      </c>
      <c r="AL3780" s="28"/>
      <c r="AM3780" s="28" t="n">
        <f aca="false">AL3780*$M3780</f>
        <v>0</v>
      </c>
      <c r="AN3780" s="28"/>
      <c r="AO3780" s="28" t="n">
        <f aca="false">AN3780*$M3780</f>
        <v>0</v>
      </c>
      <c r="AP3780" s="28"/>
      <c r="AQ3780" s="28" t="n">
        <f aca="false">AP3780*$M3780</f>
        <v>0</v>
      </c>
      <c r="AR3780" s="28"/>
      <c r="AS3780" s="28" t="n">
        <f aca="false">AR3780*$M3780</f>
        <v>0</v>
      </c>
      <c r="AT3780" s="28"/>
      <c r="AU3780" s="28" t="n">
        <f aca="false">AT3780*$M3780</f>
        <v>0</v>
      </c>
      <c r="AV3780" s="28"/>
      <c r="AW3780" s="28" t="n">
        <f aca="false">AV3780*$M3780</f>
        <v>0</v>
      </c>
      <c r="AX3780" s="28"/>
      <c r="AY3780" s="28" t="n">
        <f aca="false">AX3780*$M3780</f>
        <v>0</v>
      </c>
      <c r="AZ3780" s="30" t="n">
        <v>102</v>
      </c>
      <c r="BA3780" s="11" t="n">
        <v>6120</v>
      </c>
      <c r="BB3780" s="31" t="n">
        <f aca="false">SUM(Q3780,S3780,U3780,W3780,Y3780,AA3780,AC3780,AE3780,AG3780,AI3780,AK3780,AM3780,AO3780,AQ3780,AS3780,AU3780,AW3780,AY3780)</f>
        <v>6120</v>
      </c>
      <c r="BC3780" s="28" t="n">
        <f aca="false">BA3780-BB3780</f>
        <v>0</v>
      </c>
      <c r="BD3780" s="32" t="n">
        <f aca="false">SUM(P3780,R3780,T3780,V3780,X3780,Z3780,AB3780,AD3780,AF3780,AH3780,AJ3780,AL3780,AN3780,AP3780,AR3780,AT3780,AV3780,AX3780)</f>
        <v>102</v>
      </c>
      <c r="BE3780" s="33" t="n">
        <f aca="false">AZ3780-BD3780</f>
        <v>0</v>
      </c>
      <c r="BF3780" s="34" t="n">
        <f aca="false">BD3780*M3780</f>
        <v>6120</v>
      </c>
      <c r="BG3780" s="35" t="n">
        <f aca="false">BA3780-BF3780</f>
        <v>0</v>
      </c>
      <c r="BH3780" s="19" t="str">
        <f aca="false">IF(BG3780=0,"",IF(BG3780&lt;&gt;BA3780,"erreur de calcul",IF(BD3780&lt;&gt;0,"pas de prix",IF(M3780&lt;&gt; 0,"pas de quantité","pas de prix, ni de quantité"))))</f>
        <v/>
      </c>
      <c r="BI3780" s="19"/>
    </row>
    <row r="3781" customFormat="false" ht="15" hidden="false" customHeight="false" outlineLevel="0" collapsed="false">
      <c r="A3781" s="0" t="n">
        <v>23</v>
      </c>
      <c r="B3781" s="8" t="s">
        <v>24</v>
      </c>
      <c r="C3781" s="9" t="s">
        <v>25</v>
      </c>
      <c r="D3781" s="9" t="s">
        <v>26</v>
      </c>
      <c r="E3781" s="10" t="n">
        <v>1789</v>
      </c>
      <c r="F3781" s="9" t="s">
        <v>27</v>
      </c>
      <c r="G3781" s="9" t="s">
        <v>27</v>
      </c>
      <c r="H3781" s="11" t="n">
        <v>25</v>
      </c>
      <c r="I3781" s="11" t="s">
        <v>352</v>
      </c>
      <c r="J3781" s="14" t="n">
        <v>150</v>
      </c>
      <c r="K3781" s="14"/>
      <c r="L3781" s="16"/>
      <c r="M3781" s="27" t="n">
        <f aca="false">J3781+(K3781/20)+(L3781/240)</f>
        <v>150</v>
      </c>
      <c r="N3781" s="17" t="s">
        <v>64</v>
      </c>
      <c r="O3781" s="11"/>
      <c r="P3781" s="28" t="n">
        <f aca="false">274/100</f>
        <v>2.74</v>
      </c>
      <c r="Q3781" s="28" t="n">
        <v>411</v>
      </c>
      <c r="R3781" s="28"/>
      <c r="S3781" s="28" t="n">
        <f aca="false">R3781*$M3781</f>
        <v>0</v>
      </c>
      <c r="T3781" s="28" t="n">
        <f aca="false">3042/100</f>
        <v>30.42</v>
      </c>
      <c r="U3781" s="28" t="n">
        <v>4563</v>
      </c>
      <c r="V3781" s="28"/>
      <c r="W3781" s="28" t="n">
        <f aca="false">V3781*$M3781</f>
        <v>0</v>
      </c>
      <c r="X3781" s="28"/>
      <c r="Y3781" s="28" t="n">
        <f aca="false">X3781*$M3781</f>
        <v>0</v>
      </c>
      <c r="Z3781" s="28"/>
      <c r="AA3781" s="28" t="n">
        <f aca="false">Z3781*$M3781</f>
        <v>0</v>
      </c>
      <c r="AB3781" s="28" t="n">
        <f aca="false">92/100</f>
        <v>0.92</v>
      </c>
      <c r="AC3781" s="28" t="n">
        <v>138</v>
      </c>
      <c r="AD3781" s="28"/>
      <c r="AE3781" s="28" t="n">
        <f aca="false">AD3781*$M3781</f>
        <v>0</v>
      </c>
      <c r="AF3781" s="28"/>
      <c r="AG3781" s="28" t="n">
        <f aca="false">AF3781*$M3781</f>
        <v>0</v>
      </c>
      <c r="AH3781" s="28"/>
      <c r="AI3781" s="28" t="n">
        <f aca="false">AH3781*$M3781</f>
        <v>0</v>
      </c>
      <c r="AJ3781" s="28"/>
      <c r="AK3781" s="28" t="n">
        <f aca="false">AJ3781*$M3781</f>
        <v>0</v>
      </c>
      <c r="AL3781" s="28"/>
      <c r="AM3781" s="28" t="n">
        <f aca="false">AL3781*$M3781</f>
        <v>0</v>
      </c>
      <c r="AN3781" s="28"/>
      <c r="AO3781" s="28" t="n">
        <f aca="false">AN3781*$M3781</f>
        <v>0</v>
      </c>
      <c r="AP3781" s="28"/>
      <c r="AQ3781" s="28" t="n">
        <f aca="false">AP3781*$M3781</f>
        <v>0</v>
      </c>
      <c r="AR3781" s="28"/>
      <c r="AS3781" s="28" t="n">
        <f aca="false">AR3781*$M3781</f>
        <v>0</v>
      </c>
      <c r="AT3781" s="28"/>
      <c r="AU3781" s="28" t="n">
        <f aca="false">AT3781*$M3781</f>
        <v>0</v>
      </c>
      <c r="AV3781" s="28"/>
      <c r="AW3781" s="28" t="n">
        <f aca="false">AV3781*$M3781</f>
        <v>0</v>
      </c>
      <c r="AX3781" s="28"/>
      <c r="AY3781" s="28" t="n">
        <f aca="false">AX3781*$M3781</f>
        <v>0</v>
      </c>
      <c r="AZ3781" s="30" t="n">
        <f aca="false">3408/100</f>
        <v>34.08</v>
      </c>
      <c r="BA3781" s="11" t="n">
        <v>5112</v>
      </c>
      <c r="BB3781" s="31" t="n">
        <f aca="false">SUM(Q3781,S3781,U3781,W3781,Y3781,AA3781,AC3781,AE3781,AG3781,AI3781,AK3781,AM3781,AO3781,AQ3781,AS3781,AU3781,AW3781,AY3781)</f>
        <v>5112</v>
      </c>
      <c r="BC3781" s="28" t="n">
        <f aca="false">BA3781-BB3781</f>
        <v>0</v>
      </c>
      <c r="BD3781" s="32" t="n">
        <f aca="false">SUM(P3781,R3781,T3781,V3781,X3781,Z3781,AB3781,AD3781,AF3781,AH3781,AJ3781,AL3781,AN3781,AP3781,AR3781,AT3781,AV3781,AX3781)</f>
        <v>34.08</v>
      </c>
      <c r="BE3781" s="33" t="n">
        <f aca="false">AZ3781-BD3781</f>
        <v>0</v>
      </c>
      <c r="BF3781" s="34" t="n">
        <f aca="false">BD3781*M3781</f>
        <v>5112</v>
      </c>
      <c r="BG3781" s="35" t="n">
        <f aca="false">BA3781-BF3781</f>
        <v>0</v>
      </c>
      <c r="BH3781" s="19" t="str">
        <f aca="false">IF(BG3781=0,"",IF(BG3781&lt;&gt;BA3781,"erreur de calcul",IF(BD3781&lt;&gt;0,"pas de prix",IF(M3781&lt;&gt; 0,"pas de quantité","pas de prix, ni de quantité"))))</f>
        <v/>
      </c>
      <c r="BI3781" s="19"/>
    </row>
    <row r="3782" customFormat="false" ht="15" hidden="false" customHeight="false" outlineLevel="0" collapsed="false">
      <c r="A3782" s="0" t="n">
        <v>24</v>
      </c>
      <c r="B3782" s="8" t="s">
        <v>24</v>
      </c>
      <c r="C3782" s="9" t="s">
        <v>25</v>
      </c>
      <c r="D3782" s="9" t="s">
        <v>26</v>
      </c>
      <c r="E3782" s="10" t="n">
        <v>1789</v>
      </c>
      <c r="F3782" s="9" t="s">
        <v>27</v>
      </c>
      <c r="G3782" s="9" t="s">
        <v>27</v>
      </c>
      <c r="H3782" s="11" t="n">
        <v>25</v>
      </c>
      <c r="I3782" s="11" t="s">
        <v>353</v>
      </c>
      <c r="J3782" s="14" t="n">
        <v>40</v>
      </c>
      <c r="K3782" s="14"/>
      <c r="L3782" s="16"/>
      <c r="M3782" s="27" t="n">
        <f aca="false">J3782+(K3782/20)+(L3782/240)</f>
        <v>40</v>
      </c>
      <c r="N3782" s="17" t="s">
        <v>64</v>
      </c>
      <c r="O3782" s="11"/>
      <c r="P3782" s="28"/>
      <c r="Q3782" s="28" t="n">
        <f aca="false">P3782*$M3782</f>
        <v>0</v>
      </c>
      <c r="R3782" s="28"/>
      <c r="S3782" s="28" t="n">
        <f aca="false">R3782*$M3782</f>
        <v>0</v>
      </c>
      <c r="T3782" s="28"/>
      <c r="U3782" s="28" t="n">
        <f aca="false">T3782*$M3782</f>
        <v>0</v>
      </c>
      <c r="V3782" s="28" t="n">
        <f aca="false">4960/100</f>
        <v>49.6</v>
      </c>
      <c r="W3782" s="28" t="n">
        <v>1984</v>
      </c>
      <c r="X3782" s="28" t="n">
        <f aca="false">394/100</f>
        <v>3.94</v>
      </c>
      <c r="Y3782" s="28" t="n">
        <v>158</v>
      </c>
      <c r="Z3782" s="28"/>
      <c r="AA3782" s="28" t="n">
        <f aca="false">Z3782*$M3782</f>
        <v>0</v>
      </c>
      <c r="AB3782" s="28"/>
      <c r="AC3782" s="28" t="n">
        <f aca="false">AB3782*$M3782</f>
        <v>0</v>
      </c>
      <c r="AD3782" s="28"/>
      <c r="AE3782" s="28" t="n">
        <f aca="false">AD3782*$M3782</f>
        <v>0</v>
      </c>
      <c r="AF3782" s="28"/>
      <c r="AG3782" s="28" t="n">
        <f aca="false">AF3782*$M3782</f>
        <v>0</v>
      </c>
      <c r="AH3782" s="28"/>
      <c r="AI3782" s="28" t="n">
        <f aca="false">AH3782*$M3782</f>
        <v>0</v>
      </c>
      <c r="AJ3782" s="28"/>
      <c r="AK3782" s="28" t="n">
        <f aca="false">AJ3782*$M3782</f>
        <v>0</v>
      </c>
      <c r="AL3782" s="28"/>
      <c r="AM3782" s="28" t="n">
        <f aca="false">AL3782*$M3782</f>
        <v>0</v>
      </c>
      <c r="AN3782" s="28"/>
      <c r="AO3782" s="28" t="n">
        <f aca="false">AN3782*$M3782</f>
        <v>0</v>
      </c>
      <c r="AP3782" s="28"/>
      <c r="AQ3782" s="28" t="n">
        <f aca="false">AP3782*$M3782</f>
        <v>0</v>
      </c>
      <c r="AR3782" s="28"/>
      <c r="AS3782" s="28" t="n">
        <f aca="false">AR3782*$M3782</f>
        <v>0</v>
      </c>
      <c r="AT3782" s="28"/>
      <c r="AU3782" s="28" t="n">
        <f aca="false">AT3782*$M3782</f>
        <v>0</v>
      </c>
      <c r="AV3782" s="28"/>
      <c r="AW3782" s="28" t="n">
        <f aca="false">AV3782*$M3782</f>
        <v>0</v>
      </c>
      <c r="AX3782" s="28"/>
      <c r="AY3782" s="28" t="n">
        <f aca="false">AX3782*$M3782</f>
        <v>0</v>
      </c>
      <c r="AZ3782" s="30" t="n">
        <f aca="false">5354/100</f>
        <v>53.54</v>
      </c>
      <c r="BA3782" s="11" t="n">
        <v>2142</v>
      </c>
      <c r="BB3782" s="31" t="n">
        <f aca="false">SUM(Q3782,S3782,U3782,W3782,Y3782,AA3782,AC3782,AE3782,AG3782,AI3782,AK3782,AM3782,AO3782,AQ3782,AS3782,AU3782,AW3782,AY3782)</f>
        <v>2142</v>
      </c>
      <c r="BC3782" s="28" t="n">
        <f aca="false">BA3782-BB3782</f>
        <v>0</v>
      </c>
      <c r="BD3782" s="32" t="n">
        <f aca="false">SUM(P3782,R3782,T3782,V3782,X3782,Z3782,AB3782,AD3782,AF3782,AH3782,AJ3782,AL3782,AN3782,AP3782,AR3782,AT3782,AV3782,AX3782)</f>
        <v>53.54</v>
      </c>
      <c r="BE3782" s="33" t="n">
        <f aca="false">AZ3782-BD3782</f>
        <v>0</v>
      </c>
      <c r="BF3782" s="34" t="n">
        <f aca="false">BD3782*M3782</f>
        <v>2141.6</v>
      </c>
      <c r="BG3782" s="35" t="n">
        <f aca="false">BA3782-BF3782</f>
        <v>0.400000000000091</v>
      </c>
      <c r="BH3782" s="19" t="str">
        <f aca="false">IF(BG3782=0,"",IF(BG3782&lt;&gt;BA3782,"erreur de calcul",IF(BD3782&lt;&gt;0,"pas de prix",IF(M3782&lt;&gt; 0,"pas de quantité","pas de prix, ni de quantité"))))</f>
        <v>erreur de calcul</v>
      </c>
      <c r="BI3782" s="19"/>
    </row>
    <row r="3783" customFormat="false" ht="15" hidden="false" customHeight="false" outlineLevel="0" collapsed="false">
      <c r="A3783" s="0" t="n">
        <v>25</v>
      </c>
      <c r="B3783" s="8" t="s">
        <v>24</v>
      </c>
      <c r="C3783" s="9" t="s">
        <v>25</v>
      </c>
      <c r="D3783" s="9" t="s">
        <v>26</v>
      </c>
      <c r="E3783" s="10" t="n">
        <v>1789</v>
      </c>
      <c r="F3783" s="9" t="s">
        <v>27</v>
      </c>
      <c r="G3783" s="9" t="s">
        <v>27</v>
      </c>
      <c r="H3783" s="11" t="n">
        <v>25</v>
      </c>
      <c r="I3783" s="11" t="s">
        <v>354</v>
      </c>
      <c r="J3783" s="14" t="n">
        <v>200</v>
      </c>
      <c r="K3783" s="14"/>
      <c r="L3783" s="16"/>
      <c r="M3783" s="27" t="n">
        <f aca="false">J3783+(K3783/20)+(L3783/240)</f>
        <v>200</v>
      </c>
      <c r="N3783" s="17" t="s">
        <v>64</v>
      </c>
      <c r="O3783" s="11"/>
      <c r="P3783" s="28"/>
      <c r="Q3783" s="28" t="n">
        <f aca="false">P3783*$M3783</f>
        <v>0</v>
      </c>
      <c r="R3783" s="28"/>
      <c r="S3783" s="28" t="n">
        <f aca="false">R3783*$M3783</f>
        <v>0</v>
      </c>
      <c r="T3783" s="28" t="n">
        <f aca="false">4367/100</f>
        <v>43.67</v>
      </c>
      <c r="U3783" s="28" t="n">
        <v>8734</v>
      </c>
      <c r="V3783" s="28" t="n">
        <f aca="false">346/100</f>
        <v>3.46</v>
      </c>
      <c r="W3783" s="28" t="n">
        <v>692</v>
      </c>
      <c r="X3783" s="28"/>
      <c r="Y3783" s="28" t="n">
        <f aca="false">X3783*$M3783</f>
        <v>0</v>
      </c>
      <c r="Z3783" s="28"/>
      <c r="AA3783" s="28" t="n">
        <f aca="false">Z3783*$M3783</f>
        <v>0</v>
      </c>
      <c r="AB3783" s="28"/>
      <c r="AC3783" s="28" t="n">
        <f aca="false">AB3783*$M3783</f>
        <v>0</v>
      </c>
      <c r="AD3783" s="28"/>
      <c r="AE3783" s="28" t="n">
        <f aca="false">AD3783*$M3783</f>
        <v>0</v>
      </c>
      <c r="AF3783" s="28"/>
      <c r="AG3783" s="28" t="n">
        <f aca="false">AF3783*$M3783</f>
        <v>0</v>
      </c>
      <c r="AH3783" s="28"/>
      <c r="AI3783" s="28" t="n">
        <f aca="false">AH3783*$M3783</f>
        <v>0</v>
      </c>
      <c r="AJ3783" s="28"/>
      <c r="AK3783" s="28" t="n">
        <f aca="false">AJ3783*$M3783</f>
        <v>0</v>
      </c>
      <c r="AL3783" s="28"/>
      <c r="AM3783" s="28" t="n">
        <f aca="false">AL3783*$M3783</f>
        <v>0</v>
      </c>
      <c r="AN3783" s="28"/>
      <c r="AO3783" s="28" t="n">
        <f aca="false">AN3783*$M3783</f>
        <v>0</v>
      </c>
      <c r="AP3783" s="28"/>
      <c r="AQ3783" s="28" t="n">
        <f aca="false">AP3783*$M3783</f>
        <v>0</v>
      </c>
      <c r="AR3783" s="28"/>
      <c r="AS3783" s="28" t="n">
        <f aca="false">AR3783*$M3783</f>
        <v>0</v>
      </c>
      <c r="AT3783" s="28"/>
      <c r="AU3783" s="28" t="n">
        <f aca="false">AT3783*$M3783</f>
        <v>0</v>
      </c>
      <c r="AV3783" s="28"/>
      <c r="AW3783" s="28" t="n">
        <f aca="false">AV3783*$M3783</f>
        <v>0</v>
      </c>
      <c r="AX3783" s="28"/>
      <c r="AY3783" s="28" t="n">
        <f aca="false">AX3783*$M3783</f>
        <v>0</v>
      </c>
      <c r="AZ3783" s="30" t="n">
        <f aca="false">4713/100</f>
        <v>47.13</v>
      </c>
      <c r="BA3783" s="11" t="n">
        <v>9426</v>
      </c>
      <c r="BB3783" s="31" t="n">
        <f aca="false">SUM(Q3783,S3783,U3783,W3783,Y3783,AA3783,AC3783,AE3783,AG3783,AI3783,AK3783,AM3783,AO3783,AQ3783,AS3783,AU3783,AW3783,AY3783)</f>
        <v>9426</v>
      </c>
      <c r="BC3783" s="28" t="n">
        <f aca="false">BA3783-BB3783</f>
        <v>0</v>
      </c>
      <c r="BD3783" s="32" t="n">
        <f aca="false">SUM(P3783,R3783,T3783,V3783,X3783,Z3783,AB3783,AD3783,AF3783,AH3783,AJ3783,AL3783,AN3783,AP3783,AR3783,AT3783,AV3783,AX3783)</f>
        <v>47.13</v>
      </c>
      <c r="BE3783" s="33" t="n">
        <f aca="false">AZ3783-BD3783</f>
        <v>0</v>
      </c>
      <c r="BF3783" s="34" t="n">
        <f aca="false">BD3783*M3783</f>
        <v>9426</v>
      </c>
      <c r="BG3783" s="35" t="n">
        <f aca="false">BA3783-BF3783</f>
        <v>0</v>
      </c>
      <c r="BH3783" s="19" t="str">
        <f aca="false">IF(BG3783=0,"",IF(BG3783&lt;&gt;BA3783,"erreur de calcul",IF(BD3783&lt;&gt;0,"pas de prix",IF(M3783&lt;&gt; 0,"pas de quantité","pas de prix, ni de quantité"))))</f>
        <v/>
      </c>
      <c r="BI3783" s="19"/>
    </row>
    <row r="3784" customFormat="false" ht="15" hidden="false" customHeight="false" outlineLevel="0" collapsed="false">
      <c r="A3784" s="0" t="n">
        <v>26</v>
      </c>
      <c r="B3784" s="8" t="s">
        <v>24</v>
      </c>
      <c r="C3784" s="9" t="s">
        <v>25</v>
      </c>
      <c r="D3784" s="9" t="s">
        <v>26</v>
      </c>
      <c r="E3784" s="10" t="n">
        <v>1789</v>
      </c>
      <c r="F3784" s="9" t="s">
        <v>27</v>
      </c>
      <c r="G3784" s="9" t="s">
        <v>27</v>
      </c>
      <c r="H3784" s="11" t="n">
        <v>25</v>
      </c>
      <c r="I3784" s="11" t="s">
        <v>355</v>
      </c>
      <c r="J3784" s="14" t="n">
        <v>200</v>
      </c>
      <c r="K3784" s="14"/>
      <c r="L3784" s="16"/>
      <c r="M3784" s="27" t="n">
        <f aca="false">J3784+(K3784/20)+(L3784/240)</f>
        <v>200</v>
      </c>
      <c r="N3784" s="17" t="s">
        <v>64</v>
      </c>
      <c r="O3784" s="11"/>
      <c r="P3784" s="28"/>
      <c r="Q3784" s="28" t="n">
        <f aca="false">P3784*$M3784</f>
        <v>0</v>
      </c>
      <c r="R3784" s="28"/>
      <c r="S3784" s="28" t="n">
        <f aca="false">R3784*$M3784</f>
        <v>0</v>
      </c>
      <c r="T3784" s="28" t="n">
        <f aca="false">2471/100</f>
        <v>24.71</v>
      </c>
      <c r="U3784" s="28" t="n">
        <v>4942</v>
      </c>
      <c r="V3784" s="28"/>
      <c r="W3784" s="28" t="n">
        <f aca="false">V3784*$M3784</f>
        <v>0</v>
      </c>
      <c r="X3784" s="28"/>
      <c r="Y3784" s="28" t="n">
        <f aca="false">X3784*$M3784</f>
        <v>0</v>
      </c>
      <c r="Z3784" s="28"/>
      <c r="AA3784" s="28" t="n">
        <f aca="false">Z3784*$M3784</f>
        <v>0</v>
      </c>
      <c r="AB3784" s="28"/>
      <c r="AC3784" s="28" t="n">
        <f aca="false">AB3784*$M3784</f>
        <v>0</v>
      </c>
      <c r="AD3784" s="28"/>
      <c r="AE3784" s="28" t="n">
        <f aca="false">AD3784*$M3784</f>
        <v>0</v>
      </c>
      <c r="AF3784" s="28"/>
      <c r="AG3784" s="28" t="n">
        <f aca="false">AF3784*$M3784</f>
        <v>0</v>
      </c>
      <c r="AH3784" s="28"/>
      <c r="AI3784" s="28" t="n">
        <f aca="false">AH3784*$M3784</f>
        <v>0</v>
      </c>
      <c r="AJ3784" s="28"/>
      <c r="AK3784" s="28" t="n">
        <f aca="false">AJ3784*$M3784</f>
        <v>0</v>
      </c>
      <c r="AL3784" s="28"/>
      <c r="AM3784" s="28" t="n">
        <f aca="false">AL3784*$M3784</f>
        <v>0</v>
      </c>
      <c r="AN3784" s="28"/>
      <c r="AO3784" s="28" t="n">
        <f aca="false">AN3784*$M3784</f>
        <v>0</v>
      </c>
      <c r="AP3784" s="28"/>
      <c r="AQ3784" s="28" t="n">
        <f aca="false">AP3784*$M3784</f>
        <v>0</v>
      </c>
      <c r="AR3784" s="28"/>
      <c r="AS3784" s="28" t="n">
        <f aca="false">AR3784*$M3784</f>
        <v>0</v>
      </c>
      <c r="AT3784" s="28"/>
      <c r="AU3784" s="28" t="n">
        <f aca="false">AT3784*$M3784</f>
        <v>0</v>
      </c>
      <c r="AV3784" s="28"/>
      <c r="AW3784" s="28" t="n">
        <f aca="false">AV3784*$M3784</f>
        <v>0</v>
      </c>
      <c r="AX3784" s="28"/>
      <c r="AY3784" s="28" t="n">
        <f aca="false">AX3784*$M3784</f>
        <v>0</v>
      </c>
      <c r="AZ3784" s="30" t="n">
        <f aca="false">2471/100</f>
        <v>24.71</v>
      </c>
      <c r="BA3784" s="11" t="n">
        <v>4942</v>
      </c>
      <c r="BB3784" s="31" t="n">
        <f aca="false">SUM(Q3784,S3784,U3784,W3784,Y3784,AA3784,AC3784,AE3784,AG3784,AI3784,AK3784,AM3784,AO3784,AQ3784,AS3784,AU3784,AW3784,AY3784)</f>
        <v>4942</v>
      </c>
      <c r="BC3784" s="28" t="n">
        <f aca="false">BA3784-BB3784</f>
        <v>0</v>
      </c>
      <c r="BD3784" s="32" t="n">
        <f aca="false">SUM(P3784,R3784,T3784,V3784,X3784,Z3784,AB3784,AD3784,AF3784,AH3784,AJ3784,AL3784,AN3784,AP3784,AR3784,AT3784,AV3784,AX3784)</f>
        <v>24.71</v>
      </c>
      <c r="BE3784" s="33" t="n">
        <f aca="false">AZ3784-BD3784</f>
        <v>0</v>
      </c>
      <c r="BF3784" s="34" t="n">
        <f aca="false">BD3784*M3784</f>
        <v>4942</v>
      </c>
      <c r="BG3784" s="35" t="n">
        <f aca="false">BA3784-BF3784</f>
        <v>0</v>
      </c>
      <c r="BH3784" s="19" t="str">
        <f aca="false">IF(BG3784=0,"",IF(BG3784&lt;&gt;BA3784,"erreur de calcul",IF(BD3784&lt;&gt;0,"pas de prix",IF(M3784&lt;&gt; 0,"pas de quantité","pas de prix, ni de quantité"))))</f>
        <v/>
      </c>
      <c r="BI3784" s="19"/>
    </row>
    <row r="3785" customFormat="false" ht="15" hidden="false" customHeight="false" outlineLevel="0" collapsed="false">
      <c r="A3785" s="0" t="n">
        <v>27</v>
      </c>
      <c r="B3785" s="8" t="s">
        <v>24</v>
      </c>
      <c r="C3785" s="9" t="s">
        <v>25</v>
      </c>
      <c r="D3785" s="9" t="s">
        <v>26</v>
      </c>
      <c r="E3785" s="10" t="n">
        <v>1789</v>
      </c>
      <c r="F3785" s="9" t="s">
        <v>27</v>
      </c>
      <c r="G3785" s="9" t="s">
        <v>27</v>
      </c>
      <c r="H3785" s="11" t="n">
        <v>25</v>
      </c>
      <c r="I3785" s="11" t="s">
        <v>356</v>
      </c>
      <c r="J3785" s="14" t="n">
        <v>120</v>
      </c>
      <c r="K3785" s="14"/>
      <c r="L3785" s="16"/>
      <c r="M3785" s="27" t="n">
        <f aca="false">J3785+(K3785/20)+(L3785/240)</f>
        <v>120</v>
      </c>
      <c r="N3785" s="17" t="s">
        <v>64</v>
      </c>
      <c r="O3785" s="11"/>
      <c r="P3785" s="28"/>
      <c r="Q3785" s="28" t="n">
        <f aca="false">P3785*$M3785</f>
        <v>0</v>
      </c>
      <c r="R3785" s="28"/>
      <c r="S3785" s="28" t="n">
        <f aca="false">R3785*$M3785</f>
        <v>0</v>
      </c>
      <c r="T3785" s="28"/>
      <c r="U3785" s="28" t="n">
        <f aca="false">T3785*$M3785</f>
        <v>0</v>
      </c>
      <c r="V3785" s="28"/>
      <c r="W3785" s="28" t="n">
        <f aca="false">V3785*$M3785</f>
        <v>0</v>
      </c>
      <c r="X3785" s="28"/>
      <c r="Y3785" s="28" t="n">
        <f aca="false">X3785*$M3785</f>
        <v>0</v>
      </c>
      <c r="Z3785" s="28"/>
      <c r="AA3785" s="28" t="n">
        <f aca="false">Z3785*$M3785</f>
        <v>0</v>
      </c>
      <c r="AB3785" s="28"/>
      <c r="AC3785" s="28" t="n">
        <f aca="false">AB3785*$M3785</f>
        <v>0</v>
      </c>
      <c r="AD3785" s="28"/>
      <c r="AE3785" s="28" t="n">
        <f aca="false">AD3785*$M3785</f>
        <v>0</v>
      </c>
      <c r="AF3785" s="28"/>
      <c r="AG3785" s="28" t="n">
        <f aca="false">AF3785*$M3785</f>
        <v>0</v>
      </c>
      <c r="AH3785" s="28"/>
      <c r="AI3785" s="28" t="n">
        <f aca="false">AH3785*$M3785</f>
        <v>0</v>
      </c>
      <c r="AJ3785" s="28"/>
      <c r="AK3785" s="28" t="n">
        <f aca="false">AJ3785*$M3785</f>
        <v>0</v>
      </c>
      <c r="AL3785" s="28"/>
      <c r="AM3785" s="28" t="n">
        <f aca="false">AL3785*$M3785</f>
        <v>0</v>
      </c>
      <c r="AN3785" s="28" t="n">
        <f aca="false">407/100</f>
        <v>4.07</v>
      </c>
      <c r="AO3785" s="28" t="n">
        <v>488</v>
      </c>
      <c r="AP3785" s="28"/>
      <c r="AQ3785" s="28" t="n">
        <f aca="false">AP3785*$M3785</f>
        <v>0</v>
      </c>
      <c r="AR3785" s="28"/>
      <c r="AS3785" s="28" t="n">
        <f aca="false">AR3785*$M3785</f>
        <v>0</v>
      </c>
      <c r="AT3785" s="28"/>
      <c r="AU3785" s="28" t="n">
        <f aca="false">AT3785*$M3785</f>
        <v>0</v>
      </c>
      <c r="AV3785" s="28"/>
      <c r="AW3785" s="28" t="n">
        <f aca="false">AV3785*$M3785</f>
        <v>0</v>
      </c>
      <c r="AX3785" s="28"/>
      <c r="AY3785" s="28" t="n">
        <f aca="false">AX3785*$M3785</f>
        <v>0</v>
      </c>
      <c r="AZ3785" s="30" t="n">
        <f aca="false">407/100</f>
        <v>4.07</v>
      </c>
      <c r="BA3785" s="11" t="n">
        <v>488</v>
      </c>
      <c r="BB3785" s="31" t="n">
        <f aca="false">SUM(Q3785,S3785,U3785,W3785,Y3785,AA3785,AC3785,AE3785,AG3785,AI3785,AK3785,AM3785,AO3785,AQ3785,AS3785,AU3785,AW3785,AY3785)</f>
        <v>488</v>
      </c>
      <c r="BC3785" s="28" t="n">
        <f aca="false">BA3785-BB3785</f>
        <v>0</v>
      </c>
      <c r="BD3785" s="32" t="n">
        <f aca="false">SUM(P3785,R3785,T3785,V3785,X3785,Z3785,AB3785,AD3785,AF3785,AH3785,AJ3785,AL3785,AN3785,AP3785,AR3785,AT3785,AV3785,AX3785)</f>
        <v>4.07</v>
      </c>
      <c r="BE3785" s="33" t="n">
        <f aca="false">AZ3785-BD3785</f>
        <v>0</v>
      </c>
      <c r="BF3785" s="34" t="n">
        <f aca="false">BD3785*M3785</f>
        <v>488.4</v>
      </c>
      <c r="BG3785" s="35" t="n">
        <f aca="false">BA3785-BF3785</f>
        <v>-0.400000000000034</v>
      </c>
      <c r="BH3785" s="19" t="str">
        <f aca="false">IF(BG3785=0,"",IF(BG3785&lt;&gt;BA3785,"erreur de calcul",IF(BD3785&lt;&gt;0,"pas de prix",IF(M3785&lt;&gt; 0,"pas de quantité","pas de prix, ni de quantité"))))</f>
        <v>erreur de calcul</v>
      </c>
      <c r="BI3785" s="19"/>
    </row>
    <row r="3786" customFormat="false" ht="15" hidden="false" customHeight="false" outlineLevel="0" collapsed="false">
      <c r="A3786" s="0" t="n">
        <v>28</v>
      </c>
      <c r="B3786" s="8" t="s">
        <v>24</v>
      </c>
      <c r="C3786" s="9" t="s">
        <v>25</v>
      </c>
      <c r="D3786" s="9" t="s">
        <v>26</v>
      </c>
      <c r="E3786" s="10" t="n">
        <v>1789</v>
      </c>
      <c r="F3786" s="9" t="s">
        <v>27</v>
      </c>
      <c r="G3786" s="9" t="s">
        <v>27</v>
      </c>
      <c r="H3786" s="11" t="n">
        <v>25</v>
      </c>
      <c r="I3786" s="11" t="s">
        <v>357</v>
      </c>
      <c r="J3786" s="14" t="n">
        <v>30</v>
      </c>
      <c r="K3786" s="14"/>
      <c r="L3786" s="16"/>
      <c r="M3786" s="27" t="n">
        <f aca="false">J3786+(K3786/20)+(L3786/240)</f>
        <v>30</v>
      </c>
      <c r="N3786" s="17" t="s">
        <v>64</v>
      </c>
      <c r="O3786" s="11"/>
      <c r="P3786" s="28"/>
      <c r="Q3786" s="28" t="n">
        <f aca="false">P3786*$M3786</f>
        <v>0</v>
      </c>
      <c r="R3786" s="28"/>
      <c r="S3786" s="28" t="n">
        <f aca="false">R3786*$M3786</f>
        <v>0</v>
      </c>
      <c r="T3786" s="28" t="n">
        <f aca="false">8903/100</f>
        <v>89.03</v>
      </c>
      <c r="U3786" s="28" t="n">
        <v>2671</v>
      </c>
      <c r="V3786" s="28" t="n">
        <f aca="false">2591/100</f>
        <v>25.91</v>
      </c>
      <c r="W3786" s="28" t="n">
        <v>777</v>
      </c>
      <c r="X3786" s="28"/>
      <c r="Y3786" s="28" t="n">
        <f aca="false">X3786*$M3786</f>
        <v>0</v>
      </c>
      <c r="Z3786" s="28" t="n">
        <f aca="false">17041/100</f>
        <v>170.41</v>
      </c>
      <c r="AA3786" s="28" t="n">
        <v>5112</v>
      </c>
      <c r="AB3786" s="28" t="n">
        <f aca="false">42963/100</f>
        <v>429.63</v>
      </c>
      <c r="AC3786" s="28" t="n">
        <v>12889</v>
      </c>
      <c r="AD3786" s="28"/>
      <c r="AE3786" s="28" t="n">
        <f aca="false">AD3786*$M3786</f>
        <v>0</v>
      </c>
      <c r="AF3786" s="28" t="n">
        <f aca="false">138369/100</f>
        <v>1383.69</v>
      </c>
      <c r="AG3786" s="28" t="n">
        <v>41511</v>
      </c>
      <c r="AH3786" s="28"/>
      <c r="AI3786" s="28" t="n">
        <f aca="false">AH3786*$M3786</f>
        <v>0</v>
      </c>
      <c r="AJ3786" s="28"/>
      <c r="AK3786" s="28" t="n">
        <f aca="false">AJ3786*$M3786</f>
        <v>0</v>
      </c>
      <c r="AL3786" s="28"/>
      <c r="AM3786" s="28" t="n">
        <f aca="false">AL3786*$M3786</f>
        <v>0</v>
      </c>
      <c r="AN3786" s="28"/>
      <c r="AO3786" s="28" t="n">
        <f aca="false">AN3786*$M3786</f>
        <v>0</v>
      </c>
      <c r="AP3786" s="28"/>
      <c r="AQ3786" s="28" t="n">
        <f aca="false">AP3786*$M3786</f>
        <v>0</v>
      </c>
      <c r="AR3786" s="28"/>
      <c r="AS3786" s="28" t="n">
        <f aca="false">AR3786*$M3786</f>
        <v>0</v>
      </c>
      <c r="AT3786" s="28"/>
      <c r="AU3786" s="28" t="n">
        <f aca="false">AT3786*$M3786</f>
        <v>0</v>
      </c>
      <c r="AV3786" s="28"/>
      <c r="AW3786" s="28" t="n">
        <f aca="false">AV3786*$M3786</f>
        <v>0</v>
      </c>
      <c r="AX3786" s="28"/>
      <c r="AY3786" s="28" t="n">
        <f aca="false">AX3786*$M3786</f>
        <v>0</v>
      </c>
      <c r="AZ3786" s="30" t="n">
        <f aca="false">209867/100</f>
        <v>2098.67</v>
      </c>
      <c r="BA3786" s="11" t="n">
        <v>62960</v>
      </c>
      <c r="BB3786" s="31" t="n">
        <f aca="false">SUM(Q3786,S3786,U3786,W3786,Y3786,AA3786,AC3786,AE3786,AG3786,AI3786,AK3786,AM3786,AO3786,AQ3786,AS3786,AU3786,AW3786,AY3786)</f>
        <v>62960</v>
      </c>
      <c r="BC3786" s="28" t="n">
        <f aca="false">BA3786-BB3786</f>
        <v>0</v>
      </c>
      <c r="BD3786" s="32" t="n">
        <f aca="false">SUM(P3786,R3786,T3786,V3786,X3786,Z3786,AB3786,AD3786,AF3786,AH3786,AJ3786,AL3786,AN3786,AP3786,AR3786,AT3786,AV3786,AX3786)</f>
        <v>2098.67</v>
      </c>
      <c r="BE3786" s="33" t="n">
        <f aca="false">AZ3786-BD3786</f>
        <v>0</v>
      </c>
      <c r="BF3786" s="34" t="n">
        <f aca="false">BD3786*M3786</f>
        <v>62960.1</v>
      </c>
      <c r="BG3786" s="35" t="n">
        <f aca="false">BA3786-BF3786</f>
        <v>-0.100000000013097</v>
      </c>
      <c r="BH3786" s="19" t="str">
        <f aca="false">IF(BG3786=0,"",IF(BG3786&lt;&gt;BA3786,"erreur de calcul",IF(BD3786&lt;&gt;0,"pas de prix",IF(M3786&lt;&gt; 0,"pas de quantité","pas de prix, ni de quantité"))))</f>
        <v>erreur de calcul</v>
      </c>
      <c r="BI3786" s="19"/>
    </row>
    <row r="3787" customFormat="false" ht="15" hidden="false" customHeight="false" outlineLevel="0" collapsed="false">
      <c r="A3787" s="0" t="n">
        <v>29</v>
      </c>
      <c r="B3787" s="8" t="s">
        <v>24</v>
      </c>
      <c r="C3787" s="9" t="s">
        <v>25</v>
      </c>
      <c r="D3787" s="9" t="s">
        <v>26</v>
      </c>
      <c r="E3787" s="10" t="n">
        <v>1789</v>
      </c>
      <c r="F3787" s="9" t="s">
        <v>27</v>
      </c>
      <c r="G3787" s="9" t="s">
        <v>27</v>
      </c>
      <c r="H3787" s="11" t="n">
        <v>25</v>
      </c>
      <c r="I3787" s="11" t="s">
        <v>358</v>
      </c>
      <c r="J3787" s="14" t="n">
        <v>35</v>
      </c>
      <c r="K3787" s="14"/>
      <c r="L3787" s="16"/>
      <c r="M3787" s="27" t="n">
        <f aca="false">J3787+(K3787/20)+(L3787/240)</f>
        <v>35</v>
      </c>
      <c r="N3787" s="17" t="s">
        <v>64</v>
      </c>
      <c r="O3787" s="11"/>
      <c r="P3787" s="28"/>
      <c r="Q3787" s="28" t="n">
        <f aca="false">P3787*$M3787</f>
        <v>0</v>
      </c>
      <c r="R3787" s="28"/>
      <c r="S3787" s="28" t="n">
        <f aca="false">R3787*$M3787</f>
        <v>0</v>
      </c>
      <c r="T3787" s="28" t="n">
        <f aca="false">62095/100</f>
        <v>620.95</v>
      </c>
      <c r="U3787" s="28" t="n">
        <v>21733</v>
      </c>
      <c r="V3787" s="28" t="n">
        <f aca="false">257918/100</f>
        <v>2579.18</v>
      </c>
      <c r="W3787" s="28" t="n">
        <v>90271</v>
      </c>
      <c r="X3787" s="28" t="n">
        <f aca="false">10723/100</f>
        <v>107.23</v>
      </c>
      <c r="Y3787" s="28" t="n">
        <v>3753</v>
      </c>
      <c r="Z3787" s="28" t="n">
        <f aca="false">21191/100</f>
        <v>211.91</v>
      </c>
      <c r="AA3787" s="28" t="n">
        <v>7417</v>
      </c>
      <c r="AB3787" s="28" t="n">
        <f aca="false">308781/100</f>
        <v>3087.81</v>
      </c>
      <c r="AC3787" s="28" t="n">
        <v>108073</v>
      </c>
      <c r="AD3787" s="28"/>
      <c r="AE3787" s="28" t="n">
        <f aca="false">AD3787*$M3787</f>
        <v>0</v>
      </c>
      <c r="AF3787" s="28" t="n">
        <f aca="false">5225/100</f>
        <v>52.25</v>
      </c>
      <c r="AG3787" s="28" t="n">
        <v>1829</v>
      </c>
      <c r="AH3787" s="28"/>
      <c r="AI3787" s="28" t="n">
        <f aca="false">AH3787*$M3787</f>
        <v>0</v>
      </c>
      <c r="AJ3787" s="28"/>
      <c r="AK3787" s="28" t="n">
        <f aca="false">AJ3787*$M3787</f>
        <v>0</v>
      </c>
      <c r="AL3787" s="28"/>
      <c r="AM3787" s="28" t="n">
        <f aca="false">AL3787*$M3787</f>
        <v>0</v>
      </c>
      <c r="AN3787" s="28"/>
      <c r="AO3787" s="28" t="n">
        <f aca="false">AN3787*$M3787</f>
        <v>0</v>
      </c>
      <c r="AP3787" s="28"/>
      <c r="AQ3787" s="28" t="n">
        <f aca="false">AP3787*$M3787</f>
        <v>0</v>
      </c>
      <c r="AR3787" s="28"/>
      <c r="AS3787" s="28" t="n">
        <f aca="false">AR3787*$M3787</f>
        <v>0</v>
      </c>
      <c r="AT3787" s="28"/>
      <c r="AU3787" s="28" t="n">
        <f aca="false">AT3787*$M3787</f>
        <v>0</v>
      </c>
      <c r="AV3787" s="28"/>
      <c r="AW3787" s="28" t="n">
        <f aca="false">AV3787*$M3787</f>
        <v>0</v>
      </c>
      <c r="AX3787" s="28"/>
      <c r="AY3787" s="28" t="n">
        <f aca="false">AX3787*$M3787</f>
        <v>0</v>
      </c>
      <c r="AZ3787" s="30" t="n">
        <f aca="false">665933/100</f>
        <v>6659.33</v>
      </c>
      <c r="BA3787" s="11" t="n">
        <v>233076</v>
      </c>
      <c r="BB3787" s="31" t="n">
        <f aca="false">SUM(Q3787,S3787,U3787,W3787,Y3787,AA3787,AC3787,AE3787,AG3787,AI3787,AK3787,AM3787,AO3787,AQ3787,AS3787,AU3787,AW3787,AY3787)</f>
        <v>233076</v>
      </c>
      <c r="BC3787" s="28" t="n">
        <f aca="false">BA3787-BB3787</f>
        <v>0</v>
      </c>
      <c r="BD3787" s="32" t="n">
        <f aca="false">SUM(P3787,R3787,T3787,V3787,X3787,Z3787,AB3787,AD3787,AF3787,AH3787,AJ3787,AL3787,AN3787,AP3787,AR3787,AT3787,AV3787,AX3787)</f>
        <v>6659.33</v>
      </c>
      <c r="BE3787" s="33" t="n">
        <f aca="false">AZ3787-BD3787</f>
        <v>0</v>
      </c>
      <c r="BF3787" s="34" t="n">
        <f aca="false">BD3787*M3787</f>
        <v>233076.55</v>
      </c>
      <c r="BG3787" s="35" t="n">
        <f aca="false">BA3787-BF3787</f>
        <v>-0.549999999959255</v>
      </c>
      <c r="BH3787" s="19" t="str">
        <f aca="false">IF(BG3787=0,"",IF(BG3787&lt;&gt;BA3787,"erreur de calcul",IF(BD3787&lt;&gt;0,"pas de prix",IF(M3787&lt;&gt; 0,"pas de quantité","pas de prix, ni de quantité"))))</f>
        <v>erreur de calcul</v>
      </c>
      <c r="BI3787" s="19"/>
    </row>
    <row r="3788" customFormat="false" ht="15" hidden="false" customHeight="false" outlineLevel="0" collapsed="false">
      <c r="A3788" s="0" t="n">
        <v>30</v>
      </c>
      <c r="B3788" s="8" t="s">
        <v>24</v>
      </c>
      <c r="C3788" s="9" t="s">
        <v>25</v>
      </c>
      <c r="D3788" s="9" t="s">
        <v>26</v>
      </c>
      <c r="E3788" s="10" t="n">
        <v>1789</v>
      </c>
      <c r="F3788" s="9" t="s">
        <v>27</v>
      </c>
      <c r="G3788" s="9" t="s">
        <v>27</v>
      </c>
      <c r="H3788" s="11" t="n">
        <v>25</v>
      </c>
      <c r="I3788" s="11" t="s">
        <v>359</v>
      </c>
      <c r="J3788" s="14"/>
      <c r="K3788" s="14"/>
      <c r="L3788" s="16"/>
      <c r="M3788" s="27" t="n">
        <f aca="false">J3788+(K3788/20)+(L3788/240)</f>
        <v>0</v>
      </c>
      <c r="N3788" s="17"/>
      <c r="O3788" s="11" t="s">
        <v>109</v>
      </c>
      <c r="P3788" s="28"/>
      <c r="Q3788" s="28" t="n">
        <f aca="false">P3788*$M3788</f>
        <v>0</v>
      </c>
      <c r="R3788" s="28"/>
      <c r="S3788" s="28" t="n">
        <f aca="false">R3788*$M3788</f>
        <v>0</v>
      </c>
      <c r="T3788" s="28"/>
      <c r="U3788" s="28" t="n">
        <f aca="false">T3788*$M3788</f>
        <v>0</v>
      </c>
      <c r="V3788" s="28"/>
      <c r="W3788" s="28" t="n">
        <f aca="false">V3788*$M3788</f>
        <v>0</v>
      </c>
      <c r="X3788" s="28"/>
      <c r="Y3788" s="28" t="n">
        <f aca="false">X3788*$M3788</f>
        <v>0</v>
      </c>
      <c r="Z3788" s="28"/>
      <c r="AA3788" s="28" t="n">
        <f aca="false">Z3788*$M3788</f>
        <v>0</v>
      </c>
      <c r="AB3788" s="28"/>
      <c r="AC3788" s="28" t="n">
        <f aca="false">AB3788*$M3788</f>
        <v>0</v>
      </c>
      <c r="AD3788" s="28"/>
      <c r="AE3788" s="28" t="n">
        <f aca="false">AD3788*$M3788</f>
        <v>0</v>
      </c>
      <c r="AF3788" s="28"/>
      <c r="AG3788" s="28" t="n">
        <f aca="false">AF3788*$M3788</f>
        <v>0</v>
      </c>
      <c r="AH3788" s="28"/>
      <c r="AI3788" s="28" t="n">
        <f aca="false">AH3788*$M3788</f>
        <v>0</v>
      </c>
      <c r="AJ3788" s="28"/>
      <c r="AK3788" s="28" t="n">
        <f aca="false">AJ3788*$M3788</f>
        <v>0</v>
      </c>
      <c r="AL3788" s="28"/>
      <c r="AM3788" s="28" t="n">
        <f aca="false">AL3788*$M3788</f>
        <v>0</v>
      </c>
      <c r="AN3788" s="28"/>
      <c r="AO3788" s="28" t="n">
        <f aca="false">AN3788*$M3788</f>
        <v>0</v>
      </c>
      <c r="AP3788" s="28"/>
      <c r="AQ3788" s="28" t="n">
        <f aca="false">AP3788*$M3788</f>
        <v>0</v>
      </c>
      <c r="AR3788" s="28"/>
      <c r="AS3788" s="28" t="n">
        <f aca="false">AR3788*$M3788</f>
        <v>0</v>
      </c>
      <c r="AT3788" s="28"/>
      <c r="AU3788" s="28" t="n">
        <f aca="false">AT3788*$M3788</f>
        <v>0</v>
      </c>
      <c r="AV3788" s="28"/>
      <c r="AW3788" s="28" t="n">
        <f aca="false">AV3788*$M3788</f>
        <v>0</v>
      </c>
      <c r="AX3788" s="28"/>
      <c r="AY3788" s="28" t="n">
        <f aca="false">AX3788*$M3788</f>
        <v>0</v>
      </c>
      <c r="AZ3788" s="30"/>
      <c r="BA3788" s="11"/>
      <c r="BB3788" s="31" t="n">
        <f aca="false">SUM(Q3788,S3788,U3788,W3788,Y3788,AA3788,AC3788,AE3788,AG3788,AI3788,AK3788,AM3788,AO3788,AQ3788,AS3788,AU3788,AW3788,AY3788)</f>
        <v>0</v>
      </c>
      <c r="BC3788" s="28" t="n">
        <f aca="false">BA3788-BB3788</f>
        <v>0</v>
      </c>
      <c r="BD3788" s="32" t="n">
        <f aca="false">SUM(P3788,R3788,T3788,V3788,X3788,Z3788,AB3788,AD3788,AF3788,AH3788,AJ3788,AL3788,AN3788,AP3788,AR3788,AT3788,AV3788,AX3788)</f>
        <v>0</v>
      </c>
      <c r="BE3788" s="33" t="n">
        <f aca="false">AZ3788-BD3788</f>
        <v>0</v>
      </c>
      <c r="BF3788" s="34" t="n">
        <f aca="false">BD3788*M3788</f>
        <v>0</v>
      </c>
      <c r="BG3788" s="35" t="n">
        <f aca="false">BA3788-BF3788</f>
        <v>0</v>
      </c>
      <c r="BH3788" s="19" t="str">
        <f aca="false">IF(BG3788=0,"",IF(BG3788&lt;&gt;BA3788,"erreur de calcul",IF(BD3788&lt;&gt;0,"pas de prix",IF(M3788&lt;&gt; 0,"pas de quantité","pas de prix, ni de quantité"))))</f>
        <v/>
      </c>
      <c r="BI3788" s="19"/>
    </row>
    <row r="3789" customFormat="false" ht="15" hidden="false" customHeight="false" outlineLevel="0" collapsed="false">
      <c r="A3789" s="0" t="n">
        <v>31</v>
      </c>
      <c r="B3789" s="8" t="s">
        <v>24</v>
      </c>
      <c r="C3789" s="9" t="s">
        <v>25</v>
      </c>
      <c r="D3789" s="9" t="s">
        <v>26</v>
      </c>
      <c r="E3789" s="10" t="n">
        <v>1789</v>
      </c>
      <c r="F3789" s="9" t="s">
        <v>27</v>
      </c>
      <c r="G3789" s="9" t="s">
        <v>27</v>
      </c>
      <c r="H3789" s="11" t="n">
        <v>25</v>
      </c>
      <c r="I3789" s="11" t="s">
        <v>359</v>
      </c>
      <c r="J3789" s="14"/>
      <c r="K3789" s="14"/>
      <c r="L3789" s="16"/>
      <c r="M3789" s="27" t="n">
        <f aca="false">J3789+(K3789/20)+(L3789/240)</f>
        <v>0</v>
      </c>
      <c r="N3789" s="17"/>
      <c r="O3789" s="11" t="s">
        <v>277</v>
      </c>
      <c r="P3789" s="28"/>
      <c r="Q3789" s="28" t="n">
        <f aca="false">P3789*$M3789</f>
        <v>0</v>
      </c>
      <c r="R3789" s="28"/>
      <c r="S3789" s="28" t="n">
        <f aca="false">R3789*$M3789</f>
        <v>0</v>
      </c>
      <c r="T3789" s="28"/>
      <c r="U3789" s="28" t="n">
        <f aca="false">T3789*$M3789</f>
        <v>0</v>
      </c>
      <c r="V3789" s="28"/>
      <c r="W3789" s="28" t="n">
        <f aca="false">V3789*$M3789</f>
        <v>0</v>
      </c>
      <c r="X3789" s="28"/>
      <c r="Y3789" s="28" t="n">
        <v>1361</v>
      </c>
      <c r="Z3789" s="28"/>
      <c r="AA3789" s="28" t="n">
        <f aca="false">Z3789*$M3789</f>
        <v>0</v>
      </c>
      <c r="AB3789" s="28"/>
      <c r="AC3789" s="28" t="n">
        <v>1182</v>
      </c>
      <c r="AD3789" s="28"/>
      <c r="AE3789" s="28" t="n">
        <v>649</v>
      </c>
      <c r="AF3789" s="28"/>
      <c r="AG3789" s="28" t="n">
        <f aca="false">AF3789*$M3789</f>
        <v>0</v>
      </c>
      <c r="AH3789" s="28"/>
      <c r="AI3789" s="28" t="n">
        <v>862</v>
      </c>
      <c r="AJ3789" s="28"/>
      <c r="AK3789" s="28" t="n">
        <f aca="false">AJ3789*$M3789</f>
        <v>0</v>
      </c>
      <c r="AL3789" s="28"/>
      <c r="AM3789" s="28" t="n">
        <f aca="false">AL3789*$M3789</f>
        <v>0</v>
      </c>
      <c r="AN3789" s="28"/>
      <c r="AO3789" s="28" t="n">
        <f aca="false">AN3789*$M3789</f>
        <v>0</v>
      </c>
      <c r="AP3789" s="28"/>
      <c r="AQ3789" s="28" t="n">
        <f aca="false">AP3789*$M3789</f>
        <v>0</v>
      </c>
      <c r="AR3789" s="28"/>
      <c r="AS3789" s="28" t="n">
        <f aca="false">AR3789*$M3789</f>
        <v>0</v>
      </c>
      <c r="AT3789" s="28"/>
      <c r="AU3789" s="28" t="n">
        <f aca="false">AT3789*$M3789</f>
        <v>0</v>
      </c>
      <c r="AV3789" s="28"/>
      <c r="AW3789" s="28" t="n">
        <f aca="false">AV3789*$M3789</f>
        <v>0</v>
      </c>
      <c r="AX3789" s="28"/>
      <c r="AY3789" s="28" t="n">
        <f aca="false">AX3789*$M3789</f>
        <v>0</v>
      </c>
      <c r="AZ3789" s="30"/>
      <c r="BA3789" s="11" t="n">
        <v>4054</v>
      </c>
      <c r="BB3789" s="31" t="n">
        <f aca="false">SUM(Q3789,S3789,U3789,W3789,Y3789,AA3789,AC3789,AE3789,AG3789,AI3789,AK3789,AM3789,AO3789,AQ3789,AS3789,AU3789,AW3789,AY3789)</f>
        <v>4054</v>
      </c>
      <c r="BC3789" s="28" t="n">
        <f aca="false">BA3789-BB3789</f>
        <v>0</v>
      </c>
      <c r="BD3789" s="32" t="n">
        <f aca="false">SUM(P3789,R3789,T3789,V3789,X3789,Z3789,AB3789,AD3789,AF3789,AH3789,AJ3789,AL3789,AN3789,AP3789,AR3789,AT3789,AV3789,AX3789)</f>
        <v>0</v>
      </c>
      <c r="BE3789" s="33" t="n">
        <f aca="false">AZ3789-BD3789</f>
        <v>0</v>
      </c>
      <c r="BF3789" s="34" t="n">
        <f aca="false">BD3789*M3789</f>
        <v>0</v>
      </c>
      <c r="BG3789" s="35" t="n">
        <f aca="false">BA3789-BF3789</f>
        <v>4054</v>
      </c>
      <c r="BH3789" s="19" t="str">
        <f aca="false">IF(BG3789=0,"",IF(BG3789&lt;&gt;BA3789,"erreur de calcul",IF(BD3789&lt;&gt;0,"pas de prix",IF(M3789&lt;&gt; 0,"pas de quantité","pas de prix, ni de quantité"))))</f>
        <v>pas de prix, ni de quantité</v>
      </c>
      <c r="BI3789" s="19"/>
    </row>
    <row r="3790" customFormat="false" ht="15" hidden="false" customHeight="false" outlineLevel="0" collapsed="false">
      <c r="A3790" s="0" t="n">
        <v>32</v>
      </c>
      <c r="B3790" s="8" t="s">
        <v>24</v>
      </c>
      <c r="C3790" s="9" t="s">
        <v>25</v>
      </c>
      <c r="D3790" s="9" t="s">
        <v>26</v>
      </c>
      <c r="E3790" s="10" t="n">
        <v>1789</v>
      </c>
      <c r="F3790" s="9" t="s">
        <v>27</v>
      </c>
      <c r="G3790" s="9" t="s">
        <v>27</v>
      </c>
      <c r="H3790" s="11" t="n">
        <v>25</v>
      </c>
      <c r="I3790" s="11" t="s">
        <v>360</v>
      </c>
      <c r="J3790" s="14" t="n">
        <v>66</v>
      </c>
      <c r="K3790" s="14"/>
      <c r="L3790" s="16"/>
      <c r="M3790" s="27" t="n">
        <f aca="false">J3790+(K3790/20)+(L3790/240)</f>
        <v>66</v>
      </c>
      <c r="N3790" s="17" t="s">
        <v>64</v>
      </c>
      <c r="O3790" s="11"/>
      <c r="P3790" s="28"/>
      <c r="Q3790" s="28" t="n">
        <f aca="false">P3790*$M3790</f>
        <v>0</v>
      </c>
      <c r="R3790" s="28"/>
      <c r="S3790" s="28" t="n">
        <f aca="false">R3790*$M3790</f>
        <v>0</v>
      </c>
      <c r="T3790" s="28"/>
      <c r="U3790" s="28" t="n">
        <f aca="false">T3790*$M3790</f>
        <v>0</v>
      </c>
      <c r="V3790" s="28"/>
      <c r="W3790" s="28" t="n">
        <f aca="false">V3790*$M3790</f>
        <v>0</v>
      </c>
      <c r="X3790" s="28"/>
      <c r="Y3790" s="28" t="n">
        <f aca="false">X3790*$M3790</f>
        <v>0</v>
      </c>
      <c r="Z3790" s="28"/>
      <c r="AA3790" s="28" t="n">
        <f aca="false">Z3790*$M3790</f>
        <v>0</v>
      </c>
      <c r="AB3790" s="28"/>
      <c r="AC3790" s="28" t="n">
        <f aca="false">AB3790*$M3790</f>
        <v>0</v>
      </c>
      <c r="AD3790" s="28"/>
      <c r="AE3790" s="28" t="n">
        <f aca="false">AD3790*$M3790</f>
        <v>0</v>
      </c>
      <c r="AF3790" s="28"/>
      <c r="AG3790" s="28" t="n">
        <f aca="false">AF3790*$M3790</f>
        <v>0</v>
      </c>
      <c r="AH3790" s="28" t="n">
        <f aca="false">75475/100</f>
        <v>754.75</v>
      </c>
      <c r="AI3790" s="28" t="n">
        <v>49813</v>
      </c>
      <c r="AJ3790" s="28"/>
      <c r="AK3790" s="28" t="n">
        <f aca="false">AJ3790*$M3790</f>
        <v>0</v>
      </c>
      <c r="AL3790" s="28"/>
      <c r="AM3790" s="28" t="n">
        <f aca="false">AL3790*$M3790</f>
        <v>0</v>
      </c>
      <c r="AN3790" s="28"/>
      <c r="AO3790" s="28" t="n">
        <f aca="false">AN3790*$M3790</f>
        <v>0</v>
      </c>
      <c r="AP3790" s="28"/>
      <c r="AQ3790" s="28" t="n">
        <f aca="false">AP3790*$M3790</f>
        <v>0</v>
      </c>
      <c r="AR3790" s="28"/>
      <c r="AS3790" s="28" t="n">
        <f aca="false">AR3790*$M3790</f>
        <v>0</v>
      </c>
      <c r="AT3790" s="28"/>
      <c r="AU3790" s="28" t="n">
        <f aca="false">AT3790*$M3790</f>
        <v>0</v>
      </c>
      <c r="AV3790" s="28"/>
      <c r="AW3790" s="28" t="n">
        <f aca="false">AV3790*$M3790</f>
        <v>0</v>
      </c>
      <c r="AX3790" s="28"/>
      <c r="AY3790" s="28" t="n">
        <f aca="false">AX3790*$M3790</f>
        <v>0</v>
      </c>
      <c r="AZ3790" s="30" t="n">
        <f aca="false">75475/100</f>
        <v>754.75</v>
      </c>
      <c r="BA3790" s="11" t="n">
        <v>49813</v>
      </c>
      <c r="BB3790" s="31" t="n">
        <f aca="false">SUM(Q3790,S3790,U3790,W3790,Y3790,AA3790,AC3790,AE3790,AG3790,AI3790,AK3790,AM3790,AO3790,AQ3790,AS3790,AU3790,AW3790,AY3790)</f>
        <v>49813</v>
      </c>
      <c r="BC3790" s="28" t="n">
        <f aca="false">BA3790-BB3790</f>
        <v>0</v>
      </c>
      <c r="BD3790" s="32" t="n">
        <f aca="false">SUM(P3790,R3790,T3790,V3790,X3790,Z3790,AB3790,AD3790,AF3790,AH3790,AJ3790,AL3790,AN3790,AP3790,AR3790,AT3790,AV3790,AX3790)</f>
        <v>754.75</v>
      </c>
      <c r="BE3790" s="33" t="n">
        <f aca="false">AZ3790-BD3790</f>
        <v>0</v>
      </c>
      <c r="BF3790" s="34" t="n">
        <f aca="false">BD3790*M3790</f>
        <v>49813.5</v>
      </c>
      <c r="BG3790" s="35" t="n">
        <f aca="false">BA3790-BF3790</f>
        <v>-0.5</v>
      </c>
      <c r="BH3790" s="19" t="str">
        <f aca="false">IF(BG3790=0,"",IF(BG3790&lt;&gt;BA3790,"erreur de calcul",IF(BD3790&lt;&gt;0,"pas de prix",IF(M3790&lt;&gt; 0,"pas de quantité","pas de prix, ni de quantité"))))</f>
        <v>erreur de calcul</v>
      </c>
      <c r="BI3790" s="19"/>
    </row>
    <row r="3791" customFormat="false" ht="15" hidden="false" customHeight="false" outlineLevel="0" collapsed="false">
      <c r="A3791" s="0" t="n">
        <v>33</v>
      </c>
      <c r="B3791" s="8" t="s">
        <v>24</v>
      </c>
      <c r="C3791" s="9" t="s">
        <v>25</v>
      </c>
      <c r="D3791" s="9" t="s">
        <v>26</v>
      </c>
      <c r="E3791" s="10" t="n">
        <v>1789</v>
      </c>
      <c r="F3791" s="9" t="s">
        <v>27</v>
      </c>
      <c r="G3791" s="9" t="s">
        <v>27</v>
      </c>
      <c r="H3791" s="11" t="n">
        <v>25</v>
      </c>
      <c r="I3791" s="11" t="s">
        <v>361</v>
      </c>
      <c r="J3791" s="14" t="n">
        <v>175</v>
      </c>
      <c r="K3791" s="14"/>
      <c r="L3791" s="16"/>
      <c r="M3791" s="27" t="n">
        <f aca="false">J3791+(K3791/20)+(L3791/240)</f>
        <v>175</v>
      </c>
      <c r="N3791" s="17" t="s">
        <v>64</v>
      </c>
      <c r="O3791" s="11" t="s">
        <v>77</v>
      </c>
      <c r="P3791" s="28" t="n">
        <f aca="false">1514/100</f>
        <v>15.14</v>
      </c>
      <c r="Q3791" s="28" t="n">
        <v>2649</v>
      </c>
      <c r="R3791" s="28"/>
      <c r="S3791" s="28" t="n">
        <f aca="false">R3791*$M3791</f>
        <v>0</v>
      </c>
      <c r="T3791" s="28" t="n">
        <f aca="false">170926/100</f>
        <v>1709.26</v>
      </c>
      <c r="U3791" s="28" t="n">
        <v>299120</v>
      </c>
      <c r="V3791" s="28" t="n">
        <f aca="false">16985/100</f>
        <v>169.85</v>
      </c>
      <c r="W3791" s="28" t="n">
        <v>29724</v>
      </c>
      <c r="X3791" s="28" t="n">
        <f aca="false">4530/100</f>
        <v>45.3</v>
      </c>
      <c r="Y3791" s="28" t="n">
        <v>7927</v>
      </c>
      <c r="Z3791" s="28"/>
      <c r="AA3791" s="28" t="n">
        <f aca="false">Z3791*$M3791</f>
        <v>0</v>
      </c>
      <c r="AB3791" s="28" t="n">
        <f aca="false">33770/100</f>
        <v>337.7</v>
      </c>
      <c r="AC3791" s="28" t="n">
        <v>59097</v>
      </c>
      <c r="AD3791" s="28"/>
      <c r="AE3791" s="28" t="n">
        <f aca="false">AD3791*$M3791</f>
        <v>0</v>
      </c>
      <c r="AF3791" s="28" t="n">
        <f aca="false">4712/100</f>
        <v>47.12</v>
      </c>
      <c r="AG3791" s="28" t="n">
        <v>8246</v>
      </c>
      <c r="AH3791" s="28" t="n">
        <f aca="false">55822/100</f>
        <v>558.22</v>
      </c>
      <c r="AI3791" s="28" t="n">
        <v>97688</v>
      </c>
      <c r="AJ3791" s="28"/>
      <c r="AK3791" s="28" t="n">
        <f aca="false">AJ3791*$M3791</f>
        <v>0</v>
      </c>
      <c r="AL3791" s="28"/>
      <c r="AM3791" s="28" t="n">
        <f aca="false">AL3791*$M3791</f>
        <v>0</v>
      </c>
      <c r="AN3791" s="28"/>
      <c r="AO3791" s="28" t="n">
        <f aca="false">AN3791*$M3791</f>
        <v>0</v>
      </c>
      <c r="AP3791" s="28"/>
      <c r="AQ3791" s="28" t="n">
        <f aca="false">AP3791*$M3791</f>
        <v>0</v>
      </c>
      <c r="AR3791" s="28"/>
      <c r="AS3791" s="28" t="n">
        <f aca="false">AR3791*$M3791</f>
        <v>0</v>
      </c>
      <c r="AT3791" s="28"/>
      <c r="AU3791" s="28" t="n">
        <f aca="false">AT3791*$M3791</f>
        <v>0</v>
      </c>
      <c r="AV3791" s="28"/>
      <c r="AW3791" s="28" t="n">
        <f aca="false">AV3791*$M3791</f>
        <v>0</v>
      </c>
      <c r="AX3791" s="28"/>
      <c r="AY3791" s="28" t="n">
        <f aca="false">AX3791*$M3791</f>
        <v>0</v>
      </c>
      <c r="AZ3791" s="30" t="n">
        <f aca="false">288259/100</f>
        <v>2882.59</v>
      </c>
      <c r="BA3791" s="11" t="n">
        <v>504451</v>
      </c>
      <c r="BB3791" s="31" t="n">
        <f aca="false">SUM(Q3791,S3791,U3791,W3791,Y3791,AA3791,AC3791,AE3791,AG3791,AI3791,AK3791,AM3791,AO3791,AQ3791,AS3791,AU3791,AW3791,AY3791)</f>
        <v>504451</v>
      </c>
      <c r="BC3791" s="28" t="n">
        <f aca="false">BA3791-BB3791</f>
        <v>0</v>
      </c>
      <c r="BD3791" s="32" t="n">
        <f aca="false">SUM(P3791,R3791,T3791,V3791,X3791,Z3791,AB3791,AD3791,AF3791,AH3791,AJ3791,AL3791,AN3791,AP3791,AR3791,AT3791,AV3791,AX3791)</f>
        <v>2882.59</v>
      </c>
      <c r="BE3791" s="33" t="n">
        <f aca="false">AZ3791-BD3791</f>
        <v>0</v>
      </c>
      <c r="BF3791" s="34" t="n">
        <f aca="false">BD3791*M3791</f>
        <v>504453.25</v>
      </c>
      <c r="BG3791" s="35" t="n">
        <f aca="false">BA3791-BF3791</f>
        <v>-2.24999999994179</v>
      </c>
      <c r="BH3791" s="19" t="str">
        <f aca="false">IF(BG3791=0,"",IF(BG3791&lt;&gt;BA3791,"erreur de calcul",IF(BD3791&lt;&gt;0,"pas de prix",IF(M3791&lt;&gt; 0,"pas de quantité","pas de prix, ni de quantité"))))</f>
        <v>erreur de calcul</v>
      </c>
      <c r="BI3791" s="19"/>
    </row>
    <row r="3792" customFormat="false" ht="15" hidden="false" customHeight="false" outlineLevel="0" collapsed="false">
      <c r="A3792" s="0" t="n">
        <v>34</v>
      </c>
      <c r="B3792" s="8" t="s">
        <v>24</v>
      </c>
      <c r="C3792" s="9" t="s">
        <v>25</v>
      </c>
      <c r="D3792" s="9" t="s">
        <v>26</v>
      </c>
      <c r="E3792" s="10" t="n">
        <v>1789</v>
      </c>
      <c r="F3792" s="9" t="s">
        <v>27</v>
      </c>
      <c r="G3792" s="9" t="s">
        <v>27</v>
      </c>
      <c r="H3792" s="11" t="n">
        <v>25</v>
      </c>
      <c r="I3792" s="11" t="s">
        <v>362</v>
      </c>
      <c r="J3792" s="14" t="n">
        <v>150</v>
      </c>
      <c r="K3792" s="14"/>
      <c r="L3792" s="16"/>
      <c r="M3792" s="27" t="n">
        <f aca="false">J3792+(K3792/20)+(L3792/240)</f>
        <v>150</v>
      </c>
      <c r="N3792" s="17" t="s">
        <v>64</v>
      </c>
      <c r="O3792" s="11"/>
      <c r="P3792" s="28"/>
      <c r="Q3792" s="28" t="n">
        <f aca="false">P3792*$M3792</f>
        <v>0</v>
      </c>
      <c r="R3792" s="28"/>
      <c r="S3792" s="28" t="n">
        <f aca="false">R3792*$M3792</f>
        <v>0</v>
      </c>
      <c r="T3792" s="28" t="n">
        <f aca="false">1842/100</f>
        <v>18.42</v>
      </c>
      <c r="U3792" s="28" t="n">
        <v>2763</v>
      </c>
      <c r="V3792" s="28" t="n">
        <f aca="false">684/100</f>
        <v>6.84</v>
      </c>
      <c r="W3792" s="28" t="n">
        <v>1026</v>
      </c>
      <c r="X3792" s="28"/>
      <c r="Y3792" s="28" t="n">
        <f aca="false">X3792*$M3792</f>
        <v>0</v>
      </c>
      <c r="Z3792" s="28"/>
      <c r="AA3792" s="28" t="n">
        <f aca="false">Z3792*$M3792</f>
        <v>0</v>
      </c>
      <c r="AB3792" s="28"/>
      <c r="AC3792" s="28" t="n">
        <f aca="false">AB3792*$M3792</f>
        <v>0</v>
      </c>
      <c r="AD3792" s="28"/>
      <c r="AE3792" s="28" t="n">
        <f aca="false">AD3792*$M3792</f>
        <v>0</v>
      </c>
      <c r="AF3792" s="28"/>
      <c r="AG3792" s="28" t="n">
        <f aca="false">AF3792*$M3792</f>
        <v>0</v>
      </c>
      <c r="AH3792" s="28"/>
      <c r="AI3792" s="28" t="n">
        <f aca="false">AH3792*$M3792</f>
        <v>0</v>
      </c>
      <c r="AJ3792" s="28"/>
      <c r="AK3792" s="28" t="n">
        <f aca="false">AJ3792*$M3792</f>
        <v>0</v>
      </c>
      <c r="AL3792" s="28"/>
      <c r="AM3792" s="28" t="n">
        <f aca="false">AL3792*$M3792</f>
        <v>0</v>
      </c>
      <c r="AN3792" s="28"/>
      <c r="AO3792" s="28" t="n">
        <f aca="false">AN3792*$M3792</f>
        <v>0</v>
      </c>
      <c r="AP3792" s="28"/>
      <c r="AQ3792" s="28" t="n">
        <f aca="false">AP3792*$M3792</f>
        <v>0</v>
      </c>
      <c r="AR3792" s="28"/>
      <c r="AS3792" s="28" t="n">
        <f aca="false">AR3792*$M3792</f>
        <v>0</v>
      </c>
      <c r="AT3792" s="28"/>
      <c r="AU3792" s="28" t="n">
        <f aca="false">AT3792*$M3792</f>
        <v>0</v>
      </c>
      <c r="AV3792" s="28"/>
      <c r="AW3792" s="28" t="n">
        <f aca="false">AV3792*$M3792</f>
        <v>0</v>
      </c>
      <c r="AX3792" s="28"/>
      <c r="AY3792" s="28" t="n">
        <f aca="false">AX3792*$M3792</f>
        <v>0</v>
      </c>
      <c r="AZ3792" s="30" t="n">
        <f aca="false">2526/100</f>
        <v>25.26</v>
      </c>
      <c r="BA3792" s="11" t="n">
        <v>3789</v>
      </c>
      <c r="BB3792" s="31" t="n">
        <f aca="false">SUM(Q3792,S3792,U3792,W3792,Y3792,AA3792,AC3792,AE3792,AG3792,AI3792,AK3792,AM3792,AO3792,AQ3792,AS3792,AU3792,AW3792,AY3792)</f>
        <v>3789</v>
      </c>
      <c r="BC3792" s="28" t="n">
        <f aca="false">BA3792-BB3792</f>
        <v>0</v>
      </c>
      <c r="BD3792" s="32" t="n">
        <f aca="false">SUM(P3792,R3792,T3792,V3792,X3792,Z3792,AB3792,AD3792,AF3792,AH3792,AJ3792,AL3792,AN3792,AP3792,AR3792,AT3792,AV3792,AX3792)</f>
        <v>25.26</v>
      </c>
      <c r="BE3792" s="33" t="n">
        <f aca="false">AZ3792-BD3792</f>
        <v>0</v>
      </c>
      <c r="BF3792" s="34" t="n">
        <f aca="false">BD3792*M3792</f>
        <v>3789</v>
      </c>
      <c r="BG3792" s="35" t="n">
        <f aca="false">BA3792-BF3792</f>
        <v>0</v>
      </c>
      <c r="BH3792" s="19" t="str">
        <f aca="false">IF(BG3792=0,"",IF(BG3792&lt;&gt;BA3792,"erreur de calcul",IF(BD3792&lt;&gt;0,"pas de prix",IF(M3792&lt;&gt; 0,"pas de quantité","pas de prix, ni de quantité"))))</f>
        <v/>
      </c>
      <c r="BI3792" s="19"/>
    </row>
    <row r="3793" customFormat="false" ht="15" hidden="false" customHeight="false" outlineLevel="0" collapsed="false">
      <c r="A3793" s="0" t="n">
        <v>35</v>
      </c>
      <c r="B3793" s="8" t="s">
        <v>24</v>
      </c>
      <c r="C3793" s="9" t="s">
        <v>25</v>
      </c>
      <c r="D3793" s="9" t="s">
        <v>26</v>
      </c>
      <c r="E3793" s="10" t="n">
        <v>1789</v>
      </c>
      <c r="F3793" s="9" t="s">
        <v>27</v>
      </c>
      <c r="G3793" s="9" t="s">
        <v>27</v>
      </c>
      <c r="H3793" s="11" t="n">
        <v>25</v>
      </c>
      <c r="I3793" s="11" t="s">
        <v>363</v>
      </c>
      <c r="J3793" s="14" t="n">
        <v>150</v>
      </c>
      <c r="K3793" s="14"/>
      <c r="L3793" s="16"/>
      <c r="M3793" s="27" t="n">
        <f aca="false">J3793+(K3793/20)+(L3793/240)</f>
        <v>150</v>
      </c>
      <c r="N3793" s="17" t="s">
        <v>64</v>
      </c>
      <c r="O3793" s="11" t="s">
        <v>77</v>
      </c>
      <c r="P3793" s="28"/>
      <c r="Q3793" s="28" t="n">
        <f aca="false">P3793*$M3793</f>
        <v>0</v>
      </c>
      <c r="R3793" s="28"/>
      <c r="S3793" s="28" t="n">
        <f aca="false">R3793*$M3793</f>
        <v>0</v>
      </c>
      <c r="T3793" s="28"/>
      <c r="U3793" s="28" t="n">
        <f aca="false">T3793*$M3793</f>
        <v>0</v>
      </c>
      <c r="V3793" s="28" t="n">
        <f aca="false">1501/100</f>
        <v>15.01</v>
      </c>
      <c r="W3793" s="28" t="n">
        <v>2251</v>
      </c>
      <c r="X3793" s="28"/>
      <c r="Y3793" s="28" t="n">
        <f aca="false">X3793*$M3793</f>
        <v>0</v>
      </c>
      <c r="Z3793" s="28" t="n">
        <f aca="false">6420/100</f>
        <v>64.2</v>
      </c>
      <c r="AA3793" s="28" t="n">
        <v>9630</v>
      </c>
      <c r="AB3793" s="28"/>
      <c r="AC3793" s="28" t="n">
        <f aca="false">AB3793*$M3793</f>
        <v>0</v>
      </c>
      <c r="AD3793" s="28"/>
      <c r="AE3793" s="28" t="n">
        <f aca="false">AD3793*$M3793</f>
        <v>0</v>
      </c>
      <c r="AF3793" s="28"/>
      <c r="AG3793" s="28" t="n">
        <f aca="false">AF3793*$M3793</f>
        <v>0</v>
      </c>
      <c r="AH3793" s="28" t="n">
        <f aca="false">138039/100</f>
        <v>1380.39</v>
      </c>
      <c r="AI3793" s="28" t="n">
        <v>207058</v>
      </c>
      <c r="AJ3793" s="28"/>
      <c r="AK3793" s="28" t="n">
        <f aca="false">AJ3793*$M3793</f>
        <v>0</v>
      </c>
      <c r="AL3793" s="28" t="n">
        <f aca="false">917/100</f>
        <v>9.17</v>
      </c>
      <c r="AM3793" s="28" t="n">
        <v>1375</v>
      </c>
      <c r="AN3793" s="28"/>
      <c r="AO3793" s="28" t="n">
        <f aca="false">AN3793*$M3793</f>
        <v>0</v>
      </c>
      <c r="AP3793" s="28"/>
      <c r="AQ3793" s="28" t="n">
        <f aca="false">AP3793*$M3793</f>
        <v>0</v>
      </c>
      <c r="AR3793" s="28"/>
      <c r="AS3793" s="28" t="n">
        <f aca="false">AR3793*$M3793</f>
        <v>0</v>
      </c>
      <c r="AT3793" s="28"/>
      <c r="AU3793" s="28" t="n">
        <f aca="false">AT3793*$M3793</f>
        <v>0</v>
      </c>
      <c r="AV3793" s="28"/>
      <c r="AW3793" s="28" t="n">
        <f aca="false">AV3793*$M3793</f>
        <v>0</v>
      </c>
      <c r="AX3793" s="28"/>
      <c r="AY3793" s="28" t="n">
        <f aca="false">AX3793*$M3793</f>
        <v>0</v>
      </c>
      <c r="AZ3793" s="30" t="n">
        <f aca="false">146877/100</f>
        <v>1468.77</v>
      </c>
      <c r="BA3793" s="11" t="n">
        <v>220314</v>
      </c>
      <c r="BB3793" s="31" t="n">
        <f aca="false">SUM(Q3793,S3793,U3793,W3793,Y3793,AA3793,AC3793,AE3793,AG3793,AI3793,AK3793,AM3793,AO3793,AQ3793,AS3793,AU3793,AW3793,AY3793)</f>
        <v>220314</v>
      </c>
      <c r="BC3793" s="28" t="n">
        <f aca="false">BA3793-BB3793</f>
        <v>0</v>
      </c>
      <c r="BD3793" s="32" t="n">
        <f aca="false">SUM(P3793,R3793,T3793,V3793,X3793,Z3793,AB3793,AD3793,AF3793,AH3793,AJ3793,AL3793,AN3793,AP3793,AR3793,AT3793,AV3793,AX3793)</f>
        <v>1468.77</v>
      </c>
      <c r="BE3793" s="33" t="n">
        <f aca="false">AZ3793-BD3793</f>
        <v>0</v>
      </c>
      <c r="BF3793" s="34" t="n">
        <f aca="false">BD3793*M3793</f>
        <v>220315.5</v>
      </c>
      <c r="BG3793" s="35" t="n">
        <f aca="false">BA3793-BF3793</f>
        <v>-1.5000000000291</v>
      </c>
      <c r="BH3793" s="19" t="str">
        <f aca="false">IF(BG3793=0,"",IF(BG3793&lt;&gt;BA3793,"erreur de calcul",IF(BD3793&lt;&gt;0,"pas de prix",IF(M3793&lt;&gt; 0,"pas de quantité","pas de prix, ni de quantité"))))</f>
        <v>erreur de calcul</v>
      </c>
      <c r="BI3793" s="19"/>
    </row>
    <row r="3794" customFormat="false" ht="15" hidden="false" customHeight="false" outlineLevel="0" collapsed="false">
      <c r="A3794" s="0" t="n">
        <v>36</v>
      </c>
      <c r="B3794" s="8" t="s">
        <v>24</v>
      </c>
      <c r="C3794" s="9" t="s">
        <v>25</v>
      </c>
      <c r="D3794" s="9" t="s">
        <v>26</v>
      </c>
      <c r="E3794" s="10" t="n">
        <v>1789</v>
      </c>
      <c r="F3794" s="9" t="s">
        <v>27</v>
      </c>
      <c r="G3794" s="9" t="s">
        <v>27</v>
      </c>
      <c r="H3794" s="11" t="n">
        <v>25</v>
      </c>
      <c r="I3794" s="11" t="s">
        <v>364</v>
      </c>
      <c r="J3794" s="14" t="n">
        <v>122</v>
      </c>
      <c r="K3794" s="14"/>
      <c r="L3794" s="16"/>
      <c r="M3794" s="27" t="n">
        <f aca="false">J3794+(K3794/20)+(L3794/240)</f>
        <v>122</v>
      </c>
      <c r="N3794" s="17" t="s">
        <v>64</v>
      </c>
      <c r="O3794" s="11" t="s">
        <v>77</v>
      </c>
      <c r="P3794" s="28" t="n">
        <f aca="false">2402/100</f>
        <v>24.02</v>
      </c>
      <c r="Q3794" s="28" t="n">
        <v>2930</v>
      </c>
      <c r="R3794" s="28"/>
      <c r="S3794" s="28" t="n">
        <f aca="false">R3794*$M3794</f>
        <v>0</v>
      </c>
      <c r="T3794" s="28" t="n">
        <f aca="false">3566/100</f>
        <v>35.66</v>
      </c>
      <c r="U3794" s="36" t="n">
        <v>4550</v>
      </c>
      <c r="V3794" s="28" t="n">
        <f aca="false">917/100</f>
        <v>9.17</v>
      </c>
      <c r="W3794" s="28" t="n">
        <v>1119</v>
      </c>
      <c r="X3794" s="28"/>
      <c r="Y3794" s="28" t="n">
        <f aca="false">X3794*$M3794</f>
        <v>0</v>
      </c>
      <c r="Z3794" s="28"/>
      <c r="AA3794" s="28" t="n">
        <f aca="false">Z3794*$M3794</f>
        <v>0</v>
      </c>
      <c r="AB3794" s="28" t="n">
        <f aca="false">28087/100</f>
        <v>280.87</v>
      </c>
      <c r="AC3794" s="28" t="n">
        <v>34266</v>
      </c>
      <c r="AD3794" s="28" t="n">
        <f aca="false">1505/100</f>
        <v>15.05</v>
      </c>
      <c r="AE3794" s="28" t="n">
        <v>1836</v>
      </c>
      <c r="AF3794" s="28"/>
      <c r="AG3794" s="28" t="n">
        <f aca="false">AF3794*$M3794</f>
        <v>0</v>
      </c>
      <c r="AH3794" s="28" t="n">
        <f aca="false">15314/100</f>
        <v>153.14</v>
      </c>
      <c r="AI3794" s="28" t="n">
        <v>18683</v>
      </c>
      <c r="AJ3794" s="28"/>
      <c r="AK3794" s="28" t="n">
        <f aca="false">AJ3794*$M3794</f>
        <v>0</v>
      </c>
      <c r="AL3794" s="28"/>
      <c r="AM3794" s="28" t="n">
        <f aca="false">AL3794*$M3794</f>
        <v>0</v>
      </c>
      <c r="AN3794" s="28"/>
      <c r="AO3794" s="28" t="n">
        <f aca="false">AN3794*$M3794</f>
        <v>0</v>
      </c>
      <c r="AP3794" s="28"/>
      <c r="AQ3794" s="28" t="n">
        <f aca="false">AP3794*$M3794</f>
        <v>0</v>
      </c>
      <c r="AR3794" s="28"/>
      <c r="AS3794" s="28" t="n">
        <f aca="false">AR3794*$M3794</f>
        <v>0</v>
      </c>
      <c r="AT3794" s="28"/>
      <c r="AU3794" s="28" t="n">
        <f aca="false">AT3794*$M3794</f>
        <v>0</v>
      </c>
      <c r="AV3794" s="28"/>
      <c r="AW3794" s="28" t="n">
        <f aca="false">AV3794*$M3794</f>
        <v>0</v>
      </c>
      <c r="AX3794" s="28"/>
      <c r="AY3794" s="28" t="n">
        <f aca="false">AX3794*$M3794</f>
        <v>0</v>
      </c>
      <c r="AZ3794" s="30" t="n">
        <f aca="false">51791/100</f>
        <v>517.91</v>
      </c>
      <c r="BA3794" s="11" t="n">
        <v>63384</v>
      </c>
      <c r="BB3794" s="31" t="n">
        <f aca="false">SUM(Q3794,S3794,U3794,W3794,Y3794,AA3794,AC3794,AE3794,AG3794,AI3794,AK3794,AM3794,AO3794,AQ3794,AS3794,AU3794,AW3794,AY3794)</f>
        <v>63384</v>
      </c>
      <c r="BC3794" s="28" t="n">
        <f aca="false">BA3794-BB3794</f>
        <v>0</v>
      </c>
      <c r="BD3794" s="32" t="n">
        <f aca="false">SUM(P3794,R3794,T3794,V3794,X3794,Z3794,AB3794,AD3794,AF3794,AH3794,AJ3794,AL3794,AN3794,AP3794,AR3794,AT3794,AV3794,AX3794)</f>
        <v>517.91</v>
      </c>
      <c r="BE3794" s="33" t="n">
        <f aca="false">AZ3794-BD3794</f>
        <v>0</v>
      </c>
      <c r="BF3794" s="34" t="n">
        <f aca="false">BD3794*M3794</f>
        <v>63185.02</v>
      </c>
      <c r="BG3794" s="35" t="n">
        <f aca="false">BA3794-BF3794</f>
        <v>198.980000000003</v>
      </c>
      <c r="BH3794" s="19" t="str">
        <f aca="false">IF(BG3794=0,"",IF(BG3794&lt;&gt;BA3794,"erreur de calcul",IF(BD3794&lt;&gt;0,"pas de prix",IF(M3794&lt;&gt; 0,"pas de quantité","pas de prix, ni de quantité"))))</f>
        <v>erreur de calcul</v>
      </c>
      <c r="BI3794" s="19"/>
    </row>
    <row r="3795" customFormat="false" ht="15" hidden="false" customHeight="false" outlineLevel="0" collapsed="false">
      <c r="A3795" s="0" t="n">
        <v>37</v>
      </c>
      <c r="B3795" s="8" t="s">
        <v>24</v>
      </c>
      <c r="C3795" s="9" t="s">
        <v>25</v>
      </c>
      <c r="D3795" s="9" t="s">
        <v>26</v>
      </c>
      <c r="E3795" s="10" t="n">
        <v>1789</v>
      </c>
      <c r="F3795" s="9" t="s">
        <v>27</v>
      </c>
      <c r="G3795" s="9" t="s">
        <v>27</v>
      </c>
      <c r="H3795" s="11" t="n">
        <v>25</v>
      </c>
      <c r="I3795" s="11" t="s">
        <v>365</v>
      </c>
      <c r="J3795" s="14" t="n">
        <v>107</v>
      </c>
      <c r="K3795" s="14"/>
      <c r="L3795" s="16"/>
      <c r="M3795" s="27" t="n">
        <f aca="false">J3795+(K3795/20)+(L3795/240)</f>
        <v>107</v>
      </c>
      <c r="N3795" s="17" t="s">
        <v>64</v>
      </c>
      <c r="O3795" s="11" t="s">
        <v>77</v>
      </c>
      <c r="P3795" s="28"/>
      <c r="Q3795" s="28" t="n">
        <f aca="false">P3795*$M3795</f>
        <v>0</v>
      </c>
      <c r="R3795" s="28"/>
      <c r="S3795" s="28" t="n">
        <f aca="false">R3795*$M3795</f>
        <v>0</v>
      </c>
      <c r="T3795" s="28" t="n">
        <f aca="false">1834/100</f>
        <v>18.34</v>
      </c>
      <c r="U3795" s="28" t="n">
        <v>1962</v>
      </c>
      <c r="V3795" s="28"/>
      <c r="W3795" s="28" t="n">
        <f aca="false">V3795*$M3795</f>
        <v>0</v>
      </c>
      <c r="X3795" s="28"/>
      <c r="Y3795" s="28" t="n">
        <f aca="false">X3795*$M3795</f>
        <v>0</v>
      </c>
      <c r="Z3795" s="28"/>
      <c r="AA3795" s="28" t="n">
        <f aca="false">Z3795*$M3795</f>
        <v>0</v>
      </c>
      <c r="AB3795" s="28"/>
      <c r="AC3795" s="28" t="n">
        <f aca="false">AB3795*$M3795</f>
        <v>0</v>
      </c>
      <c r="AD3795" s="28"/>
      <c r="AE3795" s="28" t="n">
        <f aca="false">AD3795*$M3795</f>
        <v>0</v>
      </c>
      <c r="AF3795" s="28" t="n">
        <f aca="false">5202/100</f>
        <v>52.02</v>
      </c>
      <c r="AG3795" s="28" t="n">
        <v>5566</v>
      </c>
      <c r="AH3795" s="28"/>
      <c r="AI3795" s="28" t="n">
        <f aca="false">AH3795*$M3795</f>
        <v>0</v>
      </c>
      <c r="AJ3795" s="28" t="n">
        <f aca="false">3209/100</f>
        <v>32.09</v>
      </c>
      <c r="AK3795" s="28" t="n">
        <v>3434</v>
      </c>
      <c r="AL3795" s="28" t="n">
        <f aca="false">80682/100</f>
        <v>806.82</v>
      </c>
      <c r="AM3795" s="28" t="n">
        <v>86329</v>
      </c>
      <c r="AN3795" s="28"/>
      <c r="AO3795" s="28" t="n">
        <f aca="false">AN3795*$M3795</f>
        <v>0</v>
      </c>
      <c r="AP3795" s="28"/>
      <c r="AQ3795" s="28" t="n">
        <f aca="false">AP3795*$M3795</f>
        <v>0</v>
      </c>
      <c r="AR3795" s="28"/>
      <c r="AS3795" s="28" t="n">
        <f aca="false">AR3795*$M3795</f>
        <v>0</v>
      </c>
      <c r="AT3795" s="28"/>
      <c r="AU3795" s="28" t="n">
        <f aca="false">AT3795*$M3795</f>
        <v>0</v>
      </c>
      <c r="AV3795" s="28"/>
      <c r="AW3795" s="28" t="n">
        <f aca="false">AV3795*$M3795</f>
        <v>0</v>
      </c>
      <c r="AX3795" s="28"/>
      <c r="AY3795" s="28" t="n">
        <f aca="false">AX3795*$M3795</f>
        <v>0</v>
      </c>
      <c r="AZ3795" s="30" t="n">
        <f aca="false">90927/100</f>
        <v>909.27</v>
      </c>
      <c r="BA3795" s="11" t="n">
        <v>97291</v>
      </c>
      <c r="BB3795" s="31" t="n">
        <f aca="false">SUM(Q3795,S3795,U3795,W3795,Y3795,AA3795,AC3795,AE3795,AG3795,AI3795,AK3795,AM3795,AO3795,AQ3795,AS3795,AU3795,AW3795,AY3795)</f>
        <v>97291</v>
      </c>
      <c r="BC3795" s="28" t="n">
        <f aca="false">BA3795-BB3795</f>
        <v>0</v>
      </c>
      <c r="BD3795" s="32" t="n">
        <f aca="false">SUM(P3795,R3795,T3795,V3795,X3795,Z3795,AB3795,AD3795,AF3795,AH3795,AJ3795,AL3795,AN3795,AP3795,AR3795,AT3795,AV3795,AX3795)</f>
        <v>909.27</v>
      </c>
      <c r="BE3795" s="33" t="n">
        <f aca="false">AZ3795-BD3795</f>
        <v>0</v>
      </c>
      <c r="BF3795" s="34" t="n">
        <f aca="false">BD3795*M3795</f>
        <v>97291.89</v>
      </c>
      <c r="BG3795" s="35" t="n">
        <f aca="false">BA3795-BF3795</f>
        <v>-0.89000000001397</v>
      </c>
      <c r="BH3795" s="19" t="str">
        <f aca="false">IF(BG3795=0,"",IF(BG3795&lt;&gt;BA3795,"erreur de calcul",IF(BD3795&lt;&gt;0,"pas de prix",IF(M3795&lt;&gt; 0,"pas de quantité","pas de prix, ni de quantité"))))</f>
        <v>erreur de calcul</v>
      </c>
      <c r="BI3795" s="19"/>
    </row>
    <row r="3796" customFormat="false" ht="15" hidden="false" customHeight="false" outlineLevel="0" collapsed="false">
      <c r="A3796" s="0" t="n">
        <v>38</v>
      </c>
      <c r="B3796" s="8" t="s">
        <v>24</v>
      </c>
      <c r="C3796" s="9" t="s">
        <v>25</v>
      </c>
      <c r="D3796" s="9" t="s">
        <v>26</v>
      </c>
      <c r="E3796" s="10" t="n">
        <v>1789</v>
      </c>
      <c r="F3796" s="9" t="s">
        <v>27</v>
      </c>
      <c r="G3796" s="9" t="s">
        <v>27</v>
      </c>
      <c r="H3796" s="11" t="n">
        <v>25</v>
      </c>
      <c r="I3796" s="11" t="s">
        <v>366</v>
      </c>
      <c r="J3796" s="14"/>
      <c r="K3796" s="14"/>
      <c r="L3796" s="16"/>
      <c r="M3796" s="27" t="n">
        <f aca="false">J3796+(K3796/20)+(L3796/240)</f>
        <v>0</v>
      </c>
      <c r="N3796" s="17" t="s">
        <v>66</v>
      </c>
      <c r="O3796" s="11"/>
      <c r="P3796" s="28"/>
      <c r="Q3796" s="28" t="n">
        <f aca="false">P3796*$M3796</f>
        <v>0</v>
      </c>
      <c r="R3796" s="28"/>
      <c r="S3796" s="28" t="n">
        <f aca="false">R3796*$M3796</f>
        <v>0</v>
      </c>
      <c r="T3796" s="28"/>
      <c r="U3796" s="28" t="n">
        <f aca="false">T3796*$M3796</f>
        <v>0</v>
      </c>
      <c r="V3796" s="28" t="n">
        <v>797</v>
      </c>
      <c r="W3796" s="28" t="n">
        <v>720</v>
      </c>
      <c r="X3796" s="28"/>
      <c r="Y3796" s="28" t="n">
        <f aca="false">X3796*$M3796</f>
        <v>0</v>
      </c>
      <c r="Z3796" s="28"/>
      <c r="AA3796" s="28" t="n">
        <f aca="false">Z3796*$M3796</f>
        <v>0</v>
      </c>
      <c r="AB3796" s="28"/>
      <c r="AC3796" s="28" t="n">
        <f aca="false">AB3796*$M3796</f>
        <v>0</v>
      </c>
      <c r="AD3796" s="28"/>
      <c r="AE3796" s="28" t="n">
        <f aca="false">AD3796*$M3796</f>
        <v>0</v>
      </c>
      <c r="AF3796" s="28"/>
      <c r="AG3796" s="28" t="n">
        <f aca="false">AF3796*$M3796</f>
        <v>0</v>
      </c>
      <c r="AH3796" s="28"/>
      <c r="AI3796" s="28" t="n">
        <f aca="false">AH3796*$M3796</f>
        <v>0</v>
      </c>
      <c r="AJ3796" s="28"/>
      <c r="AK3796" s="28" t="n">
        <f aca="false">AJ3796*$M3796</f>
        <v>0</v>
      </c>
      <c r="AL3796" s="28"/>
      <c r="AM3796" s="28" t="n">
        <f aca="false">AL3796*$M3796</f>
        <v>0</v>
      </c>
      <c r="AN3796" s="28"/>
      <c r="AO3796" s="28" t="n">
        <f aca="false">AN3796*$M3796</f>
        <v>0</v>
      </c>
      <c r="AP3796" s="28"/>
      <c r="AQ3796" s="28" t="n">
        <f aca="false">AP3796*$M3796</f>
        <v>0</v>
      </c>
      <c r="AR3796" s="28"/>
      <c r="AS3796" s="28" t="n">
        <f aca="false">AR3796*$M3796</f>
        <v>0</v>
      </c>
      <c r="AT3796" s="28"/>
      <c r="AU3796" s="28" t="n">
        <f aca="false">AT3796*$M3796</f>
        <v>0</v>
      </c>
      <c r="AV3796" s="28"/>
      <c r="AW3796" s="28" t="n">
        <f aca="false">AV3796*$M3796</f>
        <v>0</v>
      </c>
      <c r="AX3796" s="28"/>
      <c r="AY3796" s="28" t="n">
        <f aca="false">AX3796*$M3796</f>
        <v>0</v>
      </c>
      <c r="AZ3796" s="30" t="n">
        <v>797</v>
      </c>
      <c r="BA3796" s="11" t="n">
        <v>720</v>
      </c>
      <c r="BB3796" s="31" t="n">
        <f aca="false">SUM(Q3796,S3796,U3796,W3796,Y3796,AA3796,AC3796,AE3796,AG3796,AI3796,AK3796,AM3796,AO3796,AQ3796,AS3796,AU3796,AW3796,AY3796)</f>
        <v>720</v>
      </c>
      <c r="BC3796" s="28" t="n">
        <f aca="false">BA3796-BB3796</f>
        <v>0</v>
      </c>
      <c r="BD3796" s="32" t="n">
        <f aca="false">SUM(P3796,R3796,T3796,V3796,X3796,Z3796,AB3796,AD3796,AF3796,AH3796,AJ3796,AL3796,AN3796,AP3796,AR3796,AT3796,AV3796,AX3796)</f>
        <v>797</v>
      </c>
      <c r="BE3796" s="33" t="n">
        <f aca="false">AZ3796-BD3796</f>
        <v>0</v>
      </c>
      <c r="BF3796" s="34" t="n">
        <f aca="false">BD3796*M3796</f>
        <v>0</v>
      </c>
      <c r="BG3796" s="35" t="n">
        <f aca="false">BA3796-BF3796</f>
        <v>720</v>
      </c>
      <c r="BH3796" s="19" t="str">
        <f aca="false">IF(BG3796=0,"",IF(BG3796&lt;&gt;BA3796,"erreur de calcul",IF(BD3796&lt;&gt;0,"pas de prix",IF(M3796&lt;&gt; 0,"pas de quantité","pas de prix, ni de quantité"))))</f>
        <v>pas de prix</v>
      </c>
      <c r="BI3796" s="19" t="s">
        <v>367</v>
      </c>
    </row>
    <row r="3797" customFormat="false" ht="15" hidden="false" customHeight="false" outlineLevel="0" collapsed="false">
      <c r="A3797" s="0" t="n">
        <v>39</v>
      </c>
      <c r="B3797" s="8" t="s">
        <v>24</v>
      </c>
      <c r="C3797" s="9" t="s">
        <v>25</v>
      </c>
      <c r="D3797" s="9" t="s">
        <v>26</v>
      </c>
      <c r="E3797" s="10" t="n">
        <v>1789</v>
      </c>
      <c r="F3797" s="9" t="s">
        <v>27</v>
      </c>
      <c r="G3797" s="9" t="s">
        <v>27</v>
      </c>
      <c r="H3797" s="11" t="n">
        <v>25</v>
      </c>
      <c r="I3797" s="11" t="s">
        <v>368</v>
      </c>
      <c r="J3797" s="14" t="n">
        <v>4</v>
      </c>
      <c r="K3797" s="14"/>
      <c r="L3797" s="16"/>
      <c r="M3797" s="27" t="n">
        <f aca="false">J3797+(K3797/20)+(L3797/240)</f>
        <v>4</v>
      </c>
      <c r="N3797" s="17" t="s">
        <v>64</v>
      </c>
      <c r="O3797" s="11"/>
      <c r="P3797" s="28"/>
      <c r="Q3797" s="28" t="n">
        <f aca="false">P3797*$M3797</f>
        <v>0</v>
      </c>
      <c r="R3797" s="28"/>
      <c r="S3797" s="28" t="n">
        <f aca="false">R3797*$M3797</f>
        <v>0</v>
      </c>
      <c r="T3797" s="28"/>
      <c r="U3797" s="28" t="n">
        <f aca="false">T3797*$M3797</f>
        <v>0</v>
      </c>
      <c r="V3797" s="28" t="n">
        <f aca="false">23693/100</f>
        <v>236.93</v>
      </c>
      <c r="W3797" s="28" t="n">
        <v>948</v>
      </c>
      <c r="X3797" s="28"/>
      <c r="Y3797" s="28" t="n">
        <f aca="false">X3797*$M3797</f>
        <v>0</v>
      </c>
      <c r="Z3797" s="28"/>
      <c r="AA3797" s="28" t="n">
        <f aca="false">Z3797*$M3797</f>
        <v>0</v>
      </c>
      <c r="AB3797" s="28"/>
      <c r="AC3797" s="28" t="n">
        <f aca="false">AB3797*$M3797</f>
        <v>0</v>
      </c>
      <c r="AD3797" s="28"/>
      <c r="AE3797" s="28" t="n">
        <f aca="false">AD3797*$M3797</f>
        <v>0</v>
      </c>
      <c r="AF3797" s="28"/>
      <c r="AG3797" s="28" t="n">
        <f aca="false">AF3797*$M3797</f>
        <v>0</v>
      </c>
      <c r="AH3797" s="28"/>
      <c r="AI3797" s="28" t="n">
        <f aca="false">AH3797*$M3797</f>
        <v>0</v>
      </c>
      <c r="AJ3797" s="28"/>
      <c r="AK3797" s="28" t="n">
        <f aca="false">AJ3797*$M3797</f>
        <v>0</v>
      </c>
      <c r="AL3797" s="28"/>
      <c r="AM3797" s="28" t="n">
        <f aca="false">AL3797*$M3797</f>
        <v>0</v>
      </c>
      <c r="AN3797" s="28"/>
      <c r="AO3797" s="28" t="n">
        <f aca="false">AN3797*$M3797</f>
        <v>0</v>
      </c>
      <c r="AP3797" s="28"/>
      <c r="AQ3797" s="28" t="n">
        <f aca="false">AP3797*$M3797</f>
        <v>0</v>
      </c>
      <c r="AR3797" s="28"/>
      <c r="AS3797" s="28" t="n">
        <f aca="false">AR3797*$M3797</f>
        <v>0</v>
      </c>
      <c r="AT3797" s="28"/>
      <c r="AU3797" s="28" t="n">
        <f aca="false">AT3797*$M3797</f>
        <v>0</v>
      </c>
      <c r="AV3797" s="28"/>
      <c r="AW3797" s="28" t="n">
        <f aca="false">AV3797*$M3797</f>
        <v>0</v>
      </c>
      <c r="AX3797" s="28"/>
      <c r="AY3797" s="28" t="n">
        <f aca="false">AX3797*$M3797</f>
        <v>0</v>
      </c>
      <c r="AZ3797" s="30" t="n">
        <f aca="false">23693/100</f>
        <v>236.93</v>
      </c>
      <c r="BA3797" s="11" t="n">
        <v>948</v>
      </c>
      <c r="BB3797" s="31" t="n">
        <f aca="false">SUM(Q3797,S3797,U3797,W3797,Y3797,AA3797,AC3797,AE3797,AG3797,AI3797,AK3797,AM3797,AO3797,AQ3797,AS3797,AU3797,AW3797,AY3797)</f>
        <v>948</v>
      </c>
      <c r="BC3797" s="28" t="n">
        <f aca="false">BA3797-BB3797</f>
        <v>0</v>
      </c>
      <c r="BD3797" s="32" t="n">
        <f aca="false">SUM(P3797,R3797,T3797,V3797,X3797,Z3797,AB3797,AD3797,AF3797,AH3797,AJ3797,AL3797,AN3797,AP3797,AR3797,AT3797,AV3797,AX3797)</f>
        <v>236.93</v>
      </c>
      <c r="BE3797" s="33" t="n">
        <f aca="false">AZ3797-BD3797</f>
        <v>0</v>
      </c>
      <c r="BF3797" s="34" t="n">
        <f aca="false">BD3797*M3797</f>
        <v>947.72</v>
      </c>
      <c r="BG3797" s="35" t="n">
        <f aca="false">BA3797-BF3797</f>
        <v>0.279999999999973</v>
      </c>
      <c r="BH3797" s="19" t="str">
        <f aca="false">IF(BG3797=0,"",IF(BG3797&lt;&gt;BA3797,"erreur de calcul",IF(BD3797&lt;&gt;0,"pas de prix",IF(M3797&lt;&gt; 0,"pas de quantité","pas de prix, ni de quantité"))))</f>
        <v>erreur de calcul</v>
      </c>
      <c r="BI3797" s="19"/>
    </row>
    <row r="3798" customFormat="false" ht="15" hidden="false" customHeight="false" outlineLevel="0" collapsed="false">
      <c r="A3798" s="0" t="n">
        <v>40</v>
      </c>
      <c r="B3798" s="8" t="s">
        <v>24</v>
      </c>
      <c r="C3798" s="9" t="s">
        <v>25</v>
      </c>
      <c r="D3798" s="9" t="s">
        <v>26</v>
      </c>
      <c r="E3798" s="10" t="n">
        <v>1789</v>
      </c>
      <c r="F3798" s="9" t="s">
        <v>27</v>
      </c>
      <c r="G3798" s="9" t="s">
        <v>27</v>
      </c>
      <c r="H3798" s="11" t="n">
        <v>25</v>
      </c>
      <c r="I3798" s="11" t="s">
        <v>369</v>
      </c>
      <c r="J3798" s="14" t="n">
        <v>92</v>
      </c>
      <c r="K3798" s="14"/>
      <c r="L3798" s="16"/>
      <c r="M3798" s="27" t="n">
        <f aca="false">J3798+(K3798/20)+(L3798/240)</f>
        <v>92</v>
      </c>
      <c r="N3798" s="17" t="s">
        <v>64</v>
      </c>
      <c r="O3798" s="11"/>
      <c r="P3798" s="28"/>
      <c r="Q3798" s="28" t="n">
        <f aca="false">P3798*$M3798</f>
        <v>0</v>
      </c>
      <c r="R3798" s="28"/>
      <c r="S3798" s="28" t="n">
        <f aca="false">R3798*$M3798</f>
        <v>0</v>
      </c>
      <c r="T3798" s="28"/>
      <c r="U3798" s="28" t="n">
        <f aca="false">T3798*$M3798</f>
        <v>0</v>
      </c>
      <c r="V3798" s="28" t="n">
        <f aca="false">82878/100</f>
        <v>828.78</v>
      </c>
      <c r="W3798" s="28" t="n">
        <v>76248</v>
      </c>
      <c r="X3798" s="28" t="n">
        <f aca="false">44264/100</f>
        <v>442.64</v>
      </c>
      <c r="Y3798" s="36" t="n">
        <v>41023</v>
      </c>
      <c r="Z3798" s="28"/>
      <c r="AA3798" s="28" t="n">
        <f aca="false">Z3798*$M3798</f>
        <v>0</v>
      </c>
      <c r="AB3798" s="28"/>
      <c r="AC3798" s="28" t="n">
        <f aca="false">AB3798*$M3798</f>
        <v>0</v>
      </c>
      <c r="AD3798" s="28"/>
      <c r="AE3798" s="28" t="n">
        <f aca="false">AD3798*$M3798</f>
        <v>0</v>
      </c>
      <c r="AF3798" s="28"/>
      <c r="AG3798" s="28" t="n">
        <f aca="false">AF3798*$M3798</f>
        <v>0</v>
      </c>
      <c r="AH3798" s="28"/>
      <c r="AI3798" s="28" t="n">
        <f aca="false">AH3798*$M3798</f>
        <v>0</v>
      </c>
      <c r="AJ3798" s="28"/>
      <c r="AK3798" s="28" t="n">
        <f aca="false">AJ3798*$M3798</f>
        <v>0</v>
      </c>
      <c r="AL3798" s="28"/>
      <c r="AM3798" s="28" t="n">
        <f aca="false">AL3798*$M3798</f>
        <v>0</v>
      </c>
      <c r="AN3798" s="28"/>
      <c r="AO3798" s="28" t="n">
        <f aca="false">AN3798*$M3798</f>
        <v>0</v>
      </c>
      <c r="AP3798" s="28"/>
      <c r="AQ3798" s="28" t="n">
        <f aca="false">AP3798*$M3798</f>
        <v>0</v>
      </c>
      <c r="AR3798" s="28"/>
      <c r="AS3798" s="28" t="n">
        <f aca="false">AR3798*$M3798</f>
        <v>0</v>
      </c>
      <c r="AT3798" s="28"/>
      <c r="AU3798" s="28" t="n">
        <f aca="false">AT3798*$M3798</f>
        <v>0</v>
      </c>
      <c r="AV3798" s="28"/>
      <c r="AW3798" s="28" t="n">
        <f aca="false">AV3798*$M3798</f>
        <v>0</v>
      </c>
      <c r="AX3798" s="28"/>
      <c r="AY3798" s="28" t="n">
        <f aca="false">AX3798*$M3798</f>
        <v>0</v>
      </c>
      <c r="AZ3798" s="30" t="n">
        <f aca="false">127142/100</f>
        <v>1271.42</v>
      </c>
      <c r="BA3798" s="11" t="n">
        <v>117271</v>
      </c>
      <c r="BB3798" s="31" t="n">
        <f aca="false">SUM(Q3798,S3798,U3798,W3798,Y3798,AA3798,AC3798,AE3798,AG3798,AI3798,AK3798,AM3798,AO3798,AQ3798,AS3798,AU3798,AW3798,AY3798)</f>
        <v>117271</v>
      </c>
      <c r="BC3798" s="28" t="n">
        <f aca="false">BA3798-BB3798</f>
        <v>0</v>
      </c>
      <c r="BD3798" s="32" t="n">
        <f aca="false">SUM(P3798,R3798,T3798,V3798,X3798,Z3798,AB3798,AD3798,AF3798,AH3798,AJ3798,AL3798,AN3798,AP3798,AR3798,AT3798,AV3798,AX3798)</f>
        <v>1271.42</v>
      </c>
      <c r="BE3798" s="33" t="n">
        <f aca="false">AZ3798-BD3798</f>
        <v>0</v>
      </c>
      <c r="BF3798" s="34" t="n">
        <f aca="false">BD3798*M3798</f>
        <v>116970.64</v>
      </c>
      <c r="BG3798" s="35" t="n">
        <f aca="false">BA3798-BF3798</f>
        <v>300.359999999986</v>
      </c>
      <c r="BH3798" s="19" t="str">
        <f aca="false">IF(BG3798=0,"",IF(BG3798&lt;&gt;BA3798,"erreur de calcul",IF(BD3798&lt;&gt;0,"pas de prix",IF(M3798&lt;&gt; 0,"pas de quantité","pas de prix, ni de quantité"))))</f>
        <v>erreur de calcul</v>
      </c>
      <c r="BI3798" s="19"/>
    </row>
    <row r="3799" customFormat="false" ht="15" hidden="false" customHeight="false" outlineLevel="0" collapsed="false">
      <c r="A3799" s="0" t="n">
        <v>41</v>
      </c>
      <c r="B3799" s="8" t="s">
        <v>24</v>
      </c>
      <c r="C3799" s="9" t="s">
        <v>25</v>
      </c>
      <c r="D3799" s="9" t="s">
        <v>26</v>
      </c>
      <c r="E3799" s="10" t="n">
        <v>1789</v>
      </c>
      <c r="F3799" s="9" t="s">
        <v>27</v>
      </c>
      <c r="G3799" s="9" t="s">
        <v>27</v>
      </c>
      <c r="H3799" s="11" t="n">
        <v>25</v>
      </c>
      <c r="I3799" s="11" t="s">
        <v>370</v>
      </c>
      <c r="J3799" s="14" t="n">
        <v>12</v>
      </c>
      <c r="K3799" s="14"/>
      <c r="L3799" s="16"/>
      <c r="M3799" s="27" t="n">
        <f aca="false">J3799+(K3799/20)+(L3799/240)</f>
        <v>12</v>
      </c>
      <c r="N3799" s="17" t="s">
        <v>64</v>
      </c>
      <c r="O3799" s="11"/>
      <c r="P3799" s="28"/>
      <c r="Q3799" s="28" t="n">
        <f aca="false">P3799*$M3799</f>
        <v>0</v>
      </c>
      <c r="R3799" s="28"/>
      <c r="S3799" s="28" t="n">
        <f aca="false">R3799*$M3799</f>
        <v>0</v>
      </c>
      <c r="T3799" s="28"/>
      <c r="U3799" s="28" t="n">
        <f aca="false">T3799*$M3799</f>
        <v>0</v>
      </c>
      <c r="V3799" s="28"/>
      <c r="W3799" s="28" t="n">
        <f aca="false">V3799*$M3799</f>
        <v>0</v>
      </c>
      <c r="X3799" s="28"/>
      <c r="Y3799" s="28" t="n">
        <f aca="false">X3799*$M3799</f>
        <v>0</v>
      </c>
      <c r="Z3799" s="28"/>
      <c r="AA3799" s="28" t="n">
        <f aca="false">Z3799*$M3799</f>
        <v>0</v>
      </c>
      <c r="AB3799" s="28"/>
      <c r="AC3799" s="28" t="n">
        <f aca="false">AB3799*$M3799</f>
        <v>0</v>
      </c>
      <c r="AD3799" s="28"/>
      <c r="AE3799" s="28" t="n">
        <f aca="false">AD3799*$M3799</f>
        <v>0</v>
      </c>
      <c r="AF3799" s="28"/>
      <c r="AG3799" s="28" t="n">
        <f aca="false">AF3799*$M3799</f>
        <v>0</v>
      </c>
      <c r="AH3799" s="28" t="n">
        <f aca="false">12168/100</f>
        <v>121.68</v>
      </c>
      <c r="AI3799" s="28" t="n">
        <v>1460</v>
      </c>
      <c r="AJ3799" s="28"/>
      <c r="AK3799" s="28" t="n">
        <f aca="false">AJ3799*$M3799</f>
        <v>0</v>
      </c>
      <c r="AL3799" s="28"/>
      <c r="AM3799" s="28" t="n">
        <f aca="false">AL3799*$M3799</f>
        <v>0</v>
      </c>
      <c r="AN3799" s="28"/>
      <c r="AO3799" s="28" t="n">
        <f aca="false">AN3799*$M3799</f>
        <v>0</v>
      </c>
      <c r="AP3799" s="28"/>
      <c r="AQ3799" s="28" t="n">
        <f aca="false">AP3799*$M3799</f>
        <v>0</v>
      </c>
      <c r="AR3799" s="28"/>
      <c r="AS3799" s="28" t="n">
        <f aca="false">AR3799*$M3799</f>
        <v>0</v>
      </c>
      <c r="AT3799" s="28"/>
      <c r="AU3799" s="28" t="n">
        <f aca="false">AT3799*$M3799</f>
        <v>0</v>
      </c>
      <c r="AV3799" s="28"/>
      <c r="AW3799" s="28" t="n">
        <f aca="false">AV3799*$M3799</f>
        <v>0</v>
      </c>
      <c r="AX3799" s="28"/>
      <c r="AY3799" s="28" t="n">
        <f aca="false">AX3799*$M3799</f>
        <v>0</v>
      </c>
      <c r="AZ3799" s="30" t="n">
        <f aca="false">12168/100</f>
        <v>121.68</v>
      </c>
      <c r="BA3799" s="11" t="n">
        <v>1460</v>
      </c>
      <c r="BB3799" s="31" t="n">
        <f aca="false">SUM(Q3799,S3799,U3799,W3799,Y3799,AA3799,AC3799,AE3799,AG3799,AI3799,AK3799,AM3799,AO3799,AQ3799,AS3799,AU3799,AW3799,AY3799)</f>
        <v>1460</v>
      </c>
      <c r="BC3799" s="28" t="n">
        <f aca="false">BA3799-BB3799</f>
        <v>0</v>
      </c>
      <c r="BD3799" s="32" t="n">
        <f aca="false">SUM(P3799,R3799,T3799,V3799,X3799,Z3799,AB3799,AD3799,AF3799,AH3799,AJ3799,AL3799,AN3799,AP3799,AR3799,AT3799,AV3799,AX3799)</f>
        <v>121.68</v>
      </c>
      <c r="BE3799" s="33" t="n">
        <f aca="false">AZ3799-BD3799</f>
        <v>0</v>
      </c>
      <c r="BF3799" s="34" t="n">
        <f aca="false">BD3799*M3799</f>
        <v>1460.16</v>
      </c>
      <c r="BG3799" s="35" t="n">
        <f aca="false">BA3799-BF3799</f>
        <v>-0.160000000000082</v>
      </c>
      <c r="BH3799" s="19" t="str">
        <f aca="false">IF(BG3799=0,"",IF(BG3799&lt;&gt;BA3799,"erreur de calcul",IF(BD3799&lt;&gt;0,"pas de prix",IF(M3799&lt;&gt; 0,"pas de quantité","pas de prix, ni de quantité"))))</f>
        <v>erreur de calcul</v>
      </c>
      <c r="BI3799" s="19"/>
    </row>
    <row r="3800" customFormat="false" ht="15" hidden="false" customHeight="false" outlineLevel="0" collapsed="false">
      <c r="A3800" s="0" t="n">
        <v>42</v>
      </c>
      <c r="B3800" s="8" t="s">
        <v>24</v>
      </c>
      <c r="C3800" s="9" t="s">
        <v>25</v>
      </c>
      <c r="D3800" s="9" t="s">
        <v>26</v>
      </c>
      <c r="E3800" s="10" t="n">
        <v>1789</v>
      </c>
      <c r="F3800" s="9" t="s">
        <v>27</v>
      </c>
      <c r="G3800" s="9" t="s">
        <v>27</v>
      </c>
      <c r="H3800" s="11" t="n">
        <v>25</v>
      </c>
      <c r="I3800" s="11" t="s">
        <v>371</v>
      </c>
      <c r="J3800" s="14" t="n">
        <v>7</v>
      </c>
      <c r="K3800" s="14"/>
      <c r="L3800" s="16"/>
      <c r="M3800" s="27" t="n">
        <f aca="false">J3800+(K3800/20)+(L3800/240)</f>
        <v>7</v>
      </c>
      <c r="N3800" s="17" t="s">
        <v>64</v>
      </c>
      <c r="O3800" s="11"/>
      <c r="P3800" s="28"/>
      <c r="Q3800" s="28" t="n">
        <f aca="false">P3800*$M3800</f>
        <v>0</v>
      </c>
      <c r="R3800" s="28"/>
      <c r="S3800" s="28" t="n">
        <f aca="false">R3800*$M3800</f>
        <v>0</v>
      </c>
      <c r="T3800" s="28"/>
      <c r="U3800" s="28" t="n">
        <f aca="false">T3800*$M3800</f>
        <v>0</v>
      </c>
      <c r="V3800" s="28"/>
      <c r="W3800" s="28" t="n">
        <f aca="false">V3800*$M3800</f>
        <v>0</v>
      </c>
      <c r="X3800" s="28"/>
      <c r="Y3800" s="28" t="n">
        <f aca="false">X3800*$M3800</f>
        <v>0</v>
      </c>
      <c r="Z3800" s="28"/>
      <c r="AA3800" s="28" t="n">
        <f aca="false">Z3800*$M3800</f>
        <v>0</v>
      </c>
      <c r="AB3800" s="28" t="n">
        <f aca="false">58003/100</f>
        <v>580.03</v>
      </c>
      <c r="AC3800" s="28" t="n">
        <v>4060</v>
      </c>
      <c r="AD3800" s="28"/>
      <c r="AE3800" s="28" t="n">
        <f aca="false">AD3800*$M3800</f>
        <v>0</v>
      </c>
      <c r="AF3800" s="28"/>
      <c r="AG3800" s="28" t="n">
        <f aca="false">AF3800*$M3800</f>
        <v>0</v>
      </c>
      <c r="AH3800" s="28"/>
      <c r="AI3800" s="28" t="n">
        <f aca="false">AH3800*$M3800</f>
        <v>0</v>
      </c>
      <c r="AJ3800" s="28"/>
      <c r="AK3800" s="28" t="n">
        <f aca="false">AJ3800*$M3800</f>
        <v>0</v>
      </c>
      <c r="AL3800" s="28"/>
      <c r="AM3800" s="28" t="n">
        <f aca="false">AL3800*$M3800</f>
        <v>0</v>
      </c>
      <c r="AN3800" s="28"/>
      <c r="AO3800" s="28" t="n">
        <f aca="false">AN3800*$M3800</f>
        <v>0</v>
      </c>
      <c r="AP3800" s="28"/>
      <c r="AQ3800" s="28" t="n">
        <f aca="false">AP3800*$M3800</f>
        <v>0</v>
      </c>
      <c r="AR3800" s="28"/>
      <c r="AS3800" s="28" t="n">
        <f aca="false">AR3800*$M3800</f>
        <v>0</v>
      </c>
      <c r="AT3800" s="28"/>
      <c r="AU3800" s="28" t="n">
        <f aca="false">AT3800*$M3800</f>
        <v>0</v>
      </c>
      <c r="AV3800" s="28"/>
      <c r="AW3800" s="28" t="n">
        <f aca="false">AV3800*$M3800</f>
        <v>0</v>
      </c>
      <c r="AX3800" s="28"/>
      <c r="AY3800" s="28" t="n">
        <f aca="false">AX3800*$M3800</f>
        <v>0</v>
      </c>
      <c r="AZ3800" s="30" t="n">
        <f aca="false">58003/100</f>
        <v>580.03</v>
      </c>
      <c r="BA3800" s="11" t="n">
        <v>4060</v>
      </c>
      <c r="BB3800" s="31" t="n">
        <f aca="false">SUM(Q3800,S3800,U3800,W3800,Y3800,AA3800,AC3800,AE3800,AG3800,AI3800,AK3800,AM3800,AO3800,AQ3800,AS3800,AU3800,AW3800,AY3800)</f>
        <v>4060</v>
      </c>
      <c r="BC3800" s="28" t="n">
        <f aca="false">BA3800-BB3800</f>
        <v>0</v>
      </c>
      <c r="BD3800" s="32" t="n">
        <f aca="false">SUM(P3800,R3800,T3800,V3800,X3800,Z3800,AB3800,AD3800,AF3800,AH3800,AJ3800,AL3800,AN3800,AP3800,AR3800,AT3800,AV3800,AX3800)</f>
        <v>580.03</v>
      </c>
      <c r="BE3800" s="33" t="n">
        <f aca="false">AZ3800-BD3800</f>
        <v>0</v>
      </c>
      <c r="BF3800" s="34" t="n">
        <f aca="false">BD3800*M3800</f>
        <v>4060.21</v>
      </c>
      <c r="BG3800" s="35" t="n">
        <f aca="false">BA3800-BF3800</f>
        <v>-0.210000000000036</v>
      </c>
      <c r="BH3800" s="19" t="str">
        <f aca="false">IF(BG3800=0,"",IF(BG3800&lt;&gt;BA3800,"erreur de calcul",IF(BD3800&lt;&gt;0,"pas de prix",IF(M3800&lt;&gt; 0,"pas de quantité","pas de prix, ni de quantité"))))</f>
        <v>erreur de calcul</v>
      </c>
      <c r="BI3800" s="19"/>
    </row>
    <row r="3801" customFormat="false" ht="15" hidden="false" customHeight="false" outlineLevel="0" collapsed="false">
      <c r="A3801" s="0" t="n">
        <v>1</v>
      </c>
      <c r="B3801" s="8" t="s">
        <v>24</v>
      </c>
      <c r="C3801" s="9" t="s">
        <v>25</v>
      </c>
      <c r="D3801" s="9" t="s">
        <v>26</v>
      </c>
      <c r="E3801" s="10" t="n">
        <v>1789</v>
      </c>
      <c r="F3801" s="9" t="s">
        <v>27</v>
      </c>
      <c r="G3801" s="9" t="s">
        <v>27</v>
      </c>
      <c r="H3801" s="11" t="n">
        <v>26</v>
      </c>
      <c r="I3801" s="11" t="s">
        <v>372</v>
      </c>
      <c r="J3801" s="14" t="n">
        <v>30</v>
      </c>
      <c r="K3801" s="14"/>
      <c r="L3801" s="16"/>
      <c r="M3801" s="27" t="n">
        <f aca="false">J3801+(K3801/20)+(L3801/240)</f>
        <v>30</v>
      </c>
      <c r="N3801" s="17" t="s">
        <v>64</v>
      </c>
      <c r="O3801" s="11"/>
      <c r="P3801" s="28"/>
      <c r="Q3801" s="28" t="n">
        <f aca="false">P3801*$M3801</f>
        <v>0</v>
      </c>
      <c r="R3801" s="28"/>
      <c r="S3801" s="28" t="n">
        <f aca="false">R3801*$M3801</f>
        <v>0</v>
      </c>
      <c r="T3801" s="28"/>
      <c r="U3801" s="28" t="n">
        <f aca="false">T3801*$M3801</f>
        <v>0</v>
      </c>
      <c r="V3801" s="28" t="n">
        <f aca="false">1500/100</f>
        <v>15</v>
      </c>
      <c r="W3801" s="28" t="n">
        <v>450</v>
      </c>
      <c r="X3801" s="28"/>
      <c r="Y3801" s="28" t="n">
        <f aca="false">X3801*$M3801</f>
        <v>0</v>
      </c>
      <c r="Z3801" s="28"/>
      <c r="AA3801" s="28" t="n">
        <f aca="false">Z3801*$M3801</f>
        <v>0</v>
      </c>
      <c r="AB3801" s="28"/>
      <c r="AC3801" s="28" t="n">
        <f aca="false">AB3801*$M3801</f>
        <v>0</v>
      </c>
      <c r="AD3801" s="28"/>
      <c r="AE3801" s="28" t="n">
        <f aca="false">AD3801*$M3801</f>
        <v>0</v>
      </c>
      <c r="AF3801" s="28"/>
      <c r="AG3801" s="28" t="n">
        <f aca="false">AF3801*$M3801</f>
        <v>0</v>
      </c>
      <c r="AH3801" s="28"/>
      <c r="AI3801" s="28" t="n">
        <f aca="false">AH3801*$M3801</f>
        <v>0</v>
      </c>
      <c r="AJ3801" s="28"/>
      <c r="AK3801" s="28" t="n">
        <f aca="false">AJ3801*$M3801</f>
        <v>0</v>
      </c>
      <c r="AL3801" s="28"/>
      <c r="AM3801" s="28" t="n">
        <f aca="false">AL3801*$M3801</f>
        <v>0</v>
      </c>
      <c r="AN3801" s="28"/>
      <c r="AO3801" s="28" t="n">
        <f aca="false">AN3801*$M3801</f>
        <v>0</v>
      </c>
      <c r="AP3801" s="28"/>
      <c r="AQ3801" s="28" t="n">
        <f aca="false">AP3801*$M3801</f>
        <v>0</v>
      </c>
      <c r="AR3801" s="28"/>
      <c r="AS3801" s="28" t="n">
        <f aca="false">AR3801*$M3801</f>
        <v>0</v>
      </c>
      <c r="AT3801" s="28"/>
      <c r="AU3801" s="28" t="n">
        <f aca="false">AT3801*$M3801</f>
        <v>0</v>
      </c>
      <c r="AV3801" s="28"/>
      <c r="AW3801" s="28" t="n">
        <f aca="false">AV3801*$M3801</f>
        <v>0</v>
      </c>
      <c r="AX3801" s="28"/>
      <c r="AY3801" s="28" t="n">
        <f aca="false">AX3801*$M3801</f>
        <v>0</v>
      </c>
      <c r="AZ3801" s="30" t="n">
        <f aca="false">1500/100</f>
        <v>15</v>
      </c>
      <c r="BA3801" s="11" t="n">
        <v>450</v>
      </c>
      <c r="BB3801" s="31" t="n">
        <f aca="false">SUM(Q3801,S3801,U3801,W3801,Y3801,AA3801,AC3801,AE3801,AG3801,AI3801,AK3801,AM3801,AO3801,AQ3801,AS3801,AU3801,AW3801,AY3801)</f>
        <v>450</v>
      </c>
      <c r="BC3801" s="28" t="n">
        <f aca="false">BA3801-BB3801</f>
        <v>0</v>
      </c>
      <c r="BD3801" s="32" t="n">
        <f aca="false">SUM(P3801,R3801,T3801,V3801,X3801,Z3801,AB3801,AD3801,AF3801,AH3801,AJ3801,AL3801,AN3801,AP3801,AR3801,AT3801,AV3801,AX3801)</f>
        <v>15</v>
      </c>
      <c r="BE3801" s="33" t="n">
        <f aca="false">AZ3801-BD3801</f>
        <v>0</v>
      </c>
      <c r="BF3801" s="34" t="n">
        <f aca="false">BD3801*M3801</f>
        <v>450</v>
      </c>
      <c r="BG3801" s="35" t="n">
        <f aca="false">BA3801-BF3801</f>
        <v>0</v>
      </c>
      <c r="BH3801" s="19" t="str">
        <f aca="false">IF(BG3801=0,"",IF(BG3801&lt;&gt;BA3801,"erreur de calcul",IF(BD3801&lt;&gt;0,"pas de prix",IF(M3801&lt;&gt; 0,"pas de quantité","pas de prix, ni de quantité"))))</f>
        <v/>
      </c>
      <c r="BI3801" s="19"/>
    </row>
    <row r="3802" customFormat="false" ht="15" hidden="false" customHeight="false" outlineLevel="0" collapsed="false">
      <c r="A3802" s="0" t="n">
        <v>2</v>
      </c>
      <c r="B3802" s="8" t="s">
        <v>24</v>
      </c>
      <c r="C3802" s="9" t="s">
        <v>25</v>
      </c>
      <c r="D3802" s="9" t="s">
        <v>26</v>
      </c>
      <c r="E3802" s="10" t="n">
        <v>1789</v>
      </c>
      <c r="F3802" s="9" t="s">
        <v>27</v>
      </c>
      <c r="G3802" s="9" t="s">
        <v>27</v>
      </c>
      <c r="H3802" s="11" t="n">
        <v>26</v>
      </c>
      <c r="I3802" s="11" t="s">
        <v>373</v>
      </c>
      <c r="J3802" s="14" t="n">
        <v>25</v>
      </c>
      <c r="K3802" s="14"/>
      <c r="L3802" s="16"/>
      <c r="M3802" s="27" t="n">
        <f aca="false">J3802+(K3802/20)+(L3802/240)</f>
        <v>25</v>
      </c>
      <c r="N3802" s="17" t="s">
        <v>64</v>
      </c>
      <c r="O3802" s="11"/>
      <c r="P3802" s="28"/>
      <c r="Q3802" s="28" t="n">
        <f aca="false">P3802*$M3802</f>
        <v>0</v>
      </c>
      <c r="R3802" s="28"/>
      <c r="S3802" s="28" t="n">
        <f aca="false">R3802*$M3802</f>
        <v>0</v>
      </c>
      <c r="T3802" s="28" t="n">
        <f aca="false">34168/100</f>
        <v>341.68</v>
      </c>
      <c r="U3802" s="28" t="n">
        <v>8542</v>
      </c>
      <c r="V3802" s="28" t="n">
        <f aca="false">128249/100</f>
        <v>1282.49</v>
      </c>
      <c r="W3802" s="28" t="n">
        <v>32062</v>
      </c>
      <c r="X3802" s="28" t="n">
        <f aca="false">21365/100</f>
        <v>213.65</v>
      </c>
      <c r="Y3802" s="28" t="n">
        <v>5341</v>
      </c>
      <c r="Z3802" s="28"/>
      <c r="AA3802" s="28" t="n">
        <f aca="false">Z3802*$M3802</f>
        <v>0</v>
      </c>
      <c r="AB3802" s="28"/>
      <c r="AC3802" s="28" t="n">
        <f aca="false">AB3802*$M3802</f>
        <v>0</v>
      </c>
      <c r="AD3802" s="28"/>
      <c r="AE3802" s="28" t="n">
        <f aca="false">AD3802*$M3802</f>
        <v>0</v>
      </c>
      <c r="AF3802" s="28"/>
      <c r="AG3802" s="28" t="n">
        <f aca="false">AF3802*$M3802</f>
        <v>0</v>
      </c>
      <c r="AH3802" s="28"/>
      <c r="AI3802" s="28" t="n">
        <f aca="false">AH3802*$M3802</f>
        <v>0</v>
      </c>
      <c r="AJ3802" s="28" t="n">
        <f aca="false">155251/100</f>
        <v>1552.51</v>
      </c>
      <c r="AK3802" s="28" t="n">
        <v>38813</v>
      </c>
      <c r="AL3802" s="28" t="n">
        <f aca="false">185000/100</f>
        <v>1850</v>
      </c>
      <c r="AM3802" s="28" t="n">
        <v>46250</v>
      </c>
      <c r="AN3802" s="28"/>
      <c r="AO3802" s="28" t="n">
        <f aca="false">AN3802*$M3802</f>
        <v>0</v>
      </c>
      <c r="AP3802" s="28"/>
      <c r="AQ3802" s="28" t="n">
        <f aca="false">AP3802*$M3802</f>
        <v>0</v>
      </c>
      <c r="AR3802" s="28"/>
      <c r="AS3802" s="28" t="n">
        <f aca="false">AR3802*$M3802</f>
        <v>0</v>
      </c>
      <c r="AT3802" s="28"/>
      <c r="AU3802" s="28" t="n">
        <f aca="false">AT3802*$M3802</f>
        <v>0</v>
      </c>
      <c r="AV3802" s="28"/>
      <c r="AW3802" s="28" t="n">
        <f aca="false">AV3802*$M3802</f>
        <v>0</v>
      </c>
      <c r="AX3802" s="28"/>
      <c r="AY3802" s="28" t="n">
        <f aca="false">AX3802*$M3802</f>
        <v>0</v>
      </c>
      <c r="AZ3802" s="30" t="n">
        <f aca="false">524033/100</f>
        <v>5240.33</v>
      </c>
      <c r="BA3802" s="11" t="n">
        <v>131008</v>
      </c>
      <c r="BB3802" s="31" t="n">
        <f aca="false">SUM(Q3802,S3802,U3802,W3802,Y3802,AA3802,AC3802,AE3802,AG3802,AI3802,AK3802,AM3802,AO3802,AQ3802,AS3802,AU3802,AW3802,AY3802)</f>
        <v>131008</v>
      </c>
      <c r="BC3802" s="28" t="n">
        <f aca="false">BA3802-BB3802</f>
        <v>0</v>
      </c>
      <c r="BD3802" s="32" t="n">
        <f aca="false">SUM(P3802,R3802,T3802,V3802,X3802,Z3802,AB3802,AD3802,AF3802,AH3802,AJ3802,AL3802,AN3802,AP3802,AR3802,AT3802,AV3802,AX3802)</f>
        <v>5240.33</v>
      </c>
      <c r="BE3802" s="33" t="n">
        <f aca="false">AZ3802-BD3802</f>
        <v>0</v>
      </c>
      <c r="BF3802" s="34" t="n">
        <f aca="false">BD3802*M3802</f>
        <v>131008.25</v>
      </c>
      <c r="BG3802" s="35" t="n">
        <f aca="false">BA3802-BF3802</f>
        <v>-0.250000000014552</v>
      </c>
      <c r="BH3802" s="19" t="str">
        <f aca="false">IF(BG3802=0,"",IF(BG3802&lt;&gt;BA3802,"erreur de calcul",IF(BD3802&lt;&gt;0,"pas de prix",IF(M3802&lt;&gt; 0,"pas de quantité","pas de prix, ni de quantité"))))</f>
        <v>erreur de calcul</v>
      </c>
      <c r="BI3802" s="19"/>
    </row>
    <row r="3803" customFormat="false" ht="15" hidden="false" customHeight="false" outlineLevel="0" collapsed="false">
      <c r="A3803" s="0" t="n">
        <v>3</v>
      </c>
      <c r="B3803" s="8" t="s">
        <v>24</v>
      </c>
      <c r="C3803" s="9" t="s">
        <v>25</v>
      </c>
      <c r="D3803" s="9" t="s">
        <v>26</v>
      </c>
      <c r="E3803" s="10" t="n">
        <v>1789</v>
      </c>
      <c r="F3803" s="9" t="s">
        <v>27</v>
      </c>
      <c r="G3803" s="9" t="s">
        <v>27</v>
      </c>
      <c r="H3803" s="11" t="n">
        <v>26</v>
      </c>
      <c r="I3803" s="11" t="s">
        <v>374</v>
      </c>
      <c r="J3803" s="14" t="n">
        <v>70</v>
      </c>
      <c r="K3803" s="14"/>
      <c r="L3803" s="16"/>
      <c r="M3803" s="27" t="n">
        <f aca="false">J3803+(K3803/20)+(L3803/240)</f>
        <v>70</v>
      </c>
      <c r="N3803" s="17" t="s">
        <v>64</v>
      </c>
      <c r="O3803" s="11"/>
      <c r="P3803" s="28"/>
      <c r="Q3803" s="28" t="n">
        <f aca="false">P3803*$M3803</f>
        <v>0</v>
      </c>
      <c r="R3803" s="28"/>
      <c r="S3803" s="28" t="n">
        <f aca="false">R3803*$M3803</f>
        <v>0</v>
      </c>
      <c r="T3803" s="28"/>
      <c r="U3803" s="28" t="n">
        <f aca="false">T3803*$M3803</f>
        <v>0</v>
      </c>
      <c r="V3803" s="28" t="n">
        <f aca="false">4560/100</f>
        <v>45.6</v>
      </c>
      <c r="W3803" s="28" t="n">
        <v>3192</v>
      </c>
      <c r="X3803" s="28" t="n">
        <f aca="false">1115/100</f>
        <v>11.15</v>
      </c>
      <c r="Y3803" s="28" t="n">
        <v>780</v>
      </c>
      <c r="Z3803" s="28"/>
      <c r="AA3803" s="28" t="n">
        <f aca="false">Z3803*$M3803</f>
        <v>0</v>
      </c>
      <c r="AB3803" s="28" t="n">
        <f aca="false">9431/100</f>
        <v>94.31</v>
      </c>
      <c r="AC3803" s="28" t="n">
        <v>6602</v>
      </c>
      <c r="AD3803" s="28"/>
      <c r="AE3803" s="28" t="n">
        <f aca="false">AD3803*$M3803</f>
        <v>0</v>
      </c>
      <c r="AF3803" s="28"/>
      <c r="AG3803" s="28" t="n">
        <f aca="false">AF3803*$M3803</f>
        <v>0</v>
      </c>
      <c r="AH3803" s="28"/>
      <c r="AI3803" s="28" t="n">
        <f aca="false">AH3803*$M3803</f>
        <v>0</v>
      </c>
      <c r="AJ3803" s="28"/>
      <c r="AK3803" s="28" t="n">
        <f aca="false">AJ3803*$M3803</f>
        <v>0</v>
      </c>
      <c r="AL3803" s="28"/>
      <c r="AM3803" s="28" t="n">
        <f aca="false">AL3803*$M3803</f>
        <v>0</v>
      </c>
      <c r="AN3803" s="28"/>
      <c r="AO3803" s="28" t="n">
        <f aca="false">AN3803*$M3803</f>
        <v>0</v>
      </c>
      <c r="AP3803" s="28"/>
      <c r="AQ3803" s="28" t="n">
        <f aca="false">AP3803*$M3803</f>
        <v>0</v>
      </c>
      <c r="AR3803" s="28"/>
      <c r="AS3803" s="28" t="n">
        <f aca="false">AR3803*$M3803</f>
        <v>0</v>
      </c>
      <c r="AT3803" s="28"/>
      <c r="AU3803" s="28" t="n">
        <f aca="false">AT3803*$M3803</f>
        <v>0</v>
      </c>
      <c r="AV3803" s="28"/>
      <c r="AW3803" s="28" t="n">
        <f aca="false">AV3803*$M3803</f>
        <v>0</v>
      </c>
      <c r="AX3803" s="28"/>
      <c r="AY3803" s="28" t="n">
        <f aca="false">AX3803*$M3803</f>
        <v>0</v>
      </c>
      <c r="AZ3803" s="30" t="n">
        <f aca="false">15106/100</f>
        <v>151.06</v>
      </c>
      <c r="BA3803" s="11" t="n">
        <v>10574</v>
      </c>
      <c r="BB3803" s="31" t="n">
        <f aca="false">SUM(Q3803,S3803,U3803,W3803,Y3803,AA3803,AC3803,AE3803,AG3803,AI3803,AK3803,AM3803,AO3803,AQ3803,AS3803,AU3803,AW3803,AY3803)</f>
        <v>10574</v>
      </c>
      <c r="BC3803" s="28" t="n">
        <f aca="false">BA3803-BB3803</f>
        <v>0</v>
      </c>
      <c r="BD3803" s="32" t="n">
        <f aca="false">SUM(P3803,R3803,T3803,V3803,X3803,Z3803,AB3803,AD3803,AF3803,AH3803,AJ3803,AL3803,AN3803,AP3803,AR3803,AT3803,AV3803,AX3803)</f>
        <v>151.06</v>
      </c>
      <c r="BE3803" s="33" t="n">
        <f aca="false">AZ3803-BD3803</f>
        <v>0</v>
      </c>
      <c r="BF3803" s="34" t="n">
        <f aca="false">BD3803*M3803</f>
        <v>10574.2</v>
      </c>
      <c r="BG3803" s="35" t="n">
        <f aca="false">BA3803-BF3803</f>
        <v>-0.200000000000728</v>
      </c>
      <c r="BH3803" s="19" t="str">
        <f aca="false">IF(BG3803=0,"",IF(BG3803&lt;&gt;BA3803,"erreur de calcul",IF(BD3803&lt;&gt;0,"pas de prix",IF(M3803&lt;&gt; 0,"pas de quantité","pas de prix, ni de quantité"))))</f>
        <v>erreur de calcul</v>
      </c>
      <c r="BI3803" s="19"/>
    </row>
    <row r="3804" customFormat="false" ht="15" hidden="false" customHeight="false" outlineLevel="0" collapsed="false">
      <c r="A3804" s="0" t="n">
        <v>4</v>
      </c>
      <c r="B3804" s="8" t="s">
        <v>24</v>
      </c>
      <c r="C3804" s="9" t="s">
        <v>25</v>
      </c>
      <c r="D3804" s="9" t="s">
        <v>26</v>
      </c>
      <c r="E3804" s="10" t="n">
        <v>1789</v>
      </c>
      <c r="F3804" s="9" t="s">
        <v>27</v>
      </c>
      <c r="G3804" s="9" t="s">
        <v>27</v>
      </c>
      <c r="H3804" s="11" t="n">
        <v>26</v>
      </c>
      <c r="I3804" s="11" t="s">
        <v>375</v>
      </c>
      <c r="J3804" s="14" t="n">
        <v>245</v>
      </c>
      <c r="K3804" s="14"/>
      <c r="L3804" s="16"/>
      <c r="M3804" s="27" t="n">
        <f aca="false">J3804+(K3804/20)+(L3804/240)</f>
        <v>245</v>
      </c>
      <c r="N3804" s="17" t="s">
        <v>64</v>
      </c>
      <c r="O3804" s="11"/>
      <c r="P3804" s="28"/>
      <c r="Q3804" s="28" t="n">
        <f aca="false">P3804*$M3804</f>
        <v>0</v>
      </c>
      <c r="R3804" s="28"/>
      <c r="S3804" s="28" t="n">
        <f aca="false">R3804*$M3804</f>
        <v>0</v>
      </c>
      <c r="T3804" s="28"/>
      <c r="U3804" s="28" t="n">
        <f aca="false">T3804*$M3804</f>
        <v>0</v>
      </c>
      <c r="V3804" s="28"/>
      <c r="W3804" s="28" t="n">
        <f aca="false">V3804*$M3804</f>
        <v>0</v>
      </c>
      <c r="X3804" s="28"/>
      <c r="Y3804" s="28" t="n">
        <f aca="false">X3804*$M3804</f>
        <v>0</v>
      </c>
      <c r="Z3804" s="28"/>
      <c r="AA3804" s="28" t="n">
        <f aca="false">Z3804*$M3804</f>
        <v>0</v>
      </c>
      <c r="AB3804" s="28"/>
      <c r="AC3804" s="28" t="n">
        <f aca="false">AB3804*$M3804</f>
        <v>0</v>
      </c>
      <c r="AD3804" s="28"/>
      <c r="AE3804" s="28" t="n">
        <f aca="false">AD3804*$M3804</f>
        <v>0</v>
      </c>
      <c r="AF3804" s="28"/>
      <c r="AG3804" s="28" t="n">
        <f aca="false">AF3804*$M3804</f>
        <v>0</v>
      </c>
      <c r="AH3804" s="28" t="n">
        <f aca="false">751/100</f>
        <v>7.51</v>
      </c>
      <c r="AI3804" s="28" t="n">
        <v>1840</v>
      </c>
      <c r="AJ3804" s="28"/>
      <c r="AK3804" s="28" t="n">
        <f aca="false">AJ3804*$M3804</f>
        <v>0</v>
      </c>
      <c r="AL3804" s="28"/>
      <c r="AM3804" s="28" t="n">
        <f aca="false">AL3804*$M3804</f>
        <v>0</v>
      </c>
      <c r="AN3804" s="28"/>
      <c r="AO3804" s="28" t="n">
        <f aca="false">AN3804*$M3804</f>
        <v>0</v>
      </c>
      <c r="AP3804" s="28"/>
      <c r="AQ3804" s="28" t="n">
        <f aca="false">AP3804*$M3804</f>
        <v>0</v>
      </c>
      <c r="AR3804" s="28"/>
      <c r="AS3804" s="28" t="n">
        <f aca="false">AR3804*$M3804</f>
        <v>0</v>
      </c>
      <c r="AT3804" s="28"/>
      <c r="AU3804" s="28" t="n">
        <f aca="false">AT3804*$M3804</f>
        <v>0</v>
      </c>
      <c r="AV3804" s="28"/>
      <c r="AW3804" s="28" t="n">
        <f aca="false">AV3804*$M3804</f>
        <v>0</v>
      </c>
      <c r="AX3804" s="28"/>
      <c r="AY3804" s="28" t="n">
        <f aca="false">AX3804*$M3804</f>
        <v>0</v>
      </c>
      <c r="AZ3804" s="30" t="n">
        <f aca="false">751/100</f>
        <v>7.51</v>
      </c>
      <c r="BA3804" s="11" t="n">
        <v>1840</v>
      </c>
      <c r="BB3804" s="31" t="n">
        <f aca="false">SUM(Q3804,S3804,U3804,W3804,Y3804,AA3804,AC3804,AE3804,AG3804,AI3804,AK3804,AM3804,AO3804,AQ3804,AS3804,AU3804,AW3804,AY3804)</f>
        <v>1840</v>
      </c>
      <c r="BC3804" s="28" t="n">
        <f aca="false">BA3804-BB3804</f>
        <v>0</v>
      </c>
      <c r="BD3804" s="32" t="n">
        <f aca="false">SUM(P3804,R3804,T3804,V3804,X3804,Z3804,AB3804,AD3804,AF3804,AH3804,AJ3804,AL3804,AN3804,AP3804,AR3804,AT3804,AV3804,AX3804)</f>
        <v>7.51</v>
      </c>
      <c r="BE3804" s="33" t="n">
        <f aca="false">AZ3804-BD3804</f>
        <v>0</v>
      </c>
      <c r="BF3804" s="34" t="n">
        <f aca="false">BD3804*M3804</f>
        <v>1839.95</v>
      </c>
      <c r="BG3804" s="35" t="n">
        <f aca="false">BA3804-BF3804</f>
        <v>0.0499999999999545</v>
      </c>
      <c r="BH3804" s="19" t="str">
        <f aca="false">IF(BG3804=0,"",IF(BG3804&lt;&gt;BA3804,"erreur de calcul",IF(BD3804&lt;&gt;0,"pas de prix",IF(M3804&lt;&gt; 0,"pas de quantité","pas de prix, ni de quantité"))))</f>
        <v>erreur de calcul</v>
      </c>
      <c r="BI3804" s="19"/>
    </row>
    <row r="3805" customFormat="false" ht="15" hidden="false" customHeight="false" outlineLevel="0" collapsed="false">
      <c r="A3805" s="0" t="n">
        <v>5</v>
      </c>
      <c r="B3805" s="8" t="s">
        <v>24</v>
      </c>
      <c r="C3805" s="9" t="s">
        <v>25</v>
      </c>
      <c r="D3805" s="9" t="s">
        <v>26</v>
      </c>
      <c r="E3805" s="10" t="n">
        <v>1789</v>
      </c>
      <c r="F3805" s="9" t="s">
        <v>27</v>
      </c>
      <c r="G3805" s="9" t="s">
        <v>27</v>
      </c>
      <c r="H3805" s="11" t="n">
        <v>26</v>
      </c>
      <c r="I3805" s="11" t="s">
        <v>376</v>
      </c>
      <c r="J3805" s="14" t="n">
        <v>550</v>
      </c>
      <c r="K3805" s="14"/>
      <c r="L3805" s="16"/>
      <c r="M3805" s="27" t="n">
        <f aca="false">J3805+(K3805/20)+(L3805/240)</f>
        <v>550</v>
      </c>
      <c r="N3805" s="17" t="s">
        <v>64</v>
      </c>
      <c r="O3805" s="11"/>
      <c r="P3805" s="28"/>
      <c r="Q3805" s="28" t="n">
        <f aca="false">P3805*$M3805</f>
        <v>0</v>
      </c>
      <c r="R3805" s="28"/>
      <c r="S3805" s="28" t="n">
        <f aca="false">R3805*$M3805</f>
        <v>0</v>
      </c>
      <c r="T3805" s="28"/>
      <c r="U3805" s="28" t="n">
        <f aca="false">T3805*$M3805</f>
        <v>0</v>
      </c>
      <c r="V3805" s="28"/>
      <c r="W3805" s="28" t="n">
        <f aca="false">V3805*$M3805</f>
        <v>0</v>
      </c>
      <c r="X3805" s="28"/>
      <c r="Y3805" s="28" t="n">
        <f aca="false">X3805*$M3805</f>
        <v>0</v>
      </c>
      <c r="Z3805" s="28"/>
      <c r="AA3805" s="28" t="n">
        <f aca="false">Z3805*$M3805</f>
        <v>0</v>
      </c>
      <c r="AB3805" s="28"/>
      <c r="AC3805" s="28" t="n">
        <f aca="false">AB3805*$M3805</f>
        <v>0</v>
      </c>
      <c r="AD3805" s="28"/>
      <c r="AE3805" s="28" t="n">
        <f aca="false">AD3805*$M3805</f>
        <v>0</v>
      </c>
      <c r="AF3805" s="28"/>
      <c r="AG3805" s="28" t="n">
        <f aca="false">AF3805*$M3805</f>
        <v>0</v>
      </c>
      <c r="AH3805" s="28" t="n">
        <f aca="false">215551/100</f>
        <v>2155.51</v>
      </c>
      <c r="AI3805" s="28" t="n">
        <v>1185530</v>
      </c>
      <c r="AJ3805" s="28"/>
      <c r="AK3805" s="28" t="n">
        <f aca="false">AJ3805*$M3805</f>
        <v>0</v>
      </c>
      <c r="AL3805" s="28"/>
      <c r="AM3805" s="28" t="n">
        <f aca="false">AL3805*$M3805</f>
        <v>0</v>
      </c>
      <c r="AN3805" s="28"/>
      <c r="AO3805" s="28" t="n">
        <f aca="false">AN3805*$M3805</f>
        <v>0</v>
      </c>
      <c r="AP3805" s="28"/>
      <c r="AQ3805" s="28" t="n">
        <f aca="false">AP3805*$M3805</f>
        <v>0</v>
      </c>
      <c r="AR3805" s="28"/>
      <c r="AS3805" s="28" t="n">
        <f aca="false">AR3805*$M3805</f>
        <v>0</v>
      </c>
      <c r="AT3805" s="28"/>
      <c r="AU3805" s="28" t="n">
        <f aca="false">AT3805*$M3805</f>
        <v>0</v>
      </c>
      <c r="AV3805" s="28"/>
      <c r="AW3805" s="28" t="n">
        <f aca="false">AV3805*$M3805</f>
        <v>0</v>
      </c>
      <c r="AX3805" s="28"/>
      <c r="AY3805" s="28" t="n">
        <f aca="false">AX3805*$M3805</f>
        <v>0</v>
      </c>
      <c r="AZ3805" s="30" t="n">
        <f aca="false">215551/100</f>
        <v>2155.51</v>
      </c>
      <c r="BA3805" s="11" t="n">
        <v>1185530</v>
      </c>
      <c r="BB3805" s="31" t="n">
        <f aca="false">SUM(Q3805,S3805,U3805,W3805,Y3805,AA3805,AC3805,AE3805,AG3805,AI3805,AK3805,AM3805,AO3805,AQ3805,AS3805,AU3805,AW3805,AY3805)</f>
        <v>1185530</v>
      </c>
      <c r="BC3805" s="28" t="n">
        <f aca="false">BA3805-BB3805</f>
        <v>0</v>
      </c>
      <c r="BD3805" s="32" t="n">
        <f aca="false">SUM(P3805,R3805,T3805,V3805,X3805,Z3805,AB3805,AD3805,AF3805,AH3805,AJ3805,AL3805,AN3805,AP3805,AR3805,AT3805,AV3805,AX3805)</f>
        <v>2155.51</v>
      </c>
      <c r="BE3805" s="33" t="n">
        <f aca="false">AZ3805-BD3805</f>
        <v>0</v>
      </c>
      <c r="BF3805" s="34" t="n">
        <f aca="false">BD3805*M3805</f>
        <v>1185530.5</v>
      </c>
      <c r="BG3805" s="35" t="n">
        <f aca="false">BA3805-BF3805</f>
        <v>-0.500000000232831</v>
      </c>
      <c r="BH3805" s="19" t="str">
        <f aca="false">IF(BG3805=0,"",IF(BG3805&lt;&gt;BA3805,"erreur de calcul",IF(BD3805&lt;&gt;0,"pas de prix",IF(M3805&lt;&gt; 0,"pas de quantité","pas de prix, ni de quantité"))))</f>
        <v>erreur de calcul</v>
      </c>
      <c r="BI3805" s="19"/>
    </row>
    <row r="3806" customFormat="false" ht="15" hidden="false" customHeight="false" outlineLevel="0" collapsed="false">
      <c r="A3806" s="0" t="n">
        <v>6</v>
      </c>
      <c r="B3806" s="8" t="s">
        <v>24</v>
      </c>
      <c r="C3806" s="9" t="s">
        <v>25</v>
      </c>
      <c r="D3806" s="9" t="s">
        <v>26</v>
      </c>
      <c r="E3806" s="10" t="n">
        <v>1789</v>
      </c>
      <c r="F3806" s="9" t="s">
        <v>27</v>
      </c>
      <c r="G3806" s="9" t="s">
        <v>27</v>
      </c>
      <c r="H3806" s="11" t="n">
        <v>26</v>
      </c>
      <c r="I3806" s="11" t="s">
        <v>377</v>
      </c>
      <c r="J3806" s="14"/>
      <c r="K3806" s="14"/>
      <c r="L3806" s="16"/>
      <c r="M3806" s="27" t="n">
        <f aca="false">J3806+(K3806/20)+(L3806/240)</f>
        <v>0</v>
      </c>
      <c r="N3806" s="17"/>
      <c r="O3806" s="11"/>
      <c r="P3806" s="28"/>
      <c r="Q3806" s="28" t="n">
        <f aca="false">P3806*$M3806</f>
        <v>0</v>
      </c>
      <c r="R3806" s="28"/>
      <c r="S3806" s="28" t="n">
        <f aca="false">R3806*$M3806</f>
        <v>0</v>
      </c>
      <c r="T3806" s="28"/>
      <c r="U3806" s="28" t="n">
        <v>517</v>
      </c>
      <c r="V3806" s="28"/>
      <c r="W3806" s="28" t="n">
        <v>1243</v>
      </c>
      <c r="X3806" s="28"/>
      <c r="Y3806" s="28" t="n">
        <f aca="false">X3806*$M3806</f>
        <v>0</v>
      </c>
      <c r="Z3806" s="28"/>
      <c r="AA3806" s="28" t="n">
        <f aca="false">Z3806*$M3806</f>
        <v>0</v>
      </c>
      <c r="AB3806" s="28"/>
      <c r="AC3806" s="28" t="n">
        <v>694</v>
      </c>
      <c r="AD3806" s="28"/>
      <c r="AE3806" s="28" t="n">
        <f aca="false">AD3806*$M3806</f>
        <v>0</v>
      </c>
      <c r="AF3806" s="28"/>
      <c r="AG3806" s="28" t="n">
        <f aca="false">AF3806*$M3806</f>
        <v>0</v>
      </c>
      <c r="AH3806" s="28"/>
      <c r="AI3806" s="28" t="n">
        <f aca="false">AH3806*$M3806</f>
        <v>0</v>
      </c>
      <c r="AJ3806" s="28"/>
      <c r="AK3806" s="28" t="n">
        <v>664</v>
      </c>
      <c r="AL3806" s="28"/>
      <c r="AM3806" s="28" t="n">
        <v>161</v>
      </c>
      <c r="AN3806" s="28"/>
      <c r="AO3806" s="28" t="n">
        <f aca="false">AN3806*$M3806</f>
        <v>0</v>
      </c>
      <c r="AP3806" s="28"/>
      <c r="AQ3806" s="28" t="n">
        <f aca="false">AP3806*$M3806</f>
        <v>0</v>
      </c>
      <c r="AR3806" s="28"/>
      <c r="AS3806" s="28" t="n">
        <f aca="false">AR3806*$M3806</f>
        <v>0</v>
      </c>
      <c r="AT3806" s="28"/>
      <c r="AU3806" s="28" t="n">
        <f aca="false">AT3806*$M3806</f>
        <v>0</v>
      </c>
      <c r="AV3806" s="28"/>
      <c r="AW3806" s="28" t="n">
        <f aca="false">AV3806*$M3806</f>
        <v>0</v>
      </c>
      <c r="AX3806" s="28"/>
      <c r="AY3806" s="28" t="n">
        <f aca="false">AX3806*$M3806</f>
        <v>0</v>
      </c>
      <c r="AZ3806" s="30"/>
      <c r="BA3806" s="11" t="n">
        <v>3279</v>
      </c>
      <c r="BB3806" s="31" t="n">
        <f aca="false">SUM(Q3806,S3806,U3806,W3806,Y3806,AA3806,AC3806,AE3806,AG3806,AI3806,AK3806,AM3806,AO3806,AQ3806,AS3806,AU3806,AW3806,AY3806)</f>
        <v>3279</v>
      </c>
      <c r="BC3806" s="28" t="n">
        <f aca="false">BA3806-BB3806</f>
        <v>0</v>
      </c>
      <c r="BD3806" s="32" t="n">
        <f aca="false">SUM(P3806,R3806,T3806,V3806,X3806,Z3806,AB3806,AD3806,AF3806,AH3806,AJ3806,AL3806,AN3806,AP3806,AR3806,AT3806,AV3806,AX3806)</f>
        <v>0</v>
      </c>
      <c r="BE3806" s="33" t="n">
        <f aca="false">AZ3806-BD3806</f>
        <v>0</v>
      </c>
      <c r="BF3806" s="34" t="n">
        <f aca="false">BD3806*M3806</f>
        <v>0</v>
      </c>
      <c r="BG3806" s="35" t="n">
        <f aca="false">BA3806-BF3806</f>
        <v>3279</v>
      </c>
      <c r="BH3806" s="19" t="str">
        <f aca="false">IF(BG3806=0,"",IF(BG3806&lt;&gt;BA3806,"erreur de calcul",IF(BD3806&lt;&gt;0,"pas de prix",IF(M3806&lt;&gt; 0,"pas de quantité","pas de prix, ni de quantité"))))</f>
        <v>pas de prix, ni de quantité</v>
      </c>
      <c r="BI3806" s="19"/>
    </row>
    <row r="3807" customFormat="false" ht="15" hidden="false" customHeight="false" outlineLevel="0" collapsed="false">
      <c r="A3807" s="0" t="n">
        <v>7</v>
      </c>
      <c r="B3807" s="8" t="s">
        <v>24</v>
      </c>
      <c r="C3807" s="9" t="s">
        <v>25</v>
      </c>
      <c r="D3807" s="9" t="s">
        <v>26</v>
      </c>
      <c r="E3807" s="10" t="n">
        <v>1789</v>
      </c>
      <c r="F3807" s="9" t="s">
        <v>27</v>
      </c>
      <c r="G3807" s="9" t="s">
        <v>27</v>
      </c>
      <c r="H3807" s="11" t="n">
        <v>26</v>
      </c>
      <c r="I3807" s="11" t="s">
        <v>378</v>
      </c>
      <c r="J3807" s="14" t="n">
        <v>27</v>
      </c>
      <c r="K3807" s="14"/>
      <c r="L3807" s="16"/>
      <c r="M3807" s="27" t="n">
        <f aca="false">J3807+(K3807/20)+(L3807/240)</f>
        <v>27</v>
      </c>
      <c r="N3807" s="17" t="s">
        <v>379</v>
      </c>
      <c r="O3807" s="11" t="s">
        <v>98</v>
      </c>
      <c r="P3807" s="28"/>
      <c r="Q3807" s="28" t="n">
        <f aca="false">P3807*$M3807</f>
        <v>0</v>
      </c>
      <c r="R3807" s="28"/>
      <c r="S3807" s="28" t="n">
        <f aca="false">R3807*$M3807</f>
        <v>0</v>
      </c>
      <c r="T3807" s="28"/>
      <c r="U3807" s="28" t="n">
        <f aca="false">T3807*$M3807</f>
        <v>0</v>
      </c>
      <c r="V3807" s="28"/>
      <c r="W3807" s="28" t="n">
        <f aca="false">V3807*$M3807</f>
        <v>0</v>
      </c>
      <c r="X3807" s="28"/>
      <c r="Y3807" s="28" t="n">
        <f aca="false">X3807*$M3807</f>
        <v>0</v>
      </c>
      <c r="Z3807" s="28"/>
      <c r="AA3807" s="28" t="n">
        <f aca="false">Z3807*$M3807</f>
        <v>0</v>
      </c>
      <c r="AB3807" s="28"/>
      <c r="AC3807" s="28" t="n">
        <f aca="false">AB3807*$M3807</f>
        <v>0</v>
      </c>
      <c r="AD3807" s="28"/>
      <c r="AE3807" s="28" t="n">
        <f aca="false">AD3807*$M3807</f>
        <v>0</v>
      </c>
      <c r="AF3807" s="28"/>
      <c r="AG3807" s="28" t="n">
        <f aca="false">AF3807*$M3807</f>
        <v>0</v>
      </c>
      <c r="AH3807" s="28"/>
      <c r="AI3807" s="28" t="n">
        <f aca="false">AH3807*$M3807</f>
        <v>0</v>
      </c>
      <c r="AJ3807" s="28"/>
      <c r="AK3807" s="28" t="n">
        <f aca="false">AJ3807*$M3807</f>
        <v>0</v>
      </c>
      <c r="AL3807" s="28"/>
      <c r="AM3807" s="28" t="n">
        <f aca="false">AL3807*$M3807</f>
        <v>0</v>
      </c>
      <c r="AN3807" s="28"/>
      <c r="AO3807" s="28" t="n">
        <f aca="false">AN3807*$M3807</f>
        <v>0</v>
      </c>
      <c r="AP3807" s="28"/>
      <c r="AQ3807" s="28" t="n">
        <f aca="false">AP3807*$M3807</f>
        <v>0</v>
      </c>
      <c r="AR3807" s="28"/>
      <c r="AS3807" s="28" t="n">
        <f aca="false">AR3807*$M3807</f>
        <v>0</v>
      </c>
      <c r="AT3807" s="28"/>
      <c r="AU3807" s="28" t="n">
        <f aca="false">AT3807*$M3807</f>
        <v>0</v>
      </c>
      <c r="AV3807" s="28"/>
      <c r="AW3807" s="28" t="n">
        <f aca="false">AV3807*$M3807</f>
        <v>0</v>
      </c>
      <c r="AX3807" s="28"/>
      <c r="AY3807" s="28" t="n">
        <f aca="false">AX3807*$M3807</f>
        <v>0</v>
      </c>
      <c r="AZ3807" s="30"/>
      <c r="BA3807" s="11"/>
      <c r="BB3807" s="31" t="n">
        <f aca="false">SUM(Q3807,S3807,U3807,W3807,Y3807,AA3807,AC3807,AE3807,AG3807,AI3807,AK3807,AM3807,AO3807,AQ3807,AS3807,AU3807,AW3807,AY3807)</f>
        <v>0</v>
      </c>
      <c r="BC3807" s="28" t="n">
        <f aca="false">BA3807-BB3807</f>
        <v>0</v>
      </c>
      <c r="BD3807" s="32" t="n">
        <f aca="false">SUM(P3807,R3807,T3807,V3807,X3807,Z3807,AB3807,AD3807,AF3807,AH3807,AJ3807,AL3807,AN3807,AP3807,AR3807,AT3807,AV3807,AX3807)</f>
        <v>0</v>
      </c>
      <c r="BE3807" s="33" t="n">
        <f aca="false">AZ3807-BD3807</f>
        <v>0</v>
      </c>
      <c r="BF3807" s="34" t="n">
        <f aca="false">BD3807*M3807</f>
        <v>0</v>
      </c>
      <c r="BG3807" s="35" t="n">
        <f aca="false">BA3807-BF3807</f>
        <v>0</v>
      </c>
      <c r="BH3807" s="19" t="str">
        <f aca="false">IF(BG3807=0,"",IF(BG3807&lt;&gt;BA3807,"erreur de calcul",IF(BD3807&lt;&gt;0,"pas de prix",IF(M3807&lt;&gt; 0,"pas de quantité","pas de prix, ni de quantité"))))</f>
        <v/>
      </c>
      <c r="BI3807" s="19"/>
    </row>
    <row r="3808" customFormat="false" ht="15" hidden="false" customHeight="false" outlineLevel="0" collapsed="false">
      <c r="A3808" s="0" t="n">
        <v>8</v>
      </c>
      <c r="B3808" s="8" t="s">
        <v>24</v>
      </c>
      <c r="C3808" s="9" t="s">
        <v>25</v>
      </c>
      <c r="D3808" s="9" t="s">
        <v>26</v>
      </c>
      <c r="E3808" s="10" t="n">
        <v>1789</v>
      </c>
      <c r="F3808" s="9" t="s">
        <v>27</v>
      </c>
      <c r="G3808" s="9" t="s">
        <v>27</v>
      </c>
      <c r="H3808" s="11" t="n">
        <v>26</v>
      </c>
      <c r="I3808" s="11" t="s">
        <v>380</v>
      </c>
      <c r="J3808" s="14" t="n">
        <v>30</v>
      </c>
      <c r="K3808" s="14"/>
      <c r="L3808" s="16"/>
      <c r="M3808" s="27" t="n">
        <f aca="false">J3808+(K3808/20)+(L3808/240)</f>
        <v>30</v>
      </c>
      <c r="N3808" s="17" t="s">
        <v>64</v>
      </c>
      <c r="O3808" s="11"/>
      <c r="P3808" s="28"/>
      <c r="Q3808" s="28" t="n">
        <f aca="false">P3808*$M3808</f>
        <v>0</v>
      </c>
      <c r="R3808" s="28"/>
      <c r="S3808" s="28" t="n">
        <f aca="false">R3808*$M3808</f>
        <v>0</v>
      </c>
      <c r="T3808" s="28"/>
      <c r="U3808" s="28" t="n">
        <f aca="false">T3808*$M3808</f>
        <v>0</v>
      </c>
      <c r="V3808" s="28"/>
      <c r="W3808" s="28" t="n">
        <f aca="false">V3808*$M3808</f>
        <v>0</v>
      </c>
      <c r="X3808" s="28"/>
      <c r="Y3808" s="28" t="n">
        <f aca="false">X3808*$M3808</f>
        <v>0</v>
      </c>
      <c r="Z3808" s="28"/>
      <c r="AA3808" s="28" t="n">
        <f aca="false">Z3808*$M3808</f>
        <v>0</v>
      </c>
      <c r="AB3808" s="28"/>
      <c r="AC3808" s="28" t="n">
        <f aca="false">AB3808*$M3808</f>
        <v>0</v>
      </c>
      <c r="AD3808" s="28"/>
      <c r="AE3808" s="28" t="n">
        <f aca="false">AD3808*$M3808</f>
        <v>0</v>
      </c>
      <c r="AF3808" s="28"/>
      <c r="AG3808" s="28" t="n">
        <f aca="false">AF3808*$M3808</f>
        <v>0</v>
      </c>
      <c r="AH3808" s="28"/>
      <c r="AI3808" s="28" t="n">
        <f aca="false">AH3808*$M3808</f>
        <v>0</v>
      </c>
      <c r="AJ3808" s="28"/>
      <c r="AK3808" s="28" t="n">
        <f aca="false">AJ3808*$M3808</f>
        <v>0</v>
      </c>
      <c r="AL3808" s="28"/>
      <c r="AM3808" s="28" t="n">
        <f aca="false">AL3808*$M3808</f>
        <v>0</v>
      </c>
      <c r="AN3808" s="28"/>
      <c r="AO3808" s="28" t="n">
        <f aca="false">AN3808*$M3808</f>
        <v>0</v>
      </c>
      <c r="AP3808" s="28"/>
      <c r="AQ3808" s="28" t="n">
        <f aca="false">AP3808*$M3808</f>
        <v>0</v>
      </c>
      <c r="AR3808" s="28"/>
      <c r="AS3808" s="28" t="n">
        <f aca="false">AR3808*$M3808</f>
        <v>0</v>
      </c>
      <c r="AT3808" s="28"/>
      <c r="AU3808" s="28" t="n">
        <f aca="false">AT3808*$M3808</f>
        <v>0</v>
      </c>
      <c r="AV3808" s="28" t="n">
        <f aca="false">5417/100</f>
        <v>54.17</v>
      </c>
      <c r="AW3808" s="28" t="n">
        <v>1625</v>
      </c>
      <c r="AX3808" s="28"/>
      <c r="AY3808" s="28" t="n">
        <f aca="false">AX3808*$M3808</f>
        <v>0</v>
      </c>
      <c r="AZ3808" s="30"/>
      <c r="BA3808" s="11" t="n">
        <v>1625</v>
      </c>
      <c r="BB3808" s="31" t="n">
        <f aca="false">SUM(Q3808,S3808,U3808,W3808,Y3808,AA3808,AC3808,AE3808,AG3808,AI3808,AK3808,AM3808,AO3808,AQ3808,AS3808,AU3808,AW3808,AY3808)</f>
        <v>1625</v>
      </c>
      <c r="BC3808" s="28" t="n">
        <f aca="false">BA3808-BB3808</f>
        <v>0</v>
      </c>
      <c r="BD3808" s="32" t="n">
        <f aca="false">SUM(P3808,R3808,T3808,V3808,X3808,Z3808,AB3808,AD3808,AF3808,AH3808,AJ3808,AL3808,AN3808,AP3808,AR3808,AT3808,AV3808,AX3808)</f>
        <v>54.17</v>
      </c>
      <c r="BE3808" s="33" t="n">
        <f aca="false">AZ3808-BD3808</f>
        <v>-54.17</v>
      </c>
      <c r="BF3808" s="34" t="n">
        <f aca="false">BD3808*M3808</f>
        <v>1625.1</v>
      </c>
      <c r="BG3808" s="35" t="n">
        <f aca="false">BA3808-BF3808</f>
        <v>-0.100000000000136</v>
      </c>
      <c r="BH3808" s="19" t="str">
        <f aca="false">IF(BG3808=0,"",IF(BG3808&lt;&gt;BA3808,"erreur de calcul",IF(BD3808&lt;&gt;0,"pas de prix",IF(M3808&lt;&gt; 0,"pas de quantité","pas de prix, ni de quantité"))))</f>
        <v>erreur de calcul</v>
      </c>
      <c r="BI3808" s="19"/>
    </row>
    <row r="3809" customFormat="false" ht="15" hidden="false" customHeight="false" outlineLevel="0" collapsed="false">
      <c r="A3809" s="0" t="n">
        <v>9</v>
      </c>
      <c r="B3809" s="8" t="s">
        <v>24</v>
      </c>
      <c r="C3809" s="9" t="s">
        <v>25</v>
      </c>
      <c r="D3809" s="9" t="s">
        <v>26</v>
      </c>
      <c r="E3809" s="10" t="n">
        <v>1789</v>
      </c>
      <c r="F3809" s="9" t="s">
        <v>27</v>
      </c>
      <c r="G3809" s="9" t="s">
        <v>27</v>
      </c>
      <c r="H3809" s="11" t="n">
        <v>26</v>
      </c>
      <c r="I3809" s="11" t="s">
        <v>381</v>
      </c>
      <c r="J3809" s="14" t="n">
        <v>6</v>
      </c>
      <c r="K3809" s="14"/>
      <c r="L3809" s="16"/>
      <c r="M3809" s="27" t="n">
        <f aca="false">J3809+(K3809/20)+(L3809/240)</f>
        <v>6</v>
      </c>
      <c r="N3809" s="17" t="s">
        <v>379</v>
      </c>
      <c r="O3809" s="11" t="s">
        <v>98</v>
      </c>
      <c r="P3809" s="28"/>
      <c r="Q3809" s="28" t="n">
        <f aca="false">P3809*$M3809</f>
        <v>0</v>
      </c>
      <c r="R3809" s="28"/>
      <c r="S3809" s="28" t="n">
        <f aca="false">R3809*$M3809</f>
        <v>0</v>
      </c>
      <c r="T3809" s="28"/>
      <c r="U3809" s="28" t="n">
        <f aca="false">T3809*$M3809</f>
        <v>0</v>
      </c>
      <c r="V3809" s="28"/>
      <c r="W3809" s="28" t="n">
        <f aca="false">V3809*$M3809</f>
        <v>0</v>
      </c>
      <c r="X3809" s="28"/>
      <c r="Y3809" s="28" t="n">
        <f aca="false">X3809*$M3809</f>
        <v>0</v>
      </c>
      <c r="Z3809" s="28"/>
      <c r="AA3809" s="28" t="n">
        <f aca="false">Z3809*$M3809</f>
        <v>0</v>
      </c>
      <c r="AB3809" s="28"/>
      <c r="AC3809" s="28" t="n">
        <f aca="false">AB3809*$M3809</f>
        <v>0</v>
      </c>
      <c r="AD3809" s="28"/>
      <c r="AE3809" s="28" t="n">
        <f aca="false">AD3809*$M3809</f>
        <v>0</v>
      </c>
      <c r="AF3809" s="28"/>
      <c r="AG3809" s="28" t="n">
        <f aca="false">AF3809*$M3809</f>
        <v>0</v>
      </c>
      <c r="AH3809" s="28"/>
      <c r="AI3809" s="28" t="n">
        <f aca="false">AH3809*$M3809</f>
        <v>0</v>
      </c>
      <c r="AJ3809" s="28"/>
      <c r="AK3809" s="28" t="n">
        <f aca="false">AJ3809*$M3809</f>
        <v>0</v>
      </c>
      <c r="AL3809" s="28"/>
      <c r="AM3809" s="28" t="n">
        <f aca="false">AL3809*$M3809</f>
        <v>0</v>
      </c>
      <c r="AN3809" s="28"/>
      <c r="AO3809" s="28" t="n">
        <f aca="false">AN3809*$M3809</f>
        <v>0</v>
      </c>
      <c r="AP3809" s="28"/>
      <c r="AQ3809" s="28" t="n">
        <f aca="false">AP3809*$M3809</f>
        <v>0</v>
      </c>
      <c r="AR3809" s="28"/>
      <c r="AS3809" s="28" t="n">
        <f aca="false">AR3809*$M3809</f>
        <v>0</v>
      </c>
      <c r="AT3809" s="28"/>
      <c r="AU3809" s="28" t="n">
        <f aca="false">AT3809*$M3809</f>
        <v>0</v>
      </c>
      <c r="AV3809" s="28"/>
      <c r="AW3809" s="28" t="n">
        <f aca="false">AV3809*$M3809</f>
        <v>0</v>
      </c>
      <c r="AX3809" s="28"/>
      <c r="AY3809" s="28" t="n">
        <f aca="false">AX3809*$M3809</f>
        <v>0</v>
      </c>
      <c r="AZ3809" s="30"/>
      <c r="BA3809" s="11"/>
      <c r="BB3809" s="31" t="n">
        <f aca="false">SUM(Q3809,S3809,U3809,W3809,Y3809,AA3809,AC3809,AE3809,AG3809,AI3809,AK3809,AM3809,AO3809,AQ3809,AS3809,AU3809,AW3809,AY3809)</f>
        <v>0</v>
      </c>
      <c r="BC3809" s="28" t="n">
        <f aca="false">BA3809-BB3809</f>
        <v>0</v>
      </c>
      <c r="BD3809" s="32" t="n">
        <f aca="false">SUM(P3809,R3809,T3809,V3809,X3809,Z3809,AB3809,AD3809,AF3809,AH3809,AJ3809,AL3809,AN3809,AP3809,AR3809,AT3809,AV3809,AX3809)</f>
        <v>0</v>
      </c>
      <c r="BE3809" s="33" t="n">
        <f aca="false">AZ3809-BD3809</f>
        <v>0</v>
      </c>
      <c r="BF3809" s="34" t="n">
        <f aca="false">BD3809*M3809</f>
        <v>0</v>
      </c>
      <c r="BG3809" s="35" t="n">
        <f aca="false">BA3809-BF3809</f>
        <v>0</v>
      </c>
      <c r="BH3809" s="19" t="str">
        <f aca="false">IF(BG3809=0,"",IF(BG3809&lt;&gt;BA3809,"erreur de calcul",IF(BD3809&lt;&gt;0,"pas de prix",IF(M3809&lt;&gt; 0,"pas de quantité","pas de prix, ni de quantité"))))</f>
        <v/>
      </c>
      <c r="BI3809" s="19"/>
    </row>
    <row r="3810" customFormat="false" ht="15" hidden="false" customHeight="false" outlineLevel="0" collapsed="false">
      <c r="A3810" s="0" t="n">
        <v>10</v>
      </c>
      <c r="B3810" s="8" t="s">
        <v>24</v>
      </c>
      <c r="C3810" s="9" t="s">
        <v>25</v>
      </c>
      <c r="D3810" s="9" t="s">
        <v>26</v>
      </c>
      <c r="E3810" s="10" t="n">
        <v>1789</v>
      </c>
      <c r="F3810" s="9" t="s">
        <v>27</v>
      </c>
      <c r="G3810" s="9" t="s">
        <v>27</v>
      </c>
      <c r="H3810" s="11" t="n">
        <v>26</v>
      </c>
      <c r="I3810" s="11" t="s">
        <v>381</v>
      </c>
      <c r="J3810" s="14" t="n">
        <v>40</v>
      </c>
      <c r="K3810" s="14"/>
      <c r="L3810" s="16"/>
      <c r="M3810" s="27" t="n">
        <f aca="false">J3810+(K3810/20)+(L3810/240)</f>
        <v>40</v>
      </c>
      <c r="N3810" s="17" t="s">
        <v>382</v>
      </c>
      <c r="O3810" s="11" t="s">
        <v>98</v>
      </c>
      <c r="P3810" s="28"/>
      <c r="Q3810" s="28" t="n">
        <f aca="false">P3810*$M3810</f>
        <v>0</v>
      </c>
      <c r="R3810" s="28"/>
      <c r="S3810" s="28" t="n">
        <f aca="false">R3810*$M3810</f>
        <v>0</v>
      </c>
      <c r="T3810" s="28"/>
      <c r="U3810" s="28" t="n">
        <f aca="false">T3810*$M3810</f>
        <v>0</v>
      </c>
      <c r="V3810" s="28"/>
      <c r="W3810" s="28" t="n">
        <f aca="false">V3810*$M3810</f>
        <v>0</v>
      </c>
      <c r="X3810" s="28"/>
      <c r="Y3810" s="28" t="n">
        <f aca="false">X3810*$M3810</f>
        <v>0</v>
      </c>
      <c r="Z3810" s="28"/>
      <c r="AA3810" s="28" t="n">
        <f aca="false">Z3810*$M3810</f>
        <v>0</v>
      </c>
      <c r="AB3810" s="28"/>
      <c r="AC3810" s="28" t="n">
        <f aca="false">AB3810*$M3810</f>
        <v>0</v>
      </c>
      <c r="AD3810" s="28"/>
      <c r="AE3810" s="28" t="n">
        <f aca="false">AD3810*$M3810</f>
        <v>0</v>
      </c>
      <c r="AF3810" s="28"/>
      <c r="AG3810" s="28" t="n">
        <f aca="false">AF3810*$M3810</f>
        <v>0</v>
      </c>
      <c r="AH3810" s="28"/>
      <c r="AI3810" s="28" t="n">
        <f aca="false">AH3810*$M3810</f>
        <v>0</v>
      </c>
      <c r="AJ3810" s="28"/>
      <c r="AK3810" s="28" t="n">
        <f aca="false">AJ3810*$M3810</f>
        <v>0</v>
      </c>
      <c r="AL3810" s="28"/>
      <c r="AM3810" s="28" t="n">
        <f aca="false">AL3810*$M3810</f>
        <v>0</v>
      </c>
      <c r="AN3810" s="28"/>
      <c r="AO3810" s="28" t="n">
        <f aca="false">AN3810*$M3810</f>
        <v>0</v>
      </c>
      <c r="AP3810" s="28"/>
      <c r="AQ3810" s="28" t="n">
        <f aca="false">AP3810*$M3810</f>
        <v>0</v>
      </c>
      <c r="AR3810" s="28"/>
      <c r="AS3810" s="28" t="n">
        <f aca="false">AR3810*$M3810</f>
        <v>0</v>
      </c>
      <c r="AT3810" s="28"/>
      <c r="AU3810" s="28" t="n">
        <f aca="false">AT3810*$M3810</f>
        <v>0</v>
      </c>
      <c r="AV3810" s="28"/>
      <c r="AW3810" s="28" t="n">
        <f aca="false">AV3810*$M3810</f>
        <v>0</v>
      </c>
      <c r="AX3810" s="28"/>
      <c r="AY3810" s="28" t="n">
        <f aca="false">AX3810*$M3810</f>
        <v>0</v>
      </c>
      <c r="AZ3810" s="30"/>
      <c r="BA3810" s="11"/>
      <c r="BB3810" s="31" t="n">
        <f aca="false">SUM(Q3810,S3810,U3810,W3810,Y3810,AA3810,AC3810,AE3810,AG3810,AI3810,AK3810,AM3810,AO3810,AQ3810,AS3810,AU3810,AW3810,AY3810)</f>
        <v>0</v>
      </c>
      <c r="BC3810" s="28" t="n">
        <f aca="false">BA3810-BB3810</f>
        <v>0</v>
      </c>
      <c r="BD3810" s="32" t="n">
        <f aca="false">SUM(P3810,R3810,T3810,V3810,X3810,Z3810,AB3810,AD3810,AF3810,AH3810,AJ3810,AL3810,AN3810,AP3810,AR3810,AT3810,AV3810,AX3810)</f>
        <v>0</v>
      </c>
      <c r="BE3810" s="33" t="n">
        <f aca="false">AZ3810-BD3810</f>
        <v>0</v>
      </c>
      <c r="BF3810" s="34" t="n">
        <f aca="false">BD3810*M3810</f>
        <v>0</v>
      </c>
      <c r="BG3810" s="35" t="n">
        <f aca="false">BA3810-BF3810</f>
        <v>0</v>
      </c>
      <c r="BH3810" s="19" t="str">
        <f aca="false">IF(BG3810=0,"",IF(BG3810&lt;&gt;BA3810,"erreur de calcul",IF(BD3810&lt;&gt;0,"pas de prix",IF(M3810&lt;&gt; 0,"pas de quantité","pas de prix, ni de quantité"))))</f>
        <v/>
      </c>
      <c r="BI3810" s="19"/>
    </row>
    <row r="3811" customFormat="false" ht="15" hidden="false" customHeight="false" outlineLevel="0" collapsed="false">
      <c r="A3811" s="0" t="n">
        <v>11</v>
      </c>
      <c r="B3811" s="8" t="s">
        <v>24</v>
      </c>
      <c r="C3811" s="9" t="s">
        <v>25</v>
      </c>
      <c r="D3811" s="9" t="s">
        <v>26</v>
      </c>
      <c r="E3811" s="10" t="n">
        <v>1789</v>
      </c>
      <c r="F3811" s="9" t="s">
        <v>27</v>
      </c>
      <c r="G3811" s="9" t="s">
        <v>27</v>
      </c>
      <c r="H3811" s="11" t="n">
        <v>26</v>
      </c>
      <c r="I3811" s="11" t="s">
        <v>383</v>
      </c>
      <c r="J3811" s="14" t="n">
        <v>50</v>
      </c>
      <c r="K3811" s="14"/>
      <c r="L3811" s="16"/>
      <c r="M3811" s="27" t="n">
        <f aca="false">J3811+(K3811/20)+(L3811/240)</f>
        <v>50</v>
      </c>
      <c r="N3811" s="17" t="s">
        <v>64</v>
      </c>
      <c r="O3811" s="11"/>
      <c r="P3811" s="28" t="n">
        <f aca="false">54967/100</f>
        <v>549.67</v>
      </c>
      <c r="Q3811" s="28" t="n">
        <v>27483</v>
      </c>
      <c r="R3811" s="28"/>
      <c r="S3811" s="28" t="n">
        <f aca="false">R3811*$M3811</f>
        <v>0</v>
      </c>
      <c r="T3811" s="28" t="n">
        <f aca="false">74693/100</f>
        <v>746.93</v>
      </c>
      <c r="U3811" s="28" t="n">
        <v>37346</v>
      </c>
      <c r="V3811" s="28" t="n">
        <f aca="false">161729/100</f>
        <v>1617.29</v>
      </c>
      <c r="W3811" s="28" t="n">
        <v>80864</v>
      </c>
      <c r="X3811" s="28" t="n">
        <f aca="false">106689/100</f>
        <v>1066.89</v>
      </c>
      <c r="Y3811" s="28" t="n">
        <v>53344</v>
      </c>
      <c r="Z3811" s="28"/>
      <c r="AA3811" s="28" t="n">
        <f aca="false">Z3811*$M3811</f>
        <v>0</v>
      </c>
      <c r="AB3811" s="28"/>
      <c r="AC3811" s="28" t="n">
        <f aca="false">AB3811*$M3811</f>
        <v>0</v>
      </c>
      <c r="AD3811" s="28"/>
      <c r="AE3811" s="28" t="n">
        <f aca="false">AD3811*$M3811</f>
        <v>0</v>
      </c>
      <c r="AF3811" s="28"/>
      <c r="AG3811" s="28" t="n">
        <f aca="false">AF3811*$M3811</f>
        <v>0</v>
      </c>
      <c r="AH3811" s="28"/>
      <c r="AI3811" s="28" t="n">
        <f aca="false">AH3811*$M3811</f>
        <v>0</v>
      </c>
      <c r="AJ3811" s="28"/>
      <c r="AK3811" s="28" t="n">
        <f aca="false">AJ3811*$M3811</f>
        <v>0</v>
      </c>
      <c r="AL3811" s="28"/>
      <c r="AM3811" s="28" t="n">
        <f aca="false">AL3811*$M3811</f>
        <v>0</v>
      </c>
      <c r="AN3811" s="28"/>
      <c r="AO3811" s="28" t="n">
        <f aca="false">AN3811*$M3811</f>
        <v>0</v>
      </c>
      <c r="AP3811" s="28"/>
      <c r="AQ3811" s="28" t="n">
        <f aca="false">AP3811*$M3811</f>
        <v>0</v>
      </c>
      <c r="AR3811" s="28"/>
      <c r="AS3811" s="28" t="n">
        <f aca="false">AR3811*$M3811</f>
        <v>0</v>
      </c>
      <c r="AT3811" s="28"/>
      <c r="AU3811" s="28" t="n">
        <f aca="false">AT3811*$M3811</f>
        <v>0</v>
      </c>
      <c r="AV3811" s="28"/>
      <c r="AW3811" s="28" t="n">
        <f aca="false">AV3811*$M3811</f>
        <v>0</v>
      </c>
      <c r="AX3811" s="28"/>
      <c r="AY3811" s="28" t="n">
        <f aca="false">AX3811*$M3811</f>
        <v>0</v>
      </c>
      <c r="AZ3811" s="30" t="n">
        <f aca="false">398078/100</f>
        <v>3980.78</v>
      </c>
      <c r="BA3811" s="11" t="n">
        <v>199037</v>
      </c>
      <c r="BB3811" s="31" t="n">
        <f aca="false">SUM(Q3811,S3811,U3811,W3811,Y3811,AA3811,AC3811,AE3811,AG3811,AI3811,AK3811,AM3811,AO3811,AQ3811,AS3811,AU3811,AW3811,AY3811)</f>
        <v>199037</v>
      </c>
      <c r="BC3811" s="28" t="n">
        <f aca="false">BA3811-BB3811</f>
        <v>0</v>
      </c>
      <c r="BD3811" s="32" t="n">
        <f aca="false">SUM(P3811,R3811,T3811,V3811,X3811,Z3811,AB3811,AD3811,AF3811,AH3811,AJ3811,AL3811,AN3811,AP3811,AR3811,AT3811,AV3811,AX3811)</f>
        <v>3980.78</v>
      </c>
      <c r="BE3811" s="33" t="n">
        <f aca="false">AZ3811-BD3811</f>
        <v>0</v>
      </c>
      <c r="BF3811" s="34" t="n">
        <f aca="false">BD3811*M3811</f>
        <v>199039</v>
      </c>
      <c r="BG3811" s="35" t="n">
        <f aca="false">BA3811-BF3811</f>
        <v>-2</v>
      </c>
      <c r="BH3811" s="19" t="str">
        <f aca="false">IF(BG3811=0,"",IF(BG3811&lt;&gt;BA3811,"erreur de calcul",IF(BD3811&lt;&gt;0,"pas de prix",IF(M3811&lt;&gt; 0,"pas de quantité","pas de prix, ni de quantité"))))</f>
        <v>erreur de calcul</v>
      </c>
      <c r="BI3811" s="19"/>
    </row>
    <row r="3812" customFormat="false" ht="15" hidden="false" customHeight="false" outlineLevel="0" collapsed="false">
      <c r="A3812" s="0" t="n">
        <v>12</v>
      </c>
      <c r="B3812" s="8" t="s">
        <v>24</v>
      </c>
      <c r="C3812" s="9" t="s">
        <v>25</v>
      </c>
      <c r="D3812" s="9" t="s">
        <v>26</v>
      </c>
      <c r="E3812" s="10" t="n">
        <v>1789</v>
      </c>
      <c r="F3812" s="9" t="s">
        <v>27</v>
      </c>
      <c r="G3812" s="9" t="s">
        <v>27</v>
      </c>
      <c r="H3812" s="11" t="n">
        <v>26</v>
      </c>
      <c r="I3812" s="11" t="s">
        <v>384</v>
      </c>
      <c r="J3812" s="14" t="n">
        <v>27</v>
      </c>
      <c r="K3812" s="14"/>
      <c r="L3812" s="16"/>
      <c r="M3812" s="27" t="n">
        <f aca="false">J3812+(K3812/20)+(L3812/240)</f>
        <v>27</v>
      </c>
      <c r="N3812" s="17" t="s">
        <v>64</v>
      </c>
      <c r="O3812" s="11"/>
      <c r="P3812" s="28"/>
      <c r="Q3812" s="28" t="n">
        <f aca="false">P3812*$M3812</f>
        <v>0</v>
      </c>
      <c r="R3812" s="28"/>
      <c r="S3812" s="28" t="n">
        <f aca="false">R3812*$M3812</f>
        <v>0</v>
      </c>
      <c r="T3812" s="28"/>
      <c r="U3812" s="28" t="n">
        <f aca="false">T3812*$M3812</f>
        <v>0</v>
      </c>
      <c r="V3812" s="28"/>
      <c r="W3812" s="28" t="n">
        <f aca="false">V3812*$M3812</f>
        <v>0</v>
      </c>
      <c r="X3812" s="28" t="n">
        <f aca="false">13334/100</f>
        <v>133.34</v>
      </c>
      <c r="Y3812" s="28" t="n">
        <v>3600</v>
      </c>
      <c r="Z3812" s="28"/>
      <c r="AA3812" s="28" t="n">
        <f aca="false">Z3812*$M3812</f>
        <v>0</v>
      </c>
      <c r="AB3812" s="28"/>
      <c r="AC3812" s="28" t="n">
        <f aca="false">AB3812*$M3812</f>
        <v>0</v>
      </c>
      <c r="AD3812" s="28"/>
      <c r="AE3812" s="28" t="n">
        <f aca="false">AD3812*$M3812</f>
        <v>0</v>
      </c>
      <c r="AF3812" s="28"/>
      <c r="AG3812" s="28" t="n">
        <f aca="false">AF3812*$M3812</f>
        <v>0</v>
      </c>
      <c r="AH3812" s="28"/>
      <c r="AI3812" s="28" t="n">
        <f aca="false">AH3812*$M3812</f>
        <v>0</v>
      </c>
      <c r="AJ3812" s="28"/>
      <c r="AK3812" s="28" t="n">
        <f aca="false">AJ3812*$M3812</f>
        <v>0</v>
      </c>
      <c r="AL3812" s="28"/>
      <c r="AM3812" s="28" t="n">
        <f aca="false">AL3812*$M3812</f>
        <v>0</v>
      </c>
      <c r="AN3812" s="28"/>
      <c r="AO3812" s="28" t="n">
        <f aca="false">AN3812*$M3812</f>
        <v>0</v>
      </c>
      <c r="AP3812" s="28"/>
      <c r="AQ3812" s="28" t="n">
        <f aca="false">AP3812*$M3812</f>
        <v>0</v>
      </c>
      <c r="AR3812" s="28"/>
      <c r="AS3812" s="28" t="n">
        <f aca="false">AR3812*$M3812</f>
        <v>0</v>
      </c>
      <c r="AT3812" s="28"/>
      <c r="AU3812" s="28" t="n">
        <f aca="false">AT3812*$M3812</f>
        <v>0</v>
      </c>
      <c r="AV3812" s="28"/>
      <c r="AW3812" s="28" t="n">
        <f aca="false">AV3812*$M3812</f>
        <v>0</v>
      </c>
      <c r="AX3812" s="28"/>
      <c r="AY3812" s="28" t="n">
        <f aca="false">AX3812*$M3812</f>
        <v>0</v>
      </c>
      <c r="AZ3812" s="30" t="n">
        <f aca="false">13334/100</f>
        <v>133.34</v>
      </c>
      <c r="BA3812" s="11" t="n">
        <v>3600</v>
      </c>
      <c r="BB3812" s="31" t="n">
        <f aca="false">SUM(Q3812,S3812,U3812,W3812,Y3812,AA3812,AC3812,AE3812,AG3812,AI3812,AK3812,AM3812,AO3812,AQ3812,AS3812,AU3812,AW3812,AY3812)</f>
        <v>3600</v>
      </c>
      <c r="BC3812" s="28" t="n">
        <f aca="false">BA3812-BB3812</f>
        <v>0</v>
      </c>
      <c r="BD3812" s="32" t="n">
        <f aca="false">SUM(P3812,R3812,T3812,V3812,X3812,Z3812,AB3812,AD3812,AF3812,AH3812,AJ3812,AL3812,AN3812,AP3812,AR3812,AT3812,AV3812,AX3812)</f>
        <v>133.34</v>
      </c>
      <c r="BE3812" s="33" t="n">
        <f aca="false">AZ3812-BD3812</f>
        <v>0</v>
      </c>
      <c r="BF3812" s="34" t="n">
        <f aca="false">BD3812*M3812</f>
        <v>3600.18</v>
      </c>
      <c r="BG3812" s="35" t="n">
        <f aca="false">BA3812-BF3812</f>
        <v>-0.180000000000291</v>
      </c>
      <c r="BH3812" s="19" t="str">
        <f aca="false">IF(BG3812=0,"",IF(BG3812&lt;&gt;BA3812,"erreur de calcul",IF(BD3812&lt;&gt;0,"pas de prix",IF(M3812&lt;&gt; 0,"pas de quantité","pas de prix, ni de quantité"))))</f>
        <v>erreur de calcul</v>
      </c>
      <c r="BI3812" s="19"/>
    </row>
    <row r="3813" customFormat="false" ht="15" hidden="false" customHeight="false" outlineLevel="0" collapsed="false">
      <c r="A3813" s="0" t="n">
        <v>13</v>
      </c>
      <c r="B3813" s="8" t="s">
        <v>24</v>
      </c>
      <c r="C3813" s="9" t="s">
        <v>25</v>
      </c>
      <c r="D3813" s="9" t="s">
        <v>26</v>
      </c>
      <c r="E3813" s="10" t="n">
        <v>1789</v>
      </c>
      <c r="F3813" s="9" t="s">
        <v>27</v>
      </c>
      <c r="G3813" s="9" t="s">
        <v>27</v>
      </c>
      <c r="H3813" s="11" t="n">
        <v>26</v>
      </c>
      <c r="I3813" s="11" t="s">
        <v>385</v>
      </c>
      <c r="J3813" s="14" t="n">
        <v>40</v>
      </c>
      <c r="K3813" s="14"/>
      <c r="L3813" s="16"/>
      <c r="M3813" s="27" t="n">
        <f aca="false">J3813+(K3813/20)+(L3813/240)</f>
        <v>40</v>
      </c>
      <c r="N3813" s="17" t="s">
        <v>64</v>
      </c>
      <c r="O3813" s="11"/>
      <c r="P3813" s="28"/>
      <c r="Q3813" s="28" t="n">
        <f aca="false">P3813*$M3813</f>
        <v>0</v>
      </c>
      <c r="R3813" s="28"/>
      <c r="S3813" s="28" t="n">
        <f aca="false">R3813*$M3813</f>
        <v>0</v>
      </c>
      <c r="T3813" s="28" t="n">
        <f aca="false">13801/100</f>
        <v>138.01</v>
      </c>
      <c r="U3813" s="28" t="n">
        <v>5520</v>
      </c>
      <c r="V3813" s="28"/>
      <c r="W3813" s="28" t="n">
        <f aca="false">V3813*$M3813</f>
        <v>0</v>
      </c>
      <c r="X3813" s="28"/>
      <c r="Y3813" s="28" t="n">
        <f aca="false">X3813*$M3813</f>
        <v>0</v>
      </c>
      <c r="Z3813" s="28"/>
      <c r="AA3813" s="28" t="n">
        <f aca="false">Z3813*$M3813</f>
        <v>0</v>
      </c>
      <c r="AB3813" s="28"/>
      <c r="AC3813" s="28" t="n">
        <f aca="false">AB3813*$M3813</f>
        <v>0</v>
      </c>
      <c r="AD3813" s="28"/>
      <c r="AE3813" s="28" t="n">
        <f aca="false">AD3813*$M3813</f>
        <v>0</v>
      </c>
      <c r="AF3813" s="28"/>
      <c r="AG3813" s="28" t="n">
        <f aca="false">AF3813*$M3813</f>
        <v>0</v>
      </c>
      <c r="AH3813" s="28"/>
      <c r="AI3813" s="28" t="n">
        <f aca="false">AH3813*$M3813</f>
        <v>0</v>
      </c>
      <c r="AJ3813" s="28"/>
      <c r="AK3813" s="28" t="n">
        <f aca="false">AJ3813*$M3813</f>
        <v>0</v>
      </c>
      <c r="AL3813" s="28"/>
      <c r="AM3813" s="28" t="n">
        <f aca="false">AL3813*$M3813</f>
        <v>0</v>
      </c>
      <c r="AN3813" s="28"/>
      <c r="AO3813" s="28" t="n">
        <f aca="false">AN3813*$M3813</f>
        <v>0</v>
      </c>
      <c r="AP3813" s="28"/>
      <c r="AQ3813" s="28" t="n">
        <f aca="false">AP3813*$M3813</f>
        <v>0</v>
      </c>
      <c r="AR3813" s="28"/>
      <c r="AS3813" s="28" t="n">
        <f aca="false">AR3813*$M3813</f>
        <v>0</v>
      </c>
      <c r="AT3813" s="28"/>
      <c r="AU3813" s="28" t="n">
        <f aca="false">AT3813*$M3813</f>
        <v>0</v>
      </c>
      <c r="AV3813" s="28"/>
      <c r="AW3813" s="28" t="n">
        <f aca="false">AV3813*$M3813</f>
        <v>0</v>
      </c>
      <c r="AX3813" s="28"/>
      <c r="AY3813" s="28" t="n">
        <f aca="false">AX3813*$M3813</f>
        <v>0</v>
      </c>
      <c r="AZ3813" s="30" t="n">
        <f aca="false">13801/100</f>
        <v>138.01</v>
      </c>
      <c r="BA3813" s="11" t="n">
        <v>5520</v>
      </c>
      <c r="BB3813" s="31" t="n">
        <f aca="false">SUM(Q3813,S3813,U3813,W3813,Y3813,AA3813,AC3813,AE3813,AG3813,AI3813,AK3813,AM3813,AO3813,AQ3813,AS3813,AU3813,AW3813,AY3813)</f>
        <v>5520</v>
      </c>
      <c r="BC3813" s="28" t="n">
        <f aca="false">BA3813-BB3813</f>
        <v>0</v>
      </c>
      <c r="BD3813" s="32" t="n">
        <f aca="false">SUM(P3813,R3813,T3813,V3813,X3813,Z3813,AB3813,AD3813,AF3813,AH3813,AJ3813,AL3813,AN3813,AP3813,AR3813,AT3813,AV3813,AX3813)</f>
        <v>138.01</v>
      </c>
      <c r="BE3813" s="33" t="n">
        <f aca="false">AZ3813-BD3813</f>
        <v>0</v>
      </c>
      <c r="BF3813" s="34" t="n">
        <f aca="false">BD3813*M3813</f>
        <v>5520.4</v>
      </c>
      <c r="BG3813" s="35" t="n">
        <f aca="false">BA3813-BF3813</f>
        <v>-0.399999999999636</v>
      </c>
      <c r="BH3813" s="19" t="str">
        <f aca="false">IF(BG3813=0,"",IF(BG3813&lt;&gt;BA3813,"erreur de calcul",IF(BD3813&lt;&gt;0,"pas de prix",IF(M3813&lt;&gt; 0,"pas de quantité","pas de prix, ni de quantité"))))</f>
        <v>erreur de calcul</v>
      </c>
      <c r="BI3813" s="19"/>
    </row>
    <row r="3814" customFormat="false" ht="15" hidden="false" customHeight="false" outlineLevel="0" collapsed="false">
      <c r="A3814" s="0" t="n">
        <v>14</v>
      </c>
      <c r="B3814" s="8" t="s">
        <v>24</v>
      </c>
      <c r="C3814" s="9" t="s">
        <v>25</v>
      </c>
      <c r="D3814" s="9" t="s">
        <v>26</v>
      </c>
      <c r="E3814" s="10" t="n">
        <v>1789</v>
      </c>
      <c r="F3814" s="9" t="s">
        <v>27</v>
      </c>
      <c r="G3814" s="9" t="s">
        <v>27</v>
      </c>
      <c r="H3814" s="11" t="n">
        <v>26</v>
      </c>
      <c r="I3814" s="11" t="s">
        <v>386</v>
      </c>
      <c r="J3814" s="14" t="n">
        <v>10</v>
      </c>
      <c r="K3814" s="14"/>
      <c r="L3814" s="16"/>
      <c r="M3814" s="27" t="n">
        <f aca="false">J3814+(K3814/20)+(L3814/240)</f>
        <v>10</v>
      </c>
      <c r="N3814" s="17" t="s">
        <v>387</v>
      </c>
      <c r="O3814" s="11" t="s">
        <v>77</v>
      </c>
      <c r="P3814" s="28" t="n">
        <v>30740</v>
      </c>
      <c r="Q3814" s="28" t="n">
        <v>307400</v>
      </c>
      <c r="R3814" s="28"/>
      <c r="S3814" s="28" t="n">
        <f aca="false">R3814*$M3814</f>
        <v>0</v>
      </c>
      <c r="T3814" s="28" t="n">
        <v>1357</v>
      </c>
      <c r="U3814" s="28" t="n">
        <v>13570</v>
      </c>
      <c r="V3814" s="28" t="n">
        <v>115</v>
      </c>
      <c r="W3814" s="28" t="n">
        <v>1150</v>
      </c>
      <c r="X3814" s="28"/>
      <c r="Y3814" s="28" t="n">
        <f aca="false">X3814*$M3814</f>
        <v>0</v>
      </c>
      <c r="Z3814" s="28"/>
      <c r="AA3814" s="28" t="n">
        <f aca="false">Z3814*$M3814</f>
        <v>0</v>
      </c>
      <c r="AB3814" s="28"/>
      <c r="AC3814" s="28" t="n">
        <f aca="false">AB3814*$M3814</f>
        <v>0</v>
      </c>
      <c r="AD3814" s="28"/>
      <c r="AE3814" s="28" t="n">
        <f aca="false">AD3814*$M3814</f>
        <v>0</v>
      </c>
      <c r="AF3814" s="28"/>
      <c r="AG3814" s="28" t="n">
        <f aca="false">AF3814*$M3814</f>
        <v>0</v>
      </c>
      <c r="AH3814" s="28"/>
      <c r="AI3814" s="28" t="n">
        <f aca="false">AH3814*$M3814</f>
        <v>0</v>
      </c>
      <c r="AJ3814" s="28"/>
      <c r="AK3814" s="28" t="n">
        <f aca="false">AJ3814*$M3814</f>
        <v>0</v>
      </c>
      <c r="AL3814" s="28"/>
      <c r="AM3814" s="28" t="n">
        <f aca="false">AL3814*$M3814</f>
        <v>0</v>
      </c>
      <c r="AN3814" s="28"/>
      <c r="AO3814" s="28" t="n">
        <f aca="false">AN3814*$M3814</f>
        <v>0</v>
      </c>
      <c r="AP3814" s="28"/>
      <c r="AQ3814" s="28" t="n">
        <f aca="false">AP3814*$M3814</f>
        <v>0</v>
      </c>
      <c r="AR3814" s="28"/>
      <c r="AS3814" s="28" t="n">
        <f aca="false">AR3814*$M3814</f>
        <v>0</v>
      </c>
      <c r="AT3814" s="28"/>
      <c r="AU3814" s="28" t="n">
        <f aca="false">AT3814*$M3814</f>
        <v>0</v>
      </c>
      <c r="AV3814" s="28"/>
      <c r="AW3814" s="28" t="n">
        <f aca="false">AV3814*$M3814</f>
        <v>0</v>
      </c>
      <c r="AX3814" s="28"/>
      <c r="AY3814" s="28" t="n">
        <f aca="false">AX3814*$M3814</f>
        <v>0</v>
      </c>
      <c r="AZ3814" s="30" t="n">
        <f aca="false">32212/100</f>
        <v>322.12</v>
      </c>
      <c r="BA3814" s="11" t="n">
        <v>322120</v>
      </c>
      <c r="BB3814" s="31" t="n">
        <f aca="false">SUM(Q3814,S3814,U3814,W3814,Y3814,AA3814,AC3814,AE3814,AG3814,AI3814,AK3814,AM3814,AO3814,AQ3814,AS3814,AU3814,AW3814,AY3814)</f>
        <v>322120</v>
      </c>
      <c r="BC3814" s="28" t="n">
        <f aca="false">BA3814-BB3814</f>
        <v>0</v>
      </c>
      <c r="BD3814" s="32" t="n">
        <f aca="false">SUM(P3814,R3814,T3814,V3814,X3814,Z3814,AB3814,AD3814,AF3814,AH3814,AJ3814,AL3814,AN3814,AP3814,AR3814,AT3814,AV3814,AX3814)</f>
        <v>32212</v>
      </c>
      <c r="BE3814" s="33" t="n">
        <f aca="false">AZ3814-BD3814</f>
        <v>-31889.88</v>
      </c>
      <c r="BF3814" s="34" t="n">
        <f aca="false">BD3814*M3814</f>
        <v>322120</v>
      </c>
      <c r="BG3814" s="35" t="n">
        <f aca="false">BA3814-BF3814</f>
        <v>0</v>
      </c>
      <c r="BH3814" s="19" t="str">
        <f aca="false">IF(BG3814=0,"",IF(BG3814&lt;&gt;BA3814,"erreur de calcul",IF(BD3814&lt;&gt;0,"pas de prix",IF(M3814&lt;&gt; 0,"pas de quantité","pas de prix, ni de quantité"))))</f>
        <v/>
      </c>
      <c r="BI3814" s="19"/>
    </row>
    <row r="3815" customFormat="false" ht="15" hidden="false" customHeight="false" outlineLevel="0" collapsed="false">
      <c r="A3815" s="0" t="n">
        <v>15</v>
      </c>
      <c r="B3815" s="8" t="s">
        <v>24</v>
      </c>
      <c r="C3815" s="9" t="s">
        <v>25</v>
      </c>
      <c r="D3815" s="9" t="s">
        <v>26</v>
      </c>
      <c r="E3815" s="10" t="n">
        <v>1789</v>
      </c>
      <c r="F3815" s="9" t="s">
        <v>27</v>
      </c>
      <c r="G3815" s="9" t="s">
        <v>27</v>
      </c>
      <c r="H3815" s="11" t="n">
        <v>26</v>
      </c>
      <c r="I3815" s="11" t="s">
        <v>385</v>
      </c>
      <c r="J3815" s="14" t="n">
        <v>60</v>
      </c>
      <c r="K3815" s="14"/>
      <c r="L3815" s="16"/>
      <c r="M3815" s="27" t="n">
        <f aca="false">J3815+(K3815/20)+(L3815/240)</f>
        <v>60</v>
      </c>
      <c r="N3815" s="17" t="s">
        <v>64</v>
      </c>
      <c r="O3815" s="11"/>
      <c r="P3815" s="28"/>
      <c r="Q3815" s="28" t="n">
        <f aca="false">P3815*$M3815</f>
        <v>0</v>
      </c>
      <c r="R3815" s="28"/>
      <c r="S3815" s="28" t="n">
        <f aca="false">R3815*$M3815</f>
        <v>0</v>
      </c>
      <c r="T3815" s="28" t="n">
        <f aca="false">204759/100</f>
        <v>2047.59</v>
      </c>
      <c r="U3815" s="28" t="n">
        <v>122855</v>
      </c>
      <c r="V3815" s="28"/>
      <c r="W3815" s="28" t="n">
        <f aca="false">V3815*$M3815</f>
        <v>0</v>
      </c>
      <c r="X3815" s="28"/>
      <c r="Y3815" s="28" t="n">
        <f aca="false">X3815*$M3815</f>
        <v>0</v>
      </c>
      <c r="Z3815" s="28"/>
      <c r="AA3815" s="28" t="n">
        <f aca="false">Z3815*$M3815</f>
        <v>0</v>
      </c>
      <c r="AB3815" s="28"/>
      <c r="AC3815" s="28" t="n">
        <f aca="false">AB3815*$M3815</f>
        <v>0</v>
      </c>
      <c r="AD3815" s="28"/>
      <c r="AE3815" s="28" t="n">
        <f aca="false">AD3815*$M3815</f>
        <v>0</v>
      </c>
      <c r="AF3815" s="28"/>
      <c r="AG3815" s="28" t="n">
        <f aca="false">AF3815*$M3815</f>
        <v>0</v>
      </c>
      <c r="AH3815" s="28"/>
      <c r="AI3815" s="28" t="n">
        <f aca="false">AH3815*$M3815</f>
        <v>0</v>
      </c>
      <c r="AJ3815" s="28"/>
      <c r="AK3815" s="28" t="n">
        <f aca="false">AJ3815*$M3815</f>
        <v>0</v>
      </c>
      <c r="AL3815" s="28"/>
      <c r="AM3815" s="28" t="n">
        <f aca="false">AL3815*$M3815</f>
        <v>0</v>
      </c>
      <c r="AN3815" s="28"/>
      <c r="AO3815" s="28" t="n">
        <f aca="false">AN3815*$M3815</f>
        <v>0</v>
      </c>
      <c r="AP3815" s="28"/>
      <c r="AQ3815" s="28" t="n">
        <f aca="false">AP3815*$M3815</f>
        <v>0</v>
      </c>
      <c r="AR3815" s="28"/>
      <c r="AS3815" s="28" t="n">
        <f aca="false">AR3815*$M3815</f>
        <v>0</v>
      </c>
      <c r="AT3815" s="28"/>
      <c r="AU3815" s="28" t="n">
        <f aca="false">AT3815*$M3815</f>
        <v>0</v>
      </c>
      <c r="AV3815" s="28"/>
      <c r="AW3815" s="28" t="n">
        <f aca="false">AV3815*$M3815</f>
        <v>0</v>
      </c>
      <c r="AX3815" s="28"/>
      <c r="AY3815" s="28" t="n">
        <f aca="false">AX3815*$M3815</f>
        <v>0</v>
      </c>
      <c r="AZ3815" s="30" t="n">
        <f aca="false">204759/100</f>
        <v>2047.59</v>
      </c>
      <c r="BA3815" s="11" t="n">
        <v>122855</v>
      </c>
      <c r="BB3815" s="31" t="n">
        <f aca="false">SUM(Q3815,S3815,U3815,W3815,Y3815,AA3815,AC3815,AE3815,AG3815,AI3815,AK3815,AM3815,AO3815,AQ3815,AS3815,AU3815,AW3815,AY3815)</f>
        <v>122855</v>
      </c>
      <c r="BC3815" s="28" t="n">
        <f aca="false">BA3815-BB3815</f>
        <v>0</v>
      </c>
      <c r="BD3815" s="32" t="n">
        <f aca="false">SUM(P3815,R3815,T3815,V3815,X3815,Z3815,AB3815,AD3815,AF3815,AH3815,AJ3815,AL3815,AN3815,AP3815,AR3815,AT3815,AV3815,AX3815)</f>
        <v>2047.59</v>
      </c>
      <c r="BE3815" s="33" t="n">
        <f aca="false">AZ3815-BD3815</f>
        <v>0</v>
      </c>
      <c r="BF3815" s="34" t="n">
        <f aca="false">BD3815*M3815</f>
        <v>122855.4</v>
      </c>
      <c r="BG3815" s="35" t="n">
        <f aca="false">BA3815-BF3815</f>
        <v>-0.399999999994179</v>
      </c>
      <c r="BH3815" s="19" t="str">
        <f aca="false">IF(BG3815=0,"",IF(BG3815&lt;&gt;BA3815,"erreur de calcul",IF(BD3815&lt;&gt;0,"pas de prix",IF(M3815&lt;&gt; 0,"pas de quantité","pas de prix, ni de quantité"))))</f>
        <v>erreur de calcul</v>
      </c>
      <c r="BI3815" s="19"/>
    </row>
    <row r="3816" customFormat="false" ht="15" hidden="false" customHeight="false" outlineLevel="0" collapsed="false">
      <c r="A3816" s="0" t="n">
        <v>16</v>
      </c>
      <c r="B3816" s="8" t="s">
        <v>24</v>
      </c>
      <c r="C3816" s="9" t="s">
        <v>25</v>
      </c>
      <c r="D3816" s="9" t="s">
        <v>26</v>
      </c>
      <c r="E3816" s="10" t="n">
        <v>1789</v>
      </c>
      <c r="F3816" s="9" t="s">
        <v>27</v>
      </c>
      <c r="G3816" s="9" t="s">
        <v>27</v>
      </c>
      <c r="H3816" s="11" t="n">
        <v>26</v>
      </c>
      <c r="I3816" s="11" t="s">
        <v>388</v>
      </c>
      <c r="J3816" s="14" t="n">
        <v>4</v>
      </c>
      <c r="K3816" s="14" t="n">
        <v>10</v>
      </c>
      <c r="L3816" s="16"/>
      <c r="M3816" s="27" t="n">
        <f aca="false">J3816+(K3816/20)+(L3816/240)</f>
        <v>4.5</v>
      </c>
      <c r="N3816" s="17" t="s">
        <v>66</v>
      </c>
      <c r="O3816" s="11"/>
      <c r="P3816" s="28" t="n">
        <v>20973</v>
      </c>
      <c r="Q3816" s="28" t="n">
        <v>94378</v>
      </c>
      <c r="R3816" s="28"/>
      <c r="S3816" s="28" t="n">
        <f aca="false">R3816*$M3816</f>
        <v>0</v>
      </c>
      <c r="T3816" s="28"/>
      <c r="U3816" s="28" t="n">
        <f aca="false">T3816*$M3816</f>
        <v>0</v>
      </c>
      <c r="V3816" s="28"/>
      <c r="W3816" s="28" t="n">
        <f aca="false">V3816*$M3816</f>
        <v>0</v>
      </c>
      <c r="X3816" s="28"/>
      <c r="Y3816" s="28" t="n">
        <f aca="false">X3816*$M3816</f>
        <v>0</v>
      </c>
      <c r="Z3816" s="28"/>
      <c r="AA3816" s="28" t="n">
        <f aca="false">Z3816*$M3816</f>
        <v>0</v>
      </c>
      <c r="AB3816" s="28"/>
      <c r="AC3816" s="28" t="n">
        <f aca="false">AB3816*$M3816</f>
        <v>0</v>
      </c>
      <c r="AD3816" s="28"/>
      <c r="AE3816" s="28" t="n">
        <f aca="false">AD3816*$M3816</f>
        <v>0</v>
      </c>
      <c r="AF3816" s="28"/>
      <c r="AG3816" s="28" t="n">
        <f aca="false">AF3816*$M3816</f>
        <v>0</v>
      </c>
      <c r="AH3816" s="28"/>
      <c r="AI3816" s="28" t="n">
        <f aca="false">AH3816*$M3816</f>
        <v>0</v>
      </c>
      <c r="AJ3816" s="28"/>
      <c r="AK3816" s="28" t="n">
        <f aca="false">AJ3816*$M3816</f>
        <v>0</v>
      </c>
      <c r="AL3816" s="28"/>
      <c r="AM3816" s="28" t="n">
        <f aca="false">AL3816*$M3816</f>
        <v>0</v>
      </c>
      <c r="AN3816" s="28"/>
      <c r="AO3816" s="28" t="n">
        <f aca="false">AN3816*$M3816</f>
        <v>0</v>
      </c>
      <c r="AP3816" s="28"/>
      <c r="AQ3816" s="28" t="n">
        <f aca="false">AP3816*$M3816</f>
        <v>0</v>
      </c>
      <c r="AR3816" s="28"/>
      <c r="AS3816" s="28" t="n">
        <f aca="false">AR3816*$M3816</f>
        <v>0</v>
      </c>
      <c r="AT3816" s="28"/>
      <c r="AU3816" s="28" t="n">
        <f aca="false">AT3816*$M3816</f>
        <v>0</v>
      </c>
      <c r="AV3816" s="28"/>
      <c r="AW3816" s="28" t="n">
        <f aca="false">AV3816*$M3816</f>
        <v>0</v>
      </c>
      <c r="AX3816" s="28"/>
      <c r="AY3816" s="28" t="n">
        <f aca="false">AX3816*$M3816</f>
        <v>0</v>
      </c>
      <c r="AZ3816" s="30" t="n">
        <v>20973</v>
      </c>
      <c r="BA3816" s="11" t="n">
        <v>94378</v>
      </c>
      <c r="BB3816" s="31" t="n">
        <f aca="false">SUM(Q3816,S3816,U3816,W3816,Y3816,AA3816,AC3816,AE3816,AG3816,AI3816,AK3816,AM3816,AO3816,AQ3816,AS3816,AU3816,AW3816,AY3816)</f>
        <v>94378</v>
      </c>
      <c r="BC3816" s="28" t="n">
        <f aca="false">BA3816-BB3816</f>
        <v>0</v>
      </c>
      <c r="BD3816" s="32" t="n">
        <f aca="false">SUM(P3816,R3816,T3816,V3816,X3816,Z3816,AB3816,AD3816,AF3816,AH3816,AJ3816,AL3816,AN3816,AP3816,AR3816,AT3816,AV3816,AX3816)</f>
        <v>20973</v>
      </c>
      <c r="BE3816" s="33" t="n">
        <f aca="false">AZ3816-BD3816</f>
        <v>0</v>
      </c>
      <c r="BF3816" s="34" t="n">
        <f aca="false">BD3816*M3816</f>
        <v>94378.5</v>
      </c>
      <c r="BG3816" s="35" t="n">
        <f aca="false">BA3816-BF3816</f>
        <v>-0.5</v>
      </c>
      <c r="BH3816" s="19" t="str">
        <f aca="false">IF(BG3816=0,"",IF(BG3816&lt;&gt;BA3816,"erreur de calcul",IF(BD3816&lt;&gt;0,"pas de prix",IF(M3816&lt;&gt; 0,"pas de quantité","pas de prix, ni de quantité"))))</f>
        <v>erreur de calcul</v>
      </c>
      <c r="BI3816" s="19"/>
    </row>
    <row r="3817" customFormat="false" ht="15" hidden="false" customHeight="false" outlineLevel="0" collapsed="false">
      <c r="A3817" s="0" t="n">
        <v>17</v>
      </c>
      <c r="B3817" s="8" t="s">
        <v>24</v>
      </c>
      <c r="C3817" s="9" t="s">
        <v>25</v>
      </c>
      <c r="D3817" s="9" t="s">
        <v>26</v>
      </c>
      <c r="E3817" s="10" t="n">
        <v>1789</v>
      </c>
      <c r="F3817" s="9" t="s">
        <v>27</v>
      </c>
      <c r="G3817" s="9" t="s">
        <v>27</v>
      </c>
      <c r="H3817" s="11" t="n">
        <v>26</v>
      </c>
      <c r="I3817" s="11" t="s">
        <v>389</v>
      </c>
      <c r="J3817" s="14"/>
      <c r="K3817" s="14"/>
      <c r="L3817" s="16"/>
      <c r="M3817" s="27" t="n">
        <f aca="false">J3817+(K3817/20)+(L3817/240)</f>
        <v>0</v>
      </c>
      <c r="N3817" s="17"/>
      <c r="O3817" s="11" t="s">
        <v>277</v>
      </c>
      <c r="P3817" s="28"/>
      <c r="Q3817" s="28" t="n">
        <f aca="false">P3817*$M3817</f>
        <v>0</v>
      </c>
      <c r="R3817" s="28"/>
      <c r="S3817" s="28" t="n">
        <f aca="false">R3817*$M3817</f>
        <v>0</v>
      </c>
      <c r="T3817" s="28"/>
      <c r="U3817" s="28" t="n">
        <v>189</v>
      </c>
      <c r="V3817" s="28"/>
      <c r="W3817" s="28" t="n">
        <v>540</v>
      </c>
      <c r="X3817" s="28"/>
      <c r="Y3817" s="28" t="n">
        <f aca="false">X3817*$M3817</f>
        <v>0</v>
      </c>
      <c r="Z3817" s="28"/>
      <c r="AA3817" s="28" t="n">
        <f aca="false">Z3817*$M3817</f>
        <v>0</v>
      </c>
      <c r="AB3817" s="28"/>
      <c r="AC3817" s="28" t="n">
        <f aca="false">AB3817*$M3817</f>
        <v>0</v>
      </c>
      <c r="AD3817" s="28"/>
      <c r="AE3817" s="28" t="n">
        <f aca="false">AD3817*$M3817</f>
        <v>0</v>
      </c>
      <c r="AF3817" s="28"/>
      <c r="AG3817" s="28" t="n">
        <f aca="false">AF3817*$M3817</f>
        <v>0</v>
      </c>
      <c r="AH3817" s="28"/>
      <c r="AI3817" s="28" t="n">
        <f aca="false">AH3817*$M3817</f>
        <v>0</v>
      </c>
      <c r="AJ3817" s="28"/>
      <c r="AK3817" s="28" t="n">
        <v>317</v>
      </c>
      <c r="AL3817" s="28"/>
      <c r="AM3817" s="28" t="n">
        <f aca="false">AL3817*$M3817</f>
        <v>0</v>
      </c>
      <c r="AN3817" s="28"/>
      <c r="AO3817" s="28" t="n">
        <f aca="false">AN3817*$M3817</f>
        <v>0</v>
      </c>
      <c r="AP3817" s="28"/>
      <c r="AQ3817" s="28" t="n">
        <f aca="false">AP3817*$M3817</f>
        <v>0</v>
      </c>
      <c r="AR3817" s="28"/>
      <c r="AS3817" s="28" t="n">
        <f aca="false">AR3817*$M3817</f>
        <v>0</v>
      </c>
      <c r="AT3817" s="28"/>
      <c r="AU3817" s="28" t="n">
        <f aca="false">AT3817*$M3817</f>
        <v>0</v>
      </c>
      <c r="AV3817" s="28"/>
      <c r="AW3817" s="28" t="n">
        <f aca="false">AV3817*$M3817</f>
        <v>0</v>
      </c>
      <c r="AX3817" s="28"/>
      <c r="AY3817" s="28" t="n">
        <f aca="false">AX3817*$M3817</f>
        <v>0</v>
      </c>
      <c r="AZ3817" s="30"/>
      <c r="BA3817" s="11" t="n">
        <v>1046</v>
      </c>
      <c r="BB3817" s="31" t="n">
        <f aca="false">SUM(Q3817,S3817,U3817,W3817,Y3817,AA3817,AC3817,AE3817,AG3817,AI3817,AK3817,AM3817,AO3817,AQ3817,AS3817,AU3817,AW3817,AY3817)</f>
        <v>1046</v>
      </c>
      <c r="BC3817" s="28" t="n">
        <f aca="false">BA3817-BB3817</f>
        <v>0</v>
      </c>
      <c r="BD3817" s="32" t="n">
        <f aca="false">SUM(P3817,R3817,T3817,V3817,X3817,Z3817,AB3817,AD3817,AF3817,AH3817,AJ3817,AL3817,AN3817,AP3817,AR3817,AT3817,AV3817,AX3817)</f>
        <v>0</v>
      </c>
      <c r="BE3817" s="33" t="n">
        <f aca="false">AZ3817-BD3817</f>
        <v>0</v>
      </c>
      <c r="BF3817" s="34" t="n">
        <f aca="false">BD3817*M3817</f>
        <v>0</v>
      </c>
      <c r="BG3817" s="35" t="n">
        <f aca="false">BA3817-BF3817</f>
        <v>1046</v>
      </c>
      <c r="BH3817" s="19" t="str">
        <f aca="false">IF(BG3817=0,"",IF(BG3817&lt;&gt;BA3817,"erreur de calcul",IF(BD3817&lt;&gt;0,"pas de prix",IF(M3817&lt;&gt; 0,"pas de quantité","pas de prix, ni de quantité"))))</f>
        <v>pas de prix, ni de quantité</v>
      </c>
      <c r="BI3817" s="19"/>
    </row>
    <row r="3818" customFormat="false" ht="15" hidden="false" customHeight="false" outlineLevel="0" collapsed="false">
      <c r="A3818" s="0" t="n">
        <v>18</v>
      </c>
      <c r="B3818" s="8" t="s">
        <v>24</v>
      </c>
      <c r="C3818" s="9" t="s">
        <v>25</v>
      </c>
      <c r="D3818" s="9" t="s">
        <v>26</v>
      </c>
      <c r="E3818" s="10" t="n">
        <v>1789</v>
      </c>
      <c r="F3818" s="9" t="s">
        <v>27</v>
      </c>
      <c r="G3818" s="9" t="s">
        <v>27</v>
      </c>
      <c r="H3818" s="11" t="n">
        <v>26</v>
      </c>
      <c r="I3818" s="11" t="s">
        <v>389</v>
      </c>
      <c r="J3818" s="14" t="n">
        <v>90</v>
      </c>
      <c r="K3818" s="14"/>
      <c r="L3818" s="16"/>
      <c r="M3818" s="27" t="n">
        <f aca="false">J3818+(K3818/20)+(L3818/240)</f>
        <v>90</v>
      </c>
      <c r="N3818" s="17" t="s">
        <v>64</v>
      </c>
      <c r="O3818" s="11"/>
      <c r="P3818" s="28"/>
      <c r="Q3818" s="28" t="n">
        <f aca="false">P3818*$M3818</f>
        <v>0</v>
      </c>
      <c r="R3818" s="28"/>
      <c r="S3818" s="28" t="n">
        <f aca="false">R3818*$M3818</f>
        <v>0</v>
      </c>
      <c r="T3818" s="28"/>
      <c r="U3818" s="28" t="n">
        <f aca="false">T3818*$M3818</f>
        <v>0</v>
      </c>
      <c r="V3818" s="28" t="n">
        <f aca="false">6341/100</f>
        <v>63.41</v>
      </c>
      <c r="W3818" s="28" t="n">
        <v>5707</v>
      </c>
      <c r="X3818" s="28" t="n">
        <f aca="false">10903/100</f>
        <v>109.03</v>
      </c>
      <c r="Y3818" s="28" t="n">
        <v>9813</v>
      </c>
      <c r="Z3818" s="28"/>
      <c r="AA3818" s="28" t="n">
        <f aca="false">Z3818*$M3818</f>
        <v>0</v>
      </c>
      <c r="AB3818" s="28"/>
      <c r="AC3818" s="28" t="n">
        <f aca="false">AB3818*$M3818</f>
        <v>0</v>
      </c>
      <c r="AD3818" s="28"/>
      <c r="AE3818" s="28" t="n">
        <f aca="false">AD3818*$M3818</f>
        <v>0</v>
      </c>
      <c r="AF3818" s="28"/>
      <c r="AG3818" s="28" t="n">
        <f aca="false">AF3818*$M3818</f>
        <v>0</v>
      </c>
      <c r="AH3818" s="28"/>
      <c r="AI3818" s="28" t="n">
        <f aca="false">AH3818*$M3818</f>
        <v>0</v>
      </c>
      <c r="AJ3818" s="28" t="n">
        <f aca="false">127232/100</f>
        <v>1272.32</v>
      </c>
      <c r="AK3818" s="28" t="n">
        <v>114509</v>
      </c>
      <c r="AL3818" s="28" t="n">
        <f aca="false">1835/100</f>
        <v>18.35</v>
      </c>
      <c r="AM3818" s="28" t="n">
        <v>1651</v>
      </c>
      <c r="AN3818" s="28"/>
      <c r="AO3818" s="28" t="n">
        <f aca="false">AN3818*$M3818</f>
        <v>0</v>
      </c>
      <c r="AP3818" s="28"/>
      <c r="AQ3818" s="28" t="n">
        <f aca="false">AP3818*$M3818</f>
        <v>0</v>
      </c>
      <c r="AR3818" s="28"/>
      <c r="AS3818" s="28" t="n">
        <f aca="false">AR3818*$M3818</f>
        <v>0</v>
      </c>
      <c r="AT3818" s="28"/>
      <c r="AU3818" s="28" t="n">
        <f aca="false">AT3818*$M3818</f>
        <v>0</v>
      </c>
      <c r="AV3818" s="28"/>
      <c r="AW3818" s="28" t="n">
        <f aca="false">AV3818*$M3818</f>
        <v>0</v>
      </c>
      <c r="AX3818" s="28"/>
      <c r="AY3818" s="28" t="n">
        <f aca="false">AX3818*$M3818</f>
        <v>0</v>
      </c>
      <c r="AZ3818" s="30" t="n">
        <f aca="false">146311/100</f>
        <v>1463.11</v>
      </c>
      <c r="BA3818" s="11" t="n">
        <v>131680</v>
      </c>
      <c r="BB3818" s="31" t="n">
        <f aca="false">SUM(Q3818,S3818,U3818,W3818,Y3818,AA3818,AC3818,AE3818,AG3818,AI3818,AK3818,AM3818,AO3818,AQ3818,AS3818,AU3818,AW3818,AY3818)</f>
        <v>131680</v>
      </c>
      <c r="BC3818" s="28" t="n">
        <f aca="false">BA3818-BB3818</f>
        <v>0</v>
      </c>
      <c r="BD3818" s="32" t="n">
        <f aca="false">SUM(P3818,R3818,T3818,V3818,X3818,Z3818,AB3818,AD3818,AF3818,AH3818,AJ3818,AL3818,AN3818,AP3818,AR3818,AT3818,AV3818,AX3818)</f>
        <v>1463.11</v>
      </c>
      <c r="BE3818" s="33" t="n">
        <f aca="false">AZ3818-BD3818</f>
        <v>0</v>
      </c>
      <c r="BF3818" s="34" t="n">
        <f aca="false">BD3818*M3818</f>
        <v>131679.9</v>
      </c>
      <c r="BG3818" s="35" t="n">
        <f aca="false">BA3818-BF3818</f>
        <v>0.100000000005821</v>
      </c>
      <c r="BH3818" s="19" t="str">
        <f aca="false">IF(BG3818=0,"",IF(BG3818&lt;&gt;BA3818,"erreur de calcul",IF(BD3818&lt;&gt;0,"pas de prix",IF(M3818&lt;&gt; 0,"pas de quantité","pas de prix, ni de quantité"))))</f>
        <v>erreur de calcul</v>
      </c>
      <c r="BI3818" s="19"/>
    </row>
    <row r="3819" customFormat="false" ht="15" hidden="false" customHeight="false" outlineLevel="0" collapsed="false">
      <c r="A3819" s="0" t="n">
        <v>19</v>
      </c>
      <c r="B3819" s="8" t="s">
        <v>24</v>
      </c>
      <c r="C3819" s="9" t="s">
        <v>25</v>
      </c>
      <c r="D3819" s="9" t="s">
        <v>26</v>
      </c>
      <c r="E3819" s="10" t="n">
        <v>1789</v>
      </c>
      <c r="F3819" s="9" t="s">
        <v>27</v>
      </c>
      <c r="G3819" s="9" t="s">
        <v>27</v>
      </c>
      <c r="H3819" s="11" t="n">
        <v>26</v>
      </c>
      <c r="I3819" s="11" t="s">
        <v>390</v>
      </c>
      <c r="J3819" s="14" t="n">
        <v>25</v>
      </c>
      <c r="K3819" s="14"/>
      <c r="L3819" s="16"/>
      <c r="M3819" s="27" t="n">
        <f aca="false">J3819+(K3819/20)+(L3819/240)</f>
        <v>25</v>
      </c>
      <c r="N3819" s="17" t="s">
        <v>64</v>
      </c>
      <c r="O3819" s="11" t="s">
        <v>277</v>
      </c>
      <c r="P3819" s="28"/>
      <c r="Q3819" s="28" t="n">
        <f aca="false">P3819*$M3819</f>
        <v>0</v>
      </c>
      <c r="R3819" s="28"/>
      <c r="S3819" s="28" t="n">
        <f aca="false">R3819*$M3819</f>
        <v>0</v>
      </c>
      <c r="T3819" s="28"/>
      <c r="U3819" s="28" t="n">
        <f aca="false">T3819*$M3819</f>
        <v>0</v>
      </c>
      <c r="V3819" s="28"/>
      <c r="W3819" s="28" t="n">
        <f aca="false">V3819*$M3819</f>
        <v>0</v>
      </c>
      <c r="X3819" s="28"/>
      <c r="Y3819" s="28" t="n">
        <f aca="false">X3819*$M3819</f>
        <v>0</v>
      </c>
      <c r="Z3819" s="28"/>
      <c r="AA3819" s="28" t="n">
        <f aca="false">Z3819*$M3819</f>
        <v>0</v>
      </c>
      <c r="AB3819" s="28"/>
      <c r="AC3819" s="28" t="n">
        <f aca="false">AB3819*$M3819</f>
        <v>0</v>
      </c>
      <c r="AD3819" s="28"/>
      <c r="AE3819" s="28" t="n">
        <f aca="false">AD3819*$M3819</f>
        <v>0</v>
      </c>
      <c r="AF3819" s="28"/>
      <c r="AG3819" s="28" t="n">
        <f aca="false">AF3819*$M3819</f>
        <v>0</v>
      </c>
      <c r="AH3819" s="28"/>
      <c r="AI3819" s="28" t="n">
        <f aca="false">AH3819*$M3819</f>
        <v>0</v>
      </c>
      <c r="AJ3819" s="28"/>
      <c r="AK3819" s="28" t="n">
        <f aca="false">AJ3819*$M3819</f>
        <v>0</v>
      </c>
      <c r="AL3819" s="28"/>
      <c r="AM3819" s="28" t="n">
        <f aca="false">AL3819*$M3819</f>
        <v>0</v>
      </c>
      <c r="AN3819" s="28"/>
      <c r="AO3819" s="28" t="n">
        <f aca="false">AN3819*$M3819</f>
        <v>0</v>
      </c>
      <c r="AP3819" s="28"/>
      <c r="AQ3819" s="28" t="n">
        <f aca="false">AP3819*$M3819</f>
        <v>0</v>
      </c>
      <c r="AR3819" s="28"/>
      <c r="AS3819" s="28" t="n">
        <f aca="false">AR3819*$M3819</f>
        <v>0</v>
      </c>
      <c r="AT3819" s="28"/>
      <c r="AU3819" s="28" t="n">
        <f aca="false">AT3819*$M3819</f>
        <v>0</v>
      </c>
      <c r="AV3819" s="28"/>
      <c r="AW3819" s="28" t="n">
        <f aca="false">AV3819*$M3819</f>
        <v>0</v>
      </c>
      <c r="AX3819" s="28"/>
      <c r="AY3819" s="28" t="n">
        <f aca="false">AX3819*$M3819</f>
        <v>0</v>
      </c>
      <c r="AZ3819" s="30"/>
      <c r="BA3819" s="11"/>
      <c r="BB3819" s="31" t="n">
        <f aca="false">SUM(Q3819,S3819,U3819,W3819,Y3819,AA3819,AC3819,AE3819,AG3819,AI3819,AK3819,AM3819,AO3819,AQ3819,AS3819,AU3819,AW3819,AY3819)</f>
        <v>0</v>
      </c>
      <c r="BC3819" s="28" t="n">
        <f aca="false">BA3819-BB3819</f>
        <v>0</v>
      </c>
      <c r="BD3819" s="32" t="n">
        <f aca="false">SUM(P3819,R3819,T3819,V3819,X3819,Z3819,AB3819,AD3819,AF3819,AH3819,AJ3819,AL3819,AN3819,AP3819,AR3819,AT3819,AV3819,AX3819)</f>
        <v>0</v>
      </c>
      <c r="BE3819" s="33" t="n">
        <f aca="false">AZ3819-BD3819</f>
        <v>0</v>
      </c>
      <c r="BF3819" s="34" t="n">
        <f aca="false">BD3819*M3819</f>
        <v>0</v>
      </c>
      <c r="BG3819" s="35" t="n">
        <f aca="false">BA3819-BF3819</f>
        <v>0</v>
      </c>
      <c r="BH3819" s="19" t="str">
        <f aca="false">IF(BG3819=0,"",IF(BG3819&lt;&gt;BA3819,"erreur de calcul",IF(BD3819&lt;&gt;0,"pas de prix",IF(M3819&lt;&gt; 0,"pas de quantité","pas de prix, ni de quantité"))))</f>
        <v/>
      </c>
      <c r="BI3819" s="19"/>
    </row>
    <row r="3820" customFormat="false" ht="15" hidden="false" customHeight="false" outlineLevel="0" collapsed="false">
      <c r="A3820" s="0" t="n">
        <v>20</v>
      </c>
      <c r="B3820" s="8" t="s">
        <v>24</v>
      </c>
      <c r="C3820" s="9" t="s">
        <v>25</v>
      </c>
      <c r="D3820" s="9" t="s">
        <v>26</v>
      </c>
      <c r="E3820" s="10" t="n">
        <v>1789</v>
      </c>
      <c r="F3820" s="9" t="s">
        <v>27</v>
      </c>
      <c r="G3820" s="9" t="s">
        <v>27</v>
      </c>
      <c r="H3820" s="11" t="n">
        <v>26</v>
      </c>
      <c r="I3820" s="11" t="s">
        <v>391</v>
      </c>
      <c r="J3820" s="14" t="n">
        <v>35</v>
      </c>
      <c r="K3820" s="14"/>
      <c r="L3820" s="16"/>
      <c r="M3820" s="27" t="n">
        <f aca="false">J3820+(K3820/20)+(L3820/240)</f>
        <v>35</v>
      </c>
      <c r="N3820" s="17" t="s">
        <v>64</v>
      </c>
      <c r="O3820" s="11"/>
      <c r="P3820" s="28"/>
      <c r="Q3820" s="28" t="n">
        <f aca="false">P3820*$M3820</f>
        <v>0</v>
      </c>
      <c r="R3820" s="28"/>
      <c r="S3820" s="28" t="n">
        <f aca="false">R3820*$M3820</f>
        <v>0</v>
      </c>
      <c r="T3820" s="28"/>
      <c r="U3820" s="28" t="n">
        <f aca="false">T3820*$M3820</f>
        <v>0</v>
      </c>
      <c r="V3820" s="28"/>
      <c r="W3820" s="28" t="n">
        <f aca="false">V3820*$M3820</f>
        <v>0</v>
      </c>
      <c r="X3820" s="28"/>
      <c r="Y3820" s="28" t="n">
        <f aca="false">X3820*$M3820</f>
        <v>0</v>
      </c>
      <c r="Z3820" s="28"/>
      <c r="AA3820" s="28" t="n">
        <f aca="false">Z3820*$M3820</f>
        <v>0</v>
      </c>
      <c r="AB3820" s="28"/>
      <c r="AC3820" s="28" t="n">
        <f aca="false">AB3820*$M3820</f>
        <v>0</v>
      </c>
      <c r="AD3820" s="28"/>
      <c r="AE3820" s="28" t="n">
        <f aca="false">AD3820*$M3820</f>
        <v>0</v>
      </c>
      <c r="AF3820" s="28"/>
      <c r="AG3820" s="28" t="n">
        <f aca="false">AF3820*$M3820</f>
        <v>0</v>
      </c>
      <c r="AH3820" s="28"/>
      <c r="AI3820" s="28" t="n">
        <f aca="false">AH3820*$M3820</f>
        <v>0</v>
      </c>
      <c r="AJ3820" s="28" t="n">
        <f aca="false">3950/100</f>
        <v>39.5</v>
      </c>
      <c r="AK3820" s="28" t="n">
        <v>1382</v>
      </c>
      <c r="AL3820" s="28"/>
      <c r="AM3820" s="28" t="n">
        <f aca="false">AL3820*$M3820</f>
        <v>0</v>
      </c>
      <c r="AN3820" s="28"/>
      <c r="AO3820" s="28" t="n">
        <f aca="false">AN3820*$M3820</f>
        <v>0</v>
      </c>
      <c r="AP3820" s="28"/>
      <c r="AQ3820" s="28" t="n">
        <f aca="false">AP3820*$M3820</f>
        <v>0</v>
      </c>
      <c r="AR3820" s="28"/>
      <c r="AS3820" s="28" t="n">
        <f aca="false">AR3820*$M3820</f>
        <v>0</v>
      </c>
      <c r="AT3820" s="28"/>
      <c r="AU3820" s="28" t="n">
        <f aca="false">AT3820*$M3820</f>
        <v>0</v>
      </c>
      <c r="AV3820" s="28"/>
      <c r="AW3820" s="28" t="n">
        <f aca="false">AV3820*$M3820</f>
        <v>0</v>
      </c>
      <c r="AX3820" s="28"/>
      <c r="AY3820" s="28" t="n">
        <f aca="false">AX3820*$M3820</f>
        <v>0</v>
      </c>
      <c r="AZ3820" s="30" t="n">
        <f aca="false">3950/100</f>
        <v>39.5</v>
      </c>
      <c r="BA3820" s="11" t="n">
        <v>1382</v>
      </c>
      <c r="BB3820" s="31" t="n">
        <f aca="false">SUM(Q3820,S3820,U3820,W3820,Y3820,AA3820,AC3820,AE3820,AG3820,AI3820,AK3820,AM3820,AO3820,AQ3820,AS3820,AU3820,AW3820,AY3820)</f>
        <v>1382</v>
      </c>
      <c r="BC3820" s="28" t="n">
        <f aca="false">BA3820-BB3820</f>
        <v>0</v>
      </c>
      <c r="BD3820" s="32" t="n">
        <f aca="false">SUM(P3820,R3820,T3820,V3820,X3820,Z3820,AB3820,AD3820,AF3820,AH3820,AJ3820,AL3820,AN3820,AP3820,AR3820,AT3820,AV3820,AX3820)</f>
        <v>39.5</v>
      </c>
      <c r="BE3820" s="33" t="n">
        <f aca="false">AZ3820-BD3820</f>
        <v>0</v>
      </c>
      <c r="BF3820" s="34" t="n">
        <f aca="false">BD3820*M3820</f>
        <v>1382.5</v>
      </c>
      <c r="BG3820" s="35" t="n">
        <f aca="false">BA3820-BF3820</f>
        <v>-0.5</v>
      </c>
      <c r="BH3820" s="19" t="str">
        <f aca="false">IF(BG3820=0,"",IF(BG3820&lt;&gt;BA3820,"erreur de calcul",IF(BD3820&lt;&gt;0,"pas de prix",IF(M3820&lt;&gt; 0,"pas de quantité","pas de prix, ni de quantité"))))</f>
        <v>erreur de calcul</v>
      </c>
      <c r="BI3820" s="19"/>
    </row>
    <row r="3821" customFormat="false" ht="15" hidden="false" customHeight="false" outlineLevel="0" collapsed="false">
      <c r="A3821" s="0" t="n">
        <v>21</v>
      </c>
      <c r="B3821" s="8" t="s">
        <v>24</v>
      </c>
      <c r="C3821" s="9" t="s">
        <v>25</v>
      </c>
      <c r="D3821" s="9" t="s">
        <v>26</v>
      </c>
      <c r="E3821" s="10" t="n">
        <v>1789</v>
      </c>
      <c r="F3821" s="9" t="s">
        <v>27</v>
      </c>
      <c r="G3821" s="9" t="s">
        <v>27</v>
      </c>
      <c r="H3821" s="11" t="n">
        <v>26</v>
      </c>
      <c r="I3821" s="11" t="s">
        <v>392</v>
      </c>
      <c r="J3821" s="14" t="n">
        <v>60</v>
      </c>
      <c r="K3821" s="14"/>
      <c r="L3821" s="16"/>
      <c r="M3821" s="27" t="n">
        <f aca="false">J3821+(K3821/20)+(L3821/240)</f>
        <v>60</v>
      </c>
      <c r="N3821" s="17" t="s">
        <v>64</v>
      </c>
      <c r="O3821" s="11"/>
      <c r="P3821" s="28"/>
      <c r="Q3821" s="28" t="n">
        <f aca="false">P3821*$M3821</f>
        <v>0</v>
      </c>
      <c r="R3821" s="28"/>
      <c r="S3821" s="28" t="n">
        <f aca="false">R3821*$M3821</f>
        <v>0</v>
      </c>
      <c r="T3821" s="28"/>
      <c r="U3821" s="28" t="n">
        <f aca="false">T3821*$M3821</f>
        <v>0</v>
      </c>
      <c r="V3821" s="28"/>
      <c r="W3821" s="28" t="n">
        <f aca="false">V3821*$M3821</f>
        <v>0</v>
      </c>
      <c r="X3821" s="28" t="n">
        <f aca="false">12306/100</f>
        <v>123.06</v>
      </c>
      <c r="Y3821" s="28" t="n">
        <v>7384</v>
      </c>
      <c r="Z3821" s="28"/>
      <c r="AA3821" s="28" t="n">
        <f aca="false">Z3821*$M3821</f>
        <v>0</v>
      </c>
      <c r="AB3821" s="28"/>
      <c r="AC3821" s="28" t="n">
        <f aca="false">AB3821*$M3821</f>
        <v>0</v>
      </c>
      <c r="AD3821" s="28"/>
      <c r="AE3821" s="28" t="n">
        <f aca="false">AD3821*$M3821</f>
        <v>0</v>
      </c>
      <c r="AF3821" s="28"/>
      <c r="AG3821" s="28" t="n">
        <f aca="false">AF3821*$M3821</f>
        <v>0</v>
      </c>
      <c r="AH3821" s="28"/>
      <c r="AI3821" s="28" t="n">
        <f aca="false">AH3821*$M3821</f>
        <v>0</v>
      </c>
      <c r="AJ3821" s="28" t="n">
        <f aca="false">2557/100</f>
        <v>25.57</v>
      </c>
      <c r="AK3821" s="28" t="n">
        <v>1534</v>
      </c>
      <c r="AL3821" s="28"/>
      <c r="AM3821" s="28" t="n">
        <f aca="false">AL3821*$M3821</f>
        <v>0</v>
      </c>
      <c r="AN3821" s="28"/>
      <c r="AO3821" s="28" t="n">
        <f aca="false">AN3821*$M3821</f>
        <v>0</v>
      </c>
      <c r="AP3821" s="28"/>
      <c r="AQ3821" s="28" t="n">
        <f aca="false">AP3821*$M3821</f>
        <v>0</v>
      </c>
      <c r="AR3821" s="28" t="n">
        <f aca="false">7204/100</f>
        <v>72.04</v>
      </c>
      <c r="AS3821" s="28" t="n">
        <v>4322</v>
      </c>
      <c r="AT3821" s="28"/>
      <c r="AU3821" s="28" t="n">
        <f aca="false">AT3821*$M3821</f>
        <v>0</v>
      </c>
      <c r="AV3821" s="28"/>
      <c r="AW3821" s="28" t="n">
        <f aca="false">AV3821*$M3821</f>
        <v>0</v>
      </c>
      <c r="AX3821" s="28"/>
      <c r="AY3821" s="28" t="n">
        <f aca="false">AX3821*$M3821</f>
        <v>0</v>
      </c>
      <c r="AZ3821" s="30" t="n">
        <f aca="false">22067/100</f>
        <v>220.67</v>
      </c>
      <c r="BA3821" s="11" t="n">
        <v>13240</v>
      </c>
      <c r="BB3821" s="31" t="n">
        <f aca="false">SUM(Q3821,S3821,U3821,W3821,Y3821,AA3821,AC3821,AE3821,AG3821,AI3821,AK3821,AM3821,AO3821,AQ3821,AS3821,AU3821,AW3821,AY3821)</f>
        <v>13240</v>
      </c>
      <c r="BC3821" s="28" t="n">
        <f aca="false">BA3821-BB3821</f>
        <v>0</v>
      </c>
      <c r="BD3821" s="32" t="n">
        <f aca="false">SUM(P3821,R3821,T3821,V3821,X3821,Z3821,AB3821,AD3821,AF3821,AH3821,AJ3821,AL3821,AN3821,AP3821,AR3821,AT3821,AV3821,AX3821)</f>
        <v>220.67</v>
      </c>
      <c r="BE3821" s="33" t="n">
        <f aca="false">AZ3821-BD3821</f>
        <v>0</v>
      </c>
      <c r="BF3821" s="34" t="n">
        <f aca="false">BD3821*M3821</f>
        <v>13240.2</v>
      </c>
      <c r="BG3821" s="35" t="n">
        <f aca="false">BA3821-BF3821</f>
        <v>-0.200000000000728</v>
      </c>
      <c r="BH3821" s="19" t="str">
        <f aca="false">IF(BG3821=0,"",IF(BG3821&lt;&gt;BA3821,"erreur de calcul",IF(BD3821&lt;&gt;0,"pas de prix",IF(M3821&lt;&gt; 0,"pas de quantité","pas de prix, ni de quantité"))))</f>
        <v>erreur de calcul</v>
      </c>
      <c r="BI3821" s="19"/>
    </row>
    <row r="3822" customFormat="false" ht="15" hidden="false" customHeight="false" outlineLevel="0" collapsed="false">
      <c r="A3822" s="0" t="n">
        <v>22</v>
      </c>
      <c r="B3822" s="8" t="s">
        <v>24</v>
      </c>
      <c r="C3822" s="9" t="s">
        <v>25</v>
      </c>
      <c r="D3822" s="9" t="s">
        <v>26</v>
      </c>
      <c r="E3822" s="10" t="n">
        <v>1789</v>
      </c>
      <c r="F3822" s="9" t="s">
        <v>27</v>
      </c>
      <c r="G3822" s="9" t="s">
        <v>27</v>
      </c>
      <c r="H3822" s="11" t="n">
        <v>26</v>
      </c>
      <c r="I3822" s="11" t="s">
        <v>393</v>
      </c>
      <c r="J3822" s="14" t="n">
        <v>120</v>
      </c>
      <c r="K3822" s="14"/>
      <c r="L3822" s="16"/>
      <c r="M3822" s="27" t="n">
        <f aca="false">J3822+(K3822/20)+(L3822/240)</f>
        <v>120</v>
      </c>
      <c r="N3822" s="17" t="s">
        <v>64</v>
      </c>
      <c r="O3822" s="11"/>
      <c r="P3822" s="28"/>
      <c r="Q3822" s="28" t="n">
        <f aca="false">P3822*$M3822</f>
        <v>0</v>
      </c>
      <c r="R3822" s="28"/>
      <c r="S3822" s="28" t="n">
        <f aca="false">R3822*$M3822</f>
        <v>0</v>
      </c>
      <c r="T3822" s="28"/>
      <c r="U3822" s="28" t="n">
        <f aca="false">T3822*$M3822</f>
        <v>0</v>
      </c>
      <c r="V3822" s="28"/>
      <c r="W3822" s="28" t="n">
        <f aca="false">V3822*$M3822</f>
        <v>0</v>
      </c>
      <c r="X3822" s="28"/>
      <c r="Y3822" s="28" t="n">
        <f aca="false">X3822*$M3822</f>
        <v>0</v>
      </c>
      <c r="Z3822" s="28"/>
      <c r="AA3822" s="28" t="n">
        <f aca="false">Z3822*$M3822</f>
        <v>0</v>
      </c>
      <c r="AB3822" s="28"/>
      <c r="AC3822" s="28" t="n">
        <f aca="false">AB3822*$M3822</f>
        <v>0</v>
      </c>
      <c r="AD3822" s="28"/>
      <c r="AE3822" s="28" t="n">
        <f aca="false">AD3822*$M3822</f>
        <v>0</v>
      </c>
      <c r="AF3822" s="28"/>
      <c r="AG3822" s="28" t="n">
        <f aca="false">AF3822*$M3822</f>
        <v>0</v>
      </c>
      <c r="AH3822" s="28" t="n">
        <f aca="false">1810/100</f>
        <v>18.1</v>
      </c>
      <c r="AI3822" s="28" t="n">
        <v>2172</v>
      </c>
      <c r="AJ3822" s="28"/>
      <c r="AK3822" s="28" t="n">
        <f aca="false">AJ3822*$M3822</f>
        <v>0</v>
      </c>
      <c r="AL3822" s="28"/>
      <c r="AM3822" s="28" t="n">
        <f aca="false">AL3822*$M3822</f>
        <v>0</v>
      </c>
      <c r="AN3822" s="28"/>
      <c r="AO3822" s="28" t="n">
        <f aca="false">AN3822*$M3822</f>
        <v>0</v>
      </c>
      <c r="AP3822" s="28"/>
      <c r="AQ3822" s="28" t="n">
        <f aca="false">AP3822*$M3822</f>
        <v>0</v>
      </c>
      <c r="AR3822" s="28"/>
      <c r="AS3822" s="28" t="n">
        <f aca="false">AR3822*$M3822</f>
        <v>0</v>
      </c>
      <c r="AT3822" s="28"/>
      <c r="AU3822" s="28" t="n">
        <f aca="false">AT3822*$M3822</f>
        <v>0</v>
      </c>
      <c r="AV3822" s="28"/>
      <c r="AW3822" s="28" t="n">
        <f aca="false">AV3822*$M3822</f>
        <v>0</v>
      </c>
      <c r="AX3822" s="28"/>
      <c r="AY3822" s="28" t="n">
        <f aca="false">AX3822*$M3822</f>
        <v>0</v>
      </c>
      <c r="AZ3822" s="30" t="n">
        <f aca="false">1810/100</f>
        <v>18.1</v>
      </c>
      <c r="BA3822" s="11" t="n">
        <v>2172</v>
      </c>
      <c r="BB3822" s="31" t="n">
        <f aca="false">SUM(Q3822,S3822,U3822,W3822,Y3822,AA3822,AC3822,AE3822,AG3822,AI3822,AK3822,AM3822,AO3822,AQ3822,AS3822,AU3822,AW3822,AY3822)</f>
        <v>2172</v>
      </c>
      <c r="BC3822" s="28" t="n">
        <f aca="false">BA3822-BB3822</f>
        <v>0</v>
      </c>
      <c r="BD3822" s="32" t="n">
        <f aca="false">SUM(P3822,R3822,T3822,V3822,X3822,Z3822,AB3822,AD3822,AF3822,AH3822,AJ3822,AL3822,AN3822,AP3822,AR3822,AT3822,AV3822,AX3822)</f>
        <v>18.1</v>
      </c>
      <c r="BE3822" s="33" t="n">
        <f aca="false">AZ3822-BD3822</f>
        <v>0</v>
      </c>
      <c r="BF3822" s="34" t="n">
        <f aca="false">BD3822*M3822</f>
        <v>2172</v>
      </c>
      <c r="BG3822" s="35" t="n">
        <f aca="false">BA3822-BF3822</f>
        <v>0</v>
      </c>
      <c r="BH3822" s="19" t="str">
        <f aca="false">IF(BG3822=0,"",IF(BG3822&lt;&gt;BA3822,"erreur de calcul",IF(BD3822&lt;&gt;0,"pas de prix",IF(M3822&lt;&gt; 0,"pas de quantité","pas de prix, ni de quantité"))))</f>
        <v/>
      </c>
      <c r="BI3822" s="19"/>
    </row>
    <row r="3823" customFormat="false" ht="15" hidden="false" customHeight="false" outlineLevel="0" collapsed="false">
      <c r="A3823" s="0" t="n">
        <v>23</v>
      </c>
      <c r="B3823" s="8" t="s">
        <v>24</v>
      </c>
      <c r="C3823" s="9" t="s">
        <v>25</v>
      </c>
      <c r="D3823" s="9" t="s">
        <v>26</v>
      </c>
      <c r="E3823" s="10" t="n">
        <v>1789</v>
      </c>
      <c r="F3823" s="9" t="s">
        <v>27</v>
      </c>
      <c r="G3823" s="9" t="s">
        <v>27</v>
      </c>
      <c r="H3823" s="11" t="n">
        <v>26</v>
      </c>
      <c r="I3823" s="41" t="s">
        <v>394</v>
      </c>
      <c r="J3823" s="14" t="n">
        <v>7</v>
      </c>
      <c r="K3823" s="14"/>
      <c r="L3823" s="16"/>
      <c r="M3823" s="27" t="n">
        <f aca="false">J3823+(K3823/20)+(L3823/240)</f>
        <v>7</v>
      </c>
      <c r="N3823" s="17" t="s">
        <v>64</v>
      </c>
      <c r="O3823" s="11"/>
      <c r="P3823" s="28" t="n">
        <f aca="false">11428/100</f>
        <v>114.28</v>
      </c>
      <c r="Q3823" s="28" t="n">
        <v>800</v>
      </c>
      <c r="R3823" s="28"/>
      <c r="S3823" s="28" t="n">
        <f aca="false">R3823*$M3823</f>
        <v>0</v>
      </c>
      <c r="T3823" s="28" t="n">
        <f aca="false">2084/100</f>
        <v>20.84</v>
      </c>
      <c r="U3823" s="36" t="n">
        <v>246</v>
      </c>
      <c r="V3823" s="28"/>
      <c r="W3823" s="28" t="n">
        <f aca="false">V3823*$M3823</f>
        <v>0</v>
      </c>
      <c r="X3823" s="28"/>
      <c r="Y3823" s="28" t="n">
        <f aca="false">X3823*$M3823</f>
        <v>0</v>
      </c>
      <c r="Z3823" s="28"/>
      <c r="AA3823" s="28" t="n">
        <f aca="false">Z3823*$M3823</f>
        <v>0</v>
      </c>
      <c r="AB3823" s="28"/>
      <c r="AC3823" s="28" t="n">
        <f aca="false">AB3823*$M3823</f>
        <v>0</v>
      </c>
      <c r="AD3823" s="28"/>
      <c r="AE3823" s="28" t="n">
        <f aca="false">AD3823*$M3823</f>
        <v>0</v>
      </c>
      <c r="AF3823" s="28" t="n">
        <f aca="false">6709/100</f>
        <v>67.09</v>
      </c>
      <c r="AG3823" s="28" t="n">
        <v>470</v>
      </c>
      <c r="AH3823" s="28"/>
      <c r="AI3823" s="28" t="n">
        <f aca="false">AH3823*$M3823</f>
        <v>0</v>
      </c>
      <c r="AJ3823" s="28"/>
      <c r="AK3823" s="28" t="n">
        <f aca="false">AJ3823*$M3823</f>
        <v>0</v>
      </c>
      <c r="AL3823" s="28"/>
      <c r="AM3823" s="28" t="n">
        <f aca="false">AL3823*$M3823</f>
        <v>0</v>
      </c>
      <c r="AN3823" s="28"/>
      <c r="AO3823" s="28" t="n">
        <f aca="false">AN3823*$M3823</f>
        <v>0</v>
      </c>
      <c r="AP3823" s="28"/>
      <c r="AQ3823" s="28" t="n">
        <f aca="false">AP3823*$M3823</f>
        <v>0</v>
      </c>
      <c r="AR3823" s="28"/>
      <c r="AS3823" s="28" t="n">
        <f aca="false">AR3823*$M3823</f>
        <v>0</v>
      </c>
      <c r="AT3823" s="28"/>
      <c r="AU3823" s="28" t="n">
        <f aca="false">AT3823*$M3823</f>
        <v>0</v>
      </c>
      <c r="AV3823" s="28"/>
      <c r="AW3823" s="28" t="n">
        <f aca="false">AV3823*$M3823</f>
        <v>0</v>
      </c>
      <c r="AX3823" s="28"/>
      <c r="AY3823" s="28" t="n">
        <f aca="false">AX3823*$M3823</f>
        <v>0</v>
      </c>
      <c r="AZ3823" s="30" t="n">
        <f aca="false">20221/100</f>
        <v>202.21</v>
      </c>
      <c r="BA3823" s="11" t="n">
        <v>1516</v>
      </c>
      <c r="BB3823" s="31" t="n">
        <f aca="false">SUM(Q3823,S3823,U3823,W3823,Y3823,AA3823,AC3823,AE3823,AG3823,AI3823,AK3823,AM3823,AO3823,AQ3823,AS3823,AU3823,AW3823,AY3823)</f>
        <v>1516</v>
      </c>
      <c r="BC3823" s="28" t="n">
        <f aca="false">BA3823-BB3823</f>
        <v>0</v>
      </c>
      <c r="BD3823" s="32" t="n">
        <f aca="false">SUM(P3823,R3823,T3823,V3823,X3823,Z3823,AB3823,AD3823,AF3823,AH3823,AJ3823,AL3823,AN3823,AP3823,AR3823,AT3823,AV3823,AX3823)</f>
        <v>202.21</v>
      </c>
      <c r="BE3823" s="33" t="n">
        <f aca="false">AZ3823-BD3823</f>
        <v>0</v>
      </c>
      <c r="BF3823" s="34" t="n">
        <f aca="false">BD3823*M3823</f>
        <v>1415.47</v>
      </c>
      <c r="BG3823" s="35" t="n">
        <f aca="false">BA3823-BF3823</f>
        <v>100.53</v>
      </c>
      <c r="BH3823" s="19" t="str">
        <f aca="false">IF(BG3823=0,"",IF(BG3823&lt;&gt;BA3823,"erreur de calcul",IF(BD3823&lt;&gt;0,"pas de prix",IF(M3823&lt;&gt; 0,"pas de quantité","pas de prix, ni de quantité"))))</f>
        <v>erreur de calcul</v>
      </c>
      <c r="BI3823" s="19"/>
    </row>
    <row r="3824" customFormat="false" ht="15" hidden="false" customHeight="false" outlineLevel="0" collapsed="false">
      <c r="A3824" s="0" t="n">
        <v>24</v>
      </c>
      <c r="B3824" s="8" t="s">
        <v>24</v>
      </c>
      <c r="C3824" s="9" t="s">
        <v>25</v>
      </c>
      <c r="D3824" s="9" t="s">
        <v>26</v>
      </c>
      <c r="E3824" s="10" t="n">
        <v>1789</v>
      </c>
      <c r="F3824" s="9" t="s">
        <v>27</v>
      </c>
      <c r="G3824" s="9" t="s">
        <v>27</v>
      </c>
      <c r="H3824" s="11" t="n">
        <v>26</v>
      </c>
      <c r="I3824" s="11" t="s">
        <v>395</v>
      </c>
      <c r="J3824" s="14" t="n">
        <v>40</v>
      </c>
      <c r="K3824" s="14"/>
      <c r="L3824" s="16"/>
      <c r="M3824" s="27" t="n">
        <f aca="false">J3824+(K3824/20)+(L3824/240)</f>
        <v>40</v>
      </c>
      <c r="N3824" s="17" t="s">
        <v>66</v>
      </c>
      <c r="O3824" s="11"/>
      <c r="P3824" s="28"/>
      <c r="Q3824" s="28" t="n">
        <f aca="false">P3824*$M3824</f>
        <v>0</v>
      </c>
      <c r="R3824" s="28"/>
      <c r="S3824" s="28" t="n">
        <f aca="false">R3824*$M3824</f>
        <v>0</v>
      </c>
      <c r="T3824" s="28" t="n">
        <v>2339</v>
      </c>
      <c r="U3824" s="28" t="n">
        <v>93560</v>
      </c>
      <c r="V3824" s="28" t="n">
        <v>38</v>
      </c>
      <c r="W3824" s="28" t="n">
        <v>1520</v>
      </c>
      <c r="X3824" s="28"/>
      <c r="Y3824" s="28" t="n">
        <f aca="false">X3824*$M3824</f>
        <v>0</v>
      </c>
      <c r="Z3824" s="28"/>
      <c r="AA3824" s="28" t="n">
        <f aca="false">Z3824*$M3824</f>
        <v>0</v>
      </c>
      <c r="AB3824" s="28"/>
      <c r="AC3824" s="28" t="n">
        <f aca="false">AB3824*$M3824</f>
        <v>0</v>
      </c>
      <c r="AD3824" s="28"/>
      <c r="AE3824" s="28" t="n">
        <f aca="false">AD3824*$M3824</f>
        <v>0</v>
      </c>
      <c r="AF3824" s="28"/>
      <c r="AG3824" s="28" t="n">
        <f aca="false">AF3824*$M3824</f>
        <v>0</v>
      </c>
      <c r="AH3824" s="28"/>
      <c r="AI3824" s="28" t="n">
        <f aca="false">AH3824*$M3824</f>
        <v>0</v>
      </c>
      <c r="AJ3824" s="28"/>
      <c r="AK3824" s="28" t="n">
        <f aca="false">AJ3824*$M3824</f>
        <v>0</v>
      </c>
      <c r="AL3824" s="28"/>
      <c r="AM3824" s="28" t="n">
        <f aca="false">AL3824*$M3824</f>
        <v>0</v>
      </c>
      <c r="AN3824" s="28"/>
      <c r="AO3824" s="28" t="n">
        <f aca="false">AN3824*$M3824</f>
        <v>0</v>
      </c>
      <c r="AP3824" s="28"/>
      <c r="AQ3824" s="28" t="n">
        <f aca="false">AP3824*$M3824</f>
        <v>0</v>
      </c>
      <c r="AR3824" s="28"/>
      <c r="AS3824" s="28" t="n">
        <f aca="false">AR3824*$M3824</f>
        <v>0</v>
      </c>
      <c r="AT3824" s="28"/>
      <c r="AU3824" s="28" t="n">
        <f aca="false">AT3824*$M3824</f>
        <v>0</v>
      </c>
      <c r="AV3824" s="28"/>
      <c r="AW3824" s="28" t="n">
        <f aca="false">AV3824*$M3824</f>
        <v>0</v>
      </c>
      <c r="AX3824" s="28"/>
      <c r="AY3824" s="28" t="n">
        <f aca="false">AX3824*$M3824</f>
        <v>0</v>
      </c>
      <c r="AZ3824" s="30" t="n">
        <v>2377</v>
      </c>
      <c r="BA3824" s="11" t="n">
        <v>95080</v>
      </c>
      <c r="BB3824" s="31" t="n">
        <f aca="false">SUM(Q3824,S3824,U3824,W3824,Y3824,AA3824,AC3824,AE3824,AG3824,AI3824,AK3824,AM3824,AO3824,AQ3824,AS3824,AU3824,AW3824,AY3824)</f>
        <v>95080</v>
      </c>
      <c r="BC3824" s="28" t="n">
        <f aca="false">BA3824-BB3824</f>
        <v>0</v>
      </c>
      <c r="BD3824" s="32" t="n">
        <f aca="false">SUM(P3824,R3824,T3824,V3824,X3824,Z3824,AB3824,AD3824,AF3824,AH3824,AJ3824,AL3824,AN3824,AP3824,AR3824,AT3824,AV3824,AX3824)</f>
        <v>2377</v>
      </c>
      <c r="BE3824" s="33" t="n">
        <f aca="false">AZ3824-BD3824</f>
        <v>0</v>
      </c>
      <c r="BF3824" s="34" t="n">
        <f aca="false">BD3824*M3824</f>
        <v>95080</v>
      </c>
      <c r="BG3824" s="35" t="n">
        <f aca="false">BA3824-BF3824</f>
        <v>0</v>
      </c>
      <c r="BH3824" s="19" t="str">
        <f aca="false">IF(BG3824=0,"",IF(BG3824&lt;&gt;BA3824,"erreur de calcul",IF(BD3824&lt;&gt;0,"pas de prix",IF(M3824&lt;&gt; 0,"pas de quantité","pas de prix, ni de quantité"))))</f>
        <v/>
      </c>
      <c r="BI3824" s="19"/>
    </row>
    <row r="3825" customFormat="false" ht="15" hidden="false" customHeight="false" outlineLevel="0" collapsed="false">
      <c r="A3825" s="0" t="n">
        <v>25</v>
      </c>
      <c r="B3825" s="8" t="s">
        <v>24</v>
      </c>
      <c r="C3825" s="9" t="s">
        <v>25</v>
      </c>
      <c r="D3825" s="9" t="s">
        <v>26</v>
      </c>
      <c r="E3825" s="10" t="n">
        <v>1789</v>
      </c>
      <c r="F3825" s="9" t="s">
        <v>27</v>
      </c>
      <c r="G3825" s="9" t="s">
        <v>27</v>
      </c>
      <c r="H3825" s="11" t="n">
        <v>26</v>
      </c>
      <c r="I3825" s="11" t="s">
        <v>396</v>
      </c>
      <c r="J3825" s="14" t="n">
        <v>2</v>
      </c>
      <c r="K3825" s="14" t="n">
        <v>10</v>
      </c>
      <c r="L3825" s="16"/>
      <c r="M3825" s="27" t="n">
        <f aca="false">J3825+(K3825/20)+(L3825/240)</f>
        <v>2.5</v>
      </c>
      <c r="N3825" s="17" t="s">
        <v>66</v>
      </c>
      <c r="O3825" s="11"/>
      <c r="P3825" s="28"/>
      <c r="Q3825" s="28" t="n">
        <f aca="false">P3825*$M3825</f>
        <v>0</v>
      </c>
      <c r="R3825" s="28"/>
      <c r="S3825" s="28" t="n">
        <f aca="false">R3825*$M3825</f>
        <v>0</v>
      </c>
      <c r="T3825" s="28"/>
      <c r="U3825" s="28" t="n">
        <f aca="false">T3825*$M3825</f>
        <v>0</v>
      </c>
      <c r="V3825" s="28"/>
      <c r="W3825" s="28" t="n">
        <f aca="false">V3825*$M3825</f>
        <v>0</v>
      </c>
      <c r="X3825" s="28"/>
      <c r="Y3825" s="28" t="n">
        <f aca="false">X3825*$M3825</f>
        <v>0</v>
      </c>
      <c r="Z3825" s="28"/>
      <c r="AA3825" s="28" t="n">
        <f aca="false">Z3825*$M3825</f>
        <v>0</v>
      </c>
      <c r="AB3825" s="28"/>
      <c r="AC3825" s="28" t="n">
        <f aca="false">AB3825*$M3825</f>
        <v>0</v>
      </c>
      <c r="AD3825" s="28"/>
      <c r="AE3825" s="28" t="n">
        <f aca="false">AD3825*$M3825</f>
        <v>0</v>
      </c>
      <c r="AF3825" s="28"/>
      <c r="AG3825" s="28" t="n">
        <f aca="false">AF3825*$M3825</f>
        <v>0</v>
      </c>
      <c r="AH3825" s="28"/>
      <c r="AI3825" s="28" t="n">
        <f aca="false">AH3825*$M3825</f>
        <v>0</v>
      </c>
      <c r="AJ3825" s="28" t="n">
        <v>7127</v>
      </c>
      <c r="AK3825" s="28" t="n">
        <v>17817</v>
      </c>
      <c r="AL3825" s="28"/>
      <c r="AM3825" s="28" t="n">
        <f aca="false">AL3825*$M3825</f>
        <v>0</v>
      </c>
      <c r="AN3825" s="28"/>
      <c r="AO3825" s="28" t="n">
        <f aca="false">AN3825*$M3825</f>
        <v>0</v>
      </c>
      <c r="AP3825" s="28"/>
      <c r="AQ3825" s="28" t="n">
        <f aca="false">AP3825*$M3825</f>
        <v>0</v>
      </c>
      <c r="AR3825" s="28"/>
      <c r="AS3825" s="28" t="n">
        <f aca="false">AR3825*$M3825</f>
        <v>0</v>
      </c>
      <c r="AT3825" s="28"/>
      <c r="AU3825" s="28" t="n">
        <f aca="false">AT3825*$M3825</f>
        <v>0</v>
      </c>
      <c r="AV3825" s="28"/>
      <c r="AW3825" s="28" t="n">
        <f aca="false">AV3825*$M3825</f>
        <v>0</v>
      </c>
      <c r="AX3825" s="28"/>
      <c r="AY3825" s="28" t="n">
        <f aca="false">AX3825*$M3825</f>
        <v>0</v>
      </c>
      <c r="AZ3825" s="30" t="n">
        <v>7127</v>
      </c>
      <c r="BA3825" s="11" t="n">
        <v>17817</v>
      </c>
      <c r="BB3825" s="31" t="n">
        <f aca="false">SUM(Q3825,S3825,U3825,W3825,Y3825,AA3825,AC3825,AE3825,AG3825,AI3825,AK3825,AM3825,AO3825,AQ3825,AS3825,AU3825,AW3825,AY3825)</f>
        <v>17817</v>
      </c>
      <c r="BC3825" s="28" t="n">
        <f aca="false">BA3825-BB3825</f>
        <v>0</v>
      </c>
      <c r="BD3825" s="32" t="n">
        <f aca="false">SUM(P3825,R3825,T3825,V3825,X3825,Z3825,AB3825,AD3825,AF3825,AH3825,AJ3825,AL3825,AN3825,AP3825,AR3825,AT3825,AV3825,AX3825)</f>
        <v>7127</v>
      </c>
      <c r="BE3825" s="33" t="n">
        <f aca="false">AZ3825-BD3825</f>
        <v>0</v>
      </c>
      <c r="BF3825" s="34" t="n">
        <f aca="false">BD3825*M3825</f>
        <v>17817.5</v>
      </c>
      <c r="BG3825" s="35" t="n">
        <f aca="false">BA3825-BF3825</f>
        <v>-0.5</v>
      </c>
      <c r="BH3825" s="19" t="str">
        <f aca="false">IF(BG3825=0,"",IF(BG3825&lt;&gt;BA3825,"erreur de calcul",IF(BD3825&lt;&gt;0,"pas de prix",IF(M3825&lt;&gt; 0,"pas de quantité","pas de prix, ni de quantité"))))</f>
        <v>erreur de calcul</v>
      </c>
      <c r="BI3825" s="19"/>
    </row>
    <row r="3826" customFormat="false" ht="15" hidden="false" customHeight="false" outlineLevel="0" collapsed="false">
      <c r="A3826" s="0" t="n">
        <v>26</v>
      </c>
      <c r="B3826" s="8" t="s">
        <v>24</v>
      </c>
      <c r="C3826" s="9" t="s">
        <v>25</v>
      </c>
      <c r="D3826" s="9" t="s">
        <v>26</v>
      </c>
      <c r="E3826" s="10" t="n">
        <v>1789</v>
      </c>
      <c r="F3826" s="9" t="s">
        <v>27</v>
      </c>
      <c r="G3826" s="9" t="s">
        <v>27</v>
      </c>
      <c r="H3826" s="11" t="n">
        <v>26</v>
      </c>
      <c r="I3826" s="11" t="s">
        <v>397</v>
      </c>
      <c r="J3826" s="14" t="n">
        <v>6</v>
      </c>
      <c r="K3826" s="14" t="n">
        <v>10</v>
      </c>
      <c r="L3826" s="16"/>
      <c r="M3826" s="27" t="n">
        <f aca="false">J3826+(K3826/20)+(L3826/240)</f>
        <v>6.5</v>
      </c>
      <c r="N3826" s="17" t="s">
        <v>64</v>
      </c>
      <c r="O3826" s="11"/>
      <c r="P3826" s="28"/>
      <c r="Q3826" s="28" t="n">
        <f aca="false">P3826*$M3826</f>
        <v>0</v>
      </c>
      <c r="R3826" s="28"/>
      <c r="S3826" s="28" t="n">
        <f aca="false">R3826*$M3826</f>
        <v>0</v>
      </c>
      <c r="T3826" s="28"/>
      <c r="U3826" s="28" t="n">
        <f aca="false">T3826*$M3826</f>
        <v>0</v>
      </c>
      <c r="V3826" s="28"/>
      <c r="W3826" s="28" t="n">
        <f aca="false">V3826*$M3826</f>
        <v>0</v>
      </c>
      <c r="X3826" s="28" t="n">
        <f aca="false">22000/100</f>
        <v>220</v>
      </c>
      <c r="Y3826" s="28" t="n">
        <v>1430</v>
      </c>
      <c r="Z3826" s="28"/>
      <c r="AA3826" s="28" t="n">
        <f aca="false">Z3826*$M3826</f>
        <v>0</v>
      </c>
      <c r="AB3826" s="28" t="n">
        <f aca="false">3575715/100</f>
        <v>35757.15</v>
      </c>
      <c r="AC3826" s="36" t="n">
        <v>214543</v>
      </c>
      <c r="AD3826" s="28"/>
      <c r="AE3826" s="28" t="n">
        <f aca="false">AD3826*$M3826</f>
        <v>0</v>
      </c>
      <c r="AF3826" s="28"/>
      <c r="AG3826" s="28" t="n">
        <f aca="false">AF3826*$M3826</f>
        <v>0</v>
      </c>
      <c r="AH3826" s="28"/>
      <c r="AI3826" s="28" t="n">
        <f aca="false">AH3826*$M3826</f>
        <v>0</v>
      </c>
      <c r="AJ3826" s="28"/>
      <c r="AK3826" s="28" t="n">
        <f aca="false">AJ3826*$M3826</f>
        <v>0</v>
      </c>
      <c r="AL3826" s="28"/>
      <c r="AM3826" s="28" t="n">
        <f aca="false">AL3826*$M3826</f>
        <v>0</v>
      </c>
      <c r="AN3826" s="28"/>
      <c r="AO3826" s="28" t="n">
        <f aca="false">AN3826*$M3826</f>
        <v>0</v>
      </c>
      <c r="AP3826" s="28"/>
      <c r="AQ3826" s="28" t="n">
        <f aca="false">AP3826*$M3826</f>
        <v>0</v>
      </c>
      <c r="AR3826" s="28"/>
      <c r="AS3826" s="28" t="n">
        <f aca="false">AR3826*$M3826</f>
        <v>0</v>
      </c>
      <c r="AT3826" s="28"/>
      <c r="AU3826" s="28" t="n">
        <f aca="false">AT3826*$M3826</f>
        <v>0</v>
      </c>
      <c r="AV3826" s="28"/>
      <c r="AW3826" s="28" t="n">
        <f aca="false">AV3826*$M3826</f>
        <v>0</v>
      </c>
      <c r="AX3826" s="28"/>
      <c r="AY3826" s="28" t="n">
        <f aca="false">AX3826*$M3826</f>
        <v>0</v>
      </c>
      <c r="AZ3826" s="30" t="n">
        <f aca="false">3597715/100</f>
        <v>35977.15</v>
      </c>
      <c r="BA3826" s="11" t="n">
        <v>215973</v>
      </c>
      <c r="BB3826" s="31" t="n">
        <f aca="false">SUM(Q3826,S3826,U3826,W3826,Y3826,AA3826,AC3826,AE3826,AG3826,AI3826,AK3826,AM3826,AO3826,AQ3826,AS3826,AU3826,AW3826,AY3826)</f>
        <v>215973</v>
      </c>
      <c r="BC3826" s="28" t="n">
        <f aca="false">BA3826-BB3826</f>
        <v>0</v>
      </c>
      <c r="BD3826" s="32" t="n">
        <f aca="false">SUM(P3826,R3826,T3826,V3826,X3826,Z3826,AB3826,AD3826,AF3826,AH3826,AJ3826,AL3826,AN3826,AP3826,AR3826,AT3826,AV3826,AX3826)</f>
        <v>35977.15</v>
      </c>
      <c r="BE3826" s="33" t="n">
        <f aca="false">AZ3826-BD3826</f>
        <v>0</v>
      </c>
      <c r="BF3826" s="34" t="n">
        <f aca="false">BD3826*M3826</f>
        <v>233851.475</v>
      </c>
      <c r="BG3826" s="35" t="n">
        <f aca="false">BA3826-BF3826</f>
        <v>-17878.475</v>
      </c>
      <c r="BH3826" s="19" t="str">
        <f aca="false">IF(BG3826=0,"",IF(BG3826&lt;&gt;BA3826,"erreur de calcul",IF(BD3826&lt;&gt;0,"pas de prix",IF(M3826&lt;&gt; 0,"pas de quantité","pas de prix, ni de quantité"))))</f>
        <v>erreur de calcul</v>
      </c>
      <c r="BI3826" s="19"/>
    </row>
    <row r="3827" customFormat="false" ht="15" hidden="false" customHeight="false" outlineLevel="0" collapsed="false">
      <c r="A3827" s="0" t="n">
        <v>27</v>
      </c>
      <c r="B3827" s="8" t="s">
        <v>24</v>
      </c>
      <c r="C3827" s="9" t="s">
        <v>25</v>
      </c>
      <c r="D3827" s="9" t="s">
        <v>26</v>
      </c>
      <c r="E3827" s="10" t="n">
        <v>1789</v>
      </c>
      <c r="F3827" s="9" t="s">
        <v>27</v>
      </c>
      <c r="G3827" s="9" t="s">
        <v>27</v>
      </c>
      <c r="H3827" s="11" t="n">
        <v>26</v>
      </c>
      <c r="I3827" s="11" t="s">
        <v>398</v>
      </c>
      <c r="J3827" s="14" t="n">
        <v>11</v>
      </c>
      <c r="K3827" s="14"/>
      <c r="L3827" s="16"/>
      <c r="M3827" s="27" t="n">
        <f aca="false">J3827+(K3827/20)+(L3827/240)</f>
        <v>11</v>
      </c>
      <c r="N3827" s="17" t="s">
        <v>64</v>
      </c>
      <c r="O3827" s="11"/>
      <c r="P3827" s="28" t="n">
        <f aca="false">166667/100</f>
        <v>1666.67</v>
      </c>
      <c r="Q3827" s="28" t="n">
        <v>18333</v>
      </c>
      <c r="R3827" s="28"/>
      <c r="S3827" s="28" t="n">
        <f aca="false">R3827*$M3827</f>
        <v>0</v>
      </c>
      <c r="T3827" s="28"/>
      <c r="U3827" s="28" t="n">
        <f aca="false">T3827*$M3827</f>
        <v>0</v>
      </c>
      <c r="V3827" s="28"/>
      <c r="W3827" s="28" t="n">
        <f aca="false">V3827*$M3827</f>
        <v>0</v>
      </c>
      <c r="X3827" s="28"/>
      <c r="Y3827" s="28" t="n">
        <f aca="false">X3827*$M3827</f>
        <v>0</v>
      </c>
      <c r="Z3827" s="28"/>
      <c r="AA3827" s="28" t="n">
        <f aca="false">Z3827*$M3827</f>
        <v>0</v>
      </c>
      <c r="AB3827" s="28" t="n">
        <f aca="false">3312/100</f>
        <v>33.12</v>
      </c>
      <c r="AC3827" s="28" t="n">
        <v>364</v>
      </c>
      <c r="AD3827" s="28"/>
      <c r="AE3827" s="28" t="n">
        <f aca="false">AD3827*$M3827</f>
        <v>0</v>
      </c>
      <c r="AF3827" s="28"/>
      <c r="AG3827" s="28" t="n">
        <f aca="false">AF3827*$M3827</f>
        <v>0</v>
      </c>
      <c r="AH3827" s="28"/>
      <c r="AI3827" s="28" t="n">
        <f aca="false">AH3827*$M3827</f>
        <v>0</v>
      </c>
      <c r="AJ3827" s="28"/>
      <c r="AK3827" s="28" t="n">
        <f aca="false">AJ3827*$M3827</f>
        <v>0</v>
      </c>
      <c r="AL3827" s="28"/>
      <c r="AM3827" s="28" t="n">
        <f aca="false">AL3827*$M3827</f>
        <v>0</v>
      </c>
      <c r="AN3827" s="28"/>
      <c r="AO3827" s="28" t="n">
        <f aca="false">AN3827*$M3827</f>
        <v>0</v>
      </c>
      <c r="AP3827" s="28"/>
      <c r="AQ3827" s="28" t="n">
        <f aca="false">AP3827*$M3827</f>
        <v>0</v>
      </c>
      <c r="AR3827" s="28"/>
      <c r="AS3827" s="28" t="n">
        <f aca="false">AR3827*$M3827</f>
        <v>0</v>
      </c>
      <c r="AT3827" s="28"/>
      <c r="AU3827" s="28" t="n">
        <f aca="false">AT3827*$M3827</f>
        <v>0</v>
      </c>
      <c r="AV3827" s="28"/>
      <c r="AW3827" s="28" t="n">
        <f aca="false">AV3827*$M3827</f>
        <v>0</v>
      </c>
      <c r="AX3827" s="28"/>
      <c r="AY3827" s="28" t="n">
        <f aca="false">AX3827*$M3827</f>
        <v>0</v>
      </c>
      <c r="AZ3827" s="30" t="n">
        <f aca="false">169979/100</f>
        <v>1699.79</v>
      </c>
      <c r="BA3827" s="11" t="n">
        <v>18697</v>
      </c>
      <c r="BB3827" s="31" t="n">
        <f aca="false">SUM(Q3827,S3827,U3827,W3827,Y3827,AA3827,AC3827,AE3827,AG3827,AI3827,AK3827,AM3827,AO3827,AQ3827,AS3827,AU3827,AW3827,AY3827)</f>
        <v>18697</v>
      </c>
      <c r="BC3827" s="28" t="n">
        <f aca="false">BA3827-BB3827</f>
        <v>0</v>
      </c>
      <c r="BD3827" s="32" t="n">
        <f aca="false">SUM(P3827,R3827,T3827,V3827,X3827,Z3827,AB3827,AD3827,AF3827,AH3827,AJ3827,AL3827,AN3827,AP3827,AR3827,AT3827,AV3827,AX3827)</f>
        <v>1699.79</v>
      </c>
      <c r="BE3827" s="33" t="n">
        <f aca="false">AZ3827-BD3827</f>
        <v>0</v>
      </c>
      <c r="BF3827" s="34" t="n">
        <f aca="false">BD3827*M3827</f>
        <v>18697.69</v>
      </c>
      <c r="BG3827" s="35" t="n">
        <f aca="false">BA3827-BF3827</f>
        <v>-0.68999999999869</v>
      </c>
      <c r="BH3827" s="19" t="str">
        <f aca="false">IF(BG3827=0,"",IF(BG3827&lt;&gt;BA3827,"erreur de calcul",IF(BD3827&lt;&gt;0,"pas de prix",IF(M3827&lt;&gt; 0,"pas de quantité","pas de prix, ni de quantité"))))</f>
        <v>erreur de calcul</v>
      </c>
      <c r="BI3827" s="19"/>
    </row>
    <row r="3828" customFormat="false" ht="15" hidden="false" customHeight="false" outlineLevel="0" collapsed="false">
      <c r="A3828" s="0" t="n">
        <v>28</v>
      </c>
      <c r="B3828" s="8" t="s">
        <v>24</v>
      </c>
      <c r="C3828" s="9" t="s">
        <v>25</v>
      </c>
      <c r="D3828" s="9" t="s">
        <v>26</v>
      </c>
      <c r="E3828" s="10" t="n">
        <v>1789</v>
      </c>
      <c r="F3828" s="9" t="s">
        <v>27</v>
      </c>
      <c r="G3828" s="9" t="s">
        <v>27</v>
      </c>
      <c r="H3828" s="11" t="n">
        <v>26</v>
      </c>
      <c r="I3828" s="11" t="s">
        <v>399</v>
      </c>
      <c r="J3828" s="14" t="n">
        <v>18</v>
      </c>
      <c r="K3828" s="14"/>
      <c r="L3828" s="16"/>
      <c r="M3828" s="27" t="n">
        <f aca="false">J3828+(K3828/20)+(L3828/240)</f>
        <v>18</v>
      </c>
      <c r="N3828" s="17" t="s">
        <v>66</v>
      </c>
      <c r="O3828" s="11"/>
      <c r="P3828" s="28"/>
      <c r="Q3828" s="28" t="n">
        <f aca="false">P3828*$M3828</f>
        <v>0</v>
      </c>
      <c r="R3828" s="28"/>
      <c r="S3828" s="28" t="n">
        <f aca="false">R3828*$M3828</f>
        <v>0</v>
      </c>
      <c r="T3828" s="28"/>
      <c r="U3828" s="28" t="n">
        <f aca="false">T3828*$M3828</f>
        <v>0</v>
      </c>
      <c r="V3828" s="28"/>
      <c r="W3828" s="28" t="n">
        <f aca="false">V3828*$M3828</f>
        <v>0</v>
      </c>
      <c r="X3828" s="28"/>
      <c r="Y3828" s="28" t="n">
        <f aca="false">X3828*$M3828</f>
        <v>0</v>
      </c>
      <c r="Z3828" s="28"/>
      <c r="AA3828" s="28" t="n">
        <f aca="false">Z3828*$M3828</f>
        <v>0</v>
      </c>
      <c r="AB3828" s="28"/>
      <c r="AC3828" s="28" t="n">
        <f aca="false">AB3828*$M3828</f>
        <v>0</v>
      </c>
      <c r="AD3828" s="28"/>
      <c r="AE3828" s="28" t="n">
        <f aca="false">AD3828*$M3828</f>
        <v>0</v>
      </c>
      <c r="AF3828" s="28"/>
      <c r="AG3828" s="28" t="n">
        <f aca="false">AF3828*$M3828</f>
        <v>0</v>
      </c>
      <c r="AH3828" s="28" t="n">
        <v>72036</v>
      </c>
      <c r="AI3828" s="28" t="n">
        <v>1296648</v>
      </c>
      <c r="AJ3828" s="28"/>
      <c r="AK3828" s="28" t="n">
        <f aca="false">AJ3828*$M3828</f>
        <v>0</v>
      </c>
      <c r="AL3828" s="28"/>
      <c r="AM3828" s="28" t="n">
        <f aca="false">AL3828*$M3828</f>
        <v>0</v>
      </c>
      <c r="AN3828" s="28"/>
      <c r="AO3828" s="28" t="n">
        <f aca="false">AN3828*$M3828</f>
        <v>0</v>
      </c>
      <c r="AP3828" s="28"/>
      <c r="AQ3828" s="28" t="n">
        <f aca="false">AP3828*$M3828</f>
        <v>0</v>
      </c>
      <c r="AR3828" s="28"/>
      <c r="AS3828" s="28" t="n">
        <f aca="false">AR3828*$M3828</f>
        <v>0</v>
      </c>
      <c r="AT3828" s="28"/>
      <c r="AU3828" s="28" t="n">
        <f aca="false">AT3828*$M3828</f>
        <v>0</v>
      </c>
      <c r="AV3828" s="28"/>
      <c r="AW3828" s="28" t="n">
        <f aca="false">AV3828*$M3828</f>
        <v>0</v>
      </c>
      <c r="AX3828" s="28"/>
      <c r="AY3828" s="28" t="n">
        <f aca="false">AX3828*$M3828</f>
        <v>0</v>
      </c>
      <c r="AZ3828" s="30" t="n">
        <v>72036</v>
      </c>
      <c r="BA3828" s="11" t="n">
        <v>1296648</v>
      </c>
      <c r="BB3828" s="31" t="n">
        <f aca="false">SUM(Q3828,S3828,U3828,W3828,Y3828,AA3828,AC3828,AE3828,AG3828,AI3828,AK3828,AM3828,AO3828,AQ3828,AS3828,AU3828,AW3828,AY3828)</f>
        <v>1296648</v>
      </c>
      <c r="BC3828" s="28" t="n">
        <f aca="false">BA3828-BB3828</f>
        <v>0</v>
      </c>
      <c r="BD3828" s="32" t="n">
        <f aca="false">SUM(P3828,R3828,T3828,V3828,X3828,Z3828,AB3828,AD3828,AF3828,AH3828,AJ3828,AL3828,AN3828,AP3828,AR3828,AT3828,AV3828,AX3828)</f>
        <v>72036</v>
      </c>
      <c r="BE3828" s="33" t="n">
        <f aca="false">AZ3828-BD3828</f>
        <v>0</v>
      </c>
      <c r="BF3828" s="34" t="n">
        <f aca="false">BD3828*M3828</f>
        <v>1296648</v>
      </c>
      <c r="BG3828" s="35" t="n">
        <f aca="false">BA3828-BF3828</f>
        <v>0</v>
      </c>
      <c r="BH3828" s="19" t="str">
        <f aca="false">IF(BG3828=0,"",IF(BG3828&lt;&gt;BA3828,"erreur de calcul",IF(BD3828&lt;&gt;0,"pas de prix",IF(M3828&lt;&gt; 0,"pas de quantité","pas de prix, ni de quantité"))))</f>
        <v/>
      </c>
      <c r="BI3828" s="19"/>
    </row>
    <row r="3829" customFormat="false" ht="15" hidden="false" customHeight="false" outlineLevel="0" collapsed="false">
      <c r="A3829" s="0" t="n">
        <v>29</v>
      </c>
      <c r="B3829" s="8" t="s">
        <v>24</v>
      </c>
      <c r="C3829" s="9" t="s">
        <v>25</v>
      </c>
      <c r="D3829" s="9" t="s">
        <v>26</v>
      </c>
      <c r="E3829" s="10" t="n">
        <v>1789</v>
      </c>
      <c r="F3829" s="9" t="s">
        <v>27</v>
      </c>
      <c r="G3829" s="9" t="s">
        <v>27</v>
      </c>
      <c r="H3829" s="11" t="n">
        <v>26</v>
      </c>
      <c r="I3829" s="11" t="s">
        <v>400</v>
      </c>
      <c r="J3829" s="14" t="n">
        <v>19</v>
      </c>
      <c r="K3829" s="14"/>
      <c r="L3829" s="16"/>
      <c r="M3829" s="27" t="n">
        <f aca="false">J3829+(K3829/20)+(L3829/240)</f>
        <v>19</v>
      </c>
      <c r="N3829" s="17" t="s">
        <v>66</v>
      </c>
      <c r="O3829" s="11"/>
      <c r="P3829" s="28"/>
      <c r="Q3829" s="28" t="n">
        <f aca="false">P3829*$M3829</f>
        <v>0</v>
      </c>
      <c r="R3829" s="28"/>
      <c r="S3829" s="28" t="n">
        <f aca="false">R3829*$M3829</f>
        <v>0</v>
      </c>
      <c r="T3829" s="28"/>
      <c r="U3829" s="28" t="n">
        <f aca="false">T3829*$M3829</f>
        <v>0</v>
      </c>
      <c r="V3829" s="28"/>
      <c r="W3829" s="28" t="n">
        <f aca="false">V3829*$M3829</f>
        <v>0</v>
      </c>
      <c r="X3829" s="28"/>
      <c r="Y3829" s="28" t="n">
        <f aca="false">X3829*$M3829</f>
        <v>0</v>
      </c>
      <c r="Z3829" s="28"/>
      <c r="AA3829" s="28" t="n">
        <f aca="false">Z3829*$M3829</f>
        <v>0</v>
      </c>
      <c r="AB3829" s="28" t="n">
        <v>1176</v>
      </c>
      <c r="AC3829" s="28" t="n">
        <v>22344</v>
      </c>
      <c r="AD3829" s="28"/>
      <c r="AE3829" s="28" t="n">
        <f aca="false">AD3829*$M3829</f>
        <v>0</v>
      </c>
      <c r="AF3829" s="28"/>
      <c r="AG3829" s="28" t="n">
        <f aca="false">AF3829*$M3829</f>
        <v>0</v>
      </c>
      <c r="AH3829" s="28"/>
      <c r="AI3829" s="28" t="n">
        <f aca="false">AH3829*$M3829</f>
        <v>0</v>
      </c>
      <c r="AJ3829" s="28"/>
      <c r="AK3829" s="28" t="n">
        <f aca="false">AJ3829*$M3829</f>
        <v>0</v>
      </c>
      <c r="AL3829" s="28"/>
      <c r="AM3829" s="28" t="n">
        <f aca="false">AL3829*$M3829</f>
        <v>0</v>
      </c>
      <c r="AN3829" s="28"/>
      <c r="AO3829" s="28" t="n">
        <f aca="false">AN3829*$M3829</f>
        <v>0</v>
      </c>
      <c r="AP3829" s="28"/>
      <c r="AQ3829" s="28" t="n">
        <f aca="false">AP3829*$M3829</f>
        <v>0</v>
      </c>
      <c r="AR3829" s="28"/>
      <c r="AS3829" s="28" t="n">
        <f aca="false">AR3829*$M3829</f>
        <v>0</v>
      </c>
      <c r="AT3829" s="28"/>
      <c r="AU3829" s="28" t="n">
        <f aca="false">AT3829*$M3829</f>
        <v>0</v>
      </c>
      <c r="AV3829" s="28"/>
      <c r="AW3829" s="28" t="n">
        <f aca="false">AV3829*$M3829</f>
        <v>0</v>
      </c>
      <c r="AX3829" s="28"/>
      <c r="AY3829" s="28" t="n">
        <f aca="false">AX3829*$M3829</f>
        <v>0</v>
      </c>
      <c r="AZ3829" s="30" t="n">
        <v>1176</v>
      </c>
      <c r="BA3829" s="11" t="n">
        <v>22344</v>
      </c>
      <c r="BB3829" s="31" t="n">
        <f aca="false">SUM(Q3829,S3829,U3829,W3829,Y3829,AA3829,AC3829,AE3829,AG3829,AI3829,AK3829,AM3829,AO3829,AQ3829,AS3829,AU3829,AW3829,AY3829)</f>
        <v>22344</v>
      </c>
      <c r="BC3829" s="28" t="n">
        <f aca="false">BA3829-BB3829</f>
        <v>0</v>
      </c>
      <c r="BD3829" s="32" t="n">
        <f aca="false">SUM(P3829,R3829,T3829,V3829,X3829,Z3829,AB3829,AD3829,AF3829,AH3829,AJ3829,AL3829,AN3829,AP3829,AR3829,AT3829,AV3829,AX3829)</f>
        <v>1176</v>
      </c>
      <c r="BE3829" s="33" t="n">
        <f aca="false">AZ3829-BD3829</f>
        <v>0</v>
      </c>
      <c r="BF3829" s="34" t="n">
        <f aca="false">BD3829*M3829</f>
        <v>22344</v>
      </c>
      <c r="BG3829" s="35" t="n">
        <f aca="false">BA3829-BF3829</f>
        <v>0</v>
      </c>
      <c r="BH3829" s="19" t="str">
        <f aca="false">IF(BG3829=0,"",IF(BG3829&lt;&gt;BA3829,"erreur de calcul",IF(BD3829&lt;&gt;0,"pas de prix",IF(M3829&lt;&gt; 0,"pas de quantité","pas de prix, ni de quantité"))))</f>
        <v/>
      </c>
      <c r="BI3829" s="19"/>
    </row>
    <row r="3830" customFormat="false" ht="15" hidden="false" customHeight="false" outlineLevel="0" collapsed="false">
      <c r="A3830" s="0" t="n">
        <v>30</v>
      </c>
      <c r="B3830" s="8" t="s">
        <v>24</v>
      </c>
      <c r="C3830" s="9" t="s">
        <v>25</v>
      </c>
      <c r="D3830" s="9" t="s">
        <v>26</v>
      </c>
      <c r="E3830" s="10" t="n">
        <v>1789</v>
      </c>
      <c r="F3830" s="9" t="s">
        <v>27</v>
      </c>
      <c r="G3830" s="9" t="s">
        <v>27</v>
      </c>
      <c r="H3830" s="11" t="n">
        <v>26</v>
      </c>
      <c r="I3830" s="11" t="s">
        <v>401</v>
      </c>
      <c r="J3830" s="14" t="n">
        <v>20</v>
      </c>
      <c r="K3830" s="14"/>
      <c r="L3830" s="16"/>
      <c r="M3830" s="27" t="n">
        <f aca="false">J3830+(K3830/20)+(L3830/240)</f>
        <v>20</v>
      </c>
      <c r="N3830" s="17" t="s">
        <v>66</v>
      </c>
      <c r="O3830" s="11"/>
      <c r="P3830" s="28"/>
      <c r="Q3830" s="28" t="n">
        <f aca="false">P3830*$M3830</f>
        <v>0</v>
      </c>
      <c r="R3830" s="28"/>
      <c r="S3830" s="28" t="n">
        <f aca="false">R3830*$M3830</f>
        <v>0</v>
      </c>
      <c r="T3830" s="28" t="n">
        <v>7478</v>
      </c>
      <c r="U3830" s="28" t="n">
        <v>149560</v>
      </c>
      <c r="V3830" s="28" t="n">
        <v>3386</v>
      </c>
      <c r="W3830" s="36" t="n">
        <v>66720</v>
      </c>
      <c r="X3830" s="28" t="n">
        <v>2233</v>
      </c>
      <c r="Y3830" s="28" t="n">
        <v>44660</v>
      </c>
      <c r="Z3830" s="28" t="n">
        <v>867</v>
      </c>
      <c r="AA3830" s="28" t="n">
        <v>17340</v>
      </c>
      <c r="AB3830" s="28" t="n">
        <v>32380</v>
      </c>
      <c r="AC3830" s="28" t="n">
        <v>647600</v>
      </c>
      <c r="AD3830" s="28"/>
      <c r="AE3830" s="28" t="n">
        <f aca="false">AD3830*$M3830</f>
        <v>0</v>
      </c>
      <c r="AF3830" s="28"/>
      <c r="AG3830" s="28" t="n">
        <f aca="false">AF3830*$M3830</f>
        <v>0</v>
      </c>
      <c r="AH3830" s="28" t="n">
        <v>12038</v>
      </c>
      <c r="AI3830" s="28" t="n">
        <v>240760</v>
      </c>
      <c r="AJ3830" s="28"/>
      <c r="AK3830" s="28" t="n">
        <f aca="false">AJ3830*$M3830</f>
        <v>0</v>
      </c>
      <c r="AL3830" s="28"/>
      <c r="AM3830" s="28" t="n">
        <f aca="false">AL3830*$M3830</f>
        <v>0</v>
      </c>
      <c r="AN3830" s="28"/>
      <c r="AO3830" s="28" t="n">
        <f aca="false">AN3830*$M3830</f>
        <v>0</v>
      </c>
      <c r="AP3830" s="28"/>
      <c r="AQ3830" s="28" t="n">
        <f aca="false">AP3830*$M3830</f>
        <v>0</v>
      </c>
      <c r="AR3830" s="28"/>
      <c r="AS3830" s="28" t="n">
        <f aca="false">AR3830*$M3830</f>
        <v>0</v>
      </c>
      <c r="AT3830" s="28"/>
      <c r="AU3830" s="28" t="n">
        <f aca="false">AT3830*$M3830</f>
        <v>0</v>
      </c>
      <c r="AV3830" s="28"/>
      <c r="AW3830" s="28" t="n">
        <f aca="false">AV3830*$M3830</f>
        <v>0</v>
      </c>
      <c r="AX3830" s="28"/>
      <c r="AY3830" s="28" t="n">
        <f aca="false">AX3830*$M3830</f>
        <v>0</v>
      </c>
      <c r="AZ3830" s="30" t="n">
        <v>58382</v>
      </c>
      <c r="BA3830" s="11" t="n">
        <v>1166640</v>
      </c>
      <c r="BB3830" s="31" t="n">
        <f aca="false">SUM(Q3830,S3830,U3830,W3830,Y3830,AA3830,AC3830,AE3830,AG3830,AI3830,AK3830,AM3830,AO3830,AQ3830,AS3830,AU3830,AW3830,AY3830)</f>
        <v>1166640</v>
      </c>
      <c r="BC3830" s="28" t="n">
        <f aca="false">BA3830-BB3830</f>
        <v>0</v>
      </c>
      <c r="BD3830" s="32" t="n">
        <f aca="false">SUM(P3830,R3830,T3830,V3830,X3830,Z3830,AB3830,AD3830,AF3830,AH3830,AJ3830,AL3830,AN3830,AP3830,AR3830,AT3830,AV3830,AX3830)</f>
        <v>58382</v>
      </c>
      <c r="BE3830" s="33" t="n">
        <f aca="false">AZ3830-BD3830</f>
        <v>0</v>
      </c>
      <c r="BF3830" s="34" t="n">
        <f aca="false">BD3830*M3830</f>
        <v>1167640</v>
      </c>
      <c r="BG3830" s="35" t="n">
        <f aca="false">BA3830-BF3830</f>
        <v>-1000</v>
      </c>
      <c r="BH3830" s="19" t="str">
        <f aca="false">IF(BG3830=0,"",IF(BG3830&lt;&gt;BA3830,"erreur de calcul",IF(BD3830&lt;&gt;0,"pas de prix",IF(M3830&lt;&gt; 0,"pas de quantité","pas de prix, ni de quantité"))))</f>
        <v>erreur de calcul</v>
      </c>
      <c r="BI3830" s="19"/>
    </row>
    <row r="3831" customFormat="false" ht="15" hidden="false" customHeight="false" outlineLevel="0" collapsed="false">
      <c r="A3831" s="0" t="n">
        <v>31</v>
      </c>
      <c r="B3831" s="8" t="s">
        <v>24</v>
      </c>
      <c r="C3831" s="9" t="s">
        <v>25</v>
      </c>
      <c r="D3831" s="9" t="s">
        <v>26</v>
      </c>
      <c r="E3831" s="10" t="n">
        <v>1789</v>
      </c>
      <c r="F3831" s="9" t="s">
        <v>27</v>
      </c>
      <c r="G3831" s="9" t="s">
        <v>27</v>
      </c>
      <c r="H3831" s="11" t="n">
        <v>26</v>
      </c>
      <c r="I3831" s="11" t="s">
        <v>402</v>
      </c>
      <c r="J3831" s="14" t="n">
        <v>17</v>
      </c>
      <c r="K3831" s="14"/>
      <c r="L3831" s="16"/>
      <c r="M3831" s="27" t="n">
        <f aca="false">J3831+(K3831/20)+(L3831/240)</f>
        <v>17</v>
      </c>
      <c r="N3831" s="17" t="s">
        <v>66</v>
      </c>
      <c r="O3831" s="11"/>
      <c r="P3831" s="28"/>
      <c r="Q3831" s="28" t="n">
        <f aca="false">P3831*$M3831</f>
        <v>0</v>
      </c>
      <c r="R3831" s="28"/>
      <c r="S3831" s="28" t="n">
        <f aca="false">R3831*$M3831</f>
        <v>0</v>
      </c>
      <c r="T3831" s="28" t="n">
        <v>126481</v>
      </c>
      <c r="U3831" s="28" t="n">
        <v>2150177</v>
      </c>
      <c r="V3831" s="28"/>
      <c r="W3831" s="28" t="n">
        <f aca="false">V3831*$M3831</f>
        <v>0</v>
      </c>
      <c r="X3831" s="28"/>
      <c r="Y3831" s="28" t="n">
        <f aca="false">X3831*$M3831</f>
        <v>0</v>
      </c>
      <c r="Z3831" s="28"/>
      <c r="AA3831" s="28" t="n">
        <f aca="false">Z3831*$M3831</f>
        <v>0</v>
      </c>
      <c r="AB3831" s="28"/>
      <c r="AC3831" s="28" t="n">
        <f aca="false">AB3831*$M3831</f>
        <v>0</v>
      </c>
      <c r="AD3831" s="28"/>
      <c r="AE3831" s="28" t="n">
        <f aca="false">AD3831*$M3831</f>
        <v>0</v>
      </c>
      <c r="AF3831" s="28"/>
      <c r="AG3831" s="28" t="n">
        <f aca="false">AF3831*$M3831</f>
        <v>0</v>
      </c>
      <c r="AH3831" s="28"/>
      <c r="AI3831" s="28" t="n">
        <f aca="false">AH3831*$M3831</f>
        <v>0</v>
      </c>
      <c r="AJ3831" s="28"/>
      <c r="AK3831" s="28" t="n">
        <f aca="false">AJ3831*$M3831</f>
        <v>0</v>
      </c>
      <c r="AL3831" s="28"/>
      <c r="AM3831" s="28" t="n">
        <f aca="false">AL3831*$M3831</f>
        <v>0</v>
      </c>
      <c r="AN3831" s="28"/>
      <c r="AO3831" s="28" t="n">
        <f aca="false">AN3831*$M3831</f>
        <v>0</v>
      </c>
      <c r="AP3831" s="28"/>
      <c r="AQ3831" s="28" t="n">
        <f aca="false">AP3831*$M3831</f>
        <v>0</v>
      </c>
      <c r="AR3831" s="28"/>
      <c r="AS3831" s="28" t="n">
        <f aca="false">AR3831*$M3831</f>
        <v>0</v>
      </c>
      <c r="AT3831" s="28"/>
      <c r="AU3831" s="28" t="n">
        <f aca="false">AT3831*$M3831</f>
        <v>0</v>
      </c>
      <c r="AV3831" s="28"/>
      <c r="AW3831" s="28" t="n">
        <f aca="false">AV3831*$M3831</f>
        <v>0</v>
      </c>
      <c r="AX3831" s="28"/>
      <c r="AY3831" s="28" t="n">
        <f aca="false">AX3831*$M3831</f>
        <v>0</v>
      </c>
      <c r="AZ3831" s="30" t="n">
        <v>126481</v>
      </c>
      <c r="BA3831" s="11" t="n">
        <v>2150177</v>
      </c>
      <c r="BB3831" s="31" t="n">
        <f aca="false">SUM(Q3831,S3831,U3831,W3831,Y3831,AA3831,AC3831,AE3831,AG3831,AI3831,AK3831,AM3831,AO3831,AQ3831,AS3831,AU3831,AW3831,AY3831)</f>
        <v>2150177</v>
      </c>
      <c r="BC3831" s="28" t="n">
        <f aca="false">BA3831-BB3831</f>
        <v>0</v>
      </c>
      <c r="BD3831" s="32" t="n">
        <f aca="false">SUM(P3831,R3831,T3831,V3831,X3831,Z3831,AB3831,AD3831,AF3831,AH3831,AJ3831,AL3831,AN3831,AP3831,AR3831,AT3831,AV3831,AX3831)</f>
        <v>126481</v>
      </c>
      <c r="BE3831" s="33" t="n">
        <f aca="false">AZ3831-BD3831</f>
        <v>0</v>
      </c>
      <c r="BF3831" s="34" t="n">
        <f aca="false">BD3831*M3831</f>
        <v>2150177</v>
      </c>
      <c r="BG3831" s="35" t="n">
        <f aca="false">BA3831-BF3831</f>
        <v>0</v>
      </c>
      <c r="BH3831" s="19" t="str">
        <f aca="false">IF(BG3831=0,"",IF(BG3831&lt;&gt;BA3831,"erreur de calcul",IF(BD3831&lt;&gt;0,"pas de prix",IF(M3831&lt;&gt; 0,"pas de quantité","pas de prix, ni de quantité"))))</f>
        <v/>
      </c>
      <c r="BI3831" s="19"/>
    </row>
    <row r="3832" customFormat="false" ht="15" hidden="false" customHeight="false" outlineLevel="0" collapsed="false">
      <c r="A3832" s="0" t="n">
        <v>32</v>
      </c>
      <c r="B3832" s="8" t="s">
        <v>24</v>
      </c>
      <c r="C3832" s="9" t="s">
        <v>25</v>
      </c>
      <c r="D3832" s="9" t="s">
        <v>26</v>
      </c>
      <c r="E3832" s="10" t="n">
        <v>1789</v>
      </c>
      <c r="F3832" s="9" t="s">
        <v>27</v>
      </c>
      <c r="G3832" s="9" t="s">
        <v>27</v>
      </c>
      <c r="H3832" s="11" t="n">
        <v>26</v>
      </c>
      <c r="I3832" s="11" t="s">
        <v>403</v>
      </c>
      <c r="J3832" s="14" t="n">
        <v>28</v>
      </c>
      <c r="K3832" s="14"/>
      <c r="L3832" s="16"/>
      <c r="M3832" s="27" t="n">
        <f aca="false">J3832+(K3832/20)+(L3832/240)</f>
        <v>28</v>
      </c>
      <c r="N3832" s="17" t="s">
        <v>66</v>
      </c>
      <c r="O3832" s="11"/>
      <c r="P3832" s="28"/>
      <c r="Q3832" s="28" t="n">
        <f aca="false">P3832*$M3832</f>
        <v>0</v>
      </c>
      <c r="R3832" s="28"/>
      <c r="S3832" s="28" t="n">
        <f aca="false">R3832*$M3832</f>
        <v>0</v>
      </c>
      <c r="T3832" s="28"/>
      <c r="U3832" s="28" t="n">
        <f aca="false">T3832*$M3832</f>
        <v>0</v>
      </c>
      <c r="V3832" s="28" t="n">
        <v>1923</v>
      </c>
      <c r="W3832" s="28" t="n">
        <v>53844</v>
      </c>
      <c r="X3832" s="28" t="n">
        <v>7280</v>
      </c>
      <c r="Y3832" s="36" t="n">
        <v>203860</v>
      </c>
      <c r="Z3832" s="28"/>
      <c r="AA3832" s="28" t="n">
        <f aca="false">Z3832*$M3832</f>
        <v>0</v>
      </c>
      <c r="AB3832" s="28" t="n">
        <v>128803</v>
      </c>
      <c r="AC3832" s="28" t="n">
        <v>3606484</v>
      </c>
      <c r="AD3832" s="28"/>
      <c r="AE3832" s="28" t="n">
        <f aca="false">AD3832*$M3832</f>
        <v>0</v>
      </c>
      <c r="AF3832" s="28"/>
      <c r="AG3832" s="28" t="n">
        <f aca="false">AF3832*$M3832</f>
        <v>0</v>
      </c>
      <c r="AH3832" s="28"/>
      <c r="AI3832" s="28" t="n">
        <f aca="false">AH3832*$M3832</f>
        <v>0</v>
      </c>
      <c r="AJ3832" s="28"/>
      <c r="AK3832" s="28" t="n">
        <f aca="false">AJ3832*$M3832</f>
        <v>0</v>
      </c>
      <c r="AL3832" s="28"/>
      <c r="AM3832" s="28" t="n">
        <f aca="false">AL3832*$M3832</f>
        <v>0</v>
      </c>
      <c r="AN3832" s="28"/>
      <c r="AO3832" s="28" t="n">
        <f aca="false">AN3832*$M3832</f>
        <v>0</v>
      </c>
      <c r="AP3832" s="28"/>
      <c r="AQ3832" s="28" t="n">
        <f aca="false">AP3832*$M3832</f>
        <v>0</v>
      </c>
      <c r="AR3832" s="28"/>
      <c r="AS3832" s="28" t="n">
        <f aca="false">AR3832*$M3832</f>
        <v>0</v>
      </c>
      <c r="AT3832" s="28"/>
      <c r="AU3832" s="28" t="n">
        <f aca="false">AT3832*$M3832</f>
        <v>0</v>
      </c>
      <c r="AV3832" s="28"/>
      <c r="AW3832" s="28" t="n">
        <f aca="false">AV3832*$M3832</f>
        <v>0</v>
      </c>
      <c r="AX3832" s="28"/>
      <c r="AY3832" s="28" t="n">
        <f aca="false">AX3832*$M3832</f>
        <v>0</v>
      </c>
      <c r="AZ3832" s="30" t="n">
        <v>138006</v>
      </c>
      <c r="BA3832" s="11" t="n">
        <v>3864188</v>
      </c>
      <c r="BB3832" s="31" t="n">
        <f aca="false">SUM(Q3832,S3832,U3832,W3832,Y3832,AA3832,AC3832,AE3832,AG3832,AI3832,AK3832,AM3832,AO3832,AQ3832,AS3832,AU3832,AW3832,AY3832)</f>
        <v>3864188</v>
      </c>
      <c r="BC3832" s="28" t="n">
        <f aca="false">BA3832-BB3832</f>
        <v>0</v>
      </c>
      <c r="BD3832" s="32" t="n">
        <f aca="false">SUM(P3832,R3832,T3832,V3832,X3832,Z3832,AB3832,AD3832,AF3832,AH3832,AJ3832,AL3832,AN3832,AP3832,AR3832,AT3832,AV3832,AX3832)</f>
        <v>138006</v>
      </c>
      <c r="BE3832" s="33" t="n">
        <f aca="false">AZ3832-BD3832</f>
        <v>0</v>
      </c>
      <c r="BF3832" s="34" t="n">
        <f aca="false">BD3832*M3832</f>
        <v>3864168</v>
      </c>
      <c r="BG3832" s="35" t="n">
        <f aca="false">BA3832-BF3832</f>
        <v>20</v>
      </c>
      <c r="BH3832" s="19" t="str">
        <f aca="false">IF(BG3832=0,"",IF(BG3832&lt;&gt;BA3832,"erreur de calcul",IF(BD3832&lt;&gt;0,"pas de prix",IF(M3832&lt;&gt; 0,"pas de quantité","pas de prix, ni de quantité"))))</f>
        <v>erreur de calcul</v>
      </c>
      <c r="BI3832" s="19"/>
    </row>
    <row r="3833" customFormat="false" ht="15" hidden="false" customHeight="false" outlineLevel="0" collapsed="false">
      <c r="A3833" s="0" t="n">
        <v>33</v>
      </c>
      <c r="B3833" s="8" t="s">
        <v>24</v>
      </c>
      <c r="C3833" s="9" t="s">
        <v>25</v>
      </c>
      <c r="D3833" s="9" t="s">
        <v>26</v>
      </c>
      <c r="E3833" s="10" t="n">
        <v>1789</v>
      </c>
      <c r="F3833" s="9" t="s">
        <v>27</v>
      </c>
      <c r="G3833" s="9" t="s">
        <v>27</v>
      </c>
      <c r="H3833" s="11" t="n">
        <v>26</v>
      </c>
      <c r="I3833" s="11" t="s">
        <v>404</v>
      </c>
      <c r="J3833" s="14"/>
      <c r="K3833" s="14" t="n">
        <v>30</v>
      </c>
      <c r="L3833" s="16"/>
      <c r="M3833" s="27" t="n">
        <f aca="false">J3833+(K3833/20)+(L3833/240)</f>
        <v>1.5</v>
      </c>
      <c r="N3833" s="17" t="s">
        <v>66</v>
      </c>
      <c r="O3833" s="11"/>
      <c r="P3833" s="28"/>
      <c r="Q3833" s="28" t="n">
        <f aca="false">P3833*$M3833</f>
        <v>0</v>
      </c>
      <c r="R3833" s="28"/>
      <c r="S3833" s="28" t="n">
        <f aca="false">R3833*$M3833</f>
        <v>0</v>
      </c>
      <c r="T3833" s="28" t="n">
        <v>11245</v>
      </c>
      <c r="U3833" s="28" t="n">
        <v>16867</v>
      </c>
      <c r="V3833" s="28"/>
      <c r="W3833" s="28" t="n">
        <f aca="false">V3833*$M3833</f>
        <v>0</v>
      </c>
      <c r="X3833" s="28"/>
      <c r="Y3833" s="28" t="n">
        <f aca="false">X3833*$M3833</f>
        <v>0</v>
      </c>
      <c r="Z3833" s="28"/>
      <c r="AA3833" s="28" t="n">
        <f aca="false">Z3833*$M3833</f>
        <v>0</v>
      </c>
      <c r="AB3833" s="28"/>
      <c r="AC3833" s="28" t="n">
        <f aca="false">AB3833*$M3833</f>
        <v>0</v>
      </c>
      <c r="AD3833" s="28"/>
      <c r="AE3833" s="28" t="n">
        <f aca="false">AD3833*$M3833</f>
        <v>0</v>
      </c>
      <c r="AF3833" s="28"/>
      <c r="AG3833" s="28" t="n">
        <f aca="false">AF3833*$M3833</f>
        <v>0</v>
      </c>
      <c r="AH3833" s="28"/>
      <c r="AI3833" s="28" t="n">
        <f aca="false">AH3833*$M3833</f>
        <v>0</v>
      </c>
      <c r="AJ3833" s="28"/>
      <c r="AK3833" s="28" t="n">
        <f aca="false">AJ3833*$M3833</f>
        <v>0</v>
      </c>
      <c r="AL3833" s="28"/>
      <c r="AM3833" s="28" t="n">
        <f aca="false">AL3833*$M3833</f>
        <v>0</v>
      </c>
      <c r="AN3833" s="28"/>
      <c r="AO3833" s="28" t="n">
        <f aca="false">AN3833*$M3833</f>
        <v>0</v>
      </c>
      <c r="AP3833" s="28"/>
      <c r="AQ3833" s="28" t="n">
        <f aca="false">AP3833*$M3833</f>
        <v>0</v>
      </c>
      <c r="AR3833" s="28"/>
      <c r="AS3833" s="28" t="n">
        <f aca="false">AR3833*$M3833</f>
        <v>0</v>
      </c>
      <c r="AT3833" s="28"/>
      <c r="AU3833" s="28" t="n">
        <f aca="false">AT3833*$M3833</f>
        <v>0</v>
      </c>
      <c r="AV3833" s="28"/>
      <c r="AW3833" s="28" t="n">
        <f aca="false">AV3833*$M3833</f>
        <v>0</v>
      </c>
      <c r="AX3833" s="28"/>
      <c r="AY3833" s="28" t="n">
        <f aca="false">AX3833*$M3833</f>
        <v>0</v>
      </c>
      <c r="AZ3833" s="30" t="n">
        <v>11245</v>
      </c>
      <c r="BA3833" s="11" t="n">
        <v>16867</v>
      </c>
      <c r="BB3833" s="31" t="n">
        <f aca="false">SUM(Q3833,S3833,U3833,W3833,Y3833,AA3833,AC3833,AE3833,AG3833,AI3833,AK3833,AM3833,AO3833,AQ3833,AS3833,AU3833,AW3833,AY3833)</f>
        <v>16867</v>
      </c>
      <c r="BC3833" s="28" t="n">
        <f aca="false">BA3833-BB3833</f>
        <v>0</v>
      </c>
      <c r="BD3833" s="32" t="n">
        <f aca="false">SUM(P3833,R3833,T3833,V3833,X3833,Z3833,AB3833,AD3833,AF3833,AH3833,AJ3833,AL3833,AN3833,AP3833,AR3833,AT3833,AV3833,AX3833)</f>
        <v>11245</v>
      </c>
      <c r="BE3833" s="33" t="n">
        <f aca="false">AZ3833-BD3833</f>
        <v>0</v>
      </c>
      <c r="BF3833" s="34" t="n">
        <f aca="false">BD3833*M3833</f>
        <v>16867.5</v>
      </c>
      <c r="BG3833" s="35" t="n">
        <f aca="false">BA3833-BF3833</f>
        <v>-0.5</v>
      </c>
      <c r="BH3833" s="19" t="str">
        <f aca="false">IF(BG3833=0,"",IF(BG3833&lt;&gt;BA3833,"erreur de calcul",IF(BD3833&lt;&gt;0,"pas de prix",IF(M3833&lt;&gt; 0,"pas de quantité","pas de prix, ni de quantité"))))</f>
        <v>erreur de calcul</v>
      </c>
      <c r="BI3833" s="19"/>
    </row>
    <row r="3834" customFormat="false" ht="15" hidden="false" customHeight="false" outlineLevel="0" collapsed="false">
      <c r="A3834" s="0" t="n">
        <v>34</v>
      </c>
      <c r="B3834" s="8" t="s">
        <v>24</v>
      </c>
      <c r="C3834" s="9" t="s">
        <v>25</v>
      </c>
      <c r="D3834" s="9" t="s">
        <v>26</v>
      </c>
      <c r="E3834" s="10" t="n">
        <v>1789</v>
      </c>
      <c r="F3834" s="9" t="s">
        <v>27</v>
      </c>
      <c r="G3834" s="9" t="s">
        <v>27</v>
      </c>
      <c r="H3834" s="11" t="n">
        <v>26</v>
      </c>
      <c r="I3834" s="11" t="s">
        <v>405</v>
      </c>
      <c r="J3834" s="14"/>
      <c r="K3834" s="14" t="n">
        <v>40</v>
      </c>
      <c r="L3834" s="16"/>
      <c r="M3834" s="27" t="n">
        <f aca="false">J3834+(K3834/20)+(L3834/240)</f>
        <v>2</v>
      </c>
      <c r="N3834" s="17" t="s">
        <v>66</v>
      </c>
      <c r="O3834" s="11"/>
      <c r="P3834" s="28"/>
      <c r="Q3834" s="28" t="n">
        <f aca="false">P3834*$M3834</f>
        <v>0</v>
      </c>
      <c r="R3834" s="28"/>
      <c r="S3834" s="28" t="n">
        <f aca="false">R3834*$M3834</f>
        <v>0</v>
      </c>
      <c r="T3834" s="28"/>
      <c r="U3834" s="28" t="n">
        <f aca="false">T3834*$M3834</f>
        <v>0</v>
      </c>
      <c r="V3834" s="28"/>
      <c r="W3834" s="28" t="n">
        <f aca="false">V3834*$M3834</f>
        <v>0</v>
      </c>
      <c r="X3834" s="28"/>
      <c r="Y3834" s="28" t="n">
        <f aca="false">X3834*$M3834</f>
        <v>0</v>
      </c>
      <c r="Z3834" s="28"/>
      <c r="AA3834" s="28" t="n">
        <f aca="false">Z3834*$M3834</f>
        <v>0</v>
      </c>
      <c r="AB3834" s="28"/>
      <c r="AC3834" s="28" t="n">
        <f aca="false">AB3834*$M3834</f>
        <v>0</v>
      </c>
      <c r="AD3834" s="28"/>
      <c r="AE3834" s="28" t="n">
        <f aca="false">AD3834*$M3834</f>
        <v>0</v>
      </c>
      <c r="AF3834" s="28"/>
      <c r="AG3834" s="28" t="n">
        <f aca="false">AF3834*$M3834</f>
        <v>0</v>
      </c>
      <c r="AH3834" s="28" t="n">
        <v>9380</v>
      </c>
      <c r="AI3834" s="28" t="n">
        <v>18760</v>
      </c>
      <c r="AJ3834" s="28"/>
      <c r="AK3834" s="28" t="n">
        <f aca="false">AJ3834*$M3834</f>
        <v>0</v>
      </c>
      <c r="AL3834" s="28"/>
      <c r="AM3834" s="28" t="n">
        <f aca="false">AL3834*$M3834</f>
        <v>0</v>
      </c>
      <c r="AN3834" s="28"/>
      <c r="AO3834" s="28" t="n">
        <f aca="false">AN3834*$M3834</f>
        <v>0</v>
      </c>
      <c r="AP3834" s="28"/>
      <c r="AQ3834" s="28" t="n">
        <f aca="false">AP3834*$M3834</f>
        <v>0</v>
      </c>
      <c r="AR3834" s="28"/>
      <c r="AS3834" s="28" t="n">
        <f aca="false">AR3834*$M3834</f>
        <v>0</v>
      </c>
      <c r="AT3834" s="28"/>
      <c r="AU3834" s="28" t="n">
        <f aca="false">AT3834*$M3834</f>
        <v>0</v>
      </c>
      <c r="AV3834" s="28"/>
      <c r="AW3834" s="28" t="n">
        <f aca="false">AV3834*$M3834</f>
        <v>0</v>
      </c>
      <c r="AX3834" s="28"/>
      <c r="AY3834" s="28" t="n">
        <f aca="false">AX3834*$M3834</f>
        <v>0</v>
      </c>
      <c r="AZ3834" s="30" t="n">
        <v>9380</v>
      </c>
      <c r="BA3834" s="11" t="n">
        <v>18760</v>
      </c>
      <c r="BB3834" s="31" t="n">
        <f aca="false">SUM(Q3834,S3834,U3834,W3834,Y3834,AA3834,AC3834,AE3834,AG3834,AI3834,AK3834,AM3834,AO3834,AQ3834,AS3834,AU3834,AW3834,AY3834)</f>
        <v>18760</v>
      </c>
      <c r="BC3834" s="28" t="n">
        <f aca="false">BA3834-BB3834</f>
        <v>0</v>
      </c>
      <c r="BD3834" s="32" t="n">
        <f aca="false">SUM(P3834,R3834,T3834,V3834,X3834,Z3834,AB3834,AD3834,AF3834,AH3834,AJ3834,AL3834,AN3834,AP3834,AR3834,AT3834,AV3834,AX3834)</f>
        <v>9380</v>
      </c>
      <c r="BE3834" s="33" t="n">
        <f aca="false">AZ3834-BD3834</f>
        <v>0</v>
      </c>
      <c r="BF3834" s="34" t="n">
        <f aca="false">BD3834*M3834</f>
        <v>18760</v>
      </c>
      <c r="BG3834" s="35" t="n">
        <f aca="false">BA3834-BF3834</f>
        <v>0</v>
      </c>
      <c r="BH3834" s="19" t="str">
        <f aca="false">IF(BG3834=0,"",IF(BG3834&lt;&gt;BA3834,"erreur de calcul",IF(BD3834&lt;&gt;0,"pas de prix",IF(M3834&lt;&gt; 0,"pas de quantité","pas de prix, ni de quantité"))))</f>
        <v/>
      </c>
      <c r="BI3834" s="19"/>
    </row>
    <row r="3835" customFormat="false" ht="15" hidden="false" customHeight="false" outlineLevel="0" collapsed="false">
      <c r="A3835" s="0" t="n">
        <v>35</v>
      </c>
      <c r="B3835" s="8" t="s">
        <v>24</v>
      </c>
      <c r="C3835" s="9" t="s">
        <v>25</v>
      </c>
      <c r="D3835" s="9" t="s">
        <v>26</v>
      </c>
      <c r="E3835" s="10" t="n">
        <v>1789</v>
      </c>
      <c r="F3835" s="9" t="s">
        <v>27</v>
      </c>
      <c r="G3835" s="9" t="s">
        <v>27</v>
      </c>
      <c r="H3835" s="11" t="n">
        <v>26</v>
      </c>
      <c r="I3835" s="11" t="s">
        <v>406</v>
      </c>
      <c r="J3835" s="14" t="n">
        <v>55</v>
      </c>
      <c r="K3835" s="14"/>
      <c r="L3835" s="16"/>
      <c r="M3835" s="27" t="n">
        <f aca="false">J3835+(K3835/20)+(L3835/240)</f>
        <v>55</v>
      </c>
      <c r="N3835" s="17" t="s">
        <v>64</v>
      </c>
      <c r="O3835" s="11"/>
      <c r="P3835" s="28" t="n">
        <f aca="false">634/100</f>
        <v>6.34</v>
      </c>
      <c r="Q3835" s="28" t="n">
        <v>349</v>
      </c>
      <c r="R3835" s="28"/>
      <c r="S3835" s="28" t="n">
        <f aca="false">R3835*$M3835</f>
        <v>0</v>
      </c>
      <c r="T3835" s="28" t="n">
        <f aca="false">2450/100</f>
        <v>24.5</v>
      </c>
      <c r="U3835" s="28" t="n">
        <v>1347</v>
      </c>
      <c r="V3835" s="28" t="n">
        <f aca="false">9685/100</f>
        <v>96.85</v>
      </c>
      <c r="W3835" s="28" t="n">
        <v>5327</v>
      </c>
      <c r="X3835" s="28"/>
      <c r="Y3835" s="28" t="n">
        <f aca="false">X3835*$M3835</f>
        <v>0</v>
      </c>
      <c r="Z3835" s="28"/>
      <c r="AA3835" s="28" t="n">
        <f aca="false">Z3835*$M3835</f>
        <v>0</v>
      </c>
      <c r="AB3835" s="28"/>
      <c r="AC3835" s="28" t="n">
        <f aca="false">AB3835*$M3835</f>
        <v>0</v>
      </c>
      <c r="AD3835" s="28"/>
      <c r="AE3835" s="28" t="n">
        <f aca="false">AD3835*$M3835</f>
        <v>0</v>
      </c>
      <c r="AF3835" s="28"/>
      <c r="AG3835" s="28" t="n">
        <f aca="false">AF3835*$M3835</f>
        <v>0</v>
      </c>
      <c r="AH3835" s="28"/>
      <c r="AI3835" s="28" t="n">
        <f aca="false">AH3835*$M3835</f>
        <v>0</v>
      </c>
      <c r="AJ3835" s="28"/>
      <c r="AK3835" s="28" t="n">
        <f aca="false">AJ3835*$M3835</f>
        <v>0</v>
      </c>
      <c r="AL3835" s="28"/>
      <c r="AM3835" s="28" t="n">
        <f aca="false">AL3835*$M3835</f>
        <v>0</v>
      </c>
      <c r="AN3835" s="28"/>
      <c r="AO3835" s="28" t="n">
        <f aca="false">AN3835*$M3835</f>
        <v>0</v>
      </c>
      <c r="AP3835" s="28"/>
      <c r="AQ3835" s="28" t="n">
        <f aca="false">AP3835*$M3835</f>
        <v>0</v>
      </c>
      <c r="AR3835" s="28"/>
      <c r="AS3835" s="28" t="n">
        <f aca="false">AR3835*$M3835</f>
        <v>0</v>
      </c>
      <c r="AT3835" s="28"/>
      <c r="AU3835" s="28" t="n">
        <f aca="false">AT3835*$M3835</f>
        <v>0</v>
      </c>
      <c r="AV3835" s="28"/>
      <c r="AW3835" s="28" t="n">
        <f aca="false">AV3835*$M3835</f>
        <v>0</v>
      </c>
      <c r="AX3835" s="28"/>
      <c r="AY3835" s="28" t="n">
        <f aca="false">AX3835*$M3835</f>
        <v>0</v>
      </c>
      <c r="AZ3835" s="30" t="n">
        <f aca="false">12769/100</f>
        <v>127.69</v>
      </c>
      <c r="BA3835" s="11" t="n">
        <v>7023</v>
      </c>
      <c r="BB3835" s="31" t="n">
        <f aca="false">SUM(Q3835,S3835,U3835,W3835,Y3835,AA3835,AC3835,AE3835,AG3835,AI3835,AK3835,AM3835,AO3835,AQ3835,AS3835,AU3835,AW3835,AY3835)</f>
        <v>7023</v>
      </c>
      <c r="BC3835" s="28" t="n">
        <f aca="false">BA3835-BB3835</f>
        <v>0</v>
      </c>
      <c r="BD3835" s="32" t="n">
        <f aca="false">SUM(P3835,R3835,T3835,V3835,X3835,Z3835,AB3835,AD3835,AF3835,AH3835,AJ3835,AL3835,AN3835,AP3835,AR3835,AT3835,AV3835,AX3835)</f>
        <v>127.69</v>
      </c>
      <c r="BE3835" s="33" t="n">
        <f aca="false">AZ3835-BD3835</f>
        <v>0</v>
      </c>
      <c r="BF3835" s="34" t="n">
        <f aca="false">BD3835*M3835</f>
        <v>7022.95</v>
      </c>
      <c r="BG3835" s="35" t="n">
        <f aca="false">BA3835-BF3835</f>
        <v>0.0500000000001819</v>
      </c>
      <c r="BH3835" s="19" t="str">
        <f aca="false">IF(BG3835=0,"",IF(BG3835&lt;&gt;BA3835,"erreur de calcul",IF(BD3835&lt;&gt;0,"pas de prix",IF(M3835&lt;&gt; 0,"pas de quantité","pas de prix, ni de quantité"))))</f>
        <v>erreur de calcul</v>
      </c>
      <c r="BI3835" s="19"/>
    </row>
    <row r="3836" customFormat="false" ht="15" hidden="false" customHeight="false" outlineLevel="0" collapsed="false">
      <c r="A3836" s="0" t="n">
        <v>36</v>
      </c>
      <c r="B3836" s="8" t="s">
        <v>24</v>
      </c>
      <c r="C3836" s="9" t="s">
        <v>25</v>
      </c>
      <c r="D3836" s="9" t="s">
        <v>26</v>
      </c>
      <c r="E3836" s="10" t="n">
        <v>1789</v>
      </c>
      <c r="F3836" s="9" t="s">
        <v>27</v>
      </c>
      <c r="G3836" s="9" t="s">
        <v>27</v>
      </c>
      <c r="H3836" s="11" t="n">
        <v>26</v>
      </c>
      <c r="I3836" s="11" t="s">
        <v>407</v>
      </c>
      <c r="J3836" s="14" t="n">
        <v>44</v>
      </c>
      <c r="K3836" s="14"/>
      <c r="L3836" s="16"/>
      <c r="M3836" s="27" t="n">
        <f aca="false">J3836+(K3836/20)+(L3836/240)</f>
        <v>44</v>
      </c>
      <c r="N3836" s="17" t="s">
        <v>64</v>
      </c>
      <c r="O3836" s="11" t="s">
        <v>77</v>
      </c>
      <c r="P3836" s="28" t="n">
        <f aca="false">68669/100</f>
        <v>686.69</v>
      </c>
      <c r="Q3836" s="28" t="n">
        <v>30214</v>
      </c>
      <c r="R3836" s="28"/>
      <c r="S3836" s="28" t="n">
        <f aca="false">R3836*$M3836</f>
        <v>0</v>
      </c>
      <c r="T3836" s="28" t="n">
        <f aca="false">7101/100</f>
        <v>71.01</v>
      </c>
      <c r="U3836" s="28" t="n">
        <v>3124</v>
      </c>
      <c r="V3836" s="28" t="n">
        <f aca="false">27549/100</f>
        <v>275.49</v>
      </c>
      <c r="W3836" s="28" t="n">
        <v>12121</v>
      </c>
      <c r="X3836" s="28" t="n">
        <f aca="false">947914/100</f>
        <v>9479.14</v>
      </c>
      <c r="Y3836" s="28" t="n">
        <v>417082</v>
      </c>
      <c r="Z3836" s="28" t="n">
        <f aca="false">183606/100</f>
        <v>1836.06</v>
      </c>
      <c r="AA3836" s="28" t="n">
        <v>80787</v>
      </c>
      <c r="AB3836" s="28" t="n">
        <f aca="false">36047/100</f>
        <v>360.47</v>
      </c>
      <c r="AC3836" s="28" t="n">
        <v>15861</v>
      </c>
      <c r="AD3836" s="28" t="n">
        <f aca="false">12322/100</f>
        <v>123.22</v>
      </c>
      <c r="AE3836" s="28" t="n">
        <v>5422</v>
      </c>
      <c r="AF3836" s="28"/>
      <c r="AG3836" s="28" t="n">
        <f aca="false">AF3836*$M3836</f>
        <v>0</v>
      </c>
      <c r="AH3836" s="28" t="n">
        <f aca="false">3318/100</f>
        <v>33.18</v>
      </c>
      <c r="AI3836" s="28" t="n">
        <v>1460</v>
      </c>
      <c r="AJ3836" s="28"/>
      <c r="AK3836" s="28" t="n">
        <f aca="false">AJ3836*$M3836</f>
        <v>0</v>
      </c>
      <c r="AL3836" s="28" t="n">
        <f aca="false">28260/100</f>
        <v>282.6</v>
      </c>
      <c r="AM3836" s="28" t="n">
        <v>12434</v>
      </c>
      <c r="AN3836" s="28"/>
      <c r="AO3836" s="28" t="n">
        <f aca="false">AN3836*$M3836</f>
        <v>0</v>
      </c>
      <c r="AP3836" s="28"/>
      <c r="AQ3836" s="28" t="n">
        <f aca="false">AP3836*$M3836</f>
        <v>0</v>
      </c>
      <c r="AR3836" s="28"/>
      <c r="AS3836" s="28" t="n">
        <f aca="false">AR3836*$M3836</f>
        <v>0</v>
      </c>
      <c r="AT3836" s="28"/>
      <c r="AU3836" s="28" t="n">
        <f aca="false">AT3836*$M3836</f>
        <v>0</v>
      </c>
      <c r="AV3836" s="28"/>
      <c r="AW3836" s="28" t="n">
        <f aca="false">AV3836*$M3836</f>
        <v>0</v>
      </c>
      <c r="AX3836" s="28"/>
      <c r="AY3836" s="28" t="n">
        <f aca="false">AX3836*$M3836</f>
        <v>0</v>
      </c>
      <c r="AZ3836" s="30" t="n">
        <f aca="false">1314786/100</f>
        <v>13147.86</v>
      </c>
      <c r="BA3836" s="11" t="n">
        <v>578505</v>
      </c>
      <c r="BB3836" s="31" t="n">
        <f aca="false">SUM(Q3836,S3836,U3836,W3836,Y3836,AA3836,AC3836,AE3836,AG3836,AI3836,AK3836,AM3836,AO3836,AQ3836,AS3836,AU3836,AW3836,AY3836)</f>
        <v>578505</v>
      </c>
      <c r="BC3836" s="28" t="n">
        <f aca="false">BA3836-BB3836</f>
        <v>0</v>
      </c>
      <c r="BD3836" s="32" t="n">
        <f aca="false">SUM(P3836,R3836,T3836,V3836,X3836,Z3836,AB3836,AD3836,AF3836,AH3836,AJ3836,AL3836,AN3836,AP3836,AR3836,AT3836,AV3836,AX3836)</f>
        <v>13147.86</v>
      </c>
      <c r="BE3836" s="33" t="n">
        <f aca="false">AZ3836-BD3836</f>
        <v>0</v>
      </c>
      <c r="BF3836" s="34" t="n">
        <f aca="false">BD3836*M3836</f>
        <v>578505.84</v>
      </c>
      <c r="BG3836" s="35" t="n">
        <f aca="false">BA3836-BF3836</f>
        <v>-0.839999999967404</v>
      </c>
      <c r="BH3836" s="19" t="str">
        <f aca="false">IF(BG3836=0,"",IF(BG3836&lt;&gt;BA3836,"erreur de calcul",IF(BD3836&lt;&gt;0,"pas de prix",IF(M3836&lt;&gt; 0,"pas de quantité","pas de prix, ni de quantité"))))</f>
        <v>erreur de calcul</v>
      </c>
      <c r="BI3836" s="19"/>
    </row>
    <row r="3837" customFormat="false" ht="15" hidden="false" customHeight="false" outlineLevel="0" collapsed="false">
      <c r="A3837" s="0" t="n">
        <v>37</v>
      </c>
      <c r="B3837" s="8" t="s">
        <v>24</v>
      </c>
      <c r="C3837" s="9" t="s">
        <v>25</v>
      </c>
      <c r="D3837" s="9" t="s">
        <v>26</v>
      </c>
      <c r="E3837" s="10" t="n">
        <v>1789</v>
      </c>
      <c r="F3837" s="9" t="s">
        <v>27</v>
      </c>
      <c r="G3837" s="9" t="s">
        <v>27</v>
      </c>
      <c r="H3837" s="11" t="n">
        <v>26</v>
      </c>
      <c r="I3837" s="11" t="s">
        <v>408</v>
      </c>
      <c r="J3837" s="14" t="n">
        <v>40</v>
      </c>
      <c r="K3837" s="14"/>
      <c r="L3837" s="16"/>
      <c r="M3837" s="27" t="n">
        <f aca="false">J3837+(K3837/20)+(L3837/240)</f>
        <v>40</v>
      </c>
      <c r="N3837" s="17" t="s">
        <v>64</v>
      </c>
      <c r="O3837" s="11"/>
      <c r="P3837" s="28"/>
      <c r="Q3837" s="28" t="n">
        <f aca="false">P3837*$M3837</f>
        <v>0</v>
      </c>
      <c r="R3837" s="28"/>
      <c r="S3837" s="28" t="n">
        <f aca="false">R3837*$M3837</f>
        <v>0</v>
      </c>
      <c r="T3837" s="28"/>
      <c r="U3837" s="28" t="n">
        <f aca="false">T3837*$M3837</f>
        <v>0</v>
      </c>
      <c r="V3837" s="28" t="n">
        <f aca="false">4827/100</f>
        <v>48.27</v>
      </c>
      <c r="W3837" s="28" t="n">
        <v>1931</v>
      </c>
      <c r="X3837" s="28"/>
      <c r="Y3837" s="28" t="n">
        <f aca="false">X3837*$M3837</f>
        <v>0</v>
      </c>
      <c r="Z3837" s="28"/>
      <c r="AA3837" s="28" t="n">
        <f aca="false">Z3837*$M3837</f>
        <v>0</v>
      </c>
      <c r="AB3837" s="28"/>
      <c r="AC3837" s="28" t="n">
        <f aca="false">AB3837*$M3837</f>
        <v>0</v>
      </c>
      <c r="AD3837" s="28"/>
      <c r="AE3837" s="28" t="n">
        <f aca="false">AD3837*$M3837</f>
        <v>0</v>
      </c>
      <c r="AF3837" s="28"/>
      <c r="AG3837" s="28" t="n">
        <f aca="false">AF3837*$M3837</f>
        <v>0</v>
      </c>
      <c r="AH3837" s="28"/>
      <c r="AI3837" s="28" t="n">
        <f aca="false">AH3837*$M3837</f>
        <v>0</v>
      </c>
      <c r="AJ3837" s="28"/>
      <c r="AK3837" s="28" t="n">
        <f aca="false">AJ3837*$M3837</f>
        <v>0</v>
      </c>
      <c r="AL3837" s="28"/>
      <c r="AM3837" s="28" t="n">
        <f aca="false">AL3837*$M3837</f>
        <v>0</v>
      </c>
      <c r="AN3837" s="28"/>
      <c r="AO3837" s="28" t="n">
        <f aca="false">AN3837*$M3837</f>
        <v>0</v>
      </c>
      <c r="AP3837" s="28"/>
      <c r="AQ3837" s="28" t="n">
        <f aca="false">AP3837*$M3837</f>
        <v>0</v>
      </c>
      <c r="AR3837" s="28"/>
      <c r="AS3837" s="28" t="n">
        <f aca="false">AR3837*$M3837</f>
        <v>0</v>
      </c>
      <c r="AT3837" s="28"/>
      <c r="AU3837" s="28" t="n">
        <f aca="false">AT3837*$M3837</f>
        <v>0</v>
      </c>
      <c r="AV3837" s="28"/>
      <c r="AW3837" s="28" t="n">
        <f aca="false">AV3837*$M3837</f>
        <v>0</v>
      </c>
      <c r="AX3837" s="28" t="n">
        <f aca="false">835109/100</f>
        <v>8351.09</v>
      </c>
      <c r="AY3837" s="28" t="n">
        <v>334044</v>
      </c>
      <c r="AZ3837" s="30" t="n">
        <f aca="false">839936/100</f>
        <v>8399.36</v>
      </c>
      <c r="BA3837" s="11" t="n">
        <v>335975</v>
      </c>
      <c r="BB3837" s="31" t="n">
        <f aca="false">SUM(Q3837,S3837,U3837,W3837,Y3837,AA3837,AC3837,AE3837,AG3837,AI3837,AK3837,AM3837,AO3837,AQ3837,AS3837,AU3837,AW3837,AY3837)</f>
        <v>335975</v>
      </c>
      <c r="BC3837" s="28" t="n">
        <f aca="false">BA3837-BB3837</f>
        <v>0</v>
      </c>
      <c r="BD3837" s="32" t="n">
        <f aca="false">SUM(P3837,R3837,T3837,V3837,X3837,Z3837,AB3837,AD3837,AF3837,AH3837,AJ3837,AL3837,AN3837,AP3837,AR3837,AT3837,AV3837,AX3837)</f>
        <v>8399.36</v>
      </c>
      <c r="BE3837" s="33" t="n">
        <f aca="false">AZ3837-BD3837</f>
        <v>0</v>
      </c>
      <c r="BF3837" s="34" t="n">
        <f aca="false">BD3837*M3837</f>
        <v>335974.4</v>
      </c>
      <c r="BG3837" s="35" t="n">
        <f aca="false">BA3837-BF3837</f>
        <v>0.599999999976717</v>
      </c>
      <c r="BH3837" s="19" t="str">
        <f aca="false">IF(BG3837=0,"",IF(BG3837&lt;&gt;BA3837,"erreur de calcul",IF(BD3837&lt;&gt;0,"pas de prix",IF(M3837&lt;&gt; 0,"pas de quantité","pas de prix, ni de quantité"))))</f>
        <v>erreur de calcul</v>
      </c>
      <c r="BI3837" s="19"/>
    </row>
    <row r="3838" customFormat="false" ht="16.65" hidden="false" customHeight="false" outlineLevel="0" collapsed="false">
      <c r="A3838" s="0" t="n">
        <v>38</v>
      </c>
      <c r="B3838" s="8" t="s">
        <v>24</v>
      </c>
      <c r="C3838" s="9" t="s">
        <v>25</v>
      </c>
      <c r="D3838" s="9" t="s">
        <v>26</v>
      </c>
      <c r="E3838" s="10" t="n">
        <v>1789</v>
      </c>
      <c r="F3838" s="9" t="s">
        <v>27</v>
      </c>
      <c r="G3838" s="9" t="s">
        <v>27</v>
      </c>
      <c r="H3838" s="11" t="n">
        <v>26</v>
      </c>
      <c r="I3838" s="11" t="s">
        <v>409</v>
      </c>
      <c r="J3838" s="14"/>
      <c r="K3838" s="14" t="n">
        <v>13</v>
      </c>
      <c r="L3838" s="16"/>
      <c r="M3838" s="27" t="n">
        <f aca="false">J3838+(K3838/20)+(L3838/240)</f>
        <v>0.65</v>
      </c>
      <c r="N3838" s="17" t="s">
        <v>64</v>
      </c>
      <c r="O3838" s="11"/>
      <c r="P3838" s="28"/>
      <c r="Q3838" s="28" t="n">
        <f aca="false">P3838*$M3838</f>
        <v>0</v>
      </c>
      <c r="R3838" s="28"/>
      <c r="S3838" s="28" t="n">
        <f aca="false">R3838*$M3838</f>
        <v>0</v>
      </c>
      <c r="T3838" s="28"/>
      <c r="U3838" s="28" t="n">
        <f aca="false">T3838*$M3838</f>
        <v>0</v>
      </c>
      <c r="V3838" s="28"/>
      <c r="W3838" s="28" t="n">
        <f aca="false">V3838*$M3838</f>
        <v>0</v>
      </c>
      <c r="X3838" s="28"/>
      <c r="Y3838" s="28" t="n">
        <f aca="false">X3838*$M3838</f>
        <v>0</v>
      </c>
      <c r="Z3838" s="28" t="n">
        <f aca="false">2471002/100</f>
        <v>24710.02</v>
      </c>
      <c r="AA3838" s="28" t="n">
        <v>16061</v>
      </c>
      <c r="AB3838" s="28"/>
      <c r="AC3838" s="28" t="n">
        <f aca="false">AB3838*$M3838</f>
        <v>0</v>
      </c>
      <c r="AD3838" s="28"/>
      <c r="AE3838" s="28" t="n">
        <f aca="false">AD3838*$M3838</f>
        <v>0</v>
      </c>
      <c r="AF3838" s="28"/>
      <c r="AG3838" s="28" t="n">
        <f aca="false">AF3838*$M3838</f>
        <v>0</v>
      </c>
      <c r="AH3838" s="28"/>
      <c r="AI3838" s="28" t="n">
        <f aca="false">AH3838*$M3838</f>
        <v>0</v>
      </c>
      <c r="AJ3838" s="28"/>
      <c r="AK3838" s="28" t="n">
        <f aca="false">AJ3838*$M3838</f>
        <v>0</v>
      </c>
      <c r="AL3838" s="28"/>
      <c r="AM3838" s="28" t="n">
        <f aca="false">AL3838*$M3838</f>
        <v>0</v>
      </c>
      <c r="AN3838" s="28"/>
      <c r="AO3838" s="28" t="n">
        <f aca="false">AN3838*$M3838</f>
        <v>0</v>
      </c>
      <c r="AP3838" s="28"/>
      <c r="AQ3838" s="28" t="n">
        <f aca="false">AP3838*$M3838</f>
        <v>0</v>
      </c>
      <c r="AR3838" s="28"/>
      <c r="AS3838" s="28" t="n">
        <f aca="false">AR3838*$M3838</f>
        <v>0</v>
      </c>
      <c r="AT3838" s="28"/>
      <c r="AU3838" s="28" t="n">
        <f aca="false">AT3838*$M3838</f>
        <v>0</v>
      </c>
      <c r="AV3838" s="28"/>
      <c r="AW3838" s="28" t="n">
        <f aca="false">AV3838*$M3838</f>
        <v>0</v>
      </c>
      <c r="AX3838" s="28"/>
      <c r="AY3838" s="28" t="n">
        <f aca="false">AX3838*$M3838</f>
        <v>0</v>
      </c>
      <c r="AZ3838" s="30" t="n">
        <f aca="false">2471002</f>
        <v>2471002</v>
      </c>
      <c r="BA3838" s="11" t="n">
        <v>16061</v>
      </c>
      <c r="BB3838" s="31" t="n">
        <f aca="false">SUM(Q3838,S3838,U3838,W3838,Y3838,AA3838,AC3838,AE3838,AG3838,AI3838,AK3838,AM3838,AO3838,AQ3838,AS3838,AU3838,AW3838,AY3838)</f>
        <v>16061</v>
      </c>
      <c r="BC3838" s="28" t="n">
        <f aca="false">BA3838-BB3838</f>
        <v>0</v>
      </c>
      <c r="BD3838" s="32" t="n">
        <f aca="false">SUM(P3838,R3838,T3838,V3838,X3838,Z3838,AB3838,AD3838,AF3838,AH3838,AJ3838,AL3838,AN3838,AP3838,AR3838,AT3838,AV3838,AX3838)</f>
        <v>24710.02</v>
      </c>
      <c r="BE3838" s="33" t="n">
        <f aca="false">AZ3838-BD3838</f>
        <v>2446291.98</v>
      </c>
      <c r="BF3838" s="34" t="n">
        <f aca="false">BD3838*M3838</f>
        <v>16061.513</v>
      </c>
      <c r="BG3838" s="35" t="n">
        <f aca="false">BA3838-BF3838</f>
        <v>-0.513000000000829</v>
      </c>
      <c r="BH3838" s="19" t="str">
        <f aca="false">IF(BG3838=0,"",IF(BG3838&lt;&gt;BA3838,"erreur de calcul",IF(BD3838&lt;&gt;0,"pas de prix",IF(M3838&lt;&gt; 0,"pas de quantité","pas de prix, ni de quantité"))))</f>
        <v>erreur de calcul</v>
      </c>
      <c r="BI3838" s="19"/>
    </row>
    <row r="3839" customFormat="false" ht="15" hidden="false" customHeight="false" outlineLevel="0" collapsed="false">
      <c r="A3839" s="0" t="n">
        <v>39</v>
      </c>
      <c r="B3839" s="8" t="s">
        <v>24</v>
      </c>
      <c r="C3839" s="9" t="s">
        <v>25</v>
      </c>
      <c r="D3839" s="9" t="s">
        <v>26</v>
      </c>
      <c r="E3839" s="10" t="n">
        <v>1789</v>
      </c>
      <c r="F3839" s="9" t="s">
        <v>27</v>
      </c>
      <c r="G3839" s="9" t="s">
        <v>27</v>
      </c>
      <c r="H3839" s="11" t="n">
        <v>26</v>
      </c>
      <c r="I3839" s="11" t="s">
        <v>410</v>
      </c>
      <c r="J3839" s="14" t="n">
        <v>10</v>
      </c>
      <c r="K3839" s="14"/>
      <c r="L3839" s="16"/>
      <c r="M3839" s="27" t="n">
        <f aca="false">J3839+(K3839/20)+(L3839/240)</f>
        <v>10</v>
      </c>
      <c r="N3839" s="17" t="s">
        <v>64</v>
      </c>
      <c r="O3839" s="11"/>
      <c r="P3839" s="28"/>
      <c r="Q3839" s="28" t="n">
        <f aca="false">P3839*$M3839</f>
        <v>0</v>
      </c>
      <c r="R3839" s="28"/>
      <c r="S3839" s="28" t="n">
        <f aca="false">R3839*$M3839</f>
        <v>0</v>
      </c>
      <c r="T3839" s="28"/>
      <c r="U3839" s="28" t="n">
        <f aca="false">T3839*$M3839</f>
        <v>0</v>
      </c>
      <c r="V3839" s="28"/>
      <c r="W3839" s="28" t="n">
        <f aca="false">V3839*$M3839</f>
        <v>0</v>
      </c>
      <c r="X3839" s="28" t="n">
        <f aca="false">2481/100</f>
        <v>24.81</v>
      </c>
      <c r="Y3839" s="28" t="n">
        <v>248</v>
      </c>
      <c r="Z3839" s="28"/>
      <c r="AA3839" s="28" t="n">
        <f aca="false">Z3839*$M3839</f>
        <v>0</v>
      </c>
      <c r="AB3839" s="28"/>
      <c r="AC3839" s="28" t="n">
        <f aca="false">AB3839*$M3839</f>
        <v>0</v>
      </c>
      <c r="AD3839" s="28"/>
      <c r="AE3839" s="28" t="n">
        <f aca="false">AD3839*$M3839</f>
        <v>0</v>
      </c>
      <c r="AF3839" s="28"/>
      <c r="AG3839" s="28" t="n">
        <f aca="false">AF3839*$M3839</f>
        <v>0</v>
      </c>
      <c r="AH3839" s="28"/>
      <c r="AI3839" s="28" t="n">
        <f aca="false">AH3839*$M3839</f>
        <v>0</v>
      </c>
      <c r="AJ3839" s="28"/>
      <c r="AK3839" s="28" t="n">
        <f aca="false">AJ3839*$M3839</f>
        <v>0</v>
      </c>
      <c r="AL3839" s="28"/>
      <c r="AM3839" s="28" t="n">
        <f aca="false">AL3839*$M3839</f>
        <v>0</v>
      </c>
      <c r="AN3839" s="28"/>
      <c r="AO3839" s="28" t="n">
        <f aca="false">AN3839*$M3839</f>
        <v>0</v>
      </c>
      <c r="AP3839" s="28"/>
      <c r="AQ3839" s="28" t="n">
        <f aca="false">AP3839*$M3839</f>
        <v>0</v>
      </c>
      <c r="AR3839" s="28"/>
      <c r="AS3839" s="28" t="n">
        <f aca="false">AR3839*$M3839</f>
        <v>0</v>
      </c>
      <c r="AT3839" s="28"/>
      <c r="AU3839" s="28" t="n">
        <f aca="false">AT3839*$M3839</f>
        <v>0</v>
      </c>
      <c r="AV3839" s="28"/>
      <c r="AW3839" s="28" t="n">
        <f aca="false">AV3839*$M3839</f>
        <v>0</v>
      </c>
      <c r="AX3839" s="28"/>
      <c r="AY3839" s="28" t="n">
        <f aca="false">AX3839*$M3839</f>
        <v>0</v>
      </c>
      <c r="AZ3839" s="30" t="n">
        <f aca="false">2481/100</f>
        <v>24.81</v>
      </c>
      <c r="BA3839" s="11" t="n">
        <v>248</v>
      </c>
      <c r="BB3839" s="31" t="n">
        <f aca="false">SUM(Q3839,S3839,U3839,W3839,Y3839,AA3839,AC3839,AE3839,AG3839,AI3839,AK3839,AM3839,AO3839,AQ3839,AS3839,AU3839,AW3839,AY3839)</f>
        <v>248</v>
      </c>
      <c r="BC3839" s="28" t="n">
        <f aca="false">BA3839-BB3839</f>
        <v>0</v>
      </c>
      <c r="BD3839" s="32" t="n">
        <f aca="false">SUM(P3839,R3839,T3839,V3839,X3839,Z3839,AB3839,AD3839,AF3839,AH3839,AJ3839,AL3839,AN3839,AP3839,AR3839,AT3839,AV3839,AX3839)</f>
        <v>24.81</v>
      </c>
      <c r="BE3839" s="33" t="n">
        <f aca="false">AZ3839-BD3839</f>
        <v>0</v>
      </c>
      <c r="BF3839" s="34" t="n">
        <f aca="false">BD3839*M3839</f>
        <v>248.1</v>
      </c>
      <c r="BG3839" s="35" t="n">
        <f aca="false">BA3839-BF3839</f>
        <v>-0.0999999999999943</v>
      </c>
      <c r="BH3839" s="19" t="str">
        <f aca="false">IF(BG3839=0,"",IF(BG3839&lt;&gt;BA3839,"erreur de calcul",IF(BD3839&lt;&gt;0,"pas de prix",IF(M3839&lt;&gt; 0,"pas de quantité","pas de prix, ni de quantité"))))</f>
        <v>erreur de calcul</v>
      </c>
      <c r="BI3839" s="19"/>
    </row>
    <row r="3840" customFormat="false" ht="15" hidden="false" customHeight="false" outlineLevel="0" collapsed="false">
      <c r="A3840" s="0" t="n">
        <v>40</v>
      </c>
      <c r="B3840" s="8" t="s">
        <v>24</v>
      </c>
      <c r="C3840" s="9" t="s">
        <v>25</v>
      </c>
      <c r="D3840" s="9" t="s">
        <v>26</v>
      </c>
      <c r="E3840" s="10" t="n">
        <v>1789</v>
      </c>
      <c r="F3840" s="9" t="s">
        <v>27</v>
      </c>
      <c r="G3840" s="9" t="s">
        <v>27</v>
      </c>
      <c r="H3840" s="11" t="n">
        <v>26</v>
      </c>
      <c r="I3840" s="11" t="s">
        <v>411</v>
      </c>
      <c r="J3840" s="14" t="n">
        <v>5</v>
      </c>
      <c r="K3840" s="14"/>
      <c r="L3840" s="16"/>
      <c r="M3840" s="27" t="n">
        <f aca="false">J3840+(K3840/20)+(L3840/240)</f>
        <v>5</v>
      </c>
      <c r="N3840" s="17" t="s">
        <v>66</v>
      </c>
      <c r="O3840" s="11" t="s">
        <v>98</v>
      </c>
      <c r="P3840" s="28"/>
      <c r="Q3840" s="28" t="n">
        <f aca="false">P3840*$M3840</f>
        <v>0</v>
      </c>
      <c r="R3840" s="28"/>
      <c r="S3840" s="28" t="n">
        <f aca="false">R3840*$M3840</f>
        <v>0</v>
      </c>
      <c r="T3840" s="28"/>
      <c r="U3840" s="28" t="n">
        <f aca="false">T3840*$M3840</f>
        <v>0</v>
      </c>
      <c r="V3840" s="28"/>
      <c r="W3840" s="28" t="n">
        <f aca="false">V3840*$M3840</f>
        <v>0</v>
      </c>
      <c r="X3840" s="28"/>
      <c r="Y3840" s="28" t="n">
        <f aca="false">X3840*$M3840</f>
        <v>0</v>
      </c>
      <c r="Z3840" s="28"/>
      <c r="AA3840" s="28" t="n">
        <f aca="false">Z3840*$M3840</f>
        <v>0</v>
      </c>
      <c r="AB3840" s="28"/>
      <c r="AC3840" s="28" t="n">
        <f aca="false">AB3840*$M3840</f>
        <v>0</v>
      </c>
      <c r="AD3840" s="28"/>
      <c r="AE3840" s="28" t="n">
        <f aca="false">AD3840*$M3840</f>
        <v>0</v>
      </c>
      <c r="AF3840" s="28" t="n">
        <v>22</v>
      </c>
      <c r="AG3840" s="28" t="n">
        <v>110</v>
      </c>
      <c r="AH3840" s="28" t="n">
        <v>2657</v>
      </c>
      <c r="AI3840" s="28" t="n">
        <v>13285</v>
      </c>
      <c r="AJ3840" s="28"/>
      <c r="AK3840" s="28" t="n">
        <f aca="false">AJ3840*$M3840</f>
        <v>0</v>
      </c>
      <c r="AL3840" s="28"/>
      <c r="AM3840" s="28" t="n">
        <f aca="false">AL3840*$M3840</f>
        <v>0</v>
      </c>
      <c r="AN3840" s="28"/>
      <c r="AO3840" s="28" t="n">
        <f aca="false">AN3840*$M3840</f>
        <v>0</v>
      </c>
      <c r="AP3840" s="28"/>
      <c r="AQ3840" s="28" t="n">
        <f aca="false">AP3840*$M3840</f>
        <v>0</v>
      </c>
      <c r="AR3840" s="28"/>
      <c r="AS3840" s="28" t="n">
        <f aca="false">AR3840*$M3840</f>
        <v>0</v>
      </c>
      <c r="AT3840" s="28"/>
      <c r="AU3840" s="28" t="n">
        <f aca="false">AT3840*$M3840</f>
        <v>0</v>
      </c>
      <c r="AV3840" s="28"/>
      <c r="AW3840" s="28" t="n">
        <f aca="false">AV3840*$M3840</f>
        <v>0</v>
      </c>
      <c r="AX3840" s="28"/>
      <c r="AY3840" s="28" t="n">
        <f aca="false">AX3840*$M3840</f>
        <v>0</v>
      </c>
      <c r="AZ3840" s="30" t="n">
        <v>2679</v>
      </c>
      <c r="BA3840" s="11" t="n">
        <v>13395</v>
      </c>
      <c r="BB3840" s="31" t="n">
        <f aca="false">SUM(Q3840,S3840,U3840,W3840,Y3840,AA3840,AC3840,AE3840,AG3840,AI3840,AK3840,AM3840,AO3840,AQ3840,AS3840,AU3840,AW3840,AY3840)</f>
        <v>13395</v>
      </c>
      <c r="BC3840" s="28" t="n">
        <f aca="false">BA3840-BB3840</f>
        <v>0</v>
      </c>
      <c r="BD3840" s="32" t="n">
        <f aca="false">SUM(P3840,R3840,T3840,V3840,X3840,Z3840,AB3840,AD3840,AF3840,AH3840,AJ3840,AL3840,AN3840,AP3840,AR3840,AT3840,AV3840,AX3840)</f>
        <v>2679</v>
      </c>
      <c r="BE3840" s="33" t="n">
        <f aca="false">AZ3840-BD3840</f>
        <v>0</v>
      </c>
      <c r="BF3840" s="34" t="n">
        <f aca="false">BD3840*M3840</f>
        <v>13395</v>
      </c>
      <c r="BG3840" s="35" t="n">
        <f aca="false">BA3840-BF3840</f>
        <v>0</v>
      </c>
      <c r="BH3840" s="19" t="str">
        <f aca="false">IF(BG3840=0,"",IF(BG3840&lt;&gt;BA3840,"erreur de calcul",IF(BD3840&lt;&gt;0,"pas de prix",IF(M3840&lt;&gt; 0,"pas de quantité","pas de prix, ni de quantité"))))</f>
        <v/>
      </c>
      <c r="BI3840" s="19"/>
    </row>
    <row r="3841" customFormat="false" ht="15" hidden="false" customHeight="false" outlineLevel="0" collapsed="false">
      <c r="A3841" s="0" t="n">
        <v>1</v>
      </c>
      <c r="B3841" s="8" t="s">
        <v>24</v>
      </c>
      <c r="C3841" s="9" t="s">
        <v>25</v>
      </c>
      <c r="D3841" s="9" t="s">
        <v>26</v>
      </c>
      <c r="E3841" s="10" t="n">
        <v>1789</v>
      </c>
      <c r="F3841" s="9" t="s">
        <v>27</v>
      </c>
      <c r="G3841" s="9" t="s">
        <v>27</v>
      </c>
      <c r="H3841" s="11" t="n">
        <v>27</v>
      </c>
      <c r="I3841" s="11" t="s">
        <v>412</v>
      </c>
      <c r="J3841" s="14" t="n">
        <v>7</v>
      </c>
      <c r="K3841" s="14" t="n">
        <v>10</v>
      </c>
      <c r="L3841" s="16"/>
      <c r="M3841" s="27" t="n">
        <f aca="false">J3841+(K3841/20)+(L3841/240)</f>
        <v>7.5</v>
      </c>
      <c r="N3841" s="17" t="s">
        <v>64</v>
      </c>
      <c r="O3841" s="11"/>
      <c r="P3841" s="28" t="n">
        <f aca="false">16667/100</f>
        <v>166.67</v>
      </c>
      <c r="Q3841" s="28" t="n">
        <v>1250</v>
      </c>
      <c r="R3841" s="28"/>
      <c r="S3841" s="28" t="n">
        <f aca="false">R3841*$M3841</f>
        <v>0</v>
      </c>
      <c r="T3841" s="28"/>
      <c r="U3841" s="28" t="n">
        <f aca="false">T3841*$M3841</f>
        <v>0</v>
      </c>
      <c r="V3841" s="28" t="n">
        <f aca="false">407887/100</f>
        <v>4078.87</v>
      </c>
      <c r="W3841" s="28" t="n">
        <v>30591</v>
      </c>
      <c r="X3841" s="28" t="n">
        <f aca="false">4444/100</f>
        <v>44.44</v>
      </c>
      <c r="Y3841" s="28" t="n">
        <v>333</v>
      </c>
      <c r="Z3841" s="28" t="n">
        <f aca="false">16084/100</f>
        <v>160.84</v>
      </c>
      <c r="AA3841" s="28" t="n">
        <v>1206</v>
      </c>
      <c r="AB3841" s="28" t="n">
        <f aca="false">20834/100</f>
        <v>208.34</v>
      </c>
      <c r="AC3841" s="28" t="n">
        <v>1562</v>
      </c>
      <c r="AD3841" s="28"/>
      <c r="AE3841" s="28" t="n">
        <f aca="false">AD3841*$M3841</f>
        <v>0</v>
      </c>
      <c r="AF3841" s="28"/>
      <c r="AG3841" s="28" t="n">
        <f aca="false">AF3841*$M3841</f>
        <v>0</v>
      </c>
      <c r="AH3841" s="28"/>
      <c r="AI3841" s="28" t="n">
        <f aca="false">AH3841*$M3841</f>
        <v>0</v>
      </c>
      <c r="AJ3841" s="28"/>
      <c r="AK3841" s="28" t="n">
        <f aca="false">AJ3841*$M3841</f>
        <v>0</v>
      </c>
      <c r="AL3841" s="28"/>
      <c r="AM3841" s="28" t="n">
        <f aca="false">AL3841*$M3841</f>
        <v>0</v>
      </c>
      <c r="AN3841" s="28"/>
      <c r="AO3841" s="28" t="n">
        <f aca="false">AN3841*$M3841</f>
        <v>0</v>
      </c>
      <c r="AP3841" s="28"/>
      <c r="AQ3841" s="28" t="n">
        <f aca="false">AP3841*$M3841</f>
        <v>0</v>
      </c>
      <c r="AR3841" s="28"/>
      <c r="AS3841" s="28" t="n">
        <f aca="false">AR3841*$M3841</f>
        <v>0</v>
      </c>
      <c r="AT3841" s="28"/>
      <c r="AU3841" s="28" t="n">
        <f aca="false">AT3841*$M3841</f>
        <v>0</v>
      </c>
      <c r="AV3841" s="28"/>
      <c r="AW3841" s="28" t="n">
        <f aca="false">AV3841*$M3841</f>
        <v>0</v>
      </c>
      <c r="AX3841" s="28"/>
      <c r="AY3841" s="28" t="n">
        <f aca="false">AX3841*$M3841</f>
        <v>0</v>
      </c>
      <c r="AZ3841" s="30" t="n">
        <f aca="false">465916/100</f>
        <v>4659.16</v>
      </c>
      <c r="BA3841" s="11" t="n">
        <v>34942</v>
      </c>
      <c r="BB3841" s="31" t="n">
        <f aca="false">SUM(Q3841,S3841,U3841,W3841,Y3841,AA3841,AC3841,AE3841,AG3841,AI3841,AK3841,AM3841,AO3841,AQ3841,AS3841,AU3841,AW3841,AY3841)</f>
        <v>34942</v>
      </c>
      <c r="BC3841" s="28" t="n">
        <f aca="false">BA3841-BB3841</f>
        <v>0</v>
      </c>
      <c r="BD3841" s="32" t="n">
        <f aca="false">SUM(P3841,R3841,T3841,V3841,X3841,Z3841,AB3841,AD3841,AF3841,AH3841,AJ3841,AL3841,AN3841,AP3841,AR3841,AT3841,AV3841,AX3841)</f>
        <v>4659.16</v>
      </c>
      <c r="BE3841" s="33" t="n">
        <f aca="false">AZ3841-BD3841</f>
        <v>0</v>
      </c>
      <c r="BF3841" s="34" t="n">
        <f aca="false">BD3841*M3841</f>
        <v>34943.7</v>
      </c>
      <c r="BG3841" s="35" t="n">
        <f aca="false">BA3841-BF3841</f>
        <v>-1.69999999999709</v>
      </c>
      <c r="BH3841" s="19" t="str">
        <f aca="false">IF(BG3841=0,"",IF(BG3841&lt;&gt;BA3841,"erreur de calcul",IF(BD3841&lt;&gt;0,"pas de prix",IF(M3841&lt;&gt; 0,"pas de quantité","pas de prix, ni de quantité"))))</f>
        <v>erreur de calcul</v>
      </c>
      <c r="BI3841" s="19"/>
    </row>
    <row r="3842" customFormat="false" ht="15" hidden="false" customHeight="false" outlineLevel="0" collapsed="false">
      <c r="A3842" s="0" t="n">
        <v>2</v>
      </c>
      <c r="B3842" s="8" t="s">
        <v>24</v>
      </c>
      <c r="C3842" s="9" t="s">
        <v>25</v>
      </c>
      <c r="D3842" s="9" t="s">
        <v>26</v>
      </c>
      <c r="E3842" s="10" t="n">
        <v>1789</v>
      </c>
      <c r="F3842" s="9" t="s">
        <v>27</v>
      </c>
      <c r="G3842" s="9" t="s">
        <v>27</v>
      </c>
      <c r="H3842" s="11" t="n">
        <v>27</v>
      </c>
      <c r="I3842" s="11" t="s">
        <v>413</v>
      </c>
      <c r="J3842" s="14" t="n">
        <v>3</v>
      </c>
      <c r="K3842" s="14"/>
      <c r="L3842" s="16"/>
      <c r="M3842" s="27" t="n">
        <f aca="false">J3842+(K3842/20)+(L3842/240)</f>
        <v>3</v>
      </c>
      <c r="N3842" s="17" t="s">
        <v>66</v>
      </c>
      <c r="O3842" s="11"/>
      <c r="P3842" s="28"/>
      <c r="Q3842" s="28" t="n">
        <f aca="false">P3842*$M3842</f>
        <v>0</v>
      </c>
      <c r="R3842" s="28"/>
      <c r="S3842" s="28" t="n">
        <f aca="false">R3842*$M3842</f>
        <v>0</v>
      </c>
      <c r="T3842" s="28"/>
      <c r="U3842" s="28" t="n">
        <f aca="false">T3842*$M3842</f>
        <v>0</v>
      </c>
      <c r="V3842" s="28"/>
      <c r="W3842" s="28" t="n">
        <f aca="false">V3842*$M3842</f>
        <v>0</v>
      </c>
      <c r="X3842" s="28"/>
      <c r="Y3842" s="28" t="n">
        <f aca="false">X3842*$M3842</f>
        <v>0</v>
      </c>
      <c r="Z3842" s="28"/>
      <c r="AA3842" s="28" t="n">
        <f aca="false">Z3842*$M3842</f>
        <v>0</v>
      </c>
      <c r="AB3842" s="28"/>
      <c r="AC3842" s="28" t="n">
        <f aca="false">AB3842*$M3842</f>
        <v>0</v>
      </c>
      <c r="AD3842" s="28"/>
      <c r="AE3842" s="28" t="n">
        <f aca="false">AD3842*$M3842</f>
        <v>0</v>
      </c>
      <c r="AF3842" s="28"/>
      <c r="AG3842" s="28" t="n">
        <f aca="false">AF3842*$M3842</f>
        <v>0</v>
      </c>
      <c r="AH3842" s="28" t="n">
        <v>58272</v>
      </c>
      <c r="AI3842" s="28" t="n">
        <v>174816</v>
      </c>
      <c r="AJ3842" s="28"/>
      <c r="AK3842" s="28" t="n">
        <f aca="false">AJ3842*$M3842</f>
        <v>0</v>
      </c>
      <c r="AL3842" s="28"/>
      <c r="AM3842" s="28" t="n">
        <f aca="false">AL3842*$M3842</f>
        <v>0</v>
      </c>
      <c r="AN3842" s="28"/>
      <c r="AO3842" s="28" t="n">
        <f aca="false">AN3842*$M3842</f>
        <v>0</v>
      </c>
      <c r="AP3842" s="28"/>
      <c r="AQ3842" s="28" t="n">
        <f aca="false">AP3842*$M3842</f>
        <v>0</v>
      </c>
      <c r="AR3842" s="28"/>
      <c r="AS3842" s="28" t="n">
        <f aca="false">AR3842*$M3842</f>
        <v>0</v>
      </c>
      <c r="AT3842" s="28"/>
      <c r="AU3842" s="28" t="n">
        <f aca="false">AT3842*$M3842</f>
        <v>0</v>
      </c>
      <c r="AV3842" s="28"/>
      <c r="AW3842" s="28" t="n">
        <f aca="false">AV3842*$M3842</f>
        <v>0</v>
      </c>
      <c r="AX3842" s="28"/>
      <c r="AY3842" s="28" t="n">
        <f aca="false">AX3842*$M3842</f>
        <v>0</v>
      </c>
      <c r="AZ3842" s="30" t="n">
        <f aca="false">58272</f>
        <v>58272</v>
      </c>
      <c r="BA3842" s="11" t="n">
        <v>174816</v>
      </c>
      <c r="BB3842" s="31" t="n">
        <f aca="false">SUM(Q3842,S3842,U3842,W3842,Y3842,AA3842,AC3842,AE3842,AG3842,AI3842,AK3842,AM3842,AO3842,AQ3842,AS3842,AU3842,AW3842,AY3842)</f>
        <v>174816</v>
      </c>
      <c r="BC3842" s="28" t="n">
        <f aca="false">BA3842-BB3842</f>
        <v>0</v>
      </c>
      <c r="BD3842" s="32" t="n">
        <f aca="false">SUM(P3842,R3842,T3842,V3842,X3842,Z3842,AB3842,AD3842,AF3842,AH3842,AJ3842,AL3842,AN3842,AP3842,AR3842,AT3842,AV3842,AX3842)</f>
        <v>58272</v>
      </c>
      <c r="BE3842" s="33" t="n">
        <f aca="false">AZ3842-BD3842</f>
        <v>0</v>
      </c>
      <c r="BF3842" s="34" t="n">
        <f aca="false">BD3842*M3842</f>
        <v>174816</v>
      </c>
      <c r="BG3842" s="35" t="n">
        <f aca="false">BA3842-BF3842</f>
        <v>0</v>
      </c>
      <c r="BH3842" s="19" t="str">
        <f aca="false">IF(BG3842=0,"",IF(BG3842&lt;&gt;BA3842,"erreur de calcul",IF(BD3842&lt;&gt;0,"pas de prix",IF(M3842&lt;&gt; 0,"pas de quantité","pas de prix, ni de quantité"))))</f>
        <v/>
      </c>
      <c r="BI3842" s="19"/>
    </row>
    <row r="3843" customFormat="false" ht="15" hidden="false" customHeight="false" outlineLevel="0" collapsed="false">
      <c r="A3843" s="0" t="n">
        <v>3</v>
      </c>
      <c r="B3843" s="8" t="s">
        <v>24</v>
      </c>
      <c r="C3843" s="9" t="s">
        <v>25</v>
      </c>
      <c r="D3843" s="9" t="s">
        <v>26</v>
      </c>
      <c r="E3843" s="10" t="n">
        <v>1789</v>
      </c>
      <c r="F3843" s="9" t="s">
        <v>27</v>
      </c>
      <c r="G3843" s="9" t="s">
        <v>27</v>
      </c>
      <c r="H3843" s="11" t="n">
        <v>27</v>
      </c>
      <c r="I3843" s="11" t="s">
        <v>414</v>
      </c>
      <c r="J3843" s="14" t="n">
        <v>3</v>
      </c>
      <c r="K3843" s="14"/>
      <c r="L3843" s="16"/>
      <c r="M3843" s="27" t="n">
        <f aca="false">J3843+(K3843/20)+(L3843/240)</f>
        <v>3</v>
      </c>
      <c r="N3843" s="17" t="s">
        <v>66</v>
      </c>
      <c r="O3843" s="11" t="s">
        <v>98</v>
      </c>
      <c r="P3843" s="28"/>
      <c r="Q3843" s="28" t="n">
        <f aca="false">P3843*$M3843</f>
        <v>0</v>
      </c>
      <c r="R3843" s="28"/>
      <c r="S3843" s="28" t="n">
        <f aca="false">R3843*$M3843</f>
        <v>0</v>
      </c>
      <c r="T3843" s="28"/>
      <c r="U3843" s="28" t="n">
        <f aca="false">T3843*$M3843</f>
        <v>0</v>
      </c>
      <c r="V3843" s="28"/>
      <c r="W3843" s="28" t="n">
        <f aca="false">V3843*$M3843</f>
        <v>0</v>
      </c>
      <c r="X3843" s="28"/>
      <c r="Y3843" s="28" t="n">
        <f aca="false">X3843*$M3843</f>
        <v>0</v>
      </c>
      <c r="Z3843" s="28"/>
      <c r="AA3843" s="28" t="n">
        <f aca="false">Z3843*$M3843</f>
        <v>0</v>
      </c>
      <c r="AB3843" s="28"/>
      <c r="AC3843" s="28" t="n">
        <f aca="false">AB3843*$M3843</f>
        <v>0</v>
      </c>
      <c r="AD3843" s="28"/>
      <c r="AE3843" s="28" t="n">
        <f aca="false">AD3843*$M3843</f>
        <v>0</v>
      </c>
      <c r="AF3843" s="28"/>
      <c r="AG3843" s="28" t="n">
        <f aca="false">AF3843*$M3843</f>
        <v>0</v>
      </c>
      <c r="AH3843" s="28" t="n">
        <v>110560</v>
      </c>
      <c r="AI3843" s="28" t="n">
        <v>331680</v>
      </c>
      <c r="AJ3843" s="28"/>
      <c r="AK3843" s="28" t="n">
        <f aca="false">AJ3843*$M3843</f>
        <v>0</v>
      </c>
      <c r="AL3843" s="28"/>
      <c r="AM3843" s="28" t="n">
        <f aca="false">AL3843*$M3843</f>
        <v>0</v>
      </c>
      <c r="AN3843" s="28"/>
      <c r="AO3843" s="28" t="n">
        <f aca="false">AN3843*$M3843</f>
        <v>0</v>
      </c>
      <c r="AP3843" s="28"/>
      <c r="AQ3843" s="28" t="n">
        <f aca="false">AP3843*$M3843</f>
        <v>0</v>
      </c>
      <c r="AR3843" s="28"/>
      <c r="AS3843" s="28" t="n">
        <f aca="false">AR3843*$M3843</f>
        <v>0</v>
      </c>
      <c r="AT3843" s="28"/>
      <c r="AU3843" s="28" t="n">
        <f aca="false">AT3843*$M3843</f>
        <v>0</v>
      </c>
      <c r="AV3843" s="28"/>
      <c r="AW3843" s="28" t="n">
        <f aca="false">AV3843*$M3843</f>
        <v>0</v>
      </c>
      <c r="AX3843" s="28"/>
      <c r="AY3843" s="28" t="n">
        <f aca="false">AX3843*$M3843</f>
        <v>0</v>
      </c>
      <c r="AZ3843" s="30" t="n">
        <v>110560</v>
      </c>
      <c r="BA3843" s="11" t="n">
        <v>331680</v>
      </c>
      <c r="BB3843" s="31" t="n">
        <f aca="false">SUM(Q3843,S3843,U3843,W3843,Y3843,AA3843,AC3843,AE3843,AG3843,AI3843,AK3843,AM3843,AO3843,AQ3843,AS3843,AU3843,AW3843,AY3843)</f>
        <v>331680</v>
      </c>
      <c r="BC3843" s="28" t="n">
        <f aca="false">BA3843-BB3843</f>
        <v>0</v>
      </c>
      <c r="BD3843" s="32" t="n">
        <f aca="false">SUM(P3843,R3843,T3843,V3843,X3843,Z3843,AB3843,AD3843,AF3843,AH3843,AJ3843,AL3843,AN3843,AP3843,AR3843,AT3843,AV3843,AX3843)</f>
        <v>110560</v>
      </c>
      <c r="BE3843" s="33" t="n">
        <f aca="false">AZ3843-BD3843</f>
        <v>0</v>
      </c>
      <c r="BF3843" s="34" t="n">
        <f aca="false">BD3843*M3843</f>
        <v>331680</v>
      </c>
      <c r="BG3843" s="35" t="n">
        <f aca="false">BA3843-BF3843</f>
        <v>0</v>
      </c>
      <c r="BH3843" s="19" t="str">
        <f aca="false">IF(BG3843=0,"",IF(BG3843&lt;&gt;BA3843,"erreur de calcul",IF(BD3843&lt;&gt;0,"pas de prix",IF(M3843&lt;&gt; 0,"pas de quantité","pas de prix, ni de quantité"))))</f>
        <v/>
      </c>
      <c r="BI3843" s="19"/>
    </row>
    <row r="3844" customFormat="false" ht="15" hidden="false" customHeight="false" outlineLevel="0" collapsed="false">
      <c r="A3844" s="0" t="n">
        <v>4</v>
      </c>
      <c r="B3844" s="8" t="s">
        <v>24</v>
      </c>
      <c r="C3844" s="9" t="s">
        <v>25</v>
      </c>
      <c r="D3844" s="9" t="s">
        <v>26</v>
      </c>
      <c r="E3844" s="10" t="n">
        <v>1789</v>
      </c>
      <c r="F3844" s="9" t="s">
        <v>27</v>
      </c>
      <c r="G3844" s="9" t="s">
        <v>27</v>
      </c>
      <c r="H3844" s="11" t="n">
        <v>27</v>
      </c>
      <c r="I3844" s="11" t="s">
        <v>415</v>
      </c>
      <c r="J3844" s="14" t="n">
        <v>3</v>
      </c>
      <c r="K3844" s="14" t="n">
        <v>10</v>
      </c>
      <c r="L3844" s="16"/>
      <c r="M3844" s="27" t="n">
        <f aca="false">J3844+(K3844/20)+(L3844/240)</f>
        <v>3.5</v>
      </c>
      <c r="N3844" s="17" t="s">
        <v>66</v>
      </c>
      <c r="O3844" s="11" t="s">
        <v>98</v>
      </c>
      <c r="P3844" s="28"/>
      <c r="Q3844" s="28" t="n">
        <f aca="false">P3844*$M3844</f>
        <v>0</v>
      </c>
      <c r="R3844" s="28"/>
      <c r="S3844" s="28" t="n">
        <f aca="false">R3844*$M3844</f>
        <v>0</v>
      </c>
      <c r="T3844" s="28"/>
      <c r="U3844" s="28" t="n">
        <f aca="false">T3844*$M3844</f>
        <v>0</v>
      </c>
      <c r="V3844" s="28"/>
      <c r="W3844" s="28" t="n">
        <f aca="false">V3844*$M3844</f>
        <v>0</v>
      </c>
      <c r="X3844" s="28" t="n">
        <v>218</v>
      </c>
      <c r="Y3844" s="28" t="n">
        <v>763</v>
      </c>
      <c r="Z3844" s="28"/>
      <c r="AA3844" s="28" t="n">
        <f aca="false">Z3844*$M3844</f>
        <v>0</v>
      </c>
      <c r="AB3844" s="28"/>
      <c r="AC3844" s="28" t="n">
        <f aca="false">AB3844*$M3844</f>
        <v>0</v>
      </c>
      <c r="AD3844" s="28"/>
      <c r="AE3844" s="28" t="n">
        <f aca="false">AD3844*$M3844</f>
        <v>0</v>
      </c>
      <c r="AF3844" s="28"/>
      <c r="AG3844" s="28" t="n">
        <f aca="false">AF3844*$M3844</f>
        <v>0</v>
      </c>
      <c r="AH3844" s="28" t="n">
        <v>25905</v>
      </c>
      <c r="AI3844" s="28" t="n">
        <v>90667</v>
      </c>
      <c r="AJ3844" s="28"/>
      <c r="AK3844" s="28" t="n">
        <f aca="false">AJ3844*$M3844</f>
        <v>0</v>
      </c>
      <c r="AL3844" s="28"/>
      <c r="AM3844" s="28" t="n">
        <f aca="false">AL3844*$M3844</f>
        <v>0</v>
      </c>
      <c r="AN3844" s="28"/>
      <c r="AO3844" s="28" t="n">
        <f aca="false">AN3844*$M3844</f>
        <v>0</v>
      </c>
      <c r="AP3844" s="28"/>
      <c r="AQ3844" s="28" t="n">
        <f aca="false">AP3844*$M3844</f>
        <v>0</v>
      </c>
      <c r="AR3844" s="28"/>
      <c r="AS3844" s="28" t="n">
        <f aca="false">AR3844*$M3844</f>
        <v>0</v>
      </c>
      <c r="AT3844" s="28"/>
      <c r="AU3844" s="28" t="n">
        <f aca="false">AT3844*$M3844</f>
        <v>0</v>
      </c>
      <c r="AV3844" s="28"/>
      <c r="AW3844" s="28" t="n">
        <f aca="false">AV3844*$M3844</f>
        <v>0</v>
      </c>
      <c r="AX3844" s="28"/>
      <c r="AY3844" s="28" t="n">
        <f aca="false">AX3844*$M3844</f>
        <v>0</v>
      </c>
      <c r="AZ3844" s="30" t="n">
        <v>26123</v>
      </c>
      <c r="BA3844" s="11" t="n">
        <v>91430</v>
      </c>
      <c r="BB3844" s="31" t="n">
        <f aca="false">SUM(Q3844,S3844,U3844,W3844,Y3844,AA3844,AC3844,AE3844,AG3844,AI3844,AK3844,AM3844,AO3844,AQ3844,AS3844,AU3844,AW3844,AY3844)</f>
        <v>91430</v>
      </c>
      <c r="BC3844" s="28" t="n">
        <f aca="false">BA3844-BB3844</f>
        <v>0</v>
      </c>
      <c r="BD3844" s="32" t="n">
        <f aca="false">SUM(P3844,R3844,T3844,V3844,X3844,Z3844,AB3844,AD3844,AF3844,AH3844,AJ3844,AL3844,AN3844,AP3844,AR3844,AT3844,AV3844,AX3844)</f>
        <v>26123</v>
      </c>
      <c r="BE3844" s="33" t="n">
        <f aca="false">AZ3844-BD3844</f>
        <v>0</v>
      </c>
      <c r="BF3844" s="34" t="n">
        <f aca="false">BD3844*M3844</f>
        <v>91430.5</v>
      </c>
      <c r="BG3844" s="35" t="n">
        <f aca="false">BA3844-BF3844</f>
        <v>-0.5</v>
      </c>
      <c r="BH3844" s="19" t="str">
        <f aca="false">IF(BG3844=0,"",IF(BG3844&lt;&gt;BA3844,"erreur de calcul",IF(BD3844&lt;&gt;0,"pas de prix",IF(M3844&lt;&gt; 0,"pas de quantité","pas de prix, ni de quantité"))))</f>
        <v>erreur de calcul</v>
      </c>
      <c r="BI3844" s="19"/>
    </row>
    <row r="3845" customFormat="false" ht="15" hidden="false" customHeight="false" outlineLevel="0" collapsed="false">
      <c r="A3845" s="0" t="n">
        <v>5</v>
      </c>
      <c r="B3845" s="8" t="s">
        <v>24</v>
      </c>
      <c r="C3845" s="9" t="s">
        <v>25</v>
      </c>
      <c r="D3845" s="9" t="s">
        <v>26</v>
      </c>
      <c r="E3845" s="10" t="n">
        <v>1789</v>
      </c>
      <c r="F3845" s="9" t="s">
        <v>27</v>
      </c>
      <c r="G3845" s="9" t="s">
        <v>27</v>
      </c>
      <c r="H3845" s="11" t="n">
        <v>27</v>
      </c>
      <c r="I3845" s="11" t="s">
        <v>416</v>
      </c>
      <c r="J3845" s="14"/>
      <c r="K3845" s="14" t="n">
        <v>30</v>
      </c>
      <c r="L3845" s="16"/>
      <c r="M3845" s="27" t="n">
        <f aca="false">J3845+(K3845/20)+(L3845/240)</f>
        <v>1.5</v>
      </c>
      <c r="N3845" s="17" t="s">
        <v>66</v>
      </c>
      <c r="O3845" s="11"/>
      <c r="P3845" s="28"/>
      <c r="Q3845" s="28" t="n">
        <f aca="false">P3845*$M3845</f>
        <v>0</v>
      </c>
      <c r="R3845" s="28"/>
      <c r="S3845" s="28" t="n">
        <f aca="false">R3845*$M3845</f>
        <v>0</v>
      </c>
      <c r="T3845" s="28"/>
      <c r="U3845" s="28" t="n">
        <f aca="false">T3845*$M3845</f>
        <v>0</v>
      </c>
      <c r="V3845" s="28"/>
      <c r="W3845" s="28" t="n">
        <f aca="false">V3845*$M3845</f>
        <v>0</v>
      </c>
      <c r="X3845" s="28"/>
      <c r="Y3845" s="28" t="n">
        <f aca="false">X3845*$M3845</f>
        <v>0</v>
      </c>
      <c r="Z3845" s="28"/>
      <c r="AA3845" s="28" t="n">
        <f aca="false">Z3845*$M3845</f>
        <v>0</v>
      </c>
      <c r="AB3845" s="28"/>
      <c r="AC3845" s="28" t="n">
        <f aca="false">AB3845*$M3845</f>
        <v>0</v>
      </c>
      <c r="AD3845" s="28"/>
      <c r="AE3845" s="28" t="n">
        <f aca="false">AD3845*$M3845</f>
        <v>0</v>
      </c>
      <c r="AF3845" s="28"/>
      <c r="AG3845" s="28" t="n">
        <f aca="false">AF3845*$M3845</f>
        <v>0</v>
      </c>
      <c r="AH3845" s="28" t="n">
        <v>75870</v>
      </c>
      <c r="AI3845" s="28" t="n">
        <v>113805</v>
      </c>
      <c r="AJ3845" s="28"/>
      <c r="AK3845" s="28" t="n">
        <f aca="false">AJ3845*$M3845</f>
        <v>0</v>
      </c>
      <c r="AL3845" s="28"/>
      <c r="AM3845" s="28" t="n">
        <f aca="false">AL3845*$M3845</f>
        <v>0</v>
      </c>
      <c r="AN3845" s="28"/>
      <c r="AO3845" s="28" t="n">
        <f aca="false">AN3845*$M3845</f>
        <v>0</v>
      </c>
      <c r="AP3845" s="28"/>
      <c r="AQ3845" s="28" t="n">
        <f aca="false">AP3845*$M3845</f>
        <v>0</v>
      </c>
      <c r="AR3845" s="28"/>
      <c r="AS3845" s="28" t="n">
        <f aca="false">AR3845*$M3845</f>
        <v>0</v>
      </c>
      <c r="AT3845" s="28"/>
      <c r="AU3845" s="28" t="n">
        <f aca="false">AT3845*$M3845</f>
        <v>0</v>
      </c>
      <c r="AV3845" s="28"/>
      <c r="AW3845" s="28" t="n">
        <f aca="false">AV3845*$M3845</f>
        <v>0</v>
      </c>
      <c r="AX3845" s="28"/>
      <c r="AY3845" s="28" t="n">
        <f aca="false">AX3845*$M3845</f>
        <v>0</v>
      </c>
      <c r="AZ3845" s="30" t="n">
        <v>75870</v>
      </c>
      <c r="BA3845" s="11" t="n">
        <v>113805</v>
      </c>
      <c r="BB3845" s="31" t="n">
        <f aca="false">SUM(Q3845,S3845,U3845,W3845,Y3845,AA3845,AC3845,AE3845,AG3845,AI3845,AK3845,AM3845,AO3845,AQ3845,AS3845,AU3845,AW3845,AY3845)</f>
        <v>113805</v>
      </c>
      <c r="BC3845" s="28" t="n">
        <f aca="false">BA3845-BB3845</f>
        <v>0</v>
      </c>
      <c r="BD3845" s="32" t="n">
        <f aca="false">SUM(P3845,R3845,T3845,V3845,X3845,Z3845,AB3845,AD3845,AF3845,AH3845,AJ3845,AL3845,AN3845,AP3845,AR3845,AT3845,AV3845,AX3845)</f>
        <v>75870</v>
      </c>
      <c r="BE3845" s="33" t="n">
        <f aca="false">AZ3845-BD3845</f>
        <v>0</v>
      </c>
      <c r="BF3845" s="34" t="n">
        <f aca="false">BD3845*M3845</f>
        <v>113805</v>
      </c>
      <c r="BG3845" s="35" t="n">
        <f aca="false">BA3845-BF3845</f>
        <v>0</v>
      </c>
      <c r="BH3845" s="19" t="str">
        <f aca="false">IF(BG3845=0,"",IF(BG3845&lt;&gt;BA3845,"erreur de calcul",IF(BD3845&lt;&gt;0,"pas de prix",IF(M3845&lt;&gt; 0,"pas de quantité","pas de prix, ni de quantité"))))</f>
        <v/>
      </c>
      <c r="BI3845" s="19"/>
    </row>
    <row r="3846" customFormat="false" ht="15" hidden="false" customHeight="false" outlineLevel="0" collapsed="false">
      <c r="A3846" s="0" t="n">
        <v>6</v>
      </c>
      <c r="B3846" s="8" t="s">
        <v>24</v>
      </c>
      <c r="C3846" s="9" t="s">
        <v>25</v>
      </c>
      <c r="D3846" s="9" t="s">
        <v>26</v>
      </c>
      <c r="E3846" s="10" t="n">
        <v>1789</v>
      </c>
      <c r="F3846" s="9" t="s">
        <v>27</v>
      </c>
      <c r="G3846" s="9" t="s">
        <v>27</v>
      </c>
      <c r="H3846" s="11" t="n">
        <v>27</v>
      </c>
      <c r="I3846" s="11" t="s">
        <v>417</v>
      </c>
      <c r="J3846" s="14" t="n">
        <v>3</v>
      </c>
      <c r="K3846" s="14"/>
      <c r="L3846" s="16"/>
      <c r="M3846" s="27" t="n">
        <f aca="false">J3846+(K3846/20)+(L3846/240)</f>
        <v>3</v>
      </c>
      <c r="N3846" s="17" t="s">
        <v>66</v>
      </c>
      <c r="O3846" s="11"/>
      <c r="P3846" s="28"/>
      <c r="Q3846" s="28" t="n">
        <f aca="false">P3846*$M3846</f>
        <v>0</v>
      </c>
      <c r="R3846" s="28"/>
      <c r="S3846" s="28" t="n">
        <f aca="false">R3846*$M3846</f>
        <v>0</v>
      </c>
      <c r="T3846" s="28"/>
      <c r="U3846" s="28" t="n">
        <f aca="false">T3846*$M3846</f>
        <v>0</v>
      </c>
      <c r="V3846" s="28"/>
      <c r="W3846" s="28" t="n">
        <f aca="false">V3846*$M3846</f>
        <v>0</v>
      </c>
      <c r="X3846" s="28"/>
      <c r="Y3846" s="28" t="n">
        <f aca="false">X3846*$M3846</f>
        <v>0</v>
      </c>
      <c r="Z3846" s="28"/>
      <c r="AA3846" s="28" t="n">
        <f aca="false">Z3846*$M3846</f>
        <v>0</v>
      </c>
      <c r="AB3846" s="28"/>
      <c r="AC3846" s="28" t="n">
        <f aca="false">AB3846*$M3846</f>
        <v>0</v>
      </c>
      <c r="AD3846" s="28"/>
      <c r="AE3846" s="28" t="n">
        <f aca="false">AD3846*$M3846</f>
        <v>0</v>
      </c>
      <c r="AF3846" s="28"/>
      <c r="AG3846" s="28" t="n">
        <f aca="false">AF3846*$M3846</f>
        <v>0</v>
      </c>
      <c r="AH3846" s="28" t="n">
        <v>121588</v>
      </c>
      <c r="AI3846" s="28" t="n">
        <v>364764</v>
      </c>
      <c r="AJ3846" s="28"/>
      <c r="AK3846" s="28" t="n">
        <f aca="false">AJ3846*$M3846</f>
        <v>0</v>
      </c>
      <c r="AL3846" s="28"/>
      <c r="AM3846" s="28" t="n">
        <f aca="false">AL3846*$M3846</f>
        <v>0</v>
      </c>
      <c r="AN3846" s="28"/>
      <c r="AO3846" s="28" t="n">
        <f aca="false">AN3846*$M3846</f>
        <v>0</v>
      </c>
      <c r="AP3846" s="28"/>
      <c r="AQ3846" s="28" t="n">
        <f aca="false">AP3846*$M3846</f>
        <v>0</v>
      </c>
      <c r="AR3846" s="28"/>
      <c r="AS3846" s="28" t="n">
        <f aca="false">AR3846*$M3846</f>
        <v>0</v>
      </c>
      <c r="AT3846" s="28"/>
      <c r="AU3846" s="28" t="n">
        <f aca="false">AT3846*$M3846</f>
        <v>0</v>
      </c>
      <c r="AV3846" s="28"/>
      <c r="AW3846" s="28" t="n">
        <f aca="false">AV3846*$M3846</f>
        <v>0</v>
      </c>
      <c r="AX3846" s="28"/>
      <c r="AY3846" s="28" t="n">
        <f aca="false">AX3846*$M3846</f>
        <v>0</v>
      </c>
      <c r="AZ3846" s="30" t="n">
        <v>121588</v>
      </c>
      <c r="BA3846" s="11" t="n">
        <v>364764</v>
      </c>
      <c r="BB3846" s="31" t="n">
        <f aca="false">SUM(Q3846,S3846,U3846,W3846,Y3846,AA3846,AC3846,AE3846,AG3846,AI3846,AK3846,AM3846,AO3846,AQ3846,AS3846,AU3846,AW3846,AY3846)</f>
        <v>364764</v>
      </c>
      <c r="BC3846" s="28" t="n">
        <f aca="false">BA3846-BB3846</f>
        <v>0</v>
      </c>
      <c r="BD3846" s="32" t="n">
        <f aca="false">SUM(P3846,R3846,T3846,V3846,X3846,Z3846,AB3846,AD3846,AF3846,AH3846,AJ3846,AL3846,AN3846,AP3846,AR3846,AT3846,AV3846,AX3846)</f>
        <v>121588</v>
      </c>
      <c r="BE3846" s="33" t="n">
        <f aca="false">AZ3846-BD3846</f>
        <v>0</v>
      </c>
      <c r="BF3846" s="34" t="n">
        <f aca="false">BD3846*M3846</f>
        <v>364764</v>
      </c>
      <c r="BG3846" s="35" t="n">
        <f aca="false">BA3846-BF3846</f>
        <v>0</v>
      </c>
      <c r="BH3846" s="19" t="str">
        <f aca="false">IF(BG3846=0,"",IF(BG3846&lt;&gt;BA3846,"erreur de calcul",IF(BD3846&lt;&gt;0,"pas de prix",IF(M3846&lt;&gt; 0,"pas de quantité","pas de prix, ni de quantité"))))</f>
        <v/>
      </c>
      <c r="BI3846" s="19"/>
    </row>
    <row r="3847" customFormat="false" ht="15" hidden="false" customHeight="false" outlineLevel="0" collapsed="false">
      <c r="A3847" s="0" t="n">
        <v>7</v>
      </c>
      <c r="B3847" s="8" t="s">
        <v>24</v>
      </c>
      <c r="C3847" s="9" t="s">
        <v>25</v>
      </c>
      <c r="D3847" s="9" t="s">
        <v>26</v>
      </c>
      <c r="E3847" s="10" t="n">
        <v>1789</v>
      </c>
      <c r="F3847" s="9" t="s">
        <v>27</v>
      </c>
      <c r="G3847" s="9" t="s">
        <v>27</v>
      </c>
      <c r="H3847" s="11" t="n">
        <v>27</v>
      </c>
      <c r="I3847" s="11" t="s">
        <v>418</v>
      </c>
      <c r="J3847" s="14"/>
      <c r="K3847" s="14" t="n">
        <v>24</v>
      </c>
      <c r="L3847" s="16"/>
      <c r="M3847" s="27" t="n">
        <f aca="false">J3847+(K3847/20)+(L3847/240)</f>
        <v>1.2</v>
      </c>
      <c r="N3847" s="17" t="s">
        <v>66</v>
      </c>
      <c r="O3847" s="11"/>
      <c r="P3847" s="28"/>
      <c r="Q3847" s="28" t="n">
        <f aca="false">P3847*$M3847</f>
        <v>0</v>
      </c>
      <c r="R3847" s="28"/>
      <c r="S3847" s="28" t="n">
        <f aca="false">R3847*$M3847</f>
        <v>0</v>
      </c>
      <c r="T3847" s="28"/>
      <c r="U3847" s="28" t="n">
        <f aca="false">T3847*$M3847</f>
        <v>0</v>
      </c>
      <c r="V3847" s="28"/>
      <c r="W3847" s="28" t="n">
        <f aca="false">V3847*$M3847</f>
        <v>0</v>
      </c>
      <c r="X3847" s="28"/>
      <c r="Y3847" s="28" t="n">
        <f aca="false">X3847*$M3847</f>
        <v>0</v>
      </c>
      <c r="Z3847" s="28"/>
      <c r="AA3847" s="28" t="n">
        <f aca="false">Z3847*$M3847</f>
        <v>0</v>
      </c>
      <c r="AB3847" s="28"/>
      <c r="AC3847" s="28" t="n">
        <f aca="false">AB3847*$M3847</f>
        <v>0</v>
      </c>
      <c r="AD3847" s="28"/>
      <c r="AE3847" s="28" t="n">
        <f aca="false">AD3847*$M3847</f>
        <v>0</v>
      </c>
      <c r="AF3847" s="28"/>
      <c r="AG3847" s="28" t="n">
        <f aca="false">AF3847*$M3847</f>
        <v>0</v>
      </c>
      <c r="AH3847" s="28" t="n">
        <v>50204</v>
      </c>
      <c r="AI3847" s="28" t="n">
        <v>60245</v>
      </c>
      <c r="AJ3847" s="28"/>
      <c r="AK3847" s="28" t="n">
        <f aca="false">AJ3847*$M3847</f>
        <v>0</v>
      </c>
      <c r="AL3847" s="28"/>
      <c r="AM3847" s="28" t="n">
        <f aca="false">AL3847*$M3847</f>
        <v>0</v>
      </c>
      <c r="AN3847" s="28"/>
      <c r="AO3847" s="28" t="n">
        <f aca="false">AN3847*$M3847</f>
        <v>0</v>
      </c>
      <c r="AP3847" s="28"/>
      <c r="AQ3847" s="28" t="n">
        <f aca="false">AP3847*$M3847</f>
        <v>0</v>
      </c>
      <c r="AR3847" s="28"/>
      <c r="AS3847" s="28" t="n">
        <f aca="false">AR3847*$M3847</f>
        <v>0</v>
      </c>
      <c r="AT3847" s="28"/>
      <c r="AU3847" s="28" t="n">
        <f aca="false">AT3847*$M3847</f>
        <v>0</v>
      </c>
      <c r="AV3847" s="28"/>
      <c r="AW3847" s="28" t="n">
        <f aca="false">AV3847*$M3847</f>
        <v>0</v>
      </c>
      <c r="AX3847" s="28"/>
      <c r="AY3847" s="28" t="n">
        <f aca="false">AX3847*$M3847</f>
        <v>0</v>
      </c>
      <c r="AZ3847" s="30" t="n">
        <v>50204</v>
      </c>
      <c r="BA3847" s="11" t="n">
        <v>60245</v>
      </c>
      <c r="BB3847" s="31" t="n">
        <f aca="false">SUM(Q3847,S3847,U3847,W3847,Y3847,AA3847,AC3847,AE3847,AG3847,AI3847,AK3847,AM3847,AO3847,AQ3847,AS3847,AU3847,AW3847,AY3847)</f>
        <v>60245</v>
      </c>
      <c r="BC3847" s="28" t="n">
        <f aca="false">BA3847-BB3847</f>
        <v>0</v>
      </c>
      <c r="BD3847" s="32" t="n">
        <f aca="false">SUM(P3847,R3847,T3847,V3847,X3847,Z3847,AB3847,AD3847,AF3847,AH3847,AJ3847,AL3847,AN3847,AP3847,AR3847,AT3847,AV3847,AX3847)</f>
        <v>50204</v>
      </c>
      <c r="BE3847" s="33" t="n">
        <f aca="false">AZ3847-BD3847</f>
        <v>0</v>
      </c>
      <c r="BF3847" s="34" t="n">
        <f aca="false">BD3847*M3847</f>
        <v>60244.8</v>
      </c>
      <c r="BG3847" s="35" t="n">
        <f aca="false">BA3847-BF3847</f>
        <v>0.200000000004366</v>
      </c>
      <c r="BH3847" s="19" t="str">
        <f aca="false">IF(BG3847=0,"",IF(BG3847&lt;&gt;BA3847,"erreur de calcul",IF(BD3847&lt;&gt;0,"pas de prix",IF(M3847&lt;&gt; 0,"pas de quantité","pas de prix, ni de quantité"))))</f>
        <v>erreur de calcul</v>
      </c>
      <c r="BI3847" s="19"/>
    </row>
    <row r="3848" customFormat="false" ht="15" hidden="false" customHeight="false" outlineLevel="0" collapsed="false">
      <c r="A3848" s="0" t="n">
        <v>8</v>
      </c>
      <c r="B3848" s="8" t="s">
        <v>24</v>
      </c>
      <c r="C3848" s="9" t="s">
        <v>25</v>
      </c>
      <c r="D3848" s="9" t="s">
        <v>26</v>
      </c>
      <c r="E3848" s="10" t="n">
        <v>1789</v>
      </c>
      <c r="F3848" s="9" t="s">
        <v>27</v>
      </c>
      <c r="G3848" s="9" t="s">
        <v>27</v>
      </c>
      <c r="H3848" s="11" t="n">
        <v>27</v>
      </c>
      <c r="I3848" s="11" t="s">
        <v>419</v>
      </c>
      <c r="J3848" s="14" t="n">
        <v>40</v>
      </c>
      <c r="K3848" s="14"/>
      <c r="L3848" s="16"/>
      <c r="M3848" s="27" t="n">
        <f aca="false">J3848+(K3848/20)+(L3848/240)</f>
        <v>40</v>
      </c>
      <c r="N3848" s="17" t="s">
        <v>66</v>
      </c>
      <c r="O3848" s="11" t="s">
        <v>98</v>
      </c>
      <c r="P3848" s="28"/>
      <c r="Q3848" s="28" t="n">
        <f aca="false">P3848*$M3848</f>
        <v>0</v>
      </c>
      <c r="R3848" s="28"/>
      <c r="S3848" s="28" t="n">
        <f aca="false">R3848*$M3848</f>
        <v>0</v>
      </c>
      <c r="T3848" s="28"/>
      <c r="U3848" s="28" t="n">
        <f aca="false">T3848*$M3848</f>
        <v>0</v>
      </c>
      <c r="V3848" s="28"/>
      <c r="W3848" s="28" t="n">
        <f aca="false">V3848*$M3848</f>
        <v>0</v>
      </c>
      <c r="X3848" s="28"/>
      <c r="Y3848" s="28" t="n">
        <f aca="false">X3848*$M3848</f>
        <v>0</v>
      </c>
      <c r="Z3848" s="28"/>
      <c r="AA3848" s="28" t="n">
        <f aca="false">Z3848*$M3848</f>
        <v>0</v>
      </c>
      <c r="AB3848" s="28"/>
      <c r="AC3848" s="28" t="n">
        <f aca="false">AB3848*$M3848</f>
        <v>0</v>
      </c>
      <c r="AD3848" s="28"/>
      <c r="AE3848" s="28" t="n">
        <f aca="false">AD3848*$M3848</f>
        <v>0</v>
      </c>
      <c r="AF3848" s="28"/>
      <c r="AG3848" s="28" t="n">
        <f aca="false">AF3848*$M3848</f>
        <v>0</v>
      </c>
      <c r="AH3848" s="28"/>
      <c r="AI3848" s="28" t="n">
        <f aca="false">AH3848*$M3848</f>
        <v>0</v>
      </c>
      <c r="AJ3848" s="28"/>
      <c r="AK3848" s="28" t="n">
        <f aca="false">AJ3848*$M3848</f>
        <v>0</v>
      </c>
      <c r="AL3848" s="28"/>
      <c r="AM3848" s="28" t="n">
        <f aca="false">AL3848*$M3848</f>
        <v>0</v>
      </c>
      <c r="AN3848" s="28"/>
      <c r="AO3848" s="28" t="n">
        <f aca="false">AN3848*$M3848</f>
        <v>0</v>
      </c>
      <c r="AP3848" s="28"/>
      <c r="AQ3848" s="28" t="n">
        <f aca="false">AP3848*$M3848</f>
        <v>0</v>
      </c>
      <c r="AR3848" s="28"/>
      <c r="AS3848" s="28" t="n">
        <f aca="false">AR3848*$M3848</f>
        <v>0</v>
      </c>
      <c r="AT3848" s="28"/>
      <c r="AU3848" s="28" t="n">
        <f aca="false">AT3848*$M3848</f>
        <v>0</v>
      </c>
      <c r="AV3848" s="28"/>
      <c r="AW3848" s="28" t="n">
        <f aca="false">AV3848*$M3848</f>
        <v>0</v>
      </c>
      <c r="AX3848" s="28"/>
      <c r="AY3848" s="28" t="n">
        <f aca="false">AX3848*$M3848</f>
        <v>0</v>
      </c>
      <c r="AZ3848" s="30"/>
      <c r="BA3848" s="11"/>
      <c r="BB3848" s="31" t="n">
        <f aca="false">SUM(Q3848,S3848,U3848,W3848,Y3848,AA3848,AC3848,AE3848,AG3848,AI3848,AK3848,AM3848,AO3848,AQ3848,AS3848,AU3848,AW3848,AY3848)</f>
        <v>0</v>
      </c>
      <c r="BC3848" s="28" t="n">
        <f aca="false">BA3848-BB3848</f>
        <v>0</v>
      </c>
      <c r="BD3848" s="32" t="n">
        <f aca="false">SUM(P3848,R3848,T3848,V3848,X3848,Z3848,AB3848,AD3848,AF3848,AH3848,AJ3848,AL3848,AN3848,AP3848,AR3848,AT3848,AV3848,AX3848)</f>
        <v>0</v>
      </c>
      <c r="BE3848" s="33" t="n">
        <f aca="false">AZ3848-BD3848</f>
        <v>0</v>
      </c>
      <c r="BF3848" s="34" t="n">
        <f aca="false">BD3848*M3848</f>
        <v>0</v>
      </c>
      <c r="BG3848" s="35" t="n">
        <f aca="false">BA3848-BF3848</f>
        <v>0</v>
      </c>
      <c r="BH3848" s="19" t="str">
        <f aca="false">IF(BG3848=0,"",IF(BG3848&lt;&gt;BA3848,"erreur de calcul",IF(BD3848&lt;&gt;0,"pas de prix",IF(M3848&lt;&gt; 0,"pas de quantité","pas de prix, ni de quantité"))))</f>
        <v/>
      </c>
      <c r="BI3848" s="19"/>
    </row>
    <row r="3849" customFormat="false" ht="15" hidden="false" customHeight="false" outlineLevel="0" collapsed="false">
      <c r="A3849" s="0" t="n">
        <v>9</v>
      </c>
      <c r="B3849" s="8" t="s">
        <v>24</v>
      </c>
      <c r="C3849" s="9" t="s">
        <v>25</v>
      </c>
      <c r="D3849" s="9" t="s">
        <v>26</v>
      </c>
      <c r="E3849" s="10" t="n">
        <v>1789</v>
      </c>
      <c r="F3849" s="9" t="s">
        <v>27</v>
      </c>
      <c r="G3849" s="9" t="s">
        <v>27</v>
      </c>
      <c r="H3849" s="11" t="n">
        <v>27</v>
      </c>
      <c r="I3849" s="11" t="s">
        <v>420</v>
      </c>
      <c r="J3849" s="14" t="n">
        <v>9</v>
      </c>
      <c r="K3849" s="14"/>
      <c r="L3849" s="16"/>
      <c r="M3849" s="27" t="n">
        <f aca="false">J3849+(K3849/20)+(L3849/240)</f>
        <v>9</v>
      </c>
      <c r="N3849" s="17" t="s">
        <v>81</v>
      </c>
      <c r="O3849" s="11" t="s">
        <v>98</v>
      </c>
      <c r="P3849" s="28"/>
      <c r="Q3849" s="28" t="n">
        <f aca="false">P3849*$M3849</f>
        <v>0</v>
      </c>
      <c r="R3849" s="28"/>
      <c r="S3849" s="28" t="n">
        <f aca="false">R3849*$M3849</f>
        <v>0</v>
      </c>
      <c r="T3849" s="28"/>
      <c r="U3849" s="28" t="n">
        <f aca="false">T3849*$M3849</f>
        <v>0</v>
      </c>
      <c r="V3849" s="28"/>
      <c r="W3849" s="28" t="n">
        <f aca="false">V3849*$M3849</f>
        <v>0</v>
      </c>
      <c r="X3849" s="28"/>
      <c r="Y3849" s="28" t="n">
        <f aca="false">X3849*$M3849</f>
        <v>0</v>
      </c>
      <c r="Z3849" s="28"/>
      <c r="AA3849" s="28" t="n">
        <f aca="false">Z3849*$M3849</f>
        <v>0</v>
      </c>
      <c r="AB3849" s="28"/>
      <c r="AC3849" s="28" t="n">
        <f aca="false">AB3849*$M3849</f>
        <v>0</v>
      </c>
      <c r="AD3849" s="28"/>
      <c r="AE3849" s="28" t="n">
        <f aca="false">AD3849*$M3849</f>
        <v>0</v>
      </c>
      <c r="AF3849" s="28"/>
      <c r="AG3849" s="28" t="n">
        <f aca="false">AF3849*$M3849</f>
        <v>0</v>
      </c>
      <c r="AH3849" s="28"/>
      <c r="AI3849" s="28" t="n">
        <f aca="false">AH3849*$M3849</f>
        <v>0</v>
      </c>
      <c r="AJ3849" s="28"/>
      <c r="AK3849" s="28" t="n">
        <f aca="false">AJ3849*$M3849</f>
        <v>0</v>
      </c>
      <c r="AL3849" s="28"/>
      <c r="AM3849" s="28" t="n">
        <f aca="false">AL3849*$M3849</f>
        <v>0</v>
      </c>
      <c r="AN3849" s="28"/>
      <c r="AO3849" s="28" t="n">
        <f aca="false">AN3849*$M3849</f>
        <v>0</v>
      </c>
      <c r="AP3849" s="28"/>
      <c r="AQ3849" s="28" t="n">
        <f aca="false">AP3849*$M3849</f>
        <v>0</v>
      </c>
      <c r="AR3849" s="28"/>
      <c r="AS3849" s="28" t="n">
        <f aca="false">AR3849*$M3849</f>
        <v>0</v>
      </c>
      <c r="AT3849" s="28"/>
      <c r="AU3849" s="28" t="n">
        <f aca="false">AT3849*$M3849</f>
        <v>0</v>
      </c>
      <c r="AV3849" s="28"/>
      <c r="AW3849" s="28" t="n">
        <f aca="false">AV3849*$M3849</f>
        <v>0</v>
      </c>
      <c r="AX3849" s="28"/>
      <c r="AY3849" s="28" t="n">
        <f aca="false">AX3849*$M3849</f>
        <v>0</v>
      </c>
      <c r="AZ3849" s="30"/>
      <c r="BA3849" s="11"/>
      <c r="BB3849" s="31" t="n">
        <f aca="false">SUM(Q3849,S3849,U3849,W3849,Y3849,AA3849,AC3849,AE3849,AG3849,AI3849,AK3849,AM3849,AO3849,AQ3849,AS3849,AU3849,AW3849,AY3849)</f>
        <v>0</v>
      </c>
      <c r="BC3849" s="28" t="n">
        <f aca="false">BA3849-BB3849</f>
        <v>0</v>
      </c>
      <c r="BD3849" s="32" t="n">
        <f aca="false">SUM(P3849,R3849,T3849,V3849,X3849,Z3849,AB3849,AD3849,AF3849,AH3849,AJ3849,AL3849,AN3849,AP3849,AR3849,AT3849,AV3849,AX3849)</f>
        <v>0</v>
      </c>
      <c r="BE3849" s="33" t="n">
        <f aca="false">AZ3849-BD3849</f>
        <v>0</v>
      </c>
      <c r="BF3849" s="34" t="n">
        <f aca="false">BD3849*M3849</f>
        <v>0</v>
      </c>
      <c r="BG3849" s="35" t="n">
        <f aca="false">BA3849-BF3849</f>
        <v>0</v>
      </c>
      <c r="BH3849" s="19" t="str">
        <f aca="false">IF(BG3849=0,"",IF(BG3849&lt;&gt;BA3849,"erreur de calcul",IF(BD3849&lt;&gt;0,"pas de prix",IF(M3849&lt;&gt; 0,"pas de quantité","pas de prix, ni de quantité"))))</f>
        <v/>
      </c>
      <c r="BI3849" s="19"/>
    </row>
    <row r="3850" customFormat="false" ht="15" hidden="false" customHeight="false" outlineLevel="0" collapsed="false">
      <c r="A3850" s="0" t="n">
        <v>10</v>
      </c>
      <c r="B3850" s="8" t="s">
        <v>24</v>
      </c>
      <c r="C3850" s="9" t="s">
        <v>25</v>
      </c>
      <c r="D3850" s="9" t="s">
        <v>26</v>
      </c>
      <c r="E3850" s="10" t="n">
        <v>1789</v>
      </c>
      <c r="F3850" s="9" t="s">
        <v>27</v>
      </c>
      <c r="G3850" s="9" t="s">
        <v>27</v>
      </c>
      <c r="H3850" s="11" t="n">
        <v>27</v>
      </c>
      <c r="I3850" s="11" t="s">
        <v>421</v>
      </c>
      <c r="J3850" s="14" t="n">
        <v>220</v>
      </c>
      <c r="K3850" s="14"/>
      <c r="L3850" s="16"/>
      <c r="M3850" s="27" t="n">
        <f aca="false">J3850+(K3850/20)+(L3850/240)</f>
        <v>220</v>
      </c>
      <c r="N3850" s="17" t="s">
        <v>64</v>
      </c>
      <c r="O3850" s="11" t="s">
        <v>277</v>
      </c>
      <c r="P3850" s="28" t="n">
        <f aca="false">245/100</f>
        <v>2.45</v>
      </c>
      <c r="Q3850" s="28" t="n">
        <v>539</v>
      </c>
      <c r="R3850" s="28"/>
      <c r="S3850" s="28" t="n">
        <f aca="false">R3850*$M3850</f>
        <v>0</v>
      </c>
      <c r="T3850" s="28" t="n">
        <f aca="false">40119/100</f>
        <v>401.19</v>
      </c>
      <c r="U3850" s="28" t="n">
        <v>88262</v>
      </c>
      <c r="V3850" s="28" t="n">
        <f aca="false">14285/100</f>
        <v>142.85</v>
      </c>
      <c r="W3850" s="28" t="n">
        <v>31427</v>
      </c>
      <c r="X3850" s="28" t="n">
        <f aca="false">62608/100</f>
        <v>626.08</v>
      </c>
      <c r="Y3850" s="28" t="n">
        <v>137738</v>
      </c>
      <c r="Z3850" s="28" t="n">
        <f aca="false">523/100</f>
        <v>5.23</v>
      </c>
      <c r="AA3850" s="28" t="n">
        <v>1151</v>
      </c>
      <c r="AB3850" s="28" t="n">
        <f aca="false">56/100</f>
        <v>0.56</v>
      </c>
      <c r="AC3850" s="28" t="n">
        <v>123</v>
      </c>
      <c r="AD3850" s="28"/>
      <c r="AE3850" s="28" t="n">
        <f aca="false">AD3850*$M3850</f>
        <v>0</v>
      </c>
      <c r="AF3850" s="28"/>
      <c r="AG3850" s="28" t="n">
        <f aca="false">AF3850*$M3850</f>
        <v>0</v>
      </c>
      <c r="AH3850" s="28"/>
      <c r="AI3850" s="28" t="n">
        <f aca="false">AH3850*$M3850</f>
        <v>0</v>
      </c>
      <c r="AJ3850" s="28" t="n">
        <f aca="false">3845/100</f>
        <v>38.45</v>
      </c>
      <c r="AK3850" s="28" t="n">
        <v>8459</v>
      </c>
      <c r="AL3850" s="28" t="n">
        <f aca="false">26510/100</f>
        <v>265.1</v>
      </c>
      <c r="AM3850" s="28" t="n">
        <v>58322</v>
      </c>
      <c r="AN3850" s="28" t="n">
        <f aca="false">330/100</f>
        <v>3.3</v>
      </c>
      <c r="AO3850" s="28" t="n">
        <v>726</v>
      </c>
      <c r="AP3850" s="28"/>
      <c r="AQ3850" s="28" t="n">
        <f aca="false">AP3850*$M3850</f>
        <v>0</v>
      </c>
      <c r="AR3850" s="28"/>
      <c r="AS3850" s="28" t="n">
        <f aca="false">AR3850*$M3850</f>
        <v>0</v>
      </c>
      <c r="AT3850" s="28"/>
      <c r="AU3850" s="28" t="n">
        <f aca="false">AT3850*$M3850</f>
        <v>0</v>
      </c>
      <c r="AV3850" s="28" t="n">
        <f aca="false">1487/100</f>
        <v>14.87</v>
      </c>
      <c r="AW3850" s="28" t="n">
        <v>3271</v>
      </c>
      <c r="AX3850" s="28"/>
      <c r="AY3850" s="28" t="n">
        <f aca="false">AX3850*$M3850</f>
        <v>0</v>
      </c>
      <c r="AZ3850" s="30" t="n">
        <f aca="false">150008/100</f>
        <v>1500.08</v>
      </c>
      <c r="BA3850" s="11" t="n">
        <v>330018</v>
      </c>
      <c r="BB3850" s="31" t="n">
        <f aca="false">SUM(Q3850,S3850,U3850,W3850,Y3850,AA3850,AC3850,AE3850,AG3850,AI3850,AK3850,AM3850,AO3850,AQ3850,AS3850,AU3850,AW3850,AY3850)</f>
        <v>330018</v>
      </c>
      <c r="BC3850" s="28" t="n">
        <f aca="false">BA3850-BB3850</f>
        <v>0</v>
      </c>
      <c r="BD3850" s="32" t="n">
        <f aca="false">SUM(P3850,R3850,T3850,V3850,X3850,Z3850,AB3850,AD3850,AF3850,AH3850,AJ3850,AL3850,AN3850,AP3850,AR3850,AT3850,AV3850,AX3850)</f>
        <v>1500.08</v>
      </c>
      <c r="BE3850" s="33" t="n">
        <f aca="false">AZ3850-BD3850</f>
        <v>0</v>
      </c>
      <c r="BF3850" s="34" t="n">
        <f aca="false">BD3850*M3850</f>
        <v>330017.6</v>
      </c>
      <c r="BG3850" s="35" t="n">
        <f aca="false">BA3850-BF3850</f>
        <v>0.399999999965075</v>
      </c>
      <c r="BH3850" s="19" t="str">
        <f aca="false">IF(BG3850=0,"",IF(BG3850&lt;&gt;BA3850,"erreur de calcul",IF(BD3850&lt;&gt;0,"pas de prix",IF(M3850&lt;&gt; 0,"pas de quantité","pas de prix, ni de quantité"))))</f>
        <v>erreur de calcul</v>
      </c>
      <c r="BI3850" s="19"/>
    </row>
    <row r="3851" customFormat="false" ht="15" hidden="false" customHeight="false" outlineLevel="0" collapsed="false">
      <c r="A3851" s="0" t="n">
        <v>11</v>
      </c>
      <c r="B3851" s="8" t="s">
        <v>24</v>
      </c>
      <c r="C3851" s="9" t="s">
        <v>25</v>
      </c>
      <c r="D3851" s="9" t="s">
        <v>26</v>
      </c>
      <c r="E3851" s="10" t="n">
        <v>1789</v>
      </c>
      <c r="F3851" s="9" t="s">
        <v>27</v>
      </c>
      <c r="G3851" s="9" t="s">
        <v>27</v>
      </c>
      <c r="H3851" s="11" t="n">
        <v>27</v>
      </c>
      <c r="I3851" s="11" t="s">
        <v>422</v>
      </c>
      <c r="J3851" s="14" t="n">
        <v>35</v>
      </c>
      <c r="K3851" s="14"/>
      <c r="L3851" s="16"/>
      <c r="M3851" s="27" t="n">
        <f aca="false">J3851+(K3851/20)+(L3851/240)</f>
        <v>35</v>
      </c>
      <c r="N3851" s="17" t="s">
        <v>64</v>
      </c>
      <c r="O3851" s="11"/>
      <c r="P3851" s="28"/>
      <c r="Q3851" s="28" t="n">
        <f aca="false">P3851*$M3851</f>
        <v>0</v>
      </c>
      <c r="R3851" s="28"/>
      <c r="S3851" s="28" t="n">
        <f aca="false">R3851*$M3851</f>
        <v>0</v>
      </c>
      <c r="T3851" s="28"/>
      <c r="U3851" s="28" t="n">
        <f aca="false">T3851*$M3851</f>
        <v>0</v>
      </c>
      <c r="V3851" s="28"/>
      <c r="W3851" s="28" t="n">
        <f aca="false">V3851*$M3851</f>
        <v>0</v>
      </c>
      <c r="X3851" s="28" t="n">
        <f aca="false">9982/100</f>
        <v>99.82</v>
      </c>
      <c r="Y3851" s="28" t="n">
        <v>3494</v>
      </c>
      <c r="Z3851" s="28"/>
      <c r="AA3851" s="28" t="n">
        <f aca="false">Z3851*$M3851</f>
        <v>0</v>
      </c>
      <c r="AB3851" s="28"/>
      <c r="AC3851" s="28" t="n">
        <f aca="false">AB3851*$M3851</f>
        <v>0</v>
      </c>
      <c r="AD3851" s="28"/>
      <c r="AE3851" s="28" t="n">
        <f aca="false">AD3851*$M3851</f>
        <v>0</v>
      </c>
      <c r="AF3851" s="28"/>
      <c r="AG3851" s="28" t="n">
        <f aca="false">AF3851*$M3851</f>
        <v>0</v>
      </c>
      <c r="AH3851" s="28"/>
      <c r="AI3851" s="28" t="n">
        <f aca="false">AH3851*$M3851</f>
        <v>0</v>
      </c>
      <c r="AJ3851" s="28" t="n">
        <f aca="false">28200/100</f>
        <v>282</v>
      </c>
      <c r="AK3851" s="28" t="n">
        <v>9870</v>
      </c>
      <c r="AL3851" s="28" t="n">
        <f aca="false">163472/100</f>
        <v>1634.72</v>
      </c>
      <c r="AM3851" s="28" t="n">
        <v>57215</v>
      </c>
      <c r="AN3851" s="28"/>
      <c r="AO3851" s="28" t="n">
        <f aca="false">AN3851*$M3851</f>
        <v>0</v>
      </c>
      <c r="AP3851" s="28"/>
      <c r="AQ3851" s="28" t="n">
        <f aca="false">AP3851*$M3851</f>
        <v>0</v>
      </c>
      <c r="AR3851" s="28"/>
      <c r="AS3851" s="28" t="n">
        <f aca="false">AR3851*$M3851</f>
        <v>0</v>
      </c>
      <c r="AT3851" s="28"/>
      <c r="AU3851" s="28" t="n">
        <f aca="false">AT3851*$M3851</f>
        <v>0</v>
      </c>
      <c r="AV3851" s="28" t="n">
        <f aca="false">49250/100</f>
        <v>492.5</v>
      </c>
      <c r="AW3851" s="28" t="n">
        <v>17237</v>
      </c>
      <c r="AX3851" s="28"/>
      <c r="AY3851" s="28" t="n">
        <f aca="false">AX3851*$M3851</f>
        <v>0</v>
      </c>
      <c r="AZ3851" s="30" t="n">
        <f aca="false">250904/100</f>
        <v>2509.04</v>
      </c>
      <c r="BA3851" s="11" t="n">
        <v>87816</v>
      </c>
      <c r="BB3851" s="31" t="n">
        <f aca="false">SUM(Q3851,S3851,U3851,W3851,Y3851,AA3851,AC3851,AE3851,AG3851,AI3851,AK3851,AM3851,AO3851,AQ3851,AS3851,AU3851,AW3851,AY3851)</f>
        <v>87816</v>
      </c>
      <c r="BC3851" s="28" t="n">
        <f aca="false">BA3851-BB3851</f>
        <v>0</v>
      </c>
      <c r="BD3851" s="32" t="n">
        <f aca="false">SUM(P3851,R3851,T3851,V3851,X3851,Z3851,AB3851,AD3851,AF3851,AH3851,AJ3851,AL3851,AN3851,AP3851,AR3851,AT3851,AV3851,AX3851)</f>
        <v>2509.04</v>
      </c>
      <c r="BE3851" s="33" t="n">
        <f aca="false">AZ3851-BD3851</f>
        <v>0</v>
      </c>
      <c r="BF3851" s="34" t="n">
        <f aca="false">BD3851*M3851</f>
        <v>87816.4</v>
      </c>
      <c r="BG3851" s="35" t="n">
        <f aca="false">BA3851-BF3851</f>
        <v>-0.400000000008731</v>
      </c>
      <c r="BH3851" s="19" t="str">
        <f aca="false">IF(BG3851=0,"",IF(BG3851&lt;&gt;BA3851,"erreur de calcul",IF(BD3851&lt;&gt;0,"pas de prix",IF(M3851&lt;&gt; 0,"pas de quantité","pas de prix, ni de quantité"))))</f>
        <v>erreur de calcul</v>
      </c>
      <c r="BI3851" s="19"/>
    </row>
    <row r="3852" customFormat="false" ht="15" hidden="false" customHeight="false" outlineLevel="0" collapsed="false">
      <c r="A3852" s="0" t="n">
        <v>12</v>
      </c>
      <c r="B3852" s="8" t="s">
        <v>24</v>
      </c>
      <c r="C3852" s="9" t="s">
        <v>25</v>
      </c>
      <c r="D3852" s="9" t="s">
        <v>26</v>
      </c>
      <c r="E3852" s="10" t="n">
        <v>1789</v>
      </c>
      <c r="F3852" s="9" t="s">
        <v>27</v>
      </c>
      <c r="G3852" s="9" t="s">
        <v>27</v>
      </c>
      <c r="H3852" s="11" t="n">
        <v>27</v>
      </c>
      <c r="I3852" s="11" t="s">
        <v>423</v>
      </c>
      <c r="J3852" s="14" t="n">
        <v>75</v>
      </c>
      <c r="K3852" s="14"/>
      <c r="L3852" s="16"/>
      <c r="M3852" s="27" t="n">
        <f aca="false">J3852+(K3852/20)+(L3852/240)</f>
        <v>75</v>
      </c>
      <c r="N3852" s="17" t="s">
        <v>64</v>
      </c>
      <c r="O3852" s="11"/>
      <c r="P3852" s="28"/>
      <c r="Q3852" s="28" t="n">
        <f aca="false">P3852*$M3852</f>
        <v>0</v>
      </c>
      <c r="R3852" s="28"/>
      <c r="S3852" s="28" t="n">
        <f aca="false">R3852*$M3852</f>
        <v>0</v>
      </c>
      <c r="T3852" s="28"/>
      <c r="U3852" s="28" t="n">
        <f aca="false">T3852*$M3852</f>
        <v>0</v>
      </c>
      <c r="V3852" s="28" t="n">
        <f aca="false">1030/100</f>
        <v>10.3</v>
      </c>
      <c r="W3852" s="28" t="n">
        <v>772</v>
      </c>
      <c r="X3852" s="28"/>
      <c r="Y3852" s="28" t="n">
        <f aca="false">X3852*$M3852</f>
        <v>0</v>
      </c>
      <c r="Z3852" s="28"/>
      <c r="AA3852" s="28" t="n">
        <f aca="false">Z3852*$M3852</f>
        <v>0</v>
      </c>
      <c r="AB3852" s="28"/>
      <c r="AC3852" s="28" t="n">
        <f aca="false">AB3852*$M3852</f>
        <v>0</v>
      </c>
      <c r="AD3852" s="28"/>
      <c r="AE3852" s="28" t="n">
        <f aca="false">AD3852*$M3852</f>
        <v>0</v>
      </c>
      <c r="AF3852" s="28"/>
      <c r="AG3852" s="28" t="n">
        <f aca="false">AF3852*$M3852</f>
        <v>0</v>
      </c>
      <c r="AH3852" s="28"/>
      <c r="AI3852" s="28" t="n">
        <f aca="false">AH3852*$M3852</f>
        <v>0</v>
      </c>
      <c r="AJ3852" s="28"/>
      <c r="AK3852" s="28" t="n">
        <f aca="false">AJ3852*$M3852</f>
        <v>0</v>
      </c>
      <c r="AL3852" s="28"/>
      <c r="AM3852" s="28" t="n">
        <f aca="false">AL3852*$M3852</f>
        <v>0</v>
      </c>
      <c r="AN3852" s="28"/>
      <c r="AO3852" s="28" t="n">
        <f aca="false">AN3852*$M3852</f>
        <v>0</v>
      </c>
      <c r="AP3852" s="28"/>
      <c r="AQ3852" s="28" t="n">
        <f aca="false">AP3852*$M3852</f>
        <v>0</v>
      </c>
      <c r="AR3852" s="28"/>
      <c r="AS3852" s="28" t="n">
        <f aca="false">AR3852*$M3852</f>
        <v>0</v>
      </c>
      <c r="AT3852" s="28"/>
      <c r="AU3852" s="28" t="n">
        <f aca="false">AT3852*$M3852</f>
        <v>0</v>
      </c>
      <c r="AV3852" s="28"/>
      <c r="AW3852" s="28" t="n">
        <f aca="false">AV3852*$M3852</f>
        <v>0</v>
      </c>
      <c r="AX3852" s="28"/>
      <c r="AY3852" s="28" t="n">
        <f aca="false">AX3852*$M3852</f>
        <v>0</v>
      </c>
      <c r="AZ3852" s="30" t="n">
        <f aca="false">1030/100</f>
        <v>10.3</v>
      </c>
      <c r="BA3852" s="11" t="n">
        <v>772</v>
      </c>
      <c r="BB3852" s="31" t="n">
        <f aca="false">SUM(Q3852,S3852,U3852,W3852,Y3852,AA3852,AC3852,AE3852,AG3852,AI3852,AK3852,AM3852,AO3852,AQ3852,AS3852,AU3852,AW3852,AY3852)</f>
        <v>772</v>
      </c>
      <c r="BC3852" s="28" t="n">
        <f aca="false">BA3852-BB3852</f>
        <v>0</v>
      </c>
      <c r="BD3852" s="32" t="n">
        <f aca="false">SUM(P3852,R3852,T3852,V3852,X3852,Z3852,AB3852,AD3852,AF3852,AH3852,AJ3852,AL3852,AN3852,AP3852,AR3852,AT3852,AV3852,AX3852)</f>
        <v>10.3</v>
      </c>
      <c r="BE3852" s="33" t="n">
        <f aca="false">AZ3852-BD3852</f>
        <v>0</v>
      </c>
      <c r="BF3852" s="34" t="n">
        <f aca="false">BD3852*M3852</f>
        <v>772.5</v>
      </c>
      <c r="BG3852" s="35" t="n">
        <f aca="false">BA3852-BF3852</f>
        <v>-0.5</v>
      </c>
      <c r="BH3852" s="19" t="str">
        <f aca="false">IF(BG3852=0,"",IF(BG3852&lt;&gt;BA3852,"erreur de calcul",IF(BD3852&lt;&gt;0,"pas de prix",IF(M3852&lt;&gt; 0,"pas de quantité","pas de prix, ni de quantité"))))</f>
        <v>erreur de calcul</v>
      </c>
      <c r="BI3852" s="19"/>
    </row>
    <row r="3853" customFormat="false" ht="15" hidden="false" customHeight="false" outlineLevel="0" collapsed="false">
      <c r="A3853" s="0" t="n">
        <v>13</v>
      </c>
      <c r="B3853" s="8" t="s">
        <v>24</v>
      </c>
      <c r="C3853" s="9" t="s">
        <v>25</v>
      </c>
      <c r="D3853" s="9" t="s">
        <v>26</v>
      </c>
      <c r="E3853" s="10" t="n">
        <v>1789</v>
      </c>
      <c r="F3853" s="9" t="s">
        <v>27</v>
      </c>
      <c r="G3853" s="9" t="s">
        <v>27</v>
      </c>
      <c r="H3853" s="11" t="n">
        <v>27</v>
      </c>
      <c r="I3853" s="11" t="s">
        <v>424</v>
      </c>
      <c r="J3853" s="14" t="n">
        <v>6</v>
      </c>
      <c r="K3853" s="14"/>
      <c r="L3853" s="16"/>
      <c r="M3853" s="27" t="n">
        <f aca="false">J3853+(K3853/20)+(L3853/240)</f>
        <v>6</v>
      </c>
      <c r="N3853" s="17" t="s">
        <v>64</v>
      </c>
      <c r="O3853" s="11" t="s">
        <v>277</v>
      </c>
      <c r="P3853" s="28"/>
      <c r="Q3853" s="28" t="n">
        <f aca="false">P3853*$M3853</f>
        <v>0</v>
      </c>
      <c r="R3853" s="28"/>
      <c r="S3853" s="28" t="n">
        <f aca="false">R3853*$M3853</f>
        <v>0</v>
      </c>
      <c r="T3853" s="28"/>
      <c r="U3853" s="28" t="n">
        <f aca="false">T3853*$M3853</f>
        <v>0</v>
      </c>
      <c r="V3853" s="28"/>
      <c r="W3853" s="28" t="n">
        <f aca="false">V3853*$M3853</f>
        <v>0</v>
      </c>
      <c r="X3853" s="28"/>
      <c r="Y3853" s="28" t="n">
        <f aca="false">X3853*$M3853</f>
        <v>0</v>
      </c>
      <c r="Z3853" s="28"/>
      <c r="AA3853" s="28" t="n">
        <f aca="false">Z3853*$M3853</f>
        <v>0</v>
      </c>
      <c r="AB3853" s="28"/>
      <c r="AC3853" s="28" t="n">
        <f aca="false">AB3853*$M3853</f>
        <v>0</v>
      </c>
      <c r="AD3853" s="28"/>
      <c r="AE3853" s="28" t="n">
        <f aca="false">AD3853*$M3853</f>
        <v>0</v>
      </c>
      <c r="AF3853" s="28"/>
      <c r="AG3853" s="28" t="n">
        <f aca="false">AF3853*$M3853</f>
        <v>0</v>
      </c>
      <c r="AH3853" s="28" t="n">
        <f aca="false">9050/100</f>
        <v>90.5</v>
      </c>
      <c r="AI3853" s="28" t="n">
        <v>543</v>
      </c>
      <c r="AJ3853" s="28"/>
      <c r="AK3853" s="28" t="n">
        <f aca="false">AJ3853*$M3853</f>
        <v>0</v>
      </c>
      <c r="AL3853" s="28" t="n">
        <f aca="false">48717/100</f>
        <v>487.17</v>
      </c>
      <c r="AM3853" s="28" t="n">
        <v>2923</v>
      </c>
      <c r="AN3853" s="28"/>
      <c r="AO3853" s="28" t="n">
        <f aca="false">AN3853*$M3853</f>
        <v>0</v>
      </c>
      <c r="AP3853" s="28"/>
      <c r="AQ3853" s="28" t="n">
        <f aca="false">AP3853*$M3853</f>
        <v>0</v>
      </c>
      <c r="AR3853" s="28"/>
      <c r="AS3853" s="28" t="n">
        <f aca="false">AR3853*$M3853</f>
        <v>0</v>
      </c>
      <c r="AT3853" s="28"/>
      <c r="AU3853" s="28" t="n">
        <f aca="false">AT3853*$M3853</f>
        <v>0</v>
      </c>
      <c r="AV3853" s="28"/>
      <c r="AW3853" s="28" t="n">
        <f aca="false">AV3853*$M3853</f>
        <v>0</v>
      </c>
      <c r="AX3853" s="28"/>
      <c r="AY3853" s="28" t="n">
        <f aca="false">AX3853*$M3853</f>
        <v>0</v>
      </c>
      <c r="AZ3853" s="30" t="n">
        <f aca="false">57767/100</f>
        <v>577.67</v>
      </c>
      <c r="BA3853" s="11" t="n">
        <v>3466</v>
      </c>
      <c r="BB3853" s="31" t="n">
        <f aca="false">SUM(Q3853,S3853,U3853,W3853,Y3853,AA3853,AC3853,AE3853,AG3853,AI3853,AK3853,AM3853,AO3853,AQ3853,AS3853,AU3853,AW3853,AY3853)</f>
        <v>3466</v>
      </c>
      <c r="BC3853" s="28" t="n">
        <f aca="false">BA3853-BB3853</f>
        <v>0</v>
      </c>
      <c r="BD3853" s="32" t="n">
        <f aca="false">SUM(P3853,R3853,T3853,V3853,X3853,Z3853,AB3853,AD3853,AF3853,AH3853,AJ3853,AL3853,AN3853,AP3853,AR3853,AT3853,AV3853,AX3853)</f>
        <v>577.67</v>
      </c>
      <c r="BE3853" s="33" t="n">
        <f aca="false">AZ3853-BD3853</f>
        <v>0</v>
      </c>
      <c r="BF3853" s="34" t="n">
        <f aca="false">BD3853*M3853</f>
        <v>3466.02</v>
      </c>
      <c r="BG3853" s="35" t="n">
        <f aca="false">BA3853-BF3853</f>
        <v>-0.0200000000004366</v>
      </c>
      <c r="BH3853" s="19" t="str">
        <f aca="false">IF(BG3853=0,"",IF(BG3853&lt;&gt;BA3853,"erreur de calcul",IF(BD3853&lt;&gt;0,"pas de prix",IF(M3853&lt;&gt; 0,"pas de quantité","pas de prix, ni de quantité"))))</f>
        <v>erreur de calcul</v>
      </c>
      <c r="BI3853" s="19"/>
    </row>
    <row r="3854" customFormat="false" ht="15" hidden="false" customHeight="false" outlineLevel="0" collapsed="false">
      <c r="A3854" s="0" t="n">
        <v>14</v>
      </c>
      <c r="B3854" s="8" t="s">
        <v>24</v>
      </c>
      <c r="C3854" s="9" t="s">
        <v>25</v>
      </c>
      <c r="D3854" s="9" t="s">
        <v>26</v>
      </c>
      <c r="E3854" s="10" t="n">
        <v>1789</v>
      </c>
      <c r="F3854" s="9" t="s">
        <v>27</v>
      </c>
      <c r="G3854" s="9" t="s">
        <v>27</v>
      </c>
      <c r="H3854" s="11" t="n">
        <v>27</v>
      </c>
      <c r="I3854" s="11" t="s">
        <v>425</v>
      </c>
      <c r="J3854" s="14" t="n">
        <v>25</v>
      </c>
      <c r="K3854" s="14"/>
      <c r="L3854" s="16"/>
      <c r="M3854" s="27" t="n">
        <f aca="false">J3854+(K3854/20)+(L3854/240)</f>
        <v>25</v>
      </c>
      <c r="N3854" s="17" t="s">
        <v>64</v>
      </c>
      <c r="O3854" s="11"/>
      <c r="P3854" s="28"/>
      <c r="Q3854" s="28" t="n">
        <f aca="false">P3854*$M3854</f>
        <v>0</v>
      </c>
      <c r="R3854" s="28"/>
      <c r="S3854" s="28" t="n">
        <f aca="false">R3854*$M3854</f>
        <v>0</v>
      </c>
      <c r="T3854" s="28" t="n">
        <f aca="false">10*288*0.02+114*0.02</f>
        <v>59.88</v>
      </c>
      <c r="U3854" s="28" t="n">
        <v>1497</v>
      </c>
      <c r="V3854" s="28"/>
      <c r="W3854" s="28" t="n">
        <f aca="false">V3854*$M3854</f>
        <v>0</v>
      </c>
      <c r="X3854" s="28"/>
      <c r="Y3854" s="28" t="n">
        <f aca="false">X3854*$M3854</f>
        <v>0</v>
      </c>
      <c r="Z3854" s="28"/>
      <c r="AA3854" s="28" t="n">
        <f aca="false">Z3854*$M3854</f>
        <v>0</v>
      </c>
      <c r="AB3854" s="28"/>
      <c r="AC3854" s="28" t="n">
        <f aca="false">AB3854*$M3854</f>
        <v>0</v>
      </c>
      <c r="AD3854" s="28"/>
      <c r="AE3854" s="28" t="n">
        <f aca="false">AD3854*$M3854</f>
        <v>0</v>
      </c>
      <c r="AF3854" s="28"/>
      <c r="AG3854" s="28" t="n">
        <f aca="false">AF3854*$M3854</f>
        <v>0</v>
      </c>
      <c r="AH3854" s="28"/>
      <c r="AI3854" s="28" t="n">
        <f aca="false">AH3854*$M3854</f>
        <v>0</v>
      </c>
      <c r="AJ3854" s="28"/>
      <c r="AK3854" s="28" t="n">
        <f aca="false">AJ3854*$M3854</f>
        <v>0</v>
      </c>
      <c r="AL3854" s="28"/>
      <c r="AM3854" s="28" t="n">
        <f aca="false">AL3854*$M3854</f>
        <v>0</v>
      </c>
      <c r="AN3854" s="28"/>
      <c r="AO3854" s="28" t="n">
        <f aca="false">AN3854*$M3854</f>
        <v>0</v>
      </c>
      <c r="AP3854" s="28"/>
      <c r="AQ3854" s="28" t="n">
        <f aca="false">AP3854*$M3854</f>
        <v>0</v>
      </c>
      <c r="AR3854" s="28"/>
      <c r="AS3854" s="28" t="n">
        <f aca="false">AR3854*$M3854</f>
        <v>0</v>
      </c>
      <c r="AT3854" s="28"/>
      <c r="AU3854" s="28" t="n">
        <f aca="false">AT3854*$M3854</f>
        <v>0</v>
      </c>
      <c r="AV3854" s="28"/>
      <c r="AW3854" s="28" t="n">
        <f aca="false">AV3854*$M3854</f>
        <v>0</v>
      </c>
      <c r="AX3854" s="28"/>
      <c r="AY3854" s="28" t="n">
        <f aca="false">AX3854*$M3854</f>
        <v>0</v>
      </c>
      <c r="AZ3854" s="30" t="n">
        <f aca="false">10*288*0.02+114*0.02</f>
        <v>59.88</v>
      </c>
      <c r="BA3854" s="11" t="n">
        <v>1497</v>
      </c>
      <c r="BB3854" s="31" t="n">
        <f aca="false">SUM(Q3854,S3854,U3854,W3854,Y3854,AA3854,AC3854,AE3854,AG3854,AI3854,AK3854,AM3854,AO3854,AQ3854,AS3854,AU3854,AW3854,AY3854)</f>
        <v>1497</v>
      </c>
      <c r="BC3854" s="28" t="n">
        <f aca="false">BA3854-BB3854</f>
        <v>0</v>
      </c>
      <c r="BD3854" s="32" t="n">
        <f aca="false">SUM(P3854,R3854,T3854,V3854,X3854,Z3854,AB3854,AD3854,AF3854,AH3854,AJ3854,AL3854,AN3854,AP3854,AR3854,AT3854,AV3854,AX3854)</f>
        <v>59.88</v>
      </c>
      <c r="BE3854" s="33" t="n">
        <f aca="false">AZ3854-BD3854</f>
        <v>0</v>
      </c>
      <c r="BF3854" s="34" t="n">
        <f aca="false">BD3854*M3854</f>
        <v>1497</v>
      </c>
      <c r="BG3854" s="35" t="n">
        <f aca="false">BA3854-BF3854</f>
        <v>0</v>
      </c>
      <c r="BH3854" s="19" t="str">
        <f aca="false">IF(BG3854=0,"",IF(BG3854&lt;&gt;BA3854,"erreur de calcul",IF(BD3854&lt;&gt;0,"pas de prix",IF(M3854&lt;&gt; 0,"pas de quantité","pas de prix, ni de quantité"))))</f>
        <v/>
      </c>
      <c r="BI3854" s="19"/>
    </row>
    <row r="3855" customFormat="false" ht="15" hidden="false" customHeight="false" outlineLevel="0" collapsed="false">
      <c r="A3855" s="0" t="n">
        <v>15</v>
      </c>
      <c r="B3855" s="8" t="s">
        <v>24</v>
      </c>
      <c r="C3855" s="9" t="s">
        <v>25</v>
      </c>
      <c r="D3855" s="9" t="s">
        <v>26</v>
      </c>
      <c r="E3855" s="10" t="n">
        <v>1789</v>
      </c>
      <c r="F3855" s="9" t="s">
        <v>27</v>
      </c>
      <c r="G3855" s="9" t="s">
        <v>27</v>
      </c>
      <c r="H3855" s="11" t="n">
        <v>27</v>
      </c>
      <c r="I3855" s="11" t="s">
        <v>426</v>
      </c>
      <c r="J3855" s="14" t="n">
        <v>40</v>
      </c>
      <c r="K3855" s="14"/>
      <c r="L3855" s="16"/>
      <c r="M3855" s="27" t="n">
        <f aca="false">J3855+(K3855/20)+(L3855/240)</f>
        <v>40</v>
      </c>
      <c r="N3855" s="17" t="s">
        <v>64</v>
      </c>
      <c r="O3855" s="11"/>
      <c r="P3855" s="28"/>
      <c r="Q3855" s="28" t="n">
        <f aca="false">P3855*$M3855</f>
        <v>0</v>
      </c>
      <c r="R3855" s="28"/>
      <c r="S3855" s="28" t="n">
        <f aca="false">R3855*$M3855</f>
        <v>0</v>
      </c>
      <c r="T3855" s="28"/>
      <c r="U3855" s="28" t="n">
        <f aca="false">T3855*$M3855</f>
        <v>0</v>
      </c>
      <c r="V3855" s="28"/>
      <c r="W3855" s="28" t="n">
        <f aca="false">V3855*$M3855</f>
        <v>0</v>
      </c>
      <c r="X3855" s="28"/>
      <c r="Y3855" s="28" t="n">
        <f aca="false">X3855*$M3855</f>
        <v>0</v>
      </c>
      <c r="Z3855" s="28"/>
      <c r="AA3855" s="28" t="n">
        <f aca="false">Z3855*$M3855</f>
        <v>0</v>
      </c>
      <c r="AB3855" s="28"/>
      <c r="AC3855" s="28" t="n">
        <f aca="false">AB3855*$M3855</f>
        <v>0</v>
      </c>
      <c r="AD3855" s="28"/>
      <c r="AE3855" s="28" t="n">
        <f aca="false">AD3855*$M3855</f>
        <v>0</v>
      </c>
      <c r="AF3855" s="28"/>
      <c r="AG3855" s="28" t="n">
        <f aca="false">AF3855*$M3855</f>
        <v>0</v>
      </c>
      <c r="AH3855" s="28" t="n">
        <f aca="false">1*288*0.02+59*0.02</f>
        <v>6.94</v>
      </c>
      <c r="AI3855" s="28" t="n">
        <v>278</v>
      </c>
      <c r="AJ3855" s="28"/>
      <c r="AK3855" s="28" t="n">
        <f aca="false">AJ3855*$M3855</f>
        <v>0</v>
      </c>
      <c r="AL3855" s="28"/>
      <c r="AM3855" s="28" t="n">
        <f aca="false">AL3855*$M3855</f>
        <v>0</v>
      </c>
      <c r="AN3855" s="28"/>
      <c r="AO3855" s="28" t="n">
        <f aca="false">AN3855*$M3855</f>
        <v>0</v>
      </c>
      <c r="AP3855" s="28"/>
      <c r="AQ3855" s="28" t="n">
        <f aca="false">AP3855*$M3855</f>
        <v>0</v>
      </c>
      <c r="AR3855" s="28"/>
      <c r="AS3855" s="28" t="n">
        <f aca="false">AR3855*$M3855</f>
        <v>0</v>
      </c>
      <c r="AT3855" s="28"/>
      <c r="AU3855" s="28" t="n">
        <f aca="false">AT3855*$M3855</f>
        <v>0</v>
      </c>
      <c r="AV3855" s="28"/>
      <c r="AW3855" s="28" t="n">
        <f aca="false">AV3855*$M3855</f>
        <v>0</v>
      </c>
      <c r="AX3855" s="28"/>
      <c r="AY3855" s="28" t="n">
        <f aca="false">AX3855*$M3855</f>
        <v>0</v>
      </c>
      <c r="AZ3855" s="30" t="n">
        <f aca="false">1*288*0.02+59*0.02</f>
        <v>6.94</v>
      </c>
      <c r="BA3855" s="11" t="n">
        <v>278</v>
      </c>
      <c r="BB3855" s="31" t="n">
        <f aca="false">SUM(Q3855,S3855,U3855,W3855,Y3855,AA3855,AC3855,AE3855,AG3855,AI3855,AK3855,AM3855,AO3855,AQ3855,AS3855,AU3855,AW3855,AY3855)</f>
        <v>278</v>
      </c>
      <c r="BC3855" s="28" t="n">
        <f aca="false">BA3855-BB3855</f>
        <v>0</v>
      </c>
      <c r="BD3855" s="32" t="n">
        <f aca="false">SUM(P3855,R3855,T3855,V3855,X3855,Z3855,AB3855,AD3855,AF3855,AH3855,AJ3855,AL3855,AN3855,AP3855,AR3855,AT3855,AV3855,AX3855)</f>
        <v>6.94</v>
      </c>
      <c r="BE3855" s="33" t="n">
        <f aca="false">AZ3855-BD3855</f>
        <v>0</v>
      </c>
      <c r="BF3855" s="34" t="n">
        <f aca="false">BD3855*M3855</f>
        <v>277.6</v>
      </c>
      <c r="BG3855" s="35" t="n">
        <f aca="false">BA3855-BF3855</f>
        <v>0.400000000000034</v>
      </c>
      <c r="BH3855" s="19" t="str">
        <f aca="false">IF(BG3855=0,"",IF(BG3855&lt;&gt;BA3855,"erreur de calcul",IF(BD3855&lt;&gt;0,"pas de prix",IF(M3855&lt;&gt; 0,"pas de quantité","pas de prix, ni de quantité"))))</f>
        <v>erreur de calcul</v>
      </c>
      <c r="BI3855" s="19"/>
    </row>
    <row r="3856" customFormat="false" ht="15" hidden="false" customHeight="false" outlineLevel="0" collapsed="false">
      <c r="A3856" s="0" t="n">
        <v>16</v>
      </c>
      <c r="B3856" s="8" t="s">
        <v>24</v>
      </c>
      <c r="C3856" s="9" t="s">
        <v>25</v>
      </c>
      <c r="D3856" s="9" t="s">
        <v>26</v>
      </c>
      <c r="E3856" s="10" t="n">
        <v>1789</v>
      </c>
      <c r="F3856" s="9" t="s">
        <v>27</v>
      </c>
      <c r="G3856" s="9" t="s">
        <v>27</v>
      </c>
      <c r="H3856" s="11" t="n">
        <v>27</v>
      </c>
      <c r="I3856" s="11" t="s">
        <v>427</v>
      </c>
      <c r="J3856" s="14" t="n">
        <v>32</v>
      </c>
      <c r="K3856" s="14"/>
      <c r="L3856" s="16"/>
      <c r="M3856" s="27" t="n">
        <f aca="false">J3856+(K3856/20)+(L3856/240)</f>
        <v>32</v>
      </c>
      <c r="N3856" s="17" t="s">
        <v>64</v>
      </c>
      <c r="O3856" s="11"/>
      <c r="P3856" s="28" t="n">
        <f aca="false">33*288*0.02+179*0.02</f>
        <v>193.66</v>
      </c>
      <c r="Q3856" s="28" t="n">
        <v>6197</v>
      </c>
      <c r="R3856" s="28"/>
      <c r="S3856" s="28" t="n">
        <f aca="false">R3856*$M3856</f>
        <v>0</v>
      </c>
      <c r="T3856" s="28"/>
      <c r="U3856" s="28" t="n">
        <f aca="false">T3856*$M3856</f>
        <v>0</v>
      </c>
      <c r="V3856" s="28"/>
      <c r="W3856" s="28" t="n">
        <f aca="false">V3856*$M3856</f>
        <v>0</v>
      </c>
      <c r="X3856" s="28"/>
      <c r="Y3856" s="28" t="n">
        <f aca="false">X3856*$M3856</f>
        <v>0</v>
      </c>
      <c r="Z3856" s="28"/>
      <c r="AA3856" s="28" t="n">
        <f aca="false">Z3856*$M3856</f>
        <v>0</v>
      </c>
      <c r="AB3856" s="28"/>
      <c r="AC3856" s="28" t="n">
        <f aca="false">AB3856*$M3856</f>
        <v>0</v>
      </c>
      <c r="AD3856" s="28"/>
      <c r="AE3856" s="28" t="n">
        <f aca="false">AD3856*$M3856</f>
        <v>0</v>
      </c>
      <c r="AF3856" s="28"/>
      <c r="AG3856" s="28" t="n">
        <f aca="false">AF3856*$M3856</f>
        <v>0</v>
      </c>
      <c r="AH3856" s="28"/>
      <c r="AI3856" s="28" t="n">
        <f aca="false">AH3856*$M3856</f>
        <v>0</v>
      </c>
      <c r="AJ3856" s="28"/>
      <c r="AK3856" s="28" t="n">
        <f aca="false">AJ3856*$M3856</f>
        <v>0</v>
      </c>
      <c r="AL3856" s="28"/>
      <c r="AM3856" s="28" t="n">
        <f aca="false">AL3856*$M3856</f>
        <v>0</v>
      </c>
      <c r="AN3856" s="28"/>
      <c r="AO3856" s="28" t="n">
        <f aca="false">AN3856*$M3856</f>
        <v>0</v>
      </c>
      <c r="AP3856" s="28"/>
      <c r="AQ3856" s="28" t="n">
        <f aca="false">AP3856*$M3856</f>
        <v>0</v>
      </c>
      <c r="AR3856" s="28"/>
      <c r="AS3856" s="28" t="n">
        <f aca="false">AR3856*$M3856</f>
        <v>0</v>
      </c>
      <c r="AT3856" s="28"/>
      <c r="AU3856" s="28" t="n">
        <f aca="false">AT3856*$M3856</f>
        <v>0</v>
      </c>
      <c r="AV3856" s="28"/>
      <c r="AW3856" s="28" t="n">
        <f aca="false">AV3856*$M3856</f>
        <v>0</v>
      </c>
      <c r="AX3856" s="28"/>
      <c r="AY3856" s="28" t="n">
        <f aca="false">AX3856*$M3856</f>
        <v>0</v>
      </c>
      <c r="AZ3856" s="30" t="n">
        <f aca="false">33*288*0.02+179*0.02</f>
        <v>193.66</v>
      </c>
      <c r="BA3856" s="11" t="n">
        <v>6197</v>
      </c>
      <c r="BB3856" s="31" t="n">
        <f aca="false">SUM(Q3856,S3856,U3856,W3856,Y3856,AA3856,AC3856,AE3856,AG3856,AI3856,AK3856,AM3856,AO3856,AQ3856,AS3856,AU3856,AW3856,AY3856)</f>
        <v>6197</v>
      </c>
      <c r="BC3856" s="28" t="n">
        <f aca="false">BA3856-BB3856</f>
        <v>0</v>
      </c>
      <c r="BD3856" s="32" t="n">
        <f aca="false">SUM(P3856,R3856,T3856,V3856,X3856,Z3856,AB3856,AD3856,AF3856,AH3856,AJ3856,AL3856,AN3856,AP3856,AR3856,AT3856,AV3856,AX3856)</f>
        <v>193.66</v>
      </c>
      <c r="BE3856" s="33" t="n">
        <f aca="false">AZ3856-BD3856</f>
        <v>0</v>
      </c>
      <c r="BF3856" s="34" t="n">
        <f aca="false">BD3856*M3856</f>
        <v>6197.12</v>
      </c>
      <c r="BG3856" s="35" t="n">
        <f aca="false">BA3856-BF3856</f>
        <v>-0.1200000000008</v>
      </c>
      <c r="BH3856" s="19" t="str">
        <f aca="false">IF(BG3856=0,"",IF(BG3856&lt;&gt;BA3856,"erreur de calcul",IF(BD3856&lt;&gt;0,"pas de prix",IF(M3856&lt;&gt; 0,"pas de quantité","pas de prix, ni de quantité"))))</f>
        <v>erreur de calcul</v>
      </c>
      <c r="BI3856" s="19"/>
    </row>
    <row r="3857" customFormat="false" ht="15" hidden="false" customHeight="false" outlineLevel="0" collapsed="false">
      <c r="A3857" s="0" t="n">
        <v>17</v>
      </c>
      <c r="B3857" s="8" t="s">
        <v>24</v>
      </c>
      <c r="C3857" s="9" t="s">
        <v>25</v>
      </c>
      <c r="D3857" s="9" t="s">
        <v>26</v>
      </c>
      <c r="E3857" s="10" t="n">
        <v>1789</v>
      </c>
      <c r="F3857" s="9" t="s">
        <v>27</v>
      </c>
      <c r="G3857" s="9" t="s">
        <v>27</v>
      </c>
      <c r="H3857" s="11" t="n">
        <v>27</v>
      </c>
      <c r="I3857" s="11" t="s">
        <v>428</v>
      </c>
      <c r="J3857" s="14"/>
      <c r="K3857" s="14" t="n">
        <v>12</v>
      </c>
      <c r="L3857" s="16"/>
      <c r="M3857" s="27" t="n">
        <f aca="false">J3857+(K3857/20)+(L3857/240)</f>
        <v>0.6</v>
      </c>
      <c r="N3857" s="17" t="s">
        <v>429</v>
      </c>
      <c r="O3857" s="11"/>
      <c r="P3857" s="28" t="n">
        <f aca="false">620*288+173</f>
        <v>178733</v>
      </c>
      <c r="Q3857" s="28" t="n">
        <v>107240</v>
      </c>
      <c r="R3857" s="28"/>
      <c r="S3857" s="28" t="n">
        <f aca="false">R3857*$M3857</f>
        <v>0</v>
      </c>
      <c r="T3857" s="28"/>
      <c r="U3857" s="28" t="n">
        <f aca="false">T3857*$M3857</f>
        <v>0</v>
      </c>
      <c r="V3857" s="28" t="n">
        <f aca="false">4*288+179</f>
        <v>1331</v>
      </c>
      <c r="W3857" s="28" t="n">
        <v>799</v>
      </c>
      <c r="X3857" s="28"/>
      <c r="Y3857" s="28" t="n">
        <f aca="false">X3857*$M3857</f>
        <v>0</v>
      </c>
      <c r="Z3857" s="28"/>
      <c r="AA3857" s="28" t="n">
        <f aca="false">Z3857*$M3857</f>
        <v>0</v>
      </c>
      <c r="AB3857" s="28"/>
      <c r="AC3857" s="28" t="n">
        <f aca="false">AB3857*$M3857</f>
        <v>0</v>
      </c>
      <c r="AD3857" s="28"/>
      <c r="AE3857" s="28" t="n">
        <f aca="false">AD3857*$M3857</f>
        <v>0</v>
      </c>
      <c r="AF3857" s="28"/>
      <c r="AG3857" s="28" t="n">
        <f aca="false">AF3857*$M3857</f>
        <v>0</v>
      </c>
      <c r="AH3857" s="28" t="n">
        <f aca="false">12*288+227</f>
        <v>3683</v>
      </c>
      <c r="AI3857" s="28" t="n">
        <v>2210</v>
      </c>
      <c r="AJ3857" s="28"/>
      <c r="AK3857" s="28" t="n">
        <f aca="false">AJ3857*$M3857</f>
        <v>0</v>
      </c>
      <c r="AL3857" s="28"/>
      <c r="AM3857" s="28" t="n">
        <f aca="false">AL3857*$M3857</f>
        <v>0</v>
      </c>
      <c r="AN3857" s="28"/>
      <c r="AO3857" s="28" t="n">
        <f aca="false">AN3857*$M3857</f>
        <v>0</v>
      </c>
      <c r="AP3857" s="28"/>
      <c r="AQ3857" s="28" t="n">
        <f aca="false">AP3857*$M3857</f>
        <v>0</v>
      </c>
      <c r="AR3857" s="28"/>
      <c r="AS3857" s="28" t="n">
        <f aca="false">AR3857*$M3857</f>
        <v>0</v>
      </c>
      <c r="AT3857" s="28"/>
      <c r="AU3857" s="28" t="n">
        <f aca="false">AT3857*$M3857</f>
        <v>0</v>
      </c>
      <c r="AV3857" s="28"/>
      <c r="AW3857" s="28" t="n">
        <f aca="false">AV3857*$M3857</f>
        <v>0</v>
      </c>
      <c r="AX3857" s="28"/>
      <c r="AY3857" s="28" t="n">
        <f aca="false">AX3857*$M3857</f>
        <v>0</v>
      </c>
      <c r="AZ3857" s="30" t="n">
        <f aca="false">638*288+3</f>
        <v>183747</v>
      </c>
      <c r="BA3857" s="11" t="n">
        <v>110249</v>
      </c>
      <c r="BB3857" s="31" t="n">
        <f aca="false">SUM(Q3857,S3857,U3857,W3857,Y3857,AA3857,AC3857,AE3857,AG3857,AI3857,AK3857,AM3857,AO3857,AQ3857,AS3857,AU3857,AW3857,AY3857)</f>
        <v>110249</v>
      </c>
      <c r="BC3857" s="28" t="n">
        <f aca="false">BA3857-BB3857</f>
        <v>0</v>
      </c>
      <c r="BD3857" s="32" t="n">
        <f aca="false">SUM(P3857,R3857,T3857,V3857,X3857,Z3857,AB3857,AD3857,AF3857,AH3857,AJ3857,AL3857,AN3857,AP3857,AR3857,AT3857,AV3857,AX3857)</f>
        <v>183747</v>
      </c>
      <c r="BE3857" s="33" t="n">
        <f aca="false">AZ3857-BD3857</f>
        <v>0</v>
      </c>
      <c r="BF3857" s="34" t="n">
        <f aca="false">BD3857*M3857</f>
        <v>110248.2</v>
      </c>
      <c r="BG3857" s="35" t="n">
        <f aca="false">BA3857-BF3857</f>
        <v>0.80000000000291</v>
      </c>
      <c r="BH3857" s="19" t="str">
        <f aca="false">IF(BG3857=0,"",IF(BG3857&lt;&gt;BA3857,"erreur de calcul",IF(BD3857&lt;&gt;0,"pas de prix",IF(M3857&lt;&gt; 0,"pas de quantité","pas de prix, ni de quantité"))))</f>
        <v>erreur de calcul</v>
      </c>
      <c r="BI3857" s="19"/>
    </row>
    <row r="3858" customFormat="false" ht="15" hidden="false" customHeight="false" outlineLevel="0" collapsed="false">
      <c r="A3858" s="0" t="n">
        <v>18</v>
      </c>
      <c r="B3858" s="8" t="s">
        <v>24</v>
      </c>
      <c r="C3858" s="9" t="s">
        <v>25</v>
      </c>
      <c r="D3858" s="9" t="s">
        <v>26</v>
      </c>
      <c r="E3858" s="10" t="n">
        <v>1789</v>
      </c>
      <c r="F3858" s="9" t="s">
        <v>27</v>
      </c>
      <c r="G3858" s="9" t="s">
        <v>27</v>
      </c>
      <c r="H3858" s="11" t="n">
        <v>27</v>
      </c>
      <c r="I3858" s="11" t="s">
        <v>430</v>
      </c>
      <c r="J3858" s="14" t="n">
        <v>30</v>
      </c>
      <c r="K3858" s="14"/>
      <c r="L3858" s="16"/>
      <c r="M3858" s="27" t="n">
        <f aca="false">J3858+(K3858/20)+(L3858/240)</f>
        <v>30</v>
      </c>
      <c r="N3858" s="17" t="s">
        <v>64</v>
      </c>
      <c r="O3858" s="11" t="s">
        <v>77</v>
      </c>
      <c r="P3858" s="28"/>
      <c r="Q3858" s="28" t="n">
        <f aca="false">P3858*$M3858</f>
        <v>0</v>
      </c>
      <c r="R3858" s="28"/>
      <c r="S3858" s="28" t="n">
        <f aca="false">R3858*$M3858</f>
        <v>0</v>
      </c>
      <c r="T3858" s="28" t="n">
        <f aca="false">3*288*0.02+162*0.02</f>
        <v>20.52</v>
      </c>
      <c r="U3858" s="28" t="n">
        <v>616</v>
      </c>
      <c r="V3858" s="28"/>
      <c r="W3858" s="28" t="n">
        <f aca="false">V3858*$M3858</f>
        <v>0</v>
      </c>
      <c r="X3858" s="28" t="n">
        <f aca="false">4*288*0.02+17*0.02</f>
        <v>23.38</v>
      </c>
      <c r="Y3858" s="28" t="n">
        <v>702</v>
      </c>
      <c r="Z3858" s="28" t="n">
        <f aca="false">3*288*0.02+169*0.02</f>
        <v>20.66</v>
      </c>
      <c r="AA3858" s="28" t="n">
        <v>620</v>
      </c>
      <c r="AB3858" s="28" t="n">
        <f aca="false">10*288*0.02+224*0.02</f>
        <v>62.08</v>
      </c>
      <c r="AC3858" s="28" t="n">
        <v>1863</v>
      </c>
      <c r="AD3858" s="28"/>
      <c r="AE3858" s="28" t="n">
        <f aca="false">AD3858*$M3858</f>
        <v>0</v>
      </c>
      <c r="AF3858" s="28"/>
      <c r="AG3858" s="28" t="n">
        <f aca="false">AF3858*$M3858</f>
        <v>0</v>
      </c>
      <c r="AH3858" s="28" t="n">
        <f aca="false">200*0.02</f>
        <v>4</v>
      </c>
      <c r="AI3858" s="28" t="n">
        <v>120</v>
      </c>
      <c r="AJ3858" s="28"/>
      <c r="AK3858" s="28" t="n">
        <f aca="false">AJ3858*$M3858</f>
        <v>0</v>
      </c>
      <c r="AL3858" s="28"/>
      <c r="AM3858" s="28" t="n">
        <f aca="false">AL3858*$M3858</f>
        <v>0</v>
      </c>
      <c r="AN3858" s="28"/>
      <c r="AO3858" s="28" t="n">
        <f aca="false">AN3858*$M3858</f>
        <v>0</v>
      </c>
      <c r="AP3858" s="28"/>
      <c r="AQ3858" s="28" t="n">
        <f aca="false">AP3858*$M3858</f>
        <v>0</v>
      </c>
      <c r="AR3858" s="28"/>
      <c r="AS3858" s="28" t="n">
        <f aca="false">AR3858*$M3858</f>
        <v>0</v>
      </c>
      <c r="AT3858" s="28"/>
      <c r="AU3858" s="28" t="n">
        <f aca="false">AT3858*$M3858</f>
        <v>0</v>
      </c>
      <c r="AV3858" s="28"/>
      <c r="AW3858" s="28" t="n">
        <f aca="false">AV3858*$M3858</f>
        <v>0</v>
      </c>
      <c r="AX3858" s="28"/>
      <c r="AY3858" s="28" t="n">
        <f aca="false">AX3858*$M3858</f>
        <v>0</v>
      </c>
      <c r="AZ3858" s="30" t="n">
        <f aca="false">22*288*0.02+196*0.02</f>
        <v>130.64</v>
      </c>
      <c r="BA3858" s="11" t="n">
        <v>3921</v>
      </c>
      <c r="BB3858" s="31" t="n">
        <f aca="false">SUM(Q3858,S3858,U3858,W3858,Y3858,AA3858,AC3858,AE3858,AG3858,AI3858,AK3858,AM3858,AO3858,AQ3858,AS3858,AU3858,AW3858,AY3858)</f>
        <v>3921</v>
      </c>
      <c r="BC3858" s="28" t="n">
        <f aca="false">BA3858-BB3858</f>
        <v>0</v>
      </c>
      <c r="BD3858" s="32" t="n">
        <f aca="false">SUM(P3858,R3858,T3858,V3858,X3858,Z3858,AB3858,AD3858,AF3858,AH3858,AJ3858,AL3858,AN3858,AP3858,AR3858,AT3858,AV3858,AX3858)</f>
        <v>130.64</v>
      </c>
      <c r="BE3858" s="33" t="n">
        <f aca="false">AZ3858-BD3858</f>
        <v>0</v>
      </c>
      <c r="BF3858" s="34" t="n">
        <f aca="false">BD3858*M3858</f>
        <v>3919.2</v>
      </c>
      <c r="BG3858" s="35" t="n">
        <f aca="false">BA3858-BF3858</f>
        <v>1.80000000000018</v>
      </c>
      <c r="BH3858" s="19" t="str">
        <f aca="false">IF(BG3858=0,"",IF(BG3858&lt;&gt;BA3858,"erreur de calcul",IF(BD3858&lt;&gt;0,"pas de prix",IF(M3858&lt;&gt; 0,"pas de quantité","pas de prix, ni de quantité"))))</f>
        <v>erreur de calcul</v>
      </c>
      <c r="BI3858" s="19"/>
    </row>
    <row r="3859" customFormat="false" ht="15" hidden="false" customHeight="false" outlineLevel="0" collapsed="false">
      <c r="A3859" s="0" t="n">
        <v>19</v>
      </c>
      <c r="B3859" s="8" t="s">
        <v>24</v>
      </c>
      <c r="C3859" s="9" t="s">
        <v>25</v>
      </c>
      <c r="D3859" s="9" t="s">
        <v>26</v>
      </c>
      <c r="E3859" s="10" t="n">
        <v>1789</v>
      </c>
      <c r="F3859" s="9" t="s">
        <v>27</v>
      </c>
      <c r="G3859" s="9" t="s">
        <v>27</v>
      </c>
      <c r="H3859" s="11" t="n">
        <v>27</v>
      </c>
      <c r="I3859" s="11" t="s">
        <v>431</v>
      </c>
      <c r="J3859" s="14" t="n">
        <v>10</v>
      </c>
      <c r="K3859" s="14"/>
      <c r="L3859" s="16"/>
      <c r="M3859" s="27" t="n">
        <f aca="false">J3859+(K3859/20)+(L3859/240)</f>
        <v>10</v>
      </c>
      <c r="N3859" s="17" t="s">
        <v>432</v>
      </c>
      <c r="O3859" s="11" t="s">
        <v>109</v>
      </c>
      <c r="P3859" s="28" t="n">
        <f aca="false">105*(288/62.5)+135/62.5</f>
        <v>486</v>
      </c>
      <c r="Q3859" s="28" t="n">
        <v>4860</v>
      </c>
      <c r="R3859" s="28"/>
      <c r="S3859" s="28" t="n">
        <f aca="false">R3859*$M3859</f>
        <v>0</v>
      </c>
      <c r="T3859" s="28" t="n">
        <f aca="false">8*(288/62.5)+196/62.5</f>
        <v>40</v>
      </c>
      <c r="U3859" s="28" t="n">
        <v>400</v>
      </c>
      <c r="V3859" s="28"/>
      <c r="W3859" s="28" t="n">
        <f aca="false">V3859*$M3859</f>
        <v>0</v>
      </c>
      <c r="X3859" s="28"/>
      <c r="Y3859" s="28" t="n">
        <f aca="false">X3859*$M3859</f>
        <v>0</v>
      </c>
      <c r="Z3859" s="28"/>
      <c r="AA3859" s="28" t="n">
        <f aca="false">Z3859*$M3859</f>
        <v>0</v>
      </c>
      <c r="AB3859" s="28"/>
      <c r="AC3859" s="28" t="n">
        <f aca="false">AB3859*$M3859</f>
        <v>0</v>
      </c>
      <c r="AD3859" s="28"/>
      <c r="AE3859" s="28" t="n">
        <f aca="false">AD3859*$M3859</f>
        <v>0</v>
      </c>
      <c r="AF3859" s="28"/>
      <c r="AG3859" s="28" t="n">
        <f aca="false">AF3859*$M3859</f>
        <v>0</v>
      </c>
      <c r="AH3859" s="28"/>
      <c r="AI3859" s="28" t="n">
        <f aca="false">AH3859*$M3859</f>
        <v>0</v>
      </c>
      <c r="AJ3859" s="28"/>
      <c r="AK3859" s="28" t="n">
        <f aca="false">AJ3859*$M3859</f>
        <v>0</v>
      </c>
      <c r="AL3859" s="28"/>
      <c r="AM3859" s="28" t="n">
        <f aca="false">AL3859*$M3859</f>
        <v>0</v>
      </c>
      <c r="AN3859" s="28"/>
      <c r="AO3859" s="28" t="n">
        <f aca="false">AN3859*$M3859</f>
        <v>0</v>
      </c>
      <c r="AP3859" s="28"/>
      <c r="AQ3859" s="28" t="n">
        <f aca="false">AP3859*$M3859</f>
        <v>0</v>
      </c>
      <c r="AR3859" s="28"/>
      <c r="AS3859" s="28" t="n">
        <f aca="false">AR3859*$M3859</f>
        <v>0</v>
      </c>
      <c r="AT3859" s="28"/>
      <c r="AU3859" s="28" t="n">
        <f aca="false">AT3859*$M3859</f>
        <v>0</v>
      </c>
      <c r="AV3859" s="28"/>
      <c r="AW3859" s="28" t="n">
        <f aca="false">AV3859*$M3859</f>
        <v>0</v>
      </c>
      <c r="AX3859" s="28"/>
      <c r="AY3859" s="28" t="n">
        <f aca="false">AX3859*$M3859</f>
        <v>0</v>
      </c>
      <c r="AZ3859" s="30" t="n">
        <f aca="false">114*(288/62.5)+43/62.5</f>
        <v>526</v>
      </c>
      <c r="BA3859" s="11" t="n">
        <v>5260</v>
      </c>
      <c r="BB3859" s="31" t="n">
        <f aca="false">SUM(Q3859,S3859,U3859,W3859,Y3859,AA3859,AC3859,AE3859,AG3859,AI3859,AK3859,AM3859,AO3859,AQ3859,AS3859,AU3859,AW3859,AY3859)</f>
        <v>5260</v>
      </c>
      <c r="BC3859" s="28" t="n">
        <f aca="false">BA3859-BB3859</f>
        <v>0</v>
      </c>
      <c r="BD3859" s="32" t="n">
        <f aca="false">SUM(P3859,R3859,T3859,V3859,X3859,Z3859,AB3859,AD3859,AF3859,AH3859,AJ3859,AL3859,AN3859,AP3859,AR3859,AT3859,AV3859,AX3859)</f>
        <v>526</v>
      </c>
      <c r="BE3859" s="33" t="n">
        <f aca="false">AZ3859-BD3859</f>
        <v>0</v>
      </c>
      <c r="BF3859" s="34" t="n">
        <f aca="false">BD3859*M3859</f>
        <v>5260</v>
      </c>
      <c r="BG3859" s="35" t="n">
        <f aca="false">BA3859-BF3859</f>
        <v>0</v>
      </c>
      <c r="BH3859" s="19" t="str">
        <f aca="false">IF(BG3859=0,"",IF(BG3859&lt;&gt;BA3859,"erreur de calcul",IF(BD3859&lt;&gt;0,"pas de prix",IF(M3859&lt;&gt; 0,"pas de quantité","pas de prix, ni de quantité"))))</f>
        <v/>
      </c>
      <c r="BI3859" s="19"/>
    </row>
    <row r="3860" customFormat="false" ht="15" hidden="false" customHeight="false" outlineLevel="0" collapsed="false">
      <c r="A3860" s="0" t="n">
        <v>20</v>
      </c>
      <c r="B3860" s="8" t="s">
        <v>24</v>
      </c>
      <c r="C3860" s="9" t="s">
        <v>25</v>
      </c>
      <c r="D3860" s="9" t="s">
        <v>26</v>
      </c>
      <c r="E3860" s="10" t="n">
        <v>1789</v>
      </c>
      <c r="F3860" s="9" t="s">
        <v>27</v>
      </c>
      <c r="G3860" s="9" t="s">
        <v>27</v>
      </c>
      <c r="H3860" s="11" t="n">
        <v>27</v>
      </c>
      <c r="I3860" s="11" t="s">
        <v>433</v>
      </c>
      <c r="J3860" s="14"/>
      <c r="K3860" s="14" t="n">
        <v>14</v>
      </c>
      <c r="L3860" s="16"/>
      <c r="M3860" s="27" t="n">
        <f aca="false">J3860+(K3860/20)+(L3860/240)</f>
        <v>0.7</v>
      </c>
      <c r="N3860" s="17" t="s">
        <v>429</v>
      </c>
      <c r="O3860" s="11"/>
      <c r="P3860" s="28" t="n">
        <f aca="false">103*288+190</f>
        <v>29854</v>
      </c>
      <c r="Q3860" s="28" t="n">
        <v>20898</v>
      </c>
      <c r="R3860" s="28"/>
      <c r="S3860" s="28" t="n">
        <f aca="false">R3860*$M3860</f>
        <v>0</v>
      </c>
      <c r="T3860" s="28"/>
      <c r="U3860" s="28" t="n">
        <f aca="false">T3860*$M3860</f>
        <v>0</v>
      </c>
      <c r="V3860" s="28"/>
      <c r="W3860" s="28" t="n">
        <f aca="false">V3860*$M3860</f>
        <v>0</v>
      </c>
      <c r="X3860" s="28"/>
      <c r="Y3860" s="28" t="n">
        <f aca="false">X3860*$M3860</f>
        <v>0</v>
      </c>
      <c r="Z3860" s="28"/>
      <c r="AA3860" s="28" t="n">
        <f aca="false">Z3860*$M3860</f>
        <v>0</v>
      </c>
      <c r="AB3860" s="28"/>
      <c r="AC3860" s="28" t="n">
        <f aca="false">AB3860*$M3860</f>
        <v>0</v>
      </c>
      <c r="AD3860" s="28"/>
      <c r="AE3860" s="28" t="n">
        <f aca="false">AD3860*$M3860</f>
        <v>0</v>
      </c>
      <c r="AF3860" s="28"/>
      <c r="AG3860" s="28" t="n">
        <f aca="false">AF3860*$M3860</f>
        <v>0</v>
      </c>
      <c r="AH3860" s="28"/>
      <c r="AI3860" s="28" t="n">
        <f aca="false">AH3860*$M3860</f>
        <v>0</v>
      </c>
      <c r="AJ3860" s="28"/>
      <c r="AK3860" s="28" t="n">
        <f aca="false">AJ3860*$M3860</f>
        <v>0</v>
      </c>
      <c r="AL3860" s="28"/>
      <c r="AM3860" s="28" t="n">
        <f aca="false">AL3860*$M3860</f>
        <v>0</v>
      </c>
      <c r="AN3860" s="28"/>
      <c r="AO3860" s="28" t="n">
        <f aca="false">AN3860*$M3860</f>
        <v>0</v>
      </c>
      <c r="AP3860" s="28"/>
      <c r="AQ3860" s="28" t="n">
        <f aca="false">AP3860*$M3860</f>
        <v>0</v>
      </c>
      <c r="AR3860" s="28"/>
      <c r="AS3860" s="28" t="n">
        <f aca="false">AR3860*$M3860</f>
        <v>0</v>
      </c>
      <c r="AT3860" s="28"/>
      <c r="AU3860" s="28" t="n">
        <f aca="false">AT3860*$M3860</f>
        <v>0</v>
      </c>
      <c r="AV3860" s="28"/>
      <c r="AW3860" s="28" t="n">
        <f aca="false">AV3860*$M3860</f>
        <v>0</v>
      </c>
      <c r="AX3860" s="28"/>
      <c r="AY3860" s="28" t="n">
        <f aca="false">AX3860*$M3860</f>
        <v>0</v>
      </c>
      <c r="AZ3860" s="30" t="n">
        <f aca="false">103*288+190</f>
        <v>29854</v>
      </c>
      <c r="BA3860" s="11" t="n">
        <v>20898</v>
      </c>
      <c r="BB3860" s="31" t="n">
        <f aca="false">SUM(Q3860,S3860,U3860,W3860,Y3860,AA3860,AC3860,AE3860,AG3860,AI3860,AK3860,AM3860,AO3860,AQ3860,AS3860,AU3860,AW3860,AY3860)</f>
        <v>20898</v>
      </c>
      <c r="BC3860" s="28" t="n">
        <f aca="false">BA3860-BB3860</f>
        <v>0</v>
      </c>
      <c r="BD3860" s="32" t="n">
        <f aca="false">SUM(P3860,R3860,T3860,V3860,X3860,Z3860,AB3860,AD3860,AF3860,AH3860,AJ3860,AL3860,AN3860,AP3860,AR3860,AT3860,AV3860,AX3860)</f>
        <v>29854</v>
      </c>
      <c r="BE3860" s="33" t="n">
        <f aca="false">AZ3860-BD3860</f>
        <v>0</v>
      </c>
      <c r="BF3860" s="34" t="n">
        <f aca="false">BD3860*M3860</f>
        <v>20897.8</v>
      </c>
      <c r="BG3860" s="35" t="n">
        <f aca="false">BA3860-BF3860</f>
        <v>0.200000000000728</v>
      </c>
      <c r="BH3860" s="19" t="str">
        <f aca="false">IF(BG3860=0,"",IF(BG3860&lt;&gt;BA3860,"erreur de calcul",IF(BD3860&lt;&gt;0,"pas de prix",IF(M3860&lt;&gt; 0,"pas de quantité","pas de prix, ni de quantité"))))</f>
        <v>erreur de calcul</v>
      </c>
      <c r="BI3860" s="19"/>
    </row>
    <row r="3861" customFormat="false" ht="15" hidden="false" customHeight="false" outlineLevel="0" collapsed="false">
      <c r="A3861" s="0" t="n">
        <v>21</v>
      </c>
      <c r="B3861" s="8" t="s">
        <v>24</v>
      </c>
      <c r="C3861" s="9" t="s">
        <v>25</v>
      </c>
      <c r="D3861" s="9" t="s">
        <v>26</v>
      </c>
      <c r="E3861" s="10" t="n">
        <v>1789</v>
      </c>
      <c r="F3861" s="9" t="s">
        <v>27</v>
      </c>
      <c r="G3861" s="9" t="s">
        <v>27</v>
      </c>
      <c r="H3861" s="11" t="n">
        <v>27</v>
      </c>
      <c r="I3861" s="11" t="s">
        <v>434</v>
      </c>
      <c r="J3861" s="14"/>
      <c r="K3861" s="14" t="n">
        <v>5</v>
      </c>
      <c r="L3861" s="16"/>
      <c r="M3861" s="27" t="n">
        <f aca="false">J3861+(K3861/20)+(L3861/240)</f>
        <v>0.25</v>
      </c>
      <c r="N3861" s="17" t="s">
        <v>79</v>
      </c>
      <c r="O3861" s="11"/>
      <c r="P3861" s="28" t="n">
        <v>300402</v>
      </c>
      <c r="Q3861" s="28" t="n">
        <v>75100</v>
      </c>
      <c r="R3861" s="28"/>
      <c r="S3861" s="28" t="n">
        <f aca="false">R3861*$M3861</f>
        <v>0</v>
      </c>
      <c r="T3861" s="28"/>
      <c r="U3861" s="28" t="n">
        <f aca="false">T3861*$M3861</f>
        <v>0</v>
      </c>
      <c r="V3861" s="28" t="n">
        <v>448</v>
      </c>
      <c r="W3861" s="28" t="n">
        <v>112</v>
      </c>
      <c r="X3861" s="28"/>
      <c r="Y3861" s="28" t="n">
        <f aca="false">X3861*$M3861</f>
        <v>0</v>
      </c>
      <c r="Z3861" s="28"/>
      <c r="AA3861" s="28" t="n">
        <f aca="false">Z3861*$M3861</f>
        <v>0</v>
      </c>
      <c r="AB3861" s="28"/>
      <c r="AC3861" s="28" t="n">
        <f aca="false">AB3861*$M3861</f>
        <v>0</v>
      </c>
      <c r="AD3861" s="28"/>
      <c r="AE3861" s="28" t="n">
        <f aca="false">AD3861*$M3861</f>
        <v>0</v>
      </c>
      <c r="AF3861" s="28"/>
      <c r="AG3861" s="28" t="n">
        <f aca="false">AF3861*$M3861</f>
        <v>0</v>
      </c>
      <c r="AH3861" s="28"/>
      <c r="AI3861" s="28" t="n">
        <f aca="false">AH3861*$M3861</f>
        <v>0</v>
      </c>
      <c r="AJ3861" s="28"/>
      <c r="AK3861" s="28" t="n">
        <f aca="false">AJ3861*$M3861</f>
        <v>0</v>
      </c>
      <c r="AL3861" s="28"/>
      <c r="AM3861" s="28" t="n">
        <f aca="false">AL3861*$M3861</f>
        <v>0</v>
      </c>
      <c r="AN3861" s="28"/>
      <c r="AO3861" s="28" t="n">
        <f aca="false">AN3861*$M3861</f>
        <v>0</v>
      </c>
      <c r="AP3861" s="28"/>
      <c r="AQ3861" s="28" t="n">
        <f aca="false">AP3861*$M3861</f>
        <v>0</v>
      </c>
      <c r="AR3861" s="28"/>
      <c r="AS3861" s="28" t="n">
        <f aca="false">AR3861*$M3861</f>
        <v>0</v>
      </c>
      <c r="AT3861" s="28"/>
      <c r="AU3861" s="28" t="n">
        <f aca="false">AT3861*$M3861</f>
        <v>0</v>
      </c>
      <c r="AV3861" s="28"/>
      <c r="AW3861" s="28" t="n">
        <f aca="false">AV3861*$M3861</f>
        <v>0</v>
      </c>
      <c r="AX3861" s="28"/>
      <c r="AY3861" s="28" t="n">
        <f aca="false">AX3861*$M3861</f>
        <v>0</v>
      </c>
      <c r="AZ3861" s="30" t="n">
        <v>300850</v>
      </c>
      <c r="BA3861" s="11" t="n">
        <v>75212</v>
      </c>
      <c r="BB3861" s="31" t="n">
        <f aca="false">SUM(Q3861,S3861,U3861,W3861,Y3861,AA3861,AC3861,AE3861,AG3861,AI3861,AK3861,AM3861,AO3861,AQ3861,AS3861,AU3861,AW3861,AY3861)</f>
        <v>75212</v>
      </c>
      <c r="BC3861" s="28" t="n">
        <f aca="false">BA3861-BB3861</f>
        <v>0</v>
      </c>
      <c r="BD3861" s="32" t="n">
        <f aca="false">SUM(P3861,R3861,T3861,V3861,X3861,Z3861,AB3861,AD3861,AF3861,AH3861,AJ3861,AL3861,AN3861,AP3861,AR3861,AT3861,AV3861,AX3861)</f>
        <v>300850</v>
      </c>
      <c r="BE3861" s="33" t="n">
        <f aca="false">AZ3861-BD3861</f>
        <v>0</v>
      </c>
      <c r="BF3861" s="34" t="n">
        <f aca="false">BD3861*M3861</f>
        <v>75212.5</v>
      </c>
      <c r="BG3861" s="35" t="n">
        <f aca="false">BA3861-BF3861</f>
        <v>-0.5</v>
      </c>
      <c r="BH3861" s="19" t="str">
        <f aca="false">IF(BG3861=0,"",IF(BG3861&lt;&gt;BA3861,"erreur de calcul",IF(BD3861&lt;&gt;0,"pas de prix",IF(M3861&lt;&gt; 0,"pas de quantité","pas de prix, ni de quantité"))))</f>
        <v>erreur de calcul</v>
      </c>
      <c r="BI3861" s="19"/>
    </row>
    <row r="3862" customFormat="false" ht="78.4" hidden="false" customHeight="true" outlineLevel="0" collapsed="false">
      <c r="A3862" s="0" t="s">
        <v>31</v>
      </c>
      <c r="B3862" s="2" t="s">
        <v>0</v>
      </c>
      <c r="C3862" s="2" t="s">
        <v>1</v>
      </c>
      <c r="D3862" s="2" t="s">
        <v>2</v>
      </c>
      <c r="E3862" s="2" t="s">
        <v>3</v>
      </c>
      <c r="F3862" s="2" t="s">
        <v>4</v>
      </c>
      <c r="G3862" s="2" t="s">
        <v>5</v>
      </c>
      <c r="H3862" s="2" t="s">
        <v>6</v>
      </c>
      <c r="I3862" s="3" t="s">
        <v>7</v>
      </c>
      <c r="J3862" s="5" t="s">
        <v>12</v>
      </c>
      <c r="K3862" s="5" t="s">
        <v>13</v>
      </c>
      <c r="L3862" s="5" t="s">
        <v>14</v>
      </c>
      <c r="M3862" s="7" t="s">
        <v>15</v>
      </c>
      <c r="N3862" s="6" t="s">
        <v>32</v>
      </c>
      <c r="O3862" s="6" t="s">
        <v>33</v>
      </c>
      <c r="P3862" s="6" t="s">
        <v>34</v>
      </c>
      <c r="Q3862" s="6"/>
      <c r="R3862" s="6" t="s">
        <v>35</v>
      </c>
      <c r="S3862" s="6"/>
      <c r="T3862" s="6" t="s">
        <v>36</v>
      </c>
      <c r="U3862" s="6"/>
      <c r="V3862" s="6" t="s">
        <v>37</v>
      </c>
      <c r="W3862" s="6"/>
      <c r="X3862" s="6" t="s">
        <v>38</v>
      </c>
      <c r="Y3862" s="6"/>
      <c r="Z3862" s="6" t="s">
        <v>39</v>
      </c>
      <c r="AA3862" s="6"/>
      <c r="AB3862" s="6" t="s">
        <v>40</v>
      </c>
      <c r="AC3862" s="6"/>
      <c r="AD3862" s="6" t="s">
        <v>41</v>
      </c>
      <c r="AE3862" s="6"/>
      <c r="AF3862" s="6" t="s">
        <v>42</v>
      </c>
      <c r="AG3862" s="6"/>
      <c r="AH3862" s="6" t="s">
        <v>43</v>
      </c>
      <c r="AI3862" s="6"/>
      <c r="AJ3862" s="6" t="s">
        <v>44</v>
      </c>
      <c r="AK3862" s="6"/>
      <c r="AL3862" s="6" t="s">
        <v>45</v>
      </c>
      <c r="AM3862" s="6"/>
      <c r="AN3862" s="6" t="s">
        <v>46</v>
      </c>
      <c r="AO3862" s="6"/>
      <c r="AP3862" s="6" t="s">
        <v>47</v>
      </c>
      <c r="AQ3862" s="6"/>
      <c r="AR3862" s="6" t="s">
        <v>48</v>
      </c>
      <c r="AS3862" s="6"/>
      <c r="AT3862" s="6" t="s">
        <v>49</v>
      </c>
      <c r="AU3862" s="6"/>
      <c r="AV3862" s="6" t="s">
        <v>50</v>
      </c>
      <c r="AW3862" s="6"/>
      <c r="AX3862" s="6" t="s">
        <v>51</v>
      </c>
      <c r="AY3862" s="6"/>
      <c r="AZ3862" s="6" t="s">
        <v>52</v>
      </c>
      <c r="BA3862" s="6"/>
      <c r="BB3862" s="6"/>
      <c r="BC3862" s="6"/>
      <c r="BD3862" s="6" t="s">
        <v>53</v>
      </c>
      <c r="BE3862" s="6" t="s">
        <v>54</v>
      </c>
      <c r="BF3862" s="6" t="s">
        <v>55</v>
      </c>
      <c r="BG3862" s="6" t="s">
        <v>56</v>
      </c>
      <c r="BH3862" s="6" t="s">
        <v>57</v>
      </c>
      <c r="BI3862" s="6" t="s">
        <v>23</v>
      </c>
    </row>
    <row r="3863" customFormat="false" ht="15" hidden="false" customHeight="false" outlineLevel="0" collapsed="false">
      <c r="B3863" s="20"/>
      <c r="C3863" s="20"/>
      <c r="D3863" s="20"/>
      <c r="E3863" s="21"/>
      <c r="F3863" s="20"/>
      <c r="G3863" s="20"/>
      <c r="H3863" s="20"/>
      <c r="I3863" s="22"/>
      <c r="J3863" s="23"/>
      <c r="K3863" s="23"/>
      <c r="L3863" s="24"/>
      <c r="M3863" s="25"/>
      <c r="N3863" s="25"/>
      <c r="O3863" s="26" t="s">
        <v>58</v>
      </c>
      <c r="P3863" s="25" t="s">
        <v>59</v>
      </c>
      <c r="Q3863" s="25" t="s">
        <v>60</v>
      </c>
      <c r="R3863" s="25" t="s">
        <v>59</v>
      </c>
      <c r="S3863" s="25" t="s">
        <v>60</v>
      </c>
      <c r="T3863" s="25" t="s">
        <v>59</v>
      </c>
      <c r="U3863" s="25" t="s">
        <v>60</v>
      </c>
      <c r="V3863" s="25" t="s">
        <v>59</v>
      </c>
      <c r="W3863" s="25" t="s">
        <v>60</v>
      </c>
      <c r="X3863" s="25" t="s">
        <v>59</v>
      </c>
      <c r="Y3863" s="25" t="s">
        <v>60</v>
      </c>
      <c r="Z3863" s="25" t="s">
        <v>59</v>
      </c>
      <c r="AA3863" s="25" t="s">
        <v>60</v>
      </c>
      <c r="AB3863" s="25" t="s">
        <v>59</v>
      </c>
      <c r="AC3863" s="25" t="s">
        <v>60</v>
      </c>
      <c r="AD3863" s="25" t="s">
        <v>59</v>
      </c>
      <c r="AE3863" s="25" t="s">
        <v>60</v>
      </c>
      <c r="AF3863" s="25" t="s">
        <v>59</v>
      </c>
      <c r="AG3863" s="25" t="s">
        <v>60</v>
      </c>
      <c r="AH3863" s="25" t="s">
        <v>59</v>
      </c>
      <c r="AI3863" s="25" t="s">
        <v>60</v>
      </c>
      <c r="AJ3863" s="25" t="s">
        <v>59</v>
      </c>
      <c r="AK3863" s="25" t="s">
        <v>60</v>
      </c>
      <c r="AL3863" s="25" t="s">
        <v>59</v>
      </c>
      <c r="AM3863" s="25" t="s">
        <v>60</v>
      </c>
      <c r="AN3863" s="25" t="s">
        <v>59</v>
      </c>
      <c r="AO3863" s="25" t="s">
        <v>60</v>
      </c>
      <c r="AP3863" s="25" t="s">
        <v>59</v>
      </c>
      <c r="AQ3863" s="25" t="s">
        <v>60</v>
      </c>
      <c r="AR3863" s="25" t="s">
        <v>59</v>
      </c>
      <c r="AS3863" s="25" t="s">
        <v>60</v>
      </c>
      <c r="AT3863" s="25" t="s">
        <v>59</v>
      </c>
      <c r="AU3863" s="25" t="s">
        <v>60</v>
      </c>
      <c r="AV3863" s="25" t="s">
        <v>59</v>
      </c>
      <c r="AW3863" s="25" t="s">
        <v>60</v>
      </c>
      <c r="AX3863" s="25" t="s">
        <v>59</v>
      </c>
      <c r="AY3863" s="25" t="s">
        <v>60</v>
      </c>
      <c r="AZ3863" s="25" t="s">
        <v>59</v>
      </c>
      <c r="BA3863" s="25" t="s">
        <v>60</v>
      </c>
      <c r="BB3863" s="25" t="s">
        <v>61</v>
      </c>
      <c r="BC3863" s="25" t="s">
        <v>62</v>
      </c>
      <c r="BD3863" s="20"/>
      <c r="BE3863" s="20"/>
      <c r="BF3863" s="20"/>
      <c r="BG3863" s="20"/>
      <c r="BH3863" s="20"/>
      <c r="BI3863" s="20"/>
    </row>
    <row r="3864" customFormat="false" ht="15" hidden="false" customHeight="false" outlineLevel="0" collapsed="false">
      <c r="A3864" s="0" t="n">
        <v>1</v>
      </c>
      <c r="B3864" s="8" t="s">
        <v>24</v>
      </c>
      <c r="C3864" s="9" t="s">
        <v>25</v>
      </c>
      <c r="D3864" s="9" t="s">
        <v>26</v>
      </c>
      <c r="E3864" s="10" t="n">
        <v>1789</v>
      </c>
      <c r="F3864" s="9" t="s">
        <v>27</v>
      </c>
      <c r="G3864" s="9" t="s">
        <v>27</v>
      </c>
      <c r="H3864" s="11" t="n">
        <v>18</v>
      </c>
      <c r="I3864" s="11" t="s">
        <v>63</v>
      </c>
      <c r="J3864" s="14" t="n">
        <v>27</v>
      </c>
      <c r="K3864" s="14"/>
      <c r="L3864" s="16"/>
      <c r="M3864" s="27" t="n">
        <f aca="false">J3864+(K3864/20)+(L3864/240)</f>
        <v>27</v>
      </c>
      <c r="N3864" s="17" t="s">
        <v>64</v>
      </c>
      <c r="O3864" s="11"/>
      <c r="P3864" s="28"/>
      <c r="Q3864" s="28" t="n">
        <f aca="false">P3864*$M3864</f>
        <v>0</v>
      </c>
      <c r="R3864" s="28"/>
      <c r="S3864" s="28" t="n">
        <f aca="false">R3864*$M3864</f>
        <v>0</v>
      </c>
      <c r="T3864" s="28"/>
      <c r="U3864" s="28" t="n">
        <f aca="false">T3864*$M3864</f>
        <v>0</v>
      </c>
      <c r="V3864" s="28" t="n">
        <f aca="false">700/100</f>
        <v>7</v>
      </c>
      <c r="W3864" s="28" t="n">
        <v>189</v>
      </c>
      <c r="X3864" s="29"/>
      <c r="Y3864" s="28" t="n">
        <v>9506</v>
      </c>
      <c r="Z3864" s="28"/>
      <c r="AA3864" s="28" t="n">
        <f aca="false">Z3864*$M3864</f>
        <v>0</v>
      </c>
      <c r="AB3864" s="28"/>
      <c r="AC3864" s="28" t="n">
        <f aca="false">AB3864*$M3864</f>
        <v>0</v>
      </c>
      <c r="AD3864" s="28"/>
      <c r="AE3864" s="28" t="n">
        <f aca="false">AD3864*$M3864</f>
        <v>0</v>
      </c>
      <c r="AF3864" s="28"/>
      <c r="AG3864" s="28" t="n">
        <f aca="false">AF3864*$M3864</f>
        <v>0</v>
      </c>
      <c r="AH3864" s="28"/>
      <c r="AI3864" s="28" t="n">
        <f aca="false">AH3864*$M3864</f>
        <v>0</v>
      </c>
      <c r="AJ3864" s="28" t="n">
        <f aca="false">72509/100</f>
        <v>725.09</v>
      </c>
      <c r="AK3864" s="28" t="n">
        <v>19577</v>
      </c>
      <c r="AL3864" s="28"/>
      <c r="AM3864" s="28" t="n">
        <f aca="false">AL3864*$M3864</f>
        <v>0</v>
      </c>
      <c r="AN3864" s="28"/>
      <c r="AO3864" s="28" t="n">
        <f aca="false">AN3864*$M3864</f>
        <v>0</v>
      </c>
      <c r="AP3864" s="28"/>
      <c r="AQ3864" s="28" t="n">
        <f aca="false">AP3864*$M3864</f>
        <v>0</v>
      </c>
      <c r="AR3864" s="28" t="n">
        <f aca="false">36750/100</f>
        <v>367.5</v>
      </c>
      <c r="AS3864" s="28" t="n">
        <v>9922</v>
      </c>
      <c r="AT3864" s="28"/>
      <c r="AU3864" s="28" t="n">
        <f aca="false">AT3864*$M3864</f>
        <v>0</v>
      </c>
      <c r="AV3864" s="28"/>
      <c r="AW3864" s="28" t="n">
        <f aca="false">AV3864*$M3864</f>
        <v>0</v>
      </c>
      <c r="AX3864" s="28"/>
      <c r="AY3864" s="28" t="n">
        <f aca="false">AX3864*$M3864</f>
        <v>0</v>
      </c>
      <c r="AZ3864" s="30" t="n">
        <f aca="false">145166/100</f>
        <v>1451.66</v>
      </c>
      <c r="BA3864" s="11" t="n">
        <v>39194</v>
      </c>
      <c r="BB3864" s="31" t="n">
        <f aca="false">SUM(Q3864,S3864,U3864,W3864,Y3864,AA3864,AC3864,AE3864,AG3864,AI3864,AK3864,AM3864,AO3864,AQ3864,AS3864,AU3864,AW3864,AY3864)</f>
        <v>39194</v>
      </c>
      <c r="BC3864" s="28" t="n">
        <f aca="false">BA3864-BB3864</f>
        <v>0</v>
      </c>
      <c r="BD3864" s="32" t="n">
        <f aca="false">SUM(P3864,R3864,T3864,V3864,X3864,Z3864,AB3864,AD3864,AF3864,AH3864,AJ3864,AL3864,AN3864,AP3864,AR3864,AT3864,AV3864,AX3864)</f>
        <v>1099.59</v>
      </c>
      <c r="BE3864" s="33" t="n">
        <f aca="false">AZ3864-BD3864</f>
        <v>352.07</v>
      </c>
      <c r="BF3864" s="34" t="n">
        <f aca="false">BD3864*M3864</f>
        <v>29688.93</v>
      </c>
      <c r="BG3864" s="35" t="n">
        <f aca="false">BA3864-BF3864</f>
        <v>9505.07</v>
      </c>
      <c r="BH3864" s="19" t="str">
        <f aca="false">IF(BG3864=0,"",IF(BG3864&lt;&gt;BA3864,"erreur de calcul",IF(BD3864&lt;&gt;0,"pas de prix",IF(M3864&lt;&gt; 0,"pas de quantité","pas de prix, ni de quantité"))))</f>
        <v>erreur de calcul</v>
      </c>
      <c r="BI3864" s="19"/>
    </row>
    <row r="3865" customFormat="false" ht="15" hidden="false" customHeight="false" outlineLevel="0" collapsed="false">
      <c r="A3865" s="0" t="n">
        <v>2</v>
      </c>
      <c r="B3865" s="8" t="s">
        <v>24</v>
      </c>
      <c r="C3865" s="9" t="s">
        <v>25</v>
      </c>
      <c r="D3865" s="9" t="s">
        <v>26</v>
      </c>
      <c r="E3865" s="10" t="n">
        <v>1789</v>
      </c>
      <c r="F3865" s="9" t="s">
        <v>27</v>
      </c>
      <c r="G3865" s="9" t="s">
        <v>27</v>
      </c>
      <c r="H3865" s="11" t="n">
        <v>18</v>
      </c>
      <c r="I3865" s="11" t="s">
        <v>65</v>
      </c>
      <c r="J3865" s="14"/>
      <c r="K3865" s="14" t="n">
        <v>20</v>
      </c>
      <c r="L3865" s="16"/>
      <c r="M3865" s="27" t="n">
        <f aca="false">J3865+(K3865/20)+(L3865/240)</f>
        <v>1</v>
      </c>
      <c r="N3865" s="17" t="s">
        <v>66</v>
      </c>
      <c r="O3865" s="11"/>
      <c r="P3865" s="28"/>
      <c r="Q3865" s="28" t="n">
        <f aca="false">P3865*$M3865</f>
        <v>0</v>
      </c>
      <c r="R3865" s="28"/>
      <c r="S3865" s="28" t="n">
        <f aca="false">R3865*$M3865</f>
        <v>0</v>
      </c>
      <c r="T3865" s="28"/>
      <c r="U3865" s="28" t="n">
        <f aca="false">T3865*$M3865</f>
        <v>0</v>
      </c>
      <c r="V3865" s="28" t="n">
        <v>2365</v>
      </c>
      <c r="W3865" s="28" t="n">
        <v>2365</v>
      </c>
      <c r="X3865" s="29" t="n">
        <v>234</v>
      </c>
      <c r="Y3865" s="28" t="n">
        <v>234</v>
      </c>
      <c r="Z3865" s="28"/>
      <c r="AA3865" s="28" t="n">
        <f aca="false">Z3865*$M3865</f>
        <v>0</v>
      </c>
      <c r="AB3865" s="28" t="n">
        <v>17776</v>
      </c>
      <c r="AC3865" s="28" t="n">
        <v>17776</v>
      </c>
      <c r="AD3865" s="28"/>
      <c r="AE3865" s="28" t="n">
        <f aca="false">AD3865*$M3865</f>
        <v>0</v>
      </c>
      <c r="AF3865" s="28"/>
      <c r="AG3865" s="28" t="n">
        <f aca="false">AF3865*$M3865</f>
        <v>0</v>
      </c>
      <c r="AH3865" s="28"/>
      <c r="AI3865" s="28" t="n">
        <f aca="false">AH3865*$M3865</f>
        <v>0</v>
      </c>
      <c r="AJ3865" s="28"/>
      <c r="AK3865" s="28" t="n">
        <f aca="false">AJ3865*$M3865</f>
        <v>0</v>
      </c>
      <c r="AL3865" s="28"/>
      <c r="AM3865" s="28" t="n">
        <f aca="false">AL3865*$M3865</f>
        <v>0</v>
      </c>
      <c r="AN3865" s="28"/>
      <c r="AO3865" s="28" t="n">
        <f aca="false">AN3865*$M3865</f>
        <v>0</v>
      </c>
      <c r="AP3865" s="28"/>
      <c r="AQ3865" s="28" t="n">
        <f aca="false">AP3865*$M3865</f>
        <v>0</v>
      </c>
      <c r="AR3865" s="28"/>
      <c r="AS3865" s="28" t="n">
        <f aca="false">AR3865*$M3865</f>
        <v>0</v>
      </c>
      <c r="AT3865" s="28"/>
      <c r="AU3865" s="28" t="n">
        <f aca="false">AT3865*$M3865</f>
        <v>0</v>
      </c>
      <c r="AV3865" s="28"/>
      <c r="AW3865" s="28" t="n">
        <f aca="false">AV3865*$M3865</f>
        <v>0</v>
      </c>
      <c r="AX3865" s="28"/>
      <c r="AY3865" s="28" t="n">
        <f aca="false">AX3865*$M3865</f>
        <v>0</v>
      </c>
      <c r="AZ3865" s="30" t="n">
        <v>20375</v>
      </c>
      <c r="BA3865" s="11" t="n">
        <v>20375</v>
      </c>
      <c r="BB3865" s="31" t="n">
        <f aca="false">SUM(Q3865,S3865,U3865,W3865,Y3865,AA3865,AC3865,AE3865,AG3865,AI3865,AK3865,AM3865,AO3865,AQ3865,AS3865,AU3865,AW3865,AY3865)</f>
        <v>20375</v>
      </c>
      <c r="BC3865" s="28" t="n">
        <f aca="false">BA3865-BB3865</f>
        <v>0</v>
      </c>
      <c r="BD3865" s="32" t="n">
        <f aca="false">SUM(P3865,R3865,T3865,V3865,X3865,Z3865,AB3865,AD3865,AF3865,AH3865,AJ3865,AL3865,AN3865,AP3865,AR3865,AT3865,AV3865,AX3865)</f>
        <v>20375</v>
      </c>
      <c r="BE3865" s="33" t="n">
        <f aca="false">AZ3865-BD3865</f>
        <v>0</v>
      </c>
      <c r="BF3865" s="34" t="n">
        <f aca="false">BD3865*M3865</f>
        <v>20375</v>
      </c>
      <c r="BG3865" s="35" t="n">
        <f aca="false">BA3865-BF3865</f>
        <v>0</v>
      </c>
      <c r="BH3865" s="19" t="str">
        <f aca="false">IF(BG3865=0,"",IF(BG3865&lt;&gt;BA3865,"erreur de calcul",IF(BD3865&lt;&gt;0,"pas de prix",IF(M3865&lt;&gt; 0,"pas de quantité","pas de prix, ni de quantité"))))</f>
        <v/>
      </c>
      <c r="BI3865" s="19"/>
    </row>
    <row r="3866" customFormat="false" ht="15" hidden="false" customHeight="false" outlineLevel="0" collapsed="false">
      <c r="A3866" s="0" t="n">
        <v>3</v>
      </c>
      <c r="B3866" s="8" t="s">
        <v>24</v>
      </c>
      <c r="C3866" s="9" t="s">
        <v>25</v>
      </c>
      <c r="D3866" s="9" t="s">
        <v>26</v>
      </c>
      <c r="E3866" s="10" t="n">
        <v>1789</v>
      </c>
      <c r="F3866" s="9" t="s">
        <v>27</v>
      </c>
      <c r="G3866" s="9" t="s">
        <v>27</v>
      </c>
      <c r="H3866" s="11" t="n">
        <v>18</v>
      </c>
      <c r="I3866" s="11" t="s">
        <v>67</v>
      </c>
      <c r="J3866" s="14" t="n">
        <v>56</v>
      </c>
      <c r="K3866" s="14"/>
      <c r="L3866" s="16"/>
      <c r="M3866" s="27" t="n">
        <f aca="false">J3866+(K3866/20)+(L3866/240)</f>
        <v>56</v>
      </c>
      <c r="N3866" s="17" t="s">
        <v>64</v>
      </c>
      <c r="O3866" s="11"/>
      <c r="P3866" s="28" t="n">
        <f aca="false">27159/100</f>
        <v>271.59</v>
      </c>
      <c r="Q3866" s="28" t="n">
        <v>15209</v>
      </c>
      <c r="R3866" s="28"/>
      <c r="S3866" s="28" t="n">
        <f aca="false">R3866*$M3866</f>
        <v>0</v>
      </c>
      <c r="T3866" s="28" t="n">
        <f aca="false">1044/100</f>
        <v>10.44</v>
      </c>
      <c r="U3866" s="28" t="n">
        <v>585</v>
      </c>
      <c r="V3866" s="28" t="n">
        <f aca="false">1838/100</f>
        <v>18.38</v>
      </c>
      <c r="W3866" s="36" t="n">
        <v>4557</v>
      </c>
      <c r="X3866" s="29"/>
      <c r="Y3866" s="28" t="n">
        <v>2566</v>
      </c>
      <c r="Z3866" s="28"/>
      <c r="AA3866" s="28" t="n">
        <f aca="false">Z3866*$M3866</f>
        <v>0</v>
      </c>
      <c r="AB3866" s="28" t="n">
        <f aca="false">17833/100</f>
        <v>178.33</v>
      </c>
      <c r="AC3866" s="28" t="n">
        <v>9986</v>
      </c>
      <c r="AD3866" s="28"/>
      <c r="AE3866" s="28" t="n">
        <f aca="false">AD3866*$M3866</f>
        <v>0</v>
      </c>
      <c r="AF3866" s="28" t="n">
        <f aca="false">30595/100</f>
        <v>305.95</v>
      </c>
      <c r="AG3866" s="28" t="n">
        <v>17133</v>
      </c>
      <c r="AH3866" s="28"/>
      <c r="AI3866" s="28" t="n">
        <f aca="false">AH3866*$M3866</f>
        <v>0</v>
      </c>
      <c r="AJ3866" s="28"/>
      <c r="AK3866" s="28" t="n">
        <f aca="false">AJ3866*$M3866</f>
        <v>0</v>
      </c>
      <c r="AL3866" s="28"/>
      <c r="AM3866" s="28" t="n">
        <f aca="false">AL3866*$M3866</f>
        <v>0</v>
      </c>
      <c r="AN3866" s="28"/>
      <c r="AO3866" s="28" t="n">
        <f aca="false">AN3866*$M3866</f>
        <v>0</v>
      </c>
      <c r="AP3866" s="28"/>
      <c r="AQ3866" s="28" t="n">
        <f aca="false">AP3866*$M3866</f>
        <v>0</v>
      </c>
      <c r="AR3866" s="28"/>
      <c r="AS3866" s="28" t="n">
        <f aca="false">AR3866*$M3866</f>
        <v>0</v>
      </c>
      <c r="AT3866" s="28"/>
      <c r="AU3866" s="28" t="n">
        <f aca="false">AT3866*$M3866</f>
        <v>0</v>
      </c>
      <c r="AV3866" s="28"/>
      <c r="AW3866" s="28" t="n">
        <f aca="false">AV3866*$M3866</f>
        <v>0</v>
      </c>
      <c r="AX3866" s="28"/>
      <c r="AY3866" s="28" t="n">
        <f aca="false">AX3866*$M3866</f>
        <v>0</v>
      </c>
      <c r="AZ3866" s="30" t="n">
        <f aca="false">83051/100</f>
        <v>830.51</v>
      </c>
      <c r="BA3866" s="11" t="n">
        <v>50036</v>
      </c>
      <c r="BB3866" s="31" t="n">
        <f aca="false">SUM(Q3866,S3866,U3866,W3866,Y3866,AA3866,AC3866,AE3866,AG3866,AI3866,AK3866,AM3866,AO3866,AQ3866,AS3866,AU3866,AW3866,AY3866)</f>
        <v>50036</v>
      </c>
      <c r="BC3866" s="28" t="n">
        <f aca="false">BA3866-BB3866</f>
        <v>0</v>
      </c>
      <c r="BD3866" s="32" t="n">
        <f aca="false">SUM(P3866,R3866,T3866,V3866,X3866,Z3866,AB3866,AD3866,AF3866,AH3866,AJ3866,AL3866,AN3866,AP3866,AR3866,AT3866,AV3866,AX3866)</f>
        <v>784.69</v>
      </c>
      <c r="BE3866" s="33" t="n">
        <f aca="false">AZ3866-BD3866</f>
        <v>45.8199999999999</v>
      </c>
      <c r="BF3866" s="34" t="n">
        <f aca="false">BD3866*M3866</f>
        <v>43942.64</v>
      </c>
      <c r="BG3866" s="35" t="n">
        <f aca="false">BA3866-BF3866</f>
        <v>6093.36</v>
      </c>
      <c r="BH3866" s="19" t="str">
        <f aca="false">IF(BG3866=0,"",IF(BG3866&lt;&gt;BA3866,"erreur de calcul",IF(BD3866&lt;&gt;0,"pas de prix",IF(M3866&lt;&gt; 0,"pas de quantité","pas de prix, ni de quantité"))))</f>
        <v>erreur de calcul</v>
      </c>
      <c r="BI3866" s="19"/>
    </row>
    <row r="3867" customFormat="false" ht="15" hidden="false" customHeight="false" outlineLevel="0" collapsed="false">
      <c r="A3867" s="0" t="n">
        <v>4</v>
      </c>
      <c r="B3867" s="8" t="s">
        <v>24</v>
      </c>
      <c r="C3867" s="9" t="s">
        <v>25</v>
      </c>
      <c r="D3867" s="9" t="s">
        <v>26</v>
      </c>
      <c r="E3867" s="10" t="n">
        <v>1789</v>
      </c>
      <c r="F3867" s="9" t="s">
        <v>27</v>
      </c>
      <c r="G3867" s="9" t="s">
        <v>27</v>
      </c>
      <c r="H3867" s="11" t="n">
        <v>18</v>
      </c>
      <c r="I3867" s="11" t="s">
        <v>68</v>
      </c>
      <c r="J3867" s="14"/>
      <c r="K3867" s="14" t="n">
        <v>30</v>
      </c>
      <c r="L3867" s="16"/>
      <c r="M3867" s="27" t="n">
        <f aca="false">J3867+(K3867/20)+(L3867/240)</f>
        <v>1.5</v>
      </c>
      <c r="N3867" s="17" t="s">
        <v>69</v>
      </c>
      <c r="O3867" s="11"/>
      <c r="P3867" s="28" t="n">
        <v>5460</v>
      </c>
      <c r="Q3867" s="28" t="n">
        <v>8190</v>
      </c>
      <c r="R3867" s="28"/>
      <c r="S3867" s="28" t="n">
        <f aca="false">R3867*$M3867</f>
        <v>0</v>
      </c>
      <c r="T3867" s="28"/>
      <c r="U3867" s="28" t="n">
        <f aca="false">T3867*$M3867</f>
        <v>0</v>
      </c>
      <c r="V3867" s="28" t="n">
        <v>1061</v>
      </c>
      <c r="W3867" s="28" t="n">
        <v>1591</v>
      </c>
      <c r="X3867" s="29"/>
      <c r="Y3867" s="28" t="n">
        <v>5766</v>
      </c>
      <c r="Z3867" s="28"/>
      <c r="AA3867" s="28" t="n">
        <f aca="false">Z3867*$M3867</f>
        <v>0</v>
      </c>
      <c r="AB3867" s="28"/>
      <c r="AC3867" s="28" t="n">
        <f aca="false">AB3867*$M3867</f>
        <v>0</v>
      </c>
      <c r="AD3867" s="28"/>
      <c r="AE3867" s="28" t="n">
        <f aca="false">AD3867*$M3867</f>
        <v>0</v>
      </c>
      <c r="AF3867" s="28"/>
      <c r="AG3867" s="28" t="n">
        <f aca="false">AF3867*$M3867</f>
        <v>0</v>
      </c>
      <c r="AH3867" s="28"/>
      <c r="AI3867" s="28" t="n">
        <f aca="false">AH3867*$M3867</f>
        <v>0</v>
      </c>
      <c r="AJ3867" s="28"/>
      <c r="AK3867" s="28" t="n">
        <f aca="false">AJ3867*$M3867</f>
        <v>0</v>
      </c>
      <c r="AL3867" s="28"/>
      <c r="AM3867" s="28" t="n">
        <f aca="false">AL3867*$M3867</f>
        <v>0</v>
      </c>
      <c r="AN3867" s="28"/>
      <c r="AO3867" s="28" t="n">
        <f aca="false">AN3867*$M3867</f>
        <v>0</v>
      </c>
      <c r="AP3867" s="28"/>
      <c r="AQ3867" s="28" t="n">
        <f aca="false">AP3867*$M3867</f>
        <v>0</v>
      </c>
      <c r="AR3867" s="28"/>
      <c r="AS3867" s="28" t="n">
        <f aca="false">AR3867*$M3867</f>
        <v>0</v>
      </c>
      <c r="AT3867" s="28"/>
      <c r="AU3867" s="28" t="n">
        <f aca="false">AT3867*$M3867</f>
        <v>0</v>
      </c>
      <c r="AV3867" s="28"/>
      <c r="AW3867" s="28" t="n">
        <f aca="false">AV3867*$M3867</f>
        <v>0</v>
      </c>
      <c r="AX3867" s="28"/>
      <c r="AY3867" s="28" t="n">
        <f aca="false">AX3867*$M3867</f>
        <v>0</v>
      </c>
      <c r="AZ3867" s="30" t="n">
        <v>10365</v>
      </c>
      <c r="BA3867" s="11" t="n">
        <v>15547</v>
      </c>
      <c r="BB3867" s="31" t="n">
        <f aca="false">SUM(Q3867,S3867,U3867,W3867,Y3867,AA3867,AC3867,AE3867,AG3867,AI3867,AK3867,AM3867,AO3867,AQ3867,AS3867,AU3867,AW3867,AY3867)</f>
        <v>15547</v>
      </c>
      <c r="BC3867" s="28" t="n">
        <f aca="false">BA3867-BB3867</f>
        <v>0</v>
      </c>
      <c r="BD3867" s="32" t="n">
        <f aca="false">SUM(P3867,R3867,T3867,V3867,X3867,Z3867,AB3867,AD3867,AF3867,AH3867,AJ3867,AL3867,AN3867,AP3867,AR3867,AT3867,AV3867,AX3867)</f>
        <v>6521</v>
      </c>
      <c r="BE3867" s="33" t="n">
        <f aca="false">AZ3867-BD3867</f>
        <v>3844</v>
      </c>
      <c r="BF3867" s="34" t="n">
        <f aca="false">BD3867*M3867</f>
        <v>9781.5</v>
      </c>
      <c r="BG3867" s="35" t="n">
        <f aca="false">BA3867-BF3867</f>
        <v>5765.5</v>
      </c>
      <c r="BH3867" s="19" t="str">
        <f aca="false">IF(BG3867=0,"",IF(BG3867&lt;&gt;BA3867,"erreur de calcul",IF(BD3867&lt;&gt;0,"pas de prix",IF(M3867&lt;&gt; 0,"pas de quantité","pas de prix, ni de quantité"))))</f>
        <v>erreur de calcul</v>
      </c>
      <c r="BI3867" s="19"/>
    </row>
    <row r="3868" customFormat="false" ht="15" hidden="false" customHeight="false" outlineLevel="0" collapsed="false">
      <c r="A3868" s="0" t="n">
        <v>5</v>
      </c>
      <c r="B3868" s="8" t="s">
        <v>24</v>
      </c>
      <c r="C3868" s="9" t="s">
        <v>25</v>
      </c>
      <c r="D3868" s="9" t="s">
        <v>26</v>
      </c>
      <c r="E3868" s="10" t="n">
        <v>1789</v>
      </c>
      <c r="F3868" s="9" t="s">
        <v>27</v>
      </c>
      <c r="G3868" s="9" t="s">
        <v>27</v>
      </c>
      <c r="H3868" s="11" t="n">
        <v>18</v>
      </c>
      <c r="I3868" s="11" t="s">
        <v>70</v>
      </c>
      <c r="J3868" s="14" t="n">
        <v>190</v>
      </c>
      <c r="K3868" s="14"/>
      <c r="L3868" s="16"/>
      <c r="M3868" s="27" t="n">
        <f aca="false">J3868+(K3868/20)+(L3868/240)</f>
        <v>190</v>
      </c>
      <c r="N3868" s="17" t="s">
        <v>64</v>
      </c>
      <c r="O3868" s="11"/>
      <c r="P3868" s="28"/>
      <c r="Q3868" s="28" t="n">
        <f aca="false">P3868*$M3868</f>
        <v>0</v>
      </c>
      <c r="R3868" s="28" t="n">
        <f aca="false">22283/100</f>
        <v>222.83</v>
      </c>
      <c r="S3868" s="28" t="n">
        <v>42338</v>
      </c>
      <c r="T3868" s="28" t="n">
        <f aca="false">1289/100</f>
        <v>12.89</v>
      </c>
      <c r="U3868" s="28" t="n">
        <v>2449</v>
      </c>
      <c r="V3868" s="28"/>
      <c r="W3868" s="28" t="n">
        <f aca="false">V3868*$M3868</f>
        <v>0</v>
      </c>
      <c r="X3868" s="29"/>
      <c r="Y3868" s="28" t="n">
        <f aca="false">X3868*$M3868</f>
        <v>0</v>
      </c>
      <c r="Z3868" s="28"/>
      <c r="AA3868" s="28" t="n">
        <f aca="false">Z3868*$M3868</f>
        <v>0</v>
      </c>
      <c r="AB3868" s="28"/>
      <c r="AC3868" s="28" t="n">
        <f aca="false">AB3868*$M3868</f>
        <v>0</v>
      </c>
      <c r="AD3868" s="28"/>
      <c r="AE3868" s="28" t="n">
        <f aca="false">AD3868*$M3868</f>
        <v>0</v>
      </c>
      <c r="AF3868" s="28"/>
      <c r="AG3868" s="28" t="n">
        <f aca="false">AF3868*$M3868</f>
        <v>0</v>
      </c>
      <c r="AH3868" s="28"/>
      <c r="AI3868" s="28" t="n">
        <f aca="false">AH3868*$M3868</f>
        <v>0</v>
      </c>
      <c r="AJ3868" s="28"/>
      <c r="AK3868" s="28" t="n">
        <f aca="false">AJ3868*$M3868</f>
        <v>0</v>
      </c>
      <c r="AL3868" s="28"/>
      <c r="AM3868" s="28" t="n">
        <f aca="false">AL3868*$M3868</f>
        <v>0</v>
      </c>
      <c r="AN3868" s="28"/>
      <c r="AO3868" s="28" t="n">
        <f aca="false">AN3868*$M3868</f>
        <v>0</v>
      </c>
      <c r="AP3868" s="28"/>
      <c r="AQ3868" s="28" t="n">
        <f aca="false">AP3868*$M3868</f>
        <v>0</v>
      </c>
      <c r="AR3868" s="28"/>
      <c r="AS3868" s="28" t="n">
        <f aca="false">AR3868*$M3868</f>
        <v>0</v>
      </c>
      <c r="AT3868" s="28"/>
      <c r="AU3868" s="28" t="n">
        <f aca="false">AT3868*$M3868</f>
        <v>0</v>
      </c>
      <c r="AV3868" s="28"/>
      <c r="AW3868" s="28" t="n">
        <f aca="false">AV3868*$M3868</f>
        <v>0</v>
      </c>
      <c r="AX3868" s="28"/>
      <c r="AY3868" s="28" t="n">
        <f aca="false">AX3868*$M3868</f>
        <v>0</v>
      </c>
      <c r="AZ3868" s="30" t="n">
        <f aca="false">23572/100</f>
        <v>235.72</v>
      </c>
      <c r="BA3868" s="11" t="n">
        <v>44787</v>
      </c>
      <c r="BB3868" s="31" t="n">
        <f aca="false">SUM(Q3868,S3868,U3868,W3868,Y3868,AA3868,AC3868,AE3868,AG3868,AI3868,AK3868,AM3868,AO3868,AQ3868,AS3868,AU3868,AW3868,AY3868)</f>
        <v>44787</v>
      </c>
      <c r="BC3868" s="28" t="n">
        <f aca="false">BA3868-BB3868</f>
        <v>0</v>
      </c>
      <c r="BD3868" s="32" t="n">
        <f aca="false">SUM(P3868,R3868,T3868,V3868,X3868,Z3868,AB3868,AD3868,AF3868,AH3868,AJ3868,AL3868,AN3868,AP3868,AR3868,AT3868,AV3868,AX3868)</f>
        <v>235.72</v>
      </c>
      <c r="BE3868" s="33" t="n">
        <f aca="false">AZ3868-BD3868</f>
        <v>0</v>
      </c>
      <c r="BF3868" s="34" t="n">
        <f aca="false">BD3868*M3868</f>
        <v>44786.8</v>
      </c>
      <c r="BG3868" s="35" t="n">
        <f aca="false">BA3868-BF3868</f>
        <v>0.19999999999709</v>
      </c>
      <c r="BH3868" s="19" t="str">
        <f aca="false">IF(BG3868=0,"",IF(BG3868&lt;&gt;BA3868,"erreur de calcul",IF(BD3868&lt;&gt;0,"pas de prix",IF(M3868&lt;&gt; 0,"pas de quantité","pas de prix, ni de quantité"))))</f>
        <v>erreur de calcul</v>
      </c>
      <c r="BI3868" s="19"/>
    </row>
    <row r="3869" customFormat="false" ht="15" hidden="false" customHeight="false" outlineLevel="0" collapsed="false">
      <c r="A3869" s="0" t="n">
        <v>6</v>
      </c>
      <c r="B3869" s="8" t="s">
        <v>24</v>
      </c>
      <c r="C3869" s="9" t="s">
        <v>25</v>
      </c>
      <c r="D3869" s="9" t="s">
        <v>26</v>
      </c>
      <c r="E3869" s="10" t="n">
        <v>1789</v>
      </c>
      <c r="F3869" s="9" t="s">
        <v>27</v>
      </c>
      <c r="G3869" s="9" t="s">
        <v>27</v>
      </c>
      <c r="H3869" s="11" t="n">
        <v>18</v>
      </c>
      <c r="I3869" s="11" t="s">
        <v>71</v>
      </c>
      <c r="J3869" s="14" t="n">
        <v>60</v>
      </c>
      <c r="K3869" s="14"/>
      <c r="L3869" s="16"/>
      <c r="M3869" s="27" t="n">
        <f aca="false">J3869+(K3869/20)+(L3869/240)</f>
        <v>60</v>
      </c>
      <c r="N3869" s="17" t="s">
        <v>64</v>
      </c>
      <c r="O3869" s="11"/>
      <c r="P3869" s="28" t="n">
        <f aca="false">674/100</f>
        <v>6.74</v>
      </c>
      <c r="Q3869" s="28" t="n">
        <v>404</v>
      </c>
      <c r="R3869" s="28"/>
      <c r="S3869" s="28" t="n">
        <f aca="false">R3869*$M3869</f>
        <v>0</v>
      </c>
      <c r="T3869" s="28"/>
      <c r="U3869" s="28" t="n">
        <f aca="false">T3869*$M3869</f>
        <v>0</v>
      </c>
      <c r="V3869" s="28"/>
      <c r="W3869" s="28" t="n">
        <f aca="false">V3869*$M3869</f>
        <v>0</v>
      </c>
      <c r="X3869" s="29"/>
      <c r="Y3869" s="28" t="n">
        <f aca="false">X3869*$M3869</f>
        <v>0</v>
      </c>
      <c r="Z3869" s="28"/>
      <c r="AA3869" s="28" t="n">
        <f aca="false">Z3869*$M3869</f>
        <v>0</v>
      </c>
      <c r="AB3869" s="28"/>
      <c r="AC3869" s="28" t="n">
        <f aca="false">AB3869*$M3869</f>
        <v>0</v>
      </c>
      <c r="AD3869" s="28"/>
      <c r="AE3869" s="28" t="n">
        <f aca="false">AD3869*$M3869</f>
        <v>0</v>
      </c>
      <c r="AF3869" s="28"/>
      <c r="AG3869" s="28" t="n">
        <f aca="false">AF3869*$M3869</f>
        <v>0</v>
      </c>
      <c r="AH3869" s="28"/>
      <c r="AI3869" s="28" t="n">
        <f aca="false">AH3869*$M3869</f>
        <v>0</v>
      </c>
      <c r="AJ3869" s="28" t="n">
        <f aca="false">1133/100</f>
        <v>11.33</v>
      </c>
      <c r="AK3869" s="28" t="n">
        <v>680</v>
      </c>
      <c r="AL3869" s="28" t="n">
        <f aca="false">3140/100</f>
        <v>31.4</v>
      </c>
      <c r="AM3869" s="28" t="n">
        <v>1884</v>
      </c>
      <c r="AN3869" s="28"/>
      <c r="AO3869" s="28" t="n">
        <f aca="false">AN3869*$M3869</f>
        <v>0</v>
      </c>
      <c r="AP3869" s="28"/>
      <c r="AQ3869" s="28" t="n">
        <f aca="false">AP3869*$M3869</f>
        <v>0</v>
      </c>
      <c r="AR3869" s="28"/>
      <c r="AS3869" s="28" t="n">
        <f aca="false">AR3869*$M3869</f>
        <v>0</v>
      </c>
      <c r="AT3869" s="28"/>
      <c r="AU3869" s="28" t="n">
        <f aca="false">AT3869*$M3869</f>
        <v>0</v>
      </c>
      <c r="AV3869" s="28"/>
      <c r="AW3869" s="28" t="n">
        <f aca="false">AV3869*$M3869</f>
        <v>0</v>
      </c>
      <c r="AX3869" s="28"/>
      <c r="AY3869" s="28" t="n">
        <f aca="false">AX3869*$M3869</f>
        <v>0</v>
      </c>
      <c r="AZ3869" s="30" t="n">
        <f aca="false">4947/100</f>
        <v>49.47</v>
      </c>
      <c r="BA3869" s="11" t="n">
        <v>2968</v>
      </c>
      <c r="BB3869" s="31" t="n">
        <f aca="false">SUM(Q3869,S3869,U3869,W3869,Y3869,AA3869,AC3869,AE3869,AG3869,AI3869,AK3869,AM3869,AO3869,AQ3869,AS3869,AU3869,AW3869,AY3869)</f>
        <v>2968</v>
      </c>
      <c r="BC3869" s="28" t="n">
        <f aca="false">BA3869-BB3869</f>
        <v>0</v>
      </c>
      <c r="BD3869" s="32" t="n">
        <f aca="false">SUM(P3869,R3869,T3869,V3869,X3869,Z3869,AB3869,AD3869,AF3869,AH3869,AJ3869,AL3869,AN3869,AP3869,AR3869,AT3869,AV3869,AX3869)</f>
        <v>49.47</v>
      </c>
      <c r="BE3869" s="33" t="n">
        <f aca="false">AZ3869-BD3869</f>
        <v>0</v>
      </c>
      <c r="BF3869" s="34" t="n">
        <f aca="false">BD3869*M3869</f>
        <v>2968.2</v>
      </c>
      <c r="BG3869" s="35" t="n">
        <f aca="false">BA3869-BF3869</f>
        <v>-0.199999999999818</v>
      </c>
      <c r="BH3869" s="19" t="str">
        <f aca="false">IF(BG3869=0,"",IF(BG3869&lt;&gt;BA3869,"erreur de calcul",IF(BD3869&lt;&gt;0,"pas de prix",IF(M3869&lt;&gt; 0,"pas de quantité","pas de prix, ni de quantité"))))</f>
        <v>erreur de calcul</v>
      </c>
      <c r="BI3869" s="19"/>
    </row>
    <row r="3870" customFormat="false" ht="15" hidden="false" customHeight="false" outlineLevel="0" collapsed="false">
      <c r="A3870" s="0" t="n">
        <v>7</v>
      </c>
      <c r="B3870" s="8" t="s">
        <v>24</v>
      </c>
      <c r="C3870" s="9" t="s">
        <v>25</v>
      </c>
      <c r="D3870" s="9" t="s">
        <v>26</v>
      </c>
      <c r="E3870" s="10" t="n">
        <v>1789</v>
      </c>
      <c r="F3870" s="9" t="s">
        <v>27</v>
      </c>
      <c r="G3870" s="9" t="s">
        <v>27</v>
      </c>
      <c r="H3870" s="11" t="n">
        <v>18</v>
      </c>
      <c r="I3870" s="11" t="s">
        <v>72</v>
      </c>
      <c r="J3870" s="14" t="n">
        <v>15</v>
      </c>
      <c r="K3870" s="14"/>
      <c r="L3870" s="16"/>
      <c r="M3870" s="27" t="n">
        <f aca="false">J3870+(K3870/20)+(L3870/240)</f>
        <v>15</v>
      </c>
      <c r="N3870" s="17" t="s">
        <v>64</v>
      </c>
      <c r="O3870" s="11"/>
      <c r="P3870" s="28"/>
      <c r="Q3870" s="28" t="n">
        <f aca="false">P3870*$M3870</f>
        <v>0</v>
      </c>
      <c r="R3870" s="28"/>
      <c r="S3870" s="28" t="n">
        <f aca="false">R3870*$M3870</f>
        <v>0</v>
      </c>
      <c r="T3870" s="28"/>
      <c r="U3870" s="28" t="n">
        <f aca="false">T3870*$M3870</f>
        <v>0</v>
      </c>
      <c r="V3870" s="28"/>
      <c r="W3870" s="28" t="n">
        <f aca="false">V3870*$M3870</f>
        <v>0</v>
      </c>
      <c r="X3870" s="29"/>
      <c r="Y3870" s="28" t="n">
        <f aca="false">X3870*$M3870</f>
        <v>0</v>
      </c>
      <c r="Z3870" s="28"/>
      <c r="AA3870" s="28" t="n">
        <f aca="false">Z3870*$M3870</f>
        <v>0</v>
      </c>
      <c r="AB3870" s="28"/>
      <c r="AC3870" s="28" t="n">
        <f aca="false">AB3870*$M3870</f>
        <v>0</v>
      </c>
      <c r="AD3870" s="28"/>
      <c r="AE3870" s="28" t="n">
        <f aca="false">AD3870*$M3870</f>
        <v>0</v>
      </c>
      <c r="AF3870" s="28"/>
      <c r="AG3870" s="28" t="n">
        <f aca="false">AF3870*$M3870</f>
        <v>0</v>
      </c>
      <c r="AH3870" s="28"/>
      <c r="AI3870" s="28" t="n">
        <f aca="false">AH3870*$M3870</f>
        <v>0</v>
      </c>
      <c r="AJ3870" s="28" t="n">
        <f aca="false">119*288*0.02+88*0.02</f>
        <v>687.2</v>
      </c>
      <c r="AK3870" s="28" t="n">
        <v>10308</v>
      </c>
      <c r="AL3870" s="28"/>
      <c r="AM3870" s="28" t="n">
        <f aca="false">AL3870*$M3870</f>
        <v>0</v>
      </c>
      <c r="AN3870" s="28"/>
      <c r="AO3870" s="28" t="n">
        <f aca="false">AN3870*$M3870</f>
        <v>0</v>
      </c>
      <c r="AP3870" s="28"/>
      <c r="AQ3870" s="28" t="n">
        <f aca="false">AP3870*$M3870</f>
        <v>0</v>
      </c>
      <c r="AR3870" s="28"/>
      <c r="AS3870" s="28" t="n">
        <f aca="false">AR3870*$M3870</f>
        <v>0</v>
      </c>
      <c r="AT3870" s="28"/>
      <c r="AU3870" s="28" t="n">
        <f aca="false">AT3870*$M3870</f>
        <v>0</v>
      </c>
      <c r="AV3870" s="28"/>
      <c r="AW3870" s="28" t="n">
        <f aca="false">AV3870*$M3870</f>
        <v>0</v>
      </c>
      <c r="AX3870" s="28"/>
      <c r="AY3870" s="28" t="n">
        <f aca="false">AX3870*$M3870</f>
        <v>0</v>
      </c>
      <c r="AZ3870" s="30" t="n">
        <f aca="false">119*288*0.02+88*0.02</f>
        <v>687.2</v>
      </c>
      <c r="BA3870" s="11" t="n">
        <v>10308</v>
      </c>
      <c r="BB3870" s="31" t="n">
        <f aca="false">SUM(Q3870,S3870,U3870,W3870,Y3870,AA3870,AC3870,AE3870,AG3870,AI3870,AK3870,AM3870,AO3870,AQ3870,AS3870,AU3870,AW3870,AY3870)</f>
        <v>10308</v>
      </c>
      <c r="BC3870" s="28" t="n">
        <f aca="false">BA3870-BB3870</f>
        <v>0</v>
      </c>
      <c r="BD3870" s="32" t="n">
        <f aca="false">SUM(P3870,R3870,T3870,V3870,X3870,Z3870,AB3870,AD3870,AF3870,AH3870,AJ3870,AL3870,AN3870,AP3870,AR3870,AT3870,AV3870,AX3870)</f>
        <v>687.2</v>
      </c>
      <c r="BE3870" s="33" t="n">
        <f aca="false">AZ3870-BD3870</f>
        <v>0</v>
      </c>
      <c r="BF3870" s="34" t="n">
        <f aca="false">BD3870*M3870</f>
        <v>10308</v>
      </c>
      <c r="BG3870" s="35" t="n">
        <f aca="false">BA3870-BF3870</f>
        <v>0</v>
      </c>
      <c r="BH3870" s="19" t="str">
        <f aca="false">IF(BG3870=0,"",IF(BG3870&lt;&gt;BA3870,"erreur de calcul",IF(BD3870&lt;&gt;0,"pas de prix",IF(M3870&lt;&gt; 0,"pas de quantité","pas de prix, ni de quantité"))))</f>
        <v/>
      </c>
      <c r="BI3870" s="19"/>
    </row>
    <row r="3871" customFormat="false" ht="15" hidden="false" customHeight="false" outlineLevel="0" collapsed="false">
      <c r="A3871" s="0" t="n">
        <v>8</v>
      </c>
      <c r="B3871" s="8" t="s">
        <v>24</v>
      </c>
      <c r="C3871" s="9" t="s">
        <v>25</v>
      </c>
      <c r="D3871" s="9" t="s">
        <v>26</v>
      </c>
      <c r="E3871" s="10" t="n">
        <v>1789</v>
      </c>
      <c r="F3871" s="9" t="s">
        <v>27</v>
      </c>
      <c r="G3871" s="9" t="s">
        <v>27</v>
      </c>
      <c r="H3871" s="11" t="n">
        <v>18</v>
      </c>
      <c r="I3871" s="11" t="s">
        <v>73</v>
      </c>
      <c r="J3871" s="14"/>
      <c r="K3871" s="14"/>
      <c r="L3871" s="16"/>
      <c r="M3871" s="27" t="n">
        <f aca="false">J3871+(K3871/20)+(L3871/240)</f>
        <v>0</v>
      </c>
      <c r="N3871" s="17"/>
      <c r="O3871" s="11"/>
      <c r="P3871" s="28"/>
      <c r="Q3871" s="28" t="n">
        <f aca="false">P3871*$M3871</f>
        <v>0</v>
      </c>
      <c r="R3871" s="28"/>
      <c r="S3871" s="28" t="n">
        <f aca="false">R3871*$M3871</f>
        <v>0</v>
      </c>
      <c r="T3871" s="28"/>
      <c r="U3871" s="28" t="n">
        <v>3356</v>
      </c>
      <c r="V3871" s="28"/>
      <c r="W3871" s="28" t="n">
        <v>1444</v>
      </c>
      <c r="X3871" s="29"/>
      <c r="Y3871" s="28" t="n">
        <f aca="false">X3871*$M3871</f>
        <v>0</v>
      </c>
      <c r="Z3871" s="28"/>
      <c r="AA3871" s="28" t="n">
        <f aca="false">Z3871*$M3871</f>
        <v>0</v>
      </c>
      <c r="AB3871" s="28"/>
      <c r="AC3871" s="28" t="n">
        <f aca="false">AB3871*$M3871</f>
        <v>0</v>
      </c>
      <c r="AD3871" s="28"/>
      <c r="AE3871" s="28" t="n">
        <f aca="false">AD3871*$M3871</f>
        <v>0</v>
      </c>
      <c r="AF3871" s="28"/>
      <c r="AG3871" s="28" t="n">
        <f aca="false">AF3871*$M3871</f>
        <v>0</v>
      </c>
      <c r="AH3871" s="28"/>
      <c r="AI3871" s="28" t="n">
        <f aca="false">AH3871*$M3871</f>
        <v>0</v>
      </c>
      <c r="AJ3871" s="28"/>
      <c r="AK3871" s="28" t="n">
        <f aca="false">AJ3871*$M3871</f>
        <v>0</v>
      </c>
      <c r="AL3871" s="28"/>
      <c r="AM3871" s="28" t="n">
        <f aca="false">AL3871*$M3871</f>
        <v>0</v>
      </c>
      <c r="AN3871" s="28"/>
      <c r="AO3871" s="28" t="n">
        <f aca="false">AN3871*$M3871</f>
        <v>0</v>
      </c>
      <c r="AP3871" s="28"/>
      <c r="AQ3871" s="28" t="n">
        <f aca="false">AP3871*$M3871</f>
        <v>0</v>
      </c>
      <c r="AR3871" s="28"/>
      <c r="AS3871" s="28" t="n">
        <f aca="false">AR3871*$M3871</f>
        <v>0</v>
      </c>
      <c r="AT3871" s="28"/>
      <c r="AU3871" s="28" t="n">
        <f aca="false">AT3871*$M3871</f>
        <v>0</v>
      </c>
      <c r="AV3871" s="28"/>
      <c r="AW3871" s="28" t="n">
        <f aca="false">AV3871*$M3871</f>
        <v>0</v>
      </c>
      <c r="AX3871" s="28"/>
      <c r="AY3871" s="28" t="n">
        <f aca="false">AX3871*$M3871</f>
        <v>0</v>
      </c>
      <c r="AZ3871" s="30"/>
      <c r="BA3871" s="11" t="n">
        <v>4800</v>
      </c>
      <c r="BB3871" s="31" t="n">
        <f aca="false">SUM(Q3871,S3871,U3871,W3871,Y3871,AA3871,AC3871,AE3871,AG3871,AI3871,AK3871,AM3871,AO3871,AQ3871,AS3871,AU3871,AW3871,AY3871)</f>
        <v>4800</v>
      </c>
      <c r="BC3871" s="28" t="n">
        <f aca="false">BA3871-BB3871</f>
        <v>0</v>
      </c>
      <c r="BD3871" s="32" t="n">
        <f aca="false">SUM(P3871,R3871,T3871,V3871,X3871,Z3871,AB3871,AD3871,AF3871,AH3871,AJ3871,AL3871,AN3871,AP3871,AR3871,AT3871,AV3871,AX3871)</f>
        <v>0</v>
      </c>
      <c r="BE3871" s="33" t="n">
        <f aca="false">AZ3871-BD3871</f>
        <v>0</v>
      </c>
      <c r="BF3871" s="34" t="n">
        <f aca="false">BD3871*M3871</f>
        <v>0</v>
      </c>
      <c r="BG3871" s="35" t="n">
        <f aca="false">BA3871-BF3871</f>
        <v>4800</v>
      </c>
      <c r="BH3871" s="19" t="str">
        <f aca="false">IF(BG3871=0,"",IF(BG3871&lt;&gt;BA3871,"erreur de calcul",IF(BD3871&lt;&gt;0,"pas de prix",IF(M3871&lt;&gt; 0,"pas de quantité","pas de prix, ni de quantité"))))</f>
        <v>pas de prix, ni de quantité</v>
      </c>
      <c r="BI3871" s="19"/>
    </row>
    <row r="3872" customFormat="false" ht="15" hidden="false" customHeight="false" outlineLevel="0" collapsed="false">
      <c r="A3872" s="0" t="n">
        <v>9</v>
      </c>
      <c r="B3872" s="8" t="s">
        <v>24</v>
      </c>
      <c r="C3872" s="9" t="s">
        <v>25</v>
      </c>
      <c r="D3872" s="9" t="s">
        <v>26</v>
      </c>
      <c r="E3872" s="10" t="n">
        <v>1789</v>
      </c>
      <c r="F3872" s="9" t="s">
        <v>27</v>
      </c>
      <c r="G3872" s="9" t="s">
        <v>27</v>
      </c>
      <c r="H3872" s="11" t="n">
        <v>18</v>
      </c>
      <c r="I3872" s="11" t="s">
        <v>74</v>
      </c>
      <c r="J3872" s="14"/>
      <c r="K3872" s="14"/>
      <c r="L3872" s="16"/>
      <c r="M3872" s="27" t="n">
        <f aca="false">J3872+(K3872/20)+(L3872/240)</f>
        <v>0</v>
      </c>
      <c r="N3872" s="17" t="s">
        <v>66</v>
      </c>
      <c r="O3872" s="11"/>
      <c r="P3872" s="28"/>
      <c r="Q3872" s="28" t="n">
        <f aca="false">P3872*$M3872</f>
        <v>0</v>
      </c>
      <c r="R3872" s="28"/>
      <c r="S3872" s="28" t="n">
        <f aca="false">R3872*$M3872</f>
        <v>0</v>
      </c>
      <c r="T3872" s="28"/>
      <c r="U3872" s="28" t="n">
        <f aca="false">T3872*$M3872</f>
        <v>0</v>
      </c>
      <c r="V3872" s="28"/>
      <c r="W3872" s="28" t="n">
        <f aca="false">V3872*$M3872</f>
        <v>0</v>
      </c>
      <c r="X3872" s="29"/>
      <c r="Y3872" s="28"/>
      <c r="Z3872" s="28"/>
      <c r="AA3872" s="28" t="n">
        <f aca="false">Z3872*$M3872</f>
        <v>0</v>
      </c>
      <c r="AB3872" s="28"/>
      <c r="AC3872" s="28" t="n">
        <f aca="false">AB3872*$M3872</f>
        <v>0</v>
      </c>
      <c r="AD3872" s="28"/>
      <c r="AE3872" s="28" t="n">
        <f aca="false">AD3872*$M3872</f>
        <v>0</v>
      </c>
      <c r="AF3872" s="28"/>
      <c r="AG3872" s="28" t="n">
        <f aca="false">AF3872*$M3872</f>
        <v>0</v>
      </c>
      <c r="AH3872" s="28" t="n">
        <v>45346</v>
      </c>
      <c r="AI3872" s="28" t="n">
        <v>3174</v>
      </c>
      <c r="AJ3872" s="28"/>
      <c r="AK3872" s="28" t="n">
        <f aca="false">AJ3872*$M3872</f>
        <v>0</v>
      </c>
      <c r="AL3872" s="28"/>
      <c r="AM3872" s="28" t="n">
        <f aca="false">AL3872*$M3872</f>
        <v>0</v>
      </c>
      <c r="AN3872" s="28"/>
      <c r="AO3872" s="28" t="n">
        <f aca="false">AN3872*$M3872</f>
        <v>0</v>
      </c>
      <c r="AP3872" s="28"/>
      <c r="AQ3872" s="28" t="n">
        <f aca="false">AP3872*$M3872</f>
        <v>0</v>
      </c>
      <c r="AR3872" s="28"/>
      <c r="AS3872" s="28" t="n">
        <f aca="false">AR3872*$M3872</f>
        <v>0</v>
      </c>
      <c r="AT3872" s="28"/>
      <c r="AU3872" s="28" t="n">
        <f aca="false">AT3872*$M3872</f>
        <v>0</v>
      </c>
      <c r="AV3872" s="28"/>
      <c r="AW3872" s="28" t="n">
        <f aca="false">AV3872*$M3872</f>
        <v>0</v>
      </c>
      <c r="AX3872" s="28"/>
      <c r="AY3872" s="28" t="n">
        <f aca="false">AX3872*$M3872</f>
        <v>0</v>
      </c>
      <c r="AZ3872" s="30" t="n">
        <v>45346</v>
      </c>
      <c r="BA3872" s="11" t="n">
        <v>3174</v>
      </c>
      <c r="BB3872" s="31" t="n">
        <f aca="false">SUM(Q3872,S3872,U3872,W3872,Y3872,AA3872,AC3872,AE3872,AG3872,AI3872,AK3872,AM3872,AO3872,AQ3872,AS3872,AU3872,AW3872,AY3872)</f>
        <v>3174</v>
      </c>
      <c r="BC3872" s="28" t="n">
        <f aca="false">BA3872-BB3872</f>
        <v>0</v>
      </c>
      <c r="BD3872" s="32" t="n">
        <f aca="false">SUM(P3872,R3872,T3872,V3872,X3872,Z3872,AB3872,AD3872,AF3872,AH3872,AJ3872,AL3872,AN3872,AP3872,AR3872,AT3872,AV3872,AX3872)</f>
        <v>45346</v>
      </c>
      <c r="BE3872" s="33" t="n">
        <f aca="false">AZ3872-BD3872</f>
        <v>0</v>
      </c>
      <c r="BF3872" s="34" t="n">
        <f aca="false">BD3872*M3872</f>
        <v>0</v>
      </c>
      <c r="BG3872" s="35" t="n">
        <f aca="false">BA3872-BF3872</f>
        <v>3174</v>
      </c>
      <c r="BH3872" s="19" t="str">
        <f aca="false">IF(BG3872=0,"",IF(BG3872&lt;&gt;BA3872,"erreur de calcul",IF(BD3872&lt;&gt;0,"pas de prix",IF(M3872&lt;&gt; 0,"pas de quantité","pas de prix, ni de quantité"))))</f>
        <v>pas de prix</v>
      </c>
      <c r="BI3872" s="19" t="s">
        <v>75</v>
      </c>
    </row>
    <row r="3873" customFormat="false" ht="15" hidden="false" customHeight="false" outlineLevel="0" collapsed="false">
      <c r="A3873" s="0" t="n">
        <v>10</v>
      </c>
      <c r="B3873" s="8" t="s">
        <v>24</v>
      </c>
      <c r="C3873" s="9" t="s">
        <v>25</v>
      </c>
      <c r="D3873" s="9" t="s">
        <v>26</v>
      </c>
      <c r="E3873" s="10" t="n">
        <v>1789</v>
      </c>
      <c r="F3873" s="9" t="s">
        <v>27</v>
      </c>
      <c r="G3873" s="9" t="s">
        <v>27</v>
      </c>
      <c r="H3873" s="11" t="n">
        <v>18</v>
      </c>
      <c r="I3873" s="11" t="s">
        <v>76</v>
      </c>
      <c r="J3873" s="14"/>
      <c r="K3873" s="14" t="n">
        <v>20</v>
      </c>
      <c r="L3873" s="16"/>
      <c r="M3873" s="27" t="n">
        <f aca="false">J3873+(K3873/20)+(L3873/240)</f>
        <v>1</v>
      </c>
      <c r="N3873" s="17" t="s">
        <v>64</v>
      </c>
      <c r="O3873" s="11" t="s">
        <v>77</v>
      </c>
      <c r="P3873" s="28" t="n">
        <f aca="false">66667/100</f>
        <v>666.67</v>
      </c>
      <c r="Q3873" s="28" t="n">
        <v>667</v>
      </c>
      <c r="R3873" s="28"/>
      <c r="S3873" s="28" t="n">
        <f aca="false">R3873*$M3873</f>
        <v>0</v>
      </c>
      <c r="T3873" s="28"/>
      <c r="U3873" s="28" t="n">
        <f aca="false">T3873*$M3873</f>
        <v>0</v>
      </c>
      <c r="V3873" s="28" t="n">
        <f aca="false">281532/100</f>
        <v>2815.32</v>
      </c>
      <c r="W3873" s="28" t="n">
        <v>2815</v>
      </c>
      <c r="X3873" s="29" t="n">
        <f aca="false">366667/100</f>
        <v>3666.67</v>
      </c>
      <c r="Y3873" s="28" t="n">
        <v>3666</v>
      </c>
      <c r="Z3873" s="28" t="n">
        <f aca="false">33334/100</f>
        <v>333.34</v>
      </c>
      <c r="AA3873" s="28" t="n">
        <v>333</v>
      </c>
      <c r="AB3873" s="28"/>
      <c r="AC3873" s="28" t="n">
        <f aca="false">AB3873*$M3873</f>
        <v>0</v>
      </c>
      <c r="AD3873" s="28"/>
      <c r="AE3873" s="28" t="n">
        <f aca="false">AD3873*$M3873</f>
        <v>0</v>
      </c>
      <c r="AF3873" s="28"/>
      <c r="AG3873" s="28" t="n">
        <f aca="false">AF3873*$M3873</f>
        <v>0</v>
      </c>
      <c r="AH3873" s="28"/>
      <c r="AI3873" s="28" t="n">
        <f aca="false">AH3873*$M3873</f>
        <v>0</v>
      </c>
      <c r="AJ3873" s="28"/>
      <c r="AK3873" s="28" t="n">
        <f aca="false">AJ3873*$M3873</f>
        <v>0</v>
      </c>
      <c r="AL3873" s="28"/>
      <c r="AM3873" s="28" t="n">
        <f aca="false">AL3873*$M3873</f>
        <v>0</v>
      </c>
      <c r="AN3873" s="28"/>
      <c r="AO3873" s="28" t="n">
        <f aca="false">AN3873*$M3873</f>
        <v>0</v>
      </c>
      <c r="AP3873" s="28"/>
      <c r="AQ3873" s="28" t="n">
        <f aca="false">AP3873*$M3873</f>
        <v>0</v>
      </c>
      <c r="AR3873" s="28"/>
      <c r="AS3873" s="28" t="n">
        <f aca="false">AR3873*$M3873</f>
        <v>0</v>
      </c>
      <c r="AT3873" s="28"/>
      <c r="AU3873" s="28" t="n">
        <f aca="false">AT3873*$M3873</f>
        <v>0</v>
      </c>
      <c r="AV3873" s="28"/>
      <c r="AW3873" s="28" t="n">
        <f aca="false">AV3873*$M3873</f>
        <v>0</v>
      </c>
      <c r="AX3873" s="28"/>
      <c r="AY3873" s="28" t="n">
        <f aca="false">AX3873*$M3873</f>
        <v>0</v>
      </c>
      <c r="AZ3873" s="30" t="n">
        <f aca="false">748200/100</f>
        <v>7482</v>
      </c>
      <c r="BA3873" s="11" t="n">
        <v>7481</v>
      </c>
      <c r="BB3873" s="31" t="n">
        <f aca="false">SUM(Q3873,S3873,U3873,W3873,Y3873,AA3873,AC3873,AE3873,AG3873,AI3873,AK3873,AM3873,AO3873,AQ3873,AS3873,AU3873,AW3873,AY3873)</f>
        <v>7481</v>
      </c>
      <c r="BC3873" s="28" t="n">
        <f aca="false">BA3873-BB3873</f>
        <v>0</v>
      </c>
      <c r="BD3873" s="32" t="n">
        <f aca="false">SUM(P3873,R3873,T3873,V3873,X3873,Z3873,AB3873,AD3873,AF3873,AH3873,AJ3873,AL3873,AN3873,AP3873,AR3873,AT3873,AV3873,AX3873)</f>
        <v>7482</v>
      </c>
      <c r="BE3873" s="33" t="n">
        <f aca="false">AZ3873-BD3873</f>
        <v>0</v>
      </c>
      <c r="BF3873" s="34" t="n">
        <f aca="false">BD3873*M3873</f>
        <v>7482</v>
      </c>
      <c r="BG3873" s="35" t="n">
        <f aca="false">BA3873-BF3873</f>
        <v>-1</v>
      </c>
      <c r="BH3873" s="19" t="str">
        <f aca="false">IF(BG3873=0,"",IF(BG3873&lt;&gt;BA3873,"erreur de calcul",IF(BD3873&lt;&gt;0,"pas de prix",IF(M3873&lt;&gt; 0,"pas de quantité","pas de prix, ni de quantité"))))</f>
        <v>erreur de calcul</v>
      </c>
      <c r="BI3873" s="19"/>
    </row>
    <row r="3874" customFormat="false" ht="15" hidden="false" customHeight="false" outlineLevel="0" collapsed="false">
      <c r="A3874" s="0" t="n">
        <v>11</v>
      </c>
      <c r="B3874" s="8" t="s">
        <v>24</v>
      </c>
      <c r="C3874" s="9" t="s">
        <v>25</v>
      </c>
      <c r="D3874" s="9" t="s">
        <v>26</v>
      </c>
      <c r="E3874" s="10" t="n">
        <v>1789</v>
      </c>
      <c r="F3874" s="9" t="s">
        <v>27</v>
      </c>
      <c r="G3874" s="9" t="s">
        <v>27</v>
      </c>
      <c r="H3874" s="11" t="n">
        <v>18</v>
      </c>
      <c r="I3874" s="11" t="s">
        <v>78</v>
      </c>
      <c r="J3874" s="14"/>
      <c r="K3874" s="14" t="n">
        <v>50</v>
      </c>
      <c r="L3874" s="16"/>
      <c r="M3874" s="27" t="n">
        <f aca="false">J3874+(K3874/20)+(L3874/240)</f>
        <v>2.5</v>
      </c>
      <c r="N3874" s="17" t="s">
        <v>79</v>
      </c>
      <c r="O3874" s="11"/>
      <c r="P3874" s="28"/>
      <c r="Q3874" s="28" t="n">
        <f aca="false">P3874*$M3874</f>
        <v>0</v>
      </c>
      <c r="R3874" s="28"/>
      <c r="S3874" s="28" t="n">
        <f aca="false">R3874*$M3874</f>
        <v>0</v>
      </c>
      <c r="T3874" s="28"/>
      <c r="U3874" s="28" t="n">
        <f aca="false">T3874*$M3874</f>
        <v>0</v>
      </c>
      <c r="V3874" s="28" t="n">
        <v>61807</v>
      </c>
      <c r="W3874" s="28" t="n">
        <v>154517</v>
      </c>
      <c r="X3874" s="29"/>
      <c r="Y3874" s="28" t="n">
        <f aca="false">X3874*$M3874</f>
        <v>0</v>
      </c>
      <c r="Z3874" s="28"/>
      <c r="AA3874" s="28" t="n">
        <f aca="false">Z3874*$M3874</f>
        <v>0</v>
      </c>
      <c r="AB3874" s="28" t="n">
        <v>43640</v>
      </c>
      <c r="AC3874" s="28" t="n">
        <v>109100</v>
      </c>
      <c r="AD3874" s="28"/>
      <c r="AE3874" s="28" t="n">
        <f aca="false">AD3874*$M3874</f>
        <v>0</v>
      </c>
      <c r="AF3874" s="28"/>
      <c r="AG3874" s="28" t="n">
        <f aca="false">AF3874*$M3874</f>
        <v>0</v>
      </c>
      <c r="AH3874" s="28"/>
      <c r="AI3874" s="28" t="n">
        <f aca="false">AH3874*$M3874</f>
        <v>0</v>
      </c>
      <c r="AJ3874" s="28"/>
      <c r="AK3874" s="28" t="n">
        <f aca="false">AJ3874*$M3874</f>
        <v>0</v>
      </c>
      <c r="AL3874" s="28"/>
      <c r="AM3874" s="28" t="n">
        <f aca="false">AL3874*$M3874</f>
        <v>0</v>
      </c>
      <c r="AN3874" s="28"/>
      <c r="AO3874" s="28" t="n">
        <f aca="false">AN3874*$M3874</f>
        <v>0</v>
      </c>
      <c r="AP3874" s="28"/>
      <c r="AQ3874" s="28" t="n">
        <f aca="false">AP3874*$M3874</f>
        <v>0</v>
      </c>
      <c r="AR3874" s="28"/>
      <c r="AS3874" s="28" t="n">
        <f aca="false">AR3874*$M3874</f>
        <v>0</v>
      </c>
      <c r="AT3874" s="28"/>
      <c r="AU3874" s="28" t="n">
        <f aca="false">AT3874*$M3874</f>
        <v>0</v>
      </c>
      <c r="AV3874" s="28"/>
      <c r="AW3874" s="28" t="n">
        <f aca="false">AV3874*$M3874</f>
        <v>0</v>
      </c>
      <c r="AX3874" s="28"/>
      <c r="AY3874" s="28" t="n">
        <f aca="false">AX3874*$M3874</f>
        <v>0</v>
      </c>
      <c r="AZ3874" s="30" t="n">
        <v>105447</v>
      </c>
      <c r="BA3874" s="11" t="n">
        <v>263617</v>
      </c>
      <c r="BB3874" s="31" t="n">
        <f aca="false">SUM(Q3874,S3874,U3874,W3874,Y3874,AA3874,AC3874,AE3874,AG3874,AI3874,AK3874,AM3874,AO3874,AQ3874,AS3874,AU3874,AW3874,AY3874)</f>
        <v>263617</v>
      </c>
      <c r="BC3874" s="28" t="n">
        <f aca="false">BA3874-BB3874</f>
        <v>0</v>
      </c>
      <c r="BD3874" s="32" t="n">
        <f aca="false">SUM(P3874,R3874,T3874,V3874,X3874,Z3874,AB3874,AD3874,AF3874,AH3874,AJ3874,AL3874,AN3874,AP3874,AR3874,AT3874,AV3874,AX3874)</f>
        <v>105447</v>
      </c>
      <c r="BE3874" s="33" t="n">
        <f aca="false">AZ3874-BD3874</f>
        <v>0</v>
      </c>
      <c r="BF3874" s="34" t="n">
        <f aca="false">BD3874*M3874</f>
        <v>263617.5</v>
      </c>
      <c r="BG3874" s="35" t="n">
        <f aca="false">BA3874-BF3874</f>
        <v>-0.5</v>
      </c>
      <c r="BH3874" s="19" t="str">
        <f aca="false">IF(BG3874=0,"",IF(BG3874&lt;&gt;BA3874,"erreur de calcul",IF(BD3874&lt;&gt;0,"pas de prix",IF(M3874&lt;&gt; 0,"pas de quantité","pas de prix, ni de quantité"))))</f>
        <v>erreur de calcul</v>
      </c>
      <c r="BI3874" s="19"/>
    </row>
    <row r="3875" customFormat="false" ht="15" hidden="false" customHeight="false" outlineLevel="0" collapsed="false">
      <c r="A3875" s="0" t="n">
        <v>12</v>
      </c>
      <c r="B3875" s="8" t="s">
        <v>24</v>
      </c>
      <c r="C3875" s="9" t="s">
        <v>25</v>
      </c>
      <c r="D3875" s="9" t="s">
        <v>26</v>
      </c>
      <c r="E3875" s="10" t="n">
        <v>1789</v>
      </c>
      <c r="F3875" s="9" t="s">
        <v>27</v>
      </c>
      <c r="G3875" s="9" t="s">
        <v>27</v>
      </c>
      <c r="H3875" s="11" t="n">
        <v>18</v>
      </c>
      <c r="I3875" s="11" t="s">
        <v>80</v>
      </c>
      <c r="J3875" s="14"/>
      <c r="K3875" s="14" t="n">
        <v>4</v>
      </c>
      <c r="L3875" s="16"/>
      <c r="M3875" s="27" t="n">
        <f aca="false">J3875+(K3875/20)+(L3875/240)</f>
        <v>0.2</v>
      </c>
      <c r="N3875" s="17" t="s">
        <v>81</v>
      </c>
      <c r="O3875" s="11"/>
      <c r="P3875" s="28"/>
      <c r="Q3875" s="28" t="n">
        <f aca="false">P3875*$M3875</f>
        <v>0</v>
      </c>
      <c r="R3875" s="28"/>
      <c r="S3875" s="28" t="n">
        <f aca="false">R3875*$M3875</f>
        <v>0</v>
      </c>
      <c r="T3875" s="28"/>
      <c r="U3875" s="28" t="n">
        <f aca="false">T3875*$M3875</f>
        <v>0</v>
      </c>
      <c r="V3875" s="28" t="n">
        <v>5800</v>
      </c>
      <c r="W3875" s="28" t="n">
        <v>1160</v>
      </c>
      <c r="X3875" s="29"/>
      <c r="Y3875" s="28" t="n">
        <v>1069</v>
      </c>
      <c r="Z3875" s="28"/>
      <c r="AA3875" s="28" t="n">
        <f aca="false">Z3875*$M3875</f>
        <v>0</v>
      </c>
      <c r="AB3875" s="28"/>
      <c r="AC3875" s="28" t="n">
        <f aca="false">AB3875*$M3875</f>
        <v>0</v>
      </c>
      <c r="AD3875" s="28"/>
      <c r="AE3875" s="28" t="n">
        <f aca="false">AD3875*$M3875</f>
        <v>0</v>
      </c>
      <c r="AF3875" s="28"/>
      <c r="AG3875" s="28" t="n">
        <f aca="false">AF3875*$M3875</f>
        <v>0</v>
      </c>
      <c r="AH3875" s="28"/>
      <c r="AI3875" s="28" t="n">
        <f aca="false">AH3875*$M3875</f>
        <v>0</v>
      </c>
      <c r="AJ3875" s="28"/>
      <c r="AK3875" s="28" t="n">
        <f aca="false">AJ3875*$M3875</f>
        <v>0</v>
      </c>
      <c r="AL3875" s="28"/>
      <c r="AM3875" s="28" t="n">
        <f aca="false">AL3875*$M3875</f>
        <v>0</v>
      </c>
      <c r="AN3875" s="28"/>
      <c r="AO3875" s="28" t="n">
        <f aca="false">AN3875*$M3875</f>
        <v>0</v>
      </c>
      <c r="AP3875" s="28"/>
      <c r="AQ3875" s="28" t="n">
        <f aca="false">AP3875*$M3875</f>
        <v>0</v>
      </c>
      <c r="AR3875" s="28"/>
      <c r="AS3875" s="28" t="n">
        <f aca="false">AR3875*$M3875</f>
        <v>0</v>
      </c>
      <c r="AT3875" s="28"/>
      <c r="AU3875" s="28" t="n">
        <f aca="false">AT3875*$M3875</f>
        <v>0</v>
      </c>
      <c r="AV3875" s="28"/>
      <c r="AW3875" s="28" t="n">
        <f aca="false">AV3875*$M3875</f>
        <v>0</v>
      </c>
      <c r="AX3875" s="28"/>
      <c r="AY3875" s="28" t="n">
        <f aca="false">AX3875*$M3875</f>
        <v>0</v>
      </c>
      <c r="AZ3875" s="30" t="n">
        <v>11144</v>
      </c>
      <c r="BA3875" s="11" t="n">
        <v>2229</v>
      </c>
      <c r="BB3875" s="31" t="n">
        <f aca="false">SUM(Q3875,S3875,U3875,W3875,Y3875,AA3875,AC3875,AE3875,AG3875,AI3875,AK3875,AM3875,AO3875,AQ3875,AS3875,AU3875,AW3875,AY3875)</f>
        <v>2229</v>
      </c>
      <c r="BC3875" s="28" t="n">
        <f aca="false">BA3875-BB3875</f>
        <v>0</v>
      </c>
      <c r="BD3875" s="32" t="n">
        <f aca="false">SUM(P3875,R3875,T3875,V3875,X3875,Z3875,AB3875,AD3875,AF3875,AH3875,AJ3875,AL3875,AN3875,AP3875,AR3875,AT3875,AV3875,AX3875)</f>
        <v>5800</v>
      </c>
      <c r="BE3875" s="33" t="n">
        <f aca="false">AZ3875-BD3875</f>
        <v>5344</v>
      </c>
      <c r="BF3875" s="34" t="n">
        <f aca="false">BD3875*M3875</f>
        <v>1160</v>
      </c>
      <c r="BG3875" s="35" t="n">
        <f aca="false">BA3875-BF3875</f>
        <v>1069</v>
      </c>
      <c r="BH3875" s="19" t="str">
        <f aca="false">IF(BG3875=0,"",IF(BG3875&lt;&gt;BA3875,"erreur de calcul",IF(BD3875&lt;&gt;0,"pas de prix",IF(M3875&lt;&gt; 0,"pas de quantité","pas de prix, ni de quantité"))))</f>
        <v>erreur de calcul</v>
      </c>
      <c r="BI3875" s="19"/>
    </row>
    <row r="3876" customFormat="false" ht="15" hidden="false" customHeight="false" outlineLevel="0" collapsed="false">
      <c r="A3876" s="0" t="n">
        <v>13</v>
      </c>
      <c r="B3876" s="8" t="s">
        <v>24</v>
      </c>
      <c r="C3876" s="9" t="s">
        <v>25</v>
      </c>
      <c r="D3876" s="9" t="s">
        <v>26</v>
      </c>
      <c r="E3876" s="10" t="n">
        <v>1789</v>
      </c>
      <c r="F3876" s="9" t="s">
        <v>27</v>
      </c>
      <c r="G3876" s="9" t="s">
        <v>27</v>
      </c>
      <c r="H3876" s="11" t="n">
        <v>18</v>
      </c>
      <c r="I3876" s="11" t="s">
        <v>82</v>
      </c>
      <c r="J3876" s="14" t="n">
        <v>17</v>
      </c>
      <c r="K3876" s="14"/>
      <c r="L3876" s="16"/>
      <c r="M3876" s="27" t="n">
        <f aca="false">J3876+(K3876/20)+(L3876/240)</f>
        <v>17</v>
      </c>
      <c r="N3876" s="17" t="s">
        <v>69</v>
      </c>
      <c r="O3876" s="11"/>
      <c r="P3876" s="28"/>
      <c r="Q3876" s="28" t="n">
        <f aca="false">P3876*$M3876</f>
        <v>0</v>
      </c>
      <c r="R3876" s="28"/>
      <c r="S3876" s="28" t="n">
        <f aca="false">R3876*$M3876</f>
        <v>0</v>
      </c>
      <c r="T3876" s="28"/>
      <c r="U3876" s="28" t="n">
        <f aca="false">T3876*$M3876</f>
        <v>0</v>
      </c>
      <c r="V3876" s="28" t="n">
        <v>600</v>
      </c>
      <c r="W3876" s="28" t="n">
        <v>10200</v>
      </c>
      <c r="X3876" s="29"/>
      <c r="Y3876" s="28" t="n">
        <f aca="false">X3876*$M3876</f>
        <v>0</v>
      </c>
      <c r="Z3876" s="28"/>
      <c r="AA3876" s="28" t="n">
        <f aca="false">Z3876*$M3876</f>
        <v>0</v>
      </c>
      <c r="AB3876" s="28"/>
      <c r="AC3876" s="28" t="n">
        <f aca="false">AB3876*$M3876</f>
        <v>0</v>
      </c>
      <c r="AD3876" s="28"/>
      <c r="AE3876" s="28" t="n">
        <f aca="false">AD3876*$M3876</f>
        <v>0</v>
      </c>
      <c r="AF3876" s="28"/>
      <c r="AG3876" s="28" t="n">
        <f aca="false">AF3876*$M3876</f>
        <v>0</v>
      </c>
      <c r="AH3876" s="28"/>
      <c r="AI3876" s="28" t="n">
        <f aca="false">AH3876*$M3876</f>
        <v>0</v>
      </c>
      <c r="AJ3876" s="28"/>
      <c r="AK3876" s="28" t="n">
        <f aca="false">AJ3876*$M3876</f>
        <v>0</v>
      </c>
      <c r="AL3876" s="28"/>
      <c r="AM3876" s="28" t="n">
        <f aca="false">AL3876*$M3876</f>
        <v>0</v>
      </c>
      <c r="AN3876" s="28"/>
      <c r="AO3876" s="28" t="n">
        <f aca="false">AN3876*$M3876</f>
        <v>0</v>
      </c>
      <c r="AP3876" s="28"/>
      <c r="AQ3876" s="28" t="n">
        <f aca="false">AP3876*$M3876</f>
        <v>0</v>
      </c>
      <c r="AR3876" s="28"/>
      <c r="AS3876" s="28" t="n">
        <f aca="false">AR3876*$M3876</f>
        <v>0</v>
      </c>
      <c r="AT3876" s="28"/>
      <c r="AU3876" s="28" t="n">
        <f aca="false">AT3876*$M3876</f>
        <v>0</v>
      </c>
      <c r="AV3876" s="28"/>
      <c r="AW3876" s="28" t="n">
        <f aca="false">AV3876*$M3876</f>
        <v>0</v>
      </c>
      <c r="AX3876" s="28"/>
      <c r="AY3876" s="28" t="n">
        <f aca="false">AX3876*$M3876</f>
        <v>0</v>
      </c>
      <c r="AZ3876" s="30" t="n">
        <v>600</v>
      </c>
      <c r="BA3876" s="11" t="n">
        <v>10200</v>
      </c>
      <c r="BB3876" s="31" t="n">
        <f aca="false">SUM(Q3876,S3876,U3876,W3876,Y3876,AA3876,AC3876,AE3876,AG3876,AI3876,AK3876,AM3876,AO3876,AQ3876,AS3876,AU3876,AW3876,AY3876)</f>
        <v>10200</v>
      </c>
      <c r="BC3876" s="28" t="n">
        <f aca="false">BA3876-BB3876</f>
        <v>0</v>
      </c>
      <c r="BD3876" s="32" t="n">
        <f aca="false">SUM(P3876,R3876,T3876,V3876,X3876,Z3876,AB3876,AD3876,AF3876,AH3876,AJ3876,AL3876,AN3876,AP3876,AR3876,AT3876,AV3876,AX3876)</f>
        <v>600</v>
      </c>
      <c r="BE3876" s="33" t="n">
        <f aca="false">AZ3876-BD3876</f>
        <v>0</v>
      </c>
      <c r="BF3876" s="34" t="n">
        <f aca="false">BD3876*M3876</f>
        <v>10200</v>
      </c>
      <c r="BG3876" s="35" t="n">
        <f aca="false">BA3876-BF3876</f>
        <v>0</v>
      </c>
      <c r="BH3876" s="19" t="str">
        <f aca="false">IF(BG3876=0,"",IF(BG3876&lt;&gt;BA3876,"erreur de calcul",IF(BD3876&lt;&gt;0,"pas de prix",IF(M3876&lt;&gt; 0,"pas de quantité","pas de prix, ni de quantité"))))</f>
        <v/>
      </c>
      <c r="BI3876" s="19"/>
    </row>
    <row r="3877" customFormat="false" ht="15" hidden="false" customHeight="false" outlineLevel="0" collapsed="false">
      <c r="A3877" s="0" t="n">
        <v>14</v>
      </c>
      <c r="B3877" s="8" t="s">
        <v>24</v>
      </c>
      <c r="C3877" s="9" t="s">
        <v>25</v>
      </c>
      <c r="D3877" s="9" t="s">
        <v>26</v>
      </c>
      <c r="E3877" s="10" t="n">
        <v>1789</v>
      </c>
      <c r="F3877" s="9" t="s">
        <v>27</v>
      </c>
      <c r="G3877" s="9" t="s">
        <v>27</v>
      </c>
      <c r="H3877" s="11" t="n">
        <v>18</v>
      </c>
      <c r="I3877" s="11" t="s">
        <v>83</v>
      </c>
      <c r="J3877" s="14" t="n">
        <v>20</v>
      </c>
      <c r="K3877" s="14"/>
      <c r="L3877" s="16"/>
      <c r="M3877" s="27" t="n">
        <f aca="false">J3877+(K3877/20)+(L3877/240)</f>
        <v>20</v>
      </c>
      <c r="N3877" s="17" t="s">
        <v>81</v>
      </c>
      <c r="O3877" s="11"/>
      <c r="P3877" s="28"/>
      <c r="Q3877" s="28" t="n">
        <f aca="false">P3877*$M3877</f>
        <v>0</v>
      </c>
      <c r="R3877" s="28"/>
      <c r="S3877" s="28" t="n">
        <f aca="false">R3877*$M3877</f>
        <v>0</v>
      </c>
      <c r="T3877" s="28"/>
      <c r="U3877" s="28" t="n">
        <f aca="false">T3877*$M3877</f>
        <v>0</v>
      </c>
      <c r="V3877" s="28"/>
      <c r="W3877" s="28" t="n">
        <f aca="false">V3877*$M3877</f>
        <v>0</v>
      </c>
      <c r="X3877" s="29"/>
      <c r="Y3877" s="28" t="n">
        <f aca="false">X3877*$M3877</f>
        <v>0</v>
      </c>
      <c r="Z3877" s="28" t="n">
        <v>460</v>
      </c>
      <c r="AA3877" s="28" t="n">
        <v>9200</v>
      </c>
      <c r="AB3877" s="28"/>
      <c r="AC3877" s="28" t="n">
        <f aca="false">AB3877*$M3877</f>
        <v>0</v>
      </c>
      <c r="AD3877" s="28"/>
      <c r="AE3877" s="28" t="n">
        <f aca="false">AD3877*$M3877</f>
        <v>0</v>
      </c>
      <c r="AF3877" s="28"/>
      <c r="AG3877" s="28" t="n">
        <f aca="false">AF3877*$M3877</f>
        <v>0</v>
      </c>
      <c r="AH3877" s="28"/>
      <c r="AI3877" s="28" t="n">
        <f aca="false">AH3877*$M3877</f>
        <v>0</v>
      </c>
      <c r="AJ3877" s="28"/>
      <c r="AK3877" s="28" t="n">
        <f aca="false">AJ3877*$M3877</f>
        <v>0</v>
      </c>
      <c r="AL3877" s="28"/>
      <c r="AM3877" s="28" t="n">
        <f aca="false">AL3877*$M3877</f>
        <v>0</v>
      </c>
      <c r="AN3877" s="28"/>
      <c r="AO3877" s="28" t="n">
        <f aca="false">AN3877*$M3877</f>
        <v>0</v>
      </c>
      <c r="AP3877" s="28"/>
      <c r="AQ3877" s="28" t="n">
        <f aca="false">AP3877*$M3877</f>
        <v>0</v>
      </c>
      <c r="AR3877" s="28"/>
      <c r="AS3877" s="28" t="n">
        <f aca="false">AR3877*$M3877</f>
        <v>0</v>
      </c>
      <c r="AT3877" s="28"/>
      <c r="AU3877" s="28" t="n">
        <f aca="false">AT3877*$M3877</f>
        <v>0</v>
      </c>
      <c r="AV3877" s="28"/>
      <c r="AW3877" s="28" t="n">
        <f aca="false">AV3877*$M3877</f>
        <v>0</v>
      </c>
      <c r="AX3877" s="28"/>
      <c r="AY3877" s="28" t="n">
        <f aca="false">AX3877*$M3877</f>
        <v>0</v>
      </c>
      <c r="AZ3877" s="30" t="n">
        <v>460</v>
      </c>
      <c r="BA3877" s="11" t="n">
        <v>9200</v>
      </c>
      <c r="BB3877" s="31" t="n">
        <f aca="false">SUM(Q3877,S3877,U3877,W3877,Y3877,AA3877,AC3877,AE3877,AG3877,AI3877,AK3877,AM3877,AO3877,AQ3877,AS3877,AU3877,AW3877,AY3877)</f>
        <v>9200</v>
      </c>
      <c r="BC3877" s="28" t="n">
        <f aca="false">BA3877-BB3877</f>
        <v>0</v>
      </c>
      <c r="BD3877" s="32" t="n">
        <f aca="false">SUM(P3877,R3877,T3877,V3877,X3877,Z3877,AB3877,AD3877,AF3877,AH3877,AJ3877,AL3877,AN3877,AP3877,AR3877,AT3877,AV3877,AX3877)</f>
        <v>460</v>
      </c>
      <c r="BE3877" s="33" t="n">
        <f aca="false">AZ3877-BD3877</f>
        <v>0</v>
      </c>
      <c r="BF3877" s="34" t="n">
        <f aca="false">BD3877*M3877</f>
        <v>9200</v>
      </c>
      <c r="BG3877" s="35" t="n">
        <f aca="false">BA3877-BF3877</f>
        <v>0</v>
      </c>
      <c r="BH3877" s="19" t="str">
        <f aca="false">IF(BG3877=0,"",IF(BG3877&lt;&gt;BA3877,"erreur de calcul",IF(BD3877&lt;&gt;0,"pas de prix",IF(M3877&lt;&gt; 0,"pas de quantité","pas de prix, ni de quantité"))))</f>
        <v/>
      </c>
      <c r="BI3877" s="19"/>
    </row>
    <row r="3878" customFormat="false" ht="15" hidden="false" customHeight="false" outlineLevel="0" collapsed="false">
      <c r="A3878" s="0" t="n">
        <v>15</v>
      </c>
      <c r="B3878" s="8" t="s">
        <v>24</v>
      </c>
      <c r="C3878" s="9" t="s">
        <v>25</v>
      </c>
      <c r="D3878" s="9" t="s">
        <v>26</v>
      </c>
      <c r="E3878" s="10" t="n">
        <v>1789</v>
      </c>
      <c r="F3878" s="9" t="s">
        <v>27</v>
      </c>
      <c r="G3878" s="9" t="s">
        <v>27</v>
      </c>
      <c r="H3878" s="11" t="n">
        <v>18</v>
      </c>
      <c r="I3878" s="11" t="s">
        <v>84</v>
      </c>
      <c r="J3878" s="14" t="n">
        <v>16</v>
      </c>
      <c r="K3878" s="14"/>
      <c r="L3878" s="16"/>
      <c r="M3878" s="27" t="n">
        <f aca="false">J3878+(K3878/20)+(L3878/240)</f>
        <v>16</v>
      </c>
      <c r="N3878" s="17" t="s">
        <v>85</v>
      </c>
      <c r="O3878" s="11"/>
      <c r="P3878" s="28"/>
      <c r="Q3878" s="28" t="n">
        <f aca="false">P3878*$M3878</f>
        <v>0</v>
      </c>
      <c r="R3878" s="28"/>
      <c r="S3878" s="28" t="n">
        <f aca="false">R3878*$M3878</f>
        <v>0</v>
      </c>
      <c r="T3878" s="28" t="n">
        <f aca="false">1600/100</f>
        <v>16</v>
      </c>
      <c r="U3878" s="28" t="n">
        <v>256</v>
      </c>
      <c r="V3878" s="28" t="n">
        <f aca="false">227136/100</f>
        <v>2271.36</v>
      </c>
      <c r="W3878" s="28" t="n">
        <v>36342</v>
      </c>
      <c r="X3878" s="29"/>
      <c r="Y3878" s="28" t="n">
        <v>304</v>
      </c>
      <c r="Z3878" s="28" t="n">
        <f aca="false">6850/100</f>
        <v>68.5</v>
      </c>
      <c r="AA3878" s="28" t="n">
        <v>1096</v>
      </c>
      <c r="AB3878" s="28" t="n">
        <f aca="false">204300/100</f>
        <v>2043</v>
      </c>
      <c r="AC3878" s="28" t="n">
        <v>32688</v>
      </c>
      <c r="AD3878" s="28" t="n">
        <f aca="false">9750/100</f>
        <v>97.5</v>
      </c>
      <c r="AE3878" s="28" t="n">
        <v>1560</v>
      </c>
      <c r="AF3878" s="28"/>
      <c r="AG3878" s="28" t="n">
        <f aca="false">AF3878*$M3878</f>
        <v>0</v>
      </c>
      <c r="AH3878" s="28"/>
      <c r="AI3878" s="28" t="n">
        <f aca="false">AH3878*$M3878</f>
        <v>0</v>
      </c>
      <c r="AJ3878" s="28" t="n">
        <f aca="false">1414/100</f>
        <v>14.14</v>
      </c>
      <c r="AK3878" s="28" t="n">
        <v>226</v>
      </c>
      <c r="AL3878" s="28" t="n">
        <f aca="false">29500/100</f>
        <v>295</v>
      </c>
      <c r="AM3878" s="28" t="n">
        <v>4720</v>
      </c>
      <c r="AN3878" s="28"/>
      <c r="AO3878" s="28" t="n">
        <f aca="false">AN3878*$M3878</f>
        <v>0</v>
      </c>
      <c r="AP3878" s="28" t="n">
        <f aca="false">1520/100</f>
        <v>15.2</v>
      </c>
      <c r="AQ3878" s="28" t="n">
        <v>243</v>
      </c>
      <c r="AR3878" s="28"/>
      <c r="AS3878" s="28" t="n">
        <f aca="false">AR3878*$M3878</f>
        <v>0</v>
      </c>
      <c r="AT3878" s="28" t="n">
        <f aca="false">2100/100</f>
        <v>21</v>
      </c>
      <c r="AU3878" s="28" t="n">
        <v>336</v>
      </c>
      <c r="AV3878" s="28" t="n">
        <f aca="false">1320/100</f>
        <v>13.2</v>
      </c>
      <c r="AW3878" s="28" t="n">
        <v>211</v>
      </c>
      <c r="AX3878" s="28" t="n">
        <f aca="false">177746/100</f>
        <v>1777.46</v>
      </c>
      <c r="AY3878" s="28" t="n">
        <v>28439</v>
      </c>
      <c r="AZ3878" s="30" t="n">
        <f aca="false">665136/100</f>
        <v>6651.36</v>
      </c>
      <c r="BA3878" s="11" t="n">
        <v>106421</v>
      </c>
      <c r="BB3878" s="31" t="n">
        <f aca="false">SUM(Q3878,S3878,U3878,W3878,Y3878,AA3878,AC3878,AE3878,AG3878,AI3878,AK3878,AM3878,AO3878,AQ3878,AS3878,AU3878,AW3878,AY3878)</f>
        <v>106421</v>
      </c>
      <c r="BC3878" s="28" t="n">
        <f aca="false">BA3878-BB3878</f>
        <v>0</v>
      </c>
      <c r="BD3878" s="32" t="n">
        <f aca="false">SUM(P3878,R3878,T3878,V3878,X3878,Z3878,AB3878,AD3878,AF3878,AH3878,AJ3878,AL3878,AN3878,AP3878,AR3878,AT3878,AV3878,AX3878)</f>
        <v>6632.36</v>
      </c>
      <c r="BE3878" s="33" t="n">
        <f aca="false">AZ3878-BD3878</f>
        <v>18.9999999999991</v>
      </c>
      <c r="BF3878" s="34" t="n">
        <f aca="false">BD3878*M3878</f>
        <v>106117.76</v>
      </c>
      <c r="BG3878" s="35" t="n">
        <f aca="false">BA3878-BF3878</f>
        <v>303.239999999991</v>
      </c>
      <c r="BH3878" s="19" t="str">
        <f aca="false">IF(BG3878=0,"",IF(BG3878&lt;&gt;BA3878,"erreur de calcul",IF(BD3878&lt;&gt;0,"pas de prix",IF(M3878&lt;&gt; 0,"pas de quantité","pas de prix, ni de quantité"))))</f>
        <v>erreur de calcul</v>
      </c>
      <c r="BI3878" s="19"/>
    </row>
    <row r="3879" customFormat="false" ht="15" hidden="false" customHeight="false" outlineLevel="0" collapsed="false">
      <c r="A3879" s="0" t="n">
        <v>16</v>
      </c>
      <c r="B3879" s="8" t="s">
        <v>24</v>
      </c>
      <c r="C3879" s="9" t="s">
        <v>25</v>
      </c>
      <c r="D3879" s="9" t="s">
        <v>26</v>
      </c>
      <c r="E3879" s="10" t="n">
        <v>1789</v>
      </c>
      <c r="F3879" s="9" t="s">
        <v>27</v>
      </c>
      <c r="G3879" s="9" t="s">
        <v>27</v>
      </c>
      <c r="H3879" s="11" t="n">
        <v>18</v>
      </c>
      <c r="I3879" s="11" t="s">
        <v>86</v>
      </c>
      <c r="J3879" s="14" t="n">
        <v>55</v>
      </c>
      <c r="K3879" s="14"/>
      <c r="L3879" s="16"/>
      <c r="M3879" s="27" t="n">
        <f aca="false">J3879+(K3879/20)+(L3879/240)</f>
        <v>55</v>
      </c>
      <c r="N3879" s="17" t="s">
        <v>81</v>
      </c>
      <c r="O3879" s="11"/>
      <c r="P3879" s="28"/>
      <c r="Q3879" s="28" t="n">
        <f aca="false">P3879*$M3879</f>
        <v>0</v>
      </c>
      <c r="R3879" s="28"/>
      <c r="S3879" s="28" t="n">
        <f aca="false">R3879*$M3879</f>
        <v>0</v>
      </c>
      <c r="T3879" s="28"/>
      <c r="U3879" s="28" t="n">
        <f aca="false">T3879*$M3879</f>
        <v>0</v>
      </c>
      <c r="V3879" s="28"/>
      <c r="W3879" s="28" t="n">
        <f aca="false">V3879*$M3879</f>
        <v>0</v>
      </c>
      <c r="X3879" s="29"/>
      <c r="Y3879" s="28" t="n">
        <f aca="false">X3879*$M3879</f>
        <v>0</v>
      </c>
      <c r="Z3879" s="28"/>
      <c r="AA3879" s="28" t="n">
        <f aca="false">Z3879*$M3879</f>
        <v>0</v>
      </c>
      <c r="AB3879" s="28"/>
      <c r="AC3879" s="28" t="n">
        <f aca="false">AB3879*$M3879</f>
        <v>0</v>
      </c>
      <c r="AD3879" s="28"/>
      <c r="AE3879" s="28" t="n">
        <f aca="false">AD3879*$M3879</f>
        <v>0</v>
      </c>
      <c r="AF3879" s="28"/>
      <c r="AG3879" s="28" t="n">
        <f aca="false">AF3879*$M3879</f>
        <v>0</v>
      </c>
      <c r="AH3879" s="28"/>
      <c r="AI3879" s="28" t="n">
        <f aca="false">AH3879*$M3879</f>
        <v>0</v>
      </c>
      <c r="AJ3879" s="28"/>
      <c r="AK3879" s="28" t="n">
        <f aca="false">AJ3879*$M3879</f>
        <v>0</v>
      </c>
      <c r="AL3879" s="28"/>
      <c r="AM3879" s="28" t="n">
        <f aca="false">AL3879*$M3879</f>
        <v>0</v>
      </c>
      <c r="AN3879" s="28"/>
      <c r="AO3879" s="28" t="n">
        <f aca="false">AN3879*$M3879</f>
        <v>0</v>
      </c>
      <c r="AP3879" s="28"/>
      <c r="AQ3879" s="28" t="n">
        <f aca="false">AP3879*$M3879</f>
        <v>0</v>
      </c>
      <c r="AR3879" s="28"/>
      <c r="AS3879" s="28" t="n">
        <f aca="false">AR3879*$M3879</f>
        <v>0</v>
      </c>
      <c r="AT3879" s="28" t="n">
        <v>319</v>
      </c>
      <c r="AU3879" s="28" t="n">
        <v>17545</v>
      </c>
      <c r="AV3879" s="28"/>
      <c r="AW3879" s="28" t="n">
        <f aca="false">AV3879*$M3879</f>
        <v>0</v>
      </c>
      <c r="AX3879" s="28"/>
      <c r="AY3879" s="28" t="n">
        <f aca="false">AX3879*$M3879</f>
        <v>0</v>
      </c>
      <c r="AZ3879" s="30" t="n">
        <v>319</v>
      </c>
      <c r="BA3879" s="11" t="n">
        <v>17545</v>
      </c>
      <c r="BB3879" s="31" t="n">
        <f aca="false">SUM(Q3879,S3879,U3879,W3879,Y3879,AA3879,AC3879,AE3879,AG3879,AI3879,AK3879,AM3879,AO3879,AQ3879,AS3879,AU3879,AW3879,AY3879)</f>
        <v>17545</v>
      </c>
      <c r="BC3879" s="28" t="n">
        <f aca="false">BA3879-BB3879</f>
        <v>0</v>
      </c>
      <c r="BD3879" s="32" t="n">
        <f aca="false">SUM(P3879,R3879,T3879,V3879,X3879,Z3879,AB3879,AD3879,AF3879,AH3879,AJ3879,AL3879,AN3879,AP3879,AR3879,AT3879,AV3879,AX3879)</f>
        <v>319</v>
      </c>
      <c r="BE3879" s="33" t="n">
        <f aca="false">AZ3879-BD3879</f>
        <v>0</v>
      </c>
      <c r="BF3879" s="34" t="n">
        <f aca="false">BD3879*M3879</f>
        <v>17545</v>
      </c>
      <c r="BG3879" s="35" t="n">
        <f aca="false">BA3879-BF3879</f>
        <v>0</v>
      </c>
      <c r="BH3879" s="19" t="str">
        <f aca="false">IF(BG3879=0,"",IF(BG3879&lt;&gt;BA3879,"erreur de calcul",IF(BD3879&lt;&gt;0,"pas de prix",IF(M3879&lt;&gt; 0,"pas de quantité","pas de prix, ni de quantité"))))</f>
        <v/>
      </c>
      <c r="BI3879" s="19"/>
    </row>
    <row r="3880" customFormat="false" ht="15" hidden="false" customHeight="false" outlineLevel="0" collapsed="false">
      <c r="A3880" s="0" t="n">
        <v>17</v>
      </c>
      <c r="B3880" s="8" t="s">
        <v>24</v>
      </c>
      <c r="C3880" s="9" t="s">
        <v>25</v>
      </c>
      <c r="D3880" s="9" t="s">
        <v>26</v>
      </c>
      <c r="E3880" s="10" t="n">
        <v>1789</v>
      </c>
      <c r="F3880" s="9" t="s">
        <v>27</v>
      </c>
      <c r="G3880" s="9" t="s">
        <v>27</v>
      </c>
      <c r="H3880" s="11" t="n">
        <v>18</v>
      </c>
      <c r="I3880" s="11" t="s">
        <v>87</v>
      </c>
      <c r="J3880" s="14" t="n">
        <v>6</v>
      </c>
      <c r="K3880" s="14"/>
      <c r="L3880" s="16"/>
      <c r="M3880" s="27" t="n">
        <f aca="false">J3880+(K3880/20)+(L3880/240)</f>
        <v>6</v>
      </c>
      <c r="N3880" s="17" t="s">
        <v>69</v>
      </c>
      <c r="O3880" s="11" t="s">
        <v>77</v>
      </c>
      <c r="P3880" s="28"/>
      <c r="Q3880" s="28" t="n">
        <f aca="false">P3880*$M3880</f>
        <v>0</v>
      </c>
      <c r="R3880" s="28" t="n">
        <v>63</v>
      </c>
      <c r="S3880" s="28" t="n">
        <v>378</v>
      </c>
      <c r="T3880" s="28" t="n">
        <v>2406</v>
      </c>
      <c r="U3880" s="28" t="n">
        <v>14436</v>
      </c>
      <c r="V3880" s="28" t="n">
        <v>222</v>
      </c>
      <c r="W3880" s="28" t="n">
        <v>1332</v>
      </c>
      <c r="X3880" s="29"/>
      <c r="Y3880" s="28" t="n">
        <f aca="false">X3880*$M3880</f>
        <v>0</v>
      </c>
      <c r="Z3880" s="28"/>
      <c r="AA3880" s="28" t="n">
        <f aca="false">Z3880*$M3880</f>
        <v>0</v>
      </c>
      <c r="AB3880" s="28"/>
      <c r="AC3880" s="28" t="n">
        <f aca="false">AB3880*$M3880</f>
        <v>0</v>
      </c>
      <c r="AD3880" s="28" t="n">
        <v>330</v>
      </c>
      <c r="AE3880" s="28" t="n">
        <v>1980</v>
      </c>
      <c r="AF3880" s="28"/>
      <c r="AG3880" s="28" t="n">
        <f aca="false">AF3880*$M3880</f>
        <v>0</v>
      </c>
      <c r="AH3880" s="28"/>
      <c r="AI3880" s="28" t="n">
        <f aca="false">AH3880*$M3880</f>
        <v>0</v>
      </c>
      <c r="AJ3880" s="28"/>
      <c r="AK3880" s="28" t="n">
        <f aca="false">AJ3880*$M3880</f>
        <v>0</v>
      </c>
      <c r="AL3880" s="28"/>
      <c r="AM3880" s="28" t="n">
        <f aca="false">AL3880*$M3880</f>
        <v>0</v>
      </c>
      <c r="AN3880" s="28"/>
      <c r="AO3880" s="28" t="n">
        <f aca="false">AN3880*$M3880</f>
        <v>0</v>
      </c>
      <c r="AP3880" s="28"/>
      <c r="AQ3880" s="28" t="n">
        <f aca="false">AP3880*$M3880</f>
        <v>0</v>
      </c>
      <c r="AR3880" s="28"/>
      <c r="AS3880" s="28" t="n">
        <f aca="false">AR3880*$M3880</f>
        <v>0</v>
      </c>
      <c r="AT3880" s="28"/>
      <c r="AU3880" s="28" t="n">
        <f aca="false">AT3880*$M3880</f>
        <v>0</v>
      </c>
      <c r="AV3880" s="28"/>
      <c r="AW3880" s="28" t="n">
        <f aca="false">AV3880*$M3880</f>
        <v>0</v>
      </c>
      <c r="AX3880" s="28"/>
      <c r="AY3880" s="28" t="n">
        <f aca="false">AX3880*$M3880</f>
        <v>0</v>
      </c>
      <c r="AZ3880" s="30" t="n">
        <v>3021</v>
      </c>
      <c r="BA3880" s="11" t="n">
        <v>18126</v>
      </c>
      <c r="BB3880" s="31" t="n">
        <f aca="false">SUM(Q3880,S3880,U3880,W3880,Y3880,AA3880,AC3880,AE3880,AG3880,AI3880,AK3880,AM3880,AO3880,AQ3880,AS3880,AU3880,AW3880,AY3880)</f>
        <v>18126</v>
      </c>
      <c r="BC3880" s="28" t="n">
        <f aca="false">BA3880-BB3880</f>
        <v>0</v>
      </c>
      <c r="BD3880" s="32" t="n">
        <f aca="false">SUM(P3880,R3880,T3880,V3880,X3880,Z3880,AB3880,AD3880,AF3880,AH3880,AJ3880,AL3880,AN3880,AP3880,AR3880,AT3880,AV3880,AX3880)</f>
        <v>3021</v>
      </c>
      <c r="BE3880" s="33" t="n">
        <f aca="false">AZ3880-BD3880</f>
        <v>0</v>
      </c>
      <c r="BF3880" s="34" t="n">
        <f aca="false">BD3880*M3880</f>
        <v>18126</v>
      </c>
      <c r="BG3880" s="35" t="n">
        <f aca="false">BA3880-BF3880</f>
        <v>0</v>
      </c>
      <c r="BH3880" s="19" t="str">
        <f aca="false">IF(BG3880=0,"",IF(BG3880&lt;&gt;BA3880,"erreur de calcul",IF(BD3880&lt;&gt;0,"pas de prix",IF(M3880&lt;&gt; 0,"pas de quantité","pas de prix, ni de quantité"))))</f>
        <v/>
      </c>
      <c r="BI3880" s="19"/>
    </row>
    <row r="3881" customFormat="false" ht="15" hidden="false" customHeight="false" outlineLevel="0" collapsed="false">
      <c r="A3881" s="0" t="n">
        <v>18</v>
      </c>
      <c r="B3881" s="8" t="s">
        <v>24</v>
      </c>
      <c r="C3881" s="9" t="s">
        <v>25</v>
      </c>
      <c r="D3881" s="9" t="s">
        <v>26</v>
      </c>
      <c r="E3881" s="10" t="n">
        <v>1789</v>
      </c>
      <c r="F3881" s="9" t="s">
        <v>27</v>
      </c>
      <c r="G3881" s="9" t="s">
        <v>27</v>
      </c>
      <c r="H3881" s="11" t="n">
        <v>18</v>
      </c>
      <c r="I3881" s="11" t="s">
        <v>88</v>
      </c>
      <c r="J3881" s="14" t="n">
        <v>26</v>
      </c>
      <c r="K3881" s="14"/>
      <c r="L3881" s="16"/>
      <c r="M3881" s="27" t="n">
        <f aca="false">J3881+(K3881/20)+(L3881/240)</f>
        <v>26</v>
      </c>
      <c r="N3881" s="17" t="s">
        <v>69</v>
      </c>
      <c r="O3881" s="11"/>
      <c r="P3881" s="28"/>
      <c r="Q3881" s="28" t="n">
        <f aca="false">P3881*$M3881</f>
        <v>0</v>
      </c>
      <c r="R3881" s="28"/>
      <c r="S3881" s="28" t="n">
        <f aca="false">R3881*$M3881</f>
        <v>0</v>
      </c>
      <c r="T3881" s="28"/>
      <c r="U3881" s="28" t="n">
        <f aca="false">T3881*$M3881</f>
        <v>0</v>
      </c>
      <c r="V3881" s="28"/>
      <c r="W3881" s="28" t="n">
        <f aca="false">V3881*$M3881</f>
        <v>0</v>
      </c>
      <c r="X3881" s="29"/>
      <c r="Y3881" s="28" t="n">
        <f aca="false">X3881*$M3881</f>
        <v>0</v>
      </c>
      <c r="Z3881" s="28"/>
      <c r="AA3881" s="28" t="n">
        <f aca="false">Z3881*$M3881</f>
        <v>0</v>
      </c>
      <c r="AB3881" s="28"/>
      <c r="AC3881" s="28" t="n">
        <f aca="false">AB3881*$M3881</f>
        <v>0</v>
      </c>
      <c r="AD3881" s="28"/>
      <c r="AE3881" s="28" t="n">
        <f aca="false">AD3881*$M3881</f>
        <v>0</v>
      </c>
      <c r="AF3881" s="28"/>
      <c r="AG3881" s="28" t="n">
        <f aca="false">AF3881*$M3881</f>
        <v>0</v>
      </c>
      <c r="AH3881" s="28"/>
      <c r="AI3881" s="28" t="n">
        <f aca="false">AH3881*$M3881</f>
        <v>0</v>
      </c>
      <c r="AJ3881" s="28"/>
      <c r="AK3881" s="28" t="n">
        <f aca="false">AJ3881*$M3881</f>
        <v>0</v>
      </c>
      <c r="AL3881" s="28" t="n">
        <v>150</v>
      </c>
      <c r="AM3881" s="28" t="n">
        <v>3900</v>
      </c>
      <c r="AN3881" s="28"/>
      <c r="AO3881" s="28" t="n">
        <f aca="false">AN3881*$M3881</f>
        <v>0</v>
      </c>
      <c r="AP3881" s="28" t="n">
        <v>4140</v>
      </c>
      <c r="AQ3881" s="28" t="n">
        <v>107640</v>
      </c>
      <c r="AR3881" s="28" t="n">
        <v>6957</v>
      </c>
      <c r="AS3881" s="28" t="n">
        <v>180882</v>
      </c>
      <c r="AT3881" s="28" t="n">
        <v>171</v>
      </c>
      <c r="AU3881" s="28" t="n">
        <v>4446</v>
      </c>
      <c r="AV3881" s="28" t="n">
        <v>838</v>
      </c>
      <c r="AW3881" s="28" t="n">
        <v>21788</v>
      </c>
      <c r="AX3881" s="28" t="n">
        <v>35</v>
      </c>
      <c r="AY3881" s="28" t="n">
        <v>910</v>
      </c>
      <c r="AZ3881" s="30" t="n">
        <v>12291</v>
      </c>
      <c r="BA3881" s="11" t="n">
        <v>319566</v>
      </c>
      <c r="BB3881" s="31" t="n">
        <f aca="false">SUM(Q3881,S3881,U3881,W3881,Y3881,AA3881,AC3881,AE3881,AG3881,AI3881,AK3881,AM3881,AO3881,AQ3881,AS3881,AU3881,AW3881,AY3881)</f>
        <v>319566</v>
      </c>
      <c r="BC3881" s="28" t="n">
        <f aca="false">BA3881-BB3881</f>
        <v>0</v>
      </c>
      <c r="BD3881" s="32" t="n">
        <f aca="false">SUM(P3881,R3881,T3881,V3881,X3881,Z3881,AB3881,AD3881,AF3881,AH3881,AJ3881,AL3881,AN3881,AP3881,AR3881,AT3881,AV3881,AX3881)</f>
        <v>12291</v>
      </c>
      <c r="BE3881" s="33" t="n">
        <f aca="false">AZ3881-BD3881</f>
        <v>0</v>
      </c>
      <c r="BF3881" s="34" t="n">
        <f aca="false">BD3881*M3881</f>
        <v>319566</v>
      </c>
      <c r="BG3881" s="35" t="n">
        <f aca="false">BA3881-BF3881</f>
        <v>0</v>
      </c>
      <c r="BH3881" s="19" t="str">
        <f aca="false">IF(BG3881=0,"",IF(BG3881&lt;&gt;BA3881,"erreur de calcul",IF(BD3881&lt;&gt;0,"pas de prix",IF(M3881&lt;&gt; 0,"pas de quantité","pas de prix, ni de quantité"))))</f>
        <v/>
      </c>
      <c r="BI3881" s="19"/>
    </row>
    <row r="3882" customFormat="false" ht="15" hidden="false" customHeight="false" outlineLevel="0" collapsed="false">
      <c r="A3882" s="0" t="n">
        <v>19</v>
      </c>
      <c r="B3882" s="8" t="s">
        <v>24</v>
      </c>
      <c r="C3882" s="9" t="s">
        <v>25</v>
      </c>
      <c r="D3882" s="9" t="s">
        <v>26</v>
      </c>
      <c r="E3882" s="10" t="n">
        <v>1789</v>
      </c>
      <c r="F3882" s="9" t="s">
        <v>27</v>
      </c>
      <c r="G3882" s="9" t="s">
        <v>27</v>
      </c>
      <c r="H3882" s="11" t="n">
        <v>18</v>
      </c>
      <c r="I3882" s="11" t="s">
        <v>89</v>
      </c>
      <c r="J3882" s="14" t="n">
        <v>7</v>
      </c>
      <c r="K3882" s="14"/>
      <c r="L3882" s="16"/>
      <c r="M3882" s="27" t="n">
        <f aca="false">J3882+(K3882/20)+(L3882/240)</f>
        <v>7</v>
      </c>
      <c r="N3882" s="17" t="s">
        <v>81</v>
      </c>
      <c r="O3882" s="11" t="s">
        <v>77</v>
      </c>
      <c r="P3882" s="28"/>
      <c r="Q3882" s="28" t="n">
        <f aca="false">P3882*$M3882</f>
        <v>0</v>
      </c>
      <c r="R3882" s="28"/>
      <c r="S3882" s="28" t="n">
        <f aca="false">R3882*$M3882</f>
        <v>0</v>
      </c>
      <c r="T3882" s="28"/>
      <c r="U3882" s="28" t="n">
        <f aca="false">T3882*$M3882</f>
        <v>0</v>
      </c>
      <c r="V3882" s="28"/>
      <c r="W3882" s="28" t="n">
        <f aca="false">V3882*$M3882</f>
        <v>0</v>
      </c>
      <c r="X3882" s="29"/>
      <c r="Y3882" s="28" t="n">
        <f aca="false">X3882*$M3882</f>
        <v>0</v>
      </c>
      <c r="Z3882" s="28"/>
      <c r="AA3882" s="28" t="n">
        <f aca="false">Z3882*$M3882</f>
        <v>0</v>
      </c>
      <c r="AB3882" s="28"/>
      <c r="AC3882" s="28" t="n">
        <f aca="false">AB3882*$M3882</f>
        <v>0</v>
      </c>
      <c r="AD3882" s="28"/>
      <c r="AE3882" s="28" t="n">
        <f aca="false">AD3882*$M3882</f>
        <v>0</v>
      </c>
      <c r="AF3882" s="28"/>
      <c r="AG3882" s="28" t="n">
        <f aca="false">AF3882*$M3882</f>
        <v>0</v>
      </c>
      <c r="AH3882" s="28"/>
      <c r="AI3882" s="28" t="n">
        <f aca="false">AH3882*$M3882</f>
        <v>0</v>
      </c>
      <c r="AJ3882" s="28"/>
      <c r="AK3882" s="28" t="n">
        <f aca="false">AJ3882*$M3882</f>
        <v>0</v>
      </c>
      <c r="AL3882" s="28"/>
      <c r="AM3882" s="28" t="n">
        <f aca="false">AL3882*$M3882</f>
        <v>0</v>
      </c>
      <c r="AN3882" s="28"/>
      <c r="AO3882" s="28" t="n">
        <f aca="false">AN3882*$M3882</f>
        <v>0</v>
      </c>
      <c r="AP3882" s="38" t="n">
        <v>1763</v>
      </c>
      <c r="AQ3882" s="28" t="n">
        <v>42312</v>
      </c>
      <c r="AR3882" s="28"/>
      <c r="AS3882" s="28" t="n">
        <f aca="false">AR3882*$M3882</f>
        <v>0</v>
      </c>
      <c r="AT3882" s="28"/>
      <c r="AU3882" s="28" t="n">
        <f aca="false">AT3882*$M3882</f>
        <v>0</v>
      </c>
      <c r="AV3882" s="38" t="n">
        <v>377</v>
      </c>
      <c r="AW3882" s="28" t="n">
        <v>9425</v>
      </c>
      <c r="AX3882" s="28"/>
      <c r="AY3882" s="28" t="n">
        <f aca="false">AX3882*$M3882</f>
        <v>0</v>
      </c>
      <c r="AZ3882" s="30" t="n">
        <v>2140</v>
      </c>
      <c r="BA3882" s="11" t="n">
        <v>51737</v>
      </c>
      <c r="BB3882" s="31" t="n">
        <f aca="false">SUM(Q3882,S3882,U3882,W3882,Y3882,AA3882,AC3882,AE3882,AG3882,AI3882,AK3882,AM3882,AO3882,AQ3882,AS3882,AU3882,AW3882,AY3882)</f>
        <v>51737</v>
      </c>
      <c r="BC3882" s="28" t="n">
        <f aca="false">BA3882-BB3882</f>
        <v>0</v>
      </c>
      <c r="BD3882" s="32" t="n">
        <f aca="false">SUM(P3882,R3882,T3882,V3882,X3882,Z3882,AB3882,AD3882,AF3882,AH3882,AJ3882,AL3882,AN3882,AP3882,AR3882,AT3882,AV3882,AX3882)</f>
        <v>2140</v>
      </c>
      <c r="BE3882" s="33" t="n">
        <f aca="false">AZ3882-BD3882</f>
        <v>0</v>
      </c>
      <c r="BF3882" s="34" t="n">
        <f aca="false">BD3882*M3882</f>
        <v>14980</v>
      </c>
      <c r="BG3882" s="35" t="n">
        <f aca="false">BA3882-BF3882</f>
        <v>36757</v>
      </c>
      <c r="BH3882" s="19" t="str">
        <f aca="false">IF(BG3882=0,"",IF(BG3882&lt;&gt;BA3882,"erreur de calcul",IF(BD3882&lt;&gt;0,"pas de prix",IF(M3882&lt;&gt; 0,"pas de quantité","pas de prix, ni de quantité"))))</f>
        <v>erreur de calcul</v>
      </c>
      <c r="BI3882" s="19" t="s">
        <v>90</v>
      </c>
    </row>
    <row r="3883" customFormat="false" ht="15" hidden="false" customHeight="false" outlineLevel="0" collapsed="false">
      <c r="A3883" s="0" t="n">
        <v>20</v>
      </c>
      <c r="B3883" s="8" t="s">
        <v>24</v>
      </c>
      <c r="C3883" s="9" t="s">
        <v>25</v>
      </c>
      <c r="D3883" s="9" t="s">
        <v>26</v>
      </c>
      <c r="E3883" s="10" t="n">
        <v>1789</v>
      </c>
      <c r="F3883" s="9" t="s">
        <v>27</v>
      </c>
      <c r="G3883" s="9" t="s">
        <v>27</v>
      </c>
      <c r="H3883" s="11" t="n">
        <v>18</v>
      </c>
      <c r="I3883" s="11" t="s">
        <v>91</v>
      </c>
      <c r="J3883" s="14" t="n">
        <v>30</v>
      </c>
      <c r="K3883" s="14"/>
      <c r="L3883" s="16"/>
      <c r="M3883" s="27" t="n">
        <f aca="false">J3883+(K3883/20)+(L3883/240)</f>
        <v>30</v>
      </c>
      <c r="N3883" s="17" t="s">
        <v>64</v>
      </c>
      <c r="O3883" s="11"/>
      <c r="P3883" s="28"/>
      <c r="Q3883" s="28" t="n">
        <f aca="false">P3883*$M3883</f>
        <v>0</v>
      </c>
      <c r="R3883" s="28"/>
      <c r="S3883" s="28" t="n">
        <f aca="false">R3883*$M3883</f>
        <v>0</v>
      </c>
      <c r="T3883" s="28"/>
      <c r="U3883" s="28" t="n">
        <f aca="false">T3883*$M3883</f>
        <v>0</v>
      </c>
      <c r="V3883" s="28" t="n">
        <f aca="false">12300/100</f>
        <v>123</v>
      </c>
      <c r="W3883" s="28" t="n">
        <v>3690</v>
      </c>
      <c r="X3883" s="29"/>
      <c r="Y3883" s="28" t="n">
        <f aca="false">X3883*$M3883</f>
        <v>0</v>
      </c>
      <c r="Z3883" s="28"/>
      <c r="AA3883" s="28" t="n">
        <f aca="false">Z3883*$M3883</f>
        <v>0</v>
      </c>
      <c r="AB3883" s="28" t="n">
        <f aca="false">16277/100</f>
        <v>162.77</v>
      </c>
      <c r="AC3883" s="28" t="n">
        <v>4883</v>
      </c>
      <c r="AD3883" s="28"/>
      <c r="AE3883" s="28" t="n">
        <f aca="false">AD3883*$M3883</f>
        <v>0</v>
      </c>
      <c r="AF3883" s="28"/>
      <c r="AG3883" s="28" t="n">
        <f aca="false">AF3883*$M3883</f>
        <v>0</v>
      </c>
      <c r="AH3883" s="28"/>
      <c r="AI3883" s="28" t="n">
        <f aca="false">AH3883*$M3883</f>
        <v>0</v>
      </c>
      <c r="AJ3883" s="28"/>
      <c r="AK3883" s="28" t="n">
        <f aca="false">AJ3883*$M3883</f>
        <v>0</v>
      </c>
      <c r="AL3883" s="28"/>
      <c r="AM3883" s="28" t="n">
        <f aca="false">AL3883*$M3883</f>
        <v>0</v>
      </c>
      <c r="AN3883" s="28"/>
      <c r="AO3883" s="28" t="n">
        <f aca="false">AN3883*$M3883</f>
        <v>0</v>
      </c>
      <c r="AP3883" s="28"/>
      <c r="AQ3883" s="28" t="n">
        <f aca="false">AP3883*$M3883</f>
        <v>0</v>
      </c>
      <c r="AR3883" s="28"/>
      <c r="AS3883" s="28" t="n">
        <f aca="false">AR3883*$M3883</f>
        <v>0</v>
      </c>
      <c r="AT3883" s="28"/>
      <c r="AU3883" s="28" t="n">
        <f aca="false">AT3883*$M3883</f>
        <v>0</v>
      </c>
      <c r="AV3883" s="28"/>
      <c r="AW3883" s="28" t="n">
        <f aca="false">AV3883*$M3883</f>
        <v>0</v>
      </c>
      <c r="AX3883" s="28"/>
      <c r="AY3883" s="28" t="n">
        <f aca="false">AX3883*$M3883</f>
        <v>0</v>
      </c>
      <c r="AZ3883" s="30" t="n">
        <f aca="false">28577/100</f>
        <v>285.77</v>
      </c>
      <c r="BA3883" s="11" t="n">
        <v>8573</v>
      </c>
      <c r="BB3883" s="31" t="n">
        <f aca="false">SUM(Q3883,S3883,U3883,W3883,Y3883,AA3883,AC3883,AE3883,AG3883,AI3883,AK3883,AM3883,AO3883,AQ3883,AS3883,AU3883,AW3883,AY3883)</f>
        <v>8573</v>
      </c>
      <c r="BC3883" s="28" t="n">
        <f aca="false">BA3883-BB3883</f>
        <v>0</v>
      </c>
      <c r="BD3883" s="32" t="n">
        <f aca="false">SUM(P3883,R3883,T3883,V3883,X3883,Z3883,AB3883,AD3883,AF3883,AH3883,AJ3883,AL3883,AN3883,AP3883,AR3883,AT3883,AV3883,AX3883)</f>
        <v>285.77</v>
      </c>
      <c r="BE3883" s="33" t="n">
        <f aca="false">AZ3883-BD3883</f>
        <v>0</v>
      </c>
      <c r="BF3883" s="34" t="n">
        <f aca="false">BD3883*M3883</f>
        <v>8573.1</v>
      </c>
      <c r="BG3883" s="35" t="n">
        <f aca="false">BA3883-BF3883</f>
        <v>-0.0999999999985448</v>
      </c>
      <c r="BH3883" s="19" t="str">
        <f aca="false">IF(BG3883=0,"",IF(BG3883&lt;&gt;BA3883,"erreur de calcul",IF(BD3883&lt;&gt;0,"pas de prix",IF(M3883&lt;&gt; 0,"pas de quantité","pas de prix, ni de quantité"))))</f>
        <v>erreur de calcul</v>
      </c>
      <c r="BI3883" s="19"/>
    </row>
    <row r="3884" customFormat="false" ht="15" hidden="false" customHeight="false" outlineLevel="0" collapsed="false">
      <c r="A3884" s="0" t="n">
        <v>21</v>
      </c>
      <c r="B3884" s="8" t="s">
        <v>24</v>
      </c>
      <c r="C3884" s="9" t="s">
        <v>25</v>
      </c>
      <c r="D3884" s="9" t="s">
        <v>26</v>
      </c>
      <c r="E3884" s="10" t="n">
        <v>1789</v>
      </c>
      <c r="F3884" s="9" t="s">
        <v>27</v>
      </c>
      <c r="G3884" s="9" t="s">
        <v>27</v>
      </c>
      <c r="H3884" s="11" t="n">
        <v>18</v>
      </c>
      <c r="I3884" s="11" t="s">
        <v>92</v>
      </c>
      <c r="J3884" s="14"/>
      <c r="K3884" s="14" t="n">
        <v>25</v>
      </c>
      <c r="L3884" s="16"/>
      <c r="M3884" s="27" t="n">
        <f aca="false">J3884+(K3884/20)+(L3884/240)</f>
        <v>1.25</v>
      </c>
      <c r="N3884" s="17" t="s">
        <v>81</v>
      </c>
      <c r="O3884" s="11"/>
      <c r="P3884" s="28"/>
      <c r="Q3884" s="28" t="n">
        <f aca="false">P3884*$M3884</f>
        <v>0</v>
      </c>
      <c r="R3884" s="28"/>
      <c r="S3884" s="28" t="n">
        <f aca="false">R3884*$M3884</f>
        <v>0</v>
      </c>
      <c r="T3884" s="28"/>
      <c r="U3884" s="28" t="n">
        <f aca="false">T3884*$M3884</f>
        <v>0</v>
      </c>
      <c r="V3884" s="28" t="n">
        <v>17192</v>
      </c>
      <c r="W3884" s="28" t="n">
        <v>21490</v>
      </c>
      <c r="X3884" s="29"/>
      <c r="Y3884" s="28" t="n">
        <f aca="false">X3884*$M3884</f>
        <v>0</v>
      </c>
      <c r="Z3884" s="28"/>
      <c r="AA3884" s="28" t="n">
        <f aca="false">Z3884*$M3884</f>
        <v>0</v>
      </c>
      <c r="AB3884" s="28"/>
      <c r="AC3884" s="28" t="n">
        <f aca="false">AB3884*$M3884</f>
        <v>0</v>
      </c>
      <c r="AD3884" s="28"/>
      <c r="AE3884" s="28" t="n">
        <f aca="false">AD3884*$M3884</f>
        <v>0</v>
      </c>
      <c r="AF3884" s="28"/>
      <c r="AG3884" s="28" t="n">
        <f aca="false">AF3884*$M3884</f>
        <v>0</v>
      </c>
      <c r="AH3884" s="28"/>
      <c r="AI3884" s="28" t="n">
        <f aca="false">AH3884*$M3884</f>
        <v>0</v>
      </c>
      <c r="AJ3884" s="28"/>
      <c r="AK3884" s="28" t="n">
        <f aca="false">AJ3884*$M3884</f>
        <v>0</v>
      </c>
      <c r="AL3884" s="28"/>
      <c r="AM3884" s="28" t="n">
        <f aca="false">AL3884*$M3884</f>
        <v>0</v>
      </c>
      <c r="AN3884" s="28"/>
      <c r="AO3884" s="28" t="n">
        <f aca="false">AN3884*$M3884</f>
        <v>0</v>
      </c>
      <c r="AP3884" s="28"/>
      <c r="AQ3884" s="28" t="n">
        <f aca="false">AP3884*$M3884</f>
        <v>0</v>
      </c>
      <c r="AR3884" s="28"/>
      <c r="AS3884" s="28" t="n">
        <f aca="false">AR3884*$M3884</f>
        <v>0</v>
      </c>
      <c r="AT3884" s="28"/>
      <c r="AU3884" s="28" t="n">
        <f aca="false">AT3884*$M3884</f>
        <v>0</v>
      </c>
      <c r="AV3884" s="28"/>
      <c r="AW3884" s="28" t="n">
        <f aca="false">AV3884*$M3884</f>
        <v>0</v>
      </c>
      <c r="AX3884" s="28"/>
      <c r="AY3884" s="28" t="n">
        <f aca="false">AX3884*$M3884</f>
        <v>0</v>
      </c>
      <c r="AZ3884" s="30" t="n">
        <v>17192</v>
      </c>
      <c r="BA3884" s="11" t="n">
        <v>21490</v>
      </c>
      <c r="BB3884" s="31" t="n">
        <f aca="false">SUM(Q3884,S3884,U3884,W3884,Y3884,AA3884,AC3884,AE3884,AG3884,AI3884,AK3884,AM3884,AO3884,AQ3884,AS3884,AU3884,AW3884,AY3884)</f>
        <v>21490</v>
      </c>
      <c r="BC3884" s="28" t="n">
        <f aca="false">BA3884-BB3884</f>
        <v>0</v>
      </c>
      <c r="BD3884" s="32" t="n">
        <f aca="false">SUM(P3884,R3884,T3884,V3884,X3884,Z3884,AB3884,AD3884,AF3884,AH3884,AJ3884,AL3884,AN3884,AP3884,AR3884,AT3884,AV3884,AX3884)</f>
        <v>17192</v>
      </c>
      <c r="BE3884" s="33" t="n">
        <f aca="false">AZ3884-BD3884</f>
        <v>0</v>
      </c>
      <c r="BF3884" s="34" t="n">
        <f aca="false">BD3884*M3884</f>
        <v>21490</v>
      </c>
      <c r="BG3884" s="35" t="n">
        <f aca="false">BA3884-BF3884</f>
        <v>0</v>
      </c>
      <c r="BH3884" s="19" t="str">
        <f aca="false">IF(BG3884=0,"",IF(BG3884&lt;&gt;BA3884,"erreur de calcul",IF(BD3884&lt;&gt;0,"pas de prix",IF(M3884&lt;&gt; 0,"pas de quantité","pas de prix, ni de quantité"))))</f>
        <v/>
      </c>
      <c r="BI3884" s="19"/>
    </row>
    <row r="3885" customFormat="false" ht="15" hidden="false" customHeight="false" outlineLevel="0" collapsed="false">
      <c r="A3885" s="0" t="n">
        <v>22</v>
      </c>
      <c r="B3885" s="8" t="s">
        <v>24</v>
      </c>
      <c r="C3885" s="9" t="s">
        <v>25</v>
      </c>
      <c r="D3885" s="9" t="s">
        <v>26</v>
      </c>
      <c r="E3885" s="10" t="n">
        <v>1789</v>
      </c>
      <c r="F3885" s="9" t="s">
        <v>27</v>
      </c>
      <c r="G3885" s="9" t="s">
        <v>27</v>
      </c>
      <c r="H3885" s="11" t="n">
        <v>18</v>
      </c>
      <c r="I3885" s="11" t="s">
        <v>93</v>
      </c>
      <c r="J3885" s="14" t="n">
        <v>4</v>
      </c>
      <c r="K3885" s="14"/>
      <c r="L3885" s="16"/>
      <c r="M3885" s="27" t="n">
        <f aca="false">J3885+(K3885/20)+(L3885/240)</f>
        <v>4</v>
      </c>
      <c r="N3885" s="17" t="s">
        <v>94</v>
      </c>
      <c r="O3885" s="11"/>
      <c r="P3885" s="28"/>
      <c r="Q3885" s="28" t="n">
        <f aca="false">P3885*$M3885</f>
        <v>0</v>
      </c>
      <c r="R3885" s="28"/>
      <c r="S3885" s="28" t="n">
        <f aca="false">R3885*$M3885</f>
        <v>0</v>
      </c>
      <c r="T3885" s="28"/>
      <c r="U3885" s="28" t="n">
        <f aca="false">T3885*$M3885</f>
        <v>0</v>
      </c>
      <c r="V3885" s="28"/>
      <c r="W3885" s="28" t="n">
        <f aca="false">V3885*$M3885</f>
        <v>0</v>
      </c>
      <c r="X3885" s="29"/>
      <c r="Y3885" s="28" t="n">
        <f aca="false">X3885*$M3885</f>
        <v>0</v>
      </c>
      <c r="Z3885" s="28"/>
      <c r="AA3885" s="28" t="n">
        <f aca="false">Z3885*$M3885</f>
        <v>0</v>
      </c>
      <c r="AB3885" s="28"/>
      <c r="AC3885" s="28" t="n">
        <f aca="false">AB3885*$M3885</f>
        <v>0</v>
      </c>
      <c r="AD3885" s="28" t="n">
        <v>900</v>
      </c>
      <c r="AE3885" s="28" t="n">
        <v>3600</v>
      </c>
      <c r="AF3885" s="28"/>
      <c r="AG3885" s="28" t="n">
        <f aca="false">AF3885*$M3885</f>
        <v>0</v>
      </c>
      <c r="AH3885" s="28"/>
      <c r="AI3885" s="28" t="n">
        <f aca="false">AH3885*$M3885</f>
        <v>0</v>
      </c>
      <c r="AJ3885" s="28"/>
      <c r="AK3885" s="28" t="n">
        <f aca="false">AJ3885*$M3885</f>
        <v>0</v>
      </c>
      <c r="AL3885" s="28"/>
      <c r="AM3885" s="28" t="n">
        <f aca="false">AL3885*$M3885</f>
        <v>0</v>
      </c>
      <c r="AN3885" s="28"/>
      <c r="AO3885" s="28" t="n">
        <f aca="false">AN3885*$M3885</f>
        <v>0</v>
      </c>
      <c r="AP3885" s="28" t="n">
        <v>36</v>
      </c>
      <c r="AQ3885" s="28" t="n">
        <v>144</v>
      </c>
      <c r="AR3885" s="28"/>
      <c r="AS3885" s="28" t="n">
        <f aca="false">AR3885*$M3885</f>
        <v>0</v>
      </c>
      <c r="AT3885" s="28"/>
      <c r="AU3885" s="28" t="n">
        <f aca="false">AT3885*$M3885</f>
        <v>0</v>
      </c>
      <c r="AV3885" s="28"/>
      <c r="AW3885" s="28" t="n">
        <f aca="false">AV3885*$M3885</f>
        <v>0</v>
      </c>
      <c r="AX3885" s="28"/>
      <c r="AY3885" s="28" t="n">
        <f aca="false">AX3885*$M3885</f>
        <v>0</v>
      </c>
      <c r="AZ3885" s="30" t="n">
        <v>936</v>
      </c>
      <c r="BA3885" s="11" t="n">
        <v>3744</v>
      </c>
      <c r="BB3885" s="31" t="n">
        <f aca="false">SUM(Q3885,S3885,U3885,W3885,Y3885,AA3885,AC3885,AE3885,AG3885,AI3885,AK3885,AM3885,AO3885,AQ3885,AS3885,AU3885,AW3885,AY3885)</f>
        <v>3744</v>
      </c>
      <c r="BC3885" s="28" t="n">
        <f aca="false">BA3885-BB3885</f>
        <v>0</v>
      </c>
      <c r="BD3885" s="32" t="n">
        <f aca="false">SUM(P3885,R3885,T3885,V3885,X3885,Z3885,AB3885,AD3885,AF3885,AH3885,AJ3885,AL3885,AN3885,AP3885,AR3885,AT3885,AV3885,AX3885)</f>
        <v>936</v>
      </c>
      <c r="BE3885" s="33" t="n">
        <f aca="false">AZ3885-BD3885</f>
        <v>0</v>
      </c>
      <c r="BF3885" s="34" t="n">
        <f aca="false">BD3885*M3885</f>
        <v>3744</v>
      </c>
      <c r="BG3885" s="35" t="n">
        <f aca="false">BA3885-BF3885</f>
        <v>0</v>
      </c>
      <c r="BH3885" s="19" t="str">
        <f aca="false">IF(BG3885=0,"",IF(BG3885&lt;&gt;BA3885,"erreur de calcul",IF(BD3885&lt;&gt;0,"pas de prix",IF(M3885&lt;&gt; 0,"pas de quantité","pas de prix, ni de quantité"))))</f>
        <v/>
      </c>
      <c r="BI3885" s="19"/>
    </row>
    <row r="3886" customFormat="false" ht="15" hidden="false" customHeight="false" outlineLevel="0" collapsed="false">
      <c r="A3886" s="0" t="n">
        <v>23</v>
      </c>
      <c r="B3886" s="8" t="s">
        <v>24</v>
      </c>
      <c r="C3886" s="9" t="s">
        <v>25</v>
      </c>
      <c r="D3886" s="9" t="s">
        <v>26</v>
      </c>
      <c r="E3886" s="10" t="n">
        <v>1789</v>
      </c>
      <c r="F3886" s="9" t="s">
        <v>27</v>
      </c>
      <c r="G3886" s="9" t="s">
        <v>27</v>
      </c>
      <c r="H3886" s="11" t="n">
        <v>18</v>
      </c>
      <c r="I3886" s="11" t="s">
        <v>95</v>
      </c>
      <c r="J3886" s="14" t="n">
        <v>40</v>
      </c>
      <c r="K3886" s="14"/>
      <c r="L3886" s="16"/>
      <c r="M3886" s="27" t="n">
        <f aca="false">J3886+(K3886/20)+(L3886/240)</f>
        <v>40</v>
      </c>
      <c r="N3886" s="17" t="s">
        <v>64</v>
      </c>
      <c r="O3886" s="11"/>
      <c r="P3886" s="28" t="n">
        <f aca="false">16000/100</f>
        <v>160</v>
      </c>
      <c r="Q3886" s="28" t="n">
        <v>6400</v>
      </c>
      <c r="R3886" s="28"/>
      <c r="S3886" s="28" t="n">
        <f aca="false">R3886*$M3886</f>
        <v>0</v>
      </c>
      <c r="T3886" s="28"/>
      <c r="U3886" s="28" t="n">
        <f aca="false">T3886*$M3886</f>
        <v>0</v>
      </c>
      <c r="V3886" s="28"/>
      <c r="W3886" s="28" t="n">
        <f aca="false">V3886*$M3886</f>
        <v>0</v>
      </c>
      <c r="X3886" s="29"/>
      <c r="Y3886" s="28" t="n">
        <f aca="false">X3886*$M3886</f>
        <v>0</v>
      </c>
      <c r="Z3886" s="28"/>
      <c r="AA3886" s="28" t="n">
        <f aca="false">Z3886*$M3886</f>
        <v>0</v>
      </c>
      <c r="AB3886" s="28"/>
      <c r="AC3886" s="28" t="n">
        <f aca="false">AB3886*$M3886</f>
        <v>0</v>
      </c>
      <c r="AD3886" s="28"/>
      <c r="AE3886" s="28" t="n">
        <f aca="false">AD3886*$M3886</f>
        <v>0</v>
      </c>
      <c r="AF3886" s="28"/>
      <c r="AG3886" s="28" t="n">
        <f aca="false">AF3886*$M3886</f>
        <v>0</v>
      </c>
      <c r="AH3886" s="28"/>
      <c r="AI3886" s="28" t="n">
        <f aca="false">AH3886*$M3886</f>
        <v>0</v>
      </c>
      <c r="AJ3886" s="28"/>
      <c r="AK3886" s="28" t="n">
        <f aca="false">AJ3886*$M3886</f>
        <v>0</v>
      </c>
      <c r="AL3886" s="28"/>
      <c r="AM3886" s="28" t="n">
        <f aca="false">AL3886*$M3886</f>
        <v>0</v>
      </c>
      <c r="AN3886" s="28"/>
      <c r="AO3886" s="28" t="n">
        <f aca="false">AN3886*$M3886</f>
        <v>0</v>
      </c>
      <c r="AP3886" s="28"/>
      <c r="AQ3886" s="28" t="n">
        <f aca="false">AP3886*$M3886</f>
        <v>0</v>
      </c>
      <c r="AR3886" s="28"/>
      <c r="AS3886" s="28" t="n">
        <f aca="false">AR3886*$M3886</f>
        <v>0</v>
      </c>
      <c r="AT3886" s="28"/>
      <c r="AU3886" s="28" t="n">
        <f aca="false">AT3886*$M3886</f>
        <v>0</v>
      </c>
      <c r="AV3886" s="28"/>
      <c r="AW3886" s="28" t="n">
        <f aca="false">AV3886*$M3886</f>
        <v>0</v>
      </c>
      <c r="AX3886" s="28"/>
      <c r="AY3886" s="28" t="n">
        <f aca="false">AX3886*$M3886</f>
        <v>0</v>
      </c>
      <c r="AZ3886" s="30" t="n">
        <f aca="false">16000/100</f>
        <v>160</v>
      </c>
      <c r="BA3886" s="11" t="n">
        <v>6400</v>
      </c>
      <c r="BB3886" s="31" t="n">
        <f aca="false">SUM(Q3886,S3886,U3886,W3886,Y3886,AA3886,AC3886,AE3886,AG3886,AI3886,AK3886,AM3886,AO3886,AQ3886,AS3886,AU3886,AW3886,AY3886)</f>
        <v>6400</v>
      </c>
      <c r="BC3886" s="28" t="n">
        <f aca="false">BA3886-BB3886</f>
        <v>0</v>
      </c>
      <c r="BD3886" s="32" t="n">
        <f aca="false">SUM(P3886,R3886,T3886,V3886,X3886,Z3886,AB3886,AD3886,AF3886,AH3886,AJ3886,AL3886,AN3886,AP3886,AR3886,AT3886,AV3886,AX3886)</f>
        <v>160</v>
      </c>
      <c r="BE3886" s="33" t="n">
        <f aca="false">AZ3886-BD3886</f>
        <v>0</v>
      </c>
      <c r="BF3886" s="34" t="n">
        <f aca="false">BD3886*M3886</f>
        <v>6400</v>
      </c>
      <c r="BG3886" s="35" t="n">
        <f aca="false">BA3886-BF3886</f>
        <v>0</v>
      </c>
      <c r="BH3886" s="19" t="str">
        <f aca="false">IF(BG3886=0,"",IF(BG3886&lt;&gt;BA3886,"erreur de calcul",IF(BD3886&lt;&gt;0,"pas de prix",IF(M3886&lt;&gt; 0,"pas de quantité","pas de prix, ni de quantité"))))</f>
        <v/>
      </c>
      <c r="BI3886" s="19"/>
    </row>
    <row r="3887" customFormat="false" ht="15" hidden="false" customHeight="false" outlineLevel="0" collapsed="false">
      <c r="A3887" s="0" t="n">
        <v>24</v>
      </c>
      <c r="B3887" s="8" t="s">
        <v>24</v>
      </c>
      <c r="C3887" s="9" t="s">
        <v>25</v>
      </c>
      <c r="D3887" s="9" t="s">
        <v>26</v>
      </c>
      <c r="E3887" s="10" t="n">
        <v>1789</v>
      </c>
      <c r="F3887" s="9" t="s">
        <v>27</v>
      </c>
      <c r="G3887" s="9" t="s">
        <v>27</v>
      </c>
      <c r="H3887" s="11" t="n">
        <v>18</v>
      </c>
      <c r="I3887" s="11" t="s">
        <v>96</v>
      </c>
      <c r="J3887" s="14" t="n">
        <v>25</v>
      </c>
      <c r="K3887" s="14"/>
      <c r="L3887" s="16"/>
      <c r="M3887" s="27" t="n">
        <f aca="false">J3887+(K3887/20)+(L3887/240)</f>
        <v>25</v>
      </c>
      <c r="N3887" s="17" t="s">
        <v>64</v>
      </c>
      <c r="O3887" s="11"/>
      <c r="P3887" s="28" t="n">
        <f aca="false">968306/100</f>
        <v>9683.06</v>
      </c>
      <c r="Q3887" s="28" t="n">
        <v>242076</v>
      </c>
      <c r="R3887" s="28"/>
      <c r="S3887" s="28" t="n">
        <f aca="false">R3887*$M3887</f>
        <v>0</v>
      </c>
      <c r="T3887" s="28"/>
      <c r="U3887" s="28" t="n">
        <f aca="false">T3887*$M3887</f>
        <v>0</v>
      </c>
      <c r="V3887" s="28" t="n">
        <f aca="false">39234/100</f>
        <v>392.34</v>
      </c>
      <c r="W3887" s="28" t="n">
        <v>9808</v>
      </c>
      <c r="X3887" s="29"/>
      <c r="Y3887" s="28" t="n">
        <v>3410</v>
      </c>
      <c r="Z3887" s="28"/>
      <c r="AA3887" s="28" t="n">
        <f aca="false">Z3887*$M3887</f>
        <v>0</v>
      </c>
      <c r="AB3887" s="28"/>
      <c r="AC3887" s="28" t="n">
        <f aca="false">AB3887*$M3887</f>
        <v>0</v>
      </c>
      <c r="AD3887" s="28"/>
      <c r="AE3887" s="28" t="n">
        <f aca="false">AD3887*$M3887</f>
        <v>0</v>
      </c>
      <c r="AF3887" s="28"/>
      <c r="AG3887" s="28" t="n">
        <f aca="false">AF3887*$M3887</f>
        <v>0</v>
      </c>
      <c r="AH3887" s="28"/>
      <c r="AI3887" s="28" t="n">
        <f aca="false">AH3887*$M3887</f>
        <v>0</v>
      </c>
      <c r="AJ3887" s="28" t="n">
        <f aca="false">2665/100</f>
        <v>26.65</v>
      </c>
      <c r="AK3887" s="28" t="n">
        <v>666</v>
      </c>
      <c r="AL3887" s="28"/>
      <c r="AM3887" s="28" t="n">
        <f aca="false">AL3887*$M3887</f>
        <v>0</v>
      </c>
      <c r="AN3887" s="28"/>
      <c r="AO3887" s="28" t="n">
        <f aca="false">AN3887*$M3887</f>
        <v>0</v>
      </c>
      <c r="AP3887" s="28"/>
      <c r="AQ3887" s="28" t="n">
        <f aca="false">AP3887*$M3887</f>
        <v>0</v>
      </c>
      <c r="AR3887" s="28"/>
      <c r="AS3887" s="28" t="n">
        <f aca="false">AR3887*$M3887</f>
        <v>0</v>
      </c>
      <c r="AT3887" s="28"/>
      <c r="AU3887" s="28" t="n">
        <f aca="false">AT3887*$M3887</f>
        <v>0</v>
      </c>
      <c r="AV3887" s="28"/>
      <c r="AW3887" s="28" t="n">
        <f aca="false">AV3887*$M3887</f>
        <v>0</v>
      </c>
      <c r="AX3887" s="28" t="n">
        <f aca="false">118115/100</f>
        <v>1181.15</v>
      </c>
      <c r="AY3887" s="28" t="n">
        <v>29529</v>
      </c>
      <c r="AZ3887" s="30" t="n">
        <f aca="false">1141960/100</f>
        <v>11419.6</v>
      </c>
      <c r="BA3887" s="11" t="n">
        <v>285489</v>
      </c>
      <c r="BB3887" s="31" t="n">
        <f aca="false">SUM(Q3887,S3887,U3887,W3887,Y3887,AA3887,AC3887,AE3887,AG3887,AI3887,AK3887,AM3887,AO3887,AQ3887,AS3887,AU3887,AW3887,AY3887)</f>
        <v>285489</v>
      </c>
      <c r="BC3887" s="28" t="n">
        <f aca="false">BA3887-BB3887</f>
        <v>0</v>
      </c>
      <c r="BD3887" s="32" t="n">
        <f aca="false">SUM(P3887,R3887,T3887,V3887,X3887,Z3887,AB3887,AD3887,AF3887,AH3887,AJ3887,AL3887,AN3887,AP3887,AR3887,AT3887,AV3887,AX3887)</f>
        <v>11283.2</v>
      </c>
      <c r="BE3887" s="33" t="n">
        <f aca="false">AZ3887-BD3887</f>
        <v>136.400000000001</v>
      </c>
      <c r="BF3887" s="34" t="n">
        <f aca="false">BD3887*M3887</f>
        <v>282080</v>
      </c>
      <c r="BG3887" s="35" t="n">
        <f aca="false">BA3887-BF3887</f>
        <v>3409</v>
      </c>
      <c r="BH3887" s="19" t="str">
        <f aca="false">IF(BG3887=0,"",IF(BG3887&lt;&gt;BA3887,"erreur de calcul",IF(BD3887&lt;&gt;0,"pas de prix",IF(M3887&lt;&gt; 0,"pas de quantité","pas de prix, ni de quantité"))))</f>
        <v>erreur de calcul</v>
      </c>
      <c r="BI3887" s="19"/>
    </row>
    <row r="3888" customFormat="false" ht="15" hidden="false" customHeight="false" outlineLevel="0" collapsed="false">
      <c r="A3888" s="0" t="n">
        <v>25</v>
      </c>
      <c r="B3888" s="8" t="s">
        <v>24</v>
      </c>
      <c r="C3888" s="9" t="s">
        <v>25</v>
      </c>
      <c r="D3888" s="9" t="s">
        <v>26</v>
      </c>
      <c r="E3888" s="10" t="n">
        <v>1789</v>
      </c>
      <c r="F3888" s="9" t="s">
        <v>27</v>
      </c>
      <c r="G3888" s="9" t="s">
        <v>27</v>
      </c>
      <c r="H3888" s="11" t="n">
        <v>18</v>
      </c>
      <c r="I3888" s="11" t="s">
        <v>97</v>
      </c>
      <c r="J3888" s="14" t="n">
        <v>30</v>
      </c>
      <c r="K3888" s="14"/>
      <c r="L3888" s="16"/>
      <c r="M3888" s="27" t="n">
        <f aca="false">J3888+(K3888/20)+(L3888/240)</f>
        <v>30</v>
      </c>
      <c r="N3888" s="17" t="s">
        <v>64</v>
      </c>
      <c r="O3888" s="11" t="s">
        <v>98</v>
      </c>
      <c r="P3888" s="28"/>
      <c r="Q3888" s="28" t="n">
        <f aca="false">P3888*$M3888</f>
        <v>0</v>
      </c>
      <c r="R3888" s="28"/>
      <c r="S3888" s="28" t="n">
        <f aca="false">R3888*$M3888</f>
        <v>0</v>
      </c>
      <c r="T3888" s="28"/>
      <c r="U3888" s="28" t="n">
        <f aca="false">T3888*$M3888</f>
        <v>0</v>
      </c>
      <c r="V3888" s="28"/>
      <c r="W3888" s="28" t="n">
        <f aca="false">V3888*$M3888</f>
        <v>0</v>
      </c>
      <c r="X3888" s="29"/>
      <c r="Y3888" s="28" t="n">
        <f aca="false">X3888*$M3888</f>
        <v>0</v>
      </c>
      <c r="Z3888" s="28"/>
      <c r="AA3888" s="28" t="n">
        <f aca="false">Z3888*$M3888</f>
        <v>0</v>
      </c>
      <c r="AB3888" s="28"/>
      <c r="AC3888" s="28" t="n">
        <f aca="false">AB3888*$M3888</f>
        <v>0</v>
      </c>
      <c r="AD3888" s="28"/>
      <c r="AE3888" s="28" t="n">
        <f aca="false">AD3888*$M3888</f>
        <v>0</v>
      </c>
      <c r="AF3888" s="28"/>
      <c r="AG3888" s="28" t="n">
        <f aca="false">AF3888*$M3888</f>
        <v>0</v>
      </c>
      <c r="AH3888" s="28"/>
      <c r="AI3888" s="28" t="n">
        <f aca="false">AH3888*$M3888</f>
        <v>0</v>
      </c>
      <c r="AJ3888" s="28"/>
      <c r="AK3888" s="28" t="n">
        <f aca="false">AJ3888*$M3888</f>
        <v>0</v>
      </c>
      <c r="AL3888" s="28"/>
      <c r="AM3888" s="28" t="n">
        <f aca="false">AL3888*$M3888</f>
        <v>0</v>
      </c>
      <c r="AN3888" s="28"/>
      <c r="AO3888" s="28" t="n">
        <f aca="false">AN3888*$M3888</f>
        <v>0</v>
      </c>
      <c r="AP3888" s="28"/>
      <c r="AQ3888" s="28" t="n">
        <f aca="false">AP3888*$M3888</f>
        <v>0</v>
      </c>
      <c r="AR3888" s="28"/>
      <c r="AS3888" s="28" t="n">
        <f aca="false">AR3888*$M3888</f>
        <v>0</v>
      </c>
      <c r="AT3888" s="28"/>
      <c r="AU3888" s="28" t="n">
        <f aca="false">AT3888*$M3888</f>
        <v>0</v>
      </c>
      <c r="AV3888" s="28"/>
      <c r="AW3888" s="28" t="n">
        <f aca="false">AV3888*$M3888</f>
        <v>0</v>
      </c>
      <c r="AX3888" s="28"/>
      <c r="AY3888" s="28" t="n">
        <f aca="false">AX3888*$M3888</f>
        <v>0</v>
      </c>
      <c r="AZ3888" s="30"/>
      <c r="BA3888" s="11"/>
      <c r="BB3888" s="31" t="n">
        <f aca="false">SUM(Q3888,S3888,U3888,W3888,Y3888,AA3888,AC3888,AE3888,AG3888,AI3888,AK3888,AM3888,AO3888,AQ3888,AS3888,AU3888,AW3888,AY3888)</f>
        <v>0</v>
      </c>
      <c r="BC3888" s="28" t="n">
        <f aca="false">BA3888-BB3888</f>
        <v>0</v>
      </c>
      <c r="BD3888" s="32" t="n">
        <f aca="false">SUM(P3888,R3888,T3888,V3888,X3888,Z3888,AB3888,AD3888,AF3888,AH3888,AJ3888,AL3888,AN3888,AP3888,AR3888,AT3888,AV3888,AX3888)</f>
        <v>0</v>
      </c>
      <c r="BE3888" s="33" t="n">
        <f aca="false">AZ3888-BD3888</f>
        <v>0</v>
      </c>
      <c r="BF3888" s="34" t="n">
        <f aca="false">BD3888*M3888</f>
        <v>0</v>
      </c>
      <c r="BG3888" s="35" t="n">
        <f aca="false">BA3888-BF3888</f>
        <v>0</v>
      </c>
      <c r="BH3888" s="19" t="str">
        <f aca="false">IF(BG3888=0,"",IF(BG3888&lt;&gt;BA3888,"erreur de calcul",IF(BD3888&lt;&gt;0,"pas de prix",IF(M3888&lt;&gt; 0,"pas de quantité","pas de prix, ni de quantité"))))</f>
        <v/>
      </c>
      <c r="BI3888" s="19"/>
    </row>
    <row r="3889" customFormat="false" ht="15" hidden="false" customHeight="false" outlineLevel="0" collapsed="false">
      <c r="A3889" s="0" t="n">
        <v>26</v>
      </c>
      <c r="B3889" s="8" t="s">
        <v>24</v>
      </c>
      <c r="C3889" s="9" t="s">
        <v>25</v>
      </c>
      <c r="D3889" s="9" t="s">
        <v>26</v>
      </c>
      <c r="E3889" s="10" t="n">
        <v>1789</v>
      </c>
      <c r="F3889" s="9" t="s">
        <v>27</v>
      </c>
      <c r="G3889" s="9" t="s">
        <v>27</v>
      </c>
      <c r="H3889" s="11" t="n">
        <v>18</v>
      </c>
      <c r="I3889" s="11" t="s">
        <v>99</v>
      </c>
      <c r="J3889" s="14" t="n">
        <v>12</v>
      </c>
      <c r="K3889" s="14"/>
      <c r="L3889" s="16"/>
      <c r="M3889" s="27" t="n">
        <f aca="false">J3889+(K3889/20)+(L3889/240)</f>
        <v>12</v>
      </c>
      <c r="N3889" s="17" t="s">
        <v>64</v>
      </c>
      <c r="O3889" s="11"/>
      <c r="P3889" s="28" t="n">
        <f aca="false">7077/100</f>
        <v>70.77</v>
      </c>
      <c r="Q3889" s="28" t="n">
        <v>849</v>
      </c>
      <c r="R3889" s="28"/>
      <c r="S3889" s="28" t="n">
        <f aca="false">R3889*$M3889</f>
        <v>0</v>
      </c>
      <c r="T3889" s="28"/>
      <c r="U3889" s="28" t="n">
        <f aca="false">T3889*$M3889</f>
        <v>0</v>
      </c>
      <c r="V3889" s="28"/>
      <c r="W3889" s="28" t="n">
        <f aca="false">V3889*$M3889</f>
        <v>0</v>
      </c>
      <c r="X3889" s="29"/>
      <c r="Y3889" s="28" t="n">
        <v>866</v>
      </c>
      <c r="Z3889" s="28"/>
      <c r="AA3889" s="28" t="n">
        <f aca="false">Z3889*$M3889</f>
        <v>0</v>
      </c>
      <c r="AB3889" s="28"/>
      <c r="AC3889" s="28" t="n">
        <f aca="false">AB3889*$M3889</f>
        <v>0</v>
      </c>
      <c r="AD3889" s="28"/>
      <c r="AE3889" s="28" t="n">
        <f aca="false">AD3889*$M3889</f>
        <v>0</v>
      </c>
      <c r="AF3889" s="28"/>
      <c r="AG3889" s="28" t="n">
        <f aca="false">AF3889*$M3889</f>
        <v>0</v>
      </c>
      <c r="AH3889" s="28"/>
      <c r="AI3889" s="28" t="n">
        <f aca="false">AH3889*$M3889</f>
        <v>0</v>
      </c>
      <c r="AJ3889" s="28"/>
      <c r="AK3889" s="28" t="n">
        <f aca="false">AJ3889*$M3889</f>
        <v>0</v>
      </c>
      <c r="AL3889" s="28"/>
      <c r="AM3889" s="28" t="n">
        <f aca="false">AL3889*$M3889</f>
        <v>0</v>
      </c>
      <c r="AN3889" s="28"/>
      <c r="AO3889" s="28" t="n">
        <f aca="false">AN3889*$M3889</f>
        <v>0</v>
      </c>
      <c r="AP3889" s="28"/>
      <c r="AQ3889" s="28" t="n">
        <f aca="false">AP3889*$M3889</f>
        <v>0</v>
      </c>
      <c r="AR3889" s="28"/>
      <c r="AS3889" s="28" t="n">
        <f aca="false">AR3889*$M3889</f>
        <v>0</v>
      </c>
      <c r="AT3889" s="28"/>
      <c r="AU3889" s="28" t="n">
        <f aca="false">AT3889*$M3889</f>
        <v>0</v>
      </c>
      <c r="AV3889" s="28"/>
      <c r="AW3889" s="28" t="n">
        <f aca="false">AV3889*$M3889</f>
        <v>0</v>
      </c>
      <c r="AX3889" s="28"/>
      <c r="AY3889" s="28" t="n">
        <f aca="false">AX3889*$M3889</f>
        <v>0</v>
      </c>
      <c r="AZ3889" s="30" t="n">
        <f aca="false">14294/100</f>
        <v>142.94</v>
      </c>
      <c r="BA3889" s="11" t="n">
        <v>1715</v>
      </c>
      <c r="BB3889" s="31" t="n">
        <f aca="false">SUM(Q3889,S3889,U3889,W3889,Y3889,AA3889,AC3889,AE3889,AG3889,AI3889,AK3889,AM3889,AO3889,AQ3889,AS3889,AU3889,AW3889,AY3889)</f>
        <v>1715</v>
      </c>
      <c r="BC3889" s="28" t="n">
        <f aca="false">BA3889-BB3889</f>
        <v>0</v>
      </c>
      <c r="BD3889" s="32" t="n">
        <f aca="false">SUM(P3889,R3889,T3889,V3889,X3889,Z3889,AB3889,AD3889,AF3889,AH3889,AJ3889,AL3889,AN3889,AP3889,AR3889,AT3889,AV3889,AX3889)</f>
        <v>70.77</v>
      </c>
      <c r="BE3889" s="33" t="n">
        <f aca="false">AZ3889-BD3889</f>
        <v>72.17</v>
      </c>
      <c r="BF3889" s="34" t="n">
        <f aca="false">BD3889*M3889</f>
        <v>849.24</v>
      </c>
      <c r="BG3889" s="35" t="n">
        <f aca="false">BA3889-BF3889</f>
        <v>865.76</v>
      </c>
      <c r="BH3889" s="19" t="str">
        <f aca="false">IF(BG3889=0,"",IF(BG3889&lt;&gt;BA3889,"erreur de calcul",IF(BD3889&lt;&gt;0,"pas de prix",IF(M3889&lt;&gt; 0,"pas de quantité","pas de prix, ni de quantité"))))</f>
        <v>erreur de calcul</v>
      </c>
      <c r="BI3889" s="19"/>
    </row>
    <row r="3890" customFormat="false" ht="15" hidden="false" customHeight="false" outlineLevel="0" collapsed="false">
      <c r="A3890" s="0" t="n">
        <v>27</v>
      </c>
      <c r="B3890" s="8" t="s">
        <v>24</v>
      </c>
      <c r="C3890" s="9" t="s">
        <v>25</v>
      </c>
      <c r="D3890" s="9" t="s">
        <v>26</v>
      </c>
      <c r="E3890" s="10" t="n">
        <v>1789</v>
      </c>
      <c r="F3890" s="9" t="s">
        <v>27</v>
      </c>
      <c r="G3890" s="9" t="s">
        <v>27</v>
      </c>
      <c r="H3890" s="11" t="n">
        <v>18</v>
      </c>
      <c r="I3890" s="11" t="s">
        <v>100</v>
      </c>
      <c r="J3890" s="14" t="n">
        <v>13</v>
      </c>
      <c r="K3890" s="14"/>
      <c r="L3890" s="16"/>
      <c r="M3890" s="27" t="n">
        <f aca="false">J3890+(K3890/20)+(L3890/240)</f>
        <v>13</v>
      </c>
      <c r="N3890" s="17" t="s">
        <v>64</v>
      </c>
      <c r="O3890" s="11"/>
      <c r="P3890" s="28"/>
      <c r="Q3890" s="28" t="n">
        <f aca="false">P3890*$M3890</f>
        <v>0</v>
      </c>
      <c r="R3890" s="28"/>
      <c r="S3890" s="28" t="n">
        <f aca="false">R3890*$M3890</f>
        <v>0</v>
      </c>
      <c r="T3890" s="28"/>
      <c r="U3890" s="28" t="n">
        <f aca="false">T3890*$M3890</f>
        <v>0</v>
      </c>
      <c r="V3890" s="28"/>
      <c r="W3890" s="28" t="n">
        <f aca="false">V3890*$M3890</f>
        <v>0</v>
      </c>
      <c r="X3890" s="29"/>
      <c r="Y3890" s="28" t="n">
        <f aca="false">X3890*$M3890</f>
        <v>0</v>
      </c>
      <c r="Z3890" s="28"/>
      <c r="AA3890" s="28" t="n">
        <f aca="false">Z3890*$M3890</f>
        <v>0</v>
      </c>
      <c r="AB3890" s="28"/>
      <c r="AC3890" s="28" t="n">
        <f aca="false">AB3890*$M3890</f>
        <v>0</v>
      </c>
      <c r="AD3890" s="28"/>
      <c r="AE3890" s="28" t="n">
        <f aca="false">AD3890*$M3890</f>
        <v>0</v>
      </c>
      <c r="AF3890" s="28"/>
      <c r="AG3890" s="28" t="n">
        <f aca="false">AF3890*$M3890</f>
        <v>0</v>
      </c>
      <c r="AH3890" s="28" t="n">
        <f aca="false">7819/100</f>
        <v>78.19</v>
      </c>
      <c r="AI3890" s="28" t="n">
        <v>1016</v>
      </c>
      <c r="AJ3890" s="28" t="n">
        <f aca="false">10382/100</f>
        <v>103.82</v>
      </c>
      <c r="AK3890" s="28" t="n">
        <v>1350</v>
      </c>
      <c r="AL3890" s="28"/>
      <c r="AM3890" s="28" t="n">
        <f aca="false">AL3890*$M3890</f>
        <v>0</v>
      </c>
      <c r="AN3890" s="28"/>
      <c r="AO3890" s="28" t="n">
        <f aca="false">AN3890*$M3890</f>
        <v>0</v>
      </c>
      <c r="AP3890" s="28"/>
      <c r="AQ3890" s="28" t="n">
        <f aca="false">AP3890*$M3890</f>
        <v>0</v>
      </c>
      <c r="AR3890" s="28"/>
      <c r="AS3890" s="28" t="n">
        <f aca="false">AR3890*$M3890</f>
        <v>0</v>
      </c>
      <c r="AT3890" s="28"/>
      <c r="AU3890" s="28" t="n">
        <f aca="false">AT3890*$M3890</f>
        <v>0</v>
      </c>
      <c r="AV3890" s="28"/>
      <c r="AW3890" s="28" t="n">
        <f aca="false">AV3890*$M3890</f>
        <v>0</v>
      </c>
      <c r="AX3890" s="28"/>
      <c r="AY3890" s="28" t="n">
        <f aca="false">AX3890*$M3890</f>
        <v>0</v>
      </c>
      <c r="AZ3890" s="30" t="n">
        <f aca="false">18201/100</f>
        <v>182.01</v>
      </c>
      <c r="BA3890" s="11" t="n">
        <v>2366</v>
      </c>
      <c r="BB3890" s="31" t="n">
        <f aca="false">SUM(Q3890,S3890,U3890,W3890,Y3890,AA3890,AC3890,AE3890,AG3890,AI3890,AK3890,AM3890,AO3890,AQ3890,AS3890,AU3890,AW3890,AY3890)</f>
        <v>2366</v>
      </c>
      <c r="BC3890" s="28" t="n">
        <f aca="false">BA3890-BB3890</f>
        <v>0</v>
      </c>
      <c r="BD3890" s="32" t="n">
        <f aca="false">SUM(P3890,R3890,T3890,V3890,X3890,Z3890,AB3890,AD3890,AF3890,AH3890,AJ3890,AL3890,AN3890,AP3890,AR3890,AT3890,AV3890,AX3890)</f>
        <v>182.01</v>
      </c>
      <c r="BE3890" s="33" t="n">
        <f aca="false">AZ3890-BD3890</f>
        <v>0</v>
      </c>
      <c r="BF3890" s="34" t="n">
        <f aca="false">BD3890*M3890</f>
        <v>2366.13</v>
      </c>
      <c r="BG3890" s="35" t="n">
        <f aca="false">BA3890-BF3890</f>
        <v>-0.130000000000109</v>
      </c>
      <c r="BH3890" s="19" t="str">
        <f aca="false">IF(BG3890=0,"",IF(BG3890&lt;&gt;BA3890,"erreur de calcul",IF(BD3890&lt;&gt;0,"pas de prix",IF(M3890&lt;&gt; 0,"pas de quantité","pas de prix, ni de quantité"))))</f>
        <v>erreur de calcul</v>
      </c>
      <c r="BI3890" s="19"/>
    </row>
    <row r="3891" customFormat="false" ht="15" hidden="false" customHeight="false" outlineLevel="0" collapsed="false">
      <c r="A3891" s="0" t="n">
        <v>28</v>
      </c>
      <c r="B3891" s="8" t="s">
        <v>24</v>
      </c>
      <c r="C3891" s="9" t="s">
        <v>25</v>
      </c>
      <c r="D3891" s="9" t="s">
        <v>26</v>
      </c>
      <c r="E3891" s="10" t="n">
        <v>1789</v>
      </c>
      <c r="F3891" s="9" t="s">
        <v>27</v>
      </c>
      <c r="G3891" s="9" t="s">
        <v>27</v>
      </c>
      <c r="H3891" s="11" t="n">
        <v>18</v>
      </c>
      <c r="I3891" s="11" t="s">
        <v>101</v>
      </c>
      <c r="J3891" s="14" t="n">
        <v>35</v>
      </c>
      <c r="K3891" s="14"/>
      <c r="L3891" s="16"/>
      <c r="M3891" s="27" t="n">
        <f aca="false">J3891+(K3891/20)+(L3891/240)</f>
        <v>35</v>
      </c>
      <c r="N3891" s="17" t="s">
        <v>64</v>
      </c>
      <c r="O3891" s="11"/>
      <c r="P3891" s="28"/>
      <c r="Q3891" s="28" t="n">
        <f aca="false">P3891*$M3891</f>
        <v>0</v>
      </c>
      <c r="R3891" s="28"/>
      <c r="S3891" s="28" t="n">
        <f aca="false">R3891*$M3891</f>
        <v>0</v>
      </c>
      <c r="T3891" s="28"/>
      <c r="U3891" s="28" t="n">
        <f aca="false">T3891*$M3891</f>
        <v>0</v>
      </c>
      <c r="V3891" s="28"/>
      <c r="W3891" s="28" t="n">
        <f aca="false">V3891*$M3891</f>
        <v>0</v>
      </c>
      <c r="X3891" s="29"/>
      <c r="Y3891" s="28" t="n">
        <f aca="false">X3891*$M3891</f>
        <v>0</v>
      </c>
      <c r="Z3891" s="28"/>
      <c r="AA3891" s="28" t="n">
        <f aca="false">Z3891*$M3891</f>
        <v>0</v>
      </c>
      <c r="AB3891" s="28"/>
      <c r="AC3891" s="28" t="n">
        <f aca="false">AB3891*$M3891</f>
        <v>0</v>
      </c>
      <c r="AD3891" s="28"/>
      <c r="AE3891" s="28" t="n">
        <f aca="false">AD3891*$M3891</f>
        <v>0</v>
      </c>
      <c r="AF3891" s="28"/>
      <c r="AG3891" s="28" t="n">
        <f aca="false">AF3891*$M3891</f>
        <v>0</v>
      </c>
      <c r="AH3891" s="28"/>
      <c r="AI3891" s="28" t="n">
        <f aca="false">AH3891*$M3891</f>
        <v>0</v>
      </c>
      <c r="AJ3891" s="28" t="n">
        <f aca="false">65277/100</f>
        <v>652.77</v>
      </c>
      <c r="AK3891" s="28" t="n">
        <v>22847</v>
      </c>
      <c r="AL3891" s="28"/>
      <c r="AM3891" s="28" t="n">
        <f aca="false">AL3891*$M3891</f>
        <v>0</v>
      </c>
      <c r="AN3891" s="28"/>
      <c r="AO3891" s="28" t="n">
        <f aca="false">AN3891*$M3891</f>
        <v>0</v>
      </c>
      <c r="AP3891" s="28"/>
      <c r="AQ3891" s="28" t="n">
        <f aca="false">AP3891*$M3891</f>
        <v>0</v>
      </c>
      <c r="AR3891" s="28"/>
      <c r="AS3891" s="28" t="n">
        <f aca="false">AR3891*$M3891</f>
        <v>0</v>
      </c>
      <c r="AT3891" s="28"/>
      <c r="AU3891" s="28" t="n">
        <f aca="false">AT3891*$M3891</f>
        <v>0</v>
      </c>
      <c r="AV3891" s="28"/>
      <c r="AW3891" s="28" t="n">
        <f aca="false">AV3891*$M3891</f>
        <v>0</v>
      </c>
      <c r="AX3891" s="28"/>
      <c r="AY3891" s="28" t="n">
        <f aca="false">AX3891*$M3891</f>
        <v>0</v>
      </c>
      <c r="AZ3891" s="30" t="n">
        <f aca="false">65277/100</f>
        <v>652.77</v>
      </c>
      <c r="BA3891" s="11" t="n">
        <v>22847</v>
      </c>
      <c r="BB3891" s="31" t="n">
        <f aca="false">SUM(Q3891,S3891,U3891,W3891,Y3891,AA3891,AC3891,AE3891,AG3891,AI3891,AK3891,AM3891,AO3891,AQ3891,AS3891,AU3891,AW3891,AY3891)</f>
        <v>22847</v>
      </c>
      <c r="BC3891" s="28" t="n">
        <f aca="false">BA3891-BB3891</f>
        <v>0</v>
      </c>
      <c r="BD3891" s="32" t="n">
        <f aca="false">SUM(P3891,R3891,T3891,V3891,X3891,Z3891,AB3891,AD3891,AF3891,AH3891,AJ3891,AL3891,AN3891,AP3891,AR3891,AT3891,AV3891,AX3891)</f>
        <v>652.77</v>
      </c>
      <c r="BE3891" s="33" t="n">
        <f aca="false">AZ3891-BD3891</f>
        <v>0</v>
      </c>
      <c r="BF3891" s="34" t="n">
        <f aca="false">BD3891*M3891</f>
        <v>22846.95</v>
      </c>
      <c r="BG3891" s="35" t="n">
        <f aca="false">BA3891-BF3891</f>
        <v>0.0499999999992724</v>
      </c>
      <c r="BH3891" s="19" t="str">
        <f aca="false">IF(BG3891=0,"",IF(BG3891&lt;&gt;BA3891,"erreur de calcul",IF(BD3891&lt;&gt;0,"pas de prix",IF(M3891&lt;&gt; 0,"pas de quantité","pas de prix, ni de quantité"))))</f>
        <v>erreur de calcul</v>
      </c>
      <c r="BI3891" s="19"/>
    </row>
    <row r="3892" customFormat="false" ht="16.65" hidden="false" customHeight="false" outlineLevel="0" collapsed="false">
      <c r="A3892" s="0" t="n">
        <v>29</v>
      </c>
      <c r="B3892" s="8" t="s">
        <v>24</v>
      </c>
      <c r="C3892" s="9" t="s">
        <v>25</v>
      </c>
      <c r="D3892" s="9" t="s">
        <v>26</v>
      </c>
      <c r="E3892" s="10" t="n">
        <v>1789</v>
      </c>
      <c r="F3892" s="9" t="s">
        <v>27</v>
      </c>
      <c r="G3892" s="9" t="s">
        <v>27</v>
      </c>
      <c r="H3892" s="11" t="n">
        <v>18</v>
      </c>
      <c r="I3892" s="11" t="s">
        <v>102</v>
      </c>
      <c r="J3892" s="14" t="n">
        <v>47</v>
      </c>
      <c r="K3892" s="14"/>
      <c r="L3892" s="16"/>
      <c r="M3892" s="27" t="n">
        <f aca="false">J3892+(K3892/20)+(L3892/240)</f>
        <v>47</v>
      </c>
      <c r="N3892" s="17" t="s">
        <v>64</v>
      </c>
      <c r="O3892" s="11"/>
      <c r="P3892" s="28" t="n">
        <f aca="false">8467/100</f>
        <v>84.67</v>
      </c>
      <c r="Q3892" s="28" t="n">
        <v>3979</v>
      </c>
      <c r="R3892" s="28"/>
      <c r="S3892" s="28" t="n">
        <f aca="false">R3892*$M3892</f>
        <v>0</v>
      </c>
      <c r="T3892" s="28"/>
      <c r="U3892" s="28" t="n">
        <f aca="false">T3892*$M3892</f>
        <v>0</v>
      </c>
      <c r="V3892" s="28"/>
      <c r="W3892" s="28" t="n">
        <f aca="false">V3892*$M3892</f>
        <v>0</v>
      </c>
      <c r="X3892" s="29"/>
      <c r="Y3892" s="28" t="n">
        <f aca="false">X3892*$M3892</f>
        <v>0</v>
      </c>
      <c r="Z3892" s="28"/>
      <c r="AA3892" s="28" t="n">
        <f aca="false">Z3892*$M3892</f>
        <v>0</v>
      </c>
      <c r="AB3892" s="28"/>
      <c r="AC3892" s="28" t="n">
        <f aca="false">AB3892*$M3892</f>
        <v>0</v>
      </c>
      <c r="AD3892" s="28"/>
      <c r="AE3892" s="28" t="n">
        <f aca="false">AD3892*$M3892</f>
        <v>0</v>
      </c>
      <c r="AF3892" s="28"/>
      <c r="AG3892" s="28" t="n">
        <f aca="false">AF3892*$M3892</f>
        <v>0</v>
      </c>
      <c r="AH3892" s="28"/>
      <c r="AI3892" s="28" t="n">
        <f aca="false">AH3892*$M3892</f>
        <v>0</v>
      </c>
      <c r="AJ3892" s="28"/>
      <c r="AK3892" s="28" t="n">
        <f aca="false">AJ3892*$M3892</f>
        <v>0</v>
      </c>
      <c r="AL3892" s="28"/>
      <c r="AM3892" s="28" t="n">
        <f aca="false">AL3892*$M3892</f>
        <v>0</v>
      </c>
      <c r="AN3892" s="28"/>
      <c r="AO3892" s="28" t="n">
        <f aca="false">AN3892*$M3892</f>
        <v>0</v>
      </c>
      <c r="AP3892" s="28"/>
      <c r="AQ3892" s="28" t="n">
        <f aca="false">AP3892*$M3892</f>
        <v>0</v>
      </c>
      <c r="AR3892" s="28"/>
      <c r="AS3892" s="28" t="n">
        <f aca="false">AR3892*$M3892</f>
        <v>0</v>
      </c>
      <c r="AT3892" s="28"/>
      <c r="AU3892" s="28" t="n">
        <f aca="false">AT3892*$M3892</f>
        <v>0</v>
      </c>
      <c r="AV3892" s="28"/>
      <c r="AW3892" s="28" t="n">
        <f aca="false">AV3892*$M3892</f>
        <v>0</v>
      </c>
      <c r="AX3892" s="28"/>
      <c r="AY3892" s="28" t="n">
        <f aca="false">AX3892*$M3892</f>
        <v>0</v>
      </c>
      <c r="AZ3892" s="30" t="n">
        <f aca="false">8467/100</f>
        <v>84.67</v>
      </c>
      <c r="BA3892" s="11" t="n">
        <v>3979</v>
      </c>
      <c r="BB3892" s="31" t="n">
        <f aca="false">SUM(Q3892,S3892,U3892,W3892,Y3892,AA3892,AC3892,AE3892,AG3892,AI3892,AK3892,AM3892,AO3892,AQ3892,AS3892,AU3892,AW3892,AY3892)</f>
        <v>3979</v>
      </c>
      <c r="BC3892" s="28" t="n">
        <f aca="false">BA3892-BB3892</f>
        <v>0</v>
      </c>
      <c r="BD3892" s="32" t="n">
        <f aca="false">SUM(P3892,R3892,T3892,V3892,X3892,Z3892,AB3892,AD3892,AF3892,AH3892,AJ3892,AL3892,AN3892,AP3892,AR3892,AT3892,AV3892,AX3892)</f>
        <v>84.67</v>
      </c>
      <c r="BE3892" s="33" t="n">
        <f aca="false">AZ3892-BD3892</f>
        <v>0</v>
      </c>
      <c r="BF3892" s="34" t="n">
        <f aca="false">BD3892*M3892</f>
        <v>3979.49</v>
      </c>
      <c r="BG3892" s="35" t="n">
        <f aca="false">BA3892-BF3892</f>
        <v>-0.490000000000237</v>
      </c>
      <c r="BH3892" s="19" t="str">
        <f aca="false">IF(BG3892=0,"",IF(BG3892&lt;&gt;BA3892,"erreur de calcul",IF(BD3892&lt;&gt;0,"pas de prix",IF(M3892&lt;&gt; 0,"pas de quantité","pas de prix, ni de quantité"))))</f>
        <v>erreur de calcul</v>
      </c>
      <c r="BI3892" s="19"/>
    </row>
    <row r="3893" customFormat="false" ht="15" hidden="false" customHeight="false" outlineLevel="0" collapsed="false">
      <c r="A3893" s="0" t="n">
        <v>30</v>
      </c>
      <c r="B3893" s="8" t="s">
        <v>24</v>
      </c>
      <c r="C3893" s="9" t="s">
        <v>25</v>
      </c>
      <c r="D3893" s="9" t="s">
        <v>26</v>
      </c>
      <c r="E3893" s="10" t="n">
        <v>1789</v>
      </c>
      <c r="F3893" s="9" t="s">
        <v>27</v>
      </c>
      <c r="G3893" s="9" t="s">
        <v>27</v>
      </c>
      <c r="H3893" s="11" t="n">
        <v>18</v>
      </c>
      <c r="I3893" s="11" t="s">
        <v>103</v>
      </c>
      <c r="J3893" s="14" t="n">
        <v>475</v>
      </c>
      <c r="K3893" s="14"/>
      <c r="L3893" s="16"/>
      <c r="M3893" s="27" t="n">
        <f aca="false">J3893+(K3893/20)+(L3893/240)</f>
        <v>475</v>
      </c>
      <c r="N3893" s="17" t="s">
        <v>64</v>
      </c>
      <c r="O3893" s="11"/>
      <c r="P3893" s="28"/>
      <c r="Q3893" s="28" t="n">
        <f aca="false">P3893*$M3893</f>
        <v>0</v>
      </c>
      <c r="R3893" s="28"/>
      <c r="S3893" s="28" t="n">
        <f aca="false">R3893*$M3893</f>
        <v>0</v>
      </c>
      <c r="T3893" s="28" t="n">
        <f aca="false">1746/100</f>
        <v>17.46</v>
      </c>
      <c r="U3893" s="28" t="n">
        <v>8293</v>
      </c>
      <c r="V3893" s="28"/>
      <c r="W3893" s="28" t="n">
        <f aca="false">V3893*$M3893</f>
        <v>0</v>
      </c>
      <c r="X3893" s="29"/>
      <c r="Y3893" s="28" t="n">
        <f aca="false">X3893*$M3893</f>
        <v>0</v>
      </c>
      <c r="Z3893" s="28"/>
      <c r="AA3893" s="28" t="n">
        <f aca="false">Z3893*$M3893</f>
        <v>0</v>
      </c>
      <c r="AB3893" s="28"/>
      <c r="AC3893" s="28" t="n">
        <f aca="false">AB3893*$M3893</f>
        <v>0</v>
      </c>
      <c r="AD3893" s="28"/>
      <c r="AE3893" s="28" t="n">
        <f aca="false">AD3893*$M3893</f>
        <v>0</v>
      </c>
      <c r="AF3893" s="28"/>
      <c r="AG3893" s="28" t="n">
        <f aca="false">AF3893*$M3893</f>
        <v>0</v>
      </c>
      <c r="AH3893" s="28" t="n">
        <f aca="false">1667/100</f>
        <v>16.67</v>
      </c>
      <c r="AI3893" s="28" t="n">
        <v>7918</v>
      </c>
      <c r="AJ3893" s="28"/>
      <c r="AK3893" s="28" t="n">
        <f aca="false">AJ3893*$M3893</f>
        <v>0</v>
      </c>
      <c r="AL3893" s="28"/>
      <c r="AM3893" s="28" t="n">
        <f aca="false">AL3893*$M3893</f>
        <v>0</v>
      </c>
      <c r="AN3893" s="28"/>
      <c r="AO3893" s="28" t="n">
        <f aca="false">AN3893*$M3893</f>
        <v>0</v>
      </c>
      <c r="AP3893" s="28"/>
      <c r="AQ3893" s="28" t="n">
        <f aca="false">AP3893*$M3893</f>
        <v>0</v>
      </c>
      <c r="AR3893" s="28"/>
      <c r="AS3893" s="28" t="n">
        <f aca="false">AR3893*$M3893</f>
        <v>0</v>
      </c>
      <c r="AT3893" s="28"/>
      <c r="AU3893" s="28" t="n">
        <f aca="false">AT3893*$M3893</f>
        <v>0</v>
      </c>
      <c r="AV3893" s="28"/>
      <c r="AW3893" s="28" t="n">
        <f aca="false">AV3893*$M3893</f>
        <v>0</v>
      </c>
      <c r="AX3893" s="28"/>
      <c r="AY3893" s="28" t="n">
        <f aca="false">AX3893*$M3893</f>
        <v>0</v>
      </c>
      <c r="AZ3893" s="30" t="n">
        <f aca="false">3413/100</f>
        <v>34.13</v>
      </c>
      <c r="BA3893" s="11" t="n">
        <v>16211</v>
      </c>
      <c r="BB3893" s="31" t="n">
        <f aca="false">SUM(Q3893,S3893,U3893,W3893,Y3893,AA3893,AC3893,AE3893,AG3893,AI3893,AK3893,AM3893,AO3893,AQ3893,AS3893,AU3893,AW3893,AY3893)</f>
        <v>16211</v>
      </c>
      <c r="BC3893" s="28" t="n">
        <f aca="false">BA3893-BB3893</f>
        <v>0</v>
      </c>
      <c r="BD3893" s="32" t="n">
        <f aca="false">SUM(P3893,R3893,T3893,V3893,X3893,Z3893,AB3893,AD3893,AF3893,AH3893,AJ3893,AL3893,AN3893,AP3893,AR3893,AT3893,AV3893,AX3893)</f>
        <v>34.13</v>
      </c>
      <c r="BE3893" s="33" t="n">
        <f aca="false">AZ3893-BD3893</f>
        <v>0</v>
      </c>
      <c r="BF3893" s="34" t="n">
        <f aca="false">BD3893*M3893</f>
        <v>16211.75</v>
      </c>
      <c r="BG3893" s="35" t="n">
        <f aca="false">BA3893-BF3893</f>
        <v>-0.750000000001819</v>
      </c>
      <c r="BH3893" s="19" t="str">
        <f aca="false">IF(BG3893=0,"",IF(BG3893&lt;&gt;BA3893,"erreur de calcul",IF(BD3893&lt;&gt;0,"pas de prix",IF(M3893&lt;&gt; 0,"pas de quantité","pas de prix, ni de quantité"))))</f>
        <v>erreur de calcul</v>
      </c>
      <c r="BI3893" s="19"/>
    </row>
    <row r="3894" customFormat="false" ht="15" hidden="false" customHeight="false" outlineLevel="0" collapsed="false">
      <c r="A3894" s="0" t="n">
        <v>31</v>
      </c>
      <c r="B3894" s="8" t="s">
        <v>24</v>
      </c>
      <c r="C3894" s="9" t="s">
        <v>25</v>
      </c>
      <c r="D3894" s="9" t="s">
        <v>26</v>
      </c>
      <c r="E3894" s="10" t="n">
        <v>1789</v>
      </c>
      <c r="F3894" s="9" t="s">
        <v>27</v>
      </c>
      <c r="G3894" s="9" t="s">
        <v>27</v>
      </c>
      <c r="H3894" s="11" t="n">
        <v>18</v>
      </c>
      <c r="I3894" s="11" t="s">
        <v>104</v>
      </c>
      <c r="J3894" s="14" t="n">
        <v>310</v>
      </c>
      <c r="K3894" s="14"/>
      <c r="L3894" s="16"/>
      <c r="M3894" s="27" t="n">
        <f aca="false">J3894+(K3894/20)+(L3894/240)</f>
        <v>310</v>
      </c>
      <c r="N3894" s="17" t="s">
        <v>64</v>
      </c>
      <c r="O3894" s="11"/>
      <c r="P3894" s="28"/>
      <c r="Q3894" s="28" t="n">
        <f aca="false">P3894*$M3894</f>
        <v>0</v>
      </c>
      <c r="R3894" s="28"/>
      <c r="S3894" s="28" t="n">
        <f aca="false">R3894*$M3894</f>
        <v>0</v>
      </c>
      <c r="T3894" s="28" t="n">
        <f aca="false">1087/100</f>
        <v>10.87</v>
      </c>
      <c r="U3894" s="28" t="n">
        <v>3370</v>
      </c>
      <c r="V3894" s="28" t="n">
        <f aca="false">285/100</f>
        <v>2.85</v>
      </c>
      <c r="W3894" s="28" t="n">
        <v>883</v>
      </c>
      <c r="X3894" s="29"/>
      <c r="Y3894" s="28" t="n">
        <f aca="false">X3894*$M3894</f>
        <v>0</v>
      </c>
      <c r="Z3894" s="28"/>
      <c r="AA3894" s="28" t="n">
        <f aca="false">Z3894*$M3894</f>
        <v>0</v>
      </c>
      <c r="AB3894" s="28"/>
      <c r="AC3894" s="28" t="n">
        <f aca="false">AB3894*$M3894</f>
        <v>0</v>
      </c>
      <c r="AD3894" s="28"/>
      <c r="AE3894" s="28" t="n">
        <f aca="false">AD3894*$M3894</f>
        <v>0</v>
      </c>
      <c r="AF3894" s="28"/>
      <c r="AG3894" s="28" t="n">
        <f aca="false">AF3894*$M3894</f>
        <v>0</v>
      </c>
      <c r="AH3894" s="28"/>
      <c r="AI3894" s="28" t="n">
        <f aca="false">AH3894*$M3894</f>
        <v>0</v>
      </c>
      <c r="AJ3894" s="28"/>
      <c r="AK3894" s="28" t="n">
        <f aca="false">AJ3894*$M3894</f>
        <v>0</v>
      </c>
      <c r="AL3894" s="28"/>
      <c r="AM3894" s="28" t="n">
        <f aca="false">AL3894*$M3894</f>
        <v>0</v>
      </c>
      <c r="AN3894" s="28"/>
      <c r="AO3894" s="28" t="n">
        <f aca="false">AN3894*$M3894</f>
        <v>0</v>
      </c>
      <c r="AP3894" s="28"/>
      <c r="AQ3894" s="28" t="n">
        <f aca="false">AP3894*$M3894</f>
        <v>0</v>
      </c>
      <c r="AR3894" s="28"/>
      <c r="AS3894" s="28" t="n">
        <f aca="false">AR3894*$M3894</f>
        <v>0</v>
      </c>
      <c r="AT3894" s="28"/>
      <c r="AU3894" s="28" t="n">
        <f aca="false">AT3894*$M3894</f>
        <v>0</v>
      </c>
      <c r="AV3894" s="28"/>
      <c r="AW3894" s="28" t="n">
        <f aca="false">AV3894*$M3894</f>
        <v>0</v>
      </c>
      <c r="AX3894" s="28"/>
      <c r="AY3894" s="28" t="n">
        <f aca="false">AX3894*$M3894</f>
        <v>0</v>
      </c>
      <c r="AZ3894" s="30" t="n">
        <f aca="false">1372/100</f>
        <v>13.72</v>
      </c>
      <c r="BA3894" s="11" t="n">
        <v>4253</v>
      </c>
      <c r="BB3894" s="31" t="n">
        <f aca="false">SUM(Q3894,S3894,U3894,W3894,Y3894,AA3894,AC3894,AE3894,AG3894,AI3894,AK3894,AM3894,AO3894,AQ3894,AS3894,AU3894,AW3894,AY3894)</f>
        <v>4253</v>
      </c>
      <c r="BC3894" s="28" t="n">
        <f aca="false">BA3894-BB3894</f>
        <v>0</v>
      </c>
      <c r="BD3894" s="32" t="n">
        <f aca="false">SUM(P3894,R3894,T3894,V3894,X3894,Z3894,AB3894,AD3894,AF3894,AH3894,AJ3894,AL3894,AN3894,AP3894,AR3894,AT3894,AV3894,AX3894)</f>
        <v>13.72</v>
      </c>
      <c r="BE3894" s="33" t="n">
        <f aca="false">AZ3894-BD3894</f>
        <v>0</v>
      </c>
      <c r="BF3894" s="34" t="n">
        <f aca="false">BD3894*M3894</f>
        <v>4253.2</v>
      </c>
      <c r="BG3894" s="35" t="n">
        <f aca="false">BA3894-BF3894</f>
        <v>-0.199999999999818</v>
      </c>
      <c r="BH3894" s="19" t="str">
        <f aca="false">IF(BG3894=0,"",IF(BG3894&lt;&gt;BA3894,"erreur de calcul",IF(BD3894&lt;&gt;0,"pas de prix",IF(M3894&lt;&gt; 0,"pas de quantité","pas de prix, ni de quantité"))))</f>
        <v>erreur de calcul</v>
      </c>
      <c r="BI3894" s="19"/>
    </row>
    <row r="3895" customFormat="false" ht="15" hidden="false" customHeight="false" outlineLevel="0" collapsed="false">
      <c r="A3895" s="0" t="n">
        <v>32</v>
      </c>
      <c r="B3895" s="8" t="s">
        <v>24</v>
      </c>
      <c r="C3895" s="9" t="s">
        <v>25</v>
      </c>
      <c r="D3895" s="9" t="s">
        <v>26</v>
      </c>
      <c r="E3895" s="10" t="n">
        <v>1789</v>
      </c>
      <c r="F3895" s="9" t="s">
        <v>27</v>
      </c>
      <c r="G3895" s="9" t="s">
        <v>27</v>
      </c>
      <c r="H3895" s="11" t="n">
        <v>18</v>
      </c>
      <c r="I3895" s="11" t="s">
        <v>105</v>
      </c>
      <c r="J3895" s="14" t="n">
        <v>570</v>
      </c>
      <c r="K3895" s="14"/>
      <c r="L3895" s="16"/>
      <c r="M3895" s="27" t="n">
        <f aca="false">J3895+(K3895/20)+(L3895/240)</f>
        <v>570</v>
      </c>
      <c r="N3895" s="17" t="s">
        <v>64</v>
      </c>
      <c r="O3895" s="11"/>
      <c r="P3895" s="28"/>
      <c r="Q3895" s="28" t="n">
        <f aca="false">P3895*$M3895</f>
        <v>0</v>
      </c>
      <c r="R3895" s="28"/>
      <c r="S3895" s="28" t="n">
        <f aca="false">R3895*$M3895</f>
        <v>0</v>
      </c>
      <c r="T3895" s="28" t="n">
        <f aca="false">7423/100</f>
        <v>74.23</v>
      </c>
      <c r="U3895" s="28" t="n">
        <v>42311</v>
      </c>
      <c r="V3895" s="28" t="n">
        <f aca="false">798/100</f>
        <v>7.98</v>
      </c>
      <c r="W3895" s="28" t="n">
        <v>4549</v>
      </c>
      <c r="X3895" s="29" t="n">
        <f aca="false">2068/100</f>
        <v>20.68</v>
      </c>
      <c r="Y3895" s="28" t="n">
        <v>8368</v>
      </c>
      <c r="Z3895" s="28"/>
      <c r="AA3895" s="28" t="n">
        <f aca="false">Z3895*$M3895</f>
        <v>0</v>
      </c>
      <c r="AB3895" s="28" t="n">
        <f aca="false">226/100</f>
        <v>2.26</v>
      </c>
      <c r="AC3895" s="28" t="n">
        <v>1288</v>
      </c>
      <c r="AD3895" s="28"/>
      <c r="AE3895" s="28" t="n">
        <f aca="false">AD3895*$M3895</f>
        <v>0</v>
      </c>
      <c r="AF3895" s="28"/>
      <c r="AG3895" s="28" t="n">
        <f aca="false">AF3895*$M3895</f>
        <v>0</v>
      </c>
      <c r="AH3895" s="28"/>
      <c r="AI3895" s="28" t="n">
        <f aca="false">AH3895*$M3895</f>
        <v>0</v>
      </c>
      <c r="AJ3895" s="28"/>
      <c r="AK3895" s="28" t="n">
        <f aca="false">AJ3895*$M3895</f>
        <v>0</v>
      </c>
      <c r="AL3895" s="28"/>
      <c r="AM3895" s="28" t="n">
        <f aca="false">AL3895*$M3895</f>
        <v>0</v>
      </c>
      <c r="AN3895" s="28"/>
      <c r="AO3895" s="28" t="n">
        <f aca="false">AN3895*$M3895</f>
        <v>0</v>
      </c>
      <c r="AP3895" s="28"/>
      <c r="AQ3895" s="28" t="n">
        <f aca="false">AP3895*$M3895</f>
        <v>0</v>
      </c>
      <c r="AR3895" s="28"/>
      <c r="AS3895" s="28" t="n">
        <f aca="false">AR3895*$M3895</f>
        <v>0</v>
      </c>
      <c r="AT3895" s="28"/>
      <c r="AU3895" s="28" t="n">
        <f aca="false">AT3895*$M3895</f>
        <v>0</v>
      </c>
      <c r="AV3895" s="28"/>
      <c r="AW3895" s="28" t="n">
        <f aca="false">AV3895*$M3895</f>
        <v>0</v>
      </c>
      <c r="AX3895" s="28"/>
      <c r="AY3895" s="28" t="n">
        <f aca="false">AX3895*$M3895</f>
        <v>0</v>
      </c>
      <c r="AZ3895" s="30" t="n">
        <f aca="false">10515/100</f>
        <v>105.15</v>
      </c>
      <c r="BA3895" s="11" t="n">
        <v>56516</v>
      </c>
      <c r="BB3895" s="31" t="n">
        <f aca="false">SUM(Q3895,S3895,U3895,W3895,Y3895,AA3895,AC3895,AE3895,AG3895,AI3895,AK3895,AM3895,AO3895,AQ3895,AS3895,AU3895,AW3895,AY3895)</f>
        <v>56516</v>
      </c>
      <c r="BC3895" s="28" t="n">
        <f aca="false">BA3895-BB3895</f>
        <v>0</v>
      </c>
      <c r="BD3895" s="32" t="n">
        <f aca="false">SUM(P3895,R3895,T3895,V3895,X3895,Z3895,AB3895,AD3895,AF3895,AH3895,AJ3895,AL3895,AN3895,AP3895,AR3895,AT3895,AV3895,AX3895)</f>
        <v>105.15</v>
      </c>
      <c r="BE3895" s="33" t="n">
        <f aca="false">AZ3895-BD3895</f>
        <v>0</v>
      </c>
      <c r="BF3895" s="34" t="n">
        <f aca="false">BD3895*M3895</f>
        <v>59935.5</v>
      </c>
      <c r="BG3895" s="35" t="n">
        <f aca="false">BA3895-BF3895</f>
        <v>-3419.5</v>
      </c>
      <c r="BH3895" s="19" t="str">
        <f aca="false">IF(BG3895=0,"",IF(BG3895&lt;&gt;BA3895,"erreur de calcul",IF(BD3895&lt;&gt;0,"pas de prix",IF(M3895&lt;&gt; 0,"pas de quantité","pas de prix, ni de quantité"))))</f>
        <v>erreur de calcul</v>
      </c>
      <c r="BI3895" s="19"/>
    </row>
    <row r="3896" customFormat="false" ht="15" hidden="false" customHeight="false" outlineLevel="0" collapsed="false">
      <c r="A3896" s="0" t="n">
        <v>33</v>
      </c>
      <c r="B3896" s="8" t="s">
        <v>24</v>
      </c>
      <c r="C3896" s="9" t="s">
        <v>25</v>
      </c>
      <c r="D3896" s="9" t="s">
        <v>26</v>
      </c>
      <c r="E3896" s="10" t="n">
        <v>1789</v>
      </c>
      <c r="F3896" s="9" t="s">
        <v>27</v>
      </c>
      <c r="G3896" s="9" t="s">
        <v>27</v>
      </c>
      <c r="H3896" s="11" t="n">
        <v>18</v>
      </c>
      <c r="I3896" s="11" t="s">
        <v>106</v>
      </c>
      <c r="J3896" s="14"/>
      <c r="K3896" s="14" t="n">
        <v>40</v>
      </c>
      <c r="L3896" s="16"/>
      <c r="M3896" s="27" t="n">
        <f aca="false">J3896+(K3896/20)+(L3896/240)</f>
        <v>2</v>
      </c>
      <c r="N3896" s="17" t="s">
        <v>66</v>
      </c>
      <c r="O3896" s="11"/>
      <c r="P3896" s="28"/>
      <c r="Q3896" s="28" t="n">
        <f aca="false">P3896*$M3896</f>
        <v>0</v>
      </c>
      <c r="R3896" s="28"/>
      <c r="S3896" s="28" t="n">
        <f aca="false">R3896*$M3896</f>
        <v>0</v>
      </c>
      <c r="T3896" s="28"/>
      <c r="U3896" s="28" t="n">
        <f aca="false">T3896*$M3896</f>
        <v>0</v>
      </c>
      <c r="V3896" s="28" t="n">
        <v>892</v>
      </c>
      <c r="W3896" s="28" t="n">
        <v>1784</v>
      </c>
      <c r="X3896" s="29"/>
      <c r="Y3896" s="28" t="n">
        <f aca="false">X3896*$M3896</f>
        <v>0</v>
      </c>
      <c r="Z3896" s="28"/>
      <c r="AA3896" s="28" t="n">
        <f aca="false">Z3896*$M3896</f>
        <v>0</v>
      </c>
      <c r="AB3896" s="28"/>
      <c r="AC3896" s="28" t="n">
        <f aca="false">AB3896*$M3896</f>
        <v>0</v>
      </c>
      <c r="AD3896" s="28"/>
      <c r="AE3896" s="28" t="n">
        <f aca="false">AD3896*$M3896</f>
        <v>0</v>
      </c>
      <c r="AF3896" s="28"/>
      <c r="AG3896" s="28" t="n">
        <f aca="false">AF3896*$M3896</f>
        <v>0</v>
      </c>
      <c r="AH3896" s="28" t="n">
        <v>1961</v>
      </c>
      <c r="AI3896" s="28" t="n">
        <v>3922</v>
      </c>
      <c r="AJ3896" s="28"/>
      <c r="AK3896" s="28" t="n">
        <f aca="false">AJ3896*$M3896</f>
        <v>0</v>
      </c>
      <c r="AL3896" s="28"/>
      <c r="AM3896" s="28" t="n">
        <f aca="false">AL3896*$M3896</f>
        <v>0</v>
      </c>
      <c r="AN3896" s="28"/>
      <c r="AO3896" s="28" t="n">
        <f aca="false">AN3896*$M3896</f>
        <v>0</v>
      </c>
      <c r="AP3896" s="28"/>
      <c r="AQ3896" s="28" t="n">
        <f aca="false">AP3896*$M3896</f>
        <v>0</v>
      </c>
      <c r="AR3896" s="28"/>
      <c r="AS3896" s="28" t="n">
        <f aca="false">AR3896*$M3896</f>
        <v>0</v>
      </c>
      <c r="AT3896" s="28"/>
      <c r="AU3896" s="28" t="n">
        <f aca="false">AT3896*$M3896</f>
        <v>0</v>
      </c>
      <c r="AV3896" s="28"/>
      <c r="AW3896" s="28" t="n">
        <f aca="false">AV3896*$M3896</f>
        <v>0</v>
      </c>
      <c r="AX3896" s="28"/>
      <c r="AY3896" s="28" t="n">
        <f aca="false">AX3896*$M3896</f>
        <v>0</v>
      </c>
      <c r="AZ3896" s="30" t="n">
        <v>2853</v>
      </c>
      <c r="BA3896" s="11" t="n">
        <v>5706</v>
      </c>
      <c r="BB3896" s="31" t="n">
        <f aca="false">SUM(Q3896,S3896,U3896,W3896,Y3896,AA3896,AC3896,AE3896,AG3896,AI3896,AK3896,AM3896,AO3896,AQ3896,AS3896,AU3896,AW3896,AY3896)</f>
        <v>5706</v>
      </c>
      <c r="BC3896" s="28" t="n">
        <f aca="false">BA3896-BB3896</f>
        <v>0</v>
      </c>
      <c r="BD3896" s="32" t="n">
        <f aca="false">SUM(P3896,R3896,T3896,V3896,X3896,Z3896,AB3896,AD3896,AF3896,AH3896,AJ3896,AL3896,AN3896,AP3896,AR3896,AT3896,AV3896,AX3896)</f>
        <v>2853</v>
      </c>
      <c r="BE3896" s="33" t="n">
        <f aca="false">AZ3896-BD3896</f>
        <v>0</v>
      </c>
      <c r="BF3896" s="34" t="n">
        <f aca="false">BD3896*M3896</f>
        <v>5706</v>
      </c>
      <c r="BG3896" s="35" t="n">
        <f aca="false">BA3896-BF3896</f>
        <v>0</v>
      </c>
      <c r="BH3896" s="19" t="str">
        <f aca="false">IF(BG3896=0,"",IF(BG3896&lt;&gt;BA3896,"erreur de calcul",IF(BD3896&lt;&gt;0,"pas de prix",IF(M3896&lt;&gt; 0,"pas de quantité","pas de prix, ni de quantité"))))</f>
        <v/>
      </c>
      <c r="BI3896" s="19"/>
    </row>
    <row r="3897" customFormat="false" ht="15" hidden="false" customHeight="false" outlineLevel="0" collapsed="false">
      <c r="A3897" s="0" t="n">
        <v>34</v>
      </c>
      <c r="B3897" s="8" t="s">
        <v>24</v>
      </c>
      <c r="C3897" s="9" t="s">
        <v>25</v>
      </c>
      <c r="D3897" s="9" t="s">
        <v>26</v>
      </c>
      <c r="E3897" s="10" t="n">
        <v>1789</v>
      </c>
      <c r="F3897" s="9" t="s">
        <v>27</v>
      </c>
      <c r="G3897" s="9" t="s">
        <v>27</v>
      </c>
      <c r="H3897" s="11" t="n">
        <v>18</v>
      </c>
      <c r="I3897" s="11" t="s">
        <v>107</v>
      </c>
      <c r="J3897" s="14" t="n">
        <v>180</v>
      </c>
      <c r="K3897" s="14"/>
      <c r="L3897" s="16"/>
      <c r="M3897" s="27" t="n">
        <f aca="false">J3897+(K3897/20)+(L3897/240)</f>
        <v>180</v>
      </c>
      <c r="N3897" s="17" t="s">
        <v>64</v>
      </c>
      <c r="O3897" s="11"/>
      <c r="P3897" s="28"/>
      <c r="Q3897" s="28" t="n">
        <f aca="false">P3897*$M3897</f>
        <v>0</v>
      </c>
      <c r="R3897" s="28"/>
      <c r="S3897" s="28" t="n">
        <f aca="false">R3897*$M3897</f>
        <v>0</v>
      </c>
      <c r="T3897" s="28"/>
      <c r="U3897" s="28" t="n">
        <f aca="false">T3897*$M3897</f>
        <v>0</v>
      </c>
      <c r="V3897" s="28"/>
      <c r="W3897" s="28" t="n">
        <f aca="false">V3897*$M3897</f>
        <v>0</v>
      </c>
      <c r="X3897" s="29"/>
      <c r="Y3897" s="28" t="n">
        <f aca="false">X3897*$M3897</f>
        <v>0</v>
      </c>
      <c r="Z3897" s="28"/>
      <c r="AA3897" s="28" t="n">
        <f aca="false">Z3897*$M3897</f>
        <v>0</v>
      </c>
      <c r="AB3897" s="28"/>
      <c r="AC3897" s="28" t="n">
        <f aca="false">AB3897*$M3897</f>
        <v>0</v>
      </c>
      <c r="AD3897" s="28"/>
      <c r="AE3897" s="28" t="n">
        <f aca="false">AD3897*$M3897</f>
        <v>0</v>
      </c>
      <c r="AF3897" s="28"/>
      <c r="AG3897" s="28" t="n">
        <f aca="false">AF3897*$M3897</f>
        <v>0</v>
      </c>
      <c r="AH3897" s="28" t="n">
        <f aca="false">28680/100</f>
        <v>286.8</v>
      </c>
      <c r="AI3897" s="28" t="n">
        <v>51624</v>
      </c>
      <c r="AJ3897" s="28"/>
      <c r="AK3897" s="28" t="n">
        <f aca="false">AJ3897*$M3897</f>
        <v>0</v>
      </c>
      <c r="AL3897" s="28"/>
      <c r="AM3897" s="28" t="n">
        <f aca="false">AL3897*$M3897</f>
        <v>0</v>
      </c>
      <c r="AN3897" s="28"/>
      <c r="AO3897" s="28" t="n">
        <f aca="false">AN3897*$M3897</f>
        <v>0</v>
      </c>
      <c r="AP3897" s="28"/>
      <c r="AQ3897" s="28" t="n">
        <f aca="false">AP3897*$M3897</f>
        <v>0</v>
      </c>
      <c r="AR3897" s="28"/>
      <c r="AS3897" s="28" t="n">
        <f aca="false">AR3897*$M3897</f>
        <v>0</v>
      </c>
      <c r="AT3897" s="28"/>
      <c r="AU3897" s="28" t="n">
        <f aca="false">AT3897*$M3897</f>
        <v>0</v>
      </c>
      <c r="AV3897" s="28"/>
      <c r="AW3897" s="28" t="n">
        <f aca="false">AV3897*$M3897</f>
        <v>0</v>
      </c>
      <c r="AX3897" s="28"/>
      <c r="AY3897" s="28" t="n">
        <f aca="false">AX3897*$M3897</f>
        <v>0</v>
      </c>
      <c r="AZ3897" s="30" t="n">
        <f aca="false">28680/100</f>
        <v>286.8</v>
      </c>
      <c r="BA3897" s="11" t="n">
        <v>51624</v>
      </c>
      <c r="BB3897" s="31" t="n">
        <f aca="false">SUM(Q3897,S3897,U3897,W3897,Y3897,AA3897,AC3897,AE3897,AG3897,AI3897,AK3897,AM3897,AO3897,AQ3897,AS3897,AU3897,AW3897,AY3897)</f>
        <v>51624</v>
      </c>
      <c r="BC3897" s="28" t="n">
        <f aca="false">BA3897-BB3897</f>
        <v>0</v>
      </c>
      <c r="BD3897" s="32" t="n">
        <f aca="false">SUM(P3897,R3897,T3897,V3897,X3897,Z3897,AB3897,AD3897,AF3897,AH3897,AJ3897,AL3897,AN3897,AP3897,AR3897,AT3897,AV3897,AX3897)</f>
        <v>286.8</v>
      </c>
      <c r="BE3897" s="33" t="n">
        <f aca="false">AZ3897-BD3897</f>
        <v>0</v>
      </c>
      <c r="BF3897" s="34" t="n">
        <f aca="false">BD3897*M3897</f>
        <v>51624</v>
      </c>
      <c r="BG3897" s="35" t="n">
        <f aca="false">BA3897-BF3897</f>
        <v>0</v>
      </c>
      <c r="BH3897" s="19" t="str">
        <f aca="false">IF(BG3897=0,"",IF(BG3897&lt;&gt;BA3897,"erreur de calcul",IF(BD3897&lt;&gt;0,"pas de prix",IF(M3897&lt;&gt; 0,"pas de quantité","pas de prix, ni de quantité"))))</f>
        <v/>
      </c>
      <c r="BI3897" s="19"/>
    </row>
    <row r="3898" customFormat="false" ht="15" hidden="false" customHeight="false" outlineLevel="0" collapsed="false">
      <c r="A3898" s="0" t="n">
        <v>35</v>
      </c>
      <c r="B3898" s="8" t="s">
        <v>24</v>
      </c>
      <c r="C3898" s="9" t="s">
        <v>25</v>
      </c>
      <c r="D3898" s="9" t="s">
        <v>26</v>
      </c>
      <c r="E3898" s="10" t="n">
        <v>1789</v>
      </c>
      <c r="F3898" s="9" t="s">
        <v>27</v>
      </c>
      <c r="G3898" s="9" t="s">
        <v>27</v>
      </c>
      <c r="H3898" s="11" t="n">
        <v>18</v>
      </c>
      <c r="I3898" s="11" t="s">
        <v>108</v>
      </c>
      <c r="J3898" s="14" t="n">
        <v>11</v>
      </c>
      <c r="K3898" s="14"/>
      <c r="L3898" s="16"/>
      <c r="M3898" s="27" t="n">
        <f aca="false">J3898+(K3898/20)+(L3898/240)</f>
        <v>11</v>
      </c>
      <c r="N3898" s="17" t="s">
        <v>64</v>
      </c>
      <c r="O3898" s="11" t="s">
        <v>109</v>
      </c>
      <c r="P3898" s="28"/>
      <c r="Q3898" s="28" t="n">
        <f aca="false">P3898*$M3898</f>
        <v>0</v>
      </c>
      <c r="R3898" s="28"/>
      <c r="S3898" s="28" t="n">
        <f aca="false">R3898*$M3898</f>
        <v>0</v>
      </c>
      <c r="T3898" s="28"/>
      <c r="U3898" s="28" t="n">
        <f aca="false">T3898*$M3898</f>
        <v>0</v>
      </c>
      <c r="V3898" s="28"/>
      <c r="W3898" s="28" t="n">
        <f aca="false">V3898*$M3898</f>
        <v>0</v>
      </c>
      <c r="X3898" s="29"/>
      <c r="Y3898" s="28" t="n">
        <f aca="false">X3898*$M3898</f>
        <v>0</v>
      </c>
      <c r="Z3898" s="28"/>
      <c r="AA3898" s="28" t="n">
        <f aca="false">Z3898*$M3898</f>
        <v>0</v>
      </c>
      <c r="AB3898" s="28"/>
      <c r="AC3898" s="28" t="n">
        <f aca="false">AB3898*$M3898</f>
        <v>0</v>
      </c>
      <c r="AD3898" s="28"/>
      <c r="AE3898" s="28" t="n">
        <f aca="false">AD3898*$M3898</f>
        <v>0</v>
      </c>
      <c r="AF3898" s="28"/>
      <c r="AG3898" s="28" t="n">
        <f aca="false">AF3898*$M3898</f>
        <v>0</v>
      </c>
      <c r="AH3898" s="28"/>
      <c r="AI3898" s="28" t="n">
        <f aca="false">AH3898*$M3898</f>
        <v>0</v>
      </c>
      <c r="AJ3898" s="28" t="n">
        <f aca="false">1784/100</f>
        <v>17.84</v>
      </c>
      <c r="AK3898" s="28" t="n">
        <v>196</v>
      </c>
      <c r="AL3898" s="28" t="n">
        <f aca="false">7942/100</f>
        <v>79.42</v>
      </c>
      <c r="AM3898" s="28" t="n">
        <v>874</v>
      </c>
      <c r="AN3898" s="28"/>
      <c r="AO3898" s="28" t="n">
        <f aca="false">AN3898*$M3898</f>
        <v>0</v>
      </c>
      <c r="AP3898" s="28" t="n">
        <f aca="false">13980/100</f>
        <v>139.8</v>
      </c>
      <c r="AQ3898" s="28" t="n">
        <v>1538</v>
      </c>
      <c r="AR3898" s="28" t="n">
        <f aca="false">96390/100</f>
        <v>963.9</v>
      </c>
      <c r="AS3898" s="28" t="n">
        <v>10603</v>
      </c>
      <c r="AT3898" s="28"/>
      <c r="AU3898" s="28" t="n">
        <f aca="false">AT3898*$M3898</f>
        <v>0</v>
      </c>
      <c r="AV3898" s="28"/>
      <c r="AW3898" s="28" t="n">
        <f aca="false">AV3898*$M3898</f>
        <v>0</v>
      </c>
      <c r="AX3898" s="28"/>
      <c r="AY3898" s="28" t="n">
        <f aca="false">AX3898*$M3898</f>
        <v>0</v>
      </c>
      <c r="AZ3898" s="30" t="n">
        <f aca="false">120096/100</f>
        <v>1200.96</v>
      </c>
      <c r="BA3898" s="11" t="n">
        <v>13211</v>
      </c>
      <c r="BB3898" s="31" t="n">
        <f aca="false">SUM(Q3898,S3898,U3898,W3898,Y3898,AA3898,AC3898,AE3898,AG3898,AI3898,AK3898,AM3898,AO3898,AQ3898,AS3898,AU3898,AW3898,AY3898)</f>
        <v>13211</v>
      </c>
      <c r="BC3898" s="28" t="n">
        <f aca="false">BA3898-BB3898</f>
        <v>0</v>
      </c>
      <c r="BD3898" s="32" t="n">
        <f aca="false">SUM(P3898,R3898,T3898,V3898,X3898,Z3898,AB3898,AD3898,AF3898,AH3898,AJ3898,AL3898,AN3898,AP3898,AR3898,AT3898,AV3898,AX3898)</f>
        <v>1200.96</v>
      </c>
      <c r="BE3898" s="33" t="n">
        <f aca="false">AZ3898-BD3898</f>
        <v>0</v>
      </c>
      <c r="BF3898" s="34" t="n">
        <f aca="false">BD3898*M3898</f>
        <v>13210.56</v>
      </c>
      <c r="BG3898" s="35" t="n">
        <f aca="false">BA3898-BF3898</f>
        <v>0.43999999999869</v>
      </c>
      <c r="BH3898" s="19" t="str">
        <f aca="false">IF(BG3898=0,"",IF(BG3898&lt;&gt;BA3898,"erreur de calcul",IF(BD3898&lt;&gt;0,"pas de prix",IF(M3898&lt;&gt; 0,"pas de quantité","pas de prix, ni de quantité"))))</f>
        <v>erreur de calcul</v>
      </c>
      <c r="BI3898" s="19"/>
    </row>
    <row r="3899" customFormat="false" ht="15" hidden="false" customHeight="false" outlineLevel="0" collapsed="false">
      <c r="A3899" s="0" t="n">
        <v>36</v>
      </c>
      <c r="B3899" s="8" t="s">
        <v>24</v>
      </c>
      <c r="C3899" s="9" t="s">
        <v>25</v>
      </c>
      <c r="D3899" s="9" t="s">
        <v>26</v>
      </c>
      <c r="E3899" s="10" t="n">
        <v>1789</v>
      </c>
      <c r="F3899" s="9" t="s">
        <v>27</v>
      </c>
      <c r="G3899" s="9" t="s">
        <v>27</v>
      </c>
      <c r="H3899" s="11" t="n">
        <v>18</v>
      </c>
      <c r="I3899" s="11" t="s">
        <v>110</v>
      </c>
      <c r="J3899" s="14" t="n">
        <v>12</v>
      </c>
      <c r="K3899" s="14"/>
      <c r="L3899" s="16"/>
      <c r="M3899" s="27" t="n">
        <f aca="false">J3899+(K3899/20)+(L3899/240)</f>
        <v>12</v>
      </c>
      <c r="N3899" s="17" t="s">
        <v>64</v>
      </c>
      <c r="O3899" s="11" t="s">
        <v>109</v>
      </c>
      <c r="P3899" s="28" t="n">
        <f aca="false">30663/100</f>
        <v>306.63</v>
      </c>
      <c r="Q3899" s="28" t="n">
        <v>3679</v>
      </c>
      <c r="R3899" s="28"/>
      <c r="S3899" s="28" t="n">
        <f aca="false">R3899*$M3899</f>
        <v>0</v>
      </c>
      <c r="T3899" s="28"/>
      <c r="U3899" s="28" t="n">
        <f aca="false">T3899*$M3899</f>
        <v>0</v>
      </c>
      <c r="V3899" s="28"/>
      <c r="W3899" s="28" t="n">
        <f aca="false">V3899*$M3899</f>
        <v>0</v>
      </c>
      <c r="X3899" s="29"/>
      <c r="Y3899" s="28" t="n">
        <f aca="false">X3899*$M3899</f>
        <v>0</v>
      </c>
      <c r="Z3899" s="28"/>
      <c r="AA3899" s="28" t="n">
        <f aca="false">Z3899*$M3899</f>
        <v>0</v>
      </c>
      <c r="AB3899" s="28"/>
      <c r="AC3899" s="28" t="n">
        <f aca="false">AB3899*$M3899</f>
        <v>0</v>
      </c>
      <c r="AD3899" s="28"/>
      <c r="AE3899" s="28" t="n">
        <f aca="false">AD3899*$M3899</f>
        <v>0</v>
      </c>
      <c r="AF3899" s="28"/>
      <c r="AG3899" s="28" t="n">
        <f aca="false">AF3899*$M3899</f>
        <v>0</v>
      </c>
      <c r="AH3899" s="28"/>
      <c r="AI3899" s="28" t="n">
        <f aca="false">AH3899*$M3899</f>
        <v>0</v>
      </c>
      <c r="AJ3899" s="28"/>
      <c r="AK3899" s="28" t="n">
        <f aca="false">AJ3899*$M3899</f>
        <v>0</v>
      </c>
      <c r="AL3899" s="28" t="n">
        <f aca="false">114207/100</f>
        <v>1142.07</v>
      </c>
      <c r="AM3899" s="28" t="n">
        <v>13705</v>
      </c>
      <c r="AN3899" s="28" t="n">
        <f aca="false">2100/100</f>
        <v>21</v>
      </c>
      <c r="AO3899" s="28" t="n">
        <v>252</v>
      </c>
      <c r="AP3899" s="28" t="n">
        <f aca="false">16107/100</f>
        <v>161.07</v>
      </c>
      <c r="AQ3899" s="28" t="n">
        <v>1933</v>
      </c>
      <c r="AR3899" s="28" t="n">
        <f aca="false">553069/100</f>
        <v>5530.69</v>
      </c>
      <c r="AS3899" s="28" t="n">
        <v>66368</v>
      </c>
      <c r="AT3899" s="28" t="n">
        <f aca="false">6160/100</f>
        <v>61.6</v>
      </c>
      <c r="AU3899" s="28" t="n">
        <v>739</v>
      </c>
      <c r="AV3899" s="28" t="n">
        <f aca="false">2640/100</f>
        <v>26.4</v>
      </c>
      <c r="AW3899" s="28" t="n">
        <v>317</v>
      </c>
      <c r="AX3899" s="28" t="n">
        <f aca="false">8767/100</f>
        <v>87.67</v>
      </c>
      <c r="AY3899" s="36" t="n">
        <v>1085</v>
      </c>
      <c r="AZ3899" s="30" t="n">
        <f aca="false">733753/100</f>
        <v>7337.53</v>
      </c>
      <c r="BA3899" s="11" t="n">
        <v>88078</v>
      </c>
      <c r="BB3899" s="31" t="n">
        <f aca="false">SUM(Q3899,S3899,U3899,W3899,Y3899,AA3899,AC3899,AE3899,AG3899,AI3899,AK3899,AM3899,AO3899,AQ3899,AS3899,AU3899,AW3899,AY3899)</f>
        <v>88078</v>
      </c>
      <c r="BC3899" s="28" t="n">
        <f aca="false">BA3899-BB3899</f>
        <v>0</v>
      </c>
      <c r="BD3899" s="32" t="n">
        <f aca="false">SUM(P3899,R3899,T3899,V3899,X3899,Z3899,AB3899,AD3899,AF3899,AH3899,AJ3899,AL3899,AN3899,AP3899,AR3899,AT3899,AV3899,AX3899)</f>
        <v>7337.13</v>
      </c>
      <c r="BE3899" s="33" t="n">
        <f aca="false">AZ3899-BD3899</f>
        <v>0.400000000000546</v>
      </c>
      <c r="BF3899" s="34" t="n">
        <f aca="false">BD3899*M3899</f>
        <v>88045.56</v>
      </c>
      <c r="BG3899" s="35" t="n">
        <f aca="false">BA3899-BF3899</f>
        <v>32.4400000000023</v>
      </c>
      <c r="BH3899" s="19" t="str">
        <f aca="false">IF(BG3899=0,"",IF(BG3899&lt;&gt;BA3899,"erreur de calcul",IF(BD3899&lt;&gt;0,"pas de prix",IF(M3899&lt;&gt; 0,"pas de quantité","pas de prix, ni de quantité"))))</f>
        <v>erreur de calcul</v>
      </c>
      <c r="BI3899" s="19"/>
    </row>
    <row r="3900" customFormat="false" ht="15" hidden="false" customHeight="false" outlineLevel="0" collapsed="false">
      <c r="A3900" s="0" t="n">
        <v>37</v>
      </c>
      <c r="B3900" s="8" t="s">
        <v>24</v>
      </c>
      <c r="C3900" s="9" t="s">
        <v>25</v>
      </c>
      <c r="D3900" s="9" t="s">
        <v>26</v>
      </c>
      <c r="E3900" s="10" t="n">
        <v>1789</v>
      </c>
      <c r="F3900" s="9" t="s">
        <v>27</v>
      </c>
      <c r="G3900" s="9" t="s">
        <v>27</v>
      </c>
      <c r="H3900" s="11" t="n">
        <v>18</v>
      </c>
      <c r="I3900" s="11" t="s">
        <v>111</v>
      </c>
      <c r="J3900" s="14" t="n">
        <v>10</v>
      </c>
      <c r="K3900" s="14"/>
      <c r="L3900" s="16"/>
      <c r="M3900" s="27" t="n">
        <f aca="false">J3900+(K3900/20)+(L3900/240)</f>
        <v>10</v>
      </c>
      <c r="N3900" s="17" t="s">
        <v>64</v>
      </c>
      <c r="O3900" s="11"/>
      <c r="P3900" s="28"/>
      <c r="Q3900" s="28" t="n">
        <f aca="false">P3900*$M3900</f>
        <v>0</v>
      </c>
      <c r="R3900" s="28"/>
      <c r="S3900" s="28" t="n">
        <f aca="false">R3900*$M3900</f>
        <v>0</v>
      </c>
      <c r="T3900" s="28"/>
      <c r="U3900" s="28" t="n">
        <f aca="false">T3900*$M3900</f>
        <v>0</v>
      </c>
      <c r="V3900" s="28"/>
      <c r="W3900" s="28" t="n">
        <f aca="false">V3900*$M3900</f>
        <v>0</v>
      </c>
      <c r="X3900" s="29"/>
      <c r="Y3900" s="28" t="n">
        <f aca="false">X3900*$M3900</f>
        <v>0</v>
      </c>
      <c r="Z3900" s="28"/>
      <c r="AA3900" s="28" t="n">
        <f aca="false">Z3900*$M3900</f>
        <v>0</v>
      </c>
      <c r="AB3900" s="28"/>
      <c r="AC3900" s="28" t="n">
        <f aca="false">AB3900*$M3900</f>
        <v>0</v>
      </c>
      <c r="AD3900" s="28"/>
      <c r="AE3900" s="28" t="n">
        <f aca="false">AD3900*$M3900</f>
        <v>0</v>
      </c>
      <c r="AF3900" s="28"/>
      <c r="AG3900" s="28" t="n">
        <f aca="false">AF3900*$M3900</f>
        <v>0</v>
      </c>
      <c r="AH3900" s="28"/>
      <c r="AI3900" s="28" t="n">
        <f aca="false">AH3900*$M3900</f>
        <v>0</v>
      </c>
      <c r="AJ3900" s="28"/>
      <c r="AK3900" s="28" t="n">
        <f aca="false">AJ3900*$M3900</f>
        <v>0</v>
      </c>
      <c r="AL3900" s="28"/>
      <c r="AM3900" s="28" t="n">
        <f aca="false">AL3900*$M3900</f>
        <v>0</v>
      </c>
      <c r="AN3900" s="28"/>
      <c r="AO3900" s="28" t="n">
        <f aca="false">AN3900*$M3900</f>
        <v>0</v>
      </c>
      <c r="AP3900" s="28"/>
      <c r="AQ3900" s="28" t="n">
        <f aca="false">AP3900*$M3900</f>
        <v>0</v>
      </c>
      <c r="AR3900" s="28"/>
      <c r="AS3900" s="28" t="n">
        <f aca="false">AR3900*$M3900</f>
        <v>0</v>
      </c>
      <c r="AT3900" s="28"/>
      <c r="AU3900" s="28" t="n">
        <f aca="false">AT3900*$M3900</f>
        <v>0</v>
      </c>
      <c r="AV3900" s="28"/>
      <c r="AW3900" s="28" t="n">
        <f aca="false">AV3900*$M3900</f>
        <v>0</v>
      </c>
      <c r="AX3900" s="28" t="n">
        <f aca="false">16133/100</f>
        <v>161.33</v>
      </c>
      <c r="AY3900" s="28" t="n">
        <v>1613</v>
      </c>
      <c r="AZ3900" s="30"/>
      <c r="BA3900" s="11" t="n">
        <v>1613</v>
      </c>
      <c r="BB3900" s="31" t="n">
        <f aca="false">SUM(Q3900,S3900,U3900,W3900,Y3900,AA3900,AC3900,AE3900,AG3900,AI3900,AK3900,AM3900,AO3900,AQ3900,AS3900,AU3900,AW3900,AY3900)</f>
        <v>1613</v>
      </c>
      <c r="BC3900" s="28" t="n">
        <f aca="false">BA3900-BB3900</f>
        <v>0</v>
      </c>
      <c r="BD3900" s="32" t="n">
        <f aca="false">SUM(P3900,R3900,T3900,V3900,X3900,Z3900,AB3900,AD3900,AF3900,AH3900,AJ3900,AL3900,AN3900,AP3900,AR3900,AT3900,AV3900,AX3900)</f>
        <v>161.33</v>
      </c>
      <c r="BE3900" s="33" t="n">
        <f aca="false">AZ3900-BD3900</f>
        <v>-161.33</v>
      </c>
      <c r="BF3900" s="34" t="n">
        <f aca="false">BD3900*M3900</f>
        <v>1613.3</v>
      </c>
      <c r="BG3900" s="35" t="n">
        <f aca="false">BA3900-BF3900</f>
        <v>-0.300000000000182</v>
      </c>
      <c r="BH3900" s="19" t="str">
        <f aca="false">IF(BG3900=0,"",IF(BG3900&lt;&gt;BA3900,"erreur de calcul",IF(BD3900&lt;&gt;0,"pas de prix",IF(M3900&lt;&gt; 0,"pas de quantité","pas de prix, ni de quantité"))))</f>
        <v>erreur de calcul</v>
      </c>
      <c r="BI3900" s="19"/>
    </row>
    <row r="3901" customFormat="false" ht="15" hidden="false" customHeight="false" outlineLevel="0" collapsed="false">
      <c r="A3901" s="0" t="n">
        <v>38</v>
      </c>
      <c r="B3901" s="8" t="s">
        <v>24</v>
      </c>
      <c r="C3901" s="9" t="s">
        <v>25</v>
      </c>
      <c r="D3901" s="9" t="s">
        <v>26</v>
      </c>
      <c r="E3901" s="10" t="n">
        <v>1789</v>
      </c>
      <c r="F3901" s="9" t="s">
        <v>27</v>
      </c>
      <c r="G3901" s="9" t="s">
        <v>27</v>
      </c>
      <c r="H3901" s="11" t="n">
        <v>18</v>
      </c>
      <c r="I3901" s="11" t="s">
        <v>112</v>
      </c>
      <c r="J3901" s="14" t="n">
        <v>100</v>
      </c>
      <c r="K3901" s="14"/>
      <c r="L3901" s="16"/>
      <c r="M3901" s="27" t="n">
        <f aca="false">J3901+(K3901/20)+(L3901/240)</f>
        <v>100</v>
      </c>
      <c r="N3901" s="17" t="s">
        <v>64</v>
      </c>
      <c r="O3901" s="11"/>
      <c r="P3901" s="28" t="n">
        <f aca="false">69730/100</f>
        <v>697.3</v>
      </c>
      <c r="Q3901" s="28" t="n">
        <v>69730</v>
      </c>
      <c r="R3901" s="28"/>
      <c r="S3901" s="28" t="n">
        <f aca="false">R3901*$M3901</f>
        <v>0</v>
      </c>
      <c r="T3901" s="28"/>
      <c r="U3901" s="28" t="n">
        <f aca="false">T3901*$M3901</f>
        <v>0</v>
      </c>
      <c r="V3901" s="28"/>
      <c r="W3901" s="28" t="n">
        <f aca="false">V3901*$M3901</f>
        <v>0</v>
      </c>
      <c r="X3901" s="29"/>
      <c r="Y3901" s="28" t="n">
        <f aca="false">X3901*$M3901</f>
        <v>0</v>
      </c>
      <c r="Z3901" s="28"/>
      <c r="AA3901" s="28" t="n">
        <f aca="false">Z3901*$M3901</f>
        <v>0</v>
      </c>
      <c r="AB3901" s="28"/>
      <c r="AC3901" s="28" t="n">
        <f aca="false">AB3901*$M3901</f>
        <v>0</v>
      </c>
      <c r="AD3901" s="28"/>
      <c r="AE3901" s="28" t="n">
        <f aca="false">AD3901*$M3901</f>
        <v>0</v>
      </c>
      <c r="AF3901" s="28"/>
      <c r="AG3901" s="28" t="n">
        <f aca="false">AF3901*$M3901</f>
        <v>0</v>
      </c>
      <c r="AH3901" s="28"/>
      <c r="AI3901" s="28" t="n">
        <f aca="false">AH3901*$M3901</f>
        <v>0</v>
      </c>
      <c r="AJ3901" s="28"/>
      <c r="AK3901" s="28" t="n">
        <f aca="false">AJ3901*$M3901</f>
        <v>0</v>
      </c>
      <c r="AL3901" s="28"/>
      <c r="AM3901" s="28" t="n">
        <f aca="false">AL3901*$M3901</f>
        <v>0</v>
      </c>
      <c r="AN3901" s="28"/>
      <c r="AO3901" s="28" t="n">
        <f aca="false">AN3901*$M3901</f>
        <v>0</v>
      </c>
      <c r="AP3901" s="28"/>
      <c r="AQ3901" s="28" t="n">
        <f aca="false">AP3901*$M3901</f>
        <v>0</v>
      </c>
      <c r="AR3901" s="28"/>
      <c r="AS3901" s="28" t="n">
        <f aca="false">AR3901*$M3901</f>
        <v>0</v>
      </c>
      <c r="AT3901" s="28"/>
      <c r="AU3901" s="28" t="n">
        <f aca="false">AT3901*$M3901</f>
        <v>0</v>
      </c>
      <c r="AV3901" s="28"/>
      <c r="AW3901" s="28" t="n">
        <f aca="false">AV3901*$M3901</f>
        <v>0</v>
      </c>
      <c r="AX3901" s="28"/>
      <c r="AY3901" s="28" t="n">
        <f aca="false">AX3901*$M3901</f>
        <v>0</v>
      </c>
      <c r="AZ3901" s="30" t="n">
        <f aca="false">69730/100</f>
        <v>697.3</v>
      </c>
      <c r="BA3901" s="11" t="n">
        <v>69730</v>
      </c>
      <c r="BB3901" s="31" t="n">
        <f aca="false">SUM(Q3901,S3901,U3901,W3901,Y3901,AA3901,AC3901,AE3901,AG3901,AI3901,AK3901,AM3901,AO3901,AQ3901,AS3901,AU3901,AW3901,AY3901)</f>
        <v>69730</v>
      </c>
      <c r="BC3901" s="28" t="n">
        <f aca="false">BA3901-BB3901</f>
        <v>0</v>
      </c>
      <c r="BD3901" s="32" t="n">
        <f aca="false">SUM(P3901,R3901,T3901,V3901,X3901,Z3901,AB3901,AD3901,AF3901,AH3901,AJ3901,AL3901,AN3901,AP3901,AR3901,AT3901,AV3901,AX3901)</f>
        <v>697.3</v>
      </c>
      <c r="BE3901" s="33" t="n">
        <f aca="false">AZ3901-BD3901</f>
        <v>0</v>
      </c>
      <c r="BF3901" s="34" t="n">
        <f aca="false">BD3901*M3901</f>
        <v>69730</v>
      </c>
      <c r="BG3901" s="35" t="n">
        <f aca="false">BA3901-BF3901</f>
        <v>0</v>
      </c>
      <c r="BH3901" s="19" t="str">
        <f aca="false">IF(BG3901=0,"",IF(BG3901&lt;&gt;BA3901,"erreur de calcul",IF(BD3901&lt;&gt;0,"pas de prix",IF(M3901&lt;&gt; 0,"pas de quantité","pas de prix, ni de quantité"))))</f>
        <v/>
      </c>
      <c r="BI3901" s="19" t="s">
        <v>113</v>
      </c>
    </row>
    <row r="3902" customFormat="false" ht="15" hidden="false" customHeight="false" outlineLevel="0" collapsed="false">
      <c r="A3902" s="0" t="n">
        <v>39</v>
      </c>
      <c r="B3902" s="8" t="s">
        <v>24</v>
      </c>
      <c r="C3902" s="9" t="s">
        <v>25</v>
      </c>
      <c r="D3902" s="9" t="s">
        <v>26</v>
      </c>
      <c r="E3902" s="10" t="n">
        <v>1789</v>
      </c>
      <c r="F3902" s="9" t="s">
        <v>27</v>
      </c>
      <c r="G3902" s="9" t="s">
        <v>27</v>
      </c>
      <c r="H3902" s="11" t="n">
        <v>18</v>
      </c>
      <c r="I3902" s="11" t="s">
        <v>112</v>
      </c>
      <c r="J3902" s="14" t="n">
        <v>50</v>
      </c>
      <c r="K3902" s="14"/>
      <c r="L3902" s="16"/>
      <c r="M3902" s="27" t="n">
        <f aca="false">J3902+(K3902/20)+(L3902/240)</f>
        <v>50</v>
      </c>
      <c r="N3902" s="17" t="s">
        <v>64</v>
      </c>
      <c r="O3902" s="11"/>
      <c r="P3902" s="28"/>
      <c r="Q3902" s="28" t="n">
        <f aca="false">P3902*$M3902</f>
        <v>0</v>
      </c>
      <c r="R3902" s="28"/>
      <c r="S3902" s="28" t="n">
        <f aca="false">R3902*$M3902</f>
        <v>0</v>
      </c>
      <c r="T3902" s="28"/>
      <c r="U3902" s="28" t="n">
        <f aca="false">T3902*$M3902</f>
        <v>0</v>
      </c>
      <c r="V3902" s="28" t="n">
        <f aca="false">38043/100</f>
        <v>380.43</v>
      </c>
      <c r="W3902" s="28" t="n">
        <v>19021</v>
      </c>
      <c r="X3902" s="29" t="n">
        <f aca="false">10658/100</f>
        <v>106.58</v>
      </c>
      <c r="Y3902" s="28" t="n">
        <v>5329</v>
      </c>
      <c r="Z3902" s="28"/>
      <c r="AA3902" s="28" t="n">
        <f aca="false">Z3902*$M3902</f>
        <v>0</v>
      </c>
      <c r="AB3902" s="28"/>
      <c r="AC3902" s="28" t="n">
        <f aca="false">AB3902*$M3902</f>
        <v>0</v>
      </c>
      <c r="AD3902" s="28"/>
      <c r="AE3902" s="28" t="n">
        <f aca="false">AD3902*$M3902</f>
        <v>0</v>
      </c>
      <c r="AF3902" s="28"/>
      <c r="AG3902" s="28" t="n">
        <f aca="false">AF3902*$M3902</f>
        <v>0</v>
      </c>
      <c r="AH3902" s="28"/>
      <c r="AI3902" s="28" t="n">
        <f aca="false">AH3902*$M3902</f>
        <v>0</v>
      </c>
      <c r="AJ3902" s="28" t="n">
        <f aca="false">39321/100</f>
        <v>393.21</v>
      </c>
      <c r="AK3902" s="28" t="n">
        <v>19660</v>
      </c>
      <c r="AL3902" s="28"/>
      <c r="AM3902" s="28" t="n">
        <f aca="false">AL3902*$M3902</f>
        <v>0</v>
      </c>
      <c r="AN3902" s="28"/>
      <c r="AO3902" s="28" t="n">
        <f aca="false">AN3902*$M3902</f>
        <v>0</v>
      </c>
      <c r="AP3902" s="28"/>
      <c r="AQ3902" s="28" t="n">
        <f aca="false">AP3902*$M3902</f>
        <v>0</v>
      </c>
      <c r="AR3902" s="28"/>
      <c r="AS3902" s="28" t="n">
        <f aca="false">AR3902*$M3902</f>
        <v>0</v>
      </c>
      <c r="AT3902" s="28"/>
      <c r="AU3902" s="28" t="n">
        <f aca="false">AT3902*$M3902</f>
        <v>0</v>
      </c>
      <c r="AV3902" s="28"/>
      <c r="AW3902" s="28" t="n">
        <f aca="false">AV3902*$M3902</f>
        <v>0</v>
      </c>
      <c r="AX3902" s="28"/>
      <c r="AY3902" s="28" t="n">
        <f aca="false">AX3902*$M3902</f>
        <v>0</v>
      </c>
      <c r="AZ3902" s="30" t="n">
        <f aca="false">88022/100</f>
        <v>880.22</v>
      </c>
      <c r="BA3902" s="11" t="n">
        <v>44010</v>
      </c>
      <c r="BB3902" s="31" t="n">
        <f aca="false">SUM(Q3902,S3902,U3902,W3902,Y3902,AA3902,AC3902,AE3902,AG3902,AI3902,AK3902,AM3902,AO3902,AQ3902,AS3902,AU3902,AW3902,AY3902)</f>
        <v>44010</v>
      </c>
      <c r="BC3902" s="28" t="n">
        <f aca="false">BA3902-BB3902</f>
        <v>0</v>
      </c>
      <c r="BD3902" s="32" t="n">
        <f aca="false">SUM(P3902,R3902,T3902,V3902,X3902,Z3902,AB3902,AD3902,AF3902,AH3902,AJ3902,AL3902,AN3902,AP3902,AR3902,AT3902,AV3902,AX3902)</f>
        <v>880.22</v>
      </c>
      <c r="BE3902" s="33" t="n">
        <f aca="false">AZ3902-BD3902</f>
        <v>0</v>
      </c>
      <c r="BF3902" s="34" t="n">
        <f aca="false">BD3902*M3902</f>
        <v>44011</v>
      </c>
      <c r="BG3902" s="35" t="n">
        <f aca="false">BA3902-BF3902</f>
        <v>-1</v>
      </c>
      <c r="BH3902" s="19" t="str">
        <f aca="false">IF(BG3902=0,"",IF(BG3902&lt;&gt;BA3902,"erreur de calcul",IF(BD3902&lt;&gt;0,"pas de prix",IF(M3902&lt;&gt; 0,"pas de quantité","pas de prix, ni de quantité"))))</f>
        <v>erreur de calcul</v>
      </c>
      <c r="BI3902" s="19" t="s">
        <v>114</v>
      </c>
    </row>
    <row r="3903" customFormat="false" ht="15" hidden="false" customHeight="false" outlineLevel="0" collapsed="false">
      <c r="A3903" s="0" t="n">
        <v>40</v>
      </c>
      <c r="B3903" s="8" t="s">
        <v>24</v>
      </c>
      <c r="C3903" s="9" t="s">
        <v>25</v>
      </c>
      <c r="D3903" s="9" t="s">
        <v>26</v>
      </c>
      <c r="E3903" s="10" t="n">
        <v>1789</v>
      </c>
      <c r="F3903" s="9" t="s">
        <v>27</v>
      </c>
      <c r="G3903" s="9" t="s">
        <v>27</v>
      </c>
      <c r="H3903" s="11" t="n">
        <v>18</v>
      </c>
      <c r="I3903" s="11" t="s">
        <v>115</v>
      </c>
      <c r="J3903" s="14"/>
      <c r="K3903" s="14" t="n">
        <v>28</v>
      </c>
      <c r="L3903" s="16"/>
      <c r="M3903" s="27" t="n">
        <f aca="false">J3903+(K3903/20)+(L3903/240)</f>
        <v>1.4</v>
      </c>
      <c r="N3903" s="17" t="s">
        <v>66</v>
      </c>
      <c r="O3903" s="11" t="s">
        <v>98</v>
      </c>
      <c r="P3903" s="28"/>
      <c r="Q3903" s="28" t="n">
        <f aca="false">P3903*$M3903</f>
        <v>0</v>
      </c>
      <c r="R3903" s="28"/>
      <c r="S3903" s="28" t="n">
        <f aca="false">R3903*$M3903</f>
        <v>0</v>
      </c>
      <c r="T3903" s="28" t="n">
        <v>426</v>
      </c>
      <c r="U3903" s="28" t="n">
        <v>596</v>
      </c>
      <c r="V3903" s="28"/>
      <c r="W3903" s="28" t="n">
        <f aca="false">V3903*$M3903</f>
        <v>0</v>
      </c>
      <c r="X3903" s="29"/>
      <c r="Y3903" s="28" t="n">
        <f aca="false">X3903*$M3903</f>
        <v>0</v>
      </c>
      <c r="Z3903" s="28"/>
      <c r="AA3903" s="28" t="n">
        <f aca="false">Z3903*$M3903</f>
        <v>0</v>
      </c>
      <c r="AB3903" s="28"/>
      <c r="AC3903" s="28" t="n">
        <f aca="false">AB3903*$M3903</f>
        <v>0</v>
      </c>
      <c r="AD3903" s="28"/>
      <c r="AE3903" s="28" t="n">
        <f aca="false">AD3903*$M3903</f>
        <v>0</v>
      </c>
      <c r="AF3903" s="28"/>
      <c r="AG3903" s="28" t="n">
        <f aca="false">AF3903*$M3903</f>
        <v>0</v>
      </c>
      <c r="AH3903" s="28"/>
      <c r="AI3903" s="28" t="n">
        <f aca="false">AH3903*$M3903</f>
        <v>0</v>
      </c>
      <c r="AJ3903" s="28" t="n">
        <v>142</v>
      </c>
      <c r="AK3903" s="28" t="n">
        <v>199</v>
      </c>
      <c r="AL3903" s="28"/>
      <c r="AM3903" s="28" t="n">
        <f aca="false">AL3903*$M3903</f>
        <v>0</v>
      </c>
      <c r="AN3903" s="28"/>
      <c r="AO3903" s="28" t="n">
        <f aca="false">AN3903*$M3903</f>
        <v>0</v>
      </c>
      <c r="AP3903" s="28"/>
      <c r="AQ3903" s="28" t="n">
        <f aca="false">AP3903*$M3903</f>
        <v>0</v>
      </c>
      <c r="AR3903" s="28"/>
      <c r="AS3903" s="28" t="n">
        <f aca="false">AR3903*$M3903</f>
        <v>0</v>
      </c>
      <c r="AT3903" s="28"/>
      <c r="AU3903" s="28" t="n">
        <f aca="false">AT3903*$M3903</f>
        <v>0</v>
      </c>
      <c r="AV3903" s="28"/>
      <c r="AW3903" s="28" t="n">
        <f aca="false">AV3903*$M3903</f>
        <v>0</v>
      </c>
      <c r="AX3903" s="28"/>
      <c r="AY3903" s="28" t="n">
        <f aca="false">AX3903*$M3903</f>
        <v>0</v>
      </c>
      <c r="AZ3903" s="30" t="n">
        <v>568</v>
      </c>
      <c r="BA3903" s="11" t="n">
        <v>795</v>
      </c>
      <c r="BB3903" s="31" t="n">
        <f aca="false">SUM(Q3903,S3903,U3903,W3903,Y3903,AA3903,AC3903,AE3903,AG3903,AI3903,AK3903,AM3903,AO3903,AQ3903,AS3903,AU3903,AW3903,AY3903)</f>
        <v>795</v>
      </c>
      <c r="BC3903" s="28" t="n">
        <f aca="false">BA3903-BB3903</f>
        <v>0</v>
      </c>
      <c r="BD3903" s="32" t="n">
        <f aca="false">SUM(P3903,R3903,T3903,V3903,X3903,Z3903,AB3903,AD3903,AF3903,AH3903,AJ3903,AL3903,AN3903,AP3903,AR3903,AT3903,AV3903,AX3903)</f>
        <v>568</v>
      </c>
      <c r="BE3903" s="33" t="n">
        <f aca="false">AZ3903-BD3903</f>
        <v>0</v>
      </c>
      <c r="BF3903" s="34" t="n">
        <f aca="false">BD3903*M3903</f>
        <v>795.2</v>
      </c>
      <c r="BG3903" s="35" t="n">
        <f aca="false">BA3903-BF3903</f>
        <v>-0.199999999999932</v>
      </c>
      <c r="BH3903" s="19" t="str">
        <f aca="false">IF(BG3903=0,"",IF(BG3903&lt;&gt;BA3903,"erreur de calcul",IF(BD3903&lt;&gt;0,"pas de prix",IF(M3903&lt;&gt; 0,"pas de quantité","pas de prix, ni de quantité"))))</f>
        <v>erreur de calcul</v>
      </c>
      <c r="BI3903" s="19"/>
    </row>
    <row r="3904" customFormat="false" ht="15" hidden="false" customHeight="false" outlineLevel="0" collapsed="false">
      <c r="A3904" s="0" t="n">
        <v>41</v>
      </c>
      <c r="B3904" s="8" t="s">
        <v>24</v>
      </c>
      <c r="C3904" s="9" t="s">
        <v>25</v>
      </c>
      <c r="D3904" s="9" t="s">
        <v>26</v>
      </c>
      <c r="E3904" s="10" t="n">
        <v>1789</v>
      </c>
      <c r="F3904" s="9" t="s">
        <v>27</v>
      </c>
      <c r="G3904" s="9" t="s">
        <v>27</v>
      </c>
      <c r="H3904" s="11" t="n">
        <v>18</v>
      </c>
      <c r="I3904" s="11" t="s">
        <v>116</v>
      </c>
      <c r="J3904" s="14"/>
      <c r="K3904" s="14" t="n">
        <v>40</v>
      </c>
      <c r="L3904" s="16"/>
      <c r="M3904" s="27" t="n">
        <f aca="false">J3904+(K3904/20)+(L3904/240)</f>
        <v>2</v>
      </c>
      <c r="N3904" s="17" t="s">
        <v>66</v>
      </c>
      <c r="O3904" s="11"/>
      <c r="P3904" s="28"/>
      <c r="Q3904" s="28" t="n">
        <f aca="false">P3904*$M3904</f>
        <v>0</v>
      </c>
      <c r="R3904" s="28"/>
      <c r="S3904" s="28" t="n">
        <f aca="false">R3904*$M3904</f>
        <v>0</v>
      </c>
      <c r="T3904" s="28"/>
      <c r="U3904" s="28" t="n">
        <f aca="false">T3904*$M3904</f>
        <v>0</v>
      </c>
      <c r="V3904" s="28"/>
      <c r="W3904" s="28" t="n">
        <f aca="false">V3904*$M3904</f>
        <v>0</v>
      </c>
      <c r="X3904" s="29"/>
      <c r="Y3904" s="28" t="n">
        <f aca="false">X3904*$M3904</f>
        <v>0</v>
      </c>
      <c r="Z3904" s="28"/>
      <c r="AA3904" s="28" t="n">
        <f aca="false">Z3904*$M3904</f>
        <v>0</v>
      </c>
      <c r="AB3904" s="28"/>
      <c r="AC3904" s="28" t="n">
        <f aca="false">AB3904*$M3904</f>
        <v>0</v>
      </c>
      <c r="AD3904" s="28"/>
      <c r="AE3904" s="28" t="n">
        <f aca="false">AD3904*$M3904</f>
        <v>0</v>
      </c>
      <c r="AF3904" s="28"/>
      <c r="AG3904" s="28" t="n">
        <f aca="false">AF3904*$M3904</f>
        <v>0</v>
      </c>
      <c r="AH3904" s="28" t="n">
        <v>232710</v>
      </c>
      <c r="AI3904" s="28" t="n">
        <v>465420</v>
      </c>
      <c r="AJ3904" s="28"/>
      <c r="AK3904" s="28" t="n">
        <f aca="false">AJ3904*$M3904</f>
        <v>0</v>
      </c>
      <c r="AL3904" s="28"/>
      <c r="AM3904" s="28" t="n">
        <f aca="false">AL3904*$M3904</f>
        <v>0</v>
      </c>
      <c r="AN3904" s="28"/>
      <c r="AO3904" s="28" t="n">
        <f aca="false">AN3904*$M3904</f>
        <v>0</v>
      </c>
      <c r="AP3904" s="28"/>
      <c r="AQ3904" s="28" t="n">
        <f aca="false">AP3904*$M3904</f>
        <v>0</v>
      </c>
      <c r="AR3904" s="28"/>
      <c r="AS3904" s="28" t="n">
        <f aca="false">AR3904*$M3904</f>
        <v>0</v>
      </c>
      <c r="AT3904" s="28"/>
      <c r="AU3904" s="28" t="n">
        <f aca="false">AT3904*$M3904</f>
        <v>0</v>
      </c>
      <c r="AV3904" s="28"/>
      <c r="AW3904" s="28" t="n">
        <f aca="false">AV3904*$M3904</f>
        <v>0</v>
      </c>
      <c r="AX3904" s="28"/>
      <c r="AY3904" s="28" t="n">
        <f aca="false">AX3904*$M3904</f>
        <v>0</v>
      </c>
      <c r="AZ3904" s="30" t="n">
        <v>232710</v>
      </c>
      <c r="BA3904" s="11" t="n">
        <v>465420</v>
      </c>
      <c r="BB3904" s="31" t="n">
        <f aca="false">SUM(Q3904,S3904,U3904,W3904,Y3904,AA3904,AC3904,AE3904,AG3904,AI3904,AK3904,AM3904,AO3904,AQ3904,AS3904,AU3904,AW3904,AY3904)</f>
        <v>465420</v>
      </c>
      <c r="BC3904" s="28" t="n">
        <f aca="false">BA3904-BB3904</f>
        <v>0</v>
      </c>
      <c r="BD3904" s="32" t="n">
        <f aca="false">SUM(P3904,R3904,T3904,V3904,X3904,Z3904,AB3904,AD3904,AF3904,AH3904,AJ3904,AL3904,AN3904,AP3904,AR3904,AT3904,AV3904,AX3904)</f>
        <v>232710</v>
      </c>
      <c r="BE3904" s="33" t="n">
        <f aca="false">AZ3904-BD3904</f>
        <v>0</v>
      </c>
      <c r="BF3904" s="34" t="n">
        <f aca="false">BD3904*M3904</f>
        <v>465420</v>
      </c>
      <c r="BG3904" s="35" t="n">
        <f aca="false">BA3904-BF3904</f>
        <v>0</v>
      </c>
      <c r="BH3904" s="19" t="str">
        <f aca="false">IF(BG3904=0,"",IF(BG3904&lt;&gt;BA3904,"erreur de calcul",IF(BD3904&lt;&gt;0,"pas de prix",IF(M3904&lt;&gt; 0,"pas de quantité","pas de prix, ni de quantité"))))</f>
        <v/>
      </c>
      <c r="BI3904" s="19"/>
    </row>
    <row r="3905" customFormat="false" ht="15" hidden="false" customHeight="false" outlineLevel="0" collapsed="false">
      <c r="A3905" s="0" t="n">
        <v>1</v>
      </c>
      <c r="B3905" s="8" t="s">
        <v>24</v>
      </c>
      <c r="C3905" s="9" t="s">
        <v>25</v>
      </c>
      <c r="D3905" s="9" t="s">
        <v>26</v>
      </c>
      <c r="E3905" s="10" t="n">
        <v>1789</v>
      </c>
      <c r="F3905" s="9" t="s">
        <v>27</v>
      </c>
      <c r="G3905" s="9" t="s">
        <v>27</v>
      </c>
      <c r="H3905" s="11" t="n">
        <v>20</v>
      </c>
      <c r="I3905" s="11" t="s">
        <v>117</v>
      </c>
      <c r="J3905" s="14" t="n">
        <v>10</v>
      </c>
      <c r="K3905" s="14"/>
      <c r="L3905" s="16"/>
      <c r="M3905" s="27" t="n">
        <f aca="false">J3905+(K3905/20)+(L3905/240)</f>
        <v>10</v>
      </c>
      <c r="N3905" s="17" t="s">
        <v>64</v>
      </c>
      <c r="O3905" s="11"/>
      <c r="P3905" s="28" t="n">
        <f aca="false">2120/100</f>
        <v>21.2</v>
      </c>
      <c r="Q3905" s="28" t="n">
        <v>212</v>
      </c>
      <c r="R3905" s="28"/>
      <c r="S3905" s="28" t="n">
        <f aca="false">R3905*$M3905</f>
        <v>0</v>
      </c>
      <c r="T3905" s="28" t="n">
        <f aca="false">4184/100</f>
        <v>41.84</v>
      </c>
      <c r="U3905" s="28" t="n">
        <v>418</v>
      </c>
      <c r="V3905" s="28"/>
      <c r="W3905" s="28" t="n">
        <f aca="false">V3905*$M3905</f>
        <v>0</v>
      </c>
      <c r="X3905" s="28"/>
      <c r="Y3905" s="28" t="n">
        <f aca="false">X3905*$M3905</f>
        <v>0</v>
      </c>
      <c r="Z3905" s="28" t="n">
        <f aca="false">4467/100</f>
        <v>44.67</v>
      </c>
      <c r="AA3905" s="28" t="n">
        <v>447</v>
      </c>
      <c r="AB3905" s="28"/>
      <c r="AC3905" s="28" t="n">
        <f aca="false">AB3905*$M3905</f>
        <v>0</v>
      </c>
      <c r="AD3905" s="28"/>
      <c r="AE3905" s="28" t="n">
        <f aca="false">AD3905*$M3905</f>
        <v>0</v>
      </c>
      <c r="AF3905" s="28"/>
      <c r="AG3905" s="28" t="n">
        <f aca="false">AF3905*$M3905</f>
        <v>0</v>
      </c>
      <c r="AH3905" s="28" t="n">
        <f aca="false">37604/100</f>
        <v>376.04</v>
      </c>
      <c r="AI3905" s="28" t="n">
        <v>3760</v>
      </c>
      <c r="AJ3905" s="28"/>
      <c r="AK3905" s="28" t="n">
        <f aca="false">AJ3905*$M3905</f>
        <v>0</v>
      </c>
      <c r="AL3905" s="28"/>
      <c r="AM3905" s="28" t="n">
        <f aca="false">AL3905*$M3905</f>
        <v>0</v>
      </c>
      <c r="AN3905" s="28"/>
      <c r="AO3905" s="28" t="n">
        <f aca="false">AN3905*$M3905</f>
        <v>0</v>
      </c>
      <c r="AP3905" s="28"/>
      <c r="AQ3905" s="28" t="n">
        <f aca="false">AP3905*$M3905</f>
        <v>0</v>
      </c>
      <c r="AR3905" s="28"/>
      <c r="AS3905" s="28" t="n">
        <f aca="false">AR3905*$M3905</f>
        <v>0</v>
      </c>
      <c r="AT3905" s="28"/>
      <c r="AU3905" s="28" t="n">
        <f aca="false">AT3905*$M3905</f>
        <v>0</v>
      </c>
      <c r="AV3905" s="28"/>
      <c r="AW3905" s="28" t="n">
        <f aca="false">AV3905*$M3905</f>
        <v>0</v>
      </c>
      <c r="AX3905" s="28"/>
      <c r="AY3905" s="28" t="n">
        <f aca="false">AX3905*$M3905</f>
        <v>0</v>
      </c>
      <c r="AZ3905" s="30" t="n">
        <f aca="false">46255/100</f>
        <v>462.55</v>
      </c>
      <c r="BA3905" s="11" t="n">
        <v>4837</v>
      </c>
      <c r="BB3905" s="31" t="n">
        <f aca="false">SUM(Q3905,S3905,U3905,W3905,Y3905,AA3905,AC3905,AE3905,AG3905,AI3905,AK3905,AM3905,AO3905,AQ3905,AS3905,AU3905,AW3905,AY3905)</f>
        <v>4837</v>
      </c>
      <c r="BC3905" s="28" t="n">
        <f aca="false">BA3905-BB3905</f>
        <v>0</v>
      </c>
      <c r="BD3905" s="32" t="n">
        <f aca="false">SUM(P3905,R3905,T3905,V3905,X3905,Z3905,AB3905,AD3905,AF3905,AH3905,AJ3905,AL3905,AN3905,AP3905,AR3905,AT3905,AV3905,AX3905)</f>
        <v>483.75</v>
      </c>
      <c r="BE3905" s="33" t="n">
        <f aca="false">AZ3905-BD3905</f>
        <v>-21.2</v>
      </c>
      <c r="BF3905" s="34" t="n">
        <f aca="false">BD3905*M3905</f>
        <v>4837.5</v>
      </c>
      <c r="BG3905" s="35" t="n">
        <f aca="false">BA3905-BF3905</f>
        <v>-0.50000000000091</v>
      </c>
      <c r="BH3905" s="19" t="str">
        <f aca="false">IF(BG3905=0,"",IF(BG3905&lt;&gt;BA3905,"erreur de calcul",IF(BD3905&lt;&gt;0,"pas de prix",IF(M3905&lt;&gt; 0,"pas de quantité","pas de prix, ni de quantité"))))</f>
        <v>erreur de calcul</v>
      </c>
      <c r="BI3905" s="19"/>
    </row>
    <row r="3906" customFormat="false" ht="15" hidden="false" customHeight="false" outlineLevel="0" collapsed="false">
      <c r="A3906" s="0" t="n">
        <v>2</v>
      </c>
      <c r="B3906" s="8" t="s">
        <v>24</v>
      </c>
      <c r="C3906" s="9" t="s">
        <v>25</v>
      </c>
      <c r="D3906" s="9" t="s">
        <v>26</v>
      </c>
      <c r="E3906" s="10" t="n">
        <v>1789</v>
      </c>
      <c r="F3906" s="9" t="s">
        <v>27</v>
      </c>
      <c r="G3906" s="9" t="s">
        <v>27</v>
      </c>
      <c r="H3906" s="11" t="n">
        <v>20</v>
      </c>
      <c r="I3906" s="11" t="s">
        <v>118</v>
      </c>
      <c r="J3906" s="14" t="n">
        <v>10</v>
      </c>
      <c r="K3906" s="14"/>
      <c r="L3906" s="16"/>
      <c r="M3906" s="27" t="n">
        <f aca="false">J3906+(K3906/20)+(L3906/240)</f>
        <v>10</v>
      </c>
      <c r="N3906" s="17" t="s">
        <v>64</v>
      </c>
      <c r="O3906" s="11"/>
      <c r="P3906" s="28" t="n">
        <f aca="false">6450193/100</f>
        <v>64501.93</v>
      </c>
      <c r="Q3906" s="28" t="n">
        <v>645019</v>
      </c>
      <c r="R3906" s="28"/>
      <c r="S3906" s="28" t="n">
        <f aca="false">R3906*$M3906</f>
        <v>0</v>
      </c>
      <c r="T3906" s="28"/>
      <c r="U3906" s="28" t="n">
        <f aca="false">T3906*$M3906</f>
        <v>0</v>
      </c>
      <c r="V3906" s="28"/>
      <c r="W3906" s="28" t="n">
        <f aca="false">V3906*$M3906</f>
        <v>0</v>
      </c>
      <c r="X3906" s="28"/>
      <c r="Y3906" s="28" t="n">
        <f aca="false">X3906*$M3906</f>
        <v>0</v>
      </c>
      <c r="Z3906" s="28"/>
      <c r="AA3906" s="28" t="n">
        <f aca="false">Z3906*$M3906</f>
        <v>0</v>
      </c>
      <c r="AB3906" s="28" t="n">
        <f aca="false">601547/100</f>
        <v>6015.47</v>
      </c>
      <c r="AC3906" s="28" t="n">
        <v>60155</v>
      </c>
      <c r="AD3906" s="28"/>
      <c r="AE3906" s="28" t="n">
        <f aca="false">AD3906*$M3906</f>
        <v>0</v>
      </c>
      <c r="AF3906" s="28" t="n">
        <f aca="false">727551/100</f>
        <v>7275.51</v>
      </c>
      <c r="AG3906" s="28" t="n">
        <v>72755</v>
      </c>
      <c r="AH3906" s="28" t="n">
        <f aca="false">52982/100</f>
        <v>529.82</v>
      </c>
      <c r="AI3906" s="28" t="n">
        <v>5299</v>
      </c>
      <c r="AJ3906" s="28"/>
      <c r="AK3906" s="28" t="n">
        <f aca="false">AJ3906*$M3906</f>
        <v>0</v>
      </c>
      <c r="AL3906" s="28"/>
      <c r="AM3906" s="28" t="n">
        <f aca="false">AL3906*$M3906</f>
        <v>0</v>
      </c>
      <c r="AN3906" s="28"/>
      <c r="AO3906" s="28" t="n">
        <f aca="false">AN3906*$M3906</f>
        <v>0</v>
      </c>
      <c r="AP3906" s="28"/>
      <c r="AQ3906" s="28" t="n">
        <f aca="false">AP3906*$M3906</f>
        <v>0</v>
      </c>
      <c r="AR3906" s="28"/>
      <c r="AS3906" s="28" t="n">
        <f aca="false">AR3906*$M3906</f>
        <v>0</v>
      </c>
      <c r="AT3906" s="28"/>
      <c r="AU3906" s="28" t="n">
        <f aca="false">AT3906*$M3906</f>
        <v>0</v>
      </c>
      <c r="AV3906" s="28"/>
      <c r="AW3906" s="28" t="n">
        <f aca="false">AV3906*$M3906</f>
        <v>0</v>
      </c>
      <c r="AX3906" s="28"/>
      <c r="AY3906" s="28" t="n">
        <f aca="false">AX3906*$M3906</f>
        <v>0</v>
      </c>
      <c r="AZ3906" s="30" t="n">
        <f aca="false">7832273/100</f>
        <v>78322.73</v>
      </c>
      <c r="BA3906" s="11" t="n">
        <v>783228</v>
      </c>
      <c r="BB3906" s="31" t="n">
        <f aca="false">SUM(Q3906,S3906,U3906,W3906,Y3906,AA3906,AC3906,AE3906,AG3906,AI3906,AK3906,AM3906,AO3906,AQ3906,AS3906,AU3906,AW3906,AY3906)</f>
        <v>783228</v>
      </c>
      <c r="BC3906" s="28" t="n">
        <f aca="false">BA3906-BB3906</f>
        <v>0</v>
      </c>
      <c r="BD3906" s="32" t="n">
        <f aca="false">SUM(P3906,R3906,T3906,V3906,X3906,Z3906,AB3906,AD3906,AF3906,AH3906,AJ3906,AL3906,AN3906,AP3906,AR3906,AT3906,AV3906,AX3906)</f>
        <v>78322.73</v>
      </c>
      <c r="BE3906" s="33" t="n">
        <f aca="false">AZ3906-BD3906</f>
        <v>0</v>
      </c>
      <c r="BF3906" s="34" t="n">
        <f aca="false">BD3906*M3906</f>
        <v>783227.3</v>
      </c>
      <c r="BG3906" s="35" t="n">
        <f aca="false">BA3906-BF3906</f>
        <v>0.700000000069849</v>
      </c>
      <c r="BH3906" s="19" t="str">
        <f aca="false">IF(BG3906=0,"",IF(BG3906&lt;&gt;BA3906,"erreur de calcul",IF(BD3906&lt;&gt;0,"pas de prix",IF(M3906&lt;&gt; 0,"pas de quantité","pas de prix, ni de quantité"))))</f>
        <v>erreur de calcul</v>
      </c>
      <c r="BI3906" s="19"/>
    </row>
    <row r="3907" customFormat="false" ht="15" hidden="false" customHeight="false" outlineLevel="0" collapsed="false">
      <c r="A3907" s="0" t="n">
        <v>3</v>
      </c>
      <c r="B3907" s="8" t="s">
        <v>24</v>
      </c>
      <c r="C3907" s="9" t="s">
        <v>25</v>
      </c>
      <c r="D3907" s="9" t="s">
        <v>26</v>
      </c>
      <c r="E3907" s="10" t="n">
        <v>1789</v>
      </c>
      <c r="F3907" s="9" t="s">
        <v>27</v>
      </c>
      <c r="G3907" s="9" t="s">
        <v>27</v>
      </c>
      <c r="H3907" s="11" t="n">
        <v>20</v>
      </c>
      <c r="I3907" s="11" t="s">
        <v>119</v>
      </c>
      <c r="J3907" s="14" t="n">
        <v>10</v>
      </c>
      <c r="K3907" s="14"/>
      <c r="L3907" s="16"/>
      <c r="M3907" s="27" t="n">
        <f aca="false">J3907+(K3907/20)+(L3907/240)</f>
        <v>10</v>
      </c>
      <c r="N3907" s="17" t="s">
        <v>64</v>
      </c>
      <c r="O3907" s="11"/>
      <c r="P3907" s="28" t="n">
        <f aca="false">2617064/100</f>
        <v>26170.64</v>
      </c>
      <c r="Q3907" s="28" t="n">
        <v>261706</v>
      </c>
      <c r="R3907" s="28"/>
      <c r="S3907" s="28" t="n">
        <f aca="false">R3907*$M3907</f>
        <v>0</v>
      </c>
      <c r="T3907" s="28" t="n">
        <f aca="false">251959/100</f>
        <v>2519.59</v>
      </c>
      <c r="U3907" s="28" t="n">
        <v>25196</v>
      </c>
      <c r="V3907" s="28"/>
      <c r="W3907" s="28" t="n">
        <f aca="false">V3907*$M3907</f>
        <v>0</v>
      </c>
      <c r="X3907" s="28"/>
      <c r="Y3907" s="28" t="n">
        <f aca="false">X3907*$M3907</f>
        <v>0</v>
      </c>
      <c r="Z3907" s="28"/>
      <c r="AA3907" s="28" t="n">
        <f aca="false">Z3907*$M3907</f>
        <v>0</v>
      </c>
      <c r="AB3907" s="28"/>
      <c r="AC3907" s="28" t="n">
        <f aca="false">AB3907*$M3907</f>
        <v>0</v>
      </c>
      <c r="AD3907" s="28"/>
      <c r="AE3907" s="28" t="n">
        <f aca="false">AD3907*$M3907</f>
        <v>0</v>
      </c>
      <c r="AF3907" s="28"/>
      <c r="AG3907" s="28" t="n">
        <f aca="false">AF3907*$M3907</f>
        <v>0</v>
      </c>
      <c r="AH3907" s="28"/>
      <c r="AI3907" s="28" t="n">
        <f aca="false">AH3907*$M3907</f>
        <v>0</v>
      </c>
      <c r="AJ3907" s="28"/>
      <c r="AK3907" s="28" t="n">
        <f aca="false">AJ3907*$M3907</f>
        <v>0</v>
      </c>
      <c r="AL3907" s="28"/>
      <c r="AM3907" s="28" t="n">
        <f aca="false">AL3907*$M3907</f>
        <v>0</v>
      </c>
      <c r="AN3907" s="28"/>
      <c r="AO3907" s="28" t="n">
        <f aca="false">AN3907*$M3907</f>
        <v>0</v>
      </c>
      <c r="AP3907" s="28"/>
      <c r="AQ3907" s="28" t="n">
        <f aca="false">AP3907*$M3907</f>
        <v>0</v>
      </c>
      <c r="AR3907" s="28"/>
      <c r="AS3907" s="28" t="n">
        <f aca="false">AR3907*$M3907</f>
        <v>0</v>
      </c>
      <c r="AT3907" s="28"/>
      <c r="AU3907" s="28" t="n">
        <f aca="false">AT3907*$M3907</f>
        <v>0</v>
      </c>
      <c r="AV3907" s="28"/>
      <c r="AW3907" s="28" t="n">
        <f aca="false">AV3907*$M3907</f>
        <v>0</v>
      </c>
      <c r="AX3907" s="28"/>
      <c r="AY3907" s="28" t="n">
        <f aca="false">AX3907*$M3907</f>
        <v>0</v>
      </c>
      <c r="AZ3907" s="30" t="n">
        <f aca="false">2869023/100</f>
        <v>28690.23</v>
      </c>
      <c r="BA3907" s="11" t="n">
        <v>286902</v>
      </c>
      <c r="BB3907" s="31" t="n">
        <f aca="false">SUM(Q3907,S3907,U3907,W3907,Y3907,AA3907,AC3907,AE3907,AG3907,AI3907,AK3907,AM3907,AO3907,AQ3907,AS3907,AU3907,AW3907,AY3907)</f>
        <v>286902</v>
      </c>
      <c r="BC3907" s="28" t="n">
        <f aca="false">BA3907-BB3907</f>
        <v>0</v>
      </c>
      <c r="BD3907" s="32" t="n">
        <f aca="false">SUM(P3907,R3907,T3907,V3907,X3907,Z3907,AB3907,AD3907,AF3907,AH3907,AJ3907,AL3907,AN3907,AP3907,AR3907,AT3907,AV3907,AX3907)</f>
        <v>28690.23</v>
      </c>
      <c r="BE3907" s="33" t="n">
        <f aca="false">AZ3907-BD3907</f>
        <v>0</v>
      </c>
      <c r="BF3907" s="34" t="n">
        <f aca="false">BD3907*M3907</f>
        <v>286902.3</v>
      </c>
      <c r="BG3907" s="35" t="n">
        <f aca="false">BA3907-BF3907</f>
        <v>-0.299999999988358</v>
      </c>
      <c r="BH3907" s="19" t="str">
        <f aca="false">IF(BG3907=0,"",IF(BG3907&lt;&gt;BA3907,"erreur de calcul",IF(BD3907&lt;&gt;0,"pas de prix",IF(M3907&lt;&gt; 0,"pas de quantité","pas de prix, ni de quantité"))))</f>
        <v>erreur de calcul</v>
      </c>
      <c r="BI3907" s="19"/>
    </row>
    <row r="3908" customFormat="false" ht="16.65" hidden="false" customHeight="false" outlineLevel="0" collapsed="false">
      <c r="A3908" s="0" t="n">
        <v>4</v>
      </c>
      <c r="B3908" s="8" t="s">
        <v>24</v>
      </c>
      <c r="C3908" s="9" t="s">
        <v>25</v>
      </c>
      <c r="D3908" s="9" t="s">
        <v>26</v>
      </c>
      <c r="E3908" s="10" t="n">
        <v>1789</v>
      </c>
      <c r="F3908" s="9" t="s">
        <v>27</v>
      </c>
      <c r="G3908" s="9" t="s">
        <v>27</v>
      </c>
      <c r="H3908" s="11" t="n">
        <v>20</v>
      </c>
      <c r="I3908" s="11" t="s">
        <v>120</v>
      </c>
      <c r="J3908" s="14" t="n">
        <v>12</v>
      </c>
      <c r="K3908" s="14"/>
      <c r="L3908" s="16"/>
      <c r="M3908" s="27" t="n">
        <f aca="false">J3908+(K3908/20)+(L3908/240)</f>
        <v>12</v>
      </c>
      <c r="N3908" s="17" t="s">
        <v>64</v>
      </c>
      <c r="O3908" s="11" t="s">
        <v>77</v>
      </c>
      <c r="P3908" s="28"/>
      <c r="Q3908" s="28" t="n">
        <f aca="false">P3908*$M3908</f>
        <v>0</v>
      </c>
      <c r="R3908" s="28"/>
      <c r="S3908" s="28" t="n">
        <f aca="false">R3908*$M3908</f>
        <v>0</v>
      </c>
      <c r="T3908" s="28"/>
      <c r="U3908" s="28" t="n">
        <f aca="false">T3908*$M3908</f>
        <v>0</v>
      </c>
      <c r="V3908" s="28" t="n">
        <f aca="false">15268/100</f>
        <v>152.68</v>
      </c>
      <c r="W3908" s="28" t="n">
        <v>1832</v>
      </c>
      <c r="X3908" s="28"/>
      <c r="Y3908" s="28" t="n">
        <f aca="false">X3908*$M3908</f>
        <v>0</v>
      </c>
      <c r="Z3908" s="28"/>
      <c r="AA3908" s="28" t="n">
        <f aca="false">Z3908*$M3908</f>
        <v>0</v>
      </c>
      <c r="AB3908" s="28"/>
      <c r="AC3908" s="28" t="n">
        <f aca="false">AB3908*$M3908</f>
        <v>0</v>
      </c>
      <c r="AD3908" s="28"/>
      <c r="AE3908" s="28" t="n">
        <f aca="false">AD3908*$M3908</f>
        <v>0</v>
      </c>
      <c r="AF3908" s="28"/>
      <c r="AG3908" s="28" t="n">
        <f aca="false">AF3908*$M3908</f>
        <v>0</v>
      </c>
      <c r="AH3908" s="28" t="n">
        <f aca="false">26667/100</f>
        <v>266.67</v>
      </c>
      <c r="AI3908" s="28" t="n">
        <v>3200</v>
      </c>
      <c r="AJ3908" s="28"/>
      <c r="AK3908" s="28" t="n">
        <f aca="false">AJ3908*$M3908</f>
        <v>0</v>
      </c>
      <c r="AL3908" s="28"/>
      <c r="AM3908" s="28" t="n">
        <f aca="false">AL3908*$M3908</f>
        <v>0</v>
      </c>
      <c r="AN3908" s="28"/>
      <c r="AO3908" s="28" t="n">
        <f aca="false">AN3908*$M3908</f>
        <v>0</v>
      </c>
      <c r="AP3908" s="28"/>
      <c r="AQ3908" s="28" t="n">
        <f aca="false">AP3908*$M3908</f>
        <v>0</v>
      </c>
      <c r="AR3908" s="28"/>
      <c r="AS3908" s="28" t="n">
        <f aca="false">AR3908*$M3908</f>
        <v>0</v>
      </c>
      <c r="AT3908" s="28"/>
      <c r="AU3908" s="28" t="n">
        <f aca="false">AT3908*$M3908</f>
        <v>0</v>
      </c>
      <c r="AV3908" s="28"/>
      <c r="AW3908" s="28" t="n">
        <f aca="false">AV3908*$M3908</f>
        <v>0</v>
      </c>
      <c r="AX3908" s="28"/>
      <c r="AY3908" s="28" t="n">
        <f aca="false">AX3908*$M3908</f>
        <v>0</v>
      </c>
      <c r="AZ3908" s="30" t="n">
        <f aca="false">41935/100</f>
        <v>419.35</v>
      </c>
      <c r="BA3908" s="11" t="n">
        <v>5032</v>
      </c>
      <c r="BB3908" s="31" t="n">
        <f aca="false">SUM(Q3908,S3908,U3908,W3908,Y3908,AA3908,AC3908,AE3908,AG3908,AI3908,AK3908,AM3908,AO3908,AQ3908,AS3908,AU3908,AW3908,AY3908)</f>
        <v>5032</v>
      </c>
      <c r="BC3908" s="28" t="n">
        <f aca="false">BA3908-BB3908</f>
        <v>0</v>
      </c>
      <c r="BD3908" s="32" t="n">
        <f aca="false">SUM(P3908,R3908,T3908,V3908,X3908,Z3908,AB3908,AD3908,AF3908,AH3908,AJ3908,AL3908,AN3908,AP3908,AR3908,AT3908,AV3908,AX3908)</f>
        <v>419.35</v>
      </c>
      <c r="BE3908" s="33" t="n">
        <f aca="false">AZ3908-BD3908</f>
        <v>0</v>
      </c>
      <c r="BF3908" s="34" t="n">
        <f aca="false">BD3908*M3908</f>
        <v>5032.2</v>
      </c>
      <c r="BG3908" s="35" t="n">
        <f aca="false">BA3908-BF3908</f>
        <v>-0.200000000000728</v>
      </c>
      <c r="BH3908" s="19" t="str">
        <f aca="false">IF(BG3908=0,"",IF(BG3908&lt;&gt;BA3908,"erreur de calcul",IF(BD3908&lt;&gt;0,"pas de prix",IF(M3908&lt;&gt; 0,"pas de quantité","pas de prix, ni de quantité"))))</f>
        <v>erreur de calcul</v>
      </c>
      <c r="BI3908" s="19"/>
    </row>
    <row r="3909" customFormat="false" ht="15" hidden="false" customHeight="false" outlineLevel="0" collapsed="false">
      <c r="A3909" s="0" t="n">
        <v>5</v>
      </c>
      <c r="B3909" s="8" t="s">
        <v>24</v>
      </c>
      <c r="C3909" s="9" t="s">
        <v>25</v>
      </c>
      <c r="D3909" s="9" t="s">
        <v>26</v>
      </c>
      <c r="E3909" s="10" t="n">
        <v>1789</v>
      </c>
      <c r="F3909" s="9" t="s">
        <v>27</v>
      </c>
      <c r="G3909" s="9" t="s">
        <v>27</v>
      </c>
      <c r="H3909" s="11" t="n">
        <v>20</v>
      </c>
      <c r="I3909" s="11" t="s">
        <v>121</v>
      </c>
      <c r="J3909" s="14" t="n">
        <v>28</v>
      </c>
      <c r="K3909" s="14"/>
      <c r="L3909" s="16"/>
      <c r="M3909" s="27" t="n">
        <f aca="false">J3909+(K3909/20)+(L3909/240)</f>
        <v>28</v>
      </c>
      <c r="N3909" s="17" t="s">
        <v>64</v>
      </c>
      <c r="O3909" s="11"/>
      <c r="P3909" s="28"/>
      <c r="Q3909" s="28" t="n">
        <f aca="false">P3909*$M3909</f>
        <v>0</v>
      </c>
      <c r="R3909" s="28"/>
      <c r="S3909" s="28" t="n">
        <f aca="false">R3909*$M3909</f>
        <v>0</v>
      </c>
      <c r="T3909" s="28"/>
      <c r="U3909" s="28" t="n">
        <f aca="false">T3909*$M3909</f>
        <v>0</v>
      </c>
      <c r="V3909" s="28"/>
      <c r="W3909" s="28" t="n">
        <f aca="false">V3909*$M3909</f>
        <v>0</v>
      </c>
      <c r="X3909" s="28" t="n">
        <f aca="false">187504/100</f>
        <v>1875.04</v>
      </c>
      <c r="Y3909" s="28" t="n">
        <v>52501</v>
      </c>
      <c r="Z3909" s="28" t="n">
        <f aca="false">1041667/100</f>
        <v>10416.67</v>
      </c>
      <c r="AA3909" s="28" t="n">
        <v>291667</v>
      </c>
      <c r="AB3909" s="28"/>
      <c r="AC3909" s="28" t="n">
        <f aca="false">AB3909*$M3909</f>
        <v>0</v>
      </c>
      <c r="AD3909" s="28"/>
      <c r="AE3909" s="28" t="n">
        <f aca="false">AD3909*$M3909</f>
        <v>0</v>
      </c>
      <c r="AF3909" s="28"/>
      <c r="AG3909" s="28" t="n">
        <f aca="false">AF3909*$M3909</f>
        <v>0</v>
      </c>
      <c r="AH3909" s="28"/>
      <c r="AI3909" s="28" t="n">
        <f aca="false">AH3909*$M3909</f>
        <v>0</v>
      </c>
      <c r="AJ3909" s="28"/>
      <c r="AK3909" s="28" t="n">
        <f aca="false">AJ3909*$M3909</f>
        <v>0</v>
      </c>
      <c r="AL3909" s="28"/>
      <c r="AM3909" s="28" t="n">
        <f aca="false">AL3909*$M3909</f>
        <v>0</v>
      </c>
      <c r="AN3909" s="28"/>
      <c r="AO3909" s="28" t="n">
        <f aca="false">AN3909*$M3909</f>
        <v>0</v>
      </c>
      <c r="AP3909" s="28"/>
      <c r="AQ3909" s="28" t="n">
        <f aca="false">AP3909*$M3909</f>
        <v>0</v>
      </c>
      <c r="AR3909" s="28"/>
      <c r="AS3909" s="28" t="n">
        <f aca="false">AR3909*$M3909</f>
        <v>0</v>
      </c>
      <c r="AT3909" s="28"/>
      <c r="AU3909" s="28" t="n">
        <f aca="false">AT3909*$M3909</f>
        <v>0</v>
      </c>
      <c r="AV3909" s="28"/>
      <c r="AW3909" s="28" t="n">
        <f aca="false">AV3909*$M3909</f>
        <v>0</v>
      </c>
      <c r="AX3909" s="28"/>
      <c r="AY3909" s="28" t="n">
        <f aca="false">AX3909*$M3909</f>
        <v>0</v>
      </c>
      <c r="AZ3909" s="30" t="n">
        <f aca="false">1229171/100</f>
        <v>12291.71</v>
      </c>
      <c r="BA3909" s="11" t="n">
        <v>344168</v>
      </c>
      <c r="BB3909" s="31" t="n">
        <f aca="false">SUM(Q3909,S3909,U3909,W3909,Y3909,AA3909,AC3909,AE3909,AG3909,AI3909,AK3909,AM3909,AO3909,AQ3909,AS3909,AU3909,AW3909,AY3909)</f>
        <v>344168</v>
      </c>
      <c r="BC3909" s="28" t="n">
        <f aca="false">BA3909-BB3909</f>
        <v>0</v>
      </c>
      <c r="BD3909" s="32" t="n">
        <f aca="false">SUM(P3909,R3909,T3909,V3909,X3909,Z3909,AB3909,AD3909,AF3909,AH3909,AJ3909,AL3909,AN3909,AP3909,AR3909,AT3909,AV3909,AX3909)</f>
        <v>12291.71</v>
      </c>
      <c r="BE3909" s="33" t="n">
        <f aca="false">AZ3909-BD3909</f>
        <v>0</v>
      </c>
      <c r="BF3909" s="34" t="n">
        <f aca="false">BD3909*M3909</f>
        <v>344167.88</v>
      </c>
      <c r="BG3909" s="35" t="n">
        <f aca="false">BA3909-BF3909</f>
        <v>0.119999999995343</v>
      </c>
      <c r="BH3909" s="19" t="str">
        <f aca="false">IF(BG3909=0,"",IF(BG3909&lt;&gt;BA3909,"erreur de calcul",IF(BD3909&lt;&gt;0,"pas de prix",IF(M3909&lt;&gt; 0,"pas de quantité","pas de prix, ni de quantité"))))</f>
        <v>erreur de calcul</v>
      </c>
      <c r="BI3909" s="19"/>
    </row>
    <row r="3910" customFormat="false" ht="15" hidden="false" customHeight="false" outlineLevel="0" collapsed="false">
      <c r="A3910" s="0" t="n">
        <v>6</v>
      </c>
      <c r="B3910" s="8" t="s">
        <v>24</v>
      </c>
      <c r="C3910" s="9" t="s">
        <v>25</v>
      </c>
      <c r="D3910" s="9" t="s">
        <v>26</v>
      </c>
      <c r="E3910" s="10" t="n">
        <v>1789</v>
      </c>
      <c r="F3910" s="9" t="s">
        <v>27</v>
      </c>
      <c r="G3910" s="9" t="s">
        <v>27</v>
      </c>
      <c r="H3910" s="11" t="n">
        <v>20</v>
      </c>
      <c r="I3910" s="11" t="s">
        <v>122</v>
      </c>
      <c r="J3910" s="14" t="n">
        <v>16</v>
      </c>
      <c r="K3910" s="14"/>
      <c r="L3910" s="16"/>
      <c r="M3910" s="27" t="n">
        <f aca="false">J3910+(K3910/20)+(L3910/240)</f>
        <v>16</v>
      </c>
      <c r="N3910" s="17" t="s">
        <v>64</v>
      </c>
      <c r="O3910" s="11"/>
      <c r="P3910" s="28" t="n">
        <f aca="false">1774951/100</f>
        <v>17749.51</v>
      </c>
      <c r="Q3910" s="28" t="n">
        <v>283992</v>
      </c>
      <c r="R3910" s="28"/>
      <c r="S3910" s="28" t="n">
        <f aca="false">R3910*$M3910</f>
        <v>0</v>
      </c>
      <c r="T3910" s="28"/>
      <c r="U3910" s="28" t="n">
        <f aca="false">T3910*$M3910</f>
        <v>0</v>
      </c>
      <c r="V3910" s="28" t="n">
        <f aca="false">20834/100</f>
        <v>208.34</v>
      </c>
      <c r="W3910" s="28" t="n">
        <v>3333</v>
      </c>
      <c r="X3910" s="28" t="n">
        <f aca="false">85901/100</f>
        <v>859.01</v>
      </c>
      <c r="Y3910" s="28" t="n">
        <v>13744</v>
      </c>
      <c r="Z3910" s="28"/>
      <c r="AA3910" s="28" t="n">
        <f aca="false">Z3910*$M3910</f>
        <v>0</v>
      </c>
      <c r="AB3910" s="28" t="n">
        <f aca="false">6847841/100</f>
        <v>68478.41</v>
      </c>
      <c r="AC3910" s="28" t="n">
        <v>1095654</v>
      </c>
      <c r="AD3910" s="28"/>
      <c r="AE3910" s="28" t="n">
        <f aca="false">AD3910*$M3910</f>
        <v>0</v>
      </c>
      <c r="AF3910" s="28"/>
      <c r="AG3910" s="28" t="n">
        <f aca="false">AF3910*$M3910</f>
        <v>0</v>
      </c>
      <c r="AH3910" s="28" t="n">
        <f aca="false">50417/100</f>
        <v>504.17</v>
      </c>
      <c r="AI3910" s="28" t="n">
        <v>8067</v>
      </c>
      <c r="AJ3910" s="28"/>
      <c r="AK3910" s="28" t="n">
        <f aca="false">AJ3910*$M3910</f>
        <v>0</v>
      </c>
      <c r="AL3910" s="28"/>
      <c r="AM3910" s="28" t="n">
        <f aca="false">AL3910*$M3910</f>
        <v>0</v>
      </c>
      <c r="AN3910" s="28"/>
      <c r="AO3910" s="28" t="n">
        <f aca="false">AN3910*$M3910</f>
        <v>0</v>
      </c>
      <c r="AP3910" s="28"/>
      <c r="AQ3910" s="28" t="n">
        <f aca="false">AP3910*$M3910</f>
        <v>0</v>
      </c>
      <c r="AR3910" s="28"/>
      <c r="AS3910" s="28" t="n">
        <f aca="false">AR3910*$M3910</f>
        <v>0</v>
      </c>
      <c r="AT3910" s="28"/>
      <c r="AU3910" s="28" t="n">
        <f aca="false">AT3910*$M3910</f>
        <v>0</v>
      </c>
      <c r="AV3910" s="28"/>
      <c r="AW3910" s="28" t="n">
        <f aca="false">AV3910*$M3910</f>
        <v>0</v>
      </c>
      <c r="AX3910" s="28"/>
      <c r="AY3910" s="28" t="n">
        <f aca="false">AX3910*$M3910</f>
        <v>0</v>
      </c>
      <c r="AZ3910" s="30" t="n">
        <f aca="false">8779944/100</f>
        <v>87799.44</v>
      </c>
      <c r="BA3910" s="11" t="n">
        <v>1404790</v>
      </c>
      <c r="BB3910" s="31" t="n">
        <f aca="false">SUM(Q3910,S3910,U3910,W3910,Y3910,AA3910,AC3910,AE3910,AG3910,AI3910,AK3910,AM3910,AO3910,AQ3910,AS3910,AU3910,AW3910,AY3910)</f>
        <v>1404790</v>
      </c>
      <c r="BC3910" s="28" t="n">
        <f aca="false">BA3910-BB3910</f>
        <v>0</v>
      </c>
      <c r="BD3910" s="32" t="n">
        <f aca="false">SUM(P3910,R3910,T3910,V3910,X3910,Z3910,AB3910,AD3910,AF3910,AH3910,AJ3910,AL3910,AN3910,AP3910,AR3910,AT3910,AV3910,AX3910)</f>
        <v>87799.44</v>
      </c>
      <c r="BE3910" s="33" t="n">
        <f aca="false">AZ3910-BD3910</f>
        <v>0</v>
      </c>
      <c r="BF3910" s="34" t="n">
        <f aca="false">BD3910*M3910</f>
        <v>1404791.04</v>
      </c>
      <c r="BG3910" s="35" t="n">
        <f aca="false">BA3910-BF3910</f>
        <v>-1.03999999980442</v>
      </c>
      <c r="BH3910" s="19" t="str">
        <f aca="false">IF(BG3910=0,"",IF(BG3910&lt;&gt;BA3910,"erreur de calcul",IF(BD3910&lt;&gt;0,"pas de prix",IF(M3910&lt;&gt; 0,"pas de quantité","pas de prix, ni de quantité"))))</f>
        <v>erreur de calcul</v>
      </c>
      <c r="BI3910" s="19"/>
    </row>
    <row r="3911" customFormat="false" ht="15" hidden="false" customHeight="false" outlineLevel="0" collapsed="false">
      <c r="A3911" s="0" t="n">
        <v>7</v>
      </c>
      <c r="B3911" s="8" t="s">
        <v>24</v>
      </c>
      <c r="C3911" s="9" t="s">
        <v>25</v>
      </c>
      <c r="D3911" s="9" t="s">
        <v>26</v>
      </c>
      <c r="E3911" s="10" t="n">
        <v>1789</v>
      </c>
      <c r="F3911" s="9" t="s">
        <v>27</v>
      </c>
      <c r="G3911" s="9" t="s">
        <v>27</v>
      </c>
      <c r="H3911" s="11" t="n">
        <v>20</v>
      </c>
      <c r="I3911" s="11" t="s">
        <v>123</v>
      </c>
      <c r="J3911" s="14" t="n">
        <v>12</v>
      </c>
      <c r="K3911" s="14"/>
      <c r="L3911" s="16"/>
      <c r="M3911" s="27" t="n">
        <f aca="false">J3911+(K3911/20)+(L3911/240)</f>
        <v>12</v>
      </c>
      <c r="N3911" s="17" t="s">
        <v>64</v>
      </c>
      <c r="O3911" s="11"/>
      <c r="P3911" s="28"/>
      <c r="Q3911" s="28" t="n">
        <f aca="false">P3911*$M3911</f>
        <v>0</v>
      </c>
      <c r="R3911" s="28"/>
      <c r="S3911" s="28" t="n">
        <f aca="false">R3911*$M3911</f>
        <v>0</v>
      </c>
      <c r="T3911" s="28"/>
      <c r="U3911" s="28" t="n">
        <f aca="false">T3911*$M3911</f>
        <v>0</v>
      </c>
      <c r="V3911" s="28"/>
      <c r="W3911" s="28" t="n">
        <f aca="false">V3911*$M3911</f>
        <v>0</v>
      </c>
      <c r="X3911" s="28"/>
      <c r="Y3911" s="28" t="n">
        <f aca="false">X3911*$M3911</f>
        <v>0</v>
      </c>
      <c r="Z3911" s="28"/>
      <c r="AA3911" s="28" t="n">
        <f aca="false">Z3911*$M3911</f>
        <v>0</v>
      </c>
      <c r="AB3911" s="28"/>
      <c r="AC3911" s="28" t="n">
        <f aca="false">AB3911*$M3911</f>
        <v>0</v>
      </c>
      <c r="AD3911" s="28"/>
      <c r="AE3911" s="28" t="n">
        <f aca="false">AD3911*$M3911</f>
        <v>0</v>
      </c>
      <c r="AF3911" s="28"/>
      <c r="AG3911" s="28" t="n">
        <f aca="false">AF3911*$M3911</f>
        <v>0</v>
      </c>
      <c r="AH3911" s="28" t="n">
        <f aca="false">5697511/100</f>
        <v>56975.11</v>
      </c>
      <c r="AI3911" s="28" t="n">
        <v>683701</v>
      </c>
      <c r="AJ3911" s="28"/>
      <c r="AK3911" s="28" t="n">
        <f aca="false">AJ3911*$M3911</f>
        <v>0</v>
      </c>
      <c r="AL3911" s="28"/>
      <c r="AM3911" s="28" t="n">
        <f aca="false">AL3911*$M3911</f>
        <v>0</v>
      </c>
      <c r="AN3911" s="28"/>
      <c r="AO3911" s="28" t="n">
        <f aca="false">AN3911*$M3911</f>
        <v>0</v>
      </c>
      <c r="AP3911" s="28"/>
      <c r="AQ3911" s="28" t="n">
        <f aca="false">AP3911*$M3911</f>
        <v>0</v>
      </c>
      <c r="AR3911" s="28"/>
      <c r="AS3911" s="28" t="n">
        <f aca="false">AR3911*$M3911</f>
        <v>0</v>
      </c>
      <c r="AT3911" s="28"/>
      <c r="AU3911" s="28" t="n">
        <f aca="false">AT3911*$M3911</f>
        <v>0</v>
      </c>
      <c r="AV3911" s="28"/>
      <c r="AW3911" s="28" t="n">
        <f aca="false">AV3911*$M3911</f>
        <v>0</v>
      </c>
      <c r="AX3911" s="28"/>
      <c r="AY3911" s="28" t="n">
        <f aca="false">AX3911*$M3911</f>
        <v>0</v>
      </c>
      <c r="AZ3911" s="30" t="n">
        <f aca="false">5697511/100</f>
        <v>56975.11</v>
      </c>
      <c r="BA3911" s="11" t="n">
        <v>683701</v>
      </c>
      <c r="BB3911" s="31" t="n">
        <f aca="false">SUM(Q3911,S3911,U3911,W3911,Y3911,AA3911,AC3911,AE3911,AG3911,AI3911,AK3911,AM3911,AO3911,AQ3911,AS3911,AU3911,AW3911,AY3911)</f>
        <v>683701</v>
      </c>
      <c r="BC3911" s="28" t="n">
        <f aca="false">BA3911-BB3911</f>
        <v>0</v>
      </c>
      <c r="BD3911" s="32" t="n">
        <f aca="false">SUM(P3911,R3911,T3911,V3911,X3911,Z3911,AB3911,AD3911,AF3911,AH3911,AJ3911,AL3911,AN3911,AP3911,AR3911,AT3911,AV3911,AX3911)</f>
        <v>56975.11</v>
      </c>
      <c r="BE3911" s="33" t="n">
        <f aca="false">AZ3911-BD3911</f>
        <v>0</v>
      </c>
      <c r="BF3911" s="34" t="n">
        <f aca="false">BD3911*M3911</f>
        <v>683701.32</v>
      </c>
      <c r="BG3911" s="35" t="n">
        <f aca="false">BA3911-BF3911</f>
        <v>-0.320000000065193</v>
      </c>
      <c r="BH3911" s="19" t="str">
        <f aca="false">IF(BG3911=0,"",IF(BG3911&lt;&gt;BA3911,"erreur de calcul",IF(BD3911&lt;&gt;0,"pas de prix",IF(M3911&lt;&gt; 0,"pas de quantité","pas de prix, ni de quantité"))))</f>
        <v>erreur de calcul</v>
      </c>
      <c r="BI3911" s="19"/>
    </row>
    <row r="3912" customFormat="false" ht="15" hidden="false" customHeight="false" outlineLevel="0" collapsed="false">
      <c r="A3912" s="0" t="n">
        <v>8</v>
      </c>
      <c r="B3912" s="8" t="s">
        <v>24</v>
      </c>
      <c r="C3912" s="9" t="s">
        <v>25</v>
      </c>
      <c r="D3912" s="9" t="s">
        <v>26</v>
      </c>
      <c r="E3912" s="10" t="n">
        <v>1789</v>
      </c>
      <c r="F3912" s="9" t="s">
        <v>27</v>
      </c>
      <c r="G3912" s="9" t="s">
        <v>27</v>
      </c>
      <c r="H3912" s="11" t="n">
        <v>20</v>
      </c>
      <c r="I3912" s="11" t="s">
        <v>124</v>
      </c>
      <c r="J3912" s="14" t="n">
        <v>34</v>
      </c>
      <c r="K3912" s="14"/>
      <c r="L3912" s="16"/>
      <c r="M3912" s="27" t="n">
        <f aca="false">J3912+(K3912/20)+(L3912/240)</f>
        <v>34</v>
      </c>
      <c r="N3912" s="17" t="s">
        <v>64</v>
      </c>
      <c r="O3912" s="11"/>
      <c r="P3912" s="28"/>
      <c r="Q3912" s="28" t="n">
        <f aca="false">P3912*$M3912</f>
        <v>0</v>
      </c>
      <c r="R3912" s="28"/>
      <c r="S3912" s="28" t="n">
        <f aca="false">R3912*$M3912</f>
        <v>0</v>
      </c>
      <c r="T3912" s="28" t="n">
        <f aca="false">528/100</f>
        <v>5.28</v>
      </c>
      <c r="U3912" s="28" t="n">
        <v>179</v>
      </c>
      <c r="V3912" s="28"/>
      <c r="W3912" s="28" t="n">
        <f aca="false">V3912*$M3912</f>
        <v>0</v>
      </c>
      <c r="X3912" s="28" t="n">
        <f aca="false">1014/100</f>
        <v>10.14</v>
      </c>
      <c r="Y3912" s="36" t="n">
        <v>243</v>
      </c>
      <c r="Z3912" s="28"/>
      <c r="AA3912" s="28" t="n">
        <f aca="false">Z3912*$M3912</f>
        <v>0</v>
      </c>
      <c r="AB3912" s="28"/>
      <c r="AC3912" s="28" t="n">
        <f aca="false">AB3912*$M3912</f>
        <v>0</v>
      </c>
      <c r="AD3912" s="28"/>
      <c r="AE3912" s="28" t="n">
        <f aca="false">AD3912*$M3912</f>
        <v>0</v>
      </c>
      <c r="AF3912" s="28"/>
      <c r="AG3912" s="28" t="n">
        <f aca="false">AF3912*$M3912</f>
        <v>0</v>
      </c>
      <c r="AH3912" s="28"/>
      <c r="AI3912" s="28" t="n">
        <f aca="false">AH3912*$M3912</f>
        <v>0</v>
      </c>
      <c r="AJ3912" s="28" t="n">
        <f aca="false">1917/100</f>
        <v>19.17</v>
      </c>
      <c r="AK3912" s="28" t="n">
        <v>652</v>
      </c>
      <c r="AL3912" s="28"/>
      <c r="AM3912" s="28" t="n">
        <f aca="false">AL3912*$M3912</f>
        <v>0</v>
      </c>
      <c r="AN3912" s="28"/>
      <c r="AO3912" s="28" t="n">
        <f aca="false">AN3912*$M3912</f>
        <v>0</v>
      </c>
      <c r="AP3912" s="28"/>
      <c r="AQ3912" s="28" t="n">
        <f aca="false">AP3912*$M3912</f>
        <v>0</v>
      </c>
      <c r="AR3912" s="28"/>
      <c r="AS3912" s="28" t="n">
        <f aca="false">AR3912*$M3912</f>
        <v>0</v>
      </c>
      <c r="AT3912" s="28"/>
      <c r="AU3912" s="28" t="n">
        <f aca="false">AT3912*$M3912</f>
        <v>0</v>
      </c>
      <c r="AV3912" s="28"/>
      <c r="AW3912" s="28" t="n">
        <f aca="false">AV3912*$M3912</f>
        <v>0</v>
      </c>
      <c r="AX3912" s="28"/>
      <c r="AY3912" s="28" t="n">
        <f aca="false">AX3912*$M3912</f>
        <v>0</v>
      </c>
      <c r="AZ3912" s="30" t="n">
        <f aca="false">3459/100</f>
        <v>34.59</v>
      </c>
      <c r="BA3912" s="11" t="n">
        <v>1074</v>
      </c>
      <c r="BB3912" s="31" t="n">
        <f aca="false">SUM(Q3912,S3912,U3912,W3912,Y3912,AA3912,AC3912,AE3912,AG3912,AI3912,AK3912,AM3912,AO3912,AQ3912,AS3912,AU3912,AW3912,AY3912)</f>
        <v>1074</v>
      </c>
      <c r="BC3912" s="28" t="n">
        <f aca="false">BA3912-BB3912</f>
        <v>0</v>
      </c>
      <c r="BD3912" s="32" t="n">
        <f aca="false">SUM(P3912,R3912,T3912,V3912,X3912,Z3912,AB3912,AD3912,AF3912,AH3912,AJ3912,AL3912,AN3912,AP3912,AR3912,AT3912,AV3912,AX3912)</f>
        <v>34.59</v>
      </c>
      <c r="BE3912" s="33" t="n">
        <f aca="false">AZ3912-BD3912</f>
        <v>0</v>
      </c>
      <c r="BF3912" s="34" t="n">
        <f aca="false">BD3912*M3912</f>
        <v>1176.06</v>
      </c>
      <c r="BG3912" s="35" t="n">
        <f aca="false">BA3912-BF3912</f>
        <v>-102.06</v>
      </c>
      <c r="BH3912" s="19" t="str">
        <f aca="false">IF(BG3912=0,"",IF(BG3912&lt;&gt;BA3912,"erreur de calcul",IF(BD3912&lt;&gt;0,"pas de prix",IF(M3912&lt;&gt; 0,"pas de quantité","pas de prix, ni de quantité"))))</f>
        <v>erreur de calcul</v>
      </c>
      <c r="BI3912" s="19"/>
    </row>
    <row r="3913" customFormat="false" ht="15" hidden="false" customHeight="false" outlineLevel="0" collapsed="false">
      <c r="A3913" s="0" t="n">
        <v>9</v>
      </c>
      <c r="B3913" s="8" t="s">
        <v>24</v>
      </c>
      <c r="C3913" s="9" t="s">
        <v>25</v>
      </c>
      <c r="D3913" s="9" t="s">
        <v>26</v>
      </c>
      <c r="E3913" s="10" t="n">
        <v>1789</v>
      </c>
      <c r="F3913" s="9" t="s">
        <v>27</v>
      </c>
      <c r="G3913" s="9" t="s">
        <v>27</v>
      </c>
      <c r="H3913" s="11" t="n">
        <v>20</v>
      </c>
      <c r="I3913" s="11" t="s">
        <v>125</v>
      </c>
      <c r="J3913" s="14" t="n">
        <v>30</v>
      </c>
      <c r="K3913" s="14"/>
      <c r="L3913" s="16"/>
      <c r="M3913" s="27" t="n">
        <f aca="false">J3913+(K3913/20)+(L3913/240)</f>
        <v>30</v>
      </c>
      <c r="N3913" s="17" t="s">
        <v>64</v>
      </c>
      <c r="O3913" s="11"/>
      <c r="P3913" s="28" t="n">
        <f aca="false">31476/100</f>
        <v>314.76</v>
      </c>
      <c r="Q3913" s="28" t="n">
        <v>9443</v>
      </c>
      <c r="R3913" s="28"/>
      <c r="S3913" s="28" t="n">
        <f aca="false">R3913*$M3913</f>
        <v>0</v>
      </c>
      <c r="T3913" s="28"/>
      <c r="U3913" s="28" t="n">
        <f aca="false">T3913*$M3913</f>
        <v>0</v>
      </c>
      <c r="V3913" s="28"/>
      <c r="W3913" s="28" t="n">
        <f aca="false">V3913*$M3913</f>
        <v>0</v>
      </c>
      <c r="X3913" s="28" t="n">
        <f aca="false">2320/100</f>
        <v>23.2</v>
      </c>
      <c r="Y3913" s="28" t="n">
        <v>696</v>
      </c>
      <c r="Z3913" s="28"/>
      <c r="AA3913" s="28" t="n">
        <f aca="false">Z3913*$M3913</f>
        <v>0</v>
      </c>
      <c r="AB3913" s="28"/>
      <c r="AC3913" s="28" t="n">
        <f aca="false">AB3913*$M3913</f>
        <v>0</v>
      </c>
      <c r="AD3913" s="28"/>
      <c r="AE3913" s="28" t="n">
        <f aca="false">AD3913*$M3913</f>
        <v>0</v>
      </c>
      <c r="AF3913" s="28"/>
      <c r="AG3913" s="28" t="n">
        <f aca="false">AF3913*$M3913</f>
        <v>0</v>
      </c>
      <c r="AH3913" s="28"/>
      <c r="AI3913" s="28" t="n">
        <f aca="false">AH3913*$M3913</f>
        <v>0</v>
      </c>
      <c r="AJ3913" s="28"/>
      <c r="AK3913" s="28" t="n">
        <f aca="false">AJ3913*$M3913</f>
        <v>0</v>
      </c>
      <c r="AL3913" s="28"/>
      <c r="AM3913" s="28" t="n">
        <f aca="false">AL3913*$M3913</f>
        <v>0</v>
      </c>
      <c r="AN3913" s="28"/>
      <c r="AO3913" s="28" t="n">
        <f aca="false">AN3913*$M3913</f>
        <v>0</v>
      </c>
      <c r="AP3913" s="28" t="n">
        <f aca="false">5100/100</f>
        <v>51</v>
      </c>
      <c r="AQ3913" s="28" t="n">
        <v>1530</v>
      </c>
      <c r="AR3913" s="28"/>
      <c r="AS3913" s="28" t="n">
        <f aca="false">AR3913*$M3913</f>
        <v>0</v>
      </c>
      <c r="AT3913" s="28"/>
      <c r="AU3913" s="28" t="n">
        <f aca="false">AT3913*$M3913</f>
        <v>0</v>
      </c>
      <c r="AV3913" s="28"/>
      <c r="AW3913" s="28" t="n">
        <f aca="false">AV3913*$M3913</f>
        <v>0</v>
      </c>
      <c r="AX3913" s="28" t="n">
        <f aca="false">26345/100</f>
        <v>263.45</v>
      </c>
      <c r="AY3913" s="28" t="n">
        <v>7903</v>
      </c>
      <c r="AZ3913" s="30" t="n">
        <f aca="false">65241/100</f>
        <v>652.41</v>
      </c>
      <c r="BA3913" s="11" t="n">
        <v>19572</v>
      </c>
      <c r="BB3913" s="31" t="n">
        <f aca="false">SUM(Q3913,S3913,U3913,W3913,Y3913,AA3913,AC3913,AE3913,AG3913,AI3913,AK3913,AM3913,AO3913,AQ3913,AS3913,AU3913,AW3913,AY3913)</f>
        <v>19572</v>
      </c>
      <c r="BC3913" s="28" t="n">
        <f aca="false">BA3913-BB3913</f>
        <v>0</v>
      </c>
      <c r="BD3913" s="32" t="n">
        <f aca="false">SUM(P3913,R3913,T3913,V3913,X3913,Z3913,AB3913,AD3913,AF3913,AH3913,AJ3913,AL3913,AN3913,AP3913,AR3913,AT3913,AV3913,AX3913)</f>
        <v>652.41</v>
      </c>
      <c r="BE3913" s="33" t="n">
        <f aca="false">AZ3913-BD3913</f>
        <v>0</v>
      </c>
      <c r="BF3913" s="34" t="n">
        <f aca="false">BD3913*M3913</f>
        <v>19572.3</v>
      </c>
      <c r="BG3913" s="35" t="n">
        <f aca="false">BA3913-BF3913</f>
        <v>-0.299999999999272</v>
      </c>
      <c r="BH3913" s="19" t="str">
        <f aca="false">IF(BG3913=0,"",IF(BG3913&lt;&gt;BA3913,"erreur de calcul",IF(BD3913&lt;&gt;0,"pas de prix",IF(M3913&lt;&gt; 0,"pas de quantité","pas de prix, ni de quantité"))))</f>
        <v>erreur de calcul</v>
      </c>
      <c r="BI3913" s="19"/>
    </row>
    <row r="3914" customFormat="false" ht="15" hidden="false" customHeight="false" outlineLevel="0" collapsed="false">
      <c r="A3914" s="0" t="n">
        <v>10</v>
      </c>
      <c r="B3914" s="8" t="s">
        <v>24</v>
      </c>
      <c r="C3914" s="9" t="s">
        <v>25</v>
      </c>
      <c r="D3914" s="9" t="s">
        <v>26</v>
      </c>
      <c r="E3914" s="10" t="n">
        <v>1789</v>
      </c>
      <c r="F3914" s="9" t="s">
        <v>27</v>
      </c>
      <c r="G3914" s="9" t="s">
        <v>27</v>
      </c>
      <c r="H3914" s="11" t="n">
        <v>20</v>
      </c>
      <c r="I3914" s="11" t="s">
        <v>126</v>
      </c>
      <c r="J3914" s="14" t="n">
        <v>75</v>
      </c>
      <c r="K3914" s="14"/>
      <c r="L3914" s="16"/>
      <c r="M3914" s="27" t="n">
        <f aca="false">J3914+(K3914/20)+(L3914/240)</f>
        <v>75</v>
      </c>
      <c r="N3914" s="17" t="s">
        <v>64</v>
      </c>
      <c r="O3914" s="11"/>
      <c r="P3914" s="28"/>
      <c r="Q3914" s="28" t="n">
        <f aca="false">P3914*$M3914</f>
        <v>0</v>
      </c>
      <c r="R3914" s="28"/>
      <c r="S3914" s="28" t="n">
        <f aca="false">R3914*$M3914</f>
        <v>0</v>
      </c>
      <c r="T3914" s="28"/>
      <c r="U3914" s="28" t="n">
        <f aca="false">T3914*$M3914</f>
        <v>0</v>
      </c>
      <c r="V3914" s="28" t="n">
        <f aca="false">223/100</f>
        <v>2.23</v>
      </c>
      <c r="W3914" s="28" t="n">
        <v>167</v>
      </c>
      <c r="X3914" s="28" t="n">
        <f aca="false">2897/100</f>
        <v>28.97</v>
      </c>
      <c r="Y3914" s="28" t="n">
        <v>2173</v>
      </c>
      <c r="Z3914" s="28"/>
      <c r="AA3914" s="28" t="n">
        <f aca="false">Z3914*$M3914</f>
        <v>0</v>
      </c>
      <c r="AB3914" s="28"/>
      <c r="AC3914" s="28" t="n">
        <f aca="false">AB3914*$M3914</f>
        <v>0</v>
      </c>
      <c r="AD3914" s="28"/>
      <c r="AE3914" s="28" t="n">
        <f aca="false">AD3914*$M3914</f>
        <v>0</v>
      </c>
      <c r="AF3914" s="28"/>
      <c r="AG3914" s="28" t="n">
        <f aca="false">AF3914*$M3914</f>
        <v>0</v>
      </c>
      <c r="AH3914" s="28"/>
      <c r="AI3914" s="28" t="n">
        <f aca="false">AH3914*$M3914</f>
        <v>0</v>
      </c>
      <c r="AJ3914" s="28"/>
      <c r="AK3914" s="28" t="n">
        <f aca="false">AJ3914*$M3914</f>
        <v>0</v>
      </c>
      <c r="AL3914" s="28"/>
      <c r="AM3914" s="28" t="n">
        <f aca="false">AL3914*$M3914</f>
        <v>0</v>
      </c>
      <c r="AN3914" s="28"/>
      <c r="AO3914" s="28" t="n">
        <f aca="false">AN3914*$M3914</f>
        <v>0</v>
      </c>
      <c r="AP3914" s="28"/>
      <c r="AQ3914" s="28" t="n">
        <f aca="false">AP3914*$M3914</f>
        <v>0</v>
      </c>
      <c r="AR3914" s="28"/>
      <c r="AS3914" s="28" t="n">
        <f aca="false">AR3914*$M3914</f>
        <v>0</v>
      </c>
      <c r="AT3914" s="28"/>
      <c r="AU3914" s="28" t="n">
        <f aca="false">AT3914*$M3914</f>
        <v>0</v>
      </c>
      <c r="AV3914" s="28"/>
      <c r="AW3914" s="28" t="n">
        <f aca="false">AV3914*$M3914</f>
        <v>0</v>
      </c>
      <c r="AX3914" s="28"/>
      <c r="AY3914" s="28" t="n">
        <f aca="false">AX3914*$M3914</f>
        <v>0</v>
      </c>
      <c r="AZ3914" s="30" t="n">
        <f aca="false">3120/100</f>
        <v>31.2</v>
      </c>
      <c r="BA3914" s="11" t="n">
        <v>2340</v>
      </c>
      <c r="BB3914" s="31" t="n">
        <f aca="false">SUM(Q3914,S3914,U3914,W3914,Y3914,AA3914,AC3914,AE3914,AG3914,AI3914,AK3914,AM3914,AO3914,AQ3914,AS3914,AU3914,AW3914,AY3914)</f>
        <v>2340</v>
      </c>
      <c r="BC3914" s="28" t="n">
        <f aca="false">BA3914-BB3914</f>
        <v>0</v>
      </c>
      <c r="BD3914" s="32" t="n">
        <f aca="false">SUM(P3914,R3914,T3914,V3914,X3914,Z3914,AB3914,AD3914,AF3914,AH3914,AJ3914,AL3914,AN3914,AP3914,AR3914,AT3914,AV3914,AX3914)</f>
        <v>31.2</v>
      </c>
      <c r="BE3914" s="33" t="n">
        <f aca="false">AZ3914-BD3914</f>
        <v>0</v>
      </c>
      <c r="BF3914" s="34" t="n">
        <f aca="false">BD3914*M3914</f>
        <v>2340</v>
      </c>
      <c r="BG3914" s="35" t="n">
        <f aca="false">BA3914-BF3914</f>
        <v>0</v>
      </c>
      <c r="BH3914" s="19" t="str">
        <f aca="false">IF(BG3914=0,"",IF(BG3914&lt;&gt;BA3914,"erreur de calcul",IF(BD3914&lt;&gt;0,"pas de prix",IF(M3914&lt;&gt; 0,"pas de quantité","pas de prix, ni de quantité"))))</f>
        <v/>
      </c>
      <c r="BI3914" s="19"/>
    </row>
    <row r="3915" customFormat="false" ht="15" hidden="false" customHeight="false" outlineLevel="0" collapsed="false">
      <c r="A3915" s="0" t="n">
        <v>11</v>
      </c>
      <c r="B3915" s="8" t="s">
        <v>24</v>
      </c>
      <c r="C3915" s="9" t="s">
        <v>25</v>
      </c>
      <c r="D3915" s="9" t="s">
        <v>26</v>
      </c>
      <c r="E3915" s="10" t="n">
        <v>1789</v>
      </c>
      <c r="F3915" s="9" t="s">
        <v>27</v>
      </c>
      <c r="G3915" s="9" t="s">
        <v>27</v>
      </c>
      <c r="H3915" s="11" t="n">
        <v>20</v>
      </c>
      <c r="I3915" s="11" t="s">
        <v>127</v>
      </c>
      <c r="J3915" s="14" t="n">
        <v>75</v>
      </c>
      <c r="K3915" s="14"/>
      <c r="L3915" s="16"/>
      <c r="M3915" s="27" t="n">
        <f aca="false">J3915+(K3915/20)+(L3915/240)</f>
        <v>75</v>
      </c>
      <c r="N3915" s="17" t="s">
        <v>64</v>
      </c>
      <c r="O3915" s="11"/>
      <c r="P3915" s="28"/>
      <c r="Q3915" s="28" t="n">
        <f aca="false">P3915*$M3915</f>
        <v>0</v>
      </c>
      <c r="R3915" s="28"/>
      <c r="S3915" s="28" t="n">
        <f aca="false">R3915*$M3915</f>
        <v>0</v>
      </c>
      <c r="T3915" s="28" t="n">
        <f aca="false">5807/100</f>
        <v>58.07</v>
      </c>
      <c r="U3915" s="28" t="n">
        <v>4355</v>
      </c>
      <c r="V3915" s="28"/>
      <c r="W3915" s="28" t="n">
        <f aca="false">V3915*$M3915</f>
        <v>0</v>
      </c>
      <c r="X3915" s="28"/>
      <c r="Y3915" s="28" t="n">
        <f aca="false">X3915*$M3915</f>
        <v>0</v>
      </c>
      <c r="Z3915" s="28"/>
      <c r="AA3915" s="28" t="n">
        <f aca="false">Z3915*$M3915</f>
        <v>0</v>
      </c>
      <c r="AB3915" s="28"/>
      <c r="AC3915" s="28" t="n">
        <f aca="false">AB3915*$M3915</f>
        <v>0</v>
      </c>
      <c r="AD3915" s="28"/>
      <c r="AE3915" s="28" t="n">
        <f aca="false">AD3915*$M3915</f>
        <v>0</v>
      </c>
      <c r="AF3915" s="28"/>
      <c r="AG3915" s="28" t="n">
        <f aca="false">AF3915*$M3915</f>
        <v>0</v>
      </c>
      <c r="AH3915" s="28"/>
      <c r="AI3915" s="28" t="n">
        <f aca="false">AH3915*$M3915</f>
        <v>0</v>
      </c>
      <c r="AJ3915" s="28"/>
      <c r="AK3915" s="28" t="n">
        <f aca="false">AJ3915*$M3915</f>
        <v>0</v>
      </c>
      <c r="AL3915" s="28"/>
      <c r="AM3915" s="28" t="n">
        <f aca="false">AL3915*$M3915</f>
        <v>0</v>
      </c>
      <c r="AN3915" s="28"/>
      <c r="AO3915" s="28" t="n">
        <f aca="false">AN3915*$M3915</f>
        <v>0</v>
      </c>
      <c r="AP3915" s="28"/>
      <c r="AQ3915" s="28" t="n">
        <f aca="false">AP3915*$M3915</f>
        <v>0</v>
      </c>
      <c r="AR3915" s="28"/>
      <c r="AS3915" s="28" t="n">
        <f aca="false">AR3915*$M3915</f>
        <v>0</v>
      </c>
      <c r="AT3915" s="28"/>
      <c r="AU3915" s="28" t="n">
        <f aca="false">AT3915*$M3915</f>
        <v>0</v>
      </c>
      <c r="AV3915" s="28"/>
      <c r="AW3915" s="28" t="n">
        <f aca="false">AV3915*$M3915</f>
        <v>0</v>
      </c>
      <c r="AX3915" s="28"/>
      <c r="AY3915" s="28" t="n">
        <f aca="false">AX3915*$M3915</f>
        <v>0</v>
      </c>
      <c r="AZ3915" s="30" t="n">
        <f aca="false">5807/100</f>
        <v>58.07</v>
      </c>
      <c r="BA3915" s="11" t="n">
        <v>4355</v>
      </c>
      <c r="BB3915" s="31" t="n">
        <f aca="false">SUM(Q3915,S3915,U3915,W3915,Y3915,AA3915,AC3915,AE3915,AG3915,AI3915,AK3915,AM3915,AO3915,AQ3915,AS3915,AU3915,AW3915,AY3915)</f>
        <v>4355</v>
      </c>
      <c r="BC3915" s="28" t="n">
        <f aca="false">BA3915-BB3915</f>
        <v>0</v>
      </c>
      <c r="BD3915" s="32" t="n">
        <f aca="false">SUM(P3915,R3915,T3915,V3915,X3915,Z3915,AB3915,AD3915,AF3915,AH3915,AJ3915,AL3915,AN3915,AP3915,AR3915,AT3915,AV3915,AX3915)</f>
        <v>58.07</v>
      </c>
      <c r="BE3915" s="33" t="n">
        <f aca="false">AZ3915-BD3915</f>
        <v>0</v>
      </c>
      <c r="BF3915" s="34" t="n">
        <f aca="false">BD3915*M3915</f>
        <v>4355.25</v>
      </c>
      <c r="BG3915" s="35" t="n">
        <f aca="false">BA3915-BF3915</f>
        <v>-0.25</v>
      </c>
      <c r="BH3915" s="19" t="str">
        <f aca="false">IF(BG3915=0,"",IF(BG3915&lt;&gt;BA3915,"erreur de calcul",IF(BD3915&lt;&gt;0,"pas de prix",IF(M3915&lt;&gt; 0,"pas de quantité","pas de prix, ni de quantité"))))</f>
        <v>erreur de calcul</v>
      </c>
      <c r="BI3915" s="19"/>
    </row>
    <row r="3916" customFormat="false" ht="15" hidden="false" customHeight="false" outlineLevel="0" collapsed="false">
      <c r="A3916" s="0" t="n">
        <v>12</v>
      </c>
      <c r="B3916" s="8" t="s">
        <v>24</v>
      </c>
      <c r="C3916" s="9" t="s">
        <v>25</v>
      </c>
      <c r="D3916" s="9" t="s">
        <v>26</v>
      </c>
      <c r="E3916" s="10" t="n">
        <v>1789</v>
      </c>
      <c r="F3916" s="9" t="s">
        <v>27</v>
      </c>
      <c r="G3916" s="9" t="s">
        <v>27</v>
      </c>
      <c r="H3916" s="11" t="n">
        <v>20</v>
      </c>
      <c r="I3916" s="11" t="s">
        <v>128</v>
      </c>
      <c r="J3916" s="14" t="n">
        <v>42</v>
      </c>
      <c r="K3916" s="14"/>
      <c r="L3916" s="16"/>
      <c r="M3916" s="27" t="n">
        <f aca="false">J3916+(K3916/20)+(L3916/240)</f>
        <v>42</v>
      </c>
      <c r="N3916" s="17" t="s">
        <v>64</v>
      </c>
      <c r="O3916" s="11"/>
      <c r="P3916" s="28"/>
      <c r="Q3916" s="28" t="n">
        <f aca="false">P3916*$M3916</f>
        <v>0</v>
      </c>
      <c r="R3916" s="28"/>
      <c r="S3916" s="28" t="n">
        <f aca="false">R3916*$M3916</f>
        <v>0</v>
      </c>
      <c r="T3916" s="28" t="n">
        <f aca="false">347073/100</f>
        <v>3470.73</v>
      </c>
      <c r="U3916" s="28" t="n">
        <v>145771</v>
      </c>
      <c r="V3916" s="28" t="n">
        <f aca="false">188616/100</f>
        <v>1886.16</v>
      </c>
      <c r="W3916" s="28" t="n">
        <v>79219</v>
      </c>
      <c r="X3916" s="28" t="n">
        <f aca="false">518894/100</f>
        <v>5188.94</v>
      </c>
      <c r="Y3916" s="28" t="n">
        <v>217935</v>
      </c>
      <c r="Z3916" s="28" t="n">
        <f aca="false">965148/100</f>
        <v>9651.48</v>
      </c>
      <c r="AA3916" s="28" t="n">
        <v>405362</v>
      </c>
      <c r="AB3916" s="28" t="n">
        <f aca="false">759238/100</f>
        <v>7592.38</v>
      </c>
      <c r="AC3916" s="28" t="n">
        <v>318880</v>
      </c>
      <c r="AD3916" s="28" t="n">
        <f aca="false">254167/100</f>
        <v>2541.67</v>
      </c>
      <c r="AE3916" s="28" t="n">
        <v>106750</v>
      </c>
      <c r="AF3916" s="28"/>
      <c r="AG3916" s="28" t="n">
        <f aca="false">AF3916*$M3916</f>
        <v>0</v>
      </c>
      <c r="AH3916" s="28"/>
      <c r="AI3916" s="28" t="n">
        <f aca="false">AH3916*$M3916</f>
        <v>0</v>
      </c>
      <c r="AJ3916" s="28"/>
      <c r="AK3916" s="28" t="n">
        <f aca="false">AJ3916*$M3916</f>
        <v>0</v>
      </c>
      <c r="AL3916" s="28" t="n">
        <f aca="false">73551/100</f>
        <v>735.51</v>
      </c>
      <c r="AM3916" s="28" t="n">
        <v>30891</v>
      </c>
      <c r="AN3916" s="28"/>
      <c r="AO3916" s="28" t="n">
        <f aca="false">AN3916*$M3916</f>
        <v>0</v>
      </c>
      <c r="AP3916" s="28" t="n">
        <f aca="false">45836/100</f>
        <v>458.36</v>
      </c>
      <c r="AQ3916" s="28" t="n">
        <v>19251</v>
      </c>
      <c r="AR3916" s="28"/>
      <c r="AS3916" s="28" t="n">
        <f aca="false">AR3916*$M3916</f>
        <v>0</v>
      </c>
      <c r="AT3916" s="28"/>
      <c r="AU3916" s="28" t="n">
        <f aca="false">AT3916*$M3916</f>
        <v>0</v>
      </c>
      <c r="AV3916" s="28" t="n">
        <f aca="false">566574/100</f>
        <v>5665.74</v>
      </c>
      <c r="AW3916" s="28" t="n">
        <v>237961</v>
      </c>
      <c r="AX3916" s="28"/>
      <c r="AY3916" s="28" t="n">
        <f aca="false">AX3916*$M3916</f>
        <v>0</v>
      </c>
      <c r="AZ3916" s="30" t="n">
        <f aca="false">3719097/100</f>
        <v>37190.97</v>
      </c>
      <c r="BA3916" s="11" t="n">
        <v>1562020</v>
      </c>
      <c r="BB3916" s="31" t="n">
        <f aca="false">SUM(Q3916,S3916,U3916,W3916,Y3916,AA3916,AC3916,AE3916,AG3916,AI3916,AK3916,AM3916,AO3916,AQ3916,AS3916,AU3916,AW3916,AY3916)</f>
        <v>1562020</v>
      </c>
      <c r="BC3916" s="28" t="n">
        <f aca="false">BA3916-BB3916</f>
        <v>0</v>
      </c>
      <c r="BD3916" s="32" t="n">
        <f aca="false">SUM(P3916,R3916,T3916,V3916,X3916,Z3916,AB3916,AD3916,AF3916,AH3916,AJ3916,AL3916,AN3916,AP3916,AR3916,AT3916,AV3916,AX3916)</f>
        <v>37190.97</v>
      </c>
      <c r="BE3916" s="33" t="n">
        <f aca="false">AZ3916-BD3916</f>
        <v>0</v>
      </c>
      <c r="BF3916" s="34" t="n">
        <f aca="false">BD3916*M3916</f>
        <v>1562020.74</v>
      </c>
      <c r="BG3916" s="35" t="n">
        <f aca="false">BA3916-BF3916</f>
        <v>-0.739999999990687</v>
      </c>
      <c r="BH3916" s="19" t="str">
        <f aca="false">IF(BG3916=0,"",IF(BG3916&lt;&gt;BA3916,"erreur de calcul",IF(BD3916&lt;&gt;0,"pas de prix",IF(M3916&lt;&gt; 0,"pas de quantité","pas de prix, ni de quantité"))))</f>
        <v>erreur de calcul</v>
      </c>
      <c r="BI3916" s="19"/>
    </row>
    <row r="3917" customFormat="false" ht="15" hidden="false" customHeight="false" outlineLevel="0" collapsed="false">
      <c r="A3917" s="0" t="n">
        <v>13</v>
      </c>
      <c r="B3917" s="8" t="s">
        <v>24</v>
      </c>
      <c r="C3917" s="9" t="s">
        <v>25</v>
      </c>
      <c r="D3917" s="9" t="s">
        <v>26</v>
      </c>
      <c r="E3917" s="10" t="n">
        <v>1789</v>
      </c>
      <c r="F3917" s="9" t="s">
        <v>27</v>
      </c>
      <c r="G3917" s="9" t="s">
        <v>27</v>
      </c>
      <c r="H3917" s="11" t="n">
        <v>20</v>
      </c>
      <c r="I3917" s="11" t="s">
        <v>129</v>
      </c>
      <c r="J3917" s="14" t="n">
        <v>75</v>
      </c>
      <c r="K3917" s="14"/>
      <c r="L3917" s="16"/>
      <c r="M3917" s="27" t="n">
        <f aca="false">J3917+(K3917/20)+(L3917/240)</f>
        <v>75</v>
      </c>
      <c r="N3917" s="17" t="s">
        <v>64</v>
      </c>
      <c r="O3917" s="11"/>
      <c r="P3917" s="28"/>
      <c r="Q3917" s="28" t="n">
        <f aca="false">P3917*$M3917</f>
        <v>0</v>
      </c>
      <c r="R3917" s="28"/>
      <c r="S3917" s="28" t="n">
        <f aca="false">R3917*$M3917</f>
        <v>0</v>
      </c>
      <c r="T3917" s="28"/>
      <c r="U3917" s="28" t="n">
        <f aca="false">T3917*$M3917</f>
        <v>0</v>
      </c>
      <c r="V3917" s="28" t="n">
        <f aca="false">3418/100</f>
        <v>34.18</v>
      </c>
      <c r="W3917" s="28" t="n">
        <v>2563</v>
      </c>
      <c r="X3917" s="28" t="n">
        <f aca="false">3755/100</f>
        <v>37.55</v>
      </c>
      <c r="Y3917" s="28" t="n">
        <v>2817</v>
      </c>
      <c r="Z3917" s="28"/>
      <c r="AA3917" s="28" t="n">
        <f aca="false">Z3917*$M3917</f>
        <v>0</v>
      </c>
      <c r="AB3917" s="28" t="n">
        <f aca="false">75529/100</f>
        <v>755.29</v>
      </c>
      <c r="AC3917" s="28" t="n">
        <v>56647</v>
      </c>
      <c r="AD3917" s="28"/>
      <c r="AE3917" s="28" t="n">
        <f aca="false">AD3917*$M3917</f>
        <v>0</v>
      </c>
      <c r="AF3917" s="28"/>
      <c r="AG3917" s="28" t="n">
        <f aca="false">AF3917*$M3917</f>
        <v>0</v>
      </c>
      <c r="AH3917" s="28"/>
      <c r="AI3917" s="28" t="n">
        <f aca="false">AH3917*$M3917</f>
        <v>0</v>
      </c>
      <c r="AJ3917" s="28"/>
      <c r="AK3917" s="28" t="n">
        <f aca="false">AJ3917*$M3917</f>
        <v>0</v>
      </c>
      <c r="AL3917" s="28"/>
      <c r="AM3917" s="28" t="n">
        <f aca="false">AL3917*$M3917</f>
        <v>0</v>
      </c>
      <c r="AN3917" s="28"/>
      <c r="AO3917" s="28" t="n">
        <f aca="false">AN3917*$M3917</f>
        <v>0</v>
      </c>
      <c r="AP3917" s="28"/>
      <c r="AQ3917" s="28" t="n">
        <f aca="false">AP3917*$M3917</f>
        <v>0</v>
      </c>
      <c r="AR3917" s="28"/>
      <c r="AS3917" s="28" t="n">
        <f aca="false">AR3917*$M3917</f>
        <v>0</v>
      </c>
      <c r="AT3917" s="28"/>
      <c r="AU3917" s="28" t="n">
        <f aca="false">AT3917*$M3917</f>
        <v>0</v>
      </c>
      <c r="AV3917" s="28"/>
      <c r="AW3917" s="28" t="n">
        <f aca="false">AV3917*$M3917</f>
        <v>0</v>
      </c>
      <c r="AX3917" s="28"/>
      <c r="AY3917" s="28" t="n">
        <f aca="false">AX3917*$M3917</f>
        <v>0</v>
      </c>
      <c r="AZ3917" s="30" t="n">
        <f aca="false">82702/100</f>
        <v>827.02</v>
      </c>
      <c r="BA3917" s="11" t="n">
        <v>62027</v>
      </c>
      <c r="BB3917" s="31" t="n">
        <f aca="false">SUM(Q3917,S3917,U3917,W3917,Y3917,AA3917,AC3917,AE3917,AG3917,AI3917,AK3917,AM3917,AO3917,AQ3917,AS3917,AU3917,AW3917,AY3917)</f>
        <v>62027</v>
      </c>
      <c r="BC3917" s="28" t="n">
        <f aca="false">BA3917-BB3917</f>
        <v>0</v>
      </c>
      <c r="BD3917" s="32" t="n">
        <f aca="false">SUM(P3917,R3917,T3917,V3917,X3917,Z3917,AB3917,AD3917,AF3917,AH3917,AJ3917,AL3917,AN3917,AP3917,AR3917,AT3917,AV3917,AX3917)</f>
        <v>827.02</v>
      </c>
      <c r="BE3917" s="33" t="n">
        <f aca="false">AZ3917-BD3917</f>
        <v>0</v>
      </c>
      <c r="BF3917" s="34" t="n">
        <f aca="false">BD3917*M3917</f>
        <v>62026.5</v>
      </c>
      <c r="BG3917" s="35" t="n">
        <f aca="false">BA3917-BF3917</f>
        <v>0.500000000007276</v>
      </c>
      <c r="BH3917" s="19" t="str">
        <f aca="false">IF(BG3917=0,"",IF(BG3917&lt;&gt;BA3917,"erreur de calcul",IF(BD3917&lt;&gt;0,"pas de prix",IF(M3917&lt;&gt; 0,"pas de quantité","pas de prix, ni de quantité"))))</f>
        <v>erreur de calcul</v>
      </c>
      <c r="BI3917" s="19"/>
    </row>
    <row r="3918" customFormat="false" ht="15" hidden="false" customHeight="false" outlineLevel="0" collapsed="false">
      <c r="A3918" s="0" t="n">
        <v>14</v>
      </c>
      <c r="B3918" s="8" t="s">
        <v>24</v>
      </c>
      <c r="C3918" s="9" t="s">
        <v>25</v>
      </c>
      <c r="D3918" s="9" t="s">
        <v>26</v>
      </c>
      <c r="E3918" s="10" t="n">
        <v>1789</v>
      </c>
      <c r="F3918" s="9" t="s">
        <v>27</v>
      </c>
      <c r="G3918" s="9" t="s">
        <v>27</v>
      </c>
      <c r="H3918" s="11" t="n">
        <v>20</v>
      </c>
      <c r="I3918" s="11" t="s">
        <v>130</v>
      </c>
      <c r="J3918" s="14" t="n">
        <v>170</v>
      </c>
      <c r="K3918" s="14"/>
      <c r="L3918" s="16"/>
      <c r="M3918" s="27" t="n">
        <f aca="false">J3918+(K3918/20)+(L3918/240)</f>
        <v>170</v>
      </c>
      <c r="N3918" s="17" t="s">
        <v>64</v>
      </c>
      <c r="O3918" s="11"/>
      <c r="P3918" s="28"/>
      <c r="Q3918" s="28" t="n">
        <f aca="false">P3918*$M3918</f>
        <v>0</v>
      </c>
      <c r="R3918" s="28"/>
      <c r="S3918" s="28" t="n">
        <f aca="false">R3918*$M3918</f>
        <v>0</v>
      </c>
      <c r="T3918" s="28" t="n">
        <f aca="false">488/100</f>
        <v>4.88</v>
      </c>
      <c r="U3918" s="28" t="n">
        <v>830</v>
      </c>
      <c r="V3918" s="28"/>
      <c r="W3918" s="28" t="n">
        <f aca="false">V3918*$M3918</f>
        <v>0</v>
      </c>
      <c r="X3918" s="28" t="n">
        <f aca="false">8480/100</f>
        <v>84.8</v>
      </c>
      <c r="Y3918" s="28" t="n">
        <v>14416</v>
      </c>
      <c r="Z3918" s="28"/>
      <c r="AA3918" s="28" t="n">
        <f aca="false">Z3918*$M3918</f>
        <v>0</v>
      </c>
      <c r="AB3918" s="28" t="n">
        <f aca="false">291/100</f>
        <v>2.91</v>
      </c>
      <c r="AC3918" s="28" t="n">
        <v>495</v>
      </c>
      <c r="AD3918" s="28"/>
      <c r="AE3918" s="28" t="n">
        <f aca="false">AD3918*$M3918</f>
        <v>0</v>
      </c>
      <c r="AF3918" s="28"/>
      <c r="AG3918" s="28" t="n">
        <f aca="false">AF3918*$M3918</f>
        <v>0</v>
      </c>
      <c r="AH3918" s="28"/>
      <c r="AI3918" s="28" t="n">
        <f aca="false">AH3918*$M3918</f>
        <v>0</v>
      </c>
      <c r="AJ3918" s="28"/>
      <c r="AK3918" s="28" t="n">
        <f aca="false">AJ3918*$M3918</f>
        <v>0</v>
      </c>
      <c r="AL3918" s="28"/>
      <c r="AM3918" s="28" t="n">
        <f aca="false">AL3918*$M3918</f>
        <v>0</v>
      </c>
      <c r="AN3918" s="28"/>
      <c r="AO3918" s="28" t="n">
        <f aca="false">AN3918*$M3918</f>
        <v>0</v>
      </c>
      <c r="AP3918" s="28"/>
      <c r="AQ3918" s="28" t="n">
        <f aca="false">AP3918*$M3918</f>
        <v>0</v>
      </c>
      <c r="AR3918" s="28"/>
      <c r="AS3918" s="28" t="n">
        <f aca="false">AR3918*$M3918</f>
        <v>0</v>
      </c>
      <c r="AT3918" s="28"/>
      <c r="AU3918" s="28" t="n">
        <f aca="false">AT3918*$M3918</f>
        <v>0</v>
      </c>
      <c r="AV3918" s="28"/>
      <c r="AW3918" s="28" t="n">
        <f aca="false">AV3918*$M3918</f>
        <v>0</v>
      </c>
      <c r="AX3918" s="28"/>
      <c r="AY3918" s="28" t="n">
        <f aca="false">AX3918*$M3918</f>
        <v>0</v>
      </c>
      <c r="AZ3918" s="30" t="n">
        <f aca="false">9259/100</f>
        <v>92.59</v>
      </c>
      <c r="BA3918" s="11" t="n">
        <v>15741</v>
      </c>
      <c r="BB3918" s="31" t="n">
        <f aca="false">SUM(Q3918,S3918,U3918,W3918,Y3918,AA3918,AC3918,AE3918,AG3918,AI3918,AK3918,AM3918,AO3918,AQ3918,AS3918,AU3918,AW3918,AY3918)</f>
        <v>15741</v>
      </c>
      <c r="BC3918" s="28" t="n">
        <f aca="false">BA3918-BB3918</f>
        <v>0</v>
      </c>
      <c r="BD3918" s="32" t="n">
        <f aca="false">SUM(P3918,R3918,T3918,V3918,X3918,Z3918,AB3918,AD3918,AF3918,AH3918,AJ3918,AL3918,AN3918,AP3918,AR3918,AT3918,AV3918,AX3918)</f>
        <v>92.59</v>
      </c>
      <c r="BE3918" s="33" t="n">
        <f aca="false">AZ3918-BD3918</f>
        <v>0</v>
      </c>
      <c r="BF3918" s="34" t="n">
        <f aca="false">BD3918*M3918</f>
        <v>15740.3</v>
      </c>
      <c r="BG3918" s="35" t="n">
        <f aca="false">BA3918-BF3918</f>
        <v>0.700000000002547</v>
      </c>
      <c r="BH3918" s="19" t="str">
        <f aca="false">IF(BG3918=0,"",IF(BG3918&lt;&gt;BA3918,"erreur de calcul",IF(BD3918&lt;&gt;0,"pas de prix",IF(M3918&lt;&gt; 0,"pas de quantité","pas de prix, ni de quantité"))))</f>
        <v>erreur de calcul</v>
      </c>
      <c r="BI3918" s="19"/>
    </row>
    <row r="3919" customFormat="false" ht="15" hidden="false" customHeight="false" outlineLevel="0" collapsed="false">
      <c r="A3919" s="0" t="n">
        <v>15</v>
      </c>
      <c r="B3919" s="8" t="s">
        <v>24</v>
      </c>
      <c r="C3919" s="9" t="s">
        <v>25</v>
      </c>
      <c r="D3919" s="9" t="s">
        <v>26</v>
      </c>
      <c r="E3919" s="10" t="n">
        <v>1789</v>
      </c>
      <c r="F3919" s="9" t="s">
        <v>27</v>
      </c>
      <c r="G3919" s="9" t="s">
        <v>27</v>
      </c>
      <c r="H3919" s="11" t="n">
        <v>20</v>
      </c>
      <c r="I3919" s="11" t="s">
        <v>131</v>
      </c>
      <c r="J3919" s="14"/>
      <c r="K3919" s="14" t="n">
        <v>55</v>
      </c>
      <c r="L3919" s="16"/>
      <c r="M3919" s="27" t="n">
        <f aca="false">J3919+(K3919/20)+(L3919/240)</f>
        <v>2.75</v>
      </c>
      <c r="N3919" s="17" t="s">
        <v>64</v>
      </c>
      <c r="O3919" s="11"/>
      <c r="P3919" s="28"/>
      <c r="Q3919" s="28" t="n">
        <f aca="false">P3919*$M3919</f>
        <v>0</v>
      </c>
      <c r="R3919" s="28"/>
      <c r="S3919" s="28" t="n">
        <f aca="false">R3919*$M3919</f>
        <v>0</v>
      </c>
      <c r="T3919" s="28"/>
      <c r="U3919" s="28" t="n">
        <f aca="false">T3919*$M3919</f>
        <v>0</v>
      </c>
      <c r="V3919" s="28"/>
      <c r="W3919" s="28" t="n">
        <f aca="false">V3919*$M3919</f>
        <v>0</v>
      </c>
      <c r="X3919" s="28" t="n">
        <f aca="false">3875617/100</f>
        <v>38756.17</v>
      </c>
      <c r="Y3919" s="28" t="n">
        <v>106579</v>
      </c>
      <c r="Z3919" s="28" t="n">
        <f aca="false">62500/100</f>
        <v>625</v>
      </c>
      <c r="AA3919" s="28" t="n">
        <v>1719</v>
      </c>
      <c r="AB3919" s="28" t="n">
        <f aca="false">360000/100</f>
        <v>3600</v>
      </c>
      <c r="AC3919" s="28" t="n">
        <v>9900</v>
      </c>
      <c r="AD3919" s="28"/>
      <c r="AE3919" s="28" t="n">
        <f aca="false">AD3919*$M3919</f>
        <v>0</v>
      </c>
      <c r="AF3919" s="28"/>
      <c r="AG3919" s="28" t="n">
        <f aca="false">AF3919*$M3919</f>
        <v>0</v>
      </c>
      <c r="AH3919" s="28"/>
      <c r="AI3919" s="28" t="n">
        <f aca="false">AH3919*$M3919</f>
        <v>0</v>
      </c>
      <c r="AJ3919" s="28"/>
      <c r="AK3919" s="28" t="n">
        <f aca="false">AJ3919*$M3919</f>
        <v>0</v>
      </c>
      <c r="AL3919" s="28"/>
      <c r="AM3919" s="28" t="n">
        <f aca="false">AL3919*$M3919</f>
        <v>0</v>
      </c>
      <c r="AN3919" s="28"/>
      <c r="AO3919" s="28" t="n">
        <f aca="false">AN3919*$M3919</f>
        <v>0</v>
      </c>
      <c r="AP3919" s="28"/>
      <c r="AQ3919" s="28" t="n">
        <f aca="false">AP3919*$M3919</f>
        <v>0</v>
      </c>
      <c r="AR3919" s="28"/>
      <c r="AS3919" s="28" t="n">
        <f aca="false">AR3919*$M3919</f>
        <v>0</v>
      </c>
      <c r="AT3919" s="28"/>
      <c r="AU3919" s="28" t="n">
        <f aca="false">AT3919*$M3919</f>
        <v>0</v>
      </c>
      <c r="AV3919" s="28"/>
      <c r="AW3919" s="28" t="n">
        <f aca="false">AV3919*$M3919</f>
        <v>0</v>
      </c>
      <c r="AX3919" s="28"/>
      <c r="AY3919" s="28" t="n">
        <f aca="false">AX3919*$M3919</f>
        <v>0</v>
      </c>
      <c r="AZ3919" s="30" t="n">
        <f aca="false">4298117/100</f>
        <v>42981.17</v>
      </c>
      <c r="BA3919" s="11" t="n">
        <v>118198</v>
      </c>
      <c r="BB3919" s="31" t="n">
        <f aca="false">SUM(Q3919,S3919,U3919,W3919,Y3919,AA3919,AC3919,AE3919,AG3919,AI3919,AK3919,AM3919,AO3919,AQ3919,AS3919,AU3919,AW3919,AY3919)</f>
        <v>118198</v>
      </c>
      <c r="BC3919" s="28" t="n">
        <f aca="false">BA3919-BB3919</f>
        <v>0</v>
      </c>
      <c r="BD3919" s="32" t="n">
        <f aca="false">SUM(P3919,R3919,T3919,V3919,X3919,Z3919,AB3919,AD3919,AF3919,AH3919,AJ3919,AL3919,AN3919,AP3919,AR3919,AT3919,AV3919,AX3919)</f>
        <v>42981.17</v>
      </c>
      <c r="BE3919" s="33" t="n">
        <f aca="false">AZ3919-BD3919</f>
        <v>0</v>
      </c>
      <c r="BF3919" s="34" t="n">
        <f aca="false">BD3919*M3919</f>
        <v>118198.2175</v>
      </c>
      <c r="BG3919" s="35" t="n">
        <f aca="false">BA3919-BF3919</f>
        <v>-0.217499999998836</v>
      </c>
      <c r="BH3919" s="19" t="str">
        <f aca="false">IF(BG3919=0,"",IF(BG3919&lt;&gt;BA3919,"erreur de calcul",IF(BD3919&lt;&gt;0,"pas de prix",IF(M3919&lt;&gt; 0,"pas de quantité","pas de prix, ni de quantité"))))</f>
        <v>erreur de calcul</v>
      </c>
      <c r="BI3919" s="19"/>
    </row>
    <row r="3920" customFormat="false" ht="15" hidden="false" customHeight="false" outlineLevel="0" collapsed="false">
      <c r="A3920" s="0" t="n">
        <v>16</v>
      </c>
      <c r="B3920" s="8" t="s">
        <v>24</v>
      </c>
      <c r="C3920" s="9" t="s">
        <v>25</v>
      </c>
      <c r="D3920" s="9" t="s">
        <v>26</v>
      </c>
      <c r="E3920" s="10" t="n">
        <v>1789</v>
      </c>
      <c r="F3920" s="9" t="s">
        <v>27</v>
      </c>
      <c r="G3920" s="9" t="s">
        <v>27</v>
      </c>
      <c r="H3920" s="11" t="n">
        <v>20</v>
      </c>
      <c r="I3920" s="11" t="s">
        <v>132</v>
      </c>
      <c r="J3920" s="14"/>
      <c r="K3920" s="14" t="n">
        <v>50</v>
      </c>
      <c r="L3920" s="16"/>
      <c r="M3920" s="27" t="n">
        <f aca="false">J3920+(K3920/20)+(L3920/240)</f>
        <v>2.5</v>
      </c>
      <c r="N3920" s="17" t="s">
        <v>64</v>
      </c>
      <c r="O3920" s="11"/>
      <c r="P3920" s="28"/>
      <c r="Q3920" s="28" t="n">
        <f aca="false">P3920*$M3920</f>
        <v>0</v>
      </c>
      <c r="R3920" s="28"/>
      <c r="S3920" s="28" t="n">
        <f aca="false">R3920*$M3920</f>
        <v>0</v>
      </c>
      <c r="T3920" s="28"/>
      <c r="U3920" s="28" t="n">
        <f aca="false">T3920*$M3920</f>
        <v>0</v>
      </c>
      <c r="V3920" s="28" t="n">
        <f aca="false">25000/100</f>
        <v>250</v>
      </c>
      <c r="W3920" s="28" t="n">
        <v>625</v>
      </c>
      <c r="X3920" s="28" t="n">
        <f aca="false">9335/100</f>
        <v>93.35</v>
      </c>
      <c r="Y3920" s="28" t="n">
        <v>233</v>
      </c>
      <c r="Z3920" s="28"/>
      <c r="AA3920" s="28" t="n">
        <f aca="false">Z3920*$M3920</f>
        <v>0</v>
      </c>
      <c r="AB3920" s="28"/>
      <c r="AC3920" s="28" t="n">
        <f aca="false">AB3920*$M3920</f>
        <v>0</v>
      </c>
      <c r="AD3920" s="28"/>
      <c r="AE3920" s="28" t="n">
        <f aca="false">AD3920*$M3920</f>
        <v>0</v>
      </c>
      <c r="AF3920" s="28"/>
      <c r="AG3920" s="28" t="n">
        <f aca="false">AF3920*$M3920</f>
        <v>0</v>
      </c>
      <c r="AH3920" s="28"/>
      <c r="AI3920" s="28" t="n">
        <f aca="false">AH3920*$M3920</f>
        <v>0</v>
      </c>
      <c r="AJ3920" s="28"/>
      <c r="AK3920" s="28" t="n">
        <f aca="false">AJ3920*$M3920</f>
        <v>0</v>
      </c>
      <c r="AL3920" s="28"/>
      <c r="AM3920" s="28" t="n">
        <f aca="false">AL3920*$M3920</f>
        <v>0</v>
      </c>
      <c r="AN3920" s="28"/>
      <c r="AO3920" s="28" t="n">
        <f aca="false">AN3920*$M3920</f>
        <v>0</v>
      </c>
      <c r="AP3920" s="28"/>
      <c r="AQ3920" s="28" t="n">
        <f aca="false">AP3920*$M3920</f>
        <v>0</v>
      </c>
      <c r="AR3920" s="28"/>
      <c r="AS3920" s="28" t="n">
        <f aca="false">AR3920*$M3920</f>
        <v>0</v>
      </c>
      <c r="AT3920" s="28"/>
      <c r="AU3920" s="28" t="n">
        <f aca="false">AT3920*$M3920</f>
        <v>0</v>
      </c>
      <c r="AV3920" s="28"/>
      <c r="AW3920" s="28" t="n">
        <f aca="false">AV3920*$M3920</f>
        <v>0</v>
      </c>
      <c r="AX3920" s="28"/>
      <c r="AY3920" s="28" t="n">
        <f aca="false">AX3920*$M3920</f>
        <v>0</v>
      </c>
      <c r="AZ3920" s="30" t="n">
        <f aca="false">34335/100</f>
        <v>343.35</v>
      </c>
      <c r="BA3920" s="11" t="n">
        <v>858</v>
      </c>
      <c r="BB3920" s="31" t="n">
        <f aca="false">SUM(Q3920,S3920,U3920,W3920,Y3920,AA3920,AC3920,AE3920,AG3920,AI3920,AK3920,AM3920,AO3920,AQ3920,AS3920,AU3920,AW3920,AY3920)</f>
        <v>858</v>
      </c>
      <c r="BC3920" s="28" t="n">
        <f aca="false">BA3920-BB3920</f>
        <v>0</v>
      </c>
      <c r="BD3920" s="32" t="n">
        <f aca="false">SUM(P3920,R3920,T3920,V3920,X3920,Z3920,AB3920,AD3920,AF3920,AH3920,AJ3920,AL3920,AN3920,AP3920,AR3920,AT3920,AV3920,AX3920)</f>
        <v>343.35</v>
      </c>
      <c r="BE3920" s="33" t="n">
        <f aca="false">AZ3920-BD3920</f>
        <v>0</v>
      </c>
      <c r="BF3920" s="34" t="n">
        <f aca="false">BD3920*M3920</f>
        <v>858.375</v>
      </c>
      <c r="BG3920" s="35" t="n">
        <f aca="false">BA3920-BF3920</f>
        <v>-0.375</v>
      </c>
      <c r="BH3920" s="19" t="str">
        <f aca="false">IF(BG3920=0,"",IF(BG3920&lt;&gt;BA3920,"erreur de calcul",IF(BD3920&lt;&gt;0,"pas de prix",IF(M3920&lt;&gt; 0,"pas de quantité","pas de prix, ni de quantité"))))</f>
        <v>erreur de calcul</v>
      </c>
      <c r="BI3920" s="19"/>
    </row>
    <row r="3921" customFormat="false" ht="15" hidden="false" customHeight="false" outlineLevel="0" collapsed="false">
      <c r="A3921" s="0" t="n">
        <v>17</v>
      </c>
      <c r="B3921" s="8" t="s">
        <v>24</v>
      </c>
      <c r="C3921" s="9" t="s">
        <v>25</v>
      </c>
      <c r="D3921" s="9" t="s">
        <v>26</v>
      </c>
      <c r="E3921" s="10" t="n">
        <v>1789</v>
      </c>
      <c r="F3921" s="9" t="s">
        <v>27</v>
      </c>
      <c r="G3921" s="9" t="s">
        <v>27</v>
      </c>
      <c r="H3921" s="11" t="n">
        <v>20</v>
      </c>
      <c r="I3921" s="11" t="s">
        <v>133</v>
      </c>
      <c r="J3921" s="14" t="n">
        <v>175</v>
      </c>
      <c r="K3921" s="14"/>
      <c r="L3921" s="16"/>
      <c r="M3921" s="27" t="n">
        <f aca="false">J3921+(K3921/20)+(L3921/240)</f>
        <v>175</v>
      </c>
      <c r="N3921" s="17" t="s">
        <v>64</v>
      </c>
      <c r="O3921" s="11"/>
      <c r="P3921" s="28" t="n">
        <f aca="false">84/100</f>
        <v>0.84</v>
      </c>
      <c r="Q3921" s="28" t="n">
        <v>147</v>
      </c>
      <c r="R3921" s="28"/>
      <c r="S3921" s="28" t="n">
        <f aca="false">R3921*$M3921</f>
        <v>0</v>
      </c>
      <c r="T3921" s="28"/>
      <c r="U3921" s="28" t="n">
        <f aca="false">T3921*$M3921</f>
        <v>0</v>
      </c>
      <c r="V3921" s="28" t="n">
        <f aca="false">124/100</f>
        <v>1.24</v>
      </c>
      <c r="W3921" s="28" t="n">
        <v>217</v>
      </c>
      <c r="X3921" s="28" t="n">
        <f aca="false">6034/100</f>
        <v>60.34</v>
      </c>
      <c r="Y3921" s="28" t="n">
        <v>10559</v>
      </c>
      <c r="Z3921" s="28" t="n">
        <f aca="false">147/100</f>
        <v>1.47</v>
      </c>
      <c r="AA3921" s="28" t="n">
        <v>257</v>
      </c>
      <c r="AB3921" s="28" t="n">
        <f aca="false">195/100</f>
        <v>1.95</v>
      </c>
      <c r="AC3921" s="28" t="n">
        <v>341</v>
      </c>
      <c r="AD3921" s="28"/>
      <c r="AE3921" s="28" t="n">
        <f aca="false">AD3921*$M3921</f>
        <v>0</v>
      </c>
      <c r="AF3921" s="28"/>
      <c r="AG3921" s="28" t="n">
        <f aca="false">AF3921*$M3921</f>
        <v>0</v>
      </c>
      <c r="AH3921" s="28"/>
      <c r="AI3921" s="28" t="n">
        <f aca="false">AH3921*$M3921</f>
        <v>0</v>
      </c>
      <c r="AJ3921" s="28"/>
      <c r="AK3921" s="28" t="n">
        <f aca="false">AJ3921*$M3921</f>
        <v>0</v>
      </c>
      <c r="AL3921" s="28"/>
      <c r="AM3921" s="28" t="n">
        <f aca="false">AL3921*$M3921</f>
        <v>0</v>
      </c>
      <c r="AN3921" s="28"/>
      <c r="AO3921" s="28" t="n">
        <f aca="false">AN3921*$M3921</f>
        <v>0</v>
      </c>
      <c r="AP3921" s="28"/>
      <c r="AQ3921" s="28" t="n">
        <f aca="false">AP3921*$M3921</f>
        <v>0</v>
      </c>
      <c r="AR3921" s="28"/>
      <c r="AS3921" s="28" t="n">
        <f aca="false">AR3921*$M3921</f>
        <v>0</v>
      </c>
      <c r="AT3921" s="28"/>
      <c r="AU3921" s="28" t="n">
        <f aca="false">AT3921*$M3921</f>
        <v>0</v>
      </c>
      <c r="AV3921" s="28"/>
      <c r="AW3921" s="28" t="n">
        <f aca="false">AV3921*$M3921</f>
        <v>0</v>
      </c>
      <c r="AX3921" s="28"/>
      <c r="AY3921" s="28" t="n">
        <f aca="false">AX3921*$M3921</f>
        <v>0</v>
      </c>
      <c r="AZ3921" s="30" t="n">
        <f aca="false">6584/100</f>
        <v>65.84</v>
      </c>
      <c r="BA3921" s="11" t="n">
        <v>11521</v>
      </c>
      <c r="BB3921" s="31" t="n">
        <f aca="false">SUM(Q3921,S3921,U3921,W3921,Y3921,AA3921,AC3921,AE3921,AG3921,AI3921,AK3921,AM3921,AO3921,AQ3921,AS3921,AU3921,AW3921,AY3921)</f>
        <v>11521</v>
      </c>
      <c r="BC3921" s="28" t="n">
        <f aca="false">BA3921-BB3921</f>
        <v>0</v>
      </c>
      <c r="BD3921" s="32" t="n">
        <f aca="false">SUM(P3921,R3921,T3921,V3921,X3921,Z3921,AB3921,AD3921,AF3921,AH3921,AJ3921,AL3921,AN3921,AP3921,AR3921,AT3921,AV3921,AX3921)</f>
        <v>65.84</v>
      </c>
      <c r="BE3921" s="33" t="n">
        <f aca="false">AZ3921-BD3921</f>
        <v>0</v>
      </c>
      <c r="BF3921" s="34" t="n">
        <f aca="false">BD3921*M3921</f>
        <v>11522</v>
      </c>
      <c r="BG3921" s="35" t="n">
        <f aca="false">BA3921-BF3921</f>
        <v>-1</v>
      </c>
      <c r="BH3921" s="19" t="str">
        <f aca="false">IF(BG3921=0,"",IF(BG3921&lt;&gt;BA3921,"erreur de calcul",IF(BD3921&lt;&gt;0,"pas de prix",IF(M3921&lt;&gt; 0,"pas de quantité","pas de prix, ni de quantité"))))</f>
        <v>erreur de calcul</v>
      </c>
      <c r="BI3921" s="19"/>
    </row>
    <row r="3922" customFormat="false" ht="15" hidden="false" customHeight="false" outlineLevel="0" collapsed="false">
      <c r="A3922" s="0" t="n">
        <v>18</v>
      </c>
      <c r="B3922" s="8" t="s">
        <v>24</v>
      </c>
      <c r="C3922" s="9" t="s">
        <v>25</v>
      </c>
      <c r="D3922" s="9" t="s">
        <v>26</v>
      </c>
      <c r="E3922" s="10" t="n">
        <v>1789</v>
      </c>
      <c r="F3922" s="9" t="s">
        <v>27</v>
      </c>
      <c r="G3922" s="9" t="s">
        <v>27</v>
      </c>
      <c r="H3922" s="11" t="n">
        <v>20</v>
      </c>
      <c r="I3922" s="11" t="s">
        <v>134</v>
      </c>
      <c r="J3922" s="14" t="n">
        <v>210</v>
      </c>
      <c r="K3922" s="14"/>
      <c r="L3922" s="16"/>
      <c r="M3922" s="27" t="n">
        <f aca="false">J3922+(K3922/20)+(L3922/240)</f>
        <v>210</v>
      </c>
      <c r="N3922" s="17" t="s">
        <v>64</v>
      </c>
      <c r="O3922" s="11"/>
      <c r="P3922" s="28"/>
      <c r="Q3922" s="28" t="n">
        <f aca="false">P3922*$M3922</f>
        <v>0</v>
      </c>
      <c r="R3922" s="28"/>
      <c r="S3922" s="28" t="n">
        <f aca="false">R3922*$M3922</f>
        <v>0</v>
      </c>
      <c r="T3922" s="28"/>
      <c r="U3922" s="28" t="n">
        <f aca="false">T3922*$M3922</f>
        <v>0</v>
      </c>
      <c r="V3922" s="28" t="n">
        <f aca="false">869/100</f>
        <v>8.69</v>
      </c>
      <c r="W3922" s="28" t="n">
        <v>1825</v>
      </c>
      <c r="X3922" s="28"/>
      <c r="Y3922" s="28" t="n">
        <f aca="false">X3922*$M3922</f>
        <v>0</v>
      </c>
      <c r="Z3922" s="28"/>
      <c r="AA3922" s="28" t="n">
        <f aca="false">Z3922*$M3922</f>
        <v>0</v>
      </c>
      <c r="AB3922" s="28"/>
      <c r="AC3922" s="28" t="n">
        <f aca="false">AB3922*$M3922</f>
        <v>0</v>
      </c>
      <c r="AD3922" s="28"/>
      <c r="AE3922" s="28" t="n">
        <f aca="false">AD3922*$M3922</f>
        <v>0</v>
      </c>
      <c r="AF3922" s="28"/>
      <c r="AG3922" s="28" t="n">
        <f aca="false">AF3922*$M3922</f>
        <v>0</v>
      </c>
      <c r="AH3922" s="28"/>
      <c r="AI3922" s="28" t="n">
        <f aca="false">AH3922*$M3922</f>
        <v>0</v>
      </c>
      <c r="AJ3922" s="28"/>
      <c r="AK3922" s="28" t="n">
        <f aca="false">AJ3922*$M3922</f>
        <v>0</v>
      </c>
      <c r="AL3922" s="28"/>
      <c r="AM3922" s="28" t="n">
        <f aca="false">AL3922*$M3922</f>
        <v>0</v>
      </c>
      <c r="AN3922" s="28"/>
      <c r="AO3922" s="28" t="n">
        <f aca="false">AN3922*$M3922</f>
        <v>0</v>
      </c>
      <c r="AP3922" s="28"/>
      <c r="AQ3922" s="28" t="n">
        <f aca="false">AP3922*$M3922</f>
        <v>0</v>
      </c>
      <c r="AR3922" s="28"/>
      <c r="AS3922" s="28" t="n">
        <f aca="false">AR3922*$M3922</f>
        <v>0</v>
      </c>
      <c r="AT3922" s="28"/>
      <c r="AU3922" s="28" t="n">
        <f aca="false">AT3922*$M3922</f>
        <v>0</v>
      </c>
      <c r="AV3922" s="28"/>
      <c r="AW3922" s="28" t="n">
        <f aca="false">AV3922*$M3922</f>
        <v>0</v>
      </c>
      <c r="AX3922" s="28"/>
      <c r="AY3922" s="28" t="n">
        <f aca="false">AX3922*$M3922</f>
        <v>0</v>
      </c>
      <c r="AZ3922" s="30" t="n">
        <f aca="false">869/100</f>
        <v>8.69</v>
      </c>
      <c r="BA3922" s="11" t="n">
        <v>1825</v>
      </c>
      <c r="BB3922" s="31" t="n">
        <f aca="false">SUM(Q3922,S3922,U3922,W3922,Y3922,AA3922,AC3922,AE3922,AG3922,AI3922,AK3922,AM3922,AO3922,AQ3922,AS3922,AU3922,AW3922,AY3922)</f>
        <v>1825</v>
      </c>
      <c r="BC3922" s="28" t="n">
        <f aca="false">BA3922-BB3922</f>
        <v>0</v>
      </c>
      <c r="BD3922" s="32" t="n">
        <f aca="false">SUM(P3922,R3922,T3922,V3922,X3922,Z3922,AB3922,AD3922,AF3922,AH3922,AJ3922,AL3922,AN3922,AP3922,AR3922,AT3922,AV3922,AX3922)</f>
        <v>8.69</v>
      </c>
      <c r="BE3922" s="33" t="n">
        <f aca="false">AZ3922-BD3922</f>
        <v>0</v>
      </c>
      <c r="BF3922" s="34" t="n">
        <f aca="false">BD3922*M3922</f>
        <v>1824.9</v>
      </c>
      <c r="BG3922" s="35" t="n">
        <f aca="false">BA3922-BF3922</f>
        <v>0.100000000000136</v>
      </c>
      <c r="BH3922" s="19" t="str">
        <f aca="false">IF(BG3922=0,"",IF(BG3922&lt;&gt;BA3922,"erreur de calcul",IF(BD3922&lt;&gt;0,"pas de prix",IF(M3922&lt;&gt; 0,"pas de quantité","pas de prix, ni de quantité"))))</f>
        <v>erreur de calcul</v>
      </c>
      <c r="BI3922" s="19"/>
    </row>
    <row r="3923" customFormat="false" ht="15" hidden="false" customHeight="false" outlineLevel="0" collapsed="false">
      <c r="A3923" s="0" t="n">
        <v>19</v>
      </c>
      <c r="B3923" s="8" t="s">
        <v>24</v>
      </c>
      <c r="C3923" s="9" t="s">
        <v>25</v>
      </c>
      <c r="D3923" s="9" t="s">
        <v>26</v>
      </c>
      <c r="E3923" s="10" t="n">
        <v>1789</v>
      </c>
      <c r="F3923" s="9" t="s">
        <v>27</v>
      </c>
      <c r="G3923" s="9" t="s">
        <v>27</v>
      </c>
      <c r="H3923" s="11" t="n">
        <v>20</v>
      </c>
      <c r="I3923" s="11" t="s">
        <v>135</v>
      </c>
      <c r="J3923" s="14" t="n">
        <v>170</v>
      </c>
      <c r="K3923" s="14"/>
      <c r="L3923" s="16"/>
      <c r="M3923" s="27" t="n">
        <f aca="false">J3923+(K3923/20)+(L3923/240)</f>
        <v>170</v>
      </c>
      <c r="N3923" s="17" t="s">
        <v>64</v>
      </c>
      <c r="O3923" s="11" t="s">
        <v>77</v>
      </c>
      <c r="P3923" s="28"/>
      <c r="Q3923" s="28" t="n">
        <f aca="false">P3923*$M3923</f>
        <v>0</v>
      </c>
      <c r="R3923" s="28"/>
      <c r="S3923" s="28" t="n">
        <f aca="false">R3923*$M3923</f>
        <v>0</v>
      </c>
      <c r="T3923" s="28"/>
      <c r="U3923" s="28" t="n">
        <f aca="false">T3923*$M3923</f>
        <v>0</v>
      </c>
      <c r="V3923" s="28"/>
      <c r="W3923" s="28" t="n">
        <f aca="false">V3923*$M3923</f>
        <v>0</v>
      </c>
      <c r="X3923" s="28"/>
      <c r="Y3923" s="28" t="n">
        <f aca="false">X3923*$M3923</f>
        <v>0</v>
      </c>
      <c r="Z3923" s="28"/>
      <c r="AA3923" s="28" t="n">
        <f aca="false">Z3923*$M3923</f>
        <v>0</v>
      </c>
      <c r="AB3923" s="28"/>
      <c r="AC3923" s="28" t="n">
        <f aca="false">AB3923*$M3923</f>
        <v>0</v>
      </c>
      <c r="AD3923" s="28"/>
      <c r="AE3923" s="28" t="n">
        <f aca="false">AD3923*$M3923</f>
        <v>0</v>
      </c>
      <c r="AF3923" s="28" t="n">
        <f aca="false">229459/100</f>
        <v>2294.59</v>
      </c>
      <c r="AG3923" s="28" t="n">
        <v>390080</v>
      </c>
      <c r="AH3923" s="28" t="n">
        <f aca="false">202301/100</f>
        <v>2023.01</v>
      </c>
      <c r="AI3923" s="28" t="n">
        <v>343912</v>
      </c>
      <c r="AJ3923" s="28"/>
      <c r="AK3923" s="28" t="n">
        <f aca="false">AJ3923*$M3923</f>
        <v>0</v>
      </c>
      <c r="AL3923" s="28"/>
      <c r="AM3923" s="28" t="n">
        <f aca="false">AL3923*$M3923</f>
        <v>0</v>
      </c>
      <c r="AN3923" s="28"/>
      <c r="AO3923" s="28" t="n">
        <f aca="false">AN3923*$M3923</f>
        <v>0</v>
      </c>
      <c r="AP3923" s="28"/>
      <c r="AQ3923" s="28" t="n">
        <f aca="false">AP3923*$M3923</f>
        <v>0</v>
      </c>
      <c r="AR3923" s="28"/>
      <c r="AS3923" s="28" t="n">
        <f aca="false">AR3923*$M3923</f>
        <v>0</v>
      </c>
      <c r="AT3923" s="28"/>
      <c r="AU3923" s="28" t="n">
        <f aca="false">AT3923*$M3923</f>
        <v>0</v>
      </c>
      <c r="AV3923" s="28"/>
      <c r="AW3923" s="28" t="n">
        <f aca="false">AV3923*$M3923</f>
        <v>0</v>
      </c>
      <c r="AX3923" s="28" t="n">
        <f aca="false">2736/100</f>
        <v>27.36</v>
      </c>
      <c r="AY3923" s="28" t="n">
        <v>4651</v>
      </c>
      <c r="AZ3923" s="30" t="n">
        <f aca="false">434496/100</f>
        <v>4344.96</v>
      </c>
      <c r="BA3923" s="11" t="n">
        <v>738643</v>
      </c>
      <c r="BB3923" s="31" t="n">
        <f aca="false">SUM(Q3923,S3923,U3923,W3923,Y3923,AA3923,AC3923,AE3923,AG3923,AI3923,AK3923,AM3923,AO3923,AQ3923,AS3923,AU3923,AW3923,AY3923)</f>
        <v>738643</v>
      </c>
      <c r="BC3923" s="28" t="n">
        <f aca="false">BA3923-BB3923</f>
        <v>0</v>
      </c>
      <c r="BD3923" s="32" t="n">
        <f aca="false">SUM(P3923,R3923,T3923,V3923,X3923,Z3923,AB3923,AD3923,AF3923,AH3923,AJ3923,AL3923,AN3923,AP3923,AR3923,AT3923,AV3923,AX3923)</f>
        <v>4344.96</v>
      </c>
      <c r="BE3923" s="33" t="n">
        <f aca="false">AZ3923-BD3923</f>
        <v>0</v>
      </c>
      <c r="BF3923" s="34" t="n">
        <f aca="false">BD3923*M3923</f>
        <v>738643.2</v>
      </c>
      <c r="BG3923" s="35" t="n">
        <f aca="false">BA3923-BF3923</f>
        <v>-0.199999999953434</v>
      </c>
      <c r="BH3923" s="19" t="str">
        <f aca="false">IF(BG3923=0,"",IF(BG3923&lt;&gt;BA3923,"erreur de calcul",IF(BD3923&lt;&gt;0,"pas de prix",IF(M3923&lt;&gt; 0,"pas de quantité","pas de prix, ni de quantité"))))</f>
        <v>erreur de calcul</v>
      </c>
      <c r="BI3923" s="19"/>
    </row>
    <row r="3924" customFormat="false" ht="15" hidden="false" customHeight="false" outlineLevel="0" collapsed="false">
      <c r="A3924" s="0" t="n">
        <v>20</v>
      </c>
      <c r="B3924" s="8" t="s">
        <v>24</v>
      </c>
      <c r="C3924" s="9" t="s">
        <v>25</v>
      </c>
      <c r="D3924" s="9" t="s">
        <v>26</v>
      </c>
      <c r="E3924" s="10" t="n">
        <v>1789</v>
      </c>
      <c r="F3924" s="9" t="s">
        <v>27</v>
      </c>
      <c r="G3924" s="9" t="s">
        <v>27</v>
      </c>
      <c r="H3924" s="11" t="n">
        <v>20</v>
      </c>
      <c r="I3924" s="11" t="s">
        <v>136</v>
      </c>
      <c r="J3924" s="14" t="n">
        <v>41</v>
      </c>
      <c r="K3924" s="14"/>
      <c r="L3924" s="16"/>
      <c r="M3924" s="27" t="n">
        <f aca="false">J3924+(K3924/20)+(L3924/240)</f>
        <v>41</v>
      </c>
      <c r="N3924" s="17" t="s">
        <v>64</v>
      </c>
      <c r="O3924" s="11"/>
      <c r="P3924" s="28" t="n">
        <f aca="false">1210/100</f>
        <v>12.1</v>
      </c>
      <c r="Q3924" s="28" t="n">
        <v>496</v>
      </c>
      <c r="R3924" s="28"/>
      <c r="S3924" s="28" t="n">
        <f aca="false">R3924*$M3924</f>
        <v>0</v>
      </c>
      <c r="T3924" s="28"/>
      <c r="U3924" s="28" t="n">
        <f aca="false">T3924*$M3924</f>
        <v>0</v>
      </c>
      <c r="V3924" s="28"/>
      <c r="W3924" s="28" t="n">
        <f aca="false">V3924*$M3924</f>
        <v>0</v>
      </c>
      <c r="X3924" s="28"/>
      <c r="Y3924" s="28" t="n">
        <f aca="false">X3924*$M3924</f>
        <v>0</v>
      </c>
      <c r="Z3924" s="28"/>
      <c r="AA3924" s="28" t="n">
        <f aca="false">Z3924*$M3924</f>
        <v>0</v>
      </c>
      <c r="AB3924" s="28"/>
      <c r="AC3924" s="28" t="n">
        <f aca="false">AB3924*$M3924</f>
        <v>0</v>
      </c>
      <c r="AD3924" s="28"/>
      <c r="AE3924" s="28" t="n">
        <f aca="false">AD3924*$M3924</f>
        <v>0</v>
      </c>
      <c r="AF3924" s="28"/>
      <c r="AG3924" s="28" t="n">
        <f aca="false">AF3924*$M3924</f>
        <v>0</v>
      </c>
      <c r="AH3924" s="28"/>
      <c r="AI3924" s="28" t="n">
        <f aca="false">AH3924*$M3924</f>
        <v>0</v>
      </c>
      <c r="AJ3924" s="28" t="n">
        <f aca="false">85034/100</f>
        <v>850.34</v>
      </c>
      <c r="AK3924" s="28" t="n">
        <v>34864</v>
      </c>
      <c r="AL3924" s="28" t="n">
        <f aca="false">1024/100</f>
        <v>10.24</v>
      </c>
      <c r="AM3924" s="28" t="n">
        <v>420</v>
      </c>
      <c r="AN3924" s="28"/>
      <c r="AO3924" s="28" t="n">
        <f aca="false">AN3924*$M3924</f>
        <v>0</v>
      </c>
      <c r="AP3924" s="28"/>
      <c r="AQ3924" s="28" t="n">
        <f aca="false">AP3924*$M3924</f>
        <v>0</v>
      </c>
      <c r="AR3924" s="28"/>
      <c r="AS3924" s="28" t="n">
        <f aca="false">AR3924*$M3924</f>
        <v>0</v>
      </c>
      <c r="AT3924" s="28"/>
      <c r="AU3924" s="28" t="n">
        <f aca="false">AT3924*$M3924</f>
        <v>0</v>
      </c>
      <c r="AV3924" s="28"/>
      <c r="AW3924" s="28" t="n">
        <f aca="false">AV3924*$M3924</f>
        <v>0</v>
      </c>
      <c r="AX3924" s="28"/>
      <c r="AY3924" s="28" t="n">
        <f aca="false">AX3924*$M3924</f>
        <v>0</v>
      </c>
      <c r="AZ3924" s="30" t="n">
        <f aca="false">87268/100</f>
        <v>872.68</v>
      </c>
      <c r="BA3924" s="11" t="n">
        <v>35780</v>
      </c>
      <c r="BB3924" s="31" t="n">
        <f aca="false">SUM(Q3924,S3924,U3924,W3924,Y3924,AA3924,AC3924,AE3924,AG3924,AI3924,AK3924,AM3924,AO3924,AQ3924,AS3924,AU3924,AW3924,AY3924)</f>
        <v>35780</v>
      </c>
      <c r="BC3924" s="28" t="n">
        <f aca="false">BA3924-BB3924</f>
        <v>0</v>
      </c>
      <c r="BD3924" s="32" t="n">
        <f aca="false">SUM(P3924,R3924,T3924,V3924,X3924,Z3924,AB3924,AD3924,AF3924,AH3924,AJ3924,AL3924,AN3924,AP3924,AR3924,AT3924,AV3924,AX3924)</f>
        <v>872.68</v>
      </c>
      <c r="BE3924" s="33" t="n">
        <f aca="false">AZ3924-BD3924</f>
        <v>0</v>
      </c>
      <c r="BF3924" s="34" t="n">
        <f aca="false">BD3924*M3924</f>
        <v>35779.88</v>
      </c>
      <c r="BG3924" s="35" t="n">
        <f aca="false">BA3924-BF3924</f>
        <v>0.119999999995343</v>
      </c>
      <c r="BH3924" s="19" t="str">
        <f aca="false">IF(BG3924=0,"",IF(BG3924&lt;&gt;BA3924,"erreur de calcul",IF(BD3924&lt;&gt;0,"pas de prix",IF(M3924&lt;&gt; 0,"pas de quantité","pas de prix, ni de quantité"))))</f>
        <v>erreur de calcul</v>
      </c>
      <c r="BI3924" s="19"/>
    </row>
    <row r="3925" customFormat="false" ht="15" hidden="false" customHeight="false" outlineLevel="0" collapsed="false">
      <c r="A3925" s="0" t="n">
        <v>21</v>
      </c>
      <c r="B3925" s="8" t="s">
        <v>24</v>
      </c>
      <c r="C3925" s="9" t="s">
        <v>25</v>
      </c>
      <c r="D3925" s="9" t="s">
        <v>26</v>
      </c>
      <c r="E3925" s="10" t="n">
        <v>1789</v>
      </c>
      <c r="F3925" s="9" t="s">
        <v>27</v>
      </c>
      <c r="G3925" s="9" t="s">
        <v>27</v>
      </c>
      <c r="H3925" s="11" t="n">
        <v>20</v>
      </c>
      <c r="I3925" s="11" t="s">
        <v>137</v>
      </c>
      <c r="J3925" s="14"/>
      <c r="K3925" s="14"/>
      <c r="L3925" s="16"/>
      <c r="M3925" s="27" t="n">
        <f aca="false">J3925+(K3925/20)+(L3925/240)</f>
        <v>0</v>
      </c>
      <c r="N3925" s="39" t="s">
        <v>138</v>
      </c>
      <c r="O3925" s="11"/>
      <c r="P3925" s="28" t="n">
        <v>337</v>
      </c>
      <c r="Q3925" s="28" t="n">
        <v>6250</v>
      </c>
      <c r="R3925" s="28"/>
      <c r="S3925" s="28" t="n">
        <f aca="false">R3925*$M3925</f>
        <v>0</v>
      </c>
      <c r="T3925" s="28"/>
      <c r="U3925" s="28" t="n">
        <f aca="false">T3925*$M3925</f>
        <v>0</v>
      </c>
      <c r="V3925" s="28" t="n">
        <v>760</v>
      </c>
      <c r="W3925" s="28" t="n">
        <v>18259</v>
      </c>
      <c r="X3925" s="28"/>
      <c r="Y3925" s="28" t="n">
        <f aca="false">X3925*$M3925</f>
        <v>0</v>
      </c>
      <c r="Z3925" s="28"/>
      <c r="AA3925" s="28" t="n">
        <f aca="false">Z3925*$M3925</f>
        <v>0</v>
      </c>
      <c r="AB3925" s="28"/>
      <c r="AC3925" s="28" t="n">
        <f aca="false">AB3925*$M3925</f>
        <v>0</v>
      </c>
      <c r="AD3925" s="28"/>
      <c r="AE3925" s="28" t="n">
        <f aca="false">AD3925*$M3925</f>
        <v>0</v>
      </c>
      <c r="AF3925" s="28"/>
      <c r="AG3925" s="28" t="n">
        <f aca="false">AF3925*$M3925</f>
        <v>0</v>
      </c>
      <c r="AH3925" s="28"/>
      <c r="AI3925" s="28" t="n">
        <f aca="false">AH3925*$M3925</f>
        <v>0</v>
      </c>
      <c r="AJ3925" s="28"/>
      <c r="AK3925" s="28" t="n">
        <f aca="false">AJ3925*$M3925</f>
        <v>0</v>
      </c>
      <c r="AL3925" s="28"/>
      <c r="AM3925" s="28" t="n">
        <f aca="false">AL3925*$M3925</f>
        <v>0</v>
      </c>
      <c r="AN3925" s="28"/>
      <c r="AO3925" s="28" t="n">
        <f aca="false">AN3925*$M3925</f>
        <v>0</v>
      </c>
      <c r="AP3925" s="28"/>
      <c r="AQ3925" s="28" t="n">
        <f aca="false">AP3925*$M3925</f>
        <v>0</v>
      </c>
      <c r="AR3925" s="28"/>
      <c r="AS3925" s="28" t="n">
        <f aca="false">AR3925*$M3925</f>
        <v>0</v>
      </c>
      <c r="AT3925" s="28"/>
      <c r="AU3925" s="28" t="n">
        <f aca="false">AT3925*$M3925</f>
        <v>0</v>
      </c>
      <c r="AV3925" s="28"/>
      <c r="AW3925" s="28" t="n">
        <f aca="false">AV3925*$M3925</f>
        <v>0</v>
      </c>
      <c r="AX3925" s="28"/>
      <c r="AY3925" s="28" t="n">
        <f aca="false">AX3925*$M3925</f>
        <v>0</v>
      </c>
      <c r="AZ3925" s="30" t="n">
        <f aca="false">1097</f>
        <v>1097</v>
      </c>
      <c r="BA3925" s="11" t="n">
        <v>24509</v>
      </c>
      <c r="BB3925" s="31" t="n">
        <f aca="false">SUM(Q3925,S3925,U3925,W3925,Y3925,AA3925,AC3925,AE3925,AG3925,AI3925,AK3925,AM3925,AO3925,AQ3925,AS3925,AU3925,AW3925,AY3925)</f>
        <v>24509</v>
      </c>
      <c r="BC3925" s="28" t="n">
        <f aca="false">BA3925-BB3925</f>
        <v>0</v>
      </c>
      <c r="BD3925" s="32" t="n">
        <f aca="false">SUM(P3925,R3925,T3925,V3925,X3925,Z3925,AB3925,AD3925,AF3925,AH3925,AJ3925,AL3925,AN3925,AP3925,AR3925,AT3925,AV3925,AX3925)</f>
        <v>1097</v>
      </c>
      <c r="BE3925" s="33" t="n">
        <f aca="false">AZ3925-BD3925</f>
        <v>0</v>
      </c>
      <c r="BF3925" s="34" t="n">
        <f aca="false">BD3925*M3925</f>
        <v>0</v>
      </c>
      <c r="BG3925" s="35" t="n">
        <f aca="false">BA3925-BF3925</f>
        <v>24509</v>
      </c>
      <c r="BH3925" s="19" t="str">
        <f aca="false">IF(BG3925=0,"",IF(BG3925&lt;&gt;BA3925,"erreur de calcul",IF(BD3925&lt;&gt;0,"pas de prix",IF(M3925&lt;&gt; 0,"pas de quantité","pas de prix, ni de quantité"))))</f>
        <v>pas de prix</v>
      </c>
      <c r="BI3925" s="19" t="s">
        <v>139</v>
      </c>
    </row>
    <row r="3926" customFormat="false" ht="15" hidden="false" customHeight="false" outlineLevel="0" collapsed="false">
      <c r="A3926" s="0" t="n">
        <v>22</v>
      </c>
      <c r="B3926" s="8" t="s">
        <v>24</v>
      </c>
      <c r="C3926" s="9" t="s">
        <v>25</v>
      </c>
      <c r="D3926" s="9" t="s">
        <v>26</v>
      </c>
      <c r="E3926" s="10" t="n">
        <v>1789</v>
      </c>
      <c r="F3926" s="9" t="s">
        <v>27</v>
      </c>
      <c r="G3926" s="9" t="s">
        <v>27</v>
      </c>
      <c r="H3926" s="11" t="n">
        <v>20</v>
      </c>
      <c r="I3926" s="11" t="s">
        <v>140</v>
      </c>
      <c r="J3926" s="14" t="n">
        <v>28</v>
      </c>
      <c r="K3926" s="14"/>
      <c r="L3926" s="16"/>
      <c r="M3926" s="27" t="n">
        <f aca="false">J3926+(K3926/20)+(L3926/240)</f>
        <v>28</v>
      </c>
      <c r="N3926" s="17" t="s">
        <v>64</v>
      </c>
      <c r="O3926" s="11"/>
      <c r="P3926" s="28"/>
      <c r="Q3926" s="28" t="n">
        <f aca="false">P3926*$M3926</f>
        <v>0</v>
      </c>
      <c r="R3926" s="28"/>
      <c r="S3926" s="28" t="n">
        <f aca="false">R3926*$M3926</f>
        <v>0</v>
      </c>
      <c r="T3926" s="28"/>
      <c r="U3926" s="28" t="n">
        <f aca="false">T3926*$M3926</f>
        <v>0</v>
      </c>
      <c r="V3926" s="28"/>
      <c r="W3926" s="28" t="n">
        <f aca="false">V3926*$M3926</f>
        <v>0</v>
      </c>
      <c r="X3926" s="28" t="n">
        <f aca="false">2572/100</f>
        <v>25.72</v>
      </c>
      <c r="Y3926" s="28" t="n">
        <v>720</v>
      </c>
      <c r="Z3926" s="28"/>
      <c r="AA3926" s="28" t="n">
        <f aca="false">Z3926*$M3926</f>
        <v>0</v>
      </c>
      <c r="AB3926" s="28"/>
      <c r="AC3926" s="28" t="n">
        <f aca="false">AB3926*$M3926</f>
        <v>0</v>
      </c>
      <c r="AD3926" s="28"/>
      <c r="AE3926" s="28" t="n">
        <f aca="false">AD3926*$M3926</f>
        <v>0</v>
      </c>
      <c r="AF3926" s="28" t="n">
        <f aca="false">3367/100</f>
        <v>33.67</v>
      </c>
      <c r="AG3926" s="36" t="n">
        <v>915</v>
      </c>
      <c r="AH3926" s="28"/>
      <c r="AI3926" s="28" t="n">
        <f aca="false">AH3926*$M3926</f>
        <v>0</v>
      </c>
      <c r="AJ3926" s="28"/>
      <c r="AK3926" s="28" t="n">
        <f aca="false">AJ3926*$M3926</f>
        <v>0</v>
      </c>
      <c r="AL3926" s="28"/>
      <c r="AM3926" s="28" t="n">
        <f aca="false">AL3926*$M3926</f>
        <v>0</v>
      </c>
      <c r="AN3926" s="28"/>
      <c r="AO3926" s="28" t="n">
        <f aca="false">AN3926*$M3926</f>
        <v>0</v>
      </c>
      <c r="AP3926" s="28"/>
      <c r="AQ3926" s="28" t="n">
        <f aca="false">AP3926*$M3926</f>
        <v>0</v>
      </c>
      <c r="AR3926" s="28"/>
      <c r="AS3926" s="28" t="n">
        <f aca="false">AR3926*$M3926</f>
        <v>0</v>
      </c>
      <c r="AT3926" s="28"/>
      <c r="AU3926" s="28" t="n">
        <f aca="false">AT3926*$M3926</f>
        <v>0</v>
      </c>
      <c r="AV3926" s="28"/>
      <c r="AW3926" s="28" t="n">
        <f aca="false">AV3926*$M3926</f>
        <v>0</v>
      </c>
      <c r="AX3926" s="28"/>
      <c r="AY3926" s="28" t="n">
        <f aca="false">AX3926*$M3926</f>
        <v>0</v>
      </c>
      <c r="AZ3926" s="30" t="n">
        <f aca="false">5939/100</f>
        <v>59.39</v>
      </c>
      <c r="BA3926" s="11" t="n">
        <v>1635</v>
      </c>
      <c r="BB3926" s="31" t="n">
        <f aca="false">SUM(Q3926,S3926,U3926,W3926,Y3926,AA3926,AC3926,AE3926,AG3926,AI3926,AK3926,AM3926,AO3926,AQ3926,AS3926,AU3926,AW3926,AY3926)</f>
        <v>1635</v>
      </c>
      <c r="BC3926" s="28" t="n">
        <f aca="false">BA3926-BB3926</f>
        <v>0</v>
      </c>
      <c r="BD3926" s="32" t="n">
        <f aca="false">SUM(P3926,R3926,T3926,V3926,X3926,Z3926,AB3926,AD3926,AF3926,AH3926,AJ3926,AL3926,AN3926,AP3926,AR3926,AT3926,AV3926,AX3926)</f>
        <v>59.39</v>
      </c>
      <c r="BE3926" s="33" t="n">
        <f aca="false">AZ3926-BD3926</f>
        <v>0</v>
      </c>
      <c r="BF3926" s="34" t="n">
        <f aca="false">BD3926*M3926</f>
        <v>1662.92</v>
      </c>
      <c r="BG3926" s="35" t="n">
        <f aca="false">BA3926-BF3926</f>
        <v>-27.9200000000001</v>
      </c>
      <c r="BH3926" s="19" t="str">
        <f aca="false">IF(BG3926=0,"",IF(BG3926&lt;&gt;BA3926,"erreur de calcul",IF(BD3926&lt;&gt;0,"pas de prix",IF(M3926&lt;&gt; 0,"pas de quantité","pas de prix, ni de quantité"))))</f>
        <v>erreur de calcul</v>
      </c>
      <c r="BI3926" s="19"/>
    </row>
    <row r="3927" customFormat="false" ht="15" hidden="false" customHeight="false" outlineLevel="0" collapsed="false">
      <c r="A3927" s="0" t="n">
        <v>23</v>
      </c>
      <c r="B3927" s="8" t="s">
        <v>24</v>
      </c>
      <c r="C3927" s="9" t="s">
        <v>25</v>
      </c>
      <c r="D3927" s="9" t="s">
        <v>26</v>
      </c>
      <c r="E3927" s="10" t="n">
        <v>1789</v>
      </c>
      <c r="F3927" s="9" t="s">
        <v>27</v>
      </c>
      <c r="G3927" s="9" t="s">
        <v>27</v>
      </c>
      <c r="H3927" s="11" t="n">
        <v>20</v>
      </c>
      <c r="I3927" s="11" t="s">
        <v>141</v>
      </c>
      <c r="J3927" s="14" t="n">
        <v>50</v>
      </c>
      <c r="K3927" s="14"/>
      <c r="L3927" s="16"/>
      <c r="M3927" s="27" t="n">
        <f aca="false">J3927+(K3927/20)+(L3927/240)</f>
        <v>50</v>
      </c>
      <c r="N3927" s="17" t="s">
        <v>64</v>
      </c>
      <c r="O3927" s="11"/>
      <c r="P3927" s="28" t="n">
        <f aca="false">79168/100</f>
        <v>791.68</v>
      </c>
      <c r="Q3927" s="28" t="n">
        <v>39584</v>
      </c>
      <c r="R3927" s="28"/>
      <c r="S3927" s="28" t="n">
        <f aca="false">R3927*$M3927</f>
        <v>0</v>
      </c>
      <c r="T3927" s="28" t="n">
        <f aca="false">18545/100</f>
        <v>185.45</v>
      </c>
      <c r="U3927" s="28" t="n">
        <v>9272</v>
      </c>
      <c r="V3927" s="28" t="n">
        <f aca="false">10784/100</f>
        <v>107.84</v>
      </c>
      <c r="W3927" s="28" t="n">
        <v>5392</v>
      </c>
      <c r="X3927" s="28" t="n">
        <f aca="false">22033/100</f>
        <v>220.33</v>
      </c>
      <c r="Y3927" s="28" t="n">
        <v>11016</v>
      </c>
      <c r="Z3927" s="28" t="n">
        <f aca="false">4478/100</f>
        <v>44.78</v>
      </c>
      <c r="AA3927" s="28" t="n">
        <v>2239</v>
      </c>
      <c r="AB3927" s="28" t="n">
        <f aca="false">8901/100</f>
        <v>89.01</v>
      </c>
      <c r="AC3927" s="28" t="n">
        <v>4450</v>
      </c>
      <c r="AD3927" s="28"/>
      <c r="AE3927" s="28" t="n">
        <f aca="false">AD3927*$M3927</f>
        <v>0</v>
      </c>
      <c r="AF3927" s="28"/>
      <c r="AG3927" s="28" t="n">
        <f aca="false">AF3927*$M3927</f>
        <v>0</v>
      </c>
      <c r="AH3927" s="28"/>
      <c r="AI3927" s="28" t="n">
        <f aca="false">AH3927*$M3927</f>
        <v>0</v>
      </c>
      <c r="AJ3927" s="28" t="n">
        <f aca="false">2917/100</f>
        <v>29.17</v>
      </c>
      <c r="AK3927" s="28" t="n">
        <v>1458</v>
      </c>
      <c r="AL3927" s="28"/>
      <c r="AM3927" s="28" t="n">
        <f aca="false">AL3927*$M3927</f>
        <v>0</v>
      </c>
      <c r="AN3927" s="28"/>
      <c r="AO3927" s="28" t="n">
        <f aca="false">AN3927*$M3927</f>
        <v>0</v>
      </c>
      <c r="AP3927" s="28"/>
      <c r="AQ3927" s="28" t="n">
        <f aca="false">AP3927*$M3927</f>
        <v>0</v>
      </c>
      <c r="AR3927" s="28"/>
      <c r="AS3927" s="28" t="n">
        <f aca="false">AR3927*$M3927</f>
        <v>0</v>
      </c>
      <c r="AT3927" s="28"/>
      <c r="AU3927" s="28" t="n">
        <f aca="false">AT3927*$M3927</f>
        <v>0</v>
      </c>
      <c r="AV3927" s="28" t="n">
        <f aca="false">6667/100</f>
        <v>66.67</v>
      </c>
      <c r="AW3927" s="28" t="n">
        <v>3333</v>
      </c>
      <c r="AX3927" s="28"/>
      <c r="AY3927" s="28" t="n">
        <f aca="false">AX3927*$M3927</f>
        <v>0</v>
      </c>
      <c r="AZ3927" s="30" t="n">
        <f aca="false">153493/100</f>
        <v>1534.93</v>
      </c>
      <c r="BA3927" s="11" t="n">
        <v>76744</v>
      </c>
      <c r="BB3927" s="31" t="n">
        <f aca="false">SUM(Q3927,S3927,U3927,W3927,Y3927,AA3927,AC3927,AE3927,AG3927,AI3927,AK3927,AM3927,AO3927,AQ3927,AS3927,AU3927,AW3927,AY3927)</f>
        <v>76744</v>
      </c>
      <c r="BC3927" s="28" t="n">
        <f aca="false">BA3927-BB3927</f>
        <v>0</v>
      </c>
      <c r="BD3927" s="32" t="n">
        <f aca="false">SUM(P3927,R3927,T3927,V3927,X3927,Z3927,AB3927,AD3927,AF3927,AH3927,AJ3927,AL3927,AN3927,AP3927,AR3927,AT3927,AV3927,AX3927)</f>
        <v>1534.93</v>
      </c>
      <c r="BE3927" s="33" t="n">
        <f aca="false">AZ3927-BD3927</f>
        <v>0</v>
      </c>
      <c r="BF3927" s="34" t="n">
        <f aca="false">BD3927*M3927</f>
        <v>76746.5</v>
      </c>
      <c r="BG3927" s="35" t="n">
        <f aca="false">BA3927-BF3927</f>
        <v>-2.49999999998545</v>
      </c>
      <c r="BH3927" s="19" t="str">
        <f aca="false">IF(BG3927=0,"",IF(BG3927&lt;&gt;BA3927,"erreur de calcul",IF(BD3927&lt;&gt;0,"pas de prix",IF(M3927&lt;&gt; 0,"pas de quantité","pas de prix, ni de quantité"))))</f>
        <v>erreur de calcul</v>
      </c>
      <c r="BI3927" s="19"/>
    </row>
    <row r="3928" customFormat="false" ht="15" hidden="false" customHeight="false" outlineLevel="0" collapsed="false">
      <c r="A3928" s="0" t="n">
        <v>24</v>
      </c>
      <c r="B3928" s="8" t="s">
        <v>24</v>
      </c>
      <c r="C3928" s="9" t="s">
        <v>25</v>
      </c>
      <c r="D3928" s="9" t="s">
        <v>26</v>
      </c>
      <c r="E3928" s="10" t="n">
        <v>1789</v>
      </c>
      <c r="F3928" s="9" t="s">
        <v>27</v>
      </c>
      <c r="G3928" s="9" t="s">
        <v>27</v>
      </c>
      <c r="H3928" s="11" t="n">
        <v>20</v>
      </c>
      <c r="I3928" s="11" t="s">
        <v>142</v>
      </c>
      <c r="J3928" s="14" t="n">
        <v>12</v>
      </c>
      <c r="K3928" s="14"/>
      <c r="L3928" s="16"/>
      <c r="M3928" s="27" t="n">
        <f aca="false">J3928+(K3928/20)+(L3928/240)</f>
        <v>12</v>
      </c>
      <c r="N3928" s="17" t="s">
        <v>66</v>
      </c>
      <c r="O3928" s="11"/>
      <c r="P3928" s="28"/>
      <c r="Q3928" s="28" t="n">
        <f aca="false">P3928*$M3928</f>
        <v>0</v>
      </c>
      <c r="R3928" s="28"/>
      <c r="S3928" s="28" t="n">
        <f aca="false">R3928*$M3928</f>
        <v>0</v>
      </c>
      <c r="T3928" s="28"/>
      <c r="U3928" s="28" t="n">
        <f aca="false">T3928*$M3928</f>
        <v>0</v>
      </c>
      <c r="V3928" s="28"/>
      <c r="W3928" s="28" t="n">
        <f aca="false">V3928*$M3928</f>
        <v>0</v>
      </c>
      <c r="X3928" s="28"/>
      <c r="Y3928" s="28" t="n">
        <f aca="false">X3928*$M3928</f>
        <v>0</v>
      </c>
      <c r="Z3928" s="28" t="n">
        <v>21</v>
      </c>
      <c r="AA3928" s="28" t="n">
        <v>252</v>
      </c>
      <c r="AB3928" s="28" t="n">
        <v>672</v>
      </c>
      <c r="AC3928" s="28" t="n">
        <v>8064</v>
      </c>
      <c r="AD3928" s="28"/>
      <c r="AE3928" s="28" t="n">
        <f aca="false">AD3928*$M3928</f>
        <v>0</v>
      </c>
      <c r="AF3928" s="28"/>
      <c r="AG3928" s="28" t="n">
        <f aca="false">AF3928*$M3928</f>
        <v>0</v>
      </c>
      <c r="AH3928" s="28"/>
      <c r="AI3928" s="28" t="n">
        <f aca="false">AH3928*$M3928</f>
        <v>0</v>
      </c>
      <c r="AJ3928" s="28"/>
      <c r="AK3928" s="28" t="n">
        <f aca="false">AJ3928*$M3928</f>
        <v>0</v>
      </c>
      <c r="AL3928" s="28"/>
      <c r="AM3928" s="28" t="n">
        <f aca="false">AL3928*$M3928</f>
        <v>0</v>
      </c>
      <c r="AN3928" s="28"/>
      <c r="AO3928" s="28" t="n">
        <f aca="false">AN3928*$M3928</f>
        <v>0</v>
      </c>
      <c r="AP3928" s="28"/>
      <c r="AQ3928" s="28" t="n">
        <f aca="false">AP3928*$M3928</f>
        <v>0</v>
      </c>
      <c r="AR3928" s="28"/>
      <c r="AS3928" s="28" t="n">
        <f aca="false">AR3928*$M3928</f>
        <v>0</v>
      </c>
      <c r="AT3928" s="28"/>
      <c r="AU3928" s="28" t="n">
        <f aca="false">AT3928*$M3928</f>
        <v>0</v>
      </c>
      <c r="AV3928" s="28"/>
      <c r="AW3928" s="28" t="n">
        <f aca="false">AV3928*$M3928</f>
        <v>0</v>
      </c>
      <c r="AX3928" s="28"/>
      <c r="AY3928" s="28" t="n">
        <f aca="false">AX3928*$M3928</f>
        <v>0</v>
      </c>
      <c r="AZ3928" s="30" t="n">
        <v>693</v>
      </c>
      <c r="BA3928" s="11" t="n">
        <v>8316</v>
      </c>
      <c r="BB3928" s="31" t="n">
        <f aca="false">SUM(Q3928,S3928,U3928,W3928,Y3928,AA3928,AC3928,AE3928,AG3928,AI3928,AK3928,AM3928,AO3928,AQ3928,AS3928,AU3928,AW3928,AY3928)</f>
        <v>8316</v>
      </c>
      <c r="BC3928" s="28" t="n">
        <f aca="false">BA3928-BB3928</f>
        <v>0</v>
      </c>
      <c r="BD3928" s="32" t="n">
        <f aca="false">SUM(P3928,R3928,T3928,V3928,X3928,Z3928,AB3928,AD3928,AF3928,AH3928,AJ3928,AL3928,AN3928,AP3928,AR3928,AT3928,AV3928,AX3928)</f>
        <v>693</v>
      </c>
      <c r="BE3928" s="33" t="n">
        <f aca="false">AZ3928-BD3928</f>
        <v>0</v>
      </c>
      <c r="BF3928" s="34" t="n">
        <f aca="false">BD3928*M3928</f>
        <v>8316</v>
      </c>
      <c r="BG3928" s="35" t="n">
        <f aca="false">BA3928-BF3928</f>
        <v>0</v>
      </c>
      <c r="BH3928" s="19" t="str">
        <f aca="false">IF(BG3928=0,"",IF(BG3928&lt;&gt;BA3928,"erreur de calcul",IF(BD3928&lt;&gt;0,"pas de prix",IF(M3928&lt;&gt; 0,"pas de quantité","pas de prix, ni de quantité"))))</f>
        <v/>
      </c>
      <c r="BI3928" s="19"/>
    </row>
    <row r="3929" customFormat="false" ht="15" hidden="false" customHeight="false" outlineLevel="0" collapsed="false">
      <c r="A3929" s="0" t="n">
        <v>25</v>
      </c>
      <c r="B3929" s="8" t="s">
        <v>24</v>
      </c>
      <c r="C3929" s="9" t="s">
        <v>25</v>
      </c>
      <c r="D3929" s="9" t="s">
        <v>26</v>
      </c>
      <c r="E3929" s="10" t="n">
        <v>1789</v>
      </c>
      <c r="F3929" s="9" t="s">
        <v>27</v>
      </c>
      <c r="G3929" s="9" t="s">
        <v>27</v>
      </c>
      <c r="H3929" s="11" t="n">
        <v>20</v>
      </c>
      <c r="I3929" s="11" t="s">
        <v>143</v>
      </c>
      <c r="J3929" s="14" t="n">
        <v>8</v>
      </c>
      <c r="K3929" s="14"/>
      <c r="L3929" s="16"/>
      <c r="M3929" s="27" t="n">
        <f aca="false">J3929+(K3929/20)+(L3929/240)</f>
        <v>8</v>
      </c>
      <c r="N3929" s="17" t="s">
        <v>85</v>
      </c>
      <c r="O3929" s="11"/>
      <c r="P3929" s="28" t="n">
        <f aca="false">74969/100</f>
        <v>749.69</v>
      </c>
      <c r="Q3929" s="28" t="n">
        <v>5997</v>
      </c>
      <c r="R3929" s="28"/>
      <c r="S3929" s="28" t="n">
        <f aca="false">R3929*$M3929</f>
        <v>0</v>
      </c>
      <c r="T3929" s="28" t="n">
        <f aca="false">58256/100</f>
        <v>582.56</v>
      </c>
      <c r="U3929" s="28" t="n">
        <v>4660</v>
      </c>
      <c r="V3929" s="28" t="n">
        <f aca="false">14450/100</f>
        <v>144.5</v>
      </c>
      <c r="W3929" s="28" t="n">
        <v>1156</v>
      </c>
      <c r="X3929" s="28" t="n">
        <f aca="false">4397/100</f>
        <v>43.97</v>
      </c>
      <c r="Y3929" s="28" t="n">
        <v>352</v>
      </c>
      <c r="Z3929" s="28"/>
      <c r="AA3929" s="28" t="n">
        <f aca="false">Z3929*$M3929</f>
        <v>0</v>
      </c>
      <c r="AB3929" s="28" t="n">
        <f aca="false">6400/100</f>
        <v>64</v>
      </c>
      <c r="AC3929" s="28" t="n">
        <v>512</v>
      </c>
      <c r="AD3929" s="28" t="n">
        <f aca="false">19450/100</f>
        <v>194.5</v>
      </c>
      <c r="AE3929" s="28" t="n">
        <v>1556</v>
      </c>
      <c r="AF3929" s="28" t="n">
        <f aca="false">2496/100</f>
        <v>24.96</v>
      </c>
      <c r="AG3929" s="28" t="n">
        <v>200</v>
      </c>
      <c r="AH3929" s="28"/>
      <c r="AI3929" s="28" t="n">
        <f aca="false">AH3929*$M3929</f>
        <v>0</v>
      </c>
      <c r="AJ3929" s="28"/>
      <c r="AK3929" s="28" t="n">
        <f aca="false">AJ3929*$M3929</f>
        <v>0</v>
      </c>
      <c r="AL3929" s="28"/>
      <c r="AM3929" s="28" t="n">
        <f aca="false">AL3929*$M3929</f>
        <v>0</v>
      </c>
      <c r="AN3929" s="28"/>
      <c r="AO3929" s="28" t="n">
        <f aca="false">AN3929*$M3929</f>
        <v>0</v>
      </c>
      <c r="AP3929" s="28"/>
      <c r="AQ3929" s="28" t="n">
        <f aca="false">AP3929*$M3929</f>
        <v>0</v>
      </c>
      <c r="AR3929" s="28"/>
      <c r="AS3929" s="28" t="n">
        <f aca="false">AR3929*$M3929</f>
        <v>0</v>
      </c>
      <c r="AT3929" s="28"/>
      <c r="AU3929" s="28" t="n">
        <f aca="false">AT3929*$M3929</f>
        <v>0</v>
      </c>
      <c r="AV3929" s="28"/>
      <c r="AW3929" s="28" t="n">
        <f aca="false">AV3929*$M3929</f>
        <v>0</v>
      </c>
      <c r="AX3929" s="28"/>
      <c r="AY3929" s="28" t="n">
        <f aca="false">AX3929*$M3929</f>
        <v>0</v>
      </c>
      <c r="AZ3929" s="30" t="n">
        <f aca="false">180418/100</f>
        <v>1804.18</v>
      </c>
      <c r="BA3929" s="11" t="n">
        <v>14433</v>
      </c>
      <c r="BB3929" s="31" t="n">
        <f aca="false">SUM(Q3929,S3929,U3929,W3929,Y3929,AA3929,AC3929,AE3929,AG3929,AI3929,AK3929,AM3929,AO3929,AQ3929,AS3929,AU3929,AW3929,AY3929)</f>
        <v>14433</v>
      </c>
      <c r="BC3929" s="28" t="n">
        <f aca="false">BA3929-BB3929</f>
        <v>0</v>
      </c>
      <c r="BD3929" s="32" t="n">
        <f aca="false">SUM(P3929,R3929,T3929,V3929,X3929,Z3929,AB3929,AD3929,AF3929,AH3929,AJ3929,AL3929,AN3929,AP3929,AR3929,AT3929,AV3929,AX3929)</f>
        <v>1804.18</v>
      </c>
      <c r="BE3929" s="33" t="n">
        <f aca="false">AZ3929-BD3929</f>
        <v>0</v>
      </c>
      <c r="BF3929" s="34" t="n">
        <f aca="false">BD3929*M3929</f>
        <v>14433.44</v>
      </c>
      <c r="BG3929" s="35" t="n">
        <f aca="false">BA3929-BF3929</f>
        <v>-0.440000000000509</v>
      </c>
      <c r="BH3929" s="19" t="str">
        <f aca="false">IF(BG3929=0,"",IF(BG3929&lt;&gt;BA3929,"erreur de calcul",IF(BD3929&lt;&gt;0,"pas de prix",IF(M3929&lt;&gt; 0,"pas de quantité","pas de prix, ni de quantité"))))</f>
        <v>erreur de calcul</v>
      </c>
      <c r="BI3929" s="19"/>
    </row>
    <row r="3930" customFormat="false" ht="15" hidden="false" customHeight="false" outlineLevel="0" collapsed="false">
      <c r="A3930" s="0" t="n">
        <v>26</v>
      </c>
      <c r="B3930" s="8" t="s">
        <v>24</v>
      </c>
      <c r="C3930" s="9" t="s">
        <v>25</v>
      </c>
      <c r="D3930" s="9" t="s">
        <v>26</v>
      </c>
      <c r="E3930" s="10" t="n">
        <v>1789</v>
      </c>
      <c r="F3930" s="9" t="s">
        <v>27</v>
      </c>
      <c r="G3930" s="9" t="s">
        <v>27</v>
      </c>
      <c r="H3930" s="11" t="n">
        <v>20</v>
      </c>
      <c r="I3930" s="11" t="s">
        <v>144</v>
      </c>
      <c r="J3930" s="14" t="n">
        <v>3</v>
      </c>
      <c r="K3930" s="14"/>
      <c r="L3930" s="16"/>
      <c r="M3930" s="27" t="n">
        <f aca="false">J3930+(K3930/20)+(L3930/240)</f>
        <v>3</v>
      </c>
      <c r="N3930" s="17" t="s">
        <v>66</v>
      </c>
      <c r="O3930" s="11"/>
      <c r="P3930" s="28"/>
      <c r="Q3930" s="28" t="n">
        <f aca="false">P3930*$M3930</f>
        <v>0</v>
      </c>
      <c r="R3930" s="28"/>
      <c r="S3930" s="28" t="n">
        <f aca="false">R3930*$M3930</f>
        <v>0</v>
      </c>
      <c r="T3930" s="28" t="n">
        <v>24347</v>
      </c>
      <c r="U3930" s="28" t="n">
        <v>73041</v>
      </c>
      <c r="V3930" s="28" t="n">
        <v>2300</v>
      </c>
      <c r="W3930" s="28" t="n">
        <v>6900</v>
      </c>
      <c r="X3930" s="28" t="n">
        <v>152</v>
      </c>
      <c r="Y3930" s="28" t="n">
        <v>456</v>
      </c>
      <c r="Z3930" s="28"/>
      <c r="AA3930" s="28" t="n">
        <f aca="false">Z3930*$M3930</f>
        <v>0</v>
      </c>
      <c r="AB3930" s="28" t="n">
        <v>53940</v>
      </c>
      <c r="AC3930" s="28" t="n">
        <v>161820</v>
      </c>
      <c r="AD3930" s="28"/>
      <c r="AE3930" s="28" t="n">
        <f aca="false">AD3930*$M3930</f>
        <v>0</v>
      </c>
      <c r="AF3930" s="28"/>
      <c r="AG3930" s="28" t="n">
        <f aca="false">AF3930*$M3930</f>
        <v>0</v>
      </c>
      <c r="AH3930" s="28" t="n">
        <v>1668909</v>
      </c>
      <c r="AI3930" s="28" t="n">
        <v>5006727</v>
      </c>
      <c r="AJ3930" s="28"/>
      <c r="AK3930" s="28" t="n">
        <f aca="false">AJ3930*$M3930</f>
        <v>0</v>
      </c>
      <c r="AL3930" s="28"/>
      <c r="AM3930" s="28" t="n">
        <f aca="false">AL3930*$M3930</f>
        <v>0</v>
      </c>
      <c r="AN3930" s="28" t="n">
        <v>165</v>
      </c>
      <c r="AO3930" s="28" t="n">
        <v>495</v>
      </c>
      <c r="AP3930" s="28"/>
      <c r="AQ3930" s="28" t="n">
        <f aca="false">AP3930*$M3930</f>
        <v>0</v>
      </c>
      <c r="AR3930" s="28"/>
      <c r="AS3930" s="28" t="n">
        <f aca="false">AR3930*$M3930</f>
        <v>0</v>
      </c>
      <c r="AT3930" s="28"/>
      <c r="AU3930" s="28" t="n">
        <f aca="false">AT3930*$M3930</f>
        <v>0</v>
      </c>
      <c r="AV3930" s="28"/>
      <c r="AW3930" s="28" t="n">
        <f aca="false">AV3930*$M3930</f>
        <v>0</v>
      </c>
      <c r="AX3930" s="28"/>
      <c r="AY3930" s="28" t="n">
        <f aca="false">AX3930*$M3930</f>
        <v>0</v>
      </c>
      <c r="AZ3930" s="30" t="n">
        <v>1736540</v>
      </c>
      <c r="BA3930" s="11" t="n">
        <v>5249439</v>
      </c>
      <c r="BB3930" s="31" t="n">
        <f aca="false">SUM(Q3930,S3930,U3930,W3930,Y3930,AA3930,AC3930,AE3930,AG3930,AI3930,AK3930,AM3930,AO3930,AQ3930,AS3930,AU3930,AW3930,AY3930)</f>
        <v>5249439</v>
      </c>
      <c r="BC3930" s="28" t="n">
        <f aca="false">BA3930-BB3930</f>
        <v>0</v>
      </c>
      <c r="BD3930" s="32" t="n">
        <f aca="false">SUM(P3930,R3930,T3930,V3930,X3930,Z3930,AB3930,AD3930,AF3930,AH3930,AJ3930,AL3930,AN3930,AP3930,AR3930,AT3930,AV3930,AX3930)</f>
        <v>1749813</v>
      </c>
      <c r="BE3930" s="33" t="n">
        <f aca="false">AZ3930-BD3930</f>
        <v>-13273</v>
      </c>
      <c r="BF3930" s="34" t="n">
        <f aca="false">BD3930*M3930</f>
        <v>5249439</v>
      </c>
      <c r="BG3930" s="35" t="n">
        <f aca="false">BA3930-BF3930</f>
        <v>0</v>
      </c>
      <c r="BH3930" s="19" t="str">
        <f aca="false">IF(BG3930=0,"",IF(BG3930&lt;&gt;BA3930,"erreur de calcul",IF(BD3930&lt;&gt;0,"pas de prix",IF(M3930&lt;&gt; 0,"pas de quantité","pas de prix, ni de quantité"))))</f>
        <v/>
      </c>
      <c r="BI3930" s="19"/>
    </row>
    <row r="3931" customFormat="false" ht="15" hidden="false" customHeight="false" outlineLevel="0" collapsed="false">
      <c r="A3931" s="0" t="n">
        <v>27</v>
      </c>
      <c r="B3931" s="8" t="s">
        <v>24</v>
      </c>
      <c r="C3931" s="9" t="s">
        <v>25</v>
      </c>
      <c r="D3931" s="9" t="s">
        <v>26</v>
      </c>
      <c r="E3931" s="10" t="n">
        <v>1789</v>
      </c>
      <c r="F3931" s="9" t="s">
        <v>27</v>
      </c>
      <c r="G3931" s="9" t="s">
        <v>27</v>
      </c>
      <c r="H3931" s="11" t="n">
        <v>20</v>
      </c>
      <c r="I3931" s="11" t="s">
        <v>145</v>
      </c>
      <c r="J3931" s="14" t="n">
        <v>4</v>
      </c>
      <c r="K3931" s="14" t="n">
        <v>18</v>
      </c>
      <c r="L3931" s="16"/>
      <c r="M3931" s="27" t="n">
        <f aca="false">J3931+(K3931/20)+(L3931/240)</f>
        <v>4.9</v>
      </c>
      <c r="N3931" s="17" t="s">
        <v>66</v>
      </c>
      <c r="O3931" s="11"/>
      <c r="P3931" s="28"/>
      <c r="Q3931" s="28" t="n">
        <f aca="false">P3931*$M3931</f>
        <v>0</v>
      </c>
      <c r="R3931" s="28"/>
      <c r="S3931" s="28" t="n">
        <f aca="false">R3931*$M3931</f>
        <v>0</v>
      </c>
      <c r="T3931" s="28"/>
      <c r="U3931" s="28" t="n">
        <f aca="false">T3931*$M3931</f>
        <v>0</v>
      </c>
      <c r="V3931" s="28"/>
      <c r="W3931" s="28" t="n">
        <f aca="false">V3931*$M3931</f>
        <v>0</v>
      </c>
      <c r="X3931" s="28"/>
      <c r="Y3931" s="28" t="n">
        <f aca="false">X3931*$M3931</f>
        <v>0</v>
      </c>
      <c r="Z3931" s="28"/>
      <c r="AA3931" s="28" t="n">
        <f aca="false">Z3931*$M3931</f>
        <v>0</v>
      </c>
      <c r="AB3931" s="28"/>
      <c r="AC3931" s="28" t="n">
        <f aca="false">AB3931*$M3931</f>
        <v>0</v>
      </c>
      <c r="AD3931" s="28"/>
      <c r="AE3931" s="28" t="n">
        <f aca="false">AD3931*$M3931</f>
        <v>0</v>
      </c>
      <c r="AF3931" s="28"/>
      <c r="AG3931" s="28" t="n">
        <f aca="false">AF3931*$M3931</f>
        <v>0</v>
      </c>
      <c r="AH3931" s="28" t="n">
        <v>14916</v>
      </c>
      <c r="AI3931" s="28" t="n">
        <v>73088</v>
      </c>
      <c r="AJ3931" s="28"/>
      <c r="AK3931" s="28" t="n">
        <f aca="false">AJ3931*$M3931</f>
        <v>0</v>
      </c>
      <c r="AL3931" s="28"/>
      <c r="AM3931" s="28" t="n">
        <f aca="false">AL3931*$M3931</f>
        <v>0</v>
      </c>
      <c r="AN3931" s="28"/>
      <c r="AO3931" s="28" t="n">
        <f aca="false">AN3931*$M3931</f>
        <v>0</v>
      </c>
      <c r="AP3931" s="28"/>
      <c r="AQ3931" s="28" t="n">
        <f aca="false">AP3931*$M3931</f>
        <v>0</v>
      </c>
      <c r="AR3931" s="28"/>
      <c r="AS3931" s="28" t="n">
        <f aca="false">AR3931*$M3931</f>
        <v>0</v>
      </c>
      <c r="AT3931" s="28"/>
      <c r="AU3931" s="28" t="n">
        <f aca="false">AT3931*$M3931</f>
        <v>0</v>
      </c>
      <c r="AV3931" s="28"/>
      <c r="AW3931" s="28" t="n">
        <f aca="false">AV3931*$M3931</f>
        <v>0</v>
      </c>
      <c r="AX3931" s="28"/>
      <c r="AY3931" s="28" t="n">
        <f aca="false">AX3931*$M3931</f>
        <v>0</v>
      </c>
      <c r="AZ3931" s="30" t="n">
        <v>14916</v>
      </c>
      <c r="BA3931" s="11" t="n">
        <v>73088</v>
      </c>
      <c r="BB3931" s="31" t="n">
        <f aca="false">SUM(Q3931,S3931,U3931,W3931,Y3931,AA3931,AC3931,AE3931,AG3931,AI3931,AK3931,AM3931,AO3931,AQ3931,AS3931,AU3931,AW3931,AY3931)</f>
        <v>73088</v>
      </c>
      <c r="BC3931" s="28" t="n">
        <f aca="false">BA3931-BB3931</f>
        <v>0</v>
      </c>
      <c r="BD3931" s="32" t="n">
        <f aca="false">SUM(P3931,R3931,T3931,V3931,X3931,Z3931,AB3931,AD3931,AF3931,AH3931,AJ3931,AL3931,AN3931,AP3931,AR3931,AT3931,AV3931,AX3931)</f>
        <v>14916</v>
      </c>
      <c r="BE3931" s="33" t="n">
        <f aca="false">AZ3931-BD3931</f>
        <v>0</v>
      </c>
      <c r="BF3931" s="34" t="n">
        <f aca="false">BD3931*M3931</f>
        <v>73088.4</v>
      </c>
      <c r="BG3931" s="35" t="n">
        <f aca="false">BA3931-BF3931</f>
        <v>-0.400000000008731</v>
      </c>
      <c r="BH3931" s="19" t="str">
        <f aca="false">IF(BG3931=0,"",IF(BG3931&lt;&gt;BA3931,"erreur de calcul",IF(BD3931&lt;&gt;0,"pas de prix",IF(M3931&lt;&gt; 0,"pas de quantité","pas de prix, ni de quantité"))))</f>
        <v>erreur de calcul</v>
      </c>
      <c r="BI3931" s="19"/>
    </row>
    <row r="3932" customFormat="false" ht="15" hidden="false" customHeight="false" outlineLevel="0" collapsed="false">
      <c r="A3932" s="0" t="n">
        <v>28</v>
      </c>
      <c r="B3932" s="8" t="s">
        <v>24</v>
      </c>
      <c r="C3932" s="9" t="s">
        <v>25</v>
      </c>
      <c r="D3932" s="9" t="s">
        <v>26</v>
      </c>
      <c r="E3932" s="10" t="n">
        <v>1789</v>
      </c>
      <c r="F3932" s="9" t="s">
        <v>27</v>
      </c>
      <c r="G3932" s="9" t="s">
        <v>27</v>
      </c>
      <c r="H3932" s="11" t="n">
        <v>20</v>
      </c>
      <c r="I3932" s="11" t="s">
        <v>146</v>
      </c>
      <c r="J3932" s="14" t="n">
        <v>126</v>
      </c>
      <c r="K3932" s="14"/>
      <c r="L3932" s="16"/>
      <c r="M3932" s="27"/>
      <c r="N3932" s="17" t="s">
        <v>66</v>
      </c>
      <c r="O3932" s="11" t="s">
        <v>98</v>
      </c>
      <c r="P3932" s="28"/>
      <c r="Q3932" s="28" t="n">
        <f aca="false">P3932*$M3932</f>
        <v>0</v>
      </c>
      <c r="R3932" s="28" t="n">
        <v>82676</v>
      </c>
      <c r="S3932" s="28" t="n">
        <v>28572</v>
      </c>
      <c r="T3932" s="28"/>
      <c r="U3932" s="28" t="n">
        <f aca="false">T3932*$M3932</f>
        <v>0</v>
      </c>
      <c r="V3932" s="28"/>
      <c r="W3932" s="28" t="n">
        <f aca="false">V3932*$M3932</f>
        <v>0</v>
      </c>
      <c r="X3932" s="28"/>
      <c r="Y3932" s="28" t="n">
        <f aca="false">X3932*$M3932</f>
        <v>0</v>
      </c>
      <c r="Z3932" s="28"/>
      <c r="AA3932" s="28" t="n">
        <f aca="false">Z3932*$M3932</f>
        <v>0</v>
      </c>
      <c r="AB3932" s="28"/>
      <c r="AC3932" s="28" t="n">
        <f aca="false">AB3932*$M3932</f>
        <v>0</v>
      </c>
      <c r="AD3932" s="28"/>
      <c r="AE3932" s="28" t="n">
        <f aca="false">AD3932*$M3932</f>
        <v>0</v>
      </c>
      <c r="AF3932" s="28"/>
      <c r="AG3932" s="28" t="n">
        <f aca="false">AF3932*$M3932</f>
        <v>0</v>
      </c>
      <c r="AH3932" s="28" t="n">
        <v>6408925</v>
      </c>
      <c r="AI3932" s="28" t="n">
        <v>8075245</v>
      </c>
      <c r="AJ3932" s="28"/>
      <c r="AK3932" s="28" t="n">
        <f aca="false">AJ3932*$M3932</f>
        <v>0</v>
      </c>
      <c r="AL3932" s="28"/>
      <c r="AM3932" s="28" t="n">
        <f aca="false">AL3932*$M3932</f>
        <v>0</v>
      </c>
      <c r="AN3932" s="28"/>
      <c r="AO3932" s="28" t="n">
        <f aca="false">AN3932*$M3932</f>
        <v>0</v>
      </c>
      <c r="AP3932" s="28"/>
      <c r="AQ3932" s="28" t="n">
        <f aca="false">AP3932*$M3932</f>
        <v>0</v>
      </c>
      <c r="AR3932" s="28"/>
      <c r="AS3932" s="28" t="n">
        <f aca="false">AR3932*$M3932</f>
        <v>0</v>
      </c>
      <c r="AT3932" s="28"/>
      <c r="AU3932" s="28" t="n">
        <f aca="false">AT3932*$M3932</f>
        <v>0</v>
      </c>
      <c r="AV3932" s="28"/>
      <c r="AW3932" s="28" t="n">
        <f aca="false">AV3932*$M3932</f>
        <v>0</v>
      </c>
      <c r="AX3932" s="28"/>
      <c r="AY3932" s="28" t="n">
        <f aca="false">AX3932*$M3932</f>
        <v>0</v>
      </c>
      <c r="AZ3932" s="11" t="n">
        <v>6431601</v>
      </c>
      <c r="BA3932" s="11" t="n">
        <v>8103817</v>
      </c>
      <c r="BB3932" s="31" t="n">
        <f aca="false">SUM(Q3932,S3932,U3932,W3932,Y3932,AA3932,AC3932,AE3932,AG3932,AI3932,AK3932,AM3932,AO3932,AQ3932,AS3932,AU3932,AW3932,AY3932)</f>
        <v>8103817</v>
      </c>
      <c r="BC3932" s="28" t="n">
        <f aca="false">BA3932-BB3932</f>
        <v>0</v>
      </c>
      <c r="BD3932" s="32" t="n">
        <f aca="false">SUM(P3932,R3932,T3932,V3932,X3932,Z3932,AB3932,AD3932,AF3932,AH3932,AJ3932,AL3932,AN3932,AP3932,AR3932,AT3932,AV3932,AX3932)</f>
        <v>6491601</v>
      </c>
      <c r="BE3932" s="33" t="n">
        <f aca="false">AZ3932-BD3932</f>
        <v>-60000</v>
      </c>
      <c r="BF3932" s="34" t="n">
        <f aca="false">BD3932*M3932</f>
        <v>0</v>
      </c>
      <c r="BG3932" s="35" t="n">
        <f aca="false">BA3932-BF3932</f>
        <v>8103817</v>
      </c>
      <c r="BH3932" s="19" t="str">
        <f aca="false">IF(BG3932=0,"",IF(BG3932&lt;&gt;BA3932,"erreur de calcul",IF(BD3932&lt;&gt;0,"pas de prix",IF(M3932&lt;&gt; 0,"pas de quantité","pas de prix, ni de quantité"))))</f>
        <v>pas de prix</v>
      </c>
      <c r="BI3932" s="19" t="s">
        <v>147</v>
      </c>
    </row>
    <row r="3933" customFormat="false" ht="15" hidden="false" customHeight="false" outlineLevel="0" collapsed="false">
      <c r="A3933" s="0" t="n">
        <v>29</v>
      </c>
      <c r="B3933" s="8" t="s">
        <v>24</v>
      </c>
      <c r="C3933" s="9" t="s">
        <v>25</v>
      </c>
      <c r="D3933" s="9" t="s">
        <v>26</v>
      </c>
      <c r="E3933" s="10" t="n">
        <v>1789</v>
      </c>
      <c r="F3933" s="9" t="s">
        <v>27</v>
      </c>
      <c r="G3933" s="9" t="s">
        <v>27</v>
      </c>
      <c r="H3933" s="11" t="n">
        <v>20</v>
      </c>
      <c r="I3933" s="11" t="s">
        <v>148</v>
      </c>
      <c r="J3933" s="14"/>
      <c r="K3933" s="14" t="n">
        <v>20</v>
      </c>
      <c r="L3933" s="16"/>
      <c r="M3933" s="27" t="n">
        <f aca="false">J3933+(K3933/20)+(L3933/240)</f>
        <v>1</v>
      </c>
      <c r="N3933" s="17" t="s">
        <v>66</v>
      </c>
      <c r="O3933" s="11"/>
      <c r="P3933" s="28"/>
      <c r="Q3933" s="28" t="n">
        <f aca="false">P3933*$M3933</f>
        <v>0</v>
      </c>
      <c r="R3933" s="28"/>
      <c r="S3933" s="28" t="n">
        <f aca="false">R3933*$M3933</f>
        <v>0</v>
      </c>
      <c r="T3933" s="28" t="n">
        <v>392</v>
      </c>
      <c r="U3933" s="28" t="n">
        <v>392</v>
      </c>
      <c r="V3933" s="28"/>
      <c r="W3933" s="28" t="n">
        <f aca="false">V3933*$M3933</f>
        <v>0</v>
      </c>
      <c r="X3933" s="28"/>
      <c r="Y3933" s="28" t="n">
        <f aca="false">X3933*$M3933</f>
        <v>0</v>
      </c>
      <c r="Z3933" s="28"/>
      <c r="AA3933" s="28" t="n">
        <f aca="false">Z3933*$M3933</f>
        <v>0</v>
      </c>
      <c r="AB3933" s="28" t="n">
        <v>7596</v>
      </c>
      <c r="AC3933" s="28" t="n">
        <v>7596</v>
      </c>
      <c r="AD3933" s="28"/>
      <c r="AE3933" s="28" t="n">
        <f aca="false">AD3933*$M3933</f>
        <v>0</v>
      </c>
      <c r="AF3933" s="28"/>
      <c r="AG3933" s="28" t="n">
        <f aca="false">AF3933*$M3933</f>
        <v>0</v>
      </c>
      <c r="AH3933" s="28"/>
      <c r="AI3933" s="28" t="n">
        <f aca="false">AH3933*$M3933</f>
        <v>0</v>
      </c>
      <c r="AJ3933" s="28"/>
      <c r="AK3933" s="28" t="n">
        <f aca="false">AJ3933*$M3933</f>
        <v>0</v>
      </c>
      <c r="AL3933" s="28"/>
      <c r="AM3933" s="28" t="n">
        <f aca="false">AL3933*$M3933</f>
        <v>0</v>
      </c>
      <c r="AN3933" s="28"/>
      <c r="AO3933" s="28" t="n">
        <f aca="false">AN3933*$M3933</f>
        <v>0</v>
      </c>
      <c r="AP3933" s="28"/>
      <c r="AQ3933" s="28" t="n">
        <f aca="false">AP3933*$M3933</f>
        <v>0</v>
      </c>
      <c r="AR3933" s="28"/>
      <c r="AS3933" s="28" t="n">
        <f aca="false">AR3933*$M3933</f>
        <v>0</v>
      </c>
      <c r="AT3933" s="28"/>
      <c r="AU3933" s="28" t="n">
        <f aca="false">AT3933*$M3933</f>
        <v>0</v>
      </c>
      <c r="AV3933" s="28"/>
      <c r="AW3933" s="28" t="n">
        <f aca="false">AV3933*$M3933</f>
        <v>0</v>
      </c>
      <c r="AX3933" s="28"/>
      <c r="AY3933" s="28" t="n">
        <f aca="false">AX3933*$M3933</f>
        <v>0</v>
      </c>
      <c r="AZ3933" s="30" t="n">
        <v>7988</v>
      </c>
      <c r="BA3933" s="11" t="n">
        <v>7988</v>
      </c>
      <c r="BB3933" s="31" t="n">
        <f aca="false">SUM(Q3933,S3933,U3933,W3933,Y3933,AA3933,AC3933,AE3933,AG3933,AI3933,AK3933,AM3933,AO3933,AQ3933,AS3933,AU3933,AW3933,AY3933)</f>
        <v>7988</v>
      </c>
      <c r="BC3933" s="28" t="n">
        <f aca="false">BA3933-BB3933</f>
        <v>0</v>
      </c>
      <c r="BD3933" s="32" t="n">
        <f aca="false">SUM(P3933,R3933,T3933,V3933,X3933,Z3933,AB3933,AD3933,AF3933,AH3933,AJ3933,AL3933,AN3933,AP3933,AR3933,AT3933,AV3933,AX3933)</f>
        <v>7988</v>
      </c>
      <c r="BE3933" s="33" t="n">
        <f aca="false">AZ3933-BD3933</f>
        <v>0</v>
      </c>
      <c r="BF3933" s="34" t="n">
        <f aca="false">BD3933*M3933</f>
        <v>7988</v>
      </c>
      <c r="BG3933" s="35" t="n">
        <f aca="false">BA3933-BF3933</f>
        <v>0</v>
      </c>
      <c r="BH3933" s="19" t="str">
        <f aca="false">IF(BG3933=0,"",IF(BG3933&lt;&gt;BA3933,"erreur de calcul",IF(BD3933&lt;&gt;0,"pas de prix",IF(M3933&lt;&gt; 0,"pas de quantité","pas de prix, ni de quantité"))))</f>
        <v/>
      </c>
      <c r="BI3933" s="19"/>
    </row>
    <row r="3934" customFormat="false" ht="15" hidden="false" customHeight="false" outlineLevel="0" collapsed="false">
      <c r="A3934" s="0" t="n">
        <v>30</v>
      </c>
      <c r="B3934" s="8" t="s">
        <v>24</v>
      </c>
      <c r="C3934" s="9" t="s">
        <v>25</v>
      </c>
      <c r="D3934" s="9" t="s">
        <v>26</v>
      </c>
      <c r="E3934" s="10" t="n">
        <v>1789</v>
      </c>
      <c r="F3934" s="9" t="s">
        <v>27</v>
      </c>
      <c r="G3934" s="9" t="s">
        <v>27</v>
      </c>
      <c r="H3934" s="11" t="n">
        <v>20</v>
      </c>
      <c r="I3934" s="11" t="s">
        <v>149</v>
      </c>
      <c r="J3934" s="14" t="n">
        <v>70</v>
      </c>
      <c r="K3934" s="14"/>
      <c r="L3934" s="16"/>
      <c r="M3934" s="27" t="n">
        <f aca="false">J3934+(K3934/20)+(L3934/240)</f>
        <v>70</v>
      </c>
      <c r="N3934" s="17" t="s">
        <v>64</v>
      </c>
      <c r="O3934" s="11"/>
      <c r="P3934" s="28"/>
      <c r="Q3934" s="28" t="n">
        <f aca="false">P3934*$M3934</f>
        <v>0</v>
      </c>
      <c r="R3934" s="28"/>
      <c r="S3934" s="28" t="n">
        <f aca="false">R3934*$M3934</f>
        <v>0</v>
      </c>
      <c r="T3934" s="28"/>
      <c r="U3934" s="28" t="n">
        <f aca="false">T3934*$M3934</f>
        <v>0</v>
      </c>
      <c r="V3934" s="28"/>
      <c r="W3934" s="28" t="n">
        <f aca="false">V3934*$M3934</f>
        <v>0</v>
      </c>
      <c r="X3934" s="28" t="n">
        <f aca="false">1904/100</f>
        <v>19.04</v>
      </c>
      <c r="Y3934" s="28" t="n">
        <v>1333</v>
      </c>
      <c r="Z3934" s="28"/>
      <c r="AA3934" s="28" t="n">
        <f aca="false">Z3934*$M3934</f>
        <v>0</v>
      </c>
      <c r="AB3934" s="28" t="n">
        <f aca="false">51370/100</f>
        <v>513.7</v>
      </c>
      <c r="AC3934" s="28" t="n">
        <v>35959</v>
      </c>
      <c r="AD3934" s="28"/>
      <c r="AE3934" s="28" t="n">
        <f aca="false">AD3934*$M3934</f>
        <v>0</v>
      </c>
      <c r="AF3934" s="28" t="n">
        <f aca="false">8872/100</f>
        <v>88.72</v>
      </c>
      <c r="AG3934" s="28" t="n">
        <v>6210</v>
      </c>
      <c r="AH3934" s="28" t="n">
        <f aca="false">14751/100</f>
        <v>147.51</v>
      </c>
      <c r="AI3934" s="28" t="n">
        <v>10326</v>
      </c>
      <c r="AJ3934" s="28"/>
      <c r="AK3934" s="28" t="n">
        <f aca="false">AJ3934*$M3934</f>
        <v>0</v>
      </c>
      <c r="AL3934" s="28"/>
      <c r="AM3934" s="28" t="n">
        <f aca="false">AL3934*$M3934</f>
        <v>0</v>
      </c>
      <c r="AN3934" s="28"/>
      <c r="AO3934" s="28" t="n">
        <f aca="false">AN3934*$M3934</f>
        <v>0</v>
      </c>
      <c r="AP3934" s="28"/>
      <c r="AQ3934" s="28" t="n">
        <f aca="false">AP3934*$M3934</f>
        <v>0</v>
      </c>
      <c r="AR3934" s="28"/>
      <c r="AS3934" s="28" t="n">
        <f aca="false">AR3934*$M3934</f>
        <v>0</v>
      </c>
      <c r="AT3934" s="28"/>
      <c r="AU3934" s="28" t="n">
        <f aca="false">AT3934*$M3934</f>
        <v>0</v>
      </c>
      <c r="AV3934" s="28"/>
      <c r="AW3934" s="28" t="n">
        <f aca="false">AV3934*$M3934</f>
        <v>0</v>
      </c>
      <c r="AX3934" s="28"/>
      <c r="AY3934" s="28" t="n">
        <f aca="false">AX3934*$M3934</f>
        <v>0</v>
      </c>
      <c r="AZ3934" s="30" t="n">
        <f aca="false">76897/100</f>
        <v>768.97</v>
      </c>
      <c r="BA3934" s="11" t="n">
        <v>53828</v>
      </c>
      <c r="BB3934" s="31" t="n">
        <f aca="false">SUM(Q3934,S3934,U3934,W3934,Y3934,AA3934,AC3934,AE3934,AG3934,AI3934,AK3934,AM3934,AO3934,AQ3934,AS3934,AU3934,AW3934,AY3934)</f>
        <v>53828</v>
      </c>
      <c r="BC3934" s="28" t="n">
        <f aca="false">BA3934-BB3934</f>
        <v>0</v>
      </c>
      <c r="BD3934" s="32" t="n">
        <f aca="false">SUM(P3934,R3934,T3934,V3934,X3934,Z3934,AB3934,AD3934,AF3934,AH3934,AJ3934,AL3934,AN3934,AP3934,AR3934,AT3934,AV3934,AX3934)</f>
        <v>768.97</v>
      </c>
      <c r="BE3934" s="33" t="n">
        <f aca="false">AZ3934-BD3934</f>
        <v>0</v>
      </c>
      <c r="BF3934" s="34" t="n">
        <f aca="false">BD3934*M3934</f>
        <v>53827.9</v>
      </c>
      <c r="BG3934" s="35" t="n">
        <f aca="false">BA3934-BF3934</f>
        <v>0.0999999999985448</v>
      </c>
      <c r="BH3934" s="19" t="str">
        <f aca="false">IF(BG3934=0,"",IF(BG3934&lt;&gt;BA3934,"erreur de calcul",IF(BD3934&lt;&gt;0,"pas de prix",IF(M3934&lt;&gt; 0,"pas de quantité","pas de prix, ni de quantité"))))</f>
        <v>erreur de calcul</v>
      </c>
      <c r="BI3934" s="19"/>
    </row>
    <row r="3935" customFormat="false" ht="15" hidden="false" customHeight="false" outlineLevel="0" collapsed="false">
      <c r="A3935" s="0" t="n">
        <v>31</v>
      </c>
      <c r="B3935" s="8" t="s">
        <v>24</v>
      </c>
      <c r="C3935" s="9" t="s">
        <v>25</v>
      </c>
      <c r="D3935" s="9" t="s">
        <v>26</v>
      </c>
      <c r="E3935" s="10" t="n">
        <v>1789</v>
      </c>
      <c r="F3935" s="9" t="s">
        <v>27</v>
      </c>
      <c r="G3935" s="9" t="s">
        <v>27</v>
      </c>
      <c r="H3935" s="11" t="n">
        <v>20</v>
      </c>
      <c r="I3935" s="11" t="s">
        <v>150</v>
      </c>
      <c r="J3935" s="14" t="n">
        <v>70</v>
      </c>
      <c r="K3935" s="14"/>
      <c r="L3935" s="16"/>
      <c r="M3935" s="27" t="n">
        <f aca="false">J3935+(K3935/20)+(L3935/240)</f>
        <v>70</v>
      </c>
      <c r="N3935" s="17" t="s">
        <v>64</v>
      </c>
      <c r="O3935" s="11" t="s">
        <v>77</v>
      </c>
      <c r="P3935" s="28"/>
      <c r="Q3935" s="28" t="n">
        <f aca="false">P3935*$M3935</f>
        <v>0</v>
      </c>
      <c r="R3935" s="28"/>
      <c r="S3935" s="28" t="n">
        <f aca="false">R3935*$M3935</f>
        <v>0</v>
      </c>
      <c r="T3935" s="28"/>
      <c r="U3935" s="28" t="n">
        <f aca="false">T3935*$M3935</f>
        <v>0</v>
      </c>
      <c r="V3935" s="28"/>
      <c r="W3935" s="28" t="n">
        <f aca="false">V3935*$M3935</f>
        <v>0</v>
      </c>
      <c r="X3935" s="28"/>
      <c r="Y3935" s="28" t="n">
        <f aca="false">X3935*$M3935</f>
        <v>0</v>
      </c>
      <c r="Z3935" s="28"/>
      <c r="AA3935" s="28" t="n">
        <f aca="false">Z3935*$M3935</f>
        <v>0</v>
      </c>
      <c r="AB3935" s="28"/>
      <c r="AC3935" s="28" t="n">
        <f aca="false">AB3935*$M3935</f>
        <v>0</v>
      </c>
      <c r="AD3935" s="28"/>
      <c r="AE3935" s="28" t="n">
        <f aca="false">AD3935*$M3935</f>
        <v>0</v>
      </c>
      <c r="AF3935" s="28"/>
      <c r="AG3935" s="28" t="n">
        <f aca="false">AF3935*$M3935</f>
        <v>0</v>
      </c>
      <c r="AH3935" s="28"/>
      <c r="AI3935" s="28" t="n">
        <f aca="false">AH3935*$M3935</f>
        <v>0</v>
      </c>
      <c r="AJ3935" s="28"/>
      <c r="AK3935" s="28" t="n">
        <f aca="false">AJ3935*$M3935</f>
        <v>0</v>
      </c>
      <c r="AL3935" s="28"/>
      <c r="AM3935" s="28" t="n">
        <f aca="false">AL3935*$M3935</f>
        <v>0</v>
      </c>
      <c r="AN3935" s="28"/>
      <c r="AO3935" s="28" t="n">
        <f aca="false">AN3935*$M3935</f>
        <v>0</v>
      </c>
      <c r="AP3935" s="28"/>
      <c r="AQ3935" s="28" t="n">
        <f aca="false">AP3935*$M3935</f>
        <v>0</v>
      </c>
      <c r="AR3935" s="28"/>
      <c r="AS3935" s="28" t="n">
        <f aca="false">AR3935*$M3935</f>
        <v>0</v>
      </c>
      <c r="AT3935" s="28"/>
      <c r="AU3935" s="28" t="n">
        <f aca="false">AT3935*$M3935</f>
        <v>0</v>
      </c>
      <c r="AV3935" s="28"/>
      <c r="AW3935" s="28" t="n">
        <f aca="false">AV3935*$M3935</f>
        <v>0</v>
      </c>
      <c r="AX3935" s="28"/>
      <c r="AY3935" s="28" t="n">
        <f aca="false">AX3935*$M3935</f>
        <v>0</v>
      </c>
      <c r="AZ3935" s="30"/>
      <c r="BA3935" s="11"/>
      <c r="BB3935" s="31" t="n">
        <f aca="false">SUM(Q3935,S3935,U3935,W3935,Y3935,AA3935,AC3935,AE3935,AG3935,AI3935,AK3935,AM3935,AO3935,AQ3935,AS3935,AU3935,AW3935,AY3935)</f>
        <v>0</v>
      </c>
      <c r="BC3935" s="28" t="n">
        <f aca="false">BA3935-BB3935</f>
        <v>0</v>
      </c>
      <c r="BD3935" s="32" t="n">
        <f aca="false">SUM(P3935,R3935,T3935,V3935,X3935,Z3935,AB3935,AD3935,AF3935,AH3935,AJ3935,AL3935,AN3935,AP3935,AR3935,AT3935,AV3935,AX3935)</f>
        <v>0</v>
      </c>
      <c r="BE3935" s="33" t="n">
        <f aca="false">AZ3935-BD3935</f>
        <v>0</v>
      </c>
      <c r="BF3935" s="34" t="n">
        <f aca="false">BD3935*M3935</f>
        <v>0</v>
      </c>
      <c r="BG3935" s="35" t="n">
        <f aca="false">BA3935-BF3935</f>
        <v>0</v>
      </c>
      <c r="BH3935" s="19" t="str">
        <f aca="false">IF(BG3935=0,"",IF(BG3935&lt;&gt;BA3935,"erreur de calcul",IF(BD3935&lt;&gt;0,"pas de prix",IF(M3935&lt;&gt; 0,"pas de quantité","pas de prix, ni de quantité"))))</f>
        <v/>
      </c>
      <c r="BI3935" s="19"/>
    </row>
    <row r="3936" customFormat="false" ht="15" hidden="false" customHeight="false" outlineLevel="0" collapsed="false">
      <c r="A3936" s="0" t="n">
        <v>32</v>
      </c>
      <c r="B3936" s="8" t="s">
        <v>24</v>
      </c>
      <c r="C3936" s="9" t="s">
        <v>25</v>
      </c>
      <c r="D3936" s="9" t="s">
        <v>26</v>
      </c>
      <c r="E3936" s="10" t="n">
        <v>1789</v>
      </c>
      <c r="F3936" s="9" t="s">
        <v>27</v>
      </c>
      <c r="G3936" s="9" t="s">
        <v>27</v>
      </c>
      <c r="H3936" s="11" t="n">
        <v>20</v>
      </c>
      <c r="I3936" s="11" t="s">
        <v>150</v>
      </c>
      <c r="J3936" s="14" t="n">
        <v>70</v>
      </c>
      <c r="K3936" s="14"/>
      <c r="L3936" s="16"/>
      <c r="M3936" s="27" t="n">
        <f aca="false">J3936+(K3936/20)+(L3936/240)</f>
        <v>70</v>
      </c>
      <c r="N3936" s="17" t="s">
        <v>64</v>
      </c>
      <c r="O3936" s="11" t="s">
        <v>98</v>
      </c>
      <c r="P3936" s="28" t="n">
        <f aca="false">382028/100</f>
        <v>3820.28</v>
      </c>
      <c r="Q3936" s="28" t="n">
        <v>267420</v>
      </c>
      <c r="R3936" s="28" t="n">
        <f aca="false">131361/100</f>
        <v>1313.61</v>
      </c>
      <c r="S3936" s="28" t="n">
        <v>91953</v>
      </c>
      <c r="T3936" s="28" t="n">
        <f aca="false">8856/100</f>
        <v>88.56</v>
      </c>
      <c r="U3936" s="28" t="n">
        <v>6199</v>
      </c>
      <c r="V3936" s="28" t="n">
        <f aca="false">171125/100</f>
        <v>1711.25</v>
      </c>
      <c r="W3936" s="28" t="n">
        <v>119787</v>
      </c>
      <c r="X3936" s="28" t="n">
        <f aca="false">24259/100</f>
        <v>242.59</v>
      </c>
      <c r="Y3936" s="28" t="n">
        <v>16981</v>
      </c>
      <c r="Z3936" s="28"/>
      <c r="AA3936" s="28" t="n">
        <f aca="false">Z3936*$M3936</f>
        <v>0</v>
      </c>
      <c r="AB3936" s="28" t="n">
        <f aca="false">33694/100</f>
        <v>336.94</v>
      </c>
      <c r="AC3936" s="28" t="n">
        <v>23586</v>
      </c>
      <c r="AD3936" s="28" t="n">
        <f aca="false">89734/100</f>
        <v>897.34</v>
      </c>
      <c r="AE3936" s="28" t="n">
        <v>62814</v>
      </c>
      <c r="AF3936" s="28" t="n">
        <f aca="false">1955727/100</f>
        <v>19557.27</v>
      </c>
      <c r="AG3936" s="28" t="n">
        <v>1369009</v>
      </c>
      <c r="AH3936" s="28" t="n">
        <f aca="false">11740/100</f>
        <v>117.4</v>
      </c>
      <c r="AI3936" s="28" t="n">
        <v>8218</v>
      </c>
      <c r="AJ3936" s="28"/>
      <c r="AK3936" s="28" t="n">
        <f aca="false">AJ3936*$M3936</f>
        <v>0</v>
      </c>
      <c r="AL3936" s="28"/>
      <c r="AM3936" s="28" t="n">
        <f aca="false">AL3936*$M3936</f>
        <v>0</v>
      </c>
      <c r="AN3936" s="28"/>
      <c r="AO3936" s="28" t="n">
        <f aca="false">AN3936*$M3936</f>
        <v>0</v>
      </c>
      <c r="AP3936" s="28"/>
      <c r="AQ3936" s="28" t="n">
        <f aca="false">AP3936*$M3936</f>
        <v>0</v>
      </c>
      <c r="AR3936" s="28"/>
      <c r="AS3936" s="28" t="n">
        <f aca="false">AR3936*$M3936</f>
        <v>0</v>
      </c>
      <c r="AT3936" s="28"/>
      <c r="AU3936" s="28" t="n">
        <f aca="false">AT3936*$M3936</f>
        <v>0</v>
      </c>
      <c r="AV3936" s="28" t="n">
        <f aca="false">15000/100</f>
        <v>150</v>
      </c>
      <c r="AW3936" s="28" t="n">
        <v>10500</v>
      </c>
      <c r="AX3936" s="28"/>
      <c r="AY3936" s="28" t="n">
        <f aca="false">AX3936*$M3936</f>
        <v>0</v>
      </c>
      <c r="AZ3936" s="30" t="n">
        <f aca="false">2823524/100</f>
        <v>28235.24</v>
      </c>
      <c r="BA3936" s="11" t="n">
        <v>1976467</v>
      </c>
      <c r="BB3936" s="31" t="n">
        <f aca="false">SUM(Q3936,S3936,U3936,W3936,Y3936,AA3936,AC3936,AE3936,AG3936,AI3936,AK3936,AM3936,AO3936,AQ3936,AS3936,AU3936,AW3936,AY3936)</f>
        <v>1976467</v>
      </c>
      <c r="BC3936" s="28" t="n">
        <f aca="false">BA3936-BB3936</f>
        <v>0</v>
      </c>
      <c r="BD3936" s="32" t="n">
        <f aca="false">SUM(P3936,R3936,T3936,V3936,X3936,Z3936,AB3936,AD3936,AF3936,AH3936,AJ3936,AL3936,AN3936,AP3936,AR3936,AT3936,AV3936,AX3936)</f>
        <v>28235.24</v>
      </c>
      <c r="BE3936" s="33" t="n">
        <f aca="false">AZ3936-BD3936</f>
        <v>0</v>
      </c>
      <c r="BF3936" s="34" t="n">
        <f aca="false">BD3936*M3936</f>
        <v>1976466.8</v>
      </c>
      <c r="BG3936" s="35" t="n">
        <f aca="false">BA3936-BF3936</f>
        <v>0.199999999953434</v>
      </c>
      <c r="BH3936" s="19" t="str">
        <f aca="false">IF(BG3936=0,"",IF(BG3936&lt;&gt;BA3936,"erreur de calcul",IF(BD3936&lt;&gt;0,"pas de prix",IF(M3936&lt;&gt; 0,"pas de quantité","pas de prix, ni de quantité"))))</f>
        <v>erreur de calcul</v>
      </c>
      <c r="BI3936" s="19"/>
    </row>
    <row r="3937" customFormat="false" ht="15" hidden="false" customHeight="false" outlineLevel="0" collapsed="false">
      <c r="A3937" s="0" t="n">
        <v>33</v>
      </c>
      <c r="B3937" s="8" t="s">
        <v>24</v>
      </c>
      <c r="C3937" s="9" t="s">
        <v>25</v>
      </c>
      <c r="D3937" s="9" t="s">
        <v>26</v>
      </c>
      <c r="E3937" s="10" t="n">
        <v>1789</v>
      </c>
      <c r="F3937" s="9" t="s">
        <v>27</v>
      </c>
      <c r="G3937" s="9" t="s">
        <v>27</v>
      </c>
      <c r="H3937" s="11" t="n">
        <v>20</v>
      </c>
      <c r="I3937" s="11" t="s">
        <v>151</v>
      </c>
      <c r="J3937" s="14" t="n">
        <v>150</v>
      </c>
      <c r="K3937" s="14"/>
      <c r="L3937" s="16"/>
      <c r="M3937" s="27" t="n">
        <f aca="false">J3937+(K3937/20)+(L3937/240)</f>
        <v>150</v>
      </c>
      <c r="N3937" s="17" t="s">
        <v>64</v>
      </c>
      <c r="O3937" s="11"/>
      <c r="P3937" s="28"/>
      <c r="Q3937" s="28" t="n">
        <f aca="false">P3937*$M3937</f>
        <v>0</v>
      </c>
      <c r="R3937" s="28"/>
      <c r="S3937" s="28" t="n">
        <f aca="false">R3937*$M3937</f>
        <v>0</v>
      </c>
      <c r="T3937" s="28"/>
      <c r="U3937" s="28" t="n">
        <f aca="false">T3937*$M3937</f>
        <v>0</v>
      </c>
      <c r="V3937" s="28"/>
      <c r="W3937" s="28" t="n">
        <f aca="false">V3937*$M3937</f>
        <v>0</v>
      </c>
      <c r="X3937" s="28"/>
      <c r="Y3937" s="28" t="n">
        <f aca="false">X3937*$M3937</f>
        <v>0</v>
      </c>
      <c r="Z3937" s="28"/>
      <c r="AA3937" s="28" t="n">
        <f aca="false">Z3937*$M3937</f>
        <v>0</v>
      </c>
      <c r="AB3937" s="28"/>
      <c r="AC3937" s="28" t="n">
        <f aca="false">AB3937*$M3937</f>
        <v>0</v>
      </c>
      <c r="AD3937" s="28"/>
      <c r="AE3937" s="28" t="n">
        <f aca="false">AD3937*$M3937</f>
        <v>0</v>
      </c>
      <c r="AF3937" s="28"/>
      <c r="AG3937" s="28" t="n">
        <f aca="false">AF3937*$M3937</f>
        <v>0</v>
      </c>
      <c r="AH3937" s="28"/>
      <c r="AI3937" s="28" t="n">
        <f aca="false">AH3937*$M3937</f>
        <v>0</v>
      </c>
      <c r="AJ3937" s="28"/>
      <c r="AK3937" s="28" t="n">
        <f aca="false">AJ3937*$M3937</f>
        <v>0</v>
      </c>
      <c r="AL3937" s="28" t="n">
        <f aca="false">118785/100</f>
        <v>1187.85</v>
      </c>
      <c r="AM3937" s="28" t="n">
        <v>178177</v>
      </c>
      <c r="AN3937" s="28"/>
      <c r="AO3937" s="28" t="n">
        <f aca="false">AN3937*$M3937</f>
        <v>0</v>
      </c>
      <c r="AP3937" s="28"/>
      <c r="AQ3937" s="28" t="n">
        <f aca="false">AP3937*$M3937</f>
        <v>0</v>
      </c>
      <c r="AR3937" s="28"/>
      <c r="AS3937" s="28" t="n">
        <f aca="false">AR3937*$M3937</f>
        <v>0</v>
      </c>
      <c r="AT3937" s="28"/>
      <c r="AU3937" s="28" t="n">
        <f aca="false">AT3937*$M3937</f>
        <v>0</v>
      </c>
      <c r="AV3937" s="28"/>
      <c r="AW3937" s="28" t="n">
        <f aca="false">AV3937*$M3937</f>
        <v>0</v>
      </c>
      <c r="AX3937" s="28"/>
      <c r="AY3937" s="28" t="n">
        <f aca="false">AX3937*$M3937</f>
        <v>0</v>
      </c>
      <c r="AZ3937" s="30" t="n">
        <f aca="false">118785/100</f>
        <v>1187.85</v>
      </c>
      <c r="BA3937" s="11" t="n">
        <v>178177</v>
      </c>
      <c r="BB3937" s="31" t="n">
        <f aca="false">SUM(Q3937,S3937,U3937,W3937,Y3937,AA3937,AC3937,AE3937,AG3937,AI3937,AK3937,AM3937,AO3937,AQ3937,AS3937,AU3937,AW3937,AY3937)</f>
        <v>178177</v>
      </c>
      <c r="BC3937" s="28" t="n">
        <f aca="false">BA3937-BB3937</f>
        <v>0</v>
      </c>
      <c r="BD3937" s="32" t="n">
        <f aca="false">SUM(P3937,R3937,T3937,V3937,X3937,Z3937,AB3937,AD3937,AF3937,AH3937,AJ3937,AL3937,AN3937,AP3937,AR3937,AT3937,AV3937,AX3937)</f>
        <v>1187.85</v>
      </c>
      <c r="BE3937" s="33" t="n">
        <f aca="false">AZ3937-BD3937</f>
        <v>0</v>
      </c>
      <c r="BF3937" s="34" t="n">
        <f aca="false">BD3937*M3937</f>
        <v>178177.5</v>
      </c>
      <c r="BG3937" s="35" t="n">
        <f aca="false">BA3937-BF3937</f>
        <v>-0.5</v>
      </c>
      <c r="BH3937" s="19" t="str">
        <f aca="false">IF(BG3937=0,"",IF(BG3937&lt;&gt;BA3937,"erreur de calcul",IF(BD3937&lt;&gt;0,"pas de prix",IF(M3937&lt;&gt; 0,"pas de quantité","pas de prix, ni de quantité"))))</f>
        <v>erreur de calcul</v>
      </c>
      <c r="BI3937" s="19"/>
    </row>
    <row r="3938" customFormat="false" ht="15" hidden="false" customHeight="false" outlineLevel="0" collapsed="false">
      <c r="A3938" s="0" t="n">
        <v>34</v>
      </c>
      <c r="B3938" s="8" t="s">
        <v>24</v>
      </c>
      <c r="C3938" s="9" t="s">
        <v>25</v>
      </c>
      <c r="D3938" s="9" t="s">
        <v>26</v>
      </c>
      <c r="E3938" s="10" t="n">
        <v>1789</v>
      </c>
      <c r="F3938" s="9" t="s">
        <v>27</v>
      </c>
      <c r="G3938" s="9" t="s">
        <v>27</v>
      </c>
      <c r="H3938" s="11" t="n">
        <v>20</v>
      </c>
      <c r="I3938" s="11" t="s">
        <v>152</v>
      </c>
      <c r="J3938" s="14" t="n">
        <v>80</v>
      </c>
      <c r="K3938" s="14"/>
      <c r="L3938" s="16"/>
      <c r="M3938" s="27" t="n">
        <f aca="false">J3938+(K3938/20)+(L3938/240)</f>
        <v>80</v>
      </c>
      <c r="N3938" s="17" t="s">
        <v>64</v>
      </c>
      <c r="O3938" s="11"/>
      <c r="P3938" s="28"/>
      <c r="Q3938" s="28" t="n">
        <f aca="false">P3938*$M3938</f>
        <v>0</v>
      </c>
      <c r="R3938" s="28"/>
      <c r="S3938" s="28" t="n">
        <f aca="false">R3938*$M3938</f>
        <v>0</v>
      </c>
      <c r="T3938" s="28"/>
      <c r="U3938" s="28" t="n">
        <f aca="false">T3938*$M3938</f>
        <v>0</v>
      </c>
      <c r="V3938" s="28"/>
      <c r="W3938" s="28" t="n">
        <f aca="false">V3938*$M3938</f>
        <v>0</v>
      </c>
      <c r="X3938" s="28"/>
      <c r="Y3938" s="28" t="n">
        <f aca="false">X3938*$M3938</f>
        <v>0</v>
      </c>
      <c r="Z3938" s="28"/>
      <c r="AA3938" s="28" t="n">
        <f aca="false">Z3938*$M3938</f>
        <v>0</v>
      </c>
      <c r="AB3938" s="28" t="n">
        <f aca="false">3142/100</f>
        <v>31.42</v>
      </c>
      <c r="AC3938" s="28" t="n">
        <v>2514</v>
      </c>
      <c r="AD3938" s="28"/>
      <c r="AE3938" s="28" t="n">
        <f aca="false">AD3938*$M3938</f>
        <v>0</v>
      </c>
      <c r="AF3938" s="28" t="n">
        <f aca="false">4868/100</f>
        <v>48.68</v>
      </c>
      <c r="AG3938" s="36" t="n">
        <v>3874</v>
      </c>
      <c r="AH3938" s="28" t="n">
        <f aca="false">1541601/100</f>
        <v>15416.01</v>
      </c>
      <c r="AI3938" s="28" t="n">
        <v>1233281</v>
      </c>
      <c r="AJ3938" s="28"/>
      <c r="AK3938" s="28" t="n">
        <f aca="false">AJ3938*$M3938</f>
        <v>0</v>
      </c>
      <c r="AL3938" s="28"/>
      <c r="AM3938" s="28" t="n">
        <f aca="false">AL3938*$M3938</f>
        <v>0</v>
      </c>
      <c r="AN3938" s="28"/>
      <c r="AO3938" s="28" t="n">
        <f aca="false">AN3938*$M3938</f>
        <v>0</v>
      </c>
      <c r="AP3938" s="28"/>
      <c r="AQ3938" s="28" t="n">
        <f aca="false">AP3938*$M3938</f>
        <v>0</v>
      </c>
      <c r="AR3938" s="28"/>
      <c r="AS3938" s="28" t="n">
        <f aca="false">AR3938*$M3938</f>
        <v>0</v>
      </c>
      <c r="AT3938" s="28"/>
      <c r="AU3938" s="28" t="n">
        <f aca="false">AT3938*$M3938</f>
        <v>0</v>
      </c>
      <c r="AV3938" s="28"/>
      <c r="AW3938" s="28" t="n">
        <f aca="false">AV3938*$M3938</f>
        <v>0</v>
      </c>
      <c r="AX3938" s="28"/>
      <c r="AY3938" s="28" t="n">
        <f aca="false">AX3938*$M3938</f>
        <v>0</v>
      </c>
      <c r="AZ3938" s="30" t="n">
        <f aca="false">1549611/100</f>
        <v>15496.11</v>
      </c>
      <c r="BA3938" s="11" t="n">
        <v>1239669</v>
      </c>
      <c r="BB3938" s="31" t="n">
        <f aca="false">SUM(Q3938,S3938,U3938,W3938,Y3938,AA3938,AC3938,AE3938,AG3938,AI3938,AK3938,AM3938,AO3938,AQ3938,AS3938,AU3938,AW3938,AY3938)</f>
        <v>1239669</v>
      </c>
      <c r="BC3938" s="28" t="n">
        <f aca="false">BA3938-BB3938</f>
        <v>0</v>
      </c>
      <c r="BD3938" s="32" t="n">
        <f aca="false">SUM(P3938,R3938,T3938,V3938,X3938,Z3938,AB3938,AD3938,AF3938,AH3938,AJ3938,AL3938,AN3938,AP3938,AR3938,AT3938,AV3938,AX3938)</f>
        <v>15496.11</v>
      </c>
      <c r="BE3938" s="33" t="n">
        <f aca="false">AZ3938-BD3938</f>
        <v>0</v>
      </c>
      <c r="BF3938" s="34" t="n">
        <f aca="false">BD3938*M3938</f>
        <v>1239688.8</v>
      </c>
      <c r="BG3938" s="35" t="n">
        <f aca="false">BA3938-BF3938</f>
        <v>-19.8000000000466</v>
      </c>
      <c r="BH3938" s="19" t="str">
        <f aca="false">IF(BG3938=0,"",IF(BG3938&lt;&gt;BA3938,"erreur de calcul",IF(BD3938&lt;&gt;0,"pas de prix",IF(M3938&lt;&gt; 0,"pas de quantité","pas de prix, ni de quantité"))))</f>
        <v>erreur de calcul</v>
      </c>
      <c r="BI3938" s="19"/>
    </row>
    <row r="3939" customFormat="false" ht="15" hidden="false" customHeight="false" outlineLevel="0" collapsed="false">
      <c r="A3939" s="0" t="n">
        <v>35</v>
      </c>
      <c r="B3939" s="8" t="s">
        <v>24</v>
      </c>
      <c r="C3939" s="9" t="s">
        <v>25</v>
      </c>
      <c r="D3939" s="9" t="s">
        <v>26</v>
      </c>
      <c r="E3939" s="10" t="n">
        <v>1789</v>
      </c>
      <c r="F3939" s="9" t="s">
        <v>27</v>
      </c>
      <c r="G3939" s="9" t="s">
        <v>27</v>
      </c>
      <c r="H3939" s="11" t="n">
        <v>20</v>
      </c>
      <c r="I3939" s="11" t="s">
        <v>153</v>
      </c>
      <c r="J3939" s="14" t="n">
        <v>148</v>
      </c>
      <c r="K3939" s="14"/>
      <c r="L3939" s="16"/>
      <c r="M3939" s="27" t="n">
        <f aca="false">J3939+(K3939/20)+(L3939/240)</f>
        <v>148</v>
      </c>
      <c r="N3939" s="17" t="s">
        <v>64</v>
      </c>
      <c r="O3939" s="11"/>
      <c r="P3939" s="28"/>
      <c r="Q3939" s="28" t="n">
        <f aca="false">P3939*$M3939</f>
        <v>0</v>
      </c>
      <c r="R3939" s="28"/>
      <c r="S3939" s="28" t="n">
        <f aca="false">R3939*$M3939</f>
        <v>0</v>
      </c>
      <c r="T3939" s="28"/>
      <c r="U3939" s="28" t="n">
        <f aca="false">T3939*$M3939</f>
        <v>0</v>
      </c>
      <c r="V3939" s="28"/>
      <c r="W3939" s="28" t="n">
        <f aca="false">V3939*$M3939</f>
        <v>0</v>
      </c>
      <c r="X3939" s="28"/>
      <c r="Y3939" s="28" t="n">
        <f aca="false">X3939*$M3939</f>
        <v>0</v>
      </c>
      <c r="Z3939" s="28"/>
      <c r="AA3939" s="28" t="n">
        <f aca="false">Z3939*$M3939</f>
        <v>0</v>
      </c>
      <c r="AB3939" s="28"/>
      <c r="AC3939" s="28" t="n">
        <f aca="false">AB3939*$M3939</f>
        <v>0</v>
      </c>
      <c r="AD3939" s="28"/>
      <c r="AE3939" s="28" t="n">
        <f aca="false">AD3939*$M3939</f>
        <v>0</v>
      </c>
      <c r="AF3939" s="28"/>
      <c r="AG3939" s="28" t="n">
        <f aca="false">AF3939*$M3939</f>
        <v>0</v>
      </c>
      <c r="AH3939" s="28"/>
      <c r="AI3939" s="28" t="n">
        <f aca="false">AH3939*$M3939</f>
        <v>0</v>
      </c>
      <c r="AJ3939" s="28" t="n">
        <f aca="false">1472/100</f>
        <v>14.72</v>
      </c>
      <c r="AK3939" s="28" t="n">
        <v>2178</v>
      </c>
      <c r="AL3939" s="28"/>
      <c r="AM3939" s="28" t="n">
        <f aca="false">AL3939*$M3939</f>
        <v>0</v>
      </c>
      <c r="AN3939" s="28"/>
      <c r="AO3939" s="28" t="n">
        <f aca="false">AN3939*$M3939</f>
        <v>0</v>
      </c>
      <c r="AP3939" s="28"/>
      <c r="AQ3939" s="28" t="n">
        <f aca="false">AP3939*$M3939</f>
        <v>0</v>
      </c>
      <c r="AR3939" s="28"/>
      <c r="AS3939" s="28" t="n">
        <f aca="false">AR3939*$M3939</f>
        <v>0</v>
      </c>
      <c r="AT3939" s="28"/>
      <c r="AU3939" s="28" t="n">
        <f aca="false">AT3939*$M3939</f>
        <v>0</v>
      </c>
      <c r="AV3939" s="28"/>
      <c r="AW3939" s="28" t="n">
        <f aca="false">AV3939*$M3939</f>
        <v>0</v>
      </c>
      <c r="AX3939" s="28"/>
      <c r="AY3939" s="28" t="n">
        <f aca="false">AX3939*$M3939</f>
        <v>0</v>
      </c>
      <c r="AZ3939" s="30" t="n">
        <f aca="false">1472/100</f>
        <v>14.72</v>
      </c>
      <c r="BA3939" s="11" t="n">
        <v>2178</v>
      </c>
      <c r="BB3939" s="31" t="n">
        <f aca="false">SUM(Q3939,S3939,U3939,W3939,Y3939,AA3939,AC3939,AE3939,AG3939,AI3939,AK3939,AM3939,AO3939,AQ3939,AS3939,AU3939,AW3939,AY3939)</f>
        <v>2178</v>
      </c>
      <c r="BC3939" s="28" t="n">
        <f aca="false">BA3939-BB3939</f>
        <v>0</v>
      </c>
      <c r="BD3939" s="32" t="n">
        <f aca="false">SUM(P3939,R3939,T3939,V3939,X3939,Z3939,AB3939,AD3939,AF3939,AH3939,AJ3939,AL3939,AN3939,AP3939,AR3939,AT3939,AV3939,AX3939)</f>
        <v>14.72</v>
      </c>
      <c r="BE3939" s="33" t="n">
        <f aca="false">AZ3939-BD3939</f>
        <v>0</v>
      </c>
      <c r="BF3939" s="34" t="n">
        <f aca="false">BD3939*M3939</f>
        <v>2178.56</v>
      </c>
      <c r="BG3939" s="35" t="n">
        <f aca="false">BA3939-BF3939</f>
        <v>-0.559999999999945</v>
      </c>
      <c r="BH3939" s="19" t="str">
        <f aca="false">IF(BG3939=0,"",IF(BG3939&lt;&gt;BA3939,"erreur de calcul",IF(BD3939&lt;&gt;0,"pas de prix",IF(M3939&lt;&gt; 0,"pas de quantité","pas de prix, ni de quantité"))))</f>
        <v>erreur de calcul</v>
      </c>
      <c r="BI3939" s="19"/>
    </row>
    <row r="3940" customFormat="false" ht="15" hidden="false" customHeight="false" outlineLevel="0" collapsed="false">
      <c r="A3940" s="0" t="n">
        <v>36</v>
      </c>
      <c r="B3940" s="8" t="s">
        <v>24</v>
      </c>
      <c r="C3940" s="9" t="s">
        <v>25</v>
      </c>
      <c r="D3940" s="9" t="s">
        <v>26</v>
      </c>
      <c r="E3940" s="10" t="n">
        <v>1789</v>
      </c>
      <c r="F3940" s="9" t="s">
        <v>27</v>
      </c>
      <c r="G3940" s="9" t="s">
        <v>27</v>
      </c>
      <c r="H3940" s="11" t="n">
        <v>20</v>
      </c>
      <c r="I3940" s="11" t="s">
        <v>154</v>
      </c>
      <c r="J3940" s="14" t="n">
        <v>75</v>
      </c>
      <c r="K3940" s="14"/>
      <c r="L3940" s="16"/>
      <c r="M3940" s="27" t="n">
        <f aca="false">J3940+(K3940/20)+(L3940/240)</f>
        <v>75</v>
      </c>
      <c r="N3940" s="17" t="s">
        <v>64</v>
      </c>
      <c r="O3940" s="11"/>
      <c r="P3940" s="28"/>
      <c r="Q3940" s="28" t="n">
        <f aca="false">P3940*$M3940</f>
        <v>0</v>
      </c>
      <c r="R3940" s="28"/>
      <c r="S3940" s="28" t="n">
        <f aca="false">R3940*$M3940</f>
        <v>0</v>
      </c>
      <c r="T3940" s="28" t="n">
        <f aca="false">627/100</f>
        <v>6.27</v>
      </c>
      <c r="U3940" s="28" t="n">
        <v>470</v>
      </c>
      <c r="V3940" s="28"/>
      <c r="W3940" s="28" t="n">
        <f aca="false">V3940*$M3940</f>
        <v>0</v>
      </c>
      <c r="X3940" s="28"/>
      <c r="Y3940" s="28" t="n">
        <f aca="false">X3940*$M3940</f>
        <v>0</v>
      </c>
      <c r="Z3940" s="28"/>
      <c r="AA3940" s="28" t="n">
        <f aca="false">Z3940*$M3940</f>
        <v>0</v>
      </c>
      <c r="AB3940" s="28"/>
      <c r="AC3940" s="28" t="n">
        <f aca="false">AB3940*$M3940</f>
        <v>0</v>
      </c>
      <c r="AD3940" s="28"/>
      <c r="AE3940" s="28" t="n">
        <f aca="false">AD3940*$M3940</f>
        <v>0</v>
      </c>
      <c r="AF3940" s="28"/>
      <c r="AG3940" s="28" t="n">
        <f aca="false">AF3940*$M3940</f>
        <v>0</v>
      </c>
      <c r="AH3940" s="28"/>
      <c r="AI3940" s="28" t="n">
        <f aca="false">AH3940*$M3940</f>
        <v>0</v>
      </c>
      <c r="AJ3940" s="28"/>
      <c r="AK3940" s="28" t="n">
        <f aca="false">AJ3940*$M3940</f>
        <v>0</v>
      </c>
      <c r="AL3940" s="28"/>
      <c r="AM3940" s="28" t="n">
        <f aca="false">AL3940*$M3940</f>
        <v>0</v>
      </c>
      <c r="AN3940" s="28"/>
      <c r="AO3940" s="28" t="n">
        <f aca="false">AN3940*$M3940</f>
        <v>0</v>
      </c>
      <c r="AP3940" s="28"/>
      <c r="AQ3940" s="28" t="n">
        <f aca="false">AP3940*$M3940</f>
        <v>0</v>
      </c>
      <c r="AR3940" s="28"/>
      <c r="AS3940" s="28" t="n">
        <f aca="false">AR3940*$M3940</f>
        <v>0</v>
      </c>
      <c r="AT3940" s="28"/>
      <c r="AU3940" s="28" t="n">
        <f aca="false">AT3940*$M3940</f>
        <v>0</v>
      </c>
      <c r="AV3940" s="28"/>
      <c r="AW3940" s="28" t="n">
        <f aca="false">AV3940*$M3940</f>
        <v>0</v>
      </c>
      <c r="AX3940" s="28"/>
      <c r="AY3940" s="28" t="n">
        <f aca="false">AX3940*$M3940</f>
        <v>0</v>
      </c>
      <c r="AZ3940" s="30" t="n">
        <f aca="false">627/100</f>
        <v>6.27</v>
      </c>
      <c r="BA3940" s="11" t="n">
        <v>470</v>
      </c>
      <c r="BB3940" s="31" t="n">
        <f aca="false">SUM(Q3940,S3940,U3940,W3940,Y3940,AA3940,AC3940,AE3940,AG3940,AI3940,AK3940,AM3940,AO3940,AQ3940,AS3940,AU3940,AW3940,AY3940)</f>
        <v>470</v>
      </c>
      <c r="BC3940" s="28" t="n">
        <f aca="false">BA3940-BB3940</f>
        <v>0</v>
      </c>
      <c r="BD3940" s="32" t="n">
        <f aca="false">SUM(P3940,R3940,T3940,V3940,X3940,Z3940,AB3940,AD3940,AF3940,AH3940,AJ3940,AL3940,AN3940,AP3940,AR3940,AT3940,AV3940,AX3940)</f>
        <v>6.27</v>
      </c>
      <c r="BE3940" s="33" t="n">
        <f aca="false">AZ3940-BD3940</f>
        <v>0</v>
      </c>
      <c r="BF3940" s="34" t="n">
        <f aca="false">BD3940*M3940</f>
        <v>470.25</v>
      </c>
      <c r="BG3940" s="35" t="n">
        <f aca="false">BA3940-BF3940</f>
        <v>-0.249999999999943</v>
      </c>
      <c r="BH3940" s="19" t="str">
        <f aca="false">IF(BG3940=0,"",IF(BG3940&lt;&gt;BA3940,"erreur de calcul",IF(BD3940&lt;&gt;0,"pas de prix",IF(M3940&lt;&gt; 0,"pas de quantité","pas de prix, ni de quantité"))))</f>
        <v>erreur de calcul</v>
      </c>
      <c r="BI3940" s="19"/>
    </row>
    <row r="3941" customFormat="false" ht="15" hidden="false" customHeight="false" outlineLevel="0" collapsed="false">
      <c r="A3941" s="0" t="n">
        <v>1</v>
      </c>
      <c r="B3941" s="8" t="s">
        <v>24</v>
      </c>
      <c r="C3941" s="9" t="s">
        <v>25</v>
      </c>
      <c r="D3941" s="9" t="s">
        <v>26</v>
      </c>
      <c r="E3941" s="10" t="n">
        <v>1789</v>
      </c>
      <c r="F3941" s="9" t="s">
        <v>27</v>
      </c>
      <c r="G3941" s="9" t="s">
        <v>27</v>
      </c>
      <c r="H3941" s="11" t="n">
        <v>21</v>
      </c>
      <c r="I3941" s="11" t="s">
        <v>155</v>
      </c>
      <c r="J3941" s="14" t="n">
        <v>60</v>
      </c>
      <c r="K3941" s="14"/>
      <c r="L3941" s="16"/>
      <c r="M3941" s="27" t="n">
        <f aca="false">J3941+(K3941/20)+(L3941/240)</f>
        <v>60</v>
      </c>
      <c r="N3941" s="17" t="s">
        <v>66</v>
      </c>
      <c r="O3941" s="11"/>
      <c r="P3941" s="28"/>
      <c r="Q3941" s="28" t="n">
        <f aca="false">P3941*$M3941</f>
        <v>0</v>
      </c>
      <c r="R3941" s="28"/>
      <c r="S3941" s="28" t="n">
        <f aca="false">R3941*$M3941</f>
        <v>0</v>
      </c>
      <c r="T3941" s="28"/>
      <c r="U3941" s="28" t="n">
        <f aca="false">T3941*$M3941</f>
        <v>0</v>
      </c>
      <c r="V3941" s="28" t="n">
        <v>10</v>
      </c>
      <c r="W3941" s="28" t="n">
        <v>600</v>
      </c>
      <c r="X3941" s="28"/>
      <c r="Y3941" s="28" t="n">
        <f aca="false">X3941*$M3941</f>
        <v>0</v>
      </c>
      <c r="Z3941" s="28"/>
      <c r="AA3941" s="28" t="n">
        <f aca="false">Z3941*$M3941</f>
        <v>0</v>
      </c>
      <c r="AB3941" s="28"/>
      <c r="AC3941" s="28" t="n">
        <f aca="false">AB3941*$M3941</f>
        <v>0</v>
      </c>
      <c r="AD3941" s="28"/>
      <c r="AE3941" s="28" t="n">
        <f aca="false">AD3941*$M3941</f>
        <v>0</v>
      </c>
      <c r="AF3941" s="28"/>
      <c r="AG3941" s="28" t="n">
        <f aca="false">AF3941*$M3941</f>
        <v>0</v>
      </c>
      <c r="AH3941" s="28"/>
      <c r="AI3941" s="28" t="n">
        <f aca="false">AH3941*$M3941</f>
        <v>0</v>
      </c>
      <c r="AJ3941" s="28"/>
      <c r="AK3941" s="28" t="n">
        <f aca="false">AJ3941*$M3941</f>
        <v>0</v>
      </c>
      <c r="AL3941" s="28"/>
      <c r="AM3941" s="28" t="n">
        <f aca="false">AL3941*$M3941</f>
        <v>0</v>
      </c>
      <c r="AN3941" s="28"/>
      <c r="AO3941" s="28" t="n">
        <f aca="false">AN3941*$M3941</f>
        <v>0</v>
      </c>
      <c r="AP3941" s="28"/>
      <c r="AQ3941" s="28" t="n">
        <f aca="false">AP3941*$M3941</f>
        <v>0</v>
      </c>
      <c r="AR3941" s="28"/>
      <c r="AS3941" s="28" t="n">
        <f aca="false">AR3941*$M3941</f>
        <v>0</v>
      </c>
      <c r="AT3941" s="28"/>
      <c r="AU3941" s="28" t="n">
        <f aca="false">AT3941*$M3941</f>
        <v>0</v>
      </c>
      <c r="AV3941" s="28"/>
      <c r="AW3941" s="28" t="n">
        <f aca="false">AV3941*$M3941</f>
        <v>0</v>
      </c>
      <c r="AX3941" s="28"/>
      <c r="AY3941" s="28" t="n">
        <f aca="false">AX3941*$M3941</f>
        <v>0</v>
      </c>
      <c r="AZ3941" s="30" t="n">
        <v>10</v>
      </c>
      <c r="BA3941" s="11" t="n">
        <v>600</v>
      </c>
      <c r="BB3941" s="31" t="n">
        <f aca="false">SUM(Q3941,S3941,U3941,W3941,Y3941,AA3941,AC3941,AE3941,AG3941,AI3941,AK3941,AM3941,AO3941,AQ3941,AS3941,AU3941,AW3941,AY3941)</f>
        <v>600</v>
      </c>
      <c r="BC3941" s="28" t="n">
        <f aca="false">BA3941-BB3941</f>
        <v>0</v>
      </c>
      <c r="BD3941" s="32" t="n">
        <f aca="false">SUM(P3941,R3941,T3941,V3941,X3941,Z3941,AB3941,AD3941,AF3941,AH3941,AJ3941,AL3941,AN3941,AP3941,AR3941,AT3941,AV3941,AX3941)</f>
        <v>10</v>
      </c>
      <c r="BE3941" s="33" t="n">
        <f aca="false">AZ3941-BD3941</f>
        <v>0</v>
      </c>
      <c r="BF3941" s="34" t="n">
        <f aca="false">BD3941*M3941</f>
        <v>600</v>
      </c>
      <c r="BG3941" s="35" t="n">
        <f aca="false">BA3941-BF3941</f>
        <v>0</v>
      </c>
      <c r="BH3941" s="19" t="str">
        <f aca="false">IF(BG3941=0,"",IF(BG3941&lt;&gt;BA3941,"erreur de calcul",IF(BD3941&lt;&gt;0,"pas de prix",IF(M3941&lt;&gt; 0,"pas de quantité","pas de prix, ni de quantité"))))</f>
        <v/>
      </c>
      <c r="BI3941" s="19"/>
    </row>
    <row r="3942" customFormat="false" ht="15" hidden="false" customHeight="false" outlineLevel="0" collapsed="false">
      <c r="A3942" s="0" t="n">
        <v>2</v>
      </c>
      <c r="B3942" s="8" t="s">
        <v>24</v>
      </c>
      <c r="C3942" s="9" t="s">
        <v>25</v>
      </c>
      <c r="D3942" s="9" t="s">
        <v>26</v>
      </c>
      <c r="E3942" s="10" t="n">
        <v>1789</v>
      </c>
      <c r="F3942" s="9" t="s">
        <v>27</v>
      </c>
      <c r="G3942" s="9" t="s">
        <v>27</v>
      </c>
      <c r="H3942" s="11" t="n">
        <v>21</v>
      </c>
      <c r="I3942" s="11" t="s">
        <v>156</v>
      </c>
      <c r="J3942" s="14"/>
      <c r="K3942" s="14"/>
      <c r="L3942" s="16"/>
      <c r="M3942" s="27" t="n">
        <f aca="false">J3942+(K3942/20)+(L3942/240)</f>
        <v>0</v>
      </c>
      <c r="N3942" s="17"/>
      <c r="O3942" s="11"/>
      <c r="P3942" s="28"/>
      <c r="Q3942" s="28" t="n">
        <v>304</v>
      </c>
      <c r="R3942" s="28"/>
      <c r="S3942" s="28" t="n">
        <f aca="false">R3942*$M3942</f>
        <v>0</v>
      </c>
      <c r="T3942" s="28"/>
      <c r="U3942" s="28" t="n">
        <f aca="false">T3942*$M3942</f>
        <v>0</v>
      </c>
      <c r="V3942" s="28"/>
      <c r="W3942" s="28" t="n">
        <f aca="false">V3942*$M3942</f>
        <v>0</v>
      </c>
      <c r="X3942" s="28"/>
      <c r="Y3942" s="28" t="n">
        <v>270</v>
      </c>
      <c r="Z3942" s="28"/>
      <c r="AA3942" s="28" t="n">
        <f aca="false">Z3942*$M3942</f>
        <v>0</v>
      </c>
      <c r="AB3942" s="28"/>
      <c r="AC3942" s="28" t="n">
        <f aca="false">AB3942*$M3942</f>
        <v>0</v>
      </c>
      <c r="AD3942" s="28"/>
      <c r="AE3942" s="28" t="n">
        <v>175</v>
      </c>
      <c r="AF3942" s="28"/>
      <c r="AG3942" s="28" t="n">
        <f aca="false">AF3942*$M3942</f>
        <v>0</v>
      </c>
      <c r="AH3942" s="28"/>
      <c r="AI3942" s="28" t="n">
        <f aca="false">AH3942*$M3942</f>
        <v>0</v>
      </c>
      <c r="AJ3942" s="28"/>
      <c r="AK3942" s="28" t="n">
        <v>240</v>
      </c>
      <c r="AL3942" s="28"/>
      <c r="AM3942" s="28" t="n">
        <v>808</v>
      </c>
      <c r="AN3942" s="28"/>
      <c r="AO3942" s="28" t="n">
        <f aca="false">AN3942*$M3942</f>
        <v>0</v>
      </c>
      <c r="AP3942" s="28"/>
      <c r="AQ3942" s="28" t="n">
        <f aca="false">AP3942*$M3942</f>
        <v>0</v>
      </c>
      <c r="AR3942" s="28"/>
      <c r="AS3942" s="28" t="n">
        <f aca="false">AR3942*$M3942</f>
        <v>0</v>
      </c>
      <c r="AT3942" s="28"/>
      <c r="AU3942" s="28" t="n">
        <f aca="false">AT3942*$M3942</f>
        <v>0</v>
      </c>
      <c r="AV3942" s="28"/>
      <c r="AW3942" s="28" t="n">
        <f aca="false">AV3942*$M3942</f>
        <v>0</v>
      </c>
      <c r="AX3942" s="28"/>
      <c r="AY3942" s="28" t="n">
        <f aca="false">AX3942*$M3942</f>
        <v>0</v>
      </c>
      <c r="AZ3942" s="30"/>
      <c r="BA3942" s="11" t="n">
        <v>1797</v>
      </c>
      <c r="BB3942" s="31" t="n">
        <f aca="false">SUM(Q3942,S3942,U3942,W3942,Y3942,AA3942,AC3942,AE3942,AG3942,AI3942,AK3942,AM3942,AO3942,AQ3942,AS3942,AU3942,AW3942,AY3942)</f>
        <v>1797</v>
      </c>
      <c r="BC3942" s="28" t="n">
        <f aca="false">BA3942-BB3942</f>
        <v>0</v>
      </c>
      <c r="BD3942" s="32" t="n">
        <f aca="false">SUM(P3942,R3942,T3942,V3942,X3942,Z3942,AB3942,AD3942,AF3942,AH3942,AJ3942,AL3942,AN3942,AP3942,AR3942,AT3942,AV3942,AX3942)</f>
        <v>0</v>
      </c>
      <c r="BE3942" s="33" t="n">
        <f aca="false">AZ3942-BD3942</f>
        <v>0</v>
      </c>
      <c r="BF3942" s="34" t="n">
        <f aca="false">BD3942*M3942</f>
        <v>0</v>
      </c>
      <c r="BG3942" s="35" t="n">
        <f aca="false">BA3942-BF3942</f>
        <v>1797</v>
      </c>
      <c r="BH3942" s="19" t="str">
        <f aca="false">IF(BG3942=0,"",IF(BG3942&lt;&gt;BA3942,"erreur de calcul",IF(BD3942&lt;&gt;0,"pas de prix",IF(M3942&lt;&gt; 0,"pas de quantité","pas de prix, ni de quantité"))))</f>
        <v>pas de prix, ni de quantité</v>
      </c>
      <c r="BI3942" s="19"/>
    </row>
    <row r="3943" customFormat="false" ht="15" hidden="false" customHeight="false" outlineLevel="0" collapsed="false">
      <c r="A3943" s="0" t="n">
        <v>3</v>
      </c>
      <c r="B3943" s="8" t="s">
        <v>24</v>
      </c>
      <c r="C3943" s="9" t="s">
        <v>25</v>
      </c>
      <c r="D3943" s="9" t="s">
        <v>26</v>
      </c>
      <c r="E3943" s="10" t="n">
        <v>1789</v>
      </c>
      <c r="F3943" s="9" t="s">
        <v>27</v>
      </c>
      <c r="G3943" s="9" t="s">
        <v>27</v>
      </c>
      <c r="H3943" s="11" t="n">
        <v>21</v>
      </c>
      <c r="I3943" s="11" t="s">
        <v>156</v>
      </c>
      <c r="J3943" s="14" t="n">
        <v>175</v>
      </c>
      <c r="K3943" s="14"/>
      <c r="L3943" s="16"/>
      <c r="M3943" s="27" t="n">
        <f aca="false">J3943+(K3943/20)+(L3943/240)</f>
        <v>175</v>
      </c>
      <c r="N3943" s="17" t="s">
        <v>64</v>
      </c>
      <c r="O3943" s="11" t="s">
        <v>98</v>
      </c>
      <c r="P3943" s="28" t="n">
        <f aca="false">3429/100</f>
        <v>34.29</v>
      </c>
      <c r="Q3943" s="28" t="n">
        <v>6001</v>
      </c>
      <c r="R3943" s="28"/>
      <c r="S3943" s="28" t="n">
        <f aca="false">R3943*$M3943</f>
        <v>0</v>
      </c>
      <c r="T3943" s="28" t="n">
        <f aca="false">5135/100</f>
        <v>51.35</v>
      </c>
      <c r="U3943" s="28" t="n">
        <v>8986</v>
      </c>
      <c r="V3943" s="28" t="n">
        <f aca="false">33716/100</f>
        <v>337.16</v>
      </c>
      <c r="W3943" s="28" t="n">
        <v>59003</v>
      </c>
      <c r="X3943" s="28" t="n">
        <f aca="false">14982/100</f>
        <v>149.82</v>
      </c>
      <c r="Y3943" s="28" t="n">
        <v>26218</v>
      </c>
      <c r="Z3943" s="28"/>
      <c r="AA3943" s="28" t="n">
        <f aca="false">Z3943*$M3943</f>
        <v>0</v>
      </c>
      <c r="AB3943" s="28"/>
      <c r="AC3943" s="28" t="n">
        <f aca="false">AB3943*$M3943</f>
        <v>0</v>
      </c>
      <c r="AD3943" s="28"/>
      <c r="AE3943" s="28" t="n">
        <f aca="false">AD3943*$M3943</f>
        <v>0</v>
      </c>
      <c r="AF3943" s="28" t="n">
        <f aca="false">439/100</f>
        <v>4.39</v>
      </c>
      <c r="AG3943" s="28" t="n">
        <v>768</v>
      </c>
      <c r="AH3943" s="28" t="n">
        <f aca="false">163722/100</f>
        <v>1637.22</v>
      </c>
      <c r="AI3943" s="28" t="n">
        <v>286513</v>
      </c>
      <c r="AJ3943" s="28" t="n">
        <f aca="false">17649/100</f>
        <v>176.49</v>
      </c>
      <c r="AK3943" s="28" t="n">
        <v>30886</v>
      </c>
      <c r="AL3943" s="28" t="n">
        <f aca="false">6852/100</f>
        <v>68.52</v>
      </c>
      <c r="AM3943" s="28" t="n">
        <v>11991</v>
      </c>
      <c r="AN3943" s="28"/>
      <c r="AO3943" s="28" t="n">
        <f aca="false">AN3943*$M3943</f>
        <v>0</v>
      </c>
      <c r="AP3943" s="28"/>
      <c r="AQ3943" s="28" t="n">
        <f aca="false">AP3943*$M3943</f>
        <v>0</v>
      </c>
      <c r="AR3943" s="28"/>
      <c r="AS3943" s="28" t="n">
        <f aca="false">AR3943*$M3943</f>
        <v>0</v>
      </c>
      <c r="AT3943" s="28"/>
      <c r="AU3943" s="28" t="n">
        <f aca="false">AT3943*$M3943</f>
        <v>0</v>
      </c>
      <c r="AV3943" s="28"/>
      <c r="AW3943" s="28" t="n">
        <f aca="false">AV3943*$M3943</f>
        <v>0</v>
      </c>
      <c r="AX3943" s="28"/>
      <c r="AY3943" s="28" t="n">
        <f aca="false">AX3943*$M3943</f>
        <v>0</v>
      </c>
      <c r="AZ3943" s="30" t="n">
        <f aca="false">245924/100</f>
        <v>2459.24</v>
      </c>
      <c r="BA3943" s="11" t="n">
        <v>430366</v>
      </c>
      <c r="BB3943" s="31" t="n">
        <f aca="false">SUM(Q3943,S3943,U3943,W3943,Y3943,AA3943,AC3943,AE3943,AG3943,AI3943,AK3943,AM3943,AO3943,AQ3943,AS3943,AU3943,AW3943,AY3943)</f>
        <v>430366</v>
      </c>
      <c r="BC3943" s="28" t="n">
        <f aca="false">BA3943-BB3943</f>
        <v>0</v>
      </c>
      <c r="BD3943" s="32" t="n">
        <f aca="false">SUM(P3943,R3943,T3943,V3943,X3943,Z3943,AB3943,AD3943,AF3943,AH3943,AJ3943,AL3943,AN3943,AP3943,AR3943,AT3943,AV3943,AX3943)</f>
        <v>2459.24</v>
      </c>
      <c r="BE3943" s="33" t="n">
        <f aca="false">AZ3943-BD3943</f>
        <v>0</v>
      </c>
      <c r="BF3943" s="34" t="n">
        <f aca="false">BD3943*M3943</f>
        <v>430367</v>
      </c>
      <c r="BG3943" s="35" t="n">
        <f aca="false">BA3943-BF3943</f>
        <v>-0.999999999941792</v>
      </c>
      <c r="BH3943" s="19" t="str">
        <f aca="false">IF(BG3943=0,"",IF(BG3943&lt;&gt;BA3943,"erreur de calcul",IF(BD3943&lt;&gt;0,"pas de prix",IF(M3943&lt;&gt; 0,"pas de quantité","pas de prix, ni de quantité"))))</f>
        <v>erreur de calcul</v>
      </c>
      <c r="BI3943" s="19"/>
    </row>
    <row r="3944" customFormat="false" ht="15" hidden="false" customHeight="false" outlineLevel="0" collapsed="false">
      <c r="A3944" s="0" t="n">
        <v>4</v>
      </c>
      <c r="B3944" s="8" t="s">
        <v>24</v>
      </c>
      <c r="C3944" s="9" t="s">
        <v>25</v>
      </c>
      <c r="D3944" s="9" t="s">
        <v>26</v>
      </c>
      <c r="E3944" s="10" t="n">
        <v>1789</v>
      </c>
      <c r="F3944" s="9" t="s">
        <v>27</v>
      </c>
      <c r="G3944" s="9" t="s">
        <v>27</v>
      </c>
      <c r="H3944" s="11" t="n">
        <v>21</v>
      </c>
      <c r="I3944" s="11" t="s">
        <v>157</v>
      </c>
      <c r="J3944" s="14" t="n">
        <v>240</v>
      </c>
      <c r="K3944" s="14"/>
      <c r="L3944" s="16"/>
      <c r="M3944" s="27" t="n">
        <f aca="false">J3944+(K3944/20)+(L3944/240)</f>
        <v>240</v>
      </c>
      <c r="N3944" s="17" t="s">
        <v>64</v>
      </c>
      <c r="O3944" s="11"/>
      <c r="P3944" s="28"/>
      <c r="Q3944" s="28" t="n">
        <f aca="false">P3944*$M3944</f>
        <v>0</v>
      </c>
      <c r="R3944" s="28"/>
      <c r="S3944" s="28" t="n">
        <f aca="false">R3944*$M3944</f>
        <v>0</v>
      </c>
      <c r="T3944" s="28"/>
      <c r="U3944" s="28" t="n">
        <f aca="false">T3944*$M3944</f>
        <v>0</v>
      </c>
      <c r="V3944" s="28"/>
      <c r="W3944" s="28" t="n">
        <f aca="false">V3944*$M3944</f>
        <v>0</v>
      </c>
      <c r="X3944" s="28"/>
      <c r="Y3944" s="28" t="n">
        <f aca="false">X3944*$M3944</f>
        <v>0</v>
      </c>
      <c r="Z3944" s="28"/>
      <c r="AA3944" s="28" t="n">
        <f aca="false">Z3944*$M3944</f>
        <v>0</v>
      </c>
      <c r="AB3944" s="28"/>
      <c r="AC3944" s="28" t="n">
        <f aca="false">AB3944*$M3944</f>
        <v>0</v>
      </c>
      <c r="AD3944" s="28"/>
      <c r="AE3944" s="28" t="n">
        <f aca="false">AD3944*$M3944</f>
        <v>0</v>
      </c>
      <c r="AF3944" s="28"/>
      <c r="AG3944" s="28" t="n">
        <f aca="false">AF3944*$M3944</f>
        <v>0</v>
      </c>
      <c r="AH3944" s="28"/>
      <c r="AI3944" s="28" t="n">
        <f aca="false">AH3944*$M3944</f>
        <v>0</v>
      </c>
      <c r="AJ3944" s="28" t="n">
        <f aca="false">290/100</f>
        <v>2.9</v>
      </c>
      <c r="AK3944" s="36" t="n">
        <v>2208</v>
      </c>
      <c r="AL3944" s="28"/>
      <c r="AM3944" s="28" t="n">
        <f aca="false">AL3944*$M3944</f>
        <v>0</v>
      </c>
      <c r="AN3944" s="28"/>
      <c r="AO3944" s="28" t="n">
        <f aca="false">AN3944*$M3944</f>
        <v>0</v>
      </c>
      <c r="AP3944" s="28"/>
      <c r="AQ3944" s="28" t="n">
        <f aca="false">AP3944*$M3944</f>
        <v>0</v>
      </c>
      <c r="AR3944" s="28"/>
      <c r="AS3944" s="28" t="n">
        <f aca="false">AR3944*$M3944</f>
        <v>0</v>
      </c>
      <c r="AT3944" s="28"/>
      <c r="AU3944" s="28" t="n">
        <f aca="false">AT3944*$M3944</f>
        <v>0</v>
      </c>
      <c r="AV3944" s="28"/>
      <c r="AW3944" s="28" t="n">
        <f aca="false">AV3944*$M3944</f>
        <v>0</v>
      </c>
      <c r="AX3944" s="28"/>
      <c r="AY3944" s="28" t="n">
        <f aca="false">AX3944*$M3944</f>
        <v>0</v>
      </c>
      <c r="AZ3944" s="30" t="n">
        <f aca="false">290/100</f>
        <v>2.9</v>
      </c>
      <c r="BA3944" s="11" t="n">
        <v>2208</v>
      </c>
      <c r="BB3944" s="31" t="n">
        <f aca="false">SUM(Q3944,S3944,U3944,W3944,Y3944,AA3944,AC3944,AE3944,AG3944,AI3944,AK3944,AM3944,AO3944,AQ3944,AS3944,AU3944,AW3944,AY3944)</f>
        <v>2208</v>
      </c>
      <c r="BC3944" s="28" t="n">
        <f aca="false">BA3944-BB3944</f>
        <v>0</v>
      </c>
      <c r="BD3944" s="32" t="n">
        <f aca="false">SUM(P3944,R3944,T3944,V3944,X3944,Z3944,AB3944,AD3944,AF3944,AH3944,AJ3944,AL3944,AN3944,AP3944,AR3944,AT3944,AV3944,AX3944)</f>
        <v>2.9</v>
      </c>
      <c r="BE3944" s="33" t="n">
        <f aca="false">AZ3944-BD3944</f>
        <v>0</v>
      </c>
      <c r="BF3944" s="34" t="n">
        <f aca="false">BD3944*M3944</f>
        <v>696</v>
      </c>
      <c r="BG3944" s="35" t="n">
        <f aca="false">BA3944-BF3944</f>
        <v>1512</v>
      </c>
      <c r="BH3944" s="19" t="str">
        <f aca="false">IF(BG3944=0,"",IF(BG3944&lt;&gt;BA3944,"erreur de calcul",IF(BD3944&lt;&gt;0,"pas de prix",IF(M3944&lt;&gt; 0,"pas de quantité","pas de prix, ni de quantité"))))</f>
        <v>erreur de calcul</v>
      </c>
      <c r="BI3944" s="19"/>
    </row>
    <row r="3945" customFormat="false" ht="15" hidden="false" customHeight="false" outlineLevel="0" collapsed="false">
      <c r="A3945" s="0" t="n">
        <v>5</v>
      </c>
      <c r="B3945" s="8" t="s">
        <v>24</v>
      </c>
      <c r="C3945" s="9" t="s">
        <v>25</v>
      </c>
      <c r="D3945" s="9" t="s">
        <v>26</v>
      </c>
      <c r="E3945" s="10" t="n">
        <v>1789</v>
      </c>
      <c r="F3945" s="9" t="s">
        <v>27</v>
      </c>
      <c r="G3945" s="9" t="s">
        <v>27</v>
      </c>
      <c r="H3945" s="11" t="n">
        <v>21</v>
      </c>
      <c r="I3945" s="11" t="s">
        <v>158</v>
      </c>
      <c r="J3945" s="14" t="n">
        <v>115</v>
      </c>
      <c r="K3945" s="14"/>
      <c r="L3945" s="16"/>
      <c r="M3945" s="27" t="n">
        <f aca="false">J3945+(K3945/20)+(L3945/240)</f>
        <v>115</v>
      </c>
      <c r="N3945" s="17" t="s">
        <v>64</v>
      </c>
      <c r="O3945" s="11"/>
      <c r="P3945" s="28"/>
      <c r="Q3945" s="28" t="n">
        <f aca="false">P3945*$M3945</f>
        <v>0</v>
      </c>
      <c r="R3945" s="28"/>
      <c r="S3945" s="28" t="n">
        <f aca="false">R3945*$M3945</f>
        <v>0</v>
      </c>
      <c r="T3945" s="28"/>
      <c r="U3945" s="28" t="n">
        <f aca="false">T3945*$M3945</f>
        <v>0</v>
      </c>
      <c r="V3945" s="28"/>
      <c r="W3945" s="28" t="n">
        <f aca="false">V3945*$M3945</f>
        <v>0</v>
      </c>
      <c r="X3945" s="28"/>
      <c r="Y3945" s="28" t="n">
        <f aca="false">X3945*$M3945</f>
        <v>0</v>
      </c>
      <c r="Z3945" s="28"/>
      <c r="AA3945" s="28" t="n">
        <f aca="false">Z3945*$M3945</f>
        <v>0</v>
      </c>
      <c r="AB3945" s="28"/>
      <c r="AC3945" s="28" t="n">
        <f aca="false">AB3945*$M3945</f>
        <v>0</v>
      </c>
      <c r="AD3945" s="28"/>
      <c r="AE3945" s="28" t="n">
        <f aca="false">AD3945*$M3945</f>
        <v>0</v>
      </c>
      <c r="AF3945" s="28"/>
      <c r="AG3945" s="28" t="n">
        <f aca="false">AF3945*$M3945</f>
        <v>0</v>
      </c>
      <c r="AH3945" s="28" t="n">
        <f aca="false">491552/100</f>
        <v>4915.52</v>
      </c>
      <c r="AI3945" s="28" t="n">
        <v>565285</v>
      </c>
      <c r="AJ3945" s="28"/>
      <c r="AK3945" s="28" t="n">
        <f aca="false">AJ3945*$M3945</f>
        <v>0</v>
      </c>
      <c r="AL3945" s="28"/>
      <c r="AM3945" s="28" t="n">
        <f aca="false">AL3945*$M3945</f>
        <v>0</v>
      </c>
      <c r="AN3945" s="28"/>
      <c r="AO3945" s="28" t="n">
        <f aca="false">AN3945*$M3945</f>
        <v>0</v>
      </c>
      <c r="AP3945" s="28"/>
      <c r="AQ3945" s="28" t="n">
        <f aca="false">AP3945*$M3945</f>
        <v>0</v>
      </c>
      <c r="AR3945" s="28"/>
      <c r="AS3945" s="28" t="n">
        <f aca="false">AR3945*$M3945</f>
        <v>0</v>
      </c>
      <c r="AT3945" s="28"/>
      <c r="AU3945" s="28" t="n">
        <f aca="false">AT3945*$M3945</f>
        <v>0</v>
      </c>
      <c r="AV3945" s="28"/>
      <c r="AW3945" s="28" t="n">
        <f aca="false">AV3945*$M3945</f>
        <v>0</v>
      </c>
      <c r="AX3945" s="28"/>
      <c r="AY3945" s="28" t="n">
        <f aca="false">AX3945*$M3945</f>
        <v>0</v>
      </c>
      <c r="AZ3945" s="30" t="n">
        <f aca="false">491552/100</f>
        <v>4915.52</v>
      </c>
      <c r="BA3945" s="11" t="n">
        <v>565285</v>
      </c>
      <c r="BB3945" s="31" t="n">
        <f aca="false">SUM(Q3945,S3945,U3945,W3945,Y3945,AA3945,AC3945,AE3945,AG3945,AI3945,AK3945,AM3945,AO3945,AQ3945,AS3945,AU3945,AW3945,AY3945)</f>
        <v>565285</v>
      </c>
      <c r="BC3945" s="28" t="n">
        <f aca="false">BA3945-BB3945</f>
        <v>0</v>
      </c>
      <c r="BD3945" s="32" t="n">
        <f aca="false">SUM(P3945,R3945,T3945,V3945,X3945,Z3945,AB3945,AD3945,AF3945,AH3945,AJ3945,AL3945,AN3945,AP3945,AR3945,AT3945,AV3945,AX3945)</f>
        <v>4915.52</v>
      </c>
      <c r="BE3945" s="33" t="n">
        <f aca="false">AZ3945-BD3945</f>
        <v>0</v>
      </c>
      <c r="BF3945" s="34" t="n">
        <f aca="false">BD3945*M3945</f>
        <v>565284.8</v>
      </c>
      <c r="BG3945" s="35" t="n">
        <f aca="false">BA3945-BF3945</f>
        <v>0.199999999953434</v>
      </c>
      <c r="BH3945" s="19" t="str">
        <f aca="false">IF(BG3945=0,"",IF(BG3945&lt;&gt;BA3945,"erreur de calcul",IF(BD3945&lt;&gt;0,"pas de prix",IF(M3945&lt;&gt; 0,"pas de quantité","pas de prix, ni de quantité"))))</f>
        <v>erreur de calcul</v>
      </c>
      <c r="BI3945" s="19"/>
    </row>
    <row r="3946" customFormat="false" ht="15" hidden="false" customHeight="false" outlineLevel="0" collapsed="false">
      <c r="A3946" s="0" t="n">
        <v>6</v>
      </c>
      <c r="B3946" s="8" t="s">
        <v>24</v>
      </c>
      <c r="C3946" s="9" t="s">
        <v>25</v>
      </c>
      <c r="D3946" s="9" t="s">
        <v>26</v>
      </c>
      <c r="E3946" s="10" t="n">
        <v>1789</v>
      </c>
      <c r="F3946" s="9" t="s">
        <v>27</v>
      </c>
      <c r="G3946" s="9" t="s">
        <v>27</v>
      </c>
      <c r="H3946" s="11" t="n">
        <v>21</v>
      </c>
      <c r="I3946" s="11" t="s">
        <v>159</v>
      </c>
      <c r="J3946" s="14" t="n">
        <v>240</v>
      </c>
      <c r="K3946" s="14"/>
      <c r="L3946" s="16"/>
      <c r="M3946" s="27" t="n">
        <f aca="false">J3946+(K3946/20)+(L3946/240)</f>
        <v>240</v>
      </c>
      <c r="N3946" s="17" t="s">
        <v>64</v>
      </c>
      <c r="O3946" s="11"/>
      <c r="P3946" s="28"/>
      <c r="Q3946" s="28" t="n">
        <f aca="false">P3946*$M3946</f>
        <v>0</v>
      </c>
      <c r="R3946" s="28"/>
      <c r="S3946" s="28" t="n">
        <f aca="false">R3946*$M3946</f>
        <v>0</v>
      </c>
      <c r="T3946" s="28"/>
      <c r="U3946" s="28" t="n">
        <f aca="false">T3946*$M3946</f>
        <v>0</v>
      </c>
      <c r="V3946" s="28"/>
      <c r="W3946" s="28" t="n">
        <f aca="false">V3946*$M3946</f>
        <v>0</v>
      </c>
      <c r="X3946" s="28"/>
      <c r="Y3946" s="28" t="n">
        <f aca="false">X3946*$M3946</f>
        <v>0</v>
      </c>
      <c r="Z3946" s="28"/>
      <c r="AA3946" s="28" t="n">
        <f aca="false">Z3946*$M3946</f>
        <v>0</v>
      </c>
      <c r="AB3946" s="28"/>
      <c r="AC3946" s="28" t="n">
        <f aca="false">AB3946*$M3946</f>
        <v>0</v>
      </c>
      <c r="AD3946" s="28"/>
      <c r="AE3946" s="28" t="n">
        <f aca="false">AD3946*$M3946</f>
        <v>0</v>
      </c>
      <c r="AF3946" s="28"/>
      <c r="AG3946" s="28" t="n">
        <f aca="false">AF3946*$M3946</f>
        <v>0</v>
      </c>
      <c r="AH3946" s="28" t="n">
        <f aca="false">46293/100</f>
        <v>462.93</v>
      </c>
      <c r="AI3946" s="28" t="n">
        <v>111103</v>
      </c>
      <c r="AJ3946" s="28"/>
      <c r="AK3946" s="28" t="n">
        <f aca="false">AJ3946*$M3946</f>
        <v>0</v>
      </c>
      <c r="AL3946" s="28"/>
      <c r="AM3946" s="28" t="n">
        <f aca="false">AL3946*$M3946</f>
        <v>0</v>
      </c>
      <c r="AN3946" s="28"/>
      <c r="AO3946" s="28" t="n">
        <f aca="false">AN3946*$M3946</f>
        <v>0</v>
      </c>
      <c r="AP3946" s="28"/>
      <c r="AQ3946" s="28" t="n">
        <f aca="false">AP3946*$M3946</f>
        <v>0</v>
      </c>
      <c r="AR3946" s="28"/>
      <c r="AS3946" s="28" t="n">
        <f aca="false">AR3946*$M3946</f>
        <v>0</v>
      </c>
      <c r="AT3946" s="28"/>
      <c r="AU3946" s="28" t="n">
        <f aca="false">AT3946*$M3946</f>
        <v>0</v>
      </c>
      <c r="AV3946" s="28"/>
      <c r="AW3946" s="28" t="n">
        <f aca="false">AV3946*$M3946</f>
        <v>0</v>
      </c>
      <c r="AX3946" s="28"/>
      <c r="AY3946" s="28" t="n">
        <f aca="false">AX3946*$M3946</f>
        <v>0</v>
      </c>
      <c r="AZ3946" s="30" t="n">
        <f aca="false">46293/100</f>
        <v>462.93</v>
      </c>
      <c r="BA3946" s="11" t="n">
        <v>111103</v>
      </c>
      <c r="BB3946" s="31" t="n">
        <f aca="false">SUM(Q3946,S3946,U3946,W3946,Y3946,AA3946,AC3946,AE3946,AG3946,AI3946,AK3946,AM3946,AO3946,AQ3946,AS3946,AU3946,AW3946,AY3946)</f>
        <v>111103</v>
      </c>
      <c r="BC3946" s="28" t="n">
        <f aca="false">BA3946-BB3946</f>
        <v>0</v>
      </c>
      <c r="BD3946" s="32" t="n">
        <f aca="false">SUM(P3946,R3946,T3946,V3946,X3946,Z3946,AB3946,AD3946,AF3946,AH3946,AJ3946,AL3946,AN3946,AP3946,AR3946,AT3946,AV3946,AX3946)</f>
        <v>462.93</v>
      </c>
      <c r="BE3946" s="33" t="n">
        <f aca="false">AZ3946-BD3946</f>
        <v>0</v>
      </c>
      <c r="BF3946" s="34" t="n">
        <f aca="false">BD3946*M3946</f>
        <v>111103.2</v>
      </c>
      <c r="BG3946" s="35" t="n">
        <f aca="false">BA3946-BF3946</f>
        <v>-0.19999999999709</v>
      </c>
      <c r="BH3946" s="19" t="str">
        <f aca="false">IF(BG3946=0,"",IF(BG3946&lt;&gt;BA3946,"erreur de calcul",IF(BD3946&lt;&gt;0,"pas de prix",IF(M3946&lt;&gt; 0,"pas de quantité","pas de prix, ni de quantité"))))</f>
        <v>erreur de calcul</v>
      </c>
      <c r="BI3946" s="19"/>
    </row>
    <row r="3947" customFormat="false" ht="15" hidden="false" customHeight="false" outlineLevel="0" collapsed="false">
      <c r="A3947" s="0" t="n">
        <v>7</v>
      </c>
      <c r="B3947" s="8" t="s">
        <v>24</v>
      </c>
      <c r="C3947" s="9" t="s">
        <v>25</v>
      </c>
      <c r="D3947" s="9" t="s">
        <v>26</v>
      </c>
      <c r="E3947" s="10" t="n">
        <v>1789</v>
      </c>
      <c r="F3947" s="9" t="s">
        <v>27</v>
      </c>
      <c r="G3947" s="9" t="s">
        <v>27</v>
      </c>
      <c r="H3947" s="11" t="n">
        <v>21</v>
      </c>
      <c r="I3947" s="11" t="s">
        <v>160</v>
      </c>
      <c r="J3947" s="14" t="n">
        <v>70</v>
      </c>
      <c r="K3947" s="14"/>
      <c r="L3947" s="16"/>
      <c r="M3947" s="27" t="n">
        <f aca="false">J3947+(K3947/20)+(L3947/240)</f>
        <v>70</v>
      </c>
      <c r="N3947" s="17" t="s">
        <v>64</v>
      </c>
      <c r="O3947" s="11"/>
      <c r="P3947" s="28"/>
      <c r="Q3947" s="28" t="n">
        <f aca="false">P3947*$M3947</f>
        <v>0</v>
      </c>
      <c r="R3947" s="28"/>
      <c r="S3947" s="28" t="n">
        <f aca="false">R3947*$M3947</f>
        <v>0</v>
      </c>
      <c r="T3947" s="28"/>
      <c r="U3947" s="28" t="n">
        <f aca="false">T3947*$M3947</f>
        <v>0</v>
      </c>
      <c r="V3947" s="28"/>
      <c r="W3947" s="28" t="n">
        <f aca="false">V3947*$M3947</f>
        <v>0</v>
      </c>
      <c r="X3947" s="28"/>
      <c r="Y3947" s="28" t="n">
        <f aca="false">X3947*$M3947</f>
        <v>0</v>
      </c>
      <c r="Z3947" s="28"/>
      <c r="AA3947" s="28" t="n">
        <f aca="false">Z3947*$M3947</f>
        <v>0</v>
      </c>
      <c r="AB3947" s="28"/>
      <c r="AC3947" s="28" t="n">
        <f aca="false">AB3947*$M3947</f>
        <v>0</v>
      </c>
      <c r="AD3947" s="28"/>
      <c r="AE3947" s="28" t="n">
        <f aca="false">AD3947*$M3947</f>
        <v>0</v>
      </c>
      <c r="AF3947" s="28" t="n">
        <f aca="false">125849/100</f>
        <v>1258.49</v>
      </c>
      <c r="AG3947" s="28" t="n">
        <v>88094</v>
      </c>
      <c r="AH3947" s="28"/>
      <c r="AI3947" s="28" t="n">
        <f aca="false">AH3947*$M3947</f>
        <v>0</v>
      </c>
      <c r="AJ3947" s="28"/>
      <c r="AK3947" s="28" t="n">
        <f aca="false">AJ3947*$M3947</f>
        <v>0</v>
      </c>
      <c r="AL3947" s="28"/>
      <c r="AM3947" s="28" t="n">
        <f aca="false">AL3947*$M3947</f>
        <v>0</v>
      </c>
      <c r="AN3947" s="28"/>
      <c r="AO3947" s="28" t="n">
        <f aca="false">AN3947*$M3947</f>
        <v>0</v>
      </c>
      <c r="AP3947" s="28"/>
      <c r="AQ3947" s="28" t="n">
        <f aca="false">AP3947*$M3947</f>
        <v>0</v>
      </c>
      <c r="AR3947" s="28"/>
      <c r="AS3947" s="28" t="n">
        <f aca="false">AR3947*$M3947</f>
        <v>0</v>
      </c>
      <c r="AT3947" s="28"/>
      <c r="AU3947" s="28" t="n">
        <f aca="false">AT3947*$M3947</f>
        <v>0</v>
      </c>
      <c r="AV3947" s="28"/>
      <c r="AW3947" s="28" t="n">
        <f aca="false">AV3947*$M3947</f>
        <v>0</v>
      </c>
      <c r="AX3947" s="28"/>
      <c r="AY3947" s="28" t="n">
        <f aca="false">AX3947*$M3947</f>
        <v>0</v>
      </c>
      <c r="AZ3947" s="30" t="n">
        <f aca="false">125849/100</f>
        <v>1258.49</v>
      </c>
      <c r="BA3947" s="11" t="n">
        <v>88094</v>
      </c>
      <c r="BB3947" s="31" t="n">
        <f aca="false">SUM(Q3947,S3947,U3947,W3947,Y3947,AA3947,AC3947,AE3947,AG3947,AI3947,AK3947,AM3947,AO3947,AQ3947,AS3947,AU3947,AW3947,AY3947)</f>
        <v>88094</v>
      </c>
      <c r="BC3947" s="28" t="n">
        <f aca="false">BA3947-BB3947</f>
        <v>0</v>
      </c>
      <c r="BD3947" s="32" t="n">
        <f aca="false">SUM(P3947,R3947,T3947,V3947,X3947,Z3947,AB3947,AD3947,AF3947,AH3947,AJ3947,AL3947,AN3947,AP3947,AR3947,AT3947,AV3947,AX3947)</f>
        <v>1258.49</v>
      </c>
      <c r="BE3947" s="33" t="n">
        <f aca="false">AZ3947-BD3947</f>
        <v>0</v>
      </c>
      <c r="BF3947" s="34" t="n">
        <f aca="false">BD3947*M3947</f>
        <v>88094.3</v>
      </c>
      <c r="BG3947" s="35" t="n">
        <f aca="false">BA3947-BF3947</f>
        <v>-0.30000000000291</v>
      </c>
      <c r="BH3947" s="19" t="str">
        <f aca="false">IF(BG3947=0,"",IF(BG3947&lt;&gt;BA3947,"erreur de calcul",IF(BD3947&lt;&gt;0,"pas de prix",IF(M3947&lt;&gt; 0,"pas de quantité","pas de prix, ni de quantité"))))</f>
        <v>erreur de calcul</v>
      </c>
      <c r="BI3947" s="19"/>
    </row>
    <row r="3948" customFormat="false" ht="15" hidden="false" customHeight="false" outlineLevel="0" collapsed="false">
      <c r="A3948" s="0" t="n">
        <v>8</v>
      </c>
      <c r="B3948" s="8" t="s">
        <v>24</v>
      </c>
      <c r="C3948" s="9" t="s">
        <v>25</v>
      </c>
      <c r="D3948" s="9" t="s">
        <v>26</v>
      </c>
      <c r="E3948" s="10" t="n">
        <v>1789</v>
      </c>
      <c r="F3948" s="9" t="s">
        <v>27</v>
      </c>
      <c r="G3948" s="9" t="s">
        <v>27</v>
      </c>
      <c r="H3948" s="11" t="n">
        <v>21</v>
      </c>
      <c r="I3948" s="11" t="s">
        <v>161</v>
      </c>
      <c r="J3948" s="14" t="n">
        <v>50</v>
      </c>
      <c r="K3948" s="14"/>
      <c r="L3948" s="16"/>
      <c r="M3948" s="27" t="n">
        <f aca="false">J3948+(K3948/20)+(L3948/240)</f>
        <v>50</v>
      </c>
      <c r="N3948" s="17" t="s">
        <v>64</v>
      </c>
      <c r="O3948" s="11"/>
      <c r="P3948" s="28"/>
      <c r="Q3948" s="28" t="n">
        <f aca="false">P3948*$M3948</f>
        <v>0</v>
      </c>
      <c r="R3948" s="28"/>
      <c r="S3948" s="28" t="n">
        <f aca="false">R3948*$M3948</f>
        <v>0</v>
      </c>
      <c r="T3948" s="28"/>
      <c r="U3948" s="28" t="n">
        <f aca="false">T3948*$M3948</f>
        <v>0</v>
      </c>
      <c r="V3948" s="28" t="n">
        <f aca="false">18055/100</f>
        <v>180.55</v>
      </c>
      <c r="W3948" s="28" t="n">
        <v>9027</v>
      </c>
      <c r="X3948" s="28" t="n">
        <f aca="false">17880/100</f>
        <v>178.8</v>
      </c>
      <c r="Y3948" s="28" t="n">
        <v>8940</v>
      </c>
      <c r="Z3948" s="28"/>
      <c r="AA3948" s="28" t="n">
        <f aca="false">Z3948*$M3948</f>
        <v>0</v>
      </c>
      <c r="AB3948" s="28" t="n">
        <f aca="false">104483/100</f>
        <v>1044.83</v>
      </c>
      <c r="AC3948" s="28" t="n">
        <v>52241</v>
      </c>
      <c r="AD3948" s="28"/>
      <c r="AE3948" s="28" t="n">
        <f aca="false">AD3948*$M3948</f>
        <v>0</v>
      </c>
      <c r="AF3948" s="28"/>
      <c r="AG3948" s="28" t="n">
        <f aca="false">AF3948*$M3948</f>
        <v>0</v>
      </c>
      <c r="AH3948" s="28"/>
      <c r="AI3948" s="28" t="n">
        <f aca="false">AH3948*$M3948</f>
        <v>0</v>
      </c>
      <c r="AJ3948" s="28"/>
      <c r="AK3948" s="28" t="n">
        <f aca="false">AJ3948*$M3948</f>
        <v>0</v>
      </c>
      <c r="AL3948" s="28"/>
      <c r="AM3948" s="28" t="n">
        <f aca="false">AL3948*$M3948</f>
        <v>0</v>
      </c>
      <c r="AN3948" s="28"/>
      <c r="AO3948" s="28" t="n">
        <f aca="false">AN3948*$M3948</f>
        <v>0</v>
      </c>
      <c r="AP3948" s="28"/>
      <c r="AQ3948" s="28" t="n">
        <f aca="false">AP3948*$M3948</f>
        <v>0</v>
      </c>
      <c r="AR3948" s="28"/>
      <c r="AS3948" s="28" t="n">
        <f aca="false">AR3948*$M3948</f>
        <v>0</v>
      </c>
      <c r="AT3948" s="28"/>
      <c r="AU3948" s="28" t="n">
        <f aca="false">AT3948*$M3948</f>
        <v>0</v>
      </c>
      <c r="AV3948" s="28"/>
      <c r="AW3948" s="28" t="n">
        <f aca="false">AV3948*$M3948</f>
        <v>0</v>
      </c>
      <c r="AX3948" s="28"/>
      <c r="AY3948" s="28" t="n">
        <f aca="false">AX3948*$M3948</f>
        <v>0</v>
      </c>
      <c r="AZ3948" s="30" t="n">
        <f aca="false">140418/100</f>
        <v>1404.18</v>
      </c>
      <c r="BA3948" s="11" t="n">
        <v>70208</v>
      </c>
      <c r="BB3948" s="31" t="n">
        <f aca="false">SUM(Q3948,S3948,U3948,W3948,Y3948,AA3948,AC3948,AE3948,AG3948,AI3948,AK3948,AM3948,AO3948,AQ3948,AS3948,AU3948,AW3948,AY3948)</f>
        <v>70208</v>
      </c>
      <c r="BC3948" s="28" t="n">
        <f aca="false">BA3948-BB3948</f>
        <v>0</v>
      </c>
      <c r="BD3948" s="32" t="n">
        <f aca="false">SUM(P3948,R3948,T3948,V3948,X3948,Z3948,AB3948,AD3948,AF3948,AH3948,AJ3948,AL3948,AN3948,AP3948,AR3948,AT3948,AV3948,AX3948)</f>
        <v>1404.18</v>
      </c>
      <c r="BE3948" s="33" t="n">
        <f aca="false">AZ3948-BD3948</f>
        <v>0</v>
      </c>
      <c r="BF3948" s="34" t="n">
        <f aca="false">BD3948*M3948</f>
        <v>70209</v>
      </c>
      <c r="BG3948" s="35" t="n">
        <f aca="false">BA3948-BF3948</f>
        <v>-0.999999999985448</v>
      </c>
      <c r="BH3948" s="19" t="str">
        <f aca="false">IF(BG3948=0,"",IF(BG3948&lt;&gt;BA3948,"erreur de calcul",IF(BD3948&lt;&gt;0,"pas de prix",IF(M3948&lt;&gt; 0,"pas de quantité","pas de prix, ni de quantité"))))</f>
        <v>erreur de calcul</v>
      </c>
      <c r="BI3948" s="19"/>
    </row>
    <row r="3949" customFormat="false" ht="15" hidden="false" customHeight="false" outlineLevel="0" collapsed="false">
      <c r="A3949" s="0" t="n">
        <v>9</v>
      </c>
      <c r="B3949" s="8" t="s">
        <v>24</v>
      </c>
      <c r="C3949" s="9" t="s">
        <v>25</v>
      </c>
      <c r="D3949" s="9" t="s">
        <v>26</v>
      </c>
      <c r="E3949" s="10" t="n">
        <v>1789</v>
      </c>
      <c r="F3949" s="9" t="s">
        <v>27</v>
      </c>
      <c r="G3949" s="9" t="s">
        <v>27</v>
      </c>
      <c r="H3949" s="11" t="n">
        <v>21</v>
      </c>
      <c r="I3949" s="11" t="s">
        <v>162</v>
      </c>
      <c r="J3949" s="14" t="n">
        <v>250</v>
      </c>
      <c r="K3949" s="14"/>
      <c r="L3949" s="16"/>
      <c r="M3949" s="27" t="n">
        <f aca="false">J3949+(K3949/20)+(L3949/240)</f>
        <v>250</v>
      </c>
      <c r="N3949" s="17" t="s">
        <v>64</v>
      </c>
      <c r="O3949" s="11"/>
      <c r="P3949" s="28"/>
      <c r="Q3949" s="28" t="n">
        <f aca="false">P3949*$M3949</f>
        <v>0</v>
      </c>
      <c r="R3949" s="28"/>
      <c r="S3949" s="28" t="n">
        <f aca="false">R3949*$M3949</f>
        <v>0</v>
      </c>
      <c r="T3949" s="28"/>
      <c r="U3949" s="28" t="n">
        <f aca="false">T3949*$M3949</f>
        <v>0</v>
      </c>
      <c r="V3949" s="28"/>
      <c r="W3949" s="28" t="n">
        <f aca="false">V3949*$M3949</f>
        <v>0</v>
      </c>
      <c r="X3949" s="28"/>
      <c r="Y3949" s="28" t="n">
        <f aca="false">X3949*$M3949</f>
        <v>0</v>
      </c>
      <c r="Z3949" s="28"/>
      <c r="AA3949" s="28" t="n">
        <f aca="false">Z3949*$M3949</f>
        <v>0</v>
      </c>
      <c r="AB3949" s="28"/>
      <c r="AC3949" s="28" t="n">
        <f aca="false">AB3949*$M3949</f>
        <v>0</v>
      </c>
      <c r="AD3949" s="28"/>
      <c r="AE3949" s="28" t="n">
        <f aca="false">AD3949*$M3949</f>
        <v>0</v>
      </c>
      <c r="AF3949" s="28"/>
      <c r="AG3949" s="28" t="n">
        <f aca="false">AF3949*$M3949</f>
        <v>0</v>
      </c>
      <c r="AH3949" s="28" t="n">
        <f aca="false">2306/100</f>
        <v>23.06</v>
      </c>
      <c r="AI3949" s="36" t="n">
        <v>5073</v>
      </c>
      <c r="AJ3949" s="28"/>
      <c r="AK3949" s="28" t="n">
        <f aca="false">AJ3949*$M3949</f>
        <v>0</v>
      </c>
      <c r="AL3949" s="28"/>
      <c r="AM3949" s="28" t="n">
        <f aca="false">AL3949*$M3949</f>
        <v>0</v>
      </c>
      <c r="AN3949" s="28"/>
      <c r="AO3949" s="28" t="n">
        <f aca="false">AN3949*$M3949</f>
        <v>0</v>
      </c>
      <c r="AP3949" s="28"/>
      <c r="AQ3949" s="28" t="n">
        <f aca="false">AP3949*$M3949</f>
        <v>0</v>
      </c>
      <c r="AR3949" s="28"/>
      <c r="AS3949" s="28" t="n">
        <f aca="false">AR3949*$M3949</f>
        <v>0</v>
      </c>
      <c r="AT3949" s="28"/>
      <c r="AU3949" s="28" t="n">
        <f aca="false">AT3949*$M3949</f>
        <v>0</v>
      </c>
      <c r="AV3949" s="28"/>
      <c r="AW3949" s="28" t="n">
        <f aca="false">AV3949*$M3949</f>
        <v>0</v>
      </c>
      <c r="AX3949" s="28"/>
      <c r="AY3949" s="28" t="n">
        <f aca="false">AX3949*$M3949</f>
        <v>0</v>
      </c>
      <c r="AZ3949" s="30" t="n">
        <f aca="false">2306/100</f>
        <v>23.06</v>
      </c>
      <c r="BA3949" s="11" t="n">
        <v>5073</v>
      </c>
      <c r="BB3949" s="31" t="n">
        <f aca="false">SUM(Q3949,S3949,U3949,W3949,Y3949,AA3949,AC3949,AE3949,AG3949,AI3949,AK3949,AM3949,AO3949,AQ3949,AS3949,AU3949,AW3949,AY3949)</f>
        <v>5073</v>
      </c>
      <c r="BC3949" s="28" t="n">
        <f aca="false">BA3949-BB3949</f>
        <v>0</v>
      </c>
      <c r="BD3949" s="32" t="n">
        <f aca="false">SUM(P3949,R3949,T3949,V3949,X3949,Z3949,AB3949,AD3949,AF3949,AH3949,AJ3949,AL3949,AN3949,AP3949,AR3949,AT3949,AV3949,AX3949)</f>
        <v>23.06</v>
      </c>
      <c r="BE3949" s="33" t="n">
        <f aca="false">AZ3949-BD3949</f>
        <v>0</v>
      </c>
      <c r="BF3949" s="34" t="n">
        <f aca="false">BD3949*M3949</f>
        <v>5765</v>
      </c>
      <c r="BG3949" s="35" t="n">
        <f aca="false">BA3949-BF3949</f>
        <v>-692</v>
      </c>
      <c r="BH3949" s="19" t="str">
        <f aca="false">IF(BG3949=0,"",IF(BG3949&lt;&gt;BA3949,"erreur de calcul",IF(BD3949&lt;&gt;0,"pas de prix",IF(M3949&lt;&gt; 0,"pas de quantité","pas de prix, ni de quantité"))))</f>
        <v>erreur de calcul</v>
      </c>
      <c r="BI3949" s="19"/>
    </row>
    <row r="3950" customFormat="false" ht="15" hidden="false" customHeight="false" outlineLevel="0" collapsed="false">
      <c r="A3950" s="0" t="n">
        <v>10</v>
      </c>
      <c r="B3950" s="8" t="s">
        <v>24</v>
      </c>
      <c r="C3950" s="9" t="s">
        <v>25</v>
      </c>
      <c r="D3950" s="9" t="s">
        <v>26</v>
      </c>
      <c r="E3950" s="10" t="n">
        <v>1789</v>
      </c>
      <c r="F3950" s="9" t="s">
        <v>27</v>
      </c>
      <c r="G3950" s="9" t="s">
        <v>27</v>
      </c>
      <c r="H3950" s="11" t="n">
        <v>21</v>
      </c>
      <c r="I3950" s="11" t="s">
        <v>163</v>
      </c>
      <c r="J3950" s="14"/>
      <c r="K3950" s="14"/>
      <c r="L3950" s="16"/>
      <c r="M3950" s="27" t="n">
        <f aca="false">J3950+(K3950/20)+(L3950/240)</f>
        <v>0</v>
      </c>
      <c r="N3950" s="17"/>
      <c r="O3950" s="11"/>
      <c r="P3950" s="28"/>
      <c r="Q3950" s="28" t="n">
        <v>1571</v>
      </c>
      <c r="R3950" s="28"/>
      <c r="S3950" s="28" t="n">
        <f aca="false">R3950*$M3950</f>
        <v>0</v>
      </c>
      <c r="T3950" s="28"/>
      <c r="U3950" s="28" t="n">
        <v>182</v>
      </c>
      <c r="V3950" s="28"/>
      <c r="W3950" s="28" t="n">
        <v>1801</v>
      </c>
      <c r="X3950" s="28"/>
      <c r="Y3950" s="28" t="n">
        <v>214</v>
      </c>
      <c r="Z3950" s="28"/>
      <c r="AA3950" s="28" t="n">
        <f aca="false">Z3950*$M3950</f>
        <v>0</v>
      </c>
      <c r="AB3950" s="28"/>
      <c r="AC3950" s="28" t="n">
        <v>401</v>
      </c>
      <c r="AD3950" s="28"/>
      <c r="AE3950" s="28" t="n">
        <f aca="false">AD3950*$M3950</f>
        <v>0</v>
      </c>
      <c r="AF3950" s="28"/>
      <c r="AG3950" s="28" t="n">
        <f aca="false">AF3950*$M3950</f>
        <v>0</v>
      </c>
      <c r="AH3950" s="28"/>
      <c r="AI3950" s="28" t="n">
        <f aca="false">AH3950*$M3950</f>
        <v>0</v>
      </c>
      <c r="AJ3950" s="28"/>
      <c r="AK3950" s="28" t="n">
        <v>760</v>
      </c>
      <c r="AL3950" s="28"/>
      <c r="AM3950" s="28" t="n">
        <f aca="false">AL3950*$M3950</f>
        <v>0</v>
      </c>
      <c r="AN3950" s="28"/>
      <c r="AO3950" s="28" t="n">
        <f aca="false">AN3950*$M3950</f>
        <v>0</v>
      </c>
      <c r="AP3950" s="28"/>
      <c r="AQ3950" s="28" t="n">
        <f aca="false">AP3950*$M3950</f>
        <v>0</v>
      </c>
      <c r="AR3950" s="28"/>
      <c r="AS3950" s="28" t="n">
        <f aca="false">AR3950*$M3950</f>
        <v>0</v>
      </c>
      <c r="AT3950" s="28"/>
      <c r="AU3950" s="28" t="n">
        <f aca="false">AT3950*$M3950</f>
        <v>0</v>
      </c>
      <c r="AV3950" s="28"/>
      <c r="AW3950" s="28" t="n">
        <f aca="false">AV3950*$M3950</f>
        <v>0</v>
      </c>
      <c r="AX3950" s="28"/>
      <c r="AY3950" s="28" t="n">
        <f aca="false">AX3950*$M3950</f>
        <v>0</v>
      </c>
      <c r="AZ3950" s="30"/>
      <c r="BA3950" s="11" t="n">
        <v>4929</v>
      </c>
      <c r="BB3950" s="31" t="n">
        <f aca="false">SUM(Q3950,S3950,U3950,W3950,Y3950,AA3950,AC3950,AE3950,AG3950,AI3950,AK3950,AM3950,AO3950,AQ3950,AS3950,AU3950,AW3950,AY3950)</f>
        <v>4929</v>
      </c>
      <c r="BC3950" s="28" t="n">
        <f aca="false">BA3950-BB3950</f>
        <v>0</v>
      </c>
      <c r="BD3950" s="32" t="n">
        <f aca="false">SUM(P3950,R3950,T3950,V3950,X3950,Z3950,AB3950,AD3950,AF3950,AH3950,AJ3950,AL3950,AN3950,AP3950,AR3950,AT3950,AV3950,AX3950)</f>
        <v>0</v>
      </c>
      <c r="BE3950" s="33" t="n">
        <f aca="false">AZ3950-BD3950</f>
        <v>0</v>
      </c>
      <c r="BF3950" s="34" t="n">
        <f aca="false">BD3950*M3950</f>
        <v>0</v>
      </c>
      <c r="BG3950" s="35" t="n">
        <f aca="false">BA3950-BF3950</f>
        <v>4929</v>
      </c>
      <c r="BH3950" s="19" t="str">
        <f aca="false">IF(BG3950=0,"",IF(BG3950&lt;&gt;BA3950,"erreur de calcul",IF(BD3950&lt;&gt;0,"pas de prix",IF(M3950&lt;&gt; 0,"pas de quantité","pas de prix, ni de quantité"))))</f>
        <v>pas de prix, ni de quantité</v>
      </c>
      <c r="BI3950" s="19"/>
    </row>
    <row r="3951" customFormat="false" ht="15" hidden="false" customHeight="false" outlineLevel="0" collapsed="false">
      <c r="A3951" s="0" t="n">
        <v>11</v>
      </c>
      <c r="B3951" s="8" t="s">
        <v>24</v>
      </c>
      <c r="C3951" s="9" t="s">
        <v>25</v>
      </c>
      <c r="D3951" s="9" t="s">
        <v>26</v>
      </c>
      <c r="E3951" s="10" t="n">
        <v>1789</v>
      </c>
      <c r="F3951" s="9" t="s">
        <v>27</v>
      </c>
      <c r="G3951" s="9" t="s">
        <v>27</v>
      </c>
      <c r="H3951" s="11" t="n">
        <v>21</v>
      </c>
      <c r="I3951" s="11" t="s">
        <v>164</v>
      </c>
      <c r="J3951" s="14" t="n">
        <v>580</v>
      </c>
      <c r="K3951" s="14"/>
      <c r="L3951" s="16"/>
      <c r="M3951" s="27" t="n">
        <f aca="false">J3951+(K3951/20)+(L3951/240)</f>
        <v>580</v>
      </c>
      <c r="N3951" s="17" t="s">
        <v>64</v>
      </c>
      <c r="O3951" s="11"/>
      <c r="P3951" s="28" t="n">
        <f aca="false">294/100</f>
        <v>2.94</v>
      </c>
      <c r="Q3951" s="28" t="n">
        <v>1705</v>
      </c>
      <c r="R3951" s="28"/>
      <c r="S3951" s="28" t="n">
        <f aca="false">R3951*$M3951</f>
        <v>0</v>
      </c>
      <c r="T3951" s="28"/>
      <c r="U3951" s="28" t="n">
        <f aca="false">T3951*$M3951</f>
        <v>0</v>
      </c>
      <c r="V3951" s="28"/>
      <c r="W3951" s="28" t="n">
        <f aca="false">V3951*$M3951</f>
        <v>0</v>
      </c>
      <c r="X3951" s="28"/>
      <c r="Y3951" s="28" t="n">
        <f aca="false">X3951*$M3951</f>
        <v>0</v>
      </c>
      <c r="Z3951" s="28"/>
      <c r="AA3951" s="28" t="n">
        <f aca="false">Z3951*$M3951</f>
        <v>0</v>
      </c>
      <c r="AB3951" s="28"/>
      <c r="AC3951" s="28" t="n">
        <f aca="false">AB3951*$M3951</f>
        <v>0</v>
      </c>
      <c r="AD3951" s="28"/>
      <c r="AE3951" s="28" t="n">
        <f aca="false">AD3951*$M3951</f>
        <v>0</v>
      </c>
      <c r="AF3951" s="28"/>
      <c r="AG3951" s="28" t="n">
        <f aca="false">AF3951*$M3951</f>
        <v>0</v>
      </c>
      <c r="AH3951" s="28"/>
      <c r="AI3951" s="28" t="n">
        <f aca="false">AH3951*$M3951</f>
        <v>0</v>
      </c>
      <c r="AJ3951" s="28"/>
      <c r="AK3951" s="28" t="n">
        <f aca="false">AJ3951*$M3951</f>
        <v>0</v>
      </c>
      <c r="AL3951" s="28"/>
      <c r="AM3951" s="28" t="n">
        <f aca="false">AL3951*$M3951</f>
        <v>0</v>
      </c>
      <c r="AN3951" s="28"/>
      <c r="AO3951" s="28" t="n">
        <f aca="false">AN3951*$M3951</f>
        <v>0</v>
      </c>
      <c r="AP3951" s="28"/>
      <c r="AQ3951" s="28" t="n">
        <f aca="false">AP3951*$M3951</f>
        <v>0</v>
      </c>
      <c r="AR3951" s="28"/>
      <c r="AS3951" s="28" t="n">
        <f aca="false">AR3951*$M3951</f>
        <v>0</v>
      </c>
      <c r="AT3951" s="28"/>
      <c r="AU3951" s="28" t="n">
        <f aca="false">AT3951*$M3951</f>
        <v>0</v>
      </c>
      <c r="AV3951" s="28"/>
      <c r="AW3951" s="28" t="n">
        <f aca="false">AV3951*$M3951</f>
        <v>0</v>
      </c>
      <c r="AX3951" s="28"/>
      <c r="AY3951" s="28" t="n">
        <f aca="false">AX3951*$M3951</f>
        <v>0</v>
      </c>
      <c r="AZ3951" s="30" t="n">
        <f aca="false">294/100</f>
        <v>2.94</v>
      </c>
      <c r="BA3951" s="11" t="n">
        <v>1705</v>
      </c>
      <c r="BB3951" s="31" t="n">
        <f aca="false">SUM(Q3951,S3951,U3951,W3951,Y3951,AA3951,AC3951,AE3951,AG3951,AI3951,AK3951,AM3951,AO3951,AQ3951,AS3951,AU3951,AW3951,AY3951)</f>
        <v>1705</v>
      </c>
      <c r="BC3951" s="28" t="n">
        <f aca="false">BA3951-BB3951</f>
        <v>0</v>
      </c>
      <c r="BD3951" s="32" t="n">
        <f aca="false">SUM(P3951,R3951,T3951,V3951,X3951,Z3951,AB3951,AD3951,AF3951,AH3951,AJ3951,AL3951,AN3951,AP3951,AR3951,AT3951,AV3951,AX3951)</f>
        <v>2.94</v>
      </c>
      <c r="BE3951" s="33" t="n">
        <f aca="false">AZ3951-BD3951</f>
        <v>0</v>
      </c>
      <c r="BF3951" s="34" t="n">
        <f aca="false">BD3951*M3951</f>
        <v>1705.2</v>
      </c>
      <c r="BG3951" s="35" t="n">
        <f aca="false">BA3951-BF3951</f>
        <v>-0.200000000000045</v>
      </c>
      <c r="BH3951" s="19" t="str">
        <f aca="false">IF(BG3951=0,"",IF(BG3951&lt;&gt;BA3951,"erreur de calcul",IF(BD3951&lt;&gt;0,"pas de prix",IF(M3951&lt;&gt; 0,"pas de quantité","pas de prix, ni de quantité"))))</f>
        <v>erreur de calcul</v>
      </c>
      <c r="BI3951" s="19"/>
    </row>
    <row r="3952" customFormat="false" ht="15" hidden="false" customHeight="false" outlineLevel="0" collapsed="false">
      <c r="A3952" s="0" t="n">
        <v>12</v>
      </c>
      <c r="B3952" s="8" t="s">
        <v>24</v>
      </c>
      <c r="C3952" s="9" t="s">
        <v>25</v>
      </c>
      <c r="D3952" s="9" t="s">
        <v>26</v>
      </c>
      <c r="E3952" s="10" t="n">
        <v>1789</v>
      </c>
      <c r="F3952" s="9" t="s">
        <v>27</v>
      </c>
      <c r="G3952" s="9" t="s">
        <v>27</v>
      </c>
      <c r="H3952" s="11" t="n">
        <v>21</v>
      </c>
      <c r="I3952" s="11" t="s">
        <v>165</v>
      </c>
      <c r="J3952" s="14" t="n">
        <v>180</v>
      </c>
      <c r="K3952" s="14"/>
      <c r="L3952" s="16"/>
      <c r="M3952" s="27" t="n">
        <f aca="false">J3952+(K3952/20)+(L3952/240)</f>
        <v>180</v>
      </c>
      <c r="N3952" s="17" t="s">
        <v>64</v>
      </c>
      <c r="O3952" s="11"/>
      <c r="P3952" s="28"/>
      <c r="Q3952" s="28" t="n">
        <f aca="false">P3952*$M3952</f>
        <v>0</v>
      </c>
      <c r="R3952" s="28"/>
      <c r="S3952" s="28" t="n">
        <f aca="false">R3952*$M3952</f>
        <v>0</v>
      </c>
      <c r="T3952" s="28"/>
      <c r="U3952" s="28" t="n">
        <f aca="false">T3952*$M3952</f>
        <v>0</v>
      </c>
      <c r="V3952" s="28"/>
      <c r="W3952" s="28" t="n">
        <f aca="false">V3952*$M3952</f>
        <v>0</v>
      </c>
      <c r="X3952" s="28"/>
      <c r="Y3952" s="28" t="n">
        <f aca="false">X3952*$M3952</f>
        <v>0</v>
      </c>
      <c r="Z3952" s="28"/>
      <c r="AA3952" s="28" t="n">
        <f aca="false">Z3952*$M3952</f>
        <v>0</v>
      </c>
      <c r="AB3952" s="28"/>
      <c r="AC3952" s="28" t="n">
        <f aca="false">AB3952*$M3952</f>
        <v>0</v>
      </c>
      <c r="AD3952" s="28"/>
      <c r="AE3952" s="28" t="n">
        <f aca="false">AD3952*$M3952</f>
        <v>0</v>
      </c>
      <c r="AF3952" s="28"/>
      <c r="AG3952" s="28" t="n">
        <f aca="false">AF3952*$M3952</f>
        <v>0</v>
      </c>
      <c r="AH3952" s="28"/>
      <c r="AI3952" s="28" t="n">
        <f aca="false">AH3952*$M3952</f>
        <v>0</v>
      </c>
      <c r="AJ3952" s="28"/>
      <c r="AK3952" s="28" t="n">
        <f aca="false">AJ3952*$M3952</f>
        <v>0</v>
      </c>
      <c r="AL3952" s="28"/>
      <c r="AM3952" s="28" t="n">
        <f aca="false">AL3952*$M3952</f>
        <v>0</v>
      </c>
      <c r="AN3952" s="28" t="n">
        <f aca="false">13754/100</f>
        <v>137.54</v>
      </c>
      <c r="AO3952" s="28" t="n">
        <v>24757</v>
      </c>
      <c r="AP3952" s="28"/>
      <c r="AQ3952" s="28" t="n">
        <f aca="false">AP3952*$M3952</f>
        <v>0</v>
      </c>
      <c r="AR3952" s="28"/>
      <c r="AS3952" s="28" t="n">
        <f aca="false">AR3952*$M3952</f>
        <v>0</v>
      </c>
      <c r="AT3952" s="28"/>
      <c r="AU3952" s="28" t="n">
        <f aca="false">AT3952*$M3952</f>
        <v>0</v>
      </c>
      <c r="AV3952" s="28"/>
      <c r="AW3952" s="28" t="n">
        <f aca="false">AV3952*$M3952</f>
        <v>0</v>
      </c>
      <c r="AX3952" s="28"/>
      <c r="AY3952" s="28" t="n">
        <f aca="false">AX3952*$M3952</f>
        <v>0</v>
      </c>
      <c r="AZ3952" s="30" t="n">
        <f aca="false">17360/100</f>
        <v>173.6</v>
      </c>
      <c r="BA3952" s="11" t="n">
        <v>24757</v>
      </c>
      <c r="BB3952" s="31" t="n">
        <f aca="false">SUM(Q3952,S3952,U3952,W3952,Y3952,AA3952,AC3952,AE3952,AG3952,AI3952,AK3952,AM3952,AO3952,AQ3952,AS3952,AU3952,AW3952,AY3952)</f>
        <v>24757</v>
      </c>
      <c r="BC3952" s="28" t="n">
        <f aca="false">BA3952-BB3952</f>
        <v>0</v>
      </c>
      <c r="BD3952" s="32" t="n">
        <f aca="false">SUM(P3952,R3952,T3952,V3952,X3952,Z3952,AB3952,AD3952,AF3952,AH3952,AJ3952,AL3952,AN3952,AP3952,AR3952,AT3952,AV3952,AX3952)</f>
        <v>137.54</v>
      </c>
      <c r="BE3952" s="33" t="n">
        <f aca="false">AZ3952-BD3952</f>
        <v>36.06</v>
      </c>
      <c r="BF3952" s="34" t="n">
        <f aca="false">BD3952*M3952</f>
        <v>24757.2</v>
      </c>
      <c r="BG3952" s="35" t="n">
        <f aca="false">BA3952-BF3952</f>
        <v>-0.19999999999709</v>
      </c>
      <c r="BH3952" s="19" t="str">
        <f aca="false">IF(BG3952=0,"",IF(BG3952&lt;&gt;BA3952,"erreur de calcul",IF(BD3952&lt;&gt;0,"pas de prix",IF(M3952&lt;&gt; 0,"pas de quantité","pas de prix, ni de quantité"))))</f>
        <v>erreur de calcul</v>
      </c>
      <c r="BI3952" s="19"/>
    </row>
    <row r="3953" customFormat="false" ht="15" hidden="false" customHeight="false" outlineLevel="0" collapsed="false">
      <c r="A3953" s="0" t="n">
        <v>13</v>
      </c>
      <c r="B3953" s="8" t="s">
        <v>24</v>
      </c>
      <c r="C3953" s="9" t="s">
        <v>25</v>
      </c>
      <c r="D3953" s="9" t="s">
        <v>26</v>
      </c>
      <c r="E3953" s="10" t="n">
        <v>1789</v>
      </c>
      <c r="F3953" s="9" t="s">
        <v>27</v>
      </c>
      <c r="G3953" s="9" t="s">
        <v>27</v>
      </c>
      <c r="H3953" s="11" t="n">
        <v>21</v>
      </c>
      <c r="I3953" s="11" t="s">
        <v>166</v>
      </c>
      <c r="J3953" s="14" t="n">
        <v>90</v>
      </c>
      <c r="K3953" s="14"/>
      <c r="L3953" s="16"/>
      <c r="M3953" s="27" t="n">
        <f aca="false">J3953+(K3953/20)+(L3953/240)</f>
        <v>90</v>
      </c>
      <c r="N3953" s="17" t="s">
        <v>64</v>
      </c>
      <c r="O3953" s="11"/>
      <c r="P3953" s="28" t="n">
        <f aca="false">3606/100</f>
        <v>36.06</v>
      </c>
      <c r="Q3953" s="28" t="n">
        <v>3245</v>
      </c>
      <c r="R3953" s="28"/>
      <c r="S3953" s="28" t="n">
        <f aca="false">R3953*$M3953</f>
        <v>0</v>
      </c>
      <c r="T3953" s="28"/>
      <c r="U3953" s="28" t="n">
        <f aca="false">T3953*$M3953</f>
        <v>0</v>
      </c>
      <c r="V3953" s="28"/>
      <c r="W3953" s="28" t="n">
        <f aca="false">V3953*$M3953</f>
        <v>0</v>
      </c>
      <c r="X3953" s="28"/>
      <c r="Y3953" s="28" t="n">
        <f aca="false">X3953*$M3953</f>
        <v>0</v>
      </c>
      <c r="Z3953" s="28"/>
      <c r="AA3953" s="28" t="n">
        <f aca="false">Z3953*$M3953</f>
        <v>0</v>
      </c>
      <c r="AB3953" s="28"/>
      <c r="AC3953" s="28" t="n">
        <f aca="false">AB3953*$M3953</f>
        <v>0</v>
      </c>
      <c r="AD3953" s="28"/>
      <c r="AE3953" s="28" t="n">
        <f aca="false">AD3953*$M3953</f>
        <v>0</v>
      </c>
      <c r="AF3953" s="28"/>
      <c r="AG3953" s="28" t="n">
        <f aca="false">AF3953*$M3953</f>
        <v>0</v>
      </c>
      <c r="AH3953" s="28"/>
      <c r="AI3953" s="28" t="n">
        <f aca="false">AH3953*$M3953</f>
        <v>0</v>
      </c>
      <c r="AJ3953" s="28"/>
      <c r="AK3953" s="28" t="n">
        <f aca="false">AJ3953*$M3953</f>
        <v>0</v>
      </c>
      <c r="AL3953" s="28"/>
      <c r="AM3953" s="28" t="n">
        <f aca="false">AL3953*$M3953</f>
        <v>0</v>
      </c>
      <c r="AN3953" s="28"/>
      <c r="AO3953" s="28" t="n">
        <f aca="false">AN3953*$M3953</f>
        <v>0</v>
      </c>
      <c r="AP3953" s="28"/>
      <c r="AQ3953" s="28" t="n">
        <f aca="false">AP3953*$M3953</f>
        <v>0</v>
      </c>
      <c r="AR3953" s="28"/>
      <c r="AS3953" s="28" t="n">
        <f aca="false">AR3953*$M3953</f>
        <v>0</v>
      </c>
      <c r="AT3953" s="28"/>
      <c r="AU3953" s="28" t="n">
        <f aca="false">AT3953*$M3953</f>
        <v>0</v>
      </c>
      <c r="AV3953" s="28"/>
      <c r="AW3953" s="28" t="n">
        <f aca="false">AV3953*$M3953</f>
        <v>0</v>
      </c>
      <c r="AX3953" s="28"/>
      <c r="AY3953" s="28" t="n">
        <f aca="false">AX3953*$M3953</f>
        <v>0</v>
      </c>
      <c r="AZ3953" s="30" t="n">
        <f aca="false">3606/100</f>
        <v>36.06</v>
      </c>
      <c r="BA3953" s="11" t="n">
        <v>3245</v>
      </c>
      <c r="BB3953" s="31" t="n">
        <f aca="false">SUM(Q3953,S3953,U3953,W3953,Y3953,AA3953,AC3953,AE3953,AG3953,AI3953,AK3953,AM3953,AO3953,AQ3953,AS3953,AU3953,AW3953,AY3953)</f>
        <v>3245</v>
      </c>
      <c r="BC3953" s="28" t="n">
        <f aca="false">BA3953-BB3953</f>
        <v>0</v>
      </c>
      <c r="BD3953" s="32" t="n">
        <f aca="false">SUM(P3953,R3953,T3953,V3953,X3953,Z3953,AB3953,AD3953,AF3953,AH3953,AJ3953,AL3953,AN3953,AP3953,AR3953,AT3953,AV3953,AX3953)</f>
        <v>36.06</v>
      </c>
      <c r="BE3953" s="33" t="n">
        <f aca="false">AZ3953-BD3953</f>
        <v>0</v>
      </c>
      <c r="BF3953" s="34" t="n">
        <f aca="false">BD3953*M3953</f>
        <v>3245.4</v>
      </c>
      <c r="BG3953" s="35" t="n">
        <f aca="false">BA3953-BF3953</f>
        <v>-0.400000000000091</v>
      </c>
      <c r="BH3953" s="19" t="str">
        <f aca="false">IF(BG3953=0,"",IF(BG3953&lt;&gt;BA3953,"erreur de calcul",IF(BD3953&lt;&gt;0,"pas de prix",IF(M3953&lt;&gt; 0,"pas de quantité","pas de prix, ni de quantité"))))</f>
        <v>erreur de calcul</v>
      </c>
      <c r="BI3953" s="19"/>
    </row>
    <row r="3954" customFormat="false" ht="15" hidden="false" customHeight="false" outlineLevel="0" collapsed="false">
      <c r="A3954" s="0" t="n">
        <v>14</v>
      </c>
      <c r="B3954" s="8" t="s">
        <v>24</v>
      </c>
      <c r="C3954" s="9" t="s">
        <v>25</v>
      </c>
      <c r="D3954" s="9" t="s">
        <v>26</v>
      </c>
      <c r="E3954" s="10" t="n">
        <v>1789</v>
      </c>
      <c r="F3954" s="9" t="s">
        <v>27</v>
      </c>
      <c r="G3954" s="9" t="s">
        <v>27</v>
      </c>
      <c r="H3954" s="11" t="n">
        <v>21</v>
      </c>
      <c r="I3954" s="11" t="s">
        <v>167</v>
      </c>
      <c r="J3954" s="14" t="n">
        <v>60</v>
      </c>
      <c r="K3954" s="14"/>
      <c r="L3954" s="16"/>
      <c r="M3954" s="27" t="n">
        <f aca="false">J3954+(K3954/20)+(L3954/240)</f>
        <v>60</v>
      </c>
      <c r="N3954" s="17" t="s">
        <v>64</v>
      </c>
      <c r="O3954" s="11"/>
      <c r="P3954" s="28" t="n">
        <f aca="false">19377/100</f>
        <v>193.77</v>
      </c>
      <c r="Q3954" s="28" t="n">
        <v>11626</v>
      </c>
      <c r="R3954" s="28"/>
      <c r="S3954" s="28" t="n">
        <f aca="false">R3954*$M3954</f>
        <v>0</v>
      </c>
      <c r="T3954" s="28"/>
      <c r="U3954" s="28" t="n">
        <f aca="false">T3954*$M3954</f>
        <v>0</v>
      </c>
      <c r="V3954" s="28"/>
      <c r="W3954" s="28" t="n">
        <f aca="false">V3954*$M3954</f>
        <v>0</v>
      </c>
      <c r="X3954" s="28"/>
      <c r="Y3954" s="28" t="n">
        <f aca="false">X3954*$M3954</f>
        <v>0</v>
      </c>
      <c r="Z3954" s="28"/>
      <c r="AA3954" s="28" t="n">
        <f aca="false">Z3954*$M3954</f>
        <v>0</v>
      </c>
      <c r="AB3954" s="28"/>
      <c r="AC3954" s="28" t="n">
        <f aca="false">AB3954*$M3954</f>
        <v>0</v>
      </c>
      <c r="AD3954" s="28"/>
      <c r="AE3954" s="28" t="n">
        <f aca="false">AD3954*$M3954</f>
        <v>0</v>
      </c>
      <c r="AF3954" s="28"/>
      <c r="AG3954" s="28" t="n">
        <f aca="false">AF3954*$M3954</f>
        <v>0</v>
      </c>
      <c r="AH3954" s="28"/>
      <c r="AI3954" s="28" t="n">
        <f aca="false">AH3954*$M3954</f>
        <v>0</v>
      </c>
      <c r="AJ3954" s="28"/>
      <c r="AK3954" s="28" t="n">
        <f aca="false">AJ3954*$M3954</f>
        <v>0</v>
      </c>
      <c r="AL3954" s="28"/>
      <c r="AM3954" s="28" t="n">
        <f aca="false">AL3954*$M3954</f>
        <v>0</v>
      </c>
      <c r="AN3954" s="28"/>
      <c r="AO3954" s="28" t="n">
        <f aca="false">AN3954*$M3954</f>
        <v>0</v>
      </c>
      <c r="AP3954" s="28"/>
      <c r="AQ3954" s="28" t="n">
        <f aca="false">AP3954*$M3954</f>
        <v>0</v>
      </c>
      <c r="AR3954" s="28"/>
      <c r="AS3954" s="28" t="n">
        <f aca="false">AR3954*$M3954</f>
        <v>0</v>
      </c>
      <c r="AT3954" s="28"/>
      <c r="AU3954" s="28" t="n">
        <f aca="false">AT3954*$M3954</f>
        <v>0</v>
      </c>
      <c r="AV3954" s="28"/>
      <c r="AW3954" s="28" t="n">
        <f aca="false">AV3954*$M3954</f>
        <v>0</v>
      </c>
      <c r="AX3954" s="28"/>
      <c r="AY3954" s="28" t="n">
        <f aca="false">AX3954*$M3954</f>
        <v>0</v>
      </c>
      <c r="AZ3954" s="30" t="n">
        <f aca="false">19377/100</f>
        <v>193.77</v>
      </c>
      <c r="BA3954" s="11" t="n">
        <v>11626</v>
      </c>
      <c r="BB3954" s="31" t="n">
        <f aca="false">SUM(Q3954,S3954,U3954,W3954,Y3954,AA3954,AC3954,AE3954,AG3954,AI3954,AK3954,AM3954,AO3954,AQ3954,AS3954,AU3954,AW3954,AY3954)</f>
        <v>11626</v>
      </c>
      <c r="BC3954" s="28" t="n">
        <f aca="false">BA3954-BB3954</f>
        <v>0</v>
      </c>
      <c r="BD3954" s="32" t="n">
        <f aca="false">SUM(P3954,R3954,T3954,V3954,X3954,Z3954,AB3954,AD3954,AF3954,AH3954,AJ3954,AL3954,AN3954,AP3954,AR3954,AT3954,AV3954,AX3954)</f>
        <v>193.77</v>
      </c>
      <c r="BE3954" s="33" t="n">
        <f aca="false">AZ3954-BD3954</f>
        <v>0</v>
      </c>
      <c r="BF3954" s="34" t="n">
        <f aca="false">BD3954*M3954</f>
        <v>11626.2</v>
      </c>
      <c r="BG3954" s="35" t="n">
        <f aca="false">BA3954-BF3954</f>
        <v>-0.200000000000728</v>
      </c>
      <c r="BH3954" s="19" t="str">
        <f aca="false">IF(BG3954=0,"",IF(BG3954&lt;&gt;BA3954,"erreur de calcul",IF(BD3954&lt;&gt;0,"pas de prix",IF(M3954&lt;&gt; 0,"pas de quantité","pas de prix, ni de quantité"))))</f>
        <v>erreur de calcul</v>
      </c>
      <c r="BI3954" s="19"/>
    </row>
    <row r="3955" customFormat="false" ht="15" hidden="false" customHeight="false" outlineLevel="0" collapsed="false">
      <c r="A3955" s="0" t="n">
        <v>15</v>
      </c>
      <c r="B3955" s="8" t="s">
        <v>24</v>
      </c>
      <c r="C3955" s="9" t="s">
        <v>25</v>
      </c>
      <c r="D3955" s="9" t="s">
        <v>26</v>
      </c>
      <c r="E3955" s="10" t="n">
        <v>1789</v>
      </c>
      <c r="F3955" s="9" t="s">
        <v>27</v>
      </c>
      <c r="G3955" s="9" t="s">
        <v>27</v>
      </c>
      <c r="H3955" s="11" t="n">
        <v>21</v>
      </c>
      <c r="I3955" s="11" t="s">
        <v>168</v>
      </c>
      <c r="J3955" s="14" t="n">
        <v>345</v>
      </c>
      <c r="K3955" s="14"/>
      <c r="L3955" s="16"/>
      <c r="M3955" s="27" t="n">
        <f aca="false">J3955+(K3955/20)+(L3955/240)</f>
        <v>345</v>
      </c>
      <c r="N3955" s="17" t="s">
        <v>64</v>
      </c>
      <c r="O3955" s="11"/>
      <c r="P3955" s="28" t="n">
        <f aca="false">617/100</f>
        <v>6.17</v>
      </c>
      <c r="Q3955" s="28" t="n">
        <v>2129</v>
      </c>
      <c r="R3955" s="28"/>
      <c r="S3955" s="28" t="n">
        <f aca="false">R3955*$M3955</f>
        <v>0</v>
      </c>
      <c r="T3955" s="28"/>
      <c r="U3955" s="28" t="n">
        <f aca="false">T3955*$M3955</f>
        <v>0</v>
      </c>
      <c r="V3955" s="28"/>
      <c r="W3955" s="28" t="n">
        <f aca="false">V3955*$M3955</f>
        <v>0</v>
      </c>
      <c r="X3955" s="28"/>
      <c r="Y3955" s="28" t="n">
        <f aca="false">X3955*$M3955</f>
        <v>0</v>
      </c>
      <c r="Z3955" s="28"/>
      <c r="AA3955" s="28" t="n">
        <f aca="false">Z3955*$M3955</f>
        <v>0</v>
      </c>
      <c r="AB3955" s="28" t="n">
        <f aca="false">1270/100</f>
        <v>12.7</v>
      </c>
      <c r="AC3955" s="28" t="n">
        <v>4381</v>
      </c>
      <c r="AD3955" s="28"/>
      <c r="AE3955" s="28" t="n">
        <f aca="false">AD3955*$M3955</f>
        <v>0</v>
      </c>
      <c r="AF3955" s="28"/>
      <c r="AG3955" s="28" t="n">
        <f aca="false">AF3955*$M3955</f>
        <v>0</v>
      </c>
      <c r="AH3955" s="28"/>
      <c r="AI3955" s="28" t="n">
        <f aca="false">AH3955*$M3955</f>
        <v>0</v>
      </c>
      <c r="AJ3955" s="28"/>
      <c r="AK3955" s="28" t="n">
        <f aca="false">AJ3955*$M3955</f>
        <v>0</v>
      </c>
      <c r="AL3955" s="28"/>
      <c r="AM3955" s="28" t="n">
        <f aca="false">AL3955*$M3955</f>
        <v>0</v>
      </c>
      <c r="AN3955" s="28"/>
      <c r="AO3955" s="28" t="n">
        <f aca="false">AN3955*$M3955</f>
        <v>0</v>
      </c>
      <c r="AP3955" s="28"/>
      <c r="AQ3955" s="28" t="n">
        <f aca="false">AP3955*$M3955</f>
        <v>0</v>
      </c>
      <c r="AR3955" s="28"/>
      <c r="AS3955" s="28" t="n">
        <f aca="false">AR3955*$M3955</f>
        <v>0</v>
      </c>
      <c r="AT3955" s="28"/>
      <c r="AU3955" s="28" t="n">
        <f aca="false">AT3955*$M3955</f>
        <v>0</v>
      </c>
      <c r="AV3955" s="28"/>
      <c r="AW3955" s="28" t="n">
        <f aca="false">AV3955*$M3955</f>
        <v>0</v>
      </c>
      <c r="AX3955" s="28"/>
      <c r="AY3955" s="28" t="n">
        <f aca="false">AX3955*$M3955</f>
        <v>0</v>
      </c>
      <c r="AZ3955" s="30" t="n">
        <f aca="false">1887/100</f>
        <v>18.87</v>
      </c>
      <c r="BA3955" s="11" t="n">
        <v>6510</v>
      </c>
      <c r="BB3955" s="31" t="n">
        <f aca="false">SUM(Q3955,S3955,U3955,W3955,Y3955,AA3955,AC3955,AE3955,AG3955,AI3955,AK3955,AM3955,AO3955,AQ3955,AS3955,AU3955,AW3955,AY3955)</f>
        <v>6510</v>
      </c>
      <c r="BC3955" s="28" t="n">
        <f aca="false">BA3955-BB3955</f>
        <v>0</v>
      </c>
      <c r="BD3955" s="32" t="n">
        <f aca="false">SUM(P3955,R3955,T3955,V3955,X3955,Z3955,AB3955,AD3955,AF3955,AH3955,AJ3955,AL3955,AN3955,AP3955,AR3955,AT3955,AV3955,AX3955)</f>
        <v>18.87</v>
      </c>
      <c r="BE3955" s="33" t="n">
        <f aca="false">AZ3955-BD3955</f>
        <v>0</v>
      </c>
      <c r="BF3955" s="34" t="n">
        <f aca="false">BD3955*M3955</f>
        <v>6510.15</v>
      </c>
      <c r="BG3955" s="35" t="n">
        <f aca="false">BA3955-BF3955</f>
        <v>-0.149999999998727</v>
      </c>
      <c r="BH3955" s="19" t="str">
        <f aca="false">IF(BG3955=0,"",IF(BG3955&lt;&gt;BA3955,"erreur de calcul",IF(BD3955&lt;&gt;0,"pas de prix",IF(M3955&lt;&gt; 0,"pas de quantité","pas de prix, ni de quantité"))))</f>
        <v>erreur de calcul</v>
      </c>
      <c r="BI3955" s="19"/>
    </row>
    <row r="3956" customFormat="false" ht="15" hidden="false" customHeight="false" outlineLevel="0" collapsed="false">
      <c r="A3956" s="0" t="n">
        <v>16</v>
      </c>
      <c r="B3956" s="8" t="s">
        <v>24</v>
      </c>
      <c r="C3956" s="9" t="s">
        <v>25</v>
      </c>
      <c r="D3956" s="9" t="s">
        <v>26</v>
      </c>
      <c r="E3956" s="10" t="n">
        <v>1789</v>
      </c>
      <c r="F3956" s="9" t="s">
        <v>27</v>
      </c>
      <c r="G3956" s="9" t="s">
        <v>27</v>
      </c>
      <c r="H3956" s="11" t="n">
        <v>21</v>
      </c>
      <c r="I3956" s="11" t="s">
        <v>169</v>
      </c>
      <c r="J3956" s="14" t="n">
        <v>6</v>
      </c>
      <c r="K3956" s="14"/>
      <c r="L3956" s="16"/>
      <c r="M3956" s="27" t="n">
        <f aca="false">J3956+(K3956/20)+(L3956/240)</f>
        <v>6</v>
      </c>
      <c r="N3956" s="17" t="s">
        <v>64</v>
      </c>
      <c r="O3956" s="11"/>
      <c r="P3956" s="28"/>
      <c r="Q3956" s="28" t="n">
        <f aca="false">P3956*$M3956</f>
        <v>0</v>
      </c>
      <c r="R3956" s="28"/>
      <c r="S3956" s="28" t="n">
        <f aca="false">R3956*$M3956</f>
        <v>0</v>
      </c>
      <c r="T3956" s="28"/>
      <c r="U3956" s="28" t="n">
        <f aca="false">T3956*$M3956</f>
        <v>0</v>
      </c>
      <c r="V3956" s="28" t="n">
        <f aca="false">39752/100</f>
        <v>397.52</v>
      </c>
      <c r="W3956" s="28" t="n">
        <v>2385</v>
      </c>
      <c r="X3956" s="28"/>
      <c r="Y3956" s="28" t="n">
        <f aca="false">X3956*$M3956</f>
        <v>0</v>
      </c>
      <c r="Z3956" s="28"/>
      <c r="AA3956" s="28" t="n">
        <f aca="false">Z3956*$M3956</f>
        <v>0</v>
      </c>
      <c r="AB3956" s="28"/>
      <c r="AC3956" s="28" t="n">
        <f aca="false">AB3956*$M3956</f>
        <v>0</v>
      </c>
      <c r="AD3956" s="28"/>
      <c r="AE3956" s="28" t="n">
        <f aca="false">AD3956*$M3956</f>
        <v>0</v>
      </c>
      <c r="AF3956" s="28"/>
      <c r="AG3956" s="28" t="n">
        <f aca="false">AF3956*$M3956</f>
        <v>0</v>
      </c>
      <c r="AH3956" s="28"/>
      <c r="AI3956" s="28" t="n">
        <f aca="false">AH3956*$M3956</f>
        <v>0</v>
      </c>
      <c r="AJ3956" s="28"/>
      <c r="AK3956" s="28" t="n">
        <f aca="false">AJ3956*$M3956</f>
        <v>0</v>
      </c>
      <c r="AL3956" s="28"/>
      <c r="AM3956" s="28" t="n">
        <f aca="false">AL3956*$M3956</f>
        <v>0</v>
      </c>
      <c r="AN3956" s="28"/>
      <c r="AO3956" s="28" t="n">
        <f aca="false">AN3956*$M3956</f>
        <v>0</v>
      </c>
      <c r="AP3956" s="28"/>
      <c r="AQ3956" s="28" t="n">
        <f aca="false">AP3956*$M3956</f>
        <v>0</v>
      </c>
      <c r="AR3956" s="28"/>
      <c r="AS3956" s="28" t="n">
        <f aca="false">AR3956*$M3956</f>
        <v>0</v>
      </c>
      <c r="AT3956" s="28"/>
      <c r="AU3956" s="28" t="n">
        <f aca="false">AT3956*$M3956</f>
        <v>0</v>
      </c>
      <c r="AV3956" s="28"/>
      <c r="AW3956" s="28" t="n">
        <f aca="false">AV3956*$M3956</f>
        <v>0</v>
      </c>
      <c r="AX3956" s="28"/>
      <c r="AY3956" s="28" t="n">
        <f aca="false">AX3956*$M3956</f>
        <v>0</v>
      </c>
      <c r="AZ3956" s="30" t="n">
        <f aca="false">39752/100</f>
        <v>397.52</v>
      </c>
      <c r="BA3956" s="11" t="n">
        <v>2385</v>
      </c>
      <c r="BB3956" s="31" t="n">
        <f aca="false">SUM(Q3956,S3956,U3956,W3956,Y3956,AA3956,AC3956,AE3956,AG3956,AI3956,AK3956,AM3956,AO3956,AQ3956,AS3956,AU3956,AW3956,AY3956)</f>
        <v>2385</v>
      </c>
      <c r="BC3956" s="28" t="n">
        <f aca="false">BA3956-BB3956</f>
        <v>0</v>
      </c>
      <c r="BD3956" s="32" t="n">
        <f aca="false">SUM(P3956,R3956,T3956,V3956,X3956,Z3956,AB3956,AD3956,AF3956,AH3956,AJ3956,AL3956,AN3956,AP3956,AR3956,AT3956,AV3956,AX3956)</f>
        <v>397.52</v>
      </c>
      <c r="BE3956" s="33" t="n">
        <f aca="false">AZ3956-BD3956</f>
        <v>0</v>
      </c>
      <c r="BF3956" s="34" t="n">
        <f aca="false">BD3956*M3956</f>
        <v>2385.12</v>
      </c>
      <c r="BG3956" s="35" t="n">
        <f aca="false">BA3956-BF3956</f>
        <v>-0.119999999999891</v>
      </c>
      <c r="BH3956" s="19" t="str">
        <f aca="false">IF(BG3956=0,"",IF(BG3956&lt;&gt;BA3956,"erreur de calcul",IF(BD3956&lt;&gt;0,"pas de prix",IF(M3956&lt;&gt; 0,"pas de quantité","pas de prix, ni de quantité"))))</f>
        <v>erreur de calcul</v>
      </c>
      <c r="BI3956" s="19"/>
    </row>
    <row r="3957" customFormat="false" ht="15" hidden="false" customHeight="false" outlineLevel="0" collapsed="false">
      <c r="A3957" s="0" t="n">
        <v>17</v>
      </c>
      <c r="B3957" s="8" t="s">
        <v>24</v>
      </c>
      <c r="C3957" s="9" t="s">
        <v>25</v>
      </c>
      <c r="D3957" s="9" t="s">
        <v>26</v>
      </c>
      <c r="E3957" s="10" t="n">
        <v>1789</v>
      </c>
      <c r="F3957" s="9" t="s">
        <v>27</v>
      </c>
      <c r="G3957" s="9" t="s">
        <v>27</v>
      </c>
      <c r="H3957" s="11" t="n">
        <v>21</v>
      </c>
      <c r="I3957" s="11" t="s">
        <v>170</v>
      </c>
      <c r="J3957" s="14" t="n">
        <v>90</v>
      </c>
      <c r="K3957" s="14"/>
      <c r="L3957" s="16"/>
      <c r="M3957" s="27" t="n">
        <f aca="false">J3957+(K3957/20)+(L3957/240)</f>
        <v>90</v>
      </c>
      <c r="N3957" s="17" t="s">
        <v>64</v>
      </c>
      <c r="O3957" s="11"/>
      <c r="P3957" s="28"/>
      <c r="Q3957" s="28" t="n">
        <f aca="false">P3957*$M3957</f>
        <v>0</v>
      </c>
      <c r="R3957" s="28"/>
      <c r="S3957" s="28" t="n">
        <f aca="false">R3957*$M3957</f>
        <v>0</v>
      </c>
      <c r="T3957" s="28"/>
      <c r="U3957" s="28" t="n">
        <f aca="false">T3957*$M3957</f>
        <v>0</v>
      </c>
      <c r="V3957" s="28"/>
      <c r="W3957" s="28" t="n">
        <f aca="false">V3957*$M3957</f>
        <v>0</v>
      </c>
      <c r="X3957" s="28" t="n">
        <f aca="false">3136/100</f>
        <v>31.36</v>
      </c>
      <c r="Y3957" s="28" t="n">
        <v>2822</v>
      </c>
      <c r="Z3957" s="28"/>
      <c r="AA3957" s="28" t="n">
        <f aca="false">Z3957*$M3957</f>
        <v>0</v>
      </c>
      <c r="AB3957" s="28"/>
      <c r="AC3957" s="28" t="n">
        <f aca="false">AB3957*$M3957</f>
        <v>0</v>
      </c>
      <c r="AD3957" s="28"/>
      <c r="AE3957" s="28" t="n">
        <f aca="false">AD3957*$M3957</f>
        <v>0</v>
      </c>
      <c r="AF3957" s="28"/>
      <c r="AG3957" s="28" t="n">
        <f aca="false">AF3957*$M3957</f>
        <v>0</v>
      </c>
      <c r="AH3957" s="28"/>
      <c r="AI3957" s="28" t="n">
        <f aca="false">AH3957*$M3957</f>
        <v>0</v>
      </c>
      <c r="AJ3957" s="28"/>
      <c r="AK3957" s="28" t="n">
        <f aca="false">AJ3957*$M3957</f>
        <v>0</v>
      </c>
      <c r="AL3957" s="28"/>
      <c r="AM3957" s="28" t="n">
        <f aca="false">AL3957*$M3957</f>
        <v>0</v>
      </c>
      <c r="AN3957" s="28"/>
      <c r="AO3957" s="28" t="n">
        <f aca="false">AN3957*$M3957</f>
        <v>0</v>
      </c>
      <c r="AP3957" s="28"/>
      <c r="AQ3957" s="28" t="n">
        <f aca="false">AP3957*$M3957</f>
        <v>0</v>
      </c>
      <c r="AR3957" s="28"/>
      <c r="AS3957" s="28" t="n">
        <f aca="false">AR3957*$M3957</f>
        <v>0</v>
      </c>
      <c r="AT3957" s="28"/>
      <c r="AU3957" s="28" t="n">
        <f aca="false">AT3957*$M3957</f>
        <v>0</v>
      </c>
      <c r="AV3957" s="28"/>
      <c r="AW3957" s="28" t="n">
        <f aca="false">AV3957*$M3957</f>
        <v>0</v>
      </c>
      <c r="AX3957" s="28"/>
      <c r="AY3957" s="28" t="n">
        <f aca="false">AX3957*$M3957</f>
        <v>0</v>
      </c>
      <c r="AZ3957" s="30" t="n">
        <f aca="false">3136/100</f>
        <v>31.36</v>
      </c>
      <c r="BA3957" s="11" t="n">
        <v>2822</v>
      </c>
      <c r="BB3957" s="31" t="n">
        <f aca="false">SUM(Q3957,S3957,U3957,W3957,Y3957,AA3957,AC3957,AE3957,AG3957,AI3957,AK3957,AM3957,AO3957,AQ3957,AS3957,AU3957,AW3957,AY3957)</f>
        <v>2822</v>
      </c>
      <c r="BC3957" s="28" t="n">
        <f aca="false">BA3957-BB3957</f>
        <v>0</v>
      </c>
      <c r="BD3957" s="32" t="n">
        <f aca="false">SUM(P3957,R3957,T3957,V3957,X3957,Z3957,AB3957,AD3957,AF3957,AH3957,AJ3957,AL3957,AN3957,AP3957,AR3957,AT3957,AV3957,AX3957)</f>
        <v>31.36</v>
      </c>
      <c r="BE3957" s="33" t="n">
        <f aca="false">AZ3957-BD3957</f>
        <v>0</v>
      </c>
      <c r="BF3957" s="34" t="n">
        <f aca="false">BD3957*M3957</f>
        <v>2822.4</v>
      </c>
      <c r="BG3957" s="35" t="n">
        <f aca="false">BA3957-BF3957</f>
        <v>-0.400000000000091</v>
      </c>
      <c r="BH3957" s="19" t="str">
        <f aca="false">IF(BG3957=0,"",IF(BG3957&lt;&gt;BA3957,"erreur de calcul",IF(BD3957&lt;&gt;0,"pas de prix",IF(M3957&lt;&gt; 0,"pas de quantité","pas de prix, ni de quantité"))))</f>
        <v>erreur de calcul</v>
      </c>
      <c r="BI3957" s="19"/>
    </row>
    <row r="3958" customFormat="false" ht="15" hidden="false" customHeight="false" outlineLevel="0" collapsed="false">
      <c r="A3958" s="0" t="n">
        <v>18</v>
      </c>
      <c r="B3958" s="8" t="s">
        <v>24</v>
      </c>
      <c r="C3958" s="9" t="s">
        <v>25</v>
      </c>
      <c r="D3958" s="9" t="s">
        <v>26</v>
      </c>
      <c r="E3958" s="10" t="n">
        <v>1789</v>
      </c>
      <c r="F3958" s="9" t="s">
        <v>27</v>
      </c>
      <c r="G3958" s="9" t="s">
        <v>27</v>
      </c>
      <c r="H3958" s="11" t="n">
        <v>21</v>
      </c>
      <c r="I3958" s="11" t="s">
        <v>171</v>
      </c>
      <c r="J3958" s="14" t="n">
        <v>90</v>
      </c>
      <c r="K3958" s="14"/>
      <c r="L3958" s="16"/>
      <c r="M3958" s="27" t="n">
        <f aca="false">J3958+(K3958/20)+(L3958/240)</f>
        <v>90</v>
      </c>
      <c r="N3958" s="17" t="s">
        <v>64</v>
      </c>
      <c r="O3958" s="11"/>
      <c r="P3958" s="28"/>
      <c r="Q3958" s="28" t="n">
        <f aca="false">P3958*$M3958</f>
        <v>0</v>
      </c>
      <c r="R3958" s="28"/>
      <c r="S3958" s="28" t="n">
        <f aca="false">R3958*$M3958</f>
        <v>0</v>
      </c>
      <c r="T3958" s="28"/>
      <c r="U3958" s="28" t="n">
        <f aca="false">T3958*$M3958</f>
        <v>0</v>
      </c>
      <c r="V3958" s="28"/>
      <c r="W3958" s="28" t="n">
        <f aca="false">V3958*$M3958</f>
        <v>0</v>
      </c>
      <c r="X3958" s="28"/>
      <c r="Y3958" s="28" t="n">
        <f aca="false">X3958*$M3958</f>
        <v>0</v>
      </c>
      <c r="Z3958" s="28"/>
      <c r="AA3958" s="28" t="n">
        <f aca="false">Z3958*$M3958</f>
        <v>0</v>
      </c>
      <c r="AB3958" s="28"/>
      <c r="AC3958" s="28" t="n">
        <f aca="false">AB3958*$M3958</f>
        <v>0</v>
      </c>
      <c r="AD3958" s="28"/>
      <c r="AE3958" s="28" t="n">
        <f aca="false">AD3958*$M3958</f>
        <v>0</v>
      </c>
      <c r="AF3958" s="28"/>
      <c r="AG3958" s="28" t="n">
        <f aca="false">AF3958*$M3958</f>
        <v>0</v>
      </c>
      <c r="AH3958" s="28" t="n">
        <f aca="false">5337/100</f>
        <v>53.37</v>
      </c>
      <c r="AI3958" s="28" t="n">
        <v>4803</v>
      </c>
      <c r="AJ3958" s="28"/>
      <c r="AK3958" s="28" t="n">
        <f aca="false">AJ3958*$M3958</f>
        <v>0</v>
      </c>
      <c r="AL3958" s="28"/>
      <c r="AM3958" s="28" t="n">
        <f aca="false">AL3958*$M3958</f>
        <v>0</v>
      </c>
      <c r="AN3958" s="28"/>
      <c r="AO3958" s="28" t="n">
        <f aca="false">AN3958*$M3958</f>
        <v>0</v>
      </c>
      <c r="AP3958" s="28"/>
      <c r="AQ3958" s="28" t="n">
        <f aca="false">AP3958*$M3958</f>
        <v>0</v>
      </c>
      <c r="AR3958" s="28"/>
      <c r="AS3958" s="28" t="n">
        <f aca="false">AR3958*$M3958</f>
        <v>0</v>
      </c>
      <c r="AT3958" s="28"/>
      <c r="AU3958" s="28" t="n">
        <f aca="false">AT3958*$M3958</f>
        <v>0</v>
      </c>
      <c r="AV3958" s="28"/>
      <c r="AW3958" s="28" t="n">
        <f aca="false">AV3958*$M3958</f>
        <v>0</v>
      </c>
      <c r="AX3958" s="28"/>
      <c r="AY3958" s="28" t="n">
        <f aca="false">AX3958*$M3958</f>
        <v>0</v>
      </c>
      <c r="AZ3958" s="30" t="n">
        <f aca="false">5337/100</f>
        <v>53.37</v>
      </c>
      <c r="BA3958" s="11" t="n">
        <v>4803</v>
      </c>
      <c r="BB3958" s="31" t="n">
        <f aca="false">SUM(Q3958,S3958,U3958,W3958,Y3958,AA3958,AC3958,AE3958,AG3958,AI3958,AK3958,AM3958,AO3958,AQ3958,AS3958,AU3958,AW3958,AY3958)</f>
        <v>4803</v>
      </c>
      <c r="BC3958" s="28" t="n">
        <f aca="false">BA3958-BB3958</f>
        <v>0</v>
      </c>
      <c r="BD3958" s="32" t="n">
        <f aca="false">SUM(P3958,R3958,T3958,V3958,X3958,Z3958,AB3958,AD3958,AF3958,AH3958,AJ3958,AL3958,AN3958,AP3958,AR3958,AT3958,AV3958,AX3958)</f>
        <v>53.37</v>
      </c>
      <c r="BE3958" s="33" t="n">
        <f aca="false">AZ3958-BD3958</f>
        <v>0</v>
      </c>
      <c r="BF3958" s="34" t="n">
        <f aca="false">BD3958*M3958</f>
        <v>4803.3</v>
      </c>
      <c r="BG3958" s="35" t="n">
        <f aca="false">BA3958-BF3958</f>
        <v>-0.300000000000182</v>
      </c>
      <c r="BH3958" s="19" t="str">
        <f aca="false">IF(BG3958=0,"",IF(BG3958&lt;&gt;BA3958,"erreur de calcul",IF(BD3958&lt;&gt;0,"pas de prix",IF(M3958&lt;&gt; 0,"pas de quantité","pas de prix, ni de quantité"))))</f>
        <v>erreur de calcul</v>
      </c>
      <c r="BI3958" s="19"/>
    </row>
    <row r="3959" customFormat="false" ht="15" hidden="false" customHeight="false" outlineLevel="0" collapsed="false">
      <c r="A3959" s="0" t="n">
        <v>19</v>
      </c>
      <c r="B3959" s="8" t="s">
        <v>24</v>
      </c>
      <c r="C3959" s="9" t="s">
        <v>25</v>
      </c>
      <c r="D3959" s="9" t="s">
        <v>26</v>
      </c>
      <c r="E3959" s="10" t="n">
        <v>1789</v>
      </c>
      <c r="F3959" s="9" t="s">
        <v>27</v>
      </c>
      <c r="G3959" s="9" t="s">
        <v>27</v>
      </c>
      <c r="H3959" s="11" t="n">
        <v>21</v>
      </c>
      <c r="I3959" s="11" t="s">
        <v>172</v>
      </c>
      <c r="J3959" s="14" t="n">
        <v>15</v>
      </c>
      <c r="K3959" s="14"/>
      <c r="L3959" s="16"/>
      <c r="M3959" s="27" t="n">
        <f aca="false">J3959+(K3959/20)+(L3959/240)</f>
        <v>15</v>
      </c>
      <c r="N3959" s="17" t="s">
        <v>64</v>
      </c>
      <c r="O3959" s="11" t="s">
        <v>77</v>
      </c>
      <c r="P3959" s="28"/>
      <c r="Q3959" s="28" t="n">
        <f aca="false">P3959*$M3959</f>
        <v>0</v>
      </c>
      <c r="R3959" s="28"/>
      <c r="S3959" s="28" t="n">
        <f aca="false">R3959*$M3959</f>
        <v>0</v>
      </c>
      <c r="T3959" s="28"/>
      <c r="U3959" s="28" t="n">
        <f aca="false">T3959*$M3959</f>
        <v>0</v>
      </c>
      <c r="V3959" s="28"/>
      <c r="W3959" s="28" t="n">
        <f aca="false">V3959*$M3959</f>
        <v>0</v>
      </c>
      <c r="X3959" s="28"/>
      <c r="Y3959" s="28" t="n">
        <f aca="false">X3959*$M3959</f>
        <v>0</v>
      </c>
      <c r="Z3959" s="28"/>
      <c r="AA3959" s="28" t="n">
        <f aca="false">Z3959*$M3959</f>
        <v>0</v>
      </c>
      <c r="AB3959" s="28"/>
      <c r="AC3959" s="28" t="n">
        <f aca="false">AB3959*$M3959</f>
        <v>0</v>
      </c>
      <c r="AD3959" s="28"/>
      <c r="AE3959" s="28" t="n">
        <f aca="false">AD3959*$M3959</f>
        <v>0</v>
      </c>
      <c r="AF3959" s="28"/>
      <c r="AG3959" s="28" t="n">
        <f aca="false">AF3959*$M3959</f>
        <v>0</v>
      </c>
      <c r="AH3959" s="28"/>
      <c r="AI3959" s="28" t="n">
        <f aca="false">AH3959*$M3959</f>
        <v>0</v>
      </c>
      <c r="AJ3959" s="28"/>
      <c r="AK3959" s="28" t="n">
        <f aca="false">AJ3959*$M3959</f>
        <v>0</v>
      </c>
      <c r="AL3959" s="28"/>
      <c r="AM3959" s="28" t="n">
        <f aca="false">AL3959*$M3959</f>
        <v>0</v>
      </c>
      <c r="AN3959" s="28"/>
      <c r="AO3959" s="28" t="n">
        <f aca="false">AN3959*$M3959</f>
        <v>0</v>
      </c>
      <c r="AP3959" s="28"/>
      <c r="AQ3959" s="28" t="n">
        <f aca="false">AP3959*$M3959</f>
        <v>0</v>
      </c>
      <c r="AR3959" s="28"/>
      <c r="AS3959" s="28" t="n">
        <f aca="false">AR3959*$M3959</f>
        <v>0</v>
      </c>
      <c r="AT3959" s="28"/>
      <c r="AU3959" s="28" t="n">
        <f aca="false">AT3959*$M3959</f>
        <v>0</v>
      </c>
      <c r="AV3959" s="28"/>
      <c r="AW3959" s="28" t="n">
        <f aca="false">AV3959*$M3959</f>
        <v>0</v>
      </c>
      <c r="AX3959" s="28"/>
      <c r="AY3959" s="28" t="n">
        <f aca="false">AX3959*$M3959</f>
        <v>0</v>
      </c>
      <c r="AZ3959" s="30"/>
      <c r="BA3959" s="11"/>
      <c r="BB3959" s="31" t="n">
        <f aca="false">SUM(Q3959,S3959,U3959,W3959,Y3959,AA3959,AC3959,AE3959,AG3959,AI3959,AK3959,AM3959,AO3959,AQ3959,AS3959,AU3959,AW3959,AY3959)</f>
        <v>0</v>
      </c>
      <c r="BC3959" s="28" t="n">
        <f aca="false">BA3959-BB3959</f>
        <v>0</v>
      </c>
      <c r="BD3959" s="32" t="n">
        <f aca="false">SUM(P3959,R3959,T3959,V3959,X3959,Z3959,AB3959,AD3959,AF3959,AH3959,AJ3959,AL3959,AN3959,AP3959,AR3959,AT3959,AV3959,AX3959)</f>
        <v>0</v>
      </c>
      <c r="BE3959" s="33" t="n">
        <f aca="false">AZ3959-BD3959</f>
        <v>0</v>
      </c>
      <c r="BF3959" s="34" t="n">
        <f aca="false">BD3959*M3959</f>
        <v>0</v>
      </c>
      <c r="BG3959" s="35" t="n">
        <f aca="false">BA3959-BF3959</f>
        <v>0</v>
      </c>
      <c r="BH3959" s="19" t="str">
        <f aca="false">IF(BG3959=0,"",IF(BG3959&lt;&gt;BA3959,"erreur de calcul",IF(BD3959&lt;&gt;0,"pas de prix",IF(M3959&lt;&gt; 0,"pas de quantité","pas de prix, ni de quantité"))))</f>
        <v/>
      </c>
      <c r="BI3959" s="19"/>
    </row>
    <row r="3960" customFormat="false" ht="15" hidden="false" customHeight="false" outlineLevel="0" collapsed="false">
      <c r="A3960" s="0" t="n">
        <v>20</v>
      </c>
      <c r="B3960" s="8" t="s">
        <v>24</v>
      </c>
      <c r="C3960" s="9" t="s">
        <v>25</v>
      </c>
      <c r="D3960" s="9" t="s">
        <v>26</v>
      </c>
      <c r="E3960" s="10" t="n">
        <v>1789</v>
      </c>
      <c r="F3960" s="9" t="s">
        <v>27</v>
      </c>
      <c r="G3960" s="9" t="s">
        <v>27</v>
      </c>
      <c r="H3960" s="11" t="n">
        <v>21</v>
      </c>
      <c r="I3960" s="11" t="s">
        <v>173</v>
      </c>
      <c r="J3960" s="14" t="n">
        <v>36</v>
      </c>
      <c r="K3960" s="14"/>
      <c r="L3960" s="16"/>
      <c r="M3960" s="27" t="n">
        <f aca="false">J3960+(K3960/20)+(L3960/240)</f>
        <v>36</v>
      </c>
      <c r="N3960" s="17" t="s">
        <v>64</v>
      </c>
      <c r="O3960" s="11"/>
      <c r="P3960" s="28"/>
      <c r="Q3960" s="28" t="n">
        <f aca="false">P3960*$M3960</f>
        <v>0</v>
      </c>
      <c r="R3960" s="28"/>
      <c r="S3960" s="28" t="n">
        <f aca="false">R3960*$M3960</f>
        <v>0</v>
      </c>
      <c r="T3960" s="28"/>
      <c r="U3960" s="28" t="n">
        <f aca="false">T3960*$M3960</f>
        <v>0</v>
      </c>
      <c r="V3960" s="28"/>
      <c r="W3960" s="28" t="n">
        <f aca="false">V3960*$M3960</f>
        <v>0</v>
      </c>
      <c r="X3960" s="28"/>
      <c r="Y3960" s="28" t="n">
        <f aca="false">X3960*$M3960</f>
        <v>0</v>
      </c>
      <c r="Z3960" s="28"/>
      <c r="AA3960" s="28" t="n">
        <f aca="false">Z3960*$M3960</f>
        <v>0</v>
      </c>
      <c r="AB3960" s="28" t="n">
        <f aca="false">80722/100</f>
        <v>807.22</v>
      </c>
      <c r="AC3960" s="28" t="n">
        <v>29060</v>
      </c>
      <c r="AD3960" s="28"/>
      <c r="AE3960" s="28" t="n">
        <f aca="false">AD3960*$M3960</f>
        <v>0</v>
      </c>
      <c r="AF3960" s="28"/>
      <c r="AG3960" s="28" t="n">
        <f aca="false">AF3960*$M3960</f>
        <v>0</v>
      </c>
      <c r="AH3960" s="28"/>
      <c r="AI3960" s="28" t="n">
        <f aca="false">AH3960*$M3960</f>
        <v>0</v>
      </c>
      <c r="AJ3960" s="28"/>
      <c r="AK3960" s="28" t="n">
        <f aca="false">AJ3960*$M3960</f>
        <v>0</v>
      </c>
      <c r="AL3960" s="28"/>
      <c r="AM3960" s="28" t="n">
        <f aca="false">AL3960*$M3960</f>
        <v>0</v>
      </c>
      <c r="AN3960" s="28"/>
      <c r="AO3960" s="28" t="n">
        <f aca="false">AN3960*$M3960</f>
        <v>0</v>
      </c>
      <c r="AP3960" s="28"/>
      <c r="AQ3960" s="28" t="n">
        <f aca="false">AP3960*$M3960</f>
        <v>0</v>
      </c>
      <c r="AR3960" s="28"/>
      <c r="AS3960" s="28" t="n">
        <f aca="false">AR3960*$M3960</f>
        <v>0</v>
      </c>
      <c r="AT3960" s="28"/>
      <c r="AU3960" s="28" t="n">
        <f aca="false">AT3960*$M3960</f>
        <v>0</v>
      </c>
      <c r="AV3960" s="28"/>
      <c r="AW3960" s="28" t="n">
        <f aca="false">AV3960*$M3960</f>
        <v>0</v>
      </c>
      <c r="AX3960" s="28"/>
      <c r="AY3960" s="28" t="n">
        <f aca="false">AX3960*$M3960</f>
        <v>0</v>
      </c>
      <c r="AZ3960" s="30" t="n">
        <f aca="false">80722/100</f>
        <v>807.22</v>
      </c>
      <c r="BA3960" s="11" t="n">
        <v>29060</v>
      </c>
      <c r="BB3960" s="31" t="n">
        <f aca="false">SUM(Q3960,S3960,U3960,W3960,Y3960,AA3960,AC3960,AE3960,AG3960,AI3960,AK3960,AM3960,AO3960,AQ3960,AS3960,AU3960,AW3960,AY3960)</f>
        <v>29060</v>
      </c>
      <c r="BC3960" s="28" t="n">
        <f aca="false">BA3960-BB3960</f>
        <v>0</v>
      </c>
      <c r="BD3960" s="32" t="n">
        <f aca="false">SUM(P3960,R3960,T3960,V3960,X3960,Z3960,AB3960,AD3960,AF3960,AH3960,AJ3960,AL3960,AN3960,AP3960,AR3960,AT3960,AV3960,AX3960)</f>
        <v>807.22</v>
      </c>
      <c r="BE3960" s="33" t="n">
        <f aca="false">AZ3960-BD3960</f>
        <v>0</v>
      </c>
      <c r="BF3960" s="34" t="n">
        <f aca="false">BD3960*M3960</f>
        <v>29059.92</v>
      </c>
      <c r="BG3960" s="35" t="n">
        <f aca="false">BA3960-BF3960</f>
        <v>0.0799999999981083</v>
      </c>
      <c r="BH3960" s="19" t="str">
        <f aca="false">IF(BG3960=0,"",IF(BG3960&lt;&gt;BA3960,"erreur de calcul",IF(BD3960&lt;&gt;0,"pas de prix",IF(M3960&lt;&gt; 0,"pas de quantité","pas de prix, ni de quantité"))))</f>
        <v>erreur de calcul</v>
      </c>
      <c r="BI3960" s="19"/>
    </row>
    <row r="3961" customFormat="false" ht="15" hidden="false" customHeight="false" outlineLevel="0" collapsed="false">
      <c r="A3961" s="0" t="n">
        <v>21</v>
      </c>
      <c r="B3961" s="8" t="s">
        <v>24</v>
      </c>
      <c r="C3961" s="9" t="s">
        <v>25</v>
      </c>
      <c r="D3961" s="9" t="s">
        <v>26</v>
      </c>
      <c r="E3961" s="10" t="n">
        <v>1789</v>
      </c>
      <c r="F3961" s="9" t="s">
        <v>27</v>
      </c>
      <c r="G3961" s="9" t="s">
        <v>27</v>
      </c>
      <c r="H3961" s="11" t="n">
        <v>21</v>
      </c>
      <c r="I3961" s="11" t="s">
        <v>174</v>
      </c>
      <c r="J3961" s="14" t="n">
        <v>31</v>
      </c>
      <c r="K3961" s="14"/>
      <c r="L3961" s="16"/>
      <c r="M3961" s="27" t="n">
        <f aca="false">J3961+(K3961/20)+(L3961/240)</f>
        <v>31</v>
      </c>
      <c r="N3961" s="17" t="s">
        <v>64</v>
      </c>
      <c r="O3961" s="11"/>
      <c r="P3961" s="28"/>
      <c r="Q3961" s="28" t="n">
        <f aca="false">P3961*$M3961</f>
        <v>0</v>
      </c>
      <c r="R3961" s="28"/>
      <c r="S3961" s="28" t="n">
        <f aca="false">R3961*$M3961</f>
        <v>0</v>
      </c>
      <c r="T3961" s="28"/>
      <c r="U3961" s="28" t="n">
        <f aca="false">T3961*$M3961</f>
        <v>0</v>
      </c>
      <c r="V3961" s="28"/>
      <c r="W3961" s="28" t="n">
        <f aca="false">V3961*$M3961</f>
        <v>0</v>
      </c>
      <c r="X3961" s="28"/>
      <c r="Y3961" s="28" t="n">
        <f aca="false">X3961*$M3961</f>
        <v>0</v>
      </c>
      <c r="Z3961" s="28"/>
      <c r="AA3961" s="28" t="n">
        <f aca="false">Z3961*$M3961</f>
        <v>0</v>
      </c>
      <c r="AB3961" s="28"/>
      <c r="AC3961" s="28" t="n">
        <f aca="false">AB3961*$M3961</f>
        <v>0</v>
      </c>
      <c r="AD3961" s="28"/>
      <c r="AE3961" s="28" t="n">
        <f aca="false">AD3961*$M3961</f>
        <v>0</v>
      </c>
      <c r="AF3961" s="28" t="n">
        <f aca="false">4599/100</f>
        <v>45.99</v>
      </c>
      <c r="AG3961" s="28" t="n">
        <v>1426</v>
      </c>
      <c r="AH3961" s="28" t="n">
        <f aca="false">12691/100</f>
        <v>126.91</v>
      </c>
      <c r="AI3961" s="28" t="n">
        <v>3934</v>
      </c>
      <c r="AJ3961" s="28"/>
      <c r="AK3961" s="28" t="n">
        <f aca="false">AJ3961*$M3961</f>
        <v>0</v>
      </c>
      <c r="AL3961" s="28"/>
      <c r="AM3961" s="28" t="n">
        <f aca="false">AL3961*$M3961</f>
        <v>0</v>
      </c>
      <c r="AN3961" s="28"/>
      <c r="AO3961" s="28" t="n">
        <f aca="false">AN3961*$M3961</f>
        <v>0</v>
      </c>
      <c r="AP3961" s="28"/>
      <c r="AQ3961" s="28" t="n">
        <f aca="false">AP3961*$M3961</f>
        <v>0</v>
      </c>
      <c r="AR3961" s="28"/>
      <c r="AS3961" s="28" t="n">
        <f aca="false">AR3961*$M3961</f>
        <v>0</v>
      </c>
      <c r="AT3961" s="28"/>
      <c r="AU3961" s="28" t="n">
        <f aca="false">AT3961*$M3961</f>
        <v>0</v>
      </c>
      <c r="AV3961" s="28"/>
      <c r="AW3961" s="28" t="n">
        <f aca="false">AV3961*$M3961</f>
        <v>0</v>
      </c>
      <c r="AX3961" s="28"/>
      <c r="AY3961" s="28" t="n">
        <f aca="false">AX3961*$M3961</f>
        <v>0</v>
      </c>
      <c r="AZ3961" s="30" t="n">
        <f aca="false">17290/100</f>
        <v>172.9</v>
      </c>
      <c r="BA3961" s="11" t="n">
        <v>5360</v>
      </c>
      <c r="BB3961" s="31" t="n">
        <f aca="false">SUM(Q3961,S3961,U3961,W3961,Y3961,AA3961,AC3961,AE3961,AG3961,AI3961,AK3961,AM3961,AO3961,AQ3961,AS3961,AU3961,AW3961,AY3961)</f>
        <v>5360</v>
      </c>
      <c r="BC3961" s="28" t="n">
        <f aca="false">BA3961-BB3961</f>
        <v>0</v>
      </c>
      <c r="BD3961" s="32" t="n">
        <f aca="false">SUM(P3961,R3961,T3961,V3961,X3961,Z3961,AB3961,AD3961,AF3961,AH3961,AJ3961,AL3961,AN3961,AP3961,AR3961,AT3961,AV3961,AX3961)</f>
        <v>172.9</v>
      </c>
      <c r="BE3961" s="33" t="n">
        <f aca="false">AZ3961-BD3961</f>
        <v>0</v>
      </c>
      <c r="BF3961" s="34" t="n">
        <f aca="false">BD3961*M3961</f>
        <v>5359.9</v>
      </c>
      <c r="BG3961" s="35" t="n">
        <f aca="false">BA3961-BF3961</f>
        <v>0.0999999999994543</v>
      </c>
      <c r="BH3961" s="19" t="str">
        <f aca="false">IF(BG3961=0,"",IF(BG3961&lt;&gt;BA3961,"erreur de calcul",IF(BD3961&lt;&gt;0,"pas de prix",IF(M3961&lt;&gt; 0,"pas de quantité","pas de prix, ni de quantité"))))</f>
        <v>erreur de calcul</v>
      </c>
      <c r="BI3961" s="19"/>
    </row>
    <row r="3962" customFormat="false" ht="15" hidden="false" customHeight="false" outlineLevel="0" collapsed="false">
      <c r="A3962" s="0" t="n">
        <v>22</v>
      </c>
      <c r="B3962" s="8" t="s">
        <v>24</v>
      </c>
      <c r="C3962" s="9" t="s">
        <v>25</v>
      </c>
      <c r="D3962" s="9" t="s">
        <v>26</v>
      </c>
      <c r="E3962" s="10" t="n">
        <v>1789</v>
      </c>
      <c r="F3962" s="9" t="s">
        <v>27</v>
      </c>
      <c r="G3962" s="9" t="s">
        <v>27</v>
      </c>
      <c r="H3962" s="11" t="n">
        <v>21</v>
      </c>
      <c r="I3962" s="11" t="s">
        <v>175</v>
      </c>
      <c r="J3962" s="14" t="n">
        <v>120</v>
      </c>
      <c r="K3962" s="14"/>
      <c r="L3962" s="16"/>
      <c r="M3962" s="27" t="n">
        <f aca="false">J3962+(K3962/20)+(L3962/240)</f>
        <v>120</v>
      </c>
      <c r="N3962" s="17" t="s">
        <v>64</v>
      </c>
      <c r="O3962" s="11"/>
      <c r="P3962" s="28"/>
      <c r="Q3962" s="28" t="n">
        <f aca="false">P3962*$M3962</f>
        <v>0</v>
      </c>
      <c r="R3962" s="28"/>
      <c r="S3962" s="28" t="n">
        <f aca="false">R3962*$M3962</f>
        <v>0</v>
      </c>
      <c r="T3962" s="28"/>
      <c r="U3962" s="28" t="n">
        <f aca="false">T3962*$M3962</f>
        <v>0</v>
      </c>
      <c r="V3962" s="28" t="n">
        <f aca="false">2364/100</f>
        <v>23.64</v>
      </c>
      <c r="W3962" s="28" t="n">
        <v>2837</v>
      </c>
      <c r="X3962" s="28"/>
      <c r="Y3962" s="28" t="n">
        <f aca="false">X3962*$M3962</f>
        <v>0</v>
      </c>
      <c r="Z3962" s="28"/>
      <c r="AA3962" s="28" t="n">
        <f aca="false">Z3962*$M3962</f>
        <v>0</v>
      </c>
      <c r="AB3962" s="28"/>
      <c r="AC3962" s="28" t="n">
        <f aca="false">AB3962*$M3962</f>
        <v>0</v>
      </c>
      <c r="AD3962" s="28"/>
      <c r="AE3962" s="28" t="n">
        <f aca="false">AD3962*$M3962</f>
        <v>0</v>
      </c>
      <c r="AF3962" s="28"/>
      <c r="AG3962" s="28" t="n">
        <f aca="false">AF3962*$M3962</f>
        <v>0</v>
      </c>
      <c r="AH3962" s="28"/>
      <c r="AI3962" s="28" t="n">
        <f aca="false">AH3962*$M3962</f>
        <v>0</v>
      </c>
      <c r="AJ3962" s="28"/>
      <c r="AK3962" s="28" t="n">
        <f aca="false">AJ3962*$M3962</f>
        <v>0</v>
      </c>
      <c r="AL3962" s="28"/>
      <c r="AM3962" s="28" t="n">
        <f aca="false">AL3962*$M3962</f>
        <v>0</v>
      </c>
      <c r="AN3962" s="28"/>
      <c r="AO3962" s="28" t="n">
        <f aca="false">AN3962*$M3962</f>
        <v>0</v>
      </c>
      <c r="AP3962" s="28"/>
      <c r="AQ3962" s="28" t="n">
        <f aca="false">AP3962*$M3962</f>
        <v>0</v>
      </c>
      <c r="AR3962" s="28"/>
      <c r="AS3962" s="28" t="n">
        <f aca="false">AR3962*$M3962</f>
        <v>0</v>
      </c>
      <c r="AT3962" s="28"/>
      <c r="AU3962" s="28" t="n">
        <f aca="false">AT3962*$M3962</f>
        <v>0</v>
      </c>
      <c r="AV3962" s="28"/>
      <c r="AW3962" s="28" t="n">
        <f aca="false">AV3962*$M3962</f>
        <v>0</v>
      </c>
      <c r="AX3962" s="28"/>
      <c r="AY3962" s="28" t="n">
        <f aca="false">AX3962*$M3962</f>
        <v>0</v>
      </c>
      <c r="AZ3962" s="30" t="n">
        <f aca="false">2364/100</f>
        <v>23.64</v>
      </c>
      <c r="BA3962" s="11" t="n">
        <v>2837</v>
      </c>
      <c r="BB3962" s="31" t="n">
        <f aca="false">SUM(Q3962,S3962,U3962,W3962,Y3962,AA3962,AC3962,AE3962,AG3962,AI3962,AK3962,AM3962,AO3962,AQ3962,AS3962,AU3962,AW3962,AY3962)</f>
        <v>2837</v>
      </c>
      <c r="BC3962" s="28" t="n">
        <f aca="false">BA3962-BB3962</f>
        <v>0</v>
      </c>
      <c r="BD3962" s="32" t="n">
        <f aca="false">SUM(P3962,R3962,T3962,V3962,X3962,Z3962,AB3962,AD3962,AF3962,AH3962,AJ3962,AL3962,AN3962,AP3962,AR3962,AT3962,AV3962,AX3962)</f>
        <v>23.64</v>
      </c>
      <c r="BE3962" s="33" t="n">
        <f aca="false">AZ3962-BD3962</f>
        <v>0</v>
      </c>
      <c r="BF3962" s="34" t="n">
        <f aca="false">BD3962*M3962</f>
        <v>2836.8</v>
      </c>
      <c r="BG3962" s="35" t="n">
        <f aca="false">BA3962-BF3962</f>
        <v>0.199999999999818</v>
      </c>
      <c r="BH3962" s="19" t="str">
        <f aca="false">IF(BG3962=0,"",IF(BG3962&lt;&gt;BA3962,"erreur de calcul",IF(BD3962&lt;&gt;0,"pas de prix",IF(M3962&lt;&gt; 0,"pas de quantité","pas de prix, ni de quantité"))))</f>
        <v>erreur de calcul</v>
      </c>
      <c r="BI3962" s="19"/>
    </row>
    <row r="3963" customFormat="false" ht="15" hidden="false" customHeight="false" outlineLevel="0" collapsed="false">
      <c r="A3963" s="0" t="n">
        <v>23</v>
      </c>
      <c r="B3963" s="8" t="s">
        <v>24</v>
      </c>
      <c r="C3963" s="9" t="s">
        <v>25</v>
      </c>
      <c r="D3963" s="9" t="s">
        <v>26</v>
      </c>
      <c r="E3963" s="10" t="n">
        <v>1789</v>
      </c>
      <c r="F3963" s="9" t="s">
        <v>27</v>
      </c>
      <c r="G3963" s="9" t="s">
        <v>27</v>
      </c>
      <c r="H3963" s="11" t="n">
        <v>21</v>
      </c>
      <c r="I3963" s="11" t="s">
        <v>176</v>
      </c>
      <c r="J3963" s="14" t="n">
        <v>170</v>
      </c>
      <c r="K3963" s="14"/>
      <c r="L3963" s="16"/>
      <c r="M3963" s="27" t="n">
        <f aca="false">J3963+(K3963/20)+(L3963/240)</f>
        <v>170</v>
      </c>
      <c r="N3963" s="17" t="s">
        <v>64</v>
      </c>
      <c r="O3963" s="11"/>
      <c r="P3963" s="28" t="n">
        <f aca="false">9760/100</f>
        <v>97.6</v>
      </c>
      <c r="Q3963" s="28" t="n">
        <v>16592</v>
      </c>
      <c r="R3963" s="28"/>
      <c r="S3963" s="28" t="n">
        <f aca="false">R3963*$M3963</f>
        <v>0</v>
      </c>
      <c r="T3963" s="28"/>
      <c r="U3963" s="28" t="n">
        <f aca="false">T3963*$M3963</f>
        <v>0</v>
      </c>
      <c r="V3963" s="28"/>
      <c r="W3963" s="28" t="n">
        <f aca="false">V3963*$M3963</f>
        <v>0</v>
      </c>
      <c r="X3963" s="28" t="n">
        <f aca="false">1589/100</f>
        <v>15.89</v>
      </c>
      <c r="Y3963" s="28" t="n">
        <v>2701</v>
      </c>
      <c r="Z3963" s="28"/>
      <c r="AA3963" s="28" t="n">
        <f aca="false">Z3963*$M3963</f>
        <v>0</v>
      </c>
      <c r="AB3963" s="28"/>
      <c r="AC3963" s="28" t="n">
        <f aca="false">AB3963*$M3963</f>
        <v>0</v>
      </c>
      <c r="AD3963" s="28"/>
      <c r="AE3963" s="28" t="n">
        <f aca="false">AD3963*$M3963</f>
        <v>0</v>
      </c>
      <c r="AF3963" s="28"/>
      <c r="AG3963" s="28" t="n">
        <f aca="false">AF3963*$M3963</f>
        <v>0</v>
      </c>
      <c r="AH3963" s="28"/>
      <c r="AI3963" s="28" t="n">
        <f aca="false">AH3963*$M3963</f>
        <v>0</v>
      </c>
      <c r="AJ3963" s="28"/>
      <c r="AK3963" s="28" t="n">
        <f aca="false">AJ3963*$M3963</f>
        <v>0</v>
      </c>
      <c r="AL3963" s="28"/>
      <c r="AM3963" s="28" t="n">
        <f aca="false">AL3963*$M3963</f>
        <v>0</v>
      </c>
      <c r="AN3963" s="28"/>
      <c r="AO3963" s="28" t="n">
        <f aca="false">AN3963*$M3963</f>
        <v>0</v>
      </c>
      <c r="AP3963" s="28"/>
      <c r="AQ3963" s="28" t="n">
        <f aca="false">AP3963*$M3963</f>
        <v>0</v>
      </c>
      <c r="AR3963" s="28"/>
      <c r="AS3963" s="28" t="n">
        <f aca="false">AR3963*$M3963</f>
        <v>0</v>
      </c>
      <c r="AT3963" s="28"/>
      <c r="AU3963" s="28" t="n">
        <f aca="false">AT3963*$M3963</f>
        <v>0</v>
      </c>
      <c r="AV3963" s="28"/>
      <c r="AW3963" s="28" t="n">
        <f aca="false">AV3963*$M3963</f>
        <v>0</v>
      </c>
      <c r="AX3963" s="28"/>
      <c r="AY3963" s="28" t="n">
        <f aca="false">AX3963*$M3963</f>
        <v>0</v>
      </c>
      <c r="AZ3963" s="30" t="n">
        <f aca="false">11349/100</f>
        <v>113.49</v>
      </c>
      <c r="BA3963" s="11" t="n">
        <v>19293</v>
      </c>
      <c r="BB3963" s="31" t="n">
        <f aca="false">SUM(Q3963,S3963,U3963,W3963,Y3963,AA3963,AC3963,AE3963,AG3963,AI3963,AK3963,AM3963,AO3963,AQ3963,AS3963,AU3963,AW3963,AY3963)</f>
        <v>19293</v>
      </c>
      <c r="BC3963" s="28" t="n">
        <f aca="false">BA3963-BB3963</f>
        <v>0</v>
      </c>
      <c r="BD3963" s="32" t="n">
        <f aca="false">SUM(P3963,R3963,T3963,V3963,X3963,Z3963,AB3963,AD3963,AF3963,AH3963,AJ3963,AL3963,AN3963,AP3963,AR3963,AT3963,AV3963,AX3963)</f>
        <v>113.49</v>
      </c>
      <c r="BE3963" s="33" t="n">
        <f aca="false">AZ3963-BD3963</f>
        <v>0</v>
      </c>
      <c r="BF3963" s="34" t="n">
        <f aca="false">BD3963*M3963</f>
        <v>19293.3</v>
      </c>
      <c r="BG3963" s="35" t="n">
        <f aca="false">BA3963-BF3963</f>
        <v>-0.299999999999272</v>
      </c>
      <c r="BH3963" s="19" t="str">
        <f aca="false">IF(BG3963=0,"",IF(BG3963&lt;&gt;BA3963,"erreur de calcul",IF(BD3963&lt;&gt;0,"pas de prix",IF(M3963&lt;&gt; 0,"pas de quantité","pas de prix, ni de quantité"))))</f>
        <v>erreur de calcul</v>
      </c>
      <c r="BI3963" s="19"/>
    </row>
    <row r="3964" customFormat="false" ht="15" hidden="false" customHeight="false" outlineLevel="0" collapsed="false">
      <c r="A3964" s="0" t="n">
        <v>24</v>
      </c>
      <c r="B3964" s="8" t="s">
        <v>24</v>
      </c>
      <c r="C3964" s="9" t="s">
        <v>25</v>
      </c>
      <c r="D3964" s="9" t="s">
        <v>26</v>
      </c>
      <c r="E3964" s="10" t="n">
        <v>1789</v>
      </c>
      <c r="F3964" s="9" t="s">
        <v>27</v>
      </c>
      <c r="G3964" s="9" t="s">
        <v>27</v>
      </c>
      <c r="H3964" s="11" t="n">
        <v>21</v>
      </c>
      <c r="I3964" s="11" t="s">
        <v>177</v>
      </c>
      <c r="J3964" s="14" t="n">
        <v>9</v>
      </c>
      <c r="K3964" s="14"/>
      <c r="L3964" s="16"/>
      <c r="M3964" s="27" t="n">
        <f aca="false">J3964+(K3964/20)+(L3964/240)</f>
        <v>9</v>
      </c>
      <c r="N3964" s="17" t="s">
        <v>66</v>
      </c>
      <c r="O3964" s="11"/>
      <c r="P3964" s="28"/>
      <c r="Q3964" s="28" t="n">
        <f aca="false">P3964*$M3964</f>
        <v>0</v>
      </c>
      <c r="R3964" s="28" t="n">
        <v>349</v>
      </c>
      <c r="S3964" s="28" t="n">
        <v>3141</v>
      </c>
      <c r="T3964" s="28"/>
      <c r="U3964" s="28" t="n">
        <f aca="false">T3964*$M3964</f>
        <v>0</v>
      </c>
      <c r="V3964" s="28" t="n">
        <v>315</v>
      </c>
      <c r="W3964" s="28" t="n">
        <v>2835</v>
      </c>
      <c r="X3964" s="28" t="n">
        <v>733</v>
      </c>
      <c r="Y3964" s="28" t="n">
        <v>6597</v>
      </c>
      <c r="Z3964" s="28"/>
      <c r="AA3964" s="28" t="n">
        <f aca="false">Z3964*$M3964</f>
        <v>0</v>
      </c>
      <c r="AB3964" s="28" t="n">
        <v>162</v>
      </c>
      <c r="AC3964" s="28" t="n">
        <v>1458</v>
      </c>
      <c r="AD3964" s="28"/>
      <c r="AE3964" s="28" t="n">
        <f aca="false">AD3964*$M3964</f>
        <v>0</v>
      </c>
      <c r="AF3964" s="28"/>
      <c r="AG3964" s="28" t="n">
        <f aca="false">AF3964*$M3964</f>
        <v>0</v>
      </c>
      <c r="AH3964" s="28"/>
      <c r="AI3964" s="28" t="n">
        <f aca="false">AH3964*$M3964</f>
        <v>0</v>
      </c>
      <c r="AJ3964" s="28"/>
      <c r="AK3964" s="28" t="n">
        <f aca="false">AJ3964*$M3964</f>
        <v>0</v>
      </c>
      <c r="AL3964" s="28"/>
      <c r="AM3964" s="28" t="n">
        <f aca="false">AL3964*$M3964</f>
        <v>0</v>
      </c>
      <c r="AN3964" s="28"/>
      <c r="AO3964" s="28" t="n">
        <f aca="false">AN3964*$M3964</f>
        <v>0</v>
      </c>
      <c r="AP3964" s="28"/>
      <c r="AQ3964" s="28" t="n">
        <f aca="false">AP3964*$M3964</f>
        <v>0</v>
      </c>
      <c r="AR3964" s="28"/>
      <c r="AS3964" s="28" t="n">
        <f aca="false">AR3964*$M3964</f>
        <v>0</v>
      </c>
      <c r="AT3964" s="28"/>
      <c r="AU3964" s="28" t="n">
        <f aca="false">AT3964*$M3964</f>
        <v>0</v>
      </c>
      <c r="AV3964" s="28"/>
      <c r="AW3964" s="28" t="n">
        <f aca="false">AV3964*$M3964</f>
        <v>0</v>
      </c>
      <c r="AX3964" s="28"/>
      <c r="AY3964" s="28" t="n">
        <f aca="false">AX3964*$M3964</f>
        <v>0</v>
      </c>
      <c r="AZ3964" s="30" t="n">
        <f aca="false">1559</f>
        <v>1559</v>
      </c>
      <c r="BA3964" s="11" t="n">
        <v>14031</v>
      </c>
      <c r="BB3964" s="31" t="n">
        <f aca="false">SUM(Q3964,S3964,U3964,W3964,Y3964,AA3964,AC3964,AE3964,AG3964,AI3964,AK3964,AM3964,AO3964,AQ3964,AS3964,AU3964,AW3964,AY3964)</f>
        <v>14031</v>
      </c>
      <c r="BC3964" s="28" t="n">
        <f aca="false">BA3964-BB3964</f>
        <v>0</v>
      </c>
      <c r="BD3964" s="32" t="n">
        <f aca="false">SUM(P3964,R3964,T3964,V3964,X3964,Z3964,AB3964,AD3964,AF3964,AH3964,AJ3964,AL3964,AN3964,AP3964,AR3964,AT3964,AV3964,AX3964)</f>
        <v>1559</v>
      </c>
      <c r="BE3964" s="33" t="n">
        <f aca="false">AZ3964-BD3964</f>
        <v>0</v>
      </c>
      <c r="BF3964" s="34" t="n">
        <f aca="false">BD3964*M3964</f>
        <v>14031</v>
      </c>
      <c r="BG3964" s="35" t="n">
        <f aca="false">BA3964-BF3964</f>
        <v>0</v>
      </c>
      <c r="BH3964" s="19" t="str">
        <f aca="false">IF(BG3964=0,"",IF(BG3964&lt;&gt;BA3964,"erreur de calcul",IF(BD3964&lt;&gt;0,"pas de prix",IF(M3964&lt;&gt; 0,"pas de quantité","pas de prix, ni de quantité"))))</f>
        <v/>
      </c>
      <c r="BI3964" s="19"/>
    </row>
    <row r="3965" customFormat="false" ht="15" hidden="false" customHeight="false" outlineLevel="0" collapsed="false">
      <c r="A3965" s="0" t="n">
        <v>25</v>
      </c>
      <c r="B3965" s="8" t="s">
        <v>24</v>
      </c>
      <c r="C3965" s="9" t="s">
        <v>25</v>
      </c>
      <c r="D3965" s="9" t="s">
        <v>26</v>
      </c>
      <c r="E3965" s="10" t="n">
        <v>1789</v>
      </c>
      <c r="F3965" s="9" t="s">
        <v>27</v>
      </c>
      <c r="G3965" s="9" t="s">
        <v>27</v>
      </c>
      <c r="H3965" s="11" t="n">
        <v>21</v>
      </c>
      <c r="I3965" s="11" t="s">
        <v>178</v>
      </c>
      <c r="J3965" s="14" t="n">
        <v>125</v>
      </c>
      <c r="K3965" s="14"/>
      <c r="L3965" s="16"/>
      <c r="M3965" s="27" t="n">
        <f aca="false">J3965+(K3965/20)+(L3965/240)</f>
        <v>125</v>
      </c>
      <c r="N3965" s="17" t="s">
        <v>64</v>
      </c>
      <c r="O3965" s="11"/>
      <c r="P3965" s="28"/>
      <c r="Q3965" s="28" t="n">
        <f aca="false">P3965*$M3965</f>
        <v>0</v>
      </c>
      <c r="R3965" s="28"/>
      <c r="S3965" s="28" t="n">
        <f aca="false">R3965*$M3965</f>
        <v>0</v>
      </c>
      <c r="T3965" s="28"/>
      <c r="U3965" s="28" t="n">
        <f aca="false">T3965*$M3965</f>
        <v>0</v>
      </c>
      <c r="V3965" s="28" t="n">
        <f aca="false">10764/100</f>
        <v>107.64</v>
      </c>
      <c r="W3965" s="28" t="n">
        <v>13455</v>
      </c>
      <c r="X3965" s="28" t="n">
        <f aca="false">13215/100</f>
        <v>132.15</v>
      </c>
      <c r="Y3965" s="28" t="n">
        <v>16519</v>
      </c>
      <c r="Z3965" s="28"/>
      <c r="AA3965" s="28" t="n">
        <f aca="false">Z3965*$M3965</f>
        <v>0</v>
      </c>
      <c r="AB3965" s="28" t="n">
        <f aca="false">188461/100</f>
        <v>1884.61</v>
      </c>
      <c r="AC3965" s="28" t="n">
        <v>235576</v>
      </c>
      <c r="AD3965" s="28"/>
      <c r="AE3965" s="28" t="n">
        <f aca="false">AD3965*$M3965</f>
        <v>0</v>
      </c>
      <c r="AF3965" s="28"/>
      <c r="AG3965" s="28" t="n">
        <f aca="false">AF3965*$M3965</f>
        <v>0</v>
      </c>
      <c r="AH3965" s="28"/>
      <c r="AI3965" s="28" t="n">
        <f aca="false">AH3965*$M3965</f>
        <v>0</v>
      </c>
      <c r="AJ3965" s="28"/>
      <c r="AK3965" s="28" t="n">
        <f aca="false">AJ3965*$M3965</f>
        <v>0</v>
      </c>
      <c r="AL3965" s="28"/>
      <c r="AM3965" s="28" t="n">
        <f aca="false">AL3965*$M3965</f>
        <v>0</v>
      </c>
      <c r="AN3965" s="28"/>
      <c r="AO3965" s="28" t="n">
        <f aca="false">AN3965*$M3965</f>
        <v>0</v>
      </c>
      <c r="AP3965" s="28"/>
      <c r="AQ3965" s="28" t="n">
        <f aca="false">AP3965*$M3965</f>
        <v>0</v>
      </c>
      <c r="AR3965" s="28"/>
      <c r="AS3965" s="28" t="n">
        <f aca="false">AR3965*$M3965</f>
        <v>0</v>
      </c>
      <c r="AT3965" s="28"/>
      <c r="AU3965" s="28" t="n">
        <f aca="false">AT3965*$M3965</f>
        <v>0</v>
      </c>
      <c r="AV3965" s="28"/>
      <c r="AW3965" s="28" t="n">
        <f aca="false">AV3965*$M3965</f>
        <v>0</v>
      </c>
      <c r="AX3965" s="28"/>
      <c r="AY3965" s="28" t="n">
        <f aca="false">AX3965*$M3965</f>
        <v>0</v>
      </c>
      <c r="AZ3965" s="30" t="n">
        <f aca="false">212440/100</f>
        <v>2124.4</v>
      </c>
      <c r="BA3965" s="11" t="n">
        <v>265550</v>
      </c>
      <c r="BB3965" s="31" t="n">
        <f aca="false">SUM(Q3965,S3965,U3965,W3965,Y3965,AA3965,AC3965,AE3965,AG3965,AI3965,AK3965,AM3965,AO3965,AQ3965,AS3965,AU3965,AW3965,AY3965)</f>
        <v>265550</v>
      </c>
      <c r="BC3965" s="28" t="n">
        <f aca="false">BA3965-BB3965</f>
        <v>0</v>
      </c>
      <c r="BD3965" s="32" t="n">
        <f aca="false">SUM(P3965,R3965,T3965,V3965,X3965,Z3965,AB3965,AD3965,AF3965,AH3965,AJ3965,AL3965,AN3965,AP3965,AR3965,AT3965,AV3965,AX3965)</f>
        <v>2124.4</v>
      </c>
      <c r="BE3965" s="33" t="n">
        <f aca="false">AZ3965-BD3965</f>
        <v>0</v>
      </c>
      <c r="BF3965" s="34" t="n">
        <f aca="false">BD3965*M3965</f>
        <v>265550</v>
      </c>
      <c r="BG3965" s="35" t="n">
        <f aca="false">BA3965-BF3965</f>
        <v>0</v>
      </c>
      <c r="BH3965" s="19" t="str">
        <f aca="false">IF(BG3965=0,"",IF(BG3965&lt;&gt;BA3965,"erreur de calcul",IF(BD3965&lt;&gt;0,"pas de prix",IF(M3965&lt;&gt; 0,"pas de quantité","pas de prix, ni de quantité"))))</f>
        <v/>
      </c>
      <c r="BI3965" s="19"/>
    </row>
    <row r="3966" customFormat="false" ht="15" hidden="false" customHeight="false" outlineLevel="0" collapsed="false">
      <c r="A3966" s="0" t="n">
        <v>26</v>
      </c>
      <c r="B3966" s="8" t="s">
        <v>24</v>
      </c>
      <c r="C3966" s="9" t="s">
        <v>25</v>
      </c>
      <c r="D3966" s="9" t="s">
        <v>26</v>
      </c>
      <c r="E3966" s="10" t="n">
        <v>1789</v>
      </c>
      <c r="F3966" s="9" t="s">
        <v>27</v>
      </c>
      <c r="G3966" s="9" t="s">
        <v>27</v>
      </c>
      <c r="H3966" s="11" t="n">
        <v>21</v>
      </c>
      <c r="I3966" s="11" t="s">
        <v>179</v>
      </c>
      <c r="J3966" s="14" t="n">
        <v>7</v>
      </c>
      <c r="K3966" s="14"/>
      <c r="L3966" s="16"/>
      <c r="M3966" s="27" t="n">
        <f aca="false">J3966+(K3966/20)+(L3966/240)</f>
        <v>7</v>
      </c>
      <c r="N3966" s="17" t="s">
        <v>66</v>
      </c>
      <c r="O3966" s="11"/>
      <c r="P3966" s="28" t="n">
        <v>8441</v>
      </c>
      <c r="Q3966" s="28" t="n">
        <v>59087</v>
      </c>
      <c r="R3966" s="28"/>
      <c r="S3966" s="28" t="n">
        <f aca="false">R3966*$M3966</f>
        <v>0</v>
      </c>
      <c r="T3966" s="28"/>
      <c r="U3966" s="28" t="n">
        <f aca="false">T3966*$M3966</f>
        <v>0</v>
      </c>
      <c r="V3966" s="28"/>
      <c r="W3966" s="28" t="n">
        <f aca="false">V3966*$M3966</f>
        <v>0</v>
      </c>
      <c r="X3966" s="28"/>
      <c r="Y3966" s="28" t="n">
        <f aca="false">X3966*$M3966</f>
        <v>0</v>
      </c>
      <c r="Z3966" s="28" t="n">
        <v>357</v>
      </c>
      <c r="AA3966" s="28" t="n">
        <v>2499</v>
      </c>
      <c r="AB3966" s="28"/>
      <c r="AC3966" s="28" t="n">
        <f aca="false">AB3966*$M3966</f>
        <v>0</v>
      </c>
      <c r="AD3966" s="28"/>
      <c r="AE3966" s="28" t="n">
        <f aca="false">AD3966*$M3966</f>
        <v>0</v>
      </c>
      <c r="AF3966" s="28"/>
      <c r="AG3966" s="28" t="n">
        <f aca="false">AF3966*$M3966</f>
        <v>0</v>
      </c>
      <c r="AH3966" s="28"/>
      <c r="AI3966" s="28" t="n">
        <f aca="false">AH3966*$M3966</f>
        <v>0</v>
      </c>
      <c r="AJ3966" s="28"/>
      <c r="AK3966" s="28" t="n">
        <f aca="false">AJ3966*$M3966</f>
        <v>0</v>
      </c>
      <c r="AL3966" s="28"/>
      <c r="AM3966" s="28" t="n">
        <f aca="false">AL3966*$M3966</f>
        <v>0</v>
      </c>
      <c r="AN3966" s="28"/>
      <c r="AO3966" s="28" t="n">
        <f aca="false">AN3966*$M3966</f>
        <v>0</v>
      </c>
      <c r="AP3966" s="28"/>
      <c r="AQ3966" s="28" t="n">
        <f aca="false">AP3966*$M3966</f>
        <v>0</v>
      </c>
      <c r="AR3966" s="28"/>
      <c r="AS3966" s="28" t="n">
        <f aca="false">AR3966*$M3966</f>
        <v>0</v>
      </c>
      <c r="AT3966" s="28"/>
      <c r="AU3966" s="28" t="n">
        <f aca="false">AT3966*$M3966</f>
        <v>0</v>
      </c>
      <c r="AV3966" s="28"/>
      <c r="AW3966" s="28" t="n">
        <f aca="false">AV3966*$M3966</f>
        <v>0</v>
      </c>
      <c r="AX3966" s="28"/>
      <c r="AY3966" s="28" t="n">
        <f aca="false">AX3966*$M3966</f>
        <v>0</v>
      </c>
      <c r="AZ3966" s="30" t="n">
        <v>8798</v>
      </c>
      <c r="BA3966" s="11" t="n">
        <v>61586</v>
      </c>
      <c r="BB3966" s="31" t="n">
        <f aca="false">SUM(Q3966,S3966,U3966,W3966,Y3966,AA3966,AC3966,AE3966,AG3966,AI3966,AK3966,AM3966,AO3966,AQ3966,AS3966,AU3966,AW3966,AY3966)</f>
        <v>61586</v>
      </c>
      <c r="BC3966" s="28" t="n">
        <f aca="false">BA3966-BB3966</f>
        <v>0</v>
      </c>
      <c r="BD3966" s="32" t="n">
        <f aca="false">SUM(P3966,R3966,T3966,V3966,X3966,Z3966,AB3966,AD3966,AF3966,AH3966,AJ3966,AL3966,AN3966,AP3966,AR3966,AT3966,AV3966,AX3966)</f>
        <v>8798</v>
      </c>
      <c r="BE3966" s="33" t="n">
        <f aca="false">AZ3966-BD3966</f>
        <v>0</v>
      </c>
      <c r="BF3966" s="34" t="n">
        <f aca="false">BD3966*M3966</f>
        <v>61586</v>
      </c>
      <c r="BG3966" s="35" t="n">
        <f aca="false">BA3966-BF3966</f>
        <v>0</v>
      </c>
      <c r="BH3966" s="19" t="str">
        <f aca="false">IF(BG3966=0,"",IF(BG3966&lt;&gt;BA3966,"erreur de calcul",IF(BD3966&lt;&gt;0,"pas de prix",IF(M3966&lt;&gt; 0,"pas de quantité","pas de prix, ni de quantité"))))</f>
        <v/>
      </c>
      <c r="BI3966" s="19"/>
    </row>
    <row r="3967" customFormat="false" ht="15" hidden="false" customHeight="false" outlineLevel="0" collapsed="false">
      <c r="A3967" s="0" t="n">
        <v>27</v>
      </c>
      <c r="B3967" s="8" t="s">
        <v>24</v>
      </c>
      <c r="C3967" s="9" t="s">
        <v>25</v>
      </c>
      <c r="D3967" s="9" t="s">
        <v>26</v>
      </c>
      <c r="E3967" s="10" t="n">
        <v>1789</v>
      </c>
      <c r="F3967" s="9" t="s">
        <v>27</v>
      </c>
      <c r="G3967" s="9" t="s">
        <v>27</v>
      </c>
      <c r="H3967" s="11" t="n">
        <v>21</v>
      </c>
      <c r="I3967" s="11" t="s">
        <v>180</v>
      </c>
      <c r="J3967" s="14" t="n">
        <v>9</v>
      </c>
      <c r="K3967" s="14"/>
      <c r="L3967" s="16"/>
      <c r="M3967" s="27" t="n">
        <f aca="false">J3967+(K3967/20)+(L3967/240)</f>
        <v>9</v>
      </c>
      <c r="N3967" s="17" t="s">
        <v>64</v>
      </c>
      <c r="O3967" s="11"/>
      <c r="P3967" s="28" t="n">
        <f aca="false">22662/100</f>
        <v>226.62</v>
      </c>
      <c r="Q3967" s="28" t="n">
        <v>2039</v>
      </c>
      <c r="R3967" s="28"/>
      <c r="S3967" s="28" t="n">
        <f aca="false">R3967*$M3967</f>
        <v>0</v>
      </c>
      <c r="T3967" s="28"/>
      <c r="U3967" s="28" t="n">
        <f aca="false">T3967*$M3967</f>
        <v>0</v>
      </c>
      <c r="V3967" s="28"/>
      <c r="W3967" s="28" t="n">
        <f aca="false">V3967*$M3967</f>
        <v>0</v>
      </c>
      <c r="X3967" s="28"/>
      <c r="Y3967" s="28" t="n">
        <f aca="false">X3967*$M3967</f>
        <v>0</v>
      </c>
      <c r="Z3967" s="28"/>
      <c r="AA3967" s="28" t="n">
        <f aca="false">Z3967*$M3967</f>
        <v>0</v>
      </c>
      <c r="AB3967" s="28"/>
      <c r="AC3967" s="28" t="n">
        <f aca="false">AB3967*$M3967</f>
        <v>0</v>
      </c>
      <c r="AD3967" s="28"/>
      <c r="AE3967" s="28" t="n">
        <f aca="false">AD3967*$M3967</f>
        <v>0</v>
      </c>
      <c r="AF3967" s="28"/>
      <c r="AG3967" s="28" t="n">
        <f aca="false">AF3967*$M3967</f>
        <v>0</v>
      </c>
      <c r="AH3967" s="28"/>
      <c r="AI3967" s="28" t="n">
        <f aca="false">AH3967*$M3967</f>
        <v>0</v>
      </c>
      <c r="AJ3967" s="28"/>
      <c r="AK3967" s="28" t="n">
        <f aca="false">AJ3967*$M3967</f>
        <v>0</v>
      </c>
      <c r="AL3967" s="28"/>
      <c r="AM3967" s="28" t="n">
        <f aca="false">AL3967*$M3967</f>
        <v>0</v>
      </c>
      <c r="AN3967" s="28"/>
      <c r="AO3967" s="28" t="n">
        <f aca="false">AN3967*$M3967</f>
        <v>0</v>
      </c>
      <c r="AP3967" s="28"/>
      <c r="AQ3967" s="28" t="n">
        <f aca="false">AP3967*$M3967</f>
        <v>0</v>
      </c>
      <c r="AR3967" s="28"/>
      <c r="AS3967" s="28" t="n">
        <f aca="false">AR3967*$M3967</f>
        <v>0</v>
      </c>
      <c r="AT3967" s="28"/>
      <c r="AU3967" s="28" t="n">
        <f aca="false">AT3967*$M3967</f>
        <v>0</v>
      </c>
      <c r="AV3967" s="28"/>
      <c r="AW3967" s="28" t="n">
        <f aca="false">AV3967*$M3967</f>
        <v>0</v>
      </c>
      <c r="AX3967" s="28"/>
      <c r="AY3967" s="28" t="n">
        <f aca="false">AX3967*$M3967</f>
        <v>0</v>
      </c>
      <c r="AZ3967" s="30" t="n">
        <f aca="false">22662/100</f>
        <v>226.62</v>
      </c>
      <c r="BA3967" s="11" t="n">
        <v>2039</v>
      </c>
      <c r="BB3967" s="31" t="n">
        <f aca="false">SUM(Q3967,S3967,U3967,W3967,Y3967,AA3967,AC3967,AE3967,AG3967,AI3967,AK3967,AM3967,AO3967,AQ3967,AS3967,AU3967,AW3967,AY3967)</f>
        <v>2039</v>
      </c>
      <c r="BC3967" s="28" t="n">
        <f aca="false">BA3967-BB3967</f>
        <v>0</v>
      </c>
      <c r="BD3967" s="32" t="n">
        <f aca="false">SUM(P3967,R3967,T3967,V3967,X3967,Z3967,AB3967,AD3967,AF3967,AH3967,AJ3967,AL3967,AN3967,AP3967,AR3967,AT3967,AV3967,AX3967)</f>
        <v>226.62</v>
      </c>
      <c r="BE3967" s="33" t="n">
        <f aca="false">AZ3967-BD3967</f>
        <v>0</v>
      </c>
      <c r="BF3967" s="34" t="n">
        <f aca="false">BD3967*M3967</f>
        <v>2039.58</v>
      </c>
      <c r="BG3967" s="35" t="n">
        <f aca="false">BA3967-BF3967</f>
        <v>-0.579999999999927</v>
      </c>
      <c r="BH3967" s="19" t="str">
        <f aca="false">IF(BG3967=0,"",IF(BG3967&lt;&gt;BA3967,"erreur de calcul",IF(BD3967&lt;&gt;0,"pas de prix",IF(M3967&lt;&gt; 0,"pas de quantité","pas de prix, ni de quantité"))))</f>
        <v>erreur de calcul</v>
      </c>
      <c r="BI3967" s="19"/>
    </row>
    <row r="3968" customFormat="false" ht="15" hidden="false" customHeight="false" outlineLevel="0" collapsed="false">
      <c r="A3968" s="0" t="n">
        <v>28</v>
      </c>
      <c r="B3968" s="8" t="s">
        <v>24</v>
      </c>
      <c r="C3968" s="9" t="s">
        <v>25</v>
      </c>
      <c r="D3968" s="9" t="s">
        <v>26</v>
      </c>
      <c r="E3968" s="10" t="n">
        <v>1789</v>
      </c>
      <c r="F3968" s="9" t="s">
        <v>27</v>
      </c>
      <c r="G3968" s="9" t="s">
        <v>27</v>
      </c>
      <c r="H3968" s="11" t="n">
        <v>21</v>
      </c>
      <c r="I3968" s="11" t="s">
        <v>181</v>
      </c>
      <c r="J3968" s="14" t="n">
        <v>8</v>
      </c>
      <c r="K3968" s="14" t="n">
        <v>10</v>
      </c>
      <c r="L3968" s="16"/>
      <c r="M3968" s="27" t="n">
        <f aca="false">J3968+(K3968/20)+(L3968/240)</f>
        <v>8.5</v>
      </c>
      <c r="N3968" s="17" t="s">
        <v>66</v>
      </c>
      <c r="O3968" s="11"/>
      <c r="P3968" s="28" t="n">
        <v>1770</v>
      </c>
      <c r="Q3968" s="28" t="n">
        <v>15045</v>
      </c>
      <c r="R3968" s="28"/>
      <c r="S3968" s="28" t="n">
        <f aca="false">R3968*$M3968</f>
        <v>0</v>
      </c>
      <c r="T3968" s="28"/>
      <c r="U3968" s="28" t="n">
        <f aca="false">T3968*$M3968</f>
        <v>0</v>
      </c>
      <c r="V3968" s="28"/>
      <c r="W3968" s="28" t="n">
        <f aca="false">V3968*$M3968</f>
        <v>0</v>
      </c>
      <c r="X3968" s="28"/>
      <c r="Y3968" s="28" t="n">
        <f aca="false">X3968*$M3968</f>
        <v>0</v>
      </c>
      <c r="Z3968" s="28"/>
      <c r="AA3968" s="28" t="n">
        <f aca="false">Z3968*$M3968</f>
        <v>0</v>
      </c>
      <c r="AB3968" s="28"/>
      <c r="AC3968" s="28" t="n">
        <f aca="false">AB3968*$M3968</f>
        <v>0</v>
      </c>
      <c r="AD3968" s="28"/>
      <c r="AE3968" s="28" t="n">
        <f aca="false">AD3968*$M3968</f>
        <v>0</v>
      </c>
      <c r="AF3968" s="28"/>
      <c r="AG3968" s="28" t="n">
        <f aca="false">AF3968*$M3968</f>
        <v>0</v>
      </c>
      <c r="AH3968" s="28" t="n">
        <v>323</v>
      </c>
      <c r="AI3968" s="28" t="n">
        <v>2745</v>
      </c>
      <c r="AJ3968" s="28"/>
      <c r="AK3968" s="28" t="n">
        <f aca="false">AJ3968*$M3968</f>
        <v>0</v>
      </c>
      <c r="AL3968" s="28"/>
      <c r="AM3968" s="28" t="n">
        <f aca="false">AL3968*$M3968</f>
        <v>0</v>
      </c>
      <c r="AN3968" s="28"/>
      <c r="AO3968" s="28" t="n">
        <f aca="false">AN3968*$M3968</f>
        <v>0</v>
      </c>
      <c r="AP3968" s="28"/>
      <c r="AQ3968" s="28" t="n">
        <f aca="false">AP3968*$M3968</f>
        <v>0</v>
      </c>
      <c r="AR3968" s="28"/>
      <c r="AS3968" s="28" t="n">
        <f aca="false">AR3968*$M3968</f>
        <v>0</v>
      </c>
      <c r="AT3968" s="28"/>
      <c r="AU3968" s="28" t="n">
        <f aca="false">AT3968*$M3968</f>
        <v>0</v>
      </c>
      <c r="AV3968" s="28"/>
      <c r="AW3968" s="28" t="n">
        <f aca="false">AV3968*$M3968</f>
        <v>0</v>
      </c>
      <c r="AX3968" s="28"/>
      <c r="AY3968" s="28" t="n">
        <f aca="false">AX3968*$M3968</f>
        <v>0</v>
      </c>
      <c r="AZ3968" s="30" t="n">
        <v>2093</v>
      </c>
      <c r="BA3968" s="11" t="n">
        <v>17790</v>
      </c>
      <c r="BB3968" s="31" t="n">
        <f aca="false">SUM(Q3968,S3968,U3968,W3968,Y3968,AA3968,AC3968,AE3968,AG3968,AI3968,AK3968,AM3968,AO3968,AQ3968,AS3968,AU3968,AW3968,AY3968)</f>
        <v>17790</v>
      </c>
      <c r="BC3968" s="28" t="n">
        <f aca="false">BA3968-BB3968</f>
        <v>0</v>
      </c>
      <c r="BD3968" s="32" t="n">
        <f aca="false">SUM(P3968,R3968,T3968,V3968,X3968,Z3968,AB3968,AD3968,AF3968,AH3968,AJ3968,AL3968,AN3968,AP3968,AR3968,AT3968,AV3968,AX3968)</f>
        <v>2093</v>
      </c>
      <c r="BE3968" s="33" t="n">
        <f aca="false">AZ3968-BD3968</f>
        <v>0</v>
      </c>
      <c r="BF3968" s="34" t="n">
        <f aca="false">BD3968*M3968</f>
        <v>17790.5</v>
      </c>
      <c r="BG3968" s="35" t="n">
        <f aca="false">BA3968-BF3968</f>
        <v>-0.5</v>
      </c>
      <c r="BH3968" s="19" t="str">
        <f aca="false">IF(BG3968=0,"",IF(BG3968&lt;&gt;BA3968,"erreur de calcul",IF(BD3968&lt;&gt;0,"pas de prix",IF(M3968&lt;&gt; 0,"pas de quantité","pas de prix, ni de quantité"))))</f>
        <v>erreur de calcul</v>
      </c>
      <c r="BI3968" s="19"/>
    </row>
    <row r="3969" customFormat="false" ht="15" hidden="false" customHeight="false" outlineLevel="0" collapsed="false">
      <c r="A3969" s="0" t="n">
        <v>29</v>
      </c>
      <c r="B3969" s="8" t="s">
        <v>24</v>
      </c>
      <c r="C3969" s="9" t="s">
        <v>25</v>
      </c>
      <c r="D3969" s="9" t="s">
        <v>26</v>
      </c>
      <c r="E3969" s="10" t="n">
        <v>1789</v>
      </c>
      <c r="F3969" s="9" t="s">
        <v>27</v>
      </c>
      <c r="G3969" s="9" t="s">
        <v>27</v>
      </c>
      <c r="H3969" s="11" t="n">
        <v>21</v>
      </c>
      <c r="I3969" s="11" t="s">
        <v>182</v>
      </c>
      <c r="J3969" s="14" t="n">
        <v>24</v>
      </c>
      <c r="K3969" s="14"/>
      <c r="L3969" s="16"/>
      <c r="M3969" s="27" t="n">
        <f aca="false">J3969+(K3969/20)+(L3969/240)</f>
        <v>24</v>
      </c>
      <c r="N3969" s="17" t="s">
        <v>66</v>
      </c>
      <c r="O3969" s="11"/>
      <c r="P3969" s="28" t="n">
        <v>478</v>
      </c>
      <c r="Q3969" s="28" t="n">
        <v>11472</v>
      </c>
      <c r="R3969" s="28"/>
      <c r="S3969" s="28" t="n">
        <f aca="false">R3969*$M3969</f>
        <v>0</v>
      </c>
      <c r="T3969" s="28" t="n">
        <v>38</v>
      </c>
      <c r="U3969" s="28" t="n">
        <v>912</v>
      </c>
      <c r="V3969" s="28"/>
      <c r="W3969" s="28" t="n">
        <f aca="false">V3969*$M3969</f>
        <v>0</v>
      </c>
      <c r="X3969" s="28"/>
      <c r="Y3969" s="28" t="n">
        <f aca="false">X3969*$M3969</f>
        <v>0</v>
      </c>
      <c r="Z3969" s="28"/>
      <c r="AA3969" s="28" t="n">
        <f aca="false">Z3969*$M3969</f>
        <v>0</v>
      </c>
      <c r="AB3969" s="28"/>
      <c r="AC3969" s="28" t="n">
        <f aca="false">AB3969*$M3969</f>
        <v>0</v>
      </c>
      <c r="AD3969" s="28"/>
      <c r="AE3969" s="28" t="n">
        <f aca="false">AD3969*$M3969</f>
        <v>0</v>
      </c>
      <c r="AF3969" s="28"/>
      <c r="AG3969" s="28" t="n">
        <f aca="false">AF3969*$M3969</f>
        <v>0</v>
      </c>
      <c r="AH3969" s="28"/>
      <c r="AI3969" s="28" t="n">
        <f aca="false">AH3969*$M3969</f>
        <v>0</v>
      </c>
      <c r="AJ3969" s="28"/>
      <c r="AK3969" s="28" t="n">
        <f aca="false">AJ3969*$M3969</f>
        <v>0</v>
      </c>
      <c r="AL3969" s="28"/>
      <c r="AM3969" s="28" t="n">
        <f aca="false">AL3969*$M3969</f>
        <v>0</v>
      </c>
      <c r="AN3969" s="28"/>
      <c r="AO3969" s="28" t="n">
        <f aca="false">AN3969*$M3969</f>
        <v>0</v>
      </c>
      <c r="AP3969" s="28"/>
      <c r="AQ3969" s="28" t="n">
        <f aca="false">AP3969*$M3969</f>
        <v>0</v>
      </c>
      <c r="AR3969" s="28"/>
      <c r="AS3969" s="28" t="n">
        <f aca="false">AR3969*$M3969</f>
        <v>0</v>
      </c>
      <c r="AT3969" s="28"/>
      <c r="AU3969" s="28" t="n">
        <f aca="false">AT3969*$M3969</f>
        <v>0</v>
      </c>
      <c r="AV3969" s="28"/>
      <c r="AW3969" s="28" t="n">
        <f aca="false">AV3969*$M3969</f>
        <v>0</v>
      </c>
      <c r="AX3969" s="28"/>
      <c r="AY3969" s="28" t="n">
        <f aca="false">AX3969*$M3969</f>
        <v>0</v>
      </c>
      <c r="AZ3969" s="30" t="n">
        <v>516</v>
      </c>
      <c r="BA3969" s="11" t="n">
        <v>12384</v>
      </c>
      <c r="BB3969" s="31" t="n">
        <f aca="false">SUM(Q3969,S3969,U3969,W3969,Y3969,AA3969,AC3969,AE3969,AG3969,AI3969,AK3969,AM3969,AO3969,AQ3969,AS3969,AU3969,AW3969,AY3969)</f>
        <v>12384</v>
      </c>
      <c r="BC3969" s="28" t="n">
        <f aca="false">BA3969-BB3969</f>
        <v>0</v>
      </c>
      <c r="BD3969" s="32" t="n">
        <f aca="false">SUM(P3969,R3969,T3969,V3969,X3969,Z3969,AB3969,AD3969,AF3969,AH3969,AJ3969,AL3969,AN3969,AP3969,AR3969,AT3969,AV3969,AX3969)</f>
        <v>516</v>
      </c>
      <c r="BE3969" s="33" t="n">
        <f aca="false">AZ3969-BD3969</f>
        <v>0</v>
      </c>
      <c r="BF3969" s="34" t="n">
        <f aca="false">BD3969*M3969</f>
        <v>12384</v>
      </c>
      <c r="BG3969" s="35" t="n">
        <f aca="false">BA3969-BF3969</f>
        <v>0</v>
      </c>
      <c r="BH3969" s="19" t="str">
        <f aca="false">IF(BG3969=0,"",IF(BG3969&lt;&gt;BA3969,"erreur de calcul",IF(BD3969&lt;&gt;0,"pas de prix",IF(M3969&lt;&gt; 0,"pas de quantité","pas de prix, ni de quantité"))))</f>
        <v/>
      </c>
      <c r="BI3969" s="19"/>
    </row>
    <row r="3970" customFormat="false" ht="15" hidden="false" customHeight="false" outlineLevel="0" collapsed="false">
      <c r="A3970" s="0" t="n">
        <v>30</v>
      </c>
      <c r="B3970" s="8" t="s">
        <v>24</v>
      </c>
      <c r="C3970" s="9" t="s">
        <v>25</v>
      </c>
      <c r="D3970" s="9" t="s">
        <v>26</v>
      </c>
      <c r="E3970" s="10" t="n">
        <v>1789</v>
      </c>
      <c r="F3970" s="9" t="s">
        <v>27</v>
      </c>
      <c r="G3970" s="9" t="s">
        <v>27</v>
      </c>
      <c r="H3970" s="11" t="n">
        <v>21</v>
      </c>
      <c r="I3970" s="11" t="s">
        <v>183</v>
      </c>
      <c r="J3970" s="14" t="n">
        <v>240</v>
      </c>
      <c r="K3970" s="14"/>
      <c r="L3970" s="16"/>
      <c r="M3970" s="27" t="n">
        <f aca="false">J3970+(K3970/20)+(L3970/240)</f>
        <v>240</v>
      </c>
      <c r="N3970" s="17" t="s">
        <v>64</v>
      </c>
      <c r="O3970" s="11"/>
      <c r="P3970" s="28" t="n">
        <f aca="false">52196/100</f>
        <v>521.96</v>
      </c>
      <c r="Q3970" s="28" t="n">
        <v>125270</v>
      </c>
      <c r="R3970" s="28" t="n">
        <f aca="false">29767/100</f>
        <v>297.67</v>
      </c>
      <c r="S3970" s="28" t="n">
        <v>71441</v>
      </c>
      <c r="T3970" s="28"/>
      <c r="U3970" s="28" t="n">
        <f aca="false">T3970*$M3970</f>
        <v>0</v>
      </c>
      <c r="V3970" s="28"/>
      <c r="W3970" s="28" t="n">
        <f aca="false">V3970*$M3970</f>
        <v>0</v>
      </c>
      <c r="X3970" s="28"/>
      <c r="Y3970" s="28" t="n">
        <f aca="false">X3970*$M3970</f>
        <v>0</v>
      </c>
      <c r="Z3970" s="28"/>
      <c r="AA3970" s="28" t="n">
        <f aca="false">Z3970*$M3970</f>
        <v>0</v>
      </c>
      <c r="AB3970" s="28"/>
      <c r="AC3970" s="28" t="n">
        <f aca="false">AB3970*$M3970</f>
        <v>0</v>
      </c>
      <c r="AD3970" s="28"/>
      <c r="AE3970" s="28" t="n">
        <f aca="false">AD3970*$M3970</f>
        <v>0</v>
      </c>
      <c r="AF3970" s="28"/>
      <c r="AG3970" s="28" t="n">
        <f aca="false">AF3970*$M3970</f>
        <v>0</v>
      </c>
      <c r="AH3970" s="28"/>
      <c r="AI3970" s="28" t="n">
        <f aca="false">AH3970*$M3970</f>
        <v>0</v>
      </c>
      <c r="AJ3970" s="28"/>
      <c r="AK3970" s="28" t="n">
        <f aca="false">AJ3970*$M3970</f>
        <v>0</v>
      </c>
      <c r="AL3970" s="28"/>
      <c r="AM3970" s="28" t="n">
        <f aca="false">AL3970*$M3970</f>
        <v>0</v>
      </c>
      <c r="AN3970" s="28"/>
      <c r="AO3970" s="28" t="n">
        <f aca="false">AN3970*$M3970</f>
        <v>0</v>
      </c>
      <c r="AP3970" s="28"/>
      <c r="AQ3970" s="28" t="n">
        <f aca="false">AP3970*$M3970</f>
        <v>0</v>
      </c>
      <c r="AR3970" s="28"/>
      <c r="AS3970" s="28" t="n">
        <f aca="false">AR3970*$M3970</f>
        <v>0</v>
      </c>
      <c r="AT3970" s="28"/>
      <c r="AU3970" s="28" t="n">
        <f aca="false">AT3970*$M3970</f>
        <v>0</v>
      </c>
      <c r="AV3970" s="28"/>
      <c r="AW3970" s="28" t="n">
        <f aca="false">AV3970*$M3970</f>
        <v>0</v>
      </c>
      <c r="AX3970" s="28"/>
      <c r="AY3970" s="28" t="n">
        <f aca="false">AX3970*$M3970</f>
        <v>0</v>
      </c>
      <c r="AZ3970" s="30" t="n">
        <f aca="false">81963/100</f>
        <v>819.63</v>
      </c>
      <c r="BA3970" s="11" t="n">
        <v>196711</v>
      </c>
      <c r="BB3970" s="31" t="n">
        <f aca="false">SUM(Q3970,S3970,U3970,W3970,Y3970,AA3970,AC3970,AE3970,AG3970,AI3970,AK3970,AM3970,AO3970,AQ3970,AS3970,AU3970,AW3970,AY3970)</f>
        <v>196711</v>
      </c>
      <c r="BC3970" s="28" t="n">
        <f aca="false">BA3970-BB3970</f>
        <v>0</v>
      </c>
      <c r="BD3970" s="32" t="n">
        <f aca="false">SUM(P3970,R3970,T3970,V3970,X3970,Z3970,AB3970,AD3970,AF3970,AH3970,AJ3970,AL3970,AN3970,AP3970,AR3970,AT3970,AV3970,AX3970)</f>
        <v>819.63</v>
      </c>
      <c r="BE3970" s="33" t="n">
        <f aca="false">AZ3970-BD3970</f>
        <v>0</v>
      </c>
      <c r="BF3970" s="34" t="n">
        <f aca="false">BD3970*M3970</f>
        <v>196711.2</v>
      </c>
      <c r="BG3970" s="35" t="n">
        <f aca="false">BA3970-BF3970</f>
        <v>-0.200000000011642</v>
      </c>
      <c r="BH3970" s="19" t="str">
        <f aca="false">IF(BG3970=0,"",IF(BG3970&lt;&gt;BA3970,"erreur de calcul",IF(BD3970&lt;&gt;0,"pas de prix",IF(M3970&lt;&gt; 0,"pas de quantité","pas de prix, ni de quantité"))))</f>
        <v>erreur de calcul</v>
      </c>
      <c r="BI3970" s="19"/>
    </row>
    <row r="3971" customFormat="false" ht="15" hidden="false" customHeight="false" outlineLevel="0" collapsed="false">
      <c r="A3971" s="0" t="n">
        <v>31</v>
      </c>
      <c r="B3971" s="8" t="s">
        <v>24</v>
      </c>
      <c r="C3971" s="9" t="s">
        <v>25</v>
      </c>
      <c r="D3971" s="9" t="s">
        <v>26</v>
      </c>
      <c r="E3971" s="10" t="n">
        <v>1789</v>
      </c>
      <c r="F3971" s="9" t="s">
        <v>27</v>
      </c>
      <c r="G3971" s="9" t="s">
        <v>27</v>
      </c>
      <c r="H3971" s="11" t="n">
        <v>21</v>
      </c>
      <c r="I3971" s="11" t="s">
        <v>184</v>
      </c>
      <c r="J3971" s="14" t="n">
        <v>13</v>
      </c>
      <c r="K3971" s="14"/>
      <c r="L3971" s="16"/>
      <c r="M3971" s="27" t="n">
        <f aca="false">J3971+(K3971/20)+(L3971/240)</f>
        <v>13</v>
      </c>
      <c r="N3971" s="17" t="s">
        <v>66</v>
      </c>
      <c r="O3971" s="11"/>
      <c r="P3971" s="28"/>
      <c r="Q3971" s="28" t="n">
        <f aca="false">P3971*$M3971</f>
        <v>0</v>
      </c>
      <c r="R3971" s="28"/>
      <c r="S3971" s="28" t="n">
        <f aca="false">R3971*$M3971</f>
        <v>0</v>
      </c>
      <c r="T3971" s="28"/>
      <c r="U3971" s="28" t="n">
        <f aca="false">T3971*$M3971</f>
        <v>0</v>
      </c>
      <c r="V3971" s="28"/>
      <c r="W3971" s="28" t="n">
        <f aca="false">V3971*$M3971</f>
        <v>0</v>
      </c>
      <c r="X3971" s="28"/>
      <c r="Y3971" s="28" t="n">
        <f aca="false">X3971*$M3971</f>
        <v>0</v>
      </c>
      <c r="Z3971" s="28"/>
      <c r="AA3971" s="28" t="n">
        <f aca="false">Z3971*$M3971</f>
        <v>0</v>
      </c>
      <c r="AB3971" s="28"/>
      <c r="AC3971" s="28" t="n">
        <f aca="false">AB3971*$M3971</f>
        <v>0</v>
      </c>
      <c r="AD3971" s="28"/>
      <c r="AE3971" s="28" t="n">
        <f aca="false">AD3971*$M3971</f>
        <v>0</v>
      </c>
      <c r="AF3971" s="28"/>
      <c r="AG3971" s="28" t="n">
        <f aca="false">AF3971*$M3971</f>
        <v>0</v>
      </c>
      <c r="AH3971" s="28" t="n">
        <v>354</v>
      </c>
      <c r="AI3971" s="28" t="n">
        <v>4602</v>
      </c>
      <c r="AJ3971" s="28"/>
      <c r="AK3971" s="28" t="n">
        <f aca="false">AJ3971*$M3971</f>
        <v>0</v>
      </c>
      <c r="AL3971" s="28"/>
      <c r="AM3971" s="28" t="n">
        <f aca="false">AL3971*$M3971</f>
        <v>0</v>
      </c>
      <c r="AN3971" s="28"/>
      <c r="AO3971" s="28" t="n">
        <f aca="false">AN3971*$M3971</f>
        <v>0</v>
      </c>
      <c r="AP3971" s="28"/>
      <c r="AQ3971" s="28" t="n">
        <f aca="false">AP3971*$M3971</f>
        <v>0</v>
      </c>
      <c r="AR3971" s="28"/>
      <c r="AS3971" s="28" t="n">
        <f aca="false">AR3971*$M3971</f>
        <v>0</v>
      </c>
      <c r="AT3971" s="28"/>
      <c r="AU3971" s="28" t="n">
        <f aca="false">AT3971*$M3971</f>
        <v>0</v>
      </c>
      <c r="AV3971" s="28"/>
      <c r="AW3971" s="28" t="n">
        <f aca="false">AV3971*$M3971</f>
        <v>0</v>
      </c>
      <c r="AX3971" s="28"/>
      <c r="AY3971" s="28" t="n">
        <f aca="false">AX3971*$M3971</f>
        <v>0</v>
      </c>
      <c r="AZ3971" s="30" t="n">
        <v>354</v>
      </c>
      <c r="BA3971" s="11" t="n">
        <v>4602</v>
      </c>
      <c r="BB3971" s="31" t="n">
        <f aca="false">SUM(Q3971,S3971,U3971,W3971,Y3971,AA3971,AC3971,AE3971,AG3971,AI3971,AK3971,AM3971,AO3971,AQ3971,AS3971,AU3971,AW3971,AY3971)</f>
        <v>4602</v>
      </c>
      <c r="BC3971" s="28" t="n">
        <f aca="false">BA3971-BB3971</f>
        <v>0</v>
      </c>
      <c r="BD3971" s="32" t="n">
        <f aca="false">SUM(P3971,R3971,T3971,V3971,X3971,Z3971,AB3971,AD3971,AF3971,AH3971,AJ3971,AL3971,AN3971,AP3971,AR3971,AT3971,AV3971,AX3971)</f>
        <v>354</v>
      </c>
      <c r="BE3971" s="33" t="n">
        <f aca="false">AZ3971-BD3971</f>
        <v>0</v>
      </c>
      <c r="BF3971" s="34" t="n">
        <f aca="false">BD3971*M3971</f>
        <v>4602</v>
      </c>
      <c r="BG3971" s="35" t="n">
        <f aca="false">BA3971-BF3971</f>
        <v>0</v>
      </c>
      <c r="BH3971" s="19" t="str">
        <f aca="false">IF(BG3971=0,"",IF(BG3971&lt;&gt;BA3971,"erreur de calcul",IF(BD3971&lt;&gt;0,"pas de prix",IF(M3971&lt;&gt; 0,"pas de quantité","pas de prix, ni de quantité"))))</f>
        <v/>
      </c>
      <c r="BI3971" s="19"/>
    </row>
    <row r="3972" customFormat="false" ht="15" hidden="false" customHeight="false" outlineLevel="0" collapsed="false">
      <c r="A3972" s="0" t="n">
        <v>32</v>
      </c>
      <c r="B3972" s="8" t="s">
        <v>24</v>
      </c>
      <c r="C3972" s="9" t="s">
        <v>25</v>
      </c>
      <c r="D3972" s="9" t="s">
        <v>26</v>
      </c>
      <c r="E3972" s="10" t="n">
        <v>1789</v>
      </c>
      <c r="F3972" s="9" t="s">
        <v>27</v>
      </c>
      <c r="G3972" s="9" t="s">
        <v>27</v>
      </c>
      <c r="H3972" s="11" t="n">
        <v>21</v>
      </c>
      <c r="I3972" s="11" t="s">
        <v>185</v>
      </c>
      <c r="J3972" s="14" t="n">
        <v>245</v>
      </c>
      <c r="K3972" s="14"/>
      <c r="L3972" s="16"/>
      <c r="M3972" s="27" t="n">
        <f aca="false">J3972+(K3972/20)+(L3972/240)</f>
        <v>245</v>
      </c>
      <c r="N3972" s="17" t="s">
        <v>64</v>
      </c>
      <c r="O3972" s="11"/>
      <c r="P3972" s="28"/>
      <c r="Q3972" s="28" t="n">
        <f aca="false">P3972*$M3972</f>
        <v>0</v>
      </c>
      <c r="R3972" s="28"/>
      <c r="S3972" s="28" t="n">
        <f aca="false">R3972*$M3972</f>
        <v>0</v>
      </c>
      <c r="T3972" s="28"/>
      <c r="U3972" s="28" t="n">
        <f aca="false">T3972*$M3972</f>
        <v>0</v>
      </c>
      <c r="V3972" s="28" t="n">
        <f aca="false">720/100</f>
        <v>7.2</v>
      </c>
      <c r="W3972" s="28" t="n">
        <v>1764</v>
      </c>
      <c r="X3972" s="28" t="n">
        <f aca="false">40366/100</f>
        <v>403.66</v>
      </c>
      <c r="Y3972" s="28" t="n">
        <v>98897</v>
      </c>
      <c r="Z3972" s="28"/>
      <c r="AA3972" s="28" t="n">
        <f aca="false">Z3972*$M3972</f>
        <v>0</v>
      </c>
      <c r="AB3972" s="28"/>
      <c r="AC3972" s="28" t="n">
        <f aca="false">AB3972*$M3972</f>
        <v>0</v>
      </c>
      <c r="AD3972" s="28"/>
      <c r="AE3972" s="28" t="n">
        <f aca="false">AD3972*$M3972</f>
        <v>0</v>
      </c>
      <c r="AF3972" s="28"/>
      <c r="AG3972" s="28" t="n">
        <f aca="false">AF3972*$M3972</f>
        <v>0</v>
      </c>
      <c r="AH3972" s="28" t="n">
        <f aca="false">83243/100</f>
        <v>832.43</v>
      </c>
      <c r="AI3972" s="28" t="n">
        <v>203945</v>
      </c>
      <c r="AJ3972" s="28"/>
      <c r="AK3972" s="28" t="n">
        <f aca="false">AJ3972*$M3972</f>
        <v>0</v>
      </c>
      <c r="AL3972" s="28"/>
      <c r="AM3972" s="28" t="n">
        <f aca="false">AL3972*$M3972</f>
        <v>0</v>
      </c>
      <c r="AN3972" s="28"/>
      <c r="AO3972" s="28" t="n">
        <f aca="false">AN3972*$M3972</f>
        <v>0</v>
      </c>
      <c r="AP3972" s="28"/>
      <c r="AQ3972" s="28" t="n">
        <f aca="false">AP3972*$M3972</f>
        <v>0</v>
      </c>
      <c r="AR3972" s="28"/>
      <c r="AS3972" s="28" t="n">
        <f aca="false">AR3972*$M3972</f>
        <v>0</v>
      </c>
      <c r="AT3972" s="28"/>
      <c r="AU3972" s="28" t="n">
        <f aca="false">AT3972*$M3972</f>
        <v>0</v>
      </c>
      <c r="AV3972" s="28"/>
      <c r="AW3972" s="28" t="n">
        <f aca="false">AV3972*$M3972</f>
        <v>0</v>
      </c>
      <c r="AX3972" s="28"/>
      <c r="AY3972" s="28" t="n">
        <f aca="false">AX3972*$M3972</f>
        <v>0</v>
      </c>
      <c r="AZ3972" s="30" t="n">
        <f aca="false">124329/100</f>
        <v>1243.29</v>
      </c>
      <c r="BA3972" s="11" t="n">
        <v>304606</v>
      </c>
      <c r="BB3972" s="31" t="n">
        <f aca="false">SUM(Q3972,S3972,U3972,W3972,Y3972,AA3972,AC3972,AE3972,AG3972,AI3972,AK3972,AM3972,AO3972,AQ3972,AS3972,AU3972,AW3972,AY3972)</f>
        <v>304606</v>
      </c>
      <c r="BC3972" s="28" t="n">
        <f aca="false">BA3972-BB3972</f>
        <v>0</v>
      </c>
      <c r="BD3972" s="32" t="n">
        <f aca="false">SUM(P3972,R3972,T3972,V3972,X3972,Z3972,AB3972,AD3972,AF3972,AH3972,AJ3972,AL3972,AN3972,AP3972,AR3972,AT3972,AV3972,AX3972)</f>
        <v>1243.29</v>
      </c>
      <c r="BE3972" s="33" t="n">
        <f aca="false">AZ3972-BD3972</f>
        <v>0</v>
      </c>
      <c r="BF3972" s="34" t="n">
        <f aca="false">BD3972*M3972</f>
        <v>304606.05</v>
      </c>
      <c r="BG3972" s="35" t="n">
        <f aca="false">BA3972-BF3972</f>
        <v>-0.0499999999883585</v>
      </c>
      <c r="BH3972" s="19" t="str">
        <f aca="false">IF(BG3972=0,"",IF(BG3972&lt;&gt;BA3972,"erreur de calcul",IF(BD3972&lt;&gt;0,"pas de prix",IF(M3972&lt;&gt; 0,"pas de quantité","pas de prix, ni de quantité"))))</f>
        <v>erreur de calcul</v>
      </c>
      <c r="BI3972" s="19"/>
    </row>
    <row r="3973" customFormat="false" ht="15" hidden="false" customHeight="false" outlineLevel="0" collapsed="false">
      <c r="A3973" s="0" t="n">
        <v>33</v>
      </c>
      <c r="B3973" s="8" t="s">
        <v>24</v>
      </c>
      <c r="C3973" s="9" t="s">
        <v>25</v>
      </c>
      <c r="D3973" s="9" t="s">
        <v>26</v>
      </c>
      <c r="E3973" s="10" t="n">
        <v>1789</v>
      </c>
      <c r="F3973" s="9" t="s">
        <v>27</v>
      </c>
      <c r="G3973" s="9" t="s">
        <v>27</v>
      </c>
      <c r="H3973" s="11" t="n">
        <v>21</v>
      </c>
      <c r="I3973" s="11" t="s">
        <v>186</v>
      </c>
      <c r="J3973" s="14" t="n">
        <v>240</v>
      </c>
      <c r="K3973" s="14"/>
      <c r="L3973" s="16"/>
      <c r="M3973" s="27" t="n">
        <f aca="false">J3973+(K3973/20)+(L3973/240)</f>
        <v>240</v>
      </c>
      <c r="N3973" s="17" t="s">
        <v>64</v>
      </c>
      <c r="O3973" s="11"/>
      <c r="P3973" s="28"/>
      <c r="Q3973" s="28" t="n">
        <f aca="false">P3973*$M3973</f>
        <v>0</v>
      </c>
      <c r="R3973" s="28"/>
      <c r="S3973" s="28" t="n">
        <f aca="false">R3973*$M3973</f>
        <v>0</v>
      </c>
      <c r="T3973" s="28"/>
      <c r="U3973" s="28" t="n">
        <f aca="false">T3973*$M3973</f>
        <v>0</v>
      </c>
      <c r="V3973" s="28"/>
      <c r="W3973" s="28" t="n">
        <f aca="false">V3973*$M3973</f>
        <v>0</v>
      </c>
      <c r="X3973" s="28"/>
      <c r="Y3973" s="28" t="n">
        <f aca="false">X3973*$M3973</f>
        <v>0</v>
      </c>
      <c r="Z3973" s="28"/>
      <c r="AA3973" s="28" t="n">
        <f aca="false">Z3973*$M3973</f>
        <v>0</v>
      </c>
      <c r="AB3973" s="28"/>
      <c r="AC3973" s="28" t="n">
        <f aca="false">AB3973*$M3973</f>
        <v>0</v>
      </c>
      <c r="AD3973" s="28"/>
      <c r="AE3973" s="28" t="n">
        <f aca="false">AD3973*$M3973</f>
        <v>0</v>
      </c>
      <c r="AF3973" s="28"/>
      <c r="AG3973" s="28" t="n">
        <f aca="false">AF3973*$M3973</f>
        <v>0</v>
      </c>
      <c r="AH3973" s="28" t="n">
        <f aca="false">803/100</f>
        <v>8.03</v>
      </c>
      <c r="AI3973" s="28" t="n">
        <v>1927</v>
      </c>
      <c r="AJ3973" s="28"/>
      <c r="AK3973" s="28" t="n">
        <f aca="false">AJ3973*$M3973</f>
        <v>0</v>
      </c>
      <c r="AL3973" s="28"/>
      <c r="AM3973" s="28" t="n">
        <f aca="false">AL3973*$M3973</f>
        <v>0</v>
      </c>
      <c r="AN3973" s="28"/>
      <c r="AO3973" s="28" t="n">
        <f aca="false">AN3973*$M3973</f>
        <v>0</v>
      </c>
      <c r="AP3973" s="28"/>
      <c r="AQ3973" s="28" t="n">
        <f aca="false">AP3973*$M3973</f>
        <v>0</v>
      </c>
      <c r="AR3973" s="28"/>
      <c r="AS3973" s="28" t="n">
        <f aca="false">AR3973*$M3973</f>
        <v>0</v>
      </c>
      <c r="AT3973" s="28"/>
      <c r="AU3973" s="28" t="n">
        <f aca="false">AT3973*$M3973</f>
        <v>0</v>
      </c>
      <c r="AV3973" s="28"/>
      <c r="AW3973" s="28" t="n">
        <f aca="false">AV3973*$M3973</f>
        <v>0</v>
      </c>
      <c r="AX3973" s="28"/>
      <c r="AY3973" s="28" t="n">
        <f aca="false">AX3973*$M3973</f>
        <v>0</v>
      </c>
      <c r="AZ3973" s="30" t="n">
        <f aca="false">803/100</f>
        <v>8.03</v>
      </c>
      <c r="BA3973" s="11" t="n">
        <v>1927</v>
      </c>
      <c r="BB3973" s="31" t="n">
        <f aca="false">SUM(Q3973,S3973,U3973,W3973,Y3973,AA3973,AC3973,AE3973,AG3973,AI3973,AK3973,AM3973,AO3973,AQ3973,AS3973,AU3973,AW3973,AY3973)</f>
        <v>1927</v>
      </c>
      <c r="BC3973" s="28" t="n">
        <f aca="false">BA3973-BB3973</f>
        <v>0</v>
      </c>
      <c r="BD3973" s="32" t="n">
        <f aca="false">SUM(P3973,R3973,T3973,V3973,X3973,Z3973,AB3973,AD3973,AF3973,AH3973,AJ3973,AL3973,AN3973,AP3973,AR3973,AT3973,AV3973,AX3973)</f>
        <v>8.03</v>
      </c>
      <c r="BE3973" s="33" t="n">
        <f aca="false">AZ3973-BD3973</f>
        <v>0</v>
      </c>
      <c r="BF3973" s="34" t="n">
        <f aca="false">BD3973*M3973</f>
        <v>1927.2</v>
      </c>
      <c r="BG3973" s="35" t="n">
        <f aca="false">BA3973-BF3973</f>
        <v>-0.199999999999818</v>
      </c>
      <c r="BH3973" s="19" t="str">
        <f aca="false">IF(BG3973=0,"",IF(BG3973&lt;&gt;BA3973,"erreur de calcul",IF(BD3973&lt;&gt;0,"pas de prix",IF(M3973&lt;&gt; 0,"pas de quantité","pas de prix, ni de quantité"))))</f>
        <v>erreur de calcul</v>
      </c>
      <c r="BI3973" s="19"/>
    </row>
    <row r="3974" customFormat="false" ht="15" hidden="false" customHeight="false" outlineLevel="0" collapsed="false">
      <c r="A3974" s="0" t="n">
        <v>34</v>
      </c>
      <c r="B3974" s="8" t="s">
        <v>24</v>
      </c>
      <c r="C3974" s="9" t="s">
        <v>25</v>
      </c>
      <c r="D3974" s="9" t="s">
        <v>26</v>
      </c>
      <c r="E3974" s="10" t="n">
        <v>1789</v>
      </c>
      <c r="F3974" s="9" t="s">
        <v>27</v>
      </c>
      <c r="G3974" s="9" t="s">
        <v>27</v>
      </c>
      <c r="H3974" s="11" t="n">
        <v>21</v>
      </c>
      <c r="I3974" s="11" t="s">
        <v>187</v>
      </c>
      <c r="J3974" s="14" t="n">
        <v>45</v>
      </c>
      <c r="K3974" s="14"/>
      <c r="L3974" s="16"/>
      <c r="M3974" s="27" t="n">
        <f aca="false">J3974+(K3974/20)+(L3974/240)</f>
        <v>45</v>
      </c>
      <c r="N3974" s="17" t="s">
        <v>64</v>
      </c>
      <c r="O3974" s="11"/>
      <c r="P3974" s="28" t="n">
        <f aca="false">8827/100</f>
        <v>88.27</v>
      </c>
      <c r="Q3974" s="28" t="n">
        <v>3972</v>
      </c>
      <c r="R3974" s="28"/>
      <c r="S3974" s="28" t="n">
        <f aca="false">R3974*$M3974</f>
        <v>0</v>
      </c>
      <c r="T3974" s="28"/>
      <c r="U3974" s="28" t="n">
        <f aca="false">T3974*$M3974</f>
        <v>0</v>
      </c>
      <c r="V3974" s="28" t="n">
        <f aca="false">8951/100</f>
        <v>89.51</v>
      </c>
      <c r="W3974" s="28" t="n">
        <v>4028</v>
      </c>
      <c r="X3974" s="28" t="n">
        <f aca="false">49106/100</f>
        <v>491.06</v>
      </c>
      <c r="Y3974" s="28" t="n">
        <v>22098</v>
      </c>
      <c r="Z3974" s="28"/>
      <c r="AA3974" s="28" t="n">
        <f aca="false">Z3974*$M3974</f>
        <v>0</v>
      </c>
      <c r="AB3974" s="28" t="n">
        <f aca="false">313412/100</f>
        <v>3134.12</v>
      </c>
      <c r="AC3974" s="28" t="n">
        <v>141035</v>
      </c>
      <c r="AD3974" s="28"/>
      <c r="AE3974" s="28" t="n">
        <f aca="false">AD3974*$M3974</f>
        <v>0</v>
      </c>
      <c r="AF3974" s="28"/>
      <c r="AG3974" s="28" t="n">
        <f aca="false">AF3974*$M3974</f>
        <v>0</v>
      </c>
      <c r="AH3974" s="28"/>
      <c r="AI3974" s="28" t="n">
        <f aca="false">AH3974*$M3974</f>
        <v>0</v>
      </c>
      <c r="AJ3974" s="28"/>
      <c r="AK3974" s="28" t="n">
        <f aca="false">AJ3974*$M3974</f>
        <v>0</v>
      </c>
      <c r="AL3974" s="28"/>
      <c r="AM3974" s="28" t="n">
        <f aca="false">AL3974*$M3974</f>
        <v>0</v>
      </c>
      <c r="AN3974" s="28"/>
      <c r="AO3974" s="28" t="n">
        <f aca="false">AN3974*$M3974</f>
        <v>0</v>
      </c>
      <c r="AP3974" s="28"/>
      <c r="AQ3974" s="28" t="n">
        <f aca="false">AP3974*$M3974</f>
        <v>0</v>
      </c>
      <c r="AR3974" s="28"/>
      <c r="AS3974" s="28" t="n">
        <f aca="false">AR3974*$M3974</f>
        <v>0</v>
      </c>
      <c r="AT3974" s="28"/>
      <c r="AU3974" s="28" t="n">
        <f aca="false">AT3974*$M3974</f>
        <v>0</v>
      </c>
      <c r="AV3974" s="28"/>
      <c r="AW3974" s="28" t="n">
        <f aca="false">AV3974*$M3974</f>
        <v>0</v>
      </c>
      <c r="AX3974" s="28"/>
      <c r="AY3974" s="28" t="n">
        <f aca="false">AX3974*$M3974</f>
        <v>0</v>
      </c>
      <c r="AZ3974" s="30" t="n">
        <f aca="false">380296/100</f>
        <v>3802.96</v>
      </c>
      <c r="BA3974" s="11" t="n">
        <v>171133</v>
      </c>
      <c r="BB3974" s="31" t="n">
        <f aca="false">SUM(Q3974,S3974,U3974,W3974,Y3974,AA3974,AC3974,AE3974,AG3974,AI3974,AK3974,AM3974,AO3974,AQ3974,AS3974,AU3974,AW3974,AY3974)</f>
        <v>171133</v>
      </c>
      <c r="BC3974" s="28" t="n">
        <f aca="false">BA3974-BB3974</f>
        <v>0</v>
      </c>
      <c r="BD3974" s="32" t="n">
        <f aca="false">SUM(P3974,R3974,T3974,V3974,X3974,Z3974,AB3974,AD3974,AF3974,AH3974,AJ3974,AL3974,AN3974,AP3974,AR3974,AT3974,AV3974,AX3974)</f>
        <v>3802.96</v>
      </c>
      <c r="BE3974" s="33" t="n">
        <f aca="false">AZ3974-BD3974</f>
        <v>0</v>
      </c>
      <c r="BF3974" s="34" t="n">
        <f aca="false">BD3974*M3974</f>
        <v>171133.2</v>
      </c>
      <c r="BG3974" s="35" t="n">
        <f aca="false">BA3974-BF3974</f>
        <v>-0.200000000011642</v>
      </c>
      <c r="BH3974" s="19" t="str">
        <f aca="false">IF(BG3974=0,"",IF(BG3974&lt;&gt;BA3974,"erreur de calcul",IF(BD3974&lt;&gt;0,"pas de prix",IF(M3974&lt;&gt; 0,"pas de quantité","pas de prix, ni de quantité"))))</f>
        <v>erreur de calcul</v>
      </c>
      <c r="BI3974" s="19"/>
    </row>
    <row r="3975" customFormat="false" ht="15" hidden="false" customHeight="false" outlineLevel="0" collapsed="false">
      <c r="A3975" s="0" t="n">
        <v>35</v>
      </c>
      <c r="B3975" s="8" t="s">
        <v>24</v>
      </c>
      <c r="C3975" s="9" t="s">
        <v>25</v>
      </c>
      <c r="D3975" s="9" t="s">
        <v>26</v>
      </c>
      <c r="E3975" s="10" t="n">
        <v>1789</v>
      </c>
      <c r="F3975" s="9" t="s">
        <v>27</v>
      </c>
      <c r="G3975" s="9" t="s">
        <v>27</v>
      </c>
      <c r="H3975" s="11" t="n">
        <v>21</v>
      </c>
      <c r="I3975" s="11" t="s">
        <v>188</v>
      </c>
      <c r="J3975" s="14" t="n">
        <v>60</v>
      </c>
      <c r="K3975" s="14"/>
      <c r="L3975" s="16"/>
      <c r="M3975" s="27" t="n">
        <f aca="false">J3975+(K3975/20)+(L3975/240)</f>
        <v>60</v>
      </c>
      <c r="N3975" s="17" t="s">
        <v>64</v>
      </c>
      <c r="O3975" s="11"/>
      <c r="P3975" s="28"/>
      <c r="Q3975" s="28" t="n">
        <f aca="false">P3975*$M3975</f>
        <v>0</v>
      </c>
      <c r="R3975" s="28"/>
      <c r="S3975" s="28" t="n">
        <f aca="false">R3975*$M3975</f>
        <v>0</v>
      </c>
      <c r="T3975" s="28"/>
      <c r="U3975" s="28" t="n">
        <f aca="false">T3975*$M3975</f>
        <v>0</v>
      </c>
      <c r="V3975" s="28"/>
      <c r="W3975" s="28" t="n">
        <f aca="false">V3975*$M3975</f>
        <v>0</v>
      </c>
      <c r="X3975" s="28"/>
      <c r="Y3975" s="28" t="n">
        <f aca="false">X3975*$M3975</f>
        <v>0</v>
      </c>
      <c r="Z3975" s="28"/>
      <c r="AA3975" s="28" t="n">
        <f aca="false">Z3975*$M3975</f>
        <v>0</v>
      </c>
      <c r="AB3975" s="28"/>
      <c r="AC3975" s="28" t="n">
        <f aca="false">AB3975*$M3975</f>
        <v>0</v>
      </c>
      <c r="AD3975" s="28"/>
      <c r="AE3975" s="28" t="n">
        <f aca="false">AD3975*$M3975</f>
        <v>0</v>
      </c>
      <c r="AF3975" s="28"/>
      <c r="AG3975" s="28" t="n">
        <f aca="false">AF3975*$M3975</f>
        <v>0</v>
      </c>
      <c r="AH3975" s="28" t="n">
        <f aca="false">6391/100</f>
        <v>63.91</v>
      </c>
      <c r="AI3975" s="28" t="n">
        <v>3835</v>
      </c>
      <c r="AJ3975" s="28"/>
      <c r="AK3975" s="28" t="n">
        <f aca="false">AJ3975*$M3975</f>
        <v>0</v>
      </c>
      <c r="AL3975" s="28"/>
      <c r="AM3975" s="28" t="n">
        <f aca="false">AL3975*$M3975</f>
        <v>0</v>
      </c>
      <c r="AN3975" s="28"/>
      <c r="AO3975" s="28" t="n">
        <f aca="false">AN3975*$M3975</f>
        <v>0</v>
      </c>
      <c r="AP3975" s="28"/>
      <c r="AQ3975" s="28" t="n">
        <f aca="false">AP3975*$M3975</f>
        <v>0</v>
      </c>
      <c r="AR3975" s="28"/>
      <c r="AS3975" s="28" t="n">
        <f aca="false">AR3975*$M3975</f>
        <v>0</v>
      </c>
      <c r="AT3975" s="28"/>
      <c r="AU3975" s="28" t="n">
        <f aca="false">AT3975*$M3975</f>
        <v>0</v>
      </c>
      <c r="AV3975" s="28"/>
      <c r="AW3975" s="28" t="n">
        <f aca="false">AV3975*$M3975</f>
        <v>0</v>
      </c>
      <c r="AX3975" s="28"/>
      <c r="AY3975" s="28" t="n">
        <f aca="false">AX3975*$M3975</f>
        <v>0</v>
      </c>
      <c r="AZ3975" s="30" t="n">
        <f aca="false">6391/100</f>
        <v>63.91</v>
      </c>
      <c r="BA3975" s="11" t="n">
        <v>3835</v>
      </c>
      <c r="BB3975" s="31" t="n">
        <f aca="false">SUM(Q3975,S3975,U3975,W3975,Y3975,AA3975,AC3975,AE3975,AG3975,AI3975,AK3975,AM3975,AO3975,AQ3975,AS3975,AU3975,AW3975,AY3975)</f>
        <v>3835</v>
      </c>
      <c r="BC3975" s="28" t="n">
        <f aca="false">BA3975-BB3975</f>
        <v>0</v>
      </c>
      <c r="BD3975" s="32" t="n">
        <f aca="false">SUM(P3975,R3975,T3975,V3975,X3975,Z3975,AB3975,AD3975,AF3975,AH3975,AJ3975,AL3975,AN3975,AP3975,AR3975,AT3975,AV3975,AX3975)</f>
        <v>63.91</v>
      </c>
      <c r="BE3975" s="33" t="n">
        <f aca="false">AZ3975-BD3975</f>
        <v>0</v>
      </c>
      <c r="BF3975" s="34" t="n">
        <f aca="false">BD3975*M3975</f>
        <v>3834.6</v>
      </c>
      <c r="BG3975" s="35" t="n">
        <f aca="false">BA3975-BF3975</f>
        <v>0.400000000000091</v>
      </c>
      <c r="BH3975" s="19" t="str">
        <f aca="false">IF(BG3975=0,"",IF(BG3975&lt;&gt;BA3975,"erreur de calcul",IF(BD3975&lt;&gt;0,"pas de prix",IF(M3975&lt;&gt; 0,"pas de quantité","pas de prix, ni de quantité"))))</f>
        <v>erreur de calcul</v>
      </c>
      <c r="BI3975" s="19"/>
    </row>
    <row r="3976" customFormat="false" ht="15" hidden="false" customHeight="false" outlineLevel="0" collapsed="false">
      <c r="A3976" s="0" t="n">
        <v>36</v>
      </c>
      <c r="B3976" s="8" t="s">
        <v>24</v>
      </c>
      <c r="C3976" s="9" t="s">
        <v>25</v>
      </c>
      <c r="D3976" s="9" t="s">
        <v>26</v>
      </c>
      <c r="E3976" s="10" t="n">
        <v>1789</v>
      </c>
      <c r="F3976" s="9" t="s">
        <v>27</v>
      </c>
      <c r="G3976" s="9" t="s">
        <v>27</v>
      </c>
      <c r="H3976" s="11" t="n">
        <v>21</v>
      </c>
      <c r="I3976" s="11" t="s">
        <v>189</v>
      </c>
      <c r="J3976" s="14" t="n">
        <v>30</v>
      </c>
      <c r="K3976" s="14"/>
      <c r="L3976" s="16"/>
      <c r="M3976" s="27" t="n">
        <f aca="false">J3976+(K3976/20)+(L3976/240)</f>
        <v>30</v>
      </c>
      <c r="N3976" s="17" t="s">
        <v>66</v>
      </c>
      <c r="O3976" s="11"/>
      <c r="P3976" s="28"/>
      <c r="Q3976" s="28" t="n">
        <f aca="false">P3976*$M3976</f>
        <v>0</v>
      </c>
      <c r="R3976" s="28"/>
      <c r="S3976" s="28" t="n">
        <f aca="false">R3976*$M3976</f>
        <v>0</v>
      </c>
      <c r="T3976" s="28"/>
      <c r="U3976" s="28" t="n">
        <f aca="false">T3976*$M3976</f>
        <v>0</v>
      </c>
      <c r="V3976" s="28" t="n">
        <v>146</v>
      </c>
      <c r="W3976" s="28" t="n">
        <v>4380</v>
      </c>
      <c r="X3976" s="28"/>
      <c r="Y3976" s="28" t="n">
        <f aca="false">X3976*$M3976</f>
        <v>0</v>
      </c>
      <c r="Z3976" s="28"/>
      <c r="AA3976" s="28" t="n">
        <f aca="false">Z3976*$M3976</f>
        <v>0</v>
      </c>
      <c r="AB3976" s="28"/>
      <c r="AC3976" s="28" t="n">
        <f aca="false">AB3976*$M3976</f>
        <v>0</v>
      </c>
      <c r="AD3976" s="28"/>
      <c r="AE3976" s="28" t="n">
        <f aca="false">AD3976*$M3976</f>
        <v>0</v>
      </c>
      <c r="AF3976" s="28"/>
      <c r="AG3976" s="28" t="n">
        <f aca="false">AF3976*$M3976</f>
        <v>0</v>
      </c>
      <c r="AH3976" s="28"/>
      <c r="AI3976" s="28" t="n">
        <f aca="false">AH3976*$M3976</f>
        <v>0</v>
      </c>
      <c r="AJ3976" s="28"/>
      <c r="AK3976" s="28" t="n">
        <f aca="false">AJ3976*$M3976</f>
        <v>0</v>
      </c>
      <c r="AL3976" s="28"/>
      <c r="AM3976" s="28" t="n">
        <f aca="false">AL3976*$M3976</f>
        <v>0</v>
      </c>
      <c r="AN3976" s="28"/>
      <c r="AO3976" s="28" t="n">
        <f aca="false">AN3976*$M3976</f>
        <v>0</v>
      </c>
      <c r="AP3976" s="28"/>
      <c r="AQ3976" s="28" t="n">
        <f aca="false">AP3976*$M3976</f>
        <v>0</v>
      </c>
      <c r="AR3976" s="28"/>
      <c r="AS3976" s="28" t="n">
        <f aca="false">AR3976*$M3976</f>
        <v>0</v>
      </c>
      <c r="AT3976" s="28"/>
      <c r="AU3976" s="28" t="n">
        <f aca="false">AT3976*$M3976</f>
        <v>0</v>
      </c>
      <c r="AV3976" s="28"/>
      <c r="AW3976" s="28" t="n">
        <f aca="false">AV3976*$M3976</f>
        <v>0</v>
      </c>
      <c r="AX3976" s="28"/>
      <c r="AY3976" s="28" t="n">
        <f aca="false">AX3976*$M3976</f>
        <v>0</v>
      </c>
      <c r="AZ3976" s="30" t="n">
        <v>146</v>
      </c>
      <c r="BA3976" s="11" t="n">
        <v>4380</v>
      </c>
      <c r="BB3976" s="31" t="n">
        <f aca="false">SUM(Q3976,S3976,U3976,W3976,Y3976,AA3976,AC3976,AE3976,AG3976,AI3976,AK3976,AM3976,AO3976,AQ3976,AS3976,AU3976,AW3976,AY3976)</f>
        <v>4380</v>
      </c>
      <c r="BC3976" s="28" t="n">
        <f aca="false">BA3976-BB3976</f>
        <v>0</v>
      </c>
      <c r="BD3976" s="32" t="n">
        <f aca="false">SUM(P3976,R3976,T3976,V3976,X3976,Z3976,AB3976,AD3976,AF3976,AH3976,AJ3976,AL3976,AN3976,AP3976,AR3976,AT3976,AV3976,AX3976)</f>
        <v>146</v>
      </c>
      <c r="BE3976" s="33" t="n">
        <f aca="false">AZ3976-BD3976</f>
        <v>0</v>
      </c>
      <c r="BF3976" s="34" t="n">
        <f aca="false">BD3976*M3976</f>
        <v>4380</v>
      </c>
      <c r="BG3976" s="35" t="n">
        <f aca="false">BA3976-BF3976</f>
        <v>0</v>
      </c>
      <c r="BH3976" s="19" t="str">
        <f aca="false">IF(BG3976=0,"",IF(BG3976&lt;&gt;BA3976,"erreur de calcul",IF(BD3976&lt;&gt;0,"pas de prix",IF(M3976&lt;&gt; 0,"pas de quantité","pas de prix, ni de quantité"))))</f>
        <v/>
      </c>
      <c r="BI3976" s="19"/>
    </row>
    <row r="3977" customFormat="false" ht="15" hidden="false" customHeight="false" outlineLevel="0" collapsed="false">
      <c r="A3977" s="0" t="n">
        <v>37</v>
      </c>
      <c r="B3977" s="8" t="s">
        <v>24</v>
      </c>
      <c r="C3977" s="9" t="s">
        <v>25</v>
      </c>
      <c r="D3977" s="9" t="s">
        <v>26</v>
      </c>
      <c r="E3977" s="10" t="n">
        <v>1789</v>
      </c>
      <c r="F3977" s="9" t="s">
        <v>27</v>
      </c>
      <c r="G3977" s="9" t="s">
        <v>27</v>
      </c>
      <c r="H3977" s="11" t="n">
        <v>21</v>
      </c>
      <c r="I3977" s="11" t="s">
        <v>190</v>
      </c>
      <c r="J3977" s="14" t="n">
        <v>3</v>
      </c>
      <c r="K3977" s="14"/>
      <c r="L3977" s="16"/>
      <c r="M3977" s="27" t="n">
        <f aca="false">J3977+(K3977/20)+(L3977/240)</f>
        <v>3</v>
      </c>
      <c r="N3977" s="17" t="s">
        <v>66</v>
      </c>
      <c r="O3977" s="11"/>
      <c r="P3977" s="28"/>
      <c r="Q3977" s="28" t="n">
        <f aca="false">P3977*$M3977</f>
        <v>0</v>
      </c>
      <c r="R3977" s="28"/>
      <c r="S3977" s="28" t="n">
        <f aca="false">R3977*$M3977</f>
        <v>0</v>
      </c>
      <c r="T3977" s="28"/>
      <c r="U3977" s="28" t="n">
        <f aca="false">T3977*$M3977</f>
        <v>0</v>
      </c>
      <c r="V3977" s="28" t="n">
        <v>284</v>
      </c>
      <c r="W3977" s="28" t="n">
        <v>852</v>
      </c>
      <c r="X3977" s="28" t="n">
        <v>8028</v>
      </c>
      <c r="Y3977" s="28" t="n">
        <v>24084</v>
      </c>
      <c r="Z3977" s="28"/>
      <c r="AA3977" s="28" t="n">
        <f aca="false">Z3977*$M3977</f>
        <v>0</v>
      </c>
      <c r="AB3977" s="28"/>
      <c r="AC3977" s="28" t="n">
        <f aca="false">AB3977*$M3977</f>
        <v>0</v>
      </c>
      <c r="AD3977" s="28"/>
      <c r="AE3977" s="28" t="n">
        <f aca="false">AD3977*$M3977</f>
        <v>0</v>
      </c>
      <c r="AF3977" s="28"/>
      <c r="AG3977" s="28" t="n">
        <f aca="false">AF3977*$M3977</f>
        <v>0</v>
      </c>
      <c r="AH3977" s="28"/>
      <c r="AI3977" s="28" t="n">
        <f aca="false">AH3977*$M3977</f>
        <v>0</v>
      </c>
      <c r="AJ3977" s="28"/>
      <c r="AK3977" s="28" t="n">
        <f aca="false">AJ3977*$M3977</f>
        <v>0</v>
      </c>
      <c r="AL3977" s="28" t="n">
        <v>2127</v>
      </c>
      <c r="AM3977" s="28" t="n">
        <v>6381</v>
      </c>
      <c r="AN3977" s="28"/>
      <c r="AO3977" s="28" t="n">
        <f aca="false">AN3977*$M3977</f>
        <v>0</v>
      </c>
      <c r="AP3977" s="28"/>
      <c r="AQ3977" s="28" t="n">
        <f aca="false">AP3977*$M3977</f>
        <v>0</v>
      </c>
      <c r="AR3977" s="28"/>
      <c r="AS3977" s="28" t="n">
        <f aca="false">AR3977*$M3977</f>
        <v>0</v>
      </c>
      <c r="AT3977" s="28"/>
      <c r="AU3977" s="28" t="n">
        <f aca="false">AT3977*$M3977</f>
        <v>0</v>
      </c>
      <c r="AV3977" s="28"/>
      <c r="AW3977" s="28" t="n">
        <f aca="false">AV3977*$M3977</f>
        <v>0</v>
      </c>
      <c r="AX3977" s="28"/>
      <c r="AY3977" s="28" t="n">
        <f aca="false">AX3977*$M3977</f>
        <v>0</v>
      </c>
      <c r="AZ3977" s="30" t="n">
        <v>10439</v>
      </c>
      <c r="BA3977" s="11" t="n">
        <v>31317</v>
      </c>
      <c r="BB3977" s="31" t="n">
        <f aca="false">SUM(Q3977,S3977,U3977,W3977,Y3977,AA3977,AC3977,AE3977,AG3977,AI3977,AK3977,AM3977,AO3977,AQ3977,AS3977,AU3977,AW3977,AY3977)</f>
        <v>31317</v>
      </c>
      <c r="BC3977" s="28" t="n">
        <f aca="false">BA3977-BB3977</f>
        <v>0</v>
      </c>
      <c r="BD3977" s="32" t="n">
        <f aca="false">SUM(P3977,R3977,T3977,V3977,X3977,Z3977,AB3977,AD3977,AF3977,AH3977,AJ3977,AL3977,AN3977,AP3977,AR3977,AT3977,AV3977,AX3977)</f>
        <v>10439</v>
      </c>
      <c r="BE3977" s="33" t="n">
        <f aca="false">AZ3977-BD3977</f>
        <v>0</v>
      </c>
      <c r="BF3977" s="34" t="n">
        <f aca="false">BD3977*M3977</f>
        <v>31317</v>
      </c>
      <c r="BG3977" s="35" t="n">
        <f aca="false">BA3977-BF3977</f>
        <v>0</v>
      </c>
      <c r="BH3977" s="19" t="str">
        <f aca="false">IF(BG3977=0,"",IF(BG3977&lt;&gt;BA3977,"erreur de calcul",IF(BD3977&lt;&gt;0,"pas de prix",IF(M3977&lt;&gt; 0,"pas de quantité","pas de prix, ni de quantité"))))</f>
        <v/>
      </c>
      <c r="BI3977" s="19"/>
    </row>
    <row r="3978" customFormat="false" ht="15" hidden="false" customHeight="false" outlineLevel="0" collapsed="false">
      <c r="A3978" s="0" t="n">
        <v>38</v>
      </c>
      <c r="B3978" s="8" t="s">
        <v>24</v>
      </c>
      <c r="C3978" s="9" t="s">
        <v>25</v>
      </c>
      <c r="D3978" s="9" t="s">
        <v>26</v>
      </c>
      <c r="E3978" s="10" t="n">
        <v>1789</v>
      </c>
      <c r="F3978" s="9" t="s">
        <v>27</v>
      </c>
      <c r="G3978" s="9" t="s">
        <v>27</v>
      </c>
      <c r="H3978" s="11" t="n">
        <v>21</v>
      </c>
      <c r="I3978" s="11" t="s">
        <v>191</v>
      </c>
      <c r="J3978" s="14" t="n">
        <v>25</v>
      </c>
      <c r="K3978" s="14"/>
      <c r="L3978" s="16"/>
      <c r="M3978" s="27" t="n">
        <f aca="false">J3978+(K3978/20)+(L3978/240)</f>
        <v>25</v>
      </c>
      <c r="N3978" s="17" t="s">
        <v>64</v>
      </c>
      <c r="O3978" s="11"/>
      <c r="P3978" s="28"/>
      <c r="Q3978" s="28" t="n">
        <f aca="false">P3978*$M3978</f>
        <v>0</v>
      </c>
      <c r="R3978" s="28"/>
      <c r="S3978" s="28" t="n">
        <f aca="false">R3978*$M3978</f>
        <v>0</v>
      </c>
      <c r="T3978" s="28"/>
      <c r="U3978" s="28" t="n">
        <f aca="false">T3978*$M3978</f>
        <v>0</v>
      </c>
      <c r="V3978" s="28"/>
      <c r="W3978" s="28" t="n">
        <f aca="false">V3978*$M3978</f>
        <v>0</v>
      </c>
      <c r="X3978" s="28" t="n">
        <f aca="false">5034/100</f>
        <v>50.34</v>
      </c>
      <c r="Y3978" s="28" t="n">
        <v>1258</v>
      </c>
      <c r="Z3978" s="28"/>
      <c r="AA3978" s="28" t="n">
        <f aca="false">Z3978*$M3978</f>
        <v>0</v>
      </c>
      <c r="AB3978" s="28"/>
      <c r="AC3978" s="28" t="n">
        <f aca="false">AB3978*$M3978</f>
        <v>0</v>
      </c>
      <c r="AD3978" s="28"/>
      <c r="AE3978" s="28" t="n">
        <f aca="false">AD3978*$M3978</f>
        <v>0</v>
      </c>
      <c r="AF3978" s="28"/>
      <c r="AG3978" s="28" t="n">
        <f aca="false">AF3978*$M3978</f>
        <v>0</v>
      </c>
      <c r="AH3978" s="28"/>
      <c r="AI3978" s="28" t="n">
        <f aca="false">AH3978*$M3978</f>
        <v>0</v>
      </c>
      <c r="AJ3978" s="28" t="n">
        <f aca="false">1375/100</f>
        <v>13.75</v>
      </c>
      <c r="AK3978" s="28" t="n">
        <v>344</v>
      </c>
      <c r="AL3978" s="28" t="n">
        <f aca="false">6710/100</f>
        <v>67.1</v>
      </c>
      <c r="AM3978" s="28" t="n">
        <v>1677</v>
      </c>
      <c r="AN3978" s="28"/>
      <c r="AO3978" s="28" t="n">
        <f aca="false">AN3978*$M3978</f>
        <v>0</v>
      </c>
      <c r="AP3978" s="28"/>
      <c r="AQ3978" s="28" t="n">
        <f aca="false">AP3978*$M3978</f>
        <v>0</v>
      </c>
      <c r="AR3978" s="28"/>
      <c r="AS3978" s="28" t="n">
        <f aca="false">AR3978*$M3978</f>
        <v>0</v>
      </c>
      <c r="AT3978" s="28"/>
      <c r="AU3978" s="28" t="n">
        <f aca="false">AT3978*$M3978</f>
        <v>0</v>
      </c>
      <c r="AV3978" s="28"/>
      <c r="AW3978" s="28" t="n">
        <f aca="false">AV3978*$M3978</f>
        <v>0</v>
      </c>
      <c r="AX3978" s="28"/>
      <c r="AY3978" s="28" t="n">
        <f aca="false">AX3978*$M3978</f>
        <v>0</v>
      </c>
      <c r="AZ3978" s="30" t="n">
        <f aca="false">13119/100</f>
        <v>131.19</v>
      </c>
      <c r="BA3978" s="11" t="n">
        <v>3279</v>
      </c>
      <c r="BB3978" s="31" t="n">
        <f aca="false">SUM(Q3978,S3978,U3978,W3978,Y3978,AA3978,AC3978,AE3978,AG3978,AI3978,AK3978,AM3978,AO3978,AQ3978,AS3978,AU3978,AW3978,AY3978)</f>
        <v>3279</v>
      </c>
      <c r="BC3978" s="28" t="n">
        <f aca="false">BA3978-BB3978</f>
        <v>0</v>
      </c>
      <c r="BD3978" s="32" t="n">
        <f aca="false">SUM(P3978,R3978,T3978,V3978,X3978,Z3978,AB3978,AD3978,AF3978,AH3978,AJ3978,AL3978,AN3978,AP3978,AR3978,AT3978,AV3978,AX3978)</f>
        <v>131.19</v>
      </c>
      <c r="BE3978" s="33" t="n">
        <f aca="false">AZ3978-BD3978</f>
        <v>0</v>
      </c>
      <c r="BF3978" s="34" t="n">
        <f aca="false">BD3978*M3978</f>
        <v>3279.75</v>
      </c>
      <c r="BG3978" s="35" t="n">
        <f aca="false">BA3978-BF3978</f>
        <v>-0.75</v>
      </c>
      <c r="BH3978" s="19" t="str">
        <f aca="false">IF(BG3978=0,"",IF(BG3978&lt;&gt;BA3978,"erreur de calcul",IF(BD3978&lt;&gt;0,"pas de prix",IF(M3978&lt;&gt; 0,"pas de quantité","pas de prix, ni de quantité"))))</f>
        <v>erreur de calcul</v>
      </c>
      <c r="BI3978" s="19"/>
    </row>
    <row r="3979" customFormat="false" ht="15" hidden="false" customHeight="false" outlineLevel="0" collapsed="false">
      <c r="A3979" s="0" t="n">
        <v>39</v>
      </c>
      <c r="B3979" s="8" t="s">
        <v>24</v>
      </c>
      <c r="C3979" s="9" t="s">
        <v>25</v>
      </c>
      <c r="D3979" s="9" t="s">
        <v>26</v>
      </c>
      <c r="E3979" s="10" t="n">
        <v>1789</v>
      </c>
      <c r="F3979" s="9" t="s">
        <v>27</v>
      </c>
      <c r="G3979" s="9" t="s">
        <v>27</v>
      </c>
      <c r="H3979" s="11" t="n">
        <v>21</v>
      </c>
      <c r="I3979" s="11" t="s">
        <v>192</v>
      </c>
      <c r="J3979" s="14" t="n">
        <v>25</v>
      </c>
      <c r="K3979" s="14"/>
      <c r="L3979" s="16"/>
      <c r="M3979" s="27" t="n">
        <f aca="false">J3979+(K3979/20)+(L3979/240)</f>
        <v>25</v>
      </c>
      <c r="N3979" s="17" t="s">
        <v>64</v>
      </c>
      <c r="O3979" s="11"/>
      <c r="P3979" s="28"/>
      <c r="Q3979" s="28" t="n">
        <f aca="false">P3979*$M3979</f>
        <v>0</v>
      </c>
      <c r="R3979" s="28"/>
      <c r="S3979" s="28" t="n">
        <f aca="false">R3979*$M3979</f>
        <v>0</v>
      </c>
      <c r="T3979" s="28"/>
      <c r="U3979" s="28" t="n">
        <f aca="false">T3979*$M3979</f>
        <v>0</v>
      </c>
      <c r="V3979" s="28"/>
      <c r="W3979" s="28" t="n">
        <f aca="false">V3979*$M3979</f>
        <v>0</v>
      </c>
      <c r="X3979" s="28" t="n">
        <f aca="false">5561/100</f>
        <v>55.61</v>
      </c>
      <c r="Y3979" s="28" t="n">
        <v>1390</v>
      </c>
      <c r="Z3979" s="28"/>
      <c r="AA3979" s="28" t="n">
        <f aca="false">Z3979*$M3979</f>
        <v>0</v>
      </c>
      <c r="AB3979" s="28"/>
      <c r="AC3979" s="28" t="n">
        <f aca="false">AB3979*$M3979</f>
        <v>0</v>
      </c>
      <c r="AD3979" s="28"/>
      <c r="AE3979" s="28" t="n">
        <f aca="false">AD3979*$M3979</f>
        <v>0</v>
      </c>
      <c r="AF3979" s="28"/>
      <c r="AG3979" s="28" t="n">
        <f aca="false">AF3979*$M3979</f>
        <v>0</v>
      </c>
      <c r="AH3979" s="28"/>
      <c r="AI3979" s="28" t="n">
        <f aca="false">AH3979*$M3979</f>
        <v>0</v>
      </c>
      <c r="AJ3979" s="28"/>
      <c r="AK3979" s="28" t="n">
        <f aca="false">AJ3979*$M3979</f>
        <v>0</v>
      </c>
      <c r="AL3979" s="28"/>
      <c r="AM3979" s="28" t="n">
        <f aca="false">AL3979*$M3979</f>
        <v>0</v>
      </c>
      <c r="AN3979" s="28"/>
      <c r="AO3979" s="28" t="n">
        <f aca="false">AN3979*$M3979</f>
        <v>0</v>
      </c>
      <c r="AP3979" s="28"/>
      <c r="AQ3979" s="28" t="n">
        <f aca="false">AP3979*$M3979</f>
        <v>0</v>
      </c>
      <c r="AR3979" s="28"/>
      <c r="AS3979" s="28" t="n">
        <f aca="false">AR3979*$M3979</f>
        <v>0</v>
      </c>
      <c r="AT3979" s="28"/>
      <c r="AU3979" s="28" t="n">
        <f aca="false">AT3979*$M3979</f>
        <v>0</v>
      </c>
      <c r="AV3979" s="28"/>
      <c r="AW3979" s="28" t="n">
        <f aca="false">AV3979*$M3979</f>
        <v>0</v>
      </c>
      <c r="AX3979" s="28"/>
      <c r="AY3979" s="28" t="n">
        <f aca="false">AX3979*$M3979</f>
        <v>0</v>
      </c>
      <c r="AZ3979" s="30" t="n">
        <f aca="false">5561/100</f>
        <v>55.61</v>
      </c>
      <c r="BA3979" s="11" t="n">
        <v>1390</v>
      </c>
      <c r="BB3979" s="31" t="n">
        <f aca="false">SUM(Q3979,S3979,U3979,W3979,Y3979,AA3979,AC3979,AE3979,AG3979,AI3979,AK3979,AM3979,AO3979,AQ3979,AS3979,AU3979,AW3979,AY3979)</f>
        <v>1390</v>
      </c>
      <c r="BC3979" s="28" t="n">
        <f aca="false">BA3979-BB3979</f>
        <v>0</v>
      </c>
      <c r="BD3979" s="32" t="n">
        <f aca="false">SUM(P3979,R3979,T3979,V3979,X3979,Z3979,AB3979,AD3979,AF3979,AH3979,AJ3979,AL3979,AN3979,AP3979,AR3979,AT3979,AV3979,AX3979)</f>
        <v>55.61</v>
      </c>
      <c r="BE3979" s="33" t="n">
        <f aca="false">AZ3979-BD3979</f>
        <v>0</v>
      </c>
      <c r="BF3979" s="34" t="n">
        <f aca="false">BD3979*M3979</f>
        <v>1390.25</v>
      </c>
      <c r="BG3979" s="35" t="n">
        <f aca="false">BA3979-BF3979</f>
        <v>-0.25</v>
      </c>
      <c r="BH3979" s="19" t="str">
        <f aca="false">IF(BG3979=0,"",IF(BG3979&lt;&gt;BA3979,"erreur de calcul",IF(BD3979&lt;&gt;0,"pas de prix",IF(M3979&lt;&gt; 0,"pas de quantité","pas de prix, ni de quantité"))))</f>
        <v>erreur de calcul</v>
      </c>
      <c r="BI3979" s="19"/>
    </row>
    <row r="3980" customFormat="false" ht="15" hidden="false" customHeight="false" outlineLevel="0" collapsed="false">
      <c r="A3980" s="0" t="n">
        <v>40</v>
      </c>
      <c r="B3980" s="8" t="s">
        <v>24</v>
      </c>
      <c r="C3980" s="9" t="s">
        <v>25</v>
      </c>
      <c r="D3980" s="9" t="s">
        <v>26</v>
      </c>
      <c r="E3980" s="10" t="n">
        <v>1789</v>
      </c>
      <c r="F3980" s="9" t="s">
        <v>27</v>
      </c>
      <c r="G3980" s="9" t="s">
        <v>27</v>
      </c>
      <c r="H3980" s="11" t="n">
        <v>21</v>
      </c>
      <c r="I3980" s="11" t="s">
        <v>193</v>
      </c>
      <c r="J3980" s="14" t="n">
        <v>168</v>
      </c>
      <c r="K3980" s="14"/>
      <c r="L3980" s="16"/>
      <c r="M3980" s="27" t="n">
        <f aca="false">J3980+(K3980/20)+(L3980/240)</f>
        <v>168</v>
      </c>
      <c r="N3980" s="17" t="s">
        <v>64</v>
      </c>
      <c r="O3980" s="11"/>
      <c r="P3980" s="28"/>
      <c r="Q3980" s="28" t="n">
        <f aca="false">P3980*$M3980</f>
        <v>0</v>
      </c>
      <c r="R3980" s="28"/>
      <c r="S3980" s="28" t="n">
        <f aca="false">R3980*$M3980</f>
        <v>0</v>
      </c>
      <c r="T3980" s="28"/>
      <c r="U3980" s="28" t="n">
        <f aca="false">T3980*$M3980</f>
        <v>0</v>
      </c>
      <c r="V3980" s="28"/>
      <c r="W3980" s="28" t="n">
        <f aca="false">V3980*$M3980</f>
        <v>0</v>
      </c>
      <c r="X3980" s="28"/>
      <c r="Y3980" s="28" t="n">
        <f aca="false">X3980*$M3980</f>
        <v>0</v>
      </c>
      <c r="Z3980" s="28"/>
      <c r="AA3980" s="28" t="n">
        <f aca="false">Z3980*$M3980</f>
        <v>0</v>
      </c>
      <c r="AB3980" s="28"/>
      <c r="AC3980" s="28" t="n">
        <f aca="false">AB3980*$M3980</f>
        <v>0</v>
      </c>
      <c r="AD3980" s="28"/>
      <c r="AE3980" s="28" t="n">
        <f aca="false">AD3980*$M3980</f>
        <v>0</v>
      </c>
      <c r="AF3980" s="28"/>
      <c r="AG3980" s="28" t="n">
        <f aca="false">AF3980*$M3980</f>
        <v>0</v>
      </c>
      <c r="AH3980" s="28" t="n">
        <f aca="false">14590/100</f>
        <v>145.9</v>
      </c>
      <c r="AI3980" s="28" t="n">
        <v>24511</v>
      </c>
      <c r="AJ3980" s="28"/>
      <c r="AK3980" s="28" t="n">
        <f aca="false">AJ3980*$M3980</f>
        <v>0</v>
      </c>
      <c r="AL3980" s="28"/>
      <c r="AM3980" s="28" t="n">
        <f aca="false">AL3980*$M3980</f>
        <v>0</v>
      </c>
      <c r="AN3980" s="28"/>
      <c r="AO3980" s="28" t="n">
        <f aca="false">AN3980*$M3980</f>
        <v>0</v>
      </c>
      <c r="AP3980" s="28"/>
      <c r="AQ3980" s="28" t="n">
        <f aca="false">AP3980*$M3980</f>
        <v>0</v>
      </c>
      <c r="AR3980" s="28"/>
      <c r="AS3980" s="28" t="n">
        <f aca="false">AR3980*$M3980</f>
        <v>0</v>
      </c>
      <c r="AT3980" s="28"/>
      <c r="AU3980" s="28" t="n">
        <f aca="false">AT3980*$M3980</f>
        <v>0</v>
      </c>
      <c r="AV3980" s="28"/>
      <c r="AW3980" s="28" t="n">
        <f aca="false">AV3980*$M3980</f>
        <v>0</v>
      </c>
      <c r="AX3980" s="28"/>
      <c r="AY3980" s="28" t="n">
        <f aca="false">AX3980*$M3980</f>
        <v>0</v>
      </c>
      <c r="AZ3980" s="30" t="n">
        <f aca="false">14590/100</f>
        <v>145.9</v>
      </c>
      <c r="BA3980" s="11" t="n">
        <v>24511</v>
      </c>
      <c r="BB3980" s="31" t="n">
        <f aca="false">SUM(Q3980,S3980,U3980,W3980,Y3980,AA3980,AC3980,AE3980,AG3980,AI3980,AK3980,AM3980,AO3980,AQ3980,AS3980,AU3980,AW3980,AY3980)</f>
        <v>24511</v>
      </c>
      <c r="BC3980" s="28" t="n">
        <f aca="false">BA3980-BB3980</f>
        <v>0</v>
      </c>
      <c r="BD3980" s="32" t="n">
        <f aca="false">SUM(P3980,R3980,T3980,V3980,X3980,Z3980,AB3980,AD3980,AF3980,AH3980,AJ3980,AL3980,AN3980,AP3980,AR3980,AT3980,AV3980,AX3980)</f>
        <v>145.9</v>
      </c>
      <c r="BE3980" s="33" t="n">
        <f aca="false">AZ3980-BD3980</f>
        <v>0</v>
      </c>
      <c r="BF3980" s="34" t="n">
        <f aca="false">BD3980*M3980</f>
        <v>24511.2</v>
      </c>
      <c r="BG3980" s="35" t="n">
        <f aca="false">BA3980-BF3980</f>
        <v>-0.200000000000728</v>
      </c>
      <c r="BH3980" s="19" t="str">
        <f aca="false">IF(BG3980=0,"",IF(BG3980&lt;&gt;BA3980,"erreur de calcul",IF(BD3980&lt;&gt;0,"pas de prix",IF(M3980&lt;&gt; 0,"pas de quantité","pas de prix, ni de quantité"))))</f>
        <v>erreur de calcul</v>
      </c>
      <c r="BI3980" s="19"/>
    </row>
    <row r="3981" customFormat="false" ht="15" hidden="false" customHeight="false" outlineLevel="0" collapsed="false">
      <c r="A3981" s="0" t="n">
        <v>41</v>
      </c>
      <c r="B3981" s="8" t="s">
        <v>24</v>
      </c>
      <c r="C3981" s="9" t="s">
        <v>25</v>
      </c>
      <c r="D3981" s="9" t="s">
        <v>26</v>
      </c>
      <c r="E3981" s="10" t="n">
        <v>1789</v>
      </c>
      <c r="F3981" s="9" t="s">
        <v>27</v>
      </c>
      <c r="G3981" s="9" t="s">
        <v>27</v>
      </c>
      <c r="H3981" s="11" t="n">
        <v>21</v>
      </c>
      <c r="I3981" s="11" t="s">
        <v>194</v>
      </c>
      <c r="J3981" s="14" t="n">
        <v>120</v>
      </c>
      <c r="K3981" s="14"/>
      <c r="L3981" s="16"/>
      <c r="M3981" s="27" t="n">
        <f aca="false">J3981+(K3981/20)+(L3981/240)</f>
        <v>120</v>
      </c>
      <c r="N3981" s="17" t="s">
        <v>64</v>
      </c>
      <c r="O3981" s="11"/>
      <c r="P3981" s="28"/>
      <c r="Q3981" s="28" t="n">
        <f aca="false">P3981*$M3981</f>
        <v>0</v>
      </c>
      <c r="R3981" s="28"/>
      <c r="S3981" s="28" t="n">
        <f aca="false">R3981*$M3981</f>
        <v>0</v>
      </c>
      <c r="T3981" s="28"/>
      <c r="U3981" s="28" t="n">
        <f aca="false">T3981*$M3981</f>
        <v>0</v>
      </c>
      <c r="V3981" s="28"/>
      <c r="W3981" s="28" t="n">
        <f aca="false">V3981*$M3981</f>
        <v>0</v>
      </c>
      <c r="X3981" s="28"/>
      <c r="Y3981" s="28" t="n">
        <f aca="false">X3981*$M3981</f>
        <v>0</v>
      </c>
      <c r="Z3981" s="28"/>
      <c r="AA3981" s="28" t="n">
        <f aca="false">Z3981*$M3981</f>
        <v>0</v>
      </c>
      <c r="AB3981" s="28" t="n">
        <f aca="false">6930/100</f>
        <v>69.3</v>
      </c>
      <c r="AC3981" s="28" t="n">
        <v>8316</v>
      </c>
      <c r="AD3981" s="28"/>
      <c r="AE3981" s="28" t="n">
        <f aca="false">AD3981*$M3981</f>
        <v>0</v>
      </c>
      <c r="AF3981" s="28"/>
      <c r="AG3981" s="28" t="n">
        <f aca="false">AF3981*$M3981</f>
        <v>0</v>
      </c>
      <c r="AH3981" s="28"/>
      <c r="AI3981" s="28" t="n">
        <f aca="false">AH3981*$M3981</f>
        <v>0</v>
      </c>
      <c r="AJ3981" s="28"/>
      <c r="AK3981" s="28" t="n">
        <f aca="false">AJ3981*$M3981</f>
        <v>0</v>
      </c>
      <c r="AL3981" s="28"/>
      <c r="AM3981" s="28" t="n">
        <f aca="false">AL3981*$M3981</f>
        <v>0</v>
      </c>
      <c r="AN3981" s="28"/>
      <c r="AO3981" s="28" t="n">
        <f aca="false">AN3981*$M3981</f>
        <v>0</v>
      </c>
      <c r="AP3981" s="28"/>
      <c r="AQ3981" s="28" t="n">
        <f aca="false">AP3981*$M3981</f>
        <v>0</v>
      </c>
      <c r="AR3981" s="28"/>
      <c r="AS3981" s="28" t="n">
        <f aca="false">AR3981*$M3981</f>
        <v>0</v>
      </c>
      <c r="AT3981" s="28"/>
      <c r="AU3981" s="28" t="n">
        <f aca="false">AT3981*$M3981</f>
        <v>0</v>
      </c>
      <c r="AV3981" s="28"/>
      <c r="AW3981" s="28" t="n">
        <f aca="false">AV3981*$M3981</f>
        <v>0</v>
      </c>
      <c r="AX3981" s="28"/>
      <c r="AY3981" s="28" t="n">
        <f aca="false">AX3981*$M3981</f>
        <v>0</v>
      </c>
      <c r="AZ3981" s="30" t="n">
        <f aca="false">6930/100</f>
        <v>69.3</v>
      </c>
      <c r="BA3981" s="11" t="n">
        <v>8316</v>
      </c>
      <c r="BB3981" s="31" t="n">
        <f aca="false">SUM(Q3981,S3981,U3981,W3981,Y3981,AA3981,AC3981,AE3981,AG3981,AI3981,AK3981,AM3981,AO3981,AQ3981,AS3981,AU3981,AW3981,AY3981)</f>
        <v>8316</v>
      </c>
      <c r="BC3981" s="28" t="n">
        <f aca="false">BA3981-BB3981</f>
        <v>0</v>
      </c>
      <c r="BD3981" s="32" t="n">
        <f aca="false">SUM(P3981,R3981,T3981,V3981,X3981,Z3981,AB3981,AD3981,AF3981,AH3981,AJ3981,AL3981,AN3981,AP3981,AR3981,AT3981,AV3981,AX3981)</f>
        <v>69.3</v>
      </c>
      <c r="BE3981" s="33" t="n">
        <f aca="false">AZ3981-BD3981</f>
        <v>0</v>
      </c>
      <c r="BF3981" s="34" t="n">
        <f aca="false">BD3981*M3981</f>
        <v>8316</v>
      </c>
      <c r="BG3981" s="35" t="n">
        <f aca="false">BA3981-BF3981</f>
        <v>0</v>
      </c>
      <c r="BH3981" s="19" t="str">
        <f aca="false">IF(BG3981=0,"",IF(BG3981&lt;&gt;BA3981,"erreur de calcul",IF(BD3981&lt;&gt;0,"pas de prix",IF(M3981&lt;&gt; 0,"pas de quantité","pas de prix, ni de quantité"))))</f>
        <v/>
      </c>
      <c r="BI3981" s="19"/>
    </row>
    <row r="3982" customFormat="false" ht="16.65" hidden="false" customHeight="false" outlineLevel="0" collapsed="false">
      <c r="A3982" s="0" t="n">
        <v>42</v>
      </c>
      <c r="B3982" s="8" t="s">
        <v>24</v>
      </c>
      <c r="C3982" s="9" t="s">
        <v>25</v>
      </c>
      <c r="D3982" s="9" t="s">
        <v>26</v>
      </c>
      <c r="E3982" s="10" t="n">
        <v>1789</v>
      </c>
      <c r="F3982" s="9" t="s">
        <v>27</v>
      </c>
      <c r="G3982" s="9" t="s">
        <v>27</v>
      </c>
      <c r="H3982" s="11" t="n">
        <v>21</v>
      </c>
      <c r="I3982" s="11" t="s">
        <v>195</v>
      </c>
      <c r="J3982" s="14" t="n">
        <v>70</v>
      </c>
      <c r="K3982" s="14"/>
      <c r="L3982" s="16"/>
      <c r="M3982" s="27" t="n">
        <f aca="false">J3982+(K3982/20)+(L3982/240)</f>
        <v>70</v>
      </c>
      <c r="N3982" s="17" t="s">
        <v>64</v>
      </c>
      <c r="O3982" s="11"/>
      <c r="P3982" s="28"/>
      <c r="Q3982" s="28" t="n">
        <f aca="false">P3982*$M3982</f>
        <v>0</v>
      </c>
      <c r="R3982" s="28"/>
      <c r="S3982" s="28" t="n">
        <f aca="false">R3982*$M3982</f>
        <v>0</v>
      </c>
      <c r="T3982" s="28"/>
      <c r="U3982" s="28" t="n">
        <f aca="false">T3982*$M3982</f>
        <v>0</v>
      </c>
      <c r="V3982" s="28"/>
      <c r="W3982" s="28" t="n">
        <f aca="false">V3982*$M3982</f>
        <v>0</v>
      </c>
      <c r="X3982" s="28"/>
      <c r="Y3982" s="28" t="n">
        <f aca="false">X3982*$M3982</f>
        <v>0</v>
      </c>
      <c r="Z3982" s="28"/>
      <c r="AA3982" s="28" t="n">
        <f aca="false">Z3982*$M3982</f>
        <v>0</v>
      </c>
      <c r="AB3982" s="28"/>
      <c r="AC3982" s="28" t="n">
        <f aca="false">AB3982*$M3982</f>
        <v>0</v>
      </c>
      <c r="AD3982" s="28"/>
      <c r="AE3982" s="28" t="n">
        <f aca="false">AD3982*$M3982</f>
        <v>0</v>
      </c>
      <c r="AF3982" s="28"/>
      <c r="AG3982" s="28" t="n">
        <f aca="false">AF3982*$M3982</f>
        <v>0</v>
      </c>
      <c r="AH3982" s="28"/>
      <c r="AI3982" s="28" t="n">
        <f aca="false">AH3982*$M3982</f>
        <v>0</v>
      </c>
      <c r="AJ3982" s="28"/>
      <c r="AK3982" s="28" t="n">
        <f aca="false">AJ3982*$M3982</f>
        <v>0</v>
      </c>
      <c r="AL3982" s="28"/>
      <c r="AM3982" s="28" t="n">
        <f aca="false">AL3982*$M3982</f>
        <v>0</v>
      </c>
      <c r="AN3982" s="28" t="n">
        <f aca="false">13200/100</f>
        <v>132</v>
      </c>
      <c r="AO3982" s="28" t="n">
        <v>9240</v>
      </c>
      <c r="AP3982" s="28"/>
      <c r="AQ3982" s="28" t="n">
        <f aca="false">AP3982*$M3982</f>
        <v>0</v>
      </c>
      <c r="AR3982" s="28"/>
      <c r="AS3982" s="28" t="n">
        <f aca="false">AR3982*$M3982</f>
        <v>0</v>
      </c>
      <c r="AT3982" s="28"/>
      <c r="AU3982" s="28" t="n">
        <f aca="false">AT3982*$M3982</f>
        <v>0</v>
      </c>
      <c r="AV3982" s="28"/>
      <c r="AW3982" s="28" t="n">
        <f aca="false">AV3982*$M3982</f>
        <v>0</v>
      </c>
      <c r="AX3982" s="28"/>
      <c r="AY3982" s="28" t="n">
        <f aca="false">AX3982*$M3982</f>
        <v>0</v>
      </c>
      <c r="AZ3982" s="30" t="n">
        <f aca="false">13200/100</f>
        <v>132</v>
      </c>
      <c r="BA3982" s="11" t="n">
        <v>9240</v>
      </c>
      <c r="BB3982" s="31" t="n">
        <f aca="false">SUM(Q3982,S3982,U3982,W3982,Y3982,AA3982,AC3982,AE3982,AG3982,AI3982,AK3982,AM3982,AO3982,AQ3982,AS3982,AU3982,AW3982,AY3982)</f>
        <v>9240</v>
      </c>
      <c r="BC3982" s="28" t="n">
        <f aca="false">BA3982-BB3982</f>
        <v>0</v>
      </c>
      <c r="BD3982" s="32" t="n">
        <f aca="false">SUM(P3982,R3982,T3982,V3982,X3982,Z3982,AB3982,AD3982,AF3982,AH3982,AJ3982,AL3982,AN3982,AP3982,AR3982,AT3982,AV3982,AX3982)</f>
        <v>132</v>
      </c>
      <c r="BE3982" s="33" t="n">
        <f aca="false">AZ3982-BD3982</f>
        <v>0</v>
      </c>
      <c r="BF3982" s="34" t="n">
        <f aca="false">BD3982*M3982</f>
        <v>9240</v>
      </c>
      <c r="BG3982" s="35" t="n">
        <f aca="false">BA3982-BF3982</f>
        <v>0</v>
      </c>
      <c r="BH3982" s="19" t="str">
        <f aca="false">IF(BG3982=0,"",IF(BG3982&lt;&gt;BA3982,"erreur de calcul",IF(BD3982&lt;&gt;0,"pas de prix",IF(M3982&lt;&gt; 0,"pas de quantité","pas de prix, ni de quantité"))))</f>
        <v/>
      </c>
      <c r="BI3982" s="19"/>
    </row>
    <row r="3983" customFormat="false" ht="15" hidden="false" customHeight="false" outlineLevel="0" collapsed="false">
      <c r="A3983" s="0" t="n">
        <v>43</v>
      </c>
      <c r="B3983" s="8" t="s">
        <v>24</v>
      </c>
      <c r="C3983" s="9" t="s">
        <v>25</v>
      </c>
      <c r="D3983" s="9" t="s">
        <v>26</v>
      </c>
      <c r="E3983" s="10" t="n">
        <v>1789</v>
      </c>
      <c r="F3983" s="9" t="s">
        <v>27</v>
      </c>
      <c r="G3983" s="9" t="s">
        <v>27</v>
      </c>
      <c r="H3983" s="11" t="n">
        <v>21</v>
      </c>
      <c r="I3983" s="11" t="s">
        <v>196</v>
      </c>
      <c r="J3983" s="14" t="n">
        <v>65</v>
      </c>
      <c r="K3983" s="14"/>
      <c r="L3983" s="16"/>
      <c r="M3983" s="27" t="n">
        <f aca="false">J3983+(K3983/20)+(L3983/240)</f>
        <v>65</v>
      </c>
      <c r="N3983" s="17" t="s">
        <v>64</v>
      </c>
      <c r="O3983" s="11"/>
      <c r="P3983" s="28"/>
      <c r="Q3983" s="28" t="n">
        <f aca="false">P3983*$M3983</f>
        <v>0</v>
      </c>
      <c r="R3983" s="28"/>
      <c r="S3983" s="28" t="n">
        <f aca="false">R3983*$M3983</f>
        <v>0</v>
      </c>
      <c r="T3983" s="28"/>
      <c r="U3983" s="28" t="n">
        <f aca="false">T3983*$M3983</f>
        <v>0</v>
      </c>
      <c r="V3983" s="28"/>
      <c r="W3983" s="28" t="n">
        <f aca="false">V3983*$M3983</f>
        <v>0</v>
      </c>
      <c r="X3983" s="28" t="n">
        <f aca="false">44247/100</f>
        <v>442.47</v>
      </c>
      <c r="Y3983" s="28" t="n">
        <v>28760</v>
      </c>
      <c r="Z3983" s="28" t="n">
        <f aca="false">1906/100</f>
        <v>19.06</v>
      </c>
      <c r="AA3983" s="28" t="n">
        <v>1239</v>
      </c>
      <c r="AB3983" s="28"/>
      <c r="AC3983" s="28" t="n">
        <f aca="false">AB3983*$M3983</f>
        <v>0</v>
      </c>
      <c r="AD3983" s="28"/>
      <c r="AE3983" s="28" t="n">
        <f aca="false">AD3983*$M3983</f>
        <v>0</v>
      </c>
      <c r="AF3983" s="28"/>
      <c r="AG3983" s="28" t="n">
        <f aca="false">AF3983*$M3983</f>
        <v>0</v>
      </c>
      <c r="AH3983" s="28"/>
      <c r="AI3983" s="28" t="n">
        <f aca="false">AH3983*$M3983</f>
        <v>0</v>
      </c>
      <c r="AJ3983" s="28" t="n">
        <f aca="false">625/100</f>
        <v>6.25</v>
      </c>
      <c r="AK3983" s="28" t="n">
        <v>406</v>
      </c>
      <c r="AL3983" s="28"/>
      <c r="AM3983" s="28" t="n">
        <f aca="false">AL3983*$M3983</f>
        <v>0</v>
      </c>
      <c r="AN3983" s="28"/>
      <c r="AO3983" s="28" t="n">
        <f aca="false">AN3983*$M3983</f>
        <v>0</v>
      </c>
      <c r="AP3983" s="28"/>
      <c r="AQ3983" s="28" t="n">
        <f aca="false">AP3983*$M3983</f>
        <v>0</v>
      </c>
      <c r="AR3983" s="28"/>
      <c r="AS3983" s="28" t="n">
        <f aca="false">AR3983*$M3983</f>
        <v>0</v>
      </c>
      <c r="AT3983" s="28"/>
      <c r="AU3983" s="28" t="n">
        <f aca="false">AT3983*$M3983</f>
        <v>0</v>
      </c>
      <c r="AV3983" s="28"/>
      <c r="AW3983" s="28" t="n">
        <f aca="false">AV3983*$M3983</f>
        <v>0</v>
      </c>
      <c r="AX3983" s="28"/>
      <c r="AY3983" s="28" t="n">
        <f aca="false">AX3983*$M3983</f>
        <v>0</v>
      </c>
      <c r="AZ3983" s="30" t="n">
        <f aca="false">46778/100</f>
        <v>467.78</v>
      </c>
      <c r="BA3983" s="11" t="n">
        <v>30405</v>
      </c>
      <c r="BB3983" s="31" t="n">
        <f aca="false">SUM(Q3983,S3983,U3983,W3983,Y3983,AA3983,AC3983,AE3983,AG3983,AI3983,AK3983,AM3983,AO3983,AQ3983,AS3983,AU3983,AW3983,AY3983)</f>
        <v>30405</v>
      </c>
      <c r="BC3983" s="28" t="n">
        <f aca="false">BA3983-BB3983</f>
        <v>0</v>
      </c>
      <c r="BD3983" s="32" t="n">
        <f aca="false">SUM(P3983,R3983,T3983,V3983,X3983,Z3983,AB3983,AD3983,AF3983,AH3983,AJ3983,AL3983,AN3983,AP3983,AR3983,AT3983,AV3983,AX3983)</f>
        <v>467.78</v>
      </c>
      <c r="BE3983" s="33" t="n">
        <f aca="false">AZ3983-BD3983</f>
        <v>0</v>
      </c>
      <c r="BF3983" s="34" t="n">
        <f aca="false">BD3983*M3983</f>
        <v>30405.7</v>
      </c>
      <c r="BG3983" s="35" t="n">
        <f aca="false">BA3983-BF3983</f>
        <v>-0.700000000000728</v>
      </c>
      <c r="BH3983" s="19" t="str">
        <f aca="false">IF(BG3983=0,"",IF(BG3983&lt;&gt;BA3983,"erreur de calcul",IF(BD3983&lt;&gt;0,"pas de prix",IF(M3983&lt;&gt; 0,"pas de quantité","pas de prix, ni de quantité"))))</f>
        <v>erreur de calcul</v>
      </c>
      <c r="BI3983" s="19"/>
    </row>
    <row r="3984" customFormat="false" ht="15" hidden="false" customHeight="false" outlineLevel="0" collapsed="false">
      <c r="A3984" s="0" t="n">
        <v>44</v>
      </c>
      <c r="B3984" s="8" t="s">
        <v>24</v>
      </c>
      <c r="C3984" s="9" t="s">
        <v>25</v>
      </c>
      <c r="D3984" s="9" t="s">
        <v>26</v>
      </c>
      <c r="E3984" s="10" t="n">
        <v>1789</v>
      </c>
      <c r="F3984" s="9" t="s">
        <v>27</v>
      </c>
      <c r="G3984" s="9" t="s">
        <v>27</v>
      </c>
      <c r="H3984" s="11" t="n">
        <v>21</v>
      </c>
      <c r="I3984" s="11" t="s">
        <v>197</v>
      </c>
      <c r="J3984" s="14" t="n">
        <v>70</v>
      </c>
      <c r="K3984" s="14"/>
      <c r="L3984" s="16"/>
      <c r="M3984" s="27" t="n">
        <f aca="false">J3984+(K3984/20)+(L3984/240)</f>
        <v>70</v>
      </c>
      <c r="N3984" s="17" t="s">
        <v>64</v>
      </c>
      <c r="O3984" s="11"/>
      <c r="P3984" s="28"/>
      <c r="Q3984" s="28" t="n">
        <f aca="false">P3984*$M3984</f>
        <v>0</v>
      </c>
      <c r="R3984" s="28"/>
      <c r="S3984" s="28" t="n">
        <f aca="false">R3984*$M3984</f>
        <v>0</v>
      </c>
      <c r="T3984" s="28"/>
      <c r="U3984" s="28" t="n">
        <f aca="false">T3984*$M3984</f>
        <v>0</v>
      </c>
      <c r="V3984" s="28"/>
      <c r="W3984" s="28" t="n">
        <f aca="false">V3984*$M3984</f>
        <v>0</v>
      </c>
      <c r="X3984" s="28"/>
      <c r="Y3984" s="28" t="n">
        <f aca="false">X3984*$M3984</f>
        <v>0</v>
      </c>
      <c r="Z3984" s="28"/>
      <c r="AA3984" s="28" t="n">
        <f aca="false">Z3984*$M3984</f>
        <v>0</v>
      </c>
      <c r="AB3984" s="28"/>
      <c r="AC3984" s="28" t="n">
        <f aca="false">AB3984*$M3984</f>
        <v>0</v>
      </c>
      <c r="AD3984" s="28"/>
      <c r="AE3984" s="28" t="n">
        <f aca="false">AD3984*$M3984</f>
        <v>0</v>
      </c>
      <c r="AF3984" s="28"/>
      <c r="AG3984" s="28" t="n">
        <f aca="false">AF3984*$M3984</f>
        <v>0</v>
      </c>
      <c r="AH3984" s="28" t="n">
        <f aca="false">156436/100</f>
        <v>1564.36</v>
      </c>
      <c r="AI3984" s="28" t="n">
        <v>109505</v>
      </c>
      <c r="AJ3984" s="28"/>
      <c r="AK3984" s="28" t="n">
        <f aca="false">AJ3984*$M3984</f>
        <v>0</v>
      </c>
      <c r="AL3984" s="28"/>
      <c r="AM3984" s="28" t="n">
        <f aca="false">AL3984*$M3984</f>
        <v>0</v>
      </c>
      <c r="AN3984" s="28"/>
      <c r="AO3984" s="28" t="n">
        <f aca="false">AN3984*$M3984</f>
        <v>0</v>
      </c>
      <c r="AP3984" s="28"/>
      <c r="AQ3984" s="28" t="n">
        <f aca="false">AP3984*$M3984</f>
        <v>0</v>
      </c>
      <c r="AR3984" s="28"/>
      <c r="AS3984" s="28" t="n">
        <f aca="false">AR3984*$M3984</f>
        <v>0</v>
      </c>
      <c r="AT3984" s="28"/>
      <c r="AU3984" s="28" t="n">
        <f aca="false">AT3984*$M3984</f>
        <v>0</v>
      </c>
      <c r="AV3984" s="28"/>
      <c r="AW3984" s="28" t="n">
        <f aca="false">AV3984*$M3984</f>
        <v>0</v>
      </c>
      <c r="AX3984" s="28"/>
      <c r="AY3984" s="28" t="n">
        <f aca="false">AX3984*$M3984</f>
        <v>0</v>
      </c>
      <c r="AZ3984" s="30" t="n">
        <f aca="false">156436/100</f>
        <v>1564.36</v>
      </c>
      <c r="BA3984" s="11" t="n">
        <v>109505</v>
      </c>
      <c r="BB3984" s="31" t="n">
        <f aca="false">SUM(Q3984,S3984,U3984,W3984,Y3984,AA3984,AC3984,AE3984,AG3984,AI3984,AK3984,AM3984,AO3984,AQ3984,AS3984,AU3984,AW3984,AY3984)</f>
        <v>109505</v>
      </c>
      <c r="BC3984" s="28" t="n">
        <f aca="false">BA3984-BB3984</f>
        <v>0</v>
      </c>
      <c r="BD3984" s="32" t="n">
        <f aca="false">SUM(P3984,R3984,T3984,V3984,X3984,Z3984,AB3984,AD3984,AF3984,AH3984,AJ3984,AL3984,AN3984,AP3984,AR3984,AT3984,AV3984,AX3984)</f>
        <v>1564.36</v>
      </c>
      <c r="BE3984" s="33" t="n">
        <f aca="false">AZ3984-BD3984</f>
        <v>0</v>
      </c>
      <c r="BF3984" s="34" t="n">
        <f aca="false">BD3984*M3984</f>
        <v>109505.2</v>
      </c>
      <c r="BG3984" s="35" t="n">
        <f aca="false">BA3984-BF3984</f>
        <v>-0.19999999999709</v>
      </c>
      <c r="BH3984" s="19" t="str">
        <f aca="false">IF(BG3984=0,"",IF(BG3984&lt;&gt;BA3984,"erreur de calcul",IF(BD3984&lt;&gt;0,"pas de prix",IF(M3984&lt;&gt; 0,"pas de quantité","pas de prix, ni de quantité"))))</f>
        <v>erreur de calcul</v>
      </c>
      <c r="BI3984" s="19"/>
    </row>
    <row r="3985" customFormat="false" ht="15" hidden="false" customHeight="false" outlineLevel="0" collapsed="false">
      <c r="A3985" s="0" t="n">
        <v>45</v>
      </c>
      <c r="B3985" s="8" t="s">
        <v>24</v>
      </c>
      <c r="C3985" s="9" t="s">
        <v>25</v>
      </c>
      <c r="D3985" s="9" t="s">
        <v>26</v>
      </c>
      <c r="E3985" s="10" t="n">
        <v>1789</v>
      </c>
      <c r="F3985" s="9" t="s">
        <v>27</v>
      </c>
      <c r="G3985" s="9" t="s">
        <v>27</v>
      </c>
      <c r="H3985" s="11" t="n">
        <v>21</v>
      </c>
      <c r="I3985" s="11" t="s">
        <v>198</v>
      </c>
      <c r="J3985" s="14"/>
      <c r="K3985" s="14"/>
      <c r="L3985" s="16"/>
      <c r="M3985" s="27" t="n">
        <f aca="false">J3985+(K3985/20)+(L3985/240)</f>
        <v>0</v>
      </c>
      <c r="N3985" s="17"/>
      <c r="O3985" s="11" t="s">
        <v>98</v>
      </c>
      <c r="P3985" s="28"/>
      <c r="Q3985" s="28" t="n">
        <v>387</v>
      </c>
      <c r="R3985" s="28"/>
      <c r="S3985" s="28" t="n">
        <f aca="false">R3985*$M3985</f>
        <v>0</v>
      </c>
      <c r="T3985" s="28"/>
      <c r="U3985" s="28" t="n">
        <v>2349</v>
      </c>
      <c r="V3985" s="28"/>
      <c r="W3985" s="28" t="n">
        <v>978</v>
      </c>
      <c r="X3985" s="28"/>
      <c r="Y3985" s="28" t="n">
        <f aca="false">X3985*$M3985</f>
        <v>0</v>
      </c>
      <c r="Z3985" s="28"/>
      <c r="AA3985" s="28" t="n">
        <f aca="false">Z3985*$M3985</f>
        <v>0</v>
      </c>
      <c r="AB3985" s="28"/>
      <c r="AC3985" s="28" t="n">
        <v>328</v>
      </c>
      <c r="AD3985" s="28"/>
      <c r="AE3985" s="28" t="n">
        <f aca="false">AD3985*$M3985</f>
        <v>0</v>
      </c>
      <c r="AF3985" s="28"/>
      <c r="AG3985" s="28" t="n">
        <f aca="false">AF3985*$M3985</f>
        <v>0</v>
      </c>
      <c r="AH3985" s="28"/>
      <c r="AI3985" s="28" t="n">
        <v>878</v>
      </c>
      <c r="AJ3985" s="28"/>
      <c r="AK3985" s="28" t="n">
        <v>1546</v>
      </c>
      <c r="AL3985" s="28"/>
      <c r="AM3985" s="28" t="n">
        <f aca="false">AL3985*$M3985</f>
        <v>0</v>
      </c>
      <c r="AN3985" s="28"/>
      <c r="AO3985" s="28" t="n">
        <f aca="false">AN3985*$M3985</f>
        <v>0</v>
      </c>
      <c r="AP3985" s="28"/>
      <c r="AQ3985" s="28" t="n">
        <f aca="false">AP3985*$M3985</f>
        <v>0</v>
      </c>
      <c r="AR3985" s="28"/>
      <c r="AS3985" s="28" t="n">
        <f aca="false">AR3985*$M3985</f>
        <v>0</v>
      </c>
      <c r="AT3985" s="28"/>
      <c r="AU3985" s="28" t="n">
        <f aca="false">AT3985*$M3985</f>
        <v>0</v>
      </c>
      <c r="AV3985" s="28"/>
      <c r="AW3985" s="28" t="n">
        <f aca="false">AV3985*$M3985</f>
        <v>0</v>
      </c>
      <c r="AX3985" s="28"/>
      <c r="AY3985" s="28" t="n">
        <f aca="false">AX3985*$M3985</f>
        <v>0</v>
      </c>
      <c r="AZ3985" s="30"/>
      <c r="BA3985" s="11" t="n">
        <v>6466</v>
      </c>
      <c r="BB3985" s="31" t="n">
        <f aca="false">SUM(Q3985,S3985,U3985,W3985,Y3985,AA3985,AC3985,AE3985,AG3985,AI3985,AK3985,AM3985,AO3985,AQ3985,AS3985,AU3985,AW3985,AY3985)</f>
        <v>6466</v>
      </c>
      <c r="BC3985" s="28" t="n">
        <f aca="false">BA3985-BB3985</f>
        <v>0</v>
      </c>
      <c r="BD3985" s="32" t="n">
        <f aca="false">SUM(P3985,R3985,T3985,V3985,X3985,Z3985,AB3985,AD3985,AF3985,AH3985,AJ3985,AL3985,AN3985,AP3985,AR3985,AT3985,AV3985,AX3985)</f>
        <v>0</v>
      </c>
      <c r="BE3985" s="33" t="n">
        <f aca="false">AZ3985-BD3985</f>
        <v>0</v>
      </c>
      <c r="BF3985" s="34" t="n">
        <f aca="false">BD3985*M3985</f>
        <v>0</v>
      </c>
      <c r="BG3985" s="35" t="n">
        <f aca="false">BA3985-BF3985</f>
        <v>6466</v>
      </c>
      <c r="BH3985" s="19" t="str">
        <f aca="false">IF(BG3985=0,"",IF(BG3985&lt;&gt;BA3985,"erreur de calcul",IF(BD3985&lt;&gt;0,"pas de prix",IF(M3985&lt;&gt; 0,"pas de quantité","pas de prix, ni de quantité"))))</f>
        <v>pas de prix, ni de quantité</v>
      </c>
      <c r="BI3985" s="19"/>
    </row>
    <row r="3986" customFormat="false" ht="15" hidden="false" customHeight="false" outlineLevel="0" collapsed="false">
      <c r="A3986" s="0" t="n">
        <v>46</v>
      </c>
      <c r="B3986" s="8" t="s">
        <v>24</v>
      </c>
      <c r="C3986" s="9" t="s">
        <v>25</v>
      </c>
      <c r="D3986" s="9" t="s">
        <v>26</v>
      </c>
      <c r="E3986" s="10" t="n">
        <v>1789</v>
      </c>
      <c r="F3986" s="9" t="s">
        <v>27</v>
      </c>
      <c r="G3986" s="9" t="s">
        <v>27</v>
      </c>
      <c r="H3986" s="11" t="n">
        <v>21</v>
      </c>
      <c r="I3986" s="11" t="s">
        <v>199</v>
      </c>
      <c r="J3986" s="14" t="n">
        <v>27</v>
      </c>
      <c r="K3986" s="14"/>
      <c r="L3986" s="16"/>
      <c r="M3986" s="27" t="n">
        <f aca="false">J3986+(K3986/20)+(L3986/240)</f>
        <v>27</v>
      </c>
      <c r="N3986" s="17" t="s">
        <v>64</v>
      </c>
      <c r="O3986" s="11"/>
      <c r="P3986" s="28" t="n">
        <f aca="false">108627/100</f>
        <v>1086.27</v>
      </c>
      <c r="Q3986" s="28" t="n">
        <v>29329</v>
      </c>
      <c r="R3986" s="28"/>
      <c r="S3986" s="28" t="n">
        <f aca="false">R3986*$M3986</f>
        <v>0</v>
      </c>
      <c r="T3986" s="28"/>
      <c r="U3986" s="28" t="n">
        <f aca="false">T3986*$M3986</f>
        <v>0</v>
      </c>
      <c r="V3986" s="28"/>
      <c r="W3986" s="28" t="n">
        <f aca="false">V3986*$M3986</f>
        <v>0</v>
      </c>
      <c r="X3986" s="28"/>
      <c r="Y3986" s="28" t="n">
        <f aca="false">X3986*$M3986</f>
        <v>0</v>
      </c>
      <c r="Z3986" s="28" t="n">
        <f aca="false">535243/100</f>
        <v>5352.43</v>
      </c>
      <c r="AA3986" s="28" t="n">
        <v>144516</v>
      </c>
      <c r="AB3986" s="28"/>
      <c r="AC3986" s="28" t="n">
        <f aca="false">AB3986*$M3986</f>
        <v>0</v>
      </c>
      <c r="AD3986" s="28" t="n">
        <f aca="false">75759/100</f>
        <v>757.59</v>
      </c>
      <c r="AE3986" s="28" t="n">
        <v>20455</v>
      </c>
      <c r="AF3986" s="28"/>
      <c r="AG3986" s="28" t="n">
        <f aca="false">AF3986*$M3986</f>
        <v>0</v>
      </c>
      <c r="AH3986" s="28" t="n">
        <f aca="false">77800/100</f>
        <v>778</v>
      </c>
      <c r="AI3986" s="36" t="n">
        <v>21016</v>
      </c>
      <c r="AJ3986" s="28" t="n">
        <f aca="false">28078/100</f>
        <v>280.78</v>
      </c>
      <c r="AK3986" s="28" t="n">
        <v>7581</v>
      </c>
      <c r="AL3986" s="28" t="n">
        <f aca="false">15417/100</f>
        <v>154.17</v>
      </c>
      <c r="AM3986" s="28" t="n">
        <v>4162</v>
      </c>
      <c r="AN3986" s="28"/>
      <c r="AO3986" s="28" t="n">
        <f aca="false">AN3986*$M3986</f>
        <v>0</v>
      </c>
      <c r="AP3986" s="28"/>
      <c r="AQ3986" s="28" t="n">
        <f aca="false">AP3986*$M3986</f>
        <v>0</v>
      </c>
      <c r="AR3986" s="28"/>
      <c r="AS3986" s="28" t="n">
        <f aca="false">AR3986*$M3986</f>
        <v>0</v>
      </c>
      <c r="AT3986" s="28"/>
      <c r="AU3986" s="28" t="n">
        <f aca="false">AT3986*$M3986</f>
        <v>0</v>
      </c>
      <c r="AV3986" s="28"/>
      <c r="AW3986" s="28" t="n">
        <f aca="false">AV3986*$M3986</f>
        <v>0</v>
      </c>
      <c r="AX3986" s="28"/>
      <c r="AY3986" s="28" t="n">
        <f aca="false">AX3986*$M3986</f>
        <v>0</v>
      </c>
      <c r="AZ3986" s="30" t="n">
        <f aca="false">840924/100</f>
        <v>8409.24</v>
      </c>
      <c r="BA3986" s="11" t="n">
        <v>227059</v>
      </c>
      <c r="BB3986" s="31" t="n">
        <f aca="false">SUM(Q3986,S3986,U3986,W3986,Y3986,AA3986,AC3986,AE3986,AG3986,AI3986,AK3986,AM3986,AO3986,AQ3986,AS3986,AU3986,AW3986,AY3986)</f>
        <v>227059</v>
      </c>
      <c r="BC3986" s="28" t="n">
        <f aca="false">BA3986-BB3986</f>
        <v>0</v>
      </c>
      <c r="BD3986" s="32" t="n">
        <f aca="false">SUM(P3986,R3986,T3986,V3986,X3986,Z3986,AB3986,AD3986,AF3986,AH3986,AJ3986,AL3986,AN3986,AP3986,AR3986,AT3986,AV3986,AX3986)</f>
        <v>8409.24</v>
      </c>
      <c r="BE3986" s="33" t="n">
        <f aca="false">AZ3986-BD3986</f>
        <v>0</v>
      </c>
      <c r="BF3986" s="34" t="n">
        <f aca="false">BD3986*M3986</f>
        <v>227049.48</v>
      </c>
      <c r="BG3986" s="35" t="n">
        <f aca="false">BA3986-BF3986</f>
        <v>9.52000000001863</v>
      </c>
      <c r="BH3986" s="19" t="str">
        <f aca="false">IF(BG3986=0,"",IF(BG3986&lt;&gt;BA3986,"erreur de calcul",IF(BD3986&lt;&gt;0,"pas de prix",IF(M3986&lt;&gt; 0,"pas de quantité","pas de prix, ni de quantité"))))</f>
        <v>erreur de calcul</v>
      </c>
      <c r="BI3986" s="19"/>
    </row>
    <row r="3987" customFormat="false" ht="15" hidden="false" customHeight="false" outlineLevel="0" collapsed="false">
      <c r="A3987" s="0" t="n">
        <v>47</v>
      </c>
      <c r="B3987" s="8" t="s">
        <v>24</v>
      </c>
      <c r="C3987" s="9" t="s">
        <v>25</v>
      </c>
      <c r="D3987" s="9" t="s">
        <v>26</v>
      </c>
      <c r="E3987" s="10" t="n">
        <v>1789</v>
      </c>
      <c r="F3987" s="9" t="s">
        <v>27</v>
      </c>
      <c r="G3987" s="9" t="s">
        <v>27</v>
      </c>
      <c r="H3987" s="11" t="n">
        <v>21</v>
      </c>
      <c r="I3987" s="11" t="s">
        <v>200</v>
      </c>
      <c r="J3987" s="14" t="n">
        <v>25</v>
      </c>
      <c r="K3987" s="14"/>
      <c r="L3987" s="16"/>
      <c r="M3987" s="27" t="n">
        <f aca="false">J3987+(K3987/20)+(L3987/240)</f>
        <v>25</v>
      </c>
      <c r="N3987" s="17" t="s">
        <v>64</v>
      </c>
      <c r="O3987" s="11"/>
      <c r="P3987" s="28"/>
      <c r="Q3987" s="28" t="n">
        <f aca="false">P3987*$M3987</f>
        <v>0</v>
      </c>
      <c r="R3987" s="28"/>
      <c r="S3987" s="28" t="n">
        <f aca="false">R3987*$M3987</f>
        <v>0</v>
      </c>
      <c r="T3987" s="28" t="n">
        <f aca="false">56427/100</f>
        <v>564.27</v>
      </c>
      <c r="U3987" s="28" t="n">
        <v>14107</v>
      </c>
      <c r="V3987" s="28"/>
      <c r="W3987" s="28" t="n">
        <f aca="false">V3987*$M3987</f>
        <v>0</v>
      </c>
      <c r="X3987" s="28" t="n">
        <f aca="false">98758/100</f>
        <v>987.58</v>
      </c>
      <c r="Y3987" s="28" t="n">
        <v>24689</v>
      </c>
      <c r="Z3987" s="28"/>
      <c r="AA3987" s="28" t="n">
        <f aca="false">Z3987*$M3987</f>
        <v>0</v>
      </c>
      <c r="AB3987" s="28"/>
      <c r="AC3987" s="28" t="n">
        <f aca="false">AB3987*$M3987</f>
        <v>0</v>
      </c>
      <c r="AD3987" s="28"/>
      <c r="AE3987" s="28" t="n">
        <f aca="false">AD3987*$M3987</f>
        <v>0</v>
      </c>
      <c r="AF3987" s="28"/>
      <c r="AG3987" s="28" t="n">
        <f aca="false">AF3987*$M3987</f>
        <v>0</v>
      </c>
      <c r="AH3987" s="28"/>
      <c r="AI3987" s="28" t="n">
        <f aca="false">AH3987*$M3987</f>
        <v>0</v>
      </c>
      <c r="AJ3987" s="28"/>
      <c r="AK3987" s="28" t="n">
        <f aca="false">AJ3987*$M3987</f>
        <v>0</v>
      </c>
      <c r="AL3987" s="28"/>
      <c r="AM3987" s="28" t="n">
        <f aca="false">AL3987*$M3987</f>
        <v>0</v>
      </c>
      <c r="AN3987" s="28"/>
      <c r="AO3987" s="28" t="n">
        <f aca="false">AN3987*$M3987</f>
        <v>0</v>
      </c>
      <c r="AP3987" s="28"/>
      <c r="AQ3987" s="28" t="n">
        <f aca="false">AP3987*$M3987</f>
        <v>0</v>
      </c>
      <c r="AR3987" s="28"/>
      <c r="AS3987" s="28" t="n">
        <f aca="false">AR3987*$M3987</f>
        <v>0</v>
      </c>
      <c r="AT3987" s="28"/>
      <c r="AU3987" s="28" t="n">
        <f aca="false">AT3987*$M3987</f>
        <v>0</v>
      </c>
      <c r="AV3987" s="28"/>
      <c r="AW3987" s="28" t="n">
        <f aca="false">AV3987*$M3987</f>
        <v>0</v>
      </c>
      <c r="AX3987" s="28"/>
      <c r="AY3987" s="28" t="n">
        <f aca="false">AX3987*$M3987</f>
        <v>0</v>
      </c>
      <c r="AZ3987" s="30" t="n">
        <f aca="false">155115/100</f>
        <v>1551.15</v>
      </c>
      <c r="BA3987" s="11" t="n">
        <v>38796</v>
      </c>
      <c r="BB3987" s="31" t="n">
        <f aca="false">SUM(Q3987,S3987,U3987,W3987,Y3987,AA3987,AC3987,AE3987,AG3987,AI3987,AK3987,AM3987,AO3987,AQ3987,AS3987,AU3987,AW3987,AY3987)</f>
        <v>38796</v>
      </c>
      <c r="BC3987" s="28" t="n">
        <f aca="false">BA3987-BB3987</f>
        <v>0</v>
      </c>
      <c r="BD3987" s="32" t="n">
        <f aca="false">SUM(P3987,R3987,T3987,V3987,X3987,Z3987,AB3987,AD3987,AF3987,AH3987,AJ3987,AL3987,AN3987,AP3987,AR3987,AT3987,AV3987,AX3987)</f>
        <v>1551.85</v>
      </c>
      <c r="BE3987" s="33" t="n">
        <f aca="false">AZ3987-BD3987</f>
        <v>-0.699999999999818</v>
      </c>
      <c r="BF3987" s="34" t="n">
        <f aca="false">BD3987*M3987</f>
        <v>38796.25</v>
      </c>
      <c r="BG3987" s="35" t="n">
        <f aca="false">BA3987-BF3987</f>
        <v>-0.25</v>
      </c>
      <c r="BH3987" s="19" t="str">
        <f aca="false">IF(BG3987=0,"",IF(BG3987&lt;&gt;BA3987,"erreur de calcul",IF(BD3987&lt;&gt;0,"pas de prix",IF(M3987&lt;&gt; 0,"pas de quantité","pas de prix, ni de quantité"))))</f>
        <v>erreur de calcul</v>
      </c>
      <c r="BI3987" s="19"/>
    </row>
    <row r="3988" customFormat="false" ht="15" hidden="false" customHeight="false" outlineLevel="0" collapsed="false">
      <c r="A3988" s="0" t="n">
        <v>48</v>
      </c>
      <c r="B3988" s="8" t="s">
        <v>24</v>
      </c>
      <c r="C3988" s="9" t="s">
        <v>25</v>
      </c>
      <c r="D3988" s="9" t="s">
        <v>26</v>
      </c>
      <c r="E3988" s="10" t="n">
        <v>1789</v>
      </c>
      <c r="F3988" s="9" t="s">
        <v>27</v>
      </c>
      <c r="G3988" s="9" t="s">
        <v>27</v>
      </c>
      <c r="H3988" s="11" t="n">
        <v>21</v>
      </c>
      <c r="I3988" s="11" t="s">
        <v>201</v>
      </c>
      <c r="J3988" s="14"/>
      <c r="K3988" s="14" t="n">
        <v>15</v>
      </c>
      <c r="L3988" s="16"/>
      <c r="M3988" s="27" t="n">
        <f aca="false">J3988+(K3988/20)+(L3988/240)</f>
        <v>0.75</v>
      </c>
      <c r="N3988" s="17" t="s">
        <v>66</v>
      </c>
      <c r="O3988" s="11"/>
      <c r="P3988" s="28"/>
      <c r="Q3988" s="28" t="n">
        <f aca="false">P3988*$M3988</f>
        <v>0</v>
      </c>
      <c r="R3988" s="28"/>
      <c r="S3988" s="28" t="n">
        <f aca="false">R3988*$M3988</f>
        <v>0</v>
      </c>
      <c r="T3988" s="28"/>
      <c r="U3988" s="28" t="n">
        <f aca="false">T3988*$M3988</f>
        <v>0</v>
      </c>
      <c r="V3988" s="28"/>
      <c r="W3988" s="28" t="n">
        <f aca="false">V3988*$M3988</f>
        <v>0</v>
      </c>
      <c r="X3988" s="28"/>
      <c r="Y3988" s="28" t="n">
        <f aca="false">X3988*$M3988</f>
        <v>0</v>
      </c>
      <c r="Z3988" s="28"/>
      <c r="AA3988" s="28" t="n">
        <f aca="false">Z3988*$M3988</f>
        <v>0</v>
      </c>
      <c r="AB3988" s="28"/>
      <c r="AC3988" s="28" t="n">
        <f aca="false">AB3988*$M3988</f>
        <v>0</v>
      </c>
      <c r="AD3988" s="28"/>
      <c r="AE3988" s="28" t="n">
        <f aca="false">AD3988*$M3988</f>
        <v>0</v>
      </c>
      <c r="AF3988" s="28"/>
      <c r="AG3988" s="28" t="n">
        <f aca="false">AF3988*$M3988</f>
        <v>0</v>
      </c>
      <c r="AH3988" s="28"/>
      <c r="AI3988" s="28" t="n">
        <f aca="false">AH3988*$M3988</f>
        <v>0</v>
      </c>
      <c r="AJ3988" s="28" t="n">
        <v>6171</v>
      </c>
      <c r="AK3988" s="28" t="n">
        <v>4628</v>
      </c>
      <c r="AL3988" s="28"/>
      <c r="AM3988" s="28" t="n">
        <f aca="false">AL3988*$M3988</f>
        <v>0</v>
      </c>
      <c r="AN3988" s="28"/>
      <c r="AO3988" s="28" t="n">
        <f aca="false">AN3988*$M3988</f>
        <v>0</v>
      </c>
      <c r="AP3988" s="28"/>
      <c r="AQ3988" s="28" t="n">
        <f aca="false">AP3988*$M3988</f>
        <v>0</v>
      </c>
      <c r="AR3988" s="28"/>
      <c r="AS3988" s="28" t="n">
        <f aca="false">AR3988*$M3988</f>
        <v>0</v>
      </c>
      <c r="AT3988" s="28"/>
      <c r="AU3988" s="28" t="n">
        <f aca="false">AT3988*$M3988</f>
        <v>0</v>
      </c>
      <c r="AV3988" s="28"/>
      <c r="AW3988" s="28" t="n">
        <f aca="false">AV3988*$M3988</f>
        <v>0</v>
      </c>
      <c r="AX3988" s="28"/>
      <c r="AY3988" s="28" t="n">
        <f aca="false">AX3988*$M3988</f>
        <v>0</v>
      </c>
      <c r="AZ3988" s="30" t="n">
        <v>6171</v>
      </c>
      <c r="BA3988" s="11" t="n">
        <v>4628</v>
      </c>
      <c r="BB3988" s="31" t="n">
        <f aca="false">SUM(Q3988,S3988,U3988,W3988,Y3988,AA3988,AC3988,AE3988,AG3988,AI3988,AK3988,AM3988,AO3988,AQ3988,AS3988,AU3988,AW3988,AY3988)</f>
        <v>4628</v>
      </c>
      <c r="BC3988" s="28" t="n">
        <f aca="false">BA3988-BB3988</f>
        <v>0</v>
      </c>
      <c r="BD3988" s="32" t="n">
        <f aca="false">SUM(P3988,R3988,T3988,V3988,X3988,Z3988,AB3988,AD3988,AF3988,AH3988,AJ3988,AL3988,AN3988,AP3988,AR3988,AT3988,AV3988,AX3988)</f>
        <v>6171</v>
      </c>
      <c r="BE3988" s="33" t="n">
        <f aca="false">AZ3988-BD3988</f>
        <v>0</v>
      </c>
      <c r="BF3988" s="34" t="n">
        <f aca="false">BD3988*M3988</f>
        <v>4628.25</v>
      </c>
      <c r="BG3988" s="35" t="n">
        <f aca="false">BA3988-BF3988</f>
        <v>-0.25</v>
      </c>
      <c r="BH3988" s="19" t="str">
        <f aca="false">IF(BG3988=0,"",IF(BG3988&lt;&gt;BA3988,"erreur de calcul",IF(BD3988&lt;&gt;0,"pas de prix",IF(M3988&lt;&gt; 0,"pas de quantité","pas de prix, ni de quantité"))))</f>
        <v>erreur de calcul</v>
      </c>
      <c r="BI3988" s="19"/>
    </row>
    <row r="3989" customFormat="false" ht="15" hidden="false" customHeight="false" outlineLevel="0" collapsed="false">
      <c r="A3989" s="0" t="n">
        <v>1</v>
      </c>
      <c r="B3989" s="8" t="s">
        <v>24</v>
      </c>
      <c r="C3989" s="9" t="s">
        <v>25</v>
      </c>
      <c r="D3989" s="9" t="s">
        <v>26</v>
      </c>
      <c r="E3989" s="10" t="n">
        <v>1789</v>
      </c>
      <c r="F3989" s="9" t="s">
        <v>27</v>
      </c>
      <c r="G3989" s="9" t="s">
        <v>27</v>
      </c>
      <c r="H3989" s="11" t="n">
        <v>22</v>
      </c>
      <c r="I3989" s="11" t="s">
        <v>202</v>
      </c>
      <c r="J3989" s="14" t="n">
        <v>10</v>
      </c>
      <c r="K3989" s="14"/>
      <c r="L3989" s="16"/>
      <c r="M3989" s="27" t="n">
        <f aca="false">J3989+(K3989/20)+(L3989/240)</f>
        <v>10</v>
      </c>
      <c r="N3989" s="17" t="s">
        <v>64</v>
      </c>
      <c r="O3989" s="11"/>
      <c r="P3989" s="28" t="n">
        <f aca="false">36147/100</f>
        <v>361.47</v>
      </c>
      <c r="Q3989" s="28" t="n">
        <v>3615</v>
      </c>
      <c r="R3989" s="28"/>
      <c r="S3989" s="28" t="n">
        <f aca="false">R3989*$M3989</f>
        <v>0</v>
      </c>
      <c r="T3989" s="28"/>
      <c r="U3989" s="28" t="n">
        <f aca="false">T3989*$M3989</f>
        <v>0</v>
      </c>
      <c r="V3989" s="28"/>
      <c r="W3989" s="28" t="n">
        <f aca="false">V3989*$M3989</f>
        <v>0</v>
      </c>
      <c r="X3989" s="28"/>
      <c r="Y3989" s="28" t="n">
        <f aca="false">X3989*$M3989</f>
        <v>0</v>
      </c>
      <c r="Z3989" s="28"/>
      <c r="AA3989" s="28" t="n">
        <f aca="false">Z3989*$M3989</f>
        <v>0</v>
      </c>
      <c r="AB3989" s="28" t="n">
        <f aca="false">14437/100</f>
        <v>144.37</v>
      </c>
      <c r="AC3989" s="28" t="n">
        <v>1444</v>
      </c>
      <c r="AD3989" s="28"/>
      <c r="AE3989" s="28" t="n">
        <f aca="false">AD3989*$M3989</f>
        <v>0</v>
      </c>
      <c r="AF3989" s="28"/>
      <c r="AG3989" s="28" t="n">
        <f aca="false">AF3989*$M3989</f>
        <v>0</v>
      </c>
      <c r="AH3989" s="28"/>
      <c r="AI3989" s="28" t="n">
        <f aca="false">AH3989*$M3989</f>
        <v>0</v>
      </c>
      <c r="AJ3989" s="28" t="n">
        <f aca="false">36351/100</f>
        <v>363.51</v>
      </c>
      <c r="AK3989" s="28" t="n">
        <v>3635</v>
      </c>
      <c r="AL3989" s="28"/>
      <c r="AM3989" s="28" t="n">
        <f aca="false">AL3989*$M3989</f>
        <v>0</v>
      </c>
      <c r="AN3989" s="28"/>
      <c r="AO3989" s="28" t="n">
        <f aca="false">AN3989*$M3989</f>
        <v>0</v>
      </c>
      <c r="AP3989" s="28"/>
      <c r="AQ3989" s="28" t="n">
        <f aca="false">AP3989*$M3989</f>
        <v>0</v>
      </c>
      <c r="AR3989" s="28" t="n">
        <f aca="false">25120/100</f>
        <v>251.2</v>
      </c>
      <c r="AS3989" s="28" t="n">
        <v>2512</v>
      </c>
      <c r="AT3989" s="28"/>
      <c r="AU3989" s="28" t="n">
        <f aca="false">AT3989*$M3989</f>
        <v>0</v>
      </c>
      <c r="AV3989" s="28"/>
      <c r="AW3989" s="28" t="n">
        <f aca="false">AV3989*$M3989</f>
        <v>0</v>
      </c>
      <c r="AX3989" s="28"/>
      <c r="AY3989" s="28" t="n">
        <f aca="false">AX3989*$M3989</f>
        <v>0</v>
      </c>
      <c r="AZ3989" s="30" t="n">
        <f aca="false">112055/100</f>
        <v>1120.55</v>
      </c>
      <c r="BA3989" s="11" t="n">
        <v>11206</v>
      </c>
      <c r="BB3989" s="31" t="n">
        <f aca="false">SUM(Q3989,S3989,U3989,W3989,Y3989,AA3989,AC3989,AE3989,AG3989,AI3989,AK3989,AM3989,AO3989,AQ3989,AS3989,AU3989,AW3989,AY3989)</f>
        <v>11206</v>
      </c>
      <c r="BC3989" s="28" t="n">
        <f aca="false">BA3989-BB3989</f>
        <v>0</v>
      </c>
      <c r="BD3989" s="32" t="n">
        <f aca="false">SUM(P3989,R3989,T3989,V3989,X3989,Z3989,AB3989,AD3989,AF3989,AH3989,AJ3989,AL3989,AN3989,AP3989,AR3989,AT3989,AV3989,AX3989)</f>
        <v>1120.55</v>
      </c>
      <c r="BE3989" s="33" t="n">
        <f aca="false">AZ3989-BD3989</f>
        <v>0</v>
      </c>
      <c r="BF3989" s="34" t="n">
        <f aca="false">BD3989*M3989</f>
        <v>11205.5</v>
      </c>
      <c r="BG3989" s="35" t="n">
        <f aca="false">BA3989-BF3989</f>
        <v>0.499999999998181</v>
      </c>
      <c r="BH3989" s="19" t="str">
        <f aca="false">IF(BG3989=0,"",IF(BG3989&lt;&gt;BA3989,"erreur de calcul",IF(BD3989&lt;&gt;0,"pas de prix",IF(M3989&lt;&gt; 0,"pas de quantité","pas de prix, ni de quantité"))))</f>
        <v>erreur de calcul</v>
      </c>
      <c r="BI3989" s="19"/>
    </row>
    <row r="3990" customFormat="false" ht="15" hidden="false" customHeight="false" outlineLevel="0" collapsed="false">
      <c r="A3990" s="0" t="n">
        <v>2</v>
      </c>
      <c r="B3990" s="8" t="s">
        <v>24</v>
      </c>
      <c r="C3990" s="9" t="s">
        <v>25</v>
      </c>
      <c r="D3990" s="9" t="s">
        <v>26</v>
      </c>
      <c r="E3990" s="10" t="n">
        <v>1789</v>
      </c>
      <c r="F3990" s="9" t="s">
        <v>27</v>
      </c>
      <c r="G3990" s="9" t="s">
        <v>27</v>
      </c>
      <c r="H3990" s="11" t="n">
        <v>22</v>
      </c>
      <c r="I3990" s="11" t="s">
        <v>203</v>
      </c>
      <c r="J3990" s="14" t="n">
        <v>20</v>
      </c>
      <c r="K3990" s="14"/>
      <c r="L3990" s="16"/>
      <c r="M3990" s="27" t="n">
        <f aca="false">J3990+(K3990/20)+(L3990/240)</f>
        <v>20</v>
      </c>
      <c r="N3990" s="17" t="s">
        <v>64</v>
      </c>
      <c r="O3990" s="11"/>
      <c r="P3990" s="28"/>
      <c r="Q3990" s="28" t="n">
        <f aca="false">P3990*$M3990</f>
        <v>0</v>
      </c>
      <c r="R3990" s="28"/>
      <c r="S3990" s="28" t="n">
        <f aca="false">R3990*$M3990</f>
        <v>0</v>
      </c>
      <c r="T3990" s="28"/>
      <c r="U3990" s="28" t="n">
        <f aca="false">T3990*$M3990</f>
        <v>0</v>
      </c>
      <c r="V3990" s="28"/>
      <c r="W3990" s="28" t="n">
        <f aca="false">V3990*$M3990</f>
        <v>0</v>
      </c>
      <c r="X3990" s="28"/>
      <c r="Y3990" s="28" t="n">
        <f aca="false">X3990*$M3990</f>
        <v>0</v>
      </c>
      <c r="Z3990" s="28"/>
      <c r="AA3990" s="28" t="n">
        <f aca="false">Z3990*$M3990</f>
        <v>0</v>
      </c>
      <c r="AB3990" s="28"/>
      <c r="AC3990" s="28" t="n">
        <f aca="false">AB3990*$M3990</f>
        <v>0</v>
      </c>
      <c r="AD3990" s="28"/>
      <c r="AE3990" s="28" t="n">
        <f aca="false">AD3990*$M3990</f>
        <v>0</v>
      </c>
      <c r="AF3990" s="28"/>
      <c r="AG3990" s="28" t="n">
        <f aca="false">AF3990*$M3990</f>
        <v>0</v>
      </c>
      <c r="AH3990" s="28"/>
      <c r="AI3990" s="28" t="n">
        <f aca="false">AH3990*$M3990</f>
        <v>0</v>
      </c>
      <c r="AJ3990" s="28" t="n">
        <f aca="false">109254/100</f>
        <v>1092.54</v>
      </c>
      <c r="AK3990" s="28" t="n">
        <v>21851</v>
      </c>
      <c r="AL3990" s="28"/>
      <c r="AM3990" s="28" t="n">
        <f aca="false">AL3990*$M3990</f>
        <v>0</v>
      </c>
      <c r="AN3990" s="28"/>
      <c r="AO3990" s="28" t="n">
        <f aca="false">AN3990*$M3990</f>
        <v>0</v>
      </c>
      <c r="AP3990" s="28"/>
      <c r="AQ3990" s="28" t="n">
        <f aca="false">AP3990*$M3990</f>
        <v>0</v>
      </c>
      <c r="AR3990" s="28"/>
      <c r="AS3990" s="28" t="n">
        <f aca="false">AR3990*$M3990</f>
        <v>0</v>
      </c>
      <c r="AT3990" s="28"/>
      <c r="AU3990" s="28" t="n">
        <f aca="false">AT3990*$M3990</f>
        <v>0</v>
      </c>
      <c r="AV3990" s="28"/>
      <c r="AW3990" s="28" t="n">
        <f aca="false">AV3990*$M3990</f>
        <v>0</v>
      </c>
      <c r="AX3990" s="28"/>
      <c r="AY3990" s="28" t="n">
        <f aca="false">AX3990*$M3990</f>
        <v>0</v>
      </c>
      <c r="AZ3990" s="30" t="n">
        <f aca="false">109254/100</f>
        <v>1092.54</v>
      </c>
      <c r="BA3990" s="11" t="n">
        <v>21851</v>
      </c>
      <c r="BB3990" s="31" t="n">
        <f aca="false">SUM(Q3990,S3990,U3990,W3990,Y3990,AA3990,AC3990,AE3990,AG3990,AI3990,AK3990,AM3990,AO3990,AQ3990,AS3990,AU3990,AW3990,AY3990)</f>
        <v>21851</v>
      </c>
      <c r="BC3990" s="28" t="n">
        <f aca="false">BA3990-BB3990</f>
        <v>0</v>
      </c>
      <c r="BD3990" s="32" t="n">
        <f aca="false">SUM(P3990,R3990,T3990,V3990,X3990,Z3990,AB3990,AD3990,AF3990,AH3990,AJ3990,AL3990,AN3990,AP3990,AR3990,AT3990,AV3990,AX3990)</f>
        <v>1092.54</v>
      </c>
      <c r="BE3990" s="33" t="n">
        <f aca="false">AZ3990-BD3990</f>
        <v>0</v>
      </c>
      <c r="BF3990" s="34" t="n">
        <f aca="false">BD3990*M3990</f>
        <v>21850.8</v>
      </c>
      <c r="BG3990" s="35" t="n">
        <f aca="false">BA3990-BF3990</f>
        <v>0.200000000000728</v>
      </c>
      <c r="BH3990" s="19" t="str">
        <f aca="false">IF(BG3990=0,"",IF(BG3990&lt;&gt;BA3990,"erreur de calcul",IF(BD3990&lt;&gt;0,"pas de prix",IF(M3990&lt;&gt; 0,"pas de quantité","pas de prix, ni de quantité"))))</f>
        <v>erreur de calcul</v>
      </c>
      <c r="BI3990" s="19"/>
    </row>
    <row r="3991" customFormat="false" ht="15" hidden="false" customHeight="false" outlineLevel="0" collapsed="false">
      <c r="A3991" s="0" t="n">
        <v>3</v>
      </c>
      <c r="B3991" s="8" t="s">
        <v>24</v>
      </c>
      <c r="C3991" s="9" t="s">
        <v>25</v>
      </c>
      <c r="D3991" s="9" t="s">
        <v>26</v>
      </c>
      <c r="E3991" s="10" t="n">
        <v>1789</v>
      </c>
      <c r="F3991" s="9" t="s">
        <v>27</v>
      </c>
      <c r="G3991" s="9" t="s">
        <v>27</v>
      </c>
      <c r="H3991" s="11" t="n">
        <v>22</v>
      </c>
      <c r="I3991" s="11" t="s">
        <v>204</v>
      </c>
      <c r="J3991" s="14" t="n">
        <v>20</v>
      </c>
      <c r="K3991" s="14"/>
      <c r="L3991" s="16"/>
      <c r="M3991" s="27" t="n">
        <f aca="false">J3991+(K3991/20)+(L3991/240)</f>
        <v>20</v>
      </c>
      <c r="N3991" s="17" t="s">
        <v>66</v>
      </c>
      <c r="O3991" s="11"/>
      <c r="P3991" s="28" t="n">
        <v>106125</v>
      </c>
      <c r="Q3991" s="36" t="n">
        <v>2162500</v>
      </c>
      <c r="R3991" s="28"/>
      <c r="S3991" s="28" t="n">
        <f aca="false">R3991*$M3991</f>
        <v>0</v>
      </c>
      <c r="T3991" s="28"/>
      <c r="U3991" s="28" t="n">
        <f aca="false">T3991*$M3991</f>
        <v>0</v>
      </c>
      <c r="V3991" s="28"/>
      <c r="W3991" s="28" t="n">
        <f aca="false">V3991*$M3991</f>
        <v>0</v>
      </c>
      <c r="X3991" s="28"/>
      <c r="Y3991" s="28" t="n">
        <f aca="false">X3991*$M3991</f>
        <v>0</v>
      </c>
      <c r="Z3991" s="28"/>
      <c r="AA3991" s="28" t="n">
        <f aca="false">Z3991*$M3991</f>
        <v>0</v>
      </c>
      <c r="AB3991" s="28"/>
      <c r="AC3991" s="28" t="n">
        <f aca="false">AB3991*$M3991</f>
        <v>0</v>
      </c>
      <c r="AD3991" s="28"/>
      <c r="AE3991" s="28" t="n">
        <f aca="false">AD3991*$M3991</f>
        <v>0</v>
      </c>
      <c r="AF3991" s="28"/>
      <c r="AG3991" s="28" t="n">
        <f aca="false">AF3991*$M3991</f>
        <v>0</v>
      </c>
      <c r="AH3991" s="28"/>
      <c r="AI3991" s="28" t="n">
        <f aca="false">AH3991*$M3991</f>
        <v>0</v>
      </c>
      <c r="AJ3991" s="28"/>
      <c r="AK3991" s="28" t="n">
        <f aca="false">AJ3991*$M3991</f>
        <v>0</v>
      </c>
      <c r="AL3991" s="28"/>
      <c r="AM3991" s="28" t="n">
        <f aca="false">AL3991*$M3991</f>
        <v>0</v>
      </c>
      <c r="AN3991" s="28"/>
      <c r="AO3991" s="28" t="n">
        <f aca="false">AN3991*$M3991</f>
        <v>0</v>
      </c>
      <c r="AP3991" s="28"/>
      <c r="AQ3991" s="28" t="n">
        <f aca="false">AP3991*$M3991</f>
        <v>0</v>
      </c>
      <c r="AR3991" s="28"/>
      <c r="AS3991" s="28" t="n">
        <f aca="false">AR3991*$M3991</f>
        <v>0</v>
      </c>
      <c r="AT3991" s="28"/>
      <c r="AU3991" s="28" t="n">
        <f aca="false">AT3991*$M3991</f>
        <v>0</v>
      </c>
      <c r="AV3991" s="28"/>
      <c r="AW3991" s="28" t="n">
        <f aca="false">AV3991*$M3991</f>
        <v>0</v>
      </c>
      <c r="AX3991" s="28"/>
      <c r="AY3991" s="28" t="n">
        <f aca="false">AX3991*$M3991</f>
        <v>0</v>
      </c>
      <c r="AZ3991" s="30" t="n">
        <v>108125</v>
      </c>
      <c r="BA3991" s="11" t="n">
        <v>2162500</v>
      </c>
      <c r="BB3991" s="31" t="n">
        <f aca="false">SUM(Q3991,S3991,U3991,W3991,Y3991,AA3991,AC3991,AE3991,AG3991,AI3991,AK3991,AM3991,AO3991,AQ3991,AS3991,AU3991,AW3991,AY3991)</f>
        <v>2162500</v>
      </c>
      <c r="BC3991" s="28" t="n">
        <f aca="false">BA3991-BB3991</f>
        <v>0</v>
      </c>
      <c r="BD3991" s="32" t="n">
        <f aca="false">SUM(P3991,R3991,T3991,V3991,X3991,Z3991,AB3991,AD3991,AF3991,AH3991,AJ3991,AL3991,AN3991,AP3991,AR3991,AT3991,AV3991,AX3991)</f>
        <v>106125</v>
      </c>
      <c r="BE3991" s="33" t="n">
        <f aca="false">AZ3991-BD3991</f>
        <v>2000</v>
      </c>
      <c r="BF3991" s="34" t="n">
        <f aca="false">BD3991*M3991</f>
        <v>2122500</v>
      </c>
      <c r="BG3991" s="35" t="n">
        <f aca="false">BA3991-BF3991</f>
        <v>40000</v>
      </c>
      <c r="BH3991" s="19" t="str">
        <f aca="false">IF(BG3991=0,"",IF(BG3991&lt;&gt;BA3991,"erreur de calcul",IF(BD3991&lt;&gt;0,"pas de prix",IF(M3991&lt;&gt; 0,"pas de quantité","pas de prix, ni de quantité"))))</f>
        <v>erreur de calcul</v>
      </c>
      <c r="BI3991" s="19"/>
    </row>
    <row r="3992" customFormat="false" ht="15" hidden="false" customHeight="false" outlineLevel="0" collapsed="false">
      <c r="A3992" s="0" t="n">
        <v>4</v>
      </c>
      <c r="B3992" s="8" t="s">
        <v>24</v>
      </c>
      <c r="C3992" s="9" t="s">
        <v>25</v>
      </c>
      <c r="D3992" s="9" t="s">
        <v>26</v>
      </c>
      <c r="E3992" s="10" t="n">
        <v>1789</v>
      </c>
      <c r="F3992" s="9" t="s">
        <v>27</v>
      </c>
      <c r="G3992" s="9" t="s">
        <v>27</v>
      </c>
      <c r="H3992" s="11" t="n">
        <v>22</v>
      </c>
      <c r="I3992" s="11" t="s">
        <v>205</v>
      </c>
      <c r="J3992" s="14" t="n">
        <v>15</v>
      </c>
      <c r="K3992" s="14"/>
      <c r="L3992" s="16"/>
      <c r="M3992" s="27" t="n">
        <f aca="false">J3992+(K3992/20)+(L3992/240)</f>
        <v>15</v>
      </c>
      <c r="N3992" s="17" t="s">
        <v>64</v>
      </c>
      <c r="O3992" s="11"/>
      <c r="P3992" s="28"/>
      <c r="Q3992" s="28" t="n">
        <f aca="false">P3992*$M3992</f>
        <v>0</v>
      </c>
      <c r="R3992" s="28"/>
      <c r="S3992" s="28" t="n">
        <f aca="false">R3992*$M3992</f>
        <v>0</v>
      </c>
      <c r="T3992" s="28"/>
      <c r="U3992" s="28" t="n">
        <f aca="false">T3992*$M3992</f>
        <v>0</v>
      </c>
      <c r="V3992" s="28"/>
      <c r="W3992" s="28" t="n">
        <f aca="false">V3992*$M3992</f>
        <v>0</v>
      </c>
      <c r="X3992" s="28" t="n">
        <f aca="false">27897/100</f>
        <v>278.97</v>
      </c>
      <c r="Y3992" s="28" t="n">
        <v>4184</v>
      </c>
      <c r="Z3992" s="28"/>
      <c r="AA3992" s="28" t="n">
        <f aca="false">Z3992*$M3992</f>
        <v>0</v>
      </c>
      <c r="AB3992" s="28"/>
      <c r="AC3992" s="28" t="n">
        <f aca="false">AB3992*$M3992</f>
        <v>0</v>
      </c>
      <c r="AD3992" s="28"/>
      <c r="AE3992" s="28" t="n">
        <f aca="false">AD3992*$M3992</f>
        <v>0</v>
      </c>
      <c r="AF3992" s="28"/>
      <c r="AG3992" s="28" t="n">
        <f aca="false">AF3992*$M3992</f>
        <v>0</v>
      </c>
      <c r="AH3992" s="28"/>
      <c r="AI3992" s="28" t="n">
        <f aca="false">AH3992*$M3992</f>
        <v>0</v>
      </c>
      <c r="AJ3992" s="28" t="n">
        <f aca="false">63734/100</f>
        <v>637.34</v>
      </c>
      <c r="AK3992" s="28" t="n">
        <v>9560</v>
      </c>
      <c r="AL3992" s="28"/>
      <c r="AM3992" s="28" t="n">
        <f aca="false">AL3992*$M3992</f>
        <v>0</v>
      </c>
      <c r="AN3992" s="28"/>
      <c r="AO3992" s="28" t="n">
        <f aca="false">AN3992*$M3992</f>
        <v>0</v>
      </c>
      <c r="AP3992" s="28"/>
      <c r="AQ3992" s="28" t="n">
        <f aca="false">AP3992*$M3992</f>
        <v>0</v>
      </c>
      <c r="AR3992" s="28"/>
      <c r="AS3992" s="28" t="n">
        <f aca="false">AR3992*$M3992</f>
        <v>0</v>
      </c>
      <c r="AT3992" s="28"/>
      <c r="AU3992" s="28" t="n">
        <f aca="false">AT3992*$M3992</f>
        <v>0</v>
      </c>
      <c r="AV3992" s="28"/>
      <c r="AW3992" s="28" t="n">
        <f aca="false">AV3992*$M3992</f>
        <v>0</v>
      </c>
      <c r="AX3992" s="28"/>
      <c r="AY3992" s="28" t="n">
        <f aca="false">AX3992*$M3992</f>
        <v>0</v>
      </c>
      <c r="AZ3992" s="30" t="n">
        <f aca="false">91631/100</f>
        <v>916.31</v>
      </c>
      <c r="BA3992" s="11" t="n">
        <v>13744</v>
      </c>
      <c r="BB3992" s="31" t="n">
        <f aca="false">SUM(Q3992,S3992,U3992,W3992,Y3992,AA3992,AC3992,AE3992,AG3992,AI3992,AK3992,AM3992,AO3992,AQ3992,AS3992,AU3992,AW3992,AY3992)</f>
        <v>13744</v>
      </c>
      <c r="BC3992" s="28" t="n">
        <f aca="false">BA3992-BB3992</f>
        <v>0</v>
      </c>
      <c r="BD3992" s="32" t="n">
        <f aca="false">SUM(P3992,R3992,T3992,V3992,X3992,Z3992,AB3992,AD3992,AF3992,AH3992,AJ3992,AL3992,AN3992,AP3992,AR3992,AT3992,AV3992,AX3992)</f>
        <v>916.31</v>
      </c>
      <c r="BE3992" s="33" t="n">
        <f aca="false">AZ3992-BD3992</f>
        <v>0</v>
      </c>
      <c r="BF3992" s="34" t="n">
        <f aca="false">BD3992*M3992</f>
        <v>13744.65</v>
      </c>
      <c r="BG3992" s="35" t="n">
        <f aca="false">BA3992-BF3992</f>
        <v>-0.650000000001455</v>
      </c>
      <c r="BH3992" s="19" t="str">
        <f aca="false">IF(BG3992=0,"",IF(BG3992&lt;&gt;BA3992,"erreur de calcul",IF(BD3992&lt;&gt;0,"pas de prix",IF(M3992&lt;&gt; 0,"pas de quantité","pas de prix, ni de quantité"))))</f>
        <v>erreur de calcul</v>
      </c>
      <c r="BI3992" s="19"/>
    </row>
    <row r="3993" customFormat="false" ht="15" hidden="false" customHeight="false" outlineLevel="0" collapsed="false">
      <c r="A3993" s="0" t="n">
        <v>5</v>
      </c>
      <c r="B3993" s="8" t="s">
        <v>24</v>
      </c>
      <c r="C3993" s="9" t="s">
        <v>25</v>
      </c>
      <c r="D3993" s="9" t="s">
        <v>26</v>
      </c>
      <c r="E3993" s="10" t="n">
        <v>1789</v>
      </c>
      <c r="F3993" s="9" t="s">
        <v>27</v>
      </c>
      <c r="G3993" s="9" t="s">
        <v>27</v>
      </c>
      <c r="H3993" s="11" t="n">
        <v>22</v>
      </c>
      <c r="I3993" s="11" t="s">
        <v>206</v>
      </c>
      <c r="J3993" s="14" t="n">
        <v>30</v>
      </c>
      <c r="K3993" s="14"/>
      <c r="L3993" s="16"/>
      <c r="M3993" s="27" t="n">
        <f aca="false">J3993+(K3993/20)+(L3993/240)</f>
        <v>30</v>
      </c>
      <c r="N3993" s="17" t="s">
        <v>64</v>
      </c>
      <c r="O3993" s="11"/>
      <c r="P3993" s="28" t="n">
        <f aca="false">8334/100</f>
        <v>83.34</v>
      </c>
      <c r="Q3993" s="28" t="n">
        <v>2500</v>
      </c>
      <c r="R3993" s="28"/>
      <c r="S3993" s="28" t="n">
        <f aca="false">R3993*$M3993</f>
        <v>0</v>
      </c>
      <c r="T3993" s="28"/>
      <c r="U3993" s="28" t="n">
        <f aca="false">T3993*$M3993</f>
        <v>0</v>
      </c>
      <c r="V3993" s="28"/>
      <c r="W3993" s="28" t="n">
        <f aca="false">V3993*$M3993</f>
        <v>0</v>
      </c>
      <c r="X3993" s="28"/>
      <c r="Y3993" s="28" t="n">
        <f aca="false">X3993*$M3993</f>
        <v>0</v>
      </c>
      <c r="Z3993" s="28"/>
      <c r="AA3993" s="28" t="n">
        <f aca="false">Z3993*$M3993</f>
        <v>0</v>
      </c>
      <c r="AB3993" s="28"/>
      <c r="AC3993" s="28" t="n">
        <f aca="false">AB3993*$M3993</f>
        <v>0</v>
      </c>
      <c r="AD3993" s="28"/>
      <c r="AE3993" s="28" t="n">
        <f aca="false">AD3993*$M3993</f>
        <v>0</v>
      </c>
      <c r="AF3993" s="28"/>
      <c r="AG3993" s="28" t="n">
        <f aca="false">AF3993*$M3993</f>
        <v>0</v>
      </c>
      <c r="AH3993" s="28"/>
      <c r="AI3993" s="28" t="n">
        <f aca="false">AH3993*$M3993</f>
        <v>0</v>
      </c>
      <c r="AJ3993" s="28"/>
      <c r="AK3993" s="28" t="n">
        <f aca="false">AJ3993*$M3993</f>
        <v>0</v>
      </c>
      <c r="AL3993" s="28"/>
      <c r="AM3993" s="28" t="n">
        <f aca="false">AL3993*$M3993</f>
        <v>0</v>
      </c>
      <c r="AN3993" s="28"/>
      <c r="AO3993" s="28" t="n">
        <f aca="false">AN3993*$M3993</f>
        <v>0</v>
      </c>
      <c r="AP3993" s="28"/>
      <c r="AQ3993" s="28" t="n">
        <f aca="false">AP3993*$M3993</f>
        <v>0</v>
      </c>
      <c r="AR3993" s="28"/>
      <c r="AS3993" s="28" t="n">
        <f aca="false">AR3993*$M3993</f>
        <v>0</v>
      </c>
      <c r="AT3993" s="28"/>
      <c r="AU3993" s="28" t="n">
        <f aca="false">AT3993*$M3993</f>
        <v>0</v>
      </c>
      <c r="AV3993" s="28"/>
      <c r="AW3993" s="28" t="n">
        <f aca="false">AV3993*$M3993</f>
        <v>0</v>
      </c>
      <c r="AX3993" s="28"/>
      <c r="AY3993" s="28" t="n">
        <f aca="false">AX3993*$M3993</f>
        <v>0</v>
      </c>
      <c r="AZ3993" s="30" t="n">
        <f aca="false">8334/100</f>
        <v>83.34</v>
      </c>
      <c r="BA3993" s="11" t="n">
        <v>2500</v>
      </c>
      <c r="BB3993" s="31" t="n">
        <f aca="false">SUM(Q3993,S3993,U3993,W3993,Y3993,AA3993,AC3993,AE3993,AG3993,AI3993,AK3993,AM3993,AO3993,AQ3993,AS3993,AU3993,AW3993,AY3993)</f>
        <v>2500</v>
      </c>
      <c r="BC3993" s="28" t="n">
        <f aca="false">BA3993-BB3993</f>
        <v>0</v>
      </c>
      <c r="BD3993" s="32" t="n">
        <f aca="false">SUM(P3993,R3993,T3993,V3993,X3993,Z3993,AB3993,AD3993,AF3993,AH3993,AJ3993,AL3993,AN3993,AP3993,AR3993,AT3993,AV3993,AX3993)</f>
        <v>83.34</v>
      </c>
      <c r="BE3993" s="33" t="n">
        <f aca="false">AZ3993-BD3993</f>
        <v>0</v>
      </c>
      <c r="BF3993" s="34" t="n">
        <f aca="false">BD3993*M3993</f>
        <v>2500.2</v>
      </c>
      <c r="BG3993" s="35" t="n">
        <f aca="false">BA3993-BF3993</f>
        <v>-0.200000000000273</v>
      </c>
      <c r="BH3993" s="19" t="str">
        <f aca="false">IF(BG3993=0,"",IF(BG3993&lt;&gt;BA3993,"erreur de calcul",IF(BD3993&lt;&gt;0,"pas de prix",IF(M3993&lt;&gt; 0,"pas de quantité","pas de prix, ni de quantité"))))</f>
        <v>erreur de calcul</v>
      </c>
      <c r="BI3993" s="19"/>
    </row>
    <row r="3994" customFormat="false" ht="15" hidden="false" customHeight="false" outlineLevel="0" collapsed="false">
      <c r="A3994" s="0" t="n">
        <v>6</v>
      </c>
      <c r="B3994" s="8" t="s">
        <v>24</v>
      </c>
      <c r="C3994" s="9" t="s">
        <v>25</v>
      </c>
      <c r="D3994" s="9" t="s">
        <v>26</v>
      </c>
      <c r="E3994" s="10" t="n">
        <v>1789</v>
      </c>
      <c r="F3994" s="9" t="s">
        <v>27</v>
      </c>
      <c r="G3994" s="9" t="s">
        <v>27</v>
      </c>
      <c r="H3994" s="11" t="n">
        <v>22</v>
      </c>
      <c r="I3994" s="11" t="s">
        <v>207</v>
      </c>
      <c r="J3994" s="14"/>
      <c r="K3994" s="14" t="n">
        <v>20</v>
      </c>
      <c r="L3994" s="16"/>
      <c r="M3994" s="27" t="n">
        <f aca="false">J3994+(K3994/20)+(L3994/240)</f>
        <v>1</v>
      </c>
      <c r="N3994" s="17" t="s">
        <v>66</v>
      </c>
      <c r="O3994" s="11"/>
      <c r="P3994" s="28"/>
      <c r="Q3994" s="28" t="n">
        <f aca="false">P3994*$M3994</f>
        <v>0</v>
      </c>
      <c r="R3994" s="28"/>
      <c r="S3994" s="28" t="n">
        <f aca="false">R3994*$M3994</f>
        <v>0</v>
      </c>
      <c r="T3994" s="28"/>
      <c r="U3994" s="28" t="n">
        <f aca="false">T3994*$M3994</f>
        <v>0</v>
      </c>
      <c r="V3994" s="28" t="n">
        <v>33010</v>
      </c>
      <c r="W3994" s="28" t="n">
        <v>33010</v>
      </c>
      <c r="X3994" s="28" t="n">
        <v>292003</v>
      </c>
      <c r="Y3994" s="28" t="n">
        <v>292003</v>
      </c>
      <c r="Z3994" s="28" t="n">
        <v>15558</v>
      </c>
      <c r="AA3994" s="28" t="n">
        <v>15558</v>
      </c>
      <c r="AB3994" s="28" t="n">
        <v>80515</v>
      </c>
      <c r="AC3994" s="28" t="n">
        <v>80515</v>
      </c>
      <c r="AD3994" s="28"/>
      <c r="AE3994" s="28" t="n">
        <f aca="false">AD3994*$M3994</f>
        <v>0</v>
      </c>
      <c r="AF3994" s="28"/>
      <c r="AG3994" s="28" t="n">
        <f aca="false">AF3994*$M3994</f>
        <v>0</v>
      </c>
      <c r="AH3994" s="28" t="n">
        <v>515373</v>
      </c>
      <c r="AI3994" s="28" t="n">
        <v>515373</v>
      </c>
      <c r="AJ3994" s="28"/>
      <c r="AK3994" s="28" t="n">
        <f aca="false">AJ3994*$M3994</f>
        <v>0</v>
      </c>
      <c r="AL3994" s="28" t="n">
        <v>3480</v>
      </c>
      <c r="AM3994" s="28" t="n">
        <v>3480</v>
      </c>
      <c r="AN3994" s="28"/>
      <c r="AO3994" s="28" t="n">
        <f aca="false">AN3994*$M3994</f>
        <v>0</v>
      </c>
      <c r="AP3994" s="28"/>
      <c r="AQ3994" s="28" t="n">
        <f aca="false">AP3994*$M3994</f>
        <v>0</v>
      </c>
      <c r="AR3994" s="28"/>
      <c r="AS3994" s="28" t="n">
        <f aca="false">AR3994*$M3994</f>
        <v>0</v>
      </c>
      <c r="AT3994" s="28"/>
      <c r="AU3994" s="28" t="n">
        <f aca="false">AT3994*$M3994</f>
        <v>0</v>
      </c>
      <c r="AV3994" s="28"/>
      <c r="AW3994" s="28" t="n">
        <f aca="false">AV3994*$M3994</f>
        <v>0</v>
      </c>
      <c r="AX3994" s="28"/>
      <c r="AY3994" s="28" t="n">
        <f aca="false">AX3994*$M3994</f>
        <v>0</v>
      </c>
      <c r="AZ3994" s="30" t="n">
        <v>939939</v>
      </c>
      <c r="BA3994" s="11" t="n">
        <v>939939</v>
      </c>
      <c r="BB3994" s="31" t="n">
        <f aca="false">SUM(Q3994,S3994,U3994,W3994,Y3994,AA3994,AC3994,AE3994,AG3994,AI3994,AK3994,AM3994,AO3994,AQ3994,AS3994,AU3994,AW3994,AY3994)</f>
        <v>939939</v>
      </c>
      <c r="BC3994" s="28" t="n">
        <f aca="false">BA3994-BB3994</f>
        <v>0</v>
      </c>
      <c r="BD3994" s="32" t="n">
        <f aca="false">SUM(P3994,R3994,T3994,V3994,X3994,Z3994,AB3994,AD3994,AF3994,AH3994,AJ3994,AL3994,AN3994,AP3994,AR3994,AT3994,AV3994,AX3994)</f>
        <v>939939</v>
      </c>
      <c r="BE3994" s="33" t="n">
        <f aca="false">AZ3994-BD3994</f>
        <v>0</v>
      </c>
      <c r="BF3994" s="34" t="n">
        <f aca="false">BD3994*M3994</f>
        <v>939939</v>
      </c>
      <c r="BG3994" s="35" t="n">
        <f aca="false">BA3994-BF3994</f>
        <v>0</v>
      </c>
      <c r="BH3994" s="19" t="str">
        <f aca="false">IF(BG3994=0,"",IF(BG3994&lt;&gt;BA3994,"erreur de calcul",IF(BD3994&lt;&gt;0,"pas de prix",IF(M3994&lt;&gt; 0,"pas de quantité","pas de prix, ni de quantité"))))</f>
        <v/>
      </c>
      <c r="BI3994" s="19"/>
    </row>
    <row r="3995" customFormat="false" ht="15" hidden="false" customHeight="false" outlineLevel="0" collapsed="false">
      <c r="A3995" s="0" t="n">
        <v>7</v>
      </c>
      <c r="B3995" s="8" t="s">
        <v>24</v>
      </c>
      <c r="C3995" s="9" t="s">
        <v>25</v>
      </c>
      <c r="D3995" s="9" t="s">
        <v>26</v>
      </c>
      <c r="E3995" s="10" t="n">
        <v>1789</v>
      </c>
      <c r="F3995" s="9" t="s">
        <v>27</v>
      </c>
      <c r="G3995" s="9" t="s">
        <v>27</v>
      </c>
      <c r="H3995" s="11" t="n">
        <v>22</v>
      </c>
      <c r="I3995" s="11" t="s">
        <v>208</v>
      </c>
      <c r="J3995" s="14" t="n">
        <v>60</v>
      </c>
      <c r="K3995" s="14"/>
      <c r="L3995" s="16"/>
      <c r="M3995" s="27" t="n">
        <f aca="false">J3995+(K3995/20)+(L3995/240)</f>
        <v>60</v>
      </c>
      <c r="N3995" s="17" t="s">
        <v>64</v>
      </c>
      <c r="O3995" s="11"/>
      <c r="P3995" s="28"/>
      <c r="Q3995" s="28" t="n">
        <f aca="false">P3995*$M3995</f>
        <v>0</v>
      </c>
      <c r="R3995" s="28"/>
      <c r="S3995" s="28" t="n">
        <f aca="false">R3995*$M3995</f>
        <v>0</v>
      </c>
      <c r="T3995" s="28"/>
      <c r="U3995" s="28" t="n">
        <f aca="false">T3995*$M3995</f>
        <v>0</v>
      </c>
      <c r="V3995" s="28"/>
      <c r="W3995" s="28" t="n">
        <f aca="false">V3995*$M3995</f>
        <v>0</v>
      </c>
      <c r="X3995" s="28"/>
      <c r="Y3995" s="28" t="n">
        <f aca="false">X3995*$M3995</f>
        <v>0</v>
      </c>
      <c r="Z3995" s="28"/>
      <c r="AA3995" s="28" t="n">
        <f aca="false">Z3995*$M3995</f>
        <v>0</v>
      </c>
      <c r="AB3995" s="28"/>
      <c r="AC3995" s="28" t="n">
        <f aca="false">AB3995*$M3995</f>
        <v>0</v>
      </c>
      <c r="AD3995" s="28"/>
      <c r="AE3995" s="28" t="n">
        <f aca="false">AD3995*$M3995</f>
        <v>0</v>
      </c>
      <c r="AF3995" s="28"/>
      <c r="AG3995" s="28" t="n">
        <f aca="false">AF3995*$M3995</f>
        <v>0</v>
      </c>
      <c r="AH3995" s="28"/>
      <c r="AI3995" s="28" t="n">
        <f aca="false">AH3995*$M3995</f>
        <v>0</v>
      </c>
      <c r="AJ3995" s="28" t="n">
        <f aca="false">28692/100</f>
        <v>286.92</v>
      </c>
      <c r="AK3995" s="28" t="n">
        <v>17215</v>
      </c>
      <c r="AL3995" s="28"/>
      <c r="AM3995" s="28" t="n">
        <f aca="false">AL3995*$M3995</f>
        <v>0</v>
      </c>
      <c r="AN3995" s="28"/>
      <c r="AO3995" s="28" t="n">
        <f aca="false">AN3995*$M3995</f>
        <v>0</v>
      </c>
      <c r="AP3995" s="28"/>
      <c r="AQ3995" s="28" t="n">
        <f aca="false">AP3995*$M3995</f>
        <v>0</v>
      </c>
      <c r="AR3995" s="28"/>
      <c r="AS3995" s="28" t="n">
        <f aca="false">AR3995*$M3995</f>
        <v>0</v>
      </c>
      <c r="AT3995" s="28"/>
      <c r="AU3995" s="28" t="n">
        <f aca="false">AT3995*$M3995</f>
        <v>0</v>
      </c>
      <c r="AV3995" s="28"/>
      <c r="AW3995" s="28" t="n">
        <f aca="false">AV3995*$M3995</f>
        <v>0</v>
      </c>
      <c r="AX3995" s="28"/>
      <c r="AY3995" s="28" t="n">
        <f aca="false">AX3995*$M3995</f>
        <v>0</v>
      </c>
      <c r="AZ3995" s="30" t="n">
        <f aca="false">28692/100</f>
        <v>286.92</v>
      </c>
      <c r="BA3995" s="11" t="n">
        <v>17215</v>
      </c>
      <c r="BB3995" s="31" t="n">
        <f aca="false">SUM(Q3995,S3995,U3995,W3995,Y3995,AA3995,AC3995,AE3995,AG3995,AI3995,AK3995,AM3995,AO3995,AQ3995,AS3995,AU3995,AW3995,AY3995)</f>
        <v>17215</v>
      </c>
      <c r="BC3995" s="28" t="n">
        <f aca="false">BA3995-BB3995</f>
        <v>0</v>
      </c>
      <c r="BD3995" s="32" t="n">
        <f aca="false">SUM(P3995,R3995,T3995,V3995,X3995,Z3995,AB3995,AD3995,AF3995,AH3995,AJ3995,AL3995,AN3995,AP3995,AR3995,AT3995,AV3995,AX3995)</f>
        <v>286.92</v>
      </c>
      <c r="BE3995" s="33" t="n">
        <f aca="false">AZ3995-BD3995</f>
        <v>0</v>
      </c>
      <c r="BF3995" s="34" t="n">
        <f aca="false">BD3995*M3995</f>
        <v>17215.2</v>
      </c>
      <c r="BG3995" s="35" t="n">
        <f aca="false">BA3995-BF3995</f>
        <v>-0.200000000000728</v>
      </c>
      <c r="BH3995" s="19" t="str">
        <f aca="false">IF(BG3995=0,"",IF(BG3995&lt;&gt;BA3995,"erreur de calcul",IF(BD3995&lt;&gt;0,"pas de prix",IF(M3995&lt;&gt; 0,"pas de quantité","pas de prix, ni de quantité"))))</f>
        <v>erreur de calcul</v>
      </c>
      <c r="BI3995" s="19"/>
    </row>
    <row r="3996" customFormat="false" ht="15" hidden="false" customHeight="false" outlineLevel="0" collapsed="false">
      <c r="A3996" s="0" t="n">
        <v>8</v>
      </c>
      <c r="B3996" s="8" t="s">
        <v>24</v>
      </c>
      <c r="C3996" s="9" t="s">
        <v>25</v>
      </c>
      <c r="D3996" s="9" t="s">
        <v>26</v>
      </c>
      <c r="E3996" s="10" t="n">
        <v>1789</v>
      </c>
      <c r="F3996" s="9" t="s">
        <v>27</v>
      </c>
      <c r="G3996" s="9" t="s">
        <v>27</v>
      </c>
      <c r="H3996" s="11" t="n">
        <v>22</v>
      </c>
      <c r="I3996" s="11" t="s">
        <v>209</v>
      </c>
      <c r="J3996" s="14" t="n">
        <v>26</v>
      </c>
      <c r="K3996" s="14"/>
      <c r="L3996" s="16"/>
      <c r="M3996" s="27" t="n">
        <f aca="false">J3996+(K3996/20)+(L3996/240)</f>
        <v>26</v>
      </c>
      <c r="N3996" s="17" t="s">
        <v>64</v>
      </c>
      <c r="O3996" s="11"/>
      <c r="P3996" s="28" t="n">
        <f aca="false">9675/100</f>
        <v>96.75</v>
      </c>
      <c r="Q3996" s="28" t="n">
        <v>2515</v>
      </c>
      <c r="R3996" s="28"/>
      <c r="S3996" s="28" t="n">
        <f aca="false">R3996*$M3996</f>
        <v>0</v>
      </c>
      <c r="T3996" s="28"/>
      <c r="U3996" s="28" t="n">
        <f aca="false">T3996*$M3996</f>
        <v>0</v>
      </c>
      <c r="V3996" s="28"/>
      <c r="W3996" s="28" t="n">
        <f aca="false">V3996*$M3996</f>
        <v>0</v>
      </c>
      <c r="X3996" s="28"/>
      <c r="Y3996" s="28" t="n">
        <f aca="false">X3996*$M3996</f>
        <v>0</v>
      </c>
      <c r="Z3996" s="28"/>
      <c r="AA3996" s="28" t="n">
        <f aca="false">Z3996*$M3996</f>
        <v>0</v>
      </c>
      <c r="AB3996" s="28"/>
      <c r="AC3996" s="28" t="n">
        <f aca="false">AB3996*$M3996</f>
        <v>0</v>
      </c>
      <c r="AD3996" s="28"/>
      <c r="AE3996" s="28" t="n">
        <f aca="false">AD3996*$M3996</f>
        <v>0</v>
      </c>
      <c r="AF3996" s="28"/>
      <c r="AG3996" s="28" t="n">
        <f aca="false">AF3996*$M3996</f>
        <v>0</v>
      </c>
      <c r="AH3996" s="28"/>
      <c r="AI3996" s="28" t="n">
        <f aca="false">AH3996*$M3996</f>
        <v>0</v>
      </c>
      <c r="AJ3996" s="28"/>
      <c r="AK3996" s="28" t="n">
        <f aca="false">AJ3996*$M3996</f>
        <v>0</v>
      </c>
      <c r="AL3996" s="28"/>
      <c r="AM3996" s="28" t="n">
        <f aca="false">AL3996*$M3996</f>
        <v>0</v>
      </c>
      <c r="AN3996" s="28"/>
      <c r="AO3996" s="28" t="n">
        <f aca="false">AN3996*$M3996</f>
        <v>0</v>
      </c>
      <c r="AP3996" s="28"/>
      <c r="AQ3996" s="28" t="n">
        <f aca="false">AP3996*$M3996</f>
        <v>0</v>
      </c>
      <c r="AR3996" s="28"/>
      <c r="AS3996" s="28" t="n">
        <f aca="false">AR3996*$M3996</f>
        <v>0</v>
      </c>
      <c r="AT3996" s="28"/>
      <c r="AU3996" s="28" t="n">
        <f aca="false">AT3996*$M3996</f>
        <v>0</v>
      </c>
      <c r="AV3996" s="28"/>
      <c r="AW3996" s="28" t="n">
        <f aca="false">AV3996*$M3996</f>
        <v>0</v>
      </c>
      <c r="AX3996" s="28"/>
      <c r="AY3996" s="28" t="n">
        <f aca="false">AX3996*$M3996</f>
        <v>0</v>
      </c>
      <c r="AZ3996" s="30" t="n">
        <f aca="false">9675/100</f>
        <v>96.75</v>
      </c>
      <c r="BA3996" s="11" t="n">
        <v>2515</v>
      </c>
      <c r="BB3996" s="31" t="n">
        <f aca="false">SUM(Q3996,S3996,U3996,W3996,Y3996,AA3996,AC3996,AE3996,AG3996,AI3996,AK3996,AM3996,AO3996,AQ3996,AS3996,AU3996,AW3996,AY3996)</f>
        <v>2515</v>
      </c>
      <c r="BC3996" s="28" t="n">
        <f aca="false">BA3996-BB3996</f>
        <v>0</v>
      </c>
      <c r="BD3996" s="32" t="n">
        <f aca="false">SUM(P3996,R3996,T3996,V3996,X3996,Z3996,AB3996,AD3996,AF3996,AH3996,AJ3996,AL3996,AN3996,AP3996,AR3996,AT3996,AV3996,AX3996)</f>
        <v>96.75</v>
      </c>
      <c r="BE3996" s="33" t="n">
        <f aca="false">AZ3996-BD3996</f>
        <v>0</v>
      </c>
      <c r="BF3996" s="34" t="n">
        <f aca="false">BD3996*M3996</f>
        <v>2515.5</v>
      </c>
      <c r="BG3996" s="35" t="n">
        <f aca="false">BA3996-BF3996</f>
        <v>-0.5</v>
      </c>
      <c r="BH3996" s="19" t="str">
        <f aca="false">IF(BG3996=0,"",IF(BG3996&lt;&gt;BA3996,"erreur de calcul",IF(BD3996&lt;&gt;0,"pas de prix",IF(M3996&lt;&gt; 0,"pas de quantité","pas de prix, ni de quantité"))))</f>
        <v>erreur de calcul</v>
      </c>
      <c r="BI3996" s="19"/>
    </row>
    <row r="3997" customFormat="false" ht="15" hidden="false" customHeight="false" outlineLevel="0" collapsed="false">
      <c r="A3997" s="0" t="n">
        <v>9</v>
      </c>
      <c r="B3997" s="8" t="s">
        <v>24</v>
      </c>
      <c r="C3997" s="9" t="s">
        <v>25</v>
      </c>
      <c r="D3997" s="9" t="s">
        <v>26</v>
      </c>
      <c r="E3997" s="10" t="n">
        <v>1789</v>
      </c>
      <c r="F3997" s="9" t="s">
        <v>27</v>
      </c>
      <c r="G3997" s="9" t="s">
        <v>27</v>
      </c>
      <c r="H3997" s="11" t="n">
        <v>22</v>
      </c>
      <c r="I3997" s="11" t="s">
        <v>210</v>
      </c>
      <c r="J3997" s="14" t="n">
        <v>8</v>
      </c>
      <c r="K3997" s="14" t="n">
        <v>15</v>
      </c>
      <c r="L3997" s="16"/>
      <c r="M3997" s="27" t="n">
        <f aca="false">J3997+(K3997/20)+(L3997/240)</f>
        <v>8.75</v>
      </c>
      <c r="N3997" s="17" t="s">
        <v>66</v>
      </c>
      <c r="O3997" s="11"/>
      <c r="P3997" s="28"/>
      <c r="Q3997" s="28" t="n">
        <f aca="false">P3997*$M3997</f>
        <v>0</v>
      </c>
      <c r="R3997" s="28"/>
      <c r="S3997" s="28" t="n">
        <f aca="false">R3997*$M3997</f>
        <v>0</v>
      </c>
      <c r="T3997" s="28" t="n">
        <v>2562</v>
      </c>
      <c r="U3997" s="36" t="n">
        <v>21777</v>
      </c>
      <c r="V3997" s="28" t="n">
        <v>127</v>
      </c>
      <c r="W3997" s="28" t="n">
        <v>1111</v>
      </c>
      <c r="X3997" s="28" t="n">
        <v>1945</v>
      </c>
      <c r="Y3997" s="28" t="n">
        <v>17018</v>
      </c>
      <c r="Z3997" s="28"/>
      <c r="AA3997" s="28" t="n">
        <f aca="false">Z3997*$M3997</f>
        <v>0</v>
      </c>
      <c r="AB3997" s="28"/>
      <c r="AC3997" s="28" t="n">
        <f aca="false">AB3997*$M3997</f>
        <v>0</v>
      </c>
      <c r="AD3997" s="28"/>
      <c r="AE3997" s="28" t="n">
        <f aca="false">AD3997*$M3997</f>
        <v>0</v>
      </c>
      <c r="AF3997" s="28"/>
      <c r="AG3997" s="28" t="n">
        <f aca="false">AF3997*$M3997</f>
        <v>0</v>
      </c>
      <c r="AH3997" s="28"/>
      <c r="AI3997" s="28" t="n">
        <f aca="false">AH3997*$M3997</f>
        <v>0</v>
      </c>
      <c r="AJ3997" s="28" t="n">
        <v>3538</v>
      </c>
      <c r="AK3997" s="36" t="n">
        <v>30073</v>
      </c>
      <c r="AL3997" s="28"/>
      <c r="AM3997" s="28" t="n">
        <f aca="false">AL3997*$M3997</f>
        <v>0</v>
      </c>
      <c r="AN3997" s="28"/>
      <c r="AO3997" s="28" t="n">
        <f aca="false">AN3997*$M3997</f>
        <v>0</v>
      </c>
      <c r="AP3997" s="28"/>
      <c r="AQ3997" s="28" t="n">
        <f aca="false">AP3997*$M3997</f>
        <v>0</v>
      </c>
      <c r="AR3997" s="28"/>
      <c r="AS3997" s="28" t="n">
        <f aca="false">AR3997*$M3997</f>
        <v>0</v>
      </c>
      <c r="AT3997" s="28"/>
      <c r="AU3997" s="28" t="n">
        <f aca="false">AT3997*$M3997</f>
        <v>0</v>
      </c>
      <c r="AV3997" s="28"/>
      <c r="AW3997" s="28" t="n">
        <f aca="false">AV3997*$M3997</f>
        <v>0</v>
      </c>
      <c r="AX3997" s="28" t="n">
        <v>11559</v>
      </c>
      <c r="AY3997" s="28" t="n">
        <v>101141</v>
      </c>
      <c r="AZ3997" s="30" t="n">
        <v>19731</v>
      </c>
      <c r="BA3997" s="11" t="n">
        <v>171120</v>
      </c>
      <c r="BB3997" s="31" t="n">
        <f aca="false">SUM(Q3997,S3997,U3997,W3997,Y3997,AA3997,AC3997,AE3997,AG3997,AI3997,AK3997,AM3997,AO3997,AQ3997,AS3997,AU3997,AW3997,AY3997)</f>
        <v>171120</v>
      </c>
      <c r="BC3997" s="28" t="n">
        <f aca="false">BA3997-BB3997</f>
        <v>0</v>
      </c>
      <c r="BD3997" s="32" t="n">
        <f aca="false">SUM(P3997,R3997,T3997,V3997,X3997,Z3997,AB3997,AD3997,AF3997,AH3997,AJ3997,AL3997,AN3997,AP3997,AR3997,AT3997,AV3997,AX3997)</f>
        <v>19731</v>
      </c>
      <c r="BE3997" s="33" t="n">
        <f aca="false">AZ3997-BD3997</f>
        <v>0</v>
      </c>
      <c r="BF3997" s="34" t="n">
        <f aca="false">BD3997*M3997</f>
        <v>172646.25</v>
      </c>
      <c r="BG3997" s="35" t="n">
        <f aca="false">BA3997-BF3997</f>
        <v>-1526.25</v>
      </c>
      <c r="BH3997" s="19" t="str">
        <f aca="false">IF(BG3997=0,"",IF(BG3997&lt;&gt;BA3997,"erreur de calcul",IF(BD3997&lt;&gt;0,"pas de prix",IF(M3997&lt;&gt; 0,"pas de quantité","pas de prix, ni de quantité"))))</f>
        <v>erreur de calcul</v>
      </c>
      <c r="BI3997" s="19"/>
    </row>
    <row r="3998" customFormat="false" ht="15" hidden="false" customHeight="false" outlineLevel="0" collapsed="false">
      <c r="A3998" s="0" t="n">
        <v>10</v>
      </c>
      <c r="B3998" s="8" t="s">
        <v>24</v>
      </c>
      <c r="C3998" s="9" t="s">
        <v>25</v>
      </c>
      <c r="D3998" s="9" t="s">
        <v>26</v>
      </c>
      <c r="E3998" s="10" t="n">
        <v>1789</v>
      </c>
      <c r="F3998" s="9" t="s">
        <v>27</v>
      </c>
      <c r="G3998" s="9" t="s">
        <v>27</v>
      </c>
      <c r="H3998" s="11" t="n">
        <v>22</v>
      </c>
      <c r="I3998" s="11" t="s">
        <v>211</v>
      </c>
      <c r="J3998" s="14" t="n">
        <v>11</v>
      </c>
      <c r="K3998" s="14"/>
      <c r="L3998" s="16"/>
      <c r="M3998" s="27" t="n">
        <f aca="false">J3998+(K3998/20)+(L3998/240)</f>
        <v>11</v>
      </c>
      <c r="N3998" s="17" t="s">
        <v>66</v>
      </c>
      <c r="O3998" s="11"/>
      <c r="P3998" s="28" t="n">
        <v>95190</v>
      </c>
      <c r="Q3998" s="28" t="n">
        <v>1047090</v>
      </c>
      <c r="R3998" s="28"/>
      <c r="S3998" s="28" t="n">
        <f aca="false">R3998*$M3998</f>
        <v>0</v>
      </c>
      <c r="T3998" s="28"/>
      <c r="U3998" s="28" t="n">
        <f aca="false">T3998*$M3998</f>
        <v>0</v>
      </c>
      <c r="V3998" s="28"/>
      <c r="W3998" s="28" t="n">
        <f aca="false">V3998*$M3998</f>
        <v>0</v>
      </c>
      <c r="X3998" s="28"/>
      <c r="Y3998" s="28" t="n">
        <f aca="false">X3998*$M3998</f>
        <v>0</v>
      </c>
      <c r="Z3998" s="28"/>
      <c r="AA3998" s="28" t="n">
        <f aca="false">Z3998*$M3998</f>
        <v>0</v>
      </c>
      <c r="AB3998" s="28"/>
      <c r="AC3998" s="28" t="n">
        <f aca="false">AB3998*$M3998</f>
        <v>0</v>
      </c>
      <c r="AD3998" s="28"/>
      <c r="AE3998" s="28" t="n">
        <f aca="false">AD3998*$M3998</f>
        <v>0</v>
      </c>
      <c r="AF3998" s="28"/>
      <c r="AG3998" s="28" t="n">
        <f aca="false">AF3998*$M3998</f>
        <v>0</v>
      </c>
      <c r="AH3998" s="28"/>
      <c r="AI3998" s="28" t="n">
        <f aca="false">AH3998*$M3998</f>
        <v>0</v>
      </c>
      <c r="AJ3998" s="28"/>
      <c r="AK3998" s="28" t="n">
        <f aca="false">AJ3998*$M3998</f>
        <v>0</v>
      </c>
      <c r="AL3998" s="28"/>
      <c r="AM3998" s="28" t="n">
        <f aca="false">AL3998*$M3998</f>
        <v>0</v>
      </c>
      <c r="AN3998" s="28"/>
      <c r="AO3998" s="28" t="n">
        <f aca="false">AN3998*$M3998</f>
        <v>0</v>
      </c>
      <c r="AP3998" s="28"/>
      <c r="AQ3998" s="28" t="n">
        <f aca="false">AP3998*$M3998</f>
        <v>0</v>
      </c>
      <c r="AR3998" s="28"/>
      <c r="AS3998" s="28" t="n">
        <f aca="false">AR3998*$M3998</f>
        <v>0</v>
      </c>
      <c r="AT3998" s="28"/>
      <c r="AU3998" s="28" t="n">
        <f aca="false">AT3998*$M3998</f>
        <v>0</v>
      </c>
      <c r="AV3998" s="28"/>
      <c r="AW3998" s="28" t="n">
        <f aca="false">AV3998*$M3998</f>
        <v>0</v>
      </c>
      <c r="AX3998" s="28"/>
      <c r="AY3998" s="28" t="n">
        <f aca="false">AX3998*$M3998</f>
        <v>0</v>
      </c>
      <c r="AZ3998" s="30" t="n">
        <v>95190</v>
      </c>
      <c r="BA3998" s="11" t="n">
        <v>1047090</v>
      </c>
      <c r="BB3998" s="31" t="n">
        <f aca="false">SUM(Q3998,S3998,U3998,W3998,Y3998,AA3998,AC3998,AE3998,AG3998,AI3998,AK3998,AM3998,AO3998,AQ3998,AS3998,AU3998,AW3998,AY3998)</f>
        <v>1047090</v>
      </c>
      <c r="BC3998" s="28" t="n">
        <f aca="false">BA3998-BB3998</f>
        <v>0</v>
      </c>
      <c r="BD3998" s="32" t="n">
        <f aca="false">SUM(P3998,R3998,T3998,V3998,X3998,Z3998,AB3998,AD3998,AF3998,AH3998,AJ3998,AL3998,AN3998,AP3998,AR3998,AT3998,AV3998,AX3998)</f>
        <v>95190</v>
      </c>
      <c r="BE3998" s="33" t="n">
        <f aca="false">AZ3998-BD3998</f>
        <v>0</v>
      </c>
      <c r="BF3998" s="34" t="n">
        <f aca="false">BD3998*M3998</f>
        <v>1047090</v>
      </c>
      <c r="BG3998" s="35" t="n">
        <f aca="false">BA3998-BF3998</f>
        <v>0</v>
      </c>
      <c r="BH3998" s="19" t="str">
        <f aca="false">IF(BG3998=0,"",IF(BG3998&lt;&gt;BA3998,"erreur de calcul",IF(BD3998&lt;&gt;0,"pas de prix",IF(M3998&lt;&gt; 0,"pas de quantité","pas de prix, ni de quantité"))))</f>
        <v/>
      </c>
      <c r="BI3998" s="19"/>
    </row>
    <row r="3999" customFormat="false" ht="17.15" hidden="false" customHeight="false" outlineLevel="0" collapsed="false">
      <c r="A3999" s="0" t="n">
        <v>11</v>
      </c>
      <c r="B3999" s="8" t="s">
        <v>24</v>
      </c>
      <c r="C3999" s="9" t="s">
        <v>25</v>
      </c>
      <c r="D3999" s="9" t="s">
        <v>26</v>
      </c>
      <c r="E3999" s="10" t="n">
        <v>1789</v>
      </c>
      <c r="F3999" s="9" t="s">
        <v>27</v>
      </c>
      <c r="G3999" s="9" t="s">
        <v>27</v>
      </c>
      <c r="H3999" s="11" t="n">
        <v>22</v>
      </c>
      <c r="I3999" s="40" t="s">
        <v>212</v>
      </c>
      <c r="J3999" s="14" t="n">
        <v>75</v>
      </c>
      <c r="K3999" s="14"/>
      <c r="L3999" s="16"/>
      <c r="M3999" s="27" t="n">
        <f aca="false">J3999+(K3999/20)+(L3999/240)</f>
        <v>75</v>
      </c>
      <c r="N3999" s="17" t="s">
        <v>64</v>
      </c>
      <c r="O3999" s="11"/>
      <c r="P3999" s="28"/>
      <c r="Q3999" s="28" t="n">
        <f aca="false">P3999*$M3999</f>
        <v>0</v>
      </c>
      <c r="R3999" s="28"/>
      <c r="S3999" s="28" t="n">
        <f aca="false">R3999*$M3999</f>
        <v>0</v>
      </c>
      <c r="T3999" s="28"/>
      <c r="U3999" s="28" t="n">
        <f aca="false">T3999*$M3999</f>
        <v>0</v>
      </c>
      <c r="V3999" s="28"/>
      <c r="W3999" s="28" t="n">
        <f aca="false">V3999*$M3999</f>
        <v>0</v>
      </c>
      <c r="X3999" s="28"/>
      <c r="Y3999" s="28" t="n">
        <f aca="false">X3999*$M3999</f>
        <v>0</v>
      </c>
      <c r="Z3999" s="28"/>
      <c r="AA3999" s="28" t="n">
        <f aca="false">Z3999*$M3999</f>
        <v>0</v>
      </c>
      <c r="AB3999" s="28"/>
      <c r="AC3999" s="28" t="n">
        <f aca="false">AB3999*$M3999</f>
        <v>0</v>
      </c>
      <c r="AD3999" s="28"/>
      <c r="AE3999" s="28" t="n">
        <f aca="false">AD3999*$M3999</f>
        <v>0</v>
      </c>
      <c r="AF3999" s="28"/>
      <c r="AG3999" s="28" t="n">
        <f aca="false">AF3999*$M3999</f>
        <v>0</v>
      </c>
      <c r="AH3999" s="28"/>
      <c r="AI3999" s="28" t="n">
        <f aca="false">AH3999*$M3999</f>
        <v>0</v>
      </c>
      <c r="AJ3999" s="28" t="n">
        <f aca="false">2372/100</f>
        <v>23.72</v>
      </c>
      <c r="AK3999" s="28" t="n">
        <v>1779</v>
      </c>
      <c r="AL3999" s="28"/>
      <c r="AM3999" s="28" t="n">
        <f aca="false">AL3999*$M3999</f>
        <v>0</v>
      </c>
      <c r="AN3999" s="28"/>
      <c r="AO3999" s="28" t="n">
        <f aca="false">AN3999*$M3999</f>
        <v>0</v>
      </c>
      <c r="AP3999" s="28"/>
      <c r="AQ3999" s="28" t="n">
        <f aca="false">AP3999*$M3999</f>
        <v>0</v>
      </c>
      <c r="AR3999" s="28"/>
      <c r="AS3999" s="28" t="n">
        <f aca="false">AR3999*$M3999</f>
        <v>0</v>
      </c>
      <c r="AT3999" s="28"/>
      <c r="AU3999" s="28" t="n">
        <f aca="false">AT3999*$M3999</f>
        <v>0</v>
      </c>
      <c r="AV3999" s="28"/>
      <c r="AW3999" s="28" t="n">
        <f aca="false">AV3999*$M3999</f>
        <v>0</v>
      </c>
      <c r="AX3999" s="28"/>
      <c r="AY3999" s="28" t="n">
        <f aca="false">AX3999*$M3999</f>
        <v>0</v>
      </c>
      <c r="AZ3999" s="30" t="n">
        <f aca="false">2372/100</f>
        <v>23.72</v>
      </c>
      <c r="BA3999" s="11" t="n">
        <v>1779</v>
      </c>
      <c r="BB3999" s="31" t="n">
        <f aca="false">SUM(Q3999,S3999,U3999,W3999,Y3999,AA3999,AC3999,AE3999,AG3999,AI3999,AK3999,AM3999,AO3999,AQ3999,AS3999,AU3999,AW3999,AY3999)</f>
        <v>1779</v>
      </c>
      <c r="BC3999" s="28" t="n">
        <f aca="false">BA3999-BB3999</f>
        <v>0</v>
      </c>
      <c r="BD3999" s="32" t="n">
        <f aca="false">SUM(P3999,R3999,T3999,V3999,X3999,Z3999,AB3999,AD3999,AF3999,AH3999,AJ3999,AL3999,AN3999,AP3999,AR3999,AT3999,AV3999,AX3999)</f>
        <v>23.72</v>
      </c>
      <c r="BE3999" s="33" t="n">
        <f aca="false">AZ3999-BD3999</f>
        <v>0</v>
      </c>
      <c r="BF3999" s="34" t="n">
        <f aca="false">BD3999*M3999</f>
        <v>1779</v>
      </c>
      <c r="BG3999" s="35" t="n">
        <f aca="false">BA3999-BF3999</f>
        <v>0</v>
      </c>
      <c r="BH3999" s="19" t="str">
        <f aca="false">IF(BG3999=0,"",IF(BG3999&lt;&gt;BA3999,"erreur de calcul",IF(BD3999&lt;&gt;0,"pas de prix",IF(M3999&lt;&gt; 0,"pas de quantité","pas de prix, ni de quantité"))))</f>
        <v/>
      </c>
      <c r="BI3999" s="19"/>
    </row>
    <row r="4000" customFormat="false" ht="15" hidden="false" customHeight="false" outlineLevel="0" collapsed="false">
      <c r="A4000" s="0" t="n">
        <v>12</v>
      </c>
      <c r="B4000" s="8" t="s">
        <v>24</v>
      </c>
      <c r="C4000" s="9" t="s">
        <v>25</v>
      </c>
      <c r="D4000" s="9" t="s">
        <v>26</v>
      </c>
      <c r="E4000" s="10" t="n">
        <v>1789</v>
      </c>
      <c r="F4000" s="9" t="s">
        <v>27</v>
      </c>
      <c r="G4000" s="9" t="s">
        <v>27</v>
      </c>
      <c r="H4000" s="11" t="n">
        <v>22</v>
      </c>
      <c r="I4000" s="11" t="s">
        <v>213</v>
      </c>
      <c r="J4000" s="14" t="n">
        <v>31</v>
      </c>
      <c r="K4000" s="14"/>
      <c r="L4000" s="16"/>
      <c r="M4000" s="27" t="n">
        <f aca="false">J4000+(K4000/20)+(L4000/240)</f>
        <v>31</v>
      </c>
      <c r="N4000" s="17" t="s">
        <v>64</v>
      </c>
      <c r="O4000" s="11"/>
      <c r="P4000" s="28"/>
      <c r="Q4000" s="28" t="n">
        <f aca="false">P4000*$M4000</f>
        <v>0</v>
      </c>
      <c r="R4000" s="28"/>
      <c r="S4000" s="28" t="n">
        <f aca="false">R4000*$M4000</f>
        <v>0</v>
      </c>
      <c r="T4000" s="28"/>
      <c r="U4000" s="28" t="n">
        <f aca="false">T4000*$M4000</f>
        <v>0</v>
      </c>
      <c r="V4000" s="28"/>
      <c r="W4000" s="28" t="n">
        <f aca="false">V4000*$M4000</f>
        <v>0</v>
      </c>
      <c r="X4000" s="28" t="n">
        <f aca="false">18202/100</f>
        <v>182.02</v>
      </c>
      <c r="Y4000" s="28" t="n">
        <v>5643</v>
      </c>
      <c r="Z4000" s="28"/>
      <c r="AA4000" s="28" t="n">
        <f aca="false">Z4000*$M4000</f>
        <v>0</v>
      </c>
      <c r="AB4000" s="28"/>
      <c r="AC4000" s="28" t="n">
        <f aca="false">AB4000*$M4000</f>
        <v>0</v>
      </c>
      <c r="AD4000" s="28"/>
      <c r="AE4000" s="28" t="n">
        <f aca="false">AD4000*$M4000</f>
        <v>0</v>
      </c>
      <c r="AF4000" s="28"/>
      <c r="AG4000" s="28" t="n">
        <f aca="false">AF4000*$M4000</f>
        <v>0</v>
      </c>
      <c r="AH4000" s="28"/>
      <c r="AI4000" s="28" t="n">
        <f aca="false">AH4000*$M4000</f>
        <v>0</v>
      </c>
      <c r="AJ4000" s="28"/>
      <c r="AK4000" s="28" t="n">
        <f aca="false">AJ4000*$M4000</f>
        <v>0</v>
      </c>
      <c r="AL4000" s="28"/>
      <c r="AM4000" s="28" t="n">
        <f aca="false">AL4000*$M4000</f>
        <v>0</v>
      </c>
      <c r="AN4000" s="28"/>
      <c r="AO4000" s="28" t="n">
        <f aca="false">AN4000*$M4000</f>
        <v>0</v>
      </c>
      <c r="AP4000" s="28"/>
      <c r="AQ4000" s="28" t="n">
        <f aca="false">AP4000*$M4000</f>
        <v>0</v>
      </c>
      <c r="AR4000" s="28"/>
      <c r="AS4000" s="28" t="n">
        <f aca="false">AR4000*$M4000</f>
        <v>0</v>
      </c>
      <c r="AT4000" s="28"/>
      <c r="AU4000" s="28" t="n">
        <f aca="false">AT4000*$M4000</f>
        <v>0</v>
      </c>
      <c r="AV4000" s="28"/>
      <c r="AW4000" s="28" t="n">
        <f aca="false">AV4000*$M4000</f>
        <v>0</v>
      </c>
      <c r="AX4000" s="28"/>
      <c r="AY4000" s="28" t="n">
        <f aca="false">AX4000*$M4000</f>
        <v>0</v>
      </c>
      <c r="AZ4000" s="30" t="n">
        <f aca="false">18202/100</f>
        <v>182.02</v>
      </c>
      <c r="BA4000" s="11" t="n">
        <v>5643</v>
      </c>
      <c r="BB4000" s="31" t="n">
        <f aca="false">SUM(Q4000,S4000,U4000,W4000,Y4000,AA4000,AC4000,AE4000,AG4000,AI4000,AK4000,AM4000,AO4000,AQ4000,AS4000,AU4000,AW4000,AY4000)</f>
        <v>5643</v>
      </c>
      <c r="BC4000" s="28" t="n">
        <f aca="false">BA4000-BB4000</f>
        <v>0</v>
      </c>
      <c r="BD4000" s="32" t="n">
        <f aca="false">SUM(P4000,R4000,T4000,V4000,X4000,Z4000,AB4000,AD4000,AF4000,AH4000,AJ4000,AL4000,AN4000,AP4000,AR4000,AT4000,AV4000,AX4000)</f>
        <v>182.02</v>
      </c>
      <c r="BE4000" s="33" t="n">
        <f aca="false">AZ4000-BD4000</f>
        <v>0</v>
      </c>
      <c r="BF4000" s="34" t="n">
        <f aca="false">BD4000*M4000</f>
        <v>5642.62</v>
      </c>
      <c r="BG4000" s="35" t="n">
        <f aca="false">BA4000-BF4000</f>
        <v>0.380000000000109</v>
      </c>
      <c r="BH4000" s="19" t="str">
        <f aca="false">IF(BG4000=0,"",IF(BG4000&lt;&gt;BA4000,"erreur de calcul",IF(BD4000&lt;&gt;0,"pas de prix",IF(M4000&lt;&gt; 0,"pas de quantité","pas de prix, ni de quantité"))))</f>
        <v>erreur de calcul</v>
      </c>
      <c r="BI4000" s="19"/>
    </row>
    <row r="4001" customFormat="false" ht="15" hidden="false" customHeight="false" outlineLevel="0" collapsed="false">
      <c r="A4001" s="0" t="n">
        <v>13</v>
      </c>
      <c r="B4001" s="8" t="s">
        <v>24</v>
      </c>
      <c r="C4001" s="9" t="s">
        <v>25</v>
      </c>
      <c r="D4001" s="9" t="s">
        <v>26</v>
      </c>
      <c r="E4001" s="10" t="n">
        <v>1789</v>
      </c>
      <c r="F4001" s="9" t="s">
        <v>27</v>
      </c>
      <c r="G4001" s="9" t="s">
        <v>27</v>
      </c>
      <c r="H4001" s="11" t="n">
        <v>22</v>
      </c>
      <c r="I4001" s="11" t="s">
        <v>214</v>
      </c>
      <c r="J4001" s="14"/>
      <c r="K4001" s="14" t="n">
        <v>20</v>
      </c>
      <c r="L4001" s="16"/>
      <c r="M4001" s="27" t="n">
        <f aca="false">J4001+(K4001/20)+(L4001/240)</f>
        <v>1</v>
      </c>
      <c r="N4001" s="17" t="s">
        <v>66</v>
      </c>
      <c r="O4001" s="11"/>
      <c r="P4001" s="28"/>
      <c r="Q4001" s="28" t="n">
        <f aca="false">P4001*$M4001</f>
        <v>0</v>
      </c>
      <c r="R4001" s="28"/>
      <c r="S4001" s="28" t="n">
        <f aca="false">R4001*$M4001</f>
        <v>0</v>
      </c>
      <c r="T4001" s="28"/>
      <c r="U4001" s="28" t="n">
        <f aca="false">T4001*$M4001</f>
        <v>0</v>
      </c>
      <c r="V4001" s="28"/>
      <c r="W4001" s="28" t="n">
        <f aca="false">V4001*$M4001</f>
        <v>0</v>
      </c>
      <c r="X4001" s="28"/>
      <c r="Y4001" s="28" t="n">
        <f aca="false">X4001*$M4001</f>
        <v>0</v>
      </c>
      <c r="Z4001" s="28"/>
      <c r="AA4001" s="28" t="n">
        <f aca="false">Z4001*$M4001</f>
        <v>0</v>
      </c>
      <c r="AB4001" s="28"/>
      <c r="AC4001" s="28" t="n">
        <f aca="false">AB4001*$M4001</f>
        <v>0</v>
      </c>
      <c r="AD4001" s="28" t="n">
        <v>2831</v>
      </c>
      <c r="AE4001" s="28" t="n">
        <v>2831</v>
      </c>
      <c r="AF4001" s="28"/>
      <c r="AG4001" s="28" t="n">
        <f aca="false">AF4001*$M4001</f>
        <v>0</v>
      </c>
      <c r="AH4001" s="28"/>
      <c r="AI4001" s="28" t="n">
        <f aca="false">AH4001*$M4001</f>
        <v>0</v>
      </c>
      <c r="AJ4001" s="28"/>
      <c r="AK4001" s="28" t="n">
        <f aca="false">AJ4001*$M4001</f>
        <v>0</v>
      </c>
      <c r="AL4001" s="28"/>
      <c r="AM4001" s="28" t="n">
        <f aca="false">AL4001*$M4001</f>
        <v>0</v>
      </c>
      <c r="AN4001" s="28"/>
      <c r="AO4001" s="28" t="n">
        <f aca="false">AN4001*$M4001</f>
        <v>0</v>
      </c>
      <c r="AP4001" s="28"/>
      <c r="AQ4001" s="28" t="n">
        <f aca="false">AP4001*$M4001</f>
        <v>0</v>
      </c>
      <c r="AR4001" s="28"/>
      <c r="AS4001" s="28" t="n">
        <f aca="false">AR4001*$M4001</f>
        <v>0</v>
      </c>
      <c r="AT4001" s="28"/>
      <c r="AU4001" s="28" t="n">
        <f aca="false">AT4001*$M4001</f>
        <v>0</v>
      </c>
      <c r="AV4001" s="28"/>
      <c r="AW4001" s="28" t="n">
        <f aca="false">AV4001*$M4001</f>
        <v>0</v>
      </c>
      <c r="AX4001" s="28"/>
      <c r="AY4001" s="28" t="n">
        <f aca="false">AX4001*$M4001</f>
        <v>0</v>
      </c>
      <c r="AZ4001" s="30" t="n">
        <v>2831</v>
      </c>
      <c r="BA4001" s="11" t="n">
        <v>2831</v>
      </c>
      <c r="BB4001" s="31" t="n">
        <f aca="false">SUM(Q4001,S4001,U4001,W4001,Y4001,AA4001,AC4001,AE4001,AG4001,AI4001,AK4001,AM4001,AO4001,AQ4001,AS4001,AU4001,AW4001,AY4001)</f>
        <v>2831</v>
      </c>
      <c r="BC4001" s="28" t="n">
        <f aca="false">BA4001-BB4001</f>
        <v>0</v>
      </c>
      <c r="BD4001" s="32" t="n">
        <f aca="false">SUM(P4001,R4001,T4001,V4001,X4001,Z4001,AB4001,AD4001,AF4001,AH4001,AJ4001,AL4001,AN4001,AP4001,AR4001,AT4001,AV4001,AX4001)</f>
        <v>2831</v>
      </c>
      <c r="BE4001" s="33" t="n">
        <f aca="false">AZ4001-BD4001</f>
        <v>0</v>
      </c>
      <c r="BF4001" s="34" t="n">
        <f aca="false">BD4001*M4001</f>
        <v>2831</v>
      </c>
      <c r="BG4001" s="35" t="n">
        <f aca="false">BA4001-BF4001</f>
        <v>0</v>
      </c>
      <c r="BH4001" s="19" t="str">
        <f aca="false">IF(BG4001=0,"",IF(BG4001&lt;&gt;BA4001,"erreur de calcul",IF(BD4001&lt;&gt;0,"pas de prix",IF(M4001&lt;&gt; 0,"pas de quantité","pas de prix, ni de quantité"))))</f>
        <v/>
      </c>
      <c r="BI4001" s="19"/>
    </row>
    <row r="4002" customFormat="false" ht="15" hidden="false" customHeight="false" outlineLevel="0" collapsed="false">
      <c r="A4002" s="0" t="n">
        <v>14</v>
      </c>
      <c r="B4002" s="8" t="s">
        <v>24</v>
      </c>
      <c r="C4002" s="9" t="s">
        <v>25</v>
      </c>
      <c r="D4002" s="9" t="s">
        <v>26</v>
      </c>
      <c r="E4002" s="10" t="n">
        <v>1789</v>
      </c>
      <c r="F4002" s="9" t="s">
        <v>27</v>
      </c>
      <c r="G4002" s="9" t="s">
        <v>27</v>
      </c>
      <c r="H4002" s="11" t="n">
        <v>22</v>
      </c>
      <c r="I4002" s="11" t="s">
        <v>215</v>
      </c>
      <c r="J4002" s="14" t="n">
        <v>36</v>
      </c>
      <c r="K4002" s="14"/>
      <c r="L4002" s="16"/>
      <c r="M4002" s="27" t="n">
        <f aca="false">J4002+(K4002/20)+(L4002/240)</f>
        <v>36</v>
      </c>
      <c r="N4002" s="17" t="s">
        <v>64</v>
      </c>
      <c r="O4002" s="11"/>
      <c r="P4002" s="28"/>
      <c r="Q4002" s="28" t="n">
        <f aca="false">P4002*$M4002</f>
        <v>0</v>
      </c>
      <c r="R4002" s="28"/>
      <c r="S4002" s="28" t="n">
        <f aca="false">R4002*$M4002</f>
        <v>0</v>
      </c>
      <c r="T4002" s="28"/>
      <c r="U4002" s="28" t="n">
        <f aca="false">T4002*$M4002</f>
        <v>0</v>
      </c>
      <c r="V4002" s="28"/>
      <c r="W4002" s="28" t="n">
        <f aca="false">V4002*$M4002</f>
        <v>0</v>
      </c>
      <c r="X4002" s="28"/>
      <c r="Y4002" s="28" t="n">
        <f aca="false">X4002*$M4002</f>
        <v>0</v>
      </c>
      <c r="Z4002" s="28"/>
      <c r="AA4002" s="28" t="n">
        <f aca="false">Z4002*$M4002</f>
        <v>0</v>
      </c>
      <c r="AB4002" s="28"/>
      <c r="AC4002" s="28" t="n">
        <f aca="false">AB4002*$M4002</f>
        <v>0</v>
      </c>
      <c r="AD4002" s="28"/>
      <c r="AE4002" s="28" t="n">
        <f aca="false">AD4002*$M4002</f>
        <v>0</v>
      </c>
      <c r="AF4002" s="28" t="n">
        <f aca="false">92472/100</f>
        <v>924.72</v>
      </c>
      <c r="AG4002" s="28" t="n">
        <v>33290</v>
      </c>
      <c r="AH4002" s="28" t="n">
        <f aca="false">490633/100</f>
        <v>4906.33</v>
      </c>
      <c r="AI4002" s="28" t="n">
        <v>176628</v>
      </c>
      <c r="AJ4002" s="28"/>
      <c r="AK4002" s="28" t="n">
        <f aca="false">AJ4002*$M4002</f>
        <v>0</v>
      </c>
      <c r="AL4002" s="28"/>
      <c r="AM4002" s="28" t="n">
        <f aca="false">AL4002*$M4002</f>
        <v>0</v>
      </c>
      <c r="AN4002" s="28"/>
      <c r="AO4002" s="28" t="n">
        <f aca="false">AN4002*$M4002</f>
        <v>0</v>
      </c>
      <c r="AP4002" s="28"/>
      <c r="AQ4002" s="28" t="n">
        <f aca="false">AP4002*$M4002</f>
        <v>0</v>
      </c>
      <c r="AR4002" s="28"/>
      <c r="AS4002" s="28" t="n">
        <f aca="false">AR4002*$M4002</f>
        <v>0</v>
      </c>
      <c r="AT4002" s="28"/>
      <c r="AU4002" s="28" t="n">
        <f aca="false">AT4002*$M4002</f>
        <v>0</v>
      </c>
      <c r="AV4002" s="28"/>
      <c r="AW4002" s="28" t="n">
        <f aca="false">AV4002*$M4002</f>
        <v>0</v>
      </c>
      <c r="AX4002" s="28"/>
      <c r="AY4002" s="28" t="n">
        <f aca="false">AX4002*$M4002</f>
        <v>0</v>
      </c>
      <c r="AZ4002" s="30" t="n">
        <f aca="false">583105/100</f>
        <v>5831.05</v>
      </c>
      <c r="BA4002" s="11" t="n">
        <v>209918</v>
      </c>
      <c r="BB4002" s="31" t="n">
        <f aca="false">SUM(Q4002,S4002,U4002,W4002,Y4002,AA4002,AC4002,AE4002,AG4002,AI4002,AK4002,AM4002,AO4002,AQ4002,AS4002,AU4002,AW4002,AY4002)</f>
        <v>209918</v>
      </c>
      <c r="BC4002" s="28" t="n">
        <f aca="false">BA4002-BB4002</f>
        <v>0</v>
      </c>
      <c r="BD4002" s="32" t="n">
        <f aca="false">SUM(P4002,R4002,T4002,V4002,X4002,Z4002,AB4002,AD4002,AF4002,AH4002,AJ4002,AL4002,AN4002,AP4002,AR4002,AT4002,AV4002,AX4002)</f>
        <v>5831.05</v>
      </c>
      <c r="BE4002" s="33" t="n">
        <f aca="false">AZ4002-BD4002</f>
        <v>0</v>
      </c>
      <c r="BF4002" s="34" t="n">
        <f aca="false">BD4002*M4002</f>
        <v>209917.8</v>
      </c>
      <c r="BG4002" s="35" t="n">
        <f aca="false">BA4002-BF4002</f>
        <v>0.199999999982538</v>
      </c>
      <c r="BH4002" s="19" t="str">
        <f aca="false">IF(BG4002=0,"",IF(BG4002&lt;&gt;BA4002,"erreur de calcul",IF(BD4002&lt;&gt;0,"pas de prix",IF(M4002&lt;&gt; 0,"pas de quantité","pas de prix, ni de quantité"))))</f>
        <v>erreur de calcul</v>
      </c>
      <c r="BI4002" s="19"/>
    </row>
    <row r="4003" customFormat="false" ht="15" hidden="false" customHeight="false" outlineLevel="0" collapsed="false">
      <c r="A4003" s="0" t="n">
        <v>15</v>
      </c>
      <c r="B4003" s="8" t="s">
        <v>24</v>
      </c>
      <c r="C4003" s="9" t="s">
        <v>25</v>
      </c>
      <c r="D4003" s="9" t="s">
        <v>26</v>
      </c>
      <c r="E4003" s="10" t="n">
        <v>1789</v>
      </c>
      <c r="F4003" s="9" t="s">
        <v>27</v>
      </c>
      <c r="G4003" s="9" t="s">
        <v>27</v>
      </c>
      <c r="H4003" s="11" t="n">
        <v>22</v>
      </c>
      <c r="I4003" s="11" t="s">
        <v>216</v>
      </c>
      <c r="J4003" s="14"/>
      <c r="K4003" s="14" t="n">
        <v>22</v>
      </c>
      <c r="L4003" s="16"/>
      <c r="M4003" s="27" t="n">
        <f aca="false">J4003+(K4003/20)+(L4003/240)</f>
        <v>1.1</v>
      </c>
      <c r="N4003" s="17" t="s">
        <v>66</v>
      </c>
      <c r="O4003" s="11"/>
      <c r="P4003" s="28"/>
      <c r="Q4003" s="28" t="n">
        <f aca="false">P4003*$M4003</f>
        <v>0</v>
      </c>
      <c r="R4003" s="28"/>
      <c r="S4003" s="28" t="n">
        <f aca="false">R4003*$M4003</f>
        <v>0</v>
      </c>
      <c r="T4003" s="28" t="n">
        <v>2875</v>
      </c>
      <c r="U4003" s="28" t="n">
        <v>3162</v>
      </c>
      <c r="V4003" s="28"/>
      <c r="W4003" s="28" t="n">
        <f aca="false">V4003*$M4003</f>
        <v>0</v>
      </c>
      <c r="X4003" s="28"/>
      <c r="Y4003" s="28" t="n">
        <f aca="false">X4003*$M4003</f>
        <v>0</v>
      </c>
      <c r="Z4003" s="28"/>
      <c r="AA4003" s="28" t="n">
        <f aca="false">Z4003*$M4003</f>
        <v>0</v>
      </c>
      <c r="AB4003" s="28"/>
      <c r="AC4003" s="28" t="n">
        <f aca="false">AB4003*$M4003</f>
        <v>0</v>
      </c>
      <c r="AD4003" s="28"/>
      <c r="AE4003" s="28" t="n">
        <f aca="false">AD4003*$M4003</f>
        <v>0</v>
      </c>
      <c r="AF4003" s="28"/>
      <c r="AG4003" s="28" t="n">
        <f aca="false">AF4003*$M4003</f>
        <v>0</v>
      </c>
      <c r="AH4003" s="28"/>
      <c r="AI4003" s="28" t="n">
        <f aca="false">AH4003*$M4003</f>
        <v>0</v>
      </c>
      <c r="AJ4003" s="28"/>
      <c r="AK4003" s="28" t="n">
        <f aca="false">AJ4003*$M4003</f>
        <v>0</v>
      </c>
      <c r="AL4003" s="28"/>
      <c r="AM4003" s="28" t="n">
        <f aca="false">AL4003*$M4003</f>
        <v>0</v>
      </c>
      <c r="AN4003" s="28"/>
      <c r="AO4003" s="28" t="n">
        <f aca="false">AN4003*$M4003</f>
        <v>0</v>
      </c>
      <c r="AP4003" s="28"/>
      <c r="AQ4003" s="28" t="n">
        <f aca="false">AP4003*$M4003</f>
        <v>0</v>
      </c>
      <c r="AR4003" s="28"/>
      <c r="AS4003" s="28" t="n">
        <f aca="false">AR4003*$M4003</f>
        <v>0</v>
      </c>
      <c r="AT4003" s="28"/>
      <c r="AU4003" s="28" t="n">
        <f aca="false">AT4003*$M4003</f>
        <v>0</v>
      </c>
      <c r="AV4003" s="28"/>
      <c r="AW4003" s="28" t="n">
        <f aca="false">AV4003*$M4003</f>
        <v>0</v>
      </c>
      <c r="AX4003" s="28"/>
      <c r="AY4003" s="28" t="n">
        <f aca="false">AX4003*$M4003</f>
        <v>0</v>
      </c>
      <c r="AZ4003" s="30" t="n">
        <v>2875</v>
      </c>
      <c r="BA4003" s="11" t="n">
        <v>3162</v>
      </c>
      <c r="BB4003" s="31" t="n">
        <f aca="false">SUM(Q4003,S4003,U4003,W4003,Y4003,AA4003,AC4003,AE4003,AG4003,AI4003,AK4003,AM4003,AO4003,AQ4003,AS4003,AU4003,AW4003,AY4003)</f>
        <v>3162</v>
      </c>
      <c r="BC4003" s="28" t="n">
        <f aca="false">BA4003-BB4003</f>
        <v>0</v>
      </c>
      <c r="BD4003" s="32" t="n">
        <f aca="false">SUM(P4003,R4003,T4003,V4003,X4003,Z4003,AB4003,AD4003,AF4003,AH4003,AJ4003,AL4003,AN4003,AP4003,AR4003,AT4003,AV4003,AX4003)</f>
        <v>2875</v>
      </c>
      <c r="BE4003" s="33" t="n">
        <f aca="false">AZ4003-BD4003</f>
        <v>0</v>
      </c>
      <c r="BF4003" s="34" t="n">
        <f aca="false">BD4003*M4003</f>
        <v>3162.5</v>
      </c>
      <c r="BG4003" s="35" t="n">
        <f aca="false">BA4003-BF4003</f>
        <v>-0.500000000000455</v>
      </c>
      <c r="BH4003" s="19" t="str">
        <f aca="false">IF(BG4003=0,"",IF(BG4003&lt;&gt;BA4003,"erreur de calcul",IF(BD4003&lt;&gt;0,"pas de prix",IF(M4003&lt;&gt; 0,"pas de quantité","pas de prix, ni de quantité"))))</f>
        <v>erreur de calcul</v>
      </c>
      <c r="BI4003" s="19"/>
    </row>
    <row r="4004" customFormat="false" ht="15" hidden="false" customHeight="false" outlineLevel="0" collapsed="false">
      <c r="A4004" s="0" t="n">
        <v>16</v>
      </c>
      <c r="B4004" s="8" t="s">
        <v>24</v>
      </c>
      <c r="C4004" s="9" t="s">
        <v>25</v>
      </c>
      <c r="D4004" s="9" t="s">
        <v>26</v>
      </c>
      <c r="E4004" s="10" t="n">
        <v>1789</v>
      </c>
      <c r="F4004" s="9" t="s">
        <v>27</v>
      </c>
      <c r="G4004" s="9" t="s">
        <v>27</v>
      </c>
      <c r="H4004" s="11" t="n">
        <v>22</v>
      </c>
      <c r="I4004" s="11" t="s">
        <v>217</v>
      </c>
      <c r="J4004" s="14" t="n">
        <v>90</v>
      </c>
      <c r="K4004" s="14"/>
      <c r="L4004" s="16"/>
      <c r="M4004" s="27" t="n">
        <f aca="false">J4004+(K4004/20)+(L4004/240)</f>
        <v>90</v>
      </c>
      <c r="N4004" s="17" t="s">
        <v>64</v>
      </c>
      <c r="O4004" s="11"/>
      <c r="P4004" s="28"/>
      <c r="Q4004" s="28" t="n">
        <f aca="false">P4004*$M4004</f>
        <v>0</v>
      </c>
      <c r="R4004" s="28"/>
      <c r="S4004" s="28" t="n">
        <f aca="false">R4004*$M4004</f>
        <v>0</v>
      </c>
      <c r="T4004" s="28"/>
      <c r="U4004" s="28" t="n">
        <f aca="false">T4004*$M4004</f>
        <v>0</v>
      </c>
      <c r="V4004" s="28"/>
      <c r="W4004" s="28" t="n">
        <f aca="false">V4004*$M4004</f>
        <v>0</v>
      </c>
      <c r="X4004" s="28" t="n">
        <f aca="false">2440/100</f>
        <v>24.4</v>
      </c>
      <c r="Y4004" s="28" t="n">
        <v>2196</v>
      </c>
      <c r="Z4004" s="28"/>
      <c r="AA4004" s="28" t="n">
        <f aca="false">Z4004*$M4004</f>
        <v>0</v>
      </c>
      <c r="AB4004" s="28"/>
      <c r="AC4004" s="28" t="n">
        <f aca="false">AB4004*$M4004</f>
        <v>0</v>
      </c>
      <c r="AD4004" s="28"/>
      <c r="AE4004" s="28" t="n">
        <f aca="false">AD4004*$M4004</f>
        <v>0</v>
      </c>
      <c r="AF4004" s="28"/>
      <c r="AG4004" s="28" t="n">
        <f aca="false">AF4004*$M4004</f>
        <v>0</v>
      </c>
      <c r="AH4004" s="28" t="n">
        <f aca="false">524577/100</f>
        <v>5245.77</v>
      </c>
      <c r="AI4004" s="28" t="n">
        <v>472116</v>
      </c>
      <c r="AJ4004" s="28"/>
      <c r="AK4004" s="28" t="n">
        <f aca="false">AJ4004*$M4004</f>
        <v>0</v>
      </c>
      <c r="AL4004" s="28"/>
      <c r="AM4004" s="28" t="n">
        <f aca="false">AL4004*$M4004</f>
        <v>0</v>
      </c>
      <c r="AN4004" s="28"/>
      <c r="AO4004" s="28" t="n">
        <f aca="false">AN4004*$M4004</f>
        <v>0</v>
      </c>
      <c r="AP4004" s="28"/>
      <c r="AQ4004" s="28" t="n">
        <f aca="false">AP4004*$M4004</f>
        <v>0</v>
      </c>
      <c r="AR4004" s="28"/>
      <c r="AS4004" s="28" t="n">
        <f aca="false">AR4004*$M4004</f>
        <v>0</v>
      </c>
      <c r="AT4004" s="28"/>
      <c r="AU4004" s="28" t="n">
        <f aca="false">AT4004*$M4004</f>
        <v>0</v>
      </c>
      <c r="AV4004" s="28"/>
      <c r="AW4004" s="28" t="n">
        <f aca="false">AV4004*$M4004</f>
        <v>0</v>
      </c>
      <c r="AX4004" s="28"/>
      <c r="AY4004" s="28" t="n">
        <f aca="false">AX4004*$M4004</f>
        <v>0</v>
      </c>
      <c r="AZ4004" s="30" t="n">
        <f aca="false">526980/100</f>
        <v>5269.8</v>
      </c>
      <c r="BA4004" s="11" t="n">
        <v>474312</v>
      </c>
      <c r="BB4004" s="31" t="n">
        <f aca="false">SUM(Q4004,S4004,U4004,W4004,Y4004,AA4004,AC4004,AE4004,AG4004,AI4004,AK4004,AM4004,AO4004,AQ4004,AS4004,AU4004,AW4004,AY4004)</f>
        <v>474312</v>
      </c>
      <c r="BC4004" s="28" t="n">
        <f aca="false">BA4004-BB4004</f>
        <v>0</v>
      </c>
      <c r="BD4004" s="32" t="n">
        <f aca="false">SUM(P4004,R4004,T4004,V4004,X4004,Z4004,AB4004,AD4004,AF4004,AH4004,AJ4004,AL4004,AN4004,AP4004,AR4004,AT4004,AV4004,AX4004)</f>
        <v>5270.17</v>
      </c>
      <c r="BE4004" s="33" t="n">
        <f aca="false">AZ4004-BD4004</f>
        <v>-0.369999999999891</v>
      </c>
      <c r="BF4004" s="34" t="n">
        <f aca="false">BD4004*M4004</f>
        <v>474315.3</v>
      </c>
      <c r="BG4004" s="35" t="n">
        <f aca="false">BA4004-BF4004</f>
        <v>-3.29999999998836</v>
      </c>
      <c r="BH4004" s="19" t="str">
        <f aca="false">IF(BG4004=0,"",IF(BG4004&lt;&gt;BA4004,"erreur de calcul",IF(BD4004&lt;&gt;0,"pas de prix",IF(M4004&lt;&gt; 0,"pas de quantité","pas de prix, ni de quantité"))))</f>
        <v>erreur de calcul</v>
      </c>
      <c r="BI4004" s="19"/>
    </row>
    <row r="4005" customFormat="false" ht="15" hidden="false" customHeight="false" outlineLevel="0" collapsed="false">
      <c r="A4005" s="0" t="n">
        <v>17</v>
      </c>
      <c r="B4005" s="8" t="s">
        <v>24</v>
      </c>
      <c r="C4005" s="9" t="s">
        <v>25</v>
      </c>
      <c r="D4005" s="9" t="s">
        <v>26</v>
      </c>
      <c r="E4005" s="10" t="n">
        <v>1789</v>
      </c>
      <c r="F4005" s="9" t="s">
        <v>27</v>
      </c>
      <c r="G4005" s="9" t="s">
        <v>27</v>
      </c>
      <c r="H4005" s="11" t="n">
        <v>22</v>
      </c>
      <c r="I4005" s="11" t="s">
        <v>218</v>
      </c>
      <c r="J4005" s="14" t="n">
        <v>15</v>
      </c>
      <c r="K4005" s="14"/>
      <c r="L4005" s="16"/>
      <c r="M4005" s="27" t="n">
        <f aca="false">J4005+(K4005/20)+(L4005/240)</f>
        <v>15</v>
      </c>
      <c r="N4005" s="17" t="s">
        <v>64</v>
      </c>
      <c r="O4005" s="11"/>
      <c r="P4005" s="28" t="n">
        <f aca="false">12250/100</f>
        <v>122.5</v>
      </c>
      <c r="Q4005" s="28" t="n">
        <v>1837</v>
      </c>
      <c r="R4005" s="28"/>
      <c r="S4005" s="28" t="n">
        <f aca="false">R4005*$M4005</f>
        <v>0</v>
      </c>
      <c r="T4005" s="28"/>
      <c r="U4005" s="28" t="n">
        <f aca="false">T4005*$M4005</f>
        <v>0</v>
      </c>
      <c r="V4005" s="28" t="n">
        <f aca="false">118493/100</f>
        <v>1184.93</v>
      </c>
      <c r="W4005" s="28" t="n">
        <v>17774</v>
      </c>
      <c r="X4005" s="28" t="n">
        <f aca="false">16835/100</f>
        <v>168.35</v>
      </c>
      <c r="Y4005" s="28" t="n">
        <v>2525</v>
      </c>
      <c r="Z4005" s="28"/>
      <c r="AA4005" s="28" t="n">
        <f aca="false">Z4005*$M4005</f>
        <v>0</v>
      </c>
      <c r="AB4005" s="28" t="n">
        <f aca="false">268622/100</f>
        <v>2686.22</v>
      </c>
      <c r="AC4005" s="28" t="n">
        <v>40293</v>
      </c>
      <c r="AD4005" s="28"/>
      <c r="AE4005" s="28" t="n">
        <f aca="false">AD4005*$M4005</f>
        <v>0</v>
      </c>
      <c r="AF4005" s="28"/>
      <c r="AG4005" s="28" t="n">
        <f aca="false">AF4005*$M4005</f>
        <v>0</v>
      </c>
      <c r="AH4005" s="28" t="n">
        <f aca="false">70164/100</f>
        <v>701.64</v>
      </c>
      <c r="AI4005" s="28" t="n">
        <v>10524</v>
      </c>
      <c r="AJ4005" s="28"/>
      <c r="AK4005" s="28" t="n">
        <f aca="false">AJ4005*$M4005</f>
        <v>0</v>
      </c>
      <c r="AL4005" s="28"/>
      <c r="AM4005" s="28" t="n">
        <f aca="false">AL4005*$M4005</f>
        <v>0</v>
      </c>
      <c r="AN4005" s="28"/>
      <c r="AO4005" s="28" t="n">
        <f aca="false">AN4005*$M4005</f>
        <v>0</v>
      </c>
      <c r="AP4005" s="28"/>
      <c r="AQ4005" s="28" t="n">
        <f aca="false">AP4005*$M4005</f>
        <v>0</v>
      </c>
      <c r="AR4005" s="28"/>
      <c r="AS4005" s="28" t="n">
        <f aca="false">AR4005*$M4005</f>
        <v>0</v>
      </c>
      <c r="AT4005" s="28"/>
      <c r="AU4005" s="28" t="n">
        <f aca="false">AT4005*$M4005</f>
        <v>0</v>
      </c>
      <c r="AV4005" s="28"/>
      <c r="AW4005" s="28" t="n">
        <f aca="false">AV4005*$M4005</f>
        <v>0</v>
      </c>
      <c r="AX4005" s="28"/>
      <c r="AY4005" s="28" t="n">
        <f aca="false">AX4005*$M4005</f>
        <v>0</v>
      </c>
      <c r="AZ4005" s="30" t="n">
        <f aca="false">486364/100</f>
        <v>4863.64</v>
      </c>
      <c r="BA4005" s="11" t="n">
        <v>72953</v>
      </c>
      <c r="BB4005" s="31" t="n">
        <f aca="false">SUM(Q4005,S4005,U4005,W4005,Y4005,AA4005,AC4005,AE4005,AG4005,AI4005,AK4005,AM4005,AO4005,AQ4005,AS4005,AU4005,AW4005,AY4005)</f>
        <v>72953</v>
      </c>
      <c r="BC4005" s="28" t="n">
        <f aca="false">BA4005-BB4005</f>
        <v>0</v>
      </c>
      <c r="BD4005" s="32" t="n">
        <f aca="false">SUM(P4005,R4005,T4005,V4005,X4005,Z4005,AB4005,AD4005,AF4005,AH4005,AJ4005,AL4005,AN4005,AP4005,AR4005,AT4005,AV4005,AX4005)</f>
        <v>4863.64</v>
      </c>
      <c r="BE4005" s="33" t="n">
        <f aca="false">AZ4005-BD4005</f>
        <v>0</v>
      </c>
      <c r="BF4005" s="34" t="n">
        <f aca="false">BD4005*M4005</f>
        <v>72954.6</v>
      </c>
      <c r="BG4005" s="35" t="n">
        <f aca="false">BA4005-BF4005</f>
        <v>-1.59999999999127</v>
      </c>
      <c r="BH4005" s="19" t="str">
        <f aca="false">IF(BG4005=0,"",IF(BG4005&lt;&gt;BA4005,"erreur de calcul",IF(BD4005&lt;&gt;0,"pas de prix",IF(M4005&lt;&gt; 0,"pas de quantité","pas de prix, ni de quantité"))))</f>
        <v>erreur de calcul</v>
      </c>
      <c r="BI4005" s="19"/>
    </row>
    <row r="4006" customFormat="false" ht="15" hidden="false" customHeight="false" outlineLevel="0" collapsed="false">
      <c r="A4006" s="0" t="n">
        <v>18</v>
      </c>
      <c r="B4006" s="8" t="s">
        <v>24</v>
      </c>
      <c r="C4006" s="9" t="s">
        <v>25</v>
      </c>
      <c r="D4006" s="9" t="s">
        <v>26</v>
      </c>
      <c r="E4006" s="10" t="n">
        <v>1789</v>
      </c>
      <c r="F4006" s="9" t="s">
        <v>27</v>
      </c>
      <c r="G4006" s="9" t="s">
        <v>27</v>
      </c>
      <c r="H4006" s="11" t="n">
        <v>22</v>
      </c>
      <c r="I4006" s="11" t="s">
        <v>219</v>
      </c>
      <c r="J4006" s="14" t="n">
        <v>12</v>
      </c>
      <c r="K4006" s="14"/>
      <c r="L4006" s="16"/>
      <c r="M4006" s="27" t="n">
        <f aca="false">J4006+(K4006/20)+(L4006/240)</f>
        <v>12</v>
      </c>
      <c r="N4006" s="17" t="s">
        <v>64</v>
      </c>
      <c r="O4006" s="11"/>
      <c r="P4006" s="28"/>
      <c r="Q4006" s="28" t="n">
        <f aca="false">P4006*$M4006</f>
        <v>0</v>
      </c>
      <c r="R4006" s="28"/>
      <c r="S4006" s="28" t="n">
        <f aca="false">R4006*$M4006</f>
        <v>0</v>
      </c>
      <c r="T4006" s="28"/>
      <c r="U4006" s="28" t="n">
        <f aca="false">T4006*$M4006</f>
        <v>0</v>
      </c>
      <c r="V4006" s="28" t="n">
        <f aca="false">26072/100</f>
        <v>260.72</v>
      </c>
      <c r="W4006" s="28" t="n">
        <v>3129</v>
      </c>
      <c r="X4006" s="28" t="n">
        <f aca="false">16340/100</f>
        <v>163.4</v>
      </c>
      <c r="Y4006" s="28" t="n">
        <v>1961</v>
      </c>
      <c r="Z4006" s="28"/>
      <c r="AA4006" s="28" t="n">
        <f aca="false">Z4006*$M4006</f>
        <v>0</v>
      </c>
      <c r="AB4006" s="28" t="n">
        <f aca="false">76351/100</f>
        <v>763.51</v>
      </c>
      <c r="AC4006" s="28" t="n">
        <v>9162</v>
      </c>
      <c r="AD4006" s="28"/>
      <c r="AE4006" s="28" t="n">
        <f aca="false">AD4006*$M4006</f>
        <v>0</v>
      </c>
      <c r="AF4006" s="28"/>
      <c r="AG4006" s="28" t="n">
        <f aca="false">AF4006*$M4006</f>
        <v>0</v>
      </c>
      <c r="AH4006" s="28"/>
      <c r="AI4006" s="28" t="n">
        <f aca="false">AH4006*$M4006</f>
        <v>0</v>
      </c>
      <c r="AJ4006" s="28"/>
      <c r="AK4006" s="28" t="n">
        <f aca="false">AJ4006*$M4006</f>
        <v>0</v>
      </c>
      <c r="AL4006" s="28"/>
      <c r="AM4006" s="28" t="n">
        <f aca="false">AL4006*$M4006</f>
        <v>0</v>
      </c>
      <c r="AN4006" s="28"/>
      <c r="AO4006" s="28" t="n">
        <f aca="false">AN4006*$M4006</f>
        <v>0</v>
      </c>
      <c r="AP4006" s="28"/>
      <c r="AQ4006" s="28" t="n">
        <f aca="false">AP4006*$M4006</f>
        <v>0</v>
      </c>
      <c r="AR4006" s="28"/>
      <c r="AS4006" s="28" t="n">
        <f aca="false">AR4006*$M4006</f>
        <v>0</v>
      </c>
      <c r="AT4006" s="28"/>
      <c r="AU4006" s="28" t="n">
        <f aca="false">AT4006*$M4006</f>
        <v>0</v>
      </c>
      <c r="AV4006" s="28"/>
      <c r="AW4006" s="28" t="n">
        <f aca="false">AV4006*$M4006</f>
        <v>0</v>
      </c>
      <c r="AX4006" s="28"/>
      <c r="AY4006" s="28" t="n">
        <f aca="false">AX4006*$M4006</f>
        <v>0</v>
      </c>
      <c r="AZ4006" s="30" t="n">
        <f aca="false">118763/100</f>
        <v>1187.63</v>
      </c>
      <c r="BA4006" s="11" t="n">
        <v>14252</v>
      </c>
      <c r="BB4006" s="31" t="n">
        <f aca="false">SUM(Q4006,S4006,U4006,W4006,Y4006,AA4006,AC4006,AE4006,AG4006,AI4006,AK4006,AM4006,AO4006,AQ4006,AS4006,AU4006,AW4006,AY4006)</f>
        <v>14252</v>
      </c>
      <c r="BC4006" s="28" t="n">
        <f aca="false">BA4006-BB4006</f>
        <v>0</v>
      </c>
      <c r="BD4006" s="32" t="n">
        <f aca="false">SUM(P4006,R4006,T4006,V4006,X4006,Z4006,AB4006,AD4006,AF4006,AH4006,AJ4006,AL4006,AN4006,AP4006,AR4006,AT4006,AV4006,AX4006)</f>
        <v>1187.63</v>
      </c>
      <c r="BE4006" s="33" t="n">
        <f aca="false">AZ4006-BD4006</f>
        <v>0</v>
      </c>
      <c r="BF4006" s="34" t="n">
        <f aca="false">BD4006*M4006</f>
        <v>14251.56</v>
      </c>
      <c r="BG4006" s="35" t="n">
        <f aca="false">BA4006-BF4006</f>
        <v>0.43999999999869</v>
      </c>
      <c r="BH4006" s="19" t="str">
        <f aca="false">IF(BG4006=0,"",IF(BG4006&lt;&gt;BA4006,"erreur de calcul",IF(BD4006&lt;&gt;0,"pas de prix",IF(M4006&lt;&gt; 0,"pas de quantité","pas de prix, ni de quantité"))))</f>
        <v>erreur de calcul</v>
      </c>
      <c r="BI4006" s="19"/>
    </row>
    <row r="4007" customFormat="false" ht="15" hidden="false" customHeight="false" outlineLevel="0" collapsed="false">
      <c r="A4007" s="0" t="n">
        <v>19</v>
      </c>
      <c r="B4007" s="8" t="s">
        <v>24</v>
      </c>
      <c r="C4007" s="9" t="s">
        <v>25</v>
      </c>
      <c r="D4007" s="9" t="s">
        <v>26</v>
      </c>
      <c r="E4007" s="10" t="n">
        <v>1789</v>
      </c>
      <c r="F4007" s="9" t="s">
        <v>27</v>
      </c>
      <c r="G4007" s="9" t="s">
        <v>27</v>
      </c>
      <c r="H4007" s="11" t="n">
        <v>22</v>
      </c>
      <c r="I4007" s="11" t="s">
        <v>220</v>
      </c>
      <c r="J4007" s="14" t="n">
        <v>8</v>
      </c>
      <c r="K4007" s="14"/>
      <c r="L4007" s="16"/>
      <c r="M4007" s="27" t="n">
        <f aca="false">J4007+(K4007/20)+(L4007/240)</f>
        <v>8</v>
      </c>
      <c r="N4007" s="17" t="s">
        <v>66</v>
      </c>
      <c r="O4007" s="11"/>
      <c r="P4007" s="28" t="n">
        <v>3798</v>
      </c>
      <c r="Q4007" s="28" t="n">
        <v>30384</v>
      </c>
      <c r="R4007" s="28"/>
      <c r="S4007" s="28" t="n">
        <f aca="false">R4007*$M4007</f>
        <v>0</v>
      </c>
      <c r="T4007" s="28"/>
      <c r="U4007" s="28" t="n">
        <f aca="false">T4007*$M4007</f>
        <v>0</v>
      </c>
      <c r="V4007" s="28"/>
      <c r="W4007" s="28" t="n">
        <f aca="false">V4007*$M4007</f>
        <v>0</v>
      </c>
      <c r="X4007" s="28"/>
      <c r="Y4007" s="28" t="n">
        <f aca="false">X4007*$M4007</f>
        <v>0</v>
      </c>
      <c r="Z4007" s="28"/>
      <c r="AA4007" s="28" t="n">
        <f aca="false">Z4007*$M4007</f>
        <v>0</v>
      </c>
      <c r="AB4007" s="28"/>
      <c r="AC4007" s="28" t="n">
        <f aca="false">AB4007*$M4007</f>
        <v>0</v>
      </c>
      <c r="AD4007" s="28"/>
      <c r="AE4007" s="28" t="n">
        <f aca="false">AD4007*$M4007</f>
        <v>0</v>
      </c>
      <c r="AF4007" s="28"/>
      <c r="AG4007" s="28" t="n">
        <f aca="false">AF4007*$M4007</f>
        <v>0</v>
      </c>
      <c r="AH4007" s="28" t="n">
        <v>322</v>
      </c>
      <c r="AI4007" s="28" t="n">
        <v>2576</v>
      </c>
      <c r="AJ4007" s="28"/>
      <c r="AK4007" s="28" t="n">
        <f aca="false">AJ4007*$M4007</f>
        <v>0</v>
      </c>
      <c r="AL4007" s="28"/>
      <c r="AM4007" s="28" t="n">
        <f aca="false">AL4007*$M4007</f>
        <v>0</v>
      </c>
      <c r="AN4007" s="28"/>
      <c r="AO4007" s="28" t="n">
        <f aca="false">AN4007*$M4007</f>
        <v>0</v>
      </c>
      <c r="AP4007" s="28"/>
      <c r="AQ4007" s="28" t="n">
        <f aca="false">AP4007*$M4007</f>
        <v>0</v>
      </c>
      <c r="AR4007" s="28"/>
      <c r="AS4007" s="28" t="n">
        <f aca="false">AR4007*$M4007</f>
        <v>0</v>
      </c>
      <c r="AT4007" s="28"/>
      <c r="AU4007" s="28" t="n">
        <f aca="false">AT4007*$M4007</f>
        <v>0</v>
      </c>
      <c r="AV4007" s="28"/>
      <c r="AW4007" s="28" t="n">
        <f aca="false">AV4007*$M4007</f>
        <v>0</v>
      </c>
      <c r="AX4007" s="28"/>
      <c r="AY4007" s="28" t="n">
        <f aca="false">AX4007*$M4007</f>
        <v>0</v>
      </c>
      <c r="AZ4007" s="30" t="n">
        <v>4120</v>
      </c>
      <c r="BA4007" s="11" t="n">
        <v>32960</v>
      </c>
      <c r="BB4007" s="31" t="n">
        <f aca="false">SUM(Q4007,S4007,U4007,W4007,Y4007,AA4007,AC4007,AE4007,AG4007,AI4007,AK4007,AM4007,AO4007,AQ4007,AS4007,AU4007,AW4007,AY4007)</f>
        <v>32960</v>
      </c>
      <c r="BC4007" s="28" t="n">
        <f aca="false">BA4007-BB4007</f>
        <v>0</v>
      </c>
      <c r="BD4007" s="32" t="n">
        <f aca="false">SUM(P4007,R4007,T4007,V4007,X4007,Z4007,AB4007,AD4007,AF4007,AH4007,AJ4007,AL4007,AN4007,AP4007,AR4007,AT4007,AV4007,AX4007)</f>
        <v>4120</v>
      </c>
      <c r="BE4007" s="33" t="n">
        <f aca="false">AZ4007-BD4007</f>
        <v>0</v>
      </c>
      <c r="BF4007" s="34" t="n">
        <f aca="false">BD4007*M4007</f>
        <v>32960</v>
      </c>
      <c r="BG4007" s="35" t="n">
        <f aca="false">BA4007-BF4007</f>
        <v>0</v>
      </c>
      <c r="BH4007" s="19" t="str">
        <f aca="false">IF(BG4007=0,"",IF(BG4007&lt;&gt;BA4007,"erreur de calcul",IF(BD4007&lt;&gt;0,"pas de prix",IF(M4007&lt;&gt; 0,"pas de quantité","pas de prix, ni de quantité"))))</f>
        <v/>
      </c>
      <c r="BI4007" s="19"/>
    </row>
    <row r="4008" customFormat="false" ht="15" hidden="false" customHeight="false" outlineLevel="0" collapsed="false">
      <c r="A4008" s="0" t="n">
        <v>20</v>
      </c>
      <c r="B4008" s="8" t="s">
        <v>24</v>
      </c>
      <c r="C4008" s="9" t="s">
        <v>25</v>
      </c>
      <c r="D4008" s="9" t="s">
        <v>26</v>
      </c>
      <c r="E4008" s="10" t="n">
        <v>1789</v>
      </c>
      <c r="F4008" s="9" t="s">
        <v>27</v>
      </c>
      <c r="G4008" s="9" t="s">
        <v>27</v>
      </c>
      <c r="H4008" s="11" t="n">
        <v>22</v>
      </c>
      <c r="I4008" s="11" t="s">
        <v>221</v>
      </c>
      <c r="J4008" s="14"/>
      <c r="K4008" s="14" t="n">
        <v>20</v>
      </c>
      <c r="L4008" s="16"/>
      <c r="M4008" s="27" t="n">
        <f aca="false">J4008+(K4008/20)+(L4008/240)</f>
        <v>1</v>
      </c>
      <c r="N4008" s="17" t="s">
        <v>66</v>
      </c>
      <c r="O4008" s="11"/>
      <c r="P4008" s="28" t="n">
        <v>1353</v>
      </c>
      <c r="Q4008" s="28" t="n">
        <v>1353</v>
      </c>
      <c r="R4008" s="28"/>
      <c r="S4008" s="28" t="n">
        <f aca="false">R4008*$M4008</f>
        <v>0</v>
      </c>
      <c r="T4008" s="28"/>
      <c r="U4008" s="28" t="n">
        <f aca="false">T4008*$M4008</f>
        <v>0</v>
      </c>
      <c r="V4008" s="28"/>
      <c r="W4008" s="28" t="n">
        <f aca="false">V4008*$M4008</f>
        <v>0</v>
      </c>
      <c r="X4008" s="28"/>
      <c r="Y4008" s="28" t="n">
        <f aca="false">X4008*$M4008</f>
        <v>0</v>
      </c>
      <c r="Z4008" s="28"/>
      <c r="AA4008" s="28" t="n">
        <f aca="false">Z4008*$M4008</f>
        <v>0</v>
      </c>
      <c r="AB4008" s="28"/>
      <c r="AC4008" s="28" t="n">
        <f aca="false">AB4008*$M4008</f>
        <v>0</v>
      </c>
      <c r="AD4008" s="28"/>
      <c r="AE4008" s="28" t="n">
        <f aca="false">AD4008*$M4008</f>
        <v>0</v>
      </c>
      <c r="AF4008" s="28"/>
      <c r="AG4008" s="28" t="n">
        <f aca="false">AF4008*$M4008</f>
        <v>0</v>
      </c>
      <c r="AH4008" s="28"/>
      <c r="AI4008" s="28" t="n">
        <f aca="false">AH4008*$M4008</f>
        <v>0</v>
      </c>
      <c r="AJ4008" s="28"/>
      <c r="AK4008" s="28" t="n">
        <f aca="false">AJ4008*$M4008</f>
        <v>0</v>
      </c>
      <c r="AL4008" s="28"/>
      <c r="AM4008" s="28" t="n">
        <f aca="false">AL4008*$M4008</f>
        <v>0</v>
      </c>
      <c r="AN4008" s="28"/>
      <c r="AO4008" s="28" t="n">
        <f aca="false">AN4008*$M4008</f>
        <v>0</v>
      </c>
      <c r="AP4008" s="28"/>
      <c r="AQ4008" s="28" t="n">
        <f aca="false">AP4008*$M4008</f>
        <v>0</v>
      </c>
      <c r="AR4008" s="28"/>
      <c r="AS4008" s="28" t="n">
        <f aca="false">AR4008*$M4008</f>
        <v>0</v>
      </c>
      <c r="AT4008" s="28"/>
      <c r="AU4008" s="28" t="n">
        <f aca="false">AT4008*$M4008</f>
        <v>0</v>
      </c>
      <c r="AV4008" s="28"/>
      <c r="AW4008" s="28" t="n">
        <f aca="false">AV4008*$M4008</f>
        <v>0</v>
      </c>
      <c r="AX4008" s="28"/>
      <c r="AY4008" s="28" t="n">
        <f aca="false">AX4008*$M4008</f>
        <v>0</v>
      </c>
      <c r="AZ4008" s="30" t="n">
        <v>1353</v>
      </c>
      <c r="BA4008" s="11" t="n">
        <v>1353</v>
      </c>
      <c r="BB4008" s="31" t="n">
        <f aca="false">SUM(Q4008,S4008,U4008,W4008,Y4008,AA4008,AC4008,AE4008,AG4008,AI4008,AK4008,AM4008,AO4008,AQ4008,AS4008,AU4008,AW4008,AY4008)</f>
        <v>1353</v>
      </c>
      <c r="BC4008" s="28" t="n">
        <f aca="false">BA4008-BB4008</f>
        <v>0</v>
      </c>
      <c r="BD4008" s="32" t="n">
        <f aca="false">SUM(P4008,R4008,T4008,V4008,X4008,Z4008,AB4008,AD4008,AF4008,AH4008,AJ4008,AL4008,AN4008,AP4008,AR4008,AT4008,AV4008,AX4008)</f>
        <v>1353</v>
      </c>
      <c r="BE4008" s="33" t="n">
        <f aca="false">AZ4008-BD4008</f>
        <v>0</v>
      </c>
      <c r="BF4008" s="34" t="n">
        <f aca="false">BD4008*M4008</f>
        <v>1353</v>
      </c>
      <c r="BG4008" s="35" t="n">
        <f aca="false">BA4008-BF4008</f>
        <v>0</v>
      </c>
      <c r="BH4008" s="19" t="str">
        <f aca="false">IF(BG4008=0,"",IF(BG4008&lt;&gt;BA4008,"erreur de calcul",IF(BD4008&lt;&gt;0,"pas de prix",IF(M4008&lt;&gt; 0,"pas de quantité","pas de prix, ni de quantité"))))</f>
        <v/>
      </c>
      <c r="BI4008" s="19"/>
    </row>
    <row r="4009" customFormat="false" ht="15" hidden="false" customHeight="false" outlineLevel="0" collapsed="false">
      <c r="A4009" s="0" t="n">
        <v>21</v>
      </c>
      <c r="B4009" s="8" t="s">
        <v>24</v>
      </c>
      <c r="C4009" s="9" t="s">
        <v>25</v>
      </c>
      <c r="D4009" s="9" t="s">
        <v>26</v>
      </c>
      <c r="E4009" s="10" t="n">
        <v>1789</v>
      </c>
      <c r="F4009" s="9" t="s">
        <v>27</v>
      </c>
      <c r="G4009" s="9" t="s">
        <v>27</v>
      </c>
      <c r="H4009" s="11" t="n">
        <v>22</v>
      </c>
      <c r="I4009" s="11" t="s">
        <v>222</v>
      </c>
      <c r="J4009" s="14" t="n">
        <v>85</v>
      </c>
      <c r="K4009" s="14"/>
      <c r="L4009" s="16"/>
      <c r="M4009" s="27" t="n">
        <f aca="false">J4009+(K4009/20)+(L4009/240)</f>
        <v>85</v>
      </c>
      <c r="N4009" s="17" t="s">
        <v>64</v>
      </c>
      <c r="O4009" s="11"/>
      <c r="P4009" s="28"/>
      <c r="Q4009" s="28" t="n">
        <f aca="false">P4009*$M4009</f>
        <v>0</v>
      </c>
      <c r="R4009" s="28"/>
      <c r="S4009" s="28" t="n">
        <f aca="false">R4009*$M4009</f>
        <v>0</v>
      </c>
      <c r="T4009" s="28" t="n">
        <f aca="false">10813/100</f>
        <v>108.13</v>
      </c>
      <c r="U4009" s="28" t="n">
        <v>9191</v>
      </c>
      <c r="V4009" s="28" t="n">
        <f aca="false">43400/100</f>
        <v>434</v>
      </c>
      <c r="W4009" s="28" t="n">
        <v>36890</v>
      </c>
      <c r="X4009" s="28" t="n">
        <f aca="false">702/100</f>
        <v>7.02</v>
      </c>
      <c r="Y4009" s="28" t="n">
        <v>597</v>
      </c>
      <c r="Z4009" s="28"/>
      <c r="AA4009" s="28" t="n">
        <f aca="false">Z4009*$M4009</f>
        <v>0</v>
      </c>
      <c r="AB4009" s="28" t="n">
        <f aca="false">171/100</f>
        <v>1.71</v>
      </c>
      <c r="AC4009" s="28" t="n">
        <v>145</v>
      </c>
      <c r="AD4009" s="28"/>
      <c r="AE4009" s="28" t="n">
        <f aca="false">AD4009*$M4009</f>
        <v>0</v>
      </c>
      <c r="AF4009" s="28"/>
      <c r="AG4009" s="28" t="n">
        <f aca="false">AF4009*$M4009</f>
        <v>0</v>
      </c>
      <c r="AH4009" s="28" t="n">
        <f aca="false">17388/100</f>
        <v>173.88</v>
      </c>
      <c r="AI4009" s="28" t="n">
        <v>14780</v>
      </c>
      <c r="AJ4009" s="28"/>
      <c r="AK4009" s="28" t="n">
        <f aca="false">AJ4009*$M4009</f>
        <v>0</v>
      </c>
      <c r="AL4009" s="28"/>
      <c r="AM4009" s="28" t="n">
        <f aca="false">AL4009*$M4009</f>
        <v>0</v>
      </c>
      <c r="AN4009" s="28"/>
      <c r="AO4009" s="28" t="n">
        <f aca="false">AN4009*$M4009</f>
        <v>0</v>
      </c>
      <c r="AP4009" s="28"/>
      <c r="AQ4009" s="28" t="n">
        <f aca="false">AP4009*$M4009</f>
        <v>0</v>
      </c>
      <c r="AR4009" s="28"/>
      <c r="AS4009" s="28" t="n">
        <f aca="false">AR4009*$M4009</f>
        <v>0</v>
      </c>
      <c r="AT4009" s="28"/>
      <c r="AU4009" s="28" t="n">
        <f aca="false">AT4009*$M4009</f>
        <v>0</v>
      </c>
      <c r="AV4009" s="28"/>
      <c r="AW4009" s="28" t="n">
        <f aca="false">AV4009*$M4009</f>
        <v>0</v>
      </c>
      <c r="AX4009" s="28"/>
      <c r="AY4009" s="28" t="n">
        <f aca="false">AX4009*$M4009</f>
        <v>0</v>
      </c>
      <c r="AZ4009" s="30" t="n">
        <f aca="false">72474/100</f>
        <v>724.74</v>
      </c>
      <c r="BA4009" s="11" t="n">
        <v>61603</v>
      </c>
      <c r="BB4009" s="31" t="n">
        <f aca="false">SUM(Q4009,S4009,U4009,W4009,Y4009,AA4009,AC4009,AE4009,AG4009,AI4009,AK4009,AM4009,AO4009,AQ4009,AS4009,AU4009,AW4009,AY4009)</f>
        <v>61603</v>
      </c>
      <c r="BC4009" s="28" t="n">
        <f aca="false">BA4009-BB4009</f>
        <v>0</v>
      </c>
      <c r="BD4009" s="32" t="n">
        <f aca="false">SUM(P4009,R4009,T4009,V4009,X4009,Z4009,AB4009,AD4009,AF4009,AH4009,AJ4009,AL4009,AN4009,AP4009,AR4009,AT4009,AV4009,AX4009)</f>
        <v>724.74</v>
      </c>
      <c r="BE4009" s="33" t="n">
        <f aca="false">AZ4009-BD4009</f>
        <v>0</v>
      </c>
      <c r="BF4009" s="34" t="n">
        <f aca="false">BD4009*M4009</f>
        <v>61602.9</v>
      </c>
      <c r="BG4009" s="35" t="n">
        <f aca="false">BA4009-BF4009</f>
        <v>0.0999999999985448</v>
      </c>
      <c r="BH4009" s="19" t="str">
        <f aca="false">IF(BG4009=0,"",IF(BG4009&lt;&gt;BA4009,"erreur de calcul",IF(BD4009&lt;&gt;0,"pas de prix",IF(M4009&lt;&gt; 0,"pas de quantité","pas de prix, ni de quantité"))))</f>
        <v>erreur de calcul</v>
      </c>
      <c r="BI4009" s="19"/>
    </row>
    <row r="4010" customFormat="false" ht="15" hidden="false" customHeight="false" outlineLevel="0" collapsed="false">
      <c r="A4010" s="0" t="n">
        <v>22</v>
      </c>
      <c r="B4010" s="8" t="s">
        <v>24</v>
      </c>
      <c r="C4010" s="9" t="s">
        <v>25</v>
      </c>
      <c r="D4010" s="9" t="s">
        <v>26</v>
      </c>
      <c r="E4010" s="10" t="n">
        <v>1789</v>
      </c>
      <c r="F4010" s="9" t="s">
        <v>27</v>
      </c>
      <c r="G4010" s="9" t="s">
        <v>27</v>
      </c>
      <c r="H4010" s="11" t="n">
        <v>22</v>
      </c>
      <c r="I4010" s="11" t="s">
        <v>223</v>
      </c>
      <c r="J4010" s="14" t="n">
        <v>150</v>
      </c>
      <c r="K4010" s="14"/>
      <c r="L4010" s="16"/>
      <c r="M4010" s="27" t="n">
        <f aca="false">J4010+(K4010/20)+(L4010/240)</f>
        <v>150</v>
      </c>
      <c r="N4010" s="17" t="s">
        <v>64</v>
      </c>
      <c r="O4010" s="11"/>
      <c r="P4010" s="28"/>
      <c r="Q4010" s="28" t="n">
        <f aca="false">P4010*$M4010</f>
        <v>0</v>
      </c>
      <c r="R4010" s="28"/>
      <c r="S4010" s="28" t="n">
        <f aca="false">R4010*$M4010</f>
        <v>0</v>
      </c>
      <c r="T4010" s="28"/>
      <c r="U4010" s="28" t="n">
        <f aca="false">T4010*$M4010</f>
        <v>0</v>
      </c>
      <c r="V4010" s="28" t="n">
        <f aca="false">1415/100</f>
        <v>14.15</v>
      </c>
      <c r="W4010" s="28" t="n">
        <v>2122</v>
      </c>
      <c r="X4010" s="28"/>
      <c r="Y4010" s="28" t="n">
        <f aca="false">X4010*$M4010</f>
        <v>0</v>
      </c>
      <c r="Z4010" s="28"/>
      <c r="AA4010" s="28" t="n">
        <f aca="false">Z4010*$M4010</f>
        <v>0</v>
      </c>
      <c r="AB4010" s="28" t="n">
        <f aca="false">1806/100</f>
        <v>18.06</v>
      </c>
      <c r="AC4010" s="28" t="n">
        <v>2709</v>
      </c>
      <c r="AD4010" s="28"/>
      <c r="AE4010" s="28" t="n">
        <f aca="false">AD4010*$M4010</f>
        <v>0</v>
      </c>
      <c r="AF4010" s="28"/>
      <c r="AG4010" s="28" t="n">
        <f aca="false">AF4010*$M4010</f>
        <v>0</v>
      </c>
      <c r="AH4010" s="28"/>
      <c r="AI4010" s="28" t="n">
        <f aca="false">AH4010*$M4010</f>
        <v>0</v>
      </c>
      <c r="AJ4010" s="28"/>
      <c r="AK4010" s="28" t="n">
        <f aca="false">AJ4010*$M4010</f>
        <v>0</v>
      </c>
      <c r="AL4010" s="28"/>
      <c r="AM4010" s="28" t="n">
        <f aca="false">AL4010*$M4010</f>
        <v>0</v>
      </c>
      <c r="AN4010" s="28"/>
      <c r="AO4010" s="28" t="n">
        <f aca="false">AN4010*$M4010</f>
        <v>0</v>
      </c>
      <c r="AP4010" s="28"/>
      <c r="AQ4010" s="28" t="n">
        <f aca="false">AP4010*$M4010</f>
        <v>0</v>
      </c>
      <c r="AR4010" s="28"/>
      <c r="AS4010" s="28" t="n">
        <f aca="false">AR4010*$M4010</f>
        <v>0</v>
      </c>
      <c r="AT4010" s="28"/>
      <c r="AU4010" s="28" t="n">
        <f aca="false">AT4010*$M4010</f>
        <v>0</v>
      </c>
      <c r="AV4010" s="28"/>
      <c r="AW4010" s="28" t="n">
        <f aca="false">AV4010*$M4010</f>
        <v>0</v>
      </c>
      <c r="AX4010" s="28"/>
      <c r="AY4010" s="28" t="n">
        <f aca="false">AX4010*$M4010</f>
        <v>0</v>
      </c>
      <c r="AZ4010" s="30" t="n">
        <f aca="false">3221/100</f>
        <v>32.21</v>
      </c>
      <c r="BA4010" s="11" t="n">
        <v>4831</v>
      </c>
      <c r="BB4010" s="31" t="n">
        <f aca="false">SUM(Q4010,S4010,U4010,W4010,Y4010,AA4010,AC4010,AE4010,AG4010,AI4010,AK4010,AM4010,AO4010,AQ4010,AS4010,AU4010,AW4010,AY4010)</f>
        <v>4831</v>
      </c>
      <c r="BC4010" s="28" t="n">
        <f aca="false">BA4010-BB4010</f>
        <v>0</v>
      </c>
      <c r="BD4010" s="32" t="n">
        <f aca="false">SUM(P4010,R4010,T4010,V4010,X4010,Z4010,AB4010,AD4010,AF4010,AH4010,AJ4010,AL4010,AN4010,AP4010,AR4010,AT4010,AV4010,AX4010)</f>
        <v>32.21</v>
      </c>
      <c r="BE4010" s="33" t="n">
        <f aca="false">AZ4010-BD4010</f>
        <v>0</v>
      </c>
      <c r="BF4010" s="34" t="n">
        <f aca="false">BD4010*M4010</f>
        <v>4831.5</v>
      </c>
      <c r="BG4010" s="35" t="n">
        <f aca="false">BA4010-BF4010</f>
        <v>-0.5</v>
      </c>
      <c r="BH4010" s="19" t="str">
        <f aca="false">IF(BG4010=0,"",IF(BG4010&lt;&gt;BA4010,"erreur de calcul",IF(BD4010&lt;&gt;0,"pas de prix",IF(M4010&lt;&gt; 0,"pas de quantité","pas de prix, ni de quantité"))))</f>
        <v>erreur de calcul</v>
      </c>
      <c r="BI4010" s="19"/>
    </row>
    <row r="4011" customFormat="false" ht="15" hidden="false" customHeight="false" outlineLevel="0" collapsed="false">
      <c r="A4011" s="0" t="n">
        <v>23</v>
      </c>
      <c r="B4011" s="8" t="s">
        <v>24</v>
      </c>
      <c r="C4011" s="9" t="s">
        <v>25</v>
      </c>
      <c r="D4011" s="9" t="s">
        <v>26</v>
      </c>
      <c r="E4011" s="10" t="n">
        <v>1789</v>
      </c>
      <c r="F4011" s="9" t="s">
        <v>27</v>
      </c>
      <c r="G4011" s="9" t="s">
        <v>27</v>
      </c>
      <c r="H4011" s="11" t="n">
        <v>22</v>
      </c>
      <c r="I4011" s="11" t="s">
        <v>224</v>
      </c>
      <c r="J4011" s="14"/>
      <c r="K4011" s="14"/>
      <c r="L4011" s="16"/>
      <c r="M4011" s="27" t="n">
        <f aca="false">J4011+(K4011/20)+(L4011/240)</f>
        <v>0</v>
      </c>
      <c r="N4011" s="17" t="s">
        <v>225</v>
      </c>
      <c r="O4011" s="11"/>
      <c r="P4011" s="28" t="n">
        <f aca="false">2+121/288</f>
        <v>2.42013888888889</v>
      </c>
      <c r="Q4011" s="28" t="n">
        <v>275</v>
      </c>
      <c r="R4011" s="28"/>
      <c r="S4011" s="28" t="n">
        <f aca="false">R4011*$M4011</f>
        <v>0</v>
      </c>
      <c r="T4011" s="28"/>
      <c r="U4011" s="28" t="n">
        <f aca="false">T4011*$M4011</f>
        <v>0</v>
      </c>
      <c r="V4011" s="28"/>
      <c r="W4011" s="28" t="n">
        <f aca="false">V4011*$M4011</f>
        <v>0</v>
      </c>
      <c r="X4011" s="28"/>
      <c r="Y4011" s="28" t="n">
        <f aca="false">X4011*$M4011</f>
        <v>0</v>
      </c>
      <c r="Z4011" s="28"/>
      <c r="AA4011" s="28" t="n">
        <f aca="false">Z4011*$M4011</f>
        <v>0</v>
      </c>
      <c r="AB4011" s="28"/>
      <c r="AC4011" s="28" t="n">
        <f aca="false">AB4011*$M4011</f>
        <v>0</v>
      </c>
      <c r="AD4011" s="28"/>
      <c r="AE4011" s="28" t="n">
        <f aca="false">AD4011*$M4011</f>
        <v>0</v>
      </c>
      <c r="AF4011" s="28"/>
      <c r="AG4011" s="28" t="n">
        <f aca="false">AF4011*$M4011</f>
        <v>0</v>
      </c>
      <c r="AH4011" s="28"/>
      <c r="AI4011" s="28" t="n">
        <f aca="false">AH4011*$M4011</f>
        <v>0</v>
      </c>
      <c r="AJ4011" s="28"/>
      <c r="AK4011" s="28" t="n">
        <f aca="false">AJ4011*$M4011</f>
        <v>0</v>
      </c>
      <c r="AL4011" s="28"/>
      <c r="AM4011" s="28" t="n">
        <f aca="false">AL4011*$M4011</f>
        <v>0</v>
      </c>
      <c r="AN4011" s="28"/>
      <c r="AO4011" s="28" t="n">
        <f aca="false">AN4011*$M4011</f>
        <v>0</v>
      </c>
      <c r="AP4011" s="28"/>
      <c r="AQ4011" s="28" t="n">
        <f aca="false">AP4011*$M4011</f>
        <v>0</v>
      </c>
      <c r="AR4011" s="28"/>
      <c r="AS4011" s="28" t="n">
        <f aca="false">AR4011*$M4011</f>
        <v>0</v>
      </c>
      <c r="AT4011" s="28"/>
      <c r="AU4011" s="28" t="n">
        <f aca="false">AT4011*$M4011</f>
        <v>0</v>
      </c>
      <c r="AV4011" s="28"/>
      <c r="AW4011" s="28" t="n">
        <f aca="false">AV4011*$M4011</f>
        <v>0</v>
      </c>
      <c r="AX4011" s="28"/>
      <c r="AY4011" s="28" t="n">
        <f aca="false">AX4011*$M4011</f>
        <v>0</v>
      </c>
      <c r="AZ4011" s="30" t="n">
        <f aca="false">2+121/288</f>
        <v>2.42013888888889</v>
      </c>
      <c r="BA4011" s="11" t="n">
        <v>275</v>
      </c>
      <c r="BB4011" s="31" t="n">
        <f aca="false">SUM(Q4011,S4011,U4011,W4011,Y4011,AA4011,AC4011,AE4011,AG4011,AI4011,AK4011,AM4011,AO4011,AQ4011,AS4011,AU4011,AW4011,AY4011)</f>
        <v>275</v>
      </c>
      <c r="BC4011" s="28" t="n">
        <f aca="false">BA4011-BB4011</f>
        <v>0</v>
      </c>
      <c r="BD4011" s="32" t="n">
        <f aca="false">SUM(P4011,R4011,T4011,V4011,X4011,Z4011,AB4011,AD4011,AF4011,AH4011,AJ4011,AL4011,AN4011,AP4011,AR4011,AT4011,AV4011,AX4011)</f>
        <v>2.42013888888889</v>
      </c>
      <c r="BE4011" s="33" t="n">
        <f aca="false">AZ4011-BD4011</f>
        <v>0</v>
      </c>
      <c r="BF4011" s="34" t="n">
        <f aca="false">BD4011*M4011</f>
        <v>0</v>
      </c>
      <c r="BG4011" s="35" t="n">
        <f aca="false">BA4011-BF4011</f>
        <v>275</v>
      </c>
      <c r="BH4011" s="19" t="str">
        <f aca="false">IF(BG4011=0,"",IF(BG4011&lt;&gt;BA4011,"erreur de calcul",IF(BD4011&lt;&gt;0,"pas de prix",IF(M4011&lt;&gt; 0,"pas de quantité","pas de prix, ni de quantité"))))</f>
        <v>pas de prix</v>
      </c>
      <c r="BI4011" s="19" t="s">
        <v>226</v>
      </c>
    </row>
    <row r="4012" customFormat="false" ht="15" hidden="false" customHeight="false" outlineLevel="0" collapsed="false">
      <c r="A4012" s="0" t="n">
        <v>24</v>
      </c>
      <c r="B4012" s="8" t="s">
        <v>24</v>
      </c>
      <c r="C4012" s="9" t="s">
        <v>25</v>
      </c>
      <c r="D4012" s="9" t="s">
        <v>26</v>
      </c>
      <c r="E4012" s="10" t="n">
        <v>1789</v>
      </c>
      <c r="F4012" s="9" t="s">
        <v>27</v>
      </c>
      <c r="G4012" s="9" t="s">
        <v>27</v>
      </c>
      <c r="H4012" s="11" t="n">
        <v>22</v>
      </c>
      <c r="I4012" s="11" t="s">
        <v>227</v>
      </c>
      <c r="J4012" s="14" t="n">
        <v>8</v>
      </c>
      <c r="K4012" s="14"/>
      <c r="L4012" s="16"/>
      <c r="M4012" s="27" t="n">
        <f aca="false">J4012+(K4012/20)+(L4012/240)</f>
        <v>8</v>
      </c>
      <c r="N4012" s="17" t="s">
        <v>64</v>
      </c>
      <c r="O4012" s="11" t="s">
        <v>77</v>
      </c>
      <c r="P4012" s="28" t="n">
        <f aca="false">267216/100</f>
        <v>2672.16</v>
      </c>
      <c r="Q4012" s="28" t="n">
        <v>21377</v>
      </c>
      <c r="R4012" s="28"/>
      <c r="S4012" s="28" t="n">
        <f aca="false">R4012*$M4012</f>
        <v>0</v>
      </c>
      <c r="T4012" s="28"/>
      <c r="U4012" s="28" t="n">
        <f aca="false">T4012*$M4012</f>
        <v>0</v>
      </c>
      <c r="V4012" s="28"/>
      <c r="W4012" s="28" t="n">
        <f aca="false">V4012*$M4012</f>
        <v>0</v>
      </c>
      <c r="X4012" s="28"/>
      <c r="Y4012" s="28" t="n">
        <f aca="false">X4012*$M4012</f>
        <v>0</v>
      </c>
      <c r="Z4012" s="28"/>
      <c r="AA4012" s="28" t="n">
        <f aca="false">Z4012*$M4012</f>
        <v>0</v>
      </c>
      <c r="AB4012" s="28" t="n">
        <f aca="false">3334/100</f>
        <v>33.34</v>
      </c>
      <c r="AC4012" s="28" t="n">
        <v>267</v>
      </c>
      <c r="AD4012" s="28"/>
      <c r="AE4012" s="28" t="n">
        <f aca="false">AD4012*$M4012</f>
        <v>0</v>
      </c>
      <c r="AF4012" s="28"/>
      <c r="AG4012" s="28" t="n">
        <f aca="false">AF4012*$M4012</f>
        <v>0</v>
      </c>
      <c r="AH4012" s="28"/>
      <c r="AI4012" s="28" t="n">
        <f aca="false">AH4012*$M4012</f>
        <v>0</v>
      </c>
      <c r="AJ4012" s="28"/>
      <c r="AK4012" s="28" t="n">
        <f aca="false">AJ4012*$M4012</f>
        <v>0</v>
      </c>
      <c r="AL4012" s="28"/>
      <c r="AM4012" s="28" t="n">
        <f aca="false">AL4012*$M4012</f>
        <v>0</v>
      </c>
      <c r="AN4012" s="28"/>
      <c r="AO4012" s="28" t="n">
        <f aca="false">AN4012*$M4012</f>
        <v>0</v>
      </c>
      <c r="AP4012" s="28"/>
      <c r="AQ4012" s="28" t="n">
        <f aca="false">AP4012*$M4012</f>
        <v>0</v>
      </c>
      <c r="AR4012" s="28"/>
      <c r="AS4012" s="28" t="n">
        <f aca="false">AR4012*$M4012</f>
        <v>0</v>
      </c>
      <c r="AT4012" s="28"/>
      <c r="AU4012" s="28" t="n">
        <f aca="false">AT4012*$M4012</f>
        <v>0</v>
      </c>
      <c r="AV4012" s="28"/>
      <c r="AW4012" s="28" t="n">
        <f aca="false">AV4012*$M4012</f>
        <v>0</v>
      </c>
      <c r="AX4012" s="28"/>
      <c r="AY4012" s="28" t="n">
        <f aca="false">AX4012*$M4012</f>
        <v>0</v>
      </c>
      <c r="AZ4012" s="30" t="n">
        <f aca="false">270550/100</f>
        <v>2705.5</v>
      </c>
      <c r="BA4012" s="11" t="n">
        <v>21644</v>
      </c>
      <c r="BB4012" s="31" t="n">
        <f aca="false">SUM(Q4012,S4012,U4012,W4012,Y4012,AA4012,AC4012,AE4012,AG4012,AI4012,AK4012,AM4012,AO4012,AQ4012,AS4012,AU4012,AW4012,AY4012)</f>
        <v>21644</v>
      </c>
      <c r="BC4012" s="28" t="n">
        <f aca="false">BA4012-BB4012</f>
        <v>0</v>
      </c>
      <c r="BD4012" s="32" t="n">
        <f aca="false">SUM(P4012,R4012,T4012,V4012,X4012,Z4012,AB4012,AD4012,AF4012,AH4012,AJ4012,AL4012,AN4012,AP4012,AR4012,AT4012,AV4012,AX4012)</f>
        <v>2705.5</v>
      </c>
      <c r="BE4012" s="33" t="n">
        <f aca="false">AZ4012-BD4012</f>
        <v>0</v>
      </c>
      <c r="BF4012" s="34" t="n">
        <f aca="false">BD4012*M4012</f>
        <v>21644</v>
      </c>
      <c r="BG4012" s="35" t="n">
        <f aca="false">BA4012-BF4012</f>
        <v>0</v>
      </c>
      <c r="BH4012" s="19" t="str">
        <f aca="false">IF(BG4012=0,"",IF(BG4012&lt;&gt;BA4012,"erreur de calcul",IF(BD4012&lt;&gt;0,"pas de prix",IF(M4012&lt;&gt; 0,"pas de quantité","pas de prix, ni de quantité"))))</f>
        <v/>
      </c>
      <c r="BI4012" s="19"/>
    </row>
    <row r="4013" customFormat="false" ht="15" hidden="false" customHeight="false" outlineLevel="0" collapsed="false">
      <c r="A4013" s="0" t="n">
        <v>25</v>
      </c>
      <c r="B4013" s="8" t="s">
        <v>24</v>
      </c>
      <c r="C4013" s="9" t="s">
        <v>25</v>
      </c>
      <c r="D4013" s="9" t="s">
        <v>26</v>
      </c>
      <c r="E4013" s="10" t="n">
        <v>1789</v>
      </c>
      <c r="F4013" s="9" t="s">
        <v>27</v>
      </c>
      <c r="G4013" s="9" t="s">
        <v>27</v>
      </c>
      <c r="H4013" s="11" t="n">
        <v>22</v>
      </c>
      <c r="I4013" s="11" t="s">
        <v>228</v>
      </c>
      <c r="J4013" s="14" t="n">
        <v>11</v>
      </c>
      <c r="K4013" s="14"/>
      <c r="L4013" s="16"/>
      <c r="M4013" s="27" t="n">
        <f aca="false">J4013+(K4013/20)+(L4013/240)</f>
        <v>11</v>
      </c>
      <c r="N4013" s="17" t="s">
        <v>66</v>
      </c>
      <c r="O4013" s="11"/>
      <c r="P4013" s="28"/>
      <c r="Q4013" s="28" t="n">
        <f aca="false">P4013*$M4013</f>
        <v>0</v>
      </c>
      <c r="R4013" s="28" t="n">
        <v>2017</v>
      </c>
      <c r="S4013" s="28" t="n">
        <v>22187</v>
      </c>
      <c r="T4013" s="28"/>
      <c r="U4013" s="28" t="n">
        <f aca="false">T4013*$M4013</f>
        <v>0</v>
      </c>
      <c r="V4013" s="28"/>
      <c r="W4013" s="28" t="n">
        <f aca="false">V4013*$M4013</f>
        <v>0</v>
      </c>
      <c r="X4013" s="28" t="n">
        <v>3804</v>
      </c>
      <c r="Y4013" s="28" t="n">
        <v>41844</v>
      </c>
      <c r="Z4013" s="28"/>
      <c r="AA4013" s="28" t="n">
        <f aca="false">Z4013*$M4013</f>
        <v>0</v>
      </c>
      <c r="AB4013" s="28"/>
      <c r="AC4013" s="28" t="n">
        <f aca="false">AB4013*$M4013</f>
        <v>0</v>
      </c>
      <c r="AD4013" s="28"/>
      <c r="AE4013" s="28" t="n">
        <f aca="false">AD4013*$M4013</f>
        <v>0</v>
      </c>
      <c r="AF4013" s="28"/>
      <c r="AG4013" s="28" t="n">
        <f aca="false">AF4013*$M4013</f>
        <v>0</v>
      </c>
      <c r="AH4013" s="28" t="n">
        <v>117</v>
      </c>
      <c r="AI4013" s="28" t="n">
        <v>1287</v>
      </c>
      <c r="AJ4013" s="28" t="n">
        <v>8694</v>
      </c>
      <c r="AK4013" s="28" t="n">
        <v>95634</v>
      </c>
      <c r="AL4013" s="28"/>
      <c r="AM4013" s="28" t="n">
        <f aca="false">AL4013*$M4013</f>
        <v>0</v>
      </c>
      <c r="AN4013" s="28" t="n">
        <v>5697</v>
      </c>
      <c r="AO4013" s="28" t="n">
        <v>62667</v>
      </c>
      <c r="AP4013" s="28"/>
      <c r="AQ4013" s="28" t="n">
        <f aca="false">AP4013*$M4013</f>
        <v>0</v>
      </c>
      <c r="AR4013" s="28"/>
      <c r="AS4013" s="28" t="n">
        <f aca="false">AR4013*$M4013</f>
        <v>0</v>
      </c>
      <c r="AT4013" s="28"/>
      <c r="AU4013" s="28" t="n">
        <f aca="false">AT4013*$M4013</f>
        <v>0</v>
      </c>
      <c r="AV4013" s="28"/>
      <c r="AW4013" s="28" t="n">
        <f aca="false">AV4013*$M4013</f>
        <v>0</v>
      </c>
      <c r="AX4013" s="28"/>
      <c r="AY4013" s="28" t="n">
        <f aca="false">AX4013*$M4013</f>
        <v>0</v>
      </c>
      <c r="AZ4013" s="30" t="n">
        <v>20329</v>
      </c>
      <c r="BA4013" s="11" t="n">
        <v>223619</v>
      </c>
      <c r="BB4013" s="31" t="n">
        <f aca="false">SUM(Q4013,S4013,U4013,W4013,Y4013,AA4013,AC4013,AE4013,AG4013,AI4013,AK4013,AM4013,AO4013,AQ4013,AS4013,AU4013,AW4013,AY4013)</f>
        <v>223619</v>
      </c>
      <c r="BC4013" s="28" t="n">
        <f aca="false">BA4013-BB4013</f>
        <v>0</v>
      </c>
      <c r="BD4013" s="32" t="n">
        <f aca="false">SUM(P4013,R4013,T4013,V4013,X4013,Z4013,AB4013,AD4013,AF4013,AH4013,AJ4013,AL4013,AN4013,AP4013,AR4013,AT4013,AV4013,AX4013)</f>
        <v>20329</v>
      </c>
      <c r="BE4013" s="33" t="n">
        <f aca="false">AZ4013-BD4013</f>
        <v>0</v>
      </c>
      <c r="BF4013" s="34" t="n">
        <f aca="false">BD4013*M4013</f>
        <v>223619</v>
      </c>
      <c r="BG4013" s="35" t="n">
        <f aca="false">BA4013-BF4013</f>
        <v>0</v>
      </c>
      <c r="BH4013" s="19" t="str">
        <f aca="false">IF(BG4013=0,"",IF(BG4013&lt;&gt;BA4013,"erreur de calcul",IF(BD4013&lt;&gt;0,"pas de prix",IF(M4013&lt;&gt; 0,"pas de quantité","pas de prix, ni de quantité"))))</f>
        <v/>
      </c>
      <c r="BI4013" s="19"/>
    </row>
    <row r="4014" customFormat="false" ht="15" hidden="false" customHeight="false" outlineLevel="0" collapsed="false">
      <c r="A4014" s="0" t="n">
        <v>26</v>
      </c>
      <c r="B4014" s="8" t="s">
        <v>24</v>
      </c>
      <c r="C4014" s="9" t="s">
        <v>25</v>
      </c>
      <c r="D4014" s="9" t="s">
        <v>26</v>
      </c>
      <c r="E4014" s="10" t="n">
        <v>1789</v>
      </c>
      <c r="F4014" s="9" t="s">
        <v>27</v>
      </c>
      <c r="G4014" s="9" t="s">
        <v>27</v>
      </c>
      <c r="H4014" s="11" t="n">
        <v>22</v>
      </c>
      <c r="I4014" s="11" t="s">
        <v>229</v>
      </c>
      <c r="J4014" s="14" t="n">
        <v>5</v>
      </c>
      <c r="K4014" s="14"/>
      <c r="L4014" s="16"/>
      <c r="M4014" s="27" t="n">
        <f aca="false">J4014+(K4014/20)+(L4014/240)</f>
        <v>5</v>
      </c>
      <c r="N4014" s="17" t="s">
        <v>66</v>
      </c>
      <c r="O4014" s="11"/>
      <c r="P4014" s="28"/>
      <c r="Q4014" s="28" t="n">
        <f aca="false">P4014*$M4014</f>
        <v>0</v>
      </c>
      <c r="R4014" s="28" t="n">
        <v>4117</v>
      </c>
      <c r="S4014" s="28" t="n">
        <v>20585</v>
      </c>
      <c r="T4014" s="28"/>
      <c r="U4014" s="28" t="n">
        <f aca="false">T4014*$M4014</f>
        <v>0</v>
      </c>
      <c r="V4014" s="28"/>
      <c r="W4014" s="28" t="n">
        <f aca="false">V4014*$M4014</f>
        <v>0</v>
      </c>
      <c r="X4014" s="28"/>
      <c r="Y4014" s="28" t="n">
        <f aca="false">X4014*$M4014</f>
        <v>0</v>
      </c>
      <c r="Z4014" s="28"/>
      <c r="AA4014" s="28" t="n">
        <f aca="false">Z4014*$M4014</f>
        <v>0</v>
      </c>
      <c r="AB4014" s="28"/>
      <c r="AC4014" s="28" t="n">
        <f aca="false">AB4014*$M4014</f>
        <v>0</v>
      </c>
      <c r="AD4014" s="28"/>
      <c r="AE4014" s="28" t="n">
        <f aca="false">AD4014*$M4014</f>
        <v>0</v>
      </c>
      <c r="AF4014" s="28"/>
      <c r="AG4014" s="28" t="n">
        <f aca="false">AF4014*$M4014</f>
        <v>0</v>
      </c>
      <c r="AH4014" s="28"/>
      <c r="AI4014" s="28" t="n">
        <f aca="false">AH4014*$M4014</f>
        <v>0</v>
      </c>
      <c r="AJ4014" s="28"/>
      <c r="AK4014" s="28" t="n">
        <f aca="false">AJ4014*$M4014</f>
        <v>0</v>
      </c>
      <c r="AL4014" s="28"/>
      <c r="AM4014" s="28" t="n">
        <f aca="false">AL4014*$M4014</f>
        <v>0</v>
      </c>
      <c r="AN4014" s="28"/>
      <c r="AO4014" s="28" t="n">
        <f aca="false">AN4014*$M4014</f>
        <v>0</v>
      </c>
      <c r="AP4014" s="28"/>
      <c r="AQ4014" s="28" t="n">
        <f aca="false">AP4014*$M4014</f>
        <v>0</v>
      </c>
      <c r="AR4014" s="28"/>
      <c r="AS4014" s="28" t="n">
        <f aca="false">AR4014*$M4014</f>
        <v>0</v>
      </c>
      <c r="AT4014" s="28"/>
      <c r="AU4014" s="28" t="n">
        <f aca="false">AT4014*$M4014</f>
        <v>0</v>
      </c>
      <c r="AV4014" s="28"/>
      <c r="AW4014" s="28" t="n">
        <f aca="false">AV4014*$M4014</f>
        <v>0</v>
      </c>
      <c r="AX4014" s="28"/>
      <c r="AY4014" s="28" t="n">
        <f aca="false">AX4014*$M4014</f>
        <v>0</v>
      </c>
      <c r="AZ4014" s="30" t="n">
        <v>4117</v>
      </c>
      <c r="BA4014" s="11" t="n">
        <v>20585</v>
      </c>
      <c r="BB4014" s="31" t="n">
        <f aca="false">SUM(Q4014,S4014,U4014,W4014,Y4014,AA4014,AC4014,AE4014,AG4014,AI4014,AK4014,AM4014,AO4014,AQ4014,AS4014,AU4014,AW4014,AY4014)</f>
        <v>20585</v>
      </c>
      <c r="BC4014" s="28" t="n">
        <f aca="false">BA4014-BB4014</f>
        <v>0</v>
      </c>
      <c r="BD4014" s="32" t="n">
        <f aca="false">SUM(P4014,R4014,T4014,V4014,X4014,Z4014,AB4014,AD4014,AF4014,AH4014,AJ4014,AL4014,AN4014,AP4014,AR4014,AT4014,AV4014,AX4014)</f>
        <v>4117</v>
      </c>
      <c r="BE4014" s="33" t="n">
        <f aca="false">AZ4014-BD4014</f>
        <v>0</v>
      </c>
      <c r="BF4014" s="34" t="n">
        <f aca="false">BD4014*M4014</f>
        <v>20585</v>
      </c>
      <c r="BG4014" s="35" t="n">
        <f aca="false">BA4014-BF4014</f>
        <v>0</v>
      </c>
      <c r="BH4014" s="19" t="str">
        <f aca="false">IF(BG4014=0,"",IF(BG4014&lt;&gt;BA4014,"erreur de calcul",IF(BD4014&lt;&gt;0,"pas de prix",IF(M4014&lt;&gt; 0,"pas de quantité","pas de prix, ni de quantité"))))</f>
        <v/>
      </c>
      <c r="BI4014" s="19"/>
    </row>
    <row r="4015" customFormat="false" ht="15" hidden="false" customHeight="false" outlineLevel="0" collapsed="false">
      <c r="A4015" s="0" t="n">
        <v>27</v>
      </c>
      <c r="B4015" s="8" t="s">
        <v>24</v>
      </c>
      <c r="C4015" s="9" t="s">
        <v>25</v>
      </c>
      <c r="D4015" s="9" t="s">
        <v>26</v>
      </c>
      <c r="E4015" s="10" t="n">
        <v>1789</v>
      </c>
      <c r="F4015" s="9" t="s">
        <v>27</v>
      </c>
      <c r="G4015" s="9" t="s">
        <v>27</v>
      </c>
      <c r="H4015" s="11" t="n">
        <v>22</v>
      </c>
      <c r="I4015" s="11" t="s">
        <v>230</v>
      </c>
      <c r="J4015" s="14" t="n">
        <v>11</v>
      </c>
      <c r="K4015" s="14"/>
      <c r="L4015" s="16"/>
      <c r="M4015" s="27" t="n">
        <f aca="false">J4015+(K4015/20)+(L4015/240)</f>
        <v>11</v>
      </c>
      <c r="N4015" s="17" t="s">
        <v>66</v>
      </c>
      <c r="O4015" s="11"/>
      <c r="P4015" s="28"/>
      <c r="Q4015" s="28" t="n">
        <f aca="false">P4015*$M4015</f>
        <v>0</v>
      </c>
      <c r="R4015" s="28"/>
      <c r="S4015" s="28" t="n">
        <f aca="false">R4015*$M4015</f>
        <v>0</v>
      </c>
      <c r="T4015" s="28"/>
      <c r="U4015" s="28" t="n">
        <f aca="false">T4015*$M4015</f>
        <v>0</v>
      </c>
      <c r="V4015" s="28"/>
      <c r="W4015" s="28" t="n">
        <f aca="false">V4015*$M4015</f>
        <v>0</v>
      </c>
      <c r="X4015" s="28"/>
      <c r="Y4015" s="28" t="n">
        <f aca="false">X4015*$M4015</f>
        <v>0</v>
      </c>
      <c r="Z4015" s="28"/>
      <c r="AA4015" s="28" t="n">
        <f aca="false">Z4015*$M4015</f>
        <v>0</v>
      </c>
      <c r="AB4015" s="28"/>
      <c r="AC4015" s="28" t="n">
        <f aca="false">AB4015*$M4015</f>
        <v>0</v>
      </c>
      <c r="AD4015" s="28"/>
      <c r="AE4015" s="28" t="n">
        <f aca="false">AD4015*$M4015</f>
        <v>0</v>
      </c>
      <c r="AF4015" s="28"/>
      <c r="AG4015" s="28" t="n">
        <f aca="false">AF4015*$M4015</f>
        <v>0</v>
      </c>
      <c r="AH4015" s="28"/>
      <c r="AI4015" s="28" t="n">
        <f aca="false">AH4015*$M4015</f>
        <v>0</v>
      </c>
      <c r="AJ4015" s="28" t="n">
        <v>34854</v>
      </c>
      <c r="AK4015" s="28" t="n">
        <v>383394</v>
      </c>
      <c r="AL4015" s="28"/>
      <c r="AM4015" s="28" t="n">
        <f aca="false">AL4015*$M4015</f>
        <v>0</v>
      </c>
      <c r="AN4015" s="28"/>
      <c r="AO4015" s="28" t="n">
        <f aca="false">AN4015*$M4015</f>
        <v>0</v>
      </c>
      <c r="AP4015" s="28"/>
      <c r="AQ4015" s="28" t="n">
        <f aca="false">AP4015*$M4015</f>
        <v>0</v>
      </c>
      <c r="AR4015" s="28"/>
      <c r="AS4015" s="28" t="n">
        <f aca="false">AR4015*$M4015</f>
        <v>0</v>
      </c>
      <c r="AT4015" s="28"/>
      <c r="AU4015" s="28" t="n">
        <f aca="false">AT4015*$M4015</f>
        <v>0</v>
      </c>
      <c r="AV4015" s="28"/>
      <c r="AW4015" s="28" t="n">
        <f aca="false">AV4015*$M4015</f>
        <v>0</v>
      </c>
      <c r="AX4015" s="28"/>
      <c r="AY4015" s="28" t="n">
        <f aca="false">AX4015*$M4015</f>
        <v>0</v>
      </c>
      <c r="AZ4015" s="30" t="n">
        <v>34854</v>
      </c>
      <c r="BA4015" s="11" t="n">
        <v>383394</v>
      </c>
      <c r="BB4015" s="31" t="n">
        <f aca="false">SUM(Q4015,S4015,U4015,W4015,Y4015,AA4015,AC4015,AE4015,AG4015,AI4015,AK4015,AM4015,AO4015,AQ4015,AS4015,AU4015,AW4015,AY4015)</f>
        <v>383394</v>
      </c>
      <c r="BC4015" s="28" t="n">
        <f aca="false">BA4015-BB4015</f>
        <v>0</v>
      </c>
      <c r="BD4015" s="32" t="n">
        <f aca="false">SUM(P4015,R4015,T4015,V4015,X4015,Z4015,AB4015,AD4015,AF4015,AH4015,AJ4015,AL4015,AN4015,AP4015,AR4015,AT4015,AV4015,AX4015)</f>
        <v>34854</v>
      </c>
      <c r="BE4015" s="33" t="n">
        <f aca="false">AZ4015-BD4015</f>
        <v>0</v>
      </c>
      <c r="BF4015" s="34" t="n">
        <f aca="false">BD4015*M4015</f>
        <v>383394</v>
      </c>
      <c r="BG4015" s="35" t="n">
        <f aca="false">BA4015-BF4015</f>
        <v>0</v>
      </c>
      <c r="BH4015" s="19" t="str">
        <f aca="false">IF(BG4015=0,"",IF(BG4015&lt;&gt;BA4015,"erreur de calcul",IF(BD4015&lt;&gt;0,"pas de prix",IF(M4015&lt;&gt; 0,"pas de quantité","pas de prix, ni de quantité"))))</f>
        <v/>
      </c>
      <c r="BI4015" s="19"/>
    </row>
    <row r="4016" customFormat="false" ht="15" hidden="false" customHeight="false" outlineLevel="0" collapsed="false">
      <c r="A4016" s="0" t="n">
        <v>28</v>
      </c>
      <c r="B4016" s="8" t="s">
        <v>24</v>
      </c>
      <c r="C4016" s="9" t="s">
        <v>25</v>
      </c>
      <c r="D4016" s="9" t="s">
        <v>26</v>
      </c>
      <c r="E4016" s="10" t="n">
        <v>1789</v>
      </c>
      <c r="F4016" s="9" t="s">
        <v>27</v>
      </c>
      <c r="G4016" s="9" t="s">
        <v>27</v>
      </c>
      <c r="H4016" s="11" t="n">
        <v>22</v>
      </c>
      <c r="I4016" s="11" t="s">
        <v>231</v>
      </c>
      <c r="J4016" s="14" t="n">
        <v>18</v>
      </c>
      <c r="K4016" s="14"/>
      <c r="L4016" s="16"/>
      <c r="M4016" s="27" t="n">
        <f aca="false">J4016+(K4016/20)+(L4016/240)</f>
        <v>18</v>
      </c>
      <c r="N4016" s="17" t="s">
        <v>66</v>
      </c>
      <c r="O4016" s="11"/>
      <c r="P4016" s="28"/>
      <c r="Q4016" s="28" t="n">
        <f aca="false">P4016*$M4016</f>
        <v>0</v>
      </c>
      <c r="R4016" s="28"/>
      <c r="S4016" s="28" t="n">
        <f aca="false">R4016*$M4016</f>
        <v>0</v>
      </c>
      <c r="T4016" s="28"/>
      <c r="U4016" s="28" t="n">
        <f aca="false">T4016*$M4016</f>
        <v>0</v>
      </c>
      <c r="V4016" s="28"/>
      <c r="W4016" s="28" t="n">
        <f aca="false">V4016*$M4016</f>
        <v>0</v>
      </c>
      <c r="X4016" s="28"/>
      <c r="Y4016" s="28" t="n">
        <f aca="false">X4016*$M4016</f>
        <v>0</v>
      </c>
      <c r="Z4016" s="28"/>
      <c r="AA4016" s="28" t="n">
        <f aca="false">Z4016*$M4016</f>
        <v>0</v>
      </c>
      <c r="AB4016" s="28"/>
      <c r="AC4016" s="28" t="n">
        <f aca="false">AB4016*$M4016</f>
        <v>0</v>
      </c>
      <c r="AD4016" s="28"/>
      <c r="AE4016" s="28" t="n">
        <f aca="false">AD4016*$M4016</f>
        <v>0</v>
      </c>
      <c r="AF4016" s="28"/>
      <c r="AG4016" s="28" t="n">
        <f aca="false">AF4016*$M4016</f>
        <v>0</v>
      </c>
      <c r="AH4016" s="28"/>
      <c r="AI4016" s="28" t="n">
        <f aca="false">AH4016*$M4016</f>
        <v>0</v>
      </c>
      <c r="AJ4016" s="28" t="n">
        <v>623</v>
      </c>
      <c r="AK4016" s="28" t="n">
        <v>11214</v>
      </c>
      <c r="AL4016" s="28"/>
      <c r="AM4016" s="28" t="n">
        <f aca="false">AL4016*$M4016</f>
        <v>0</v>
      </c>
      <c r="AN4016" s="28"/>
      <c r="AO4016" s="28" t="n">
        <f aca="false">AN4016*$M4016</f>
        <v>0</v>
      </c>
      <c r="AP4016" s="28"/>
      <c r="AQ4016" s="28" t="n">
        <f aca="false">AP4016*$M4016</f>
        <v>0</v>
      </c>
      <c r="AR4016" s="28"/>
      <c r="AS4016" s="28" t="n">
        <f aca="false">AR4016*$M4016</f>
        <v>0</v>
      </c>
      <c r="AT4016" s="28"/>
      <c r="AU4016" s="28" t="n">
        <f aca="false">AT4016*$M4016</f>
        <v>0</v>
      </c>
      <c r="AV4016" s="28"/>
      <c r="AW4016" s="28" t="n">
        <f aca="false">AV4016*$M4016</f>
        <v>0</v>
      </c>
      <c r="AX4016" s="28"/>
      <c r="AY4016" s="28" t="n">
        <f aca="false">AX4016*$M4016</f>
        <v>0</v>
      </c>
      <c r="AZ4016" s="30" t="n">
        <v>623</v>
      </c>
      <c r="BA4016" s="11" t="n">
        <v>11214</v>
      </c>
      <c r="BB4016" s="31" t="n">
        <f aca="false">SUM(Q4016,S4016,U4016,W4016,Y4016,AA4016,AC4016,AE4016,AG4016,AI4016,AK4016,AM4016,AO4016,AQ4016,AS4016,AU4016,AW4016,AY4016)</f>
        <v>11214</v>
      </c>
      <c r="BC4016" s="28" t="n">
        <f aca="false">BA4016-BB4016</f>
        <v>0</v>
      </c>
      <c r="BD4016" s="32" t="n">
        <f aca="false">SUM(P4016,R4016,T4016,V4016,X4016,Z4016,AB4016,AD4016,AF4016,AH4016,AJ4016,AL4016,AN4016,AP4016,AR4016,AT4016,AV4016,AX4016)</f>
        <v>623</v>
      </c>
      <c r="BE4016" s="33" t="n">
        <f aca="false">AZ4016-BD4016</f>
        <v>0</v>
      </c>
      <c r="BF4016" s="34" t="n">
        <f aca="false">BD4016*M4016</f>
        <v>11214</v>
      </c>
      <c r="BG4016" s="35" t="n">
        <f aca="false">BA4016-BF4016</f>
        <v>0</v>
      </c>
      <c r="BH4016" s="19" t="str">
        <f aca="false">IF(BG4016=0,"",IF(BG4016&lt;&gt;BA4016,"erreur de calcul",IF(BD4016&lt;&gt;0,"pas de prix",IF(M4016&lt;&gt; 0,"pas de quantité","pas de prix, ni de quantité"))))</f>
        <v/>
      </c>
      <c r="BI4016" s="19"/>
    </row>
    <row r="4017" customFormat="false" ht="15" hidden="false" customHeight="false" outlineLevel="0" collapsed="false">
      <c r="A4017" s="0" t="n">
        <v>29</v>
      </c>
      <c r="B4017" s="8" t="s">
        <v>24</v>
      </c>
      <c r="C4017" s="9" t="s">
        <v>25</v>
      </c>
      <c r="D4017" s="9" t="s">
        <v>26</v>
      </c>
      <c r="E4017" s="10" t="n">
        <v>1789</v>
      </c>
      <c r="F4017" s="9" t="s">
        <v>27</v>
      </c>
      <c r="G4017" s="9" t="s">
        <v>27</v>
      </c>
      <c r="H4017" s="11" t="n">
        <v>22</v>
      </c>
      <c r="I4017" s="11" t="s">
        <v>232</v>
      </c>
      <c r="J4017" s="14" t="n">
        <v>66</v>
      </c>
      <c r="K4017" s="14"/>
      <c r="L4017" s="16"/>
      <c r="M4017" s="27" t="n">
        <f aca="false">J4017+(K4017/20)+(L4017/240)</f>
        <v>66</v>
      </c>
      <c r="N4017" s="17" t="s">
        <v>64</v>
      </c>
      <c r="O4017" s="11"/>
      <c r="P4017" s="28"/>
      <c r="Q4017" s="28" t="n">
        <f aca="false">P4017*$M4017</f>
        <v>0</v>
      </c>
      <c r="R4017" s="28" t="n">
        <f aca="false">4580/100</f>
        <v>45.8</v>
      </c>
      <c r="S4017" s="28" t="n">
        <v>3023</v>
      </c>
      <c r="T4017" s="28"/>
      <c r="U4017" s="28" t="n">
        <f aca="false">T4017*$M4017</f>
        <v>0</v>
      </c>
      <c r="V4017" s="28"/>
      <c r="W4017" s="28" t="n">
        <f aca="false">V4017*$M4017</f>
        <v>0</v>
      </c>
      <c r="X4017" s="28"/>
      <c r="Y4017" s="28" t="n">
        <f aca="false">X4017*$M4017</f>
        <v>0</v>
      </c>
      <c r="Z4017" s="28"/>
      <c r="AA4017" s="28" t="n">
        <f aca="false">Z4017*$M4017</f>
        <v>0</v>
      </c>
      <c r="AB4017" s="28"/>
      <c r="AC4017" s="28" t="n">
        <f aca="false">AB4017*$M4017</f>
        <v>0</v>
      </c>
      <c r="AD4017" s="28"/>
      <c r="AE4017" s="28" t="n">
        <f aca="false">AD4017*$M4017</f>
        <v>0</v>
      </c>
      <c r="AF4017" s="28"/>
      <c r="AG4017" s="28" t="n">
        <f aca="false">AF4017*$M4017</f>
        <v>0</v>
      </c>
      <c r="AH4017" s="28"/>
      <c r="AI4017" s="28" t="n">
        <f aca="false">AH4017*$M4017</f>
        <v>0</v>
      </c>
      <c r="AJ4017" s="28"/>
      <c r="AK4017" s="28" t="n">
        <f aca="false">AJ4017*$M4017</f>
        <v>0</v>
      </c>
      <c r="AL4017" s="28"/>
      <c r="AM4017" s="28" t="n">
        <f aca="false">AL4017*$M4017</f>
        <v>0</v>
      </c>
      <c r="AN4017" s="28"/>
      <c r="AO4017" s="28" t="n">
        <f aca="false">AN4017*$M4017</f>
        <v>0</v>
      </c>
      <c r="AP4017" s="28"/>
      <c r="AQ4017" s="28" t="n">
        <f aca="false">AP4017*$M4017</f>
        <v>0</v>
      </c>
      <c r="AR4017" s="28"/>
      <c r="AS4017" s="28" t="n">
        <f aca="false">AR4017*$M4017</f>
        <v>0</v>
      </c>
      <c r="AT4017" s="28"/>
      <c r="AU4017" s="28" t="n">
        <f aca="false">AT4017*$M4017</f>
        <v>0</v>
      </c>
      <c r="AV4017" s="28"/>
      <c r="AW4017" s="28" t="n">
        <f aca="false">AV4017*$M4017</f>
        <v>0</v>
      </c>
      <c r="AX4017" s="28"/>
      <c r="AY4017" s="28" t="n">
        <f aca="false">AX4017*$M4017</f>
        <v>0</v>
      </c>
      <c r="AZ4017" s="30" t="n">
        <f aca="false">4580/100</f>
        <v>45.8</v>
      </c>
      <c r="BA4017" s="11" t="n">
        <v>3023</v>
      </c>
      <c r="BB4017" s="31" t="n">
        <f aca="false">SUM(Q4017,S4017,U4017,W4017,Y4017,AA4017,AC4017,AE4017,AG4017,AI4017,AK4017,AM4017,AO4017,AQ4017,AS4017,AU4017,AW4017,AY4017)</f>
        <v>3023</v>
      </c>
      <c r="BC4017" s="28" t="n">
        <f aca="false">BA4017-BB4017</f>
        <v>0</v>
      </c>
      <c r="BD4017" s="32" t="n">
        <f aca="false">SUM(P4017,R4017,T4017,V4017,X4017,Z4017,AB4017,AD4017,AF4017,AH4017,AJ4017,AL4017,AN4017,AP4017,AR4017,AT4017,AV4017,AX4017)</f>
        <v>45.8</v>
      </c>
      <c r="BE4017" s="33" t="n">
        <f aca="false">AZ4017-BD4017</f>
        <v>0</v>
      </c>
      <c r="BF4017" s="34" t="n">
        <f aca="false">BD4017*M4017</f>
        <v>3022.8</v>
      </c>
      <c r="BG4017" s="35" t="n">
        <f aca="false">BA4017-BF4017</f>
        <v>0.200000000000273</v>
      </c>
      <c r="BH4017" s="19" t="str">
        <f aca="false">IF(BG4017=0,"",IF(BG4017&lt;&gt;BA4017,"erreur de calcul",IF(BD4017&lt;&gt;0,"pas de prix",IF(M4017&lt;&gt; 0,"pas de quantité","pas de prix, ni de quantité"))))</f>
        <v>erreur de calcul</v>
      </c>
      <c r="BI4017" s="19"/>
    </row>
    <row r="4018" customFormat="false" ht="15" hidden="false" customHeight="false" outlineLevel="0" collapsed="false">
      <c r="A4018" s="0" t="n">
        <v>30</v>
      </c>
      <c r="B4018" s="8" t="s">
        <v>24</v>
      </c>
      <c r="C4018" s="9" t="s">
        <v>25</v>
      </c>
      <c r="D4018" s="9" t="s">
        <v>26</v>
      </c>
      <c r="E4018" s="10" t="n">
        <v>1789</v>
      </c>
      <c r="F4018" s="9" t="s">
        <v>27</v>
      </c>
      <c r="G4018" s="9" t="s">
        <v>27</v>
      </c>
      <c r="H4018" s="11" t="n">
        <v>22</v>
      </c>
      <c r="I4018" s="11" t="s">
        <v>233</v>
      </c>
      <c r="J4018" s="14" t="n">
        <v>155</v>
      </c>
      <c r="K4018" s="14"/>
      <c r="L4018" s="16"/>
      <c r="M4018" s="27" t="n">
        <f aca="false">J4018+(K4018/20)+(L4018/240)</f>
        <v>155</v>
      </c>
      <c r="N4018" s="17" t="s">
        <v>64</v>
      </c>
      <c r="O4018" s="11"/>
      <c r="P4018" s="28" t="n">
        <f aca="false">27574/100</f>
        <v>275.74</v>
      </c>
      <c r="Q4018" s="28" t="n">
        <v>42740</v>
      </c>
      <c r="R4018" s="28" t="n">
        <f aca="false">7820/100</f>
        <v>78.2</v>
      </c>
      <c r="S4018" s="28" t="n">
        <v>12121</v>
      </c>
      <c r="T4018" s="28"/>
      <c r="U4018" s="28" t="n">
        <f aca="false">T4018*$M4018</f>
        <v>0</v>
      </c>
      <c r="V4018" s="28" t="n">
        <f aca="false">37316/100</f>
        <v>373.16</v>
      </c>
      <c r="W4018" s="28" t="n">
        <v>57840</v>
      </c>
      <c r="X4018" s="28" t="n">
        <f aca="false">1394/100</f>
        <v>13.94</v>
      </c>
      <c r="Y4018" s="28" t="n">
        <v>2161</v>
      </c>
      <c r="Z4018" s="28"/>
      <c r="AA4018" s="28" t="n">
        <f aca="false">Z4018*$M4018</f>
        <v>0</v>
      </c>
      <c r="AB4018" s="28"/>
      <c r="AC4018" s="28" t="n">
        <f aca="false">AB4018*$M4018</f>
        <v>0</v>
      </c>
      <c r="AD4018" s="28"/>
      <c r="AE4018" s="28" t="n">
        <f aca="false">AD4018*$M4018</f>
        <v>0</v>
      </c>
      <c r="AF4018" s="28"/>
      <c r="AG4018" s="28" t="n">
        <f aca="false">AF4018*$M4018</f>
        <v>0</v>
      </c>
      <c r="AH4018" s="28"/>
      <c r="AI4018" s="28" t="n">
        <f aca="false">AH4018*$M4018</f>
        <v>0</v>
      </c>
      <c r="AJ4018" s="28" t="n">
        <f aca="false">158255/100</f>
        <v>1582.55</v>
      </c>
      <c r="AK4018" s="28" t="n">
        <v>245295</v>
      </c>
      <c r="AL4018" s="28"/>
      <c r="AM4018" s="28" t="n">
        <f aca="false">AL4018*$M4018</f>
        <v>0</v>
      </c>
      <c r="AN4018" s="28" t="n">
        <f aca="false">417945/100</f>
        <v>4179.45</v>
      </c>
      <c r="AO4018" s="28" t="n">
        <v>647815</v>
      </c>
      <c r="AP4018" s="28"/>
      <c r="AQ4018" s="28" t="n">
        <f aca="false">AP4018*$M4018</f>
        <v>0</v>
      </c>
      <c r="AR4018" s="28"/>
      <c r="AS4018" s="28" t="n">
        <f aca="false">AR4018*$M4018</f>
        <v>0</v>
      </c>
      <c r="AT4018" s="28"/>
      <c r="AU4018" s="28" t="n">
        <f aca="false">AT4018*$M4018</f>
        <v>0</v>
      </c>
      <c r="AV4018" s="28"/>
      <c r="AW4018" s="28" t="n">
        <f aca="false">AV4018*$M4018</f>
        <v>0</v>
      </c>
      <c r="AX4018" s="28"/>
      <c r="AY4018" s="28" t="n">
        <f aca="false">AX4018*$M4018</f>
        <v>0</v>
      </c>
      <c r="AZ4018" s="30" t="n">
        <f aca="false">650304/100</f>
        <v>6503.04</v>
      </c>
      <c r="BA4018" s="11" t="n">
        <v>1007972</v>
      </c>
      <c r="BB4018" s="31" t="n">
        <f aca="false">SUM(Q4018,S4018,U4018,W4018,Y4018,AA4018,AC4018,AE4018,AG4018,AI4018,AK4018,AM4018,AO4018,AQ4018,AS4018,AU4018,AW4018,AY4018)</f>
        <v>1007972</v>
      </c>
      <c r="BC4018" s="28" t="n">
        <f aca="false">BA4018-BB4018</f>
        <v>0</v>
      </c>
      <c r="BD4018" s="32" t="n">
        <f aca="false">SUM(P4018,R4018,T4018,V4018,X4018,Z4018,AB4018,AD4018,AF4018,AH4018,AJ4018,AL4018,AN4018,AP4018,AR4018,AT4018,AV4018,AX4018)</f>
        <v>6503.04</v>
      </c>
      <c r="BE4018" s="33" t="n">
        <f aca="false">AZ4018-BD4018</f>
        <v>0</v>
      </c>
      <c r="BF4018" s="34" t="n">
        <f aca="false">BD4018*M4018</f>
        <v>1007971.2</v>
      </c>
      <c r="BG4018" s="35" t="n">
        <f aca="false">BA4018-BF4018</f>
        <v>0.800000000162981</v>
      </c>
      <c r="BH4018" s="19" t="str">
        <f aca="false">IF(BG4018=0,"",IF(BG4018&lt;&gt;BA4018,"erreur de calcul",IF(BD4018&lt;&gt;0,"pas de prix",IF(M4018&lt;&gt; 0,"pas de quantité","pas de prix, ni de quantité"))))</f>
        <v>erreur de calcul</v>
      </c>
      <c r="BI4018" s="19"/>
    </row>
    <row r="4019" customFormat="false" ht="15" hidden="false" customHeight="false" outlineLevel="0" collapsed="false">
      <c r="A4019" s="0" t="n">
        <v>31</v>
      </c>
      <c r="B4019" s="8" t="s">
        <v>24</v>
      </c>
      <c r="C4019" s="9" t="s">
        <v>25</v>
      </c>
      <c r="D4019" s="9" t="s">
        <v>26</v>
      </c>
      <c r="E4019" s="10" t="n">
        <v>1789</v>
      </c>
      <c r="F4019" s="9" t="s">
        <v>27</v>
      </c>
      <c r="G4019" s="9" t="s">
        <v>27</v>
      </c>
      <c r="H4019" s="11" t="n">
        <v>22</v>
      </c>
      <c r="I4019" s="11" t="s">
        <v>234</v>
      </c>
      <c r="J4019" s="14" t="n">
        <v>110</v>
      </c>
      <c r="K4019" s="14"/>
      <c r="L4019" s="16"/>
      <c r="M4019" s="27" t="n">
        <f aca="false">J4019+(K4019/20)+(L4019/240)</f>
        <v>110</v>
      </c>
      <c r="N4019" s="17" t="s">
        <v>64</v>
      </c>
      <c r="O4019" s="11"/>
      <c r="P4019" s="28" t="n">
        <f aca="false">73942/100</f>
        <v>739.42</v>
      </c>
      <c r="Q4019" s="28" t="n">
        <v>81336</v>
      </c>
      <c r="R4019" s="28"/>
      <c r="S4019" s="28" t="n">
        <f aca="false">R4019*$M4019</f>
        <v>0</v>
      </c>
      <c r="T4019" s="28"/>
      <c r="U4019" s="28" t="n">
        <f aca="false">T4019*$M4019</f>
        <v>0</v>
      </c>
      <c r="V4019" s="28"/>
      <c r="W4019" s="28" t="n">
        <f aca="false">V4019*$M4019</f>
        <v>0</v>
      </c>
      <c r="X4019" s="28"/>
      <c r="Y4019" s="28" t="n">
        <f aca="false">X4019*$M4019</f>
        <v>0</v>
      </c>
      <c r="Z4019" s="28"/>
      <c r="AA4019" s="28" t="n">
        <f aca="false">Z4019*$M4019</f>
        <v>0</v>
      </c>
      <c r="AB4019" s="28"/>
      <c r="AC4019" s="28" t="n">
        <f aca="false">AB4019*$M4019</f>
        <v>0</v>
      </c>
      <c r="AD4019" s="28"/>
      <c r="AE4019" s="28" t="n">
        <f aca="false">AD4019*$M4019</f>
        <v>0</v>
      </c>
      <c r="AF4019" s="28"/>
      <c r="AG4019" s="28" t="n">
        <f aca="false">AF4019*$M4019</f>
        <v>0</v>
      </c>
      <c r="AH4019" s="28"/>
      <c r="AI4019" s="28" t="n">
        <f aca="false">AH4019*$M4019</f>
        <v>0</v>
      </c>
      <c r="AJ4019" s="28"/>
      <c r="AK4019" s="28" t="n">
        <f aca="false">AJ4019*$M4019</f>
        <v>0</v>
      </c>
      <c r="AL4019" s="28"/>
      <c r="AM4019" s="28" t="n">
        <f aca="false">AL4019*$M4019</f>
        <v>0</v>
      </c>
      <c r="AN4019" s="28"/>
      <c r="AO4019" s="28" t="n">
        <f aca="false">AN4019*$M4019</f>
        <v>0</v>
      </c>
      <c r="AP4019" s="28"/>
      <c r="AQ4019" s="28" t="n">
        <f aca="false">AP4019*$M4019</f>
        <v>0</v>
      </c>
      <c r="AR4019" s="28"/>
      <c r="AS4019" s="28" t="n">
        <f aca="false">AR4019*$M4019</f>
        <v>0</v>
      </c>
      <c r="AT4019" s="28"/>
      <c r="AU4019" s="28" t="n">
        <f aca="false">AT4019*$M4019</f>
        <v>0</v>
      </c>
      <c r="AV4019" s="28"/>
      <c r="AW4019" s="28" t="n">
        <f aca="false">AV4019*$M4019</f>
        <v>0</v>
      </c>
      <c r="AX4019" s="28"/>
      <c r="AY4019" s="28" t="n">
        <f aca="false">AX4019*$M4019</f>
        <v>0</v>
      </c>
      <c r="AZ4019" s="30" t="n">
        <f aca="false">73942/100</f>
        <v>739.42</v>
      </c>
      <c r="BA4019" s="11" t="n">
        <v>81336</v>
      </c>
      <c r="BB4019" s="31" t="n">
        <f aca="false">SUM(Q4019,S4019,U4019,W4019,Y4019,AA4019,AC4019,AE4019,AG4019,AI4019,AK4019,AM4019,AO4019,AQ4019,AS4019,AU4019,AW4019,AY4019)</f>
        <v>81336</v>
      </c>
      <c r="BC4019" s="28" t="n">
        <f aca="false">BA4019-BB4019</f>
        <v>0</v>
      </c>
      <c r="BD4019" s="32" t="n">
        <f aca="false">SUM(P4019,R4019,T4019,V4019,X4019,Z4019,AB4019,AD4019,AF4019,AH4019,AJ4019,AL4019,AN4019,AP4019,AR4019,AT4019,AV4019,AX4019)</f>
        <v>739.42</v>
      </c>
      <c r="BE4019" s="33" t="n">
        <f aca="false">AZ4019-BD4019</f>
        <v>0</v>
      </c>
      <c r="BF4019" s="34" t="n">
        <f aca="false">BD4019*M4019</f>
        <v>81336.2</v>
      </c>
      <c r="BG4019" s="35" t="n">
        <f aca="false">BA4019-BF4019</f>
        <v>-0.19999999999709</v>
      </c>
      <c r="BH4019" s="19" t="str">
        <f aca="false">IF(BG4019=0,"",IF(BG4019&lt;&gt;BA4019,"erreur de calcul",IF(BD4019&lt;&gt;0,"pas de prix",IF(M4019&lt;&gt; 0,"pas de quantité","pas de prix, ni de quantité"))))</f>
        <v>erreur de calcul</v>
      </c>
      <c r="BI4019" s="19"/>
    </row>
    <row r="4020" customFormat="false" ht="15" hidden="false" customHeight="false" outlineLevel="0" collapsed="false">
      <c r="A4020" s="0" t="n">
        <v>32</v>
      </c>
      <c r="B4020" s="8" t="s">
        <v>24</v>
      </c>
      <c r="C4020" s="9" t="s">
        <v>25</v>
      </c>
      <c r="D4020" s="9" t="s">
        <v>26</v>
      </c>
      <c r="E4020" s="10" t="n">
        <v>1789</v>
      </c>
      <c r="F4020" s="9" t="s">
        <v>27</v>
      </c>
      <c r="G4020" s="9" t="s">
        <v>27</v>
      </c>
      <c r="H4020" s="11" t="n">
        <v>22</v>
      </c>
      <c r="I4020" s="11" t="s">
        <v>235</v>
      </c>
      <c r="J4020" s="14" t="n">
        <v>60</v>
      </c>
      <c r="K4020" s="14"/>
      <c r="L4020" s="16"/>
      <c r="M4020" s="27" t="n">
        <f aca="false">J4020+(K4020/20)+(L4020/240)</f>
        <v>60</v>
      </c>
      <c r="N4020" s="17" t="s">
        <v>64</v>
      </c>
      <c r="O4020" s="11"/>
      <c r="P4020" s="28"/>
      <c r="Q4020" s="28" t="n">
        <f aca="false">P4020*$M4020</f>
        <v>0</v>
      </c>
      <c r="R4020" s="28"/>
      <c r="S4020" s="28" t="n">
        <f aca="false">R4020*$M4020</f>
        <v>0</v>
      </c>
      <c r="T4020" s="28"/>
      <c r="U4020" s="28" t="n">
        <f aca="false">T4020*$M4020</f>
        <v>0</v>
      </c>
      <c r="V4020" s="28" t="n">
        <f aca="false">232/100</f>
        <v>2.32</v>
      </c>
      <c r="W4020" s="28" t="n">
        <v>139</v>
      </c>
      <c r="X4020" s="28" t="n">
        <f aca="false">5603/100</f>
        <v>56.03</v>
      </c>
      <c r="Y4020" s="28" t="n">
        <v>3362</v>
      </c>
      <c r="Z4020" s="28"/>
      <c r="AA4020" s="28" t="n">
        <f aca="false">Z4020*$M4020</f>
        <v>0</v>
      </c>
      <c r="AB4020" s="28" t="n">
        <f aca="false">1410/100</f>
        <v>14.1</v>
      </c>
      <c r="AC4020" s="28" t="n">
        <v>846</v>
      </c>
      <c r="AD4020" s="28"/>
      <c r="AE4020" s="28" t="n">
        <f aca="false">AD4020*$M4020</f>
        <v>0</v>
      </c>
      <c r="AF4020" s="28" t="n">
        <f aca="false">162899/100</f>
        <v>1628.99</v>
      </c>
      <c r="AG4020" s="28" t="n">
        <v>97739</v>
      </c>
      <c r="AH4020" s="28" t="n">
        <f aca="false">6506/100</f>
        <v>65.06</v>
      </c>
      <c r="AI4020" s="28" t="n">
        <v>3904</v>
      </c>
      <c r="AJ4020" s="28"/>
      <c r="AK4020" s="28" t="n">
        <f aca="false">AJ4020*$M4020</f>
        <v>0</v>
      </c>
      <c r="AL4020" s="28"/>
      <c r="AM4020" s="28" t="n">
        <f aca="false">AL4020*$M4020</f>
        <v>0</v>
      </c>
      <c r="AN4020" s="28"/>
      <c r="AO4020" s="28" t="n">
        <f aca="false">AN4020*$M4020</f>
        <v>0</v>
      </c>
      <c r="AP4020" s="28"/>
      <c r="AQ4020" s="28" t="n">
        <f aca="false">AP4020*$M4020</f>
        <v>0</v>
      </c>
      <c r="AR4020" s="28"/>
      <c r="AS4020" s="28" t="n">
        <f aca="false">AR4020*$M4020</f>
        <v>0</v>
      </c>
      <c r="AT4020" s="28"/>
      <c r="AU4020" s="28" t="n">
        <f aca="false">AT4020*$M4020</f>
        <v>0</v>
      </c>
      <c r="AV4020" s="28"/>
      <c r="AW4020" s="28" t="n">
        <f aca="false">AV4020*$M4020</f>
        <v>0</v>
      </c>
      <c r="AX4020" s="28"/>
      <c r="AY4020" s="28" t="n">
        <f aca="false">AX4020*$M4020</f>
        <v>0</v>
      </c>
      <c r="AZ4020" s="30" t="n">
        <f aca="false">176650/100</f>
        <v>1766.5</v>
      </c>
      <c r="BA4020" s="11" t="n">
        <v>105990</v>
      </c>
      <c r="BB4020" s="31" t="n">
        <f aca="false">SUM(Q4020,S4020,U4020,W4020,Y4020,AA4020,AC4020,AE4020,AG4020,AI4020,AK4020,AM4020,AO4020,AQ4020,AS4020,AU4020,AW4020,AY4020)</f>
        <v>105990</v>
      </c>
      <c r="BC4020" s="28" t="n">
        <f aca="false">BA4020-BB4020</f>
        <v>0</v>
      </c>
      <c r="BD4020" s="32" t="n">
        <f aca="false">SUM(P4020,R4020,T4020,V4020,X4020,Z4020,AB4020,AD4020,AF4020,AH4020,AJ4020,AL4020,AN4020,AP4020,AR4020,AT4020,AV4020,AX4020)</f>
        <v>1766.5</v>
      </c>
      <c r="BE4020" s="33" t="n">
        <f aca="false">AZ4020-BD4020</f>
        <v>0</v>
      </c>
      <c r="BF4020" s="34" t="n">
        <f aca="false">BD4020*M4020</f>
        <v>105990</v>
      </c>
      <c r="BG4020" s="35" t="n">
        <f aca="false">BA4020-BF4020</f>
        <v>0</v>
      </c>
      <c r="BH4020" s="19" t="str">
        <f aca="false">IF(BG4020=0,"",IF(BG4020&lt;&gt;BA4020,"erreur de calcul",IF(BD4020&lt;&gt;0,"pas de prix",IF(M4020&lt;&gt; 0,"pas de quantité","pas de prix, ni de quantité"))))</f>
        <v/>
      </c>
      <c r="BI4020" s="19"/>
    </row>
    <row r="4021" customFormat="false" ht="15" hidden="false" customHeight="false" outlineLevel="0" collapsed="false">
      <c r="A4021" s="0" t="n">
        <v>33</v>
      </c>
      <c r="B4021" s="8" t="s">
        <v>24</v>
      </c>
      <c r="C4021" s="9" t="s">
        <v>25</v>
      </c>
      <c r="D4021" s="9" t="s">
        <v>26</v>
      </c>
      <c r="E4021" s="10" t="n">
        <v>1789</v>
      </c>
      <c r="F4021" s="9" t="s">
        <v>27</v>
      </c>
      <c r="G4021" s="9" t="s">
        <v>27</v>
      </c>
      <c r="H4021" s="11" t="n">
        <v>22</v>
      </c>
      <c r="I4021" s="11" t="s">
        <v>236</v>
      </c>
      <c r="J4021" s="14" t="n">
        <v>710</v>
      </c>
      <c r="K4021" s="14"/>
      <c r="L4021" s="16"/>
      <c r="M4021" s="27" t="n">
        <f aca="false">J4021+(K4021/20)+(L4021/240)</f>
        <v>710</v>
      </c>
      <c r="N4021" s="17" t="s">
        <v>64</v>
      </c>
      <c r="O4021" s="11"/>
      <c r="P4021" s="28"/>
      <c r="Q4021" s="28" t="n">
        <f aca="false">P4021*$M4021</f>
        <v>0</v>
      </c>
      <c r="R4021" s="28"/>
      <c r="S4021" s="28" t="n">
        <f aca="false">R4021*$M4021</f>
        <v>0</v>
      </c>
      <c r="T4021" s="28" t="n">
        <f aca="false">108/100</f>
        <v>1.08</v>
      </c>
      <c r="U4021" s="28" t="n">
        <v>767</v>
      </c>
      <c r="V4021" s="28" t="n">
        <f aca="false">1190/100</f>
        <v>11.9</v>
      </c>
      <c r="W4021" s="28" t="n">
        <v>8449</v>
      </c>
      <c r="X4021" s="28" t="n">
        <f aca="false">487/100</f>
        <v>4.87</v>
      </c>
      <c r="Y4021" s="28" t="n">
        <v>3458</v>
      </c>
      <c r="Z4021" s="28"/>
      <c r="AA4021" s="28" t="n">
        <f aca="false">Z4021*$M4021</f>
        <v>0</v>
      </c>
      <c r="AB4021" s="28" t="n">
        <f aca="false">9170/100</f>
        <v>91.7</v>
      </c>
      <c r="AC4021" s="28" t="n">
        <v>65107</v>
      </c>
      <c r="AD4021" s="28" t="n">
        <f aca="false">531/100</f>
        <v>5.31</v>
      </c>
      <c r="AE4021" s="28" t="n">
        <v>3770</v>
      </c>
      <c r="AF4021" s="28"/>
      <c r="AG4021" s="28" t="n">
        <f aca="false">AF4021*$M4021</f>
        <v>0</v>
      </c>
      <c r="AH4021" s="28"/>
      <c r="AI4021" s="28" t="n">
        <f aca="false">AH4021*$M4021</f>
        <v>0</v>
      </c>
      <c r="AJ4021" s="28"/>
      <c r="AK4021" s="28" t="n">
        <f aca="false">AJ4021*$M4021</f>
        <v>0</v>
      </c>
      <c r="AL4021" s="28"/>
      <c r="AM4021" s="28" t="n">
        <f aca="false">AL4021*$M4021</f>
        <v>0</v>
      </c>
      <c r="AN4021" s="28"/>
      <c r="AO4021" s="28" t="n">
        <f aca="false">AN4021*$M4021</f>
        <v>0</v>
      </c>
      <c r="AP4021" s="28"/>
      <c r="AQ4021" s="28" t="n">
        <f aca="false">AP4021*$M4021</f>
        <v>0</v>
      </c>
      <c r="AR4021" s="28"/>
      <c r="AS4021" s="28" t="n">
        <f aca="false">AR4021*$M4021</f>
        <v>0</v>
      </c>
      <c r="AT4021" s="28"/>
      <c r="AU4021" s="28" t="n">
        <f aca="false">AT4021*$M4021</f>
        <v>0</v>
      </c>
      <c r="AV4021" s="28"/>
      <c r="AW4021" s="28" t="n">
        <f aca="false">AV4021*$M4021</f>
        <v>0</v>
      </c>
      <c r="AX4021" s="28"/>
      <c r="AY4021" s="28" t="n">
        <f aca="false">AX4021*$M4021</f>
        <v>0</v>
      </c>
      <c r="AZ4021" s="30" t="n">
        <f aca="false">11486/100</f>
        <v>114.86</v>
      </c>
      <c r="BA4021" s="11" t="n">
        <v>81551</v>
      </c>
      <c r="BB4021" s="31" t="n">
        <f aca="false">SUM(Q4021,S4021,U4021,W4021,Y4021,AA4021,AC4021,AE4021,AG4021,AI4021,AK4021,AM4021,AO4021,AQ4021,AS4021,AU4021,AW4021,AY4021)</f>
        <v>81551</v>
      </c>
      <c r="BC4021" s="28" t="n">
        <f aca="false">BA4021-BB4021</f>
        <v>0</v>
      </c>
      <c r="BD4021" s="32" t="n">
        <f aca="false">SUM(P4021,R4021,T4021,V4021,X4021,Z4021,AB4021,AD4021,AF4021,AH4021,AJ4021,AL4021,AN4021,AP4021,AR4021,AT4021,AV4021,AX4021)</f>
        <v>114.86</v>
      </c>
      <c r="BE4021" s="33" t="n">
        <f aca="false">AZ4021-BD4021</f>
        <v>0</v>
      </c>
      <c r="BF4021" s="34" t="n">
        <f aca="false">BD4021*M4021</f>
        <v>81550.6</v>
      </c>
      <c r="BG4021" s="35" t="n">
        <f aca="false">BA4021-BF4021</f>
        <v>0.399999999994179</v>
      </c>
      <c r="BH4021" s="19" t="str">
        <f aca="false">IF(BG4021=0,"",IF(BG4021&lt;&gt;BA4021,"erreur de calcul",IF(BD4021&lt;&gt;0,"pas de prix",IF(M4021&lt;&gt; 0,"pas de quantité","pas de prix, ni de quantité"))))</f>
        <v>erreur de calcul</v>
      </c>
      <c r="BI4021" s="19"/>
    </row>
    <row r="4022" customFormat="false" ht="15" hidden="false" customHeight="false" outlineLevel="0" collapsed="false">
      <c r="A4022" s="0" t="n">
        <v>34</v>
      </c>
      <c r="B4022" s="8" t="s">
        <v>24</v>
      </c>
      <c r="C4022" s="9" t="s">
        <v>25</v>
      </c>
      <c r="D4022" s="9" t="s">
        <v>26</v>
      </c>
      <c r="E4022" s="10" t="n">
        <v>1789</v>
      </c>
      <c r="F4022" s="9" t="s">
        <v>27</v>
      </c>
      <c r="G4022" s="9" t="s">
        <v>27</v>
      </c>
      <c r="H4022" s="11" t="n">
        <v>22</v>
      </c>
      <c r="I4022" s="11" t="s">
        <v>237</v>
      </c>
      <c r="J4022" s="14" t="n">
        <v>91</v>
      </c>
      <c r="K4022" s="14"/>
      <c r="L4022" s="16"/>
      <c r="M4022" s="27" t="n">
        <f aca="false">J4022+(K4022/20)+(L4022/240)</f>
        <v>91</v>
      </c>
      <c r="N4022" s="17" t="s">
        <v>64</v>
      </c>
      <c r="O4022" s="11"/>
      <c r="P4022" s="28"/>
      <c r="Q4022" s="28" t="n">
        <f aca="false">P4022*$M4022</f>
        <v>0</v>
      </c>
      <c r="R4022" s="28"/>
      <c r="S4022" s="28" t="n">
        <f aca="false">R4022*$M4022</f>
        <v>0</v>
      </c>
      <c r="T4022" s="28"/>
      <c r="U4022" s="28" t="n">
        <f aca="false">T4022*$M4022</f>
        <v>0</v>
      </c>
      <c r="V4022" s="28" t="n">
        <f aca="false">3384/100</f>
        <v>33.84</v>
      </c>
      <c r="W4022" s="28" t="n">
        <v>3079</v>
      </c>
      <c r="X4022" s="28" t="n">
        <f aca="false">18105/100</f>
        <v>181.05</v>
      </c>
      <c r="Y4022" s="28" t="n">
        <v>16475</v>
      </c>
      <c r="Z4022" s="28"/>
      <c r="AA4022" s="28" t="n">
        <f aca="false">Z4022*$M4022</f>
        <v>0</v>
      </c>
      <c r="AB4022" s="28"/>
      <c r="AC4022" s="28" t="n">
        <f aca="false">AB4022*$M4022</f>
        <v>0</v>
      </c>
      <c r="AD4022" s="28"/>
      <c r="AE4022" s="28" t="n">
        <f aca="false">AD4022*$M4022</f>
        <v>0</v>
      </c>
      <c r="AF4022" s="28"/>
      <c r="AG4022" s="28" t="n">
        <f aca="false">AF4022*$M4022</f>
        <v>0</v>
      </c>
      <c r="AH4022" s="28"/>
      <c r="AI4022" s="28" t="n">
        <f aca="false">AH4022*$M4022</f>
        <v>0</v>
      </c>
      <c r="AJ4022" s="28"/>
      <c r="AK4022" s="28" t="n">
        <f aca="false">AJ4022*$M4022</f>
        <v>0</v>
      </c>
      <c r="AL4022" s="28"/>
      <c r="AM4022" s="28" t="n">
        <f aca="false">AL4022*$M4022</f>
        <v>0</v>
      </c>
      <c r="AN4022" s="28"/>
      <c r="AO4022" s="28" t="n">
        <f aca="false">AN4022*$M4022</f>
        <v>0</v>
      </c>
      <c r="AP4022" s="28"/>
      <c r="AQ4022" s="28" t="n">
        <f aca="false">AP4022*$M4022</f>
        <v>0</v>
      </c>
      <c r="AR4022" s="28"/>
      <c r="AS4022" s="28" t="n">
        <f aca="false">AR4022*$M4022</f>
        <v>0</v>
      </c>
      <c r="AT4022" s="28"/>
      <c r="AU4022" s="28" t="n">
        <f aca="false">AT4022*$M4022</f>
        <v>0</v>
      </c>
      <c r="AV4022" s="28"/>
      <c r="AW4022" s="28" t="n">
        <f aca="false">AV4022*$M4022</f>
        <v>0</v>
      </c>
      <c r="AX4022" s="28"/>
      <c r="AY4022" s="28" t="n">
        <f aca="false">AX4022*$M4022</f>
        <v>0</v>
      </c>
      <c r="AZ4022" s="30" t="n">
        <f aca="false">21489/100</f>
        <v>214.89</v>
      </c>
      <c r="BA4022" s="11" t="n">
        <v>19554</v>
      </c>
      <c r="BB4022" s="31" t="n">
        <f aca="false">SUM(Q4022,S4022,U4022,W4022,Y4022,AA4022,AC4022,AE4022,AG4022,AI4022,AK4022,AM4022,AO4022,AQ4022,AS4022,AU4022,AW4022,AY4022)</f>
        <v>19554</v>
      </c>
      <c r="BC4022" s="28" t="n">
        <f aca="false">BA4022-BB4022</f>
        <v>0</v>
      </c>
      <c r="BD4022" s="32" t="n">
        <f aca="false">SUM(P4022,R4022,T4022,V4022,X4022,Z4022,AB4022,AD4022,AF4022,AH4022,AJ4022,AL4022,AN4022,AP4022,AR4022,AT4022,AV4022,AX4022)</f>
        <v>214.89</v>
      </c>
      <c r="BE4022" s="33" t="n">
        <f aca="false">AZ4022-BD4022</f>
        <v>0</v>
      </c>
      <c r="BF4022" s="34" t="n">
        <f aca="false">BD4022*M4022</f>
        <v>19554.99</v>
      </c>
      <c r="BG4022" s="35" t="n">
        <f aca="false">BA4022-BF4022</f>
        <v>-0.990000000001601</v>
      </c>
      <c r="BH4022" s="19" t="str">
        <f aca="false">IF(BG4022=0,"",IF(BG4022&lt;&gt;BA4022,"erreur de calcul",IF(BD4022&lt;&gt;0,"pas de prix",IF(M4022&lt;&gt; 0,"pas de quantité","pas de prix, ni de quantité"))))</f>
        <v>erreur de calcul</v>
      </c>
      <c r="BI4022" s="19"/>
    </row>
    <row r="4023" customFormat="false" ht="15" hidden="false" customHeight="false" outlineLevel="0" collapsed="false">
      <c r="A4023" s="0" t="n">
        <v>35</v>
      </c>
      <c r="B4023" s="8" t="s">
        <v>24</v>
      </c>
      <c r="C4023" s="9" t="s">
        <v>25</v>
      </c>
      <c r="D4023" s="9" t="s">
        <v>26</v>
      </c>
      <c r="E4023" s="10" t="n">
        <v>1789</v>
      </c>
      <c r="F4023" s="9" t="s">
        <v>27</v>
      </c>
      <c r="G4023" s="9" t="s">
        <v>27</v>
      </c>
      <c r="H4023" s="11" t="n">
        <v>22</v>
      </c>
      <c r="I4023" s="11" t="s">
        <v>238</v>
      </c>
      <c r="J4023" s="14" t="n">
        <v>40</v>
      </c>
      <c r="K4023" s="14"/>
      <c r="L4023" s="16"/>
      <c r="M4023" s="27" t="n">
        <f aca="false">J4023+(K4023/20)+(L4023/240)</f>
        <v>40</v>
      </c>
      <c r="N4023" s="17" t="s">
        <v>66</v>
      </c>
      <c r="O4023" s="11"/>
      <c r="P4023" s="28" t="n">
        <v>150</v>
      </c>
      <c r="Q4023" s="28" t="n">
        <v>6000</v>
      </c>
      <c r="R4023" s="28"/>
      <c r="S4023" s="28" t="n">
        <f aca="false">R4023*$M4023</f>
        <v>0</v>
      </c>
      <c r="T4023" s="28" t="n">
        <v>467</v>
      </c>
      <c r="U4023" s="28" t="n">
        <v>18680</v>
      </c>
      <c r="V4023" s="28" t="n">
        <v>1124</v>
      </c>
      <c r="W4023" s="28" t="n">
        <v>44960</v>
      </c>
      <c r="X4023" s="28" t="n">
        <v>591</v>
      </c>
      <c r="Y4023" s="28" t="n">
        <v>23640</v>
      </c>
      <c r="Z4023" s="28"/>
      <c r="AA4023" s="28" t="n">
        <f aca="false">Z4023*$M4023</f>
        <v>0</v>
      </c>
      <c r="AB4023" s="28" t="n">
        <v>554</v>
      </c>
      <c r="AC4023" s="28" t="n">
        <v>22160</v>
      </c>
      <c r="AD4023" s="28"/>
      <c r="AE4023" s="28" t="n">
        <f aca="false">AD4023*$M4023</f>
        <v>0</v>
      </c>
      <c r="AF4023" s="28"/>
      <c r="AG4023" s="28" t="n">
        <f aca="false">AF4023*$M4023</f>
        <v>0</v>
      </c>
      <c r="AH4023" s="28" t="n">
        <v>1109</v>
      </c>
      <c r="AI4023" s="28" t="n">
        <v>44360</v>
      </c>
      <c r="AJ4023" s="28"/>
      <c r="AK4023" s="28" t="n">
        <f aca="false">AJ4023*$M4023</f>
        <v>0</v>
      </c>
      <c r="AL4023" s="28"/>
      <c r="AM4023" s="28" t="n">
        <f aca="false">AL4023*$M4023</f>
        <v>0</v>
      </c>
      <c r="AN4023" s="28"/>
      <c r="AO4023" s="28" t="n">
        <f aca="false">AN4023*$M4023</f>
        <v>0</v>
      </c>
      <c r="AP4023" s="28"/>
      <c r="AQ4023" s="28" t="n">
        <f aca="false">AP4023*$M4023</f>
        <v>0</v>
      </c>
      <c r="AR4023" s="28"/>
      <c r="AS4023" s="28" t="n">
        <f aca="false">AR4023*$M4023</f>
        <v>0</v>
      </c>
      <c r="AT4023" s="28"/>
      <c r="AU4023" s="28" t="n">
        <f aca="false">AT4023*$M4023</f>
        <v>0</v>
      </c>
      <c r="AV4023" s="28"/>
      <c r="AW4023" s="28" t="n">
        <f aca="false">AV4023*$M4023</f>
        <v>0</v>
      </c>
      <c r="AX4023" s="28"/>
      <c r="AY4023" s="28" t="n">
        <f aca="false">AX4023*$M4023</f>
        <v>0</v>
      </c>
      <c r="AZ4023" s="30" t="n">
        <v>3995</v>
      </c>
      <c r="BA4023" s="11" t="n">
        <v>159800</v>
      </c>
      <c r="BB4023" s="31" t="n">
        <f aca="false">SUM(Q4023,S4023,U4023,W4023,Y4023,AA4023,AC4023,AE4023,AG4023,AI4023,AK4023,AM4023,AO4023,AQ4023,AS4023,AU4023,AW4023,AY4023)</f>
        <v>159800</v>
      </c>
      <c r="BC4023" s="28" t="n">
        <f aca="false">BA4023-BB4023</f>
        <v>0</v>
      </c>
      <c r="BD4023" s="32" t="n">
        <f aca="false">SUM(P4023,R4023,T4023,V4023,X4023,Z4023,AB4023,AD4023,AF4023,AH4023,AJ4023,AL4023,AN4023,AP4023,AR4023,AT4023,AV4023,AX4023)</f>
        <v>3995</v>
      </c>
      <c r="BE4023" s="33" t="n">
        <f aca="false">AZ4023-BD4023</f>
        <v>0</v>
      </c>
      <c r="BF4023" s="34" t="n">
        <f aca="false">BD4023*M4023</f>
        <v>159800</v>
      </c>
      <c r="BG4023" s="35" t="n">
        <f aca="false">BA4023-BF4023</f>
        <v>0</v>
      </c>
      <c r="BH4023" s="19" t="str">
        <f aca="false">IF(BG4023=0,"",IF(BG4023&lt;&gt;BA4023,"erreur de calcul",IF(BD4023&lt;&gt;0,"pas de prix",IF(M4023&lt;&gt; 0,"pas de quantité","pas de prix, ni de quantité"))))</f>
        <v/>
      </c>
      <c r="BI4023" s="19"/>
    </row>
    <row r="4024" customFormat="false" ht="15" hidden="false" customHeight="false" outlineLevel="0" collapsed="false">
      <c r="A4024" s="0" t="n">
        <v>36</v>
      </c>
      <c r="B4024" s="8" t="s">
        <v>24</v>
      </c>
      <c r="C4024" s="9" t="s">
        <v>25</v>
      </c>
      <c r="D4024" s="9" t="s">
        <v>26</v>
      </c>
      <c r="E4024" s="10" t="n">
        <v>1789</v>
      </c>
      <c r="F4024" s="9" t="s">
        <v>27</v>
      </c>
      <c r="G4024" s="9" t="s">
        <v>27</v>
      </c>
      <c r="H4024" s="11" t="n">
        <v>22</v>
      </c>
      <c r="I4024" s="11" t="s">
        <v>239</v>
      </c>
      <c r="J4024" s="14" t="n">
        <v>48</v>
      </c>
      <c r="K4024" s="14"/>
      <c r="L4024" s="16"/>
      <c r="M4024" s="27" t="n">
        <f aca="false">J4024+(K4024/20)+(L4024/240)</f>
        <v>48</v>
      </c>
      <c r="N4024" s="17" t="s">
        <v>66</v>
      </c>
      <c r="O4024" s="11"/>
      <c r="P4024" s="28"/>
      <c r="Q4024" s="28" t="n">
        <f aca="false">P4024*$M4024</f>
        <v>0</v>
      </c>
      <c r="R4024" s="28"/>
      <c r="S4024" s="28" t="n">
        <f aca="false">R4024*$M4024</f>
        <v>0</v>
      </c>
      <c r="T4024" s="28" t="n">
        <v>690</v>
      </c>
      <c r="U4024" s="28" t="n">
        <v>33120</v>
      </c>
      <c r="V4024" s="28" t="n">
        <v>3577</v>
      </c>
      <c r="W4024" s="28" t="n">
        <v>171696</v>
      </c>
      <c r="X4024" s="28"/>
      <c r="Y4024" s="28" t="n">
        <f aca="false">X4024*$M4024</f>
        <v>0</v>
      </c>
      <c r="Z4024" s="28"/>
      <c r="AA4024" s="28" t="n">
        <f aca="false">Z4024*$M4024</f>
        <v>0</v>
      </c>
      <c r="AB4024" s="28"/>
      <c r="AC4024" s="28" t="n">
        <f aca="false">AB4024*$M4024</f>
        <v>0</v>
      </c>
      <c r="AD4024" s="28"/>
      <c r="AE4024" s="28" t="n">
        <f aca="false">AD4024*$M4024</f>
        <v>0</v>
      </c>
      <c r="AF4024" s="28"/>
      <c r="AG4024" s="28" t="n">
        <f aca="false">AF4024*$M4024</f>
        <v>0</v>
      </c>
      <c r="AH4024" s="28"/>
      <c r="AI4024" s="28" t="n">
        <f aca="false">AH4024*$M4024</f>
        <v>0</v>
      </c>
      <c r="AJ4024" s="28"/>
      <c r="AK4024" s="28" t="n">
        <f aca="false">AJ4024*$M4024</f>
        <v>0</v>
      </c>
      <c r="AL4024" s="28"/>
      <c r="AM4024" s="28" t="n">
        <f aca="false">AL4024*$M4024</f>
        <v>0</v>
      </c>
      <c r="AN4024" s="28"/>
      <c r="AO4024" s="28" t="n">
        <f aca="false">AN4024*$M4024</f>
        <v>0</v>
      </c>
      <c r="AP4024" s="28"/>
      <c r="AQ4024" s="28" t="n">
        <f aca="false">AP4024*$M4024</f>
        <v>0</v>
      </c>
      <c r="AR4024" s="28"/>
      <c r="AS4024" s="28" t="n">
        <f aca="false">AR4024*$M4024</f>
        <v>0</v>
      </c>
      <c r="AT4024" s="28"/>
      <c r="AU4024" s="28" t="n">
        <f aca="false">AT4024*$M4024</f>
        <v>0</v>
      </c>
      <c r="AV4024" s="28"/>
      <c r="AW4024" s="28" t="n">
        <f aca="false">AV4024*$M4024</f>
        <v>0</v>
      </c>
      <c r="AX4024" s="28"/>
      <c r="AY4024" s="28" t="n">
        <f aca="false">AX4024*$M4024</f>
        <v>0</v>
      </c>
      <c r="AZ4024" s="30" t="n">
        <v>4267</v>
      </c>
      <c r="BA4024" s="11" t="n">
        <v>204816</v>
      </c>
      <c r="BB4024" s="31" t="n">
        <f aca="false">SUM(Q4024,S4024,U4024,W4024,Y4024,AA4024,AC4024,AE4024,AG4024,AI4024,AK4024,AM4024,AO4024,AQ4024,AS4024,AU4024,AW4024,AY4024)</f>
        <v>204816</v>
      </c>
      <c r="BC4024" s="28" t="n">
        <f aca="false">BA4024-BB4024</f>
        <v>0</v>
      </c>
      <c r="BD4024" s="32" t="n">
        <f aca="false">SUM(P4024,R4024,T4024,V4024,X4024,Z4024,AB4024,AD4024,AF4024,AH4024,AJ4024,AL4024,AN4024,AP4024,AR4024,AT4024,AV4024,AX4024)</f>
        <v>4267</v>
      </c>
      <c r="BE4024" s="33" t="n">
        <f aca="false">AZ4024-BD4024</f>
        <v>0</v>
      </c>
      <c r="BF4024" s="34" t="n">
        <f aca="false">BD4024*M4024</f>
        <v>204816</v>
      </c>
      <c r="BG4024" s="35" t="n">
        <f aca="false">BA4024-BF4024</f>
        <v>0</v>
      </c>
      <c r="BH4024" s="19" t="str">
        <f aca="false">IF(BG4024=0,"",IF(BG4024&lt;&gt;BA4024,"erreur de calcul",IF(BD4024&lt;&gt;0,"pas de prix",IF(M4024&lt;&gt; 0,"pas de quantité","pas de prix, ni de quantité"))))</f>
        <v/>
      </c>
      <c r="BI4024" s="19"/>
    </row>
    <row r="4025" customFormat="false" ht="15" hidden="false" customHeight="false" outlineLevel="0" collapsed="false">
      <c r="A4025" s="0" t="n">
        <v>37</v>
      </c>
      <c r="B4025" s="8" t="s">
        <v>24</v>
      </c>
      <c r="C4025" s="9" t="s">
        <v>25</v>
      </c>
      <c r="D4025" s="9" t="s">
        <v>26</v>
      </c>
      <c r="E4025" s="10" t="n">
        <v>1789</v>
      </c>
      <c r="F4025" s="9" t="s">
        <v>27</v>
      </c>
      <c r="G4025" s="9" t="s">
        <v>27</v>
      </c>
      <c r="H4025" s="11" t="n">
        <v>22</v>
      </c>
      <c r="I4025" s="11" t="s">
        <v>240</v>
      </c>
      <c r="J4025" s="14" t="n">
        <v>30</v>
      </c>
      <c r="K4025" s="14"/>
      <c r="L4025" s="16"/>
      <c r="M4025" s="27" t="n">
        <f aca="false">J4025+(K4025/20)+(L4025/240)</f>
        <v>30</v>
      </c>
      <c r="N4025" s="17" t="s">
        <v>66</v>
      </c>
      <c r="O4025" s="11"/>
      <c r="P4025" s="28"/>
      <c r="Q4025" s="28" t="n">
        <f aca="false">P4025*$M4025</f>
        <v>0</v>
      </c>
      <c r="R4025" s="28"/>
      <c r="S4025" s="28" t="n">
        <f aca="false">R4025*$M4025</f>
        <v>0</v>
      </c>
      <c r="T4025" s="28"/>
      <c r="U4025" s="28" t="n">
        <f aca="false">T4025*$M4025</f>
        <v>0</v>
      </c>
      <c r="V4025" s="28"/>
      <c r="W4025" s="28" t="n">
        <f aca="false">V4025*$M4025</f>
        <v>0</v>
      </c>
      <c r="X4025" s="28"/>
      <c r="Y4025" s="28" t="n">
        <f aca="false">X4025*$M4025</f>
        <v>0</v>
      </c>
      <c r="Z4025" s="28"/>
      <c r="AA4025" s="28" t="n">
        <f aca="false">Z4025*$M4025</f>
        <v>0</v>
      </c>
      <c r="AB4025" s="28"/>
      <c r="AC4025" s="28" t="n">
        <f aca="false">AB4025*$M4025</f>
        <v>0</v>
      </c>
      <c r="AD4025" s="28"/>
      <c r="AE4025" s="28" t="n">
        <f aca="false">AD4025*$M4025</f>
        <v>0</v>
      </c>
      <c r="AF4025" s="28"/>
      <c r="AG4025" s="28" t="n">
        <f aca="false">AF4025*$M4025</f>
        <v>0</v>
      </c>
      <c r="AH4025" s="28" t="n">
        <v>4770</v>
      </c>
      <c r="AI4025" s="28" t="n">
        <v>143100</v>
      </c>
      <c r="AJ4025" s="28"/>
      <c r="AK4025" s="28" t="n">
        <f aca="false">AJ4025*$M4025</f>
        <v>0</v>
      </c>
      <c r="AL4025" s="28"/>
      <c r="AM4025" s="28" t="n">
        <f aca="false">AL4025*$M4025</f>
        <v>0</v>
      </c>
      <c r="AN4025" s="28"/>
      <c r="AO4025" s="28" t="n">
        <f aca="false">AN4025*$M4025</f>
        <v>0</v>
      </c>
      <c r="AP4025" s="28"/>
      <c r="AQ4025" s="28" t="n">
        <f aca="false">AP4025*$M4025</f>
        <v>0</v>
      </c>
      <c r="AR4025" s="28"/>
      <c r="AS4025" s="28" t="n">
        <f aca="false">AR4025*$M4025</f>
        <v>0</v>
      </c>
      <c r="AT4025" s="28"/>
      <c r="AU4025" s="28" t="n">
        <f aca="false">AT4025*$M4025</f>
        <v>0</v>
      </c>
      <c r="AV4025" s="28"/>
      <c r="AW4025" s="28" t="n">
        <f aca="false">AV4025*$M4025</f>
        <v>0</v>
      </c>
      <c r="AX4025" s="28"/>
      <c r="AY4025" s="28" t="n">
        <f aca="false">AX4025*$M4025</f>
        <v>0</v>
      </c>
      <c r="AZ4025" s="30" t="n">
        <v>4770</v>
      </c>
      <c r="BA4025" s="11" t="n">
        <v>143100</v>
      </c>
      <c r="BB4025" s="31" t="n">
        <f aca="false">SUM(Q4025,S4025,U4025,W4025,Y4025,AA4025,AC4025,AE4025,AG4025,AI4025,AK4025,AM4025,AO4025,AQ4025,AS4025,AU4025,AW4025,AY4025)</f>
        <v>143100</v>
      </c>
      <c r="BC4025" s="28" t="n">
        <f aca="false">BA4025-BB4025</f>
        <v>0</v>
      </c>
      <c r="BD4025" s="32" t="n">
        <f aca="false">SUM(P4025,R4025,T4025,V4025,X4025,Z4025,AB4025,AD4025,AF4025,AH4025,AJ4025,AL4025,AN4025,AP4025,AR4025,AT4025,AV4025,AX4025)</f>
        <v>4770</v>
      </c>
      <c r="BE4025" s="33" t="n">
        <f aca="false">AZ4025-BD4025</f>
        <v>0</v>
      </c>
      <c r="BF4025" s="34" t="n">
        <f aca="false">BD4025*M4025</f>
        <v>143100</v>
      </c>
      <c r="BG4025" s="35" t="n">
        <f aca="false">BA4025-BF4025</f>
        <v>0</v>
      </c>
      <c r="BH4025" s="19" t="str">
        <f aca="false">IF(BG4025=0,"",IF(BG4025&lt;&gt;BA4025,"erreur de calcul",IF(BD4025&lt;&gt;0,"pas de prix",IF(M4025&lt;&gt; 0,"pas de quantité","pas de prix, ni de quantité"))))</f>
        <v/>
      </c>
      <c r="BI4025" s="19"/>
    </row>
    <row r="4026" customFormat="false" ht="15" hidden="false" customHeight="false" outlineLevel="0" collapsed="false">
      <c r="A4026" s="0" t="n">
        <v>38</v>
      </c>
      <c r="B4026" s="8" t="s">
        <v>24</v>
      </c>
      <c r="C4026" s="9" t="s">
        <v>25</v>
      </c>
      <c r="D4026" s="9" t="s">
        <v>26</v>
      </c>
      <c r="E4026" s="10" t="n">
        <v>1789</v>
      </c>
      <c r="F4026" s="9" t="s">
        <v>27</v>
      </c>
      <c r="G4026" s="9" t="s">
        <v>27</v>
      </c>
      <c r="H4026" s="11" t="n">
        <v>22</v>
      </c>
      <c r="I4026" s="11" t="s">
        <v>241</v>
      </c>
      <c r="J4026" s="14" t="n">
        <v>24</v>
      </c>
      <c r="K4026" s="14"/>
      <c r="L4026" s="16"/>
      <c r="M4026" s="27" t="n">
        <f aca="false">J4026+(K4026/20)+(L4026/240)</f>
        <v>24</v>
      </c>
      <c r="N4026" s="17" t="s">
        <v>64</v>
      </c>
      <c r="O4026" s="11"/>
      <c r="P4026" s="28" t="n">
        <f aca="false">188958/100</f>
        <v>1889.58</v>
      </c>
      <c r="Q4026" s="28" t="n">
        <v>45350</v>
      </c>
      <c r="R4026" s="28"/>
      <c r="S4026" s="28" t="n">
        <f aca="false">R4026*$M4026</f>
        <v>0</v>
      </c>
      <c r="T4026" s="28"/>
      <c r="U4026" s="28" t="n">
        <f aca="false">T4026*$M4026</f>
        <v>0</v>
      </c>
      <c r="V4026" s="28" t="n">
        <f aca="false">10567/100</f>
        <v>105.67</v>
      </c>
      <c r="W4026" s="28" t="n">
        <v>2536</v>
      </c>
      <c r="X4026" s="28" t="n">
        <f aca="false">9467/100</f>
        <v>94.67</v>
      </c>
      <c r="Y4026" s="28" t="n">
        <v>2272</v>
      </c>
      <c r="Z4026" s="28"/>
      <c r="AA4026" s="28" t="n">
        <f aca="false">Z4026*$M4026</f>
        <v>0</v>
      </c>
      <c r="AB4026" s="28"/>
      <c r="AC4026" s="28" t="n">
        <f aca="false">AB4026*$M4026</f>
        <v>0</v>
      </c>
      <c r="AD4026" s="28"/>
      <c r="AE4026" s="28" t="n">
        <f aca="false">AD4026*$M4026</f>
        <v>0</v>
      </c>
      <c r="AF4026" s="28"/>
      <c r="AG4026" s="28" t="n">
        <f aca="false">AF4026*$M4026</f>
        <v>0</v>
      </c>
      <c r="AH4026" s="28"/>
      <c r="AI4026" s="28" t="n">
        <f aca="false">AH4026*$M4026</f>
        <v>0</v>
      </c>
      <c r="AJ4026" s="28"/>
      <c r="AK4026" s="28" t="n">
        <f aca="false">AJ4026*$M4026</f>
        <v>0</v>
      </c>
      <c r="AL4026" s="28"/>
      <c r="AM4026" s="28" t="n">
        <f aca="false">AL4026*$M4026</f>
        <v>0</v>
      </c>
      <c r="AN4026" s="28"/>
      <c r="AO4026" s="28" t="n">
        <f aca="false">AN4026*$M4026</f>
        <v>0</v>
      </c>
      <c r="AP4026" s="28"/>
      <c r="AQ4026" s="28" t="n">
        <f aca="false">AP4026*$M4026</f>
        <v>0</v>
      </c>
      <c r="AR4026" s="28"/>
      <c r="AS4026" s="28" t="n">
        <f aca="false">AR4026*$M4026</f>
        <v>0</v>
      </c>
      <c r="AT4026" s="28"/>
      <c r="AU4026" s="28" t="n">
        <f aca="false">AT4026*$M4026</f>
        <v>0</v>
      </c>
      <c r="AV4026" s="28"/>
      <c r="AW4026" s="28" t="n">
        <f aca="false">AV4026*$M4026</f>
        <v>0</v>
      </c>
      <c r="AX4026" s="28" t="n">
        <f aca="false">328659/100</f>
        <v>3286.59</v>
      </c>
      <c r="AY4026" s="28" t="n">
        <v>78878</v>
      </c>
      <c r="AZ4026" s="30" t="n">
        <f aca="false">537651/100</f>
        <v>5376.51</v>
      </c>
      <c r="BA4026" s="11" t="n">
        <v>129036</v>
      </c>
      <c r="BB4026" s="31" t="n">
        <f aca="false">SUM(Q4026,S4026,U4026,W4026,Y4026,AA4026,AC4026,AE4026,AG4026,AI4026,AK4026,AM4026,AO4026,AQ4026,AS4026,AU4026,AW4026,AY4026)</f>
        <v>129036</v>
      </c>
      <c r="BC4026" s="28" t="n">
        <f aca="false">BA4026-BB4026</f>
        <v>0</v>
      </c>
      <c r="BD4026" s="32" t="n">
        <f aca="false">SUM(P4026,R4026,T4026,V4026,X4026,Z4026,AB4026,AD4026,AF4026,AH4026,AJ4026,AL4026,AN4026,AP4026,AR4026,AT4026,AV4026,AX4026)</f>
        <v>5376.51</v>
      </c>
      <c r="BE4026" s="33" t="n">
        <f aca="false">AZ4026-BD4026</f>
        <v>0</v>
      </c>
      <c r="BF4026" s="34" t="n">
        <f aca="false">BD4026*M4026</f>
        <v>129036.24</v>
      </c>
      <c r="BG4026" s="35" t="n">
        <f aca="false">BA4026-BF4026</f>
        <v>-0.240000000005239</v>
      </c>
      <c r="BH4026" s="19" t="str">
        <f aca="false">IF(BG4026=0,"",IF(BG4026&lt;&gt;BA4026,"erreur de calcul",IF(BD4026&lt;&gt;0,"pas de prix",IF(M4026&lt;&gt; 0,"pas de quantité","pas de prix, ni de quantité"))))</f>
        <v>erreur de calcul</v>
      </c>
      <c r="BI4026" s="19"/>
    </row>
    <row r="4027" customFormat="false" ht="15" hidden="false" customHeight="false" outlineLevel="0" collapsed="false">
      <c r="A4027" s="0" t="n">
        <v>39</v>
      </c>
      <c r="B4027" s="8" t="s">
        <v>24</v>
      </c>
      <c r="C4027" s="9" t="s">
        <v>25</v>
      </c>
      <c r="D4027" s="9" t="s">
        <v>26</v>
      </c>
      <c r="E4027" s="10" t="n">
        <v>1789</v>
      </c>
      <c r="F4027" s="9" t="s">
        <v>27</v>
      </c>
      <c r="G4027" s="9" t="s">
        <v>27</v>
      </c>
      <c r="H4027" s="11" t="n">
        <v>22</v>
      </c>
      <c r="I4027" s="11" t="s">
        <v>242</v>
      </c>
      <c r="J4027" s="14" t="n">
        <v>41</v>
      </c>
      <c r="K4027" s="14"/>
      <c r="L4027" s="16"/>
      <c r="M4027" s="27" t="n">
        <f aca="false">J4027+(K4027/20)+(L4027/240)</f>
        <v>41</v>
      </c>
      <c r="N4027" s="17" t="s">
        <v>64</v>
      </c>
      <c r="O4027" s="11"/>
      <c r="P4027" s="28"/>
      <c r="Q4027" s="28" t="n">
        <f aca="false">P4027*$M4027</f>
        <v>0</v>
      </c>
      <c r="R4027" s="28"/>
      <c r="S4027" s="28" t="n">
        <f aca="false">R4027*$M4027</f>
        <v>0</v>
      </c>
      <c r="T4027" s="28" t="n">
        <f aca="false">441/100</f>
        <v>4.41</v>
      </c>
      <c r="U4027" s="28" t="n">
        <v>181</v>
      </c>
      <c r="V4027" s="28"/>
      <c r="W4027" s="28" t="n">
        <f aca="false">V4027*$M4027</f>
        <v>0</v>
      </c>
      <c r="X4027" s="28"/>
      <c r="Y4027" s="28" t="n">
        <f aca="false">X4027*$M4027</f>
        <v>0</v>
      </c>
      <c r="Z4027" s="28"/>
      <c r="AA4027" s="28" t="n">
        <f aca="false">Z4027*$M4027</f>
        <v>0</v>
      </c>
      <c r="AB4027" s="28"/>
      <c r="AC4027" s="28" t="n">
        <f aca="false">AB4027*$M4027</f>
        <v>0</v>
      </c>
      <c r="AD4027" s="28"/>
      <c r="AE4027" s="28" t="n">
        <f aca="false">AD4027*$M4027</f>
        <v>0</v>
      </c>
      <c r="AF4027" s="28"/>
      <c r="AG4027" s="28" t="n">
        <f aca="false">AF4027*$M4027</f>
        <v>0</v>
      </c>
      <c r="AH4027" s="28"/>
      <c r="AI4027" s="28" t="n">
        <f aca="false">AH4027*$M4027</f>
        <v>0</v>
      </c>
      <c r="AJ4027" s="28"/>
      <c r="AK4027" s="28" t="n">
        <f aca="false">AJ4027*$M4027</f>
        <v>0</v>
      </c>
      <c r="AL4027" s="28"/>
      <c r="AM4027" s="28" t="n">
        <f aca="false">AL4027*$M4027</f>
        <v>0</v>
      </c>
      <c r="AN4027" s="28"/>
      <c r="AO4027" s="28" t="n">
        <f aca="false">AN4027*$M4027</f>
        <v>0</v>
      </c>
      <c r="AP4027" s="28"/>
      <c r="AQ4027" s="28" t="n">
        <f aca="false">AP4027*$M4027</f>
        <v>0</v>
      </c>
      <c r="AR4027" s="28"/>
      <c r="AS4027" s="28" t="n">
        <f aca="false">AR4027*$M4027</f>
        <v>0</v>
      </c>
      <c r="AT4027" s="28"/>
      <c r="AU4027" s="28" t="n">
        <f aca="false">AT4027*$M4027</f>
        <v>0</v>
      </c>
      <c r="AV4027" s="28"/>
      <c r="AW4027" s="28" t="n">
        <f aca="false">AV4027*$M4027</f>
        <v>0</v>
      </c>
      <c r="AX4027" s="28"/>
      <c r="AY4027" s="28" t="n">
        <f aca="false">AX4027*$M4027</f>
        <v>0</v>
      </c>
      <c r="AZ4027" s="30" t="n">
        <f aca="false">441/100</f>
        <v>4.41</v>
      </c>
      <c r="BA4027" s="11" t="n">
        <v>181</v>
      </c>
      <c r="BB4027" s="31" t="n">
        <f aca="false">SUM(Q4027,S4027,U4027,W4027,Y4027,AA4027,AC4027,AE4027,AG4027,AI4027,AK4027,AM4027,AO4027,AQ4027,AS4027,AU4027,AW4027,AY4027)</f>
        <v>181</v>
      </c>
      <c r="BC4027" s="28" t="n">
        <f aca="false">BA4027-BB4027</f>
        <v>0</v>
      </c>
      <c r="BD4027" s="32" t="n">
        <f aca="false">SUM(P4027,R4027,T4027,V4027,X4027,Z4027,AB4027,AD4027,AF4027,AH4027,AJ4027,AL4027,AN4027,AP4027,AR4027,AT4027,AV4027,AX4027)</f>
        <v>4.41</v>
      </c>
      <c r="BE4027" s="33" t="n">
        <f aca="false">AZ4027-BD4027</f>
        <v>0</v>
      </c>
      <c r="BF4027" s="34" t="n">
        <f aca="false">BD4027*M4027</f>
        <v>180.81</v>
      </c>
      <c r="BG4027" s="35" t="n">
        <f aca="false">BA4027-BF4027</f>
        <v>0.189999999999998</v>
      </c>
      <c r="BH4027" s="19" t="str">
        <f aca="false">IF(BG4027=0,"",IF(BG4027&lt;&gt;BA4027,"erreur de calcul",IF(BD4027&lt;&gt;0,"pas de prix",IF(M4027&lt;&gt; 0,"pas de quantité","pas de prix, ni de quantité"))))</f>
        <v>erreur de calcul</v>
      </c>
      <c r="BI4027" s="19"/>
    </row>
    <row r="4028" customFormat="false" ht="15" hidden="false" customHeight="false" outlineLevel="0" collapsed="false">
      <c r="A4028" s="0" t="n">
        <v>1</v>
      </c>
      <c r="B4028" s="8" t="s">
        <v>24</v>
      </c>
      <c r="C4028" s="9" t="s">
        <v>25</v>
      </c>
      <c r="D4028" s="9" t="s">
        <v>26</v>
      </c>
      <c r="E4028" s="10" t="n">
        <v>1789</v>
      </c>
      <c r="F4028" s="9" t="s">
        <v>27</v>
      </c>
      <c r="G4028" s="9" t="s">
        <v>27</v>
      </c>
      <c r="H4028" s="11" t="n">
        <v>23</v>
      </c>
      <c r="I4028" s="11" t="s">
        <v>243</v>
      </c>
      <c r="J4028" s="14"/>
      <c r="K4028" s="14"/>
      <c r="L4028" s="16"/>
      <c r="M4028" s="27" t="n">
        <f aca="false">J4028+(K4028/20)+(L4028/240)</f>
        <v>0</v>
      </c>
      <c r="N4028" s="17"/>
      <c r="O4028" s="11"/>
      <c r="P4028" s="28"/>
      <c r="Q4028" s="28" t="n">
        <f aca="false">P4028*$M4028</f>
        <v>0</v>
      </c>
      <c r="R4028" s="28"/>
      <c r="S4028" s="28" t="n">
        <f aca="false">R4028*$M4028</f>
        <v>0</v>
      </c>
      <c r="T4028" s="28"/>
      <c r="U4028" s="28" t="n">
        <f aca="false">T4028*$M4028</f>
        <v>0</v>
      </c>
      <c r="V4028" s="28"/>
      <c r="W4028" s="28" t="n">
        <v>100</v>
      </c>
      <c r="X4028" s="28"/>
      <c r="Y4028" s="28" t="n">
        <v>563</v>
      </c>
      <c r="Z4028" s="28"/>
      <c r="AA4028" s="28" t="n">
        <f aca="false">Z4028*$M4028</f>
        <v>0</v>
      </c>
      <c r="AB4028" s="28"/>
      <c r="AC4028" s="28" t="n">
        <f aca="false">AB4028*$M4028</f>
        <v>0</v>
      </c>
      <c r="AD4028" s="28"/>
      <c r="AE4028" s="28" t="n">
        <f aca="false">AD4028*$M4028</f>
        <v>0</v>
      </c>
      <c r="AF4028" s="28"/>
      <c r="AG4028" s="28" t="n">
        <f aca="false">AF4028*$M4028</f>
        <v>0</v>
      </c>
      <c r="AH4028" s="28"/>
      <c r="AI4028" s="28" t="n">
        <f aca="false">AH4028*$M4028</f>
        <v>0</v>
      </c>
      <c r="AJ4028" s="28"/>
      <c r="AK4028" s="28" t="n">
        <v>1015</v>
      </c>
      <c r="AL4028" s="28"/>
      <c r="AM4028" s="28" t="n">
        <f aca="false">AL4028*$M4028</f>
        <v>0</v>
      </c>
      <c r="AN4028" s="28"/>
      <c r="AO4028" s="28" t="n">
        <f aca="false">AN4028*$M4028</f>
        <v>0</v>
      </c>
      <c r="AP4028" s="28"/>
      <c r="AQ4028" s="28" t="n">
        <f aca="false">AP4028*$M4028</f>
        <v>0</v>
      </c>
      <c r="AR4028" s="28"/>
      <c r="AS4028" s="28" t="n">
        <f aca="false">AR4028*$M4028</f>
        <v>0</v>
      </c>
      <c r="AT4028" s="28"/>
      <c r="AU4028" s="28" t="n">
        <f aca="false">AT4028*$M4028</f>
        <v>0</v>
      </c>
      <c r="AV4028" s="28"/>
      <c r="AW4028" s="28" t="n">
        <f aca="false">AV4028*$M4028</f>
        <v>0</v>
      </c>
      <c r="AX4028" s="28"/>
      <c r="AY4028" s="28" t="n">
        <f aca="false">AX4028*$M4028</f>
        <v>0</v>
      </c>
      <c r="AZ4028" s="30"/>
      <c r="BA4028" s="11" t="n">
        <v>1678</v>
      </c>
      <c r="BB4028" s="31" t="n">
        <f aca="false">SUM(Q4028,S4028,U4028,W4028,Y4028,AA4028,AC4028,AE4028,AG4028,AI4028,AK4028,AM4028,AO4028,AQ4028,AS4028,AU4028,AW4028,AY4028)</f>
        <v>1678</v>
      </c>
      <c r="BC4028" s="28" t="n">
        <f aca="false">BA4028-BB4028</f>
        <v>0</v>
      </c>
      <c r="BD4028" s="32" t="n">
        <f aca="false">SUM(P4028,R4028,T4028,V4028,X4028,Z4028,AB4028,AD4028,AF4028,AH4028,AJ4028,AL4028,AN4028,AP4028,AR4028,AT4028,AV4028,AX4028)</f>
        <v>0</v>
      </c>
      <c r="BE4028" s="33" t="n">
        <f aca="false">AZ4028-BD4028</f>
        <v>0</v>
      </c>
      <c r="BF4028" s="34" t="n">
        <f aca="false">BD4028*M4028</f>
        <v>0</v>
      </c>
      <c r="BG4028" s="35" t="n">
        <f aca="false">BA4028-BF4028</f>
        <v>1678</v>
      </c>
      <c r="BH4028" s="19" t="str">
        <f aca="false">IF(BG4028=0,"",IF(BG4028&lt;&gt;BA4028,"erreur de calcul",IF(BD4028&lt;&gt;0,"pas de prix",IF(M4028&lt;&gt; 0,"pas de quantité","pas de prix, ni de quantité"))))</f>
        <v>pas de prix, ni de quantité</v>
      </c>
      <c r="BI4028" s="19"/>
    </row>
    <row r="4029" customFormat="false" ht="15" hidden="false" customHeight="false" outlineLevel="0" collapsed="false">
      <c r="A4029" s="0" t="n">
        <v>2</v>
      </c>
      <c r="B4029" s="8" t="s">
        <v>24</v>
      </c>
      <c r="C4029" s="9" t="s">
        <v>25</v>
      </c>
      <c r="D4029" s="9" t="s">
        <v>26</v>
      </c>
      <c r="E4029" s="10" t="n">
        <v>1789</v>
      </c>
      <c r="F4029" s="9" t="s">
        <v>27</v>
      </c>
      <c r="G4029" s="9" t="s">
        <v>27</v>
      </c>
      <c r="H4029" s="11" t="n">
        <v>23</v>
      </c>
      <c r="I4029" s="11" t="s">
        <v>244</v>
      </c>
      <c r="J4029" s="14" t="n">
        <v>22</v>
      </c>
      <c r="K4029" s="14"/>
      <c r="L4029" s="16"/>
      <c r="M4029" s="27" t="n">
        <f aca="false">J4029+(K4029/20)+(L4029/240)</f>
        <v>22</v>
      </c>
      <c r="N4029" s="17" t="s">
        <v>64</v>
      </c>
      <c r="O4029" s="11"/>
      <c r="P4029" s="28"/>
      <c r="Q4029" s="28" t="n">
        <f aca="false">P4029*$M4029</f>
        <v>0</v>
      </c>
      <c r="R4029" s="28"/>
      <c r="S4029" s="28" t="n">
        <f aca="false">R4029*$M4029</f>
        <v>0</v>
      </c>
      <c r="T4029" s="28"/>
      <c r="U4029" s="28" t="n">
        <f aca="false">T4029*$M4029</f>
        <v>0</v>
      </c>
      <c r="V4029" s="28" t="n">
        <f aca="false">15346/100</f>
        <v>153.46</v>
      </c>
      <c r="W4029" s="28" t="n">
        <v>3376</v>
      </c>
      <c r="X4029" s="28"/>
      <c r="Y4029" s="28" t="n">
        <f aca="false">X4029*$M4029</f>
        <v>0</v>
      </c>
      <c r="Z4029" s="28"/>
      <c r="AA4029" s="28" t="n">
        <f aca="false">Z4029*$M4029</f>
        <v>0</v>
      </c>
      <c r="AB4029" s="28"/>
      <c r="AC4029" s="28" t="n">
        <f aca="false">AB4029*$M4029</f>
        <v>0</v>
      </c>
      <c r="AD4029" s="28"/>
      <c r="AE4029" s="28" t="n">
        <f aca="false">AD4029*$M4029</f>
        <v>0</v>
      </c>
      <c r="AF4029" s="28"/>
      <c r="AG4029" s="28" t="n">
        <f aca="false">AF4029*$M4029</f>
        <v>0</v>
      </c>
      <c r="AH4029" s="28"/>
      <c r="AI4029" s="28" t="n">
        <f aca="false">AH4029*$M4029</f>
        <v>0</v>
      </c>
      <c r="AJ4029" s="28" t="n">
        <f aca="false">9084/100</f>
        <v>90.84</v>
      </c>
      <c r="AK4029" s="28" t="n">
        <v>1998</v>
      </c>
      <c r="AL4029" s="28" t="n">
        <f aca="false">8917/100</f>
        <v>89.17</v>
      </c>
      <c r="AM4029" s="28" t="n">
        <v>1962</v>
      </c>
      <c r="AN4029" s="28"/>
      <c r="AO4029" s="28" t="n">
        <f aca="false">AN4029*$M4029</f>
        <v>0</v>
      </c>
      <c r="AP4029" s="28"/>
      <c r="AQ4029" s="28" t="n">
        <f aca="false">AP4029*$M4029</f>
        <v>0</v>
      </c>
      <c r="AR4029" s="28"/>
      <c r="AS4029" s="28" t="n">
        <f aca="false">AR4029*$M4029</f>
        <v>0</v>
      </c>
      <c r="AT4029" s="28"/>
      <c r="AU4029" s="28" t="n">
        <f aca="false">AT4029*$M4029</f>
        <v>0</v>
      </c>
      <c r="AV4029" s="28"/>
      <c r="AW4029" s="28" t="n">
        <f aca="false">AV4029*$M4029</f>
        <v>0</v>
      </c>
      <c r="AX4029" s="28"/>
      <c r="AY4029" s="28" t="n">
        <f aca="false">AX4029*$M4029</f>
        <v>0</v>
      </c>
      <c r="AZ4029" s="30" t="n">
        <f aca="false">3347/100</f>
        <v>33.47</v>
      </c>
      <c r="BA4029" s="11" t="n">
        <v>7336</v>
      </c>
      <c r="BB4029" s="31" t="n">
        <f aca="false">SUM(Q4029,S4029,U4029,W4029,Y4029,AA4029,AC4029,AE4029,AG4029,AI4029,AK4029,AM4029,AO4029,AQ4029,AS4029,AU4029,AW4029,AY4029)</f>
        <v>7336</v>
      </c>
      <c r="BC4029" s="28" t="n">
        <f aca="false">BA4029-BB4029</f>
        <v>0</v>
      </c>
      <c r="BD4029" s="32" t="n">
        <f aca="false">SUM(P4029,R4029,T4029,V4029,X4029,Z4029,AB4029,AD4029,AF4029,AH4029,AJ4029,AL4029,AN4029,AP4029,AR4029,AT4029,AV4029,AX4029)</f>
        <v>333.47</v>
      </c>
      <c r="BE4029" s="33" t="n">
        <f aca="false">AZ4029-BD4029</f>
        <v>-300</v>
      </c>
      <c r="BF4029" s="34" t="n">
        <f aca="false">BD4029*M4029</f>
        <v>7336.34</v>
      </c>
      <c r="BG4029" s="35" t="n">
        <f aca="false">BA4029-BF4029</f>
        <v>-0.340000000000146</v>
      </c>
      <c r="BH4029" s="19" t="str">
        <f aca="false">IF(BG4029=0,"",IF(BG4029&lt;&gt;BA4029,"erreur de calcul",IF(BD4029&lt;&gt;0,"pas de prix",IF(M4029&lt;&gt; 0,"pas de quantité","pas de prix, ni de quantité"))))</f>
        <v>erreur de calcul</v>
      </c>
      <c r="BI4029" s="19"/>
    </row>
    <row r="4030" customFormat="false" ht="15" hidden="false" customHeight="false" outlineLevel="0" collapsed="false">
      <c r="A4030" s="0" t="n">
        <v>3</v>
      </c>
      <c r="B4030" s="8" t="s">
        <v>24</v>
      </c>
      <c r="C4030" s="9" t="s">
        <v>25</v>
      </c>
      <c r="D4030" s="9" t="s">
        <v>26</v>
      </c>
      <c r="E4030" s="10" t="n">
        <v>1789</v>
      </c>
      <c r="F4030" s="9" t="s">
        <v>27</v>
      </c>
      <c r="G4030" s="9" t="s">
        <v>27</v>
      </c>
      <c r="H4030" s="11" t="n">
        <v>23</v>
      </c>
      <c r="I4030" s="11" t="s">
        <v>245</v>
      </c>
      <c r="J4030" s="14" t="n">
        <v>28</v>
      </c>
      <c r="K4030" s="14"/>
      <c r="L4030" s="16"/>
      <c r="M4030" s="27" t="n">
        <f aca="false">J4030+(K4030/20)+(L4030/240)</f>
        <v>28</v>
      </c>
      <c r="N4030" s="17" t="s">
        <v>64</v>
      </c>
      <c r="O4030" s="11"/>
      <c r="P4030" s="28"/>
      <c r="Q4030" s="28" t="n">
        <f aca="false">P4030*$M4030</f>
        <v>0</v>
      </c>
      <c r="R4030" s="28"/>
      <c r="S4030" s="28" t="n">
        <f aca="false">R4030*$M4030</f>
        <v>0</v>
      </c>
      <c r="T4030" s="28"/>
      <c r="U4030" s="28" t="n">
        <f aca="false">T4030*$M4030</f>
        <v>0</v>
      </c>
      <c r="V4030" s="28" t="n">
        <f aca="false">61654/100</f>
        <v>616.54</v>
      </c>
      <c r="W4030" s="28" t="n">
        <v>17263</v>
      </c>
      <c r="X4030" s="28"/>
      <c r="Y4030" s="28" t="n">
        <f aca="false">X4030*$M4030</f>
        <v>0</v>
      </c>
      <c r="Z4030" s="28"/>
      <c r="AA4030" s="28" t="n">
        <f aca="false">Z4030*$M4030</f>
        <v>0</v>
      </c>
      <c r="AB4030" s="28"/>
      <c r="AC4030" s="28" t="n">
        <f aca="false">AB4030*$M4030</f>
        <v>0</v>
      </c>
      <c r="AD4030" s="28"/>
      <c r="AE4030" s="28" t="n">
        <f aca="false">AD4030*$M4030</f>
        <v>0</v>
      </c>
      <c r="AF4030" s="28"/>
      <c r="AG4030" s="28" t="n">
        <f aca="false">AF4030*$M4030</f>
        <v>0</v>
      </c>
      <c r="AH4030" s="28"/>
      <c r="AI4030" s="28" t="n">
        <f aca="false">AH4030*$M4030</f>
        <v>0</v>
      </c>
      <c r="AJ4030" s="28"/>
      <c r="AK4030" s="28" t="n">
        <f aca="false">AJ4030*$M4030</f>
        <v>0</v>
      </c>
      <c r="AL4030" s="28" t="n">
        <f aca="false">6250/100</f>
        <v>62.5</v>
      </c>
      <c r="AM4030" s="28" t="n">
        <v>1750</v>
      </c>
      <c r="AN4030" s="28"/>
      <c r="AO4030" s="28" t="n">
        <f aca="false">AN4030*$M4030</f>
        <v>0</v>
      </c>
      <c r="AP4030" s="28"/>
      <c r="AQ4030" s="28" t="n">
        <f aca="false">AP4030*$M4030</f>
        <v>0</v>
      </c>
      <c r="AR4030" s="28"/>
      <c r="AS4030" s="28" t="n">
        <f aca="false">AR4030*$M4030</f>
        <v>0</v>
      </c>
      <c r="AT4030" s="28"/>
      <c r="AU4030" s="28" t="n">
        <f aca="false">AT4030*$M4030</f>
        <v>0</v>
      </c>
      <c r="AV4030" s="28"/>
      <c r="AW4030" s="28" t="n">
        <f aca="false">AV4030*$M4030</f>
        <v>0</v>
      </c>
      <c r="AX4030" s="28"/>
      <c r="AY4030" s="28" t="n">
        <f aca="false">AX4030*$M4030</f>
        <v>0</v>
      </c>
      <c r="AZ4030" s="30" t="n">
        <f aca="false">67904/100</f>
        <v>679.04</v>
      </c>
      <c r="BA4030" s="11" t="n">
        <v>19013</v>
      </c>
      <c r="BB4030" s="31" t="n">
        <f aca="false">SUM(Q4030,S4030,U4030,W4030,Y4030,AA4030,AC4030,AE4030,AG4030,AI4030,AK4030,AM4030,AO4030,AQ4030,AS4030,AU4030,AW4030,AY4030)</f>
        <v>19013</v>
      </c>
      <c r="BC4030" s="28" t="n">
        <f aca="false">BA4030-BB4030</f>
        <v>0</v>
      </c>
      <c r="BD4030" s="32" t="n">
        <f aca="false">SUM(P4030,R4030,T4030,V4030,X4030,Z4030,AB4030,AD4030,AF4030,AH4030,AJ4030,AL4030,AN4030,AP4030,AR4030,AT4030,AV4030,AX4030)</f>
        <v>679.04</v>
      </c>
      <c r="BE4030" s="33" t="n">
        <f aca="false">AZ4030-BD4030</f>
        <v>0</v>
      </c>
      <c r="BF4030" s="34" t="n">
        <f aca="false">BD4030*M4030</f>
        <v>19013.12</v>
      </c>
      <c r="BG4030" s="35" t="n">
        <f aca="false">BA4030-BF4030</f>
        <v>-0.119999999998981</v>
      </c>
      <c r="BH4030" s="19" t="str">
        <f aca="false">IF(BG4030=0,"",IF(BG4030&lt;&gt;BA4030,"erreur de calcul",IF(BD4030&lt;&gt;0,"pas de prix",IF(M4030&lt;&gt; 0,"pas de quantité","pas de prix, ni de quantité"))))</f>
        <v>erreur de calcul</v>
      </c>
      <c r="BI4030" s="19"/>
    </row>
    <row r="4031" customFormat="false" ht="15" hidden="false" customHeight="false" outlineLevel="0" collapsed="false">
      <c r="A4031" s="0" t="n">
        <v>4</v>
      </c>
      <c r="B4031" s="8" t="s">
        <v>24</v>
      </c>
      <c r="C4031" s="9" t="s">
        <v>25</v>
      </c>
      <c r="D4031" s="9" t="s">
        <v>26</v>
      </c>
      <c r="E4031" s="10" t="n">
        <v>1789</v>
      </c>
      <c r="F4031" s="9" t="s">
        <v>27</v>
      </c>
      <c r="G4031" s="9" t="s">
        <v>27</v>
      </c>
      <c r="H4031" s="11" t="n">
        <v>23</v>
      </c>
      <c r="I4031" s="11" t="s">
        <v>246</v>
      </c>
      <c r="J4031" s="14" t="n">
        <v>17</v>
      </c>
      <c r="K4031" s="14"/>
      <c r="L4031" s="16"/>
      <c r="M4031" s="27" t="n">
        <f aca="false">J4031+(K4031/20)+(L4031/240)</f>
        <v>17</v>
      </c>
      <c r="N4031" s="17" t="s">
        <v>64</v>
      </c>
      <c r="O4031" s="11"/>
      <c r="P4031" s="28"/>
      <c r="Q4031" s="28" t="n">
        <f aca="false">P4031*$M4031</f>
        <v>0</v>
      </c>
      <c r="R4031" s="28"/>
      <c r="S4031" s="28" t="n">
        <f aca="false">R4031*$M4031</f>
        <v>0</v>
      </c>
      <c r="T4031" s="28" t="n">
        <f aca="false">25000/100</f>
        <v>250</v>
      </c>
      <c r="U4031" s="28" t="n">
        <v>4250</v>
      </c>
      <c r="V4031" s="28" t="n">
        <f aca="false">78153/100</f>
        <v>781.53</v>
      </c>
      <c r="W4031" s="28" t="n">
        <v>13286</v>
      </c>
      <c r="X4031" s="28"/>
      <c r="Y4031" s="28" t="n">
        <f aca="false">X4031*$M4031</f>
        <v>0</v>
      </c>
      <c r="Z4031" s="28"/>
      <c r="AA4031" s="28" t="n">
        <f aca="false">Z4031*$M4031</f>
        <v>0</v>
      </c>
      <c r="AB4031" s="28"/>
      <c r="AC4031" s="28" t="n">
        <f aca="false">AB4031*$M4031</f>
        <v>0</v>
      </c>
      <c r="AD4031" s="28"/>
      <c r="AE4031" s="28" t="n">
        <f aca="false">AD4031*$M4031</f>
        <v>0</v>
      </c>
      <c r="AF4031" s="28"/>
      <c r="AG4031" s="28" t="n">
        <f aca="false">AF4031*$M4031</f>
        <v>0</v>
      </c>
      <c r="AH4031" s="28"/>
      <c r="AI4031" s="28" t="n">
        <f aca="false">AH4031*$M4031</f>
        <v>0</v>
      </c>
      <c r="AJ4031" s="28" t="n">
        <f aca="false">113774/100</f>
        <v>1137.74</v>
      </c>
      <c r="AK4031" s="28" t="n">
        <v>19341</v>
      </c>
      <c r="AL4031" s="28" t="n">
        <f aca="false">749547/100</f>
        <v>7495.47</v>
      </c>
      <c r="AM4031" s="28" t="n">
        <v>127423</v>
      </c>
      <c r="AN4031" s="28"/>
      <c r="AO4031" s="28" t="n">
        <f aca="false">AN4031*$M4031</f>
        <v>0</v>
      </c>
      <c r="AP4031" s="28" t="n">
        <f aca="false">578251/100</f>
        <v>5782.51</v>
      </c>
      <c r="AQ4031" s="28" t="n">
        <v>98303</v>
      </c>
      <c r="AR4031" s="28" t="n">
        <f aca="false">9141217/100</f>
        <v>91412.17</v>
      </c>
      <c r="AS4031" s="28" t="n">
        <v>1554007</v>
      </c>
      <c r="AT4031" s="28"/>
      <c r="AU4031" s="28" t="n">
        <f aca="false">AT4031*$M4031</f>
        <v>0</v>
      </c>
      <c r="AV4031" s="28" t="n">
        <f aca="false">314570/100</f>
        <v>3145.7</v>
      </c>
      <c r="AW4031" s="28" t="n">
        <v>53477</v>
      </c>
      <c r="AX4031" s="28"/>
      <c r="AY4031" s="28" t="n">
        <f aca="false">AX4031*$M4031</f>
        <v>0</v>
      </c>
      <c r="AZ4031" s="30" t="n">
        <f aca="false">11004767/100</f>
        <v>110047.67</v>
      </c>
      <c r="BA4031" s="11" t="n">
        <v>1870087</v>
      </c>
      <c r="BB4031" s="31" t="n">
        <f aca="false">SUM(Q4031,S4031,U4031,W4031,Y4031,AA4031,AC4031,AE4031,AG4031,AI4031,AK4031,AM4031,AO4031,AQ4031,AS4031,AU4031,AW4031,AY4031)</f>
        <v>1870087</v>
      </c>
      <c r="BC4031" s="28" t="n">
        <f aca="false">BA4031-BB4031</f>
        <v>0</v>
      </c>
      <c r="BD4031" s="32" t="n">
        <f aca="false">SUM(P4031,R4031,T4031,V4031,X4031,Z4031,AB4031,AD4031,AF4031,AH4031,AJ4031,AL4031,AN4031,AP4031,AR4031,AT4031,AV4031,AX4031)</f>
        <v>110005.12</v>
      </c>
      <c r="BE4031" s="33" t="n">
        <f aca="false">AZ4031-BD4031</f>
        <v>42.5500000000029</v>
      </c>
      <c r="BF4031" s="34" t="n">
        <f aca="false">BD4031*M4031</f>
        <v>1870087.04</v>
      </c>
      <c r="BG4031" s="35" t="n">
        <f aca="false">BA4031-BF4031</f>
        <v>-0.0400000000372529</v>
      </c>
      <c r="BH4031" s="19" t="str">
        <f aca="false">IF(BG4031=0,"",IF(BG4031&lt;&gt;BA4031,"erreur de calcul",IF(BD4031&lt;&gt;0,"pas de prix",IF(M4031&lt;&gt; 0,"pas de quantité","pas de prix, ni de quantité"))))</f>
        <v>erreur de calcul</v>
      </c>
      <c r="BI4031" s="19"/>
    </row>
    <row r="4032" customFormat="false" ht="15" hidden="false" customHeight="false" outlineLevel="0" collapsed="false">
      <c r="A4032" s="0" t="n">
        <v>5</v>
      </c>
      <c r="B4032" s="8" t="s">
        <v>24</v>
      </c>
      <c r="C4032" s="9" t="s">
        <v>25</v>
      </c>
      <c r="D4032" s="9" t="s">
        <v>26</v>
      </c>
      <c r="E4032" s="10" t="n">
        <v>1789</v>
      </c>
      <c r="F4032" s="9" t="s">
        <v>27</v>
      </c>
      <c r="G4032" s="9" t="s">
        <v>27</v>
      </c>
      <c r="H4032" s="11" t="n">
        <v>23</v>
      </c>
      <c r="I4032" s="11" t="s">
        <v>247</v>
      </c>
      <c r="J4032" s="14" t="n">
        <v>60</v>
      </c>
      <c r="K4032" s="14"/>
      <c r="L4032" s="16"/>
      <c r="M4032" s="27" t="n">
        <f aca="false">J4032+(K4032/20)+(L4032/240)</f>
        <v>60</v>
      </c>
      <c r="N4032" s="17" t="s">
        <v>64</v>
      </c>
      <c r="O4032" s="11"/>
      <c r="P4032" s="28" t="n">
        <f aca="false">17500/100</f>
        <v>175</v>
      </c>
      <c r="Q4032" s="28" t="n">
        <v>10500</v>
      </c>
      <c r="R4032" s="28"/>
      <c r="S4032" s="28" t="n">
        <f aca="false">R4032*$M4032</f>
        <v>0</v>
      </c>
      <c r="T4032" s="28"/>
      <c r="U4032" s="28" t="n">
        <f aca="false">T4032*$M4032</f>
        <v>0</v>
      </c>
      <c r="V4032" s="28"/>
      <c r="W4032" s="28" t="n">
        <f aca="false">V4032*$M4032</f>
        <v>0</v>
      </c>
      <c r="X4032" s="28"/>
      <c r="Y4032" s="28" t="n">
        <f aca="false">X4032*$M4032</f>
        <v>0</v>
      </c>
      <c r="Z4032" s="28"/>
      <c r="AA4032" s="28" t="n">
        <f aca="false">Z4032*$M4032</f>
        <v>0</v>
      </c>
      <c r="AB4032" s="28"/>
      <c r="AC4032" s="28" t="n">
        <f aca="false">AB4032*$M4032</f>
        <v>0</v>
      </c>
      <c r="AD4032" s="28"/>
      <c r="AE4032" s="28" t="n">
        <f aca="false">AD4032*$M4032</f>
        <v>0</v>
      </c>
      <c r="AF4032" s="28"/>
      <c r="AG4032" s="28" t="n">
        <f aca="false">AF4032*$M4032</f>
        <v>0</v>
      </c>
      <c r="AH4032" s="28"/>
      <c r="AI4032" s="28" t="n">
        <f aca="false">AH4032*$M4032</f>
        <v>0</v>
      </c>
      <c r="AJ4032" s="28"/>
      <c r="AK4032" s="28" t="n">
        <f aca="false">AJ4032*$M4032</f>
        <v>0</v>
      </c>
      <c r="AL4032" s="28" t="n">
        <f aca="false">107571/100</f>
        <v>1075.71</v>
      </c>
      <c r="AM4032" s="28" t="n">
        <v>64543</v>
      </c>
      <c r="AN4032" s="28"/>
      <c r="AO4032" s="28" t="n">
        <f aca="false">AN4032*$M4032</f>
        <v>0</v>
      </c>
      <c r="AP4032" s="28"/>
      <c r="AQ4032" s="28" t="n">
        <f aca="false">AP4032*$M4032</f>
        <v>0</v>
      </c>
      <c r="AR4032" s="28"/>
      <c r="AS4032" s="28" t="n">
        <f aca="false">AR4032*$M4032</f>
        <v>0</v>
      </c>
      <c r="AT4032" s="28"/>
      <c r="AU4032" s="28" t="n">
        <f aca="false">AT4032*$M4032</f>
        <v>0</v>
      </c>
      <c r="AV4032" s="28"/>
      <c r="AW4032" s="28" t="n">
        <f aca="false">AV4032*$M4032</f>
        <v>0</v>
      </c>
      <c r="AX4032" s="28"/>
      <c r="AY4032" s="28" t="n">
        <f aca="false">AX4032*$M4032</f>
        <v>0</v>
      </c>
      <c r="AZ4032" s="30" t="n">
        <f aca="false">125071/100</f>
        <v>1250.71</v>
      </c>
      <c r="BA4032" s="11" t="n">
        <v>75043</v>
      </c>
      <c r="BB4032" s="31" t="n">
        <f aca="false">SUM(Q4032,S4032,U4032,W4032,Y4032,AA4032,AC4032,AE4032,AG4032,AI4032,AK4032,AM4032,AO4032,AQ4032,AS4032,AU4032,AW4032,AY4032)</f>
        <v>75043</v>
      </c>
      <c r="BC4032" s="28" t="n">
        <f aca="false">BA4032-BB4032</f>
        <v>0</v>
      </c>
      <c r="BD4032" s="32" t="n">
        <f aca="false">SUM(P4032,R4032,T4032,V4032,X4032,Z4032,AB4032,AD4032,AF4032,AH4032,AJ4032,AL4032,AN4032,AP4032,AR4032,AT4032,AV4032,AX4032)</f>
        <v>1250.71</v>
      </c>
      <c r="BE4032" s="33" t="n">
        <f aca="false">AZ4032-BD4032</f>
        <v>0</v>
      </c>
      <c r="BF4032" s="34" t="n">
        <f aca="false">BD4032*M4032</f>
        <v>75042.6</v>
      </c>
      <c r="BG4032" s="35" t="n">
        <f aca="false">BA4032-BF4032</f>
        <v>0.399999999994179</v>
      </c>
      <c r="BH4032" s="19" t="str">
        <f aca="false">IF(BG4032=0,"",IF(BG4032&lt;&gt;BA4032,"erreur de calcul",IF(BD4032&lt;&gt;0,"pas de prix",IF(M4032&lt;&gt; 0,"pas de quantité","pas de prix, ni de quantité"))))</f>
        <v>erreur de calcul</v>
      </c>
      <c r="BI4032" s="19"/>
    </row>
    <row r="4033" customFormat="false" ht="15" hidden="false" customHeight="false" outlineLevel="0" collapsed="false">
      <c r="A4033" s="0" t="n">
        <v>6</v>
      </c>
      <c r="B4033" s="8" t="s">
        <v>24</v>
      </c>
      <c r="C4033" s="9" t="s">
        <v>25</v>
      </c>
      <c r="D4033" s="9" t="s">
        <v>26</v>
      </c>
      <c r="E4033" s="10" t="n">
        <v>1789</v>
      </c>
      <c r="F4033" s="9" t="s">
        <v>27</v>
      </c>
      <c r="G4033" s="9" t="s">
        <v>27</v>
      </c>
      <c r="H4033" s="11" t="n">
        <v>23</v>
      </c>
      <c r="I4033" s="11" t="s">
        <v>248</v>
      </c>
      <c r="J4033" s="14" t="n">
        <v>30</v>
      </c>
      <c r="K4033" s="14"/>
      <c r="L4033" s="16"/>
      <c r="M4033" s="27" t="n">
        <f aca="false">J4033+(K4033/20)+(L4033/240)</f>
        <v>30</v>
      </c>
      <c r="N4033" s="17" t="s">
        <v>64</v>
      </c>
      <c r="O4033" s="11"/>
      <c r="P4033" s="28"/>
      <c r="Q4033" s="28" t="n">
        <f aca="false">P4033*$M4033</f>
        <v>0</v>
      </c>
      <c r="R4033" s="28"/>
      <c r="S4033" s="28" t="n">
        <f aca="false">R4033*$M4033</f>
        <v>0</v>
      </c>
      <c r="T4033" s="28"/>
      <c r="U4033" s="28" t="n">
        <f aca="false">T4033*$M4033</f>
        <v>0</v>
      </c>
      <c r="V4033" s="28" t="n">
        <f aca="false">8491/100</f>
        <v>84.91</v>
      </c>
      <c r="W4033" s="28" t="n">
        <v>2547</v>
      </c>
      <c r="X4033" s="28"/>
      <c r="Y4033" s="28" t="n">
        <f aca="false">X4033*$M4033</f>
        <v>0</v>
      </c>
      <c r="Z4033" s="28"/>
      <c r="AA4033" s="28" t="n">
        <f aca="false">Z4033*$M4033</f>
        <v>0</v>
      </c>
      <c r="AB4033" s="28"/>
      <c r="AC4033" s="28" t="n">
        <f aca="false">AB4033*$M4033</f>
        <v>0</v>
      </c>
      <c r="AD4033" s="28"/>
      <c r="AE4033" s="28" t="n">
        <f aca="false">AD4033*$M4033</f>
        <v>0</v>
      </c>
      <c r="AF4033" s="28"/>
      <c r="AG4033" s="28" t="n">
        <f aca="false">AF4033*$M4033</f>
        <v>0</v>
      </c>
      <c r="AH4033" s="28"/>
      <c r="AI4033" s="28" t="n">
        <f aca="false">AH4033*$M4033</f>
        <v>0</v>
      </c>
      <c r="AJ4033" s="28"/>
      <c r="AK4033" s="28" t="n">
        <f aca="false">AJ4033*$M4033</f>
        <v>0</v>
      </c>
      <c r="AL4033" s="28"/>
      <c r="AM4033" s="28" t="n">
        <f aca="false">AL4033*$M4033</f>
        <v>0</v>
      </c>
      <c r="AN4033" s="28"/>
      <c r="AO4033" s="28" t="n">
        <f aca="false">AN4033*$M4033</f>
        <v>0</v>
      </c>
      <c r="AP4033" s="28"/>
      <c r="AQ4033" s="28" t="n">
        <f aca="false">AP4033*$M4033</f>
        <v>0</v>
      </c>
      <c r="AR4033" s="28"/>
      <c r="AS4033" s="28" t="n">
        <f aca="false">AR4033*$M4033</f>
        <v>0</v>
      </c>
      <c r="AT4033" s="28"/>
      <c r="AU4033" s="28" t="n">
        <f aca="false">AT4033*$M4033</f>
        <v>0</v>
      </c>
      <c r="AV4033" s="28"/>
      <c r="AW4033" s="28" t="n">
        <f aca="false">AV4033*$M4033</f>
        <v>0</v>
      </c>
      <c r="AX4033" s="28"/>
      <c r="AY4033" s="28" t="n">
        <f aca="false">AX4033*$M4033</f>
        <v>0</v>
      </c>
      <c r="AZ4033" s="30" t="n">
        <f aca="false">8491/100</f>
        <v>84.91</v>
      </c>
      <c r="BA4033" s="11" t="n">
        <v>2547</v>
      </c>
      <c r="BB4033" s="31" t="n">
        <f aca="false">SUM(Q4033,S4033,U4033,W4033,Y4033,AA4033,AC4033,AE4033,AG4033,AI4033,AK4033,AM4033,AO4033,AQ4033,AS4033,AU4033,AW4033,AY4033)</f>
        <v>2547</v>
      </c>
      <c r="BC4033" s="28" t="n">
        <f aca="false">BA4033-BB4033</f>
        <v>0</v>
      </c>
      <c r="BD4033" s="32" t="n">
        <f aca="false">SUM(P4033,R4033,T4033,V4033,X4033,Z4033,AB4033,AD4033,AF4033,AH4033,AJ4033,AL4033,AN4033,AP4033,AR4033,AT4033,AV4033,AX4033)</f>
        <v>84.91</v>
      </c>
      <c r="BE4033" s="33" t="n">
        <f aca="false">AZ4033-BD4033</f>
        <v>0</v>
      </c>
      <c r="BF4033" s="34" t="n">
        <f aca="false">BD4033*M4033</f>
        <v>2547.3</v>
      </c>
      <c r="BG4033" s="35" t="n">
        <f aca="false">BA4033-BF4033</f>
        <v>-0.299999999999727</v>
      </c>
      <c r="BH4033" s="19" t="str">
        <f aca="false">IF(BG4033=0,"",IF(BG4033&lt;&gt;BA4033,"erreur de calcul",IF(BD4033&lt;&gt;0,"pas de prix",IF(M4033&lt;&gt; 0,"pas de quantité","pas de prix, ni de quantité"))))</f>
        <v>erreur de calcul</v>
      </c>
      <c r="BI4033" s="19"/>
    </row>
    <row r="4034" customFormat="false" ht="15" hidden="false" customHeight="false" outlineLevel="0" collapsed="false">
      <c r="A4034" s="0" t="n">
        <v>7</v>
      </c>
      <c r="B4034" s="8" t="s">
        <v>24</v>
      </c>
      <c r="C4034" s="9" t="s">
        <v>25</v>
      </c>
      <c r="D4034" s="9" t="s">
        <v>26</v>
      </c>
      <c r="E4034" s="10" t="n">
        <v>1789</v>
      </c>
      <c r="F4034" s="9" t="s">
        <v>27</v>
      </c>
      <c r="G4034" s="9" t="s">
        <v>27</v>
      </c>
      <c r="H4034" s="11" t="n">
        <v>23</v>
      </c>
      <c r="I4034" s="11" t="s">
        <v>249</v>
      </c>
      <c r="J4034" s="14" t="n">
        <v>27</v>
      </c>
      <c r="K4034" s="14"/>
      <c r="L4034" s="16"/>
      <c r="M4034" s="27" t="n">
        <f aca="false">J4034+(K4034/20)+(L4034/240)</f>
        <v>27</v>
      </c>
      <c r="N4034" s="17" t="s">
        <v>64</v>
      </c>
      <c r="O4034" s="11"/>
      <c r="P4034" s="28"/>
      <c r="Q4034" s="28" t="n">
        <f aca="false">P4034*$M4034</f>
        <v>0</v>
      </c>
      <c r="R4034" s="28"/>
      <c r="S4034" s="28" t="n">
        <f aca="false">R4034*$M4034</f>
        <v>0</v>
      </c>
      <c r="T4034" s="28"/>
      <c r="U4034" s="28" t="n">
        <f aca="false">T4034*$M4034</f>
        <v>0</v>
      </c>
      <c r="V4034" s="28"/>
      <c r="W4034" s="28" t="n">
        <f aca="false">V4034*$M4034</f>
        <v>0</v>
      </c>
      <c r="X4034" s="28"/>
      <c r="Y4034" s="28" t="n">
        <f aca="false">X4034*$M4034</f>
        <v>0</v>
      </c>
      <c r="Z4034" s="28"/>
      <c r="AA4034" s="28" t="n">
        <f aca="false">Z4034*$M4034</f>
        <v>0</v>
      </c>
      <c r="AB4034" s="28"/>
      <c r="AC4034" s="28" t="n">
        <f aca="false">AB4034*$M4034</f>
        <v>0</v>
      </c>
      <c r="AD4034" s="28"/>
      <c r="AE4034" s="28" t="n">
        <f aca="false">AD4034*$M4034</f>
        <v>0</v>
      </c>
      <c r="AF4034" s="28"/>
      <c r="AG4034" s="28" t="n">
        <f aca="false">AF4034*$M4034</f>
        <v>0</v>
      </c>
      <c r="AH4034" s="28"/>
      <c r="AI4034" s="28" t="n">
        <f aca="false">AH4034*$M4034</f>
        <v>0</v>
      </c>
      <c r="AJ4034" s="28" t="n">
        <f aca="false">168254/100</f>
        <v>1682.54</v>
      </c>
      <c r="AK4034" s="28" t="n">
        <v>45428</v>
      </c>
      <c r="AL4034" s="28"/>
      <c r="AM4034" s="28" t="n">
        <f aca="false">AL4034*$M4034</f>
        <v>0</v>
      </c>
      <c r="AN4034" s="28"/>
      <c r="AO4034" s="28" t="n">
        <f aca="false">AN4034*$M4034</f>
        <v>0</v>
      </c>
      <c r="AP4034" s="28"/>
      <c r="AQ4034" s="28" t="n">
        <f aca="false">AP4034*$M4034</f>
        <v>0</v>
      </c>
      <c r="AR4034" s="28"/>
      <c r="AS4034" s="28" t="n">
        <f aca="false">AR4034*$M4034</f>
        <v>0</v>
      </c>
      <c r="AT4034" s="28"/>
      <c r="AU4034" s="28" t="n">
        <f aca="false">AT4034*$M4034</f>
        <v>0</v>
      </c>
      <c r="AV4034" s="28"/>
      <c r="AW4034" s="28" t="n">
        <f aca="false">AV4034*$M4034</f>
        <v>0</v>
      </c>
      <c r="AX4034" s="28"/>
      <c r="AY4034" s="28" t="n">
        <f aca="false">AX4034*$M4034</f>
        <v>0</v>
      </c>
      <c r="AZ4034" s="30" t="n">
        <f aca="false">168254/100</f>
        <v>1682.54</v>
      </c>
      <c r="BA4034" s="11" t="n">
        <v>45428</v>
      </c>
      <c r="BB4034" s="31" t="n">
        <f aca="false">SUM(Q4034,S4034,U4034,W4034,Y4034,AA4034,AC4034,AE4034,AG4034,AI4034,AK4034,AM4034,AO4034,AQ4034,AS4034,AU4034,AW4034,AY4034)</f>
        <v>45428</v>
      </c>
      <c r="BC4034" s="28" t="n">
        <f aca="false">BA4034-BB4034</f>
        <v>0</v>
      </c>
      <c r="BD4034" s="32" t="n">
        <f aca="false">SUM(P4034,R4034,T4034,V4034,X4034,Z4034,AB4034,AD4034,AF4034,AH4034,AJ4034,AL4034,AN4034,AP4034,AR4034,AT4034,AV4034,AX4034)</f>
        <v>1682.54</v>
      </c>
      <c r="BE4034" s="33" t="n">
        <f aca="false">AZ4034-BD4034</f>
        <v>0</v>
      </c>
      <c r="BF4034" s="34" t="n">
        <f aca="false">BD4034*M4034</f>
        <v>45428.58</v>
      </c>
      <c r="BG4034" s="35" t="n">
        <f aca="false">BA4034-BF4034</f>
        <v>-0.580000000001746</v>
      </c>
      <c r="BH4034" s="19" t="str">
        <f aca="false">IF(BG4034=0,"",IF(BG4034&lt;&gt;BA4034,"erreur de calcul",IF(BD4034&lt;&gt;0,"pas de prix",IF(M4034&lt;&gt; 0,"pas de quantité","pas de prix, ni de quantité"))))</f>
        <v>erreur de calcul</v>
      </c>
      <c r="BI4034" s="19"/>
    </row>
    <row r="4035" customFormat="false" ht="15" hidden="false" customHeight="false" outlineLevel="0" collapsed="false">
      <c r="A4035" s="0" t="n">
        <v>8</v>
      </c>
      <c r="B4035" s="8" t="s">
        <v>24</v>
      </c>
      <c r="C4035" s="9" t="s">
        <v>25</v>
      </c>
      <c r="D4035" s="9" t="s">
        <v>26</v>
      </c>
      <c r="E4035" s="10" t="n">
        <v>1789</v>
      </c>
      <c r="F4035" s="9" t="s">
        <v>27</v>
      </c>
      <c r="G4035" s="9" t="s">
        <v>27</v>
      </c>
      <c r="H4035" s="11" t="n">
        <v>23</v>
      </c>
      <c r="I4035" s="11" t="s">
        <v>250</v>
      </c>
      <c r="J4035" s="14" t="n">
        <v>27</v>
      </c>
      <c r="K4035" s="14"/>
      <c r="L4035" s="16"/>
      <c r="M4035" s="27" t="n">
        <f aca="false">J4035+(K4035/20)+(L4035/240)</f>
        <v>27</v>
      </c>
      <c r="N4035" s="17" t="s">
        <v>64</v>
      </c>
      <c r="O4035" s="11"/>
      <c r="P4035" s="28"/>
      <c r="Q4035" s="28" t="n">
        <f aca="false">P4035*$M4035</f>
        <v>0</v>
      </c>
      <c r="R4035" s="28"/>
      <c r="S4035" s="28" t="n">
        <f aca="false">R4035*$M4035</f>
        <v>0</v>
      </c>
      <c r="T4035" s="28"/>
      <c r="U4035" s="28" t="n">
        <f aca="false">T4035*$M4035</f>
        <v>0</v>
      </c>
      <c r="V4035" s="28"/>
      <c r="W4035" s="28" t="n">
        <f aca="false">V4035*$M4035</f>
        <v>0</v>
      </c>
      <c r="X4035" s="28"/>
      <c r="Y4035" s="28" t="n">
        <f aca="false">X4035*$M4035</f>
        <v>0</v>
      </c>
      <c r="Z4035" s="28"/>
      <c r="AA4035" s="28" t="n">
        <f aca="false">Z4035*$M4035</f>
        <v>0</v>
      </c>
      <c r="AB4035" s="28"/>
      <c r="AC4035" s="28" t="n">
        <f aca="false">AB4035*$M4035</f>
        <v>0</v>
      </c>
      <c r="AD4035" s="28"/>
      <c r="AE4035" s="28" t="n">
        <f aca="false">AD4035*$M4035</f>
        <v>0</v>
      </c>
      <c r="AF4035" s="28"/>
      <c r="AG4035" s="28" t="n">
        <f aca="false">AF4035*$M4035</f>
        <v>0</v>
      </c>
      <c r="AH4035" s="28"/>
      <c r="AI4035" s="28" t="n">
        <f aca="false">AH4035*$M4035</f>
        <v>0</v>
      </c>
      <c r="AJ4035" s="28"/>
      <c r="AK4035" s="28" t="n">
        <f aca="false">AJ4035*$M4035</f>
        <v>0</v>
      </c>
      <c r="AL4035" s="28" t="n">
        <f aca="false">4108/100</f>
        <v>41.08</v>
      </c>
      <c r="AM4035" s="28" t="n">
        <v>1109</v>
      </c>
      <c r="AN4035" s="28"/>
      <c r="AO4035" s="28" t="n">
        <f aca="false">AN4035*$M4035</f>
        <v>0</v>
      </c>
      <c r="AP4035" s="28"/>
      <c r="AQ4035" s="28" t="n">
        <f aca="false">AP4035*$M4035</f>
        <v>0</v>
      </c>
      <c r="AR4035" s="28" t="n">
        <f aca="false">37084/100</f>
        <v>370.84</v>
      </c>
      <c r="AS4035" s="36" t="n">
        <v>9963</v>
      </c>
      <c r="AT4035" s="28"/>
      <c r="AU4035" s="28" t="n">
        <f aca="false">AT4035*$M4035</f>
        <v>0</v>
      </c>
      <c r="AV4035" s="28"/>
      <c r="AW4035" s="28" t="n">
        <f aca="false">AV4035*$M4035</f>
        <v>0</v>
      </c>
      <c r="AX4035" s="28"/>
      <c r="AY4035" s="28" t="n">
        <f aca="false">AX4035*$M4035</f>
        <v>0</v>
      </c>
      <c r="AZ4035" s="30" t="n">
        <f aca="false">41192/100</f>
        <v>411.92</v>
      </c>
      <c r="BA4035" s="11" t="n">
        <v>11072</v>
      </c>
      <c r="BB4035" s="31" t="n">
        <f aca="false">SUM(Q4035,S4035,U4035,W4035,Y4035,AA4035,AC4035,AE4035,AG4035,AI4035,AK4035,AM4035,AO4035,AQ4035,AS4035,AU4035,AW4035,AY4035)</f>
        <v>11072</v>
      </c>
      <c r="BC4035" s="28" t="n">
        <f aca="false">BA4035-BB4035</f>
        <v>0</v>
      </c>
      <c r="BD4035" s="32" t="n">
        <f aca="false">SUM(P4035,R4035,T4035,V4035,X4035,Z4035,AB4035,AD4035,AF4035,AH4035,AJ4035,AL4035,AN4035,AP4035,AR4035,AT4035,AV4035,AX4035)</f>
        <v>411.92</v>
      </c>
      <c r="BE4035" s="33" t="n">
        <f aca="false">AZ4035-BD4035</f>
        <v>0</v>
      </c>
      <c r="BF4035" s="34" t="n">
        <f aca="false">BD4035*M4035</f>
        <v>11121.84</v>
      </c>
      <c r="BG4035" s="35" t="n">
        <f aca="false">BA4035-BF4035</f>
        <v>-49.8399999999983</v>
      </c>
      <c r="BH4035" s="19" t="str">
        <f aca="false">IF(BG4035=0,"",IF(BG4035&lt;&gt;BA4035,"erreur de calcul",IF(BD4035&lt;&gt;0,"pas de prix",IF(M4035&lt;&gt; 0,"pas de quantité","pas de prix, ni de quantité"))))</f>
        <v>erreur de calcul</v>
      </c>
      <c r="BI4035" s="19"/>
    </row>
    <row r="4036" customFormat="false" ht="15" hidden="false" customHeight="false" outlineLevel="0" collapsed="false">
      <c r="A4036" s="0" t="n">
        <v>9</v>
      </c>
      <c r="B4036" s="8" t="s">
        <v>24</v>
      </c>
      <c r="C4036" s="9" t="s">
        <v>25</v>
      </c>
      <c r="D4036" s="9" t="s">
        <v>26</v>
      </c>
      <c r="E4036" s="10" t="n">
        <v>1789</v>
      </c>
      <c r="F4036" s="9" t="s">
        <v>27</v>
      </c>
      <c r="G4036" s="9" t="s">
        <v>27</v>
      </c>
      <c r="H4036" s="11" t="n">
        <v>23</v>
      </c>
      <c r="I4036" s="11" t="s">
        <v>251</v>
      </c>
      <c r="J4036" s="14" t="n">
        <v>6</v>
      </c>
      <c r="K4036" s="14"/>
      <c r="L4036" s="16"/>
      <c r="M4036" s="27" t="n">
        <f aca="false">J4036+(K4036/20)+(L4036/240)</f>
        <v>6</v>
      </c>
      <c r="N4036" s="17" t="s">
        <v>64</v>
      </c>
      <c r="O4036" s="11"/>
      <c r="P4036" s="28"/>
      <c r="Q4036" s="28" t="n">
        <f aca="false">P4036*$M4036</f>
        <v>0</v>
      </c>
      <c r="R4036" s="28"/>
      <c r="S4036" s="28" t="n">
        <f aca="false">R4036*$M4036</f>
        <v>0</v>
      </c>
      <c r="T4036" s="28"/>
      <c r="U4036" s="28" t="n">
        <f aca="false">T4036*$M4036</f>
        <v>0</v>
      </c>
      <c r="V4036" s="28"/>
      <c r="W4036" s="28" t="n">
        <f aca="false">V4036*$M4036</f>
        <v>0</v>
      </c>
      <c r="X4036" s="28"/>
      <c r="Y4036" s="28" t="n">
        <f aca="false">X4036*$M4036</f>
        <v>0</v>
      </c>
      <c r="Z4036" s="28"/>
      <c r="AA4036" s="28" t="n">
        <f aca="false">Z4036*$M4036</f>
        <v>0</v>
      </c>
      <c r="AB4036" s="28"/>
      <c r="AC4036" s="28" t="n">
        <f aca="false">AB4036*$M4036</f>
        <v>0</v>
      </c>
      <c r="AD4036" s="28"/>
      <c r="AE4036" s="28" t="n">
        <f aca="false">AD4036*$M4036</f>
        <v>0</v>
      </c>
      <c r="AF4036" s="28"/>
      <c r="AG4036" s="28" t="n">
        <f aca="false">AF4036*$M4036</f>
        <v>0</v>
      </c>
      <c r="AH4036" s="28"/>
      <c r="AI4036" s="28" t="n">
        <f aca="false">AH4036*$M4036</f>
        <v>0</v>
      </c>
      <c r="AJ4036" s="28"/>
      <c r="AK4036" s="28" t="n">
        <f aca="false">AJ4036*$M4036</f>
        <v>0</v>
      </c>
      <c r="AL4036" s="28"/>
      <c r="AM4036" s="28" t="n">
        <f aca="false">AL4036*$M4036</f>
        <v>0</v>
      </c>
      <c r="AN4036" s="28"/>
      <c r="AO4036" s="28" t="n">
        <f aca="false">AN4036*$M4036</f>
        <v>0</v>
      </c>
      <c r="AP4036" s="28"/>
      <c r="AQ4036" s="28" t="n">
        <f aca="false">AP4036*$M4036</f>
        <v>0</v>
      </c>
      <c r="AR4036" s="28"/>
      <c r="AS4036" s="28" t="n">
        <f aca="false">AR4036*$M4036</f>
        <v>0</v>
      </c>
      <c r="AT4036" s="28"/>
      <c r="AU4036" s="28" t="n">
        <f aca="false">AT4036*$M4036</f>
        <v>0</v>
      </c>
      <c r="AV4036" s="28"/>
      <c r="AW4036" s="28" t="n">
        <f aca="false">AV4036*$M4036</f>
        <v>0</v>
      </c>
      <c r="AX4036" s="28"/>
      <c r="AY4036" s="28" t="n">
        <f aca="false">AX4036*$M4036</f>
        <v>0</v>
      </c>
      <c r="AZ4036" s="30"/>
      <c r="BA4036" s="11"/>
      <c r="BB4036" s="31" t="n">
        <f aca="false">SUM(Q4036,S4036,U4036,W4036,Y4036,AA4036,AC4036,AE4036,AG4036,AI4036,AK4036,AM4036,AO4036,AQ4036,AS4036,AU4036,AW4036,AY4036)</f>
        <v>0</v>
      </c>
      <c r="BC4036" s="28" t="n">
        <f aca="false">BA4036-BB4036</f>
        <v>0</v>
      </c>
      <c r="BD4036" s="32" t="n">
        <f aca="false">SUM(P4036,R4036,T4036,V4036,X4036,Z4036,AB4036,AD4036,AF4036,AH4036,AJ4036,AL4036,AN4036,AP4036,AR4036,AT4036,AV4036,AX4036)</f>
        <v>0</v>
      </c>
      <c r="BE4036" s="33" t="n">
        <f aca="false">AZ4036-BD4036</f>
        <v>0</v>
      </c>
      <c r="BF4036" s="34" t="n">
        <f aca="false">BD4036*M4036</f>
        <v>0</v>
      </c>
      <c r="BG4036" s="35" t="n">
        <f aca="false">BA4036-BF4036</f>
        <v>0</v>
      </c>
      <c r="BH4036" s="19" t="str">
        <f aca="false">IF(BG4036=0,"",IF(BG4036&lt;&gt;BA4036,"erreur de calcul",IF(BD4036&lt;&gt;0,"pas de prix",IF(M4036&lt;&gt; 0,"pas de quantité","pas de prix, ni de quantité"))))</f>
        <v/>
      </c>
      <c r="BI4036" s="19"/>
    </row>
    <row r="4037" customFormat="false" ht="15" hidden="false" customHeight="false" outlineLevel="0" collapsed="false">
      <c r="A4037" s="0" t="n">
        <v>10</v>
      </c>
      <c r="B4037" s="8" t="s">
        <v>24</v>
      </c>
      <c r="C4037" s="9" t="s">
        <v>25</v>
      </c>
      <c r="D4037" s="9" t="s">
        <v>26</v>
      </c>
      <c r="E4037" s="10" t="n">
        <v>1789</v>
      </c>
      <c r="F4037" s="9" t="s">
        <v>27</v>
      </c>
      <c r="G4037" s="9" t="s">
        <v>27</v>
      </c>
      <c r="H4037" s="11" t="n">
        <v>23</v>
      </c>
      <c r="I4037" s="11" t="s">
        <v>252</v>
      </c>
      <c r="J4037" s="14" t="n">
        <v>240</v>
      </c>
      <c r="K4037" s="14"/>
      <c r="L4037" s="16"/>
      <c r="M4037" s="27" t="n">
        <f aca="false">J4037+(K4037/20)+(L4037/240)</f>
        <v>240</v>
      </c>
      <c r="N4037" s="17" t="s">
        <v>64</v>
      </c>
      <c r="O4037" s="11"/>
      <c r="P4037" s="28"/>
      <c r="Q4037" s="28" t="n">
        <f aca="false">P4037*$M4037</f>
        <v>0</v>
      </c>
      <c r="R4037" s="28"/>
      <c r="S4037" s="28" t="n">
        <f aca="false">R4037*$M4037</f>
        <v>0</v>
      </c>
      <c r="T4037" s="28" t="n">
        <f aca="false">4204/100</f>
        <v>42.04</v>
      </c>
      <c r="U4037" s="28" t="n">
        <v>10090</v>
      </c>
      <c r="V4037" s="28" t="n">
        <f aca="false">2799/100</f>
        <v>27.99</v>
      </c>
      <c r="W4037" s="28" t="n">
        <v>6718</v>
      </c>
      <c r="X4037" s="28" t="n">
        <f aca="false">2536/100</f>
        <v>25.36</v>
      </c>
      <c r="Y4037" s="28" t="n">
        <v>6086</v>
      </c>
      <c r="Z4037" s="28" t="n">
        <f aca="false">3393/100</f>
        <v>33.93</v>
      </c>
      <c r="AA4037" s="28" t="n">
        <v>8143</v>
      </c>
      <c r="AB4037" s="28" t="n">
        <f aca="false">242/100</f>
        <v>2.42</v>
      </c>
      <c r="AC4037" s="28" t="n">
        <v>581</v>
      </c>
      <c r="AD4037" s="28"/>
      <c r="AE4037" s="28" t="n">
        <f aca="false">AD4037*$M4037</f>
        <v>0</v>
      </c>
      <c r="AF4037" s="28"/>
      <c r="AG4037" s="28" t="n">
        <f aca="false">AF4037*$M4037</f>
        <v>0</v>
      </c>
      <c r="AH4037" s="28"/>
      <c r="AI4037" s="28" t="n">
        <f aca="false">AH4037*$M4037</f>
        <v>0</v>
      </c>
      <c r="AJ4037" s="28"/>
      <c r="AK4037" s="28" t="n">
        <f aca="false">AJ4037*$M4037</f>
        <v>0</v>
      </c>
      <c r="AL4037" s="28"/>
      <c r="AM4037" s="28" t="n">
        <f aca="false">AL4037*$M4037</f>
        <v>0</v>
      </c>
      <c r="AN4037" s="28"/>
      <c r="AO4037" s="28" t="n">
        <f aca="false">AN4037*$M4037</f>
        <v>0</v>
      </c>
      <c r="AP4037" s="28"/>
      <c r="AQ4037" s="28" t="n">
        <f aca="false">AP4037*$M4037</f>
        <v>0</v>
      </c>
      <c r="AR4037" s="28"/>
      <c r="AS4037" s="28" t="n">
        <f aca="false">AR4037*$M4037</f>
        <v>0</v>
      </c>
      <c r="AT4037" s="28"/>
      <c r="AU4037" s="28" t="n">
        <f aca="false">AT4037*$M4037</f>
        <v>0</v>
      </c>
      <c r="AV4037" s="28"/>
      <c r="AW4037" s="28" t="n">
        <f aca="false">AV4037*$M4037</f>
        <v>0</v>
      </c>
      <c r="AX4037" s="28"/>
      <c r="AY4037" s="28" t="n">
        <f aca="false">AX4037*$M4037</f>
        <v>0</v>
      </c>
      <c r="AZ4037" s="30" t="n">
        <f aca="false">13174/100</f>
        <v>131.74</v>
      </c>
      <c r="BA4037" s="11" t="n">
        <v>31618</v>
      </c>
      <c r="BB4037" s="31" t="n">
        <f aca="false">SUM(Q4037,S4037,U4037,W4037,Y4037,AA4037,AC4037,AE4037,AG4037,AI4037,AK4037,AM4037,AO4037,AQ4037,AS4037,AU4037,AW4037,AY4037)</f>
        <v>31618</v>
      </c>
      <c r="BC4037" s="28" t="n">
        <f aca="false">BA4037-BB4037</f>
        <v>0</v>
      </c>
      <c r="BD4037" s="32" t="n">
        <f aca="false">SUM(P4037,R4037,T4037,V4037,X4037,Z4037,AB4037,AD4037,AF4037,AH4037,AJ4037,AL4037,AN4037,AP4037,AR4037,AT4037,AV4037,AX4037)</f>
        <v>131.74</v>
      </c>
      <c r="BE4037" s="33" t="n">
        <f aca="false">AZ4037-BD4037</f>
        <v>0</v>
      </c>
      <c r="BF4037" s="34" t="n">
        <f aca="false">BD4037*M4037</f>
        <v>31617.6</v>
      </c>
      <c r="BG4037" s="35" t="n">
        <f aca="false">BA4037-BF4037</f>
        <v>0.399999999997817</v>
      </c>
      <c r="BH4037" s="19" t="str">
        <f aca="false">IF(BG4037=0,"",IF(BG4037&lt;&gt;BA4037,"erreur de calcul",IF(BD4037&lt;&gt;0,"pas de prix",IF(M4037&lt;&gt; 0,"pas de quantité","pas de prix, ni de quantité"))))</f>
        <v>erreur de calcul</v>
      </c>
      <c r="BI4037" s="19"/>
    </row>
    <row r="4038" customFormat="false" ht="15" hidden="false" customHeight="false" outlineLevel="0" collapsed="false">
      <c r="A4038" s="0" t="n">
        <v>11</v>
      </c>
      <c r="B4038" s="8" t="s">
        <v>24</v>
      </c>
      <c r="C4038" s="9" t="s">
        <v>25</v>
      </c>
      <c r="D4038" s="9" t="s">
        <v>26</v>
      </c>
      <c r="E4038" s="10" t="n">
        <v>1789</v>
      </c>
      <c r="F4038" s="9" t="s">
        <v>27</v>
      </c>
      <c r="G4038" s="9" t="s">
        <v>27</v>
      </c>
      <c r="H4038" s="11" t="n">
        <v>23</v>
      </c>
      <c r="I4038" s="11" t="s">
        <v>253</v>
      </c>
      <c r="J4038" s="14" t="n">
        <v>190</v>
      </c>
      <c r="K4038" s="14"/>
      <c r="L4038" s="16"/>
      <c r="M4038" s="27" t="n">
        <f aca="false">J4038+(K4038/20)+(L4038/240)</f>
        <v>190</v>
      </c>
      <c r="N4038" s="17" t="s">
        <v>64</v>
      </c>
      <c r="O4038" s="11"/>
      <c r="P4038" s="28"/>
      <c r="Q4038" s="28" t="n">
        <f aca="false">P4038*$M4038</f>
        <v>0</v>
      </c>
      <c r="R4038" s="28"/>
      <c r="S4038" s="28" t="n">
        <f aca="false">R4038*$M4038</f>
        <v>0</v>
      </c>
      <c r="T4038" s="28"/>
      <c r="U4038" s="28" t="n">
        <f aca="false">T4038*$M4038</f>
        <v>0</v>
      </c>
      <c r="V4038" s="28" t="n">
        <f aca="false">14963/100</f>
        <v>149.63</v>
      </c>
      <c r="W4038" s="36" t="n">
        <v>28420</v>
      </c>
      <c r="X4038" s="28"/>
      <c r="Y4038" s="28" t="n">
        <f aca="false">X4038*$M4038</f>
        <v>0</v>
      </c>
      <c r="Z4038" s="28"/>
      <c r="AA4038" s="28" t="n">
        <f aca="false">Z4038*$M4038</f>
        <v>0</v>
      </c>
      <c r="AB4038" s="28"/>
      <c r="AC4038" s="28" t="n">
        <f aca="false">AB4038*$M4038</f>
        <v>0</v>
      </c>
      <c r="AD4038" s="28"/>
      <c r="AE4038" s="28" t="n">
        <f aca="false">AD4038*$M4038</f>
        <v>0</v>
      </c>
      <c r="AF4038" s="28"/>
      <c r="AG4038" s="28" t="n">
        <f aca="false">AF4038*$M4038</f>
        <v>0</v>
      </c>
      <c r="AH4038" s="28"/>
      <c r="AI4038" s="28" t="n">
        <f aca="false">AH4038*$M4038</f>
        <v>0</v>
      </c>
      <c r="AJ4038" s="28"/>
      <c r="AK4038" s="28" t="n">
        <f aca="false">AJ4038*$M4038</f>
        <v>0</v>
      </c>
      <c r="AL4038" s="28"/>
      <c r="AM4038" s="28" t="n">
        <f aca="false">AL4038*$M4038</f>
        <v>0</v>
      </c>
      <c r="AN4038" s="28"/>
      <c r="AO4038" s="28" t="n">
        <f aca="false">AN4038*$M4038</f>
        <v>0</v>
      </c>
      <c r="AP4038" s="28"/>
      <c r="AQ4038" s="28" t="n">
        <f aca="false">AP4038*$M4038</f>
        <v>0</v>
      </c>
      <c r="AR4038" s="28"/>
      <c r="AS4038" s="28" t="n">
        <f aca="false">AR4038*$M4038</f>
        <v>0</v>
      </c>
      <c r="AT4038" s="28"/>
      <c r="AU4038" s="28" t="n">
        <f aca="false">AT4038*$M4038</f>
        <v>0</v>
      </c>
      <c r="AV4038" s="28"/>
      <c r="AW4038" s="28" t="n">
        <f aca="false">AV4038*$M4038</f>
        <v>0</v>
      </c>
      <c r="AX4038" s="28"/>
      <c r="AY4038" s="28" t="n">
        <f aca="false">AX4038*$M4038</f>
        <v>0</v>
      </c>
      <c r="AZ4038" s="30" t="n">
        <f aca="false">14963/100</f>
        <v>149.63</v>
      </c>
      <c r="BA4038" s="11" t="n">
        <v>28420</v>
      </c>
      <c r="BB4038" s="31" t="n">
        <f aca="false">SUM(Q4038,S4038,U4038,W4038,Y4038,AA4038,AC4038,AE4038,AG4038,AI4038,AK4038,AM4038,AO4038,AQ4038,AS4038,AU4038,AW4038,AY4038)</f>
        <v>28420</v>
      </c>
      <c r="BC4038" s="28" t="n">
        <f aca="false">BA4038-BB4038</f>
        <v>0</v>
      </c>
      <c r="BD4038" s="32" t="n">
        <f aca="false">SUM(P4038,R4038,T4038,V4038,X4038,Z4038,AB4038,AD4038,AF4038,AH4038,AJ4038,AL4038,AN4038,AP4038,AR4038,AT4038,AV4038,AX4038)</f>
        <v>149.63</v>
      </c>
      <c r="BE4038" s="33" t="n">
        <f aca="false">AZ4038-BD4038</f>
        <v>0</v>
      </c>
      <c r="BF4038" s="34" t="n">
        <f aca="false">BD4038*M4038</f>
        <v>28429.7</v>
      </c>
      <c r="BG4038" s="35" t="n">
        <f aca="false">BA4038-BF4038</f>
        <v>-9.70000000000073</v>
      </c>
      <c r="BH4038" s="19" t="str">
        <f aca="false">IF(BG4038=0,"",IF(BG4038&lt;&gt;BA4038,"erreur de calcul",IF(BD4038&lt;&gt;0,"pas de prix",IF(M4038&lt;&gt; 0,"pas de quantité","pas de prix, ni de quantité"))))</f>
        <v>erreur de calcul</v>
      </c>
      <c r="BI4038" s="19"/>
    </row>
    <row r="4039" customFormat="false" ht="15" hidden="false" customHeight="false" outlineLevel="0" collapsed="false">
      <c r="A4039" s="0" t="n">
        <v>12</v>
      </c>
      <c r="B4039" s="8" t="s">
        <v>24</v>
      </c>
      <c r="C4039" s="9" t="s">
        <v>25</v>
      </c>
      <c r="D4039" s="9" t="s">
        <v>26</v>
      </c>
      <c r="E4039" s="10" t="n">
        <v>1789</v>
      </c>
      <c r="F4039" s="9" t="s">
        <v>27</v>
      </c>
      <c r="G4039" s="9" t="s">
        <v>27</v>
      </c>
      <c r="H4039" s="11" t="n">
        <v>23</v>
      </c>
      <c r="I4039" s="11" t="s">
        <v>254</v>
      </c>
      <c r="J4039" s="14" t="n">
        <v>14</v>
      </c>
      <c r="K4039" s="14"/>
      <c r="L4039" s="16"/>
      <c r="M4039" s="27" t="n">
        <f aca="false">J4039+(K4039/20)+(L4039/240)</f>
        <v>14</v>
      </c>
      <c r="N4039" s="17" t="s">
        <v>64</v>
      </c>
      <c r="O4039" s="11"/>
      <c r="P4039" s="28"/>
      <c r="Q4039" s="28" t="n">
        <f aca="false">P4039*$M4039</f>
        <v>0</v>
      </c>
      <c r="R4039" s="28"/>
      <c r="S4039" s="28" t="n">
        <f aca="false">R4039*$M4039</f>
        <v>0</v>
      </c>
      <c r="T4039" s="28"/>
      <c r="U4039" s="28" t="n">
        <f aca="false">T4039*$M4039</f>
        <v>0</v>
      </c>
      <c r="V4039" s="28"/>
      <c r="W4039" s="28" t="n">
        <f aca="false">V4039*$M4039</f>
        <v>0</v>
      </c>
      <c r="X4039" s="28" t="n">
        <f aca="false">445483/100</f>
        <v>4454.83</v>
      </c>
      <c r="Y4039" s="28" t="n">
        <v>62368</v>
      </c>
      <c r="Z4039" s="28"/>
      <c r="AA4039" s="28" t="n">
        <f aca="false">Z4039*$M4039</f>
        <v>0</v>
      </c>
      <c r="AB4039" s="28"/>
      <c r="AC4039" s="28" t="n">
        <f aca="false">AB4039*$M4039</f>
        <v>0</v>
      </c>
      <c r="AD4039" s="28"/>
      <c r="AE4039" s="28" t="n">
        <f aca="false">AD4039*$M4039</f>
        <v>0</v>
      </c>
      <c r="AF4039" s="28"/>
      <c r="AG4039" s="28" t="n">
        <f aca="false">AF4039*$M4039</f>
        <v>0</v>
      </c>
      <c r="AH4039" s="28"/>
      <c r="AI4039" s="28" t="n">
        <f aca="false">AH4039*$M4039</f>
        <v>0</v>
      </c>
      <c r="AJ4039" s="28"/>
      <c r="AK4039" s="28" t="n">
        <f aca="false">AJ4039*$M4039</f>
        <v>0</v>
      </c>
      <c r="AL4039" s="28"/>
      <c r="AM4039" s="28" t="n">
        <f aca="false">AL4039*$M4039</f>
        <v>0</v>
      </c>
      <c r="AN4039" s="28"/>
      <c r="AO4039" s="28" t="n">
        <f aca="false">AN4039*$M4039</f>
        <v>0</v>
      </c>
      <c r="AP4039" s="28"/>
      <c r="AQ4039" s="28" t="n">
        <f aca="false">AP4039*$M4039</f>
        <v>0</v>
      </c>
      <c r="AR4039" s="28"/>
      <c r="AS4039" s="28" t="n">
        <f aca="false">AR4039*$M4039</f>
        <v>0</v>
      </c>
      <c r="AT4039" s="28"/>
      <c r="AU4039" s="28" t="n">
        <f aca="false">AT4039*$M4039</f>
        <v>0</v>
      </c>
      <c r="AV4039" s="28"/>
      <c r="AW4039" s="28" t="n">
        <f aca="false">AV4039*$M4039</f>
        <v>0</v>
      </c>
      <c r="AX4039" s="28"/>
      <c r="AY4039" s="28" t="n">
        <f aca="false">AX4039*$M4039</f>
        <v>0</v>
      </c>
      <c r="AZ4039" s="30" t="n">
        <f aca="false">445483/100</f>
        <v>4454.83</v>
      </c>
      <c r="BA4039" s="11" t="n">
        <v>62368</v>
      </c>
      <c r="BB4039" s="31" t="n">
        <f aca="false">SUM(Q4039,S4039,U4039,W4039,Y4039,AA4039,AC4039,AE4039,AG4039,AI4039,AK4039,AM4039,AO4039,AQ4039,AS4039,AU4039,AW4039,AY4039)</f>
        <v>62368</v>
      </c>
      <c r="BC4039" s="28" t="n">
        <f aca="false">BA4039-BB4039</f>
        <v>0</v>
      </c>
      <c r="BD4039" s="32" t="n">
        <f aca="false">SUM(P4039,R4039,T4039,V4039,X4039,Z4039,AB4039,AD4039,AF4039,AH4039,AJ4039,AL4039,AN4039,AP4039,AR4039,AT4039,AV4039,AX4039)</f>
        <v>4454.83</v>
      </c>
      <c r="BE4039" s="33" t="n">
        <f aca="false">AZ4039-BD4039</f>
        <v>0</v>
      </c>
      <c r="BF4039" s="34" t="n">
        <f aca="false">BD4039*M4039</f>
        <v>62367.62</v>
      </c>
      <c r="BG4039" s="35" t="n">
        <f aca="false">BA4039-BF4039</f>
        <v>0.380000000004657</v>
      </c>
      <c r="BH4039" s="19" t="str">
        <f aca="false">IF(BG4039=0,"",IF(BG4039&lt;&gt;BA4039,"erreur de calcul",IF(BD4039&lt;&gt;0,"pas de prix",IF(M4039&lt;&gt; 0,"pas de quantité","pas de prix, ni de quantité"))))</f>
        <v>erreur de calcul</v>
      </c>
      <c r="BI4039" s="19"/>
    </row>
    <row r="4040" customFormat="false" ht="15" hidden="false" customHeight="false" outlineLevel="0" collapsed="false">
      <c r="A4040" s="0" t="n">
        <v>13</v>
      </c>
      <c r="B4040" s="8" t="s">
        <v>24</v>
      </c>
      <c r="C4040" s="9" t="s">
        <v>25</v>
      </c>
      <c r="D4040" s="9" t="s">
        <v>26</v>
      </c>
      <c r="E4040" s="10" t="n">
        <v>1789</v>
      </c>
      <c r="F4040" s="9" t="s">
        <v>27</v>
      </c>
      <c r="G4040" s="9" t="s">
        <v>27</v>
      </c>
      <c r="H4040" s="11" t="n">
        <v>23</v>
      </c>
      <c r="I4040" s="11" t="s">
        <v>255</v>
      </c>
      <c r="J4040" s="14" t="n">
        <v>6</v>
      </c>
      <c r="K4040" s="14"/>
      <c r="L4040" s="16"/>
      <c r="M4040" s="27" t="n">
        <f aca="false">J4040+(K4040/20)+(L4040/240)</f>
        <v>6</v>
      </c>
      <c r="N4040" s="17" t="s">
        <v>64</v>
      </c>
      <c r="O4040" s="11"/>
      <c r="P4040" s="28"/>
      <c r="Q4040" s="28" t="n">
        <f aca="false">P4040*$M4040</f>
        <v>0</v>
      </c>
      <c r="R4040" s="28"/>
      <c r="S4040" s="28" t="n">
        <f aca="false">R4040*$M4040</f>
        <v>0</v>
      </c>
      <c r="T4040" s="28"/>
      <c r="U4040" s="28" t="n">
        <f aca="false">T4040*$M4040</f>
        <v>0</v>
      </c>
      <c r="V4040" s="28" t="n">
        <f aca="false">8263/100</f>
        <v>82.63</v>
      </c>
      <c r="W4040" s="28" t="n">
        <v>496</v>
      </c>
      <c r="X4040" s="28"/>
      <c r="Y4040" s="28" t="n">
        <f aca="false">X4040*$M4040</f>
        <v>0</v>
      </c>
      <c r="Z4040" s="28" t="n">
        <f aca="false">62695/100</f>
        <v>626.95</v>
      </c>
      <c r="AA4040" s="28" t="n">
        <v>3762</v>
      </c>
      <c r="AB4040" s="28"/>
      <c r="AC4040" s="28" t="n">
        <f aca="false">AB4040*$M4040</f>
        <v>0</v>
      </c>
      <c r="AD4040" s="28"/>
      <c r="AE4040" s="28" t="n">
        <f aca="false">AD4040*$M4040</f>
        <v>0</v>
      </c>
      <c r="AF4040" s="28"/>
      <c r="AG4040" s="28" t="n">
        <f aca="false">AF4040*$M4040</f>
        <v>0</v>
      </c>
      <c r="AH4040" s="28"/>
      <c r="AI4040" s="28" t="n">
        <f aca="false">AH4040*$M4040</f>
        <v>0</v>
      </c>
      <c r="AJ4040" s="28"/>
      <c r="AK4040" s="28" t="n">
        <f aca="false">AJ4040*$M4040</f>
        <v>0</v>
      </c>
      <c r="AL4040" s="28"/>
      <c r="AM4040" s="28" t="n">
        <f aca="false">AL4040*$M4040</f>
        <v>0</v>
      </c>
      <c r="AN4040" s="28"/>
      <c r="AO4040" s="28" t="n">
        <f aca="false">AN4040*$M4040</f>
        <v>0</v>
      </c>
      <c r="AP4040" s="28"/>
      <c r="AQ4040" s="28" t="n">
        <f aca="false">AP4040*$M4040</f>
        <v>0</v>
      </c>
      <c r="AR4040" s="28"/>
      <c r="AS4040" s="28" t="n">
        <f aca="false">AR4040*$M4040</f>
        <v>0</v>
      </c>
      <c r="AT4040" s="28"/>
      <c r="AU4040" s="28" t="n">
        <f aca="false">AT4040*$M4040</f>
        <v>0</v>
      </c>
      <c r="AV4040" s="28"/>
      <c r="AW4040" s="28" t="n">
        <f aca="false">AV4040*$M4040</f>
        <v>0</v>
      </c>
      <c r="AX4040" s="28"/>
      <c r="AY4040" s="28" t="n">
        <f aca="false">AX4040*$M4040</f>
        <v>0</v>
      </c>
      <c r="AZ4040" s="30" t="n">
        <f aca="false">70958/100</f>
        <v>709.58</v>
      </c>
      <c r="BA4040" s="11" t="n">
        <v>4258</v>
      </c>
      <c r="BB4040" s="31" t="n">
        <f aca="false">SUM(Q4040,S4040,U4040,W4040,Y4040,AA4040,AC4040,AE4040,AG4040,AI4040,AK4040,AM4040,AO4040,AQ4040,AS4040,AU4040,AW4040,AY4040)</f>
        <v>4258</v>
      </c>
      <c r="BC4040" s="28" t="n">
        <f aca="false">BA4040-BB4040</f>
        <v>0</v>
      </c>
      <c r="BD4040" s="32" t="n">
        <f aca="false">SUM(P4040,R4040,T4040,V4040,X4040,Z4040,AB4040,AD4040,AF4040,AH4040,AJ4040,AL4040,AN4040,AP4040,AR4040,AT4040,AV4040,AX4040)</f>
        <v>709.58</v>
      </c>
      <c r="BE4040" s="33" t="n">
        <f aca="false">AZ4040-BD4040</f>
        <v>0</v>
      </c>
      <c r="BF4040" s="34" t="n">
        <f aca="false">BD4040*M4040</f>
        <v>4257.48</v>
      </c>
      <c r="BG4040" s="35" t="n">
        <f aca="false">BA4040-BF4040</f>
        <v>0.519999999999527</v>
      </c>
      <c r="BH4040" s="19" t="str">
        <f aca="false">IF(BG4040=0,"",IF(BG4040&lt;&gt;BA4040,"erreur de calcul",IF(BD4040&lt;&gt;0,"pas de prix",IF(M4040&lt;&gt; 0,"pas de quantité","pas de prix, ni de quantité"))))</f>
        <v>erreur de calcul</v>
      </c>
      <c r="BI4040" s="19"/>
    </row>
    <row r="4041" customFormat="false" ht="15" hidden="false" customHeight="false" outlineLevel="0" collapsed="false">
      <c r="A4041" s="0" t="n">
        <v>14</v>
      </c>
      <c r="B4041" s="8" t="s">
        <v>24</v>
      </c>
      <c r="C4041" s="9" t="s">
        <v>25</v>
      </c>
      <c r="D4041" s="9" t="s">
        <v>26</v>
      </c>
      <c r="E4041" s="10" t="n">
        <v>1789</v>
      </c>
      <c r="F4041" s="9" t="s">
        <v>27</v>
      </c>
      <c r="G4041" s="9" t="s">
        <v>27</v>
      </c>
      <c r="H4041" s="11" t="n">
        <v>23</v>
      </c>
      <c r="I4041" s="11" t="s">
        <v>256</v>
      </c>
      <c r="J4041" s="14" t="n">
        <v>30</v>
      </c>
      <c r="K4041" s="14"/>
      <c r="L4041" s="16"/>
      <c r="M4041" s="27" t="n">
        <f aca="false">J4041+(K4041/20)+(L4041/240)</f>
        <v>30</v>
      </c>
      <c r="N4041" s="17" t="s">
        <v>64</v>
      </c>
      <c r="O4041" s="11"/>
      <c r="P4041" s="28" t="n">
        <f aca="false">1584/100</f>
        <v>15.84</v>
      </c>
      <c r="Q4041" s="28" t="n">
        <v>475</v>
      </c>
      <c r="R4041" s="28"/>
      <c r="S4041" s="28" t="n">
        <f aca="false">R4041*$M4041</f>
        <v>0</v>
      </c>
      <c r="T4041" s="28" t="n">
        <f aca="false">78834/100</f>
        <v>788.34</v>
      </c>
      <c r="U4041" s="28" t="n">
        <v>23650</v>
      </c>
      <c r="V4041" s="28"/>
      <c r="W4041" s="28" t="n">
        <f aca="false">V4041*$M4041</f>
        <v>0</v>
      </c>
      <c r="X4041" s="28"/>
      <c r="Y4041" s="28" t="n">
        <f aca="false">X4041*$M4041</f>
        <v>0</v>
      </c>
      <c r="Z4041" s="28"/>
      <c r="AA4041" s="28" t="n">
        <f aca="false">Z4041*$M4041</f>
        <v>0</v>
      </c>
      <c r="AB4041" s="28"/>
      <c r="AC4041" s="28" t="n">
        <f aca="false">AB4041*$M4041</f>
        <v>0</v>
      </c>
      <c r="AD4041" s="28"/>
      <c r="AE4041" s="28" t="n">
        <f aca="false">AD4041*$M4041</f>
        <v>0</v>
      </c>
      <c r="AF4041" s="28"/>
      <c r="AG4041" s="28" t="n">
        <f aca="false">AF4041*$M4041</f>
        <v>0</v>
      </c>
      <c r="AH4041" s="28"/>
      <c r="AI4041" s="28" t="n">
        <f aca="false">AH4041*$M4041</f>
        <v>0</v>
      </c>
      <c r="AJ4041" s="28"/>
      <c r="AK4041" s="28" t="n">
        <f aca="false">AJ4041*$M4041</f>
        <v>0</v>
      </c>
      <c r="AL4041" s="28"/>
      <c r="AM4041" s="28" t="n">
        <f aca="false">AL4041*$M4041</f>
        <v>0</v>
      </c>
      <c r="AN4041" s="28"/>
      <c r="AO4041" s="28" t="n">
        <f aca="false">AN4041*$M4041</f>
        <v>0</v>
      </c>
      <c r="AP4041" s="28"/>
      <c r="AQ4041" s="28" t="n">
        <f aca="false">AP4041*$M4041</f>
        <v>0</v>
      </c>
      <c r="AR4041" s="28"/>
      <c r="AS4041" s="28" t="n">
        <f aca="false">AR4041*$M4041</f>
        <v>0</v>
      </c>
      <c r="AT4041" s="28"/>
      <c r="AU4041" s="28" t="n">
        <f aca="false">AT4041*$M4041</f>
        <v>0</v>
      </c>
      <c r="AV4041" s="28"/>
      <c r="AW4041" s="28" t="n">
        <f aca="false">AV4041*$M4041</f>
        <v>0</v>
      </c>
      <c r="AX4041" s="28"/>
      <c r="AY4041" s="28" t="n">
        <f aca="false">AX4041*$M4041</f>
        <v>0</v>
      </c>
      <c r="AZ4041" s="30" t="n">
        <f aca="false">80418/100</f>
        <v>804.18</v>
      </c>
      <c r="BA4041" s="11" t="n">
        <v>24125</v>
      </c>
      <c r="BB4041" s="31" t="n">
        <f aca="false">SUM(Q4041,S4041,U4041,W4041,Y4041,AA4041,AC4041,AE4041,AG4041,AI4041,AK4041,AM4041,AO4041,AQ4041,AS4041,AU4041,AW4041,AY4041)</f>
        <v>24125</v>
      </c>
      <c r="BC4041" s="28" t="n">
        <f aca="false">BA4041-BB4041</f>
        <v>0</v>
      </c>
      <c r="BD4041" s="32" t="n">
        <f aca="false">SUM(P4041,R4041,T4041,V4041,X4041,Z4041,AB4041,AD4041,AF4041,AH4041,AJ4041,AL4041,AN4041,AP4041,AR4041,AT4041,AV4041,AX4041)</f>
        <v>804.18</v>
      </c>
      <c r="BE4041" s="33" t="n">
        <f aca="false">AZ4041-BD4041</f>
        <v>0</v>
      </c>
      <c r="BF4041" s="34" t="n">
        <f aca="false">BD4041*M4041</f>
        <v>24125.4</v>
      </c>
      <c r="BG4041" s="35" t="n">
        <f aca="false">BA4041-BF4041</f>
        <v>-0.400000000001455</v>
      </c>
      <c r="BH4041" s="19" t="str">
        <f aca="false">IF(BG4041=0,"",IF(BG4041&lt;&gt;BA4041,"erreur de calcul",IF(BD4041&lt;&gt;0,"pas de prix",IF(M4041&lt;&gt; 0,"pas de quantité","pas de prix, ni de quantité"))))</f>
        <v>erreur de calcul</v>
      </c>
      <c r="BI4041" s="19"/>
    </row>
    <row r="4042" customFormat="false" ht="15" hidden="false" customHeight="false" outlineLevel="0" collapsed="false">
      <c r="A4042" s="0" t="n">
        <v>15</v>
      </c>
      <c r="B4042" s="8" t="s">
        <v>24</v>
      </c>
      <c r="C4042" s="9" t="s">
        <v>25</v>
      </c>
      <c r="D4042" s="9" t="s">
        <v>26</v>
      </c>
      <c r="E4042" s="10" t="n">
        <v>1789</v>
      </c>
      <c r="F4042" s="9" t="s">
        <v>27</v>
      </c>
      <c r="G4042" s="9" t="s">
        <v>27</v>
      </c>
      <c r="H4042" s="11" t="n">
        <v>23</v>
      </c>
      <c r="I4042" s="11" t="s">
        <v>257</v>
      </c>
      <c r="J4042" s="14" t="n">
        <v>40</v>
      </c>
      <c r="K4042" s="14"/>
      <c r="L4042" s="16"/>
      <c r="M4042" s="27" t="n">
        <f aca="false">J4042+(K4042/20)+(L4042/240)</f>
        <v>40</v>
      </c>
      <c r="N4042" s="17" t="s">
        <v>64</v>
      </c>
      <c r="O4042" s="11"/>
      <c r="P4042" s="28"/>
      <c r="Q4042" s="28" t="n">
        <f aca="false">P4042*$M4042</f>
        <v>0</v>
      </c>
      <c r="R4042" s="28"/>
      <c r="S4042" s="28" t="n">
        <f aca="false">R4042*$M4042</f>
        <v>0</v>
      </c>
      <c r="T4042" s="28"/>
      <c r="U4042" s="28" t="n">
        <f aca="false">T4042*$M4042</f>
        <v>0</v>
      </c>
      <c r="V4042" s="28"/>
      <c r="W4042" s="28" t="n">
        <f aca="false">V4042*$M4042</f>
        <v>0</v>
      </c>
      <c r="X4042" s="28"/>
      <c r="Y4042" s="28" t="n">
        <f aca="false">X4042*$M4042</f>
        <v>0</v>
      </c>
      <c r="Z4042" s="28"/>
      <c r="AA4042" s="28" t="n">
        <f aca="false">Z4042*$M4042</f>
        <v>0</v>
      </c>
      <c r="AB4042" s="28"/>
      <c r="AC4042" s="28" t="n">
        <f aca="false">AB4042*$M4042</f>
        <v>0</v>
      </c>
      <c r="AD4042" s="28"/>
      <c r="AE4042" s="28" t="n">
        <f aca="false">AD4042*$M4042</f>
        <v>0</v>
      </c>
      <c r="AF4042" s="28"/>
      <c r="AG4042" s="28" t="n">
        <f aca="false">AF4042*$M4042</f>
        <v>0</v>
      </c>
      <c r="AH4042" s="28"/>
      <c r="AI4042" s="28" t="n">
        <f aca="false">AH4042*$M4042</f>
        <v>0</v>
      </c>
      <c r="AJ4042" s="28" t="n">
        <f aca="false">784564/100</f>
        <v>7845.64</v>
      </c>
      <c r="AK4042" s="28" t="n">
        <v>313826</v>
      </c>
      <c r="AL4042" s="28" t="n">
        <f aca="false">33500/100</f>
        <v>335</v>
      </c>
      <c r="AM4042" s="28" t="n">
        <v>13400</v>
      </c>
      <c r="AN4042" s="28"/>
      <c r="AO4042" s="28" t="n">
        <f aca="false">AN4042*$M4042</f>
        <v>0</v>
      </c>
      <c r="AP4042" s="28"/>
      <c r="AQ4042" s="28" t="n">
        <f aca="false">AP4042*$M4042</f>
        <v>0</v>
      </c>
      <c r="AR4042" s="28"/>
      <c r="AS4042" s="28" t="n">
        <f aca="false">AR4042*$M4042</f>
        <v>0</v>
      </c>
      <c r="AT4042" s="28"/>
      <c r="AU4042" s="28" t="n">
        <f aca="false">AT4042*$M4042</f>
        <v>0</v>
      </c>
      <c r="AV4042" s="28"/>
      <c r="AW4042" s="28" t="n">
        <f aca="false">AV4042*$M4042</f>
        <v>0</v>
      </c>
      <c r="AX4042" s="28"/>
      <c r="AY4042" s="28" t="n">
        <f aca="false">AX4042*$M4042</f>
        <v>0</v>
      </c>
      <c r="AZ4042" s="30" t="n">
        <f aca="false">818064/100</f>
        <v>8180.64</v>
      </c>
      <c r="BA4042" s="11" t="n">
        <v>327226</v>
      </c>
      <c r="BB4042" s="31" t="n">
        <f aca="false">SUM(Q4042,S4042,U4042,W4042,Y4042,AA4042,AC4042,AE4042,AG4042,AI4042,AK4042,AM4042,AO4042,AQ4042,AS4042,AU4042,AW4042,AY4042)</f>
        <v>327226</v>
      </c>
      <c r="BC4042" s="28" t="n">
        <f aca="false">BA4042-BB4042</f>
        <v>0</v>
      </c>
      <c r="BD4042" s="32" t="n">
        <f aca="false">SUM(P4042,R4042,T4042,V4042,X4042,Z4042,AB4042,AD4042,AF4042,AH4042,AJ4042,AL4042,AN4042,AP4042,AR4042,AT4042,AV4042,AX4042)</f>
        <v>8180.64</v>
      </c>
      <c r="BE4042" s="33" t="n">
        <f aca="false">AZ4042-BD4042</f>
        <v>0</v>
      </c>
      <c r="BF4042" s="34" t="n">
        <f aca="false">BD4042*M4042</f>
        <v>327225.6</v>
      </c>
      <c r="BG4042" s="35" t="n">
        <f aca="false">BA4042-BF4042</f>
        <v>0.399999999965075</v>
      </c>
      <c r="BH4042" s="19" t="str">
        <f aca="false">IF(BG4042=0,"",IF(BG4042&lt;&gt;BA4042,"erreur de calcul",IF(BD4042&lt;&gt;0,"pas de prix",IF(M4042&lt;&gt; 0,"pas de quantité","pas de prix, ni de quantité"))))</f>
        <v>erreur de calcul</v>
      </c>
      <c r="BI4042" s="19"/>
    </row>
    <row r="4043" customFormat="false" ht="15" hidden="false" customHeight="false" outlineLevel="0" collapsed="false">
      <c r="A4043" s="0" t="n">
        <v>16</v>
      </c>
      <c r="B4043" s="8" t="s">
        <v>24</v>
      </c>
      <c r="C4043" s="9" t="s">
        <v>25</v>
      </c>
      <c r="D4043" s="9" t="s">
        <v>26</v>
      </c>
      <c r="E4043" s="10" t="n">
        <v>1789</v>
      </c>
      <c r="F4043" s="9" t="s">
        <v>27</v>
      </c>
      <c r="G4043" s="9" t="s">
        <v>27</v>
      </c>
      <c r="H4043" s="11" t="n">
        <v>23</v>
      </c>
      <c r="I4043" s="11" t="s">
        <v>258</v>
      </c>
      <c r="J4043" s="14" t="n">
        <v>75</v>
      </c>
      <c r="K4043" s="14"/>
      <c r="L4043" s="16"/>
      <c r="M4043" s="27" t="n">
        <f aca="false">J4043+(K4043/20)+(L4043/240)</f>
        <v>75</v>
      </c>
      <c r="N4043" s="17" t="s">
        <v>64</v>
      </c>
      <c r="O4043" s="11"/>
      <c r="P4043" s="28"/>
      <c r="Q4043" s="28" t="n">
        <f aca="false">P4043*$M4043</f>
        <v>0</v>
      </c>
      <c r="R4043" s="28"/>
      <c r="S4043" s="28" t="n">
        <f aca="false">R4043*$M4043</f>
        <v>0</v>
      </c>
      <c r="T4043" s="28" t="n">
        <f aca="false">1000/100</f>
        <v>10</v>
      </c>
      <c r="U4043" s="28" t="n">
        <v>750</v>
      </c>
      <c r="V4043" s="28" t="n">
        <f aca="false">17232/100</f>
        <v>172.32</v>
      </c>
      <c r="W4043" s="28" t="n">
        <v>12924</v>
      </c>
      <c r="X4043" s="28" t="n">
        <f aca="false">942/100</f>
        <v>9.42</v>
      </c>
      <c r="Y4043" s="28" t="n">
        <v>706</v>
      </c>
      <c r="Z4043" s="28"/>
      <c r="AA4043" s="28" t="n">
        <f aca="false">Z4043*$M4043</f>
        <v>0</v>
      </c>
      <c r="AB4043" s="28" t="n">
        <f aca="false">415/100</f>
        <v>4.15</v>
      </c>
      <c r="AC4043" s="28" t="n">
        <v>311</v>
      </c>
      <c r="AD4043" s="28"/>
      <c r="AE4043" s="28" t="n">
        <f aca="false">AD4043*$M4043</f>
        <v>0</v>
      </c>
      <c r="AF4043" s="28"/>
      <c r="AG4043" s="28" t="n">
        <f aca="false">AF4043*$M4043</f>
        <v>0</v>
      </c>
      <c r="AH4043" s="28"/>
      <c r="AI4043" s="28" t="n">
        <f aca="false">AH4043*$M4043</f>
        <v>0</v>
      </c>
      <c r="AJ4043" s="28"/>
      <c r="AK4043" s="28" t="n">
        <f aca="false">AJ4043*$M4043</f>
        <v>0</v>
      </c>
      <c r="AL4043" s="28"/>
      <c r="AM4043" s="28" t="n">
        <f aca="false">AL4043*$M4043</f>
        <v>0</v>
      </c>
      <c r="AN4043" s="28"/>
      <c r="AO4043" s="28" t="n">
        <f aca="false">AN4043*$M4043</f>
        <v>0</v>
      </c>
      <c r="AP4043" s="28"/>
      <c r="AQ4043" s="28" t="n">
        <f aca="false">AP4043*$M4043</f>
        <v>0</v>
      </c>
      <c r="AR4043" s="28"/>
      <c r="AS4043" s="28" t="n">
        <f aca="false">AR4043*$M4043</f>
        <v>0</v>
      </c>
      <c r="AT4043" s="28"/>
      <c r="AU4043" s="28" t="n">
        <f aca="false">AT4043*$M4043</f>
        <v>0</v>
      </c>
      <c r="AV4043" s="28"/>
      <c r="AW4043" s="28" t="n">
        <f aca="false">AV4043*$M4043</f>
        <v>0</v>
      </c>
      <c r="AX4043" s="28"/>
      <c r="AY4043" s="28" t="n">
        <f aca="false">AX4043*$M4043</f>
        <v>0</v>
      </c>
      <c r="AZ4043" s="30" t="n">
        <f aca="false">19589/100</f>
        <v>195.89</v>
      </c>
      <c r="BA4043" s="11" t="n">
        <v>14691</v>
      </c>
      <c r="BB4043" s="31" t="n">
        <f aca="false">SUM(Q4043,S4043,U4043,W4043,Y4043,AA4043,AC4043,AE4043,AG4043,AI4043,AK4043,AM4043,AO4043,AQ4043,AS4043,AU4043,AW4043,AY4043)</f>
        <v>14691</v>
      </c>
      <c r="BC4043" s="28" t="n">
        <f aca="false">BA4043-BB4043</f>
        <v>0</v>
      </c>
      <c r="BD4043" s="32" t="n">
        <f aca="false">SUM(P4043,R4043,T4043,V4043,X4043,Z4043,AB4043,AD4043,AF4043,AH4043,AJ4043,AL4043,AN4043,AP4043,AR4043,AT4043,AV4043,AX4043)</f>
        <v>195.89</v>
      </c>
      <c r="BE4043" s="33" t="n">
        <f aca="false">AZ4043-BD4043</f>
        <v>0</v>
      </c>
      <c r="BF4043" s="34" t="n">
        <f aca="false">BD4043*M4043</f>
        <v>14691.75</v>
      </c>
      <c r="BG4043" s="35" t="n">
        <f aca="false">BA4043-BF4043</f>
        <v>-0.749999999998181</v>
      </c>
      <c r="BH4043" s="19" t="str">
        <f aca="false">IF(BG4043=0,"",IF(BG4043&lt;&gt;BA4043,"erreur de calcul",IF(BD4043&lt;&gt;0,"pas de prix",IF(M4043&lt;&gt; 0,"pas de quantité","pas de prix, ni de quantité"))))</f>
        <v>erreur de calcul</v>
      </c>
      <c r="BI4043" s="19"/>
    </row>
    <row r="4044" customFormat="false" ht="15" hidden="false" customHeight="false" outlineLevel="0" collapsed="false">
      <c r="A4044" s="0" t="n">
        <v>17</v>
      </c>
      <c r="B4044" s="8" t="s">
        <v>24</v>
      </c>
      <c r="C4044" s="9" t="s">
        <v>25</v>
      </c>
      <c r="D4044" s="9" t="s">
        <v>26</v>
      </c>
      <c r="E4044" s="10" t="n">
        <v>1789</v>
      </c>
      <c r="F4044" s="9" t="s">
        <v>27</v>
      </c>
      <c r="G4044" s="9" t="s">
        <v>27</v>
      </c>
      <c r="H4044" s="11" t="n">
        <v>23</v>
      </c>
      <c r="I4044" s="11" t="s">
        <v>259</v>
      </c>
      <c r="J4044" s="14"/>
      <c r="K4044" s="14"/>
      <c r="L4044" s="16"/>
      <c r="M4044" s="27" t="n">
        <f aca="false">J4044+(K4044/20)+(L4044/240)</f>
        <v>0</v>
      </c>
      <c r="N4044" s="17"/>
      <c r="O4044" s="11"/>
      <c r="P4044" s="28"/>
      <c r="Q4044" s="28" t="n">
        <v>957</v>
      </c>
      <c r="R4044" s="28"/>
      <c r="S4044" s="28" t="n">
        <f aca="false">R4044*$M4044</f>
        <v>0</v>
      </c>
      <c r="T4044" s="28"/>
      <c r="U4044" s="28" t="n">
        <v>354</v>
      </c>
      <c r="V4044" s="28"/>
      <c r="W4044" s="28" t="n">
        <v>398</v>
      </c>
      <c r="X4044" s="28"/>
      <c r="Y4044" s="28" t="n">
        <v>685</v>
      </c>
      <c r="Z4044" s="28"/>
      <c r="AA4044" s="28" t="n">
        <v>120</v>
      </c>
      <c r="AB4044" s="28"/>
      <c r="AC4044" s="28" t="n">
        <v>2994</v>
      </c>
      <c r="AD4044" s="28"/>
      <c r="AE4044" s="28" t="n">
        <f aca="false">AD4044*$M4044</f>
        <v>0</v>
      </c>
      <c r="AF4044" s="28"/>
      <c r="AG4044" s="28" t="n">
        <f aca="false">AF4044*$M4044</f>
        <v>0</v>
      </c>
      <c r="AH4044" s="28"/>
      <c r="AI4044" s="28" t="n">
        <v>144</v>
      </c>
      <c r="AJ4044" s="28"/>
      <c r="AK4044" s="28" t="n">
        <f aca="false">AJ4044*$M4044</f>
        <v>0</v>
      </c>
      <c r="AL4044" s="28"/>
      <c r="AM4044" s="28" t="n">
        <f aca="false">AL4044*$M4044</f>
        <v>0</v>
      </c>
      <c r="AN4044" s="28"/>
      <c r="AO4044" s="28" t="n">
        <f aca="false">AN4044*$M4044</f>
        <v>0</v>
      </c>
      <c r="AP4044" s="28"/>
      <c r="AQ4044" s="28" t="n">
        <f aca="false">AP4044*$M4044</f>
        <v>0</v>
      </c>
      <c r="AR4044" s="28"/>
      <c r="AS4044" s="28" t="n">
        <f aca="false">AR4044*$M4044</f>
        <v>0</v>
      </c>
      <c r="AT4044" s="28"/>
      <c r="AU4044" s="28" t="n">
        <f aca="false">AT4044*$M4044</f>
        <v>0</v>
      </c>
      <c r="AV4044" s="28"/>
      <c r="AW4044" s="28" t="n">
        <f aca="false">AV4044*$M4044</f>
        <v>0</v>
      </c>
      <c r="AX4044" s="28"/>
      <c r="AY4044" s="28" t="n">
        <f aca="false">AX4044*$M4044</f>
        <v>0</v>
      </c>
      <c r="AZ4044" s="30"/>
      <c r="BA4044" s="11" t="n">
        <v>5652</v>
      </c>
      <c r="BB4044" s="31" t="n">
        <f aca="false">SUM(Q4044,S4044,U4044,W4044,Y4044,AA4044,AC4044,AE4044,AG4044,AI4044,AK4044,AM4044,AO4044,AQ4044,AS4044,AU4044,AW4044,AY4044)</f>
        <v>5652</v>
      </c>
      <c r="BC4044" s="28" t="n">
        <f aca="false">BA4044-BB4044</f>
        <v>0</v>
      </c>
      <c r="BD4044" s="32" t="n">
        <f aca="false">SUM(P4044,R4044,T4044,V4044,X4044,Z4044,AB4044,AD4044,AF4044,AH4044,AJ4044,AL4044,AN4044,AP4044,AR4044,AT4044,AV4044,AX4044)</f>
        <v>0</v>
      </c>
      <c r="BE4044" s="33" t="n">
        <f aca="false">AZ4044-BD4044</f>
        <v>0</v>
      </c>
      <c r="BF4044" s="34" t="n">
        <f aca="false">BD4044*M4044</f>
        <v>0</v>
      </c>
      <c r="BG4044" s="35" t="n">
        <f aca="false">BA4044-BF4044</f>
        <v>5652</v>
      </c>
      <c r="BH4044" s="19" t="str">
        <f aca="false">IF(BG4044=0,"",IF(BG4044&lt;&gt;BA4044,"erreur de calcul",IF(BD4044&lt;&gt;0,"pas de prix",IF(M4044&lt;&gt; 0,"pas de quantité","pas de prix, ni de quantité"))))</f>
        <v>pas de prix, ni de quantité</v>
      </c>
      <c r="BI4044" s="19"/>
    </row>
    <row r="4045" customFormat="false" ht="15" hidden="false" customHeight="false" outlineLevel="0" collapsed="false">
      <c r="A4045" s="0" t="n">
        <v>18</v>
      </c>
      <c r="B4045" s="8" t="s">
        <v>24</v>
      </c>
      <c r="C4045" s="9" t="s">
        <v>25</v>
      </c>
      <c r="D4045" s="9" t="s">
        <v>26</v>
      </c>
      <c r="E4045" s="10" t="n">
        <v>1789</v>
      </c>
      <c r="F4045" s="9" t="s">
        <v>27</v>
      </c>
      <c r="G4045" s="9" t="s">
        <v>27</v>
      </c>
      <c r="H4045" s="11" t="n">
        <v>23</v>
      </c>
      <c r="I4045" s="11" t="s">
        <v>260</v>
      </c>
      <c r="J4045" s="14" t="n">
        <v>88</v>
      </c>
      <c r="K4045" s="14"/>
      <c r="L4045" s="16"/>
      <c r="M4045" s="27" t="n">
        <f aca="false">J4045+(K4045/20)+(L4045/240)</f>
        <v>88</v>
      </c>
      <c r="N4045" s="17" t="s">
        <v>64</v>
      </c>
      <c r="O4045" s="11"/>
      <c r="P4045" s="28"/>
      <c r="Q4045" s="28" t="n">
        <f aca="false">P4045*$M4045</f>
        <v>0</v>
      </c>
      <c r="R4045" s="28"/>
      <c r="S4045" s="28" t="n">
        <f aca="false">R4045*$M4045</f>
        <v>0</v>
      </c>
      <c r="T4045" s="28"/>
      <c r="U4045" s="28" t="n">
        <f aca="false">T4045*$M4045</f>
        <v>0</v>
      </c>
      <c r="V4045" s="28" t="n">
        <f aca="false">21004/100</f>
        <v>210.04</v>
      </c>
      <c r="W4045" s="28" t="n">
        <v>18483</v>
      </c>
      <c r="X4045" s="28"/>
      <c r="Y4045" s="28" t="n">
        <f aca="false">X4045*$M4045</f>
        <v>0</v>
      </c>
      <c r="Z4045" s="28"/>
      <c r="AA4045" s="28" t="n">
        <f aca="false">Z4045*$M4045</f>
        <v>0</v>
      </c>
      <c r="AB4045" s="28"/>
      <c r="AC4045" s="28" t="n">
        <f aca="false">AB4045*$M4045</f>
        <v>0</v>
      </c>
      <c r="AD4045" s="28"/>
      <c r="AE4045" s="28" t="n">
        <f aca="false">AD4045*$M4045</f>
        <v>0</v>
      </c>
      <c r="AF4045" s="28"/>
      <c r="AG4045" s="28" t="n">
        <f aca="false">AF4045*$M4045</f>
        <v>0</v>
      </c>
      <c r="AH4045" s="28"/>
      <c r="AI4045" s="28" t="n">
        <f aca="false">AH4045*$M4045</f>
        <v>0</v>
      </c>
      <c r="AJ4045" s="28"/>
      <c r="AK4045" s="28" t="n">
        <f aca="false">AJ4045*$M4045</f>
        <v>0</v>
      </c>
      <c r="AL4045" s="28"/>
      <c r="AM4045" s="28" t="n">
        <f aca="false">AL4045*$M4045</f>
        <v>0</v>
      </c>
      <c r="AN4045" s="28"/>
      <c r="AO4045" s="28" t="n">
        <f aca="false">AN4045*$M4045</f>
        <v>0</v>
      </c>
      <c r="AP4045" s="28"/>
      <c r="AQ4045" s="28" t="n">
        <f aca="false">AP4045*$M4045</f>
        <v>0</v>
      </c>
      <c r="AR4045" s="28"/>
      <c r="AS4045" s="28" t="n">
        <f aca="false">AR4045*$M4045</f>
        <v>0</v>
      </c>
      <c r="AT4045" s="28"/>
      <c r="AU4045" s="28" t="n">
        <f aca="false">AT4045*$M4045</f>
        <v>0</v>
      </c>
      <c r="AV4045" s="28"/>
      <c r="AW4045" s="28" t="n">
        <f aca="false">AV4045*$M4045</f>
        <v>0</v>
      </c>
      <c r="AX4045" s="28"/>
      <c r="AY4045" s="28" t="n">
        <f aca="false">AX4045*$M4045</f>
        <v>0</v>
      </c>
      <c r="AZ4045" s="30" t="n">
        <f aca="false">21004/100</f>
        <v>210.04</v>
      </c>
      <c r="BA4045" s="11" t="n">
        <v>18483</v>
      </c>
      <c r="BB4045" s="31" t="n">
        <f aca="false">SUM(Q4045,S4045,U4045,W4045,Y4045,AA4045,AC4045,AE4045,AG4045,AI4045,AK4045,AM4045,AO4045,AQ4045,AS4045,AU4045,AW4045,AY4045)</f>
        <v>18483</v>
      </c>
      <c r="BC4045" s="28" t="n">
        <f aca="false">BA4045-BB4045</f>
        <v>0</v>
      </c>
      <c r="BD4045" s="32" t="n">
        <f aca="false">SUM(P4045,R4045,T4045,V4045,X4045,Z4045,AB4045,AD4045,AF4045,AH4045,AJ4045,AL4045,AN4045,AP4045,AR4045,AT4045,AV4045,AX4045)</f>
        <v>210.04</v>
      </c>
      <c r="BE4045" s="33" t="n">
        <f aca="false">AZ4045-BD4045</f>
        <v>0</v>
      </c>
      <c r="BF4045" s="34" t="n">
        <f aca="false">BD4045*M4045</f>
        <v>18483.52</v>
      </c>
      <c r="BG4045" s="35" t="n">
        <f aca="false">BA4045-BF4045</f>
        <v>-0.520000000000437</v>
      </c>
      <c r="BH4045" s="19" t="str">
        <f aca="false">IF(BG4045=0,"",IF(BG4045&lt;&gt;BA4045,"erreur de calcul",IF(BD4045&lt;&gt;0,"pas de prix",IF(M4045&lt;&gt; 0,"pas de quantité","pas de prix, ni de quantité"))))</f>
        <v>erreur de calcul</v>
      </c>
      <c r="BI4045" s="19"/>
    </row>
    <row r="4046" customFormat="false" ht="15" hidden="false" customHeight="false" outlineLevel="0" collapsed="false">
      <c r="A4046" s="0" t="n">
        <v>19</v>
      </c>
      <c r="B4046" s="8" t="s">
        <v>24</v>
      </c>
      <c r="C4046" s="9" t="s">
        <v>25</v>
      </c>
      <c r="D4046" s="9" t="s">
        <v>26</v>
      </c>
      <c r="E4046" s="10" t="n">
        <v>1789</v>
      </c>
      <c r="F4046" s="9" t="s">
        <v>27</v>
      </c>
      <c r="G4046" s="9" t="s">
        <v>27</v>
      </c>
      <c r="H4046" s="11" t="n">
        <v>23</v>
      </c>
      <c r="I4046" s="11" t="s">
        <v>261</v>
      </c>
      <c r="J4046" s="14" t="n">
        <v>35</v>
      </c>
      <c r="K4046" s="14"/>
      <c r="L4046" s="16"/>
      <c r="M4046" s="27" t="n">
        <f aca="false">J4046+(K4046/20)+(L4046/240)</f>
        <v>35</v>
      </c>
      <c r="N4046" s="17" t="s">
        <v>64</v>
      </c>
      <c r="O4046" s="11"/>
      <c r="P4046" s="28" t="n">
        <f aca="false">2877/100</f>
        <v>28.77</v>
      </c>
      <c r="Q4046" s="28" t="n">
        <v>1007</v>
      </c>
      <c r="R4046" s="28"/>
      <c r="S4046" s="28" t="n">
        <f aca="false">R4046*$M4046</f>
        <v>0</v>
      </c>
      <c r="T4046" s="28"/>
      <c r="U4046" s="28" t="n">
        <f aca="false">T4046*$M4046</f>
        <v>0</v>
      </c>
      <c r="V4046" s="28"/>
      <c r="W4046" s="28" t="n">
        <f aca="false">V4046*$M4046</f>
        <v>0</v>
      </c>
      <c r="X4046" s="28"/>
      <c r="Y4046" s="28" t="n">
        <f aca="false">X4046*$M4046</f>
        <v>0</v>
      </c>
      <c r="Z4046" s="28"/>
      <c r="AA4046" s="28" t="n">
        <f aca="false">Z4046*$M4046</f>
        <v>0</v>
      </c>
      <c r="AB4046" s="28"/>
      <c r="AC4046" s="28" t="n">
        <f aca="false">AB4046*$M4046</f>
        <v>0</v>
      </c>
      <c r="AD4046" s="28"/>
      <c r="AE4046" s="28" t="n">
        <f aca="false">AD4046*$M4046</f>
        <v>0</v>
      </c>
      <c r="AF4046" s="28"/>
      <c r="AG4046" s="28" t="n">
        <f aca="false">AF4046*$M4046</f>
        <v>0</v>
      </c>
      <c r="AH4046" s="28"/>
      <c r="AI4046" s="28" t="n">
        <f aca="false">AH4046*$M4046</f>
        <v>0</v>
      </c>
      <c r="AJ4046" s="28"/>
      <c r="AK4046" s="28" t="n">
        <f aca="false">AJ4046*$M4046</f>
        <v>0</v>
      </c>
      <c r="AL4046" s="28"/>
      <c r="AM4046" s="28" t="n">
        <f aca="false">AL4046*$M4046</f>
        <v>0</v>
      </c>
      <c r="AN4046" s="28"/>
      <c r="AO4046" s="28" t="n">
        <f aca="false">AN4046*$M4046</f>
        <v>0</v>
      </c>
      <c r="AP4046" s="28"/>
      <c r="AQ4046" s="28" t="n">
        <f aca="false">AP4046*$M4046</f>
        <v>0</v>
      </c>
      <c r="AR4046" s="28"/>
      <c r="AS4046" s="28" t="n">
        <f aca="false">AR4046*$M4046</f>
        <v>0</v>
      </c>
      <c r="AT4046" s="28"/>
      <c r="AU4046" s="28" t="n">
        <f aca="false">AT4046*$M4046</f>
        <v>0</v>
      </c>
      <c r="AV4046" s="28"/>
      <c r="AW4046" s="28" t="n">
        <f aca="false">AV4046*$M4046</f>
        <v>0</v>
      </c>
      <c r="AX4046" s="28"/>
      <c r="AY4046" s="28" t="n">
        <f aca="false">AX4046*$M4046</f>
        <v>0</v>
      </c>
      <c r="AZ4046" s="30" t="n">
        <f aca="false">2877/100</f>
        <v>28.77</v>
      </c>
      <c r="BA4046" s="11" t="n">
        <v>1007</v>
      </c>
      <c r="BB4046" s="31" t="n">
        <f aca="false">SUM(Q4046,S4046,U4046,W4046,Y4046,AA4046,AC4046,AE4046,AG4046,AI4046,AK4046,AM4046,AO4046,AQ4046,AS4046,AU4046,AW4046,AY4046)</f>
        <v>1007</v>
      </c>
      <c r="BC4046" s="28" t="n">
        <f aca="false">BA4046-BB4046</f>
        <v>0</v>
      </c>
      <c r="BD4046" s="32" t="n">
        <f aca="false">SUM(P4046,R4046,T4046,V4046,X4046,Z4046,AB4046,AD4046,AF4046,AH4046,AJ4046,AL4046,AN4046,AP4046,AR4046,AT4046,AV4046,AX4046)</f>
        <v>28.77</v>
      </c>
      <c r="BE4046" s="33" t="n">
        <f aca="false">AZ4046-BD4046</f>
        <v>0</v>
      </c>
      <c r="BF4046" s="34" t="n">
        <f aca="false">BD4046*M4046</f>
        <v>1006.95</v>
      </c>
      <c r="BG4046" s="35" t="n">
        <f aca="false">BA4046-BF4046</f>
        <v>0.0500000000000682</v>
      </c>
      <c r="BH4046" s="19" t="str">
        <f aca="false">IF(BG4046=0,"",IF(BG4046&lt;&gt;BA4046,"erreur de calcul",IF(BD4046&lt;&gt;0,"pas de prix",IF(M4046&lt;&gt; 0,"pas de quantité","pas de prix, ni de quantité"))))</f>
        <v>erreur de calcul</v>
      </c>
      <c r="BI4046" s="19"/>
    </row>
    <row r="4047" customFormat="false" ht="15" hidden="false" customHeight="false" outlineLevel="0" collapsed="false">
      <c r="A4047" s="0" t="n">
        <v>20</v>
      </c>
      <c r="B4047" s="8" t="s">
        <v>24</v>
      </c>
      <c r="C4047" s="9" t="s">
        <v>25</v>
      </c>
      <c r="D4047" s="9" t="s">
        <v>26</v>
      </c>
      <c r="E4047" s="10" t="n">
        <v>1789</v>
      </c>
      <c r="F4047" s="9" t="s">
        <v>27</v>
      </c>
      <c r="G4047" s="9" t="s">
        <v>27</v>
      </c>
      <c r="H4047" s="11" t="n">
        <v>23</v>
      </c>
      <c r="I4047" s="11" t="s">
        <v>262</v>
      </c>
      <c r="J4047" s="14" t="n">
        <v>40</v>
      </c>
      <c r="K4047" s="14"/>
      <c r="L4047" s="16"/>
      <c r="M4047" s="27" t="n">
        <f aca="false">J4047+(K4047/20)+(L4047/240)</f>
        <v>40</v>
      </c>
      <c r="N4047" s="17" t="s">
        <v>64</v>
      </c>
      <c r="O4047" s="11"/>
      <c r="P4047" s="28"/>
      <c r="Q4047" s="28" t="n">
        <f aca="false">P4047*$M4047</f>
        <v>0</v>
      </c>
      <c r="R4047" s="28"/>
      <c r="S4047" s="28" t="n">
        <f aca="false">R4047*$M4047</f>
        <v>0</v>
      </c>
      <c r="T4047" s="28"/>
      <c r="U4047" s="28" t="n">
        <f aca="false">T4047*$M4047</f>
        <v>0</v>
      </c>
      <c r="V4047" s="28"/>
      <c r="W4047" s="28" t="n">
        <f aca="false">V4047*$M4047</f>
        <v>0</v>
      </c>
      <c r="X4047" s="28"/>
      <c r="Y4047" s="28" t="n">
        <f aca="false">X4047*$M4047</f>
        <v>0</v>
      </c>
      <c r="Z4047" s="28"/>
      <c r="AA4047" s="28" t="n">
        <f aca="false">Z4047*$M4047</f>
        <v>0</v>
      </c>
      <c r="AB4047" s="28"/>
      <c r="AC4047" s="28" t="n">
        <f aca="false">AB4047*$M4047</f>
        <v>0</v>
      </c>
      <c r="AD4047" s="28"/>
      <c r="AE4047" s="28" t="n">
        <f aca="false">AD4047*$M4047</f>
        <v>0</v>
      </c>
      <c r="AF4047" s="28" t="n">
        <f aca="false">108620/100</f>
        <v>1086.2</v>
      </c>
      <c r="AG4047" s="28" t="n">
        <v>43448</v>
      </c>
      <c r="AH4047" s="28"/>
      <c r="AI4047" s="28" t="n">
        <f aca="false">AH4047*$M4047</f>
        <v>0</v>
      </c>
      <c r="AJ4047" s="28"/>
      <c r="AK4047" s="28" t="n">
        <f aca="false">AJ4047*$M4047</f>
        <v>0</v>
      </c>
      <c r="AL4047" s="28"/>
      <c r="AM4047" s="28" t="n">
        <f aca="false">AL4047*$M4047</f>
        <v>0</v>
      </c>
      <c r="AN4047" s="28"/>
      <c r="AO4047" s="28" t="n">
        <f aca="false">AN4047*$M4047</f>
        <v>0</v>
      </c>
      <c r="AP4047" s="28"/>
      <c r="AQ4047" s="28" t="n">
        <f aca="false">AP4047*$M4047</f>
        <v>0</v>
      </c>
      <c r="AR4047" s="28"/>
      <c r="AS4047" s="28" t="n">
        <f aca="false">AR4047*$M4047</f>
        <v>0</v>
      </c>
      <c r="AT4047" s="28"/>
      <c r="AU4047" s="28" t="n">
        <f aca="false">AT4047*$M4047</f>
        <v>0</v>
      </c>
      <c r="AV4047" s="28"/>
      <c r="AW4047" s="28" t="n">
        <f aca="false">AV4047*$M4047</f>
        <v>0</v>
      </c>
      <c r="AX4047" s="28"/>
      <c r="AY4047" s="28" t="n">
        <f aca="false">AX4047*$M4047</f>
        <v>0</v>
      </c>
      <c r="AZ4047" s="30" t="n">
        <f aca="false">108620/100</f>
        <v>1086.2</v>
      </c>
      <c r="BA4047" s="11" t="n">
        <v>43448</v>
      </c>
      <c r="BB4047" s="31" t="n">
        <f aca="false">SUM(Q4047,S4047,U4047,W4047,Y4047,AA4047,AC4047,AE4047,AG4047,AI4047,AK4047,AM4047,AO4047,AQ4047,AS4047,AU4047,AW4047,AY4047)</f>
        <v>43448</v>
      </c>
      <c r="BC4047" s="28" t="n">
        <f aca="false">BA4047-BB4047</f>
        <v>0</v>
      </c>
      <c r="BD4047" s="32" t="n">
        <f aca="false">SUM(P4047,R4047,T4047,V4047,X4047,Z4047,AB4047,AD4047,AF4047,AH4047,AJ4047,AL4047,AN4047,AP4047,AR4047,AT4047,AV4047,AX4047)</f>
        <v>1086.2</v>
      </c>
      <c r="BE4047" s="33" t="n">
        <f aca="false">AZ4047-BD4047</f>
        <v>0</v>
      </c>
      <c r="BF4047" s="34" t="n">
        <f aca="false">BD4047*M4047</f>
        <v>43448</v>
      </c>
      <c r="BG4047" s="35" t="n">
        <f aca="false">BA4047-BF4047</f>
        <v>0</v>
      </c>
      <c r="BH4047" s="19" t="str">
        <f aca="false">IF(BG4047=0,"",IF(BG4047&lt;&gt;BA4047,"erreur de calcul",IF(BD4047&lt;&gt;0,"pas de prix",IF(M4047&lt;&gt; 0,"pas de quantité","pas de prix, ni de quantité"))))</f>
        <v/>
      </c>
      <c r="BI4047" s="19"/>
    </row>
    <row r="4048" customFormat="false" ht="15" hidden="false" customHeight="false" outlineLevel="0" collapsed="false">
      <c r="A4048" s="0" t="n">
        <v>21</v>
      </c>
      <c r="B4048" s="8" t="s">
        <v>24</v>
      </c>
      <c r="C4048" s="9" t="s">
        <v>25</v>
      </c>
      <c r="D4048" s="9" t="s">
        <v>26</v>
      </c>
      <c r="E4048" s="10" t="n">
        <v>1789</v>
      </c>
      <c r="F4048" s="9" t="s">
        <v>27</v>
      </c>
      <c r="G4048" s="9" t="s">
        <v>27</v>
      </c>
      <c r="H4048" s="11" t="n">
        <v>23</v>
      </c>
      <c r="I4048" s="11" t="s">
        <v>263</v>
      </c>
      <c r="J4048" s="14" t="n">
        <v>12</v>
      </c>
      <c r="K4048" s="14"/>
      <c r="L4048" s="16"/>
      <c r="M4048" s="27" t="n">
        <f aca="false">J4048+(K4048/20)+(L4048/240)</f>
        <v>12</v>
      </c>
      <c r="N4048" s="17" t="s">
        <v>64</v>
      </c>
      <c r="O4048" s="11"/>
      <c r="P4048" s="28"/>
      <c r="Q4048" s="28" t="n">
        <f aca="false">P4048*$M4048</f>
        <v>0</v>
      </c>
      <c r="R4048" s="28"/>
      <c r="S4048" s="28" t="n">
        <f aca="false">R4048*$M4048</f>
        <v>0</v>
      </c>
      <c r="T4048" s="28"/>
      <c r="U4048" s="28" t="n">
        <f aca="false">T4048*$M4048</f>
        <v>0</v>
      </c>
      <c r="V4048" s="28"/>
      <c r="W4048" s="28" t="n">
        <f aca="false">V4048*$M4048</f>
        <v>0</v>
      </c>
      <c r="X4048" s="28"/>
      <c r="Y4048" s="28" t="n">
        <f aca="false">X4048*$M4048</f>
        <v>0</v>
      </c>
      <c r="Z4048" s="28"/>
      <c r="AA4048" s="28" t="n">
        <f aca="false">Z4048*$M4048</f>
        <v>0</v>
      </c>
      <c r="AB4048" s="28" t="n">
        <f aca="false">485726/100</f>
        <v>4857.26</v>
      </c>
      <c r="AC4048" s="28" t="n">
        <v>58287</v>
      </c>
      <c r="AD4048" s="28"/>
      <c r="AE4048" s="28" t="n">
        <f aca="false">AD4048*$M4048</f>
        <v>0</v>
      </c>
      <c r="AF4048" s="28"/>
      <c r="AG4048" s="28" t="n">
        <f aca="false">AF4048*$M4048</f>
        <v>0</v>
      </c>
      <c r="AH4048" s="28" t="n">
        <f aca="false">259291/100</f>
        <v>2592.91</v>
      </c>
      <c r="AI4048" s="28" t="n">
        <v>31115</v>
      </c>
      <c r="AJ4048" s="28"/>
      <c r="AK4048" s="28" t="n">
        <f aca="false">AJ4048*$M4048</f>
        <v>0</v>
      </c>
      <c r="AL4048" s="28"/>
      <c r="AM4048" s="28" t="n">
        <f aca="false">AL4048*$M4048</f>
        <v>0</v>
      </c>
      <c r="AN4048" s="28"/>
      <c r="AO4048" s="28" t="n">
        <f aca="false">AN4048*$M4048</f>
        <v>0</v>
      </c>
      <c r="AP4048" s="28"/>
      <c r="AQ4048" s="28" t="n">
        <f aca="false">AP4048*$M4048</f>
        <v>0</v>
      </c>
      <c r="AR4048" s="28"/>
      <c r="AS4048" s="28" t="n">
        <f aca="false">AR4048*$M4048</f>
        <v>0</v>
      </c>
      <c r="AT4048" s="28"/>
      <c r="AU4048" s="28" t="n">
        <f aca="false">AT4048*$M4048</f>
        <v>0</v>
      </c>
      <c r="AV4048" s="28"/>
      <c r="AW4048" s="28" t="n">
        <f aca="false">AV4048*$M4048</f>
        <v>0</v>
      </c>
      <c r="AX4048" s="28"/>
      <c r="AY4048" s="28" t="n">
        <f aca="false">AX4048*$M4048</f>
        <v>0</v>
      </c>
      <c r="AZ4048" s="30" t="n">
        <f aca="false">745017/100</f>
        <v>7450.17</v>
      </c>
      <c r="BA4048" s="11" t="n">
        <v>89402</v>
      </c>
      <c r="BB4048" s="31" t="n">
        <f aca="false">SUM(Q4048,S4048,U4048,W4048,Y4048,AA4048,AC4048,AE4048,AG4048,AI4048,AK4048,AM4048,AO4048,AQ4048,AS4048,AU4048,AW4048,AY4048)</f>
        <v>89402</v>
      </c>
      <c r="BC4048" s="28" t="n">
        <f aca="false">BA4048-BB4048</f>
        <v>0</v>
      </c>
      <c r="BD4048" s="32" t="n">
        <f aca="false">SUM(P4048,R4048,T4048,V4048,X4048,Z4048,AB4048,AD4048,AF4048,AH4048,AJ4048,AL4048,AN4048,AP4048,AR4048,AT4048,AV4048,AX4048)</f>
        <v>7450.17</v>
      </c>
      <c r="BE4048" s="33" t="n">
        <f aca="false">AZ4048-BD4048</f>
        <v>0</v>
      </c>
      <c r="BF4048" s="34" t="n">
        <f aca="false">BD4048*M4048</f>
        <v>89402.04</v>
      </c>
      <c r="BG4048" s="35" t="n">
        <f aca="false">BA4048-BF4048</f>
        <v>-0.0400000000081491</v>
      </c>
      <c r="BH4048" s="19" t="str">
        <f aca="false">IF(BG4048=0,"",IF(BG4048&lt;&gt;BA4048,"erreur de calcul",IF(BD4048&lt;&gt;0,"pas de prix",IF(M4048&lt;&gt; 0,"pas de quantité","pas de prix, ni de quantité"))))</f>
        <v>erreur de calcul</v>
      </c>
      <c r="BI4048" s="19"/>
    </row>
    <row r="4049" customFormat="false" ht="15" hidden="false" customHeight="false" outlineLevel="0" collapsed="false">
      <c r="A4049" s="0" t="n">
        <v>22</v>
      </c>
      <c r="B4049" s="8" t="s">
        <v>24</v>
      </c>
      <c r="C4049" s="9" t="s">
        <v>25</v>
      </c>
      <c r="D4049" s="9" t="s">
        <v>26</v>
      </c>
      <c r="E4049" s="10" t="n">
        <v>1789</v>
      </c>
      <c r="F4049" s="9" t="s">
        <v>27</v>
      </c>
      <c r="G4049" s="9" t="s">
        <v>27</v>
      </c>
      <c r="H4049" s="11" t="n">
        <v>23</v>
      </c>
      <c r="I4049" s="11" t="s">
        <v>264</v>
      </c>
      <c r="J4049" s="14" t="n">
        <v>15</v>
      </c>
      <c r="K4049" s="14"/>
      <c r="L4049" s="16"/>
      <c r="M4049" s="27" t="n">
        <f aca="false">J4049+(K4049/20)+(L4049/240)</f>
        <v>15</v>
      </c>
      <c r="N4049" s="17" t="s">
        <v>64</v>
      </c>
      <c r="O4049" s="11"/>
      <c r="P4049" s="28"/>
      <c r="Q4049" s="28" t="n">
        <f aca="false">P4049*$M4049</f>
        <v>0</v>
      </c>
      <c r="R4049" s="28"/>
      <c r="S4049" s="28" t="n">
        <f aca="false">R4049*$M4049</f>
        <v>0</v>
      </c>
      <c r="T4049" s="28"/>
      <c r="U4049" s="28" t="n">
        <f aca="false">T4049*$M4049</f>
        <v>0</v>
      </c>
      <c r="V4049" s="28"/>
      <c r="W4049" s="28" t="n">
        <f aca="false">V4049*$M4049</f>
        <v>0</v>
      </c>
      <c r="X4049" s="28" t="n">
        <f aca="false">65502/100</f>
        <v>655.02</v>
      </c>
      <c r="Y4049" s="28" t="n">
        <v>9825</v>
      </c>
      <c r="Z4049" s="28"/>
      <c r="AA4049" s="28" t="n">
        <f aca="false">Z4049*$M4049</f>
        <v>0</v>
      </c>
      <c r="AB4049" s="28" t="n">
        <f aca="false">207046/100</f>
        <v>2070.46</v>
      </c>
      <c r="AC4049" s="28" t="n">
        <v>31057</v>
      </c>
      <c r="AD4049" s="28"/>
      <c r="AE4049" s="28" t="n">
        <f aca="false">AD4049*$M4049</f>
        <v>0</v>
      </c>
      <c r="AF4049" s="28"/>
      <c r="AG4049" s="28" t="n">
        <f aca="false">AF4049*$M4049</f>
        <v>0</v>
      </c>
      <c r="AH4049" s="28" t="n">
        <f aca="false">11048/100</f>
        <v>110.48</v>
      </c>
      <c r="AI4049" s="28" t="n">
        <v>1657</v>
      </c>
      <c r="AJ4049" s="28"/>
      <c r="AK4049" s="28" t="n">
        <f aca="false">AJ4049*$M4049</f>
        <v>0</v>
      </c>
      <c r="AL4049" s="28"/>
      <c r="AM4049" s="28" t="n">
        <f aca="false">AL4049*$M4049</f>
        <v>0</v>
      </c>
      <c r="AN4049" s="28"/>
      <c r="AO4049" s="28" t="n">
        <f aca="false">AN4049*$M4049</f>
        <v>0</v>
      </c>
      <c r="AP4049" s="28"/>
      <c r="AQ4049" s="28" t="n">
        <f aca="false">AP4049*$M4049</f>
        <v>0</v>
      </c>
      <c r="AR4049" s="28"/>
      <c r="AS4049" s="28" t="n">
        <f aca="false">AR4049*$M4049</f>
        <v>0</v>
      </c>
      <c r="AT4049" s="28"/>
      <c r="AU4049" s="28" t="n">
        <f aca="false">AT4049*$M4049</f>
        <v>0</v>
      </c>
      <c r="AV4049" s="28"/>
      <c r="AW4049" s="28" t="n">
        <f aca="false">AV4049*$M4049</f>
        <v>0</v>
      </c>
      <c r="AX4049" s="28"/>
      <c r="AY4049" s="28" t="n">
        <f aca="false">AX4049*$M4049</f>
        <v>0</v>
      </c>
      <c r="AZ4049" s="30" t="n">
        <f aca="false">283596/100</f>
        <v>2835.96</v>
      </c>
      <c r="BA4049" s="11" t="n">
        <v>42539</v>
      </c>
      <c r="BB4049" s="31" t="n">
        <f aca="false">SUM(Q4049,S4049,U4049,W4049,Y4049,AA4049,AC4049,AE4049,AG4049,AI4049,AK4049,AM4049,AO4049,AQ4049,AS4049,AU4049,AW4049,AY4049)</f>
        <v>42539</v>
      </c>
      <c r="BC4049" s="28" t="n">
        <f aca="false">BA4049-BB4049</f>
        <v>0</v>
      </c>
      <c r="BD4049" s="32" t="n">
        <f aca="false">SUM(P4049,R4049,T4049,V4049,X4049,Z4049,AB4049,AD4049,AF4049,AH4049,AJ4049,AL4049,AN4049,AP4049,AR4049,AT4049,AV4049,AX4049)</f>
        <v>2835.96</v>
      </c>
      <c r="BE4049" s="33" t="n">
        <f aca="false">AZ4049-BD4049</f>
        <v>0</v>
      </c>
      <c r="BF4049" s="34" t="n">
        <f aca="false">BD4049*M4049</f>
        <v>42539.4</v>
      </c>
      <c r="BG4049" s="35" t="n">
        <f aca="false">BA4049-BF4049</f>
        <v>-0.400000000001455</v>
      </c>
      <c r="BH4049" s="19" t="str">
        <f aca="false">IF(BG4049=0,"",IF(BG4049&lt;&gt;BA4049,"erreur de calcul",IF(BD4049&lt;&gt;0,"pas de prix",IF(M4049&lt;&gt; 0,"pas de quantité","pas de prix, ni de quantité"))))</f>
        <v>erreur de calcul</v>
      </c>
      <c r="BI4049" s="19"/>
    </row>
    <row r="4050" customFormat="false" ht="15" hidden="false" customHeight="false" outlineLevel="0" collapsed="false">
      <c r="A4050" s="0" t="n">
        <v>23</v>
      </c>
      <c r="B4050" s="8" t="s">
        <v>24</v>
      </c>
      <c r="C4050" s="9" t="s">
        <v>25</v>
      </c>
      <c r="D4050" s="9" t="s">
        <v>26</v>
      </c>
      <c r="E4050" s="10" t="n">
        <v>1789</v>
      </c>
      <c r="F4050" s="9" t="s">
        <v>27</v>
      </c>
      <c r="G4050" s="9" t="s">
        <v>27</v>
      </c>
      <c r="H4050" s="11" t="n">
        <v>23</v>
      </c>
      <c r="I4050" s="11" t="s">
        <v>265</v>
      </c>
      <c r="J4050" s="14"/>
      <c r="K4050" s="14" t="n">
        <v>40</v>
      </c>
      <c r="L4050" s="16"/>
      <c r="M4050" s="27" t="n">
        <f aca="false">J4050+(K4050/20)+(L4050/240)</f>
        <v>2</v>
      </c>
      <c r="N4050" s="17" t="s">
        <v>66</v>
      </c>
      <c r="O4050" s="11"/>
      <c r="P4050" s="28"/>
      <c r="Q4050" s="28" t="n">
        <f aca="false">P4050*$M4050</f>
        <v>0</v>
      </c>
      <c r="R4050" s="28"/>
      <c r="S4050" s="28" t="n">
        <f aca="false">R4050*$M4050</f>
        <v>0</v>
      </c>
      <c r="T4050" s="28"/>
      <c r="U4050" s="28" t="n">
        <f aca="false">T4050*$M4050</f>
        <v>0</v>
      </c>
      <c r="V4050" s="28" t="n">
        <v>6275</v>
      </c>
      <c r="W4050" s="28" t="n">
        <v>12550</v>
      </c>
      <c r="X4050" s="28" t="n">
        <v>8662</v>
      </c>
      <c r="Y4050" s="28" t="n">
        <v>17324</v>
      </c>
      <c r="Z4050" s="28"/>
      <c r="AA4050" s="28" t="n">
        <f aca="false">Z4050*$M4050</f>
        <v>0</v>
      </c>
      <c r="AB4050" s="28" t="n">
        <v>2196</v>
      </c>
      <c r="AC4050" s="28" t="n">
        <v>4392</v>
      </c>
      <c r="AD4050" s="28"/>
      <c r="AE4050" s="28" t="n">
        <f aca="false">AD4050*$M4050</f>
        <v>0</v>
      </c>
      <c r="AF4050" s="28"/>
      <c r="AG4050" s="28" t="n">
        <f aca="false">AF4050*$M4050</f>
        <v>0</v>
      </c>
      <c r="AH4050" s="28"/>
      <c r="AI4050" s="28" t="n">
        <f aca="false">AH4050*$M4050</f>
        <v>0</v>
      </c>
      <c r="AJ4050" s="28"/>
      <c r="AK4050" s="28" t="n">
        <f aca="false">AJ4050*$M4050</f>
        <v>0</v>
      </c>
      <c r="AL4050" s="28"/>
      <c r="AM4050" s="28" t="n">
        <f aca="false">AL4050*$M4050</f>
        <v>0</v>
      </c>
      <c r="AN4050" s="28"/>
      <c r="AO4050" s="28" t="n">
        <f aca="false">AN4050*$M4050</f>
        <v>0</v>
      </c>
      <c r="AP4050" s="28"/>
      <c r="AQ4050" s="28" t="n">
        <f aca="false">AP4050*$M4050</f>
        <v>0</v>
      </c>
      <c r="AR4050" s="28"/>
      <c r="AS4050" s="28" t="n">
        <f aca="false">AR4050*$M4050</f>
        <v>0</v>
      </c>
      <c r="AT4050" s="28"/>
      <c r="AU4050" s="28" t="n">
        <f aca="false">AT4050*$M4050</f>
        <v>0</v>
      </c>
      <c r="AV4050" s="28"/>
      <c r="AW4050" s="28" t="n">
        <f aca="false">AV4050*$M4050</f>
        <v>0</v>
      </c>
      <c r="AX4050" s="28"/>
      <c r="AY4050" s="28" t="n">
        <f aca="false">AX4050*$M4050</f>
        <v>0</v>
      </c>
      <c r="AZ4050" s="30" t="n">
        <v>17133</v>
      </c>
      <c r="BA4050" s="11" t="n">
        <v>34266</v>
      </c>
      <c r="BB4050" s="31" t="n">
        <f aca="false">SUM(Q4050,S4050,U4050,W4050,Y4050,AA4050,AC4050,AE4050,AG4050,AI4050,AK4050,AM4050,AO4050,AQ4050,AS4050,AU4050,AW4050,AY4050)</f>
        <v>34266</v>
      </c>
      <c r="BC4050" s="28" t="n">
        <f aca="false">BA4050-BB4050</f>
        <v>0</v>
      </c>
      <c r="BD4050" s="32" t="n">
        <f aca="false">SUM(P4050,R4050,T4050,V4050,X4050,Z4050,AB4050,AD4050,AF4050,AH4050,AJ4050,AL4050,AN4050,AP4050,AR4050,AT4050,AV4050,AX4050)</f>
        <v>17133</v>
      </c>
      <c r="BE4050" s="33" t="n">
        <f aca="false">AZ4050-BD4050</f>
        <v>0</v>
      </c>
      <c r="BF4050" s="34" t="n">
        <f aca="false">BD4050*M4050</f>
        <v>34266</v>
      </c>
      <c r="BG4050" s="35" t="n">
        <f aca="false">BA4050-BF4050</f>
        <v>0</v>
      </c>
      <c r="BH4050" s="19" t="str">
        <f aca="false">IF(BG4050=0,"",IF(BG4050&lt;&gt;BA4050,"erreur de calcul",IF(BD4050&lt;&gt;0,"pas de prix",IF(M4050&lt;&gt; 0,"pas de quantité","pas de prix, ni de quantité"))))</f>
        <v/>
      </c>
      <c r="BI4050" s="19"/>
    </row>
    <row r="4051" customFormat="false" ht="15" hidden="false" customHeight="false" outlineLevel="0" collapsed="false">
      <c r="A4051" s="0" t="n">
        <v>24</v>
      </c>
      <c r="B4051" s="8" t="s">
        <v>24</v>
      </c>
      <c r="C4051" s="9" t="s">
        <v>25</v>
      </c>
      <c r="D4051" s="9" t="s">
        <v>26</v>
      </c>
      <c r="E4051" s="10" t="n">
        <v>1789</v>
      </c>
      <c r="F4051" s="9" t="s">
        <v>27</v>
      </c>
      <c r="G4051" s="9" t="s">
        <v>27</v>
      </c>
      <c r="H4051" s="11" t="n">
        <v>23</v>
      </c>
      <c r="I4051" s="11" t="s">
        <v>266</v>
      </c>
      <c r="J4051" s="14" t="n">
        <v>17</v>
      </c>
      <c r="K4051" s="14" t="n">
        <v>10</v>
      </c>
      <c r="L4051" s="16"/>
      <c r="M4051" s="27" t="n">
        <f aca="false">J4051+(K4051/20)+(L4051/240)</f>
        <v>17.5</v>
      </c>
      <c r="N4051" s="17" t="s">
        <v>64</v>
      </c>
      <c r="O4051" s="11"/>
      <c r="P4051" s="28" t="n">
        <f aca="false">147621/100</f>
        <v>1476.21</v>
      </c>
      <c r="Q4051" s="28" t="n">
        <v>25834</v>
      </c>
      <c r="R4051" s="28"/>
      <c r="S4051" s="28" t="n">
        <f aca="false">R4051*$M4051</f>
        <v>0</v>
      </c>
      <c r="T4051" s="28"/>
      <c r="U4051" s="28" t="n">
        <f aca="false">T4051*$M4051</f>
        <v>0</v>
      </c>
      <c r="V4051" s="28"/>
      <c r="W4051" s="28" t="n">
        <f aca="false">V4051*$M4051</f>
        <v>0</v>
      </c>
      <c r="X4051" s="28" t="n">
        <f aca="false">7220/100</f>
        <v>72.2</v>
      </c>
      <c r="Y4051" s="28" t="n">
        <v>1263</v>
      </c>
      <c r="Z4051" s="28"/>
      <c r="AA4051" s="28" t="n">
        <f aca="false">Z4051*$M4051</f>
        <v>0</v>
      </c>
      <c r="AB4051" s="28" t="n">
        <f aca="false">524444/100</f>
        <v>5244.44</v>
      </c>
      <c r="AC4051" s="36" t="n">
        <v>91767</v>
      </c>
      <c r="AD4051" s="28"/>
      <c r="AE4051" s="28" t="n">
        <f aca="false">AD4051*$M4051</f>
        <v>0</v>
      </c>
      <c r="AF4051" s="28"/>
      <c r="AG4051" s="28" t="n">
        <f aca="false">AF4051*$M4051</f>
        <v>0</v>
      </c>
      <c r="AH4051" s="28" t="n">
        <f aca="false">124394/100</f>
        <v>1243.94</v>
      </c>
      <c r="AI4051" s="28" t="n">
        <v>21769</v>
      </c>
      <c r="AJ4051" s="28"/>
      <c r="AK4051" s="28" t="n">
        <f aca="false">AJ4051*$M4051</f>
        <v>0</v>
      </c>
      <c r="AL4051" s="28"/>
      <c r="AM4051" s="28" t="n">
        <f aca="false">AL4051*$M4051</f>
        <v>0</v>
      </c>
      <c r="AN4051" s="28"/>
      <c r="AO4051" s="28" t="n">
        <f aca="false">AN4051*$M4051</f>
        <v>0</v>
      </c>
      <c r="AP4051" s="28"/>
      <c r="AQ4051" s="28" t="n">
        <f aca="false">AP4051*$M4051</f>
        <v>0</v>
      </c>
      <c r="AR4051" s="28"/>
      <c r="AS4051" s="28" t="n">
        <f aca="false">AR4051*$M4051</f>
        <v>0</v>
      </c>
      <c r="AT4051" s="28"/>
      <c r="AU4051" s="28" t="n">
        <f aca="false">AT4051*$M4051</f>
        <v>0</v>
      </c>
      <c r="AV4051" s="28"/>
      <c r="AW4051" s="28" t="n">
        <f aca="false">AV4051*$M4051</f>
        <v>0</v>
      </c>
      <c r="AX4051" s="28"/>
      <c r="AY4051" s="28" t="n">
        <f aca="false">AX4051*$M4051</f>
        <v>0</v>
      </c>
      <c r="AZ4051" s="30" t="n">
        <f aca="false">803679/100</f>
        <v>8036.79</v>
      </c>
      <c r="BA4051" s="11" t="n">
        <v>140633</v>
      </c>
      <c r="BB4051" s="31" t="n">
        <f aca="false">SUM(Q4051,S4051,U4051,W4051,Y4051,AA4051,AC4051,AE4051,AG4051,AI4051,AK4051,AM4051,AO4051,AQ4051,AS4051,AU4051,AW4051,AY4051)</f>
        <v>140633</v>
      </c>
      <c r="BC4051" s="28" t="n">
        <f aca="false">BA4051-BB4051</f>
        <v>0</v>
      </c>
      <c r="BD4051" s="32" t="n">
        <f aca="false">SUM(P4051,R4051,T4051,V4051,X4051,Z4051,AB4051,AD4051,AF4051,AH4051,AJ4051,AL4051,AN4051,AP4051,AR4051,AT4051,AV4051,AX4051)</f>
        <v>8036.79</v>
      </c>
      <c r="BE4051" s="33" t="n">
        <f aca="false">AZ4051-BD4051</f>
        <v>0</v>
      </c>
      <c r="BF4051" s="34" t="n">
        <f aca="false">BD4051*M4051</f>
        <v>140643.825</v>
      </c>
      <c r="BG4051" s="35" t="n">
        <f aca="false">BA4051-BF4051</f>
        <v>-10.8249999999825</v>
      </c>
      <c r="BH4051" s="19" t="str">
        <f aca="false">IF(BG4051=0,"",IF(BG4051&lt;&gt;BA4051,"erreur de calcul",IF(BD4051&lt;&gt;0,"pas de prix",IF(M4051&lt;&gt; 0,"pas de quantité","pas de prix, ni de quantité"))))</f>
        <v>erreur de calcul</v>
      </c>
      <c r="BI4051" s="19"/>
    </row>
    <row r="4052" customFormat="false" ht="15" hidden="false" customHeight="false" outlineLevel="0" collapsed="false">
      <c r="A4052" s="0" t="n">
        <v>25</v>
      </c>
      <c r="B4052" s="8" t="s">
        <v>24</v>
      </c>
      <c r="C4052" s="9" t="s">
        <v>25</v>
      </c>
      <c r="D4052" s="9" t="s">
        <v>26</v>
      </c>
      <c r="E4052" s="10" t="n">
        <v>1789</v>
      </c>
      <c r="F4052" s="9" t="s">
        <v>27</v>
      </c>
      <c r="G4052" s="9" t="s">
        <v>27</v>
      </c>
      <c r="H4052" s="11" t="n">
        <v>23</v>
      </c>
      <c r="I4052" s="11" t="s">
        <v>267</v>
      </c>
      <c r="J4052" s="14" t="n">
        <v>25</v>
      </c>
      <c r="K4052" s="14"/>
      <c r="L4052" s="16"/>
      <c r="M4052" s="27" t="n">
        <f aca="false">J4052+(K4052/20)+(L4052/240)</f>
        <v>25</v>
      </c>
      <c r="N4052" s="17" t="s">
        <v>64</v>
      </c>
      <c r="O4052" s="11"/>
      <c r="P4052" s="28"/>
      <c r="Q4052" s="28" t="n">
        <f aca="false">P4052*$M4052</f>
        <v>0</v>
      </c>
      <c r="R4052" s="28"/>
      <c r="S4052" s="28" t="n">
        <f aca="false">R4052*$M4052</f>
        <v>0</v>
      </c>
      <c r="T4052" s="28"/>
      <c r="U4052" s="28" t="n">
        <f aca="false">T4052*$M4052</f>
        <v>0</v>
      </c>
      <c r="V4052" s="28"/>
      <c r="W4052" s="28" t="n">
        <f aca="false">V4052*$M4052</f>
        <v>0</v>
      </c>
      <c r="X4052" s="28"/>
      <c r="Y4052" s="28" t="n">
        <f aca="false">X4052*$M4052</f>
        <v>0</v>
      </c>
      <c r="Z4052" s="28"/>
      <c r="AA4052" s="28" t="n">
        <f aca="false">Z4052*$M4052</f>
        <v>0</v>
      </c>
      <c r="AB4052" s="28" t="n">
        <f aca="false">136004/100</f>
        <v>1360.04</v>
      </c>
      <c r="AC4052" s="28" t="n">
        <v>34001</v>
      </c>
      <c r="AD4052" s="28"/>
      <c r="AE4052" s="28" t="n">
        <f aca="false">AD4052*$M4052</f>
        <v>0</v>
      </c>
      <c r="AF4052" s="28"/>
      <c r="AG4052" s="28" t="n">
        <f aca="false">AF4052*$M4052</f>
        <v>0</v>
      </c>
      <c r="AH4052" s="28" t="n">
        <f aca="false">173052/100</f>
        <v>1730.52</v>
      </c>
      <c r="AI4052" s="28" t="n">
        <v>43263</v>
      </c>
      <c r="AJ4052" s="28"/>
      <c r="AK4052" s="28" t="n">
        <f aca="false">AJ4052*$M4052</f>
        <v>0</v>
      </c>
      <c r="AL4052" s="28"/>
      <c r="AM4052" s="28" t="n">
        <f aca="false">AL4052*$M4052</f>
        <v>0</v>
      </c>
      <c r="AN4052" s="28"/>
      <c r="AO4052" s="28" t="n">
        <f aca="false">AN4052*$M4052</f>
        <v>0</v>
      </c>
      <c r="AP4052" s="28"/>
      <c r="AQ4052" s="28" t="n">
        <f aca="false">AP4052*$M4052</f>
        <v>0</v>
      </c>
      <c r="AR4052" s="28"/>
      <c r="AS4052" s="28" t="n">
        <f aca="false">AR4052*$M4052</f>
        <v>0</v>
      </c>
      <c r="AT4052" s="28"/>
      <c r="AU4052" s="28" t="n">
        <f aca="false">AT4052*$M4052</f>
        <v>0</v>
      </c>
      <c r="AV4052" s="28"/>
      <c r="AW4052" s="28" t="n">
        <f aca="false">AV4052*$M4052</f>
        <v>0</v>
      </c>
      <c r="AX4052" s="28"/>
      <c r="AY4052" s="28" t="n">
        <f aca="false">AX4052*$M4052</f>
        <v>0</v>
      </c>
      <c r="AZ4052" s="30" t="n">
        <f aca="false">309056/100</f>
        <v>3090.56</v>
      </c>
      <c r="BA4052" s="11" t="n">
        <v>77264</v>
      </c>
      <c r="BB4052" s="31" t="n">
        <f aca="false">SUM(Q4052,S4052,U4052,W4052,Y4052,AA4052,AC4052,AE4052,AG4052,AI4052,AK4052,AM4052,AO4052,AQ4052,AS4052,AU4052,AW4052,AY4052)</f>
        <v>77264</v>
      </c>
      <c r="BC4052" s="28" t="n">
        <f aca="false">BA4052-BB4052</f>
        <v>0</v>
      </c>
      <c r="BD4052" s="32" t="n">
        <f aca="false">SUM(P4052,R4052,T4052,V4052,X4052,Z4052,AB4052,AD4052,AF4052,AH4052,AJ4052,AL4052,AN4052,AP4052,AR4052,AT4052,AV4052,AX4052)</f>
        <v>3090.56</v>
      </c>
      <c r="BE4052" s="33" t="n">
        <f aca="false">AZ4052-BD4052</f>
        <v>0</v>
      </c>
      <c r="BF4052" s="34" t="n">
        <f aca="false">BD4052*M4052</f>
        <v>77264</v>
      </c>
      <c r="BG4052" s="35" t="n">
        <f aca="false">BA4052-BF4052</f>
        <v>0</v>
      </c>
      <c r="BH4052" s="19" t="str">
        <f aca="false">IF(BG4052=0,"",IF(BG4052&lt;&gt;BA4052,"erreur de calcul",IF(BD4052&lt;&gt;0,"pas de prix",IF(M4052&lt;&gt; 0,"pas de quantité","pas de prix, ni de quantité"))))</f>
        <v/>
      </c>
      <c r="BI4052" s="19"/>
    </row>
    <row r="4053" customFormat="false" ht="15" hidden="false" customHeight="false" outlineLevel="0" collapsed="false">
      <c r="A4053" s="0" t="n">
        <v>26</v>
      </c>
      <c r="B4053" s="8" t="s">
        <v>24</v>
      </c>
      <c r="C4053" s="9" t="s">
        <v>25</v>
      </c>
      <c r="D4053" s="9" t="s">
        <v>26</v>
      </c>
      <c r="E4053" s="10" t="n">
        <v>1789</v>
      </c>
      <c r="F4053" s="9" t="s">
        <v>27</v>
      </c>
      <c r="G4053" s="9" t="s">
        <v>27</v>
      </c>
      <c r="H4053" s="11" t="n">
        <v>23</v>
      </c>
      <c r="I4053" s="11" t="s">
        <v>268</v>
      </c>
      <c r="J4053" s="14" t="n">
        <v>8</v>
      </c>
      <c r="K4053" s="14"/>
      <c r="L4053" s="16"/>
      <c r="M4053" s="27" t="n">
        <f aca="false">J4053+(K4053/20)+(L4053/240)</f>
        <v>8</v>
      </c>
      <c r="N4053" s="17" t="s">
        <v>64</v>
      </c>
      <c r="O4053" s="11"/>
      <c r="P4053" s="28"/>
      <c r="Q4053" s="28" t="n">
        <f aca="false">P4053*$M4053</f>
        <v>0</v>
      </c>
      <c r="R4053" s="28"/>
      <c r="S4053" s="28" t="n">
        <f aca="false">R4053*$M4053</f>
        <v>0</v>
      </c>
      <c r="T4053" s="28" t="n">
        <f aca="false">260752/100</f>
        <v>2607.52</v>
      </c>
      <c r="U4053" s="28" t="n">
        <v>20860</v>
      </c>
      <c r="V4053" s="28" t="n">
        <f aca="false">170453/100</f>
        <v>1704.53</v>
      </c>
      <c r="W4053" s="28" t="n">
        <v>13636</v>
      </c>
      <c r="X4053" s="28"/>
      <c r="Y4053" s="28" t="n">
        <f aca="false">X4053*$M4053</f>
        <v>0</v>
      </c>
      <c r="Z4053" s="28"/>
      <c r="AA4053" s="28" t="n">
        <f aca="false">Z4053*$M4053</f>
        <v>0</v>
      </c>
      <c r="AB4053" s="28"/>
      <c r="AC4053" s="28" t="n">
        <f aca="false">AB4053*$M4053</f>
        <v>0</v>
      </c>
      <c r="AD4053" s="28"/>
      <c r="AE4053" s="28" t="n">
        <f aca="false">AD4053*$M4053</f>
        <v>0</v>
      </c>
      <c r="AF4053" s="28"/>
      <c r="AG4053" s="28" t="n">
        <f aca="false">AF4053*$M4053</f>
        <v>0</v>
      </c>
      <c r="AH4053" s="28"/>
      <c r="AI4053" s="28" t="n">
        <f aca="false">AH4053*$M4053</f>
        <v>0</v>
      </c>
      <c r="AJ4053" s="28"/>
      <c r="AK4053" s="28" t="n">
        <f aca="false">AJ4053*$M4053</f>
        <v>0</v>
      </c>
      <c r="AL4053" s="28"/>
      <c r="AM4053" s="28" t="n">
        <f aca="false">AL4053*$M4053</f>
        <v>0</v>
      </c>
      <c r="AN4053" s="28"/>
      <c r="AO4053" s="28" t="n">
        <f aca="false">AN4053*$M4053</f>
        <v>0</v>
      </c>
      <c r="AP4053" s="28"/>
      <c r="AQ4053" s="28" t="n">
        <f aca="false">AP4053*$M4053</f>
        <v>0</v>
      </c>
      <c r="AR4053" s="28"/>
      <c r="AS4053" s="28" t="n">
        <f aca="false">AR4053*$M4053</f>
        <v>0</v>
      </c>
      <c r="AT4053" s="28"/>
      <c r="AU4053" s="28" t="n">
        <f aca="false">AT4053*$M4053</f>
        <v>0</v>
      </c>
      <c r="AV4053" s="28"/>
      <c r="AW4053" s="28" t="n">
        <f aca="false">AV4053*$M4053</f>
        <v>0</v>
      </c>
      <c r="AX4053" s="28"/>
      <c r="AY4053" s="28" t="n">
        <f aca="false">AX4053*$M4053</f>
        <v>0</v>
      </c>
      <c r="AZ4053" s="30" t="n">
        <f aca="false">431205/100</f>
        <v>4312.05</v>
      </c>
      <c r="BA4053" s="11" t="n">
        <v>34496</v>
      </c>
      <c r="BB4053" s="31" t="n">
        <f aca="false">SUM(Q4053,S4053,U4053,W4053,Y4053,AA4053,AC4053,AE4053,AG4053,AI4053,AK4053,AM4053,AO4053,AQ4053,AS4053,AU4053,AW4053,AY4053)</f>
        <v>34496</v>
      </c>
      <c r="BC4053" s="28" t="n">
        <f aca="false">BA4053-BB4053</f>
        <v>0</v>
      </c>
      <c r="BD4053" s="32" t="n">
        <f aca="false">SUM(P4053,R4053,T4053,V4053,X4053,Z4053,AB4053,AD4053,AF4053,AH4053,AJ4053,AL4053,AN4053,AP4053,AR4053,AT4053,AV4053,AX4053)</f>
        <v>4312.05</v>
      </c>
      <c r="BE4053" s="33" t="n">
        <f aca="false">AZ4053-BD4053</f>
        <v>0</v>
      </c>
      <c r="BF4053" s="34" t="n">
        <f aca="false">BD4053*M4053</f>
        <v>34496.4</v>
      </c>
      <c r="BG4053" s="35" t="n">
        <f aca="false">BA4053-BF4053</f>
        <v>-0.400000000001455</v>
      </c>
      <c r="BH4053" s="19" t="str">
        <f aca="false">IF(BG4053=0,"",IF(BG4053&lt;&gt;BA4053,"erreur de calcul",IF(BD4053&lt;&gt;0,"pas de prix",IF(M4053&lt;&gt; 0,"pas de quantité","pas de prix, ni de quantité"))))</f>
        <v>erreur de calcul</v>
      </c>
      <c r="BI4053" s="19"/>
    </row>
    <row r="4054" customFormat="false" ht="15" hidden="false" customHeight="false" outlineLevel="0" collapsed="false">
      <c r="A4054" s="0" t="n">
        <v>27</v>
      </c>
      <c r="B4054" s="8" t="s">
        <v>24</v>
      </c>
      <c r="C4054" s="9" t="s">
        <v>25</v>
      </c>
      <c r="D4054" s="9" t="s">
        <v>26</v>
      </c>
      <c r="E4054" s="10" t="n">
        <v>1789</v>
      </c>
      <c r="F4054" s="9" t="s">
        <v>27</v>
      </c>
      <c r="G4054" s="9" t="s">
        <v>27</v>
      </c>
      <c r="H4054" s="11" t="n">
        <v>23</v>
      </c>
      <c r="I4054" s="11" t="s">
        <v>269</v>
      </c>
      <c r="J4054" s="14"/>
      <c r="K4054" s="14" t="n">
        <v>50</v>
      </c>
      <c r="L4054" s="16"/>
      <c r="M4054" s="27" t="n">
        <f aca="false">J4054+(K4054/20)+(L4054/240)</f>
        <v>2.5</v>
      </c>
      <c r="N4054" s="17" t="s">
        <v>85</v>
      </c>
      <c r="O4054" s="11"/>
      <c r="P4054" s="28"/>
      <c r="Q4054" s="28" t="n">
        <f aca="false">P4054*$M4054</f>
        <v>0</v>
      </c>
      <c r="R4054" s="28"/>
      <c r="S4054" s="28" t="n">
        <f aca="false">R4054*$M4054</f>
        <v>0</v>
      </c>
      <c r="T4054" s="28" t="n">
        <f aca="false">221150/100</f>
        <v>2211.5</v>
      </c>
      <c r="U4054" s="28" t="n">
        <v>5529</v>
      </c>
      <c r="V4054" s="28" t="n">
        <f aca="false">3922156/100</f>
        <v>39221.56</v>
      </c>
      <c r="W4054" s="28" t="n">
        <v>98054</v>
      </c>
      <c r="X4054" s="28"/>
      <c r="Y4054" s="28" t="n">
        <f aca="false">X4054*$M4054</f>
        <v>0</v>
      </c>
      <c r="Z4054" s="28"/>
      <c r="AA4054" s="28" t="n">
        <f aca="false">Z4054*$M4054</f>
        <v>0</v>
      </c>
      <c r="AB4054" s="28" t="n">
        <f aca="false">297900/100</f>
        <v>2979</v>
      </c>
      <c r="AC4054" s="28" t="n">
        <v>7447</v>
      </c>
      <c r="AD4054" s="28"/>
      <c r="AE4054" s="28" t="n">
        <f aca="false">AD4054*$M4054</f>
        <v>0</v>
      </c>
      <c r="AF4054" s="28"/>
      <c r="AG4054" s="28" t="n">
        <f aca="false">AF4054*$M4054</f>
        <v>0</v>
      </c>
      <c r="AH4054" s="28"/>
      <c r="AI4054" s="28" t="n">
        <f aca="false">AH4054*$M4054</f>
        <v>0</v>
      </c>
      <c r="AJ4054" s="28"/>
      <c r="AK4054" s="28" t="n">
        <f aca="false">AJ4054*$M4054</f>
        <v>0</v>
      </c>
      <c r="AL4054" s="28"/>
      <c r="AM4054" s="28" t="n">
        <f aca="false">AL4054*$M4054</f>
        <v>0</v>
      </c>
      <c r="AN4054" s="28"/>
      <c r="AO4054" s="28" t="n">
        <f aca="false">AN4054*$M4054</f>
        <v>0</v>
      </c>
      <c r="AP4054" s="28"/>
      <c r="AQ4054" s="28" t="n">
        <f aca="false">AP4054*$M4054</f>
        <v>0</v>
      </c>
      <c r="AR4054" s="28"/>
      <c r="AS4054" s="28" t="n">
        <f aca="false">AR4054*$M4054</f>
        <v>0</v>
      </c>
      <c r="AT4054" s="28"/>
      <c r="AU4054" s="28" t="n">
        <f aca="false">AT4054*$M4054</f>
        <v>0</v>
      </c>
      <c r="AV4054" s="28"/>
      <c r="AW4054" s="28" t="n">
        <f aca="false">AV4054*$M4054</f>
        <v>0</v>
      </c>
      <c r="AX4054" s="28"/>
      <c r="AY4054" s="28" t="n">
        <f aca="false">AX4054*$M4054</f>
        <v>0</v>
      </c>
      <c r="AZ4054" s="30" t="n">
        <f aca="false">4441206/100</f>
        <v>44412.06</v>
      </c>
      <c r="BA4054" s="11" t="n">
        <v>111030</v>
      </c>
      <c r="BB4054" s="31" t="n">
        <f aca="false">SUM(Q4054,S4054,U4054,W4054,Y4054,AA4054,AC4054,AE4054,AG4054,AI4054,AK4054,AM4054,AO4054,AQ4054,AS4054,AU4054,AW4054,AY4054)</f>
        <v>111030</v>
      </c>
      <c r="BC4054" s="28" t="n">
        <f aca="false">BA4054-BB4054</f>
        <v>0</v>
      </c>
      <c r="BD4054" s="32" t="n">
        <f aca="false">SUM(P4054,R4054,T4054,V4054,X4054,Z4054,AB4054,AD4054,AF4054,AH4054,AJ4054,AL4054,AN4054,AP4054,AR4054,AT4054,AV4054,AX4054)</f>
        <v>44412.06</v>
      </c>
      <c r="BE4054" s="33" t="n">
        <f aca="false">AZ4054-BD4054</f>
        <v>0</v>
      </c>
      <c r="BF4054" s="34" t="n">
        <f aca="false">BD4054*M4054</f>
        <v>111030.15</v>
      </c>
      <c r="BG4054" s="35" t="n">
        <f aca="false">BA4054-BF4054</f>
        <v>-0.149999999994179</v>
      </c>
      <c r="BH4054" s="19" t="str">
        <f aca="false">IF(BG4054=0,"",IF(BG4054&lt;&gt;BA4054,"erreur de calcul",IF(BD4054&lt;&gt;0,"pas de prix",IF(M4054&lt;&gt; 0,"pas de quantité","pas de prix, ni de quantité"))))</f>
        <v>erreur de calcul</v>
      </c>
      <c r="BI4054" s="19"/>
    </row>
    <row r="4055" customFormat="false" ht="15" hidden="false" customHeight="false" outlineLevel="0" collapsed="false">
      <c r="A4055" s="0" t="n">
        <v>28</v>
      </c>
      <c r="B4055" s="8" t="s">
        <v>24</v>
      </c>
      <c r="C4055" s="9" t="s">
        <v>25</v>
      </c>
      <c r="D4055" s="9" t="s">
        <v>26</v>
      </c>
      <c r="E4055" s="10" t="n">
        <v>1789</v>
      </c>
      <c r="F4055" s="9" t="s">
        <v>27</v>
      </c>
      <c r="G4055" s="9" t="s">
        <v>27</v>
      </c>
      <c r="H4055" s="11" t="n">
        <v>23</v>
      </c>
      <c r="I4055" s="11" t="s">
        <v>270</v>
      </c>
      <c r="J4055" s="14" t="n">
        <v>5</v>
      </c>
      <c r="K4055" s="14"/>
      <c r="L4055" s="16"/>
      <c r="M4055" s="27" t="n">
        <f aca="false">J4055+(K4055/20)+(L4055/240)</f>
        <v>5</v>
      </c>
      <c r="N4055" s="17" t="s">
        <v>85</v>
      </c>
      <c r="O4055" s="11"/>
      <c r="P4055" s="28" t="n">
        <f aca="false">328200/100</f>
        <v>3282</v>
      </c>
      <c r="Q4055" s="28" t="n">
        <v>16410</v>
      </c>
      <c r="R4055" s="28"/>
      <c r="S4055" s="28" t="n">
        <f aca="false">R4055*$M4055</f>
        <v>0</v>
      </c>
      <c r="T4055" s="28" t="n">
        <f aca="false">667000/100</f>
        <v>6670</v>
      </c>
      <c r="U4055" s="36" t="n">
        <v>33360</v>
      </c>
      <c r="V4055" s="28" t="n">
        <f aca="false">506800/100</f>
        <v>5068</v>
      </c>
      <c r="W4055" s="28" t="n">
        <v>25340</v>
      </c>
      <c r="X4055" s="28"/>
      <c r="Y4055" s="28" t="n">
        <f aca="false">X4055*$M4055</f>
        <v>0</v>
      </c>
      <c r="Z4055" s="28"/>
      <c r="AA4055" s="28" t="n">
        <f aca="false">Z4055*$M4055</f>
        <v>0</v>
      </c>
      <c r="AB4055" s="28"/>
      <c r="AC4055" s="28" t="n">
        <f aca="false">AB4055*$M4055</f>
        <v>0</v>
      </c>
      <c r="AD4055" s="28"/>
      <c r="AE4055" s="28" t="n">
        <f aca="false">AD4055*$M4055</f>
        <v>0</v>
      </c>
      <c r="AF4055" s="28"/>
      <c r="AG4055" s="28" t="n">
        <f aca="false">AF4055*$M4055</f>
        <v>0</v>
      </c>
      <c r="AH4055" s="28" t="n">
        <f aca="false">320500/100</f>
        <v>3205</v>
      </c>
      <c r="AI4055" s="28" t="n">
        <v>16025</v>
      </c>
      <c r="AJ4055" s="28"/>
      <c r="AK4055" s="28" t="n">
        <f aca="false">AJ4055*$M4055</f>
        <v>0</v>
      </c>
      <c r="AL4055" s="28"/>
      <c r="AM4055" s="28" t="n">
        <f aca="false">AL4055*$M4055</f>
        <v>0</v>
      </c>
      <c r="AN4055" s="28"/>
      <c r="AO4055" s="28" t="n">
        <f aca="false">AN4055*$M4055</f>
        <v>0</v>
      </c>
      <c r="AP4055" s="28"/>
      <c r="AQ4055" s="28" t="n">
        <f aca="false">AP4055*$M4055</f>
        <v>0</v>
      </c>
      <c r="AR4055" s="28"/>
      <c r="AS4055" s="28" t="n">
        <f aca="false">AR4055*$M4055</f>
        <v>0</v>
      </c>
      <c r="AT4055" s="28"/>
      <c r="AU4055" s="28" t="n">
        <f aca="false">AT4055*$M4055</f>
        <v>0</v>
      </c>
      <c r="AV4055" s="28"/>
      <c r="AW4055" s="28" t="n">
        <f aca="false">AV4055*$M4055</f>
        <v>0</v>
      </c>
      <c r="AX4055" s="28"/>
      <c r="AY4055" s="28" t="n">
        <f aca="false">AX4055*$M4055</f>
        <v>0</v>
      </c>
      <c r="AZ4055" s="30" t="n">
        <f aca="false">1822500/100</f>
        <v>18225</v>
      </c>
      <c r="BA4055" s="11" t="n">
        <v>91135</v>
      </c>
      <c r="BB4055" s="31" t="n">
        <f aca="false">SUM(Q4055,S4055,U4055,W4055,Y4055,AA4055,AC4055,AE4055,AG4055,AI4055,AK4055,AM4055,AO4055,AQ4055,AS4055,AU4055,AW4055,AY4055)</f>
        <v>91135</v>
      </c>
      <c r="BC4055" s="28" t="n">
        <f aca="false">BA4055-BB4055</f>
        <v>0</v>
      </c>
      <c r="BD4055" s="32" t="n">
        <f aca="false">SUM(P4055,R4055,T4055,V4055,X4055,Z4055,AB4055,AD4055,AF4055,AH4055,AJ4055,AL4055,AN4055,AP4055,AR4055,AT4055,AV4055,AX4055)</f>
        <v>18225</v>
      </c>
      <c r="BE4055" s="33" t="n">
        <f aca="false">AZ4055-BD4055</f>
        <v>0</v>
      </c>
      <c r="BF4055" s="34" t="n">
        <f aca="false">BD4055*M4055</f>
        <v>91125</v>
      </c>
      <c r="BG4055" s="35" t="n">
        <f aca="false">BA4055-BF4055</f>
        <v>10</v>
      </c>
      <c r="BH4055" s="19" t="str">
        <f aca="false">IF(BG4055=0,"",IF(BG4055&lt;&gt;BA4055,"erreur de calcul",IF(BD4055&lt;&gt;0,"pas de prix",IF(M4055&lt;&gt; 0,"pas de quantité","pas de prix, ni de quantité"))))</f>
        <v>erreur de calcul</v>
      </c>
      <c r="BI4055" s="19"/>
    </row>
    <row r="4056" customFormat="false" ht="15" hidden="false" customHeight="false" outlineLevel="0" collapsed="false">
      <c r="A4056" s="0" t="n">
        <v>29</v>
      </c>
      <c r="B4056" s="8" t="s">
        <v>24</v>
      </c>
      <c r="C4056" s="9" t="s">
        <v>25</v>
      </c>
      <c r="D4056" s="9" t="s">
        <v>26</v>
      </c>
      <c r="E4056" s="10" t="n">
        <v>1789</v>
      </c>
      <c r="F4056" s="9" t="s">
        <v>27</v>
      </c>
      <c r="G4056" s="9" t="s">
        <v>27</v>
      </c>
      <c r="H4056" s="11" t="n">
        <v>23</v>
      </c>
      <c r="I4056" s="11" t="s">
        <v>271</v>
      </c>
      <c r="J4056" s="14" t="n">
        <v>7</v>
      </c>
      <c r="K4056" s="14" t="n">
        <v>10</v>
      </c>
      <c r="L4056" s="16"/>
      <c r="M4056" s="27" t="n">
        <f aca="false">J4056+(K4056/20)+(L4056/240)</f>
        <v>7.5</v>
      </c>
      <c r="N4056" s="17" t="s">
        <v>64</v>
      </c>
      <c r="O4056" s="11"/>
      <c r="P4056" s="28"/>
      <c r="Q4056" s="28" t="n">
        <f aca="false">P4056*$M4056</f>
        <v>0</v>
      </c>
      <c r="R4056" s="28"/>
      <c r="S4056" s="28" t="n">
        <f aca="false">R4056*$M4056</f>
        <v>0</v>
      </c>
      <c r="T4056" s="28"/>
      <c r="U4056" s="28" t="n">
        <f aca="false">T4056*$M4056</f>
        <v>0</v>
      </c>
      <c r="V4056" s="28" t="n">
        <f aca="false">191888/100</f>
        <v>1918.88</v>
      </c>
      <c r="W4056" s="28" t="n">
        <v>14392</v>
      </c>
      <c r="X4056" s="28"/>
      <c r="Y4056" s="28" t="n">
        <f aca="false">X4056*$M4056</f>
        <v>0</v>
      </c>
      <c r="Z4056" s="28"/>
      <c r="AA4056" s="28" t="n">
        <f aca="false">Z4056*$M4056</f>
        <v>0</v>
      </c>
      <c r="AB4056" s="28"/>
      <c r="AC4056" s="28" t="n">
        <f aca="false">AB4056*$M4056</f>
        <v>0</v>
      </c>
      <c r="AD4056" s="28"/>
      <c r="AE4056" s="28" t="n">
        <f aca="false">AD4056*$M4056</f>
        <v>0</v>
      </c>
      <c r="AF4056" s="28"/>
      <c r="AG4056" s="28" t="n">
        <f aca="false">AF4056*$M4056</f>
        <v>0</v>
      </c>
      <c r="AH4056" s="28"/>
      <c r="AI4056" s="28" t="n">
        <f aca="false">AH4056*$M4056</f>
        <v>0</v>
      </c>
      <c r="AJ4056" s="28"/>
      <c r="AK4056" s="28" t="n">
        <f aca="false">AJ4056*$M4056</f>
        <v>0</v>
      </c>
      <c r="AL4056" s="28"/>
      <c r="AM4056" s="28" t="n">
        <f aca="false">AL4056*$M4056</f>
        <v>0</v>
      </c>
      <c r="AN4056" s="28"/>
      <c r="AO4056" s="28" t="n">
        <f aca="false">AN4056*$M4056</f>
        <v>0</v>
      </c>
      <c r="AP4056" s="28"/>
      <c r="AQ4056" s="28" t="n">
        <f aca="false">AP4056*$M4056</f>
        <v>0</v>
      </c>
      <c r="AR4056" s="28"/>
      <c r="AS4056" s="28" t="n">
        <f aca="false">AR4056*$M4056</f>
        <v>0</v>
      </c>
      <c r="AT4056" s="28"/>
      <c r="AU4056" s="28" t="n">
        <f aca="false">AT4056*$M4056</f>
        <v>0</v>
      </c>
      <c r="AV4056" s="28"/>
      <c r="AW4056" s="28" t="n">
        <f aca="false">AV4056*$M4056</f>
        <v>0</v>
      </c>
      <c r="AX4056" s="28"/>
      <c r="AY4056" s="28" t="n">
        <f aca="false">AX4056*$M4056</f>
        <v>0</v>
      </c>
      <c r="AZ4056" s="30" t="n">
        <f aca="false">191888/100</f>
        <v>1918.88</v>
      </c>
      <c r="BA4056" s="11" t="n">
        <v>14392</v>
      </c>
      <c r="BB4056" s="31" t="n">
        <f aca="false">SUM(Q4056,S4056,U4056,W4056,Y4056,AA4056,AC4056,AE4056,AG4056,AI4056,AK4056,AM4056,AO4056,AQ4056,AS4056,AU4056,AW4056,AY4056)</f>
        <v>14392</v>
      </c>
      <c r="BC4056" s="28" t="n">
        <f aca="false">BA4056-BB4056</f>
        <v>0</v>
      </c>
      <c r="BD4056" s="32" t="n">
        <f aca="false">SUM(P4056,R4056,T4056,V4056,X4056,Z4056,AB4056,AD4056,AF4056,AH4056,AJ4056,AL4056,AN4056,AP4056,AR4056,AT4056,AV4056,AX4056)</f>
        <v>1918.88</v>
      </c>
      <c r="BE4056" s="33" t="n">
        <f aca="false">AZ4056-BD4056</f>
        <v>0</v>
      </c>
      <c r="BF4056" s="34" t="n">
        <f aca="false">BD4056*M4056</f>
        <v>14391.6</v>
      </c>
      <c r="BG4056" s="35" t="n">
        <f aca="false">BA4056-BF4056</f>
        <v>0.399999999999636</v>
      </c>
      <c r="BH4056" s="19" t="str">
        <f aca="false">IF(BG4056=0,"",IF(BG4056&lt;&gt;BA4056,"erreur de calcul",IF(BD4056&lt;&gt;0,"pas de prix",IF(M4056&lt;&gt; 0,"pas de quantité","pas de prix, ni de quantité"))))</f>
        <v>erreur de calcul</v>
      </c>
      <c r="BI4056" s="19"/>
    </row>
    <row r="4057" customFormat="false" ht="15" hidden="false" customHeight="false" outlineLevel="0" collapsed="false">
      <c r="A4057" s="0" t="n">
        <v>30</v>
      </c>
      <c r="B4057" s="8" t="s">
        <v>24</v>
      </c>
      <c r="C4057" s="9" t="s">
        <v>25</v>
      </c>
      <c r="D4057" s="9" t="s">
        <v>26</v>
      </c>
      <c r="E4057" s="10" t="n">
        <v>1789</v>
      </c>
      <c r="F4057" s="9" t="s">
        <v>27</v>
      </c>
      <c r="G4057" s="9" t="s">
        <v>27</v>
      </c>
      <c r="H4057" s="11" t="n">
        <v>23</v>
      </c>
      <c r="I4057" s="11" t="s">
        <v>272</v>
      </c>
      <c r="J4057" s="14" t="n">
        <v>6</v>
      </c>
      <c r="K4057" s="14"/>
      <c r="L4057" s="16"/>
      <c r="M4057" s="27" t="n">
        <f aca="false">J4057+(K4057/20)+(L4057/240)</f>
        <v>6</v>
      </c>
      <c r="N4057" s="17" t="s">
        <v>64</v>
      </c>
      <c r="O4057" s="11"/>
      <c r="P4057" s="28"/>
      <c r="Q4057" s="28" t="n">
        <f aca="false">P4057*$M4057</f>
        <v>0</v>
      </c>
      <c r="R4057" s="28"/>
      <c r="S4057" s="28" t="n">
        <f aca="false">R4057*$M4057</f>
        <v>0</v>
      </c>
      <c r="T4057" s="28" t="n">
        <f aca="false">26711/100</f>
        <v>267.11</v>
      </c>
      <c r="U4057" s="28" t="n">
        <v>1603</v>
      </c>
      <c r="V4057" s="28" t="n">
        <f aca="false">790699/100</f>
        <v>7906.99</v>
      </c>
      <c r="W4057" s="28" t="n">
        <v>47442</v>
      </c>
      <c r="X4057" s="28" t="n">
        <f aca="false">50169/100</f>
        <v>501.69</v>
      </c>
      <c r="Y4057" s="28" t="n">
        <v>3010</v>
      </c>
      <c r="Z4057" s="28"/>
      <c r="AA4057" s="28" t="n">
        <f aca="false">Z4057*$M4057</f>
        <v>0</v>
      </c>
      <c r="AB4057" s="28"/>
      <c r="AC4057" s="28" t="n">
        <f aca="false">AB4057*$M4057</f>
        <v>0</v>
      </c>
      <c r="AD4057" s="28"/>
      <c r="AE4057" s="28" t="n">
        <f aca="false">AD4057*$M4057</f>
        <v>0</v>
      </c>
      <c r="AF4057" s="28"/>
      <c r="AG4057" s="28" t="n">
        <f aca="false">AF4057*$M4057</f>
        <v>0</v>
      </c>
      <c r="AH4057" s="28"/>
      <c r="AI4057" s="28" t="n">
        <f aca="false">AH4057*$M4057</f>
        <v>0</v>
      </c>
      <c r="AJ4057" s="28"/>
      <c r="AK4057" s="28" t="n">
        <f aca="false">AJ4057*$M4057</f>
        <v>0</v>
      </c>
      <c r="AL4057" s="28"/>
      <c r="AM4057" s="28" t="n">
        <f aca="false">AL4057*$M4057</f>
        <v>0</v>
      </c>
      <c r="AN4057" s="28"/>
      <c r="AO4057" s="28" t="n">
        <f aca="false">AN4057*$M4057</f>
        <v>0</v>
      </c>
      <c r="AP4057" s="28"/>
      <c r="AQ4057" s="28" t="n">
        <f aca="false">AP4057*$M4057</f>
        <v>0</v>
      </c>
      <c r="AR4057" s="28"/>
      <c r="AS4057" s="28" t="n">
        <f aca="false">AR4057*$M4057</f>
        <v>0</v>
      </c>
      <c r="AT4057" s="28"/>
      <c r="AU4057" s="28" t="n">
        <f aca="false">AT4057*$M4057</f>
        <v>0</v>
      </c>
      <c r="AV4057" s="28"/>
      <c r="AW4057" s="28" t="n">
        <f aca="false">AV4057*$M4057</f>
        <v>0</v>
      </c>
      <c r="AX4057" s="28"/>
      <c r="AY4057" s="28" t="n">
        <f aca="false">AX4057*$M4057</f>
        <v>0</v>
      </c>
      <c r="AZ4057" s="30" t="n">
        <f aca="false">867559/100</f>
        <v>8675.59</v>
      </c>
      <c r="BA4057" s="11" t="n">
        <v>52055</v>
      </c>
      <c r="BB4057" s="31" t="n">
        <f aca="false">SUM(Q4057,S4057,U4057,W4057,Y4057,AA4057,AC4057,AE4057,AG4057,AI4057,AK4057,AM4057,AO4057,AQ4057,AS4057,AU4057,AW4057,AY4057)</f>
        <v>52055</v>
      </c>
      <c r="BC4057" s="28" t="n">
        <f aca="false">BA4057-BB4057</f>
        <v>0</v>
      </c>
      <c r="BD4057" s="32" t="n">
        <f aca="false">SUM(P4057,R4057,T4057,V4057,X4057,Z4057,AB4057,AD4057,AF4057,AH4057,AJ4057,AL4057,AN4057,AP4057,AR4057,AT4057,AV4057,AX4057)</f>
        <v>8675.79</v>
      </c>
      <c r="BE4057" s="33" t="n">
        <f aca="false">AZ4057-BD4057</f>
        <v>-0.200000000000728</v>
      </c>
      <c r="BF4057" s="34" t="n">
        <f aca="false">BD4057*M4057</f>
        <v>52054.74</v>
      </c>
      <c r="BG4057" s="35" t="n">
        <f aca="false">BA4057-BF4057</f>
        <v>0.259999999994761</v>
      </c>
      <c r="BH4057" s="19" t="str">
        <f aca="false">IF(BG4057=0,"",IF(BG4057&lt;&gt;BA4057,"erreur de calcul",IF(BD4057&lt;&gt;0,"pas de prix",IF(M4057&lt;&gt; 0,"pas de quantité","pas de prix, ni de quantité"))))</f>
        <v>erreur de calcul</v>
      </c>
      <c r="BI4057" s="19"/>
    </row>
    <row r="4058" customFormat="false" ht="15" hidden="false" customHeight="false" outlineLevel="0" collapsed="false">
      <c r="A4058" s="0" t="n">
        <v>31</v>
      </c>
      <c r="B4058" s="8" t="s">
        <v>24</v>
      </c>
      <c r="C4058" s="9" t="s">
        <v>25</v>
      </c>
      <c r="D4058" s="9" t="s">
        <v>26</v>
      </c>
      <c r="E4058" s="10" t="n">
        <v>1789</v>
      </c>
      <c r="F4058" s="9" t="s">
        <v>27</v>
      </c>
      <c r="G4058" s="9" t="s">
        <v>27</v>
      </c>
      <c r="H4058" s="11" t="n">
        <v>23</v>
      </c>
      <c r="I4058" s="11" t="s">
        <v>273</v>
      </c>
      <c r="J4058" s="14" t="n">
        <v>8</v>
      </c>
      <c r="K4058" s="14"/>
      <c r="L4058" s="16"/>
      <c r="M4058" s="27" t="n">
        <f aca="false">J4058+(K4058/20)+(L4058/240)</f>
        <v>8</v>
      </c>
      <c r="N4058" s="17" t="s">
        <v>81</v>
      </c>
      <c r="O4058" s="11"/>
      <c r="P4058" s="28" t="n">
        <v>27</v>
      </c>
      <c r="Q4058" s="28" t="n">
        <v>216</v>
      </c>
      <c r="R4058" s="28"/>
      <c r="S4058" s="28" t="n">
        <f aca="false">R4058*$M4058</f>
        <v>0</v>
      </c>
      <c r="T4058" s="28"/>
      <c r="U4058" s="28" t="n">
        <f aca="false">T4058*$M4058</f>
        <v>0</v>
      </c>
      <c r="V4058" s="28" t="n">
        <v>40</v>
      </c>
      <c r="W4058" s="28" t="n">
        <v>320</v>
      </c>
      <c r="X4058" s="28"/>
      <c r="Y4058" s="28" t="n">
        <f aca="false">X4058*$M4058</f>
        <v>0</v>
      </c>
      <c r="Z4058" s="28"/>
      <c r="AA4058" s="28" t="n">
        <f aca="false">Z4058*$M4058</f>
        <v>0</v>
      </c>
      <c r="AB4058" s="28" t="n">
        <v>164</v>
      </c>
      <c r="AC4058" s="28" t="n">
        <v>1312</v>
      </c>
      <c r="AD4058" s="28"/>
      <c r="AE4058" s="28" t="n">
        <f aca="false">AD4058*$M4058</f>
        <v>0</v>
      </c>
      <c r="AF4058" s="28" t="n">
        <v>263</v>
      </c>
      <c r="AG4058" s="28" t="n">
        <v>2104</v>
      </c>
      <c r="AH4058" s="28"/>
      <c r="AI4058" s="28" t="n">
        <f aca="false">AH4058*$M4058</f>
        <v>0</v>
      </c>
      <c r="AJ4058" s="28"/>
      <c r="AK4058" s="28" t="n">
        <f aca="false">AJ4058*$M4058</f>
        <v>0</v>
      </c>
      <c r="AL4058" s="28"/>
      <c r="AM4058" s="28" t="n">
        <f aca="false">AL4058*$M4058</f>
        <v>0</v>
      </c>
      <c r="AN4058" s="28"/>
      <c r="AO4058" s="28" t="n">
        <f aca="false">AN4058*$M4058</f>
        <v>0</v>
      </c>
      <c r="AP4058" s="28" t="n">
        <v>278</v>
      </c>
      <c r="AQ4058" s="28" t="n">
        <v>2224</v>
      </c>
      <c r="AR4058" s="28"/>
      <c r="AS4058" s="28" t="n">
        <f aca="false">AR4058*$M4058</f>
        <v>0</v>
      </c>
      <c r="AT4058" s="28"/>
      <c r="AU4058" s="28" t="n">
        <f aca="false">AT4058*$M4058</f>
        <v>0</v>
      </c>
      <c r="AV4058" s="28"/>
      <c r="AW4058" s="28" t="n">
        <f aca="false">AV4058*$M4058</f>
        <v>0</v>
      </c>
      <c r="AX4058" s="28"/>
      <c r="AY4058" s="28" t="n">
        <f aca="false">AX4058*$M4058</f>
        <v>0</v>
      </c>
      <c r="AZ4058" s="30" t="n">
        <v>772</v>
      </c>
      <c r="BA4058" s="11" t="n">
        <v>6176</v>
      </c>
      <c r="BB4058" s="31" t="n">
        <f aca="false">SUM(Q4058,S4058,U4058,W4058,Y4058,AA4058,AC4058,AE4058,AG4058,AI4058,AK4058,AM4058,AO4058,AQ4058,AS4058,AU4058,AW4058,AY4058)</f>
        <v>6176</v>
      </c>
      <c r="BC4058" s="28" t="n">
        <f aca="false">BA4058-BB4058</f>
        <v>0</v>
      </c>
      <c r="BD4058" s="32" t="n">
        <f aca="false">SUM(P4058,R4058,T4058,V4058,X4058,Z4058,AB4058,AD4058,AF4058,AH4058,AJ4058,AL4058,AN4058,AP4058,AR4058,AT4058,AV4058,AX4058)</f>
        <v>772</v>
      </c>
      <c r="BE4058" s="33" t="n">
        <f aca="false">AZ4058-BD4058</f>
        <v>0</v>
      </c>
      <c r="BF4058" s="34" t="n">
        <f aca="false">BD4058*M4058</f>
        <v>6176</v>
      </c>
      <c r="BG4058" s="35" t="n">
        <f aca="false">BA4058-BF4058</f>
        <v>0</v>
      </c>
      <c r="BH4058" s="19" t="str">
        <f aca="false">IF(BG4058=0,"",IF(BG4058&lt;&gt;BA4058,"erreur de calcul",IF(BD4058&lt;&gt;0,"pas de prix",IF(M4058&lt;&gt; 0,"pas de quantité","pas de prix, ni de quantité"))))</f>
        <v/>
      </c>
      <c r="BI4058" s="19"/>
    </row>
    <row r="4059" customFormat="false" ht="15" hidden="false" customHeight="false" outlineLevel="0" collapsed="false">
      <c r="A4059" s="0" t="n">
        <v>32</v>
      </c>
      <c r="B4059" s="8" t="s">
        <v>24</v>
      </c>
      <c r="C4059" s="9" t="s">
        <v>25</v>
      </c>
      <c r="D4059" s="9" t="s">
        <v>26</v>
      </c>
      <c r="E4059" s="10" t="n">
        <v>1789</v>
      </c>
      <c r="F4059" s="9" t="s">
        <v>27</v>
      </c>
      <c r="G4059" s="9" t="s">
        <v>27</v>
      </c>
      <c r="H4059" s="11" t="n">
        <v>23</v>
      </c>
      <c r="I4059" s="11" t="s">
        <v>274</v>
      </c>
      <c r="J4059" s="14" t="n">
        <v>17</v>
      </c>
      <c r="K4059" s="14"/>
      <c r="L4059" s="16"/>
      <c r="M4059" s="27" t="n">
        <f aca="false">J4059+(K4059/20)+(L4059/240)</f>
        <v>17</v>
      </c>
      <c r="N4059" s="17" t="s">
        <v>275</v>
      </c>
      <c r="O4059" s="11"/>
      <c r="P4059" s="28" t="n">
        <v>200</v>
      </c>
      <c r="Q4059" s="28" t="n">
        <v>3400</v>
      </c>
      <c r="R4059" s="28"/>
      <c r="S4059" s="28" t="n">
        <f aca="false">R4059*$M4059</f>
        <v>0</v>
      </c>
      <c r="T4059" s="28"/>
      <c r="U4059" s="28" t="n">
        <f aca="false">T4059*$M4059</f>
        <v>0</v>
      </c>
      <c r="V4059" s="28"/>
      <c r="W4059" s="28" t="n">
        <f aca="false">V4059*$M4059</f>
        <v>0</v>
      </c>
      <c r="X4059" s="28" t="n">
        <v>145</v>
      </c>
      <c r="Y4059" s="28" t="n">
        <v>2465</v>
      </c>
      <c r="Z4059" s="28"/>
      <c r="AA4059" s="28" t="n">
        <f aca="false">Z4059*$M4059</f>
        <v>0</v>
      </c>
      <c r="AB4059" s="28"/>
      <c r="AC4059" s="28" t="n">
        <f aca="false">AB4059*$M4059</f>
        <v>0</v>
      </c>
      <c r="AD4059" s="28"/>
      <c r="AE4059" s="28" t="n">
        <f aca="false">AD4059*$M4059</f>
        <v>0</v>
      </c>
      <c r="AF4059" s="28"/>
      <c r="AG4059" s="28" t="n">
        <f aca="false">AF4059*$M4059</f>
        <v>0</v>
      </c>
      <c r="AH4059" s="28"/>
      <c r="AI4059" s="28" t="n">
        <f aca="false">AH4059*$M4059</f>
        <v>0</v>
      </c>
      <c r="AJ4059" s="28"/>
      <c r="AK4059" s="28" t="n">
        <f aca="false">AJ4059*$M4059</f>
        <v>0</v>
      </c>
      <c r="AL4059" s="28" t="n">
        <v>12</v>
      </c>
      <c r="AM4059" s="28" t="n">
        <v>204</v>
      </c>
      <c r="AN4059" s="28"/>
      <c r="AO4059" s="28" t="n">
        <f aca="false">AN4059*$M4059</f>
        <v>0</v>
      </c>
      <c r="AP4059" s="28"/>
      <c r="AQ4059" s="28" t="n">
        <f aca="false">AP4059*$M4059</f>
        <v>0</v>
      </c>
      <c r="AR4059" s="28"/>
      <c r="AS4059" s="28" t="n">
        <f aca="false">AR4059*$M4059</f>
        <v>0</v>
      </c>
      <c r="AT4059" s="28"/>
      <c r="AU4059" s="28" t="n">
        <f aca="false">AT4059*$M4059</f>
        <v>0</v>
      </c>
      <c r="AV4059" s="28"/>
      <c r="AW4059" s="28" t="n">
        <f aca="false">AV4059*$M4059</f>
        <v>0</v>
      </c>
      <c r="AX4059" s="28"/>
      <c r="AY4059" s="28" t="n">
        <f aca="false">AX4059*$M4059</f>
        <v>0</v>
      </c>
      <c r="AZ4059" s="30" t="n">
        <v>357</v>
      </c>
      <c r="BA4059" s="11" t="n">
        <v>6069</v>
      </c>
      <c r="BB4059" s="31" t="n">
        <f aca="false">SUM(Q4059,S4059,U4059,W4059,Y4059,AA4059,AC4059,AE4059,AG4059,AI4059,AK4059,AM4059,AO4059,AQ4059,AS4059,AU4059,AW4059,AY4059)</f>
        <v>6069</v>
      </c>
      <c r="BC4059" s="28" t="n">
        <f aca="false">BA4059-BB4059</f>
        <v>0</v>
      </c>
      <c r="BD4059" s="32" t="n">
        <f aca="false">SUM(P4059,R4059,T4059,V4059,X4059,Z4059,AB4059,AD4059,AF4059,AH4059,AJ4059,AL4059,AN4059,AP4059,AR4059,AT4059,AV4059,AX4059)</f>
        <v>357</v>
      </c>
      <c r="BE4059" s="33" t="n">
        <f aca="false">AZ4059-BD4059</f>
        <v>0</v>
      </c>
      <c r="BF4059" s="34" t="n">
        <f aca="false">BD4059*M4059</f>
        <v>6069</v>
      </c>
      <c r="BG4059" s="35" t="n">
        <f aca="false">BA4059-BF4059</f>
        <v>0</v>
      </c>
      <c r="BH4059" s="19" t="str">
        <f aca="false">IF(BG4059=0,"",IF(BG4059&lt;&gt;BA4059,"erreur de calcul",IF(BD4059&lt;&gt;0,"pas de prix",IF(M4059&lt;&gt; 0,"pas de quantité","pas de prix, ni de quantité"))))</f>
        <v/>
      </c>
      <c r="BI4059" s="19" t="s">
        <v>275</v>
      </c>
    </row>
    <row r="4060" customFormat="false" ht="15" hidden="false" customHeight="false" outlineLevel="0" collapsed="false">
      <c r="A4060" s="0" t="n">
        <v>33</v>
      </c>
      <c r="B4060" s="8" t="s">
        <v>24</v>
      </c>
      <c r="C4060" s="9" t="s">
        <v>25</v>
      </c>
      <c r="D4060" s="9" t="s">
        <v>26</v>
      </c>
      <c r="E4060" s="10" t="n">
        <v>1789</v>
      </c>
      <c r="F4060" s="9" t="s">
        <v>27</v>
      </c>
      <c r="G4060" s="9" t="s">
        <v>27</v>
      </c>
      <c r="H4060" s="11" t="n">
        <v>23</v>
      </c>
      <c r="I4060" s="11" t="s">
        <v>276</v>
      </c>
      <c r="J4060" s="14" t="n">
        <v>36</v>
      </c>
      <c r="K4060" s="14"/>
      <c r="L4060" s="16"/>
      <c r="M4060" s="27" t="n">
        <f aca="false">J4060+(K4060/20)+(L4060/240)</f>
        <v>36</v>
      </c>
      <c r="N4060" s="17" t="s">
        <v>275</v>
      </c>
      <c r="O4060" s="11" t="s">
        <v>277</v>
      </c>
      <c r="P4060" s="28"/>
      <c r="Q4060" s="28" t="n">
        <f aca="false">P4060*$M4060</f>
        <v>0</v>
      </c>
      <c r="R4060" s="28"/>
      <c r="S4060" s="28" t="n">
        <f aca="false">R4060*$M4060</f>
        <v>0</v>
      </c>
      <c r="T4060" s="28"/>
      <c r="U4060" s="28" t="n">
        <f aca="false">T4060*$M4060</f>
        <v>0</v>
      </c>
      <c r="V4060" s="28"/>
      <c r="W4060" s="28" t="n">
        <f aca="false">V4060*$M4060</f>
        <v>0</v>
      </c>
      <c r="X4060" s="28"/>
      <c r="Y4060" s="28" t="n">
        <f aca="false">X4060*$M4060</f>
        <v>0</v>
      </c>
      <c r="Z4060" s="28"/>
      <c r="AA4060" s="28" t="n">
        <f aca="false">Z4060*$M4060</f>
        <v>0</v>
      </c>
      <c r="AB4060" s="28"/>
      <c r="AC4060" s="28" t="n">
        <f aca="false">AB4060*$M4060</f>
        <v>0</v>
      </c>
      <c r="AD4060" s="28"/>
      <c r="AE4060" s="28" t="n">
        <f aca="false">AD4060*$M4060</f>
        <v>0</v>
      </c>
      <c r="AF4060" s="28"/>
      <c r="AG4060" s="28" t="n">
        <f aca="false">AF4060*$M4060</f>
        <v>0</v>
      </c>
      <c r="AH4060" s="28"/>
      <c r="AI4060" s="28" t="n">
        <f aca="false">AH4060*$M4060</f>
        <v>0</v>
      </c>
      <c r="AJ4060" s="28"/>
      <c r="AK4060" s="28" t="n">
        <f aca="false">AJ4060*$M4060</f>
        <v>0</v>
      </c>
      <c r="AL4060" s="28"/>
      <c r="AM4060" s="28" t="n">
        <f aca="false">AL4060*$M4060</f>
        <v>0</v>
      </c>
      <c r="AN4060" s="28"/>
      <c r="AO4060" s="28" t="n">
        <f aca="false">AN4060*$M4060</f>
        <v>0</v>
      </c>
      <c r="AP4060" s="28"/>
      <c r="AQ4060" s="28" t="n">
        <f aca="false">AP4060*$M4060</f>
        <v>0</v>
      </c>
      <c r="AR4060" s="28"/>
      <c r="AS4060" s="28" t="n">
        <f aca="false">AR4060*$M4060</f>
        <v>0</v>
      </c>
      <c r="AT4060" s="28"/>
      <c r="AU4060" s="28" t="n">
        <f aca="false">AT4060*$M4060</f>
        <v>0</v>
      </c>
      <c r="AV4060" s="28"/>
      <c r="AW4060" s="28" t="n">
        <f aca="false">AV4060*$M4060</f>
        <v>0</v>
      </c>
      <c r="AX4060" s="28"/>
      <c r="AY4060" s="28" t="n">
        <f aca="false">AX4060*$M4060</f>
        <v>0</v>
      </c>
      <c r="AZ4060" s="30"/>
      <c r="BA4060" s="11"/>
      <c r="BB4060" s="31" t="n">
        <f aca="false">SUM(Q4060,S4060,U4060,W4060,Y4060,AA4060,AC4060,AE4060,AG4060,AI4060,AK4060,AM4060,AO4060,AQ4060,AS4060,AU4060,AW4060,AY4060)</f>
        <v>0</v>
      </c>
      <c r="BC4060" s="28" t="n">
        <f aca="false">BA4060-BB4060</f>
        <v>0</v>
      </c>
      <c r="BD4060" s="32" t="n">
        <f aca="false">SUM(P4060,R4060,T4060,V4060,X4060,Z4060,AB4060,AD4060,AF4060,AH4060,AJ4060,AL4060,AN4060,AP4060,AR4060,AT4060,AV4060,AX4060)</f>
        <v>0</v>
      </c>
      <c r="BE4060" s="33" t="n">
        <f aca="false">AZ4060-BD4060</f>
        <v>0</v>
      </c>
      <c r="BF4060" s="34" t="n">
        <f aca="false">BD4060*M4060</f>
        <v>0</v>
      </c>
      <c r="BG4060" s="35" t="n">
        <f aca="false">BA4060-BF4060</f>
        <v>0</v>
      </c>
      <c r="BH4060" s="19" t="str">
        <f aca="false">IF(BG4060=0,"",IF(BG4060&lt;&gt;BA4060,"erreur de calcul",IF(BD4060&lt;&gt;0,"pas de prix",IF(M4060&lt;&gt; 0,"pas de quantité","pas de prix, ni de quantité"))))</f>
        <v/>
      </c>
      <c r="BI4060" s="19" t="s">
        <v>275</v>
      </c>
    </row>
    <row r="4061" customFormat="false" ht="15" hidden="false" customHeight="false" outlineLevel="0" collapsed="false">
      <c r="A4061" s="0" t="n">
        <v>34</v>
      </c>
      <c r="B4061" s="8" t="s">
        <v>24</v>
      </c>
      <c r="C4061" s="9" t="s">
        <v>25</v>
      </c>
      <c r="D4061" s="9" t="s">
        <v>26</v>
      </c>
      <c r="E4061" s="10" t="n">
        <v>1789</v>
      </c>
      <c r="F4061" s="9" t="s">
        <v>27</v>
      </c>
      <c r="G4061" s="9" t="s">
        <v>27</v>
      </c>
      <c r="H4061" s="11" t="n">
        <v>23</v>
      </c>
      <c r="I4061" s="11" t="s">
        <v>276</v>
      </c>
      <c r="J4061" s="14" t="n">
        <v>36</v>
      </c>
      <c r="K4061" s="14"/>
      <c r="L4061" s="16"/>
      <c r="M4061" s="27" t="n">
        <f aca="false">J4061+(K4061/20)+(L4061/240)</f>
        <v>36</v>
      </c>
      <c r="N4061" s="17" t="s">
        <v>275</v>
      </c>
      <c r="O4061" s="11" t="s">
        <v>77</v>
      </c>
      <c r="P4061" s="28" t="n">
        <v>7250</v>
      </c>
      <c r="Q4061" s="28" t="n">
        <v>261000</v>
      </c>
      <c r="R4061" s="28"/>
      <c r="S4061" s="28" t="n">
        <f aca="false">R4061*$M4061</f>
        <v>0</v>
      </c>
      <c r="T4061" s="28" t="n">
        <v>38389</v>
      </c>
      <c r="U4061" s="28" t="n">
        <v>1382004</v>
      </c>
      <c r="V4061" s="28" t="n">
        <v>19350</v>
      </c>
      <c r="W4061" s="28" t="n">
        <v>696600</v>
      </c>
      <c r="X4061" s="28" t="n">
        <v>25392</v>
      </c>
      <c r="Y4061" s="28" t="n">
        <v>914112</v>
      </c>
      <c r="Z4061" s="28" t="n">
        <v>31863</v>
      </c>
      <c r="AA4061" s="28" t="n">
        <v>1147068</v>
      </c>
      <c r="AB4061" s="28" t="n">
        <v>149064</v>
      </c>
      <c r="AC4061" s="28" t="n">
        <v>5366304</v>
      </c>
      <c r="AD4061" s="28" t="n">
        <v>1270</v>
      </c>
      <c r="AE4061" s="28" t="n">
        <v>45720</v>
      </c>
      <c r="AF4061" s="28" t="n">
        <v>54784</v>
      </c>
      <c r="AG4061" s="28" t="n">
        <v>1972224</v>
      </c>
      <c r="AH4061" s="28" t="n">
        <v>1200</v>
      </c>
      <c r="AI4061" s="28" t="n">
        <v>43200</v>
      </c>
      <c r="AJ4061" s="28" t="n">
        <v>10055</v>
      </c>
      <c r="AK4061" s="28" t="n">
        <v>361980</v>
      </c>
      <c r="AL4061" s="28"/>
      <c r="AM4061" s="28" t="n">
        <f aca="false">AL4061*$M4061</f>
        <v>0</v>
      </c>
      <c r="AN4061" s="28"/>
      <c r="AO4061" s="28" t="n">
        <f aca="false">AN4061*$M4061</f>
        <v>0</v>
      </c>
      <c r="AP4061" s="28" t="n">
        <v>220</v>
      </c>
      <c r="AQ4061" s="28" t="n">
        <f aca="false">AP4061*$M4061</f>
        <v>7920</v>
      </c>
      <c r="AR4061" s="28"/>
      <c r="AS4061" s="28" t="n">
        <f aca="false">AR4061*$M4061</f>
        <v>0</v>
      </c>
      <c r="AT4061" s="28"/>
      <c r="AU4061" s="28" t="n">
        <f aca="false">AT4061*$M4061</f>
        <v>0</v>
      </c>
      <c r="AV4061" s="28" t="n">
        <v>100</v>
      </c>
      <c r="AW4061" s="28" t="n">
        <v>3600</v>
      </c>
      <c r="AX4061" s="28" t="n">
        <v>9241</v>
      </c>
      <c r="AY4061" s="28" t="n">
        <v>332676</v>
      </c>
      <c r="AZ4061" s="30" t="n">
        <v>348178</v>
      </c>
      <c r="BA4061" s="11" t="n">
        <v>12534408</v>
      </c>
      <c r="BB4061" s="31" t="n">
        <f aca="false">SUM(Q4061,S4061,U4061,W4061,Y4061,AA4061,AC4061,AE4061,AG4061,AI4061,AK4061,AM4061,AO4061,AQ4061,AS4061,AU4061,AW4061,AY4061)</f>
        <v>12534408</v>
      </c>
      <c r="BC4061" s="28" t="n">
        <f aca="false">BA4061-BB4061</f>
        <v>0</v>
      </c>
      <c r="BD4061" s="32" t="n">
        <f aca="false">SUM(P4061,R4061,T4061,V4061,X4061,Z4061,AB4061,AD4061,AF4061,AH4061,AJ4061,AL4061,AN4061,AP4061,AR4061,AT4061,AV4061,AX4061)</f>
        <v>348178</v>
      </c>
      <c r="BE4061" s="33" t="n">
        <f aca="false">AZ4061-BD4061</f>
        <v>0</v>
      </c>
      <c r="BF4061" s="34" t="n">
        <f aca="false">BD4061*M4061</f>
        <v>12534408</v>
      </c>
      <c r="BG4061" s="35" t="n">
        <f aca="false">BA4061-BF4061</f>
        <v>0</v>
      </c>
      <c r="BH4061" s="19" t="str">
        <f aca="false">IF(BG4061=0,"",IF(BG4061&lt;&gt;BA4061,"erreur de calcul",IF(BD4061&lt;&gt;0,"pas de prix",IF(M4061&lt;&gt; 0,"pas de quantité","pas de prix, ni de quantité"))))</f>
        <v/>
      </c>
      <c r="BI4061" s="19"/>
    </row>
    <row r="4062" customFormat="false" ht="15" hidden="false" customHeight="false" outlineLevel="0" collapsed="false">
      <c r="A4062" s="0" t="n">
        <v>35</v>
      </c>
      <c r="B4062" s="8" t="s">
        <v>24</v>
      </c>
      <c r="C4062" s="9" t="s">
        <v>25</v>
      </c>
      <c r="D4062" s="9" t="s">
        <v>26</v>
      </c>
      <c r="E4062" s="10" t="n">
        <v>1789</v>
      </c>
      <c r="F4062" s="9" t="s">
        <v>27</v>
      </c>
      <c r="G4062" s="9" t="s">
        <v>27</v>
      </c>
      <c r="H4062" s="11" t="n">
        <v>23</v>
      </c>
      <c r="I4062" s="11" t="s">
        <v>278</v>
      </c>
      <c r="J4062" s="14" t="n">
        <v>12</v>
      </c>
      <c r="K4062" s="14"/>
      <c r="L4062" s="16"/>
      <c r="M4062" s="27" t="n">
        <f aca="false">J4062+(K4062/20)+(L4062/240)</f>
        <v>12</v>
      </c>
      <c r="N4062" s="17" t="s">
        <v>64</v>
      </c>
      <c r="O4062" s="11" t="s">
        <v>77</v>
      </c>
      <c r="P4062" s="28" t="n">
        <f aca="false">351312/100</f>
        <v>3513.12</v>
      </c>
      <c r="Q4062" s="28" t="n">
        <v>42157</v>
      </c>
      <c r="R4062" s="28"/>
      <c r="S4062" s="28" t="n">
        <f aca="false">R4062*$M4062</f>
        <v>0</v>
      </c>
      <c r="T4062" s="28" t="n">
        <f aca="false">52251/100</f>
        <v>522.51</v>
      </c>
      <c r="U4062" s="28" t="n">
        <v>6270</v>
      </c>
      <c r="V4062" s="28" t="n">
        <f aca="false">2393/100</f>
        <v>23.93</v>
      </c>
      <c r="W4062" s="28" t="n">
        <v>287</v>
      </c>
      <c r="X4062" s="28" t="n">
        <f aca="false">44842/100</f>
        <v>448.42</v>
      </c>
      <c r="Y4062" s="28" t="n">
        <v>5381</v>
      </c>
      <c r="Z4062" s="28"/>
      <c r="AA4062" s="28" t="n">
        <f aca="false">Z4062*$M4062</f>
        <v>0</v>
      </c>
      <c r="AB4062" s="28"/>
      <c r="AC4062" s="28" t="n">
        <f aca="false">AB4062*$M4062</f>
        <v>0</v>
      </c>
      <c r="AD4062" s="28"/>
      <c r="AE4062" s="28" t="n">
        <f aca="false">AD4062*$M4062</f>
        <v>0</v>
      </c>
      <c r="AF4062" s="28" t="n">
        <f aca="false">164167/100</f>
        <v>1641.67</v>
      </c>
      <c r="AG4062" s="28" t="n">
        <v>19700</v>
      </c>
      <c r="AH4062" s="28"/>
      <c r="AI4062" s="28" t="n">
        <f aca="false">AH4062*$M4062</f>
        <v>0</v>
      </c>
      <c r="AJ4062" s="28"/>
      <c r="AK4062" s="28" t="n">
        <f aca="false">AJ4062*$M4062</f>
        <v>0</v>
      </c>
      <c r="AL4062" s="28"/>
      <c r="AM4062" s="28" t="n">
        <f aca="false">AL4062*$M4062</f>
        <v>0</v>
      </c>
      <c r="AN4062" s="28"/>
      <c r="AO4062" s="28" t="n">
        <f aca="false">AN4062*$M4062</f>
        <v>0</v>
      </c>
      <c r="AP4062" s="28"/>
      <c r="AQ4062" s="28" t="n">
        <f aca="false">AP4062*$M4062</f>
        <v>0</v>
      </c>
      <c r="AR4062" s="28"/>
      <c r="AS4062" s="28" t="n">
        <f aca="false">AR4062*$M4062</f>
        <v>0</v>
      </c>
      <c r="AT4062" s="28"/>
      <c r="AU4062" s="28" t="n">
        <f aca="false">AT4062*$M4062</f>
        <v>0</v>
      </c>
      <c r="AV4062" s="28"/>
      <c r="AW4062" s="28" t="n">
        <f aca="false">AV4062*$M4062</f>
        <v>0</v>
      </c>
      <c r="AX4062" s="28" t="n">
        <f aca="false">25000/100</f>
        <v>250</v>
      </c>
      <c r="AY4062" s="28" t="n">
        <v>3000</v>
      </c>
      <c r="AZ4062" s="30"/>
      <c r="BA4062" s="11" t="n">
        <v>76795</v>
      </c>
      <c r="BB4062" s="31" t="n">
        <f aca="false">SUM(Q4062,S4062,U4062,W4062,Y4062,AA4062,AC4062,AE4062,AG4062,AI4062,AK4062,AM4062,AO4062,AQ4062,AS4062,AU4062,AW4062,AY4062)</f>
        <v>76795</v>
      </c>
      <c r="BC4062" s="28" t="n">
        <f aca="false">BA4062-BB4062</f>
        <v>0</v>
      </c>
      <c r="BD4062" s="32" t="n">
        <f aca="false">SUM(P4062,R4062,T4062,V4062,X4062,Z4062,AB4062,AD4062,AF4062,AH4062,AJ4062,AL4062,AN4062,AP4062,AR4062,AT4062,AV4062,AX4062)</f>
        <v>6399.65</v>
      </c>
      <c r="BE4062" s="33" t="n">
        <f aca="false">AZ4062-BD4062</f>
        <v>-6399.65</v>
      </c>
      <c r="BF4062" s="34" t="n">
        <f aca="false">BD4062*M4062</f>
        <v>76795.8</v>
      </c>
      <c r="BG4062" s="35" t="n">
        <f aca="false">BA4062-BF4062</f>
        <v>-0.799999999988359</v>
      </c>
      <c r="BH4062" s="19" t="str">
        <f aca="false">IF(BG4062=0,"",IF(BG4062&lt;&gt;BA4062,"erreur de calcul",IF(BD4062&lt;&gt;0,"pas de prix",IF(M4062&lt;&gt; 0,"pas de quantité","pas de prix, ni de quantité"))))</f>
        <v>erreur de calcul</v>
      </c>
      <c r="BI4062" s="19"/>
    </row>
    <row r="4063" customFormat="false" ht="15" hidden="false" customHeight="false" outlineLevel="0" collapsed="false">
      <c r="A4063" s="0" t="n">
        <v>36</v>
      </c>
      <c r="B4063" s="8" t="s">
        <v>24</v>
      </c>
      <c r="C4063" s="9" t="s">
        <v>25</v>
      </c>
      <c r="D4063" s="9" t="s">
        <v>26</v>
      </c>
      <c r="E4063" s="10" t="n">
        <v>1789</v>
      </c>
      <c r="F4063" s="9" t="s">
        <v>27</v>
      </c>
      <c r="G4063" s="9" t="s">
        <v>27</v>
      </c>
      <c r="H4063" s="11" t="n">
        <v>23</v>
      </c>
      <c r="I4063" s="11" t="s">
        <v>279</v>
      </c>
      <c r="J4063" s="14" t="n">
        <v>18</v>
      </c>
      <c r="K4063" s="14"/>
      <c r="L4063" s="16"/>
      <c r="M4063" s="27" t="n">
        <f aca="false">J4063+(K4063/20)+(L4063/240)</f>
        <v>18</v>
      </c>
      <c r="N4063" s="17" t="s">
        <v>275</v>
      </c>
      <c r="O4063" s="11"/>
      <c r="P4063" s="28"/>
      <c r="Q4063" s="28" t="n">
        <f aca="false">P4063*$M4063</f>
        <v>0</v>
      </c>
      <c r="R4063" s="28"/>
      <c r="S4063" s="28" t="n">
        <f aca="false">R4063*$M4063</f>
        <v>0</v>
      </c>
      <c r="T4063" s="28" t="n">
        <v>100</v>
      </c>
      <c r="U4063" s="28" t="n">
        <v>1800</v>
      </c>
      <c r="V4063" s="28"/>
      <c r="W4063" s="28" t="n">
        <f aca="false">V4063*$M4063</f>
        <v>0</v>
      </c>
      <c r="X4063" s="28"/>
      <c r="Y4063" s="28" t="n">
        <f aca="false">X4063*$M4063</f>
        <v>0</v>
      </c>
      <c r="Z4063" s="28"/>
      <c r="AA4063" s="28" t="n">
        <f aca="false">Z4063*$M4063</f>
        <v>0</v>
      </c>
      <c r="AB4063" s="28" t="n">
        <v>1936</v>
      </c>
      <c r="AC4063" s="28" t="n">
        <v>34848</v>
      </c>
      <c r="AD4063" s="28"/>
      <c r="AE4063" s="28" t="n">
        <f aca="false">AD4063*$M4063</f>
        <v>0</v>
      </c>
      <c r="AF4063" s="28" t="n">
        <v>600</v>
      </c>
      <c r="AG4063" s="28" t="n">
        <v>10800</v>
      </c>
      <c r="AH4063" s="28"/>
      <c r="AI4063" s="28" t="n">
        <f aca="false">AH4063*$M4063</f>
        <v>0</v>
      </c>
      <c r="AJ4063" s="28"/>
      <c r="AK4063" s="28" t="n">
        <f aca="false">AJ4063*$M4063</f>
        <v>0</v>
      </c>
      <c r="AL4063" s="28" t="n">
        <v>12</v>
      </c>
      <c r="AM4063" s="28" t="n">
        <v>216</v>
      </c>
      <c r="AN4063" s="28"/>
      <c r="AO4063" s="28" t="n">
        <f aca="false">AN4063*$M4063</f>
        <v>0</v>
      </c>
      <c r="AP4063" s="28" t="n">
        <v>12</v>
      </c>
      <c r="AQ4063" s="28" t="n">
        <v>216</v>
      </c>
      <c r="AR4063" s="28"/>
      <c r="AS4063" s="28" t="n">
        <f aca="false">AR4063*$M4063</f>
        <v>0</v>
      </c>
      <c r="AT4063" s="28"/>
      <c r="AU4063" s="28" t="n">
        <f aca="false">AT4063*$M4063</f>
        <v>0</v>
      </c>
      <c r="AV4063" s="28"/>
      <c r="AW4063" s="28" t="n">
        <f aca="false">AV4063*$M4063</f>
        <v>0</v>
      </c>
      <c r="AX4063" s="28"/>
      <c r="AY4063" s="28" t="n">
        <f aca="false">AX4063*$M4063</f>
        <v>0</v>
      </c>
      <c r="AZ4063" s="30" t="n">
        <v>2660</v>
      </c>
      <c r="BA4063" s="11" t="n">
        <v>47880</v>
      </c>
      <c r="BB4063" s="31" t="n">
        <f aca="false">SUM(Q4063,S4063,U4063,W4063,Y4063,AA4063,AC4063,AE4063,AG4063,AI4063,AK4063,AM4063,AO4063,AQ4063,AS4063,AU4063,AW4063,AY4063)</f>
        <v>47880</v>
      </c>
      <c r="BC4063" s="28" t="n">
        <f aca="false">BA4063-BB4063</f>
        <v>0</v>
      </c>
      <c r="BD4063" s="32" t="n">
        <f aca="false">SUM(P4063,R4063,T4063,V4063,X4063,Z4063,AB4063,AD4063,AF4063,AH4063,AJ4063,AL4063,AN4063,AP4063,AR4063,AT4063,AV4063,AX4063)</f>
        <v>2660</v>
      </c>
      <c r="BE4063" s="33" t="n">
        <f aca="false">AZ4063-BD4063</f>
        <v>0</v>
      </c>
      <c r="BF4063" s="34" t="n">
        <f aca="false">BD4063*M4063</f>
        <v>47880</v>
      </c>
      <c r="BG4063" s="35" t="n">
        <f aca="false">BA4063-BF4063</f>
        <v>0</v>
      </c>
      <c r="BH4063" s="19" t="str">
        <f aca="false">IF(BG4063=0,"",IF(BG4063&lt;&gt;BA4063,"erreur de calcul",IF(BD4063&lt;&gt;0,"pas de prix",IF(M4063&lt;&gt; 0,"pas de quantité","pas de prix, ni de quantité"))))</f>
        <v/>
      </c>
      <c r="BI4063" s="19"/>
    </row>
    <row r="4064" customFormat="false" ht="15" hidden="false" customHeight="false" outlineLevel="0" collapsed="false">
      <c r="A4064" s="0" t="n">
        <v>37</v>
      </c>
      <c r="B4064" s="8" t="s">
        <v>24</v>
      </c>
      <c r="C4064" s="9" t="s">
        <v>25</v>
      </c>
      <c r="D4064" s="9" t="s">
        <v>26</v>
      </c>
      <c r="E4064" s="10" t="n">
        <v>1789</v>
      </c>
      <c r="F4064" s="9" t="s">
        <v>27</v>
      </c>
      <c r="G4064" s="9" t="s">
        <v>27</v>
      </c>
      <c r="H4064" s="11" t="n">
        <v>23</v>
      </c>
      <c r="I4064" s="11" t="s">
        <v>280</v>
      </c>
      <c r="J4064" s="14" t="n">
        <v>25</v>
      </c>
      <c r="K4064" s="14"/>
      <c r="L4064" s="16"/>
      <c r="M4064" s="27" t="n">
        <f aca="false">J4064+(K4064/20)+(L4064/240)</f>
        <v>25</v>
      </c>
      <c r="N4064" s="17" t="s">
        <v>64</v>
      </c>
      <c r="O4064" s="11"/>
      <c r="P4064" s="28"/>
      <c r="Q4064" s="28" t="n">
        <f aca="false">P4064*$M4064</f>
        <v>0</v>
      </c>
      <c r="R4064" s="28"/>
      <c r="S4064" s="28" t="n">
        <f aca="false">R4064*$M4064</f>
        <v>0</v>
      </c>
      <c r="T4064" s="28" t="n">
        <f aca="false">1664501/100</f>
        <v>16645.01</v>
      </c>
      <c r="U4064" s="28" t="n">
        <v>416125</v>
      </c>
      <c r="V4064" s="28" t="n">
        <f aca="false">2171980/100</f>
        <v>21719.8</v>
      </c>
      <c r="W4064" s="28" t="n">
        <v>542995</v>
      </c>
      <c r="X4064" s="28" t="n">
        <f aca="false">11567/100</f>
        <v>115.67</v>
      </c>
      <c r="Y4064" s="28" t="n">
        <v>2892</v>
      </c>
      <c r="Z4064" s="28" t="n">
        <f aca="false">985/100</f>
        <v>9.85</v>
      </c>
      <c r="AA4064" s="28" t="n">
        <v>246</v>
      </c>
      <c r="AB4064" s="28" t="n">
        <f aca="false">399494/100</f>
        <v>3994.94</v>
      </c>
      <c r="AC4064" s="28" t="n">
        <v>99873</v>
      </c>
      <c r="AD4064" s="28"/>
      <c r="AE4064" s="28" t="n">
        <f aca="false">AD4064*$M4064</f>
        <v>0</v>
      </c>
      <c r="AF4064" s="28"/>
      <c r="AG4064" s="28" t="n">
        <f aca="false">AF4064*$M4064</f>
        <v>0</v>
      </c>
      <c r="AH4064" s="28"/>
      <c r="AI4064" s="28" t="n">
        <f aca="false">AH4064*$M4064</f>
        <v>0</v>
      </c>
      <c r="AJ4064" s="28"/>
      <c r="AK4064" s="28" t="n">
        <f aca="false">AJ4064*$M4064</f>
        <v>0</v>
      </c>
      <c r="AL4064" s="28"/>
      <c r="AM4064" s="28" t="n">
        <f aca="false">AL4064*$M4064</f>
        <v>0</v>
      </c>
      <c r="AN4064" s="28"/>
      <c r="AO4064" s="28" t="n">
        <f aca="false">AN4064*$M4064</f>
        <v>0</v>
      </c>
      <c r="AP4064" s="28"/>
      <c r="AQ4064" s="28" t="n">
        <f aca="false">AP4064*$M4064</f>
        <v>0</v>
      </c>
      <c r="AR4064" s="28"/>
      <c r="AS4064" s="28" t="n">
        <f aca="false">AR4064*$M4064</f>
        <v>0</v>
      </c>
      <c r="AT4064" s="28"/>
      <c r="AU4064" s="28" t="n">
        <f aca="false">AT4064*$M4064</f>
        <v>0</v>
      </c>
      <c r="AV4064" s="28"/>
      <c r="AW4064" s="28" t="n">
        <f aca="false">AV4064*$M4064</f>
        <v>0</v>
      </c>
      <c r="AX4064" s="28" t="n">
        <f aca="false">57000/100</f>
        <v>570</v>
      </c>
      <c r="AY4064" s="28" t="n">
        <v>14250</v>
      </c>
      <c r="AZ4064" s="30" t="n">
        <f aca="false">4305527/100</f>
        <v>43055.27</v>
      </c>
      <c r="BA4064" s="11" t="n">
        <v>1076381</v>
      </c>
      <c r="BB4064" s="31" t="n">
        <f aca="false">SUM(Q4064,S4064,U4064,W4064,Y4064,AA4064,AC4064,AE4064,AG4064,AI4064,AK4064,AM4064,AO4064,AQ4064,AS4064,AU4064,AW4064,AY4064)</f>
        <v>1076381</v>
      </c>
      <c r="BC4064" s="28" t="n">
        <f aca="false">BA4064-BB4064</f>
        <v>0</v>
      </c>
      <c r="BD4064" s="32" t="n">
        <f aca="false">SUM(P4064,R4064,T4064,V4064,X4064,Z4064,AB4064,AD4064,AF4064,AH4064,AJ4064,AL4064,AN4064,AP4064,AR4064,AT4064,AV4064,AX4064)</f>
        <v>43055.27</v>
      </c>
      <c r="BE4064" s="33" t="n">
        <f aca="false">AZ4064-BD4064</f>
        <v>0</v>
      </c>
      <c r="BF4064" s="34" t="n">
        <f aca="false">BD4064*M4064</f>
        <v>1076381.75</v>
      </c>
      <c r="BG4064" s="35" t="n">
        <f aca="false">BA4064-BF4064</f>
        <v>-0.75</v>
      </c>
      <c r="BH4064" s="19" t="str">
        <f aca="false">IF(BG4064=0,"",IF(BG4064&lt;&gt;BA4064,"erreur de calcul",IF(BD4064&lt;&gt;0,"pas de prix",IF(M4064&lt;&gt; 0,"pas de quantité","pas de prix, ni de quantité"))))</f>
        <v>erreur de calcul</v>
      </c>
      <c r="BI4064" s="19"/>
    </row>
    <row r="4065" customFormat="false" ht="15" hidden="false" customHeight="false" outlineLevel="0" collapsed="false">
      <c r="A4065" s="0" t="n">
        <v>38</v>
      </c>
      <c r="B4065" s="8" t="s">
        <v>24</v>
      </c>
      <c r="C4065" s="9" t="s">
        <v>25</v>
      </c>
      <c r="D4065" s="9" t="s">
        <v>26</v>
      </c>
      <c r="E4065" s="10" t="n">
        <v>1789</v>
      </c>
      <c r="F4065" s="9" t="s">
        <v>27</v>
      </c>
      <c r="G4065" s="9" t="s">
        <v>27</v>
      </c>
      <c r="H4065" s="11" t="n">
        <v>23</v>
      </c>
      <c r="I4065" s="11" t="s">
        <v>281</v>
      </c>
      <c r="J4065" s="14" t="n">
        <v>18</v>
      </c>
      <c r="K4065" s="14"/>
      <c r="L4065" s="16"/>
      <c r="M4065" s="27" t="n">
        <f aca="false">J4065+(K4065/20)+(L4065/240)</f>
        <v>18</v>
      </c>
      <c r="N4065" s="17" t="s">
        <v>275</v>
      </c>
      <c r="O4065" s="11"/>
      <c r="P4065" s="28"/>
      <c r="Q4065" s="28" t="n">
        <f aca="false">P4065*$M4065</f>
        <v>0</v>
      </c>
      <c r="R4065" s="28"/>
      <c r="S4065" s="28" t="n">
        <f aca="false">R4065*$M4065</f>
        <v>0</v>
      </c>
      <c r="T4065" s="28" t="n">
        <v>537</v>
      </c>
      <c r="U4065" s="28" t="n">
        <v>9666</v>
      </c>
      <c r="V4065" s="28"/>
      <c r="W4065" s="28" t="n">
        <f aca="false">V4065*$M4065</f>
        <v>0</v>
      </c>
      <c r="X4065" s="28"/>
      <c r="Y4065" s="28" t="n">
        <f aca="false">X4065*$M4065</f>
        <v>0</v>
      </c>
      <c r="Z4065" s="28"/>
      <c r="AA4065" s="28" t="n">
        <f aca="false">Z4065*$M4065</f>
        <v>0</v>
      </c>
      <c r="AB4065" s="28"/>
      <c r="AC4065" s="28" t="n">
        <f aca="false">AB4065*$M4065</f>
        <v>0</v>
      </c>
      <c r="AD4065" s="28"/>
      <c r="AE4065" s="28" t="n">
        <f aca="false">AD4065*$M4065</f>
        <v>0</v>
      </c>
      <c r="AF4065" s="28"/>
      <c r="AG4065" s="28" t="n">
        <f aca="false">AF4065*$M4065</f>
        <v>0</v>
      </c>
      <c r="AH4065" s="28"/>
      <c r="AI4065" s="28" t="n">
        <f aca="false">AH4065*$M4065</f>
        <v>0</v>
      </c>
      <c r="AJ4065" s="28"/>
      <c r="AK4065" s="28" t="n">
        <f aca="false">AJ4065*$M4065</f>
        <v>0</v>
      </c>
      <c r="AL4065" s="28"/>
      <c r="AM4065" s="28" t="n">
        <f aca="false">AL4065*$M4065</f>
        <v>0</v>
      </c>
      <c r="AN4065" s="28"/>
      <c r="AO4065" s="28" t="n">
        <f aca="false">AN4065*$M4065</f>
        <v>0</v>
      </c>
      <c r="AP4065" s="28"/>
      <c r="AQ4065" s="28" t="n">
        <f aca="false">AP4065*$M4065</f>
        <v>0</v>
      </c>
      <c r="AR4065" s="28"/>
      <c r="AS4065" s="28" t="n">
        <f aca="false">AR4065*$M4065</f>
        <v>0</v>
      </c>
      <c r="AT4065" s="28"/>
      <c r="AU4065" s="28" t="n">
        <f aca="false">AT4065*$M4065</f>
        <v>0</v>
      </c>
      <c r="AV4065" s="28" t="n">
        <v>1700</v>
      </c>
      <c r="AW4065" s="36" t="n">
        <v>33600</v>
      </c>
      <c r="AX4065" s="28"/>
      <c r="AY4065" s="28" t="n">
        <f aca="false">AX4065*$M4065</f>
        <v>0</v>
      </c>
      <c r="AZ4065" s="30" t="n">
        <v>2237</v>
      </c>
      <c r="BA4065" s="11" t="n">
        <v>43266</v>
      </c>
      <c r="BB4065" s="31" t="n">
        <f aca="false">SUM(Q4065,S4065,U4065,W4065,Y4065,AA4065,AC4065,AE4065,AG4065,AI4065,AK4065,AM4065,AO4065,AQ4065,AS4065,AU4065,AW4065,AY4065)</f>
        <v>43266</v>
      </c>
      <c r="BC4065" s="28" t="n">
        <f aca="false">BA4065-BB4065</f>
        <v>0</v>
      </c>
      <c r="BD4065" s="32" t="n">
        <f aca="false">SUM(P4065,R4065,T4065,V4065,X4065,Z4065,AB4065,AD4065,AF4065,AH4065,AJ4065,AL4065,AN4065,AP4065,AR4065,AT4065,AV4065,AX4065)</f>
        <v>2237</v>
      </c>
      <c r="BE4065" s="33" t="n">
        <f aca="false">AZ4065-BD4065</f>
        <v>0</v>
      </c>
      <c r="BF4065" s="34" t="n">
        <f aca="false">BD4065*M4065</f>
        <v>40266</v>
      </c>
      <c r="BG4065" s="35" t="n">
        <f aca="false">BA4065-BF4065</f>
        <v>3000</v>
      </c>
      <c r="BH4065" s="19" t="str">
        <f aca="false">IF(BG4065=0,"",IF(BG4065&lt;&gt;BA4065,"erreur de calcul",IF(BD4065&lt;&gt;0,"pas de prix",IF(M4065&lt;&gt; 0,"pas de quantité","pas de prix, ni de quantité"))))</f>
        <v>erreur de calcul</v>
      </c>
      <c r="BI4065" s="19"/>
    </row>
    <row r="4066" customFormat="false" ht="15" hidden="false" customHeight="false" outlineLevel="0" collapsed="false">
      <c r="A4066" s="0" t="n">
        <v>39</v>
      </c>
      <c r="B4066" s="8" t="s">
        <v>24</v>
      </c>
      <c r="C4066" s="9" t="s">
        <v>25</v>
      </c>
      <c r="D4066" s="9" t="s">
        <v>26</v>
      </c>
      <c r="E4066" s="10" t="n">
        <v>1789</v>
      </c>
      <c r="F4066" s="9" t="s">
        <v>27</v>
      </c>
      <c r="G4066" s="9" t="s">
        <v>27</v>
      </c>
      <c r="H4066" s="11" t="n">
        <v>23</v>
      </c>
      <c r="I4066" s="11" t="s">
        <v>282</v>
      </c>
      <c r="J4066" s="14"/>
      <c r="K4066" s="14"/>
      <c r="L4066" s="16"/>
      <c r="M4066" s="27" t="n">
        <f aca="false">J4066+(K4066/20)+(L4066/240)</f>
        <v>0</v>
      </c>
      <c r="N4066" s="17"/>
      <c r="O4066" s="11"/>
      <c r="P4066" s="28"/>
      <c r="Q4066" s="28" t="n">
        <f aca="false">P4066*$M4066</f>
        <v>0</v>
      </c>
      <c r="R4066" s="28"/>
      <c r="S4066" s="28" t="n">
        <f aca="false">R4066*$M4066</f>
        <v>0</v>
      </c>
      <c r="T4066" s="28"/>
      <c r="U4066" s="28" t="n">
        <v>1962</v>
      </c>
      <c r="V4066" s="28"/>
      <c r="W4066" s="28" t="n">
        <v>148</v>
      </c>
      <c r="X4066" s="28"/>
      <c r="Y4066" s="28" t="n">
        <v>221</v>
      </c>
      <c r="Z4066" s="28"/>
      <c r="AA4066" s="28" t="n">
        <f aca="false">Z4066*$M4066</f>
        <v>0</v>
      </c>
      <c r="AB4066" s="28"/>
      <c r="AC4066" s="28" t="n">
        <v>725</v>
      </c>
      <c r="AD4066" s="28"/>
      <c r="AE4066" s="28" t="n">
        <f aca="false">AD4066*$M4066</f>
        <v>0</v>
      </c>
      <c r="AF4066" s="28"/>
      <c r="AG4066" s="28" t="n">
        <v>414</v>
      </c>
      <c r="AH4066" s="28"/>
      <c r="AI4066" s="28" t="n">
        <f aca="false">AH4066*$M4066</f>
        <v>0</v>
      </c>
      <c r="AJ4066" s="28"/>
      <c r="AK4066" s="28" t="n">
        <f aca="false">AJ4066*$M4066</f>
        <v>0</v>
      </c>
      <c r="AL4066" s="28"/>
      <c r="AM4066" s="28" t="n">
        <f aca="false">AL4066*$M4066</f>
        <v>0</v>
      </c>
      <c r="AN4066" s="28"/>
      <c r="AO4066" s="28" t="n">
        <f aca="false">AN4066*$M4066</f>
        <v>0</v>
      </c>
      <c r="AP4066" s="28"/>
      <c r="AQ4066" s="28" t="n">
        <f aca="false">AP4066*$M4066</f>
        <v>0</v>
      </c>
      <c r="AR4066" s="28"/>
      <c r="AS4066" s="28" t="n">
        <f aca="false">AR4066*$M4066</f>
        <v>0</v>
      </c>
      <c r="AT4066" s="28"/>
      <c r="AU4066" s="28" t="n">
        <v>276</v>
      </c>
      <c r="AV4066" s="28"/>
      <c r="AW4066" s="28" t="n">
        <f aca="false">AV4066*$M4066</f>
        <v>0</v>
      </c>
      <c r="AX4066" s="28"/>
      <c r="AY4066" s="28" t="n">
        <f aca="false">AX4066*$M4066</f>
        <v>0</v>
      </c>
      <c r="AZ4066" s="30"/>
      <c r="BA4066" s="11" t="n">
        <v>3746</v>
      </c>
      <c r="BB4066" s="31" t="n">
        <f aca="false">SUM(Q4066,S4066,U4066,W4066,Y4066,AA4066,AC4066,AE4066,AG4066,AI4066,AK4066,AM4066,AO4066,AQ4066,AS4066,AU4066,AW4066,AY4066)</f>
        <v>3746</v>
      </c>
      <c r="BC4066" s="28" t="n">
        <f aca="false">BA4066-BB4066</f>
        <v>0</v>
      </c>
      <c r="BD4066" s="32" t="n">
        <f aca="false">SUM(P4066,R4066,T4066,V4066,X4066,Z4066,AB4066,AD4066,AF4066,AH4066,AJ4066,AL4066,AN4066,AP4066,AR4066,AT4066,AV4066,AX4066)</f>
        <v>0</v>
      </c>
      <c r="BE4066" s="33" t="n">
        <f aca="false">AZ4066-BD4066</f>
        <v>0</v>
      </c>
      <c r="BF4066" s="34" t="n">
        <f aca="false">BD4066*M4066</f>
        <v>0</v>
      </c>
      <c r="BG4066" s="35" t="n">
        <f aca="false">BA4066-BF4066</f>
        <v>3746</v>
      </c>
      <c r="BH4066" s="19" t="str">
        <f aca="false">IF(BG4066=0,"",IF(BG4066&lt;&gt;BA4066,"erreur de calcul",IF(BD4066&lt;&gt;0,"pas de prix",IF(M4066&lt;&gt; 0,"pas de quantité","pas de prix, ni de quantité"))))</f>
        <v>pas de prix, ni de quantité</v>
      </c>
      <c r="BI4066" s="19"/>
    </row>
    <row r="4067" customFormat="false" ht="15" hidden="false" customHeight="false" outlineLevel="0" collapsed="false">
      <c r="A4067" s="0" t="n">
        <v>40</v>
      </c>
      <c r="B4067" s="8" t="s">
        <v>24</v>
      </c>
      <c r="C4067" s="9" t="s">
        <v>25</v>
      </c>
      <c r="D4067" s="9" t="s">
        <v>26</v>
      </c>
      <c r="E4067" s="10" t="n">
        <v>1789</v>
      </c>
      <c r="F4067" s="9" t="s">
        <v>27</v>
      </c>
      <c r="G4067" s="9" t="s">
        <v>27</v>
      </c>
      <c r="H4067" s="11" t="n">
        <v>23</v>
      </c>
      <c r="I4067" s="11" t="s">
        <v>283</v>
      </c>
      <c r="J4067" s="14" t="n">
        <v>25</v>
      </c>
      <c r="K4067" s="14"/>
      <c r="L4067" s="16"/>
      <c r="M4067" s="27" t="n">
        <f aca="false">J4067+(K4067/20)+(L4067/240)</f>
        <v>25</v>
      </c>
      <c r="N4067" s="17" t="s">
        <v>64</v>
      </c>
      <c r="O4067" s="11"/>
      <c r="P4067" s="28" t="n">
        <f aca="false">12568/100</f>
        <v>125.68</v>
      </c>
      <c r="Q4067" s="28" t="n">
        <v>3142</v>
      </c>
      <c r="R4067" s="28"/>
      <c r="S4067" s="28" t="n">
        <f aca="false">R4067*$M4067</f>
        <v>0</v>
      </c>
      <c r="T4067" s="28"/>
      <c r="U4067" s="28" t="n">
        <f aca="false">T4067*$M4067</f>
        <v>0</v>
      </c>
      <c r="V4067" s="28"/>
      <c r="W4067" s="28" t="n">
        <f aca="false">V4067*$M4067</f>
        <v>0</v>
      </c>
      <c r="X4067" s="28"/>
      <c r="Y4067" s="28" t="n">
        <f aca="false">X4067*$M4067</f>
        <v>0</v>
      </c>
      <c r="Z4067" s="28"/>
      <c r="AA4067" s="28" t="n">
        <f aca="false">Z4067*$M4067</f>
        <v>0</v>
      </c>
      <c r="AB4067" s="28"/>
      <c r="AC4067" s="28" t="n">
        <f aca="false">AB4067*$M4067</f>
        <v>0</v>
      </c>
      <c r="AD4067" s="28"/>
      <c r="AE4067" s="28" t="n">
        <f aca="false">AD4067*$M4067</f>
        <v>0</v>
      </c>
      <c r="AF4067" s="28"/>
      <c r="AG4067" s="28" t="n">
        <f aca="false">AF4067*$M4067</f>
        <v>0</v>
      </c>
      <c r="AH4067" s="28" t="n">
        <f aca="false">5355/100</f>
        <v>53.55</v>
      </c>
      <c r="AI4067" s="28" t="n">
        <v>1339</v>
      </c>
      <c r="AJ4067" s="28"/>
      <c r="AK4067" s="28" t="n">
        <f aca="false">AJ4067*$M4067</f>
        <v>0</v>
      </c>
      <c r="AL4067" s="28"/>
      <c r="AM4067" s="28" t="n">
        <f aca="false">AL4067*$M4067</f>
        <v>0</v>
      </c>
      <c r="AN4067" s="28"/>
      <c r="AO4067" s="28" t="n">
        <f aca="false">AN4067*$M4067</f>
        <v>0</v>
      </c>
      <c r="AP4067" s="28"/>
      <c r="AQ4067" s="28" t="n">
        <f aca="false">AP4067*$M4067</f>
        <v>0</v>
      </c>
      <c r="AR4067" s="28"/>
      <c r="AS4067" s="28" t="n">
        <f aca="false">AR4067*$M4067</f>
        <v>0</v>
      </c>
      <c r="AT4067" s="28"/>
      <c r="AU4067" s="28" t="n">
        <f aca="false">AT4067*$M4067</f>
        <v>0</v>
      </c>
      <c r="AV4067" s="28"/>
      <c r="AW4067" s="28" t="n">
        <f aca="false">AV4067*$M4067</f>
        <v>0</v>
      </c>
      <c r="AX4067" s="28"/>
      <c r="AY4067" s="28" t="n">
        <f aca="false">AX4067*$M4067</f>
        <v>0</v>
      </c>
      <c r="AZ4067" s="30" t="n">
        <f aca="false">17923/100</f>
        <v>179.23</v>
      </c>
      <c r="BA4067" s="11" t="n">
        <v>4481</v>
      </c>
      <c r="BB4067" s="31" t="n">
        <f aca="false">SUM(Q4067,S4067,U4067,W4067,Y4067,AA4067,AC4067,AE4067,AG4067,AI4067,AK4067,AM4067,AO4067,AQ4067,AS4067,AU4067,AW4067,AY4067)</f>
        <v>4481</v>
      </c>
      <c r="BC4067" s="28" t="n">
        <f aca="false">BA4067-BB4067</f>
        <v>0</v>
      </c>
      <c r="BD4067" s="32" t="n">
        <f aca="false">SUM(P4067,R4067,T4067,V4067,X4067,Z4067,AB4067,AD4067,AF4067,AH4067,AJ4067,AL4067,AN4067,AP4067,AR4067,AT4067,AV4067,AX4067)</f>
        <v>179.23</v>
      </c>
      <c r="BE4067" s="33" t="n">
        <f aca="false">AZ4067-BD4067</f>
        <v>0</v>
      </c>
      <c r="BF4067" s="34" t="n">
        <f aca="false">BD4067*M4067</f>
        <v>4480.75</v>
      </c>
      <c r="BG4067" s="35" t="n">
        <f aca="false">BA4067-BF4067</f>
        <v>0.25</v>
      </c>
      <c r="BH4067" s="19" t="str">
        <f aca="false">IF(BG4067=0,"",IF(BG4067&lt;&gt;BA4067,"erreur de calcul",IF(BD4067&lt;&gt;0,"pas de prix",IF(M4067&lt;&gt; 0,"pas de quantité","pas de prix, ni de quantité"))))</f>
        <v>erreur de calcul</v>
      </c>
      <c r="BI4067" s="19"/>
    </row>
    <row r="4068" customFormat="false" ht="15" hidden="false" customHeight="false" outlineLevel="0" collapsed="false">
      <c r="A4068" s="0" t="n">
        <v>41</v>
      </c>
      <c r="B4068" s="8" t="s">
        <v>24</v>
      </c>
      <c r="C4068" s="9" t="s">
        <v>25</v>
      </c>
      <c r="D4068" s="9" t="s">
        <v>26</v>
      </c>
      <c r="E4068" s="10" t="n">
        <v>1789</v>
      </c>
      <c r="F4068" s="9" t="s">
        <v>27</v>
      </c>
      <c r="G4068" s="9" t="s">
        <v>27</v>
      </c>
      <c r="H4068" s="11" t="n">
        <v>23</v>
      </c>
      <c r="I4068" s="11" t="s">
        <v>284</v>
      </c>
      <c r="J4068" s="14" t="n">
        <v>17</v>
      </c>
      <c r="K4068" s="14"/>
      <c r="L4068" s="16"/>
      <c r="M4068" s="27" t="n">
        <f aca="false">J4068+(K4068/20)+(L4068/240)</f>
        <v>17</v>
      </c>
      <c r="N4068" s="17" t="s">
        <v>64</v>
      </c>
      <c r="O4068" s="11"/>
      <c r="P4068" s="28" t="n">
        <f aca="false">56873/100</f>
        <v>568.73</v>
      </c>
      <c r="Q4068" s="36" t="n">
        <v>3981</v>
      </c>
      <c r="R4068" s="28"/>
      <c r="S4068" s="28" t="n">
        <f aca="false">R4068*$M4068</f>
        <v>0</v>
      </c>
      <c r="T4068" s="28"/>
      <c r="U4068" s="28" t="n">
        <f aca="false">T4068*$M4068</f>
        <v>0</v>
      </c>
      <c r="V4068" s="28"/>
      <c r="W4068" s="28" t="n">
        <f aca="false">V4068*$M4068</f>
        <v>0</v>
      </c>
      <c r="X4068" s="28"/>
      <c r="Y4068" s="28" t="n">
        <f aca="false">X4068*$M4068</f>
        <v>0</v>
      </c>
      <c r="Z4068" s="28"/>
      <c r="AA4068" s="28" t="n">
        <f aca="false">Z4068*$M4068</f>
        <v>0</v>
      </c>
      <c r="AB4068" s="28"/>
      <c r="AC4068" s="28" t="n">
        <f aca="false">AB4068*$M4068</f>
        <v>0</v>
      </c>
      <c r="AD4068" s="28"/>
      <c r="AE4068" s="28" t="n">
        <f aca="false">AD4068*$M4068</f>
        <v>0</v>
      </c>
      <c r="AF4068" s="28"/>
      <c r="AG4068" s="28" t="n">
        <f aca="false">AF4068*$M4068</f>
        <v>0</v>
      </c>
      <c r="AH4068" s="28"/>
      <c r="AI4068" s="28" t="n">
        <f aca="false">AH4068*$M4068</f>
        <v>0</v>
      </c>
      <c r="AJ4068" s="28" t="n">
        <f aca="false">19651/100</f>
        <v>196.51</v>
      </c>
      <c r="AK4068" s="28" t="n">
        <v>3341</v>
      </c>
      <c r="AL4068" s="28"/>
      <c r="AM4068" s="28" t="n">
        <f aca="false">AL4068*$M4068</f>
        <v>0</v>
      </c>
      <c r="AN4068" s="28"/>
      <c r="AO4068" s="28" t="n">
        <f aca="false">AN4068*$M4068</f>
        <v>0</v>
      </c>
      <c r="AP4068" s="28"/>
      <c r="AQ4068" s="28" t="n">
        <f aca="false">AP4068*$M4068</f>
        <v>0</v>
      </c>
      <c r="AR4068" s="28"/>
      <c r="AS4068" s="28" t="n">
        <f aca="false">AR4068*$M4068</f>
        <v>0</v>
      </c>
      <c r="AT4068" s="28"/>
      <c r="AU4068" s="28" t="n">
        <f aca="false">AT4068*$M4068</f>
        <v>0</v>
      </c>
      <c r="AV4068" s="28"/>
      <c r="AW4068" s="28" t="n">
        <f aca="false">AV4068*$M4068</f>
        <v>0</v>
      </c>
      <c r="AX4068" s="28"/>
      <c r="AY4068" s="28" t="n">
        <f aca="false">AX4068*$M4068</f>
        <v>0</v>
      </c>
      <c r="AZ4068" s="30" t="n">
        <f aca="false">76524/100</f>
        <v>765.24</v>
      </c>
      <c r="BA4068" s="11" t="n">
        <v>7322</v>
      </c>
      <c r="BB4068" s="31" t="n">
        <f aca="false">SUM(Q4068,S4068,U4068,W4068,Y4068,AA4068,AC4068,AE4068,AG4068,AI4068,AK4068,AM4068,AO4068,AQ4068,AS4068,AU4068,AW4068,AY4068)</f>
        <v>7322</v>
      </c>
      <c r="BC4068" s="28" t="n">
        <f aca="false">BA4068-BB4068</f>
        <v>0</v>
      </c>
      <c r="BD4068" s="32" t="n">
        <f aca="false">SUM(P4068,R4068,T4068,V4068,X4068,Z4068,AB4068,AD4068,AF4068,AH4068,AJ4068,AL4068,AN4068,AP4068,AR4068,AT4068,AV4068,AX4068)</f>
        <v>765.24</v>
      </c>
      <c r="BE4068" s="33" t="n">
        <f aca="false">AZ4068-BD4068</f>
        <v>0</v>
      </c>
      <c r="BF4068" s="34" t="n">
        <f aca="false">BD4068*M4068</f>
        <v>13009.08</v>
      </c>
      <c r="BG4068" s="35" t="n">
        <f aca="false">BA4068-BF4068</f>
        <v>-5687.08</v>
      </c>
      <c r="BH4068" s="19" t="str">
        <f aca="false">IF(BG4068=0,"",IF(BG4068&lt;&gt;BA4068,"erreur de calcul",IF(BD4068&lt;&gt;0,"pas de prix",IF(M4068&lt;&gt; 0,"pas de quantité","pas de prix, ni de quantité"))))</f>
        <v>erreur de calcul</v>
      </c>
      <c r="BI4068" s="19"/>
    </row>
    <row r="4069" customFormat="false" ht="15" hidden="false" customHeight="false" outlineLevel="0" collapsed="false">
      <c r="A4069" s="0" t="n">
        <v>42</v>
      </c>
      <c r="B4069" s="8" t="s">
        <v>24</v>
      </c>
      <c r="C4069" s="9" t="s">
        <v>25</v>
      </c>
      <c r="D4069" s="9" t="s">
        <v>26</v>
      </c>
      <c r="E4069" s="10" t="n">
        <v>1789</v>
      </c>
      <c r="F4069" s="9" t="s">
        <v>27</v>
      </c>
      <c r="G4069" s="9" t="s">
        <v>27</v>
      </c>
      <c r="H4069" s="11" t="n">
        <v>23</v>
      </c>
      <c r="I4069" s="11" t="s">
        <v>285</v>
      </c>
      <c r="J4069" s="14" t="n">
        <v>15</v>
      </c>
      <c r="K4069" s="14"/>
      <c r="L4069" s="16"/>
      <c r="M4069" s="27" t="n">
        <f aca="false">J4069+(K4069/20)+(L4069/240)</f>
        <v>15</v>
      </c>
      <c r="N4069" s="17" t="s">
        <v>64</v>
      </c>
      <c r="O4069" s="11"/>
      <c r="P4069" s="28" t="n">
        <f aca="false">10520/100</f>
        <v>105.2</v>
      </c>
      <c r="Q4069" s="28" t="n">
        <v>1578</v>
      </c>
      <c r="R4069" s="28"/>
      <c r="S4069" s="28" t="n">
        <f aca="false">R4069*$M4069</f>
        <v>0</v>
      </c>
      <c r="T4069" s="28"/>
      <c r="U4069" s="28" t="n">
        <f aca="false">T4069*$M4069</f>
        <v>0</v>
      </c>
      <c r="V4069" s="28"/>
      <c r="W4069" s="28" t="n">
        <f aca="false">V4069*$M4069</f>
        <v>0</v>
      </c>
      <c r="X4069" s="28" t="n">
        <f aca="false">39052/100</f>
        <v>390.52</v>
      </c>
      <c r="Y4069" s="28" t="n">
        <v>5858</v>
      </c>
      <c r="Z4069" s="28"/>
      <c r="AA4069" s="28" t="n">
        <f aca="false">Z4069*$M4069</f>
        <v>0</v>
      </c>
      <c r="AB4069" s="28" t="n">
        <f aca="false">101189/100</f>
        <v>1011.89</v>
      </c>
      <c r="AC4069" s="28" t="n">
        <v>15178</v>
      </c>
      <c r="AD4069" s="28"/>
      <c r="AE4069" s="28" t="n">
        <f aca="false">AD4069*$M4069</f>
        <v>0</v>
      </c>
      <c r="AF4069" s="28" t="n">
        <f aca="false">48408/100</f>
        <v>484.08</v>
      </c>
      <c r="AG4069" s="28" t="n">
        <v>7261</v>
      </c>
      <c r="AH4069" s="28" t="n">
        <f aca="false">17847/100</f>
        <v>178.47</v>
      </c>
      <c r="AI4069" s="28" t="n">
        <v>2677</v>
      </c>
      <c r="AJ4069" s="28"/>
      <c r="AK4069" s="28" t="n">
        <f aca="false">AJ4069*$M4069</f>
        <v>0</v>
      </c>
      <c r="AL4069" s="28"/>
      <c r="AM4069" s="28" t="n">
        <f aca="false">AL4069*$M4069</f>
        <v>0</v>
      </c>
      <c r="AN4069" s="28"/>
      <c r="AO4069" s="28" t="n">
        <f aca="false">AN4069*$M4069</f>
        <v>0</v>
      </c>
      <c r="AP4069" s="28"/>
      <c r="AQ4069" s="28" t="n">
        <f aca="false">AP4069*$M4069</f>
        <v>0</v>
      </c>
      <c r="AR4069" s="28"/>
      <c r="AS4069" s="28" t="n">
        <f aca="false">AR4069*$M4069</f>
        <v>0</v>
      </c>
      <c r="AT4069" s="28"/>
      <c r="AU4069" s="28" t="n">
        <f aca="false">AT4069*$M4069</f>
        <v>0</v>
      </c>
      <c r="AV4069" s="28"/>
      <c r="AW4069" s="28" t="n">
        <f aca="false">AV4069*$M4069</f>
        <v>0</v>
      </c>
      <c r="AX4069" s="28"/>
      <c r="AY4069" s="28" t="n">
        <f aca="false">AX4069*$M4069</f>
        <v>0</v>
      </c>
      <c r="AZ4069" s="30" t="n">
        <f aca="false">217016/100</f>
        <v>2170.16</v>
      </c>
      <c r="BA4069" s="11" t="n">
        <v>32552</v>
      </c>
      <c r="BB4069" s="31" t="n">
        <f aca="false">SUM(Q4069,S4069,U4069,W4069,Y4069,AA4069,AC4069,AE4069,AG4069,AI4069,AK4069,AM4069,AO4069,AQ4069,AS4069,AU4069,AW4069,AY4069)</f>
        <v>32552</v>
      </c>
      <c r="BC4069" s="28" t="n">
        <f aca="false">BA4069-BB4069</f>
        <v>0</v>
      </c>
      <c r="BD4069" s="32" t="n">
        <f aca="false">SUM(P4069,R4069,T4069,V4069,X4069,Z4069,AB4069,AD4069,AF4069,AH4069,AJ4069,AL4069,AN4069,AP4069,AR4069,AT4069,AV4069,AX4069)</f>
        <v>2170.16</v>
      </c>
      <c r="BE4069" s="33" t="n">
        <f aca="false">AZ4069-BD4069</f>
        <v>0</v>
      </c>
      <c r="BF4069" s="34" t="n">
        <f aca="false">BD4069*M4069</f>
        <v>32552.4</v>
      </c>
      <c r="BG4069" s="35" t="n">
        <f aca="false">BA4069-BF4069</f>
        <v>-0.399999999997817</v>
      </c>
      <c r="BH4069" s="19" t="str">
        <f aca="false">IF(BG4069=0,"",IF(BG4069&lt;&gt;BA4069,"erreur de calcul",IF(BD4069&lt;&gt;0,"pas de prix",IF(M4069&lt;&gt; 0,"pas de quantité","pas de prix, ni de quantité"))))</f>
        <v>erreur de calcul</v>
      </c>
      <c r="BI4069" s="19"/>
    </row>
    <row r="4070" customFormat="false" ht="15" hidden="false" customHeight="false" outlineLevel="0" collapsed="false">
      <c r="A4070" s="0" t="n">
        <v>43</v>
      </c>
      <c r="B4070" s="8" t="s">
        <v>24</v>
      </c>
      <c r="C4070" s="9" t="s">
        <v>25</v>
      </c>
      <c r="D4070" s="9" t="s">
        <v>26</v>
      </c>
      <c r="E4070" s="10" t="n">
        <v>1789</v>
      </c>
      <c r="F4070" s="9" t="s">
        <v>27</v>
      </c>
      <c r="G4070" s="9" t="s">
        <v>27</v>
      </c>
      <c r="H4070" s="11" t="n">
        <v>23</v>
      </c>
      <c r="I4070" s="11" t="s">
        <v>286</v>
      </c>
      <c r="J4070" s="14" t="n">
        <v>20</v>
      </c>
      <c r="K4070" s="14"/>
      <c r="L4070" s="16"/>
      <c r="M4070" s="27" t="n">
        <f aca="false">J4070+(K4070/20)+(L4070/240)</f>
        <v>20</v>
      </c>
      <c r="N4070" s="17" t="s">
        <v>64</v>
      </c>
      <c r="O4070" s="11"/>
      <c r="P4070" s="28"/>
      <c r="Q4070" s="28" t="n">
        <f aca="false">P4070*$M4070</f>
        <v>0</v>
      </c>
      <c r="R4070" s="28"/>
      <c r="S4070" s="28" t="n">
        <f aca="false">R4070*$M4070</f>
        <v>0</v>
      </c>
      <c r="T4070" s="28"/>
      <c r="U4070" s="28" t="n">
        <f aca="false">T4070*$M4070</f>
        <v>0</v>
      </c>
      <c r="V4070" s="28"/>
      <c r="W4070" s="28" t="n">
        <f aca="false">V4070*$M4070</f>
        <v>0</v>
      </c>
      <c r="X4070" s="28"/>
      <c r="Y4070" s="28" t="n">
        <f aca="false">X4070*$M4070</f>
        <v>0</v>
      </c>
      <c r="Z4070" s="28"/>
      <c r="AA4070" s="28" t="n">
        <f aca="false">Z4070*$M4070</f>
        <v>0</v>
      </c>
      <c r="AB4070" s="28" t="n">
        <f aca="false">8852/100</f>
        <v>88.52</v>
      </c>
      <c r="AC4070" s="28" t="n">
        <v>1770</v>
      </c>
      <c r="AD4070" s="28"/>
      <c r="AE4070" s="28" t="n">
        <f aca="false">AD4070*$M4070</f>
        <v>0</v>
      </c>
      <c r="AF4070" s="28"/>
      <c r="AG4070" s="28" t="n">
        <f aca="false">AF4070*$M4070</f>
        <v>0</v>
      </c>
      <c r="AH4070" s="28"/>
      <c r="AI4070" s="28" t="n">
        <f aca="false">AH4070*$M4070</f>
        <v>0</v>
      </c>
      <c r="AJ4070" s="28"/>
      <c r="AK4070" s="28" t="n">
        <f aca="false">AJ4070*$M4070</f>
        <v>0</v>
      </c>
      <c r="AL4070" s="28"/>
      <c r="AM4070" s="28" t="n">
        <f aca="false">AL4070*$M4070</f>
        <v>0</v>
      </c>
      <c r="AN4070" s="28"/>
      <c r="AO4070" s="28" t="n">
        <f aca="false">AN4070*$M4070</f>
        <v>0</v>
      </c>
      <c r="AP4070" s="28"/>
      <c r="AQ4070" s="28" t="n">
        <f aca="false">AP4070*$M4070</f>
        <v>0</v>
      </c>
      <c r="AR4070" s="28"/>
      <c r="AS4070" s="28" t="n">
        <f aca="false">AR4070*$M4070</f>
        <v>0</v>
      </c>
      <c r="AT4070" s="28"/>
      <c r="AU4070" s="28" t="n">
        <f aca="false">AT4070*$M4070</f>
        <v>0</v>
      </c>
      <c r="AV4070" s="28"/>
      <c r="AW4070" s="28" t="n">
        <f aca="false">AV4070*$M4070</f>
        <v>0</v>
      </c>
      <c r="AX4070" s="28"/>
      <c r="AY4070" s="28" t="n">
        <f aca="false">AX4070*$M4070</f>
        <v>0</v>
      </c>
      <c r="AZ4070" s="30" t="n">
        <f aca="false">8852/100</f>
        <v>88.52</v>
      </c>
      <c r="BA4070" s="11" t="n">
        <v>1770</v>
      </c>
      <c r="BB4070" s="31" t="n">
        <f aca="false">SUM(Q4070,S4070,U4070,W4070,Y4070,AA4070,AC4070,AE4070,AG4070,AI4070,AK4070,AM4070,AO4070,AQ4070,AS4070,AU4070,AW4070,AY4070)</f>
        <v>1770</v>
      </c>
      <c r="BC4070" s="28" t="n">
        <f aca="false">BA4070-BB4070</f>
        <v>0</v>
      </c>
      <c r="BD4070" s="32" t="n">
        <f aca="false">SUM(P4070,R4070,T4070,V4070,X4070,Z4070,AB4070,AD4070,AF4070,AH4070,AJ4070,AL4070,AN4070,AP4070,AR4070,AT4070,AV4070,AX4070)</f>
        <v>88.52</v>
      </c>
      <c r="BE4070" s="33" t="n">
        <f aca="false">AZ4070-BD4070</f>
        <v>0</v>
      </c>
      <c r="BF4070" s="34" t="n">
        <f aca="false">BD4070*M4070</f>
        <v>1770.4</v>
      </c>
      <c r="BG4070" s="35" t="n">
        <f aca="false">BA4070-BF4070</f>
        <v>-0.399999999999864</v>
      </c>
      <c r="BH4070" s="19" t="str">
        <f aca="false">IF(BG4070=0,"",IF(BG4070&lt;&gt;BA4070,"erreur de calcul",IF(BD4070&lt;&gt;0,"pas de prix",IF(M4070&lt;&gt; 0,"pas de quantité","pas de prix, ni de quantité"))))</f>
        <v>erreur de calcul</v>
      </c>
      <c r="BI4070" s="19"/>
    </row>
    <row r="4071" customFormat="false" ht="15" hidden="false" customHeight="false" outlineLevel="0" collapsed="false">
      <c r="A4071" s="0" t="n">
        <v>44</v>
      </c>
      <c r="B4071" s="8" t="s">
        <v>24</v>
      </c>
      <c r="C4071" s="9" t="s">
        <v>25</v>
      </c>
      <c r="D4071" s="9" t="s">
        <v>26</v>
      </c>
      <c r="E4071" s="10" t="n">
        <v>1789</v>
      </c>
      <c r="F4071" s="9" t="s">
        <v>27</v>
      </c>
      <c r="G4071" s="9" t="s">
        <v>27</v>
      </c>
      <c r="H4071" s="11" t="n">
        <v>23</v>
      </c>
      <c r="I4071" s="11" t="s">
        <v>287</v>
      </c>
      <c r="J4071" s="14" t="n">
        <v>25</v>
      </c>
      <c r="K4071" s="14"/>
      <c r="L4071" s="16"/>
      <c r="M4071" s="27" t="n">
        <f aca="false">J4071+(K4071/20)+(L4071/240)</f>
        <v>25</v>
      </c>
      <c r="N4071" s="17" t="s">
        <v>64</v>
      </c>
      <c r="O4071" s="11" t="s">
        <v>77</v>
      </c>
      <c r="P4071" s="28" t="n">
        <f aca="false">13782/100</f>
        <v>137.82</v>
      </c>
      <c r="Q4071" s="28" t="n">
        <v>3445</v>
      </c>
      <c r="R4071" s="28"/>
      <c r="S4071" s="28" t="n">
        <f aca="false">R4071*$M4071</f>
        <v>0</v>
      </c>
      <c r="T4071" s="28"/>
      <c r="U4071" s="28" t="n">
        <f aca="false">T4071*$M4071</f>
        <v>0</v>
      </c>
      <c r="V4071" s="28" t="n">
        <f aca="false">4293/100</f>
        <v>42.93</v>
      </c>
      <c r="W4071" s="28" t="n">
        <v>1073</v>
      </c>
      <c r="X4071" s="28"/>
      <c r="Y4071" s="28" t="n">
        <f aca="false">X4071*$M4071</f>
        <v>0</v>
      </c>
      <c r="Z4071" s="28"/>
      <c r="AA4071" s="28" t="n">
        <f aca="false">Z4071*$M4071</f>
        <v>0</v>
      </c>
      <c r="AB4071" s="28"/>
      <c r="AC4071" s="28" t="n">
        <f aca="false">AB4071*$M4071</f>
        <v>0</v>
      </c>
      <c r="AD4071" s="28"/>
      <c r="AE4071" s="28" t="n">
        <f aca="false">AD4071*$M4071</f>
        <v>0</v>
      </c>
      <c r="AF4071" s="28"/>
      <c r="AG4071" s="28" t="n">
        <f aca="false">AF4071*$M4071</f>
        <v>0</v>
      </c>
      <c r="AH4071" s="28"/>
      <c r="AI4071" s="28" t="n">
        <f aca="false">AH4071*$M4071</f>
        <v>0</v>
      </c>
      <c r="AJ4071" s="28"/>
      <c r="AK4071" s="28" t="n">
        <f aca="false">AJ4071*$M4071</f>
        <v>0</v>
      </c>
      <c r="AL4071" s="28"/>
      <c r="AM4071" s="28" t="n">
        <f aca="false">AL4071*$M4071</f>
        <v>0</v>
      </c>
      <c r="AN4071" s="28"/>
      <c r="AO4071" s="28" t="n">
        <f aca="false">AN4071*$M4071</f>
        <v>0</v>
      </c>
      <c r="AP4071" s="28"/>
      <c r="AQ4071" s="28" t="n">
        <f aca="false">AP4071*$M4071</f>
        <v>0</v>
      </c>
      <c r="AR4071" s="28"/>
      <c r="AS4071" s="28" t="n">
        <f aca="false">AR4071*$M4071</f>
        <v>0</v>
      </c>
      <c r="AT4071" s="28"/>
      <c r="AU4071" s="28" t="n">
        <f aca="false">AT4071*$M4071</f>
        <v>0</v>
      </c>
      <c r="AV4071" s="28"/>
      <c r="AW4071" s="28" t="n">
        <f aca="false">AV4071*$M4071</f>
        <v>0</v>
      </c>
      <c r="AX4071" s="28"/>
      <c r="AY4071" s="28" t="n">
        <f aca="false">AX4071*$M4071</f>
        <v>0</v>
      </c>
      <c r="AZ4071" s="30" t="n">
        <f aca="false">18075/100</f>
        <v>180.75</v>
      </c>
      <c r="BA4071" s="11" t="n">
        <v>4518</v>
      </c>
      <c r="BB4071" s="31" t="n">
        <f aca="false">SUM(Q4071,S4071,U4071,W4071,Y4071,AA4071,AC4071,AE4071,AG4071,AI4071,AK4071,AM4071,AO4071,AQ4071,AS4071,AU4071,AW4071,AY4071)</f>
        <v>4518</v>
      </c>
      <c r="BC4071" s="28" t="n">
        <f aca="false">BA4071-BB4071</f>
        <v>0</v>
      </c>
      <c r="BD4071" s="32" t="n">
        <f aca="false">SUM(P4071,R4071,T4071,V4071,X4071,Z4071,AB4071,AD4071,AF4071,AH4071,AJ4071,AL4071,AN4071,AP4071,AR4071,AT4071,AV4071,AX4071)</f>
        <v>180.75</v>
      </c>
      <c r="BE4071" s="33" t="n">
        <f aca="false">AZ4071-BD4071</f>
        <v>0</v>
      </c>
      <c r="BF4071" s="34" t="n">
        <f aca="false">BD4071*M4071</f>
        <v>4518.75</v>
      </c>
      <c r="BG4071" s="35" t="n">
        <f aca="false">BA4071-BF4071</f>
        <v>-0.75</v>
      </c>
      <c r="BH4071" s="19" t="str">
        <f aca="false">IF(BG4071=0,"",IF(BG4071&lt;&gt;BA4071,"erreur de calcul",IF(BD4071&lt;&gt;0,"pas de prix",IF(M4071&lt;&gt; 0,"pas de quantité","pas de prix, ni de quantité"))))</f>
        <v>erreur de calcul</v>
      </c>
      <c r="BI4071" s="19"/>
    </row>
    <row r="4072" customFormat="false" ht="15" hidden="false" customHeight="false" outlineLevel="0" collapsed="false">
      <c r="A4072" s="0" t="n">
        <v>1</v>
      </c>
      <c r="B4072" s="8" t="s">
        <v>24</v>
      </c>
      <c r="C4072" s="9" t="s">
        <v>25</v>
      </c>
      <c r="D4072" s="9" t="s">
        <v>26</v>
      </c>
      <c r="E4072" s="10" t="n">
        <v>1789</v>
      </c>
      <c r="F4072" s="9" t="s">
        <v>27</v>
      </c>
      <c r="G4072" s="9" t="s">
        <v>27</v>
      </c>
      <c r="H4072" s="11" t="n">
        <v>24</v>
      </c>
      <c r="I4072" s="11" t="s">
        <v>288</v>
      </c>
      <c r="J4072" s="14" t="n">
        <v>250</v>
      </c>
      <c r="K4072" s="14"/>
      <c r="L4072" s="16"/>
      <c r="M4072" s="27" t="n">
        <f aca="false">J4072+(K4072/20)+(L4072/240)</f>
        <v>250</v>
      </c>
      <c r="N4072" s="17" t="s">
        <v>64</v>
      </c>
      <c r="O4072" s="11"/>
      <c r="P4072" s="28"/>
      <c r="Q4072" s="28" t="n">
        <f aca="false">P4072*$M4072</f>
        <v>0</v>
      </c>
      <c r="R4072" s="28"/>
      <c r="S4072" s="28" t="n">
        <f aca="false">R4072*$M4072</f>
        <v>0</v>
      </c>
      <c r="T4072" s="28"/>
      <c r="U4072" s="28" t="n">
        <f aca="false">T4072*$M4072</f>
        <v>0</v>
      </c>
      <c r="V4072" s="28"/>
      <c r="W4072" s="28" t="n">
        <f aca="false">V4072*$M4072</f>
        <v>0</v>
      </c>
      <c r="X4072" s="28"/>
      <c r="Y4072" s="28" t="n">
        <f aca="false">X4072*$M4072</f>
        <v>0</v>
      </c>
      <c r="Z4072" s="28"/>
      <c r="AA4072" s="28" t="n">
        <f aca="false">Z4072*$M4072</f>
        <v>0</v>
      </c>
      <c r="AB4072" s="28"/>
      <c r="AC4072" s="28" t="n">
        <f aca="false">AB4072*$M4072</f>
        <v>0</v>
      </c>
      <c r="AD4072" s="28"/>
      <c r="AE4072" s="28" t="n">
        <f aca="false">AD4072*$M4072</f>
        <v>0</v>
      </c>
      <c r="AF4072" s="28"/>
      <c r="AG4072" s="28" t="n">
        <f aca="false">AF4072*$M4072</f>
        <v>0</v>
      </c>
      <c r="AH4072" s="28" t="n">
        <f aca="false">5374/100</f>
        <v>53.74</v>
      </c>
      <c r="AI4072" s="28" t="n">
        <v>13435</v>
      </c>
      <c r="AJ4072" s="28"/>
      <c r="AK4072" s="28" t="n">
        <f aca="false">AJ4072*$M4072</f>
        <v>0</v>
      </c>
      <c r="AL4072" s="28"/>
      <c r="AM4072" s="28" t="n">
        <f aca="false">AL4072*$M4072</f>
        <v>0</v>
      </c>
      <c r="AN4072" s="28"/>
      <c r="AO4072" s="28" t="n">
        <f aca="false">AN4072*$M4072</f>
        <v>0</v>
      </c>
      <c r="AP4072" s="28"/>
      <c r="AQ4072" s="28" t="n">
        <f aca="false">AP4072*$M4072</f>
        <v>0</v>
      </c>
      <c r="AR4072" s="28"/>
      <c r="AS4072" s="28" t="n">
        <f aca="false">AR4072*$M4072</f>
        <v>0</v>
      </c>
      <c r="AT4072" s="28"/>
      <c r="AU4072" s="28" t="n">
        <f aca="false">AT4072*$M4072</f>
        <v>0</v>
      </c>
      <c r="AV4072" s="28"/>
      <c r="AW4072" s="28" t="n">
        <f aca="false">AV4072*$M4072</f>
        <v>0</v>
      </c>
      <c r="AX4072" s="28"/>
      <c r="AY4072" s="28" t="n">
        <f aca="false">AX4072*$M4072</f>
        <v>0</v>
      </c>
      <c r="AZ4072" s="30" t="n">
        <f aca="false">5374/100</f>
        <v>53.74</v>
      </c>
      <c r="BA4072" s="11" t="n">
        <v>13435</v>
      </c>
      <c r="BB4072" s="31" t="n">
        <f aca="false">SUM(Q4072,S4072,U4072,W4072,Y4072,AA4072,AC4072,AE4072,AG4072,AI4072,AK4072,AM4072,AO4072,AQ4072,AS4072,AU4072,AW4072,AY4072)</f>
        <v>13435</v>
      </c>
      <c r="BC4072" s="28" t="n">
        <f aca="false">BA4072-BB4072</f>
        <v>0</v>
      </c>
      <c r="BD4072" s="32" t="n">
        <f aca="false">SUM(P4072,R4072,T4072,V4072,X4072,Z4072,AB4072,AD4072,AF4072,AH4072,AJ4072,AL4072,AN4072,AP4072,AR4072,AT4072,AV4072,AX4072)</f>
        <v>53.74</v>
      </c>
      <c r="BE4072" s="33" t="n">
        <f aca="false">AZ4072-BD4072</f>
        <v>0</v>
      </c>
      <c r="BF4072" s="34" t="n">
        <f aca="false">BD4072*M4072</f>
        <v>13435</v>
      </c>
      <c r="BG4072" s="35" t="n">
        <f aca="false">BA4072-BF4072</f>
        <v>0</v>
      </c>
      <c r="BH4072" s="19" t="str">
        <f aca="false">IF(BG4072=0,"",IF(BG4072&lt;&gt;BA4072,"erreur de calcul",IF(BD4072&lt;&gt;0,"pas de prix",IF(M4072&lt;&gt; 0,"pas de quantité","pas de prix, ni de quantité"))))</f>
        <v/>
      </c>
      <c r="BI4072" s="19"/>
    </row>
    <row r="4073" customFormat="false" ht="15" hidden="false" customHeight="false" outlineLevel="0" collapsed="false">
      <c r="A4073" s="0" t="n">
        <v>2</v>
      </c>
      <c r="B4073" s="8" t="s">
        <v>24</v>
      </c>
      <c r="C4073" s="9" t="s">
        <v>25</v>
      </c>
      <c r="D4073" s="9" t="s">
        <v>26</v>
      </c>
      <c r="E4073" s="10" t="n">
        <v>1789</v>
      </c>
      <c r="F4073" s="9" t="s">
        <v>27</v>
      </c>
      <c r="G4073" s="9" t="s">
        <v>27</v>
      </c>
      <c r="H4073" s="11" t="n">
        <v>24</v>
      </c>
      <c r="I4073" s="11" t="s">
        <v>289</v>
      </c>
      <c r="J4073" s="14" t="n">
        <v>3</v>
      </c>
      <c r="K4073" s="14"/>
      <c r="L4073" s="16"/>
      <c r="M4073" s="27" t="n">
        <f aca="false">J4073+(K4073/20)+(L4073/240)</f>
        <v>3</v>
      </c>
      <c r="N4073" s="17" t="s">
        <v>66</v>
      </c>
      <c r="O4073" s="11"/>
      <c r="P4073" s="28"/>
      <c r="Q4073" s="28" t="n">
        <f aca="false">P4073*$M4073</f>
        <v>0</v>
      </c>
      <c r="R4073" s="28"/>
      <c r="S4073" s="28" t="n">
        <f aca="false">R4073*$M4073</f>
        <v>0</v>
      </c>
      <c r="T4073" s="28"/>
      <c r="U4073" s="28" t="n">
        <f aca="false">T4073*$M4073</f>
        <v>0</v>
      </c>
      <c r="V4073" s="28"/>
      <c r="W4073" s="28" t="n">
        <f aca="false">V4073*$M4073</f>
        <v>0</v>
      </c>
      <c r="X4073" s="28"/>
      <c r="Y4073" s="28" t="n">
        <f aca="false">X4073*$M4073</f>
        <v>0</v>
      </c>
      <c r="Z4073" s="28"/>
      <c r="AA4073" s="28" t="n">
        <f aca="false">Z4073*$M4073</f>
        <v>0</v>
      </c>
      <c r="AB4073" s="28"/>
      <c r="AC4073" s="28" t="n">
        <f aca="false">AB4073*$M4073</f>
        <v>0</v>
      </c>
      <c r="AD4073" s="28"/>
      <c r="AE4073" s="28" t="n">
        <f aca="false">AD4073*$M4073</f>
        <v>0</v>
      </c>
      <c r="AF4073" s="28"/>
      <c r="AG4073" s="28" t="n">
        <f aca="false">AF4073*$M4073</f>
        <v>0</v>
      </c>
      <c r="AH4073" s="28" t="n">
        <v>261</v>
      </c>
      <c r="AI4073" s="28" t="n">
        <v>783</v>
      </c>
      <c r="AJ4073" s="28"/>
      <c r="AK4073" s="28" t="n">
        <f aca="false">AJ4073*$M4073</f>
        <v>0</v>
      </c>
      <c r="AL4073" s="28"/>
      <c r="AM4073" s="28" t="n">
        <f aca="false">AL4073*$M4073</f>
        <v>0</v>
      </c>
      <c r="AN4073" s="28"/>
      <c r="AO4073" s="28" t="n">
        <f aca="false">AN4073*$M4073</f>
        <v>0</v>
      </c>
      <c r="AP4073" s="28"/>
      <c r="AQ4073" s="28" t="n">
        <f aca="false">AP4073*$M4073</f>
        <v>0</v>
      </c>
      <c r="AR4073" s="28"/>
      <c r="AS4073" s="28" t="n">
        <f aca="false">AR4073*$M4073</f>
        <v>0</v>
      </c>
      <c r="AT4073" s="28"/>
      <c r="AU4073" s="28" t="n">
        <f aca="false">AT4073*$M4073</f>
        <v>0</v>
      </c>
      <c r="AV4073" s="28"/>
      <c r="AW4073" s="28" t="n">
        <f aca="false">AV4073*$M4073</f>
        <v>0</v>
      </c>
      <c r="AX4073" s="28"/>
      <c r="AY4073" s="28" t="n">
        <f aca="false">AX4073*$M4073</f>
        <v>0</v>
      </c>
      <c r="AZ4073" s="30" t="n">
        <v>261</v>
      </c>
      <c r="BA4073" s="11" t="n">
        <v>783</v>
      </c>
      <c r="BB4073" s="31" t="n">
        <f aca="false">SUM(Q4073,S4073,U4073,W4073,Y4073,AA4073,AC4073,AE4073,AG4073,AI4073,AK4073,AM4073,AO4073,AQ4073,AS4073,AU4073,AW4073,AY4073)</f>
        <v>783</v>
      </c>
      <c r="BC4073" s="28" t="n">
        <f aca="false">BA4073-BB4073</f>
        <v>0</v>
      </c>
      <c r="BD4073" s="32" t="n">
        <f aca="false">SUM(P4073,R4073,T4073,V4073,X4073,Z4073,AB4073,AD4073,AF4073,AH4073,AJ4073,AL4073,AN4073,AP4073,AR4073,AT4073,AV4073,AX4073)</f>
        <v>261</v>
      </c>
      <c r="BE4073" s="33" t="n">
        <f aca="false">AZ4073-BD4073</f>
        <v>0</v>
      </c>
      <c r="BF4073" s="34" t="n">
        <f aca="false">BD4073*M4073</f>
        <v>783</v>
      </c>
      <c r="BG4073" s="35" t="n">
        <f aca="false">BA4073-BF4073</f>
        <v>0</v>
      </c>
      <c r="BH4073" s="19" t="str">
        <f aca="false">IF(BG4073=0,"",IF(BG4073&lt;&gt;BA4073,"erreur de calcul",IF(BD4073&lt;&gt;0,"pas de prix",IF(M4073&lt;&gt; 0,"pas de quantité","pas de prix, ni de quantité"))))</f>
        <v/>
      </c>
      <c r="BI4073" s="19"/>
    </row>
    <row r="4074" customFormat="false" ht="15" hidden="false" customHeight="false" outlineLevel="0" collapsed="false">
      <c r="A4074" s="0" t="n">
        <v>3</v>
      </c>
      <c r="B4074" s="8" t="s">
        <v>24</v>
      </c>
      <c r="C4074" s="9" t="s">
        <v>25</v>
      </c>
      <c r="D4074" s="9" t="s">
        <v>26</v>
      </c>
      <c r="E4074" s="10" t="n">
        <v>1789</v>
      </c>
      <c r="F4074" s="9" t="s">
        <v>27</v>
      </c>
      <c r="G4074" s="9" t="s">
        <v>27</v>
      </c>
      <c r="H4074" s="11" t="n">
        <v>24</v>
      </c>
      <c r="I4074" s="11" t="s">
        <v>290</v>
      </c>
      <c r="J4074" s="14" t="n">
        <v>5</v>
      </c>
      <c r="K4074" s="14"/>
      <c r="L4074" s="16"/>
      <c r="M4074" s="27" t="n">
        <f aca="false">J4074+(K4074/20)+(L4074/240)</f>
        <v>5</v>
      </c>
      <c r="N4074" s="17" t="s">
        <v>66</v>
      </c>
      <c r="O4074" s="11"/>
      <c r="P4074" s="28"/>
      <c r="Q4074" s="28" t="n">
        <f aca="false">P4074*$M4074</f>
        <v>0</v>
      </c>
      <c r="R4074" s="28"/>
      <c r="S4074" s="28" t="n">
        <f aca="false">R4074*$M4074</f>
        <v>0</v>
      </c>
      <c r="T4074" s="28"/>
      <c r="U4074" s="28" t="n">
        <v>4765</v>
      </c>
      <c r="V4074" s="28"/>
      <c r="W4074" s="28" t="n">
        <f aca="false">V4074*$M4074</f>
        <v>0</v>
      </c>
      <c r="X4074" s="28"/>
      <c r="Y4074" s="28" t="n">
        <f aca="false">X4074*$M4074</f>
        <v>0</v>
      </c>
      <c r="Z4074" s="28"/>
      <c r="AA4074" s="28" t="n">
        <f aca="false">Z4074*$M4074</f>
        <v>0</v>
      </c>
      <c r="AB4074" s="28"/>
      <c r="AC4074" s="28" t="n">
        <f aca="false">AB4074*$M4074</f>
        <v>0</v>
      </c>
      <c r="AD4074" s="28"/>
      <c r="AE4074" s="28" t="n">
        <f aca="false">AD4074*$M4074</f>
        <v>0</v>
      </c>
      <c r="AF4074" s="28"/>
      <c r="AG4074" s="28" t="n">
        <f aca="false">AF4074*$M4074</f>
        <v>0</v>
      </c>
      <c r="AH4074" s="28"/>
      <c r="AI4074" s="28" t="n">
        <f aca="false">AH4074*$M4074</f>
        <v>0</v>
      </c>
      <c r="AJ4074" s="28"/>
      <c r="AK4074" s="28" t="n">
        <f aca="false">AJ4074*$M4074</f>
        <v>0</v>
      </c>
      <c r="AL4074" s="28"/>
      <c r="AM4074" s="28" t="n">
        <f aca="false">AL4074*$M4074</f>
        <v>0</v>
      </c>
      <c r="AN4074" s="28"/>
      <c r="AO4074" s="28" t="n">
        <f aca="false">AN4074*$M4074</f>
        <v>0</v>
      </c>
      <c r="AP4074" s="28"/>
      <c r="AQ4074" s="28" t="n">
        <f aca="false">AP4074*$M4074</f>
        <v>0</v>
      </c>
      <c r="AR4074" s="28"/>
      <c r="AS4074" s="28" t="n">
        <f aca="false">AR4074*$M4074</f>
        <v>0</v>
      </c>
      <c r="AT4074" s="28"/>
      <c r="AU4074" s="28" t="n">
        <f aca="false">AT4074*$M4074</f>
        <v>0</v>
      </c>
      <c r="AV4074" s="28"/>
      <c r="AW4074" s="28" t="n">
        <f aca="false">AV4074*$M4074</f>
        <v>0</v>
      </c>
      <c r="AX4074" s="28"/>
      <c r="AY4074" s="28" t="n">
        <f aca="false">AX4074*$M4074</f>
        <v>0</v>
      </c>
      <c r="AZ4074" s="30"/>
      <c r="BA4074" s="11" t="n">
        <v>4765</v>
      </c>
      <c r="BB4074" s="31" t="n">
        <f aca="false">SUM(Q4074,S4074,U4074,W4074,Y4074,AA4074,AC4074,AE4074,AG4074,AI4074,AK4074,AM4074,AO4074,AQ4074,AS4074,AU4074,AW4074,AY4074)</f>
        <v>4765</v>
      </c>
      <c r="BC4074" s="28" t="n">
        <f aca="false">BA4074-BB4074</f>
        <v>0</v>
      </c>
      <c r="BD4074" s="32" t="n">
        <f aca="false">SUM(P4074,R4074,T4074,V4074,X4074,Z4074,AB4074,AD4074,AF4074,AH4074,AJ4074,AL4074,AN4074,AP4074,AR4074,AT4074,AV4074,AX4074)</f>
        <v>0</v>
      </c>
      <c r="BE4074" s="33" t="n">
        <f aca="false">AZ4074-BD4074</f>
        <v>0</v>
      </c>
      <c r="BF4074" s="34" t="n">
        <f aca="false">BD4074*M4074</f>
        <v>0</v>
      </c>
      <c r="BG4074" s="35" t="n">
        <f aca="false">BA4074-BF4074</f>
        <v>4765</v>
      </c>
      <c r="BH4074" s="19" t="str">
        <f aca="false">IF(BG4074=0,"",IF(BG4074&lt;&gt;BA4074,"erreur de calcul",IF(BD4074&lt;&gt;0,"pas de prix",IF(M4074&lt;&gt; 0,"pas de quantité","pas de prix, ni de quantité"))))</f>
        <v>pas de quantité</v>
      </c>
      <c r="BI4074" s="19"/>
    </row>
    <row r="4075" customFormat="false" ht="15" hidden="false" customHeight="false" outlineLevel="0" collapsed="false">
      <c r="A4075" s="0" t="n">
        <v>4</v>
      </c>
      <c r="B4075" s="8" t="s">
        <v>24</v>
      </c>
      <c r="C4075" s="9" t="s">
        <v>25</v>
      </c>
      <c r="D4075" s="9" t="s">
        <v>26</v>
      </c>
      <c r="E4075" s="10" t="n">
        <v>1789</v>
      </c>
      <c r="F4075" s="9" t="s">
        <v>27</v>
      </c>
      <c r="G4075" s="9" t="s">
        <v>27</v>
      </c>
      <c r="H4075" s="11" t="n">
        <v>24</v>
      </c>
      <c r="I4075" s="11" t="s">
        <v>291</v>
      </c>
      <c r="J4075" s="14" t="n">
        <v>36</v>
      </c>
      <c r="K4075" s="14"/>
      <c r="L4075" s="16"/>
      <c r="M4075" s="27" t="n">
        <f aca="false">J4075+(K4075/20)+(L4075/240)</f>
        <v>36</v>
      </c>
      <c r="N4075" s="17" t="s">
        <v>66</v>
      </c>
      <c r="O4075" s="11"/>
      <c r="P4075" s="28"/>
      <c r="Q4075" s="28" t="n">
        <f aca="false">P4075*$M4075</f>
        <v>0</v>
      </c>
      <c r="R4075" s="28"/>
      <c r="S4075" s="28" t="n">
        <f aca="false">R4075*$M4075</f>
        <v>0</v>
      </c>
      <c r="T4075" s="28"/>
      <c r="U4075" s="28" t="n">
        <f aca="false">T4075*$M4075</f>
        <v>0</v>
      </c>
      <c r="V4075" s="28"/>
      <c r="W4075" s="28" t="n">
        <f aca="false">V4075*$M4075</f>
        <v>0</v>
      </c>
      <c r="X4075" s="28"/>
      <c r="Y4075" s="28" t="n">
        <f aca="false">X4075*$M4075</f>
        <v>0</v>
      </c>
      <c r="Z4075" s="28"/>
      <c r="AA4075" s="28" t="n">
        <f aca="false">Z4075*$M4075</f>
        <v>0</v>
      </c>
      <c r="AB4075" s="28"/>
      <c r="AC4075" s="28" t="n">
        <f aca="false">AB4075*$M4075</f>
        <v>0</v>
      </c>
      <c r="AD4075" s="28"/>
      <c r="AE4075" s="28" t="n">
        <f aca="false">AD4075*$M4075</f>
        <v>0</v>
      </c>
      <c r="AF4075" s="28"/>
      <c r="AG4075" s="28" t="n">
        <f aca="false">AF4075*$M4075</f>
        <v>0</v>
      </c>
      <c r="AH4075" s="28"/>
      <c r="AI4075" s="28" t="n">
        <f aca="false">AH4075*$M4075</f>
        <v>0</v>
      </c>
      <c r="AJ4075" s="28" t="n">
        <v>387</v>
      </c>
      <c r="AK4075" s="28" t="n">
        <v>13932</v>
      </c>
      <c r="AL4075" s="28"/>
      <c r="AM4075" s="28" t="n">
        <f aca="false">AL4075*$M4075</f>
        <v>0</v>
      </c>
      <c r="AN4075" s="28"/>
      <c r="AO4075" s="28" t="n">
        <f aca="false">AN4075*$M4075</f>
        <v>0</v>
      </c>
      <c r="AP4075" s="28"/>
      <c r="AQ4075" s="28" t="n">
        <f aca="false">AP4075*$M4075</f>
        <v>0</v>
      </c>
      <c r="AR4075" s="28"/>
      <c r="AS4075" s="28" t="n">
        <f aca="false">AR4075*$M4075</f>
        <v>0</v>
      </c>
      <c r="AT4075" s="28"/>
      <c r="AU4075" s="28" t="n">
        <f aca="false">AT4075*$M4075</f>
        <v>0</v>
      </c>
      <c r="AV4075" s="28"/>
      <c r="AW4075" s="28" t="n">
        <f aca="false">AV4075*$M4075</f>
        <v>0</v>
      </c>
      <c r="AX4075" s="28"/>
      <c r="AY4075" s="28" t="n">
        <f aca="false">AX4075*$M4075</f>
        <v>0</v>
      </c>
      <c r="AZ4075" s="30" t="n">
        <v>387</v>
      </c>
      <c r="BA4075" s="11" t="n">
        <v>13932</v>
      </c>
      <c r="BB4075" s="31" t="n">
        <f aca="false">SUM(Q4075,S4075,U4075,W4075,Y4075,AA4075,AC4075,AE4075,AG4075,AI4075,AK4075,AM4075,AO4075,AQ4075,AS4075,AU4075,AW4075,AY4075)</f>
        <v>13932</v>
      </c>
      <c r="BC4075" s="28" t="n">
        <f aca="false">BA4075-BB4075</f>
        <v>0</v>
      </c>
      <c r="BD4075" s="32" t="n">
        <f aca="false">SUM(P4075,R4075,T4075,V4075,X4075,Z4075,AB4075,AD4075,AF4075,AH4075,AJ4075,AL4075,AN4075,AP4075,AR4075,AT4075,AV4075,AX4075)</f>
        <v>387</v>
      </c>
      <c r="BE4075" s="33" t="n">
        <f aca="false">AZ4075-BD4075</f>
        <v>0</v>
      </c>
      <c r="BF4075" s="34" t="n">
        <f aca="false">BD4075*M4075</f>
        <v>13932</v>
      </c>
      <c r="BG4075" s="35" t="n">
        <f aca="false">BA4075-BF4075</f>
        <v>0</v>
      </c>
      <c r="BH4075" s="19" t="str">
        <f aca="false">IF(BG4075=0,"",IF(BG4075&lt;&gt;BA4075,"erreur de calcul",IF(BD4075&lt;&gt;0,"pas de prix",IF(M4075&lt;&gt; 0,"pas de quantité","pas de prix, ni de quantité"))))</f>
        <v/>
      </c>
      <c r="BI4075" s="19"/>
    </row>
    <row r="4076" customFormat="false" ht="15" hidden="false" customHeight="false" outlineLevel="0" collapsed="false">
      <c r="A4076" s="0" t="n">
        <v>5</v>
      </c>
      <c r="B4076" s="8" t="s">
        <v>24</v>
      </c>
      <c r="C4076" s="9" t="s">
        <v>25</v>
      </c>
      <c r="D4076" s="9" t="s">
        <v>26</v>
      </c>
      <c r="E4076" s="10" t="n">
        <v>1789</v>
      </c>
      <c r="F4076" s="9" t="s">
        <v>27</v>
      </c>
      <c r="G4076" s="9" t="s">
        <v>27</v>
      </c>
      <c r="H4076" s="11" t="n">
        <v>24</v>
      </c>
      <c r="I4076" s="11" t="s">
        <v>292</v>
      </c>
      <c r="J4076" s="14" t="n">
        <v>40</v>
      </c>
      <c r="K4076" s="14"/>
      <c r="L4076" s="16"/>
      <c r="M4076" s="27" t="n">
        <f aca="false">J4076+(K4076/20)+(L4076/240)</f>
        <v>40</v>
      </c>
      <c r="N4076" s="17" t="s">
        <v>64</v>
      </c>
      <c r="O4076" s="11" t="s">
        <v>277</v>
      </c>
      <c r="P4076" s="28"/>
      <c r="Q4076" s="28" t="n">
        <f aca="false">P4076*$M4076</f>
        <v>0</v>
      </c>
      <c r="R4076" s="28"/>
      <c r="S4076" s="28" t="n">
        <f aca="false">R4076*$M4076</f>
        <v>0</v>
      </c>
      <c r="T4076" s="28" t="n">
        <f aca="false">5917/100</f>
        <v>59.17</v>
      </c>
      <c r="U4076" s="28" t="n">
        <v>2367</v>
      </c>
      <c r="V4076" s="28" t="n">
        <f aca="false">12510/100</f>
        <v>125.1</v>
      </c>
      <c r="W4076" s="28" t="n">
        <f aca="false">V4076*$M4076</f>
        <v>5004</v>
      </c>
      <c r="X4076" s="28"/>
      <c r="Y4076" s="28" t="n">
        <f aca="false">X4076*$M4076</f>
        <v>0</v>
      </c>
      <c r="Z4076" s="28"/>
      <c r="AA4076" s="28" t="n">
        <f aca="false">Z4076*$M4076</f>
        <v>0</v>
      </c>
      <c r="AB4076" s="28" t="n">
        <f aca="false">50338/100</f>
        <v>503.38</v>
      </c>
      <c r="AC4076" s="28" t="n">
        <v>20135</v>
      </c>
      <c r="AD4076" s="28"/>
      <c r="AE4076" s="28" t="n">
        <f aca="false">AD4076*$M4076</f>
        <v>0</v>
      </c>
      <c r="AF4076" s="28"/>
      <c r="AG4076" s="28" t="n">
        <f aca="false">AF4076*$M4076</f>
        <v>0</v>
      </c>
      <c r="AH4076" s="28" t="n">
        <f aca="false">440/100</f>
        <v>4.4</v>
      </c>
      <c r="AI4076" s="28" t="n">
        <v>176</v>
      </c>
      <c r="AJ4076" s="28" t="n">
        <f aca="false">18094/100</f>
        <v>180.94</v>
      </c>
      <c r="AK4076" s="28" t="n">
        <v>7238</v>
      </c>
      <c r="AL4076" s="28"/>
      <c r="AM4076" s="28" t="n">
        <f aca="false">AL4076*$M4076</f>
        <v>0</v>
      </c>
      <c r="AN4076" s="28"/>
      <c r="AO4076" s="28" t="n">
        <f aca="false">AN4076*$M4076</f>
        <v>0</v>
      </c>
      <c r="AP4076" s="28"/>
      <c r="AQ4076" s="28" t="n">
        <f aca="false">AP4076*$M4076</f>
        <v>0</v>
      </c>
      <c r="AR4076" s="28"/>
      <c r="AS4076" s="28" t="n">
        <f aca="false">AR4076*$M4076</f>
        <v>0</v>
      </c>
      <c r="AT4076" s="28"/>
      <c r="AU4076" s="28" t="n">
        <f aca="false">AT4076*$M4076</f>
        <v>0</v>
      </c>
      <c r="AV4076" s="28"/>
      <c r="AW4076" s="28" t="n">
        <f aca="false">AV4076*$M4076</f>
        <v>0</v>
      </c>
      <c r="AX4076" s="28"/>
      <c r="AY4076" s="28" t="n">
        <f aca="false">AX4076*$M4076</f>
        <v>0</v>
      </c>
      <c r="AZ4076" s="30" t="n">
        <f aca="false">87279/100</f>
        <v>872.79</v>
      </c>
      <c r="BA4076" s="11" t="n">
        <v>34920</v>
      </c>
      <c r="BB4076" s="31" t="n">
        <f aca="false">SUM(Q4076,S4076,U4076,W4076,Y4076,AA4076,AC4076,AE4076,AG4076,AI4076,AK4076,AM4076,AO4076,AQ4076,AS4076,AU4076,AW4076,AY4076)</f>
        <v>34920</v>
      </c>
      <c r="BC4076" s="28" t="n">
        <f aca="false">BA4076-BB4076</f>
        <v>0</v>
      </c>
      <c r="BD4076" s="32" t="n">
        <f aca="false">SUM(P4076,R4076,T4076,V4076,X4076,Z4076,AB4076,AD4076,AF4076,AH4076,AJ4076,AL4076,AN4076,AP4076,AR4076,AT4076,AV4076,AX4076)</f>
        <v>872.99</v>
      </c>
      <c r="BE4076" s="33" t="n">
        <f aca="false">AZ4076-BD4076</f>
        <v>-0.200000000000045</v>
      </c>
      <c r="BF4076" s="34" t="n">
        <f aca="false">BD4076*M4076</f>
        <v>34919.6</v>
      </c>
      <c r="BG4076" s="35" t="n">
        <f aca="false">BA4076-BF4076</f>
        <v>0.400000000001455</v>
      </c>
      <c r="BH4076" s="19" t="str">
        <f aca="false">IF(BG4076=0,"",IF(BG4076&lt;&gt;BA4076,"erreur de calcul",IF(BD4076&lt;&gt;0,"pas de prix",IF(M4076&lt;&gt; 0,"pas de quantité","pas de prix, ni de quantité"))))</f>
        <v>erreur de calcul</v>
      </c>
      <c r="BI4076" s="19"/>
    </row>
    <row r="4077" customFormat="false" ht="15" hidden="false" customHeight="false" outlineLevel="0" collapsed="false">
      <c r="A4077" s="0" t="n">
        <v>6</v>
      </c>
      <c r="B4077" s="8" t="s">
        <v>24</v>
      </c>
      <c r="C4077" s="9" t="s">
        <v>25</v>
      </c>
      <c r="D4077" s="9" t="s">
        <v>26</v>
      </c>
      <c r="E4077" s="10" t="n">
        <v>1789</v>
      </c>
      <c r="F4077" s="9" t="s">
        <v>27</v>
      </c>
      <c r="G4077" s="9" t="s">
        <v>27</v>
      </c>
      <c r="H4077" s="11" t="n">
        <v>24</v>
      </c>
      <c r="I4077" s="11" t="s">
        <v>293</v>
      </c>
      <c r="J4077" s="14" t="n">
        <v>72</v>
      </c>
      <c r="K4077" s="14"/>
      <c r="L4077" s="16"/>
      <c r="M4077" s="27" t="n">
        <f aca="false">J4077+(K4077/20)+(L4077/240)</f>
        <v>72</v>
      </c>
      <c r="N4077" s="17" t="s">
        <v>294</v>
      </c>
      <c r="O4077" s="11"/>
      <c r="P4077" s="28" t="n">
        <v>16096</v>
      </c>
      <c r="Q4077" s="28" t="n">
        <v>1158912</v>
      </c>
      <c r="R4077" s="28"/>
      <c r="S4077" s="28" t="n">
        <f aca="false">R4077*$M4077</f>
        <v>0</v>
      </c>
      <c r="T4077" s="28" t="n">
        <v>6580</v>
      </c>
      <c r="U4077" s="28" t="n">
        <v>473760</v>
      </c>
      <c r="V4077" s="28" t="n">
        <v>21336</v>
      </c>
      <c r="W4077" s="28" t="n">
        <v>1536192</v>
      </c>
      <c r="X4077" s="28" t="n">
        <v>905</v>
      </c>
      <c r="Y4077" s="28" t="n">
        <v>65160</v>
      </c>
      <c r="Z4077" s="28" t="n">
        <v>250</v>
      </c>
      <c r="AA4077" s="28" t="n">
        <v>18000</v>
      </c>
      <c r="AB4077" s="28" t="n">
        <v>155034</v>
      </c>
      <c r="AC4077" s="28" t="n">
        <v>11162448</v>
      </c>
      <c r="AD4077" s="28"/>
      <c r="AE4077" s="28" t="n">
        <f aca="false">AD4077*$M4077</f>
        <v>0</v>
      </c>
      <c r="AF4077" s="28" t="n">
        <v>18739</v>
      </c>
      <c r="AG4077" s="28" t="n">
        <v>1349208</v>
      </c>
      <c r="AH4077" s="28" t="n">
        <v>44032</v>
      </c>
      <c r="AI4077" s="28" t="n">
        <v>3170304</v>
      </c>
      <c r="AJ4077" s="28"/>
      <c r="AK4077" s="28" t="n">
        <f aca="false">AJ4077*$M4077</f>
        <v>0</v>
      </c>
      <c r="AL4077" s="28"/>
      <c r="AM4077" s="28" t="n">
        <f aca="false">AL4077*$M4077</f>
        <v>0</v>
      </c>
      <c r="AN4077" s="28"/>
      <c r="AO4077" s="28" t="n">
        <f aca="false">AN4077*$M4077</f>
        <v>0</v>
      </c>
      <c r="AP4077" s="28"/>
      <c r="AQ4077" s="28" t="n">
        <f aca="false">AP4077*$M4077</f>
        <v>0</v>
      </c>
      <c r="AR4077" s="28"/>
      <c r="AS4077" s="28" t="n">
        <f aca="false">AR4077*$M4077</f>
        <v>0</v>
      </c>
      <c r="AT4077" s="28"/>
      <c r="AU4077" s="28" t="n">
        <f aca="false">AT4077*$M4077</f>
        <v>0</v>
      </c>
      <c r="AV4077" s="28"/>
      <c r="AW4077" s="28" t="n">
        <f aca="false">AV4077*$M4077</f>
        <v>0</v>
      </c>
      <c r="AX4077" s="28"/>
      <c r="AY4077" s="28" t="n">
        <f aca="false">AX4077*$M4077</f>
        <v>0</v>
      </c>
      <c r="AZ4077" s="30" t="n">
        <v>262972</v>
      </c>
      <c r="BA4077" s="11" t="n">
        <v>18933984</v>
      </c>
      <c r="BB4077" s="31" t="n">
        <f aca="false">SUM(Q4077,S4077,U4077,W4077,Y4077,AA4077,AC4077,AE4077,AG4077,AI4077,AK4077,AM4077,AO4077,AQ4077,AS4077,AU4077,AW4077,AY4077)</f>
        <v>18933984</v>
      </c>
      <c r="BC4077" s="28" t="n">
        <f aca="false">BA4077-BB4077</f>
        <v>0</v>
      </c>
      <c r="BD4077" s="32" t="n">
        <f aca="false">SUM(P4077,R4077,T4077,V4077,X4077,Z4077,AB4077,AD4077,AF4077,AH4077,AJ4077,AL4077,AN4077,AP4077,AR4077,AT4077,AV4077,AX4077)</f>
        <v>262972</v>
      </c>
      <c r="BE4077" s="33" t="n">
        <f aca="false">AZ4077-BD4077</f>
        <v>0</v>
      </c>
      <c r="BF4077" s="34" t="n">
        <f aca="false">BD4077*M4077</f>
        <v>18933984</v>
      </c>
      <c r="BG4077" s="35" t="n">
        <f aca="false">BA4077-BF4077</f>
        <v>0</v>
      </c>
      <c r="BH4077" s="19" t="str">
        <f aca="false">IF(BG4077=0,"",IF(BG4077&lt;&gt;BA4077,"erreur de calcul",IF(BD4077&lt;&gt;0,"pas de prix",IF(M4077&lt;&gt; 0,"pas de quantité","pas de prix, ni de quantité"))))</f>
        <v/>
      </c>
      <c r="BI4077" s="19" t="s">
        <v>295</v>
      </c>
    </row>
    <row r="4078" customFormat="false" ht="15" hidden="false" customHeight="false" outlineLevel="0" collapsed="false">
      <c r="A4078" s="0" t="n">
        <v>7</v>
      </c>
      <c r="B4078" s="8" t="s">
        <v>24</v>
      </c>
      <c r="C4078" s="9" t="s">
        <v>25</v>
      </c>
      <c r="D4078" s="9" t="s">
        <v>26</v>
      </c>
      <c r="E4078" s="10" t="n">
        <v>1789</v>
      </c>
      <c r="F4078" s="9" t="s">
        <v>27</v>
      </c>
      <c r="G4078" s="9" t="s">
        <v>27</v>
      </c>
      <c r="H4078" s="11" t="n">
        <v>24</v>
      </c>
      <c r="I4078" s="11" t="s">
        <v>296</v>
      </c>
      <c r="J4078" s="14" t="n">
        <v>35</v>
      </c>
      <c r="K4078" s="14"/>
      <c r="L4078" s="16"/>
      <c r="M4078" s="27" t="n">
        <f aca="false">J4078+(K4078/20)+(L4078/240)</f>
        <v>35</v>
      </c>
      <c r="N4078" s="17" t="s">
        <v>64</v>
      </c>
      <c r="O4078" s="11" t="s">
        <v>98</v>
      </c>
      <c r="P4078" s="28"/>
      <c r="Q4078" s="28" t="n">
        <f aca="false">P4078*$M4078</f>
        <v>0</v>
      </c>
      <c r="R4078" s="28"/>
      <c r="S4078" s="28" t="n">
        <f aca="false">R4078*$M4078</f>
        <v>0</v>
      </c>
      <c r="T4078" s="28"/>
      <c r="U4078" s="28" t="n">
        <f aca="false">T4078*$M4078</f>
        <v>0</v>
      </c>
      <c r="V4078" s="28"/>
      <c r="W4078" s="28" t="n">
        <f aca="false">V4078*$M4078</f>
        <v>0</v>
      </c>
      <c r="X4078" s="28"/>
      <c r="Y4078" s="28" t="n">
        <f aca="false">X4078*$M4078</f>
        <v>0</v>
      </c>
      <c r="Z4078" s="28"/>
      <c r="AA4078" s="28" t="n">
        <f aca="false">Z4078*$M4078</f>
        <v>0</v>
      </c>
      <c r="AB4078" s="28"/>
      <c r="AC4078" s="28" t="n">
        <f aca="false">AB4078*$M4078</f>
        <v>0</v>
      </c>
      <c r="AD4078" s="28"/>
      <c r="AE4078" s="28" t="n">
        <f aca="false">AD4078*$M4078</f>
        <v>0</v>
      </c>
      <c r="AF4078" s="28"/>
      <c r="AG4078" s="28" t="n">
        <f aca="false">AF4078*$M4078</f>
        <v>0</v>
      </c>
      <c r="AH4078" s="28"/>
      <c r="AI4078" s="28" t="n">
        <f aca="false">AH4078*$M4078</f>
        <v>0</v>
      </c>
      <c r="AJ4078" s="28"/>
      <c r="AK4078" s="28" t="n">
        <f aca="false">AJ4078*$M4078</f>
        <v>0</v>
      </c>
      <c r="AL4078" s="28"/>
      <c r="AM4078" s="28" t="n">
        <f aca="false">AL4078*$M4078</f>
        <v>0</v>
      </c>
      <c r="AN4078" s="28"/>
      <c r="AO4078" s="28" t="n">
        <f aca="false">AN4078*$M4078</f>
        <v>0</v>
      </c>
      <c r="AP4078" s="28"/>
      <c r="AQ4078" s="28" t="n">
        <f aca="false">AP4078*$M4078</f>
        <v>0</v>
      </c>
      <c r="AR4078" s="28"/>
      <c r="AS4078" s="28" t="n">
        <f aca="false">AR4078*$M4078</f>
        <v>0</v>
      </c>
      <c r="AT4078" s="28"/>
      <c r="AU4078" s="28" t="n">
        <f aca="false">AT4078*$M4078</f>
        <v>0</v>
      </c>
      <c r="AV4078" s="28"/>
      <c r="AW4078" s="28" t="n">
        <f aca="false">AV4078*$M4078</f>
        <v>0</v>
      </c>
      <c r="AX4078" s="28"/>
      <c r="AY4078" s="28" t="n">
        <f aca="false">AX4078*$M4078</f>
        <v>0</v>
      </c>
      <c r="AZ4078" s="30"/>
      <c r="BA4078" s="11"/>
      <c r="BB4078" s="31" t="n">
        <f aca="false">SUM(Q4078,S4078,U4078,W4078,Y4078,AA4078,AC4078,AE4078,AG4078,AI4078,AK4078,AM4078,AO4078,AQ4078,AS4078,AU4078,AW4078,AY4078)</f>
        <v>0</v>
      </c>
      <c r="BC4078" s="28" t="n">
        <f aca="false">BA4078-BB4078</f>
        <v>0</v>
      </c>
      <c r="BD4078" s="32" t="n">
        <f aca="false">SUM(P4078,R4078,T4078,V4078,X4078,Z4078,AB4078,AD4078,AF4078,AH4078,AJ4078,AL4078,AN4078,AP4078,AR4078,AT4078,AV4078,AX4078)</f>
        <v>0</v>
      </c>
      <c r="BE4078" s="33" t="n">
        <f aca="false">AZ4078-BD4078</f>
        <v>0</v>
      </c>
      <c r="BF4078" s="34" t="n">
        <f aca="false">BD4078*M4078</f>
        <v>0</v>
      </c>
      <c r="BG4078" s="35" t="n">
        <f aca="false">BA4078-BF4078</f>
        <v>0</v>
      </c>
      <c r="BH4078" s="19" t="str">
        <f aca="false">IF(BG4078=0,"",IF(BG4078&lt;&gt;BA4078,"erreur de calcul",IF(BD4078&lt;&gt;0,"pas de prix",IF(M4078&lt;&gt; 0,"pas de quantité","pas de prix, ni de quantité"))))</f>
        <v/>
      </c>
      <c r="BI4078" s="19"/>
    </row>
    <row r="4079" customFormat="false" ht="15" hidden="false" customHeight="false" outlineLevel="0" collapsed="false">
      <c r="A4079" s="0" t="n">
        <v>8</v>
      </c>
      <c r="B4079" s="8" t="s">
        <v>24</v>
      </c>
      <c r="C4079" s="9" t="s">
        <v>25</v>
      </c>
      <c r="D4079" s="9" t="s">
        <v>26</v>
      </c>
      <c r="E4079" s="10" t="n">
        <v>1789</v>
      </c>
      <c r="F4079" s="9" t="s">
        <v>27</v>
      </c>
      <c r="G4079" s="9" t="s">
        <v>27</v>
      </c>
      <c r="H4079" s="11" t="n">
        <v>24</v>
      </c>
      <c r="I4079" s="11" t="s">
        <v>297</v>
      </c>
      <c r="J4079" s="14" t="n">
        <v>45</v>
      </c>
      <c r="K4079" s="14"/>
      <c r="L4079" s="16"/>
      <c r="M4079" s="27" t="n">
        <f aca="false">J4079+(K4079/20)+(L4079/240)</f>
        <v>45</v>
      </c>
      <c r="N4079" s="17" t="s">
        <v>64</v>
      </c>
      <c r="O4079" s="11"/>
      <c r="P4079" s="28"/>
      <c r="Q4079" s="28" t="n">
        <f aca="false">P4079*$M4079</f>
        <v>0</v>
      </c>
      <c r="R4079" s="28"/>
      <c r="S4079" s="28" t="n">
        <f aca="false">R4079*$M4079</f>
        <v>0</v>
      </c>
      <c r="T4079" s="28"/>
      <c r="U4079" s="28" t="n">
        <f aca="false">T4079*$M4079</f>
        <v>0</v>
      </c>
      <c r="V4079" s="28"/>
      <c r="W4079" s="28" t="n">
        <f aca="false">V4079*$M4079</f>
        <v>0</v>
      </c>
      <c r="X4079" s="28"/>
      <c r="Y4079" s="28" t="n">
        <f aca="false">X4079*$M4079</f>
        <v>0</v>
      </c>
      <c r="Z4079" s="28"/>
      <c r="AA4079" s="28" t="n">
        <f aca="false">Z4079*$M4079</f>
        <v>0</v>
      </c>
      <c r="AB4079" s="28"/>
      <c r="AC4079" s="28" t="n">
        <f aca="false">AB4079*$M4079</f>
        <v>0</v>
      </c>
      <c r="AD4079" s="28"/>
      <c r="AE4079" s="28" t="n">
        <f aca="false">AD4079*$M4079</f>
        <v>0</v>
      </c>
      <c r="AF4079" s="28"/>
      <c r="AG4079" s="28" t="n">
        <f aca="false">AF4079*$M4079</f>
        <v>0</v>
      </c>
      <c r="AH4079" s="28"/>
      <c r="AI4079" s="28" t="n">
        <f aca="false">AH4079*$M4079</f>
        <v>0</v>
      </c>
      <c r="AJ4079" s="28"/>
      <c r="AK4079" s="28" t="n">
        <f aca="false">AJ4079*$M4079</f>
        <v>0</v>
      </c>
      <c r="AL4079" s="28"/>
      <c r="AM4079" s="28" t="n">
        <f aca="false">AL4079*$M4079</f>
        <v>0</v>
      </c>
      <c r="AN4079" s="28"/>
      <c r="AO4079" s="28" t="n">
        <f aca="false">AN4079*$M4079</f>
        <v>0</v>
      </c>
      <c r="AP4079" s="28"/>
      <c r="AQ4079" s="28" t="n">
        <f aca="false">AP4079*$M4079</f>
        <v>0</v>
      </c>
      <c r="AR4079" s="28"/>
      <c r="AS4079" s="28" t="n">
        <f aca="false">AR4079*$M4079</f>
        <v>0</v>
      </c>
      <c r="AT4079" s="28"/>
      <c r="AU4079" s="28" t="n">
        <f aca="false">AT4079*$M4079</f>
        <v>0</v>
      </c>
      <c r="AV4079" s="28"/>
      <c r="AW4079" s="28" t="n">
        <f aca="false">AV4079*$M4079</f>
        <v>0</v>
      </c>
      <c r="AX4079" s="28" t="n">
        <f aca="false">44459/100</f>
        <v>444.59</v>
      </c>
      <c r="AY4079" s="28" t="n">
        <v>20006</v>
      </c>
      <c r="AZ4079" s="30" t="n">
        <f aca="false">44459/100</f>
        <v>444.59</v>
      </c>
      <c r="BA4079" s="11" t="n">
        <v>20006</v>
      </c>
      <c r="BB4079" s="31" t="n">
        <f aca="false">SUM(Q4079,S4079,U4079,W4079,Y4079,AA4079,AC4079,AE4079,AG4079,AI4079,AK4079,AM4079,AO4079,AQ4079,AS4079,AU4079,AW4079,AY4079)</f>
        <v>20006</v>
      </c>
      <c r="BC4079" s="28" t="n">
        <f aca="false">BA4079-BB4079</f>
        <v>0</v>
      </c>
      <c r="BD4079" s="32" t="n">
        <f aca="false">SUM(P4079,R4079,T4079,V4079,X4079,Z4079,AB4079,AD4079,AF4079,AH4079,AJ4079,AL4079,AN4079,AP4079,AR4079,AT4079,AV4079,AX4079)</f>
        <v>444.59</v>
      </c>
      <c r="BE4079" s="33" t="n">
        <f aca="false">AZ4079-BD4079</f>
        <v>0</v>
      </c>
      <c r="BF4079" s="34" t="n">
        <f aca="false">BD4079*M4079</f>
        <v>20006.55</v>
      </c>
      <c r="BG4079" s="35" t="n">
        <f aca="false">BA4079-BF4079</f>
        <v>-0.549999999999272</v>
      </c>
      <c r="BH4079" s="19" t="str">
        <f aca="false">IF(BG4079=0,"",IF(BG4079&lt;&gt;BA4079,"erreur de calcul",IF(BD4079&lt;&gt;0,"pas de prix",IF(M4079&lt;&gt; 0,"pas de quantité","pas de prix, ni de quantité"))))</f>
        <v>erreur de calcul</v>
      </c>
      <c r="BI4079" s="19"/>
    </row>
    <row r="4080" customFormat="false" ht="15" hidden="false" customHeight="false" outlineLevel="0" collapsed="false">
      <c r="A4080" s="0" t="n">
        <v>9</v>
      </c>
      <c r="B4080" s="8" t="s">
        <v>24</v>
      </c>
      <c r="C4080" s="9" t="s">
        <v>25</v>
      </c>
      <c r="D4080" s="9" t="s">
        <v>26</v>
      </c>
      <c r="E4080" s="10" t="n">
        <v>1789</v>
      </c>
      <c r="F4080" s="9" t="s">
        <v>27</v>
      </c>
      <c r="G4080" s="9" t="s">
        <v>27</v>
      </c>
      <c r="H4080" s="11" t="n">
        <v>24</v>
      </c>
      <c r="I4080" s="11" t="s">
        <v>298</v>
      </c>
      <c r="J4080" s="14" t="n">
        <v>550</v>
      </c>
      <c r="K4080" s="14"/>
      <c r="L4080" s="16"/>
      <c r="M4080" s="27" t="n">
        <f aca="false">J4080+(K4080/20)+(L4080/240)</f>
        <v>550</v>
      </c>
      <c r="N4080" s="17" t="s">
        <v>64</v>
      </c>
      <c r="O4080" s="11"/>
      <c r="P4080" s="28"/>
      <c r="Q4080" s="28" t="n">
        <f aca="false">P4080*$M4080</f>
        <v>0</v>
      </c>
      <c r="R4080" s="28"/>
      <c r="S4080" s="28" t="n">
        <f aca="false">R4080*$M4080</f>
        <v>0</v>
      </c>
      <c r="T4080" s="28"/>
      <c r="U4080" s="28" t="n">
        <f aca="false">T4080*$M4080</f>
        <v>0</v>
      </c>
      <c r="V4080" s="28"/>
      <c r="W4080" s="28" t="n">
        <f aca="false">V4080*$M4080</f>
        <v>0</v>
      </c>
      <c r="X4080" s="28"/>
      <c r="Y4080" s="28" t="n">
        <f aca="false">X4080*$M4080</f>
        <v>0</v>
      </c>
      <c r="Z4080" s="28"/>
      <c r="AA4080" s="28" t="n">
        <f aca="false">Z4080*$M4080</f>
        <v>0</v>
      </c>
      <c r="AB4080" s="28"/>
      <c r="AC4080" s="28" t="n">
        <f aca="false">AB4080*$M4080</f>
        <v>0</v>
      </c>
      <c r="AD4080" s="28"/>
      <c r="AE4080" s="28" t="n">
        <f aca="false">AD4080*$M4080</f>
        <v>0</v>
      </c>
      <c r="AF4080" s="28" t="n">
        <f aca="false">200/100</f>
        <v>2</v>
      </c>
      <c r="AG4080" s="28" t="n">
        <v>1100</v>
      </c>
      <c r="AH4080" s="28"/>
      <c r="AI4080" s="28" t="n">
        <f aca="false">AH4080*$M4080</f>
        <v>0</v>
      </c>
      <c r="AJ4080" s="28"/>
      <c r="AK4080" s="28" t="n">
        <f aca="false">AJ4080*$M4080</f>
        <v>0</v>
      </c>
      <c r="AL4080" s="28"/>
      <c r="AM4080" s="28" t="n">
        <f aca="false">AL4080*$M4080</f>
        <v>0</v>
      </c>
      <c r="AN4080" s="28"/>
      <c r="AO4080" s="28" t="n">
        <f aca="false">AN4080*$M4080</f>
        <v>0</v>
      </c>
      <c r="AP4080" s="28"/>
      <c r="AQ4080" s="28" t="n">
        <f aca="false">AP4080*$M4080</f>
        <v>0</v>
      </c>
      <c r="AR4080" s="28"/>
      <c r="AS4080" s="28" t="n">
        <f aca="false">AR4080*$M4080</f>
        <v>0</v>
      </c>
      <c r="AT4080" s="28"/>
      <c r="AU4080" s="28" t="n">
        <f aca="false">AT4080*$M4080</f>
        <v>0</v>
      </c>
      <c r="AV4080" s="28"/>
      <c r="AW4080" s="28" t="n">
        <f aca="false">AV4080*$M4080</f>
        <v>0</v>
      </c>
      <c r="AX4080" s="28"/>
      <c r="AY4080" s="28" t="n">
        <f aca="false">AX4080*$M4080</f>
        <v>0</v>
      </c>
      <c r="AZ4080" s="30" t="n">
        <f aca="false">200/100</f>
        <v>2</v>
      </c>
      <c r="BA4080" s="11" t="n">
        <v>1100</v>
      </c>
      <c r="BB4080" s="31" t="n">
        <f aca="false">SUM(Q4080,S4080,U4080,W4080,Y4080,AA4080,AC4080,AE4080,AG4080,AI4080,AK4080,AM4080,AO4080,AQ4080,AS4080,AU4080,AW4080,AY4080)</f>
        <v>1100</v>
      </c>
      <c r="BC4080" s="28" t="n">
        <f aca="false">BA4080-BB4080</f>
        <v>0</v>
      </c>
      <c r="BD4080" s="32" t="n">
        <f aca="false">SUM(P4080,R4080,T4080,V4080,X4080,Z4080,AB4080,AD4080,AF4080,AH4080,AJ4080,AL4080,AN4080,AP4080,AR4080,AT4080,AV4080,AX4080)</f>
        <v>2</v>
      </c>
      <c r="BE4080" s="33" t="n">
        <f aca="false">AZ4080-BD4080</f>
        <v>0</v>
      </c>
      <c r="BF4080" s="34" t="n">
        <f aca="false">BD4080*M4080</f>
        <v>1100</v>
      </c>
      <c r="BG4080" s="35" t="n">
        <f aca="false">BA4080-BF4080</f>
        <v>0</v>
      </c>
      <c r="BH4080" s="19" t="str">
        <f aca="false">IF(BG4080=0,"",IF(BG4080&lt;&gt;BA4080,"erreur de calcul",IF(BD4080&lt;&gt;0,"pas de prix",IF(M4080&lt;&gt; 0,"pas de quantité","pas de prix, ni de quantité"))))</f>
        <v/>
      </c>
      <c r="BI4080" s="19"/>
    </row>
    <row r="4081" customFormat="false" ht="15" hidden="false" customHeight="false" outlineLevel="0" collapsed="false">
      <c r="A4081" s="0" t="n">
        <v>10</v>
      </c>
      <c r="B4081" s="8" t="s">
        <v>24</v>
      </c>
      <c r="C4081" s="9" t="s">
        <v>25</v>
      </c>
      <c r="D4081" s="9" t="s">
        <v>26</v>
      </c>
      <c r="E4081" s="10" t="n">
        <v>1789</v>
      </c>
      <c r="F4081" s="9" t="s">
        <v>27</v>
      </c>
      <c r="G4081" s="9" t="s">
        <v>27</v>
      </c>
      <c r="H4081" s="11" t="n">
        <v>24</v>
      </c>
      <c r="I4081" s="11" t="s">
        <v>299</v>
      </c>
      <c r="J4081" s="14" t="n">
        <v>16</v>
      </c>
      <c r="K4081" s="14"/>
      <c r="L4081" s="16"/>
      <c r="M4081" s="27" t="n">
        <f aca="false">J4081+(K4081/20)+(L4081/240)</f>
        <v>16</v>
      </c>
      <c r="N4081" s="17" t="s">
        <v>64</v>
      </c>
      <c r="O4081" s="11"/>
      <c r="P4081" s="28" t="n">
        <f aca="false">20*288*0.02+252*0.02</f>
        <v>120.24</v>
      </c>
      <c r="Q4081" s="28" t="n">
        <v>1924</v>
      </c>
      <c r="R4081" s="28"/>
      <c r="S4081" s="28" t="n">
        <f aca="false">R4081*$M4081</f>
        <v>0</v>
      </c>
      <c r="T4081" s="28"/>
      <c r="U4081" s="28" t="n">
        <f aca="false">T4081*$M4081</f>
        <v>0</v>
      </c>
      <c r="V4081" s="28" t="n">
        <f aca="false">16*288*0.02+15*0.02</f>
        <v>92.46</v>
      </c>
      <c r="W4081" s="28" t="n">
        <v>1479</v>
      </c>
      <c r="X4081" s="28" t="n">
        <f aca="false">25*288*0.02+152*0.02</f>
        <v>147.04</v>
      </c>
      <c r="Y4081" s="28" t="n">
        <v>2353</v>
      </c>
      <c r="Z4081" s="28"/>
      <c r="AA4081" s="28" t="n">
        <f aca="false">Z4081*$M4081</f>
        <v>0</v>
      </c>
      <c r="AB4081" s="28" t="n">
        <f aca="false">127*288*0.02+236*0.02</f>
        <v>736.24</v>
      </c>
      <c r="AC4081" s="28" t="n">
        <v>11780</v>
      </c>
      <c r="AD4081" s="28"/>
      <c r="AE4081" s="28" t="n">
        <f aca="false">AD4081*$M4081</f>
        <v>0</v>
      </c>
      <c r="AF4081" s="28"/>
      <c r="AG4081" s="28" t="n">
        <f aca="false">AF4081*$M4081</f>
        <v>0</v>
      </c>
      <c r="AH4081" s="28"/>
      <c r="AI4081" s="28" t="n">
        <f aca="false">AH4081*$M4081</f>
        <v>0</v>
      </c>
      <c r="AJ4081" s="28"/>
      <c r="AK4081" s="28" t="n">
        <f aca="false">AJ4081*$M4081</f>
        <v>0</v>
      </c>
      <c r="AL4081" s="28"/>
      <c r="AM4081" s="28" t="n">
        <f aca="false">AL4081*$M4081</f>
        <v>0</v>
      </c>
      <c r="AN4081" s="28"/>
      <c r="AO4081" s="28" t="n">
        <f aca="false">AN4081*$M4081</f>
        <v>0</v>
      </c>
      <c r="AP4081" s="28"/>
      <c r="AQ4081" s="28" t="n">
        <f aca="false">AP4081*$M4081</f>
        <v>0</v>
      </c>
      <c r="AR4081" s="28"/>
      <c r="AS4081" s="28" t="n">
        <f aca="false">AR4081*$M4081</f>
        <v>0</v>
      </c>
      <c r="AT4081" s="28"/>
      <c r="AU4081" s="28" t="n">
        <f aca="false">AT4081*$M4081</f>
        <v>0</v>
      </c>
      <c r="AV4081" s="28"/>
      <c r="AW4081" s="28" t="n">
        <f aca="false">AV4081*$M4081</f>
        <v>0</v>
      </c>
      <c r="AX4081" s="28"/>
      <c r="AY4081" s="28" t="n">
        <f aca="false">AX4081*$M4081</f>
        <v>0</v>
      </c>
      <c r="AZ4081" s="30" t="n">
        <f aca="false">190*288*0.02+82*0.02</f>
        <v>1096.04</v>
      </c>
      <c r="BA4081" s="11" t="n">
        <v>17536</v>
      </c>
      <c r="BB4081" s="31" t="n">
        <f aca="false">SUM(Q4081,S4081,U4081,W4081,Y4081,AA4081,AC4081,AE4081,AG4081,AI4081,AK4081,AM4081,AO4081,AQ4081,AS4081,AU4081,AW4081,AY4081)</f>
        <v>17536</v>
      </c>
      <c r="BC4081" s="28" t="n">
        <f aca="false">BA4081-BB4081</f>
        <v>0</v>
      </c>
      <c r="BD4081" s="32" t="n">
        <f aca="false">SUM(P4081,R4081,T4081,V4081,X4081,Z4081,AB4081,AD4081,AF4081,AH4081,AJ4081,AL4081,AN4081,AP4081,AR4081,AT4081,AV4081,AX4081)</f>
        <v>1095.98</v>
      </c>
      <c r="BE4081" s="33" t="n">
        <f aca="false">AZ4081-BD4081</f>
        <v>0.0600000000001728</v>
      </c>
      <c r="BF4081" s="34" t="n">
        <f aca="false">BD4081*M4081</f>
        <v>17535.68</v>
      </c>
      <c r="BG4081" s="35" t="n">
        <f aca="false">BA4081-BF4081</f>
        <v>0.319999999999709</v>
      </c>
      <c r="BH4081" s="19" t="str">
        <f aca="false">IF(BG4081=0,"",IF(BG4081&lt;&gt;BA4081,"erreur de calcul",IF(BD4081&lt;&gt;0,"pas de prix",IF(M4081&lt;&gt; 0,"pas de quantité","pas de prix, ni de quantité"))))</f>
        <v>erreur de calcul</v>
      </c>
      <c r="BI4081" s="19"/>
    </row>
    <row r="4082" customFormat="false" ht="15" hidden="false" customHeight="false" outlineLevel="0" collapsed="false">
      <c r="A4082" s="0" t="n">
        <v>11</v>
      </c>
      <c r="B4082" s="8" t="s">
        <v>24</v>
      </c>
      <c r="C4082" s="9" t="s">
        <v>25</v>
      </c>
      <c r="D4082" s="9" t="s">
        <v>26</v>
      </c>
      <c r="E4082" s="10" t="n">
        <v>1789</v>
      </c>
      <c r="F4082" s="9" t="s">
        <v>27</v>
      </c>
      <c r="G4082" s="9" t="s">
        <v>27</v>
      </c>
      <c r="H4082" s="11" t="n">
        <v>24</v>
      </c>
      <c r="I4082" s="11" t="s">
        <v>300</v>
      </c>
      <c r="J4082" s="14" t="n">
        <v>360</v>
      </c>
      <c r="K4082" s="14"/>
      <c r="L4082" s="16"/>
      <c r="M4082" s="27" t="n">
        <f aca="false">J4082+(K4082/20)+(L4082/240)</f>
        <v>360</v>
      </c>
      <c r="N4082" s="17" t="s">
        <v>64</v>
      </c>
      <c r="O4082" s="11"/>
      <c r="P4082" s="28"/>
      <c r="Q4082" s="28" t="n">
        <f aca="false">P4082*$M4082</f>
        <v>0</v>
      </c>
      <c r="R4082" s="28"/>
      <c r="S4082" s="28" t="n">
        <f aca="false">R4082*$M4082</f>
        <v>0</v>
      </c>
      <c r="T4082" s="28"/>
      <c r="U4082" s="28" t="n">
        <f aca="false">T4082*$M4082</f>
        <v>0</v>
      </c>
      <c r="V4082" s="28"/>
      <c r="W4082" s="28" t="n">
        <f aca="false">V4082*$M4082</f>
        <v>0</v>
      </c>
      <c r="X4082" s="28"/>
      <c r="Y4082" s="28" t="n">
        <f aca="false">X4082*$M4082</f>
        <v>0</v>
      </c>
      <c r="Z4082" s="28"/>
      <c r="AA4082" s="28" t="n">
        <f aca="false">Z4082*$M4082</f>
        <v>0</v>
      </c>
      <c r="AB4082" s="28"/>
      <c r="AC4082" s="28" t="n">
        <f aca="false">AB4082*$M4082</f>
        <v>0</v>
      </c>
      <c r="AD4082" s="28"/>
      <c r="AE4082" s="28" t="n">
        <f aca="false">AD4082*$M4082</f>
        <v>0</v>
      </c>
      <c r="AF4082" s="28"/>
      <c r="AG4082" s="28" t="n">
        <f aca="false">AF4082*$M4082</f>
        <v>0</v>
      </c>
      <c r="AH4082" s="28" t="n">
        <f aca="false">371073/100</f>
        <v>3710.73</v>
      </c>
      <c r="AI4082" s="28" t="n">
        <v>1335863</v>
      </c>
      <c r="AJ4082" s="28"/>
      <c r="AK4082" s="28" t="n">
        <f aca="false">AJ4082*$M4082</f>
        <v>0</v>
      </c>
      <c r="AL4082" s="28"/>
      <c r="AM4082" s="28" t="n">
        <f aca="false">AL4082*$M4082</f>
        <v>0</v>
      </c>
      <c r="AN4082" s="28"/>
      <c r="AO4082" s="28" t="n">
        <f aca="false">AN4082*$M4082</f>
        <v>0</v>
      </c>
      <c r="AP4082" s="28"/>
      <c r="AQ4082" s="28" t="n">
        <f aca="false">AP4082*$M4082</f>
        <v>0</v>
      </c>
      <c r="AR4082" s="28"/>
      <c r="AS4082" s="28" t="n">
        <f aca="false">AR4082*$M4082</f>
        <v>0</v>
      </c>
      <c r="AT4082" s="28"/>
      <c r="AU4082" s="28" t="n">
        <f aca="false">AT4082*$M4082</f>
        <v>0</v>
      </c>
      <c r="AV4082" s="28"/>
      <c r="AW4082" s="28" t="n">
        <f aca="false">AV4082*$M4082</f>
        <v>0</v>
      </c>
      <c r="AX4082" s="28"/>
      <c r="AY4082" s="28" t="n">
        <f aca="false">AX4082*$M4082</f>
        <v>0</v>
      </c>
      <c r="AZ4082" s="30" t="n">
        <f aca="false">371073/100</f>
        <v>3710.73</v>
      </c>
      <c r="BA4082" s="11" t="n">
        <v>1335863</v>
      </c>
      <c r="BB4082" s="31" t="n">
        <f aca="false">SUM(Q4082,S4082,U4082,W4082,Y4082,AA4082,AC4082,AE4082,AG4082,AI4082,AK4082,AM4082,AO4082,AQ4082,AS4082,AU4082,AW4082,AY4082)</f>
        <v>1335863</v>
      </c>
      <c r="BC4082" s="28" t="n">
        <f aca="false">BA4082-BB4082</f>
        <v>0</v>
      </c>
      <c r="BD4082" s="32" t="n">
        <f aca="false">SUM(P4082,R4082,T4082,V4082,X4082,Z4082,AB4082,AD4082,AF4082,AH4082,AJ4082,AL4082,AN4082,AP4082,AR4082,AT4082,AV4082,AX4082)</f>
        <v>3710.73</v>
      </c>
      <c r="BE4082" s="33" t="n">
        <f aca="false">AZ4082-BD4082</f>
        <v>0</v>
      </c>
      <c r="BF4082" s="34" t="n">
        <f aca="false">BD4082*M4082</f>
        <v>1335862.8</v>
      </c>
      <c r="BG4082" s="35" t="n">
        <f aca="false">BA4082-BF4082</f>
        <v>0.199999999953434</v>
      </c>
      <c r="BH4082" s="19" t="str">
        <f aca="false">IF(BG4082=0,"",IF(BG4082&lt;&gt;BA4082,"erreur de calcul",IF(BD4082&lt;&gt;0,"pas de prix",IF(M4082&lt;&gt; 0,"pas de quantité","pas de prix, ni de quantité"))))</f>
        <v>erreur de calcul</v>
      </c>
      <c r="BI4082" s="19"/>
    </row>
    <row r="4083" customFormat="false" ht="15" hidden="false" customHeight="false" outlineLevel="0" collapsed="false">
      <c r="A4083" s="0" t="n">
        <v>12</v>
      </c>
      <c r="B4083" s="8" t="s">
        <v>24</v>
      </c>
      <c r="C4083" s="9" t="s">
        <v>25</v>
      </c>
      <c r="D4083" s="9" t="s">
        <v>26</v>
      </c>
      <c r="E4083" s="10" t="n">
        <v>1789</v>
      </c>
      <c r="F4083" s="9" t="s">
        <v>27</v>
      </c>
      <c r="G4083" s="9" t="s">
        <v>27</v>
      </c>
      <c r="H4083" s="11" t="n">
        <v>24</v>
      </c>
      <c r="I4083" s="11" t="s">
        <v>301</v>
      </c>
      <c r="J4083" s="14" t="n">
        <v>3</v>
      </c>
      <c r="K4083" s="14"/>
      <c r="L4083" s="16"/>
      <c r="M4083" s="27" t="n">
        <f aca="false">J4083+(K4083/20)+(L4083/240)</f>
        <v>3</v>
      </c>
      <c r="N4083" s="17" t="s">
        <v>66</v>
      </c>
      <c r="O4083" s="11"/>
      <c r="P4083" s="28"/>
      <c r="Q4083" s="28" t="n">
        <f aca="false">P4083*$M4083</f>
        <v>0</v>
      </c>
      <c r="R4083" s="28"/>
      <c r="S4083" s="28" t="n">
        <f aca="false">R4083*$M4083</f>
        <v>0</v>
      </c>
      <c r="T4083" s="28"/>
      <c r="U4083" s="28" t="n">
        <f aca="false">T4083*$M4083</f>
        <v>0</v>
      </c>
      <c r="V4083" s="28"/>
      <c r="W4083" s="28" t="n">
        <f aca="false">V4083*$M4083</f>
        <v>0</v>
      </c>
      <c r="X4083" s="28"/>
      <c r="Y4083" s="28" t="n">
        <f aca="false">X4083*$M4083</f>
        <v>0</v>
      </c>
      <c r="Z4083" s="28"/>
      <c r="AA4083" s="28" t="n">
        <f aca="false">Z4083*$M4083</f>
        <v>0</v>
      </c>
      <c r="AB4083" s="28"/>
      <c r="AC4083" s="28" t="n">
        <f aca="false">AB4083*$M4083</f>
        <v>0</v>
      </c>
      <c r="AD4083" s="28"/>
      <c r="AE4083" s="28" t="n">
        <f aca="false">AD4083*$M4083</f>
        <v>0</v>
      </c>
      <c r="AF4083" s="28"/>
      <c r="AG4083" s="28" t="n">
        <f aca="false">AF4083*$M4083</f>
        <v>0</v>
      </c>
      <c r="AH4083" s="28" t="n">
        <v>19281</v>
      </c>
      <c r="AI4083" s="28" t="n">
        <v>57843</v>
      </c>
      <c r="AJ4083" s="28"/>
      <c r="AK4083" s="28" t="n">
        <f aca="false">AJ4083*$M4083</f>
        <v>0</v>
      </c>
      <c r="AL4083" s="28"/>
      <c r="AM4083" s="28" t="n">
        <f aca="false">AL4083*$M4083</f>
        <v>0</v>
      </c>
      <c r="AN4083" s="28"/>
      <c r="AO4083" s="28" t="n">
        <f aca="false">AN4083*$M4083</f>
        <v>0</v>
      </c>
      <c r="AP4083" s="28"/>
      <c r="AQ4083" s="28" t="n">
        <f aca="false">AP4083*$M4083</f>
        <v>0</v>
      </c>
      <c r="AR4083" s="28"/>
      <c r="AS4083" s="28" t="n">
        <f aca="false">AR4083*$M4083</f>
        <v>0</v>
      </c>
      <c r="AT4083" s="28"/>
      <c r="AU4083" s="28" t="n">
        <f aca="false">AT4083*$M4083</f>
        <v>0</v>
      </c>
      <c r="AV4083" s="28"/>
      <c r="AW4083" s="28" t="n">
        <f aca="false">AV4083*$M4083</f>
        <v>0</v>
      </c>
      <c r="AX4083" s="28"/>
      <c r="AY4083" s="28" t="n">
        <f aca="false">AX4083*$M4083</f>
        <v>0</v>
      </c>
      <c r="AZ4083" s="30" t="n">
        <v>19281</v>
      </c>
      <c r="BA4083" s="11" t="n">
        <v>57843</v>
      </c>
      <c r="BB4083" s="31" t="n">
        <f aca="false">SUM(Q4083,S4083,U4083,W4083,Y4083,AA4083,AC4083,AE4083,AG4083,AI4083,AK4083,AM4083,AO4083,AQ4083,AS4083,AU4083,AW4083,AY4083)</f>
        <v>57843</v>
      </c>
      <c r="BC4083" s="28" t="n">
        <f aca="false">BA4083-BB4083</f>
        <v>0</v>
      </c>
      <c r="BD4083" s="32" t="n">
        <f aca="false">SUM(P4083,R4083,T4083,V4083,X4083,Z4083,AB4083,AD4083,AF4083,AH4083,AJ4083,AL4083,AN4083,AP4083,AR4083,AT4083,AV4083,AX4083)</f>
        <v>19281</v>
      </c>
      <c r="BE4083" s="33" t="n">
        <f aca="false">AZ4083-BD4083</f>
        <v>0</v>
      </c>
      <c r="BF4083" s="34" t="n">
        <f aca="false">BD4083*M4083</f>
        <v>57843</v>
      </c>
      <c r="BG4083" s="35" t="n">
        <f aca="false">BA4083-BF4083</f>
        <v>0</v>
      </c>
      <c r="BH4083" s="19" t="str">
        <f aca="false">IF(BG4083=0,"",IF(BG4083&lt;&gt;BA4083,"erreur de calcul",IF(BD4083&lt;&gt;0,"pas de prix",IF(M4083&lt;&gt; 0,"pas de quantité","pas de prix, ni de quantité"))))</f>
        <v/>
      </c>
      <c r="BI4083" s="19"/>
    </row>
    <row r="4084" customFormat="false" ht="15" hidden="false" customHeight="false" outlineLevel="0" collapsed="false">
      <c r="A4084" s="0" t="n">
        <v>13</v>
      </c>
      <c r="B4084" s="8" t="s">
        <v>24</v>
      </c>
      <c r="C4084" s="9" t="s">
        <v>25</v>
      </c>
      <c r="D4084" s="9" t="s">
        <v>26</v>
      </c>
      <c r="E4084" s="10" t="n">
        <v>1789</v>
      </c>
      <c r="F4084" s="9" t="s">
        <v>27</v>
      </c>
      <c r="G4084" s="9" t="s">
        <v>27</v>
      </c>
      <c r="H4084" s="11" t="n">
        <v>24</v>
      </c>
      <c r="I4084" s="11" t="s">
        <v>302</v>
      </c>
      <c r="J4084" s="14" t="n">
        <v>112</v>
      </c>
      <c r="K4084" s="14"/>
      <c r="L4084" s="16"/>
      <c r="M4084" s="27" t="n">
        <f aca="false">J4084+(K4084/20)+(L4084/240)</f>
        <v>112</v>
      </c>
      <c r="N4084" s="17" t="s">
        <v>64</v>
      </c>
      <c r="O4084" s="11"/>
      <c r="P4084" s="28" t="n">
        <f aca="false">99503/100</f>
        <v>995.03</v>
      </c>
      <c r="Q4084" s="28" t="n">
        <v>111443</v>
      </c>
      <c r="R4084" s="28"/>
      <c r="S4084" s="28" t="n">
        <f aca="false">R4084*$M4084</f>
        <v>0</v>
      </c>
      <c r="T4084" s="28" t="n">
        <f aca="false">8445/100</f>
        <v>84.45</v>
      </c>
      <c r="U4084" s="28" t="n">
        <v>9458</v>
      </c>
      <c r="V4084" s="28" t="n">
        <f aca="false">2517/100</f>
        <v>25.17</v>
      </c>
      <c r="W4084" s="28" t="n">
        <v>2819</v>
      </c>
      <c r="X4084" s="28" t="n">
        <f aca="false">4729/100</f>
        <v>47.29</v>
      </c>
      <c r="Y4084" s="28" t="n">
        <v>5296</v>
      </c>
      <c r="Z4084" s="28" t="n">
        <f aca="false">198115/100</f>
        <v>1981.15</v>
      </c>
      <c r="AA4084" s="28" t="n">
        <v>221889</v>
      </c>
      <c r="AB4084" s="28"/>
      <c r="AC4084" s="28" t="n">
        <f aca="false">AB4084*$M4084</f>
        <v>0</v>
      </c>
      <c r="AD4084" s="28"/>
      <c r="AE4084" s="28" t="n">
        <f aca="false">AD4084*$M4084</f>
        <v>0</v>
      </c>
      <c r="AF4084" s="28" t="n">
        <f aca="false">67420/100</f>
        <v>674.2</v>
      </c>
      <c r="AG4084" s="28" t="n">
        <v>75510</v>
      </c>
      <c r="AH4084" s="28" t="n">
        <f aca="false">415806/100</f>
        <v>4158.06</v>
      </c>
      <c r="AI4084" s="28" t="n">
        <v>465703</v>
      </c>
      <c r="AJ4084" s="28"/>
      <c r="AK4084" s="28" t="n">
        <f aca="false">AJ4084*$M4084</f>
        <v>0</v>
      </c>
      <c r="AL4084" s="28" t="n">
        <f aca="false">324/100</f>
        <v>3.24</v>
      </c>
      <c r="AM4084" s="28" t="n">
        <v>363</v>
      </c>
      <c r="AN4084" s="28"/>
      <c r="AO4084" s="28" t="n">
        <f aca="false">AN4084*$M4084</f>
        <v>0</v>
      </c>
      <c r="AP4084" s="28"/>
      <c r="AQ4084" s="28" t="n">
        <f aca="false">AP4084*$M4084</f>
        <v>0</v>
      </c>
      <c r="AR4084" s="28"/>
      <c r="AS4084" s="28" t="n">
        <f aca="false">AR4084*$M4084</f>
        <v>0</v>
      </c>
      <c r="AT4084" s="28"/>
      <c r="AU4084" s="28" t="n">
        <f aca="false">AT4084*$M4084</f>
        <v>0</v>
      </c>
      <c r="AV4084" s="28"/>
      <c r="AW4084" s="28" t="n">
        <f aca="false">AV4084*$M4084</f>
        <v>0</v>
      </c>
      <c r="AX4084" s="28"/>
      <c r="AY4084" s="28" t="n">
        <f aca="false">AX4084*$M4084</f>
        <v>0</v>
      </c>
      <c r="AZ4084" s="30" t="n">
        <f aca="false">796859/100</f>
        <v>7968.59</v>
      </c>
      <c r="BA4084" s="11" t="n">
        <v>892481</v>
      </c>
      <c r="BB4084" s="31" t="n">
        <f aca="false">SUM(Q4084,S4084,U4084,W4084,Y4084,AA4084,AC4084,AE4084,AG4084,AI4084,AK4084,AM4084,AO4084,AQ4084,AS4084,AU4084,AW4084,AY4084)</f>
        <v>892481</v>
      </c>
      <c r="BC4084" s="28" t="n">
        <f aca="false">BA4084-BB4084</f>
        <v>0</v>
      </c>
      <c r="BD4084" s="32" t="n">
        <f aca="false">SUM(P4084,R4084,T4084,V4084,X4084,Z4084,AB4084,AD4084,AF4084,AH4084,AJ4084,AL4084,AN4084,AP4084,AR4084,AT4084,AV4084,AX4084)</f>
        <v>7968.59</v>
      </c>
      <c r="BE4084" s="33" t="n">
        <f aca="false">AZ4084-BD4084</f>
        <v>0</v>
      </c>
      <c r="BF4084" s="34" t="n">
        <f aca="false">BD4084*M4084</f>
        <v>892482.08</v>
      </c>
      <c r="BG4084" s="35" t="n">
        <f aca="false">BA4084-BF4084</f>
        <v>-1.07999999995809</v>
      </c>
      <c r="BH4084" s="19" t="str">
        <f aca="false">IF(BG4084=0,"",IF(BG4084&lt;&gt;BA4084,"erreur de calcul",IF(BD4084&lt;&gt;0,"pas de prix",IF(M4084&lt;&gt; 0,"pas de quantité","pas de prix, ni de quantité"))))</f>
        <v>erreur de calcul</v>
      </c>
      <c r="BI4084" s="19"/>
    </row>
    <row r="4085" customFormat="false" ht="15" hidden="false" customHeight="false" outlineLevel="0" collapsed="false">
      <c r="A4085" s="0" t="n">
        <v>14</v>
      </c>
      <c r="B4085" s="8" t="s">
        <v>24</v>
      </c>
      <c r="C4085" s="9" t="s">
        <v>25</v>
      </c>
      <c r="D4085" s="9" t="s">
        <v>26</v>
      </c>
      <c r="E4085" s="10" t="n">
        <v>1789</v>
      </c>
      <c r="F4085" s="9" t="s">
        <v>27</v>
      </c>
      <c r="G4085" s="9" t="s">
        <v>27</v>
      </c>
      <c r="H4085" s="11" t="n">
        <v>24</v>
      </c>
      <c r="I4085" s="11" t="s">
        <v>303</v>
      </c>
      <c r="J4085" s="14" t="n">
        <v>50</v>
      </c>
      <c r="K4085" s="14"/>
      <c r="L4085" s="16"/>
      <c r="M4085" s="27" t="n">
        <f aca="false">J4085+(K4085/20)+(L4085/240)</f>
        <v>50</v>
      </c>
      <c r="N4085" s="17" t="s">
        <v>64</v>
      </c>
      <c r="O4085" s="11"/>
      <c r="P4085" s="28"/>
      <c r="Q4085" s="28" t="n">
        <f aca="false">P4085*$M4085</f>
        <v>0</v>
      </c>
      <c r="R4085" s="28"/>
      <c r="S4085" s="28" t="n">
        <f aca="false">R4085*$M4085</f>
        <v>0</v>
      </c>
      <c r="T4085" s="28"/>
      <c r="U4085" s="28" t="n">
        <f aca="false">T4085*$M4085</f>
        <v>0</v>
      </c>
      <c r="V4085" s="28"/>
      <c r="W4085" s="28" t="n">
        <f aca="false">V4085*$M4085</f>
        <v>0</v>
      </c>
      <c r="X4085" s="28"/>
      <c r="Y4085" s="28" t="n">
        <f aca="false">X4085*$M4085</f>
        <v>0</v>
      </c>
      <c r="Z4085" s="28"/>
      <c r="AA4085" s="28" t="n">
        <f aca="false">Z4085*$M4085</f>
        <v>0</v>
      </c>
      <c r="AB4085" s="28"/>
      <c r="AC4085" s="28" t="n">
        <f aca="false">AB4085*$M4085</f>
        <v>0</v>
      </c>
      <c r="AD4085" s="28"/>
      <c r="AE4085" s="28" t="n">
        <f aca="false">AD4085*$M4085</f>
        <v>0</v>
      </c>
      <c r="AF4085" s="28" t="n">
        <f aca="false">208461/100</f>
        <v>2084.61</v>
      </c>
      <c r="AG4085" s="28" t="n">
        <v>104230</v>
      </c>
      <c r="AH4085" s="28" t="n">
        <f aca="false">757624/100</f>
        <v>7576.24</v>
      </c>
      <c r="AI4085" s="28" t="n">
        <v>378812</v>
      </c>
      <c r="AJ4085" s="28"/>
      <c r="AK4085" s="28" t="n">
        <f aca="false">AJ4085*$M4085</f>
        <v>0</v>
      </c>
      <c r="AL4085" s="28"/>
      <c r="AM4085" s="28" t="n">
        <f aca="false">AL4085*$M4085</f>
        <v>0</v>
      </c>
      <c r="AN4085" s="28"/>
      <c r="AO4085" s="28" t="n">
        <f aca="false">AN4085*$M4085</f>
        <v>0</v>
      </c>
      <c r="AP4085" s="28"/>
      <c r="AQ4085" s="28" t="n">
        <f aca="false">AP4085*$M4085</f>
        <v>0</v>
      </c>
      <c r="AR4085" s="28"/>
      <c r="AS4085" s="28" t="n">
        <f aca="false">AR4085*$M4085</f>
        <v>0</v>
      </c>
      <c r="AT4085" s="28"/>
      <c r="AU4085" s="28" t="n">
        <f aca="false">AT4085*$M4085</f>
        <v>0</v>
      </c>
      <c r="AV4085" s="28"/>
      <c r="AW4085" s="28" t="n">
        <f aca="false">AV4085*$M4085</f>
        <v>0</v>
      </c>
      <c r="AX4085" s="28"/>
      <c r="AY4085" s="28" t="n">
        <f aca="false">AX4085*$M4085</f>
        <v>0</v>
      </c>
      <c r="AZ4085" s="30" t="n">
        <f aca="false">966085/100</f>
        <v>9660.85</v>
      </c>
      <c r="BA4085" s="11" t="n">
        <v>483042</v>
      </c>
      <c r="BB4085" s="31" t="n">
        <f aca="false">SUM(Q4085,S4085,U4085,W4085,Y4085,AA4085,AC4085,AE4085,AG4085,AI4085,AK4085,AM4085,AO4085,AQ4085,AS4085,AU4085,AW4085,AY4085)</f>
        <v>483042</v>
      </c>
      <c r="BC4085" s="28" t="n">
        <f aca="false">BA4085-BB4085</f>
        <v>0</v>
      </c>
      <c r="BD4085" s="32" t="n">
        <f aca="false">SUM(P4085,R4085,T4085,V4085,X4085,Z4085,AB4085,AD4085,AF4085,AH4085,AJ4085,AL4085,AN4085,AP4085,AR4085,AT4085,AV4085,AX4085)</f>
        <v>9660.85</v>
      </c>
      <c r="BE4085" s="33" t="n">
        <f aca="false">AZ4085-BD4085</f>
        <v>0</v>
      </c>
      <c r="BF4085" s="34" t="n">
        <f aca="false">BD4085*M4085</f>
        <v>483042.5</v>
      </c>
      <c r="BG4085" s="35" t="n">
        <f aca="false">BA4085-BF4085</f>
        <v>-0.5</v>
      </c>
      <c r="BH4085" s="19" t="str">
        <f aca="false">IF(BG4085=0,"",IF(BG4085&lt;&gt;BA4085,"erreur de calcul",IF(BD4085&lt;&gt;0,"pas de prix",IF(M4085&lt;&gt; 0,"pas de quantité","pas de prix, ni de quantité"))))</f>
        <v>erreur de calcul</v>
      </c>
      <c r="BI4085" s="19"/>
    </row>
    <row r="4086" customFormat="false" ht="15" hidden="false" customHeight="false" outlineLevel="0" collapsed="false">
      <c r="A4086" s="0" t="n">
        <v>15</v>
      </c>
      <c r="B4086" s="8" t="s">
        <v>24</v>
      </c>
      <c r="C4086" s="9" t="s">
        <v>25</v>
      </c>
      <c r="D4086" s="9" t="s">
        <v>26</v>
      </c>
      <c r="E4086" s="10" t="n">
        <v>1789</v>
      </c>
      <c r="F4086" s="9" t="s">
        <v>27</v>
      </c>
      <c r="G4086" s="9" t="s">
        <v>27</v>
      </c>
      <c r="H4086" s="11" t="n">
        <v>24</v>
      </c>
      <c r="I4086" s="11" t="s">
        <v>304</v>
      </c>
      <c r="J4086" s="14" t="n">
        <v>340</v>
      </c>
      <c r="K4086" s="14"/>
      <c r="L4086" s="16"/>
      <c r="M4086" s="27" t="n">
        <f aca="false">J4086+(K4086/20)+(L4086/240)</f>
        <v>340</v>
      </c>
      <c r="N4086" s="17" t="s">
        <v>64</v>
      </c>
      <c r="O4086" s="11"/>
      <c r="P4086" s="28"/>
      <c r="Q4086" s="28" t="n">
        <f aca="false">P4086*$M4086</f>
        <v>0</v>
      </c>
      <c r="R4086" s="28"/>
      <c r="S4086" s="28" t="n">
        <f aca="false">R4086*$M4086</f>
        <v>0</v>
      </c>
      <c r="T4086" s="28"/>
      <c r="U4086" s="28" t="n">
        <f aca="false">T4086*$M4086</f>
        <v>0</v>
      </c>
      <c r="V4086" s="28"/>
      <c r="W4086" s="28" t="n">
        <f aca="false">V4086*$M4086</f>
        <v>0</v>
      </c>
      <c r="X4086" s="28"/>
      <c r="Y4086" s="28" t="n">
        <f aca="false">X4086*$M4086</f>
        <v>0</v>
      </c>
      <c r="Z4086" s="28"/>
      <c r="AA4086" s="28" t="n">
        <f aca="false">Z4086*$M4086</f>
        <v>0</v>
      </c>
      <c r="AB4086" s="28" t="n">
        <f aca="false">339883/100</f>
        <v>3398.83</v>
      </c>
      <c r="AC4086" s="28" t="n">
        <v>1155602</v>
      </c>
      <c r="AD4086" s="28"/>
      <c r="AE4086" s="28" t="n">
        <f aca="false">AD4086*$M4086</f>
        <v>0</v>
      </c>
      <c r="AF4086" s="28"/>
      <c r="AG4086" s="28" t="n">
        <f aca="false">AF4086*$M4086</f>
        <v>0</v>
      </c>
      <c r="AH4086" s="28"/>
      <c r="AI4086" s="28" t="n">
        <f aca="false">AH4086*$M4086</f>
        <v>0</v>
      </c>
      <c r="AJ4086" s="28"/>
      <c r="AK4086" s="28" t="n">
        <f aca="false">AJ4086*$M4086</f>
        <v>0</v>
      </c>
      <c r="AL4086" s="28"/>
      <c r="AM4086" s="28" t="n">
        <f aca="false">AL4086*$M4086</f>
        <v>0</v>
      </c>
      <c r="AN4086" s="28"/>
      <c r="AO4086" s="28" t="n">
        <f aca="false">AN4086*$M4086</f>
        <v>0</v>
      </c>
      <c r="AP4086" s="28"/>
      <c r="AQ4086" s="28" t="n">
        <f aca="false">AP4086*$M4086</f>
        <v>0</v>
      </c>
      <c r="AR4086" s="28"/>
      <c r="AS4086" s="28" t="n">
        <f aca="false">AR4086*$M4086</f>
        <v>0</v>
      </c>
      <c r="AT4086" s="28"/>
      <c r="AU4086" s="28" t="n">
        <f aca="false">AT4086*$M4086</f>
        <v>0</v>
      </c>
      <c r="AV4086" s="28"/>
      <c r="AW4086" s="28" t="n">
        <f aca="false">AV4086*$M4086</f>
        <v>0</v>
      </c>
      <c r="AX4086" s="28"/>
      <c r="AY4086" s="28" t="n">
        <f aca="false">AX4086*$M4086</f>
        <v>0</v>
      </c>
      <c r="AZ4086" s="30" t="n">
        <f aca="false">339883/100</f>
        <v>3398.83</v>
      </c>
      <c r="BA4086" s="11" t="n">
        <v>1155602</v>
      </c>
      <c r="BB4086" s="31" t="n">
        <f aca="false">SUM(Q4086,S4086,U4086,W4086,Y4086,AA4086,AC4086,AE4086,AG4086,AI4086,AK4086,AM4086,AO4086,AQ4086,AS4086,AU4086,AW4086,AY4086)</f>
        <v>1155602</v>
      </c>
      <c r="BC4086" s="28" t="n">
        <f aca="false">BA4086-BB4086</f>
        <v>0</v>
      </c>
      <c r="BD4086" s="32" t="n">
        <f aca="false">SUM(P4086,R4086,T4086,V4086,X4086,Z4086,AB4086,AD4086,AF4086,AH4086,AJ4086,AL4086,AN4086,AP4086,AR4086,AT4086,AV4086,AX4086)</f>
        <v>3398.83</v>
      </c>
      <c r="BE4086" s="33" t="n">
        <f aca="false">AZ4086-BD4086</f>
        <v>0</v>
      </c>
      <c r="BF4086" s="34" t="n">
        <f aca="false">BD4086*M4086</f>
        <v>1155602.2</v>
      </c>
      <c r="BG4086" s="35" t="n">
        <f aca="false">BA4086-BF4086</f>
        <v>-0.199999999953434</v>
      </c>
      <c r="BH4086" s="19" t="str">
        <f aca="false">IF(BG4086=0,"",IF(BG4086&lt;&gt;BA4086,"erreur de calcul",IF(BD4086&lt;&gt;0,"pas de prix",IF(M4086&lt;&gt; 0,"pas de quantité","pas de prix, ni de quantité"))))</f>
        <v>erreur de calcul</v>
      </c>
      <c r="BI4086" s="19"/>
    </row>
    <row r="4087" customFormat="false" ht="15" hidden="false" customHeight="false" outlineLevel="0" collapsed="false">
      <c r="A4087" s="0" t="n">
        <v>16</v>
      </c>
      <c r="B4087" s="8" t="s">
        <v>24</v>
      </c>
      <c r="C4087" s="9" t="s">
        <v>25</v>
      </c>
      <c r="D4087" s="9" t="s">
        <v>26</v>
      </c>
      <c r="E4087" s="10" t="n">
        <v>1789</v>
      </c>
      <c r="F4087" s="9" t="s">
        <v>27</v>
      </c>
      <c r="G4087" s="9" t="s">
        <v>27</v>
      </c>
      <c r="H4087" s="11" t="n">
        <v>24</v>
      </c>
      <c r="I4087" s="11" t="s">
        <v>305</v>
      </c>
      <c r="J4087" s="14" t="n">
        <v>235</v>
      </c>
      <c r="K4087" s="14"/>
      <c r="L4087" s="16"/>
      <c r="M4087" s="27" t="n">
        <f aca="false">J4087+(K4087/20)+(L4087/240)</f>
        <v>235</v>
      </c>
      <c r="N4087" s="17" t="s">
        <v>64</v>
      </c>
      <c r="O4087" s="11"/>
      <c r="P4087" s="28" t="n">
        <f aca="false">34642/100</f>
        <v>346.42</v>
      </c>
      <c r="Q4087" s="28" t="n">
        <v>81409</v>
      </c>
      <c r="R4087" s="28"/>
      <c r="S4087" s="28" t="n">
        <f aca="false">R4087*$M4087</f>
        <v>0</v>
      </c>
      <c r="T4087" s="28"/>
      <c r="U4087" s="28" t="n">
        <f aca="false">T4087*$M4087</f>
        <v>0</v>
      </c>
      <c r="V4087" s="28"/>
      <c r="W4087" s="28" t="n">
        <f aca="false">V4087*$M4087</f>
        <v>0</v>
      </c>
      <c r="X4087" s="28"/>
      <c r="Y4087" s="28" t="n">
        <f aca="false">X4087*$M4087</f>
        <v>0</v>
      </c>
      <c r="Z4087" s="28"/>
      <c r="AA4087" s="28" t="n">
        <f aca="false">Z4087*$M4087</f>
        <v>0</v>
      </c>
      <c r="AB4087" s="28"/>
      <c r="AC4087" s="28" t="n">
        <f aca="false">AB4087*$M4087</f>
        <v>0</v>
      </c>
      <c r="AD4087" s="28"/>
      <c r="AE4087" s="28" t="n">
        <f aca="false">AD4087*$M4087</f>
        <v>0</v>
      </c>
      <c r="AF4087" s="28"/>
      <c r="AG4087" s="28" t="n">
        <f aca="false">AF4087*$M4087</f>
        <v>0</v>
      </c>
      <c r="AH4087" s="28"/>
      <c r="AI4087" s="28" t="n">
        <f aca="false">AH4087*$M4087</f>
        <v>0</v>
      </c>
      <c r="AJ4087" s="28"/>
      <c r="AK4087" s="28" t="n">
        <f aca="false">AJ4087*$M4087</f>
        <v>0</v>
      </c>
      <c r="AL4087" s="28"/>
      <c r="AM4087" s="28" t="n">
        <f aca="false">AL4087*$M4087</f>
        <v>0</v>
      </c>
      <c r="AN4087" s="28"/>
      <c r="AO4087" s="28" t="n">
        <f aca="false">AN4087*$M4087</f>
        <v>0</v>
      </c>
      <c r="AP4087" s="28"/>
      <c r="AQ4087" s="28" t="n">
        <f aca="false">AP4087*$M4087</f>
        <v>0</v>
      </c>
      <c r="AR4087" s="28"/>
      <c r="AS4087" s="28" t="n">
        <f aca="false">AR4087*$M4087</f>
        <v>0</v>
      </c>
      <c r="AT4087" s="28"/>
      <c r="AU4087" s="28" t="n">
        <f aca="false">AT4087*$M4087</f>
        <v>0</v>
      </c>
      <c r="AV4087" s="28"/>
      <c r="AW4087" s="28" t="n">
        <f aca="false">AV4087*$M4087</f>
        <v>0</v>
      </c>
      <c r="AX4087" s="28"/>
      <c r="AY4087" s="28" t="n">
        <f aca="false">AX4087*$M4087</f>
        <v>0</v>
      </c>
      <c r="AZ4087" s="30" t="n">
        <f aca="false">34642/100</f>
        <v>346.42</v>
      </c>
      <c r="BA4087" s="11" t="n">
        <v>81409</v>
      </c>
      <c r="BB4087" s="31" t="n">
        <f aca="false">SUM(Q4087,S4087,U4087,W4087,Y4087,AA4087,AC4087,AE4087,AG4087,AI4087,AK4087,AM4087,AO4087,AQ4087,AS4087,AU4087,AW4087,AY4087)</f>
        <v>81409</v>
      </c>
      <c r="BC4087" s="28" t="n">
        <f aca="false">BA4087-BB4087</f>
        <v>0</v>
      </c>
      <c r="BD4087" s="32" t="n">
        <f aca="false">SUM(P4087,R4087,T4087,V4087,X4087,Z4087,AB4087,AD4087,AF4087,AH4087,AJ4087,AL4087,AN4087,AP4087,AR4087,AT4087,AV4087,AX4087)</f>
        <v>346.42</v>
      </c>
      <c r="BE4087" s="33" t="n">
        <f aca="false">AZ4087-BD4087</f>
        <v>0</v>
      </c>
      <c r="BF4087" s="34" t="n">
        <f aca="false">BD4087*M4087</f>
        <v>81408.7</v>
      </c>
      <c r="BG4087" s="35" t="n">
        <f aca="false">BA4087-BF4087</f>
        <v>0.30000000000291</v>
      </c>
      <c r="BH4087" s="19" t="str">
        <f aca="false">IF(BG4087=0,"",IF(BG4087&lt;&gt;BA4087,"erreur de calcul",IF(BD4087&lt;&gt;0,"pas de prix",IF(M4087&lt;&gt; 0,"pas de quantité","pas de prix, ni de quantité"))))</f>
        <v>erreur de calcul</v>
      </c>
      <c r="BI4087" s="19"/>
    </row>
    <row r="4088" customFormat="false" ht="15" hidden="false" customHeight="false" outlineLevel="0" collapsed="false">
      <c r="A4088" s="0" t="n">
        <v>17</v>
      </c>
      <c r="B4088" s="8" t="s">
        <v>24</v>
      </c>
      <c r="C4088" s="9" t="s">
        <v>25</v>
      </c>
      <c r="D4088" s="9" t="s">
        <v>26</v>
      </c>
      <c r="E4088" s="10" t="n">
        <v>1789</v>
      </c>
      <c r="F4088" s="9" t="s">
        <v>27</v>
      </c>
      <c r="G4088" s="9" t="s">
        <v>27</v>
      </c>
      <c r="H4088" s="11" t="n">
        <v>24</v>
      </c>
      <c r="I4088" s="11" t="s">
        <v>306</v>
      </c>
      <c r="J4088" s="14" t="n">
        <v>71</v>
      </c>
      <c r="K4088" s="14"/>
      <c r="L4088" s="16"/>
      <c r="M4088" s="27" t="n">
        <f aca="false">J4088+(K4088/20)+(L4088/240)</f>
        <v>71</v>
      </c>
      <c r="N4088" s="17" t="s">
        <v>64</v>
      </c>
      <c r="O4088" s="11"/>
      <c r="P4088" s="28"/>
      <c r="Q4088" s="28" t="n">
        <f aca="false">P4088*$M4088</f>
        <v>0</v>
      </c>
      <c r="R4088" s="28"/>
      <c r="S4088" s="28" t="n">
        <f aca="false">R4088*$M4088</f>
        <v>0</v>
      </c>
      <c r="T4088" s="28" t="n">
        <f aca="false">12674/100</f>
        <v>126.74</v>
      </c>
      <c r="U4088" s="28" t="n">
        <v>8998</v>
      </c>
      <c r="V4088" s="28"/>
      <c r="W4088" s="28" t="n">
        <f aca="false">V4088*$M4088</f>
        <v>0</v>
      </c>
      <c r="X4088" s="28"/>
      <c r="Y4088" s="28" t="n">
        <f aca="false">X4088*$M4088</f>
        <v>0</v>
      </c>
      <c r="Z4088" s="28"/>
      <c r="AA4088" s="28" t="n">
        <f aca="false">Z4088*$M4088</f>
        <v>0</v>
      </c>
      <c r="AB4088" s="28"/>
      <c r="AC4088" s="28" t="n">
        <f aca="false">AB4088*$M4088</f>
        <v>0</v>
      </c>
      <c r="AD4088" s="28" t="n">
        <f aca="false">4283/100</f>
        <v>42.83</v>
      </c>
      <c r="AE4088" s="28" t="n">
        <v>3041</v>
      </c>
      <c r="AF4088" s="28" t="n">
        <f aca="false">2978140/100</f>
        <v>29781.4</v>
      </c>
      <c r="AG4088" s="28" t="n">
        <v>2114479</v>
      </c>
      <c r="AH4088" s="28" t="n">
        <f aca="false">4119032/100</f>
        <v>41190.32</v>
      </c>
      <c r="AI4088" s="28" t="n">
        <v>2924512</v>
      </c>
      <c r="AJ4088" s="28"/>
      <c r="AK4088" s="28" t="n">
        <f aca="false">AJ4088*$M4088</f>
        <v>0</v>
      </c>
      <c r="AL4088" s="28"/>
      <c r="AM4088" s="28" t="n">
        <f aca="false">AL4088*$M4088</f>
        <v>0</v>
      </c>
      <c r="AN4088" s="28"/>
      <c r="AO4088" s="28" t="n">
        <f aca="false">AN4088*$M4088</f>
        <v>0</v>
      </c>
      <c r="AP4088" s="28"/>
      <c r="AQ4088" s="28" t="n">
        <f aca="false">AP4088*$M4088</f>
        <v>0</v>
      </c>
      <c r="AR4088" s="28"/>
      <c r="AS4088" s="28" t="n">
        <f aca="false">AR4088*$M4088</f>
        <v>0</v>
      </c>
      <c r="AT4088" s="28"/>
      <c r="AU4088" s="28" t="n">
        <f aca="false">AT4088*$M4088</f>
        <v>0</v>
      </c>
      <c r="AV4088" s="28"/>
      <c r="AW4088" s="28" t="n">
        <f aca="false">AV4088*$M4088</f>
        <v>0</v>
      </c>
      <c r="AX4088" s="28"/>
      <c r="AY4088" s="28" t="n">
        <f aca="false">AX4088*$M4088</f>
        <v>0</v>
      </c>
      <c r="AZ4088" s="30" t="n">
        <f aca="false">7114129/100</f>
        <v>71141.29</v>
      </c>
      <c r="BA4088" s="11" t="n">
        <v>5051030</v>
      </c>
      <c r="BB4088" s="31" t="n">
        <f aca="false">SUM(Q4088,S4088,U4088,W4088,Y4088,AA4088,AC4088,AE4088,AG4088,AI4088,AK4088,AM4088,AO4088,AQ4088,AS4088,AU4088,AW4088,AY4088)</f>
        <v>5051030</v>
      </c>
      <c r="BC4088" s="28" t="n">
        <f aca="false">BA4088-BB4088</f>
        <v>0</v>
      </c>
      <c r="BD4088" s="32" t="n">
        <f aca="false">SUM(P4088,R4088,T4088,V4088,X4088,Z4088,AB4088,AD4088,AF4088,AH4088,AJ4088,AL4088,AN4088,AP4088,AR4088,AT4088,AV4088,AX4088)</f>
        <v>71141.29</v>
      </c>
      <c r="BE4088" s="33" t="n">
        <f aca="false">AZ4088-BD4088</f>
        <v>0</v>
      </c>
      <c r="BF4088" s="34" t="n">
        <f aca="false">BD4088*M4088</f>
        <v>5051031.59</v>
      </c>
      <c r="BG4088" s="35" t="n">
        <f aca="false">BA4088-BF4088</f>
        <v>-1.59000000078231</v>
      </c>
      <c r="BH4088" s="19" t="str">
        <f aca="false">IF(BG4088=0,"",IF(BG4088&lt;&gt;BA4088,"erreur de calcul",IF(BD4088&lt;&gt;0,"pas de prix",IF(M4088&lt;&gt; 0,"pas de quantité","pas de prix, ni de quantité"))))</f>
        <v>erreur de calcul</v>
      </c>
      <c r="BI4088" s="19"/>
    </row>
    <row r="4089" customFormat="false" ht="15" hidden="false" customHeight="false" outlineLevel="0" collapsed="false">
      <c r="A4089" s="0" t="n">
        <v>18</v>
      </c>
      <c r="B4089" s="8" t="s">
        <v>24</v>
      </c>
      <c r="C4089" s="9" t="s">
        <v>25</v>
      </c>
      <c r="D4089" s="9" t="s">
        <v>26</v>
      </c>
      <c r="E4089" s="10" t="n">
        <v>1789</v>
      </c>
      <c r="F4089" s="9" t="s">
        <v>27</v>
      </c>
      <c r="G4089" s="9" t="s">
        <v>27</v>
      </c>
      <c r="H4089" s="11" t="n">
        <v>24</v>
      </c>
      <c r="I4089" s="11" t="s">
        <v>307</v>
      </c>
      <c r="J4089" s="14" t="n">
        <v>45</v>
      </c>
      <c r="K4089" s="14"/>
      <c r="L4089" s="16"/>
      <c r="M4089" s="27" t="n">
        <f aca="false">J4089+(K4089/20)+(L4089/240)</f>
        <v>45</v>
      </c>
      <c r="N4089" s="17" t="s">
        <v>64</v>
      </c>
      <c r="O4089" s="11"/>
      <c r="P4089" s="28"/>
      <c r="Q4089" s="28" t="n">
        <f aca="false">P4089*$M4089</f>
        <v>0</v>
      </c>
      <c r="R4089" s="28"/>
      <c r="S4089" s="28" t="n">
        <f aca="false">R4089*$M4089</f>
        <v>0</v>
      </c>
      <c r="T4089" s="28"/>
      <c r="U4089" s="28" t="n">
        <f aca="false">T4089*$M4089</f>
        <v>0</v>
      </c>
      <c r="V4089" s="28"/>
      <c r="W4089" s="28" t="n">
        <f aca="false">V4089*$M4089</f>
        <v>0</v>
      </c>
      <c r="X4089" s="28"/>
      <c r="Y4089" s="28" t="n">
        <f aca="false">X4089*$M4089</f>
        <v>0</v>
      </c>
      <c r="Z4089" s="28"/>
      <c r="AA4089" s="28" t="n">
        <f aca="false">Z4089*$M4089</f>
        <v>0</v>
      </c>
      <c r="AB4089" s="28"/>
      <c r="AC4089" s="28" t="n">
        <f aca="false">AB4089*$M4089</f>
        <v>0</v>
      </c>
      <c r="AD4089" s="28"/>
      <c r="AE4089" s="28" t="n">
        <f aca="false">AD4089*$M4089</f>
        <v>0</v>
      </c>
      <c r="AF4089" s="28"/>
      <c r="AG4089" s="28" t="n">
        <f aca="false">AF4089*$M4089</f>
        <v>0</v>
      </c>
      <c r="AH4089" s="28"/>
      <c r="AI4089" s="28" t="n">
        <f aca="false">AH4089*$M4089</f>
        <v>0</v>
      </c>
      <c r="AJ4089" s="28"/>
      <c r="AK4089" s="28" t="n">
        <f aca="false">AJ4089*$M4089</f>
        <v>0</v>
      </c>
      <c r="AL4089" s="28" t="n">
        <f aca="false">971/100</f>
        <v>9.71</v>
      </c>
      <c r="AM4089" s="28" t="n">
        <v>437</v>
      </c>
      <c r="AN4089" s="28"/>
      <c r="AO4089" s="28" t="n">
        <f aca="false">AN4089*$M4089</f>
        <v>0</v>
      </c>
      <c r="AP4089" s="28"/>
      <c r="AQ4089" s="28" t="n">
        <f aca="false">AP4089*$M4089</f>
        <v>0</v>
      </c>
      <c r="AR4089" s="28"/>
      <c r="AS4089" s="28" t="n">
        <f aca="false">AR4089*$M4089</f>
        <v>0</v>
      </c>
      <c r="AT4089" s="28"/>
      <c r="AU4089" s="28" t="n">
        <f aca="false">AT4089*$M4089</f>
        <v>0</v>
      </c>
      <c r="AV4089" s="28"/>
      <c r="AW4089" s="28" t="n">
        <f aca="false">AV4089*$M4089</f>
        <v>0</v>
      </c>
      <c r="AX4089" s="28"/>
      <c r="AY4089" s="28" t="n">
        <f aca="false">AX4089*$M4089</f>
        <v>0</v>
      </c>
      <c r="AZ4089" s="30" t="n">
        <f aca="false">971/100</f>
        <v>9.71</v>
      </c>
      <c r="BA4089" s="11" t="n">
        <v>437</v>
      </c>
      <c r="BB4089" s="31" t="n">
        <f aca="false">SUM(Q4089,S4089,U4089,W4089,Y4089,AA4089,AC4089,AE4089,AG4089,AI4089,AK4089,AM4089,AO4089,AQ4089,AS4089,AU4089,AW4089,AY4089)</f>
        <v>437</v>
      </c>
      <c r="BC4089" s="28" t="n">
        <f aca="false">BA4089-BB4089</f>
        <v>0</v>
      </c>
      <c r="BD4089" s="32" t="n">
        <f aca="false">SUM(P4089,R4089,T4089,V4089,X4089,Z4089,AB4089,AD4089,AF4089,AH4089,AJ4089,AL4089,AN4089,AP4089,AR4089,AT4089,AV4089,AX4089)</f>
        <v>9.71</v>
      </c>
      <c r="BE4089" s="33" t="n">
        <f aca="false">AZ4089-BD4089</f>
        <v>0</v>
      </c>
      <c r="BF4089" s="34" t="n">
        <f aca="false">BD4089*M4089</f>
        <v>436.95</v>
      </c>
      <c r="BG4089" s="35" t="n">
        <f aca="false">BA4089-BF4089</f>
        <v>0.0499999999999545</v>
      </c>
      <c r="BH4089" s="19" t="str">
        <f aca="false">IF(BG4089=0,"",IF(BG4089&lt;&gt;BA4089,"erreur de calcul",IF(BD4089&lt;&gt;0,"pas de prix",IF(M4089&lt;&gt; 0,"pas de quantité","pas de prix, ni de quantité"))))</f>
        <v>erreur de calcul</v>
      </c>
      <c r="BI4089" s="19"/>
    </row>
    <row r="4090" customFormat="false" ht="15" hidden="false" customHeight="false" outlineLevel="0" collapsed="false">
      <c r="A4090" s="0" t="n">
        <v>19</v>
      </c>
      <c r="B4090" s="8" t="s">
        <v>24</v>
      </c>
      <c r="C4090" s="9" t="s">
        <v>25</v>
      </c>
      <c r="D4090" s="9" t="s">
        <v>26</v>
      </c>
      <c r="E4090" s="10" t="n">
        <v>1789</v>
      </c>
      <c r="F4090" s="9" t="s">
        <v>27</v>
      </c>
      <c r="G4090" s="9" t="s">
        <v>27</v>
      </c>
      <c r="H4090" s="11" t="n">
        <v>24</v>
      </c>
      <c r="I4090" s="11" t="s">
        <v>308</v>
      </c>
      <c r="J4090" s="14" t="n">
        <v>240</v>
      </c>
      <c r="K4090" s="14"/>
      <c r="L4090" s="16"/>
      <c r="M4090" s="27" t="n">
        <f aca="false">J4090+(K4090/20)+(L4090/240)</f>
        <v>240</v>
      </c>
      <c r="N4090" s="17" t="s">
        <v>64</v>
      </c>
      <c r="O4090" s="11"/>
      <c r="P4090" s="28"/>
      <c r="Q4090" s="28" t="n">
        <f aca="false">P4090*$M4090</f>
        <v>0</v>
      </c>
      <c r="R4090" s="28"/>
      <c r="S4090" s="28" t="n">
        <f aca="false">R4090*$M4090</f>
        <v>0</v>
      </c>
      <c r="T4090" s="28"/>
      <c r="U4090" s="28" t="n">
        <f aca="false">T4090*$M4090</f>
        <v>0</v>
      </c>
      <c r="V4090" s="28"/>
      <c r="W4090" s="28" t="n">
        <f aca="false">V4090*$M4090</f>
        <v>0</v>
      </c>
      <c r="X4090" s="28"/>
      <c r="Y4090" s="28" t="n">
        <f aca="false">X4090*$M4090</f>
        <v>0</v>
      </c>
      <c r="Z4090" s="28"/>
      <c r="AA4090" s="28" t="n">
        <f aca="false">Z4090*$M4090</f>
        <v>0</v>
      </c>
      <c r="AB4090" s="28"/>
      <c r="AC4090" s="28" t="n">
        <f aca="false">AB4090*$M4090</f>
        <v>0</v>
      </c>
      <c r="AD4090" s="28"/>
      <c r="AE4090" s="28" t="n">
        <f aca="false">AD4090*$M4090</f>
        <v>0</v>
      </c>
      <c r="AF4090" s="28"/>
      <c r="AG4090" s="28" t="n">
        <f aca="false">AF4090*$M4090</f>
        <v>0</v>
      </c>
      <c r="AH4090" s="28"/>
      <c r="AI4090" s="28" t="n">
        <f aca="false">AH4090*$M4090</f>
        <v>0</v>
      </c>
      <c r="AJ4090" s="28" t="n">
        <f aca="false">2173/100</f>
        <v>21.73</v>
      </c>
      <c r="AK4090" s="28" t="n">
        <v>5215</v>
      </c>
      <c r="AL4090" s="28"/>
      <c r="AM4090" s="28" t="n">
        <f aca="false">AL4090*$M4090</f>
        <v>0</v>
      </c>
      <c r="AN4090" s="28"/>
      <c r="AO4090" s="28" t="n">
        <f aca="false">AN4090*$M4090</f>
        <v>0</v>
      </c>
      <c r="AP4090" s="28"/>
      <c r="AQ4090" s="28" t="n">
        <f aca="false">AP4090*$M4090</f>
        <v>0</v>
      </c>
      <c r="AR4090" s="28"/>
      <c r="AS4090" s="28" t="n">
        <f aca="false">AR4090*$M4090</f>
        <v>0</v>
      </c>
      <c r="AT4090" s="28"/>
      <c r="AU4090" s="28" t="n">
        <f aca="false">AT4090*$M4090</f>
        <v>0</v>
      </c>
      <c r="AV4090" s="28"/>
      <c r="AW4090" s="28" t="n">
        <f aca="false">AV4090*$M4090</f>
        <v>0</v>
      </c>
      <c r="AX4090" s="28"/>
      <c r="AY4090" s="28" t="n">
        <f aca="false">AX4090*$M4090</f>
        <v>0</v>
      </c>
      <c r="AZ4090" s="30" t="n">
        <f aca="false">2173/100</f>
        <v>21.73</v>
      </c>
      <c r="BA4090" s="11" t="n">
        <v>5215</v>
      </c>
      <c r="BB4090" s="31" t="n">
        <f aca="false">SUM(Q4090,S4090,U4090,W4090,Y4090,AA4090,AC4090,AE4090,AG4090,AI4090,AK4090,AM4090,AO4090,AQ4090,AS4090,AU4090,AW4090,AY4090)</f>
        <v>5215</v>
      </c>
      <c r="BC4090" s="28" t="n">
        <f aca="false">BA4090-BB4090</f>
        <v>0</v>
      </c>
      <c r="BD4090" s="32" t="n">
        <f aca="false">SUM(P4090,R4090,T4090,V4090,X4090,Z4090,AB4090,AD4090,AF4090,AH4090,AJ4090,AL4090,AN4090,AP4090,AR4090,AT4090,AV4090,AX4090)</f>
        <v>21.73</v>
      </c>
      <c r="BE4090" s="33" t="n">
        <f aca="false">AZ4090-BD4090</f>
        <v>0</v>
      </c>
      <c r="BF4090" s="34" t="n">
        <f aca="false">BD4090*M4090</f>
        <v>5215.2</v>
      </c>
      <c r="BG4090" s="35" t="n">
        <f aca="false">BA4090-BF4090</f>
        <v>-0.199999999999818</v>
      </c>
      <c r="BH4090" s="19" t="str">
        <f aca="false">IF(BG4090=0,"",IF(BG4090&lt;&gt;BA4090,"erreur de calcul",IF(BD4090&lt;&gt;0,"pas de prix",IF(M4090&lt;&gt; 0,"pas de quantité","pas de prix, ni de quantité"))))</f>
        <v>erreur de calcul</v>
      </c>
      <c r="BI4090" s="19"/>
    </row>
    <row r="4091" customFormat="false" ht="15" hidden="false" customHeight="false" outlineLevel="0" collapsed="false">
      <c r="A4091" s="0" t="n">
        <v>20</v>
      </c>
      <c r="B4091" s="8" t="s">
        <v>24</v>
      </c>
      <c r="C4091" s="9" t="s">
        <v>25</v>
      </c>
      <c r="D4091" s="9" t="s">
        <v>26</v>
      </c>
      <c r="E4091" s="10" t="n">
        <v>1789</v>
      </c>
      <c r="F4091" s="9" t="s">
        <v>27</v>
      </c>
      <c r="G4091" s="9" t="s">
        <v>27</v>
      </c>
      <c r="H4091" s="11" t="n">
        <v>24</v>
      </c>
      <c r="I4091" s="11" t="s">
        <v>309</v>
      </c>
      <c r="J4091" s="14"/>
      <c r="K4091" s="14"/>
      <c r="L4091" s="16"/>
      <c r="M4091" s="27" t="n">
        <f aca="false">J4091+(K4091/20)+(L4091/240)</f>
        <v>0</v>
      </c>
      <c r="N4091" s="17"/>
      <c r="O4091" s="11"/>
      <c r="P4091" s="28"/>
      <c r="Q4091" s="28" t="n">
        <f aca="false">P4091*$M4091</f>
        <v>0</v>
      </c>
      <c r="R4091" s="28"/>
      <c r="S4091" s="28" t="n">
        <f aca="false">R4091*$M4091</f>
        <v>0</v>
      </c>
      <c r="T4091" s="28"/>
      <c r="U4091" s="28" t="n">
        <v>195</v>
      </c>
      <c r="V4091" s="28"/>
      <c r="W4091" s="28" t="n">
        <v>640</v>
      </c>
      <c r="X4091" s="28"/>
      <c r="Y4091" s="28" t="n">
        <f aca="false">X4091*$M4091</f>
        <v>0</v>
      </c>
      <c r="Z4091" s="28"/>
      <c r="AA4091" s="28" t="n">
        <f aca="false">Z4091*$M4091</f>
        <v>0</v>
      </c>
      <c r="AB4091" s="28"/>
      <c r="AC4091" s="28" t="n">
        <f aca="false">AB4091*$M4091</f>
        <v>0</v>
      </c>
      <c r="AD4091" s="28"/>
      <c r="AE4091" s="28" t="n">
        <f aca="false">AD4091*$M4091</f>
        <v>0</v>
      </c>
      <c r="AF4091" s="28"/>
      <c r="AG4091" s="28" t="n">
        <f aca="false">AF4091*$M4091</f>
        <v>0</v>
      </c>
      <c r="AH4091" s="28"/>
      <c r="AI4091" s="28" t="n">
        <v>121</v>
      </c>
      <c r="AJ4091" s="28"/>
      <c r="AK4091" s="28" t="n">
        <v>412</v>
      </c>
      <c r="AL4091" s="28"/>
      <c r="AM4091" s="28" t="n">
        <f aca="false">AL4091*$M4091</f>
        <v>0</v>
      </c>
      <c r="AN4091" s="28"/>
      <c r="AO4091" s="28" t="n">
        <f aca="false">AN4091*$M4091</f>
        <v>0</v>
      </c>
      <c r="AP4091" s="28"/>
      <c r="AQ4091" s="28" t="n">
        <f aca="false">AP4091*$M4091</f>
        <v>0</v>
      </c>
      <c r="AR4091" s="28"/>
      <c r="AS4091" s="28" t="n">
        <f aca="false">AR4091*$M4091</f>
        <v>0</v>
      </c>
      <c r="AT4091" s="28"/>
      <c r="AU4091" s="28" t="n">
        <f aca="false">AT4091*$M4091</f>
        <v>0</v>
      </c>
      <c r="AV4091" s="28"/>
      <c r="AW4091" s="28" t="n">
        <f aca="false">AV4091*$M4091</f>
        <v>0</v>
      </c>
      <c r="AX4091" s="28"/>
      <c r="AY4091" s="28" t="n">
        <f aca="false">AX4091*$M4091</f>
        <v>0</v>
      </c>
      <c r="AZ4091" s="30"/>
      <c r="BA4091" s="11" t="n">
        <v>1368</v>
      </c>
      <c r="BB4091" s="31" t="n">
        <f aca="false">SUM(Q4091,S4091,U4091,W4091,Y4091,AA4091,AC4091,AE4091,AG4091,AI4091,AK4091,AM4091,AO4091,AQ4091,AS4091,AU4091,AW4091,AY4091)</f>
        <v>1368</v>
      </c>
      <c r="BC4091" s="28" t="n">
        <f aca="false">BA4091-BB4091</f>
        <v>0</v>
      </c>
      <c r="BD4091" s="32" t="n">
        <f aca="false">SUM(P4091,R4091,T4091,V4091,X4091,Z4091,AB4091,AD4091,AF4091,AH4091,AJ4091,AL4091,AN4091,AP4091,AR4091,AT4091,AV4091,AX4091)</f>
        <v>0</v>
      </c>
      <c r="BE4091" s="33" t="n">
        <f aca="false">AZ4091-BD4091</f>
        <v>0</v>
      </c>
      <c r="BF4091" s="34" t="n">
        <f aca="false">BD4091*M4091</f>
        <v>0</v>
      </c>
      <c r="BG4091" s="35" t="n">
        <f aca="false">BA4091-BF4091</f>
        <v>1368</v>
      </c>
      <c r="BH4091" s="19" t="str">
        <f aca="false">IF(BG4091=0,"",IF(BG4091&lt;&gt;BA4091,"erreur de calcul",IF(BD4091&lt;&gt;0,"pas de prix",IF(M4091&lt;&gt; 0,"pas de quantité","pas de prix, ni de quantité"))))</f>
        <v>pas de prix, ni de quantité</v>
      </c>
      <c r="BI4091" s="19"/>
    </row>
    <row r="4092" customFormat="false" ht="15" hidden="false" customHeight="false" outlineLevel="0" collapsed="false">
      <c r="A4092" s="0" t="n">
        <v>21</v>
      </c>
      <c r="B4092" s="8" t="s">
        <v>24</v>
      </c>
      <c r="C4092" s="9" t="s">
        <v>25</v>
      </c>
      <c r="D4092" s="9" t="s">
        <v>26</v>
      </c>
      <c r="E4092" s="10" t="n">
        <v>1789</v>
      </c>
      <c r="F4092" s="9" t="s">
        <v>27</v>
      </c>
      <c r="G4092" s="9" t="s">
        <v>27</v>
      </c>
      <c r="H4092" s="11" t="n">
        <v>24</v>
      </c>
      <c r="I4092" s="11" t="s">
        <v>310</v>
      </c>
      <c r="J4092" s="14"/>
      <c r="K4092" s="14" t="n">
        <v>3</v>
      </c>
      <c r="L4092" s="16"/>
      <c r="M4092" s="27" t="n">
        <f aca="false">J4092+(K4092/20)+(L4092/240)</f>
        <v>0.15</v>
      </c>
      <c r="N4092" s="17" t="s">
        <v>311</v>
      </c>
      <c r="O4092" s="11"/>
      <c r="P4092" s="28"/>
      <c r="Q4092" s="28" t="n">
        <f aca="false">P4092*$M4092</f>
        <v>0</v>
      </c>
      <c r="R4092" s="28"/>
      <c r="S4092" s="28" t="n">
        <f aca="false">R4092*$M4092</f>
        <v>0</v>
      </c>
      <c r="T4092" s="28"/>
      <c r="U4092" s="28" t="n">
        <f aca="false">T4092*$M4092</f>
        <v>0</v>
      </c>
      <c r="V4092" s="28" t="n">
        <v>32065</v>
      </c>
      <c r="W4092" s="28" t="n">
        <v>4810</v>
      </c>
      <c r="X4092" s="28" t="n">
        <v>20652</v>
      </c>
      <c r="Y4092" s="28" t="n">
        <v>3098</v>
      </c>
      <c r="Z4092" s="28"/>
      <c r="AA4092" s="28" t="n">
        <f aca="false">Z4092*$M4092</f>
        <v>0</v>
      </c>
      <c r="AB4092" s="28"/>
      <c r="AC4092" s="28" t="n">
        <f aca="false">AB4092*$M4092</f>
        <v>0</v>
      </c>
      <c r="AD4092" s="28"/>
      <c r="AE4092" s="28" t="n">
        <f aca="false">AD4092*$M4092</f>
        <v>0</v>
      </c>
      <c r="AF4092" s="28"/>
      <c r="AG4092" s="28" t="n">
        <f aca="false">AF4092*$M4092</f>
        <v>0</v>
      </c>
      <c r="AH4092" s="28"/>
      <c r="AI4092" s="28" t="n">
        <f aca="false">AH4092*$M4092</f>
        <v>0</v>
      </c>
      <c r="AJ4092" s="28"/>
      <c r="AK4092" s="28" t="n">
        <f aca="false">AJ4092*$M4092</f>
        <v>0</v>
      </c>
      <c r="AL4092" s="28"/>
      <c r="AM4092" s="28" t="n">
        <f aca="false">AL4092*$M4092</f>
        <v>0</v>
      </c>
      <c r="AN4092" s="28"/>
      <c r="AO4092" s="28" t="n">
        <f aca="false">AN4092*$M4092</f>
        <v>0</v>
      </c>
      <c r="AP4092" s="28"/>
      <c r="AQ4092" s="28" t="n">
        <f aca="false">AP4092*$M4092</f>
        <v>0</v>
      </c>
      <c r="AR4092" s="28"/>
      <c r="AS4092" s="28" t="n">
        <f aca="false">AR4092*$M4092</f>
        <v>0</v>
      </c>
      <c r="AT4092" s="28"/>
      <c r="AU4092" s="28" t="n">
        <f aca="false">AT4092*$M4092</f>
        <v>0</v>
      </c>
      <c r="AV4092" s="28"/>
      <c r="AW4092" s="28" t="n">
        <f aca="false">AV4092*$M4092</f>
        <v>0</v>
      </c>
      <c r="AX4092" s="28"/>
      <c r="AY4092" s="28" t="n">
        <f aca="false">AX4092*$M4092</f>
        <v>0</v>
      </c>
      <c r="AZ4092" s="30" t="n">
        <v>52717</v>
      </c>
      <c r="BA4092" s="11" t="n">
        <v>7908</v>
      </c>
      <c r="BB4092" s="31" t="n">
        <f aca="false">SUM(Q4092,S4092,U4092,W4092,Y4092,AA4092,AC4092,AE4092,AG4092,AI4092,AK4092,AM4092,AO4092,AQ4092,AS4092,AU4092,AW4092,AY4092)</f>
        <v>7908</v>
      </c>
      <c r="BC4092" s="28" t="n">
        <f aca="false">BA4092-BB4092</f>
        <v>0</v>
      </c>
      <c r="BD4092" s="32" t="n">
        <f aca="false">SUM(P4092,R4092,T4092,V4092,X4092,Z4092,AB4092,AD4092,AF4092,AH4092,AJ4092,AL4092,AN4092,AP4092,AR4092,AT4092,AV4092,AX4092)</f>
        <v>52717</v>
      </c>
      <c r="BE4092" s="33" t="n">
        <f aca="false">AZ4092-BD4092</f>
        <v>0</v>
      </c>
      <c r="BF4092" s="34" t="n">
        <f aca="false">BD4092*M4092</f>
        <v>7907.55</v>
      </c>
      <c r="BG4092" s="35" t="n">
        <f aca="false">BA4092-BF4092</f>
        <v>0.450000000000728</v>
      </c>
      <c r="BH4092" s="19" t="str">
        <f aca="false">IF(BG4092=0,"",IF(BG4092&lt;&gt;BA4092,"erreur de calcul",IF(BD4092&lt;&gt;0,"pas de prix",IF(M4092&lt;&gt; 0,"pas de quantité","pas de prix, ni de quantité"))))</f>
        <v>erreur de calcul</v>
      </c>
      <c r="BI4092" s="19"/>
    </row>
    <row r="4093" customFormat="false" ht="15" hidden="false" customHeight="false" outlineLevel="0" collapsed="false">
      <c r="A4093" s="0" t="n">
        <v>22</v>
      </c>
      <c r="B4093" s="8" t="s">
        <v>24</v>
      </c>
      <c r="C4093" s="9" t="s">
        <v>25</v>
      </c>
      <c r="D4093" s="9" t="s">
        <v>26</v>
      </c>
      <c r="E4093" s="10" t="n">
        <v>1789</v>
      </c>
      <c r="F4093" s="9" t="s">
        <v>27</v>
      </c>
      <c r="G4093" s="9" t="s">
        <v>27</v>
      </c>
      <c r="H4093" s="11" t="n">
        <v>24</v>
      </c>
      <c r="I4093" s="11" t="s">
        <v>312</v>
      </c>
      <c r="J4093" s="14" t="n">
        <v>15</v>
      </c>
      <c r="K4093" s="14"/>
      <c r="L4093" s="16"/>
      <c r="M4093" s="27" t="n">
        <f aca="false">J4093+(K4093/20)+(L4093/240)</f>
        <v>15</v>
      </c>
      <c r="N4093" s="17" t="s">
        <v>275</v>
      </c>
      <c r="O4093" s="11"/>
      <c r="P4093" s="28"/>
      <c r="Q4093" s="28" t="n">
        <f aca="false">P4093*$M4093</f>
        <v>0</v>
      </c>
      <c r="R4093" s="28"/>
      <c r="S4093" s="28" t="n">
        <f aca="false">R4093*$M4093</f>
        <v>0</v>
      </c>
      <c r="T4093" s="28" t="n">
        <v>1479</v>
      </c>
      <c r="U4093" s="28" t="n">
        <v>22185</v>
      </c>
      <c r="V4093" s="28" t="n">
        <v>1500</v>
      </c>
      <c r="W4093" s="28" t="n">
        <v>22500</v>
      </c>
      <c r="X4093" s="28" t="n">
        <v>300</v>
      </c>
      <c r="Y4093" s="28" t="n">
        <v>4500</v>
      </c>
      <c r="Z4093" s="28" t="n">
        <v>168</v>
      </c>
      <c r="AA4093" s="28" t="n">
        <v>2520</v>
      </c>
      <c r="AB4093" s="28" t="n">
        <v>14570</v>
      </c>
      <c r="AC4093" s="28" t="n">
        <v>218550</v>
      </c>
      <c r="AD4093" s="28"/>
      <c r="AE4093" s="28" t="n">
        <f aca="false">AD4093*$M4093</f>
        <v>0</v>
      </c>
      <c r="AF4093" s="28" t="n">
        <v>5748</v>
      </c>
      <c r="AG4093" s="28" t="n">
        <v>86220</v>
      </c>
      <c r="AH4093" s="28"/>
      <c r="AI4093" s="28" t="n">
        <f aca="false">AH4093*$M4093</f>
        <v>0</v>
      </c>
      <c r="AJ4093" s="28" t="n">
        <v>710</v>
      </c>
      <c r="AK4093" s="28" t="n">
        <v>10650</v>
      </c>
      <c r="AL4093" s="28" t="n">
        <v>600</v>
      </c>
      <c r="AM4093" s="28" t="n">
        <v>9000</v>
      </c>
      <c r="AN4093" s="28"/>
      <c r="AO4093" s="28" t="n">
        <f aca="false">AN4093*$M4093</f>
        <v>0</v>
      </c>
      <c r="AP4093" s="28" t="n">
        <v>1200</v>
      </c>
      <c r="AQ4093" s="28" t="n">
        <v>18000</v>
      </c>
      <c r="AR4093" s="28"/>
      <c r="AS4093" s="28" t="n">
        <f aca="false">AR4093*$M4093</f>
        <v>0</v>
      </c>
      <c r="AT4093" s="28"/>
      <c r="AU4093" s="28" t="n">
        <f aca="false">AT4093*$M4093</f>
        <v>0</v>
      </c>
      <c r="AV4093" s="28"/>
      <c r="AW4093" s="28" t="n">
        <f aca="false">AV4093*$M4093</f>
        <v>0</v>
      </c>
      <c r="AX4093" s="28"/>
      <c r="AY4093" s="28" t="n">
        <f aca="false">AX4093*$M4093</f>
        <v>0</v>
      </c>
      <c r="AZ4093" s="30" t="n">
        <v>26275</v>
      </c>
      <c r="BA4093" s="11" t="n">
        <v>394125</v>
      </c>
      <c r="BB4093" s="31" t="n">
        <f aca="false">SUM(Q4093,S4093,U4093,W4093,Y4093,AA4093,AC4093,AE4093,AG4093,AI4093,AK4093,AM4093,AO4093,AQ4093,AS4093,AU4093,AW4093,AY4093)</f>
        <v>394125</v>
      </c>
      <c r="BC4093" s="28" t="n">
        <f aca="false">BA4093-BB4093</f>
        <v>0</v>
      </c>
      <c r="BD4093" s="32" t="n">
        <f aca="false">SUM(P4093,R4093,T4093,V4093,X4093,Z4093,AB4093,AD4093,AF4093,AH4093,AJ4093,AL4093,AN4093,AP4093,AR4093,AT4093,AV4093,AX4093)</f>
        <v>26275</v>
      </c>
      <c r="BE4093" s="33" t="n">
        <f aca="false">AZ4093-BD4093</f>
        <v>0</v>
      </c>
      <c r="BF4093" s="34" t="n">
        <f aca="false">BD4093*M4093</f>
        <v>394125</v>
      </c>
      <c r="BG4093" s="35" t="n">
        <f aca="false">BA4093-BF4093</f>
        <v>0</v>
      </c>
      <c r="BH4093" s="19" t="str">
        <f aca="false">IF(BG4093=0,"",IF(BG4093&lt;&gt;BA4093,"erreur de calcul",IF(BD4093&lt;&gt;0,"pas de prix",IF(M4093&lt;&gt; 0,"pas de quantité","pas de prix, ni de quantité"))))</f>
        <v/>
      </c>
      <c r="BI4093" s="19"/>
    </row>
    <row r="4094" customFormat="false" ht="15" hidden="false" customHeight="false" outlineLevel="0" collapsed="false">
      <c r="A4094" s="0" t="n">
        <v>23</v>
      </c>
      <c r="B4094" s="8" t="s">
        <v>24</v>
      </c>
      <c r="C4094" s="9" t="s">
        <v>25</v>
      </c>
      <c r="D4094" s="9" t="s">
        <v>26</v>
      </c>
      <c r="E4094" s="10" t="n">
        <v>1789</v>
      </c>
      <c r="F4094" s="9" t="s">
        <v>27</v>
      </c>
      <c r="G4094" s="9" t="s">
        <v>27</v>
      </c>
      <c r="H4094" s="11" t="n">
        <v>24</v>
      </c>
      <c r="I4094" s="11" t="s">
        <v>313</v>
      </c>
      <c r="J4094" s="14" t="n">
        <v>9</v>
      </c>
      <c r="K4094" s="14"/>
      <c r="L4094" s="16"/>
      <c r="M4094" s="27" t="n">
        <f aca="false">J4094+(K4094/20)+(L4094/240)</f>
        <v>9</v>
      </c>
      <c r="N4094" s="17" t="s">
        <v>64</v>
      </c>
      <c r="O4094" s="11"/>
      <c r="P4094" s="28"/>
      <c r="Q4094" s="28" t="n">
        <f aca="false">P4094*$M4094</f>
        <v>0</v>
      </c>
      <c r="R4094" s="28"/>
      <c r="S4094" s="28" t="n">
        <f aca="false">R4094*$M4094</f>
        <v>0</v>
      </c>
      <c r="T4094" s="28"/>
      <c r="U4094" s="28" t="n">
        <f aca="false">T4094*$M4094</f>
        <v>0</v>
      </c>
      <c r="V4094" s="28" t="n">
        <f aca="false">145504/100</f>
        <v>1455.04</v>
      </c>
      <c r="W4094" s="28" t="n">
        <v>13095</v>
      </c>
      <c r="X4094" s="28" t="n">
        <f aca="false">58504/100</f>
        <v>585.04</v>
      </c>
      <c r="Y4094" s="28" t="n">
        <v>5265</v>
      </c>
      <c r="Z4094" s="28" t="n">
        <f aca="false">17027/100</f>
        <v>170.27</v>
      </c>
      <c r="AA4094" s="28" t="n">
        <v>1532</v>
      </c>
      <c r="AB4094" s="28" t="n">
        <f aca="false">84396/100</f>
        <v>843.96</v>
      </c>
      <c r="AC4094" s="28" t="n">
        <v>7596</v>
      </c>
      <c r="AD4094" s="28"/>
      <c r="AE4094" s="28" t="n">
        <f aca="false">AD4094*$M4094</f>
        <v>0</v>
      </c>
      <c r="AF4094" s="28" t="n">
        <f aca="false">14807/100</f>
        <v>148.07</v>
      </c>
      <c r="AG4094" s="28" t="n">
        <v>1333</v>
      </c>
      <c r="AH4094" s="28"/>
      <c r="AI4094" s="28" t="n">
        <f aca="false">AH4094*$M4094</f>
        <v>0</v>
      </c>
      <c r="AJ4094" s="28"/>
      <c r="AK4094" s="28" t="n">
        <f aca="false">AJ4094*$M4094</f>
        <v>0</v>
      </c>
      <c r="AL4094" s="28"/>
      <c r="AM4094" s="28" t="n">
        <f aca="false">AL4094*$M4094</f>
        <v>0</v>
      </c>
      <c r="AN4094" s="28"/>
      <c r="AO4094" s="28" t="n">
        <f aca="false">AN4094*$M4094</f>
        <v>0</v>
      </c>
      <c r="AP4094" s="28"/>
      <c r="AQ4094" s="28" t="n">
        <f aca="false">AP4094*$M4094</f>
        <v>0</v>
      </c>
      <c r="AR4094" s="28"/>
      <c r="AS4094" s="28" t="n">
        <f aca="false">AR4094*$M4094</f>
        <v>0</v>
      </c>
      <c r="AT4094" s="28"/>
      <c r="AU4094" s="28" t="n">
        <f aca="false">AT4094*$M4094</f>
        <v>0</v>
      </c>
      <c r="AV4094" s="28"/>
      <c r="AW4094" s="28" t="n">
        <f aca="false">AV4094*$M4094</f>
        <v>0</v>
      </c>
      <c r="AX4094" s="28"/>
      <c r="AY4094" s="28" t="n">
        <f aca="false">AX4094*$M4094</f>
        <v>0</v>
      </c>
      <c r="AZ4094" s="30" t="n">
        <f aca="false">320238/100</f>
        <v>3202.38</v>
      </c>
      <c r="BA4094" s="11" t="n">
        <v>28821</v>
      </c>
      <c r="BB4094" s="31" t="n">
        <f aca="false">SUM(Q4094,S4094,U4094,W4094,Y4094,AA4094,AC4094,AE4094,AG4094,AI4094,AK4094,AM4094,AO4094,AQ4094,AS4094,AU4094,AW4094,AY4094)</f>
        <v>28821</v>
      </c>
      <c r="BC4094" s="28" t="n">
        <f aca="false">BA4094-BB4094</f>
        <v>0</v>
      </c>
      <c r="BD4094" s="32" t="n">
        <f aca="false">SUM(P4094,R4094,T4094,V4094,X4094,Z4094,AB4094,AD4094,AF4094,AH4094,AJ4094,AL4094,AN4094,AP4094,AR4094,AT4094,AV4094,AX4094)</f>
        <v>3202.38</v>
      </c>
      <c r="BE4094" s="33" t="n">
        <f aca="false">AZ4094-BD4094</f>
        <v>0</v>
      </c>
      <c r="BF4094" s="34" t="n">
        <f aca="false">BD4094*M4094</f>
        <v>28821.42</v>
      </c>
      <c r="BG4094" s="35" t="n">
        <f aca="false">BA4094-BF4094</f>
        <v>-0.420000000001892</v>
      </c>
      <c r="BH4094" s="19" t="str">
        <f aca="false">IF(BG4094=0,"",IF(BG4094&lt;&gt;BA4094,"erreur de calcul",IF(BD4094&lt;&gt;0,"pas de prix",IF(M4094&lt;&gt; 0,"pas de quantité","pas de prix, ni de quantité"))))</f>
        <v>erreur de calcul</v>
      </c>
      <c r="BI4094" s="19"/>
    </row>
    <row r="4095" customFormat="false" ht="15" hidden="false" customHeight="false" outlineLevel="0" collapsed="false">
      <c r="A4095" s="0" t="n">
        <v>24</v>
      </c>
      <c r="B4095" s="8" t="s">
        <v>24</v>
      </c>
      <c r="C4095" s="9" t="s">
        <v>25</v>
      </c>
      <c r="D4095" s="9" t="s">
        <v>26</v>
      </c>
      <c r="E4095" s="10" t="n">
        <v>1789</v>
      </c>
      <c r="F4095" s="9" t="s">
        <v>27</v>
      </c>
      <c r="G4095" s="9" t="s">
        <v>27</v>
      </c>
      <c r="H4095" s="11" t="n">
        <v>24</v>
      </c>
      <c r="I4095" s="11" t="s">
        <v>314</v>
      </c>
      <c r="J4095" s="14"/>
      <c r="K4095" s="14" t="n">
        <v>4</v>
      </c>
      <c r="L4095" s="16"/>
      <c r="M4095" s="27" t="n">
        <f aca="false">J4095+(K4095/20)+(L4095/240)</f>
        <v>0.2</v>
      </c>
      <c r="N4095" s="17" t="s">
        <v>311</v>
      </c>
      <c r="O4095" s="11"/>
      <c r="P4095" s="28"/>
      <c r="Q4095" s="28" t="n">
        <f aca="false">P4095*$M4095</f>
        <v>0</v>
      </c>
      <c r="R4095" s="28"/>
      <c r="S4095" s="28" t="n">
        <f aca="false">R4095*$M4095</f>
        <v>0</v>
      </c>
      <c r="T4095" s="28"/>
      <c r="U4095" s="28" t="n">
        <f aca="false">T4095*$M4095</f>
        <v>0</v>
      </c>
      <c r="V4095" s="28" t="n">
        <v>5800</v>
      </c>
      <c r="W4095" s="28" t="n">
        <v>1160</v>
      </c>
      <c r="X4095" s="28"/>
      <c r="Y4095" s="28" t="n">
        <f aca="false">X4095*$M4095</f>
        <v>0</v>
      </c>
      <c r="Z4095" s="28"/>
      <c r="AA4095" s="28" t="n">
        <f aca="false">Z4095*$M4095</f>
        <v>0</v>
      </c>
      <c r="AB4095" s="28"/>
      <c r="AC4095" s="28" t="n">
        <f aca="false">AB4095*$M4095</f>
        <v>0</v>
      </c>
      <c r="AD4095" s="28"/>
      <c r="AE4095" s="28" t="n">
        <f aca="false">AD4095*$M4095</f>
        <v>0</v>
      </c>
      <c r="AF4095" s="28"/>
      <c r="AG4095" s="28" t="n">
        <f aca="false">AF4095*$M4095</f>
        <v>0</v>
      </c>
      <c r="AH4095" s="28"/>
      <c r="AI4095" s="28" t="n">
        <f aca="false">AH4095*$M4095</f>
        <v>0</v>
      </c>
      <c r="AJ4095" s="28"/>
      <c r="AK4095" s="28" t="n">
        <f aca="false">AJ4095*$M4095</f>
        <v>0</v>
      </c>
      <c r="AL4095" s="28"/>
      <c r="AM4095" s="28" t="n">
        <f aca="false">AL4095*$M4095</f>
        <v>0</v>
      </c>
      <c r="AN4095" s="28"/>
      <c r="AO4095" s="28" t="n">
        <f aca="false">AN4095*$M4095</f>
        <v>0</v>
      </c>
      <c r="AP4095" s="28"/>
      <c r="AQ4095" s="28" t="n">
        <f aca="false">AP4095*$M4095</f>
        <v>0</v>
      </c>
      <c r="AR4095" s="28"/>
      <c r="AS4095" s="28" t="n">
        <f aca="false">AR4095*$M4095</f>
        <v>0</v>
      </c>
      <c r="AT4095" s="28"/>
      <c r="AU4095" s="28" t="n">
        <f aca="false">AT4095*$M4095</f>
        <v>0</v>
      </c>
      <c r="AV4095" s="28"/>
      <c r="AW4095" s="28" t="n">
        <f aca="false">AV4095*$M4095</f>
        <v>0</v>
      </c>
      <c r="AX4095" s="28"/>
      <c r="AY4095" s="28" t="n">
        <f aca="false">AX4095*$M4095</f>
        <v>0</v>
      </c>
      <c r="AZ4095" s="30" t="n">
        <v>5800</v>
      </c>
      <c r="BA4095" s="11" t="n">
        <v>1160</v>
      </c>
      <c r="BB4095" s="31" t="n">
        <f aca="false">SUM(Q4095,S4095,U4095,W4095,Y4095,AA4095,AC4095,AE4095,AG4095,AI4095,AK4095,AM4095,AO4095,AQ4095,AS4095,AU4095,AW4095,AY4095)</f>
        <v>1160</v>
      </c>
      <c r="BC4095" s="28" t="n">
        <f aca="false">BA4095-BB4095</f>
        <v>0</v>
      </c>
      <c r="BD4095" s="32" t="n">
        <f aca="false">SUM(P4095,R4095,T4095,V4095,X4095,Z4095,AB4095,AD4095,AF4095,AH4095,AJ4095,AL4095,AN4095,AP4095,AR4095,AT4095,AV4095,AX4095)</f>
        <v>5800</v>
      </c>
      <c r="BE4095" s="33" t="n">
        <f aca="false">AZ4095-BD4095</f>
        <v>0</v>
      </c>
      <c r="BF4095" s="34" t="n">
        <f aca="false">BD4095*M4095</f>
        <v>1160</v>
      </c>
      <c r="BG4095" s="35" t="n">
        <f aca="false">BA4095-BF4095</f>
        <v>0</v>
      </c>
      <c r="BH4095" s="19" t="str">
        <f aca="false">IF(BG4095=0,"",IF(BG4095&lt;&gt;BA4095,"erreur de calcul",IF(BD4095&lt;&gt;0,"pas de prix",IF(M4095&lt;&gt; 0,"pas de quantité","pas de prix, ni de quantité"))))</f>
        <v/>
      </c>
      <c r="BI4095" s="19"/>
    </row>
    <row r="4096" customFormat="false" ht="15" hidden="false" customHeight="false" outlineLevel="0" collapsed="false">
      <c r="A4096" s="0" t="n">
        <v>25</v>
      </c>
      <c r="B4096" s="8" t="s">
        <v>24</v>
      </c>
      <c r="C4096" s="9" t="s">
        <v>25</v>
      </c>
      <c r="D4096" s="9" t="s">
        <v>26</v>
      </c>
      <c r="E4096" s="10" t="n">
        <v>1789</v>
      </c>
      <c r="F4096" s="9" t="s">
        <v>27</v>
      </c>
      <c r="G4096" s="9" t="s">
        <v>27</v>
      </c>
      <c r="H4096" s="11" t="n">
        <v>24</v>
      </c>
      <c r="I4096" s="11" t="s">
        <v>315</v>
      </c>
      <c r="J4096" s="14" t="n">
        <v>10</v>
      </c>
      <c r="K4096" s="14"/>
      <c r="L4096" s="16"/>
      <c r="M4096" s="27" t="n">
        <f aca="false">J4096+(K4096/20)+(L4096/240)</f>
        <v>10</v>
      </c>
      <c r="N4096" s="17" t="s">
        <v>64</v>
      </c>
      <c r="O4096" s="11"/>
      <c r="P4096" s="28"/>
      <c r="Q4096" s="28" t="n">
        <f aca="false">P4096*$M4096</f>
        <v>0</v>
      </c>
      <c r="R4096" s="28"/>
      <c r="S4096" s="28" t="n">
        <f aca="false">R4096*$M4096</f>
        <v>0</v>
      </c>
      <c r="T4096" s="28"/>
      <c r="U4096" s="28" t="n">
        <f aca="false">T4096*$M4096</f>
        <v>0</v>
      </c>
      <c r="V4096" s="28"/>
      <c r="W4096" s="28" t="n">
        <f aca="false">V4096*$M4096</f>
        <v>0</v>
      </c>
      <c r="X4096" s="28"/>
      <c r="Y4096" s="28" t="n">
        <f aca="false">X4096*$M4096</f>
        <v>0</v>
      </c>
      <c r="Z4096" s="28"/>
      <c r="AA4096" s="28" t="n">
        <f aca="false">Z4096*$M4096</f>
        <v>0</v>
      </c>
      <c r="AB4096" s="28"/>
      <c r="AC4096" s="28" t="n">
        <f aca="false">AB4096*$M4096</f>
        <v>0</v>
      </c>
      <c r="AD4096" s="28"/>
      <c r="AE4096" s="28" t="n">
        <f aca="false">AD4096*$M4096</f>
        <v>0</v>
      </c>
      <c r="AF4096" s="28"/>
      <c r="AG4096" s="28" t="n">
        <f aca="false">AF4096*$M4096</f>
        <v>0</v>
      </c>
      <c r="AH4096" s="28"/>
      <c r="AI4096" s="28" t="n">
        <f aca="false">AH4096*$M4096</f>
        <v>0</v>
      </c>
      <c r="AJ4096" s="28" t="n">
        <f aca="false">13584/100</f>
        <v>135.84</v>
      </c>
      <c r="AK4096" s="28" t="n">
        <v>1358</v>
      </c>
      <c r="AL4096" s="28"/>
      <c r="AM4096" s="28" t="n">
        <f aca="false">AL4096*$M4096</f>
        <v>0</v>
      </c>
      <c r="AN4096" s="28"/>
      <c r="AO4096" s="28" t="n">
        <f aca="false">AN4096*$M4096</f>
        <v>0</v>
      </c>
      <c r="AP4096" s="28"/>
      <c r="AQ4096" s="28" t="n">
        <f aca="false">AP4096*$M4096</f>
        <v>0</v>
      </c>
      <c r="AR4096" s="28"/>
      <c r="AS4096" s="28" t="n">
        <f aca="false">AR4096*$M4096</f>
        <v>0</v>
      </c>
      <c r="AT4096" s="28"/>
      <c r="AU4096" s="28" t="n">
        <f aca="false">AT4096*$M4096</f>
        <v>0</v>
      </c>
      <c r="AV4096" s="28"/>
      <c r="AW4096" s="28" t="n">
        <f aca="false">AV4096*$M4096</f>
        <v>0</v>
      </c>
      <c r="AX4096" s="28"/>
      <c r="AY4096" s="28" t="n">
        <f aca="false">AX4096*$M4096</f>
        <v>0</v>
      </c>
      <c r="AZ4096" s="30" t="n">
        <f aca="false">13584/100</f>
        <v>135.84</v>
      </c>
      <c r="BA4096" s="11" t="n">
        <v>1358</v>
      </c>
      <c r="BB4096" s="31" t="n">
        <f aca="false">SUM(Q4096,S4096,U4096,W4096,Y4096,AA4096,AC4096,AE4096,AG4096,AI4096,AK4096,AM4096,AO4096,AQ4096,AS4096,AU4096,AW4096,AY4096)</f>
        <v>1358</v>
      </c>
      <c r="BC4096" s="28" t="n">
        <f aca="false">BA4096-BB4096</f>
        <v>0</v>
      </c>
      <c r="BD4096" s="32" t="n">
        <f aca="false">SUM(P4096,R4096,T4096,V4096,X4096,Z4096,AB4096,AD4096,AF4096,AH4096,AJ4096,AL4096,AN4096,AP4096,AR4096,AT4096,AV4096,AX4096)</f>
        <v>135.84</v>
      </c>
      <c r="BE4096" s="33" t="n">
        <f aca="false">AZ4096-BD4096</f>
        <v>0</v>
      </c>
      <c r="BF4096" s="34" t="n">
        <f aca="false">BD4096*M4096</f>
        <v>1358.4</v>
      </c>
      <c r="BG4096" s="35" t="n">
        <f aca="false">BA4096-BF4096</f>
        <v>-0.400000000000091</v>
      </c>
      <c r="BH4096" s="19" t="str">
        <f aca="false">IF(BG4096=0,"",IF(BG4096&lt;&gt;BA4096,"erreur de calcul",IF(BD4096&lt;&gt;0,"pas de prix",IF(M4096&lt;&gt; 0,"pas de quantité","pas de prix, ni de quantité"))))</f>
        <v>erreur de calcul</v>
      </c>
      <c r="BI4096" s="19"/>
    </row>
    <row r="4097" customFormat="false" ht="15" hidden="false" customHeight="false" outlineLevel="0" collapsed="false">
      <c r="A4097" s="0" t="n">
        <v>26</v>
      </c>
      <c r="B4097" s="8" t="s">
        <v>24</v>
      </c>
      <c r="C4097" s="9" t="s">
        <v>25</v>
      </c>
      <c r="D4097" s="9" t="s">
        <v>26</v>
      </c>
      <c r="E4097" s="10" t="n">
        <v>1789</v>
      </c>
      <c r="F4097" s="9" t="s">
        <v>27</v>
      </c>
      <c r="G4097" s="9" t="s">
        <v>27</v>
      </c>
      <c r="H4097" s="11" t="n">
        <v>24</v>
      </c>
      <c r="I4097" s="11" t="s">
        <v>316</v>
      </c>
      <c r="J4097" s="14" t="n">
        <v>12</v>
      </c>
      <c r="K4097" s="14"/>
      <c r="L4097" s="16"/>
      <c r="M4097" s="27" t="n">
        <f aca="false">J4097+(K4097/20)+(L4097/240)</f>
        <v>12</v>
      </c>
      <c r="N4097" s="17" t="s">
        <v>64</v>
      </c>
      <c r="O4097" s="11"/>
      <c r="P4097" s="28" t="n">
        <f aca="false">8690/100</f>
        <v>86.9</v>
      </c>
      <c r="Q4097" s="28" t="n">
        <v>1043</v>
      </c>
      <c r="R4097" s="28"/>
      <c r="S4097" s="28" t="n">
        <f aca="false">R4097*$M4097</f>
        <v>0</v>
      </c>
      <c r="T4097" s="28"/>
      <c r="U4097" s="28" t="n">
        <f aca="false">T4097*$M4097</f>
        <v>0</v>
      </c>
      <c r="V4097" s="28"/>
      <c r="W4097" s="28" t="n">
        <f aca="false">V4097*$M4097</f>
        <v>0</v>
      </c>
      <c r="X4097" s="28" t="n">
        <f aca="false">10000/100</f>
        <v>100</v>
      </c>
      <c r="Y4097" s="28" t="n">
        <v>1200</v>
      </c>
      <c r="Z4097" s="28"/>
      <c r="AA4097" s="28" t="n">
        <f aca="false">Z4097*$M4097</f>
        <v>0</v>
      </c>
      <c r="AB4097" s="28"/>
      <c r="AC4097" s="28" t="n">
        <f aca="false">AB4097*$M4097</f>
        <v>0</v>
      </c>
      <c r="AD4097" s="28"/>
      <c r="AE4097" s="28" t="n">
        <f aca="false">AD4097*$M4097</f>
        <v>0</v>
      </c>
      <c r="AF4097" s="28"/>
      <c r="AG4097" s="28" t="n">
        <f aca="false">AF4097*$M4097</f>
        <v>0</v>
      </c>
      <c r="AH4097" s="28"/>
      <c r="AI4097" s="28" t="n">
        <f aca="false">AH4097*$M4097</f>
        <v>0</v>
      </c>
      <c r="AJ4097" s="28"/>
      <c r="AK4097" s="28" t="n">
        <f aca="false">AJ4097*$M4097</f>
        <v>0</v>
      </c>
      <c r="AL4097" s="28"/>
      <c r="AM4097" s="28" t="n">
        <f aca="false">AL4097*$M4097</f>
        <v>0</v>
      </c>
      <c r="AN4097" s="28"/>
      <c r="AO4097" s="28" t="n">
        <f aca="false">AN4097*$M4097</f>
        <v>0</v>
      </c>
      <c r="AP4097" s="28"/>
      <c r="AQ4097" s="28" t="n">
        <f aca="false">AP4097*$M4097</f>
        <v>0</v>
      </c>
      <c r="AR4097" s="28"/>
      <c r="AS4097" s="28" t="n">
        <f aca="false">AR4097*$M4097</f>
        <v>0</v>
      </c>
      <c r="AT4097" s="28"/>
      <c r="AU4097" s="28" t="n">
        <f aca="false">AT4097*$M4097</f>
        <v>0</v>
      </c>
      <c r="AV4097" s="28"/>
      <c r="AW4097" s="28" t="n">
        <f aca="false">AV4097*$M4097</f>
        <v>0</v>
      </c>
      <c r="AX4097" s="28"/>
      <c r="AY4097" s="28" t="n">
        <f aca="false">AX4097*$M4097</f>
        <v>0</v>
      </c>
      <c r="AZ4097" s="30" t="n">
        <f aca="false">18690/100</f>
        <v>186.9</v>
      </c>
      <c r="BA4097" s="11" t="n">
        <v>2243</v>
      </c>
      <c r="BB4097" s="31" t="n">
        <f aca="false">SUM(Q4097,S4097,U4097,W4097,Y4097,AA4097,AC4097,AE4097,AG4097,AI4097,AK4097,AM4097,AO4097,AQ4097,AS4097,AU4097,AW4097,AY4097)</f>
        <v>2243</v>
      </c>
      <c r="BC4097" s="28" t="n">
        <f aca="false">BA4097-BB4097</f>
        <v>0</v>
      </c>
      <c r="BD4097" s="32" t="n">
        <f aca="false">SUM(P4097,R4097,T4097,V4097,X4097,Z4097,AB4097,AD4097,AF4097,AH4097,AJ4097,AL4097,AN4097,AP4097,AR4097,AT4097,AV4097,AX4097)</f>
        <v>186.9</v>
      </c>
      <c r="BE4097" s="33" t="n">
        <f aca="false">AZ4097-BD4097</f>
        <v>0</v>
      </c>
      <c r="BF4097" s="34" t="n">
        <f aca="false">BD4097*M4097</f>
        <v>2242.8</v>
      </c>
      <c r="BG4097" s="35" t="n">
        <f aca="false">BA4097-BF4097</f>
        <v>0.199999999999818</v>
      </c>
      <c r="BH4097" s="19" t="str">
        <f aca="false">IF(BG4097=0,"",IF(BG4097&lt;&gt;BA4097,"erreur de calcul",IF(BD4097&lt;&gt;0,"pas de prix",IF(M4097&lt;&gt; 0,"pas de quantité","pas de prix, ni de quantité"))))</f>
        <v>erreur de calcul</v>
      </c>
      <c r="BI4097" s="19"/>
    </row>
    <row r="4098" customFormat="false" ht="15" hidden="false" customHeight="false" outlineLevel="0" collapsed="false">
      <c r="A4098" s="0" t="n">
        <v>27</v>
      </c>
      <c r="B4098" s="8" t="s">
        <v>24</v>
      </c>
      <c r="C4098" s="9" t="s">
        <v>25</v>
      </c>
      <c r="D4098" s="9" t="s">
        <v>26</v>
      </c>
      <c r="E4098" s="10" t="n">
        <v>1789</v>
      </c>
      <c r="F4098" s="9" t="s">
        <v>27</v>
      </c>
      <c r="G4098" s="9" t="s">
        <v>27</v>
      </c>
      <c r="H4098" s="11" t="n">
        <v>24</v>
      </c>
      <c r="I4098" s="11" t="s">
        <v>317</v>
      </c>
      <c r="J4098" s="14" t="n">
        <v>2</v>
      </c>
      <c r="K4098" s="14"/>
      <c r="L4098" s="16"/>
      <c r="M4098" s="27" t="n">
        <f aca="false">J4098+(K4098/20)+(L4098/240)</f>
        <v>2</v>
      </c>
      <c r="N4098" s="17" t="s">
        <v>64</v>
      </c>
      <c r="O4098" s="11"/>
      <c r="P4098" s="28"/>
      <c r="Q4098" s="28" t="n">
        <f aca="false">P4098*$M4098</f>
        <v>0</v>
      </c>
      <c r="R4098" s="28"/>
      <c r="S4098" s="28" t="n">
        <f aca="false">R4098*$M4098</f>
        <v>0</v>
      </c>
      <c r="T4098" s="28"/>
      <c r="U4098" s="28" t="n">
        <f aca="false">T4098*$M4098</f>
        <v>0</v>
      </c>
      <c r="V4098" s="28"/>
      <c r="W4098" s="28" t="n">
        <f aca="false">V4098*$M4098</f>
        <v>0</v>
      </c>
      <c r="X4098" s="28"/>
      <c r="Y4098" s="28" t="n">
        <f aca="false">X4098*$M4098</f>
        <v>0</v>
      </c>
      <c r="Z4098" s="28"/>
      <c r="AA4098" s="28" t="n">
        <f aca="false">Z4098*$M4098</f>
        <v>0</v>
      </c>
      <c r="AB4098" s="28" t="n">
        <f aca="false">15417/100</f>
        <v>154.17</v>
      </c>
      <c r="AC4098" s="28" t="n">
        <v>308</v>
      </c>
      <c r="AD4098" s="28"/>
      <c r="AE4098" s="28" t="n">
        <f aca="false">AD4098*$M4098</f>
        <v>0</v>
      </c>
      <c r="AF4098" s="28"/>
      <c r="AG4098" s="28" t="n">
        <f aca="false">AF4098*$M4098</f>
        <v>0</v>
      </c>
      <c r="AH4098" s="28"/>
      <c r="AI4098" s="28" t="n">
        <f aca="false">AH4098*$M4098</f>
        <v>0</v>
      </c>
      <c r="AJ4098" s="28"/>
      <c r="AK4098" s="28" t="n">
        <f aca="false">AJ4098*$M4098</f>
        <v>0</v>
      </c>
      <c r="AL4098" s="28"/>
      <c r="AM4098" s="28" t="n">
        <f aca="false">AL4098*$M4098</f>
        <v>0</v>
      </c>
      <c r="AN4098" s="28"/>
      <c r="AO4098" s="28" t="n">
        <f aca="false">AN4098*$M4098</f>
        <v>0</v>
      </c>
      <c r="AP4098" s="28"/>
      <c r="AQ4098" s="28" t="n">
        <f aca="false">AP4098*$M4098</f>
        <v>0</v>
      </c>
      <c r="AR4098" s="28"/>
      <c r="AS4098" s="28" t="n">
        <f aca="false">AR4098*$M4098</f>
        <v>0</v>
      </c>
      <c r="AT4098" s="28"/>
      <c r="AU4098" s="28" t="n">
        <f aca="false">AT4098*$M4098</f>
        <v>0</v>
      </c>
      <c r="AV4098" s="28"/>
      <c r="AW4098" s="28" t="n">
        <f aca="false">AV4098*$M4098</f>
        <v>0</v>
      </c>
      <c r="AX4098" s="28"/>
      <c r="AY4098" s="28" t="n">
        <f aca="false">AX4098*$M4098</f>
        <v>0</v>
      </c>
      <c r="AZ4098" s="30" t="n">
        <f aca="false">15417/100</f>
        <v>154.17</v>
      </c>
      <c r="BA4098" s="11" t="n">
        <v>308</v>
      </c>
      <c r="BB4098" s="31" t="n">
        <f aca="false">SUM(Q4098,S4098,U4098,W4098,Y4098,AA4098,AC4098,AE4098,AG4098,AI4098,AK4098,AM4098,AO4098,AQ4098,AS4098,AU4098,AW4098,AY4098)</f>
        <v>308</v>
      </c>
      <c r="BC4098" s="28" t="n">
        <f aca="false">BA4098-BB4098</f>
        <v>0</v>
      </c>
      <c r="BD4098" s="32" t="n">
        <f aca="false">SUM(P4098,R4098,T4098,V4098,X4098,Z4098,AB4098,AD4098,AF4098,AH4098,AJ4098,AL4098,AN4098,AP4098,AR4098,AT4098,AV4098,AX4098)</f>
        <v>154.17</v>
      </c>
      <c r="BE4098" s="33" t="n">
        <f aca="false">AZ4098-BD4098</f>
        <v>0</v>
      </c>
      <c r="BF4098" s="34" t="n">
        <f aca="false">BD4098*M4098</f>
        <v>308.34</v>
      </c>
      <c r="BG4098" s="35" t="n">
        <f aca="false">BA4098-BF4098</f>
        <v>-0.339999999999975</v>
      </c>
      <c r="BH4098" s="19" t="str">
        <f aca="false">IF(BG4098=0,"",IF(BG4098&lt;&gt;BA4098,"erreur de calcul",IF(BD4098&lt;&gt;0,"pas de prix",IF(M4098&lt;&gt; 0,"pas de quantité","pas de prix, ni de quantité"))))</f>
        <v>erreur de calcul</v>
      </c>
      <c r="BI4098" s="19"/>
    </row>
    <row r="4099" customFormat="false" ht="15" hidden="false" customHeight="false" outlineLevel="0" collapsed="false">
      <c r="A4099" s="0" t="n">
        <v>28</v>
      </c>
      <c r="B4099" s="8" t="s">
        <v>24</v>
      </c>
      <c r="C4099" s="9" t="s">
        <v>25</v>
      </c>
      <c r="D4099" s="9" t="s">
        <v>26</v>
      </c>
      <c r="E4099" s="10" t="n">
        <v>1789</v>
      </c>
      <c r="F4099" s="9" t="s">
        <v>27</v>
      </c>
      <c r="G4099" s="9" t="s">
        <v>27</v>
      </c>
      <c r="H4099" s="11" t="n">
        <v>24</v>
      </c>
      <c r="I4099" s="11" t="s">
        <v>318</v>
      </c>
      <c r="J4099" s="14" t="n">
        <v>30</v>
      </c>
      <c r="K4099" s="14"/>
      <c r="L4099" s="16"/>
      <c r="M4099" s="27" t="n">
        <f aca="false">J4099+(K4099/20)+(L4099/240)</f>
        <v>30</v>
      </c>
      <c r="N4099" s="17" t="s">
        <v>64</v>
      </c>
      <c r="O4099" s="11"/>
      <c r="P4099" s="28" t="n">
        <f aca="false">55459/100</f>
        <v>554.59</v>
      </c>
      <c r="Q4099" s="28" t="n">
        <v>16638</v>
      </c>
      <c r="R4099" s="28"/>
      <c r="S4099" s="28" t="n">
        <f aca="false">R4099*$M4099</f>
        <v>0</v>
      </c>
      <c r="T4099" s="28"/>
      <c r="U4099" s="28" t="n">
        <f aca="false">T4099*$M4099</f>
        <v>0</v>
      </c>
      <c r="V4099" s="28"/>
      <c r="W4099" s="28" t="n">
        <f aca="false">V4099*$M4099</f>
        <v>0</v>
      </c>
      <c r="X4099" s="28"/>
      <c r="Y4099" s="28" t="n">
        <f aca="false">X4099*$M4099</f>
        <v>0</v>
      </c>
      <c r="Z4099" s="28"/>
      <c r="AA4099" s="28" t="n">
        <f aca="false">Z4099*$M4099</f>
        <v>0</v>
      </c>
      <c r="AB4099" s="28"/>
      <c r="AC4099" s="28" t="n">
        <f aca="false">AB4099*$M4099</f>
        <v>0</v>
      </c>
      <c r="AD4099" s="28"/>
      <c r="AE4099" s="28" t="n">
        <f aca="false">AD4099*$M4099</f>
        <v>0</v>
      </c>
      <c r="AF4099" s="28"/>
      <c r="AG4099" s="28" t="n">
        <f aca="false">AF4099*$M4099</f>
        <v>0</v>
      </c>
      <c r="AH4099" s="28"/>
      <c r="AI4099" s="28" t="n">
        <f aca="false">AH4099*$M4099</f>
        <v>0</v>
      </c>
      <c r="AJ4099" s="28"/>
      <c r="AK4099" s="28" t="n">
        <f aca="false">AJ4099*$M4099</f>
        <v>0</v>
      </c>
      <c r="AL4099" s="28"/>
      <c r="AM4099" s="28" t="n">
        <f aca="false">AL4099*$M4099</f>
        <v>0</v>
      </c>
      <c r="AN4099" s="28"/>
      <c r="AO4099" s="28" t="n">
        <f aca="false">AN4099*$M4099</f>
        <v>0</v>
      </c>
      <c r="AP4099" s="28"/>
      <c r="AQ4099" s="28" t="n">
        <f aca="false">AP4099*$M4099</f>
        <v>0</v>
      </c>
      <c r="AR4099" s="28"/>
      <c r="AS4099" s="28" t="n">
        <f aca="false">AR4099*$M4099</f>
        <v>0</v>
      </c>
      <c r="AT4099" s="28"/>
      <c r="AU4099" s="28" t="n">
        <f aca="false">AT4099*$M4099</f>
        <v>0</v>
      </c>
      <c r="AV4099" s="28"/>
      <c r="AW4099" s="28" t="n">
        <f aca="false">AV4099*$M4099</f>
        <v>0</v>
      </c>
      <c r="AX4099" s="28"/>
      <c r="AY4099" s="28" t="n">
        <f aca="false">AX4099*$M4099</f>
        <v>0</v>
      </c>
      <c r="AZ4099" s="30" t="n">
        <f aca="false">55459/100</f>
        <v>554.59</v>
      </c>
      <c r="BA4099" s="11" t="n">
        <v>16638</v>
      </c>
      <c r="BB4099" s="31" t="n">
        <f aca="false">SUM(Q4099,S4099,U4099,W4099,Y4099,AA4099,AC4099,AE4099,AG4099,AI4099,AK4099,AM4099,AO4099,AQ4099,AS4099,AU4099,AW4099,AY4099)</f>
        <v>16638</v>
      </c>
      <c r="BC4099" s="28" t="n">
        <f aca="false">BA4099-BB4099</f>
        <v>0</v>
      </c>
      <c r="BD4099" s="32" t="n">
        <f aca="false">SUM(P4099,R4099,T4099,V4099,X4099,Z4099,AB4099,AD4099,AF4099,AH4099,AJ4099,AL4099,AN4099,AP4099,AR4099,AT4099,AV4099,AX4099)</f>
        <v>554.59</v>
      </c>
      <c r="BE4099" s="33" t="n">
        <f aca="false">AZ4099-BD4099</f>
        <v>0</v>
      </c>
      <c r="BF4099" s="34" t="n">
        <f aca="false">BD4099*M4099</f>
        <v>16637.7</v>
      </c>
      <c r="BG4099" s="35" t="n">
        <f aca="false">BA4099-BF4099</f>
        <v>0.299999999999272</v>
      </c>
      <c r="BH4099" s="19" t="str">
        <f aca="false">IF(BG4099=0,"",IF(BG4099&lt;&gt;BA4099,"erreur de calcul",IF(BD4099&lt;&gt;0,"pas de prix",IF(M4099&lt;&gt; 0,"pas de quantité","pas de prix, ni de quantité"))))</f>
        <v>erreur de calcul</v>
      </c>
      <c r="BI4099" s="19"/>
    </row>
    <row r="4100" customFormat="false" ht="15" hidden="false" customHeight="false" outlineLevel="0" collapsed="false">
      <c r="A4100" s="0" t="n">
        <v>29</v>
      </c>
      <c r="B4100" s="8" t="s">
        <v>24</v>
      </c>
      <c r="C4100" s="9" t="s">
        <v>25</v>
      </c>
      <c r="D4100" s="9" t="s">
        <v>26</v>
      </c>
      <c r="E4100" s="10" t="n">
        <v>1789</v>
      </c>
      <c r="F4100" s="9" t="s">
        <v>27</v>
      </c>
      <c r="G4100" s="9" t="s">
        <v>27</v>
      </c>
      <c r="H4100" s="11" t="n">
        <v>24</v>
      </c>
      <c r="I4100" s="11" t="s">
        <v>319</v>
      </c>
      <c r="J4100" s="14" t="n">
        <v>10</v>
      </c>
      <c r="K4100" s="14"/>
      <c r="L4100" s="16"/>
      <c r="M4100" s="27" t="n">
        <f aca="false">J4100+(K4100/20)+(L4100/240)</f>
        <v>10</v>
      </c>
      <c r="N4100" s="17" t="s">
        <v>64</v>
      </c>
      <c r="O4100" s="11"/>
      <c r="P4100" s="28" t="n">
        <f aca="false">48819/100</f>
        <v>488.19</v>
      </c>
      <c r="Q4100" s="28" t="n">
        <v>4882</v>
      </c>
      <c r="R4100" s="28"/>
      <c r="S4100" s="28" t="n">
        <f aca="false">R4100*$M4100</f>
        <v>0</v>
      </c>
      <c r="T4100" s="28" t="n">
        <f aca="false">2500/100</f>
        <v>25</v>
      </c>
      <c r="U4100" s="28" t="n">
        <v>250</v>
      </c>
      <c r="V4100" s="28"/>
      <c r="W4100" s="28" t="n">
        <f aca="false">V4100*$M4100</f>
        <v>0</v>
      </c>
      <c r="X4100" s="28" t="n">
        <f aca="false">6667/100</f>
        <v>66.67</v>
      </c>
      <c r="Y4100" s="28" t="n">
        <v>667</v>
      </c>
      <c r="Z4100" s="28"/>
      <c r="AA4100" s="28" t="n">
        <f aca="false">Z4100*$M4100</f>
        <v>0</v>
      </c>
      <c r="AB4100" s="28"/>
      <c r="AC4100" s="28" t="n">
        <f aca="false">AB4100*$M4100</f>
        <v>0</v>
      </c>
      <c r="AD4100" s="28"/>
      <c r="AE4100" s="28" t="n">
        <f aca="false">AD4100*$M4100</f>
        <v>0</v>
      </c>
      <c r="AF4100" s="28"/>
      <c r="AG4100" s="28" t="n">
        <f aca="false">AF4100*$M4100</f>
        <v>0</v>
      </c>
      <c r="AH4100" s="28"/>
      <c r="AI4100" s="28" t="n">
        <f aca="false">AH4100*$M4100</f>
        <v>0</v>
      </c>
      <c r="AJ4100" s="28"/>
      <c r="AK4100" s="28" t="n">
        <f aca="false">AJ4100*$M4100</f>
        <v>0</v>
      </c>
      <c r="AL4100" s="28"/>
      <c r="AM4100" s="28" t="n">
        <f aca="false">AL4100*$M4100</f>
        <v>0</v>
      </c>
      <c r="AN4100" s="28"/>
      <c r="AO4100" s="28" t="n">
        <f aca="false">AN4100*$M4100</f>
        <v>0</v>
      </c>
      <c r="AP4100" s="28"/>
      <c r="AQ4100" s="28" t="n">
        <f aca="false">AP4100*$M4100</f>
        <v>0</v>
      </c>
      <c r="AR4100" s="28"/>
      <c r="AS4100" s="28" t="n">
        <f aca="false">AR4100*$M4100</f>
        <v>0</v>
      </c>
      <c r="AT4100" s="28"/>
      <c r="AU4100" s="28" t="n">
        <f aca="false">AT4100*$M4100</f>
        <v>0</v>
      </c>
      <c r="AV4100" s="28"/>
      <c r="AW4100" s="28" t="n">
        <f aca="false">AV4100*$M4100</f>
        <v>0</v>
      </c>
      <c r="AX4100" s="28"/>
      <c r="AY4100" s="28" t="n">
        <f aca="false">AX4100*$M4100</f>
        <v>0</v>
      </c>
      <c r="AZ4100" s="30" t="n">
        <f aca="false">57986/100</f>
        <v>579.86</v>
      </c>
      <c r="BA4100" s="11" t="n">
        <v>5799</v>
      </c>
      <c r="BB4100" s="31" t="n">
        <f aca="false">SUM(Q4100,S4100,U4100,W4100,Y4100,AA4100,AC4100,AE4100,AG4100,AI4100,AK4100,AM4100,AO4100,AQ4100,AS4100,AU4100,AW4100,AY4100)</f>
        <v>5799</v>
      </c>
      <c r="BC4100" s="28" t="n">
        <f aca="false">BA4100-BB4100</f>
        <v>0</v>
      </c>
      <c r="BD4100" s="32" t="n">
        <f aca="false">SUM(P4100,R4100,T4100,V4100,X4100,Z4100,AB4100,AD4100,AF4100,AH4100,AJ4100,AL4100,AN4100,AP4100,AR4100,AT4100,AV4100,AX4100)</f>
        <v>579.86</v>
      </c>
      <c r="BE4100" s="33" t="n">
        <f aca="false">AZ4100-BD4100</f>
        <v>0</v>
      </c>
      <c r="BF4100" s="34" t="n">
        <f aca="false">BD4100*M4100</f>
        <v>5798.6</v>
      </c>
      <c r="BG4100" s="35" t="n">
        <f aca="false">BA4100-BF4100</f>
        <v>0.399999999999636</v>
      </c>
      <c r="BH4100" s="19" t="str">
        <f aca="false">IF(BG4100=0,"",IF(BG4100&lt;&gt;BA4100,"erreur de calcul",IF(BD4100&lt;&gt;0,"pas de prix",IF(M4100&lt;&gt; 0,"pas de quantité","pas de prix, ni de quantité"))))</f>
        <v>erreur de calcul</v>
      </c>
      <c r="BI4100" s="19"/>
    </row>
    <row r="4101" customFormat="false" ht="15" hidden="false" customHeight="false" outlineLevel="0" collapsed="false">
      <c r="A4101" s="0" t="n">
        <v>30</v>
      </c>
      <c r="B4101" s="8" t="s">
        <v>24</v>
      </c>
      <c r="C4101" s="9" t="s">
        <v>25</v>
      </c>
      <c r="D4101" s="9" t="s">
        <v>26</v>
      </c>
      <c r="E4101" s="10" t="n">
        <v>1789</v>
      </c>
      <c r="F4101" s="9" t="s">
        <v>27</v>
      </c>
      <c r="G4101" s="9" t="s">
        <v>27</v>
      </c>
      <c r="H4101" s="11" t="n">
        <v>24</v>
      </c>
      <c r="I4101" s="11" t="s">
        <v>320</v>
      </c>
      <c r="J4101" s="14" t="n">
        <v>90</v>
      </c>
      <c r="K4101" s="14"/>
      <c r="L4101" s="16"/>
      <c r="M4101" s="27" t="n">
        <f aca="false">J4101+(K4101/20)+(L4101/240)</f>
        <v>90</v>
      </c>
      <c r="N4101" s="17" t="s">
        <v>64</v>
      </c>
      <c r="O4101" s="11"/>
      <c r="P4101" s="28"/>
      <c r="Q4101" s="28" t="n">
        <f aca="false">P4101*$M4101</f>
        <v>0</v>
      </c>
      <c r="R4101" s="28"/>
      <c r="S4101" s="28" t="n">
        <f aca="false">R4101*$M4101</f>
        <v>0</v>
      </c>
      <c r="T4101" s="28"/>
      <c r="U4101" s="28" t="n">
        <f aca="false">T4101*$M4101</f>
        <v>0</v>
      </c>
      <c r="V4101" s="28"/>
      <c r="W4101" s="28" t="n">
        <f aca="false">V4101*$M4101</f>
        <v>0</v>
      </c>
      <c r="X4101" s="28"/>
      <c r="Y4101" s="28" t="n">
        <f aca="false">X4101*$M4101</f>
        <v>0</v>
      </c>
      <c r="Z4101" s="28"/>
      <c r="AA4101" s="28" t="n">
        <f aca="false">Z4101*$M4101</f>
        <v>0</v>
      </c>
      <c r="AB4101" s="28"/>
      <c r="AC4101" s="28" t="n">
        <f aca="false">AB4101*$M4101</f>
        <v>0</v>
      </c>
      <c r="AD4101" s="28"/>
      <c r="AE4101" s="28" t="n">
        <f aca="false">AD4101*$M4101</f>
        <v>0</v>
      </c>
      <c r="AF4101" s="28"/>
      <c r="AG4101" s="28" t="n">
        <f aca="false">AF4101*$M4101</f>
        <v>0</v>
      </c>
      <c r="AH4101" s="28"/>
      <c r="AI4101" s="28" t="n">
        <f aca="false">AH4101*$M4101</f>
        <v>0</v>
      </c>
      <c r="AJ4101" s="28"/>
      <c r="AK4101" s="28" t="n">
        <f aca="false">AJ4101*$M4101</f>
        <v>0</v>
      </c>
      <c r="AL4101" s="28" t="n">
        <f aca="false">2950/100</f>
        <v>29.5</v>
      </c>
      <c r="AM4101" s="28" t="n">
        <v>2655</v>
      </c>
      <c r="AN4101" s="28"/>
      <c r="AO4101" s="28" t="n">
        <f aca="false">AN4101*$M4101</f>
        <v>0</v>
      </c>
      <c r="AP4101" s="28"/>
      <c r="AQ4101" s="28" t="n">
        <f aca="false">AP4101*$M4101</f>
        <v>0</v>
      </c>
      <c r="AR4101" s="28"/>
      <c r="AS4101" s="28" t="n">
        <f aca="false">AR4101*$M4101</f>
        <v>0</v>
      </c>
      <c r="AT4101" s="28"/>
      <c r="AU4101" s="28" t="n">
        <f aca="false">AT4101*$M4101</f>
        <v>0</v>
      </c>
      <c r="AV4101" s="28"/>
      <c r="AW4101" s="28" t="n">
        <f aca="false">AV4101*$M4101</f>
        <v>0</v>
      </c>
      <c r="AX4101" s="28"/>
      <c r="AY4101" s="28" t="n">
        <f aca="false">AX4101*$M4101</f>
        <v>0</v>
      </c>
      <c r="AZ4101" s="30" t="n">
        <f aca="false">2950/100</f>
        <v>29.5</v>
      </c>
      <c r="BA4101" s="11" t="n">
        <v>2655</v>
      </c>
      <c r="BB4101" s="31" t="n">
        <f aca="false">SUM(Q4101,S4101,U4101,W4101,Y4101,AA4101,AC4101,AE4101,AG4101,AI4101,AK4101,AM4101,AO4101,AQ4101,AS4101,AU4101,AW4101,AY4101)</f>
        <v>2655</v>
      </c>
      <c r="BC4101" s="28" t="n">
        <f aca="false">BA4101-BB4101</f>
        <v>0</v>
      </c>
      <c r="BD4101" s="32" t="n">
        <f aca="false">SUM(P4101,R4101,T4101,V4101,X4101,Z4101,AB4101,AD4101,AF4101,AH4101,AJ4101,AL4101,AN4101,AP4101,AR4101,AT4101,AV4101,AX4101)</f>
        <v>29.5</v>
      </c>
      <c r="BE4101" s="33" t="n">
        <f aca="false">AZ4101-BD4101</f>
        <v>0</v>
      </c>
      <c r="BF4101" s="34" t="n">
        <f aca="false">BD4101*M4101</f>
        <v>2655</v>
      </c>
      <c r="BG4101" s="35" t="n">
        <f aca="false">BA4101-BF4101</f>
        <v>0</v>
      </c>
      <c r="BH4101" s="19" t="str">
        <f aca="false">IF(BG4101=0,"",IF(BG4101&lt;&gt;BA4101,"erreur de calcul",IF(BD4101&lt;&gt;0,"pas de prix",IF(M4101&lt;&gt; 0,"pas de quantité","pas de prix, ni de quantité"))))</f>
        <v/>
      </c>
      <c r="BI4101" s="19"/>
    </row>
    <row r="4102" customFormat="false" ht="15" hidden="false" customHeight="false" outlineLevel="0" collapsed="false">
      <c r="A4102" s="0" t="n">
        <v>31</v>
      </c>
      <c r="B4102" s="8" t="s">
        <v>24</v>
      </c>
      <c r="C4102" s="9" t="s">
        <v>25</v>
      </c>
      <c r="D4102" s="9" t="s">
        <v>26</v>
      </c>
      <c r="E4102" s="10" t="n">
        <v>1789</v>
      </c>
      <c r="F4102" s="9" t="s">
        <v>27</v>
      </c>
      <c r="G4102" s="9" t="s">
        <v>27</v>
      </c>
      <c r="H4102" s="11" t="n">
        <v>24</v>
      </c>
      <c r="I4102" s="11" t="s">
        <v>321</v>
      </c>
      <c r="J4102" s="14" t="n">
        <v>50</v>
      </c>
      <c r="K4102" s="14"/>
      <c r="L4102" s="16"/>
      <c r="M4102" s="27" t="n">
        <f aca="false">J4102+(K4102/20)+(L4102/240)</f>
        <v>50</v>
      </c>
      <c r="N4102" s="17" t="s">
        <v>64</v>
      </c>
      <c r="O4102" s="11" t="s">
        <v>277</v>
      </c>
      <c r="P4102" s="28"/>
      <c r="Q4102" s="28" t="n">
        <f aca="false">P4102*$M4102</f>
        <v>0</v>
      </c>
      <c r="R4102" s="28"/>
      <c r="S4102" s="28" t="n">
        <f aca="false">R4102*$M4102</f>
        <v>0</v>
      </c>
      <c r="T4102" s="28" t="n">
        <f aca="false">2*288*0.02+153*0.02</f>
        <v>14.58</v>
      </c>
      <c r="U4102" s="28" t="n">
        <v>729</v>
      </c>
      <c r="V4102" s="28" t="n">
        <f aca="false">2*288*0.02+118*0.02</f>
        <v>13.88</v>
      </c>
      <c r="W4102" s="28" t="n">
        <v>694</v>
      </c>
      <c r="X4102" s="28" t="n">
        <f aca="false">25*288*0.02+103*0.02</f>
        <v>146.06</v>
      </c>
      <c r="Y4102" s="28" t="n">
        <v>7303</v>
      </c>
      <c r="Z4102" s="28"/>
      <c r="AA4102" s="28" t="n">
        <f aca="false">Z4102*$M4102</f>
        <v>0</v>
      </c>
      <c r="AB4102" s="28" t="n">
        <f aca="false">1*288*0.02+74*0.02</f>
        <v>7.24</v>
      </c>
      <c r="AC4102" s="28" t="n">
        <v>362</v>
      </c>
      <c r="AD4102" s="28" t="n">
        <f aca="false">276*0.02</f>
        <v>5.52</v>
      </c>
      <c r="AE4102" s="28" t="n">
        <v>276</v>
      </c>
      <c r="AF4102" s="28"/>
      <c r="AG4102" s="28" t="n">
        <f aca="false">AF4102*$M4102</f>
        <v>0</v>
      </c>
      <c r="AH4102" s="28" t="n">
        <f aca="false">1*288*0.02+75*0.02</f>
        <v>7.26</v>
      </c>
      <c r="AI4102" s="28" t="n">
        <v>363</v>
      </c>
      <c r="AJ4102" s="28" t="n">
        <f aca="false">2*288*0.02+176*0.02</f>
        <v>15.04</v>
      </c>
      <c r="AK4102" s="28" t="n">
        <v>752</v>
      </c>
      <c r="AL4102" s="28"/>
      <c r="AM4102" s="28" t="n">
        <f aca="false">AL4102*$M4102</f>
        <v>0</v>
      </c>
      <c r="AN4102" s="28"/>
      <c r="AO4102" s="28" t="n">
        <f aca="false">AN4102*$M4102</f>
        <v>0</v>
      </c>
      <c r="AP4102" s="28"/>
      <c r="AQ4102" s="28" t="n">
        <f aca="false">AP4102*$M4102</f>
        <v>0</v>
      </c>
      <c r="AR4102" s="28"/>
      <c r="AS4102" s="28" t="n">
        <f aca="false">AR4102*$M4102</f>
        <v>0</v>
      </c>
      <c r="AT4102" s="28"/>
      <c r="AU4102" s="28" t="n">
        <f aca="false">AT4102*$M4102</f>
        <v>0</v>
      </c>
      <c r="AV4102" s="28"/>
      <c r="AW4102" s="28" t="n">
        <f aca="false">AV4102*$M4102</f>
        <v>0</v>
      </c>
      <c r="AX4102" s="28"/>
      <c r="AY4102" s="28" t="n">
        <f aca="false">AX4102*$M4102</f>
        <v>0</v>
      </c>
      <c r="AZ4102" s="30" t="n">
        <f aca="false">36*288*0.02+111*0.02</f>
        <v>209.58</v>
      </c>
      <c r="BA4102" s="11" t="n">
        <v>10479</v>
      </c>
      <c r="BB4102" s="31" t="n">
        <f aca="false">SUM(Q4102,S4102,U4102,W4102,Y4102,AA4102,AC4102,AE4102,AG4102,AI4102,AK4102,AM4102,AO4102,AQ4102,AS4102,AU4102,AW4102,AY4102)</f>
        <v>10479</v>
      </c>
      <c r="BC4102" s="28" t="n">
        <f aca="false">BA4102-BB4102</f>
        <v>0</v>
      </c>
      <c r="BD4102" s="32" t="n">
        <f aca="false">SUM(P4102,R4102,T4102,V4102,X4102,Z4102,AB4102,AD4102,AF4102,AH4102,AJ4102,AL4102,AN4102,AP4102,AR4102,AT4102,AV4102,AX4102)</f>
        <v>209.58</v>
      </c>
      <c r="BE4102" s="33" t="n">
        <f aca="false">AZ4102-BD4102</f>
        <v>0</v>
      </c>
      <c r="BF4102" s="34" t="n">
        <f aca="false">BD4102*M4102</f>
        <v>10479</v>
      </c>
      <c r="BG4102" s="35" t="n">
        <f aca="false">BA4102-BF4102</f>
        <v>0</v>
      </c>
      <c r="BH4102" s="19" t="str">
        <f aca="false">IF(BG4102=0,"",IF(BG4102&lt;&gt;BA4102,"erreur de calcul",IF(BD4102&lt;&gt;0,"pas de prix",IF(M4102&lt;&gt; 0,"pas de quantité","pas de prix, ni de quantité"))))</f>
        <v/>
      </c>
      <c r="BI4102" s="19"/>
    </row>
    <row r="4103" customFormat="false" ht="15" hidden="false" customHeight="false" outlineLevel="0" collapsed="false">
      <c r="A4103" s="0" t="n">
        <v>32</v>
      </c>
      <c r="B4103" s="8" t="s">
        <v>24</v>
      </c>
      <c r="C4103" s="9" t="s">
        <v>25</v>
      </c>
      <c r="D4103" s="9" t="s">
        <v>26</v>
      </c>
      <c r="E4103" s="10" t="n">
        <v>1789</v>
      </c>
      <c r="F4103" s="9" t="s">
        <v>27</v>
      </c>
      <c r="G4103" s="9" t="s">
        <v>27</v>
      </c>
      <c r="H4103" s="11" t="n">
        <v>24</v>
      </c>
      <c r="I4103" s="11" t="s">
        <v>322</v>
      </c>
      <c r="J4103" s="14" t="n">
        <v>70</v>
      </c>
      <c r="K4103" s="14"/>
      <c r="L4103" s="16"/>
      <c r="M4103" s="27" t="n">
        <f aca="false">J4103+(K4103/20)+(L4103/240)</f>
        <v>70</v>
      </c>
      <c r="N4103" s="17" t="s">
        <v>64</v>
      </c>
      <c r="O4103" s="11"/>
      <c r="P4103" s="28"/>
      <c r="Q4103" s="28" t="n">
        <f aca="false">P4103*$M4103</f>
        <v>0</v>
      </c>
      <c r="R4103" s="28"/>
      <c r="S4103" s="28" t="n">
        <f aca="false">R4103*$M4103</f>
        <v>0</v>
      </c>
      <c r="T4103" s="28"/>
      <c r="U4103" s="28" t="n">
        <f aca="false">T4103*$M4103</f>
        <v>0</v>
      </c>
      <c r="V4103" s="28"/>
      <c r="W4103" s="28" t="n">
        <f aca="false">V4103*$M4103</f>
        <v>0</v>
      </c>
      <c r="X4103" s="28" t="n">
        <f aca="false">2*288*0.02+217*0.02</f>
        <v>15.86</v>
      </c>
      <c r="Y4103" s="28" t="n">
        <v>1111</v>
      </c>
      <c r="Z4103" s="28"/>
      <c r="AA4103" s="28" t="n">
        <f aca="false">Z4103*$M4103</f>
        <v>0</v>
      </c>
      <c r="AB4103" s="28"/>
      <c r="AC4103" s="28" t="n">
        <f aca="false">AB4103*$M4103</f>
        <v>0</v>
      </c>
      <c r="AD4103" s="28"/>
      <c r="AE4103" s="28" t="n">
        <f aca="false">AD4103*$M4103</f>
        <v>0</v>
      </c>
      <c r="AF4103" s="28"/>
      <c r="AG4103" s="28" t="n">
        <f aca="false">AF4103*$M4103</f>
        <v>0</v>
      </c>
      <c r="AH4103" s="28"/>
      <c r="AI4103" s="28" t="n">
        <f aca="false">AH4103*$M4103</f>
        <v>0</v>
      </c>
      <c r="AJ4103" s="28"/>
      <c r="AK4103" s="28" t="n">
        <f aca="false">AJ4103*$M4103</f>
        <v>0</v>
      </c>
      <c r="AL4103" s="28"/>
      <c r="AM4103" s="28" t="n">
        <f aca="false">AL4103*$M4103</f>
        <v>0</v>
      </c>
      <c r="AN4103" s="28"/>
      <c r="AO4103" s="28" t="n">
        <f aca="false">AN4103*$M4103</f>
        <v>0</v>
      </c>
      <c r="AP4103" s="28"/>
      <c r="AQ4103" s="28" t="n">
        <f aca="false">AP4103*$M4103</f>
        <v>0</v>
      </c>
      <c r="AR4103" s="28"/>
      <c r="AS4103" s="28" t="n">
        <f aca="false">AR4103*$M4103</f>
        <v>0</v>
      </c>
      <c r="AT4103" s="28"/>
      <c r="AU4103" s="28" t="n">
        <f aca="false">AT4103*$M4103</f>
        <v>0</v>
      </c>
      <c r="AV4103" s="28"/>
      <c r="AW4103" s="28" t="n">
        <f aca="false">AV4103*$M4103</f>
        <v>0</v>
      </c>
      <c r="AX4103" s="28"/>
      <c r="AY4103" s="28" t="n">
        <f aca="false">AX4103*$M4103</f>
        <v>0</v>
      </c>
      <c r="AZ4103" s="30" t="n">
        <f aca="false">2*288*0.02+217*0.02</f>
        <v>15.86</v>
      </c>
      <c r="BA4103" s="11" t="n">
        <v>1111</v>
      </c>
      <c r="BB4103" s="31" t="n">
        <f aca="false">SUM(Q4103,S4103,U4103,W4103,Y4103,AA4103,AC4103,AE4103,AG4103,AI4103,AK4103,AM4103,AO4103,AQ4103,AS4103,AU4103,AW4103,AY4103)</f>
        <v>1111</v>
      </c>
      <c r="BC4103" s="28" t="n">
        <f aca="false">BA4103-BB4103</f>
        <v>0</v>
      </c>
      <c r="BD4103" s="32" t="n">
        <f aca="false">SUM(P4103,R4103,T4103,V4103,X4103,Z4103,AB4103,AD4103,AF4103,AH4103,AJ4103,AL4103,AN4103,AP4103,AR4103,AT4103,AV4103,AX4103)</f>
        <v>15.86</v>
      </c>
      <c r="BE4103" s="33" t="n">
        <f aca="false">AZ4103-BD4103</f>
        <v>0</v>
      </c>
      <c r="BF4103" s="34" t="n">
        <f aca="false">BD4103*M4103</f>
        <v>1110.2</v>
      </c>
      <c r="BG4103" s="35" t="n">
        <f aca="false">BA4103-BF4103</f>
        <v>0.799999999999955</v>
      </c>
      <c r="BH4103" s="19" t="str">
        <f aca="false">IF(BG4103=0,"",IF(BG4103&lt;&gt;BA4103,"erreur de calcul",IF(BD4103&lt;&gt;0,"pas de prix",IF(M4103&lt;&gt; 0,"pas de quantité","pas de prix, ni de quantité"))))</f>
        <v>erreur de calcul</v>
      </c>
      <c r="BI4103" s="19"/>
    </row>
    <row r="4104" customFormat="false" ht="15" hidden="false" customHeight="false" outlineLevel="0" collapsed="false">
      <c r="A4104" s="0" t="n">
        <v>33</v>
      </c>
      <c r="B4104" s="8" t="s">
        <v>24</v>
      </c>
      <c r="C4104" s="9" t="s">
        <v>25</v>
      </c>
      <c r="D4104" s="9" t="s">
        <v>26</v>
      </c>
      <c r="E4104" s="10" t="n">
        <v>1789</v>
      </c>
      <c r="F4104" s="9" t="s">
        <v>27</v>
      </c>
      <c r="G4104" s="9" t="s">
        <v>27</v>
      </c>
      <c r="H4104" s="11" t="n">
        <v>24</v>
      </c>
      <c r="I4104" s="11" t="s">
        <v>323</v>
      </c>
      <c r="J4104" s="14"/>
      <c r="K4104" s="14" t="n">
        <v>40</v>
      </c>
      <c r="L4104" s="16"/>
      <c r="M4104" s="27" t="n">
        <f aca="false">J4104+(K4104/20)+(L4104/240)</f>
        <v>2</v>
      </c>
      <c r="N4104" s="17" t="s">
        <v>66</v>
      </c>
      <c r="O4104" s="11"/>
      <c r="P4104" s="28" t="n">
        <v>780</v>
      </c>
      <c r="Q4104" s="28" t="n">
        <v>1560</v>
      </c>
      <c r="R4104" s="28"/>
      <c r="S4104" s="28" t="n">
        <f aca="false">R4104*$M4104</f>
        <v>0</v>
      </c>
      <c r="T4104" s="28" t="n">
        <v>1552</v>
      </c>
      <c r="U4104" s="28" t="n">
        <v>3104</v>
      </c>
      <c r="V4104" s="28" t="n">
        <v>1051</v>
      </c>
      <c r="W4104" s="28" t="n">
        <v>2102</v>
      </c>
      <c r="X4104" s="28" t="n">
        <v>1486</v>
      </c>
      <c r="Y4104" s="28" t="n">
        <v>2972</v>
      </c>
      <c r="Z4104" s="28" t="n">
        <v>847</v>
      </c>
      <c r="AA4104" s="28" t="n">
        <v>1694</v>
      </c>
      <c r="AB4104" s="28" t="n">
        <v>114</v>
      </c>
      <c r="AC4104" s="28" t="n">
        <v>228</v>
      </c>
      <c r="AD4104" s="28" t="n">
        <v>407</v>
      </c>
      <c r="AE4104" s="28" t="n">
        <v>814</v>
      </c>
      <c r="AF4104" s="28"/>
      <c r="AG4104" s="28" t="n">
        <f aca="false">AF4104*$M4104</f>
        <v>0</v>
      </c>
      <c r="AH4104" s="28"/>
      <c r="AI4104" s="28" t="n">
        <f aca="false">AH4104*$M4104</f>
        <v>0</v>
      </c>
      <c r="AJ4104" s="28" t="n">
        <v>1297</v>
      </c>
      <c r="AK4104" s="28" t="n">
        <v>2594</v>
      </c>
      <c r="AL4104" s="28"/>
      <c r="AM4104" s="28" t="n">
        <f aca="false">AL4104*$M4104</f>
        <v>0</v>
      </c>
      <c r="AN4104" s="28"/>
      <c r="AO4104" s="28" t="n">
        <f aca="false">AN4104*$M4104</f>
        <v>0</v>
      </c>
      <c r="AP4104" s="28"/>
      <c r="AQ4104" s="28" t="n">
        <f aca="false">AP4104*$M4104</f>
        <v>0</v>
      </c>
      <c r="AR4104" s="28"/>
      <c r="AS4104" s="28" t="n">
        <f aca="false">AR4104*$M4104</f>
        <v>0</v>
      </c>
      <c r="AT4104" s="28"/>
      <c r="AU4104" s="28" t="n">
        <f aca="false">AT4104*$M4104</f>
        <v>0</v>
      </c>
      <c r="AV4104" s="28"/>
      <c r="AW4104" s="28" t="n">
        <f aca="false">AV4104*$M4104</f>
        <v>0</v>
      </c>
      <c r="AX4104" s="28"/>
      <c r="AY4104" s="28" t="n">
        <f aca="false">AX4104*$M4104</f>
        <v>0</v>
      </c>
      <c r="AZ4104" s="30" t="n">
        <v>7534</v>
      </c>
      <c r="BA4104" s="11" t="n">
        <v>15068</v>
      </c>
      <c r="BB4104" s="31" t="n">
        <f aca="false">SUM(Q4104,S4104,U4104,W4104,Y4104,AA4104,AC4104,AE4104,AG4104,AI4104,AK4104,AM4104,AO4104,AQ4104,AS4104,AU4104,AW4104,AY4104)</f>
        <v>15068</v>
      </c>
      <c r="BC4104" s="28" t="n">
        <f aca="false">BA4104-BB4104</f>
        <v>0</v>
      </c>
      <c r="BD4104" s="32" t="n">
        <f aca="false">SUM(P4104,R4104,T4104,V4104,X4104,Z4104,AB4104,AD4104,AF4104,AH4104,AJ4104,AL4104,AN4104,AP4104,AR4104,AT4104,AV4104,AX4104)</f>
        <v>7534</v>
      </c>
      <c r="BE4104" s="33" t="n">
        <f aca="false">AZ4104-BD4104</f>
        <v>0</v>
      </c>
      <c r="BF4104" s="34" t="n">
        <f aca="false">BD4104*M4104</f>
        <v>15068</v>
      </c>
      <c r="BG4104" s="35" t="n">
        <f aca="false">BA4104-BF4104</f>
        <v>0</v>
      </c>
      <c r="BH4104" s="19" t="str">
        <f aca="false">IF(BG4104=0,"",IF(BG4104&lt;&gt;BA4104,"erreur de calcul",IF(BD4104&lt;&gt;0,"pas de prix",IF(M4104&lt;&gt; 0,"pas de quantité","pas de prix, ni de quantité"))))</f>
        <v/>
      </c>
      <c r="BI4104" s="19"/>
    </row>
    <row r="4105" customFormat="false" ht="15" hidden="false" customHeight="false" outlineLevel="0" collapsed="false">
      <c r="A4105" s="0" t="n">
        <v>34</v>
      </c>
      <c r="B4105" s="8" t="s">
        <v>24</v>
      </c>
      <c r="C4105" s="9" t="s">
        <v>25</v>
      </c>
      <c r="D4105" s="9" t="s">
        <v>26</v>
      </c>
      <c r="E4105" s="10" t="n">
        <v>1789</v>
      </c>
      <c r="F4105" s="9" t="s">
        <v>27</v>
      </c>
      <c r="G4105" s="9" t="s">
        <v>27</v>
      </c>
      <c r="H4105" s="11" t="n">
        <v>24</v>
      </c>
      <c r="I4105" s="11" t="s">
        <v>324</v>
      </c>
      <c r="J4105" s="14" t="n">
        <v>15</v>
      </c>
      <c r="K4105" s="14"/>
      <c r="L4105" s="16"/>
      <c r="M4105" s="27" t="n">
        <f aca="false">J4105+(K4105/20)+(L4105/240)</f>
        <v>15</v>
      </c>
      <c r="N4105" s="17" t="s">
        <v>64</v>
      </c>
      <c r="O4105" s="11"/>
      <c r="P4105" s="28" t="n">
        <f aca="false">6834/100</f>
        <v>68.34</v>
      </c>
      <c r="Q4105" s="28" t="n">
        <v>1025</v>
      </c>
      <c r="R4105" s="28"/>
      <c r="S4105" s="28" t="n">
        <f aca="false">R4105*$M4105</f>
        <v>0</v>
      </c>
      <c r="T4105" s="28" t="n">
        <f aca="false">834/100</f>
        <v>8.34</v>
      </c>
      <c r="U4105" s="28" t="n">
        <v>125</v>
      </c>
      <c r="V4105" s="28" t="n">
        <f aca="false">197372/100</f>
        <v>1973.72</v>
      </c>
      <c r="W4105" s="28" t="n">
        <v>29606</v>
      </c>
      <c r="X4105" s="28" t="n">
        <f aca="false">2334702/100</f>
        <v>23347.02</v>
      </c>
      <c r="Y4105" s="28" t="n">
        <v>350205</v>
      </c>
      <c r="Z4105" s="28"/>
      <c r="AA4105" s="28" t="n">
        <f aca="false">Z4105*$M4105</f>
        <v>0</v>
      </c>
      <c r="AB4105" s="28" t="n">
        <f aca="false">1417/100</f>
        <v>14.17</v>
      </c>
      <c r="AC4105" s="28" t="n">
        <v>212</v>
      </c>
      <c r="AD4105" s="28"/>
      <c r="AE4105" s="28" t="n">
        <f aca="false">AD4105*$M4105</f>
        <v>0</v>
      </c>
      <c r="AF4105" s="28"/>
      <c r="AG4105" s="28" t="n">
        <f aca="false">AF4105*$M4105</f>
        <v>0</v>
      </c>
      <c r="AH4105" s="28"/>
      <c r="AI4105" s="28" t="n">
        <f aca="false">AH4105*$M4105</f>
        <v>0</v>
      </c>
      <c r="AJ4105" s="28"/>
      <c r="AK4105" s="28" t="n">
        <f aca="false">AJ4105*$M4105</f>
        <v>0</v>
      </c>
      <c r="AL4105" s="28"/>
      <c r="AM4105" s="28" t="n">
        <f aca="false">AL4105*$M4105</f>
        <v>0</v>
      </c>
      <c r="AN4105" s="28"/>
      <c r="AO4105" s="28" t="n">
        <f aca="false">AN4105*$M4105</f>
        <v>0</v>
      </c>
      <c r="AP4105" s="28"/>
      <c r="AQ4105" s="28" t="n">
        <f aca="false">AP4105*$M4105</f>
        <v>0</v>
      </c>
      <c r="AR4105" s="28"/>
      <c r="AS4105" s="28" t="n">
        <f aca="false">AR4105*$M4105</f>
        <v>0</v>
      </c>
      <c r="AT4105" s="28"/>
      <c r="AU4105" s="28" t="n">
        <f aca="false">AT4105*$M4105</f>
        <v>0</v>
      </c>
      <c r="AV4105" s="28"/>
      <c r="AW4105" s="28" t="n">
        <f aca="false">AV4105*$M4105</f>
        <v>0</v>
      </c>
      <c r="AX4105" s="28"/>
      <c r="AY4105" s="28" t="n">
        <f aca="false">AX4105*$M4105</f>
        <v>0</v>
      </c>
      <c r="AZ4105" s="30" t="n">
        <f aca="false">2541159/100</f>
        <v>25411.59</v>
      </c>
      <c r="BA4105" s="11" t="n">
        <v>381173</v>
      </c>
      <c r="BB4105" s="31" t="n">
        <f aca="false">SUM(Q4105,S4105,U4105,W4105,Y4105,AA4105,AC4105,AE4105,AG4105,AI4105,AK4105,AM4105,AO4105,AQ4105,AS4105,AU4105,AW4105,AY4105)</f>
        <v>381173</v>
      </c>
      <c r="BC4105" s="28" t="n">
        <f aca="false">BA4105-BB4105</f>
        <v>0</v>
      </c>
      <c r="BD4105" s="32" t="n">
        <f aca="false">SUM(P4105,R4105,T4105,V4105,X4105,Z4105,AB4105,AD4105,AF4105,AH4105,AJ4105,AL4105,AN4105,AP4105,AR4105,AT4105,AV4105,AX4105)</f>
        <v>25411.59</v>
      </c>
      <c r="BE4105" s="33" t="n">
        <f aca="false">AZ4105-BD4105</f>
        <v>0</v>
      </c>
      <c r="BF4105" s="34" t="n">
        <f aca="false">BD4105*M4105</f>
        <v>381173.85</v>
      </c>
      <c r="BG4105" s="35" t="n">
        <f aca="false">BA4105-BF4105</f>
        <v>-0.849999999976717</v>
      </c>
      <c r="BH4105" s="19" t="str">
        <f aca="false">IF(BG4105=0,"",IF(BG4105&lt;&gt;BA4105,"erreur de calcul",IF(BD4105&lt;&gt;0,"pas de prix",IF(M4105&lt;&gt; 0,"pas de quantité","pas de prix, ni de quantité"))))</f>
        <v>erreur de calcul</v>
      </c>
      <c r="BI4105" s="19"/>
    </row>
    <row r="4106" customFormat="false" ht="15" hidden="false" customHeight="false" outlineLevel="0" collapsed="false">
      <c r="A4106" s="0" t="n">
        <v>35</v>
      </c>
      <c r="B4106" s="8" t="s">
        <v>24</v>
      </c>
      <c r="C4106" s="9" t="s">
        <v>25</v>
      </c>
      <c r="D4106" s="9" t="s">
        <v>26</v>
      </c>
      <c r="E4106" s="10" t="n">
        <v>1789</v>
      </c>
      <c r="F4106" s="9" t="s">
        <v>27</v>
      </c>
      <c r="G4106" s="9" t="s">
        <v>27</v>
      </c>
      <c r="H4106" s="11" t="n">
        <v>24</v>
      </c>
      <c r="I4106" s="11" t="s">
        <v>325</v>
      </c>
      <c r="J4106" s="14" t="n">
        <v>25</v>
      </c>
      <c r="K4106" s="14"/>
      <c r="L4106" s="16"/>
      <c r="M4106" s="27" t="n">
        <f aca="false">J4106+(K4106/20)+(L4106/240)</f>
        <v>25</v>
      </c>
      <c r="N4106" s="17" t="s">
        <v>64</v>
      </c>
      <c r="O4106" s="11"/>
      <c r="P4106" s="28"/>
      <c r="Q4106" s="28" t="n">
        <f aca="false">P4106*$M4106</f>
        <v>0</v>
      </c>
      <c r="R4106" s="28"/>
      <c r="S4106" s="28" t="n">
        <f aca="false">R4106*$M4106</f>
        <v>0</v>
      </c>
      <c r="T4106" s="28"/>
      <c r="U4106" s="28" t="n">
        <f aca="false">T4106*$M4106</f>
        <v>0</v>
      </c>
      <c r="V4106" s="28"/>
      <c r="W4106" s="28" t="n">
        <f aca="false">V4106*$M4106</f>
        <v>0</v>
      </c>
      <c r="X4106" s="28" t="n">
        <f aca="false">4971/100</f>
        <v>49.71</v>
      </c>
      <c r="Y4106" s="28" t="n">
        <v>1243</v>
      </c>
      <c r="Z4106" s="28" t="n">
        <f aca="false">14812/100</f>
        <v>148.12</v>
      </c>
      <c r="AA4106" s="28" t="n">
        <v>3703</v>
      </c>
      <c r="AB4106" s="28"/>
      <c r="AC4106" s="28" t="n">
        <f aca="false">AB4106*$M4106</f>
        <v>0</v>
      </c>
      <c r="AD4106" s="28"/>
      <c r="AE4106" s="28" t="n">
        <f aca="false">AD4106*$M4106</f>
        <v>0</v>
      </c>
      <c r="AF4106" s="28"/>
      <c r="AG4106" s="28" t="n">
        <f aca="false">AF4106*$M4106</f>
        <v>0</v>
      </c>
      <c r="AH4106" s="28"/>
      <c r="AI4106" s="28" t="n">
        <f aca="false">AH4106*$M4106</f>
        <v>0</v>
      </c>
      <c r="AJ4106" s="28"/>
      <c r="AK4106" s="28" t="n">
        <f aca="false">AJ4106*$M4106</f>
        <v>0</v>
      </c>
      <c r="AL4106" s="28"/>
      <c r="AM4106" s="28" t="n">
        <f aca="false">AL4106*$M4106</f>
        <v>0</v>
      </c>
      <c r="AN4106" s="28"/>
      <c r="AO4106" s="28" t="n">
        <f aca="false">AN4106*$M4106</f>
        <v>0</v>
      </c>
      <c r="AP4106" s="28"/>
      <c r="AQ4106" s="28" t="n">
        <f aca="false">AP4106*$M4106</f>
        <v>0</v>
      </c>
      <c r="AR4106" s="28"/>
      <c r="AS4106" s="28" t="n">
        <f aca="false">AR4106*$M4106</f>
        <v>0</v>
      </c>
      <c r="AT4106" s="28"/>
      <c r="AU4106" s="28" t="n">
        <f aca="false">AT4106*$M4106</f>
        <v>0</v>
      </c>
      <c r="AV4106" s="28"/>
      <c r="AW4106" s="28" t="n">
        <f aca="false">AV4106*$M4106</f>
        <v>0</v>
      </c>
      <c r="AX4106" s="28"/>
      <c r="AY4106" s="28" t="n">
        <f aca="false">AX4106*$M4106</f>
        <v>0</v>
      </c>
      <c r="AZ4106" s="30" t="n">
        <f aca="false">19783/100</f>
        <v>197.83</v>
      </c>
      <c r="BA4106" s="11" t="n">
        <v>4946</v>
      </c>
      <c r="BB4106" s="31" t="n">
        <f aca="false">SUM(Q4106,S4106,U4106,W4106,Y4106,AA4106,AC4106,AE4106,AG4106,AI4106,AK4106,AM4106,AO4106,AQ4106,AS4106,AU4106,AW4106,AY4106)</f>
        <v>4946</v>
      </c>
      <c r="BC4106" s="28" t="n">
        <f aca="false">BA4106-BB4106</f>
        <v>0</v>
      </c>
      <c r="BD4106" s="32" t="n">
        <f aca="false">SUM(P4106,R4106,T4106,V4106,X4106,Z4106,AB4106,AD4106,AF4106,AH4106,AJ4106,AL4106,AN4106,AP4106,AR4106,AT4106,AV4106,AX4106)</f>
        <v>197.83</v>
      </c>
      <c r="BE4106" s="33" t="n">
        <f aca="false">AZ4106-BD4106</f>
        <v>0</v>
      </c>
      <c r="BF4106" s="34" t="n">
        <f aca="false">BD4106*M4106</f>
        <v>4945.75</v>
      </c>
      <c r="BG4106" s="35" t="n">
        <f aca="false">BA4106-BF4106</f>
        <v>0.25</v>
      </c>
      <c r="BH4106" s="19" t="str">
        <f aca="false">IF(BG4106=0,"",IF(BG4106&lt;&gt;BA4106,"erreur de calcul",IF(BD4106&lt;&gt;0,"pas de prix",IF(M4106&lt;&gt; 0,"pas de quantité","pas de prix, ni de quantité"))))</f>
        <v>erreur de calcul</v>
      </c>
      <c r="BI4106" s="19"/>
    </row>
    <row r="4107" customFormat="false" ht="15" hidden="false" customHeight="false" outlineLevel="0" collapsed="false">
      <c r="A4107" s="0" t="n">
        <v>36</v>
      </c>
      <c r="B4107" s="8" t="s">
        <v>24</v>
      </c>
      <c r="C4107" s="9" t="s">
        <v>25</v>
      </c>
      <c r="D4107" s="9" t="s">
        <v>26</v>
      </c>
      <c r="E4107" s="10" t="n">
        <v>1789</v>
      </c>
      <c r="F4107" s="9" t="s">
        <v>27</v>
      </c>
      <c r="G4107" s="9" t="s">
        <v>27</v>
      </c>
      <c r="H4107" s="11" t="n">
        <v>24</v>
      </c>
      <c r="I4107" s="11" t="s">
        <v>326</v>
      </c>
      <c r="J4107" s="14"/>
      <c r="K4107" s="14"/>
      <c r="L4107" s="16"/>
      <c r="M4107" s="27" t="n">
        <f aca="false">J4107+(K4107/20)+(L4107/240)</f>
        <v>0</v>
      </c>
      <c r="N4107" s="17"/>
      <c r="O4107" s="11" t="s">
        <v>77</v>
      </c>
      <c r="P4107" s="28"/>
      <c r="Q4107" s="28" t="n">
        <v>84</v>
      </c>
      <c r="R4107" s="28"/>
      <c r="S4107" s="28" t="n">
        <v>80</v>
      </c>
      <c r="T4107" s="28"/>
      <c r="U4107" s="28" t="n">
        <v>115</v>
      </c>
      <c r="V4107" s="28"/>
      <c r="W4107" s="28" t="n">
        <f aca="false">V4107*$M4107</f>
        <v>0</v>
      </c>
      <c r="X4107" s="28"/>
      <c r="Y4107" s="28" t="n">
        <v>82</v>
      </c>
      <c r="Z4107" s="28"/>
      <c r="AA4107" s="28" t="n">
        <v>32</v>
      </c>
      <c r="AB4107" s="28"/>
      <c r="AC4107" s="28" t="n">
        <v>82</v>
      </c>
      <c r="AD4107" s="28"/>
      <c r="AE4107" s="28" t="n">
        <f aca="false">AD4107*$M4107</f>
        <v>0</v>
      </c>
      <c r="AF4107" s="28"/>
      <c r="AG4107" s="28" t="n">
        <v>129</v>
      </c>
      <c r="AH4107" s="28"/>
      <c r="AI4107" s="28" t="n">
        <f aca="false">AH4107*$M4107</f>
        <v>0</v>
      </c>
      <c r="AJ4107" s="28"/>
      <c r="AK4107" s="28" t="n">
        <v>79</v>
      </c>
      <c r="AL4107" s="28"/>
      <c r="AM4107" s="28" t="n">
        <v>106</v>
      </c>
      <c r="AN4107" s="28"/>
      <c r="AO4107" s="28" t="n">
        <f aca="false">AN4107*$M4107</f>
        <v>0</v>
      </c>
      <c r="AP4107" s="28"/>
      <c r="AQ4107" s="28" t="n">
        <f aca="false">AP4107*$M4107</f>
        <v>0</v>
      </c>
      <c r="AR4107" s="28"/>
      <c r="AS4107" s="28" t="n">
        <f aca="false">AR4107*$M4107</f>
        <v>0</v>
      </c>
      <c r="AT4107" s="28"/>
      <c r="AU4107" s="28" t="n">
        <f aca="false">AT4107*$M4107</f>
        <v>0</v>
      </c>
      <c r="AV4107" s="28"/>
      <c r="AW4107" s="28" t="n">
        <f aca="false">AV4107*$M4107</f>
        <v>0</v>
      </c>
      <c r="AX4107" s="28"/>
      <c r="AY4107" s="28" t="n">
        <f aca="false">AX4107*$M4107</f>
        <v>0</v>
      </c>
      <c r="AZ4107" s="30"/>
      <c r="BA4107" s="11" t="n">
        <v>789</v>
      </c>
      <c r="BB4107" s="31" t="n">
        <f aca="false">SUM(Q4107,S4107,U4107,W4107,Y4107,AA4107,AC4107,AE4107,AG4107,AI4107,AK4107,AM4107,AO4107,AQ4107,AS4107,AU4107,AW4107,AY4107)</f>
        <v>789</v>
      </c>
      <c r="BC4107" s="28" t="n">
        <f aca="false">BA4107-BB4107</f>
        <v>0</v>
      </c>
      <c r="BD4107" s="32" t="n">
        <f aca="false">SUM(P4107,R4107,T4107,V4107,X4107,Z4107,AB4107,AD4107,AF4107,AH4107,AJ4107,AL4107,AN4107,AP4107,AR4107,AT4107,AV4107,AX4107)</f>
        <v>0</v>
      </c>
      <c r="BE4107" s="33" t="n">
        <f aca="false">AZ4107-BD4107</f>
        <v>0</v>
      </c>
      <c r="BF4107" s="34" t="n">
        <f aca="false">BD4107*M4107</f>
        <v>0</v>
      </c>
      <c r="BG4107" s="35" t="n">
        <f aca="false">BA4107-BF4107</f>
        <v>789</v>
      </c>
      <c r="BH4107" s="19" t="str">
        <f aca="false">IF(BG4107=0,"",IF(BG4107&lt;&gt;BA4107,"erreur de calcul",IF(BD4107&lt;&gt;0,"pas de prix",IF(M4107&lt;&gt; 0,"pas de quantité","pas de prix, ni de quantité"))))</f>
        <v>pas de prix, ni de quantité</v>
      </c>
      <c r="BI4107" s="19"/>
    </row>
    <row r="4108" customFormat="false" ht="15" hidden="false" customHeight="false" outlineLevel="0" collapsed="false">
      <c r="A4108" s="0" t="n">
        <v>37</v>
      </c>
      <c r="B4108" s="8" t="s">
        <v>24</v>
      </c>
      <c r="C4108" s="9" t="s">
        <v>25</v>
      </c>
      <c r="D4108" s="9" t="s">
        <v>26</v>
      </c>
      <c r="E4108" s="10" t="n">
        <v>1789</v>
      </c>
      <c r="F4108" s="9" t="s">
        <v>27</v>
      </c>
      <c r="G4108" s="9" t="s">
        <v>27</v>
      </c>
      <c r="H4108" s="11" t="n">
        <v>24</v>
      </c>
      <c r="I4108" s="11" t="s">
        <v>327</v>
      </c>
      <c r="J4108" s="14"/>
      <c r="K4108" s="14" t="n">
        <v>20</v>
      </c>
      <c r="L4108" s="16"/>
      <c r="M4108" s="27" t="n">
        <f aca="false">J4108+(K4108/20)+(L4108/240)</f>
        <v>1</v>
      </c>
      <c r="N4108" s="17" t="s">
        <v>66</v>
      </c>
      <c r="O4108" s="11"/>
      <c r="P4108" s="28"/>
      <c r="Q4108" s="28" t="n">
        <f aca="false">P4108*$M4108</f>
        <v>0</v>
      </c>
      <c r="R4108" s="28"/>
      <c r="S4108" s="28" t="n">
        <f aca="false">R4108*$M4108</f>
        <v>0</v>
      </c>
      <c r="T4108" s="28"/>
      <c r="U4108" s="28" t="n">
        <f aca="false">T4108*$M4108</f>
        <v>0</v>
      </c>
      <c r="V4108" s="28" t="n">
        <v>1705</v>
      </c>
      <c r="W4108" s="28" t="n">
        <v>1705</v>
      </c>
      <c r="X4108" s="28"/>
      <c r="Y4108" s="28" t="n">
        <f aca="false">X4108*$M4108</f>
        <v>0</v>
      </c>
      <c r="Z4108" s="28"/>
      <c r="AA4108" s="28" t="n">
        <f aca="false">Z4108*$M4108</f>
        <v>0</v>
      </c>
      <c r="AB4108" s="28" t="n">
        <v>226</v>
      </c>
      <c r="AC4108" s="28" t="n">
        <v>226</v>
      </c>
      <c r="AD4108" s="28"/>
      <c r="AE4108" s="28" t="n">
        <f aca="false">AD4108*$M4108</f>
        <v>0</v>
      </c>
      <c r="AF4108" s="28"/>
      <c r="AG4108" s="28" t="n">
        <f aca="false">AF4108*$M4108</f>
        <v>0</v>
      </c>
      <c r="AH4108" s="28"/>
      <c r="AI4108" s="28" t="n">
        <f aca="false">AH4108*$M4108</f>
        <v>0</v>
      </c>
      <c r="AJ4108" s="28"/>
      <c r="AK4108" s="28" t="n">
        <f aca="false">AJ4108*$M4108</f>
        <v>0</v>
      </c>
      <c r="AL4108" s="28"/>
      <c r="AM4108" s="28" t="n">
        <f aca="false">AL4108*$M4108</f>
        <v>0</v>
      </c>
      <c r="AN4108" s="28"/>
      <c r="AO4108" s="28" t="n">
        <f aca="false">AN4108*$M4108</f>
        <v>0</v>
      </c>
      <c r="AP4108" s="28"/>
      <c r="AQ4108" s="28" t="n">
        <f aca="false">AP4108*$M4108</f>
        <v>0</v>
      </c>
      <c r="AR4108" s="28"/>
      <c r="AS4108" s="28" t="n">
        <f aca="false">AR4108*$M4108</f>
        <v>0</v>
      </c>
      <c r="AT4108" s="28"/>
      <c r="AU4108" s="28" t="n">
        <f aca="false">AT4108*$M4108</f>
        <v>0</v>
      </c>
      <c r="AV4108" s="28"/>
      <c r="AW4108" s="28" t="n">
        <f aca="false">AV4108*$M4108</f>
        <v>0</v>
      </c>
      <c r="AX4108" s="28"/>
      <c r="AY4108" s="28" t="n">
        <f aca="false">AX4108*$M4108</f>
        <v>0</v>
      </c>
      <c r="AZ4108" s="30" t="n">
        <v>1931</v>
      </c>
      <c r="BA4108" s="11" t="n">
        <v>1931</v>
      </c>
      <c r="BB4108" s="31" t="n">
        <f aca="false">SUM(Q4108,S4108,U4108,W4108,Y4108,AA4108,AC4108,AE4108,AG4108,AI4108,AK4108,AM4108,AO4108,AQ4108,AS4108,AU4108,AW4108,AY4108)</f>
        <v>1931</v>
      </c>
      <c r="BC4108" s="28" t="n">
        <f aca="false">BA4108-BB4108</f>
        <v>0</v>
      </c>
      <c r="BD4108" s="32" t="n">
        <f aca="false">SUM(P4108,R4108,T4108,V4108,X4108,Z4108,AB4108,AD4108,AF4108,AH4108,AJ4108,AL4108,AN4108,AP4108,AR4108,AT4108,AV4108,AX4108)</f>
        <v>1931</v>
      </c>
      <c r="BE4108" s="33" t="n">
        <f aca="false">AZ4108-BD4108</f>
        <v>0</v>
      </c>
      <c r="BF4108" s="34" t="n">
        <f aca="false">BD4108*M4108</f>
        <v>1931</v>
      </c>
      <c r="BG4108" s="35" t="n">
        <f aca="false">BA4108-BF4108</f>
        <v>0</v>
      </c>
      <c r="BH4108" s="19" t="str">
        <f aca="false">IF(BG4108=0,"",IF(BG4108&lt;&gt;BA4108,"erreur de calcul",IF(BD4108&lt;&gt;0,"pas de prix",IF(M4108&lt;&gt; 0,"pas de quantité","pas de prix, ni de quantité"))))</f>
        <v/>
      </c>
      <c r="BI4108" s="19"/>
    </row>
    <row r="4109" customFormat="false" ht="15" hidden="false" customHeight="false" outlineLevel="0" collapsed="false">
      <c r="A4109" s="0" t="n">
        <v>38</v>
      </c>
      <c r="B4109" s="8" t="s">
        <v>24</v>
      </c>
      <c r="C4109" s="9" t="s">
        <v>25</v>
      </c>
      <c r="D4109" s="9" t="s">
        <v>26</v>
      </c>
      <c r="E4109" s="10" t="n">
        <v>1789</v>
      </c>
      <c r="F4109" s="9" t="s">
        <v>27</v>
      </c>
      <c r="G4109" s="9" t="s">
        <v>27</v>
      </c>
      <c r="H4109" s="11" t="n">
        <v>24</v>
      </c>
      <c r="I4109" s="11" t="s">
        <v>328</v>
      </c>
      <c r="J4109" s="14" t="n">
        <v>208</v>
      </c>
      <c r="K4109" s="14"/>
      <c r="L4109" s="16"/>
      <c r="M4109" s="27" t="n">
        <f aca="false">J4109+(K4109/20)+(L4109/240)</f>
        <v>208</v>
      </c>
      <c r="N4109" s="17" t="s">
        <v>64</v>
      </c>
      <c r="O4109" s="11" t="s">
        <v>277</v>
      </c>
      <c r="P4109" s="28"/>
      <c r="Q4109" s="28" t="n">
        <f aca="false">P4109*$M4109</f>
        <v>0</v>
      </c>
      <c r="R4109" s="28"/>
      <c r="S4109" s="28" t="n">
        <f aca="false">R4109*$M4109</f>
        <v>0</v>
      </c>
      <c r="T4109" s="28" t="n">
        <f aca="false">536/100</f>
        <v>5.36</v>
      </c>
      <c r="U4109" s="28" t="n">
        <v>1115</v>
      </c>
      <c r="V4109" s="28" t="n">
        <f aca="false">1983/100</f>
        <v>19.83</v>
      </c>
      <c r="W4109" s="28" t="n">
        <v>4125</v>
      </c>
      <c r="X4109" s="28" t="n">
        <f aca="false">37641/100</f>
        <v>376.41</v>
      </c>
      <c r="Y4109" s="28" t="n">
        <v>78293</v>
      </c>
      <c r="Z4109" s="28" t="n">
        <f aca="false">1281/100</f>
        <v>12.81</v>
      </c>
      <c r="AA4109" s="28" t="n">
        <v>2664</v>
      </c>
      <c r="AB4109" s="28"/>
      <c r="AC4109" s="28" t="n">
        <f aca="false">AB4109*$M4109</f>
        <v>0</v>
      </c>
      <c r="AD4109" s="28"/>
      <c r="AE4109" s="28" t="n">
        <f aca="false">AD4109*$M4109</f>
        <v>0</v>
      </c>
      <c r="AF4109" s="28"/>
      <c r="AG4109" s="28" t="n">
        <f aca="false">AF4109*$M4109</f>
        <v>0</v>
      </c>
      <c r="AH4109" s="28"/>
      <c r="AI4109" s="28" t="n">
        <f aca="false">AH4109*$M4109</f>
        <v>0</v>
      </c>
      <c r="AJ4109" s="28" t="n">
        <f aca="false">20789/100</f>
        <v>207.89</v>
      </c>
      <c r="AK4109" s="28" t="n">
        <v>43241</v>
      </c>
      <c r="AL4109" s="28" t="n">
        <f aca="false">2470/100</f>
        <v>24.7</v>
      </c>
      <c r="AM4109" s="28" t="n">
        <v>5138</v>
      </c>
      <c r="AN4109" s="28"/>
      <c r="AO4109" s="28" t="n">
        <f aca="false">AN4109*$M4109</f>
        <v>0</v>
      </c>
      <c r="AP4109" s="28"/>
      <c r="AQ4109" s="28" t="n">
        <f aca="false">AP4109*$M4109</f>
        <v>0</v>
      </c>
      <c r="AR4109" s="28"/>
      <c r="AS4109" s="28" t="n">
        <f aca="false">AR4109*$M4109</f>
        <v>0</v>
      </c>
      <c r="AT4109" s="28"/>
      <c r="AU4109" s="28" t="n">
        <f aca="false">AT4109*$M4109</f>
        <v>0</v>
      </c>
      <c r="AV4109" s="28"/>
      <c r="AW4109" s="28" t="n">
        <f aca="false">AV4109*$M4109</f>
        <v>0</v>
      </c>
      <c r="AX4109" s="28"/>
      <c r="AY4109" s="28" t="n">
        <f aca="false">AX4109*$M4109</f>
        <v>0</v>
      </c>
      <c r="AZ4109" s="30" t="n">
        <f aca="false">64700/100</f>
        <v>647</v>
      </c>
      <c r="BA4109" s="11" t="n">
        <v>134576</v>
      </c>
      <c r="BB4109" s="31" t="n">
        <f aca="false">SUM(Q4109,S4109,U4109,W4109,Y4109,AA4109,AC4109,AE4109,AG4109,AI4109,AK4109,AM4109,AO4109,AQ4109,AS4109,AU4109,AW4109,AY4109)</f>
        <v>134576</v>
      </c>
      <c r="BC4109" s="28" t="n">
        <f aca="false">BA4109-BB4109</f>
        <v>0</v>
      </c>
      <c r="BD4109" s="32" t="n">
        <f aca="false">SUM(P4109,R4109,T4109,V4109,X4109,Z4109,AB4109,AD4109,AF4109,AH4109,AJ4109,AL4109,AN4109,AP4109,AR4109,AT4109,AV4109,AX4109)</f>
        <v>647</v>
      </c>
      <c r="BE4109" s="33" t="n">
        <f aca="false">AZ4109-BD4109</f>
        <v>0</v>
      </c>
      <c r="BF4109" s="34" t="n">
        <f aca="false">BD4109*M4109</f>
        <v>134576</v>
      </c>
      <c r="BG4109" s="35" t="n">
        <f aca="false">BA4109-BF4109</f>
        <v>0</v>
      </c>
      <c r="BH4109" s="19" t="str">
        <f aca="false">IF(BG4109=0,"",IF(BG4109&lt;&gt;BA4109,"erreur de calcul",IF(BD4109&lt;&gt;0,"pas de prix",IF(M4109&lt;&gt; 0,"pas de quantité","pas de prix, ni de quantité"))))</f>
        <v/>
      </c>
      <c r="BI4109" s="19"/>
    </row>
    <row r="4110" customFormat="false" ht="15" hidden="false" customHeight="false" outlineLevel="0" collapsed="false">
      <c r="A4110" s="0" t="n">
        <v>1</v>
      </c>
      <c r="B4110" s="8" t="s">
        <v>24</v>
      </c>
      <c r="C4110" s="9" t="s">
        <v>25</v>
      </c>
      <c r="D4110" s="9" t="s">
        <v>26</v>
      </c>
      <c r="E4110" s="10" t="n">
        <v>1789</v>
      </c>
      <c r="F4110" s="9" t="s">
        <v>27</v>
      </c>
      <c r="G4110" s="9" t="s">
        <v>27</v>
      </c>
      <c r="H4110" s="11" t="n">
        <v>25</v>
      </c>
      <c r="I4110" s="11" t="s">
        <v>329</v>
      </c>
      <c r="J4110" s="14" t="n">
        <v>30</v>
      </c>
      <c r="K4110" s="14"/>
      <c r="L4110" s="16"/>
      <c r="M4110" s="27" t="n">
        <f aca="false">J4110+(K4110/20)+(L4110/240)</f>
        <v>30</v>
      </c>
      <c r="N4110" s="17" t="s">
        <v>64</v>
      </c>
      <c r="O4110" s="11"/>
      <c r="P4110" s="28" t="n">
        <f aca="false">888/100</f>
        <v>8.88</v>
      </c>
      <c r="Q4110" s="28" t="n">
        <v>266</v>
      </c>
      <c r="R4110" s="28"/>
      <c r="S4110" s="28" t="n">
        <f aca="false">R4110*$M4110</f>
        <v>0</v>
      </c>
      <c r="T4110" s="28" t="n">
        <f aca="false">1151/100</f>
        <v>11.51</v>
      </c>
      <c r="U4110" s="28" t="n">
        <v>345</v>
      </c>
      <c r="V4110" s="28"/>
      <c r="W4110" s="28" t="n">
        <f aca="false">V4110*$M4110</f>
        <v>0</v>
      </c>
      <c r="X4110" s="28"/>
      <c r="Y4110" s="28" t="n">
        <f aca="false">X4110*$M4110</f>
        <v>0</v>
      </c>
      <c r="Z4110" s="28"/>
      <c r="AA4110" s="28" t="n">
        <f aca="false">Z4110*$M4110</f>
        <v>0</v>
      </c>
      <c r="AB4110" s="28"/>
      <c r="AC4110" s="28" t="n">
        <f aca="false">AB4110*$M4110</f>
        <v>0</v>
      </c>
      <c r="AD4110" s="28"/>
      <c r="AE4110" s="28" t="n">
        <f aca="false">AD4110*$M4110</f>
        <v>0</v>
      </c>
      <c r="AF4110" s="28"/>
      <c r="AG4110" s="28" t="n">
        <f aca="false">AF4110*$M4110</f>
        <v>0</v>
      </c>
      <c r="AH4110" s="28"/>
      <c r="AI4110" s="28" t="n">
        <f aca="false">AH4110*$M4110</f>
        <v>0</v>
      </c>
      <c r="AJ4110" s="28"/>
      <c r="AK4110" s="28" t="n">
        <f aca="false">AJ4110*$M4110</f>
        <v>0</v>
      </c>
      <c r="AL4110" s="28"/>
      <c r="AM4110" s="28" t="n">
        <f aca="false">AL4110*$M4110</f>
        <v>0</v>
      </c>
      <c r="AN4110" s="28"/>
      <c r="AO4110" s="28" t="n">
        <f aca="false">AN4110*$M4110</f>
        <v>0</v>
      </c>
      <c r="AP4110" s="28"/>
      <c r="AQ4110" s="28" t="n">
        <f aca="false">AP4110*$M4110</f>
        <v>0</v>
      </c>
      <c r="AR4110" s="28"/>
      <c r="AS4110" s="28" t="n">
        <f aca="false">AR4110*$M4110</f>
        <v>0</v>
      </c>
      <c r="AT4110" s="28"/>
      <c r="AU4110" s="28" t="n">
        <f aca="false">AT4110*$M4110</f>
        <v>0</v>
      </c>
      <c r="AV4110" s="28"/>
      <c r="AW4110" s="28" t="n">
        <f aca="false">AV4110*$M4110</f>
        <v>0</v>
      </c>
      <c r="AX4110" s="28"/>
      <c r="AY4110" s="28" t="n">
        <f aca="false">AX4110*$M4110</f>
        <v>0</v>
      </c>
      <c r="AZ4110" s="30" t="n">
        <f aca="false">2039/100</f>
        <v>20.39</v>
      </c>
      <c r="BA4110" s="11" t="n">
        <v>611</v>
      </c>
      <c r="BB4110" s="31" t="n">
        <f aca="false">SUM(Q4110,S4110,U4110,W4110,Y4110,AA4110,AC4110,AE4110,AG4110,AI4110,AK4110,AM4110,AO4110,AQ4110,AS4110,AU4110,AW4110,AY4110)</f>
        <v>611</v>
      </c>
      <c r="BC4110" s="28" t="n">
        <f aca="false">BA4110-BB4110</f>
        <v>0</v>
      </c>
      <c r="BD4110" s="32" t="n">
        <f aca="false">SUM(P4110,R4110,T4110,V4110,X4110,Z4110,AB4110,AD4110,AF4110,AH4110,AJ4110,AL4110,AN4110,AP4110,AR4110,AT4110,AV4110,AX4110)</f>
        <v>20.39</v>
      </c>
      <c r="BE4110" s="33" t="n">
        <f aca="false">AZ4110-BD4110</f>
        <v>0</v>
      </c>
      <c r="BF4110" s="34" t="n">
        <f aca="false">BD4110*M4110</f>
        <v>611.7</v>
      </c>
      <c r="BG4110" s="35" t="n">
        <f aca="false">BA4110-BF4110</f>
        <v>-0.700000000000046</v>
      </c>
      <c r="BH4110" s="19" t="str">
        <f aca="false">IF(BG4110=0,"",IF(BG4110&lt;&gt;BA4110,"erreur de calcul",IF(BD4110&lt;&gt;0,"pas de prix",IF(M4110&lt;&gt; 0,"pas de quantité","pas de prix, ni de quantité"))))</f>
        <v>erreur de calcul</v>
      </c>
      <c r="BI4110" s="19"/>
    </row>
    <row r="4111" customFormat="false" ht="15" hidden="false" customHeight="false" outlineLevel="0" collapsed="false">
      <c r="A4111" s="0" t="n">
        <v>2</v>
      </c>
      <c r="B4111" s="8" t="s">
        <v>24</v>
      </c>
      <c r="C4111" s="9" t="s">
        <v>25</v>
      </c>
      <c r="D4111" s="9" t="s">
        <v>26</v>
      </c>
      <c r="E4111" s="10" t="n">
        <v>1789</v>
      </c>
      <c r="F4111" s="9" t="s">
        <v>27</v>
      </c>
      <c r="G4111" s="9" t="s">
        <v>27</v>
      </c>
      <c r="H4111" s="11" t="n">
        <v>25</v>
      </c>
      <c r="I4111" s="11" t="s">
        <v>330</v>
      </c>
      <c r="J4111" s="14"/>
      <c r="K4111" s="14" t="n">
        <v>20</v>
      </c>
      <c r="L4111" s="16"/>
      <c r="M4111" s="27" t="n">
        <f aca="false">J4111+(K4111/20)+(L4111/240)</f>
        <v>1</v>
      </c>
      <c r="N4111" s="17" t="s">
        <v>66</v>
      </c>
      <c r="O4111" s="11"/>
      <c r="P4111" s="28"/>
      <c r="Q4111" s="28" t="n">
        <f aca="false">P4111*$M4111</f>
        <v>0</v>
      </c>
      <c r="R4111" s="28"/>
      <c r="S4111" s="28" t="n">
        <f aca="false">R4111*$M4111</f>
        <v>0</v>
      </c>
      <c r="T4111" s="28"/>
      <c r="U4111" s="28" t="n">
        <f aca="false">T4111*$M4111</f>
        <v>0</v>
      </c>
      <c r="V4111" s="28"/>
      <c r="W4111" s="28" t="n">
        <f aca="false">V4111*$M4111</f>
        <v>0</v>
      </c>
      <c r="X4111" s="28"/>
      <c r="Y4111" s="28" t="n">
        <f aca="false">X4111*$M4111</f>
        <v>0</v>
      </c>
      <c r="Z4111" s="28"/>
      <c r="AA4111" s="28" t="n">
        <f aca="false">Z4111*$M4111</f>
        <v>0</v>
      </c>
      <c r="AB4111" s="28"/>
      <c r="AC4111" s="28" t="n">
        <f aca="false">AB4111*$M4111</f>
        <v>0</v>
      </c>
      <c r="AD4111" s="28"/>
      <c r="AE4111" s="28" t="n">
        <f aca="false">AD4111*$M4111</f>
        <v>0</v>
      </c>
      <c r="AF4111" s="28"/>
      <c r="AG4111" s="28" t="n">
        <f aca="false">AF4111*$M4111</f>
        <v>0</v>
      </c>
      <c r="AH4111" s="28"/>
      <c r="AI4111" s="28" t="n">
        <f aca="false">AH4111*$M4111</f>
        <v>0</v>
      </c>
      <c r="AJ4111" s="28" t="n">
        <v>4241</v>
      </c>
      <c r="AK4111" s="28" t="n">
        <v>4241</v>
      </c>
      <c r="AL4111" s="28"/>
      <c r="AM4111" s="28" t="n">
        <f aca="false">AL4111*$M4111</f>
        <v>0</v>
      </c>
      <c r="AN4111" s="28"/>
      <c r="AO4111" s="28" t="n">
        <f aca="false">AN4111*$M4111</f>
        <v>0</v>
      </c>
      <c r="AP4111" s="28"/>
      <c r="AQ4111" s="28" t="n">
        <f aca="false">AP4111*$M4111</f>
        <v>0</v>
      </c>
      <c r="AR4111" s="28"/>
      <c r="AS4111" s="28" t="n">
        <f aca="false">AR4111*$M4111</f>
        <v>0</v>
      </c>
      <c r="AT4111" s="28"/>
      <c r="AU4111" s="28" t="n">
        <f aca="false">AT4111*$M4111</f>
        <v>0</v>
      </c>
      <c r="AV4111" s="28"/>
      <c r="AW4111" s="28" t="n">
        <f aca="false">AV4111*$M4111</f>
        <v>0</v>
      </c>
      <c r="AX4111" s="28"/>
      <c r="AY4111" s="28" t="n">
        <f aca="false">AX4111*$M4111</f>
        <v>0</v>
      </c>
      <c r="AZ4111" s="30" t="n">
        <v>4241</v>
      </c>
      <c r="BA4111" s="11" t="n">
        <v>4241</v>
      </c>
      <c r="BB4111" s="31" t="n">
        <f aca="false">SUM(Q4111,S4111,U4111,W4111,Y4111,AA4111,AC4111,AE4111,AG4111,AI4111,AK4111,AM4111,AO4111,AQ4111,AS4111,AU4111,AW4111,AY4111)</f>
        <v>4241</v>
      </c>
      <c r="BC4111" s="28" t="n">
        <f aca="false">BA4111-BB4111</f>
        <v>0</v>
      </c>
      <c r="BD4111" s="32" t="n">
        <f aca="false">SUM(P4111,R4111,T4111,V4111,X4111,Z4111,AB4111,AD4111,AF4111,AH4111,AJ4111,AL4111,AN4111,AP4111,AR4111,AT4111,AV4111,AX4111)</f>
        <v>4241</v>
      </c>
      <c r="BE4111" s="33" t="n">
        <f aca="false">AZ4111-BD4111</f>
        <v>0</v>
      </c>
      <c r="BF4111" s="34" t="n">
        <f aca="false">BD4111*M4111</f>
        <v>4241</v>
      </c>
      <c r="BG4111" s="35" t="n">
        <f aca="false">BA4111-BF4111</f>
        <v>0</v>
      </c>
      <c r="BH4111" s="19" t="str">
        <f aca="false">IF(BG4111=0,"",IF(BG4111&lt;&gt;BA4111,"erreur de calcul",IF(BD4111&lt;&gt;0,"pas de prix",IF(M4111&lt;&gt; 0,"pas de quantité","pas de prix, ni de quantité"))))</f>
        <v/>
      </c>
      <c r="BI4111" s="19"/>
    </row>
    <row r="4112" customFormat="false" ht="15" hidden="false" customHeight="false" outlineLevel="0" collapsed="false">
      <c r="A4112" s="0" t="n">
        <v>3</v>
      </c>
      <c r="B4112" s="8" t="s">
        <v>24</v>
      </c>
      <c r="C4112" s="9" t="s">
        <v>25</v>
      </c>
      <c r="D4112" s="9" t="s">
        <v>26</v>
      </c>
      <c r="E4112" s="10" t="n">
        <v>1789</v>
      </c>
      <c r="F4112" s="9" t="s">
        <v>27</v>
      </c>
      <c r="G4112" s="9" t="s">
        <v>27</v>
      </c>
      <c r="H4112" s="11" t="n">
        <v>25</v>
      </c>
      <c r="I4112" s="11" t="s">
        <v>331</v>
      </c>
      <c r="J4112" s="14" t="n">
        <v>18</v>
      </c>
      <c r="K4112" s="14"/>
      <c r="L4112" s="16"/>
      <c r="M4112" s="27" t="n">
        <f aca="false">J4112+(K4112/20)+(L4112/240)</f>
        <v>18</v>
      </c>
      <c r="N4112" s="17" t="s">
        <v>66</v>
      </c>
      <c r="O4112" s="11" t="s">
        <v>98</v>
      </c>
      <c r="P4112" s="28"/>
      <c r="Q4112" s="28" t="n">
        <f aca="false">P4112*$M4112</f>
        <v>0</v>
      </c>
      <c r="R4112" s="28"/>
      <c r="S4112" s="28" t="n">
        <f aca="false">R4112*$M4112</f>
        <v>0</v>
      </c>
      <c r="T4112" s="28"/>
      <c r="U4112" s="28" t="n">
        <f aca="false">T4112*$M4112</f>
        <v>0</v>
      </c>
      <c r="V4112" s="28"/>
      <c r="W4112" s="28" t="n">
        <f aca="false">V4112*$M4112</f>
        <v>0</v>
      </c>
      <c r="X4112" s="28"/>
      <c r="Y4112" s="28" t="n">
        <f aca="false">X4112*$M4112</f>
        <v>0</v>
      </c>
      <c r="Z4112" s="28"/>
      <c r="AA4112" s="28" t="n">
        <f aca="false">Z4112*$M4112</f>
        <v>0</v>
      </c>
      <c r="AB4112" s="28"/>
      <c r="AC4112" s="28" t="n">
        <f aca="false">AB4112*$M4112</f>
        <v>0</v>
      </c>
      <c r="AD4112" s="28"/>
      <c r="AE4112" s="28" t="n">
        <f aca="false">AD4112*$M4112</f>
        <v>0</v>
      </c>
      <c r="AF4112" s="28"/>
      <c r="AG4112" s="28" t="n">
        <f aca="false">AF4112*$M4112</f>
        <v>0</v>
      </c>
      <c r="AH4112" s="28"/>
      <c r="AI4112" s="28" t="n">
        <f aca="false">AH4112*$M4112</f>
        <v>0</v>
      </c>
      <c r="AJ4112" s="28"/>
      <c r="AK4112" s="28" t="n">
        <f aca="false">AJ4112*$M4112</f>
        <v>0</v>
      </c>
      <c r="AL4112" s="28"/>
      <c r="AM4112" s="28" t="n">
        <f aca="false">AL4112*$M4112</f>
        <v>0</v>
      </c>
      <c r="AN4112" s="28"/>
      <c r="AO4112" s="28" t="n">
        <f aca="false">AN4112*$M4112</f>
        <v>0</v>
      </c>
      <c r="AP4112" s="28"/>
      <c r="AQ4112" s="28" t="n">
        <f aca="false">AP4112*$M4112</f>
        <v>0</v>
      </c>
      <c r="AR4112" s="28"/>
      <c r="AS4112" s="28" t="n">
        <f aca="false">AR4112*$M4112</f>
        <v>0</v>
      </c>
      <c r="AT4112" s="28"/>
      <c r="AU4112" s="28" t="n">
        <f aca="false">AT4112*$M4112</f>
        <v>0</v>
      </c>
      <c r="AV4112" s="28"/>
      <c r="AW4112" s="28" t="n">
        <f aca="false">AV4112*$M4112</f>
        <v>0</v>
      </c>
      <c r="AX4112" s="28"/>
      <c r="AY4112" s="28" t="n">
        <f aca="false">AX4112*$M4112</f>
        <v>0</v>
      </c>
      <c r="AZ4112" s="30"/>
      <c r="BA4112" s="11"/>
      <c r="BB4112" s="31" t="n">
        <f aca="false">SUM(Q4112,S4112,U4112,W4112,Y4112,AA4112,AC4112,AE4112,AG4112,AI4112,AK4112,AM4112,AO4112,AQ4112,AS4112,AU4112,AW4112,AY4112)</f>
        <v>0</v>
      </c>
      <c r="BC4112" s="28" t="n">
        <f aca="false">BA4112-BB4112</f>
        <v>0</v>
      </c>
      <c r="BD4112" s="32" t="n">
        <f aca="false">SUM(P4112,R4112,T4112,V4112,X4112,Z4112,AB4112,AD4112,AF4112,AH4112,AJ4112,AL4112,AN4112,AP4112,AR4112,AT4112,AV4112,AX4112)</f>
        <v>0</v>
      </c>
      <c r="BE4112" s="33" t="n">
        <f aca="false">AZ4112-BD4112</f>
        <v>0</v>
      </c>
      <c r="BF4112" s="34" t="n">
        <f aca="false">BD4112*M4112</f>
        <v>0</v>
      </c>
      <c r="BG4112" s="35" t="n">
        <f aca="false">BA4112-BF4112</f>
        <v>0</v>
      </c>
      <c r="BH4112" s="19" t="str">
        <f aca="false">IF(BG4112=0,"",IF(BG4112&lt;&gt;BA4112,"erreur de calcul",IF(BD4112&lt;&gt;0,"pas de prix",IF(M4112&lt;&gt; 0,"pas de quantité","pas de prix, ni de quantité"))))</f>
        <v/>
      </c>
      <c r="BI4112" s="19"/>
    </row>
    <row r="4113" customFormat="false" ht="15" hidden="false" customHeight="false" outlineLevel="0" collapsed="false">
      <c r="A4113" s="0" t="n">
        <v>4</v>
      </c>
      <c r="B4113" s="8" t="s">
        <v>24</v>
      </c>
      <c r="C4113" s="9" t="s">
        <v>25</v>
      </c>
      <c r="D4113" s="9" t="s">
        <v>26</v>
      </c>
      <c r="E4113" s="10" t="n">
        <v>1789</v>
      </c>
      <c r="F4113" s="9" t="s">
        <v>27</v>
      </c>
      <c r="G4113" s="9" t="s">
        <v>27</v>
      </c>
      <c r="H4113" s="11" t="n">
        <v>25</v>
      </c>
      <c r="I4113" s="11" t="s">
        <v>332</v>
      </c>
      <c r="J4113" s="14" t="n">
        <v>18</v>
      </c>
      <c r="K4113" s="14"/>
      <c r="L4113" s="16"/>
      <c r="M4113" s="27" t="n">
        <f aca="false">J4113+(K4113/20)+(L4113/240)</f>
        <v>18</v>
      </c>
      <c r="N4113" s="17" t="s">
        <v>66</v>
      </c>
      <c r="O4113" s="11" t="s">
        <v>98</v>
      </c>
      <c r="P4113" s="28"/>
      <c r="Q4113" s="28" t="n">
        <f aca="false">P4113*$M4113</f>
        <v>0</v>
      </c>
      <c r="R4113" s="28"/>
      <c r="S4113" s="28" t="n">
        <f aca="false">R4113*$M4113</f>
        <v>0</v>
      </c>
      <c r="T4113" s="28"/>
      <c r="U4113" s="28" t="n">
        <f aca="false">T4113*$M4113</f>
        <v>0</v>
      </c>
      <c r="V4113" s="28"/>
      <c r="W4113" s="28" t="n">
        <f aca="false">V4113*$M4113</f>
        <v>0</v>
      </c>
      <c r="X4113" s="28"/>
      <c r="Y4113" s="28" t="n">
        <f aca="false">X4113*$M4113</f>
        <v>0</v>
      </c>
      <c r="Z4113" s="28"/>
      <c r="AA4113" s="28" t="n">
        <f aca="false">Z4113*$M4113</f>
        <v>0</v>
      </c>
      <c r="AB4113" s="28"/>
      <c r="AC4113" s="28" t="n">
        <f aca="false">AB4113*$M4113</f>
        <v>0</v>
      </c>
      <c r="AD4113" s="28"/>
      <c r="AE4113" s="28" t="n">
        <f aca="false">AD4113*$M4113</f>
        <v>0</v>
      </c>
      <c r="AF4113" s="28"/>
      <c r="AG4113" s="28" t="n">
        <f aca="false">AF4113*$M4113</f>
        <v>0</v>
      </c>
      <c r="AH4113" s="28"/>
      <c r="AI4113" s="28" t="n">
        <f aca="false">AH4113*$M4113</f>
        <v>0</v>
      </c>
      <c r="AJ4113" s="28"/>
      <c r="AK4113" s="28" t="n">
        <f aca="false">AJ4113*$M4113</f>
        <v>0</v>
      </c>
      <c r="AL4113" s="28"/>
      <c r="AM4113" s="28" t="n">
        <f aca="false">AL4113*$M4113</f>
        <v>0</v>
      </c>
      <c r="AN4113" s="28"/>
      <c r="AO4113" s="28" t="n">
        <f aca="false">AN4113*$M4113</f>
        <v>0</v>
      </c>
      <c r="AP4113" s="28"/>
      <c r="AQ4113" s="28" t="n">
        <f aca="false">AP4113*$M4113</f>
        <v>0</v>
      </c>
      <c r="AR4113" s="28"/>
      <c r="AS4113" s="28" t="n">
        <f aca="false">AR4113*$M4113</f>
        <v>0</v>
      </c>
      <c r="AT4113" s="28"/>
      <c r="AU4113" s="28" t="n">
        <f aca="false">AT4113*$M4113</f>
        <v>0</v>
      </c>
      <c r="AV4113" s="28"/>
      <c r="AW4113" s="28" t="n">
        <f aca="false">AV4113*$M4113</f>
        <v>0</v>
      </c>
      <c r="AX4113" s="28"/>
      <c r="AY4113" s="28" t="n">
        <f aca="false">AX4113*$M4113</f>
        <v>0</v>
      </c>
      <c r="AZ4113" s="30"/>
      <c r="BA4113" s="11"/>
      <c r="BB4113" s="31" t="n">
        <f aca="false">SUM(Q4113,S4113,U4113,W4113,Y4113,AA4113,AC4113,AE4113,AG4113,AI4113,AK4113,AM4113,AO4113,AQ4113,AS4113,AU4113,AW4113,AY4113)</f>
        <v>0</v>
      </c>
      <c r="BC4113" s="28" t="n">
        <f aca="false">BA4113-BB4113</f>
        <v>0</v>
      </c>
      <c r="BD4113" s="32" t="n">
        <f aca="false">SUM(P4113,R4113,T4113,V4113,X4113,Z4113,AB4113,AD4113,AF4113,AH4113,AJ4113,AL4113,AN4113,AP4113,AR4113,AT4113,AV4113,AX4113)</f>
        <v>0</v>
      </c>
      <c r="BE4113" s="33" t="n">
        <f aca="false">AZ4113-BD4113</f>
        <v>0</v>
      </c>
      <c r="BF4113" s="34" t="n">
        <f aca="false">BD4113*M4113</f>
        <v>0</v>
      </c>
      <c r="BG4113" s="35" t="n">
        <f aca="false">BA4113-BF4113</f>
        <v>0</v>
      </c>
      <c r="BH4113" s="19" t="str">
        <f aca="false">IF(BG4113=0,"",IF(BG4113&lt;&gt;BA4113,"erreur de calcul",IF(BD4113&lt;&gt;0,"pas de prix",IF(M4113&lt;&gt; 0,"pas de quantité","pas de prix, ni de quantité"))))</f>
        <v/>
      </c>
      <c r="BI4113" s="19"/>
    </row>
    <row r="4114" customFormat="false" ht="15" hidden="false" customHeight="false" outlineLevel="0" collapsed="false">
      <c r="A4114" s="0" t="n">
        <v>5</v>
      </c>
      <c r="B4114" s="8" t="s">
        <v>24</v>
      </c>
      <c r="C4114" s="9" t="s">
        <v>25</v>
      </c>
      <c r="D4114" s="9" t="s">
        <v>26</v>
      </c>
      <c r="E4114" s="10" t="n">
        <v>1789</v>
      </c>
      <c r="F4114" s="9" t="s">
        <v>27</v>
      </c>
      <c r="G4114" s="9" t="s">
        <v>27</v>
      </c>
      <c r="H4114" s="11" t="n">
        <v>25</v>
      </c>
      <c r="I4114" s="11" t="s">
        <v>333</v>
      </c>
      <c r="J4114" s="14" t="n">
        <v>44</v>
      </c>
      <c r="K4114" s="14"/>
      <c r="L4114" s="16"/>
      <c r="M4114" s="27" t="n">
        <f aca="false">J4114+(K4114/20)+(L4114/240)</f>
        <v>44</v>
      </c>
      <c r="N4114" s="17" t="s">
        <v>66</v>
      </c>
      <c r="O4114" s="11"/>
      <c r="P4114" s="28" t="n">
        <v>1391</v>
      </c>
      <c r="Q4114" s="28" t="n">
        <v>61204</v>
      </c>
      <c r="R4114" s="28"/>
      <c r="S4114" s="28" t="n">
        <f aca="false">R4114*$M4114</f>
        <v>0</v>
      </c>
      <c r="T4114" s="28"/>
      <c r="U4114" s="28" t="n">
        <f aca="false">T4114*$M4114</f>
        <v>0</v>
      </c>
      <c r="V4114" s="28"/>
      <c r="W4114" s="28" t="n">
        <f aca="false">V4114*$M4114</f>
        <v>0</v>
      </c>
      <c r="X4114" s="28"/>
      <c r="Y4114" s="28" t="n">
        <f aca="false">X4114*$M4114</f>
        <v>0</v>
      </c>
      <c r="Z4114" s="28"/>
      <c r="AA4114" s="28" t="n">
        <f aca="false">Z4114*$M4114</f>
        <v>0</v>
      </c>
      <c r="AB4114" s="28"/>
      <c r="AC4114" s="28" t="n">
        <f aca="false">AB4114*$M4114</f>
        <v>0</v>
      </c>
      <c r="AD4114" s="28"/>
      <c r="AE4114" s="28" t="n">
        <f aca="false">AD4114*$M4114</f>
        <v>0</v>
      </c>
      <c r="AF4114" s="28"/>
      <c r="AG4114" s="28" t="n">
        <f aca="false">AF4114*$M4114</f>
        <v>0</v>
      </c>
      <c r="AH4114" s="28"/>
      <c r="AI4114" s="28" t="n">
        <f aca="false">AH4114*$M4114</f>
        <v>0</v>
      </c>
      <c r="AJ4114" s="28"/>
      <c r="AK4114" s="28" t="n">
        <f aca="false">AJ4114*$M4114</f>
        <v>0</v>
      </c>
      <c r="AL4114" s="28"/>
      <c r="AM4114" s="28" t="n">
        <f aca="false">AL4114*$M4114</f>
        <v>0</v>
      </c>
      <c r="AN4114" s="28"/>
      <c r="AO4114" s="28" t="n">
        <f aca="false">AN4114*$M4114</f>
        <v>0</v>
      </c>
      <c r="AP4114" s="28"/>
      <c r="AQ4114" s="28" t="n">
        <f aca="false">AP4114*$M4114</f>
        <v>0</v>
      </c>
      <c r="AR4114" s="28"/>
      <c r="AS4114" s="28" t="n">
        <f aca="false">AR4114*$M4114</f>
        <v>0</v>
      </c>
      <c r="AT4114" s="28"/>
      <c r="AU4114" s="28" t="n">
        <f aca="false">AT4114*$M4114</f>
        <v>0</v>
      </c>
      <c r="AV4114" s="28"/>
      <c r="AW4114" s="28" t="n">
        <f aca="false">AV4114*$M4114</f>
        <v>0</v>
      </c>
      <c r="AX4114" s="28"/>
      <c r="AY4114" s="28" t="n">
        <f aca="false">AX4114*$M4114</f>
        <v>0</v>
      </c>
      <c r="AZ4114" s="30" t="n">
        <v>1391</v>
      </c>
      <c r="BA4114" s="11" t="n">
        <v>61204</v>
      </c>
      <c r="BB4114" s="31" t="n">
        <f aca="false">SUM(Q4114,S4114,U4114,W4114,Y4114,AA4114,AC4114,AE4114,AG4114,AI4114,AK4114,AM4114,AO4114,AQ4114,AS4114,AU4114,AW4114,AY4114)</f>
        <v>61204</v>
      </c>
      <c r="BC4114" s="28" t="n">
        <f aca="false">BA4114-BB4114</f>
        <v>0</v>
      </c>
      <c r="BD4114" s="32" t="n">
        <f aca="false">SUM(P4114,R4114,T4114,V4114,X4114,Z4114,AB4114,AD4114,AF4114,AH4114,AJ4114,AL4114,AN4114,AP4114,AR4114,AT4114,AV4114,AX4114)</f>
        <v>1391</v>
      </c>
      <c r="BE4114" s="33" t="n">
        <f aca="false">AZ4114-BD4114</f>
        <v>0</v>
      </c>
      <c r="BF4114" s="34" t="n">
        <f aca="false">BD4114*M4114</f>
        <v>61204</v>
      </c>
      <c r="BG4114" s="35" t="n">
        <f aca="false">BA4114-BF4114</f>
        <v>0</v>
      </c>
      <c r="BH4114" s="19" t="str">
        <f aca="false">IF(BG4114=0,"",IF(BG4114&lt;&gt;BA4114,"erreur de calcul",IF(BD4114&lt;&gt;0,"pas de prix",IF(M4114&lt;&gt; 0,"pas de quantité","pas de prix, ni de quantité"))))</f>
        <v/>
      </c>
      <c r="BI4114" s="19"/>
    </row>
    <row r="4115" customFormat="false" ht="15" hidden="false" customHeight="false" outlineLevel="0" collapsed="false">
      <c r="A4115" s="0" t="n">
        <v>6</v>
      </c>
      <c r="B4115" s="8" t="s">
        <v>24</v>
      </c>
      <c r="C4115" s="9" t="s">
        <v>25</v>
      </c>
      <c r="D4115" s="9" t="s">
        <v>26</v>
      </c>
      <c r="E4115" s="10" t="n">
        <v>1789</v>
      </c>
      <c r="F4115" s="9" t="s">
        <v>27</v>
      </c>
      <c r="G4115" s="9" t="s">
        <v>27</v>
      </c>
      <c r="H4115" s="11" t="n">
        <v>25</v>
      </c>
      <c r="I4115" s="11" t="s">
        <v>334</v>
      </c>
      <c r="J4115" s="14" t="n">
        <v>12</v>
      </c>
      <c r="K4115" s="14"/>
      <c r="L4115" s="16"/>
      <c r="M4115" s="27" t="n">
        <f aca="false">J4115+(K4115/20)+(L4115/240)</f>
        <v>12</v>
      </c>
      <c r="N4115" s="17" t="s">
        <v>64</v>
      </c>
      <c r="O4115" s="11"/>
      <c r="P4115" s="28"/>
      <c r="Q4115" s="28" t="n">
        <f aca="false">P4115*$M4115</f>
        <v>0</v>
      </c>
      <c r="R4115" s="28"/>
      <c r="S4115" s="28" t="n">
        <f aca="false">R4115*$M4115</f>
        <v>0</v>
      </c>
      <c r="T4115" s="28"/>
      <c r="U4115" s="28" t="n">
        <f aca="false">T4115*$M4115</f>
        <v>0</v>
      </c>
      <c r="V4115" s="28"/>
      <c r="W4115" s="28" t="n">
        <f aca="false">V4115*$M4115</f>
        <v>0</v>
      </c>
      <c r="X4115" s="28" t="n">
        <f aca="false">1111/100</f>
        <v>11.11</v>
      </c>
      <c r="Y4115" s="28" t="n">
        <v>133</v>
      </c>
      <c r="Z4115" s="28"/>
      <c r="AA4115" s="28" t="n">
        <f aca="false">Z4115*$M4115</f>
        <v>0</v>
      </c>
      <c r="AB4115" s="28"/>
      <c r="AC4115" s="28" t="n">
        <f aca="false">AB4115*$M4115</f>
        <v>0</v>
      </c>
      <c r="AD4115" s="28"/>
      <c r="AE4115" s="28" t="n">
        <f aca="false">AD4115*$M4115</f>
        <v>0</v>
      </c>
      <c r="AF4115" s="28"/>
      <c r="AG4115" s="28" t="n">
        <f aca="false">AF4115*$M4115</f>
        <v>0</v>
      </c>
      <c r="AH4115" s="28"/>
      <c r="AI4115" s="28" t="n">
        <f aca="false">AH4115*$M4115</f>
        <v>0</v>
      </c>
      <c r="AJ4115" s="28"/>
      <c r="AK4115" s="28" t="n">
        <f aca="false">AJ4115*$M4115</f>
        <v>0</v>
      </c>
      <c r="AL4115" s="28"/>
      <c r="AM4115" s="28" t="n">
        <f aca="false">AL4115*$M4115</f>
        <v>0</v>
      </c>
      <c r="AN4115" s="28"/>
      <c r="AO4115" s="28" t="n">
        <f aca="false">AN4115*$M4115</f>
        <v>0</v>
      </c>
      <c r="AP4115" s="28"/>
      <c r="AQ4115" s="28" t="n">
        <f aca="false">AP4115*$M4115</f>
        <v>0</v>
      </c>
      <c r="AR4115" s="28"/>
      <c r="AS4115" s="28" t="n">
        <f aca="false">AR4115*$M4115</f>
        <v>0</v>
      </c>
      <c r="AT4115" s="28"/>
      <c r="AU4115" s="28" t="n">
        <f aca="false">AT4115*$M4115</f>
        <v>0</v>
      </c>
      <c r="AV4115" s="28"/>
      <c r="AW4115" s="28" t="n">
        <f aca="false">AV4115*$M4115</f>
        <v>0</v>
      </c>
      <c r="AX4115" s="28"/>
      <c r="AY4115" s="28" t="n">
        <f aca="false">AX4115*$M4115</f>
        <v>0</v>
      </c>
      <c r="AZ4115" s="30" t="n">
        <f aca="false">1111/100</f>
        <v>11.11</v>
      </c>
      <c r="BA4115" s="11" t="n">
        <v>133</v>
      </c>
      <c r="BB4115" s="31" t="n">
        <f aca="false">SUM(Q4115,S4115,U4115,W4115,Y4115,AA4115,AC4115,AE4115,AG4115,AI4115,AK4115,AM4115,AO4115,AQ4115,AS4115,AU4115,AW4115,AY4115)</f>
        <v>133</v>
      </c>
      <c r="BC4115" s="28" t="n">
        <f aca="false">BA4115-BB4115</f>
        <v>0</v>
      </c>
      <c r="BD4115" s="32" t="n">
        <f aca="false">SUM(P4115,R4115,T4115,V4115,X4115,Z4115,AB4115,AD4115,AF4115,AH4115,AJ4115,AL4115,AN4115,AP4115,AR4115,AT4115,AV4115,AX4115)</f>
        <v>11.11</v>
      </c>
      <c r="BE4115" s="33" t="n">
        <f aca="false">AZ4115-BD4115</f>
        <v>0</v>
      </c>
      <c r="BF4115" s="34" t="n">
        <f aca="false">BD4115*M4115</f>
        <v>133.32</v>
      </c>
      <c r="BG4115" s="35" t="n">
        <f aca="false">BA4115-BF4115</f>
        <v>-0.319999999999993</v>
      </c>
      <c r="BH4115" s="19" t="str">
        <f aca="false">IF(BG4115=0,"",IF(BG4115&lt;&gt;BA4115,"erreur de calcul",IF(BD4115&lt;&gt;0,"pas de prix",IF(M4115&lt;&gt; 0,"pas de quantité","pas de prix, ni de quantité"))))</f>
        <v>erreur de calcul</v>
      </c>
      <c r="BI4115" s="19"/>
    </row>
    <row r="4116" customFormat="false" ht="16.65" hidden="false" customHeight="false" outlineLevel="0" collapsed="false">
      <c r="A4116" s="0" t="n">
        <v>7</v>
      </c>
      <c r="B4116" s="8" t="s">
        <v>24</v>
      </c>
      <c r="C4116" s="9" t="s">
        <v>25</v>
      </c>
      <c r="D4116" s="9" t="s">
        <v>26</v>
      </c>
      <c r="E4116" s="10" t="n">
        <v>1789</v>
      </c>
      <c r="F4116" s="9" t="s">
        <v>27</v>
      </c>
      <c r="G4116" s="9" t="s">
        <v>27</v>
      </c>
      <c r="H4116" s="11" t="n">
        <v>25</v>
      </c>
      <c r="I4116" s="11" t="s">
        <v>335</v>
      </c>
      <c r="J4116" s="14" t="n">
        <v>4</v>
      </c>
      <c r="K4116" s="14" t="n">
        <v>10</v>
      </c>
      <c r="L4116" s="16"/>
      <c r="M4116" s="27" t="n">
        <f aca="false">J4116+(K4116/20)+(L4116/240)</f>
        <v>4.5</v>
      </c>
      <c r="N4116" s="17" t="s">
        <v>64</v>
      </c>
      <c r="O4116" s="11" t="s">
        <v>77</v>
      </c>
      <c r="P4116" s="28" t="n">
        <f aca="false">8366/100</f>
        <v>83.66</v>
      </c>
      <c r="Q4116" s="28" t="n">
        <v>376</v>
      </c>
      <c r="R4116" s="28"/>
      <c r="S4116" s="28" t="n">
        <f aca="false">R4116*$M4116</f>
        <v>0</v>
      </c>
      <c r="T4116" s="28"/>
      <c r="U4116" s="28" t="n">
        <f aca="false">T4116*$M4116</f>
        <v>0</v>
      </c>
      <c r="V4116" s="28"/>
      <c r="W4116" s="28" t="n">
        <f aca="false">V4116*$M4116</f>
        <v>0</v>
      </c>
      <c r="X4116" s="28"/>
      <c r="Y4116" s="28" t="n">
        <f aca="false">X4116*$M4116</f>
        <v>0</v>
      </c>
      <c r="Z4116" s="28"/>
      <c r="AA4116" s="28" t="n">
        <f aca="false">Z4116*$M4116</f>
        <v>0</v>
      </c>
      <c r="AB4116" s="28"/>
      <c r="AC4116" s="28" t="n">
        <f aca="false">AB4116*$M4116</f>
        <v>0</v>
      </c>
      <c r="AD4116" s="28"/>
      <c r="AE4116" s="28" t="n">
        <f aca="false">AD4116*$M4116</f>
        <v>0</v>
      </c>
      <c r="AF4116" s="28"/>
      <c r="AG4116" s="28" t="n">
        <f aca="false">AF4116*$M4116</f>
        <v>0</v>
      </c>
      <c r="AH4116" s="28"/>
      <c r="AI4116" s="28" t="n">
        <f aca="false">AH4116*$M4116</f>
        <v>0</v>
      </c>
      <c r="AJ4116" s="28"/>
      <c r="AK4116" s="28" t="n">
        <f aca="false">AJ4116*$M4116</f>
        <v>0</v>
      </c>
      <c r="AL4116" s="28"/>
      <c r="AM4116" s="28" t="n">
        <f aca="false">AL4116*$M4116</f>
        <v>0</v>
      </c>
      <c r="AN4116" s="28"/>
      <c r="AO4116" s="28" t="n">
        <f aca="false">AN4116*$M4116</f>
        <v>0</v>
      </c>
      <c r="AP4116" s="28"/>
      <c r="AQ4116" s="28" t="n">
        <f aca="false">AP4116*$M4116</f>
        <v>0</v>
      </c>
      <c r="AR4116" s="28"/>
      <c r="AS4116" s="28" t="n">
        <f aca="false">AR4116*$M4116</f>
        <v>0</v>
      </c>
      <c r="AT4116" s="28"/>
      <c r="AU4116" s="28" t="n">
        <f aca="false">AT4116*$M4116</f>
        <v>0</v>
      </c>
      <c r="AV4116" s="28"/>
      <c r="AW4116" s="28" t="n">
        <f aca="false">AV4116*$M4116</f>
        <v>0</v>
      </c>
      <c r="AX4116" s="28"/>
      <c r="AY4116" s="28" t="n">
        <f aca="false">AX4116*$M4116</f>
        <v>0</v>
      </c>
      <c r="AZ4116" s="30" t="n">
        <f aca="false">8366/100</f>
        <v>83.66</v>
      </c>
      <c r="BA4116" s="11" t="n">
        <v>376</v>
      </c>
      <c r="BB4116" s="31" t="n">
        <f aca="false">SUM(Q4116,S4116,U4116,W4116,Y4116,AA4116,AC4116,AE4116,AG4116,AI4116,AK4116,AM4116,AO4116,AQ4116,AS4116,AU4116,AW4116,AY4116)</f>
        <v>376</v>
      </c>
      <c r="BC4116" s="28" t="n">
        <f aca="false">BA4116-BB4116</f>
        <v>0</v>
      </c>
      <c r="BD4116" s="32" t="n">
        <f aca="false">SUM(P4116,R4116,T4116,V4116,X4116,Z4116,AB4116,AD4116,AF4116,AH4116,AJ4116,AL4116,AN4116,AP4116,AR4116,AT4116,AV4116,AX4116)</f>
        <v>83.66</v>
      </c>
      <c r="BE4116" s="33" t="n">
        <f aca="false">AZ4116-BD4116</f>
        <v>0</v>
      </c>
      <c r="BF4116" s="34" t="n">
        <f aca="false">BD4116*M4116</f>
        <v>376.47</v>
      </c>
      <c r="BG4116" s="35" t="n">
        <f aca="false">BA4116-BF4116</f>
        <v>-0.46999999999997</v>
      </c>
      <c r="BH4116" s="19" t="str">
        <f aca="false">IF(BG4116=0,"",IF(BG4116&lt;&gt;BA4116,"erreur de calcul",IF(BD4116&lt;&gt;0,"pas de prix",IF(M4116&lt;&gt; 0,"pas de quantité","pas de prix, ni de quantité"))))</f>
        <v>erreur de calcul</v>
      </c>
      <c r="BI4116" s="19"/>
    </row>
    <row r="4117" customFormat="false" ht="15" hidden="false" customHeight="false" outlineLevel="0" collapsed="false">
      <c r="A4117" s="0" t="n">
        <v>8</v>
      </c>
      <c r="B4117" s="8" t="s">
        <v>24</v>
      </c>
      <c r="C4117" s="9" t="s">
        <v>25</v>
      </c>
      <c r="D4117" s="9" t="s">
        <v>26</v>
      </c>
      <c r="E4117" s="10" t="n">
        <v>1789</v>
      </c>
      <c r="F4117" s="9" t="s">
        <v>27</v>
      </c>
      <c r="G4117" s="9" t="s">
        <v>27</v>
      </c>
      <c r="H4117" s="11" t="n">
        <v>25</v>
      </c>
      <c r="I4117" s="11" t="s">
        <v>336</v>
      </c>
      <c r="J4117" s="14" t="n">
        <v>64</v>
      </c>
      <c r="K4117" s="14"/>
      <c r="L4117" s="16"/>
      <c r="M4117" s="27" t="n">
        <f aca="false">J4117+(K4117/20)+(L4117/240)</f>
        <v>64</v>
      </c>
      <c r="N4117" s="17" t="s">
        <v>337</v>
      </c>
      <c r="O4117" s="11"/>
      <c r="P4117" s="28"/>
      <c r="Q4117" s="28" t="n">
        <f aca="false">P4117*$M4117</f>
        <v>0</v>
      </c>
      <c r="R4117" s="28"/>
      <c r="S4117" s="28" t="n">
        <f aca="false">R4117*$M4117</f>
        <v>0</v>
      </c>
      <c r="T4117" s="28" t="n">
        <v>42</v>
      </c>
      <c r="U4117" s="28" t="n">
        <v>2688</v>
      </c>
      <c r="V4117" s="28"/>
      <c r="W4117" s="28" t="n">
        <f aca="false">V4117*$M4117</f>
        <v>0</v>
      </c>
      <c r="X4117" s="28"/>
      <c r="Y4117" s="28" t="n">
        <f aca="false">X4117*$M4117</f>
        <v>0</v>
      </c>
      <c r="Z4117" s="28"/>
      <c r="AA4117" s="28" t="n">
        <f aca="false">Z4117*$M4117</f>
        <v>0</v>
      </c>
      <c r="AB4117" s="28" t="n">
        <v>66</v>
      </c>
      <c r="AC4117" s="28" t="n">
        <v>4224</v>
      </c>
      <c r="AD4117" s="28"/>
      <c r="AE4117" s="28" t="n">
        <f aca="false">AD4117*$M4117</f>
        <v>0</v>
      </c>
      <c r="AF4117" s="28"/>
      <c r="AG4117" s="28" t="n">
        <f aca="false">AF4117*$M4117</f>
        <v>0</v>
      </c>
      <c r="AH4117" s="28"/>
      <c r="AI4117" s="28" t="n">
        <f aca="false">AH4117*$M4117</f>
        <v>0</v>
      </c>
      <c r="AJ4117" s="28"/>
      <c r="AK4117" s="28" t="n">
        <f aca="false">AJ4117*$M4117</f>
        <v>0</v>
      </c>
      <c r="AL4117" s="28"/>
      <c r="AM4117" s="28" t="n">
        <f aca="false">AL4117*$M4117</f>
        <v>0</v>
      </c>
      <c r="AN4117" s="28"/>
      <c r="AO4117" s="28" t="n">
        <f aca="false">AN4117*$M4117</f>
        <v>0</v>
      </c>
      <c r="AP4117" s="28"/>
      <c r="AQ4117" s="28" t="n">
        <f aca="false">AP4117*$M4117</f>
        <v>0</v>
      </c>
      <c r="AR4117" s="28"/>
      <c r="AS4117" s="28" t="n">
        <f aca="false">AR4117*$M4117</f>
        <v>0</v>
      </c>
      <c r="AT4117" s="28"/>
      <c r="AU4117" s="28" t="n">
        <f aca="false">AT4117*$M4117</f>
        <v>0</v>
      </c>
      <c r="AV4117" s="28"/>
      <c r="AW4117" s="28" t="n">
        <f aca="false">AV4117*$M4117</f>
        <v>0</v>
      </c>
      <c r="AX4117" s="28"/>
      <c r="AY4117" s="28" t="n">
        <f aca="false">AX4117*$M4117</f>
        <v>0</v>
      </c>
      <c r="AZ4117" s="30" t="n">
        <v>108</v>
      </c>
      <c r="BA4117" s="11" t="n">
        <v>6912</v>
      </c>
      <c r="BB4117" s="31" t="n">
        <f aca="false">SUM(Q4117,S4117,U4117,W4117,Y4117,AA4117,AC4117,AE4117,AG4117,AI4117,AK4117,AM4117,AO4117,AQ4117,AS4117,AU4117,AW4117,AY4117)</f>
        <v>6912</v>
      </c>
      <c r="BC4117" s="28" t="n">
        <f aca="false">BA4117-BB4117</f>
        <v>0</v>
      </c>
      <c r="BD4117" s="32" t="n">
        <f aca="false">SUM(P4117,R4117,T4117,V4117,X4117,Z4117,AB4117,AD4117,AF4117,AH4117,AJ4117,AL4117,AN4117,AP4117,AR4117,AT4117,AV4117,AX4117)</f>
        <v>108</v>
      </c>
      <c r="BE4117" s="33" t="n">
        <f aca="false">AZ4117-BD4117</f>
        <v>0</v>
      </c>
      <c r="BF4117" s="34" t="n">
        <f aca="false">BD4117*M4117</f>
        <v>6912</v>
      </c>
      <c r="BG4117" s="35" t="n">
        <f aca="false">BA4117-BF4117</f>
        <v>0</v>
      </c>
      <c r="BH4117" s="19" t="str">
        <f aca="false">IF(BG4117=0,"",IF(BG4117&lt;&gt;BA4117,"erreur de calcul",IF(BD4117&lt;&gt;0,"pas de prix",IF(M4117&lt;&gt; 0,"pas de quantité","pas de prix, ni de quantité"))))</f>
        <v/>
      </c>
      <c r="BI4117" s="19"/>
    </row>
    <row r="4118" customFormat="false" ht="15" hidden="false" customHeight="false" outlineLevel="0" collapsed="false">
      <c r="A4118" s="0" t="n">
        <v>9</v>
      </c>
      <c r="B4118" s="8" t="s">
        <v>24</v>
      </c>
      <c r="C4118" s="9" t="s">
        <v>25</v>
      </c>
      <c r="D4118" s="9" t="s">
        <v>26</v>
      </c>
      <c r="E4118" s="10" t="n">
        <v>1789</v>
      </c>
      <c r="F4118" s="9" t="s">
        <v>27</v>
      </c>
      <c r="G4118" s="9" t="s">
        <v>27</v>
      </c>
      <c r="H4118" s="11" t="n">
        <v>25</v>
      </c>
      <c r="I4118" s="11" t="s">
        <v>338</v>
      </c>
      <c r="J4118" s="14"/>
      <c r="K4118" s="14"/>
      <c r="L4118" s="16"/>
      <c r="M4118" s="27" t="n">
        <f aca="false">J4118+(K4118/20)+(L4118/240)</f>
        <v>0</v>
      </c>
      <c r="N4118" s="17"/>
      <c r="O4118" s="11"/>
      <c r="P4118" s="28"/>
      <c r="Q4118" s="28" t="n">
        <f aca="false">P4118*$M4118</f>
        <v>0</v>
      </c>
      <c r="R4118" s="28"/>
      <c r="S4118" s="28" t="n">
        <f aca="false">R4118*$M4118</f>
        <v>0</v>
      </c>
      <c r="T4118" s="28"/>
      <c r="U4118" s="28" t="n">
        <v>135</v>
      </c>
      <c r="V4118" s="28"/>
      <c r="W4118" s="28" t="n">
        <v>642</v>
      </c>
      <c r="X4118" s="28"/>
      <c r="Y4118" s="28" t="n">
        <f aca="false">X4118*$M4118</f>
        <v>0</v>
      </c>
      <c r="Z4118" s="28"/>
      <c r="AA4118" s="28" t="n">
        <f aca="false">Z4118*$M4118</f>
        <v>0</v>
      </c>
      <c r="AB4118" s="28"/>
      <c r="AC4118" s="28" t="n">
        <f aca="false">AB4118*$M4118</f>
        <v>0</v>
      </c>
      <c r="AD4118" s="28"/>
      <c r="AE4118" s="28" t="n">
        <f aca="false">AD4118*$M4118</f>
        <v>0</v>
      </c>
      <c r="AF4118" s="28"/>
      <c r="AG4118" s="28" t="n">
        <f aca="false">AF4118*$M4118</f>
        <v>0</v>
      </c>
      <c r="AH4118" s="28"/>
      <c r="AI4118" s="28" t="n">
        <f aca="false">AH4118*$M4118</f>
        <v>0</v>
      </c>
      <c r="AJ4118" s="28"/>
      <c r="AK4118" s="28" t="n">
        <v>375</v>
      </c>
      <c r="AL4118" s="28"/>
      <c r="AM4118" s="28" t="n">
        <f aca="false">AL4118*$M4118</f>
        <v>0</v>
      </c>
      <c r="AN4118" s="28"/>
      <c r="AO4118" s="28" t="n">
        <f aca="false">AN4118*$M4118</f>
        <v>0</v>
      </c>
      <c r="AP4118" s="28"/>
      <c r="AQ4118" s="28" t="n">
        <f aca="false">AP4118*$M4118</f>
        <v>0</v>
      </c>
      <c r="AR4118" s="28"/>
      <c r="AS4118" s="28" t="n">
        <f aca="false">AR4118*$M4118</f>
        <v>0</v>
      </c>
      <c r="AT4118" s="28"/>
      <c r="AU4118" s="28" t="n">
        <f aca="false">AT4118*$M4118</f>
        <v>0</v>
      </c>
      <c r="AV4118" s="28"/>
      <c r="AW4118" s="28" t="n">
        <v>765</v>
      </c>
      <c r="AX4118" s="28"/>
      <c r="AY4118" s="28" t="n">
        <f aca="false">AX4118*$M4118</f>
        <v>0</v>
      </c>
      <c r="AZ4118" s="30"/>
      <c r="BA4118" s="11" t="n">
        <v>1917</v>
      </c>
      <c r="BB4118" s="31" t="n">
        <f aca="false">SUM(Q4118,S4118,U4118,W4118,Y4118,AA4118,AC4118,AE4118,AG4118,AI4118,AK4118,AM4118,AO4118,AQ4118,AS4118,AU4118,AW4118,AY4118)</f>
        <v>1917</v>
      </c>
      <c r="BC4118" s="28" t="n">
        <f aca="false">BA4118-BB4118</f>
        <v>0</v>
      </c>
      <c r="BD4118" s="32" t="n">
        <f aca="false">SUM(P4118,R4118,T4118,V4118,X4118,Z4118,AB4118,AD4118,AF4118,AH4118,AJ4118,AL4118,AN4118,AP4118,AR4118,AT4118,AV4118,AX4118)</f>
        <v>0</v>
      </c>
      <c r="BE4118" s="33" t="n">
        <f aca="false">AZ4118-BD4118</f>
        <v>0</v>
      </c>
      <c r="BF4118" s="34" t="n">
        <f aca="false">BD4118*M4118</f>
        <v>0</v>
      </c>
      <c r="BG4118" s="35" t="n">
        <f aca="false">BA4118-BF4118</f>
        <v>1917</v>
      </c>
      <c r="BH4118" s="19" t="str">
        <f aca="false">IF(BG4118=0,"",IF(BG4118&lt;&gt;BA4118,"erreur de calcul",IF(BD4118&lt;&gt;0,"pas de prix",IF(M4118&lt;&gt; 0,"pas de quantité","pas de prix, ni de quantité"))))</f>
        <v>pas de prix, ni de quantité</v>
      </c>
      <c r="BI4118" s="19"/>
    </row>
    <row r="4119" customFormat="false" ht="15" hidden="false" customHeight="false" outlineLevel="0" collapsed="false">
      <c r="A4119" s="0" t="n">
        <v>10</v>
      </c>
      <c r="B4119" s="8" t="s">
        <v>24</v>
      </c>
      <c r="C4119" s="9" t="s">
        <v>25</v>
      </c>
      <c r="D4119" s="9" t="s">
        <v>26</v>
      </c>
      <c r="E4119" s="10" t="n">
        <v>1789</v>
      </c>
      <c r="F4119" s="9" t="s">
        <v>27</v>
      </c>
      <c r="G4119" s="9" t="s">
        <v>27</v>
      </c>
      <c r="H4119" s="11" t="n">
        <v>25</v>
      </c>
      <c r="I4119" s="11" t="s">
        <v>339</v>
      </c>
      <c r="J4119" s="14" t="n">
        <v>7</v>
      </c>
      <c r="K4119" s="14"/>
      <c r="L4119" s="16"/>
      <c r="M4119" s="27" t="n">
        <f aca="false">J4119+(K4119/20)+(L4119/240)</f>
        <v>7</v>
      </c>
      <c r="N4119" s="17" t="s">
        <v>69</v>
      </c>
      <c r="O4119" s="11"/>
      <c r="P4119" s="28"/>
      <c r="Q4119" s="28" t="n">
        <f aca="false">P4119*$M4119</f>
        <v>0</v>
      </c>
      <c r="R4119" s="28"/>
      <c r="S4119" s="28" t="n">
        <f aca="false">R4119*$M4119</f>
        <v>0</v>
      </c>
      <c r="T4119" s="28"/>
      <c r="U4119" s="28" t="n">
        <f aca="false">T4119*$M4119</f>
        <v>0</v>
      </c>
      <c r="V4119" s="28" t="n">
        <v>554</v>
      </c>
      <c r="W4119" s="28" t="n">
        <v>3878</v>
      </c>
      <c r="X4119" s="28"/>
      <c r="Y4119" s="28" t="n">
        <f aca="false">X4119*$M4119</f>
        <v>0</v>
      </c>
      <c r="Z4119" s="28"/>
      <c r="AA4119" s="28" t="n">
        <f aca="false">Z4119*$M4119</f>
        <v>0</v>
      </c>
      <c r="AB4119" s="28"/>
      <c r="AC4119" s="28" t="n">
        <f aca="false">AB4119*$M4119</f>
        <v>0</v>
      </c>
      <c r="AD4119" s="28"/>
      <c r="AE4119" s="28" t="n">
        <f aca="false">AD4119*$M4119</f>
        <v>0</v>
      </c>
      <c r="AF4119" s="28"/>
      <c r="AG4119" s="28" t="n">
        <f aca="false">AF4119*$M4119</f>
        <v>0</v>
      </c>
      <c r="AH4119" s="28"/>
      <c r="AI4119" s="28" t="n">
        <f aca="false">AH4119*$M4119</f>
        <v>0</v>
      </c>
      <c r="AJ4119" s="28"/>
      <c r="AK4119" s="28" t="n">
        <f aca="false">AJ4119*$M4119</f>
        <v>0</v>
      </c>
      <c r="AL4119" s="28"/>
      <c r="AM4119" s="28" t="n">
        <f aca="false">AL4119*$M4119</f>
        <v>0</v>
      </c>
      <c r="AN4119" s="28"/>
      <c r="AO4119" s="28" t="n">
        <f aca="false">AN4119*$M4119</f>
        <v>0</v>
      </c>
      <c r="AP4119" s="28"/>
      <c r="AQ4119" s="28" t="n">
        <f aca="false">AP4119*$M4119</f>
        <v>0</v>
      </c>
      <c r="AR4119" s="28"/>
      <c r="AS4119" s="28" t="n">
        <f aca="false">AR4119*$M4119</f>
        <v>0</v>
      </c>
      <c r="AT4119" s="28"/>
      <c r="AU4119" s="28" t="n">
        <f aca="false">AT4119*$M4119</f>
        <v>0</v>
      </c>
      <c r="AV4119" s="28"/>
      <c r="AW4119" s="28" t="n">
        <f aca="false">AV4119*$M4119</f>
        <v>0</v>
      </c>
      <c r="AX4119" s="28"/>
      <c r="AY4119" s="28" t="n">
        <f aca="false">AX4119*$M4119</f>
        <v>0</v>
      </c>
      <c r="AZ4119" s="30" t="n">
        <v>554</v>
      </c>
      <c r="BA4119" s="11" t="n">
        <v>3878</v>
      </c>
      <c r="BB4119" s="31" t="n">
        <f aca="false">SUM(Q4119,S4119,U4119,W4119,Y4119,AA4119,AC4119,AE4119,AG4119,AI4119,AK4119,AM4119,AO4119,AQ4119,AS4119,AU4119,AW4119,AY4119)</f>
        <v>3878</v>
      </c>
      <c r="BC4119" s="28" t="n">
        <f aca="false">BA4119-BB4119</f>
        <v>0</v>
      </c>
      <c r="BD4119" s="32" t="n">
        <f aca="false">SUM(P4119,R4119,T4119,V4119,X4119,Z4119,AB4119,AD4119,AF4119,AH4119,AJ4119,AL4119,AN4119,AP4119,AR4119,AT4119,AV4119,AX4119)</f>
        <v>554</v>
      </c>
      <c r="BE4119" s="33" t="n">
        <f aca="false">AZ4119-BD4119</f>
        <v>0</v>
      </c>
      <c r="BF4119" s="34" t="n">
        <f aca="false">BD4119*M4119</f>
        <v>3878</v>
      </c>
      <c r="BG4119" s="35" t="n">
        <f aca="false">BA4119-BF4119</f>
        <v>0</v>
      </c>
      <c r="BH4119" s="19" t="str">
        <f aca="false">IF(BG4119=0,"",IF(BG4119&lt;&gt;BA4119,"erreur de calcul",IF(BD4119&lt;&gt;0,"pas de prix",IF(M4119&lt;&gt; 0,"pas de quantité","pas de prix, ni de quantité"))))</f>
        <v/>
      </c>
      <c r="BI4119" s="19"/>
    </row>
    <row r="4120" customFormat="false" ht="15" hidden="false" customHeight="false" outlineLevel="0" collapsed="false">
      <c r="A4120" s="0" t="n">
        <v>11</v>
      </c>
      <c r="B4120" s="8" t="s">
        <v>24</v>
      </c>
      <c r="C4120" s="9" t="s">
        <v>25</v>
      </c>
      <c r="D4120" s="9" t="s">
        <v>26</v>
      </c>
      <c r="E4120" s="10" t="n">
        <v>1789</v>
      </c>
      <c r="F4120" s="9" t="s">
        <v>27</v>
      </c>
      <c r="G4120" s="9" t="s">
        <v>27</v>
      </c>
      <c r="H4120" s="11" t="n">
        <v>25</v>
      </c>
      <c r="I4120" s="11" t="s">
        <v>340</v>
      </c>
      <c r="J4120" s="14" t="n">
        <v>15</v>
      </c>
      <c r="K4120" s="14"/>
      <c r="L4120" s="16"/>
      <c r="M4120" s="27" t="n">
        <f aca="false">J4120+(K4120/20)+(L4120/240)</f>
        <v>15</v>
      </c>
      <c r="N4120" s="17" t="s">
        <v>64</v>
      </c>
      <c r="O4120" s="11"/>
      <c r="P4120" s="28" t="n">
        <f aca="false">470959/100</f>
        <v>4709.59</v>
      </c>
      <c r="Q4120" s="28" t="n">
        <v>70644</v>
      </c>
      <c r="R4120" s="28"/>
      <c r="S4120" s="28" t="n">
        <f aca="false">R4120*$M4120</f>
        <v>0</v>
      </c>
      <c r="T4120" s="28"/>
      <c r="U4120" s="28" t="n">
        <f aca="false">T4120*$M4120</f>
        <v>0</v>
      </c>
      <c r="V4120" s="28"/>
      <c r="W4120" s="28" t="n">
        <f aca="false">V4120*$M4120</f>
        <v>0</v>
      </c>
      <c r="X4120" s="28"/>
      <c r="Y4120" s="28" t="n">
        <f aca="false">X4120*$M4120</f>
        <v>0</v>
      </c>
      <c r="Z4120" s="28"/>
      <c r="AA4120" s="28" t="n">
        <f aca="false">Z4120*$M4120</f>
        <v>0</v>
      </c>
      <c r="AB4120" s="28" t="n">
        <f aca="false">50000/100</f>
        <v>500</v>
      </c>
      <c r="AC4120" s="28" t="n">
        <v>7500</v>
      </c>
      <c r="AD4120" s="28"/>
      <c r="AE4120" s="28" t="n">
        <f aca="false">AD4120*$M4120</f>
        <v>0</v>
      </c>
      <c r="AF4120" s="28" t="n">
        <f aca="false">15584/100</f>
        <v>155.84</v>
      </c>
      <c r="AG4120" s="28" t="n">
        <v>2338</v>
      </c>
      <c r="AH4120" s="28"/>
      <c r="AI4120" s="28" t="n">
        <f aca="false">AH4120*$M4120</f>
        <v>0</v>
      </c>
      <c r="AJ4120" s="28"/>
      <c r="AK4120" s="28" t="n">
        <f aca="false">AJ4120*$M4120</f>
        <v>0</v>
      </c>
      <c r="AL4120" s="28"/>
      <c r="AM4120" s="28" t="n">
        <f aca="false">AL4120*$M4120</f>
        <v>0</v>
      </c>
      <c r="AN4120" s="28"/>
      <c r="AO4120" s="28" t="n">
        <f aca="false">AN4120*$M4120</f>
        <v>0</v>
      </c>
      <c r="AP4120" s="28"/>
      <c r="AQ4120" s="28" t="n">
        <f aca="false">AP4120*$M4120</f>
        <v>0</v>
      </c>
      <c r="AR4120" s="28"/>
      <c r="AS4120" s="28" t="n">
        <f aca="false">AR4120*$M4120</f>
        <v>0</v>
      </c>
      <c r="AT4120" s="28"/>
      <c r="AU4120" s="28" t="n">
        <f aca="false">AT4120*$M4120</f>
        <v>0</v>
      </c>
      <c r="AV4120" s="28"/>
      <c r="AW4120" s="28" t="n">
        <f aca="false">AV4120*$M4120</f>
        <v>0</v>
      </c>
      <c r="AX4120" s="28"/>
      <c r="AY4120" s="28" t="n">
        <f aca="false">AX4120*$M4120</f>
        <v>0</v>
      </c>
      <c r="AZ4120" s="30" t="n">
        <f aca="false">535959/100</f>
        <v>5359.59</v>
      </c>
      <c r="BA4120" s="11" t="n">
        <v>80482</v>
      </c>
      <c r="BB4120" s="31" t="n">
        <f aca="false">SUM(Q4120,S4120,U4120,W4120,Y4120,AA4120,AC4120,AE4120,AG4120,AI4120,AK4120,AM4120,AO4120,AQ4120,AS4120,AU4120,AW4120,AY4120)</f>
        <v>80482</v>
      </c>
      <c r="BC4120" s="28" t="n">
        <f aca="false">BA4120-BB4120</f>
        <v>0</v>
      </c>
      <c r="BD4120" s="32" t="n">
        <f aca="false">SUM(P4120,R4120,T4120,V4120,X4120,Z4120,AB4120,AD4120,AF4120,AH4120,AJ4120,AL4120,AN4120,AP4120,AR4120,AT4120,AV4120,AX4120)</f>
        <v>5365.43</v>
      </c>
      <c r="BE4120" s="33" t="n">
        <f aca="false">AZ4120-BD4120</f>
        <v>-5.84000000000015</v>
      </c>
      <c r="BF4120" s="34" t="n">
        <f aca="false">BD4120*M4120</f>
        <v>80481.45</v>
      </c>
      <c r="BG4120" s="35" t="n">
        <f aca="false">BA4120-BF4120</f>
        <v>0.549999999988359</v>
      </c>
      <c r="BH4120" s="19" t="str">
        <f aca="false">IF(BG4120=0,"",IF(BG4120&lt;&gt;BA4120,"erreur de calcul",IF(BD4120&lt;&gt;0,"pas de prix",IF(M4120&lt;&gt; 0,"pas de quantité","pas de prix, ni de quantité"))))</f>
        <v>erreur de calcul</v>
      </c>
      <c r="BI4120" s="19"/>
    </row>
    <row r="4121" customFormat="false" ht="15" hidden="false" customHeight="false" outlineLevel="0" collapsed="false">
      <c r="A4121" s="0" t="n">
        <v>12</v>
      </c>
      <c r="B4121" s="8" t="s">
        <v>24</v>
      </c>
      <c r="C4121" s="9" t="s">
        <v>25</v>
      </c>
      <c r="D4121" s="9" t="s">
        <v>26</v>
      </c>
      <c r="E4121" s="10" t="n">
        <v>1789</v>
      </c>
      <c r="F4121" s="9" t="s">
        <v>27</v>
      </c>
      <c r="G4121" s="9" t="s">
        <v>27</v>
      </c>
      <c r="H4121" s="11" t="n">
        <v>25</v>
      </c>
      <c r="I4121" s="11" t="s">
        <v>341</v>
      </c>
      <c r="J4121" s="14" t="n">
        <v>75</v>
      </c>
      <c r="K4121" s="14"/>
      <c r="L4121" s="16"/>
      <c r="M4121" s="27" t="n">
        <f aca="false">J4121+(K4121/20)+(L4121/240)</f>
        <v>75</v>
      </c>
      <c r="N4121" s="17" t="s">
        <v>85</v>
      </c>
      <c r="O4121" s="11"/>
      <c r="P4121" s="28"/>
      <c r="Q4121" s="28" t="n">
        <f aca="false">P4121*$M4121</f>
        <v>0</v>
      </c>
      <c r="R4121" s="28"/>
      <c r="S4121" s="28" t="n">
        <f aca="false">R4121*$M4121</f>
        <v>0</v>
      </c>
      <c r="T4121" s="28"/>
      <c r="U4121" s="28" t="n">
        <f aca="false">T4121*$M4121</f>
        <v>0</v>
      </c>
      <c r="V4121" s="28"/>
      <c r="W4121" s="28" t="n">
        <f aca="false">V4121*$M4121</f>
        <v>0</v>
      </c>
      <c r="X4121" s="28"/>
      <c r="Y4121" s="28" t="n">
        <f aca="false">X4121*$M4121</f>
        <v>0</v>
      </c>
      <c r="Z4121" s="28"/>
      <c r="AA4121" s="28" t="n">
        <f aca="false">Z4121*$M4121</f>
        <v>0</v>
      </c>
      <c r="AB4121" s="28"/>
      <c r="AC4121" s="28" t="n">
        <f aca="false">AB4121*$M4121</f>
        <v>0</v>
      </c>
      <c r="AD4121" s="28"/>
      <c r="AE4121" s="28" t="n">
        <f aca="false">AD4121*$M4121</f>
        <v>0</v>
      </c>
      <c r="AF4121" s="28"/>
      <c r="AG4121" s="28" t="n">
        <f aca="false">AF4121*$M4121</f>
        <v>0</v>
      </c>
      <c r="AH4121" s="28"/>
      <c r="AI4121" s="28" t="n">
        <f aca="false">AH4121*$M4121</f>
        <v>0</v>
      </c>
      <c r="AJ4121" s="28"/>
      <c r="AK4121" s="28" t="n">
        <f aca="false">AJ4121*$M4121</f>
        <v>0</v>
      </c>
      <c r="AL4121" s="28" t="n">
        <f aca="false">2584/100</f>
        <v>25.84</v>
      </c>
      <c r="AM4121" s="28" t="n">
        <v>1938</v>
      </c>
      <c r="AN4121" s="28"/>
      <c r="AO4121" s="28" t="n">
        <f aca="false">AN4121*$M4121</f>
        <v>0</v>
      </c>
      <c r="AP4121" s="28"/>
      <c r="AQ4121" s="28" t="n">
        <f aca="false">AP4121*$M4121</f>
        <v>0</v>
      </c>
      <c r="AR4121" s="28"/>
      <c r="AS4121" s="28" t="n">
        <f aca="false">AR4121*$M4121</f>
        <v>0</v>
      </c>
      <c r="AT4121" s="28"/>
      <c r="AU4121" s="28" t="n">
        <f aca="false">AT4121*$M4121</f>
        <v>0</v>
      </c>
      <c r="AV4121" s="28"/>
      <c r="AW4121" s="28" t="n">
        <f aca="false">AV4121*$M4121</f>
        <v>0</v>
      </c>
      <c r="AX4121" s="28"/>
      <c r="AY4121" s="28" t="n">
        <f aca="false">AX4121*$M4121</f>
        <v>0</v>
      </c>
      <c r="AZ4121" s="30" t="n">
        <f aca="false">2584/100</f>
        <v>25.84</v>
      </c>
      <c r="BA4121" s="11" t="n">
        <v>1938</v>
      </c>
      <c r="BB4121" s="31" t="n">
        <f aca="false">SUM(Q4121,S4121,U4121,W4121,Y4121,AA4121,AC4121,AE4121,AG4121,AI4121,AK4121,AM4121,AO4121,AQ4121,AS4121,AU4121,AW4121,AY4121)</f>
        <v>1938</v>
      </c>
      <c r="BC4121" s="28" t="n">
        <f aca="false">BA4121-BB4121</f>
        <v>0</v>
      </c>
      <c r="BD4121" s="32" t="n">
        <f aca="false">SUM(P4121,R4121,T4121,V4121,X4121,Z4121,AB4121,AD4121,AF4121,AH4121,AJ4121,AL4121,AN4121,AP4121,AR4121,AT4121,AV4121,AX4121)</f>
        <v>25.84</v>
      </c>
      <c r="BE4121" s="33" t="n">
        <f aca="false">AZ4121-BD4121</f>
        <v>0</v>
      </c>
      <c r="BF4121" s="34" t="n">
        <f aca="false">BD4121*M4121</f>
        <v>1938</v>
      </c>
      <c r="BG4121" s="35" t="n">
        <f aca="false">BA4121-BF4121</f>
        <v>0</v>
      </c>
      <c r="BH4121" s="19" t="str">
        <f aca="false">IF(BG4121=0,"",IF(BG4121&lt;&gt;BA4121,"erreur de calcul",IF(BD4121&lt;&gt;0,"pas de prix",IF(M4121&lt;&gt; 0,"pas de quantité","pas de prix, ni de quantité"))))</f>
        <v/>
      </c>
      <c r="BI4121" s="19"/>
    </row>
    <row r="4122" customFormat="false" ht="15" hidden="false" customHeight="false" outlineLevel="0" collapsed="false">
      <c r="A4122" s="0" t="n">
        <v>13</v>
      </c>
      <c r="B4122" s="8" t="s">
        <v>24</v>
      </c>
      <c r="C4122" s="9" t="s">
        <v>25</v>
      </c>
      <c r="D4122" s="9" t="s">
        <v>26</v>
      </c>
      <c r="E4122" s="10" t="n">
        <v>1789</v>
      </c>
      <c r="F4122" s="9" t="s">
        <v>27</v>
      </c>
      <c r="G4122" s="9" t="s">
        <v>27</v>
      </c>
      <c r="H4122" s="11" t="n">
        <v>25</v>
      </c>
      <c r="I4122" s="11" t="s">
        <v>342</v>
      </c>
      <c r="J4122" s="14" t="n">
        <v>10</v>
      </c>
      <c r="K4122" s="14"/>
      <c r="L4122" s="16"/>
      <c r="M4122" s="27" t="n">
        <f aca="false">J4122+(K4122/20)+(L4122/240)</f>
        <v>10</v>
      </c>
      <c r="N4122" s="17" t="s">
        <v>66</v>
      </c>
      <c r="O4122" s="11"/>
      <c r="P4122" s="28"/>
      <c r="Q4122" s="28" t="n">
        <f aca="false">P4122*$M4122</f>
        <v>0</v>
      </c>
      <c r="R4122" s="28" t="n">
        <v>827</v>
      </c>
      <c r="S4122" s="28" t="n">
        <v>8270</v>
      </c>
      <c r="T4122" s="28"/>
      <c r="U4122" s="28" t="n">
        <f aca="false">T4122*$M4122</f>
        <v>0</v>
      </c>
      <c r="V4122" s="28"/>
      <c r="W4122" s="28" t="n">
        <f aca="false">V4122*$M4122</f>
        <v>0</v>
      </c>
      <c r="X4122" s="28"/>
      <c r="Y4122" s="28" t="n">
        <f aca="false">X4122*$M4122</f>
        <v>0</v>
      </c>
      <c r="Z4122" s="28"/>
      <c r="AA4122" s="28" t="n">
        <f aca="false">Z4122*$M4122</f>
        <v>0</v>
      </c>
      <c r="AB4122" s="28"/>
      <c r="AC4122" s="28" t="n">
        <f aca="false">AB4122*$M4122</f>
        <v>0</v>
      </c>
      <c r="AD4122" s="28"/>
      <c r="AE4122" s="28" t="n">
        <f aca="false">AD4122*$M4122</f>
        <v>0</v>
      </c>
      <c r="AF4122" s="28"/>
      <c r="AG4122" s="28" t="n">
        <f aca="false">AF4122*$M4122</f>
        <v>0</v>
      </c>
      <c r="AH4122" s="28"/>
      <c r="AI4122" s="28" t="n">
        <f aca="false">AH4122*$M4122</f>
        <v>0</v>
      </c>
      <c r="AJ4122" s="28"/>
      <c r="AK4122" s="28" t="n">
        <f aca="false">AJ4122*$M4122</f>
        <v>0</v>
      </c>
      <c r="AL4122" s="28"/>
      <c r="AM4122" s="28" t="n">
        <f aca="false">AL4122*$M4122</f>
        <v>0</v>
      </c>
      <c r="AN4122" s="28"/>
      <c r="AO4122" s="28" t="n">
        <f aca="false">AN4122*$M4122</f>
        <v>0</v>
      </c>
      <c r="AP4122" s="28"/>
      <c r="AQ4122" s="28" t="n">
        <f aca="false">AP4122*$M4122</f>
        <v>0</v>
      </c>
      <c r="AR4122" s="28"/>
      <c r="AS4122" s="28" t="n">
        <f aca="false">AR4122*$M4122</f>
        <v>0</v>
      </c>
      <c r="AT4122" s="28"/>
      <c r="AU4122" s="28" t="n">
        <f aca="false">AT4122*$M4122</f>
        <v>0</v>
      </c>
      <c r="AV4122" s="28"/>
      <c r="AW4122" s="28" t="n">
        <f aca="false">AV4122*$M4122</f>
        <v>0</v>
      </c>
      <c r="AX4122" s="28"/>
      <c r="AY4122" s="28" t="n">
        <f aca="false">AX4122*$M4122</f>
        <v>0</v>
      </c>
      <c r="AZ4122" s="30" t="n">
        <v>827</v>
      </c>
      <c r="BA4122" s="11" t="n">
        <v>8270</v>
      </c>
      <c r="BB4122" s="31" t="n">
        <f aca="false">SUM(Q4122,S4122,U4122,W4122,Y4122,AA4122,AC4122,AE4122,AG4122,AI4122,AK4122,AM4122,AO4122,AQ4122,AS4122,AU4122,AW4122,AY4122)</f>
        <v>8270</v>
      </c>
      <c r="BC4122" s="28" t="n">
        <f aca="false">BA4122-BB4122</f>
        <v>0</v>
      </c>
      <c r="BD4122" s="32" t="n">
        <f aca="false">SUM(P4122,R4122,T4122,V4122,X4122,Z4122,AB4122,AD4122,AF4122,AH4122,AJ4122,AL4122,AN4122,AP4122,AR4122,AT4122,AV4122,AX4122)</f>
        <v>827</v>
      </c>
      <c r="BE4122" s="33" t="n">
        <f aca="false">AZ4122-BD4122</f>
        <v>0</v>
      </c>
      <c r="BF4122" s="34" t="n">
        <f aca="false">BD4122*M4122</f>
        <v>8270</v>
      </c>
      <c r="BG4122" s="35" t="n">
        <f aca="false">BA4122-BF4122</f>
        <v>0</v>
      </c>
      <c r="BH4122" s="19" t="str">
        <f aca="false">IF(BG4122=0,"",IF(BG4122&lt;&gt;BA4122,"erreur de calcul",IF(BD4122&lt;&gt;0,"pas de prix",IF(M4122&lt;&gt; 0,"pas de quantité","pas de prix, ni de quantité"))))</f>
        <v/>
      </c>
      <c r="BI4122" s="19"/>
    </row>
    <row r="4123" customFormat="false" ht="15" hidden="false" customHeight="false" outlineLevel="0" collapsed="false">
      <c r="A4123" s="0" t="n">
        <v>14</v>
      </c>
      <c r="B4123" s="8" t="s">
        <v>24</v>
      </c>
      <c r="C4123" s="9" t="s">
        <v>25</v>
      </c>
      <c r="D4123" s="9" t="s">
        <v>26</v>
      </c>
      <c r="E4123" s="10" t="n">
        <v>1789</v>
      </c>
      <c r="F4123" s="9" t="s">
        <v>27</v>
      </c>
      <c r="G4123" s="9" t="s">
        <v>27</v>
      </c>
      <c r="H4123" s="11" t="n">
        <v>25</v>
      </c>
      <c r="I4123" s="11" t="s">
        <v>343</v>
      </c>
      <c r="J4123" s="14" t="n">
        <v>4</v>
      </c>
      <c r="K4123" s="14"/>
      <c r="L4123" s="16"/>
      <c r="M4123" s="27" t="n">
        <f aca="false">J4123+(K4123/20)+(L4123/240)</f>
        <v>4</v>
      </c>
      <c r="N4123" s="17" t="s">
        <v>69</v>
      </c>
      <c r="O4123" s="11"/>
      <c r="P4123" s="28"/>
      <c r="Q4123" s="28" t="n">
        <f aca="false">P4123*$M4123</f>
        <v>0</v>
      </c>
      <c r="R4123" s="28"/>
      <c r="S4123" s="28" t="n">
        <f aca="false">R4123*$M4123</f>
        <v>0</v>
      </c>
      <c r="T4123" s="28"/>
      <c r="U4123" s="28" t="n">
        <f aca="false">T4123*$M4123</f>
        <v>0</v>
      </c>
      <c r="V4123" s="28" t="n">
        <v>2198</v>
      </c>
      <c r="W4123" s="28" t="n">
        <v>8792</v>
      </c>
      <c r="X4123" s="28"/>
      <c r="Y4123" s="28" t="n">
        <f aca="false">X4123*$M4123</f>
        <v>0</v>
      </c>
      <c r="Z4123" s="28"/>
      <c r="AA4123" s="28" t="n">
        <f aca="false">Z4123*$M4123</f>
        <v>0</v>
      </c>
      <c r="AB4123" s="28"/>
      <c r="AC4123" s="28" t="n">
        <f aca="false">AB4123*$M4123</f>
        <v>0</v>
      </c>
      <c r="AD4123" s="28"/>
      <c r="AE4123" s="28" t="n">
        <f aca="false">AD4123*$M4123</f>
        <v>0</v>
      </c>
      <c r="AF4123" s="28"/>
      <c r="AG4123" s="28" t="n">
        <f aca="false">AF4123*$M4123</f>
        <v>0</v>
      </c>
      <c r="AH4123" s="28"/>
      <c r="AI4123" s="28" t="n">
        <f aca="false">AH4123*$M4123</f>
        <v>0</v>
      </c>
      <c r="AJ4123" s="28"/>
      <c r="AK4123" s="28" t="n">
        <f aca="false">AJ4123*$M4123</f>
        <v>0</v>
      </c>
      <c r="AL4123" s="28"/>
      <c r="AM4123" s="28" t="n">
        <f aca="false">AL4123*$M4123</f>
        <v>0</v>
      </c>
      <c r="AN4123" s="28"/>
      <c r="AO4123" s="28" t="n">
        <f aca="false">AN4123*$M4123</f>
        <v>0</v>
      </c>
      <c r="AP4123" s="28"/>
      <c r="AQ4123" s="28" t="n">
        <f aca="false">AP4123*$M4123</f>
        <v>0</v>
      </c>
      <c r="AR4123" s="28"/>
      <c r="AS4123" s="28" t="n">
        <f aca="false">AR4123*$M4123</f>
        <v>0</v>
      </c>
      <c r="AT4123" s="28"/>
      <c r="AU4123" s="28" t="n">
        <f aca="false">AT4123*$M4123</f>
        <v>0</v>
      </c>
      <c r="AV4123" s="28"/>
      <c r="AW4123" s="28" t="n">
        <f aca="false">AV4123*$M4123</f>
        <v>0</v>
      </c>
      <c r="AX4123" s="28"/>
      <c r="AY4123" s="28" t="n">
        <f aca="false">AX4123*$M4123</f>
        <v>0</v>
      </c>
      <c r="AZ4123" s="30" t="n">
        <v>2198</v>
      </c>
      <c r="BA4123" s="11" t="n">
        <v>8792</v>
      </c>
      <c r="BB4123" s="31" t="n">
        <f aca="false">SUM(Q4123,S4123,U4123,W4123,Y4123,AA4123,AC4123,AE4123,AG4123,AI4123,AK4123,AM4123,AO4123,AQ4123,AS4123,AU4123,AW4123,AY4123)</f>
        <v>8792</v>
      </c>
      <c r="BC4123" s="28" t="n">
        <f aca="false">BA4123-BB4123</f>
        <v>0</v>
      </c>
      <c r="BD4123" s="32" t="n">
        <f aca="false">SUM(P4123,R4123,T4123,V4123,X4123,Z4123,AB4123,AD4123,AF4123,AH4123,AJ4123,AL4123,AN4123,AP4123,AR4123,AT4123,AV4123,AX4123)</f>
        <v>2198</v>
      </c>
      <c r="BE4123" s="33" t="n">
        <f aca="false">AZ4123-BD4123</f>
        <v>0</v>
      </c>
      <c r="BF4123" s="34" t="n">
        <f aca="false">BD4123*M4123</f>
        <v>8792</v>
      </c>
      <c r="BG4123" s="35" t="n">
        <f aca="false">BA4123-BF4123</f>
        <v>0</v>
      </c>
      <c r="BH4123" s="19" t="str">
        <f aca="false">IF(BG4123=0,"",IF(BG4123&lt;&gt;BA4123,"erreur de calcul",IF(BD4123&lt;&gt;0,"pas de prix",IF(M4123&lt;&gt; 0,"pas de quantité","pas de prix, ni de quantité"))))</f>
        <v/>
      </c>
      <c r="BI4123" s="19"/>
    </row>
    <row r="4124" customFormat="false" ht="15" hidden="false" customHeight="false" outlineLevel="0" collapsed="false">
      <c r="A4124" s="0" t="n">
        <v>15</v>
      </c>
      <c r="B4124" s="8" t="s">
        <v>24</v>
      </c>
      <c r="C4124" s="9" t="s">
        <v>25</v>
      </c>
      <c r="D4124" s="9" t="s">
        <v>26</v>
      </c>
      <c r="E4124" s="10" t="n">
        <v>1789</v>
      </c>
      <c r="F4124" s="9" t="s">
        <v>27</v>
      </c>
      <c r="G4124" s="9" t="s">
        <v>27</v>
      </c>
      <c r="H4124" s="11" t="n">
        <v>25</v>
      </c>
      <c r="I4124" s="11" t="s">
        <v>344</v>
      </c>
      <c r="J4124" s="14" t="n">
        <v>2000</v>
      </c>
      <c r="K4124" s="14"/>
      <c r="L4124" s="16"/>
      <c r="M4124" s="27" t="n">
        <f aca="false">J4124+(K4124/20)+(L4124/240)</f>
        <v>2000</v>
      </c>
      <c r="N4124" s="17" t="s">
        <v>64</v>
      </c>
      <c r="O4124" s="11" t="s">
        <v>277</v>
      </c>
      <c r="P4124" s="28"/>
      <c r="Q4124" s="28" t="n">
        <f aca="false">P4124*$M4124</f>
        <v>0</v>
      </c>
      <c r="R4124" s="28"/>
      <c r="S4124" s="28" t="n">
        <f aca="false">R4124*$M4124</f>
        <v>0</v>
      </c>
      <c r="T4124" s="28"/>
      <c r="U4124" s="28" t="n">
        <f aca="false">T4124*$M4124</f>
        <v>0</v>
      </c>
      <c r="V4124" s="28"/>
      <c r="W4124" s="28" t="n">
        <f aca="false">V4124*$M4124</f>
        <v>0</v>
      </c>
      <c r="X4124" s="28"/>
      <c r="Y4124" s="28" t="n">
        <f aca="false">X4124*$M4124</f>
        <v>0</v>
      </c>
      <c r="Z4124" s="28"/>
      <c r="AA4124" s="28" t="n">
        <f aca="false">Z4124*$M4124</f>
        <v>0</v>
      </c>
      <c r="AB4124" s="28"/>
      <c r="AC4124" s="28" t="n">
        <f aca="false">AB4124*$M4124</f>
        <v>0</v>
      </c>
      <c r="AD4124" s="28"/>
      <c r="AE4124" s="28" t="n">
        <f aca="false">AD4124*$M4124</f>
        <v>0</v>
      </c>
      <c r="AF4124" s="28"/>
      <c r="AG4124" s="28" t="n">
        <f aca="false">AF4124*$M4124</f>
        <v>0</v>
      </c>
      <c r="AH4124" s="28"/>
      <c r="AI4124" s="28" t="n">
        <f aca="false">AH4124*$M4124</f>
        <v>0</v>
      </c>
      <c r="AJ4124" s="28"/>
      <c r="AK4124" s="28" t="n">
        <f aca="false">AJ4124*$M4124</f>
        <v>0</v>
      </c>
      <c r="AL4124" s="28"/>
      <c r="AM4124" s="28" t="n">
        <f aca="false">AL4124*$M4124</f>
        <v>0</v>
      </c>
      <c r="AN4124" s="28"/>
      <c r="AO4124" s="28" t="n">
        <f aca="false">AN4124*$M4124</f>
        <v>0</v>
      </c>
      <c r="AP4124" s="28"/>
      <c r="AQ4124" s="28" t="n">
        <f aca="false">AP4124*$M4124</f>
        <v>0</v>
      </c>
      <c r="AR4124" s="28"/>
      <c r="AS4124" s="28" t="n">
        <f aca="false">AR4124*$M4124</f>
        <v>0</v>
      </c>
      <c r="AT4124" s="28"/>
      <c r="AU4124" s="28" t="n">
        <f aca="false">AT4124*$M4124</f>
        <v>0</v>
      </c>
      <c r="AV4124" s="28"/>
      <c r="AW4124" s="28" t="n">
        <f aca="false">AV4124*$M4124</f>
        <v>0</v>
      </c>
      <c r="AX4124" s="28"/>
      <c r="AY4124" s="28" t="n">
        <f aca="false">AX4124*$M4124</f>
        <v>0</v>
      </c>
      <c r="AZ4124" s="30"/>
      <c r="BA4124" s="11"/>
      <c r="BB4124" s="31" t="n">
        <f aca="false">SUM(Q4124,S4124,U4124,W4124,Y4124,AA4124,AC4124,AE4124,AG4124,AI4124,AK4124,AM4124,AO4124,AQ4124,AS4124,AU4124,AW4124,AY4124)</f>
        <v>0</v>
      </c>
      <c r="BC4124" s="28" t="n">
        <f aca="false">BA4124-BB4124</f>
        <v>0</v>
      </c>
      <c r="BD4124" s="32" t="n">
        <f aca="false">SUM(P4124,R4124,T4124,V4124,X4124,Z4124,AB4124,AD4124,AF4124,AH4124,AJ4124,AL4124,AN4124,AP4124,AR4124,AT4124,AV4124,AX4124)</f>
        <v>0</v>
      </c>
      <c r="BE4124" s="33" t="n">
        <f aca="false">AZ4124-BD4124</f>
        <v>0</v>
      </c>
      <c r="BF4124" s="34" t="n">
        <f aca="false">BD4124*M4124</f>
        <v>0</v>
      </c>
      <c r="BG4124" s="35" t="n">
        <f aca="false">BA4124-BF4124</f>
        <v>0</v>
      </c>
      <c r="BH4124" s="19" t="str">
        <f aca="false">IF(BG4124=0,"",IF(BG4124&lt;&gt;BA4124,"erreur de calcul",IF(BD4124&lt;&gt;0,"pas de prix",IF(M4124&lt;&gt; 0,"pas de quantité","pas de prix, ni de quantité"))))</f>
        <v/>
      </c>
      <c r="BI4124" s="19"/>
    </row>
    <row r="4125" customFormat="false" ht="15" hidden="false" customHeight="false" outlineLevel="0" collapsed="false">
      <c r="A4125" s="0" t="n">
        <v>16</v>
      </c>
      <c r="B4125" s="8" t="s">
        <v>24</v>
      </c>
      <c r="C4125" s="9" t="s">
        <v>25</v>
      </c>
      <c r="D4125" s="9" t="s">
        <v>26</v>
      </c>
      <c r="E4125" s="10" t="n">
        <v>1789</v>
      </c>
      <c r="F4125" s="9" t="s">
        <v>27</v>
      </c>
      <c r="G4125" s="9" t="s">
        <v>27</v>
      </c>
      <c r="H4125" s="11" t="n">
        <v>25</v>
      </c>
      <c r="I4125" s="11" t="s">
        <v>344</v>
      </c>
      <c r="J4125" s="14" t="n">
        <v>2000</v>
      </c>
      <c r="K4125" s="14"/>
      <c r="L4125" s="16"/>
      <c r="M4125" s="27" t="n">
        <f aca="false">J4125+(K4125/20)+(L4125/240)</f>
        <v>2000</v>
      </c>
      <c r="N4125" s="17" t="s">
        <v>64</v>
      </c>
      <c r="O4125" s="11" t="s">
        <v>98</v>
      </c>
      <c r="P4125" s="28"/>
      <c r="Q4125" s="28" t="n">
        <f aca="false">P4125*$M4125</f>
        <v>0</v>
      </c>
      <c r="R4125" s="28"/>
      <c r="S4125" s="28" t="n">
        <f aca="false">R4125*$M4125</f>
        <v>0</v>
      </c>
      <c r="T4125" s="28"/>
      <c r="U4125" s="28" t="n">
        <f aca="false">T4125*$M4125</f>
        <v>0</v>
      </c>
      <c r="V4125" s="28"/>
      <c r="W4125" s="28" t="n">
        <f aca="false">V4125*$M4125</f>
        <v>0</v>
      </c>
      <c r="X4125" s="28" t="n">
        <f aca="false">607/100</f>
        <v>6.07</v>
      </c>
      <c r="Y4125" s="28" t="n">
        <f aca="false">X4125*$M4125</f>
        <v>12140</v>
      </c>
      <c r="Z4125" s="28"/>
      <c r="AA4125" s="28" t="n">
        <f aca="false">Z4125*$M4125</f>
        <v>0</v>
      </c>
      <c r="AB4125" s="28"/>
      <c r="AC4125" s="28" t="n">
        <f aca="false">AB4125*$M4125</f>
        <v>0</v>
      </c>
      <c r="AD4125" s="28"/>
      <c r="AE4125" s="28" t="n">
        <f aca="false">AD4125*$M4125</f>
        <v>0</v>
      </c>
      <c r="AF4125" s="28"/>
      <c r="AG4125" s="28" t="n">
        <f aca="false">AF4125*$M4125</f>
        <v>0</v>
      </c>
      <c r="AH4125" s="28"/>
      <c r="AI4125" s="28" t="n">
        <f aca="false">AH4125*$M4125</f>
        <v>0</v>
      </c>
      <c r="AJ4125" s="28"/>
      <c r="AK4125" s="28" t="n">
        <f aca="false">AJ4125*$M4125</f>
        <v>0</v>
      </c>
      <c r="AL4125" s="28" t="n">
        <f aca="false">145/100</f>
        <v>1.45</v>
      </c>
      <c r="AM4125" s="28" t="n">
        <f aca="false">AL4125*$M4125</f>
        <v>2900</v>
      </c>
      <c r="AN4125" s="28" t="n">
        <f aca="false">3865/100</f>
        <v>38.65</v>
      </c>
      <c r="AO4125" s="28" t="n">
        <v>77300</v>
      </c>
      <c r="AP4125" s="28"/>
      <c r="AQ4125" s="28" t="n">
        <f aca="false">AP4125*$M4125</f>
        <v>0</v>
      </c>
      <c r="AR4125" s="28"/>
      <c r="AS4125" s="28" t="n">
        <f aca="false">AR4125*$M4125</f>
        <v>0</v>
      </c>
      <c r="AT4125" s="28"/>
      <c r="AU4125" s="28" t="n">
        <f aca="false">AT4125*$M4125</f>
        <v>0</v>
      </c>
      <c r="AV4125" s="28"/>
      <c r="AW4125" s="28" t="n">
        <f aca="false">AV4125*$M4125</f>
        <v>0</v>
      </c>
      <c r="AX4125" s="28"/>
      <c r="AY4125" s="28" t="n">
        <f aca="false">AX4125*$M4125</f>
        <v>0</v>
      </c>
      <c r="AZ4125" s="30" t="n">
        <f aca="false">4617/100</f>
        <v>46.17</v>
      </c>
      <c r="BA4125" s="11" t="n">
        <v>92340</v>
      </c>
      <c r="BB4125" s="31" t="n">
        <f aca="false">SUM(Q4125,S4125,U4125,W4125,Y4125,AA4125,AC4125,AE4125,AG4125,AI4125,AK4125,AM4125,AO4125,AQ4125,AS4125,AU4125,AW4125,AY4125)</f>
        <v>92340</v>
      </c>
      <c r="BC4125" s="28" t="n">
        <f aca="false">BA4125-BB4125</f>
        <v>0</v>
      </c>
      <c r="BD4125" s="32" t="n">
        <f aca="false">SUM(P4125,R4125,T4125,V4125,X4125,Z4125,AB4125,AD4125,AF4125,AH4125,AJ4125,AL4125,AN4125,AP4125,AR4125,AT4125,AV4125,AX4125)</f>
        <v>46.17</v>
      </c>
      <c r="BE4125" s="33" t="n">
        <f aca="false">AZ4125-BD4125</f>
        <v>0</v>
      </c>
      <c r="BF4125" s="34" t="n">
        <f aca="false">BD4125*M4125</f>
        <v>92340</v>
      </c>
      <c r="BG4125" s="35" t="n">
        <f aca="false">BA4125-BF4125</f>
        <v>0</v>
      </c>
      <c r="BH4125" s="19" t="str">
        <f aca="false">IF(BG4125=0,"",IF(BG4125&lt;&gt;BA4125,"erreur de calcul",IF(BD4125&lt;&gt;0,"pas de prix",IF(M4125&lt;&gt; 0,"pas de quantité","pas de prix, ni de quantité"))))</f>
        <v/>
      </c>
      <c r="BI4125" s="19"/>
    </row>
    <row r="4126" customFormat="false" ht="15" hidden="false" customHeight="false" outlineLevel="0" collapsed="false">
      <c r="A4126" s="0" t="n">
        <v>17</v>
      </c>
      <c r="B4126" s="8" t="s">
        <v>24</v>
      </c>
      <c r="C4126" s="9" t="s">
        <v>25</v>
      </c>
      <c r="D4126" s="9" t="s">
        <v>26</v>
      </c>
      <c r="E4126" s="10" t="n">
        <v>1789</v>
      </c>
      <c r="F4126" s="9" t="s">
        <v>27</v>
      </c>
      <c r="G4126" s="9" t="s">
        <v>27</v>
      </c>
      <c r="H4126" s="11" t="n">
        <v>25</v>
      </c>
      <c r="I4126" s="11" t="s">
        <v>345</v>
      </c>
      <c r="J4126" s="14"/>
      <c r="K4126" s="14" t="n">
        <v>12</v>
      </c>
      <c r="L4126" s="16"/>
      <c r="M4126" s="27" t="n">
        <f aca="false">J4126+(K4126/20)+(L4126/240)</f>
        <v>0.6</v>
      </c>
      <c r="N4126" s="17" t="s">
        <v>66</v>
      </c>
      <c r="O4126" s="11"/>
      <c r="P4126" s="28"/>
      <c r="Q4126" s="28" t="n">
        <f aca="false">P4126*$M4126</f>
        <v>0</v>
      </c>
      <c r="R4126" s="28"/>
      <c r="S4126" s="28" t="n">
        <f aca="false">R4126*$M4126</f>
        <v>0</v>
      </c>
      <c r="T4126" s="28"/>
      <c r="U4126" s="28" t="n">
        <f aca="false">T4126*$M4126</f>
        <v>0</v>
      </c>
      <c r="V4126" s="28"/>
      <c r="W4126" s="28" t="n">
        <f aca="false">V4126*$M4126</f>
        <v>0</v>
      </c>
      <c r="X4126" s="28"/>
      <c r="Y4126" s="28" t="n">
        <f aca="false">X4126*$M4126</f>
        <v>0</v>
      </c>
      <c r="Z4126" s="28"/>
      <c r="AA4126" s="28" t="n">
        <f aca="false">Z4126*$M4126</f>
        <v>0</v>
      </c>
      <c r="AB4126" s="28"/>
      <c r="AC4126" s="28" t="n">
        <f aca="false">AB4126*$M4126</f>
        <v>0</v>
      </c>
      <c r="AD4126" s="28"/>
      <c r="AE4126" s="28" t="n">
        <f aca="false">AD4126*$M4126</f>
        <v>0</v>
      </c>
      <c r="AF4126" s="28"/>
      <c r="AG4126" s="28" t="n">
        <f aca="false">AF4126*$M4126</f>
        <v>0</v>
      </c>
      <c r="AH4126" s="28"/>
      <c r="AI4126" s="28" t="n">
        <f aca="false">AH4126*$M4126</f>
        <v>0</v>
      </c>
      <c r="AJ4126" s="28" t="n">
        <v>41194</v>
      </c>
      <c r="AK4126" s="28" t="n">
        <v>24716</v>
      </c>
      <c r="AL4126" s="28"/>
      <c r="AM4126" s="28" t="n">
        <f aca="false">AL4126*$M4126</f>
        <v>0</v>
      </c>
      <c r="AN4126" s="28"/>
      <c r="AO4126" s="28" t="n">
        <f aca="false">AN4126*$M4126</f>
        <v>0</v>
      </c>
      <c r="AP4126" s="28"/>
      <c r="AQ4126" s="28" t="n">
        <f aca="false">AP4126*$M4126</f>
        <v>0</v>
      </c>
      <c r="AR4126" s="28"/>
      <c r="AS4126" s="28" t="n">
        <f aca="false">AR4126*$M4126</f>
        <v>0</v>
      </c>
      <c r="AT4126" s="28"/>
      <c r="AU4126" s="28" t="n">
        <f aca="false">AT4126*$M4126</f>
        <v>0</v>
      </c>
      <c r="AV4126" s="28"/>
      <c r="AW4126" s="28" t="n">
        <f aca="false">AV4126*$M4126</f>
        <v>0</v>
      </c>
      <c r="AX4126" s="28"/>
      <c r="AY4126" s="28" t="n">
        <f aca="false">AX4126*$M4126</f>
        <v>0</v>
      </c>
      <c r="AZ4126" s="30" t="n">
        <v>41194</v>
      </c>
      <c r="BA4126" s="11" t="n">
        <v>24716</v>
      </c>
      <c r="BB4126" s="31" t="n">
        <f aca="false">SUM(Q4126,S4126,U4126,W4126,Y4126,AA4126,AC4126,AE4126,AG4126,AI4126,AK4126,AM4126,AO4126,AQ4126,AS4126,AU4126,AW4126,AY4126)</f>
        <v>24716</v>
      </c>
      <c r="BC4126" s="28" t="n">
        <f aca="false">BA4126-BB4126</f>
        <v>0</v>
      </c>
      <c r="BD4126" s="32" t="n">
        <f aca="false">SUM(P4126,R4126,T4126,V4126,X4126,Z4126,AB4126,AD4126,AF4126,AH4126,AJ4126,AL4126,AN4126,AP4126,AR4126,AT4126,AV4126,AX4126)</f>
        <v>41194</v>
      </c>
      <c r="BE4126" s="33" t="n">
        <f aca="false">AZ4126-BD4126</f>
        <v>0</v>
      </c>
      <c r="BF4126" s="34" t="n">
        <f aca="false">BD4126*M4126</f>
        <v>24716.4</v>
      </c>
      <c r="BG4126" s="35" t="n">
        <f aca="false">BA4126-BF4126</f>
        <v>-0.399999999997817</v>
      </c>
      <c r="BH4126" s="19" t="str">
        <f aca="false">IF(BG4126=0,"",IF(BG4126&lt;&gt;BA4126,"erreur de calcul",IF(BD4126&lt;&gt;0,"pas de prix",IF(M4126&lt;&gt; 0,"pas de quantité","pas de prix, ni de quantité"))))</f>
        <v>erreur de calcul</v>
      </c>
      <c r="BI4126" s="19"/>
    </row>
    <row r="4127" customFormat="false" ht="15" hidden="false" customHeight="false" outlineLevel="0" collapsed="false">
      <c r="A4127" s="0" t="n">
        <v>18</v>
      </c>
      <c r="B4127" s="8" t="s">
        <v>24</v>
      </c>
      <c r="C4127" s="9" t="s">
        <v>25</v>
      </c>
      <c r="D4127" s="9" t="s">
        <v>26</v>
      </c>
      <c r="E4127" s="10" t="n">
        <v>1789</v>
      </c>
      <c r="F4127" s="9" t="s">
        <v>27</v>
      </c>
      <c r="G4127" s="9" t="s">
        <v>27</v>
      </c>
      <c r="H4127" s="11" t="n">
        <v>25</v>
      </c>
      <c r="I4127" s="11" t="s">
        <v>346</v>
      </c>
      <c r="J4127" s="14"/>
      <c r="K4127" s="14" t="n">
        <v>50</v>
      </c>
      <c r="L4127" s="16"/>
      <c r="M4127" s="27" t="n">
        <f aca="false">J4127+(K4127/20)+(L4127/240)</f>
        <v>2.5</v>
      </c>
      <c r="N4127" s="17" t="s">
        <v>85</v>
      </c>
      <c r="O4127" s="11"/>
      <c r="P4127" s="28" t="n">
        <f aca="false">371167/100</f>
        <v>3711.67</v>
      </c>
      <c r="Q4127" s="28" t="n">
        <v>9279</v>
      </c>
      <c r="R4127" s="28"/>
      <c r="S4127" s="28" t="n">
        <f aca="false">R4127*$M4127</f>
        <v>0</v>
      </c>
      <c r="T4127" s="28"/>
      <c r="U4127" s="28" t="n">
        <f aca="false">T4127*$M4127</f>
        <v>0</v>
      </c>
      <c r="V4127" s="28"/>
      <c r="W4127" s="28" t="n">
        <f aca="false">V4127*$M4127</f>
        <v>0</v>
      </c>
      <c r="X4127" s="28"/>
      <c r="Y4127" s="28" t="n">
        <f aca="false">X4127*$M4127</f>
        <v>0</v>
      </c>
      <c r="Z4127" s="28"/>
      <c r="AA4127" s="28" t="n">
        <f aca="false">Z4127*$M4127</f>
        <v>0</v>
      </c>
      <c r="AB4127" s="28"/>
      <c r="AC4127" s="28" t="n">
        <f aca="false">AB4127*$M4127</f>
        <v>0</v>
      </c>
      <c r="AD4127" s="28"/>
      <c r="AE4127" s="28" t="n">
        <f aca="false">AD4127*$M4127</f>
        <v>0</v>
      </c>
      <c r="AF4127" s="28"/>
      <c r="AG4127" s="28" t="n">
        <f aca="false">AF4127*$M4127</f>
        <v>0</v>
      </c>
      <c r="AH4127" s="28"/>
      <c r="AI4127" s="28" t="n">
        <f aca="false">AH4127*$M4127</f>
        <v>0</v>
      </c>
      <c r="AJ4127" s="28"/>
      <c r="AK4127" s="28" t="n">
        <f aca="false">AJ4127*$M4127</f>
        <v>0</v>
      </c>
      <c r="AL4127" s="28"/>
      <c r="AM4127" s="28" t="n">
        <f aca="false">AL4127*$M4127</f>
        <v>0</v>
      </c>
      <c r="AN4127" s="28"/>
      <c r="AO4127" s="28" t="n">
        <f aca="false">AN4127*$M4127</f>
        <v>0</v>
      </c>
      <c r="AP4127" s="28"/>
      <c r="AQ4127" s="28" t="n">
        <f aca="false">AP4127*$M4127</f>
        <v>0</v>
      </c>
      <c r="AR4127" s="28"/>
      <c r="AS4127" s="28" t="n">
        <f aca="false">AR4127*$M4127</f>
        <v>0</v>
      </c>
      <c r="AT4127" s="28"/>
      <c r="AU4127" s="28" t="n">
        <f aca="false">AT4127*$M4127</f>
        <v>0</v>
      </c>
      <c r="AV4127" s="28"/>
      <c r="AW4127" s="28" t="n">
        <f aca="false">AV4127*$M4127</f>
        <v>0</v>
      </c>
      <c r="AX4127" s="28"/>
      <c r="AY4127" s="28" t="n">
        <f aca="false">AX4127*$M4127</f>
        <v>0</v>
      </c>
      <c r="AZ4127" s="30" t="n">
        <f aca="false">371167/100</f>
        <v>3711.67</v>
      </c>
      <c r="BA4127" s="11" t="n">
        <v>9279</v>
      </c>
      <c r="BB4127" s="31" t="n">
        <f aca="false">SUM(Q4127,S4127,U4127,W4127,Y4127,AA4127,AC4127,AE4127,AG4127,AI4127,AK4127,AM4127,AO4127,AQ4127,AS4127,AU4127,AW4127,AY4127)</f>
        <v>9279</v>
      </c>
      <c r="BC4127" s="28" t="n">
        <f aca="false">BA4127-BB4127</f>
        <v>0</v>
      </c>
      <c r="BD4127" s="32" t="n">
        <f aca="false">SUM(P4127,R4127,T4127,V4127,X4127,Z4127,AB4127,AD4127,AF4127,AH4127,AJ4127,AL4127,AN4127,AP4127,AR4127,AT4127,AV4127,AX4127)</f>
        <v>3711.67</v>
      </c>
      <c r="BE4127" s="33" t="n">
        <f aca="false">AZ4127-BD4127</f>
        <v>0</v>
      </c>
      <c r="BF4127" s="34" t="n">
        <f aca="false">BD4127*M4127</f>
        <v>9279.175</v>
      </c>
      <c r="BG4127" s="35" t="n">
        <f aca="false">BA4127-BF4127</f>
        <v>-0.174999999999272</v>
      </c>
      <c r="BH4127" s="19" t="str">
        <f aca="false">IF(BG4127=0,"",IF(BG4127&lt;&gt;BA4127,"erreur de calcul",IF(BD4127&lt;&gt;0,"pas de prix",IF(M4127&lt;&gt; 0,"pas de quantité","pas de prix, ni de quantité"))))</f>
        <v>erreur de calcul</v>
      </c>
      <c r="BI4127" s="19"/>
    </row>
    <row r="4128" customFormat="false" ht="16.65" hidden="false" customHeight="false" outlineLevel="0" collapsed="false">
      <c r="A4128" s="0" t="n">
        <v>19</v>
      </c>
      <c r="B4128" s="8" t="s">
        <v>24</v>
      </c>
      <c r="C4128" s="9" t="s">
        <v>25</v>
      </c>
      <c r="D4128" s="9" t="s">
        <v>26</v>
      </c>
      <c r="E4128" s="10" t="n">
        <v>1789</v>
      </c>
      <c r="F4128" s="9" t="s">
        <v>27</v>
      </c>
      <c r="G4128" s="9" t="s">
        <v>27</v>
      </c>
      <c r="H4128" s="11" t="n">
        <v>25</v>
      </c>
      <c r="I4128" s="11" t="s">
        <v>347</v>
      </c>
      <c r="J4128" s="14" t="n">
        <v>60</v>
      </c>
      <c r="K4128" s="14"/>
      <c r="L4128" s="16"/>
      <c r="M4128" s="27" t="n">
        <f aca="false">J4128+(K4128/20)+(L4128/240)</f>
        <v>60</v>
      </c>
      <c r="N4128" s="17" t="s">
        <v>64</v>
      </c>
      <c r="O4128" s="11"/>
      <c r="P4128" s="28"/>
      <c r="Q4128" s="28" t="n">
        <f aca="false">P4128*$M4128</f>
        <v>0</v>
      </c>
      <c r="R4128" s="28"/>
      <c r="S4128" s="28" t="n">
        <f aca="false">R4128*$M4128</f>
        <v>0</v>
      </c>
      <c r="T4128" s="28"/>
      <c r="U4128" s="28" t="n">
        <f aca="false">T4128*$M4128</f>
        <v>0</v>
      </c>
      <c r="V4128" s="28" t="n">
        <f aca="false">4151/100</f>
        <v>41.51</v>
      </c>
      <c r="W4128" s="28" t="n">
        <v>2491</v>
      </c>
      <c r="X4128" s="28" t="n">
        <f aca="false">13344/100</f>
        <v>133.44</v>
      </c>
      <c r="Y4128" s="28" t="n">
        <v>8006</v>
      </c>
      <c r="Z4128" s="28" t="n">
        <f aca="false">3323/100</f>
        <v>33.23</v>
      </c>
      <c r="AA4128" s="28" t="n">
        <v>1994</v>
      </c>
      <c r="AB4128" s="28"/>
      <c r="AC4128" s="28" t="n">
        <f aca="false">AB4128*$M4128</f>
        <v>0</v>
      </c>
      <c r="AD4128" s="28" t="n">
        <f aca="false">15268/100</f>
        <v>152.68</v>
      </c>
      <c r="AE4128" s="28" t="n">
        <v>9161</v>
      </c>
      <c r="AF4128" s="28"/>
      <c r="AG4128" s="28" t="n">
        <f aca="false">AF4128*$M4128</f>
        <v>0</v>
      </c>
      <c r="AH4128" s="28"/>
      <c r="AI4128" s="28" t="n">
        <f aca="false">AH4128*$M4128</f>
        <v>0</v>
      </c>
      <c r="AJ4128" s="28"/>
      <c r="AK4128" s="28" t="n">
        <f aca="false">AJ4128*$M4128</f>
        <v>0</v>
      </c>
      <c r="AL4128" s="28"/>
      <c r="AM4128" s="28" t="n">
        <f aca="false">AL4128*$M4128</f>
        <v>0</v>
      </c>
      <c r="AN4128" s="28"/>
      <c r="AO4128" s="28" t="n">
        <f aca="false">AN4128*$M4128</f>
        <v>0</v>
      </c>
      <c r="AP4128" s="28"/>
      <c r="AQ4128" s="28" t="n">
        <f aca="false">AP4128*$M4128</f>
        <v>0</v>
      </c>
      <c r="AR4128" s="28"/>
      <c r="AS4128" s="28" t="n">
        <f aca="false">AR4128*$M4128</f>
        <v>0</v>
      </c>
      <c r="AT4128" s="28"/>
      <c r="AU4128" s="28" t="n">
        <f aca="false">AT4128*$M4128</f>
        <v>0</v>
      </c>
      <c r="AV4128" s="28"/>
      <c r="AW4128" s="28" t="n">
        <f aca="false">AV4128*$M4128</f>
        <v>0</v>
      </c>
      <c r="AX4128" s="28"/>
      <c r="AY4128" s="28" t="n">
        <f aca="false">AX4128*$M4128</f>
        <v>0</v>
      </c>
      <c r="AZ4128" s="30" t="n">
        <f aca="false">32763/100</f>
        <v>327.63</v>
      </c>
      <c r="BA4128" s="11" t="n">
        <v>21652</v>
      </c>
      <c r="BB4128" s="31" t="n">
        <f aca="false">SUM(Q4128,S4128,U4128,W4128,Y4128,AA4128,AC4128,AE4128,AG4128,AI4128,AK4128,AM4128,AO4128,AQ4128,AS4128,AU4128,AW4128,AY4128)</f>
        <v>21652</v>
      </c>
      <c r="BC4128" s="28" t="n">
        <f aca="false">BA4128-BB4128</f>
        <v>0</v>
      </c>
      <c r="BD4128" s="32" t="n">
        <f aca="false">SUM(P4128,R4128,T4128,V4128,X4128,Z4128,AB4128,AD4128,AF4128,AH4128,AJ4128,AL4128,AN4128,AP4128,AR4128,AT4128,AV4128,AX4128)</f>
        <v>360.86</v>
      </c>
      <c r="BE4128" s="33" t="n">
        <f aca="false">AZ4128-BD4128</f>
        <v>-33.23</v>
      </c>
      <c r="BF4128" s="34" t="n">
        <f aca="false">BD4128*M4128</f>
        <v>21651.6</v>
      </c>
      <c r="BG4128" s="35" t="n">
        <f aca="false">BA4128-BF4128</f>
        <v>0.399999999997817</v>
      </c>
      <c r="BH4128" s="19" t="str">
        <f aca="false">IF(BG4128=0,"",IF(BG4128&lt;&gt;BA4128,"erreur de calcul",IF(BD4128&lt;&gt;0,"pas de prix",IF(M4128&lt;&gt; 0,"pas de quantité","pas de prix, ni de quantité"))))</f>
        <v>erreur de calcul</v>
      </c>
      <c r="BI4128" s="19"/>
    </row>
    <row r="4129" customFormat="false" ht="15" hidden="false" customHeight="false" outlineLevel="0" collapsed="false">
      <c r="A4129" s="0" t="n">
        <v>20</v>
      </c>
      <c r="B4129" s="8" t="s">
        <v>24</v>
      </c>
      <c r="C4129" s="9" t="s">
        <v>25</v>
      </c>
      <c r="D4129" s="9" t="s">
        <v>26</v>
      </c>
      <c r="E4129" s="10" t="n">
        <v>1789</v>
      </c>
      <c r="F4129" s="9" t="s">
        <v>27</v>
      </c>
      <c r="G4129" s="9" t="s">
        <v>27</v>
      </c>
      <c r="H4129" s="11" t="n">
        <v>25</v>
      </c>
      <c r="I4129" s="11" t="s">
        <v>348</v>
      </c>
      <c r="J4129" s="14" t="n">
        <v>9</v>
      </c>
      <c r="K4129" s="14"/>
      <c r="L4129" s="16"/>
      <c r="M4129" s="27" t="n">
        <f aca="false">J4129+(K4129/20)+(L4129/240)</f>
        <v>9</v>
      </c>
      <c r="N4129" s="17" t="s">
        <v>349</v>
      </c>
      <c r="O4129" s="11"/>
      <c r="P4129" s="28"/>
      <c r="Q4129" s="28" t="n">
        <f aca="false">P4129*$M4129</f>
        <v>0</v>
      </c>
      <c r="R4129" s="28"/>
      <c r="S4129" s="28" t="n">
        <f aca="false">R4129*$M4129</f>
        <v>0</v>
      </c>
      <c r="T4129" s="28"/>
      <c r="U4129" s="28" t="n">
        <f aca="false">T4129*$M4129</f>
        <v>0</v>
      </c>
      <c r="V4129" s="28" t="n">
        <v>545</v>
      </c>
      <c r="W4129" s="28" t="n">
        <v>4905</v>
      </c>
      <c r="X4129" s="28"/>
      <c r="Y4129" s="28" t="n">
        <f aca="false">X4129*$M4129</f>
        <v>0</v>
      </c>
      <c r="Z4129" s="28"/>
      <c r="AA4129" s="28" t="n">
        <f aca="false">Z4129*$M4129</f>
        <v>0</v>
      </c>
      <c r="AB4129" s="28"/>
      <c r="AC4129" s="28" t="n">
        <f aca="false">AB4129*$M4129</f>
        <v>0</v>
      </c>
      <c r="AD4129" s="28"/>
      <c r="AE4129" s="28" t="n">
        <f aca="false">AD4129*$M4129</f>
        <v>0</v>
      </c>
      <c r="AF4129" s="28"/>
      <c r="AG4129" s="28" t="n">
        <f aca="false">AF4129*$M4129</f>
        <v>0</v>
      </c>
      <c r="AH4129" s="28"/>
      <c r="AI4129" s="28" t="n">
        <f aca="false">AH4129*$M4129</f>
        <v>0</v>
      </c>
      <c r="AJ4129" s="28" t="n">
        <v>592</v>
      </c>
      <c r="AK4129" s="28" t="n">
        <v>5328</v>
      </c>
      <c r="AL4129" s="28"/>
      <c r="AM4129" s="28" t="n">
        <f aca="false">AL4129*$M4129</f>
        <v>0</v>
      </c>
      <c r="AN4129" s="28"/>
      <c r="AO4129" s="28" t="n">
        <f aca="false">AN4129*$M4129</f>
        <v>0</v>
      </c>
      <c r="AP4129" s="28"/>
      <c r="AQ4129" s="28" t="n">
        <f aca="false">AP4129*$M4129</f>
        <v>0</v>
      </c>
      <c r="AR4129" s="28"/>
      <c r="AS4129" s="28" t="n">
        <f aca="false">AR4129*$M4129</f>
        <v>0</v>
      </c>
      <c r="AT4129" s="28"/>
      <c r="AU4129" s="28" t="n">
        <f aca="false">AT4129*$M4129</f>
        <v>0</v>
      </c>
      <c r="AV4129" s="28"/>
      <c r="AW4129" s="28" t="n">
        <f aca="false">AV4129*$M4129</f>
        <v>0</v>
      </c>
      <c r="AX4129" s="28"/>
      <c r="AY4129" s="28" t="n">
        <f aca="false">AX4129*$M4129</f>
        <v>0</v>
      </c>
      <c r="AZ4129" s="30" t="n">
        <v>1137</v>
      </c>
      <c r="BA4129" s="11" t="n">
        <v>10233</v>
      </c>
      <c r="BB4129" s="31" t="n">
        <f aca="false">SUM(Q4129,S4129,U4129,W4129,Y4129,AA4129,AC4129,AE4129,AG4129,AI4129,AK4129,AM4129,AO4129,AQ4129,AS4129,AU4129,AW4129,AY4129)</f>
        <v>10233</v>
      </c>
      <c r="BC4129" s="28" t="n">
        <f aca="false">BA4129-BB4129</f>
        <v>0</v>
      </c>
      <c r="BD4129" s="32" t="n">
        <f aca="false">SUM(P4129,R4129,T4129,V4129,X4129,Z4129,AB4129,AD4129,AF4129,AH4129,AJ4129,AL4129,AN4129,AP4129,AR4129,AT4129,AV4129,AX4129)</f>
        <v>1137</v>
      </c>
      <c r="BE4129" s="33" t="n">
        <f aca="false">AZ4129-BD4129</f>
        <v>0</v>
      </c>
      <c r="BF4129" s="34" t="n">
        <f aca="false">BD4129*M4129</f>
        <v>10233</v>
      </c>
      <c r="BG4129" s="35" t="n">
        <f aca="false">BA4129-BF4129</f>
        <v>0</v>
      </c>
      <c r="BH4129" s="19" t="str">
        <f aca="false">IF(BG4129=0,"",IF(BG4129&lt;&gt;BA4129,"erreur de calcul",IF(BD4129&lt;&gt;0,"pas de prix",IF(M4129&lt;&gt; 0,"pas de quantité","pas de prix, ni de quantité"))))</f>
        <v/>
      </c>
      <c r="BI4129" s="19"/>
    </row>
    <row r="4130" customFormat="false" ht="15" hidden="false" customHeight="false" outlineLevel="0" collapsed="false">
      <c r="A4130" s="0" t="n">
        <v>21</v>
      </c>
      <c r="B4130" s="8" t="s">
        <v>24</v>
      </c>
      <c r="C4130" s="9" t="s">
        <v>25</v>
      </c>
      <c r="D4130" s="9" t="s">
        <v>26</v>
      </c>
      <c r="E4130" s="10" t="n">
        <v>1789</v>
      </c>
      <c r="F4130" s="9" t="s">
        <v>27</v>
      </c>
      <c r="G4130" s="9" t="s">
        <v>27</v>
      </c>
      <c r="H4130" s="11" t="n">
        <v>25</v>
      </c>
      <c r="I4130" s="11" t="s">
        <v>350</v>
      </c>
      <c r="J4130" s="14"/>
      <c r="K4130" s="14" t="n">
        <v>40</v>
      </c>
      <c r="L4130" s="16"/>
      <c r="M4130" s="27" t="n">
        <f aca="false">J4130+(K4130/20)+(L4130/240)</f>
        <v>2</v>
      </c>
      <c r="N4130" s="17" t="s">
        <v>349</v>
      </c>
      <c r="O4130" s="11"/>
      <c r="P4130" s="28"/>
      <c r="Q4130" s="28" t="n">
        <f aca="false">P4130*$M4130</f>
        <v>0</v>
      </c>
      <c r="R4130" s="28"/>
      <c r="S4130" s="28" t="n">
        <f aca="false">R4130*$M4130</f>
        <v>0</v>
      </c>
      <c r="T4130" s="28"/>
      <c r="U4130" s="28" t="n">
        <f aca="false">T4130*$M4130</f>
        <v>0</v>
      </c>
      <c r="V4130" s="28" t="n">
        <v>2688</v>
      </c>
      <c r="W4130" s="28" t="n">
        <v>5376</v>
      </c>
      <c r="X4130" s="28" t="n">
        <v>775</v>
      </c>
      <c r="Y4130" s="28" t="n">
        <v>1550</v>
      </c>
      <c r="Z4130" s="28"/>
      <c r="AA4130" s="28" t="n">
        <f aca="false">Z4130*$M4130</f>
        <v>0</v>
      </c>
      <c r="AB4130" s="28"/>
      <c r="AC4130" s="28" t="n">
        <f aca="false">AB4130*$M4130</f>
        <v>0</v>
      </c>
      <c r="AD4130" s="28"/>
      <c r="AE4130" s="28" t="n">
        <f aca="false">AD4130*$M4130</f>
        <v>0</v>
      </c>
      <c r="AF4130" s="28"/>
      <c r="AG4130" s="28" t="n">
        <f aca="false">AF4130*$M4130</f>
        <v>0</v>
      </c>
      <c r="AH4130" s="28"/>
      <c r="AI4130" s="28" t="n">
        <f aca="false">AH4130*$M4130</f>
        <v>0</v>
      </c>
      <c r="AJ4130" s="28"/>
      <c r="AK4130" s="28" t="n">
        <f aca="false">AJ4130*$M4130</f>
        <v>0</v>
      </c>
      <c r="AL4130" s="28"/>
      <c r="AM4130" s="28" t="n">
        <f aca="false">AL4130*$M4130</f>
        <v>0</v>
      </c>
      <c r="AN4130" s="28"/>
      <c r="AO4130" s="28" t="n">
        <f aca="false">AN4130*$M4130</f>
        <v>0</v>
      </c>
      <c r="AP4130" s="28"/>
      <c r="AQ4130" s="28" t="n">
        <f aca="false">AP4130*$M4130</f>
        <v>0</v>
      </c>
      <c r="AR4130" s="28"/>
      <c r="AS4130" s="28" t="n">
        <f aca="false">AR4130*$M4130</f>
        <v>0</v>
      </c>
      <c r="AT4130" s="28"/>
      <c r="AU4130" s="28" t="n">
        <f aca="false">AT4130*$M4130</f>
        <v>0</v>
      </c>
      <c r="AV4130" s="28"/>
      <c r="AW4130" s="28" t="n">
        <f aca="false">AV4130*$M4130</f>
        <v>0</v>
      </c>
      <c r="AX4130" s="28"/>
      <c r="AY4130" s="28" t="n">
        <f aca="false">AX4130*$M4130</f>
        <v>0</v>
      </c>
      <c r="AZ4130" s="30" t="n">
        <v>3463</v>
      </c>
      <c r="BA4130" s="11" t="n">
        <v>6926</v>
      </c>
      <c r="BB4130" s="31" t="n">
        <f aca="false">SUM(Q4130,S4130,U4130,W4130,Y4130,AA4130,AC4130,AE4130,AG4130,AI4130,AK4130,AM4130,AO4130,AQ4130,AS4130,AU4130,AW4130,AY4130)</f>
        <v>6926</v>
      </c>
      <c r="BC4130" s="28" t="n">
        <f aca="false">BA4130-BB4130</f>
        <v>0</v>
      </c>
      <c r="BD4130" s="32" t="n">
        <f aca="false">SUM(P4130,R4130,T4130,V4130,X4130,Z4130,AB4130,AD4130,AF4130,AH4130,AJ4130,AL4130,AN4130,AP4130,AR4130,AT4130,AV4130,AX4130)</f>
        <v>3463</v>
      </c>
      <c r="BE4130" s="33" t="n">
        <f aca="false">AZ4130-BD4130</f>
        <v>0</v>
      </c>
      <c r="BF4130" s="34" t="n">
        <f aca="false">BD4130*M4130</f>
        <v>6926</v>
      </c>
      <c r="BG4130" s="35" t="n">
        <f aca="false">BA4130-BF4130</f>
        <v>0</v>
      </c>
      <c r="BH4130" s="19" t="str">
        <f aca="false">IF(BG4130=0,"",IF(BG4130&lt;&gt;BA4130,"erreur de calcul",IF(BD4130&lt;&gt;0,"pas de prix",IF(M4130&lt;&gt; 0,"pas de quantité","pas de prix, ni de quantité"))))</f>
        <v/>
      </c>
      <c r="BI4130" s="19"/>
    </row>
    <row r="4131" customFormat="false" ht="15" hidden="false" customHeight="false" outlineLevel="0" collapsed="false">
      <c r="A4131" s="0" t="n">
        <v>22</v>
      </c>
      <c r="B4131" s="8" t="s">
        <v>24</v>
      </c>
      <c r="C4131" s="9" t="s">
        <v>25</v>
      </c>
      <c r="D4131" s="9" t="s">
        <v>26</v>
      </c>
      <c r="E4131" s="10" t="n">
        <v>1789</v>
      </c>
      <c r="F4131" s="9" t="s">
        <v>27</v>
      </c>
      <c r="G4131" s="9" t="s">
        <v>27</v>
      </c>
      <c r="H4131" s="11" t="n">
        <v>25</v>
      </c>
      <c r="I4131" s="11" t="s">
        <v>351</v>
      </c>
      <c r="J4131" s="14" t="n">
        <v>60</v>
      </c>
      <c r="K4131" s="14"/>
      <c r="L4131" s="16"/>
      <c r="M4131" s="27" t="n">
        <f aca="false">J4131+(K4131/20)+(L4131/240)</f>
        <v>60</v>
      </c>
      <c r="N4131" s="17" t="s">
        <v>69</v>
      </c>
      <c r="O4131" s="11"/>
      <c r="P4131" s="28"/>
      <c r="Q4131" s="28" t="n">
        <f aca="false">P4131*$M4131</f>
        <v>0</v>
      </c>
      <c r="R4131" s="28"/>
      <c r="S4131" s="28" t="n">
        <f aca="false">R4131*$M4131</f>
        <v>0</v>
      </c>
      <c r="T4131" s="28" t="n">
        <v>20</v>
      </c>
      <c r="U4131" s="28" t="n">
        <v>1200</v>
      </c>
      <c r="V4131" s="28" t="n">
        <v>82</v>
      </c>
      <c r="W4131" s="28" t="n">
        <v>4920</v>
      </c>
      <c r="X4131" s="28"/>
      <c r="Y4131" s="28" t="n">
        <f aca="false">X4131*$M4131</f>
        <v>0</v>
      </c>
      <c r="Z4131" s="28"/>
      <c r="AA4131" s="28" t="n">
        <f aca="false">Z4131*$M4131</f>
        <v>0</v>
      </c>
      <c r="AB4131" s="28"/>
      <c r="AC4131" s="28" t="n">
        <f aca="false">AB4131*$M4131</f>
        <v>0</v>
      </c>
      <c r="AD4131" s="28"/>
      <c r="AE4131" s="28" t="n">
        <f aca="false">AD4131*$M4131</f>
        <v>0</v>
      </c>
      <c r="AF4131" s="28"/>
      <c r="AG4131" s="28" t="n">
        <f aca="false">AF4131*$M4131</f>
        <v>0</v>
      </c>
      <c r="AH4131" s="28"/>
      <c r="AI4131" s="28" t="n">
        <f aca="false">AH4131*$M4131</f>
        <v>0</v>
      </c>
      <c r="AJ4131" s="28"/>
      <c r="AK4131" s="28" t="n">
        <f aca="false">AJ4131*$M4131</f>
        <v>0</v>
      </c>
      <c r="AL4131" s="28"/>
      <c r="AM4131" s="28" t="n">
        <f aca="false">AL4131*$M4131</f>
        <v>0</v>
      </c>
      <c r="AN4131" s="28"/>
      <c r="AO4131" s="28" t="n">
        <f aca="false">AN4131*$M4131</f>
        <v>0</v>
      </c>
      <c r="AP4131" s="28"/>
      <c r="AQ4131" s="28" t="n">
        <f aca="false">AP4131*$M4131</f>
        <v>0</v>
      </c>
      <c r="AR4131" s="28"/>
      <c r="AS4131" s="28" t="n">
        <f aca="false">AR4131*$M4131</f>
        <v>0</v>
      </c>
      <c r="AT4131" s="28"/>
      <c r="AU4131" s="28" t="n">
        <f aca="false">AT4131*$M4131</f>
        <v>0</v>
      </c>
      <c r="AV4131" s="28"/>
      <c r="AW4131" s="28" t="n">
        <f aca="false">AV4131*$M4131</f>
        <v>0</v>
      </c>
      <c r="AX4131" s="28"/>
      <c r="AY4131" s="28" t="n">
        <f aca="false">AX4131*$M4131</f>
        <v>0</v>
      </c>
      <c r="AZ4131" s="30" t="n">
        <v>102</v>
      </c>
      <c r="BA4131" s="11" t="n">
        <v>6120</v>
      </c>
      <c r="BB4131" s="31" t="n">
        <f aca="false">SUM(Q4131,S4131,U4131,W4131,Y4131,AA4131,AC4131,AE4131,AG4131,AI4131,AK4131,AM4131,AO4131,AQ4131,AS4131,AU4131,AW4131,AY4131)</f>
        <v>6120</v>
      </c>
      <c r="BC4131" s="28" t="n">
        <f aca="false">BA4131-BB4131</f>
        <v>0</v>
      </c>
      <c r="BD4131" s="32" t="n">
        <f aca="false">SUM(P4131,R4131,T4131,V4131,X4131,Z4131,AB4131,AD4131,AF4131,AH4131,AJ4131,AL4131,AN4131,AP4131,AR4131,AT4131,AV4131,AX4131)</f>
        <v>102</v>
      </c>
      <c r="BE4131" s="33" t="n">
        <f aca="false">AZ4131-BD4131</f>
        <v>0</v>
      </c>
      <c r="BF4131" s="34" t="n">
        <f aca="false">BD4131*M4131</f>
        <v>6120</v>
      </c>
      <c r="BG4131" s="35" t="n">
        <f aca="false">BA4131-BF4131</f>
        <v>0</v>
      </c>
      <c r="BH4131" s="19" t="str">
        <f aca="false">IF(BG4131=0,"",IF(BG4131&lt;&gt;BA4131,"erreur de calcul",IF(BD4131&lt;&gt;0,"pas de prix",IF(M4131&lt;&gt; 0,"pas de quantité","pas de prix, ni de quantité"))))</f>
        <v/>
      </c>
      <c r="BI4131" s="19"/>
    </row>
    <row r="4132" customFormat="false" ht="15" hidden="false" customHeight="false" outlineLevel="0" collapsed="false">
      <c r="A4132" s="0" t="n">
        <v>23</v>
      </c>
      <c r="B4132" s="8" t="s">
        <v>24</v>
      </c>
      <c r="C4132" s="9" t="s">
        <v>25</v>
      </c>
      <c r="D4132" s="9" t="s">
        <v>26</v>
      </c>
      <c r="E4132" s="10" t="n">
        <v>1789</v>
      </c>
      <c r="F4132" s="9" t="s">
        <v>27</v>
      </c>
      <c r="G4132" s="9" t="s">
        <v>27</v>
      </c>
      <c r="H4132" s="11" t="n">
        <v>25</v>
      </c>
      <c r="I4132" s="11" t="s">
        <v>352</v>
      </c>
      <c r="J4132" s="14" t="n">
        <v>150</v>
      </c>
      <c r="K4132" s="14"/>
      <c r="L4132" s="16"/>
      <c r="M4132" s="27" t="n">
        <f aca="false">J4132+(K4132/20)+(L4132/240)</f>
        <v>150</v>
      </c>
      <c r="N4132" s="17" t="s">
        <v>64</v>
      </c>
      <c r="O4132" s="11"/>
      <c r="P4132" s="28" t="n">
        <f aca="false">274/100</f>
        <v>2.74</v>
      </c>
      <c r="Q4132" s="28" t="n">
        <v>411</v>
      </c>
      <c r="R4132" s="28"/>
      <c r="S4132" s="28" t="n">
        <f aca="false">R4132*$M4132</f>
        <v>0</v>
      </c>
      <c r="T4132" s="28" t="n">
        <f aca="false">3042/100</f>
        <v>30.42</v>
      </c>
      <c r="U4132" s="28" t="n">
        <v>4563</v>
      </c>
      <c r="V4132" s="28"/>
      <c r="W4132" s="28" t="n">
        <f aca="false">V4132*$M4132</f>
        <v>0</v>
      </c>
      <c r="X4132" s="28"/>
      <c r="Y4132" s="28" t="n">
        <f aca="false">X4132*$M4132</f>
        <v>0</v>
      </c>
      <c r="Z4132" s="28"/>
      <c r="AA4132" s="28" t="n">
        <f aca="false">Z4132*$M4132</f>
        <v>0</v>
      </c>
      <c r="AB4132" s="28" t="n">
        <f aca="false">92/100</f>
        <v>0.92</v>
      </c>
      <c r="AC4132" s="28" t="n">
        <v>138</v>
      </c>
      <c r="AD4132" s="28"/>
      <c r="AE4132" s="28" t="n">
        <f aca="false">AD4132*$M4132</f>
        <v>0</v>
      </c>
      <c r="AF4132" s="28"/>
      <c r="AG4132" s="28" t="n">
        <f aca="false">AF4132*$M4132</f>
        <v>0</v>
      </c>
      <c r="AH4132" s="28"/>
      <c r="AI4132" s="28" t="n">
        <f aca="false">AH4132*$M4132</f>
        <v>0</v>
      </c>
      <c r="AJ4132" s="28"/>
      <c r="AK4132" s="28" t="n">
        <f aca="false">AJ4132*$M4132</f>
        <v>0</v>
      </c>
      <c r="AL4132" s="28"/>
      <c r="AM4132" s="28" t="n">
        <f aca="false">AL4132*$M4132</f>
        <v>0</v>
      </c>
      <c r="AN4132" s="28"/>
      <c r="AO4132" s="28" t="n">
        <f aca="false">AN4132*$M4132</f>
        <v>0</v>
      </c>
      <c r="AP4132" s="28"/>
      <c r="AQ4132" s="28" t="n">
        <f aca="false">AP4132*$M4132</f>
        <v>0</v>
      </c>
      <c r="AR4132" s="28"/>
      <c r="AS4132" s="28" t="n">
        <f aca="false">AR4132*$M4132</f>
        <v>0</v>
      </c>
      <c r="AT4132" s="28"/>
      <c r="AU4132" s="28" t="n">
        <f aca="false">AT4132*$M4132</f>
        <v>0</v>
      </c>
      <c r="AV4132" s="28"/>
      <c r="AW4132" s="28" t="n">
        <f aca="false">AV4132*$M4132</f>
        <v>0</v>
      </c>
      <c r="AX4132" s="28"/>
      <c r="AY4132" s="28" t="n">
        <f aca="false">AX4132*$M4132</f>
        <v>0</v>
      </c>
      <c r="AZ4132" s="30" t="n">
        <f aca="false">3408/100</f>
        <v>34.08</v>
      </c>
      <c r="BA4132" s="11" t="n">
        <v>5112</v>
      </c>
      <c r="BB4132" s="31" t="n">
        <f aca="false">SUM(Q4132,S4132,U4132,W4132,Y4132,AA4132,AC4132,AE4132,AG4132,AI4132,AK4132,AM4132,AO4132,AQ4132,AS4132,AU4132,AW4132,AY4132)</f>
        <v>5112</v>
      </c>
      <c r="BC4132" s="28" t="n">
        <f aca="false">BA4132-BB4132</f>
        <v>0</v>
      </c>
      <c r="BD4132" s="32" t="n">
        <f aca="false">SUM(P4132,R4132,T4132,V4132,X4132,Z4132,AB4132,AD4132,AF4132,AH4132,AJ4132,AL4132,AN4132,AP4132,AR4132,AT4132,AV4132,AX4132)</f>
        <v>34.08</v>
      </c>
      <c r="BE4132" s="33" t="n">
        <f aca="false">AZ4132-BD4132</f>
        <v>0</v>
      </c>
      <c r="BF4132" s="34" t="n">
        <f aca="false">BD4132*M4132</f>
        <v>5112</v>
      </c>
      <c r="BG4132" s="35" t="n">
        <f aca="false">BA4132-BF4132</f>
        <v>0</v>
      </c>
      <c r="BH4132" s="19" t="str">
        <f aca="false">IF(BG4132=0,"",IF(BG4132&lt;&gt;BA4132,"erreur de calcul",IF(BD4132&lt;&gt;0,"pas de prix",IF(M4132&lt;&gt; 0,"pas de quantité","pas de prix, ni de quantité"))))</f>
        <v/>
      </c>
      <c r="BI4132" s="19"/>
    </row>
    <row r="4133" customFormat="false" ht="15" hidden="false" customHeight="false" outlineLevel="0" collapsed="false">
      <c r="A4133" s="0" t="n">
        <v>24</v>
      </c>
      <c r="B4133" s="8" t="s">
        <v>24</v>
      </c>
      <c r="C4133" s="9" t="s">
        <v>25</v>
      </c>
      <c r="D4133" s="9" t="s">
        <v>26</v>
      </c>
      <c r="E4133" s="10" t="n">
        <v>1789</v>
      </c>
      <c r="F4133" s="9" t="s">
        <v>27</v>
      </c>
      <c r="G4133" s="9" t="s">
        <v>27</v>
      </c>
      <c r="H4133" s="11" t="n">
        <v>25</v>
      </c>
      <c r="I4133" s="11" t="s">
        <v>353</v>
      </c>
      <c r="J4133" s="14" t="n">
        <v>40</v>
      </c>
      <c r="K4133" s="14"/>
      <c r="L4133" s="16"/>
      <c r="M4133" s="27" t="n">
        <f aca="false">J4133+(K4133/20)+(L4133/240)</f>
        <v>40</v>
      </c>
      <c r="N4133" s="17" t="s">
        <v>64</v>
      </c>
      <c r="O4133" s="11"/>
      <c r="P4133" s="28"/>
      <c r="Q4133" s="28" t="n">
        <f aca="false">P4133*$M4133</f>
        <v>0</v>
      </c>
      <c r="R4133" s="28"/>
      <c r="S4133" s="28" t="n">
        <f aca="false">R4133*$M4133</f>
        <v>0</v>
      </c>
      <c r="T4133" s="28"/>
      <c r="U4133" s="28" t="n">
        <f aca="false">T4133*$M4133</f>
        <v>0</v>
      </c>
      <c r="V4133" s="28" t="n">
        <f aca="false">4960/100</f>
        <v>49.6</v>
      </c>
      <c r="W4133" s="28" t="n">
        <v>1984</v>
      </c>
      <c r="X4133" s="28" t="n">
        <f aca="false">394/100</f>
        <v>3.94</v>
      </c>
      <c r="Y4133" s="28" t="n">
        <v>158</v>
      </c>
      <c r="Z4133" s="28"/>
      <c r="AA4133" s="28" t="n">
        <f aca="false">Z4133*$M4133</f>
        <v>0</v>
      </c>
      <c r="AB4133" s="28"/>
      <c r="AC4133" s="28" t="n">
        <f aca="false">AB4133*$M4133</f>
        <v>0</v>
      </c>
      <c r="AD4133" s="28"/>
      <c r="AE4133" s="28" t="n">
        <f aca="false">AD4133*$M4133</f>
        <v>0</v>
      </c>
      <c r="AF4133" s="28"/>
      <c r="AG4133" s="28" t="n">
        <f aca="false">AF4133*$M4133</f>
        <v>0</v>
      </c>
      <c r="AH4133" s="28"/>
      <c r="AI4133" s="28" t="n">
        <f aca="false">AH4133*$M4133</f>
        <v>0</v>
      </c>
      <c r="AJ4133" s="28"/>
      <c r="AK4133" s="28" t="n">
        <f aca="false">AJ4133*$M4133</f>
        <v>0</v>
      </c>
      <c r="AL4133" s="28"/>
      <c r="AM4133" s="28" t="n">
        <f aca="false">AL4133*$M4133</f>
        <v>0</v>
      </c>
      <c r="AN4133" s="28"/>
      <c r="AO4133" s="28" t="n">
        <f aca="false">AN4133*$M4133</f>
        <v>0</v>
      </c>
      <c r="AP4133" s="28"/>
      <c r="AQ4133" s="28" t="n">
        <f aca="false">AP4133*$M4133</f>
        <v>0</v>
      </c>
      <c r="AR4133" s="28"/>
      <c r="AS4133" s="28" t="n">
        <f aca="false">AR4133*$M4133</f>
        <v>0</v>
      </c>
      <c r="AT4133" s="28"/>
      <c r="AU4133" s="28" t="n">
        <f aca="false">AT4133*$M4133</f>
        <v>0</v>
      </c>
      <c r="AV4133" s="28"/>
      <c r="AW4133" s="28" t="n">
        <f aca="false">AV4133*$M4133</f>
        <v>0</v>
      </c>
      <c r="AX4133" s="28"/>
      <c r="AY4133" s="28" t="n">
        <f aca="false">AX4133*$M4133</f>
        <v>0</v>
      </c>
      <c r="AZ4133" s="30" t="n">
        <f aca="false">5354/100</f>
        <v>53.54</v>
      </c>
      <c r="BA4133" s="11" t="n">
        <v>2142</v>
      </c>
      <c r="BB4133" s="31" t="n">
        <f aca="false">SUM(Q4133,S4133,U4133,W4133,Y4133,AA4133,AC4133,AE4133,AG4133,AI4133,AK4133,AM4133,AO4133,AQ4133,AS4133,AU4133,AW4133,AY4133)</f>
        <v>2142</v>
      </c>
      <c r="BC4133" s="28" t="n">
        <f aca="false">BA4133-BB4133</f>
        <v>0</v>
      </c>
      <c r="BD4133" s="32" t="n">
        <f aca="false">SUM(P4133,R4133,T4133,V4133,X4133,Z4133,AB4133,AD4133,AF4133,AH4133,AJ4133,AL4133,AN4133,AP4133,AR4133,AT4133,AV4133,AX4133)</f>
        <v>53.54</v>
      </c>
      <c r="BE4133" s="33" t="n">
        <f aca="false">AZ4133-BD4133</f>
        <v>0</v>
      </c>
      <c r="BF4133" s="34" t="n">
        <f aca="false">BD4133*M4133</f>
        <v>2141.6</v>
      </c>
      <c r="BG4133" s="35" t="n">
        <f aca="false">BA4133-BF4133</f>
        <v>0.400000000000091</v>
      </c>
      <c r="BH4133" s="19" t="str">
        <f aca="false">IF(BG4133=0,"",IF(BG4133&lt;&gt;BA4133,"erreur de calcul",IF(BD4133&lt;&gt;0,"pas de prix",IF(M4133&lt;&gt; 0,"pas de quantité","pas de prix, ni de quantité"))))</f>
        <v>erreur de calcul</v>
      </c>
      <c r="BI4133" s="19"/>
    </row>
    <row r="4134" customFormat="false" ht="15" hidden="false" customHeight="false" outlineLevel="0" collapsed="false">
      <c r="A4134" s="0" t="n">
        <v>25</v>
      </c>
      <c r="B4134" s="8" t="s">
        <v>24</v>
      </c>
      <c r="C4134" s="9" t="s">
        <v>25</v>
      </c>
      <c r="D4134" s="9" t="s">
        <v>26</v>
      </c>
      <c r="E4134" s="10" t="n">
        <v>1789</v>
      </c>
      <c r="F4134" s="9" t="s">
        <v>27</v>
      </c>
      <c r="G4134" s="9" t="s">
        <v>27</v>
      </c>
      <c r="H4134" s="11" t="n">
        <v>25</v>
      </c>
      <c r="I4134" s="11" t="s">
        <v>354</v>
      </c>
      <c r="J4134" s="14" t="n">
        <v>200</v>
      </c>
      <c r="K4134" s="14"/>
      <c r="L4134" s="16"/>
      <c r="M4134" s="27" t="n">
        <f aca="false">J4134+(K4134/20)+(L4134/240)</f>
        <v>200</v>
      </c>
      <c r="N4134" s="17" t="s">
        <v>64</v>
      </c>
      <c r="O4134" s="11"/>
      <c r="P4134" s="28"/>
      <c r="Q4134" s="28" t="n">
        <f aca="false">P4134*$M4134</f>
        <v>0</v>
      </c>
      <c r="R4134" s="28"/>
      <c r="S4134" s="28" t="n">
        <f aca="false">R4134*$M4134</f>
        <v>0</v>
      </c>
      <c r="T4134" s="28" t="n">
        <f aca="false">4367/100</f>
        <v>43.67</v>
      </c>
      <c r="U4134" s="28" t="n">
        <v>8734</v>
      </c>
      <c r="V4134" s="28" t="n">
        <f aca="false">346/100</f>
        <v>3.46</v>
      </c>
      <c r="W4134" s="28" t="n">
        <v>692</v>
      </c>
      <c r="X4134" s="28"/>
      <c r="Y4134" s="28" t="n">
        <f aca="false">X4134*$M4134</f>
        <v>0</v>
      </c>
      <c r="Z4134" s="28"/>
      <c r="AA4134" s="28" t="n">
        <f aca="false">Z4134*$M4134</f>
        <v>0</v>
      </c>
      <c r="AB4134" s="28"/>
      <c r="AC4134" s="28" t="n">
        <f aca="false">AB4134*$M4134</f>
        <v>0</v>
      </c>
      <c r="AD4134" s="28"/>
      <c r="AE4134" s="28" t="n">
        <f aca="false">AD4134*$M4134</f>
        <v>0</v>
      </c>
      <c r="AF4134" s="28"/>
      <c r="AG4134" s="28" t="n">
        <f aca="false">AF4134*$M4134</f>
        <v>0</v>
      </c>
      <c r="AH4134" s="28"/>
      <c r="AI4134" s="28" t="n">
        <f aca="false">AH4134*$M4134</f>
        <v>0</v>
      </c>
      <c r="AJ4134" s="28"/>
      <c r="AK4134" s="28" t="n">
        <f aca="false">AJ4134*$M4134</f>
        <v>0</v>
      </c>
      <c r="AL4134" s="28"/>
      <c r="AM4134" s="28" t="n">
        <f aca="false">AL4134*$M4134</f>
        <v>0</v>
      </c>
      <c r="AN4134" s="28"/>
      <c r="AO4134" s="28" t="n">
        <f aca="false">AN4134*$M4134</f>
        <v>0</v>
      </c>
      <c r="AP4134" s="28"/>
      <c r="AQ4134" s="28" t="n">
        <f aca="false">AP4134*$M4134</f>
        <v>0</v>
      </c>
      <c r="AR4134" s="28"/>
      <c r="AS4134" s="28" t="n">
        <f aca="false">AR4134*$M4134</f>
        <v>0</v>
      </c>
      <c r="AT4134" s="28"/>
      <c r="AU4134" s="28" t="n">
        <f aca="false">AT4134*$M4134</f>
        <v>0</v>
      </c>
      <c r="AV4134" s="28"/>
      <c r="AW4134" s="28" t="n">
        <f aca="false">AV4134*$M4134</f>
        <v>0</v>
      </c>
      <c r="AX4134" s="28"/>
      <c r="AY4134" s="28" t="n">
        <f aca="false">AX4134*$M4134</f>
        <v>0</v>
      </c>
      <c r="AZ4134" s="30" t="n">
        <f aca="false">4713/100</f>
        <v>47.13</v>
      </c>
      <c r="BA4134" s="11" t="n">
        <v>9426</v>
      </c>
      <c r="BB4134" s="31" t="n">
        <f aca="false">SUM(Q4134,S4134,U4134,W4134,Y4134,AA4134,AC4134,AE4134,AG4134,AI4134,AK4134,AM4134,AO4134,AQ4134,AS4134,AU4134,AW4134,AY4134)</f>
        <v>9426</v>
      </c>
      <c r="BC4134" s="28" t="n">
        <f aca="false">BA4134-BB4134</f>
        <v>0</v>
      </c>
      <c r="BD4134" s="32" t="n">
        <f aca="false">SUM(P4134,R4134,T4134,V4134,X4134,Z4134,AB4134,AD4134,AF4134,AH4134,AJ4134,AL4134,AN4134,AP4134,AR4134,AT4134,AV4134,AX4134)</f>
        <v>47.13</v>
      </c>
      <c r="BE4134" s="33" t="n">
        <f aca="false">AZ4134-BD4134</f>
        <v>0</v>
      </c>
      <c r="BF4134" s="34" t="n">
        <f aca="false">BD4134*M4134</f>
        <v>9426</v>
      </c>
      <c r="BG4134" s="35" t="n">
        <f aca="false">BA4134-BF4134</f>
        <v>0</v>
      </c>
      <c r="BH4134" s="19" t="str">
        <f aca="false">IF(BG4134=0,"",IF(BG4134&lt;&gt;BA4134,"erreur de calcul",IF(BD4134&lt;&gt;0,"pas de prix",IF(M4134&lt;&gt; 0,"pas de quantité","pas de prix, ni de quantité"))))</f>
        <v/>
      </c>
      <c r="BI4134" s="19"/>
    </row>
    <row r="4135" customFormat="false" ht="15" hidden="false" customHeight="false" outlineLevel="0" collapsed="false">
      <c r="A4135" s="0" t="n">
        <v>26</v>
      </c>
      <c r="B4135" s="8" t="s">
        <v>24</v>
      </c>
      <c r="C4135" s="9" t="s">
        <v>25</v>
      </c>
      <c r="D4135" s="9" t="s">
        <v>26</v>
      </c>
      <c r="E4135" s="10" t="n">
        <v>1789</v>
      </c>
      <c r="F4135" s="9" t="s">
        <v>27</v>
      </c>
      <c r="G4135" s="9" t="s">
        <v>27</v>
      </c>
      <c r="H4135" s="11" t="n">
        <v>25</v>
      </c>
      <c r="I4135" s="11" t="s">
        <v>355</v>
      </c>
      <c r="J4135" s="14" t="n">
        <v>200</v>
      </c>
      <c r="K4135" s="14"/>
      <c r="L4135" s="16"/>
      <c r="M4135" s="27" t="n">
        <f aca="false">J4135+(K4135/20)+(L4135/240)</f>
        <v>200</v>
      </c>
      <c r="N4135" s="17" t="s">
        <v>64</v>
      </c>
      <c r="O4135" s="11"/>
      <c r="P4135" s="28"/>
      <c r="Q4135" s="28" t="n">
        <f aca="false">P4135*$M4135</f>
        <v>0</v>
      </c>
      <c r="R4135" s="28"/>
      <c r="S4135" s="28" t="n">
        <f aca="false">R4135*$M4135</f>
        <v>0</v>
      </c>
      <c r="T4135" s="28" t="n">
        <f aca="false">2471/100</f>
        <v>24.71</v>
      </c>
      <c r="U4135" s="28" t="n">
        <v>4942</v>
      </c>
      <c r="V4135" s="28"/>
      <c r="W4135" s="28" t="n">
        <f aca="false">V4135*$M4135</f>
        <v>0</v>
      </c>
      <c r="X4135" s="28"/>
      <c r="Y4135" s="28" t="n">
        <f aca="false">X4135*$M4135</f>
        <v>0</v>
      </c>
      <c r="Z4135" s="28"/>
      <c r="AA4135" s="28" t="n">
        <f aca="false">Z4135*$M4135</f>
        <v>0</v>
      </c>
      <c r="AB4135" s="28"/>
      <c r="AC4135" s="28" t="n">
        <f aca="false">AB4135*$M4135</f>
        <v>0</v>
      </c>
      <c r="AD4135" s="28"/>
      <c r="AE4135" s="28" t="n">
        <f aca="false">AD4135*$M4135</f>
        <v>0</v>
      </c>
      <c r="AF4135" s="28"/>
      <c r="AG4135" s="28" t="n">
        <f aca="false">AF4135*$M4135</f>
        <v>0</v>
      </c>
      <c r="AH4135" s="28"/>
      <c r="AI4135" s="28" t="n">
        <f aca="false">AH4135*$M4135</f>
        <v>0</v>
      </c>
      <c r="AJ4135" s="28"/>
      <c r="AK4135" s="28" t="n">
        <f aca="false">AJ4135*$M4135</f>
        <v>0</v>
      </c>
      <c r="AL4135" s="28"/>
      <c r="AM4135" s="28" t="n">
        <f aca="false">AL4135*$M4135</f>
        <v>0</v>
      </c>
      <c r="AN4135" s="28"/>
      <c r="AO4135" s="28" t="n">
        <f aca="false">AN4135*$M4135</f>
        <v>0</v>
      </c>
      <c r="AP4135" s="28"/>
      <c r="AQ4135" s="28" t="n">
        <f aca="false">AP4135*$M4135</f>
        <v>0</v>
      </c>
      <c r="AR4135" s="28"/>
      <c r="AS4135" s="28" t="n">
        <f aca="false">AR4135*$M4135</f>
        <v>0</v>
      </c>
      <c r="AT4135" s="28"/>
      <c r="AU4135" s="28" t="n">
        <f aca="false">AT4135*$M4135</f>
        <v>0</v>
      </c>
      <c r="AV4135" s="28"/>
      <c r="AW4135" s="28" t="n">
        <f aca="false">AV4135*$M4135</f>
        <v>0</v>
      </c>
      <c r="AX4135" s="28"/>
      <c r="AY4135" s="28" t="n">
        <f aca="false">AX4135*$M4135</f>
        <v>0</v>
      </c>
      <c r="AZ4135" s="30" t="n">
        <f aca="false">2471/100</f>
        <v>24.71</v>
      </c>
      <c r="BA4135" s="11" t="n">
        <v>4942</v>
      </c>
      <c r="BB4135" s="31" t="n">
        <f aca="false">SUM(Q4135,S4135,U4135,W4135,Y4135,AA4135,AC4135,AE4135,AG4135,AI4135,AK4135,AM4135,AO4135,AQ4135,AS4135,AU4135,AW4135,AY4135)</f>
        <v>4942</v>
      </c>
      <c r="BC4135" s="28" t="n">
        <f aca="false">BA4135-BB4135</f>
        <v>0</v>
      </c>
      <c r="BD4135" s="32" t="n">
        <f aca="false">SUM(P4135,R4135,T4135,V4135,X4135,Z4135,AB4135,AD4135,AF4135,AH4135,AJ4135,AL4135,AN4135,AP4135,AR4135,AT4135,AV4135,AX4135)</f>
        <v>24.71</v>
      </c>
      <c r="BE4135" s="33" t="n">
        <f aca="false">AZ4135-BD4135</f>
        <v>0</v>
      </c>
      <c r="BF4135" s="34" t="n">
        <f aca="false">BD4135*M4135</f>
        <v>4942</v>
      </c>
      <c r="BG4135" s="35" t="n">
        <f aca="false">BA4135-BF4135</f>
        <v>0</v>
      </c>
      <c r="BH4135" s="19" t="str">
        <f aca="false">IF(BG4135=0,"",IF(BG4135&lt;&gt;BA4135,"erreur de calcul",IF(BD4135&lt;&gt;0,"pas de prix",IF(M4135&lt;&gt; 0,"pas de quantité","pas de prix, ni de quantité"))))</f>
        <v/>
      </c>
      <c r="BI4135" s="19"/>
    </row>
    <row r="4136" customFormat="false" ht="15" hidden="false" customHeight="false" outlineLevel="0" collapsed="false">
      <c r="A4136" s="0" t="n">
        <v>27</v>
      </c>
      <c r="B4136" s="8" t="s">
        <v>24</v>
      </c>
      <c r="C4136" s="9" t="s">
        <v>25</v>
      </c>
      <c r="D4136" s="9" t="s">
        <v>26</v>
      </c>
      <c r="E4136" s="10" t="n">
        <v>1789</v>
      </c>
      <c r="F4136" s="9" t="s">
        <v>27</v>
      </c>
      <c r="G4136" s="9" t="s">
        <v>27</v>
      </c>
      <c r="H4136" s="11" t="n">
        <v>25</v>
      </c>
      <c r="I4136" s="11" t="s">
        <v>356</v>
      </c>
      <c r="J4136" s="14" t="n">
        <v>120</v>
      </c>
      <c r="K4136" s="14"/>
      <c r="L4136" s="16"/>
      <c r="M4136" s="27" t="n">
        <f aca="false">J4136+(K4136/20)+(L4136/240)</f>
        <v>120</v>
      </c>
      <c r="N4136" s="17" t="s">
        <v>64</v>
      </c>
      <c r="O4136" s="11"/>
      <c r="P4136" s="28"/>
      <c r="Q4136" s="28" t="n">
        <f aca="false">P4136*$M4136</f>
        <v>0</v>
      </c>
      <c r="R4136" s="28"/>
      <c r="S4136" s="28" t="n">
        <f aca="false">R4136*$M4136</f>
        <v>0</v>
      </c>
      <c r="T4136" s="28"/>
      <c r="U4136" s="28" t="n">
        <f aca="false">T4136*$M4136</f>
        <v>0</v>
      </c>
      <c r="V4136" s="28"/>
      <c r="W4136" s="28" t="n">
        <f aca="false">V4136*$M4136</f>
        <v>0</v>
      </c>
      <c r="X4136" s="28"/>
      <c r="Y4136" s="28" t="n">
        <f aca="false">X4136*$M4136</f>
        <v>0</v>
      </c>
      <c r="Z4136" s="28"/>
      <c r="AA4136" s="28" t="n">
        <f aca="false">Z4136*$M4136</f>
        <v>0</v>
      </c>
      <c r="AB4136" s="28"/>
      <c r="AC4136" s="28" t="n">
        <f aca="false">AB4136*$M4136</f>
        <v>0</v>
      </c>
      <c r="AD4136" s="28"/>
      <c r="AE4136" s="28" t="n">
        <f aca="false">AD4136*$M4136</f>
        <v>0</v>
      </c>
      <c r="AF4136" s="28"/>
      <c r="AG4136" s="28" t="n">
        <f aca="false">AF4136*$M4136</f>
        <v>0</v>
      </c>
      <c r="AH4136" s="28"/>
      <c r="AI4136" s="28" t="n">
        <f aca="false">AH4136*$M4136</f>
        <v>0</v>
      </c>
      <c r="AJ4136" s="28"/>
      <c r="AK4136" s="28" t="n">
        <f aca="false">AJ4136*$M4136</f>
        <v>0</v>
      </c>
      <c r="AL4136" s="28"/>
      <c r="AM4136" s="28" t="n">
        <f aca="false">AL4136*$M4136</f>
        <v>0</v>
      </c>
      <c r="AN4136" s="28" t="n">
        <f aca="false">407/100</f>
        <v>4.07</v>
      </c>
      <c r="AO4136" s="28" t="n">
        <v>488</v>
      </c>
      <c r="AP4136" s="28"/>
      <c r="AQ4136" s="28" t="n">
        <f aca="false">AP4136*$M4136</f>
        <v>0</v>
      </c>
      <c r="AR4136" s="28"/>
      <c r="AS4136" s="28" t="n">
        <f aca="false">AR4136*$M4136</f>
        <v>0</v>
      </c>
      <c r="AT4136" s="28"/>
      <c r="AU4136" s="28" t="n">
        <f aca="false">AT4136*$M4136</f>
        <v>0</v>
      </c>
      <c r="AV4136" s="28"/>
      <c r="AW4136" s="28" t="n">
        <f aca="false">AV4136*$M4136</f>
        <v>0</v>
      </c>
      <c r="AX4136" s="28"/>
      <c r="AY4136" s="28" t="n">
        <f aca="false">AX4136*$M4136</f>
        <v>0</v>
      </c>
      <c r="AZ4136" s="30" t="n">
        <f aca="false">407/100</f>
        <v>4.07</v>
      </c>
      <c r="BA4136" s="11" t="n">
        <v>488</v>
      </c>
      <c r="BB4136" s="31" t="n">
        <f aca="false">SUM(Q4136,S4136,U4136,W4136,Y4136,AA4136,AC4136,AE4136,AG4136,AI4136,AK4136,AM4136,AO4136,AQ4136,AS4136,AU4136,AW4136,AY4136)</f>
        <v>488</v>
      </c>
      <c r="BC4136" s="28" t="n">
        <f aca="false">BA4136-BB4136</f>
        <v>0</v>
      </c>
      <c r="BD4136" s="32" t="n">
        <f aca="false">SUM(P4136,R4136,T4136,V4136,X4136,Z4136,AB4136,AD4136,AF4136,AH4136,AJ4136,AL4136,AN4136,AP4136,AR4136,AT4136,AV4136,AX4136)</f>
        <v>4.07</v>
      </c>
      <c r="BE4136" s="33" t="n">
        <f aca="false">AZ4136-BD4136</f>
        <v>0</v>
      </c>
      <c r="BF4136" s="34" t="n">
        <f aca="false">BD4136*M4136</f>
        <v>488.4</v>
      </c>
      <c r="BG4136" s="35" t="n">
        <f aca="false">BA4136-BF4136</f>
        <v>-0.400000000000034</v>
      </c>
      <c r="BH4136" s="19" t="str">
        <f aca="false">IF(BG4136=0,"",IF(BG4136&lt;&gt;BA4136,"erreur de calcul",IF(BD4136&lt;&gt;0,"pas de prix",IF(M4136&lt;&gt; 0,"pas de quantité","pas de prix, ni de quantité"))))</f>
        <v>erreur de calcul</v>
      </c>
      <c r="BI4136" s="19"/>
    </row>
    <row r="4137" customFormat="false" ht="15" hidden="false" customHeight="false" outlineLevel="0" collapsed="false">
      <c r="A4137" s="0" t="n">
        <v>28</v>
      </c>
      <c r="B4137" s="8" t="s">
        <v>24</v>
      </c>
      <c r="C4137" s="9" t="s">
        <v>25</v>
      </c>
      <c r="D4137" s="9" t="s">
        <v>26</v>
      </c>
      <c r="E4137" s="10" t="n">
        <v>1789</v>
      </c>
      <c r="F4137" s="9" t="s">
        <v>27</v>
      </c>
      <c r="G4137" s="9" t="s">
        <v>27</v>
      </c>
      <c r="H4137" s="11" t="n">
        <v>25</v>
      </c>
      <c r="I4137" s="11" t="s">
        <v>357</v>
      </c>
      <c r="J4137" s="14" t="n">
        <v>30</v>
      </c>
      <c r="K4137" s="14"/>
      <c r="L4137" s="16"/>
      <c r="M4137" s="27" t="n">
        <f aca="false">J4137+(K4137/20)+(L4137/240)</f>
        <v>30</v>
      </c>
      <c r="N4137" s="17" t="s">
        <v>64</v>
      </c>
      <c r="O4137" s="11"/>
      <c r="P4137" s="28"/>
      <c r="Q4137" s="28" t="n">
        <f aca="false">P4137*$M4137</f>
        <v>0</v>
      </c>
      <c r="R4137" s="28"/>
      <c r="S4137" s="28" t="n">
        <f aca="false">R4137*$M4137</f>
        <v>0</v>
      </c>
      <c r="T4137" s="28" t="n">
        <f aca="false">8903/100</f>
        <v>89.03</v>
      </c>
      <c r="U4137" s="28" t="n">
        <v>2671</v>
      </c>
      <c r="V4137" s="28" t="n">
        <f aca="false">2591/100</f>
        <v>25.91</v>
      </c>
      <c r="W4137" s="28" t="n">
        <v>777</v>
      </c>
      <c r="X4137" s="28"/>
      <c r="Y4137" s="28" t="n">
        <f aca="false">X4137*$M4137</f>
        <v>0</v>
      </c>
      <c r="Z4137" s="28" t="n">
        <f aca="false">17041/100</f>
        <v>170.41</v>
      </c>
      <c r="AA4137" s="28" t="n">
        <v>5112</v>
      </c>
      <c r="AB4137" s="28" t="n">
        <f aca="false">42963/100</f>
        <v>429.63</v>
      </c>
      <c r="AC4137" s="28" t="n">
        <v>12889</v>
      </c>
      <c r="AD4137" s="28"/>
      <c r="AE4137" s="28" t="n">
        <f aca="false">AD4137*$M4137</f>
        <v>0</v>
      </c>
      <c r="AF4137" s="28" t="n">
        <f aca="false">138369/100</f>
        <v>1383.69</v>
      </c>
      <c r="AG4137" s="28" t="n">
        <v>41511</v>
      </c>
      <c r="AH4137" s="28"/>
      <c r="AI4137" s="28" t="n">
        <f aca="false">AH4137*$M4137</f>
        <v>0</v>
      </c>
      <c r="AJ4137" s="28"/>
      <c r="AK4137" s="28" t="n">
        <f aca="false">AJ4137*$M4137</f>
        <v>0</v>
      </c>
      <c r="AL4137" s="28"/>
      <c r="AM4137" s="28" t="n">
        <f aca="false">AL4137*$M4137</f>
        <v>0</v>
      </c>
      <c r="AN4137" s="28"/>
      <c r="AO4137" s="28" t="n">
        <f aca="false">AN4137*$M4137</f>
        <v>0</v>
      </c>
      <c r="AP4137" s="28"/>
      <c r="AQ4137" s="28" t="n">
        <f aca="false">AP4137*$M4137</f>
        <v>0</v>
      </c>
      <c r="AR4137" s="28"/>
      <c r="AS4137" s="28" t="n">
        <f aca="false">AR4137*$M4137</f>
        <v>0</v>
      </c>
      <c r="AT4137" s="28"/>
      <c r="AU4137" s="28" t="n">
        <f aca="false">AT4137*$M4137</f>
        <v>0</v>
      </c>
      <c r="AV4137" s="28"/>
      <c r="AW4137" s="28" t="n">
        <f aca="false">AV4137*$M4137</f>
        <v>0</v>
      </c>
      <c r="AX4137" s="28"/>
      <c r="AY4137" s="28" t="n">
        <f aca="false">AX4137*$M4137</f>
        <v>0</v>
      </c>
      <c r="AZ4137" s="30" t="n">
        <f aca="false">209867/100</f>
        <v>2098.67</v>
      </c>
      <c r="BA4137" s="11" t="n">
        <v>62960</v>
      </c>
      <c r="BB4137" s="31" t="n">
        <f aca="false">SUM(Q4137,S4137,U4137,W4137,Y4137,AA4137,AC4137,AE4137,AG4137,AI4137,AK4137,AM4137,AO4137,AQ4137,AS4137,AU4137,AW4137,AY4137)</f>
        <v>62960</v>
      </c>
      <c r="BC4137" s="28" t="n">
        <f aca="false">BA4137-BB4137</f>
        <v>0</v>
      </c>
      <c r="BD4137" s="32" t="n">
        <f aca="false">SUM(P4137,R4137,T4137,V4137,X4137,Z4137,AB4137,AD4137,AF4137,AH4137,AJ4137,AL4137,AN4137,AP4137,AR4137,AT4137,AV4137,AX4137)</f>
        <v>2098.67</v>
      </c>
      <c r="BE4137" s="33" t="n">
        <f aca="false">AZ4137-BD4137</f>
        <v>0</v>
      </c>
      <c r="BF4137" s="34" t="n">
        <f aca="false">BD4137*M4137</f>
        <v>62960.1</v>
      </c>
      <c r="BG4137" s="35" t="n">
        <f aca="false">BA4137-BF4137</f>
        <v>-0.100000000013097</v>
      </c>
      <c r="BH4137" s="19" t="str">
        <f aca="false">IF(BG4137=0,"",IF(BG4137&lt;&gt;BA4137,"erreur de calcul",IF(BD4137&lt;&gt;0,"pas de prix",IF(M4137&lt;&gt; 0,"pas de quantité","pas de prix, ni de quantité"))))</f>
        <v>erreur de calcul</v>
      </c>
      <c r="BI4137" s="19"/>
    </row>
    <row r="4138" customFormat="false" ht="15" hidden="false" customHeight="false" outlineLevel="0" collapsed="false">
      <c r="A4138" s="0" t="n">
        <v>29</v>
      </c>
      <c r="B4138" s="8" t="s">
        <v>24</v>
      </c>
      <c r="C4138" s="9" t="s">
        <v>25</v>
      </c>
      <c r="D4138" s="9" t="s">
        <v>26</v>
      </c>
      <c r="E4138" s="10" t="n">
        <v>1789</v>
      </c>
      <c r="F4138" s="9" t="s">
        <v>27</v>
      </c>
      <c r="G4138" s="9" t="s">
        <v>27</v>
      </c>
      <c r="H4138" s="11" t="n">
        <v>25</v>
      </c>
      <c r="I4138" s="11" t="s">
        <v>358</v>
      </c>
      <c r="J4138" s="14" t="n">
        <v>35</v>
      </c>
      <c r="K4138" s="14"/>
      <c r="L4138" s="16"/>
      <c r="M4138" s="27" t="n">
        <f aca="false">J4138+(K4138/20)+(L4138/240)</f>
        <v>35</v>
      </c>
      <c r="N4138" s="17" t="s">
        <v>64</v>
      </c>
      <c r="O4138" s="11"/>
      <c r="P4138" s="28"/>
      <c r="Q4138" s="28" t="n">
        <f aca="false">P4138*$M4138</f>
        <v>0</v>
      </c>
      <c r="R4138" s="28"/>
      <c r="S4138" s="28" t="n">
        <f aca="false">R4138*$M4138</f>
        <v>0</v>
      </c>
      <c r="T4138" s="28" t="n">
        <f aca="false">62095/100</f>
        <v>620.95</v>
      </c>
      <c r="U4138" s="28" t="n">
        <v>21733</v>
      </c>
      <c r="V4138" s="28" t="n">
        <f aca="false">257918/100</f>
        <v>2579.18</v>
      </c>
      <c r="W4138" s="28" t="n">
        <v>90271</v>
      </c>
      <c r="X4138" s="28" t="n">
        <f aca="false">10723/100</f>
        <v>107.23</v>
      </c>
      <c r="Y4138" s="28" t="n">
        <v>3753</v>
      </c>
      <c r="Z4138" s="28" t="n">
        <f aca="false">21191/100</f>
        <v>211.91</v>
      </c>
      <c r="AA4138" s="28" t="n">
        <v>7417</v>
      </c>
      <c r="AB4138" s="28" t="n">
        <f aca="false">308781/100</f>
        <v>3087.81</v>
      </c>
      <c r="AC4138" s="28" t="n">
        <v>108073</v>
      </c>
      <c r="AD4138" s="28"/>
      <c r="AE4138" s="28" t="n">
        <f aca="false">AD4138*$M4138</f>
        <v>0</v>
      </c>
      <c r="AF4138" s="28" t="n">
        <f aca="false">5225/100</f>
        <v>52.25</v>
      </c>
      <c r="AG4138" s="28" t="n">
        <v>1829</v>
      </c>
      <c r="AH4138" s="28"/>
      <c r="AI4138" s="28" t="n">
        <f aca="false">AH4138*$M4138</f>
        <v>0</v>
      </c>
      <c r="AJ4138" s="28"/>
      <c r="AK4138" s="28" t="n">
        <f aca="false">AJ4138*$M4138</f>
        <v>0</v>
      </c>
      <c r="AL4138" s="28"/>
      <c r="AM4138" s="28" t="n">
        <f aca="false">AL4138*$M4138</f>
        <v>0</v>
      </c>
      <c r="AN4138" s="28"/>
      <c r="AO4138" s="28" t="n">
        <f aca="false">AN4138*$M4138</f>
        <v>0</v>
      </c>
      <c r="AP4138" s="28"/>
      <c r="AQ4138" s="28" t="n">
        <f aca="false">AP4138*$M4138</f>
        <v>0</v>
      </c>
      <c r="AR4138" s="28"/>
      <c r="AS4138" s="28" t="n">
        <f aca="false">AR4138*$M4138</f>
        <v>0</v>
      </c>
      <c r="AT4138" s="28"/>
      <c r="AU4138" s="28" t="n">
        <f aca="false">AT4138*$M4138</f>
        <v>0</v>
      </c>
      <c r="AV4138" s="28"/>
      <c r="AW4138" s="28" t="n">
        <f aca="false">AV4138*$M4138</f>
        <v>0</v>
      </c>
      <c r="AX4138" s="28"/>
      <c r="AY4138" s="28" t="n">
        <f aca="false">AX4138*$M4138</f>
        <v>0</v>
      </c>
      <c r="AZ4138" s="30" t="n">
        <f aca="false">665933/100</f>
        <v>6659.33</v>
      </c>
      <c r="BA4138" s="11" t="n">
        <v>233076</v>
      </c>
      <c r="BB4138" s="31" t="n">
        <f aca="false">SUM(Q4138,S4138,U4138,W4138,Y4138,AA4138,AC4138,AE4138,AG4138,AI4138,AK4138,AM4138,AO4138,AQ4138,AS4138,AU4138,AW4138,AY4138)</f>
        <v>233076</v>
      </c>
      <c r="BC4138" s="28" t="n">
        <f aca="false">BA4138-BB4138</f>
        <v>0</v>
      </c>
      <c r="BD4138" s="32" t="n">
        <f aca="false">SUM(P4138,R4138,T4138,V4138,X4138,Z4138,AB4138,AD4138,AF4138,AH4138,AJ4138,AL4138,AN4138,AP4138,AR4138,AT4138,AV4138,AX4138)</f>
        <v>6659.33</v>
      </c>
      <c r="BE4138" s="33" t="n">
        <f aca="false">AZ4138-BD4138</f>
        <v>0</v>
      </c>
      <c r="BF4138" s="34" t="n">
        <f aca="false">BD4138*M4138</f>
        <v>233076.55</v>
      </c>
      <c r="BG4138" s="35" t="n">
        <f aca="false">BA4138-BF4138</f>
        <v>-0.549999999959255</v>
      </c>
      <c r="BH4138" s="19" t="str">
        <f aca="false">IF(BG4138=0,"",IF(BG4138&lt;&gt;BA4138,"erreur de calcul",IF(BD4138&lt;&gt;0,"pas de prix",IF(M4138&lt;&gt; 0,"pas de quantité","pas de prix, ni de quantité"))))</f>
        <v>erreur de calcul</v>
      </c>
      <c r="BI4138" s="19"/>
    </row>
    <row r="4139" customFormat="false" ht="15" hidden="false" customHeight="false" outlineLevel="0" collapsed="false">
      <c r="A4139" s="0" t="n">
        <v>30</v>
      </c>
      <c r="B4139" s="8" t="s">
        <v>24</v>
      </c>
      <c r="C4139" s="9" t="s">
        <v>25</v>
      </c>
      <c r="D4139" s="9" t="s">
        <v>26</v>
      </c>
      <c r="E4139" s="10" t="n">
        <v>1789</v>
      </c>
      <c r="F4139" s="9" t="s">
        <v>27</v>
      </c>
      <c r="G4139" s="9" t="s">
        <v>27</v>
      </c>
      <c r="H4139" s="11" t="n">
        <v>25</v>
      </c>
      <c r="I4139" s="11" t="s">
        <v>359</v>
      </c>
      <c r="J4139" s="14"/>
      <c r="K4139" s="14"/>
      <c r="L4139" s="16"/>
      <c r="M4139" s="27" t="n">
        <f aca="false">J4139+(K4139/20)+(L4139/240)</f>
        <v>0</v>
      </c>
      <c r="N4139" s="17"/>
      <c r="O4139" s="11" t="s">
        <v>109</v>
      </c>
      <c r="P4139" s="28"/>
      <c r="Q4139" s="28" t="n">
        <f aca="false">P4139*$M4139</f>
        <v>0</v>
      </c>
      <c r="R4139" s="28"/>
      <c r="S4139" s="28" t="n">
        <f aca="false">R4139*$M4139</f>
        <v>0</v>
      </c>
      <c r="T4139" s="28"/>
      <c r="U4139" s="28" t="n">
        <f aca="false">T4139*$M4139</f>
        <v>0</v>
      </c>
      <c r="V4139" s="28"/>
      <c r="W4139" s="28" t="n">
        <f aca="false">V4139*$M4139</f>
        <v>0</v>
      </c>
      <c r="X4139" s="28"/>
      <c r="Y4139" s="28" t="n">
        <f aca="false">X4139*$M4139</f>
        <v>0</v>
      </c>
      <c r="Z4139" s="28"/>
      <c r="AA4139" s="28" t="n">
        <f aca="false">Z4139*$M4139</f>
        <v>0</v>
      </c>
      <c r="AB4139" s="28"/>
      <c r="AC4139" s="28" t="n">
        <f aca="false">AB4139*$M4139</f>
        <v>0</v>
      </c>
      <c r="AD4139" s="28"/>
      <c r="AE4139" s="28" t="n">
        <f aca="false">AD4139*$M4139</f>
        <v>0</v>
      </c>
      <c r="AF4139" s="28"/>
      <c r="AG4139" s="28" t="n">
        <f aca="false">AF4139*$M4139</f>
        <v>0</v>
      </c>
      <c r="AH4139" s="28"/>
      <c r="AI4139" s="28" t="n">
        <f aca="false">AH4139*$M4139</f>
        <v>0</v>
      </c>
      <c r="AJ4139" s="28"/>
      <c r="AK4139" s="28" t="n">
        <f aca="false">AJ4139*$M4139</f>
        <v>0</v>
      </c>
      <c r="AL4139" s="28"/>
      <c r="AM4139" s="28" t="n">
        <f aca="false">AL4139*$M4139</f>
        <v>0</v>
      </c>
      <c r="AN4139" s="28"/>
      <c r="AO4139" s="28" t="n">
        <f aca="false">AN4139*$M4139</f>
        <v>0</v>
      </c>
      <c r="AP4139" s="28"/>
      <c r="AQ4139" s="28" t="n">
        <f aca="false">AP4139*$M4139</f>
        <v>0</v>
      </c>
      <c r="AR4139" s="28"/>
      <c r="AS4139" s="28" t="n">
        <f aca="false">AR4139*$M4139</f>
        <v>0</v>
      </c>
      <c r="AT4139" s="28"/>
      <c r="AU4139" s="28" t="n">
        <f aca="false">AT4139*$M4139</f>
        <v>0</v>
      </c>
      <c r="AV4139" s="28"/>
      <c r="AW4139" s="28" t="n">
        <f aca="false">AV4139*$M4139</f>
        <v>0</v>
      </c>
      <c r="AX4139" s="28"/>
      <c r="AY4139" s="28" t="n">
        <f aca="false">AX4139*$M4139</f>
        <v>0</v>
      </c>
      <c r="AZ4139" s="30"/>
      <c r="BA4139" s="11"/>
      <c r="BB4139" s="31" t="n">
        <f aca="false">SUM(Q4139,S4139,U4139,W4139,Y4139,AA4139,AC4139,AE4139,AG4139,AI4139,AK4139,AM4139,AO4139,AQ4139,AS4139,AU4139,AW4139,AY4139)</f>
        <v>0</v>
      </c>
      <c r="BC4139" s="28" t="n">
        <f aca="false">BA4139-BB4139</f>
        <v>0</v>
      </c>
      <c r="BD4139" s="32" t="n">
        <f aca="false">SUM(P4139,R4139,T4139,V4139,X4139,Z4139,AB4139,AD4139,AF4139,AH4139,AJ4139,AL4139,AN4139,AP4139,AR4139,AT4139,AV4139,AX4139)</f>
        <v>0</v>
      </c>
      <c r="BE4139" s="33" t="n">
        <f aca="false">AZ4139-BD4139</f>
        <v>0</v>
      </c>
      <c r="BF4139" s="34" t="n">
        <f aca="false">BD4139*M4139</f>
        <v>0</v>
      </c>
      <c r="BG4139" s="35" t="n">
        <f aca="false">BA4139-BF4139</f>
        <v>0</v>
      </c>
      <c r="BH4139" s="19" t="str">
        <f aca="false">IF(BG4139=0,"",IF(BG4139&lt;&gt;BA4139,"erreur de calcul",IF(BD4139&lt;&gt;0,"pas de prix",IF(M4139&lt;&gt; 0,"pas de quantité","pas de prix, ni de quantité"))))</f>
        <v/>
      </c>
      <c r="BI4139" s="19"/>
    </row>
    <row r="4140" customFormat="false" ht="15" hidden="false" customHeight="false" outlineLevel="0" collapsed="false">
      <c r="A4140" s="0" t="n">
        <v>31</v>
      </c>
      <c r="B4140" s="8" t="s">
        <v>24</v>
      </c>
      <c r="C4140" s="9" t="s">
        <v>25</v>
      </c>
      <c r="D4140" s="9" t="s">
        <v>26</v>
      </c>
      <c r="E4140" s="10" t="n">
        <v>1789</v>
      </c>
      <c r="F4140" s="9" t="s">
        <v>27</v>
      </c>
      <c r="G4140" s="9" t="s">
        <v>27</v>
      </c>
      <c r="H4140" s="11" t="n">
        <v>25</v>
      </c>
      <c r="I4140" s="11" t="s">
        <v>359</v>
      </c>
      <c r="J4140" s="14"/>
      <c r="K4140" s="14"/>
      <c r="L4140" s="16"/>
      <c r="M4140" s="27" t="n">
        <f aca="false">J4140+(K4140/20)+(L4140/240)</f>
        <v>0</v>
      </c>
      <c r="N4140" s="17"/>
      <c r="O4140" s="11" t="s">
        <v>277</v>
      </c>
      <c r="P4140" s="28"/>
      <c r="Q4140" s="28" t="n">
        <f aca="false">P4140*$M4140</f>
        <v>0</v>
      </c>
      <c r="R4140" s="28"/>
      <c r="S4140" s="28" t="n">
        <f aca="false">R4140*$M4140</f>
        <v>0</v>
      </c>
      <c r="T4140" s="28"/>
      <c r="U4140" s="28" t="n">
        <f aca="false">T4140*$M4140</f>
        <v>0</v>
      </c>
      <c r="V4140" s="28"/>
      <c r="W4140" s="28" t="n">
        <f aca="false">V4140*$M4140</f>
        <v>0</v>
      </c>
      <c r="X4140" s="28"/>
      <c r="Y4140" s="28" t="n">
        <v>1361</v>
      </c>
      <c r="Z4140" s="28"/>
      <c r="AA4140" s="28" t="n">
        <f aca="false">Z4140*$M4140</f>
        <v>0</v>
      </c>
      <c r="AB4140" s="28"/>
      <c r="AC4140" s="28" t="n">
        <v>1182</v>
      </c>
      <c r="AD4140" s="28"/>
      <c r="AE4140" s="28" t="n">
        <v>649</v>
      </c>
      <c r="AF4140" s="28"/>
      <c r="AG4140" s="28" t="n">
        <f aca="false">AF4140*$M4140</f>
        <v>0</v>
      </c>
      <c r="AH4140" s="28"/>
      <c r="AI4140" s="28" t="n">
        <v>862</v>
      </c>
      <c r="AJ4140" s="28"/>
      <c r="AK4140" s="28" t="n">
        <f aca="false">AJ4140*$M4140</f>
        <v>0</v>
      </c>
      <c r="AL4140" s="28"/>
      <c r="AM4140" s="28" t="n">
        <f aca="false">AL4140*$M4140</f>
        <v>0</v>
      </c>
      <c r="AN4140" s="28"/>
      <c r="AO4140" s="28" t="n">
        <f aca="false">AN4140*$M4140</f>
        <v>0</v>
      </c>
      <c r="AP4140" s="28"/>
      <c r="AQ4140" s="28" t="n">
        <f aca="false">AP4140*$M4140</f>
        <v>0</v>
      </c>
      <c r="AR4140" s="28"/>
      <c r="AS4140" s="28" t="n">
        <f aca="false">AR4140*$M4140</f>
        <v>0</v>
      </c>
      <c r="AT4140" s="28"/>
      <c r="AU4140" s="28" t="n">
        <f aca="false">AT4140*$M4140</f>
        <v>0</v>
      </c>
      <c r="AV4140" s="28"/>
      <c r="AW4140" s="28" t="n">
        <f aca="false">AV4140*$M4140</f>
        <v>0</v>
      </c>
      <c r="AX4140" s="28"/>
      <c r="AY4140" s="28" t="n">
        <f aca="false">AX4140*$M4140</f>
        <v>0</v>
      </c>
      <c r="AZ4140" s="30"/>
      <c r="BA4140" s="11" t="n">
        <v>4054</v>
      </c>
      <c r="BB4140" s="31" t="n">
        <f aca="false">SUM(Q4140,S4140,U4140,W4140,Y4140,AA4140,AC4140,AE4140,AG4140,AI4140,AK4140,AM4140,AO4140,AQ4140,AS4140,AU4140,AW4140,AY4140)</f>
        <v>4054</v>
      </c>
      <c r="BC4140" s="28" t="n">
        <f aca="false">BA4140-BB4140</f>
        <v>0</v>
      </c>
      <c r="BD4140" s="32" t="n">
        <f aca="false">SUM(P4140,R4140,T4140,V4140,X4140,Z4140,AB4140,AD4140,AF4140,AH4140,AJ4140,AL4140,AN4140,AP4140,AR4140,AT4140,AV4140,AX4140)</f>
        <v>0</v>
      </c>
      <c r="BE4140" s="33" t="n">
        <f aca="false">AZ4140-BD4140</f>
        <v>0</v>
      </c>
      <c r="BF4140" s="34" t="n">
        <f aca="false">BD4140*M4140</f>
        <v>0</v>
      </c>
      <c r="BG4140" s="35" t="n">
        <f aca="false">BA4140-BF4140</f>
        <v>4054</v>
      </c>
      <c r="BH4140" s="19" t="str">
        <f aca="false">IF(BG4140=0,"",IF(BG4140&lt;&gt;BA4140,"erreur de calcul",IF(BD4140&lt;&gt;0,"pas de prix",IF(M4140&lt;&gt; 0,"pas de quantité","pas de prix, ni de quantité"))))</f>
        <v>pas de prix, ni de quantité</v>
      </c>
      <c r="BI4140" s="19"/>
    </row>
    <row r="4141" customFormat="false" ht="15" hidden="false" customHeight="false" outlineLevel="0" collapsed="false">
      <c r="A4141" s="0" t="n">
        <v>32</v>
      </c>
      <c r="B4141" s="8" t="s">
        <v>24</v>
      </c>
      <c r="C4141" s="9" t="s">
        <v>25</v>
      </c>
      <c r="D4141" s="9" t="s">
        <v>26</v>
      </c>
      <c r="E4141" s="10" t="n">
        <v>1789</v>
      </c>
      <c r="F4141" s="9" t="s">
        <v>27</v>
      </c>
      <c r="G4141" s="9" t="s">
        <v>27</v>
      </c>
      <c r="H4141" s="11" t="n">
        <v>25</v>
      </c>
      <c r="I4141" s="11" t="s">
        <v>360</v>
      </c>
      <c r="J4141" s="14" t="n">
        <v>66</v>
      </c>
      <c r="K4141" s="14"/>
      <c r="L4141" s="16"/>
      <c r="M4141" s="27" t="n">
        <f aca="false">J4141+(K4141/20)+(L4141/240)</f>
        <v>66</v>
      </c>
      <c r="N4141" s="17" t="s">
        <v>64</v>
      </c>
      <c r="O4141" s="11"/>
      <c r="P4141" s="28"/>
      <c r="Q4141" s="28" t="n">
        <f aca="false">P4141*$M4141</f>
        <v>0</v>
      </c>
      <c r="R4141" s="28"/>
      <c r="S4141" s="28" t="n">
        <f aca="false">R4141*$M4141</f>
        <v>0</v>
      </c>
      <c r="T4141" s="28"/>
      <c r="U4141" s="28" t="n">
        <f aca="false">T4141*$M4141</f>
        <v>0</v>
      </c>
      <c r="V4141" s="28"/>
      <c r="W4141" s="28" t="n">
        <f aca="false">V4141*$M4141</f>
        <v>0</v>
      </c>
      <c r="X4141" s="28"/>
      <c r="Y4141" s="28" t="n">
        <f aca="false">X4141*$M4141</f>
        <v>0</v>
      </c>
      <c r="Z4141" s="28"/>
      <c r="AA4141" s="28" t="n">
        <f aca="false">Z4141*$M4141</f>
        <v>0</v>
      </c>
      <c r="AB4141" s="28"/>
      <c r="AC4141" s="28" t="n">
        <f aca="false">AB4141*$M4141</f>
        <v>0</v>
      </c>
      <c r="AD4141" s="28"/>
      <c r="AE4141" s="28" t="n">
        <f aca="false">AD4141*$M4141</f>
        <v>0</v>
      </c>
      <c r="AF4141" s="28"/>
      <c r="AG4141" s="28" t="n">
        <f aca="false">AF4141*$M4141</f>
        <v>0</v>
      </c>
      <c r="AH4141" s="28" t="n">
        <f aca="false">75475/100</f>
        <v>754.75</v>
      </c>
      <c r="AI4141" s="28" t="n">
        <v>49813</v>
      </c>
      <c r="AJ4141" s="28"/>
      <c r="AK4141" s="28" t="n">
        <f aca="false">AJ4141*$M4141</f>
        <v>0</v>
      </c>
      <c r="AL4141" s="28"/>
      <c r="AM4141" s="28" t="n">
        <f aca="false">AL4141*$M4141</f>
        <v>0</v>
      </c>
      <c r="AN4141" s="28"/>
      <c r="AO4141" s="28" t="n">
        <f aca="false">AN4141*$M4141</f>
        <v>0</v>
      </c>
      <c r="AP4141" s="28"/>
      <c r="AQ4141" s="28" t="n">
        <f aca="false">AP4141*$M4141</f>
        <v>0</v>
      </c>
      <c r="AR4141" s="28"/>
      <c r="AS4141" s="28" t="n">
        <f aca="false">AR4141*$M4141</f>
        <v>0</v>
      </c>
      <c r="AT4141" s="28"/>
      <c r="AU4141" s="28" t="n">
        <f aca="false">AT4141*$M4141</f>
        <v>0</v>
      </c>
      <c r="AV4141" s="28"/>
      <c r="AW4141" s="28" t="n">
        <f aca="false">AV4141*$M4141</f>
        <v>0</v>
      </c>
      <c r="AX4141" s="28"/>
      <c r="AY4141" s="28" t="n">
        <f aca="false">AX4141*$M4141</f>
        <v>0</v>
      </c>
      <c r="AZ4141" s="30" t="n">
        <f aca="false">75475/100</f>
        <v>754.75</v>
      </c>
      <c r="BA4141" s="11" t="n">
        <v>49813</v>
      </c>
      <c r="BB4141" s="31" t="n">
        <f aca="false">SUM(Q4141,S4141,U4141,W4141,Y4141,AA4141,AC4141,AE4141,AG4141,AI4141,AK4141,AM4141,AO4141,AQ4141,AS4141,AU4141,AW4141,AY4141)</f>
        <v>49813</v>
      </c>
      <c r="BC4141" s="28" t="n">
        <f aca="false">BA4141-BB4141</f>
        <v>0</v>
      </c>
      <c r="BD4141" s="32" t="n">
        <f aca="false">SUM(P4141,R4141,T4141,V4141,X4141,Z4141,AB4141,AD4141,AF4141,AH4141,AJ4141,AL4141,AN4141,AP4141,AR4141,AT4141,AV4141,AX4141)</f>
        <v>754.75</v>
      </c>
      <c r="BE4141" s="33" t="n">
        <f aca="false">AZ4141-BD4141</f>
        <v>0</v>
      </c>
      <c r="BF4141" s="34" t="n">
        <f aca="false">BD4141*M4141</f>
        <v>49813.5</v>
      </c>
      <c r="BG4141" s="35" t="n">
        <f aca="false">BA4141-BF4141</f>
        <v>-0.5</v>
      </c>
      <c r="BH4141" s="19" t="str">
        <f aca="false">IF(BG4141=0,"",IF(BG4141&lt;&gt;BA4141,"erreur de calcul",IF(BD4141&lt;&gt;0,"pas de prix",IF(M4141&lt;&gt; 0,"pas de quantité","pas de prix, ni de quantité"))))</f>
        <v>erreur de calcul</v>
      </c>
      <c r="BI4141" s="19"/>
    </row>
    <row r="4142" customFormat="false" ht="15" hidden="false" customHeight="false" outlineLevel="0" collapsed="false">
      <c r="A4142" s="0" t="n">
        <v>33</v>
      </c>
      <c r="B4142" s="8" t="s">
        <v>24</v>
      </c>
      <c r="C4142" s="9" t="s">
        <v>25</v>
      </c>
      <c r="D4142" s="9" t="s">
        <v>26</v>
      </c>
      <c r="E4142" s="10" t="n">
        <v>1789</v>
      </c>
      <c r="F4142" s="9" t="s">
        <v>27</v>
      </c>
      <c r="G4142" s="9" t="s">
        <v>27</v>
      </c>
      <c r="H4142" s="11" t="n">
        <v>25</v>
      </c>
      <c r="I4142" s="11" t="s">
        <v>361</v>
      </c>
      <c r="J4142" s="14" t="n">
        <v>175</v>
      </c>
      <c r="K4142" s="14"/>
      <c r="L4142" s="16"/>
      <c r="M4142" s="27" t="n">
        <f aca="false">J4142+(K4142/20)+(L4142/240)</f>
        <v>175</v>
      </c>
      <c r="N4142" s="17" t="s">
        <v>64</v>
      </c>
      <c r="O4142" s="11" t="s">
        <v>77</v>
      </c>
      <c r="P4142" s="28" t="n">
        <f aca="false">1514/100</f>
        <v>15.14</v>
      </c>
      <c r="Q4142" s="28" t="n">
        <v>2649</v>
      </c>
      <c r="R4142" s="28"/>
      <c r="S4142" s="28" t="n">
        <f aca="false">R4142*$M4142</f>
        <v>0</v>
      </c>
      <c r="T4142" s="28" t="n">
        <f aca="false">170926/100</f>
        <v>1709.26</v>
      </c>
      <c r="U4142" s="28" t="n">
        <v>299120</v>
      </c>
      <c r="V4142" s="28" t="n">
        <f aca="false">16985/100</f>
        <v>169.85</v>
      </c>
      <c r="W4142" s="28" t="n">
        <v>29724</v>
      </c>
      <c r="X4142" s="28" t="n">
        <f aca="false">4530/100</f>
        <v>45.3</v>
      </c>
      <c r="Y4142" s="28" t="n">
        <v>7927</v>
      </c>
      <c r="Z4142" s="28"/>
      <c r="AA4142" s="28" t="n">
        <f aca="false">Z4142*$M4142</f>
        <v>0</v>
      </c>
      <c r="AB4142" s="28" t="n">
        <f aca="false">33770/100</f>
        <v>337.7</v>
      </c>
      <c r="AC4142" s="28" t="n">
        <v>59097</v>
      </c>
      <c r="AD4142" s="28"/>
      <c r="AE4142" s="28" t="n">
        <f aca="false">AD4142*$M4142</f>
        <v>0</v>
      </c>
      <c r="AF4142" s="28" t="n">
        <f aca="false">4712/100</f>
        <v>47.12</v>
      </c>
      <c r="AG4142" s="28" t="n">
        <v>8246</v>
      </c>
      <c r="AH4142" s="28" t="n">
        <f aca="false">55822/100</f>
        <v>558.22</v>
      </c>
      <c r="AI4142" s="28" t="n">
        <v>97688</v>
      </c>
      <c r="AJ4142" s="28"/>
      <c r="AK4142" s="28" t="n">
        <f aca="false">AJ4142*$M4142</f>
        <v>0</v>
      </c>
      <c r="AL4142" s="28"/>
      <c r="AM4142" s="28" t="n">
        <f aca="false">AL4142*$M4142</f>
        <v>0</v>
      </c>
      <c r="AN4142" s="28"/>
      <c r="AO4142" s="28" t="n">
        <f aca="false">AN4142*$M4142</f>
        <v>0</v>
      </c>
      <c r="AP4142" s="28"/>
      <c r="AQ4142" s="28" t="n">
        <f aca="false">AP4142*$M4142</f>
        <v>0</v>
      </c>
      <c r="AR4142" s="28"/>
      <c r="AS4142" s="28" t="n">
        <f aca="false">AR4142*$M4142</f>
        <v>0</v>
      </c>
      <c r="AT4142" s="28"/>
      <c r="AU4142" s="28" t="n">
        <f aca="false">AT4142*$M4142</f>
        <v>0</v>
      </c>
      <c r="AV4142" s="28"/>
      <c r="AW4142" s="28" t="n">
        <f aca="false">AV4142*$M4142</f>
        <v>0</v>
      </c>
      <c r="AX4142" s="28"/>
      <c r="AY4142" s="28" t="n">
        <f aca="false">AX4142*$M4142</f>
        <v>0</v>
      </c>
      <c r="AZ4142" s="30" t="n">
        <f aca="false">288259/100</f>
        <v>2882.59</v>
      </c>
      <c r="BA4142" s="11" t="n">
        <v>504451</v>
      </c>
      <c r="BB4142" s="31" t="n">
        <f aca="false">SUM(Q4142,S4142,U4142,W4142,Y4142,AA4142,AC4142,AE4142,AG4142,AI4142,AK4142,AM4142,AO4142,AQ4142,AS4142,AU4142,AW4142,AY4142)</f>
        <v>504451</v>
      </c>
      <c r="BC4142" s="28" t="n">
        <f aca="false">BA4142-BB4142</f>
        <v>0</v>
      </c>
      <c r="BD4142" s="32" t="n">
        <f aca="false">SUM(P4142,R4142,T4142,V4142,X4142,Z4142,AB4142,AD4142,AF4142,AH4142,AJ4142,AL4142,AN4142,AP4142,AR4142,AT4142,AV4142,AX4142)</f>
        <v>2882.59</v>
      </c>
      <c r="BE4142" s="33" t="n">
        <f aca="false">AZ4142-BD4142</f>
        <v>0</v>
      </c>
      <c r="BF4142" s="34" t="n">
        <f aca="false">BD4142*M4142</f>
        <v>504453.25</v>
      </c>
      <c r="BG4142" s="35" t="n">
        <f aca="false">BA4142-BF4142</f>
        <v>-2.24999999994179</v>
      </c>
      <c r="BH4142" s="19" t="str">
        <f aca="false">IF(BG4142=0,"",IF(BG4142&lt;&gt;BA4142,"erreur de calcul",IF(BD4142&lt;&gt;0,"pas de prix",IF(M4142&lt;&gt; 0,"pas de quantité","pas de prix, ni de quantité"))))</f>
        <v>erreur de calcul</v>
      </c>
      <c r="BI4142" s="19"/>
    </row>
    <row r="4143" customFormat="false" ht="15" hidden="false" customHeight="false" outlineLevel="0" collapsed="false">
      <c r="A4143" s="0" t="n">
        <v>34</v>
      </c>
      <c r="B4143" s="8" t="s">
        <v>24</v>
      </c>
      <c r="C4143" s="9" t="s">
        <v>25</v>
      </c>
      <c r="D4143" s="9" t="s">
        <v>26</v>
      </c>
      <c r="E4143" s="10" t="n">
        <v>1789</v>
      </c>
      <c r="F4143" s="9" t="s">
        <v>27</v>
      </c>
      <c r="G4143" s="9" t="s">
        <v>27</v>
      </c>
      <c r="H4143" s="11" t="n">
        <v>25</v>
      </c>
      <c r="I4143" s="11" t="s">
        <v>362</v>
      </c>
      <c r="J4143" s="14" t="n">
        <v>150</v>
      </c>
      <c r="K4143" s="14"/>
      <c r="L4143" s="16"/>
      <c r="M4143" s="27" t="n">
        <f aca="false">J4143+(K4143/20)+(L4143/240)</f>
        <v>150</v>
      </c>
      <c r="N4143" s="17" t="s">
        <v>64</v>
      </c>
      <c r="O4143" s="11"/>
      <c r="P4143" s="28"/>
      <c r="Q4143" s="28" t="n">
        <f aca="false">P4143*$M4143</f>
        <v>0</v>
      </c>
      <c r="R4143" s="28"/>
      <c r="S4143" s="28" t="n">
        <f aca="false">R4143*$M4143</f>
        <v>0</v>
      </c>
      <c r="T4143" s="28" t="n">
        <f aca="false">1842/100</f>
        <v>18.42</v>
      </c>
      <c r="U4143" s="28" t="n">
        <v>2763</v>
      </c>
      <c r="V4143" s="28" t="n">
        <f aca="false">684/100</f>
        <v>6.84</v>
      </c>
      <c r="W4143" s="28" t="n">
        <v>1026</v>
      </c>
      <c r="X4143" s="28"/>
      <c r="Y4143" s="28" t="n">
        <f aca="false">X4143*$M4143</f>
        <v>0</v>
      </c>
      <c r="Z4143" s="28"/>
      <c r="AA4143" s="28" t="n">
        <f aca="false">Z4143*$M4143</f>
        <v>0</v>
      </c>
      <c r="AB4143" s="28"/>
      <c r="AC4143" s="28" t="n">
        <f aca="false">AB4143*$M4143</f>
        <v>0</v>
      </c>
      <c r="AD4143" s="28"/>
      <c r="AE4143" s="28" t="n">
        <f aca="false">AD4143*$M4143</f>
        <v>0</v>
      </c>
      <c r="AF4143" s="28"/>
      <c r="AG4143" s="28" t="n">
        <f aca="false">AF4143*$M4143</f>
        <v>0</v>
      </c>
      <c r="AH4143" s="28"/>
      <c r="AI4143" s="28" t="n">
        <f aca="false">AH4143*$M4143</f>
        <v>0</v>
      </c>
      <c r="AJ4143" s="28"/>
      <c r="AK4143" s="28" t="n">
        <f aca="false">AJ4143*$M4143</f>
        <v>0</v>
      </c>
      <c r="AL4143" s="28"/>
      <c r="AM4143" s="28" t="n">
        <f aca="false">AL4143*$M4143</f>
        <v>0</v>
      </c>
      <c r="AN4143" s="28"/>
      <c r="AO4143" s="28" t="n">
        <f aca="false">AN4143*$M4143</f>
        <v>0</v>
      </c>
      <c r="AP4143" s="28"/>
      <c r="AQ4143" s="28" t="n">
        <f aca="false">AP4143*$M4143</f>
        <v>0</v>
      </c>
      <c r="AR4143" s="28"/>
      <c r="AS4143" s="28" t="n">
        <f aca="false">AR4143*$M4143</f>
        <v>0</v>
      </c>
      <c r="AT4143" s="28"/>
      <c r="AU4143" s="28" t="n">
        <f aca="false">AT4143*$M4143</f>
        <v>0</v>
      </c>
      <c r="AV4143" s="28"/>
      <c r="AW4143" s="28" t="n">
        <f aca="false">AV4143*$M4143</f>
        <v>0</v>
      </c>
      <c r="AX4143" s="28"/>
      <c r="AY4143" s="28" t="n">
        <f aca="false">AX4143*$M4143</f>
        <v>0</v>
      </c>
      <c r="AZ4143" s="30" t="n">
        <f aca="false">2526/100</f>
        <v>25.26</v>
      </c>
      <c r="BA4143" s="11" t="n">
        <v>3789</v>
      </c>
      <c r="BB4143" s="31" t="n">
        <f aca="false">SUM(Q4143,S4143,U4143,W4143,Y4143,AA4143,AC4143,AE4143,AG4143,AI4143,AK4143,AM4143,AO4143,AQ4143,AS4143,AU4143,AW4143,AY4143)</f>
        <v>3789</v>
      </c>
      <c r="BC4143" s="28" t="n">
        <f aca="false">BA4143-BB4143</f>
        <v>0</v>
      </c>
      <c r="BD4143" s="32" t="n">
        <f aca="false">SUM(P4143,R4143,T4143,V4143,X4143,Z4143,AB4143,AD4143,AF4143,AH4143,AJ4143,AL4143,AN4143,AP4143,AR4143,AT4143,AV4143,AX4143)</f>
        <v>25.26</v>
      </c>
      <c r="BE4143" s="33" t="n">
        <f aca="false">AZ4143-BD4143</f>
        <v>0</v>
      </c>
      <c r="BF4143" s="34" t="n">
        <f aca="false">BD4143*M4143</f>
        <v>3789</v>
      </c>
      <c r="BG4143" s="35" t="n">
        <f aca="false">BA4143-BF4143</f>
        <v>0</v>
      </c>
      <c r="BH4143" s="19" t="str">
        <f aca="false">IF(BG4143=0,"",IF(BG4143&lt;&gt;BA4143,"erreur de calcul",IF(BD4143&lt;&gt;0,"pas de prix",IF(M4143&lt;&gt; 0,"pas de quantité","pas de prix, ni de quantité"))))</f>
        <v/>
      </c>
      <c r="BI4143" s="19"/>
    </row>
    <row r="4144" customFormat="false" ht="15" hidden="false" customHeight="false" outlineLevel="0" collapsed="false">
      <c r="A4144" s="0" t="n">
        <v>35</v>
      </c>
      <c r="B4144" s="8" t="s">
        <v>24</v>
      </c>
      <c r="C4144" s="9" t="s">
        <v>25</v>
      </c>
      <c r="D4144" s="9" t="s">
        <v>26</v>
      </c>
      <c r="E4144" s="10" t="n">
        <v>1789</v>
      </c>
      <c r="F4144" s="9" t="s">
        <v>27</v>
      </c>
      <c r="G4144" s="9" t="s">
        <v>27</v>
      </c>
      <c r="H4144" s="11" t="n">
        <v>25</v>
      </c>
      <c r="I4144" s="11" t="s">
        <v>363</v>
      </c>
      <c r="J4144" s="14" t="n">
        <v>150</v>
      </c>
      <c r="K4144" s="14"/>
      <c r="L4144" s="16"/>
      <c r="M4144" s="27" t="n">
        <f aca="false">J4144+(K4144/20)+(L4144/240)</f>
        <v>150</v>
      </c>
      <c r="N4144" s="17" t="s">
        <v>64</v>
      </c>
      <c r="O4144" s="11" t="s">
        <v>77</v>
      </c>
      <c r="P4144" s="28"/>
      <c r="Q4144" s="28" t="n">
        <f aca="false">P4144*$M4144</f>
        <v>0</v>
      </c>
      <c r="R4144" s="28"/>
      <c r="S4144" s="28" t="n">
        <f aca="false">R4144*$M4144</f>
        <v>0</v>
      </c>
      <c r="T4144" s="28"/>
      <c r="U4144" s="28" t="n">
        <f aca="false">T4144*$M4144</f>
        <v>0</v>
      </c>
      <c r="V4144" s="28" t="n">
        <f aca="false">1501/100</f>
        <v>15.01</v>
      </c>
      <c r="W4144" s="28" t="n">
        <v>2251</v>
      </c>
      <c r="X4144" s="28"/>
      <c r="Y4144" s="28" t="n">
        <f aca="false">X4144*$M4144</f>
        <v>0</v>
      </c>
      <c r="Z4144" s="28" t="n">
        <f aca="false">6420/100</f>
        <v>64.2</v>
      </c>
      <c r="AA4144" s="28" t="n">
        <v>9630</v>
      </c>
      <c r="AB4144" s="28"/>
      <c r="AC4144" s="28" t="n">
        <f aca="false">AB4144*$M4144</f>
        <v>0</v>
      </c>
      <c r="AD4144" s="28"/>
      <c r="AE4144" s="28" t="n">
        <f aca="false">AD4144*$M4144</f>
        <v>0</v>
      </c>
      <c r="AF4144" s="28"/>
      <c r="AG4144" s="28" t="n">
        <f aca="false">AF4144*$M4144</f>
        <v>0</v>
      </c>
      <c r="AH4144" s="28" t="n">
        <f aca="false">138039/100</f>
        <v>1380.39</v>
      </c>
      <c r="AI4144" s="28" t="n">
        <v>207058</v>
      </c>
      <c r="AJ4144" s="28"/>
      <c r="AK4144" s="28" t="n">
        <f aca="false">AJ4144*$M4144</f>
        <v>0</v>
      </c>
      <c r="AL4144" s="28" t="n">
        <f aca="false">917/100</f>
        <v>9.17</v>
      </c>
      <c r="AM4144" s="28" t="n">
        <v>1375</v>
      </c>
      <c r="AN4144" s="28"/>
      <c r="AO4144" s="28" t="n">
        <f aca="false">AN4144*$M4144</f>
        <v>0</v>
      </c>
      <c r="AP4144" s="28"/>
      <c r="AQ4144" s="28" t="n">
        <f aca="false">AP4144*$M4144</f>
        <v>0</v>
      </c>
      <c r="AR4144" s="28"/>
      <c r="AS4144" s="28" t="n">
        <f aca="false">AR4144*$M4144</f>
        <v>0</v>
      </c>
      <c r="AT4144" s="28"/>
      <c r="AU4144" s="28" t="n">
        <f aca="false">AT4144*$M4144</f>
        <v>0</v>
      </c>
      <c r="AV4144" s="28"/>
      <c r="AW4144" s="28" t="n">
        <f aca="false">AV4144*$M4144</f>
        <v>0</v>
      </c>
      <c r="AX4144" s="28"/>
      <c r="AY4144" s="28" t="n">
        <f aca="false">AX4144*$M4144</f>
        <v>0</v>
      </c>
      <c r="AZ4144" s="30" t="n">
        <f aca="false">146877/100</f>
        <v>1468.77</v>
      </c>
      <c r="BA4144" s="11" t="n">
        <v>220314</v>
      </c>
      <c r="BB4144" s="31" t="n">
        <f aca="false">SUM(Q4144,S4144,U4144,W4144,Y4144,AA4144,AC4144,AE4144,AG4144,AI4144,AK4144,AM4144,AO4144,AQ4144,AS4144,AU4144,AW4144,AY4144)</f>
        <v>220314</v>
      </c>
      <c r="BC4144" s="28" t="n">
        <f aca="false">BA4144-BB4144</f>
        <v>0</v>
      </c>
      <c r="BD4144" s="32" t="n">
        <f aca="false">SUM(P4144,R4144,T4144,V4144,X4144,Z4144,AB4144,AD4144,AF4144,AH4144,AJ4144,AL4144,AN4144,AP4144,AR4144,AT4144,AV4144,AX4144)</f>
        <v>1468.77</v>
      </c>
      <c r="BE4144" s="33" t="n">
        <f aca="false">AZ4144-BD4144</f>
        <v>0</v>
      </c>
      <c r="BF4144" s="34" t="n">
        <f aca="false">BD4144*M4144</f>
        <v>220315.5</v>
      </c>
      <c r="BG4144" s="35" t="n">
        <f aca="false">BA4144-BF4144</f>
        <v>-1.5000000000291</v>
      </c>
      <c r="BH4144" s="19" t="str">
        <f aca="false">IF(BG4144=0,"",IF(BG4144&lt;&gt;BA4144,"erreur de calcul",IF(BD4144&lt;&gt;0,"pas de prix",IF(M4144&lt;&gt; 0,"pas de quantité","pas de prix, ni de quantité"))))</f>
        <v>erreur de calcul</v>
      </c>
      <c r="BI4144" s="19"/>
    </row>
    <row r="4145" customFormat="false" ht="15" hidden="false" customHeight="false" outlineLevel="0" collapsed="false">
      <c r="A4145" s="0" t="n">
        <v>36</v>
      </c>
      <c r="B4145" s="8" t="s">
        <v>24</v>
      </c>
      <c r="C4145" s="9" t="s">
        <v>25</v>
      </c>
      <c r="D4145" s="9" t="s">
        <v>26</v>
      </c>
      <c r="E4145" s="10" t="n">
        <v>1789</v>
      </c>
      <c r="F4145" s="9" t="s">
        <v>27</v>
      </c>
      <c r="G4145" s="9" t="s">
        <v>27</v>
      </c>
      <c r="H4145" s="11" t="n">
        <v>25</v>
      </c>
      <c r="I4145" s="11" t="s">
        <v>364</v>
      </c>
      <c r="J4145" s="14" t="n">
        <v>122</v>
      </c>
      <c r="K4145" s="14"/>
      <c r="L4145" s="16"/>
      <c r="M4145" s="27" t="n">
        <f aca="false">J4145+(K4145/20)+(L4145/240)</f>
        <v>122</v>
      </c>
      <c r="N4145" s="17" t="s">
        <v>64</v>
      </c>
      <c r="O4145" s="11" t="s">
        <v>77</v>
      </c>
      <c r="P4145" s="28" t="n">
        <f aca="false">2402/100</f>
        <v>24.02</v>
      </c>
      <c r="Q4145" s="28" t="n">
        <v>2930</v>
      </c>
      <c r="R4145" s="28"/>
      <c r="S4145" s="28" t="n">
        <f aca="false">R4145*$M4145</f>
        <v>0</v>
      </c>
      <c r="T4145" s="28" t="n">
        <f aca="false">3566/100</f>
        <v>35.66</v>
      </c>
      <c r="U4145" s="36" t="n">
        <v>4550</v>
      </c>
      <c r="V4145" s="28" t="n">
        <f aca="false">917/100</f>
        <v>9.17</v>
      </c>
      <c r="W4145" s="28" t="n">
        <v>1119</v>
      </c>
      <c r="X4145" s="28"/>
      <c r="Y4145" s="28" t="n">
        <f aca="false">X4145*$M4145</f>
        <v>0</v>
      </c>
      <c r="Z4145" s="28"/>
      <c r="AA4145" s="28" t="n">
        <f aca="false">Z4145*$M4145</f>
        <v>0</v>
      </c>
      <c r="AB4145" s="28" t="n">
        <f aca="false">28087/100</f>
        <v>280.87</v>
      </c>
      <c r="AC4145" s="28" t="n">
        <v>34266</v>
      </c>
      <c r="AD4145" s="28" t="n">
        <f aca="false">1505/100</f>
        <v>15.05</v>
      </c>
      <c r="AE4145" s="28" t="n">
        <v>1836</v>
      </c>
      <c r="AF4145" s="28"/>
      <c r="AG4145" s="28" t="n">
        <f aca="false">AF4145*$M4145</f>
        <v>0</v>
      </c>
      <c r="AH4145" s="28" t="n">
        <f aca="false">15314/100</f>
        <v>153.14</v>
      </c>
      <c r="AI4145" s="28" t="n">
        <v>18683</v>
      </c>
      <c r="AJ4145" s="28"/>
      <c r="AK4145" s="28" t="n">
        <f aca="false">AJ4145*$M4145</f>
        <v>0</v>
      </c>
      <c r="AL4145" s="28"/>
      <c r="AM4145" s="28" t="n">
        <f aca="false">AL4145*$M4145</f>
        <v>0</v>
      </c>
      <c r="AN4145" s="28"/>
      <c r="AO4145" s="28" t="n">
        <f aca="false">AN4145*$M4145</f>
        <v>0</v>
      </c>
      <c r="AP4145" s="28"/>
      <c r="AQ4145" s="28" t="n">
        <f aca="false">AP4145*$M4145</f>
        <v>0</v>
      </c>
      <c r="AR4145" s="28"/>
      <c r="AS4145" s="28" t="n">
        <f aca="false">AR4145*$M4145</f>
        <v>0</v>
      </c>
      <c r="AT4145" s="28"/>
      <c r="AU4145" s="28" t="n">
        <f aca="false">AT4145*$M4145</f>
        <v>0</v>
      </c>
      <c r="AV4145" s="28"/>
      <c r="AW4145" s="28" t="n">
        <f aca="false">AV4145*$M4145</f>
        <v>0</v>
      </c>
      <c r="AX4145" s="28"/>
      <c r="AY4145" s="28" t="n">
        <f aca="false">AX4145*$M4145</f>
        <v>0</v>
      </c>
      <c r="AZ4145" s="30" t="n">
        <f aca="false">51791/100</f>
        <v>517.91</v>
      </c>
      <c r="BA4145" s="11" t="n">
        <v>63384</v>
      </c>
      <c r="BB4145" s="31" t="n">
        <f aca="false">SUM(Q4145,S4145,U4145,W4145,Y4145,AA4145,AC4145,AE4145,AG4145,AI4145,AK4145,AM4145,AO4145,AQ4145,AS4145,AU4145,AW4145,AY4145)</f>
        <v>63384</v>
      </c>
      <c r="BC4145" s="28" t="n">
        <f aca="false">BA4145-BB4145</f>
        <v>0</v>
      </c>
      <c r="BD4145" s="32" t="n">
        <f aca="false">SUM(P4145,R4145,T4145,V4145,X4145,Z4145,AB4145,AD4145,AF4145,AH4145,AJ4145,AL4145,AN4145,AP4145,AR4145,AT4145,AV4145,AX4145)</f>
        <v>517.91</v>
      </c>
      <c r="BE4145" s="33" t="n">
        <f aca="false">AZ4145-BD4145</f>
        <v>0</v>
      </c>
      <c r="BF4145" s="34" t="n">
        <f aca="false">BD4145*M4145</f>
        <v>63185.02</v>
      </c>
      <c r="BG4145" s="35" t="n">
        <f aca="false">BA4145-BF4145</f>
        <v>198.980000000003</v>
      </c>
      <c r="BH4145" s="19" t="str">
        <f aca="false">IF(BG4145=0,"",IF(BG4145&lt;&gt;BA4145,"erreur de calcul",IF(BD4145&lt;&gt;0,"pas de prix",IF(M4145&lt;&gt; 0,"pas de quantité","pas de prix, ni de quantité"))))</f>
        <v>erreur de calcul</v>
      </c>
      <c r="BI4145" s="19"/>
    </row>
    <row r="4146" customFormat="false" ht="15" hidden="false" customHeight="false" outlineLevel="0" collapsed="false">
      <c r="A4146" s="0" t="n">
        <v>37</v>
      </c>
      <c r="B4146" s="8" t="s">
        <v>24</v>
      </c>
      <c r="C4146" s="9" t="s">
        <v>25</v>
      </c>
      <c r="D4146" s="9" t="s">
        <v>26</v>
      </c>
      <c r="E4146" s="10" t="n">
        <v>1789</v>
      </c>
      <c r="F4146" s="9" t="s">
        <v>27</v>
      </c>
      <c r="G4146" s="9" t="s">
        <v>27</v>
      </c>
      <c r="H4146" s="11" t="n">
        <v>25</v>
      </c>
      <c r="I4146" s="11" t="s">
        <v>365</v>
      </c>
      <c r="J4146" s="14" t="n">
        <v>107</v>
      </c>
      <c r="K4146" s="14"/>
      <c r="L4146" s="16"/>
      <c r="M4146" s="27" t="n">
        <f aca="false">J4146+(K4146/20)+(L4146/240)</f>
        <v>107</v>
      </c>
      <c r="N4146" s="17" t="s">
        <v>64</v>
      </c>
      <c r="O4146" s="11" t="s">
        <v>77</v>
      </c>
      <c r="P4146" s="28"/>
      <c r="Q4146" s="28" t="n">
        <f aca="false">P4146*$M4146</f>
        <v>0</v>
      </c>
      <c r="R4146" s="28"/>
      <c r="S4146" s="28" t="n">
        <f aca="false">R4146*$M4146</f>
        <v>0</v>
      </c>
      <c r="T4146" s="28" t="n">
        <f aca="false">1834/100</f>
        <v>18.34</v>
      </c>
      <c r="U4146" s="28" t="n">
        <v>1962</v>
      </c>
      <c r="V4146" s="28"/>
      <c r="W4146" s="28" t="n">
        <f aca="false">V4146*$M4146</f>
        <v>0</v>
      </c>
      <c r="X4146" s="28"/>
      <c r="Y4146" s="28" t="n">
        <f aca="false">X4146*$M4146</f>
        <v>0</v>
      </c>
      <c r="Z4146" s="28"/>
      <c r="AA4146" s="28" t="n">
        <f aca="false">Z4146*$M4146</f>
        <v>0</v>
      </c>
      <c r="AB4146" s="28"/>
      <c r="AC4146" s="28" t="n">
        <f aca="false">AB4146*$M4146</f>
        <v>0</v>
      </c>
      <c r="AD4146" s="28"/>
      <c r="AE4146" s="28" t="n">
        <f aca="false">AD4146*$M4146</f>
        <v>0</v>
      </c>
      <c r="AF4146" s="28" t="n">
        <f aca="false">5202/100</f>
        <v>52.02</v>
      </c>
      <c r="AG4146" s="28" t="n">
        <v>5566</v>
      </c>
      <c r="AH4146" s="28"/>
      <c r="AI4146" s="28" t="n">
        <f aca="false">AH4146*$M4146</f>
        <v>0</v>
      </c>
      <c r="AJ4146" s="28" t="n">
        <f aca="false">3209/100</f>
        <v>32.09</v>
      </c>
      <c r="AK4146" s="28" t="n">
        <v>3434</v>
      </c>
      <c r="AL4146" s="28" t="n">
        <f aca="false">80682/100</f>
        <v>806.82</v>
      </c>
      <c r="AM4146" s="28" t="n">
        <v>86329</v>
      </c>
      <c r="AN4146" s="28"/>
      <c r="AO4146" s="28" t="n">
        <f aca="false">AN4146*$M4146</f>
        <v>0</v>
      </c>
      <c r="AP4146" s="28"/>
      <c r="AQ4146" s="28" t="n">
        <f aca="false">AP4146*$M4146</f>
        <v>0</v>
      </c>
      <c r="AR4146" s="28"/>
      <c r="AS4146" s="28" t="n">
        <f aca="false">AR4146*$M4146</f>
        <v>0</v>
      </c>
      <c r="AT4146" s="28"/>
      <c r="AU4146" s="28" t="n">
        <f aca="false">AT4146*$M4146</f>
        <v>0</v>
      </c>
      <c r="AV4146" s="28"/>
      <c r="AW4146" s="28" t="n">
        <f aca="false">AV4146*$M4146</f>
        <v>0</v>
      </c>
      <c r="AX4146" s="28"/>
      <c r="AY4146" s="28" t="n">
        <f aca="false">AX4146*$M4146</f>
        <v>0</v>
      </c>
      <c r="AZ4146" s="30" t="n">
        <f aca="false">90927/100</f>
        <v>909.27</v>
      </c>
      <c r="BA4146" s="11" t="n">
        <v>97291</v>
      </c>
      <c r="BB4146" s="31" t="n">
        <f aca="false">SUM(Q4146,S4146,U4146,W4146,Y4146,AA4146,AC4146,AE4146,AG4146,AI4146,AK4146,AM4146,AO4146,AQ4146,AS4146,AU4146,AW4146,AY4146)</f>
        <v>97291</v>
      </c>
      <c r="BC4146" s="28" t="n">
        <f aca="false">BA4146-BB4146</f>
        <v>0</v>
      </c>
      <c r="BD4146" s="32" t="n">
        <f aca="false">SUM(P4146,R4146,T4146,V4146,X4146,Z4146,AB4146,AD4146,AF4146,AH4146,AJ4146,AL4146,AN4146,AP4146,AR4146,AT4146,AV4146,AX4146)</f>
        <v>909.27</v>
      </c>
      <c r="BE4146" s="33" t="n">
        <f aca="false">AZ4146-BD4146</f>
        <v>0</v>
      </c>
      <c r="BF4146" s="34" t="n">
        <f aca="false">BD4146*M4146</f>
        <v>97291.89</v>
      </c>
      <c r="BG4146" s="35" t="n">
        <f aca="false">BA4146-BF4146</f>
        <v>-0.89000000001397</v>
      </c>
      <c r="BH4146" s="19" t="str">
        <f aca="false">IF(BG4146=0,"",IF(BG4146&lt;&gt;BA4146,"erreur de calcul",IF(BD4146&lt;&gt;0,"pas de prix",IF(M4146&lt;&gt; 0,"pas de quantité","pas de prix, ni de quantité"))))</f>
        <v>erreur de calcul</v>
      </c>
      <c r="BI4146" s="19"/>
    </row>
    <row r="4147" customFormat="false" ht="15" hidden="false" customHeight="false" outlineLevel="0" collapsed="false">
      <c r="A4147" s="0" t="n">
        <v>38</v>
      </c>
      <c r="B4147" s="8" t="s">
        <v>24</v>
      </c>
      <c r="C4147" s="9" t="s">
        <v>25</v>
      </c>
      <c r="D4147" s="9" t="s">
        <v>26</v>
      </c>
      <c r="E4147" s="10" t="n">
        <v>1789</v>
      </c>
      <c r="F4147" s="9" t="s">
        <v>27</v>
      </c>
      <c r="G4147" s="9" t="s">
        <v>27</v>
      </c>
      <c r="H4147" s="11" t="n">
        <v>25</v>
      </c>
      <c r="I4147" s="11" t="s">
        <v>366</v>
      </c>
      <c r="J4147" s="14"/>
      <c r="K4147" s="14"/>
      <c r="L4147" s="16"/>
      <c r="M4147" s="27" t="n">
        <f aca="false">J4147+(K4147/20)+(L4147/240)</f>
        <v>0</v>
      </c>
      <c r="N4147" s="17" t="s">
        <v>66</v>
      </c>
      <c r="O4147" s="11"/>
      <c r="P4147" s="28"/>
      <c r="Q4147" s="28" t="n">
        <f aca="false">P4147*$M4147</f>
        <v>0</v>
      </c>
      <c r="R4147" s="28"/>
      <c r="S4147" s="28" t="n">
        <f aca="false">R4147*$M4147</f>
        <v>0</v>
      </c>
      <c r="T4147" s="28"/>
      <c r="U4147" s="28" t="n">
        <f aca="false">T4147*$M4147</f>
        <v>0</v>
      </c>
      <c r="V4147" s="28" t="n">
        <v>797</v>
      </c>
      <c r="W4147" s="28" t="n">
        <v>720</v>
      </c>
      <c r="X4147" s="28"/>
      <c r="Y4147" s="28" t="n">
        <f aca="false">X4147*$M4147</f>
        <v>0</v>
      </c>
      <c r="Z4147" s="28"/>
      <c r="AA4147" s="28" t="n">
        <f aca="false">Z4147*$M4147</f>
        <v>0</v>
      </c>
      <c r="AB4147" s="28"/>
      <c r="AC4147" s="28" t="n">
        <f aca="false">AB4147*$M4147</f>
        <v>0</v>
      </c>
      <c r="AD4147" s="28"/>
      <c r="AE4147" s="28" t="n">
        <f aca="false">AD4147*$M4147</f>
        <v>0</v>
      </c>
      <c r="AF4147" s="28"/>
      <c r="AG4147" s="28" t="n">
        <f aca="false">AF4147*$M4147</f>
        <v>0</v>
      </c>
      <c r="AH4147" s="28"/>
      <c r="AI4147" s="28" t="n">
        <f aca="false">AH4147*$M4147</f>
        <v>0</v>
      </c>
      <c r="AJ4147" s="28"/>
      <c r="AK4147" s="28" t="n">
        <f aca="false">AJ4147*$M4147</f>
        <v>0</v>
      </c>
      <c r="AL4147" s="28"/>
      <c r="AM4147" s="28" t="n">
        <f aca="false">AL4147*$M4147</f>
        <v>0</v>
      </c>
      <c r="AN4147" s="28"/>
      <c r="AO4147" s="28" t="n">
        <f aca="false">AN4147*$M4147</f>
        <v>0</v>
      </c>
      <c r="AP4147" s="28"/>
      <c r="AQ4147" s="28" t="n">
        <f aca="false">AP4147*$M4147</f>
        <v>0</v>
      </c>
      <c r="AR4147" s="28"/>
      <c r="AS4147" s="28" t="n">
        <f aca="false">AR4147*$M4147</f>
        <v>0</v>
      </c>
      <c r="AT4147" s="28"/>
      <c r="AU4147" s="28" t="n">
        <f aca="false">AT4147*$M4147</f>
        <v>0</v>
      </c>
      <c r="AV4147" s="28"/>
      <c r="AW4147" s="28" t="n">
        <f aca="false">AV4147*$M4147</f>
        <v>0</v>
      </c>
      <c r="AX4147" s="28"/>
      <c r="AY4147" s="28" t="n">
        <f aca="false">AX4147*$M4147</f>
        <v>0</v>
      </c>
      <c r="AZ4147" s="30" t="n">
        <v>797</v>
      </c>
      <c r="BA4147" s="11" t="n">
        <v>720</v>
      </c>
      <c r="BB4147" s="31" t="n">
        <f aca="false">SUM(Q4147,S4147,U4147,W4147,Y4147,AA4147,AC4147,AE4147,AG4147,AI4147,AK4147,AM4147,AO4147,AQ4147,AS4147,AU4147,AW4147,AY4147)</f>
        <v>720</v>
      </c>
      <c r="BC4147" s="28" t="n">
        <f aca="false">BA4147-BB4147</f>
        <v>0</v>
      </c>
      <c r="BD4147" s="32" t="n">
        <f aca="false">SUM(P4147,R4147,T4147,V4147,X4147,Z4147,AB4147,AD4147,AF4147,AH4147,AJ4147,AL4147,AN4147,AP4147,AR4147,AT4147,AV4147,AX4147)</f>
        <v>797</v>
      </c>
      <c r="BE4147" s="33" t="n">
        <f aca="false">AZ4147-BD4147</f>
        <v>0</v>
      </c>
      <c r="BF4147" s="34" t="n">
        <f aca="false">BD4147*M4147</f>
        <v>0</v>
      </c>
      <c r="BG4147" s="35" t="n">
        <f aca="false">BA4147-BF4147</f>
        <v>720</v>
      </c>
      <c r="BH4147" s="19" t="str">
        <f aca="false">IF(BG4147=0,"",IF(BG4147&lt;&gt;BA4147,"erreur de calcul",IF(BD4147&lt;&gt;0,"pas de prix",IF(M4147&lt;&gt; 0,"pas de quantité","pas de prix, ni de quantité"))))</f>
        <v>pas de prix</v>
      </c>
      <c r="BI4147" s="19" t="s">
        <v>367</v>
      </c>
    </row>
    <row r="4148" customFormat="false" ht="15" hidden="false" customHeight="false" outlineLevel="0" collapsed="false">
      <c r="A4148" s="0" t="n">
        <v>39</v>
      </c>
      <c r="B4148" s="8" t="s">
        <v>24</v>
      </c>
      <c r="C4148" s="9" t="s">
        <v>25</v>
      </c>
      <c r="D4148" s="9" t="s">
        <v>26</v>
      </c>
      <c r="E4148" s="10" t="n">
        <v>1789</v>
      </c>
      <c r="F4148" s="9" t="s">
        <v>27</v>
      </c>
      <c r="G4148" s="9" t="s">
        <v>27</v>
      </c>
      <c r="H4148" s="11" t="n">
        <v>25</v>
      </c>
      <c r="I4148" s="11" t="s">
        <v>368</v>
      </c>
      <c r="J4148" s="14" t="n">
        <v>4</v>
      </c>
      <c r="K4148" s="14"/>
      <c r="L4148" s="16"/>
      <c r="M4148" s="27" t="n">
        <f aca="false">J4148+(K4148/20)+(L4148/240)</f>
        <v>4</v>
      </c>
      <c r="N4148" s="17" t="s">
        <v>64</v>
      </c>
      <c r="O4148" s="11"/>
      <c r="P4148" s="28"/>
      <c r="Q4148" s="28" t="n">
        <f aca="false">P4148*$M4148</f>
        <v>0</v>
      </c>
      <c r="R4148" s="28"/>
      <c r="S4148" s="28" t="n">
        <f aca="false">R4148*$M4148</f>
        <v>0</v>
      </c>
      <c r="T4148" s="28"/>
      <c r="U4148" s="28" t="n">
        <f aca="false">T4148*$M4148</f>
        <v>0</v>
      </c>
      <c r="V4148" s="28" t="n">
        <f aca="false">23693/100</f>
        <v>236.93</v>
      </c>
      <c r="W4148" s="28" t="n">
        <v>948</v>
      </c>
      <c r="X4148" s="28"/>
      <c r="Y4148" s="28" t="n">
        <f aca="false">X4148*$M4148</f>
        <v>0</v>
      </c>
      <c r="Z4148" s="28"/>
      <c r="AA4148" s="28" t="n">
        <f aca="false">Z4148*$M4148</f>
        <v>0</v>
      </c>
      <c r="AB4148" s="28"/>
      <c r="AC4148" s="28" t="n">
        <f aca="false">AB4148*$M4148</f>
        <v>0</v>
      </c>
      <c r="AD4148" s="28"/>
      <c r="AE4148" s="28" t="n">
        <f aca="false">AD4148*$M4148</f>
        <v>0</v>
      </c>
      <c r="AF4148" s="28"/>
      <c r="AG4148" s="28" t="n">
        <f aca="false">AF4148*$M4148</f>
        <v>0</v>
      </c>
      <c r="AH4148" s="28"/>
      <c r="AI4148" s="28" t="n">
        <f aca="false">AH4148*$M4148</f>
        <v>0</v>
      </c>
      <c r="AJ4148" s="28"/>
      <c r="AK4148" s="28" t="n">
        <f aca="false">AJ4148*$M4148</f>
        <v>0</v>
      </c>
      <c r="AL4148" s="28"/>
      <c r="AM4148" s="28" t="n">
        <f aca="false">AL4148*$M4148</f>
        <v>0</v>
      </c>
      <c r="AN4148" s="28"/>
      <c r="AO4148" s="28" t="n">
        <f aca="false">AN4148*$M4148</f>
        <v>0</v>
      </c>
      <c r="AP4148" s="28"/>
      <c r="AQ4148" s="28" t="n">
        <f aca="false">AP4148*$M4148</f>
        <v>0</v>
      </c>
      <c r="AR4148" s="28"/>
      <c r="AS4148" s="28" t="n">
        <f aca="false">AR4148*$M4148</f>
        <v>0</v>
      </c>
      <c r="AT4148" s="28"/>
      <c r="AU4148" s="28" t="n">
        <f aca="false">AT4148*$M4148</f>
        <v>0</v>
      </c>
      <c r="AV4148" s="28"/>
      <c r="AW4148" s="28" t="n">
        <f aca="false">AV4148*$M4148</f>
        <v>0</v>
      </c>
      <c r="AX4148" s="28"/>
      <c r="AY4148" s="28" t="n">
        <f aca="false">AX4148*$M4148</f>
        <v>0</v>
      </c>
      <c r="AZ4148" s="30" t="n">
        <f aca="false">23693/100</f>
        <v>236.93</v>
      </c>
      <c r="BA4148" s="11" t="n">
        <v>948</v>
      </c>
      <c r="BB4148" s="31" t="n">
        <f aca="false">SUM(Q4148,S4148,U4148,W4148,Y4148,AA4148,AC4148,AE4148,AG4148,AI4148,AK4148,AM4148,AO4148,AQ4148,AS4148,AU4148,AW4148,AY4148)</f>
        <v>948</v>
      </c>
      <c r="BC4148" s="28" t="n">
        <f aca="false">BA4148-BB4148</f>
        <v>0</v>
      </c>
      <c r="BD4148" s="32" t="n">
        <f aca="false">SUM(P4148,R4148,T4148,V4148,X4148,Z4148,AB4148,AD4148,AF4148,AH4148,AJ4148,AL4148,AN4148,AP4148,AR4148,AT4148,AV4148,AX4148)</f>
        <v>236.93</v>
      </c>
      <c r="BE4148" s="33" t="n">
        <f aca="false">AZ4148-BD4148</f>
        <v>0</v>
      </c>
      <c r="BF4148" s="34" t="n">
        <f aca="false">BD4148*M4148</f>
        <v>947.72</v>
      </c>
      <c r="BG4148" s="35" t="n">
        <f aca="false">BA4148-BF4148</f>
        <v>0.279999999999973</v>
      </c>
      <c r="BH4148" s="19" t="str">
        <f aca="false">IF(BG4148=0,"",IF(BG4148&lt;&gt;BA4148,"erreur de calcul",IF(BD4148&lt;&gt;0,"pas de prix",IF(M4148&lt;&gt; 0,"pas de quantité","pas de prix, ni de quantité"))))</f>
        <v>erreur de calcul</v>
      </c>
      <c r="BI4148" s="19"/>
    </row>
    <row r="4149" customFormat="false" ht="15" hidden="false" customHeight="false" outlineLevel="0" collapsed="false">
      <c r="A4149" s="0" t="n">
        <v>40</v>
      </c>
      <c r="B4149" s="8" t="s">
        <v>24</v>
      </c>
      <c r="C4149" s="9" t="s">
        <v>25</v>
      </c>
      <c r="D4149" s="9" t="s">
        <v>26</v>
      </c>
      <c r="E4149" s="10" t="n">
        <v>1789</v>
      </c>
      <c r="F4149" s="9" t="s">
        <v>27</v>
      </c>
      <c r="G4149" s="9" t="s">
        <v>27</v>
      </c>
      <c r="H4149" s="11" t="n">
        <v>25</v>
      </c>
      <c r="I4149" s="11" t="s">
        <v>369</v>
      </c>
      <c r="J4149" s="14" t="n">
        <v>92</v>
      </c>
      <c r="K4149" s="14"/>
      <c r="L4149" s="16"/>
      <c r="M4149" s="27" t="n">
        <f aca="false">J4149+(K4149/20)+(L4149/240)</f>
        <v>92</v>
      </c>
      <c r="N4149" s="17" t="s">
        <v>64</v>
      </c>
      <c r="O4149" s="11"/>
      <c r="P4149" s="28"/>
      <c r="Q4149" s="28" t="n">
        <f aca="false">P4149*$M4149</f>
        <v>0</v>
      </c>
      <c r="R4149" s="28"/>
      <c r="S4149" s="28" t="n">
        <f aca="false">R4149*$M4149</f>
        <v>0</v>
      </c>
      <c r="T4149" s="28"/>
      <c r="U4149" s="28" t="n">
        <f aca="false">T4149*$M4149</f>
        <v>0</v>
      </c>
      <c r="V4149" s="28" t="n">
        <f aca="false">82878/100</f>
        <v>828.78</v>
      </c>
      <c r="W4149" s="28" t="n">
        <v>76248</v>
      </c>
      <c r="X4149" s="28" t="n">
        <f aca="false">44264/100</f>
        <v>442.64</v>
      </c>
      <c r="Y4149" s="36" t="n">
        <v>41023</v>
      </c>
      <c r="Z4149" s="28"/>
      <c r="AA4149" s="28" t="n">
        <f aca="false">Z4149*$M4149</f>
        <v>0</v>
      </c>
      <c r="AB4149" s="28"/>
      <c r="AC4149" s="28" t="n">
        <f aca="false">AB4149*$M4149</f>
        <v>0</v>
      </c>
      <c r="AD4149" s="28"/>
      <c r="AE4149" s="28" t="n">
        <f aca="false">AD4149*$M4149</f>
        <v>0</v>
      </c>
      <c r="AF4149" s="28"/>
      <c r="AG4149" s="28" t="n">
        <f aca="false">AF4149*$M4149</f>
        <v>0</v>
      </c>
      <c r="AH4149" s="28"/>
      <c r="AI4149" s="28" t="n">
        <f aca="false">AH4149*$M4149</f>
        <v>0</v>
      </c>
      <c r="AJ4149" s="28"/>
      <c r="AK4149" s="28" t="n">
        <f aca="false">AJ4149*$M4149</f>
        <v>0</v>
      </c>
      <c r="AL4149" s="28"/>
      <c r="AM4149" s="28" t="n">
        <f aca="false">AL4149*$M4149</f>
        <v>0</v>
      </c>
      <c r="AN4149" s="28"/>
      <c r="AO4149" s="28" t="n">
        <f aca="false">AN4149*$M4149</f>
        <v>0</v>
      </c>
      <c r="AP4149" s="28"/>
      <c r="AQ4149" s="28" t="n">
        <f aca="false">AP4149*$M4149</f>
        <v>0</v>
      </c>
      <c r="AR4149" s="28"/>
      <c r="AS4149" s="28" t="n">
        <f aca="false">AR4149*$M4149</f>
        <v>0</v>
      </c>
      <c r="AT4149" s="28"/>
      <c r="AU4149" s="28" t="n">
        <f aca="false">AT4149*$M4149</f>
        <v>0</v>
      </c>
      <c r="AV4149" s="28"/>
      <c r="AW4149" s="28" t="n">
        <f aca="false">AV4149*$M4149</f>
        <v>0</v>
      </c>
      <c r="AX4149" s="28"/>
      <c r="AY4149" s="28" t="n">
        <f aca="false">AX4149*$M4149</f>
        <v>0</v>
      </c>
      <c r="AZ4149" s="30" t="n">
        <f aca="false">127142/100</f>
        <v>1271.42</v>
      </c>
      <c r="BA4149" s="11" t="n">
        <v>117271</v>
      </c>
      <c r="BB4149" s="31" t="n">
        <f aca="false">SUM(Q4149,S4149,U4149,W4149,Y4149,AA4149,AC4149,AE4149,AG4149,AI4149,AK4149,AM4149,AO4149,AQ4149,AS4149,AU4149,AW4149,AY4149)</f>
        <v>117271</v>
      </c>
      <c r="BC4149" s="28" t="n">
        <f aca="false">BA4149-BB4149</f>
        <v>0</v>
      </c>
      <c r="BD4149" s="32" t="n">
        <f aca="false">SUM(P4149,R4149,T4149,V4149,X4149,Z4149,AB4149,AD4149,AF4149,AH4149,AJ4149,AL4149,AN4149,AP4149,AR4149,AT4149,AV4149,AX4149)</f>
        <v>1271.42</v>
      </c>
      <c r="BE4149" s="33" t="n">
        <f aca="false">AZ4149-BD4149</f>
        <v>0</v>
      </c>
      <c r="BF4149" s="34" t="n">
        <f aca="false">BD4149*M4149</f>
        <v>116970.64</v>
      </c>
      <c r="BG4149" s="35" t="n">
        <f aca="false">BA4149-BF4149</f>
        <v>300.359999999986</v>
      </c>
      <c r="BH4149" s="19" t="str">
        <f aca="false">IF(BG4149=0,"",IF(BG4149&lt;&gt;BA4149,"erreur de calcul",IF(BD4149&lt;&gt;0,"pas de prix",IF(M4149&lt;&gt; 0,"pas de quantité","pas de prix, ni de quantité"))))</f>
        <v>erreur de calcul</v>
      </c>
      <c r="BI4149" s="19"/>
    </row>
    <row r="4150" customFormat="false" ht="15" hidden="false" customHeight="false" outlineLevel="0" collapsed="false">
      <c r="A4150" s="0" t="n">
        <v>41</v>
      </c>
      <c r="B4150" s="8" t="s">
        <v>24</v>
      </c>
      <c r="C4150" s="9" t="s">
        <v>25</v>
      </c>
      <c r="D4150" s="9" t="s">
        <v>26</v>
      </c>
      <c r="E4150" s="10" t="n">
        <v>1789</v>
      </c>
      <c r="F4150" s="9" t="s">
        <v>27</v>
      </c>
      <c r="G4150" s="9" t="s">
        <v>27</v>
      </c>
      <c r="H4150" s="11" t="n">
        <v>25</v>
      </c>
      <c r="I4150" s="11" t="s">
        <v>370</v>
      </c>
      <c r="J4150" s="14" t="n">
        <v>12</v>
      </c>
      <c r="K4150" s="14"/>
      <c r="L4150" s="16"/>
      <c r="M4150" s="27" t="n">
        <f aca="false">J4150+(K4150/20)+(L4150/240)</f>
        <v>12</v>
      </c>
      <c r="N4150" s="17" t="s">
        <v>64</v>
      </c>
      <c r="O4150" s="11"/>
      <c r="P4150" s="28"/>
      <c r="Q4150" s="28" t="n">
        <f aca="false">P4150*$M4150</f>
        <v>0</v>
      </c>
      <c r="R4150" s="28"/>
      <c r="S4150" s="28" t="n">
        <f aca="false">R4150*$M4150</f>
        <v>0</v>
      </c>
      <c r="T4150" s="28"/>
      <c r="U4150" s="28" t="n">
        <f aca="false">T4150*$M4150</f>
        <v>0</v>
      </c>
      <c r="V4150" s="28"/>
      <c r="W4150" s="28" t="n">
        <f aca="false">V4150*$M4150</f>
        <v>0</v>
      </c>
      <c r="X4150" s="28"/>
      <c r="Y4150" s="28" t="n">
        <f aca="false">X4150*$M4150</f>
        <v>0</v>
      </c>
      <c r="Z4150" s="28"/>
      <c r="AA4150" s="28" t="n">
        <f aca="false">Z4150*$M4150</f>
        <v>0</v>
      </c>
      <c r="AB4150" s="28"/>
      <c r="AC4150" s="28" t="n">
        <f aca="false">AB4150*$M4150</f>
        <v>0</v>
      </c>
      <c r="AD4150" s="28"/>
      <c r="AE4150" s="28" t="n">
        <f aca="false">AD4150*$M4150</f>
        <v>0</v>
      </c>
      <c r="AF4150" s="28"/>
      <c r="AG4150" s="28" t="n">
        <f aca="false">AF4150*$M4150</f>
        <v>0</v>
      </c>
      <c r="AH4150" s="28" t="n">
        <f aca="false">12168/100</f>
        <v>121.68</v>
      </c>
      <c r="AI4150" s="28" t="n">
        <v>1460</v>
      </c>
      <c r="AJ4150" s="28"/>
      <c r="AK4150" s="28" t="n">
        <f aca="false">AJ4150*$M4150</f>
        <v>0</v>
      </c>
      <c r="AL4150" s="28"/>
      <c r="AM4150" s="28" t="n">
        <f aca="false">AL4150*$M4150</f>
        <v>0</v>
      </c>
      <c r="AN4150" s="28"/>
      <c r="AO4150" s="28" t="n">
        <f aca="false">AN4150*$M4150</f>
        <v>0</v>
      </c>
      <c r="AP4150" s="28"/>
      <c r="AQ4150" s="28" t="n">
        <f aca="false">AP4150*$M4150</f>
        <v>0</v>
      </c>
      <c r="AR4150" s="28"/>
      <c r="AS4150" s="28" t="n">
        <f aca="false">AR4150*$M4150</f>
        <v>0</v>
      </c>
      <c r="AT4150" s="28"/>
      <c r="AU4150" s="28" t="n">
        <f aca="false">AT4150*$M4150</f>
        <v>0</v>
      </c>
      <c r="AV4150" s="28"/>
      <c r="AW4150" s="28" t="n">
        <f aca="false">AV4150*$M4150</f>
        <v>0</v>
      </c>
      <c r="AX4150" s="28"/>
      <c r="AY4150" s="28" t="n">
        <f aca="false">AX4150*$M4150</f>
        <v>0</v>
      </c>
      <c r="AZ4150" s="30" t="n">
        <f aca="false">12168/100</f>
        <v>121.68</v>
      </c>
      <c r="BA4150" s="11" t="n">
        <v>1460</v>
      </c>
      <c r="BB4150" s="31" t="n">
        <f aca="false">SUM(Q4150,S4150,U4150,W4150,Y4150,AA4150,AC4150,AE4150,AG4150,AI4150,AK4150,AM4150,AO4150,AQ4150,AS4150,AU4150,AW4150,AY4150)</f>
        <v>1460</v>
      </c>
      <c r="BC4150" s="28" t="n">
        <f aca="false">BA4150-BB4150</f>
        <v>0</v>
      </c>
      <c r="BD4150" s="32" t="n">
        <f aca="false">SUM(P4150,R4150,T4150,V4150,X4150,Z4150,AB4150,AD4150,AF4150,AH4150,AJ4150,AL4150,AN4150,AP4150,AR4150,AT4150,AV4150,AX4150)</f>
        <v>121.68</v>
      </c>
      <c r="BE4150" s="33" t="n">
        <f aca="false">AZ4150-BD4150</f>
        <v>0</v>
      </c>
      <c r="BF4150" s="34" t="n">
        <f aca="false">BD4150*M4150</f>
        <v>1460.16</v>
      </c>
      <c r="BG4150" s="35" t="n">
        <f aca="false">BA4150-BF4150</f>
        <v>-0.160000000000082</v>
      </c>
      <c r="BH4150" s="19" t="str">
        <f aca="false">IF(BG4150=0,"",IF(BG4150&lt;&gt;BA4150,"erreur de calcul",IF(BD4150&lt;&gt;0,"pas de prix",IF(M4150&lt;&gt; 0,"pas de quantité","pas de prix, ni de quantité"))))</f>
        <v>erreur de calcul</v>
      </c>
      <c r="BI4150" s="19"/>
    </row>
    <row r="4151" customFormat="false" ht="15" hidden="false" customHeight="false" outlineLevel="0" collapsed="false">
      <c r="A4151" s="0" t="n">
        <v>42</v>
      </c>
      <c r="B4151" s="8" t="s">
        <v>24</v>
      </c>
      <c r="C4151" s="9" t="s">
        <v>25</v>
      </c>
      <c r="D4151" s="9" t="s">
        <v>26</v>
      </c>
      <c r="E4151" s="10" t="n">
        <v>1789</v>
      </c>
      <c r="F4151" s="9" t="s">
        <v>27</v>
      </c>
      <c r="G4151" s="9" t="s">
        <v>27</v>
      </c>
      <c r="H4151" s="11" t="n">
        <v>25</v>
      </c>
      <c r="I4151" s="11" t="s">
        <v>371</v>
      </c>
      <c r="J4151" s="14" t="n">
        <v>7</v>
      </c>
      <c r="K4151" s="14"/>
      <c r="L4151" s="16"/>
      <c r="M4151" s="27" t="n">
        <f aca="false">J4151+(K4151/20)+(L4151/240)</f>
        <v>7</v>
      </c>
      <c r="N4151" s="17" t="s">
        <v>64</v>
      </c>
      <c r="O4151" s="11"/>
      <c r="P4151" s="28"/>
      <c r="Q4151" s="28" t="n">
        <f aca="false">P4151*$M4151</f>
        <v>0</v>
      </c>
      <c r="R4151" s="28"/>
      <c r="S4151" s="28" t="n">
        <f aca="false">R4151*$M4151</f>
        <v>0</v>
      </c>
      <c r="T4151" s="28"/>
      <c r="U4151" s="28" t="n">
        <f aca="false">T4151*$M4151</f>
        <v>0</v>
      </c>
      <c r="V4151" s="28"/>
      <c r="W4151" s="28" t="n">
        <f aca="false">V4151*$M4151</f>
        <v>0</v>
      </c>
      <c r="X4151" s="28"/>
      <c r="Y4151" s="28" t="n">
        <f aca="false">X4151*$M4151</f>
        <v>0</v>
      </c>
      <c r="Z4151" s="28"/>
      <c r="AA4151" s="28" t="n">
        <f aca="false">Z4151*$M4151</f>
        <v>0</v>
      </c>
      <c r="AB4151" s="28" t="n">
        <f aca="false">58003/100</f>
        <v>580.03</v>
      </c>
      <c r="AC4151" s="28" t="n">
        <v>4060</v>
      </c>
      <c r="AD4151" s="28"/>
      <c r="AE4151" s="28" t="n">
        <f aca="false">AD4151*$M4151</f>
        <v>0</v>
      </c>
      <c r="AF4151" s="28"/>
      <c r="AG4151" s="28" t="n">
        <f aca="false">AF4151*$M4151</f>
        <v>0</v>
      </c>
      <c r="AH4151" s="28"/>
      <c r="AI4151" s="28" t="n">
        <f aca="false">AH4151*$M4151</f>
        <v>0</v>
      </c>
      <c r="AJ4151" s="28"/>
      <c r="AK4151" s="28" t="n">
        <f aca="false">AJ4151*$M4151</f>
        <v>0</v>
      </c>
      <c r="AL4151" s="28"/>
      <c r="AM4151" s="28" t="n">
        <f aca="false">AL4151*$M4151</f>
        <v>0</v>
      </c>
      <c r="AN4151" s="28"/>
      <c r="AO4151" s="28" t="n">
        <f aca="false">AN4151*$M4151</f>
        <v>0</v>
      </c>
      <c r="AP4151" s="28"/>
      <c r="AQ4151" s="28" t="n">
        <f aca="false">AP4151*$M4151</f>
        <v>0</v>
      </c>
      <c r="AR4151" s="28"/>
      <c r="AS4151" s="28" t="n">
        <f aca="false">AR4151*$M4151</f>
        <v>0</v>
      </c>
      <c r="AT4151" s="28"/>
      <c r="AU4151" s="28" t="n">
        <f aca="false">AT4151*$M4151</f>
        <v>0</v>
      </c>
      <c r="AV4151" s="28"/>
      <c r="AW4151" s="28" t="n">
        <f aca="false">AV4151*$M4151</f>
        <v>0</v>
      </c>
      <c r="AX4151" s="28"/>
      <c r="AY4151" s="28" t="n">
        <f aca="false">AX4151*$M4151</f>
        <v>0</v>
      </c>
      <c r="AZ4151" s="30" t="n">
        <f aca="false">58003/100</f>
        <v>580.03</v>
      </c>
      <c r="BA4151" s="11" t="n">
        <v>4060</v>
      </c>
      <c r="BB4151" s="31" t="n">
        <f aca="false">SUM(Q4151,S4151,U4151,W4151,Y4151,AA4151,AC4151,AE4151,AG4151,AI4151,AK4151,AM4151,AO4151,AQ4151,AS4151,AU4151,AW4151,AY4151)</f>
        <v>4060</v>
      </c>
      <c r="BC4151" s="28" t="n">
        <f aca="false">BA4151-BB4151</f>
        <v>0</v>
      </c>
      <c r="BD4151" s="32" t="n">
        <f aca="false">SUM(P4151,R4151,T4151,V4151,X4151,Z4151,AB4151,AD4151,AF4151,AH4151,AJ4151,AL4151,AN4151,AP4151,AR4151,AT4151,AV4151,AX4151)</f>
        <v>580.03</v>
      </c>
      <c r="BE4151" s="33" t="n">
        <f aca="false">AZ4151-BD4151</f>
        <v>0</v>
      </c>
      <c r="BF4151" s="34" t="n">
        <f aca="false">BD4151*M4151</f>
        <v>4060.21</v>
      </c>
      <c r="BG4151" s="35" t="n">
        <f aca="false">BA4151-BF4151</f>
        <v>-0.210000000000036</v>
      </c>
      <c r="BH4151" s="19" t="str">
        <f aca="false">IF(BG4151=0,"",IF(BG4151&lt;&gt;BA4151,"erreur de calcul",IF(BD4151&lt;&gt;0,"pas de prix",IF(M4151&lt;&gt; 0,"pas de quantité","pas de prix, ni de quantité"))))</f>
        <v>erreur de calcul</v>
      </c>
      <c r="BI4151" s="19"/>
    </row>
    <row r="4152" customFormat="false" ht="15" hidden="false" customHeight="false" outlineLevel="0" collapsed="false">
      <c r="A4152" s="0" t="n">
        <v>1</v>
      </c>
      <c r="B4152" s="8" t="s">
        <v>24</v>
      </c>
      <c r="C4152" s="9" t="s">
        <v>25</v>
      </c>
      <c r="D4152" s="9" t="s">
        <v>26</v>
      </c>
      <c r="E4152" s="10" t="n">
        <v>1789</v>
      </c>
      <c r="F4152" s="9" t="s">
        <v>27</v>
      </c>
      <c r="G4152" s="9" t="s">
        <v>27</v>
      </c>
      <c r="H4152" s="11" t="n">
        <v>26</v>
      </c>
      <c r="I4152" s="11" t="s">
        <v>372</v>
      </c>
      <c r="J4152" s="14" t="n">
        <v>30</v>
      </c>
      <c r="K4152" s="14"/>
      <c r="L4152" s="16"/>
      <c r="M4152" s="27" t="n">
        <f aca="false">J4152+(K4152/20)+(L4152/240)</f>
        <v>30</v>
      </c>
      <c r="N4152" s="17" t="s">
        <v>64</v>
      </c>
      <c r="O4152" s="11"/>
      <c r="P4152" s="28"/>
      <c r="Q4152" s="28" t="n">
        <f aca="false">P4152*$M4152</f>
        <v>0</v>
      </c>
      <c r="R4152" s="28"/>
      <c r="S4152" s="28" t="n">
        <f aca="false">R4152*$M4152</f>
        <v>0</v>
      </c>
      <c r="T4152" s="28"/>
      <c r="U4152" s="28" t="n">
        <f aca="false">T4152*$M4152</f>
        <v>0</v>
      </c>
      <c r="V4152" s="28" t="n">
        <f aca="false">1500/100</f>
        <v>15</v>
      </c>
      <c r="W4152" s="28" t="n">
        <v>450</v>
      </c>
      <c r="X4152" s="28"/>
      <c r="Y4152" s="28" t="n">
        <f aca="false">X4152*$M4152</f>
        <v>0</v>
      </c>
      <c r="Z4152" s="28"/>
      <c r="AA4152" s="28" t="n">
        <f aca="false">Z4152*$M4152</f>
        <v>0</v>
      </c>
      <c r="AB4152" s="28"/>
      <c r="AC4152" s="28" t="n">
        <f aca="false">AB4152*$M4152</f>
        <v>0</v>
      </c>
      <c r="AD4152" s="28"/>
      <c r="AE4152" s="28" t="n">
        <f aca="false">AD4152*$M4152</f>
        <v>0</v>
      </c>
      <c r="AF4152" s="28"/>
      <c r="AG4152" s="28" t="n">
        <f aca="false">AF4152*$M4152</f>
        <v>0</v>
      </c>
      <c r="AH4152" s="28"/>
      <c r="AI4152" s="28" t="n">
        <f aca="false">AH4152*$M4152</f>
        <v>0</v>
      </c>
      <c r="AJ4152" s="28"/>
      <c r="AK4152" s="28" t="n">
        <f aca="false">AJ4152*$M4152</f>
        <v>0</v>
      </c>
      <c r="AL4152" s="28"/>
      <c r="AM4152" s="28" t="n">
        <f aca="false">AL4152*$M4152</f>
        <v>0</v>
      </c>
      <c r="AN4152" s="28"/>
      <c r="AO4152" s="28" t="n">
        <f aca="false">AN4152*$M4152</f>
        <v>0</v>
      </c>
      <c r="AP4152" s="28"/>
      <c r="AQ4152" s="28" t="n">
        <f aca="false">AP4152*$M4152</f>
        <v>0</v>
      </c>
      <c r="AR4152" s="28"/>
      <c r="AS4152" s="28" t="n">
        <f aca="false">AR4152*$M4152</f>
        <v>0</v>
      </c>
      <c r="AT4152" s="28"/>
      <c r="AU4152" s="28" t="n">
        <f aca="false">AT4152*$M4152</f>
        <v>0</v>
      </c>
      <c r="AV4152" s="28"/>
      <c r="AW4152" s="28" t="n">
        <f aca="false">AV4152*$M4152</f>
        <v>0</v>
      </c>
      <c r="AX4152" s="28"/>
      <c r="AY4152" s="28" t="n">
        <f aca="false">AX4152*$M4152</f>
        <v>0</v>
      </c>
      <c r="AZ4152" s="30" t="n">
        <f aca="false">1500/100</f>
        <v>15</v>
      </c>
      <c r="BA4152" s="11" t="n">
        <v>450</v>
      </c>
      <c r="BB4152" s="31" t="n">
        <f aca="false">SUM(Q4152,S4152,U4152,W4152,Y4152,AA4152,AC4152,AE4152,AG4152,AI4152,AK4152,AM4152,AO4152,AQ4152,AS4152,AU4152,AW4152,AY4152)</f>
        <v>450</v>
      </c>
      <c r="BC4152" s="28" t="n">
        <f aca="false">BA4152-BB4152</f>
        <v>0</v>
      </c>
      <c r="BD4152" s="32" t="n">
        <f aca="false">SUM(P4152,R4152,T4152,V4152,X4152,Z4152,AB4152,AD4152,AF4152,AH4152,AJ4152,AL4152,AN4152,AP4152,AR4152,AT4152,AV4152,AX4152)</f>
        <v>15</v>
      </c>
      <c r="BE4152" s="33" t="n">
        <f aca="false">AZ4152-BD4152</f>
        <v>0</v>
      </c>
      <c r="BF4152" s="34" t="n">
        <f aca="false">BD4152*M4152</f>
        <v>450</v>
      </c>
      <c r="BG4152" s="35" t="n">
        <f aca="false">BA4152-BF4152</f>
        <v>0</v>
      </c>
      <c r="BH4152" s="19" t="str">
        <f aca="false">IF(BG4152=0,"",IF(BG4152&lt;&gt;BA4152,"erreur de calcul",IF(BD4152&lt;&gt;0,"pas de prix",IF(M4152&lt;&gt; 0,"pas de quantité","pas de prix, ni de quantité"))))</f>
        <v/>
      </c>
      <c r="BI4152" s="19"/>
    </row>
    <row r="4153" customFormat="false" ht="15" hidden="false" customHeight="false" outlineLevel="0" collapsed="false">
      <c r="A4153" s="0" t="n">
        <v>2</v>
      </c>
      <c r="B4153" s="8" t="s">
        <v>24</v>
      </c>
      <c r="C4153" s="9" t="s">
        <v>25</v>
      </c>
      <c r="D4153" s="9" t="s">
        <v>26</v>
      </c>
      <c r="E4153" s="10" t="n">
        <v>1789</v>
      </c>
      <c r="F4153" s="9" t="s">
        <v>27</v>
      </c>
      <c r="G4153" s="9" t="s">
        <v>27</v>
      </c>
      <c r="H4153" s="11" t="n">
        <v>26</v>
      </c>
      <c r="I4153" s="11" t="s">
        <v>373</v>
      </c>
      <c r="J4153" s="14" t="n">
        <v>25</v>
      </c>
      <c r="K4153" s="14"/>
      <c r="L4153" s="16"/>
      <c r="M4153" s="27" t="n">
        <f aca="false">J4153+(K4153/20)+(L4153/240)</f>
        <v>25</v>
      </c>
      <c r="N4153" s="17" t="s">
        <v>64</v>
      </c>
      <c r="O4153" s="11"/>
      <c r="P4153" s="28"/>
      <c r="Q4153" s="28" t="n">
        <f aca="false">P4153*$M4153</f>
        <v>0</v>
      </c>
      <c r="R4153" s="28"/>
      <c r="S4153" s="28" t="n">
        <f aca="false">R4153*$M4153</f>
        <v>0</v>
      </c>
      <c r="T4153" s="28" t="n">
        <f aca="false">34168/100</f>
        <v>341.68</v>
      </c>
      <c r="U4153" s="28" t="n">
        <v>8542</v>
      </c>
      <c r="V4153" s="28" t="n">
        <f aca="false">128249/100</f>
        <v>1282.49</v>
      </c>
      <c r="W4153" s="28" t="n">
        <v>32062</v>
      </c>
      <c r="X4153" s="28" t="n">
        <f aca="false">21365/100</f>
        <v>213.65</v>
      </c>
      <c r="Y4153" s="28" t="n">
        <v>5341</v>
      </c>
      <c r="Z4153" s="28"/>
      <c r="AA4153" s="28" t="n">
        <f aca="false">Z4153*$M4153</f>
        <v>0</v>
      </c>
      <c r="AB4153" s="28"/>
      <c r="AC4153" s="28" t="n">
        <f aca="false">AB4153*$M4153</f>
        <v>0</v>
      </c>
      <c r="AD4153" s="28"/>
      <c r="AE4153" s="28" t="n">
        <f aca="false">AD4153*$M4153</f>
        <v>0</v>
      </c>
      <c r="AF4153" s="28"/>
      <c r="AG4153" s="28" t="n">
        <f aca="false">AF4153*$M4153</f>
        <v>0</v>
      </c>
      <c r="AH4153" s="28"/>
      <c r="AI4153" s="28" t="n">
        <f aca="false">AH4153*$M4153</f>
        <v>0</v>
      </c>
      <c r="AJ4153" s="28" t="n">
        <f aca="false">155251/100</f>
        <v>1552.51</v>
      </c>
      <c r="AK4153" s="28" t="n">
        <v>38813</v>
      </c>
      <c r="AL4153" s="28" t="n">
        <f aca="false">185000/100</f>
        <v>1850</v>
      </c>
      <c r="AM4153" s="28" t="n">
        <v>46250</v>
      </c>
      <c r="AN4153" s="28"/>
      <c r="AO4153" s="28" t="n">
        <f aca="false">AN4153*$M4153</f>
        <v>0</v>
      </c>
      <c r="AP4153" s="28"/>
      <c r="AQ4153" s="28" t="n">
        <f aca="false">AP4153*$M4153</f>
        <v>0</v>
      </c>
      <c r="AR4153" s="28"/>
      <c r="AS4153" s="28" t="n">
        <f aca="false">AR4153*$M4153</f>
        <v>0</v>
      </c>
      <c r="AT4153" s="28"/>
      <c r="AU4153" s="28" t="n">
        <f aca="false">AT4153*$M4153</f>
        <v>0</v>
      </c>
      <c r="AV4153" s="28"/>
      <c r="AW4153" s="28" t="n">
        <f aca="false">AV4153*$M4153</f>
        <v>0</v>
      </c>
      <c r="AX4153" s="28"/>
      <c r="AY4153" s="28" t="n">
        <f aca="false">AX4153*$M4153</f>
        <v>0</v>
      </c>
      <c r="AZ4153" s="30" t="n">
        <f aca="false">524033/100</f>
        <v>5240.33</v>
      </c>
      <c r="BA4153" s="11" t="n">
        <v>131008</v>
      </c>
      <c r="BB4153" s="31" t="n">
        <f aca="false">SUM(Q4153,S4153,U4153,W4153,Y4153,AA4153,AC4153,AE4153,AG4153,AI4153,AK4153,AM4153,AO4153,AQ4153,AS4153,AU4153,AW4153,AY4153)</f>
        <v>131008</v>
      </c>
      <c r="BC4153" s="28" t="n">
        <f aca="false">BA4153-BB4153</f>
        <v>0</v>
      </c>
      <c r="BD4153" s="32" t="n">
        <f aca="false">SUM(P4153,R4153,T4153,V4153,X4153,Z4153,AB4153,AD4153,AF4153,AH4153,AJ4153,AL4153,AN4153,AP4153,AR4153,AT4153,AV4153,AX4153)</f>
        <v>5240.33</v>
      </c>
      <c r="BE4153" s="33" t="n">
        <f aca="false">AZ4153-BD4153</f>
        <v>0</v>
      </c>
      <c r="BF4153" s="34" t="n">
        <f aca="false">BD4153*M4153</f>
        <v>131008.25</v>
      </c>
      <c r="BG4153" s="35" t="n">
        <f aca="false">BA4153-BF4153</f>
        <v>-0.250000000014552</v>
      </c>
      <c r="BH4153" s="19" t="str">
        <f aca="false">IF(BG4153=0,"",IF(BG4153&lt;&gt;BA4153,"erreur de calcul",IF(BD4153&lt;&gt;0,"pas de prix",IF(M4153&lt;&gt; 0,"pas de quantité","pas de prix, ni de quantité"))))</f>
        <v>erreur de calcul</v>
      </c>
      <c r="BI4153" s="19"/>
    </row>
    <row r="4154" customFormat="false" ht="15" hidden="false" customHeight="false" outlineLevel="0" collapsed="false">
      <c r="A4154" s="0" t="n">
        <v>3</v>
      </c>
      <c r="B4154" s="8" t="s">
        <v>24</v>
      </c>
      <c r="C4154" s="9" t="s">
        <v>25</v>
      </c>
      <c r="D4154" s="9" t="s">
        <v>26</v>
      </c>
      <c r="E4154" s="10" t="n">
        <v>1789</v>
      </c>
      <c r="F4154" s="9" t="s">
        <v>27</v>
      </c>
      <c r="G4154" s="9" t="s">
        <v>27</v>
      </c>
      <c r="H4154" s="11" t="n">
        <v>26</v>
      </c>
      <c r="I4154" s="11" t="s">
        <v>374</v>
      </c>
      <c r="J4154" s="14" t="n">
        <v>70</v>
      </c>
      <c r="K4154" s="14"/>
      <c r="L4154" s="16"/>
      <c r="M4154" s="27" t="n">
        <f aca="false">J4154+(K4154/20)+(L4154/240)</f>
        <v>70</v>
      </c>
      <c r="N4154" s="17" t="s">
        <v>64</v>
      </c>
      <c r="O4154" s="11"/>
      <c r="P4154" s="28"/>
      <c r="Q4154" s="28" t="n">
        <f aca="false">P4154*$M4154</f>
        <v>0</v>
      </c>
      <c r="R4154" s="28"/>
      <c r="S4154" s="28" t="n">
        <f aca="false">R4154*$M4154</f>
        <v>0</v>
      </c>
      <c r="T4154" s="28"/>
      <c r="U4154" s="28" t="n">
        <f aca="false">T4154*$M4154</f>
        <v>0</v>
      </c>
      <c r="V4154" s="28" t="n">
        <f aca="false">4560/100</f>
        <v>45.6</v>
      </c>
      <c r="W4154" s="28" t="n">
        <v>3192</v>
      </c>
      <c r="X4154" s="28" t="n">
        <f aca="false">1115/100</f>
        <v>11.15</v>
      </c>
      <c r="Y4154" s="28" t="n">
        <v>780</v>
      </c>
      <c r="Z4154" s="28"/>
      <c r="AA4154" s="28" t="n">
        <f aca="false">Z4154*$M4154</f>
        <v>0</v>
      </c>
      <c r="AB4154" s="28" t="n">
        <f aca="false">9431/100</f>
        <v>94.31</v>
      </c>
      <c r="AC4154" s="28" t="n">
        <v>6602</v>
      </c>
      <c r="AD4154" s="28"/>
      <c r="AE4154" s="28" t="n">
        <f aca="false">AD4154*$M4154</f>
        <v>0</v>
      </c>
      <c r="AF4154" s="28"/>
      <c r="AG4154" s="28" t="n">
        <f aca="false">AF4154*$M4154</f>
        <v>0</v>
      </c>
      <c r="AH4154" s="28"/>
      <c r="AI4154" s="28" t="n">
        <f aca="false">AH4154*$M4154</f>
        <v>0</v>
      </c>
      <c r="AJ4154" s="28"/>
      <c r="AK4154" s="28" t="n">
        <f aca="false">AJ4154*$M4154</f>
        <v>0</v>
      </c>
      <c r="AL4154" s="28"/>
      <c r="AM4154" s="28" t="n">
        <f aca="false">AL4154*$M4154</f>
        <v>0</v>
      </c>
      <c r="AN4154" s="28"/>
      <c r="AO4154" s="28" t="n">
        <f aca="false">AN4154*$M4154</f>
        <v>0</v>
      </c>
      <c r="AP4154" s="28"/>
      <c r="AQ4154" s="28" t="n">
        <f aca="false">AP4154*$M4154</f>
        <v>0</v>
      </c>
      <c r="AR4154" s="28"/>
      <c r="AS4154" s="28" t="n">
        <f aca="false">AR4154*$M4154</f>
        <v>0</v>
      </c>
      <c r="AT4154" s="28"/>
      <c r="AU4154" s="28" t="n">
        <f aca="false">AT4154*$M4154</f>
        <v>0</v>
      </c>
      <c r="AV4154" s="28"/>
      <c r="AW4154" s="28" t="n">
        <f aca="false">AV4154*$M4154</f>
        <v>0</v>
      </c>
      <c r="AX4154" s="28"/>
      <c r="AY4154" s="28" t="n">
        <f aca="false">AX4154*$M4154</f>
        <v>0</v>
      </c>
      <c r="AZ4154" s="30" t="n">
        <f aca="false">15106/100</f>
        <v>151.06</v>
      </c>
      <c r="BA4154" s="11" t="n">
        <v>10574</v>
      </c>
      <c r="BB4154" s="31" t="n">
        <f aca="false">SUM(Q4154,S4154,U4154,W4154,Y4154,AA4154,AC4154,AE4154,AG4154,AI4154,AK4154,AM4154,AO4154,AQ4154,AS4154,AU4154,AW4154,AY4154)</f>
        <v>10574</v>
      </c>
      <c r="BC4154" s="28" t="n">
        <f aca="false">BA4154-BB4154</f>
        <v>0</v>
      </c>
      <c r="BD4154" s="32" t="n">
        <f aca="false">SUM(P4154,R4154,T4154,V4154,X4154,Z4154,AB4154,AD4154,AF4154,AH4154,AJ4154,AL4154,AN4154,AP4154,AR4154,AT4154,AV4154,AX4154)</f>
        <v>151.06</v>
      </c>
      <c r="BE4154" s="33" t="n">
        <f aca="false">AZ4154-BD4154</f>
        <v>0</v>
      </c>
      <c r="BF4154" s="34" t="n">
        <f aca="false">BD4154*M4154</f>
        <v>10574.2</v>
      </c>
      <c r="BG4154" s="35" t="n">
        <f aca="false">BA4154-BF4154</f>
        <v>-0.200000000000728</v>
      </c>
      <c r="BH4154" s="19" t="str">
        <f aca="false">IF(BG4154=0,"",IF(BG4154&lt;&gt;BA4154,"erreur de calcul",IF(BD4154&lt;&gt;0,"pas de prix",IF(M4154&lt;&gt; 0,"pas de quantité","pas de prix, ni de quantité"))))</f>
        <v>erreur de calcul</v>
      </c>
      <c r="BI4154" s="19"/>
    </row>
    <row r="4155" customFormat="false" ht="15" hidden="false" customHeight="false" outlineLevel="0" collapsed="false">
      <c r="A4155" s="0" t="n">
        <v>4</v>
      </c>
      <c r="B4155" s="8" t="s">
        <v>24</v>
      </c>
      <c r="C4155" s="9" t="s">
        <v>25</v>
      </c>
      <c r="D4155" s="9" t="s">
        <v>26</v>
      </c>
      <c r="E4155" s="10" t="n">
        <v>1789</v>
      </c>
      <c r="F4155" s="9" t="s">
        <v>27</v>
      </c>
      <c r="G4155" s="9" t="s">
        <v>27</v>
      </c>
      <c r="H4155" s="11" t="n">
        <v>26</v>
      </c>
      <c r="I4155" s="11" t="s">
        <v>375</v>
      </c>
      <c r="J4155" s="14" t="n">
        <v>245</v>
      </c>
      <c r="K4155" s="14"/>
      <c r="L4155" s="16"/>
      <c r="M4155" s="27" t="n">
        <f aca="false">J4155+(K4155/20)+(L4155/240)</f>
        <v>245</v>
      </c>
      <c r="N4155" s="17" t="s">
        <v>64</v>
      </c>
      <c r="O4155" s="11"/>
      <c r="P4155" s="28"/>
      <c r="Q4155" s="28" t="n">
        <f aca="false">P4155*$M4155</f>
        <v>0</v>
      </c>
      <c r="R4155" s="28"/>
      <c r="S4155" s="28" t="n">
        <f aca="false">R4155*$M4155</f>
        <v>0</v>
      </c>
      <c r="T4155" s="28"/>
      <c r="U4155" s="28" t="n">
        <f aca="false">T4155*$M4155</f>
        <v>0</v>
      </c>
      <c r="V4155" s="28"/>
      <c r="W4155" s="28" t="n">
        <f aca="false">V4155*$M4155</f>
        <v>0</v>
      </c>
      <c r="X4155" s="28"/>
      <c r="Y4155" s="28" t="n">
        <f aca="false">X4155*$M4155</f>
        <v>0</v>
      </c>
      <c r="Z4155" s="28"/>
      <c r="AA4155" s="28" t="n">
        <f aca="false">Z4155*$M4155</f>
        <v>0</v>
      </c>
      <c r="AB4155" s="28"/>
      <c r="AC4155" s="28" t="n">
        <f aca="false">AB4155*$M4155</f>
        <v>0</v>
      </c>
      <c r="AD4155" s="28"/>
      <c r="AE4155" s="28" t="n">
        <f aca="false">AD4155*$M4155</f>
        <v>0</v>
      </c>
      <c r="AF4155" s="28"/>
      <c r="AG4155" s="28" t="n">
        <f aca="false">AF4155*$M4155</f>
        <v>0</v>
      </c>
      <c r="AH4155" s="28" t="n">
        <f aca="false">751/100</f>
        <v>7.51</v>
      </c>
      <c r="AI4155" s="28" t="n">
        <v>1840</v>
      </c>
      <c r="AJ4155" s="28"/>
      <c r="AK4155" s="28" t="n">
        <f aca="false">AJ4155*$M4155</f>
        <v>0</v>
      </c>
      <c r="AL4155" s="28"/>
      <c r="AM4155" s="28" t="n">
        <f aca="false">AL4155*$M4155</f>
        <v>0</v>
      </c>
      <c r="AN4155" s="28"/>
      <c r="AO4155" s="28" t="n">
        <f aca="false">AN4155*$M4155</f>
        <v>0</v>
      </c>
      <c r="AP4155" s="28"/>
      <c r="AQ4155" s="28" t="n">
        <f aca="false">AP4155*$M4155</f>
        <v>0</v>
      </c>
      <c r="AR4155" s="28"/>
      <c r="AS4155" s="28" t="n">
        <f aca="false">AR4155*$M4155</f>
        <v>0</v>
      </c>
      <c r="AT4155" s="28"/>
      <c r="AU4155" s="28" t="n">
        <f aca="false">AT4155*$M4155</f>
        <v>0</v>
      </c>
      <c r="AV4155" s="28"/>
      <c r="AW4155" s="28" t="n">
        <f aca="false">AV4155*$M4155</f>
        <v>0</v>
      </c>
      <c r="AX4155" s="28"/>
      <c r="AY4155" s="28" t="n">
        <f aca="false">AX4155*$M4155</f>
        <v>0</v>
      </c>
      <c r="AZ4155" s="30" t="n">
        <f aca="false">751/100</f>
        <v>7.51</v>
      </c>
      <c r="BA4155" s="11" t="n">
        <v>1840</v>
      </c>
      <c r="BB4155" s="31" t="n">
        <f aca="false">SUM(Q4155,S4155,U4155,W4155,Y4155,AA4155,AC4155,AE4155,AG4155,AI4155,AK4155,AM4155,AO4155,AQ4155,AS4155,AU4155,AW4155,AY4155)</f>
        <v>1840</v>
      </c>
      <c r="BC4155" s="28" t="n">
        <f aca="false">BA4155-BB4155</f>
        <v>0</v>
      </c>
      <c r="BD4155" s="32" t="n">
        <f aca="false">SUM(P4155,R4155,T4155,V4155,X4155,Z4155,AB4155,AD4155,AF4155,AH4155,AJ4155,AL4155,AN4155,AP4155,AR4155,AT4155,AV4155,AX4155)</f>
        <v>7.51</v>
      </c>
      <c r="BE4155" s="33" t="n">
        <f aca="false">AZ4155-BD4155</f>
        <v>0</v>
      </c>
      <c r="BF4155" s="34" t="n">
        <f aca="false">BD4155*M4155</f>
        <v>1839.95</v>
      </c>
      <c r="BG4155" s="35" t="n">
        <f aca="false">BA4155-BF4155</f>
        <v>0.0499999999999545</v>
      </c>
      <c r="BH4155" s="19" t="str">
        <f aca="false">IF(BG4155=0,"",IF(BG4155&lt;&gt;BA4155,"erreur de calcul",IF(BD4155&lt;&gt;0,"pas de prix",IF(M4155&lt;&gt; 0,"pas de quantité","pas de prix, ni de quantité"))))</f>
        <v>erreur de calcul</v>
      </c>
      <c r="BI4155" s="19"/>
    </row>
    <row r="4156" customFormat="false" ht="15" hidden="false" customHeight="false" outlineLevel="0" collapsed="false">
      <c r="A4156" s="0" t="n">
        <v>5</v>
      </c>
      <c r="B4156" s="8" t="s">
        <v>24</v>
      </c>
      <c r="C4156" s="9" t="s">
        <v>25</v>
      </c>
      <c r="D4156" s="9" t="s">
        <v>26</v>
      </c>
      <c r="E4156" s="10" t="n">
        <v>1789</v>
      </c>
      <c r="F4156" s="9" t="s">
        <v>27</v>
      </c>
      <c r="G4156" s="9" t="s">
        <v>27</v>
      </c>
      <c r="H4156" s="11" t="n">
        <v>26</v>
      </c>
      <c r="I4156" s="11" t="s">
        <v>376</v>
      </c>
      <c r="J4156" s="14" t="n">
        <v>550</v>
      </c>
      <c r="K4156" s="14"/>
      <c r="L4156" s="16"/>
      <c r="M4156" s="27" t="n">
        <f aca="false">J4156+(K4156/20)+(L4156/240)</f>
        <v>550</v>
      </c>
      <c r="N4156" s="17" t="s">
        <v>64</v>
      </c>
      <c r="O4156" s="11"/>
      <c r="P4156" s="28"/>
      <c r="Q4156" s="28" t="n">
        <f aca="false">P4156*$M4156</f>
        <v>0</v>
      </c>
      <c r="R4156" s="28"/>
      <c r="S4156" s="28" t="n">
        <f aca="false">R4156*$M4156</f>
        <v>0</v>
      </c>
      <c r="T4156" s="28"/>
      <c r="U4156" s="28" t="n">
        <f aca="false">T4156*$M4156</f>
        <v>0</v>
      </c>
      <c r="V4156" s="28"/>
      <c r="W4156" s="28" t="n">
        <f aca="false">V4156*$M4156</f>
        <v>0</v>
      </c>
      <c r="X4156" s="28"/>
      <c r="Y4156" s="28" t="n">
        <f aca="false">X4156*$M4156</f>
        <v>0</v>
      </c>
      <c r="Z4156" s="28"/>
      <c r="AA4156" s="28" t="n">
        <f aca="false">Z4156*$M4156</f>
        <v>0</v>
      </c>
      <c r="AB4156" s="28"/>
      <c r="AC4156" s="28" t="n">
        <f aca="false">AB4156*$M4156</f>
        <v>0</v>
      </c>
      <c r="AD4156" s="28"/>
      <c r="AE4156" s="28" t="n">
        <f aca="false">AD4156*$M4156</f>
        <v>0</v>
      </c>
      <c r="AF4156" s="28"/>
      <c r="AG4156" s="28" t="n">
        <f aca="false">AF4156*$M4156</f>
        <v>0</v>
      </c>
      <c r="AH4156" s="28" t="n">
        <f aca="false">215551/100</f>
        <v>2155.51</v>
      </c>
      <c r="AI4156" s="28" t="n">
        <v>1185530</v>
      </c>
      <c r="AJ4156" s="28"/>
      <c r="AK4156" s="28" t="n">
        <f aca="false">AJ4156*$M4156</f>
        <v>0</v>
      </c>
      <c r="AL4156" s="28"/>
      <c r="AM4156" s="28" t="n">
        <f aca="false">AL4156*$M4156</f>
        <v>0</v>
      </c>
      <c r="AN4156" s="28"/>
      <c r="AO4156" s="28" t="n">
        <f aca="false">AN4156*$M4156</f>
        <v>0</v>
      </c>
      <c r="AP4156" s="28"/>
      <c r="AQ4156" s="28" t="n">
        <f aca="false">AP4156*$M4156</f>
        <v>0</v>
      </c>
      <c r="AR4156" s="28"/>
      <c r="AS4156" s="28" t="n">
        <f aca="false">AR4156*$M4156</f>
        <v>0</v>
      </c>
      <c r="AT4156" s="28"/>
      <c r="AU4156" s="28" t="n">
        <f aca="false">AT4156*$M4156</f>
        <v>0</v>
      </c>
      <c r="AV4156" s="28"/>
      <c r="AW4156" s="28" t="n">
        <f aca="false">AV4156*$M4156</f>
        <v>0</v>
      </c>
      <c r="AX4156" s="28"/>
      <c r="AY4156" s="28" t="n">
        <f aca="false">AX4156*$M4156</f>
        <v>0</v>
      </c>
      <c r="AZ4156" s="30" t="n">
        <f aca="false">215551/100</f>
        <v>2155.51</v>
      </c>
      <c r="BA4156" s="11" t="n">
        <v>1185530</v>
      </c>
      <c r="BB4156" s="31" t="n">
        <f aca="false">SUM(Q4156,S4156,U4156,W4156,Y4156,AA4156,AC4156,AE4156,AG4156,AI4156,AK4156,AM4156,AO4156,AQ4156,AS4156,AU4156,AW4156,AY4156)</f>
        <v>1185530</v>
      </c>
      <c r="BC4156" s="28" t="n">
        <f aca="false">BA4156-BB4156</f>
        <v>0</v>
      </c>
      <c r="BD4156" s="32" t="n">
        <f aca="false">SUM(P4156,R4156,T4156,V4156,X4156,Z4156,AB4156,AD4156,AF4156,AH4156,AJ4156,AL4156,AN4156,AP4156,AR4156,AT4156,AV4156,AX4156)</f>
        <v>2155.51</v>
      </c>
      <c r="BE4156" s="33" t="n">
        <f aca="false">AZ4156-BD4156</f>
        <v>0</v>
      </c>
      <c r="BF4156" s="34" t="n">
        <f aca="false">BD4156*M4156</f>
        <v>1185530.5</v>
      </c>
      <c r="BG4156" s="35" t="n">
        <f aca="false">BA4156-BF4156</f>
        <v>-0.500000000232831</v>
      </c>
      <c r="BH4156" s="19" t="str">
        <f aca="false">IF(BG4156=0,"",IF(BG4156&lt;&gt;BA4156,"erreur de calcul",IF(BD4156&lt;&gt;0,"pas de prix",IF(M4156&lt;&gt; 0,"pas de quantité","pas de prix, ni de quantité"))))</f>
        <v>erreur de calcul</v>
      </c>
      <c r="BI4156" s="19"/>
    </row>
    <row r="4157" customFormat="false" ht="15" hidden="false" customHeight="false" outlineLevel="0" collapsed="false">
      <c r="A4157" s="0" t="n">
        <v>6</v>
      </c>
      <c r="B4157" s="8" t="s">
        <v>24</v>
      </c>
      <c r="C4157" s="9" t="s">
        <v>25</v>
      </c>
      <c r="D4157" s="9" t="s">
        <v>26</v>
      </c>
      <c r="E4157" s="10" t="n">
        <v>1789</v>
      </c>
      <c r="F4157" s="9" t="s">
        <v>27</v>
      </c>
      <c r="G4157" s="9" t="s">
        <v>27</v>
      </c>
      <c r="H4157" s="11" t="n">
        <v>26</v>
      </c>
      <c r="I4157" s="11" t="s">
        <v>377</v>
      </c>
      <c r="J4157" s="14"/>
      <c r="K4157" s="14"/>
      <c r="L4157" s="16"/>
      <c r="M4157" s="27" t="n">
        <f aca="false">J4157+(K4157/20)+(L4157/240)</f>
        <v>0</v>
      </c>
      <c r="N4157" s="17"/>
      <c r="O4157" s="11"/>
      <c r="P4157" s="28"/>
      <c r="Q4157" s="28" t="n">
        <f aca="false">P4157*$M4157</f>
        <v>0</v>
      </c>
      <c r="R4157" s="28"/>
      <c r="S4157" s="28" t="n">
        <f aca="false">R4157*$M4157</f>
        <v>0</v>
      </c>
      <c r="T4157" s="28"/>
      <c r="U4157" s="28" t="n">
        <v>517</v>
      </c>
      <c r="V4157" s="28"/>
      <c r="W4157" s="28" t="n">
        <v>1243</v>
      </c>
      <c r="X4157" s="28"/>
      <c r="Y4157" s="28" t="n">
        <f aca="false">X4157*$M4157</f>
        <v>0</v>
      </c>
      <c r="Z4157" s="28"/>
      <c r="AA4157" s="28" t="n">
        <f aca="false">Z4157*$M4157</f>
        <v>0</v>
      </c>
      <c r="AB4157" s="28"/>
      <c r="AC4157" s="28" t="n">
        <v>694</v>
      </c>
      <c r="AD4157" s="28"/>
      <c r="AE4157" s="28" t="n">
        <f aca="false">AD4157*$M4157</f>
        <v>0</v>
      </c>
      <c r="AF4157" s="28"/>
      <c r="AG4157" s="28" t="n">
        <f aca="false">AF4157*$M4157</f>
        <v>0</v>
      </c>
      <c r="AH4157" s="28"/>
      <c r="AI4157" s="28" t="n">
        <f aca="false">AH4157*$M4157</f>
        <v>0</v>
      </c>
      <c r="AJ4157" s="28"/>
      <c r="AK4157" s="28" t="n">
        <v>664</v>
      </c>
      <c r="AL4157" s="28"/>
      <c r="AM4157" s="28" t="n">
        <v>161</v>
      </c>
      <c r="AN4157" s="28"/>
      <c r="AO4157" s="28" t="n">
        <f aca="false">AN4157*$M4157</f>
        <v>0</v>
      </c>
      <c r="AP4157" s="28"/>
      <c r="AQ4157" s="28" t="n">
        <f aca="false">AP4157*$M4157</f>
        <v>0</v>
      </c>
      <c r="AR4157" s="28"/>
      <c r="AS4157" s="28" t="n">
        <f aca="false">AR4157*$M4157</f>
        <v>0</v>
      </c>
      <c r="AT4157" s="28"/>
      <c r="AU4157" s="28" t="n">
        <f aca="false">AT4157*$M4157</f>
        <v>0</v>
      </c>
      <c r="AV4157" s="28"/>
      <c r="AW4157" s="28" t="n">
        <f aca="false">AV4157*$M4157</f>
        <v>0</v>
      </c>
      <c r="AX4157" s="28"/>
      <c r="AY4157" s="28" t="n">
        <f aca="false">AX4157*$M4157</f>
        <v>0</v>
      </c>
      <c r="AZ4157" s="30"/>
      <c r="BA4157" s="11" t="n">
        <v>3279</v>
      </c>
      <c r="BB4157" s="31" t="n">
        <f aca="false">SUM(Q4157,S4157,U4157,W4157,Y4157,AA4157,AC4157,AE4157,AG4157,AI4157,AK4157,AM4157,AO4157,AQ4157,AS4157,AU4157,AW4157,AY4157)</f>
        <v>3279</v>
      </c>
      <c r="BC4157" s="28" t="n">
        <f aca="false">BA4157-BB4157</f>
        <v>0</v>
      </c>
      <c r="BD4157" s="32" t="n">
        <f aca="false">SUM(P4157,R4157,T4157,V4157,X4157,Z4157,AB4157,AD4157,AF4157,AH4157,AJ4157,AL4157,AN4157,AP4157,AR4157,AT4157,AV4157,AX4157)</f>
        <v>0</v>
      </c>
      <c r="BE4157" s="33" t="n">
        <f aca="false">AZ4157-BD4157</f>
        <v>0</v>
      </c>
      <c r="BF4157" s="34" t="n">
        <f aca="false">BD4157*M4157</f>
        <v>0</v>
      </c>
      <c r="BG4157" s="35" t="n">
        <f aca="false">BA4157-BF4157</f>
        <v>3279</v>
      </c>
      <c r="BH4157" s="19" t="str">
        <f aca="false">IF(BG4157=0,"",IF(BG4157&lt;&gt;BA4157,"erreur de calcul",IF(BD4157&lt;&gt;0,"pas de prix",IF(M4157&lt;&gt; 0,"pas de quantité","pas de prix, ni de quantité"))))</f>
        <v>pas de prix, ni de quantité</v>
      </c>
      <c r="BI4157" s="19"/>
    </row>
    <row r="4158" customFormat="false" ht="15" hidden="false" customHeight="false" outlineLevel="0" collapsed="false">
      <c r="A4158" s="0" t="n">
        <v>7</v>
      </c>
      <c r="B4158" s="8" t="s">
        <v>24</v>
      </c>
      <c r="C4158" s="9" t="s">
        <v>25</v>
      </c>
      <c r="D4158" s="9" t="s">
        <v>26</v>
      </c>
      <c r="E4158" s="10" t="n">
        <v>1789</v>
      </c>
      <c r="F4158" s="9" t="s">
        <v>27</v>
      </c>
      <c r="G4158" s="9" t="s">
        <v>27</v>
      </c>
      <c r="H4158" s="11" t="n">
        <v>26</v>
      </c>
      <c r="I4158" s="11" t="s">
        <v>378</v>
      </c>
      <c r="J4158" s="14" t="n">
        <v>27</v>
      </c>
      <c r="K4158" s="14"/>
      <c r="L4158" s="16"/>
      <c r="M4158" s="27" t="n">
        <f aca="false">J4158+(K4158/20)+(L4158/240)</f>
        <v>27</v>
      </c>
      <c r="N4158" s="17" t="s">
        <v>379</v>
      </c>
      <c r="O4158" s="11" t="s">
        <v>98</v>
      </c>
      <c r="P4158" s="28"/>
      <c r="Q4158" s="28" t="n">
        <f aca="false">P4158*$M4158</f>
        <v>0</v>
      </c>
      <c r="R4158" s="28"/>
      <c r="S4158" s="28" t="n">
        <f aca="false">R4158*$M4158</f>
        <v>0</v>
      </c>
      <c r="T4158" s="28"/>
      <c r="U4158" s="28" t="n">
        <f aca="false">T4158*$M4158</f>
        <v>0</v>
      </c>
      <c r="V4158" s="28"/>
      <c r="W4158" s="28" t="n">
        <f aca="false">V4158*$M4158</f>
        <v>0</v>
      </c>
      <c r="X4158" s="28"/>
      <c r="Y4158" s="28" t="n">
        <f aca="false">X4158*$M4158</f>
        <v>0</v>
      </c>
      <c r="Z4158" s="28"/>
      <c r="AA4158" s="28" t="n">
        <f aca="false">Z4158*$M4158</f>
        <v>0</v>
      </c>
      <c r="AB4158" s="28"/>
      <c r="AC4158" s="28" t="n">
        <f aca="false">AB4158*$M4158</f>
        <v>0</v>
      </c>
      <c r="AD4158" s="28"/>
      <c r="AE4158" s="28" t="n">
        <f aca="false">AD4158*$M4158</f>
        <v>0</v>
      </c>
      <c r="AF4158" s="28"/>
      <c r="AG4158" s="28" t="n">
        <f aca="false">AF4158*$M4158</f>
        <v>0</v>
      </c>
      <c r="AH4158" s="28"/>
      <c r="AI4158" s="28" t="n">
        <f aca="false">AH4158*$M4158</f>
        <v>0</v>
      </c>
      <c r="AJ4158" s="28"/>
      <c r="AK4158" s="28" t="n">
        <f aca="false">AJ4158*$M4158</f>
        <v>0</v>
      </c>
      <c r="AL4158" s="28"/>
      <c r="AM4158" s="28" t="n">
        <f aca="false">AL4158*$M4158</f>
        <v>0</v>
      </c>
      <c r="AN4158" s="28"/>
      <c r="AO4158" s="28" t="n">
        <f aca="false">AN4158*$M4158</f>
        <v>0</v>
      </c>
      <c r="AP4158" s="28"/>
      <c r="AQ4158" s="28" t="n">
        <f aca="false">AP4158*$M4158</f>
        <v>0</v>
      </c>
      <c r="AR4158" s="28"/>
      <c r="AS4158" s="28" t="n">
        <f aca="false">AR4158*$M4158</f>
        <v>0</v>
      </c>
      <c r="AT4158" s="28"/>
      <c r="AU4158" s="28" t="n">
        <f aca="false">AT4158*$M4158</f>
        <v>0</v>
      </c>
      <c r="AV4158" s="28"/>
      <c r="AW4158" s="28" t="n">
        <f aca="false">AV4158*$M4158</f>
        <v>0</v>
      </c>
      <c r="AX4158" s="28"/>
      <c r="AY4158" s="28" t="n">
        <f aca="false">AX4158*$M4158</f>
        <v>0</v>
      </c>
      <c r="AZ4158" s="30"/>
      <c r="BA4158" s="11"/>
      <c r="BB4158" s="31" t="n">
        <f aca="false">SUM(Q4158,S4158,U4158,W4158,Y4158,AA4158,AC4158,AE4158,AG4158,AI4158,AK4158,AM4158,AO4158,AQ4158,AS4158,AU4158,AW4158,AY4158)</f>
        <v>0</v>
      </c>
      <c r="BC4158" s="28" t="n">
        <f aca="false">BA4158-BB4158</f>
        <v>0</v>
      </c>
      <c r="BD4158" s="32" t="n">
        <f aca="false">SUM(P4158,R4158,T4158,V4158,X4158,Z4158,AB4158,AD4158,AF4158,AH4158,AJ4158,AL4158,AN4158,AP4158,AR4158,AT4158,AV4158,AX4158)</f>
        <v>0</v>
      </c>
      <c r="BE4158" s="33" t="n">
        <f aca="false">AZ4158-BD4158</f>
        <v>0</v>
      </c>
      <c r="BF4158" s="34" t="n">
        <f aca="false">BD4158*M4158</f>
        <v>0</v>
      </c>
      <c r="BG4158" s="35" t="n">
        <f aca="false">BA4158-BF4158</f>
        <v>0</v>
      </c>
      <c r="BH4158" s="19" t="str">
        <f aca="false">IF(BG4158=0,"",IF(BG4158&lt;&gt;BA4158,"erreur de calcul",IF(BD4158&lt;&gt;0,"pas de prix",IF(M4158&lt;&gt; 0,"pas de quantité","pas de prix, ni de quantité"))))</f>
        <v/>
      </c>
      <c r="BI4158" s="19"/>
    </row>
    <row r="4159" customFormat="false" ht="15" hidden="false" customHeight="false" outlineLevel="0" collapsed="false">
      <c r="A4159" s="0" t="n">
        <v>8</v>
      </c>
      <c r="B4159" s="8" t="s">
        <v>24</v>
      </c>
      <c r="C4159" s="9" t="s">
        <v>25</v>
      </c>
      <c r="D4159" s="9" t="s">
        <v>26</v>
      </c>
      <c r="E4159" s="10" t="n">
        <v>1789</v>
      </c>
      <c r="F4159" s="9" t="s">
        <v>27</v>
      </c>
      <c r="G4159" s="9" t="s">
        <v>27</v>
      </c>
      <c r="H4159" s="11" t="n">
        <v>26</v>
      </c>
      <c r="I4159" s="11" t="s">
        <v>380</v>
      </c>
      <c r="J4159" s="14" t="n">
        <v>30</v>
      </c>
      <c r="K4159" s="14"/>
      <c r="L4159" s="16"/>
      <c r="M4159" s="27" t="n">
        <f aca="false">J4159+(K4159/20)+(L4159/240)</f>
        <v>30</v>
      </c>
      <c r="N4159" s="17" t="s">
        <v>64</v>
      </c>
      <c r="O4159" s="11"/>
      <c r="P4159" s="28"/>
      <c r="Q4159" s="28" t="n">
        <f aca="false">P4159*$M4159</f>
        <v>0</v>
      </c>
      <c r="R4159" s="28"/>
      <c r="S4159" s="28" t="n">
        <f aca="false">R4159*$M4159</f>
        <v>0</v>
      </c>
      <c r="T4159" s="28"/>
      <c r="U4159" s="28" t="n">
        <f aca="false">T4159*$M4159</f>
        <v>0</v>
      </c>
      <c r="V4159" s="28"/>
      <c r="W4159" s="28" t="n">
        <f aca="false">V4159*$M4159</f>
        <v>0</v>
      </c>
      <c r="X4159" s="28"/>
      <c r="Y4159" s="28" t="n">
        <f aca="false">X4159*$M4159</f>
        <v>0</v>
      </c>
      <c r="Z4159" s="28"/>
      <c r="AA4159" s="28" t="n">
        <f aca="false">Z4159*$M4159</f>
        <v>0</v>
      </c>
      <c r="AB4159" s="28"/>
      <c r="AC4159" s="28" t="n">
        <f aca="false">AB4159*$M4159</f>
        <v>0</v>
      </c>
      <c r="AD4159" s="28"/>
      <c r="AE4159" s="28" t="n">
        <f aca="false">AD4159*$M4159</f>
        <v>0</v>
      </c>
      <c r="AF4159" s="28"/>
      <c r="AG4159" s="28" t="n">
        <f aca="false">AF4159*$M4159</f>
        <v>0</v>
      </c>
      <c r="AH4159" s="28"/>
      <c r="AI4159" s="28" t="n">
        <f aca="false">AH4159*$M4159</f>
        <v>0</v>
      </c>
      <c r="AJ4159" s="28"/>
      <c r="AK4159" s="28" t="n">
        <f aca="false">AJ4159*$M4159</f>
        <v>0</v>
      </c>
      <c r="AL4159" s="28"/>
      <c r="AM4159" s="28" t="n">
        <f aca="false">AL4159*$M4159</f>
        <v>0</v>
      </c>
      <c r="AN4159" s="28"/>
      <c r="AO4159" s="28" t="n">
        <f aca="false">AN4159*$M4159</f>
        <v>0</v>
      </c>
      <c r="AP4159" s="28"/>
      <c r="AQ4159" s="28" t="n">
        <f aca="false">AP4159*$M4159</f>
        <v>0</v>
      </c>
      <c r="AR4159" s="28"/>
      <c r="AS4159" s="28" t="n">
        <f aca="false">AR4159*$M4159</f>
        <v>0</v>
      </c>
      <c r="AT4159" s="28"/>
      <c r="AU4159" s="28" t="n">
        <f aca="false">AT4159*$M4159</f>
        <v>0</v>
      </c>
      <c r="AV4159" s="28" t="n">
        <f aca="false">5417/100</f>
        <v>54.17</v>
      </c>
      <c r="AW4159" s="28" t="n">
        <v>1625</v>
      </c>
      <c r="AX4159" s="28"/>
      <c r="AY4159" s="28" t="n">
        <f aca="false">AX4159*$M4159</f>
        <v>0</v>
      </c>
      <c r="AZ4159" s="30"/>
      <c r="BA4159" s="11" t="n">
        <v>1625</v>
      </c>
      <c r="BB4159" s="31" t="n">
        <f aca="false">SUM(Q4159,S4159,U4159,W4159,Y4159,AA4159,AC4159,AE4159,AG4159,AI4159,AK4159,AM4159,AO4159,AQ4159,AS4159,AU4159,AW4159,AY4159)</f>
        <v>1625</v>
      </c>
      <c r="BC4159" s="28" t="n">
        <f aca="false">BA4159-BB4159</f>
        <v>0</v>
      </c>
      <c r="BD4159" s="32" t="n">
        <f aca="false">SUM(P4159,R4159,T4159,V4159,X4159,Z4159,AB4159,AD4159,AF4159,AH4159,AJ4159,AL4159,AN4159,AP4159,AR4159,AT4159,AV4159,AX4159)</f>
        <v>54.17</v>
      </c>
      <c r="BE4159" s="33" t="n">
        <f aca="false">AZ4159-BD4159</f>
        <v>-54.17</v>
      </c>
      <c r="BF4159" s="34" t="n">
        <f aca="false">BD4159*M4159</f>
        <v>1625.1</v>
      </c>
      <c r="BG4159" s="35" t="n">
        <f aca="false">BA4159-BF4159</f>
        <v>-0.100000000000136</v>
      </c>
      <c r="BH4159" s="19" t="str">
        <f aca="false">IF(BG4159=0,"",IF(BG4159&lt;&gt;BA4159,"erreur de calcul",IF(BD4159&lt;&gt;0,"pas de prix",IF(M4159&lt;&gt; 0,"pas de quantité","pas de prix, ni de quantité"))))</f>
        <v>erreur de calcul</v>
      </c>
      <c r="BI4159" s="19"/>
    </row>
    <row r="4160" customFormat="false" ht="15" hidden="false" customHeight="false" outlineLevel="0" collapsed="false">
      <c r="A4160" s="0" t="n">
        <v>9</v>
      </c>
      <c r="B4160" s="8" t="s">
        <v>24</v>
      </c>
      <c r="C4160" s="9" t="s">
        <v>25</v>
      </c>
      <c r="D4160" s="9" t="s">
        <v>26</v>
      </c>
      <c r="E4160" s="10" t="n">
        <v>1789</v>
      </c>
      <c r="F4160" s="9" t="s">
        <v>27</v>
      </c>
      <c r="G4160" s="9" t="s">
        <v>27</v>
      </c>
      <c r="H4160" s="11" t="n">
        <v>26</v>
      </c>
      <c r="I4160" s="11" t="s">
        <v>381</v>
      </c>
      <c r="J4160" s="14" t="n">
        <v>6</v>
      </c>
      <c r="K4160" s="14"/>
      <c r="L4160" s="16"/>
      <c r="M4160" s="27" t="n">
        <f aca="false">J4160+(K4160/20)+(L4160/240)</f>
        <v>6</v>
      </c>
      <c r="N4160" s="17" t="s">
        <v>379</v>
      </c>
      <c r="O4160" s="11" t="s">
        <v>98</v>
      </c>
      <c r="P4160" s="28"/>
      <c r="Q4160" s="28" t="n">
        <f aca="false">P4160*$M4160</f>
        <v>0</v>
      </c>
      <c r="R4160" s="28"/>
      <c r="S4160" s="28" t="n">
        <f aca="false">R4160*$M4160</f>
        <v>0</v>
      </c>
      <c r="T4160" s="28"/>
      <c r="U4160" s="28" t="n">
        <f aca="false">T4160*$M4160</f>
        <v>0</v>
      </c>
      <c r="V4160" s="28"/>
      <c r="W4160" s="28" t="n">
        <f aca="false">V4160*$M4160</f>
        <v>0</v>
      </c>
      <c r="X4160" s="28"/>
      <c r="Y4160" s="28" t="n">
        <f aca="false">X4160*$M4160</f>
        <v>0</v>
      </c>
      <c r="Z4160" s="28"/>
      <c r="AA4160" s="28" t="n">
        <f aca="false">Z4160*$M4160</f>
        <v>0</v>
      </c>
      <c r="AB4160" s="28"/>
      <c r="AC4160" s="28" t="n">
        <f aca="false">AB4160*$M4160</f>
        <v>0</v>
      </c>
      <c r="AD4160" s="28"/>
      <c r="AE4160" s="28" t="n">
        <f aca="false">AD4160*$M4160</f>
        <v>0</v>
      </c>
      <c r="AF4160" s="28"/>
      <c r="AG4160" s="28" t="n">
        <f aca="false">AF4160*$M4160</f>
        <v>0</v>
      </c>
      <c r="AH4160" s="28"/>
      <c r="AI4160" s="28" t="n">
        <f aca="false">AH4160*$M4160</f>
        <v>0</v>
      </c>
      <c r="AJ4160" s="28"/>
      <c r="AK4160" s="28" t="n">
        <f aca="false">AJ4160*$M4160</f>
        <v>0</v>
      </c>
      <c r="AL4160" s="28"/>
      <c r="AM4160" s="28" t="n">
        <f aca="false">AL4160*$M4160</f>
        <v>0</v>
      </c>
      <c r="AN4160" s="28"/>
      <c r="AO4160" s="28" t="n">
        <f aca="false">AN4160*$M4160</f>
        <v>0</v>
      </c>
      <c r="AP4160" s="28"/>
      <c r="AQ4160" s="28" t="n">
        <f aca="false">AP4160*$M4160</f>
        <v>0</v>
      </c>
      <c r="AR4160" s="28"/>
      <c r="AS4160" s="28" t="n">
        <f aca="false">AR4160*$M4160</f>
        <v>0</v>
      </c>
      <c r="AT4160" s="28"/>
      <c r="AU4160" s="28" t="n">
        <f aca="false">AT4160*$M4160</f>
        <v>0</v>
      </c>
      <c r="AV4160" s="28"/>
      <c r="AW4160" s="28" t="n">
        <f aca="false">AV4160*$M4160</f>
        <v>0</v>
      </c>
      <c r="AX4160" s="28"/>
      <c r="AY4160" s="28" t="n">
        <f aca="false">AX4160*$M4160</f>
        <v>0</v>
      </c>
      <c r="AZ4160" s="30"/>
      <c r="BA4160" s="11"/>
      <c r="BB4160" s="31" t="n">
        <f aca="false">SUM(Q4160,S4160,U4160,W4160,Y4160,AA4160,AC4160,AE4160,AG4160,AI4160,AK4160,AM4160,AO4160,AQ4160,AS4160,AU4160,AW4160,AY4160)</f>
        <v>0</v>
      </c>
      <c r="BC4160" s="28" t="n">
        <f aca="false">BA4160-BB4160</f>
        <v>0</v>
      </c>
      <c r="BD4160" s="32" t="n">
        <f aca="false">SUM(P4160,R4160,T4160,V4160,X4160,Z4160,AB4160,AD4160,AF4160,AH4160,AJ4160,AL4160,AN4160,AP4160,AR4160,AT4160,AV4160,AX4160)</f>
        <v>0</v>
      </c>
      <c r="BE4160" s="33" t="n">
        <f aca="false">AZ4160-BD4160</f>
        <v>0</v>
      </c>
      <c r="BF4160" s="34" t="n">
        <f aca="false">BD4160*M4160</f>
        <v>0</v>
      </c>
      <c r="BG4160" s="35" t="n">
        <f aca="false">BA4160-BF4160</f>
        <v>0</v>
      </c>
      <c r="BH4160" s="19" t="str">
        <f aca="false">IF(BG4160=0,"",IF(BG4160&lt;&gt;BA4160,"erreur de calcul",IF(BD4160&lt;&gt;0,"pas de prix",IF(M4160&lt;&gt; 0,"pas de quantité","pas de prix, ni de quantité"))))</f>
        <v/>
      </c>
      <c r="BI4160" s="19"/>
    </row>
    <row r="4161" customFormat="false" ht="15" hidden="false" customHeight="false" outlineLevel="0" collapsed="false">
      <c r="A4161" s="0" t="n">
        <v>10</v>
      </c>
      <c r="B4161" s="8" t="s">
        <v>24</v>
      </c>
      <c r="C4161" s="9" t="s">
        <v>25</v>
      </c>
      <c r="D4161" s="9" t="s">
        <v>26</v>
      </c>
      <c r="E4161" s="10" t="n">
        <v>1789</v>
      </c>
      <c r="F4161" s="9" t="s">
        <v>27</v>
      </c>
      <c r="G4161" s="9" t="s">
        <v>27</v>
      </c>
      <c r="H4161" s="11" t="n">
        <v>26</v>
      </c>
      <c r="I4161" s="11" t="s">
        <v>381</v>
      </c>
      <c r="J4161" s="14" t="n">
        <v>40</v>
      </c>
      <c r="K4161" s="14"/>
      <c r="L4161" s="16"/>
      <c r="M4161" s="27" t="n">
        <f aca="false">J4161+(K4161/20)+(L4161/240)</f>
        <v>40</v>
      </c>
      <c r="N4161" s="17" t="s">
        <v>382</v>
      </c>
      <c r="O4161" s="11" t="s">
        <v>98</v>
      </c>
      <c r="P4161" s="28"/>
      <c r="Q4161" s="28" t="n">
        <f aca="false">P4161*$M4161</f>
        <v>0</v>
      </c>
      <c r="R4161" s="28"/>
      <c r="S4161" s="28" t="n">
        <f aca="false">R4161*$M4161</f>
        <v>0</v>
      </c>
      <c r="T4161" s="28"/>
      <c r="U4161" s="28" t="n">
        <f aca="false">T4161*$M4161</f>
        <v>0</v>
      </c>
      <c r="V4161" s="28"/>
      <c r="W4161" s="28" t="n">
        <f aca="false">V4161*$M4161</f>
        <v>0</v>
      </c>
      <c r="X4161" s="28"/>
      <c r="Y4161" s="28" t="n">
        <f aca="false">X4161*$M4161</f>
        <v>0</v>
      </c>
      <c r="Z4161" s="28"/>
      <c r="AA4161" s="28" t="n">
        <f aca="false">Z4161*$M4161</f>
        <v>0</v>
      </c>
      <c r="AB4161" s="28"/>
      <c r="AC4161" s="28" t="n">
        <f aca="false">AB4161*$M4161</f>
        <v>0</v>
      </c>
      <c r="AD4161" s="28"/>
      <c r="AE4161" s="28" t="n">
        <f aca="false">AD4161*$M4161</f>
        <v>0</v>
      </c>
      <c r="AF4161" s="28"/>
      <c r="AG4161" s="28" t="n">
        <f aca="false">AF4161*$M4161</f>
        <v>0</v>
      </c>
      <c r="AH4161" s="28"/>
      <c r="AI4161" s="28" t="n">
        <f aca="false">AH4161*$M4161</f>
        <v>0</v>
      </c>
      <c r="AJ4161" s="28"/>
      <c r="AK4161" s="28" t="n">
        <f aca="false">AJ4161*$M4161</f>
        <v>0</v>
      </c>
      <c r="AL4161" s="28"/>
      <c r="AM4161" s="28" t="n">
        <f aca="false">AL4161*$M4161</f>
        <v>0</v>
      </c>
      <c r="AN4161" s="28"/>
      <c r="AO4161" s="28" t="n">
        <f aca="false">AN4161*$M4161</f>
        <v>0</v>
      </c>
      <c r="AP4161" s="28"/>
      <c r="AQ4161" s="28" t="n">
        <f aca="false">AP4161*$M4161</f>
        <v>0</v>
      </c>
      <c r="AR4161" s="28"/>
      <c r="AS4161" s="28" t="n">
        <f aca="false">AR4161*$M4161</f>
        <v>0</v>
      </c>
      <c r="AT4161" s="28"/>
      <c r="AU4161" s="28" t="n">
        <f aca="false">AT4161*$M4161</f>
        <v>0</v>
      </c>
      <c r="AV4161" s="28"/>
      <c r="AW4161" s="28" t="n">
        <f aca="false">AV4161*$M4161</f>
        <v>0</v>
      </c>
      <c r="AX4161" s="28"/>
      <c r="AY4161" s="28" t="n">
        <f aca="false">AX4161*$M4161</f>
        <v>0</v>
      </c>
      <c r="AZ4161" s="30"/>
      <c r="BA4161" s="11"/>
      <c r="BB4161" s="31" t="n">
        <f aca="false">SUM(Q4161,S4161,U4161,W4161,Y4161,AA4161,AC4161,AE4161,AG4161,AI4161,AK4161,AM4161,AO4161,AQ4161,AS4161,AU4161,AW4161,AY4161)</f>
        <v>0</v>
      </c>
      <c r="BC4161" s="28" t="n">
        <f aca="false">BA4161-BB4161</f>
        <v>0</v>
      </c>
      <c r="BD4161" s="32" t="n">
        <f aca="false">SUM(P4161,R4161,T4161,V4161,X4161,Z4161,AB4161,AD4161,AF4161,AH4161,AJ4161,AL4161,AN4161,AP4161,AR4161,AT4161,AV4161,AX4161)</f>
        <v>0</v>
      </c>
      <c r="BE4161" s="33" t="n">
        <f aca="false">AZ4161-BD4161</f>
        <v>0</v>
      </c>
      <c r="BF4161" s="34" t="n">
        <f aca="false">BD4161*M4161</f>
        <v>0</v>
      </c>
      <c r="BG4161" s="35" t="n">
        <f aca="false">BA4161-BF4161</f>
        <v>0</v>
      </c>
      <c r="BH4161" s="19" t="str">
        <f aca="false">IF(BG4161=0,"",IF(BG4161&lt;&gt;BA4161,"erreur de calcul",IF(BD4161&lt;&gt;0,"pas de prix",IF(M4161&lt;&gt; 0,"pas de quantité","pas de prix, ni de quantité"))))</f>
        <v/>
      </c>
      <c r="BI4161" s="19"/>
    </row>
    <row r="4162" customFormat="false" ht="15" hidden="false" customHeight="false" outlineLevel="0" collapsed="false">
      <c r="A4162" s="0" t="n">
        <v>11</v>
      </c>
      <c r="B4162" s="8" t="s">
        <v>24</v>
      </c>
      <c r="C4162" s="9" t="s">
        <v>25</v>
      </c>
      <c r="D4162" s="9" t="s">
        <v>26</v>
      </c>
      <c r="E4162" s="10" t="n">
        <v>1789</v>
      </c>
      <c r="F4162" s="9" t="s">
        <v>27</v>
      </c>
      <c r="G4162" s="9" t="s">
        <v>27</v>
      </c>
      <c r="H4162" s="11" t="n">
        <v>26</v>
      </c>
      <c r="I4162" s="11" t="s">
        <v>383</v>
      </c>
      <c r="J4162" s="14" t="n">
        <v>50</v>
      </c>
      <c r="K4162" s="14"/>
      <c r="L4162" s="16"/>
      <c r="M4162" s="27" t="n">
        <f aca="false">J4162+(K4162/20)+(L4162/240)</f>
        <v>50</v>
      </c>
      <c r="N4162" s="17" t="s">
        <v>64</v>
      </c>
      <c r="O4162" s="11"/>
      <c r="P4162" s="28" t="n">
        <f aca="false">54967/100</f>
        <v>549.67</v>
      </c>
      <c r="Q4162" s="28" t="n">
        <v>27483</v>
      </c>
      <c r="R4162" s="28"/>
      <c r="S4162" s="28" t="n">
        <f aca="false">R4162*$M4162</f>
        <v>0</v>
      </c>
      <c r="T4162" s="28" t="n">
        <f aca="false">74693/100</f>
        <v>746.93</v>
      </c>
      <c r="U4162" s="28" t="n">
        <v>37346</v>
      </c>
      <c r="V4162" s="28" t="n">
        <f aca="false">161729/100</f>
        <v>1617.29</v>
      </c>
      <c r="W4162" s="28" t="n">
        <v>80864</v>
      </c>
      <c r="X4162" s="28" t="n">
        <f aca="false">106689/100</f>
        <v>1066.89</v>
      </c>
      <c r="Y4162" s="28" t="n">
        <v>53344</v>
      </c>
      <c r="Z4162" s="28"/>
      <c r="AA4162" s="28" t="n">
        <f aca="false">Z4162*$M4162</f>
        <v>0</v>
      </c>
      <c r="AB4162" s="28"/>
      <c r="AC4162" s="28" t="n">
        <f aca="false">AB4162*$M4162</f>
        <v>0</v>
      </c>
      <c r="AD4162" s="28"/>
      <c r="AE4162" s="28" t="n">
        <f aca="false">AD4162*$M4162</f>
        <v>0</v>
      </c>
      <c r="AF4162" s="28"/>
      <c r="AG4162" s="28" t="n">
        <f aca="false">AF4162*$M4162</f>
        <v>0</v>
      </c>
      <c r="AH4162" s="28"/>
      <c r="AI4162" s="28" t="n">
        <f aca="false">AH4162*$M4162</f>
        <v>0</v>
      </c>
      <c r="AJ4162" s="28"/>
      <c r="AK4162" s="28" t="n">
        <f aca="false">AJ4162*$M4162</f>
        <v>0</v>
      </c>
      <c r="AL4162" s="28"/>
      <c r="AM4162" s="28" t="n">
        <f aca="false">AL4162*$M4162</f>
        <v>0</v>
      </c>
      <c r="AN4162" s="28"/>
      <c r="AO4162" s="28" t="n">
        <f aca="false">AN4162*$M4162</f>
        <v>0</v>
      </c>
      <c r="AP4162" s="28"/>
      <c r="AQ4162" s="28" t="n">
        <f aca="false">AP4162*$M4162</f>
        <v>0</v>
      </c>
      <c r="AR4162" s="28"/>
      <c r="AS4162" s="28" t="n">
        <f aca="false">AR4162*$M4162</f>
        <v>0</v>
      </c>
      <c r="AT4162" s="28"/>
      <c r="AU4162" s="28" t="n">
        <f aca="false">AT4162*$M4162</f>
        <v>0</v>
      </c>
      <c r="AV4162" s="28"/>
      <c r="AW4162" s="28" t="n">
        <f aca="false">AV4162*$M4162</f>
        <v>0</v>
      </c>
      <c r="AX4162" s="28"/>
      <c r="AY4162" s="28" t="n">
        <f aca="false">AX4162*$M4162</f>
        <v>0</v>
      </c>
      <c r="AZ4162" s="30" t="n">
        <f aca="false">398078/100</f>
        <v>3980.78</v>
      </c>
      <c r="BA4162" s="11" t="n">
        <v>199037</v>
      </c>
      <c r="BB4162" s="31" t="n">
        <f aca="false">SUM(Q4162,S4162,U4162,W4162,Y4162,AA4162,AC4162,AE4162,AG4162,AI4162,AK4162,AM4162,AO4162,AQ4162,AS4162,AU4162,AW4162,AY4162)</f>
        <v>199037</v>
      </c>
      <c r="BC4162" s="28" t="n">
        <f aca="false">BA4162-BB4162</f>
        <v>0</v>
      </c>
      <c r="BD4162" s="32" t="n">
        <f aca="false">SUM(P4162,R4162,T4162,V4162,X4162,Z4162,AB4162,AD4162,AF4162,AH4162,AJ4162,AL4162,AN4162,AP4162,AR4162,AT4162,AV4162,AX4162)</f>
        <v>3980.78</v>
      </c>
      <c r="BE4162" s="33" t="n">
        <f aca="false">AZ4162-BD4162</f>
        <v>0</v>
      </c>
      <c r="BF4162" s="34" t="n">
        <f aca="false">BD4162*M4162</f>
        <v>199039</v>
      </c>
      <c r="BG4162" s="35" t="n">
        <f aca="false">BA4162-BF4162</f>
        <v>-2</v>
      </c>
      <c r="BH4162" s="19" t="str">
        <f aca="false">IF(BG4162=0,"",IF(BG4162&lt;&gt;BA4162,"erreur de calcul",IF(BD4162&lt;&gt;0,"pas de prix",IF(M4162&lt;&gt; 0,"pas de quantité","pas de prix, ni de quantité"))))</f>
        <v>erreur de calcul</v>
      </c>
      <c r="BI4162" s="19"/>
    </row>
    <row r="4163" customFormat="false" ht="15" hidden="false" customHeight="false" outlineLevel="0" collapsed="false">
      <c r="A4163" s="0" t="n">
        <v>12</v>
      </c>
      <c r="B4163" s="8" t="s">
        <v>24</v>
      </c>
      <c r="C4163" s="9" t="s">
        <v>25</v>
      </c>
      <c r="D4163" s="9" t="s">
        <v>26</v>
      </c>
      <c r="E4163" s="10" t="n">
        <v>1789</v>
      </c>
      <c r="F4163" s="9" t="s">
        <v>27</v>
      </c>
      <c r="G4163" s="9" t="s">
        <v>27</v>
      </c>
      <c r="H4163" s="11" t="n">
        <v>26</v>
      </c>
      <c r="I4163" s="11" t="s">
        <v>384</v>
      </c>
      <c r="J4163" s="14" t="n">
        <v>27</v>
      </c>
      <c r="K4163" s="14"/>
      <c r="L4163" s="16"/>
      <c r="M4163" s="27" t="n">
        <f aca="false">J4163+(K4163/20)+(L4163/240)</f>
        <v>27</v>
      </c>
      <c r="N4163" s="17" t="s">
        <v>64</v>
      </c>
      <c r="O4163" s="11"/>
      <c r="P4163" s="28"/>
      <c r="Q4163" s="28" t="n">
        <f aca="false">P4163*$M4163</f>
        <v>0</v>
      </c>
      <c r="R4163" s="28"/>
      <c r="S4163" s="28" t="n">
        <f aca="false">R4163*$M4163</f>
        <v>0</v>
      </c>
      <c r="T4163" s="28"/>
      <c r="U4163" s="28" t="n">
        <f aca="false">T4163*$M4163</f>
        <v>0</v>
      </c>
      <c r="V4163" s="28"/>
      <c r="W4163" s="28" t="n">
        <f aca="false">V4163*$M4163</f>
        <v>0</v>
      </c>
      <c r="X4163" s="28" t="n">
        <f aca="false">13334/100</f>
        <v>133.34</v>
      </c>
      <c r="Y4163" s="28" t="n">
        <v>3600</v>
      </c>
      <c r="Z4163" s="28"/>
      <c r="AA4163" s="28" t="n">
        <f aca="false">Z4163*$M4163</f>
        <v>0</v>
      </c>
      <c r="AB4163" s="28"/>
      <c r="AC4163" s="28" t="n">
        <f aca="false">AB4163*$M4163</f>
        <v>0</v>
      </c>
      <c r="AD4163" s="28"/>
      <c r="AE4163" s="28" t="n">
        <f aca="false">AD4163*$M4163</f>
        <v>0</v>
      </c>
      <c r="AF4163" s="28"/>
      <c r="AG4163" s="28" t="n">
        <f aca="false">AF4163*$M4163</f>
        <v>0</v>
      </c>
      <c r="AH4163" s="28"/>
      <c r="AI4163" s="28" t="n">
        <f aca="false">AH4163*$M4163</f>
        <v>0</v>
      </c>
      <c r="AJ4163" s="28"/>
      <c r="AK4163" s="28" t="n">
        <f aca="false">AJ4163*$M4163</f>
        <v>0</v>
      </c>
      <c r="AL4163" s="28"/>
      <c r="AM4163" s="28" t="n">
        <f aca="false">AL4163*$M4163</f>
        <v>0</v>
      </c>
      <c r="AN4163" s="28"/>
      <c r="AO4163" s="28" t="n">
        <f aca="false">AN4163*$M4163</f>
        <v>0</v>
      </c>
      <c r="AP4163" s="28"/>
      <c r="AQ4163" s="28" t="n">
        <f aca="false">AP4163*$M4163</f>
        <v>0</v>
      </c>
      <c r="AR4163" s="28"/>
      <c r="AS4163" s="28" t="n">
        <f aca="false">AR4163*$M4163</f>
        <v>0</v>
      </c>
      <c r="AT4163" s="28"/>
      <c r="AU4163" s="28" t="n">
        <f aca="false">AT4163*$M4163</f>
        <v>0</v>
      </c>
      <c r="AV4163" s="28"/>
      <c r="AW4163" s="28" t="n">
        <f aca="false">AV4163*$M4163</f>
        <v>0</v>
      </c>
      <c r="AX4163" s="28"/>
      <c r="AY4163" s="28" t="n">
        <f aca="false">AX4163*$M4163</f>
        <v>0</v>
      </c>
      <c r="AZ4163" s="30" t="n">
        <f aca="false">13334/100</f>
        <v>133.34</v>
      </c>
      <c r="BA4163" s="11" t="n">
        <v>3600</v>
      </c>
      <c r="BB4163" s="31" t="n">
        <f aca="false">SUM(Q4163,S4163,U4163,W4163,Y4163,AA4163,AC4163,AE4163,AG4163,AI4163,AK4163,AM4163,AO4163,AQ4163,AS4163,AU4163,AW4163,AY4163)</f>
        <v>3600</v>
      </c>
      <c r="BC4163" s="28" t="n">
        <f aca="false">BA4163-BB4163</f>
        <v>0</v>
      </c>
      <c r="BD4163" s="32" t="n">
        <f aca="false">SUM(P4163,R4163,T4163,V4163,X4163,Z4163,AB4163,AD4163,AF4163,AH4163,AJ4163,AL4163,AN4163,AP4163,AR4163,AT4163,AV4163,AX4163)</f>
        <v>133.34</v>
      </c>
      <c r="BE4163" s="33" t="n">
        <f aca="false">AZ4163-BD4163</f>
        <v>0</v>
      </c>
      <c r="BF4163" s="34" t="n">
        <f aca="false">BD4163*M4163</f>
        <v>3600.18</v>
      </c>
      <c r="BG4163" s="35" t="n">
        <f aca="false">BA4163-BF4163</f>
        <v>-0.180000000000291</v>
      </c>
      <c r="BH4163" s="19" t="str">
        <f aca="false">IF(BG4163=0,"",IF(BG4163&lt;&gt;BA4163,"erreur de calcul",IF(BD4163&lt;&gt;0,"pas de prix",IF(M4163&lt;&gt; 0,"pas de quantité","pas de prix, ni de quantité"))))</f>
        <v>erreur de calcul</v>
      </c>
      <c r="BI4163" s="19"/>
    </row>
    <row r="4164" customFormat="false" ht="15" hidden="false" customHeight="false" outlineLevel="0" collapsed="false">
      <c r="A4164" s="0" t="n">
        <v>13</v>
      </c>
      <c r="B4164" s="8" t="s">
        <v>24</v>
      </c>
      <c r="C4164" s="9" t="s">
        <v>25</v>
      </c>
      <c r="D4164" s="9" t="s">
        <v>26</v>
      </c>
      <c r="E4164" s="10" t="n">
        <v>1789</v>
      </c>
      <c r="F4164" s="9" t="s">
        <v>27</v>
      </c>
      <c r="G4164" s="9" t="s">
        <v>27</v>
      </c>
      <c r="H4164" s="11" t="n">
        <v>26</v>
      </c>
      <c r="I4164" s="11" t="s">
        <v>385</v>
      </c>
      <c r="J4164" s="14" t="n">
        <v>40</v>
      </c>
      <c r="K4164" s="14"/>
      <c r="L4164" s="16"/>
      <c r="M4164" s="27" t="n">
        <f aca="false">J4164+(K4164/20)+(L4164/240)</f>
        <v>40</v>
      </c>
      <c r="N4164" s="17" t="s">
        <v>64</v>
      </c>
      <c r="O4164" s="11"/>
      <c r="P4164" s="28"/>
      <c r="Q4164" s="28" t="n">
        <f aca="false">P4164*$M4164</f>
        <v>0</v>
      </c>
      <c r="R4164" s="28"/>
      <c r="S4164" s="28" t="n">
        <f aca="false">R4164*$M4164</f>
        <v>0</v>
      </c>
      <c r="T4164" s="28" t="n">
        <f aca="false">13801/100</f>
        <v>138.01</v>
      </c>
      <c r="U4164" s="28" t="n">
        <v>5520</v>
      </c>
      <c r="V4164" s="28"/>
      <c r="W4164" s="28" t="n">
        <f aca="false">V4164*$M4164</f>
        <v>0</v>
      </c>
      <c r="X4164" s="28"/>
      <c r="Y4164" s="28" t="n">
        <f aca="false">X4164*$M4164</f>
        <v>0</v>
      </c>
      <c r="Z4164" s="28"/>
      <c r="AA4164" s="28" t="n">
        <f aca="false">Z4164*$M4164</f>
        <v>0</v>
      </c>
      <c r="AB4164" s="28"/>
      <c r="AC4164" s="28" t="n">
        <f aca="false">AB4164*$M4164</f>
        <v>0</v>
      </c>
      <c r="AD4164" s="28"/>
      <c r="AE4164" s="28" t="n">
        <f aca="false">AD4164*$M4164</f>
        <v>0</v>
      </c>
      <c r="AF4164" s="28"/>
      <c r="AG4164" s="28" t="n">
        <f aca="false">AF4164*$M4164</f>
        <v>0</v>
      </c>
      <c r="AH4164" s="28"/>
      <c r="AI4164" s="28" t="n">
        <f aca="false">AH4164*$M4164</f>
        <v>0</v>
      </c>
      <c r="AJ4164" s="28"/>
      <c r="AK4164" s="28" t="n">
        <f aca="false">AJ4164*$M4164</f>
        <v>0</v>
      </c>
      <c r="AL4164" s="28"/>
      <c r="AM4164" s="28" t="n">
        <f aca="false">AL4164*$M4164</f>
        <v>0</v>
      </c>
      <c r="AN4164" s="28"/>
      <c r="AO4164" s="28" t="n">
        <f aca="false">AN4164*$M4164</f>
        <v>0</v>
      </c>
      <c r="AP4164" s="28"/>
      <c r="AQ4164" s="28" t="n">
        <f aca="false">AP4164*$M4164</f>
        <v>0</v>
      </c>
      <c r="AR4164" s="28"/>
      <c r="AS4164" s="28" t="n">
        <f aca="false">AR4164*$M4164</f>
        <v>0</v>
      </c>
      <c r="AT4164" s="28"/>
      <c r="AU4164" s="28" t="n">
        <f aca="false">AT4164*$M4164</f>
        <v>0</v>
      </c>
      <c r="AV4164" s="28"/>
      <c r="AW4164" s="28" t="n">
        <f aca="false">AV4164*$M4164</f>
        <v>0</v>
      </c>
      <c r="AX4164" s="28"/>
      <c r="AY4164" s="28" t="n">
        <f aca="false">AX4164*$M4164</f>
        <v>0</v>
      </c>
      <c r="AZ4164" s="30" t="n">
        <f aca="false">13801/100</f>
        <v>138.01</v>
      </c>
      <c r="BA4164" s="11" t="n">
        <v>5520</v>
      </c>
      <c r="BB4164" s="31" t="n">
        <f aca="false">SUM(Q4164,S4164,U4164,W4164,Y4164,AA4164,AC4164,AE4164,AG4164,AI4164,AK4164,AM4164,AO4164,AQ4164,AS4164,AU4164,AW4164,AY4164)</f>
        <v>5520</v>
      </c>
      <c r="BC4164" s="28" t="n">
        <f aca="false">BA4164-BB4164</f>
        <v>0</v>
      </c>
      <c r="BD4164" s="32" t="n">
        <f aca="false">SUM(P4164,R4164,T4164,V4164,X4164,Z4164,AB4164,AD4164,AF4164,AH4164,AJ4164,AL4164,AN4164,AP4164,AR4164,AT4164,AV4164,AX4164)</f>
        <v>138.01</v>
      </c>
      <c r="BE4164" s="33" t="n">
        <f aca="false">AZ4164-BD4164</f>
        <v>0</v>
      </c>
      <c r="BF4164" s="34" t="n">
        <f aca="false">BD4164*M4164</f>
        <v>5520.4</v>
      </c>
      <c r="BG4164" s="35" t="n">
        <f aca="false">BA4164-BF4164</f>
        <v>-0.399999999999636</v>
      </c>
      <c r="BH4164" s="19" t="str">
        <f aca="false">IF(BG4164=0,"",IF(BG4164&lt;&gt;BA4164,"erreur de calcul",IF(BD4164&lt;&gt;0,"pas de prix",IF(M4164&lt;&gt; 0,"pas de quantité","pas de prix, ni de quantité"))))</f>
        <v>erreur de calcul</v>
      </c>
      <c r="BI4164" s="19"/>
    </row>
    <row r="4165" customFormat="false" ht="15" hidden="false" customHeight="false" outlineLevel="0" collapsed="false">
      <c r="A4165" s="0" t="n">
        <v>14</v>
      </c>
      <c r="B4165" s="8" t="s">
        <v>24</v>
      </c>
      <c r="C4165" s="9" t="s">
        <v>25</v>
      </c>
      <c r="D4165" s="9" t="s">
        <v>26</v>
      </c>
      <c r="E4165" s="10" t="n">
        <v>1789</v>
      </c>
      <c r="F4165" s="9" t="s">
        <v>27</v>
      </c>
      <c r="G4165" s="9" t="s">
        <v>27</v>
      </c>
      <c r="H4165" s="11" t="n">
        <v>26</v>
      </c>
      <c r="I4165" s="11" t="s">
        <v>386</v>
      </c>
      <c r="J4165" s="14" t="n">
        <v>10</v>
      </c>
      <c r="K4165" s="14"/>
      <c r="L4165" s="16"/>
      <c r="M4165" s="27" t="n">
        <f aca="false">J4165+(K4165/20)+(L4165/240)</f>
        <v>10</v>
      </c>
      <c r="N4165" s="17" t="s">
        <v>387</v>
      </c>
      <c r="O4165" s="11" t="s">
        <v>77</v>
      </c>
      <c r="P4165" s="28" t="n">
        <v>30740</v>
      </c>
      <c r="Q4165" s="28" t="n">
        <v>307400</v>
      </c>
      <c r="R4165" s="28"/>
      <c r="S4165" s="28" t="n">
        <f aca="false">R4165*$M4165</f>
        <v>0</v>
      </c>
      <c r="T4165" s="28" t="n">
        <v>1357</v>
      </c>
      <c r="U4165" s="28" t="n">
        <v>13570</v>
      </c>
      <c r="V4165" s="28" t="n">
        <v>115</v>
      </c>
      <c r="W4165" s="28" t="n">
        <v>1150</v>
      </c>
      <c r="X4165" s="28"/>
      <c r="Y4165" s="28" t="n">
        <f aca="false">X4165*$M4165</f>
        <v>0</v>
      </c>
      <c r="Z4165" s="28"/>
      <c r="AA4165" s="28" t="n">
        <f aca="false">Z4165*$M4165</f>
        <v>0</v>
      </c>
      <c r="AB4165" s="28"/>
      <c r="AC4165" s="28" t="n">
        <f aca="false">AB4165*$M4165</f>
        <v>0</v>
      </c>
      <c r="AD4165" s="28"/>
      <c r="AE4165" s="28" t="n">
        <f aca="false">AD4165*$M4165</f>
        <v>0</v>
      </c>
      <c r="AF4165" s="28"/>
      <c r="AG4165" s="28" t="n">
        <f aca="false">AF4165*$M4165</f>
        <v>0</v>
      </c>
      <c r="AH4165" s="28"/>
      <c r="AI4165" s="28" t="n">
        <f aca="false">AH4165*$M4165</f>
        <v>0</v>
      </c>
      <c r="AJ4165" s="28"/>
      <c r="AK4165" s="28" t="n">
        <f aca="false">AJ4165*$M4165</f>
        <v>0</v>
      </c>
      <c r="AL4165" s="28"/>
      <c r="AM4165" s="28" t="n">
        <f aca="false">AL4165*$M4165</f>
        <v>0</v>
      </c>
      <c r="AN4165" s="28"/>
      <c r="AO4165" s="28" t="n">
        <f aca="false">AN4165*$M4165</f>
        <v>0</v>
      </c>
      <c r="AP4165" s="28"/>
      <c r="AQ4165" s="28" t="n">
        <f aca="false">AP4165*$M4165</f>
        <v>0</v>
      </c>
      <c r="AR4165" s="28"/>
      <c r="AS4165" s="28" t="n">
        <f aca="false">AR4165*$M4165</f>
        <v>0</v>
      </c>
      <c r="AT4165" s="28"/>
      <c r="AU4165" s="28" t="n">
        <f aca="false">AT4165*$M4165</f>
        <v>0</v>
      </c>
      <c r="AV4165" s="28"/>
      <c r="AW4165" s="28" t="n">
        <f aca="false">AV4165*$M4165</f>
        <v>0</v>
      </c>
      <c r="AX4165" s="28"/>
      <c r="AY4165" s="28" t="n">
        <f aca="false">AX4165*$M4165</f>
        <v>0</v>
      </c>
      <c r="AZ4165" s="30" t="n">
        <f aca="false">32212/100</f>
        <v>322.12</v>
      </c>
      <c r="BA4165" s="11" t="n">
        <v>322120</v>
      </c>
      <c r="BB4165" s="31" t="n">
        <f aca="false">SUM(Q4165,S4165,U4165,W4165,Y4165,AA4165,AC4165,AE4165,AG4165,AI4165,AK4165,AM4165,AO4165,AQ4165,AS4165,AU4165,AW4165,AY4165)</f>
        <v>322120</v>
      </c>
      <c r="BC4165" s="28" t="n">
        <f aca="false">BA4165-BB4165</f>
        <v>0</v>
      </c>
      <c r="BD4165" s="32" t="n">
        <f aca="false">SUM(P4165,R4165,T4165,V4165,X4165,Z4165,AB4165,AD4165,AF4165,AH4165,AJ4165,AL4165,AN4165,AP4165,AR4165,AT4165,AV4165,AX4165)</f>
        <v>32212</v>
      </c>
      <c r="BE4165" s="33" t="n">
        <f aca="false">AZ4165-BD4165</f>
        <v>-31889.88</v>
      </c>
      <c r="BF4165" s="34" t="n">
        <f aca="false">BD4165*M4165</f>
        <v>322120</v>
      </c>
      <c r="BG4165" s="35" t="n">
        <f aca="false">BA4165-BF4165</f>
        <v>0</v>
      </c>
      <c r="BH4165" s="19" t="str">
        <f aca="false">IF(BG4165=0,"",IF(BG4165&lt;&gt;BA4165,"erreur de calcul",IF(BD4165&lt;&gt;0,"pas de prix",IF(M4165&lt;&gt; 0,"pas de quantité","pas de prix, ni de quantité"))))</f>
        <v/>
      </c>
      <c r="BI4165" s="19"/>
    </row>
    <row r="4166" customFormat="false" ht="15" hidden="false" customHeight="false" outlineLevel="0" collapsed="false">
      <c r="A4166" s="0" t="n">
        <v>15</v>
      </c>
      <c r="B4166" s="8" t="s">
        <v>24</v>
      </c>
      <c r="C4166" s="9" t="s">
        <v>25</v>
      </c>
      <c r="D4166" s="9" t="s">
        <v>26</v>
      </c>
      <c r="E4166" s="10" t="n">
        <v>1789</v>
      </c>
      <c r="F4166" s="9" t="s">
        <v>27</v>
      </c>
      <c r="G4166" s="9" t="s">
        <v>27</v>
      </c>
      <c r="H4166" s="11" t="n">
        <v>26</v>
      </c>
      <c r="I4166" s="11" t="s">
        <v>385</v>
      </c>
      <c r="J4166" s="14" t="n">
        <v>60</v>
      </c>
      <c r="K4166" s="14"/>
      <c r="L4166" s="16"/>
      <c r="M4166" s="27" t="n">
        <f aca="false">J4166+(K4166/20)+(L4166/240)</f>
        <v>60</v>
      </c>
      <c r="N4166" s="17" t="s">
        <v>64</v>
      </c>
      <c r="O4166" s="11"/>
      <c r="P4166" s="28"/>
      <c r="Q4166" s="28" t="n">
        <f aca="false">P4166*$M4166</f>
        <v>0</v>
      </c>
      <c r="R4166" s="28"/>
      <c r="S4166" s="28" t="n">
        <f aca="false">R4166*$M4166</f>
        <v>0</v>
      </c>
      <c r="T4166" s="28" t="n">
        <f aca="false">204759/100</f>
        <v>2047.59</v>
      </c>
      <c r="U4166" s="28" t="n">
        <v>122855</v>
      </c>
      <c r="V4166" s="28"/>
      <c r="W4166" s="28" t="n">
        <f aca="false">V4166*$M4166</f>
        <v>0</v>
      </c>
      <c r="X4166" s="28"/>
      <c r="Y4166" s="28" t="n">
        <f aca="false">X4166*$M4166</f>
        <v>0</v>
      </c>
      <c r="Z4166" s="28"/>
      <c r="AA4166" s="28" t="n">
        <f aca="false">Z4166*$M4166</f>
        <v>0</v>
      </c>
      <c r="AB4166" s="28"/>
      <c r="AC4166" s="28" t="n">
        <f aca="false">AB4166*$M4166</f>
        <v>0</v>
      </c>
      <c r="AD4166" s="28"/>
      <c r="AE4166" s="28" t="n">
        <f aca="false">AD4166*$M4166</f>
        <v>0</v>
      </c>
      <c r="AF4166" s="28"/>
      <c r="AG4166" s="28" t="n">
        <f aca="false">AF4166*$M4166</f>
        <v>0</v>
      </c>
      <c r="AH4166" s="28"/>
      <c r="AI4166" s="28" t="n">
        <f aca="false">AH4166*$M4166</f>
        <v>0</v>
      </c>
      <c r="AJ4166" s="28"/>
      <c r="AK4166" s="28" t="n">
        <f aca="false">AJ4166*$M4166</f>
        <v>0</v>
      </c>
      <c r="AL4166" s="28"/>
      <c r="AM4166" s="28" t="n">
        <f aca="false">AL4166*$M4166</f>
        <v>0</v>
      </c>
      <c r="AN4166" s="28"/>
      <c r="AO4166" s="28" t="n">
        <f aca="false">AN4166*$M4166</f>
        <v>0</v>
      </c>
      <c r="AP4166" s="28"/>
      <c r="AQ4166" s="28" t="n">
        <f aca="false">AP4166*$M4166</f>
        <v>0</v>
      </c>
      <c r="AR4166" s="28"/>
      <c r="AS4166" s="28" t="n">
        <f aca="false">AR4166*$M4166</f>
        <v>0</v>
      </c>
      <c r="AT4166" s="28"/>
      <c r="AU4166" s="28" t="n">
        <f aca="false">AT4166*$M4166</f>
        <v>0</v>
      </c>
      <c r="AV4166" s="28"/>
      <c r="AW4166" s="28" t="n">
        <f aca="false">AV4166*$M4166</f>
        <v>0</v>
      </c>
      <c r="AX4166" s="28"/>
      <c r="AY4166" s="28" t="n">
        <f aca="false">AX4166*$M4166</f>
        <v>0</v>
      </c>
      <c r="AZ4166" s="30" t="n">
        <f aca="false">204759/100</f>
        <v>2047.59</v>
      </c>
      <c r="BA4166" s="11" t="n">
        <v>122855</v>
      </c>
      <c r="BB4166" s="31" t="n">
        <f aca="false">SUM(Q4166,S4166,U4166,W4166,Y4166,AA4166,AC4166,AE4166,AG4166,AI4166,AK4166,AM4166,AO4166,AQ4166,AS4166,AU4166,AW4166,AY4166)</f>
        <v>122855</v>
      </c>
      <c r="BC4166" s="28" t="n">
        <f aca="false">BA4166-BB4166</f>
        <v>0</v>
      </c>
      <c r="BD4166" s="32" t="n">
        <f aca="false">SUM(P4166,R4166,T4166,V4166,X4166,Z4166,AB4166,AD4166,AF4166,AH4166,AJ4166,AL4166,AN4166,AP4166,AR4166,AT4166,AV4166,AX4166)</f>
        <v>2047.59</v>
      </c>
      <c r="BE4166" s="33" t="n">
        <f aca="false">AZ4166-BD4166</f>
        <v>0</v>
      </c>
      <c r="BF4166" s="34" t="n">
        <f aca="false">BD4166*M4166</f>
        <v>122855.4</v>
      </c>
      <c r="BG4166" s="35" t="n">
        <f aca="false">BA4166-BF4166</f>
        <v>-0.399999999994179</v>
      </c>
      <c r="BH4166" s="19" t="str">
        <f aca="false">IF(BG4166=0,"",IF(BG4166&lt;&gt;BA4166,"erreur de calcul",IF(BD4166&lt;&gt;0,"pas de prix",IF(M4166&lt;&gt; 0,"pas de quantité","pas de prix, ni de quantité"))))</f>
        <v>erreur de calcul</v>
      </c>
      <c r="BI4166" s="19"/>
    </row>
    <row r="4167" customFormat="false" ht="15" hidden="false" customHeight="false" outlineLevel="0" collapsed="false">
      <c r="A4167" s="0" t="n">
        <v>16</v>
      </c>
      <c r="B4167" s="8" t="s">
        <v>24</v>
      </c>
      <c r="C4167" s="9" t="s">
        <v>25</v>
      </c>
      <c r="D4167" s="9" t="s">
        <v>26</v>
      </c>
      <c r="E4167" s="10" t="n">
        <v>1789</v>
      </c>
      <c r="F4167" s="9" t="s">
        <v>27</v>
      </c>
      <c r="G4167" s="9" t="s">
        <v>27</v>
      </c>
      <c r="H4167" s="11" t="n">
        <v>26</v>
      </c>
      <c r="I4167" s="11" t="s">
        <v>388</v>
      </c>
      <c r="J4167" s="14" t="n">
        <v>4</v>
      </c>
      <c r="K4167" s="14" t="n">
        <v>10</v>
      </c>
      <c r="L4167" s="16"/>
      <c r="M4167" s="27" t="n">
        <f aca="false">J4167+(K4167/20)+(L4167/240)</f>
        <v>4.5</v>
      </c>
      <c r="N4167" s="17" t="s">
        <v>66</v>
      </c>
      <c r="O4167" s="11"/>
      <c r="P4167" s="28" t="n">
        <v>20973</v>
      </c>
      <c r="Q4167" s="28" t="n">
        <v>94378</v>
      </c>
      <c r="R4167" s="28"/>
      <c r="S4167" s="28" t="n">
        <f aca="false">R4167*$M4167</f>
        <v>0</v>
      </c>
      <c r="T4167" s="28"/>
      <c r="U4167" s="28" t="n">
        <f aca="false">T4167*$M4167</f>
        <v>0</v>
      </c>
      <c r="V4167" s="28"/>
      <c r="W4167" s="28" t="n">
        <f aca="false">V4167*$M4167</f>
        <v>0</v>
      </c>
      <c r="X4167" s="28"/>
      <c r="Y4167" s="28" t="n">
        <f aca="false">X4167*$M4167</f>
        <v>0</v>
      </c>
      <c r="Z4167" s="28"/>
      <c r="AA4167" s="28" t="n">
        <f aca="false">Z4167*$M4167</f>
        <v>0</v>
      </c>
      <c r="AB4167" s="28"/>
      <c r="AC4167" s="28" t="n">
        <f aca="false">AB4167*$M4167</f>
        <v>0</v>
      </c>
      <c r="AD4167" s="28"/>
      <c r="AE4167" s="28" t="n">
        <f aca="false">AD4167*$M4167</f>
        <v>0</v>
      </c>
      <c r="AF4167" s="28"/>
      <c r="AG4167" s="28" t="n">
        <f aca="false">AF4167*$M4167</f>
        <v>0</v>
      </c>
      <c r="AH4167" s="28"/>
      <c r="AI4167" s="28" t="n">
        <f aca="false">AH4167*$M4167</f>
        <v>0</v>
      </c>
      <c r="AJ4167" s="28"/>
      <c r="AK4167" s="28" t="n">
        <f aca="false">AJ4167*$M4167</f>
        <v>0</v>
      </c>
      <c r="AL4167" s="28"/>
      <c r="AM4167" s="28" t="n">
        <f aca="false">AL4167*$M4167</f>
        <v>0</v>
      </c>
      <c r="AN4167" s="28"/>
      <c r="AO4167" s="28" t="n">
        <f aca="false">AN4167*$M4167</f>
        <v>0</v>
      </c>
      <c r="AP4167" s="28"/>
      <c r="AQ4167" s="28" t="n">
        <f aca="false">AP4167*$M4167</f>
        <v>0</v>
      </c>
      <c r="AR4167" s="28"/>
      <c r="AS4167" s="28" t="n">
        <f aca="false">AR4167*$M4167</f>
        <v>0</v>
      </c>
      <c r="AT4167" s="28"/>
      <c r="AU4167" s="28" t="n">
        <f aca="false">AT4167*$M4167</f>
        <v>0</v>
      </c>
      <c r="AV4167" s="28"/>
      <c r="AW4167" s="28" t="n">
        <f aca="false">AV4167*$M4167</f>
        <v>0</v>
      </c>
      <c r="AX4167" s="28"/>
      <c r="AY4167" s="28" t="n">
        <f aca="false">AX4167*$M4167</f>
        <v>0</v>
      </c>
      <c r="AZ4167" s="30" t="n">
        <v>20973</v>
      </c>
      <c r="BA4167" s="11" t="n">
        <v>94378</v>
      </c>
      <c r="BB4167" s="31" t="n">
        <f aca="false">SUM(Q4167,S4167,U4167,W4167,Y4167,AA4167,AC4167,AE4167,AG4167,AI4167,AK4167,AM4167,AO4167,AQ4167,AS4167,AU4167,AW4167,AY4167)</f>
        <v>94378</v>
      </c>
      <c r="BC4167" s="28" t="n">
        <f aca="false">BA4167-BB4167</f>
        <v>0</v>
      </c>
      <c r="BD4167" s="32" t="n">
        <f aca="false">SUM(P4167,R4167,T4167,V4167,X4167,Z4167,AB4167,AD4167,AF4167,AH4167,AJ4167,AL4167,AN4167,AP4167,AR4167,AT4167,AV4167,AX4167)</f>
        <v>20973</v>
      </c>
      <c r="BE4167" s="33" t="n">
        <f aca="false">AZ4167-BD4167</f>
        <v>0</v>
      </c>
      <c r="BF4167" s="34" t="n">
        <f aca="false">BD4167*M4167</f>
        <v>94378.5</v>
      </c>
      <c r="BG4167" s="35" t="n">
        <f aca="false">BA4167-BF4167</f>
        <v>-0.5</v>
      </c>
      <c r="BH4167" s="19" t="str">
        <f aca="false">IF(BG4167=0,"",IF(BG4167&lt;&gt;BA4167,"erreur de calcul",IF(BD4167&lt;&gt;0,"pas de prix",IF(M4167&lt;&gt; 0,"pas de quantité","pas de prix, ni de quantité"))))</f>
        <v>erreur de calcul</v>
      </c>
      <c r="BI4167" s="19"/>
    </row>
    <row r="4168" customFormat="false" ht="15" hidden="false" customHeight="false" outlineLevel="0" collapsed="false">
      <c r="A4168" s="0" t="n">
        <v>17</v>
      </c>
      <c r="B4168" s="8" t="s">
        <v>24</v>
      </c>
      <c r="C4168" s="9" t="s">
        <v>25</v>
      </c>
      <c r="D4168" s="9" t="s">
        <v>26</v>
      </c>
      <c r="E4168" s="10" t="n">
        <v>1789</v>
      </c>
      <c r="F4168" s="9" t="s">
        <v>27</v>
      </c>
      <c r="G4168" s="9" t="s">
        <v>27</v>
      </c>
      <c r="H4168" s="11" t="n">
        <v>26</v>
      </c>
      <c r="I4168" s="11" t="s">
        <v>389</v>
      </c>
      <c r="J4168" s="14"/>
      <c r="K4168" s="14"/>
      <c r="L4168" s="16"/>
      <c r="M4168" s="27" t="n">
        <f aca="false">J4168+(K4168/20)+(L4168/240)</f>
        <v>0</v>
      </c>
      <c r="N4168" s="17"/>
      <c r="O4168" s="11" t="s">
        <v>277</v>
      </c>
      <c r="P4168" s="28"/>
      <c r="Q4168" s="28" t="n">
        <f aca="false">P4168*$M4168</f>
        <v>0</v>
      </c>
      <c r="R4168" s="28"/>
      <c r="S4168" s="28" t="n">
        <f aca="false">R4168*$M4168</f>
        <v>0</v>
      </c>
      <c r="T4168" s="28"/>
      <c r="U4168" s="28" t="n">
        <v>189</v>
      </c>
      <c r="V4168" s="28"/>
      <c r="W4168" s="28" t="n">
        <v>540</v>
      </c>
      <c r="X4168" s="28"/>
      <c r="Y4168" s="28" t="n">
        <f aca="false">X4168*$M4168</f>
        <v>0</v>
      </c>
      <c r="Z4168" s="28"/>
      <c r="AA4168" s="28" t="n">
        <f aca="false">Z4168*$M4168</f>
        <v>0</v>
      </c>
      <c r="AB4168" s="28"/>
      <c r="AC4168" s="28" t="n">
        <f aca="false">AB4168*$M4168</f>
        <v>0</v>
      </c>
      <c r="AD4168" s="28"/>
      <c r="AE4168" s="28" t="n">
        <f aca="false">AD4168*$M4168</f>
        <v>0</v>
      </c>
      <c r="AF4168" s="28"/>
      <c r="AG4168" s="28" t="n">
        <f aca="false">AF4168*$M4168</f>
        <v>0</v>
      </c>
      <c r="AH4168" s="28"/>
      <c r="AI4168" s="28" t="n">
        <f aca="false">AH4168*$M4168</f>
        <v>0</v>
      </c>
      <c r="AJ4168" s="28"/>
      <c r="AK4168" s="28" t="n">
        <v>317</v>
      </c>
      <c r="AL4168" s="28"/>
      <c r="AM4168" s="28" t="n">
        <f aca="false">AL4168*$M4168</f>
        <v>0</v>
      </c>
      <c r="AN4168" s="28"/>
      <c r="AO4168" s="28" t="n">
        <f aca="false">AN4168*$M4168</f>
        <v>0</v>
      </c>
      <c r="AP4168" s="28"/>
      <c r="AQ4168" s="28" t="n">
        <f aca="false">AP4168*$M4168</f>
        <v>0</v>
      </c>
      <c r="AR4168" s="28"/>
      <c r="AS4168" s="28" t="n">
        <f aca="false">AR4168*$M4168</f>
        <v>0</v>
      </c>
      <c r="AT4168" s="28"/>
      <c r="AU4168" s="28" t="n">
        <f aca="false">AT4168*$M4168</f>
        <v>0</v>
      </c>
      <c r="AV4168" s="28"/>
      <c r="AW4168" s="28" t="n">
        <f aca="false">AV4168*$M4168</f>
        <v>0</v>
      </c>
      <c r="AX4168" s="28"/>
      <c r="AY4168" s="28" t="n">
        <f aca="false">AX4168*$M4168</f>
        <v>0</v>
      </c>
      <c r="AZ4168" s="30"/>
      <c r="BA4168" s="11" t="n">
        <v>1046</v>
      </c>
      <c r="BB4168" s="31" t="n">
        <f aca="false">SUM(Q4168,S4168,U4168,W4168,Y4168,AA4168,AC4168,AE4168,AG4168,AI4168,AK4168,AM4168,AO4168,AQ4168,AS4168,AU4168,AW4168,AY4168)</f>
        <v>1046</v>
      </c>
      <c r="BC4168" s="28" t="n">
        <f aca="false">BA4168-BB4168</f>
        <v>0</v>
      </c>
      <c r="BD4168" s="32" t="n">
        <f aca="false">SUM(P4168,R4168,T4168,V4168,X4168,Z4168,AB4168,AD4168,AF4168,AH4168,AJ4168,AL4168,AN4168,AP4168,AR4168,AT4168,AV4168,AX4168)</f>
        <v>0</v>
      </c>
      <c r="BE4168" s="33" t="n">
        <f aca="false">AZ4168-BD4168</f>
        <v>0</v>
      </c>
      <c r="BF4168" s="34" t="n">
        <f aca="false">BD4168*M4168</f>
        <v>0</v>
      </c>
      <c r="BG4168" s="35" t="n">
        <f aca="false">BA4168-BF4168</f>
        <v>1046</v>
      </c>
      <c r="BH4168" s="19" t="str">
        <f aca="false">IF(BG4168=0,"",IF(BG4168&lt;&gt;BA4168,"erreur de calcul",IF(BD4168&lt;&gt;0,"pas de prix",IF(M4168&lt;&gt; 0,"pas de quantité","pas de prix, ni de quantité"))))</f>
        <v>pas de prix, ni de quantité</v>
      </c>
      <c r="BI4168" s="19"/>
    </row>
    <row r="4169" customFormat="false" ht="15" hidden="false" customHeight="false" outlineLevel="0" collapsed="false">
      <c r="A4169" s="0" t="n">
        <v>18</v>
      </c>
      <c r="B4169" s="8" t="s">
        <v>24</v>
      </c>
      <c r="C4169" s="9" t="s">
        <v>25</v>
      </c>
      <c r="D4169" s="9" t="s">
        <v>26</v>
      </c>
      <c r="E4169" s="10" t="n">
        <v>1789</v>
      </c>
      <c r="F4169" s="9" t="s">
        <v>27</v>
      </c>
      <c r="G4169" s="9" t="s">
        <v>27</v>
      </c>
      <c r="H4169" s="11" t="n">
        <v>26</v>
      </c>
      <c r="I4169" s="11" t="s">
        <v>389</v>
      </c>
      <c r="J4169" s="14" t="n">
        <v>90</v>
      </c>
      <c r="K4169" s="14"/>
      <c r="L4169" s="16"/>
      <c r="M4169" s="27" t="n">
        <f aca="false">J4169+(K4169/20)+(L4169/240)</f>
        <v>90</v>
      </c>
      <c r="N4169" s="17" t="s">
        <v>64</v>
      </c>
      <c r="O4169" s="11"/>
      <c r="P4169" s="28"/>
      <c r="Q4169" s="28" t="n">
        <f aca="false">P4169*$M4169</f>
        <v>0</v>
      </c>
      <c r="R4169" s="28"/>
      <c r="S4169" s="28" t="n">
        <f aca="false">R4169*$M4169</f>
        <v>0</v>
      </c>
      <c r="T4169" s="28"/>
      <c r="U4169" s="28" t="n">
        <f aca="false">T4169*$M4169</f>
        <v>0</v>
      </c>
      <c r="V4169" s="28" t="n">
        <f aca="false">6341/100</f>
        <v>63.41</v>
      </c>
      <c r="W4169" s="28" t="n">
        <v>5707</v>
      </c>
      <c r="X4169" s="28" t="n">
        <f aca="false">10903/100</f>
        <v>109.03</v>
      </c>
      <c r="Y4169" s="28" t="n">
        <v>9813</v>
      </c>
      <c r="Z4169" s="28"/>
      <c r="AA4169" s="28" t="n">
        <f aca="false">Z4169*$M4169</f>
        <v>0</v>
      </c>
      <c r="AB4169" s="28"/>
      <c r="AC4169" s="28" t="n">
        <f aca="false">AB4169*$M4169</f>
        <v>0</v>
      </c>
      <c r="AD4169" s="28"/>
      <c r="AE4169" s="28" t="n">
        <f aca="false">AD4169*$M4169</f>
        <v>0</v>
      </c>
      <c r="AF4169" s="28"/>
      <c r="AG4169" s="28" t="n">
        <f aca="false">AF4169*$M4169</f>
        <v>0</v>
      </c>
      <c r="AH4169" s="28"/>
      <c r="AI4169" s="28" t="n">
        <f aca="false">AH4169*$M4169</f>
        <v>0</v>
      </c>
      <c r="AJ4169" s="28" t="n">
        <f aca="false">127232/100</f>
        <v>1272.32</v>
      </c>
      <c r="AK4169" s="28" t="n">
        <v>114509</v>
      </c>
      <c r="AL4169" s="28" t="n">
        <f aca="false">1835/100</f>
        <v>18.35</v>
      </c>
      <c r="AM4169" s="28" t="n">
        <v>1651</v>
      </c>
      <c r="AN4169" s="28"/>
      <c r="AO4169" s="28" t="n">
        <f aca="false">AN4169*$M4169</f>
        <v>0</v>
      </c>
      <c r="AP4169" s="28"/>
      <c r="AQ4169" s="28" t="n">
        <f aca="false">AP4169*$M4169</f>
        <v>0</v>
      </c>
      <c r="AR4169" s="28"/>
      <c r="AS4169" s="28" t="n">
        <f aca="false">AR4169*$M4169</f>
        <v>0</v>
      </c>
      <c r="AT4169" s="28"/>
      <c r="AU4169" s="28" t="n">
        <f aca="false">AT4169*$M4169</f>
        <v>0</v>
      </c>
      <c r="AV4169" s="28"/>
      <c r="AW4169" s="28" t="n">
        <f aca="false">AV4169*$M4169</f>
        <v>0</v>
      </c>
      <c r="AX4169" s="28"/>
      <c r="AY4169" s="28" t="n">
        <f aca="false">AX4169*$M4169</f>
        <v>0</v>
      </c>
      <c r="AZ4169" s="30" t="n">
        <f aca="false">146311/100</f>
        <v>1463.11</v>
      </c>
      <c r="BA4169" s="11" t="n">
        <v>131680</v>
      </c>
      <c r="BB4169" s="31" t="n">
        <f aca="false">SUM(Q4169,S4169,U4169,W4169,Y4169,AA4169,AC4169,AE4169,AG4169,AI4169,AK4169,AM4169,AO4169,AQ4169,AS4169,AU4169,AW4169,AY4169)</f>
        <v>131680</v>
      </c>
      <c r="BC4169" s="28" t="n">
        <f aca="false">BA4169-BB4169</f>
        <v>0</v>
      </c>
      <c r="BD4169" s="32" t="n">
        <f aca="false">SUM(P4169,R4169,T4169,V4169,X4169,Z4169,AB4169,AD4169,AF4169,AH4169,AJ4169,AL4169,AN4169,AP4169,AR4169,AT4169,AV4169,AX4169)</f>
        <v>1463.11</v>
      </c>
      <c r="BE4169" s="33" t="n">
        <f aca="false">AZ4169-BD4169</f>
        <v>0</v>
      </c>
      <c r="BF4169" s="34" t="n">
        <f aca="false">BD4169*M4169</f>
        <v>131679.9</v>
      </c>
      <c r="BG4169" s="35" t="n">
        <f aca="false">BA4169-BF4169</f>
        <v>0.100000000005821</v>
      </c>
      <c r="BH4169" s="19" t="str">
        <f aca="false">IF(BG4169=0,"",IF(BG4169&lt;&gt;BA4169,"erreur de calcul",IF(BD4169&lt;&gt;0,"pas de prix",IF(M4169&lt;&gt; 0,"pas de quantité","pas de prix, ni de quantité"))))</f>
        <v>erreur de calcul</v>
      </c>
      <c r="BI4169" s="19"/>
    </row>
    <row r="4170" customFormat="false" ht="15" hidden="false" customHeight="false" outlineLevel="0" collapsed="false">
      <c r="A4170" s="0" t="n">
        <v>19</v>
      </c>
      <c r="B4170" s="8" t="s">
        <v>24</v>
      </c>
      <c r="C4170" s="9" t="s">
        <v>25</v>
      </c>
      <c r="D4170" s="9" t="s">
        <v>26</v>
      </c>
      <c r="E4170" s="10" t="n">
        <v>1789</v>
      </c>
      <c r="F4170" s="9" t="s">
        <v>27</v>
      </c>
      <c r="G4170" s="9" t="s">
        <v>27</v>
      </c>
      <c r="H4170" s="11" t="n">
        <v>26</v>
      </c>
      <c r="I4170" s="11" t="s">
        <v>390</v>
      </c>
      <c r="J4170" s="14" t="n">
        <v>25</v>
      </c>
      <c r="K4170" s="14"/>
      <c r="L4170" s="16"/>
      <c r="M4170" s="27" t="n">
        <f aca="false">J4170+(K4170/20)+(L4170/240)</f>
        <v>25</v>
      </c>
      <c r="N4170" s="17" t="s">
        <v>64</v>
      </c>
      <c r="O4170" s="11" t="s">
        <v>277</v>
      </c>
      <c r="P4170" s="28"/>
      <c r="Q4170" s="28" t="n">
        <f aca="false">P4170*$M4170</f>
        <v>0</v>
      </c>
      <c r="R4170" s="28"/>
      <c r="S4170" s="28" t="n">
        <f aca="false">R4170*$M4170</f>
        <v>0</v>
      </c>
      <c r="T4170" s="28"/>
      <c r="U4170" s="28" t="n">
        <f aca="false">T4170*$M4170</f>
        <v>0</v>
      </c>
      <c r="V4170" s="28"/>
      <c r="W4170" s="28" t="n">
        <f aca="false">V4170*$M4170</f>
        <v>0</v>
      </c>
      <c r="X4170" s="28"/>
      <c r="Y4170" s="28" t="n">
        <f aca="false">X4170*$M4170</f>
        <v>0</v>
      </c>
      <c r="Z4170" s="28"/>
      <c r="AA4170" s="28" t="n">
        <f aca="false">Z4170*$M4170</f>
        <v>0</v>
      </c>
      <c r="AB4170" s="28"/>
      <c r="AC4170" s="28" t="n">
        <f aca="false">AB4170*$M4170</f>
        <v>0</v>
      </c>
      <c r="AD4170" s="28"/>
      <c r="AE4170" s="28" t="n">
        <f aca="false">AD4170*$M4170</f>
        <v>0</v>
      </c>
      <c r="AF4170" s="28"/>
      <c r="AG4170" s="28" t="n">
        <f aca="false">AF4170*$M4170</f>
        <v>0</v>
      </c>
      <c r="AH4170" s="28"/>
      <c r="AI4170" s="28" t="n">
        <f aca="false">AH4170*$M4170</f>
        <v>0</v>
      </c>
      <c r="AJ4170" s="28"/>
      <c r="AK4170" s="28" t="n">
        <f aca="false">AJ4170*$M4170</f>
        <v>0</v>
      </c>
      <c r="AL4170" s="28"/>
      <c r="AM4170" s="28" t="n">
        <f aca="false">AL4170*$M4170</f>
        <v>0</v>
      </c>
      <c r="AN4170" s="28"/>
      <c r="AO4170" s="28" t="n">
        <f aca="false">AN4170*$M4170</f>
        <v>0</v>
      </c>
      <c r="AP4170" s="28"/>
      <c r="AQ4170" s="28" t="n">
        <f aca="false">AP4170*$M4170</f>
        <v>0</v>
      </c>
      <c r="AR4170" s="28"/>
      <c r="AS4170" s="28" t="n">
        <f aca="false">AR4170*$M4170</f>
        <v>0</v>
      </c>
      <c r="AT4170" s="28"/>
      <c r="AU4170" s="28" t="n">
        <f aca="false">AT4170*$M4170</f>
        <v>0</v>
      </c>
      <c r="AV4170" s="28"/>
      <c r="AW4170" s="28" t="n">
        <f aca="false">AV4170*$M4170</f>
        <v>0</v>
      </c>
      <c r="AX4170" s="28"/>
      <c r="AY4170" s="28" t="n">
        <f aca="false">AX4170*$M4170</f>
        <v>0</v>
      </c>
      <c r="AZ4170" s="30"/>
      <c r="BA4170" s="11"/>
      <c r="BB4170" s="31" t="n">
        <f aca="false">SUM(Q4170,S4170,U4170,W4170,Y4170,AA4170,AC4170,AE4170,AG4170,AI4170,AK4170,AM4170,AO4170,AQ4170,AS4170,AU4170,AW4170,AY4170)</f>
        <v>0</v>
      </c>
      <c r="BC4170" s="28" t="n">
        <f aca="false">BA4170-BB4170</f>
        <v>0</v>
      </c>
      <c r="BD4170" s="32" t="n">
        <f aca="false">SUM(P4170,R4170,T4170,V4170,X4170,Z4170,AB4170,AD4170,AF4170,AH4170,AJ4170,AL4170,AN4170,AP4170,AR4170,AT4170,AV4170,AX4170)</f>
        <v>0</v>
      </c>
      <c r="BE4170" s="33" t="n">
        <f aca="false">AZ4170-BD4170</f>
        <v>0</v>
      </c>
      <c r="BF4170" s="34" t="n">
        <f aca="false">BD4170*M4170</f>
        <v>0</v>
      </c>
      <c r="BG4170" s="35" t="n">
        <f aca="false">BA4170-BF4170</f>
        <v>0</v>
      </c>
      <c r="BH4170" s="19" t="str">
        <f aca="false">IF(BG4170=0,"",IF(BG4170&lt;&gt;BA4170,"erreur de calcul",IF(BD4170&lt;&gt;0,"pas de prix",IF(M4170&lt;&gt; 0,"pas de quantité","pas de prix, ni de quantité"))))</f>
        <v/>
      </c>
      <c r="BI4170" s="19"/>
    </row>
    <row r="4171" customFormat="false" ht="15" hidden="false" customHeight="false" outlineLevel="0" collapsed="false">
      <c r="A4171" s="0" t="n">
        <v>20</v>
      </c>
      <c r="B4171" s="8" t="s">
        <v>24</v>
      </c>
      <c r="C4171" s="9" t="s">
        <v>25</v>
      </c>
      <c r="D4171" s="9" t="s">
        <v>26</v>
      </c>
      <c r="E4171" s="10" t="n">
        <v>1789</v>
      </c>
      <c r="F4171" s="9" t="s">
        <v>27</v>
      </c>
      <c r="G4171" s="9" t="s">
        <v>27</v>
      </c>
      <c r="H4171" s="11" t="n">
        <v>26</v>
      </c>
      <c r="I4171" s="11" t="s">
        <v>391</v>
      </c>
      <c r="J4171" s="14" t="n">
        <v>35</v>
      </c>
      <c r="K4171" s="14"/>
      <c r="L4171" s="16"/>
      <c r="M4171" s="27" t="n">
        <f aca="false">J4171+(K4171/20)+(L4171/240)</f>
        <v>35</v>
      </c>
      <c r="N4171" s="17" t="s">
        <v>64</v>
      </c>
      <c r="O4171" s="11"/>
      <c r="P4171" s="28"/>
      <c r="Q4171" s="28" t="n">
        <f aca="false">P4171*$M4171</f>
        <v>0</v>
      </c>
      <c r="R4171" s="28"/>
      <c r="S4171" s="28" t="n">
        <f aca="false">R4171*$M4171</f>
        <v>0</v>
      </c>
      <c r="T4171" s="28"/>
      <c r="U4171" s="28" t="n">
        <f aca="false">T4171*$M4171</f>
        <v>0</v>
      </c>
      <c r="V4171" s="28"/>
      <c r="W4171" s="28" t="n">
        <f aca="false">V4171*$M4171</f>
        <v>0</v>
      </c>
      <c r="X4171" s="28"/>
      <c r="Y4171" s="28" t="n">
        <f aca="false">X4171*$M4171</f>
        <v>0</v>
      </c>
      <c r="Z4171" s="28"/>
      <c r="AA4171" s="28" t="n">
        <f aca="false">Z4171*$M4171</f>
        <v>0</v>
      </c>
      <c r="AB4171" s="28"/>
      <c r="AC4171" s="28" t="n">
        <f aca="false">AB4171*$M4171</f>
        <v>0</v>
      </c>
      <c r="AD4171" s="28"/>
      <c r="AE4171" s="28" t="n">
        <f aca="false">AD4171*$M4171</f>
        <v>0</v>
      </c>
      <c r="AF4171" s="28"/>
      <c r="AG4171" s="28" t="n">
        <f aca="false">AF4171*$M4171</f>
        <v>0</v>
      </c>
      <c r="AH4171" s="28"/>
      <c r="AI4171" s="28" t="n">
        <f aca="false">AH4171*$M4171</f>
        <v>0</v>
      </c>
      <c r="AJ4171" s="28" t="n">
        <f aca="false">3950/100</f>
        <v>39.5</v>
      </c>
      <c r="AK4171" s="28" t="n">
        <v>1382</v>
      </c>
      <c r="AL4171" s="28"/>
      <c r="AM4171" s="28" t="n">
        <f aca="false">AL4171*$M4171</f>
        <v>0</v>
      </c>
      <c r="AN4171" s="28"/>
      <c r="AO4171" s="28" t="n">
        <f aca="false">AN4171*$M4171</f>
        <v>0</v>
      </c>
      <c r="AP4171" s="28"/>
      <c r="AQ4171" s="28" t="n">
        <f aca="false">AP4171*$M4171</f>
        <v>0</v>
      </c>
      <c r="AR4171" s="28"/>
      <c r="AS4171" s="28" t="n">
        <f aca="false">AR4171*$M4171</f>
        <v>0</v>
      </c>
      <c r="AT4171" s="28"/>
      <c r="AU4171" s="28" t="n">
        <f aca="false">AT4171*$M4171</f>
        <v>0</v>
      </c>
      <c r="AV4171" s="28"/>
      <c r="AW4171" s="28" t="n">
        <f aca="false">AV4171*$M4171</f>
        <v>0</v>
      </c>
      <c r="AX4171" s="28"/>
      <c r="AY4171" s="28" t="n">
        <f aca="false">AX4171*$M4171</f>
        <v>0</v>
      </c>
      <c r="AZ4171" s="30" t="n">
        <f aca="false">3950/100</f>
        <v>39.5</v>
      </c>
      <c r="BA4171" s="11" t="n">
        <v>1382</v>
      </c>
      <c r="BB4171" s="31" t="n">
        <f aca="false">SUM(Q4171,S4171,U4171,W4171,Y4171,AA4171,AC4171,AE4171,AG4171,AI4171,AK4171,AM4171,AO4171,AQ4171,AS4171,AU4171,AW4171,AY4171)</f>
        <v>1382</v>
      </c>
      <c r="BC4171" s="28" t="n">
        <f aca="false">BA4171-BB4171</f>
        <v>0</v>
      </c>
      <c r="BD4171" s="32" t="n">
        <f aca="false">SUM(P4171,R4171,T4171,V4171,X4171,Z4171,AB4171,AD4171,AF4171,AH4171,AJ4171,AL4171,AN4171,AP4171,AR4171,AT4171,AV4171,AX4171)</f>
        <v>39.5</v>
      </c>
      <c r="BE4171" s="33" t="n">
        <f aca="false">AZ4171-BD4171</f>
        <v>0</v>
      </c>
      <c r="BF4171" s="34" t="n">
        <f aca="false">BD4171*M4171</f>
        <v>1382.5</v>
      </c>
      <c r="BG4171" s="35" t="n">
        <f aca="false">BA4171-BF4171</f>
        <v>-0.5</v>
      </c>
      <c r="BH4171" s="19" t="str">
        <f aca="false">IF(BG4171=0,"",IF(BG4171&lt;&gt;BA4171,"erreur de calcul",IF(BD4171&lt;&gt;0,"pas de prix",IF(M4171&lt;&gt; 0,"pas de quantité","pas de prix, ni de quantité"))))</f>
        <v>erreur de calcul</v>
      </c>
      <c r="BI4171" s="19"/>
    </row>
    <row r="4172" customFormat="false" ht="15" hidden="false" customHeight="false" outlineLevel="0" collapsed="false">
      <c r="A4172" s="0" t="n">
        <v>21</v>
      </c>
      <c r="B4172" s="8" t="s">
        <v>24</v>
      </c>
      <c r="C4172" s="9" t="s">
        <v>25</v>
      </c>
      <c r="D4172" s="9" t="s">
        <v>26</v>
      </c>
      <c r="E4172" s="10" t="n">
        <v>1789</v>
      </c>
      <c r="F4172" s="9" t="s">
        <v>27</v>
      </c>
      <c r="G4172" s="9" t="s">
        <v>27</v>
      </c>
      <c r="H4172" s="11" t="n">
        <v>26</v>
      </c>
      <c r="I4172" s="11" t="s">
        <v>392</v>
      </c>
      <c r="J4172" s="14" t="n">
        <v>60</v>
      </c>
      <c r="K4172" s="14"/>
      <c r="L4172" s="16"/>
      <c r="M4172" s="27" t="n">
        <f aca="false">J4172+(K4172/20)+(L4172/240)</f>
        <v>60</v>
      </c>
      <c r="N4172" s="17" t="s">
        <v>64</v>
      </c>
      <c r="O4172" s="11"/>
      <c r="P4172" s="28"/>
      <c r="Q4172" s="28" t="n">
        <f aca="false">P4172*$M4172</f>
        <v>0</v>
      </c>
      <c r="R4172" s="28"/>
      <c r="S4172" s="28" t="n">
        <f aca="false">R4172*$M4172</f>
        <v>0</v>
      </c>
      <c r="T4172" s="28"/>
      <c r="U4172" s="28" t="n">
        <f aca="false">T4172*$M4172</f>
        <v>0</v>
      </c>
      <c r="V4172" s="28"/>
      <c r="W4172" s="28" t="n">
        <f aca="false">V4172*$M4172</f>
        <v>0</v>
      </c>
      <c r="X4172" s="28" t="n">
        <f aca="false">12306/100</f>
        <v>123.06</v>
      </c>
      <c r="Y4172" s="28" t="n">
        <v>7384</v>
      </c>
      <c r="Z4172" s="28"/>
      <c r="AA4172" s="28" t="n">
        <f aca="false">Z4172*$M4172</f>
        <v>0</v>
      </c>
      <c r="AB4172" s="28"/>
      <c r="AC4172" s="28" t="n">
        <f aca="false">AB4172*$M4172</f>
        <v>0</v>
      </c>
      <c r="AD4172" s="28"/>
      <c r="AE4172" s="28" t="n">
        <f aca="false">AD4172*$M4172</f>
        <v>0</v>
      </c>
      <c r="AF4172" s="28"/>
      <c r="AG4172" s="28" t="n">
        <f aca="false">AF4172*$M4172</f>
        <v>0</v>
      </c>
      <c r="AH4172" s="28"/>
      <c r="AI4172" s="28" t="n">
        <f aca="false">AH4172*$M4172</f>
        <v>0</v>
      </c>
      <c r="AJ4172" s="28" t="n">
        <f aca="false">2557/100</f>
        <v>25.57</v>
      </c>
      <c r="AK4172" s="28" t="n">
        <v>1534</v>
      </c>
      <c r="AL4172" s="28"/>
      <c r="AM4172" s="28" t="n">
        <f aca="false">AL4172*$M4172</f>
        <v>0</v>
      </c>
      <c r="AN4172" s="28"/>
      <c r="AO4172" s="28" t="n">
        <f aca="false">AN4172*$M4172</f>
        <v>0</v>
      </c>
      <c r="AP4172" s="28"/>
      <c r="AQ4172" s="28" t="n">
        <f aca="false">AP4172*$M4172</f>
        <v>0</v>
      </c>
      <c r="AR4172" s="28" t="n">
        <f aca="false">7204/100</f>
        <v>72.04</v>
      </c>
      <c r="AS4172" s="28" t="n">
        <v>4322</v>
      </c>
      <c r="AT4172" s="28"/>
      <c r="AU4172" s="28" t="n">
        <f aca="false">AT4172*$M4172</f>
        <v>0</v>
      </c>
      <c r="AV4172" s="28"/>
      <c r="AW4172" s="28" t="n">
        <f aca="false">AV4172*$M4172</f>
        <v>0</v>
      </c>
      <c r="AX4172" s="28"/>
      <c r="AY4172" s="28" t="n">
        <f aca="false">AX4172*$M4172</f>
        <v>0</v>
      </c>
      <c r="AZ4172" s="30" t="n">
        <f aca="false">22067/100</f>
        <v>220.67</v>
      </c>
      <c r="BA4172" s="11" t="n">
        <v>13240</v>
      </c>
      <c r="BB4172" s="31" t="n">
        <f aca="false">SUM(Q4172,S4172,U4172,W4172,Y4172,AA4172,AC4172,AE4172,AG4172,AI4172,AK4172,AM4172,AO4172,AQ4172,AS4172,AU4172,AW4172,AY4172)</f>
        <v>13240</v>
      </c>
      <c r="BC4172" s="28" t="n">
        <f aca="false">BA4172-BB4172</f>
        <v>0</v>
      </c>
      <c r="BD4172" s="32" t="n">
        <f aca="false">SUM(P4172,R4172,T4172,V4172,X4172,Z4172,AB4172,AD4172,AF4172,AH4172,AJ4172,AL4172,AN4172,AP4172,AR4172,AT4172,AV4172,AX4172)</f>
        <v>220.67</v>
      </c>
      <c r="BE4172" s="33" t="n">
        <f aca="false">AZ4172-BD4172</f>
        <v>0</v>
      </c>
      <c r="BF4172" s="34" t="n">
        <f aca="false">BD4172*M4172</f>
        <v>13240.2</v>
      </c>
      <c r="BG4172" s="35" t="n">
        <f aca="false">BA4172-BF4172</f>
        <v>-0.200000000000728</v>
      </c>
      <c r="BH4172" s="19" t="str">
        <f aca="false">IF(BG4172=0,"",IF(BG4172&lt;&gt;BA4172,"erreur de calcul",IF(BD4172&lt;&gt;0,"pas de prix",IF(M4172&lt;&gt; 0,"pas de quantité","pas de prix, ni de quantité"))))</f>
        <v>erreur de calcul</v>
      </c>
      <c r="BI4172" s="19"/>
    </row>
    <row r="4173" customFormat="false" ht="15" hidden="false" customHeight="false" outlineLevel="0" collapsed="false">
      <c r="A4173" s="0" t="n">
        <v>22</v>
      </c>
      <c r="B4173" s="8" t="s">
        <v>24</v>
      </c>
      <c r="C4173" s="9" t="s">
        <v>25</v>
      </c>
      <c r="D4173" s="9" t="s">
        <v>26</v>
      </c>
      <c r="E4173" s="10" t="n">
        <v>1789</v>
      </c>
      <c r="F4173" s="9" t="s">
        <v>27</v>
      </c>
      <c r="G4173" s="9" t="s">
        <v>27</v>
      </c>
      <c r="H4173" s="11" t="n">
        <v>26</v>
      </c>
      <c r="I4173" s="11" t="s">
        <v>393</v>
      </c>
      <c r="J4173" s="14" t="n">
        <v>120</v>
      </c>
      <c r="K4173" s="14"/>
      <c r="L4173" s="16"/>
      <c r="M4173" s="27" t="n">
        <f aca="false">J4173+(K4173/20)+(L4173/240)</f>
        <v>120</v>
      </c>
      <c r="N4173" s="17" t="s">
        <v>64</v>
      </c>
      <c r="O4173" s="11"/>
      <c r="P4173" s="28"/>
      <c r="Q4173" s="28" t="n">
        <f aca="false">P4173*$M4173</f>
        <v>0</v>
      </c>
      <c r="R4173" s="28"/>
      <c r="S4173" s="28" t="n">
        <f aca="false">R4173*$M4173</f>
        <v>0</v>
      </c>
      <c r="T4173" s="28"/>
      <c r="U4173" s="28" t="n">
        <f aca="false">T4173*$M4173</f>
        <v>0</v>
      </c>
      <c r="V4173" s="28"/>
      <c r="W4173" s="28" t="n">
        <f aca="false">V4173*$M4173</f>
        <v>0</v>
      </c>
      <c r="X4173" s="28"/>
      <c r="Y4173" s="28" t="n">
        <f aca="false">X4173*$M4173</f>
        <v>0</v>
      </c>
      <c r="Z4173" s="28"/>
      <c r="AA4173" s="28" t="n">
        <f aca="false">Z4173*$M4173</f>
        <v>0</v>
      </c>
      <c r="AB4173" s="28"/>
      <c r="AC4173" s="28" t="n">
        <f aca="false">AB4173*$M4173</f>
        <v>0</v>
      </c>
      <c r="AD4173" s="28"/>
      <c r="AE4173" s="28" t="n">
        <f aca="false">AD4173*$M4173</f>
        <v>0</v>
      </c>
      <c r="AF4173" s="28"/>
      <c r="AG4173" s="28" t="n">
        <f aca="false">AF4173*$M4173</f>
        <v>0</v>
      </c>
      <c r="AH4173" s="28" t="n">
        <f aca="false">1810/100</f>
        <v>18.1</v>
      </c>
      <c r="AI4173" s="28" t="n">
        <v>2172</v>
      </c>
      <c r="AJ4173" s="28"/>
      <c r="AK4173" s="28" t="n">
        <f aca="false">AJ4173*$M4173</f>
        <v>0</v>
      </c>
      <c r="AL4173" s="28"/>
      <c r="AM4173" s="28" t="n">
        <f aca="false">AL4173*$M4173</f>
        <v>0</v>
      </c>
      <c r="AN4173" s="28"/>
      <c r="AO4173" s="28" t="n">
        <f aca="false">AN4173*$M4173</f>
        <v>0</v>
      </c>
      <c r="AP4173" s="28"/>
      <c r="AQ4173" s="28" t="n">
        <f aca="false">AP4173*$M4173</f>
        <v>0</v>
      </c>
      <c r="AR4173" s="28"/>
      <c r="AS4173" s="28" t="n">
        <f aca="false">AR4173*$M4173</f>
        <v>0</v>
      </c>
      <c r="AT4173" s="28"/>
      <c r="AU4173" s="28" t="n">
        <f aca="false">AT4173*$M4173</f>
        <v>0</v>
      </c>
      <c r="AV4173" s="28"/>
      <c r="AW4173" s="28" t="n">
        <f aca="false">AV4173*$M4173</f>
        <v>0</v>
      </c>
      <c r="AX4173" s="28"/>
      <c r="AY4173" s="28" t="n">
        <f aca="false">AX4173*$M4173</f>
        <v>0</v>
      </c>
      <c r="AZ4173" s="30" t="n">
        <f aca="false">1810/100</f>
        <v>18.1</v>
      </c>
      <c r="BA4173" s="11" t="n">
        <v>2172</v>
      </c>
      <c r="BB4173" s="31" t="n">
        <f aca="false">SUM(Q4173,S4173,U4173,W4173,Y4173,AA4173,AC4173,AE4173,AG4173,AI4173,AK4173,AM4173,AO4173,AQ4173,AS4173,AU4173,AW4173,AY4173)</f>
        <v>2172</v>
      </c>
      <c r="BC4173" s="28" t="n">
        <f aca="false">BA4173-BB4173</f>
        <v>0</v>
      </c>
      <c r="BD4173" s="32" t="n">
        <f aca="false">SUM(P4173,R4173,T4173,V4173,X4173,Z4173,AB4173,AD4173,AF4173,AH4173,AJ4173,AL4173,AN4173,AP4173,AR4173,AT4173,AV4173,AX4173)</f>
        <v>18.1</v>
      </c>
      <c r="BE4173" s="33" t="n">
        <f aca="false">AZ4173-BD4173</f>
        <v>0</v>
      </c>
      <c r="BF4173" s="34" t="n">
        <f aca="false">BD4173*M4173</f>
        <v>2172</v>
      </c>
      <c r="BG4173" s="35" t="n">
        <f aca="false">BA4173-BF4173</f>
        <v>0</v>
      </c>
      <c r="BH4173" s="19" t="str">
        <f aca="false">IF(BG4173=0,"",IF(BG4173&lt;&gt;BA4173,"erreur de calcul",IF(BD4173&lt;&gt;0,"pas de prix",IF(M4173&lt;&gt; 0,"pas de quantité","pas de prix, ni de quantité"))))</f>
        <v/>
      </c>
      <c r="BI4173" s="19"/>
    </row>
    <row r="4174" customFormat="false" ht="15" hidden="false" customHeight="false" outlineLevel="0" collapsed="false">
      <c r="A4174" s="0" t="n">
        <v>23</v>
      </c>
      <c r="B4174" s="8" t="s">
        <v>24</v>
      </c>
      <c r="C4174" s="9" t="s">
        <v>25</v>
      </c>
      <c r="D4174" s="9" t="s">
        <v>26</v>
      </c>
      <c r="E4174" s="10" t="n">
        <v>1789</v>
      </c>
      <c r="F4174" s="9" t="s">
        <v>27</v>
      </c>
      <c r="G4174" s="9" t="s">
        <v>27</v>
      </c>
      <c r="H4174" s="11" t="n">
        <v>26</v>
      </c>
      <c r="I4174" s="41" t="s">
        <v>394</v>
      </c>
      <c r="J4174" s="14" t="n">
        <v>7</v>
      </c>
      <c r="K4174" s="14"/>
      <c r="L4174" s="16"/>
      <c r="M4174" s="27" t="n">
        <f aca="false">J4174+(K4174/20)+(L4174/240)</f>
        <v>7</v>
      </c>
      <c r="N4174" s="17" t="s">
        <v>64</v>
      </c>
      <c r="O4174" s="11"/>
      <c r="P4174" s="28" t="n">
        <f aca="false">11428/100</f>
        <v>114.28</v>
      </c>
      <c r="Q4174" s="28" t="n">
        <v>800</v>
      </c>
      <c r="R4174" s="28"/>
      <c r="S4174" s="28" t="n">
        <f aca="false">R4174*$M4174</f>
        <v>0</v>
      </c>
      <c r="T4174" s="28" t="n">
        <f aca="false">2084/100</f>
        <v>20.84</v>
      </c>
      <c r="U4174" s="36" t="n">
        <v>246</v>
      </c>
      <c r="V4174" s="28"/>
      <c r="W4174" s="28" t="n">
        <f aca="false">V4174*$M4174</f>
        <v>0</v>
      </c>
      <c r="X4174" s="28"/>
      <c r="Y4174" s="28" t="n">
        <f aca="false">X4174*$M4174</f>
        <v>0</v>
      </c>
      <c r="Z4174" s="28"/>
      <c r="AA4174" s="28" t="n">
        <f aca="false">Z4174*$M4174</f>
        <v>0</v>
      </c>
      <c r="AB4174" s="28"/>
      <c r="AC4174" s="28" t="n">
        <f aca="false">AB4174*$M4174</f>
        <v>0</v>
      </c>
      <c r="AD4174" s="28"/>
      <c r="AE4174" s="28" t="n">
        <f aca="false">AD4174*$M4174</f>
        <v>0</v>
      </c>
      <c r="AF4174" s="28" t="n">
        <f aca="false">6709/100</f>
        <v>67.09</v>
      </c>
      <c r="AG4174" s="28" t="n">
        <v>470</v>
      </c>
      <c r="AH4174" s="28"/>
      <c r="AI4174" s="28" t="n">
        <f aca="false">AH4174*$M4174</f>
        <v>0</v>
      </c>
      <c r="AJ4174" s="28"/>
      <c r="AK4174" s="28" t="n">
        <f aca="false">AJ4174*$M4174</f>
        <v>0</v>
      </c>
      <c r="AL4174" s="28"/>
      <c r="AM4174" s="28" t="n">
        <f aca="false">AL4174*$M4174</f>
        <v>0</v>
      </c>
      <c r="AN4174" s="28"/>
      <c r="AO4174" s="28" t="n">
        <f aca="false">AN4174*$M4174</f>
        <v>0</v>
      </c>
      <c r="AP4174" s="28"/>
      <c r="AQ4174" s="28" t="n">
        <f aca="false">AP4174*$M4174</f>
        <v>0</v>
      </c>
      <c r="AR4174" s="28"/>
      <c r="AS4174" s="28" t="n">
        <f aca="false">AR4174*$M4174</f>
        <v>0</v>
      </c>
      <c r="AT4174" s="28"/>
      <c r="AU4174" s="28" t="n">
        <f aca="false">AT4174*$M4174</f>
        <v>0</v>
      </c>
      <c r="AV4174" s="28"/>
      <c r="AW4174" s="28" t="n">
        <f aca="false">AV4174*$M4174</f>
        <v>0</v>
      </c>
      <c r="AX4174" s="28"/>
      <c r="AY4174" s="28" t="n">
        <f aca="false">AX4174*$M4174</f>
        <v>0</v>
      </c>
      <c r="AZ4174" s="30" t="n">
        <f aca="false">20221/100</f>
        <v>202.21</v>
      </c>
      <c r="BA4174" s="11" t="n">
        <v>1516</v>
      </c>
      <c r="BB4174" s="31" t="n">
        <f aca="false">SUM(Q4174,S4174,U4174,W4174,Y4174,AA4174,AC4174,AE4174,AG4174,AI4174,AK4174,AM4174,AO4174,AQ4174,AS4174,AU4174,AW4174,AY4174)</f>
        <v>1516</v>
      </c>
      <c r="BC4174" s="28" t="n">
        <f aca="false">BA4174-BB4174</f>
        <v>0</v>
      </c>
      <c r="BD4174" s="32" t="n">
        <f aca="false">SUM(P4174,R4174,T4174,V4174,X4174,Z4174,AB4174,AD4174,AF4174,AH4174,AJ4174,AL4174,AN4174,AP4174,AR4174,AT4174,AV4174,AX4174)</f>
        <v>202.21</v>
      </c>
      <c r="BE4174" s="33" t="n">
        <f aca="false">AZ4174-BD4174</f>
        <v>0</v>
      </c>
      <c r="BF4174" s="34" t="n">
        <f aca="false">BD4174*M4174</f>
        <v>1415.47</v>
      </c>
      <c r="BG4174" s="35" t="n">
        <f aca="false">BA4174-BF4174</f>
        <v>100.53</v>
      </c>
      <c r="BH4174" s="19" t="str">
        <f aca="false">IF(BG4174=0,"",IF(BG4174&lt;&gt;BA4174,"erreur de calcul",IF(BD4174&lt;&gt;0,"pas de prix",IF(M4174&lt;&gt; 0,"pas de quantité","pas de prix, ni de quantité"))))</f>
        <v>erreur de calcul</v>
      </c>
      <c r="BI4174" s="19"/>
    </row>
    <row r="4175" customFormat="false" ht="15" hidden="false" customHeight="false" outlineLevel="0" collapsed="false">
      <c r="A4175" s="0" t="n">
        <v>24</v>
      </c>
      <c r="B4175" s="8" t="s">
        <v>24</v>
      </c>
      <c r="C4175" s="9" t="s">
        <v>25</v>
      </c>
      <c r="D4175" s="9" t="s">
        <v>26</v>
      </c>
      <c r="E4175" s="10" t="n">
        <v>1789</v>
      </c>
      <c r="F4175" s="9" t="s">
        <v>27</v>
      </c>
      <c r="G4175" s="9" t="s">
        <v>27</v>
      </c>
      <c r="H4175" s="11" t="n">
        <v>26</v>
      </c>
      <c r="I4175" s="11" t="s">
        <v>395</v>
      </c>
      <c r="J4175" s="14" t="n">
        <v>40</v>
      </c>
      <c r="K4175" s="14"/>
      <c r="L4175" s="16"/>
      <c r="M4175" s="27" t="n">
        <f aca="false">J4175+(K4175/20)+(L4175/240)</f>
        <v>40</v>
      </c>
      <c r="N4175" s="17" t="s">
        <v>66</v>
      </c>
      <c r="O4175" s="11"/>
      <c r="P4175" s="28"/>
      <c r="Q4175" s="28" t="n">
        <f aca="false">P4175*$M4175</f>
        <v>0</v>
      </c>
      <c r="R4175" s="28"/>
      <c r="S4175" s="28" t="n">
        <f aca="false">R4175*$M4175</f>
        <v>0</v>
      </c>
      <c r="T4175" s="28" t="n">
        <v>2339</v>
      </c>
      <c r="U4175" s="28" t="n">
        <v>93560</v>
      </c>
      <c r="V4175" s="28" t="n">
        <v>38</v>
      </c>
      <c r="W4175" s="28" t="n">
        <v>1520</v>
      </c>
      <c r="X4175" s="28"/>
      <c r="Y4175" s="28" t="n">
        <f aca="false">X4175*$M4175</f>
        <v>0</v>
      </c>
      <c r="Z4175" s="28"/>
      <c r="AA4175" s="28" t="n">
        <f aca="false">Z4175*$M4175</f>
        <v>0</v>
      </c>
      <c r="AB4175" s="28"/>
      <c r="AC4175" s="28" t="n">
        <f aca="false">AB4175*$M4175</f>
        <v>0</v>
      </c>
      <c r="AD4175" s="28"/>
      <c r="AE4175" s="28" t="n">
        <f aca="false">AD4175*$M4175</f>
        <v>0</v>
      </c>
      <c r="AF4175" s="28"/>
      <c r="AG4175" s="28" t="n">
        <f aca="false">AF4175*$M4175</f>
        <v>0</v>
      </c>
      <c r="AH4175" s="28"/>
      <c r="AI4175" s="28" t="n">
        <f aca="false">AH4175*$M4175</f>
        <v>0</v>
      </c>
      <c r="AJ4175" s="28"/>
      <c r="AK4175" s="28" t="n">
        <f aca="false">AJ4175*$M4175</f>
        <v>0</v>
      </c>
      <c r="AL4175" s="28"/>
      <c r="AM4175" s="28" t="n">
        <f aca="false">AL4175*$M4175</f>
        <v>0</v>
      </c>
      <c r="AN4175" s="28"/>
      <c r="AO4175" s="28" t="n">
        <f aca="false">AN4175*$M4175</f>
        <v>0</v>
      </c>
      <c r="AP4175" s="28"/>
      <c r="AQ4175" s="28" t="n">
        <f aca="false">AP4175*$M4175</f>
        <v>0</v>
      </c>
      <c r="AR4175" s="28"/>
      <c r="AS4175" s="28" t="n">
        <f aca="false">AR4175*$M4175</f>
        <v>0</v>
      </c>
      <c r="AT4175" s="28"/>
      <c r="AU4175" s="28" t="n">
        <f aca="false">AT4175*$M4175</f>
        <v>0</v>
      </c>
      <c r="AV4175" s="28"/>
      <c r="AW4175" s="28" t="n">
        <f aca="false">AV4175*$M4175</f>
        <v>0</v>
      </c>
      <c r="AX4175" s="28"/>
      <c r="AY4175" s="28" t="n">
        <f aca="false">AX4175*$M4175</f>
        <v>0</v>
      </c>
      <c r="AZ4175" s="30" t="n">
        <v>2377</v>
      </c>
      <c r="BA4175" s="11" t="n">
        <v>95080</v>
      </c>
      <c r="BB4175" s="31" t="n">
        <f aca="false">SUM(Q4175,S4175,U4175,W4175,Y4175,AA4175,AC4175,AE4175,AG4175,AI4175,AK4175,AM4175,AO4175,AQ4175,AS4175,AU4175,AW4175,AY4175)</f>
        <v>95080</v>
      </c>
      <c r="BC4175" s="28" t="n">
        <f aca="false">BA4175-BB4175</f>
        <v>0</v>
      </c>
      <c r="BD4175" s="32" t="n">
        <f aca="false">SUM(P4175,R4175,T4175,V4175,X4175,Z4175,AB4175,AD4175,AF4175,AH4175,AJ4175,AL4175,AN4175,AP4175,AR4175,AT4175,AV4175,AX4175)</f>
        <v>2377</v>
      </c>
      <c r="BE4175" s="33" t="n">
        <f aca="false">AZ4175-BD4175</f>
        <v>0</v>
      </c>
      <c r="BF4175" s="34" t="n">
        <f aca="false">BD4175*M4175</f>
        <v>95080</v>
      </c>
      <c r="BG4175" s="35" t="n">
        <f aca="false">BA4175-BF4175</f>
        <v>0</v>
      </c>
      <c r="BH4175" s="19" t="str">
        <f aca="false">IF(BG4175=0,"",IF(BG4175&lt;&gt;BA4175,"erreur de calcul",IF(BD4175&lt;&gt;0,"pas de prix",IF(M4175&lt;&gt; 0,"pas de quantité","pas de prix, ni de quantité"))))</f>
        <v/>
      </c>
      <c r="BI4175" s="19"/>
    </row>
    <row r="4176" customFormat="false" ht="15" hidden="false" customHeight="false" outlineLevel="0" collapsed="false">
      <c r="A4176" s="0" t="n">
        <v>25</v>
      </c>
      <c r="B4176" s="8" t="s">
        <v>24</v>
      </c>
      <c r="C4176" s="9" t="s">
        <v>25</v>
      </c>
      <c r="D4176" s="9" t="s">
        <v>26</v>
      </c>
      <c r="E4176" s="10" t="n">
        <v>1789</v>
      </c>
      <c r="F4176" s="9" t="s">
        <v>27</v>
      </c>
      <c r="G4176" s="9" t="s">
        <v>27</v>
      </c>
      <c r="H4176" s="11" t="n">
        <v>26</v>
      </c>
      <c r="I4176" s="11" t="s">
        <v>396</v>
      </c>
      <c r="J4176" s="14" t="n">
        <v>2</v>
      </c>
      <c r="K4176" s="14" t="n">
        <v>10</v>
      </c>
      <c r="L4176" s="16"/>
      <c r="M4176" s="27" t="n">
        <f aca="false">J4176+(K4176/20)+(L4176/240)</f>
        <v>2.5</v>
      </c>
      <c r="N4176" s="17" t="s">
        <v>66</v>
      </c>
      <c r="O4176" s="11"/>
      <c r="P4176" s="28"/>
      <c r="Q4176" s="28" t="n">
        <f aca="false">P4176*$M4176</f>
        <v>0</v>
      </c>
      <c r="R4176" s="28"/>
      <c r="S4176" s="28" t="n">
        <f aca="false">R4176*$M4176</f>
        <v>0</v>
      </c>
      <c r="T4176" s="28"/>
      <c r="U4176" s="28" t="n">
        <f aca="false">T4176*$M4176</f>
        <v>0</v>
      </c>
      <c r="V4176" s="28"/>
      <c r="W4176" s="28" t="n">
        <f aca="false">V4176*$M4176</f>
        <v>0</v>
      </c>
      <c r="X4176" s="28"/>
      <c r="Y4176" s="28" t="n">
        <f aca="false">X4176*$M4176</f>
        <v>0</v>
      </c>
      <c r="Z4176" s="28"/>
      <c r="AA4176" s="28" t="n">
        <f aca="false">Z4176*$M4176</f>
        <v>0</v>
      </c>
      <c r="AB4176" s="28"/>
      <c r="AC4176" s="28" t="n">
        <f aca="false">AB4176*$M4176</f>
        <v>0</v>
      </c>
      <c r="AD4176" s="28"/>
      <c r="AE4176" s="28" t="n">
        <f aca="false">AD4176*$M4176</f>
        <v>0</v>
      </c>
      <c r="AF4176" s="28"/>
      <c r="AG4176" s="28" t="n">
        <f aca="false">AF4176*$M4176</f>
        <v>0</v>
      </c>
      <c r="AH4176" s="28"/>
      <c r="AI4176" s="28" t="n">
        <f aca="false">AH4176*$M4176</f>
        <v>0</v>
      </c>
      <c r="AJ4176" s="28" t="n">
        <v>7127</v>
      </c>
      <c r="AK4176" s="28" t="n">
        <v>17817</v>
      </c>
      <c r="AL4176" s="28"/>
      <c r="AM4176" s="28" t="n">
        <f aca="false">AL4176*$M4176</f>
        <v>0</v>
      </c>
      <c r="AN4176" s="28"/>
      <c r="AO4176" s="28" t="n">
        <f aca="false">AN4176*$M4176</f>
        <v>0</v>
      </c>
      <c r="AP4176" s="28"/>
      <c r="AQ4176" s="28" t="n">
        <f aca="false">AP4176*$M4176</f>
        <v>0</v>
      </c>
      <c r="AR4176" s="28"/>
      <c r="AS4176" s="28" t="n">
        <f aca="false">AR4176*$M4176</f>
        <v>0</v>
      </c>
      <c r="AT4176" s="28"/>
      <c r="AU4176" s="28" t="n">
        <f aca="false">AT4176*$M4176</f>
        <v>0</v>
      </c>
      <c r="AV4176" s="28"/>
      <c r="AW4176" s="28" t="n">
        <f aca="false">AV4176*$M4176</f>
        <v>0</v>
      </c>
      <c r="AX4176" s="28"/>
      <c r="AY4176" s="28" t="n">
        <f aca="false">AX4176*$M4176</f>
        <v>0</v>
      </c>
      <c r="AZ4176" s="30" t="n">
        <v>7127</v>
      </c>
      <c r="BA4176" s="11" t="n">
        <v>17817</v>
      </c>
      <c r="BB4176" s="31" t="n">
        <f aca="false">SUM(Q4176,S4176,U4176,W4176,Y4176,AA4176,AC4176,AE4176,AG4176,AI4176,AK4176,AM4176,AO4176,AQ4176,AS4176,AU4176,AW4176,AY4176)</f>
        <v>17817</v>
      </c>
      <c r="BC4176" s="28" t="n">
        <f aca="false">BA4176-BB4176</f>
        <v>0</v>
      </c>
      <c r="BD4176" s="32" t="n">
        <f aca="false">SUM(P4176,R4176,T4176,V4176,X4176,Z4176,AB4176,AD4176,AF4176,AH4176,AJ4176,AL4176,AN4176,AP4176,AR4176,AT4176,AV4176,AX4176)</f>
        <v>7127</v>
      </c>
      <c r="BE4176" s="33" t="n">
        <f aca="false">AZ4176-BD4176</f>
        <v>0</v>
      </c>
      <c r="BF4176" s="34" t="n">
        <f aca="false">BD4176*M4176</f>
        <v>17817.5</v>
      </c>
      <c r="BG4176" s="35" t="n">
        <f aca="false">BA4176-BF4176</f>
        <v>-0.5</v>
      </c>
      <c r="BH4176" s="19" t="str">
        <f aca="false">IF(BG4176=0,"",IF(BG4176&lt;&gt;BA4176,"erreur de calcul",IF(BD4176&lt;&gt;0,"pas de prix",IF(M4176&lt;&gt; 0,"pas de quantité","pas de prix, ni de quantité"))))</f>
        <v>erreur de calcul</v>
      </c>
      <c r="BI4176" s="19"/>
    </row>
    <row r="4177" customFormat="false" ht="15" hidden="false" customHeight="false" outlineLevel="0" collapsed="false">
      <c r="A4177" s="0" t="n">
        <v>26</v>
      </c>
      <c r="B4177" s="8" t="s">
        <v>24</v>
      </c>
      <c r="C4177" s="9" t="s">
        <v>25</v>
      </c>
      <c r="D4177" s="9" t="s">
        <v>26</v>
      </c>
      <c r="E4177" s="10" t="n">
        <v>1789</v>
      </c>
      <c r="F4177" s="9" t="s">
        <v>27</v>
      </c>
      <c r="G4177" s="9" t="s">
        <v>27</v>
      </c>
      <c r="H4177" s="11" t="n">
        <v>26</v>
      </c>
      <c r="I4177" s="11" t="s">
        <v>397</v>
      </c>
      <c r="J4177" s="14" t="n">
        <v>6</v>
      </c>
      <c r="K4177" s="14" t="n">
        <v>10</v>
      </c>
      <c r="L4177" s="16"/>
      <c r="M4177" s="27" t="n">
        <f aca="false">J4177+(K4177/20)+(L4177/240)</f>
        <v>6.5</v>
      </c>
      <c r="N4177" s="17" t="s">
        <v>64</v>
      </c>
      <c r="O4177" s="11"/>
      <c r="P4177" s="28"/>
      <c r="Q4177" s="28" t="n">
        <f aca="false">P4177*$M4177</f>
        <v>0</v>
      </c>
      <c r="R4177" s="28"/>
      <c r="S4177" s="28" t="n">
        <f aca="false">R4177*$M4177</f>
        <v>0</v>
      </c>
      <c r="T4177" s="28"/>
      <c r="U4177" s="28" t="n">
        <f aca="false">T4177*$M4177</f>
        <v>0</v>
      </c>
      <c r="V4177" s="28"/>
      <c r="W4177" s="28" t="n">
        <f aca="false">V4177*$M4177</f>
        <v>0</v>
      </c>
      <c r="X4177" s="28" t="n">
        <f aca="false">22000/100</f>
        <v>220</v>
      </c>
      <c r="Y4177" s="28" t="n">
        <v>1430</v>
      </c>
      <c r="Z4177" s="28"/>
      <c r="AA4177" s="28" t="n">
        <f aca="false">Z4177*$M4177</f>
        <v>0</v>
      </c>
      <c r="AB4177" s="28" t="n">
        <f aca="false">3575715/100</f>
        <v>35757.15</v>
      </c>
      <c r="AC4177" s="36" t="n">
        <v>214543</v>
      </c>
      <c r="AD4177" s="28"/>
      <c r="AE4177" s="28" t="n">
        <f aca="false">AD4177*$M4177</f>
        <v>0</v>
      </c>
      <c r="AF4177" s="28"/>
      <c r="AG4177" s="28" t="n">
        <f aca="false">AF4177*$M4177</f>
        <v>0</v>
      </c>
      <c r="AH4177" s="28"/>
      <c r="AI4177" s="28" t="n">
        <f aca="false">AH4177*$M4177</f>
        <v>0</v>
      </c>
      <c r="AJ4177" s="28"/>
      <c r="AK4177" s="28" t="n">
        <f aca="false">AJ4177*$M4177</f>
        <v>0</v>
      </c>
      <c r="AL4177" s="28"/>
      <c r="AM4177" s="28" t="n">
        <f aca="false">AL4177*$M4177</f>
        <v>0</v>
      </c>
      <c r="AN4177" s="28"/>
      <c r="AO4177" s="28" t="n">
        <f aca="false">AN4177*$M4177</f>
        <v>0</v>
      </c>
      <c r="AP4177" s="28"/>
      <c r="AQ4177" s="28" t="n">
        <f aca="false">AP4177*$M4177</f>
        <v>0</v>
      </c>
      <c r="AR4177" s="28"/>
      <c r="AS4177" s="28" t="n">
        <f aca="false">AR4177*$M4177</f>
        <v>0</v>
      </c>
      <c r="AT4177" s="28"/>
      <c r="AU4177" s="28" t="n">
        <f aca="false">AT4177*$M4177</f>
        <v>0</v>
      </c>
      <c r="AV4177" s="28"/>
      <c r="AW4177" s="28" t="n">
        <f aca="false">AV4177*$M4177</f>
        <v>0</v>
      </c>
      <c r="AX4177" s="28"/>
      <c r="AY4177" s="28" t="n">
        <f aca="false">AX4177*$M4177</f>
        <v>0</v>
      </c>
      <c r="AZ4177" s="30" t="n">
        <f aca="false">3597715/100</f>
        <v>35977.15</v>
      </c>
      <c r="BA4177" s="11" t="n">
        <v>215973</v>
      </c>
      <c r="BB4177" s="31" t="n">
        <f aca="false">SUM(Q4177,S4177,U4177,W4177,Y4177,AA4177,AC4177,AE4177,AG4177,AI4177,AK4177,AM4177,AO4177,AQ4177,AS4177,AU4177,AW4177,AY4177)</f>
        <v>215973</v>
      </c>
      <c r="BC4177" s="28" t="n">
        <f aca="false">BA4177-BB4177</f>
        <v>0</v>
      </c>
      <c r="BD4177" s="32" t="n">
        <f aca="false">SUM(P4177,R4177,T4177,V4177,X4177,Z4177,AB4177,AD4177,AF4177,AH4177,AJ4177,AL4177,AN4177,AP4177,AR4177,AT4177,AV4177,AX4177)</f>
        <v>35977.15</v>
      </c>
      <c r="BE4177" s="33" t="n">
        <f aca="false">AZ4177-BD4177</f>
        <v>0</v>
      </c>
      <c r="BF4177" s="34" t="n">
        <f aca="false">BD4177*M4177</f>
        <v>233851.475</v>
      </c>
      <c r="BG4177" s="35" t="n">
        <f aca="false">BA4177-BF4177</f>
        <v>-17878.475</v>
      </c>
      <c r="BH4177" s="19" t="str">
        <f aca="false">IF(BG4177=0,"",IF(BG4177&lt;&gt;BA4177,"erreur de calcul",IF(BD4177&lt;&gt;0,"pas de prix",IF(M4177&lt;&gt; 0,"pas de quantité","pas de prix, ni de quantité"))))</f>
        <v>erreur de calcul</v>
      </c>
      <c r="BI4177" s="19"/>
    </row>
    <row r="4178" customFormat="false" ht="15" hidden="false" customHeight="false" outlineLevel="0" collapsed="false">
      <c r="A4178" s="0" t="n">
        <v>27</v>
      </c>
      <c r="B4178" s="8" t="s">
        <v>24</v>
      </c>
      <c r="C4178" s="9" t="s">
        <v>25</v>
      </c>
      <c r="D4178" s="9" t="s">
        <v>26</v>
      </c>
      <c r="E4178" s="10" t="n">
        <v>1789</v>
      </c>
      <c r="F4178" s="9" t="s">
        <v>27</v>
      </c>
      <c r="G4178" s="9" t="s">
        <v>27</v>
      </c>
      <c r="H4178" s="11" t="n">
        <v>26</v>
      </c>
      <c r="I4178" s="11" t="s">
        <v>398</v>
      </c>
      <c r="J4178" s="14" t="n">
        <v>11</v>
      </c>
      <c r="K4178" s="14"/>
      <c r="L4178" s="16"/>
      <c r="M4178" s="27" t="n">
        <f aca="false">J4178+(K4178/20)+(L4178/240)</f>
        <v>11</v>
      </c>
      <c r="N4178" s="17" t="s">
        <v>64</v>
      </c>
      <c r="O4178" s="11"/>
      <c r="P4178" s="28" t="n">
        <f aca="false">166667/100</f>
        <v>1666.67</v>
      </c>
      <c r="Q4178" s="28" t="n">
        <v>18333</v>
      </c>
      <c r="R4178" s="28"/>
      <c r="S4178" s="28" t="n">
        <f aca="false">R4178*$M4178</f>
        <v>0</v>
      </c>
      <c r="T4178" s="28"/>
      <c r="U4178" s="28" t="n">
        <f aca="false">T4178*$M4178</f>
        <v>0</v>
      </c>
      <c r="V4178" s="28"/>
      <c r="W4178" s="28" t="n">
        <f aca="false">V4178*$M4178</f>
        <v>0</v>
      </c>
      <c r="X4178" s="28"/>
      <c r="Y4178" s="28" t="n">
        <f aca="false">X4178*$M4178</f>
        <v>0</v>
      </c>
      <c r="Z4178" s="28"/>
      <c r="AA4178" s="28" t="n">
        <f aca="false">Z4178*$M4178</f>
        <v>0</v>
      </c>
      <c r="AB4178" s="28" t="n">
        <f aca="false">3312/100</f>
        <v>33.12</v>
      </c>
      <c r="AC4178" s="28" t="n">
        <v>364</v>
      </c>
      <c r="AD4178" s="28"/>
      <c r="AE4178" s="28" t="n">
        <f aca="false">AD4178*$M4178</f>
        <v>0</v>
      </c>
      <c r="AF4178" s="28"/>
      <c r="AG4178" s="28" t="n">
        <f aca="false">AF4178*$M4178</f>
        <v>0</v>
      </c>
      <c r="AH4178" s="28"/>
      <c r="AI4178" s="28" t="n">
        <f aca="false">AH4178*$M4178</f>
        <v>0</v>
      </c>
      <c r="AJ4178" s="28"/>
      <c r="AK4178" s="28" t="n">
        <f aca="false">AJ4178*$M4178</f>
        <v>0</v>
      </c>
      <c r="AL4178" s="28"/>
      <c r="AM4178" s="28" t="n">
        <f aca="false">AL4178*$M4178</f>
        <v>0</v>
      </c>
      <c r="AN4178" s="28"/>
      <c r="AO4178" s="28" t="n">
        <f aca="false">AN4178*$M4178</f>
        <v>0</v>
      </c>
      <c r="AP4178" s="28"/>
      <c r="AQ4178" s="28" t="n">
        <f aca="false">AP4178*$M4178</f>
        <v>0</v>
      </c>
      <c r="AR4178" s="28"/>
      <c r="AS4178" s="28" t="n">
        <f aca="false">AR4178*$M4178</f>
        <v>0</v>
      </c>
      <c r="AT4178" s="28"/>
      <c r="AU4178" s="28" t="n">
        <f aca="false">AT4178*$M4178</f>
        <v>0</v>
      </c>
      <c r="AV4178" s="28"/>
      <c r="AW4178" s="28" t="n">
        <f aca="false">AV4178*$M4178</f>
        <v>0</v>
      </c>
      <c r="AX4178" s="28"/>
      <c r="AY4178" s="28" t="n">
        <f aca="false">AX4178*$M4178</f>
        <v>0</v>
      </c>
      <c r="AZ4178" s="30" t="n">
        <f aca="false">169979/100</f>
        <v>1699.79</v>
      </c>
      <c r="BA4178" s="11" t="n">
        <v>18697</v>
      </c>
      <c r="BB4178" s="31" t="n">
        <f aca="false">SUM(Q4178,S4178,U4178,W4178,Y4178,AA4178,AC4178,AE4178,AG4178,AI4178,AK4178,AM4178,AO4178,AQ4178,AS4178,AU4178,AW4178,AY4178)</f>
        <v>18697</v>
      </c>
      <c r="BC4178" s="28" t="n">
        <f aca="false">BA4178-BB4178</f>
        <v>0</v>
      </c>
      <c r="BD4178" s="32" t="n">
        <f aca="false">SUM(P4178,R4178,T4178,V4178,X4178,Z4178,AB4178,AD4178,AF4178,AH4178,AJ4178,AL4178,AN4178,AP4178,AR4178,AT4178,AV4178,AX4178)</f>
        <v>1699.79</v>
      </c>
      <c r="BE4178" s="33" t="n">
        <f aca="false">AZ4178-BD4178</f>
        <v>0</v>
      </c>
      <c r="BF4178" s="34" t="n">
        <f aca="false">BD4178*M4178</f>
        <v>18697.69</v>
      </c>
      <c r="BG4178" s="35" t="n">
        <f aca="false">BA4178-BF4178</f>
        <v>-0.68999999999869</v>
      </c>
      <c r="BH4178" s="19" t="str">
        <f aca="false">IF(BG4178=0,"",IF(BG4178&lt;&gt;BA4178,"erreur de calcul",IF(BD4178&lt;&gt;0,"pas de prix",IF(M4178&lt;&gt; 0,"pas de quantité","pas de prix, ni de quantité"))))</f>
        <v>erreur de calcul</v>
      </c>
      <c r="BI4178" s="19"/>
    </row>
    <row r="4179" customFormat="false" ht="15" hidden="false" customHeight="false" outlineLevel="0" collapsed="false">
      <c r="A4179" s="0" t="n">
        <v>28</v>
      </c>
      <c r="B4179" s="8" t="s">
        <v>24</v>
      </c>
      <c r="C4179" s="9" t="s">
        <v>25</v>
      </c>
      <c r="D4179" s="9" t="s">
        <v>26</v>
      </c>
      <c r="E4179" s="10" t="n">
        <v>1789</v>
      </c>
      <c r="F4179" s="9" t="s">
        <v>27</v>
      </c>
      <c r="G4179" s="9" t="s">
        <v>27</v>
      </c>
      <c r="H4179" s="11" t="n">
        <v>26</v>
      </c>
      <c r="I4179" s="11" t="s">
        <v>399</v>
      </c>
      <c r="J4179" s="14" t="n">
        <v>18</v>
      </c>
      <c r="K4179" s="14"/>
      <c r="L4179" s="16"/>
      <c r="M4179" s="27" t="n">
        <f aca="false">J4179+(K4179/20)+(L4179/240)</f>
        <v>18</v>
      </c>
      <c r="N4179" s="17" t="s">
        <v>66</v>
      </c>
      <c r="O4179" s="11"/>
      <c r="P4179" s="28"/>
      <c r="Q4179" s="28" t="n">
        <f aca="false">P4179*$M4179</f>
        <v>0</v>
      </c>
      <c r="R4179" s="28"/>
      <c r="S4179" s="28" t="n">
        <f aca="false">R4179*$M4179</f>
        <v>0</v>
      </c>
      <c r="T4179" s="28"/>
      <c r="U4179" s="28" t="n">
        <f aca="false">T4179*$M4179</f>
        <v>0</v>
      </c>
      <c r="V4179" s="28"/>
      <c r="W4179" s="28" t="n">
        <f aca="false">V4179*$M4179</f>
        <v>0</v>
      </c>
      <c r="X4179" s="28"/>
      <c r="Y4179" s="28" t="n">
        <f aca="false">X4179*$M4179</f>
        <v>0</v>
      </c>
      <c r="Z4179" s="28"/>
      <c r="AA4179" s="28" t="n">
        <f aca="false">Z4179*$M4179</f>
        <v>0</v>
      </c>
      <c r="AB4179" s="28"/>
      <c r="AC4179" s="28" t="n">
        <f aca="false">AB4179*$M4179</f>
        <v>0</v>
      </c>
      <c r="AD4179" s="28"/>
      <c r="AE4179" s="28" t="n">
        <f aca="false">AD4179*$M4179</f>
        <v>0</v>
      </c>
      <c r="AF4179" s="28"/>
      <c r="AG4179" s="28" t="n">
        <f aca="false">AF4179*$M4179</f>
        <v>0</v>
      </c>
      <c r="AH4179" s="28" t="n">
        <v>72036</v>
      </c>
      <c r="AI4179" s="28" t="n">
        <v>1296648</v>
      </c>
      <c r="AJ4179" s="28"/>
      <c r="AK4179" s="28" t="n">
        <f aca="false">AJ4179*$M4179</f>
        <v>0</v>
      </c>
      <c r="AL4179" s="28"/>
      <c r="AM4179" s="28" t="n">
        <f aca="false">AL4179*$M4179</f>
        <v>0</v>
      </c>
      <c r="AN4179" s="28"/>
      <c r="AO4179" s="28" t="n">
        <f aca="false">AN4179*$M4179</f>
        <v>0</v>
      </c>
      <c r="AP4179" s="28"/>
      <c r="AQ4179" s="28" t="n">
        <f aca="false">AP4179*$M4179</f>
        <v>0</v>
      </c>
      <c r="AR4179" s="28"/>
      <c r="AS4179" s="28" t="n">
        <f aca="false">AR4179*$M4179</f>
        <v>0</v>
      </c>
      <c r="AT4179" s="28"/>
      <c r="AU4179" s="28" t="n">
        <f aca="false">AT4179*$M4179</f>
        <v>0</v>
      </c>
      <c r="AV4179" s="28"/>
      <c r="AW4179" s="28" t="n">
        <f aca="false">AV4179*$M4179</f>
        <v>0</v>
      </c>
      <c r="AX4179" s="28"/>
      <c r="AY4179" s="28" t="n">
        <f aca="false">AX4179*$M4179</f>
        <v>0</v>
      </c>
      <c r="AZ4179" s="30" t="n">
        <v>72036</v>
      </c>
      <c r="BA4179" s="11" t="n">
        <v>1296648</v>
      </c>
      <c r="BB4179" s="31" t="n">
        <f aca="false">SUM(Q4179,S4179,U4179,W4179,Y4179,AA4179,AC4179,AE4179,AG4179,AI4179,AK4179,AM4179,AO4179,AQ4179,AS4179,AU4179,AW4179,AY4179)</f>
        <v>1296648</v>
      </c>
      <c r="BC4179" s="28" t="n">
        <f aca="false">BA4179-BB4179</f>
        <v>0</v>
      </c>
      <c r="BD4179" s="32" t="n">
        <f aca="false">SUM(P4179,R4179,T4179,V4179,X4179,Z4179,AB4179,AD4179,AF4179,AH4179,AJ4179,AL4179,AN4179,AP4179,AR4179,AT4179,AV4179,AX4179)</f>
        <v>72036</v>
      </c>
      <c r="BE4179" s="33" t="n">
        <f aca="false">AZ4179-BD4179</f>
        <v>0</v>
      </c>
      <c r="BF4179" s="34" t="n">
        <f aca="false">BD4179*M4179</f>
        <v>1296648</v>
      </c>
      <c r="BG4179" s="35" t="n">
        <f aca="false">BA4179-BF4179</f>
        <v>0</v>
      </c>
      <c r="BH4179" s="19" t="str">
        <f aca="false">IF(BG4179=0,"",IF(BG4179&lt;&gt;BA4179,"erreur de calcul",IF(BD4179&lt;&gt;0,"pas de prix",IF(M4179&lt;&gt; 0,"pas de quantité","pas de prix, ni de quantité"))))</f>
        <v/>
      </c>
      <c r="BI4179" s="19"/>
    </row>
    <row r="4180" customFormat="false" ht="15" hidden="false" customHeight="false" outlineLevel="0" collapsed="false">
      <c r="A4180" s="0" t="n">
        <v>29</v>
      </c>
      <c r="B4180" s="8" t="s">
        <v>24</v>
      </c>
      <c r="C4180" s="9" t="s">
        <v>25</v>
      </c>
      <c r="D4180" s="9" t="s">
        <v>26</v>
      </c>
      <c r="E4180" s="10" t="n">
        <v>1789</v>
      </c>
      <c r="F4180" s="9" t="s">
        <v>27</v>
      </c>
      <c r="G4180" s="9" t="s">
        <v>27</v>
      </c>
      <c r="H4180" s="11" t="n">
        <v>26</v>
      </c>
      <c r="I4180" s="11" t="s">
        <v>400</v>
      </c>
      <c r="J4180" s="14" t="n">
        <v>19</v>
      </c>
      <c r="K4180" s="14"/>
      <c r="L4180" s="16"/>
      <c r="M4180" s="27" t="n">
        <f aca="false">J4180+(K4180/20)+(L4180/240)</f>
        <v>19</v>
      </c>
      <c r="N4180" s="17" t="s">
        <v>66</v>
      </c>
      <c r="O4180" s="11"/>
      <c r="P4180" s="28"/>
      <c r="Q4180" s="28" t="n">
        <f aca="false">P4180*$M4180</f>
        <v>0</v>
      </c>
      <c r="R4180" s="28"/>
      <c r="S4180" s="28" t="n">
        <f aca="false">R4180*$M4180</f>
        <v>0</v>
      </c>
      <c r="T4180" s="28"/>
      <c r="U4180" s="28" t="n">
        <f aca="false">T4180*$M4180</f>
        <v>0</v>
      </c>
      <c r="V4180" s="28"/>
      <c r="W4180" s="28" t="n">
        <f aca="false">V4180*$M4180</f>
        <v>0</v>
      </c>
      <c r="X4180" s="28"/>
      <c r="Y4180" s="28" t="n">
        <f aca="false">X4180*$M4180</f>
        <v>0</v>
      </c>
      <c r="Z4180" s="28"/>
      <c r="AA4180" s="28" t="n">
        <f aca="false">Z4180*$M4180</f>
        <v>0</v>
      </c>
      <c r="AB4180" s="28" t="n">
        <v>1176</v>
      </c>
      <c r="AC4180" s="28" t="n">
        <v>22344</v>
      </c>
      <c r="AD4180" s="28"/>
      <c r="AE4180" s="28" t="n">
        <f aca="false">AD4180*$M4180</f>
        <v>0</v>
      </c>
      <c r="AF4180" s="28"/>
      <c r="AG4180" s="28" t="n">
        <f aca="false">AF4180*$M4180</f>
        <v>0</v>
      </c>
      <c r="AH4180" s="28"/>
      <c r="AI4180" s="28" t="n">
        <f aca="false">AH4180*$M4180</f>
        <v>0</v>
      </c>
      <c r="AJ4180" s="28"/>
      <c r="AK4180" s="28" t="n">
        <f aca="false">AJ4180*$M4180</f>
        <v>0</v>
      </c>
      <c r="AL4180" s="28"/>
      <c r="AM4180" s="28" t="n">
        <f aca="false">AL4180*$M4180</f>
        <v>0</v>
      </c>
      <c r="AN4180" s="28"/>
      <c r="AO4180" s="28" t="n">
        <f aca="false">AN4180*$M4180</f>
        <v>0</v>
      </c>
      <c r="AP4180" s="28"/>
      <c r="AQ4180" s="28" t="n">
        <f aca="false">AP4180*$M4180</f>
        <v>0</v>
      </c>
      <c r="AR4180" s="28"/>
      <c r="AS4180" s="28" t="n">
        <f aca="false">AR4180*$M4180</f>
        <v>0</v>
      </c>
      <c r="AT4180" s="28"/>
      <c r="AU4180" s="28" t="n">
        <f aca="false">AT4180*$M4180</f>
        <v>0</v>
      </c>
      <c r="AV4180" s="28"/>
      <c r="AW4180" s="28" t="n">
        <f aca="false">AV4180*$M4180</f>
        <v>0</v>
      </c>
      <c r="AX4180" s="28"/>
      <c r="AY4180" s="28" t="n">
        <f aca="false">AX4180*$M4180</f>
        <v>0</v>
      </c>
      <c r="AZ4180" s="30" t="n">
        <v>1176</v>
      </c>
      <c r="BA4180" s="11" t="n">
        <v>22344</v>
      </c>
      <c r="BB4180" s="31" t="n">
        <f aca="false">SUM(Q4180,S4180,U4180,W4180,Y4180,AA4180,AC4180,AE4180,AG4180,AI4180,AK4180,AM4180,AO4180,AQ4180,AS4180,AU4180,AW4180,AY4180)</f>
        <v>22344</v>
      </c>
      <c r="BC4180" s="28" t="n">
        <f aca="false">BA4180-BB4180</f>
        <v>0</v>
      </c>
      <c r="BD4180" s="32" t="n">
        <f aca="false">SUM(P4180,R4180,T4180,V4180,X4180,Z4180,AB4180,AD4180,AF4180,AH4180,AJ4180,AL4180,AN4180,AP4180,AR4180,AT4180,AV4180,AX4180)</f>
        <v>1176</v>
      </c>
      <c r="BE4180" s="33" t="n">
        <f aca="false">AZ4180-BD4180</f>
        <v>0</v>
      </c>
      <c r="BF4180" s="34" t="n">
        <f aca="false">BD4180*M4180</f>
        <v>22344</v>
      </c>
      <c r="BG4180" s="35" t="n">
        <f aca="false">BA4180-BF4180</f>
        <v>0</v>
      </c>
      <c r="BH4180" s="19" t="str">
        <f aca="false">IF(BG4180=0,"",IF(BG4180&lt;&gt;BA4180,"erreur de calcul",IF(BD4180&lt;&gt;0,"pas de prix",IF(M4180&lt;&gt; 0,"pas de quantité","pas de prix, ni de quantité"))))</f>
        <v/>
      </c>
      <c r="BI4180" s="19"/>
    </row>
    <row r="4181" customFormat="false" ht="15" hidden="false" customHeight="false" outlineLevel="0" collapsed="false">
      <c r="A4181" s="0" t="n">
        <v>30</v>
      </c>
      <c r="B4181" s="8" t="s">
        <v>24</v>
      </c>
      <c r="C4181" s="9" t="s">
        <v>25</v>
      </c>
      <c r="D4181" s="9" t="s">
        <v>26</v>
      </c>
      <c r="E4181" s="10" t="n">
        <v>1789</v>
      </c>
      <c r="F4181" s="9" t="s">
        <v>27</v>
      </c>
      <c r="G4181" s="9" t="s">
        <v>27</v>
      </c>
      <c r="H4181" s="11" t="n">
        <v>26</v>
      </c>
      <c r="I4181" s="11" t="s">
        <v>401</v>
      </c>
      <c r="J4181" s="14" t="n">
        <v>20</v>
      </c>
      <c r="K4181" s="14"/>
      <c r="L4181" s="16"/>
      <c r="M4181" s="27" t="n">
        <f aca="false">J4181+(K4181/20)+(L4181/240)</f>
        <v>20</v>
      </c>
      <c r="N4181" s="17" t="s">
        <v>66</v>
      </c>
      <c r="O4181" s="11"/>
      <c r="P4181" s="28"/>
      <c r="Q4181" s="28" t="n">
        <f aca="false">P4181*$M4181</f>
        <v>0</v>
      </c>
      <c r="R4181" s="28"/>
      <c r="S4181" s="28" t="n">
        <f aca="false">R4181*$M4181</f>
        <v>0</v>
      </c>
      <c r="T4181" s="28" t="n">
        <v>7478</v>
      </c>
      <c r="U4181" s="28" t="n">
        <v>149560</v>
      </c>
      <c r="V4181" s="28" t="n">
        <v>3386</v>
      </c>
      <c r="W4181" s="36" t="n">
        <v>66720</v>
      </c>
      <c r="X4181" s="28" t="n">
        <v>2233</v>
      </c>
      <c r="Y4181" s="28" t="n">
        <v>44660</v>
      </c>
      <c r="Z4181" s="28" t="n">
        <v>867</v>
      </c>
      <c r="AA4181" s="28" t="n">
        <v>17340</v>
      </c>
      <c r="AB4181" s="28" t="n">
        <v>32380</v>
      </c>
      <c r="AC4181" s="28" t="n">
        <v>647600</v>
      </c>
      <c r="AD4181" s="28"/>
      <c r="AE4181" s="28" t="n">
        <f aca="false">AD4181*$M4181</f>
        <v>0</v>
      </c>
      <c r="AF4181" s="28"/>
      <c r="AG4181" s="28" t="n">
        <f aca="false">AF4181*$M4181</f>
        <v>0</v>
      </c>
      <c r="AH4181" s="28" t="n">
        <v>12038</v>
      </c>
      <c r="AI4181" s="28" t="n">
        <v>240760</v>
      </c>
      <c r="AJ4181" s="28"/>
      <c r="AK4181" s="28" t="n">
        <f aca="false">AJ4181*$M4181</f>
        <v>0</v>
      </c>
      <c r="AL4181" s="28"/>
      <c r="AM4181" s="28" t="n">
        <f aca="false">AL4181*$M4181</f>
        <v>0</v>
      </c>
      <c r="AN4181" s="28"/>
      <c r="AO4181" s="28" t="n">
        <f aca="false">AN4181*$M4181</f>
        <v>0</v>
      </c>
      <c r="AP4181" s="28"/>
      <c r="AQ4181" s="28" t="n">
        <f aca="false">AP4181*$M4181</f>
        <v>0</v>
      </c>
      <c r="AR4181" s="28"/>
      <c r="AS4181" s="28" t="n">
        <f aca="false">AR4181*$M4181</f>
        <v>0</v>
      </c>
      <c r="AT4181" s="28"/>
      <c r="AU4181" s="28" t="n">
        <f aca="false">AT4181*$M4181</f>
        <v>0</v>
      </c>
      <c r="AV4181" s="28"/>
      <c r="AW4181" s="28" t="n">
        <f aca="false">AV4181*$M4181</f>
        <v>0</v>
      </c>
      <c r="AX4181" s="28"/>
      <c r="AY4181" s="28" t="n">
        <f aca="false">AX4181*$M4181</f>
        <v>0</v>
      </c>
      <c r="AZ4181" s="30" t="n">
        <v>58382</v>
      </c>
      <c r="BA4181" s="11" t="n">
        <v>1166640</v>
      </c>
      <c r="BB4181" s="31" t="n">
        <f aca="false">SUM(Q4181,S4181,U4181,W4181,Y4181,AA4181,AC4181,AE4181,AG4181,AI4181,AK4181,AM4181,AO4181,AQ4181,AS4181,AU4181,AW4181,AY4181)</f>
        <v>1166640</v>
      </c>
      <c r="BC4181" s="28" t="n">
        <f aca="false">BA4181-BB4181</f>
        <v>0</v>
      </c>
      <c r="BD4181" s="32" t="n">
        <f aca="false">SUM(P4181,R4181,T4181,V4181,X4181,Z4181,AB4181,AD4181,AF4181,AH4181,AJ4181,AL4181,AN4181,AP4181,AR4181,AT4181,AV4181,AX4181)</f>
        <v>58382</v>
      </c>
      <c r="BE4181" s="33" t="n">
        <f aca="false">AZ4181-BD4181</f>
        <v>0</v>
      </c>
      <c r="BF4181" s="34" t="n">
        <f aca="false">BD4181*M4181</f>
        <v>1167640</v>
      </c>
      <c r="BG4181" s="35" t="n">
        <f aca="false">BA4181-BF4181</f>
        <v>-1000</v>
      </c>
      <c r="BH4181" s="19" t="str">
        <f aca="false">IF(BG4181=0,"",IF(BG4181&lt;&gt;BA4181,"erreur de calcul",IF(BD4181&lt;&gt;0,"pas de prix",IF(M4181&lt;&gt; 0,"pas de quantité","pas de prix, ni de quantité"))))</f>
        <v>erreur de calcul</v>
      </c>
      <c r="BI4181" s="19"/>
    </row>
    <row r="4182" customFormat="false" ht="15" hidden="false" customHeight="false" outlineLevel="0" collapsed="false">
      <c r="A4182" s="0" t="n">
        <v>31</v>
      </c>
      <c r="B4182" s="8" t="s">
        <v>24</v>
      </c>
      <c r="C4182" s="9" t="s">
        <v>25</v>
      </c>
      <c r="D4182" s="9" t="s">
        <v>26</v>
      </c>
      <c r="E4182" s="10" t="n">
        <v>1789</v>
      </c>
      <c r="F4182" s="9" t="s">
        <v>27</v>
      </c>
      <c r="G4182" s="9" t="s">
        <v>27</v>
      </c>
      <c r="H4182" s="11" t="n">
        <v>26</v>
      </c>
      <c r="I4182" s="11" t="s">
        <v>402</v>
      </c>
      <c r="J4182" s="14" t="n">
        <v>17</v>
      </c>
      <c r="K4182" s="14"/>
      <c r="L4182" s="16"/>
      <c r="M4182" s="27" t="n">
        <f aca="false">J4182+(K4182/20)+(L4182/240)</f>
        <v>17</v>
      </c>
      <c r="N4182" s="17" t="s">
        <v>66</v>
      </c>
      <c r="O4182" s="11"/>
      <c r="P4182" s="28"/>
      <c r="Q4182" s="28" t="n">
        <f aca="false">P4182*$M4182</f>
        <v>0</v>
      </c>
      <c r="R4182" s="28"/>
      <c r="S4182" s="28" t="n">
        <f aca="false">R4182*$M4182</f>
        <v>0</v>
      </c>
      <c r="T4182" s="28" t="n">
        <v>126481</v>
      </c>
      <c r="U4182" s="28" t="n">
        <v>2150177</v>
      </c>
      <c r="V4182" s="28"/>
      <c r="W4182" s="28" t="n">
        <f aca="false">V4182*$M4182</f>
        <v>0</v>
      </c>
      <c r="X4182" s="28"/>
      <c r="Y4182" s="28" t="n">
        <f aca="false">X4182*$M4182</f>
        <v>0</v>
      </c>
      <c r="Z4182" s="28"/>
      <c r="AA4182" s="28" t="n">
        <f aca="false">Z4182*$M4182</f>
        <v>0</v>
      </c>
      <c r="AB4182" s="28"/>
      <c r="AC4182" s="28" t="n">
        <f aca="false">AB4182*$M4182</f>
        <v>0</v>
      </c>
      <c r="AD4182" s="28"/>
      <c r="AE4182" s="28" t="n">
        <f aca="false">AD4182*$M4182</f>
        <v>0</v>
      </c>
      <c r="AF4182" s="28"/>
      <c r="AG4182" s="28" t="n">
        <f aca="false">AF4182*$M4182</f>
        <v>0</v>
      </c>
      <c r="AH4182" s="28"/>
      <c r="AI4182" s="28" t="n">
        <f aca="false">AH4182*$M4182</f>
        <v>0</v>
      </c>
      <c r="AJ4182" s="28"/>
      <c r="AK4182" s="28" t="n">
        <f aca="false">AJ4182*$M4182</f>
        <v>0</v>
      </c>
      <c r="AL4182" s="28"/>
      <c r="AM4182" s="28" t="n">
        <f aca="false">AL4182*$M4182</f>
        <v>0</v>
      </c>
      <c r="AN4182" s="28"/>
      <c r="AO4182" s="28" t="n">
        <f aca="false">AN4182*$M4182</f>
        <v>0</v>
      </c>
      <c r="AP4182" s="28"/>
      <c r="AQ4182" s="28" t="n">
        <f aca="false">AP4182*$M4182</f>
        <v>0</v>
      </c>
      <c r="AR4182" s="28"/>
      <c r="AS4182" s="28" t="n">
        <f aca="false">AR4182*$M4182</f>
        <v>0</v>
      </c>
      <c r="AT4182" s="28"/>
      <c r="AU4182" s="28" t="n">
        <f aca="false">AT4182*$M4182</f>
        <v>0</v>
      </c>
      <c r="AV4182" s="28"/>
      <c r="AW4182" s="28" t="n">
        <f aca="false">AV4182*$M4182</f>
        <v>0</v>
      </c>
      <c r="AX4182" s="28"/>
      <c r="AY4182" s="28" t="n">
        <f aca="false">AX4182*$M4182</f>
        <v>0</v>
      </c>
      <c r="AZ4182" s="30" t="n">
        <v>126481</v>
      </c>
      <c r="BA4182" s="11" t="n">
        <v>2150177</v>
      </c>
      <c r="BB4182" s="31" t="n">
        <f aca="false">SUM(Q4182,S4182,U4182,W4182,Y4182,AA4182,AC4182,AE4182,AG4182,AI4182,AK4182,AM4182,AO4182,AQ4182,AS4182,AU4182,AW4182,AY4182)</f>
        <v>2150177</v>
      </c>
      <c r="BC4182" s="28" t="n">
        <f aca="false">BA4182-BB4182</f>
        <v>0</v>
      </c>
      <c r="BD4182" s="32" t="n">
        <f aca="false">SUM(P4182,R4182,T4182,V4182,X4182,Z4182,AB4182,AD4182,AF4182,AH4182,AJ4182,AL4182,AN4182,AP4182,AR4182,AT4182,AV4182,AX4182)</f>
        <v>126481</v>
      </c>
      <c r="BE4182" s="33" t="n">
        <f aca="false">AZ4182-BD4182</f>
        <v>0</v>
      </c>
      <c r="BF4182" s="34" t="n">
        <f aca="false">BD4182*M4182</f>
        <v>2150177</v>
      </c>
      <c r="BG4182" s="35" t="n">
        <f aca="false">BA4182-BF4182</f>
        <v>0</v>
      </c>
      <c r="BH4182" s="19" t="str">
        <f aca="false">IF(BG4182=0,"",IF(BG4182&lt;&gt;BA4182,"erreur de calcul",IF(BD4182&lt;&gt;0,"pas de prix",IF(M4182&lt;&gt; 0,"pas de quantité","pas de prix, ni de quantité"))))</f>
        <v/>
      </c>
      <c r="BI4182" s="19"/>
    </row>
    <row r="4183" customFormat="false" ht="15" hidden="false" customHeight="false" outlineLevel="0" collapsed="false">
      <c r="A4183" s="0" t="n">
        <v>32</v>
      </c>
      <c r="B4183" s="8" t="s">
        <v>24</v>
      </c>
      <c r="C4183" s="9" t="s">
        <v>25</v>
      </c>
      <c r="D4183" s="9" t="s">
        <v>26</v>
      </c>
      <c r="E4183" s="10" t="n">
        <v>1789</v>
      </c>
      <c r="F4183" s="9" t="s">
        <v>27</v>
      </c>
      <c r="G4183" s="9" t="s">
        <v>27</v>
      </c>
      <c r="H4183" s="11" t="n">
        <v>26</v>
      </c>
      <c r="I4183" s="11" t="s">
        <v>403</v>
      </c>
      <c r="J4183" s="14" t="n">
        <v>28</v>
      </c>
      <c r="K4183" s="14"/>
      <c r="L4183" s="16"/>
      <c r="M4183" s="27" t="n">
        <f aca="false">J4183+(K4183/20)+(L4183/240)</f>
        <v>28</v>
      </c>
      <c r="N4183" s="17" t="s">
        <v>66</v>
      </c>
      <c r="O4183" s="11"/>
      <c r="P4183" s="28"/>
      <c r="Q4183" s="28" t="n">
        <f aca="false">P4183*$M4183</f>
        <v>0</v>
      </c>
      <c r="R4183" s="28"/>
      <c r="S4183" s="28" t="n">
        <f aca="false">R4183*$M4183</f>
        <v>0</v>
      </c>
      <c r="T4183" s="28"/>
      <c r="U4183" s="28" t="n">
        <f aca="false">T4183*$M4183</f>
        <v>0</v>
      </c>
      <c r="V4183" s="28" t="n">
        <v>1923</v>
      </c>
      <c r="W4183" s="28" t="n">
        <v>53844</v>
      </c>
      <c r="X4183" s="28" t="n">
        <v>7280</v>
      </c>
      <c r="Y4183" s="36" t="n">
        <v>203860</v>
      </c>
      <c r="Z4183" s="28"/>
      <c r="AA4183" s="28" t="n">
        <f aca="false">Z4183*$M4183</f>
        <v>0</v>
      </c>
      <c r="AB4183" s="28" t="n">
        <v>128803</v>
      </c>
      <c r="AC4183" s="28" t="n">
        <v>3606484</v>
      </c>
      <c r="AD4183" s="28"/>
      <c r="AE4183" s="28" t="n">
        <f aca="false">AD4183*$M4183</f>
        <v>0</v>
      </c>
      <c r="AF4183" s="28"/>
      <c r="AG4183" s="28" t="n">
        <f aca="false">AF4183*$M4183</f>
        <v>0</v>
      </c>
      <c r="AH4183" s="28"/>
      <c r="AI4183" s="28" t="n">
        <f aca="false">AH4183*$M4183</f>
        <v>0</v>
      </c>
      <c r="AJ4183" s="28"/>
      <c r="AK4183" s="28" t="n">
        <f aca="false">AJ4183*$M4183</f>
        <v>0</v>
      </c>
      <c r="AL4183" s="28"/>
      <c r="AM4183" s="28" t="n">
        <f aca="false">AL4183*$M4183</f>
        <v>0</v>
      </c>
      <c r="AN4183" s="28"/>
      <c r="AO4183" s="28" t="n">
        <f aca="false">AN4183*$M4183</f>
        <v>0</v>
      </c>
      <c r="AP4183" s="28"/>
      <c r="AQ4183" s="28" t="n">
        <f aca="false">AP4183*$M4183</f>
        <v>0</v>
      </c>
      <c r="AR4183" s="28"/>
      <c r="AS4183" s="28" t="n">
        <f aca="false">AR4183*$M4183</f>
        <v>0</v>
      </c>
      <c r="AT4183" s="28"/>
      <c r="AU4183" s="28" t="n">
        <f aca="false">AT4183*$M4183</f>
        <v>0</v>
      </c>
      <c r="AV4183" s="28"/>
      <c r="AW4183" s="28" t="n">
        <f aca="false">AV4183*$M4183</f>
        <v>0</v>
      </c>
      <c r="AX4183" s="28"/>
      <c r="AY4183" s="28" t="n">
        <f aca="false">AX4183*$M4183</f>
        <v>0</v>
      </c>
      <c r="AZ4183" s="30" t="n">
        <v>138006</v>
      </c>
      <c r="BA4183" s="11" t="n">
        <v>3864188</v>
      </c>
      <c r="BB4183" s="31" t="n">
        <f aca="false">SUM(Q4183,S4183,U4183,W4183,Y4183,AA4183,AC4183,AE4183,AG4183,AI4183,AK4183,AM4183,AO4183,AQ4183,AS4183,AU4183,AW4183,AY4183)</f>
        <v>3864188</v>
      </c>
      <c r="BC4183" s="28" t="n">
        <f aca="false">BA4183-BB4183</f>
        <v>0</v>
      </c>
      <c r="BD4183" s="32" t="n">
        <f aca="false">SUM(P4183,R4183,T4183,V4183,X4183,Z4183,AB4183,AD4183,AF4183,AH4183,AJ4183,AL4183,AN4183,AP4183,AR4183,AT4183,AV4183,AX4183)</f>
        <v>138006</v>
      </c>
      <c r="BE4183" s="33" t="n">
        <f aca="false">AZ4183-BD4183</f>
        <v>0</v>
      </c>
      <c r="BF4183" s="34" t="n">
        <f aca="false">BD4183*M4183</f>
        <v>3864168</v>
      </c>
      <c r="BG4183" s="35" t="n">
        <f aca="false">BA4183-BF4183</f>
        <v>20</v>
      </c>
      <c r="BH4183" s="19" t="str">
        <f aca="false">IF(BG4183=0,"",IF(BG4183&lt;&gt;BA4183,"erreur de calcul",IF(BD4183&lt;&gt;0,"pas de prix",IF(M4183&lt;&gt; 0,"pas de quantité","pas de prix, ni de quantité"))))</f>
        <v>erreur de calcul</v>
      </c>
      <c r="BI4183" s="19"/>
    </row>
    <row r="4184" customFormat="false" ht="15" hidden="false" customHeight="false" outlineLevel="0" collapsed="false">
      <c r="A4184" s="0" t="n">
        <v>33</v>
      </c>
      <c r="B4184" s="8" t="s">
        <v>24</v>
      </c>
      <c r="C4184" s="9" t="s">
        <v>25</v>
      </c>
      <c r="D4184" s="9" t="s">
        <v>26</v>
      </c>
      <c r="E4184" s="10" t="n">
        <v>1789</v>
      </c>
      <c r="F4184" s="9" t="s">
        <v>27</v>
      </c>
      <c r="G4184" s="9" t="s">
        <v>27</v>
      </c>
      <c r="H4184" s="11" t="n">
        <v>26</v>
      </c>
      <c r="I4184" s="11" t="s">
        <v>404</v>
      </c>
      <c r="J4184" s="14"/>
      <c r="K4184" s="14" t="n">
        <v>30</v>
      </c>
      <c r="L4184" s="16"/>
      <c r="M4184" s="27" t="n">
        <f aca="false">J4184+(K4184/20)+(L4184/240)</f>
        <v>1.5</v>
      </c>
      <c r="N4184" s="17" t="s">
        <v>66</v>
      </c>
      <c r="O4184" s="11"/>
      <c r="P4184" s="28"/>
      <c r="Q4184" s="28" t="n">
        <f aca="false">P4184*$M4184</f>
        <v>0</v>
      </c>
      <c r="R4184" s="28"/>
      <c r="S4184" s="28" t="n">
        <f aca="false">R4184*$M4184</f>
        <v>0</v>
      </c>
      <c r="T4184" s="28" t="n">
        <v>11245</v>
      </c>
      <c r="U4184" s="28" t="n">
        <v>16867</v>
      </c>
      <c r="V4184" s="28"/>
      <c r="W4184" s="28" t="n">
        <f aca="false">V4184*$M4184</f>
        <v>0</v>
      </c>
      <c r="X4184" s="28"/>
      <c r="Y4184" s="28" t="n">
        <f aca="false">X4184*$M4184</f>
        <v>0</v>
      </c>
      <c r="Z4184" s="28"/>
      <c r="AA4184" s="28" t="n">
        <f aca="false">Z4184*$M4184</f>
        <v>0</v>
      </c>
      <c r="AB4184" s="28"/>
      <c r="AC4184" s="28" t="n">
        <f aca="false">AB4184*$M4184</f>
        <v>0</v>
      </c>
      <c r="AD4184" s="28"/>
      <c r="AE4184" s="28" t="n">
        <f aca="false">AD4184*$M4184</f>
        <v>0</v>
      </c>
      <c r="AF4184" s="28"/>
      <c r="AG4184" s="28" t="n">
        <f aca="false">AF4184*$M4184</f>
        <v>0</v>
      </c>
      <c r="AH4184" s="28"/>
      <c r="AI4184" s="28" t="n">
        <f aca="false">AH4184*$M4184</f>
        <v>0</v>
      </c>
      <c r="AJ4184" s="28"/>
      <c r="AK4184" s="28" t="n">
        <f aca="false">AJ4184*$M4184</f>
        <v>0</v>
      </c>
      <c r="AL4184" s="28"/>
      <c r="AM4184" s="28" t="n">
        <f aca="false">AL4184*$M4184</f>
        <v>0</v>
      </c>
      <c r="AN4184" s="28"/>
      <c r="AO4184" s="28" t="n">
        <f aca="false">AN4184*$M4184</f>
        <v>0</v>
      </c>
      <c r="AP4184" s="28"/>
      <c r="AQ4184" s="28" t="n">
        <f aca="false">AP4184*$M4184</f>
        <v>0</v>
      </c>
      <c r="AR4184" s="28"/>
      <c r="AS4184" s="28" t="n">
        <f aca="false">AR4184*$M4184</f>
        <v>0</v>
      </c>
      <c r="AT4184" s="28"/>
      <c r="AU4184" s="28" t="n">
        <f aca="false">AT4184*$M4184</f>
        <v>0</v>
      </c>
      <c r="AV4184" s="28"/>
      <c r="AW4184" s="28" t="n">
        <f aca="false">AV4184*$M4184</f>
        <v>0</v>
      </c>
      <c r="AX4184" s="28"/>
      <c r="AY4184" s="28" t="n">
        <f aca="false">AX4184*$M4184</f>
        <v>0</v>
      </c>
      <c r="AZ4184" s="30" t="n">
        <v>11245</v>
      </c>
      <c r="BA4184" s="11" t="n">
        <v>16867</v>
      </c>
      <c r="BB4184" s="31" t="n">
        <f aca="false">SUM(Q4184,S4184,U4184,W4184,Y4184,AA4184,AC4184,AE4184,AG4184,AI4184,AK4184,AM4184,AO4184,AQ4184,AS4184,AU4184,AW4184,AY4184)</f>
        <v>16867</v>
      </c>
      <c r="BC4184" s="28" t="n">
        <f aca="false">BA4184-BB4184</f>
        <v>0</v>
      </c>
      <c r="BD4184" s="32" t="n">
        <f aca="false">SUM(P4184,R4184,T4184,V4184,X4184,Z4184,AB4184,AD4184,AF4184,AH4184,AJ4184,AL4184,AN4184,AP4184,AR4184,AT4184,AV4184,AX4184)</f>
        <v>11245</v>
      </c>
      <c r="BE4184" s="33" t="n">
        <f aca="false">AZ4184-BD4184</f>
        <v>0</v>
      </c>
      <c r="BF4184" s="34" t="n">
        <f aca="false">BD4184*M4184</f>
        <v>16867.5</v>
      </c>
      <c r="BG4184" s="35" t="n">
        <f aca="false">BA4184-BF4184</f>
        <v>-0.5</v>
      </c>
      <c r="BH4184" s="19" t="str">
        <f aca="false">IF(BG4184=0,"",IF(BG4184&lt;&gt;BA4184,"erreur de calcul",IF(BD4184&lt;&gt;0,"pas de prix",IF(M4184&lt;&gt; 0,"pas de quantité","pas de prix, ni de quantité"))))</f>
        <v>erreur de calcul</v>
      </c>
      <c r="BI4184" s="19"/>
    </row>
    <row r="4185" customFormat="false" ht="15" hidden="false" customHeight="false" outlineLevel="0" collapsed="false">
      <c r="A4185" s="0" t="n">
        <v>34</v>
      </c>
      <c r="B4185" s="8" t="s">
        <v>24</v>
      </c>
      <c r="C4185" s="9" t="s">
        <v>25</v>
      </c>
      <c r="D4185" s="9" t="s">
        <v>26</v>
      </c>
      <c r="E4185" s="10" t="n">
        <v>1789</v>
      </c>
      <c r="F4185" s="9" t="s">
        <v>27</v>
      </c>
      <c r="G4185" s="9" t="s">
        <v>27</v>
      </c>
      <c r="H4185" s="11" t="n">
        <v>26</v>
      </c>
      <c r="I4185" s="11" t="s">
        <v>405</v>
      </c>
      <c r="J4185" s="14"/>
      <c r="K4185" s="14" t="n">
        <v>40</v>
      </c>
      <c r="L4185" s="16"/>
      <c r="M4185" s="27" t="n">
        <f aca="false">J4185+(K4185/20)+(L4185/240)</f>
        <v>2</v>
      </c>
      <c r="N4185" s="17" t="s">
        <v>66</v>
      </c>
      <c r="O4185" s="11"/>
      <c r="P4185" s="28"/>
      <c r="Q4185" s="28" t="n">
        <f aca="false">P4185*$M4185</f>
        <v>0</v>
      </c>
      <c r="R4185" s="28"/>
      <c r="S4185" s="28" t="n">
        <f aca="false">R4185*$M4185</f>
        <v>0</v>
      </c>
      <c r="T4185" s="28"/>
      <c r="U4185" s="28" t="n">
        <f aca="false">T4185*$M4185</f>
        <v>0</v>
      </c>
      <c r="V4185" s="28"/>
      <c r="W4185" s="28" t="n">
        <f aca="false">V4185*$M4185</f>
        <v>0</v>
      </c>
      <c r="X4185" s="28"/>
      <c r="Y4185" s="28" t="n">
        <f aca="false">X4185*$M4185</f>
        <v>0</v>
      </c>
      <c r="Z4185" s="28"/>
      <c r="AA4185" s="28" t="n">
        <f aca="false">Z4185*$M4185</f>
        <v>0</v>
      </c>
      <c r="AB4185" s="28"/>
      <c r="AC4185" s="28" t="n">
        <f aca="false">AB4185*$M4185</f>
        <v>0</v>
      </c>
      <c r="AD4185" s="28"/>
      <c r="AE4185" s="28" t="n">
        <f aca="false">AD4185*$M4185</f>
        <v>0</v>
      </c>
      <c r="AF4185" s="28"/>
      <c r="AG4185" s="28" t="n">
        <f aca="false">AF4185*$M4185</f>
        <v>0</v>
      </c>
      <c r="AH4185" s="28" t="n">
        <v>9380</v>
      </c>
      <c r="AI4185" s="28" t="n">
        <v>18760</v>
      </c>
      <c r="AJ4185" s="28"/>
      <c r="AK4185" s="28" t="n">
        <f aca="false">AJ4185*$M4185</f>
        <v>0</v>
      </c>
      <c r="AL4185" s="28"/>
      <c r="AM4185" s="28" t="n">
        <f aca="false">AL4185*$M4185</f>
        <v>0</v>
      </c>
      <c r="AN4185" s="28"/>
      <c r="AO4185" s="28" t="n">
        <f aca="false">AN4185*$M4185</f>
        <v>0</v>
      </c>
      <c r="AP4185" s="28"/>
      <c r="AQ4185" s="28" t="n">
        <f aca="false">AP4185*$M4185</f>
        <v>0</v>
      </c>
      <c r="AR4185" s="28"/>
      <c r="AS4185" s="28" t="n">
        <f aca="false">AR4185*$M4185</f>
        <v>0</v>
      </c>
      <c r="AT4185" s="28"/>
      <c r="AU4185" s="28" t="n">
        <f aca="false">AT4185*$M4185</f>
        <v>0</v>
      </c>
      <c r="AV4185" s="28"/>
      <c r="AW4185" s="28" t="n">
        <f aca="false">AV4185*$M4185</f>
        <v>0</v>
      </c>
      <c r="AX4185" s="28"/>
      <c r="AY4185" s="28" t="n">
        <f aca="false">AX4185*$M4185</f>
        <v>0</v>
      </c>
      <c r="AZ4185" s="30" t="n">
        <v>9380</v>
      </c>
      <c r="BA4185" s="11" t="n">
        <v>18760</v>
      </c>
      <c r="BB4185" s="31" t="n">
        <f aca="false">SUM(Q4185,S4185,U4185,W4185,Y4185,AA4185,AC4185,AE4185,AG4185,AI4185,AK4185,AM4185,AO4185,AQ4185,AS4185,AU4185,AW4185,AY4185)</f>
        <v>18760</v>
      </c>
      <c r="BC4185" s="28" t="n">
        <f aca="false">BA4185-BB4185</f>
        <v>0</v>
      </c>
      <c r="BD4185" s="32" t="n">
        <f aca="false">SUM(P4185,R4185,T4185,V4185,X4185,Z4185,AB4185,AD4185,AF4185,AH4185,AJ4185,AL4185,AN4185,AP4185,AR4185,AT4185,AV4185,AX4185)</f>
        <v>9380</v>
      </c>
      <c r="BE4185" s="33" t="n">
        <f aca="false">AZ4185-BD4185</f>
        <v>0</v>
      </c>
      <c r="BF4185" s="34" t="n">
        <f aca="false">BD4185*M4185</f>
        <v>18760</v>
      </c>
      <c r="BG4185" s="35" t="n">
        <f aca="false">BA4185-BF4185</f>
        <v>0</v>
      </c>
      <c r="BH4185" s="19" t="str">
        <f aca="false">IF(BG4185=0,"",IF(BG4185&lt;&gt;BA4185,"erreur de calcul",IF(BD4185&lt;&gt;0,"pas de prix",IF(M4185&lt;&gt; 0,"pas de quantité","pas de prix, ni de quantité"))))</f>
        <v/>
      </c>
      <c r="BI4185" s="19"/>
    </row>
    <row r="4186" customFormat="false" ht="15" hidden="false" customHeight="false" outlineLevel="0" collapsed="false">
      <c r="A4186" s="0" t="n">
        <v>35</v>
      </c>
      <c r="B4186" s="8" t="s">
        <v>24</v>
      </c>
      <c r="C4186" s="9" t="s">
        <v>25</v>
      </c>
      <c r="D4186" s="9" t="s">
        <v>26</v>
      </c>
      <c r="E4186" s="10" t="n">
        <v>1789</v>
      </c>
      <c r="F4186" s="9" t="s">
        <v>27</v>
      </c>
      <c r="G4186" s="9" t="s">
        <v>27</v>
      </c>
      <c r="H4186" s="11" t="n">
        <v>26</v>
      </c>
      <c r="I4186" s="11" t="s">
        <v>406</v>
      </c>
      <c r="J4186" s="14" t="n">
        <v>55</v>
      </c>
      <c r="K4186" s="14"/>
      <c r="L4186" s="16"/>
      <c r="M4186" s="27" t="n">
        <f aca="false">J4186+(K4186/20)+(L4186/240)</f>
        <v>55</v>
      </c>
      <c r="N4186" s="17" t="s">
        <v>64</v>
      </c>
      <c r="O4186" s="11"/>
      <c r="P4186" s="28" t="n">
        <f aca="false">634/100</f>
        <v>6.34</v>
      </c>
      <c r="Q4186" s="28" t="n">
        <v>349</v>
      </c>
      <c r="R4186" s="28"/>
      <c r="S4186" s="28" t="n">
        <f aca="false">R4186*$M4186</f>
        <v>0</v>
      </c>
      <c r="T4186" s="28" t="n">
        <f aca="false">2450/100</f>
        <v>24.5</v>
      </c>
      <c r="U4186" s="28" t="n">
        <v>1347</v>
      </c>
      <c r="V4186" s="28" t="n">
        <f aca="false">9685/100</f>
        <v>96.85</v>
      </c>
      <c r="W4186" s="28" t="n">
        <v>5327</v>
      </c>
      <c r="X4186" s="28"/>
      <c r="Y4186" s="28" t="n">
        <f aca="false">X4186*$M4186</f>
        <v>0</v>
      </c>
      <c r="Z4186" s="28"/>
      <c r="AA4186" s="28" t="n">
        <f aca="false">Z4186*$M4186</f>
        <v>0</v>
      </c>
      <c r="AB4186" s="28"/>
      <c r="AC4186" s="28" t="n">
        <f aca="false">AB4186*$M4186</f>
        <v>0</v>
      </c>
      <c r="AD4186" s="28"/>
      <c r="AE4186" s="28" t="n">
        <f aca="false">AD4186*$M4186</f>
        <v>0</v>
      </c>
      <c r="AF4186" s="28"/>
      <c r="AG4186" s="28" t="n">
        <f aca="false">AF4186*$M4186</f>
        <v>0</v>
      </c>
      <c r="AH4186" s="28"/>
      <c r="AI4186" s="28" t="n">
        <f aca="false">AH4186*$M4186</f>
        <v>0</v>
      </c>
      <c r="AJ4186" s="28"/>
      <c r="AK4186" s="28" t="n">
        <f aca="false">AJ4186*$M4186</f>
        <v>0</v>
      </c>
      <c r="AL4186" s="28"/>
      <c r="AM4186" s="28" t="n">
        <f aca="false">AL4186*$M4186</f>
        <v>0</v>
      </c>
      <c r="AN4186" s="28"/>
      <c r="AO4186" s="28" t="n">
        <f aca="false">AN4186*$M4186</f>
        <v>0</v>
      </c>
      <c r="AP4186" s="28"/>
      <c r="AQ4186" s="28" t="n">
        <f aca="false">AP4186*$M4186</f>
        <v>0</v>
      </c>
      <c r="AR4186" s="28"/>
      <c r="AS4186" s="28" t="n">
        <f aca="false">AR4186*$M4186</f>
        <v>0</v>
      </c>
      <c r="AT4186" s="28"/>
      <c r="AU4186" s="28" t="n">
        <f aca="false">AT4186*$M4186</f>
        <v>0</v>
      </c>
      <c r="AV4186" s="28"/>
      <c r="AW4186" s="28" t="n">
        <f aca="false">AV4186*$M4186</f>
        <v>0</v>
      </c>
      <c r="AX4186" s="28"/>
      <c r="AY4186" s="28" t="n">
        <f aca="false">AX4186*$M4186</f>
        <v>0</v>
      </c>
      <c r="AZ4186" s="30" t="n">
        <f aca="false">12769/100</f>
        <v>127.69</v>
      </c>
      <c r="BA4186" s="11" t="n">
        <v>7023</v>
      </c>
      <c r="BB4186" s="31" t="n">
        <f aca="false">SUM(Q4186,S4186,U4186,W4186,Y4186,AA4186,AC4186,AE4186,AG4186,AI4186,AK4186,AM4186,AO4186,AQ4186,AS4186,AU4186,AW4186,AY4186)</f>
        <v>7023</v>
      </c>
      <c r="BC4186" s="28" t="n">
        <f aca="false">BA4186-BB4186</f>
        <v>0</v>
      </c>
      <c r="BD4186" s="32" t="n">
        <f aca="false">SUM(P4186,R4186,T4186,V4186,X4186,Z4186,AB4186,AD4186,AF4186,AH4186,AJ4186,AL4186,AN4186,AP4186,AR4186,AT4186,AV4186,AX4186)</f>
        <v>127.69</v>
      </c>
      <c r="BE4186" s="33" t="n">
        <f aca="false">AZ4186-BD4186</f>
        <v>0</v>
      </c>
      <c r="BF4186" s="34" t="n">
        <f aca="false">BD4186*M4186</f>
        <v>7022.95</v>
      </c>
      <c r="BG4186" s="35" t="n">
        <f aca="false">BA4186-BF4186</f>
        <v>0.0500000000001819</v>
      </c>
      <c r="BH4186" s="19" t="str">
        <f aca="false">IF(BG4186=0,"",IF(BG4186&lt;&gt;BA4186,"erreur de calcul",IF(BD4186&lt;&gt;0,"pas de prix",IF(M4186&lt;&gt; 0,"pas de quantité","pas de prix, ni de quantité"))))</f>
        <v>erreur de calcul</v>
      </c>
      <c r="BI4186" s="19"/>
    </row>
    <row r="4187" customFormat="false" ht="15" hidden="false" customHeight="false" outlineLevel="0" collapsed="false">
      <c r="A4187" s="0" t="n">
        <v>36</v>
      </c>
      <c r="B4187" s="8" t="s">
        <v>24</v>
      </c>
      <c r="C4187" s="9" t="s">
        <v>25</v>
      </c>
      <c r="D4187" s="9" t="s">
        <v>26</v>
      </c>
      <c r="E4187" s="10" t="n">
        <v>1789</v>
      </c>
      <c r="F4187" s="9" t="s">
        <v>27</v>
      </c>
      <c r="G4187" s="9" t="s">
        <v>27</v>
      </c>
      <c r="H4187" s="11" t="n">
        <v>26</v>
      </c>
      <c r="I4187" s="11" t="s">
        <v>407</v>
      </c>
      <c r="J4187" s="14" t="n">
        <v>44</v>
      </c>
      <c r="K4187" s="14"/>
      <c r="L4187" s="16"/>
      <c r="M4187" s="27" t="n">
        <f aca="false">J4187+(K4187/20)+(L4187/240)</f>
        <v>44</v>
      </c>
      <c r="N4187" s="17" t="s">
        <v>64</v>
      </c>
      <c r="O4187" s="11" t="s">
        <v>77</v>
      </c>
      <c r="P4187" s="28" t="n">
        <f aca="false">68669/100</f>
        <v>686.69</v>
      </c>
      <c r="Q4187" s="28" t="n">
        <v>30214</v>
      </c>
      <c r="R4187" s="28"/>
      <c r="S4187" s="28" t="n">
        <f aca="false">R4187*$M4187</f>
        <v>0</v>
      </c>
      <c r="T4187" s="28" t="n">
        <f aca="false">7101/100</f>
        <v>71.01</v>
      </c>
      <c r="U4187" s="28" t="n">
        <v>3124</v>
      </c>
      <c r="V4187" s="28" t="n">
        <f aca="false">27549/100</f>
        <v>275.49</v>
      </c>
      <c r="W4187" s="28" t="n">
        <v>12121</v>
      </c>
      <c r="X4187" s="28" t="n">
        <f aca="false">947914/100</f>
        <v>9479.14</v>
      </c>
      <c r="Y4187" s="28" t="n">
        <v>417082</v>
      </c>
      <c r="Z4187" s="28" t="n">
        <f aca="false">183606/100</f>
        <v>1836.06</v>
      </c>
      <c r="AA4187" s="28" t="n">
        <v>80787</v>
      </c>
      <c r="AB4187" s="28" t="n">
        <f aca="false">36047/100</f>
        <v>360.47</v>
      </c>
      <c r="AC4187" s="28" t="n">
        <v>15861</v>
      </c>
      <c r="AD4187" s="28" t="n">
        <f aca="false">12322/100</f>
        <v>123.22</v>
      </c>
      <c r="AE4187" s="28" t="n">
        <v>5422</v>
      </c>
      <c r="AF4187" s="28"/>
      <c r="AG4187" s="28" t="n">
        <f aca="false">AF4187*$M4187</f>
        <v>0</v>
      </c>
      <c r="AH4187" s="28" t="n">
        <f aca="false">3318/100</f>
        <v>33.18</v>
      </c>
      <c r="AI4187" s="28" t="n">
        <v>1460</v>
      </c>
      <c r="AJ4187" s="28"/>
      <c r="AK4187" s="28" t="n">
        <f aca="false">AJ4187*$M4187</f>
        <v>0</v>
      </c>
      <c r="AL4187" s="28" t="n">
        <f aca="false">28260/100</f>
        <v>282.6</v>
      </c>
      <c r="AM4187" s="28" t="n">
        <v>12434</v>
      </c>
      <c r="AN4187" s="28"/>
      <c r="AO4187" s="28" t="n">
        <f aca="false">AN4187*$M4187</f>
        <v>0</v>
      </c>
      <c r="AP4187" s="28"/>
      <c r="AQ4187" s="28" t="n">
        <f aca="false">AP4187*$M4187</f>
        <v>0</v>
      </c>
      <c r="AR4187" s="28"/>
      <c r="AS4187" s="28" t="n">
        <f aca="false">AR4187*$M4187</f>
        <v>0</v>
      </c>
      <c r="AT4187" s="28"/>
      <c r="AU4187" s="28" t="n">
        <f aca="false">AT4187*$M4187</f>
        <v>0</v>
      </c>
      <c r="AV4187" s="28"/>
      <c r="AW4187" s="28" t="n">
        <f aca="false">AV4187*$M4187</f>
        <v>0</v>
      </c>
      <c r="AX4187" s="28"/>
      <c r="AY4187" s="28" t="n">
        <f aca="false">AX4187*$M4187</f>
        <v>0</v>
      </c>
      <c r="AZ4187" s="30" t="n">
        <f aca="false">1314786/100</f>
        <v>13147.86</v>
      </c>
      <c r="BA4187" s="11" t="n">
        <v>578505</v>
      </c>
      <c r="BB4187" s="31" t="n">
        <f aca="false">SUM(Q4187,S4187,U4187,W4187,Y4187,AA4187,AC4187,AE4187,AG4187,AI4187,AK4187,AM4187,AO4187,AQ4187,AS4187,AU4187,AW4187,AY4187)</f>
        <v>578505</v>
      </c>
      <c r="BC4187" s="28" t="n">
        <f aca="false">BA4187-BB4187</f>
        <v>0</v>
      </c>
      <c r="BD4187" s="32" t="n">
        <f aca="false">SUM(P4187,R4187,T4187,V4187,X4187,Z4187,AB4187,AD4187,AF4187,AH4187,AJ4187,AL4187,AN4187,AP4187,AR4187,AT4187,AV4187,AX4187)</f>
        <v>13147.86</v>
      </c>
      <c r="BE4187" s="33" t="n">
        <f aca="false">AZ4187-BD4187</f>
        <v>0</v>
      </c>
      <c r="BF4187" s="34" t="n">
        <f aca="false">BD4187*M4187</f>
        <v>578505.84</v>
      </c>
      <c r="BG4187" s="35" t="n">
        <f aca="false">BA4187-BF4187</f>
        <v>-0.839999999967404</v>
      </c>
      <c r="BH4187" s="19" t="str">
        <f aca="false">IF(BG4187=0,"",IF(BG4187&lt;&gt;BA4187,"erreur de calcul",IF(BD4187&lt;&gt;0,"pas de prix",IF(M4187&lt;&gt; 0,"pas de quantité","pas de prix, ni de quantité"))))</f>
        <v>erreur de calcul</v>
      </c>
      <c r="BI4187" s="19"/>
    </row>
    <row r="4188" customFormat="false" ht="15" hidden="false" customHeight="false" outlineLevel="0" collapsed="false">
      <c r="A4188" s="0" t="n">
        <v>37</v>
      </c>
      <c r="B4188" s="8" t="s">
        <v>24</v>
      </c>
      <c r="C4188" s="9" t="s">
        <v>25</v>
      </c>
      <c r="D4188" s="9" t="s">
        <v>26</v>
      </c>
      <c r="E4188" s="10" t="n">
        <v>1789</v>
      </c>
      <c r="F4188" s="9" t="s">
        <v>27</v>
      </c>
      <c r="G4188" s="9" t="s">
        <v>27</v>
      </c>
      <c r="H4188" s="11" t="n">
        <v>26</v>
      </c>
      <c r="I4188" s="11" t="s">
        <v>408</v>
      </c>
      <c r="J4188" s="14" t="n">
        <v>40</v>
      </c>
      <c r="K4188" s="14"/>
      <c r="L4188" s="16"/>
      <c r="M4188" s="27" t="n">
        <f aca="false">J4188+(K4188/20)+(L4188/240)</f>
        <v>40</v>
      </c>
      <c r="N4188" s="17" t="s">
        <v>64</v>
      </c>
      <c r="O4188" s="11"/>
      <c r="P4188" s="28"/>
      <c r="Q4188" s="28" t="n">
        <f aca="false">P4188*$M4188</f>
        <v>0</v>
      </c>
      <c r="R4188" s="28"/>
      <c r="S4188" s="28" t="n">
        <f aca="false">R4188*$M4188</f>
        <v>0</v>
      </c>
      <c r="T4188" s="28"/>
      <c r="U4188" s="28" t="n">
        <f aca="false">T4188*$M4188</f>
        <v>0</v>
      </c>
      <c r="V4188" s="28" t="n">
        <f aca="false">4827/100</f>
        <v>48.27</v>
      </c>
      <c r="W4188" s="28" t="n">
        <v>1931</v>
      </c>
      <c r="X4188" s="28"/>
      <c r="Y4188" s="28" t="n">
        <f aca="false">X4188*$M4188</f>
        <v>0</v>
      </c>
      <c r="Z4188" s="28"/>
      <c r="AA4188" s="28" t="n">
        <f aca="false">Z4188*$M4188</f>
        <v>0</v>
      </c>
      <c r="AB4188" s="28"/>
      <c r="AC4188" s="28" t="n">
        <f aca="false">AB4188*$M4188</f>
        <v>0</v>
      </c>
      <c r="AD4188" s="28"/>
      <c r="AE4188" s="28" t="n">
        <f aca="false">AD4188*$M4188</f>
        <v>0</v>
      </c>
      <c r="AF4188" s="28"/>
      <c r="AG4188" s="28" t="n">
        <f aca="false">AF4188*$M4188</f>
        <v>0</v>
      </c>
      <c r="AH4188" s="28"/>
      <c r="AI4188" s="28" t="n">
        <f aca="false">AH4188*$M4188</f>
        <v>0</v>
      </c>
      <c r="AJ4188" s="28"/>
      <c r="AK4188" s="28" t="n">
        <f aca="false">AJ4188*$M4188</f>
        <v>0</v>
      </c>
      <c r="AL4188" s="28"/>
      <c r="AM4188" s="28" t="n">
        <f aca="false">AL4188*$M4188</f>
        <v>0</v>
      </c>
      <c r="AN4188" s="28"/>
      <c r="AO4188" s="28" t="n">
        <f aca="false">AN4188*$M4188</f>
        <v>0</v>
      </c>
      <c r="AP4188" s="28"/>
      <c r="AQ4188" s="28" t="n">
        <f aca="false">AP4188*$M4188</f>
        <v>0</v>
      </c>
      <c r="AR4188" s="28"/>
      <c r="AS4188" s="28" t="n">
        <f aca="false">AR4188*$M4188</f>
        <v>0</v>
      </c>
      <c r="AT4188" s="28"/>
      <c r="AU4188" s="28" t="n">
        <f aca="false">AT4188*$M4188</f>
        <v>0</v>
      </c>
      <c r="AV4188" s="28"/>
      <c r="AW4188" s="28" t="n">
        <f aca="false">AV4188*$M4188</f>
        <v>0</v>
      </c>
      <c r="AX4188" s="28" t="n">
        <f aca="false">835109/100</f>
        <v>8351.09</v>
      </c>
      <c r="AY4188" s="28" t="n">
        <v>334044</v>
      </c>
      <c r="AZ4188" s="30" t="n">
        <f aca="false">839936/100</f>
        <v>8399.36</v>
      </c>
      <c r="BA4188" s="11" t="n">
        <v>335975</v>
      </c>
      <c r="BB4188" s="31" t="n">
        <f aca="false">SUM(Q4188,S4188,U4188,W4188,Y4188,AA4188,AC4188,AE4188,AG4188,AI4188,AK4188,AM4188,AO4188,AQ4188,AS4188,AU4188,AW4188,AY4188)</f>
        <v>335975</v>
      </c>
      <c r="BC4188" s="28" t="n">
        <f aca="false">BA4188-BB4188</f>
        <v>0</v>
      </c>
      <c r="BD4188" s="32" t="n">
        <f aca="false">SUM(P4188,R4188,T4188,V4188,X4188,Z4188,AB4188,AD4188,AF4188,AH4188,AJ4188,AL4188,AN4188,AP4188,AR4188,AT4188,AV4188,AX4188)</f>
        <v>8399.36</v>
      </c>
      <c r="BE4188" s="33" t="n">
        <f aca="false">AZ4188-BD4188</f>
        <v>0</v>
      </c>
      <c r="BF4188" s="34" t="n">
        <f aca="false">BD4188*M4188</f>
        <v>335974.4</v>
      </c>
      <c r="BG4188" s="35" t="n">
        <f aca="false">BA4188-BF4188</f>
        <v>0.599999999976717</v>
      </c>
      <c r="BH4188" s="19" t="str">
        <f aca="false">IF(BG4188=0,"",IF(BG4188&lt;&gt;BA4188,"erreur de calcul",IF(BD4188&lt;&gt;0,"pas de prix",IF(M4188&lt;&gt; 0,"pas de quantité","pas de prix, ni de quantité"))))</f>
        <v>erreur de calcul</v>
      </c>
      <c r="BI4188" s="19"/>
    </row>
    <row r="4189" customFormat="false" ht="16.65" hidden="false" customHeight="false" outlineLevel="0" collapsed="false">
      <c r="A4189" s="0" t="n">
        <v>38</v>
      </c>
      <c r="B4189" s="8" t="s">
        <v>24</v>
      </c>
      <c r="C4189" s="9" t="s">
        <v>25</v>
      </c>
      <c r="D4189" s="9" t="s">
        <v>26</v>
      </c>
      <c r="E4189" s="10" t="n">
        <v>1789</v>
      </c>
      <c r="F4189" s="9" t="s">
        <v>27</v>
      </c>
      <c r="G4189" s="9" t="s">
        <v>27</v>
      </c>
      <c r="H4189" s="11" t="n">
        <v>26</v>
      </c>
      <c r="I4189" s="11" t="s">
        <v>409</v>
      </c>
      <c r="J4189" s="14"/>
      <c r="K4189" s="14" t="n">
        <v>13</v>
      </c>
      <c r="L4189" s="16"/>
      <c r="M4189" s="27" t="n">
        <f aca="false">J4189+(K4189/20)+(L4189/240)</f>
        <v>0.65</v>
      </c>
      <c r="N4189" s="17" t="s">
        <v>64</v>
      </c>
      <c r="O4189" s="11"/>
      <c r="P4189" s="28"/>
      <c r="Q4189" s="28" t="n">
        <f aca="false">P4189*$M4189</f>
        <v>0</v>
      </c>
      <c r="R4189" s="28"/>
      <c r="S4189" s="28" t="n">
        <f aca="false">R4189*$M4189</f>
        <v>0</v>
      </c>
      <c r="T4189" s="28"/>
      <c r="U4189" s="28" t="n">
        <f aca="false">T4189*$M4189</f>
        <v>0</v>
      </c>
      <c r="V4189" s="28"/>
      <c r="W4189" s="28" t="n">
        <f aca="false">V4189*$M4189</f>
        <v>0</v>
      </c>
      <c r="X4189" s="28"/>
      <c r="Y4189" s="28" t="n">
        <f aca="false">X4189*$M4189</f>
        <v>0</v>
      </c>
      <c r="Z4189" s="28" t="n">
        <f aca="false">2471002/100</f>
        <v>24710.02</v>
      </c>
      <c r="AA4189" s="28" t="n">
        <v>16061</v>
      </c>
      <c r="AB4189" s="28"/>
      <c r="AC4189" s="28" t="n">
        <f aca="false">AB4189*$M4189</f>
        <v>0</v>
      </c>
      <c r="AD4189" s="28"/>
      <c r="AE4189" s="28" t="n">
        <f aca="false">AD4189*$M4189</f>
        <v>0</v>
      </c>
      <c r="AF4189" s="28"/>
      <c r="AG4189" s="28" t="n">
        <f aca="false">AF4189*$M4189</f>
        <v>0</v>
      </c>
      <c r="AH4189" s="28"/>
      <c r="AI4189" s="28" t="n">
        <f aca="false">AH4189*$M4189</f>
        <v>0</v>
      </c>
      <c r="AJ4189" s="28"/>
      <c r="AK4189" s="28" t="n">
        <f aca="false">AJ4189*$M4189</f>
        <v>0</v>
      </c>
      <c r="AL4189" s="28"/>
      <c r="AM4189" s="28" t="n">
        <f aca="false">AL4189*$M4189</f>
        <v>0</v>
      </c>
      <c r="AN4189" s="28"/>
      <c r="AO4189" s="28" t="n">
        <f aca="false">AN4189*$M4189</f>
        <v>0</v>
      </c>
      <c r="AP4189" s="28"/>
      <c r="AQ4189" s="28" t="n">
        <f aca="false">AP4189*$M4189</f>
        <v>0</v>
      </c>
      <c r="AR4189" s="28"/>
      <c r="AS4189" s="28" t="n">
        <f aca="false">AR4189*$M4189</f>
        <v>0</v>
      </c>
      <c r="AT4189" s="28"/>
      <c r="AU4189" s="28" t="n">
        <f aca="false">AT4189*$M4189</f>
        <v>0</v>
      </c>
      <c r="AV4189" s="28"/>
      <c r="AW4189" s="28" t="n">
        <f aca="false">AV4189*$M4189</f>
        <v>0</v>
      </c>
      <c r="AX4189" s="28"/>
      <c r="AY4189" s="28" t="n">
        <f aca="false">AX4189*$M4189</f>
        <v>0</v>
      </c>
      <c r="AZ4189" s="30" t="n">
        <f aca="false">2471002</f>
        <v>2471002</v>
      </c>
      <c r="BA4189" s="11" t="n">
        <v>16061</v>
      </c>
      <c r="BB4189" s="31" t="n">
        <f aca="false">SUM(Q4189,S4189,U4189,W4189,Y4189,AA4189,AC4189,AE4189,AG4189,AI4189,AK4189,AM4189,AO4189,AQ4189,AS4189,AU4189,AW4189,AY4189)</f>
        <v>16061</v>
      </c>
      <c r="BC4189" s="28" t="n">
        <f aca="false">BA4189-BB4189</f>
        <v>0</v>
      </c>
      <c r="BD4189" s="32" t="n">
        <f aca="false">SUM(P4189,R4189,T4189,V4189,X4189,Z4189,AB4189,AD4189,AF4189,AH4189,AJ4189,AL4189,AN4189,AP4189,AR4189,AT4189,AV4189,AX4189)</f>
        <v>24710.02</v>
      </c>
      <c r="BE4189" s="33" t="n">
        <f aca="false">AZ4189-BD4189</f>
        <v>2446291.98</v>
      </c>
      <c r="BF4189" s="34" t="n">
        <f aca="false">BD4189*M4189</f>
        <v>16061.513</v>
      </c>
      <c r="BG4189" s="35" t="n">
        <f aca="false">BA4189-BF4189</f>
        <v>-0.513000000000829</v>
      </c>
      <c r="BH4189" s="19" t="str">
        <f aca="false">IF(BG4189=0,"",IF(BG4189&lt;&gt;BA4189,"erreur de calcul",IF(BD4189&lt;&gt;0,"pas de prix",IF(M4189&lt;&gt; 0,"pas de quantité","pas de prix, ni de quantité"))))</f>
        <v>erreur de calcul</v>
      </c>
      <c r="BI4189" s="19"/>
    </row>
    <row r="4190" customFormat="false" ht="15" hidden="false" customHeight="false" outlineLevel="0" collapsed="false">
      <c r="A4190" s="0" t="n">
        <v>39</v>
      </c>
      <c r="B4190" s="8" t="s">
        <v>24</v>
      </c>
      <c r="C4190" s="9" t="s">
        <v>25</v>
      </c>
      <c r="D4190" s="9" t="s">
        <v>26</v>
      </c>
      <c r="E4190" s="10" t="n">
        <v>1789</v>
      </c>
      <c r="F4190" s="9" t="s">
        <v>27</v>
      </c>
      <c r="G4190" s="9" t="s">
        <v>27</v>
      </c>
      <c r="H4190" s="11" t="n">
        <v>26</v>
      </c>
      <c r="I4190" s="11" t="s">
        <v>410</v>
      </c>
      <c r="J4190" s="14" t="n">
        <v>10</v>
      </c>
      <c r="K4190" s="14"/>
      <c r="L4190" s="16"/>
      <c r="M4190" s="27" t="n">
        <f aca="false">J4190+(K4190/20)+(L4190/240)</f>
        <v>10</v>
      </c>
      <c r="N4190" s="17" t="s">
        <v>64</v>
      </c>
      <c r="O4190" s="11"/>
      <c r="P4190" s="28"/>
      <c r="Q4190" s="28" t="n">
        <f aca="false">P4190*$M4190</f>
        <v>0</v>
      </c>
      <c r="R4190" s="28"/>
      <c r="S4190" s="28" t="n">
        <f aca="false">R4190*$M4190</f>
        <v>0</v>
      </c>
      <c r="T4190" s="28"/>
      <c r="U4190" s="28" t="n">
        <f aca="false">T4190*$M4190</f>
        <v>0</v>
      </c>
      <c r="V4190" s="28"/>
      <c r="W4190" s="28" t="n">
        <f aca="false">V4190*$M4190</f>
        <v>0</v>
      </c>
      <c r="X4190" s="28" t="n">
        <f aca="false">2481/100</f>
        <v>24.81</v>
      </c>
      <c r="Y4190" s="28" t="n">
        <v>248</v>
      </c>
      <c r="Z4190" s="28"/>
      <c r="AA4190" s="28" t="n">
        <f aca="false">Z4190*$M4190</f>
        <v>0</v>
      </c>
      <c r="AB4190" s="28"/>
      <c r="AC4190" s="28" t="n">
        <f aca="false">AB4190*$M4190</f>
        <v>0</v>
      </c>
      <c r="AD4190" s="28"/>
      <c r="AE4190" s="28" t="n">
        <f aca="false">AD4190*$M4190</f>
        <v>0</v>
      </c>
      <c r="AF4190" s="28"/>
      <c r="AG4190" s="28" t="n">
        <f aca="false">AF4190*$M4190</f>
        <v>0</v>
      </c>
      <c r="AH4190" s="28"/>
      <c r="AI4190" s="28" t="n">
        <f aca="false">AH4190*$M4190</f>
        <v>0</v>
      </c>
      <c r="AJ4190" s="28"/>
      <c r="AK4190" s="28" t="n">
        <f aca="false">AJ4190*$M4190</f>
        <v>0</v>
      </c>
      <c r="AL4190" s="28"/>
      <c r="AM4190" s="28" t="n">
        <f aca="false">AL4190*$M4190</f>
        <v>0</v>
      </c>
      <c r="AN4190" s="28"/>
      <c r="AO4190" s="28" t="n">
        <f aca="false">AN4190*$M4190</f>
        <v>0</v>
      </c>
      <c r="AP4190" s="28"/>
      <c r="AQ4190" s="28" t="n">
        <f aca="false">AP4190*$M4190</f>
        <v>0</v>
      </c>
      <c r="AR4190" s="28"/>
      <c r="AS4190" s="28" t="n">
        <f aca="false">AR4190*$M4190</f>
        <v>0</v>
      </c>
      <c r="AT4190" s="28"/>
      <c r="AU4190" s="28" t="n">
        <f aca="false">AT4190*$M4190</f>
        <v>0</v>
      </c>
      <c r="AV4190" s="28"/>
      <c r="AW4190" s="28" t="n">
        <f aca="false">AV4190*$M4190</f>
        <v>0</v>
      </c>
      <c r="AX4190" s="28"/>
      <c r="AY4190" s="28" t="n">
        <f aca="false">AX4190*$M4190</f>
        <v>0</v>
      </c>
      <c r="AZ4190" s="30" t="n">
        <f aca="false">2481/100</f>
        <v>24.81</v>
      </c>
      <c r="BA4190" s="11" t="n">
        <v>248</v>
      </c>
      <c r="BB4190" s="31" t="n">
        <f aca="false">SUM(Q4190,S4190,U4190,W4190,Y4190,AA4190,AC4190,AE4190,AG4190,AI4190,AK4190,AM4190,AO4190,AQ4190,AS4190,AU4190,AW4190,AY4190)</f>
        <v>248</v>
      </c>
      <c r="BC4190" s="28" t="n">
        <f aca="false">BA4190-BB4190</f>
        <v>0</v>
      </c>
      <c r="BD4190" s="32" t="n">
        <f aca="false">SUM(P4190,R4190,T4190,V4190,X4190,Z4190,AB4190,AD4190,AF4190,AH4190,AJ4190,AL4190,AN4190,AP4190,AR4190,AT4190,AV4190,AX4190)</f>
        <v>24.81</v>
      </c>
      <c r="BE4190" s="33" t="n">
        <f aca="false">AZ4190-BD4190</f>
        <v>0</v>
      </c>
      <c r="BF4190" s="34" t="n">
        <f aca="false">BD4190*M4190</f>
        <v>248.1</v>
      </c>
      <c r="BG4190" s="35" t="n">
        <f aca="false">BA4190-BF4190</f>
        <v>-0.0999999999999943</v>
      </c>
      <c r="BH4190" s="19" t="str">
        <f aca="false">IF(BG4190=0,"",IF(BG4190&lt;&gt;BA4190,"erreur de calcul",IF(BD4190&lt;&gt;0,"pas de prix",IF(M4190&lt;&gt; 0,"pas de quantité","pas de prix, ni de quantité"))))</f>
        <v>erreur de calcul</v>
      </c>
      <c r="BI4190" s="19"/>
    </row>
    <row r="4191" customFormat="false" ht="15" hidden="false" customHeight="false" outlineLevel="0" collapsed="false">
      <c r="A4191" s="0" t="n">
        <v>40</v>
      </c>
      <c r="B4191" s="8" t="s">
        <v>24</v>
      </c>
      <c r="C4191" s="9" t="s">
        <v>25</v>
      </c>
      <c r="D4191" s="9" t="s">
        <v>26</v>
      </c>
      <c r="E4191" s="10" t="n">
        <v>1789</v>
      </c>
      <c r="F4191" s="9" t="s">
        <v>27</v>
      </c>
      <c r="G4191" s="9" t="s">
        <v>27</v>
      </c>
      <c r="H4191" s="11" t="n">
        <v>26</v>
      </c>
      <c r="I4191" s="11" t="s">
        <v>411</v>
      </c>
      <c r="J4191" s="14" t="n">
        <v>5</v>
      </c>
      <c r="K4191" s="14"/>
      <c r="L4191" s="16"/>
      <c r="M4191" s="27" t="n">
        <f aca="false">J4191+(K4191/20)+(L4191/240)</f>
        <v>5</v>
      </c>
      <c r="N4191" s="17" t="s">
        <v>66</v>
      </c>
      <c r="O4191" s="11" t="s">
        <v>98</v>
      </c>
      <c r="P4191" s="28"/>
      <c r="Q4191" s="28" t="n">
        <f aca="false">P4191*$M4191</f>
        <v>0</v>
      </c>
      <c r="R4191" s="28"/>
      <c r="S4191" s="28" t="n">
        <f aca="false">R4191*$M4191</f>
        <v>0</v>
      </c>
      <c r="T4191" s="28"/>
      <c r="U4191" s="28" t="n">
        <f aca="false">T4191*$M4191</f>
        <v>0</v>
      </c>
      <c r="V4191" s="28"/>
      <c r="W4191" s="28" t="n">
        <f aca="false">V4191*$M4191</f>
        <v>0</v>
      </c>
      <c r="X4191" s="28"/>
      <c r="Y4191" s="28" t="n">
        <f aca="false">X4191*$M4191</f>
        <v>0</v>
      </c>
      <c r="Z4191" s="28"/>
      <c r="AA4191" s="28" t="n">
        <f aca="false">Z4191*$M4191</f>
        <v>0</v>
      </c>
      <c r="AB4191" s="28"/>
      <c r="AC4191" s="28" t="n">
        <f aca="false">AB4191*$M4191</f>
        <v>0</v>
      </c>
      <c r="AD4191" s="28"/>
      <c r="AE4191" s="28" t="n">
        <f aca="false">AD4191*$M4191</f>
        <v>0</v>
      </c>
      <c r="AF4191" s="28" t="n">
        <v>22</v>
      </c>
      <c r="AG4191" s="28" t="n">
        <v>110</v>
      </c>
      <c r="AH4191" s="28" t="n">
        <v>2657</v>
      </c>
      <c r="AI4191" s="28" t="n">
        <v>13285</v>
      </c>
      <c r="AJ4191" s="28"/>
      <c r="AK4191" s="28" t="n">
        <f aca="false">AJ4191*$M4191</f>
        <v>0</v>
      </c>
      <c r="AL4191" s="28"/>
      <c r="AM4191" s="28" t="n">
        <f aca="false">AL4191*$M4191</f>
        <v>0</v>
      </c>
      <c r="AN4191" s="28"/>
      <c r="AO4191" s="28" t="n">
        <f aca="false">AN4191*$M4191</f>
        <v>0</v>
      </c>
      <c r="AP4191" s="28"/>
      <c r="AQ4191" s="28" t="n">
        <f aca="false">AP4191*$M4191</f>
        <v>0</v>
      </c>
      <c r="AR4191" s="28"/>
      <c r="AS4191" s="28" t="n">
        <f aca="false">AR4191*$M4191</f>
        <v>0</v>
      </c>
      <c r="AT4191" s="28"/>
      <c r="AU4191" s="28" t="n">
        <f aca="false">AT4191*$M4191</f>
        <v>0</v>
      </c>
      <c r="AV4191" s="28"/>
      <c r="AW4191" s="28" t="n">
        <f aca="false">AV4191*$M4191</f>
        <v>0</v>
      </c>
      <c r="AX4191" s="28"/>
      <c r="AY4191" s="28" t="n">
        <f aca="false">AX4191*$M4191</f>
        <v>0</v>
      </c>
      <c r="AZ4191" s="30" t="n">
        <v>2679</v>
      </c>
      <c r="BA4191" s="11" t="n">
        <v>13395</v>
      </c>
      <c r="BB4191" s="31" t="n">
        <f aca="false">SUM(Q4191,S4191,U4191,W4191,Y4191,AA4191,AC4191,AE4191,AG4191,AI4191,AK4191,AM4191,AO4191,AQ4191,AS4191,AU4191,AW4191,AY4191)</f>
        <v>13395</v>
      </c>
      <c r="BC4191" s="28" t="n">
        <f aca="false">BA4191-BB4191</f>
        <v>0</v>
      </c>
      <c r="BD4191" s="32" t="n">
        <f aca="false">SUM(P4191,R4191,T4191,V4191,X4191,Z4191,AB4191,AD4191,AF4191,AH4191,AJ4191,AL4191,AN4191,AP4191,AR4191,AT4191,AV4191,AX4191)</f>
        <v>2679</v>
      </c>
      <c r="BE4191" s="33" t="n">
        <f aca="false">AZ4191-BD4191</f>
        <v>0</v>
      </c>
      <c r="BF4191" s="34" t="n">
        <f aca="false">BD4191*M4191</f>
        <v>13395</v>
      </c>
      <c r="BG4191" s="35" t="n">
        <f aca="false">BA4191-BF4191</f>
        <v>0</v>
      </c>
      <c r="BH4191" s="19" t="str">
        <f aca="false">IF(BG4191=0,"",IF(BG4191&lt;&gt;BA4191,"erreur de calcul",IF(BD4191&lt;&gt;0,"pas de prix",IF(M4191&lt;&gt; 0,"pas de quantité","pas de prix, ni de quantité"))))</f>
        <v/>
      </c>
      <c r="BI4191" s="19"/>
    </row>
    <row r="4192" customFormat="false" ht="15" hidden="false" customHeight="false" outlineLevel="0" collapsed="false">
      <c r="A4192" s="0" t="n">
        <v>1</v>
      </c>
      <c r="B4192" s="8" t="s">
        <v>24</v>
      </c>
      <c r="C4192" s="9" t="s">
        <v>25</v>
      </c>
      <c r="D4192" s="9" t="s">
        <v>26</v>
      </c>
      <c r="E4192" s="10" t="n">
        <v>1789</v>
      </c>
      <c r="F4192" s="9" t="s">
        <v>27</v>
      </c>
      <c r="G4192" s="9" t="s">
        <v>27</v>
      </c>
      <c r="H4192" s="11" t="n">
        <v>27</v>
      </c>
      <c r="I4192" s="11" t="s">
        <v>412</v>
      </c>
      <c r="J4192" s="14" t="n">
        <v>7</v>
      </c>
      <c r="K4192" s="14" t="n">
        <v>10</v>
      </c>
      <c r="L4192" s="16"/>
      <c r="M4192" s="27" t="n">
        <f aca="false">J4192+(K4192/20)+(L4192/240)</f>
        <v>7.5</v>
      </c>
      <c r="N4192" s="17" t="s">
        <v>64</v>
      </c>
      <c r="O4192" s="11"/>
      <c r="P4192" s="28" t="n">
        <f aca="false">16667/100</f>
        <v>166.67</v>
      </c>
      <c r="Q4192" s="28" t="n">
        <v>1250</v>
      </c>
      <c r="R4192" s="28"/>
      <c r="S4192" s="28" t="n">
        <f aca="false">R4192*$M4192</f>
        <v>0</v>
      </c>
      <c r="T4192" s="28"/>
      <c r="U4192" s="28" t="n">
        <f aca="false">T4192*$M4192</f>
        <v>0</v>
      </c>
      <c r="V4192" s="28" t="n">
        <f aca="false">407887/100</f>
        <v>4078.87</v>
      </c>
      <c r="W4192" s="28" t="n">
        <v>30591</v>
      </c>
      <c r="X4192" s="28" t="n">
        <f aca="false">4444/100</f>
        <v>44.44</v>
      </c>
      <c r="Y4192" s="28" t="n">
        <v>333</v>
      </c>
      <c r="Z4192" s="28" t="n">
        <f aca="false">16084/100</f>
        <v>160.84</v>
      </c>
      <c r="AA4192" s="28" t="n">
        <v>1206</v>
      </c>
      <c r="AB4192" s="28" t="n">
        <f aca="false">20834/100</f>
        <v>208.34</v>
      </c>
      <c r="AC4192" s="28" t="n">
        <v>1562</v>
      </c>
      <c r="AD4192" s="28"/>
      <c r="AE4192" s="28" t="n">
        <f aca="false">AD4192*$M4192</f>
        <v>0</v>
      </c>
      <c r="AF4192" s="28"/>
      <c r="AG4192" s="28" t="n">
        <f aca="false">AF4192*$M4192</f>
        <v>0</v>
      </c>
      <c r="AH4192" s="28"/>
      <c r="AI4192" s="28" t="n">
        <f aca="false">AH4192*$M4192</f>
        <v>0</v>
      </c>
      <c r="AJ4192" s="28"/>
      <c r="AK4192" s="28" t="n">
        <f aca="false">AJ4192*$M4192</f>
        <v>0</v>
      </c>
      <c r="AL4192" s="28"/>
      <c r="AM4192" s="28" t="n">
        <f aca="false">AL4192*$M4192</f>
        <v>0</v>
      </c>
      <c r="AN4192" s="28"/>
      <c r="AO4192" s="28" t="n">
        <f aca="false">AN4192*$M4192</f>
        <v>0</v>
      </c>
      <c r="AP4192" s="28"/>
      <c r="AQ4192" s="28" t="n">
        <f aca="false">AP4192*$M4192</f>
        <v>0</v>
      </c>
      <c r="AR4192" s="28"/>
      <c r="AS4192" s="28" t="n">
        <f aca="false">AR4192*$M4192</f>
        <v>0</v>
      </c>
      <c r="AT4192" s="28"/>
      <c r="AU4192" s="28" t="n">
        <f aca="false">AT4192*$M4192</f>
        <v>0</v>
      </c>
      <c r="AV4192" s="28"/>
      <c r="AW4192" s="28" t="n">
        <f aca="false">AV4192*$M4192</f>
        <v>0</v>
      </c>
      <c r="AX4192" s="28"/>
      <c r="AY4192" s="28" t="n">
        <f aca="false">AX4192*$M4192</f>
        <v>0</v>
      </c>
      <c r="AZ4192" s="30" t="n">
        <f aca="false">465916/100</f>
        <v>4659.16</v>
      </c>
      <c r="BA4192" s="11" t="n">
        <v>34942</v>
      </c>
      <c r="BB4192" s="31" t="n">
        <f aca="false">SUM(Q4192,S4192,U4192,W4192,Y4192,AA4192,AC4192,AE4192,AG4192,AI4192,AK4192,AM4192,AO4192,AQ4192,AS4192,AU4192,AW4192,AY4192)</f>
        <v>34942</v>
      </c>
      <c r="BC4192" s="28" t="n">
        <f aca="false">BA4192-BB4192</f>
        <v>0</v>
      </c>
      <c r="BD4192" s="32" t="n">
        <f aca="false">SUM(P4192,R4192,T4192,V4192,X4192,Z4192,AB4192,AD4192,AF4192,AH4192,AJ4192,AL4192,AN4192,AP4192,AR4192,AT4192,AV4192,AX4192)</f>
        <v>4659.16</v>
      </c>
      <c r="BE4192" s="33" t="n">
        <f aca="false">AZ4192-BD4192</f>
        <v>0</v>
      </c>
      <c r="BF4192" s="34" t="n">
        <f aca="false">BD4192*M4192</f>
        <v>34943.7</v>
      </c>
      <c r="BG4192" s="35" t="n">
        <f aca="false">BA4192-BF4192</f>
        <v>-1.69999999999709</v>
      </c>
      <c r="BH4192" s="19" t="str">
        <f aca="false">IF(BG4192=0,"",IF(BG4192&lt;&gt;BA4192,"erreur de calcul",IF(BD4192&lt;&gt;0,"pas de prix",IF(M4192&lt;&gt; 0,"pas de quantité","pas de prix, ni de quantité"))))</f>
        <v>erreur de calcul</v>
      </c>
      <c r="BI4192" s="19"/>
    </row>
    <row r="4193" customFormat="false" ht="15" hidden="false" customHeight="false" outlineLevel="0" collapsed="false">
      <c r="A4193" s="0" t="n">
        <v>2</v>
      </c>
      <c r="B4193" s="8" t="s">
        <v>24</v>
      </c>
      <c r="C4193" s="9" t="s">
        <v>25</v>
      </c>
      <c r="D4193" s="9" t="s">
        <v>26</v>
      </c>
      <c r="E4193" s="10" t="n">
        <v>1789</v>
      </c>
      <c r="F4193" s="9" t="s">
        <v>27</v>
      </c>
      <c r="G4193" s="9" t="s">
        <v>27</v>
      </c>
      <c r="H4193" s="11" t="n">
        <v>27</v>
      </c>
      <c r="I4193" s="11" t="s">
        <v>413</v>
      </c>
      <c r="J4193" s="14" t="n">
        <v>3</v>
      </c>
      <c r="K4193" s="14"/>
      <c r="L4193" s="16"/>
      <c r="M4193" s="27" t="n">
        <f aca="false">J4193+(K4193/20)+(L4193/240)</f>
        <v>3</v>
      </c>
      <c r="N4193" s="17" t="s">
        <v>66</v>
      </c>
      <c r="O4193" s="11"/>
      <c r="P4193" s="28"/>
      <c r="Q4193" s="28" t="n">
        <f aca="false">P4193*$M4193</f>
        <v>0</v>
      </c>
      <c r="R4193" s="28"/>
      <c r="S4193" s="28" t="n">
        <f aca="false">R4193*$M4193</f>
        <v>0</v>
      </c>
      <c r="T4193" s="28"/>
      <c r="U4193" s="28" t="n">
        <f aca="false">T4193*$M4193</f>
        <v>0</v>
      </c>
      <c r="V4193" s="28"/>
      <c r="W4193" s="28" t="n">
        <f aca="false">V4193*$M4193</f>
        <v>0</v>
      </c>
      <c r="X4193" s="28"/>
      <c r="Y4193" s="28" t="n">
        <f aca="false">X4193*$M4193</f>
        <v>0</v>
      </c>
      <c r="Z4193" s="28"/>
      <c r="AA4193" s="28" t="n">
        <f aca="false">Z4193*$M4193</f>
        <v>0</v>
      </c>
      <c r="AB4193" s="28"/>
      <c r="AC4193" s="28" t="n">
        <f aca="false">AB4193*$M4193</f>
        <v>0</v>
      </c>
      <c r="AD4193" s="28"/>
      <c r="AE4193" s="28" t="n">
        <f aca="false">AD4193*$M4193</f>
        <v>0</v>
      </c>
      <c r="AF4193" s="28"/>
      <c r="AG4193" s="28" t="n">
        <f aca="false">AF4193*$M4193</f>
        <v>0</v>
      </c>
      <c r="AH4193" s="28" t="n">
        <v>58272</v>
      </c>
      <c r="AI4193" s="28" t="n">
        <v>174816</v>
      </c>
      <c r="AJ4193" s="28"/>
      <c r="AK4193" s="28" t="n">
        <f aca="false">AJ4193*$M4193</f>
        <v>0</v>
      </c>
      <c r="AL4193" s="28"/>
      <c r="AM4193" s="28" t="n">
        <f aca="false">AL4193*$M4193</f>
        <v>0</v>
      </c>
      <c r="AN4193" s="28"/>
      <c r="AO4193" s="28" t="n">
        <f aca="false">AN4193*$M4193</f>
        <v>0</v>
      </c>
      <c r="AP4193" s="28"/>
      <c r="AQ4193" s="28" t="n">
        <f aca="false">AP4193*$M4193</f>
        <v>0</v>
      </c>
      <c r="AR4193" s="28"/>
      <c r="AS4193" s="28" t="n">
        <f aca="false">AR4193*$M4193</f>
        <v>0</v>
      </c>
      <c r="AT4193" s="28"/>
      <c r="AU4193" s="28" t="n">
        <f aca="false">AT4193*$M4193</f>
        <v>0</v>
      </c>
      <c r="AV4193" s="28"/>
      <c r="AW4193" s="28" t="n">
        <f aca="false">AV4193*$M4193</f>
        <v>0</v>
      </c>
      <c r="AX4193" s="28"/>
      <c r="AY4193" s="28" t="n">
        <f aca="false">AX4193*$M4193</f>
        <v>0</v>
      </c>
      <c r="AZ4193" s="30" t="n">
        <f aca="false">58272</f>
        <v>58272</v>
      </c>
      <c r="BA4193" s="11" t="n">
        <v>174816</v>
      </c>
      <c r="BB4193" s="31" t="n">
        <f aca="false">SUM(Q4193,S4193,U4193,W4193,Y4193,AA4193,AC4193,AE4193,AG4193,AI4193,AK4193,AM4193,AO4193,AQ4193,AS4193,AU4193,AW4193,AY4193)</f>
        <v>174816</v>
      </c>
      <c r="BC4193" s="28" t="n">
        <f aca="false">BA4193-BB4193</f>
        <v>0</v>
      </c>
      <c r="BD4193" s="32" t="n">
        <f aca="false">SUM(P4193,R4193,T4193,V4193,X4193,Z4193,AB4193,AD4193,AF4193,AH4193,AJ4193,AL4193,AN4193,AP4193,AR4193,AT4193,AV4193,AX4193)</f>
        <v>58272</v>
      </c>
      <c r="BE4193" s="33" t="n">
        <f aca="false">AZ4193-BD4193</f>
        <v>0</v>
      </c>
      <c r="BF4193" s="34" t="n">
        <f aca="false">BD4193*M4193</f>
        <v>174816</v>
      </c>
      <c r="BG4193" s="35" t="n">
        <f aca="false">BA4193-BF4193</f>
        <v>0</v>
      </c>
      <c r="BH4193" s="19" t="str">
        <f aca="false">IF(BG4193=0,"",IF(BG4193&lt;&gt;BA4193,"erreur de calcul",IF(BD4193&lt;&gt;0,"pas de prix",IF(M4193&lt;&gt; 0,"pas de quantité","pas de prix, ni de quantité"))))</f>
        <v/>
      </c>
      <c r="BI4193" s="19"/>
    </row>
    <row r="4194" customFormat="false" ht="15" hidden="false" customHeight="false" outlineLevel="0" collapsed="false">
      <c r="A4194" s="0" t="n">
        <v>3</v>
      </c>
      <c r="B4194" s="8" t="s">
        <v>24</v>
      </c>
      <c r="C4194" s="9" t="s">
        <v>25</v>
      </c>
      <c r="D4194" s="9" t="s">
        <v>26</v>
      </c>
      <c r="E4194" s="10" t="n">
        <v>1789</v>
      </c>
      <c r="F4194" s="9" t="s">
        <v>27</v>
      </c>
      <c r="G4194" s="9" t="s">
        <v>27</v>
      </c>
      <c r="H4194" s="11" t="n">
        <v>27</v>
      </c>
      <c r="I4194" s="11" t="s">
        <v>414</v>
      </c>
      <c r="J4194" s="14" t="n">
        <v>3</v>
      </c>
      <c r="K4194" s="14"/>
      <c r="L4194" s="16"/>
      <c r="M4194" s="27" t="n">
        <f aca="false">J4194+(K4194/20)+(L4194/240)</f>
        <v>3</v>
      </c>
      <c r="N4194" s="17" t="s">
        <v>66</v>
      </c>
      <c r="O4194" s="11" t="s">
        <v>98</v>
      </c>
      <c r="P4194" s="28"/>
      <c r="Q4194" s="28" t="n">
        <f aca="false">P4194*$M4194</f>
        <v>0</v>
      </c>
      <c r="R4194" s="28"/>
      <c r="S4194" s="28" t="n">
        <f aca="false">R4194*$M4194</f>
        <v>0</v>
      </c>
      <c r="T4194" s="28"/>
      <c r="U4194" s="28" t="n">
        <f aca="false">T4194*$M4194</f>
        <v>0</v>
      </c>
      <c r="V4194" s="28"/>
      <c r="W4194" s="28" t="n">
        <f aca="false">V4194*$M4194</f>
        <v>0</v>
      </c>
      <c r="X4194" s="28"/>
      <c r="Y4194" s="28" t="n">
        <f aca="false">X4194*$M4194</f>
        <v>0</v>
      </c>
      <c r="Z4194" s="28"/>
      <c r="AA4194" s="28" t="n">
        <f aca="false">Z4194*$M4194</f>
        <v>0</v>
      </c>
      <c r="AB4194" s="28"/>
      <c r="AC4194" s="28" t="n">
        <f aca="false">AB4194*$M4194</f>
        <v>0</v>
      </c>
      <c r="AD4194" s="28"/>
      <c r="AE4194" s="28" t="n">
        <f aca="false">AD4194*$M4194</f>
        <v>0</v>
      </c>
      <c r="AF4194" s="28"/>
      <c r="AG4194" s="28" t="n">
        <f aca="false">AF4194*$M4194</f>
        <v>0</v>
      </c>
      <c r="AH4194" s="28" t="n">
        <v>110560</v>
      </c>
      <c r="AI4194" s="28" t="n">
        <v>331680</v>
      </c>
      <c r="AJ4194" s="28"/>
      <c r="AK4194" s="28" t="n">
        <f aca="false">AJ4194*$M4194</f>
        <v>0</v>
      </c>
      <c r="AL4194" s="28"/>
      <c r="AM4194" s="28" t="n">
        <f aca="false">AL4194*$M4194</f>
        <v>0</v>
      </c>
      <c r="AN4194" s="28"/>
      <c r="AO4194" s="28" t="n">
        <f aca="false">AN4194*$M4194</f>
        <v>0</v>
      </c>
      <c r="AP4194" s="28"/>
      <c r="AQ4194" s="28" t="n">
        <f aca="false">AP4194*$M4194</f>
        <v>0</v>
      </c>
      <c r="AR4194" s="28"/>
      <c r="AS4194" s="28" t="n">
        <f aca="false">AR4194*$M4194</f>
        <v>0</v>
      </c>
      <c r="AT4194" s="28"/>
      <c r="AU4194" s="28" t="n">
        <f aca="false">AT4194*$M4194</f>
        <v>0</v>
      </c>
      <c r="AV4194" s="28"/>
      <c r="AW4194" s="28" t="n">
        <f aca="false">AV4194*$M4194</f>
        <v>0</v>
      </c>
      <c r="AX4194" s="28"/>
      <c r="AY4194" s="28" t="n">
        <f aca="false">AX4194*$M4194</f>
        <v>0</v>
      </c>
      <c r="AZ4194" s="30" t="n">
        <v>110560</v>
      </c>
      <c r="BA4194" s="11" t="n">
        <v>331680</v>
      </c>
      <c r="BB4194" s="31" t="n">
        <f aca="false">SUM(Q4194,S4194,U4194,W4194,Y4194,AA4194,AC4194,AE4194,AG4194,AI4194,AK4194,AM4194,AO4194,AQ4194,AS4194,AU4194,AW4194,AY4194)</f>
        <v>331680</v>
      </c>
      <c r="BC4194" s="28" t="n">
        <f aca="false">BA4194-BB4194</f>
        <v>0</v>
      </c>
      <c r="BD4194" s="32" t="n">
        <f aca="false">SUM(P4194,R4194,T4194,V4194,X4194,Z4194,AB4194,AD4194,AF4194,AH4194,AJ4194,AL4194,AN4194,AP4194,AR4194,AT4194,AV4194,AX4194)</f>
        <v>110560</v>
      </c>
      <c r="BE4194" s="33" t="n">
        <f aca="false">AZ4194-BD4194</f>
        <v>0</v>
      </c>
      <c r="BF4194" s="34" t="n">
        <f aca="false">BD4194*M4194</f>
        <v>331680</v>
      </c>
      <c r="BG4194" s="35" t="n">
        <f aca="false">BA4194-BF4194</f>
        <v>0</v>
      </c>
      <c r="BH4194" s="19" t="str">
        <f aca="false">IF(BG4194=0,"",IF(BG4194&lt;&gt;BA4194,"erreur de calcul",IF(BD4194&lt;&gt;0,"pas de prix",IF(M4194&lt;&gt; 0,"pas de quantité","pas de prix, ni de quantité"))))</f>
        <v/>
      </c>
      <c r="BI4194" s="19"/>
    </row>
    <row r="4195" customFormat="false" ht="15" hidden="false" customHeight="false" outlineLevel="0" collapsed="false">
      <c r="A4195" s="0" t="n">
        <v>4</v>
      </c>
      <c r="B4195" s="8" t="s">
        <v>24</v>
      </c>
      <c r="C4195" s="9" t="s">
        <v>25</v>
      </c>
      <c r="D4195" s="9" t="s">
        <v>26</v>
      </c>
      <c r="E4195" s="10" t="n">
        <v>1789</v>
      </c>
      <c r="F4195" s="9" t="s">
        <v>27</v>
      </c>
      <c r="G4195" s="9" t="s">
        <v>27</v>
      </c>
      <c r="H4195" s="11" t="n">
        <v>27</v>
      </c>
      <c r="I4195" s="11" t="s">
        <v>415</v>
      </c>
      <c r="J4195" s="14" t="n">
        <v>3</v>
      </c>
      <c r="K4195" s="14" t="n">
        <v>10</v>
      </c>
      <c r="L4195" s="16"/>
      <c r="M4195" s="27" t="n">
        <f aca="false">J4195+(K4195/20)+(L4195/240)</f>
        <v>3.5</v>
      </c>
      <c r="N4195" s="17" t="s">
        <v>66</v>
      </c>
      <c r="O4195" s="11" t="s">
        <v>98</v>
      </c>
      <c r="P4195" s="28"/>
      <c r="Q4195" s="28" t="n">
        <f aca="false">P4195*$M4195</f>
        <v>0</v>
      </c>
      <c r="R4195" s="28"/>
      <c r="S4195" s="28" t="n">
        <f aca="false">R4195*$M4195</f>
        <v>0</v>
      </c>
      <c r="T4195" s="28"/>
      <c r="U4195" s="28" t="n">
        <f aca="false">T4195*$M4195</f>
        <v>0</v>
      </c>
      <c r="V4195" s="28"/>
      <c r="W4195" s="28" t="n">
        <f aca="false">V4195*$M4195</f>
        <v>0</v>
      </c>
      <c r="X4195" s="28" t="n">
        <v>218</v>
      </c>
      <c r="Y4195" s="28" t="n">
        <v>763</v>
      </c>
      <c r="Z4195" s="28"/>
      <c r="AA4195" s="28" t="n">
        <f aca="false">Z4195*$M4195</f>
        <v>0</v>
      </c>
      <c r="AB4195" s="28"/>
      <c r="AC4195" s="28" t="n">
        <f aca="false">AB4195*$M4195</f>
        <v>0</v>
      </c>
      <c r="AD4195" s="28"/>
      <c r="AE4195" s="28" t="n">
        <f aca="false">AD4195*$M4195</f>
        <v>0</v>
      </c>
      <c r="AF4195" s="28"/>
      <c r="AG4195" s="28" t="n">
        <f aca="false">AF4195*$M4195</f>
        <v>0</v>
      </c>
      <c r="AH4195" s="28" t="n">
        <v>25905</v>
      </c>
      <c r="AI4195" s="28" t="n">
        <v>90667</v>
      </c>
      <c r="AJ4195" s="28"/>
      <c r="AK4195" s="28" t="n">
        <f aca="false">AJ4195*$M4195</f>
        <v>0</v>
      </c>
      <c r="AL4195" s="28"/>
      <c r="AM4195" s="28" t="n">
        <f aca="false">AL4195*$M4195</f>
        <v>0</v>
      </c>
      <c r="AN4195" s="28"/>
      <c r="AO4195" s="28" t="n">
        <f aca="false">AN4195*$M4195</f>
        <v>0</v>
      </c>
      <c r="AP4195" s="28"/>
      <c r="AQ4195" s="28" t="n">
        <f aca="false">AP4195*$M4195</f>
        <v>0</v>
      </c>
      <c r="AR4195" s="28"/>
      <c r="AS4195" s="28" t="n">
        <f aca="false">AR4195*$M4195</f>
        <v>0</v>
      </c>
      <c r="AT4195" s="28"/>
      <c r="AU4195" s="28" t="n">
        <f aca="false">AT4195*$M4195</f>
        <v>0</v>
      </c>
      <c r="AV4195" s="28"/>
      <c r="AW4195" s="28" t="n">
        <f aca="false">AV4195*$M4195</f>
        <v>0</v>
      </c>
      <c r="AX4195" s="28"/>
      <c r="AY4195" s="28" t="n">
        <f aca="false">AX4195*$M4195</f>
        <v>0</v>
      </c>
      <c r="AZ4195" s="30" t="n">
        <v>26123</v>
      </c>
      <c r="BA4195" s="11" t="n">
        <v>91430</v>
      </c>
      <c r="BB4195" s="31" t="n">
        <f aca="false">SUM(Q4195,S4195,U4195,W4195,Y4195,AA4195,AC4195,AE4195,AG4195,AI4195,AK4195,AM4195,AO4195,AQ4195,AS4195,AU4195,AW4195,AY4195)</f>
        <v>91430</v>
      </c>
      <c r="BC4195" s="28" t="n">
        <f aca="false">BA4195-BB4195</f>
        <v>0</v>
      </c>
      <c r="BD4195" s="32" t="n">
        <f aca="false">SUM(P4195,R4195,T4195,V4195,X4195,Z4195,AB4195,AD4195,AF4195,AH4195,AJ4195,AL4195,AN4195,AP4195,AR4195,AT4195,AV4195,AX4195)</f>
        <v>26123</v>
      </c>
      <c r="BE4195" s="33" t="n">
        <f aca="false">AZ4195-BD4195</f>
        <v>0</v>
      </c>
      <c r="BF4195" s="34" t="n">
        <f aca="false">BD4195*M4195</f>
        <v>91430.5</v>
      </c>
      <c r="BG4195" s="35" t="n">
        <f aca="false">BA4195-BF4195</f>
        <v>-0.5</v>
      </c>
      <c r="BH4195" s="19" t="str">
        <f aca="false">IF(BG4195=0,"",IF(BG4195&lt;&gt;BA4195,"erreur de calcul",IF(BD4195&lt;&gt;0,"pas de prix",IF(M4195&lt;&gt; 0,"pas de quantité","pas de prix, ni de quantité"))))</f>
        <v>erreur de calcul</v>
      </c>
      <c r="BI4195" s="19"/>
    </row>
    <row r="4196" customFormat="false" ht="15" hidden="false" customHeight="false" outlineLevel="0" collapsed="false">
      <c r="A4196" s="0" t="n">
        <v>5</v>
      </c>
      <c r="B4196" s="8" t="s">
        <v>24</v>
      </c>
      <c r="C4196" s="9" t="s">
        <v>25</v>
      </c>
      <c r="D4196" s="9" t="s">
        <v>26</v>
      </c>
      <c r="E4196" s="10" t="n">
        <v>1789</v>
      </c>
      <c r="F4196" s="9" t="s">
        <v>27</v>
      </c>
      <c r="G4196" s="9" t="s">
        <v>27</v>
      </c>
      <c r="H4196" s="11" t="n">
        <v>27</v>
      </c>
      <c r="I4196" s="11" t="s">
        <v>416</v>
      </c>
      <c r="J4196" s="14"/>
      <c r="K4196" s="14" t="n">
        <v>30</v>
      </c>
      <c r="L4196" s="16"/>
      <c r="M4196" s="27" t="n">
        <f aca="false">J4196+(K4196/20)+(L4196/240)</f>
        <v>1.5</v>
      </c>
      <c r="N4196" s="17" t="s">
        <v>66</v>
      </c>
      <c r="O4196" s="11"/>
      <c r="P4196" s="28"/>
      <c r="Q4196" s="28" t="n">
        <f aca="false">P4196*$M4196</f>
        <v>0</v>
      </c>
      <c r="R4196" s="28"/>
      <c r="S4196" s="28" t="n">
        <f aca="false">R4196*$M4196</f>
        <v>0</v>
      </c>
      <c r="T4196" s="28"/>
      <c r="U4196" s="28" t="n">
        <f aca="false">T4196*$M4196</f>
        <v>0</v>
      </c>
      <c r="V4196" s="28"/>
      <c r="W4196" s="28" t="n">
        <f aca="false">V4196*$M4196</f>
        <v>0</v>
      </c>
      <c r="X4196" s="28"/>
      <c r="Y4196" s="28" t="n">
        <f aca="false">X4196*$M4196</f>
        <v>0</v>
      </c>
      <c r="Z4196" s="28"/>
      <c r="AA4196" s="28" t="n">
        <f aca="false">Z4196*$M4196</f>
        <v>0</v>
      </c>
      <c r="AB4196" s="28"/>
      <c r="AC4196" s="28" t="n">
        <f aca="false">AB4196*$M4196</f>
        <v>0</v>
      </c>
      <c r="AD4196" s="28"/>
      <c r="AE4196" s="28" t="n">
        <f aca="false">AD4196*$M4196</f>
        <v>0</v>
      </c>
      <c r="AF4196" s="28"/>
      <c r="AG4196" s="28" t="n">
        <f aca="false">AF4196*$M4196</f>
        <v>0</v>
      </c>
      <c r="AH4196" s="28" t="n">
        <v>75870</v>
      </c>
      <c r="AI4196" s="28" t="n">
        <v>113805</v>
      </c>
      <c r="AJ4196" s="28"/>
      <c r="AK4196" s="28" t="n">
        <f aca="false">AJ4196*$M4196</f>
        <v>0</v>
      </c>
      <c r="AL4196" s="28"/>
      <c r="AM4196" s="28" t="n">
        <f aca="false">AL4196*$M4196</f>
        <v>0</v>
      </c>
      <c r="AN4196" s="28"/>
      <c r="AO4196" s="28" t="n">
        <f aca="false">AN4196*$M4196</f>
        <v>0</v>
      </c>
      <c r="AP4196" s="28"/>
      <c r="AQ4196" s="28" t="n">
        <f aca="false">AP4196*$M4196</f>
        <v>0</v>
      </c>
      <c r="AR4196" s="28"/>
      <c r="AS4196" s="28" t="n">
        <f aca="false">AR4196*$M4196</f>
        <v>0</v>
      </c>
      <c r="AT4196" s="28"/>
      <c r="AU4196" s="28" t="n">
        <f aca="false">AT4196*$M4196</f>
        <v>0</v>
      </c>
      <c r="AV4196" s="28"/>
      <c r="AW4196" s="28" t="n">
        <f aca="false">AV4196*$M4196</f>
        <v>0</v>
      </c>
      <c r="AX4196" s="28"/>
      <c r="AY4196" s="28" t="n">
        <f aca="false">AX4196*$M4196</f>
        <v>0</v>
      </c>
      <c r="AZ4196" s="30" t="n">
        <v>75870</v>
      </c>
      <c r="BA4196" s="11" t="n">
        <v>113805</v>
      </c>
      <c r="BB4196" s="31" t="n">
        <f aca="false">SUM(Q4196,S4196,U4196,W4196,Y4196,AA4196,AC4196,AE4196,AG4196,AI4196,AK4196,AM4196,AO4196,AQ4196,AS4196,AU4196,AW4196,AY4196)</f>
        <v>113805</v>
      </c>
      <c r="BC4196" s="28" t="n">
        <f aca="false">BA4196-BB4196</f>
        <v>0</v>
      </c>
      <c r="BD4196" s="32" t="n">
        <f aca="false">SUM(P4196,R4196,T4196,V4196,X4196,Z4196,AB4196,AD4196,AF4196,AH4196,AJ4196,AL4196,AN4196,AP4196,AR4196,AT4196,AV4196,AX4196)</f>
        <v>75870</v>
      </c>
      <c r="BE4196" s="33" t="n">
        <f aca="false">AZ4196-BD4196</f>
        <v>0</v>
      </c>
      <c r="BF4196" s="34" t="n">
        <f aca="false">BD4196*M4196</f>
        <v>113805</v>
      </c>
      <c r="BG4196" s="35" t="n">
        <f aca="false">BA4196-BF4196</f>
        <v>0</v>
      </c>
      <c r="BH4196" s="19" t="str">
        <f aca="false">IF(BG4196=0,"",IF(BG4196&lt;&gt;BA4196,"erreur de calcul",IF(BD4196&lt;&gt;0,"pas de prix",IF(M4196&lt;&gt; 0,"pas de quantité","pas de prix, ni de quantité"))))</f>
        <v/>
      </c>
      <c r="BI4196" s="19"/>
    </row>
    <row r="4197" customFormat="false" ht="15" hidden="false" customHeight="false" outlineLevel="0" collapsed="false">
      <c r="A4197" s="0" t="n">
        <v>6</v>
      </c>
      <c r="B4197" s="8" t="s">
        <v>24</v>
      </c>
      <c r="C4197" s="9" t="s">
        <v>25</v>
      </c>
      <c r="D4197" s="9" t="s">
        <v>26</v>
      </c>
      <c r="E4197" s="10" t="n">
        <v>1789</v>
      </c>
      <c r="F4197" s="9" t="s">
        <v>27</v>
      </c>
      <c r="G4197" s="9" t="s">
        <v>27</v>
      </c>
      <c r="H4197" s="11" t="n">
        <v>27</v>
      </c>
      <c r="I4197" s="11" t="s">
        <v>417</v>
      </c>
      <c r="J4197" s="14" t="n">
        <v>3</v>
      </c>
      <c r="K4197" s="14"/>
      <c r="L4197" s="16"/>
      <c r="M4197" s="27" t="n">
        <f aca="false">J4197+(K4197/20)+(L4197/240)</f>
        <v>3</v>
      </c>
      <c r="N4197" s="17" t="s">
        <v>66</v>
      </c>
      <c r="O4197" s="11"/>
      <c r="P4197" s="28"/>
      <c r="Q4197" s="28" t="n">
        <f aca="false">P4197*$M4197</f>
        <v>0</v>
      </c>
      <c r="R4197" s="28"/>
      <c r="S4197" s="28" t="n">
        <f aca="false">R4197*$M4197</f>
        <v>0</v>
      </c>
      <c r="T4197" s="28"/>
      <c r="U4197" s="28" t="n">
        <f aca="false">T4197*$M4197</f>
        <v>0</v>
      </c>
      <c r="V4197" s="28"/>
      <c r="W4197" s="28" t="n">
        <f aca="false">V4197*$M4197</f>
        <v>0</v>
      </c>
      <c r="X4197" s="28"/>
      <c r="Y4197" s="28" t="n">
        <f aca="false">X4197*$M4197</f>
        <v>0</v>
      </c>
      <c r="Z4197" s="28"/>
      <c r="AA4197" s="28" t="n">
        <f aca="false">Z4197*$M4197</f>
        <v>0</v>
      </c>
      <c r="AB4197" s="28"/>
      <c r="AC4197" s="28" t="n">
        <f aca="false">AB4197*$M4197</f>
        <v>0</v>
      </c>
      <c r="AD4197" s="28"/>
      <c r="AE4197" s="28" t="n">
        <f aca="false">AD4197*$M4197</f>
        <v>0</v>
      </c>
      <c r="AF4197" s="28"/>
      <c r="AG4197" s="28" t="n">
        <f aca="false">AF4197*$M4197</f>
        <v>0</v>
      </c>
      <c r="AH4197" s="28" t="n">
        <v>121588</v>
      </c>
      <c r="AI4197" s="28" t="n">
        <v>364764</v>
      </c>
      <c r="AJ4197" s="28"/>
      <c r="AK4197" s="28" t="n">
        <f aca="false">AJ4197*$M4197</f>
        <v>0</v>
      </c>
      <c r="AL4197" s="28"/>
      <c r="AM4197" s="28" t="n">
        <f aca="false">AL4197*$M4197</f>
        <v>0</v>
      </c>
      <c r="AN4197" s="28"/>
      <c r="AO4197" s="28" t="n">
        <f aca="false">AN4197*$M4197</f>
        <v>0</v>
      </c>
      <c r="AP4197" s="28"/>
      <c r="AQ4197" s="28" t="n">
        <f aca="false">AP4197*$M4197</f>
        <v>0</v>
      </c>
      <c r="AR4197" s="28"/>
      <c r="AS4197" s="28" t="n">
        <f aca="false">AR4197*$M4197</f>
        <v>0</v>
      </c>
      <c r="AT4197" s="28"/>
      <c r="AU4197" s="28" t="n">
        <f aca="false">AT4197*$M4197</f>
        <v>0</v>
      </c>
      <c r="AV4197" s="28"/>
      <c r="AW4197" s="28" t="n">
        <f aca="false">AV4197*$M4197</f>
        <v>0</v>
      </c>
      <c r="AX4197" s="28"/>
      <c r="AY4197" s="28" t="n">
        <f aca="false">AX4197*$M4197</f>
        <v>0</v>
      </c>
      <c r="AZ4197" s="30" t="n">
        <v>121588</v>
      </c>
      <c r="BA4197" s="11" t="n">
        <v>364764</v>
      </c>
      <c r="BB4197" s="31" t="n">
        <f aca="false">SUM(Q4197,S4197,U4197,W4197,Y4197,AA4197,AC4197,AE4197,AG4197,AI4197,AK4197,AM4197,AO4197,AQ4197,AS4197,AU4197,AW4197,AY4197)</f>
        <v>364764</v>
      </c>
      <c r="BC4197" s="28" t="n">
        <f aca="false">BA4197-BB4197</f>
        <v>0</v>
      </c>
      <c r="BD4197" s="32" t="n">
        <f aca="false">SUM(P4197,R4197,T4197,V4197,X4197,Z4197,AB4197,AD4197,AF4197,AH4197,AJ4197,AL4197,AN4197,AP4197,AR4197,AT4197,AV4197,AX4197)</f>
        <v>121588</v>
      </c>
      <c r="BE4197" s="33" t="n">
        <f aca="false">AZ4197-BD4197</f>
        <v>0</v>
      </c>
      <c r="BF4197" s="34" t="n">
        <f aca="false">BD4197*M4197</f>
        <v>364764</v>
      </c>
      <c r="BG4197" s="35" t="n">
        <f aca="false">BA4197-BF4197</f>
        <v>0</v>
      </c>
      <c r="BH4197" s="19" t="str">
        <f aca="false">IF(BG4197=0,"",IF(BG4197&lt;&gt;BA4197,"erreur de calcul",IF(BD4197&lt;&gt;0,"pas de prix",IF(M4197&lt;&gt; 0,"pas de quantité","pas de prix, ni de quantité"))))</f>
        <v/>
      </c>
      <c r="BI4197" s="19"/>
    </row>
    <row r="4198" customFormat="false" ht="15" hidden="false" customHeight="false" outlineLevel="0" collapsed="false">
      <c r="A4198" s="0" t="n">
        <v>7</v>
      </c>
      <c r="B4198" s="8" t="s">
        <v>24</v>
      </c>
      <c r="C4198" s="9" t="s">
        <v>25</v>
      </c>
      <c r="D4198" s="9" t="s">
        <v>26</v>
      </c>
      <c r="E4198" s="10" t="n">
        <v>1789</v>
      </c>
      <c r="F4198" s="9" t="s">
        <v>27</v>
      </c>
      <c r="G4198" s="9" t="s">
        <v>27</v>
      </c>
      <c r="H4198" s="11" t="n">
        <v>27</v>
      </c>
      <c r="I4198" s="11" t="s">
        <v>418</v>
      </c>
      <c r="J4198" s="14"/>
      <c r="K4198" s="14" t="n">
        <v>24</v>
      </c>
      <c r="L4198" s="16"/>
      <c r="M4198" s="27" t="n">
        <f aca="false">J4198+(K4198/20)+(L4198/240)</f>
        <v>1.2</v>
      </c>
      <c r="N4198" s="17" t="s">
        <v>66</v>
      </c>
      <c r="O4198" s="11"/>
      <c r="P4198" s="28"/>
      <c r="Q4198" s="28" t="n">
        <f aca="false">P4198*$M4198</f>
        <v>0</v>
      </c>
      <c r="R4198" s="28"/>
      <c r="S4198" s="28" t="n">
        <f aca="false">R4198*$M4198</f>
        <v>0</v>
      </c>
      <c r="T4198" s="28"/>
      <c r="U4198" s="28" t="n">
        <f aca="false">T4198*$M4198</f>
        <v>0</v>
      </c>
      <c r="V4198" s="28"/>
      <c r="W4198" s="28" t="n">
        <f aca="false">V4198*$M4198</f>
        <v>0</v>
      </c>
      <c r="X4198" s="28"/>
      <c r="Y4198" s="28" t="n">
        <f aca="false">X4198*$M4198</f>
        <v>0</v>
      </c>
      <c r="Z4198" s="28"/>
      <c r="AA4198" s="28" t="n">
        <f aca="false">Z4198*$M4198</f>
        <v>0</v>
      </c>
      <c r="AB4198" s="28"/>
      <c r="AC4198" s="28" t="n">
        <f aca="false">AB4198*$M4198</f>
        <v>0</v>
      </c>
      <c r="AD4198" s="28"/>
      <c r="AE4198" s="28" t="n">
        <f aca="false">AD4198*$M4198</f>
        <v>0</v>
      </c>
      <c r="AF4198" s="28"/>
      <c r="AG4198" s="28" t="n">
        <f aca="false">AF4198*$M4198</f>
        <v>0</v>
      </c>
      <c r="AH4198" s="28" t="n">
        <v>50204</v>
      </c>
      <c r="AI4198" s="28" t="n">
        <v>60245</v>
      </c>
      <c r="AJ4198" s="28"/>
      <c r="AK4198" s="28" t="n">
        <f aca="false">AJ4198*$M4198</f>
        <v>0</v>
      </c>
      <c r="AL4198" s="28"/>
      <c r="AM4198" s="28" t="n">
        <f aca="false">AL4198*$M4198</f>
        <v>0</v>
      </c>
      <c r="AN4198" s="28"/>
      <c r="AO4198" s="28" t="n">
        <f aca="false">AN4198*$M4198</f>
        <v>0</v>
      </c>
      <c r="AP4198" s="28"/>
      <c r="AQ4198" s="28" t="n">
        <f aca="false">AP4198*$M4198</f>
        <v>0</v>
      </c>
      <c r="AR4198" s="28"/>
      <c r="AS4198" s="28" t="n">
        <f aca="false">AR4198*$M4198</f>
        <v>0</v>
      </c>
      <c r="AT4198" s="28"/>
      <c r="AU4198" s="28" t="n">
        <f aca="false">AT4198*$M4198</f>
        <v>0</v>
      </c>
      <c r="AV4198" s="28"/>
      <c r="AW4198" s="28" t="n">
        <f aca="false">AV4198*$M4198</f>
        <v>0</v>
      </c>
      <c r="AX4198" s="28"/>
      <c r="AY4198" s="28" t="n">
        <f aca="false">AX4198*$M4198</f>
        <v>0</v>
      </c>
      <c r="AZ4198" s="30" t="n">
        <v>50204</v>
      </c>
      <c r="BA4198" s="11" t="n">
        <v>60245</v>
      </c>
      <c r="BB4198" s="31" t="n">
        <f aca="false">SUM(Q4198,S4198,U4198,W4198,Y4198,AA4198,AC4198,AE4198,AG4198,AI4198,AK4198,AM4198,AO4198,AQ4198,AS4198,AU4198,AW4198,AY4198)</f>
        <v>60245</v>
      </c>
      <c r="BC4198" s="28" t="n">
        <f aca="false">BA4198-BB4198</f>
        <v>0</v>
      </c>
      <c r="BD4198" s="32" t="n">
        <f aca="false">SUM(P4198,R4198,T4198,V4198,X4198,Z4198,AB4198,AD4198,AF4198,AH4198,AJ4198,AL4198,AN4198,AP4198,AR4198,AT4198,AV4198,AX4198)</f>
        <v>50204</v>
      </c>
      <c r="BE4198" s="33" t="n">
        <f aca="false">AZ4198-BD4198</f>
        <v>0</v>
      </c>
      <c r="BF4198" s="34" t="n">
        <f aca="false">BD4198*M4198</f>
        <v>60244.8</v>
      </c>
      <c r="BG4198" s="35" t="n">
        <f aca="false">BA4198-BF4198</f>
        <v>0.200000000004366</v>
      </c>
      <c r="BH4198" s="19" t="str">
        <f aca="false">IF(BG4198=0,"",IF(BG4198&lt;&gt;BA4198,"erreur de calcul",IF(BD4198&lt;&gt;0,"pas de prix",IF(M4198&lt;&gt; 0,"pas de quantité","pas de prix, ni de quantité"))))</f>
        <v>erreur de calcul</v>
      </c>
      <c r="BI4198" s="19"/>
    </row>
    <row r="4199" customFormat="false" ht="15" hidden="false" customHeight="false" outlineLevel="0" collapsed="false">
      <c r="A4199" s="0" t="n">
        <v>8</v>
      </c>
      <c r="B4199" s="8" t="s">
        <v>24</v>
      </c>
      <c r="C4199" s="9" t="s">
        <v>25</v>
      </c>
      <c r="D4199" s="9" t="s">
        <v>26</v>
      </c>
      <c r="E4199" s="10" t="n">
        <v>1789</v>
      </c>
      <c r="F4199" s="9" t="s">
        <v>27</v>
      </c>
      <c r="G4199" s="9" t="s">
        <v>27</v>
      </c>
      <c r="H4199" s="11" t="n">
        <v>27</v>
      </c>
      <c r="I4199" s="11" t="s">
        <v>419</v>
      </c>
      <c r="J4199" s="14" t="n">
        <v>40</v>
      </c>
      <c r="K4199" s="14"/>
      <c r="L4199" s="16"/>
      <c r="M4199" s="27" t="n">
        <f aca="false">J4199+(K4199/20)+(L4199/240)</f>
        <v>40</v>
      </c>
      <c r="N4199" s="17" t="s">
        <v>66</v>
      </c>
      <c r="O4199" s="11" t="s">
        <v>98</v>
      </c>
      <c r="P4199" s="28"/>
      <c r="Q4199" s="28" t="n">
        <f aca="false">P4199*$M4199</f>
        <v>0</v>
      </c>
      <c r="R4199" s="28"/>
      <c r="S4199" s="28" t="n">
        <f aca="false">R4199*$M4199</f>
        <v>0</v>
      </c>
      <c r="T4199" s="28"/>
      <c r="U4199" s="28" t="n">
        <f aca="false">T4199*$M4199</f>
        <v>0</v>
      </c>
      <c r="V4199" s="28"/>
      <c r="W4199" s="28" t="n">
        <f aca="false">V4199*$M4199</f>
        <v>0</v>
      </c>
      <c r="X4199" s="28"/>
      <c r="Y4199" s="28" t="n">
        <f aca="false">X4199*$M4199</f>
        <v>0</v>
      </c>
      <c r="Z4199" s="28"/>
      <c r="AA4199" s="28" t="n">
        <f aca="false">Z4199*$M4199</f>
        <v>0</v>
      </c>
      <c r="AB4199" s="28"/>
      <c r="AC4199" s="28" t="n">
        <f aca="false">AB4199*$M4199</f>
        <v>0</v>
      </c>
      <c r="AD4199" s="28"/>
      <c r="AE4199" s="28" t="n">
        <f aca="false">AD4199*$M4199</f>
        <v>0</v>
      </c>
      <c r="AF4199" s="28"/>
      <c r="AG4199" s="28" t="n">
        <f aca="false">AF4199*$M4199</f>
        <v>0</v>
      </c>
      <c r="AH4199" s="28"/>
      <c r="AI4199" s="28" t="n">
        <f aca="false">AH4199*$M4199</f>
        <v>0</v>
      </c>
      <c r="AJ4199" s="28"/>
      <c r="AK4199" s="28" t="n">
        <f aca="false">AJ4199*$M4199</f>
        <v>0</v>
      </c>
      <c r="AL4199" s="28"/>
      <c r="AM4199" s="28" t="n">
        <f aca="false">AL4199*$M4199</f>
        <v>0</v>
      </c>
      <c r="AN4199" s="28"/>
      <c r="AO4199" s="28" t="n">
        <f aca="false">AN4199*$M4199</f>
        <v>0</v>
      </c>
      <c r="AP4199" s="28"/>
      <c r="AQ4199" s="28" t="n">
        <f aca="false">AP4199*$M4199</f>
        <v>0</v>
      </c>
      <c r="AR4199" s="28"/>
      <c r="AS4199" s="28" t="n">
        <f aca="false">AR4199*$M4199</f>
        <v>0</v>
      </c>
      <c r="AT4199" s="28"/>
      <c r="AU4199" s="28" t="n">
        <f aca="false">AT4199*$M4199</f>
        <v>0</v>
      </c>
      <c r="AV4199" s="28"/>
      <c r="AW4199" s="28" t="n">
        <f aca="false">AV4199*$M4199</f>
        <v>0</v>
      </c>
      <c r="AX4199" s="28"/>
      <c r="AY4199" s="28" t="n">
        <f aca="false">AX4199*$M4199</f>
        <v>0</v>
      </c>
      <c r="AZ4199" s="30"/>
      <c r="BA4199" s="11"/>
      <c r="BB4199" s="31" t="n">
        <f aca="false">SUM(Q4199,S4199,U4199,W4199,Y4199,AA4199,AC4199,AE4199,AG4199,AI4199,AK4199,AM4199,AO4199,AQ4199,AS4199,AU4199,AW4199,AY4199)</f>
        <v>0</v>
      </c>
      <c r="BC4199" s="28" t="n">
        <f aca="false">BA4199-BB4199</f>
        <v>0</v>
      </c>
      <c r="BD4199" s="32" t="n">
        <f aca="false">SUM(P4199,R4199,T4199,V4199,X4199,Z4199,AB4199,AD4199,AF4199,AH4199,AJ4199,AL4199,AN4199,AP4199,AR4199,AT4199,AV4199,AX4199)</f>
        <v>0</v>
      </c>
      <c r="BE4199" s="33" t="n">
        <f aca="false">AZ4199-BD4199</f>
        <v>0</v>
      </c>
      <c r="BF4199" s="34" t="n">
        <f aca="false">BD4199*M4199</f>
        <v>0</v>
      </c>
      <c r="BG4199" s="35" t="n">
        <f aca="false">BA4199-BF4199</f>
        <v>0</v>
      </c>
      <c r="BH4199" s="19" t="str">
        <f aca="false">IF(BG4199=0,"",IF(BG4199&lt;&gt;BA4199,"erreur de calcul",IF(BD4199&lt;&gt;0,"pas de prix",IF(M4199&lt;&gt; 0,"pas de quantité","pas de prix, ni de quantité"))))</f>
        <v/>
      </c>
      <c r="BI4199" s="19"/>
    </row>
    <row r="4200" customFormat="false" ht="15" hidden="false" customHeight="false" outlineLevel="0" collapsed="false">
      <c r="A4200" s="0" t="n">
        <v>9</v>
      </c>
      <c r="B4200" s="8" t="s">
        <v>24</v>
      </c>
      <c r="C4200" s="9" t="s">
        <v>25</v>
      </c>
      <c r="D4200" s="9" t="s">
        <v>26</v>
      </c>
      <c r="E4200" s="10" t="n">
        <v>1789</v>
      </c>
      <c r="F4200" s="9" t="s">
        <v>27</v>
      </c>
      <c r="G4200" s="9" t="s">
        <v>27</v>
      </c>
      <c r="H4200" s="11" t="n">
        <v>27</v>
      </c>
      <c r="I4200" s="11" t="s">
        <v>420</v>
      </c>
      <c r="J4200" s="14" t="n">
        <v>9</v>
      </c>
      <c r="K4200" s="14"/>
      <c r="L4200" s="16"/>
      <c r="M4200" s="27" t="n">
        <f aca="false">J4200+(K4200/20)+(L4200/240)</f>
        <v>9</v>
      </c>
      <c r="N4200" s="17" t="s">
        <v>81</v>
      </c>
      <c r="O4200" s="11" t="s">
        <v>98</v>
      </c>
      <c r="P4200" s="28"/>
      <c r="Q4200" s="28" t="n">
        <f aca="false">P4200*$M4200</f>
        <v>0</v>
      </c>
      <c r="R4200" s="28"/>
      <c r="S4200" s="28" t="n">
        <f aca="false">R4200*$M4200</f>
        <v>0</v>
      </c>
      <c r="T4200" s="28"/>
      <c r="U4200" s="28" t="n">
        <f aca="false">T4200*$M4200</f>
        <v>0</v>
      </c>
      <c r="V4200" s="28"/>
      <c r="W4200" s="28" t="n">
        <f aca="false">V4200*$M4200</f>
        <v>0</v>
      </c>
      <c r="X4200" s="28"/>
      <c r="Y4200" s="28" t="n">
        <f aca="false">X4200*$M4200</f>
        <v>0</v>
      </c>
      <c r="Z4200" s="28"/>
      <c r="AA4200" s="28" t="n">
        <f aca="false">Z4200*$M4200</f>
        <v>0</v>
      </c>
      <c r="AB4200" s="28"/>
      <c r="AC4200" s="28" t="n">
        <f aca="false">AB4200*$M4200</f>
        <v>0</v>
      </c>
      <c r="AD4200" s="28"/>
      <c r="AE4200" s="28" t="n">
        <f aca="false">AD4200*$M4200</f>
        <v>0</v>
      </c>
      <c r="AF4200" s="28"/>
      <c r="AG4200" s="28" t="n">
        <f aca="false">AF4200*$M4200</f>
        <v>0</v>
      </c>
      <c r="AH4200" s="28"/>
      <c r="AI4200" s="28" t="n">
        <f aca="false">AH4200*$M4200</f>
        <v>0</v>
      </c>
      <c r="AJ4200" s="28"/>
      <c r="AK4200" s="28" t="n">
        <f aca="false">AJ4200*$M4200</f>
        <v>0</v>
      </c>
      <c r="AL4200" s="28"/>
      <c r="AM4200" s="28" t="n">
        <f aca="false">AL4200*$M4200</f>
        <v>0</v>
      </c>
      <c r="AN4200" s="28"/>
      <c r="AO4200" s="28" t="n">
        <f aca="false">AN4200*$M4200</f>
        <v>0</v>
      </c>
      <c r="AP4200" s="28"/>
      <c r="AQ4200" s="28" t="n">
        <f aca="false">AP4200*$M4200</f>
        <v>0</v>
      </c>
      <c r="AR4200" s="28"/>
      <c r="AS4200" s="28" t="n">
        <f aca="false">AR4200*$M4200</f>
        <v>0</v>
      </c>
      <c r="AT4200" s="28"/>
      <c r="AU4200" s="28" t="n">
        <f aca="false">AT4200*$M4200</f>
        <v>0</v>
      </c>
      <c r="AV4200" s="28"/>
      <c r="AW4200" s="28" t="n">
        <f aca="false">AV4200*$M4200</f>
        <v>0</v>
      </c>
      <c r="AX4200" s="28"/>
      <c r="AY4200" s="28" t="n">
        <f aca="false">AX4200*$M4200</f>
        <v>0</v>
      </c>
      <c r="AZ4200" s="30"/>
      <c r="BA4200" s="11"/>
      <c r="BB4200" s="31" t="n">
        <f aca="false">SUM(Q4200,S4200,U4200,W4200,Y4200,AA4200,AC4200,AE4200,AG4200,AI4200,AK4200,AM4200,AO4200,AQ4200,AS4200,AU4200,AW4200,AY4200)</f>
        <v>0</v>
      </c>
      <c r="BC4200" s="28" t="n">
        <f aca="false">BA4200-BB4200</f>
        <v>0</v>
      </c>
      <c r="BD4200" s="32" t="n">
        <f aca="false">SUM(P4200,R4200,T4200,V4200,X4200,Z4200,AB4200,AD4200,AF4200,AH4200,AJ4200,AL4200,AN4200,AP4200,AR4200,AT4200,AV4200,AX4200)</f>
        <v>0</v>
      </c>
      <c r="BE4200" s="33" t="n">
        <f aca="false">AZ4200-BD4200</f>
        <v>0</v>
      </c>
      <c r="BF4200" s="34" t="n">
        <f aca="false">BD4200*M4200</f>
        <v>0</v>
      </c>
      <c r="BG4200" s="35" t="n">
        <f aca="false">BA4200-BF4200</f>
        <v>0</v>
      </c>
      <c r="BH4200" s="19" t="str">
        <f aca="false">IF(BG4200=0,"",IF(BG4200&lt;&gt;BA4200,"erreur de calcul",IF(BD4200&lt;&gt;0,"pas de prix",IF(M4200&lt;&gt; 0,"pas de quantité","pas de prix, ni de quantité"))))</f>
        <v/>
      </c>
      <c r="BI4200" s="19"/>
    </row>
    <row r="4201" customFormat="false" ht="15" hidden="false" customHeight="false" outlineLevel="0" collapsed="false">
      <c r="A4201" s="0" t="n">
        <v>10</v>
      </c>
      <c r="B4201" s="8" t="s">
        <v>24</v>
      </c>
      <c r="C4201" s="9" t="s">
        <v>25</v>
      </c>
      <c r="D4201" s="9" t="s">
        <v>26</v>
      </c>
      <c r="E4201" s="10" t="n">
        <v>1789</v>
      </c>
      <c r="F4201" s="9" t="s">
        <v>27</v>
      </c>
      <c r="G4201" s="9" t="s">
        <v>27</v>
      </c>
      <c r="H4201" s="11" t="n">
        <v>27</v>
      </c>
      <c r="I4201" s="11" t="s">
        <v>421</v>
      </c>
      <c r="J4201" s="14" t="n">
        <v>220</v>
      </c>
      <c r="K4201" s="14"/>
      <c r="L4201" s="16"/>
      <c r="M4201" s="27" t="n">
        <f aca="false">J4201+(K4201/20)+(L4201/240)</f>
        <v>220</v>
      </c>
      <c r="N4201" s="17" t="s">
        <v>64</v>
      </c>
      <c r="O4201" s="11" t="s">
        <v>277</v>
      </c>
      <c r="P4201" s="28" t="n">
        <f aca="false">245/100</f>
        <v>2.45</v>
      </c>
      <c r="Q4201" s="28" t="n">
        <v>539</v>
      </c>
      <c r="R4201" s="28"/>
      <c r="S4201" s="28" t="n">
        <f aca="false">R4201*$M4201</f>
        <v>0</v>
      </c>
      <c r="T4201" s="28" t="n">
        <f aca="false">40119/100</f>
        <v>401.19</v>
      </c>
      <c r="U4201" s="28" t="n">
        <v>88262</v>
      </c>
      <c r="V4201" s="28" t="n">
        <f aca="false">14285/100</f>
        <v>142.85</v>
      </c>
      <c r="W4201" s="28" t="n">
        <v>31427</v>
      </c>
      <c r="X4201" s="28" t="n">
        <f aca="false">62608/100</f>
        <v>626.08</v>
      </c>
      <c r="Y4201" s="28" t="n">
        <v>137738</v>
      </c>
      <c r="Z4201" s="28" t="n">
        <f aca="false">523/100</f>
        <v>5.23</v>
      </c>
      <c r="AA4201" s="28" t="n">
        <v>1151</v>
      </c>
      <c r="AB4201" s="28" t="n">
        <f aca="false">56/100</f>
        <v>0.56</v>
      </c>
      <c r="AC4201" s="28" t="n">
        <v>123</v>
      </c>
      <c r="AD4201" s="28"/>
      <c r="AE4201" s="28" t="n">
        <f aca="false">AD4201*$M4201</f>
        <v>0</v>
      </c>
      <c r="AF4201" s="28"/>
      <c r="AG4201" s="28" t="n">
        <f aca="false">AF4201*$M4201</f>
        <v>0</v>
      </c>
      <c r="AH4201" s="28"/>
      <c r="AI4201" s="28" t="n">
        <f aca="false">AH4201*$M4201</f>
        <v>0</v>
      </c>
      <c r="AJ4201" s="28" t="n">
        <f aca="false">3845/100</f>
        <v>38.45</v>
      </c>
      <c r="AK4201" s="28" t="n">
        <v>8459</v>
      </c>
      <c r="AL4201" s="28" t="n">
        <f aca="false">26510/100</f>
        <v>265.1</v>
      </c>
      <c r="AM4201" s="28" t="n">
        <v>58322</v>
      </c>
      <c r="AN4201" s="28" t="n">
        <f aca="false">330/100</f>
        <v>3.3</v>
      </c>
      <c r="AO4201" s="28" t="n">
        <v>726</v>
      </c>
      <c r="AP4201" s="28"/>
      <c r="AQ4201" s="28" t="n">
        <f aca="false">AP4201*$M4201</f>
        <v>0</v>
      </c>
      <c r="AR4201" s="28"/>
      <c r="AS4201" s="28" t="n">
        <f aca="false">AR4201*$M4201</f>
        <v>0</v>
      </c>
      <c r="AT4201" s="28"/>
      <c r="AU4201" s="28" t="n">
        <f aca="false">AT4201*$M4201</f>
        <v>0</v>
      </c>
      <c r="AV4201" s="28" t="n">
        <f aca="false">1487/100</f>
        <v>14.87</v>
      </c>
      <c r="AW4201" s="28" t="n">
        <v>3271</v>
      </c>
      <c r="AX4201" s="28"/>
      <c r="AY4201" s="28" t="n">
        <f aca="false">AX4201*$M4201</f>
        <v>0</v>
      </c>
      <c r="AZ4201" s="30" t="n">
        <f aca="false">150008/100</f>
        <v>1500.08</v>
      </c>
      <c r="BA4201" s="11" t="n">
        <v>330018</v>
      </c>
      <c r="BB4201" s="31" t="n">
        <f aca="false">SUM(Q4201,S4201,U4201,W4201,Y4201,AA4201,AC4201,AE4201,AG4201,AI4201,AK4201,AM4201,AO4201,AQ4201,AS4201,AU4201,AW4201,AY4201)</f>
        <v>330018</v>
      </c>
      <c r="BC4201" s="28" t="n">
        <f aca="false">BA4201-BB4201</f>
        <v>0</v>
      </c>
      <c r="BD4201" s="32" t="n">
        <f aca="false">SUM(P4201,R4201,T4201,V4201,X4201,Z4201,AB4201,AD4201,AF4201,AH4201,AJ4201,AL4201,AN4201,AP4201,AR4201,AT4201,AV4201,AX4201)</f>
        <v>1500.08</v>
      </c>
      <c r="BE4201" s="33" t="n">
        <f aca="false">AZ4201-BD4201</f>
        <v>0</v>
      </c>
      <c r="BF4201" s="34" t="n">
        <f aca="false">BD4201*M4201</f>
        <v>330017.6</v>
      </c>
      <c r="BG4201" s="35" t="n">
        <f aca="false">BA4201-BF4201</f>
        <v>0.399999999965075</v>
      </c>
      <c r="BH4201" s="19" t="str">
        <f aca="false">IF(BG4201=0,"",IF(BG4201&lt;&gt;BA4201,"erreur de calcul",IF(BD4201&lt;&gt;0,"pas de prix",IF(M4201&lt;&gt; 0,"pas de quantité","pas de prix, ni de quantité"))))</f>
        <v>erreur de calcul</v>
      </c>
      <c r="BI4201" s="19"/>
    </row>
    <row r="4202" customFormat="false" ht="15" hidden="false" customHeight="false" outlineLevel="0" collapsed="false">
      <c r="A4202" s="0" t="n">
        <v>11</v>
      </c>
      <c r="B4202" s="8" t="s">
        <v>24</v>
      </c>
      <c r="C4202" s="9" t="s">
        <v>25</v>
      </c>
      <c r="D4202" s="9" t="s">
        <v>26</v>
      </c>
      <c r="E4202" s="10" t="n">
        <v>1789</v>
      </c>
      <c r="F4202" s="9" t="s">
        <v>27</v>
      </c>
      <c r="G4202" s="9" t="s">
        <v>27</v>
      </c>
      <c r="H4202" s="11" t="n">
        <v>27</v>
      </c>
      <c r="I4202" s="11" t="s">
        <v>422</v>
      </c>
      <c r="J4202" s="14" t="n">
        <v>35</v>
      </c>
      <c r="K4202" s="14"/>
      <c r="L4202" s="16"/>
      <c r="M4202" s="27" t="n">
        <f aca="false">J4202+(K4202/20)+(L4202/240)</f>
        <v>35</v>
      </c>
      <c r="N4202" s="17" t="s">
        <v>64</v>
      </c>
      <c r="O4202" s="11"/>
      <c r="P4202" s="28"/>
      <c r="Q4202" s="28" t="n">
        <f aca="false">P4202*$M4202</f>
        <v>0</v>
      </c>
      <c r="R4202" s="28"/>
      <c r="S4202" s="28" t="n">
        <f aca="false">R4202*$M4202</f>
        <v>0</v>
      </c>
      <c r="T4202" s="28"/>
      <c r="U4202" s="28" t="n">
        <f aca="false">T4202*$M4202</f>
        <v>0</v>
      </c>
      <c r="V4202" s="28"/>
      <c r="W4202" s="28" t="n">
        <f aca="false">V4202*$M4202</f>
        <v>0</v>
      </c>
      <c r="X4202" s="28" t="n">
        <f aca="false">9982/100</f>
        <v>99.82</v>
      </c>
      <c r="Y4202" s="28" t="n">
        <v>3494</v>
      </c>
      <c r="Z4202" s="28"/>
      <c r="AA4202" s="28" t="n">
        <f aca="false">Z4202*$M4202</f>
        <v>0</v>
      </c>
      <c r="AB4202" s="28"/>
      <c r="AC4202" s="28" t="n">
        <f aca="false">AB4202*$M4202</f>
        <v>0</v>
      </c>
      <c r="AD4202" s="28"/>
      <c r="AE4202" s="28" t="n">
        <f aca="false">AD4202*$M4202</f>
        <v>0</v>
      </c>
      <c r="AF4202" s="28"/>
      <c r="AG4202" s="28" t="n">
        <f aca="false">AF4202*$M4202</f>
        <v>0</v>
      </c>
      <c r="AH4202" s="28"/>
      <c r="AI4202" s="28" t="n">
        <f aca="false">AH4202*$M4202</f>
        <v>0</v>
      </c>
      <c r="AJ4202" s="28" t="n">
        <f aca="false">28200/100</f>
        <v>282</v>
      </c>
      <c r="AK4202" s="28" t="n">
        <v>9870</v>
      </c>
      <c r="AL4202" s="28" t="n">
        <f aca="false">163472/100</f>
        <v>1634.72</v>
      </c>
      <c r="AM4202" s="28" t="n">
        <v>57215</v>
      </c>
      <c r="AN4202" s="28"/>
      <c r="AO4202" s="28" t="n">
        <f aca="false">AN4202*$M4202</f>
        <v>0</v>
      </c>
      <c r="AP4202" s="28"/>
      <c r="AQ4202" s="28" t="n">
        <f aca="false">AP4202*$M4202</f>
        <v>0</v>
      </c>
      <c r="AR4202" s="28"/>
      <c r="AS4202" s="28" t="n">
        <f aca="false">AR4202*$M4202</f>
        <v>0</v>
      </c>
      <c r="AT4202" s="28"/>
      <c r="AU4202" s="28" t="n">
        <f aca="false">AT4202*$M4202</f>
        <v>0</v>
      </c>
      <c r="AV4202" s="28" t="n">
        <f aca="false">49250/100</f>
        <v>492.5</v>
      </c>
      <c r="AW4202" s="28" t="n">
        <v>17237</v>
      </c>
      <c r="AX4202" s="28"/>
      <c r="AY4202" s="28" t="n">
        <f aca="false">AX4202*$M4202</f>
        <v>0</v>
      </c>
      <c r="AZ4202" s="30" t="n">
        <f aca="false">250904/100</f>
        <v>2509.04</v>
      </c>
      <c r="BA4202" s="11" t="n">
        <v>87816</v>
      </c>
      <c r="BB4202" s="31" t="n">
        <f aca="false">SUM(Q4202,S4202,U4202,W4202,Y4202,AA4202,AC4202,AE4202,AG4202,AI4202,AK4202,AM4202,AO4202,AQ4202,AS4202,AU4202,AW4202,AY4202)</f>
        <v>87816</v>
      </c>
      <c r="BC4202" s="28" t="n">
        <f aca="false">BA4202-BB4202</f>
        <v>0</v>
      </c>
      <c r="BD4202" s="32" t="n">
        <f aca="false">SUM(P4202,R4202,T4202,V4202,X4202,Z4202,AB4202,AD4202,AF4202,AH4202,AJ4202,AL4202,AN4202,AP4202,AR4202,AT4202,AV4202,AX4202)</f>
        <v>2509.04</v>
      </c>
      <c r="BE4202" s="33" t="n">
        <f aca="false">AZ4202-BD4202</f>
        <v>0</v>
      </c>
      <c r="BF4202" s="34" t="n">
        <f aca="false">BD4202*M4202</f>
        <v>87816.4</v>
      </c>
      <c r="BG4202" s="35" t="n">
        <f aca="false">BA4202-BF4202</f>
        <v>-0.400000000008731</v>
      </c>
      <c r="BH4202" s="19" t="str">
        <f aca="false">IF(BG4202=0,"",IF(BG4202&lt;&gt;BA4202,"erreur de calcul",IF(BD4202&lt;&gt;0,"pas de prix",IF(M4202&lt;&gt; 0,"pas de quantité","pas de prix, ni de quantité"))))</f>
        <v>erreur de calcul</v>
      </c>
      <c r="BI4202" s="19"/>
    </row>
    <row r="4203" customFormat="false" ht="15" hidden="false" customHeight="false" outlineLevel="0" collapsed="false">
      <c r="A4203" s="0" t="n">
        <v>12</v>
      </c>
      <c r="B4203" s="8" t="s">
        <v>24</v>
      </c>
      <c r="C4203" s="9" t="s">
        <v>25</v>
      </c>
      <c r="D4203" s="9" t="s">
        <v>26</v>
      </c>
      <c r="E4203" s="10" t="n">
        <v>1789</v>
      </c>
      <c r="F4203" s="9" t="s">
        <v>27</v>
      </c>
      <c r="G4203" s="9" t="s">
        <v>27</v>
      </c>
      <c r="H4203" s="11" t="n">
        <v>27</v>
      </c>
      <c r="I4203" s="11" t="s">
        <v>423</v>
      </c>
      <c r="J4203" s="14" t="n">
        <v>75</v>
      </c>
      <c r="K4203" s="14"/>
      <c r="L4203" s="16"/>
      <c r="M4203" s="27" t="n">
        <f aca="false">J4203+(K4203/20)+(L4203/240)</f>
        <v>75</v>
      </c>
      <c r="N4203" s="17" t="s">
        <v>64</v>
      </c>
      <c r="O4203" s="11"/>
      <c r="P4203" s="28"/>
      <c r="Q4203" s="28" t="n">
        <f aca="false">P4203*$M4203</f>
        <v>0</v>
      </c>
      <c r="R4203" s="28"/>
      <c r="S4203" s="28" t="n">
        <f aca="false">R4203*$M4203</f>
        <v>0</v>
      </c>
      <c r="T4203" s="28"/>
      <c r="U4203" s="28" t="n">
        <f aca="false">T4203*$M4203</f>
        <v>0</v>
      </c>
      <c r="V4203" s="28" t="n">
        <f aca="false">1030/100</f>
        <v>10.3</v>
      </c>
      <c r="W4203" s="28" t="n">
        <v>772</v>
      </c>
      <c r="X4203" s="28"/>
      <c r="Y4203" s="28" t="n">
        <f aca="false">X4203*$M4203</f>
        <v>0</v>
      </c>
      <c r="Z4203" s="28"/>
      <c r="AA4203" s="28" t="n">
        <f aca="false">Z4203*$M4203</f>
        <v>0</v>
      </c>
      <c r="AB4203" s="28"/>
      <c r="AC4203" s="28" t="n">
        <f aca="false">AB4203*$M4203</f>
        <v>0</v>
      </c>
      <c r="AD4203" s="28"/>
      <c r="AE4203" s="28" t="n">
        <f aca="false">AD4203*$M4203</f>
        <v>0</v>
      </c>
      <c r="AF4203" s="28"/>
      <c r="AG4203" s="28" t="n">
        <f aca="false">AF4203*$M4203</f>
        <v>0</v>
      </c>
      <c r="AH4203" s="28"/>
      <c r="AI4203" s="28" t="n">
        <f aca="false">AH4203*$M4203</f>
        <v>0</v>
      </c>
      <c r="AJ4203" s="28"/>
      <c r="AK4203" s="28" t="n">
        <f aca="false">AJ4203*$M4203</f>
        <v>0</v>
      </c>
      <c r="AL4203" s="28"/>
      <c r="AM4203" s="28" t="n">
        <f aca="false">AL4203*$M4203</f>
        <v>0</v>
      </c>
      <c r="AN4203" s="28"/>
      <c r="AO4203" s="28" t="n">
        <f aca="false">AN4203*$M4203</f>
        <v>0</v>
      </c>
      <c r="AP4203" s="28"/>
      <c r="AQ4203" s="28" t="n">
        <f aca="false">AP4203*$M4203</f>
        <v>0</v>
      </c>
      <c r="AR4203" s="28"/>
      <c r="AS4203" s="28" t="n">
        <f aca="false">AR4203*$M4203</f>
        <v>0</v>
      </c>
      <c r="AT4203" s="28"/>
      <c r="AU4203" s="28" t="n">
        <f aca="false">AT4203*$M4203</f>
        <v>0</v>
      </c>
      <c r="AV4203" s="28"/>
      <c r="AW4203" s="28" t="n">
        <f aca="false">AV4203*$M4203</f>
        <v>0</v>
      </c>
      <c r="AX4203" s="28"/>
      <c r="AY4203" s="28" t="n">
        <f aca="false">AX4203*$M4203</f>
        <v>0</v>
      </c>
      <c r="AZ4203" s="30" t="n">
        <f aca="false">1030/100</f>
        <v>10.3</v>
      </c>
      <c r="BA4203" s="11" t="n">
        <v>772</v>
      </c>
      <c r="BB4203" s="31" t="n">
        <f aca="false">SUM(Q4203,S4203,U4203,W4203,Y4203,AA4203,AC4203,AE4203,AG4203,AI4203,AK4203,AM4203,AO4203,AQ4203,AS4203,AU4203,AW4203,AY4203)</f>
        <v>772</v>
      </c>
      <c r="BC4203" s="28" t="n">
        <f aca="false">BA4203-BB4203</f>
        <v>0</v>
      </c>
      <c r="BD4203" s="32" t="n">
        <f aca="false">SUM(P4203,R4203,T4203,V4203,X4203,Z4203,AB4203,AD4203,AF4203,AH4203,AJ4203,AL4203,AN4203,AP4203,AR4203,AT4203,AV4203,AX4203)</f>
        <v>10.3</v>
      </c>
      <c r="BE4203" s="33" t="n">
        <f aca="false">AZ4203-BD4203</f>
        <v>0</v>
      </c>
      <c r="BF4203" s="34" t="n">
        <f aca="false">BD4203*M4203</f>
        <v>772.5</v>
      </c>
      <c r="BG4203" s="35" t="n">
        <f aca="false">BA4203-BF4203</f>
        <v>-0.5</v>
      </c>
      <c r="BH4203" s="19" t="str">
        <f aca="false">IF(BG4203=0,"",IF(BG4203&lt;&gt;BA4203,"erreur de calcul",IF(BD4203&lt;&gt;0,"pas de prix",IF(M4203&lt;&gt; 0,"pas de quantité","pas de prix, ni de quantité"))))</f>
        <v>erreur de calcul</v>
      </c>
      <c r="BI4203" s="19"/>
    </row>
    <row r="4204" customFormat="false" ht="15" hidden="false" customHeight="false" outlineLevel="0" collapsed="false">
      <c r="A4204" s="0" t="n">
        <v>13</v>
      </c>
      <c r="B4204" s="8" t="s">
        <v>24</v>
      </c>
      <c r="C4204" s="9" t="s">
        <v>25</v>
      </c>
      <c r="D4204" s="9" t="s">
        <v>26</v>
      </c>
      <c r="E4204" s="10" t="n">
        <v>1789</v>
      </c>
      <c r="F4204" s="9" t="s">
        <v>27</v>
      </c>
      <c r="G4204" s="9" t="s">
        <v>27</v>
      </c>
      <c r="H4204" s="11" t="n">
        <v>27</v>
      </c>
      <c r="I4204" s="11" t="s">
        <v>424</v>
      </c>
      <c r="J4204" s="14" t="n">
        <v>6</v>
      </c>
      <c r="K4204" s="14"/>
      <c r="L4204" s="16"/>
      <c r="M4204" s="27" t="n">
        <f aca="false">J4204+(K4204/20)+(L4204/240)</f>
        <v>6</v>
      </c>
      <c r="N4204" s="17" t="s">
        <v>64</v>
      </c>
      <c r="O4204" s="11" t="s">
        <v>277</v>
      </c>
      <c r="P4204" s="28"/>
      <c r="Q4204" s="28" t="n">
        <f aca="false">P4204*$M4204</f>
        <v>0</v>
      </c>
      <c r="R4204" s="28"/>
      <c r="S4204" s="28" t="n">
        <f aca="false">R4204*$M4204</f>
        <v>0</v>
      </c>
      <c r="T4204" s="28"/>
      <c r="U4204" s="28" t="n">
        <f aca="false">T4204*$M4204</f>
        <v>0</v>
      </c>
      <c r="V4204" s="28"/>
      <c r="W4204" s="28" t="n">
        <f aca="false">V4204*$M4204</f>
        <v>0</v>
      </c>
      <c r="X4204" s="28"/>
      <c r="Y4204" s="28" t="n">
        <f aca="false">X4204*$M4204</f>
        <v>0</v>
      </c>
      <c r="Z4204" s="28"/>
      <c r="AA4204" s="28" t="n">
        <f aca="false">Z4204*$M4204</f>
        <v>0</v>
      </c>
      <c r="AB4204" s="28"/>
      <c r="AC4204" s="28" t="n">
        <f aca="false">AB4204*$M4204</f>
        <v>0</v>
      </c>
      <c r="AD4204" s="28"/>
      <c r="AE4204" s="28" t="n">
        <f aca="false">AD4204*$M4204</f>
        <v>0</v>
      </c>
      <c r="AF4204" s="28"/>
      <c r="AG4204" s="28" t="n">
        <f aca="false">AF4204*$M4204</f>
        <v>0</v>
      </c>
      <c r="AH4204" s="28" t="n">
        <f aca="false">9050/100</f>
        <v>90.5</v>
      </c>
      <c r="AI4204" s="28" t="n">
        <v>543</v>
      </c>
      <c r="AJ4204" s="28"/>
      <c r="AK4204" s="28" t="n">
        <f aca="false">AJ4204*$M4204</f>
        <v>0</v>
      </c>
      <c r="AL4204" s="28" t="n">
        <f aca="false">48717/100</f>
        <v>487.17</v>
      </c>
      <c r="AM4204" s="28" t="n">
        <v>2923</v>
      </c>
      <c r="AN4204" s="28"/>
      <c r="AO4204" s="28" t="n">
        <f aca="false">AN4204*$M4204</f>
        <v>0</v>
      </c>
      <c r="AP4204" s="28"/>
      <c r="AQ4204" s="28" t="n">
        <f aca="false">AP4204*$M4204</f>
        <v>0</v>
      </c>
      <c r="AR4204" s="28"/>
      <c r="AS4204" s="28" t="n">
        <f aca="false">AR4204*$M4204</f>
        <v>0</v>
      </c>
      <c r="AT4204" s="28"/>
      <c r="AU4204" s="28" t="n">
        <f aca="false">AT4204*$M4204</f>
        <v>0</v>
      </c>
      <c r="AV4204" s="28"/>
      <c r="AW4204" s="28" t="n">
        <f aca="false">AV4204*$M4204</f>
        <v>0</v>
      </c>
      <c r="AX4204" s="28"/>
      <c r="AY4204" s="28" t="n">
        <f aca="false">AX4204*$M4204</f>
        <v>0</v>
      </c>
      <c r="AZ4204" s="30" t="n">
        <f aca="false">57767/100</f>
        <v>577.67</v>
      </c>
      <c r="BA4204" s="11" t="n">
        <v>3466</v>
      </c>
      <c r="BB4204" s="31" t="n">
        <f aca="false">SUM(Q4204,S4204,U4204,W4204,Y4204,AA4204,AC4204,AE4204,AG4204,AI4204,AK4204,AM4204,AO4204,AQ4204,AS4204,AU4204,AW4204,AY4204)</f>
        <v>3466</v>
      </c>
      <c r="BC4204" s="28" t="n">
        <f aca="false">BA4204-BB4204</f>
        <v>0</v>
      </c>
      <c r="BD4204" s="32" t="n">
        <f aca="false">SUM(P4204,R4204,T4204,V4204,X4204,Z4204,AB4204,AD4204,AF4204,AH4204,AJ4204,AL4204,AN4204,AP4204,AR4204,AT4204,AV4204,AX4204)</f>
        <v>577.67</v>
      </c>
      <c r="BE4204" s="33" t="n">
        <f aca="false">AZ4204-BD4204</f>
        <v>0</v>
      </c>
      <c r="BF4204" s="34" t="n">
        <f aca="false">BD4204*M4204</f>
        <v>3466.02</v>
      </c>
      <c r="BG4204" s="35" t="n">
        <f aca="false">BA4204-BF4204</f>
        <v>-0.0200000000004366</v>
      </c>
      <c r="BH4204" s="19" t="str">
        <f aca="false">IF(BG4204=0,"",IF(BG4204&lt;&gt;BA4204,"erreur de calcul",IF(BD4204&lt;&gt;0,"pas de prix",IF(M4204&lt;&gt; 0,"pas de quantité","pas de prix, ni de quantité"))))</f>
        <v>erreur de calcul</v>
      </c>
      <c r="BI4204" s="19"/>
    </row>
    <row r="4205" customFormat="false" ht="15" hidden="false" customHeight="false" outlineLevel="0" collapsed="false">
      <c r="A4205" s="0" t="n">
        <v>14</v>
      </c>
      <c r="B4205" s="8" t="s">
        <v>24</v>
      </c>
      <c r="C4205" s="9" t="s">
        <v>25</v>
      </c>
      <c r="D4205" s="9" t="s">
        <v>26</v>
      </c>
      <c r="E4205" s="10" t="n">
        <v>1789</v>
      </c>
      <c r="F4205" s="9" t="s">
        <v>27</v>
      </c>
      <c r="G4205" s="9" t="s">
        <v>27</v>
      </c>
      <c r="H4205" s="11" t="n">
        <v>27</v>
      </c>
      <c r="I4205" s="11" t="s">
        <v>425</v>
      </c>
      <c r="J4205" s="14" t="n">
        <v>25</v>
      </c>
      <c r="K4205" s="14"/>
      <c r="L4205" s="16"/>
      <c r="M4205" s="27" t="n">
        <f aca="false">J4205+(K4205/20)+(L4205/240)</f>
        <v>25</v>
      </c>
      <c r="N4205" s="17" t="s">
        <v>64</v>
      </c>
      <c r="O4205" s="11"/>
      <c r="P4205" s="28"/>
      <c r="Q4205" s="28" t="n">
        <f aca="false">P4205*$M4205</f>
        <v>0</v>
      </c>
      <c r="R4205" s="28"/>
      <c r="S4205" s="28" t="n">
        <f aca="false">R4205*$M4205</f>
        <v>0</v>
      </c>
      <c r="T4205" s="28" t="n">
        <f aca="false">10*288*0.02+114*0.02</f>
        <v>59.88</v>
      </c>
      <c r="U4205" s="28" t="n">
        <v>1497</v>
      </c>
      <c r="V4205" s="28"/>
      <c r="W4205" s="28" t="n">
        <f aca="false">V4205*$M4205</f>
        <v>0</v>
      </c>
      <c r="X4205" s="28"/>
      <c r="Y4205" s="28" t="n">
        <f aca="false">X4205*$M4205</f>
        <v>0</v>
      </c>
      <c r="Z4205" s="28"/>
      <c r="AA4205" s="28" t="n">
        <f aca="false">Z4205*$M4205</f>
        <v>0</v>
      </c>
      <c r="AB4205" s="28"/>
      <c r="AC4205" s="28" t="n">
        <f aca="false">AB4205*$M4205</f>
        <v>0</v>
      </c>
      <c r="AD4205" s="28"/>
      <c r="AE4205" s="28" t="n">
        <f aca="false">AD4205*$M4205</f>
        <v>0</v>
      </c>
      <c r="AF4205" s="28"/>
      <c r="AG4205" s="28" t="n">
        <f aca="false">AF4205*$M4205</f>
        <v>0</v>
      </c>
      <c r="AH4205" s="28"/>
      <c r="AI4205" s="28" t="n">
        <f aca="false">AH4205*$M4205</f>
        <v>0</v>
      </c>
      <c r="AJ4205" s="28"/>
      <c r="AK4205" s="28" t="n">
        <f aca="false">AJ4205*$M4205</f>
        <v>0</v>
      </c>
      <c r="AL4205" s="28"/>
      <c r="AM4205" s="28" t="n">
        <f aca="false">AL4205*$M4205</f>
        <v>0</v>
      </c>
      <c r="AN4205" s="28"/>
      <c r="AO4205" s="28" t="n">
        <f aca="false">AN4205*$M4205</f>
        <v>0</v>
      </c>
      <c r="AP4205" s="28"/>
      <c r="AQ4205" s="28" t="n">
        <f aca="false">AP4205*$M4205</f>
        <v>0</v>
      </c>
      <c r="AR4205" s="28"/>
      <c r="AS4205" s="28" t="n">
        <f aca="false">AR4205*$M4205</f>
        <v>0</v>
      </c>
      <c r="AT4205" s="28"/>
      <c r="AU4205" s="28" t="n">
        <f aca="false">AT4205*$M4205</f>
        <v>0</v>
      </c>
      <c r="AV4205" s="28"/>
      <c r="AW4205" s="28" t="n">
        <f aca="false">AV4205*$M4205</f>
        <v>0</v>
      </c>
      <c r="AX4205" s="28"/>
      <c r="AY4205" s="28" t="n">
        <f aca="false">AX4205*$M4205</f>
        <v>0</v>
      </c>
      <c r="AZ4205" s="30" t="n">
        <f aca="false">10*288*0.02+114*0.02</f>
        <v>59.88</v>
      </c>
      <c r="BA4205" s="11" t="n">
        <v>1497</v>
      </c>
      <c r="BB4205" s="31" t="n">
        <f aca="false">SUM(Q4205,S4205,U4205,W4205,Y4205,AA4205,AC4205,AE4205,AG4205,AI4205,AK4205,AM4205,AO4205,AQ4205,AS4205,AU4205,AW4205,AY4205)</f>
        <v>1497</v>
      </c>
      <c r="BC4205" s="28" t="n">
        <f aca="false">BA4205-BB4205</f>
        <v>0</v>
      </c>
      <c r="BD4205" s="32" t="n">
        <f aca="false">SUM(P4205,R4205,T4205,V4205,X4205,Z4205,AB4205,AD4205,AF4205,AH4205,AJ4205,AL4205,AN4205,AP4205,AR4205,AT4205,AV4205,AX4205)</f>
        <v>59.88</v>
      </c>
      <c r="BE4205" s="33" t="n">
        <f aca="false">AZ4205-BD4205</f>
        <v>0</v>
      </c>
      <c r="BF4205" s="34" t="n">
        <f aca="false">BD4205*M4205</f>
        <v>1497</v>
      </c>
      <c r="BG4205" s="35" t="n">
        <f aca="false">BA4205-BF4205</f>
        <v>0</v>
      </c>
      <c r="BH4205" s="19" t="str">
        <f aca="false">IF(BG4205=0,"",IF(BG4205&lt;&gt;BA4205,"erreur de calcul",IF(BD4205&lt;&gt;0,"pas de prix",IF(M4205&lt;&gt; 0,"pas de quantité","pas de prix, ni de quantité"))))</f>
        <v/>
      </c>
      <c r="BI4205" s="19"/>
    </row>
    <row r="4206" customFormat="false" ht="15" hidden="false" customHeight="false" outlineLevel="0" collapsed="false">
      <c r="A4206" s="0" t="n">
        <v>15</v>
      </c>
      <c r="B4206" s="8" t="s">
        <v>24</v>
      </c>
      <c r="C4206" s="9" t="s">
        <v>25</v>
      </c>
      <c r="D4206" s="9" t="s">
        <v>26</v>
      </c>
      <c r="E4206" s="10" t="n">
        <v>1789</v>
      </c>
      <c r="F4206" s="9" t="s">
        <v>27</v>
      </c>
      <c r="G4206" s="9" t="s">
        <v>27</v>
      </c>
      <c r="H4206" s="11" t="n">
        <v>27</v>
      </c>
      <c r="I4206" s="11" t="s">
        <v>426</v>
      </c>
      <c r="J4206" s="14" t="n">
        <v>40</v>
      </c>
      <c r="K4206" s="14"/>
      <c r="L4206" s="16"/>
      <c r="M4206" s="27" t="n">
        <f aca="false">J4206+(K4206/20)+(L4206/240)</f>
        <v>40</v>
      </c>
      <c r="N4206" s="17" t="s">
        <v>64</v>
      </c>
      <c r="O4206" s="11"/>
      <c r="P4206" s="28"/>
      <c r="Q4206" s="28" t="n">
        <f aca="false">P4206*$M4206</f>
        <v>0</v>
      </c>
      <c r="R4206" s="28"/>
      <c r="S4206" s="28" t="n">
        <f aca="false">R4206*$M4206</f>
        <v>0</v>
      </c>
      <c r="T4206" s="28"/>
      <c r="U4206" s="28" t="n">
        <f aca="false">T4206*$M4206</f>
        <v>0</v>
      </c>
      <c r="V4206" s="28"/>
      <c r="W4206" s="28" t="n">
        <f aca="false">V4206*$M4206</f>
        <v>0</v>
      </c>
      <c r="X4206" s="28"/>
      <c r="Y4206" s="28" t="n">
        <f aca="false">X4206*$M4206</f>
        <v>0</v>
      </c>
      <c r="Z4206" s="28"/>
      <c r="AA4206" s="28" t="n">
        <f aca="false">Z4206*$M4206</f>
        <v>0</v>
      </c>
      <c r="AB4206" s="28"/>
      <c r="AC4206" s="28" t="n">
        <f aca="false">AB4206*$M4206</f>
        <v>0</v>
      </c>
      <c r="AD4206" s="28"/>
      <c r="AE4206" s="28" t="n">
        <f aca="false">AD4206*$M4206</f>
        <v>0</v>
      </c>
      <c r="AF4206" s="28"/>
      <c r="AG4206" s="28" t="n">
        <f aca="false">AF4206*$M4206</f>
        <v>0</v>
      </c>
      <c r="AH4206" s="28" t="n">
        <f aca="false">1*288*0.02+59*0.02</f>
        <v>6.94</v>
      </c>
      <c r="AI4206" s="28" t="n">
        <v>278</v>
      </c>
      <c r="AJ4206" s="28"/>
      <c r="AK4206" s="28" t="n">
        <f aca="false">AJ4206*$M4206</f>
        <v>0</v>
      </c>
      <c r="AL4206" s="28"/>
      <c r="AM4206" s="28" t="n">
        <f aca="false">AL4206*$M4206</f>
        <v>0</v>
      </c>
      <c r="AN4206" s="28"/>
      <c r="AO4206" s="28" t="n">
        <f aca="false">AN4206*$M4206</f>
        <v>0</v>
      </c>
      <c r="AP4206" s="28"/>
      <c r="AQ4206" s="28" t="n">
        <f aca="false">AP4206*$M4206</f>
        <v>0</v>
      </c>
      <c r="AR4206" s="28"/>
      <c r="AS4206" s="28" t="n">
        <f aca="false">AR4206*$M4206</f>
        <v>0</v>
      </c>
      <c r="AT4206" s="28"/>
      <c r="AU4206" s="28" t="n">
        <f aca="false">AT4206*$M4206</f>
        <v>0</v>
      </c>
      <c r="AV4206" s="28"/>
      <c r="AW4206" s="28" t="n">
        <f aca="false">AV4206*$M4206</f>
        <v>0</v>
      </c>
      <c r="AX4206" s="28"/>
      <c r="AY4206" s="28" t="n">
        <f aca="false">AX4206*$M4206</f>
        <v>0</v>
      </c>
      <c r="AZ4206" s="30" t="n">
        <f aca="false">1*288*0.02+59*0.02</f>
        <v>6.94</v>
      </c>
      <c r="BA4206" s="11" t="n">
        <v>278</v>
      </c>
      <c r="BB4206" s="31" t="n">
        <f aca="false">SUM(Q4206,S4206,U4206,W4206,Y4206,AA4206,AC4206,AE4206,AG4206,AI4206,AK4206,AM4206,AO4206,AQ4206,AS4206,AU4206,AW4206,AY4206)</f>
        <v>278</v>
      </c>
      <c r="BC4206" s="28" t="n">
        <f aca="false">BA4206-BB4206</f>
        <v>0</v>
      </c>
      <c r="BD4206" s="32" t="n">
        <f aca="false">SUM(P4206,R4206,T4206,V4206,X4206,Z4206,AB4206,AD4206,AF4206,AH4206,AJ4206,AL4206,AN4206,AP4206,AR4206,AT4206,AV4206,AX4206)</f>
        <v>6.94</v>
      </c>
      <c r="BE4206" s="33" t="n">
        <f aca="false">AZ4206-BD4206</f>
        <v>0</v>
      </c>
      <c r="BF4206" s="34" t="n">
        <f aca="false">BD4206*M4206</f>
        <v>277.6</v>
      </c>
      <c r="BG4206" s="35" t="n">
        <f aca="false">BA4206-BF4206</f>
        <v>0.400000000000034</v>
      </c>
      <c r="BH4206" s="19" t="str">
        <f aca="false">IF(BG4206=0,"",IF(BG4206&lt;&gt;BA4206,"erreur de calcul",IF(BD4206&lt;&gt;0,"pas de prix",IF(M4206&lt;&gt; 0,"pas de quantité","pas de prix, ni de quantité"))))</f>
        <v>erreur de calcul</v>
      </c>
      <c r="BI4206" s="19"/>
    </row>
    <row r="4207" customFormat="false" ht="15" hidden="false" customHeight="false" outlineLevel="0" collapsed="false">
      <c r="A4207" s="0" t="n">
        <v>16</v>
      </c>
      <c r="B4207" s="8" t="s">
        <v>24</v>
      </c>
      <c r="C4207" s="9" t="s">
        <v>25</v>
      </c>
      <c r="D4207" s="9" t="s">
        <v>26</v>
      </c>
      <c r="E4207" s="10" t="n">
        <v>1789</v>
      </c>
      <c r="F4207" s="9" t="s">
        <v>27</v>
      </c>
      <c r="G4207" s="9" t="s">
        <v>27</v>
      </c>
      <c r="H4207" s="11" t="n">
        <v>27</v>
      </c>
      <c r="I4207" s="11" t="s">
        <v>427</v>
      </c>
      <c r="J4207" s="14" t="n">
        <v>32</v>
      </c>
      <c r="K4207" s="14"/>
      <c r="L4207" s="16"/>
      <c r="M4207" s="27" t="n">
        <f aca="false">J4207+(K4207/20)+(L4207/240)</f>
        <v>32</v>
      </c>
      <c r="N4207" s="17" t="s">
        <v>64</v>
      </c>
      <c r="O4207" s="11"/>
      <c r="P4207" s="28" t="n">
        <f aca="false">33*288*0.02+179*0.02</f>
        <v>193.66</v>
      </c>
      <c r="Q4207" s="28" t="n">
        <v>6197</v>
      </c>
      <c r="R4207" s="28"/>
      <c r="S4207" s="28" t="n">
        <f aca="false">R4207*$M4207</f>
        <v>0</v>
      </c>
      <c r="T4207" s="28"/>
      <c r="U4207" s="28" t="n">
        <f aca="false">T4207*$M4207</f>
        <v>0</v>
      </c>
      <c r="V4207" s="28"/>
      <c r="W4207" s="28" t="n">
        <f aca="false">V4207*$M4207</f>
        <v>0</v>
      </c>
      <c r="X4207" s="28"/>
      <c r="Y4207" s="28" t="n">
        <f aca="false">X4207*$M4207</f>
        <v>0</v>
      </c>
      <c r="Z4207" s="28"/>
      <c r="AA4207" s="28" t="n">
        <f aca="false">Z4207*$M4207</f>
        <v>0</v>
      </c>
      <c r="AB4207" s="28"/>
      <c r="AC4207" s="28" t="n">
        <f aca="false">AB4207*$M4207</f>
        <v>0</v>
      </c>
      <c r="AD4207" s="28"/>
      <c r="AE4207" s="28" t="n">
        <f aca="false">AD4207*$M4207</f>
        <v>0</v>
      </c>
      <c r="AF4207" s="28"/>
      <c r="AG4207" s="28" t="n">
        <f aca="false">AF4207*$M4207</f>
        <v>0</v>
      </c>
      <c r="AH4207" s="28"/>
      <c r="AI4207" s="28" t="n">
        <f aca="false">AH4207*$M4207</f>
        <v>0</v>
      </c>
      <c r="AJ4207" s="28"/>
      <c r="AK4207" s="28" t="n">
        <f aca="false">AJ4207*$M4207</f>
        <v>0</v>
      </c>
      <c r="AL4207" s="28"/>
      <c r="AM4207" s="28" t="n">
        <f aca="false">AL4207*$M4207</f>
        <v>0</v>
      </c>
      <c r="AN4207" s="28"/>
      <c r="AO4207" s="28" t="n">
        <f aca="false">AN4207*$M4207</f>
        <v>0</v>
      </c>
      <c r="AP4207" s="28"/>
      <c r="AQ4207" s="28" t="n">
        <f aca="false">AP4207*$M4207</f>
        <v>0</v>
      </c>
      <c r="AR4207" s="28"/>
      <c r="AS4207" s="28" t="n">
        <f aca="false">AR4207*$M4207</f>
        <v>0</v>
      </c>
      <c r="AT4207" s="28"/>
      <c r="AU4207" s="28" t="n">
        <f aca="false">AT4207*$M4207</f>
        <v>0</v>
      </c>
      <c r="AV4207" s="28"/>
      <c r="AW4207" s="28" t="n">
        <f aca="false">AV4207*$M4207</f>
        <v>0</v>
      </c>
      <c r="AX4207" s="28"/>
      <c r="AY4207" s="28" t="n">
        <f aca="false">AX4207*$M4207</f>
        <v>0</v>
      </c>
      <c r="AZ4207" s="30" t="n">
        <f aca="false">33*288*0.02+179*0.02</f>
        <v>193.66</v>
      </c>
      <c r="BA4207" s="11" t="n">
        <v>6197</v>
      </c>
      <c r="BB4207" s="31" t="n">
        <f aca="false">SUM(Q4207,S4207,U4207,W4207,Y4207,AA4207,AC4207,AE4207,AG4207,AI4207,AK4207,AM4207,AO4207,AQ4207,AS4207,AU4207,AW4207,AY4207)</f>
        <v>6197</v>
      </c>
      <c r="BC4207" s="28" t="n">
        <f aca="false">BA4207-BB4207</f>
        <v>0</v>
      </c>
      <c r="BD4207" s="32" t="n">
        <f aca="false">SUM(P4207,R4207,T4207,V4207,X4207,Z4207,AB4207,AD4207,AF4207,AH4207,AJ4207,AL4207,AN4207,AP4207,AR4207,AT4207,AV4207,AX4207)</f>
        <v>193.66</v>
      </c>
      <c r="BE4207" s="33" t="n">
        <f aca="false">AZ4207-BD4207</f>
        <v>0</v>
      </c>
      <c r="BF4207" s="34" t="n">
        <f aca="false">BD4207*M4207</f>
        <v>6197.12</v>
      </c>
      <c r="BG4207" s="35" t="n">
        <f aca="false">BA4207-BF4207</f>
        <v>-0.1200000000008</v>
      </c>
      <c r="BH4207" s="19" t="str">
        <f aca="false">IF(BG4207=0,"",IF(BG4207&lt;&gt;BA4207,"erreur de calcul",IF(BD4207&lt;&gt;0,"pas de prix",IF(M4207&lt;&gt; 0,"pas de quantité","pas de prix, ni de quantité"))))</f>
        <v>erreur de calcul</v>
      </c>
      <c r="BI4207" s="19"/>
    </row>
    <row r="4208" customFormat="false" ht="15" hidden="false" customHeight="false" outlineLevel="0" collapsed="false">
      <c r="A4208" s="0" t="n">
        <v>17</v>
      </c>
      <c r="B4208" s="8" t="s">
        <v>24</v>
      </c>
      <c r="C4208" s="9" t="s">
        <v>25</v>
      </c>
      <c r="D4208" s="9" t="s">
        <v>26</v>
      </c>
      <c r="E4208" s="10" t="n">
        <v>1789</v>
      </c>
      <c r="F4208" s="9" t="s">
        <v>27</v>
      </c>
      <c r="G4208" s="9" t="s">
        <v>27</v>
      </c>
      <c r="H4208" s="11" t="n">
        <v>27</v>
      </c>
      <c r="I4208" s="11" t="s">
        <v>428</v>
      </c>
      <c r="J4208" s="14"/>
      <c r="K4208" s="14" t="n">
        <v>12</v>
      </c>
      <c r="L4208" s="16"/>
      <c r="M4208" s="27" t="n">
        <f aca="false">J4208+(K4208/20)+(L4208/240)</f>
        <v>0.6</v>
      </c>
      <c r="N4208" s="17" t="s">
        <v>429</v>
      </c>
      <c r="O4208" s="11"/>
      <c r="P4208" s="28" t="n">
        <f aca="false">620*288+173</f>
        <v>178733</v>
      </c>
      <c r="Q4208" s="28" t="n">
        <v>107240</v>
      </c>
      <c r="R4208" s="28"/>
      <c r="S4208" s="28" t="n">
        <f aca="false">R4208*$M4208</f>
        <v>0</v>
      </c>
      <c r="T4208" s="28"/>
      <c r="U4208" s="28" t="n">
        <f aca="false">T4208*$M4208</f>
        <v>0</v>
      </c>
      <c r="V4208" s="28" t="n">
        <f aca="false">4*288+179</f>
        <v>1331</v>
      </c>
      <c r="W4208" s="28" t="n">
        <v>799</v>
      </c>
      <c r="X4208" s="28"/>
      <c r="Y4208" s="28" t="n">
        <f aca="false">X4208*$M4208</f>
        <v>0</v>
      </c>
      <c r="Z4208" s="28"/>
      <c r="AA4208" s="28" t="n">
        <f aca="false">Z4208*$M4208</f>
        <v>0</v>
      </c>
      <c r="AB4208" s="28"/>
      <c r="AC4208" s="28" t="n">
        <f aca="false">AB4208*$M4208</f>
        <v>0</v>
      </c>
      <c r="AD4208" s="28"/>
      <c r="AE4208" s="28" t="n">
        <f aca="false">AD4208*$M4208</f>
        <v>0</v>
      </c>
      <c r="AF4208" s="28"/>
      <c r="AG4208" s="28" t="n">
        <f aca="false">AF4208*$M4208</f>
        <v>0</v>
      </c>
      <c r="AH4208" s="28" t="n">
        <f aca="false">12*288+227</f>
        <v>3683</v>
      </c>
      <c r="AI4208" s="28" t="n">
        <v>2210</v>
      </c>
      <c r="AJ4208" s="28"/>
      <c r="AK4208" s="28" t="n">
        <f aca="false">AJ4208*$M4208</f>
        <v>0</v>
      </c>
      <c r="AL4208" s="28"/>
      <c r="AM4208" s="28" t="n">
        <f aca="false">AL4208*$M4208</f>
        <v>0</v>
      </c>
      <c r="AN4208" s="28"/>
      <c r="AO4208" s="28" t="n">
        <f aca="false">AN4208*$M4208</f>
        <v>0</v>
      </c>
      <c r="AP4208" s="28"/>
      <c r="AQ4208" s="28" t="n">
        <f aca="false">AP4208*$M4208</f>
        <v>0</v>
      </c>
      <c r="AR4208" s="28"/>
      <c r="AS4208" s="28" t="n">
        <f aca="false">AR4208*$M4208</f>
        <v>0</v>
      </c>
      <c r="AT4208" s="28"/>
      <c r="AU4208" s="28" t="n">
        <f aca="false">AT4208*$M4208</f>
        <v>0</v>
      </c>
      <c r="AV4208" s="28"/>
      <c r="AW4208" s="28" t="n">
        <f aca="false">AV4208*$M4208</f>
        <v>0</v>
      </c>
      <c r="AX4208" s="28"/>
      <c r="AY4208" s="28" t="n">
        <f aca="false">AX4208*$M4208</f>
        <v>0</v>
      </c>
      <c r="AZ4208" s="30" t="n">
        <f aca="false">638*288+3</f>
        <v>183747</v>
      </c>
      <c r="BA4208" s="11" t="n">
        <v>110249</v>
      </c>
      <c r="BB4208" s="31" t="n">
        <f aca="false">SUM(Q4208,S4208,U4208,W4208,Y4208,AA4208,AC4208,AE4208,AG4208,AI4208,AK4208,AM4208,AO4208,AQ4208,AS4208,AU4208,AW4208,AY4208)</f>
        <v>110249</v>
      </c>
      <c r="BC4208" s="28" t="n">
        <f aca="false">BA4208-BB4208</f>
        <v>0</v>
      </c>
      <c r="BD4208" s="32" t="n">
        <f aca="false">SUM(P4208,R4208,T4208,V4208,X4208,Z4208,AB4208,AD4208,AF4208,AH4208,AJ4208,AL4208,AN4208,AP4208,AR4208,AT4208,AV4208,AX4208)</f>
        <v>183747</v>
      </c>
      <c r="BE4208" s="33" t="n">
        <f aca="false">AZ4208-BD4208</f>
        <v>0</v>
      </c>
      <c r="BF4208" s="34" t="n">
        <f aca="false">BD4208*M4208</f>
        <v>110248.2</v>
      </c>
      <c r="BG4208" s="35" t="n">
        <f aca="false">BA4208-BF4208</f>
        <v>0.80000000000291</v>
      </c>
      <c r="BH4208" s="19" t="str">
        <f aca="false">IF(BG4208=0,"",IF(BG4208&lt;&gt;BA4208,"erreur de calcul",IF(BD4208&lt;&gt;0,"pas de prix",IF(M4208&lt;&gt; 0,"pas de quantité","pas de prix, ni de quantité"))))</f>
        <v>erreur de calcul</v>
      </c>
      <c r="BI4208" s="19"/>
    </row>
    <row r="4209" customFormat="false" ht="15" hidden="false" customHeight="false" outlineLevel="0" collapsed="false">
      <c r="A4209" s="0" t="n">
        <v>18</v>
      </c>
      <c r="B4209" s="8" t="s">
        <v>24</v>
      </c>
      <c r="C4209" s="9" t="s">
        <v>25</v>
      </c>
      <c r="D4209" s="9" t="s">
        <v>26</v>
      </c>
      <c r="E4209" s="10" t="n">
        <v>1789</v>
      </c>
      <c r="F4209" s="9" t="s">
        <v>27</v>
      </c>
      <c r="G4209" s="9" t="s">
        <v>27</v>
      </c>
      <c r="H4209" s="11" t="n">
        <v>27</v>
      </c>
      <c r="I4209" s="11" t="s">
        <v>430</v>
      </c>
      <c r="J4209" s="14" t="n">
        <v>30</v>
      </c>
      <c r="K4209" s="14"/>
      <c r="L4209" s="16"/>
      <c r="M4209" s="27" t="n">
        <f aca="false">J4209+(K4209/20)+(L4209/240)</f>
        <v>30</v>
      </c>
      <c r="N4209" s="17" t="s">
        <v>64</v>
      </c>
      <c r="O4209" s="11" t="s">
        <v>77</v>
      </c>
      <c r="P4209" s="28"/>
      <c r="Q4209" s="28" t="n">
        <f aca="false">P4209*$M4209</f>
        <v>0</v>
      </c>
      <c r="R4209" s="28"/>
      <c r="S4209" s="28" t="n">
        <f aca="false">R4209*$M4209</f>
        <v>0</v>
      </c>
      <c r="T4209" s="28" t="n">
        <f aca="false">3*288*0.02+162*0.02</f>
        <v>20.52</v>
      </c>
      <c r="U4209" s="28" t="n">
        <v>616</v>
      </c>
      <c r="V4209" s="28"/>
      <c r="W4209" s="28" t="n">
        <f aca="false">V4209*$M4209</f>
        <v>0</v>
      </c>
      <c r="X4209" s="28" t="n">
        <f aca="false">4*288*0.02+17*0.02</f>
        <v>23.38</v>
      </c>
      <c r="Y4209" s="28" t="n">
        <v>702</v>
      </c>
      <c r="Z4209" s="28" t="n">
        <f aca="false">3*288*0.02+169*0.02</f>
        <v>20.66</v>
      </c>
      <c r="AA4209" s="28" t="n">
        <v>620</v>
      </c>
      <c r="AB4209" s="28" t="n">
        <f aca="false">10*288*0.02+224*0.02</f>
        <v>62.08</v>
      </c>
      <c r="AC4209" s="28" t="n">
        <v>1863</v>
      </c>
      <c r="AD4209" s="28"/>
      <c r="AE4209" s="28" t="n">
        <f aca="false">AD4209*$M4209</f>
        <v>0</v>
      </c>
      <c r="AF4209" s="28"/>
      <c r="AG4209" s="28" t="n">
        <f aca="false">AF4209*$M4209</f>
        <v>0</v>
      </c>
      <c r="AH4209" s="28" t="n">
        <f aca="false">200*0.02</f>
        <v>4</v>
      </c>
      <c r="AI4209" s="28" t="n">
        <v>120</v>
      </c>
      <c r="AJ4209" s="28"/>
      <c r="AK4209" s="28" t="n">
        <f aca="false">AJ4209*$M4209</f>
        <v>0</v>
      </c>
      <c r="AL4209" s="28"/>
      <c r="AM4209" s="28" t="n">
        <f aca="false">AL4209*$M4209</f>
        <v>0</v>
      </c>
      <c r="AN4209" s="28"/>
      <c r="AO4209" s="28" t="n">
        <f aca="false">AN4209*$M4209</f>
        <v>0</v>
      </c>
      <c r="AP4209" s="28"/>
      <c r="AQ4209" s="28" t="n">
        <f aca="false">AP4209*$M4209</f>
        <v>0</v>
      </c>
      <c r="AR4209" s="28"/>
      <c r="AS4209" s="28" t="n">
        <f aca="false">AR4209*$M4209</f>
        <v>0</v>
      </c>
      <c r="AT4209" s="28"/>
      <c r="AU4209" s="28" t="n">
        <f aca="false">AT4209*$M4209</f>
        <v>0</v>
      </c>
      <c r="AV4209" s="28"/>
      <c r="AW4209" s="28" t="n">
        <f aca="false">AV4209*$M4209</f>
        <v>0</v>
      </c>
      <c r="AX4209" s="28"/>
      <c r="AY4209" s="28" t="n">
        <f aca="false">AX4209*$M4209</f>
        <v>0</v>
      </c>
      <c r="AZ4209" s="30" t="n">
        <f aca="false">22*288*0.02+196*0.02</f>
        <v>130.64</v>
      </c>
      <c r="BA4209" s="11" t="n">
        <v>3921</v>
      </c>
      <c r="BB4209" s="31" t="n">
        <f aca="false">SUM(Q4209,S4209,U4209,W4209,Y4209,AA4209,AC4209,AE4209,AG4209,AI4209,AK4209,AM4209,AO4209,AQ4209,AS4209,AU4209,AW4209,AY4209)</f>
        <v>3921</v>
      </c>
      <c r="BC4209" s="28" t="n">
        <f aca="false">BA4209-BB4209</f>
        <v>0</v>
      </c>
      <c r="BD4209" s="32" t="n">
        <f aca="false">SUM(P4209,R4209,T4209,V4209,X4209,Z4209,AB4209,AD4209,AF4209,AH4209,AJ4209,AL4209,AN4209,AP4209,AR4209,AT4209,AV4209,AX4209)</f>
        <v>130.64</v>
      </c>
      <c r="BE4209" s="33" t="n">
        <f aca="false">AZ4209-BD4209</f>
        <v>0</v>
      </c>
      <c r="BF4209" s="34" t="n">
        <f aca="false">BD4209*M4209</f>
        <v>3919.2</v>
      </c>
      <c r="BG4209" s="35" t="n">
        <f aca="false">BA4209-BF4209</f>
        <v>1.80000000000018</v>
      </c>
      <c r="BH4209" s="19" t="str">
        <f aca="false">IF(BG4209=0,"",IF(BG4209&lt;&gt;BA4209,"erreur de calcul",IF(BD4209&lt;&gt;0,"pas de prix",IF(M4209&lt;&gt; 0,"pas de quantité","pas de prix, ni de quantité"))))</f>
        <v>erreur de calcul</v>
      </c>
      <c r="BI4209" s="19"/>
    </row>
    <row r="4210" customFormat="false" ht="15" hidden="false" customHeight="false" outlineLevel="0" collapsed="false">
      <c r="A4210" s="0" t="n">
        <v>19</v>
      </c>
      <c r="B4210" s="8" t="s">
        <v>24</v>
      </c>
      <c r="C4210" s="9" t="s">
        <v>25</v>
      </c>
      <c r="D4210" s="9" t="s">
        <v>26</v>
      </c>
      <c r="E4210" s="10" t="n">
        <v>1789</v>
      </c>
      <c r="F4210" s="9" t="s">
        <v>27</v>
      </c>
      <c r="G4210" s="9" t="s">
        <v>27</v>
      </c>
      <c r="H4210" s="11" t="n">
        <v>27</v>
      </c>
      <c r="I4210" s="11" t="s">
        <v>431</v>
      </c>
      <c r="J4210" s="14" t="n">
        <v>10</v>
      </c>
      <c r="K4210" s="14"/>
      <c r="L4210" s="16"/>
      <c r="M4210" s="27" t="n">
        <f aca="false">J4210+(K4210/20)+(L4210/240)</f>
        <v>10</v>
      </c>
      <c r="N4210" s="17" t="s">
        <v>432</v>
      </c>
      <c r="O4210" s="11" t="s">
        <v>109</v>
      </c>
      <c r="P4210" s="28" t="n">
        <f aca="false">105*(288/62.5)+135/62.5</f>
        <v>486</v>
      </c>
      <c r="Q4210" s="28" t="n">
        <v>4860</v>
      </c>
      <c r="R4210" s="28"/>
      <c r="S4210" s="28" t="n">
        <f aca="false">R4210*$M4210</f>
        <v>0</v>
      </c>
      <c r="T4210" s="28" t="n">
        <f aca="false">8*(288/62.5)+196/62.5</f>
        <v>40</v>
      </c>
      <c r="U4210" s="28" t="n">
        <v>400</v>
      </c>
      <c r="V4210" s="28"/>
      <c r="W4210" s="28" t="n">
        <f aca="false">V4210*$M4210</f>
        <v>0</v>
      </c>
      <c r="X4210" s="28"/>
      <c r="Y4210" s="28" t="n">
        <f aca="false">X4210*$M4210</f>
        <v>0</v>
      </c>
      <c r="Z4210" s="28"/>
      <c r="AA4210" s="28" t="n">
        <f aca="false">Z4210*$M4210</f>
        <v>0</v>
      </c>
      <c r="AB4210" s="28"/>
      <c r="AC4210" s="28" t="n">
        <f aca="false">AB4210*$M4210</f>
        <v>0</v>
      </c>
      <c r="AD4210" s="28"/>
      <c r="AE4210" s="28" t="n">
        <f aca="false">AD4210*$M4210</f>
        <v>0</v>
      </c>
      <c r="AF4210" s="28"/>
      <c r="AG4210" s="28" t="n">
        <f aca="false">AF4210*$M4210</f>
        <v>0</v>
      </c>
      <c r="AH4210" s="28"/>
      <c r="AI4210" s="28" t="n">
        <f aca="false">AH4210*$M4210</f>
        <v>0</v>
      </c>
      <c r="AJ4210" s="28"/>
      <c r="AK4210" s="28" t="n">
        <f aca="false">AJ4210*$M4210</f>
        <v>0</v>
      </c>
      <c r="AL4210" s="28"/>
      <c r="AM4210" s="28" t="n">
        <f aca="false">AL4210*$M4210</f>
        <v>0</v>
      </c>
      <c r="AN4210" s="28"/>
      <c r="AO4210" s="28" t="n">
        <f aca="false">AN4210*$M4210</f>
        <v>0</v>
      </c>
      <c r="AP4210" s="28"/>
      <c r="AQ4210" s="28" t="n">
        <f aca="false">AP4210*$M4210</f>
        <v>0</v>
      </c>
      <c r="AR4210" s="28"/>
      <c r="AS4210" s="28" t="n">
        <f aca="false">AR4210*$M4210</f>
        <v>0</v>
      </c>
      <c r="AT4210" s="28"/>
      <c r="AU4210" s="28" t="n">
        <f aca="false">AT4210*$M4210</f>
        <v>0</v>
      </c>
      <c r="AV4210" s="28"/>
      <c r="AW4210" s="28" t="n">
        <f aca="false">AV4210*$M4210</f>
        <v>0</v>
      </c>
      <c r="AX4210" s="28"/>
      <c r="AY4210" s="28" t="n">
        <f aca="false">AX4210*$M4210</f>
        <v>0</v>
      </c>
      <c r="AZ4210" s="30" t="n">
        <f aca="false">114*(288/62.5)+43/62.5</f>
        <v>526</v>
      </c>
      <c r="BA4210" s="11" t="n">
        <v>5260</v>
      </c>
      <c r="BB4210" s="31" t="n">
        <f aca="false">SUM(Q4210,S4210,U4210,W4210,Y4210,AA4210,AC4210,AE4210,AG4210,AI4210,AK4210,AM4210,AO4210,AQ4210,AS4210,AU4210,AW4210,AY4210)</f>
        <v>5260</v>
      </c>
      <c r="BC4210" s="28" t="n">
        <f aca="false">BA4210-BB4210</f>
        <v>0</v>
      </c>
      <c r="BD4210" s="32" t="n">
        <f aca="false">SUM(P4210,R4210,T4210,V4210,X4210,Z4210,AB4210,AD4210,AF4210,AH4210,AJ4210,AL4210,AN4210,AP4210,AR4210,AT4210,AV4210,AX4210)</f>
        <v>526</v>
      </c>
      <c r="BE4210" s="33" t="n">
        <f aca="false">AZ4210-BD4210</f>
        <v>0</v>
      </c>
      <c r="BF4210" s="34" t="n">
        <f aca="false">BD4210*M4210</f>
        <v>5260</v>
      </c>
      <c r="BG4210" s="35" t="n">
        <f aca="false">BA4210-BF4210</f>
        <v>0</v>
      </c>
      <c r="BH4210" s="19" t="str">
        <f aca="false">IF(BG4210=0,"",IF(BG4210&lt;&gt;BA4210,"erreur de calcul",IF(BD4210&lt;&gt;0,"pas de prix",IF(M4210&lt;&gt; 0,"pas de quantité","pas de prix, ni de quantité"))))</f>
        <v/>
      </c>
      <c r="BI4210" s="19"/>
    </row>
    <row r="4211" customFormat="false" ht="15" hidden="false" customHeight="false" outlineLevel="0" collapsed="false">
      <c r="A4211" s="0" t="n">
        <v>20</v>
      </c>
      <c r="B4211" s="8" t="s">
        <v>24</v>
      </c>
      <c r="C4211" s="9" t="s">
        <v>25</v>
      </c>
      <c r="D4211" s="9" t="s">
        <v>26</v>
      </c>
      <c r="E4211" s="10" t="n">
        <v>1789</v>
      </c>
      <c r="F4211" s="9" t="s">
        <v>27</v>
      </c>
      <c r="G4211" s="9" t="s">
        <v>27</v>
      </c>
      <c r="H4211" s="11" t="n">
        <v>27</v>
      </c>
      <c r="I4211" s="11" t="s">
        <v>433</v>
      </c>
      <c r="J4211" s="14"/>
      <c r="K4211" s="14" t="n">
        <v>14</v>
      </c>
      <c r="L4211" s="16"/>
      <c r="M4211" s="27" t="n">
        <f aca="false">J4211+(K4211/20)+(L4211/240)</f>
        <v>0.7</v>
      </c>
      <c r="N4211" s="17" t="s">
        <v>429</v>
      </c>
      <c r="O4211" s="11"/>
      <c r="P4211" s="28" t="n">
        <f aca="false">103*288+190</f>
        <v>29854</v>
      </c>
      <c r="Q4211" s="28" t="n">
        <v>20898</v>
      </c>
      <c r="R4211" s="28"/>
      <c r="S4211" s="28" t="n">
        <f aca="false">R4211*$M4211</f>
        <v>0</v>
      </c>
      <c r="T4211" s="28"/>
      <c r="U4211" s="28" t="n">
        <f aca="false">T4211*$M4211</f>
        <v>0</v>
      </c>
      <c r="V4211" s="28"/>
      <c r="W4211" s="28" t="n">
        <f aca="false">V4211*$M4211</f>
        <v>0</v>
      </c>
      <c r="X4211" s="28"/>
      <c r="Y4211" s="28" t="n">
        <f aca="false">X4211*$M4211</f>
        <v>0</v>
      </c>
      <c r="Z4211" s="28"/>
      <c r="AA4211" s="28" t="n">
        <f aca="false">Z4211*$M4211</f>
        <v>0</v>
      </c>
      <c r="AB4211" s="28"/>
      <c r="AC4211" s="28" t="n">
        <f aca="false">AB4211*$M4211</f>
        <v>0</v>
      </c>
      <c r="AD4211" s="28"/>
      <c r="AE4211" s="28" t="n">
        <f aca="false">AD4211*$M4211</f>
        <v>0</v>
      </c>
      <c r="AF4211" s="28"/>
      <c r="AG4211" s="28" t="n">
        <f aca="false">AF4211*$M4211</f>
        <v>0</v>
      </c>
      <c r="AH4211" s="28"/>
      <c r="AI4211" s="28" t="n">
        <f aca="false">AH4211*$M4211</f>
        <v>0</v>
      </c>
      <c r="AJ4211" s="28"/>
      <c r="AK4211" s="28" t="n">
        <f aca="false">AJ4211*$M4211</f>
        <v>0</v>
      </c>
      <c r="AL4211" s="28"/>
      <c r="AM4211" s="28" t="n">
        <f aca="false">AL4211*$M4211</f>
        <v>0</v>
      </c>
      <c r="AN4211" s="28"/>
      <c r="AO4211" s="28" t="n">
        <f aca="false">AN4211*$M4211</f>
        <v>0</v>
      </c>
      <c r="AP4211" s="28"/>
      <c r="AQ4211" s="28" t="n">
        <f aca="false">AP4211*$M4211</f>
        <v>0</v>
      </c>
      <c r="AR4211" s="28"/>
      <c r="AS4211" s="28" t="n">
        <f aca="false">AR4211*$M4211</f>
        <v>0</v>
      </c>
      <c r="AT4211" s="28"/>
      <c r="AU4211" s="28" t="n">
        <f aca="false">AT4211*$M4211</f>
        <v>0</v>
      </c>
      <c r="AV4211" s="28"/>
      <c r="AW4211" s="28" t="n">
        <f aca="false">AV4211*$M4211</f>
        <v>0</v>
      </c>
      <c r="AX4211" s="28"/>
      <c r="AY4211" s="28" t="n">
        <f aca="false">AX4211*$M4211</f>
        <v>0</v>
      </c>
      <c r="AZ4211" s="30" t="n">
        <f aca="false">103*288+190</f>
        <v>29854</v>
      </c>
      <c r="BA4211" s="11" t="n">
        <v>20898</v>
      </c>
      <c r="BB4211" s="31" t="n">
        <f aca="false">SUM(Q4211,S4211,U4211,W4211,Y4211,AA4211,AC4211,AE4211,AG4211,AI4211,AK4211,AM4211,AO4211,AQ4211,AS4211,AU4211,AW4211,AY4211)</f>
        <v>20898</v>
      </c>
      <c r="BC4211" s="28" t="n">
        <f aca="false">BA4211-BB4211</f>
        <v>0</v>
      </c>
      <c r="BD4211" s="32" t="n">
        <f aca="false">SUM(P4211,R4211,T4211,V4211,X4211,Z4211,AB4211,AD4211,AF4211,AH4211,AJ4211,AL4211,AN4211,AP4211,AR4211,AT4211,AV4211,AX4211)</f>
        <v>29854</v>
      </c>
      <c r="BE4211" s="33" t="n">
        <f aca="false">AZ4211-BD4211</f>
        <v>0</v>
      </c>
      <c r="BF4211" s="34" t="n">
        <f aca="false">BD4211*M4211</f>
        <v>20897.8</v>
      </c>
      <c r="BG4211" s="35" t="n">
        <f aca="false">BA4211-BF4211</f>
        <v>0.200000000000728</v>
      </c>
      <c r="BH4211" s="19" t="str">
        <f aca="false">IF(BG4211=0,"",IF(BG4211&lt;&gt;BA4211,"erreur de calcul",IF(BD4211&lt;&gt;0,"pas de prix",IF(M4211&lt;&gt; 0,"pas de quantité","pas de prix, ni de quantité"))))</f>
        <v>erreur de calcul</v>
      </c>
      <c r="BI4211" s="19"/>
    </row>
    <row r="4212" customFormat="false" ht="15" hidden="false" customHeight="false" outlineLevel="0" collapsed="false">
      <c r="A4212" s="0" t="n">
        <v>21</v>
      </c>
      <c r="B4212" s="8" t="s">
        <v>24</v>
      </c>
      <c r="C4212" s="9" t="s">
        <v>25</v>
      </c>
      <c r="D4212" s="9" t="s">
        <v>26</v>
      </c>
      <c r="E4212" s="10" t="n">
        <v>1789</v>
      </c>
      <c r="F4212" s="9" t="s">
        <v>27</v>
      </c>
      <c r="G4212" s="9" t="s">
        <v>27</v>
      </c>
      <c r="H4212" s="11" t="n">
        <v>27</v>
      </c>
      <c r="I4212" s="11" t="s">
        <v>434</v>
      </c>
      <c r="J4212" s="14"/>
      <c r="K4212" s="14" t="n">
        <v>5</v>
      </c>
      <c r="L4212" s="16"/>
      <c r="M4212" s="27" t="n">
        <f aca="false">J4212+(K4212/20)+(L4212/240)</f>
        <v>0.25</v>
      </c>
      <c r="N4212" s="17" t="s">
        <v>79</v>
      </c>
      <c r="O4212" s="11"/>
      <c r="P4212" s="28" t="n">
        <v>300402</v>
      </c>
      <c r="Q4212" s="28" t="n">
        <v>75100</v>
      </c>
      <c r="R4212" s="28"/>
      <c r="S4212" s="28" t="n">
        <f aca="false">R4212*$M4212</f>
        <v>0</v>
      </c>
      <c r="T4212" s="28"/>
      <c r="U4212" s="28" t="n">
        <f aca="false">T4212*$M4212</f>
        <v>0</v>
      </c>
      <c r="V4212" s="28" t="n">
        <v>448</v>
      </c>
      <c r="W4212" s="28" t="n">
        <v>112</v>
      </c>
      <c r="X4212" s="28"/>
      <c r="Y4212" s="28" t="n">
        <f aca="false">X4212*$M4212</f>
        <v>0</v>
      </c>
      <c r="Z4212" s="28"/>
      <c r="AA4212" s="28" t="n">
        <f aca="false">Z4212*$M4212</f>
        <v>0</v>
      </c>
      <c r="AB4212" s="28"/>
      <c r="AC4212" s="28" t="n">
        <f aca="false">AB4212*$M4212</f>
        <v>0</v>
      </c>
      <c r="AD4212" s="28"/>
      <c r="AE4212" s="28" t="n">
        <f aca="false">AD4212*$M4212</f>
        <v>0</v>
      </c>
      <c r="AF4212" s="28"/>
      <c r="AG4212" s="28" t="n">
        <f aca="false">AF4212*$M4212</f>
        <v>0</v>
      </c>
      <c r="AH4212" s="28"/>
      <c r="AI4212" s="28" t="n">
        <f aca="false">AH4212*$M4212</f>
        <v>0</v>
      </c>
      <c r="AJ4212" s="28"/>
      <c r="AK4212" s="28" t="n">
        <f aca="false">AJ4212*$M4212</f>
        <v>0</v>
      </c>
      <c r="AL4212" s="28"/>
      <c r="AM4212" s="28" t="n">
        <f aca="false">AL4212*$M4212</f>
        <v>0</v>
      </c>
      <c r="AN4212" s="28"/>
      <c r="AO4212" s="28" t="n">
        <f aca="false">AN4212*$M4212</f>
        <v>0</v>
      </c>
      <c r="AP4212" s="28"/>
      <c r="AQ4212" s="28" t="n">
        <f aca="false">AP4212*$M4212</f>
        <v>0</v>
      </c>
      <c r="AR4212" s="28"/>
      <c r="AS4212" s="28" t="n">
        <f aca="false">AR4212*$M4212</f>
        <v>0</v>
      </c>
      <c r="AT4212" s="28"/>
      <c r="AU4212" s="28" t="n">
        <f aca="false">AT4212*$M4212</f>
        <v>0</v>
      </c>
      <c r="AV4212" s="28"/>
      <c r="AW4212" s="28" t="n">
        <f aca="false">AV4212*$M4212</f>
        <v>0</v>
      </c>
      <c r="AX4212" s="28"/>
      <c r="AY4212" s="28" t="n">
        <f aca="false">AX4212*$M4212</f>
        <v>0</v>
      </c>
      <c r="AZ4212" s="30" t="n">
        <v>300850</v>
      </c>
      <c r="BA4212" s="11" t="n">
        <v>75212</v>
      </c>
      <c r="BB4212" s="31" t="n">
        <f aca="false">SUM(Q4212,S4212,U4212,W4212,Y4212,AA4212,AC4212,AE4212,AG4212,AI4212,AK4212,AM4212,AO4212,AQ4212,AS4212,AU4212,AW4212,AY4212)</f>
        <v>75212</v>
      </c>
      <c r="BC4212" s="28" t="n">
        <f aca="false">BA4212-BB4212</f>
        <v>0</v>
      </c>
      <c r="BD4212" s="32" t="n">
        <f aca="false">SUM(P4212,R4212,T4212,V4212,X4212,Z4212,AB4212,AD4212,AF4212,AH4212,AJ4212,AL4212,AN4212,AP4212,AR4212,AT4212,AV4212,AX4212)</f>
        <v>300850</v>
      </c>
      <c r="BE4212" s="33" t="n">
        <f aca="false">AZ4212-BD4212</f>
        <v>0</v>
      </c>
      <c r="BF4212" s="34" t="n">
        <f aca="false">BD4212*M4212</f>
        <v>75212.5</v>
      </c>
      <c r="BG4212" s="35" t="n">
        <f aca="false">BA4212-BF4212</f>
        <v>-0.5</v>
      </c>
      <c r="BH4212" s="19" t="str">
        <f aca="false">IF(BG4212=0,"",IF(BG4212&lt;&gt;BA4212,"erreur de calcul",IF(BD4212&lt;&gt;0,"pas de prix",IF(M4212&lt;&gt; 0,"pas de quantité","pas de prix, ni de quantité"))))</f>
        <v>erreur de calcul</v>
      </c>
      <c r="BI4212" s="19"/>
    </row>
    <row r="4213" customFormat="false" ht="78.4" hidden="false" customHeight="true" outlineLevel="0" collapsed="false">
      <c r="A4213" s="0" t="s">
        <v>31</v>
      </c>
      <c r="B4213" s="2" t="s">
        <v>0</v>
      </c>
      <c r="C4213" s="2" t="s">
        <v>1</v>
      </c>
      <c r="D4213" s="2" t="s">
        <v>2</v>
      </c>
      <c r="E4213" s="2" t="s">
        <v>3</v>
      </c>
      <c r="F4213" s="2" t="s">
        <v>4</v>
      </c>
      <c r="G4213" s="2" t="s">
        <v>5</v>
      </c>
      <c r="H4213" s="2" t="s">
        <v>6</v>
      </c>
      <c r="I4213" s="3" t="s">
        <v>7</v>
      </c>
      <c r="J4213" s="5" t="s">
        <v>12</v>
      </c>
      <c r="K4213" s="5" t="s">
        <v>13</v>
      </c>
      <c r="L4213" s="5" t="s">
        <v>14</v>
      </c>
      <c r="M4213" s="7" t="s">
        <v>15</v>
      </c>
      <c r="N4213" s="6" t="s">
        <v>32</v>
      </c>
      <c r="O4213" s="6" t="s">
        <v>33</v>
      </c>
      <c r="P4213" s="6" t="s">
        <v>34</v>
      </c>
      <c r="Q4213" s="6"/>
      <c r="R4213" s="6" t="s">
        <v>35</v>
      </c>
      <c r="S4213" s="6"/>
      <c r="T4213" s="6" t="s">
        <v>36</v>
      </c>
      <c r="U4213" s="6"/>
      <c r="V4213" s="6" t="s">
        <v>37</v>
      </c>
      <c r="W4213" s="6"/>
      <c r="X4213" s="6" t="s">
        <v>38</v>
      </c>
      <c r="Y4213" s="6"/>
      <c r="Z4213" s="6" t="s">
        <v>39</v>
      </c>
      <c r="AA4213" s="6"/>
      <c r="AB4213" s="6" t="s">
        <v>40</v>
      </c>
      <c r="AC4213" s="6"/>
      <c r="AD4213" s="6" t="s">
        <v>41</v>
      </c>
      <c r="AE4213" s="6"/>
      <c r="AF4213" s="6" t="s">
        <v>42</v>
      </c>
      <c r="AG4213" s="6"/>
      <c r="AH4213" s="6" t="s">
        <v>43</v>
      </c>
      <c r="AI4213" s="6"/>
      <c r="AJ4213" s="6" t="s">
        <v>44</v>
      </c>
      <c r="AK4213" s="6"/>
      <c r="AL4213" s="6" t="s">
        <v>45</v>
      </c>
      <c r="AM4213" s="6"/>
      <c r="AN4213" s="6" t="s">
        <v>46</v>
      </c>
      <c r="AO4213" s="6"/>
      <c r="AP4213" s="6" t="s">
        <v>47</v>
      </c>
      <c r="AQ4213" s="6"/>
      <c r="AR4213" s="6" t="s">
        <v>48</v>
      </c>
      <c r="AS4213" s="6"/>
      <c r="AT4213" s="6" t="s">
        <v>49</v>
      </c>
      <c r="AU4213" s="6"/>
      <c r="AV4213" s="6" t="s">
        <v>50</v>
      </c>
      <c r="AW4213" s="6"/>
      <c r="AX4213" s="6" t="s">
        <v>51</v>
      </c>
      <c r="AY4213" s="6"/>
      <c r="AZ4213" s="6" t="s">
        <v>52</v>
      </c>
      <c r="BA4213" s="6"/>
      <c r="BB4213" s="6"/>
      <c r="BC4213" s="6"/>
      <c r="BD4213" s="6" t="s">
        <v>53</v>
      </c>
      <c r="BE4213" s="6" t="s">
        <v>54</v>
      </c>
      <c r="BF4213" s="6" t="s">
        <v>55</v>
      </c>
      <c r="BG4213" s="6" t="s">
        <v>56</v>
      </c>
      <c r="BH4213" s="6" t="s">
        <v>57</v>
      </c>
      <c r="BI4213" s="6" t="s">
        <v>23</v>
      </c>
    </row>
    <row r="4214" customFormat="false" ht="15" hidden="false" customHeight="false" outlineLevel="0" collapsed="false">
      <c r="B4214" s="20"/>
      <c r="C4214" s="20"/>
      <c r="D4214" s="20"/>
      <c r="E4214" s="21"/>
      <c r="F4214" s="20"/>
      <c r="G4214" s="20"/>
      <c r="H4214" s="20"/>
      <c r="I4214" s="22"/>
      <c r="J4214" s="23"/>
      <c r="K4214" s="23"/>
      <c r="L4214" s="24"/>
      <c r="M4214" s="25"/>
      <c r="N4214" s="25"/>
      <c r="O4214" s="26" t="s">
        <v>58</v>
      </c>
      <c r="P4214" s="25" t="s">
        <v>59</v>
      </c>
      <c r="Q4214" s="25" t="s">
        <v>60</v>
      </c>
      <c r="R4214" s="25" t="s">
        <v>59</v>
      </c>
      <c r="S4214" s="25" t="s">
        <v>60</v>
      </c>
      <c r="T4214" s="25" t="s">
        <v>59</v>
      </c>
      <c r="U4214" s="25" t="s">
        <v>60</v>
      </c>
      <c r="V4214" s="25" t="s">
        <v>59</v>
      </c>
      <c r="W4214" s="25" t="s">
        <v>60</v>
      </c>
      <c r="X4214" s="25" t="s">
        <v>59</v>
      </c>
      <c r="Y4214" s="25" t="s">
        <v>60</v>
      </c>
      <c r="Z4214" s="25" t="s">
        <v>59</v>
      </c>
      <c r="AA4214" s="25" t="s">
        <v>60</v>
      </c>
      <c r="AB4214" s="25" t="s">
        <v>59</v>
      </c>
      <c r="AC4214" s="25" t="s">
        <v>60</v>
      </c>
      <c r="AD4214" s="25" t="s">
        <v>59</v>
      </c>
      <c r="AE4214" s="25" t="s">
        <v>60</v>
      </c>
      <c r="AF4214" s="25" t="s">
        <v>59</v>
      </c>
      <c r="AG4214" s="25" t="s">
        <v>60</v>
      </c>
      <c r="AH4214" s="25" t="s">
        <v>59</v>
      </c>
      <c r="AI4214" s="25" t="s">
        <v>60</v>
      </c>
      <c r="AJ4214" s="25" t="s">
        <v>59</v>
      </c>
      <c r="AK4214" s="25" t="s">
        <v>60</v>
      </c>
      <c r="AL4214" s="25" t="s">
        <v>59</v>
      </c>
      <c r="AM4214" s="25" t="s">
        <v>60</v>
      </c>
      <c r="AN4214" s="25" t="s">
        <v>59</v>
      </c>
      <c r="AO4214" s="25" t="s">
        <v>60</v>
      </c>
      <c r="AP4214" s="25" t="s">
        <v>59</v>
      </c>
      <c r="AQ4214" s="25" t="s">
        <v>60</v>
      </c>
      <c r="AR4214" s="25" t="s">
        <v>59</v>
      </c>
      <c r="AS4214" s="25" t="s">
        <v>60</v>
      </c>
      <c r="AT4214" s="25" t="s">
        <v>59</v>
      </c>
      <c r="AU4214" s="25" t="s">
        <v>60</v>
      </c>
      <c r="AV4214" s="25" t="s">
        <v>59</v>
      </c>
      <c r="AW4214" s="25" t="s">
        <v>60</v>
      </c>
      <c r="AX4214" s="25" t="s">
        <v>59</v>
      </c>
      <c r="AY4214" s="25" t="s">
        <v>60</v>
      </c>
      <c r="AZ4214" s="25" t="s">
        <v>59</v>
      </c>
      <c r="BA4214" s="25" t="s">
        <v>60</v>
      </c>
      <c r="BB4214" s="25" t="s">
        <v>61</v>
      </c>
      <c r="BC4214" s="25" t="s">
        <v>62</v>
      </c>
      <c r="BD4214" s="20"/>
      <c r="BE4214" s="20"/>
      <c r="BF4214" s="20"/>
      <c r="BG4214" s="20"/>
      <c r="BH4214" s="20"/>
      <c r="BI4214" s="20"/>
    </row>
    <row r="4215" customFormat="false" ht="15" hidden="false" customHeight="false" outlineLevel="0" collapsed="false">
      <c r="A4215" s="0" t="n">
        <v>1</v>
      </c>
      <c r="B4215" s="8" t="s">
        <v>24</v>
      </c>
      <c r="C4215" s="9" t="s">
        <v>25</v>
      </c>
      <c r="D4215" s="9" t="s">
        <v>26</v>
      </c>
      <c r="E4215" s="10" t="n">
        <v>1789</v>
      </c>
      <c r="F4215" s="9" t="s">
        <v>27</v>
      </c>
      <c r="G4215" s="9" t="s">
        <v>27</v>
      </c>
      <c r="H4215" s="11" t="n">
        <v>18</v>
      </c>
      <c r="I4215" s="11" t="s">
        <v>63</v>
      </c>
      <c r="J4215" s="14" t="n">
        <v>27</v>
      </c>
      <c r="K4215" s="14"/>
      <c r="L4215" s="16"/>
      <c r="M4215" s="27" t="n">
        <f aca="false">J4215+(K4215/20)+(L4215/240)</f>
        <v>27</v>
      </c>
      <c r="N4215" s="17" t="s">
        <v>64</v>
      </c>
      <c r="O4215" s="11"/>
      <c r="P4215" s="28"/>
      <c r="Q4215" s="28" t="n">
        <f aca="false">P4215*$M4215</f>
        <v>0</v>
      </c>
      <c r="R4215" s="28"/>
      <c r="S4215" s="28" t="n">
        <f aca="false">R4215*$M4215</f>
        <v>0</v>
      </c>
      <c r="T4215" s="28"/>
      <c r="U4215" s="28" t="n">
        <f aca="false">T4215*$M4215</f>
        <v>0</v>
      </c>
      <c r="V4215" s="28" t="n">
        <f aca="false">700/100</f>
        <v>7</v>
      </c>
      <c r="W4215" s="28" t="n">
        <v>189</v>
      </c>
      <c r="X4215" s="29"/>
      <c r="Y4215" s="28" t="n">
        <v>9506</v>
      </c>
      <c r="Z4215" s="28"/>
      <c r="AA4215" s="28" t="n">
        <f aca="false">Z4215*$M4215</f>
        <v>0</v>
      </c>
      <c r="AB4215" s="28"/>
      <c r="AC4215" s="28" t="n">
        <f aca="false">AB4215*$M4215</f>
        <v>0</v>
      </c>
      <c r="AD4215" s="28"/>
      <c r="AE4215" s="28" t="n">
        <f aca="false">AD4215*$M4215</f>
        <v>0</v>
      </c>
      <c r="AF4215" s="28"/>
      <c r="AG4215" s="28" t="n">
        <f aca="false">AF4215*$M4215</f>
        <v>0</v>
      </c>
      <c r="AH4215" s="28"/>
      <c r="AI4215" s="28" t="n">
        <f aca="false">AH4215*$M4215</f>
        <v>0</v>
      </c>
      <c r="AJ4215" s="28" t="n">
        <f aca="false">72509/100</f>
        <v>725.09</v>
      </c>
      <c r="AK4215" s="28" t="n">
        <v>19577</v>
      </c>
      <c r="AL4215" s="28"/>
      <c r="AM4215" s="28" t="n">
        <f aca="false">AL4215*$M4215</f>
        <v>0</v>
      </c>
      <c r="AN4215" s="28"/>
      <c r="AO4215" s="28" t="n">
        <f aca="false">AN4215*$M4215</f>
        <v>0</v>
      </c>
      <c r="AP4215" s="28"/>
      <c r="AQ4215" s="28" t="n">
        <f aca="false">AP4215*$M4215</f>
        <v>0</v>
      </c>
      <c r="AR4215" s="28" t="n">
        <f aca="false">36750/100</f>
        <v>367.5</v>
      </c>
      <c r="AS4215" s="28" t="n">
        <v>9922</v>
      </c>
      <c r="AT4215" s="28"/>
      <c r="AU4215" s="28" t="n">
        <f aca="false">AT4215*$M4215</f>
        <v>0</v>
      </c>
      <c r="AV4215" s="28"/>
      <c r="AW4215" s="28" t="n">
        <f aca="false">AV4215*$M4215</f>
        <v>0</v>
      </c>
      <c r="AX4215" s="28"/>
      <c r="AY4215" s="28" t="n">
        <f aca="false">AX4215*$M4215</f>
        <v>0</v>
      </c>
      <c r="AZ4215" s="30" t="n">
        <f aca="false">145166/100</f>
        <v>1451.66</v>
      </c>
      <c r="BA4215" s="11" t="n">
        <v>39194</v>
      </c>
      <c r="BB4215" s="31" t="n">
        <f aca="false">SUM(Q4215,S4215,U4215,W4215,Y4215,AA4215,AC4215,AE4215,AG4215,AI4215,AK4215,AM4215,AO4215,AQ4215,AS4215,AU4215,AW4215,AY4215)</f>
        <v>39194</v>
      </c>
      <c r="BC4215" s="28" t="n">
        <f aca="false">BA4215-BB4215</f>
        <v>0</v>
      </c>
      <c r="BD4215" s="32" t="n">
        <f aca="false">SUM(P4215,R4215,T4215,V4215,X4215,Z4215,AB4215,AD4215,AF4215,AH4215,AJ4215,AL4215,AN4215,AP4215,AR4215,AT4215,AV4215,AX4215)</f>
        <v>1099.59</v>
      </c>
      <c r="BE4215" s="33" t="n">
        <f aca="false">AZ4215-BD4215</f>
        <v>352.07</v>
      </c>
      <c r="BF4215" s="34" t="n">
        <f aca="false">BD4215*M4215</f>
        <v>29688.93</v>
      </c>
      <c r="BG4215" s="35" t="n">
        <f aca="false">BA4215-BF4215</f>
        <v>9505.07</v>
      </c>
      <c r="BH4215" s="19" t="str">
        <f aca="false">IF(BG4215=0,"",IF(BG4215&lt;&gt;BA4215,"erreur de calcul",IF(BD4215&lt;&gt;0,"pas de prix",IF(M4215&lt;&gt; 0,"pas de quantité","pas de prix, ni de quantité"))))</f>
        <v>erreur de calcul</v>
      </c>
      <c r="BI4215" s="19"/>
    </row>
    <row r="4216" customFormat="false" ht="15" hidden="false" customHeight="false" outlineLevel="0" collapsed="false">
      <c r="A4216" s="0" t="n">
        <v>2</v>
      </c>
      <c r="B4216" s="8" t="s">
        <v>24</v>
      </c>
      <c r="C4216" s="9" t="s">
        <v>25</v>
      </c>
      <c r="D4216" s="9" t="s">
        <v>26</v>
      </c>
      <c r="E4216" s="10" t="n">
        <v>1789</v>
      </c>
      <c r="F4216" s="9" t="s">
        <v>27</v>
      </c>
      <c r="G4216" s="9" t="s">
        <v>27</v>
      </c>
      <c r="H4216" s="11" t="n">
        <v>18</v>
      </c>
      <c r="I4216" s="11" t="s">
        <v>65</v>
      </c>
      <c r="J4216" s="14"/>
      <c r="K4216" s="14" t="n">
        <v>20</v>
      </c>
      <c r="L4216" s="16"/>
      <c r="M4216" s="27" t="n">
        <f aca="false">J4216+(K4216/20)+(L4216/240)</f>
        <v>1</v>
      </c>
      <c r="N4216" s="17" t="s">
        <v>66</v>
      </c>
      <c r="O4216" s="11"/>
      <c r="P4216" s="28"/>
      <c r="Q4216" s="28" t="n">
        <f aca="false">P4216*$M4216</f>
        <v>0</v>
      </c>
      <c r="R4216" s="28"/>
      <c r="S4216" s="28" t="n">
        <f aca="false">R4216*$M4216</f>
        <v>0</v>
      </c>
      <c r="T4216" s="28"/>
      <c r="U4216" s="28" t="n">
        <f aca="false">T4216*$M4216</f>
        <v>0</v>
      </c>
      <c r="V4216" s="28" t="n">
        <v>2365</v>
      </c>
      <c r="W4216" s="28" t="n">
        <v>2365</v>
      </c>
      <c r="X4216" s="29" t="n">
        <v>234</v>
      </c>
      <c r="Y4216" s="28" t="n">
        <v>234</v>
      </c>
      <c r="Z4216" s="28"/>
      <c r="AA4216" s="28" t="n">
        <f aca="false">Z4216*$M4216</f>
        <v>0</v>
      </c>
      <c r="AB4216" s="28" t="n">
        <v>17776</v>
      </c>
      <c r="AC4216" s="28" t="n">
        <v>17776</v>
      </c>
      <c r="AD4216" s="28"/>
      <c r="AE4216" s="28" t="n">
        <f aca="false">AD4216*$M4216</f>
        <v>0</v>
      </c>
      <c r="AF4216" s="28"/>
      <c r="AG4216" s="28" t="n">
        <f aca="false">AF4216*$M4216</f>
        <v>0</v>
      </c>
      <c r="AH4216" s="28"/>
      <c r="AI4216" s="28" t="n">
        <f aca="false">AH4216*$M4216</f>
        <v>0</v>
      </c>
      <c r="AJ4216" s="28"/>
      <c r="AK4216" s="28" t="n">
        <f aca="false">AJ4216*$M4216</f>
        <v>0</v>
      </c>
      <c r="AL4216" s="28"/>
      <c r="AM4216" s="28" t="n">
        <f aca="false">AL4216*$M4216</f>
        <v>0</v>
      </c>
      <c r="AN4216" s="28"/>
      <c r="AO4216" s="28" t="n">
        <f aca="false">AN4216*$M4216</f>
        <v>0</v>
      </c>
      <c r="AP4216" s="28"/>
      <c r="AQ4216" s="28" t="n">
        <f aca="false">AP4216*$M4216</f>
        <v>0</v>
      </c>
      <c r="AR4216" s="28"/>
      <c r="AS4216" s="28" t="n">
        <f aca="false">AR4216*$M4216</f>
        <v>0</v>
      </c>
      <c r="AT4216" s="28"/>
      <c r="AU4216" s="28" t="n">
        <f aca="false">AT4216*$M4216</f>
        <v>0</v>
      </c>
      <c r="AV4216" s="28"/>
      <c r="AW4216" s="28" t="n">
        <f aca="false">AV4216*$M4216</f>
        <v>0</v>
      </c>
      <c r="AX4216" s="28"/>
      <c r="AY4216" s="28" t="n">
        <f aca="false">AX4216*$M4216</f>
        <v>0</v>
      </c>
      <c r="AZ4216" s="30" t="n">
        <v>20375</v>
      </c>
      <c r="BA4216" s="11" t="n">
        <v>20375</v>
      </c>
      <c r="BB4216" s="31" t="n">
        <f aca="false">SUM(Q4216,S4216,U4216,W4216,Y4216,AA4216,AC4216,AE4216,AG4216,AI4216,AK4216,AM4216,AO4216,AQ4216,AS4216,AU4216,AW4216,AY4216)</f>
        <v>20375</v>
      </c>
      <c r="BC4216" s="28" t="n">
        <f aca="false">BA4216-BB4216</f>
        <v>0</v>
      </c>
      <c r="BD4216" s="32" t="n">
        <f aca="false">SUM(P4216,R4216,T4216,V4216,X4216,Z4216,AB4216,AD4216,AF4216,AH4216,AJ4216,AL4216,AN4216,AP4216,AR4216,AT4216,AV4216,AX4216)</f>
        <v>20375</v>
      </c>
      <c r="BE4216" s="33" t="n">
        <f aca="false">AZ4216-BD4216</f>
        <v>0</v>
      </c>
      <c r="BF4216" s="34" t="n">
        <f aca="false">BD4216*M4216</f>
        <v>20375</v>
      </c>
      <c r="BG4216" s="35" t="n">
        <f aca="false">BA4216-BF4216</f>
        <v>0</v>
      </c>
      <c r="BH4216" s="19" t="str">
        <f aca="false">IF(BG4216=0,"",IF(BG4216&lt;&gt;BA4216,"erreur de calcul",IF(BD4216&lt;&gt;0,"pas de prix",IF(M4216&lt;&gt; 0,"pas de quantité","pas de prix, ni de quantité"))))</f>
        <v/>
      </c>
      <c r="BI4216" s="19"/>
    </row>
    <row r="4217" customFormat="false" ht="15" hidden="false" customHeight="false" outlineLevel="0" collapsed="false">
      <c r="A4217" s="0" t="n">
        <v>3</v>
      </c>
      <c r="B4217" s="8" t="s">
        <v>24</v>
      </c>
      <c r="C4217" s="9" t="s">
        <v>25</v>
      </c>
      <c r="D4217" s="9" t="s">
        <v>26</v>
      </c>
      <c r="E4217" s="10" t="n">
        <v>1789</v>
      </c>
      <c r="F4217" s="9" t="s">
        <v>27</v>
      </c>
      <c r="G4217" s="9" t="s">
        <v>27</v>
      </c>
      <c r="H4217" s="11" t="n">
        <v>18</v>
      </c>
      <c r="I4217" s="11" t="s">
        <v>67</v>
      </c>
      <c r="J4217" s="14" t="n">
        <v>56</v>
      </c>
      <c r="K4217" s="14"/>
      <c r="L4217" s="16"/>
      <c r="M4217" s="27" t="n">
        <f aca="false">J4217+(K4217/20)+(L4217/240)</f>
        <v>56</v>
      </c>
      <c r="N4217" s="17" t="s">
        <v>64</v>
      </c>
      <c r="O4217" s="11"/>
      <c r="P4217" s="28" t="n">
        <f aca="false">27159/100</f>
        <v>271.59</v>
      </c>
      <c r="Q4217" s="28" t="n">
        <v>15209</v>
      </c>
      <c r="R4217" s="28"/>
      <c r="S4217" s="28" t="n">
        <f aca="false">R4217*$M4217</f>
        <v>0</v>
      </c>
      <c r="T4217" s="28" t="n">
        <f aca="false">1044/100</f>
        <v>10.44</v>
      </c>
      <c r="U4217" s="28" t="n">
        <v>585</v>
      </c>
      <c r="V4217" s="28" t="n">
        <f aca="false">1838/100</f>
        <v>18.38</v>
      </c>
      <c r="W4217" s="36" t="n">
        <v>4557</v>
      </c>
      <c r="X4217" s="29"/>
      <c r="Y4217" s="28" t="n">
        <v>2566</v>
      </c>
      <c r="Z4217" s="28"/>
      <c r="AA4217" s="28" t="n">
        <f aca="false">Z4217*$M4217</f>
        <v>0</v>
      </c>
      <c r="AB4217" s="28" t="n">
        <f aca="false">17833/100</f>
        <v>178.33</v>
      </c>
      <c r="AC4217" s="28" t="n">
        <v>9986</v>
      </c>
      <c r="AD4217" s="28"/>
      <c r="AE4217" s="28" t="n">
        <f aca="false">AD4217*$M4217</f>
        <v>0</v>
      </c>
      <c r="AF4217" s="28" t="n">
        <f aca="false">30595/100</f>
        <v>305.95</v>
      </c>
      <c r="AG4217" s="28" t="n">
        <v>17133</v>
      </c>
      <c r="AH4217" s="28"/>
      <c r="AI4217" s="28" t="n">
        <f aca="false">AH4217*$M4217</f>
        <v>0</v>
      </c>
      <c r="AJ4217" s="28"/>
      <c r="AK4217" s="28" t="n">
        <f aca="false">AJ4217*$M4217</f>
        <v>0</v>
      </c>
      <c r="AL4217" s="28"/>
      <c r="AM4217" s="28" t="n">
        <f aca="false">AL4217*$M4217</f>
        <v>0</v>
      </c>
      <c r="AN4217" s="28"/>
      <c r="AO4217" s="28" t="n">
        <f aca="false">AN4217*$M4217</f>
        <v>0</v>
      </c>
      <c r="AP4217" s="28"/>
      <c r="AQ4217" s="28" t="n">
        <f aca="false">AP4217*$M4217</f>
        <v>0</v>
      </c>
      <c r="AR4217" s="28"/>
      <c r="AS4217" s="28" t="n">
        <f aca="false">AR4217*$M4217</f>
        <v>0</v>
      </c>
      <c r="AT4217" s="28"/>
      <c r="AU4217" s="28" t="n">
        <f aca="false">AT4217*$M4217</f>
        <v>0</v>
      </c>
      <c r="AV4217" s="28"/>
      <c r="AW4217" s="28" t="n">
        <f aca="false">AV4217*$M4217</f>
        <v>0</v>
      </c>
      <c r="AX4217" s="28"/>
      <c r="AY4217" s="28" t="n">
        <f aca="false">AX4217*$M4217</f>
        <v>0</v>
      </c>
      <c r="AZ4217" s="30" t="n">
        <f aca="false">83051/100</f>
        <v>830.51</v>
      </c>
      <c r="BA4217" s="11" t="n">
        <v>50036</v>
      </c>
      <c r="BB4217" s="31" t="n">
        <f aca="false">SUM(Q4217,S4217,U4217,W4217,Y4217,AA4217,AC4217,AE4217,AG4217,AI4217,AK4217,AM4217,AO4217,AQ4217,AS4217,AU4217,AW4217,AY4217)</f>
        <v>50036</v>
      </c>
      <c r="BC4217" s="28" t="n">
        <f aca="false">BA4217-BB4217</f>
        <v>0</v>
      </c>
      <c r="BD4217" s="32" t="n">
        <f aca="false">SUM(P4217,R4217,T4217,V4217,X4217,Z4217,AB4217,AD4217,AF4217,AH4217,AJ4217,AL4217,AN4217,AP4217,AR4217,AT4217,AV4217,AX4217)</f>
        <v>784.69</v>
      </c>
      <c r="BE4217" s="33" t="n">
        <f aca="false">AZ4217-BD4217</f>
        <v>45.8199999999999</v>
      </c>
      <c r="BF4217" s="34" t="n">
        <f aca="false">BD4217*M4217</f>
        <v>43942.64</v>
      </c>
      <c r="BG4217" s="35" t="n">
        <f aca="false">BA4217-BF4217</f>
        <v>6093.36</v>
      </c>
      <c r="BH4217" s="19" t="str">
        <f aca="false">IF(BG4217=0,"",IF(BG4217&lt;&gt;BA4217,"erreur de calcul",IF(BD4217&lt;&gt;0,"pas de prix",IF(M4217&lt;&gt; 0,"pas de quantité","pas de prix, ni de quantité"))))</f>
        <v>erreur de calcul</v>
      </c>
      <c r="BI4217" s="19"/>
    </row>
    <row r="4218" customFormat="false" ht="15" hidden="false" customHeight="false" outlineLevel="0" collapsed="false">
      <c r="A4218" s="0" t="n">
        <v>4</v>
      </c>
      <c r="B4218" s="8" t="s">
        <v>24</v>
      </c>
      <c r="C4218" s="9" t="s">
        <v>25</v>
      </c>
      <c r="D4218" s="9" t="s">
        <v>26</v>
      </c>
      <c r="E4218" s="10" t="n">
        <v>1789</v>
      </c>
      <c r="F4218" s="9" t="s">
        <v>27</v>
      </c>
      <c r="G4218" s="9" t="s">
        <v>27</v>
      </c>
      <c r="H4218" s="11" t="n">
        <v>18</v>
      </c>
      <c r="I4218" s="11" t="s">
        <v>68</v>
      </c>
      <c r="J4218" s="14"/>
      <c r="K4218" s="14" t="n">
        <v>30</v>
      </c>
      <c r="L4218" s="16"/>
      <c r="M4218" s="27" t="n">
        <f aca="false">J4218+(K4218/20)+(L4218/240)</f>
        <v>1.5</v>
      </c>
      <c r="N4218" s="17" t="s">
        <v>69</v>
      </c>
      <c r="O4218" s="11"/>
      <c r="P4218" s="28" t="n">
        <v>5460</v>
      </c>
      <c r="Q4218" s="28" t="n">
        <v>8190</v>
      </c>
      <c r="R4218" s="28"/>
      <c r="S4218" s="28" t="n">
        <f aca="false">R4218*$M4218</f>
        <v>0</v>
      </c>
      <c r="T4218" s="28"/>
      <c r="U4218" s="28" t="n">
        <f aca="false">T4218*$M4218</f>
        <v>0</v>
      </c>
      <c r="V4218" s="28" t="n">
        <v>1061</v>
      </c>
      <c r="W4218" s="28" t="n">
        <v>1591</v>
      </c>
      <c r="X4218" s="29"/>
      <c r="Y4218" s="28" t="n">
        <v>5766</v>
      </c>
      <c r="Z4218" s="28"/>
      <c r="AA4218" s="28" t="n">
        <f aca="false">Z4218*$M4218</f>
        <v>0</v>
      </c>
      <c r="AB4218" s="28"/>
      <c r="AC4218" s="28" t="n">
        <f aca="false">AB4218*$M4218</f>
        <v>0</v>
      </c>
      <c r="AD4218" s="28"/>
      <c r="AE4218" s="28" t="n">
        <f aca="false">AD4218*$M4218</f>
        <v>0</v>
      </c>
      <c r="AF4218" s="28"/>
      <c r="AG4218" s="28" t="n">
        <f aca="false">AF4218*$M4218</f>
        <v>0</v>
      </c>
      <c r="AH4218" s="28"/>
      <c r="AI4218" s="28" t="n">
        <f aca="false">AH4218*$M4218</f>
        <v>0</v>
      </c>
      <c r="AJ4218" s="28"/>
      <c r="AK4218" s="28" t="n">
        <f aca="false">AJ4218*$M4218</f>
        <v>0</v>
      </c>
      <c r="AL4218" s="28"/>
      <c r="AM4218" s="28" t="n">
        <f aca="false">AL4218*$M4218</f>
        <v>0</v>
      </c>
      <c r="AN4218" s="28"/>
      <c r="AO4218" s="28" t="n">
        <f aca="false">AN4218*$M4218</f>
        <v>0</v>
      </c>
      <c r="AP4218" s="28"/>
      <c r="AQ4218" s="28" t="n">
        <f aca="false">AP4218*$M4218</f>
        <v>0</v>
      </c>
      <c r="AR4218" s="28"/>
      <c r="AS4218" s="28" t="n">
        <f aca="false">AR4218*$M4218</f>
        <v>0</v>
      </c>
      <c r="AT4218" s="28"/>
      <c r="AU4218" s="28" t="n">
        <f aca="false">AT4218*$M4218</f>
        <v>0</v>
      </c>
      <c r="AV4218" s="28"/>
      <c r="AW4218" s="28" t="n">
        <f aca="false">AV4218*$M4218</f>
        <v>0</v>
      </c>
      <c r="AX4218" s="28"/>
      <c r="AY4218" s="28" t="n">
        <f aca="false">AX4218*$M4218</f>
        <v>0</v>
      </c>
      <c r="AZ4218" s="30" t="n">
        <v>10365</v>
      </c>
      <c r="BA4218" s="11" t="n">
        <v>15547</v>
      </c>
      <c r="BB4218" s="31" t="n">
        <f aca="false">SUM(Q4218,S4218,U4218,W4218,Y4218,AA4218,AC4218,AE4218,AG4218,AI4218,AK4218,AM4218,AO4218,AQ4218,AS4218,AU4218,AW4218,AY4218)</f>
        <v>15547</v>
      </c>
      <c r="BC4218" s="28" t="n">
        <f aca="false">BA4218-BB4218</f>
        <v>0</v>
      </c>
      <c r="BD4218" s="32" t="n">
        <f aca="false">SUM(P4218,R4218,T4218,V4218,X4218,Z4218,AB4218,AD4218,AF4218,AH4218,AJ4218,AL4218,AN4218,AP4218,AR4218,AT4218,AV4218,AX4218)</f>
        <v>6521</v>
      </c>
      <c r="BE4218" s="33" t="n">
        <f aca="false">AZ4218-BD4218</f>
        <v>3844</v>
      </c>
      <c r="BF4218" s="34" t="n">
        <f aca="false">BD4218*M4218</f>
        <v>9781.5</v>
      </c>
      <c r="BG4218" s="35" t="n">
        <f aca="false">BA4218-BF4218</f>
        <v>5765.5</v>
      </c>
      <c r="BH4218" s="19" t="str">
        <f aca="false">IF(BG4218=0,"",IF(BG4218&lt;&gt;BA4218,"erreur de calcul",IF(BD4218&lt;&gt;0,"pas de prix",IF(M4218&lt;&gt; 0,"pas de quantité","pas de prix, ni de quantité"))))</f>
        <v>erreur de calcul</v>
      </c>
      <c r="BI4218" s="19"/>
    </row>
    <row r="4219" customFormat="false" ht="15" hidden="false" customHeight="false" outlineLevel="0" collapsed="false">
      <c r="A4219" s="0" t="n">
        <v>5</v>
      </c>
      <c r="B4219" s="8" t="s">
        <v>24</v>
      </c>
      <c r="C4219" s="9" t="s">
        <v>25</v>
      </c>
      <c r="D4219" s="9" t="s">
        <v>26</v>
      </c>
      <c r="E4219" s="10" t="n">
        <v>1789</v>
      </c>
      <c r="F4219" s="9" t="s">
        <v>27</v>
      </c>
      <c r="G4219" s="9" t="s">
        <v>27</v>
      </c>
      <c r="H4219" s="11" t="n">
        <v>18</v>
      </c>
      <c r="I4219" s="11" t="s">
        <v>70</v>
      </c>
      <c r="J4219" s="14" t="n">
        <v>190</v>
      </c>
      <c r="K4219" s="14"/>
      <c r="L4219" s="16"/>
      <c r="M4219" s="27" t="n">
        <f aca="false">J4219+(K4219/20)+(L4219/240)</f>
        <v>190</v>
      </c>
      <c r="N4219" s="17" t="s">
        <v>64</v>
      </c>
      <c r="O4219" s="11"/>
      <c r="P4219" s="28"/>
      <c r="Q4219" s="28" t="n">
        <f aca="false">P4219*$M4219</f>
        <v>0</v>
      </c>
      <c r="R4219" s="28" t="n">
        <f aca="false">22283/100</f>
        <v>222.83</v>
      </c>
      <c r="S4219" s="28" t="n">
        <v>42338</v>
      </c>
      <c r="T4219" s="28" t="n">
        <f aca="false">1289/100</f>
        <v>12.89</v>
      </c>
      <c r="U4219" s="28" t="n">
        <v>2449</v>
      </c>
      <c r="V4219" s="28"/>
      <c r="W4219" s="28" t="n">
        <f aca="false">V4219*$M4219</f>
        <v>0</v>
      </c>
      <c r="X4219" s="29"/>
      <c r="Y4219" s="28" t="n">
        <f aca="false">X4219*$M4219</f>
        <v>0</v>
      </c>
      <c r="Z4219" s="28"/>
      <c r="AA4219" s="28" t="n">
        <f aca="false">Z4219*$M4219</f>
        <v>0</v>
      </c>
      <c r="AB4219" s="28"/>
      <c r="AC4219" s="28" t="n">
        <f aca="false">AB4219*$M4219</f>
        <v>0</v>
      </c>
      <c r="AD4219" s="28"/>
      <c r="AE4219" s="28" t="n">
        <f aca="false">AD4219*$M4219</f>
        <v>0</v>
      </c>
      <c r="AF4219" s="28"/>
      <c r="AG4219" s="28" t="n">
        <f aca="false">AF4219*$M4219</f>
        <v>0</v>
      </c>
      <c r="AH4219" s="28"/>
      <c r="AI4219" s="28" t="n">
        <f aca="false">AH4219*$M4219</f>
        <v>0</v>
      </c>
      <c r="AJ4219" s="28"/>
      <c r="AK4219" s="28" t="n">
        <f aca="false">AJ4219*$M4219</f>
        <v>0</v>
      </c>
      <c r="AL4219" s="28"/>
      <c r="AM4219" s="28" t="n">
        <f aca="false">AL4219*$M4219</f>
        <v>0</v>
      </c>
      <c r="AN4219" s="28"/>
      <c r="AO4219" s="28" t="n">
        <f aca="false">AN4219*$M4219</f>
        <v>0</v>
      </c>
      <c r="AP4219" s="28"/>
      <c r="AQ4219" s="28" t="n">
        <f aca="false">AP4219*$M4219</f>
        <v>0</v>
      </c>
      <c r="AR4219" s="28"/>
      <c r="AS4219" s="28" t="n">
        <f aca="false">AR4219*$M4219</f>
        <v>0</v>
      </c>
      <c r="AT4219" s="28"/>
      <c r="AU4219" s="28" t="n">
        <f aca="false">AT4219*$M4219</f>
        <v>0</v>
      </c>
      <c r="AV4219" s="28"/>
      <c r="AW4219" s="28" t="n">
        <f aca="false">AV4219*$M4219</f>
        <v>0</v>
      </c>
      <c r="AX4219" s="28"/>
      <c r="AY4219" s="28" t="n">
        <f aca="false">AX4219*$M4219</f>
        <v>0</v>
      </c>
      <c r="AZ4219" s="30" t="n">
        <f aca="false">23572/100</f>
        <v>235.72</v>
      </c>
      <c r="BA4219" s="11" t="n">
        <v>44787</v>
      </c>
      <c r="BB4219" s="31" t="n">
        <f aca="false">SUM(Q4219,S4219,U4219,W4219,Y4219,AA4219,AC4219,AE4219,AG4219,AI4219,AK4219,AM4219,AO4219,AQ4219,AS4219,AU4219,AW4219,AY4219)</f>
        <v>44787</v>
      </c>
      <c r="BC4219" s="28" t="n">
        <f aca="false">BA4219-BB4219</f>
        <v>0</v>
      </c>
      <c r="BD4219" s="32" t="n">
        <f aca="false">SUM(P4219,R4219,T4219,V4219,X4219,Z4219,AB4219,AD4219,AF4219,AH4219,AJ4219,AL4219,AN4219,AP4219,AR4219,AT4219,AV4219,AX4219)</f>
        <v>235.72</v>
      </c>
      <c r="BE4219" s="33" t="n">
        <f aca="false">AZ4219-BD4219</f>
        <v>0</v>
      </c>
      <c r="BF4219" s="34" t="n">
        <f aca="false">BD4219*M4219</f>
        <v>44786.8</v>
      </c>
      <c r="BG4219" s="35" t="n">
        <f aca="false">BA4219-BF4219</f>
        <v>0.19999999999709</v>
      </c>
      <c r="BH4219" s="19" t="str">
        <f aca="false">IF(BG4219=0,"",IF(BG4219&lt;&gt;BA4219,"erreur de calcul",IF(BD4219&lt;&gt;0,"pas de prix",IF(M4219&lt;&gt; 0,"pas de quantité","pas de prix, ni de quantité"))))</f>
        <v>erreur de calcul</v>
      </c>
      <c r="BI4219" s="19"/>
    </row>
    <row r="4220" customFormat="false" ht="15" hidden="false" customHeight="false" outlineLevel="0" collapsed="false">
      <c r="A4220" s="0" t="n">
        <v>6</v>
      </c>
      <c r="B4220" s="8" t="s">
        <v>24</v>
      </c>
      <c r="C4220" s="9" t="s">
        <v>25</v>
      </c>
      <c r="D4220" s="9" t="s">
        <v>26</v>
      </c>
      <c r="E4220" s="10" t="n">
        <v>1789</v>
      </c>
      <c r="F4220" s="9" t="s">
        <v>27</v>
      </c>
      <c r="G4220" s="9" t="s">
        <v>27</v>
      </c>
      <c r="H4220" s="11" t="n">
        <v>18</v>
      </c>
      <c r="I4220" s="11" t="s">
        <v>71</v>
      </c>
      <c r="J4220" s="14" t="n">
        <v>60</v>
      </c>
      <c r="K4220" s="14"/>
      <c r="L4220" s="16"/>
      <c r="M4220" s="27" t="n">
        <f aca="false">J4220+(K4220/20)+(L4220/240)</f>
        <v>60</v>
      </c>
      <c r="N4220" s="17" t="s">
        <v>64</v>
      </c>
      <c r="O4220" s="11"/>
      <c r="P4220" s="28" t="n">
        <f aca="false">674/100</f>
        <v>6.74</v>
      </c>
      <c r="Q4220" s="28" t="n">
        <v>404</v>
      </c>
      <c r="R4220" s="28"/>
      <c r="S4220" s="28" t="n">
        <f aca="false">R4220*$M4220</f>
        <v>0</v>
      </c>
      <c r="T4220" s="28"/>
      <c r="U4220" s="28" t="n">
        <f aca="false">T4220*$M4220</f>
        <v>0</v>
      </c>
      <c r="V4220" s="28"/>
      <c r="W4220" s="28" t="n">
        <f aca="false">V4220*$M4220</f>
        <v>0</v>
      </c>
      <c r="X4220" s="29"/>
      <c r="Y4220" s="28" t="n">
        <f aca="false">X4220*$M4220</f>
        <v>0</v>
      </c>
      <c r="Z4220" s="28"/>
      <c r="AA4220" s="28" t="n">
        <f aca="false">Z4220*$M4220</f>
        <v>0</v>
      </c>
      <c r="AB4220" s="28"/>
      <c r="AC4220" s="28" t="n">
        <f aca="false">AB4220*$M4220</f>
        <v>0</v>
      </c>
      <c r="AD4220" s="28"/>
      <c r="AE4220" s="28" t="n">
        <f aca="false">AD4220*$M4220</f>
        <v>0</v>
      </c>
      <c r="AF4220" s="28"/>
      <c r="AG4220" s="28" t="n">
        <f aca="false">AF4220*$M4220</f>
        <v>0</v>
      </c>
      <c r="AH4220" s="28"/>
      <c r="AI4220" s="28" t="n">
        <f aca="false">AH4220*$M4220</f>
        <v>0</v>
      </c>
      <c r="AJ4220" s="28" t="n">
        <f aca="false">1133/100</f>
        <v>11.33</v>
      </c>
      <c r="AK4220" s="28" t="n">
        <v>680</v>
      </c>
      <c r="AL4220" s="28" t="n">
        <f aca="false">3140/100</f>
        <v>31.4</v>
      </c>
      <c r="AM4220" s="28" t="n">
        <v>1884</v>
      </c>
      <c r="AN4220" s="28"/>
      <c r="AO4220" s="28" t="n">
        <f aca="false">AN4220*$M4220</f>
        <v>0</v>
      </c>
      <c r="AP4220" s="28"/>
      <c r="AQ4220" s="28" t="n">
        <f aca="false">AP4220*$M4220</f>
        <v>0</v>
      </c>
      <c r="AR4220" s="28"/>
      <c r="AS4220" s="28" t="n">
        <f aca="false">AR4220*$M4220</f>
        <v>0</v>
      </c>
      <c r="AT4220" s="28"/>
      <c r="AU4220" s="28" t="n">
        <f aca="false">AT4220*$M4220</f>
        <v>0</v>
      </c>
      <c r="AV4220" s="28"/>
      <c r="AW4220" s="28" t="n">
        <f aca="false">AV4220*$M4220</f>
        <v>0</v>
      </c>
      <c r="AX4220" s="28"/>
      <c r="AY4220" s="28" t="n">
        <f aca="false">AX4220*$M4220</f>
        <v>0</v>
      </c>
      <c r="AZ4220" s="30" t="n">
        <f aca="false">4947/100</f>
        <v>49.47</v>
      </c>
      <c r="BA4220" s="11" t="n">
        <v>2968</v>
      </c>
      <c r="BB4220" s="31" t="n">
        <f aca="false">SUM(Q4220,S4220,U4220,W4220,Y4220,AA4220,AC4220,AE4220,AG4220,AI4220,AK4220,AM4220,AO4220,AQ4220,AS4220,AU4220,AW4220,AY4220)</f>
        <v>2968</v>
      </c>
      <c r="BC4220" s="28" t="n">
        <f aca="false">BA4220-BB4220</f>
        <v>0</v>
      </c>
      <c r="BD4220" s="32" t="n">
        <f aca="false">SUM(P4220,R4220,T4220,V4220,X4220,Z4220,AB4220,AD4220,AF4220,AH4220,AJ4220,AL4220,AN4220,AP4220,AR4220,AT4220,AV4220,AX4220)</f>
        <v>49.47</v>
      </c>
      <c r="BE4220" s="33" t="n">
        <f aca="false">AZ4220-BD4220</f>
        <v>0</v>
      </c>
      <c r="BF4220" s="34" t="n">
        <f aca="false">BD4220*M4220</f>
        <v>2968.2</v>
      </c>
      <c r="BG4220" s="35" t="n">
        <f aca="false">BA4220-BF4220</f>
        <v>-0.199999999999818</v>
      </c>
      <c r="BH4220" s="19" t="str">
        <f aca="false">IF(BG4220=0,"",IF(BG4220&lt;&gt;BA4220,"erreur de calcul",IF(BD4220&lt;&gt;0,"pas de prix",IF(M4220&lt;&gt; 0,"pas de quantité","pas de prix, ni de quantité"))))</f>
        <v>erreur de calcul</v>
      </c>
      <c r="BI4220" s="19"/>
    </row>
    <row r="4221" customFormat="false" ht="15" hidden="false" customHeight="false" outlineLevel="0" collapsed="false">
      <c r="A4221" s="0" t="n">
        <v>7</v>
      </c>
      <c r="B4221" s="8" t="s">
        <v>24</v>
      </c>
      <c r="C4221" s="9" t="s">
        <v>25</v>
      </c>
      <c r="D4221" s="9" t="s">
        <v>26</v>
      </c>
      <c r="E4221" s="10" t="n">
        <v>1789</v>
      </c>
      <c r="F4221" s="9" t="s">
        <v>27</v>
      </c>
      <c r="G4221" s="9" t="s">
        <v>27</v>
      </c>
      <c r="H4221" s="11" t="n">
        <v>18</v>
      </c>
      <c r="I4221" s="11" t="s">
        <v>72</v>
      </c>
      <c r="J4221" s="14" t="n">
        <v>15</v>
      </c>
      <c r="K4221" s="14"/>
      <c r="L4221" s="16"/>
      <c r="M4221" s="27" t="n">
        <f aca="false">J4221+(K4221/20)+(L4221/240)</f>
        <v>15</v>
      </c>
      <c r="N4221" s="17" t="s">
        <v>64</v>
      </c>
      <c r="O4221" s="11"/>
      <c r="P4221" s="28"/>
      <c r="Q4221" s="28" t="n">
        <f aca="false">P4221*$M4221</f>
        <v>0</v>
      </c>
      <c r="R4221" s="28"/>
      <c r="S4221" s="28" t="n">
        <f aca="false">R4221*$M4221</f>
        <v>0</v>
      </c>
      <c r="T4221" s="28"/>
      <c r="U4221" s="28" t="n">
        <f aca="false">T4221*$M4221</f>
        <v>0</v>
      </c>
      <c r="V4221" s="28"/>
      <c r="W4221" s="28" t="n">
        <f aca="false">V4221*$M4221</f>
        <v>0</v>
      </c>
      <c r="X4221" s="29"/>
      <c r="Y4221" s="28" t="n">
        <f aca="false">X4221*$M4221</f>
        <v>0</v>
      </c>
      <c r="Z4221" s="28"/>
      <c r="AA4221" s="28" t="n">
        <f aca="false">Z4221*$M4221</f>
        <v>0</v>
      </c>
      <c r="AB4221" s="28"/>
      <c r="AC4221" s="28" t="n">
        <f aca="false">AB4221*$M4221</f>
        <v>0</v>
      </c>
      <c r="AD4221" s="28"/>
      <c r="AE4221" s="28" t="n">
        <f aca="false">AD4221*$M4221</f>
        <v>0</v>
      </c>
      <c r="AF4221" s="28"/>
      <c r="AG4221" s="28" t="n">
        <f aca="false">AF4221*$M4221</f>
        <v>0</v>
      </c>
      <c r="AH4221" s="28"/>
      <c r="AI4221" s="28" t="n">
        <f aca="false">AH4221*$M4221</f>
        <v>0</v>
      </c>
      <c r="AJ4221" s="28" t="n">
        <f aca="false">119*288*0.02+88*0.02</f>
        <v>687.2</v>
      </c>
      <c r="AK4221" s="28" t="n">
        <v>10308</v>
      </c>
      <c r="AL4221" s="28"/>
      <c r="AM4221" s="28" t="n">
        <f aca="false">AL4221*$M4221</f>
        <v>0</v>
      </c>
      <c r="AN4221" s="28"/>
      <c r="AO4221" s="28" t="n">
        <f aca="false">AN4221*$M4221</f>
        <v>0</v>
      </c>
      <c r="AP4221" s="28"/>
      <c r="AQ4221" s="28" t="n">
        <f aca="false">AP4221*$M4221</f>
        <v>0</v>
      </c>
      <c r="AR4221" s="28"/>
      <c r="AS4221" s="28" t="n">
        <f aca="false">AR4221*$M4221</f>
        <v>0</v>
      </c>
      <c r="AT4221" s="28"/>
      <c r="AU4221" s="28" t="n">
        <f aca="false">AT4221*$M4221</f>
        <v>0</v>
      </c>
      <c r="AV4221" s="28"/>
      <c r="AW4221" s="28" t="n">
        <f aca="false">AV4221*$M4221</f>
        <v>0</v>
      </c>
      <c r="AX4221" s="28"/>
      <c r="AY4221" s="28" t="n">
        <f aca="false">AX4221*$M4221</f>
        <v>0</v>
      </c>
      <c r="AZ4221" s="30" t="n">
        <f aca="false">119*288*0.02+88*0.02</f>
        <v>687.2</v>
      </c>
      <c r="BA4221" s="11" t="n">
        <v>10308</v>
      </c>
      <c r="BB4221" s="31" t="n">
        <f aca="false">SUM(Q4221,S4221,U4221,W4221,Y4221,AA4221,AC4221,AE4221,AG4221,AI4221,AK4221,AM4221,AO4221,AQ4221,AS4221,AU4221,AW4221,AY4221)</f>
        <v>10308</v>
      </c>
      <c r="BC4221" s="28" t="n">
        <f aca="false">BA4221-BB4221</f>
        <v>0</v>
      </c>
      <c r="BD4221" s="32" t="n">
        <f aca="false">SUM(P4221,R4221,T4221,V4221,X4221,Z4221,AB4221,AD4221,AF4221,AH4221,AJ4221,AL4221,AN4221,AP4221,AR4221,AT4221,AV4221,AX4221)</f>
        <v>687.2</v>
      </c>
      <c r="BE4221" s="33" t="n">
        <f aca="false">AZ4221-BD4221</f>
        <v>0</v>
      </c>
      <c r="BF4221" s="34" t="n">
        <f aca="false">BD4221*M4221</f>
        <v>10308</v>
      </c>
      <c r="BG4221" s="35" t="n">
        <f aca="false">BA4221-BF4221</f>
        <v>0</v>
      </c>
      <c r="BH4221" s="19" t="str">
        <f aca="false">IF(BG4221=0,"",IF(BG4221&lt;&gt;BA4221,"erreur de calcul",IF(BD4221&lt;&gt;0,"pas de prix",IF(M4221&lt;&gt; 0,"pas de quantité","pas de prix, ni de quantité"))))</f>
        <v/>
      </c>
      <c r="BI4221" s="19"/>
    </row>
    <row r="4222" customFormat="false" ht="15" hidden="false" customHeight="false" outlineLevel="0" collapsed="false">
      <c r="A4222" s="0" t="n">
        <v>8</v>
      </c>
      <c r="B4222" s="8" t="s">
        <v>24</v>
      </c>
      <c r="C4222" s="9" t="s">
        <v>25</v>
      </c>
      <c r="D4222" s="9" t="s">
        <v>26</v>
      </c>
      <c r="E4222" s="10" t="n">
        <v>1789</v>
      </c>
      <c r="F4222" s="9" t="s">
        <v>27</v>
      </c>
      <c r="G4222" s="9" t="s">
        <v>27</v>
      </c>
      <c r="H4222" s="11" t="n">
        <v>18</v>
      </c>
      <c r="I4222" s="11" t="s">
        <v>73</v>
      </c>
      <c r="J4222" s="14"/>
      <c r="K4222" s="14"/>
      <c r="L4222" s="16"/>
      <c r="M4222" s="27" t="n">
        <f aca="false">J4222+(K4222/20)+(L4222/240)</f>
        <v>0</v>
      </c>
      <c r="N4222" s="17"/>
      <c r="O4222" s="11"/>
      <c r="P4222" s="28"/>
      <c r="Q4222" s="28" t="n">
        <f aca="false">P4222*$M4222</f>
        <v>0</v>
      </c>
      <c r="R4222" s="28"/>
      <c r="S4222" s="28" t="n">
        <f aca="false">R4222*$M4222</f>
        <v>0</v>
      </c>
      <c r="T4222" s="28"/>
      <c r="U4222" s="28" t="n">
        <v>3356</v>
      </c>
      <c r="V4222" s="28"/>
      <c r="W4222" s="28" t="n">
        <v>1444</v>
      </c>
      <c r="X4222" s="29"/>
      <c r="Y4222" s="28" t="n">
        <f aca="false">X4222*$M4222</f>
        <v>0</v>
      </c>
      <c r="Z4222" s="28"/>
      <c r="AA4222" s="28" t="n">
        <f aca="false">Z4222*$M4222</f>
        <v>0</v>
      </c>
      <c r="AB4222" s="28"/>
      <c r="AC4222" s="28" t="n">
        <f aca="false">AB4222*$M4222</f>
        <v>0</v>
      </c>
      <c r="AD4222" s="28"/>
      <c r="AE4222" s="28" t="n">
        <f aca="false">AD4222*$M4222</f>
        <v>0</v>
      </c>
      <c r="AF4222" s="28"/>
      <c r="AG4222" s="28" t="n">
        <f aca="false">AF4222*$M4222</f>
        <v>0</v>
      </c>
      <c r="AH4222" s="28"/>
      <c r="AI4222" s="28" t="n">
        <f aca="false">AH4222*$M4222</f>
        <v>0</v>
      </c>
      <c r="AJ4222" s="28"/>
      <c r="AK4222" s="28" t="n">
        <f aca="false">AJ4222*$M4222</f>
        <v>0</v>
      </c>
      <c r="AL4222" s="28"/>
      <c r="AM4222" s="28" t="n">
        <f aca="false">AL4222*$M4222</f>
        <v>0</v>
      </c>
      <c r="AN4222" s="28"/>
      <c r="AO4222" s="28" t="n">
        <f aca="false">AN4222*$M4222</f>
        <v>0</v>
      </c>
      <c r="AP4222" s="28"/>
      <c r="AQ4222" s="28" t="n">
        <f aca="false">AP4222*$M4222</f>
        <v>0</v>
      </c>
      <c r="AR4222" s="28"/>
      <c r="AS4222" s="28" t="n">
        <f aca="false">AR4222*$M4222</f>
        <v>0</v>
      </c>
      <c r="AT4222" s="28"/>
      <c r="AU4222" s="28" t="n">
        <f aca="false">AT4222*$M4222</f>
        <v>0</v>
      </c>
      <c r="AV4222" s="28"/>
      <c r="AW4222" s="28" t="n">
        <f aca="false">AV4222*$M4222</f>
        <v>0</v>
      </c>
      <c r="AX4222" s="28"/>
      <c r="AY4222" s="28" t="n">
        <f aca="false">AX4222*$M4222</f>
        <v>0</v>
      </c>
      <c r="AZ4222" s="30"/>
      <c r="BA4222" s="11" t="n">
        <v>4800</v>
      </c>
      <c r="BB4222" s="31" t="n">
        <f aca="false">SUM(Q4222,S4222,U4222,W4222,Y4222,AA4222,AC4222,AE4222,AG4222,AI4222,AK4222,AM4222,AO4222,AQ4222,AS4222,AU4222,AW4222,AY4222)</f>
        <v>4800</v>
      </c>
      <c r="BC4222" s="28" t="n">
        <f aca="false">BA4222-BB4222</f>
        <v>0</v>
      </c>
      <c r="BD4222" s="32" t="n">
        <f aca="false">SUM(P4222,R4222,T4222,V4222,X4222,Z4222,AB4222,AD4222,AF4222,AH4222,AJ4222,AL4222,AN4222,AP4222,AR4222,AT4222,AV4222,AX4222)</f>
        <v>0</v>
      </c>
      <c r="BE4222" s="33" t="n">
        <f aca="false">AZ4222-BD4222</f>
        <v>0</v>
      </c>
      <c r="BF4222" s="34" t="n">
        <f aca="false">BD4222*M4222</f>
        <v>0</v>
      </c>
      <c r="BG4222" s="35" t="n">
        <f aca="false">BA4222-BF4222</f>
        <v>4800</v>
      </c>
      <c r="BH4222" s="19" t="str">
        <f aca="false">IF(BG4222=0,"",IF(BG4222&lt;&gt;BA4222,"erreur de calcul",IF(BD4222&lt;&gt;0,"pas de prix",IF(M4222&lt;&gt; 0,"pas de quantité","pas de prix, ni de quantité"))))</f>
        <v>pas de prix, ni de quantité</v>
      </c>
      <c r="BI4222" s="19"/>
    </row>
    <row r="4223" customFormat="false" ht="15" hidden="false" customHeight="false" outlineLevel="0" collapsed="false">
      <c r="A4223" s="0" t="n">
        <v>9</v>
      </c>
      <c r="B4223" s="8" t="s">
        <v>24</v>
      </c>
      <c r="C4223" s="9" t="s">
        <v>25</v>
      </c>
      <c r="D4223" s="9" t="s">
        <v>26</v>
      </c>
      <c r="E4223" s="10" t="n">
        <v>1789</v>
      </c>
      <c r="F4223" s="9" t="s">
        <v>27</v>
      </c>
      <c r="G4223" s="9" t="s">
        <v>27</v>
      </c>
      <c r="H4223" s="11" t="n">
        <v>18</v>
      </c>
      <c r="I4223" s="11" t="s">
        <v>74</v>
      </c>
      <c r="J4223" s="14"/>
      <c r="K4223" s="14"/>
      <c r="L4223" s="16"/>
      <c r="M4223" s="27" t="n">
        <f aca="false">J4223+(K4223/20)+(L4223/240)</f>
        <v>0</v>
      </c>
      <c r="N4223" s="17" t="s">
        <v>66</v>
      </c>
      <c r="O4223" s="11"/>
      <c r="P4223" s="28"/>
      <c r="Q4223" s="28" t="n">
        <f aca="false">P4223*$M4223</f>
        <v>0</v>
      </c>
      <c r="R4223" s="28"/>
      <c r="S4223" s="28" t="n">
        <f aca="false">R4223*$M4223</f>
        <v>0</v>
      </c>
      <c r="T4223" s="28"/>
      <c r="U4223" s="28" t="n">
        <f aca="false">T4223*$M4223</f>
        <v>0</v>
      </c>
      <c r="V4223" s="28"/>
      <c r="W4223" s="28" t="n">
        <f aca="false">V4223*$M4223</f>
        <v>0</v>
      </c>
      <c r="X4223" s="29"/>
      <c r="Y4223" s="28"/>
      <c r="Z4223" s="28"/>
      <c r="AA4223" s="28" t="n">
        <f aca="false">Z4223*$M4223</f>
        <v>0</v>
      </c>
      <c r="AB4223" s="28"/>
      <c r="AC4223" s="28" t="n">
        <f aca="false">AB4223*$M4223</f>
        <v>0</v>
      </c>
      <c r="AD4223" s="28"/>
      <c r="AE4223" s="28" t="n">
        <f aca="false">AD4223*$M4223</f>
        <v>0</v>
      </c>
      <c r="AF4223" s="28"/>
      <c r="AG4223" s="28" t="n">
        <f aca="false">AF4223*$M4223</f>
        <v>0</v>
      </c>
      <c r="AH4223" s="28" t="n">
        <v>45346</v>
      </c>
      <c r="AI4223" s="28" t="n">
        <v>3174</v>
      </c>
      <c r="AJ4223" s="28"/>
      <c r="AK4223" s="28" t="n">
        <f aca="false">AJ4223*$M4223</f>
        <v>0</v>
      </c>
      <c r="AL4223" s="28"/>
      <c r="AM4223" s="28" t="n">
        <f aca="false">AL4223*$M4223</f>
        <v>0</v>
      </c>
      <c r="AN4223" s="28"/>
      <c r="AO4223" s="28" t="n">
        <f aca="false">AN4223*$M4223</f>
        <v>0</v>
      </c>
      <c r="AP4223" s="28"/>
      <c r="AQ4223" s="28" t="n">
        <f aca="false">AP4223*$M4223</f>
        <v>0</v>
      </c>
      <c r="AR4223" s="28"/>
      <c r="AS4223" s="28" t="n">
        <f aca="false">AR4223*$M4223</f>
        <v>0</v>
      </c>
      <c r="AT4223" s="28"/>
      <c r="AU4223" s="28" t="n">
        <f aca="false">AT4223*$M4223</f>
        <v>0</v>
      </c>
      <c r="AV4223" s="28"/>
      <c r="AW4223" s="28" t="n">
        <f aca="false">AV4223*$M4223</f>
        <v>0</v>
      </c>
      <c r="AX4223" s="28"/>
      <c r="AY4223" s="28" t="n">
        <f aca="false">AX4223*$M4223</f>
        <v>0</v>
      </c>
      <c r="AZ4223" s="30" t="n">
        <v>45346</v>
      </c>
      <c r="BA4223" s="11" t="n">
        <v>3174</v>
      </c>
      <c r="BB4223" s="31" t="n">
        <f aca="false">SUM(Q4223,S4223,U4223,W4223,Y4223,AA4223,AC4223,AE4223,AG4223,AI4223,AK4223,AM4223,AO4223,AQ4223,AS4223,AU4223,AW4223,AY4223)</f>
        <v>3174</v>
      </c>
      <c r="BC4223" s="28" t="n">
        <f aca="false">BA4223-BB4223</f>
        <v>0</v>
      </c>
      <c r="BD4223" s="32" t="n">
        <f aca="false">SUM(P4223,R4223,T4223,V4223,X4223,Z4223,AB4223,AD4223,AF4223,AH4223,AJ4223,AL4223,AN4223,AP4223,AR4223,AT4223,AV4223,AX4223)</f>
        <v>45346</v>
      </c>
      <c r="BE4223" s="33" t="n">
        <f aca="false">AZ4223-BD4223</f>
        <v>0</v>
      </c>
      <c r="BF4223" s="34" t="n">
        <f aca="false">BD4223*M4223</f>
        <v>0</v>
      </c>
      <c r="BG4223" s="35" t="n">
        <f aca="false">BA4223-BF4223</f>
        <v>3174</v>
      </c>
      <c r="BH4223" s="19" t="str">
        <f aca="false">IF(BG4223=0,"",IF(BG4223&lt;&gt;BA4223,"erreur de calcul",IF(BD4223&lt;&gt;0,"pas de prix",IF(M4223&lt;&gt; 0,"pas de quantité","pas de prix, ni de quantité"))))</f>
        <v>pas de prix</v>
      </c>
      <c r="BI4223" s="19" t="s">
        <v>75</v>
      </c>
    </row>
    <row r="4224" customFormat="false" ht="15" hidden="false" customHeight="false" outlineLevel="0" collapsed="false">
      <c r="A4224" s="0" t="n">
        <v>10</v>
      </c>
      <c r="B4224" s="8" t="s">
        <v>24</v>
      </c>
      <c r="C4224" s="9" t="s">
        <v>25</v>
      </c>
      <c r="D4224" s="9" t="s">
        <v>26</v>
      </c>
      <c r="E4224" s="10" t="n">
        <v>1789</v>
      </c>
      <c r="F4224" s="9" t="s">
        <v>27</v>
      </c>
      <c r="G4224" s="9" t="s">
        <v>27</v>
      </c>
      <c r="H4224" s="11" t="n">
        <v>18</v>
      </c>
      <c r="I4224" s="11" t="s">
        <v>76</v>
      </c>
      <c r="J4224" s="14"/>
      <c r="K4224" s="14" t="n">
        <v>20</v>
      </c>
      <c r="L4224" s="16"/>
      <c r="M4224" s="27" t="n">
        <f aca="false">J4224+(K4224/20)+(L4224/240)</f>
        <v>1</v>
      </c>
      <c r="N4224" s="17" t="s">
        <v>64</v>
      </c>
      <c r="O4224" s="11" t="s">
        <v>77</v>
      </c>
      <c r="P4224" s="28" t="n">
        <f aca="false">66667/100</f>
        <v>666.67</v>
      </c>
      <c r="Q4224" s="28" t="n">
        <v>667</v>
      </c>
      <c r="R4224" s="28"/>
      <c r="S4224" s="28" t="n">
        <f aca="false">R4224*$M4224</f>
        <v>0</v>
      </c>
      <c r="T4224" s="28"/>
      <c r="U4224" s="28" t="n">
        <f aca="false">T4224*$M4224</f>
        <v>0</v>
      </c>
      <c r="V4224" s="28" t="n">
        <f aca="false">281532/100</f>
        <v>2815.32</v>
      </c>
      <c r="W4224" s="28" t="n">
        <v>2815</v>
      </c>
      <c r="X4224" s="29" t="n">
        <f aca="false">366667/100</f>
        <v>3666.67</v>
      </c>
      <c r="Y4224" s="28" t="n">
        <v>3666</v>
      </c>
      <c r="Z4224" s="28" t="n">
        <f aca="false">33334/100</f>
        <v>333.34</v>
      </c>
      <c r="AA4224" s="28" t="n">
        <v>333</v>
      </c>
      <c r="AB4224" s="28"/>
      <c r="AC4224" s="28" t="n">
        <f aca="false">AB4224*$M4224</f>
        <v>0</v>
      </c>
      <c r="AD4224" s="28"/>
      <c r="AE4224" s="28" t="n">
        <f aca="false">AD4224*$M4224</f>
        <v>0</v>
      </c>
      <c r="AF4224" s="28"/>
      <c r="AG4224" s="28" t="n">
        <f aca="false">AF4224*$M4224</f>
        <v>0</v>
      </c>
      <c r="AH4224" s="28"/>
      <c r="AI4224" s="28" t="n">
        <f aca="false">AH4224*$M4224</f>
        <v>0</v>
      </c>
      <c r="AJ4224" s="28"/>
      <c r="AK4224" s="28" t="n">
        <f aca="false">AJ4224*$M4224</f>
        <v>0</v>
      </c>
      <c r="AL4224" s="28"/>
      <c r="AM4224" s="28" t="n">
        <f aca="false">AL4224*$M4224</f>
        <v>0</v>
      </c>
      <c r="AN4224" s="28"/>
      <c r="AO4224" s="28" t="n">
        <f aca="false">AN4224*$M4224</f>
        <v>0</v>
      </c>
      <c r="AP4224" s="28"/>
      <c r="AQ4224" s="28" t="n">
        <f aca="false">AP4224*$M4224</f>
        <v>0</v>
      </c>
      <c r="AR4224" s="28"/>
      <c r="AS4224" s="28" t="n">
        <f aca="false">AR4224*$M4224</f>
        <v>0</v>
      </c>
      <c r="AT4224" s="28"/>
      <c r="AU4224" s="28" t="n">
        <f aca="false">AT4224*$M4224</f>
        <v>0</v>
      </c>
      <c r="AV4224" s="28"/>
      <c r="AW4224" s="28" t="n">
        <f aca="false">AV4224*$M4224</f>
        <v>0</v>
      </c>
      <c r="AX4224" s="28"/>
      <c r="AY4224" s="28" t="n">
        <f aca="false">AX4224*$M4224</f>
        <v>0</v>
      </c>
      <c r="AZ4224" s="30" t="n">
        <f aca="false">748200/100</f>
        <v>7482</v>
      </c>
      <c r="BA4224" s="11" t="n">
        <v>7481</v>
      </c>
      <c r="BB4224" s="31" t="n">
        <f aca="false">SUM(Q4224,S4224,U4224,W4224,Y4224,AA4224,AC4224,AE4224,AG4224,AI4224,AK4224,AM4224,AO4224,AQ4224,AS4224,AU4224,AW4224,AY4224)</f>
        <v>7481</v>
      </c>
      <c r="BC4224" s="28" t="n">
        <f aca="false">BA4224-BB4224</f>
        <v>0</v>
      </c>
      <c r="BD4224" s="32" t="n">
        <f aca="false">SUM(P4224,R4224,T4224,V4224,X4224,Z4224,AB4224,AD4224,AF4224,AH4224,AJ4224,AL4224,AN4224,AP4224,AR4224,AT4224,AV4224,AX4224)</f>
        <v>7482</v>
      </c>
      <c r="BE4224" s="33" t="n">
        <f aca="false">AZ4224-BD4224</f>
        <v>0</v>
      </c>
      <c r="BF4224" s="34" t="n">
        <f aca="false">BD4224*M4224</f>
        <v>7482</v>
      </c>
      <c r="BG4224" s="35" t="n">
        <f aca="false">BA4224-BF4224</f>
        <v>-1</v>
      </c>
      <c r="BH4224" s="19" t="str">
        <f aca="false">IF(BG4224=0,"",IF(BG4224&lt;&gt;BA4224,"erreur de calcul",IF(BD4224&lt;&gt;0,"pas de prix",IF(M4224&lt;&gt; 0,"pas de quantité","pas de prix, ni de quantité"))))</f>
        <v>erreur de calcul</v>
      </c>
      <c r="BI4224" s="19"/>
    </row>
    <row r="4225" customFormat="false" ht="15" hidden="false" customHeight="false" outlineLevel="0" collapsed="false">
      <c r="A4225" s="0" t="n">
        <v>11</v>
      </c>
      <c r="B4225" s="8" t="s">
        <v>24</v>
      </c>
      <c r="C4225" s="9" t="s">
        <v>25</v>
      </c>
      <c r="D4225" s="9" t="s">
        <v>26</v>
      </c>
      <c r="E4225" s="10" t="n">
        <v>1789</v>
      </c>
      <c r="F4225" s="9" t="s">
        <v>27</v>
      </c>
      <c r="G4225" s="9" t="s">
        <v>27</v>
      </c>
      <c r="H4225" s="11" t="n">
        <v>18</v>
      </c>
      <c r="I4225" s="11" t="s">
        <v>78</v>
      </c>
      <c r="J4225" s="14"/>
      <c r="K4225" s="14" t="n">
        <v>50</v>
      </c>
      <c r="L4225" s="16"/>
      <c r="M4225" s="27" t="n">
        <f aca="false">J4225+(K4225/20)+(L4225/240)</f>
        <v>2.5</v>
      </c>
      <c r="N4225" s="17" t="s">
        <v>79</v>
      </c>
      <c r="O4225" s="11"/>
      <c r="P4225" s="28"/>
      <c r="Q4225" s="28" t="n">
        <f aca="false">P4225*$M4225</f>
        <v>0</v>
      </c>
      <c r="R4225" s="28"/>
      <c r="S4225" s="28" t="n">
        <f aca="false">R4225*$M4225</f>
        <v>0</v>
      </c>
      <c r="T4225" s="28"/>
      <c r="U4225" s="28" t="n">
        <f aca="false">T4225*$M4225</f>
        <v>0</v>
      </c>
      <c r="V4225" s="28" t="n">
        <v>61807</v>
      </c>
      <c r="W4225" s="28" t="n">
        <v>154517</v>
      </c>
      <c r="X4225" s="29"/>
      <c r="Y4225" s="28" t="n">
        <f aca="false">X4225*$M4225</f>
        <v>0</v>
      </c>
      <c r="Z4225" s="28"/>
      <c r="AA4225" s="28" t="n">
        <f aca="false">Z4225*$M4225</f>
        <v>0</v>
      </c>
      <c r="AB4225" s="28" t="n">
        <v>43640</v>
      </c>
      <c r="AC4225" s="28" t="n">
        <v>109100</v>
      </c>
      <c r="AD4225" s="28"/>
      <c r="AE4225" s="28" t="n">
        <f aca="false">AD4225*$M4225</f>
        <v>0</v>
      </c>
      <c r="AF4225" s="28"/>
      <c r="AG4225" s="28" t="n">
        <f aca="false">AF4225*$M4225</f>
        <v>0</v>
      </c>
      <c r="AH4225" s="28"/>
      <c r="AI4225" s="28" t="n">
        <f aca="false">AH4225*$M4225</f>
        <v>0</v>
      </c>
      <c r="AJ4225" s="28"/>
      <c r="AK4225" s="28" t="n">
        <f aca="false">AJ4225*$M4225</f>
        <v>0</v>
      </c>
      <c r="AL4225" s="28"/>
      <c r="AM4225" s="28" t="n">
        <f aca="false">AL4225*$M4225</f>
        <v>0</v>
      </c>
      <c r="AN4225" s="28"/>
      <c r="AO4225" s="28" t="n">
        <f aca="false">AN4225*$M4225</f>
        <v>0</v>
      </c>
      <c r="AP4225" s="28"/>
      <c r="AQ4225" s="28" t="n">
        <f aca="false">AP4225*$M4225</f>
        <v>0</v>
      </c>
      <c r="AR4225" s="28"/>
      <c r="AS4225" s="28" t="n">
        <f aca="false">AR4225*$M4225</f>
        <v>0</v>
      </c>
      <c r="AT4225" s="28"/>
      <c r="AU4225" s="28" t="n">
        <f aca="false">AT4225*$M4225</f>
        <v>0</v>
      </c>
      <c r="AV4225" s="28"/>
      <c r="AW4225" s="28" t="n">
        <f aca="false">AV4225*$M4225</f>
        <v>0</v>
      </c>
      <c r="AX4225" s="28"/>
      <c r="AY4225" s="28" t="n">
        <f aca="false">AX4225*$M4225</f>
        <v>0</v>
      </c>
      <c r="AZ4225" s="30" t="n">
        <v>105447</v>
      </c>
      <c r="BA4225" s="11" t="n">
        <v>263617</v>
      </c>
      <c r="BB4225" s="31" t="n">
        <f aca="false">SUM(Q4225,S4225,U4225,W4225,Y4225,AA4225,AC4225,AE4225,AG4225,AI4225,AK4225,AM4225,AO4225,AQ4225,AS4225,AU4225,AW4225,AY4225)</f>
        <v>263617</v>
      </c>
      <c r="BC4225" s="28" t="n">
        <f aca="false">BA4225-BB4225</f>
        <v>0</v>
      </c>
      <c r="BD4225" s="32" t="n">
        <f aca="false">SUM(P4225,R4225,T4225,V4225,X4225,Z4225,AB4225,AD4225,AF4225,AH4225,AJ4225,AL4225,AN4225,AP4225,AR4225,AT4225,AV4225,AX4225)</f>
        <v>105447</v>
      </c>
      <c r="BE4225" s="33" t="n">
        <f aca="false">AZ4225-BD4225</f>
        <v>0</v>
      </c>
      <c r="BF4225" s="34" t="n">
        <f aca="false">BD4225*M4225</f>
        <v>263617.5</v>
      </c>
      <c r="BG4225" s="35" t="n">
        <f aca="false">BA4225-BF4225</f>
        <v>-0.5</v>
      </c>
      <c r="BH4225" s="19" t="str">
        <f aca="false">IF(BG4225=0,"",IF(BG4225&lt;&gt;BA4225,"erreur de calcul",IF(BD4225&lt;&gt;0,"pas de prix",IF(M4225&lt;&gt; 0,"pas de quantité","pas de prix, ni de quantité"))))</f>
        <v>erreur de calcul</v>
      </c>
      <c r="BI4225" s="19"/>
    </row>
    <row r="4226" customFormat="false" ht="15" hidden="false" customHeight="false" outlineLevel="0" collapsed="false">
      <c r="A4226" s="0" t="n">
        <v>12</v>
      </c>
      <c r="B4226" s="8" t="s">
        <v>24</v>
      </c>
      <c r="C4226" s="9" t="s">
        <v>25</v>
      </c>
      <c r="D4226" s="9" t="s">
        <v>26</v>
      </c>
      <c r="E4226" s="10" t="n">
        <v>1789</v>
      </c>
      <c r="F4226" s="9" t="s">
        <v>27</v>
      </c>
      <c r="G4226" s="9" t="s">
        <v>27</v>
      </c>
      <c r="H4226" s="11" t="n">
        <v>18</v>
      </c>
      <c r="I4226" s="11" t="s">
        <v>80</v>
      </c>
      <c r="J4226" s="14"/>
      <c r="K4226" s="14" t="n">
        <v>4</v>
      </c>
      <c r="L4226" s="16"/>
      <c r="M4226" s="27" t="n">
        <f aca="false">J4226+(K4226/20)+(L4226/240)</f>
        <v>0.2</v>
      </c>
      <c r="N4226" s="17" t="s">
        <v>81</v>
      </c>
      <c r="O4226" s="11"/>
      <c r="P4226" s="28"/>
      <c r="Q4226" s="28" t="n">
        <f aca="false">P4226*$M4226</f>
        <v>0</v>
      </c>
      <c r="R4226" s="28"/>
      <c r="S4226" s="28" t="n">
        <f aca="false">R4226*$M4226</f>
        <v>0</v>
      </c>
      <c r="T4226" s="28"/>
      <c r="U4226" s="28" t="n">
        <f aca="false">T4226*$M4226</f>
        <v>0</v>
      </c>
      <c r="V4226" s="28" t="n">
        <v>5800</v>
      </c>
      <c r="W4226" s="28" t="n">
        <v>1160</v>
      </c>
      <c r="X4226" s="29"/>
      <c r="Y4226" s="28" t="n">
        <v>1069</v>
      </c>
      <c r="Z4226" s="28"/>
      <c r="AA4226" s="28" t="n">
        <f aca="false">Z4226*$M4226</f>
        <v>0</v>
      </c>
      <c r="AB4226" s="28"/>
      <c r="AC4226" s="28" t="n">
        <f aca="false">AB4226*$M4226</f>
        <v>0</v>
      </c>
      <c r="AD4226" s="28"/>
      <c r="AE4226" s="28" t="n">
        <f aca="false">AD4226*$M4226</f>
        <v>0</v>
      </c>
      <c r="AF4226" s="28"/>
      <c r="AG4226" s="28" t="n">
        <f aca="false">AF4226*$M4226</f>
        <v>0</v>
      </c>
      <c r="AH4226" s="28"/>
      <c r="AI4226" s="28" t="n">
        <f aca="false">AH4226*$M4226</f>
        <v>0</v>
      </c>
      <c r="AJ4226" s="28"/>
      <c r="AK4226" s="28" t="n">
        <f aca="false">AJ4226*$M4226</f>
        <v>0</v>
      </c>
      <c r="AL4226" s="28"/>
      <c r="AM4226" s="28" t="n">
        <f aca="false">AL4226*$M4226</f>
        <v>0</v>
      </c>
      <c r="AN4226" s="28"/>
      <c r="AO4226" s="28" t="n">
        <f aca="false">AN4226*$M4226</f>
        <v>0</v>
      </c>
      <c r="AP4226" s="28"/>
      <c r="AQ4226" s="28" t="n">
        <f aca="false">AP4226*$M4226</f>
        <v>0</v>
      </c>
      <c r="AR4226" s="28"/>
      <c r="AS4226" s="28" t="n">
        <f aca="false">AR4226*$M4226</f>
        <v>0</v>
      </c>
      <c r="AT4226" s="28"/>
      <c r="AU4226" s="28" t="n">
        <f aca="false">AT4226*$M4226</f>
        <v>0</v>
      </c>
      <c r="AV4226" s="28"/>
      <c r="AW4226" s="28" t="n">
        <f aca="false">AV4226*$M4226</f>
        <v>0</v>
      </c>
      <c r="AX4226" s="28"/>
      <c r="AY4226" s="28" t="n">
        <f aca="false">AX4226*$M4226</f>
        <v>0</v>
      </c>
      <c r="AZ4226" s="30" t="n">
        <v>11144</v>
      </c>
      <c r="BA4226" s="11" t="n">
        <v>2229</v>
      </c>
      <c r="BB4226" s="31" t="n">
        <f aca="false">SUM(Q4226,S4226,U4226,W4226,Y4226,AA4226,AC4226,AE4226,AG4226,AI4226,AK4226,AM4226,AO4226,AQ4226,AS4226,AU4226,AW4226,AY4226)</f>
        <v>2229</v>
      </c>
      <c r="BC4226" s="28" t="n">
        <f aca="false">BA4226-BB4226</f>
        <v>0</v>
      </c>
      <c r="BD4226" s="32" t="n">
        <f aca="false">SUM(P4226,R4226,T4226,V4226,X4226,Z4226,AB4226,AD4226,AF4226,AH4226,AJ4226,AL4226,AN4226,AP4226,AR4226,AT4226,AV4226,AX4226)</f>
        <v>5800</v>
      </c>
      <c r="BE4226" s="33" t="n">
        <f aca="false">AZ4226-BD4226</f>
        <v>5344</v>
      </c>
      <c r="BF4226" s="34" t="n">
        <f aca="false">BD4226*M4226</f>
        <v>1160</v>
      </c>
      <c r="BG4226" s="35" t="n">
        <f aca="false">BA4226-BF4226</f>
        <v>1069</v>
      </c>
      <c r="BH4226" s="19" t="str">
        <f aca="false">IF(BG4226=0,"",IF(BG4226&lt;&gt;BA4226,"erreur de calcul",IF(BD4226&lt;&gt;0,"pas de prix",IF(M4226&lt;&gt; 0,"pas de quantité","pas de prix, ni de quantité"))))</f>
        <v>erreur de calcul</v>
      </c>
      <c r="BI4226" s="19"/>
    </row>
    <row r="4227" customFormat="false" ht="15" hidden="false" customHeight="false" outlineLevel="0" collapsed="false">
      <c r="A4227" s="0" t="n">
        <v>13</v>
      </c>
      <c r="B4227" s="8" t="s">
        <v>24</v>
      </c>
      <c r="C4227" s="9" t="s">
        <v>25</v>
      </c>
      <c r="D4227" s="9" t="s">
        <v>26</v>
      </c>
      <c r="E4227" s="10" t="n">
        <v>1789</v>
      </c>
      <c r="F4227" s="9" t="s">
        <v>27</v>
      </c>
      <c r="G4227" s="9" t="s">
        <v>27</v>
      </c>
      <c r="H4227" s="11" t="n">
        <v>18</v>
      </c>
      <c r="I4227" s="11" t="s">
        <v>82</v>
      </c>
      <c r="J4227" s="14" t="n">
        <v>17</v>
      </c>
      <c r="K4227" s="14"/>
      <c r="L4227" s="16"/>
      <c r="M4227" s="27" t="n">
        <f aca="false">J4227+(K4227/20)+(L4227/240)</f>
        <v>17</v>
      </c>
      <c r="N4227" s="17" t="s">
        <v>69</v>
      </c>
      <c r="O4227" s="11"/>
      <c r="P4227" s="28"/>
      <c r="Q4227" s="28" t="n">
        <f aca="false">P4227*$M4227</f>
        <v>0</v>
      </c>
      <c r="R4227" s="28"/>
      <c r="S4227" s="28" t="n">
        <f aca="false">R4227*$M4227</f>
        <v>0</v>
      </c>
      <c r="T4227" s="28"/>
      <c r="U4227" s="28" t="n">
        <f aca="false">T4227*$M4227</f>
        <v>0</v>
      </c>
      <c r="V4227" s="28" t="n">
        <v>600</v>
      </c>
      <c r="W4227" s="28" t="n">
        <v>10200</v>
      </c>
      <c r="X4227" s="29"/>
      <c r="Y4227" s="28" t="n">
        <f aca="false">X4227*$M4227</f>
        <v>0</v>
      </c>
      <c r="Z4227" s="28"/>
      <c r="AA4227" s="28" t="n">
        <f aca="false">Z4227*$M4227</f>
        <v>0</v>
      </c>
      <c r="AB4227" s="28"/>
      <c r="AC4227" s="28" t="n">
        <f aca="false">AB4227*$M4227</f>
        <v>0</v>
      </c>
      <c r="AD4227" s="28"/>
      <c r="AE4227" s="28" t="n">
        <f aca="false">AD4227*$M4227</f>
        <v>0</v>
      </c>
      <c r="AF4227" s="28"/>
      <c r="AG4227" s="28" t="n">
        <f aca="false">AF4227*$M4227</f>
        <v>0</v>
      </c>
      <c r="AH4227" s="28"/>
      <c r="AI4227" s="28" t="n">
        <f aca="false">AH4227*$M4227</f>
        <v>0</v>
      </c>
      <c r="AJ4227" s="28"/>
      <c r="AK4227" s="28" t="n">
        <f aca="false">AJ4227*$M4227</f>
        <v>0</v>
      </c>
      <c r="AL4227" s="28"/>
      <c r="AM4227" s="28" t="n">
        <f aca="false">AL4227*$M4227</f>
        <v>0</v>
      </c>
      <c r="AN4227" s="28"/>
      <c r="AO4227" s="28" t="n">
        <f aca="false">AN4227*$M4227</f>
        <v>0</v>
      </c>
      <c r="AP4227" s="28"/>
      <c r="AQ4227" s="28" t="n">
        <f aca="false">AP4227*$M4227</f>
        <v>0</v>
      </c>
      <c r="AR4227" s="28"/>
      <c r="AS4227" s="28" t="n">
        <f aca="false">AR4227*$M4227</f>
        <v>0</v>
      </c>
      <c r="AT4227" s="28"/>
      <c r="AU4227" s="28" t="n">
        <f aca="false">AT4227*$M4227</f>
        <v>0</v>
      </c>
      <c r="AV4227" s="28"/>
      <c r="AW4227" s="28" t="n">
        <f aca="false">AV4227*$M4227</f>
        <v>0</v>
      </c>
      <c r="AX4227" s="28"/>
      <c r="AY4227" s="28" t="n">
        <f aca="false">AX4227*$M4227</f>
        <v>0</v>
      </c>
      <c r="AZ4227" s="30" t="n">
        <v>600</v>
      </c>
      <c r="BA4227" s="11" t="n">
        <v>10200</v>
      </c>
      <c r="BB4227" s="31" t="n">
        <f aca="false">SUM(Q4227,S4227,U4227,W4227,Y4227,AA4227,AC4227,AE4227,AG4227,AI4227,AK4227,AM4227,AO4227,AQ4227,AS4227,AU4227,AW4227,AY4227)</f>
        <v>10200</v>
      </c>
      <c r="BC4227" s="28" t="n">
        <f aca="false">BA4227-BB4227</f>
        <v>0</v>
      </c>
      <c r="BD4227" s="32" t="n">
        <f aca="false">SUM(P4227,R4227,T4227,V4227,X4227,Z4227,AB4227,AD4227,AF4227,AH4227,AJ4227,AL4227,AN4227,AP4227,AR4227,AT4227,AV4227,AX4227)</f>
        <v>600</v>
      </c>
      <c r="BE4227" s="33" t="n">
        <f aca="false">AZ4227-BD4227</f>
        <v>0</v>
      </c>
      <c r="BF4227" s="34" t="n">
        <f aca="false">BD4227*M4227</f>
        <v>10200</v>
      </c>
      <c r="BG4227" s="35" t="n">
        <f aca="false">BA4227-BF4227</f>
        <v>0</v>
      </c>
      <c r="BH4227" s="19" t="str">
        <f aca="false">IF(BG4227=0,"",IF(BG4227&lt;&gt;BA4227,"erreur de calcul",IF(BD4227&lt;&gt;0,"pas de prix",IF(M4227&lt;&gt; 0,"pas de quantité","pas de prix, ni de quantité"))))</f>
        <v/>
      </c>
      <c r="BI4227" s="19"/>
    </row>
    <row r="4228" customFormat="false" ht="15" hidden="false" customHeight="false" outlineLevel="0" collapsed="false">
      <c r="A4228" s="0" t="n">
        <v>14</v>
      </c>
      <c r="B4228" s="8" t="s">
        <v>24</v>
      </c>
      <c r="C4228" s="9" t="s">
        <v>25</v>
      </c>
      <c r="D4228" s="9" t="s">
        <v>26</v>
      </c>
      <c r="E4228" s="10" t="n">
        <v>1789</v>
      </c>
      <c r="F4228" s="9" t="s">
        <v>27</v>
      </c>
      <c r="G4228" s="9" t="s">
        <v>27</v>
      </c>
      <c r="H4228" s="11" t="n">
        <v>18</v>
      </c>
      <c r="I4228" s="11" t="s">
        <v>83</v>
      </c>
      <c r="J4228" s="14" t="n">
        <v>20</v>
      </c>
      <c r="K4228" s="14"/>
      <c r="L4228" s="16"/>
      <c r="M4228" s="27" t="n">
        <f aca="false">J4228+(K4228/20)+(L4228/240)</f>
        <v>20</v>
      </c>
      <c r="N4228" s="17" t="s">
        <v>81</v>
      </c>
      <c r="O4228" s="11"/>
      <c r="P4228" s="28"/>
      <c r="Q4228" s="28" t="n">
        <f aca="false">P4228*$M4228</f>
        <v>0</v>
      </c>
      <c r="R4228" s="28"/>
      <c r="S4228" s="28" t="n">
        <f aca="false">R4228*$M4228</f>
        <v>0</v>
      </c>
      <c r="T4228" s="28"/>
      <c r="U4228" s="28" t="n">
        <f aca="false">T4228*$M4228</f>
        <v>0</v>
      </c>
      <c r="V4228" s="28"/>
      <c r="W4228" s="28" t="n">
        <f aca="false">V4228*$M4228</f>
        <v>0</v>
      </c>
      <c r="X4228" s="29"/>
      <c r="Y4228" s="28" t="n">
        <f aca="false">X4228*$M4228</f>
        <v>0</v>
      </c>
      <c r="Z4228" s="28" t="n">
        <v>460</v>
      </c>
      <c r="AA4228" s="28" t="n">
        <v>9200</v>
      </c>
      <c r="AB4228" s="28"/>
      <c r="AC4228" s="28" t="n">
        <f aca="false">AB4228*$M4228</f>
        <v>0</v>
      </c>
      <c r="AD4228" s="28"/>
      <c r="AE4228" s="28" t="n">
        <f aca="false">AD4228*$M4228</f>
        <v>0</v>
      </c>
      <c r="AF4228" s="28"/>
      <c r="AG4228" s="28" t="n">
        <f aca="false">AF4228*$M4228</f>
        <v>0</v>
      </c>
      <c r="AH4228" s="28"/>
      <c r="AI4228" s="28" t="n">
        <f aca="false">AH4228*$M4228</f>
        <v>0</v>
      </c>
      <c r="AJ4228" s="28"/>
      <c r="AK4228" s="28" t="n">
        <f aca="false">AJ4228*$M4228</f>
        <v>0</v>
      </c>
      <c r="AL4228" s="28"/>
      <c r="AM4228" s="28" t="n">
        <f aca="false">AL4228*$M4228</f>
        <v>0</v>
      </c>
      <c r="AN4228" s="28"/>
      <c r="AO4228" s="28" t="n">
        <f aca="false">AN4228*$M4228</f>
        <v>0</v>
      </c>
      <c r="AP4228" s="28"/>
      <c r="AQ4228" s="28" t="n">
        <f aca="false">AP4228*$M4228</f>
        <v>0</v>
      </c>
      <c r="AR4228" s="28"/>
      <c r="AS4228" s="28" t="n">
        <f aca="false">AR4228*$M4228</f>
        <v>0</v>
      </c>
      <c r="AT4228" s="28"/>
      <c r="AU4228" s="28" t="n">
        <f aca="false">AT4228*$M4228</f>
        <v>0</v>
      </c>
      <c r="AV4228" s="28"/>
      <c r="AW4228" s="28" t="n">
        <f aca="false">AV4228*$M4228</f>
        <v>0</v>
      </c>
      <c r="AX4228" s="28"/>
      <c r="AY4228" s="28" t="n">
        <f aca="false">AX4228*$M4228</f>
        <v>0</v>
      </c>
      <c r="AZ4228" s="30" t="n">
        <v>460</v>
      </c>
      <c r="BA4228" s="11" t="n">
        <v>9200</v>
      </c>
      <c r="BB4228" s="31" t="n">
        <f aca="false">SUM(Q4228,S4228,U4228,W4228,Y4228,AA4228,AC4228,AE4228,AG4228,AI4228,AK4228,AM4228,AO4228,AQ4228,AS4228,AU4228,AW4228,AY4228)</f>
        <v>9200</v>
      </c>
      <c r="BC4228" s="28" t="n">
        <f aca="false">BA4228-BB4228</f>
        <v>0</v>
      </c>
      <c r="BD4228" s="32" t="n">
        <f aca="false">SUM(P4228,R4228,T4228,V4228,X4228,Z4228,AB4228,AD4228,AF4228,AH4228,AJ4228,AL4228,AN4228,AP4228,AR4228,AT4228,AV4228,AX4228)</f>
        <v>460</v>
      </c>
      <c r="BE4228" s="33" t="n">
        <f aca="false">AZ4228-BD4228</f>
        <v>0</v>
      </c>
      <c r="BF4228" s="34" t="n">
        <f aca="false">BD4228*M4228</f>
        <v>9200</v>
      </c>
      <c r="BG4228" s="35" t="n">
        <f aca="false">BA4228-BF4228</f>
        <v>0</v>
      </c>
      <c r="BH4228" s="19" t="str">
        <f aca="false">IF(BG4228=0,"",IF(BG4228&lt;&gt;BA4228,"erreur de calcul",IF(BD4228&lt;&gt;0,"pas de prix",IF(M4228&lt;&gt; 0,"pas de quantité","pas de prix, ni de quantité"))))</f>
        <v/>
      </c>
      <c r="BI4228" s="19"/>
    </row>
    <row r="4229" customFormat="false" ht="15" hidden="false" customHeight="false" outlineLevel="0" collapsed="false">
      <c r="A4229" s="0" t="n">
        <v>15</v>
      </c>
      <c r="B4229" s="8" t="s">
        <v>24</v>
      </c>
      <c r="C4229" s="9" t="s">
        <v>25</v>
      </c>
      <c r="D4229" s="9" t="s">
        <v>26</v>
      </c>
      <c r="E4229" s="10" t="n">
        <v>1789</v>
      </c>
      <c r="F4229" s="9" t="s">
        <v>27</v>
      </c>
      <c r="G4229" s="9" t="s">
        <v>27</v>
      </c>
      <c r="H4229" s="11" t="n">
        <v>18</v>
      </c>
      <c r="I4229" s="11" t="s">
        <v>84</v>
      </c>
      <c r="J4229" s="14" t="n">
        <v>16</v>
      </c>
      <c r="K4229" s="14"/>
      <c r="L4229" s="16"/>
      <c r="M4229" s="27" t="n">
        <f aca="false">J4229+(K4229/20)+(L4229/240)</f>
        <v>16</v>
      </c>
      <c r="N4229" s="17" t="s">
        <v>85</v>
      </c>
      <c r="O4229" s="11"/>
      <c r="P4229" s="28"/>
      <c r="Q4229" s="28" t="n">
        <f aca="false">P4229*$M4229</f>
        <v>0</v>
      </c>
      <c r="R4229" s="28"/>
      <c r="S4229" s="28" t="n">
        <f aca="false">R4229*$M4229</f>
        <v>0</v>
      </c>
      <c r="T4229" s="28" t="n">
        <f aca="false">1600/100</f>
        <v>16</v>
      </c>
      <c r="U4229" s="28" t="n">
        <v>256</v>
      </c>
      <c r="V4229" s="28" t="n">
        <f aca="false">227136/100</f>
        <v>2271.36</v>
      </c>
      <c r="W4229" s="28" t="n">
        <v>36342</v>
      </c>
      <c r="X4229" s="29"/>
      <c r="Y4229" s="28" t="n">
        <v>304</v>
      </c>
      <c r="Z4229" s="28" t="n">
        <f aca="false">6850/100</f>
        <v>68.5</v>
      </c>
      <c r="AA4229" s="28" t="n">
        <v>1096</v>
      </c>
      <c r="AB4229" s="28" t="n">
        <f aca="false">204300/100</f>
        <v>2043</v>
      </c>
      <c r="AC4229" s="28" t="n">
        <v>32688</v>
      </c>
      <c r="AD4229" s="28" t="n">
        <f aca="false">9750/100</f>
        <v>97.5</v>
      </c>
      <c r="AE4229" s="28" t="n">
        <v>1560</v>
      </c>
      <c r="AF4229" s="28"/>
      <c r="AG4229" s="28" t="n">
        <f aca="false">AF4229*$M4229</f>
        <v>0</v>
      </c>
      <c r="AH4229" s="28"/>
      <c r="AI4229" s="28" t="n">
        <f aca="false">AH4229*$M4229</f>
        <v>0</v>
      </c>
      <c r="AJ4229" s="28" t="n">
        <f aca="false">1414/100</f>
        <v>14.14</v>
      </c>
      <c r="AK4229" s="28" t="n">
        <v>226</v>
      </c>
      <c r="AL4229" s="28" t="n">
        <f aca="false">29500/100</f>
        <v>295</v>
      </c>
      <c r="AM4229" s="28" t="n">
        <v>4720</v>
      </c>
      <c r="AN4229" s="28"/>
      <c r="AO4229" s="28" t="n">
        <f aca="false">AN4229*$M4229</f>
        <v>0</v>
      </c>
      <c r="AP4229" s="28" t="n">
        <f aca="false">1520/100</f>
        <v>15.2</v>
      </c>
      <c r="AQ4229" s="28" t="n">
        <v>243</v>
      </c>
      <c r="AR4229" s="28"/>
      <c r="AS4229" s="28" t="n">
        <f aca="false">AR4229*$M4229</f>
        <v>0</v>
      </c>
      <c r="AT4229" s="28" t="n">
        <f aca="false">2100/100</f>
        <v>21</v>
      </c>
      <c r="AU4229" s="28" t="n">
        <v>336</v>
      </c>
      <c r="AV4229" s="28" t="n">
        <f aca="false">1320/100</f>
        <v>13.2</v>
      </c>
      <c r="AW4229" s="28" t="n">
        <v>211</v>
      </c>
      <c r="AX4229" s="28" t="n">
        <f aca="false">177746/100</f>
        <v>1777.46</v>
      </c>
      <c r="AY4229" s="28" t="n">
        <v>28439</v>
      </c>
      <c r="AZ4229" s="30" t="n">
        <f aca="false">665136/100</f>
        <v>6651.36</v>
      </c>
      <c r="BA4229" s="11" t="n">
        <v>106421</v>
      </c>
      <c r="BB4229" s="31" t="n">
        <f aca="false">SUM(Q4229,S4229,U4229,W4229,Y4229,AA4229,AC4229,AE4229,AG4229,AI4229,AK4229,AM4229,AO4229,AQ4229,AS4229,AU4229,AW4229,AY4229)</f>
        <v>106421</v>
      </c>
      <c r="BC4229" s="28" t="n">
        <f aca="false">BA4229-BB4229</f>
        <v>0</v>
      </c>
      <c r="BD4229" s="32" t="n">
        <f aca="false">SUM(P4229,R4229,T4229,V4229,X4229,Z4229,AB4229,AD4229,AF4229,AH4229,AJ4229,AL4229,AN4229,AP4229,AR4229,AT4229,AV4229,AX4229)</f>
        <v>6632.36</v>
      </c>
      <c r="BE4229" s="33" t="n">
        <f aca="false">AZ4229-BD4229</f>
        <v>18.9999999999991</v>
      </c>
      <c r="BF4229" s="34" t="n">
        <f aca="false">BD4229*M4229</f>
        <v>106117.76</v>
      </c>
      <c r="BG4229" s="35" t="n">
        <f aca="false">BA4229-BF4229</f>
        <v>303.239999999991</v>
      </c>
      <c r="BH4229" s="19" t="str">
        <f aca="false">IF(BG4229=0,"",IF(BG4229&lt;&gt;BA4229,"erreur de calcul",IF(BD4229&lt;&gt;0,"pas de prix",IF(M4229&lt;&gt; 0,"pas de quantité","pas de prix, ni de quantité"))))</f>
        <v>erreur de calcul</v>
      </c>
      <c r="BI4229" s="19"/>
    </row>
    <row r="4230" customFormat="false" ht="15" hidden="false" customHeight="false" outlineLevel="0" collapsed="false">
      <c r="A4230" s="0" t="n">
        <v>16</v>
      </c>
      <c r="B4230" s="8" t="s">
        <v>24</v>
      </c>
      <c r="C4230" s="9" t="s">
        <v>25</v>
      </c>
      <c r="D4230" s="9" t="s">
        <v>26</v>
      </c>
      <c r="E4230" s="10" t="n">
        <v>1789</v>
      </c>
      <c r="F4230" s="9" t="s">
        <v>27</v>
      </c>
      <c r="G4230" s="9" t="s">
        <v>27</v>
      </c>
      <c r="H4230" s="11" t="n">
        <v>18</v>
      </c>
      <c r="I4230" s="11" t="s">
        <v>86</v>
      </c>
      <c r="J4230" s="14" t="n">
        <v>55</v>
      </c>
      <c r="K4230" s="14"/>
      <c r="L4230" s="16"/>
      <c r="M4230" s="27" t="n">
        <f aca="false">J4230+(K4230/20)+(L4230/240)</f>
        <v>55</v>
      </c>
      <c r="N4230" s="17" t="s">
        <v>81</v>
      </c>
      <c r="O4230" s="11"/>
      <c r="P4230" s="28"/>
      <c r="Q4230" s="28" t="n">
        <f aca="false">P4230*$M4230</f>
        <v>0</v>
      </c>
      <c r="R4230" s="28"/>
      <c r="S4230" s="28" t="n">
        <f aca="false">R4230*$M4230</f>
        <v>0</v>
      </c>
      <c r="T4230" s="28"/>
      <c r="U4230" s="28" t="n">
        <f aca="false">T4230*$M4230</f>
        <v>0</v>
      </c>
      <c r="V4230" s="28"/>
      <c r="W4230" s="28" t="n">
        <f aca="false">V4230*$M4230</f>
        <v>0</v>
      </c>
      <c r="X4230" s="29"/>
      <c r="Y4230" s="28" t="n">
        <f aca="false">X4230*$M4230</f>
        <v>0</v>
      </c>
      <c r="Z4230" s="28"/>
      <c r="AA4230" s="28" t="n">
        <f aca="false">Z4230*$M4230</f>
        <v>0</v>
      </c>
      <c r="AB4230" s="28"/>
      <c r="AC4230" s="28" t="n">
        <f aca="false">AB4230*$M4230</f>
        <v>0</v>
      </c>
      <c r="AD4230" s="28"/>
      <c r="AE4230" s="28" t="n">
        <f aca="false">AD4230*$M4230</f>
        <v>0</v>
      </c>
      <c r="AF4230" s="28"/>
      <c r="AG4230" s="28" t="n">
        <f aca="false">AF4230*$M4230</f>
        <v>0</v>
      </c>
      <c r="AH4230" s="28"/>
      <c r="AI4230" s="28" t="n">
        <f aca="false">AH4230*$M4230</f>
        <v>0</v>
      </c>
      <c r="AJ4230" s="28"/>
      <c r="AK4230" s="28" t="n">
        <f aca="false">AJ4230*$M4230</f>
        <v>0</v>
      </c>
      <c r="AL4230" s="28"/>
      <c r="AM4230" s="28" t="n">
        <f aca="false">AL4230*$M4230</f>
        <v>0</v>
      </c>
      <c r="AN4230" s="28"/>
      <c r="AO4230" s="28" t="n">
        <f aca="false">AN4230*$M4230</f>
        <v>0</v>
      </c>
      <c r="AP4230" s="28"/>
      <c r="AQ4230" s="28" t="n">
        <f aca="false">AP4230*$M4230</f>
        <v>0</v>
      </c>
      <c r="AR4230" s="28"/>
      <c r="AS4230" s="28" t="n">
        <f aca="false">AR4230*$M4230</f>
        <v>0</v>
      </c>
      <c r="AT4230" s="28" t="n">
        <v>319</v>
      </c>
      <c r="AU4230" s="28" t="n">
        <v>17545</v>
      </c>
      <c r="AV4230" s="28"/>
      <c r="AW4230" s="28" t="n">
        <f aca="false">AV4230*$M4230</f>
        <v>0</v>
      </c>
      <c r="AX4230" s="28"/>
      <c r="AY4230" s="28" t="n">
        <f aca="false">AX4230*$M4230</f>
        <v>0</v>
      </c>
      <c r="AZ4230" s="30" t="n">
        <v>319</v>
      </c>
      <c r="BA4230" s="11" t="n">
        <v>17545</v>
      </c>
      <c r="BB4230" s="31" t="n">
        <f aca="false">SUM(Q4230,S4230,U4230,W4230,Y4230,AA4230,AC4230,AE4230,AG4230,AI4230,AK4230,AM4230,AO4230,AQ4230,AS4230,AU4230,AW4230,AY4230)</f>
        <v>17545</v>
      </c>
      <c r="BC4230" s="28" t="n">
        <f aca="false">BA4230-BB4230</f>
        <v>0</v>
      </c>
      <c r="BD4230" s="32" t="n">
        <f aca="false">SUM(P4230,R4230,T4230,V4230,X4230,Z4230,AB4230,AD4230,AF4230,AH4230,AJ4230,AL4230,AN4230,AP4230,AR4230,AT4230,AV4230,AX4230)</f>
        <v>319</v>
      </c>
      <c r="BE4230" s="33" t="n">
        <f aca="false">AZ4230-BD4230</f>
        <v>0</v>
      </c>
      <c r="BF4230" s="34" t="n">
        <f aca="false">BD4230*M4230</f>
        <v>17545</v>
      </c>
      <c r="BG4230" s="35" t="n">
        <f aca="false">BA4230-BF4230</f>
        <v>0</v>
      </c>
      <c r="BH4230" s="19" t="str">
        <f aca="false">IF(BG4230=0,"",IF(BG4230&lt;&gt;BA4230,"erreur de calcul",IF(BD4230&lt;&gt;0,"pas de prix",IF(M4230&lt;&gt; 0,"pas de quantité","pas de prix, ni de quantité"))))</f>
        <v/>
      </c>
      <c r="BI4230" s="19"/>
    </row>
    <row r="4231" customFormat="false" ht="15" hidden="false" customHeight="false" outlineLevel="0" collapsed="false">
      <c r="A4231" s="0" t="n">
        <v>17</v>
      </c>
      <c r="B4231" s="8" t="s">
        <v>24</v>
      </c>
      <c r="C4231" s="9" t="s">
        <v>25</v>
      </c>
      <c r="D4231" s="9" t="s">
        <v>26</v>
      </c>
      <c r="E4231" s="10" t="n">
        <v>1789</v>
      </c>
      <c r="F4231" s="9" t="s">
        <v>27</v>
      </c>
      <c r="G4231" s="9" t="s">
        <v>27</v>
      </c>
      <c r="H4231" s="11" t="n">
        <v>18</v>
      </c>
      <c r="I4231" s="11" t="s">
        <v>87</v>
      </c>
      <c r="J4231" s="14" t="n">
        <v>6</v>
      </c>
      <c r="K4231" s="14"/>
      <c r="L4231" s="16"/>
      <c r="M4231" s="27" t="n">
        <f aca="false">J4231+(K4231/20)+(L4231/240)</f>
        <v>6</v>
      </c>
      <c r="N4231" s="17" t="s">
        <v>69</v>
      </c>
      <c r="O4231" s="11" t="s">
        <v>77</v>
      </c>
      <c r="P4231" s="28"/>
      <c r="Q4231" s="28" t="n">
        <f aca="false">P4231*$M4231</f>
        <v>0</v>
      </c>
      <c r="R4231" s="28" t="n">
        <v>63</v>
      </c>
      <c r="S4231" s="28" t="n">
        <v>378</v>
      </c>
      <c r="T4231" s="28" t="n">
        <v>2406</v>
      </c>
      <c r="U4231" s="28" t="n">
        <v>14436</v>
      </c>
      <c r="V4231" s="28" t="n">
        <v>222</v>
      </c>
      <c r="W4231" s="28" t="n">
        <v>1332</v>
      </c>
      <c r="X4231" s="29"/>
      <c r="Y4231" s="28" t="n">
        <f aca="false">X4231*$M4231</f>
        <v>0</v>
      </c>
      <c r="Z4231" s="28"/>
      <c r="AA4231" s="28" t="n">
        <f aca="false">Z4231*$M4231</f>
        <v>0</v>
      </c>
      <c r="AB4231" s="28"/>
      <c r="AC4231" s="28" t="n">
        <f aca="false">AB4231*$M4231</f>
        <v>0</v>
      </c>
      <c r="AD4231" s="28" t="n">
        <v>330</v>
      </c>
      <c r="AE4231" s="28" t="n">
        <v>1980</v>
      </c>
      <c r="AF4231" s="28"/>
      <c r="AG4231" s="28" t="n">
        <f aca="false">AF4231*$M4231</f>
        <v>0</v>
      </c>
      <c r="AH4231" s="28"/>
      <c r="AI4231" s="28" t="n">
        <f aca="false">AH4231*$M4231</f>
        <v>0</v>
      </c>
      <c r="AJ4231" s="28"/>
      <c r="AK4231" s="28" t="n">
        <f aca="false">AJ4231*$M4231</f>
        <v>0</v>
      </c>
      <c r="AL4231" s="28"/>
      <c r="AM4231" s="28" t="n">
        <f aca="false">AL4231*$M4231</f>
        <v>0</v>
      </c>
      <c r="AN4231" s="28"/>
      <c r="AO4231" s="28" t="n">
        <f aca="false">AN4231*$M4231</f>
        <v>0</v>
      </c>
      <c r="AP4231" s="28"/>
      <c r="AQ4231" s="28" t="n">
        <f aca="false">AP4231*$M4231</f>
        <v>0</v>
      </c>
      <c r="AR4231" s="28"/>
      <c r="AS4231" s="28" t="n">
        <f aca="false">AR4231*$M4231</f>
        <v>0</v>
      </c>
      <c r="AT4231" s="28"/>
      <c r="AU4231" s="28" t="n">
        <f aca="false">AT4231*$M4231</f>
        <v>0</v>
      </c>
      <c r="AV4231" s="28"/>
      <c r="AW4231" s="28" t="n">
        <f aca="false">AV4231*$M4231</f>
        <v>0</v>
      </c>
      <c r="AX4231" s="28"/>
      <c r="AY4231" s="28" t="n">
        <f aca="false">AX4231*$M4231</f>
        <v>0</v>
      </c>
      <c r="AZ4231" s="30" t="n">
        <v>3021</v>
      </c>
      <c r="BA4231" s="11" t="n">
        <v>18126</v>
      </c>
      <c r="BB4231" s="31" t="n">
        <f aca="false">SUM(Q4231,S4231,U4231,W4231,Y4231,AA4231,AC4231,AE4231,AG4231,AI4231,AK4231,AM4231,AO4231,AQ4231,AS4231,AU4231,AW4231,AY4231)</f>
        <v>18126</v>
      </c>
      <c r="BC4231" s="28" t="n">
        <f aca="false">BA4231-BB4231</f>
        <v>0</v>
      </c>
      <c r="BD4231" s="32" t="n">
        <f aca="false">SUM(P4231,R4231,T4231,V4231,X4231,Z4231,AB4231,AD4231,AF4231,AH4231,AJ4231,AL4231,AN4231,AP4231,AR4231,AT4231,AV4231,AX4231)</f>
        <v>3021</v>
      </c>
      <c r="BE4231" s="33" t="n">
        <f aca="false">AZ4231-BD4231</f>
        <v>0</v>
      </c>
      <c r="BF4231" s="34" t="n">
        <f aca="false">BD4231*M4231</f>
        <v>18126</v>
      </c>
      <c r="BG4231" s="35" t="n">
        <f aca="false">BA4231-BF4231</f>
        <v>0</v>
      </c>
      <c r="BH4231" s="19" t="str">
        <f aca="false">IF(BG4231=0,"",IF(BG4231&lt;&gt;BA4231,"erreur de calcul",IF(BD4231&lt;&gt;0,"pas de prix",IF(M4231&lt;&gt; 0,"pas de quantité","pas de prix, ni de quantité"))))</f>
        <v/>
      </c>
      <c r="BI4231" s="19"/>
    </row>
    <row r="4232" customFormat="false" ht="15" hidden="false" customHeight="false" outlineLevel="0" collapsed="false">
      <c r="A4232" s="0" t="n">
        <v>18</v>
      </c>
      <c r="B4232" s="8" t="s">
        <v>24</v>
      </c>
      <c r="C4232" s="9" t="s">
        <v>25</v>
      </c>
      <c r="D4232" s="9" t="s">
        <v>26</v>
      </c>
      <c r="E4232" s="10" t="n">
        <v>1789</v>
      </c>
      <c r="F4232" s="9" t="s">
        <v>27</v>
      </c>
      <c r="G4232" s="9" t="s">
        <v>27</v>
      </c>
      <c r="H4232" s="11" t="n">
        <v>18</v>
      </c>
      <c r="I4232" s="11" t="s">
        <v>88</v>
      </c>
      <c r="J4232" s="14" t="n">
        <v>26</v>
      </c>
      <c r="K4232" s="14"/>
      <c r="L4232" s="16"/>
      <c r="M4232" s="27" t="n">
        <f aca="false">J4232+(K4232/20)+(L4232/240)</f>
        <v>26</v>
      </c>
      <c r="N4232" s="17" t="s">
        <v>69</v>
      </c>
      <c r="O4232" s="11"/>
      <c r="P4232" s="28"/>
      <c r="Q4232" s="28" t="n">
        <f aca="false">P4232*$M4232</f>
        <v>0</v>
      </c>
      <c r="R4232" s="28"/>
      <c r="S4232" s="28" t="n">
        <f aca="false">R4232*$M4232</f>
        <v>0</v>
      </c>
      <c r="T4232" s="28"/>
      <c r="U4232" s="28" t="n">
        <f aca="false">T4232*$M4232</f>
        <v>0</v>
      </c>
      <c r="V4232" s="28"/>
      <c r="W4232" s="28" t="n">
        <f aca="false">V4232*$M4232</f>
        <v>0</v>
      </c>
      <c r="X4232" s="29"/>
      <c r="Y4232" s="28" t="n">
        <f aca="false">X4232*$M4232</f>
        <v>0</v>
      </c>
      <c r="Z4232" s="28"/>
      <c r="AA4232" s="28" t="n">
        <f aca="false">Z4232*$M4232</f>
        <v>0</v>
      </c>
      <c r="AB4232" s="28"/>
      <c r="AC4232" s="28" t="n">
        <f aca="false">AB4232*$M4232</f>
        <v>0</v>
      </c>
      <c r="AD4232" s="28"/>
      <c r="AE4232" s="28" t="n">
        <f aca="false">AD4232*$M4232</f>
        <v>0</v>
      </c>
      <c r="AF4232" s="28"/>
      <c r="AG4232" s="28" t="n">
        <f aca="false">AF4232*$M4232</f>
        <v>0</v>
      </c>
      <c r="AH4232" s="28"/>
      <c r="AI4232" s="28" t="n">
        <f aca="false">AH4232*$M4232</f>
        <v>0</v>
      </c>
      <c r="AJ4232" s="28"/>
      <c r="AK4232" s="28" t="n">
        <f aca="false">AJ4232*$M4232</f>
        <v>0</v>
      </c>
      <c r="AL4232" s="28" t="n">
        <v>150</v>
      </c>
      <c r="AM4232" s="28" t="n">
        <v>3900</v>
      </c>
      <c r="AN4232" s="28"/>
      <c r="AO4232" s="28" t="n">
        <f aca="false">AN4232*$M4232</f>
        <v>0</v>
      </c>
      <c r="AP4232" s="28" t="n">
        <v>4140</v>
      </c>
      <c r="AQ4232" s="28" t="n">
        <v>107640</v>
      </c>
      <c r="AR4232" s="28" t="n">
        <v>6957</v>
      </c>
      <c r="AS4232" s="28" t="n">
        <v>180882</v>
      </c>
      <c r="AT4232" s="28" t="n">
        <v>171</v>
      </c>
      <c r="AU4232" s="28" t="n">
        <v>4446</v>
      </c>
      <c r="AV4232" s="28" t="n">
        <v>838</v>
      </c>
      <c r="AW4232" s="28" t="n">
        <v>21788</v>
      </c>
      <c r="AX4232" s="28" t="n">
        <v>35</v>
      </c>
      <c r="AY4232" s="28" t="n">
        <v>910</v>
      </c>
      <c r="AZ4232" s="30" t="n">
        <v>12291</v>
      </c>
      <c r="BA4232" s="11" t="n">
        <v>319566</v>
      </c>
      <c r="BB4232" s="31" t="n">
        <f aca="false">SUM(Q4232,S4232,U4232,W4232,Y4232,AA4232,AC4232,AE4232,AG4232,AI4232,AK4232,AM4232,AO4232,AQ4232,AS4232,AU4232,AW4232,AY4232)</f>
        <v>319566</v>
      </c>
      <c r="BC4232" s="28" t="n">
        <f aca="false">BA4232-BB4232</f>
        <v>0</v>
      </c>
      <c r="BD4232" s="32" t="n">
        <f aca="false">SUM(P4232,R4232,T4232,V4232,X4232,Z4232,AB4232,AD4232,AF4232,AH4232,AJ4232,AL4232,AN4232,AP4232,AR4232,AT4232,AV4232,AX4232)</f>
        <v>12291</v>
      </c>
      <c r="BE4232" s="33" t="n">
        <f aca="false">AZ4232-BD4232</f>
        <v>0</v>
      </c>
      <c r="BF4232" s="34" t="n">
        <f aca="false">BD4232*M4232</f>
        <v>319566</v>
      </c>
      <c r="BG4232" s="35" t="n">
        <f aca="false">BA4232-BF4232</f>
        <v>0</v>
      </c>
      <c r="BH4232" s="19" t="str">
        <f aca="false">IF(BG4232=0,"",IF(BG4232&lt;&gt;BA4232,"erreur de calcul",IF(BD4232&lt;&gt;0,"pas de prix",IF(M4232&lt;&gt; 0,"pas de quantité","pas de prix, ni de quantité"))))</f>
        <v/>
      </c>
      <c r="BI4232" s="19"/>
    </row>
    <row r="4233" customFormat="false" ht="15" hidden="false" customHeight="false" outlineLevel="0" collapsed="false">
      <c r="A4233" s="0" t="n">
        <v>19</v>
      </c>
      <c r="B4233" s="8" t="s">
        <v>24</v>
      </c>
      <c r="C4233" s="9" t="s">
        <v>25</v>
      </c>
      <c r="D4233" s="9" t="s">
        <v>26</v>
      </c>
      <c r="E4233" s="10" t="n">
        <v>1789</v>
      </c>
      <c r="F4233" s="9" t="s">
        <v>27</v>
      </c>
      <c r="G4233" s="9" t="s">
        <v>27</v>
      </c>
      <c r="H4233" s="11" t="n">
        <v>18</v>
      </c>
      <c r="I4233" s="11" t="s">
        <v>89</v>
      </c>
      <c r="J4233" s="14" t="n">
        <v>7</v>
      </c>
      <c r="K4233" s="14"/>
      <c r="L4233" s="16"/>
      <c r="M4233" s="27" t="n">
        <f aca="false">J4233+(K4233/20)+(L4233/240)</f>
        <v>7</v>
      </c>
      <c r="N4233" s="17" t="s">
        <v>81</v>
      </c>
      <c r="O4233" s="11" t="s">
        <v>77</v>
      </c>
      <c r="P4233" s="28"/>
      <c r="Q4233" s="28" t="n">
        <f aca="false">P4233*$M4233</f>
        <v>0</v>
      </c>
      <c r="R4233" s="28"/>
      <c r="S4233" s="28" t="n">
        <f aca="false">R4233*$M4233</f>
        <v>0</v>
      </c>
      <c r="T4233" s="28"/>
      <c r="U4233" s="28" t="n">
        <f aca="false">T4233*$M4233</f>
        <v>0</v>
      </c>
      <c r="V4233" s="28"/>
      <c r="W4233" s="28" t="n">
        <f aca="false">V4233*$M4233</f>
        <v>0</v>
      </c>
      <c r="X4233" s="29"/>
      <c r="Y4233" s="28" t="n">
        <f aca="false">X4233*$M4233</f>
        <v>0</v>
      </c>
      <c r="Z4233" s="28"/>
      <c r="AA4233" s="28" t="n">
        <f aca="false">Z4233*$M4233</f>
        <v>0</v>
      </c>
      <c r="AB4233" s="28"/>
      <c r="AC4233" s="28" t="n">
        <f aca="false">AB4233*$M4233</f>
        <v>0</v>
      </c>
      <c r="AD4233" s="28"/>
      <c r="AE4233" s="28" t="n">
        <f aca="false">AD4233*$M4233</f>
        <v>0</v>
      </c>
      <c r="AF4233" s="28"/>
      <c r="AG4233" s="28" t="n">
        <f aca="false">AF4233*$M4233</f>
        <v>0</v>
      </c>
      <c r="AH4233" s="28"/>
      <c r="AI4233" s="28" t="n">
        <f aca="false">AH4233*$M4233</f>
        <v>0</v>
      </c>
      <c r="AJ4233" s="28"/>
      <c r="AK4233" s="28" t="n">
        <f aca="false">AJ4233*$M4233</f>
        <v>0</v>
      </c>
      <c r="AL4233" s="28"/>
      <c r="AM4233" s="28" t="n">
        <f aca="false">AL4233*$M4233</f>
        <v>0</v>
      </c>
      <c r="AN4233" s="28"/>
      <c r="AO4233" s="28" t="n">
        <f aca="false">AN4233*$M4233</f>
        <v>0</v>
      </c>
      <c r="AP4233" s="38" t="n">
        <v>1763</v>
      </c>
      <c r="AQ4233" s="28" t="n">
        <v>42312</v>
      </c>
      <c r="AR4233" s="28"/>
      <c r="AS4233" s="28" t="n">
        <f aca="false">AR4233*$M4233</f>
        <v>0</v>
      </c>
      <c r="AT4233" s="28"/>
      <c r="AU4233" s="28" t="n">
        <f aca="false">AT4233*$M4233</f>
        <v>0</v>
      </c>
      <c r="AV4233" s="38" t="n">
        <v>377</v>
      </c>
      <c r="AW4233" s="28" t="n">
        <v>9425</v>
      </c>
      <c r="AX4233" s="28"/>
      <c r="AY4233" s="28" t="n">
        <f aca="false">AX4233*$M4233</f>
        <v>0</v>
      </c>
      <c r="AZ4233" s="30" t="n">
        <v>2140</v>
      </c>
      <c r="BA4233" s="11" t="n">
        <v>51737</v>
      </c>
      <c r="BB4233" s="31" t="n">
        <f aca="false">SUM(Q4233,S4233,U4233,W4233,Y4233,AA4233,AC4233,AE4233,AG4233,AI4233,AK4233,AM4233,AO4233,AQ4233,AS4233,AU4233,AW4233,AY4233)</f>
        <v>51737</v>
      </c>
      <c r="BC4233" s="28" t="n">
        <f aca="false">BA4233-BB4233</f>
        <v>0</v>
      </c>
      <c r="BD4233" s="32" t="n">
        <f aca="false">SUM(P4233,R4233,T4233,V4233,X4233,Z4233,AB4233,AD4233,AF4233,AH4233,AJ4233,AL4233,AN4233,AP4233,AR4233,AT4233,AV4233,AX4233)</f>
        <v>2140</v>
      </c>
      <c r="BE4233" s="33" t="n">
        <f aca="false">AZ4233-BD4233</f>
        <v>0</v>
      </c>
      <c r="BF4233" s="34" t="n">
        <f aca="false">BD4233*M4233</f>
        <v>14980</v>
      </c>
      <c r="BG4233" s="35" t="n">
        <f aca="false">BA4233-BF4233</f>
        <v>36757</v>
      </c>
      <c r="BH4233" s="19" t="str">
        <f aca="false">IF(BG4233=0,"",IF(BG4233&lt;&gt;BA4233,"erreur de calcul",IF(BD4233&lt;&gt;0,"pas de prix",IF(M4233&lt;&gt; 0,"pas de quantité","pas de prix, ni de quantité"))))</f>
        <v>erreur de calcul</v>
      </c>
      <c r="BI4233" s="19" t="s">
        <v>90</v>
      </c>
    </row>
    <row r="4234" customFormat="false" ht="15" hidden="false" customHeight="false" outlineLevel="0" collapsed="false">
      <c r="A4234" s="0" t="n">
        <v>20</v>
      </c>
      <c r="B4234" s="8" t="s">
        <v>24</v>
      </c>
      <c r="C4234" s="9" t="s">
        <v>25</v>
      </c>
      <c r="D4234" s="9" t="s">
        <v>26</v>
      </c>
      <c r="E4234" s="10" t="n">
        <v>1789</v>
      </c>
      <c r="F4234" s="9" t="s">
        <v>27</v>
      </c>
      <c r="G4234" s="9" t="s">
        <v>27</v>
      </c>
      <c r="H4234" s="11" t="n">
        <v>18</v>
      </c>
      <c r="I4234" s="11" t="s">
        <v>91</v>
      </c>
      <c r="J4234" s="14" t="n">
        <v>30</v>
      </c>
      <c r="K4234" s="14"/>
      <c r="L4234" s="16"/>
      <c r="M4234" s="27" t="n">
        <f aca="false">J4234+(K4234/20)+(L4234/240)</f>
        <v>30</v>
      </c>
      <c r="N4234" s="17" t="s">
        <v>64</v>
      </c>
      <c r="O4234" s="11"/>
      <c r="P4234" s="28"/>
      <c r="Q4234" s="28" t="n">
        <f aca="false">P4234*$M4234</f>
        <v>0</v>
      </c>
      <c r="R4234" s="28"/>
      <c r="S4234" s="28" t="n">
        <f aca="false">R4234*$M4234</f>
        <v>0</v>
      </c>
      <c r="T4234" s="28"/>
      <c r="U4234" s="28" t="n">
        <f aca="false">T4234*$M4234</f>
        <v>0</v>
      </c>
      <c r="V4234" s="28" t="n">
        <f aca="false">12300/100</f>
        <v>123</v>
      </c>
      <c r="W4234" s="28" t="n">
        <v>3690</v>
      </c>
      <c r="X4234" s="29"/>
      <c r="Y4234" s="28" t="n">
        <f aca="false">X4234*$M4234</f>
        <v>0</v>
      </c>
      <c r="Z4234" s="28"/>
      <c r="AA4234" s="28" t="n">
        <f aca="false">Z4234*$M4234</f>
        <v>0</v>
      </c>
      <c r="AB4234" s="28" t="n">
        <f aca="false">16277/100</f>
        <v>162.77</v>
      </c>
      <c r="AC4234" s="28" t="n">
        <v>4883</v>
      </c>
      <c r="AD4234" s="28"/>
      <c r="AE4234" s="28" t="n">
        <f aca="false">AD4234*$M4234</f>
        <v>0</v>
      </c>
      <c r="AF4234" s="28"/>
      <c r="AG4234" s="28" t="n">
        <f aca="false">AF4234*$M4234</f>
        <v>0</v>
      </c>
      <c r="AH4234" s="28"/>
      <c r="AI4234" s="28" t="n">
        <f aca="false">AH4234*$M4234</f>
        <v>0</v>
      </c>
      <c r="AJ4234" s="28"/>
      <c r="AK4234" s="28" t="n">
        <f aca="false">AJ4234*$M4234</f>
        <v>0</v>
      </c>
      <c r="AL4234" s="28"/>
      <c r="AM4234" s="28" t="n">
        <f aca="false">AL4234*$M4234</f>
        <v>0</v>
      </c>
      <c r="AN4234" s="28"/>
      <c r="AO4234" s="28" t="n">
        <f aca="false">AN4234*$M4234</f>
        <v>0</v>
      </c>
      <c r="AP4234" s="28"/>
      <c r="AQ4234" s="28" t="n">
        <f aca="false">AP4234*$M4234</f>
        <v>0</v>
      </c>
      <c r="AR4234" s="28"/>
      <c r="AS4234" s="28" t="n">
        <f aca="false">AR4234*$M4234</f>
        <v>0</v>
      </c>
      <c r="AT4234" s="28"/>
      <c r="AU4234" s="28" t="n">
        <f aca="false">AT4234*$M4234</f>
        <v>0</v>
      </c>
      <c r="AV4234" s="28"/>
      <c r="AW4234" s="28" t="n">
        <f aca="false">AV4234*$M4234</f>
        <v>0</v>
      </c>
      <c r="AX4234" s="28"/>
      <c r="AY4234" s="28" t="n">
        <f aca="false">AX4234*$M4234</f>
        <v>0</v>
      </c>
      <c r="AZ4234" s="30" t="n">
        <f aca="false">28577/100</f>
        <v>285.77</v>
      </c>
      <c r="BA4234" s="11" t="n">
        <v>8573</v>
      </c>
      <c r="BB4234" s="31" t="n">
        <f aca="false">SUM(Q4234,S4234,U4234,W4234,Y4234,AA4234,AC4234,AE4234,AG4234,AI4234,AK4234,AM4234,AO4234,AQ4234,AS4234,AU4234,AW4234,AY4234)</f>
        <v>8573</v>
      </c>
      <c r="BC4234" s="28" t="n">
        <f aca="false">BA4234-BB4234</f>
        <v>0</v>
      </c>
      <c r="BD4234" s="32" t="n">
        <f aca="false">SUM(P4234,R4234,T4234,V4234,X4234,Z4234,AB4234,AD4234,AF4234,AH4234,AJ4234,AL4234,AN4234,AP4234,AR4234,AT4234,AV4234,AX4234)</f>
        <v>285.77</v>
      </c>
      <c r="BE4234" s="33" t="n">
        <f aca="false">AZ4234-BD4234</f>
        <v>0</v>
      </c>
      <c r="BF4234" s="34" t="n">
        <f aca="false">BD4234*M4234</f>
        <v>8573.1</v>
      </c>
      <c r="BG4234" s="35" t="n">
        <f aca="false">BA4234-BF4234</f>
        <v>-0.0999999999985448</v>
      </c>
      <c r="BH4234" s="19" t="str">
        <f aca="false">IF(BG4234=0,"",IF(BG4234&lt;&gt;BA4234,"erreur de calcul",IF(BD4234&lt;&gt;0,"pas de prix",IF(M4234&lt;&gt; 0,"pas de quantité","pas de prix, ni de quantité"))))</f>
        <v>erreur de calcul</v>
      </c>
      <c r="BI4234" s="19"/>
    </row>
    <row r="4235" customFormat="false" ht="15" hidden="false" customHeight="false" outlineLevel="0" collapsed="false">
      <c r="A4235" s="0" t="n">
        <v>21</v>
      </c>
      <c r="B4235" s="8" t="s">
        <v>24</v>
      </c>
      <c r="C4235" s="9" t="s">
        <v>25</v>
      </c>
      <c r="D4235" s="9" t="s">
        <v>26</v>
      </c>
      <c r="E4235" s="10" t="n">
        <v>1789</v>
      </c>
      <c r="F4235" s="9" t="s">
        <v>27</v>
      </c>
      <c r="G4235" s="9" t="s">
        <v>27</v>
      </c>
      <c r="H4235" s="11" t="n">
        <v>18</v>
      </c>
      <c r="I4235" s="11" t="s">
        <v>92</v>
      </c>
      <c r="J4235" s="14"/>
      <c r="K4235" s="14" t="n">
        <v>25</v>
      </c>
      <c r="L4235" s="16"/>
      <c r="M4235" s="27" t="n">
        <f aca="false">J4235+(K4235/20)+(L4235/240)</f>
        <v>1.25</v>
      </c>
      <c r="N4235" s="17" t="s">
        <v>81</v>
      </c>
      <c r="O4235" s="11"/>
      <c r="P4235" s="28"/>
      <c r="Q4235" s="28" t="n">
        <f aca="false">P4235*$M4235</f>
        <v>0</v>
      </c>
      <c r="R4235" s="28"/>
      <c r="S4235" s="28" t="n">
        <f aca="false">R4235*$M4235</f>
        <v>0</v>
      </c>
      <c r="T4235" s="28"/>
      <c r="U4235" s="28" t="n">
        <f aca="false">T4235*$M4235</f>
        <v>0</v>
      </c>
      <c r="V4235" s="28" t="n">
        <v>17192</v>
      </c>
      <c r="W4235" s="28" t="n">
        <v>21490</v>
      </c>
      <c r="X4235" s="29"/>
      <c r="Y4235" s="28" t="n">
        <f aca="false">X4235*$M4235</f>
        <v>0</v>
      </c>
      <c r="Z4235" s="28"/>
      <c r="AA4235" s="28" t="n">
        <f aca="false">Z4235*$M4235</f>
        <v>0</v>
      </c>
      <c r="AB4235" s="28"/>
      <c r="AC4235" s="28" t="n">
        <f aca="false">AB4235*$M4235</f>
        <v>0</v>
      </c>
      <c r="AD4235" s="28"/>
      <c r="AE4235" s="28" t="n">
        <f aca="false">AD4235*$M4235</f>
        <v>0</v>
      </c>
      <c r="AF4235" s="28"/>
      <c r="AG4235" s="28" t="n">
        <f aca="false">AF4235*$M4235</f>
        <v>0</v>
      </c>
      <c r="AH4235" s="28"/>
      <c r="AI4235" s="28" t="n">
        <f aca="false">AH4235*$M4235</f>
        <v>0</v>
      </c>
      <c r="AJ4235" s="28"/>
      <c r="AK4235" s="28" t="n">
        <f aca="false">AJ4235*$M4235</f>
        <v>0</v>
      </c>
      <c r="AL4235" s="28"/>
      <c r="AM4235" s="28" t="n">
        <f aca="false">AL4235*$M4235</f>
        <v>0</v>
      </c>
      <c r="AN4235" s="28"/>
      <c r="AO4235" s="28" t="n">
        <f aca="false">AN4235*$M4235</f>
        <v>0</v>
      </c>
      <c r="AP4235" s="28"/>
      <c r="AQ4235" s="28" t="n">
        <f aca="false">AP4235*$M4235</f>
        <v>0</v>
      </c>
      <c r="AR4235" s="28"/>
      <c r="AS4235" s="28" t="n">
        <f aca="false">AR4235*$M4235</f>
        <v>0</v>
      </c>
      <c r="AT4235" s="28"/>
      <c r="AU4235" s="28" t="n">
        <f aca="false">AT4235*$M4235</f>
        <v>0</v>
      </c>
      <c r="AV4235" s="28"/>
      <c r="AW4235" s="28" t="n">
        <f aca="false">AV4235*$M4235</f>
        <v>0</v>
      </c>
      <c r="AX4235" s="28"/>
      <c r="AY4235" s="28" t="n">
        <f aca="false">AX4235*$M4235</f>
        <v>0</v>
      </c>
      <c r="AZ4235" s="30" t="n">
        <v>17192</v>
      </c>
      <c r="BA4235" s="11" t="n">
        <v>21490</v>
      </c>
      <c r="BB4235" s="31" t="n">
        <f aca="false">SUM(Q4235,S4235,U4235,W4235,Y4235,AA4235,AC4235,AE4235,AG4235,AI4235,AK4235,AM4235,AO4235,AQ4235,AS4235,AU4235,AW4235,AY4235)</f>
        <v>21490</v>
      </c>
      <c r="BC4235" s="28" t="n">
        <f aca="false">BA4235-BB4235</f>
        <v>0</v>
      </c>
      <c r="BD4235" s="32" t="n">
        <f aca="false">SUM(P4235,R4235,T4235,V4235,X4235,Z4235,AB4235,AD4235,AF4235,AH4235,AJ4235,AL4235,AN4235,AP4235,AR4235,AT4235,AV4235,AX4235)</f>
        <v>17192</v>
      </c>
      <c r="BE4235" s="33" t="n">
        <f aca="false">AZ4235-BD4235</f>
        <v>0</v>
      </c>
      <c r="BF4235" s="34" t="n">
        <f aca="false">BD4235*M4235</f>
        <v>21490</v>
      </c>
      <c r="BG4235" s="35" t="n">
        <f aca="false">BA4235-BF4235</f>
        <v>0</v>
      </c>
      <c r="BH4235" s="19" t="str">
        <f aca="false">IF(BG4235=0,"",IF(BG4235&lt;&gt;BA4235,"erreur de calcul",IF(BD4235&lt;&gt;0,"pas de prix",IF(M4235&lt;&gt; 0,"pas de quantité","pas de prix, ni de quantité"))))</f>
        <v/>
      </c>
      <c r="BI4235" s="19"/>
    </row>
    <row r="4236" customFormat="false" ht="15" hidden="false" customHeight="false" outlineLevel="0" collapsed="false">
      <c r="A4236" s="0" t="n">
        <v>22</v>
      </c>
      <c r="B4236" s="8" t="s">
        <v>24</v>
      </c>
      <c r="C4236" s="9" t="s">
        <v>25</v>
      </c>
      <c r="D4236" s="9" t="s">
        <v>26</v>
      </c>
      <c r="E4236" s="10" t="n">
        <v>1789</v>
      </c>
      <c r="F4236" s="9" t="s">
        <v>27</v>
      </c>
      <c r="G4236" s="9" t="s">
        <v>27</v>
      </c>
      <c r="H4236" s="11" t="n">
        <v>18</v>
      </c>
      <c r="I4236" s="11" t="s">
        <v>93</v>
      </c>
      <c r="J4236" s="14" t="n">
        <v>4</v>
      </c>
      <c r="K4236" s="14"/>
      <c r="L4236" s="16"/>
      <c r="M4236" s="27" t="n">
        <f aca="false">J4236+(K4236/20)+(L4236/240)</f>
        <v>4</v>
      </c>
      <c r="N4236" s="17" t="s">
        <v>94</v>
      </c>
      <c r="O4236" s="11"/>
      <c r="P4236" s="28"/>
      <c r="Q4236" s="28" t="n">
        <f aca="false">P4236*$M4236</f>
        <v>0</v>
      </c>
      <c r="R4236" s="28"/>
      <c r="S4236" s="28" t="n">
        <f aca="false">R4236*$M4236</f>
        <v>0</v>
      </c>
      <c r="T4236" s="28"/>
      <c r="U4236" s="28" t="n">
        <f aca="false">T4236*$M4236</f>
        <v>0</v>
      </c>
      <c r="V4236" s="28"/>
      <c r="W4236" s="28" t="n">
        <f aca="false">V4236*$M4236</f>
        <v>0</v>
      </c>
      <c r="X4236" s="29"/>
      <c r="Y4236" s="28" t="n">
        <f aca="false">X4236*$M4236</f>
        <v>0</v>
      </c>
      <c r="Z4236" s="28"/>
      <c r="AA4236" s="28" t="n">
        <f aca="false">Z4236*$M4236</f>
        <v>0</v>
      </c>
      <c r="AB4236" s="28"/>
      <c r="AC4236" s="28" t="n">
        <f aca="false">AB4236*$M4236</f>
        <v>0</v>
      </c>
      <c r="AD4236" s="28" t="n">
        <v>900</v>
      </c>
      <c r="AE4236" s="28" t="n">
        <v>3600</v>
      </c>
      <c r="AF4236" s="28"/>
      <c r="AG4236" s="28" t="n">
        <f aca="false">AF4236*$M4236</f>
        <v>0</v>
      </c>
      <c r="AH4236" s="28"/>
      <c r="AI4236" s="28" t="n">
        <f aca="false">AH4236*$M4236</f>
        <v>0</v>
      </c>
      <c r="AJ4236" s="28"/>
      <c r="AK4236" s="28" t="n">
        <f aca="false">AJ4236*$M4236</f>
        <v>0</v>
      </c>
      <c r="AL4236" s="28"/>
      <c r="AM4236" s="28" t="n">
        <f aca="false">AL4236*$M4236</f>
        <v>0</v>
      </c>
      <c r="AN4236" s="28"/>
      <c r="AO4236" s="28" t="n">
        <f aca="false">AN4236*$M4236</f>
        <v>0</v>
      </c>
      <c r="AP4236" s="28" t="n">
        <v>36</v>
      </c>
      <c r="AQ4236" s="28" t="n">
        <v>144</v>
      </c>
      <c r="AR4236" s="28"/>
      <c r="AS4236" s="28" t="n">
        <f aca="false">AR4236*$M4236</f>
        <v>0</v>
      </c>
      <c r="AT4236" s="28"/>
      <c r="AU4236" s="28" t="n">
        <f aca="false">AT4236*$M4236</f>
        <v>0</v>
      </c>
      <c r="AV4236" s="28"/>
      <c r="AW4236" s="28" t="n">
        <f aca="false">AV4236*$M4236</f>
        <v>0</v>
      </c>
      <c r="AX4236" s="28"/>
      <c r="AY4236" s="28" t="n">
        <f aca="false">AX4236*$M4236</f>
        <v>0</v>
      </c>
      <c r="AZ4236" s="30" t="n">
        <v>936</v>
      </c>
      <c r="BA4236" s="11" t="n">
        <v>3744</v>
      </c>
      <c r="BB4236" s="31" t="n">
        <f aca="false">SUM(Q4236,S4236,U4236,W4236,Y4236,AA4236,AC4236,AE4236,AG4236,AI4236,AK4236,AM4236,AO4236,AQ4236,AS4236,AU4236,AW4236,AY4236)</f>
        <v>3744</v>
      </c>
      <c r="BC4236" s="28" t="n">
        <f aca="false">BA4236-BB4236</f>
        <v>0</v>
      </c>
      <c r="BD4236" s="32" t="n">
        <f aca="false">SUM(P4236,R4236,T4236,V4236,X4236,Z4236,AB4236,AD4236,AF4236,AH4236,AJ4236,AL4236,AN4236,AP4236,AR4236,AT4236,AV4236,AX4236)</f>
        <v>936</v>
      </c>
      <c r="BE4236" s="33" t="n">
        <f aca="false">AZ4236-BD4236</f>
        <v>0</v>
      </c>
      <c r="BF4236" s="34" t="n">
        <f aca="false">BD4236*M4236</f>
        <v>3744</v>
      </c>
      <c r="BG4236" s="35" t="n">
        <f aca="false">BA4236-BF4236</f>
        <v>0</v>
      </c>
      <c r="BH4236" s="19" t="str">
        <f aca="false">IF(BG4236=0,"",IF(BG4236&lt;&gt;BA4236,"erreur de calcul",IF(BD4236&lt;&gt;0,"pas de prix",IF(M4236&lt;&gt; 0,"pas de quantité","pas de prix, ni de quantité"))))</f>
        <v/>
      </c>
      <c r="BI4236" s="19"/>
    </row>
    <row r="4237" customFormat="false" ht="15" hidden="false" customHeight="false" outlineLevel="0" collapsed="false">
      <c r="A4237" s="0" t="n">
        <v>23</v>
      </c>
      <c r="B4237" s="8" t="s">
        <v>24</v>
      </c>
      <c r="C4237" s="9" t="s">
        <v>25</v>
      </c>
      <c r="D4237" s="9" t="s">
        <v>26</v>
      </c>
      <c r="E4237" s="10" t="n">
        <v>1789</v>
      </c>
      <c r="F4237" s="9" t="s">
        <v>27</v>
      </c>
      <c r="G4237" s="9" t="s">
        <v>27</v>
      </c>
      <c r="H4237" s="11" t="n">
        <v>18</v>
      </c>
      <c r="I4237" s="11" t="s">
        <v>95</v>
      </c>
      <c r="J4237" s="14" t="n">
        <v>40</v>
      </c>
      <c r="K4237" s="14"/>
      <c r="L4237" s="16"/>
      <c r="M4237" s="27" t="n">
        <f aca="false">J4237+(K4237/20)+(L4237/240)</f>
        <v>40</v>
      </c>
      <c r="N4237" s="17" t="s">
        <v>64</v>
      </c>
      <c r="O4237" s="11"/>
      <c r="P4237" s="28" t="n">
        <f aca="false">16000/100</f>
        <v>160</v>
      </c>
      <c r="Q4237" s="28" t="n">
        <v>6400</v>
      </c>
      <c r="R4237" s="28"/>
      <c r="S4237" s="28" t="n">
        <f aca="false">R4237*$M4237</f>
        <v>0</v>
      </c>
      <c r="T4237" s="28"/>
      <c r="U4237" s="28" t="n">
        <f aca="false">T4237*$M4237</f>
        <v>0</v>
      </c>
      <c r="V4237" s="28"/>
      <c r="W4237" s="28" t="n">
        <f aca="false">V4237*$M4237</f>
        <v>0</v>
      </c>
      <c r="X4237" s="29"/>
      <c r="Y4237" s="28" t="n">
        <f aca="false">X4237*$M4237</f>
        <v>0</v>
      </c>
      <c r="Z4237" s="28"/>
      <c r="AA4237" s="28" t="n">
        <f aca="false">Z4237*$M4237</f>
        <v>0</v>
      </c>
      <c r="AB4237" s="28"/>
      <c r="AC4237" s="28" t="n">
        <f aca="false">AB4237*$M4237</f>
        <v>0</v>
      </c>
      <c r="AD4237" s="28"/>
      <c r="AE4237" s="28" t="n">
        <f aca="false">AD4237*$M4237</f>
        <v>0</v>
      </c>
      <c r="AF4237" s="28"/>
      <c r="AG4237" s="28" t="n">
        <f aca="false">AF4237*$M4237</f>
        <v>0</v>
      </c>
      <c r="AH4237" s="28"/>
      <c r="AI4237" s="28" t="n">
        <f aca="false">AH4237*$M4237</f>
        <v>0</v>
      </c>
      <c r="AJ4237" s="28"/>
      <c r="AK4237" s="28" t="n">
        <f aca="false">AJ4237*$M4237</f>
        <v>0</v>
      </c>
      <c r="AL4237" s="28"/>
      <c r="AM4237" s="28" t="n">
        <f aca="false">AL4237*$M4237</f>
        <v>0</v>
      </c>
      <c r="AN4237" s="28"/>
      <c r="AO4237" s="28" t="n">
        <f aca="false">AN4237*$M4237</f>
        <v>0</v>
      </c>
      <c r="AP4237" s="28"/>
      <c r="AQ4237" s="28" t="n">
        <f aca="false">AP4237*$M4237</f>
        <v>0</v>
      </c>
      <c r="AR4237" s="28"/>
      <c r="AS4237" s="28" t="n">
        <f aca="false">AR4237*$M4237</f>
        <v>0</v>
      </c>
      <c r="AT4237" s="28"/>
      <c r="AU4237" s="28" t="n">
        <f aca="false">AT4237*$M4237</f>
        <v>0</v>
      </c>
      <c r="AV4237" s="28"/>
      <c r="AW4237" s="28" t="n">
        <f aca="false">AV4237*$M4237</f>
        <v>0</v>
      </c>
      <c r="AX4237" s="28"/>
      <c r="AY4237" s="28" t="n">
        <f aca="false">AX4237*$M4237</f>
        <v>0</v>
      </c>
      <c r="AZ4237" s="30" t="n">
        <f aca="false">16000/100</f>
        <v>160</v>
      </c>
      <c r="BA4237" s="11" t="n">
        <v>6400</v>
      </c>
      <c r="BB4237" s="31" t="n">
        <f aca="false">SUM(Q4237,S4237,U4237,W4237,Y4237,AA4237,AC4237,AE4237,AG4237,AI4237,AK4237,AM4237,AO4237,AQ4237,AS4237,AU4237,AW4237,AY4237)</f>
        <v>6400</v>
      </c>
      <c r="BC4237" s="28" t="n">
        <f aca="false">BA4237-BB4237</f>
        <v>0</v>
      </c>
      <c r="BD4237" s="32" t="n">
        <f aca="false">SUM(P4237,R4237,T4237,V4237,X4237,Z4237,AB4237,AD4237,AF4237,AH4237,AJ4237,AL4237,AN4237,AP4237,AR4237,AT4237,AV4237,AX4237)</f>
        <v>160</v>
      </c>
      <c r="BE4237" s="33" t="n">
        <f aca="false">AZ4237-BD4237</f>
        <v>0</v>
      </c>
      <c r="BF4237" s="34" t="n">
        <f aca="false">BD4237*M4237</f>
        <v>6400</v>
      </c>
      <c r="BG4237" s="35" t="n">
        <f aca="false">BA4237-BF4237</f>
        <v>0</v>
      </c>
      <c r="BH4237" s="19" t="str">
        <f aca="false">IF(BG4237=0,"",IF(BG4237&lt;&gt;BA4237,"erreur de calcul",IF(BD4237&lt;&gt;0,"pas de prix",IF(M4237&lt;&gt; 0,"pas de quantité","pas de prix, ni de quantité"))))</f>
        <v/>
      </c>
      <c r="BI4237" s="19"/>
    </row>
    <row r="4238" customFormat="false" ht="15" hidden="false" customHeight="false" outlineLevel="0" collapsed="false">
      <c r="A4238" s="0" t="n">
        <v>24</v>
      </c>
      <c r="B4238" s="8" t="s">
        <v>24</v>
      </c>
      <c r="C4238" s="9" t="s">
        <v>25</v>
      </c>
      <c r="D4238" s="9" t="s">
        <v>26</v>
      </c>
      <c r="E4238" s="10" t="n">
        <v>1789</v>
      </c>
      <c r="F4238" s="9" t="s">
        <v>27</v>
      </c>
      <c r="G4238" s="9" t="s">
        <v>27</v>
      </c>
      <c r="H4238" s="11" t="n">
        <v>18</v>
      </c>
      <c r="I4238" s="11" t="s">
        <v>96</v>
      </c>
      <c r="J4238" s="14" t="n">
        <v>25</v>
      </c>
      <c r="K4238" s="14"/>
      <c r="L4238" s="16"/>
      <c r="M4238" s="27" t="n">
        <f aca="false">J4238+(K4238/20)+(L4238/240)</f>
        <v>25</v>
      </c>
      <c r="N4238" s="17" t="s">
        <v>64</v>
      </c>
      <c r="O4238" s="11"/>
      <c r="P4238" s="28" t="n">
        <f aca="false">968306/100</f>
        <v>9683.06</v>
      </c>
      <c r="Q4238" s="28" t="n">
        <v>242076</v>
      </c>
      <c r="R4238" s="28"/>
      <c r="S4238" s="28" t="n">
        <f aca="false">R4238*$M4238</f>
        <v>0</v>
      </c>
      <c r="T4238" s="28"/>
      <c r="U4238" s="28" t="n">
        <f aca="false">T4238*$M4238</f>
        <v>0</v>
      </c>
      <c r="V4238" s="28" t="n">
        <f aca="false">39234/100</f>
        <v>392.34</v>
      </c>
      <c r="W4238" s="28" t="n">
        <v>9808</v>
      </c>
      <c r="X4238" s="29"/>
      <c r="Y4238" s="28" t="n">
        <v>3410</v>
      </c>
      <c r="Z4238" s="28"/>
      <c r="AA4238" s="28" t="n">
        <f aca="false">Z4238*$M4238</f>
        <v>0</v>
      </c>
      <c r="AB4238" s="28"/>
      <c r="AC4238" s="28" t="n">
        <f aca="false">AB4238*$M4238</f>
        <v>0</v>
      </c>
      <c r="AD4238" s="28"/>
      <c r="AE4238" s="28" t="n">
        <f aca="false">AD4238*$M4238</f>
        <v>0</v>
      </c>
      <c r="AF4238" s="28"/>
      <c r="AG4238" s="28" t="n">
        <f aca="false">AF4238*$M4238</f>
        <v>0</v>
      </c>
      <c r="AH4238" s="28"/>
      <c r="AI4238" s="28" t="n">
        <f aca="false">AH4238*$M4238</f>
        <v>0</v>
      </c>
      <c r="AJ4238" s="28" t="n">
        <f aca="false">2665/100</f>
        <v>26.65</v>
      </c>
      <c r="AK4238" s="28" t="n">
        <v>666</v>
      </c>
      <c r="AL4238" s="28"/>
      <c r="AM4238" s="28" t="n">
        <f aca="false">AL4238*$M4238</f>
        <v>0</v>
      </c>
      <c r="AN4238" s="28"/>
      <c r="AO4238" s="28" t="n">
        <f aca="false">AN4238*$M4238</f>
        <v>0</v>
      </c>
      <c r="AP4238" s="28"/>
      <c r="AQ4238" s="28" t="n">
        <f aca="false">AP4238*$M4238</f>
        <v>0</v>
      </c>
      <c r="AR4238" s="28"/>
      <c r="AS4238" s="28" t="n">
        <f aca="false">AR4238*$M4238</f>
        <v>0</v>
      </c>
      <c r="AT4238" s="28"/>
      <c r="AU4238" s="28" t="n">
        <f aca="false">AT4238*$M4238</f>
        <v>0</v>
      </c>
      <c r="AV4238" s="28"/>
      <c r="AW4238" s="28" t="n">
        <f aca="false">AV4238*$M4238</f>
        <v>0</v>
      </c>
      <c r="AX4238" s="28" t="n">
        <f aca="false">118115/100</f>
        <v>1181.15</v>
      </c>
      <c r="AY4238" s="28" t="n">
        <v>29529</v>
      </c>
      <c r="AZ4238" s="30" t="n">
        <f aca="false">1141960/100</f>
        <v>11419.6</v>
      </c>
      <c r="BA4238" s="11" t="n">
        <v>285489</v>
      </c>
      <c r="BB4238" s="31" t="n">
        <f aca="false">SUM(Q4238,S4238,U4238,W4238,Y4238,AA4238,AC4238,AE4238,AG4238,AI4238,AK4238,AM4238,AO4238,AQ4238,AS4238,AU4238,AW4238,AY4238)</f>
        <v>285489</v>
      </c>
      <c r="BC4238" s="28" t="n">
        <f aca="false">BA4238-BB4238</f>
        <v>0</v>
      </c>
      <c r="BD4238" s="32" t="n">
        <f aca="false">SUM(P4238,R4238,T4238,V4238,X4238,Z4238,AB4238,AD4238,AF4238,AH4238,AJ4238,AL4238,AN4238,AP4238,AR4238,AT4238,AV4238,AX4238)</f>
        <v>11283.2</v>
      </c>
      <c r="BE4238" s="33" t="n">
        <f aca="false">AZ4238-BD4238</f>
        <v>136.400000000001</v>
      </c>
      <c r="BF4238" s="34" t="n">
        <f aca="false">BD4238*M4238</f>
        <v>282080</v>
      </c>
      <c r="BG4238" s="35" t="n">
        <f aca="false">BA4238-BF4238</f>
        <v>3409</v>
      </c>
      <c r="BH4238" s="19" t="str">
        <f aca="false">IF(BG4238=0,"",IF(BG4238&lt;&gt;BA4238,"erreur de calcul",IF(BD4238&lt;&gt;0,"pas de prix",IF(M4238&lt;&gt; 0,"pas de quantité","pas de prix, ni de quantité"))))</f>
        <v>erreur de calcul</v>
      </c>
      <c r="BI4238" s="19"/>
    </row>
    <row r="4239" customFormat="false" ht="15" hidden="false" customHeight="false" outlineLevel="0" collapsed="false">
      <c r="A4239" s="0" t="n">
        <v>25</v>
      </c>
      <c r="B4239" s="8" t="s">
        <v>24</v>
      </c>
      <c r="C4239" s="9" t="s">
        <v>25</v>
      </c>
      <c r="D4239" s="9" t="s">
        <v>26</v>
      </c>
      <c r="E4239" s="10" t="n">
        <v>1789</v>
      </c>
      <c r="F4239" s="9" t="s">
        <v>27</v>
      </c>
      <c r="G4239" s="9" t="s">
        <v>27</v>
      </c>
      <c r="H4239" s="11" t="n">
        <v>18</v>
      </c>
      <c r="I4239" s="11" t="s">
        <v>97</v>
      </c>
      <c r="J4239" s="14" t="n">
        <v>30</v>
      </c>
      <c r="K4239" s="14"/>
      <c r="L4239" s="16"/>
      <c r="M4239" s="27" t="n">
        <f aca="false">J4239+(K4239/20)+(L4239/240)</f>
        <v>30</v>
      </c>
      <c r="N4239" s="17" t="s">
        <v>64</v>
      </c>
      <c r="O4239" s="11" t="s">
        <v>98</v>
      </c>
      <c r="P4239" s="28"/>
      <c r="Q4239" s="28" t="n">
        <f aca="false">P4239*$M4239</f>
        <v>0</v>
      </c>
      <c r="R4239" s="28"/>
      <c r="S4239" s="28" t="n">
        <f aca="false">R4239*$M4239</f>
        <v>0</v>
      </c>
      <c r="T4239" s="28"/>
      <c r="U4239" s="28" t="n">
        <f aca="false">T4239*$M4239</f>
        <v>0</v>
      </c>
      <c r="V4239" s="28"/>
      <c r="W4239" s="28" t="n">
        <f aca="false">V4239*$M4239</f>
        <v>0</v>
      </c>
      <c r="X4239" s="29"/>
      <c r="Y4239" s="28" t="n">
        <f aca="false">X4239*$M4239</f>
        <v>0</v>
      </c>
      <c r="Z4239" s="28"/>
      <c r="AA4239" s="28" t="n">
        <f aca="false">Z4239*$M4239</f>
        <v>0</v>
      </c>
      <c r="AB4239" s="28"/>
      <c r="AC4239" s="28" t="n">
        <f aca="false">AB4239*$M4239</f>
        <v>0</v>
      </c>
      <c r="AD4239" s="28"/>
      <c r="AE4239" s="28" t="n">
        <f aca="false">AD4239*$M4239</f>
        <v>0</v>
      </c>
      <c r="AF4239" s="28"/>
      <c r="AG4239" s="28" t="n">
        <f aca="false">AF4239*$M4239</f>
        <v>0</v>
      </c>
      <c r="AH4239" s="28"/>
      <c r="AI4239" s="28" t="n">
        <f aca="false">AH4239*$M4239</f>
        <v>0</v>
      </c>
      <c r="AJ4239" s="28"/>
      <c r="AK4239" s="28" t="n">
        <f aca="false">AJ4239*$M4239</f>
        <v>0</v>
      </c>
      <c r="AL4239" s="28"/>
      <c r="AM4239" s="28" t="n">
        <f aca="false">AL4239*$M4239</f>
        <v>0</v>
      </c>
      <c r="AN4239" s="28"/>
      <c r="AO4239" s="28" t="n">
        <f aca="false">AN4239*$M4239</f>
        <v>0</v>
      </c>
      <c r="AP4239" s="28"/>
      <c r="AQ4239" s="28" t="n">
        <f aca="false">AP4239*$M4239</f>
        <v>0</v>
      </c>
      <c r="AR4239" s="28"/>
      <c r="AS4239" s="28" t="n">
        <f aca="false">AR4239*$M4239</f>
        <v>0</v>
      </c>
      <c r="AT4239" s="28"/>
      <c r="AU4239" s="28" t="n">
        <f aca="false">AT4239*$M4239</f>
        <v>0</v>
      </c>
      <c r="AV4239" s="28"/>
      <c r="AW4239" s="28" t="n">
        <f aca="false">AV4239*$M4239</f>
        <v>0</v>
      </c>
      <c r="AX4239" s="28"/>
      <c r="AY4239" s="28" t="n">
        <f aca="false">AX4239*$M4239</f>
        <v>0</v>
      </c>
      <c r="AZ4239" s="30"/>
      <c r="BA4239" s="11"/>
      <c r="BB4239" s="31" t="n">
        <f aca="false">SUM(Q4239,S4239,U4239,W4239,Y4239,AA4239,AC4239,AE4239,AG4239,AI4239,AK4239,AM4239,AO4239,AQ4239,AS4239,AU4239,AW4239,AY4239)</f>
        <v>0</v>
      </c>
      <c r="BC4239" s="28" t="n">
        <f aca="false">BA4239-BB4239</f>
        <v>0</v>
      </c>
      <c r="BD4239" s="32" t="n">
        <f aca="false">SUM(P4239,R4239,T4239,V4239,X4239,Z4239,AB4239,AD4239,AF4239,AH4239,AJ4239,AL4239,AN4239,AP4239,AR4239,AT4239,AV4239,AX4239)</f>
        <v>0</v>
      </c>
      <c r="BE4239" s="33" t="n">
        <f aca="false">AZ4239-BD4239</f>
        <v>0</v>
      </c>
      <c r="BF4239" s="34" t="n">
        <f aca="false">BD4239*M4239</f>
        <v>0</v>
      </c>
      <c r="BG4239" s="35" t="n">
        <f aca="false">BA4239-BF4239</f>
        <v>0</v>
      </c>
      <c r="BH4239" s="19" t="str">
        <f aca="false">IF(BG4239=0,"",IF(BG4239&lt;&gt;BA4239,"erreur de calcul",IF(BD4239&lt;&gt;0,"pas de prix",IF(M4239&lt;&gt; 0,"pas de quantité","pas de prix, ni de quantité"))))</f>
        <v/>
      </c>
      <c r="BI4239" s="19"/>
    </row>
    <row r="4240" customFormat="false" ht="15" hidden="false" customHeight="false" outlineLevel="0" collapsed="false">
      <c r="A4240" s="0" t="n">
        <v>26</v>
      </c>
      <c r="B4240" s="8" t="s">
        <v>24</v>
      </c>
      <c r="C4240" s="9" t="s">
        <v>25</v>
      </c>
      <c r="D4240" s="9" t="s">
        <v>26</v>
      </c>
      <c r="E4240" s="10" t="n">
        <v>1789</v>
      </c>
      <c r="F4240" s="9" t="s">
        <v>27</v>
      </c>
      <c r="G4240" s="9" t="s">
        <v>27</v>
      </c>
      <c r="H4240" s="11" t="n">
        <v>18</v>
      </c>
      <c r="I4240" s="11" t="s">
        <v>99</v>
      </c>
      <c r="J4240" s="14" t="n">
        <v>12</v>
      </c>
      <c r="K4240" s="14"/>
      <c r="L4240" s="16"/>
      <c r="M4240" s="27" t="n">
        <f aca="false">J4240+(K4240/20)+(L4240/240)</f>
        <v>12</v>
      </c>
      <c r="N4240" s="17" t="s">
        <v>64</v>
      </c>
      <c r="O4240" s="11"/>
      <c r="P4240" s="28" t="n">
        <f aca="false">7077/100</f>
        <v>70.77</v>
      </c>
      <c r="Q4240" s="28" t="n">
        <v>849</v>
      </c>
      <c r="R4240" s="28"/>
      <c r="S4240" s="28" t="n">
        <f aca="false">R4240*$M4240</f>
        <v>0</v>
      </c>
      <c r="T4240" s="28"/>
      <c r="U4240" s="28" t="n">
        <f aca="false">T4240*$M4240</f>
        <v>0</v>
      </c>
      <c r="V4240" s="28"/>
      <c r="W4240" s="28" t="n">
        <f aca="false">V4240*$M4240</f>
        <v>0</v>
      </c>
      <c r="X4240" s="29"/>
      <c r="Y4240" s="28" t="n">
        <v>866</v>
      </c>
      <c r="Z4240" s="28"/>
      <c r="AA4240" s="28" t="n">
        <f aca="false">Z4240*$M4240</f>
        <v>0</v>
      </c>
      <c r="AB4240" s="28"/>
      <c r="AC4240" s="28" t="n">
        <f aca="false">AB4240*$M4240</f>
        <v>0</v>
      </c>
      <c r="AD4240" s="28"/>
      <c r="AE4240" s="28" t="n">
        <f aca="false">AD4240*$M4240</f>
        <v>0</v>
      </c>
      <c r="AF4240" s="28"/>
      <c r="AG4240" s="28" t="n">
        <f aca="false">AF4240*$M4240</f>
        <v>0</v>
      </c>
      <c r="AH4240" s="28"/>
      <c r="AI4240" s="28" t="n">
        <f aca="false">AH4240*$M4240</f>
        <v>0</v>
      </c>
      <c r="AJ4240" s="28"/>
      <c r="AK4240" s="28" t="n">
        <f aca="false">AJ4240*$M4240</f>
        <v>0</v>
      </c>
      <c r="AL4240" s="28"/>
      <c r="AM4240" s="28" t="n">
        <f aca="false">AL4240*$M4240</f>
        <v>0</v>
      </c>
      <c r="AN4240" s="28"/>
      <c r="AO4240" s="28" t="n">
        <f aca="false">AN4240*$M4240</f>
        <v>0</v>
      </c>
      <c r="AP4240" s="28"/>
      <c r="AQ4240" s="28" t="n">
        <f aca="false">AP4240*$M4240</f>
        <v>0</v>
      </c>
      <c r="AR4240" s="28"/>
      <c r="AS4240" s="28" t="n">
        <f aca="false">AR4240*$M4240</f>
        <v>0</v>
      </c>
      <c r="AT4240" s="28"/>
      <c r="AU4240" s="28" t="n">
        <f aca="false">AT4240*$M4240</f>
        <v>0</v>
      </c>
      <c r="AV4240" s="28"/>
      <c r="AW4240" s="28" t="n">
        <f aca="false">AV4240*$M4240</f>
        <v>0</v>
      </c>
      <c r="AX4240" s="28"/>
      <c r="AY4240" s="28" t="n">
        <f aca="false">AX4240*$M4240</f>
        <v>0</v>
      </c>
      <c r="AZ4240" s="30" t="n">
        <f aca="false">14294/100</f>
        <v>142.94</v>
      </c>
      <c r="BA4240" s="11" t="n">
        <v>1715</v>
      </c>
      <c r="BB4240" s="31" t="n">
        <f aca="false">SUM(Q4240,S4240,U4240,W4240,Y4240,AA4240,AC4240,AE4240,AG4240,AI4240,AK4240,AM4240,AO4240,AQ4240,AS4240,AU4240,AW4240,AY4240)</f>
        <v>1715</v>
      </c>
      <c r="BC4240" s="28" t="n">
        <f aca="false">BA4240-BB4240</f>
        <v>0</v>
      </c>
      <c r="BD4240" s="32" t="n">
        <f aca="false">SUM(P4240,R4240,T4240,V4240,X4240,Z4240,AB4240,AD4240,AF4240,AH4240,AJ4240,AL4240,AN4240,AP4240,AR4240,AT4240,AV4240,AX4240)</f>
        <v>70.77</v>
      </c>
      <c r="BE4240" s="33" t="n">
        <f aca="false">AZ4240-BD4240</f>
        <v>72.17</v>
      </c>
      <c r="BF4240" s="34" t="n">
        <f aca="false">BD4240*M4240</f>
        <v>849.24</v>
      </c>
      <c r="BG4240" s="35" t="n">
        <f aca="false">BA4240-BF4240</f>
        <v>865.76</v>
      </c>
      <c r="BH4240" s="19" t="str">
        <f aca="false">IF(BG4240=0,"",IF(BG4240&lt;&gt;BA4240,"erreur de calcul",IF(BD4240&lt;&gt;0,"pas de prix",IF(M4240&lt;&gt; 0,"pas de quantité","pas de prix, ni de quantité"))))</f>
        <v>erreur de calcul</v>
      </c>
      <c r="BI4240" s="19"/>
    </row>
    <row r="4241" customFormat="false" ht="15" hidden="false" customHeight="false" outlineLevel="0" collapsed="false">
      <c r="A4241" s="0" t="n">
        <v>27</v>
      </c>
      <c r="B4241" s="8" t="s">
        <v>24</v>
      </c>
      <c r="C4241" s="9" t="s">
        <v>25</v>
      </c>
      <c r="D4241" s="9" t="s">
        <v>26</v>
      </c>
      <c r="E4241" s="10" t="n">
        <v>1789</v>
      </c>
      <c r="F4241" s="9" t="s">
        <v>27</v>
      </c>
      <c r="G4241" s="9" t="s">
        <v>27</v>
      </c>
      <c r="H4241" s="11" t="n">
        <v>18</v>
      </c>
      <c r="I4241" s="11" t="s">
        <v>100</v>
      </c>
      <c r="J4241" s="14" t="n">
        <v>13</v>
      </c>
      <c r="K4241" s="14"/>
      <c r="L4241" s="16"/>
      <c r="M4241" s="27" t="n">
        <f aca="false">J4241+(K4241/20)+(L4241/240)</f>
        <v>13</v>
      </c>
      <c r="N4241" s="17" t="s">
        <v>64</v>
      </c>
      <c r="O4241" s="11"/>
      <c r="P4241" s="28"/>
      <c r="Q4241" s="28" t="n">
        <f aca="false">P4241*$M4241</f>
        <v>0</v>
      </c>
      <c r="R4241" s="28"/>
      <c r="S4241" s="28" t="n">
        <f aca="false">R4241*$M4241</f>
        <v>0</v>
      </c>
      <c r="T4241" s="28"/>
      <c r="U4241" s="28" t="n">
        <f aca="false">T4241*$M4241</f>
        <v>0</v>
      </c>
      <c r="V4241" s="28"/>
      <c r="W4241" s="28" t="n">
        <f aca="false">V4241*$M4241</f>
        <v>0</v>
      </c>
      <c r="X4241" s="29"/>
      <c r="Y4241" s="28" t="n">
        <f aca="false">X4241*$M4241</f>
        <v>0</v>
      </c>
      <c r="Z4241" s="28"/>
      <c r="AA4241" s="28" t="n">
        <f aca="false">Z4241*$M4241</f>
        <v>0</v>
      </c>
      <c r="AB4241" s="28"/>
      <c r="AC4241" s="28" t="n">
        <f aca="false">AB4241*$M4241</f>
        <v>0</v>
      </c>
      <c r="AD4241" s="28"/>
      <c r="AE4241" s="28" t="n">
        <f aca="false">AD4241*$M4241</f>
        <v>0</v>
      </c>
      <c r="AF4241" s="28"/>
      <c r="AG4241" s="28" t="n">
        <f aca="false">AF4241*$M4241</f>
        <v>0</v>
      </c>
      <c r="AH4241" s="28" t="n">
        <f aca="false">7819/100</f>
        <v>78.19</v>
      </c>
      <c r="AI4241" s="28" t="n">
        <v>1016</v>
      </c>
      <c r="AJ4241" s="28" t="n">
        <f aca="false">10382/100</f>
        <v>103.82</v>
      </c>
      <c r="AK4241" s="28" t="n">
        <v>1350</v>
      </c>
      <c r="AL4241" s="28"/>
      <c r="AM4241" s="28" t="n">
        <f aca="false">AL4241*$M4241</f>
        <v>0</v>
      </c>
      <c r="AN4241" s="28"/>
      <c r="AO4241" s="28" t="n">
        <f aca="false">AN4241*$M4241</f>
        <v>0</v>
      </c>
      <c r="AP4241" s="28"/>
      <c r="AQ4241" s="28" t="n">
        <f aca="false">AP4241*$M4241</f>
        <v>0</v>
      </c>
      <c r="AR4241" s="28"/>
      <c r="AS4241" s="28" t="n">
        <f aca="false">AR4241*$M4241</f>
        <v>0</v>
      </c>
      <c r="AT4241" s="28"/>
      <c r="AU4241" s="28" t="n">
        <f aca="false">AT4241*$M4241</f>
        <v>0</v>
      </c>
      <c r="AV4241" s="28"/>
      <c r="AW4241" s="28" t="n">
        <f aca="false">AV4241*$M4241</f>
        <v>0</v>
      </c>
      <c r="AX4241" s="28"/>
      <c r="AY4241" s="28" t="n">
        <f aca="false">AX4241*$M4241</f>
        <v>0</v>
      </c>
      <c r="AZ4241" s="30" t="n">
        <f aca="false">18201/100</f>
        <v>182.01</v>
      </c>
      <c r="BA4241" s="11" t="n">
        <v>2366</v>
      </c>
      <c r="BB4241" s="31" t="n">
        <f aca="false">SUM(Q4241,S4241,U4241,W4241,Y4241,AA4241,AC4241,AE4241,AG4241,AI4241,AK4241,AM4241,AO4241,AQ4241,AS4241,AU4241,AW4241,AY4241)</f>
        <v>2366</v>
      </c>
      <c r="BC4241" s="28" t="n">
        <f aca="false">BA4241-BB4241</f>
        <v>0</v>
      </c>
      <c r="BD4241" s="32" t="n">
        <f aca="false">SUM(P4241,R4241,T4241,V4241,X4241,Z4241,AB4241,AD4241,AF4241,AH4241,AJ4241,AL4241,AN4241,AP4241,AR4241,AT4241,AV4241,AX4241)</f>
        <v>182.01</v>
      </c>
      <c r="BE4241" s="33" t="n">
        <f aca="false">AZ4241-BD4241</f>
        <v>0</v>
      </c>
      <c r="BF4241" s="34" t="n">
        <f aca="false">BD4241*M4241</f>
        <v>2366.13</v>
      </c>
      <c r="BG4241" s="35" t="n">
        <f aca="false">BA4241-BF4241</f>
        <v>-0.130000000000109</v>
      </c>
      <c r="BH4241" s="19" t="str">
        <f aca="false">IF(BG4241=0,"",IF(BG4241&lt;&gt;BA4241,"erreur de calcul",IF(BD4241&lt;&gt;0,"pas de prix",IF(M4241&lt;&gt; 0,"pas de quantité","pas de prix, ni de quantité"))))</f>
        <v>erreur de calcul</v>
      </c>
      <c r="BI4241" s="19"/>
    </row>
    <row r="4242" customFormat="false" ht="15" hidden="false" customHeight="false" outlineLevel="0" collapsed="false">
      <c r="A4242" s="0" t="n">
        <v>28</v>
      </c>
      <c r="B4242" s="8" t="s">
        <v>24</v>
      </c>
      <c r="C4242" s="9" t="s">
        <v>25</v>
      </c>
      <c r="D4242" s="9" t="s">
        <v>26</v>
      </c>
      <c r="E4242" s="10" t="n">
        <v>1789</v>
      </c>
      <c r="F4242" s="9" t="s">
        <v>27</v>
      </c>
      <c r="G4242" s="9" t="s">
        <v>27</v>
      </c>
      <c r="H4242" s="11" t="n">
        <v>18</v>
      </c>
      <c r="I4242" s="11" t="s">
        <v>101</v>
      </c>
      <c r="J4242" s="14" t="n">
        <v>35</v>
      </c>
      <c r="K4242" s="14"/>
      <c r="L4242" s="16"/>
      <c r="M4242" s="27" t="n">
        <f aca="false">J4242+(K4242/20)+(L4242/240)</f>
        <v>35</v>
      </c>
      <c r="N4242" s="17" t="s">
        <v>64</v>
      </c>
      <c r="O4242" s="11"/>
      <c r="P4242" s="28"/>
      <c r="Q4242" s="28" t="n">
        <f aca="false">P4242*$M4242</f>
        <v>0</v>
      </c>
      <c r="R4242" s="28"/>
      <c r="S4242" s="28" t="n">
        <f aca="false">R4242*$M4242</f>
        <v>0</v>
      </c>
      <c r="T4242" s="28"/>
      <c r="U4242" s="28" t="n">
        <f aca="false">T4242*$M4242</f>
        <v>0</v>
      </c>
      <c r="V4242" s="28"/>
      <c r="W4242" s="28" t="n">
        <f aca="false">V4242*$M4242</f>
        <v>0</v>
      </c>
      <c r="X4242" s="29"/>
      <c r="Y4242" s="28" t="n">
        <f aca="false">X4242*$M4242</f>
        <v>0</v>
      </c>
      <c r="Z4242" s="28"/>
      <c r="AA4242" s="28" t="n">
        <f aca="false">Z4242*$M4242</f>
        <v>0</v>
      </c>
      <c r="AB4242" s="28"/>
      <c r="AC4242" s="28" t="n">
        <f aca="false">AB4242*$M4242</f>
        <v>0</v>
      </c>
      <c r="AD4242" s="28"/>
      <c r="AE4242" s="28" t="n">
        <f aca="false">AD4242*$M4242</f>
        <v>0</v>
      </c>
      <c r="AF4242" s="28"/>
      <c r="AG4242" s="28" t="n">
        <f aca="false">AF4242*$M4242</f>
        <v>0</v>
      </c>
      <c r="AH4242" s="28"/>
      <c r="AI4242" s="28" t="n">
        <f aca="false">AH4242*$M4242</f>
        <v>0</v>
      </c>
      <c r="AJ4242" s="28" t="n">
        <f aca="false">65277/100</f>
        <v>652.77</v>
      </c>
      <c r="AK4242" s="28" t="n">
        <v>22847</v>
      </c>
      <c r="AL4242" s="28"/>
      <c r="AM4242" s="28" t="n">
        <f aca="false">AL4242*$M4242</f>
        <v>0</v>
      </c>
      <c r="AN4242" s="28"/>
      <c r="AO4242" s="28" t="n">
        <f aca="false">AN4242*$M4242</f>
        <v>0</v>
      </c>
      <c r="AP4242" s="28"/>
      <c r="AQ4242" s="28" t="n">
        <f aca="false">AP4242*$M4242</f>
        <v>0</v>
      </c>
      <c r="AR4242" s="28"/>
      <c r="AS4242" s="28" t="n">
        <f aca="false">AR4242*$M4242</f>
        <v>0</v>
      </c>
      <c r="AT4242" s="28"/>
      <c r="AU4242" s="28" t="n">
        <f aca="false">AT4242*$M4242</f>
        <v>0</v>
      </c>
      <c r="AV4242" s="28"/>
      <c r="AW4242" s="28" t="n">
        <f aca="false">AV4242*$M4242</f>
        <v>0</v>
      </c>
      <c r="AX4242" s="28"/>
      <c r="AY4242" s="28" t="n">
        <f aca="false">AX4242*$M4242</f>
        <v>0</v>
      </c>
      <c r="AZ4242" s="30" t="n">
        <f aca="false">65277/100</f>
        <v>652.77</v>
      </c>
      <c r="BA4242" s="11" t="n">
        <v>22847</v>
      </c>
      <c r="BB4242" s="31" t="n">
        <f aca="false">SUM(Q4242,S4242,U4242,W4242,Y4242,AA4242,AC4242,AE4242,AG4242,AI4242,AK4242,AM4242,AO4242,AQ4242,AS4242,AU4242,AW4242,AY4242)</f>
        <v>22847</v>
      </c>
      <c r="BC4242" s="28" t="n">
        <f aca="false">BA4242-BB4242</f>
        <v>0</v>
      </c>
      <c r="BD4242" s="32" t="n">
        <f aca="false">SUM(P4242,R4242,T4242,V4242,X4242,Z4242,AB4242,AD4242,AF4242,AH4242,AJ4242,AL4242,AN4242,AP4242,AR4242,AT4242,AV4242,AX4242)</f>
        <v>652.77</v>
      </c>
      <c r="BE4242" s="33" t="n">
        <f aca="false">AZ4242-BD4242</f>
        <v>0</v>
      </c>
      <c r="BF4242" s="34" t="n">
        <f aca="false">BD4242*M4242</f>
        <v>22846.95</v>
      </c>
      <c r="BG4242" s="35" t="n">
        <f aca="false">BA4242-BF4242</f>
        <v>0.0499999999992724</v>
      </c>
      <c r="BH4242" s="19" t="str">
        <f aca="false">IF(BG4242=0,"",IF(BG4242&lt;&gt;BA4242,"erreur de calcul",IF(BD4242&lt;&gt;0,"pas de prix",IF(M4242&lt;&gt; 0,"pas de quantité","pas de prix, ni de quantité"))))</f>
        <v>erreur de calcul</v>
      </c>
      <c r="BI4242" s="19"/>
    </row>
    <row r="4243" customFormat="false" ht="16.65" hidden="false" customHeight="false" outlineLevel="0" collapsed="false">
      <c r="A4243" s="0" t="n">
        <v>29</v>
      </c>
      <c r="B4243" s="8" t="s">
        <v>24</v>
      </c>
      <c r="C4243" s="9" t="s">
        <v>25</v>
      </c>
      <c r="D4243" s="9" t="s">
        <v>26</v>
      </c>
      <c r="E4243" s="10" t="n">
        <v>1789</v>
      </c>
      <c r="F4243" s="9" t="s">
        <v>27</v>
      </c>
      <c r="G4243" s="9" t="s">
        <v>27</v>
      </c>
      <c r="H4243" s="11" t="n">
        <v>18</v>
      </c>
      <c r="I4243" s="11" t="s">
        <v>102</v>
      </c>
      <c r="J4243" s="14" t="n">
        <v>47</v>
      </c>
      <c r="K4243" s="14"/>
      <c r="L4243" s="16"/>
      <c r="M4243" s="27" t="n">
        <f aca="false">J4243+(K4243/20)+(L4243/240)</f>
        <v>47</v>
      </c>
      <c r="N4243" s="17" t="s">
        <v>64</v>
      </c>
      <c r="O4243" s="11"/>
      <c r="P4243" s="28" t="n">
        <f aca="false">8467/100</f>
        <v>84.67</v>
      </c>
      <c r="Q4243" s="28" t="n">
        <v>3979</v>
      </c>
      <c r="R4243" s="28"/>
      <c r="S4243" s="28" t="n">
        <f aca="false">R4243*$M4243</f>
        <v>0</v>
      </c>
      <c r="T4243" s="28"/>
      <c r="U4243" s="28" t="n">
        <f aca="false">T4243*$M4243</f>
        <v>0</v>
      </c>
      <c r="V4243" s="28"/>
      <c r="W4243" s="28" t="n">
        <f aca="false">V4243*$M4243</f>
        <v>0</v>
      </c>
      <c r="X4243" s="29"/>
      <c r="Y4243" s="28" t="n">
        <f aca="false">X4243*$M4243</f>
        <v>0</v>
      </c>
      <c r="Z4243" s="28"/>
      <c r="AA4243" s="28" t="n">
        <f aca="false">Z4243*$M4243</f>
        <v>0</v>
      </c>
      <c r="AB4243" s="28"/>
      <c r="AC4243" s="28" t="n">
        <f aca="false">AB4243*$M4243</f>
        <v>0</v>
      </c>
      <c r="AD4243" s="28"/>
      <c r="AE4243" s="28" t="n">
        <f aca="false">AD4243*$M4243</f>
        <v>0</v>
      </c>
      <c r="AF4243" s="28"/>
      <c r="AG4243" s="28" t="n">
        <f aca="false">AF4243*$M4243</f>
        <v>0</v>
      </c>
      <c r="AH4243" s="28"/>
      <c r="AI4243" s="28" t="n">
        <f aca="false">AH4243*$M4243</f>
        <v>0</v>
      </c>
      <c r="AJ4243" s="28"/>
      <c r="AK4243" s="28" t="n">
        <f aca="false">AJ4243*$M4243</f>
        <v>0</v>
      </c>
      <c r="AL4243" s="28"/>
      <c r="AM4243" s="28" t="n">
        <f aca="false">AL4243*$M4243</f>
        <v>0</v>
      </c>
      <c r="AN4243" s="28"/>
      <c r="AO4243" s="28" t="n">
        <f aca="false">AN4243*$M4243</f>
        <v>0</v>
      </c>
      <c r="AP4243" s="28"/>
      <c r="AQ4243" s="28" t="n">
        <f aca="false">AP4243*$M4243</f>
        <v>0</v>
      </c>
      <c r="AR4243" s="28"/>
      <c r="AS4243" s="28" t="n">
        <f aca="false">AR4243*$M4243</f>
        <v>0</v>
      </c>
      <c r="AT4243" s="28"/>
      <c r="AU4243" s="28" t="n">
        <f aca="false">AT4243*$M4243</f>
        <v>0</v>
      </c>
      <c r="AV4243" s="28"/>
      <c r="AW4243" s="28" t="n">
        <f aca="false">AV4243*$M4243</f>
        <v>0</v>
      </c>
      <c r="AX4243" s="28"/>
      <c r="AY4243" s="28" t="n">
        <f aca="false">AX4243*$M4243</f>
        <v>0</v>
      </c>
      <c r="AZ4243" s="30" t="n">
        <f aca="false">8467/100</f>
        <v>84.67</v>
      </c>
      <c r="BA4243" s="11" t="n">
        <v>3979</v>
      </c>
      <c r="BB4243" s="31" t="n">
        <f aca="false">SUM(Q4243,S4243,U4243,W4243,Y4243,AA4243,AC4243,AE4243,AG4243,AI4243,AK4243,AM4243,AO4243,AQ4243,AS4243,AU4243,AW4243,AY4243)</f>
        <v>3979</v>
      </c>
      <c r="BC4243" s="28" t="n">
        <f aca="false">BA4243-BB4243</f>
        <v>0</v>
      </c>
      <c r="BD4243" s="32" t="n">
        <f aca="false">SUM(P4243,R4243,T4243,V4243,X4243,Z4243,AB4243,AD4243,AF4243,AH4243,AJ4243,AL4243,AN4243,AP4243,AR4243,AT4243,AV4243,AX4243)</f>
        <v>84.67</v>
      </c>
      <c r="BE4243" s="33" t="n">
        <f aca="false">AZ4243-BD4243</f>
        <v>0</v>
      </c>
      <c r="BF4243" s="34" t="n">
        <f aca="false">BD4243*M4243</f>
        <v>3979.49</v>
      </c>
      <c r="BG4243" s="35" t="n">
        <f aca="false">BA4243-BF4243</f>
        <v>-0.490000000000237</v>
      </c>
      <c r="BH4243" s="19" t="str">
        <f aca="false">IF(BG4243=0,"",IF(BG4243&lt;&gt;BA4243,"erreur de calcul",IF(BD4243&lt;&gt;0,"pas de prix",IF(M4243&lt;&gt; 0,"pas de quantité","pas de prix, ni de quantité"))))</f>
        <v>erreur de calcul</v>
      </c>
      <c r="BI4243" s="19"/>
    </row>
    <row r="4244" customFormat="false" ht="15" hidden="false" customHeight="false" outlineLevel="0" collapsed="false">
      <c r="A4244" s="0" t="n">
        <v>30</v>
      </c>
      <c r="B4244" s="8" t="s">
        <v>24</v>
      </c>
      <c r="C4244" s="9" t="s">
        <v>25</v>
      </c>
      <c r="D4244" s="9" t="s">
        <v>26</v>
      </c>
      <c r="E4244" s="10" t="n">
        <v>1789</v>
      </c>
      <c r="F4244" s="9" t="s">
        <v>27</v>
      </c>
      <c r="G4244" s="9" t="s">
        <v>27</v>
      </c>
      <c r="H4244" s="11" t="n">
        <v>18</v>
      </c>
      <c r="I4244" s="11" t="s">
        <v>103</v>
      </c>
      <c r="J4244" s="14" t="n">
        <v>475</v>
      </c>
      <c r="K4244" s="14"/>
      <c r="L4244" s="16"/>
      <c r="M4244" s="27" t="n">
        <f aca="false">J4244+(K4244/20)+(L4244/240)</f>
        <v>475</v>
      </c>
      <c r="N4244" s="17" t="s">
        <v>64</v>
      </c>
      <c r="O4244" s="11"/>
      <c r="P4244" s="28"/>
      <c r="Q4244" s="28" t="n">
        <f aca="false">P4244*$M4244</f>
        <v>0</v>
      </c>
      <c r="R4244" s="28"/>
      <c r="S4244" s="28" t="n">
        <f aca="false">R4244*$M4244</f>
        <v>0</v>
      </c>
      <c r="T4244" s="28" t="n">
        <f aca="false">1746/100</f>
        <v>17.46</v>
      </c>
      <c r="U4244" s="28" t="n">
        <v>8293</v>
      </c>
      <c r="V4244" s="28"/>
      <c r="W4244" s="28" t="n">
        <f aca="false">V4244*$M4244</f>
        <v>0</v>
      </c>
      <c r="X4244" s="29"/>
      <c r="Y4244" s="28" t="n">
        <f aca="false">X4244*$M4244</f>
        <v>0</v>
      </c>
      <c r="Z4244" s="28"/>
      <c r="AA4244" s="28" t="n">
        <f aca="false">Z4244*$M4244</f>
        <v>0</v>
      </c>
      <c r="AB4244" s="28"/>
      <c r="AC4244" s="28" t="n">
        <f aca="false">AB4244*$M4244</f>
        <v>0</v>
      </c>
      <c r="AD4244" s="28"/>
      <c r="AE4244" s="28" t="n">
        <f aca="false">AD4244*$M4244</f>
        <v>0</v>
      </c>
      <c r="AF4244" s="28"/>
      <c r="AG4244" s="28" t="n">
        <f aca="false">AF4244*$M4244</f>
        <v>0</v>
      </c>
      <c r="AH4244" s="28" t="n">
        <f aca="false">1667/100</f>
        <v>16.67</v>
      </c>
      <c r="AI4244" s="28" t="n">
        <v>7918</v>
      </c>
      <c r="AJ4244" s="28"/>
      <c r="AK4244" s="28" t="n">
        <f aca="false">AJ4244*$M4244</f>
        <v>0</v>
      </c>
      <c r="AL4244" s="28"/>
      <c r="AM4244" s="28" t="n">
        <f aca="false">AL4244*$M4244</f>
        <v>0</v>
      </c>
      <c r="AN4244" s="28"/>
      <c r="AO4244" s="28" t="n">
        <f aca="false">AN4244*$M4244</f>
        <v>0</v>
      </c>
      <c r="AP4244" s="28"/>
      <c r="AQ4244" s="28" t="n">
        <f aca="false">AP4244*$M4244</f>
        <v>0</v>
      </c>
      <c r="AR4244" s="28"/>
      <c r="AS4244" s="28" t="n">
        <f aca="false">AR4244*$M4244</f>
        <v>0</v>
      </c>
      <c r="AT4244" s="28"/>
      <c r="AU4244" s="28" t="n">
        <f aca="false">AT4244*$M4244</f>
        <v>0</v>
      </c>
      <c r="AV4244" s="28"/>
      <c r="AW4244" s="28" t="n">
        <f aca="false">AV4244*$M4244</f>
        <v>0</v>
      </c>
      <c r="AX4244" s="28"/>
      <c r="AY4244" s="28" t="n">
        <f aca="false">AX4244*$M4244</f>
        <v>0</v>
      </c>
      <c r="AZ4244" s="30" t="n">
        <f aca="false">3413/100</f>
        <v>34.13</v>
      </c>
      <c r="BA4244" s="11" t="n">
        <v>16211</v>
      </c>
      <c r="BB4244" s="31" t="n">
        <f aca="false">SUM(Q4244,S4244,U4244,W4244,Y4244,AA4244,AC4244,AE4244,AG4244,AI4244,AK4244,AM4244,AO4244,AQ4244,AS4244,AU4244,AW4244,AY4244)</f>
        <v>16211</v>
      </c>
      <c r="BC4244" s="28" t="n">
        <f aca="false">BA4244-BB4244</f>
        <v>0</v>
      </c>
      <c r="BD4244" s="32" t="n">
        <f aca="false">SUM(P4244,R4244,T4244,V4244,X4244,Z4244,AB4244,AD4244,AF4244,AH4244,AJ4244,AL4244,AN4244,AP4244,AR4244,AT4244,AV4244,AX4244)</f>
        <v>34.13</v>
      </c>
      <c r="BE4244" s="33" t="n">
        <f aca="false">AZ4244-BD4244</f>
        <v>0</v>
      </c>
      <c r="BF4244" s="34" t="n">
        <f aca="false">BD4244*M4244</f>
        <v>16211.75</v>
      </c>
      <c r="BG4244" s="35" t="n">
        <f aca="false">BA4244-BF4244</f>
        <v>-0.750000000001819</v>
      </c>
      <c r="BH4244" s="19" t="str">
        <f aca="false">IF(BG4244=0,"",IF(BG4244&lt;&gt;BA4244,"erreur de calcul",IF(BD4244&lt;&gt;0,"pas de prix",IF(M4244&lt;&gt; 0,"pas de quantité","pas de prix, ni de quantité"))))</f>
        <v>erreur de calcul</v>
      </c>
      <c r="BI4244" s="19"/>
    </row>
    <row r="4245" customFormat="false" ht="15" hidden="false" customHeight="false" outlineLevel="0" collapsed="false">
      <c r="A4245" s="0" t="n">
        <v>31</v>
      </c>
      <c r="B4245" s="8" t="s">
        <v>24</v>
      </c>
      <c r="C4245" s="9" t="s">
        <v>25</v>
      </c>
      <c r="D4245" s="9" t="s">
        <v>26</v>
      </c>
      <c r="E4245" s="10" t="n">
        <v>1789</v>
      </c>
      <c r="F4245" s="9" t="s">
        <v>27</v>
      </c>
      <c r="G4245" s="9" t="s">
        <v>27</v>
      </c>
      <c r="H4245" s="11" t="n">
        <v>18</v>
      </c>
      <c r="I4245" s="11" t="s">
        <v>104</v>
      </c>
      <c r="J4245" s="14" t="n">
        <v>310</v>
      </c>
      <c r="K4245" s="14"/>
      <c r="L4245" s="16"/>
      <c r="M4245" s="27" t="n">
        <f aca="false">J4245+(K4245/20)+(L4245/240)</f>
        <v>310</v>
      </c>
      <c r="N4245" s="17" t="s">
        <v>64</v>
      </c>
      <c r="O4245" s="11"/>
      <c r="P4245" s="28"/>
      <c r="Q4245" s="28" t="n">
        <f aca="false">P4245*$M4245</f>
        <v>0</v>
      </c>
      <c r="R4245" s="28"/>
      <c r="S4245" s="28" t="n">
        <f aca="false">R4245*$M4245</f>
        <v>0</v>
      </c>
      <c r="T4245" s="28" t="n">
        <f aca="false">1087/100</f>
        <v>10.87</v>
      </c>
      <c r="U4245" s="28" t="n">
        <v>3370</v>
      </c>
      <c r="V4245" s="28" t="n">
        <f aca="false">285/100</f>
        <v>2.85</v>
      </c>
      <c r="W4245" s="28" t="n">
        <v>883</v>
      </c>
      <c r="X4245" s="29"/>
      <c r="Y4245" s="28" t="n">
        <f aca="false">X4245*$M4245</f>
        <v>0</v>
      </c>
      <c r="Z4245" s="28"/>
      <c r="AA4245" s="28" t="n">
        <f aca="false">Z4245*$M4245</f>
        <v>0</v>
      </c>
      <c r="AB4245" s="28"/>
      <c r="AC4245" s="28" t="n">
        <f aca="false">AB4245*$M4245</f>
        <v>0</v>
      </c>
      <c r="AD4245" s="28"/>
      <c r="AE4245" s="28" t="n">
        <f aca="false">AD4245*$M4245</f>
        <v>0</v>
      </c>
      <c r="AF4245" s="28"/>
      <c r="AG4245" s="28" t="n">
        <f aca="false">AF4245*$M4245</f>
        <v>0</v>
      </c>
      <c r="AH4245" s="28"/>
      <c r="AI4245" s="28" t="n">
        <f aca="false">AH4245*$M4245</f>
        <v>0</v>
      </c>
      <c r="AJ4245" s="28"/>
      <c r="AK4245" s="28" t="n">
        <f aca="false">AJ4245*$M4245</f>
        <v>0</v>
      </c>
      <c r="AL4245" s="28"/>
      <c r="AM4245" s="28" t="n">
        <f aca="false">AL4245*$M4245</f>
        <v>0</v>
      </c>
      <c r="AN4245" s="28"/>
      <c r="AO4245" s="28" t="n">
        <f aca="false">AN4245*$M4245</f>
        <v>0</v>
      </c>
      <c r="AP4245" s="28"/>
      <c r="AQ4245" s="28" t="n">
        <f aca="false">AP4245*$M4245</f>
        <v>0</v>
      </c>
      <c r="AR4245" s="28"/>
      <c r="AS4245" s="28" t="n">
        <f aca="false">AR4245*$M4245</f>
        <v>0</v>
      </c>
      <c r="AT4245" s="28"/>
      <c r="AU4245" s="28" t="n">
        <f aca="false">AT4245*$M4245</f>
        <v>0</v>
      </c>
      <c r="AV4245" s="28"/>
      <c r="AW4245" s="28" t="n">
        <f aca="false">AV4245*$M4245</f>
        <v>0</v>
      </c>
      <c r="AX4245" s="28"/>
      <c r="AY4245" s="28" t="n">
        <f aca="false">AX4245*$M4245</f>
        <v>0</v>
      </c>
      <c r="AZ4245" s="30" t="n">
        <f aca="false">1372/100</f>
        <v>13.72</v>
      </c>
      <c r="BA4245" s="11" t="n">
        <v>4253</v>
      </c>
      <c r="BB4245" s="31" t="n">
        <f aca="false">SUM(Q4245,S4245,U4245,W4245,Y4245,AA4245,AC4245,AE4245,AG4245,AI4245,AK4245,AM4245,AO4245,AQ4245,AS4245,AU4245,AW4245,AY4245)</f>
        <v>4253</v>
      </c>
      <c r="BC4245" s="28" t="n">
        <f aca="false">BA4245-BB4245</f>
        <v>0</v>
      </c>
      <c r="BD4245" s="32" t="n">
        <f aca="false">SUM(P4245,R4245,T4245,V4245,X4245,Z4245,AB4245,AD4245,AF4245,AH4245,AJ4245,AL4245,AN4245,AP4245,AR4245,AT4245,AV4245,AX4245)</f>
        <v>13.72</v>
      </c>
      <c r="BE4245" s="33" t="n">
        <f aca="false">AZ4245-BD4245</f>
        <v>0</v>
      </c>
      <c r="BF4245" s="34" t="n">
        <f aca="false">BD4245*M4245</f>
        <v>4253.2</v>
      </c>
      <c r="BG4245" s="35" t="n">
        <f aca="false">BA4245-BF4245</f>
        <v>-0.199999999999818</v>
      </c>
      <c r="BH4245" s="19" t="str">
        <f aca="false">IF(BG4245=0,"",IF(BG4245&lt;&gt;BA4245,"erreur de calcul",IF(BD4245&lt;&gt;0,"pas de prix",IF(M4245&lt;&gt; 0,"pas de quantité","pas de prix, ni de quantité"))))</f>
        <v>erreur de calcul</v>
      </c>
      <c r="BI4245" s="19"/>
    </row>
    <row r="4246" customFormat="false" ht="15" hidden="false" customHeight="false" outlineLevel="0" collapsed="false">
      <c r="A4246" s="0" t="n">
        <v>32</v>
      </c>
      <c r="B4246" s="8" t="s">
        <v>24</v>
      </c>
      <c r="C4246" s="9" t="s">
        <v>25</v>
      </c>
      <c r="D4246" s="9" t="s">
        <v>26</v>
      </c>
      <c r="E4246" s="10" t="n">
        <v>1789</v>
      </c>
      <c r="F4246" s="9" t="s">
        <v>27</v>
      </c>
      <c r="G4246" s="9" t="s">
        <v>27</v>
      </c>
      <c r="H4246" s="11" t="n">
        <v>18</v>
      </c>
      <c r="I4246" s="11" t="s">
        <v>105</v>
      </c>
      <c r="J4246" s="14" t="n">
        <v>570</v>
      </c>
      <c r="K4246" s="14"/>
      <c r="L4246" s="16"/>
      <c r="M4246" s="27" t="n">
        <f aca="false">J4246+(K4246/20)+(L4246/240)</f>
        <v>570</v>
      </c>
      <c r="N4246" s="17" t="s">
        <v>64</v>
      </c>
      <c r="O4246" s="11"/>
      <c r="P4246" s="28"/>
      <c r="Q4246" s="28" t="n">
        <f aca="false">P4246*$M4246</f>
        <v>0</v>
      </c>
      <c r="R4246" s="28"/>
      <c r="S4246" s="28" t="n">
        <f aca="false">R4246*$M4246</f>
        <v>0</v>
      </c>
      <c r="T4246" s="28" t="n">
        <f aca="false">7423/100</f>
        <v>74.23</v>
      </c>
      <c r="U4246" s="28" t="n">
        <v>42311</v>
      </c>
      <c r="V4246" s="28" t="n">
        <f aca="false">798/100</f>
        <v>7.98</v>
      </c>
      <c r="W4246" s="28" t="n">
        <v>4549</v>
      </c>
      <c r="X4246" s="29" t="n">
        <f aca="false">2068/100</f>
        <v>20.68</v>
      </c>
      <c r="Y4246" s="28" t="n">
        <v>8368</v>
      </c>
      <c r="Z4246" s="28"/>
      <c r="AA4246" s="28" t="n">
        <f aca="false">Z4246*$M4246</f>
        <v>0</v>
      </c>
      <c r="AB4246" s="28" t="n">
        <f aca="false">226/100</f>
        <v>2.26</v>
      </c>
      <c r="AC4246" s="28" t="n">
        <v>1288</v>
      </c>
      <c r="AD4246" s="28"/>
      <c r="AE4246" s="28" t="n">
        <f aca="false">AD4246*$M4246</f>
        <v>0</v>
      </c>
      <c r="AF4246" s="28"/>
      <c r="AG4246" s="28" t="n">
        <f aca="false">AF4246*$M4246</f>
        <v>0</v>
      </c>
      <c r="AH4246" s="28"/>
      <c r="AI4246" s="28" t="n">
        <f aca="false">AH4246*$M4246</f>
        <v>0</v>
      </c>
      <c r="AJ4246" s="28"/>
      <c r="AK4246" s="28" t="n">
        <f aca="false">AJ4246*$M4246</f>
        <v>0</v>
      </c>
      <c r="AL4246" s="28"/>
      <c r="AM4246" s="28" t="n">
        <f aca="false">AL4246*$M4246</f>
        <v>0</v>
      </c>
      <c r="AN4246" s="28"/>
      <c r="AO4246" s="28" t="n">
        <f aca="false">AN4246*$M4246</f>
        <v>0</v>
      </c>
      <c r="AP4246" s="28"/>
      <c r="AQ4246" s="28" t="n">
        <f aca="false">AP4246*$M4246</f>
        <v>0</v>
      </c>
      <c r="AR4246" s="28"/>
      <c r="AS4246" s="28" t="n">
        <f aca="false">AR4246*$M4246</f>
        <v>0</v>
      </c>
      <c r="AT4246" s="28"/>
      <c r="AU4246" s="28" t="n">
        <f aca="false">AT4246*$M4246</f>
        <v>0</v>
      </c>
      <c r="AV4246" s="28"/>
      <c r="AW4246" s="28" t="n">
        <f aca="false">AV4246*$M4246</f>
        <v>0</v>
      </c>
      <c r="AX4246" s="28"/>
      <c r="AY4246" s="28" t="n">
        <f aca="false">AX4246*$M4246</f>
        <v>0</v>
      </c>
      <c r="AZ4246" s="30" t="n">
        <f aca="false">10515/100</f>
        <v>105.15</v>
      </c>
      <c r="BA4246" s="11" t="n">
        <v>56516</v>
      </c>
      <c r="BB4246" s="31" t="n">
        <f aca="false">SUM(Q4246,S4246,U4246,W4246,Y4246,AA4246,AC4246,AE4246,AG4246,AI4246,AK4246,AM4246,AO4246,AQ4246,AS4246,AU4246,AW4246,AY4246)</f>
        <v>56516</v>
      </c>
      <c r="BC4246" s="28" t="n">
        <f aca="false">BA4246-BB4246</f>
        <v>0</v>
      </c>
      <c r="BD4246" s="32" t="n">
        <f aca="false">SUM(P4246,R4246,T4246,V4246,X4246,Z4246,AB4246,AD4246,AF4246,AH4246,AJ4246,AL4246,AN4246,AP4246,AR4246,AT4246,AV4246,AX4246)</f>
        <v>105.15</v>
      </c>
      <c r="BE4246" s="33" t="n">
        <f aca="false">AZ4246-BD4246</f>
        <v>0</v>
      </c>
      <c r="BF4246" s="34" t="n">
        <f aca="false">BD4246*M4246</f>
        <v>59935.5</v>
      </c>
      <c r="BG4246" s="35" t="n">
        <f aca="false">BA4246-BF4246</f>
        <v>-3419.5</v>
      </c>
      <c r="BH4246" s="19" t="str">
        <f aca="false">IF(BG4246=0,"",IF(BG4246&lt;&gt;BA4246,"erreur de calcul",IF(BD4246&lt;&gt;0,"pas de prix",IF(M4246&lt;&gt; 0,"pas de quantité","pas de prix, ni de quantité"))))</f>
        <v>erreur de calcul</v>
      </c>
      <c r="BI4246" s="19"/>
    </row>
    <row r="4247" customFormat="false" ht="15" hidden="false" customHeight="false" outlineLevel="0" collapsed="false">
      <c r="A4247" s="0" t="n">
        <v>33</v>
      </c>
      <c r="B4247" s="8" t="s">
        <v>24</v>
      </c>
      <c r="C4247" s="9" t="s">
        <v>25</v>
      </c>
      <c r="D4247" s="9" t="s">
        <v>26</v>
      </c>
      <c r="E4247" s="10" t="n">
        <v>1789</v>
      </c>
      <c r="F4247" s="9" t="s">
        <v>27</v>
      </c>
      <c r="G4247" s="9" t="s">
        <v>27</v>
      </c>
      <c r="H4247" s="11" t="n">
        <v>18</v>
      </c>
      <c r="I4247" s="11" t="s">
        <v>106</v>
      </c>
      <c r="J4247" s="14"/>
      <c r="K4247" s="14" t="n">
        <v>40</v>
      </c>
      <c r="L4247" s="16"/>
      <c r="M4247" s="27" t="n">
        <f aca="false">J4247+(K4247/20)+(L4247/240)</f>
        <v>2</v>
      </c>
      <c r="N4247" s="17" t="s">
        <v>66</v>
      </c>
      <c r="O4247" s="11"/>
      <c r="P4247" s="28"/>
      <c r="Q4247" s="28" t="n">
        <f aca="false">P4247*$M4247</f>
        <v>0</v>
      </c>
      <c r="R4247" s="28"/>
      <c r="S4247" s="28" t="n">
        <f aca="false">R4247*$M4247</f>
        <v>0</v>
      </c>
      <c r="T4247" s="28"/>
      <c r="U4247" s="28" t="n">
        <f aca="false">T4247*$M4247</f>
        <v>0</v>
      </c>
      <c r="V4247" s="28" t="n">
        <v>892</v>
      </c>
      <c r="W4247" s="28" t="n">
        <v>1784</v>
      </c>
      <c r="X4247" s="29"/>
      <c r="Y4247" s="28" t="n">
        <f aca="false">X4247*$M4247</f>
        <v>0</v>
      </c>
      <c r="Z4247" s="28"/>
      <c r="AA4247" s="28" t="n">
        <f aca="false">Z4247*$M4247</f>
        <v>0</v>
      </c>
      <c r="AB4247" s="28"/>
      <c r="AC4247" s="28" t="n">
        <f aca="false">AB4247*$M4247</f>
        <v>0</v>
      </c>
      <c r="AD4247" s="28"/>
      <c r="AE4247" s="28" t="n">
        <f aca="false">AD4247*$M4247</f>
        <v>0</v>
      </c>
      <c r="AF4247" s="28"/>
      <c r="AG4247" s="28" t="n">
        <f aca="false">AF4247*$M4247</f>
        <v>0</v>
      </c>
      <c r="AH4247" s="28" t="n">
        <v>1961</v>
      </c>
      <c r="AI4247" s="28" t="n">
        <v>3922</v>
      </c>
      <c r="AJ4247" s="28"/>
      <c r="AK4247" s="28" t="n">
        <f aca="false">AJ4247*$M4247</f>
        <v>0</v>
      </c>
      <c r="AL4247" s="28"/>
      <c r="AM4247" s="28" t="n">
        <f aca="false">AL4247*$M4247</f>
        <v>0</v>
      </c>
      <c r="AN4247" s="28"/>
      <c r="AO4247" s="28" t="n">
        <f aca="false">AN4247*$M4247</f>
        <v>0</v>
      </c>
      <c r="AP4247" s="28"/>
      <c r="AQ4247" s="28" t="n">
        <f aca="false">AP4247*$M4247</f>
        <v>0</v>
      </c>
      <c r="AR4247" s="28"/>
      <c r="AS4247" s="28" t="n">
        <f aca="false">AR4247*$M4247</f>
        <v>0</v>
      </c>
      <c r="AT4247" s="28"/>
      <c r="AU4247" s="28" t="n">
        <f aca="false">AT4247*$M4247</f>
        <v>0</v>
      </c>
      <c r="AV4247" s="28"/>
      <c r="AW4247" s="28" t="n">
        <f aca="false">AV4247*$M4247</f>
        <v>0</v>
      </c>
      <c r="AX4247" s="28"/>
      <c r="AY4247" s="28" t="n">
        <f aca="false">AX4247*$M4247</f>
        <v>0</v>
      </c>
      <c r="AZ4247" s="30" t="n">
        <v>2853</v>
      </c>
      <c r="BA4247" s="11" t="n">
        <v>5706</v>
      </c>
      <c r="BB4247" s="31" t="n">
        <f aca="false">SUM(Q4247,S4247,U4247,W4247,Y4247,AA4247,AC4247,AE4247,AG4247,AI4247,AK4247,AM4247,AO4247,AQ4247,AS4247,AU4247,AW4247,AY4247)</f>
        <v>5706</v>
      </c>
      <c r="BC4247" s="28" t="n">
        <f aca="false">BA4247-BB4247</f>
        <v>0</v>
      </c>
      <c r="BD4247" s="32" t="n">
        <f aca="false">SUM(P4247,R4247,T4247,V4247,X4247,Z4247,AB4247,AD4247,AF4247,AH4247,AJ4247,AL4247,AN4247,AP4247,AR4247,AT4247,AV4247,AX4247)</f>
        <v>2853</v>
      </c>
      <c r="BE4247" s="33" t="n">
        <f aca="false">AZ4247-BD4247</f>
        <v>0</v>
      </c>
      <c r="BF4247" s="34" t="n">
        <f aca="false">BD4247*M4247</f>
        <v>5706</v>
      </c>
      <c r="BG4247" s="35" t="n">
        <f aca="false">BA4247-BF4247</f>
        <v>0</v>
      </c>
      <c r="BH4247" s="19" t="str">
        <f aca="false">IF(BG4247=0,"",IF(BG4247&lt;&gt;BA4247,"erreur de calcul",IF(BD4247&lt;&gt;0,"pas de prix",IF(M4247&lt;&gt; 0,"pas de quantité","pas de prix, ni de quantité"))))</f>
        <v/>
      </c>
      <c r="BI4247" s="19"/>
    </row>
    <row r="4248" customFormat="false" ht="15" hidden="false" customHeight="false" outlineLevel="0" collapsed="false">
      <c r="A4248" s="0" t="n">
        <v>34</v>
      </c>
      <c r="B4248" s="8" t="s">
        <v>24</v>
      </c>
      <c r="C4248" s="9" t="s">
        <v>25</v>
      </c>
      <c r="D4248" s="9" t="s">
        <v>26</v>
      </c>
      <c r="E4248" s="10" t="n">
        <v>1789</v>
      </c>
      <c r="F4248" s="9" t="s">
        <v>27</v>
      </c>
      <c r="G4248" s="9" t="s">
        <v>27</v>
      </c>
      <c r="H4248" s="11" t="n">
        <v>18</v>
      </c>
      <c r="I4248" s="11" t="s">
        <v>107</v>
      </c>
      <c r="J4248" s="14" t="n">
        <v>180</v>
      </c>
      <c r="K4248" s="14"/>
      <c r="L4248" s="16"/>
      <c r="M4248" s="27" t="n">
        <f aca="false">J4248+(K4248/20)+(L4248/240)</f>
        <v>180</v>
      </c>
      <c r="N4248" s="17" t="s">
        <v>64</v>
      </c>
      <c r="O4248" s="11"/>
      <c r="P4248" s="28"/>
      <c r="Q4248" s="28" t="n">
        <f aca="false">P4248*$M4248</f>
        <v>0</v>
      </c>
      <c r="R4248" s="28"/>
      <c r="S4248" s="28" t="n">
        <f aca="false">R4248*$M4248</f>
        <v>0</v>
      </c>
      <c r="T4248" s="28"/>
      <c r="U4248" s="28" t="n">
        <f aca="false">T4248*$M4248</f>
        <v>0</v>
      </c>
      <c r="V4248" s="28"/>
      <c r="W4248" s="28" t="n">
        <f aca="false">V4248*$M4248</f>
        <v>0</v>
      </c>
      <c r="X4248" s="29"/>
      <c r="Y4248" s="28" t="n">
        <f aca="false">X4248*$M4248</f>
        <v>0</v>
      </c>
      <c r="Z4248" s="28"/>
      <c r="AA4248" s="28" t="n">
        <f aca="false">Z4248*$M4248</f>
        <v>0</v>
      </c>
      <c r="AB4248" s="28"/>
      <c r="AC4248" s="28" t="n">
        <f aca="false">AB4248*$M4248</f>
        <v>0</v>
      </c>
      <c r="AD4248" s="28"/>
      <c r="AE4248" s="28" t="n">
        <f aca="false">AD4248*$M4248</f>
        <v>0</v>
      </c>
      <c r="AF4248" s="28"/>
      <c r="AG4248" s="28" t="n">
        <f aca="false">AF4248*$M4248</f>
        <v>0</v>
      </c>
      <c r="AH4248" s="28" t="n">
        <f aca="false">28680/100</f>
        <v>286.8</v>
      </c>
      <c r="AI4248" s="28" t="n">
        <v>51624</v>
      </c>
      <c r="AJ4248" s="28"/>
      <c r="AK4248" s="28" t="n">
        <f aca="false">AJ4248*$M4248</f>
        <v>0</v>
      </c>
      <c r="AL4248" s="28"/>
      <c r="AM4248" s="28" t="n">
        <f aca="false">AL4248*$M4248</f>
        <v>0</v>
      </c>
      <c r="AN4248" s="28"/>
      <c r="AO4248" s="28" t="n">
        <f aca="false">AN4248*$M4248</f>
        <v>0</v>
      </c>
      <c r="AP4248" s="28"/>
      <c r="AQ4248" s="28" t="n">
        <f aca="false">AP4248*$M4248</f>
        <v>0</v>
      </c>
      <c r="AR4248" s="28"/>
      <c r="AS4248" s="28" t="n">
        <f aca="false">AR4248*$M4248</f>
        <v>0</v>
      </c>
      <c r="AT4248" s="28"/>
      <c r="AU4248" s="28" t="n">
        <f aca="false">AT4248*$M4248</f>
        <v>0</v>
      </c>
      <c r="AV4248" s="28"/>
      <c r="AW4248" s="28" t="n">
        <f aca="false">AV4248*$M4248</f>
        <v>0</v>
      </c>
      <c r="AX4248" s="28"/>
      <c r="AY4248" s="28" t="n">
        <f aca="false">AX4248*$M4248</f>
        <v>0</v>
      </c>
      <c r="AZ4248" s="30" t="n">
        <f aca="false">28680/100</f>
        <v>286.8</v>
      </c>
      <c r="BA4248" s="11" t="n">
        <v>51624</v>
      </c>
      <c r="BB4248" s="31" t="n">
        <f aca="false">SUM(Q4248,S4248,U4248,W4248,Y4248,AA4248,AC4248,AE4248,AG4248,AI4248,AK4248,AM4248,AO4248,AQ4248,AS4248,AU4248,AW4248,AY4248)</f>
        <v>51624</v>
      </c>
      <c r="BC4248" s="28" t="n">
        <f aca="false">BA4248-BB4248</f>
        <v>0</v>
      </c>
      <c r="BD4248" s="32" t="n">
        <f aca="false">SUM(P4248,R4248,T4248,V4248,X4248,Z4248,AB4248,AD4248,AF4248,AH4248,AJ4248,AL4248,AN4248,AP4248,AR4248,AT4248,AV4248,AX4248)</f>
        <v>286.8</v>
      </c>
      <c r="BE4248" s="33" t="n">
        <f aca="false">AZ4248-BD4248</f>
        <v>0</v>
      </c>
      <c r="BF4248" s="34" t="n">
        <f aca="false">BD4248*M4248</f>
        <v>51624</v>
      </c>
      <c r="BG4248" s="35" t="n">
        <f aca="false">BA4248-BF4248</f>
        <v>0</v>
      </c>
      <c r="BH4248" s="19" t="str">
        <f aca="false">IF(BG4248=0,"",IF(BG4248&lt;&gt;BA4248,"erreur de calcul",IF(BD4248&lt;&gt;0,"pas de prix",IF(M4248&lt;&gt; 0,"pas de quantité","pas de prix, ni de quantité"))))</f>
        <v/>
      </c>
      <c r="BI4248" s="19"/>
    </row>
    <row r="4249" customFormat="false" ht="15" hidden="false" customHeight="false" outlineLevel="0" collapsed="false">
      <c r="A4249" s="0" t="n">
        <v>35</v>
      </c>
      <c r="B4249" s="8" t="s">
        <v>24</v>
      </c>
      <c r="C4249" s="9" t="s">
        <v>25</v>
      </c>
      <c r="D4249" s="9" t="s">
        <v>26</v>
      </c>
      <c r="E4249" s="10" t="n">
        <v>1789</v>
      </c>
      <c r="F4249" s="9" t="s">
        <v>27</v>
      </c>
      <c r="G4249" s="9" t="s">
        <v>27</v>
      </c>
      <c r="H4249" s="11" t="n">
        <v>18</v>
      </c>
      <c r="I4249" s="11" t="s">
        <v>108</v>
      </c>
      <c r="J4249" s="14" t="n">
        <v>11</v>
      </c>
      <c r="K4249" s="14"/>
      <c r="L4249" s="16"/>
      <c r="M4249" s="27" t="n">
        <f aca="false">J4249+(K4249/20)+(L4249/240)</f>
        <v>11</v>
      </c>
      <c r="N4249" s="17" t="s">
        <v>64</v>
      </c>
      <c r="O4249" s="11" t="s">
        <v>109</v>
      </c>
      <c r="P4249" s="28"/>
      <c r="Q4249" s="28" t="n">
        <f aca="false">P4249*$M4249</f>
        <v>0</v>
      </c>
      <c r="R4249" s="28"/>
      <c r="S4249" s="28" t="n">
        <f aca="false">R4249*$M4249</f>
        <v>0</v>
      </c>
      <c r="T4249" s="28"/>
      <c r="U4249" s="28" t="n">
        <f aca="false">T4249*$M4249</f>
        <v>0</v>
      </c>
      <c r="V4249" s="28"/>
      <c r="W4249" s="28" t="n">
        <f aca="false">V4249*$M4249</f>
        <v>0</v>
      </c>
      <c r="X4249" s="29"/>
      <c r="Y4249" s="28" t="n">
        <f aca="false">X4249*$M4249</f>
        <v>0</v>
      </c>
      <c r="Z4249" s="28"/>
      <c r="AA4249" s="28" t="n">
        <f aca="false">Z4249*$M4249</f>
        <v>0</v>
      </c>
      <c r="AB4249" s="28"/>
      <c r="AC4249" s="28" t="n">
        <f aca="false">AB4249*$M4249</f>
        <v>0</v>
      </c>
      <c r="AD4249" s="28"/>
      <c r="AE4249" s="28" t="n">
        <f aca="false">AD4249*$M4249</f>
        <v>0</v>
      </c>
      <c r="AF4249" s="28"/>
      <c r="AG4249" s="28" t="n">
        <f aca="false">AF4249*$M4249</f>
        <v>0</v>
      </c>
      <c r="AH4249" s="28"/>
      <c r="AI4249" s="28" t="n">
        <f aca="false">AH4249*$M4249</f>
        <v>0</v>
      </c>
      <c r="AJ4249" s="28" t="n">
        <f aca="false">1784/100</f>
        <v>17.84</v>
      </c>
      <c r="AK4249" s="28" t="n">
        <v>196</v>
      </c>
      <c r="AL4249" s="28" t="n">
        <f aca="false">7942/100</f>
        <v>79.42</v>
      </c>
      <c r="AM4249" s="28" t="n">
        <v>874</v>
      </c>
      <c r="AN4249" s="28"/>
      <c r="AO4249" s="28" t="n">
        <f aca="false">AN4249*$M4249</f>
        <v>0</v>
      </c>
      <c r="AP4249" s="28" t="n">
        <f aca="false">13980/100</f>
        <v>139.8</v>
      </c>
      <c r="AQ4249" s="28" t="n">
        <v>1538</v>
      </c>
      <c r="AR4249" s="28" t="n">
        <f aca="false">96390/100</f>
        <v>963.9</v>
      </c>
      <c r="AS4249" s="28" t="n">
        <v>10603</v>
      </c>
      <c r="AT4249" s="28"/>
      <c r="AU4249" s="28" t="n">
        <f aca="false">AT4249*$M4249</f>
        <v>0</v>
      </c>
      <c r="AV4249" s="28"/>
      <c r="AW4249" s="28" t="n">
        <f aca="false">AV4249*$M4249</f>
        <v>0</v>
      </c>
      <c r="AX4249" s="28"/>
      <c r="AY4249" s="28" t="n">
        <f aca="false">AX4249*$M4249</f>
        <v>0</v>
      </c>
      <c r="AZ4249" s="30" t="n">
        <f aca="false">120096/100</f>
        <v>1200.96</v>
      </c>
      <c r="BA4249" s="11" t="n">
        <v>13211</v>
      </c>
      <c r="BB4249" s="31" t="n">
        <f aca="false">SUM(Q4249,S4249,U4249,W4249,Y4249,AA4249,AC4249,AE4249,AG4249,AI4249,AK4249,AM4249,AO4249,AQ4249,AS4249,AU4249,AW4249,AY4249)</f>
        <v>13211</v>
      </c>
      <c r="BC4249" s="28" t="n">
        <f aca="false">BA4249-BB4249</f>
        <v>0</v>
      </c>
      <c r="BD4249" s="32" t="n">
        <f aca="false">SUM(P4249,R4249,T4249,V4249,X4249,Z4249,AB4249,AD4249,AF4249,AH4249,AJ4249,AL4249,AN4249,AP4249,AR4249,AT4249,AV4249,AX4249)</f>
        <v>1200.96</v>
      </c>
      <c r="BE4249" s="33" t="n">
        <f aca="false">AZ4249-BD4249</f>
        <v>0</v>
      </c>
      <c r="BF4249" s="34" t="n">
        <f aca="false">BD4249*M4249</f>
        <v>13210.56</v>
      </c>
      <c r="BG4249" s="35" t="n">
        <f aca="false">BA4249-BF4249</f>
        <v>0.43999999999869</v>
      </c>
      <c r="BH4249" s="19" t="str">
        <f aca="false">IF(BG4249=0,"",IF(BG4249&lt;&gt;BA4249,"erreur de calcul",IF(BD4249&lt;&gt;0,"pas de prix",IF(M4249&lt;&gt; 0,"pas de quantité","pas de prix, ni de quantité"))))</f>
        <v>erreur de calcul</v>
      </c>
      <c r="BI4249" s="19"/>
    </row>
    <row r="4250" customFormat="false" ht="15" hidden="false" customHeight="false" outlineLevel="0" collapsed="false">
      <c r="A4250" s="0" t="n">
        <v>36</v>
      </c>
      <c r="B4250" s="8" t="s">
        <v>24</v>
      </c>
      <c r="C4250" s="9" t="s">
        <v>25</v>
      </c>
      <c r="D4250" s="9" t="s">
        <v>26</v>
      </c>
      <c r="E4250" s="10" t="n">
        <v>1789</v>
      </c>
      <c r="F4250" s="9" t="s">
        <v>27</v>
      </c>
      <c r="G4250" s="9" t="s">
        <v>27</v>
      </c>
      <c r="H4250" s="11" t="n">
        <v>18</v>
      </c>
      <c r="I4250" s="11" t="s">
        <v>110</v>
      </c>
      <c r="J4250" s="14" t="n">
        <v>12</v>
      </c>
      <c r="K4250" s="14"/>
      <c r="L4250" s="16"/>
      <c r="M4250" s="27" t="n">
        <f aca="false">J4250+(K4250/20)+(L4250/240)</f>
        <v>12</v>
      </c>
      <c r="N4250" s="17" t="s">
        <v>64</v>
      </c>
      <c r="O4250" s="11" t="s">
        <v>109</v>
      </c>
      <c r="P4250" s="28" t="n">
        <f aca="false">30663/100</f>
        <v>306.63</v>
      </c>
      <c r="Q4250" s="28" t="n">
        <v>3679</v>
      </c>
      <c r="R4250" s="28"/>
      <c r="S4250" s="28" t="n">
        <f aca="false">R4250*$M4250</f>
        <v>0</v>
      </c>
      <c r="T4250" s="28"/>
      <c r="U4250" s="28" t="n">
        <f aca="false">T4250*$M4250</f>
        <v>0</v>
      </c>
      <c r="V4250" s="28"/>
      <c r="W4250" s="28" t="n">
        <f aca="false">V4250*$M4250</f>
        <v>0</v>
      </c>
      <c r="X4250" s="29"/>
      <c r="Y4250" s="28" t="n">
        <f aca="false">X4250*$M4250</f>
        <v>0</v>
      </c>
      <c r="Z4250" s="28"/>
      <c r="AA4250" s="28" t="n">
        <f aca="false">Z4250*$M4250</f>
        <v>0</v>
      </c>
      <c r="AB4250" s="28"/>
      <c r="AC4250" s="28" t="n">
        <f aca="false">AB4250*$M4250</f>
        <v>0</v>
      </c>
      <c r="AD4250" s="28"/>
      <c r="AE4250" s="28" t="n">
        <f aca="false">AD4250*$M4250</f>
        <v>0</v>
      </c>
      <c r="AF4250" s="28"/>
      <c r="AG4250" s="28" t="n">
        <f aca="false">AF4250*$M4250</f>
        <v>0</v>
      </c>
      <c r="AH4250" s="28"/>
      <c r="AI4250" s="28" t="n">
        <f aca="false">AH4250*$M4250</f>
        <v>0</v>
      </c>
      <c r="AJ4250" s="28"/>
      <c r="AK4250" s="28" t="n">
        <f aca="false">AJ4250*$M4250</f>
        <v>0</v>
      </c>
      <c r="AL4250" s="28" t="n">
        <f aca="false">114207/100</f>
        <v>1142.07</v>
      </c>
      <c r="AM4250" s="28" t="n">
        <v>13705</v>
      </c>
      <c r="AN4250" s="28" t="n">
        <f aca="false">2100/100</f>
        <v>21</v>
      </c>
      <c r="AO4250" s="28" t="n">
        <v>252</v>
      </c>
      <c r="AP4250" s="28" t="n">
        <f aca="false">16107/100</f>
        <v>161.07</v>
      </c>
      <c r="AQ4250" s="28" t="n">
        <v>1933</v>
      </c>
      <c r="AR4250" s="28" t="n">
        <f aca="false">553069/100</f>
        <v>5530.69</v>
      </c>
      <c r="AS4250" s="28" t="n">
        <v>66368</v>
      </c>
      <c r="AT4250" s="28" t="n">
        <f aca="false">6160/100</f>
        <v>61.6</v>
      </c>
      <c r="AU4250" s="28" t="n">
        <v>739</v>
      </c>
      <c r="AV4250" s="28" t="n">
        <f aca="false">2640/100</f>
        <v>26.4</v>
      </c>
      <c r="AW4250" s="28" t="n">
        <v>317</v>
      </c>
      <c r="AX4250" s="28" t="n">
        <f aca="false">8767/100</f>
        <v>87.67</v>
      </c>
      <c r="AY4250" s="36" t="n">
        <v>1085</v>
      </c>
      <c r="AZ4250" s="30" t="n">
        <f aca="false">733753/100</f>
        <v>7337.53</v>
      </c>
      <c r="BA4250" s="11" t="n">
        <v>88078</v>
      </c>
      <c r="BB4250" s="31" t="n">
        <f aca="false">SUM(Q4250,S4250,U4250,W4250,Y4250,AA4250,AC4250,AE4250,AG4250,AI4250,AK4250,AM4250,AO4250,AQ4250,AS4250,AU4250,AW4250,AY4250)</f>
        <v>88078</v>
      </c>
      <c r="BC4250" s="28" t="n">
        <f aca="false">BA4250-BB4250</f>
        <v>0</v>
      </c>
      <c r="BD4250" s="32" t="n">
        <f aca="false">SUM(P4250,R4250,T4250,V4250,X4250,Z4250,AB4250,AD4250,AF4250,AH4250,AJ4250,AL4250,AN4250,AP4250,AR4250,AT4250,AV4250,AX4250)</f>
        <v>7337.13</v>
      </c>
      <c r="BE4250" s="33" t="n">
        <f aca="false">AZ4250-BD4250</f>
        <v>0.400000000000546</v>
      </c>
      <c r="BF4250" s="34" t="n">
        <f aca="false">BD4250*M4250</f>
        <v>88045.56</v>
      </c>
      <c r="BG4250" s="35" t="n">
        <f aca="false">BA4250-BF4250</f>
        <v>32.4400000000023</v>
      </c>
      <c r="BH4250" s="19" t="str">
        <f aca="false">IF(BG4250=0,"",IF(BG4250&lt;&gt;BA4250,"erreur de calcul",IF(BD4250&lt;&gt;0,"pas de prix",IF(M4250&lt;&gt; 0,"pas de quantité","pas de prix, ni de quantité"))))</f>
        <v>erreur de calcul</v>
      </c>
      <c r="BI4250" s="19"/>
    </row>
    <row r="4251" customFormat="false" ht="15" hidden="false" customHeight="false" outlineLevel="0" collapsed="false">
      <c r="A4251" s="0" t="n">
        <v>37</v>
      </c>
      <c r="B4251" s="8" t="s">
        <v>24</v>
      </c>
      <c r="C4251" s="9" t="s">
        <v>25</v>
      </c>
      <c r="D4251" s="9" t="s">
        <v>26</v>
      </c>
      <c r="E4251" s="10" t="n">
        <v>1789</v>
      </c>
      <c r="F4251" s="9" t="s">
        <v>27</v>
      </c>
      <c r="G4251" s="9" t="s">
        <v>27</v>
      </c>
      <c r="H4251" s="11" t="n">
        <v>18</v>
      </c>
      <c r="I4251" s="11" t="s">
        <v>111</v>
      </c>
      <c r="J4251" s="14" t="n">
        <v>10</v>
      </c>
      <c r="K4251" s="14"/>
      <c r="L4251" s="16"/>
      <c r="M4251" s="27" t="n">
        <f aca="false">J4251+(K4251/20)+(L4251/240)</f>
        <v>10</v>
      </c>
      <c r="N4251" s="17" t="s">
        <v>64</v>
      </c>
      <c r="O4251" s="11"/>
      <c r="P4251" s="28"/>
      <c r="Q4251" s="28" t="n">
        <f aca="false">P4251*$M4251</f>
        <v>0</v>
      </c>
      <c r="R4251" s="28"/>
      <c r="S4251" s="28" t="n">
        <f aca="false">R4251*$M4251</f>
        <v>0</v>
      </c>
      <c r="T4251" s="28"/>
      <c r="U4251" s="28" t="n">
        <f aca="false">T4251*$M4251</f>
        <v>0</v>
      </c>
      <c r="V4251" s="28"/>
      <c r="W4251" s="28" t="n">
        <f aca="false">V4251*$M4251</f>
        <v>0</v>
      </c>
      <c r="X4251" s="29"/>
      <c r="Y4251" s="28" t="n">
        <f aca="false">X4251*$M4251</f>
        <v>0</v>
      </c>
      <c r="Z4251" s="28"/>
      <c r="AA4251" s="28" t="n">
        <f aca="false">Z4251*$M4251</f>
        <v>0</v>
      </c>
      <c r="AB4251" s="28"/>
      <c r="AC4251" s="28" t="n">
        <f aca="false">AB4251*$M4251</f>
        <v>0</v>
      </c>
      <c r="AD4251" s="28"/>
      <c r="AE4251" s="28" t="n">
        <f aca="false">AD4251*$M4251</f>
        <v>0</v>
      </c>
      <c r="AF4251" s="28"/>
      <c r="AG4251" s="28" t="n">
        <f aca="false">AF4251*$M4251</f>
        <v>0</v>
      </c>
      <c r="AH4251" s="28"/>
      <c r="AI4251" s="28" t="n">
        <f aca="false">AH4251*$M4251</f>
        <v>0</v>
      </c>
      <c r="AJ4251" s="28"/>
      <c r="AK4251" s="28" t="n">
        <f aca="false">AJ4251*$M4251</f>
        <v>0</v>
      </c>
      <c r="AL4251" s="28"/>
      <c r="AM4251" s="28" t="n">
        <f aca="false">AL4251*$M4251</f>
        <v>0</v>
      </c>
      <c r="AN4251" s="28"/>
      <c r="AO4251" s="28" t="n">
        <f aca="false">AN4251*$M4251</f>
        <v>0</v>
      </c>
      <c r="AP4251" s="28"/>
      <c r="AQ4251" s="28" t="n">
        <f aca="false">AP4251*$M4251</f>
        <v>0</v>
      </c>
      <c r="AR4251" s="28"/>
      <c r="AS4251" s="28" t="n">
        <f aca="false">AR4251*$M4251</f>
        <v>0</v>
      </c>
      <c r="AT4251" s="28"/>
      <c r="AU4251" s="28" t="n">
        <f aca="false">AT4251*$M4251</f>
        <v>0</v>
      </c>
      <c r="AV4251" s="28"/>
      <c r="AW4251" s="28" t="n">
        <f aca="false">AV4251*$M4251</f>
        <v>0</v>
      </c>
      <c r="AX4251" s="28" t="n">
        <f aca="false">16133/100</f>
        <v>161.33</v>
      </c>
      <c r="AY4251" s="28" t="n">
        <v>1613</v>
      </c>
      <c r="AZ4251" s="30"/>
      <c r="BA4251" s="11" t="n">
        <v>1613</v>
      </c>
      <c r="BB4251" s="31" t="n">
        <f aca="false">SUM(Q4251,S4251,U4251,W4251,Y4251,AA4251,AC4251,AE4251,AG4251,AI4251,AK4251,AM4251,AO4251,AQ4251,AS4251,AU4251,AW4251,AY4251)</f>
        <v>1613</v>
      </c>
      <c r="BC4251" s="28" t="n">
        <f aca="false">BA4251-BB4251</f>
        <v>0</v>
      </c>
      <c r="BD4251" s="32" t="n">
        <f aca="false">SUM(P4251,R4251,T4251,V4251,X4251,Z4251,AB4251,AD4251,AF4251,AH4251,AJ4251,AL4251,AN4251,AP4251,AR4251,AT4251,AV4251,AX4251)</f>
        <v>161.33</v>
      </c>
      <c r="BE4251" s="33" t="n">
        <f aca="false">AZ4251-BD4251</f>
        <v>-161.33</v>
      </c>
      <c r="BF4251" s="34" t="n">
        <f aca="false">BD4251*M4251</f>
        <v>1613.3</v>
      </c>
      <c r="BG4251" s="35" t="n">
        <f aca="false">BA4251-BF4251</f>
        <v>-0.300000000000182</v>
      </c>
      <c r="BH4251" s="19" t="str">
        <f aca="false">IF(BG4251=0,"",IF(BG4251&lt;&gt;BA4251,"erreur de calcul",IF(BD4251&lt;&gt;0,"pas de prix",IF(M4251&lt;&gt; 0,"pas de quantité","pas de prix, ni de quantité"))))</f>
        <v>erreur de calcul</v>
      </c>
      <c r="BI4251" s="19"/>
    </row>
    <row r="4252" customFormat="false" ht="15" hidden="false" customHeight="false" outlineLevel="0" collapsed="false">
      <c r="A4252" s="0" t="n">
        <v>38</v>
      </c>
      <c r="B4252" s="8" t="s">
        <v>24</v>
      </c>
      <c r="C4252" s="9" t="s">
        <v>25</v>
      </c>
      <c r="D4252" s="9" t="s">
        <v>26</v>
      </c>
      <c r="E4252" s="10" t="n">
        <v>1789</v>
      </c>
      <c r="F4252" s="9" t="s">
        <v>27</v>
      </c>
      <c r="G4252" s="9" t="s">
        <v>27</v>
      </c>
      <c r="H4252" s="11" t="n">
        <v>18</v>
      </c>
      <c r="I4252" s="11" t="s">
        <v>112</v>
      </c>
      <c r="J4252" s="14" t="n">
        <v>100</v>
      </c>
      <c r="K4252" s="14"/>
      <c r="L4252" s="16"/>
      <c r="M4252" s="27" t="n">
        <f aca="false">J4252+(K4252/20)+(L4252/240)</f>
        <v>100</v>
      </c>
      <c r="N4252" s="17" t="s">
        <v>64</v>
      </c>
      <c r="O4252" s="11"/>
      <c r="P4252" s="28" t="n">
        <f aca="false">69730/100</f>
        <v>697.3</v>
      </c>
      <c r="Q4252" s="28" t="n">
        <v>69730</v>
      </c>
      <c r="R4252" s="28"/>
      <c r="S4252" s="28" t="n">
        <f aca="false">R4252*$M4252</f>
        <v>0</v>
      </c>
      <c r="T4252" s="28"/>
      <c r="U4252" s="28" t="n">
        <f aca="false">T4252*$M4252</f>
        <v>0</v>
      </c>
      <c r="V4252" s="28"/>
      <c r="W4252" s="28" t="n">
        <f aca="false">V4252*$M4252</f>
        <v>0</v>
      </c>
      <c r="X4252" s="29"/>
      <c r="Y4252" s="28" t="n">
        <f aca="false">X4252*$M4252</f>
        <v>0</v>
      </c>
      <c r="Z4252" s="28"/>
      <c r="AA4252" s="28" t="n">
        <f aca="false">Z4252*$M4252</f>
        <v>0</v>
      </c>
      <c r="AB4252" s="28"/>
      <c r="AC4252" s="28" t="n">
        <f aca="false">AB4252*$M4252</f>
        <v>0</v>
      </c>
      <c r="AD4252" s="28"/>
      <c r="AE4252" s="28" t="n">
        <f aca="false">AD4252*$M4252</f>
        <v>0</v>
      </c>
      <c r="AF4252" s="28"/>
      <c r="AG4252" s="28" t="n">
        <f aca="false">AF4252*$M4252</f>
        <v>0</v>
      </c>
      <c r="AH4252" s="28"/>
      <c r="AI4252" s="28" t="n">
        <f aca="false">AH4252*$M4252</f>
        <v>0</v>
      </c>
      <c r="AJ4252" s="28"/>
      <c r="AK4252" s="28" t="n">
        <f aca="false">AJ4252*$M4252</f>
        <v>0</v>
      </c>
      <c r="AL4252" s="28"/>
      <c r="AM4252" s="28" t="n">
        <f aca="false">AL4252*$M4252</f>
        <v>0</v>
      </c>
      <c r="AN4252" s="28"/>
      <c r="AO4252" s="28" t="n">
        <f aca="false">AN4252*$M4252</f>
        <v>0</v>
      </c>
      <c r="AP4252" s="28"/>
      <c r="AQ4252" s="28" t="n">
        <f aca="false">AP4252*$M4252</f>
        <v>0</v>
      </c>
      <c r="AR4252" s="28"/>
      <c r="AS4252" s="28" t="n">
        <f aca="false">AR4252*$M4252</f>
        <v>0</v>
      </c>
      <c r="AT4252" s="28"/>
      <c r="AU4252" s="28" t="n">
        <f aca="false">AT4252*$M4252</f>
        <v>0</v>
      </c>
      <c r="AV4252" s="28"/>
      <c r="AW4252" s="28" t="n">
        <f aca="false">AV4252*$M4252</f>
        <v>0</v>
      </c>
      <c r="AX4252" s="28"/>
      <c r="AY4252" s="28" t="n">
        <f aca="false">AX4252*$M4252</f>
        <v>0</v>
      </c>
      <c r="AZ4252" s="30" t="n">
        <f aca="false">69730/100</f>
        <v>697.3</v>
      </c>
      <c r="BA4252" s="11" t="n">
        <v>69730</v>
      </c>
      <c r="BB4252" s="31" t="n">
        <f aca="false">SUM(Q4252,S4252,U4252,W4252,Y4252,AA4252,AC4252,AE4252,AG4252,AI4252,AK4252,AM4252,AO4252,AQ4252,AS4252,AU4252,AW4252,AY4252)</f>
        <v>69730</v>
      </c>
      <c r="BC4252" s="28" t="n">
        <f aca="false">BA4252-BB4252</f>
        <v>0</v>
      </c>
      <c r="BD4252" s="32" t="n">
        <f aca="false">SUM(P4252,R4252,T4252,V4252,X4252,Z4252,AB4252,AD4252,AF4252,AH4252,AJ4252,AL4252,AN4252,AP4252,AR4252,AT4252,AV4252,AX4252)</f>
        <v>697.3</v>
      </c>
      <c r="BE4252" s="33" t="n">
        <f aca="false">AZ4252-BD4252</f>
        <v>0</v>
      </c>
      <c r="BF4252" s="34" t="n">
        <f aca="false">BD4252*M4252</f>
        <v>69730</v>
      </c>
      <c r="BG4252" s="35" t="n">
        <f aca="false">BA4252-BF4252</f>
        <v>0</v>
      </c>
      <c r="BH4252" s="19" t="str">
        <f aca="false">IF(BG4252=0,"",IF(BG4252&lt;&gt;BA4252,"erreur de calcul",IF(BD4252&lt;&gt;0,"pas de prix",IF(M4252&lt;&gt; 0,"pas de quantité","pas de prix, ni de quantité"))))</f>
        <v/>
      </c>
      <c r="BI4252" s="19" t="s">
        <v>113</v>
      </c>
    </row>
    <row r="4253" customFormat="false" ht="15" hidden="false" customHeight="false" outlineLevel="0" collapsed="false">
      <c r="A4253" s="0" t="n">
        <v>39</v>
      </c>
      <c r="B4253" s="8" t="s">
        <v>24</v>
      </c>
      <c r="C4253" s="9" t="s">
        <v>25</v>
      </c>
      <c r="D4253" s="9" t="s">
        <v>26</v>
      </c>
      <c r="E4253" s="10" t="n">
        <v>1789</v>
      </c>
      <c r="F4253" s="9" t="s">
        <v>27</v>
      </c>
      <c r="G4253" s="9" t="s">
        <v>27</v>
      </c>
      <c r="H4253" s="11" t="n">
        <v>18</v>
      </c>
      <c r="I4253" s="11" t="s">
        <v>112</v>
      </c>
      <c r="J4253" s="14" t="n">
        <v>50</v>
      </c>
      <c r="K4253" s="14"/>
      <c r="L4253" s="16"/>
      <c r="M4253" s="27" t="n">
        <f aca="false">J4253+(K4253/20)+(L4253/240)</f>
        <v>50</v>
      </c>
      <c r="N4253" s="17" t="s">
        <v>64</v>
      </c>
      <c r="O4253" s="11"/>
      <c r="P4253" s="28"/>
      <c r="Q4253" s="28" t="n">
        <f aca="false">P4253*$M4253</f>
        <v>0</v>
      </c>
      <c r="R4253" s="28"/>
      <c r="S4253" s="28" t="n">
        <f aca="false">R4253*$M4253</f>
        <v>0</v>
      </c>
      <c r="T4253" s="28"/>
      <c r="U4253" s="28" t="n">
        <f aca="false">T4253*$M4253</f>
        <v>0</v>
      </c>
      <c r="V4253" s="28" t="n">
        <f aca="false">38043/100</f>
        <v>380.43</v>
      </c>
      <c r="W4253" s="28" t="n">
        <v>19021</v>
      </c>
      <c r="X4253" s="29" t="n">
        <f aca="false">10658/100</f>
        <v>106.58</v>
      </c>
      <c r="Y4253" s="28" t="n">
        <v>5329</v>
      </c>
      <c r="Z4253" s="28"/>
      <c r="AA4253" s="28" t="n">
        <f aca="false">Z4253*$M4253</f>
        <v>0</v>
      </c>
      <c r="AB4253" s="28"/>
      <c r="AC4253" s="28" t="n">
        <f aca="false">AB4253*$M4253</f>
        <v>0</v>
      </c>
      <c r="AD4253" s="28"/>
      <c r="AE4253" s="28" t="n">
        <f aca="false">AD4253*$M4253</f>
        <v>0</v>
      </c>
      <c r="AF4253" s="28"/>
      <c r="AG4253" s="28" t="n">
        <f aca="false">AF4253*$M4253</f>
        <v>0</v>
      </c>
      <c r="AH4253" s="28"/>
      <c r="AI4253" s="28" t="n">
        <f aca="false">AH4253*$M4253</f>
        <v>0</v>
      </c>
      <c r="AJ4253" s="28" t="n">
        <f aca="false">39321/100</f>
        <v>393.21</v>
      </c>
      <c r="AK4253" s="28" t="n">
        <v>19660</v>
      </c>
      <c r="AL4253" s="28"/>
      <c r="AM4253" s="28" t="n">
        <f aca="false">AL4253*$M4253</f>
        <v>0</v>
      </c>
      <c r="AN4253" s="28"/>
      <c r="AO4253" s="28" t="n">
        <f aca="false">AN4253*$M4253</f>
        <v>0</v>
      </c>
      <c r="AP4253" s="28"/>
      <c r="AQ4253" s="28" t="n">
        <f aca="false">AP4253*$M4253</f>
        <v>0</v>
      </c>
      <c r="AR4253" s="28"/>
      <c r="AS4253" s="28" t="n">
        <f aca="false">AR4253*$M4253</f>
        <v>0</v>
      </c>
      <c r="AT4253" s="28"/>
      <c r="AU4253" s="28" t="n">
        <f aca="false">AT4253*$M4253</f>
        <v>0</v>
      </c>
      <c r="AV4253" s="28"/>
      <c r="AW4253" s="28" t="n">
        <f aca="false">AV4253*$M4253</f>
        <v>0</v>
      </c>
      <c r="AX4253" s="28"/>
      <c r="AY4253" s="28" t="n">
        <f aca="false">AX4253*$M4253</f>
        <v>0</v>
      </c>
      <c r="AZ4253" s="30" t="n">
        <f aca="false">88022/100</f>
        <v>880.22</v>
      </c>
      <c r="BA4253" s="11" t="n">
        <v>44010</v>
      </c>
      <c r="BB4253" s="31" t="n">
        <f aca="false">SUM(Q4253,S4253,U4253,W4253,Y4253,AA4253,AC4253,AE4253,AG4253,AI4253,AK4253,AM4253,AO4253,AQ4253,AS4253,AU4253,AW4253,AY4253)</f>
        <v>44010</v>
      </c>
      <c r="BC4253" s="28" t="n">
        <f aca="false">BA4253-BB4253</f>
        <v>0</v>
      </c>
      <c r="BD4253" s="32" t="n">
        <f aca="false">SUM(P4253,R4253,T4253,V4253,X4253,Z4253,AB4253,AD4253,AF4253,AH4253,AJ4253,AL4253,AN4253,AP4253,AR4253,AT4253,AV4253,AX4253)</f>
        <v>880.22</v>
      </c>
      <c r="BE4253" s="33" t="n">
        <f aca="false">AZ4253-BD4253</f>
        <v>0</v>
      </c>
      <c r="BF4253" s="34" t="n">
        <f aca="false">BD4253*M4253</f>
        <v>44011</v>
      </c>
      <c r="BG4253" s="35" t="n">
        <f aca="false">BA4253-BF4253</f>
        <v>-1</v>
      </c>
      <c r="BH4253" s="19" t="str">
        <f aca="false">IF(BG4253=0,"",IF(BG4253&lt;&gt;BA4253,"erreur de calcul",IF(BD4253&lt;&gt;0,"pas de prix",IF(M4253&lt;&gt; 0,"pas de quantité","pas de prix, ni de quantité"))))</f>
        <v>erreur de calcul</v>
      </c>
      <c r="BI4253" s="19" t="s">
        <v>114</v>
      </c>
    </row>
    <row r="4254" customFormat="false" ht="15" hidden="false" customHeight="false" outlineLevel="0" collapsed="false">
      <c r="A4254" s="0" t="n">
        <v>40</v>
      </c>
      <c r="B4254" s="8" t="s">
        <v>24</v>
      </c>
      <c r="C4254" s="9" t="s">
        <v>25</v>
      </c>
      <c r="D4254" s="9" t="s">
        <v>26</v>
      </c>
      <c r="E4254" s="10" t="n">
        <v>1789</v>
      </c>
      <c r="F4254" s="9" t="s">
        <v>27</v>
      </c>
      <c r="G4254" s="9" t="s">
        <v>27</v>
      </c>
      <c r="H4254" s="11" t="n">
        <v>18</v>
      </c>
      <c r="I4254" s="11" t="s">
        <v>115</v>
      </c>
      <c r="J4254" s="14"/>
      <c r="K4254" s="14" t="n">
        <v>28</v>
      </c>
      <c r="L4254" s="16"/>
      <c r="M4254" s="27" t="n">
        <f aca="false">J4254+(K4254/20)+(L4254/240)</f>
        <v>1.4</v>
      </c>
      <c r="N4254" s="17" t="s">
        <v>66</v>
      </c>
      <c r="O4254" s="11" t="s">
        <v>98</v>
      </c>
      <c r="P4254" s="28"/>
      <c r="Q4254" s="28" t="n">
        <f aca="false">P4254*$M4254</f>
        <v>0</v>
      </c>
      <c r="R4254" s="28"/>
      <c r="S4254" s="28" t="n">
        <f aca="false">R4254*$M4254</f>
        <v>0</v>
      </c>
      <c r="T4254" s="28" t="n">
        <v>426</v>
      </c>
      <c r="U4254" s="28" t="n">
        <v>596</v>
      </c>
      <c r="V4254" s="28"/>
      <c r="W4254" s="28" t="n">
        <f aca="false">V4254*$M4254</f>
        <v>0</v>
      </c>
      <c r="X4254" s="29"/>
      <c r="Y4254" s="28" t="n">
        <f aca="false">X4254*$M4254</f>
        <v>0</v>
      </c>
      <c r="Z4254" s="28"/>
      <c r="AA4254" s="28" t="n">
        <f aca="false">Z4254*$M4254</f>
        <v>0</v>
      </c>
      <c r="AB4254" s="28"/>
      <c r="AC4254" s="28" t="n">
        <f aca="false">AB4254*$M4254</f>
        <v>0</v>
      </c>
      <c r="AD4254" s="28"/>
      <c r="AE4254" s="28" t="n">
        <f aca="false">AD4254*$M4254</f>
        <v>0</v>
      </c>
      <c r="AF4254" s="28"/>
      <c r="AG4254" s="28" t="n">
        <f aca="false">AF4254*$M4254</f>
        <v>0</v>
      </c>
      <c r="AH4254" s="28"/>
      <c r="AI4254" s="28" t="n">
        <f aca="false">AH4254*$M4254</f>
        <v>0</v>
      </c>
      <c r="AJ4254" s="28" t="n">
        <v>142</v>
      </c>
      <c r="AK4254" s="28" t="n">
        <v>199</v>
      </c>
      <c r="AL4254" s="28"/>
      <c r="AM4254" s="28" t="n">
        <f aca="false">AL4254*$M4254</f>
        <v>0</v>
      </c>
      <c r="AN4254" s="28"/>
      <c r="AO4254" s="28" t="n">
        <f aca="false">AN4254*$M4254</f>
        <v>0</v>
      </c>
      <c r="AP4254" s="28"/>
      <c r="AQ4254" s="28" t="n">
        <f aca="false">AP4254*$M4254</f>
        <v>0</v>
      </c>
      <c r="AR4254" s="28"/>
      <c r="AS4254" s="28" t="n">
        <f aca="false">AR4254*$M4254</f>
        <v>0</v>
      </c>
      <c r="AT4254" s="28"/>
      <c r="AU4254" s="28" t="n">
        <f aca="false">AT4254*$M4254</f>
        <v>0</v>
      </c>
      <c r="AV4254" s="28"/>
      <c r="AW4254" s="28" t="n">
        <f aca="false">AV4254*$M4254</f>
        <v>0</v>
      </c>
      <c r="AX4254" s="28"/>
      <c r="AY4254" s="28" t="n">
        <f aca="false">AX4254*$M4254</f>
        <v>0</v>
      </c>
      <c r="AZ4254" s="30" t="n">
        <v>568</v>
      </c>
      <c r="BA4254" s="11" t="n">
        <v>795</v>
      </c>
      <c r="BB4254" s="31" t="n">
        <f aca="false">SUM(Q4254,S4254,U4254,W4254,Y4254,AA4254,AC4254,AE4254,AG4254,AI4254,AK4254,AM4254,AO4254,AQ4254,AS4254,AU4254,AW4254,AY4254)</f>
        <v>795</v>
      </c>
      <c r="BC4254" s="28" t="n">
        <f aca="false">BA4254-BB4254</f>
        <v>0</v>
      </c>
      <c r="BD4254" s="32" t="n">
        <f aca="false">SUM(P4254,R4254,T4254,V4254,X4254,Z4254,AB4254,AD4254,AF4254,AH4254,AJ4254,AL4254,AN4254,AP4254,AR4254,AT4254,AV4254,AX4254)</f>
        <v>568</v>
      </c>
      <c r="BE4254" s="33" t="n">
        <f aca="false">AZ4254-BD4254</f>
        <v>0</v>
      </c>
      <c r="BF4254" s="34" t="n">
        <f aca="false">BD4254*M4254</f>
        <v>795.2</v>
      </c>
      <c r="BG4254" s="35" t="n">
        <f aca="false">BA4254-BF4254</f>
        <v>-0.199999999999932</v>
      </c>
      <c r="BH4254" s="19" t="str">
        <f aca="false">IF(BG4254=0,"",IF(BG4254&lt;&gt;BA4254,"erreur de calcul",IF(BD4254&lt;&gt;0,"pas de prix",IF(M4254&lt;&gt; 0,"pas de quantité","pas de prix, ni de quantité"))))</f>
        <v>erreur de calcul</v>
      </c>
      <c r="BI4254" s="19"/>
    </row>
    <row r="4255" customFormat="false" ht="15" hidden="false" customHeight="false" outlineLevel="0" collapsed="false">
      <c r="A4255" s="0" t="n">
        <v>41</v>
      </c>
      <c r="B4255" s="8" t="s">
        <v>24</v>
      </c>
      <c r="C4255" s="9" t="s">
        <v>25</v>
      </c>
      <c r="D4255" s="9" t="s">
        <v>26</v>
      </c>
      <c r="E4255" s="10" t="n">
        <v>1789</v>
      </c>
      <c r="F4255" s="9" t="s">
        <v>27</v>
      </c>
      <c r="G4255" s="9" t="s">
        <v>27</v>
      </c>
      <c r="H4255" s="11" t="n">
        <v>18</v>
      </c>
      <c r="I4255" s="11" t="s">
        <v>116</v>
      </c>
      <c r="J4255" s="14"/>
      <c r="K4255" s="14" t="n">
        <v>40</v>
      </c>
      <c r="L4255" s="16"/>
      <c r="M4255" s="27" t="n">
        <f aca="false">J4255+(K4255/20)+(L4255/240)</f>
        <v>2</v>
      </c>
      <c r="N4255" s="17" t="s">
        <v>66</v>
      </c>
      <c r="O4255" s="11"/>
      <c r="P4255" s="28"/>
      <c r="Q4255" s="28" t="n">
        <f aca="false">P4255*$M4255</f>
        <v>0</v>
      </c>
      <c r="R4255" s="28"/>
      <c r="S4255" s="28" t="n">
        <f aca="false">R4255*$M4255</f>
        <v>0</v>
      </c>
      <c r="T4255" s="28"/>
      <c r="U4255" s="28" t="n">
        <f aca="false">T4255*$M4255</f>
        <v>0</v>
      </c>
      <c r="V4255" s="28"/>
      <c r="W4255" s="28" t="n">
        <f aca="false">V4255*$M4255</f>
        <v>0</v>
      </c>
      <c r="X4255" s="29"/>
      <c r="Y4255" s="28" t="n">
        <f aca="false">X4255*$M4255</f>
        <v>0</v>
      </c>
      <c r="Z4255" s="28"/>
      <c r="AA4255" s="28" t="n">
        <f aca="false">Z4255*$M4255</f>
        <v>0</v>
      </c>
      <c r="AB4255" s="28"/>
      <c r="AC4255" s="28" t="n">
        <f aca="false">AB4255*$M4255</f>
        <v>0</v>
      </c>
      <c r="AD4255" s="28"/>
      <c r="AE4255" s="28" t="n">
        <f aca="false">AD4255*$M4255</f>
        <v>0</v>
      </c>
      <c r="AF4255" s="28"/>
      <c r="AG4255" s="28" t="n">
        <f aca="false">AF4255*$M4255</f>
        <v>0</v>
      </c>
      <c r="AH4255" s="28" t="n">
        <v>232710</v>
      </c>
      <c r="AI4255" s="28" t="n">
        <v>465420</v>
      </c>
      <c r="AJ4255" s="28"/>
      <c r="AK4255" s="28" t="n">
        <f aca="false">AJ4255*$M4255</f>
        <v>0</v>
      </c>
      <c r="AL4255" s="28"/>
      <c r="AM4255" s="28" t="n">
        <f aca="false">AL4255*$M4255</f>
        <v>0</v>
      </c>
      <c r="AN4255" s="28"/>
      <c r="AO4255" s="28" t="n">
        <f aca="false">AN4255*$M4255</f>
        <v>0</v>
      </c>
      <c r="AP4255" s="28"/>
      <c r="AQ4255" s="28" t="n">
        <f aca="false">AP4255*$M4255</f>
        <v>0</v>
      </c>
      <c r="AR4255" s="28"/>
      <c r="AS4255" s="28" t="n">
        <f aca="false">AR4255*$M4255</f>
        <v>0</v>
      </c>
      <c r="AT4255" s="28"/>
      <c r="AU4255" s="28" t="n">
        <f aca="false">AT4255*$M4255</f>
        <v>0</v>
      </c>
      <c r="AV4255" s="28"/>
      <c r="AW4255" s="28" t="n">
        <f aca="false">AV4255*$M4255</f>
        <v>0</v>
      </c>
      <c r="AX4255" s="28"/>
      <c r="AY4255" s="28" t="n">
        <f aca="false">AX4255*$M4255</f>
        <v>0</v>
      </c>
      <c r="AZ4255" s="30" t="n">
        <v>232710</v>
      </c>
      <c r="BA4255" s="11" t="n">
        <v>465420</v>
      </c>
      <c r="BB4255" s="31" t="n">
        <f aca="false">SUM(Q4255,S4255,U4255,W4255,Y4255,AA4255,AC4255,AE4255,AG4255,AI4255,AK4255,AM4255,AO4255,AQ4255,AS4255,AU4255,AW4255,AY4255)</f>
        <v>465420</v>
      </c>
      <c r="BC4255" s="28" t="n">
        <f aca="false">BA4255-BB4255</f>
        <v>0</v>
      </c>
      <c r="BD4255" s="32" t="n">
        <f aca="false">SUM(P4255,R4255,T4255,V4255,X4255,Z4255,AB4255,AD4255,AF4255,AH4255,AJ4255,AL4255,AN4255,AP4255,AR4255,AT4255,AV4255,AX4255)</f>
        <v>232710</v>
      </c>
      <c r="BE4255" s="33" t="n">
        <f aca="false">AZ4255-BD4255</f>
        <v>0</v>
      </c>
      <c r="BF4255" s="34" t="n">
        <f aca="false">BD4255*M4255</f>
        <v>465420</v>
      </c>
      <c r="BG4255" s="35" t="n">
        <f aca="false">BA4255-BF4255</f>
        <v>0</v>
      </c>
      <c r="BH4255" s="19" t="str">
        <f aca="false">IF(BG4255=0,"",IF(BG4255&lt;&gt;BA4255,"erreur de calcul",IF(BD4255&lt;&gt;0,"pas de prix",IF(M4255&lt;&gt; 0,"pas de quantité","pas de prix, ni de quantité"))))</f>
        <v/>
      </c>
      <c r="BI4255" s="19"/>
    </row>
    <row r="4256" customFormat="false" ht="15" hidden="false" customHeight="false" outlineLevel="0" collapsed="false">
      <c r="A4256" s="0" t="n">
        <v>1</v>
      </c>
      <c r="B4256" s="8" t="s">
        <v>24</v>
      </c>
      <c r="C4256" s="9" t="s">
        <v>25</v>
      </c>
      <c r="D4256" s="9" t="s">
        <v>26</v>
      </c>
      <c r="E4256" s="10" t="n">
        <v>1789</v>
      </c>
      <c r="F4256" s="9" t="s">
        <v>27</v>
      </c>
      <c r="G4256" s="9" t="s">
        <v>27</v>
      </c>
      <c r="H4256" s="11" t="n">
        <v>20</v>
      </c>
      <c r="I4256" s="11" t="s">
        <v>117</v>
      </c>
      <c r="J4256" s="14" t="n">
        <v>10</v>
      </c>
      <c r="K4256" s="14"/>
      <c r="L4256" s="16"/>
      <c r="M4256" s="27" t="n">
        <f aca="false">J4256+(K4256/20)+(L4256/240)</f>
        <v>10</v>
      </c>
      <c r="N4256" s="17" t="s">
        <v>64</v>
      </c>
      <c r="O4256" s="11"/>
      <c r="P4256" s="28" t="n">
        <f aca="false">2120/100</f>
        <v>21.2</v>
      </c>
      <c r="Q4256" s="28" t="n">
        <v>212</v>
      </c>
      <c r="R4256" s="28"/>
      <c r="S4256" s="28" t="n">
        <f aca="false">R4256*$M4256</f>
        <v>0</v>
      </c>
      <c r="T4256" s="28" t="n">
        <f aca="false">4184/100</f>
        <v>41.84</v>
      </c>
      <c r="U4256" s="28" t="n">
        <v>418</v>
      </c>
      <c r="V4256" s="28"/>
      <c r="W4256" s="28" t="n">
        <f aca="false">V4256*$M4256</f>
        <v>0</v>
      </c>
      <c r="X4256" s="28"/>
      <c r="Y4256" s="28" t="n">
        <f aca="false">X4256*$M4256</f>
        <v>0</v>
      </c>
      <c r="Z4256" s="28" t="n">
        <f aca="false">4467/100</f>
        <v>44.67</v>
      </c>
      <c r="AA4256" s="28" t="n">
        <v>447</v>
      </c>
      <c r="AB4256" s="28"/>
      <c r="AC4256" s="28" t="n">
        <f aca="false">AB4256*$M4256</f>
        <v>0</v>
      </c>
      <c r="AD4256" s="28"/>
      <c r="AE4256" s="28" t="n">
        <f aca="false">AD4256*$M4256</f>
        <v>0</v>
      </c>
      <c r="AF4256" s="28"/>
      <c r="AG4256" s="28" t="n">
        <f aca="false">AF4256*$M4256</f>
        <v>0</v>
      </c>
      <c r="AH4256" s="28" t="n">
        <f aca="false">37604/100</f>
        <v>376.04</v>
      </c>
      <c r="AI4256" s="28" t="n">
        <v>3760</v>
      </c>
      <c r="AJ4256" s="28"/>
      <c r="AK4256" s="28" t="n">
        <f aca="false">AJ4256*$M4256</f>
        <v>0</v>
      </c>
      <c r="AL4256" s="28"/>
      <c r="AM4256" s="28" t="n">
        <f aca="false">AL4256*$M4256</f>
        <v>0</v>
      </c>
      <c r="AN4256" s="28"/>
      <c r="AO4256" s="28" t="n">
        <f aca="false">AN4256*$M4256</f>
        <v>0</v>
      </c>
      <c r="AP4256" s="28"/>
      <c r="AQ4256" s="28" t="n">
        <f aca="false">AP4256*$M4256</f>
        <v>0</v>
      </c>
      <c r="AR4256" s="28"/>
      <c r="AS4256" s="28" t="n">
        <f aca="false">AR4256*$M4256</f>
        <v>0</v>
      </c>
      <c r="AT4256" s="28"/>
      <c r="AU4256" s="28" t="n">
        <f aca="false">AT4256*$M4256</f>
        <v>0</v>
      </c>
      <c r="AV4256" s="28"/>
      <c r="AW4256" s="28" t="n">
        <f aca="false">AV4256*$M4256</f>
        <v>0</v>
      </c>
      <c r="AX4256" s="28"/>
      <c r="AY4256" s="28" t="n">
        <f aca="false">AX4256*$M4256</f>
        <v>0</v>
      </c>
      <c r="AZ4256" s="30" t="n">
        <f aca="false">46255/100</f>
        <v>462.55</v>
      </c>
      <c r="BA4256" s="11" t="n">
        <v>4837</v>
      </c>
      <c r="BB4256" s="31" t="n">
        <f aca="false">SUM(Q4256,S4256,U4256,W4256,Y4256,AA4256,AC4256,AE4256,AG4256,AI4256,AK4256,AM4256,AO4256,AQ4256,AS4256,AU4256,AW4256,AY4256)</f>
        <v>4837</v>
      </c>
      <c r="BC4256" s="28" t="n">
        <f aca="false">BA4256-BB4256</f>
        <v>0</v>
      </c>
      <c r="BD4256" s="32" t="n">
        <f aca="false">SUM(P4256,R4256,T4256,V4256,X4256,Z4256,AB4256,AD4256,AF4256,AH4256,AJ4256,AL4256,AN4256,AP4256,AR4256,AT4256,AV4256,AX4256)</f>
        <v>483.75</v>
      </c>
      <c r="BE4256" s="33" t="n">
        <f aca="false">AZ4256-BD4256</f>
        <v>-21.2</v>
      </c>
      <c r="BF4256" s="34" t="n">
        <f aca="false">BD4256*M4256</f>
        <v>4837.5</v>
      </c>
      <c r="BG4256" s="35" t="n">
        <f aca="false">BA4256-BF4256</f>
        <v>-0.50000000000091</v>
      </c>
      <c r="BH4256" s="19" t="str">
        <f aca="false">IF(BG4256=0,"",IF(BG4256&lt;&gt;BA4256,"erreur de calcul",IF(BD4256&lt;&gt;0,"pas de prix",IF(M4256&lt;&gt; 0,"pas de quantité","pas de prix, ni de quantité"))))</f>
        <v>erreur de calcul</v>
      </c>
      <c r="BI4256" s="19"/>
    </row>
    <row r="4257" customFormat="false" ht="15" hidden="false" customHeight="false" outlineLevel="0" collapsed="false">
      <c r="A4257" s="0" t="n">
        <v>2</v>
      </c>
      <c r="B4257" s="8" t="s">
        <v>24</v>
      </c>
      <c r="C4257" s="9" t="s">
        <v>25</v>
      </c>
      <c r="D4257" s="9" t="s">
        <v>26</v>
      </c>
      <c r="E4257" s="10" t="n">
        <v>1789</v>
      </c>
      <c r="F4257" s="9" t="s">
        <v>27</v>
      </c>
      <c r="G4257" s="9" t="s">
        <v>27</v>
      </c>
      <c r="H4257" s="11" t="n">
        <v>20</v>
      </c>
      <c r="I4257" s="11" t="s">
        <v>118</v>
      </c>
      <c r="J4257" s="14" t="n">
        <v>10</v>
      </c>
      <c r="K4257" s="14"/>
      <c r="L4257" s="16"/>
      <c r="M4257" s="27" t="n">
        <f aca="false">J4257+(K4257/20)+(L4257/240)</f>
        <v>10</v>
      </c>
      <c r="N4257" s="17" t="s">
        <v>64</v>
      </c>
      <c r="O4257" s="11"/>
      <c r="P4257" s="28" t="n">
        <f aca="false">6450193/100</f>
        <v>64501.93</v>
      </c>
      <c r="Q4257" s="28" t="n">
        <v>645019</v>
      </c>
      <c r="R4257" s="28"/>
      <c r="S4257" s="28" t="n">
        <f aca="false">R4257*$M4257</f>
        <v>0</v>
      </c>
      <c r="T4257" s="28"/>
      <c r="U4257" s="28" t="n">
        <f aca="false">T4257*$M4257</f>
        <v>0</v>
      </c>
      <c r="V4257" s="28"/>
      <c r="W4257" s="28" t="n">
        <f aca="false">V4257*$M4257</f>
        <v>0</v>
      </c>
      <c r="X4257" s="28"/>
      <c r="Y4257" s="28" t="n">
        <f aca="false">X4257*$M4257</f>
        <v>0</v>
      </c>
      <c r="Z4257" s="28"/>
      <c r="AA4257" s="28" t="n">
        <f aca="false">Z4257*$M4257</f>
        <v>0</v>
      </c>
      <c r="AB4257" s="28" t="n">
        <f aca="false">601547/100</f>
        <v>6015.47</v>
      </c>
      <c r="AC4257" s="28" t="n">
        <v>60155</v>
      </c>
      <c r="AD4257" s="28"/>
      <c r="AE4257" s="28" t="n">
        <f aca="false">AD4257*$M4257</f>
        <v>0</v>
      </c>
      <c r="AF4257" s="28" t="n">
        <f aca="false">727551/100</f>
        <v>7275.51</v>
      </c>
      <c r="AG4257" s="28" t="n">
        <v>72755</v>
      </c>
      <c r="AH4257" s="28" t="n">
        <f aca="false">52982/100</f>
        <v>529.82</v>
      </c>
      <c r="AI4257" s="28" t="n">
        <v>5299</v>
      </c>
      <c r="AJ4257" s="28"/>
      <c r="AK4257" s="28" t="n">
        <f aca="false">AJ4257*$M4257</f>
        <v>0</v>
      </c>
      <c r="AL4257" s="28"/>
      <c r="AM4257" s="28" t="n">
        <f aca="false">AL4257*$M4257</f>
        <v>0</v>
      </c>
      <c r="AN4257" s="28"/>
      <c r="AO4257" s="28" t="n">
        <f aca="false">AN4257*$M4257</f>
        <v>0</v>
      </c>
      <c r="AP4257" s="28"/>
      <c r="AQ4257" s="28" t="n">
        <f aca="false">AP4257*$M4257</f>
        <v>0</v>
      </c>
      <c r="AR4257" s="28"/>
      <c r="AS4257" s="28" t="n">
        <f aca="false">AR4257*$M4257</f>
        <v>0</v>
      </c>
      <c r="AT4257" s="28"/>
      <c r="AU4257" s="28" t="n">
        <f aca="false">AT4257*$M4257</f>
        <v>0</v>
      </c>
      <c r="AV4257" s="28"/>
      <c r="AW4257" s="28" t="n">
        <f aca="false">AV4257*$M4257</f>
        <v>0</v>
      </c>
      <c r="AX4257" s="28"/>
      <c r="AY4257" s="28" t="n">
        <f aca="false">AX4257*$M4257</f>
        <v>0</v>
      </c>
      <c r="AZ4257" s="30" t="n">
        <f aca="false">7832273/100</f>
        <v>78322.73</v>
      </c>
      <c r="BA4257" s="11" t="n">
        <v>783228</v>
      </c>
      <c r="BB4257" s="31" t="n">
        <f aca="false">SUM(Q4257,S4257,U4257,W4257,Y4257,AA4257,AC4257,AE4257,AG4257,AI4257,AK4257,AM4257,AO4257,AQ4257,AS4257,AU4257,AW4257,AY4257)</f>
        <v>783228</v>
      </c>
      <c r="BC4257" s="28" t="n">
        <f aca="false">BA4257-BB4257</f>
        <v>0</v>
      </c>
      <c r="BD4257" s="32" t="n">
        <f aca="false">SUM(P4257,R4257,T4257,V4257,X4257,Z4257,AB4257,AD4257,AF4257,AH4257,AJ4257,AL4257,AN4257,AP4257,AR4257,AT4257,AV4257,AX4257)</f>
        <v>78322.73</v>
      </c>
      <c r="BE4257" s="33" t="n">
        <f aca="false">AZ4257-BD4257</f>
        <v>0</v>
      </c>
      <c r="BF4257" s="34" t="n">
        <f aca="false">BD4257*M4257</f>
        <v>783227.3</v>
      </c>
      <c r="BG4257" s="35" t="n">
        <f aca="false">BA4257-BF4257</f>
        <v>0.700000000069849</v>
      </c>
      <c r="BH4257" s="19" t="str">
        <f aca="false">IF(BG4257=0,"",IF(BG4257&lt;&gt;BA4257,"erreur de calcul",IF(BD4257&lt;&gt;0,"pas de prix",IF(M4257&lt;&gt; 0,"pas de quantité","pas de prix, ni de quantité"))))</f>
        <v>erreur de calcul</v>
      </c>
      <c r="BI4257" s="19"/>
    </row>
    <row r="4258" customFormat="false" ht="15" hidden="false" customHeight="false" outlineLevel="0" collapsed="false">
      <c r="A4258" s="0" t="n">
        <v>3</v>
      </c>
      <c r="B4258" s="8" t="s">
        <v>24</v>
      </c>
      <c r="C4258" s="9" t="s">
        <v>25</v>
      </c>
      <c r="D4258" s="9" t="s">
        <v>26</v>
      </c>
      <c r="E4258" s="10" t="n">
        <v>1789</v>
      </c>
      <c r="F4258" s="9" t="s">
        <v>27</v>
      </c>
      <c r="G4258" s="9" t="s">
        <v>27</v>
      </c>
      <c r="H4258" s="11" t="n">
        <v>20</v>
      </c>
      <c r="I4258" s="11" t="s">
        <v>119</v>
      </c>
      <c r="J4258" s="14" t="n">
        <v>10</v>
      </c>
      <c r="K4258" s="14"/>
      <c r="L4258" s="16"/>
      <c r="M4258" s="27" t="n">
        <f aca="false">J4258+(K4258/20)+(L4258/240)</f>
        <v>10</v>
      </c>
      <c r="N4258" s="17" t="s">
        <v>64</v>
      </c>
      <c r="O4258" s="11"/>
      <c r="P4258" s="28" t="n">
        <f aca="false">2617064/100</f>
        <v>26170.64</v>
      </c>
      <c r="Q4258" s="28" t="n">
        <v>261706</v>
      </c>
      <c r="R4258" s="28"/>
      <c r="S4258" s="28" t="n">
        <f aca="false">R4258*$M4258</f>
        <v>0</v>
      </c>
      <c r="T4258" s="28" t="n">
        <f aca="false">251959/100</f>
        <v>2519.59</v>
      </c>
      <c r="U4258" s="28" t="n">
        <v>25196</v>
      </c>
      <c r="V4258" s="28"/>
      <c r="W4258" s="28" t="n">
        <f aca="false">V4258*$M4258</f>
        <v>0</v>
      </c>
      <c r="X4258" s="28"/>
      <c r="Y4258" s="28" t="n">
        <f aca="false">X4258*$M4258</f>
        <v>0</v>
      </c>
      <c r="Z4258" s="28"/>
      <c r="AA4258" s="28" t="n">
        <f aca="false">Z4258*$M4258</f>
        <v>0</v>
      </c>
      <c r="AB4258" s="28"/>
      <c r="AC4258" s="28" t="n">
        <f aca="false">AB4258*$M4258</f>
        <v>0</v>
      </c>
      <c r="AD4258" s="28"/>
      <c r="AE4258" s="28" t="n">
        <f aca="false">AD4258*$M4258</f>
        <v>0</v>
      </c>
      <c r="AF4258" s="28"/>
      <c r="AG4258" s="28" t="n">
        <f aca="false">AF4258*$M4258</f>
        <v>0</v>
      </c>
      <c r="AH4258" s="28"/>
      <c r="AI4258" s="28" t="n">
        <f aca="false">AH4258*$M4258</f>
        <v>0</v>
      </c>
      <c r="AJ4258" s="28"/>
      <c r="AK4258" s="28" t="n">
        <f aca="false">AJ4258*$M4258</f>
        <v>0</v>
      </c>
      <c r="AL4258" s="28"/>
      <c r="AM4258" s="28" t="n">
        <f aca="false">AL4258*$M4258</f>
        <v>0</v>
      </c>
      <c r="AN4258" s="28"/>
      <c r="AO4258" s="28" t="n">
        <f aca="false">AN4258*$M4258</f>
        <v>0</v>
      </c>
      <c r="AP4258" s="28"/>
      <c r="AQ4258" s="28" t="n">
        <f aca="false">AP4258*$M4258</f>
        <v>0</v>
      </c>
      <c r="AR4258" s="28"/>
      <c r="AS4258" s="28" t="n">
        <f aca="false">AR4258*$M4258</f>
        <v>0</v>
      </c>
      <c r="AT4258" s="28"/>
      <c r="AU4258" s="28" t="n">
        <f aca="false">AT4258*$M4258</f>
        <v>0</v>
      </c>
      <c r="AV4258" s="28"/>
      <c r="AW4258" s="28" t="n">
        <f aca="false">AV4258*$M4258</f>
        <v>0</v>
      </c>
      <c r="AX4258" s="28"/>
      <c r="AY4258" s="28" t="n">
        <f aca="false">AX4258*$M4258</f>
        <v>0</v>
      </c>
      <c r="AZ4258" s="30" t="n">
        <f aca="false">2869023/100</f>
        <v>28690.23</v>
      </c>
      <c r="BA4258" s="11" t="n">
        <v>286902</v>
      </c>
      <c r="BB4258" s="31" t="n">
        <f aca="false">SUM(Q4258,S4258,U4258,W4258,Y4258,AA4258,AC4258,AE4258,AG4258,AI4258,AK4258,AM4258,AO4258,AQ4258,AS4258,AU4258,AW4258,AY4258)</f>
        <v>286902</v>
      </c>
      <c r="BC4258" s="28" t="n">
        <f aca="false">BA4258-BB4258</f>
        <v>0</v>
      </c>
      <c r="BD4258" s="32" t="n">
        <f aca="false">SUM(P4258,R4258,T4258,V4258,X4258,Z4258,AB4258,AD4258,AF4258,AH4258,AJ4258,AL4258,AN4258,AP4258,AR4258,AT4258,AV4258,AX4258)</f>
        <v>28690.23</v>
      </c>
      <c r="BE4258" s="33" t="n">
        <f aca="false">AZ4258-BD4258</f>
        <v>0</v>
      </c>
      <c r="BF4258" s="34" t="n">
        <f aca="false">BD4258*M4258</f>
        <v>286902.3</v>
      </c>
      <c r="BG4258" s="35" t="n">
        <f aca="false">BA4258-BF4258</f>
        <v>-0.299999999988358</v>
      </c>
      <c r="BH4258" s="19" t="str">
        <f aca="false">IF(BG4258=0,"",IF(BG4258&lt;&gt;BA4258,"erreur de calcul",IF(BD4258&lt;&gt;0,"pas de prix",IF(M4258&lt;&gt; 0,"pas de quantité","pas de prix, ni de quantité"))))</f>
        <v>erreur de calcul</v>
      </c>
      <c r="BI4258" s="19"/>
    </row>
    <row r="4259" customFormat="false" ht="16.65" hidden="false" customHeight="false" outlineLevel="0" collapsed="false">
      <c r="A4259" s="0" t="n">
        <v>4</v>
      </c>
      <c r="B4259" s="8" t="s">
        <v>24</v>
      </c>
      <c r="C4259" s="9" t="s">
        <v>25</v>
      </c>
      <c r="D4259" s="9" t="s">
        <v>26</v>
      </c>
      <c r="E4259" s="10" t="n">
        <v>1789</v>
      </c>
      <c r="F4259" s="9" t="s">
        <v>27</v>
      </c>
      <c r="G4259" s="9" t="s">
        <v>27</v>
      </c>
      <c r="H4259" s="11" t="n">
        <v>20</v>
      </c>
      <c r="I4259" s="11" t="s">
        <v>120</v>
      </c>
      <c r="J4259" s="14" t="n">
        <v>12</v>
      </c>
      <c r="K4259" s="14"/>
      <c r="L4259" s="16"/>
      <c r="M4259" s="27" t="n">
        <f aca="false">J4259+(K4259/20)+(L4259/240)</f>
        <v>12</v>
      </c>
      <c r="N4259" s="17" t="s">
        <v>64</v>
      </c>
      <c r="O4259" s="11" t="s">
        <v>77</v>
      </c>
      <c r="P4259" s="28"/>
      <c r="Q4259" s="28" t="n">
        <f aca="false">P4259*$M4259</f>
        <v>0</v>
      </c>
      <c r="R4259" s="28"/>
      <c r="S4259" s="28" t="n">
        <f aca="false">R4259*$M4259</f>
        <v>0</v>
      </c>
      <c r="T4259" s="28"/>
      <c r="U4259" s="28" t="n">
        <f aca="false">T4259*$M4259</f>
        <v>0</v>
      </c>
      <c r="V4259" s="28" t="n">
        <f aca="false">15268/100</f>
        <v>152.68</v>
      </c>
      <c r="W4259" s="28" t="n">
        <v>1832</v>
      </c>
      <c r="X4259" s="28"/>
      <c r="Y4259" s="28" t="n">
        <f aca="false">X4259*$M4259</f>
        <v>0</v>
      </c>
      <c r="Z4259" s="28"/>
      <c r="AA4259" s="28" t="n">
        <f aca="false">Z4259*$M4259</f>
        <v>0</v>
      </c>
      <c r="AB4259" s="28"/>
      <c r="AC4259" s="28" t="n">
        <f aca="false">AB4259*$M4259</f>
        <v>0</v>
      </c>
      <c r="AD4259" s="28"/>
      <c r="AE4259" s="28" t="n">
        <f aca="false">AD4259*$M4259</f>
        <v>0</v>
      </c>
      <c r="AF4259" s="28"/>
      <c r="AG4259" s="28" t="n">
        <f aca="false">AF4259*$M4259</f>
        <v>0</v>
      </c>
      <c r="AH4259" s="28" t="n">
        <f aca="false">26667/100</f>
        <v>266.67</v>
      </c>
      <c r="AI4259" s="28" t="n">
        <v>3200</v>
      </c>
      <c r="AJ4259" s="28"/>
      <c r="AK4259" s="28" t="n">
        <f aca="false">AJ4259*$M4259</f>
        <v>0</v>
      </c>
      <c r="AL4259" s="28"/>
      <c r="AM4259" s="28" t="n">
        <f aca="false">AL4259*$M4259</f>
        <v>0</v>
      </c>
      <c r="AN4259" s="28"/>
      <c r="AO4259" s="28" t="n">
        <f aca="false">AN4259*$M4259</f>
        <v>0</v>
      </c>
      <c r="AP4259" s="28"/>
      <c r="AQ4259" s="28" t="n">
        <f aca="false">AP4259*$M4259</f>
        <v>0</v>
      </c>
      <c r="AR4259" s="28"/>
      <c r="AS4259" s="28" t="n">
        <f aca="false">AR4259*$M4259</f>
        <v>0</v>
      </c>
      <c r="AT4259" s="28"/>
      <c r="AU4259" s="28" t="n">
        <f aca="false">AT4259*$M4259</f>
        <v>0</v>
      </c>
      <c r="AV4259" s="28"/>
      <c r="AW4259" s="28" t="n">
        <f aca="false">AV4259*$M4259</f>
        <v>0</v>
      </c>
      <c r="AX4259" s="28"/>
      <c r="AY4259" s="28" t="n">
        <f aca="false">AX4259*$M4259</f>
        <v>0</v>
      </c>
      <c r="AZ4259" s="30" t="n">
        <f aca="false">41935/100</f>
        <v>419.35</v>
      </c>
      <c r="BA4259" s="11" t="n">
        <v>5032</v>
      </c>
      <c r="BB4259" s="31" t="n">
        <f aca="false">SUM(Q4259,S4259,U4259,W4259,Y4259,AA4259,AC4259,AE4259,AG4259,AI4259,AK4259,AM4259,AO4259,AQ4259,AS4259,AU4259,AW4259,AY4259)</f>
        <v>5032</v>
      </c>
      <c r="BC4259" s="28" t="n">
        <f aca="false">BA4259-BB4259</f>
        <v>0</v>
      </c>
      <c r="BD4259" s="32" t="n">
        <f aca="false">SUM(P4259,R4259,T4259,V4259,X4259,Z4259,AB4259,AD4259,AF4259,AH4259,AJ4259,AL4259,AN4259,AP4259,AR4259,AT4259,AV4259,AX4259)</f>
        <v>419.35</v>
      </c>
      <c r="BE4259" s="33" t="n">
        <f aca="false">AZ4259-BD4259</f>
        <v>0</v>
      </c>
      <c r="BF4259" s="34" t="n">
        <f aca="false">BD4259*M4259</f>
        <v>5032.2</v>
      </c>
      <c r="BG4259" s="35" t="n">
        <f aca="false">BA4259-BF4259</f>
        <v>-0.200000000000728</v>
      </c>
      <c r="BH4259" s="19" t="str">
        <f aca="false">IF(BG4259=0,"",IF(BG4259&lt;&gt;BA4259,"erreur de calcul",IF(BD4259&lt;&gt;0,"pas de prix",IF(M4259&lt;&gt; 0,"pas de quantité","pas de prix, ni de quantité"))))</f>
        <v>erreur de calcul</v>
      </c>
      <c r="BI4259" s="19"/>
    </row>
    <row r="4260" customFormat="false" ht="15" hidden="false" customHeight="false" outlineLevel="0" collapsed="false">
      <c r="A4260" s="0" t="n">
        <v>5</v>
      </c>
      <c r="B4260" s="8" t="s">
        <v>24</v>
      </c>
      <c r="C4260" s="9" t="s">
        <v>25</v>
      </c>
      <c r="D4260" s="9" t="s">
        <v>26</v>
      </c>
      <c r="E4260" s="10" t="n">
        <v>1789</v>
      </c>
      <c r="F4260" s="9" t="s">
        <v>27</v>
      </c>
      <c r="G4260" s="9" t="s">
        <v>27</v>
      </c>
      <c r="H4260" s="11" t="n">
        <v>20</v>
      </c>
      <c r="I4260" s="11" t="s">
        <v>121</v>
      </c>
      <c r="J4260" s="14" t="n">
        <v>28</v>
      </c>
      <c r="K4260" s="14"/>
      <c r="L4260" s="16"/>
      <c r="M4260" s="27" t="n">
        <f aca="false">J4260+(K4260/20)+(L4260/240)</f>
        <v>28</v>
      </c>
      <c r="N4260" s="17" t="s">
        <v>64</v>
      </c>
      <c r="O4260" s="11"/>
      <c r="P4260" s="28"/>
      <c r="Q4260" s="28" t="n">
        <f aca="false">P4260*$M4260</f>
        <v>0</v>
      </c>
      <c r="R4260" s="28"/>
      <c r="S4260" s="28" t="n">
        <f aca="false">R4260*$M4260</f>
        <v>0</v>
      </c>
      <c r="T4260" s="28"/>
      <c r="U4260" s="28" t="n">
        <f aca="false">T4260*$M4260</f>
        <v>0</v>
      </c>
      <c r="V4260" s="28"/>
      <c r="W4260" s="28" t="n">
        <f aca="false">V4260*$M4260</f>
        <v>0</v>
      </c>
      <c r="X4260" s="28" t="n">
        <f aca="false">187504/100</f>
        <v>1875.04</v>
      </c>
      <c r="Y4260" s="28" t="n">
        <v>52501</v>
      </c>
      <c r="Z4260" s="28" t="n">
        <f aca="false">1041667/100</f>
        <v>10416.67</v>
      </c>
      <c r="AA4260" s="28" t="n">
        <v>291667</v>
      </c>
      <c r="AB4260" s="28"/>
      <c r="AC4260" s="28" t="n">
        <f aca="false">AB4260*$M4260</f>
        <v>0</v>
      </c>
      <c r="AD4260" s="28"/>
      <c r="AE4260" s="28" t="n">
        <f aca="false">AD4260*$M4260</f>
        <v>0</v>
      </c>
      <c r="AF4260" s="28"/>
      <c r="AG4260" s="28" t="n">
        <f aca="false">AF4260*$M4260</f>
        <v>0</v>
      </c>
      <c r="AH4260" s="28"/>
      <c r="AI4260" s="28" t="n">
        <f aca="false">AH4260*$M4260</f>
        <v>0</v>
      </c>
      <c r="AJ4260" s="28"/>
      <c r="AK4260" s="28" t="n">
        <f aca="false">AJ4260*$M4260</f>
        <v>0</v>
      </c>
      <c r="AL4260" s="28"/>
      <c r="AM4260" s="28" t="n">
        <f aca="false">AL4260*$M4260</f>
        <v>0</v>
      </c>
      <c r="AN4260" s="28"/>
      <c r="AO4260" s="28" t="n">
        <f aca="false">AN4260*$M4260</f>
        <v>0</v>
      </c>
      <c r="AP4260" s="28"/>
      <c r="AQ4260" s="28" t="n">
        <f aca="false">AP4260*$M4260</f>
        <v>0</v>
      </c>
      <c r="AR4260" s="28"/>
      <c r="AS4260" s="28" t="n">
        <f aca="false">AR4260*$M4260</f>
        <v>0</v>
      </c>
      <c r="AT4260" s="28"/>
      <c r="AU4260" s="28" t="n">
        <f aca="false">AT4260*$M4260</f>
        <v>0</v>
      </c>
      <c r="AV4260" s="28"/>
      <c r="AW4260" s="28" t="n">
        <f aca="false">AV4260*$M4260</f>
        <v>0</v>
      </c>
      <c r="AX4260" s="28"/>
      <c r="AY4260" s="28" t="n">
        <f aca="false">AX4260*$M4260</f>
        <v>0</v>
      </c>
      <c r="AZ4260" s="30" t="n">
        <f aca="false">1229171/100</f>
        <v>12291.71</v>
      </c>
      <c r="BA4260" s="11" t="n">
        <v>344168</v>
      </c>
      <c r="BB4260" s="31" t="n">
        <f aca="false">SUM(Q4260,S4260,U4260,W4260,Y4260,AA4260,AC4260,AE4260,AG4260,AI4260,AK4260,AM4260,AO4260,AQ4260,AS4260,AU4260,AW4260,AY4260)</f>
        <v>344168</v>
      </c>
      <c r="BC4260" s="28" t="n">
        <f aca="false">BA4260-BB4260</f>
        <v>0</v>
      </c>
      <c r="BD4260" s="32" t="n">
        <f aca="false">SUM(P4260,R4260,T4260,V4260,X4260,Z4260,AB4260,AD4260,AF4260,AH4260,AJ4260,AL4260,AN4260,AP4260,AR4260,AT4260,AV4260,AX4260)</f>
        <v>12291.71</v>
      </c>
      <c r="BE4260" s="33" t="n">
        <f aca="false">AZ4260-BD4260</f>
        <v>0</v>
      </c>
      <c r="BF4260" s="34" t="n">
        <f aca="false">BD4260*M4260</f>
        <v>344167.88</v>
      </c>
      <c r="BG4260" s="35" t="n">
        <f aca="false">BA4260-BF4260</f>
        <v>0.119999999995343</v>
      </c>
      <c r="BH4260" s="19" t="str">
        <f aca="false">IF(BG4260=0,"",IF(BG4260&lt;&gt;BA4260,"erreur de calcul",IF(BD4260&lt;&gt;0,"pas de prix",IF(M4260&lt;&gt; 0,"pas de quantité","pas de prix, ni de quantité"))))</f>
        <v>erreur de calcul</v>
      </c>
      <c r="BI4260" s="19"/>
    </row>
    <row r="4261" customFormat="false" ht="15" hidden="false" customHeight="false" outlineLevel="0" collapsed="false">
      <c r="A4261" s="0" t="n">
        <v>6</v>
      </c>
      <c r="B4261" s="8" t="s">
        <v>24</v>
      </c>
      <c r="C4261" s="9" t="s">
        <v>25</v>
      </c>
      <c r="D4261" s="9" t="s">
        <v>26</v>
      </c>
      <c r="E4261" s="10" t="n">
        <v>1789</v>
      </c>
      <c r="F4261" s="9" t="s">
        <v>27</v>
      </c>
      <c r="G4261" s="9" t="s">
        <v>27</v>
      </c>
      <c r="H4261" s="11" t="n">
        <v>20</v>
      </c>
      <c r="I4261" s="11" t="s">
        <v>122</v>
      </c>
      <c r="J4261" s="14" t="n">
        <v>16</v>
      </c>
      <c r="K4261" s="14"/>
      <c r="L4261" s="16"/>
      <c r="M4261" s="27" t="n">
        <f aca="false">J4261+(K4261/20)+(L4261/240)</f>
        <v>16</v>
      </c>
      <c r="N4261" s="17" t="s">
        <v>64</v>
      </c>
      <c r="O4261" s="11"/>
      <c r="P4261" s="28" t="n">
        <f aca="false">1774951/100</f>
        <v>17749.51</v>
      </c>
      <c r="Q4261" s="28" t="n">
        <v>283992</v>
      </c>
      <c r="R4261" s="28"/>
      <c r="S4261" s="28" t="n">
        <f aca="false">R4261*$M4261</f>
        <v>0</v>
      </c>
      <c r="T4261" s="28"/>
      <c r="U4261" s="28" t="n">
        <f aca="false">T4261*$M4261</f>
        <v>0</v>
      </c>
      <c r="V4261" s="28" t="n">
        <f aca="false">20834/100</f>
        <v>208.34</v>
      </c>
      <c r="W4261" s="28" t="n">
        <v>3333</v>
      </c>
      <c r="X4261" s="28" t="n">
        <f aca="false">85901/100</f>
        <v>859.01</v>
      </c>
      <c r="Y4261" s="28" t="n">
        <v>13744</v>
      </c>
      <c r="Z4261" s="28"/>
      <c r="AA4261" s="28" t="n">
        <f aca="false">Z4261*$M4261</f>
        <v>0</v>
      </c>
      <c r="AB4261" s="28" t="n">
        <f aca="false">6847841/100</f>
        <v>68478.41</v>
      </c>
      <c r="AC4261" s="28" t="n">
        <v>1095654</v>
      </c>
      <c r="AD4261" s="28"/>
      <c r="AE4261" s="28" t="n">
        <f aca="false">AD4261*$M4261</f>
        <v>0</v>
      </c>
      <c r="AF4261" s="28"/>
      <c r="AG4261" s="28" t="n">
        <f aca="false">AF4261*$M4261</f>
        <v>0</v>
      </c>
      <c r="AH4261" s="28" t="n">
        <f aca="false">50417/100</f>
        <v>504.17</v>
      </c>
      <c r="AI4261" s="28" t="n">
        <v>8067</v>
      </c>
      <c r="AJ4261" s="28"/>
      <c r="AK4261" s="28" t="n">
        <f aca="false">AJ4261*$M4261</f>
        <v>0</v>
      </c>
      <c r="AL4261" s="28"/>
      <c r="AM4261" s="28" t="n">
        <f aca="false">AL4261*$M4261</f>
        <v>0</v>
      </c>
      <c r="AN4261" s="28"/>
      <c r="AO4261" s="28" t="n">
        <f aca="false">AN4261*$M4261</f>
        <v>0</v>
      </c>
      <c r="AP4261" s="28"/>
      <c r="AQ4261" s="28" t="n">
        <f aca="false">AP4261*$M4261</f>
        <v>0</v>
      </c>
      <c r="AR4261" s="28"/>
      <c r="AS4261" s="28" t="n">
        <f aca="false">AR4261*$M4261</f>
        <v>0</v>
      </c>
      <c r="AT4261" s="28"/>
      <c r="AU4261" s="28" t="n">
        <f aca="false">AT4261*$M4261</f>
        <v>0</v>
      </c>
      <c r="AV4261" s="28"/>
      <c r="AW4261" s="28" t="n">
        <f aca="false">AV4261*$M4261</f>
        <v>0</v>
      </c>
      <c r="AX4261" s="28"/>
      <c r="AY4261" s="28" t="n">
        <f aca="false">AX4261*$M4261</f>
        <v>0</v>
      </c>
      <c r="AZ4261" s="30" t="n">
        <f aca="false">8779944/100</f>
        <v>87799.44</v>
      </c>
      <c r="BA4261" s="11" t="n">
        <v>1404790</v>
      </c>
      <c r="BB4261" s="31" t="n">
        <f aca="false">SUM(Q4261,S4261,U4261,W4261,Y4261,AA4261,AC4261,AE4261,AG4261,AI4261,AK4261,AM4261,AO4261,AQ4261,AS4261,AU4261,AW4261,AY4261)</f>
        <v>1404790</v>
      </c>
      <c r="BC4261" s="28" t="n">
        <f aca="false">BA4261-BB4261</f>
        <v>0</v>
      </c>
      <c r="BD4261" s="32" t="n">
        <f aca="false">SUM(P4261,R4261,T4261,V4261,X4261,Z4261,AB4261,AD4261,AF4261,AH4261,AJ4261,AL4261,AN4261,AP4261,AR4261,AT4261,AV4261,AX4261)</f>
        <v>87799.44</v>
      </c>
      <c r="BE4261" s="33" t="n">
        <f aca="false">AZ4261-BD4261</f>
        <v>0</v>
      </c>
      <c r="BF4261" s="34" t="n">
        <f aca="false">BD4261*M4261</f>
        <v>1404791.04</v>
      </c>
      <c r="BG4261" s="35" t="n">
        <f aca="false">BA4261-BF4261</f>
        <v>-1.03999999980442</v>
      </c>
      <c r="BH4261" s="19" t="str">
        <f aca="false">IF(BG4261=0,"",IF(BG4261&lt;&gt;BA4261,"erreur de calcul",IF(BD4261&lt;&gt;0,"pas de prix",IF(M4261&lt;&gt; 0,"pas de quantité","pas de prix, ni de quantité"))))</f>
        <v>erreur de calcul</v>
      </c>
      <c r="BI4261" s="19"/>
    </row>
    <row r="4262" customFormat="false" ht="15" hidden="false" customHeight="false" outlineLevel="0" collapsed="false">
      <c r="A4262" s="0" t="n">
        <v>7</v>
      </c>
      <c r="B4262" s="8" t="s">
        <v>24</v>
      </c>
      <c r="C4262" s="9" t="s">
        <v>25</v>
      </c>
      <c r="D4262" s="9" t="s">
        <v>26</v>
      </c>
      <c r="E4262" s="10" t="n">
        <v>1789</v>
      </c>
      <c r="F4262" s="9" t="s">
        <v>27</v>
      </c>
      <c r="G4262" s="9" t="s">
        <v>27</v>
      </c>
      <c r="H4262" s="11" t="n">
        <v>20</v>
      </c>
      <c r="I4262" s="11" t="s">
        <v>123</v>
      </c>
      <c r="J4262" s="14" t="n">
        <v>12</v>
      </c>
      <c r="K4262" s="14"/>
      <c r="L4262" s="16"/>
      <c r="M4262" s="27" t="n">
        <f aca="false">J4262+(K4262/20)+(L4262/240)</f>
        <v>12</v>
      </c>
      <c r="N4262" s="17" t="s">
        <v>64</v>
      </c>
      <c r="O4262" s="11"/>
      <c r="P4262" s="28"/>
      <c r="Q4262" s="28" t="n">
        <f aca="false">P4262*$M4262</f>
        <v>0</v>
      </c>
      <c r="R4262" s="28"/>
      <c r="S4262" s="28" t="n">
        <f aca="false">R4262*$M4262</f>
        <v>0</v>
      </c>
      <c r="T4262" s="28"/>
      <c r="U4262" s="28" t="n">
        <f aca="false">T4262*$M4262</f>
        <v>0</v>
      </c>
      <c r="V4262" s="28"/>
      <c r="W4262" s="28" t="n">
        <f aca="false">V4262*$M4262</f>
        <v>0</v>
      </c>
      <c r="X4262" s="28"/>
      <c r="Y4262" s="28" t="n">
        <f aca="false">X4262*$M4262</f>
        <v>0</v>
      </c>
      <c r="Z4262" s="28"/>
      <c r="AA4262" s="28" t="n">
        <f aca="false">Z4262*$M4262</f>
        <v>0</v>
      </c>
      <c r="AB4262" s="28"/>
      <c r="AC4262" s="28" t="n">
        <f aca="false">AB4262*$M4262</f>
        <v>0</v>
      </c>
      <c r="AD4262" s="28"/>
      <c r="AE4262" s="28" t="n">
        <f aca="false">AD4262*$M4262</f>
        <v>0</v>
      </c>
      <c r="AF4262" s="28"/>
      <c r="AG4262" s="28" t="n">
        <f aca="false">AF4262*$M4262</f>
        <v>0</v>
      </c>
      <c r="AH4262" s="28" t="n">
        <f aca="false">5697511/100</f>
        <v>56975.11</v>
      </c>
      <c r="AI4262" s="28" t="n">
        <v>683701</v>
      </c>
      <c r="AJ4262" s="28"/>
      <c r="AK4262" s="28" t="n">
        <f aca="false">AJ4262*$M4262</f>
        <v>0</v>
      </c>
      <c r="AL4262" s="28"/>
      <c r="AM4262" s="28" t="n">
        <f aca="false">AL4262*$M4262</f>
        <v>0</v>
      </c>
      <c r="AN4262" s="28"/>
      <c r="AO4262" s="28" t="n">
        <f aca="false">AN4262*$M4262</f>
        <v>0</v>
      </c>
      <c r="AP4262" s="28"/>
      <c r="AQ4262" s="28" t="n">
        <f aca="false">AP4262*$M4262</f>
        <v>0</v>
      </c>
      <c r="AR4262" s="28"/>
      <c r="AS4262" s="28" t="n">
        <f aca="false">AR4262*$M4262</f>
        <v>0</v>
      </c>
      <c r="AT4262" s="28"/>
      <c r="AU4262" s="28" t="n">
        <f aca="false">AT4262*$M4262</f>
        <v>0</v>
      </c>
      <c r="AV4262" s="28"/>
      <c r="AW4262" s="28" t="n">
        <f aca="false">AV4262*$M4262</f>
        <v>0</v>
      </c>
      <c r="AX4262" s="28"/>
      <c r="AY4262" s="28" t="n">
        <f aca="false">AX4262*$M4262</f>
        <v>0</v>
      </c>
      <c r="AZ4262" s="30" t="n">
        <f aca="false">5697511/100</f>
        <v>56975.11</v>
      </c>
      <c r="BA4262" s="11" t="n">
        <v>683701</v>
      </c>
      <c r="BB4262" s="31" t="n">
        <f aca="false">SUM(Q4262,S4262,U4262,W4262,Y4262,AA4262,AC4262,AE4262,AG4262,AI4262,AK4262,AM4262,AO4262,AQ4262,AS4262,AU4262,AW4262,AY4262)</f>
        <v>683701</v>
      </c>
      <c r="BC4262" s="28" t="n">
        <f aca="false">BA4262-BB4262</f>
        <v>0</v>
      </c>
      <c r="BD4262" s="32" t="n">
        <f aca="false">SUM(P4262,R4262,T4262,V4262,X4262,Z4262,AB4262,AD4262,AF4262,AH4262,AJ4262,AL4262,AN4262,AP4262,AR4262,AT4262,AV4262,AX4262)</f>
        <v>56975.11</v>
      </c>
      <c r="BE4262" s="33" t="n">
        <f aca="false">AZ4262-BD4262</f>
        <v>0</v>
      </c>
      <c r="BF4262" s="34" t="n">
        <f aca="false">BD4262*M4262</f>
        <v>683701.32</v>
      </c>
      <c r="BG4262" s="35" t="n">
        <f aca="false">BA4262-BF4262</f>
        <v>-0.320000000065193</v>
      </c>
      <c r="BH4262" s="19" t="str">
        <f aca="false">IF(BG4262=0,"",IF(BG4262&lt;&gt;BA4262,"erreur de calcul",IF(BD4262&lt;&gt;0,"pas de prix",IF(M4262&lt;&gt; 0,"pas de quantité","pas de prix, ni de quantité"))))</f>
        <v>erreur de calcul</v>
      </c>
      <c r="BI4262" s="19"/>
    </row>
    <row r="4263" customFormat="false" ht="15" hidden="false" customHeight="false" outlineLevel="0" collapsed="false">
      <c r="A4263" s="0" t="n">
        <v>8</v>
      </c>
      <c r="B4263" s="8" t="s">
        <v>24</v>
      </c>
      <c r="C4263" s="9" t="s">
        <v>25</v>
      </c>
      <c r="D4263" s="9" t="s">
        <v>26</v>
      </c>
      <c r="E4263" s="10" t="n">
        <v>1789</v>
      </c>
      <c r="F4263" s="9" t="s">
        <v>27</v>
      </c>
      <c r="G4263" s="9" t="s">
        <v>27</v>
      </c>
      <c r="H4263" s="11" t="n">
        <v>20</v>
      </c>
      <c r="I4263" s="11" t="s">
        <v>124</v>
      </c>
      <c r="J4263" s="14" t="n">
        <v>34</v>
      </c>
      <c r="K4263" s="14"/>
      <c r="L4263" s="16"/>
      <c r="M4263" s="27" t="n">
        <f aca="false">J4263+(K4263/20)+(L4263/240)</f>
        <v>34</v>
      </c>
      <c r="N4263" s="17" t="s">
        <v>64</v>
      </c>
      <c r="O4263" s="11"/>
      <c r="P4263" s="28"/>
      <c r="Q4263" s="28" t="n">
        <f aca="false">P4263*$M4263</f>
        <v>0</v>
      </c>
      <c r="R4263" s="28"/>
      <c r="S4263" s="28" t="n">
        <f aca="false">R4263*$M4263</f>
        <v>0</v>
      </c>
      <c r="T4263" s="28" t="n">
        <f aca="false">528/100</f>
        <v>5.28</v>
      </c>
      <c r="U4263" s="28" t="n">
        <v>179</v>
      </c>
      <c r="V4263" s="28"/>
      <c r="W4263" s="28" t="n">
        <f aca="false">V4263*$M4263</f>
        <v>0</v>
      </c>
      <c r="X4263" s="28" t="n">
        <f aca="false">1014/100</f>
        <v>10.14</v>
      </c>
      <c r="Y4263" s="36" t="n">
        <v>243</v>
      </c>
      <c r="Z4263" s="28"/>
      <c r="AA4263" s="28" t="n">
        <f aca="false">Z4263*$M4263</f>
        <v>0</v>
      </c>
      <c r="AB4263" s="28"/>
      <c r="AC4263" s="28" t="n">
        <f aca="false">AB4263*$M4263</f>
        <v>0</v>
      </c>
      <c r="AD4263" s="28"/>
      <c r="AE4263" s="28" t="n">
        <f aca="false">AD4263*$M4263</f>
        <v>0</v>
      </c>
      <c r="AF4263" s="28"/>
      <c r="AG4263" s="28" t="n">
        <f aca="false">AF4263*$M4263</f>
        <v>0</v>
      </c>
      <c r="AH4263" s="28"/>
      <c r="AI4263" s="28" t="n">
        <f aca="false">AH4263*$M4263</f>
        <v>0</v>
      </c>
      <c r="AJ4263" s="28" t="n">
        <f aca="false">1917/100</f>
        <v>19.17</v>
      </c>
      <c r="AK4263" s="28" t="n">
        <v>652</v>
      </c>
      <c r="AL4263" s="28"/>
      <c r="AM4263" s="28" t="n">
        <f aca="false">AL4263*$M4263</f>
        <v>0</v>
      </c>
      <c r="AN4263" s="28"/>
      <c r="AO4263" s="28" t="n">
        <f aca="false">AN4263*$M4263</f>
        <v>0</v>
      </c>
      <c r="AP4263" s="28"/>
      <c r="AQ4263" s="28" t="n">
        <f aca="false">AP4263*$M4263</f>
        <v>0</v>
      </c>
      <c r="AR4263" s="28"/>
      <c r="AS4263" s="28" t="n">
        <f aca="false">AR4263*$M4263</f>
        <v>0</v>
      </c>
      <c r="AT4263" s="28"/>
      <c r="AU4263" s="28" t="n">
        <f aca="false">AT4263*$M4263</f>
        <v>0</v>
      </c>
      <c r="AV4263" s="28"/>
      <c r="AW4263" s="28" t="n">
        <f aca="false">AV4263*$M4263</f>
        <v>0</v>
      </c>
      <c r="AX4263" s="28"/>
      <c r="AY4263" s="28" t="n">
        <f aca="false">AX4263*$M4263</f>
        <v>0</v>
      </c>
      <c r="AZ4263" s="30" t="n">
        <f aca="false">3459/100</f>
        <v>34.59</v>
      </c>
      <c r="BA4263" s="11" t="n">
        <v>1074</v>
      </c>
      <c r="BB4263" s="31" t="n">
        <f aca="false">SUM(Q4263,S4263,U4263,W4263,Y4263,AA4263,AC4263,AE4263,AG4263,AI4263,AK4263,AM4263,AO4263,AQ4263,AS4263,AU4263,AW4263,AY4263)</f>
        <v>1074</v>
      </c>
      <c r="BC4263" s="28" t="n">
        <f aca="false">BA4263-BB4263</f>
        <v>0</v>
      </c>
      <c r="BD4263" s="32" t="n">
        <f aca="false">SUM(P4263,R4263,T4263,V4263,X4263,Z4263,AB4263,AD4263,AF4263,AH4263,AJ4263,AL4263,AN4263,AP4263,AR4263,AT4263,AV4263,AX4263)</f>
        <v>34.59</v>
      </c>
      <c r="BE4263" s="33" t="n">
        <f aca="false">AZ4263-BD4263</f>
        <v>0</v>
      </c>
      <c r="BF4263" s="34" t="n">
        <f aca="false">BD4263*M4263</f>
        <v>1176.06</v>
      </c>
      <c r="BG4263" s="35" t="n">
        <f aca="false">BA4263-BF4263</f>
        <v>-102.06</v>
      </c>
      <c r="BH4263" s="19" t="str">
        <f aca="false">IF(BG4263=0,"",IF(BG4263&lt;&gt;BA4263,"erreur de calcul",IF(BD4263&lt;&gt;0,"pas de prix",IF(M4263&lt;&gt; 0,"pas de quantité","pas de prix, ni de quantité"))))</f>
        <v>erreur de calcul</v>
      </c>
      <c r="BI4263" s="19"/>
    </row>
    <row r="4264" customFormat="false" ht="15" hidden="false" customHeight="false" outlineLevel="0" collapsed="false">
      <c r="A4264" s="0" t="n">
        <v>9</v>
      </c>
      <c r="B4264" s="8" t="s">
        <v>24</v>
      </c>
      <c r="C4264" s="9" t="s">
        <v>25</v>
      </c>
      <c r="D4264" s="9" t="s">
        <v>26</v>
      </c>
      <c r="E4264" s="10" t="n">
        <v>1789</v>
      </c>
      <c r="F4264" s="9" t="s">
        <v>27</v>
      </c>
      <c r="G4264" s="9" t="s">
        <v>27</v>
      </c>
      <c r="H4264" s="11" t="n">
        <v>20</v>
      </c>
      <c r="I4264" s="11" t="s">
        <v>125</v>
      </c>
      <c r="J4264" s="14" t="n">
        <v>30</v>
      </c>
      <c r="K4264" s="14"/>
      <c r="L4264" s="16"/>
      <c r="M4264" s="27" t="n">
        <f aca="false">J4264+(K4264/20)+(L4264/240)</f>
        <v>30</v>
      </c>
      <c r="N4264" s="17" t="s">
        <v>64</v>
      </c>
      <c r="O4264" s="11"/>
      <c r="P4264" s="28" t="n">
        <f aca="false">31476/100</f>
        <v>314.76</v>
      </c>
      <c r="Q4264" s="28" t="n">
        <v>9443</v>
      </c>
      <c r="R4264" s="28"/>
      <c r="S4264" s="28" t="n">
        <f aca="false">R4264*$M4264</f>
        <v>0</v>
      </c>
      <c r="T4264" s="28"/>
      <c r="U4264" s="28" t="n">
        <f aca="false">T4264*$M4264</f>
        <v>0</v>
      </c>
      <c r="V4264" s="28"/>
      <c r="W4264" s="28" t="n">
        <f aca="false">V4264*$M4264</f>
        <v>0</v>
      </c>
      <c r="X4264" s="28" t="n">
        <f aca="false">2320/100</f>
        <v>23.2</v>
      </c>
      <c r="Y4264" s="28" t="n">
        <v>696</v>
      </c>
      <c r="Z4264" s="28"/>
      <c r="AA4264" s="28" t="n">
        <f aca="false">Z4264*$M4264</f>
        <v>0</v>
      </c>
      <c r="AB4264" s="28"/>
      <c r="AC4264" s="28" t="n">
        <f aca="false">AB4264*$M4264</f>
        <v>0</v>
      </c>
      <c r="AD4264" s="28"/>
      <c r="AE4264" s="28" t="n">
        <f aca="false">AD4264*$M4264</f>
        <v>0</v>
      </c>
      <c r="AF4264" s="28"/>
      <c r="AG4264" s="28" t="n">
        <f aca="false">AF4264*$M4264</f>
        <v>0</v>
      </c>
      <c r="AH4264" s="28"/>
      <c r="AI4264" s="28" t="n">
        <f aca="false">AH4264*$M4264</f>
        <v>0</v>
      </c>
      <c r="AJ4264" s="28"/>
      <c r="AK4264" s="28" t="n">
        <f aca="false">AJ4264*$M4264</f>
        <v>0</v>
      </c>
      <c r="AL4264" s="28"/>
      <c r="AM4264" s="28" t="n">
        <f aca="false">AL4264*$M4264</f>
        <v>0</v>
      </c>
      <c r="AN4264" s="28"/>
      <c r="AO4264" s="28" t="n">
        <f aca="false">AN4264*$M4264</f>
        <v>0</v>
      </c>
      <c r="AP4264" s="28" t="n">
        <f aca="false">5100/100</f>
        <v>51</v>
      </c>
      <c r="AQ4264" s="28" t="n">
        <v>1530</v>
      </c>
      <c r="AR4264" s="28"/>
      <c r="AS4264" s="28" t="n">
        <f aca="false">AR4264*$M4264</f>
        <v>0</v>
      </c>
      <c r="AT4264" s="28"/>
      <c r="AU4264" s="28" t="n">
        <f aca="false">AT4264*$M4264</f>
        <v>0</v>
      </c>
      <c r="AV4264" s="28"/>
      <c r="AW4264" s="28" t="n">
        <f aca="false">AV4264*$M4264</f>
        <v>0</v>
      </c>
      <c r="AX4264" s="28" t="n">
        <f aca="false">26345/100</f>
        <v>263.45</v>
      </c>
      <c r="AY4264" s="28" t="n">
        <v>7903</v>
      </c>
      <c r="AZ4264" s="30" t="n">
        <f aca="false">65241/100</f>
        <v>652.41</v>
      </c>
      <c r="BA4264" s="11" t="n">
        <v>19572</v>
      </c>
      <c r="BB4264" s="31" t="n">
        <f aca="false">SUM(Q4264,S4264,U4264,W4264,Y4264,AA4264,AC4264,AE4264,AG4264,AI4264,AK4264,AM4264,AO4264,AQ4264,AS4264,AU4264,AW4264,AY4264)</f>
        <v>19572</v>
      </c>
      <c r="BC4264" s="28" t="n">
        <f aca="false">BA4264-BB4264</f>
        <v>0</v>
      </c>
      <c r="BD4264" s="32" t="n">
        <f aca="false">SUM(P4264,R4264,T4264,V4264,X4264,Z4264,AB4264,AD4264,AF4264,AH4264,AJ4264,AL4264,AN4264,AP4264,AR4264,AT4264,AV4264,AX4264)</f>
        <v>652.41</v>
      </c>
      <c r="BE4264" s="33" t="n">
        <f aca="false">AZ4264-BD4264</f>
        <v>0</v>
      </c>
      <c r="BF4264" s="34" t="n">
        <f aca="false">BD4264*M4264</f>
        <v>19572.3</v>
      </c>
      <c r="BG4264" s="35" t="n">
        <f aca="false">BA4264-BF4264</f>
        <v>-0.299999999999272</v>
      </c>
      <c r="BH4264" s="19" t="str">
        <f aca="false">IF(BG4264=0,"",IF(BG4264&lt;&gt;BA4264,"erreur de calcul",IF(BD4264&lt;&gt;0,"pas de prix",IF(M4264&lt;&gt; 0,"pas de quantité","pas de prix, ni de quantité"))))</f>
        <v>erreur de calcul</v>
      </c>
      <c r="BI4264" s="19"/>
    </row>
    <row r="4265" customFormat="false" ht="15" hidden="false" customHeight="false" outlineLevel="0" collapsed="false">
      <c r="A4265" s="0" t="n">
        <v>10</v>
      </c>
      <c r="B4265" s="8" t="s">
        <v>24</v>
      </c>
      <c r="C4265" s="9" t="s">
        <v>25</v>
      </c>
      <c r="D4265" s="9" t="s">
        <v>26</v>
      </c>
      <c r="E4265" s="10" t="n">
        <v>1789</v>
      </c>
      <c r="F4265" s="9" t="s">
        <v>27</v>
      </c>
      <c r="G4265" s="9" t="s">
        <v>27</v>
      </c>
      <c r="H4265" s="11" t="n">
        <v>20</v>
      </c>
      <c r="I4265" s="11" t="s">
        <v>126</v>
      </c>
      <c r="J4265" s="14" t="n">
        <v>75</v>
      </c>
      <c r="K4265" s="14"/>
      <c r="L4265" s="16"/>
      <c r="M4265" s="27" t="n">
        <f aca="false">J4265+(K4265/20)+(L4265/240)</f>
        <v>75</v>
      </c>
      <c r="N4265" s="17" t="s">
        <v>64</v>
      </c>
      <c r="O4265" s="11"/>
      <c r="P4265" s="28"/>
      <c r="Q4265" s="28" t="n">
        <f aca="false">P4265*$M4265</f>
        <v>0</v>
      </c>
      <c r="R4265" s="28"/>
      <c r="S4265" s="28" t="n">
        <f aca="false">R4265*$M4265</f>
        <v>0</v>
      </c>
      <c r="T4265" s="28"/>
      <c r="U4265" s="28" t="n">
        <f aca="false">T4265*$M4265</f>
        <v>0</v>
      </c>
      <c r="V4265" s="28" t="n">
        <f aca="false">223/100</f>
        <v>2.23</v>
      </c>
      <c r="W4265" s="28" t="n">
        <v>167</v>
      </c>
      <c r="X4265" s="28" t="n">
        <f aca="false">2897/100</f>
        <v>28.97</v>
      </c>
      <c r="Y4265" s="28" t="n">
        <v>2173</v>
      </c>
      <c r="Z4265" s="28"/>
      <c r="AA4265" s="28" t="n">
        <f aca="false">Z4265*$M4265</f>
        <v>0</v>
      </c>
      <c r="AB4265" s="28"/>
      <c r="AC4265" s="28" t="n">
        <f aca="false">AB4265*$M4265</f>
        <v>0</v>
      </c>
      <c r="AD4265" s="28"/>
      <c r="AE4265" s="28" t="n">
        <f aca="false">AD4265*$M4265</f>
        <v>0</v>
      </c>
      <c r="AF4265" s="28"/>
      <c r="AG4265" s="28" t="n">
        <f aca="false">AF4265*$M4265</f>
        <v>0</v>
      </c>
      <c r="AH4265" s="28"/>
      <c r="AI4265" s="28" t="n">
        <f aca="false">AH4265*$M4265</f>
        <v>0</v>
      </c>
      <c r="AJ4265" s="28"/>
      <c r="AK4265" s="28" t="n">
        <f aca="false">AJ4265*$M4265</f>
        <v>0</v>
      </c>
      <c r="AL4265" s="28"/>
      <c r="AM4265" s="28" t="n">
        <f aca="false">AL4265*$M4265</f>
        <v>0</v>
      </c>
      <c r="AN4265" s="28"/>
      <c r="AO4265" s="28" t="n">
        <f aca="false">AN4265*$M4265</f>
        <v>0</v>
      </c>
      <c r="AP4265" s="28"/>
      <c r="AQ4265" s="28" t="n">
        <f aca="false">AP4265*$M4265</f>
        <v>0</v>
      </c>
      <c r="AR4265" s="28"/>
      <c r="AS4265" s="28" t="n">
        <f aca="false">AR4265*$M4265</f>
        <v>0</v>
      </c>
      <c r="AT4265" s="28"/>
      <c r="AU4265" s="28" t="n">
        <f aca="false">AT4265*$M4265</f>
        <v>0</v>
      </c>
      <c r="AV4265" s="28"/>
      <c r="AW4265" s="28" t="n">
        <f aca="false">AV4265*$M4265</f>
        <v>0</v>
      </c>
      <c r="AX4265" s="28"/>
      <c r="AY4265" s="28" t="n">
        <f aca="false">AX4265*$M4265</f>
        <v>0</v>
      </c>
      <c r="AZ4265" s="30" t="n">
        <f aca="false">3120/100</f>
        <v>31.2</v>
      </c>
      <c r="BA4265" s="11" t="n">
        <v>2340</v>
      </c>
      <c r="BB4265" s="31" t="n">
        <f aca="false">SUM(Q4265,S4265,U4265,W4265,Y4265,AA4265,AC4265,AE4265,AG4265,AI4265,AK4265,AM4265,AO4265,AQ4265,AS4265,AU4265,AW4265,AY4265)</f>
        <v>2340</v>
      </c>
      <c r="BC4265" s="28" t="n">
        <f aca="false">BA4265-BB4265</f>
        <v>0</v>
      </c>
      <c r="BD4265" s="32" t="n">
        <f aca="false">SUM(P4265,R4265,T4265,V4265,X4265,Z4265,AB4265,AD4265,AF4265,AH4265,AJ4265,AL4265,AN4265,AP4265,AR4265,AT4265,AV4265,AX4265)</f>
        <v>31.2</v>
      </c>
      <c r="BE4265" s="33" t="n">
        <f aca="false">AZ4265-BD4265</f>
        <v>0</v>
      </c>
      <c r="BF4265" s="34" t="n">
        <f aca="false">BD4265*M4265</f>
        <v>2340</v>
      </c>
      <c r="BG4265" s="35" t="n">
        <f aca="false">BA4265-BF4265</f>
        <v>0</v>
      </c>
      <c r="BH4265" s="19" t="str">
        <f aca="false">IF(BG4265=0,"",IF(BG4265&lt;&gt;BA4265,"erreur de calcul",IF(BD4265&lt;&gt;0,"pas de prix",IF(M4265&lt;&gt; 0,"pas de quantité","pas de prix, ni de quantité"))))</f>
        <v/>
      </c>
      <c r="BI4265" s="19"/>
    </row>
    <row r="4266" customFormat="false" ht="15" hidden="false" customHeight="false" outlineLevel="0" collapsed="false">
      <c r="A4266" s="0" t="n">
        <v>11</v>
      </c>
      <c r="B4266" s="8" t="s">
        <v>24</v>
      </c>
      <c r="C4266" s="9" t="s">
        <v>25</v>
      </c>
      <c r="D4266" s="9" t="s">
        <v>26</v>
      </c>
      <c r="E4266" s="10" t="n">
        <v>1789</v>
      </c>
      <c r="F4266" s="9" t="s">
        <v>27</v>
      </c>
      <c r="G4266" s="9" t="s">
        <v>27</v>
      </c>
      <c r="H4266" s="11" t="n">
        <v>20</v>
      </c>
      <c r="I4266" s="11" t="s">
        <v>127</v>
      </c>
      <c r="J4266" s="14" t="n">
        <v>75</v>
      </c>
      <c r="K4266" s="14"/>
      <c r="L4266" s="16"/>
      <c r="M4266" s="27" t="n">
        <f aca="false">J4266+(K4266/20)+(L4266/240)</f>
        <v>75</v>
      </c>
      <c r="N4266" s="17" t="s">
        <v>64</v>
      </c>
      <c r="O4266" s="11"/>
      <c r="P4266" s="28"/>
      <c r="Q4266" s="28" t="n">
        <f aca="false">P4266*$M4266</f>
        <v>0</v>
      </c>
      <c r="R4266" s="28"/>
      <c r="S4266" s="28" t="n">
        <f aca="false">R4266*$M4266</f>
        <v>0</v>
      </c>
      <c r="T4266" s="28" t="n">
        <f aca="false">5807/100</f>
        <v>58.07</v>
      </c>
      <c r="U4266" s="28" t="n">
        <v>4355</v>
      </c>
      <c r="V4266" s="28"/>
      <c r="W4266" s="28" t="n">
        <f aca="false">V4266*$M4266</f>
        <v>0</v>
      </c>
      <c r="X4266" s="28"/>
      <c r="Y4266" s="28" t="n">
        <f aca="false">X4266*$M4266</f>
        <v>0</v>
      </c>
      <c r="Z4266" s="28"/>
      <c r="AA4266" s="28" t="n">
        <f aca="false">Z4266*$M4266</f>
        <v>0</v>
      </c>
      <c r="AB4266" s="28"/>
      <c r="AC4266" s="28" t="n">
        <f aca="false">AB4266*$M4266</f>
        <v>0</v>
      </c>
      <c r="AD4266" s="28"/>
      <c r="AE4266" s="28" t="n">
        <f aca="false">AD4266*$M4266</f>
        <v>0</v>
      </c>
      <c r="AF4266" s="28"/>
      <c r="AG4266" s="28" t="n">
        <f aca="false">AF4266*$M4266</f>
        <v>0</v>
      </c>
      <c r="AH4266" s="28"/>
      <c r="AI4266" s="28" t="n">
        <f aca="false">AH4266*$M4266</f>
        <v>0</v>
      </c>
      <c r="AJ4266" s="28"/>
      <c r="AK4266" s="28" t="n">
        <f aca="false">AJ4266*$M4266</f>
        <v>0</v>
      </c>
      <c r="AL4266" s="28"/>
      <c r="AM4266" s="28" t="n">
        <f aca="false">AL4266*$M4266</f>
        <v>0</v>
      </c>
      <c r="AN4266" s="28"/>
      <c r="AO4266" s="28" t="n">
        <f aca="false">AN4266*$M4266</f>
        <v>0</v>
      </c>
      <c r="AP4266" s="28"/>
      <c r="AQ4266" s="28" t="n">
        <f aca="false">AP4266*$M4266</f>
        <v>0</v>
      </c>
      <c r="AR4266" s="28"/>
      <c r="AS4266" s="28" t="n">
        <f aca="false">AR4266*$M4266</f>
        <v>0</v>
      </c>
      <c r="AT4266" s="28"/>
      <c r="AU4266" s="28" t="n">
        <f aca="false">AT4266*$M4266</f>
        <v>0</v>
      </c>
      <c r="AV4266" s="28"/>
      <c r="AW4266" s="28" t="n">
        <f aca="false">AV4266*$M4266</f>
        <v>0</v>
      </c>
      <c r="AX4266" s="28"/>
      <c r="AY4266" s="28" t="n">
        <f aca="false">AX4266*$M4266</f>
        <v>0</v>
      </c>
      <c r="AZ4266" s="30" t="n">
        <f aca="false">5807/100</f>
        <v>58.07</v>
      </c>
      <c r="BA4266" s="11" t="n">
        <v>4355</v>
      </c>
      <c r="BB4266" s="31" t="n">
        <f aca="false">SUM(Q4266,S4266,U4266,W4266,Y4266,AA4266,AC4266,AE4266,AG4266,AI4266,AK4266,AM4266,AO4266,AQ4266,AS4266,AU4266,AW4266,AY4266)</f>
        <v>4355</v>
      </c>
      <c r="BC4266" s="28" t="n">
        <f aca="false">BA4266-BB4266</f>
        <v>0</v>
      </c>
      <c r="BD4266" s="32" t="n">
        <f aca="false">SUM(P4266,R4266,T4266,V4266,X4266,Z4266,AB4266,AD4266,AF4266,AH4266,AJ4266,AL4266,AN4266,AP4266,AR4266,AT4266,AV4266,AX4266)</f>
        <v>58.07</v>
      </c>
      <c r="BE4266" s="33" t="n">
        <f aca="false">AZ4266-BD4266</f>
        <v>0</v>
      </c>
      <c r="BF4266" s="34" t="n">
        <f aca="false">BD4266*M4266</f>
        <v>4355.25</v>
      </c>
      <c r="BG4266" s="35" t="n">
        <f aca="false">BA4266-BF4266</f>
        <v>-0.25</v>
      </c>
      <c r="BH4266" s="19" t="str">
        <f aca="false">IF(BG4266=0,"",IF(BG4266&lt;&gt;BA4266,"erreur de calcul",IF(BD4266&lt;&gt;0,"pas de prix",IF(M4266&lt;&gt; 0,"pas de quantité","pas de prix, ni de quantité"))))</f>
        <v>erreur de calcul</v>
      </c>
      <c r="BI4266" s="19"/>
    </row>
    <row r="4267" customFormat="false" ht="15" hidden="false" customHeight="false" outlineLevel="0" collapsed="false">
      <c r="A4267" s="0" t="n">
        <v>12</v>
      </c>
      <c r="B4267" s="8" t="s">
        <v>24</v>
      </c>
      <c r="C4267" s="9" t="s">
        <v>25</v>
      </c>
      <c r="D4267" s="9" t="s">
        <v>26</v>
      </c>
      <c r="E4267" s="10" t="n">
        <v>1789</v>
      </c>
      <c r="F4267" s="9" t="s">
        <v>27</v>
      </c>
      <c r="G4267" s="9" t="s">
        <v>27</v>
      </c>
      <c r="H4267" s="11" t="n">
        <v>20</v>
      </c>
      <c r="I4267" s="11" t="s">
        <v>128</v>
      </c>
      <c r="J4267" s="14" t="n">
        <v>42</v>
      </c>
      <c r="K4267" s="14"/>
      <c r="L4267" s="16"/>
      <c r="M4267" s="27" t="n">
        <f aca="false">J4267+(K4267/20)+(L4267/240)</f>
        <v>42</v>
      </c>
      <c r="N4267" s="17" t="s">
        <v>64</v>
      </c>
      <c r="O4267" s="11"/>
      <c r="P4267" s="28"/>
      <c r="Q4267" s="28" t="n">
        <f aca="false">P4267*$M4267</f>
        <v>0</v>
      </c>
      <c r="R4267" s="28"/>
      <c r="S4267" s="28" t="n">
        <f aca="false">R4267*$M4267</f>
        <v>0</v>
      </c>
      <c r="T4267" s="28" t="n">
        <f aca="false">347073/100</f>
        <v>3470.73</v>
      </c>
      <c r="U4267" s="28" t="n">
        <v>145771</v>
      </c>
      <c r="V4267" s="28" t="n">
        <f aca="false">188616/100</f>
        <v>1886.16</v>
      </c>
      <c r="W4267" s="28" t="n">
        <v>79219</v>
      </c>
      <c r="X4267" s="28" t="n">
        <f aca="false">518894/100</f>
        <v>5188.94</v>
      </c>
      <c r="Y4267" s="28" t="n">
        <v>217935</v>
      </c>
      <c r="Z4267" s="28" t="n">
        <f aca="false">965148/100</f>
        <v>9651.48</v>
      </c>
      <c r="AA4267" s="28" t="n">
        <v>405362</v>
      </c>
      <c r="AB4267" s="28" t="n">
        <f aca="false">759238/100</f>
        <v>7592.38</v>
      </c>
      <c r="AC4267" s="28" t="n">
        <v>318880</v>
      </c>
      <c r="AD4267" s="28" t="n">
        <f aca="false">254167/100</f>
        <v>2541.67</v>
      </c>
      <c r="AE4267" s="28" t="n">
        <v>106750</v>
      </c>
      <c r="AF4267" s="28"/>
      <c r="AG4267" s="28" t="n">
        <f aca="false">AF4267*$M4267</f>
        <v>0</v>
      </c>
      <c r="AH4267" s="28"/>
      <c r="AI4267" s="28" t="n">
        <f aca="false">AH4267*$M4267</f>
        <v>0</v>
      </c>
      <c r="AJ4267" s="28"/>
      <c r="AK4267" s="28" t="n">
        <f aca="false">AJ4267*$M4267</f>
        <v>0</v>
      </c>
      <c r="AL4267" s="28" t="n">
        <f aca="false">73551/100</f>
        <v>735.51</v>
      </c>
      <c r="AM4267" s="28" t="n">
        <v>30891</v>
      </c>
      <c r="AN4267" s="28"/>
      <c r="AO4267" s="28" t="n">
        <f aca="false">AN4267*$M4267</f>
        <v>0</v>
      </c>
      <c r="AP4267" s="28" t="n">
        <f aca="false">45836/100</f>
        <v>458.36</v>
      </c>
      <c r="AQ4267" s="28" t="n">
        <v>19251</v>
      </c>
      <c r="AR4267" s="28"/>
      <c r="AS4267" s="28" t="n">
        <f aca="false">AR4267*$M4267</f>
        <v>0</v>
      </c>
      <c r="AT4267" s="28"/>
      <c r="AU4267" s="28" t="n">
        <f aca="false">AT4267*$M4267</f>
        <v>0</v>
      </c>
      <c r="AV4267" s="28" t="n">
        <f aca="false">566574/100</f>
        <v>5665.74</v>
      </c>
      <c r="AW4267" s="28" t="n">
        <v>237961</v>
      </c>
      <c r="AX4267" s="28"/>
      <c r="AY4267" s="28" t="n">
        <f aca="false">AX4267*$M4267</f>
        <v>0</v>
      </c>
      <c r="AZ4267" s="30" t="n">
        <f aca="false">3719097/100</f>
        <v>37190.97</v>
      </c>
      <c r="BA4267" s="11" t="n">
        <v>1562020</v>
      </c>
      <c r="BB4267" s="31" t="n">
        <f aca="false">SUM(Q4267,S4267,U4267,W4267,Y4267,AA4267,AC4267,AE4267,AG4267,AI4267,AK4267,AM4267,AO4267,AQ4267,AS4267,AU4267,AW4267,AY4267)</f>
        <v>1562020</v>
      </c>
      <c r="BC4267" s="28" t="n">
        <f aca="false">BA4267-BB4267</f>
        <v>0</v>
      </c>
      <c r="BD4267" s="32" t="n">
        <f aca="false">SUM(P4267,R4267,T4267,V4267,X4267,Z4267,AB4267,AD4267,AF4267,AH4267,AJ4267,AL4267,AN4267,AP4267,AR4267,AT4267,AV4267,AX4267)</f>
        <v>37190.97</v>
      </c>
      <c r="BE4267" s="33" t="n">
        <f aca="false">AZ4267-BD4267</f>
        <v>0</v>
      </c>
      <c r="BF4267" s="34" t="n">
        <f aca="false">BD4267*M4267</f>
        <v>1562020.74</v>
      </c>
      <c r="BG4267" s="35" t="n">
        <f aca="false">BA4267-BF4267</f>
        <v>-0.739999999990687</v>
      </c>
      <c r="BH4267" s="19" t="str">
        <f aca="false">IF(BG4267=0,"",IF(BG4267&lt;&gt;BA4267,"erreur de calcul",IF(BD4267&lt;&gt;0,"pas de prix",IF(M4267&lt;&gt; 0,"pas de quantité","pas de prix, ni de quantité"))))</f>
        <v>erreur de calcul</v>
      </c>
      <c r="BI4267" s="19"/>
    </row>
    <row r="4268" customFormat="false" ht="15" hidden="false" customHeight="false" outlineLevel="0" collapsed="false">
      <c r="A4268" s="0" t="n">
        <v>13</v>
      </c>
      <c r="B4268" s="8" t="s">
        <v>24</v>
      </c>
      <c r="C4268" s="9" t="s">
        <v>25</v>
      </c>
      <c r="D4268" s="9" t="s">
        <v>26</v>
      </c>
      <c r="E4268" s="10" t="n">
        <v>1789</v>
      </c>
      <c r="F4268" s="9" t="s">
        <v>27</v>
      </c>
      <c r="G4268" s="9" t="s">
        <v>27</v>
      </c>
      <c r="H4268" s="11" t="n">
        <v>20</v>
      </c>
      <c r="I4268" s="11" t="s">
        <v>129</v>
      </c>
      <c r="J4268" s="14" t="n">
        <v>75</v>
      </c>
      <c r="K4268" s="14"/>
      <c r="L4268" s="16"/>
      <c r="M4268" s="27" t="n">
        <f aca="false">J4268+(K4268/20)+(L4268/240)</f>
        <v>75</v>
      </c>
      <c r="N4268" s="17" t="s">
        <v>64</v>
      </c>
      <c r="O4268" s="11"/>
      <c r="P4268" s="28"/>
      <c r="Q4268" s="28" t="n">
        <f aca="false">P4268*$M4268</f>
        <v>0</v>
      </c>
      <c r="R4268" s="28"/>
      <c r="S4268" s="28" t="n">
        <f aca="false">R4268*$M4268</f>
        <v>0</v>
      </c>
      <c r="T4268" s="28"/>
      <c r="U4268" s="28" t="n">
        <f aca="false">T4268*$M4268</f>
        <v>0</v>
      </c>
      <c r="V4268" s="28" t="n">
        <f aca="false">3418/100</f>
        <v>34.18</v>
      </c>
      <c r="W4268" s="28" t="n">
        <v>2563</v>
      </c>
      <c r="X4268" s="28" t="n">
        <f aca="false">3755/100</f>
        <v>37.55</v>
      </c>
      <c r="Y4268" s="28" t="n">
        <v>2817</v>
      </c>
      <c r="Z4268" s="28"/>
      <c r="AA4268" s="28" t="n">
        <f aca="false">Z4268*$M4268</f>
        <v>0</v>
      </c>
      <c r="AB4268" s="28" t="n">
        <f aca="false">75529/100</f>
        <v>755.29</v>
      </c>
      <c r="AC4268" s="28" t="n">
        <v>56647</v>
      </c>
      <c r="AD4268" s="28"/>
      <c r="AE4268" s="28" t="n">
        <f aca="false">AD4268*$M4268</f>
        <v>0</v>
      </c>
      <c r="AF4268" s="28"/>
      <c r="AG4268" s="28" t="n">
        <f aca="false">AF4268*$M4268</f>
        <v>0</v>
      </c>
      <c r="AH4268" s="28"/>
      <c r="AI4268" s="28" t="n">
        <f aca="false">AH4268*$M4268</f>
        <v>0</v>
      </c>
      <c r="AJ4268" s="28"/>
      <c r="AK4268" s="28" t="n">
        <f aca="false">AJ4268*$M4268</f>
        <v>0</v>
      </c>
      <c r="AL4268" s="28"/>
      <c r="AM4268" s="28" t="n">
        <f aca="false">AL4268*$M4268</f>
        <v>0</v>
      </c>
      <c r="AN4268" s="28"/>
      <c r="AO4268" s="28" t="n">
        <f aca="false">AN4268*$M4268</f>
        <v>0</v>
      </c>
      <c r="AP4268" s="28"/>
      <c r="AQ4268" s="28" t="n">
        <f aca="false">AP4268*$M4268</f>
        <v>0</v>
      </c>
      <c r="AR4268" s="28"/>
      <c r="AS4268" s="28" t="n">
        <f aca="false">AR4268*$M4268</f>
        <v>0</v>
      </c>
      <c r="AT4268" s="28"/>
      <c r="AU4268" s="28" t="n">
        <f aca="false">AT4268*$M4268</f>
        <v>0</v>
      </c>
      <c r="AV4268" s="28"/>
      <c r="AW4268" s="28" t="n">
        <f aca="false">AV4268*$M4268</f>
        <v>0</v>
      </c>
      <c r="AX4268" s="28"/>
      <c r="AY4268" s="28" t="n">
        <f aca="false">AX4268*$M4268</f>
        <v>0</v>
      </c>
      <c r="AZ4268" s="30" t="n">
        <f aca="false">82702/100</f>
        <v>827.02</v>
      </c>
      <c r="BA4268" s="11" t="n">
        <v>62027</v>
      </c>
      <c r="BB4268" s="31" t="n">
        <f aca="false">SUM(Q4268,S4268,U4268,W4268,Y4268,AA4268,AC4268,AE4268,AG4268,AI4268,AK4268,AM4268,AO4268,AQ4268,AS4268,AU4268,AW4268,AY4268)</f>
        <v>62027</v>
      </c>
      <c r="BC4268" s="28" t="n">
        <f aca="false">BA4268-BB4268</f>
        <v>0</v>
      </c>
      <c r="BD4268" s="32" t="n">
        <f aca="false">SUM(P4268,R4268,T4268,V4268,X4268,Z4268,AB4268,AD4268,AF4268,AH4268,AJ4268,AL4268,AN4268,AP4268,AR4268,AT4268,AV4268,AX4268)</f>
        <v>827.02</v>
      </c>
      <c r="BE4268" s="33" t="n">
        <f aca="false">AZ4268-BD4268</f>
        <v>0</v>
      </c>
      <c r="BF4268" s="34" t="n">
        <f aca="false">BD4268*M4268</f>
        <v>62026.5</v>
      </c>
      <c r="BG4268" s="35" t="n">
        <f aca="false">BA4268-BF4268</f>
        <v>0.500000000007276</v>
      </c>
      <c r="BH4268" s="19" t="str">
        <f aca="false">IF(BG4268=0,"",IF(BG4268&lt;&gt;BA4268,"erreur de calcul",IF(BD4268&lt;&gt;0,"pas de prix",IF(M4268&lt;&gt; 0,"pas de quantité","pas de prix, ni de quantité"))))</f>
        <v>erreur de calcul</v>
      </c>
      <c r="BI4268" s="19"/>
    </row>
    <row r="4269" customFormat="false" ht="15" hidden="false" customHeight="false" outlineLevel="0" collapsed="false">
      <c r="A4269" s="0" t="n">
        <v>14</v>
      </c>
      <c r="B4269" s="8" t="s">
        <v>24</v>
      </c>
      <c r="C4269" s="9" t="s">
        <v>25</v>
      </c>
      <c r="D4269" s="9" t="s">
        <v>26</v>
      </c>
      <c r="E4269" s="10" t="n">
        <v>1789</v>
      </c>
      <c r="F4269" s="9" t="s">
        <v>27</v>
      </c>
      <c r="G4269" s="9" t="s">
        <v>27</v>
      </c>
      <c r="H4269" s="11" t="n">
        <v>20</v>
      </c>
      <c r="I4269" s="11" t="s">
        <v>130</v>
      </c>
      <c r="J4269" s="14" t="n">
        <v>170</v>
      </c>
      <c r="K4269" s="14"/>
      <c r="L4269" s="16"/>
      <c r="M4269" s="27" t="n">
        <f aca="false">J4269+(K4269/20)+(L4269/240)</f>
        <v>170</v>
      </c>
      <c r="N4269" s="17" t="s">
        <v>64</v>
      </c>
      <c r="O4269" s="11"/>
      <c r="P4269" s="28"/>
      <c r="Q4269" s="28" t="n">
        <f aca="false">P4269*$M4269</f>
        <v>0</v>
      </c>
      <c r="R4269" s="28"/>
      <c r="S4269" s="28" t="n">
        <f aca="false">R4269*$M4269</f>
        <v>0</v>
      </c>
      <c r="T4269" s="28" t="n">
        <f aca="false">488/100</f>
        <v>4.88</v>
      </c>
      <c r="U4269" s="28" t="n">
        <v>830</v>
      </c>
      <c r="V4269" s="28"/>
      <c r="W4269" s="28" t="n">
        <f aca="false">V4269*$M4269</f>
        <v>0</v>
      </c>
      <c r="X4269" s="28" t="n">
        <f aca="false">8480/100</f>
        <v>84.8</v>
      </c>
      <c r="Y4269" s="28" t="n">
        <v>14416</v>
      </c>
      <c r="Z4269" s="28"/>
      <c r="AA4269" s="28" t="n">
        <f aca="false">Z4269*$M4269</f>
        <v>0</v>
      </c>
      <c r="AB4269" s="28" t="n">
        <f aca="false">291/100</f>
        <v>2.91</v>
      </c>
      <c r="AC4269" s="28" t="n">
        <v>495</v>
      </c>
      <c r="AD4269" s="28"/>
      <c r="AE4269" s="28" t="n">
        <f aca="false">AD4269*$M4269</f>
        <v>0</v>
      </c>
      <c r="AF4269" s="28"/>
      <c r="AG4269" s="28" t="n">
        <f aca="false">AF4269*$M4269</f>
        <v>0</v>
      </c>
      <c r="AH4269" s="28"/>
      <c r="AI4269" s="28" t="n">
        <f aca="false">AH4269*$M4269</f>
        <v>0</v>
      </c>
      <c r="AJ4269" s="28"/>
      <c r="AK4269" s="28" t="n">
        <f aca="false">AJ4269*$M4269</f>
        <v>0</v>
      </c>
      <c r="AL4269" s="28"/>
      <c r="AM4269" s="28" t="n">
        <f aca="false">AL4269*$M4269</f>
        <v>0</v>
      </c>
      <c r="AN4269" s="28"/>
      <c r="AO4269" s="28" t="n">
        <f aca="false">AN4269*$M4269</f>
        <v>0</v>
      </c>
      <c r="AP4269" s="28"/>
      <c r="AQ4269" s="28" t="n">
        <f aca="false">AP4269*$M4269</f>
        <v>0</v>
      </c>
      <c r="AR4269" s="28"/>
      <c r="AS4269" s="28" t="n">
        <f aca="false">AR4269*$M4269</f>
        <v>0</v>
      </c>
      <c r="AT4269" s="28"/>
      <c r="AU4269" s="28" t="n">
        <f aca="false">AT4269*$M4269</f>
        <v>0</v>
      </c>
      <c r="AV4269" s="28"/>
      <c r="AW4269" s="28" t="n">
        <f aca="false">AV4269*$M4269</f>
        <v>0</v>
      </c>
      <c r="AX4269" s="28"/>
      <c r="AY4269" s="28" t="n">
        <f aca="false">AX4269*$M4269</f>
        <v>0</v>
      </c>
      <c r="AZ4269" s="30" t="n">
        <f aca="false">9259/100</f>
        <v>92.59</v>
      </c>
      <c r="BA4269" s="11" t="n">
        <v>15741</v>
      </c>
      <c r="BB4269" s="31" t="n">
        <f aca="false">SUM(Q4269,S4269,U4269,W4269,Y4269,AA4269,AC4269,AE4269,AG4269,AI4269,AK4269,AM4269,AO4269,AQ4269,AS4269,AU4269,AW4269,AY4269)</f>
        <v>15741</v>
      </c>
      <c r="BC4269" s="28" t="n">
        <f aca="false">BA4269-BB4269</f>
        <v>0</v>
      </c>
      <c r="BD4269" s="32" t="n">
        <f aca="false">SUM(P4269,R4269,T4269,V4269,X4269,Z4269,AB4269,AD4269,AF4269,AH4269,AJ4269,AL4269,AN4269,AP4269,AR4269,AT4269,AV4269,AX4269)</f>
        <v>92.59</v>
      </c>
      <c r="BE4269" s="33" t="n">
        <f aca="false">AZ4269-BD4269</f>
        <v>0</v>
      </c>
      <c r="BF4269" s="34" t="n">
        <f aca="false">BD4269*M4269</f>
        <v>15740.3</v>
      </c>
      <c r="BG4269" s="35" t="n">
        <f aca="false">BA4269-BF4269</f>
        <v>0.700000000002547</v>
      </c>
      <c r="BH4269" s="19" t="str">
        <f aca="false">IF(BG4269=0,"",IF(BG4269&lt;&gt;BA4269,"erreur de calcul",IF(BD4269&lt;&gt;0,"pas de prix",IF(M4269&lt;&gt; 0,"pas de quantité","pas de prix, ni de quantité"))))</f>
        <v>erreur de calcul</v>
      </c>
      <c r="BI4269" s="19"/>
    </row>
    <row r="4270" customFormat="false" ht="15" hidden="false" customHeight="false" outlineLevel="0" collapsed="false">
      <c r="A4270" s="0" t="n">
        <v>15</v>
      </c>
      <c r="B4270" s="8" t="s">
        <v>24</v>
      </c>
      <c r="C4270" s="9" t="s">
        <v>25</v>
      </c>
      <c r="D4270" s="9" t="s">
        <v>26</v>
      </c>
      <c r="E4270" s="10" t="n">
        <v>1789</v>
      </c>
      <c r="F4270" s="9" t="s">
        <v>27</v>
      </c>
      <c r="G4270" s="9" t="s">
        <v>27</v>
      </c>
      <c r="H4270" s="11" t="n">
        <v>20</v>
      </c>
      <c r="I4270" s="11" t="s">
        <v>131</v>
      </c>
      <c r="J4270" s="14"/>
      <c r="K4270" s="14" t="n">
        <v>55</v>
      </c>
      <c r="L4270" s="16"/>
      <c r="M4270" s="27" t="n">
        <f aca="false">J4270+(K4270/20)+(L4270/240)</f>
        <v>2.75</v>
      </c>
      <c r="N4270" s="17" t="s">
        <v>64</v>
      </c>
      <c r="O4270" s="11"/>
      <c r="P4270" s="28"/>
      <c r="Q4270" s="28" t="n">
        <f aca="false">P4270*$M4270</f>
        <v>0</v>
      </c>
      <c r="R4270" s="28"/>
      <c r="S4270" s="28" t="n">
        <f aca="false">R4270*$M4270</f>
        <v>0</v>
      </c>
      <c r="T4270" s="28"/>
      <c r="U4270" s="28" t="n">
        <f aca="false">T4270*$M4270</f>
        <v>0</v>
      </c>
      <c r="V4270" s="28"/>
      <c r="W4270" s="28" t="n">
        <f aca="false">V4270*$M4270</f>
        <v>0</v>
      </c>
      <c r="X4270" s="28" t="n">
        <f aca="false">3875617/100</f>
        <v>38756.17</v>
      </c>
      <c r="Y4270" s="28" t="n">
        <v>106579</v>
      </c>
      <c r="Z4270" s="28" t="n">
        <f aca="false">62500/100</f>
        <v>625</v>
      </c>
      <c r="AA4270" s="28" t="n">
        <v>1719</v>
      </c>
      <c r="AB4270" s="28" t="n">
        <f aca="false">360000/100</f>
        <v>3600</v>
      </c>
      <c r="AC4270" s="28" t="n">
        <v>9900</v>
      </c>
      <c r="AD4270" s="28"/>
      <c r="AE4270" s="28" t="n">
        <f aca="false">AD4270*$M4270</f>
        <v>0</v>
      </c>
      <c r="AF4270" s="28"/>
      <c r="AG4270" s="28" t="n">
        <f aca="false">AF4270*$M4270</f>
        <v>0</v>
      </c>
      <c r="AH4270" s="28"/>
      <c r="AI4270" s="28" t="n">
        <f aca="false">AH4270*$M4270</f>
        <v>0</v>
      </c>
      <c r="AJ4270" s="28"/>
      <c r="AK4270" s="28" t="n">
        <f aca="false">AJ4270*$M4270</f>
        <v>0</v>
      </c>
      <c r="AL4270" s="28"/>
      <c r="AM4270" s="28" t="n">
        <f aca="false">AL4270*$M4270</f>
        <v>0</v>
      </c>
      <c r="AN4270" s="28"/>
      <c r="AO4270" s="28" t="n">
        <f aca="false">AN4270*$M4270</f>
        <v>0</v>
      </c>
      <c r="AP4270" s="28"/>
      <c r="AQ4270" s="28" t="n">
        <f aca="false">AP4270*$M4270</f>
        <v>0</v>
      </c>
      <c r="AR4270" s="28"/>
      <c r="AS4270" s="28" t="n">
        <f aca="false">AR4270*$M4270</f>
        <v>0</v>
      </c>
      <c r="AT4270" s="28"/>
      <c r="AU4270" s="28" t="n">
        <f aca="false">AT4270*$M4270</f>
        <v>0</v>
      </c>
      <c r="AV4270" s="28"/>
      <c r="AW4270" s="28" t="n">
        <f aca="false">AV4270*$M4270</f>
        <v>0</v>
      </c>
      <c r="AX4270" s="28"/>
      <c r="AY4270" s="28" t="n">
        <f aca="false">AX4270*$M4270</f>
        <v>0</v>
      </c>
      <c r="AZ4270" s="30" t="n">
        <f aca="false">4298117/100</f>
        <v>42981.17</v>
      </c>
      <c r="BA4270" s="11" t="n">
        <v>118198</v>
      </c>
      <c r="BB4270" s="31" t="n">
        <f aca="false">SUM(Q4270,S4270,U4270,W4270,Y4270,AA4270,AC4270,AE4270,AG4270,AI4270,AK4270,AM4270,AO4270,AQ4270,AS4270,AU4270,AW4270,AY4270)</f>
        <v>118198</v>
      </c>
      <c r="BC4270" s="28" t="n">
        <f aca="false">BA4270-BB4270</f>
        <v>0</v>
      </c>
      <c r="BD4270" s="32" t="n">
        <f aca="false">SUM(P4270,R4270,T4270,V4270,X4270,Z4270,AB4270,AD4270,AF4270,AH4270,AJ4270,AL4270,AN4270,AP4270,AR4270,AT4270,AV4270,AX4270)</f>
        <v>42981.17</v>
      </c>
      <c r="BE4270" s="33" t="n">
        <f aca="false">AZ4270-BD4270</f>
        <v>0</v>
      </c>
      <c r="BF4270" s="34" t="n">
        <f aca="false">BD4270*M4270</f>
        <v>118198.2175</v>
      </c>
      <c r="BG4270" s="35" t="n">
        <f aca="false">BA4270-BF4270</f>
        <v>-0.217499999998836</v>
      </c>
      <c r="BH4270" s="19" t="str">
        <f aca="false">IF(BG4270=0,"",IF(BG4270&lt;&gt;BA4270,"erreur de calcul",IF(BD4270&lt;&gt;0,"pas de prix",IF(M4270&lt;&gt; 0,"pas de quantité","pas de prix, ni de quantité"))))</f>
        <v>erreur de calcul</v>
      </c>
      <c r="BI4270" s="19"/>
    </row>
    <row r="4271" customFormat="false" ht="15" hidden="false" customHeight="false" outlineLevel="0" collapsed="false">
      <c r="A4271" s="0" t="n">
        <v>16</v>
      </c>
      <c r="B4271" s="8" t="s">
        <v>24</v>
      </c>
      <c r="C4271" s="9" t="s">
        <v>25</v>
      </c>
      <c r="D4271" s="9" t="s">
        <v>26</v>
      </c>
      <c r="E4271" s="10" t="n">
        <v>1789</v>
      </c>
      <c r="F4271" s="9" t="s">
        <v>27</v>
      </c>
      <c r="G4271" s="9" t="s">
        <v>27</v>
      </c>
      <c r="H4271" s="11" t="n">
        <v>20</v>
      </c>
      <c r="I4271" s="11" t="s">
        <v>132</v>
      </c>
      <c r="J4271" s="14"/>
      <c r="K4271" s="14" t="n">
        <v>50</v>
      </c>
      <c r="L4271" s="16"/>
      <c r="M4271" s="27" t="n">
        <f aca="false">J4271+(K4271/20)+(L4271/240)</f>
        <v>2.5</v>
      </c>
      <c r="N4271" s="17" t="s">
        <v>64</v>
      </c>
      <c r="O4271" s="11"/>
      <c r="P4271" s="28"/>
      <c r="Q4271" s="28" t="n">
        <f aca="false">P4271*$M4271</f>
        <v>0</v>
      </c>
      <c r="R4271" s="28"/>
      <c r="S4271" s="28" t="n">
        <f aca="false">R4271*$M4271</f>
        <v>0</v>
      </c>
      <c r="T4271" s="28"/>
      <c r="U4271" s="28" t="n">
        <f aca="false">T4271*$M4271</f>
        <v>0</v>
      </c>
      <c r="V4271" s="28" t="n">
        <f aca="false">25000/100</f>
        <v>250</v>
      </c>
      <c r="W4271" s="28" t="n">
        <v>625</v>
      </c>
      <c r="X4271" s="28" t="n">
        <f aca="false">9335/100</f>
        <v>93.35</v>
      </c>
      <c r="Y4271" s="28" t="n">
        <v>233</v>
      </c>
      <c r="Z4271" s="28"/>
      <c r="AA4271" s="28" t="n">
        <f aca="false">Z4271*$M4271</f>
        <v>0</v>
      </c>
      <c r="AB4271" s="28"/>
      <c r="AC4271" s="28" t="n">
        <f aca="false">AB4271*$M4271</f>
        <v>0</v>
      </c>
      <c r="AD4271" s="28"/>
      <c r="AE4271" s="28" t="n">
        <f aca="false">AD4271*$M4271</f>
        <v>0</v>
      </c>
      <c r="AF4271" s="28"/>
      <c r="AG4271" s="28" t="n">
        <f aca="false">AF4271*$M4271</f>
        <v>0</v>
      </c>
      <c r="AH4271" s="28"/>
      <c r="AI4271" s="28" t="n">
        <f aca="false">AH4271*$M4271</f>
        <v>0</v>
      </c>
      <c r="AJ4271" s="28"/>
      <c r="AK4271" s="28" t="n">
        <f aca="false">AJ4271*$M4271</f>
        <v>0</v>
      </c>
      <c r="AL4271" s="28"/>
      <c r="AM4271" s="28" t="n">
        <f aca="false">AL4271*$M4271</f>
        <v>0</v>
      </c>
      <c r="AN4271" s="28"/>
      <c r="AO4271" s="28" t="n">
        <f aca="false">AN4271*$M4271</f>
        <v>0</v>
      </c>
      <c r="AP4271" s="28"/>
      <c r="AQ4271" s="28" t="n">
        <f aca="false">AP4271*$M4271</f>
        <v>0</v>
      </c>
      <c r="AR4271" s="28"/>
      <c r="AS4271" s="28" t="n">
        <f aca="false">AR4271*$M4271</f>
        <v>0</v>
      </c>
      <c r="AT4271" s="28"/>
      <c r="AU4271" s="28" t="n">
        <f aca="false">AT4271*$M4271</f>
        <v>0</v>
      </c>
      <c r="AV4271" s="28"/>
      <c r="AW4271" s="28" t="n">
        <f aca="false">AV4271*$M4271</f>
        <v>0</v>
      </c>
      <c r="AX4271" s="28"/>
      <c r="AY4271" s="28" t="n">
        <f aca="false">AX4271*$M4271</f>
        <v>0</v>
      </c>
      <c r="AZ4271" s="30" t="n">
        <f aca="false">34335/100</f>
        <v>343.35</v>
      </c>
      <c r="BA4271" s="11" t="n">
        <v>858</v>
      </c>
      <c r="BB4271" s="31" t="n">
        <f aca="false">SUM(Q4271,S4271,U4271,W4271,Y4271,AA4271,AC4271,AE4271,AG4271,AI4271,AK4271,AM4271,AO4271,AQ4271,AS4271,AU4271,AW4271,AY4271)</f>
        <v>858</v>
      </c>
      <c r="BC4271" s="28" t="n">
        <f aca="false">BA4271-BB4271</f>
        <v>0</v>
      </c>
      <c r="BD4271" s="32" t="n">
        <f aca="false">SUM(P4271,R4271,T4271,V4271,X4271,Z4271,AB4271,AD4271,AF4271,AH4271,AJ4271,AL4271,AN4271,AP4271,AR4271,AT4271,AV4271,AX4271)</f>
        <v>343.35</v>
      </c>
      <c r="BE4271" s="33" t="n">
        <f aca="false">AZ4271-BD4271</f>
        <v>0</v>
      </c>
      <c r="BF4271" s="34" t="n">
        <f aca="false">BD4271*M4271</f>
        <v>858.375</v>
      </c>
      <c r="BG4271" s="35" t="n">
        <f aca="false">BA4271-BF4271</f>
        <v>-0.375</v>
      </c>
      <c r="BH4271" s="19" t="str">
        <f aca="false">IF(BG4271=0,"",IF(BG4271&lt;&gt;BA4271,"erreur de calcul",IF(BD4271&lt;&gt;0,"pas de prix",IF(M4271&lt;&gt; 0,"pas de quantité","pas de prix, ni de quantité"))))</f>
        <v>erreur de calcul</v>
      </c>
      <c r="BI4271" s="19"/>
    </row>
    <row r="4272" customFormat="false" ht="15" hidden="false" customHeight="false" outlineLevel="0" collapsed="false">
      <c r="A4272" s="0" t="n">
        <v>17</v>
      </c>
      <c r="B4272" s="8" t="s">
        <v>24</v>
      </c>
      <c r="C4272" s="9" t="s">
        <v>25</v>
      </c>
      <c r="D4272" s="9" t="s">
        <v>26</v>
      </c>
      <c r="E4272" s="10" t="n">
        <v>1789</v>
      </c>
      <c r="F4272" s="9" t="s">
        <v>27</v>
      </c>
      <c r="G4272" s="9" t="s">
        <v>27</v>
      </c>
      <c r="H4272" s="11" t="n">
        <v>20</v>
      </c>
      <c r="I4272" s="11" t="s">
        <v>133</v>
      </c>
      <c r="J4272" s="14" t="n">
        <v>175</v>
      </c>
      <c r="K4272" s="14"/>
      <c r="L4272" s="16"/>
      <c r="M4272" s="27" t="n">
        <f aca="false">J4272+(K4272/20)+(L4272/240)</f>
        <v>175</v>
      </c>
      <c r="N4272" s="17" t="s">
        <v>64</v>
      </c>
      <c r="O4272" s="11"/>
      <c r="P4272" s="28" t="n">
        <f aca="false">84/100</f>
        <v>0.84</v>
      </c>
      <c r="Q4272" s="28" t="n">
        <v>147</v>
      </c>
      <c r="R4272" s="28"/>
      <c r="S4272" s="28" t="n">
        <f aca="false">R4272*$M4272</f>
        <v>0</v>
      </c>
      <c r="T4272" s="28"/>
      <c r="U4272" s="28" t="n">
        <f aca="false">T4272*$M4272</f>
        <v>0</v>
      </c>
      <c r="V4272" s="28" t="n">
        <f aca="false">124/100</f>
        <v>1.24</v>
      </c>
      <c r="W4272" s="28" t="n">
        <v>217</v>
      </c>
      <c r="X4272" s="28" t="n">
        <f aca="false">6034/100</f>
        <v>60.34</v>
      </c>
      <c r="Y4272" s="28" t="n">
        <v>10559</v>
      </c>
      <c r="Z4272" s="28" t="n">
        <f aca="false">147/100</f>
        <v>1.47</v>
      </c>
      <c r="AA4272" s="28" t="n">
        <v>257</v>
      </c>
      <c r="AB4272" s="28" t="n">
        <f aca="false">195/100</f>
        <v>1.95</v>
      </c>
      <c r="AC4272" s="28" t="n">
        <v>341</v>
      </c>
      <c r="AD4272" s="28"/>
      <c r="AE4272" s="28" t="n">
        <f aca="false">AD4272*$M4272</f>
        <v>0</v>
      </c>
      <c r="AF4272" s="28"/>
      <c r="AG4272" s="28" t="n">
        <f aca="false">AF4272*$M4272</f>
        <v>0</v>
      </c>
      <c r="AH4272" s="28"/>
      <c r="AI4272" s="28" t="n">
        <f aca="false">AH4272*$M4272</f>
        <v>0</v>
      </c>
      <c r="AJ4272" s="28"/>
      <c r="AK4272" s="28" t="n">
        <f aca="false">AJ4272*$M4272</f>
        <v>0</v>
      </c>
      <c r="AL4272" s="28"/>
      <c r="AM4272" s="28" t="n">
        <f aca="false">AL4272*$M4272</f>
        <v>0</v>
      </c>
      <c r="AN4272" s="28"/>
      <c r="AO4272" s="28" t="n">
        <f aca="false">AN4272*$M4272</f>
        <v>0</v>
      </c>
      <c r="AP4272" s="28"/>
      <c r="AQ4272" s="28" t="n">
        <f aca="false">AP4272*$M4272</f>
        <v>0</v>
      </c>
      <c r="AR4272" s="28"/>
      <c r="AS4272" s="28" t="n">
        <f aca="false">AR4272*$M4272</f>
        <v>0</v>
      </c>
      <c r="AT4272" s="28"/>
      <c r="AU4272" s="28" t="n">
        <f aca="false">AT4272*$M4272</f>
        <v>0</v>
      </c>
      <c r="AV4272" s="28"/>
      <c r="AW4272" s="28" t="n">
        <f aca="false">AV4272*$M4272</f>
        <v>0</v>
      </c>
      <c r="AX4272" s="28"/>
      <c r="AY4272" s="28" t="n">
        <f aca="false">AX4272*$M4272</f>
        <v>0</v>
      </c>
      <c r="AZ4272" s="30" t="n">
        <f aca="false">6584/100</f>
        <v>65.84</v>
      </c>
      <c r="BA4272" s="11" t="n">
        <v>11521</v>
      </c>
      <c r="BB4272" s="31" t="n">
        <f aca="false">SUM(Q4272,S4272,U4272,W4272,Y4272,AA4272,AC4272,AE4272,AG4272,AI4272,AK4272,AM4272,AO4272,AQ4272,AS4272,AU4272,AW4272,AY4272)</f>
        <v>11521</v>
      </c>
      <c r="BC4272" s="28" t="n">
        <f aca="false">BA4272-BB4272</f>
        <v>0</v>
      </c>
      <c r="BD4272" s="32" t="n">
        <f aca="false">SUM(P4272,R4272,T4272,V4272,X4272,Z4272,AB4272,AD4272,AF4272,AH4272,AJ4272,AL4272,AN4272,AP4272,AR4272,AT4272,AV4272,AX4272)</f>
        <v>65.84</v>
      </c>
      <c r="BE4272" s="33" t="n">
        <f aca="false">AZ4272-BD4272</f>
        <v>0</v>
      </c>
      <c r="BF4272" s="34" t="n">
        <f aca="false">BD4272*M4272</f>
        <v>11522</v>
      </c>
      <c r="BG4272" s="35" t="n">
        <f aca="false">BA4272-BF4272</f>
        <v>-1</v>
      </c>
      <c r="BH4272" s="19" t="str">
        <f aca="false">IF(BG4272=0,"",IF(BG4272&lt;&gt;BA4272,"erreur de calcul",IF(BD4272&lt;&gt;0,"pas de prix",IF(M4272&lt;&gt; 0,"pas de quantité","pas de prix, ni de quantité"))))</f>
        <v>erreur de calcul</v>
      </c>
      <c r="BI4272" s="19"/>
    </row>
    <row r="4273" customFormat="false" ht="15" hidden="false" customHeight="false" outlineLevel="0" collapsed="false">
      <c r="A4273" s="0" t="n">
        <v>18</v>
      </c>
      <c r="B4273" s="8" t="s">
        <v>24</v>
      </c>
      <c r="C4273" s="9" t="s">
        <v>25</v>
      </c>
      <c r="D4273" s="9" t="s">
        <v>26</v>
      </c>
      <c r="E4273" s="10" t="n">
        <v>1789</v>
      </c>
      <c r="F4273" s="9" t="s">
        <v>27</v>
      </c>
      <c r="G4273" s="9" t="s">
        <v>27</v>
      </c>
      <c r="H4273" s="11" t="n">
        <v>20</v>
      </c>
      <c r="I4273" s="11" t="s">
        <v>134</v>
      </c>
      <c r="J4273" s="14" t="n">
        <v>210</v>
      </c>
      <c r="K4273" s="14"/>
      <c r="L4273" s="16"/>
      <c r="M4273" s="27" t="n">
        <f aca="false">J4273+(K4273/20)+(L4273/240)</f>
        <v>210</v>
      </c>
      <c r="N4273" s="17" t="s">
        <v>64</v>
      </c>
      <c r="O4273" s="11"/>
      <c r="P4273" s="28"/>
      <c r="Q4273" s="28" t="n">
        <f aca="false">P4273*$M4273</f>
        <v>0</v>
      </c>
      <c r="R4273" s="28"/>
      <c r="S4273" s="28" t="n">
        <f aca="false">R4273*$M4273</f>
        <v>0</v>
      </c>
      <c r="T4273" s="28"/>
      <c r="U4273" s="28" t="n">
        <f aca="false">T4273*$M4273</f>
        <v>0</v>
      </c>
      <c r="V4273" s="28" t="n">
        <f aca="false">869/100</f>
        <v>8.69</v>
      </c>
      <c r="W4273" s="28" t="n">
        <v>1825</v>
      </c>
      <c r="X4273" s="28"/>
      <c r="Y4273" s="28" t="n">
        <f aca="false">X4273*$M4273</f>
        <v>0</v>
      </c>
      <c r="Z4273" s="28"/>
      <c r="AA4273" s="28" t="n">
        <f aca="false">Z4273*$M4273</f>
        <v>0</v>
      </c>
      <c r="AB4273" s="28"/>
      <c r="AC4273" s="28" t="n">
        <f aca="false">AB4273*$M4273</f>
        <v>0</v>
      </c>
      <c r="AD4273" s="28"/>
      <c r="AE4273" s="28" t="n">
        <f aca="false">AD4273*$M4273</f>
        <v>0</v>
      </c>
      <c r="AF4273" s="28"/>
      <c r="AG4273" s="28" t="n">
        <f aca="false">AF4273*$M4273</f>
        <v>0</v>
      </c>
      <c r="AH4273" s="28"/>
      <c r="AI4273" s="28" t="n">
        <f aca="false">AH4273*$M4273</f>
        <v>0</v>
      </c>
      <c r="AJ4273" s="28"/>
      <c r="AK4273" s="28" t="n">
        <f aca="false">AJ4273*$M4273</f>
        <v>0</v>
      </c>
      <c r="AL4273" s="28"/>
      <c r="AM4273" s="28" t="n">
        <f aca="false">AL4273*$M4273</f>
        <v>0</v>
      </c>
      <c r="AN4273" s="28"/>
      <c r="AO4273" s="28" t="n">
        <f aca="false">AN4273*$M4273</f>
        <v>0</v>
      </c>
      <c r="AP4273" s="28"/>
      <c r="AQ4273" s="28" t="n">
        <f aca="false">AP4273*$M4273</f>
        <v>0</v>
      </c>
      <c r="AR4273" s="28"/>
      <c r="AS4273" s="28" t="n">
        <f aca="false">AR4273*$M4273</f>
        <v>0</v>
      </c>
      <c r="AT4273" s="28"/>
      <c r="AU4273" s="28" t="n">
        <f aca="false">AT4273*$M4273</f>
        <v>0</v>
      </c>
      <c r="AV4273" s="28"/>
      <c r="AW4273" s="28" t="n">
        <f aca="false">AV4273*$M4273</f>
        <v>0</v>
      </c>
      <c r="AX4273" s="28"/>
      <c r="AY4273" s="28" t="n">
        <f aca="false">AX4273*$M4273</f>
        <v>0</v>
      </c>
      <c r="AZ4273" s="30" t="n">
        <f aca="false">869/100</f>
        <v>8.69</v>
      </c>
      <c r="BA4273" s="11" t="n">
        <v>1825</v>
      </c>
      <c r="BB4273" s="31" t="n">
        <f aca="false">SUM(Q4273,S4273,U4273,W4273,Y4273,AA4273,AC4273,AE4273,AG4273,AI4273,AK4273,AM4273,AO4273,AQ4273,AS4273,AU4273,AW4273,AY4273)</f>
        <v>1825</v>
      </c>
      <c r="BC4273" s="28" t="n">
        <f aca="false">BA4273-BB4273</f>
        <v>0</v>
      </c>
      <c r="BD4273" s="32" t="n">
        <f aca="false">SUM(P4273,R4273,T4273,V4273,X4273,Z4273,AB4273,AD4273,AF4273,AH4273,AJ4273,AL4273,AN4273,AP4273,AR4273,AT4273,AV4273,AX4273)</f>
        <v>8.69</v>
      </c>
      <c r="BE4273" s="33" t="n">
        <f aca="false">AZ4273-BD4273</f>
        <v>0</v>
      </c>
      <c r="BF4273" s="34" t="n">
        <f aca="false">BD4273*M4273</f>
        <v>1824.9</v>
      </c>
      <c r="BG4273" s="35" t="n">
        <f aca="false">BA4273-BF4273</f>
        <v>0.100000000000136</v>
      </c>
      <c r="BH4273" s="19" t="str">
        <f aca="false">IF(BG4273=0,"",IF(BG4273&lt;&gt;BA4273,"erreur de calcul",IF(BD4273&lt;&gt;0,"pas de prix",IF(M4273&lt;&gt; 0,"pas de quantité","pas de prix, ni de quantité"))))</f>
        <v>erreur de calcul</v>
      </c>
      <c r="BI4273" s="19"/>
    </row>
    <row r="4274" customFormat="false" ht="15" hidden="false" customHeight="false" outlineLevel="0" collapsed="false">
      <c r="A4274" s="0" t="n">
        <v>19</v>
      </c>
      <c r="B4274" s="8" t="s">
        <v>24</v>
      </c>
      <c r="C4274" s="9" t="s">
        <v>25</v>
      </c>
      <c r="D4274" s="9" t="s">
        <v>26</v>
      </c>
      <c r="E4274" s="10" t="n">
        <v>1789</v>
      </c>
      <c r="F4274" s="9" t="s">
        <v>27</v>
      </c>
      <c r="G4274" s="9" t="s">
        <v>27</v>
      </c>
      <c r="H4274" s="11" t="n">
        <v>20</v>
      </c>
      <c r="I4274" s="11" t="s">
        <v>135</v>
      </c>
      <c r="J4274" s="14" t="n">
        <v>170</v>
      </c>
      <c r="K4274" s="14"/>
      <c r="L4274" s="16"/>
      <c r="M4274" s="27" t="n">
        <f aca="false">J4274+(K4274/20)+(L4274/240)</f>
        <v>170</v>
      </c>
      <c r="N4274" s="17" t="s">
        <v>64</v>
      </c>
      <c r="O4274" s="11" t="s">
        <v>77</v>
      </c>
      <c r="P4274" s="28"/>
      <c r="Q4274" s="28" t="n">
        <f aca="false">P4274*$M4274</f>
        <v>0</v>
      </c>
      <c r="R4274" s="28"/>
      <c r="S4274" s="28" t="n">
        <f aca="false">R4274*$M4274</f>
        <v>0</v>
      </c>
      <c r="T4274" s="28"/>
      <c r="U4274" s="28" t="n">
        <f aca="false">T4274*$M4274</f>
        <v>0</v>
      </c>
      <c r="V4274" s="28"/>
      <c r="W4274" s="28" t="n">
        <f aca="false">V4274*$M4274</f>
        <v>0</v>
      </c>
      <c r="X4274" s="28"/>
      <c r="Y4274" s="28" t="n">
        <f aca="false">X4274*$M4274</f>
        <v>0</v>
      </c>
      <c r="Z4274" s="28"/>
      <c r="AA4274" s="28" t="n">
        <f aca="false">Z4274*$M4274</f>
        <v>0</v>
      </c>
      <c r="AB4274" s="28"/>
      <c r="AC4274" s="28" t="n">
        <f aca="false">AB4274*$M4274</f>
        <v>0</v>
      </c>
      <c r="AD4274" s="28"/>
      <c r="AE4274" s="28" t="n">
        <f aca="false">AD4274*$M4274</f>
        <v>0</v>
      </c>
      <c r="AF4274" s="28" t="n">
        <f aca="false">229459/100</f>
        <v>2294.59</v>
      </c>
      <c r="AG4274" s="28" t="n">
        <v>390080</v>
      </c>
      <c r="AH4274" s="28" t="n">
        <f aca="false">202301/100</f>
        <v>2023.01</v>
      </c>
      <c r="AI4274" s="28" t="n">
        <v>343912</v>
      </c>
      <c r="AJ4274" s="28"/>
      <c r="AK4274" s="28" t="n">
        <f aca="false">AJ4274*$M4274</f>
        <v>0</v>
      </c>
      <c r="AL4274" s="28"/>
      <c r="AM4274" s="28" t="n">
        <f aca="false">AL4274*$M4274</f>
        <v>0</v>
      </c>
      <c r="AN4274" s="28"/>
      <c r="AO4274" s="28" t="n">
        <f aca="false">AN4274*$M4274</f>
        <v>0</v>
      </c>
      <c r="AP4274" s="28"/>
      <c r="AQ4274" s="28" t="n">
        <f aca="false">AP4274*$M4274</f>
        <v>0</v>
      </c>
      <c r="AR4274" s="28"/>
      <c r="AS4274" s="28" t="n">
        <f aca="false">AR4274*$M4274</f>
        <v>0</v>
      </c>
      <c r="AT4274" s="28"/>
      <c r="AU4274" s="28" t="n">
        <f aca="false">AT4274*$M4274</f>
        <v>0</v>
      </c>
      <c r="AV4274" s="28"/>
      <c r="AW4274" s="28" t="n">
        <f aca="false">AV4274*$M4274</f>
        <v>0</v>
      </c>
      <c r="AX4274" s="28" t="n">
        <f aca="false">2736/100</f>
        <v>27.36</v>
      </c>
      <c r="AY4274" s="28" t="n">
        <v>4651</v>
      </c>
      <c r="AZ4274" s="30" t="n">
        <f aca="false">434496/100</f>
        <v>4344.96</v>
      </c>
      <c r="BA4274" s="11" t="n">
        <v>738643</v>
      </c>
      <c r="BB4274" s="31" t="n">
        <f aca="false">SUM(Q4274,S4274,U4274,W4274,Y4274,AA4274,AC4274,AE4274,AG4274,AI4274,AK4274,AM4274,AO4274,AQ4274,AS4274,AU4274,AW4274,AY4274)</f>
        <v>738643</v>
      </c>
      <c r="BC4274" s="28" t="n">
        <f aca="false">BA4274-BB4274</f>
        <v>0</v>
      </c>
      <c r="BD4274" s="32" t="n">
        <f aca="false">SUM(P4274,R4274,T4274,V4274,X4274,Z4274,AB4274,AD4274,AF4274,AH4274,AJ4274,AL4274,AN4274,AP4274,AR4274,AT4274,AV4274,AX4274)</f>
        <v>4344.96</v>
      </c>
      <c r="BE4274" s="33" t="n">
        <f aca="false">AZ4274-BD4274</f>
        <v>0</v>
      </c>
      <c r="BF4274" s="34" t="n">
        <f aca="false">BD4274*M4274</f>
        <v>738643.2</v>
      </c>
      <c r="BG4274" s="35" t="n">
        <f aca="false">BA4274-BF4274</f>
        <v>-0.199999999953434</v>
      </c>
      <c r="BH4274" s="19" t="str">
        <f aca="false">IF(BG4274=0,"",IF(BG4274&lt;&gt;BA4274,"erreur de calcul",IF(BD4274&lt;&gt;0,"pas de prix",IF(M4274&lt;&gt; 0,"pas de quantité","pas de prix, ni de quantité"))))</f>
        <v>erreur de calcul</v>
      </c>
      <c r="BI4274" s="19"/>
    </row>
    <row r="4275" customFormat="false" ht="15" hidden="false" customHeight="false" outlineLevel="0" collapsed="false">
      <c r="A4275" s="0" t="n">
        <v>20</v>
      </c>
      <c r="B4275" s="8" t="s">
        <v>24</v>
      </c>
      <c r="C4275" s="9" t="s">
        <v>25</v>
      </c>
      <c r="D4275" s="9" t="s">
        <v>26</v>
      </c>
      <c r="E4275" s="10" t="n">
        <v>1789</v>
      </c>
      <c r="F4275" s="9" t="s">
        <v>27</v>
      </c>
      <c r="G4275" s="9" t="s">
        <v>27</v>
      </c>
      <c r="H4275" s="11" t="n">
        <v>20</v>
      </c>
      <c r="I4275" s="11" t="s">
        <v>136</v>
      </c>
      <c r="J4275" s="14" t="n">
        <v>41</v>
      </c>
      <c r="K4275" s="14"/>
      <c r="L4275" s="16"/>
      <c r="M4275" s="27" t="n">
        <f aca="false">J4275+(K4275/20)+(L4275/240)</f>
        <v>41</v>
      </c>
      <c r="N4275" s="17" t="s">
        <v>64</v>
      </c>
      <c r="O4275" s="11"/>
      <c r="P4275" s="28" t="n">
        <f aca="false">1210/100</f>
        <v>12.1</v>
      </c>
      <c r="Q4275" s="28" t="n">
        <v>496</v>
      </c>
      <c r="R4275" s="28"/>
      <c r="S4275" s="28" t="n">
        <f aca="false">R4275*$M4275</f>
        <v>0</v>
      </c>
      <c r="T4275" s="28"/>
      <c r="U4275" s="28" t="n">
        <f aca="false">T4275*$M4275</f>
        <v>0</v>
      </c>
      <c r="V4275" s="28"/>
      <c r="W4275" s="28" t="n">
        <f aca="false">V4275*$M4275</f>
        <v>0</v>
      </c>
      <c r="X4275" s="28"/>
      <c r="Y4275" s="28" t="n">
        <f aca="false">X4275*$M4275</f>
        <v>0</v>
      </c>
      <c r="Z4275" s="28"/>
      <c r="AA4275" s="28" t="n">
        <f aca="false">Z4275*$M4275</f>
        <v>0</v>
      </c>
      <c r="AB4275" s="28"/>
      <c r="AC4275" s="28" t="n">
        <f aca="false">AB4275*$M4275</f>
        <v>0</v>
      </c>
      <c r="AD4275" s="28"/>
      <c r="AE4275" s="28" t="n">
        <f aca="false">AD4275*$M4275</f>
        <v>0</v>
      </c>
      <c r="AF4275" s="28"/>
      <c r="AG4275" s="28" t="n">
        <f aca="false">AF4275*$M4275</f>
        <v>0</v>
      </c>
      <c r="AH4275" s="28"/>
      <c r="AI4275" s="28" t="n">
        <f aca="false">AH4275*$M4275</f>
        <v>0</v>
      </c>
      <c r="AJ4275" s="28" t="n">
        <f aca="false">85034/100</f>
        <v>850.34</v>
      </c>
      <c r="AK4275" s="28" t="n">
        <v>34864</v>
      </c>
      <c r="AL4275" s="28" t="n">
        <f aca="false">1024/100</f>
        <v>10.24</v>
      </c>
      <c r="AM4275" s="28" t="n">
        <v>420</v>
      </c>
      <c r="AN4275" s="28"/>
      <c r="AO4275" s="28" t="n">
        <f aca="false">AN4275*$M4275</f>
        <v>0</v>
      </c>
      <c r="AP4275" s="28"/>
      <c r="AQ4275" s="28" t="n">
        <f aca="false">AP4275*$M4275</f>
        <v>0</v>
      </c>
      <c r="AR4275" s="28"/>
      <c r="AS4275" s="28" t="n">
        <f aca="false">AR4275*$M4275</f>
        <v>0</v>
      </c>
      <c r="AT4275" s="28"/>
      <c r="AU4275" s="28" t="n">
        <f aca="false">AT4275*$M4275</f>
        <v>0</v>
      </c>
      <c r="AV4275" s="28"/>
      <c r="AW4275" s="28" t="n">
        <f aca="false">AV4275*$M4275</f>
        <v>0</v>
      </c>
      <c r="AX4275" s="28"/>
      <c r="AY4275" s="28" t="n">
        <f aca="false">AX4275*$M4275</f>
        <v>0</v>
      </c>
      <c r="AZ4275" s="30" t="n">
        <f aca="false">87268/100</f>
        <v>872.68</v>
      </c>
      <c r="BA4275" s="11" t="n">
        <v>35780</v>
      </c>
      <c r="BB4275" s="31" t="n">
        <f aca="false">SUM(Q4275,S4275,U4275,W4275,Y4275,AA4275,AC4275,AE4275,AG4275,AI4275,AK4275,AM4275,AO4275,AQ4275,AS4275,AU4275,AW4275,AY4275)</f>
        <v>35780</v>
      </c>
      <c r="BC4275" s="28" t="n">
        <f aca="false">BA4275-BB4275</f>
        <v>0</v>
      </c>
      <c r="BD4275" s="32" t="n">
        <f aca="false">SUM(P4275,R4275,T4275,V4275,X4275,Z4275,AB4275,AD4275,AF4275,AH4275,AJ4275,AL4275,AN4275,AP4275,AR4275,AT4275,AV4275,AX4275)</f>
        <v>872.68</v>
      </c>
      <c r="BE4275" s="33" t="n">
        <f aca="false">AZ4275-BD4275</f>
        <v>0</v>
      </c>
      <c r="BF4275" s="34" t="n">
        <f aca="false">BD4275*M4275</f>
        <v>35779.88</v>
      </c>
      <c r="BG4275" s="35" t="n">
        <f aca="false">BA4275-BF4275</f>
        <v>0.119999999995343</v>
      </c>
      <c r="BH4275" s="19" t="str">
        <f aca="false">IF(BG4275=0,"",IF(BG4275&lt;&gt;BA4275,"erreur de calcul",IF(BD4275&lt;&gt;0,"pas de prix",IF(M4275&lt;&gt; 0,"pas de quantité","pas de prix, ni de quantité"))))</f>
        <v>erreur de calcul</v>
      </c>
      <c r="BI4275" s="19"/>
    </row>
    <row r="4276" customFormat="false" ht="15" hidden="false" customHeight="false" outlineLevel="0" collapsed="false">
      <c r="A4276" s="0" t="n">
        <v>21</v>
      </c>
      <c r="B4276" s="8" t="s">
        <v>24</v>
      </c>
      <c r="C4276" s="9" t="s">
        <v>25</v>
      </c>
      <c r="D4276" s="9" t="s">
        <v>26</v>
      </c>
      <c r="E4276" s="10" t="n">
        <v>1789</v>
      </c>
      <c r="F4276" s="9" t="s">
        <v>27</v>
      </c>
      <c r="G4276" s="9" t="s">
        <v>27</v>
      </c>
      <c r="H4276" s="11" t="n">
        <v>20</v>
      </c>
      <c r="I4276" s="11" t="s">
        <v>137</v>
      </c>
      <c r="J4276" s="14"/>
      <c r="K4276" s="14"/>
      <c r="L4276" s="16"/>
      <c r="M4276" s="27" t="n">
        <f aca="false">J4276+(K4276/20)+(L4276/240)</f>
        <v>0</v>
      </c>
      <c r="N4276" s="39" t="s">
        <v>138</v>
      </c>
      <c r="O4276" s="11"/>
      <c r="P4276" s="28" t="n">
        <v>337</v>
      </c>
      <c r="Q4276" s="28" t="n">
        <v>6250</v>
      </c>
      <c r="R4276" s="28"/>
      <c r="S4276" s="28" t="n">
        <f aca="false">R4276*$M4276</f>
        <v>0</v>
      </c>
      <c r="T4276" s="28"/>
      <c r="U4276" s="28" t="n">
        <f aca="false">T4276*$M4276</f>
        <v>0</v>
      </c>
      <c r="V4276" s="28" t="n">
        <v>760</v>
      </c>
      <c r="W4276" s="28" t="n">
        <v>18259</v>
      </c>
      <c r="X4276" s="28"/>
      <c r="Y4276" s="28" t="n">
        <f aca="false">X4276*$M4276</f>
        <v>0</v>
      </c>
      <c r="Z4276" s="28"/>
      <c r="AA4276" s="28" t="n">
        <f aca="false">Z4276*$M4276</f>
        <v>0</v>
      </c>
      <c r="AB4276" s="28"/>
      <c r="AC4276" s="28" t="n">
        <f aca="false">AB4276*$M4276</f>
        <v>0</v>
      </c>
      <c r="AD4276" s="28"/>
      <c r="AE4276" s="28" t="n">
        <f aca="false">AD4276*$M4276</f>
        <v>0</v>
      </c>
      <c r="AF4276" s="28"/>
      <c r="AG4276" s="28" t="n">
        <f aca="false">AF4276*$M4276</f>
        <v>0</v>
      </c>
      <c r="AH4276" s="28"/>
      <c r="AI4276" s="28" t="n">
        <f aca="false">AH4276*$M4276</f>
        <v>0</v>
      </c>
      <c r="AJ4276" s="28"/>
      <c r="AK4276" s="28" t="n">
        <f aca="false">AJ4276*$M4276</f>
        <v>0</v>
      </c>
      <c r="AL4276" s="28"/>
      <c r="AM4276" s="28" t="n">
        <f aca="false">AL4276*$M4276</f>
        <v>0</v>
      </c>
      <c r="AN4276" s="28"/>
      <c r="AO4276" s="28" t="n">
        <f aca="false">AN4276*$M4276</f>
        <v>0</v>
      </c>
      <c r="AP4276" s="28"/>
      <c r="AQ4276" s="28" t="n">
        <f aca="false">AP4276*$M4276</f>
        <v>0</v>
      </c>
      <c r="AR4276" s="28"/>
      <c r="AS4276" s="28" t="n">
        <f aca="false">AR4276*$M4276</f>
        <v>0</v>
      </c>
      <c r="AT4276" s="28"/>
      <c r="AU4276" s="28" t="n">
        <f aca="false">AT4276*$M4276</f>
        <v>0</v>
      </c>
      <c r="AV4276" s="28"/>
      <c r="AW4276" s="28" t="n">
        <f aca="false">AV4276*$M4276</f>
        <v>0</v>
      </c>
      <c r="AX4276" s="28"/>
      <c r="AY4276" s="28" t="n">
        <f aca="false">AX4276*$M4276</f>
        <v>0</v>
      </c>
      <c r="AZ4276" s="30" t="n">
        <f aca="false">1097</f>
        <v>1097</v>
      </c>
      <c r="BA4276" s="11" t="n">
        <v>24509</v>
      </c>
      <c r="BB4276" s="31" t="n">
        <f aca="false">SUM(Q4276,S4276,U4276,W4276,Y4276,AA4276,AC4276,AE4276,AG4276,AI4276,AK4276,AM4276,AO4276,AQ4276,AS4276,AU4276,AW4276,AY4276)</f>
        <v>24509</v>
      </c>
      <c r="BC4276" s="28" t="n">
        <f aca="false">BA4276-BB4276</f>
        <v>0</v>
      </c>
      <c r="BD4276" s="32" t="n">
        <f aca="false">SUM(P4276,R4276,T4276,V4276,X4276,Z4276,AB4276,AD4276,AF4276,AH4276,AJ4276,AL4276,AN4276,AP4276,AR4276,AT4276,AV4276,AX4276)</f>
        <v>1097</v>
      </c>
      <c r="BE4276" s="33" t="n">
        <f aca="false">AZ4276-BD4276</f>
        <v>0</v>
      </c>
      <c r="BF4276" s="34" t="n">
        <f aca="false">BD4276*M4276</f>
        <v>0</v>
      </c>
      <c r="BG4276" s="35" t="n">
        <f aca="false">BA4276-BF4276</f>
        <v>24509</v>
      </c>
      <c r="BH4276" s="19" t="str">
        <f aca="false">IF(BG4276=0,"",IF(BG4276&lt;&gt;BA4276,"erreur de calcul",IF(BD4276&lt;&gt;0,"pas de prix",IF(M4276&lt;&gt; 0,"pas de quantité","pas de prix, ni de quantité"))))</f>
        <v>pas de prix</v>
      </c>
      <c r="BI4276" s="19" t="s">
        <v>139</v>
      </c>
    </row>
    <row r="4277" customFormat="false" ht="15" hidden="false" customHeight="false" outlineLevel="0" collapsed="false">
      <c r="A4277" s="0" t="n">
        <v>22</v>
      </c>
      <c r="B4277" s="8" t="s">
        <v>24</v>
      </c>
      <c r="C4277" s="9" t="s">
        <v>25</v>
      </c>
      <c r="D4277" s="9" t="s">
        <v>26</v>
      </c>
      <c r="E4277" s="10" t="n">
        <v>1789</v>
      </c>
      <c r="F4277" s="9" t="s">
        <v>27</v>
      </c>
      <c r="G4277" s="9" t="s">
        <v>27</v>
      </c>
      <c r="H4277" s="11" t="n">
        <v>20</v>
      </c>
      <c r="I4277" s="11" t="s">
        <v>140</v>
      </c>
      <c r="J4277" s="14" t="n">
        <v>28</v>
      </c>
      <c r="K4277" s="14"/>
      <c r="L4277" s="16"/>
      <c r="M4277" s="27" t="n">
        <f aca="false">J4277+(K4277/20)+(L4277/240)</f>
        <v>28</v>
      </c>
      <c r="N4277" s="17" t="s">
        <v>64</v>
      </c>
      <c r="O4277" s="11"/>
      <c r="P4277" s="28"/>
      <c r="Q4277" s="28" t="n">
        <f aca="false">P4277*$M4277</f>
        <v>0</v>
      </c>
      <c r="R4277" s="28"/>
      <c r="S4277" s="28" t="n">
        <f aca="false">R4277*$M4277</f>
        <v>0</v>
      </c>
      <c r="T4277" s="28"/>
      <c r="U4277" s="28" t="n">
        <f aca="false">T4277*$M4277</f>
        <v>0</v>
      </c>
      <c r="V4277" s="28"/>
      <c r="W4277" s="28" t="n">
        <f aca="false">V4277*$M4277</f>
        <v>0</v>
      </c>
      <c r="X4277" s="28" t="n">
        <f aca="false">2572/100</f>
        <v>25.72</v>
      </c>
      <c r="Y4277" s="28" t="n">
        <v>720</v>
      </c>
      <c r="Z4277" s="28"/>
      <c r="AA4277" s="28" t="n">
        <f aca="false">Z4277*$M4277</f>
        <v>0</v>
      </c>
      <c r="AB4277" s="28"/>
      <c r="AC4277" s="28" t="n">
        <f aca="false">AB4277*$M4277</f>
        <v>0</v>
      </c>
      <c r="AD4277" s="28"/>
      <c r="AE4277" s="28" t="n">
        <f aca="false">AD4277*$M4277</f>
        <v>0</v>
      </c>
      <c r="AF4277" s="28" t="n">
        <f aca="false">3367/100</f>
        <v>33.67</v>
      </c>
      <c r="AG4277" s="36" t="n">
        <v>915</v>
      </c>
      <c r="AH4277" s="28"/>
      <c r="AI4277" s="28" t="n">
        <f aca="false">AH4277*$M4277</f>
        <v>0</v>
      </c>
      <c r="AJ4277" s="28"/>
      <c r="AK4277" s="28" t="n">
        <f aca="false">AJ4277*$M4277</f>
        <v>0</v>
      </c>
      <c r="AL4277" s="28"/>
      <c r="AM4277" s="28" t="n">
        <f aca="false">AL4277*$M4277</f>
        <v>0</v>
      </c>
      <c r="AN4277" s="28"/>
      <c r="AO4277" s="28" t="n">
        <f aca="false">AN4277*$M4277</f>
        <v>0</v>
      </c>
      <c r="AP4277" s="28"/>
      <c r="AQ4277" s="28" t="n">
        <f aca="false">AP4277*$M4277</f>
        <v>0</v>
      </c>
      <c r="AR4277" s="28"/>
      <c r="AS4277" s="28" t="n">
        <f aca="false">AR4277*$M4277</f>
        <v>0</v>
      </c>
      <c r="AT4277" s="28"/>
      <c r="AU4277" s="28" t="n">
        <f aca="false">AT4277*$M4277</f>
        <v>0</v>
      </c>
      <c r="AV4277" s="28"/>
      <c r="AW4277" s="28" t="n">
        <f aca="false">AV4277*$M4277</f>
        <v>0</v>
      </c>
      <c r="AX4277" s="28"/>
      <c r="AY4277" s="28" t="n">
        <f aca="false">AX4277*$M4277</f>
        <v>0</v>
      </c>
      <c r="AZ4277" s="30" t="n">
        <f aca="false">5939/100</f>
        <v>59.39</v>
      </c>
      <c r="BA4277" s="11" t="n">
        <v>1635</v>
      </c>
      <c r="BB4277" s="31" t="n">
        <f aca="false">SUM(Q4277,S4277,U4277,W4277,Y4277,AA4277,AC4277,AE4277,AG4277,AI4277,AK4277,AM4277,AO4277,AQ4277,AS4277,AU4277,AW4277,AY4277)</f>
        <v>1635</v>
      </c>
      <c r="BC4277" s="28" t="n">
        <f aca="false">BA4277-BB4277</f>
        <v>0</v>
      </c>
      <c r="BD4277" s="32" t="n">
        <f aca="false">SUM(P4277,R4277,T4277,V4277,X4277,Z4277,AB4277,AD4277,AF4277,AH4277,AJ4277,AL4277,AN4277,AP4277,AR4277,AT4277,AV4277,AX4277)</f>
        <v>59.39</v>
      </c>
      <c r="BE4277" s="33" t="n">
        <f aca="false">AZ4277-BD4277</f>
        <v>0</v>
      </c>
      <c r="BF4277" s="34" t="n">
        <f aca="false">BD4277*M4277</f>
        <v>1662.92</v>
      </c>
      <c r="BG4277" s="35" t="n">
        <f aca="false">BA4277-BF4277</f>
        <v>-27.9200000000001</v>
      </c>
      <c r="BH4277" s="19" t="str">
        <f aca="false">IF(BG4277=0,"",IF(BG4277&lt;&gt;BA4277,"erreur de calcul",IF(BD4277&lt;&gt;0,"pas de prix",IF(M4277&lt;&gt; 0,"pas de quantité","pas de prix, ni de quantité"))))</f>
        <v>erreur de calcul</v>
      </c>
      <c r="BI4277" s="19"/>
    </row>
    <row r="4278" customFormat="false" ht="15" hidden="false" customHeight="false" outlineLevel="0" collapsed="false">
      <c r="A4278" s="0" t="n">
        <v>23</v>
      </c>
      <c r="B4278" s="8" t="s">
        <v>24</v>
      </c>
      <c r="C4278" s="9" t="s">
        <v>25</v>
      </c>
      <c r="D4278" s="9" t="s">
        <v>26</v>
      </c>
      <c r="E4278" s="10" t="n">
        <v>1789</v>
      </c>
      <c r="F4278" s="9" t="s">
        <v>27</v>
      </c>
      <c r="G4278" s="9" t="s">
        <v>27</v>
      </c>
      <c r="H4278" s="11" t="n">
        <v>20</v>
      </c>
      <c r="I4278" s="11" t="s">
        <v>141</v>
      </c>
      <c r="J4278" s="14" t="n">
        <v>50</v>
      </c>
      <c r="K4278" s="14"/>
      <c r="L4278" s="16"/>
      <c r="M4278" s="27" t="n">
        <f aca="false">J4278+(K4278/20)+(L4278/240)</f>
        <v>50</v>
      </c>
      <c r="N4278" s="17" t="s">
        <v>64</v>
      </c>
      <c r="O4278" s="11"/>
      <c r="P4278" s="28" t="n">
        <f aca="false">79168/100</f>
        <v>791.68</v>
      </c>
      <c r="Q4278" s="28" t="n">
        <v>39584</v>
      </c>
      <c r="R4278" s="28"/>
      <c r="S4278" s="28" t="n">
        <f aca="false">R4278*$M4278</f>
        <v>0</v>
      </c>
      <c r="T4278" s="28" t="n">
        <f aca="false">18545/100</f>
        <v>185.45</v>
      </c>
      <c r="U4278" s="28" t="n">
        <v>9272</v>
      </c>
      <c r="V4278" s="28" t="n">
        <f aca="false">10784/100</f>
        <v>107.84</v>
      </c>
      <c r="W4278" s="28" t="n">
        <v>5392</v>
      </c>
      <c r="X4278" s="28" t="n">
        <f aca="false">22033/100</f>
        <v>220.33</v>
      </c>
      <c r="Y4278" s="28" t="n">
        <v>11016</v>
      </c>
      <c r="Z4278" s="28" t="n">
        <f aca="false">4478/100</f>
        <v>44.78</v>
      </c>
      <c r="AA4278" s="28" t="n">
        <v>2239</v>
      </c>
      <c r="AB4278" s="28" t="n">
        <f aca="false">8901/100</f>
        <v>89.01</v>
      </c>
      <c r="AC4278" s="28" t="n">
        <v>4450</v>
      </c>
      <c r="AD4278" s="28"/>
      <c r="AE4278" s="28" t="n">
        <f aca="false">AD4278*$M4278</f>
        <v>0</v>
      </c>
      <c r="AF4278" s="28"/>
      <c r="AG4278" s="28" t="n">
        <f aca="false">AF4278*$M4278</f>
        <v>0</v>
      </c>
      <c r="AH4278" s="28"/>
      <c r="AI4278" s="28" t="n">
        <f aca="false">AH4278*$M4278</f>
        <v>0</v>
      </c>
      <c r="AJ4278" s="28" t="n">
        <f aca="false">2917/100</f>
        <v>29.17</v>
      </c>
      <c r="AK4278" s="28" t="n">
        <v>1458</v>
      </c>
      <c r="AL4278" s="28"/>
      <c r="AM4278" s="28" t="n">
        <f aca="false">AL4278*$M4278</f>
        <v>0</v>
      </c>
      <c r="AN4278" s="28"/>
      <c r="AO4278" s="28" t="n">
        <f aca="false">AN4278*$M4278</f>
        <v>0</v>
      </c>
      <c r="AP4278" s="28"/>
      <c r="AQ4278" s="28" t="n">
        <f aca="false">AP4278*$M4278</f>
        <v>0</v>
      </c>
      <c r="AR4278" s="28"/>
      <c r="AS4278" s="28" t="n">
        <f aca="false">AR4278*$M4278</f>
        <v>0</v>
      </c>
      <c r="AT4278" s="28"/>
      <c r="AU4278" s="28" t="n">
        <f aca="false">AT4278*$M4278</f>
        <v>0</v>
      </c>
      <c r="AV4278" s="28" t="n">
        <f aca="false">6667/100</f>
        <v>66.67</v>
      </c>
      <c r="AW4278" s="28" t="n">
        <v>3333</v>
      </c>
      <c r="AX4278" s="28"/>
      <c r="AY4278" s="28" t="n">
        <f aca="false">AX4278*$M4278</f>
        <v>0</v>
      </c>
      <c r="AZ4278" s="30" t="n">
        <f aca="false">153493/100</f>
        <v>1534.93</v>
      </c>
      <c r="BA4278" s="11" t="n">
        <v>76744</v>
      </c>
      <c r="BB4278" s="31" t="n">
        <f aca="false">SUM(Q4278,S4278,U4278,W4278,Y4278,AA4278,AC4278,AE4278,AG4278,AI4278,AK4278,AM4278,AO4278,AQ4278,AS4278,AU4278,AW4278,AY4278)</f>
        <v>76744</v>
      </c>
      <c r="BC4278" s="28" t="n">
        <f aca="false">BA4278-BB4278</f>
        <v>0</v>
      </c>
      <c r="BD4278" s="32" t="n">
        <f aca="false">SUM(P4278,R4278,T4278,V4278,X4278,Z4278,AB4278,AD4278,AF4278,AH4278,AJ4278,AL4278,AN4278,AP4278,AR4278,AT4278,AV4278,AX4278)</f>
        <v>1534.93</v>
      </c>
      <c r="BE4278" s="33" t="n">
        <f aca="false">AZ4278-BD4278</f>
        <v>0</v>
      </c>
      <c r="BF4278" s="34" t="n">
        <f aca="false">BD4278*M4278</f>
        <v>76746.5</v>
      </c>
      <c r="BG4278" s="35" t="n">
        <f aca="false">BA4278-BF4278</f>
        <v>-2.49999999998545</v>
      </c>
      <c r="BH4278" s="19" t="str">
        <f aca="false">IF(BG4278=0,"",IF(BG4278&lt;&gt;BA4278,"erreur de calcul",IF(BD4278&lt;&gt;0,"pas de prix",IF(M4278&lt;&gt; 0,"pas de quantité","pas de prix, ni de quantité"))))</f>
        <v>erreur de calcul</v>
      </c>
      <c r="BI4278" s="19"/>
    </row>
    <row r="4279" customFormat="false" ht="15" hidden="false" customHeight="false" outlineLevel="0" collapsed="false">
      <c r="A4279" s="0" t="n">
        <v>24</v>
      </c>
      <c r="B4279" s="8" t="s">
        <v>24</v>
      </c>
      <c r="C4279" s="9" t="s">
        <v>25</v>
      </c>
      <c r="D4279" s="9" t="s">
        <v>26</v>
      </c>
      <c r="E4279" s="10" t="n">
        <v>1789</v>
      </c>
      <c r="F4279" s="9" t="s">
        <v>27</v>
      </c>
      <c r="G4279" s="9" t="s">
        <v>27</v>
      </c>
      <c r="H4279" s="11" t="n">
        <v>20</v>
      </c>
      <c r="I4279" s="11" t="s">
        <v>142</v>
      </c>
      <c r="J4279" s="14" t="n">
        <v>12</v>
      </c>
      <c r="K4279" s="14"/>
      <c r="L4279" s="16"/>
      <c r="M4279" s="27" t="n">
        <f aca="false">J4279+(K4279/20)+(L4279/240)</f>
        <v>12</v>
      </c>
      <c r="N4279" s="17" t="s">
        <v>66</v>
      </c>
      <c r="O4279" s="11"/>
      <c r="P4279" s="28"/>
      <c r="Q4279" s="28" t="n">
        <f aca="false">P4279*$M4279</f>
        <v>0</v>
      </c>
      <c r="R4279" s="28"/>
      <c r="S4279" s="28" t="n">
        <f aca="false">R4279*$M4279</f>
        <v>0</v>
      </c>
      <c r="T4279" s="28"/>
      <c r="U4279" s="28" t="n">
        <f aca="false">T4279*$M4279</f>
        <v>0</v>
      </c>
      <c r="V4279" s="28"/>
      <c r="W4279" s="28" t="n">
        <f aca="false">V4279*$M4279</f>
        <v>0</v>
      </c>
      <c r="X4279" s="28"/>
      <c r="Y4279" s="28" t="n">
        <f aca="false">X4279*$M4279</f>
        <v>0</v>
      </c>
      <c r="Z4279" s="28" t="n">
        <v>21</v>
      </c>
      <c r="AA4279" s="28" t="n">
        <v>252</v>
      </c>
      <c r="AB4279" s="28" t="n">
        <v>672</v>
      </c>
      <c r="AC4279" s="28" t="n">
        <v>8064</v>
      </c>
      <c r="AD4279" s="28"/>
      <c r="AE4279" s="28" t="n">
        <f aca="false">AD4279*$M4279</f>
        <v>0</v>
      </c>
      <c r="AF4279" s="28"/>
      <c r="AG4279" s="28" t="n">
        <f aca="false">AF4279*$M4279</f>
        <v>0</v>
      </c>
      <c r="AH4279" s="28"/>
      <c r="AI4279" s="28" t="n">
        <f aca="false">AH4279*$M4279</f>
        <v>0</v>
      </c>
      <c r="AJ4279" s="28"/>
      <c r="AK4279" s="28" t="n">
        <f aca="false">AJ4279*$M4279</f>
        <v>0</v>
      </c>
      <c r="AL4279" s="28"/>
      <c r="AM4279" s="28" t="n">
        <f aca="false">AL4279*$M4279</f>
        <v>0</v>
      </c>
      <c r="AN4279" s="28"/>
      <c r="AO4279" s="28" t="n">
        <f aca="false">AN4279*$M4279</f>
        <v>0</v>
      </c>
      <c r="AP4279" s="28"/>
      <c r="AQ4279" s="28" t="n">
        <f aca="false">AP4279*$M4279</f>
        <v>0</v>
      </c>
      <c r="AR4279" s="28"/>
      <c r="AS4279" s="28" t="n">
        <f aca="false">AR4279*$M4279</f>
        <v>0</v>
      </c>
      <c r="AT4279" s="28"/>
      <c r="AU4279" s="28" t="n">
        <f aca="false">AT4279*$M4279</f>
        <v>0</v>
      </c>
      <c r="AV4279" s="28"/>
      <c r="AW4279" s="28" t="n">
        <f aca="false">AV4279*$M4279</f>
        <v>0</v>
      </c>
      <c r="AX4279" s="28"/>
      <c r="AY4279" s="28" t="n">
        <f aca="false">AX4279*$M4279</f>
        <v>0</v>
      </c>
      <c r="AZ4279" s="30" t="n">
        <v>693</v>
      </c>
      <c r="BA4279" s="11" t="n">
        <v>8316</v>
      </c>
      <c r="BB4279" s="31" t="n">
        <f aca="false">SUM(Q4279,S4279,U4279,W4279,Y4279,AA4279,AC4279,AE4279,AG4279,AI4279,AK4279,AM4279,AO4279,AQ4279,AS4279,AU4279,AW4279,AY4279)</f>
        <v>8316</v>
      </c>
      <c r="BC4279" s="28" t="n">
        <f aca="false">BA4279-BB4279</f>
        <v>0</v>
      </c>
      <c r="BD4279" s="32" t="n">
        <f aca="false">SUM(P4279,R4279,T4279,V4279,X4279,Z4279,AB4279,AD4279,AF4279,AH4279,AJ4279,AL4279,AN4279,AP4279,AR4279,AT4279,AV4279,AX4279)</f>
        <v>693</v>
      </c>
      <c r="BE4279" s="33" t="n">
        <f aca="false">AZ4279-BD4279</f>
        <v>0</v>
      </c>
      <c r="BF4279" s="34" t="n">
        <f aca="false">BD4279*M4279</f>
        <v>8316</v>
      </c>
      <c r="BG4279" s="35" t="n">
        <f aca="false">BA4279-BF4279</f>
        <v>0</v>
      </c>
      <c r="BH4279" s="19" t="str">
        <f aca="false">IF(BG4279=0,"",IF(BG4279&lt;&gt;BA4279,"erreur de calcul",IF(BD4279&lt;&gt;0,"pas de prix",IF(M4279&lt;&gt; 0,"pas de quantité","pas de prix, ni de quantité"))))</f>
        <v/>
      </c>
      <c r="BI4279" s="19"/>
    </row>
    <row r="4280" customFormat="false" ht="15" hidden="false" customHeight="false" outlineLevel="0" collapsed="false">
      <c r="A4280" s="0" t="n">
        <v>25</v>
      </c>
      <c r="B4280" s="8" t="s">
        <v>24</v>
      </c>
      <c r="C4280" s="9" t="s">
        <v>25</v>
      </c>
      <c r="D4280" s="9" t="s">
        <v>26</v>
      </c>
      <c r="E4280" s="10" t="n">
        <v>1789</v>
      </c>
      <c r="F4280" s="9" t="s">
        <v>27</v>
      </c>
      <c r="G4280" s="9" t="s">
        <v>27</v>
      </c>
      <c r="H4280" s="11" t="n">
        <v>20</v>
      </c>
      <c r="I4280" s="11" t="s">
        <v>143</v>
      </c>
      <c r="J4280" s="14" t="n">
        <v>8</v>
      </c>
      <c r="K4280" s="14"/>
      <c r="L4280" s="16"/>
      <c r="M4280" s="27" t="n">
        <f aca="false">J4280+(K4280/20)+(L4280/240)</f>
        <v>8</v>
      </c>
      <c r="N4280" s="17" t="s">
        <v>85</v>
      </c>
      <c r="O4280" s="11"/>
      <c r="P4280" s="28" t="n">
        <f aca="false">74969/100</f>
        <v>749.69</v>
      </c>
      <c r="Q4280" s="28" t="n">
        <v>5997</v>
      </c>
      <c r="R4280" s="28"/>
      <c r="S4280" s="28" t="n">
        <f aca="false">R4280*$M4280</f>
        <v>0</v>
      </c>
      <c r="T4280" s="28" t="n">
        <f aca="false">58256/100</f>
        <v>582.56</v>
      </c>
      <c r="U4280" s="28" t="n">
        <v>4660</v>
      </c>
      <c r="V4280" s="28" t="n">
        <f aca="false">14450/100</f>
        <v>144.5</v>
      </c>
      <c r="W4280" s="28" t="n">
        <v>1156</v>
      </c>
      <c r="X4280" s="28" t="n">
        <f aca="false">4397/100</f>
        <v>43.97</v>
      </c>
      <c r="Y4280" s="28" t="n">
        <v>352</v>
      </c>
      <c r="Z4280" s="28"/>
      <c r="AA4280" s="28" t="n">
        <f aca="false">Z4280*$M4280</f>
        <v>0</v>
      </c>
      <c r="AB4280" s="28" t="n">
        <f aca="false">6400/100</f>
        <v>64</v>
      </c>
      <c r="AC4280" s="28" t="n">
        <v>512</v>
      </c>
      <c r="AD4280" s="28" t="n">
        <f aca="false">19450/100</f>
        <v>194.5</v>
      </c>
      <c r="AE4280" s="28" t="n">
        <v>1556</v>
      </c>
      <c r="AF4280" s="28" t="n">
        <f aca="false">2496/100</f>
        <v>24.96</v>
      </c>
      <c r="AG4280" s="28" t="n">
        <v>200</v>
      </c>
      <c r="AH4280" s="28"/>
      <c r="AI4280" s="28" t="n">
        <f aca="false">AH4280*$M4280</f>
        <v>0</v>
      </c>
      <c r="AJ4280" s="28"/>
      <c r="AK4280" s="28" t="n">
        <f aca="false">AJ4280*$M4280</f>
        <v>0</v>
      </c>
      <c r="AL4280" s="28"/>
      <c r="AM4280" s="28" t="n">
        <f aca="false">AL4280*$M4280</f>
        <v>0</v>
      </c>
      <c r="AN4280" s="28"/>
      <c r="AO4280" s="28" t="n">
        <f aca="false">AN4280*$M4280</f>
        <v>0</v>
      </c>
      <c r="AP4280" s="28"/>
      <c r="AQ4280" s="28" t="n">
        <f aca="false">AP4280*$M4280</f>
        <v>0</v>
      </c>
      <c r="AR4280" s="28"/>
      <c r="AS4280" s="28" t="n">
        <f aca="false">AR4280*$M4280</f>
        <v>0</v>
      </c>
      <c r="AT4280" s="28"/>
      <c r="AU4280" s="28" t="n">
        <f aca="false">AT4280*$M4280</f>
        <v>0</v>
      </c>
      <c r="AV4280" s="28"/>
      <c r="AW4280" s="28" t="n">
        <f aca="false">AV4280*$M4280</f>
        <v>0</v>
      </c>
      <c r="AX4280" s="28"/>
      <c r="AY4280" s="28" t="n">
        <f aca="false">AX4280*$M4280</f>
        <v>0</v>
      </c>
      <c r="AZ4280" s="30" t="n">
        <f aca="false">180418/100</f>
        <v>1804.18</v>
      </c>
      <c r="BA4280" s="11" t="n">
        <v>14433</v>
      </c>
      <c r="BB4280" s="31" t="n">
        <f aca="false">SUM(Q4280,S4280,U4280,W4280,Y4280,AA4280,AC4280,AE4280,AG4280,AI4280,AK4280,AM4280,AO4280,AQ4280,AS4280,AU4280,AW4280,AY4280)</f>
        <v>14433</v>
      </c>
      <c r="BC4280" s="28" t="n">
        <f aca="false">BA4280-BB4280</f>
        <v>0</v>
      </c>
      <c r="BD4280" s="32" t="n">
        <f aca="false">SUM(P4280,R4280,T4280,V4280,X4280,Z4280,AB4280,AD4280,AF4280,AH4280,AJ4280,AL4280,AN4280,AP4280,AR4280,AT4280,AV4280,AX4280)</f>
        <v>1804.18</v>
      </c>
      <c r="BE4280" s="33" t="n">
        <f aca="false">AZ4280-BD4280</f>
        <v>0</v>
      </c>
      <c r="BF4280" s="34" t="n">
        <f aca="false">BD4280*M4280</f>
        <v>14433.44</v>
      </c>
      <c r="BG4280" s="35" t="n">
        <f aca="false">BA4280-BF4280</f>
        <v>-0.440000000000509</v>
      </c>
      <c r="BH4280" s="19" t="str">
        <f aca="false">IF(BG4280=0,"",IF(BG4280&lt;&gt;BA4280,"erreur de calcul",IF(BD4280&lt;&gt;0,"pas de prix",IF(M4280&lt;&gt; 0,"pas de quantité","pas de prix, ni de quantité"))))</f>
        <v>erreur de calcul</v>
      </c>
      <c r="BI4280" s="19"/>
    </row>
    <row r="4281" customFormat="false" ht="15" hidden="false" customHeight="false" outlineLevel="0" collapsed="false">
      <c r="A4281" s="0" t="n">
        <v>26</v>
      </c>
      <c r="B4281" s="8" t="s">
        <v>24</v>
      </c>
      <c r="C4281" s="9" t="s">
        <v>25</v>
      </c>
      <c r="D4281" s="9" t="s">
        <v>26</v>
      </c>
      <c r="E4281" s="10" t="n">
        <v>1789</v>
      </c>
      <c r="F4281" s="9" t="s">
        <v>27</v>
      </c>
      <c r="G4281" s="9" t="s">
        <v>27</v>
      </c>
      <c r="H4281" s="11" t="n">
        <v>20</v>
      </c>
      <c r="I4281" s="11" t="s">
        <v>144</v>
      </c>
      <c r="J4281" s="14" t="n">
        <v>3</v>
      </c>
      <c r="K4281" s="14"/>
      <c r="L4281" s="16"/>
      <c r="M4281" s="27" t="n">
        <f aca="false">J4281+(K4281/20)+(L4281/240)</f>
        <v>3</v>
      </c>
      <c r="N4281" s="17" t="s">
        <v>66</v>
      </c>
      <c r="O4281" s="11"/>
      <c r="P4281" s="28"/>
      <c r="Q4281" s="28" t="n">
        <f aca="false">P4281*$M4281</f>
        <v>0</v>
      </c>
      <c r="R4281" s="28"/>
      <c r="S4281" s="28" t="n">
        <f aca="false">R4281*$M4281</f>
        <v>0</v>
      </c>
      <c r="T4281" s="28" t="n">
        <v>24347</v>
      </c>
      <c r="U4281" s="28" t="n">
        <v>73041</v>
      </c>
      <c r="V4281" s="28" t="n">
        <v>2300</v>
      </c>
      <c r="W4281" s="28" t="n">
        <v>6900</v>
      </c>
      <c r="X4281" s="28" t="n">
        <v>152</v>
      </c>
      <c r="Y4281" s="28" t="n">
        <v>456</v>
      </c>
      <c r="Z4281" s="28"/>
      <c r="AA4281" s="28" t="n">
        <f aca="false">Z4281*$M4281</f>
        <v>0</v>
      </c>
      <c r="AB4281" s="28" t="n">
        <v>53940</v>
      </c>
      <c r="AC4281" s="28" t="n">
        <v>161820</v>
      </c>
      <c r="AD4281" s="28"/>
      <c r="AE4281" s="28" t="n">
        <f aca="false">AD4281*$M4281</f>
        <v>0</v>
      </c>
      <c r="AF4281" s="28"/>
      <c r="AG4281" s="28" t="n">
        <f aca="false">AF4281*$M4281</f>
        <v>0</v>
      </c>
      <c r="AH4281" s="28" t="n">
        <v>1668909</v>
      </c>
      <c r="AI4281" s="28" t="n">
        <v>5006727</v>
      </c>
      <c r="AJ4281" s="28"/>
      <c r="AK4281" s="28" t="n">
        <f aca="false">AJ4281*$M4281</f>
        <v>0</v>
      </c>
      <c r="AL4281" s="28"/>
      <c r="AM4281" s="28" t="n">
        <f aca="false">AL4281*$M4281</f>
        <v>0</v>
      </c>
      <c r="AN4281" s="28" t="n">
        <v>165</v>
      </c>
      <c r="AO4281" s="28" t="n">
        <v>495</v>
      </c>
      <c r="AP4281" s="28"/>
      <c r="AQ4281" s="28" t="n">
        <f aca="false">AP4281*$M4281</f>
        <v>0</v>
      </c>
      <c r="AR4281" s="28"/>
      <c r="AS4281" s="28" t="n">
        <f aca="false">AR4281*$M4281</f>
        <v>0</v>
      </c>
      <c r="AT4281" s="28"/>
      <c r="AU4281" s="28" t="n">
        <f aca="false">AT4281*$M4281</f>
        <v>0</v>
      </c>
      <c r="AV4281" s="28"/>
      <c r="AW4281" s="28" t="n">
        <f aca="false">AV4281*$M4281</f>
        <v>0</v>
      </c>
      <c r="AX4281" s="28"/>
      <c r="AY4281" s="28" t="n">
        <f aca="false">AX4281*$M4281</f>
        <v>0</v>
      </c>
      <c r="AZ4281" s="30" t="n">
        <v>1736540</v>
      </c>
      <c r="BA4281" s="11" t="n">
        <v>5249439</v>
      </c>
      <c r="BB4281" s="31" t="n">
        <f aca="false">SUM(Q4281,S4281,U4281,W4281,Y4281,AA4281,AC4281,AE4281,AG4281,AI4281,AK4281,AM4281,AO4281,AQ4281,AS4281,AU4281,AW4281,AY4281)</f>
        <v>5249439</v>
      </c>
      <c r="BC4281" s="28" t="n">
        <f aca="false">BA4281-BB4281</f>
        <v>0</v>
      </c>
      <c r="BD4281" s="32" t="n">
        <f aca="false">SUM(P4281,R4281,T4281,V4281,X4281,Z4281,AB4281,AD4281,AF4281,AH4281,AJ4281,AL4281,AN4281,AP4281,AR4281,AT4281,AV4281,AX4281)</f>
        <v>1749813</v>
      </c>
      <c r="BE4281" s="33" t="n">
        <f aca="false">AZ4281-BD4281</f>
        <v>-13273</v>
      </c>
      <c r="BF4281" s="34" t="n">
        <f aca="false">BD4281*M4281</f>
        <v>5249439</v>
      </c>
      <c r="BG4281" s="35" t="n">
        <f aca="false">BA4281-BF4281</f>
        <v>0</v>
      </c>
      <c r="BH4281" s="19" t="str">
        <f aca="false">IF(BG4281=0,"",IF(BG4281&lt;&gt;BA4281,"erreur de calcul",IF(BD4281&lt;&gt;0,"pas de prix",IF(M4281&lt;&gt; 0,"pas de quantité","pas de prix, ni de quantité"))))</f>
        <v/>
      </c>
      <c r="BI4281" s="19"/>
    </row>
    <row r="4282" customFormat="false" ht="15" hidden="false" customHeight="false" outlineLevel="0" collapsed="false">
      <c r="A4282" s="0" t="n">
        <v>27</v>
      </c>
      <c r="B4282" s="8" t="s">
        <v>24</v>
      </c>
      <c r="C4282" s="9" t="s">
        <v>25</v>
      </c>
      <c r="D4282" s="9" t="s">
        <v>26</v>
      </c>
      <c r="E4282" s="10" t="n">
        <v>1789</v>
      </c>
      <c r="F4282" s="9" t="s">
        <v>27</v>
      </c>
      <c r="G4282" s="9" t="s">
        <v>27</v>
      </c>
      <c r="H4282" s="11" t="n">
        <v>20</v>
      </c>
      <c r="I4282" s="11" t="s">
        <v>145</v>
      </c>
      <c r="J4282" s="14" t="n">
        <v>4</v>
      </c>
      <c r="K4282" s="14" t="n">
        <v>18</v>
      </c>
      <c r="L4282" s="16"/>
      <c r="M4282" s="27" t="n">
        <f aca="false">J4282+(K4282/20)+(L4282/240)</f>
        <v>4.9</v>
      </c>
      <c r="N4282" s="17" t="s">
        <v>66</v>
      </c>
      <c r="O4282" s="11"/>
      <c r="P4282" s="28"/>
      <c r="Q4282" s="28" t="n">
        <f aca="false">P4282*$M4282</f>
        <v>0</v>
      </c>
      <c r="R4282" s="28"/>
      <c r="S4282" s="28" t="n">
        <f aca="false">R4282*$M4282</f>
        <v>0</v>
      </c>
      <c r="T4282" s="28"/>
      <c r="U4282" s="28" t="n">
        <f aca="false">T4282*$M4282</f>
        <v>0</v>
      </c>
      <c r="V4282" s="28"/>
      <c r="W4282" s="28" t="n">
        <f aca="false">V4282*$M4282</f>
        <v>0</v>
      </c>
      <c r="X4282" s="28"/>
      <c r="Y4282" s="28" t="n">
        <f aca="false">X4282*$M4282</f>
        <v>0</v>
      </c>
      <c r="Z4282" s="28"/>
      <c r="AA4282" s="28" t="n">
        <f aca="false">Z4282*$M4282</f>
        <v>0</v>
      </c>
      <c r="AB4282" s="28"/>
      <c r="AC4282" s="28" t="n">
        <f aca="false">AB4282*$M4282</f>
        <v>0</v>
      </c>
      <c r="AD4282" s="28"/>
      <c r="AE4282" s="28" t="n">
        <f aca="false">AD4282*$M4282</f>
        <v>0</v>
      </c>
      <c r="AF4282" s="28"/>
      <c r="AG4282" s="28" t="n">
        <f aca="false">AF4282*$M4282</f>
        <v>0</v>
      </c>
      <c r="AH4282" s="28" t="n">
        <v>14916</v>
      </c>
      <c r="AI4282" s="28" t="n">
        <v>73088</v>
      </c>
      <c r="AJ4282" s="28"/>
      <c r="AK4282" s="28" t="n">
        <f aca="false">AJ4282*$M4282</f>
        <v>0</v>
      </c>
      <c r="AL4282" s="28"/>
      <c r="AM4282" s="28" t="n">
        <f aca="false">AL4282*$M4282</f>
        <v>0</v>
      </c>
      <c r="AN4282" s="28"/>
      <c r="AO4282" s="28" t="n">
        <f aca="false">AN4282*$M4282</f>
        <v>0</v>
      </c>
      <c r="AP4282" s="28"/>
      <c r="AQ4282" s="28" t="n">
        <f aca="false">AP4282*$M4282</f>
        <v>0</v>
      </c>
      <c r="AR4282" s="28"/>
      <c r="AS4282" s="28" t="n">
        <f aca="false">AR4282*$M4282</f>
        <v>0</v>
      </c>
      <c r="AT4282" s="28"/>
      <c r="AU4282" s="28" t="n">
        <f aca="false">AT4282*$M4282</f>
        <v>0</v>
      </c>
      <c r="AV4282" s="28"/>
      <c r="AW4282" s="28" t="n">
        <f aca="false">AV4282*$M4282</f>
        <v>0</v>
      </c>
      <c r="AX4282" s="28"/>
      <c r="AY4282" s="28" t="n">
        <f aca="false">AX4282*$M4282</f>
        <v>0</v>
      </c>
      <c r="AZ4282" s="30" t="n">
        <v>14916</v>
      </c>
      <c r="BA4282" s="11" t="n">
        <v>73088</v>
      </c>
      <c r="BB4282" s="31" t="n">
        <f aca="false">SUM(Q4282,S4282,U4282,W4282,Y4282,AA4282,AC4282,AE4282,AG4282,AI4282,AK4282,AM4282,AO4282,AQ4282,AS4282,AU4282,AW4282,AY4282)</f>
        <v>73088</v>
      </c>
      <c r="BC4282" s="28" t="n">
        <f aca="false">BA4282-BB4282</f>
        <v>0</v>
      </c>
      <c r="BD4282" s="32" t="n">
        <f aca="false">SUM(P4282,R4282,T4282,V4282,X4282,Z4282,AB4282,AD4282,AF4282,AH4282,AJ4282,AL4282,AN4282,AP4282,AR4282,AT4282,AV4282,AX4282)</f>
        <v>14916</v>
      </c>
      <c r="BE4282" s="33" t="n">
        <f aca="false">AZ4282-BD4282</f>
        <v>0</v>
      </c>
      <c r="BF4282" s="34" t="n">
        <f aca="false">BD4282*M4282</f>
        <v>73088.4</v>
      </c>
      <c r="BG4282" s="35" t="n">
        <f aca="false">BA4282-BF4282</f>
        <v>-0.400000000008731</v>
      </c>
      <c r="BH4282" s="19" t="str">
        <f aca="false">IF(BG4282=0,"",IF(BG4282&lt;&gt;BA4282,"erreur de calcul",IF(BD4282&lt;&gt;0,"pas de prix",IF(M4282&lt;&gt; 0,"pas de quantité","pas de prix, ni de quantité"))))</f>
        <v>erreur de calcul</v>
      </c>
      <c r="BI4282" s="19"/>
    </row>
    <row r="4283" customFormat="false" ht="15" hidden="false" customHeight="false" outlineLevel="0" collapsed="false">
      <c r="A4283" s="0" t="n">
        <v>28</v>
      </c>
      <c r="B4283" s="8" t="s">
        <v>24</v>
      </c>
      <c r="C4283" s="9" t="s">
        <v>25</v>
      </c>
      <c r="D4283" s="9" t="s">
        <v>26</v>
      </c>
      <c r="E4283" s="10" t="n">
        <v>1789</v>
      </c>
      <c r="F4283" s="9" t="s">
        <v>27</v>
      </c>
      <c r="G4283" s="9" t="s">
        <v>27</v>
      </c>
      <c r="H4283" s="11" t="n">
        <v>20</v>
      </c>
      <c r="I4283" s="11" t="s">
        <v>146</v>
      </c>
      <c r="J4283" s="14" t="n">
        <v>126</v>
      </c>
      <c r="K4283" s="14"/>
      <c r="L4283" s="16"/>
      <c r="M4283" s="27"/>
      <c r="N4283" s="17" t="s">
        <v>66</v>
      </c>
      <c r="O4283" s="11" t="s">
        <v>98</v>
      </c>
      <c r="P4283" s="28"/>
      <c r="Q4283" s="28" t="n">
        <f aca="false">P4283*$M4283</f>
        <v>0</v>
      </c>
      <c r="R4283" s="28" t="n">
        <v>82676</v>
      </c>
      <c r="S4283" s="28" t="n">
        <v>28572</v>
      </c>
      <c r="T4283" s="28"/>
      <c r="U4283" s="28" t="n">
        <f aca="false">T4283*$M4283</f>
        <v>0</v>
      </c>
      <c r="V4283" s="28"/>
      <c r="W4283" s="28" t="n">
        <f aca="false">V4283*$M4283</f>
        <v>0</v>
      </c>
      <c r="X4283" s="28"/>
      <c r="Y4283" s="28" t="n">
        <f aca="false">X4283*$M4283</f>
        <v>0</v>
      </c>
      <c r="Z4283" s="28"/>
      <c r="AA4283" s="28" t="n">
        <f aca="false">Z4283*$M4283</f>
        <v>0</v>
      </c>
      <c r="AB4283" s="28"/>
      <c r="AC4283" s="28" t="n">
        <f aca="false">AB4283*$M4283</f>
        <v>0</v>
      </c>
      <c r="AD4283" s="28"/>
      <c r="AE4283" s="28" t="n">
        <f aca="false">AD4283*$M4283</f>
        <v>0</v>
      </c>
      <c r="AF4283" s="28"/>
      <c r="AG4283" s="28" t="n">
        <f aca="false">AF4283*$M4283</f>
        <v>0</v>
      </c>
      <c r="AH4283" s="28" t="n">
        <v>6408925</v>
      </c>
      <c r="AI4283" s="28" t="n">
        <v>8075245</v>
      </c>
      <c r="AJ4283" s="28"/>
      <c r="AK4283" s="28" t="n">
        <f aca="false">AJ4283*$M4283</f>
        <v>0</v>
      </c>
      <c r="AL4283" s="28"/>
      <c r="AM4283" s="28" t="n">
        <f aca="false">AL4283*$M4283</f>
        <v>0</v>
      </c>
      <c r="AN4283" s="28"/>
      <c r="AO4283" s="28" t="n">
        <f aca="false">AN4283*$M4283</f>
        <v>0</v>
      </c>
      <c r="AP4283" s="28"/>
      <c r="AQ4283" s="28" t="n">
        <f aca="false">AP4283*$M4283</f>
        <v>0</v>
      </c>
      <c r="AR4283" s="28"/>
      <c r="AS4283" s="28" t="n">
        <f aca="false">AR4283*$M4283</f>
        <v>0</v>
      </c>
      <c r="AT4283" s="28"/>
      <c r="AU4283" s="28" t="n">
        <f aca="false">AT4283*$M4283</f>
        <v>0</v>
      </c>
      <c r="AV4283" s="28"/>
      <c r="AW4283" s="28" t="n">
        <f aca="false">AV4283*$M4283</f>
        <v>0</v>
      </c>
      <c r="AX4283" s="28"/>
      <c r="AY4283" s="28" t="n">
        <f aca="false">AX4283*$M4283</f>
        <v>0</v>
      </c>
      <c r="AZ4283" s="11" t="n">
        <v>6431601</v>
      </c>
      <c r="BA4283" s="11" t="n">
        <v>8103817</v>
      </c>
      <c r="BB4283" s="31" t="n">
        <f aca="false">SUM(Q4283,S4283,U4283,W4283,Y4283,AA4283,AC4283,AE4283,AG4283,AI4283,AK4283,AM4283,AO4283,AQ4283,AS4283,AU4283,AW4283,AY4283)</f>
        <v>8103817</v>
      </c>
      <c r="BC4283" s="28" t="n">
        <f aca="false">BA4283-BB4283</f>
        <v>0</v>
      </c>
      <c r="BD4283" s="32" t="n">
        <f aca="false">SUM(P4283,R4283,T4283,V4283,X4283,Z4283,AB4283,AD4283,AF4283,AH4283,AJ4283,AL4283,AN4283,AP4283,AR4283,AT4283,AV4283,AX4283)</f>
        <v>6491601</v>
      </c>
      <c r="BE4283" s="33" t="n">
        <f aca="false">AZ4283-BD4283</f>
        <v>-60000</v>
      </c>
      <c r="BF4283" s="34" t="n">
        <f aca="false">BD4283*M4283</f>
        <v>0</v>
      </c>
      <c r="BG4283" s="35" t="n">
        <f aca="false">BA4283-BF4283</f>
        <v>8103817</v>
      </c>
      <c r="BH4283" s="19" t="str">
        <f aca="false">IF(BG4283=0,"",IF(BG4283&lt;&gt;BA4283,"erreur de calcul",IF(BD4283&lt;&gt;0,"pas de prix",IF(M4283&lt;&gt; 0,"pas de quantité","pas de prix, ni de quantité"))))</f>
        <v>pas de prix</v>
      </c>
      <c r="BI4283" s="19" t="s">
        <v>147</v>
      </c>
    </row>
    <row r="4284" customFormat="false" ht="15" hidden="false" customHeight="false" outlineLevel="0" collapsed="false">
      <c r="A4284" s="0" t="n">
        <v>29</v>
      </c>
      <c r="B4284" s="8" t="s">
        <v>24</v>
      </c>
      <c r="C4284" s="9" t="s">
        <v>25</v>
      </c>
      <c r="D4284" s="9" t="s">
        <v>26</v>
      </c>
      <c r="E4284" s="10" t="n">
        <v>1789</v>
      </c>
      <c r="F4284" s="9" t="s">
        <v>27</v>
      </c>
      <c r="G4284" s="9" t="s">
        <v>27</v>
      </c>
      <c r="H4284" s="11" t="n">
        <v>20</v>
      </c>
      <c r="I4284" s="11" t="s">
        <v>148</v>
      </c>
      <c r="J4284" s="14"/>
      <c r="K4284" s="14" t="n">
        <v>20</v>
      </c>
      <c r="L4284" s="16"/>
      <c r="M4284" s="27" t="n">
        <f aca="false">J4284+(K4284/20)+(L4284/240)</f>
        <v>1</v>
      </c>
      <c r="N4284" s="17" t="s">
        <v>66</v>
      </c>
      <c r="O4284" s="11"/>
      <c r="P4284" s="28"/>
      <c r="Q4284" s="28" t="n">
        <f aca="false">P4284*$M4284</f>
        <v>0</v>
      </c>
      <c r="R4284" s="28"/>
      <c r="S4284" s="28" t="n">
        <f aca="false">R4284*$M4284</f>
        <v>0</v>
      </c>
      <c r="T4284" s="28" t="n">
        <v>392</v>
      </c>
      <c r="U4284" s="28" t="n">
        <v>392</v>
      </c>
      <c r="V4284" s="28"/>
      <c r="W4284" s="28" t="n">
        <f aca="false">V4284*$M4284</f>
        <v>0</v>
      </c>
      <c r="X4284" s="28"/>
      <c r="Y4284" s="28" t="n">
        <f aca="false">X4284*$M4284</f>
        <v>0</v>
      </c>
      <c r="Z4284" s="28"/>
      <c r="AA4284" s="28" t="n">
        <f aca="false">Z4284*$M4284</f>
        <v>0</v>
      </c>
      <c r="AB4284" s="28" t="n">
        <v>7596</v>
      </c>
      <c r="AC4284" s="28" t="n">
        <v>7596</v>
      </c>
      <c r="AD4284" s="28"/>
      <c r="AE4284" s="28" t="n">
        <f aca="false">AD4284*$M4284</f>
        <v>0</v>
      </c>
      <c r="AF4284" s="28"/>
      <c r="AG4284" s="28" t="n">
        <f aca="false">AF4284*$M4284</f>
        <v>0</v>
      </c>
      <c r="AH4284" s="28"/>
      <c r="AI4284" s="28" t="n">
        <f aca="false">AH4284*$M4284</f>
        <v>0</v>
      </c>
      <c r="AJ4284" s="28"/>
      <c r="AK4284" s="28" t="n">
        <f aca="false">AJ4284*$M4284</f>
        <v>0</v>
      </c>
      <c r="AL4284" s="28"/>
      <c r="AM4284" s="28" t="n">
        <f aca="false">AL4284*$M4284</f>
        <v>0</v>
      </c>
      <c r="AN4284" s="28"/>
      <c r="AO4284" s="28" t="n">
        <f aca="false">AN4284*$M4284</f>
        <v>0</v>
      </c>
      <c r="AP4284" s="28"/>
      <c r="AQ4284" s="28" t="n">
        <f aca="false">AP4284*$M4284</f>
        <v>0</v>
      </c>
      <c r="AR4284" s="28"/>
      <c r="AS4284" s="28" t="n">
        <f aca="false">AR4284*$M4284</f>
        <v>0</v>
      </c>
      <c r="AT4284" s="28"/>
      <c r="AU4284" s="28" t="n">
        <f aca="false">AT4284*$M4284</f>
        <v>0</v>
      </c>
      <c r="AV4284" s="28"/>
      <c r="AW4284" s="28" t="n">
        <f aca="false">AV4284*$M4284</f>
        <v>0</v>
      </c>
      <c r="AX4284" s="28"/>
      <c r="AY4284" s="28" t="n">
        <f aca="false">AX4284*$M4284</f>
        <v>0</v>
      </c>
      <c r="AZ4284" s="30" t="n">
        <v>7988</v>
      </c>
      <c r="BA4284" s="11" t="n">
        <v>7988</v>
      </c>
      <c r="BB4284" s="31" t="n">
        <f aca="false">SUM(Q4284,S4284,U4284,W4284,Y4284,AA4284,AC4284,AE4284,AG4284,AI4284,AK4284,AM4284,AO4284,AQ4284,AS4284,AU4284,AW4284,AY4284)</f>
        <v>7988</v>
      </c>
      <c r="BC4284" s="28" t="n">
        <f aca="false">BA4284-BB4284</f>
        <v>0</v>
      </c>
      <c r="BD4284" s="32" t="n">
        <f aca="false">SUM(P4284,R4284,T4284,V4284,X4284,Z4284,AB4284,AD4284,AF4284,AH4284,AJ4284,AL4284,AN4284,AP4284,AR4284,AT4284,AV4284,AX4284)</f>
        <v>7988</v>
      </c>
      <c r="BE4284" s="33" t="n">
        <f aca="false">AZ4284-BD4284</f>
        <v>0</v>
      </c>
      <c r="BF4284" s="34" t="n">
        <f aca="false">BD4284*M4284</f>
        <v>7988</v>
      </c>
      <c r="BG4284" s="35" t="n">
        <f aca="false">BA4284-BF4284</f>
        <v>0</v>
      </c>
      <c r="BH4284" s="19" t="str">
        <f aca="false">IF(BG4284=0,"",IF(BG4284&lt;&gt;BA4284,"erreur de calcul",IF(BD4284&lt;&gt;0,"pas de prix",IF(M4284&lt;&gt; 0,"pas de quantité","pas de prix, ni de quantité"))))</f>
        <v/>
      </c>
      <c r="BI4284" s="19"/>
    </row>
    <row r="4285" customFormat="false" ht="15" hidden="false" customHeight="false" outlineLevel="0" collapsed="false">
      <c r="A4285" s="0" t="n">
        <v>30</v>
      </c>
      <c r="B4285" s="8" t="s">
        <v>24</v>
      </c>
      <c r="C4285" s="9" t="s">
        <v>25</v>
      </c>
      <c r="D4285" s="9" t="s">
        <v>26</v>
      </c>
      <c r="E4285" s="10" t="n">
        <v>1789</v>
      </c>
      <c r="F4285" s="9" t="s">
        <v>27</v>
      </c>
      <c r="G4285" s="9" t="s">
        <v>27</v>
      </c>
      <c r="H4285" s="11" t="n">
        <v>20</v>
      </c>
      <c r="I4285" s="11" t="s">
        <v>149</v>
      </c>
      <c r="J4285" s="14" t="n">
        <v>70</v>
      </c>
      <c r="K4285" s="14"/>
      <c r="L4285" s="16"/>
      <c r="M4285" s="27" t="n">
        <f aca="false">J4285+(K4285/20)+(L4285/240)</f>
        <v>70</v>
      </c>
      <c r="N4285" s="17" t="s">
        <v>64</v>
      </c>
      <c r="O4285" s="11"/>
      <c r="P4285" s="28"/>
      <c r="Q4285" s="28" t="n">
        <f aca="false">P4285*$M4285</f>
        <v>0</v>
      </c>
      <c r="R4285" s="28"/>
      <c r="S4285" s="28" t="n">
        <f aca="false">R4285*$M4285</f>
        <v>0</v>
      </c>
      <c r="T4285" s="28"/>
      <c r="U4285" s="28" t="n">
        <f aca="false">T4285*$M4285</f>
        <v>0</v>
      </c>
      <c r="V4285" s="28"/>
      <c r="W4285" s="28" t="n">
        <f aca="false">V4285*$M4285</f>
        <v>0</v>
      </c>
      <c r="X4285" s="28" t="n">
        <f aca="false">1904/100</f>
        <v>19.04</v>
      </c>
      <c r="Y4285" s="28" t="n">
        <v>1333</v>
      </c>
      <c r="Z4285" s="28"/>
      <c r="AA4285" s="28" t="n">
        <f aca="false">Z4285*$M4285</f>
        <v>0</v>
      </c>
      <c r="AB4285" s="28" t="n">
        <f aca="false">51370/100</f>
        <v>513.7</v>
      </c>
      <c r="AC4285" s="28" t="n">
        <v>35959</v>
      </c>
      <c r="AD4285" s="28"/>
      <c r="AE4285" s="28" t="n">
        <f aca="false">AD4285*$M4285</f>
        <v>0</v>
      </c>
      <c r="AF4285" s="28" t="n">
        <f aca="false">8872/100</f>
        <v>88.72</v>
      </c>
      <c r="AG4285" s="28" t="n">
        <v>6210</v>
      </c>
      <c r="AH4285" s="28" t="n">
        <f aca="false">14751/100</f>
        <v>147.51</v>
      </c>
      <c r="AI4285" s="28" t="n">
        <v>10326</v>
      </c>
      <c r="AJ4285" s="28"/>
      <c r="AK4285" s="28" t="n">
        <f aca="false">AJ4285*$M4285</f>
        <v>0</v>
      </c>
      <c r="AL4285" s="28"/>
      <c r="AM4285" s="28" t="n">
        <f aca="false">AL4285*$M4285</f>
        <v>0</v>
      </c>
      <c r="AN4285" s="28"/>
      <c r="AO4285" s="28" t="n">
        <f aca="false">AN4285*$M4285</f>
        <v>0</v>
      </c>
      <c r="AP4285" s="28"/>
      <c r="AQ4285" s="28" t="n">
        <f aca="false">AP4285*$M4285</f>
        <v>0</v>
      </c>
      <c r="AR4285" s="28"/>
      <c r="AS4285" s="28" t="n">
        <f aca="false">AR4285*$M4285</f>
        <v>0</v>
      </c>
      <c r="AT4285" s="28"/>
      <c r="AU4285" s="28" t="n">
        <f aca="false">AT4285*$M4285</f>
        <v>0</v>
      </c>
      <c r="AV4285" s="28"/>
      <c r="AW4285" s="28" t="n">
        <f aca="false">AV4285*$M4285</f>
        <v>0</v>
      </c>
      <c r="AX4285" s="28"/>
      <c r="AY4285" s="28" t="n">
        <f aca="false">AX4285*$M4285</f>
        <v>0</v>
      </c>
      <c r="AZ4285" s="30" t="n">
        <f aca="false">76897/100</f>
        <v>768.97</v>
      </c>
      <c r="BA4285" s="11" t="n">
        <v>53828</v>
      </c>
      <c r="BB4285" s="31" t="n">
        <f aca="false">SUM(Q4285,S4285,U4285,W4285,Y4285,AA4285,AC4285,AE4285,AG4285,AI4285,AK4285,AM4285,AO4285,AQ4285,AS4285,AU4285,AW4285,AY4285)</f>
        <v>53828</v>
      </c>
      <c r="BC4285" s="28" t="n">
        <f aca="false">BA4285-BB4285</f>
        <v>0</v>
      </c>
      <c r="BD4285" s="32" t="n">
        <f aca="false">SUM(P4285,R4285,T4285,V4285,X4285,Z4285,AB4285,AD4285,AF4285,AH4285,AJ4285,AL4285,AN4285,AP4285,AR4285,AT4285,AV4285,AX4285)</f>
        <v>768.97</v>
      </c>
      <c r="BE4285" s="33" t="n">
        <f aca="false">AZ4285-BD4285</f>
        <v>0</v>
      </c>
      <c r="BF4285" s="34" t="n">
        <f aca="false">BD4285*M4285</f>
        <v>53827.9</v>
      </c>
      <c r="BG4285" s="35" t="n">
        <f aca="false">BA4285-BF4285</f>
        <v>0.0999999999985448</v>
      </c>
      <c r="BH4285" s="19" t="str">
        <f aca="false">IF(BG4285=0,"",IF(BG4285&lt;&gt;BA4285,"erreur de calcul",IF(BD4285&lt;&gt;0,"pas de prix",IF(M4285&lt;&gt; 0,"pas de quantité","pas de prix, ni de quantité"))))</f>
        <v>erreur de calcul</v>
      </c>
      <c r="BI4285" s="19"/>
    </row>
    <row r="4286" customFormat="false" ht="15" hidden="false" customHeight="false" outlineLevel="0" collapsed="false">
      <c r="A4286" s="0" t="n">
        <v>31</v>
      </c>
      <c r="B4286" s="8" t="s">
        <v>24</v>
      </c>
      <c r="C4286" s="9" t="s">
        <v>25</v>
      </c>
      <c r="D4286" s="9" t="s">
        <v>26</v>
      </c>
      <c r="E4286" s="10" t="n">
        <v>1789</v>
      </c>
      <c r="F4286" s="9" t="s">
        <v>27</v>
      </c>
      <c r="G4286" s="9" t="s">
        <v>27</v>
      </c>
      <c r="H4286" s="11" t="n">
        <v>20</v>
      </c>
      <c r="I4286" s="11" t="s">
        <v>150</v>
      </c>
      <c r="J4286" s="14" t="n">
        <v>70</v>
      </c>
      <c r="K4286" s="14"/>
      <c r="L4286" s="16"/>
      <c r="M4286" s="27" t="n">
        <f aca="false">J4286+(K4286/20)+(L4286/240)</f>
        <v>70</v>
      </c>
      <c r="N4286" s="17" t="s">
        <v>64</v>
      </c>
      <c r="O4286" s="11" t="s">
        <v>77</v>
      </c>
      <c r="P4286" s="28"/>
      <c r="Q4286" s="28" t="n">
        <f aca="false">P4286*$M4286</f>
        <v>0</v>
      </c>
      <c r="R4286" s="28"/>
      <c r="S4286" s="28" t="n">
        <f aca="false">R4286*$M4286</f>
        <v>0</v>
      </c>
      <c r="T4286" s="28"/>
      <c r="U4286" s="28" t="n">
        <f aca="false">T4286*$M4286</f>
        <v>0</v>
      </c>
      <c r="V4286" s="28"/>
      <c r="W4286" s="28" t="n">
        <f aca="false">V4286*$M4286</f>
        <v>0</v>
      </c>
      <c r="X4286" s="28"/>
      <c r="Y4286" s="28" t="n">
        <f aca="false">X4286*$M4286</f>
        <v>0</v>
      </c>
      <c r="Z4286" s="28"/>
      <c r="AA4286" s="28" t="n">
        <f aca="false">Z4286*$M4286</f>
        <v>0</v>
      </c>
      <c r="AB4286" s="28"/>
      <c r="AC4286" s="28" t="n">
        <f aca="false">AB4286*$M4286</f>
        <v>0</v>
      </c>
      <c r="AD4286" s="28"/>
      <c r="AE4286" s="28" t="n">
        <f aca="false">AD4286*$M4286</f>
        <v>0</v>
      </c>
      <c r="AF4286" s="28"/>
      <c r="AG4286" s="28" t="n">
        <f aca="false">AF4286*$M4286</f>
        <v>0</v>
      </c>
      <c r="AH4286" s="28"/>
      <c r="AI4286" s="28" t="n">
        <f aca="false">AH4286*$M4286</f>
        <v>0</v>
      </c>
      <c r="AJ4286" s="28"/>
      <c r="AK4286" s="28" t="n">
        <f aca="false">AJ4286*$M4286</f>
        <v>0</v>
      </c>
      <c r="AL4286" s="28"/>
      <c r="AM4286" s="28" t="n">
        <f aca="false">AL4286*$M4286</f>
        <v>0</v>
      </c>
      <c r="AN4286" s="28"/>
      <c r="AO4286" s="28" t="n">
        <f aca="false">AN4286*$M4286</f>
        <v>0</v>
      </c>
      <c r="AP4286" s="28"/>
      <c r="AQ4286" s="28" t="n">
        <f aca="false">AP4286*$M4286</f>
        <v>0</v>
      </c>
      <c r="AR4286" s="28"/>
      <c r="AS4286" s="28" t="n">
        <f aca="false">AR4286*$M4286</f>
        <v>0</v>
      </c>
      <c r="AT4286" s="28"/>
      <c r="AU4286" s="28" t="n">
        <f aca="false">AT4286*$M4286</f>
        <v>0</v>
      </c>
      <c r="AV4286" s="28"/>
      <c r="AW4286" s="28" t="n">
        <f aca="false">AV4286*$M4286</f>
        <v>0</v>
      </c>
      <c r="AX4286" s="28"/>
      <c r="AY4286" s="28" t="n">
        <f aca="false">AX4286*$M4286</f>
        <v>0</v>
      </c>
      <c r="AZ4286" s="30"/>
      <c r="BA4286" s="11"/>
      <c r="BB4286" s="31" t="n">
        <f aca="false">SUM(Q4286,S4286,U4286,W4286,Y4286,AA4286,AC4286,AE4286,AG4286,AI4286,AK4286,AM4286,AO4286,AQ4286,AS4286,AU4286,AW4286,AY4286)</f>
        <v>0</v>
      </c>
      <c r="BC4286" s="28" t="n">
        <f aca="false">BA4286-BB4286</f>
        <v>0</v>
      </c>
      <c r="BD4286" s="32" t="n">
        <f aca="false">SUM(P4286,R4286,T4286,V4286,X4286,Z4286,AB4286,AD4286,AF4286,AH4286,AJ4286,AL4286,AN4286,AP4286,AR4286,AT4286,AV4286,AX4286)</f>
        <v>0</v>
      </c>
      <c r="BE4286" s="33" t="n">
        <f aca="false">AZ4286-BD4286</f>
        <v>0</v>
      </c>
      <c r="BF4286" s="34" t="n">
        <f aca="false">BD4286*M4286</f>
        <v>0</v>
      </c>
      <c r="BG4286" s="35" t="n">
        <f aca="false">BA4286-BF4286</f>
        <v>0</v>
      </c>
      <c r="BH4286" s="19" t="str">
        <f aca="false">IF(BG4286=0,"",IF(BG4286&lt;&gt;BA4286,"erreur de calcul",IF(BD4286&lt;&gt;0,"pas de prix",IF(M4286&lt;&gt; 0,"pas de quantité","pas de prix, ni de quantité"))))</f>
        <v/>
      </c>
      <c r="BI4286" s="19"/>
    </row>
    <row r="4287" customFormat="false" ht="15" hidden="false" customHeight="false" outlineLevel="0" collapsed="false">
      <c r="A4287" s="0" t="n">
        <v>32</v>
      </c>
      <c r="B4287" s="8" t="s">
        <v>24</v>
      </c>
      <c r="C4287" s="9" t="s">
        <v>25</v>
      </c>
      <c r="D4287" s="9" t="s">
        <v>26</v>
      </c>
      <c r="E4287" s="10" t="n">
        <v>1789</v>
      </c>
      <c r="F4287" s="9" t="s">
        <v>27</v>
      </c>
      <c r="G4287" s="9" t="s">
        <v>27</v>
      </c>
      <c r="H4287" s="11" t="n">
        <v>20</v>
      </c>
      <c r="I4287" s="11" t="s">
        <v>150</v>
      </c>
      <c r="J4287" s="14" t="n">
        <v>70</v>
      </c>
      <c r="K4287" s="14"/>
      <c r="L4287" s="16"/>
      <c r="M4287" s="27" t="n">
        <f aca="false">J4287+(K4287/20)+(L4287/240)</f>
        <v>70</v>
      </c>
      <c r="N4287" s="17" t="s">
        <v>64</v>
      </c>
      <c r="O4287" s="11" t="s">
        <v>98</v>
      </c>
      <c r="P4287" s="28" t="n">
        <f aca="false">382028/100</f>
        <v>3820.28</v>
      </c>
      <c r="Q4287" s="28" t="n">
        <v>267420</v>
      </c>
      <c r="R4287" s="28" t="n">
        <f aca="false">131361/100</f>
        <v>1313.61</v>
      </c>
      <c r="S4287" s="28" t="n">
        <v>91953</v>
      </c>
      <c r="T4287" s="28" t="n">
        <f aca="false">8856/100</f>
        <v>88.56</v>
      </c>
      <c r="U4287" s="28" t="n">
        <v>6199</v>
      </c>
      <c r="V4287" s="28" t="n">
        <f aca="false">171125/100</f>
        <v>1711.25</v>
      </c>
      <c r="W4287" s="28" t="n">
        <v>119787</v>
      </c>
      <c r="X4287" s="28" t="n">
        <f aca="false">24259/100</f>
        <v>242.59</v>
      </c>
      <c r="Y4287" s="28" t="n">
        <v>16981</v>
      </c>
      <c r="Z4287" s="28"/>
      <c r="AA4287" s="28" t="n">
        <f aca="false">Z4287*$M4287</f>
        <v>0</v>
      </c>
      <c r="AB4287" s="28" t="n">
        <f aca="false">33694/100</f>
        <v>336.94</v>
      </c>
      <c r="AC4287" s="28" t="n">
        <v>23586</v>
      </c>
      <c r="AD4287" s="28" t="n">
        <f aca="false">89734/100</f>
        <v>897.34</v>
      </c>
      <c r="AE4287" s="28" t="n">
        <v>62814</v>
      </c>
      <c r="AF4287" s="28" t="n">
        <f aca="false">1955727/100</f>
        <v>19557.27</v>
      </c>
      <c r="AG4287" s="28" t="n">
        <v>1369009</v>
      </c>
      <c r="AH4287" s="28" t="n">
        <f aca="false">11740/100</f>
        <v>117.4</v>
      </c>
      <c r="AI4287" s="28" t="n">
        <v>8218</v>
      </c>
      <c r="AJ4287" s="28"/>
      <c r="AK4287" s="28" t="n">
        <f aca="false">AJ4287*$M4287</f>
        <v>0</v>
      </c>
      <c r="AL4287" s="28"/>
      <c r="AM4287" s="28" t="n">
        <f aca="false">AL4287*$M4287</f>
        <v>0</v>
      </c>
      <c r="AN4287" s="28"/>
      <c r="AO4287" s="28" t="n">
        <f aca="false">AN4287*$M4287</f>
        <v>0</v>
      </c>
      <c r="AP4287" s="28"/>
      <c r="AQ4287" s="28" t="n">
        <f aca="false">AP4287*$M4287</f>
        <v>0</v>
      </c>
      <c r="AR4287" s="28"/>
      <c r="AS4287" s="28" t="n">
        <f aca="false">AR4287*$M4287</f>
        <v>0</v>
      </c>
      <c r="AT4287" s="28"/>
      <c r="AU4287" s="28" t="n">
        <f aca="false">AT4287*$M4287</f>
        <v>0</v>
      </c>
      <c r="AV4287" s="28" t="n">
        <f aca="false">15000/100</f>
        <v>150</v>
      </c>
      <c r="AW4287" s="28" t="n">
        <v>10500</v>
      </c>
      <c r="AX4287" s="28"/>
      <c r="AY4287" s="28" t="n">
        <f aca="false">AX4287*$M4287</f>
        <v>0</v>
      </c>
      <c r="AZ4287" s="30" t="n">
        <f aca="false">2823524/100</f>
        <v>28235.24</v>
      </c>
      <c r="BA4287" s="11" t="n">
        <v>1976467</v>
      </c>
      <c r="BB4287" s="31" t="n">
        <f aca="false">SUM(Q4287,S4287,U4287,W4287,Y4287,AA4287,AC4287,AE4287,AG4287,AI4287,AK4287,AM4287,AO4287,AQ4287,AS4287,AU4287,AW4287,AY4287)</f>
        <v>1976467</v>
      </c>
      <c r="BC4287" s="28" t="n">
        <f aca="false">BA4287-BB4287</f>
        <v>0</v>
      </c>
      <c r="BD4287" s="32" t="n">
        <f aca="false">SUM(P4287,R4287,T4287,V4287,X4287,Z4287,AB4287,AD4287,AF4287,AH4287,AJ4287,AL4287,AN4287,AP4287,AR4287,AT4287,AV4287,AX4287)</f>
        <v>28235.24</v>
      </c>
      <c r="BE4287" s="33" t="n">
        <f aca="false">AZ4287-BD4287</f>
        <v>0</v>
      </c>
      <c r="BF4287" s="34" t="n">
        <f aca="false">BD4287*M4287</f>
        <v>1976466.8</v>
      </c>
      <c r="BG4287" s="35" t="n">
        <f aca="false">BA4287-BF4287</f>
        <v>0.199999999953434</v>
      </c>
      <c r="BH4287" s="19" t="str">
        <f aca="false">IF(BG4287=0,"",IF(BG4287&lt;&gt;BA4287,"erreur de calcul",IF(BD4287&lt;&gt;0,"pas de prix",IF(M4287&lt;&gt; 0,"pas de quantité","pas de prix, ni de quantité"))))</f>
        <v>erreur de calcul</v>
      </c>
      <c r="BI4287" s="19"/>
    </row>
    <row r="4288" customFormat="false" ht="15" hidden="false" customHeight="false" outlineLevel="0" collapsed="false">
      <c r="A4288" s="0" t="n">
        <v>33</v>
      </c>
      <c r="B4288" s="8" t="s">
        <v>24</v>
      </c>
      <c r="C4288" s="9" t="s">
        <v>25</v>
      </c>
      <c r="D4288" s="9" t="s">
        <v>26</v>
      </c>
      <c r="E4288" s="10" t="n">
        <v>1789</v>
      </c>
      <c r="F4288" s="9" t="s">
        <v>27</v>
      </c>
      <c r="G4288" s="9" t="s">
        <v>27</v>
      </c>
      <c r="H4288" s="11" t="n">
        <v>20</v>
      </c>
      <c r="I4288" s="11" t="s">
        <v>151</v>
      </c>
      <c r="J4288" s="14" t="n">
        <v>150</v>
      </c>
      <c r="K4288" s="14"/>
      <c r="L4288" s="16"/>
      <c r="M4288" s="27" t="n">
        <f aca="false">J4288+(K4288/20)+(L4288/240)</f>
        <v>150</v>
      </c>
      <c r="N4288" s="17" t="s">
        <v>64</v>
      </c>
      <c r="O4288" s="11"/>
      <c r="P4288" s="28"/>
      <c r="Q4288" s="28" t="n">
        <f aca="false">P4288*$M4288</f>
        <v>0</v>
      </c>
      <c r="R4288" s="28"/>
      <c r="S4288" s="28" t="n">
        <f aca="false">R4288*$M4288</f>
        <v>0</v>
      </c>
      <c r="T4288" s="28"/>
      <c r="U4288" s="28" t="n">
        <f aca="false">T4288*$M4288</f>
        <v>0</v>
      </c>
      <c r="V4288" s="28"/>
      <c r="W4288" s="28" t="n">
        <f aca="false">V4288*$M4288</f>
        <v>0</v>
      </c>
      <c r="X4288" s="28"/>
      <c r="Y4288" s="28" t="n">
        <f aca="false">X4288*$M4288</f>
        <v>0</v>
      </c>
      <c r="Z4288" s="28"/>
      <c r="AA4288" s="28" t="n">
        <f aca="false">Z4288*$M4288</f>
        <v>0</v>
      </c>
      <c r="AB4288" s="28"/>
      <c r="AC4288" s="28" t="n">
        <f aca="false">AB4288*$M4288</f>
        <v>0</v>
      </c>
      <c r="AD4288" s="28"/>
      <c r="AE4288" s="28" t="n">
        <f aca="false">AD4288*$M4288</f>
        <v>0</v>
      </c>
      <c r="AF4288" s="28"/>
      <c r="AG4288" s="28" t="n">
        <f aca="false">AF4288*$M4288</f>
        <v>0</v>
      </c>
      <c r="AH4288" s="28"/>
      <c r="AI4288" s="28" t="n">
        <f aca="false">AH4288*$M4288</f>
        <v>0</v>
      </c>
      <c r="AJ4288" s="28"/>
      <c r="AK4288" s="28" t="n">
        <f aca="false">AJ4288*$M4288</f>
        <v>0</v>
      </c>
      <c r="AL4288" s="28" t="n">
        <f aca="false">118785/100</f>
        <v>1187.85</v>
      </c>
      <c r="AM4288" s="28" t="n">
        <v>178177</v>
      </c>
      <c r="AN4288" s="28"/>
      <c r="AO4288" s="28" t="n">
        <f aca="false">AN4288*$M4288</f>
        <v>0</v>
      </c>
      <c r="AP4288" s="28"/>
      <c r="AQ4288" s="28" t="n">
        <f aca="false">AP4288*$M4288</f>
        <v>0</v>
      </c>
      <c r="AR4288" s="28"/>
      <c r="AS4288" s="28" t="n">
        <f aca="false">AR4288*$M4288</f>
        <v>0</v>
      </c>
      <c r="AT4288" s="28"/>
      <c r="AU4288" s="28" t="n">
        <f aca="false">AT4288*$M4288</f>
        <v>0</v>
      </c>
      <c r="AV4288" s="28"/>
      <c r="AW4288" s="28" t="n">
        <f aca="false">AV4288*$M4288</f>
        <v>0</v>
      </c>
      <c r="AX4288" s="28"/>
      <c r="AY4288" s="28" t="n">
        <f aca="false">AX4288*$M4288</f>
        <v>0</v>
      </c>
      <c r="AZ4288" s="30" t="n">
        <f aca="false">118785/100</f>
        <v>1187.85</v>
      </c>
      <c r="BA4288" s="11" t="n">
        <v>178177</v>
      </c>
      <c r="BB4288" s="31" t="n">
        <f aca="false">SUM(Q4288,S4288,U4288,W4288,Y4288,AA4288,AC4288,AE4288,AG4288,AI4288,AK4288,AM4288,AO4288,AQ4288,AS4288,AU4288,AW4288,AY4288)</f>
        <v>178177</v>
      </c>
      <c r="BC4288" s="28" t="n">
        <f aca="false">BA4288-BB4288</f>
        <v>0</v>
      </c>
      <c r="BD4288" s="32" t="n">
        <f aca="false">SUM(P4288,R4288,T4288,V4288,X4288,Z4288,AB4288,AD4288,AF4288,AH4288,AJ4288,AL4288,AN4288,AP4288,AR4288,AT4288,AV4288,AX4288)</f>
        <v>1187.85</v>
      </c>
      <c r="BE4288" s="33" t="n">
        <f aca="false">AZ4288-BD4288</f>
        <v>0</v>
      </c>
      <c r="BF4288" s="34" t="n">
        <f aca="false">BD4288*M4288</f>
        <v>178177.5</v>
      </c>
      <c r="BG4288" s="35" t="n">
        <f aca="false">BA4288-BF4288</f>
        <v>-0.5</v>
      </c>
      <c r="BH4288" s="19" t="str">
        <f aca="false">IF(BG4288=0,"",IF(BG4288&lt;&gt;BA4288,"erreur de calcul",IF(BD4288&lt;&gt;0,"pas de prix",IF(M4288&lt;&gt; 0,"pas de quantité","pas de prix, ni de quantité"))))</f>
        <v>erreur de calcul</v>
      </c>
      <c r="BI4288" s="19"/>
    </row>
    <row r="4289" customFormat="false" ht="15" hidden="false" customHeight="false" outlineLevel="0" collapsed="false">
      <c r="A4289" s="0" t="n">
        <v>34</v>
      </c>
      <c r="B4289" s="8" t="s">
        <v>24</v>
      </c>
      <c r="C4289" s="9" t="s">
        <v>25</v>
      </c>
      <c r="D4289" s="9" t="s">
        <v>26</v>
      </c>
      <c r="E4289" s="10" t="n">
        <v>1789</v>
      </c>
      <c r="F4289" s="9" t="s">
        <v>27</v>
      </c>
      <c r="G4289" s="9" t="s">
        <v>27</v>
      </c>
      <c r="H4289" s="11" t="n">
        <v>20</v>
      </c>
      <c r="I4289" s="11" t="s">
        <v>152</v>
      </c>
      <c r="J4289" s="14" t="n">
        <v>80</v>
      </c>
      <c r="K4289" s="14"/>
      <c r="L4289" s="16"/>
      <c r="M4289" s="27" t="n">
        <f aca="false">J4289+(K4289/20)+(L4289/240)</f>
        <v>80</v>
      </c>
      <c r="N4289" s="17" t="s">
        <v>64</v>
      </c>
      <c r="O4289" s="11"/>
      <c r="P4289" s="28"/>
      <c r="Q4289" s="28" t="n">
        <f aca="false">P4289*$M4289</f>
        <v>0</v>
      </c>
      <c r="R4289" s="28"/>
      <c r="S4289" s="28" t="n">
        <f aca="false">R4289*$M4289</f>
        <v>0</v>
      </c>
      <c r="T4289" s="28"/>
      <c r="U4289" s="28" t="n">
        <f aca="false">T4289*$M4289</f>
        <v>0</v>
      </c>
      <c r="V4289" s="28"/>
      <c r="W4289" s="28" t="n">
        <f aca="false">V4289*$M4289</f>
        <v>0</v>
      </c>
      <c r="X4289" s="28"/>
      <c r="Y4289" s="28" t="n">
        <f aca="false">X4289*$M4289</f>
        <v>0</v>
      </c>
      <c r="Z4289" s="28"/>
      <c r="AA4289" s="28" t="n">
        <f aca="false">Z4289*$M4289</f>
        <v>0</v>
      </c>
      <c r="AB4289" s="28" t="n">
        <f aca="false">3142/100</f>
        <v>31.42</v>
      </c>
      <c r="AC4289" s="28" t="n">
        <v>2514</v>
      </c>
      <c r="AD4289" s="28"/>
      <c r="AE4289" s="28" t="n">
        <f aca="false">AD4289*$M4289</f>
        <v>0</v>
      </c>
      <c r="AF4289" s="28" t="n">
        <f aca="false">4868/100</f>
        <v>48.68</v>
      </c>
      <c r="AG4289" s="36" t="n">
        <v>3874</v>
      </c>
      <c r="AH4289" s="28" t="n">
        <f aca="false">1541601/100</f>
        <v>15416.01</v>
      </c>
      <c r="AI4289" s="28" t="n">
        <v>1233281</v>
      </c>
      <c r="AJ4289" s="28"/>
      <c r="AK4289" s="28" t="n">
        <f aca="false">AJ4289*$M4289</f>
        <v>0</v>
      </c>
      <c r="AL4289" s="28"/>
      <c r="AM4289" s="28" t="n">
        <f aca="false">AL4289*$M4289</f>
        <v>0</v>
      </c>
      <c r="AN4289" s="28"/>
      <c r="AO4289" s="28" t="n">
        <f aca="false">AN4289*$M4289</f>
        <v>0</v>
      </c>
      <c r="AP4289" s="28"/>
      <c r="AQ4289" s="28" t="n">
        <f aca="false">AP4289*$M4289</f>
        <v>0</v>
      </c>
      <c r="AR4289" s="28"/>
      <c r="AS4289" s="28" t="n">
        <f aca="false">AR4289*$M4289</f>
        <v>0</v>
      </c>
      <c r="AT4289" s="28"/>
      <c r="AU4289" s="28" t="n">
        <f aca="false">AT4289*$M4289</f>
        <v>0</v>
      </c>
      <c r="AV4289" s="28"/>
      <c r="AW4289" s="28" t="n">
        <f aca="false">AV4289*$M4289</f>
        <v>0</v>
      </c>
      <c r="AX4289" s="28"/>
      <c r="AY4289" s="28" t="n">
        <f aca="false">AX4289*$M4289</f>
        <v>0</v>
      </c>
      <c r="AZ4289" s="30" t="n">
        <f aca="false">1549611/100</f>
        <v>15496.11</v>
      </c>
      <c r="BA4289" s="11" t="n">
        <v>1239669</v>
      </c>
      <c r="BB4289" s="31" t="n">
        <f aca="false">SUM(Q4289,S4289,U4289,W4289,Y4289,AA4289,AC4289,AE4289,AG4289,AI4289,AK4289,AM4289,AO4289,AQ4289,AS4289,AU4289,AW4289,AY4289)</f>
        <v>1239669</v>
      </c>
      <c r="BC4289" s="28" t="n">
        <f aca="false">BA4289-BB4289</f>
        <v>0</v>
      </c>
      <c r="BD4289" s="32" t="n">
        <f aca="false">SUM(P4289,R4289,T4289,V4289,X4289,Z4289,AB4289,AD4289,AF4289,AH4289,AJ4289,AL4289,AN4289,AP4289,AR4289,AT4289,AV4289,AX4289)</f>
        <v>15496.11</v>
      </c>
      <c r="BE4289" s="33" t="n">
        <f aca="false">AZ4289-BD4289</f>
        <v>0</v>
      </c>
      <c r="BF4289" s="34" t="n">
        <f aca="false">BD4289*M4289</f>
        <v>1239688.8</v>
      </c>
      <c r="BG4289" s="35" t="n">
        <f aca="false">BA4289-BF4289</f>
        <v>-19.8000000000466</v>
      </c>
      <c r="BH4289" s="19" t="str">
        <f aca="false">IF(BG4289=0,"",IF(BG4289&lt;&gt;BA4289,"erreur de calcul",IF(BD4289&lt;&gt;0,"pas de prix",IF(M4289&lt;&gt; 0,"pas de quantité","pas de prix, ni de quantité"))))</f>
        <v>erreur de calcul</v>
      </c>
      <c r="BI4289" s="19"/>
    </row>
    <row r="4290" customFormat="false" ht="15" hidden="false" customHeight="false" outlineLevel="0" collapsed="false">
      <c r="A4290" s="0" t="n">
        <v>35</v>
      </c>
      <c r="B4290" s="8" t="s">
        <v>24</v>
      </c>
      <c r="C4290" s="9" t="s">
        <v>25</v>
      </c>
      <c r="D4290" s="9" t="s">
        <v>26</v>
      </c>
      <c r="E4290" s="10" t="n">
        <v>1789</v>
      </c>
      <c r="F4290" s="9" t="s">
        <v>27</v>
      </c>
      <c r="G4290" s="9" t="s">
        <v>27</v>
      </c>
      <c r="H4290" s="11" t="n">
        <v>20</v>
      </c>
      <c r="I4290" s="11" t="s">
        <v>153</v>
      </c>
      <c r="J4290" s="14" t="n">
        <v>148</v>
      </c>
      <c r="K4290" s="14"/>
      <c r="L4290" s="16"/>
      <c r="M4290" s="27" t="n">
        <f aca="false">J4290+(K4290/20)+(L4290/240)</f>
        <v>148</v>
      </c>
      <c r="N4290" s="17" t="s">
        <v>64</v>
      </c>
      <c r="O4290" s="11"/>
      <c r="P4290" s="28"/>
      <c r="Q4290" s="28" t="n">
        <f aca="false">P4290*$M4290</f>
        <v>0</v>
      </c>
      <c r="R4290" s="28"/>
      <c r="S4290" s="28" t="n">
        <f aca="false">R4290*$M4290</f>
        <v>0</v>
      </c>
      <c r="T4290" s="28"/>
      <c r="U4290" s="28" t="n">
        <f aca="false">T4290*$M4290</f>
        <v>0</v>
      </c>
      <c r="V4290" s="28"/>
      <c r="W4290" s="28" t="n">
        <f aca="false">V4290*$M4290</f>
        <v>0</v>
      </c>
      <c r="X4290" s="28"/>
      <c r="Y4290" s="28" t="n">
        <f aca="false">X4290*$M4290</f>
        <v>0</v>
      </c>
      <c r="Z4290" s="28"/>
      <c r="AA4290" s="28" t="n">
        <f aca="false">Z4290*$M4290</f>
        <v>0</v>
      </c>
      <c r="AB4290" s="28"/>
      <c r="AC4290" s="28" t="n">
        <f aca="false">AB4290*$M4290</f>
        <v>0</v>
      </c>
      <c r="AD4290" s="28"/>
      <c r="AE4290" s="28" t="n">
        <f aca="false">AD4290*$M4290</f>
        <v>0</v>
      </c>
      <c r="AF4290" s="28"/>
      <c r="AG4290" s="28" t="n">
        <f aca="false">AF4290*$M4290</f>
        <v>0</v>
      </c>
      <c r="AH4290" s="28"/>
      <c r="AI4290" s="28" t="n">
        <f aca="false">AH4290*$M4290</f>
        <v>0</v>
      </c>
      <c r="AJ4290" s="28" t="n">
        <f aca="false">1472/100</f>
        <v>14.72</v>
      </c>
      <c r="AK4290" s="28" t="n">
        <v>2178</v>
      </c>
      <c r="AL4290" s="28"/>
      <c r="AM4290" s="28" t="n">
        <f aca="false">AL4290*$M4290</f>
        <v>0</v>
      </c>
      <c r="AN4290" s="28"/>
      <c r="AO4290" s="28" t="n">
        <f aca="false">AN4290*$M4290</f>
        <v>0</v>
      </c>
      <c r="AP4290" s="28"/>
      <c r="AQ4290" s="28" t="n">
        <f aca="false">AP4290*$M4290</f>
        <v>0</v>
      </c>
      <c r="AR4290" s="28"/>
      <c r="AS4290" s="28" t="n">
        <f aca="false">AR4290*$M4290</f>
        <v>0</v>
      </c>
      <c r="AT4290" s="28"/>
      <c r="AU4290" s="28" t="n">
        <f aca="false">AT4290*$M4290</f>
        <v>0</v>
      </c>
      <c r="AV4290" s="28"/>
      <c r="AW4290" s="28" t="n">
        <f aca="false">AV4290*$M4290</f>
        <v>0</v>
      </c>
      <c r="AX4290" s="28"/>
      <c r="AY4290" s="28" t="n">
        <f aca="false">AX4290*$M4290</f>
        <v>0</v>
      </c>
      <c r="AZ4290" s="30" t="n">
        <f aca="false">1472/100</f>
        <v>14.72</v>
      </c>
      <c r="BA4290" s="11" t="n">
        <v>2178</v>
      </c>
      <c r="BB4290" s="31" t="n">
        <f aca="false">SUM(Q4290,S4290,U4290,W4290,Y4290,AA4290,AC4290,AE4290,AG4290,AI4290,AK4290,AM4290,AO4290,AQ4290,AS4290,AU4290,AW4290,AY4290)</f>
        <v>2178</v>
      </c>
      <c r="BC4290" s="28" t="n">
        <f aca="false">BA4290-BB4290</f>
        <v>0</v>
      </c>
      <c r="BD4290" s="32" t="n">
        <f aca="false">SUM(P4290,R4290,T4290,V4290,X4290,Z4290,AB4290,AD4290,AF4290,AH4290,AJ4290,AL4290,AN4290,AP4290,AR4290,AT4290,AV4290,AX4290)</f>
        <v>14.72</v>
      </c>
      <c r="BE4290" s="33" t="n">
        <f aca="false">AZ4290-BD4290</f>
        <v>0</v>
      </c>
      <c r="BF4290" s="34" t="n">
        <f aca="false">BD4290*M4290</f>
        <v>2178.56</v>
      </c>
      <c r="BG4290" s="35" t="n">
        <f aca="false">BA4290-BF4290</f>
        <v>-0.559999999999945</v>
      </c>
      <c r="BH4290" s="19" t="str">
        <f aca="false">IF(BG4290=0,"",IF(BG4290&lt;&gt;BA4290,"erreur de calcul",IF(BD4290&lt;&gt;0,"pas de prix",IF(M4290&lt;&gt; 0,"pas de quantité","pas de prix, ni de quantité"))))</f>
        <v>erreur de calcul</v>
      </c>
      <c r="BI4290" s="19"/>
    </row>
    <row r="4291" customFormat="false" ht="15" hidden="false" customHeight="false" outlineLevel="0" collapsed="false">
      <c r="A4291" s="0" t="n">
        <v>36</v>
      </c>
      <c r="B4291" s="8" t="s">
        <v>24</v>
      </c>
      <c r="C4291" s="9" t="s">
        <v>25</v>
      </c>
      <c r="D4291" s="9" t="s">
        <v>26</v>
      </c>
      <c r="E4291" s="10" t="n">
        <v>1789</v>
      </c>
      <c r="F4291" s="9" t="s">
        <v>27</v>
      </c>
      <c r="G4291" s="9" t="s">
        <v>27</v>
      </c>
      <c r="H4291" s="11" t="n">
        <v>20</v>
      </c>
      <c r="I4291" s="11" t="s">
        <v>154</v>
      </c>
      <c r="J4291" s="14" t="n">
        <v>75</v>
      </c>
      <c r="K4291" s="14"/>
      <c r="L4291" s="16"/>
      <c r="M4291" s="27" t="n">
        <f aca="false">J4291+(K4291/20)+(L4291/240)</f>
        <v>75</v>
      </c>
      <c r="N4291" s="17" t="s">
        <v>64</v>
      </c>
      <c r="O4291" s="11"/>
      <c r="P4291" s="28"/>
      <c r="Q4291" s="28" t="n">
        <f aca="false">P4291*$M4291</f>
        <v>0</v>
      </c>
      <c r="R4291" s="28"/>
      <c r="S4291" s="28" t="n">
        <f aca="false">R4291*$M4291</f>
        <v>0</v>
      </c>
      <c r="T4291" s="28" t="n">
        <f aca="false">627/100</f>
        <v>6.27</v>
      </c>
      <c r="U4291" s="28" t="n">
        <v>470</v>
      </c>
      <c r="V4291" s="28"/>
      <c r="W4291" s="28" t="n">
        <f aca="false">V4291*$M4291</f>
        <v>0</v>
      </c>
      <c r="X4291" s="28"/>
      <c r="Y4291" s="28" t="n">
        <f aca="false">X4291*$M4291</f>
        <v>0</v>
      </c>
      <c r="Z4291" s="28"/>
      <c r="AA4291" s="28" t="n">
        <f aca="false">Z4291*$M4291</f>
        <v>0</v>
      </c>
      <c r="AB4291" s="28"/>
      <c r="AC4291" s="28" t="n">
        <f aca="false">AB4291*$M4291</f>
        <v>0</v>
      </c>
      <c r="AD4291" s="28"/>
      <c r="AE4291" s="28" t="n">
        <f aca="false">AD4291*$M4291</f>
        <v>0</v>
      </c>
      <c r="AF4291" s="28"/>
      <c r="AG4291" s="28" t="n">
        <f aca="false">AF4291*$M4291</f>
        <v>0</v>
      </c>
      <c r="AH4291" s="28"/>
      <c r="AI4291" s="28" t="n">
        <f aca="false">AH4291*$M4291</f>
        <v>0</v>
      </c>
      <c r="AJ4291" s="28"/>
      <c r="AK4291" s="28" t="n">
        <f aca="false">AJ4291*$M4291</f>
        <v>0</v>
      </c>
      <c r="AL4291" s="28"/>
      <c r="AM4291" s="28" t="n">
        <f aca="false">AL4291*$M4291</f>
        <v>0</v>
      </c>
      <c r="AN4291" s="28"/>
      <c r="AO4291" s="28" t="n">
        <f aca="false">AN4291*$M4291</f>
        <v>0</v>
      </c>
      <c r="AP4291" s="28"/>
      <c r="AQ4291" s="28" t="n">
        <f aca="false">AP4291*$M4291</f>
        <v>0</v>
      </c>
      <c r="AR4291" s="28"/>
      <c r="AS4291" s="28" t="n">
        <f aca="false">AR4291*$M4291</f>
        <v>0</v>
      </c>
      <c r="AT4291" s="28"/>
      <c r="AU4291" s="28" t="n">
        <f aca="false">AT4291*$M4291</f>
        <v>0</v>
      </c>
      <c r="AV4291" s="28"/>
      <c r="AW4291" s="28" t="n">
        <f aca="false">AV4291*$M4291</f>
        <v>0</v>
      </c>
      <c r="AX4291" s="28"/>
      <c r="AY4291" s="28" t="n">
        <f aca="false">AX4291*$M4291</f>
        <v>0</v>
      </c>
      <c r="AZ4291" s="30" t="n">
        <f aca="false">627/100</f>
        <v>6.27</v>
      </c>
      <c r="BA4291" s="11" t="n">
        <v>470</v>
      </c>
      <c r="BB4291" s="31" t="n">
        <f aca="false">SUM(Q4291,S4291,U4291,W4291,Y4291,AA4291,AC4291,AE4291,AG4291,AI4291,AK4291,AM4291,AO4291,AQ4291,AS4291,AU4291,AW4291,AY4291)</f>
        <v>470</v>
      </c>
      <c r="BC4291" s="28" t="n">
        <f aca="false">BA4291-BB4291</f>
        <v>0</v>
      </c>
      <c r="BD4291" s="32" t="n">
        <f aca="false">SUM(P4291,R4291,T4291,V4291,X4291,Z4291,AB4291,AD4291,AF4291,AH4291,AJ4291,AL4291,AN4291,AP4291,AR4291,AT4291,AV4291,AX4291)</f>
        <v>6.27</v>
      </c>
      <c r="BE4291" s="33" t="n">
        <f aca="false">AZ4291-BD4291</f>
        <v>0</v>
      </c>
      <c r="BF4291" s="34" t="n">
        <f aca="false">BD4291*M4291</f>
        <v>470.25</v>
      </c>
      <c r="BG4291" s="35" t="n">
        <f aca="false">BA4291-BF4291</f>
        <v>-0.249999999999943</v>
      </c>
      <c r="BH4291" s="19" t="str">
        <f aca="false">IF(BG4291=0,"",IF(BG4291&lt;&gt;BA4291,"erreur de calcul",IF(BD4291&lt;&gt;0,"pas de prix",IF(M4291&lt;&gt; 0,"pas de quantité","pas de prix, ni de quantité"))))</f>
        <v>erreur de calcul</v>
      </c>
      <c r="BI4291" s="19"/>
    </row>
    <row r="4292" customFormat="false" ht="15" hidden="false" customHeight="false" outlineLevel="0" collapsed="false">
      <c r="A4292" s="0" t="n">
        <v>1</v>
      </c>
      <c r="B4292" s="8" t="s">
        <v>24</v>
      </c>
      <c r="C4292" s="9" t="s">
        <v>25</v>
      </c>
      <c r="D4292" s="9" t="s">
        <v>26</v>
      </c>
      <c r="E4292" s="10" t="n">
        <v>1789</v>
      </c>
      <c r="F4292" s="9" t="s">
        <v>27</v>
      </c>
      <c r="G4292" s="9" t="s">
        <v>27</v>
      </c>
      <c r="H4292" s="11" t="n">
        <v>21</v>
      </c>
      <c r="I4292" s="11" t="s">
        <v>155</v>
      </c>
      <c r="J4292" s="14" t="n">
        <v>60</v>
      </c>
      <c r="K4292" s="14"/>
      <c r="L4292" s="16"/>
      <c r="M4292" s="27" t="n">
        <f aca="false">J4292+(K4292/20)+(L4292/240)</f>
        <v>60</v>
      </c>
      <c r="N4292" s="17" t="s">
        <v>66</v>
      </c>
      <c r="O4292" s="11"/>
      <c r="P4292" s="28"/>
      <c r="Q4292" s="28" t="n">
        <f aca="false">P4292*$M4292</f>
        <v>0</v>
      </c>
      <c r="R4292" s="28"/>
      <c r="S4292" s="28" t="n">
        <f aca="false">R4292*$M4292</f>
        <v>0</v>
      </c>
      <c r="T4292" s="28"/>
      <c r="U4292" s="28" t="n">
        <f aca="false">T4292*$M4292</f>
        <v>0</v>
      </c>
      <c r="V4292" s="28" t="n">
        <v>10</v>
      </c>
      <c r="W4292" s="28" t="n">
        <v>600</v>
      </c>
      <c r="X4292" s="28"/>
      <c r="Y4292" s="28" t="n">
        <f aca="false">X4292*$M4292</f>
        <v>0</v>
      </c>
      <c r="Z4292" s="28"/>
      <c r="AA4292" s="28" t="n">
        <f aca="false">Z4292*$M4292</f>
        <v>0</v>
      </c>
      <c r="AB4292" s="28"/>
      <c r="AC4292" s="28" t="n">
        <f aca="false">AB4292*$M4292</f>
        <v>0</v>
      </c>
      <c r="AD4292" s="28"/>
      <c r="AE4292" s="28" t="n">
        <f aca="false">AD4292*$M4292</f>
        <v>0</v>
      </c>
      <c r="AF4292" s="28"/>
      <c r="AG4292" s="28" t="n">
        <f aca="false">AF4292*$M4292</f>
        <v>0</v>
      </c>
      <c r="AH4292" s="28"/>
      <c r="AI4292" s="28" t="n">
        <f aca="false">AH4292*$M4292</f>
        <v>0</v>
      </c>
      <c r="AJ4292" s="28"/>
      <c r="AK4292" s="28" t="n">
        <f aca="false">AJ4292*$M4292</f>
        <v>0</v>
      </c>
      <c r="AL4292" s="28"/>
      <c r="AM4292" s="28" t="n">
        <f aca="false">AL4292*$M4292</f>
        <v>0</v>
      </c>
      <c r="AN4292" s="28"/>
      <c r="AO4292" s="28" t="n">
        <f aca="false">AN4292*$M4292</f>
        <v>0</v>
      </c>
      <c r="AP4292" s="28"/>
      <c r="AQ4292" s="28" t="n">
        <f aca="false">AP4292*$M4292</f>
        <v>0</v>
      </c>
      <c r="AR4292" s="28"/>
      <c r="AS4292" s="28" t="n">
        <f aca="false">AR4292*$M4292</f>
        <v>0</v>
      </c>
      <c r="AT4292" s="28"/>
      <c r="AU4292" s="28" t="n">
        <f aca="false">AT4292*$M4292</f>
        <v>0</v>
      </c>
      <c r="AV4292" s="28"/>
      <c r="AW4292" s="28" t="n">
        <f aca="false">AV4292*$M4292</f>
        <v>0</v>
      </c>
      <c r="AX4292" s="28"/>
      <c r="AY4292" s="28" t="n">
        <f aca="false">AX4292*$M4292</f>
        <v>0</v>
      </c>
      <c r="AZ4292" s="30" t="n">
        <v>10</v>
      </c>
      <c r="BA4292" s="11" t="n">
        <v>600</v>
      </c>
      <c r="BB4292" s="31" t="n">
        <f aca="false">SUM(Q4292,S4292,U4292,W4292,Y4292,AA4292,AC4292,AE4292,AG4292,AI4292,AK4292,AM4292,AO4292,AQ4292,AS4292,AU4292,AW4292,AY4292)</f>
        <v>600</v>
      </c>
      <c r="BC4292" s="28" t="n">
        <f aca="false">BA4292-BB4292</f>
        <v>0</v>
      </c>
      <c r="BD4292" s="32" t="n">
        <f aca="false">SUM(P4292,R4292,T4292,V4292,X4292,Z4292,AB4292,AD4292,AF4292,AH4292,AJ4292,AL4292,AN4292,AP4292,AR4292,AT4292,AV4292,AX4292)</f>
        <v>10</v>
      </c>
      <c r="BE4292" s="33" t="n">
        <f aca="false">AZ4292-BD4292</f>
        <v>0</v>
      </c>
      <c r="BF4292" s="34" t="n">
        <f aca="false">BD4292*M4292</f>
        <v>600</v>
      </c>
      <c r="BG4292" s="35" t="n">
        <f aca="false">BA4292-BF4292</f>
        <v>0</v>
      </c>
      <c r="BH4292" s="19" t="str">
        <f aca="false">IF(BG4292=0,"",IF(BG4292&lt;&gt;BA4292,"erreur de calcul",IF(BD4292&lt;&gt;0,"pas de prix",IF(M4292&lt;&gt; 0,"pas de quantité","pas de prix, ni de quantité"))))</f>
        <v/>
      </c>
      <c r="BI4292" s="19"/>
    </row>
    <row r="4293" customFormat="false" ht="15" hidden="false" customHeight="false" outlineLevel="0" collapsed="false">
      <c r="A4293" s="0" t="n">
        <v>2</v>
      </c>
      <c r="B4293" s="8" t="s">
        <v>24</v>
      </c>
      <c r="C4293" s="9" t="s">
        <v>25</v>
      </c>
      <c r="D4293" s="9" t="s">
        <v>26</v>
      </c>
      <c r="E4293" s="10" t="n">
        <v>1789</v>
      </c>
      <c r="F4293" s="9" t="s">
        <v>27</v>
      </c>
      <c r="G4293" s="9" t="s">
        <v>27</v>
      </c>
      <c r="H4293" s="11" t="n">
        <v>21</v>
      </c>
      <c r="I4293" s="11" t="s">
        <v>156</v>
      </c>
      <c r="J4293" s="14"/>
      <c r="K4293" s="14"/>
      <c r="L4293" s="16"/>
      <c r="M4293" s="27" t="n">
        <f aca="false">J4293+(K4293/20)+(L4293/240)</f>
        <v>0</v>
      </c>
      <c r="N4293" s="17"/>
      <c r="O4293" s="11"/>
      <c r="P4293" s="28"/>
      <c r="Q4293" s="28" t="n">
        <v>304</v>
      </c>
      <c r="R4293" s="28"/>
      <c r="S4293" s="28" t="n">
        <f aca="false">R4293*$M4293</f>
        <v>0</v>
      </c>
      <c r="T4293" s="28"/>
      <c r="U4293" s="28" t="n">
        <f aca="false">T4293*$M4293</f>
        <v>0</v>
      </c>
      <c r="V4293" s="28"/>
      <c r="W4293" s="28" t="n">
        <f aca="false">V4293*$M4293</f>
        <v>0</v>
      </c>
      <c r="X4293" s="28"/>
      <c r="Y4293" s="28" t="n">
        <v>270</v>
      </c>
      <c r="Z4293" s="28"/>
      <c r="AA4293" s="28" t="n">
        <f aca="false">Z4293*$M4293</f>
        <v>0</v>
      </c>
      <c r="AB4293" s="28"/>
      <c r="AC4293" s="28" t="n">
        <f aca="false">AB4293*$M4293</f>
        <v>0</v>
      </c>
      <c r="AD4293" s="28"/>
      <c r="AE4293" s="28" t="n">
        <v>175</v>
      </c>
      <c r="AF4293" s="28"/>
      <c r="AG4293" s="28" t="n">
        <f aca="false">AF4293*$M4293</f>
        <v>0</v>
      </c>
      <c r="AH4293" s="28"/>
      <c r="AI4293" s="28" t="n">
        <f aca="false">AH4293*$M4293</f>
        <v>0</v>
      </c>
      <c r="AJ4293" s="28"/>
      <c r="AK4293" s="28" t="n">
        <v>240</v>
      </c>
      <c r="AL4293" s="28"/>
      <c r="AM4293" s="28" t="n">
        <v>808</v>
      </c>
      <c r="AN4293" s="28"/>
      <c r="AO4293" s="28" t="n">
        <f aca="false">AN4293*$M4293</f>
        <v>0</v>
      </c>
      <c r="AP4293" s="28"/>
      <c r="AQ4293" s="28" t="n">
        <f aca="false">AP4293*$M4293</f>
        <v>0</v>
      </c>
      <c r="AR4293" s="28"/>
      <c r="AS4293" s="28" t="n">
        <f aca="false">AR4293*$M4293</f>
        <v>0</v>
      </c>
      <c r="AT4293" s="28"/>
      <c r="AU4293" s="28" t="n">
        <f aca="false">AT4293*$M4293</f>
        <v>0</v>
      </c>
      <c r="AV4293" s="28"/>
      <c r="AW4293" s="28" t="n">
        <f aca="false">AV4293*$M4293</f>
        <v>0</v>
      </c>
      <c r="AX4293" s="28"/>
      <c r="AY4293" s="28" t="n">
        <f aca="false">AX4293*$M4293</f>
        <v>0</v>
      </c>
      <c r="AZ4293" s="30"/>
      <c r="BA4293" s="11" t="n">
        <v>1797</v>
      </c>
      <c r="BB4293" s="31" t="n">
        <f aca="false">SUM(Q4293,S4293,U4293,W4293,Y4293,AA4293,AC4293,AE4293,AG4293,AI4293,AK4293,AM4293,AO4293,AQ4293,AS4293,AU4293,AW4293,AY4293)</f>
        <v>1797</v>
      </c>
      <c r="BC4293" s="28" t="n">
        <f aca="false">BA4293-BB4293</f>
        <v>0</v>
      </c>
      <c r="BD4293" s="32" t="n">
        <f aca="false">SUM(P4293,R4293,T4293,V4293,X4293,Z4293,AB4293,AD4293,AF4293,AH4293,AJ4293,AL4293,AN4293,AP4293,AR4293,AT4293,AV4293,AX4293)</f>
        <v>0</v>
      </c>
      <c r="BE4293" s="33" t="n">
        <f aca="false">AZ4293-BD4293</f>
        <v>0</v>
      </c>
      <c r="BF4293" s="34" t="n">
        <f aca="false">BD4293*M4293</f>
        <v>0</v>
      </c>
      <c r="BG4293" s="35" t="n">
        <f aca="false">BA4293-BF4293</f>
        <v>1797</v>
      </c>
      <c r="BH4293" s="19" t="str">
        <f aca="false">IF(BG4293=0,"",IF(BG4293&lt;&gt;BA4293,"erreur de calcul",IF(BD4293&lt;&gt;0,"pas de prix",IF(M4293&lt;&gt; 0,"pas de quantité","pas de prix, ni de quantité"))))</f>
        <v>pas de prix, ni de quantité</v>
      </c>
      <c r="BI4293" s="19"/>
    </row>
    <row r="4294" customFormat="false" ht="15" hidden="false" customHeight="false" outlineLevel="0" collapsed="false">
      <c r="A4294" s="0" t="n">
        <v>3</v>
      </c>
      <c r="B4294" s="8" t="s">
        <v>24</v>
      </c>
      <c r="C4294" s="9" t="s">
        <v>25</v>
      </c>
      <c r="D4294" s="9" t="s">
        <v>26</v>
      </c>
      <c r="E4294" s="10" t="n">
        <v>1789</v>
      </c>
      <c r="F4294" s="9" t="s">
        <v>27</v>
      </c>
      <c r="G4294" s="9" t="s">
        <v>27</v>
      </c>
      <c r="H4294" s="11" t="n">
        <v>21</v>
      </c>
      <c r="I4294" s="11" t="s">
        <v>156</v>
      </c>
      <c r="J4294" s="14" t="n">
        <v>175</v>
      </c>
      <c r="K4294" s="14"/>
      <c r="L4294" s="16"/>
      <c r="M4294" s="27" t="n">
        <f aca="false">J4294+(K4294/20)+(L4294/240)</f>
        <v>175</v>
      </c>
      <c r="N4294" s="17" t="s">
        <v>64</v>
      </c>
      <c r="O4294" s="11" t="s">
        <v>98</v>
      </c>
      <c r="P4294" s="28" t="n">
        <f aca="false">3429/100</f>
        <v>34.29</v>
      </c>
      <c r="Q4294" s="28" t="n">
        <v>6001</v>
      </c>
      <c r="R4294" s="28"/>
      <c r="S4294" s="28" t="n">
        <f aca="false">R4294*$M4294</f>
        <v>0</v>
      </c>
      <c r="T4294" s="28" t="n">
        <f aca="false">5135/100</f>
        <v>51.35</v>
      </c>
      <c r="U4294" s="28" t="n">
        <v>8986</v>
      </c>
      <c r="V4294" s="28" t="n">
        <f aca="false">33716/100</f>
        <v>337.16</v>
      </c>
      <c r="W4294" s="28" t="n">
        <v>59003</v>
      </c>
      <c r="X4294" s="28" t="n">
        <f aca="false">14982/100</f>
        <v>149.82</v>
      </c>
      <c r="Y4294" s="28" t="n">
        <v>26218</v>
      </c>
      <c r="Z4294" s="28"/>
      <c r="AA4294" s="28" t="n">
        <f aca="false">Z4294*$M4294</f>
        <v>0</v>
      </c>
      <c r="AB4294" s="28"/>
      <c r="AC4294" s="28" t="n">
        <f aca="false">AB4294*$M4294</f>
        <v>0</v>
      </c>
      <c r="AD4294" s="28"/>
      <c r="AE4294" s="28" t="n">
        <f aca="false">AD4294*$M4294</f>
        <v>0</v>
      </c>
      <c r="AF4294" s="28" t="n">
        <f aca="false">439/100</f>
        <v>4.39</v>
      </c>
      <c r="AG4294" s="28" t="n">
        <v>768</v>
      </c>
      <c r="AH4294" s="28" t="n">
        <f aca="false">163722/100</f>
        <v>1637.22</v>
      </c>
      <c r="AI4294" s="28" t="n">
        <v>286513</v>
      </c>
      <c r="AJ4294" s="28" t="n">
        <f aca="false">17649/100</f>
        <v>176.49</v>
      </c>
      <c r="AK4294" s="28" t="n">
        <v>30886</v>
      </c>
      <c r="AL4294" s="28" t="n">
        <f aca="false">6852/100</f>
        <v>68.52</v>
      </c>
      <c r="AM4294" s="28" t="n">
        <v>11991</v>
      </c>
      <c r="AN4294" s="28"/>
      <c r="AO4294" s="28" t="n">
        <f aca="false">AN4294*$M4294</f>
        <v>0</v>
      </c>
      <c r="AP4294" s="28"/>
      <c r="AQ4294" s="28" t="n">
        <f aca="false">AP4294*$M4294</f>
        <v>0</v>
      </c>
      <c r="AR4294" s="28"/>
      <c r="AS4294" s="28" t="n">
        <f aca="false">AR4294*$M4294</f>
        <v>0</v>
      </c>
      <c r="AT4294" s="28"/>
      <c r="AU4294" s="28" t="n">
        <f aca="false">AT4294*$M4294</f>
        <v>0</v>
      </c>
      <c r="AV4294" s="28"/>
      <c r="AW4294" s="28" t="n">
        <f aca="false">AV4294*$M4294</f>
        <v>0</v>
      </c>
      <c r="AX4294" s="28"/>
      <c r="AY4294" s="28" t="n">
        <f aca="false">AX4294*$M4294</f>
        <v>0</v>
      </c>
      <c r="AZ4294" s="30" t="n">
        <f aca="false">245924/100</f>
        <v>2459.24</v>
      </c>
      <c r="BA4294" s="11" t="n">
        <v>430366</v>
      </c>
      <c r="BB4294" s="31" t="n">
        <f aca="false">SUM(Q4294,S4294,U4294,W4294,Y4294,AA4294,AC4294,AE4294,AG4294,AI4294,AK4294,AM4294,AO4294,AQ4294,AS4294,AU4294,AW4294,AY4294)</f>
        <v>430366</v>
      </c>
      <c r="BC4294" s="28" t="n">
        <f aca="false">BA4294-BB4294</f>
        <v>0</v>
      </c>
      <c r="BD4294" s="32" t="n">
        <f aca="false">SUM(P4294,R4294,T4294,V4294,X4294,Z4294,AB4294,AD4294,AF4294,AH4294,AJ4294,AL4294,AN4294,AP4294,AR4294,AT4294,AV4294,AX4294)</f>
        <v>2459.24</v>
      </c>
      <c r="BE4294" s="33" t="n">
        <f aca="false">AZ4294-BD4294</f>
        <v>0</v>
      </c>
      <c r="BF4294" s="34" t="n">
        <f aca="false">BD4294*M4294</f>
        <v>430367</v>
      </c>
      <c r="BG4294" s="35" t="n">
        <f aca="false">BA4294-BF4294</f>
        <v>-0.999999999941792</v>
      </c>
      <c r="BH4294" s="19" t="str">
        <f aca="false">IF(BG4294=0,"",IF(BG4294&lt;&gt;BA4294,"erreur de calcul",IF(BD4294&lt;&gt;0,"pas de prix",IF(M4294&lt;&gt; 0,"pas de quantité","pas de prix, ni de quantité"))))</f>
        <v>erreur de calcul</v>
      </c>
      <c r="BI4294" s="19"/>
    </row>
    <row r="4295" customFormat="false" ht="15" hidden="false" customHeight="false" outlineLevel="0" collapsed="false">
      <c r="A4295" s="0" t="n">
        <v>4</v>
      </c>
      <c r="B4295" s="8" t="s">
        <v>24</v>
      </c>
      <c r="C4295" s="9" t="s">
        <v>25</v>
      </c>
      <c r="D4295" s="9" t="s">
        <v>26</v>
      </c>
      <c r="E4295" s="10" t="n">
        <v>1789</v>
      </c>
      <c r="F4295" s="9" t="s">
        <v>27</v>
      </c>
      <c r="G4295" s="9" t="s">
        <v>27</v>
      </c>
      <c r="H4295" s="11" t="n">
        <v>21</v>
      </c>
      <c r="I4295" s="11" t="s">
        <v>157</v>
      </c>
      <c r="J4295" s="14" t="n">
        <v>240</v>
      </c>
      <c r="K4295" s="14"/>
      <c r="L4295" s="16"/>
      <c r="M4295" s="27" t="n">
        <f aca="false">J4295+(K4295/20)+(L4295/240)</f>
        <v>240</v>
      </c>
      <c r="N4295" s="17" t="s">
        <v>64</v>
      </c>
      <c r="O4295" s="11"/>
      <c r="P4295" s="28"/>
      <c r="Q4295" s="28" t="n">
        <f aca="false">P4295*$M4295</f>
        <v>0</v>
      </c>
      <c r="R4295" s="28"/>
      <c r="S4295" s="28" t="n">
        <f aca="false">R4295*$M4295</f>
        <v>0</v>
      </c>
      <c r="T4295" s="28"/>
      <c r="U4295" s="28" t="n">
        <f aca="false">T4295*$M4295</f>
        <v>0</v>
      </c>
      <c r="V4295" s="28"/>
      <c r="W4295" s="28" t="n">
        <f aca="false">V4295*$M4295</f>
        <v>0</v>
      </c>
      <c r="X4295" s="28"/>
      <c r="Y4295" s="28" t="n">
        <f aca="false">X4295*$M4295</f>
        <v>0</v>
      </c>
      <c r="Z4295" s="28"/>
      <c r="AA4295" s="28" t="n">
        <f aca="false">Z4295*$M4295</f>
        <v>0</v>
      </c>
      <c r="AB4295" s="28"/>
      <c r="AC4295" s="28" t="n">
        <f aca="false">AB4295*$M4295</f>
        <v>0</v>
      </c>
      <c r="AD4295" s="28"/>
      <c r="AE4295" s="28" t="n">
        <f aca="false">AD4295*$M4295</f>
        <v>0</v>
      </c>
      <c r="AF4295" s="28"/>
      <c r="AG4295" s="28" t="n">
        <f aca="false">AF4295*$M4295</f>
        <v>0</v>
      </c>
      <c r="AH4295" s="28"/>
      <c r="AI4295" s="28" t="n">
        <f aca="false">AH4295*$M4295</f>
        <v>0</v>
      </c>
      <c r="AJ4295" s="28" t="n">
        <f aca="false">290/100</f>
        <v>2.9</v>
      </c>
      <c r="AK4295" s="36" t="n">
        <v>2208</v>
      </c>
      <c r="AL4295" s="28"/>
      <c r="AM4295" s="28" t="n">
        <f aca="false">AL4295*$M4295</f>
        <v>0</v>
      </c>
      <c r="AN4295" s="28"/>
      <c r="AO4295" s="28" t="n">
        <f aca="false">AN4295*$M4295</f>
        <v>0</v>
      </c>
      <c r="AP4295" s="28"/>
      <c r="AQ4295" s="28" t="n">
        <f aca="false">AP4295*$M4295</f>
        <v>0</v>
      </c>
      <c r="AR4295" s="28"/>
      <c r="AS4295" s="28" t="n">
        <f aca="false">AR4295*$M4295</f>
        <v>0</v>
      </c>
      <c r="AT4295" s="28"/>
      <c r="AU4295" s="28" t="n">
        <f aca="false">AT4295*$M4295</f>
        <v>0</v>
      </c>
      <c r="AV4295" s="28"/>
      <c r="AW4295" s="28" t="n">
        <f aca="false">AV4295*$M4295</f>
        <v>0</v>
      </c>
      <c r="AX4295" s="28"/>
      <c r="AY4295" s="28" t="n">
        <f aca="false">AX4295*$M4295</f>
        <v>0</v>
      </c>
      <c r="AZ4295" s="30" t="n">
        <f aca="false">290/100</f>
        <v>2.9</v>
      </c>
      <c r="BA4295" s="11" t="n">
        <v>2208</v>
      </c>
      <c r="BB4295" s="31" t="n">
        <f aca="false">SUM(Q4295,S4295,U4295,W4295,Y4295,AA4295,AC4295,AE4295,AG4295,AI4295,AK4295,AM4295,AO4295,AQ4295,AS4295,AU4295,AW4295,AY4295)</f>
        <v>2208</v>
      </c>
      <c r="BC4295" s="28" t="n">
        <f aca="false">BA4295-BB4295</f>
        <v>0</v>
      </c>
      <c r="BD4295" s="32" t="n">
        <f aca="false">SUM(P4295,R4295,T4295,V4295,X4295,Z4295,AB4295,AD4295,AF4295,AH4295,AJ4295,AL4295,AN4295,AP4295,AR4295,AT4295,AV4295,AX4295)</f>
        <v>2.9</v>
      </c>
      <c r="BE4295" s="33" t="n">
        <f aca="false">AZ4295-BD4295</f>
        <v>0</v>
      </c>
      <c r="BF4295" s="34" t="n">
        <f aca="false">BD4295*M4295</f>
        <v>696</v>
      </c>
      <c r="BG4295" s="35" t="n">
        <f aca="false">BA4295-BF4295</f>
        <v>1512</v>
      </c>
      <c r="BH4295" s="19" t="str">
        <f aca="false">IF(BG4295=0,"",IF(BG4295&lt;&gt;BA4295,"erreur de calcul",IF(BD4295&lt;&gt;0,"pas de prix",IF(M4295&lt;&gt; 0,"pas de quantité","pas de prix, ni de quantité"))))</f>
        <v>erreur de calcul</v>
      </c>
      <c r="BI4295" s="19"/>
    </row>
    <row r="4296" customFormat="false" ht="15" hidden="false" customHeight="false" outlineLevel="0" collapsed="false">
      <c r="A4296" s="0" t="n">
        <v>5</v>
      </c>
      <c r="B4296" s="8" t="s">
        <v>24</v>
      </c>
      <c r="C4296" s="9" t="s">
        <v>25</v>
      </c>
      <c r="D4296" s="9" t="s">
        <v>26</v>
      </c>
      <c r="E4296" s="10" t="n">
        <v>1789</v>
      </c>
      <c r="F4296" s="9" t="s">
        <v>27</v>
      </c>
      <c r="G4296" s="9" t="s">
        <v>27</v>
      </c>
      <c r="H4296" s="11" t="n">
        <v>21</v>
      </c>
      <c r="I4296" s="11" t="s">
        <v>158</v>
      </c>
      <c r="J4296" s="14" t="n">
        <v>115</v>
      </c>
      <c r="K4296" s="14"/>
      <c r="L4296" s="16"/>
      <c r="M4296" s="27" t="n">
        <f aca="false">J4296+(K4296/20)+(L4296/240)</f>
        <v>115</v>
      </c>
      <c r="N4296" s="17" t="s">
        <v>64</v>
      </c>
      <c r="O4296" s="11"/>
      <c r="P4296" s="28"/>
      <c r="Q4296" s="28" t="n">
        <f aca="false">P4296*$M4296</f>
        <v>0</v>
      </c>
      <c r="R4296" s="28"/>
      <c r="S4296" s="28" t="n">
        <f aca="false">R4296*$M4296</f>
        <v>0</v>
      </c>
      <c r="T4296" s="28"/>
      <c r="U4296" s="28" t="n">
        <f aca="false">T4296*$M4296</f>
        <v>0</v>
      </c>
      <c r="V4296" s="28"/>
      <c r="W4296" s="28" t="n">
        <f aca="false">V4296*$M4296</f>
        <v>0</v>
      </c>
      <c r="X4296" s="28"/>
      <c r="Y4296" s="28" t="n">
        <f aca="false">X4296*$M4296</f>
        <v>0</v>
      </c>
      <c r="Z4296" s="28"/>
      <c r="AA4296" s="28" t="n">
        <f aca="false">Z4296*$M4296</f>
        <v>0</v>
      </c>
      <c r="AB4296" s="28"/>
      <c r="AC4296" s="28" t="n">
        <f aca="false">AB4296*$M4296</f>
        <v>0</v>
      </c>
      <c r="AD4296" s="28"/>
      <c r="AE4296" s="28" t="n">
        <f aca="false">AD4296*$M4296</f>
        <v>0</v>
      </c>
      <c r="AF4296" s="28"/>
      <c r="AG4296" s="28" t="n">
        <f aca="false">AF4296*$M4296</f>
        <v>0</v>
      </c>
      <c r="AH4296" s="28" t="n">
        <f aca="false">491552/100</f>
        <v>4915.52</v>
      </c>
      <c r="AI4296" s="28" t="n">
        <v>565285</v>
      </c>
      <c r="AJ4296" s="28"/>
      <c r="AK4296" s="28" t="n">
        <f aca="false">AJ4296*$M4296</f>
        <v>0</v>
      </c>
      <c r="AL4296" s="28"/>
      <c r="AM4296" s="28" t="n">
        <f aca="false">AL4296*$M4296</f>
        <v>0</v>
      </c>
      <c r="AN4296" s="28"/>
      <c r="AO4296" s="28" t="n">
        <f aca="false">AN4296*$M4296</f>
        <v>0</v>
      </c>
      <c r="AP4296" s="28"/>
      <c r="AQ4296" s="28" t="n">
        <f aca="false">AP4296*$M4296</f>
        <v>0</v>
      </c>
      <c r="AR4296" s="28"/>
      <c r="AS4296" s="28" t="n">
        <f aca="false">AR4296*$M4296</f>
        <v>0</v>
      </c>
      <c r="AT4296" s="28"/>
      <c r="AU4296" s="28" t="n">
        <f aca="false">AT4296*$M4296</f>
        <v>0</v>
      </c>
      <c r="AV4296" s="28"/>
      <c r="AW4296" s="28" t="n">
        <f aca="false">AV4296*$M4296</f>
        <v>0</v>
      </c>
      <c r="AX4296" s="28"/>
      <c r="AY4296" s="28" t="n">
        <f aca="false">AX4296*$M4296</f>
        <v>0</v>
      </c>
      <c r="AZ4296" s="30" t="n">
        <f aca="false">491552/100</f>
        <v>4915.52</v>
      </c>
      <c r="BA4296" s="11" t="n">
        <v>565285</v>
      </c>
      <c r="BB4296" s="31" t="n">
        <f aca="false">SUM(Q4296,S4296,U4296,W4296,Y4296,AA4296,AC4296,AE4296,AG4296,AI4296,AK4296,AM4296,AO4296,AQ4296,AS4296,AU4296,AW4296,AY4296)</f>
        <v>565285</v>
      </c>
      <c r="BC4296" s="28" t="n">
        <f aca="false">BA4296-BB4296</f>
        <v>0</v>
      </c>
      <c r="BD4296" s="32" t="n">
        <f aca="false">SUM(P4296,R4296,T4296,V4296,X4296,Z4296,AB4296,AD4296,AF4296,AH4296,AJ4296,AL4296,AN4296,AP4296,AR4296,AT4296,AV4296,AX4296)</f>
        <v>4915.52</v>
      </c>
      <c r="BE4296" s="33" t="n">
        <f aca="false">AZ4296-BD4296</f>
        <v>0</v>
      </c>
      <c r="BF4296" s="34" t="n">
        <f aca="false">BD4296*M4296</f>
        <v>565284.8</v>
      </c>
      <c r="BG4296" s="35" t="n">
        <f aca="false">BA4296-BF4296</f>
        <v>0.199999999953434</v>
      </c>
      <c r="BH4296" s="19" t="str">
        <f aca="false">IF(BG4296=0,"",IF(BG4296&lt;&gt;BA4296,"erreur de calcul",IF(BD4296&lt;&gt;0,"pas de prix",IF(M4296&lt;&gt; 0,"pas de quantité","pas de prix, ni de quantité"))))</f>
        <v>erreur de calcul</v>
      </c>
      <c r="BI4296" s="19"/>
    </row>
    <row r="4297" customFormat="false" ht="15" hidden="false" customHeight="false" outlineLevel="0" collapsed="false">
      <c r="A4297" s="0" t="n">
        <v>6</v>
      </c>
      <c r="B4297" s="8" t="s">
        <v>24</v>
      </c>
      <c r="C4297" s="9" t="s">
        <v>25</v>
      </c>
      <c r="D4297" s="9" t="s">
        <v>26</v>
      </c>
      <c r="E4297" s="10" t="n">
        <v>1789</v>
      </c>
      <c r="F4297" s="9" t="s">
        <v>27</v>
      </c>
      <c r="G4297" s="9" t="s">
        <v>27</v>
      </c>
      <c r="H4297" s="11" t="n">
        <v>21</v>
      </c>
      <c r="I4297" s="11" t="s">
        <v>159</v>
      </c>
      <c r="J4297" s="14" t="n">
        <v>240</v>
      </c>
      <c r="K4297" s="14"/>
      <c r="L4297" s="16"/>
      <c r="M4297" s="27" t="n">
        <f aca="false">J4297+(K4297/20)+(L4297/240)</f>
        <v>240</v>
      </c>
      <c r="N4297" s="17" t="s">
        <v>64</v>
      </c>
      <c r="O4297" s="11"/>
      <c r="P4297" s="28"/>
      <c r="Q4297" s="28" t="n">
        <f aca="false">P4297*$M4297</f>
        <v>0</v>
      </c>
      <c r="R4297" s="28"/>
      <c r="S4297" s="28" t="n">
        <f aca="false">R4297*$M4297</f>
        <v>0</v>
      </c>
      <c r="T4297" s="28"/>
      <c r="U4297" s="28" t="n">
        <f aca="false">T4297*$M4297</f>
        <v>0</v>
      </c>
      <c r="V4297" s="28"/>
      <c r="W4297" s="28" t="n">
        <f aca="false">V4297*$M4297</f>
        <v>0</v>
      </c>
      <c r="X4297" s="28"/>
      <c r="Y4297" s="28" t="n">
        <f aca="false">X4297*$M4297</f>
        <v>0</v>
      </c>
      <c r="Z4297" s="28"/>
      <c r="AA4297" s="28" t="n">
        <f aca="false">Z4297*$M4297</f>
        <v>0</v>
      </c>
      <c r="AB4297" s="28"/>
      <c r="AC4297" s="28" t="n">
        <f aca="false">AB4297*$M4297</f>
        <v>0</v>
      </c>
      <c r="AD4297" s="28"/>
      <c r="AE4297" s="28" t="n">
        <f aca="false">AD4297*$M4297</f>
        <v>0</v>
      </c>
      <c r="AF4297" s="28"/>
      <c r="AG4297" s="28" t="n">
        <f aca="false">AF4297*$M4297</f>
        <v>0</v>
      </c>
      <c r="AH4297" s="28" t="n">
        <f aca="false">46293/100</f>
        <v>462.93</v>
      </c>
      <c r="AI4297" s="28" t="n">
        <v>111103</v>
      </c>
      <c r="AJ4297" s="28"/>
      <c r="AK4297" s="28" t="n">
        <f aca="false">AJ4297*$M4297</f>
        <v>0</v>
      </c>
      <c r="AL4297" s="28"/>
      <c r="AM4297" s="28" t="n">
        <f aca="false">AL4297*$M4297</f>
        <v>0</v>
      </c>
      <c r="AN4297" s="28"/>
      <c r="AO4297" s="28" t="n">
        <f aca="false">AN4297*$M4297</f>
        <v>0</v>
      </c>
      <c r="AP4297" s="28"/>
      <c r="AQ4297" s="28" t="n">
        <f aca="false">AP4297*$M4297</f>
        <v>0</v>
      </c>
      <c r="AR4297" s="28"/>
      <c r="AS4297" s="28" t="n">
        <f aca="false">AR4297*$M4297</f>
        <v>0</v>
      </c>
      <c r="AT4297" s="28"/>
      <c r="AU4297" s="28" t="n">
        <f aca="false">AT4297*$M4297</f>
        <v>0</v>
      </c>
      <c r="AV4297" s="28"/>
      <c r="AW4297" s="28" t="n">
        <f aca="false">AV4297*$M4297</f>
        <v>0</v>
      </c>
      <c r="AX4297" s="28"/>
      <c r="AY4297" s="28" t="n">
        <f aca="false">AX4297*$M4297</f>
        <v>0</v>
      </c>
      <c r="AZ4297" s="30" t="n">
        <f aca="false">46293/100</f>
        <v>462.93</v>
      </c>
      <c r="BA4297" s="11" t="n">
        <v>111103</v>
      </c>
      <c r="BB4297" s="31" t="n">
        <f aca="false">SUM(Q4297,S4297,U4297,W4297,Y4297,AA4297,AC4297,AE4297,AG4297,AI4297,AK4297,AM4297,AO4297,AQ4297,AS4297,AU4297,AW4297,AY4297)</f>
        <v>111103</v>
      </c>
      <c r="BC4297" s="28" t="n">
        <f aca="false">BA4297-BB4297</f>
        <v>0</v>
      </c>
      <c r="BD4297" s="32" t="n">
        <f aca="false">SUM(P4297,R4297,T4297,V4297,X4297,Z4297,AB4297,AD4297,AF4297,AH4297,AJ4297,AL4297,AN4297,AP4297,AR4297,AT4297,AV4297,AX4297)</f>
        <v>462.93</v>
      </c>
      <c r="BE4297" s="33" t="n">
        <f aca="false">AZ4297-BD4297</f>
        <v>0</v>
      </c>
      <c r="BF4297" s="34" t="n">
        <f aca="false">BD4297*M4297</f>
        <v>111103.2</v>
      </c>
      <c r="BG4297" s="35" t="n">
        <f aca="false">BA4297-BF4297</f>
        <v>-0.19999999999709</v>
      </c>
      <c r="BH4297" s="19" t="str">
        <f aca="false">IF(BG4297=0,"",IF(BG4297&lt;&gt;BA4297,"erreur de calcul",IF(BD4297&lt;&gt;0,"pas de prix",IF(M4297&lt;&gt; 0,"pas de quantité","pas de prix, ni de quantité"))))</f>
        <v>erreur de calcul</v>
      </c>
      <c r="BI4297" s="19"/>
    </row>
    <row r="4298" customFormat="false" ht="15" hidden="false" customHeight="false" outlineLevel="0" collapsed="false">
      <c r="A4298" s="0" t="n">
        <v>7</v>
      </c>
      <c r="B4298" s="8" t="s">
        <v>24</v>
      </c>
      <c r="C4298" s="9" t="s">
        <v>25</v>
      </c>
      <c r="D4298" s="9" t="s">
        <v>26</v>
      </c>
      <c r="E4298" s="10" t="n">
        <v>1789</v>
      </c>
      <c r="F4298" s="9" t="s">
        <v>27</v>
      </c>
      <c r="G4298" s="9" t="s">
        <v>27</v>
      </c>
      <c r="H4298" s="11" t="n">
        <v>21</v>
      </c>
      <c r="I4298" s="11" t="s">
        <v>160</v>
      </c>
      <c r="J4298" s="14" t="n">
        <v>70</v>
      </c>
      <c r="K4298" s="14"/>
      <c r="L4298" s="16"/>
      <c r="M4298" s="27" t="n">
        <f aca="false">J4298+(K4298/20)+(L4298/240)</f>
        <v>70</v>
      </c>
      <c r="N4298" s="17" t="s">
        <v>64</v>
      </c>
      <c r="O4298" s="11"/>
      <c r="P4298" s="28"/>
      <c r="Q4298" s="28" t="n">
        <f aca="false">P4298*$M4298</f>
        <v>0</v>
      </c>
      <c r="R4298" s="28"/>
      <c r="S4298" s="28" t="n">
        <f aca="false">R4298*$M4298</f>
        <v>0</v>
      </c>
      <c r="T4298" s="28"/>
      <c r="U4298" s="28" t="n">
        <f aca="false">T4298*$M4298</f>
        <v>0</v>
      </c>
      <c r="V4298" s="28"/>
      <c r="W4298" s="28" t="n">
        <f aca="false">V4298*$M4298</f>
        <v>0</v>
      </c>
      <c r="X4298" s="28"/>
      <c r="Y4298" s="28" t="n">
        <f aca="false">X4298*$M4298</f>
        <v>0</v>
      </c>
      <c r="Z4298" s="28"/>
      <c r="AA4298" s="28" t="n">
        <f aca="false">Z4298*$M4298</f>
        <v>0</v>
      </c>
      <c r="AB4298" s="28"/>
      <c r="AC4298" s="28" t="n">
        <f aca="false">AB4298*$M4298</f>
        <v>0</v>
      </c>
      <c r="AD4298" s="28"/>
      <c r="AE4298" s="28" t="n">
        <f aca="false">AD4298*$M4298</f>
        <v>0</v>
      </c>
      <c r="AF4298" s="28" t="n">
        <f aca="false">125849/100</f>
        <v>1258.49</v>
      </c>
      <c r="AG4298" s="28" t="n">
        <v>88094</v>
      </c>
      <c r="AH4298" s="28"/>
      <c r="AI4298" s="28" t="n">
        <f aca="false">AH4298*$M4298</f>
        <v>0</v>
      </c>
      <c r="AJ4298" s="28"/>
      <c r="AK4298" s="28" t="n">
        <f aca="false">AJ4298*$M4298</f>
        <v>0</v>
      </c>
      <c r="AL4298" s="28"/>
      <c r="AM4298" s="28" t="n">
        <f aca="false">AL4298*$M4298</f>
        <v>0</v>
      </c>
      <c r="AN4298" s="28"/>
      <c r="AO4298" s="28" t="n">
        <f aca="false">AN4298*$M4298</f>
        <v>0</v>
      </c>
      <c r="AP4298" s="28"/>
      <c r="AQ4298" s="28" t="n">
        <f aca="false">AP4298*$M4298</f>
        <v>0</v>
      </c>
      <c r="AR4298" s="28"/>
      <c r="AS4298" s="28" t="n">
        <f aca="false">AR4298*$M4298</f>
        <v>0</v>
      </c>
      <c r="AT4298" s="28"/>
      <c r="AU4298" s="28" t="n">
        <f aca="false">AT4298*$M4298</f>
        <v>0</v>
      </c>
      <c r="AV4298" s="28"/>
      <c r="AW4298" s="28" t="n">
        <f aca="false">AV4298*$M4298</f>
        <v>0</v>
      </c>
      <c r="AX4298" s="28"/>
      <c r="AY4298" s="28" t="n">
        <f aca="false">AX4298*$M4298</f>
        <v>0</v>
      </c>
      <c r="AZ4298" s="30" t="n">
        <f aca="false">125849/100</f>
        <v>1258.49</v>
      </c>
      <c r="BA4298" s="11" t="n">
        <v>88094</v>
      </c>
      <c r="BB4298" s="31" t="n">
        <f aca="false">SUM(Q4298,S4298,U4298,W4298,Y4298,AA4298,AC4298,AE4298,AG4298,AI4298,AK4298,AM4298,AO4298,AQ4298,AS4298,AU4298,AW4298,AY4298)</f>
        <v>88094</v>
      </c>
      <c r="BC4298" s="28" t="n">
        <f aca="false">BA4298-BB4298</f>
        <v>0</v>
      </c>
      <c r="BD4298" s="32" t="n">
        <f aca="false">SUM(P4298,R4298,T4298,V4298,X4298,Z4298,AB4298,AD4298,AF4298,AH4298,AJ4298,AL4298,AN4298,AP4298,AR4298,AT4298,AV4298,AX4298)</f>
        <v>1258.49</v>
      </c>
      <c r="BE4298" s="33" t="n">
        <f aca="false">AZ4298-BD4298</f>
        <v>0</v>
      </c>
      <c r="BF4298" s="34" t="n">
        <f aca="false">BD4298*M4298</f>
        <v>88094.3</v>
      </c>
      <c r="BG4298" s="35" t="n">
        <f aca="false">BA4298-BF4298</f>
        <v>-0.30000000000291</v>
      </c>
      <c r="BH4298" s="19" t="str">
        <f aca="false">IF(BG4298=0,"",IF(BG4298&lt;&gt;BA4298,"erreur de calcul",IF(BD4298&lt;&gt;0,"pas de prix",IF(M4298&lt;&gt; 0,"pas de quantité","pas de prix, ni de quantité"))))</f>
        <v>erreur de calcul</v>
      </c>
      <c r="BI4298" s="19"/>
    </row>
    <row r="4299" customFormat="false" ht="15" hidden="false" customHeight="false" outlineLevel="0" collapsed="false">
      <c r="A4299" s="0" t="n">
        <v>8</v>
      </c>
      <c r="B4299" s="8" t="s">
        <v>24</v>
      </c>
      <c r="C4299" s="9" t="s">
        <v>25</v>
      </c>
      <c r="D4299" s="9" t="s">
        <v>26</v>
      </c>
      <c r="E4299" s="10" t="n">
        <v>1789</v>
      </c>
      <c r="F4299" s="9" t="s">
        <v>27</v>
      </c>
      <c r="G4299" s="9" t="s">
        <v>27</v>
      </c>
      <c r="H4299" s="11" t="n">
        <v>21</v>
      </c>
      <c r="I4299" s="11" t="s">
        <v>161</v>
      </c>
      <c r="J4299" s="14" t="n">
        <v>50</v>
      </c>
      <c r="K4299" s="14"/>
      <c r="L4299" s="16"/>
      <c r="M4299" s="27" t="n">
        <f aca="false">J4299+(K4299/20)+(L4299/240)</f>
        <v>50</v>
      </c>
      <c r="N4299" s="17" t="s">
        <v>64</v>
      </c>
      <c r="O4299" s="11"/>
      <c r="P4299" s="28"/>
      <c r="Q4299" s="28" t="n">
        <f aca="false">P4299*$M4299</f>
        <v>0</v>
      </c>
      <c r="R4299" s="28"/>
      <c r="S4299" s="28" t="n">
        <f aca="false">R4299*$M4299</f>
        <v>0</v>
      </c>
      <c r="T4299" s="28"/>
      <c r="U4299" s="28" t="n">
        <f aca="false">T4299*$M4299</f>
        <v>0</v>
      </c>
      <c r="V4299" s="28" t="n">
        <f aca="false">18055/100</f>
        <v>180.55</v>
      </c>
      <c r="W4299" s="28" t="n">
        <v>9027</v>
      </c>
      <c r="X4299" s="28" t="n">
        <f aca="false">17880/100</f>
        <v>178.8</v>
      </c>
      <c r="Y4299" s="28" t="n">
        <v>8940</v>
      </c>
      <c r="Z4299" s="28"/>
      <c r="AA4299" s="28" t="n">
        <f aca="false">Z4299*$M4299</f>
        <v>0</v>
      </c>
      <c r="AB4299" s="28" t="n">
        <f aca="false">104483/100</f>
        <v>1044.83</v>
      </c>
      <c r="AC4299" s="28" t="n">
        <v>52241</v>
      </c>
      <c r="AD4299" s="28"/>
      <c r="AE4299" s="28" t="n">
        <f aca="false">AD4299*$M4299</f>
        <v>0</v>
      </c>
      <c r="AF4299" s="28"/>
      <c r="AG4299" s="28" t="n">
        <f aca="false">AF4299*$M4299</f>
        <v>0</v>
      </c>
      <c r="AH4299" s="28"/>
      <c r="AI4299" s="28" t="n">
        <f aca="false">AH4299*$M4299</f>
        <v>0</v>
      </c>
      <c r="AJ4299" s="28"/>
      <c r="AK4299" s="28" t="n">
        <f aca="false">AJ4299*$M4299</f>
        <v>0</v>
      </c>
      <c r="AL4299" s="28"/>
      <c r="AM4299" s="28" t="n">
        <f aca="false">AL4299*$M4299</f>
        <v>0</v>
      </c>
      <c r="AN4299" s="28"/>
      <c r="AO4299" s="28" t="n">
        <f aca="false">AN4299*$M4299</f>
        <v>0</v>
      </c>
      <c r="AP4299" s="28"/>
      <c r="AQ4299" s="28" t="n">
        <f aca="false">AP4299*$M4299</f>
        <v>0</v>
      </c>
      <c r="AR4299" s="28"/>
      <c r="AS4299" s="28" t="n">
        <f aca="false">AR4299*$M4299</f>
        <v>0</v>
      </c>
      <c r="AT4299" s="28"/>
      <c r="AU4299" s="28" t="n">
        <f aca="false">AT4299*$M4299</f>
        <v>0</v>
      </c>
      <c r="AV4299" s="28"/>
      <c r="AW4299" s="28" t="n">
        <f aca="false">AV4299*$M4299</f>
        <v>0</v>
      </c>
      <c r="AX4299" s="28"/>
      <c r="AY4299" s="28" t="n">
        <f aca="false">AX4299*$M4299</f>
        <v>0</v>
      </c>
      <c r="AZ4299" s="30" t="n">
        <f aca="false">140418/100</f>
        <v>1404.18</v>
      </c>
      <c r="BA4299" s="11" t="n">
        <v>70208</v>
      </c>
      <c r="BB4299" s="31" t="n">
        <f aca="false">SUM(Q4299,S4299,U4299,W4299,Y4299,AA4299,AC4299,AE4299,AG4299,AI4299,AK4299,AM4299,AO4299,AQ4299,AS4299,AU4299,AW4299,AY4299)</f>
        <v>70208</v>
      </c>
      <c r="BC4299" s="28" t="n">
        <f aca="false">BA4299-BB4299</f>
        <v>0</v>
      </c>
      <c r="BD4299" s="32" t="n">
        <f aca="false">SUM(P4299,R4299,T4299,V4299,X4299,Z4299,AB4299,AD4299,AF4299,AH4299,AJ4299,AL4299,AN4299,AP4299,AR4299,AT4299,AV4299,AX4299)</f>
        <v>1404.18</v>
      </c>
      <c r="BE4299" s="33" t="n">
        <f aca="false">AZ4299-BD4299</f>
        <v>0</v>
      </c>
      <c r="BF4299" s="34" t="n">
        <f aca="false">BD4299*M4299</f>
        <v>70209</v>
      </c>
      <c r="BG4299" s="35" t="n">
        <f aca="false">BA4299-BF4299</f>
        <v>-0.999999999985448</v>
      </c>
      <c r="BH4299" s="19" t="str">
        <f aca="false">IF(BG4299=0,"",IF(BG4299&lt;&gt;BA4299,"erreur de calcul",IF(BD4299&lt;&gt;0,"pas de prix",IF(M4299&lt;&gt; 0,"pas de quantité","pas de prix, ni de quantité"))))</f>
        <v>erreur de calcul</v>
      </c>
      <c r="BI4299" s="19"/>
    </row>
    <row r="4300" customFormat="false" ht="15" hidden="false" customHeight="false" outlineLevel="0" collapsed="false">
      <c r="A4300" s="0" t="n">
        <v>9</v>
      </c>
      <c r="B4300" s="8" t="s">
        <v>24</v>
      </c>
      <c r="C4300" s="9" t="s">
        <v>25</v>
      </c>
      <c r="D4300" s="9" t="s">
        <v>26</v>
      </c>
      <c r="E4300" s="10" t="n">
        <v>1789</v>
      </c>
      <c r="F4300" s="9" t="s">
        <v>27</v>
      </c>
      <c r="G4300" s="9" t="s">
        <v>27</v>
      </c>
      <c r="H4300" s="11" t="n">
        <v>21</v>
      </c>
      <c r="I4300" s="11" t="s">
        <v>162</v>
      </c>
      <c r="J4300" s="14" t="n">
        <v>250</v>
      </c>
      <c r="K4300" s="14"/>
      <c r="L4300" s="16"/>
      <c r="M4300" s="27" t="n">
        <f aca="false">J4300+(K4300/20)+(L4300/240)</f>
        <v>250</v>
      </c>
      <c r="N4300" s="17" t="s">
        <v>64</v>
      </c>
      <c r="O4300" s="11"/>
      <c r="P4300" s="28"/>
      <c r="Q4300" s="28" t="n">
        <f aca="false">P4300*$M4300</f>
        <v>0</v>
      </c>
      <c r="R4300" s="28"/>
      <c r="S4300" s="28" t="n">
        <f aca="false">R4300*$M4300</f>
        <v>0</v>
      </c>
      <c r="T4300" s="28"/>
      <c r="U4300" s="28" t="n">
        <f aca="false">T4300*$M4300</f>
        <v>0</v>
      </c>
      <c r="V4300" s="28"/>
      <c r="W4300" s="28" t="n">
        <f aca="false">V4300*$M4300</f>
        <v>0</v>
      </c>
      <c r="X4300" s="28"/>
      <c r="Y4300" s="28" t="n">
        <f aca="false">X4300*$M4300</f>
        <v>0</v>
      </c>
      <c r="Z4300" s="28"/>
      <c r="AA4300" s="28" t="n">
        <f aca="false">Z4300*$M4300</f>
        <v>0</v>
      </c>
      <c r="AB4300" s="28"/>
      <c r="AC4300" s="28" t="n">
        <f aca="false">AB4300*$M4300</f>
        <v>0</v>
      </c>
      <c r="AD4300" s="28"/>
      <c r="AE4300" s="28" t="n">
        <f aca="false">AD4300*$M4300</f>
        <v>0</v>
      </c>
      <c r="AF4300" s="28"/>
      <c r="AG4300" s="28" t="n">
        <f aca="false">AF4300*$M4300</f>
        <v>0</v>
      </c>
      <c r="AH4300" s="28" t="n">
        <f aca="false">2306/100</f>
        <v>23.06</v>
      </c>
      <c r="AI4300" s="36" t="n">
        <v>5073</v>
      </c>
      <c r="AJ4300" s="28"/>
      <c r="AK4300" s="28" t="n">
        <f aca="false">AJ4300*$M4300</f>
        <v>0</v>
      </c>
      <c r="AL4300" s="28"/>
      <c r="AM4300" s="28" t="n">
        <f aca="false">AL4300*$M4300</f>
        <v>0</v>
      </c>
      <c r="AN4300" s="28"/>
      <c r="AO4300" s="28" t="n">
        <f aca="false">AN4300*$M4300</f>
        <v>0</v>
      </c>
      <c r="AP4300" s="28"/>
      <c r="AQ4300" s="28" t="n">
        <f aca="false">AP4300*$M4300</f>
        <v>0</v>
      </c>
      <c r="AR4300" s="28"/>
      <c r="AS4300" s="28" t="n">
        <f aca="false">AR4300*$M4300</f>
        <v>0</v>
      </c>
      <c r="AT4300" s="28"/>
      <c r="AU4300" s="28" t="n">
        <f aca="false">AT4300*$M4300</f>
        <v>0</v>
      </c>
      <c r="AV4300" s="28"/>
      <c r="AW4300" s="28" t="n">
        <f aca="false">AV4300*$M4300</f>
        <v>0</v>
      </c>
      <c r="AX4300" s="28"/>
      <c r="AY4300" s="28" t="n">
        <f aca="false">AX4300*$M4300</f>
        <v>0</v>
      </c>
      <c r="AZ4300" s="30" t="n">
        <f aca="false">2306/100</f>
        <v>23.06</v>
      </c>
      <c r="BA4300" s="11" t="n">
        <v>5073</v>
      </c>
      <c r="BB4300" s="31" t="n">
        <f aca="false">SUM(Q4300,S4300,U4300,W4300,Y4300,AA4300,AC4300,AE4300,AG4300,AI4300,AK4300,AM4300,AO4300,AQ4300,AS4300,AU4300,AW4300,AY4300)</f>
        <v>5073</v>
      </c>
      <c r="BC4300" s="28" t="n">
        <f aca="false">BA4300-BB4300</f>
        <v>0</v>
      </c>
      <c r="BD4300" s="32" t="n">
        <f aca="false">SUM(P4300,R4300,T4300,V4300,X4300,Z4300,AB4300,AD4300,AF4300,AH4300,AJ4300,AL4300,AN4300,AP4300,AR4300,AT4300,AV4300,AX4300)</f>
        <v>23.06</v>
      </c>
      <c r="BE4300" s="33" t="n">
        <f aca="false">AZ4300-BD4300</f>
        <v>0</v>
      </c>
      <c r="BF4300" s="34" t="n">
        <f aca="false">BD4300*M4300</f>
        <v>5765</v>
      </c>
      <c r="BG4300" s="35" t="n">
        <f aca="false">BA4300-BF4300</f>
        <v>-692</v>
      </c>
      <c r="BH4300" s="19" t="str">
        <f aca="false">IF(BG4300=0,"",IF(BG4300&lt;&gt;BA4300,"erreur de calcul",IF(BD4300&lt;&gt;0,"pas de prix",IF(M4300&lt;&gt; 0,"pas de quantité","pas de prix, ni de quantité"))))</f>
        <v>erreur de calcul</v>
      </c>
      <c r="BI4300" s="19"/>
    </row>
    <row r="4301" customFormat="false" ht="15" hidden="false" customHeight="false" outlineLevel="0" collapsed="false">
      <c r="A4301" s="0" t="n">
        <v>10</v>
      </c>
      <c r="B4301" s="8" t="s">
        <v>24</v>
      </c>
      <c r="C4301" s="9" t="s">
        <v>25</v>
      </c>
      <c r="D4301" s="9" t="s">
        <v>26</v>
      </c>
      <c r="E4301" s="10" t="n">
        <v>1789</v>
      </c>
      <c r="F4301" s="9" t="s">
        <v>27</v>
      </c>
      <c r="G4301" s="9" t="s">
        <v>27</v>
      </c>
      <c r="H4301" s="11" t="n">
        <v>21</v>
      </c>
      <c r="I4301" s="11" t="s">
        <v>163</v>
      </c>
      <c r="J4301" s="14"/>
      <c r="K4301" s="14"/>
      <c r="L4301" s="16"/>
      <c r="M4301" s="27" t="n">
        <f aca="false">J4301+(K4301/20)+(L4301/240)</f>
        <v>0</v>
      </c>
      <c r="N4301" s="17"/>
      <c r="O4301" s="11"/>
      <c r="P4301" s="28"/>
      <c r="Q4301" s="28" t="n">
        <v>1571</v>
      </c>
      <c r="R4301" s="28"/>
      <c r="S4301" s="28" t="n">
        <f aca="false">R4301*$M4301</f>
        <v>0</v>
      </c>
      <c r="T4301" s="28"/>
      <c r="U4301" s="28" t="n">
        <v>182</v>
      </c>
      <c r="V4301" s="28"/>
      <c r="W4301" s="28" t="n">
        <v>1801</v>
      </c>
      <c r="X4301" s="28"/>
      <c r="Y4301" s="28" t="n">
        <v>214</v>
      </c>
      <c r="Z4301" s="28"/>
      <c r="AA4301" s="28" t="n">
        <f aca="false">Z4301*$M4301</f>
        <v>0</v>
      </c>
      <c r="AB4301" s="28"/>
      <c r="AC4301" s="28" t="n">
        <v>401</v>
      </c>
      <c r="AD4301" s="28"/>
      <c r="AE4301" s="28" t="n">
        <f aca="false">AD4301*$M4301</f>
        <v>0</v>
      </c>
      <c r="AF4301" s="28"/>
      <c r="AG4301" s="28" t="n">
        <f aca="false">AF4301*$M4301</f>
        <v>0</v>
      </c>
      <c r="AH4301" s="28"/>
      <c r="AI4301" s="28" t="n">
        <f aca="false">AH4301*$M4301</f>
        <v>0</v>
      </c>
      <c r="AJ4301" s="28"/>
      <c r="AK4301" s="28" t="n">
        <v>760</v>
      </c>
      <c r="AL4301" s="28"/>
      <c r="AM4301" s="28" t="n">
        <f aca="false">AL4301*$M4301</f>
        <v>0</v>
      </c>
      <c r="AN4301" s="28"/>
      <c r="AO4301" s="28" t="n">
        <f aca="false">AN4301*$M4301</f>
        <v>0</v>
      </c>
      <c r="AP4301" s="28"/>
      <c r="AQ4301" s="28" t="n">
        <f aca="false">AP4301*$M4301</f>
        <v>0</v>
      </c>
      <c r="AR4301" s="28"/>
      <c r="AS4301" s="28" t="n">
        <f aca="false">AR4301*$M4301</f>
        <v>0</v>
      </c>
      <c r="AT4301" s="28"/>
      <c r="AU4301" s="28" t="n">
        <f aca="false">AT4301*$M4301</f>
        <v>0</v>
      </c>
      <c r="AV4301" s="28"/>
      <c r="AW4301" s="28" t="n">
        <f aca="false">AV4301*$M4301</f>
        <v>0</v>
      </c>
      <c r="AX4301" s="28"/>
      <c r="AY4301" s="28" t="n">
        <f aca="false">AX4301*$M4301</f>
        <v>0</v>
      </c>
      <c r="AZ4301" s="30"/>
      <c r="BA4301" s="11" t="n">
        <v>4929</v>
      </c>
      <c r="BB4301" s="31" t="n">
        <f aca="false">SUM(Q4301,S4301,U4301,W4301,Y4301,AA4301,AC4301,AE4301,AG4301,AI4301,AK4301,AM4301,AO4301,AQ4301,AS4301,AU4301,AW4301,AY4301)</f>
        <v>4929</v>
      </c>
      <c r="BC4301" s="28" t="n">
        <f aca="false">BA4301-BB4301</f>
        <v>0</v>
      </c>
      <c r="BD4301" s="32" t="n">
        <f aca="false">SUM(P4301,R4301,T4301,V4301,X4301,Z4301,AB4301,AD4301,AF4301,AH4301,AJ4301,AL4301,AN4301,AP4301,AR4301,AT4301,AV4301,AX4301)</f>
        <v>0</v>
      </c>
      <c r="BE4301" s="33" t="n">
        <f aca="false">AZ4301-BD4301</f>
        <v>0</v>
      </c>
      <c r="BF4301" s="34" t="n">
        <f aca="false">BD4301*M4301</f>
        <v>0</v>
      </c>
      <c r="BG4301" s="35" t="n">
        <f aca="false">BA4301-BF4301</f>
        <v>4929</v>
      </c>
      <c r="BH4301" s="19" t="str">
        <f aca="false">IF(BG4301=0,"",IF(BG4301&lt;&gt;BA4301,"erreur de calcul",IF(BD4301&lt;&gt;0,"pas de prix",IF(M4301&lt;&gt; 0,"pas de quantité","pas de prix, ni de quantité"))))</f>
        <v>pas de prix, ni de quantité</v>
      </c>
      <c r="BI4301" s="19"/>
    </row>
    <row r="4302" customFormat="false" ht="15" hidden="false" customHeight="false" outlineLevel="0" collapsed="false">
      <c r="A4302" s="0" t="n">
        <v>11</v>
      </c>
      <c r="B4302" s="8" t="s">
        <v>24</v>
      </c>
      <c r="C4302" s="9" t="s">
        <v>25</v>
      </c>
      <c r="D4302" s="9" t="s">
        <v>26</v>
      </c>
      <c r="E4302" s="10" t="n">
        <v>1789</v>
      </c>
      <c r="F4302" s="9" t="s">
        <v>27</v>
      </c>
      <c r="G4302" s="9" t="s">
        <v>27</v>
      </c>
      <c r="H4302" s="11" t="n">
        <v>21</v>
      </c>
      <c r="I4302" s="11" t="s">
        <v>164</v>
      </c>
      <c r="J4302" s="14" t="n">
        <v>580</v>
      </c>
      <c r="K4302" s="14"/>
      <c r="L4302" s="16"/>
      <c r="M4302" s="27" t="n">
        <f aca="false">J4302+(K4302/20)+(L4302/240)</f>
        <v>580</v>
      </c>
      <c r="N4302" s="17" t="s">
        <v>64</v>
      </c>
      <c r="O4302" s="11"/>
      <c r="P4302" s="28" t="n">
        <f aca="false">294/100</f>
        <v>2.94</v>
      </c>
      <c r="Q4302" s="28" t="n">
        <v>1705</v>
      </c>
      <c r="R4302" s="28"/>
      <c r="S4302" s="28" t="n">
        <f aca="false">R4302*$M4302</f>
        <v>0</v>
      </c>
      <c r="T4302" s="28"/>
      <c r="U4302" s="28" t="n">
        <f aca="false">T4302*$M4302</f>
        <v>0</v>
      </c>
      <c r="V4302" s="28"/>
      <c r="W4302" s="28" t="n">
        <f aca="false">V4302*$M4302</f>
        <v>0</v>
      </c>
      <c r="X4302" s="28"/>
      <c r="Y4302" s="28" t="n">
        <f aca="false">X4302*$M4302</f>
        <v>0</v>
      </c>
      <c r="Z4302" s="28"/>
      <c r="AA4302" s="28" t="n">
        <f aca="false">Z4302*$M4302</f>
        <v>0</v>
      </c>
      <c r="AB4302" s="28"/>
      <c r="AC4302" s="28" t="n">
        <f aca="false">AB4302*$M4302</f>
        <v>0</v>
      </c>
      <c r="AD4302" s="28"/>
      <c r="AE4302" s="28" t="n">
        <f aca="false">AD4302*$M4302</f>
        <v>0</v>
      </c>
      <c r="AF4302" s="28"/>
      <c r="AG4302" s="28" t="n">
        <f aca="false">AF4302*$M4302</f>
        <v>0</v>
      </c>
      <c r="AH4302" s="28"/>
      <c r="AI4302" s="28" t="n">
        <f aca="false">AH4302*$M4302</f>
        <v>0</v>
      </c>
      <c r="AJ4302" s="28"/>
      <c r="AK4302" s="28" t="n">
        <f aca="false">AJ4302*$M4302</f>
        <v>0</v>
      </c>
      <c r="AL4302" s="28"/>
      <c r="AM4302" s="28" t="n">
        <f aca="false">AL4302*$M4302</f>
        <v>0</v>
      </c>
      <c r="AN4302" s="28"/>
      <c r="AO4302" s="28" t="n">
        <f aca="false">AN4302*$M4302</f>
        <v>0</v>
      </c>
      <c r="AP4302" s="28"/>
      <c r="AQ4302" s="28" t="n">
        <f aca="false">AP4302*$M4302</f>
        <v>0</v>
      </c>
      <c r="AR4302" s="28"/>
      <c r="AS4302" s="28" t="n">
        <f aca="false">AR4302*$M4302</f>
        <v>0</v>
      </c>
      <c r="AT4302" s="28"/>
      <c r="AU4302" s="28" t="n">
        <f aca="false">AT4302*$M4302</f>
        <v>0</v>
      </c>
      <c r="AV4302" s="28"/>
      <c r="AW4302" s="28" t="n">
        <f aca="false">AV4302*$M4302</f>
        <v>0</v>
      </c>
      <c r="AX4302" s="28"/>
      <c r="AY4302" s="28" t="n">
        <f aca="false">AX4302*$M4302</f>
        <v>0</v>
      </c>
      <c r="AZ4302" s="30" t="n">
        <f aca="false">294/100</f>
        <v>2.94</v>
      </c>
      <c r="BA4302" s="11" t="n">
        <v>1705</v>
      </c>
      <c r="BB4302" s="31" t="n">
        <f aca="false">SUM(Q4302,S4302,U4302,W4302,Y4302,AA4302,AC4302,AE4302,AG4302,AI4302,AK4302,AM4302,AO4302,AQ4302,AS4302,AU4302,AW4302,AY4302)</f>
        <v>1705</v>
      </c>
      <c r="BC4302" s="28" t="n">
        <f aca="false">BA4302-BB4302</f>
        <v>0</v>
      </c>
      <c r="BD4302" s="32" t="n">
        <f aca="false">SUM(P4302,R4302,T4302,V4302,X4302,Z4302,AB4302,AD4302,AF4302,AH4302,AJ4302,AL4302,AN4302,AP4302,AR4302,AT4302,AV4302,AX4302)</f>
        <v>2.94</v>
      </c>
      <c r="BE4302" s="33" t="n">
        <f aca="false">AZ4302-BD4302</f>
        <v>0</v>
      </c>
      <c r="BF4302" s="34" t="n">
        <f aca="false">BD4302*M4302</f>
        <v>1705.2</v>
      </c>
      <c r="BG4302" s="35" t="n">
        <f aca="false">BA4302-BF4302</f>
        <v>-0.200000000000045</v>
      </c>
      <c r="BH4302" s="19" t="str">
        <f aca="false">IF(BG4302=0,"",IF(BG4302&lt;&gt;BA4302,"erreur de calcul",IF(BD4302&lt;&gt;0,"pas de prix",IF(M4302&lt;&gt; 0,"pas de quantité","pas de prix, ni de quantité"))))</f>
        <v>erreur de calcul</v>
      </c>
      <c r="BI4302" s="19"/>
    </row>
    <row r="4303" customFormat="false" ht="15" hidden="false" customHeight="false" outlineLevel="0" collapsed="false">
      <c r="A4303" s="0" t="n">
        <v>12</v>
      </c>
      <c r="B4303" s="8" t="s">
        <v>24</v>
      </c>
      <c r="C4303" s="9" t="s">
        <v>25</v>
      </c>
      <c r="D4303" s="9" t="s">
        <v>26</v>
      </c>
      <c r="E4303" s="10" t="n">
        <v>1789</v>
      </c>
      <c r="F4303" s="9" t="s">
        <v>27</v>
      </c>
      <c r="G4303" s="9" t="s">
        <v>27</v>
      </c>
      <c r="H4303" s="11" t="n">
        <v>21</v>
      </c>
      <c r="I4303" s="11" t="s">
        <v>165</v>
      </c>
      <c r="J4303" s="14" t="n">
        <v>180</v>
      </c>
      <c r="K4303" s="14"/>
      <c r="L4303" s="16"/>
      <c r="M4303" s="27" t="n">
        <f aca="false">J4303+(K4303/20)+(L4303/240)</f>
        <v>180</v>
      </c>
      <c r="N4303" s="17" t="s">
        <v>64</v>
      </c>
      <c r="O4303" s="11"/>
      <c r="P4303" s="28"/>
      <c r="Q4303" s="28" t="n">
        <f aca="false">P4303*$M4303</f>
        <v>0</v>
      </c>
      <c r="R4303" s="28"/>
      <c r="S4303" s="28" t="n">
        <f aca="false">R4303*$M4303</f>
        <v>0</v>
      </c>
      <c r="T4303" s="28"/>
      <c r="U4303" s="28" t="n">
        <f aca="false">T4303*$M4303</f>
        <v>0</v>
      </c>
      <c r="V4303" s="28"/>
      <c r="W4303" s="28" t="n">
        <f aca="false">V4303*$M4303</f>
        <v>0</v>
      </c>
      <c r="X4303" s="28"/>
      <c r="Y4303" s="28" t="n">
        <f aca="false">X4303*$M4303</f>
        <v>0</v>
      </c>
      <c r="Z4303" s="28"/>
      <c r="AA4303" s="28" t="n">
        <f aca="false">Z4303*$M4303</f>
        <v>0</v>
      </c>
      <c r="AB4303" s="28"/>
      <c r="AC4303" s="28" t="n">
        <f aca="false">AB4303*$M4303</f>
        <v>0</v>
      </c>
      <c r="AD4303" s="28"/>
      <c r="AE4303" s="28" t="n">
        <f aca="false">AD4303*$M4303</f>
        <v>0</v>
      </c>
      <c r="AF4303" s="28"/>
      <c r="AG4303" s="28" t="n">
        <f aca="false">AF4303*$M4303</f>
        <v>0</v>
      </c>
      <c r="AH4303" s="28"/>
      <c r="AI4303" s="28" t="n">
        <f aca="false">AH4303*$M4303</f>
        <v>0</v>
      </c>
      <c r="AJ4303" s="28"/>
      <c r="AK4303" s="28" t="n">
        <f aca="false">AJ4303*$M4303</f>
        <v>0</v>
      </c>
      <c r="AL4303" s="28"/>
      <c r="AM4303" s="28" t="n">
        <f aca="false">AL4303*$M4303</f>
        <v>0</v>
      </c>
      <c r="AN4303" s="28" t="n">
        <f aca="false">13754/100</f>
        <v>137.54</v>
      </c>
      <c r="AO4303" s="28" t="n">
        <v>24757</v>
      </c>
      <c r="AP4303" s="28"/>
      <c r="AQ4303" s="28" t="n">
        <f aca="false">AP4303*$M4303</f>
        <v>0</v>
      </c>
      <c r="AR4303" s="28"/>
      <c r="AS4303" s="28" t="n">
        <f aca="false">AR4303*$M4303</f>
        <v>0</v>
      </c>
      <c r="AT4303" s="28"/>
      <c r="AU4303" s="28" t="n">
        <f aca="false">AT4303*$M4303</f>
        <v>0</v>
      </c>
      <c r="AV4303" s="28"/>
      <c r="AW4303" s="28" t="n">
        <f aca="false">AV4303*$M4303</f>
        <v>0</v>
      </c>
      <c r="AX4303" s="28"/>
      <c r="AY4303" s="28" t="n">
        <f aca="false">AX4303*$M4303</f>
        <v>0</v>
      </c>
      <c r="AZ4303" s="30" t="n">
        <f aca="false">17360/100</f>
        <v>173.6</v>
      </c>
      <c r="BA4303" s="11" t="n">
        <v>24757</v>
      </c>
      <c r="BB4303" s="31" t="n">
        <f aca="false">SUM(Q4303,S4303,U4303,W4303,Y4303,AA4303,AC4303,AE4303,AG4303,AI4303,AK4303,AM4303,AO4303,AQ4303,AS4303,AU4303,AW4303,AY4303)</f>
        <v>24757</v>
      </c>
      <c r="BC4303" s="28" t="n">
        <f aca="false">BA4303-BB4303</f>
        <v>0</v>
      </c>
      <c r="BD4303" s="32" t="n">
        <f aca="false">SUM(P4303,R4303,T4303,V4303,X4303,Z4303,AB4303,AD4303,AF4303,AH4303,AJ4303,AL4303,AN4303,AP4303,AR4303,AT4303,AV4303,AX4303)</f>
        <v>137.54</v>
      </c>
      <c r="BE4303" s="33" t="n">
        <f aca="false">AZ4303-BD4303</f>
        <v>36.06</v>
      </c>
      <c r="BF4303" s="34" t="n">
        <f aca="false">BD4303*M4303</f>
        <v>24757.2</v>
      </c>
      <c r="BG4303" s="35" t="n">
        <f aca="false">BA4303-BF4303</f>
        <v>-0.19999999999709</v>
      </c>
      <c r="BH4303" s="19" t="str">
        <f aca="false">IF(BG4303=0,"",IF(BG4303&lt;&gt;BA4303,"erreur de calcul",IF(BD4303&lt;&gt;0,"pas de prix",IF(M4303&lt;&gt; 0,"pas de quantité","pas de prix, ni de quantité"))))</f>
        <v>erreur de calcul</v>
      </c>
      <c r="BI4303" s="19"/>
    </row>
    <row r="4304" customFormat="false" ht="15" hidden="false" customHeight="false" outlineLevel="0" collapsed="false">
      <c r="A4304" s="0" t="n">
        <v>13</v>
      </c>
      <c r="B4304" s="8" t="s">
        <v>24</v>
      </c>
      <c r="C4304" s="9" t="s">
        <v>25</v>
      </c>
      <c r="D4304" s="9" t="s">
        <v>26</v>
      </c>
      <c r="E4304" s="10" t="n">
        <v>1789</v>
      </c>
      <c r="F4304" s="9" t="s">
        <v>27</v>
      </c>
      <c r="G4304" s="9" t="s">
        <v>27</v>
      </c>
      <c r="H4304" s="11" t="n">
        <v>21</v>
      </c>
      <c r="I4304" s="11" t="s">
        <v>166</v>
      </c>
      <c r="J4304" s="14" t="n">
        <v>90</v>
      </c>
      <c r="K4304" s="14"/>
      <c r="L4304" s="16"/>
      <c r="M4304" s="27" t="n">
        <f aca="false">J4304+(K4304/20)+(L4304/240)</f>
        <v>90</v>
      </c>
      <c r="N4304" s="17" t="s">
        <v>64</v>
      </c>
      <c r="O4304" s="11"/>
      <c r="P4304" s="28" t="n">
        <f aca="false">3606/100</f>
        <v>36.06</v>
      </c>
      <c r="Q4304" s="28" t="n">
        <v>3245</v>
      </c>
      <c r="R4304" s="28"/>
      <c r="S4304" s="28" t="n">
        <f aca="false">R4304*$M4304</f>
        <v>0</v>
      </c>
      <c r="T4304" s="28"/>
      <c r="U4304" s="28" t="n">
        <f aca="false">T4304*$M4304</f>
        <v>0</v>
      </c>
      <c r="V4304" s="28"/>
      <c r="W4304" s="28" t="n">
        <f aca="false">V4304*$M4304</f>
        <v>0</v>
      </c>
      <c r="X4304" s="28"/>
      <c r="Y4304" s="28" t="n">
        <f aca="false">X4304*$M4304</f>
        <v>0</v>
      </c>
      <c r="Z4304" s="28"/>
      <c r="AA4304" s="28" t="n">
        <f aca="false">Z4304*$M4304</f>
        <v>0</v>
      </c>
      <c r="AB4304" s="28"/>
      <c r="AC4304" s="28" t="n">
        <f aca="false">AB4304*$M4304</f>
        <v>0</v>
      </c>
      <c r="AD4304" s="28"/>
      <c r="AE4304" s="28" t="n">
        <f aca="false">AD4304*$M4304</f>
        <v>0</v>
      </c>
      <c r="AF4304" s="28"/>
      <c r="AG4304" s="28" t="n">
        <f aca="false">AF4304*$M4304</f>
        <v>0</v>
      </c>
      <c r="AH4304" s="28"/>
      <c r="AI4304" s="28" t="n">
        <f aca="false">AH4304*$M4304</f>
        <v>0</v>
      </c>
      <c r="AJ4304" s="28"/>
      <c r="AK4304" s="28" t="n">
        <f aca="false">AJ4304*$M4304</f>
        <v>0</v>
      </c>
      <c r="AL4304" s="28"/>
      <c r="AM4304" s="28" t="n">
        <f aca="false">AL4304*$M4304</f>
        <v>0</v>
      </c>
      <c r="AN4304" s="28"/>
      <c r="AO4304" s="28" t="n">
        <f aca="false">AN4304*$M4304</f>
        <v>0</v>
      </c>
      <c r="AP4304" s="28"/>
      <c r="AQ4304" s="28" t="n">
        <f aca="false">AP4304*$M4304</f>
        <v>0</v>
      </c>
      <c r="AR4304" s="28"/>
      <c r="AS4304" s="28" t="n">
        <f aca="false">AR4304*$M4304</f>
        <v>0</v>
      </c>
      <c r="AT4304" s="28"/>
      <c r="AU4304" s="28" t="n">
        <f aca="false">AT4304*$M4304</f>
        <v>0</v>
      </c>
      <c r="AV4304" s="28"/>
      <c r="AW4304" s="28" t="n">
        <f aca="false">AV4304*$M4304</f>
        <v>0</v>
      </c>
      <c r="AX4304" s="28"/>
      <c r="AY4304" s="28" t="n">
        <f aca="false">AX4304*$M4304</f>
        <v>0</v>
      </c>
      <c r="AZ4304" s="30" t="n">
        <f aca="false">3606/100</f>
        <v>36.06</v>
      </c>
      <c r="BA4304" s="11" t="n">
        <v>3245</v>
      </c>
      <c r="BB4304" s="31" t="n">
        <f aca="false">SUM(Q4304,S4304,U4304,W4304,Y4304,AA4304,AC4304,AE4304,AG4304,AI4304,AK4304,AM4304,AO4304,AQ4304,AS4304,AU4304,AW4304,AY4304)</f>
        <v>3245</v>
      </c>
      <c r="BC4304" s="28" t="n">
        <f aca="false">BA4304-BB4304</f>
        <v>0</v>
      </c>
      <c r="BD4304" s="32" t="n">
        <f aca="false">SUM(P4304,R4304,T4304,V4304,X4304,Z4304,AB4304,AD4304,AF4304,AH4304,AJ4304,AL4304,AN4304,AP4304,AR4304,AT4304,AV4304,AX4304)</f>
        <v>36.06</v>
      </c>
      <c r="BE4304" s="33" t="n">
        <f aca="false">AZ4304-BD4304</f>
        <v>0</v>
      </c>
      <c r="BF4304" s="34" t="n">
        <f aca="false">BD4304*M4304</f>
        <v>3245.4</v>
      </c>
      <c r="BG4304" s="35" t="n">
        <f aca="false">BA4304-BF4304</f>
        <v>-0.400000000000091</v>
      </c>
      <c r="BH4304" s="19" t="str">
        <f aca="false">IF(BG4304=0,"",IF(BG4304&lt;&gt;BA4304,"erreur de calcul",IF(BD4304&lt;&gt;0,"pas de prix",IF(M4304&lt;&gt; 0,"pas de quantité","pas de prix, ni de quantité"))))</f>
        <v>erreur de calcul</v>
      </c>
      <c r="BI4304" s="19"/>
    </row>
    <row r="4305" customFormat="false" ht="15" hidden="false" customHeight="false" outlineLevel="0" collapsed="false">
      <c r="A4305" s="0" t="n">
        <v>14</v>
      </c>
      <c r="B4305" s="8" t="s">
        <v>24</v>
      </c>
      <c r="C4305" s="9" t="s">
        <v>25</v>
      </c>
      <c r="D4305" s="9" t="s">
        <v>26</v>
      </c>
      <c r="E4305" s="10" t="n">
        <v>1789</v>
      </c>
      <c r="F4305" s="9" t="s">
        <v>27</v>
      </c>
      <c r="G4305" s="9" t="s">
        <v>27</v>
      </c>
      <c r="H4305" s="11" t="n">
        <v>21</v>
      </c>
      <c r="I4305" s="11" t="s">
        <v>167</v>
      </c>
      <c r="J4305" s="14" t="n">
        <v>60</v>
      </c>
      <c r="K4305" s="14"/>
      <c r="L4305" s="16"/>
      <c r="M4305" s="27" t="n">
        <f aca="false">J4305+(K4305/20)+(L4305/240)</f>
        <v>60</v>
      </c>
      <c r="N4305" s="17" t="s">
        <v>64</v>
      </c>
      <c r="O4305" s="11"/>
      <c r="P4305" s="28" t="n">
        <f aca="false">19377/100</f>
        <v>193.77</v>
      </c>
      <c r="Q4305" s="28" t="n">
        <v>11626</v>
      </c>
      <c r="R4305" s="28"/>
      <c r="S4305" s="28" t="n">
        <f aca="false">R4305*$M4305</f>
        <v>0</v>
      </c>
      <c r="T4305" s="28"/>
      <c r="U4305" s="28" t="n">
        <f aca="false">T4305*$M4305</f>
        <v>0</v>
      </c>
      <c r="V4305" s="28"/>
      <c r="W4305" s="28" t="n">
        <f aca="false">V4305*$M4305</f>
        <v>0</v>
      </c>
      <c r="X4305" s="28"/>
      <c r="Y4305" s="28" t="n">
        <f aca="false">X4305*$M4305</f>
        <v>0</v>
      </c>
      <c r="Z4305" s="28"/>
      <c r="AA4305" s="28" t="n">
        <f aca="false">Z4305*$M4305</f>
        <v>0</v>
      </c>
      <c r="AB4305" s="28"/>
      <c r="AC4305" s="28" t="n">
        <f aca="false">AB4305*$M4305</f>
        <v>0</v>
      </c>
      <c r="AD4305" s="28"/>
      <c r="AE4305" s="28" t="n">
        <f aca="false">AD4305*$M4305</f>
        <v>0</v>
      </c>
      <c r="AF4305" s="28"/>
      <c r="AG4305" s="28" t="n">
        <f aca="false">AF4305*$M4305</f>
        <v>0</v>
      </c>
      <c r="AH4305" s="28"/>
      <c r="AI4305" s="28" t="n">
        <f aca="false">AH4305*$M4305</f>
        <v>0</v>
      </c>
      <c r="AJ4305" s="28"/>
      <c r="AK4305" s="28" t="n">
        <f aca="false">AJ4305*$M4305</f>
        <v>0</v>
      </c>
      <c r="AL4305" s="28"/>
      <c r="AM4305" s="28" t="n">
        <f aca="false">AL4305*$M4305</f>
        <v>0</v>
      </c>
      <c r="AN4305" s="28"/>
      <c r="AO4305" s="28" t="n">
        <f aca="false">AN4305*$M4305</f>
        <v>0</v>
      </c>
      <c r="AP4305" s="28"/>
      <c r="AQ4305" s="28" t="n">
        <f aca="false">AP4305*$M4305</f>
        <v>0</v>
      </c>
      <c r="AR4305" s="28"/>
      <c r="AS4305" s="28" t="n">
        <f aca="false">AR4305*$M4305</f>
        <v>0</v>
      </c>
      <c r="AT4305" s="28"/>
      <c r="AU4305" s="28" t="n">
        <f aca="false">AT4305*$M4305</f>
        <v>0</v>
      </c>
      <c r="AV4305" s="28"/>
      <c r="AW4305" s="28" t="n">
        <f aca="false">AV4305*$M4305</f>
        <v>0</v>
      </c>
      <c r="AX4305" s="28"/>
      <c r="AY4305" s="28" t="n">
        <f aca="false">AX4305*$M4305</f>
        <v>0</v>
      </c>
      <c r="AZ4305" s="30" t="n">
        <f aca="false">19377/100</f>
        <v>193.77</v>
      </c>
      <c r="BA4305" s="11" t="n">
        <v>11626</v>
      </c>
      <c r="BB4305" s="31" t="n">
        <f aca="false">SUM(Q4305,S4305,U4305,W4305,Y4305,AA4305,AC4305,AE4305,AG4305,AI4305,AK4305,AM4305,AO4305,AQ4305,AS4305,AU4305,AW4305,AY4305)</f>
        <v>11626</v>
      </c>
      <c r="BC4305" s="28" t="n">
        <f aca="false">BA4305-BB4305</f>
        <v>0</v>
      </c>
      <c r="BD4305" s="32" t="n">
        <f aca="false">SUM(P4305,R4305,T4305,V4305,X4305,Z4305,AB4305,AD4305,AF4305,AH4305,AJ4305,AL4305,AN4305,AP4305,AR4305,AT4305,AV4305,AX4305)</f>
        <v>193.77</v>
      </c>
      <c r="BE4305" s="33" t="n">
        <f aca="false">AZ4305-BD4305</f>
        <v>0</v>
      </c>
      <c r="BF4305" s="34" t="n">
        <f aca="false">BD4305*M4305</f>
        <v>11626.2</v>
      </c>
      <c r="BG4305" s="35" t="n">
        <f aca="false">BA4305-BF4305</f>
        <v>-0.200000000000728</v>
      </c>
      <c r="BH4305" s="19" t="str">
        <f aca="false">IF(BG4305=0,"",IF(BG4305&lt;&gt;BA4305,"erreur de calcul",IF(BD4305&lt;&gt;0,"pas de prix",IF(M4305&lt;&gt; 0,"pas de quantité","pas de prix, ni de quantité"))))</f>
        <v>erreur de calcul</v>
      </c>
      <c r="BI4305" s="19"/>
    </row>
    <row r="4306" customFormat="false" ht="15" hidden="false" customHeight="false" outlineLevel="0" collapsed="false">
      <c r="A4306" s="0" t="n">
        <v>15</v>
      </c>
      <c r="B4306" s="8" t="s">
        <v>24</v>
      </c>
      <c r="C4306" s="9" t="s">
        <v>25</v>
      </c>
      <c r="D4306" s="9" t="s">
        <v>26</v>
      </c>
      <c r="E4306" s="10" t="n">
        <v>1789</v>
      </c>
      <c r="F4306" s="9" t="s">
        <v>27</v>
      </c>
      <c r="G4306" s="9" t="s">
        <v>27</v>
      </c>
      <c r="H4306" s="11" t="n">
        <v>21</v>
      </c>
      <c r="I4306" s="11" t="s">
        <v>168</v>
      </c>
      <c r="J4306" s="14" t="n">
        <v>345</v>
      </c>
      <c r="K4306" s="14"/>
      <c r="L4306" s="16"/>
      <c r="M4306" s="27" t="n">
        <f aca="false">J4306+(K4306/20)+(L4306/240)</f>
        <v>345</v>
      </c>
      <c r="N4306" s="17" t="s">
        <v>64</v>
      </c>
      <c r="O4306" s="11"/>
      <c r="P4306" s="28" t="n">
        <f aca="false">617/100</f>
        <v>6.17</v>
      </c>
      <c r="Q4306" s="28" t="n">
        <v>2129</v>
      </c>
      <c r="R4306" s="28"/>
      <c r="S4306" s="28" t="n">
        <f aca="false">R4306*$M4306</f>
        <v>0</v>
      </c>
      <c r="T4306" s="28"/>
      <c r="U4306" s="28" t="n">
        <f aca="false">T4306*$M4306</f>
        <v>0</v>
      </c>
      <c r="V4306" s="28"/>
      <c r="W4306" s="28" t="n">
        <f aca="false">V4306*$M4306</f>
        <v>0</v>
      </c>
      <c r="X4306" s="28"/>
      <c r="Y4306" s="28" t="n">
        <f aca="false">X4306*$M4306</f>
        <v>0</v>
      </c>
      <c r="Z4306" s="28"/>
      <c r="AA4306" s="28" t="n">
        <f aca="false">Z4306*$M4306</f>
        <v>0</v>
      </c>
      <c r="AB4306" s="28" t="n">
        <f aca="false">1270/100</f>
        <v>12.7</v>
      </c>
      <c r="AC4306" s="28" t="n">
        <v>4381</v>
      </c>
      <c r="AD4306" s="28"/>
      <c r="AE4306" s="28" t="n">
        <f aca="false">AD4306*$M4306</f>
        <v>0</v>
      </c>
      <c r="AF4306" s="28"/>
      <c r="AG4306" s="28" t="n">
        <f aca="false">AF4306*$M4306</f>
        <v>0</v>
      </c>
      <c r="AH4306" s="28"/>
      <c r="AI4306" s="28" t="n">
        <f aca="false">AH4306*$M4306</f>
        <v>0</v>
      </c>
      <c r="AJ4306" s="28"/>
      <c r="AK4306" s="28" t="n">
        <f aca="false">AJ4306*$M4306</f>
        <v>0</v>
      </c>
      <c r="AL4306" s="28"/>
      <c r="AM4306" s="28" t="n">
        <f aca="false">AL4306*$M4306</f>
        <v>0</v>
      </c>
      <c r="AN4306" s="28"/>
      <c r="AO4306" s="28" t="n">
        <f aca="false">AN4306*$M4306</f>
        <v>0</v>
      </c>
      <c r="AP4306" s="28"/>
      <c r="AQ4306" s="28" t="n">
        <f aca="false">AP4306*$M4306</f>
        <v>0</v>
      </c>
      <c r="AR4306" s="28"/>
      <c r="AS4306" s="28" t="n">
        <f aca="false">AR4306*$M4306</f>
        <v>0</v>
      </c>
      <c r="AT4306" s="28"/>
      <c r="AU4306" s="28" t="n">
        <f aca="false">AT4306*$M4306</f>
        <v>0</v>
      </c>
      <c r="AV4306" s="28"/>
      <c r="AW4306" s="28" t="n">
        <f aca="false">AV4306*$M4306</f>
        <v>0</v>
      </c>
      <c r="AX4306" s="28"/>
      <c r="AY4306" s="28" t="n">
        <f aca="false">AX4306*$M4306</f>
        <v>0</v>
      </c>
      <c r="AZ4306" s="30" t="n">
        <f aca="false">1887/100</f>
        <v>18.87</v>
      </c>
      <c r="BA4306" s="11" t="n">
        <v>6510</v>
      </c>
      <c r="BB4306" s="31" t="n">
        <f aca="false">SUM(Q4306,S4306,U4306,W4306,Y4306,AA4306,AC4306,AE4306,AG4306,AI4306,AK4306,AM4306,AO4306,AQ4306,AS4306,AU4306,AW4306,AY4306)</f>
        <v>6510</v>
      </c>
      <c r="BC4306" s="28" t="n">
        <f aca="false">BA4306-BB4306</f>
        <v>0</v>
      </c>
      <c r="BD4306" s="32" t="n">
        <f aca="false">SUM(P4306,R4306,T4306,V4306,X4306,Z4306,AB4306,AD4306,AF4306,AH4306,AJ4306,AL4306,AN4306,AP4306,AR4306,AT4306,AV4306,AX4306)</f>
        <v>18.87</v>
      </c>
      <c r="BE4306" s="33" t="n">
        <f aca="false">AZ4306-BD4306</f>
        <v>0</v>
      </c>
      <c r="BF4306" s="34" t="n">
        <f aca="false">BD4306*M4306</f>
        <v>6510.15</v>
      </c>
      <c r="BG4306" s="35" t="n">
        <f aca="false">BA4306-BF4306</f>
        <v>-0.149999999998727</v>
      </c>
      <c r="BH4306" s="19" t="str">
        <f aca="false">IF(BG4306=0,"",IF(BG4306&lt;&gt;BA4306,"erreur de calcul",IF(BD4306&lt;&gt;0,"pas de prix",IF(M4306&lt;&gt; 0,"pas de quantité","pas de prix, ni de quantité"))))</f>
        <v>erreur de calcul</v>
      </c>
      <c r="BI4306" s="19"/>
    </row>
    <row r="4307" customFormat="false" ht="15" hidden="false" customHeight="false" outlineLevel="0" collapsed="false">
      <c r="A4307" s="0" t="n">
        <v>16</v>
      </c>
      <c r="B4307" s="8" t="s">
        <v>24</v>
      </c>
      <c r="C4307" s="9" t="s">
        <v>25</v>
      </c>
      <c r="D4307" s="9" t="s">
        <v>26</v>
      </c>
      <c r="E4307" s="10" t="n">
        <v>1789</v>
      </c>
      <c r="F4307" s="9" t="s">
        <v>27</v>
      </c>
      <c r="G4307" s="9" t="s">
        <v>27</v>
      </c>
      <c r="H4307" s="11" t="n">
        <v>21</v>
      </c>
      <c r="I4307" s="11" t="s">
        <v>169</v>
      </c>
      <c r="J4307" s="14" t="n">
        <v>6</v>
      </c>
      <c r="K4307" s="14"/>
      <c r="L4307" s="16"/>
      <c r="M4307" s="27" t="n">
        <f aca="false">J4307+(K4307/20)+(L4307/240)</f>
        <v>6</v>
      </c>
      <c r="N4307" s="17" t="s">
        <v>64</v>
      </c>
      <c r="O4307" s="11"/>
      <c r="P4307" s="28"/>
      <c r="Q4307" s="28" t="n">
        <f aca="false">P4307*$M4307</f>
        <v>0</v>
      </c>
      <c r="R4307" s="28"/>
      <c r="S4307" s="28" t="n">
        <f aca="false">R4307*$M4307</f>
        <v>0</v>
      </c>
      <c r="T4307" s="28"/>
      <c r="U4307" s="28" t="n">
        <f aca="false">T4307*$M4307</f>
        <v>0</v>
      </c>
      <c r="V4307" s="28" t="n">
        <f aca="false">39752/100</f>
        <v>397.52</v>
      </c>
      <c r="W4307" s="28" t="n">
        <v>2385</v>
      </c>
      <c r="X4307" s="28"/>
      <c r="Y4307" s="28" t="n">
        <f aca="false">X4307*$M4307</f>
        <v>0</v>
      </c>
      <c r="Z4307" s="28"/>
      <c r="AA4307" s="28" t="n">
        <f aca="false">Z4307*$M4307</f>
        <v>0</v>
      </c>
      <c r="AB4307" s="28"/>
      <c r="AC4307" s="28" t="n">
        <f aca="false">AB4307*$M4307</f>
        <v>0</v>
      </c>
      <c r="AD4307" s="28"/>
      <c r="AE4307" s="28" t="n">
        <f aca="false">AD4307*$M4307</f>
        <v>0</v>
      </c>
      <c r="AF4307" s="28"/>
      <c r="AG4307" s="28" t="n">
        <f aca="false">AF4307*$M4307</f>
        <v>0</v>
      </c>
      <c r="AH4307" s="28"/>
      <c r="AI4307" s="28" t="n">
        <f aca="false">AH4307*$M4307</f>
        <v>0</v>
      </c>
      <c r="AJ4307" s="28"/>
      <c r="AK4307" s="28" t="n">
        <f aca="false">AJ4307*$M4307</f>
        <v>0</v>
      </c>
      <c r="AL4307" s="28"/>
      <c r="AM4307" s="28" t="n">
        <f aca="false">AL4307*$M4307</f>
        <v>0</v>
      </c>
      <c r="AN4307" s="28"/>
      <c r="AO4307" s="28" t="n">
        <f aca="false">AN4307*$M4307</f>
        <v>0</v>
      </c>
      <c r="AP4307" s="28"/>
      <c r="AQ4307" s="28" t="n">
        <f aca="false">AP4307*$M4307</f>
        <v>0</v>
      </c>
      <c r="AR4307" s="28"/>
      <c r="AS4307" s="28" t="n">
        <f aca="false">AR4307*$M4307</f>
        <v>0</v>
      </c>
      <c r="AT4307" s="28"/>
      <c r="AU4307" s="28" t="n">
        <f aca="false">AT4307*$M4307</f>
        <v>0</v>
      </c>
      <c r="AV4307" s="28"/>
      <c r="AW4307" s="28" t="n">
        <f aca="false">AV4307*$M4307</f>
        <v>0</v>
      </c>
      <c r="AX4307" s="28"/>
      <c r="AY4307" s="28" t="n">
        <f aca="false">AX4307*$M4307</f>
        <v>0</v>
      </c>
      <c r="AZ4307" s="30" t="n">
        <f aca="false">39752/100</f>
        <v>397.52</v>
      </c>
      <c r="BA4307" s="11" t="n">
        <v>2385</v>
      </c>
      <c r="BB4307" s="31" t="n">
        <f aca="false">SUM(Q4307,S4307,U4307,W4307,Y4307,AA4307,AC4307,AE4307,AG4307,AI4307,AK4307,AM4307,AO4307,AQ4307,AS4307,AU4307,AW4307,AY4307)</f>
        <v>2385</v>
      </c>
      <c r="BC4307" s="28" t="n">
        <f aca="false">BA4307-BB4307</f>
        <v>0</v>
      </c>
      <c r="BD4307" s="32" t="n">
        <f aca="false">SUM(P4307,R4307,T4307,V4307,X4307,Z4307,AB4307,AD4307,AF4307,AH4307,AJ4307,AL4307,AN4307,AP4307,AR4307,AT4307,AV4307,AX4307)</f>
        <v>397.52</v>
      </c>
      <c r="BE4307" s="33" t="n">
        <f aca="false">AZ4307-BD4307</f>
        <v>0</v>
      </c>
      <c r="BF4307" s="34" t="n">
        <f aca="false">BD4307*M4307</f>
        <v>2385.12</v>
      </c>
      <c r="BG4307" s="35" t="n">
        <f aca="false">BA4307-BF4307</f>
        <v>-0.119999999999891</v>
      </c>
      <c r="BH4307" s="19" t="str">
        <f aca="false">IF(BG4307=0,"",IF(BG4307&lt;&gt;BA4307,"erreur de calcul",IF(BD4307&lt;&gt;0,"pas de prix",IF(M4307&lt;&gt; 0,"pas de quantité","pas de prix, ni de quantité"))))</f>
        <v>erreur de calcul</v>
      </c>
      <c r="BI4307" s="19"/>
    </row>
    <row r="4308" customFormat="false" ht="15" hidden="false" customHeight="false" outlineLevel="0" collapsed="false">
      <c r="A4308" s="0" t="n">
        <v>17</v>
      </c>
      <c r="B4308" s="8" t="s">
        <v>24</v>
      </c>
      <c r="C4308" s="9" t="s">
        <v>25</v>
      </c>
      <c r="D4308" s="9" t="s">
        <v>26</v>
      </c>
      <c r="E4308" s="10" t="n">
        <v>1789</v>
      </c>
      <c r="F4308" s="9" t="s">
        <v>27</v>
      </c>
      <c r="G4308" s="9" t="s">
        <v>27</v>
      </c>
      <c r="H4308" s="11" t="n">
        <v>21</v>
      </c>
      <c r="I4308" s="11" t="s">
        <v>170</v>
      </c>
      <c r="J4308" s="14" t="n">
        <v>90</v>
      </c>
      <c r="K4308" s="14"/>
      <c r="L4308" s="16"/>
      <c r="M4308" s="27" t="n">
        <f aca="false">J4308+(K4308/20)+(L4308/240)</f>
        <v>90</v>
      </c>
      <c r="N4308" s="17" t="s">
        <v>64</v>
      </c>
      <c r="O4308" s="11"/>
      <c r="P4308" s="28"/>
      <c r="Q4308" s="28" t="n">
        <f aca="false">P4308*$M4308</f>
        <v>0</v>
      </c>
      <c r="R4308" s="28"/>
      <c r="S4308" s="28" t="n">
        <f aca="false">R4308*$M4308</f>
        <v>0</v>
      </c>
      <c r="T4308" s="28"/>
      <c r="U4308" s="28" t="n">
        <f aca="false">T4308*$M4308</f>
        <v>0</v>
      </c>
      <c r="V4308" s="28"/>
      <c r="W4308" s="28" t="n">
        <f aca="false">V4308*$M4308</f>
        <v>0</v>
      </c>
      <c r="X4308" s="28" t="n">
        <f aca="false">3136/100</f>
        <v>31.36</v>
      </c>
      <c r="Y4308" s="28" t="n">
        <v>2822</v>
      </c>
      <c r="Z4308" s="28"/>
      <c r="AA4308" s="28" t="n">
        <f aca="false">Z4308*$M4308</f>
        <v>0</v>
      </c>
      <c r="AB4308" s="28"/>
      <c r="AC4308" s="28" t="n">
        <f aca="false">AB4308*$M4308</f>
        <v>0</v>
      </c>
      <c r="AD4308" s="28"/>
      <c r="AE4308" s="28" t="n">
        <f aca="false">AD4308*$M4308</f>
        <v>0</v>
      </c>
      <c r="AF4308" s="28"/>
      <c r="AG4308" s="28" t="n">
        <f aca="false">AF4308*$M4308</f>
        <v>0</v>
      </c>
      <c r="AH4308" s="28"/>
      <c r="AI4308" s="28" t="n">
        <f aca="false">AH4308*$M4308</f>
        <v>0</v>
      </c>
      <c r="AJ4308" s="28"/>
      <c r="AK4308" s="28" t="n">
        <f aca="false">AJ4308*$M4308</f>
        <v>0</v>
      </c>
      <c r="AL4308" s="28"/>
      <c r="AM4308" s="28" t="n">
        <f aca="false">AL4308*$M4308</f>
        <v>0</v>
      </c>
      <c r="AN4308" s="28"/>
      <c r="AO4308" s="28" t="n">
        <f aca="false">AN4308*$M4308</f>
        <v>0</v>
      </c>
      <c r="AP4308" s="28"/>
      <c r="AQ4308" s="28" t="n">
        <f aca="false">AP4308*$M4308</f>
        <v>0</v>
      </c>
      <c r="AR4308" s="28"/>
      <c r="AS4308" s="28" t="n">
        <f aca="false">AR4308*$M4308</f>
        <v>0</v>
      </c>
      <c r="AT4308" s="28"/>
      <c r="AU4308" s="28" t="n">
        <f aca="false">AT4308*$M4308</f>
        <v>0</v>
      </c>
      <c r="AV4308" s="28"/>
      <c r="AW4308" s="28" t="n">
        <f aca="false">AV4308*$M4308</f>
        <v>0</v>
      </c>
      <c r="AX4308" s="28"/>
      <c r="AY4308" s="28" t="n">
        <f aca="false">AX4308*$M4308</f>
        <v>0</v>
      </c>
      <c r="AZ4308" s="30" t="n">
        <f aca="false">3136/100</f>
        <v>31.36</v>
      </c>
      <c r="BA4308" s="11" t="n">
        <v>2822</v>
      </c>
      <c r="BB4308" s="31" t="n">
        <f aca="false">SUM(Q4308,S4308,U4308,W4308,Y4308,AA4308,AC4308,AE4308,AG4308,AI4308,AK4308,AM4308,AO4308,AQ4308,AS4308,AU4308,AW4308,AY4308)</f>
        <v>2822</v>
      </c>
      <c r="BC4308" s="28" t="n">
        <f aca="false">BA4308-BB4308</f>
        <v>0</v>
      </c>
      <c r="BD4308" s="32" t="n">
        <f aca="false">SUM(P4308,R4308,T4308,V4308,X4308,Z4308,AB4308,AD4308,AF4308,AH4308,AJ4308,AL4308,AN4308,AP4308,AR4308,AT4308,AV4308,AX4308)</f>
        <v>31.36</v>
      </c>
      <c r="BE4308" s="33" t="n">
        <f aca="false">AZ4308-BD4308</f>
        <v>0</v>
      </c>
      <c r="BF4308" s="34" t="n">
        <f aca="false">BD4308*M4308</f>
        <v>2822.4</v>
      </c>
      <c r="BG4308" s="35" t="n">
        <f aca="false">BA4308-BF4308</f>
        <v>-0.400000000000091</v>
      </c>
      <c r="BH4308" s="19" t="str">
        <f aca="false">IF(BG4308=0,"",IF(BG4308&lt;&gt;BA4308,"erreur de calcul",IF(BD4308&lt;&gt;0,"pas de prix",IF(M4308&lt;&gt; 0,"pas de quantité","pas de prix, ni de quantité"))))</f>
        <v>erreur de calcul</v>
      </c>
      <c r="BI4308" s="19"/>
    </row>
    <row r="4309" customFormat="false" ht="15" hidden="false" customHeight="false" outlineLevel="0" collapsed="false">
      <c r="A4309" s="0" t="n">
        <v>18</v>
      </c>
      <c r="B4309" s="8" t="s">
        <v>24</v>
      </c>
      <c r="C4309" s="9" t="s">
        <v>25</v>
      </c>
      <c r="D4309" s="9" t="s">
        <v>26</v>
      </c>
      <c r="E4309" s="10" t="n">
        <v>1789</v>
      </c>
      <c r="F4309" s="9" t="s">
        <v>27</v>
      </c>
      <c r="G4309" s="9" t="s">
        <v>27</v>
      </c>
      <c r="H4309" s="11" t="n">
        <v>21</v>
      </c>
      <c r="I4309" s="11" t="s">
        <v>171</v>
      </c>
      <c r="J4309" s="14" t="n">
        <v>90</v>
      </c>
      <c r="K4309" s="14"/>
      <c r="L4309" s="16"/>
      <c r="M4309" s="27" t="n">
        <f aca="false">J4309+(K4309/20)+(L4309/240)</f>
        <v>90</v>
      </c>
      <c r="N4309" s="17" t="s">
        <v>64</v>
      </c>
      <c r="O4309" s="11"/>
      <c r="P4309" s="28"/>
      <c r="Q4309" s="28" t="n">
        <f aca="false">P4309*$M4309</f>
        <v>0</v>
      </c>
      <c r="R4309" s="28"/>
      <c r="S4309" s="28" t="n">
        <f aca="false">R4309*$M4309</f>
        <v>0</v>
      </c>
      <c r="T4309" s="28"/>
      <c r="U4309" s="28" t="n">
        <f aca="false">T4309*$M4309</f>
        <v>0</v>
      </c>
      <c r="V4309" s="28"/>
      <c r="W4309" s="28" t="n">
        <f aca="false">V4309*$M4309</f>
        <v>0</v>
      </c>
      <c r="X4309" s="28"/>
      <c r="Y4309" s="28" t="n">
        <f aca="false">X4309*$M4309</f>
        <v>0</v>
      </c>
      <c r="Z4309" s="28"/>
      <c r="AA4309" s="28" t="n">
        <f aca="false">Z4309*$M4309</f>
        <v>0</v>
      </c>
      <c r="AB4309" s="28"/>
      <c r="AC4309" s="28" t="n">
        <f aca="false">AB4309*$M4309</f>
        <v>0</v>
      </c>
      <c r="AD4309" s="28"/>
      <c r="AE4309" s="28" t="n">
        <f aca="false">AD4309*$M4309</f>
        <v>0</v>
      </c>
      <c r="AF4309" s="28"/>
      <c r="AG4309" s="28" t="n">
        <f aca="false">AF4309*$M4309</f>
        <v>0</v>
      </c>
      <c r="AH4309" s="28" t="n">
        <f aca="false">5337/100</f>
        <v>53.37</v>
      </c>
      <c r="AI4309" s="28" t="n">
        <v>4803</v>
      </c>
      <c r="AJ4309" s="28"/>
      <c r="AK4309" s="28" t="n">
        <f aca="false">AJ4309*$M4309</f>
        <v>0</v>
      </c>
      <c r="AL4309" s="28"/>
      <c r="AM4309" s="28" t="n">
        <f aca="false">AL4309*$M4309</f>
        <v>0</v>
      </c>
      <c r="AN4309" s="28"/>
      <c r="AO4309" s="28" t="n">
        <f aca="false">AN4309*$M4309</f>
        <v>0</v>
      </c>
      <c r="AP4309" s="28"/>
      <c r="AQ4309" s="28" t="n">
        <f aca="false">AP4309*$M4309</f>
        <v>0</v>
      </c>
      <c r="AR4309" s="28"/>
      <c r="AS4309" s="28" t="n">
        <f aca="false">AR4309*$M4309</f>
        <v>0</v>
      </c>
      <c r="AT4309" s="28"/>
      <c r="AU4309" s="28" t="n">
        <f aca="false">AT4309*$M4309</f>
        <v>0</v>
      </c>
      <c r="AV4309" s="28"/>
      <c r="AW4309" s="28" t="n">
        <f aca="false">AV4309*$M4309</f>
        <v>0</v>
      </c>
      <c r="AX4309" s="28"/>
      <c r="AY4309" s="28" t="n">
        <f aca="false">AX4309*$M4309</f>
        <v>0</v>
      </c>
      <c r="AZ4309" s="30" t="n">
        <f aca="false">5337/100</f>
        <v>53.37</v>
      </c>
      <c r="BA4309" s="11" t="n">
        <v>4803</v>
      </c>
      <c r="BB4309" s="31" t="n">
        <f aca="false">SUM(Q4309,S4309,U4309,W4309,Y4309,AA4309,AC4309,AE4309,AG4309,AI4309,AK4309,AM4309,AO4309,AQ4309,AS4309,AU4309,AW4309,AY4309)</f>
        <v>4803</v>
      </c>
      <c r="BC4309" s="28" t="n">
        <f aca="false">BA4309-BB4309</f>
        <v>0</v>
      </c>
      <c r="BD4309" s="32" t="n">
        <f aca="false">SUM(P4309,R4309,T4309,V4309,X4309,Z4309,AB4309,AD4309,AF4309,AH4309,AJ4309,AL4309,AN4309,AP4309,AR4309,AT4309,AV4309,AX4309)</f>
        <v>53.37</v>
      </c>
      <c r="BE4309" s="33" t="n">
        <f aca="false">AZ4309-BD4309</f>
        <v>0</v>
      </c>
      <c r="BF4309" s="34" t="n">
        <f aca="false">BD4309*M4309</f>
        <v>4803.3</v>
      </c>
      <c r="BG4309" s="35" t="n">
        <f aca="false">BA4309-BF4309</f>
        <v>-0.300000000000182</v>
      </c>
      <c r="BH4309" s="19" t="str">
        <f aca="false">IF(BG4309=0,"",IF(BG4309&lt;&gt;BA4309,"erreur de calcul",IF(BD4309&lt;&gt;0,"pas de prix",IF(M4309&lt;&gt; 0,"pas de quantité","pas de prix, ni de quantité"))))</f>
        <v>erreur de calcul</v>
      </c>
      <c r="BI4309" s="19"/>
    </row>
    <row r="4310" customFormat="false" ht="15" hidden="false" customHeight="false" outlineLevel="0" collapsed="false">
      <c r="A4310" s="0" t="n">
        <v>19</v>
      </c>
      <c r="B4310" s="8" t="s">
        <v>24</v>
      </c>
      <c r="C4310" s="9" t="s">
        <v>25</v>
      </c>
      <c r="D4310" s="9" t="s">
        <v>26</v>
      </c>
      <c r="E4310" s="10" t="n">
        <v>1789</v>
      </c>
      <c r="F4310" s="9" t="s">
        <v>27</v>
      </c>
      <c r="G4310" s="9" t="s">
        <v>27</v>
      </c>
      <c r="H4310" s="11" t="n">
        <v>21</v>
      </c>
      <c r="I4310" s="11" t="s">
        <v>172</v>
      </c>
      <c r="J4310" s="14" t="n">
        <v>15</v>
      </c>
      <c r="K4310" s="14"/>
      <c r="L4310" s="16"/>
      <c r="M4310" s="27" t="n">
        <f aca="false">J4310+(K4310/20)+(L4310/240)</f>
        <v>15</v>
      </c>
      <c r="N4310" s="17" t="s">
        <v>64</v>
      </c>
      <c r="O4310" s="11" t="s">
        <v>77</v>
      </c>
      <c r="P4310" s="28"/>
      <c r="Q4310" s="28" t="n">
        <f aca="false">P4310*$M4310</f>
        <v>0</v>
      </c>
      <c r="R4310" s="28"/>
      <c r="S4310" s="28" t="n">
        <f aca="false">R4310*$M4310</f>
        <v>0</v>
      </c>
      <c r="T4310" s="28"/>
      <c r="U4310" s="28" t="n">
        <f aca="false">T4310*$M4310</f>
        <v>0</v>
      </c>
      <c r="V4310" s="28"/>
      <c r="W4310" s="28" t="n">
        <f aca="false">V4310*$M4310</f>
        <v>0</v>
      </c>
      <c r="X4310" s="28"/>
      <c r="Y4310" s="28" t="n">
        <f aca="false">X4310*$M4310</f>
        <v>0</v>
      </c>
      <c r="Z4310" s="28"/>
      <c r="AA4310" s="28" t="n">
        <f aca="false">Z4310*$M4310</f>
        <v>0</v>
      </c>
      <c r="AB4310" s="28"/>
      <c r="AC4310" s="28" t="n">
        <f aca="false">AB4310*$M4310</f>
        <v>0</v>
      </c>
      <c r="AD4310" s="28"/>
      <c r="AE4310" s="28" t="n">
        <f aca="false">AD4310*$M4310</f>
        <v>0</v>
      </c>
      <c r="AF4310" s="28"/>
      <c r="AG4310" s="28" t="n">
        <f aca="false">AF4310*$M4310</f>
        <v>0</v>
      </c>
      <c r="AH4310" s="28"/>
      <c r="AI4310" s="28" t="n">
        <f aca="false">AH4310*$M4310</f>
        <v>0</v>
      </c>
      <c r="AJ4310" s="28"/>
      <c r="AK4310" s="28" t="n">
        <f aca="false">AJ4310*$M4310</f>
        <v>0</v>
      </c>
      <c r="AL4310" s="28"/>
      <c r="AM4310" s="28" t="n">
        <f aca="false">AL4310*$M4310</f>
        <v>0</v>
      </c>
      <c r="AN4310" s="28"/>
      <c r="AO4310" s="28" t="n">
        <f aca="false">AN4310*$M4310</f>
        <v>0</v>
      </c>
      <c r="AP4310" s="28"/>
      <c r="AQ4310" s="28" t="n">
        <f aca="false">AP4310*$M4310</f>
        <v>0</v>
      </c>
      <c r="AR4310" s="28"/>
      <c r="AS4310" s="28" t="n">
        <f aca="false">AR4310*$M4310</f>
        <v>0</v>
      </c>
      <c r="AT4310" s="28"/>
      <c r="AU4310" s="28" t="n">
        <f aca="false">AT4310*$M4310</f>
        <v>0</v>
      </c>
      <c r="AV4310" s="28"/>
      <c r="AW4310" s="28" t="n">
        <f aca="false">AV4310*$M4310</f>
        <v>0</v>
      </c>
      <c r="AX4310" s="28"/>
      <c r="AY4310" s="28" t="n">
        <f aca="false">AX4310*$M4310</f>
        <v>0</v>
      </c>
      <c r="AZ4310" s="30"/>
      <c r="BA4310" s="11"/>
      <c r="BB4310" s="31" t="n">
        <f aca="false">SUM(Q4310,S4310,U4310,W4310,Y4310,AA4310,AC4310,AE4310,AG4310,AI4310,AK4310,AM4310,AO4310,AQ4310,AS4310,AU4310,AW4310,AY4310)</f>
        <v>0</v>
      </c>
      <c r="BC4310" s="28" t="n">
        <f aca="false">BA4310-BB4310</f>
        <v>0</v>
      </c>
      <c r="BD4310" s="32" t="n">
        <f aca="false">SUM(P4310,R4310,T4310,V4310,X4310,Z4310,AB4310,AD4310,AF4310,AH4310,AJ4310,AL4310,AN4310,AP4310,AR4310,AT4310,AV4310,AX4310)</f>
        <v>0</v>
      </c>
      <c r="BE4310" s="33" t="n">
        <f aca="false">AZ4310-BD4310</f>
        <v>0</v>
      </c>
      <c r="BF4310" s="34" t="n">
        <f aca="false">BD4310*M4310</f>
        <v>0</v>
      </c>
      <c r="BG4310" s="35" t="n">
        <f aca="false">BA4310-BF4310</f>
        <v>0</v>
      </c>
      <c r="BH4310" s="19" t="str">
        <f aca="false">IF(BG4310=0,"",IF(BG4310&lt;&gt;BA4310,"erreur de calcul",IF(BD4310&lt;&gt;0,"pas de prix",IF(M4310&lt;&gt; 0,"pas de quantité","pas de prix, ni de quantité"))))</f>
        <v/>
      </c>
      <c r="BI4310" s="19"/>
    </row>
    <row r="4311" customFormat="false" ht="15" hidden="false" customHeight="false" outlineLevel="0" collapsed="false">
      <c r="A4311" s="0" t="n">
        <v>20</v>
      </c>
      <c r="B4311" s="8" t="s">
        <v>24</v>
      </c>
      <c r="C4311" s="9" t="s">
        <v>25</v>
      </c>
      <c r="D4311" s="9" t="s">
        <v>26</v>
      </c>
      <c r="E4311" s="10" t="n">
        <v>1789</v>
      </c>
      <c r="F4311" s="9" t="s">
        <v>27</v>
      </c>
      <c r="G4311" s="9" t="s">
        <v>27</v>
      </c>
      <c r="H4311" s="11" t="n">
        <v>21</v>
      </c>
      <c r="I4311" s="11" t="s">
        <v>173</v>
      </c>
      <c r="J4311" s="14" t="n">
        <v>36</v>
      </c>
      <c r="K4311" s="14"/>
      <c r="L4311" s="16"/>
      <c r="M4311" s="27" t="n">
        <f aca="false">J4311+(K4311/20)+(L4311/240)</f>
        <v>36</v>
      </c>
      <c r="N4311" s="17" t="s">
        <v>64</v>
      </c>
      <c r="O4311" s="11"/>
      <c r="P4311" s="28"/>
      <c r="Q4311" s="28" t="n">
        <f aca="false">P4311*$M4311</f>
        <v>0</v>
      </c>
      <c r="R4311" s="28"/>
      <c r="S4311" s="28" t="n">
        <f aca="false">R4311*$M4311</f>
        <v>0</v>
      </c>
      <c r="T4311" s="28"/>
      <c r="U4311" s="28" t="n">
        <f aca="false">T4311*$M4311</f>
        <v>0</v>
      </c>
      <c r="V4311" s="28"/>
      <c r="W4311" s="28" t="n">
        <f aca="false">V4311*$M4311</f>
        <v>0</v>
      </c>
      <c r="X4311" s="28"/>
      <c r="Y4311" s="28" t="n">
        <f aca="false">X4311*$M4311</f>
        <v>0</v>
      </c>
      <c r="Z4311" s="28"/>
      <c r="AA4311" s="28" t="n">
        <f aca="false">Z4311*$M4311</f>
        <v>0</v>
      </c>
      <c r="AB4311" s="28" t="n">
        <f aca="false">80722/100</f>
        <v>807.22</v>
      </c>
      <c r="AC4311" s="28" t="n">
        <v>29060</v>
      </c>
      <c r="AD4311" s="28"/>
      <c r="AE4311" s="28" t="n">
        <f aca="false">AD4311*$M4311</f>
        <v>0</v>
      </c>
      <c r="AF4311" s="28"/>
      <c r="AG4311" s="28" t="n">
        <f aca="false">AF4311*$M4311</f>
        <v>0</v>
      </c>
      <c r="AH4311" s="28"/>
      <c r="AI4311" s="28" t="n">
        <f aca="false">AH4311*$M4311</f>
        <v>0</v>
      </c>
      <c r="AJ4311" s="28"/>
      <c r="AK4311" s="28" t="n">
        <f aca="false">AJ4311*$M4311</f>
        <v>0</v>
      </c>
      <c r="AL4311" s="28"/>
      <c r="AM4311" s="28" t="n">
        <f aca="false">AL4311*$M4311</f>
        <v>0</v>
      </c>
      <c r="AN4311" s="28"/>
      <c r="AO4311" s="28" t="n">
        <f aca="false">AN4311*$M4311</f>
        <v>0</v>
      </c>
      <c r="AP4311" s="28"/>
      <c r="AQ4311" s="28" t="n">
        <f aca="false">AP4311*$M4311</f>
        <v>0</v>
      </c>
      <c r="AR4311" s="28"/>
      <c r="AS4311" s="28" t="n">
        <f aca="false">AR4311*$M4311</f>
        <v>0</v>
      </c>
      <c r="AT4311" s="28"/>
      <c r="AU4311" s="28" t="n">
        <f aca="false">AT4311*$M4311</f>
        <v>0</v>
      </c>
      <c r="AV4311" s="28"/>
      <c r="AW4311" s="28" t="n">
        <f aca="false">AV4311*$M4311</f>
        <v>0</v>
      </c>
      <c r="AX4311" s="28"/>
      <c r="AY4311" s="28" t="n">
        <f aca="false">AX4311*$M4311</f>
        <v>0</v>
      </c>
      <c r="AZ4311" s="30" t="n">
        <f aca="false">80722/100</f>
        <v>807.22</v>
      </c>
      <c r="BA4311" s="11" t="n">
        <v>29060</v>
      </c>
      <c r="BB4311" s="31" t="n">
        <f aca="false">SUM(Q4311,S4311,U4311,W4311,Y4311,AA4311,AC4311,AE4311,AG4311,AI4311,AK4311,AM4311,AO4311,AQ4311,AS4311,AU4311,AW4311,AY4311)</f>
        <v>29060</v>
      </c>
      <c r="BC4311" s="28" t="n">
        <f aca="false">BA4311-BB4311</f>
        <v>0</v>
      </c>
      <c r="BD4311" s="32" t="n">
        <f aca="false">SUM(P4311,R4311,T4311,V4311,X4311,Z4311,AB4311,AD4311,AF4311,AH4311,AJ4311,AL4311,AN4311,AP4311,AR4311,AT4311,AV4311,AX4311)</f>
        <v>807.22</v>
      </c>
      <c r="BE4311" s="33" t="n">
        <f aca="false">AZ4311-BD4311</f>
        <v>0</v>
      </c>
      <c r="BF4311" s="34" t="n">
        <f aca="false">BD4311*M4311</f>
        <v>29059.92</v>
      </c>
      <c r="BG4311" s="35" t="n">
        <f aca="false">BA4311-BF4311</f>
        <v>0.0799999999981083</v>
      </c>
      <c r="BH4311" s="19" t="str">
        <f aca="false">IF(BG4311=0,"",IF(BG4311&lt;&gt;BA4311,"erreur de calcul",IF(BD4311&lt;&gt;0,"pas de prix",IF(M4311&lt;&gt; 0,"pas de quantité","pas de prix, ni de quantité"))))</f>
        <v>erreur de calcul</v>
      </c>
      <c r="BI4311" s="19"/>
    </row>
    <row r="4312" customFormat="false" ht="15" hidden="false" customHeight="false" outlineLevel="0" collapsed="false">
      <c r="A4312" s="0" t="n">
        <v>21</v>
      </c>
      <c r="B4312" s="8" t="s">
        <v>24</v>
      </c>
      <c r="C4312" s="9" t="s">
        <v>25</v>
      </c>
      <c r="D4312" s="9" t="s">
        <v>26</v>
      </c>
      <c r="E4312" s="10" t="n">
        <v>1789</v>
      </c>
      <c r="F4312" s="9" t="s">
        <v>27</v>
      </c>
      <c r="G4312" s="9" t="s">
        <v>27</v>
      </c>
      <c r="H4312" s="11" t="n">
        <v>21</v>
      </c>
      <c r="I4312" s="11" t="s">
        <v>174</v>
      </c>
      <c r="J4312" s="14" t="n">
        <v>31</v>
      </c>
      <c r="K4312" s="14"/>
      <c r="L4312" s="16"/>
      <c r="M4312" s="27" t="n">
        <f aca="false">J4312+(K4312/20)+(L4312/240)</f>
        <v>31</v>
      </c>
      <c r="N4312" s="17" t="s">
        <v>64</v>
      </c>
      <c r="O4312" s="11"/>
      <c r="P4312" s="28"/>
      <c r="Q4312" s="28" t="n">
        <f aca="false">P4312*$M4312</f>
        <v>0</v>
      </c>
      <c r="R4312" s="28"/>
      <c r="S4312" s="28" t="n">
        <f aca="false">R4312*$M4312</f>
        <v>0</v>
      </c>
      <c r="T4312" s="28"/>
      <c r="U4312" s="28" t="n">
        <f aca="false">T4312*$M4312</f>
        <v>0</v>
      </c>
      <c r="V4312" s="28"/>
      <c r="W4312" s="28" t="n">
        <f aca="false">V4312*$M4312</f>
        <v>0</v>
      </c>
      <c r="X4312" s="28"/>
      <c r="Y4312" s="28" t="n">
        <f aca="false">X4312*$M4312</f>
        <v>0</v>
      </c>
      <c r="Z4312" s="28"/>
      <c r="AA4312" s="28" t="n">
        <f aca="false">Z4312*$M4312</f>
        <v>0</v>
      </c>
      <c r="AB4312" s="28"/>
      <c r="AC4312" s="28" t="n">
        <f aca="false">AB4312*$M4312</f>
        <v>0</v>
      </c>
      <c r="AD4312" s="28"/>
      <c r="AE4312" s="28" t="n">
        <f aca="false">AD4312*$M4312</f>
        <v>0</v>
      </c>
      <c r="AF4312" s="28" t="n">
        <f aca="false">4599/100</f>
        <v>45.99</v>
      </c>
      <c r="AG4312" s="28" t="n">
        <v>1426</v>
      </c>
      <c r="AH4312" s="28" t="n">
        <f aca="false">12691/100</f>
        <v>126.91</v>
      </c>
      <c r="AI4312" s="28" t="n">
        <v>3934</v>
      </c>
      <c r="AJ4312" s="28"/>
      <c r="AK4312" s="28" t="n">
        <f aca="false">AJ4312*$M4312</f>
        <v>0</v>
      </c>
      <c r="AL4312" s="28"/>
      <c r="AM4312" s="28" t="n">
        <f aca="false">AL4312*$M4312</f>
        <v>0</v>
      </c>
      <c r="AN4312" s="28"/>
      <c r="AO4312" s="28" t="n">
        <f aca="false">AN4312*$M4312</f>
        <v>0</v>
      </c>
      <c r="AP4312" s="28"/>
      <c r="AQ4312" s="28" t="n">
        <f aca="false">AP4312*$M4312</f>
        <v>0</v>
      </c>
      <c r="AR4312" s="28"/>
      <c r="AS4312" s="28" t="n">
        <f aca="false">AR4312*$M4312</f>
        <v>0</v>
      </c>
      <c r="AT4312" s="28"/>
      <c r="AU4312" s="28" t="n">
        <f aca="false">AT4312*$M4312</f>
        <v>0</v>
      </c>
      <c r="AV4312" s="28"/>
      <c r="AW4312" s="28" t="n">
        <f aca="false">AV4312*$M4312</f>
        <v>0</v>
      </c>
      <c r="AX4312" s="28"/>
      <c r="AY4312" s="28" t="n">
        <f aca="false">AX4312*$M4312</f>
        <v>0</v>
      </c>
      <c r="AZ4312" s="30" t="n">
        <f aca="false">17290/100</f>
        <v>172.9</v>
      </c>
      <c r="BA4312" s="11" t="n">
        <v>5360</v>
      </c>
      <c r="BB4312" s="31" t="n">
        <f aca="false">SUM(Q4312,S4312,U4312,W4312,Y4312,AA4312,AC4312,AE4312,AG4312,AI4312,AK4312,AM4312,AO4312,AQ4312,AS4312,AU4312,AW4312,AY4312)</f>
        <v>5360</v>
      </c>
      <c r="BC4312" s="28" t="n">
        <f aca="false">BA4312-BB4312</f>
        <v>0</v>
      </c>
      <c r="BD4312" s="32" t="n">
        <f aca="false">SUM(P4312,R4312,T4312,V4312,X4312,Z4312,AB4312,AD4312,AF4312,AH4312,AJ4312,AL4312,AN4312,AP4312,AR4312,AT4312,AV4312,AX4312)</f>
        <v>172.9</v>
      </c>
      <c r="BE4312" s="33" t="n">
        <f aca="false">AZ4312-BD4312</f>
        <v>0</v>
      </c>
      <c r="BF4312" s="34" t="n">
        <f aca="false">BD4312*M4312</f>
        <v>5359.9</v>
      </c>
      <c r="BG4312" s="35" t="n">
        <f aca="false">BA4312-BF4312</f>
        <v>0.0999999999994543</v>
      </c>
      <c r="BH4312" s="19" t="str">
        <f aca="false">IF(BG4312=0,"",IF(BG4312&lt;&gt;BA4312,"erreur de calcul",IF(BD4312&lt;&gt;0,"pas de prix",IF(M4312&lt;&gt; 0,"pas de quantité","pas de prix, ni de quantité"))))</f>
        <v>erreur de calcul</v>
      </c>
      <c r="BI4312" s="19"/>
    </row>
    <row r="4313" customFormat="false" ht="15" hidden="false" customHeight="false" outlineLevel="0" collapsed="false">
      <c r="A4313" s="0" t="n">
        <v>22</v>
      </c>
      <c r="B4313" s="8" t="s">
        <v>24</v>
      </c>
      <c r="C4313" s="9" t="s">
        <v>25</v>
      </c>
      <c r="D4313" s="9" t="s">
        <v>26</v>
      </c>
      <c r="E4313" s="10" t="n">
        <v>1789</v>
      </c>
      <c r="F4313" s="9" t="s">
        <v>27</v>
      </c>
      <c r="G4313" s="9" t="s">
        <v>27</v>
      </c>
      <c r="H4313" s="11" t="n">
        <v>21</v>
      </c>
      <c r="I4313" s="11" t="s">
        <v>175</v>
      </c>
      <c r="J4313" s="14" t="n">
        <v>120</v>
      </c>
      <c r="K4313" s="14"/>
      <c r="L4313" s="16"/>
      <c r="M4313" s="27" t="n">
        <f aca="false">J4313+(K4313/20)+(L4313/240)</f>
        <v>120</v>
      </c>
      <c r="N4313" s="17" t="s">
        <v>64</v>
      </c>
      <c r="O4313" s="11"/>
      <c r="P4313" s="28"/>
      <c r="Q4313" s="28" t="n">
        <f aca="false">P4313*$M4313</f>
        <v>0</v>
      </c>
      <c r="R4313" s="28"/>
      <c r="S4313" s="28" t="n">
        <f aca="false">R4313*$M4313</f>
        <v>0</v>
      </c>
      <c r="T4313" s="28"/>
      <c r="U4313" s="28" t="n">
        <f aca="false">T4313*$M4313</f>
        <v>0</v>
      </c>
      <c r="V4313" s="28" t="n">
        <f aca="false">2364/100</f>
        <v>23.64</v>
      </c>
      <c r="W4313" s="28" t="n">
        <v>2837</v>
      </c>
      <c r="X4313" s="28"/>
      <c r="Y4313" s="28" t="n">
        <f aca="false">X4313*$M4313</f>
        <v>0</v>
      </c>
      <c r="Z4313" s="28"/>
      <c r="AA4313" s="28" t="n">
        <f aca="false">Z4313*$M4313</f>
        <v>0</v>
      </c>
      <c r="AB4313" s="28"/>
      <c r="AC4313" s="28" t="n">
        <f aca="false">AB4313*$M4313</f>
        <v>0</v>
      </c>
      <c r="AD4313" s="28"/>
      <c r="AE4313" s="28" t="n">
        <f aca="false">AD4313*$M4313</f>
        <v>0</v>
      </c>
      <c r="AF4313" s="28"/>
      <c r="AG4313" s="28" t="n">
        <f aca="false">AF4313*$M4313</f>
        <v>0</v>
      </c>
      <c r="AH4313" s="28"/>
      <c r="AI4313" s="28" t="n">
        <f aca="false">AH4313*$M4313</f>
        <v>0</v>
      </c>
      <c r="AJ4313" s="28"/>
      <c r="AK4313" s="28" t="n">
        <f aca="false">AJ4313*$M4313</f>
        <v>0</v>
      </c>
      <c r="AL4313" s="28"/>
      <c r="AM4313" s="28" t="n">
        <f aca="false">AL4313*$M4313</f>
        <v>0</v>
      </c>
      <c r="AN4313" s="28"/>
      <c r="AO4313" s="28" t="n">
        <f aca="false">AN4313*$M4313</f>
        <v>0</v>
      </c>
      <c r="AP4313" s="28"/>
      <c r="AQ4313" s="28" t="n">
        <f aca="false">AP4313*$M4313</f>
        <v>0</v>
      </c>
      <c r="AR4313" s="28"/>
      <c r="AS4313" s="28" t="n">
        <f aca="false">AR4313*$M4313</f>
        <v>0</v>
      </c>
      <c r="AT4313" s="28"/>
      <c r="AU4313" s="28" t="n">
        <f aca="false">AT4313*$M4313</f>
        <v>0</v>
      </c>
      <c r="AV4313" s="28"/>
      <c r="AW4313" s="28" t="n">
        <f aca="false">AV4313*$M4313</f>
        <v>0</v>
      </c>
      <c r="AX4313" s="28"/>
      <c r="AY4313" s="28" t="n">
        <f aca="false">AX4313*$M4313</f>
        <v>0</v>
      </c>
      <c r="AZ4313" s="30" t="n">
        <f aca="false">2364/100</f>
        <v>23.64</v>
      </c>
      <c r="BA4313" s="11" t="n">
        <v>2837</v>
      </c>
      <c r="BB4313" s="31" t="n">
        <f aca="false">SUM(Q4313,S4313,U4313,W4313,Y4313,AA4313,AC4313,AE4313,AG4313,AI4313,AK4313,AM4313,AO4313,AQ4313,AS4313,AU4313,AW4313,AY4313)</f>
        <v>2837</v>
      </c>
      <c r="BC4313" s="28" t="n">
        <f aca="false">BA4313-BB4313</f>
        <v>0</v>
      </c>
      <c r="BD4313" s="32" t="n">
        <f aca="false">SUM(P4313,R4313,T4313,V4313,X4313,Z4313,AB4313,AD4313,AF4313,AH4313,AJ4313,AL4313,AN4313,AP4313,AR4313,AT4313,AV4313,AX4313)</f>
        <v>23.64</v>
      </c>
      <c r="BE4313" s="33" t="n">
        <f aca="false">AZ4313-BD4313</f>
        <v>0</v>
      </c>
      <c r="BF4313" s="34" t="n">
        <f aca="false">BD4313*M4313</f>
        <v>2836.8</v>
      </c>
      <c r="BG4313" s="35" t="n">
        <f aca="false">BA4313-BF4313</f>
        <v>0.199999999999818</v>
      </c>
      <c r="BH4313" s="19" t="str">
        <f aca="false">IF(BG4313=0,"",IF(BG4313&lt;&gt;BA4313,"erreur de calcul",IF(BD4313&lt;&gt;0,"pas de prix",IF(M4313&lt;&gt; 0,"pas de quantité","pas de prix, ni de quantité"))))</f>
        <v>erreur de calcul</v>
      </c>
      <c r="BI4313" s="19"/>
    </row>
    <row r="4314" customFormat="false" ht="15" hidden="false" customHeight="false" outlineLevel="0" collapsed="false">
      <c r="A4314" s="0" t="n">
        <v>23</v>
      </c>
      <c r="B4314" s="8" t="s">
        <v>24</v>
      </c>
      <c r="C4314" s="9" t="s">
        <v>25</v>
      </c>
      <c r="D4314" s="9" t="s">
        <v>26</v>
      </c>
      <c r="E4314" s="10" t="n">
        <v>1789</v>
      </c>
      <c r="F4314" s="9" t="s">
        <v>27</v>
      </c>
      <c r="G4314" s="9" t="s">
        <v>27</v>
      </c>
      <c r="H4314" s="11" t="n">
        <v>21</v>
      </c>
      <c r="I4314" s="11" t="s">
        <v>176</v>
      </c>
      <c r="J4314" s="14" t="n">
        <v>170</v>
      </c>
      <c r="K4314" s="14"/>
      <c r="L4314" s="16"/>
      <c r="M4314" s="27" t="n">
        <f aca="false">J4314+(K4314/20)+(L4314/240)</f>
        <v>170</v>
      </c>
      <c r="N4314" s="17" t="s">
        <v>64</v>
      </c>
      <c r="O4314" s="11"/>
      <c r="P4314" s="28" t="n">
        <f aca="false">9760/100</f>
        <v>97.6</v>
      </c>
      <c r="Q4314" s="28" t="n">
        <v>16592</v>
      </c>
      <c r="R4314" s="28"/>
      <c r="S4314" s="28" t="n">
        <f aca="false">R4314*$M4314</f>
        <v>0</v>
      </c>
      <c r="T4314" s="28"/>
      <c r="U4314" s="28" t="n">
        <f aca="false">T4314*$M4314</f>
        <v>0</v>
      </c>
      <c r="V4314" s="28"/>
      <c r="W4314" s="28" t="n">
        <f aca="false">V4314*$M4314</f>
        <v>0</v>
      </c>
      <c r="X4314" s="28" t="n">
        <f aca="false">1589/100</f>
        <v>15.89</v>
      </c>
      <c r="Y4314" s="28" t="n">
        <v>2701</v>
      </c>
      <c r="Z4314" s="28"/>
      <c r="AA4314" s="28" t="n">
        <f aca="false">Z4314*$M4314</f>
        <v>0</v>
      </c>
      <c r="AB4314" s="28"/>
      <c r="AC4314" s="28" t="n">
        <f aca="false">AB4314*$M4314</f>
        <v>0</v>
      </c>
      <c r="AD4314" s="28"/>
      <c r="AE4314" s="28" t="n">
        <f aca="false">AD4314*$M4314</f>
        <v>0</v>
      </c>
      <c r="AF4314" s="28"/>
      <c r="AG4314" s="28" t="n">
        <f aca="false">AF4314*$M4314</f>
        <v>0</v>
      </c>
      <c r="AH4314" s="28"/>
      <c r="AI4314" s="28" t="n">
        <f aca="false">AH4314*$M4314</f>
        <v>0</v>
      </c>
      <c r="AJ4314" s="28"/>
      <c r="AK4314" s="28" t="n">
        <f aca="false">AJ4314*$M4314</f>
        <v>0</v>
      </c>
      <c r="AL4314" s="28"/>
      <c r="AM4314" s="28" t="n">
        <f aca="false">AL4314*$M4314</f>
        <v>0</v>
      </c>
      <c r="AN4314" s="28"/>
      <c r="AO4314" s="28" t="n">
        <f aca="false">AN4314*$M4314</f>
        <v>0</v>
      </c>
      <c r="AP4314" s="28"/>
      <c r="AQ4314" s="28" t="n">
        <f aca="false">AP4314*$M4314</f>
        <v>0</v>
      </c>
      <c r="AR4314" s="28"/>
      <c r="AS4314" s="28" t="n">
        <f aca="false">AR4314*$M4314</f>
        <v>0</v>
      </c>
      <c r="AT4314" s="28"/>
      <c r="AU4314" s="28" t="n">
        <f aca="false">AT4314*$M4314</f>
        <v>0</v>
      </c>
      <c r="AV4314" s="28"/>
      <c r="AW4314" s="28" t="n">
        <f aca="false">AV4314*$M4314</f>
        <v>0</v>
      </c>
      <c r="AX4314" s="28"/>
      <c r="AY4314" s="28" t="n">
        <f aca="false">AX4314*$M4314</f>
        <v>0</v>
      </c>
      <c r="AZ4314" s="30" t="n">
        <f aca="false">11349/100</f>
        <v>113.49</v>
      </c>
      <c r="BA4314" s="11" t="n">
        <v>19293</v>
      </c>
      <c r="BB4314" s="31" t="n">
        <f aca="false">SUM(Q4314,S4314,U4314,W4314,Y4314,AA4314,AC4314,AE4314,AG4314,AI4314,AK4314,AM4314,AO4314,AQ4314,AS4314,AU4314,AW4314,AY4314)</f>
        <v>19293</v>
      </c>
      <c r="BC4314" s="28" t="n">
        <f aca="false">BA4314-BB4314</f>
        <v>0</v>
      </c>
      <c r="BD4314" s="32" t="n">
        <f aca="false">SUM(P4314,R4314,T4314,V4314,X4314,Z4314,AB4314,AD4314,AF4314,AH4314,AJ4314,AL4314,AN4314,AP4314,AR4314,AT4314,AV4314,AX4314)</f>
        <v>113.49</v>
      </c>
      <c r="BE4314" s="33" t="n">
        <f aca="false">AZ4314-BD4314</f>
        <v>0</v>
      </c>
      <c r="BF4314" s="34" t="n">
        <f aca="false">BD4314*M4314</f>
        <v>19293.3</v>
      </c>
      <c r="BG4314" s="35" t="n">
        <f aca="false">BA4314-BF4314</f>
        <v>-0.299999999999272</v>
      </c>
      <c r="BH4314" s="19" t="str">
        <f aca="false">IF(BG4314=0,"",IF(BG4314&lt;&gt;BA4314,"erreur de calcul",IF(BD4314&lt;&gt;0,"pas de prix",IF(M4314&lt;&gt; 0,"pas de quantité","pas de prix, ni de quantité"))))</f>
        <v>erreur de calcul</v>
      </c>
      <c r="BI4314" s="19"/>
    </row>
    <row r="4315" customFormat="false" ht="15" hidden="false" customHeight="false" outlineLevel="0" collapsed="false">
      <c r="A4315" s="0" t="n">
        <v>24</v>
      </c>
      <c r="B4315" s="8" t="s">
        <v>24</v>
      </c>
      <c r="C4315" s="9" t="s">
        <v>25</v>
      </c>
      <c r="D4315" s="9" t="s">
        <v>26</v>
      </c>
      <c r="E4315" s="10" t="n">
        <v>1789</v>
      </c>
      <c r="F4315" s="9" t="s">
        <v>27</v>
      </c>
      <c r="G4315" s="9" t="s">
        <v>27</v>
      </c>
      <c r="H4315" s="11" t="n">
        <v>21</v>
      </c>
      <c r="I4315" s="11" t="s">
        <v>177</v>
      </c>
      <c r="J4315" s="14" t="n">
        <v>9</v>
      </c>
      <c r="K4315" s="14"/>
      <c r="L4315" s="16"/>
      <c r="M4315" s="27" t="n">
        <f aca="false">J4315+(K4315/20)+(L4315/240)</f>
        <v>9</v>
      </c>
      <c r="N4315" s="17" t="s">
        <v>66</v>
      </c>
      <c r="O4315" s="11"/>
      <c r="P4315" s="28"/>
      <c r="Q4315" s="28" t="n">
        <f aca="false">P4315*$M4315</f>
        <v>0</v>
      </c>
      <c r="R4315" s="28" t="n">
        <v>349</v>
      </c>
      <c r="S4315" s="28" t="n">
        <v>3141</v>
      </c>
      <c r="T4315" s="28"/>
      <c r="U4315" s="28" t="n">
        <f aca="false">T4315*$M4315</f>
        <v>0</v>
      </c>
      <c r="V4315" s="28" t="n">
        <v>315</v>
      </c>
      <c r="W4315" s="28" t="n">
        <v>2835</v>
      </c>
      <c r="X4315" s="28" t="n">
        <v>733</v>
      </c>
      <c r="Y4315" s="28" t="n">
        <v>6597</v>
      </c>
      <c r="Z4315" s="28"/>
      <c r="AA4315" s="28" t="n">
        <f aca="false">Z4315*$M4315</f>
        <v>0</v>
      </c>
      <c r="AB4315" s="28" t="n">
        <v>162</v>
      </c>
      <c r="AC4315" s="28" t="n">
        <v>1458</v>
      </c>
      <c r="AD4315" s="28"/>
      <c r="AE4315" s="28" t="n">
        <f aca="false">AD4315*$M4315</f>
        <v>0</v>
      </c>
      <c r="AF4315" s="28"/>
      <c r="AG4315" s="28" t="n">
        <f aca="false">AF4315*$M4315</f>
        <v>0</v>
      </c>
      <c r="AH4315" s="28"/>
      <c r="AI4315" s="28" t="n">
        <f aca="false">AH4315*$M4315</f>
        <v>0</v>
      </c>
      <c r="AJ4315" s="28"/>
      <c r="AK4315" s="28" t="n">
        <f aca="false">AJ4315*$M4315</f>
        <v>0</v>
      </c>
      <c r="AL4315" s="28"/>
      <c r="AM4315" s="28" t="n">
        <f aca="false">AL4315*$M4315</f>
        <v>0</v>
      </c>
      <c r="AN4315" s="28"/>
      <c r="AO4315" s="28" t="n">
        <f aca="false">AN4315*$M4315</f>
        <v>0</v>
      </c>
      <c r="AP4315" s="28"/>
      <c r="AQ4315" s="28" t="n">
        <f aca="false">AP4315*$M4315</f>
        <v>0</v>
      </c>
      <c r="AR4315" s="28"/>
      <c r="AS4315" s="28" t="n">
        <f aca="false">AR4315*$M4315</f>
        <v>0</v>
      </c>
      <c r="AT4315" s="28"/>
      <c r="AU4315" s="28" t="n">
        <f aca="false">AT4315*$M4315</f>
        <v>0</v>
      </c>
      <c r="AV4315" s="28"/>
      <c r="AW4315" s="28" t="n">
        <f aca="false">AV4315*$M4315</f>
        <v>0</v>
      </c>
      <c r="AX4315" s="28"/>
      <c r="AY4315" s="28" t="n">
        <f aca="false">AX4315*$M4315</f>
        <v>0</v>
      </c>
      <c r="AZ4315" s="30" t="n">
        <f aca="false">1559</f>
        <v>1559</v>
      </c>
      <c r="BA4315" s="11" t="n">
        <v>14031</v>
      </c>
      <c r="BB4315" s="31" t="n">
        <f aca="false">SUM(Q4315,S4315,U4315,W4315,Y4315,AA4315,AC4315,AE4315,AG4315,AI4315,AK4315,AM4315,AO4315,AQ4315,AS4315,AU4315,AW4315,AY4315)</f>
        <v>14031</v>
      </c>
      <c r="BC4315" s="28" t="n">
        <f aca="false">BA4315-BB4315</f>
        <v>0</v>
      </c>
      <c r="BD4315" s="32" t="n">
        <f aca="false">SUM(P4315,R4315,T4315,V4315,X4315,Z4315,AB4315,AD4315,AF4315,AH4315,AJ4315,AL4315,AN4315,AP4315,AR4315,AT4315,AV4315,AX4315)</f>
        <v>1559</v>
      </c>
      <c r="BE4315" s="33" t="n">
        <f aca="false">AZ4315-BD4315</f>
        <v>0</v>
      </c>
      <c r="BF4315" s="34" t="n">
        <f aca="false">BD4315*M4315</f>
        <v>14031</v>
      </c>
      <c r="BG4315" s="35" t="n">
        <f aca="false">BA4315-BF4315</f>
        <v>0</v>
      </c>
      <c r="BH4315" s="19" t="str">
        <f aca="false">IF(BG4315=0,"",IF(BG4315&lt;&gt;BA4315,"erreur de calcul",IF(BD4315&lt;&gt;0,"pas de prix",IF(M4315&lt;&gt; 0,"pas de quantité","pas de prix, ni de quantité"))))</f>
        <v/>
      </c>
      <c r="BI4315" s="19"/>
    </row>
    <row r="4316" customFormat="false" ht="15" hidden="false" customHeight="false" outlineLevel="0" collapsed="false">
      <c r="A4316" s="0" t="n">
        <v>25</v>
      </c>
      <c r="B4316" s="8" t="s">
        <v>24</v>
      </c>
      <c r="C4316" s="9" t="s">
        <v>25</v>
      </c>
      <c r="D4316" s="9" t="s">
        <v>26</v>
      </c>
      <c r="E4316" s="10" t="n">
        <v>1789</v>
      </c>
      <c r="F4316" s="9" t="s">
        <v>27</v>
      </c>
      <c r="G4316" s="9" t="s">
        <v>27</v>
      </c>
      <c r="H4316" s="11" t="n">
        <v>21</v>
      </c>
      <c r="I4316" s="11" t="s">
        <v>178</v>
      </c>
      <c r="J4316" s="14" t="n">
        <v>125</v>
      </c>
      <c r="K4316" s="14"/>
      <c r="L4316" s="16"/>
      <c r="M4316" s="27" t="n">
        <f aca="false">J4316+(K4316/20)+(L4316/240)</f>
        <v>125</v>
      </c>
      <c r="N4316" s="17" t="s">
        <v>64</v>
      </c>
      <c r="O4316" s="11"/>
      <c r="P4316" s="28"/>
      <c r="Q4316" s="28" t="n">
        <f aca="false">P4316*$M4316</f>
        <v>0</v>
      </c>
      <c r="R4316" s="28"/>
      <c r="S4316" s="28" t="n">
        <f aca="false">R4316*$M4316</f>
        <v>0</v>
      </c>
      <c r="T4316" s="28"/>
      <c r="U4316" s="28" t="n">
        <f aca="false">T4316*$M4316</f>
        <v>0</v>
      </c>
      <c r="V4316" s="28" t="n">
        <f aca="false">10764/100</f>
        <v>107.64</v>
      </c>
      <c r="W4316" s="28" t="n">
        <v>13455</v>
      </c>
      <c r="X4316" s="28" t="n">
        <f aca="false">13215/100</f>
        <v>132.15</v>
      </c>
      <c r="Y4316" s="28" t="n">
        <v>16519</v>
      </c>
      <c r="Z4316" s="28"/>
      <c r="AA4316" s="28" t="n">
        <f aca="false">Z4316*$M4316</f>
        <v>0</v>
      </c>
      <c r="AB4316" s="28" t="n">
        <f aca="false">188461/100</f>
        <v>1884.61</v>
      </c>
      <c r="AC4316" s="28" t="n">
        <v>235576</v>
      </c>
      <c r="AD4316" s="28"/>
      <c r="AE4316" s="28" t="n">
        <f aca="false">AD4316*$M4316</f>
        <v>0</v>
      </c>
      <c r="AF4316" s="28"/>
      <c r="AG4316" s="28" t="n">
        <f aca="false">AF4316*$M4316</f>
        <v>0</v>
      </c>
      <c r="AH4316" s="28"/>
      <c r="AI4316" s="28" t="n">
        <f aca="false">AH4316*$M4316</f>
        <v>0</v>
      </c>
      <c r="AJ4316" s="28"/>
      <c r="AK4316" s="28" t="n">
        <f aca="false">AJ4316*$M4316</f>
        <v>0</v>
      </c>
      <c r="AL4316" s="28"/>
      <c r="AM4316" s="28" t="n">
        <f aca="false">AL4316*$M4316</f>
        <v>0</v>
      </c>
      <c r="AN4316" s="28"/>
      <c r="AO4316" s="28" t="n">
        <f aca="false">AN4316*$M4316</f>
        <v>0</v>
      </c>
      <c r="AP4316" s="28"/>
      <c r="AQ4316" s="28" t="n">
        <f aca="false">AP4316*$M4316</f>
        <v>0</v>
      </c>
      <c r="AR4316" s="28"/>
      <c r="AS4316" s="28" t="n">
        <f aca="false">AR4316*$M4316</f>
        <v>0</v>
      </c>
      <c r="AT4316" s="28"/>
      <c r="AU4316" s="28" t="n">
        <f aca="false">AT4316*$M4316</f>
        <v>0</v>
      </c>
      <c r="AV4316" s="28"/>
      <c r="AW4316" s="28" t="n">
        <f aca="false">AV4316*$M4316</f>
        <v>0</v>
      </c>
      <c r="AX4316" s="28"/>
      <c r="AY4316" s="28" t="n">
        <f aca="false">AX4316*$M4316</f>
        <v>0</v>
      </c>
      <c r="AZ4316" s="30" t="n">
        <f aca="false">212440/100</f>
        <v>2124.4</v>
      </c>
      <c r="BA4316" s="11" t="n">
        <v>265550</v>
      </c>
      <c r="BB4316" s="31" t="n">
        <f aca="false">SUM(Q4316,S4316,U4316,W4316,Y4316,AA4316,AC4316,AE4316,AG4316,AI4316,AK4316,AM4316,AO4316,AQ4316,AS4316,AU4316,AW4316,AY4316)</f>
        <v>265550</v>
      </c>
      <c r="BC4316" s="28" t="n">
        <f aca="false">BA4316-BB4316</f>
        <v>0</v>
      </c>
      <c r="BD4316" s="32" t="n">
        <f aca="false">SUM(P4316,R4316,T4316,V4316,X4316,Z4316,AB4316,AD4316,AF4316,AH4316,AJ4316,AL4316,AN4316,AP4316,AR4316,AT4316,AV4316,AX4316)</f>
        <v>2124.4</v>
      </c>
      <c r="BE4316" s="33" t="n">
        <f aca="false">AZ4316-BD4316</f>
        <v>0</v>
      </c>
      <c r="BF4316" s="34" t="n">
        <f aca="false">BD4316*M4316</f>
        <v>265550</v>
      </c>
      <c r="BG4316" s="35" t="n">
        <f aca="false">BA4316-BF4316</f>
        <v>0</v>
      </c>
      <c r="BH4316" s="19" t="str">
        <f aca="false">IF(BG4316=0,"",IF(BG4316&lt;&gt;BA4316,"erreur de calcul",IF(BD4316&lt;&gt;0,"pas de prix",IF(M4316&lt;&gt; 0,"pas de quantité","pas de prix, ni de quantité"))))</f>
        <v/>
      </c>
      <c r="BI4316" s="19"/>
    </row>
    <row r="4317" customFormat="false" ht="15" hidden="false" customHeight="false" outlineLevel="0" collapsed="false">
      <c r="A4317" s="0" t="n">
        <v>26</v>
      </c>
      <c r="B4317" s="8" t="s">
        <v>24</v>
      </c>
      <c r="C4317" s="9" t="s">
        <v>25</v>
      </c>
      <c r="D4317" s="9" t="s">
        <v>26</v>
      </c>
      <c r="E4317" s="10" t="n">
        <v>1789</v>
      </c>
      <c r="F4317" s="9" t="s">
        <v>27</v>
      </c>
      <c r="G4317" s="9" t="s">
        <v>27</v>
      </c>
      <c r="H4317" s="11" t="n">
        <v>21</v>
      </c>
      <c r="I4317" s="11" t="s">
        <v>179</v>
      </c>
      <c r="J4317" s="14" t="n">
        <v>7</v>
      </c>
      <c r="K4317" s="14"/>
      <c r="L4317" s="16"/>
      <c r="M4317" s="27" t="n">
        <f aca="false">J4317+(K4317/20)+(L4317/240)</f>
        <v>7</v>
      </c>
      <c r="N4317" s="17" t="s">
        <v>66</v>
      </c>
      <c r="O4317" s="11"/>
      <c r="P4317" s="28" t="n">
        <v>8441</v>
      </c>
      <c r="Q4317" s="28" t="n">
        <v>59087</v>
      </c>
      <c r="R4317" s="28"/>
      <c r="S4317" s="28" t="n">
        <f aca="false">R4317*$M4317</f>
        <v>0</v>
      </c>
      <c r="T4317" s="28"/>
      <c r="U4317" s="28" t="n">
        <f aca="false">T4317*$M4317</f>
        <v>0</v>
      </c>
      <c r="V4317" s="28"/>
      <c r="W4317" s="28" t="n">
        <f aca="false">V4317*$M4317</f>
        <v>0</v>
      </c>
      <c r="X4317" s="28"/>
      <c r="Y4317" s="28" t="n">
        <f aca="false">X4317*$M4317</f>
        <v>0</v>
      </c>
      <c r="Z4317" s="28" t="n">
        <v>357</v>
      </c>
      <c r="AA4317" s="28" t="n">
        <v>2499</v>
      </c>
      <c r="AB4317" s="28"/>
      <c r="AC4317" s="28" t="n">
        <f aca="false">AB4317*$M4317</f>
        <v>0</v>
      </c>
      <c r="AD4317" s="28"/>
      <c r="AE4317" s="28" t="n">
        <f aca="false">AD4317*$M4317</f>
        <v>0</v>
      </c>
      <c r="AF4317" s="28"/>
      <c r="AG4317" s="28" t="n">
        <f aca="false">AF4317*$M4317</f>
        <v>0</v>
      </c>
      <c r="AH4317" s="28"/>
      <c r="AI4317" s="28" t="n">
        <f aca="false">AH4317*$M4317</f>
        <v>0</v>
      </c>
      <c r="AJ4317" s="28"/>
      <c r="AK4317" s="28" t="n">
        <f aca="false">AJ4317*$M4317</f>
        <v>0</v>
      </c>
      <c r="AL4317" s="28"/>
      <c r="AM4317" s="28" t="n">
        <f aca="false">AL4317*$M4317</f>
        <v>0</v>
      </c>
      <c r="AN4317" s="28"/>
      <c r="AO4317" s="28" t="n">
        <f aca="false">AN4317*$M4317</f>
        <v>0</v>
      </c>
      <c r="AP4317" s="28"/>
      <c r="AQ4317" s="28" t="n">
        <f aca="false">AP4317*$M4317</f>
        <v>0</v>
      </c>
      <c r="AR4317" s="28"/>
      <c r="AS4317" s="28" t="n">
        <f aca="false">AR4317*$M4317</f>
        <v>0</v>
      </c>
      <c r="AT4317" s="28"/>
      <c r="AU4317" s="28" t="n">
        <f aca="false">AT4317*$M4317</f>
        <v>0</v>
      </c>
      <c r="AV4317" s="28"/>
      <c r="AW4317" s="28" t="n">
        <f aca="false">AV4317*$M4317</f>
        <v>0</v>
      </c>
      <c r="AX4317" s="28"/>
      <c r="AY4317" s="28" t="n">
        <f aca="false">AX4317*$M4317</f>
        <v>0</v>
      </c>
      <c r="AZ4317" s="30" t="n">
        <v>8798</v>
      </c>
      <c r="BA4317" s="11" t="n">
        <v>61586</v>
      </c>
      <c r="BB4317" s="31" t="n">
        <f aca="false">SUM(Q4317,S4317,U4317,W4317,Y4317,AA4317,AC4317,AE4317,AG4317,AI4317,AK4317,AM4317,AO4317,AQ4317,AS4317,AU4317,AW4317,AY4317)</f>
        <v>61586</v>
      </c>
      <c r="BC4317" s="28" t="n">
        <f aca="false">BA4317-BB4317</f>
        <v>0</v>
      </c>
      <c r="BD4317" s="32" t="n">
        <f aca="false">SUM(P4317,R4317,T4317,V4317,X4317,Z4317,AB4317,AD4317,AF4317,AH4317,AJ4317,AL4317,AN4317,AP4317,AR4317,AT4317,AV4317,AX4317)</f>
        <v>8798</v>
      </c>
      <c r="BE4317" s="33" t="n">
        <f aca="false">AZ4317-BD4317</f>
        <v>0</v>
      </c>
      <c r="BF4317" s="34" t="n">
        <f aca="false">BD4317*M4317</f>
        <v>61586</v>
      </c>
      <c r="BG4317" s="35" t="n">
        <f aca="false">BA4317-BF4317</f>
        <v>0</v>
      </c>
      <c r="BH4317" s="19" t="str">
        <f aca="false">IF(BG4317=0,"",IF(BG4317&lt;&gt;BA4317,"erreur de calcul",IF(BD4317&lt;&gt;0,"pas de prix",IF(M4317&lt;&gt; 0,"pas de quantité","pas de prix, ni de quantité"))))</f>
        <v/>
      </c>
      <c r="BI4317" s="19"/>
    </row>
    <row r="4318" customFormat="false" ht="15" hidden="false" customHeight="false" outlineLevel="0" collapsed="false">
      <c r="A4318" s="0" t="n">
        <v>27</v>
      </c>
      <c r="B4318" s="8" t="s">
        <v>24</v>
      </c>
      <c r="C4318" s="9" t="s">
        <v>25</v>
      </c>
      <c r="D4318" s="9" t="s">
        <v>26</v>
      </c>
      <c r="E4318" s="10" t="n">
        <v>1789</v>
      </c>
      <c r="F4318" s="9" t="s">
        <v>27</v>
      </c>
      <c r="G4318" s="9" t="s">
        <v>27</v>
      </c>
      <c r="H4318" s="11" t="n">
        <v>21</v>
      </c>
      <c r="I4318" s="11" t="s">
        <v>180</v>
      </c>
      <c r="J4318" s="14" t="n">
        <v>9</v>
      </c>
      <c r="K4318" s="14"/>
      <c r="L4318" s="16"/>
      <c r="M4318" s="27" t="n">
        <f aca="false">J4318+(K4318/20)+(L4318/240)</f>
        <v>9</v>
      </c>
      <c r="N4318" s="17" t="s">
        <v>64</v>
      </c>
      <c r="O4318" s="11"/>
      <c r="P4318" s="28" t="n">
        <f aca="false">22662/100</f>
        <v>226.62</v>
      </c>
      <c r="Q4318" s="28" t="n">
        <v>2039</v>
      </c>
      <c r="R4318" s="28"/>
      <c r="S4318" s="28" t="n">
        <f aca="false">R4318*$M4318</f>
        <v>0</v>
      </c>
      <c r="T4318" s="28"/>
      <c r="U4318" s="28" t="n">
        <f aca="false">T4318*$M4318</f>
        <v>0</v>
      </c>
      <c r="V4318" s="28"/>
      <c r="W4318" s="28" t="n">
        <f aca="false">V4318*$M4318</f>
        <v>0</v>
      </c>
      <c r="X4318" s="28"/>
      <c r="Y4318" s="28" t="n">
        <f aca="false">X4318*$M4318</f>
        <v>0</v>
      </c>
      <c r="Z4318" s="28"/>
      <c r="AA4318" s="28" t="n">
        <f aca="false">Z4318*$M4318</f>
        <v>0</v>
      </c>
      <c r="AB4318" s="28"/>
      <c r="AC4318" s="28" t="n">
        <f aca="false">AB4318*$M4318</f>
        <v>0</v>
      </c>
      <c r="AD4318" s="28"/>
      <c r="AE4318" s="28" t="n">
        <f aca="false">AD4318*$M4318</f>
        <v>0</v>
      </c>
      <c r="AF4318" s="28"/>
      <c r="AG4318" s="28" t="n">
        <f aca="false">AF4318*$M4318</f>
        <v>0</v>
      </c>
      <c r="AH4318" s="28"/>
      <c r="AI4318" s="28" t="n">
        <f aca="false">AH4318*$M4318</f>
        <v>0</v>
      </c>
      <c r="AJ4318" s="28"/>
      <c r="AK4318" s="28" t="n">
        <f aca="false">AJ4318*$M4318</f>
        <v>0</v>
      </c>
      <c r="AL4318" s="28"/>
      <c r="AM4318" s="28" t="n">
        <f aca="false">AL4318*$M4318</f>
        <v>0</v>
      </c>
      <c r="AN4318" s="28"/>
      <c r="AO4318" s="28" t="n">
        <f aca="false">AN4318*$M4318</f>
        <v>0</v>
      </c>
      <c r="AP4318" s="28"/>
      <c r="AQ4318" s="28" t="n">
        <f aca="false">AP4318*$M4318</f>
        <v>0</v>
      </c>
      <c r="AR4318" s="28"/>
      <c r="AS4318" s="28" t="n">
        <f aca="false">AR4318*$M4318</f>
        <v>0</v>
      </c>
      <c r="AT4318" s="28"/>
      <c r="AU4318" s="28" t="n">
        <f aca="false">AT4318*$M4318</f>
        <v>0</v>
      </c>
      <c r="AV4318" s="28"/>
      <c r="AW4318" s="28" t="n">
        <f aca="false">AV4318*$M4318</f>
        <v>0</v>
      </c>
      <c r="AX4318" s="28"/>
      <c r="AY4318" s="28" t="n">
        <f aca="false">AX4318*$M4318</f>
        <v>0</v>
      </c>
      <c r="AZ4318" s="30" t="n">
        <f aca="false">22662/100</f>
        <v>226.62</v>
      </c>
      <c r="BA4318" s="11" t="n">
        <v>2039</v>
      </c>
      <c r="BB4318" s="31" t="n">
        <f aca="false">SUM(Q4318,S4318,U4318,W4318,Y4318,AA4318,AC4318,AE4318,AG4318,AI4318,AK4318,AM4318,AO4318,AQ4318,AS4318,AU4318,AW4318,AY4318)</f>
        <v>2039</v>
      </c>
      <c r="BC4318" s="28" t="n">
        <f aca="false">BA4318-BB4318</f>
        <v>0</v>
      </c>
      <c r="BD4318" s="32" t="n">
        <f aca="false">SUM(P4318,R4318,T4318,V4318,X4318,Z4318,AB4318,AD4318,AF4318,AH4318,AJ4318,AL4318,AN4318,AP4318,AR4318,AT4318,AV4318,AX4318)</f>
        <v>226.62</v>
      </c>
      <c r="BE4318" s="33" t="n">
        <f aca="false">AZ4318-BD4318</f>
        <v>0</v>
      </c>
      <c r="BF4318" s="34" t="n">
        <f aca="false">BD4318*M4318</f>
        <v>2039.58</v>
      </c>
      <c r="BG4318" s="35" t="n">
        <f aca="false">BA4318-BF4318</f>
        <v>-0.579999999999927</v>
      </c>
      <c r="BH4318" s="19" t="str">
        <f aca="false">IF(BG4318=0,"",IF(BG4318&lt;&gt;BA4318,"erreur de calcul",IF(BD4318&lt;&gt;0,"pas de prix",IF(M4318&lt;&gt; 0,"pas de quantité","pas de prix, ni de quantité"))))</f>
        <v>erreur de calcul</v>
      </c>
      <c r="BI4318" s="19"/>
    </row>
    <row r="4319" customFormat="false" ht="15" hidden="false" customHeight="false" outlineLevel="0" collapsed="false">
      <c r="A4319" s="0" t="n">
        <v>28</v>
      </c>
      <c r="B4319" s="8" t="s">
        <v>24</v>
      </c>
      <c r="C4319" s="9" t="s">
        <v>25</v>
      </c>
      <c r="D4319" s="9" t="s">
        <v>26</v>
      </c>
      <c r="E4319" s="10" t="n">
        <v>1789</v>
      </c>
      <c r="F4319" s="9" t="s">
        <v>27</v>
      </c>
      <c r="G4319" s="9" t="s">
        <v>27</v>
      </c>
      <c r="H4319" s="11" t="n">
        <v>21</v>
      </c>
      <c r="I4319" s="11" t="s">
        <v>181</v>
      </c>
      <c r="J4319" s="14" t="n">
        <v>8</v>
      </c>
      <c r="K4319" s="14" t="n">
        <v>10</v>
      </c>
      <c r="L4319" s="16"/>
      <c r="M4319" s="27" t="n">
        <f aca="false">J4319+(K4319/20)+(L4319/240)</f>
        <v>8.5</v>
      </c>
      <c r="N4319" s="17" t="s">
        <v>66</v>
      </c>
      <c r="O4319" s="11"/>
      <c r="P4319" s="28" t="n">
        <v>1770</v>
      </c>
      <c r="Q4319" s="28" t="n">
        <v>15045</v>
      </c>
      <c r="R4319" s="28"/>
      <c r="S4319" s="28" t="n">
        <f aca="false">R4319*$M4319</f>
        <v>0</v>
      </c>
      <c r="T4319" s="28"/>
      <c r="U4319" s="28" t="n">
        <f aca="false">T4319*$M4319</f>
        <v>0</v>
      </c>
      <c r="V4319" s="28"/>
      <c r="W4319" s="28" t="n">
        <f aca="false">V4319*$M4319</f>
        <v>0</v>
      </c>
      <c r="X4319" s="28"/>
      <c r="Y4319" s="28" t="n">
        <f aca="false">X4319*$M4319</f>
        <v>0</v>
      </c>
      <c r="Z4319" s="28"/>
      <c r="AA4319" s="28" t="n">
        <f aca="false">Z4319*$M4319</f>
        <v>0</v>
      </c>
      <c r="AB4319" s="28"/>
      <c r="AC4319" s="28" t="n">
        <f aca="false">AB4319*$M4319</f>
        <v>0</v>
      </c>
      <c r="AD4319" s="28"/>
      <c r="AE4319" s="28" t="n">
        <f aca="false">AD4319*$M4319</f>
        <v>0</v>
      </c>
      <c r="AF4319" s="28"/>
      <c r="AG4319" s="28" t="n">
        <f aca="false">AF4319*$M4319</f>
        <v>0</v>
      </c>
      <c r="AH4319" s="28" t="n">
        <v>323</v>
      </c>
      <c r="AI4319" s="28" t="n">
        <v>2745</v>
      </c>
      <c r="AJ4319" s="28"/>
      <c r="AK4319" s="28" t="n">
        <f aca="false">AJ4319*$M4319</f>
        <v>0</v>
      </c>
      <c r="AL4319" s="28"/>
      <c r="AM4319" s="28" t="n">
        <f aca="false">AL4319*$M4319</f>
        <v>0</v>
      </c>
      <c r="AN4319" s="28"/>
      <c r="AO4319" s="28" t="n">
        <f aca="false">AN4319*$M4319</f>
        <v>0</v>
      </c>
      <c r="AP4319" s="28"/>
      <c r="AQ4319" s="28" t="n">
        <f aca="false">AP4319*$M4319</f>
        <v>0</v>
      </c>
      <c r="AR4319" s="28"/>
      <c r="AS4319" s="28" t="n">
        <f aca="false">AR4319*$M4319</f>
        <v>0</v>
      </c>
      <c r="AT4319" s="28"/>
      <c r="AU4319" s="28" t="n">
        <f aca="false">AT4319*$M4319</f>
        <v>0</v>
      </c>
      <c r="AV4319" s="28"/>
      <c r="AW4319" s="28" t="n">
        <f aca="false">AV4319*$M4319</f>
        <v>0</v>
      </c>
      <c r="AX4319" s="28"/>
      <c r="AY4319" s="28" t="n">
        <f aca="false">AX4319*$M4319</f>
        <v>0</v>
      </c>
      <c r="AZ4319" s="30" t="n">
        <v>2093</v>
      </c>
      <c r="BA4319" s="11" t="n">
        <v>17790</v>
      </c>
      <c r="BB4319" s="31" t="n">
        <f aca="false">SUM(Q4319,S4319,U4319,W4319,Y4319,AA4319,AC4319,AE4319,AG4319,AI4319,AK4319,AM4319,AO4319,AQ4319,AS4319,AU4319,AW4319,AY4319)</f>
        <v>17790</v>
      </c>
      <c r="BC4319" s="28" t="n">
        <f aca="false">BA4319-BB4319</f>
        <v>0</v>
      </c>
      <c r="BD4319" s="32" t="n">
        <f aca="false">SUM(P4319,R4319,T4319,V4319,X4319,Z4319,AB4319,AD4319,AF4319,AH4319,AJ4319,AL4319,AN4319,AP4319,AR4319,AT4319,AV4319,AX4319)</f>
        <v>2093</v>
      </c>
      <c r="BE4319" s="33" t="n">
        <f aca="false">AZ4319-BD4319</f>
        <v>0</v>
      </c>
      <c r="BF4319" s="34" t="n">
        <f aca="false">BD4319*M4319</f>
        <v>17790.5</v>
      </c>
      <c r="BG4319" s="35" t="n">
        <f aca="false">BA4319-BF4319</f>
        <v>-0.5</v>
      </c>
      <c r="BH4319" s="19" t="str">
        <f aca="false">IF(BG4319=0,"",IF(BG4319&lt;&gt;BA4319,"erreur de calcul",IF(BD4319&lt;&gt;0,"pas de prix",IF(M4319&lt;&gt; 0,"pas de quantité","pas de prix, ni de quantité"))))</f>
        <v>erreur de calcul</v>
      </c>
      <c r="BI4319" s="19"/>
    </row>
    <row r="4320" customFormat="false" ht="15" hidden="false" customHeight="false" outlineLevel="0" collapsed="false">
      <c r="A4320" s="0" t="n">
        <v>29</v>
      </c>
      <c r="B4320" s="8" t="s">
        <v>24</v>
      </c>
      <c r="C4320" s="9" t="s">
        <v>25</v>
      </c>
      <c r="D4320" s="9" t="s">
        <v>26</v>
      </c>
      <c r="E4320" s="10" t="n">
        <v>1789</v>
      </c>
      <c r="F4320" s="9" t="s">
        <v>27</v>
      </c>
      <c r="G4320" s="9" t="s">
        <v>27</v>
      </c>
      <c r="H4320" s="11" t="n">
        <v>21</v>
      </c>
      <c r="I4320" s="11" t="s">
        <v>182</v>
      </c>
      <c r="J4320" s="14" t="n">
        <v>24</v>
      </c>
      <c r="K4320" s="14"/>
      <c r="L4320" s="16"/>
      <c r="M4320" s="27" t="n">
        <f aca="false">J4320+(K4320/20)+(L4320/240)</f>
        <v>24</v>
      </c>
      <c r="N4320" s="17" t="s">
        <v>66</v>
      </c>
      <c r="O4320" s="11"/>
      <c r="P4320" s="28" t="n">
        <v>478</v>
      </c>
      <c r="Q4320" s="28" t="n">
        <v>11472</v>
      </c>
      <c r="R4320" s="28"/>
      <c r="S4320" s="28" t="n">
        <f aca="false">R4320*$M4320</f>
        <v>0</v>
      </c>
      <c r="T4320" s="28" t="n">
        <v>38</v>
      </c>
      <c r="U4320" s="28" t="n">
        <v>912</v>
      </c>
      <c r="V4320" s="28"/>
      <c r="W4320" s="28" t="n">
        <f aca="false">V4320*$M4320</f>
        <v>0</v>
      </c>
      <c r="X4320" s="28"/>
      <c r="Y4320" s="28" t="n">
        <f aca="false">X4320*$M4320</f>
        <v>0</v>
      </c>
      <c r="Z4320" s="28"/>
      <c r="AA4320" s="28" t="n">
        <f aca="false">Z4320*$M4320</f>
        <v>0</v>
      </c>
      <c r="AB4320" s="28"/>
      <c r="AC4320" s="28" t="n">
        <f aca="false">AB4320*$M4320</f>
        <v>0</v>
      </c>
      <c r="AD4320" s="28"/>
      <c r="AE4320" s="28" t="n">
        <f aca="false">AD4320*$M4320</f>
        <v>0</v>
      </c>
      <c r="AF4320" s="28"/>
      <c r="AG4320" s="28" t="n">
        <f aca="false">AF4320*$M4320</f>
        <v>0</v>
      </c>
      <c r="AH4320" s="28"/>
      <c r="AI4320" s="28" t="n">
        <f aca="false">AH4320*$M4320</f>
        <v>0</v>
      </c>
      <c r="AJ4320" s="28"/>
      <c r="AK4320" s="28" t="n">
        <f aca="false">AJ4320*$M4320</f>
        <v>0</v>
      </c>
      <c r="AL4320" s="28"/>
      <c r="AM4320" s="28" t="n">
        <f aca="false">AL4320*$M4320</f>
        <v>0</v>
      </c>
      <c r="AN4320" s="28"/>
      <c r="AO4320" s="28" t="n">
        <f aca="false">AN4320*$M4320</f>
        <v>0</v>
      </c>
      <c r="AP4320" s="28"/>
      <c r="AQ4320" s="28" t="n">
        <f aca="false">AP4320*$M4320</f>
        <v>0</v>
      </c>
      <c r="AR4320" s="28"/>
      <c r="AS4320" s="28" t="n">
        <f aca="false">AR4320*$M4320</f>
        <v>0</v>
      </c>
      <c r="AT4320" s="28"/>
      <c r="AU4320" s="28" t="n">
        <f aca="false">AT4320*$M4320</f>
        <v>0</v>
      </c>
      <c r="AV4320" s="28"/>
      <c r="AW4320" s="28" t="n">
        <f aca="false">AV4320*$M4320</f>
        <v>0</v>
      </c>
      <c r="AX4320" s="28"/>
      <c r="AY4320" s="28" t="n">
        <f aca="false">AX4320*$M4320</f>
        <v>0</v>
      </c>
      <c r="AZ4320" s="30" t="n">
        <v>516</v>
      </c>
      <c r="BA4320" s="11" t="n">
        <v>12384</v>
      </c>
      <c r="BB4320" s="31" t="n">
        <f aca="false">SUM(Q4320,S4320,U4320,W4320,Y4320,AA4320,AC4320,AE4320,AG4320,AI4320,AK4320,AM4320,AO4320,AQ4320,AS4320,AU4320,AW4320,AY4320)</f>
        <v>12384</v>
      </c>
      <c r="BC4320" s="28" t="n">
        <f aca="false">BA4320-BB4320</f>
        <v>0</v>
      </c>
      <c r="BD4320" s="32" t="n">
        <f aca="false">SUM(P4320,R4320,T4320,V4320,X4320,Z4320,AB4320,AD4320,AF4320,AH4320,AJ4320,AL4320,AN4320,AP4320,AR4320,AT4320,AV4320,AX4320)</f>
        <v>516</v>
      </c>
      <c r="BE4320" s="33" t="n">
        <f aca="false">AZ4320-BD4320</f>
        <v>0</v>
      </c>
      <c r="BF4320" s="34" t="n">
        <f aca="false">BD4320*M4320</f>
        <v>12384</v>
      </c>
      <c r="BG4320" s="35" t="n">
        <f aca="false">BA4320-BF4320</f>
        <v>0</v>
      </c>
      <c r="BH4320" s="19" t="str">
        <f aca="false">IF(BG4320=0,"",IF(BG4320&lt;&gt;BA4320,"erreur de calcul",IF(BD4320&lt;&gt;0,"pas de prix",IF(M4320&lt;&gt; 0,"pas de quantité","pas de prix, ni de quantité"))))</f>
        <v/>
      </c>
      <c r="BI4320" s="19"/>
    </row>
    <row r="4321" customFormat="false" ht="15" hidden="false" customHeight="false" outlineLevel="0" collapsed="false">
      <c r="A4321" s="0" t="n">
        <v>30</v>
      </c>
      <c r="B4321" s="8" t="s">
        <v>24</v>
      </c>
      <c r="C4321" s="9" t="s">
        <v>25</v>
      </c>
      <c r="D4321" s="9" t="s">
        <v>26</v>
      </c>
      <c r="E4321" s="10" t="n">
        <v>1789</v>
      </c>
      <c r="F4321" s="9" t="s">
        <v>27</v>
      </c>
      <c r="G4321" s="9" t="s">
        <v>27</v>
      </c>
      <c r="H4321" s="11" t="n">
        <v>21</v>
      </c>
      <c r="I4321" s="11" t="s">
        <v>183</v>
      </c>
      <c r="J4321" s="14" t="n">
        <v>240</v>
      </c>
      <c r="K4321" s="14"/>
      <c r="L4321" s="16"/>
      <c r="M4321" s="27" t="n">
        <f aca="false">J4321+(K4321/20)+(L4321/240)</f>
        <v>240</v>
      </c>
      <c r="N4321" s="17" t="s">
        <v>64</v>
      </c>
      <c r="O4321" s="11"/>
      <c r="P4321" s="28" t="n">
        <f aca="false">52196/100</f>
        <v>521.96</v>
      </c>
      <c r="Q4321" s="28" t="n">
        <v>125270</v>
      </c>
      <c r="R4321" s="28" t="n">
        <f aca="false">29767/100</f>
        <v>297.67</v>
      </c>
      <c r="S4321" s="28" t="n">
        <v>71441</v>
      </c>
      <c r="T4321" s="28"/>
      <c r="U4321" s="28" t="n">
        <f aca="false">T4321*$M4321</f>
        <v>0</v>
      </c>
      <c r="V4321" s="28"/>
      <c r="W4321" s="28" t="n">
        <f aca="false">V4321*$M4321</f>
        <v>0</v>
      </c>
      <c r="X4321" s="28"/>
      <c r="Y4321" s="28" t="n">
        <f aca="false">X4321*$M4321</f>
        <v>0</v>
      </c>
      <c r="Z4321" s="28"/>
      <c r="AA4321" s="28" t="n">
        <f aca="false">Z4321*$M4321</f>
        <v>0</v>
      </c>
      <c r="AB4321" s="28"/>
      <c r="AC4321" s="28" t="n">
        <f aca="false">AB4321*$M4321</f>
        <v>0</v>
      </c>
      <c r="AD4321" s="28"/>
      <c r="AE4321" s="28" t="n">
        <f aca="false">AD4321*$M4321</f>
        <v>0</v>
      </c>
      <c r="AF4321" s="28"/>
      <c r="AG4321" s="28" t="n">
        <f aca="false">AF4321*$M4321</f>
        <v>0</v>
      </c>
      <c r="AH4321" s="28"/>
      <c r="AI4321" s="28" t="n">
        <f aca="false">AH4321*$M4321</f>
        <v>0</v>
      </c>
      <c r="AJ4321" s="28"/>
      <c r="AK4321" s="28" t="n">
        <f aca="false">AJ4321*$M4321</f>
        <v>0</v>
      </c>
      <c r="AL4321" s="28"/>
      <c r="AM4321" s="28" t="n">
        <f aca="false">AL4321*$M4321</f>
        <v>0</v>
      </c>
      <c r="AN4321" s="28"/>
      <c r="AO4321" s="28" t="n">
        <f aca="false">AN4321*$M4321</f>
        <v>0</v>
      </c>
      <c r="AP4321" s="28"/>
      <c r="AQ4321" s="28" t="n">
        <f aca="false">AP4321*$M4321</f>
        <v>0</v>
      </c>
      <c r="AR4321" s="28"/>
      <c r="AS4321" s="28" t="n">
        <f aca="false">AR4321*$M4321</f>
        <v>0</v>
      </c>
      <c r="AT4321" s="28"/>
      <c r="AU4321" s="28" t="n">
        <f aca="false">AT4321*$M4321</f>
        <v>0</v>
      </c>
      <c r="AV4321" s="28"/>
      <c r="AW4321" s="28" t="n">
        <f aca="false">AV4321*$M4321</f>
        <v>0</v>
      </c>
      <c r="AX4321" s="28"/>
      <c r="AY4321" s="28" t="n">
        <f aca="false">AX4321*$M4321</f>
        <v>0</v>
      </c>
      <c r="AZ4321" s="30" t="n">
        <f aca="false">81963/100</f>
        <v>819.63</v>
      </c>
      <c r="BA4321" s="11" t="n">
        <v>196711</v>
      </c>
      <c r="BB4321" s="31" t="n">
        <f aca="false">SUM(Q4321,S4321,U4321,W4321,Y4321,AA4321,AC4321,AE4321,AG4321,AI4321,AK4321,AM4321,AO4321,AQ4321,AS4321,AU4321,AW4321,AY4321)</f>
        <v>196711</v>
      </c>
      <c r="BC4321" s="28" t="n">
        <f aca="false">BA4321-BB4321</f>
        <v>0</v>
      </c>
      <c r="BD4321" s="32" t="n">
        <f aca="false">SUM(P4321,R4321,T4321,V4321,X4321,Z4321,AB4321,AD4321,AF4321,AH4321,AJ4321,AL4321,AN4321,AP4321,AR4321,AT4321,AV4321,AX4321)</f>
        <v>819.63</v>
      </c>
      <c r="BE4321" s="33" t="n">
        <f aca="false">AZ4321-BD4321</f>
        <v>0</v>
      </c>
      <c r="BF4321" s="34" t="n">
        <f aca="false">BD4321*M4321</f>
        <v>196711.2</v>
      </c>
      <c r="BG4321" s="35" t="n">
        <f aca="false">BA4321-BF4321</f>
        <v>-0.200000000011642</v>
      </c>
      <c r="BH4321" s="19" t="str">
        <f aca="false">IF(BG4321=0,"",IF(BG4321&lt;&gt;BA4321,"erreur de calcul",IF(BD4321&lt;&gt;0,"pas de prix",IF(M4321&lt;&gt; 0,"pas de quantité","pas de prix, ni de quantité"))))</f>
        <v>erreur de calcul</v>
      </c>
      <c r="BI4321" s="19"/>
    </row>
    <row r="4322" customFormat="false" ht="15" hidden="false" customHeight="false" outlineLevel="0" collapsed="false">
      <c r="A4322" s="0" t="n">
        <v>31</v>
      </c>
      <c r="B4322" s="8" t="s">
        <v>24</v>
      </c>
      <c r="C4322" s="9" t="s">
        <v>25</v>
      </c>
      <c r="D4322" s="9" t="s">
        <v>26</v>
      </c>
      <c r="E4322" s="10" t="n">
        <v>1789</v>
      </c>
      <c r="F4322" s="9" t="s">
        <v>27</v>
      </c>
      <c r="G4322" s="9" t="s">
        <v>27</v>
      </c>
      <c r="H4322" s="11" t="n">
        <v>21</v>
      </c>
      <c r="I4322" s="11" t="s">
        <v>184</v>
      </c>
      <c r="J4322" s="14" t="n">
        <v>13</v>
      </c>
      <c r="K4322" s="14"/>
      <c r="L4322" s="16"/>
      <c r="M4322" s="27" t="n">
        <f aca="false">J4322+(K4322/20)+(L4322/240)</f>
        <v>13</v>
      </c>
      <c r="N4322" s="17" t="s">
        <v>66</v>
      </c>
      <c r="O4322" s="11"/>
      <c r="P4322" s="28"/>
      <c r="Q4322" s="28" t="n">
        <f aca="false">P4322*$M4322</f>
        <v>0</v>
      </c>
      <c r="R4322" s="28"/>
      <c r="S4322" s="28" t="n">
        <f aca="false">R4322*$M4322</f>
        <v>0</v>
      </c>
      <c r="T4322" s="28"/>
      <c r="U4322" s="28" t="n">
        <f aca="false">T4322*$M4322</f>
        <v>0</v>
      </c>
      <c r="V4322" s="28"/>
      <c r="W4322" s="28" t="n">
        <f aca="false">V4322*$M4322</f>
        <v>0</v>
      </c>
      <c r="X4322" s="28"/>
      <c r="Y4322" s="28" t="n">
        <f aca="false">X4322*$M4322</f>
        <v>0</v>
      </c>
      <c r="Z4322" s="28"/>
      <c r="AA4322" s="28" t="n">
        <f aca="false">Z4322*$M4322</f>
        <v>0</v>
      </c>
      <c r="AB4322" s="28"/>
      <c r="AC4322" s="28" t="n">
        <f aca="false">AB4322*$M4322</f>
        <v>0</v>
      </c>
      <c r="AD4322" s="28"/>
      <c r="AE4322" s="28" t="n">
        <f aca="false">AD4322*$M4322</f>
        <v>0</v>
      </c>
      <c r="AF4322" s="28"/>
      <c r="AG4322" s="28" t="n">
        <f aca="false">AF4322*$M4322</f>
        <v>0</v>
      </c>
      <c r="AH4322" s="28" t="n">
        <v>354</v>
      </c>
      <c r="AI4322" s="28" t="n">
        <v>4602</v>
      </c>
      <c r="AJ4322" s="28"/>
      <c r="AK4322" s="28" t="n">
        <f aca="false">AJ4322*$M4322</f>
        <v>0</v>
      </c>
      <c r="AL4322" s="28"/>
      <c r="AM4322" s="28" t="n">
        <f aca="false">AL4322*$M4322</f>
        <v>0</v>
      </c>
      <c r="AN4322" s="28"/>
      <c r="AO4322" s="28" t="n">
        <f aca="false">AN4322*$M4322</f>
        <v>0</v>
      </c>
      <c r="AP4322" s="28"/>
      <c r="AQ4322" s="28" t="n">
        <f aca="false">AP4322*$M4322</f>
        <v>0</v>
      </c>
      <c r="AR4322" s="28"/>
      <c r="AS4322" s="28" t="n">
        <f aca="false">AR4322*$M4322</f>
        <v>0</v>
      </c>
      <c r="AT4322" s="28"/>
      <c r="AU4322" s="28" t="n">
        <f aca="false">AT4322*$M4322</f>
        <v>0</v>
      </c>
      <c r="AV4322" s="28"/>
      <c r="AW4322" s="28" t="n">
        <f aca="false">AV4322*$M4322</f>
        <v>0</v>
      </c>
      <c r="AX4322" s="28"/>
      <c r="AY4322" s="28" t="n">
        <f aca="false">AX4322*$M4322</f>
        <v>0</v>
      </c>
      <c r="AZ4322" s="30" t="n">
        <v>354</v>
      </c>
      <c r="BA4322" s="11" t="n">
        <v>4602</v>
      </c>
      <c r="BB4322" s="31" t="n">
        <f aca="false">SUM(Q4322,S4322,U4322,W4322,Y4322,AA4322,AC4322,AE4322,AG4322,AI4322,AK4322,AM4322,AO4322,AQ4322,AS4322,AU4322,AW4322,AY4322)</f>
        <v>4602</v>
      </c>
      <c r="BC4322" s="28" t="n">
        <f aca="false">BA4322-BB4322</f>
        <v>0</v>
      </c>
      <c r="BD4322" s="32" t="n">
        <f aca="false">SUM(P4322,R4322,T4322,V4322,X4322,Z4322,AB4322,AD4322,AF4322,AH4322,AJ4322,AL4322,AN4322,AP4322,AR4322,AT4322,AV4322,AX4322)</f>
        <v>354</v>
      </c>
      <c r="BE4322" s="33" t="n">
        <f aca="false">AZ4322-BD4322</f>
        <v>0</v>
      </c>
      <c r="BF4322" s="34" t="n">
        <f aca="false">BD4322*M4322</f>
        <v>4602</v>
      </c>
      <c r="BG4322" s="35" t="n">
        <f aca="false">BA4322-BF4322</f>
        <v>0</v>
      </c>
      <c r="BH4322" s="19" t="str">
        <f aca="false">IF(BG4322=0,"",IF(BG4322&lt;&gt;BA4322,"erreur de calcul",IF(BD4322&lt;&gt;0,"pas de prix",IF(M4322&lt;&gt; 0,"pas de quantité","pas de prix, ni de quantité"))))</f>
        <v/>
      </c>
      <c r="BI4322" s="19"/>
    </row>
    <row r="4323" customFormat="false" ht="15" hidden="false" customHeight="false" outlineLevel="0" collapsed="false">
      <c r="A4323" s="0" t="n">
        <v>32</v>
      </c>
      <c r="B4323" s="8" t="s">
        <v>24</v>
      </c>
      <c r="C4323" s="9" t="s">
        <v>25</v>
      </c>
      <c r="D4323" s="9" t="s">
        <v>26</v>
      </c>
      <c r="E4323" s="10" t="n">
        <v>1789</v>
      </c>
      <c r="F4323" s="9" t="s">
        <v>27</v>
      </c>
      <c r="G4323" s="9" t="s">
        <v>27</v>
      </c>
      <c r="H4323" s="11" t="n">
        <v>21</v>
      </c>
      <c r="I4323" s="11" t="s">
        <v>185</v>
      </c>
      <c r="J4323" s="14" t="n">
        <v>245</v>
      </c>
      <c r="K4323" s="14"/>
      <c r="L4323" s="16"/>
      <c r="M4323" s="27" t="n">
        <f aca="false">J4323+(K4323/20)+(L4323/240)</f>
        <v>245</v>
      </c>
      <c r="N4323" s="17" t="s">
        <v>64</v>
      </c>
      <c r="O4323" s="11"/>
      <c r="P4323" s="28"/>
      <c r="Q4323" s="28" t="n">
        <f aca="false">P4323*$M4323</f>
        <v>0</v>
      </c>
      <c r="R4323" s="28"/>
      <c r="S4323" s="28" t="n">
        <f aca="false">R4323*$M4323</f>
        <v>0</v>
      </c>
      <c r="T4323" s="28"/>
      <c r="U4323" s="28" t="n">
        <f aca="false">T4323*$M4323</f>
        <v>0</v>
      </c>
      <c r="V4323" s="28" t="n">
        <f aca="false">720/100</f>
        <v>7.2</v>
      </c>
      <c r="W4323" s="28" t="n">
        <v>1764</v>
      </c>
      <c r="X4323" s="28" t="n">
        <f aca="false">40366/100</f>
        <v>403.66</v>
      </c>
      <c r="Y4323" s="28" t="n">
        <v>98897</v>
      </c>
      <c r="Z4323" s="28"/>
      <c r="AA4323" s="28" t="n">
        <f aca="false">Z4323*$M4323</f>
        <v>0</v>
      </c>
      <c r="AB4323" s="28"/>
      <c r="AC4323" s="28" t="n">
        <f aca="false">AB4323*$M4323</f>
        <v>0</v>
      </c>
      <c r="AD4323" s="28"/>
      <c r="AE4323" s="28" t="n">
        <f aca="false">AD4323*$M4323</f>
        <v>0</v>
      </c>
      <c r="AF4323" s="28"/>
      <c r="AG4323" s="28" t="n">
        <f aca="false">AF4323*$M4323</f>
        <v>0</v>
      </c>
      <c r="AH4323" s="28" t="n">
        <f aca="false">83243/100</f>
        <v>832.43</v>
      </c>
      <c r="AI4323" s="28" t="n">
        <v>203945</v>
      </c>
      <c r="AJ4323" s="28"/>
      <c r="AK4323" s="28" t="n">
        <f aca="false">AJ4323*$M4323</f>
        <v>0</v>
      </c>
      <c r="AL4323" s="28"/>
      <c r="AM4323" s="28" t="n">
        <f aca="false">AL4323*$M4323</f>
        <v>0</v>
      </c>
      <c r="AN4323" s="28"/>
      <c r="AO4323" s="28" t="n">
        <f aca="false">AN4323*$M4323</f>
        <v>0</v>
      </c>
      <c r="AP4323" s="28"/>
      <c r="AQ4323" s="28" t="n">
        <f aca="false">AP4323*$M4323</f>
        <v>0</v>
      </c>
      <c r="AR4323" s="28"/>
      <c r="AS4323" s="28" t="n">
        <f aca="false">AR4323*$M4323</f>
        <v>0</v>
      </c>
      <c r="AT4323" s="28"/>
      <c r="AU4323" s="28" t="n">
        <f aca="false">AT4323*$M4323</f>
        <v>0</v>
      </c>
      <c r="AV4323" s="28"/>
      <c r="AW4323" s="28" t="n">
        <f aca="false">AV4323*$M4323</f>
        <v>0</v>
      </c>
      <c r="AX4323" s="28"/>
      <c r="AY4323" s="28" t="n">
        <f aca="false">AX4323*$M4323</f>
        <v>0</v>
      </c>
      <c r="AZ4323" s="30" t="n">
        <f aca="false">124329/100</f>
        <v>1243.29</v>
      </c>
      <c r="BA4323" s="11" t="n">
        <v>304606</v>
      </c>
      <c r="BB4323" s="31" t="n">
        <f aca="false">SUM(Q4323,S4323,U4323,W4323,Y4323,AA4323,AC4323,AE4323,AG4323,AI4323,AK4323,AM4323,AO4323,AQ4323,AS4323,AU4323,AW4323,AY4323)</f>
        <v>304606</v>
      </c>
      <c r="BC4323" s="28" t="n">
        <f aca="false">BA4323-BB4323</f>
        <v>0</v>
      </c>
      <c r="BD4323" s="32" t="n">
        <f aca="false">SUM(P4323,R4323,T4323,V4323,X4323,Z4323,AB4323,AD4323,AF4323,AH4323,AJ4323,AL4323,AN4323,AP4323,AR4323,AT4323,AV4323,AX4323)</f>
        <v>1243.29</v>
      </c>
      <c r="BE4323" s="33" t="n">
        <f aca="false">AZ4323-BD4323</f>
        <v>0</v>
      </c>
      <c r="BF4323" s="34" t="n">
        <f aca="false">BD4323*M4323</f>
        <v>304606.05</v>
      </c>
      <c r="BG4323" s="35" t="n">
        <f aca="false">BA4323-BF4323</f>
        <v>-0.0499999999883585</v>
      </c>
      <c r="BH4323" s="19" t="str">
        <f aca="false">IF(BG4323=0,"",IF(BG4323&lt;&gt;BA4323,"erreur de calcul",IF(BD4323&lt;&gt;0,"pas de prix",IF(M4323&lt;&gt; 0,"pas de quantité","pas de prix, ni de quantité"))))</f>
        <v>erreur de calcul</v>
      </c>
      <c r="BI4323" s="19"/>
    </row>
    <row r="4324" customFormat="false" ht="15" hidden="false" customHeight="false" outlineLevel="0" collapsed="false">
      <c r="A4324" s="0" t="n">
        <v>33</v>
      </c>
      <c r="B4324" s="8" t="s">
        <v>24</v>
      </c>
      <c r="C4324" s="9" t="s">
        <v>25</v>
      </c>
      <c r="D4324" s="9" t="s">
        <v>26</v>
      </c>
      <c r="E4324" s="10" t="n">
        <v>1789</v>
      </c>
      <c r="F4324" s="9" t="s">
        <v>27</v>
      </c>
      <c r="G4324" s="9" t="s">
        <v>27</v>
      </c>
      <c r="H4324" s="11" t="n">
        <v>21</v>
      </c>
      <c r="I4324" s="11" t="s">
        <v>186</v>
      </c>
      <c r="J4324" s="14" t="n">
        <v>240</v>
      </c>
      <c r="K4324" s="14"/>
      <c r="L4324" s="16"/>
      <c r="M4324" s="27" t="n">
        <f aca="false">J4324+(K4324/20)+(L4324/240)</f>
        <v>240</v>
      </c>
      <c r="N4324" s="17" t="s">
        <v>64</v>
      </c>
      <c r="O4324" s="11"/>
      <c r="P4324" s="28"/>
      <c r="Q4324" s="28" t="n">
        <f aca="false">P4324*$M4324</f>
        <v>0</v>
      </c>
      <c r="R4324" s="28"/>
      <c r="S4324" s="28" t="n">
        <f aca="false">R4324*$M4324</f>
        <v>0</v>
      </c>
      <c r="T4324" s="28"/>
      <c r="U4324" s="28" t="n">
        <f aca="false">T4324*$M4324</f>
        <v>0</v>
      </c>
      <c r="V4324" s="28"/>
      <c r="W4324" s="28" t="n">
        <f aca="false">V4324*$M4324</f>
        <v>0</v>
      </c>
      <c r="X4324" s="28"/>
      <c r="Y4324" s="28" t="n">
        <f aca="false">X4324*$M4324</f>
        <v>0</v>
      </c>
      <c r="Z4324" s="28"/>
      <c r="AA4324" s="28" t="n">
        <f aca="false">Z4324*$M4324</f>
        <v>0</v>
      </c>
      <c r="AB4324" s="28"/>
      <c r="AC4324" s="28" t="n">
        <f aca="false">AB4324*$M4324</f>
        <v>0</v>
      </c>
      <c r="AD4324" s="28"/>
      <c r="AE4324" s="28" t="n">
        <f aca="false">AD4324*$M4324</f>
        <v>0</v>
      </c>
      <c r="AF4324" s="28"/>
      <c r="AG4324" s="28" t="n">
        <f aca="false">AF4324*$M4324</f>
        <v>0</v>
      </c>
      <c r="AH4324" s="28" t="n">
        <f aca="false">803/100</f>
        <v>8.03</v>
      </c>
      <c r="AI4324" s="28" t="n">
        <v>1927</v>
      </c>
      <c r="AJ4324" s="28"/>
      <c r="AK4324" s="28" t="n">
        <f aca="false">AJ4324*$M4324</f>
        <v>0</v>
      </c>
      <c r="AL4324" s="28"/>
      <c r="AM4324" s="28" t="n">
        <f aca="false">AL4324*$M4324</f>
        <v>0</v>
      </c>
      <c r="AN4324" s="28"/>
      <c r="AO4324" s="28" t="n">
        <f aca="false">AN4324*$M4324</f>
        <v>0</v>
      </c>
      <c r="AP4324" s="28"/>
      <c r="AQ4324" s="28" t="n">
        <f aca="false">AP4324*$M4324</f>
        <v>0</v>
      </c>
      <c r="AR4324" s="28"/>
      <c r="AS4324" s="28" t="n">
        <f aca="false">AR4324*$M4324</f>
        <v>0</v>
      </c>
      <c r="AT4324" s="28"/>
      <c r="AU4324" s="28" t="n">
        <f aca="false">AT4324*$M4324</f>
        <v>0</v>
      </c>
      <c r="AV4324" s="28"/>
      <c r="AW4324" s="28" t="n">
        <f aca="false">AV4324*$M4324</f>
        <v>0</v>
      </c>
      <c r="AX4324" s="28"/>
      <c r="AY4324" s="28" t="n">
        <f aca="false">AX4324*$M4324</f>
        <v>0</v>
      </c>
      <c r="AZ4324" s="30" t="n">
        <f aca="false">803/100</f>
        <v>8.03</v>
      </c>
      <c r="BA4324" s="11" t="n">
        <v>1927</v>
      </c>
      <c r="BB4324" s="31" t="n">
        <f aca="false">SUM(Q4324,S4324,U4324,W4324,Y4324,AA4324,AC4324,AE4324,AG4324,AI4324,AK4324,AM4324,AO4324,AQ4324,AS4324,AU4324,AW4324,AY4324)</f>
        <v>1927</v>
      </c>
      <c r="BC4324" s="28" t="n">
        <f aca="false">BA4324-BB4324</f>
        <v>0</v>
      </c>
      <c r="BD4324" s="32" t="n">
        <f aca="false">SUM(P4324,R4324,T4324,V4324,X4324,Z4324,AB4324,AD4324,AF4324,AH4324,AJ4324,AL4324,AN4324,AP4324,AR4324,AT4324,AV4324,AX4324)</f>
        <v>8.03</v>
      </c>
      <c r="BE4324" s="33" t="n">
        <f aca="false">AZ4324-BD4324</f>
        <v>0</v>
      </c>
      <c r="BF4324" s="34" t="n">
        <f aca="false">BD4324*M4324</f>
        <v>1927.2</v>
      </c>
      <c r="BG4324" s="35" t="n">
        <f aca="false">BA4324-BF4324</f>
        <v>-0.199999999999818</v>
      </c>
      <c r="BH4324" s="19" t="str">
        <f aca="false">IF(BG4324=0,"",IF(BG4324&lt;&gt;BA4324,"erreur de calcul",IF(BD4324&lt;&gt;0,"pas de prix",IF(M4324&lt;&gt; 0,"pas de quantité","pas de prix, ni de quantité"))))</f>
        <v>erreur de calcul</v>
      </c>
      <c r="BI4324" s="19"/>
    </row>
    <row r="4325" customFormat="false" ht="15" hidden="false" customHeight="false" outlineLevel="0" collapsed="false">
      <c r="A4325" s="0" t="n">
        <v>34</v>
      </c>
      <c r="B4325" s="8" t="s">
        <v>24</v>
      </c>
      <c r="C4325" s="9" t="s">
        <v>25</v>
      </c>
      <c r="D4325" s="9" t="s">
        <v>26</v>
      </c>
      <c r="E4325" s="10" t="n">
        <v>1789</v>
      </c>
      <c r="F4325" s="9" t="s">
        <v>27</v>
      </c>
      <c r="G4325" s="9" t="s">
        <v>27</v>
      </c>
      <c r="H4325" s="11" t="n">
        <v>21</v>
      </c>
      <c r="I4325" s="11" t="s">
        <v>187</v>
      </c>
      <c r="J4325" s="14" t="n">
        <v>45</v>
      </c>
      <c r="K4325" s="14"/>
      <c r="L4325" s="16"/>
      <c r="M4325" s="27" t="n">
        <f aca="false">J4325+(K4325/20)+(L4325/240)</f>
        <v>45</v>
      </c>
      <c r="N4325" s="17" t="s">
        <v>64</v>
      </c>
      <c r="O4325" s="11"/>
      <c r="P4325" s="28" t="n">
        <f aca="false">8827/100</f>
        <v>88.27</v>
      </c>
      <c r="Q4325" s="28" t="n">
        <v>3972</v>
      </c>
      <c r="R4325" s="28"/>
      <c r="S4325" s="28" t="n">
        <f aca="false">R4325*$M4325</f>
        <v>0</v>
      </c>
      <c r="T4325" s="28"/>
      <c r="U4325" s="28" t="n">
        <f aca="false">T4325*$M4325</f>
        <v>0</v>
      </c>
      <c r="V4325" s="28" t="n">
        <f aca="false">8951/100</f>
        <v>89.51</v>
      </c>
      <c r="W4325" s="28" t="n">
        <v>4028</v>
      </c>
      <c r="X4325" s="28" t="n">
        <f aca="false">49106/100</f>
        <v>491.06</v>
      </c>
      <c r="Y4325" s="28" t="n">
        <v>22098</v>
      </c>
      <c r="Z4325" s="28"/>
      <c r="AA4325" s="28" t="n">
        <f aca="false">Z4325*$M4325</f>
        <v>0</v>
      </c>
      <c r="AB4325" s="28" t="n">
        <f aca="false">313412/100</f>
        <v>3134.12</v>
      </c>
      <c r="AC4325" s="28" t="n">
        <v>141035</v>
      </c>
      <c r="AD4325" s="28"/>
      <c r="AE4325" s="28" t="n">
        <f aca="false">AD4325*$M4325</f>
        <v>0</v>
      </c>
      <c r="AF4325" s="28"/>
      <c r="AG4325" s="28" t="n">
        <f aca="false">AF4325*$M4325</f>
        <v>0</v>
      </c>
      <c r="AH4325" s="28"/>
      <c r="AI4325" s="28" t="n">
        <f aca="false">AH4325*$M4325</f>
        <v>0</v>
      </c>
      <c r="AJ4325" s="28"/>
      <c r="AK4325" s="28" t="n">
        <f aca="false">AJ4325*$M4325</f>
        <v>0</v>
      </c>
      <c r="AL4325" s="28"/>
      <c r="AM4325" s="28" t="n">
        <f aca="false">AL4325*$M4325</f>
        <v>0</v>
      </c>
      <c r="AN4325" s="28"/>
      <c r="AO4325" s="28" t="n">
        <f aca="false">AN4325*$M4325</f>
        <v>0</v>
      </c>
      <c r="AP4325" s="28"/>
      <c r="AQ4325" s="28" t="n">
        <f aca="false">AP4325*$M4325</f>
        <v>0</v>
      </c>
      <c r="AR4325" s="28"/>
      <c r="AS4325" s="28" t="n">
        <f aca="false">AR4325*$M4325</f>
        <v>0</v>
      </c>
      <c r="AT4325" s="28"/>
      <c r="AU4325" s="28" t="n">
        <f aca="false">AT4325*$M4325</f>
        <v>0</v>
      </c>
      <c r="AV4325" s="28"/>
      <c r="AW4325" s="28" t="n">
        <f aca="false">AV4325*$M4325</f>
        <v>0</v>
      </c>
      <c r="AX4325" s="28"/>
      <c r="AY4325" s="28" t="n">
        <f aca="false">AX4325*$M4325</f>
        <v>0</v>
      </c>
      <c r="AZ4325" s="30" t="n">
        <f aca="false">380296/100</f>
        <v>3802.96</v>
      </c>
      <c r="BA4325" s="11" t="n">
        <v>171133</v>
      </c>
      <c r="BB4325" s="31" t="n">
        <f aca="false">SUM(Q4325,S4325,U4325,W4325,Y4325,AA4325,AC4325,AE4325,AG4325,AI4325,AK4325,AM4325,AO4325,AQ4325,AS4325,AU4325,AW4325,AY4325)</f>
        <v>171133</v>
      </c>
      <c r="BC4325" s="28" t="n">
        <f aca="false">BA4325-BB4325</f>
        <v>0</v>
      </c>
      <c r="BD4325" s="32" t="n">
        <f aca="false">SUM(P4325,R4325,T4325,V4325,X4325,Z4325,AB4325,AD4325,AF4325,AH4325,AJ4325,AL4325,AN4325,AP4325,AR4325,AT4325,AV4325,AX4325)</f>
        <v>3802.96</v>
      </c>
      <c r="BE4325" s="33" t="n">
        <f aca="false">AZ4325-BD4325</f>
        <v>0</v>
      </c>
      <c r="BF4325" s="34" t="n">
        <f aca="false">BD4325*M4325</f>
        <v>171133.2</v>
      </c>
      <c r="BG4325" s="35" t="n">
        <f aca="false">BA4325-BF4325</f>
        <v>-0.200000000011642</v>
      </c>
      <c r="BH4325" s="19" t="str">
        <f aca="false">IF(BG4325=0,"",IF(BG4325&lt;&gt;BA4325,"erreur de calcul",IF(BD4325&lt;&gt;0,"pas de prix",IF(M4325&lt;&gt; 0,"pas de quantité","pas de prix, ni de quantité"))))</f>
        <v>erreur de calcul</v>
      </c>
      <c r="BI4325" s="19"/>
    </row>
    <row r="4326" customFormat="false" ht="15" hidden="false" customHeight="false" outlineLevel="0" collapsed="false">
      <c r="A4326" s="0" t="n">
        <v>35</v>
      </c>
      <c r="B4326" s="8" t="s">
        <v>24</v>
      </c>
      <c r="C4326" s="9" t="s">
        <v>25</v>
      </c>
      <c r="D4326" s="9" t="s">
        <v>26</v>
      </c>
      <c r="E4326" s="10" t="n">
        <v>1789</v>
      </c>
      <c r="F4326" s="9" t="s">
        <v>27</v>
      </c>
      <c r="G4326" s="9" t="s">
        <v>27</v>
      </c>
      <c r="H4326" s="11" t="n">
        <v>21</v>
      </c>
      <c r="I4326" s="11" t="s">
        <v>188</v>
      </c>
      <c r="J4326" s="14" t="n">
        <v>60</v>
      </c>
      <c r="K4326" s="14"/>
      <c r="L4326" s="16"/>
      <c r="M4326" s="27" t="n">
        <f aca="false">J4326+(K4326/20)+(L4326/240)</f>
        <v>60</v>
      </c>
      <c r="N4326" s="17" t="s">
        <v>64</v>
      </c>
      <c r="O4326" s="11"/>
      <c r="P4326" s="28"/>
      <c r="Q4326" s="28" t="n">
        <f aca="false">P4326*$M4326</f>
        <v>0</v>
      </c>
      <c r="R4326" s="28"/>
      <c r="S4326" s="28" t="n">
        <f aca="false">R4326*$M4326</f>
        <v>0</v>
      </c>
      <c r="T4326" s="28"/>
      <c r="U4326" s="28" t="n">
        <f aca="false">T4326*$M4326</f>
        <v>0</v>
      </c>
      <c r="V4326" s="28"/>
      <c r="W4326" s="28" t="n">
        <f aca="false">V4326*$M4326</f>
        <v>0</v>
      </c>
      <c r="X4326" s="28"/>
      <c r="Y4326" s="28" t="n">
        <f aca="false">X4326*$M4326</f>
        <v>0</v>
      </c>
      <c r="Z4326" s="28"/>
      <c r="AA4326" s="28" t="n">
        <f aca="false">Z4326*$M4326</f>
        <v>0</v>
      </c>
      <c r="AB4326" s="28"/>
      <c r="AC4326" s="28" t="n">
        <f aca="false">AB4326*$M4326</f>
        <v>0</v>
      </c>
      <c r="AD4326" s="28"/>
      <c r="AE4326" s="28" t="n">
        <f aca="false">AD4326*$M4326</f>
        <v>0</v>
      </c>
      <c r="AF4326" s="28"/>
      <c r="AG4326" s="28" t="n">
        <f aca="false">AF4326*$M4326</f>
        <v>0</v>
      </c>
      <c r="AH4326" s="28" t="n">
        <f aca="false">6391/100</f>
        <v>63.91</v>
      </c>
      <c r="AI4326" s="28" t="n">
        <v>3835</v>
      </c>
      <c r="AJ4326" s="28"/>
      <c r="AK4326" s="28" t="n">
        <f aca="false">AJ4326*$M4326</f>
        <v>0</v>
      </c>
      <c r="AL4326" s="28"/>
      <c r="AM4326" s="28" t="n">
        <f aca="false">AL4326*$M4326</f>
        <v>0</v>
      </c>
      <c r="AN4326" s="28"/>
      <c r="AO4326" s="28" t="n">
        <f aca="false">AN4326*$M4326</f>
        <v>0</v>
      </c>
      <c r="AP4326" s="28"/>
      <c r="AQ4326" s="28" t="n">
        <f aca="false">AP4326*$M4326</f>
        <v>0</v>
      </c>
      <c r="AR4326" s="28"/>
      <c r="AS4326" s="28" t="n">
        <f aca="false">AR4326*$M4326</f>
        <v>0</v>
      </c>
      <c r="AT4326" s="28"/>
      <c r="AU4326" s="28" t="n">
        <f aca="false">AT4326*$M4326</f>
        <v>0</v>
      </c>
      <c r="AV4326" s="28"/>
      <c r="AW4326" s="28" t="n">
        <f aca="false">AV4326*$M4326</f>
        <v>0</v>
      </c>
      <c r="AX4326" s="28"/>
      <c r="AY4326" s="28" t="n">
        <f aca="false">AX4326*$M4326</f>
        <v>0</v>
      </c>
      <c r="AZ4326" s="30" t="n">
        <f aca="false">6391/100</f>
        <v>63.91</v>
      </c>
      <c r="BA4326" s="11" t="n">
        <v>3835</v>
      </c>
      <c r="BB4326" s="31" t="n">
        <f aca="false">SUM(Q4326,S4326,U4326,W4326,Y4326,AA4326,AC4326,AE4326,AG4326,AI4326,AK4326,AM4326,AO4326,AQ4326,AS4326,AU4326,AW4326,AY4326)</f>
        <v>3835</v>
      </c>
      <c r="BC4326" s="28" t="n">
        <f aca="false">BA4326-BB4326</f>
        <v>0</v>
      </c>
      <c r="BD4326" s="32" t="n">
        <f aca="false">SUM(P4326,R4326,T4326,V4326,X4326,Z4326,AB4326,AD4326,AF4326,AH4326,AJ4326,AL4326,AN4326,AP4326,AR4326,AT4326,AV4326,AX4326)</f>
        <v>63.91</v>
      </c>
      <c r="BE4326" s="33" t="n">
        <f aca="false">AZ4326-BD4326</f>
        <v>0</v>
      </c>
      <c r="BF4326" s="34" t="n">
        <f aca="false">BD4326*M4326</f>
        <v>3834.6</v>
      </c>
      <c r="BG4326" s="35" t="n">
        <f aca="false">BA4326-BF4326</f>
        <v>0.400000000000091</v>
      </c>
      <c r="BH4326" s="19" t="str">
        <f aca="false">IF(BG4326=0,"",IF(BG4326&lt;&gt;BA4326,"erreur de calcul",IF(BD4326&lt;&gt;0,"pas de prix",IF(M4326&lt;&gt; 0,"pas de quantité","pas de prix, ni de quantité"))))</f>
        <v>erreur de calcul</v>
      </c>
      <c r="BI4326" s="19"/>
    </row>
    <row r="4327" customFormat="false" ht="15" hidden="false" customHeight="false" outlineLevel="0" collapsed="false">
      <c r="A4327" s="0" t="n">
        <v>36</v>
      </c>
      <c r="B4327" s="8" t="s">
        <v>24</v>
      </c>
      <c r="C4327" s="9" t="s">
        <v>25</v>
      </c>
      <c r="D4327" s="9" t="s">
        <v>26</v>
      </c>
      <c r="E4327" s="10" t="n">
        <v>1789</v>
      </c>
      <c r="F4327" s="9" t="s">
        <v>27</v>
      </c>
      <c r="G4327" s="9" t="s">
        <v>27</v>
      </c>
      <c r="H4327" s="11" t="n">
        <v>21</v>
      </c>
      <c r="I4327" s="11" t="s">
        <v>189</v>
      </c>
      <c r="J4327" s="14" t="n">
        <v>30</v>
      </c>
      <c r="K4327" s="14"/>
      <c r="L4327" s="16"/>
      <c r="M4327" s="27" t="n">
        <f aca="false">J4327+(K4327/20)+(L4327/240)</f>
        <v>30</v>
      </c>
      <c r="N4327" s="17" t="s">
        <v>66</v>
      </c>
      <c r="O4327" s="11"/>
      <c r="P4327" s="28"/>
      <c r="Q4327" s="28" t="n">
        <f aca="false">P4327*$M4327</f>
        <v>0</v>
      </c>
      <c r="R4327" s="28"/>
      <c r="S4327" s="28" t="n">
        <f aca="false">R4327*$M4327</f>
        <v>0</v>
      </c>
      <c r="T4327" s="28"/>
      <c r="U4327" s="28" t="n">
        <f aca="false">T4327*$M4327</f>
        <v>0</v>
      </c>
      <c r="V4327" s="28" t="n">
        <v>146</v>
      </c>
      <c r="W4327" s="28" t="n">
        <v>4380</v>
      </c>
      <c r="X4327" s="28"/>
      <c r="Y4327" s="28" t="n">
        <f aca="false">X4327*$M4327</f>
        <v>0</v>
      </c>
      <c r="Z4327" s="28"/>
      <c r="AA4327" s="28" t="n">
        <f aca="false">Z4327*$M4327</f>
        <v>0</v>
      </c>
      <c r="AB4327" s="28"/>
      <c r="AC4327" s="28" t="n">
        <f aca="false">AB4327*$M4327</f>
        <v>0</v>
      </c>
      <c r="AD4327" s="28"/>
      <c r="AE4327" s="28" t="n">
        <f aca="false">AD4327*$M4327</f>
        <v>0</v>
      </c>
      <c r="AF4327" s="28"/>
      <c r="AG4327" s="28" t="n">
        <f aca="false">AF4327*$M4327</f>
        <v>0</v>
      </c>
      <c r="AH4327" s="28"/>
      <c r="AI4327" s="28" t="n">
        <f aca="false">AH4327*$M4327</f>
        <v>0</v>
      </c>
      <c r="AJ4327" s="28"/>
      <c r="AK4327" s="28" t="n">
        <f aca="false">AJ4327*$M4327</f>
        <v>0</v>
      </c>
      <c r="AL4327" s="28"/>
      <c r="AM4327" s="28" t="n">
        <f aca="false">AL4327*$M4327</f>
        <v>0</v>
      </c>
      <c r="AN4327" s="28"/>
      <c r="AO4327" s="28" t="n">
        <f aca="false">AN4327*$M4327</f>
        <v>0</v>
      </c>
      <c r="AP4327" s="28"/>
      <c r="AQ4327" s="28" t="n">
        <f aca="false">AP4327*$M4327</f>
        <v>0</v>
      </c>
      <c r="AR4327" s="28"/>
      <c r="AS4327" s="28" t="n">
        <f aca="false">AR4327*$M4327</f>
        <v>0</v>
      </c>
      <c r="AT4327" s="28"/>
      <c r="AU4327" s="28" t="n">
        <f aca="false">AT4327*$M4327</f>
        <v>0</v>
      </c>
      <c r="AV4327" s="28"/>
      <c r="AW4327" s="28" t="n">
        <f aca="false">AV4327*$M4327</f>
        <v>0</v>
      </c>
      <c r="AX4327" s="28"/>
      <c r="AY4327" s="28" t="n">
        <f aca="false">AX4327*$M4327</f>
        <v>0</v>
      </c>
      <c r="AZ4327" s="30" t="n">
        <v>146</v>
      </c>
      <c r="BA4327" s="11" t="n">
        <v>4380</v>
      </c>
      <c r="BB4327" s="31" t="n">
        <f aca="false">SUM(Q4327,S4327,U4327,W4327,Y4327,AA4327,AC4327,AE4327,AG4327,AI4327,AK4327,AM4327,AO4327,AQ4327,AS4327,AU4327,AW4327,AY4327)</f>
        <v>4380</v>
      </c>
      <c r="BC4327" s="28" t="n">
        <f aca="false">BA4327-BB4327</f>
        <v>0</v>
      </c>
      <c r="BD4327" s="32" t="n">
        <f aca="false">SUM(P4327,R4327,T4327,V4327,X4327,Z4327,AB4327,AD4327,AF4327,AH4327,AJ4327,AL4327,AN4327,AP4327,AR4327,AT4327,AV4327,AX4327)</f>
        <v>146</v>
      </c>
      <c r="BE4327" s="33" t="n">
        <f aca="false">AZ4327-BD4327</f>
        <v>0</v>
      </c>
      <c r="BF4327" s="34" t="n">
        <f aca="false">BD4327*M4327</f>
        <v>4380</v>
      </c>
      <c r="BG4327" s="35" t="n">
        <f aca="false">BA4327-BF4327</f>
        <v>0</v>
      </c>
      <c r="BH4327" s="19" t="str">
        <f aca="false">IF(BG4327=0,"",IF(BG4327&lt;&gt;BA4327,"erreur de calcul",IF(BD4327&lt;&gt;0,"pas de prix",IF(M4327&lt;&gt; 0,"pas de quantité","pas de prix, ni de quantité"))))</f>
        <v/>
      </c>
      <c r="BI4327" s="19"/>
    </row>
    <row r="4328" customFormat="false" ht="15" hidden="false" customHeight="false" outlineLevel="0" collapsed="false">
      <c r="A4328" s="0" t="n">
        <v>37</v>
      </c>
      <c r="B4328" s="8" t="s">
        <v>24</v>
      </c>
      <c r="C4328" s="9" t="s">
        <v>25</v>
      </c>
      <c r="D4328" s="9" t="s">
        <v>26</v>
      </c>
      <c r="E4328" s="10" t="n">
        <v>1789</v>
      </c>
      <c r="F4328" s="9" t="s">
        <v>27</v>
      </c>
      <c r="G4328" s="9" t="s">
        <v>27</v>
      </c>
      <c r="H4328" s="11" t="n">
        <v>21</v>
      </c>
      <c r="I4328" s="11" t="s">
        <v>190</v>
      </c>
      <c r="J4328" s="14" t="n">
        <v>3</v>
      </c>
      <c r="K4328" s="14"/>
      <c r="L4328" s="16"/>
      <c r="M4328" s="27" t="n">
        <f aca="false">J4328+(K4328/20)+(L4328/240)</f>
        <v>3</v>
      </c>
      <c r="N4328" s="17" t="s">
        <v>66</v>
      </c>
      <c r="O4328" s="11"/>
      <c r="P4328" s="28"/>
      <c r="Q4328" s="28" t="n">
        <f aca="false">P4328*$M4328</f>
        <v>0</v>
      </c>
      <c r="R4328" s="28"/>
      <c r="S4328" s="28" t="n">
        <f aca="false">R4328*$M4328</f>
        <v>0</v>
      </c>
      <c r="T4328" s="28"/>
      <c r="U4328" s="28" t="n">
        <f aca="false">T4328*$M4328</f>
        <v>0</v>
      </c>
      <c r="V4328" s="28" t="n">
        <v>284</v>
      </c>
      <c r="W4328" s="28" t="n">
        <v>852</v>
      </c>
      <c r="X4328" s="28" t="n">
        <v>8028</v>
      </c>
      <c r="Y4328" s="28" t="n">
        <v>24084</v>
      </c>
      <c r="Z4328" s="28"/>
      <c r="AA4328" s="28" t="n">
        <f aca="false">Z4328*$M4328</f>
        <v>0</v>
      </c>
      <c r="AB4328" s="28"/>
      <c r="AC4328" s="28" t="n">
        <f aca="false">AB4328*$M4328</f>
        <v>0</v>
      </c>
      <c r="AD4328" s="28"/>
      <c r="AE4328" s="28" t="n">
        <f aca="false">AD4328*$M4328</f>
        <v>0</v>
      </c>
      <c r="AF4328" s="28"/>
      <c r="AG4328" s="28" t="n">
        <f aca="false">AF4328*$M4328</f>
        <v>0</v>
      </c>
      <c r="AH4328" s="28"/>
      <c r="AI4328" s="28" t="n">
        <f aca="false">AH4328*$M4328</f>
        <v>0</v>
      </c>
      <c r="AJ4328" s="28"/>
      <c r="AK4328" s="28" t="n">
        <f aca="false">AJ4328*$M4328</f>
        <v>0</v>
      </c>
      <c r="AL4328" s="28" t="n">
        <v>2127</v>
      </c>
      <c r="AM4328" s="28" t="n">
        <v>6381</v>
      </c>
      <c r="AN4328" s="28"/>
      <c r="AO4328" s="28" t="n">
        <f aca="false">AN4328*$M4328</f>
        <v>0</v>
      </c>
      <c r="AP4328" s="28"/>
      <c r="AQ4328" s="28" t="n">
        <f aca="false">AP4328*$M4328</f>
        <v>0</v>
      </c>
      <c r="AR4328" s="28"/>
      <c r="AS4328" s="28" t="n">
        <f aca="false">AR4328*$M4328</f>
        <v>0</v>
      </c>
      <c r="AT4328" s="28"/>
      <c r="AU4328" s="28" t="n">
        <f aca="false">AT4328*$M4328</f>
        <v>0</v>
      </c>
      <c r="AV4328" s="28"/>
      <c r="AW4328" s="28" t="n">
        <f aca="false">AV4328*$M4328</f>
        <v>0</v>
      </c>
      <c r="AX4328" s="28"/>
      <c r="AY4328" s="28" t="n">
        <f aca="false">AX4328*$M4328</f>
        <v>0</v>
      </c>
      <c r="AZ4328" s="30" t="n">
        <v>10439</v>
      </c>
      <c r="BA4328" s="11" t="n">
        <v>31317</v>
      </c>
      <c r="BB4328" s="31" t="n">
        <f aca="false">SUM(Q4328,S4328,U4328,W4328,Y4328,AA4328,AC4328,AE4328,AG4328,AI4328,AK4328,AM4328,AO4328,AQ4328,AS4328,AU4328,AW4328,AY4328)</f>
        <v>31317</v>
      </c>
      <c r="BC4328" s="28" t="n">
        <f aca="false">BA4328-BB4328</f>
        <v>0</v>
      </c>
      <c r="BD4328" s="32" t="n">
        <f aca="false">SUM(P4328,R4328,T4328,V4328,X4328,Z4328,AB4328,AD4328,AF4328,AH4328,AJ4328,AL4328,AN4328,AP4328,AR4328,AT4328,AV4328,AX4328)</f>
        <v>10439</v>
      </c>
      <c r="BE4328" s="33" t="n">
        <f aca="false">AZ4328-BD4328</f>
        <v>0</v>
      </c>
      <c r="BF4328" s="34" t="n">
        <f aca="false">BD4328*M4328</f>
        <v>31317</v>
      </c>
      <c r="BG4328" s="35" t="n">
        <f aca="false">BA4328-BF4328</f>
        <v>0</v>
      </c>
      <c r="BH4328" s="19" t="str">
        <f aca="false">IF(BG4328=0,"",IF(BG4328&lt;&gt;BA4328,"erreur de calcul",IF(BD4328&lt;&gt;0,"pas de prix",IF(M4328&lt;&gt; 0,"pas de quantité","pas de prix, ni de quantité"))))</f>
        <v/>
      </c>
      <c r="BI4328" s="19"/>
    </row>
    <row r="4329" customFormat="false" ht="15" hidden="false" customHeight="false" outlineLevel="0" collapsed="false">
      <c r="A4329" s="0" t="n">
        <v>38</v>
      </c>
      <c r="B4329" s="8" t="s">
        <v>24</v>
      </c>
      <c r="C4329" s="9" t="s">
        <v>25</v>
      </c>
      <c r="D4329" s="9" t="s">
        <v>26</v>
      </c>
      <c r="E4329" s="10" t="n">
        <v>1789</v>
      </c>
      <c r="F4329" s="9" t="s">
        <v>27</v>
      </c>
      <c r="G4329" s="9" t="s">
        <v>27</v>
      </c>
      <c r="H4329" s="11" t="n">
        <v>21</v>
      </c>
      <c r="I4329" s="11" t="s">
        <v>191</v>
      </c>
      <c r="J4329" s="14" t="n">
        <v>25</v>
      </c>
      <c r="K4329" s="14"/>
      <c r="L4329" s="16"/>
      <c r="M4329" s="27" t="n">
        <f aca="false">J4329+(K4329/20)+(L4329/240)</f>
        <v>25</v>
      </c>
      <c r="N4329" s="17" t="s">
        <v>64</v>
      </c>
      <c r="O4329" s="11"/>
      <c r="P4329" s="28"/>
      <c r="Q4329" s="28" t="n">
        <f aca="false">P4329*$M4329</f>
        <v>0</v>
      </c>
      <c r="R4329" s="28"/>
      <c r="S4329" s="28" t="n">
        <f aca="false">R4329*$M4329</f>
        <v>0</v>
      </c>
      <c r="T4329" s="28"/>
      <c r="U4329" s="28" t="n">
        <f aca="false">T4329*$M4329</f>
        <v>0</v>
      </c>
      <c r="V4329" s="28"/>
      <c r="W4329" s="28" t="n">
        <f aca="false">V4329*$M4329</f>
        <v>0</v>
      </c>
      <c r="X4329" s="28" t="n">
        <f aca="false">5034/100</f>
        <v>50.34</v>
      </c>
      <c r="Y4329" s="28" t="n">
        <v>1258</v>
      </c>
      <c r="Z4329" s="28"/>
      <c r="AA4329" s="28" t="n">
        <f aca="false">Z4329*$M4329</f>
        <v>0</v>
      </c>
      <c r="AB4329" s="28"/>
      <c r="AC4329" s="28" t="n">
        <f aca="false">AB4329*$M4329</f>
        <v>0</v>
      </c>
      <c r="AD4329" s="28"/>
      <c r="AE4329" s="28" t="n">
        <f aca="false">AD4329*$M4329</f>
        <v>0</v>
      </c>
      <c r="AF4329" s="28"/>
      <c r="AG4329" s="28" t="n">
        <f aca="false">AF4329*$M4329</f>
        <v>0</v>
      </c>
      <c r="AH4329" s="28"/>
      <c r="AI4329" s="28" t="n">
        <f aca="false">AH4329*$M4329</f>
        <v>0</v>
      </c>
      <c r="AJ4329" s="28" t="n">
        <f aca="false">1375/100</f>
        <v>13.75</v>
      </c>
      <c r="AK4329" s="28" t="n">
        <v>344</v>
      </c>
      <c r="AL4329" s="28" t="n">
        <f aca="false">6710/100</f>
        <v>67.1</v>
      </c>
      <c r="AM4329" s="28" t="n">
        <v>1677</v>
      </c>
      <c r="AN4329" s="28"/>
      <c r="AO4329" s="28" t="n">
        <f aca="false">AN4329*$M4329</f>
        <v>0</v>
      </c>
      <c r="AP4329" s="28"/>
      <c r="AQ4329" s="28" t="n">
        <f aca="false">AP4329*$M4329</f>
        <v>0</v>
      </c>
      <c r="AR4329" s="28"/>
      <c r="AS4329" s="28" t="n">
        <f aca="false">AR4329*$M4329</f>
        <v>0</v>
      </c>
      <c r="AT4329" s="28"/>
      <c r="AU4329" s="28" t="n">
        <f aca="false">AT4329*$M4329</f>
        <v>0</v>
      </c>
      <c r="AV4329" s="28"/>
      <c r="AW4329" s="28" t="n">
        <f aca="false">AV4329*$M4329</f>
        <v>0</v>
      </c>
      <c r="AX4329" s="28"/>
      <c r="AY4329" s="28" t="n">
        <f aca="false">AX4329*$M4329</f>
        <v>0</v>
      </c>
      <c r="AZ4329" s="30" t="n">
        <f aca="false">13119/100</f>
        <v>131.19</v>
      </c>
      <c r="BA4329" s="11" t="n">
        <v>3279</v>
      </c>
      <c r="BB4329" s="31" t="n">
        <f aca="false">SUM(Q4329,S4329,U4329,W4329,Y4329,AA4329,AC4329,AE4329,AG4329,AI4329,AK4329,AM4329,AO4329,AQ4329,AS4329,AU4329,AW4329,AY4329)</f>
        <v>3279</v>
      </c>
      <c r="BC4329" s="28" t="n">
        <f aca="false">BA4329-BB4329</f>
        <v>0</v>
      </c>
      <c r="BD4329" s="32" t="n">
        <f aca="false">SUM(P4329,R4329,T4329,V4329,X4329,Z4329,AB4329,AD4329,AF4329,AH4329,AJ4329,AL4329,AN4329,AP4329,AR4329,AT4329,AV4329,AX4329)</f>
        <v>131.19</v>
      </c>
      <c r="BE4329" s="33" t="n">
        <f aca="false">AZ4329-BD4329</f>
        <v>0</v>
      </c>
      <c r="BF4329" s="34" t="n">
        <f aca="false">BD4329*M4329</f>
        <v>3279.75</v>
      </c>
      <c r="BG4329" s="35" t="n">
        <f aca="false">BA4329-BF4329</f>
        <v>-0.75</v>
      </c>
      <c r="BH4329" s="19" t="str">
        <f aca="false">IF(BG4329=0,"",IF(BG4329&lt;&gt;BA4329,"erreur de calcul",IF(BD4329&lt;&gt;0,"pas de prix",IF(M4329&lt;&gt; 0,"pas de quantité","pas de prix, ni de quantité"))))</f>
        <v>erreur de calcul</v>
      </c>
      <c r="BI4329" s="19"/>
    </row>
    <row r="4330" customFormat="false" ht="15" hidden="false" customHeight="false" outlineLevel="0" collapsed="false">
      <c r="A4330" s="0" t="n">
        <v>39</v>
      </c>
      <c r="B4330" s="8" t="s">
        <v>24</v>
      </c>
      <c r="C4330" s="9" t="s">
        <v>25</v>
      </c>
      <c r="D4330" s="9" t="s">
        <v>26</v>
      </c>
      <c r="E4330" s="10" t="n">
        <v>1789</v>
      </c>
      <c r="F4330" s="9" t="s">
        <v>27</v>
      </c>
      <c r="G4330" s="9" t="s">
        <v>27</v>
      </c>
      <c r="H4330" s="11" t="n">
        <v>21</v>
      </c>
      <c r="I4330" s="11" t="s">
        <v>192</v>
      </c>
      <c r="J4330" s="14" t="n">
        <v>25</v>
      </c>
      <c r="K4330" s="14"/>
      <c r="L4330" s="16"/>
      <c r="M4330" s="27" t="n">
        <f aca="false">J4330+(K4330/20)+(L4330/240)</f>
        <v>25</v>
      </c>
      <c r="N4330" s="17" t="s">
        <v>64</v>
      </c>
      <c r="O4330" s="11"/>
      <c r="P4330" s="28"/>
      <c r="Q4330" s="28" t="n">
        <f aca="false">P4330*$M4330</f>
        <v>0</v>
      </c>
      <c r="R4330" s="28"/>
      <c r="S4330" s="28" t="n">
        <f aca="false">R4330*$M4330</f>
        <v>0</v>
      </c>
      <c r="T4330" s="28"/>
      <c r="U4330" s="28" t="n">
        <f aca="false">T4330*$M4330</f>
        <v>0</v>
      </c>
      <c r="V4330" s="28"/>
      <c r="W4330" s="28" t="n">
        <f aca="false">V4330*$M4330</f>
        <v>0</v>
      </c>
      <c r="X4330" s="28" t="n">
        <f aca="false">5561/100</f>
        <v>55.61</v>
      </c>
      <c r="Y4330" s="28" t="n">
        <v>1390</v>
      </c>
      <c r="Z4330" s="28"/>
      <c r="AA4330" s="28" t="n">
        <f aca="false">Z4330*$M4330</f>
        <v>0</v>
      </c>
      <c r="AB4330" s="28"/>
      <c r="AC4330" s="28" t="n">
        <f aca="false">AB4330*$M4330</f>
        <v>0</v>
      </c>
      <c r="AD4330" s="28"/>
      <c r="AE4330" s="28" t="n">
        <f aca="false">AD4330*$M4330</f>
        <v>0</v>
      </c>
      <c r="AF4330" s="28"/>
      <c r="AG4330" s="28" t="n">
        <f aca="false">AF4330*$M4330</f>
        <v>0</v>
      </c>
      <c r="AH4330" s="28"/>
      <c r="AI4330" s="28" t="n">
        <f aca="false">AH4330*$M4330</f>
        <v>0</v>
      </c>
      <c r="AJ4330" s="28"/>
      <c r="AK4330" s="28" t="n">
        <f aca="false">AJ4330*$M4330</f>
        <v>0</v>
      </c>
      <c r="AL4330" s="28"/>
      <c r="AM4330" s="28" t="n">
        <f aca="false">AL4330*$M4330</f>
        <v>0</v>
      </c>
      <c r="AN4330" s="28"/>
      <c r="AO4330" s="28" t="n">
        <f aca="false">AN4330*$M4330</f>
        <v>0</v>
      </c>
      <c r="AP4330" s="28"/>
      <c r="AQ4330" s="28" t="n">
        <f aca="false">AP4330*$M4330</f>
        <v>0</v>
      </c>
      <c r="AR4330" s="28"/>
      <c r="AS4330" s="28" t="n">
        <f aca="false">AR4330*$M4330</f>
        <v>0</v>
      </c>
      <c r="AT4330" s="28"/>
      <c r="AU4330" s="28" t="n">
        <f aca="false">AT4330*$M4330</f>
        <v>0</v>
      </c>
      <c r="AV4330" s="28"/>
      <c r="AW4330" s="28" t="n">
        <f aca="false">AV4330*$M4330</f>
        <v>0</v>
      </c>
      <c r="AX4330" s="28"/>
      <c r="AY4330" s="28" t="n">
        <f aca="false">AX4330*$M4330</f>
        <v>0</v>
      </c>
      <c r="AZ4330" s="30" t="n">
        <f aca="false">5561/100</f>
        <v>55.61</v>
      </c>
      <c r="BA4330" s="11" t="n">
        <v>1390</v>
      </c>
      <c r="BB4330" s="31" t="n">
        <f aca="false">SUM(Q4330,S4330,U4330,W4330,Y4330,AA4330,AC4330,AE4330,AG4330,AI4330,AK4330,AM4330,AO4330,AQ4330,AS4330,AU4330,AW4330,AY4330)</f>
        <v>1390</v>
      </c>
      <c r="BC4330" s="28" t="n">
        <f aca="false">BA4330-BB4330</f>
        <v>0</v>
      </c>
      <c r="BD4330" s="32" t="n">
        <f aca="false">SUM(P4330,R4330,T4330,V4330,X4330,Z4330,AB4330,AD4330,AF4330,AH4330,AJ4330,AL4330,AN4330,AP4330,AR4330,AT4330,AV4330,AX4330)</f>
        <v>55.61</v>
      </c>
      <c r="BE4330" s="33" t="n">
        <f aca="false">AZ4330-BD4330</f>
        <v>0</v>
      </c>
      <c r="BF4330" s="34" t="n">
        <f aca="false">BD4330*M4330</f>
        <v>1390.25</v>
      </c>
      <c r="BG4330" s="35" t="n">
        <f aca="false">BA4330-BF4330</f>
        <v>-0.25</v>
      </c>
      <c r="BH4330" s="19" t="str">
        <f aca="false">IF(BG4330=0,"",IF(BG4330&lt;&gt;BA4330,"erreur de calcul",IF(BD4330&lt;&gt;0,"pas de prix",IF(M4330&lt;&gt; 0,"pas de quantité","pas de prix, ni de quantité"))))</f>
        <v>erreur de calcul</v>
      </c>
      <c r="BI4330" s="19"/>
    </row>
    <row r="4331" customFormat="false" ht="15" hidden="false" customHeight="false" outlineLevel="0" collapsed="false">
      <c r="A4331" s="0" t="n">
        <v>40</v>
      </c>
      <c r="B4331" s="8" t="s">
        <v>24</v>
      </c>
      <c r="C4331" s="9" t="s">
        <v>25</v>
      </c>
      <c r="D4331" s="9" t="s">
        <v>26</v>
      </c>
      <c r="E4331" s="10" t="n">
        <v>1789</v>
      </c>
      <c r="F4331" s="9" t="s">
        <v>27</v>
      </c>
      <c r="G4331" s="9" t="s">
        <v>27</v>
      </c>
      <c r="H4331" s="11" t="n">
        <v>21</v>
      </c>
      <c r="I4331" s="11" t="s">
        <v>193</v>
      </c>
      <c r="J4331" s="14" t="n">
        <v>168</v>
      </c>
      <c r="K4331" s="14"/>
      <c r="L4331" s="16"/>
      <c r="M4331" s="27" t="n">
        <f aca="false">J4331+(K4331/20)+(L4331/240)</f>
        <v>168</v>
      </c>
      <c r="N4331" s="17" t="s">
        <v>64</v>
      </c>
      <c r="O4331" s="11"/>
      <c r="P4331" s="28"/>
      <c r="Q4331" s="28" t="n">
        <f aca="false">P4331*$M4331</f>
        <v>0</v>
      </c>
      <c r="R4331" s="28"/>
      <c r="S4331" s="28" t="n">
        <f aca="false">R4331*$M4331</f>
        <v>0</v>
      </c>
      <c r="T4331" s="28"/>
      <c r="U4331" s="28" t="n">
        <f aca="false">T4331*$M4331</f>
        <v>0</v>
      </c>
      <c r="V4331" s="28"/>
      <c r="W4331" s="28" t="n">
        <f aca="false">V4331*$M4331</f>
        <v>0</v>
      </c>
      <c r="X4331" s="28"/>
      <c r="Y4331" s="28" t="n">
        <f aca="false">X4331*$M4331</f>
        <v>0</v>
      </c>
      <c r="Z4331" s="28"/>
      <c r="AA4331" s="28" t="n">
        <f aca="false">Z4331*$M4331</f>
        <v>0</v>
      </c>
      <c r="AB4331" s="28"/>
      <c r="AC4331" s="28" t="n">
        <f aca="false">AB4331*$M4331</f>
        <v>0</v>
      </c>
      <c r="AD4331" s="28"/>
      <c r="AE4331" s="28" t="n">
        <f aca="false">AD4331*$M4331</f>
        <v>0</v>
      </c>
      <c r="AF4331" s="28"/>
      <c r="AG4331" s="28" t="n">
        <f aca="false">AF4331*$M4331</f>
        <v>0</v>
      </c>
      <c r="AH4331" s="28" t="n">
        <f aca="false">14590/100</f>
        <v>145.9</v>
      </c>
      <c r="AI4331" s="28" t="n">
        <v>24511</v>
      </c>
      <c r="AJ4331" s="28"/>
      <c r="AK4331" s="28" t="n">
        <f aca="false">AJ4331*$M4331</f>
        <v>0</v>
      </c>
      <c r="AL4331" s="28"/>
      <c r="AM4331" s="28" t="n">
        <f aca="false">AL4331*$M4331</f>
        <v>0</v>
      </c>
      <c r="AN4331" s="28"/>
      <c r="AO4331" s="28" t="n">
        <f aca="false">AN4331*$M4331</f>
        <v>0</v>
      </c>
      <c r="AP4331" s="28"/>
      <c r="AQ4331" s="28" t="n">
        <f aca="false">AP4331*$M4331</f>
        <v>0</v>
      </c>
      <c r="AR4331" s="28"/>
      <c r="AS4331" s="28" t="n">
        <f aca="false">AR4331*$M4331</f>
        <v>0</v>
      </c>
      <c r="AT4331" s="28"/>
      <c r="AU4331" s="28" t="n">
        <f aca="false">AT4331*$M4331</f>
        <v>0</v>
      </c>
      <c r="AV4331" s="28"/>
      <c r="AW4331" s="28" t="n">
        <f aca="false">AV4331*$M4331</f>
        <v>0</v>
      </c>
      <c r="AX4331" s="28"/>
      <c r="AY4331" s="28" t="n">
        <f aca="false">AX4331*$M4331</f>
        <v>0</v>
      </c>
      <c r="AZ4331" s="30" t="n">
        <f aca="false">14590/100</f>
        <v>145.9</v>
      </c>
      <c r="BA4331" s="11" t="n">
        <v>24511</v>
      </c>
      <c r="BB4331" s="31" t="n">
        <f aca="false">SUM(Q4331,S4331,U4331,W4331,Y4331,AA4331,AC4331,AE4331,AG4331,AI4331,AK4331,AM4331,AO4331,AQ4331,AS4331,AU4331,AW4331,AY4331)</f>
        <v>24511</v>
      </c>
      <c r="BC4331" s="28" t="n">
        <f aca="false">BA4331-BB4331</f>
        <v>0</v>
      </c>
      <c r="BD4331" s="32" t="n">
        <f aca="false">SUM(P4331,R4331,T4331,V4331,X4331,Z4331,AB4331,AD4331,AF4331,AH4331,AJ4331,AL4331,AN4331,AP4331,AR4331,AT4331,AV4331,AX4331)</f>
        <v>145.9</v>
      </c>
      <c r="BE4331" s="33" t="n">
        <f aca="false">AZ4331-BD4331</f>
        <v>0</v>
      </c>
      <c r="BF4331" s="34" t="n">
        <f aca="false">BD4331*M4331</f>
        <v>24511.2</v>
      </c>
      <c r="BG4331" s="35" t="n">
        <f aca="false">BA4331-BF4331</f>
        <v>-0.200000000000728</v>
      </c>
      <c r="BH4331" s="19" t="str">
        <f aca="false">IF(BG4331=0,"",IF(BG4331&lt;&gt;BA4331,"erreur de calcul",IF(BD4331&lt;&gt;0,"pas de prix",IF(M4331&lt;&gt; 0,"pas de quantité","pas de prix, ni de quantité"))))</f>
        <v>erreur de calcul</v>
      </c>
      <c r="BI4331" s="19"/>
    </row>
    <row r="4332" customFormat="false" ht="15" hidden="false" customHeight="false" outlineLevel="0" collapsed="false">
      <c r="A4332" s="0" t="n">
        <v>41</v>
      </c>
      <c r="B4332" s="8" t="s">
        <v>24</v>
      </c>
      <c r="C4332" s="9" t="s">
        <v>25</v>
      </c>
      <c r="D4332" s="9" t="s">
        <v>26</v>
      </c>
      <c r="E4332" s="10" t="n">
        <v>1789</v>
      </c>
      <c r="F4332" s="9" t="s">
        <v>27</v>
      </c>
      <c r="G4332" s="9" t="s">
        <v>27</v>
      </c>
      <c r="H4332" s="11" t="n">
        <v>21</v>
      </c>
      <c r="I4332" s="11" t="s">
        <v>194</v>
      </c>
      <c r="J4332" s="14" t="n">
        <v>120</v>
      </c>
      <c r="K4332" s="14"/>
      <c r="L4332" s="16"/>
      <c r="M4332" s="27" t="n">
        <f aca="false">J4332+(K4332/20)+(L4332/240)</f>
        <v>120</v>
      </c>
      <c r="N4332" s="17" t="s">
        <v>64</v>
      </c>
      <c r="O4332" s="11"/>
      <c r="P4332" s="28"/>
      <c r="Q4332" s="28" t="n">
        <f aca="false">P4332*$M4332</f>
        <v>0</v>
      </c>
      <c r="R4332" s="28"/>
      <c r="S4332" s="28" t="n">
        <f aca="false">R4332*$M4332</f>
        <v>0</v>
      </c>
      <c r="T4332" s="28"/>
      <c r="U4332" s="28" t="n">
        <f aca="false">T4332*$M4332</f>
        <v>0</v>
      </c>
      <c r="V4332" s="28"/>
      <c r="W4332" s="28" t="n">
        <f aca="false">V4332*$M4332</f>
        <v>0</v>
      </c>
      <c r="X4332" s="28"/>
      <c r="Y4332" s="28" t="n">
        <f aca="false">X4332*$M4332</f>
        <v>0</v>
      </c>
      <c r="Z4332" s="28"/>
      <c r="AA4332" s="28" t="n">
        <f aca="false">Z4332*$M4332</f>
        <v>0</v>
      </c>
      <c r="AB4332" s="28" t="n">
        <f aca="false">6930/100</f>
        <v>69.3</v>
      </c>
      <c r="AC4332" s="28" t="n">
        <v>8316</v>
      </c>
      <c r="AD4332" s="28"/>
      <c r="AE4332" s="28" t="n">
        <f aca="false">AD4332*$M4332</f>
        <v>0</v>
      </c>
      <c r="AF4332" s="28"/>
      <c r="AG4332" s="28" t="n">
        <f aca="false">AF4332*$M4332</f>
        <v>0</v>
      </c>
      <c r="AH4332" s="28"/>
      <c r="AI4332" s="28" t="n">
        <f aca="false">AH4332*$M4332</f>
        <v>0</v>
      </c>
      <c r="AJ4332" s="28"/>
      <c r="AK4332" s="28" t="n">
        <f aca="false">AJ4332*$M4332</f>
        <v>0</v>
      </c>
      <c r="AL4332" s="28"/>
      <c r="AM4332" s="28" t="n">
        <f aca="false">AL4332*$M4332</f>
        <v>0</v>
      </c>
      <c r="AN4332" s="28"/>
      <c r="AO4332" s="28" t="n">
        <f aca="false">AN4332*$M4332</f>
        <v>0</v>
      </c>
      <c r="AP4332" s="28"/>
      <c r="AQ4332" s="28" t="n">
        <f aca="false">AP4332*$M4332</f>
        <v>0</v>
      </c>
      <c r="AR4332" s="28"/>
      <c r="AS4332" s="28" t="n">
        <f aca="false">AR4332*$M4332</f>
        <v>0</v>
      </c>
      <c r="AT4332" s="28"/>
      <c r="AU4332" s="28" t="n">
        <f aca="false">AT4332*$M4332</f>
        <v>0</v>
      </c>
      <c r="AV4332" s="28"/>
      <c r="AW4332" s="28" t="n">
        <f aca="false">AV4332*$M4332</f>
        <v>0</v>
      </c>
      <c r="AX4332" s="28"/>
      <c r="AY4332" s="28" t="n">
        <f aca="false">AX4332*$M4332</f>
        <v>0</v>
      </c>
      <c r="AZ4332" s="30" t="n">
        <f aca="false">6930/100</f>
        <v>69.3</v>
      </c>
      <c r="BA4332" s="11" t="n">
        <v>8316</v>
      </c>
      <c r="BB4332" s="31" t="n">
        <f aca="false">SUM(Q4332,S4332,U4332,W4332,Y4332,AA4332,AC4332,AE4332,AG4332,AI4332,AK4332,AM4332,AO4332,AQ4332,AS4332,AU4332,AW4332,AY4332)</f>
        <v>8316</v>
      </c>
      <c r="BC4332" s="28" t="n">
        <f aca="false">BA4332-BB4332</f>
        <v>0</v>
      </c>
      <c r="BD4332" s="32" t="n">
        <f aca="false">SUM(P4332,R4332,T4332,V4332,X4332,Z4332,AB4332,AD4332,AF4332,AH4332,AJ4332,AL4332,AN4332,AP4332,AR4332,AT4332,AV4332,AX4332)</f>
        <v>69.3</v>
      </c>
      <c r="BE4332" s="33" t="n">
        <f aca="false">AZ4332-BD4332</f>
        <v>0</v>
      </c>
      <c r="BF4332" s="34" t="n">
        <f aca="false">BD4332*M4332</f>
        <v>8316</v>
      </c>
      <c r="BG4332" s="35" t="n">
        <f aca="false">BA4332-BF4332</f>
        <v>0</v>
      </c>
      <c r="BH4332" s="19" t="str">
        <f aca="false">IF(BG4332=0,"",IF(BG4332&lt;&gt;BA4332,"erreur de calcul",IF(BD4332&lt;&gt;0,"pas de prix",IF(M4332&lt;&gt; 0,"pas de quantité","pas de prix, ni de quantité"))))</f>
        <v/>
      </c>
      <c r="BI4332" s="19"/>
    </row>
    <row r="4333" customFormat="false" ht="16.65" hidden="false" customHeight="false" outlineLevel="0" collapsed="false">
      <c r="A4333" s="0" t="n">
        <v>42</v>
      </c>
      <c r="B4333" s="8" t="s">
        <v>24</v>
      </c>
      <c r="C4333" s="9" t="s">
        <v>25</v>
      </c>
      <c r="D4333" s="9" t="s">
        <v>26</v>
      </c>
      <c r="E4333" s="10" t="n">
        <v>1789</v>
      </c>
      <c r="F4333" s="9" t="s">
        <v>27</v>
      </c>
      <c r="G4333" s="9" t="s">
        <v>27</v>
      </c>
      <c r="H4333" s="11" t="n">
        <v>21</v>
      </c>
      <c r="I4333" s="11" t="s">
        <v>195</v>
      </c>
      <c r="J4333" s="14" t="n">
        <v>70</v>
      </c>
      <c r="K4333" s="14"/>
      <c r="L4333" s="16"/>
      <c r="M4333" s="27" t="n">
        <f aca="false">J4333+(K4333/20)+(L4333/240)</f>
        <v>70</v>
      </c>
      <c r="N4333" s="17" t="s">
        <v>64</v>
      </c>
      <c r="O4333" s="11"/>
      <c r="P4333" s="28"/>
      <c r="Q4333" s="28" t="n">
        <f aca="false">P4333*$M4333</f>
        <v>0</v>
      </c>
      <c r="R4333" s="28"/>
      <c r="S4333" s="28" t="n">
        <f aca="false">R4333*$M4333</f>
        <v>0</v>
      </c>
      <c r="T4333" s="28"/>
      <c r="U4333" s="28" t="n">
        <f aca="false">T4333*$M4333</f>
        <v>0</v>
      </c>
      <c r="V4333" s="28"/>
      <c r="W4333" s="28" t="n">
        <f aca="false">V4333*$M4333</f>
        <v>0</v>
      </c>
      <c r="X4333" s="28"/>
      <c r="Y4333" s="28" t="n">
        <f aca="false">X4333*$M4333</f>
        <v>0</v>
      </c>
      <c r="Z4333" s="28"/>
      <c r="AA4333" s="28" t="n">
        <f aca="false">Z4333*$M4333</f>
        <v>0</v>
      </c>
      <c r="AB4333" s="28"/>
      <c r="AC4333" s="28" t="n">
        <f aca="false">AB4333*$M4333</f>
        <v>0</v>
      </c>
      <c r="AD4333" s="28"/>
      <c r="AE4333" s="28" t="n">
        <f aca="false">AD4333*$M4333</f>
        <v>0</v>
      </c>
      <c r="AF4333" s="28"/>
      <c r="AG4333" s="28" t="n">
        <f aca="false">AF4333*$M4333</f>
        <v>0</v>
      </c>
      <c r="AH4333" s="28"/>
      <c r="AI4333" s="28" t="n">
        <f aca="false">AH4333*$M4333</f>
        <v>0</v>
      </c>
      <c r="AJ4333" s="28"/>
      <c r="AK4333" s="28" t="n">
        <f aca="false">AJ4333*$M4333</f>
        <v>0</v>
      </c>
      <c r="AL4333" s="28"/>
      <c r="AM4333" s="28" t="n">
        <f aca="false">AL4333*$M4333</f>
        <v>0</v>
      </c>
      <c r="AN4333" s="28" t="n">
        <f aca="false">13200/100</f>
        <v>132</v>
      </c>
      <c r="AO4333" s="28" t="n">
        <v>9240</v>
      </c>
      <c r="AP4333" s="28"/>
      <c r="AQ4333" s="28" t="n">
        <f aca="false">AP4333*$M4333</f>
        <v>0</v>
      </c>
      <c r="AR4333" s="28"/>
      <c r="AS4333" s="28" t="n">
        <f aca="false">AR4333*$M4333</f>
        <v>0</v>
      </c>
      <c r="AT4333" s="28"/>
      <c r="AU4333" s="28" t="n">
        <f aca="false">AT4333*$M4333</f>
        <v>0</v>
      </c>
      <c r="AV4333" s="28"/>
      <c r="AW4333" s="28" t="n">
        <f aca="false">AV4333*$M4333</f>
        <v>0</v>
      </c>
      <c r="AX4333" s="28"/>
      <c r="AY4333" s="28" t="n">
        <f aca="false">AX4333*$M4333</f>
        <v>0</v>
      </c>
      <c r="AZ4333" s="30" t="n">
        <f aca="false">13200/100</f>
        <v>132</v>
      </c>
      <c r="BA4333" s="11" t="n">
        <v>9240</v>
      </c>
      <c r="BB4333" s="31" t="n">
        <f aca="false">SUM(Q4333,S4333,U4333,W4333,Y4333,AA4333,AC4333,AE4333,AG4333,AI4333,AK4333,AM4333,AO4333,AQ4333,AS4333,AU4333,AW4333,AY4333)</f>
        <v>9240</v>
      </c>
      <c r="BC4333" s="28" t="n">
        <f aca="false">BA4333-BB4333</f>
        <v>0</v>
      </c>
      <c r="BD4333" s="32" t="n">
        <f aca="false">SUM(P4333,R4333,T4333,V4333,X4333,Z4333,AB4333,AD4333,AF4333,AH4333,AJ4333,AL4333,AN4333,AP4333,AR4333,AT4333,AV4333,AX4333)</f>
        <v>132</v>
      </c>
      <c r="BE4333" s="33" t="n">
        <f aca="false">AZ4333-BD4333</f>
        <v>0</v>
      </c>
      <c r="BF4333" s="34" t="n">
        <f aca="false">BD4333*M4333</f>
        <v>9240</v>
      </c>
      <c r="BG4333" s="35" t="n">
        <f aca="false">BA4333-BF4333</f>
        <v>0</v>
      </c>
      <c r="BH4333" s="19" t="str">
        <f aca="false">IF(BG4333=0,"",IF(BG4333&lt;&gt;BA4333,"erreur de calcul",IF(BD4333&lt;&gt;0,"pas de prix",IF(M4333&lt;&gt; 0,"pas de quantité","pas de prix, ni de quantité"))))</f>
        <v/>
      </c>
      <c r="BI4333" s="19"/>
    </row>
    <row r="4334" customFormat="false" ht="15" hidden="false" customHeight="false" outlineLevel="0" collapsed="false">
      <c r="A4334" s="0" t="n">
        <v>43</v>
      </c>
      <c r="B4334" s="8" t="s">
        <v>24</v>
      </c>
      <c r="C4334" s="9" t="s">
        <v>25</v>
      </c>
      <c r="D4334" s="9" t="s">
        <v>26</v>
      </c>
      <c r="E4334" s="10" t="n">
        <v>1789</v>
      </c>
      <c r="F4334" s="9" t="s">
        <v>27</v>
      </c>
      <c r="G4334" s="9" t="s">
        <v>27</v>
      </c>
      <c r="H4334" s="11" t="n">
        <v>21</v>
      </c>
      <c r="I4334" s="11" t="s">
        <v>196</v>
      </c>
      <c r="J4334" s="14" t="n">
        <v>65</v>
      </c>
      <c r="K4334" s="14"/>
      <c r="L4334" s="16"/>
      <c r="M4334" s="27" t="n">
        <f aca="false">J4334+(K4334/20)+(L4334/240)</f>
        <v>65</v>
      </c>
      <c r="N4334" s="17" t="s">
        <v>64</v>
      </c>
      <c r="O4334" s="11"/>
      <c r="P4334" s="28"/>
      <c r="Q4334" s="28" t="n">
        <f aca="false">P4334*$M4334</f>
        <v>0</v>
      </c>
      <c r="R4334" s="28"/>
      <c r="S4334" s="28" t="n">
        <f aca="false">R4334*$M4334</f>
        <v>0</v>
      </c>
      <c r="T4334" s="28"/>
      <c r="U4334" s="28" t="n">
        <f aca="false">T4334*$M4334</f>
        <v>0</v>
      </c>
      <c r="V4334" s="28"/>
      <c r="W4334" s="28" t="n">
        <f aca="false">V4334*$M4334</f>
        <v>0</v>
      </c>
      <c r="X4334" s="28" t="n">
        <f aca="false">44247/100</f>
        <v>442.47</v>
      </c>
      <c r="Y4334" s="28" t="n">
        <v>28760</v>
      </c>
      <c r="Z4334" s="28" t="n">
        <f aca="false">1906/100</f>
        <v>19.06</v>
      </c>
      <c r="AA4334" s="28" t="n">
        <v>1239</v>
      </c>
      <c r="AB4334" s="28"/>
      <c r="AC4334" s="28" t="n">
        <f aca="false">AB4334*$M4334</f>
        <v>0</v>
      </c>
      <c r="AD4334" s="28"/>
      <c r="AE4334" s="28" t="n">
        <f aca="false">AD4334*$M4334</f>
        <v>0</v>
      </c>
      <c r="AF4334" s="28"/>
      <c r="AG4334" s="28" t="n">
        <f aca="false">AF4334*$M4334</f>
        <v>0</v>
      </c>
      <c r="AH4334" s="28"/>
      <c r="AI4334" s="28" t="n">
        <f aca="false">AH4334*$M4334</f>
        <v>0</v>
      </c>
      <c r="AJ4334" s="28" t="n">
        <f aca="false">625/100</f>
        <v>6.25</v>
      </c>
      <c r="AK4334" s="28" t="n">
        <v>406</v>
      </c>
      <c r="AL4334" s="28"/>
      <c r="AM4334" s="28" t="n">
        <f aca="false">AL4334*$M4334</f>
        <v>0</v>
      </c>
      <c r="AN4334" s="28"/>
      <c r="AO4334" s="28" t="n">
        <f aca="false">AN4334*$M4334</f>
        <v>0</v>
      </c>
      <c r="AP4334" s="28"/>
      <c r="AQ4334" s="28" t="n">
        <f aca="false">AP4334*$M4334</f>
        <v>0</v>
      </c>
      <c r="AR4334" s="28"/>
      <c r="AS4334" s="28" t="n">
        <f aca="false">AR4334*$M4334</f>
        <v>0</v>
      </c>
      <c r="AT4334" s="28"/>
      <c r="AU4334" s="28" t="n">
        <f aca="false">AT4334*$M4334</f>
        <v>0</v>
      </c>
      <c r="AV4334" s="28"/>
      <c r="AW4334" s="28" t="n">
        <f aca="false">AV4334*$M4334</f>
        <v>0</v>
      </c>
      <c r="AX4334" s="28"/>
      <c r="AY4334" s="28" t="n">
        <f aca="false">AX4334*$M4334</f>
        <v>0</v>
      </c>
      <c r="AZ4334" s="30" t="n">
        <f aca="false">46778/100</f>
        <v>467.78</v>
      </c>
      <c r="BA4334" s="11" t="n">
        <v>30405</v>
      </c>
      <c r="BB4334" s="31" t="n">
        <f aca="false">SUM(Q4334,S4334,U4334,W4334,Y4334,AA4334,AC4334,AE4334,AG4334,AI4334,AK4334,AM4334,AO4334,AQ4334,AS4334,AU4334,AW4334,AY4334)</f>
        <v>30405</v>
      </c>
      <c r="BC4334" s="28" t="n">
        <f aca="false">BA4334-BB4334</f>
        <v>0</v>
      </c>
      <c r="BD4334" s="32" t="n">
        <f aca="false">SUM(P4334,R4334,T4334,V4334,X4334,Z4334,AB4334,AD4334,AF4334,AH4334,AJ4334,AL4334,AN4334,AP4334,AR4334,AT4334,AV4334,AX4334)</f>
        <v>467.78</v>
      </c>
      <c r="BE4334" s="33" t="n">
        <f aca="false">AZ4334-BD4334</f>
        <v>0</v>
      </c>
      <c r="BF4334" s="34" t="n">
        <f aca="false">BD4334*M4334</f>
        <v>30405.7</v>
      </c>
      <c r="BG4334" s="35" t="n">
        <f aca="false">BA4334-BF4334</f>
        <v>-0.700000000000728</v>
      </c>
      <c r="BH4334" s="19" t="str">
        <f aca="false">IF(BG4334=0,"",IF(BG4334&lt;&gt;BA4334,"erreur de calcul",IF(BD4334&lt;&gt;0,"pas de prix",IF(M4334&lt;&gt; 0,"pas de quantité","pas de prix, ni de quantité"))))</f>
        <v>erreur de calcul</v>
      </c>
      <c r="BI4334" s="19"/>
    </row>
    <row r="4335" customFormat="false" ht="15" hidden="false" customHeight="false" outlineLevel="0" collapsed="false">
      <c r="A4335" s="0" t="n">
        <v>44</v>
      </c>
      <c r="B4335" s="8" t="s">
        <v>24</v>
      </c>
      <c r="C4335" s="9" t="s">
        <v>25</v>
      </c>
      <c r="D4335" s="9" t="s">
        <v>26</v>
      </c>
      <c r="E4335" s="10" t="n">
        <v>1789</v>
      </c>
      <c r="F4335" s="9" t="s">
        <v>27</v>
      </c>
      <c r="G4335" s="9" t="s">
        <v>27</v>
      </c>
      <c r="H4335" s="11" t="n">
        <v>21</v>
      </c>
      <c r="I4335" s="11" t="s">
        <v>197</v>
      </c>
      <c r="J4335" s="14" t="n">
        <v>70</v>
      </c>
      <c r="K4335" s="14"/>
      <c r="L4335" s="16"/>
      <c r="M4335" s="27" t="n">
        <f aca="false">J4335+(K4335/20)+(L4335/240)</f>
        <v>70</v>
      </c>
      <c r="N4335" s="17" t="s">
        <v>64</v>
      </c>
      <c r="O4335" s="11"/>
      <c r="P4335" s="28"/>
      <c r="Q4335" s="28" t="n">
        <f aca="false">P4335*$M4335</f>
        <v>0</v>
      </c>
      <c r="R4335" s="28"/>
      <c r="S4335" s="28" t="n">
        <f aca="false">R4335*$M4335</f>
        <v>0</v>
      </c>
      <c r="T4335" s="28"/>
      <c r="U4335" s="28" t="n">
        <f aca="false">T4335*$M4335</f>
        <v>0</v>
      </c>
      <c r="V4335" s="28"/>
      <c r="W4335" s="28" t="n">
        <f aca="false">V4335*$M4335</f>
        <v>0</v>
      </c>
      <c r="X4335" s="28"/>
      <c r="Y4335" s="28" t="n">
        <f aca="false">X4335*$M4335</f>
        <v>0</v>
      </c>
      <c r="Z4335" s="28"/>
      <c r="AA4335" s="28" t="n">
        <f aca="false">Z4335*$M4335</f>
        <v>0</v>
      </c>
      <c r="AB4335" s="28"/>
      <c r="AC4335" s="28" t="n">
        <f aca="false">AB4335*$M4335</f>
        <v>0</v>
      </c>
      <c r="AD4335" s="28"/>
      <c r="AE4335" s="28" t="n">
        <f aca="false">AD4335*$M4335</f>
        <v>0</v>
      </c>
      <c r="AF4335" s="28"/>
      <c r="AG4335" s="28" t="n">
        <f aca="false">AF4335*$M4335</f>
        <v>0</v>
      </c>
      <c r="AH4335" s="28" t="n">
        <f aca="false">156436/100</f>
        <v>1564.36</v>
      </c>
      <c r="AI4335" s="28" t="n">
        <v>109505</v>
      </c>
      <c r="AJ4335" s="28"/>
      <c r="AK4335" s="28" t="n">
        <f aca="false">AJ4335*$M4335</f>
        <v>0</v>
      </c>
      <c r="AL4335" s="28"/>
      <c r="AM4335" s="28" t="n">
        <f aca="false">AL4335*$M4335</f>
        <v>0</v>
      </c>
      <c r="AN4335" s="28"/>
      <c r="AO4335" s="28" t="n">
        <f aca="false">AN4335*$M4335</f>
        <v>0</v>
      </c>
      <c r="AP4335" s="28"/>
      <c r="AQ4335" s="28" t="n">
        <f aca="false">AP4335*$M4335</f>
        <v>0</v>
      </c>
      <c r="AR4335" s="28"/>
      <c r="AS4335" s="28" t="n">
        <f aca="false">AR4335*$M4335</f>
        <v>0</v>
      </c>
      <c r="AT4335" s="28"/>
      <c r="AU4335" s="28" t="n">
        <f aca="false">AT4335*$M4335</f>
        <v>0</v>
      </c>
      <c r="AV4335" s="28"/>
      <c r="AW4335" s="28" t="n">
        <f aca="false">AV4335*$M4335</f>
        <v>0</v>
      </c>
      <c r="AX4335" s="28"/>
      <c r="AY4335" s="28" t="n">
        <f aca="false">AX4335*$M4335</f>
        <v>0</v>
      </c>
      <c r="AZ4335" s="30" t="n">
        <f aca="false">156436/100</f>
        <v>1564.36</v>
      </c>
      <c r="BA4335" s="11" t="n">
        <v>109505</v>
      </c>
      <c r="BB4335" s="31" t="n">
        <f aca="false">SUM(Q4335,S4335,U4335,W4335,Y4335,AA4335,AC4335,AE4335,AG4335,AI4335,AK4335,AM4335,AO4335,AQ4335,AS4335,AU4335,AW4335,AY4335)</f>
        <v>109505</v>
      </c>
      <c r="BC4335" s="28" t="n">
        <f aca="false">BA4335-BB4335</f>
        <v>0</v>
      </c>
      <c r="BD4335" s="32" t="n">
        <f aca="false">SUM(P4335,R4335,T4335,V4335,X4335,Z4335,AB4335,AD4335,AF4335,AH4335,AJ4335,AL4335,AN4335,AP4335,AR4335,AT4335,AV4335,AX4335)</f>
        <v>1564.36</v>
      </c>
      <c r="BE4335" s="33" t="n">
        <f aca="false">AZ4335-BD4335</f>
        <v>0</v>
      </c>
      <c r="BF4335" s="34" t="n">
        <f aca="false">BD4335*M4335</f>
        <v>109505.2</v>
      </c>
      <c r="BG4335" s="35" t="n">
        <f aca="false">BA4335-BF4335</f>
        <v>-0.19999999999709</v>
      </c>
      <c r="BH4335" s="19" t="str">
        <f aca="false">IF(BG4335=0,"",IF(BG4335&lt;&gt;BA4335,"erreur de calcul",IF(BD4335&lt;&gt;0,"pas de prix",IF(M4335&lt;&gt; 0,"pas de quantité","pas de prix, ni de quantité"))))</f>
        <v>erreur de calcul</v>
      </c>
      <c r="BI4335" s="19"/>
    </row>
    <row r="4336" customFormat="false" ht="15" hidden="false" customHeight="false" outlineLevel="0" collapsed="false">
      <c r="A4336" s="0" t="n">
        <v>45</v>
      </c>
      <c r="B4336" s="8" t="s">
        <v>24</v>
      </c>
      <c r="C4336" s="9" t="s">
        <v>25</v>
      </c>
      <c r="D4336" s="9" t="s">
        <v>26</v>
      </c>
      <c r="E4336" s="10" t="n">
        <v>1789</v>
      </c>
      <c r="F4336" s="9" t="s">
        <v>27</v>
      </c>
      <c r="G4336" s="9" t="s">
        <v>27</v>
      </c>
      <c r="H4336" s="11" t="n">
        <v>21</v>
      </c>
      <c r="I4336" s="11" t="s">
        <v>198</v>
      </c>
      <c r="J4336" s="14"/>
      <c r="K4336" s="14"/>
      <c r="L4336" s="16"/>
      <c r="M4336" s="27" t="n">
        <f aca="false">J4336+(K4336/20)+(L4336/240)</f>
        <v>0</v>
      </c>
      <c r="N4336" s="17"/>
      <c r="O4336" s="11" t="s">
        <v>98</v>
      </c>
      <c r="P4336" s="28"/>
      <c r="Q4336" s="28" t="n">
        <v>387</v>
      </c>
      <c r="R4336" s="28"/>
      <c r="S4336" s="28" t="n">
        <f aca="false">R4336*$M4336</f>
        <v>0</v>
      </c>
      <c r="T4336" s="28"/>
      <c r="U4336" s="28" t="n">
        <v>2349</v>
      </c>
      <c r="V4336" s="28"/>
      <c r="W4336" s="28" t="n">
        <v>978</v>
      </c>
      <c r="X4336" s="28"/>
      <c r="Y4336" s="28" t="n">
        <f aca="false">X4336*$M4336</f>
        <v>0</v>
      </c>
      <c r="Z4336" s="28"/>
      <c r="AA4336" s="28" t="n">
        <f aca="false">Z4336*$M4336</f>
        <v>0</v>
      </c>
      <c r="AB4336" s="28"/>
      <c r="AC4336" s="28" t="n">
        <v>328</v>
      </c>
      <c r="AD4336" s="28"/>
      <c r="AE4336" s="28" t="n">
        <f aca="false">AD4336*$M4336</f>
        <v>0</v>
      </c>
      <c r="AF4336" s="28"/>
      <c r="AG4336" s="28" t="n">
        <f aca="false">AF4336*$M4336</f>
        <v>0</v>
      </c>
      <c r="AH4336" s="28"/>
      <c r="AI4336" s="28" t="n">
        <v>878</v>
      </c>
      <c r="AJ4336" s="28"/>
      <c r="AK4336" s="28" t="n">
        <v>1546</v>
      </c>
      <c r="AL4336" s="28"/>
      <c r="AM4336" s="28" t="n">
        <f aca="false">AL4336*$M4336</f>
        <v>0</v>
      </c>
      <c r="AN4336" s="28"/>
      <c r="AO4336" s="28" t="n">
        <f aca="false">AN4336*$M4336</f>
        <v>0</v>
      </c>
      <c r="AP4336" s="28"/>
      <c r="AQ4336" s="28" t="n">
        <f aca="false">AP4336*$M4336</f>
        <v>0</v>
      </c>
      <c r="AR4336" s="28"/>
      <c r="AS4336" s="28" t="n">
        <f aca="false">AR4336*$M4336</f>
        <v>0</v>
      </c>
      <c r="AT4336" s="28"/>
      <c r="AU4336" s="28" t="n">
        <f aca="false">AT4336*$M4336</f>
        <v>0</v>
      </c>
      <c r="AV4336" s="28"/>
      <c r="AW4336" s="28" t="n">
        <f aca="false">AV4336*$M4336</f>
        <v>0</v>
      </c>
      <c r="AX4336" s="28"/>
      <c r="AY4336" s="28" t="n">
        <f aca="false">AX4336*$M4336</f>
        <v>0</v>
      </c>
      <c r="AZ4336" s="30"/>
      <c r="BA4336" s="11" t="n">
        <v>6466</v>
      </c>
      <c r="BB4336" s="31" t="n">
        <f aca="false">SUM(Q4336,S4336,U4336,W4336,Y4336,AA4336,AC4336,AE4336,AG4336,AI4336,AK4336,AM4336,AO4336,AQ4336,AS4336,AU4336,AW4336,AY4336)</f>
        <v>6466</v>
      </c>
      <c r="BC4336" s="28" t="n">
        <f aca="false">BA4336-BB4336</f>
        <v>0</v>
      </c>
      <c r="BD4336" s="32" t="n">
        <f aca="false">SUM(P4336,R4336,T4336,V4336,X4336,Z4336,AB4336,AD4336,AF4336,AH4336,AJ4336,AL4336,AN4336,AP4336,AR4336,AT4336,AV4336,AX4336)</f>
        <v>0</v>
      </c>
      <c r="BE4336" s="33" t="n">
        <f aca="false">AZ4336-BD4336</f>
        <v>0</v>
      </c>
      <c r="BF4336" s="34" t="n">
        <f aca="false">BD4336*M4336</f>
        <v>0</v>
      </c>
      <c r="BG4336" s="35" t="n">
        <f aca="false">BA4336-BF4336</f>
        <v>6466</v>
      </c>
      <c r="BH4336" s="19" t="str">
        <f aca="false">IF(BG4336=0,"",IF(BG4336&lt;&gt;BA4336,"erreur de calcul",IF(BD4336&lt;&gt;0,"pas de prix",IF(M4336&lt;&gt; 0,"pas de quantité","pas de prix, ni de quantité"))))</f>
        <v>pas de prix, ni de quantité</v>
      </c>
      <c r="BI4336" s="19"/>
    </row>
    <row r="4337" customFormat="false" ht="15" hidden="false" customHeight="false" outlineLevel="0" collapsed="false">
      <c r="A4337" s="0" t="n">
        <v>46</v>
      </c>
      <c r="B4337" s="8" t="s">
        <v>24</v>
      </c>
      <c r="C4337" s="9" t="s">
        <v>25</v>
      </c>
      <c r="D4337" s="9" t="s">
        <v>26</v>
      </c>
      <c r="E4337" s="10" t="n">
        <v>1789</v>
      </c>
      <c r="F4337" s="9" t="s">
        <v>27</v>
      </c>
      <c r="G4337" s="9" t="s">
        <v>27</v>
      </c>
      <c r="H4337" s="11" t="n">
        <v>21</v>
      </c>
      <c r="I4337" s="11" t="s">
        <v>199</v>
      </c>
      <c r="J4337" s="14" t="n">
        <v>27</v>
      </c>
      <c r="K4337" s="14"/>
      <c r="L4337" s="16"/>
      <c r="M4337" s="27" t="n">
        <f aca="false">J4337+(K4337/20)+(L4337/240)</f>
        <v>27</v>
      </c>
      <c r="N4337" s="17" t="s">
        <v>64</v>
      </c>
      <c r="O4337" s="11"/>
      <c r="P4337" s="28" t="n">
        <f aca="false">108627/100</f>
        <v>1086.27</v>
      </c>
      <c r="Q4337" s="28" t="n">
        <v>29329</v>
      </c>
      <c r="R4337" s="28"/>
      <c r="S4337" s="28" t="n">
        <f aca="false">R4337*$M4337</f>
        <v>0</v>
      </c>
      <c r="T4337" s="28"/>
      <c r="U4337" s="28" t="n">
        <f aca="false">T4337*$M4337</f>
        <v>0</v>
      </c>
      <c r="V4337" s="28"/>
      <c r="W4337" s="28" t="n">
        <f aca="false">V4337*$M4337</f>
        <v>0</v>
      </c>
      <c r="X4337" s="28"/>
      <c r="Y4337" s="28" t="n">
        <f aca="false">X4337*$M4337</f>
        <v>0</v>
      </c>
      <c r="Z4337" s="28" t="n">
        <f aca="false">535243/100</f>
        <v>5352.43</v>
      </c>
      <c r="AA4337" s="28" t="n">
        <v>144516</v>
      </c>
      <c r="AB4337" s="28"/>
      <c r="AC4337" s="28" t="n">
        <f aca="false">AB4337*$M4337</f>
        <v>0</v>
      </c>
      <c r="AD4337" s="28" t="n">
        <f aca="false">75759/100</f>
        <v>757.59</v>
      </c>
      <c r="AE4337" s="28" t="n">
        <v>20455</v>
      </c>
      <c r="AF4337" s="28"/>
      <c r="AG4337" s="28" t="n">
        <f aca="false">AF4337*$M4337</f>
        <v>0</v>
      </c>
      <c r="AH4337" s="28" t="n">
        <f aca="false">77800/100</f>
        <v>778</v>
      </c>
      <c r="AI4337" s="36" t="n">
        <v>21016</v>
      </c>
      <c r="AJ4337" s="28" t="n">
        <f aca="false">28078/100</f>
        <v>280.78</v>
      </c>
      <c r="AK4337" s="28" t="n">
        <v>7581</v>
      </c>
      <c r="AL4337" s="28" t="n">
        <f aca="false">15417/100</f>
        <v>154.17</v>
      </c>
      <c r="AM4337" s="28" t="n">
        <v>4162</v>
      </c>
      <c r="AN4337" s="28"/>
      <c r="AO4337" s="28" t="n">
        <f aca="false">AN4337*$M4337</f>
        <v>0</v>
      </c>
      <c r="AP4337" s="28"/>
      <c r="AQ4337" s="28" t="n">
        <f aca="false">AP4337*$M4337</f>
        <v>0</v>
      </c>
      <c r="AR4337" s="28"/>
      <c r="AS4337" s="28" t="n">
        <f aca="false">AR4337*$M4337</f>
        <v>0</v>
      </c>
      <c r="AT4337" s="28"/>
      <c r="AU4337" s="28" t="n">
        <f aca="false">AT4337*$M4337</f>
        <v>0</v>
      </c>
      <c r="AV4337" s="28"/>
      <c r="AW4337" s="28" t="n">
        <f aca="false">AV4337*$M4337</f>
        <v>0</v>
      </c>
      <c r="AX4337" s="28"/>
      <c r="AY4337" s="28" t="n">
        <f aca="false">AX4337*$M4337</f>
        <v>0</v>
      </c>
      <c r="AZ4337" s="30" t="n">
        <f aca="false">840924/100</f>
        <v>8409.24</v>
      </c>
      <c r="BA4337" s="11" t="n">
        <v>227059</v>
      </c>
      <c r="BB4337" s="31" t="n">
        <f aca="false">SUM(Q4337,S4337,U4337,W4337,Y4337,AA4337,AC4337,AE4337,AG4337,AI4337,AK4337,AM4337,AO4337,AQ4337,AS4337,AU4337,AW4337,AY4337)</f>
        <v>227059</v>
      </c>
      <c r="BC4337" s="28" t="n">
        <f aca="false">BA4337-BB4337</f>
        <v>0</v>
      </c>
      <c r="BD4337" s="32" t="n">
        <f aca="false">SUM(P4337,R4337,T4337,V4337,X4337,Z4337,AB4337,AD4337,AF4337,AH4337,AJ4337,AL4337,AN4337,AP4337,AR4337,AT4337,AV4337,AX4337)</f>
        <v>8409.24</v>
      </c>
      <c r="BE4337" s="33" t="n">
        <f aca="false">AZ4337-BD4337</f>
        <v>0</v>
      </c>
      <c r="BF4337" s="34" t="n">
        <f aca="false">BD4337*M4337</f>
        <v>227049.48</v>
      </c>
      <c r="BG4337" s="35" t="n">
        <f aca="false">BA4337-BF4337</f>
        <v>9.52000000001863</v>
      </c>
      <c r="BH4337" s="19" t="str">
        <f aca="false">IF(BG4337=0,"",IF(BG4337&lt;&gt;BA4337,"erreur de calcul",IF(BD4337&lt;&gt;0,"pas de prix",IF(M4337&lt;&gt; 0,"pas de quantité","pas de prix, ni de quantité"))))</f>
        <v>erreur de calcul</v>
      </c>
      <c r="BI4337" s="19"/>
    </row>
    <row r="4338" customFormat="false" ht="15" hidden="false" customHeight="false" outlineLevel="0" collapsed="false">
      <c r="A4338" s="0" t="n">
        <v>47</v>
      </c>
      <c r="B4338" s="8" t="s">
        <v>24</v>
      </c>
      <c r="C4338" s="9" t="s">
        <v>25</v>
      </c>
      <c r="D4338" s="9" t="s">
        <v>26</v>
      </c>
      <c r="E4338" s="10" t="n">
        <v>1789</v>
      </c>
      <c r="F4338" s="9" t="s">
        <v>27</v>
      </c>
      <c r="G4338" s="9" t="s">
        <v>27</v>
      </c>
      <c r="H4338" s="11" t="n">
        <v>21</v>
      </c>
      <c r="I4338" s="11" t="s">
        <v>200</v>
      </c>
      <c r="J4338" s="14" t="n">
        <v>25</v>
      </c>
      <c r="K4338" s="14"/>
      <c r="L4338" s="16"/>
      <c r="M4338" s="27" t="n">
        <f aca="false">J4338+(K4338/20)+(L4338/240)</f>
        <v>25</v>
      </c>
      <c r="N4338" s="17" t="s">
        <v>64</v>
      </c>
      <c r="O4338" s="11"/>
      <c r="P4338" s="28"/>
      <c r="Q4338" s="28" t="n">
        <f aca="false">P4338*$M4338</f>
        <v>0</v>
      </c>
      <c r="R4338" s="28"/>
      <c r="S4338" s="28" t="n">
        <f aca="false">R4338*$M4338</f>
        <v>0</v>
      </c>
      <c r="T4338" s="28" t="n">
        <f aca="false">56427/100</f>
        <v>564.27</v>
      </c>
      <c r="U4338" s="28" t="n">
        <v>14107</v>
      </c>
      <c r="V4338" s="28"/>
      <c r="W4338" s="28" t="n">
        <f aca="false">V4338*$M4338</f>
        <v>0</v>
      </c>
      <c r="X4338" s="28" t="n">
        <f aca="false">98758/100</f>
        <v>987.58</v>
      </c>
      <c r="Y4338" s="28" t="n">
        <v>24689</v>
      </c>
      <c r="Z4338" s="28"/>
      <c r="AA4338" s="28" t="n">
        <f aca="false">Z4338*$M4338</f>
        <v>0</v>
      </c>
      <c r="AB4338" s="28"/>
      <c r="AC4338" s="28" t="n">
        <f aca="false">AB4338*$M4338</f>
        <v>0</v>
      </c>
      <c r="AD4338" s="28"/>
      <c r="AE4338" s="28" t="n">
        <f aca="false">AD4338*$M4338</f>
        <v>0</v>
      </c>
      <c r="AF4338" s="28"/>
      <c r="AG4338" s="28" t="n">
        <f aca="false">AF4338*$M4338</f>
        <v>0</v>
      </c>
      <c r="AH4338" s="28"/>
      <c r="AI4338" s="28" t="n">
        <f aca="false">AH4338*$M4338</f>
        <v>0</v>
      </c>
      <c r="AJ4338" s="28"/>
      <c r="AK4338" s="28" t="n">
        <f aca="false">AJ4338*$M4338</f>
        <v>0</v>
      </c>
      <c r="AL4338" s="28"/>
      <c r="AM4338" s="28" t="n">
        <f aca="false">AL4338*$M4338</f>
        <v>0</v>
      </c>
      <c r="AN4338" s="28"/>
      <c r="AO4338" s="28" t="n">
        <f aca="false">AN4338*$M4338</f>
        <v>0</v>
      </c>
      <c r="AP4338" s="28"/>
      <c r="AQ4338" s="28" t="n">
        <f aca="false">AP4338*$M4338</f>
        <v>0</v>
      </c>
      <c r="AR4338" s="28"/>
      <c r="AS4338" s="28" t="n">
        <f aca="false">AR4338*$M4338</f>
        <v>0</v>
      </c>
      <c r="AT4338" s="28"/>
      <c r="AU4338" s="28" t="n">
        <f aca="false">AT4338*$M4338</f>
        <v>0</v>
      </c>
      <c r="AV4338" s="28"/>
      <c r="AW4338" s="28" t="n">
        <f aca="false">AV4338*$M4338</f>
        <v>0</v>
      </c>
      <c r="AX4338" s="28"/>
      <c r="AY4338" s="28" t="n">
        <f aca="false">AX4338*$M4338</f>
        <v>0</v>
      </c>
      <c r="AZ4338" s="30" t="n">
        <f aca="false">155115/100</f>
        <v>1551.15</v>
      </c>
      <c r="BA4338" s="11" t="n">
        <v>38796</v>
      </c>
      <c r="BB4338" s="31" t="n">
        <f aca="false">SUM(Q4338,S4338,U4338,W4338,Y4338,AA4338,AC4338,AE4338,AG4338,AI4338,AK4338,AM4338,AO4338,AQ4338,AS4338,AU4338,AW4338,AY4338)</f>
        <v>38796</v>
      </c>
      <c r="BC4338" s="28" t="n">
        <f aca="false">BA4338-BB4338</f>
        <v>0</v>
      </c>
      <c r="BD4338" s="32" t="n">
        <f aca="false">SUM(P4338,R4338,T4338,V4338,X4338,Z4338,AB4338,AD4338,AF4338,AH4338,AJ4338,AL4338,AN4338,AP4338,AR4338,AT4338,AV4338,AX4338)</f>
        <v>1551.85</v>
      </c>
      <c r="BE4338" s="33" t="n">
        <f aca="false">AZ4338-BD4338</f>
        <v>-0.699999999999818</v>
      </c>
      <c r="BF4338" s="34" t="n">
        <f aca="false">BD4338*M4338</f>
        <v>38796.25</v>
      </c>
      <c r="BG4338" s="35" t="n">
        <f aca="false">BA4338-BF4338</f>
        <v>-0.25</v>
      </c>
      <c r="BH4338" s="19" t="str">
        <f aca="false">IF(BG4338=0,"",IF(BG4338&lt;&gt;BA4338,"erreur de calcul",IF(BD4338&lt;&gt;0,"pas de prix",IF(M4338&lt;&gt; 0,"pas de quantité","pas de prix, ni de quantité"))))</f>
        <v>erreur de calcul</v>
      </c>
      <c r="BI4338" s="19"/>
    </row>
    <row r="4339" customFormat="false" ht="15" hidden="false" customHeight="false" outlineLevel="0" collapsed="false">
      <c r="A4339" s="0" t="n">
        <v>48</v>
      </c>
      <c r="B4339" s="8" t="s">
        <v>24</v>
      </c>
      <c r="C4339" s="9" t="s">
        <v>25</v>
      </c>
      <c r="D4339" s="9" t="s">
        <v>26</v>
      </c>
      <c r="E4339" s="10" t="n">
        <v>1789</v>
      </c>
      <c r="F4339" s="9" t="s">
        <v>27</v>
      </c>
      <c r="G4339" s="9" t="s">
        <v>27</v>
      </c>
      <c r="H4339" s="11" t="n">
        <v>21</v>
      </c>
      <c r="I4339" s="11" t="s">
        <v>201</v>
      </c>
      <c r="J4339" s="14"/>
      <c r="K4339" s="14" t="n">
        <v>15</v>
      </c>
      <c r="L4339" s="16"/>
      <c r="M4339" s="27" t="n">
        <f aca="false">J4339+(K4339/20)+(L4339/240)</f>
        <v>0.75</v>
      </c>
      <c r="N4339" s="17" t="s">
        <v>66</v>
      </c>
      <c r="O4339" s="11"/>
      <c r="P4339" s="28"/>
      <c r="Q4339" s="28" t="n">
        <f aca="false">P4339*$M4339</f>
        <v>0</v>
      </c>
      <c r="R4339" s="28"/>
      <c r="S4339" s="28" t="n">
        <f aca="false">R4339*$M4339</f>
        <v>0</v>
      </c>
      <c r="T4339" s="28"/>
      <c r="U4339" s="28" t="n">
        <f aca="false">T4339*$M4339</f>
        <v>0</v>
      </c>
      <c r="V4339" s="28"/>
      <c r="W4339" s="28" t="n">
        <f aca="false">V4339*$M4339</f>
        <v>0</v>
      </c>
      <c r="X4339" s="28"/>
      <c r="Y4339" s="28" t="n">
        <f aca="false">X4339*$M4339</f>
        <v>0</v>
      </c>
      <c r="Z4339" s="28"/>
      <c r="AA4339" s="28" t="n">
        <f aca="false">Z4339*$M4339</f>
        <v>0</v>
      </c>
      <c r="AB4339" s="28"/>
      <c r="AC4339" s="28" t="n">
        <f aca="false">AB4339*$M4339</f>
        <v>0</v>
      </c>
      <c r="AD4339" s="28"/>
      <c r="AE4339" s="28" t="n">
        <f aca="false">AD4339*$M4339</f>
        <v>0</v>
      </c>
      <c r="AF4339" s="28"/>
      <c r="AG4339" s="28" t="n">
        <f aca="false">AF4339*$M4339</f>
        <v>0</v>
      </c>
      <c r="AH4339" s="28"/>
      <c r="AI4339" s="28" t="n">
        <f aca="false">AH4339*$M4339</f>
        <v>0</v>
      </c>
      <c r="AJ4339" s="28" t="n">
        <v>6171</v>
      </c>
      <c r="AK4339" s="28" t="n">
        <v>4628</v>
      </c>
      <c r="AL4339" s="28"/>
      <c r="AM4339" s="28" t="n">
        <f aca="false">AL4339*$M4339</f>
        <v>0</v>
      </c>
      <c r="AN4339" s="28"/>
      <c r="AO4339" s="28" t="n">
        <f aca="false">AN4339*$M4339</f>
        <v>0</v>
      </c>
      <c r="AP4339" s="28"/>
      <c r="AQ4339" s="28" t="n">
        <f aca="false">AP4339*$M4339</f>
        <v>0</v>
      </c>
      <c r="AR4339" s="28"/>
      <c r="AS4339" s="28" t="n">
        <f aca="false">AR4339*$M4339</f>
        <v>0</v>
      </c>
      <c r="AT4339" s="28"/>
      <c r="AU4339" s="28" t="n">
        <f aca="false">AT4339*$M4339</f>
        <v>0</v>
      </c>
      <c r="AV4339" s="28"/>
      <c r="AW4339" s="28" t="n">
        <f aca="false">AV4339*$M4339</f>
        <v>0</v>
      </c>
      <c r="AX4339" s="28"/>
      <c r="AY4339" s="28" t="n">
        <f aca="false">AX4339*$M4339</f>
        <v>0</v>
      </c>
      <c r="AZ4339" s="30" t="n">
        <v>6171</v>
      </c>
      <c r="BA4339" s="11" t="n">
        <v>4628</v>
      </c>
      <c r="BB4339" s="31" t="n">
        <f aca="false">SUM(Q4339,S4339,U4339,W4339,Y4339,AA4339,AC4339,AE4339,AG4339,AI4339,AK4339,AM4339,AO4339,AQ4339,AS4339,AU4339,AW4339,AY4339)</f>
        <v>4628</v>
      </c>
      <c r="BC4339" s="28" t="n">
        <f aca="false">BA4339-BB4339</f>
        <v>0</v>
      </c>
      <c r="BD4339" s="32" t="n">
        <f aca="false">SUM(P4339,R4339,T4339,V4339,X4339,Z4339,AB4339,AD4339,AF4339,AH4339,AJ4339,AL4339,AN4339,AP4339,AR4339,AT4339,AV4339,AX4339)</f>
        <v>6171</v>
      </c>
      <c r="BE4339" s="33" t="n">
        <f aca="false">AZ4339-BD4339</f>
        <v>0</v>
      </c>
      <c r="BF4339" s="34" t="n">
        <f aca="false">BD4339*M4339</f>
        <v>4628.25</v>
      </c>
      <c r="BG4339" s="35" t="n">
        <f aca="false">BA4339-BF4339</f>
        <v>-0.25</v>
      </c>
      <c r="BH4339" s="19" t="str">
        <f aca="false">IF(BG4339=0,"",IF(BG4339&lt;&gt;BA4339,"erreur de calcul",IF(BD4339&lt;&gt;0,"pas de prix",IF(M4339&lt;&gt; 0,"pas de quantité","pas de prix, ni de quantité"))))</f>
        <v>erreur de calcul</v>
      </c>
      <c r="BI4339" s="19"/>
    </row>
    <row r="4340" customFormat="false" ht="15" hidden="false" customHeight="false" outlineLevel="0" collapsed="false">
      <c r="A4340" s="0" t="n">
        <v>1</v>
      </c>
      <c r="B4340" s="8" t="s">
        <v>24</v>
      </c>
      <c r="C4340" s="9" t="s">
        <v>25</v>
      </c>
      <c r="D4340" s="9" t="s">
        <v>26</v>
      </c>
      <c r="E4340" s="10" t="n">
        <v>1789</v>
      </c>
      <c r="F4340" s="9" t="s">
        <v>27</v>
      </c>
      <c r="G4340" s="9" t="s">
        <v>27</v>
      </c>
      <c r="H4340" s="11" t="n">
        <v>22</v>
      </c>
      <c r="I4340" s="11" t="s">
        <v>202</v>
      </c>
      <c r="J4340" s="14" t="n">
        <v>10</v>
      </c>
      <c r="K4340" s="14"/>
      <c r="L4340" s="16"/>
      <c r="M4340" s="27" t="n">
        <f aca="false">J4340+(K4340/20)+(L4340/240)</f>
        <v>10</v>
      </c>
      <c r="N4340" s="17" t="s">
        <v>64</v>
      </c>
      <c r="O4340" s="11"/>
      <c r="P4340" s="28" t="n">
        <f aca="false">36147/100</f>
        <v>361.47</v>
      </c>
      <c r="Q4340" s="28" t="n">
        <v>3615</v>
      </c>
      <c r="R4340" s="28"/>
      <c r="S4340" s="28" t="n">
        <f aca="false">R4340*$M4340</f>
        <v>0</v>
      </c>
      <c r="T4340" s="28"/>
      <c r="U4340" s="28" t="n">
        <f aca="false">T4340*$M4340</f>
        <v>0</v>
      </c>
      <c r="V4340" s="28"/>
      <c r="W4340" s="28" t="n">
        <f aca="false">V4340*$M4340</f>
        <v>0</v>
      </c>
      <c r="X4340" s="28"/>
      <c r="Y4340" s="28" t="n">
        <f aca="false">X4340*$M4340</f>
        <v>0</v>
      </c>
      <c r="Z4340" s="28"/>
      <c r="AA4340" s="28" t="n">
        <f aca="false">Z4340*$M4340</f>
        <v>0</v>
      </c>
      <c r="AB4340" s="28" t="n">
        <f aca="false">14437/100</f>
        <v>144.37</v>
      </c>
      <c r="AC4340" s="28" t="n">
        <v>1444</v>
      </c>
      <c r="AD4340" s="28"/>
      <c r="AE4340" s="28" t="n">
        <f aca="false">AD4340*$M4340</f>
        <v>0</v>
      </c>
      <c r="AF4340" s="28"/>
      <c r="AG4340" s="28" t="n">
        <f aca="false">AF4340*$M4340</f>
        <v>0</v>
      </c>
      <c r="AH4340" s="28"/>
      <c r="AI4340" s="28" t="n">
        <f aca="false">AH4340*$M4340</f>
        <v>0</v>
      </c>
      <c r="AJ4340" s="28" t="n">
        <f aca="false">36351/100</f>
        <v>363.51</v>
      </c>
      <c r="AK4340" s="28" t="n">
        <v>3635</v>
      </c>
      <c r="AL4340" s="28"/>
      <c r="AM4340" s="28" t="n">
        <f aca="false">AL4340*$M4340</f>
        <v>0</v>
      </c>
      <c r="AN4340" s="28"/>
      <c r="AO4340" s="28" t="n">
        <f aca="false">AN4340*$M4340</f>
        <v>0</v>
      </c>
      <c r="AP4340" s="28"/>
      <c r="AQ4340" s="28" t="n">
        <f aca="false">AP4340*$M4340</f>
        <v>0</v>
      </c>
      <c r="AR4340" s="28" t="n">
        <f aca="false">25120/100</f>
        <v>251.2</v>
      </c>
      <c r="AS4340" s="28" t="n">
        <v>2512</v>
      </c>
      <c r="AT4340" s="28"/>
      <c r="AU4340" s="28" t="n">
        <f aca="false">AT4340*$M4340</f>
        <v>0</v>
      </c>
      <c r="AV4340" s="28"/>
      <c r="AW4340" s="28" t="n">
        <f aca="false">AV4340*$M4340</f>
        <v>0</v>
      </c>
      <c r="AX4340" s="28"/>
      <c r="AY4340" s="28" t="n">
        <f aca="false">AX4340*$M4340</f>
        <v>0</v>
      </c>
      <c r="AZ4340" s="30" t="n">
        <f aca="false">112055/100</f>
        <v>1120.55</v>
      </c>
      <c r="BA4340" s="11" t="n">
        <v>11206</v>
      </c>
      <c r="BB4340" s="31" t="n">
        <f aca="false">SUM(Q4340,S4340,U4340,W4340,Y4340,AA4340,AC4340,AE4340,AG4340,AI4340,AK4340,AM4340,AO4340,AQ4340,AS4340,AU4340,AW4340,AY4340)</f>
        <v>11206</v>
      </c>
      <c r="BC4340" s="28" t="n">
        <f aca="false">BA4340-BB4340</f>
        <v>0</v>
      </c>
      <c r="BD4340" s="32" t="n">
        <f aca="false">SUM(P4340,R4340,T4340,V4340,X4340,Z4340,AB4340,AD4340,AF4340,AH4340,AJ4340,AL4340,AN4340,AP4340,AR4340,AT4340,AV4340,AX4340)</f>
        <v>1120.55</v>
      </c>
      <c r="BE4340" s="33" t="n">
        <f aca="false">AZ4340-BD4340</f>
        <v>0</v>
      </c>
      <c r="BF4340" s="34" t="n">
        <f aca="false">BD4340*M4340</f>
        <v>11205.5</v>
      </c>
      <c r="BG4340" s="35" t="n">
        <f aca="false">BA4340-BF4340</f>
        <v>0.499999999998181</v>
      </c>
      <c r="BH4340" s="19" t="str">
        <f aca="false">IF(BG4340=0,"",IF(BG4340&lt;&gt;BA4340,"erreur de calcul",IF(BD4340&lt;&gt;0,"pas de prix",IF(M4340&lt;&gt; 0,"pas de quantité","pas de prix, ni de quantité"))))</f>
        <v>erreur de calcul</v>
      </c>
      <c r="BI4340" s="19"/>
    </row>
    <row r="4341" customFormat="false" ht="15" hidden="false" customHeight="false" outlineLevel="0" collapsed="false">
      <c r="A4341" s="0" t="n">
        <v>2</v>
      </c>
      <c r="B4341" s="8" t="s">
        <v>24</v>
      </c>
      <c r="C4341" s="9" t="s">
        <v>25</v>
      </c>
      <c r="D4341" s="9" t="s">
        <v>26</v>
      </c>
      <c r="E4341" s="10" t="n">
        <v>1789</v>
      </c>
      <c r="F4341" s="9" t="s">
        <v>27</v>
      </c>
      <c r="G4341" s="9" t="s">
        <v>27</v>
      </c>
      <c r="H4341" s="11" t="n">
        <v>22</v>
      </c>
      <c r="I4341" s="11" t="s">
        <v>203</v>
      </c>
      <c r="J4341" s="14" t="n">
        <v>20</v>
      </c>
      <c r="K4341" s="14"/>
      <c r="L4341" s="16"/>
      <c r="M4341" s="27" t="n">
        <f aca="false">J4341+(K4341/20)+(L4341/240)</f>
        <v>20</v>
      </c>
      <c r="N4341" s="17" t="s">
        <v>64</v>
      </c>
      <c r="O4341" s="11"/>
      <c r="P4341" s="28"/>
      <c r="Q4341" s="28" t="n">
        <f aca="false">P4341*$M4341</f>
        <v>0</v>
      </c>
      <c r="R4341" s="28"/>
      <c r="S4341" s="28" t="n">
        <f aca="false">R4341*$M4341</f>
        <v>0</v>
      </c>
      <c r="T4341" s="28"/>
      <c r="U4341" s="28" t="n">
        <f aca="false">T4341*$M4341</f>
        <v>0</v>
      </c>
      <c r="V4341" s="28"/>
      <c r="W4341" s="28" t="n">
        <f aca="false">V4341*$M4341</f>
        <v>0</v>
      </c>
      <c r="X4341" s="28"/>
      <c r="Y4341" s="28" t="n">
        <f aca="false">X4341*$M4341</f>
        <v>0</v>
      </c>
      <c r="Z4341" s="28"/>
      <c r="AA4341" s="28" t="n">
        <f aca="false">Z4341*$M4341</f>
        <v>0</v>
      </c>
      <c r="AB4341" s="28"/>
      <c r="AC4341" s="28" t="n">
        <f aca="false">AB4341*$M4341</f>
        <v>0</v>
      </c>
      <c r="AD4341" s="28"/>
      <c r="AE4341" s="28" t="n">
        <f aca="false">AD4341*$M4341</f>
        <v>0</v>
      </c>
      <c r="AF4341" s="28"/>
      <c r="AG4341" s="28" t="n">
        <f aca="false">AF4341*$M4341</f>
        <v>0</v>
      </c>
      <c r="AH4341" s="28"/>
      <c r="AI4341" s="28" t="n">
        <f aca="false">AH4341*$M4341</f>
        <v>0</v>
      </c>
      <c r="AJ4341" s="28" t="n">
        <f aca="false">109254/100</f>
        <v>1092.54</v>
      </c>
      <c r="AK4341" s="28" t="n">
        <v>21851</v>
      </c>
      <c r="AL4341" s="28"/>
      <c r="AM4341" s="28" t="n">
        <f aca="false">AL4341*$M4341</f>
        <v>0</v>
      </c>
      <c r="AN4341" s="28"/>
      <c r="AO4341" s="28" t="n">
        <f aca="false">AN4341*$M4341</f>
        <v>0</v>
      </c>
      <c r="AP4341" s="28"/>
      <c r="AQ4341" s="28" t="n">
        <f aca="false">AP4341*$M4341</f>
        <v>0</v>
      </c>
      <c r="AR4341" s="28"/>
      <c r="AS4341" s="28" t="n">
        <f aca="false">AR4341*$M4341</f>
        <v>0</v>
      </c>
      <c r="AT4341" s="28"/>
      <c r="AU4341" s="28" t="n">
        <f aca="false">AT4341*$M4341</f>
        <v>0</v>
      </c>
      <c r="AV4341" s="28"/>
      <c r="AW4341" s="28" t="n">
        <f aca="false">AV4341*$M4341</f>
        <v>0</v>
      </c>
      <c r="AX4341" s="28"/>
      <c r="AY4341" s="28" t="n">
        <f aca="false">AX4341*$M4341</f>
        <v>0</v>
      </c>
      <c r="AZ4341" s="30" t="n">
        <f aca="false">109254/100</f>
        <v>1092.54</v>
      </c>
      <c r="BA4341" s="11" t="n">
        <v>21851</v>
      </c>
      <c r="BB4341" s="31" t="n">
        <f aca="false">SUM(Q4341,S4341,U4341,W4341,Y4341,AA4341,AC4341,AE4341,AG4341,AI4341,AK4341,AM4341,AO4341,AQ4341,AS4341,AU4341,AW4341,AY4341)</f>
        <v>21851</v>
      </c>
      <c r="BC4341" s="28" t="n">
        <f aca="false">BA4341-BB4341</f>
        <v>0</v>
      </c>
      <c r="BD4341" s="32" t="n">
        <f aca="false">SUM(P4341,R4341,T4341,V4341,X4341,Z4341,AB4341,AD4341,AF4341,AH4341,AJ4341,AL4341,AN4341,AP4341,AR4341,AT4341,AV4341,AX4341)</f>
        <v>1092.54</v>
      </c>
      <c r="BE4341" s="33" t="n">
        <f aca="false">AZ4341-BD4341</f>
        <v>0</v>
      </c>
      <c r="BF4341" s="34" t="n">
        <f aca="false">BD4341*M4341</f>
        <v>21850.8</v>
      </c>
      <c r="BG4341" s="35" t="n">
        <f aca="false">BA4341-BF4341</f>
        <v>0.200000000000728</v>
      </c>
      <c r="BH4341" s="19" t="str">
        <f aca="false">IF(BG4341=0,"",IF(BG4341&lt;&gt;BA4341,"erreur de calcul",IF(BD4341&lt;&gt;0,"pas de prix",IF(M4341&lt;&gt; 0,"pas de quantité","pas de prix, ni de quantité"))))</f>
        <v>erreur de calcul</v>
      </c>
      <c r="BI4341" s="19"/>
    </row>
    <row r="4342" customFormat="false" ht="15" hidden="false" customHeight="false" outlineLevel="0" collapsed="false">
      <c r="A4342" s="0" t="n">
        <v>3</v>
      </c>
      <c r="B4342" s="8" t="s">
        <v>24</v>
      </c>
      <c r="C4342" s="9" t="s">
        <v>25</v>
      </c>
      <c r="D4342" s="9" t="s">
        <v>26</v>
      </c>
      <c r="E4342" s="10" t="n">
        <v>1789</v>
      </c>
      <c r="F4342" s="9" t="s">
        <v>27</v>
      </c>
      <c r="G4342" s="9" t="s">
        <v>27</v>
      </c>
      <c r="H4342" s="11" t="n">
        <v>22</v>
      </c>
      <c r="I4342" s="11" t="s">
        <v>204</v>
      </c>
      <c r="J4342" s="14" t="n">
        <v>20</v>
      </c>
      <c r="K4342" s="14"/>
      <c r="L4342" s="16"/>
      <c r="M4342" s="27" t="n">
        <f aca="false">J4342+(K4342/20)+(L4342/240)</f>
        <v>20</v>
      </c>
      <c r="N4342" s="17" t="s">
        <v>66</v>
      </c>
      <c r="O4342" s="11"/>
      <c r="P4342" s="28" t="n">
        <v>106125</v>
      </c>
      <c r="Q4342" s="36" t="n">
        <v>2162500</v>
      </c>
      <c r="R4342" s="28"/>
      <c r="S4342" s="28" t="n">
        <f aca="false">R4342*$M4342</f>
        <v>0</v>
      </c>
      <c r="T4342" s="28"/>
      <c r="U4342" s="28" t="n">
        <f aca="false">T4342*$M4342</f>
        <v>0</v>
      </c>
      <c r="V4342" s="28"/>
      <c r="W4342" s="28" t="n">
        <f aca="false">V4342*$M4342</f>
        <v>0</v>
      </c>
      <c r="X4342" s="28"/>
      <c r="Y4342" s="28" t="n">
        <f aca="false">X4342*$M4342</f>
        <v>0</v>
      </c>
      <c r="Z4342" s="28"/>
      <c r="AA4342" s="28" t="n">
        <f aca="false">Z4342*$M4342</f>
        <v>0</v>
      </c>
      <c r="AB4342" s="28"/>
      <c r="AC4342" s="28" t="n">
        <f aca="false">AB4342*$M4342</f>
        <v>0</v>
      </c>
      <c r="AD4342" s="28"/>
      <c r="AE4342" s="28" t="n">
        <f aca="false">AD4342*$M4342</f>
        <v>0</v>
      </c>
      <c r="AF4342" s="28"/>
      <c r="AG4342" s="28" t="n">
        <f aca="false">AF4342*$M4342</f>
        <v>0</v>
      </c>
      <c r="AH4342" s="28"/>
      <c r="AI4342" s="28" t="n">
        <f aca="false">AH4342*$M4342</f>
        <v>0</v>
      </c>
      <c r="AJ4342" s="28"/>
      <c r="AK4342" s="28" t="n">
        <f aca="false">AJ4342*$M4342</f>
        <v>0</v>
      </c>
      <c r="AL4342" s="28"/>
      <c r="AM4342" s="28" t="n">
        <f aca="false">AL4342*$M4342</f>
        <v>0</v>
      </c>
      <c r="AN4342" s="28"/>
      <c r="AO4342" s="28" t="n">
        <f aca="false">AN4342*$M4342</f>
        <v>0</v>
      </c>
      <c r="AP4342" s="28"/>
      <c r="AQ4342" s="28" t="n">
        <f aca="false">AP4342*$M4342</f>
        <v>0</v>
      </c>
      <c r="AR4342" s="28"/>
      <c r="AS4342" s="28" t="n">
        <f aca="false">AR4342*$M4342</f>
        <v>0</v>
      </c>
      <c r="AT4342" s="28"/>
      <c r="AU4342" s="28" t="n">
        <f aca="false">AT4342*$M4342</f>
        <v>0</v>
      </c>
      <c r="AV4342" s="28"/>
      <c r="AW4342" s="28" t="n">
        <f aca="false">AV4342*$M4342</f>
        <v>0</v>
      </c>
      <c r="AX4342" s="28"/>
      <c r="AY4342" s="28" t="n">
        <f aca="false">AX4342*$M4342</f>
        <v>0</v>
      </c>
      <c r="AZ4342" s="30" t="n">
        <v>108125</v>
      </c>
      <c r="BA4342" s="11" t="n">
        <v>2162500</v>
      </c>
      <c r="BB4342" s="31" t="n">
        <f aca="false">SUM(Q4342,S4342,U4342,W4342,Y4342,AA4342,AC4342,AE4342,AG4342,AI4342,AK4342,AM4342,AO4342,AQ4342,AS4342,AU4342,AW4342,AY4342)</f>
        <v>2162500</v>
      </c>
      <c r="BC4342" s="28" t="n">
        <f aca="false">BA4342-BB4342</f>
        <v>0</v>
      </c>
      <c r="BD4342" s="32" t="n">
        <f aca="false">SUM(P4342,R4342,T4342,V4342,X4342,Z4342,AB4342,AD4342,AF4342,AH4342,AJ4342,AL4342,AN4342,AP4342,AR4342,AT4342,AV4342,AX4342)</f>
        <v>106125</v>
      </c>
      <c r="BE4342" s="33" t="n">
        <f aca="false">AZ4342-BD4342</f>
        <v>2000</v>
      </c>
      <c r="BF4342" s="34" t="n">
        <f aca="false">BD4342*M4342</f>
        <v>2122500</v>
      </c>
      <c r="BG4342" s="35" t="n">
        <f aca="false">BA4342-BF4342</f>
        <v>40000</v>
      </c>
      <c r="BH4342" s="19" t="str">
        <f aca="false">IF(BG4342=0,"",IF(BG4342&lt;&gt;BA4342,"erreur de calcul",IF(BD4342&lt;&gt;0,"pas de prix",IF(M4342&lt;&gt; 0,"pas de quantité","pas de prix, ni de quantité"))))</f>
        <v>erreur de calcul</v>
      </c>
      <c r="BI4342" s="19"/>
    </row>
    <row r="4343" customFormat="false" ht="15" hidden="false" customHeight="false" outlineLevel="0" collapsed="false">
      <c r="A4343" s="0" t="n">
        <v>4</v>
      </c>
      <c r="B4343" s="8" t="s">
        <v>24</v>
      </c>
      <c r="C4343" s="9" t="s">
        <v>25</v>
      </c>
      <c r="D4343" s="9" t="s">
        <v>26</v>
      </c>
      <c r="E4343" s="10" t="n">
        <v>1789</v>
      </c>
      <c r="F4343" s="9" t="s">
        <v>27</v>
      </c>
      <c r="G4343" s="9" t="s">
        <v>27</v>
      </c>
      <c r="H4343" s="11" t="n">
        <v>22</v>
      </c>
      <c r="I4343" s="11" t="s">
        <v>205</v>
      </c>
      <c r="J4343" s="14" t="n">
        <v>15</v>
      </c>
      <c r="K4343" s="14"/>
      <c r="L4343" s="16"/>
      <c r="M4343" s="27" t="n">
        <f aca="false">J4343+(K4343/20)+(L4343/240)</f>
        <v>15</v>
      </c>
      <c r="N4343" s="17" t="s">
        <v>64</v>
      </c>
      <c r="O4343" s="11"/>
      <c r="P4343" s="28"/>
      <c r="Q4343" s="28" t="n">
        <f aca="false">P4343*$M4343</f>
        <v>0</v>
      </c>
      <c r="R4343" s="28"/>
      <c r="S4343" s="28" t="n">
        <f aca="false">R4343*$M4343</f>
        <v>0</v>
      </c>
      <c r="T4343" s="28"/>
      <c r="U4343" s="28" t="n">
        <f aca="false">T4343*$M4343</f>
        <v>0</v>
      </c>
      <c r="V4343" s="28"/>
      <c r="W4343" s="28" t="n">
        <f aca="false">V4343*$M4343</f>
        <v>0</v>
      </c>
      <c r="X4343" s="28" t="n">
        <f aca="false">27897/100</f>
        <v>278.97</v>
      </c>
      <c r="Y4343" s="28" t="n">
        <v>4184</v>
      </c>
      <c r="Z4343" s="28"/>
      <c r="AA4343" s="28" t="n">
        <f aca="false">Z4343*$M4343</f>
        <v>0</v>
      </c>
      <c r="AB4343" s="28"/>
      <c r="AC4343" s="28" t="n">
        <f aca="false">AB4343*$M4343</f>
        <v>0</v>
      </c>
      <c r="AD4343" s="28"/>
      <c r="AE4343" s="28" t="n">
        <f aca="false">AD4343*$M4343</f>
        <v>0</v>
      </c>
      <c r="AF4343" s="28"/>
      <c r="AG4343" s="28" t="n">
        <f aca="false">AF4343*$M4343</f>
        <v>0</v>
      </c>
      <c r="AH4343" s="28"/>
      <c r="AI4343" s="28" t="n">
        <f aca="false">AH4343*$M4343</f>
        <v>0</v>
      </c>
      <c r="AJ4343" s="28" t="n">
        <f aca="false">63734/100</f>
        <v>637.34</v>
      </c>
      <c r="AK4343" s="28" t="n">
        <v>9560</v>
      </c>
      <c r="AL4343" s="28"/>
      <c r="AM4343" s="28" t="n">
        <f aca="false">AL4343*$M4343</f>
        <v>0</v>
      </c>
      <c r="AN4343" s="28"/>
      <c r="AO4343" s="28" t="n">
        <f aca="false">AN4343*$M4343</f>
        <v>0</v>
      </c>
      <c r="AP4343" s="28"/>
      <c r="AQ4343" s="28" t="n">
        <f aca="false">AP4343*$M4343</f>
        <v>0</v>
      </c>
      <c r="AR4343" s="28"/>
      <c r="AS4343" s="28" t="n">
        <f aca="false">AR4343*$M4343</f>
        <v>0</v>
      </c>
      <c r="AT4343" s="28"/>
      <c r="AU4343" s="28" t="n">
        <f aca="false">AT4343*$M4343</f>
        <v>0</v>
      </c>
      <c r="AV4343" s="28"/>
      <c r="AW4343" s="28" t="n">
        <f aca="false">AV4343*$M4343</f>
        <v>0</v>
      </c>
      <c r="AX4343" s="28"/>
      <c r="AY4343" s="28" t="n">
        <f aca="false">AX4343*$M4343</f>
        <v>0</v>
      </c>
      <c r="AZ4343" s="30" t="n">
        <f aca="false">91631/100</f>
        <v>916.31</v>
      </c>
      <c r="BA4343" s="11" t="n">
        <v>13744</v>
      </c>
      <c r="BB4343" s="31" t="n">
        <f aca="false">SUM(Q4343,S4343,U4343,W4343,Y4343,AA4343,AC4343,AE4343,AG4343,AI4343,AK4343,AM4343,AO4343,AQ4343,AS4343,AU4343,AW4343,AY4343)</f>
        <v>13744</v>
      </c>
      <c r="BC4343" s="28" t="n">
        <f aca="false">BA4343-BB4343</f>
        <v>0</v>
      </c>
      <c r="BD4343" s="32" t="n">
        <f aca="false">SUM(P4343,R4343,T4343,V4343,X4343,Z4343,AB4343,AD4343,AF4343,AH4343,AJ4343,AL4343,AN4343,AP4343,AR4343,AT4343,AV4343,AX4343)</f>
        <v>916.31</v>
      </c>
      <c r="BE4343" s="33" t="n">
        <f aca="false">AZ4343-BD4343</f>
        <v>0</v>
      </c>
      <c r="BF4343" s="34" t="n">
        <f aca="false">BD4343*M4343</f>
        <v>13744.65</v>
      </c>
      <c r="BG4343" s="35" t="n">
        <f aca="false">BA4343-BF4343</f>
        <v>-0.650000000001455</v>
      </c>
      <c r="BH4343" s="19" t="str">
        <f aca="false">IF(BG4343=0,"",IF(BG4343&lt;&gt;BA4343,"erreur de calcul",IF(BD4343&lt;&gt;0,"pas de prix",IF(M4343&lt;&gt; 0,"pas de quantité","pas de prix, ni de quantité"))))</f>
        <v>erreur de calcul</v>
      </c>
      <c r="BI4343" s="19"/>
    </row>
    <row r="4344" customFormat="false" ht="15" hidden="false" customHeight="false" outlineLevel="0" collapsed="false">
      <c r="A4344" s="0" t="n">
        <v>5</v>
      </c>
      <c r="B4344" s="8" t="s">
        <v>24</v>
      </c>
      <c r="C4344" s="9" t="s">
        <v>25</v>
      </c>
      <c r="D4344" s="9" t="s">
        <v>26</v>
      </c>
      <c r="E4344" s="10" t="n">
        <v>1789</v>
      </c>
      <c r="F4344" s="9" t="s">
        <v>27</v>
      </c>
      <c r="G4344" s="9" t="s">
        <v>27</v>
      </c>
      <c r="H4344" s="11" t="n">
        <v>22</v>
      </c>
      <c r="I4344" s="11" t="s">
        <v>206</v>
      </c>
      <c r="J4344" s="14" t="n">
        <v>30</v>
      </c>
      <c r="K4344" s="14"/>
      <c r="L4344" s="16"/>
      <c r="M4344" s="27" t="n">
        <f aca="false">J4344+(K4344/20)+(L4344/240)</f>
        <v>30</v>
      </c>
      <c r="N4344" s="17" t="s">
        <v>64</v>
      </c>
      <c r="O4344" s="11"/>
      <c r="P4344" s="28" t="n">
        <f aca="false">8334/100</f>
        <v>83.34</v>
      </c>
      <c r="Q4344" s="28" t="n">
        <v>2500</v>
      </c>
      <c r="R4344" s="28"/>
      <c r="S4344" s="28" t="n">
        <f aca="false">R4344*$M4344</f>
        <v>0</v>
      </c>
      <c r="T4344" s="28"/>
      <c r="U4344" s="28" t="n">
        <f aca="false">T4344*$M4344</f>
        <v>0</v>
      </c>
      <c r="V4344" s="28"/>
      <c r="W4344" s="28" t="n">
        <f aca="false">V4344*$M4344</f>
        <v>0</v>
      </c>
      <c r="X4344" s="28"/>
      <c r="Y4344" s="28" t="n">
        <f aca="false">X4344*$M4344</f>
        <v>0</v>
      </c>
      <c r="Z4344" s="28"/>
      <c r="AA4344" s="28" t="n">
        <f aca="false">Z4344*$M4344</f>
        <v>0</v>
      </c>
      <c r="AB4344" s="28"/>
      <c r="AC4344" s="28" t="n">
        <f aca="false">AB4344*$M4344</f>
        <v>0</v>
      </c>
      <c r="AD4344" s="28"/>
      <c r="AE4344" s="28" t="n">
        <f aca="false">AD4344*$M4344</f>
        <v>0</v>
      </c>
      <c r="AF4344" s="28"/>
      <c r="AG4344" s="28" t="n">
        <f aca="false">AF4344*$M4344</f>
        <v>0</v>
      </c>
      <c r="AH4344" s="28"/>
      <c r="AI4344" s="28" t="n">
        <f aca="false">AH4344*$M4344</f>
        <v>0</v>
      </c>
      <c r="AJ4344" s="28"/>
      <c r="AK4344" s="28" t="n">
        <f aca="false">AJ4344*$M4344</f>
        <v>0</v>
      </c>
      <c r="AL4344" s="28"/>
      <c r="AM4344" s="28" t="n">
        <f aca="false">AL4344*$M4344</f>
        <v>0</v>
      </c>
      <c r="AN4344" s="28"/>
      <c r="AO4344" s="28" t="n">
        <f aca="false">AN4344*$M4344</f>
        <v>0</v>
      </c>
      <c r="AP4344" s="28"/>
      <c r="AQ4344" s="28" t="n">
        <f aca="false">AP4344*$M4344</f>
        <v>0</v>
      </c>
      <c r="AR4344" s="28"/>
      <c r="AS4344" s="28" t="n">
        <f aca="false">AR4344*$M4344</f>
        <v>0</v>
      </c>
      <c r="AT4344" s="28"/>
      <c r="AU4344" s="28" t="n">
        <f aca="false">AT4344*$M4344</f>
        <v>0</v>
      </c>
      <c r="AV4344" s="28"/>
      <c r="AW4344" s="28" t="n">
        <f aca="false">AV4344*$M4344</f>
        <v>0</v>
      </c>
      <c r="AX4344" s="28"/>
      <c r="AY4344" s="28" t="n">
        <f aca="false">AX4344*$M4344</f>
        <v>0</v>
      </c>
      <c r="AZ4344" s="30" t="n">
        <f aca="false">8334/100</f>
        <v>83.34</v>
      </c>
      <c r="BA4344" s="11" t="n">
        <v>2500</v>
      </c>
      <c r="BB4344" s="31" t="n">
        <f aca="false">SUM(Q4344,S4344,U4344,W4344,Y4344,AA4344,AC4344,AE4344,AG4344,AI4344,AK4344,AM4344,AO4344,AQ4344,AS4344,AU4344,AW4344,AY4344)</f>
        <v>2500</v>
      </c>
      <c r="BC4344" s="28" t="n">
        <f aca="false">BA4344-BB4344</f>
        <v>0</v>
      </c>
      <c r="BD4344" s="32" t="n">
        <f aca="false">SUM(P4344,R4344,T4344,V4344,X4344,Z4344,AB4344,AD4344,AF4344,AH4344,AJ4344,AL4344,AN4344,AP4344,AR4344,AT4344,AV4344,AX4344)</f>
        <v>83.34</v>
      </c>
      <c r="BE4344" s="33" t="n">
        <f aca="false">AZ4344-BD4344</f>
        <v>0</v>
      </c>
      <c r="BF4344" s="34" t="n">
        <f aca="false">BD4344*M4344</f>
        <v>2500.2</v>
      </c>
      <c r="BG4344" s="35" t="n">
        <f aca="false">BA4344-BF4344</f>
        <v>-0.200000000000273</v>
      </c>
      <c r="BH4344" s="19" t="str">
        <f aca="false">IF(BG4344=0,"",IF(BG4344&lt;&gt;BA4344,"erreur de calcul",IF(BD4344&lt;&gt;0,"pas de prix",IF(M4344&lt;&gt; 0,"pas de quantité","pas de prix, ni de quantité"))))</f>
        <v>erreur de calcul</v>
      </c>
      <c r="BI4344" s="19"/>
    </row>
    <row r="4345" customFormat="false" ht="15" hidden="false" customHeight="false" outlineLevel="0" collapsed="false">
      <c r="A4345" s="0" t="n">
        <v>6</v>
      </c>
      <c r="B4345" s="8" t="s">
        <v>24</v>
      </c>
      <c r="C4345" s="9" t="s">
        <v>25</v>
      </c>
      <c r="D4345" s="9" t="s">
        <v>26</v>
      </c>
      <c r="E4345" s="10" t="n">
        <v>1789</v>
      </c>
      <c r="F4345" s="9" t="s">
        <v>27</v>
      </c>
      <c r="G4345" s="9" t="s">
        <v>27</v>
      </c>
      <c r="H4345" s="11" t="n">
        <v>22</v>
      </c>
      <c r="I4345" s="11" t="s">
        <v>207</v>
      </c>
      <c r="J4345" s="14"/>
      <c r="K4345" s="14" t="n">
        <v>20</v>
      </c>
      <c r="L4345" s="16"/>
      <c r="M4345" s="27" t="n">
        <f aca="false">J4345+(K4345/20)+(L4345/240)</f>
        <v>1</v>
      </c>
      <c r="N4345" s="17" t="s">
        <v>66</v>
      </c>
      <c r="O4345" s="11"/>
      <c r="P4345" s="28"/>
      <c r="Q4345" s="28" t="n">
        <f aca="false">P4345*$M4345</f>
        <v>0</v>
      </c>
      <c r="R4345" s="28"/>
      <c r="S4345" s="28" t="n">
        <f aca="false">R4345*$M4345</f>
        <v>0</v>
      </c>
      <c r="T4345" s="28"/>
      <c r="U4345" s="28" t="n">
        <f aca="false">T4345*$M4345</f>
        <v>0</v>
      </c>
      <c r="V4345" s="28" t="n">
        <v>33010</v>
      </c>
      <c r="W4345" s="28" t="n">
        <v>33010</v>
      </c>
      <c r="X4345" s="28" t="n">
        <v>292003</v>
      </c>
      <c r="Y4345" s="28" t="n">
        <v>292003</v>
      </c>
      <c r="Z4345" s="28" t="n">
        <v>15558</v>
      </c>
      <c r="AA4345" s="28" t="n">
        <v>15558</v>
      </c>
      <c r="AB4345" s="28" t="n">
        <v>80515</v>
      </c>
      <c r="AC4345" s="28" t="n">
        <v>80515</v>
      </c>
      <c r="AD4345" s="28"/>
      <c r="AE4345" s="28" t="n">
        <f aca="false">AD4345*$M4345</f>
        <v>0</v>
      </c>
      <c r="AF4345" s="28"/>
      <c r="AG4345" s="28" t="n">
        <f aca="false">AF4345*$M4345</f>
        <v>0</v>
      </c>
      <c r="AH4345" s="28" t="n">
        <v>515373</v>
      </c>
      <c r="AI4345" s="28" t="n">
        <v>515373</v>
      </c>
      <c r="AJ4345" s="28"/>
      <c r="AK4345" s="28" t="n">
        <f aca="false">AJ4345*$M4345</f>
        <v>0</v>
      </c>
      <c r="AL4345" s="28" t="n">
        <v>3480</v>
      </c>
      <c r="AM4345" s="28" t="n">
        <v>3480</v>
      </c>
      <c r="AN4345" s="28"/>
      <c r="AO4345" s="28" t="n">
        <f aca="false">AN4345*$M4345</f>
        <v>0</v>
      </c>
      <c r="AP4345" s="28"/>
      <c r="AQ4345" s="28" t="n">
        <f aca="false">AP4345*$M4345</f>
        <v>0</v>
      </c>
      <c r="AR4345" s="28"/>
      <c r="AS4345" s="28" t="n">
        <f aca="false">AR4345*$M4345</f>
        <v>0</v>
      </c>
      <c r="AT4345" s="28"/>
      <c r="AU4345" s="28" t="n">
        <f aca="false">AT4345*$M4345</f>
        <v>0</v>
      </c>
      <c r="AV4345" s="28"/>
      <c r="AW4345" s="28" t="n">
        <f aca="false">AV4345*$M4345</f>
        <v>0</v>
      </c>
      <c r="AX4345" s="28"/>
      <c r="AY4345" s="28" t="n">
        <f aca="false">AX4345*$M4345</f>
        <v>0</v>
      </c>
      <c r="AZ4345" s="30" t="n">
        <v>939939</v>
      </c>
      <c r="BA4345" s="11" t="n">
        <v>939939</v>
      </c>
      <c r="BB4345" s="31" t="n">
        <f aca="false">SUM(Q4345,S4345,U4345,W4345,Y4345,AA4345,AC4345,AE4345,AG4345,AI4345,AK4345,AM4345,AO4345,AQ4345,AS4345,AU4345,AW4345,AY4345)</f>
        <v>939939</v>
      </c>
      <c r="BC4345" s="28" t="n">
        <f aca="false">BA4345-BB4345</f>
        <v>0</v>
      </c>
      <c r="BD4345" s="32" t="n">
        <f aca="false">SUM(P4345,R4345,T4345,V4345,X4345,Z4345,AB4345,AD4345,AF4345,AH4345,AJ4345,AL4345,AN4345,AP4345,AR4345,AT4345,AV4345,AX4345)</f>
        <v>939939</v>
      </c>
      <c r="BE4345" s="33" t="n">
        <f aca="false">AZ4345-BD4345</f>
        <v>0</v>
      </c>
      <c r="BF4345" s="34" t="n">
        <f aca="false">BD4345*M4345</f>
        <v>939939</v>
      </c>
      <c r="BG4345" s="35" t="n">
        <f aca="false">BA4345-BF4345</f>
        <v>0</v>
      </c>
      <c r="BH4345" s="19" t="str">
        <f aca="false">IF(BG4345=0,"",IF(BG4345&lt;&gt;BA4345,"erreur de calcul",IF(BD4345&lt;&gt;0,"pas de prix",IF(M4345&lt;&gt; 0,"pas de quantité","pas de prix, ni de quantité"))))</f>
        <v/>
      </c>
      <c r="BI4345" s="19"/>
    </row>
    <row r="4346" customFormat="false" ht="15" hidden="false" customHeight="false" outlineLevel="0" collapsed="false">
      <c r="A4346" s="0" t="n">
        <v>7</v>
      </c>
      <c r="B4346" s="8" t="s">
        <v>24</v>
      </c>
      <c r="C4346" s="9" t="s">
        <v>25</v>
      </c>
      <c r="D4346" s="9" t="s">
        <v>26</v>
      </c>
      <c r="E4346" s="10" t="n">
        <v>1789</v>
      </c>
      <c r="F4346" s="9" t="s">
        <v>27</v>
      </c>
      <c r="G4346" s="9" t="s">
        <v>27</v>
      </c>
      <c r="H4346" s="11" t="n">
        <v>22</v>
      </c>
      <c r="I4346" s="11" t="s">
        <v>208</v>
      </c>
      <c r="J4346" s="14" t="n">
        <v>60</v>
      </c>
      <c r="K4346" s="14"/>
      <c r="L4346" s="16"/>
      <c r="M4346" s="27" t="n">
        <f aca="false">J4346+(K4346/20)+(L4346/240)</f>
        <v>60</v>
      </c>
      <c r="N4346" s="17" t="s">
        <v>64</v>
      </c>
      <c r="O4346" s="11"/>
      <c r="P4346" s="28"/>
      <c r="Q4346" s="28" t="n">
        <f aca="false">P4346*$M4346</f>
        <v>0</v>
      </c>
      <c r="R4346" s="28"/>
      <c r="S4346" s="28" t="n">
        <f aca="false">R4346*$M4346</f>
        <v>0</v>
      </c>
      <c r="T4346" s="28"/>
      <c r="U4346" s="28" t="n">
        <f aca="false">T4346*$M4346</f>
        <v>0</v>
      </c>
      <c r="V4346" s="28"/>
      <c r="W4346" s="28" t="n">
        <f aca="false">V4346*$M4346</f>
        <v>0</v>
      </c>
      <c r="X4346" s="28"/>
      <c r="Y4346" s="28" t="n">
        <f aca="false">X4346*$M4346</f>
        <v>0</v>
      </c>
      <c r="Z4346" s="28"/>
      <c r="AA4346" s="28" t="n">
        <f aca="false">Z4346*$M4346</f>
        <v>0</v>
      </c>
      <c r="AB4346" s="28"/>
      <c r="AC4346" s="28" t="n">
        <f aca="false">AB4346*$M4346</f>
        <v>0</v>
      </c>
      <c r="AD4346" s="28"/>
      <c r="AE4346" s="28" t="n">
        <f aca="false">AD4346*$M4346</f>
        <v>0</v>
      </c>
      <c r="AF4346" s="28"/>
      <c r="AG4346" s="28" t="n">
        <f aca="false">AF4346*$M4346</f>
        <v>0</v>
      </c>
      <c r="AH4346" s="28"/>
      <c r="AI4346" s="28" t="n">
        <f aca="false">AH4346*$M4346</f>
        <v>0</v>
      </c>
      <c r="AJ4346" s="28" t="n">
        <f aca="false">28692/100</f>
        <v>286.92</v>
      </c>
      <c r="AK4346" s="28" t="n">
        <v>17215</v>
      </c>
      <c r="AL4346" s="28"/>
      <c r="AM4346" s="28" t="n">
        <f aca="false">AL4346*$M4346</f>
        <v>0</v>
      </c>
      <c r="AN4346" s="28"/>
      <c r="AO4346" s="28" t="n">
        <f aca="false">AN4346*$M4346</f>
        <v>0</v>
      </c>
      <c r="AP4346" s="28"/>
      <c r="AQ4346" s="28" t="n">
        <f aca="false">AP4346*$M4346</f>
        <v>0</v>
      </c>
      <c r="AR4346" s="28"/>
      <c r="AS4346" s="28" t="n">
        <f aca="false">AR4346*$M4346</f>
        <v>0</v>
      </c>
      <c r="AT4346" s="28"/>
      <c r="AU4346" s="28" t="n">
        <f aca="false">AT4346*$M4346</f>
        <v>0</v>
      </c>
      <c r="AV4346" s="28"/>
      <c r="AW4346" s="28" t="n">
        <f aca="false">AV4346*$M4346</f>
        <v>0</v>
      </c>
      <c r="AX4346" s="28"/>
      <c r="AY4346" s="28" t="n">
        <f aca="false">AX4346*$M4346</f>
        <v>0</v>
      </c>
      <c r="AZ4346" s="30" t="n">
        <f aca="false">28692/100</f>
        <v>286.92</v>
      </c>
      <c r="BA4346" s="11" t="n">
        <v>17215</v>
      </c>
      <c r="BB4346" s="31" t="n">
        <f aca="false">SUM(Q4346,S4346,U4346,W4346,Y4346,AA4346,AC4346,AE4346,AG4346,AI4346,AK4346,AM4346,AO4346,AQ4346,AS4346,AU4346,AW4346,AY4346)</f>
        <v>17215</v>
      </c>
      <c r="BC4346" s="28" t="n">
        <f aca="false">BA4346-BB4346</f>
        <v>0</v>
      </c>
      <c r="BD4346" s="32" t="n">
        <f aca="false">SUM(P4346,R4346,T4346,V4346,X4346,Z4346,AB4346,AD4346,AF4346,AH4346,AJ4346,AL4346,AN4346,AP4346,AR4346,AT4346,AV4346,AX4346)</f>
        <v>286.92</v>
      </c>
      <c r="BE4346" s="33" t="n">
        <f aca="false">AZ4346-BD4346</f>
        <v>0</v>
      </c>
      <c r="BF4346" s="34" t="n">
        <f aca="false">BD4346*M4346</f>
        <v>17215.2</v>
      </c>
      <c r="BG4346" s="35" t="n">
        <f aca="false">BA4346-BF4346</f>
        <v>-0.200000000000728</v>
      </c>
      <c r="BH4346" s="19" t="str">
        <f aca="false">IF(BG4346=0,"",IF(BG4346&lt;&gt;BA4346,"erreur de calcul",IF(BD4346&lt;&gt;0,"pas de prix",IF(M4346&lt;&gt; 0,"pas de quantité","pas de prix, ni de quantité"))))</f>
        <v>erreur de calcul</v>
      </c>
      <c r="BI4346" s="19"/>
    </row>
    <row r="4347" customFormat="false" ht="15" hidden="false" customHeight="false" outlineLevel="0" collapsed="false">
      <c r="A4347" s="0" t="n">
        <v>8</v>
      </c>
      <c r="B4347" s="8" t="s">
        <v>24</v>
      </c>
      <c r="C4347" s="9" t="s">
        <v>25</v>
      </c>
      <c r="D4347" s="9" t="s">
        <v>26</v>
      </c>
      <c r="E4347" s="10" t="n">
        <v>1789</v>
      </c>
      <c r="F4347" s="9" t="s">
        <v>27</v>
      </c>
      <c r="G4347" s="9" t="s">
        <v>27</v>
      </c>
      <c r="H4347" s="11" t="n">
        <v>22</v>
      </c>
      <c r="I4347" s="11" t="s">
        <v>209</v>
      </c>
      <c r="J4347" s="14" t="n">
        <v>26</v>
      </c>
      <c r="K4347" s="14"/>
      <c r="L4347" s="16"/>
      <c r="M4347" s="27" t="n">
        <f aca="false">J4347+(K4347/20)+(L4347/240)</f>
        <v>26</v>
      </c>
      <c r="N4347" s="17" t="s">
        <v>64</v>
      </c>
      <c r="O4347" s="11"/>
      <c r="P4347" s="28" t="n">
        <f aca="false">9675/100</f>
        <v>96.75</v>
      </c>
      <c r="Q4347" s="28" t="n">
        <v>2515</v>
      </c>
      <c r="R4347" s="28"/>
      <c r="S4347" s="28" t="n">
        <f aca="false">R4347*$M4347</f>
        <v>0</v>
      </c>
      <c r="T4347" s="28"/>
      <c r="U4347" s="28" t="n">
        <f aca="false">T4347*$M4347</f>
        <v>0</v>
      </c>
      <c r="V4347" s="28"/>
      <c r="W4347" s="28" t="n">
        <f aca="false">V4347*$M4347</f>
        <v>0</v>
      </c>
      <c r="X4347" s="28"/>
      <c r="Y4347" s="28" t="n">
        <f aca="false">X4347*$M4347</f>
        <v>0</v>
      </c>
      <c r="Z4347" s="28"/>
      <c r="AA4347" s="28" t="n">
        <f aca="false">Z4347*$M4347</f>
        <v>0</v>
      </c>
      <c r="AB4347" s="28"/>
      <c r="AC4347" s="28" t="n">
        <f aca="false">AB4347*$M4347</f>
        <v>0</v>
      </c>
      <c r="AD4347" s="28"/>
      <c r="AE4347" s="28" t="n">
        <f aca="false">AD4347*$M4347</f>
        <v>0</v>
      </c>
      <c r="AF4347" s="28"/>
      <c r="AG4347" s="28" t="n">
        <f aca="false">AF4347*$M4347</f>
        <v>0</v>
      </c>
      <c r="AH4347" s="28"/>
      <c r="AI4347" s="28" t="n">
        <f aca="false">AH4347*$M4347</f>
        <v>0</v>
      </c>
      <c r="AJ4347" s="28"/>
      <c r="AK4347" s="28" t="n">
        <f aca="false">AJ4347*$M4347</f>
        <v>0</v>
      </c>
      <c r="AL4347" s="28"/>
      <c r="AM4347" s="28" t="n">
        <f aca="false">AL4347*$M4347</f>
        <v>0</v>
      </c>
      <c r="AN4347" s="28"/>
      <c r="AO4347" s="28" t="n">
        <f aca="false">AN4347*$M4347</f>
        <v>0</v>
      </c>
      <c r="AP4347" s="28"/>
      <c r="AQ4347" s="28" t="n">
        <f aca="false">AP4347*$M4347</f>
        <v>0</v>
      </c>
      <c r="AR4347" s="28"/>
      <c r="AS4347" s="28" t="n">
        <f aca="false">AR4347*$M4347</f>
        <v>0</v>
      </c>
      <c r="AT4347" s="28"/>
      <c r="AU4347" s="28" t="n">
        <f aca="false">AT4347*$M4347</f>
        <v>0</v>
      </c>
      <c r="AV4347" s="28"/>
      <c r="AW4347" s="28" t="n">
        <f aca="false">AV4347*$M4347</f>
        <v>0</v>
      </c>
      <c r="AX4347" s="28"/>
      <c r="AY4347" s="28" t="n">
        <f aca="false">AX4347*$M4347</f>
        <v>0</v>
      </c>
      <c r="AZ4347" s="30" t="n">
        <f aca="false">9675/100</f>
        <v>96.75</v>
      </c>
      <c r="BA4347" s="11" t="n">
        <v>2515</v>
      </c>
      <c r="BB4347" s="31" t="n">
        <f aca="false">SUM(Q4347,S4347,U4347,W4347,Y4347,AA4347,AC4347,AE4347,AG4347,AI4347,AK4347,AM4347,AO4347,AQ4347,AS4347,AU4347,AW4347,AY4347)</f>
        <v>2515</v>
      </c>
      <c r="BC4347" s="28" t="n">
        <f aca="false">BA4347-BB4347</f>
        <v>0</v>
      </c>
      <c r="BD4347" s="32" t="n">
        <f aca="false">SUM(P4347,R4347,T4347,V4347,X4347,Z4347,AB4347,AD4347,AF4347,AH4347,AJ4347,AL4347,AN4347,AP4347,AR4347,AT4347,AV4347,AX4347)</f>
        <v>96.75</v>
      </c>
      <c r="BE4347" s="33" t="n">
        <f aca="false">AZ4347-BD4347</f>
        <v>0</v>
      </c>
      <c r="BF4347" s="34" t="n">
        <f aca="false">BD4347*M4347</f>
        <v>2515.5</v>
      </c>
      <c r="BG4347" s="35" t="n">
        <f aca="false">BA4347-BF4347</f>
        <v>-0.5</v>
      </c>
      <c r="BH4347" s="19" t="str">
        <f aca="false">IF(BG4347=0,"",IF(BG4347&lt;&gt;BA4347,"erreur de calcul",IF(BD4347&lt;&gt;0,"pas de prix",IF(M4347&lt;&gt; 0,"pas de quantité","pas de prix, ni de quantité"))))</f>
        <v>erreur de calcul</v>
      </c>
      <c r="BI4347" s="19"/>
    </row>
    <row r="4348" customFormat="false" ht="15" hidden="false" customHeight="false" outlineLevel="0" collapsed="false">
      <c r="A4348" s="0" t="n">
        <v>9</v>
      </c>
      <c r="B4348" s="8" t="s">
        <v>24</v>
      </c>
      <c r="C4348" s="9" t="s">
        <v>25</v>
      </c>
      <c r="D4348" s="9" t="s">
        <v>26</v>
      </c>
      <c r="E4348" s="10" t="n">
        <v>1789</v>
      </c>
      <c r="F4348" s="9" t="s">
        <v>27</v>
      </c>
      <c r="G4348" s="9" t="s">
        <v>27</v>
      </c>
      <c r="H4348" s="11" t="n">
        <v>22</v>
      </c>
      <c r="I4348" s="11" t="s">
        <v>210</v>
      </c>
      <c r="J4348" s="14" t="n">
        <v>8</v>
      </c>
      <c r="K4348" s="14" t="n">
        <v>15</v>
      </c>
      <c r="L4348" s="16"/>
      <c r="M4348" s="27" t="n">
        <f aca="false">J4348+(K4348/20)+(L4348/240)</f>
        <v>8.75</v>
      </c>
      <c r="N4348" s="17" t="s">
        <v>66</v>
      </c>
      <c r="O4348" s="11"/>
      <c r="P4348" s="28"/>
      <c r="Q4348" s="28" t="n">
        <f aca="false">P4348*$M4348</f>
        <v>0</v>
      </c>
      <c r="R4348" s="28"/>
      <c r="S4348" s="28" t="n">
        <f aca="false">R4348*$M4348</f>
        <v>0</v>
      </c>
      <c r="T4348" s="28" t="n">
        <v>2562</v>
      </c>
      <c r="U4348" s="36" t="n">
        <v>21777</v>
      </c>
      <c r="V4348" s="28" t="n">
        <v>127</v>
      </c>
      <c r="W4348" s="28" t="n">
        <v>1111</v>
      </c>
      <c r="X4348" s="28" t="n">
        <v>1945</v>
      </c>
      <c r="Y4348" s="28" t="n">
        <v>17018</v>
      </c>
      <c r="Z4348" s="28"/>
      <c r="AA4348" s="28" t="n">
        <f aca="false">Z4348*$M4348</f>
        <v>0</v>
      </c>
      <c r="AB4348" s="28"/>
      <c r="AC4348" s="28" t="n">
        <f aca="false">AB4348*$M4348</f>
        <v>0</v>
      </c>
      <c r="AD4348" s="28"/>
      <c r="AE4348" s="28" t="n">
        <f aca="false">AD4348*$M4348</f>
        <v>0</v>
      </c>
      <c r="AF4348" s="28"/>
      <c r="AG4348" s="28" t="n">
        <f aca="false">AF4348*$M4348</f>
        <v>0</v>
      </c>
      <c r="AH4348" s="28"/>
      <c r="AI4348" s="28" t="n">
        <f aca="false">AH4348*$M4348</f>
        <v>0</v>
      </c>
      <c r="AJ4348" s="28" t="n">
        <v>3538</v>
      </c>
      <c r="AK4348" s="36" t="n">
        <v>30073</v>
      </c>
      <c r="AL4348" s="28"/>
      <c r="AM4348" s="28" t="n">
        <f aca="false">AL4348*$M4348</f>
        <v>0</v>
      </c>
      <c r="AN4348" s="28"/>
      <c r="AO4348" s="28" t="n">
        <f aca="false">AN4348*$M4348</f>
        <v>0</v>
      </c>
      <c r="AP4348" s="28"/>
      <c r="AQ4348" s="28" t="n">
        <f aca="false">AP4348*$M4348</f>
        <v>0</v>
      </c>
      <c r="AR4348" s="28"/>
      <c r="AS4348" s="28" t="n">
        <f aca="false">AR4348*$M4348</f>
        <v>0</v>
      </c>
      <c r="AT4348" s="28"/>
      <c r="AU4348" s="28" t="n">
        <f aca="false">AT4348*$M4348</f>
        <v>0</v>
      </c>
      <c r="AV4348" s="28"/>
      <c r="AW4348" s="28" t="n">
        <f aca="false">AV4348*$M4348</f>
        <v>0</v>
      </c>
      <c r="AX4348" s="28" t="n">
        <v>11559</v>
      </c>
      <c r="AY4348" s="28" t="n">
        <v>101141</v>
      </c>
      <c r="AZ4348" s="30" t="n">
        <v>19731</v>
      </c>
      <c r="BA4348" s="11" t="n">
        <v>171120</v>
      </c>
      <c r="BB4348" s="31" t="n">
        <f aca="false">SUM(Q4348,S4348,U4348,W4348,Y4348,AA4348,AC4348,AE4348,AG4348,AI4348,AK4348,AM4348,AO4348,AQ4348,AS4348,AU4348,AW4348,AY4348)</f>
        <v>171120</v>
      </c>
      <c r="BC4348" s="28" t="n">
        <f aca="false">BA4348-BB4348</f>
        <v>0</v>
      </c>
      <c r="BD4348" s="32" t="n">
        <f aca="false">SUM(P4348,R4348,T4348,V4348,X4348,Z4348,AB4348,AD4348,AF4348,AH4348,AJ4348,AL4348,AN4348,AP4348,AR4348,AT4348,AV4348,AX4348)</f>
        <v>19731</v>
      </c>
      <c r="BE4348" s="33" t="n">
        <f aca="false">AZ4348-BD4348</f>
        <v>0</v>
      </c>
      <c r="BF4348" s="34" t="n">
        <f aca="false">BD4348*M4348</f>
        <v>172646.25</v>
      </c>
      <c r="BG4348" s="35" t="n">
        <f aca="false">BA4348-BF4348</f>
        <v>-1526.25</v>
      </c>
      <c r="BH4348" s="19" t="str">
        <f aca="false">IF(BG4348=0,"",IF(BG4348&lt;&gt;BA4348,"erreur de calcul",IF(BD4348&lt;&gt;0,"pas de prix",IF(M4348&lt;&gt; 0,"pas de quantité","pas de prix, ni de quantité"))))</f>
        <v>erreur de calcul</v>
      </c>
      <c r="BI4348" s="19"/>
    </row>
    <row r="4349" customFormat="false" ht="15" hidden="false" customHeight="false" outlineLevel="0" collapsed="false">
      <c r="A4349" s="0" t="n">
        <v>10</v>
      </c>
      <c r="B4349" s="8" t="s">
        <v>24</v>
      </c>
      <c r="C4349" s="9" t="s">
        <v>25</v>
      </c>
      <c r="D4349" s="9" t="s">
        <v>26</v>
      </c>
      <c r="E4349" s="10" t="n">
        <v>1789</v>
      </c>
      <c r="F4349" s="9" t="s">
        <v>27</v>
      </c>
      <c r="G4349" s="9" t="s">
        <v>27</v>
      </c>
      <c r="H4349" s="11" t="n">
        <v>22</v>
      </c>
      <c r="I4349" s="11" t="s">
        <v>211</v>
      </c>
      <c r="J4349" s="14" t="n">
        <v>11</v>
      </c>
      <c r="K4349" s="14"/>
      <c r="L4349" s="16"/>
      <c r="M4349" s="27" t="n">
        <f aca="false">J4349+(K4349/20)+(L4349/240)</f>
        <v>11</v>
      </c>
      <c r="N4349" s="17" t="s">
        <v>66</v>
      </c>
      <c r="O4349" s="11"/>
      <c r="P4349" s="28" t="n">
        <v>95190</v>
      </c>
      <c r="Q4349" s="28" t="n">
        <v>1047090</v>
      </c>
      <c r="R4349" s="28"/>
      <c r="S4349" s="28" t="n">
        <f aca="false">R4349*$M4349</f>
        <v>0</v>
      </c>
      <c r="T4349" s="28"/>
      <c r="U4349" s="28" t="n">
        <f aca="false">T4349*$M4349</f>
        <v>0</v>
      </c>
      <c r="V4349" s="28"/>
      <c r="W4349" s="28" t="n">
        <f aca="false">V4349*$M4349</f>
        <v>0</v>
      </c>
      <c r="X4349" s="28"/>
      <c r="Y4349" s="28" t="n">
        <f aca="false">X4349*$M4349</f>
        <v>0</v>
      </c>
      <c r="Z4349" s="28"/>
      <c r="AA4349" s="28" t="n">
        <f aca="false">Z4349*$M4349</f>
        <v>0</v>
      </c>
      <c r="AB4349" s="28"/>
      <c r="AC4349" s="28" t="n">
        <f aca="false">AB4349*$M4349</f>
        <v>0</v>
      </c>
      <c r="AD4349" s="28"/>
      <c r="AE4349" s="28" t="n">
        <f aca="false">AD4349*$M4349</f>
        <v>0</v>
      </c>
      <c r="AF4349" s="28"/>
      <c r="AG4349" s="28" t="n">
        <f aca="false">AF4349*$M4349</f>
        <v>0</v>
      </c>
      <c r="AH4349" s="28"/>
      <c r="AI4349" s="28" t="n">
        <f aca="false">AH4349*$M4349</f>
        <v>0</v>
      </c>
      <c r="AJ4349" s="28"/>
      <c r="AK4349" s="28" t="n">
        <f aca="false">AJ4349*$M4349</f>
        <v>0</v>
      </c>
      <c r="AL4349" s="28"/>
      <c r="AM4349" s="28" t="n">
        <f aca="false">AL4349*$M4349</f>
        <v>0</v>
      </c>
      <c r="AN4349" s="28"/>
      <c r="AO4349" s="28" t="n">
        <f aca="false">AN4349*$M4349</f>
        <v>0</v>
      </c>
      <c r="AP4349" s="28"/>
      <c r="AQ4349" s="28" t="n">
        <f aca="false">AP4349*$M4349</f>
        <v>0</v>
      </c>
      <c r="AR4349" s="28"/>
      <c r="AS4349" s="28" t="n">
        <f aca="false">AR4349*$M4349</f>
        <v>0</v>
      </c>
      <c r="AT4349" s="28"/>
      <c r="AU4349" s="28" t="n">
        <f aca="false">AT4349*$M4349</f>
        <v>0</v>
      </c>
      <c r="AV4349" s="28"/>
      <c r="AW4349" s="28" t="n">
        <f aca="false">AV4349*$M4349</f>
        <v>0</v>
      </c>
      <c r="AX4349" s="28"/>
      <c r="AY4349" s="28" t="n">
        <f aca="false">AX4349*$M4349</f>
        <v>0</v>
      </c>
      <c r="AZ4349" s="30" t="n">
        <v>95190</v>
      </c>
      <c r="BA4349" s="11" t="n">
        <v>1047090</v>
      </c>
      <c r="BB4349" s="31" t="n">
        <f aca="false">SUM(Q4349,S4349,U4349,W4349,Y4349,AA4349,AC4349,AE4349,AG4349,AI4349,AK4349,AM4349,AO4349,AQ4349,AS4349,AU4349,AW4349,AY4349)</f>
        <v>1047090</v>
      </c>
      <c r="BC4349" s="28" t="n">
        <f aca="false">BA4349-BB4349</f>
        <v>0</v>
      </c>
      <c r="BD4349" s="32" t="n">
        <f aca="false">SUM(P4349,R4349,T4349,V4349,X4349,Z4349,AB4349,AD4349,AF4349,AH4349,AJ4349,AL4349,AN4349,AP4349,AR4349,AT4349,AV4349,AX4349)</f>
        <v>95190</v>
      </c>
      <c r="BE4349" s="33" t="n">
        <f aca="false">AZ4349-BD4349</f>
        <v>0</v>
      </c>
      <c r="BF4349" s="34" t="n">
        <f aca="false">BD4349*M4349</f>
        <v>1047090</v>
      </c>
      <c r="BG4349" s="35" t="n">
        <f aca="false">BA4349-BF4349</f>
        <v>0</v>
      </c>
      <c r="BH4349" s="19" t="str">
        <f aca="false">IF(BG4349=0,"",IF(BG4349&lt;&gt;BA4349,"erreur de calcul",IF(BD4349&lt;&gt;0,"pas de prix",IF(M4349&lt;&gt; 0,"pas de quantité","pas de prix, ni de quantité"))))</f>
        <v/>
      </c>
      <c r="BI4349" s="19"/>
    </row>
    <row r="4350" customFormat="false" ht="17.15" hidden="false" customHeight="false" outlineLevel="0" collapsed="false">
      <c r="A4350" s="0" t="n">
        <v>11</v>
      </c>
      <c r="B4350" s="8" t="s">
        <v>24</v>
      </c>
      <c r="C4350" s="9" t="s">
        <v>25</v>
      </c>
      <c r="D4350" s="9" t="s">
        <v>26</v>
      </c>
      <c r="E4350" s="10" t="n">
        <v>1789</v>
      </c>
      <c r="F4350" s="9" t="s">
        <v>27</v>
      </c>
      <c r="G4350" s="9" t="s">
        <v>27</v>
      </c>
      <c r="H4350" s="11" t="n">
        <v>22</v>
      </c>
      <c r="I4350" s="40" t="s">
        <v>212</v>
      </c>
      <c r="J4350" s="14" t="n">
        <v>75</v>
      </c>
      <c r="K4350" s="14"/>
      <c r="L4350" s="16"/>
      <c r="M4350" s="27" t="n">
        <f aca="false">J4350+(K4350/20)+(L4350/240)</f>
        <v>75</v>
      </c>
      <c r="N4350" s="17" t="s">
        <v>64</v>
      </c>
      <c r="O4350" s="11"/>
      <c r="P4350" s="28"/>
      <c r="Q4350" s="28" t="n">
        <f aca="false">P4350*$M4350</f>
        <v>0</v>
      </c>
      <c r="R4350" s="28"/>
      <c r="S4350" s="28" t="n">
        <f aca="false">R4350*$M4350</f>
        <v>0</v>
      </c>
      <c r="T4350" s="28"/>
      <c r="U4350" s="28" t="n">
        <f aca="false">T4350*$M4350</f>
        <v>0</v>
      </c>
      <c r="V4350" s="28"/>
      <c r="W4350" s="28" t="n">
        <f aca="false">V4350*$M4350</f>
        <v>0</v>
      </c>
      <c r="X4350" s="28"/>
      <c r="Y4350" s="28" t="n">
        <f aca="false">X4350*$M4350</f>
        <v>0</v>
      </c>
      <c r="Z4350" s="28"/>
      <c r="AA4350" s="28" t="n">
        <f aca="false">Z4350*$M4350</f>
        <v>0</v>
      </c>
      <c r="AB4350" s="28"/>
      <c r="AC4350" s="28" t="n">
        <f aca="false">AB4350*$M4350</f>
        <v>0</v>
      </c>
      <c r="AD4350" s="28"/>
      <c r="AE4350" s="28" t="n">
        <f aca="false">AD4350*$M4350</f>
        <v>0</v>
      </c>
      <c r="AF4350" s="28"/>
      <c r="AG4350" s="28" t="n">
        <f aca="false">AF4350*$M4350</f>
        <v>0</v>
      </c>
      <c r="AH4350" s="28"/>
      <c r="AI4350" s="28" t="n">
        <f aca="false">AH4350*$M4350</f>
        <v>0</v>
      </c>
      <c r="AJ4350" s="28" t="n">
        <f aca="false">2372/100</f>
        <v>23.72</v>
      </c>
      <c r="AK4350" s="28" t="n">
        <v>1779</v>
      </c>
      <c r="AL4350" s="28"/>
      <c r="AM4350" s="28" t="n">
        <f aca="false">AL4350*$M4350</f>
        <v>0</v>
      </c>
      <c r="AN4350" s="28"/>
      <c r="AO4350" s="28" t="n">
        <f aca="false">AN4350*$M4350</f>
        <v>0</v>
      </c>
      <c r="AP4350" s="28"/>
      <c r="AQ4350" s="28" t="n">
        <f aca="false">AP4350*$M4350</f>
        <v>0</v>
      </c>
      <c r="AR4350" s="28"/>
      <c r="AS4350" s="28" t="n">
        <f aca="false">AR4350*$M4350</f>
        <v>0</v>
      </c>
      <c r="AT4350" s="28"/>
      <c r="AU4350" s="28" t="n">
        <f aca="false">AT4350*$M4350</f>
        <v>0</v>
      </c>
      <c r="AV4350" s="28"/>
      <c r="AW4350" s="28" t="n">
        <f aca="false">AV4350*$M4350</f>
        <v>0</v>
      </c>
      <c r="AX4350" s="28"/>
      <c r="AY4350" s="28" t="n">
        <f aca="false">AX4350*$M4350</f>
        <v>0</v>
      </c>
      <c r="AZ4350" s="30" t="n">
        <f aca="false">2372/100</f>
        <v>23.72</v>
      </c>
      <c r="BA4350" s="11" t="n">
        <v>1779</v>
      </c>
      <c r="BB4350" s="31" t="n">
        <f aca="false">SUM(Q4350,S4350,U4350,W4350,Y4350,AA4350,AC4350,AE4350,AG4350,AI4350,AK4350,AM4350,AO4350,AQ4350,AS4350,AU4350,AW4350,AY4350)</f>
        <v>1779</v>
      </c>
      <c r="BC4350" s="28" t="n">
        <f aca="false">BA4350-BB4350</f>
        <v>0</v>
      </c>
      <c r="BD4350" s="32" t="n">
        <f aca="false">SUM(P4350,R4350,T4350,V4350,X4350,Z4350,AB4350,AD4350,AF4350,AH4350,AJ4350,AL4350,AN4350,AP4350,AR4350,AT4350,AV4350,AX4350)</f>
        <v>23.72</v>
      </c>
      <c r="BE4350" s="33" t="n">
        <f aca="false">AZ4350-BD4350</f>
        <v>0</v>
      </c>
      <c r="BF4350" s="34" t="n">
        <f aca="false">BD4350*M4350</f>
        <v>1779</v>
      </c>
      <c r="BG4350" s="35" t="n">
        <f aca="false">BA4350-BF4350</f>
        <v>0</v>
      </c>
      <c r="BH4350" s="19" t="str">
        <f aca="false">IF(BG4350=0,"",IF(BG4350&lt;&gt;BA4350,"erreur de calcul",IF(BD4350&lt;&gt;0,"pas de prix",IF(M4350&lt;&gt; 0,"pas de quantité","pas de prix, ni de quantité"))))</f>
        <v/>
      </c>
      <c r="BI4350" s="19"/>
    </row>
    <row r="4351" customFormat="false" ht="15" hidden="false" customHeight="false" outlineLevel="0" collapsed="false">
      <c r="A4351" s="0" t="n">
        <v>12</v>
      </c>
      <c r="B4351" s="8" t="s">
        <v>24</v>
      </c>
      <c r="C4351" s="9" t="s">
        <v>25</v>
      </c>
      <c r="D4351" s="9" t="s">
        <v>26</v>
      </c>
      <c r="E4351" s="10" t="n">
        <v>1789</v>
      </c>
      <c r="F4351" s="9" t="s">
        <v>27</v>
      </c>
      <c r="G4351" s="9" t="s">
        <v>27</v>
      </c>
      <c r="H4351" s="11" t="n">
        <v>22</v>
      </c>
      <c r="I4351" s="11" t="s">
        <v>213</v>
      </c>
      <c r="J4351" s="14" t="n">
        <v>31</v>
      </c>
      <c r="K4351" s="14"/>
      <c r="L4351" s="16"/>
      <c r="M4351" s="27" t="n">
        <f aca="false">J4351+(K4351/20)+(L4351/240)</f>
        <v>31</v>
      </c>
      <c r="N4351" s="17" t="s">
        <v>64</v>
      </c>
      <c r="O4351" s="11"/>
      <c r="P4351" s="28"/>
      <c r="Q4351" s="28" t="n">
        <f aca="false">P4351*$M4351</f>
        <v>0</v>
      </c>
      <c r="R4351" s="28"/>
      <c r="S4351" s="28" t="n">
        <f aca="false">R4351*$M4351</f>
        <v>0</v>
      </c>
      <c r="T4351" s="28"/>
      <c r="U4351" s="28" t="n">
        <f aca="false">T4351*$M4351</f>
        <v>0</v>
      </c>
      <c r="V4351" s="28"/>
      <c r="W4351" s="28" t="n">
        <f aca="false">V4351*$M4351</f>
        <v>0</v>
      </c>
      <c r="X4351" s="28" t="n">
        <f aca="false">18202/100</f>
        <v>182.02</v>
      </c>
      <c r="Y4351" s="28" t="n">
        <v>5643</v>
      </c>
      <c r="Z4351" s="28"/>
      <c r="AA4351" s="28" t="n">
        <f aca="false">Z4351*$M4351</f>
        <v>0</v>
      </c>
      <c r="AB4351" s="28"/>
      <c r="AC4351" s="28" t="n">
        <f aca="false">AB4351*$M4351</f>
        <v>0</v>
      </c>
      <c r="AD4351" s="28"/>
      <c r="AE4351" s="28" t="n">
        <f aca="false">AD4351*$M4351</f>
        <v>0</v>
      </c>
      <c r="AF4351" s="28"/>
      <c r="AG4351" s="28" t="n">
        <f aca="false">AF4351*$M4351</f>
        <v>0</v>
      </c>
      <c r="AH4351" s="28"/>
      <c r="AI4351" s="28" t="n">
        <f aca="false">AH4351*$M4351</f>
        <v>0</v>
      </c>
      <c r="AJ4351" s="28"/>
      <c r="AK4351" s="28" t="n">
        <f aca="false">AJ4351*$M4351</f>
        <v>0</v>
      </c>
      <c r="AL4351" s="28"/>
      <c r="AM4351" s="28" t="n">
        <f aca="false">AL4351*$M4351</f>
        <v>0</v>
      </c>
      <c r="AN4351" s="28"/>
      <c r="AO4351" s="28" t="n">
        <f aca="false">AN4351*$M4351</f>
        <v>0</v>
      </c>
      <c r="AP4351" s="28"/>
      <c r="AQ4351" s="28" t="n">
        <f aca="false">AP4351*$M4351</f>
        <v>0</v>
      </c>
      <c r="AR4351" s="28"/>
      <c r="AS4351" s="28" t="n">
        <f aca="false">AR4351*$M4351</f>
        <v>0</v>
      </c>
      <c r="AT4351" s="28"/>
      <c r="AU4351" s="28" t="n">
        <f aca="false">AT4351*$M4351</f>
        <v>0</v>
      </c>
      <c r="AV4351" s="28"/>
      <c r="AW4351" s="28" t="n">
        <f aca="false">AV4351*$M4351</f>
        <v>0</v>
      </c>
      <c r="AX4351" s="28"/>
      <c r="AY4351" s="28" t="n">
        <f aca="false">AX4351*$M4351</f>
        <v>0</v>
      </c>
      <c r="AZ4351" s="30" t="n">
        <f aca="false">18202/100</f>
        <v>182.02</v>
      </c>
      <c r="BA4351" s="11" t="n">
        <v>5643</v>
      </c>
      <c r="BB4351" s="31" t="n">
        <f aca="false">SUM(Q4351,S4351,U4351,W4351,Y4351,AA4351,AC4351,AE4351,AG4351,AI4351,AK4351,AM4351,AO4351,AQ4351,AS4351,AU4351,AW4351,AY4351)</f>
        <v>5643</v>
      </c>
      <c r="BC4351" s="28" t="n">
        <f aca="false">BA4351-BB4351</f>
        <v>0</v>
      </c>
      <c r="BD4351" s="32" t="n">
        <f aca="false">SUM(P4351,R4351,T4351,V4351,X4351,Z4351,AB4351,AD4351,AF4351,AH4351,AJ4351,AL4351,AN4351,AP4351,AR4351,AT4351,AV4351,AX4351)</f>
        <v>182.02</v>
      </c>
      <c r="BE4351" s="33" t="n">
        <f aca="false">AZ4351-BD4351</f>
        <v>0</v>
      </c>
      <c r="BF4351" s="34" t="n">
        <f aca="false">BD4351*M4351</f>
        <v>5642.62</v>
      </c>
      <c r="BG4351" s="35" t="n">
        <f aca="false">BA4351-BF4351</f>
        <v>0.380000000000109</v>
      </c>
      <c r="BH4351" s="19" t="str">
        <f aca="false">IF(BG4351=0,"",IF(BG4351&lt;&gt;BA4351,"erreur de calcul",IF(BD4351&lt;&gt;0,"pas de prix",IF(M4351&lt;&gt; 0,"pas de quantité","pas de prix, ni de quantité"))))</f>
        <v>erreur de calcul</v>
      </c>
      <c r="BI4351" s="19"/>
    </row>
    <row r="4352" customFormat="false" ht="15" hidden="false" customHeight="false" outlineLevel="0" collapsed="false">
      <c r="A4352" s="0" t="n">
        <v>13</v>
      </c>
      <c r="B4352" s="8" t="s">
        <v>24</v>
      </c>
      <c r="C4352" s="9" t="s">
        <v>25</v>
      </c>
      <c r="D4352" s="9" t="s">
        <v>26</v>
      </c>
      <c r="E4352" s="10" t="n">
        <v>1789</v>
      </c>
      <c r="F4352" s="9" t="s">
        <v>27</v>
      </c>
      <c r="G4352" s="9" t="s">
        <v>27</v>
      </c>
      <c r="H4352" s="11" t="n">
        <v>22</v>
      </c>
      <c r="I4352" s="11" t="s">
        <v>214</v>
      </c>
      <c r="J4352" s="14"/>
      <c r="K4352" s="14" t="n">
        <v>20</v>
      </c>
      <c r="L4352" s="16"/>
      <c r="M4352" s="27" t="n">
        <f aca="false">J4352+(K4352/20)+(L4352/240)</f>
        <v>1</v>
      </c>
      <c r="N4352" s="17" t="s">
        <v>66</v>
      </c>
      <c r="O4352" s="11"/>
      <c r="P4352" s="28"/>
      <c r="Q4352" s="28" t="n">
        <f aca="false">P4352*$M4352</f>
        <v>0</v>
      </c>
      <c r="R4352" s="28"/>
      <c r="S4352" s="28" t="n">
        <f aca="false">R4352*$M4352</f>
        <v>0</v>
      </c>
      <c r="T4352" s="28"/>
      <c r="U4352" s="28" t="n">
        <f aca="false">T4352*$M4352</f>
        <v>0</v>
      </c>
      <c r="V4352" s="28"/>
      <c r="W4352" s="28" t="n">
        <f aca="false">V4352*$M4352</f>
        <v>0</v>
      </c>
      <c r="X4352" s="28"/>
      <c r="Y4352" s="28" t="n">
        <f aca="false">X4352*$M4352</f>
        <v>0</v>
      </c>
      <c r="Z4352" s="28"/>
      <c r="AA4352" s="28" t="n">
        <f aca="false">Z4352*$M4352</f>
        <v>0</v>
      </c>
      <c r="AB4352" s="28"/>
      <c r="AC4352" s="28" t="n">
        <f aca="false">AB4352*$M4352</f>
        <v>0</v>
      </c>
      <c r="AD4352" s="28" t="n">
        <v>2831</v>
      </c>
      <c r="AE4352" s="28" t="n">
        <v>2831</v>
      </c>
      <c r="AF4352" s="28"/>
      <c r="AG4352" s="28" t="n">
        <f aca="false">AF4352*$M4352</f>
        <v>0</v>
      </c>
      <c r="AH4352" s="28"/>
      <c r="AI4352" s="28" t="n">
        <f aca="false">AH4352*$M4352</f>
        <v>0</v>
      </c>
      <c r="AJ4352" s="28"/>
      <c r="AK4352" s="28" t="n">
        <f aca="false">AJ4352*$M4352</f>
        <v>0</v>
      </c>
      <c r="AL4352" s="28"/>
      <c r="AM4352" s="28" t="n">
        <f aca="false">AL4352*$M4352</f>
        <v>0</v>
      </c>
      <c r="AN4352" s="28"/>
      <c r="AO4352" s="28" t="n">
        <f aca="false">AN4352*$M4352</f>
        <v>0</v>
      </c>
      <c r="AP4352" s="28"/>
      <c r="AQ4352" s="28" t="n">
        <f aca="false">AP4352*$M4352</f>
        <v>0</v>
      </c>
      <c r="AR4352" s="28"/>
      <c r="AS4352" s="28" t="n">
        <f aca="false">AR4352*$M4352</f>
        <v>0</v>
      </c>
      <c r="AT4352" s="28"/>
      <c r="AU4352" s="28" t="n">
        <f aca="false">AT4352*$M4352</f>
        <v>0</v>
      </c>
      <c r="AV4352" s="28"/>
      <c r="AW4352" s="28" t="n">
        <f aca="false">AV4352*$M4352</f>
        <v>0</v>
      </c>
      <c r="AX4352" s="28"/>
      <c r="AY4352" s="28" t="n">
        <f aca="false">AX4352*$M4352</f>
        <v>0</v>
      </c>
      <c r="AZ4352" s="30" t="n">
        <v>2831</v>
      </c>
      <c r="BA4352" s="11" t="n">
        <v>2831</v>
      </c>
      <c r="BB4352" s="31" t="n">
        <f aca="false">SUM(Q4352,S4352,U4352,W4352,Y4352,AA4352,AC4352,AE4352,AG4352,AI4352,AK4352,AM4352,AO4352,AQ4352,AS4352,AU4352,AW4352,AY4352)</f>
        <v>2831</v>
      </c>
      <c r="BC4352" s="28" t="n">
        <f aca="false">BA4352-BB4352</f>
        <v>0</v>
      </c>
      <c r="BD4352" s="32" t="n">
        <f aca="false">SUM(P4352,R4352,T4352,V4352,X4352,Z4352,AB4352,AD4352,AF4352,AH4352,AJ4352,AL4352,AN4352,AP4352,AR4352,AT4352,AV4352,AX4352)</f>
        <v>2831</v>
      </c>
      <c r="BE4352" s="33" t="n">
        <f aca="false">AZ4352-BD4352</f>
        <v>0</v>
      </c>
      <c r="BF4352" s="34" t="n">
        <f aca="false">BD4352*M4352</f>
        <v>2831</v>
      </c>
      <c r="BG4352" s="35" t="n">
        <f aca="false">BA4352-BF4352</f>
        <v>0</v>
      </c>
      <c r="BH4352" s="19" t="str">
        <f aca="false">IF(BG4352=0,"",IF(BG4352&lt;&gt;BA4352,"erreur de calcul",IF(BD4352&lt;&gt;0,"pas de prix",IF(M4352&lt;&gt; 0,"pas de quantité","pas de prix, ni de quantité"))))</f>
        <v/>
      </c>
      <c r="BI4352" s="19"/>
    </row>
    <row r="4353" customFormat="false" ht="15" hidden="false" customHeight="false" outlineLevel="0" collapsed="false">
      <c r="A4353" s="0" t="n">
        <v>14</v>
      </c>
      <c r="B4353" s="8" t="s">
        <v>24</v>
      </c>
      <c r="C4353" s="9" t="s">
        <v>25</v>
      </c>
      <c r="D4353" s="9" t="s">
        <v>26</v>
      </c>
      <c r="E4353" s="10" t="n">
        <v>1789</v>
      </c>
      <c r="F4353" s="9" t="s">
        <v>27</v>
      </c>
      <c r="G4353" s="9" t="s">
        <v>27</v>
      </c>
      <c r="H4353" s="11" t="n">
        <v>22</v>
      </c>
      <c r="I4353" s="11" t="s">
        <v>215</v>
      </c>
      <c r="J4353" s="14" t="n">
        <v>36</v>
      </c>
      <c r="K4353" s="14"/>
      <c r="L4353" s="16"/>
      <c r="M4353" s="27" t="n">
        <f aca="false">J4353+(K4353/20)+(L4353/240)</f>
        <v>36</v>
      </c>
      <c r="N4353" s="17" t="s">
        <v>64</v>
      </c>
      <c r="O4353" s="11"/>
      <c r="P4353" s="28"/>
      <c r="Q4353" s="28" t="n">
        <f aca="false">P4353*$M4353</f>
        <v>0</v>
      </c>
      <c r="R4353" s="28"/>
      <c r="S4353" s="28" t="n">
        <f aca="false">R4353*$M4353</f>
        <v>0</v>
      </c>
      <c r="T4353" s="28"/>
      <c r="U4353" s="28" t="n">
        <f aca="false">T4353*$M4353</f>
        <v>0</v>
      </c>
      <c r="V4353" s="28"/>
      <c r="W4353" s="28" t="n">
        <f aca="false">V4353*$M4353</f>
        <v>0</v>
      </c>
      <c r="X4353" s="28"/>
      <c r="Y4353" s="28" t="n">
        <f aca="false">X4353*$M4353</f>
        <v>0</v>
      </c>
      <c r="Z4353" s="28"/>
      <c r="AA4353" s="28" t="n">
        <f aca="false">Z4353*$M4353</f>
        <v>0</v>
      </c>
      <c r="AB4353" s="28"/>
      <c r="AC4353" s="28" t="n">
        <f aca="false">AB4353*$M4353</f>
        <v>0</v>
      </c>
      <c r="AD4353" s="28"/>
      <c r="AE4353" s="28" t="n">
        <f aca="false">AD4353*$M4353</f>
        <v>0</v>
      </c>
      <c r="AF4353" s="28" t="n">
        <f aca="false">92472/100</f>
        <v>924.72</v>
      </c>
      <c r="AG4353" s="28" t="n">
        <v>33290</v>
      </c>
      <c r="AH4353" s="28" t="n">
        <f aca="false">490633/100</f>
        <v>4906.33</v>
      </c>
      <c r="AI4353" s="28" t="n">
        <v>176628</v>
      </c>
      <c r="AJ4353" s="28"/>
      <c r="AK4353" s="28" t="n">
        <f aca="false">AJ4353*$M4353</f>
        <v>0</v>
      </c>
      <c r="AL4353" s="28"/>
      <c r="AM4353" s="28" t="n">
        <f aca="false">AL4353*$M4353</f>
        <v>0</v>
      </c>
      <c r="AN4353" s="28"/>
      <c r="AO4353" s="28" t="n">
        <f aca="false">AN4353*$M4353</f>
        <v>0</v>
      </c>
      <c r="AP4353" s="28"/>
      <c r="AQ4353" s="28" t="n">
        <f aca="false">AP4353*$M4353</f>
        <v>0</v>
      </c>
      <c r="AR4353" s="28"/>
      <c r="AS4353" s="28" t="n">
        <f aca="false">AR4353*$M4353</f>
        <v>0</v>
      </c>
      <c r="AT4353" s="28"/>
      <c r="AU4353" s="28" t="n">
        <f aca="false">AT4353*$M4353</f>
        <v>0</v>
      </c>
      <c r="AV4353" s="28"/>
      <c r="AW4353" s="28" t="n">
        <f aca="false">AV4353*$M4353</f>
        <v>0</v>
      </c>
      <c r="AX4353" s="28"/>
      <c r="AY4353" s="28" t="n">
        <f aca="false">AX4353*$M4353</f>
        <v>0</v>
      </c>
      <c r="AZ4353" s="30" t="n">
        <f aca="false">583105/100</f>
        <v>5831.05</v>
      </c>
      <c r="BA4353" s="11" t="n">
        <v>209918</v>
      </c>
      <c r="BB4353" s="31" t="n">
        <f aca="false">SUM(Q4353,S4353,U4353,W4353,Y4353,AA4353,AC4353,AE4353,AG4353,AI4353,AK4353,AM4353,AO4353,AQ4353,AS4353,AU4353,AW4353,AY4353)</f>
        <v>209918</v>
      </c>
      <c r="BC4353" s="28" t="n">
        <f aca="false">BA4353-BB4353</f>
        <v>0</v>
      </c>
      <c r="BD4353" s="32" t="n">
        <f aca="false">SUM(P4353,R4353,T4353,V4353,X4353,Z4353,AB4353,AD4353,AF4353,AH4353,AJ4353,AL4353,AN4353,AP4353,AR4353,AT4353,AV4353,AX4353)</f>
        <v>5831.05</v>
      </c>
      <c r="BE4353" s="33" t="n">
        <f aca="false">AZ4353-BD4353</f>
        <v>0</v>
      </c>
      <c r="BF4353" s="34" t="n">
        <f aca="false">BD4353*M4353</f>
        <v>209917.8</v>
      </c>
      <c r="BG4353" s="35" t="n">
        <f aca="false">BA4353-BF4353</f>
        <v>0.199999999982538</v>
      </c>
      <c r="BH4353" s="19" t="str">
        <f aca="false">IF(BG4353=0,"",IF(BG4353&lt;&gt;BA4353,"erreur de calcul",IF(BD4353&lt;&gt;0,"pas de prix",IF(M4353&lt;&gt; 0,"pas de quantité","pas de prix, ni de quantité"))))</f>
        <v>erreur de calcul</v>
      </c>
      <c r="BI4353" s="19"/>
    </row>
    <row r="4354" customFormat="false" ht="15" hidden="false" customHeight="false" outlineLevel="0" collapsed="false">
      <c r="A4354" s="0" t="n">
        <v>15</v>
      </c>
      <c r="B4354" s="8" t="s">
        <v>24</v>
      </c>
      <c r="C4354" s="9" t="s">
        <v>25</v>
      </c>
      <c r="D4354" s="9" t="s">
        <v>26</v>
      </c>
      <c r="E4354" s="10" t="n">
        <v>1789</v>
      </c>
      <c r="F4354" s="9" t="s">
        <v>27</v>
      </c>
      <c r="G4354" s="9" t="s">
        <v>27</v>
      </c>
      <c r="H4354" s="11" t="n">
        <v>22</v>
      </c>
      <c r="I4354" s="11" t="s">
        <v>216</v>
      </c>
      <c r="J4354" s="14"/>
      <c r="K4354" s="14" t="n">
        <v>22</v>
      </c>
      <c r="L4354" s="16"/>
      <c r="M4354" s="27" t="n">
        <f aca="false">J4354+(K4354/20)+(L4354/240)</f>
        <v>1.1</v>
      </c>
      <c r="N4354" s="17" t="s">
        <v>66</v>
      </c>
      <c r="O4354" s="11"/>
      <c r="P4354" s="28"/>
      <c r="Q4354" s="28" t="n">
        <f aca="false">P4354*$M4354</f>
        <v>0</v>
      </c>
      <c r="R4354" s="28"/>
      <c r="S4354" s="28" t="n">
        <f aca="false">R4354*$M4354</f>
        <v>0</v>
      </c>
      <c r="T4354" s="28" t="n">
        <v>2875</v>
      </c>
      <c r="U4354" s="28" t="n">
        <v>3162</v>
      </c>
      <c r="V4354" s="28"/>
      <c r="W4354" s="28" t="n">
        <f aca="false">V4354*$M4354</f>
        <v>0</v>
      </c>
      <c r="X4354" s="28"/>
      <c r="Y4354" s="28" t="n">
        <f aca="false">X4354*$M4354</f>
        <v>0</v>
      </c>
      <c r="Z4354" s="28"/>
      <c r="AA4354" s="28" t="n">
        <f aca="false">Z4354*$M4354</f>
        <v>0</v>
      </c>
      <c r="AB4354" s="28"/>
      <c r="AC4354" s="28" t="n">
        <f aca="false">AB4354*$M4354</f>
        <v>0</v>
      </c>
      <c r="AD4354" s="28"/>
      <c r="AE4354" s="28" t="n">
        <f aca="false">AD4354*$M4354</f>
        <v>0</v>
      </c>
      <c r="AF4354" s="28"/>
      <c r="AG4354" s="28" t="n">
        <f aca="false">AF4354*$M4354</f>
        <v>0</v>
      </c>
      <c r="AH4354" s="28"/>
      <c r="AI4354" s="28" t="n">
        <f aca="false">AH4354*$M4354</f>
        <v>0</v>
      </c>
      <c r="AJ4354" s="28"/>
      <c r="AK4354" s="28" t="n">
        <f aca="false">AJ4354*$M4354</f>
        <v>0</v>
      </c>
      <c r="AL4354" s="28"/>
      <c r="AM4354" s="28" t="n">
        <f aca="false">AL4354*$M4354</f>
        <v>0</v>
      </c>
      <c r="AN4354" s="28"/>
      <c r="AO4354" s="28" t="n">
        <f aca="false">AN4354*$M4354</f>
        <v>0</v>
      </c>
      <c r="AP4354" s="28"/>
      <c r="AQ4354" s="28" t="n">
        <f aca="false">AP4354*$M4354</f>
        <v>0</v>
      </c>
      <c r="AR4354" s="28"/>
      <c r="AS4354" s="28" t="n">
        <f aca="false">AR4354*$M4354</f>
        <v>0</v>
      </c>
      <c r="AT4354" s="28"/>
      <c r="AU4354" s="28" t="n">
        <f aca="false">AT4354*$M4354</f>
        <v>0</v>
      </c>
      <c r="AV4354" s="28"/>
      <c r="AW4354" s="28" t="n">
        <f aca="false">AV4354*$M4354</f>
        <v>0</v>
      </c>
      <c r="AX4354" s="28"/>
      <c r="AY4354" s="28" t="n">
        <f aca="false">AX4354*$M4354</f>
        <v>0</v>
      </c>
      <c r="AZ4354" s="30" t="n">
        <v>2875</v>
      </c>
      <c r="BA4354" s="11" t="n">
        <v>3162</v>
      </c>
      <c r="BB4354" s="31" t="n">
        <f aca="false">SUM(Q4354,S4354,U4354,W4354,Y4354,AA4354,AC4354,AE4354,AG4354,AI4354,AK4354,AM4354,AO4354,AQ4354,AS4354,AU4354,AW4354,AY4354)</f>
        <v>3162</v>
      </c>
      <c r="BC4354" s="28" t="n">
        <f aca="false">BA4354-BB4354</f>
        <v>0</v>
      </c>
      <c r="BD4354" s="32" t="n">
        <f aca="false">SUM(P4354,R4354,T4354,V4354,X4354,Z4354,AB4354,AD4354,AF4354,AH4354,AJ4354,AL4354,AN4354,AP4354,AR4354,AT4354,AV4354,AX4354)</f>
        <v>2875</v>
      </c>
      <c r="BE4354" s="33" t="n">
        <f aca="false">AZ4354-BD4354</f>
        <v>0</v>
      </c>
      <c r="BF4354" s="34" t="n">
        <f aca="false">BD4354*M4354</f>
        <v>3162.5</v>
      </c>
      <c r="BG4354" s="35" t="n">
        <f aca="false">BA4354-BF4354</f>
        <v>-0.500000000000455</v>
      </c>
      <c r="BH4354" s="19" t="str">
        <f aca="false">IF(BG4354=0,"",IF(BG4354&lt;&gt;BA4354,"erreur de calcul",IF(BD4354&lt;&gt;0,"pas de prix",IF(M4354&lt;&gt; 0,"pas de quantité","pas de prix, ni de quantité"))))</f>
        <v>erreur de calcul</v>
      </c>
      <c r="BI4354" s="19"/>
    </row>
    <row r="4355" customFormat="false" ht="15" hidden="false" customHeight="false" outlineLevel="0" collapsed="false">
      <c r="A4355" s="0" t="n">
        <v>16</v>
      </c>
      <c r="B4355" s="8" t="s">
        <v>24</v>
      </c>
      <c r="C4355" s="9" t="s">
        <v>25</v>
      </c>
      <c r="D4355" s="9" t="s">
        <v>26</v>
      </c>
      <c r="E4355" s="10" t="n">
        <v>1789</v>
      </c>
      <c r="F4355" s="9" t="s">
        <v>27</v>
      </c>
      <c r="G4355" s="9" t="s">
        <v>27</v>
      </c>
      <c r="H4355" s="11" t="n">
        <v>22</v>
      </c>
      <c r="I4355" s="11" t="s">
        <v>217</v>
      </c>
      <c r="J4355" s="14" t="n">
        <v>90</v>
      </c>
      <c r="K4355" s="14"/>
      <c r="L4355" s="16"/>
      <c r="M4355" s="27" t="n">
        <f aca="false">J4355+(K4355/20)+(L4355/240)</f>
        <v>90</v>
      </c>
      <c r="N4355" s="17" t="s">
        <v>64</v>
      </c>
      <c r="O4355" s="11"/>
      <c r="P4355" s="28"/>
      <c r="Q4355" s="28" t="n">
        <f aca="false">P4355*$M4355</f>
        <v>0</v>
      </c>
      <c r="R4355" s="28"/>
      <c r="S4355" s="28" t="n">
        <f aca="false">R4355*$M4355</f>
        <v>0</v>
      </c>
      <c r="T4355" s="28"/>
      <c r="U4355" s="28" t="n">
        <f aca="false">T4355*$M4355</f>
        <v>0</v>
      </c>
      <c r="V4355" s="28"/>
      <c r="W4355" s="28" t="n">
        <f aca="false">V4355*$M4355</f>
        <v>0</v>
      </c>
      <c r="X4355" s="28" t="n">
        <f aca="false">2440/100</f>
        <v>24.4</v>
      </c>
      <c r="Y4355" s="28" t="n">
        <v>2196</v>
      </c>
      <c r="Z4355" s="28"/>
      <c r="AA4355" s="28" t="n">
        <f aca="false">Z4355*$M4355</f>
        <v>0</v>
      </c>
      <c r="AB4355" s="28"/>
      <c r="AC4355" s="28" t="n">
        <f aca="false">AB4355*$M4355</f>
        <v>0</v>
      </c>
      <c r="AD4355" s="28"/>
      <c r="AE4355" s="28" t="n">
        <f aca="false">AD4355*$M4355</f>
        <v>0</v>
      </c>
      <c r="AF4355" s="28"/>
      <c r="AG4355" s="28" t="n">
        <f aca="false">AF4355*$M4355</f>
        <v>0</v>
      </c>
      <c r="AH4355" s="28" t="n">
        <f aca="false">524577/100</f>
        <v>5245.77</v>
      </c>
      <c r="AI4355" s="28" t="n">
        <v>472116</v>
      </c>
      <c r="AJ4355" s="28"/>
      <c r="AK4355" s="28" t="n">
        <f aca="false">AJ4355*$M4355</f>
        <v>0</v>
      </c>
      <c r="AL4355" s="28"/>
      <c r="AM4355" s="28" t="n">
        <f aca="false">AL4355*$M4355</f>
        <v>0</v>
      </c>
      <c r="AN4355" s="28"/>
      <c r="AO4355" s="28" t="n">
        <f aca="false">AN4355*$M4355</f>
        <v>0</v>
      </c>
      <c r="AP4355" s="28"/>
      <c r="AQ4355" s="28" t="n">
        <f aca="false">AP4355*$M4355</f>
        <v>0</v>
      </c>
      <c r="AR4355" s="28"/>
      <c r="AS4355" s="28" t="n">
        <f aca="false">AR4355*$M4355</f>
        <v>0</v>
      </c>
      <c r="AT4355" s="28"/>
      <c r="AU4355" s="28" t="n">
        <f aca="false">AT4355*$M4355</f>
        <v>0</v>
      </c>
      <c r="AV4355" s="28"/>
      <c r="AW4355" s="28" t="n">
        <f aca="false">AV4355*$M4355</f>
        <v>0</v>
      </c>
      <c r="AX4355" s="28"/>
      <c r="AY4355" s="28" t="n">
        <f aca="false">AX4355*$M4355</f>
        <v>0</v>
      </c>
      <c r="AZ4355" s="30" t="n">
        <f aca="false">526980/100</f>
        <v>5269.8</v>
      </c>
      <c r="BA4355" s="11" t="n">
        <v>474312</v>
      </c>
      <c r="BB4355" s="31" t="n">
        <f aca="false">SUM(Q4355,S4355,U4355,W4355,Y4355,AA4355,AC4355,AE4355,AG4355,AI4355,AK4355,AM4355,AO4355,AQ4355,AS4355,AU4355,AW4355,AY4355)</f>
        <v>474312</v>
      </c>
      <c r="BC4355" s="28" t="n">
        <f aca="false">BA4355-BB4355</f>
        <v>0</v>
      </c>
      <c r="BD4355" s="32" t="n">
        <f aca="false">SUM(P4355,R4355,T4355,V4355,X4355,Z4355,AB4355,AD4355,AF4355,AH4355,AJ4355,AL4355,AN4355,AP4355,AR4355,AT4355,AV4355,AX4355)</f>
        <v>5270.17</v>
      </c>
      <c r="BE4355" s="33" t="n">
        <f aca="false">AZ4355-BD4355</f>
        <v>-0.369999999999891</v>
      </c>
      <c r="BF4355" s="34" t="n">
        <f aca="false">BD4355*M4355</f>
        <v>474315.3</v>
      </c>
      <c r="BG4355" s="35" t="n">
        <f aca="false">BA4355-BF4355</f>
        <v>-3.29999999998836</v>
      </c>
      <c r="BH4355" s="19" t="str">
        <f aca="false">IF(BG4355=0,"",IF(BG4355&lt;&gt;BA4355,"erreur de calcul",IF(BD4355&lt;&gt;0,"pas de prix",IF(M4355&lt;&gt; 0,"pas de quantité","pas de prix, ni de quantité"))))</f>
        <v>erreur de calcul</v>
      </c>
      <c r="BI4355" s="19"/>
    </row>
    <row r="4356" customFormat="false" ht="15" hidden="false" customHeight="false" outlineLevel="0" collapsed="false">
      <c r="A4356" s="0" t="n">
        <v>17</v>
      </c>
      <c r="B4356" s="8" t="s">
        <v>24</v>
      </c>
      <c r="C4356" s="9" t="s">
        <v>25</v>
      </c>
      <c r="D4356" s="9" t="s">
        <v>26</v>
      </c>
      <c r="E4356" s="10" t="n">
        <v>1789</v>
      </c>
      <c r="F4356" s="9" t="s">
        <v>27</v>
      </c>
      <c r="G4356" s="9" t="s">
        <v>27</v>
      </c>
      <c r="H4356" s="11" t="n">
        <v>22</v>
      </c>
      <c r="I4356" s="11" t="s">
        <v>218</v>
      </c>
      <c r="J4356" s="14" t="n">
        <v>15</v>
      </c>
      <c r="K4356" s="14"/>
      <c r="L4356" s="16"/>
      <c r="M4356" s="27" t="n">
        <f aca="false">J4356+(K4356/20)+(L4356/240)</f>
        <v>15</v>
      </c>
      <c r="N4356" s="17" t="s">
        <v>64</v>
      </c>
      <c r="O4356" s="11"/>
      <c r="P4356" s="28" t="n">
        <f aca="false">12250/100</f>
        <v>122.5</v>
      </c>
      <c r="Q4356" s="28" t="n">
        <v>1837</v>
      </c>
      <c r="R4356" s="28"/>
      <c r="S4356" s="28" t="n">
        <f aca="false">R4356*$M4356</f>
        <v>0</v>
      </c>
      <c r="T4356" s="28"/>
      <c r="U4356" s="28" t="n">
        <f aca="false">T4356*$M4356</f>
        <v>0</v>
      </c>
      <c r="V4356" s="28" t="n">
        <f aca="false">118493/100</f>
        <v>1184.93</v>
      </c>
      <c r="W4356" s="28" t="n">
        <v>17774</v>
      </c>
      <c r="X4356" s="28" t="n">
        <f aca="false">16835/100</f>
        <v>168.35</v>
      </c>
      <c r="Y4356" s="28" t="n">
        <v>2525</v>
      </c>
      <c r="Z4356" s="28"/>
      <c r="AA4356" s="28" t="n">
        <f aca="false">Z4356*$M4356</f>
        <v>0</v>
      </c>
      <c r="AB4356" s="28" t="n">
        <f aca="false">268622/100</f>
        <v>2686.22</v>
      </c>
      <c r="AC4356" s="28" t="n">
        <v>40293</v>
      </c>
      <c r="AD4356" s="28"/>
      <c r="AE4356" s="28" t="n">
        <f aca="false">AD4356*$M4356</f>
        <v>0</v>
      </c>
      <c r="AF4356" s="28"/>
      <c r="AG4356" s="28" t="n">
        <f aca="false">AF4356*$M4356</f>
        <v>0</v>
      </c>
      <c r="AH4356" s="28" t="n">
        <f aca="false">70164/100</f>
        <v>701.64</v>
      </c>
      <c r="AI4356" s="28" t="n">
        <v>10524</v>
      </c>
      <c r="AJ4356" s="28"/>
      <c r="AK4356" s="28" t="n">
        <f aca="false">AJ4356*$M4356</f>
        <v>0</v>
      </c>
      <c r="AL4356" s="28"/>
      <c r="AM4356" s="28" t="n">
        <f aca="false">AL4356*$M4356</f>
        <v>0</v>
      </c>
      <c r="AN4356" s="28"/>
      <c r="AO4356" s="28" t="n">
        <f aca="false">AN4356*$M4356</f>
        <v>0</v>
      </c>
      <c r="AP4356" s="28"/>
      <c r="AQ4356" s="28" t="n">
        <f aca="false">AP4356*$M4356</f>
        <v>0</v>
      </c>
      <c r="AR4356" s="28"/>
      <c r="AS4356" s="28" t="n">
        <f aca="false">AR4356*$M4356</f>
        <v>0</v>
      </c>
      <c r="AT4356" s="28"/>
      <c r="AU4356" s="28" t="n">
        <f aca="false">AT4356*$M4356</f>
        <v>0</v>
      </c>
      <c r="AV4356" s="28"/>
      <c r="AW4356" s="28" t="n">
        <f aca="false">AV4356*$M4356</f>
        <v>0</v>
      </c>
      <c r="AX4356" s="28"/>
      <c r="AY4356" s="28" t="n">
        <f aca="false">AX4356*$M4356</f>
        <v>0</v>
      </c>
      <c r="AZ4356" s="30" t="n">
        <f aca="false">486364/100</f>
        <v>4863.64</v>
      </c>
      <c r="BA4356" s="11" t="n">
        <v>72953</v>
      </c>
      <c r="BB4356" s="31" t="n">
        <f aca="false">SUM(Q4356,S4356,U4356,W4356,Y4356,AA4356,AC4356,AE4356,AG4356,AI4356,AK4356,AM4356,AO4356,AQ4356,AS4356,AU4356,AW4356,AY4356)</f>
        <v>72953</v>
      </c>
      <c r="BC4356" s="28" t="n">
        <f aca="false">BA4356-BB4356</f>
        <v>0</v>
      </c>
      <c r="BD4356" s="32" t="n">
        <f aca="false">SUM(P4356,R4356,T4356,V4356,X4356,Z4356,AB4356,AD4356,AF4356,AH4356,AJ4356,AL4356,AN4356,AP4356,AR4356,AT4356,AV4356,AX4356)</f>
        <v>4863.64</v>
      </c>
      <c r="BE4356" s="33" t="n">
        <f aca="false">AZ4356-BD4356</f>
        <v>0</v>
      </c>
      <c r="BF4356" s="34" t="n">
        <f aca="false">BD4356*M4356</f>
        <v>72954.6</v>
      </c>
      <c r="BG4356" s="35" t="n">
        <f aca="false">BA4356-BF4356</f>
        <v>-1.59999999999127</v>
      </c>
      <c r="BH4356" s="19" t="str">
        <f aca="false">IF(BG4356=0,"",IF(BG4356&lt;&gt;BA4356,"erreur de calcul",IF(BD4356&lt;&gt;0,"pas de prix",IF(M4356&lt;&gt; 0,"pas de quantité","pas de prix, ni de quantité"))))</f>
        <v>erreur de calcul</v>
      </c>
      <c r="BI4356" s="19"/>
    </row>
    <row r="4357" customFormat="false" ht="15" hidden="false" customHeight="false" outlineLevel="0" collapsed="false">
      <c r="A4357" s="0" t="n">
        <v>18</v>
      </c>
      <c r="B4357" s="8" t="s">
        <v>24</v>
      </c>
      <c r="C4357" s="9" t="s">
        <v>25</v>
      </c>
      <c r="D4357" s="9" t="s">
        <v>26</v>
      </c>
      <c r="E4357" s="10" t="n">
        <v>1789</v>
      </c>
      <c r="F4357" s="9" t="s">
        <v>27</v>
      </c>
      <c r="G4357" s="9" t="s">
        <v>27</v>
      </c>
      <c r="H4357" s="11" t="n">
        <v>22</v>
      </c>
      <c r="I4357" s="11" t="s">
        <v>219</v>
      </c>
      <c r="J4357" s="14" t="n">
        <v>12</v>
      </c>
      <c r="K4357" s="14"/>
      <c r="L4357" s="16"/>
      <c r="M4357" s="27" t="n">
        <f aca="false">J4357+(K4357/20)+(L4357/240)</f>
        <v>12</v>
      </c>
      <c r="N4357" s="17" t="s">
        <v>64</v>
      </c>
      <c r="O4357" s="11"/>
      <c r="P4357" s="28"/>
      <c r="Q4357" s="28" t="n">
        <f aca="false">P4357*$M4357</f>
        <v>0</v>
      </c>
      <c r="R4357" s="28"/>
      <c r="S4357" s="28" t="n">
        <f aca="false">R4357*$M4357</f>
        <v>0</v>
      </c>
      <c r="T4357" s="28"/>
      <c r="U4357" s="28" t="n">
        <f aca="false">T4357*$M4357</f>
        <v>0</v>
      </c>
      <c r="V4357" s="28" t="n">
        <f aca="false">26072/100</f>
        <v>260.72</v>
      </c>
      <c r="W4357" s="28" t="n">
        <v>3129</v>
      </c>
      <c r="X4357" s="28" t="n">
        <f aca="false">16340/100</f>
        <v>163.4</v>
      </c>
      <c r="Y4357" s="28" t="n">
        <v>1961</v>
      </c>
      <c r="Z4357" s="28"/>
      <c r="AA4357" s="28" t="n">
        <f aca="false">Z4357*$M4357</f>
        <v>0</v>
      </c>
      <c r="AB4357" s="28" t="n">
        <f aca="false">76351/100</f>
        <v>763.51</v>
      </c>
      <c r="AC4357" s="28" t="n">
        <v>9162</v>
      </c>
      <c r="AD4357" s="28"/>
      <c r="AE4357" s="28" t="n">
        <f aca="false">AD4357*$M4357</f>
        <v>0</v>
      </c>
      <c r="AF4357" s="28"/>
      <c r="AG4357" s="28" t="n">
        <f aca="false">AF4357*$M4357</f>
        <v>0</v>
      </c>
      <c r="AH4357" s="28"/>
      <c r="AI4357" s="28" t="n">
        <f aca="false">AH4357*$M4357</f>
        <v>0</v>
      </c>
      <c r="AJ4357" s="28"/>
      <c r="AK4357" s="28" t="n">
        <f aca="false">AJ4357*$M4357</f>
        <v>0</v>
      </c>
      <c r="AL4357" s="28"/>
      <c r="AM4357" s="28" t="n">
        <f aca="false">AL4357*$M4357</f>
        <v>0</v>
      </c>
      <c r="AN4357" s="28"/>
      <c r="AO4357" s="28" t="n">
        <f aca="false">AN4357*$M4357</f>
        <v>0</v>
      </c>
      <c r="AP4357" s="28"/>
      <c r="AQ4357" s="28" t="n">
        <f aca="false">AP4357*$M4357</f>
        <v>0</v>
      </c>
      <c r="AR4357" s="28"/>
      <c r="AS4357" s="28" t="n">
        <f aca="false">AR4357*$M4357</f>
        <v>0</v>
      </c>
      <c r="AT4357" s="28"/>
      <c r="AU4357" s="28" t="n">
        <f aca="false">AT4357*$M4357</f>
        <v>0</v>
      </c>
      <c r="AV4357" s="28"/>
      <c r="AW4357" s="28" t="n">
        <f aca="false">AV4357*$M4357</f>
        <v>0</v>
      </c>
      <c r="AX4357" s="28"/>
      <c r="AY4357" s="28" t="n">
        <f aca="false">AX4357*$M4357</f>
        <v>0</v>
      </c>
      <c r="AZ4357" s="30" t="n">
        <f aca="false">118763/100</f>
        <v>1187.63</v>
      </c>
      <c r="BA4357" s="11" t="n">
        <v>14252</v>
      </c>
      <c r="BB4357" s="31" t="n">
        <f aca="false">SUM(Q4357,S4357,U4357,W4357,Y4357,AA4357,AC4357,AE4357,AG4357,AI4357,AK4357,AM4357,AO4357,AQ4357,AS4357,AU4357,AW4357,AY4357)</f>
        <v>14252</v>
      </c>
      <c r="BC4357" s="28" t="n">
        <f aca="false">BA4357-BB4357</f>
        <v>0</v>
      </c>
      <c r="BD4357" s="32" t="n">
        <f aca="false">SUM(P4357,R4357,T4357,V4357,X4357,Z4357,AB4357,AD4357,AF4357,AH4357,AJ4357,AL4357,AN4357,AP4357,AR4357,AT4357,AV4357,AX4357)</f>
        <v>1187.63</v>
      </c>
      <c r="BE4357" s="33" t="n">
        <f aca="false">AZ4357-BD4357</f>
        <v>0</v>
      </c>
      <c r="BF4357" s="34" t="n">
        <f aca="false">BD4357*M4357</f>
        <v>14251.56</v>
      </c>
      <c r="BG4357" s="35" t="n">
        <f aca="false">BA4357-BF4357</f>
        <v>0.43999999999869</v>
      </c>
      <c r="BH4357" s="19" t="str">
        <f aca="false">IF(BG4357=0,"",IF(BG4357&lt;&gt;BA4357,"erreur de calcul",IF(BD4357&lt;&gt;0,"pas de prix",IF(M4357&lt;&gt; 0,"pas de quantité","pas de prix, ni de quantité"))))</f>
        <v>erreur de calcul</v>
      </c>
      <c r="BI4357" s="19"/>
    </row>
    <row r="4358" customFormat="false" ht="15" hidden="false" customHeight="false" outlineLevel="0" collapsed="false">
      <c r="A4358" s="0" t="n">
        <v>19</v>
      </c>
      <c r="B4358" s="8" t="s">
        <v>24</v>
      </c>
      <c r="C4358" s="9" t="s">
        <v>25</v>
      </c>
      <c r="D4358" s="9" t="s">
        <v>26</v>
      </c>
      <c r="E4358" s="10" t="n">
        <v>1789</v>
      </c>
      <c r="F4358" s="9" t="s">
        <v>27</v>
      </c>
      <c r="G4358" s="9" t="s">
        <v>27</v>
      </c>
      <c r="H4358" s="11" t="n">
        <v>22</v>
      </c>
      <c r="I4358" s="11" t="s">
        <v>220</v>
      </c>
      <c r="J4358" s="14" t="n">
        <v>8</v>
      </c>
      <c r="K4358" s="14"/>
      <c r="L4358" s="16"/>
      <c r="M4358" s="27" t="n">
        <f aca="false">J4358+(K4358/20)+(L4358/240)</f>
        <v>8</v>
      </c>
      <c r="N4358" s="17" t="s">
        <v>66</v>
      </c>
      <c r="O4358" s="11"/>
      <c r="P4358" s="28" t="n">
        <v>3798</v>
      </c>
      <c r="Q4358" s="28" t="n">
        <v>30384</v>
      </c>
      <c r="R4358" s="28"/>
      <c r="S4358" s="28" t="n">
        <f aca="false">R4358*$M4358</f>
        <v>0</v>
      </c>
      <c r="T4358" s="28"/>
      <c r="U4358" s="28" t="n">
        <f aca="false">T4358*$M4358</f>
        <v>0</v>
      </c>
      <c r="V4358" s="28"/>
      <c r="W4358" s="28" t="n">
        <f aca="false">V4358*$M4358</f>
        <v>0</v>
      </c>
      <c r="X4358" s="28"/>
      <c r="Y4358" s="28" t="n">
        <f aca="false">X4358*$M4358</f>
        <v>0</v>
      </c>
      <c r="Z4358" s="28"/>
      <c r="AA4358" s="28" t="n">
        <f aca="false">Z4358*$M4358</f>
        <v>0</v>
      </c>
      <c r="AB4358" s="28"/>
      <c r="AC4358" s="28" t="n">
        <f aca="false">AB4358*$M4358</f>
        <v>0</v>
      </c>
      <c r="AD4358" s="28"/>
      <c r="AE4358" s="28" t="n">
        <f aca="false">AD4358*$M4358</f>
        <v>0</v>
      </c>
      <c r="AF4358" s="28"/>
      <c r="AG4358" s="28" t="n">
        <f aca="false">AF4358*$M4358</f>
        <v>0</v>
      </c>
      <c r="AH4358" s="28" t="n">
        <v>322</v>
      </c>
      <c r="AI4358" s="28" t="n">
        <v>2576</v>
      </c>
      <c r="AJ4358" s="28"/>
      <c r="AK4358" s="28" t="n">
        <f aca="false">AJ4358*$M4358</f>
        <v>0</v>
      </c>
      <c r="AL4358" s="28"/>
      <c r="AM4358" s="28" t="n">
        <f aca="false">AL4358*$M4358</f>
        <v>0</v>
      </c>
      <c r="AN4358" s="28"/>
      <c r="AO4358" s="28" t="n">
        <f aca="false">AN4358*$M4358</f>
        <v>0</v>
      </c>
      <c r="AP4358" s="28"/>
      <c r="AQ4358" s="28" t="n">
        <f aca="false">AP4358*$M4358</f>
        <v>0</v>
      </c>
      <c r="AR4358" s="28"/>
      <c r="AS4358" s="28" t="n">
        <f aca="false">AR4358*$M4358</f>
        <v>0</v>
      </c>
      <c r="AT4358" s="28"/>
      <c r="AU4358" s="28" t="n">
        <f aca="false">AT4358*$M4358</f>
        <v>0</v>
      </c>
      <c r="AV4358" s="28"/>
      <c r="AW4358" s="28" t="n">
        <f aca="false">AV4358*$M4358</f>
        <v>0</v>
      </c>
      <c r="AX4358" s="28"/>
      <c r="AY4358" s="28" t="n">
        <f aca="false">AX4358*$M4358</f>
        <v>0</v>
      </c>
      <c r="AZ4358" s="30" t="n">
        <v>4120</v>
      </c>
      <c r="BA4358" s="11" t="n">
        <v>32960</v>
      </c>
      <c r="BB4358" s="31" t="n">
        <f aca="false">SUM(Q4358,S4358,U4358,W4358,Y4358,AA4358,AC4358,AE4358,AG4358,AI4358,AK4358,AM4358,AO4358,AQ4358,AS4358,AU4358,AW4358,AY4358)</f>
        <v>32960</v>
      </c>
      <c r="BC4358" s="28" t="n">
        <f aca="false">BA4358-BB4358</f>
        <v>0</v>
      </c>
      <c r="BD4358" s="32" t="n">
        <f aca="false">SUM(P4358,R4358,T4358,V4358,X4358,Z4358,AB4358,AD4358,AF4358,AH4358,AJ4358,AL4358,AN4358,AP4358,AR4358,AT4358,AV4358,AX4358)</f>
        <v>4120</v>
      </c>
      <c r="BE4358" s="33" t="n">
        <f aca="false">AZ4358-BD4358</f>
        <v>0</v>
      </c>
      <c r="BF4358" s="34" t="n">
        <f aca="false">BD4358*M4358</f>
        <v>32960</v>
      </c>
      <c r="BG4358" s="35" t="n">
        <f aca="false">BA4358-BF4358</f>
        <v>0</v>
      </c>
      <c r="BH4358" s="19" t="str">
        <f aca="false">IF(BG4358=0,"",IF(BG4358&lt;&gt;BA4358,"erreur de calcul",IF(BD4358&lt;&gt;0,"pas de prix",IF(M4358&lt;&gt; 0,"pas de quantité","pas de prix, ni de quantité"))))</f>
        <v/>
      </c>
      <c r="BI4358" s="19"/>
    </row>
    <row r="4359" customFormat="false" ht="15" hidden="false" customHeight="false" outlineLevel="0" collapsed="false">
      <c r="A4359" s="0" t="n">
        <v>20</v>
      </c>
      <c r="B4359" s="8" t="s">
        <v>24</v>
      </c>
      <c r="C4359" s="9" t="s">
        <v>25</v>
      </c>
      <c r="D4359" s="9" t="s">
        <v>26</v>
      </c>
      <c r="E4359" s="10" t="n">
        <v>1789</v>
      </c>
      <c r="F4359" s="9" t="s">
        <v>27</v>
      </c>
      <c r="G4359" s="9" t="s">
        <v>27</v>
      </c>
      <c r="H4359" s="11" t="n">
        <v>22</v>
      </c>
      <c r="I4359" s="11" t="s">
        <v>221</v>
      </c>
      <c r="J4359" s="14"/>
      <c r="K4359" s="14" t="n">
        <v>20</v>
      </c>
      <c r="L4359" s="16"/>
      <c r="M4359" s="27" t="n">
        <f aca="false">J4359+(K4359/20)+(L4359/240)</f>
        <v>1</v>
      </c>
      <c r="N4359" s="17" t="s">
        <v>66</v>
      </c>
      <c r="O4359" s="11"/>
      <c r="P4359" s="28" t="n">
        <v>1353</v>
      </c>
      <c r="Q4359" s="28" t="n">
        <v>1353</v>
      </c>
      <c r="R4359" s="28"/>
      <c r="S4359" s="28" t="n">
        <f aca="false">R4359*$M4359</f>
        <v>0</v>
      </c>
      <c r="T4359" s="28"/>
      <c r="U4359" s="28" t="n">
        <f aca="false">T4359*$M4359</f>
        <v>0</v>
      </c>
      <c r="V4359" s="28"/>
      <c r="W4359" s="28" t="n">
        <f aca="false">V4359*$M4359</f>
        <v>0</v>
      </c>
      <c r="X4359" s="28"/>
      <c r="Y4359" s="28" t="n">
        <f aca="false">X4359*$M4359</f>
        <v>0</v>
      </c>
      <c r="Z4359" s="28"/>
      <c r="AA4359" s="28" t="n">
        <f aca="false">Z4359*$M4359</f>
        <v>0</v>
      </c>
      <c r="AB4359" s="28"/>
      <c r="AC4359" s="28" t="n">
        <f aca="false">AB4359*$M4359</f>
        <v>0</v>
      </c>
      <c r="AD4359" s="28"/>
      <c r="AE4359" s="28" t="n">
        <f aca="false">AD4359*$M4359</f>
        <v>0</v>
      </c>
      <c r="AF4359" s="28"/>
      <c r="AG4359" s="28" t="n">
        <f aca="false">AF4359*$M4359</f>
        <v>0</v>
      </c>
      <c r="AH4359" s="28"/>
      <c r="AI4359" s="28" t="n">
        <f aca="false">AH4359*$M4359</f>
        <v>0</v>
      </c>
      <c r="AJ4359" s="28"/>
      <c r="AK4359" s="28" t="n">
        <f aca="false">AJ4359*$M4359</f>
        <v>0</v>
      </c>
      <c r="AL4359" s="28"/>
      <c r="AM4359" s="28" t="n">
        <f aca="false">AL4359*$M4359</f>
        <v>0</v>
      </c>
      <c r="AN4359" s="28"/>
      <c r="AO4359" s="28" t="n">
        <f aca="false">AN4359*$M4359</f>
        <v>0</v>
      </c>
      <c r="AP4359" s="28"/>
      <c r="AQ4359" s="28" t="n">
        <f aca="false">AP4359*$M4359</f>
        <v>0</v>
      </c>
      <c r="AR4359" s="28"/>
      <c r="AS4359" s="28" t="n">
        <f aca="false">AR4359*$M4359</f>
        <v>0</v>
      </c>
      <c r="AT4359" s="28"/>
      <c r="AU4359" s="28" t="n">
        <f aca="false">AT4359*$M4359</f>
        <v>0</v>
      </c>
      <c r="AV4359" s="28"/>
      <c r="AW4359" s="28" t="n">
        <f aca="false">AV4359*$M4359</f>
        <v>0</v>
      </c>
      <c r="AX4359" s="28"/>
      <c r="AY4359" s="28" t="n">
        <f aca="false">AX4359*$M4359</f>
        <v>0</v>
      </c>
      <c r="AZ4359" s="30" t="n">
        <v>1353</v>
      </c>
      <c r="BA4359" s="11" t="n">
        <v>1353</v>
      </c>
      <c r="BB4359" s="31" t="n">
        <f aca="false">SUM(Q4359,S4359,U4359,W4359,Y4359,AA4359,AC4359,AE4359,AG4359,AI4359,AK4359,AM4359,AO4359,AQ4359,AS4359,AU4359,AW4359,AY4359)</f>
        <v>1353</v>
      </c>
      <c r="BC4359" s="28" t="n">
        <f aca="false">BA4359-BB4359</f>
        <v>0</v>
      </c>
      <c r="BD4359" s="32" t="n">
        <f aca="false">SUM(P4359,R4359,T4359,V4359,X4359,Z4359,AB4359,AD4359,AF4359,AH4359,AJ4359,AL4359,AN4359,AP4359,AR4359,AT4359,AV4359,AX4359)</f>
        <v>1353</v>
      </c>
      <c r="BE4359" s="33" t="n">
        <f aca="false">AZ4359-BD4359</f>
        <v>0</v>
      </c>
      <c r="BF4359" s="34" t="n">
        <f aca="false">BD4359*M4359</f>
        <v>1353</v>
      </c>
      <c r="BG4359" s="35" t="n">
        <f aca="false">BA4359-BF4359</f>
        <v>0</v>
      </c>
      <c r="BH4359" s="19" t="str">
        <f aca="false">IF(BG4359=0,"",IF(BG4359&lt;&gt;BA4359,"erreur de calcul",IF(BD4359&lt;&gt;0,"pas de prix",IF(M4359&lt;&gt; 0,"pas de quantité","pas de prix, ni de quantité"))))</f>
        <v/>
      </c>
      <c r="BI4359" s="19"/>
    </row>
    <row r="4360" customFormat="false" ht="15" hidden="false" customHeight="false" outlineLevel="0" collapsed="false">
      <c r="A4360" s="0" t="n">
        <v>21</v>
      </c>
      <c r="B4360" s="8" t="s">
        <v>24</v>
      </c>
      <c r="C4360" s="9" t="s">
        <v>25</v>
      </c>
      <c r="D4360" s="9" t="s">
        <v>26</v>
      </c>
      <c r="E4360" s="10" t="n">
        <v>1789</v>
      </c>
      <c r="F4360" s="9" t="s">
        <v>27</v>
      </c>
      <c r="G4360" s="9" t="s">
        <v>27</v>
      </c>
      <c r="H4360" s="11" t="n">
        <v>22</v>
      </c>
      <c r="I4360" s="11" t="s">
        <v>222</v>
      </c>
      <c r="J4360" s="14" t="n">
        <v>85</v>
      </c>
      <c r="K4360" s="14"/>
      <c r="L4360" s="16"/>
      <c r="M4360" s="27" t="n">
        <f aca="false">J4360+(K4360/20)+(L4360/240)</f>
        <v>85</v>
      </c>
      <c r="N4360" s="17" t="s">
        <v>64</v>
      </c>
      <c r="O4360" s="11"/>
      <c r="P4360" s="28"/>
      <c r="Q4360" s="28" t="n">
        <f aca="false">P4360*$M4360</f>
        <v>0</v>
      </c>
      <c r="R4360" s="28"/>
      <c r="S4360" s="28" t="n">
        <f aca="false">R4360*$M4360</f>
        <v>0</v>
      </c>
      <c r="T4360" s="28" t="n">
        <f aca="false">10813/100</f>
        <v>108.13</v>
      </c>
      <c r="U4360" s="28" t="n">
        <v>9191</v>
      </c>
      <c r="V4360" s="28" t="n">
        <f aca="false">43400/100</f>
        <v>434</v>
      </c>
      <c r="W4360" s="28" t="n">
        <v>36890</v>
      </c>
      <c r="X4360" s="28" t="n">
        <f aca="false">702/100</f>
        <v>7.02</v>
      </c>
      <c r="Y4360" s="28" t="n">
        <v>597</v>
      </c>
      <c r="Z4360" s="28"/>
      <c r="AA4360" s="28" t="n">
        <f aca="false">Z4360*$M4360</f>
        <v>0</v>
      </c>
      <c r="AB4360" s="28" t="n">
        <f aca="false">171/100</f>
        <v>1.71</v>
      </c>
      <c r="AC4360" s="28" t="n">
        <v>145</v>
      </c>
      <c r="AD4360" s="28"/>
      <c r="AE4360" s="28" t="n">
        <f aca="false">AD4360*$M4360</f>
        <v>0</v>
      </c>
      <c r="AF4360" s="28"/>
      <c r="AG4360" s="28" t="n">
        <f aca="false">AF4360*$M4360</f>
        <v>0</v>
      </c>
      <c r="AH4360" s="28" t="n">
        <f aca="false">17388/100</f>
        <v>173.88</v>
      </c>
      <c r="AI4360" s="28" t="n">
        <v>14780</v>
      </c>
      <c r="AJ4360" s="28"/>
      <c r="AK4360" s="28" t="n">
        <f aca="false">AJ4360*$M4360</f>
        <v>0</v>
      </c>
      <c r="AL4360" s="28"/>
      <c r="AM4360" s="28" t="n">
        <f aca="false">AL4360*$M4360</f>
        <v>0</v>
      </c>
      <c r="AN4360" s="28"/>
      <c r="AO4360" s="28" t="n">
        <f aca="false">AN4360*$M4360</f>
        <v>0</v>
      </c>
      <c r="AP4360" s="28"/>
      <c r="AQ4360" s="28" t="n">
        <f aca="false">AP4360*$M4360</f>
        <v>0</v>
      </c>
      <c r="AR4360" s="28"/>
      <c r="AS4360" s="28" t="n">
        <f aca="false">AR4360*$M4360</f>
        <v>0</v>
      </c>
      <c r="AT4360" s="28"/>
      <c r="AU4360" s="28" t="n">
        <f aca="false">AT4360*$M4360</f>
        <v>0</v>
      </c>
      <c r="AV4360" s="28"/>
      <c r="AW4360" s="28" t="n">
        <f aca="false">AV4360*$M4360</f>
        <v>0</v>
      </c>
      <c r="AX4360" s="28"/>
      <c r="AY4360" s="28" t="n">
        <f aca="false">AX4360*$M4360</f>
        <v>0</v>
      </c>
      <c r="AZ4360" s="30" t="n">
        <f aca="false">72474/100</f>
        <v>724.74</v>
      </c>
      <c r="BA4360" s="11" t="n">
        <v>61603</v>
      </c>
      <c r="BB4360" s="31" t="n">
        <f aca="false">SUM(Q4360,S4360,U4360,W4360,Y4360,AA4360,AC4360,AE4360,AG4360,AI4360,AK4360,AM4360,AO4360,AQ4360,AS4360,AU4360,AW4360,AY4360)</f>
        <v>61603</v>
      </c>
      <c r="BC4360" s="28" t="n">
        <f aca="false">BA4360-BB4360</f>
        <v>0</v>
      </c>
      <c r="BD4360" s="32" t="n">
        <f aca="false">SUM(P4360,R4360,T4360,V4360,X4360,Z4360,AB4360,AD4360,AF4360,AH4360,AJ4360,AL4360,AN4360,AP4360,AR4360,AT4360,AV4360,AX4360)</f>
        <v>724.74</v>
      </c>
      <c r="BE4360" s="33" t="n">
        <f aca="false">AZ4360-BD4360</f>
        <v>0</v>
      </c>
      <c r="BF4360" s="34" t="n">
        <f aca="false">BD4360*M4360</f>
        <v>61602.9</v>
      </c>
      <c r="BG4360" s="35" t="n">
        <f aca="false">BA4360-BF4360</f>
        <v>0.0999999999985448</v>
      </c>
      <c r="BH4360" s="19" t="str">
        <f aca="false">IF(BG4360=0,"",IF(BG4360&lt;&gt;BA4360,"erreur de calcul",IF(BD4360&lt;&gt;0,"pas de prix",IF(M4360&lt;&gt; 0,"pas de quantité","pas de prix, ni de quantité"))))</f>
        <v>erreur de calcul</v>
      </c>
      <c r="BI4360" s="19"/>
    </row>
    <row r="4361" customFormat="false" ht="15" hidden="false" customHeight="false" outlineLevel="0" collapsed="false">
      <c r="A4361" s="0" t="n">
        <v>22</v>
      </c>
      <c r="B4361" s="8" t="s">
        <v>24</v>
      </c>
      <c r="C4361" s="9" t="s">
        <v>25</v>
      </c>
      <c r="D4361" s="9" t="s">
        <v>26</v>
      </c>
      <c r="E4361" s="10" t="n">
        <v>1789</v>
      </c>
      <c r="F4361" s="9" t="s">
        <v>27</v>
      </c>
      <c r="G4361" s="9" t="s">
        <v>27</v>
      </c>
      <c r="H4361" s="11" t="n">
        <v>22</v>
      </c>
      <c r="I4361" s="11" t="s">
        <v>223</v>
      </c>
      <c r="J4361" s="14" t="n">
        <v>150</v>
      </c>
      <c r="K4361" s="14"/>
      <c r="L4361" s="16"/>
      <c r="M4361" s="27" t="n">
        <f aca="false">J4361+(K4361/20)+(L4361/240)</f>
        <v>150</v>
      </c>
      <c r="N4361" s="17" t="s">
        <v>64</v>
      </c>
      <c r="O4361" s="11"/>
      <c r="P4361" s="28"/>
      <c r="Q4361" s="28" t="n">
        <f aca="false">P4361*$M4361</f>
        <v>0</v>
      </c>
      <c r="R4361" s="28"/>
      <c r="S4361" s="28" t="n">
        <f aca="false">R4361*$M4361</f>
        <v>0</v>
      </c>
      <c r="T4361" s="28"/>
      <c r="U4361" s="28" t="n">
        <f aca="false">T4361*$M4361</f>
        <v>0</v>
      </c>
      <c r="V4361" s="28" t="n">
        <f aca="false">1415/100</f>
        <v>14.15</v>
      </c>
      <c r="W4361" s="28" t="n">
        <v>2122</v>
      </c>
      <c r="X4361" s="28"/>
      <c r="Y4361" s="28" t="n">
        <f aca="false">X4361*$M4361</f>
        <v>0</v>
      </c>
      <c r="Z4361" s="28"/>
      <c r="AA4361" s="28" t="n">
        <f aca="false">Z4361*$M4361</f>
        <v>0</v>
      </c>
      <c r="AB4361" s="28" t="n">
        <f aca="false">1806/100</f>
        <v>18.06</v>
      </c>
      <c r="AC4361" s="28" t="n">
        <v>2709</v>
      </c>
      <c r="AD4361" s="28"/>
      <c r="AE4361" s="28" t="n">
        <f aca="false">AD4361*$M4361</f>
        <v>0</v>
      </c>
      <c r="AF4361" s="28"/>
      <c r="AG4361" s="28" t="n">
        <f aca="false">AF4361*$M4361</f>
        <v>0</v>
      </c>
      <c r="AH4361" s="28"/>
      <c r="AI4361" s="28" t="n">
        <f aca="false">AH4361*$M4361</f>
        <v>0</v>
      </c>
      <c r="AJ4361" s="28"/>
      <c r="AK4361" s="28" t="n">
        <f aca="false">AJ4361*$M4361</f>
        <v>0</v>
      </c>
      <c r="AL4361" s="28"/>
      <c r="AM4361" s="28" t="n">
        <f aca="false">AL4361*$M4361</f>
        <v>0</v>
      </c>
      <c r="AN4361" s="28"/>
      <c r="AO4361" s="28" t="n">
        <f aca="false">AN4361*$M4361</f>
        <v>0</v>
      </c>
      <c r="AP4361" s="28"/>
      <c r="AQ4361" s="28" t="n">
        <f aca="false">AP4361*$M4361</f>
        <v>0</v>
      </c>
      <c r="AR4361" s="28"/>
      <c r="AS4361" s="28" t="n">
        <f aca="false">AR4361*$M4361</f>
        <v>0</v>
      </c>
      <c r="AT4361" s="28"/>
      <c r="AU4361" s="28" t="n">
        <f aca="false">AT4361*$M4361</f>
        <v>0</v>
      </c>
      <c r="AV4361" s="28"/>
      <c r="AW4361" s="28" t="n">
        <f aca="false">AV4361*$M4361</f>
        <v>0</v>
      </c>
      <c r="AX4361" s="28"/>
      <c r="AY4361" s="28" t="n">
        <f aca="false">AX4361*$M4361</f>
        <v>0</v>
      </c>
      <c r="AZ4361" s="30" t="n">
        <f aca="false">3221/100</f>
        <v>32.21</v>
      </c>
      <c r="BA4361" s="11" t="n">
        <v>4831</v>
      </c>
      <c r="BB4361" s="31" t="n">
        <f aca="false">SUM(Q4361,S4361,U4361,W4361,Y4361,AA4361,AC4361,AE4361,AG4361,AI4361,AK4361,AM4361,AO4361,AQ4361,AS4361,AU4361,AW4361,AY4361)</f>
        <v>4831</v>
      </c>
      <c r="BC4361" s="28" t="n">
        <f aca="false">BA4361-BB4361</f>
        <v>0</v>
      </c>
      <c r="BD4361" s="32" t="n">
        <f aca="false">SUM(P4361,R4361,T4361,V4361,X4361,Z4361,AB4361,AD4361,AF4361,AH4361,AJ4361,AL4361,AN4361,AP4361,AR4361,AT4361,AV4361,AX4361)</f>
        <v>32.21</v>
      </c>
      <c r="BE4361" s="33" t="n">
        <f aca="false">AZ4361-BD4361</f>
        <v>0</v>
      </c>
      <c r="BF4361" s="34" t="n">
        <f aca="false">BD4361*M4361</f>
        <v>4831.5</v>
      </c>
      <c r="BG4361" s="35" t="n">
        <f aca="false">BA4361-BF4361</f>
        <v>-0.5</v>
      </c>
      <c r="BH4361" s="19" t="str">
        <f aca="false">IF(BG4361=0,"",IF(BG4361&lt;&gt;BA4361,"erreur de calcul",IF(BD4361&lt;&gt;0,"pas de prix",IF(M4361&lt;&gt; 0,"pas de quantité","pas de prix, ni de quantité"))))</f>
        <v>erreur de calcul</v>
      </c>
      <c r="BI4361" s="19"/>
    </row>
    <row r="4362" customFormat="false" ht="15" hidden="false" customHeight="false" outlineLevel="0" collapsed="false">
      <c r="A4362" s="0" t="n">
        <v>23</v>
      </c>
      <c r="B4362" s="8" t="s">
        <v>24</v>
      </c>
      <c r="C4362" s="9" t="s">
        <v>25</v>
      </c>
      <c r="D4362" s="9" t="s">
        <v>26</v>
      </c>
      <c r="E4362" s="10" t="n">
        <v>1789</v>
      </c>
      <c r="F4362" s="9" t="s">
        <v>27</v>
      </c>
      <c r="G4362" s="9" t="s">
        <v>27</v>
      </c>
      <c r="H4362" s="11" t="n">
        <v>22</v>
      </c>
      <c r="I4362" s="11" t="s">
        <v>224</v>
      </c>
      <c r="J4362" s="14"/>
      <c r="K4362" s="14"/>
      <c r="L4362" s="16"/>
      <c r="M4362" s="27" t="n">
        <f aca="false">J4362+(K4362/20)+(L4362/240)</f>
        <v>0</v>
      </c>
      <c r="N4362" s="17" t="s">
        <v>225</v>
      </c>
      <c r="O4362" s="11"/>
      <c r="P4362" s="28" t="n">
        <f aca="false">2+121/288</f>
        <v>2.42013888888889</v>
      </c>
      <c r="Q4362" s="28" t="n">
        <v>275</v>
      </c>
      <c r="R4362" s="28"/>
      <c r="S4362" s="28" t="n">
        <f aca="false">R4362*$M4362</f>
        <v>0</v>
      </c>
      <c r="T4362" s="28"/>
      <c r="U4362" s="28" t="n">
        <f aca="false">T4362*$M4362</f>
        <v>0</v>
      </c>
      <c r="V4362" s="28"/>
      <c r="W4362" s="28" t="n">
        <f aca="false">V4362*$M4362</f>
        <v>0</v>
      </c>
      <c r="X4362" s="28"/>
      <c r="Y4362" s="28" t="n">
        <f aca="false">X4362*$M4362</f>
        <v>0</v>
      </c>
      <c r="Z4362" s="28"/>
      <c r="AA4362" s="28" t="n">
        <f aca="false">Z4362*$M4362</f>
        <v>0</v>
      </c>
      <c r="AB4362" s="28"/>
      <c r="AC4362" s="28" t="n">
        <f aca="false">AB4362*$M4362</f>
        <v>0</v>
      </c>
      <c r="AD4362" s="28"/>
      <c r="AE4362" s="28" t="n">
        <f aca="false">AD4362*$M4362</f>
        <v>0</v>
      </c>
      <c r="AF4362" s="28"/>
      <c r="AG4362" s="28" t="n">
        <f aca="false">AF4362*$M4362</f>
        <v>0</v>
      </c>
      <c r="AH4362" s="28"/>
      <c r="AI4362" s="28" t="n">
        <f aca="false">AH4362*$M4362</f>
        <v>0</v>
      </c>
      <c r="AJ4362" s="28"/>
      <c r="AK4362" s="28" t="n">
        <f aca="false">AJ4362*$M4362</f>
        <v>0</v>
      </c>
      <c r="AL4362" s="28"/>
      <c r="AM4362" s="28" t="n">
        <f aca="false">AL4362*$M4362</f>
        <v>0</v>
      </c>
      <c r="AN4362" s="28"/>
      <c r="AO4362" s="28" t="n">
        <f aca="false">AN4362*$M4362</f>
        <v>0</v>
      </c>
      <c r="AP4362" s="28"/>
      <c r="AQ4362" s="28" t="n">
        <f aca="false">AP4362*$M4362</f>
        <v>0</v>
      </c>
      <c r="AR4362" s="28"/>
      <c r="AS4362" s="28" t="n">
        <f aca="false">AR4362*$M4362</f>
        <v>0</v>
      </c>
      <c r="AT4362" s="28"/>
      <c r="AU4362" s="28" t="n">
        <f aca="false">AT4362*$M4362</f>
        <v>0</v>
      </c>
      <c r="AV4362" s="28"/>
      <c r="AW4362" s="28" t="n">
        <f aca="false">AV4362*$M4362</f>
        <v>0</v>
      </c>
      <c r="AX4362" s="28"/>
      <c r="AY4362" s="28" t="n">
        <f aca="false">AX4362*$M4362</f>
        <v>0</v>
      </c>
      <c r="AZ4362" s="30" t="n">
        <f aca="false">2+121/288</f>
        <v>2.42013888888889</v>
      </c>
      <c r="BA4362" s="11" t="n">
        <v>275</v>
      </c>
      <c r="BB4362" s="31" t="n">
        <f aca="false">SUM(Q4362,S4362,U4362,W4362,Y4362,AA4362,AC4362,AE4362,AG4362,AI4362,AK4362,AM4362,AO4362,AQ4362,AS4362,AU4362,AW4362,AY4362)</f>
        <v>275</v>
      </c>
      <c r="BC4362" s="28" t="n">
        <f aca="false">BA4362-BB4362</f>
        <v>0</v>
      </c>
      <c r="BD4362" s="32" t="n">
        <f aca="false">SUM(P4362,R4362,T4362,V4362,X4362,Z4362,AB4362,AD4362,AF4362,AH4362,AJ4362,AL4362,AN4362,AP4362,AR4362,AT4362,AV4362,AX4362)</f>
        <v>2.42013888888889</v>
      </c>
      <c r="BE4362" s="33" t="n">
        <f aca="false">AZ4362-BD4362</f>
        <v>0</v>
      </c>
      <c r="BF4362" s="34" t="n">
        <f aca="false">BD4362*M4362</f>
        <v>0</v>
      </c>
      <c r="BG4362" s="35" t="n">
        <f aca="false">BA4362-BF4362</f>
        <v>275</v>
      </c>
      <c r="BH4362" s="19" t="str">
        <f aca="false">IF(BG4362=0,"",IF(BG4362&lt;&gt;BA4362,"erreur de calcul",IF(BD4362&lt;&gt;0,"pas de prix",IF(M4362&lt;&gt; 0,"pas de quantité","pas de prix, ni de quantité"))))</f>
        <v>pas de prix</v>
      </c>
      <c r="BI4362" s="19" t="s">
        <v>226</v>
      </c>
    </row>
    <row r="4363" customFormat="false" ht="15" hidden="false" customHeight="false" outlineLevel="0" collapsed="false">
      <c r="A4363" s="0" t="n">
        <v>24</v>
      </c>
      <c r="B4363" s="8" t="s">
        <v>24</v>
      </c>
      <c r="C4363" s="9" t="s">
        <v>25</v>
      </c>
      <c r="D4363" s="9" t="s">
        <v>26</v>
      </c>
      <c r="E4363" s="10" t="n">
        <v>1789</v>
      </c>
      <c r="F4363" s="9" t="s">
        <v>27</v>
      </c>
      <c r="G4363" s="9" t="s">
        <v>27</v>
      </c>
      <c r="H4363" s="11" t="n">
        <v>22</v>
      </c>
      <c r="I4363" s="11" t="s">
        <v>227</v>
      </c>
      <c r="J4363" s="14" t="n">
        <v>8</v>
      </c>
      <c r="K4363" s="14"/>
      <c r="L4363" s="16"/>
      <c r="M4363" s="27" t="n">
        <f aca="false">J4363+(K4363/20)+(L4363/240)</f>
        <v>8</v>
      </c>
      <c r="N4363" s="17" t="s">
        <v>64</v>
      </c>
      <c r="O4363" s="11" t="s">
        <v>77</v>
      </c>
      <c r="P4363" s="28" t="n">
        <f aca="false">267216/100</f>
        <v>2672.16</v>
      </c>
      <c r="Q4363" s="28" t="n">
        <v>21377</v>
      </c>
      <c r="R4363" s="28"/>
      <c r="S4363" s="28" t="n">
        <f aca="false">R4363*$M4363</f>
        <v>0</v>
      </c>
      <c r="T4363" s="28"/>
      <c r="U4363" s="28" t="n">
        <f aca="false">T4363*$M4363</f>
        <v>0</v>
      </c>
      <c r="V4363" s="28"/>
      <c r="W4363" s="28" t="n">
        <f aca="false">V4363*$M4363</f>
        <v>0</v>
      </c>
      <c r="X4363" s="28"/>
      <c r="Y4363" s="28" t="n">
        <f aca="false">X4363*$M4363</f>
        <v>0</v>
      </c>
      <c r="Z4363" s="28"/>
      <c r="AA4363" s="28" t="n">
        <f aca="false">Z4363*$M4363</f>
        <v>0</v>
      </c>
      <c r="AB4363" s="28" t="n">
        <f aca="false">3334/100</f>
        <v>33.34</v>
      </c>
      <c r="AC4363" s="28" t="n">
        <v>267</v>
      </c>
      <c r="AD4363" s="28"/>
      <c r="AE4363" s="28" t="n">
        <f aca="false">AD4363*$M4363</f>
        <v>0</v>
      </c>
      <c r="AF4363" s="28"/>
      <c r="AG4363" s="28" t="n">
        <f aca="false">AF4363*$M4363</f>
        <v>0</v>
      </c>
      <c r="AH4363" s="28"/>
      <c r="AI4363" s="28" t="n">
        <f aca="false">AH4363*$M4363</f>
        <v>0</v>
      </c>
      <c r="AJ4363" s="28"/>
      <c r="AK4363" s="28" t="n">
        <f aca="false">AJ4363*$M4363</f>
        <v>0</v>
      </c>
      <c r="AL4363" s="28"/>
      <c r="AM4363" s="28" t="n">
        <f aca="false">AL4363*$M4363</f>
        <v>0</v>
      </c>
      <c r="AN4363" s="28"/>
      <c r="AO4363" s="28" t="n">
        <f aca="false">AN4363*$M4363</f>
        <v>0</v>
      </c>
      <c r="AP4363" s="28"/>
      <c r="AQ4363" s="28" t="n">
        <f aca="false">AP4363*$M4363</f>
        <v>0</v>
      </c>
      <c r="AR4363" s="28"/>
      <c r="AS4363" s="28" t="n">
        <f aca="false">AR4363*$M4363</f>
        <v>0</v>
      </c>
      <c r="AT4363" s="28"/>
      <c r="AU4363" s="28" t="n">
        <f aca="false">AT4363*$M4363</f>
        <v>0</v>
      </c>
      <c r="AV4363" s="28"/>
      <c r="AW4363" s="28" t="n">
        <f aca="false">AV4363*$M4363</f>
        <v>0</v>
      </c>
      <c r="AX4363" s="28"/>
      <c r="AY4363" s="28" t="n">
        <f aca="false">AX4363*$M4363</f>
        <v>0</v>
      </c>
      <c r="AZ4363" s="30" t="n">
        <f aca="false">270550/100</f>
        <v>2705.5</v>
      </c>
      <c r="BA4363" s="11" t="n">
        <v>21644</v>
      </c>
      <c r="BB4363" s="31" t="n">
        <f aca="false">SUM(Q4363,S4363,U4363,W4363,Y4363,AA4363,AC4363,AE4363,AG4363,AI4363,AK4363,AM4363,AO4363,AQ4363,AS4363,AU4363,AW4363,AY4363)</f>
        <v>21644</v>
      </c>
      <c r="BC4363" s="28" t="n">
        <f aca="false">BA4363-BB4363</f>
        <v>0</v>
      </c>
      <c r="BD4363" s="32" t="n">
        <f aca="false">SUM(P4363,R4363,T4363,V4363,X4363,Z4363,AB4363,AD4363,AF4363,AH4363,AJ4363,AL4363,AN4363,AP4363,AR4363,AT4363,AV4363,AX4363)</f>
        <v>2705.5</v>
      </c>
      <c r="BE4363" s="33" t="n">
        <f aca="false">AZ4363-BD4363</f>
        <v>0</v>
      </c>
      <c r="BF4363" s="34" t="n">
        <f aca="false">BD4363*M4363</f>
        <v>21644</v>
      </c>
      <c r="BG4363" s="35" t="n">
        <f aca="false">BA4363-BF4363</f>
        <v>0</v>
      </c>
      <c r="BH4363" s="19" t="str">
        <f aca="false">IF(BG4363=0,"",IF(BG4363&lt;&gt;BA4363,"erreur de calcul",IF(BD4363&lt;&gt;0,"pas de prix",IF(M4363&lt;&gt; 0,"pas de quantité","pas de prix, ni de quantité"))))</f>
        <v/>
      </c>
      <c r="BI4363" s="19"/>
    </row>
    <row r="4364" customFormat="false" ht="15" hidden="false" customHeight="false" outlineLevel="0" collapsed="false">
      <c r="A4364" s="0" t="n">
        <v>25</v>
      </c>
      <c r="B4364" s="8" t="s">
        <v>24</v>
      </c>
      <c r="C4364" s="9" t="s">
        <v>25</v>
      </c>
      <c r="D4364" s="9" t="s">
        <v>26</v>
      </c>
      <c r="E4364" s="10" t="n">
        <v>1789</v>
      </c>
      <c r="F4364" s="9" t="s">
        <v>27</v>
      </c>
      <c r="G4364" s="9" t="s">
        <v>27</v>
      </c>
      <c r="H4364" s="11" t="n">
        <v>22</v>
      </c>
      <c r="I4364" s="11" t="s">
        <v>228</v>
      </c>
      <c r="J4364" s="14" t="n">
        <v>11</v>
      </c>
      <c r="K4364" s="14"/>
      <c r="L4364" s="16"/>
      <c r="M4364" s="27" t="n">
        <f aca="false">J4364+(K4364/20)+(L4364/240)</f>
        <v>11</v>
      </c>
      <c r="N4364" s="17" t="s">
        <v>66</v>
      </c>
      <c r="O4364" s="11"/>
      <c r="P4364" s="28"/>
      <c r="Q4364" s="28" t="n">
        <f aca="false">P4364*$M4364</f>
        <v>0</v>
      </c>
      <c r="R4364" s="28" t="n">
        <v>2017</v>
      </c>
      <c r="S4364" s="28" t="n">
        <v>22187</v>
      </c>
      <c r="T4364" s="28"/>
      <c r="U4364" s="28" t="n">
        <f aca="false">T4364*$M4364</f>
        <v>0</v>
      </c>
      <c r="V4364" s="28"/>
      <c r="W4364" s="28" t="n">
        <f aca="false">V4364*$M4364</f>
        <v>0</v>
      </c>
      <c r="X4364" s="28" t="n">
        <v>3804</v>
      </c>
      <c r="Y4364" s="28" t="n">
        <v>41844</v>
      </c>
      <c r="Z4364" s="28"/>
      <c r="AA4364" s="28" t="n">
        <f aca="false">Z4364*$M4364</f>
        <v>0</v>
      </c>
      <c r="AB4364" s="28"/>
      <c r="AC4364" s="28" t="n">
        <f aca="false">AB4364*$M4364</f>
        <v>0</v>
      </c>
      <c r="AD4364" s="28"/>
      <c r="AE4364" s="28" t="n">
        <f aca="false">AD4364*$M4364</f>
        <v>0</v>
      </c>
      <c r="AF4364" s="28"/>
      <c r="AG4364" s="28" t="n">
        <f aca="false">AF4364*$M4364</f>
        <v>0</v>
      </c>
      <c r="AH4364" s="28" t="n">
        <v>117</v>
      </c>
      <c r="AI4364" s="28" t="n">
        <v>1287</v>
      </c>
      <c r="AJ4364" s="28" t="n">
        <v>8694</v>
      </c>
      <c r="AK4364" s="28" t="n">
        <v>95634</v>
      </c>
      <c r="AL4364" s="28"/>
      <c r="AM4364" s="28" t="n">
        <f aca="false">AL4364*$M4364</f>
        <v>0</v>
      </c>
      <c r="AN4364" s="28" t="n">
        <v>5697</v>
      </c>
      <c r="AO4364" s="28" t="n">
        <v>62667</v>
      </c>
      <c r="AP4364" s="28"/>
      <c r="AQ4364" s="28" t="n">
        <f aca="false">AP4364*$M4364</f>
        <v>0</v>
      </c>
      <c r="AR4364" s="28"/>
      <c r="AS4364" s="28" t="n">
        <f aca="false">AR4364*$M4364</f>
        <v>0</v>
      </c>
      <c r="AT4364" s="28"/>
      <c r="AU4364" s="28" t="n">
        <f aca="false">AT4364*$M4364</f>
        <v>0</v>
      </c>
      <c r="AV4364" s="28"/>
      <c r="AW4364" s="28" t="n">
        <f aca="false">AV4364*$M4364</f>
        <v>0</v>
      </c>
      <c r="AX4364" s="28"/>
      <c r="AY4364" s="28" t="n">
        <f aca="false">AX4364*$M4364</f>
        <v>0</v>
      </c>
      <c r="AZ4364" s="30" t="n">
        <v>20329</v>
      </c>
      <c r="BA4364" s="11" t="n">
        <v>223619</v>
      </c>
      <c r="BB4364" s="31" t="n">
        <f aca="false">SUM(Q4364,S4364,U4364,W4364,Y4364,AA4364,AC4364,AE4364,AG4364,AI4364,AK4364,AM4364,AO4364,AQ4364,AS4364,AU4364,AW4364,AY4364)</f>
        <v>223619</v>
      </c>
      <c r="BC4364" s="28" t="n">
        <f aca="false">BA4364-BB4364</f>
        <v>0</v>
      </c>
      <c r="BD4364" s="32" t="n">
        <f aca="false">SUM(P4364,R4364,T4364,V4364,X4364,Z4364,AB4364,AD4364,AF4364,AH4364,AJ4364,AL4364,AN4364,AP4364,AR4364,AT4364,AV4364,AX4364)</f>
        <v>20329</v>
      </c>
      <c r="BE4364" s="33" t="n">
        <f aca="false">AZ4364-BD4364</f>
        <v>0</v>
      </c>
      <c r="BF4364" s="34" t="n">
        <f aca="false">BD4364*M4364</f>
        <v>223619</v>
      </c>
      <c r="BG4364" s="35" t="n">
        <f aca="false">BA4364-BF4364</f>
        <v>0</v>
      </c>
      <c r="BH4364" s="19" t="str">
        <f aca="false">IF(BG4364=0,"",IF(BG4364&lt;&gt;BA4364,"erreur de calcul",IF(BD4364&lt;&gt;0,"pas de prix",IF(M4364&lt;&gt; 0,"pas de quantité","pas de prix, ni de quantité"))))</f>
        <v/>
      </c>
      <c r="BI4364" s="19"/>
    </row>
    <row r="4365" customFormat="false" ht="15" hidden="false" customHeight="false" outlineLevel="0" collapsed="false">
      <c r="A4365" s="0" t="n">
        <v>26</v>
      </c>
      <c r="B4365" s="8" t="s">
        <v>24</v>
      </c>
      <c r="C4365" s="9" t="s">
        <v>25</v>
      </c>
      <c r="D4365" s="9" t="s">
        <v>26</v>
      </c>
      <c r="E4365" s="10" t="n">
        <v>1789</v>
      </c>
      <c r="F4365" s="9" t="s">
        <v>27</v>
      </c>
      <c r="G4365" s="9" t="s">
        <v>27</v>
      </c>
      <c r="H4365" s="11" t="n">
        <v>22</v>
      </c>
      <c r="I4365" s="11" t="s">
        <v>229</v>
      </c>
      <c r="J4365" s="14" t="n">
        <v>5</v>
      </c>
      <c r="K4365" s="14"/>
      <c r="L4365" s="16"/>
      <c r="M4365" s="27" t="n">
        <f aca="false">J4365+(K4365/20)+(L4365/240)</f>
        <v>5</v>
      </c>
      <c r="N4365" s="17" t="s">
        <v>66</v>
      </c>
      <c r="O4365" s="11"/>
      <c r="P4365" s="28"/>
      <c r="Q4365" s="28" t="n">
        <f aca="false">P4365*$M4365</f>
        <v>0</v>
      </c>
      <c r="R4365" s="28" t="n">
        <v>4117</v>
      </c>
      <c r="S4365" s="28" t="n">
        <v>20585</v>
      </c>
      <c r="T4365" s="28"/>
      <c r="U4365" s="28" t="n">
        <f aca="false">T4365*$M4365</f>
        <v>0</v>
      </c>
      <c r="V4365" s="28"/>
      <c r="W4365" s="28" t="n">
        <f aca="false">V4365*$M4365</f>
        <v>0</v>
      </c>
      <c r="X4365" s="28"/>
      <c r="Y4365" s="28" t="n">
        <f aca="false">X4365*$M4365</f>
        <v>0</v>
      </c>
      <c r="Z4365" s="28"/>
      <c r="AA4365" s="28" t="n">
        <f aca="false">Z4365*$M4365</f>
        <v>0</v>
      </c>
      <c r="AB4365" s="28"/>
      <c r="AC4365" s="28" t="n">
        <f aca="false">AB4365*$M4365</f>
        <v>0</v>
      </c>
      <c r="AD4365" s="28"/>
      <c r="AE4365" s="28" t="n">
        <f aca="false">AD4365*$M4365</f>
        <v>0</v>
      </c>
      <c r="AF4365" s="28"/>
      <c r="AG4365" s="28" t="n">
        <f aca="false">AF4365*$M4365</f>
        <v>0</v>
      </c>
      <c r="AH4365" s="28"/>
      <c r="AI4365" s="28" t="n">
        <f aca="false">AH4365*$M4365</f>
        <v>0</v>
      </c>
      <c r="AJ4365" s="28"/>
      <c r="AK4365" s="28" t="n">
        <f aca="false">AJ4365*$M4365</f>
        <v>0</v>
      </c>
      <c r="AL4365" s="28"/>
      <c r="AM4365" s="28" t="n">
        <f aca="false">AL4365*$M4365</f>
        <v>0</v>
      </c>
      <c r="AN4365" s="28"/>
      <c r="AO4365" s="28" t="n">
        <f aca="false">AN4365*$M4365</f>
        <v>0</v>
      </c>
      <c r="AP4365" s="28"/>
      <c r="AQ4365" s="28" t="n">
        <f aca="false">AP4365*$M4365</f>
        <v>0</v>
      </c>
      <c r="AR4365" s="28"/>
      <c r="AS4365" s="28" t="n">
        <f aca="false">AR4365*$M4365</f>
        <v>0</v>
      </c>
      <c r="AT4365" s="28"/>
      <c r="AU4365" s="28" t="n">
        <f aca="false">AT4365*$M4365</f>
        <v>0</v>
      </c>
      <c r="AV4365" s="28"/>
      <c r="AW4365" s="28" t="n">
        <f aca="false">AV4365*$M4365</f>
        <v>0</v>
      </c>
      <c r="AX4365" s="28"/>
      <c r="AY4365" s="28" t="n">
        <f aca="false">AX4365*$M4365</f>
        <v>0</v>
      </c>
      <c r="AZ4365" s="30" t="n">
        <v>4117</v>
      </c>
      <c r="BA4365" s="11" t="n">
        <v>20585</v>
      </c>
      <c r="BB4365" s="31" t="n">
        <f aca="false">SUM(Q4365,S4365,U4365,W4365,Y4365,AA4365,AC4365,AE4365,AG4365,AI4365,AK4365,AM4365,AO4365,AQ4365,AS4365,AU4365,AW4365,AY4365)</f>
        <v>20585</v>
      </c>
      <c r="BC4365" s="28" t="n">
        <f aca="false">BA4365-BB4365</f>
        <v>0</v>
      </c>
      <c r="BD4365" s="32" t="n">
        <f aca="false">SUM(P4365,R4365,T4365,V4365,X4365,Z4365,AB4365,AD4365,AF4365,AH4365,AJ4365,AL4365,AN4365,AP4365,AR4365,AT4365,AV4365,AX4365)</f>
        <v>4117</v>
      </c>
      <c r="BE4365" s="33" t="n">
        <f aca="false">AZ4365-BD4365</f>
        <v>0</v>
      </c>
      <c r="BF4365" s="34" t="n">
        <f aca="false">BD4365*M4365</f>
        <v>20585</v>
      </c>
      <c r="BG4365" s="35" t="n">
        <f aca="false">BA4365-BF4365</f>
        <v>0</v>
      </c>
      <c r="BH4365" s="19" t="str">
        <f aca="false">IF(BG4365=0,"",IF(BG4365&lt;&gt;BA4365,"erreur de calcul",IF(BD4365&lt;&gt;0,"pas de prix",IF(M4365&lt;&gt; 0,"pas de quantité","pas de prix, ni de quantité"))))</f>
        <v/>
      </c>
      <c r="BI4365" s="19"/>
    </row>
    <row r="4366" customFormat="false" ht="15" hidden="false" customHeight="false" outlineLevel="0" collapsed="false">
      <c r="A4366" s="0" t="n">
        <v>27</v>
      </c>
      <c r="B4366" s="8" t="s">
        <v>24</v>
      </c>
      <c r="C4366" s="9" t="s">
        <v>25</v>
      </c>
      <c r="D4366" s="9" t="s">
        <v>26</v>
      </c>
      <c r="E4366" s="10" t="n">
        <v>1789</v>
      </c>
      <c r="F4366" s="9" t="s">
        <v>27</v>
      </c>
      <c r="G4366" s="9" t="s">
        <v>27</v>
      </c>
      <c r="H4366" s="11" t="n">
        <v>22</v>
      </c>
      <c r="I4366" s="11" t="s">
        <v>230</v>
      </c>
      <c r="J4366" s="14" t="n">
        <v>11</v>
      </c>
      <c r="K4366" s="14"/>
      <c r="L4366" s="16"/>
      <c r="M4366" s="27" t="n">
        <f aca="false">J4366+(K4366/20)+(L4366/240)</f>
        <v>11</v>
      </c>
      <c r="N4366" s="17" t="s">
        <v>66</v>
      </c>
      <c r="O4366" s="11"/>
      <c r="P4366" s="28"/>
      <c r="Q4366" s="28" t="n">
        <f aca="false">P4366*$M4366</f>
        <v>0</v>
      </c>
      <c r="R4366" s="28"/>
      <c r="S4366" s="28" t="n">
        <f aca="false">R4366*$M4366</f>
        <v>0</v>
      </c>
      <c r="T4366" s="28"/>
      <c r="U4366" s="28" t="n">
        <f aca="false">T4366*$M4366</f>
        <v>0</v>
      </c>
      <c r="V4366" s="28"/>
      <c r="W4366" s="28" t="n">
        <f aca="false">V4366*$M4366</f>
        <v>0</v>
      </c>
      <c r="X4366" s="28"/>
      <c r="Y4366" s="28" t="n">
        <f aca="false">X4366*$M4366</f>
        <v>0</v>
      </c>
      <c r="Z4366" s="28"/>
      <c r="AA4366" s="28" t="n">
        <f aca="false">Z4366*$M4366</f>
        <v>0</v>
      </c>
      <c r="AB4366" s="28"/>
      <c r="AC4366" s="28" t="n">
        <f aca="false">AB4366*$M4366</f>
        <v>0</v>
      </c>
      <c r="AD4366" s="28"/>
      <c r="AE4366" s="28" t="n">
        <f aca="false">AD4366*$M4366</f>
        <v>0</v>
      </c>
      <c r="AF4366" s="28"/>
      <c r="AG4366" s="28" t="n">
        <f aca="false">AF4366*$M4366</f>
        <v>0</v>
      </c>
      <c r="AH4366" s="28"/>
      <c r="AI4366" s="28" t="n">
        <f aca="false">AH4366*$M4366</f>
        <v>0</v>
      </c>
      <c r="AJ4366" s="28" t="n">
        <v>34854</v>
      </c>
      <c r="AK4366" s="28" t="n">
        <v>383394</v>
      </c>
      <c r="AL4366" s="28"/>
      <c r="AM4366" s="28" t="n">
        <f aca="false">AL4366*$M4366</f>
        <v>0</v>
      </c>
      <c r="AN4366" s="28"/>
      <c r="AO4366" s="28" t="n">
        <f aca="false">AN4366*$M4366</f>
        <v>0</v>
      </c>
      <c r="AP4366" s="28"/>
      <c r="AQ4366" s="28" t="n">
        <f aca="false">AP4366*$M4366</f>
        <v>0</v>
      </c>
      <c r="AR4366" s="28"/>
      <c r="AS4366" s="28" t="n">
        <f aca="false">AR4366*$M4366</f>
        <v>0</v>
      </c>
      <c r="AT4366" s="28"/>
      <c r="AU4366" s="28" t="n">
        <f aca="false">AT4366*$M4366</f>
        <v>0</v>
      </c>
      <c r="AV4366" s="28"/>
      <c r="AW4366" s="28" t="n">
        <f aca="false">AV4366*$M4366</f>
        <v>0</v>
      </c>
      <c r="AX4366" s="28"/>
      <c r="AY4366" s="28" t="n">
        <f aca="false">AX4366*$M4366</f>
        <v>0</v>
      </c>
      <c r="AZ4366" s="30" t="n">
        <v>34854</v>
      </c>
      <c r="BA4366" s="11" t="n">
        <v>383394</v>
      </c>
      <c r="BB4366" s="31" t="n">
        <f aca="false">SUM(Q4366,S4366,U4366,W4366,Y4366,AA4366,AC4366,AE4366,AG4366,AI4366,AK4366,AM4366,AO4366,AQ4366,AS4366,AU4366,AW4366,AY4366)</f>
        <v>383394</v>
      </c>
      <c r="BC4366" s="28" t="n">
        <f aca="false">BA4366-BB4366</f>
        <v>0</v>
      </c>
      <c r="BD4366" s="32" t="n">
        <f aca="false">SUM(P4366,R4366,T4366,V4366,X4366,Z4366,AB4366,AD4366,AF4366,AH4366,AJ4366,AL4366,AN4366,AP4366,AR4366,AT4366,AV4366,AX4366)</f>
        <v>34854</v>
      </c>
      <c r="BE4366" s="33" t="n">
        <f aca="false">AZ4366-BD4366</f>
        <v>0</v>
      </c>
      <c r="BF4366" s="34" t="n">
        <f aca="false">BD4366*M4366</f>
        <v>383394</v>
      </c>
      <c r="BG4366" s="35" t="n">
        <f aca="false">BA4366-BF4366</f>
        <v>0</v>
      </c>
      <c r="BH4366" s="19" t="str">
        <f aca="false">IF(BG4366=0,"",IF(BG4366&lt;&gt;BA4366,"erreur de calcul",IF(BD4366&lt;&gt;0,"pas de prix",IF(M4366&lt;&gt; 0,"pas de quantité","pas de prix, ni de quantité"))))</f>
        <v/>
      </c>
      <c r="BI4366" s="19"/>
    </row>
    <row r="4367" customFormat="false" ht="15" hidden="false" customHeight="false" outlineLevel="0" collapsed="false">
      <c r="A4367" s="0" t="n">
        <v>28</v>
      </c>
      <c r="B4367" s="8" t="s">
        <v>24</v>
      </c>
      <c r="C4367" s="9" t="s">
        <v>25</v>
      </c>
      <c r="D4367" s="9" t="s">
        <v>26</v>
      </c>
      <c r="E4367" s="10" t="n">
        <v>1789</v>
      </c>
      <c r="F4367" s="9" t="s">
        <v>27</v>
      </c>
      <c r="G4367" s="9" t="s">
        <v>27</v>
      </c>
      <c r="H4367" s="11" t="n">
        <v>22</v>
      </c>
      <c r="I4367" s="11" t="s">
        <v>231</v>
      </c>
      <c r="J4367" s="14" t="n">
        <v>18</v>
      </c>
      <c r="K4367" s="14"/>
      <c r="L4367" s="16"/>
      <c r="M4367" s="27" t="n">
        <f aca="false">J4367+(K4367/20)+(L4367/240)</f>
        <v>18</v>
      </c>
      <c r="N4367" s="17" t="s">
        <v>66</v>
      </c>
      <c r="O4367" s="11"/>
      <c r="P4367" s="28"/>
      <c r="Q4367" s="28" t="n">
        <f aca="false">P4367*$M4367</f>
        <v>0</v>
      </c>
      <c r="R4367" s="28"/>
      <c r="S4367" s="28" t="n">
        <f aca="false">R4367*$M4367</f>
        <v>0</v>
      </c>
      <c r="T4367" s="28"/>
      <c r="U4367" s="28" t="n">
        <f aca="false">T4367*$M4367</f>
        <v>0</v>
      </c>
      <c r="V4367" s="28"/>
      <c r="W4367" s="28" t="n">
        <f aca="false">V4367*$M4367</f>
        <v>0</v>
      </c>
      <c r="X4367" s="28"/>
      <c r="Y4367" s="28" t="n">
        <f aca="false">X4367*$M4367</f>
        <v>0</v>
      </c>
      <c r="Z4367" s="28"/>
      <c r="AA4367" s="28" t="n">
        <f aca="false">Z4367*$M4367</f>
        <v>0</v>
      </c>
      <c r="AB4367" s="28"/>
      <c r="AC4367" s="28" t="n">
        <f aca="false">AB4367*$M4367</f>
        <v>0</v>
      </c>
      <c r="AD4367" s="28"/>
      <c r="AE4367" s="28" t="n">
        <f aca="false">AD4367*$M4367</f>
        <v>0</v>
      </c>
      <c r="AF4367" s="28"/>
      <c r="AG4367" s="28" t="n">
        <f aca="false">AF4367*$M4367</f>
        <v>0</v>
      </c>
      <c r="AH4367" s="28"/>
      <c r="AI4367" s="28" t="n">
        <f aca="false">AH4367*$M4367</f>
        <v>0</v>
      </c>
      <c r="AJ4367" s="28" t="n">
        <v>623</v>
      </c>
      <c r="AK4367" s="28" t="n">
        <v>11214</v>
      </c>
      <c r="AL4367" s="28"/>
      <c r="AM4367" s="28" t="n">
        <f aca="false">AL4367*$M4367</f>
        <v>0</v>
      </c>
      <c r="AN4367" s="28"/>
      <c r="AO4367" s="28" t="n">
        <f aca="false">AN4367*$M4367</f>
        <v>0</v>
      </c>
      <c r="AP4367" s="28"/>
      <c r="AQ4367" s="28" t="n">
        <f aca="false">AP4367*$M4367</f>
        <v>0</v>
      </c>
      <c r="AR4367" s="28"/>
      <c r="AS4367" s="28" t="n">
        <f aca="false">AR4367*$M4367</f>
        <v>0</v>
      </c>
      <c r="AT4367" s="28"/>
      <c r="AU4367" s="28" t="n">
        <f aca="false">AT4367*$M4367</f>
        <v>0</v>
      </c>
      <c r="AV4367" s="28"/>
      <c r="AW4367" s="28" t="n">
        <f aca="false">AV4367*$M4367</f>
        <v>0</v>
      </c>
      <c r="AX4367" s="28"/>
      <c r="AY4367" s="28" t="n">
        <f aca="false">AX4367*$M4367</f>
        <v>0</v>
      </c>
      <c r="AZ4367" s="30" t="n">
        <v>623</v>
      </c>
      <c r="BA4367" s="11" t="n">
        <v>11214</v>
      </c>
      <c r="BB4367" s="31" t="n">
        <f aca="false">SUM(Q4367,S4367,U4367,W4367,Y4367,AA4367,AC4367,AE4367,AG4367,AI4367,AK4367,AM4367,AO4367,AQ4367,AS4367,AU4367,AW4367,AY4367)</f>
        <v>11214</v>
      </c>
      <c r="BC4367" s="28" t="n">
        <f aca="false">BA4367-BB4367</f>
        <v>0</v>
      </c>
      <c r="BD4367" s="32" t="n">
        <f aca="false">SUM(P4367,R4367,T4367,V4367,X4367,Z4367,AB4367,AD4367,AF4367,AH4367,AJ4367,AL4367,AN4367,AP4367,AR4367,AT4367,AV4367,AX4367)</f>
        <v>623</v>
      </c>
      <c r="BE4367" s="33" t="n">
        <f aca="false">AZ4367-BD4367</f>
        <v>0</v>
      </c>
      <c r="BF4367" s="34" t="n">
        <f aca="false">BD4367*M4367</f>
        <v>11214</v>
      </c>
      <c r="BG4367" s="35" t="n">
        <f aca="false">BA4367-BF4367</f>
        <v>0</v>
      </c>
      <c r="BH4367" s="19" t="str">
        <f aca="false">IF(BG4367=0,"",IF(BG4367&lt;&gt;BA4367,"erreur de calcul",IF(BD4367&lt;&gt;0,"pas de prix",IF(M4367&lt;&gt; 0,"pas de quantité","pas de prix, ni de quantité"))))</f>
        <v/>
      </c>
      <c r="BI4367" s="19"/>
    </row>
    <row r="4368" customFormat="false" ht="15" hidden="false" customHeight="false" outlineLevel="0" collapsed="false">
      <c r="A4368" s="0" t="n">
        <v>29</v>
      </c>
      <c r="B4368" s="8" t="s">
        <v>24</v>
      </c>
      <c r="C4368" s="9" t="s">
        <v>25</v>
      </c>
      <c r="D4368" s="9" t="s">
        <v>26</v>
      </c>
      <c r="E4368" s="10" t="n">
        <v>1789</v>
      </c>
      <c r="F4368" s="9" t="s">
        <v>27</v>
      </c>
      <c r="G4368" s="9" t="s">
        <v>27</v>
      </c>
      <c r="H4368" s="11" t="n">
        <v>22</v>
      </c>
      <c r="I4368" s="11" t="s">
        <v>232</v>
      </c>
      <c r="J4368" s="14" t="n">
        <v>66</v>
      </c>
      <c r="K4368" s="14"/>
      <c r="L4368" s="16"/>
      <c r="M4368" s="27" t="n">
        <f aca="false">J4368+(K4368/20)+(L4368/240)</f>
        <v>66</v>
      </c>
      <c r="N4368" s="17" t="s">
        <v>64</v>
      </c>
      <c r="O4368" s="11"/>
      <c r="P4368" s="28"/>
      <c r="Q4368" s="28" t="n">
        <f aca="false">P4368*$M4368</f>
        <v>0</v>
      </c>
      <c r="R4368" s="28" t="n">
        <f aca="false">4580/100</f>
        <v>45.8</v>
      </c>
      <c r="S4368" s="28" t="n">
        <v>3023</v>
      </c>
      <c r="T4368" s="28"/>
      <c r="U4368" s="28" t="n">
        <f aca="false">T4368*$M4368</f>
        <v>0</v>
      </c>
      <c r="V4368" s="28"/>
      <c r="W4368" s="28" t="n">
        <f aca="false">V4368*$M4368</f>
        <v>0</v>
      </c>
      <c r="X4368" s="28"/>
      <c r="Y4368" s="28" t="n">
        <f aca="false">X4368*$M4368</f>
        <v>0</v>
      </c>
      <c r="Z4368" s="28"/>
      <c r="AA4368" s="28" t="n">
        <f aca="false">Z4368*$M4368</f>
        <v>0</v>
      </c>
      <c r="AB4368" s="28"/>
      <c r="AC4368" s="28" t="n">
        <f aca="false">AB4368*$M4368</f>
        <v>0</v>
      </c>
      <c r="AD4368" s="28"/>
      <c r="AE4368" s="28" t="n">
        <f aca="false">AD4368*$M4368</f>
        <v>0</v>
      </c>
      <c r="AF4368" s="28"/>
      <c r="AG4368" s="28" t="n">
        <f aca="false">AF4368*$M4368</f>
        <v>0</v>
      </c>
      <c r="AH4368" s="28"/>
      <c r="AI4368" s="28" t="n">
        <f aca="false">AH4368*$M4368</f>
        <v>0</v>
      </c>
      <c r="AJ4368" s="28"/>
      <c r="AK4368" s="28" t="n">
        <f aca="false">AJ4368*$M4368</f>
        <v>0</v>
      </c>
      <c r="AL4368" s="28"/>
      <c r="AM4368" s="28" t="n">
        <f aca="false">AL4368*$M4368</f>
        <v>0</v>
      </c>
      <c r="AN4368" s="28"/>
      <c r="AO4368" s="28" t="n">
        <f aca="false">AN4368*$M4368</f>
        <v>0</v>
      </c>
      <c r="AP4368" s="28"/>
      <c r="AQ4368" s="28" t="n">
        <f aca="false">AP4368*$M4368</f>
        <v>0</v>
      </c>
      <c r="AR4368" s="28"/>
      <c r="AS4368" s="28" t="n">
        <f aca="false">AR4368*$M4368</f>
        <v>0</v>
      </c>
      <c r="AT4368" s="28"/>
      <c r="AU4368" s="28" t="n">
        <f aca="false">AT4368*$M4368</f>
        <v>0</v>
      </c>
      <c r="AV4368" s="28"/>
      <c r="AW4368" s="28" t="n">
        <f aca="false">AV4368*$M4368</f>
        <v>0</v>
      </c>
      <c r="AX4368" s="28"/>
      <c r="AY4368" s="28" t="n">
        <f aca="false">AX4368*$M4368</f>
        <v>0</v>
      </c>
      <c r="AZ4368" s="30" t="n">
        <f aca="false">4580/100</f>
        <v>45.8</v>
      </c>
      <c r="BA4368" s="11" t="n">
        <v>3023</v>
      </c>
      <c r="BB4368" s="31" t="n">
        <f aca="false">SUM(Q4368,S4368,U4368,W4368,Y4368,AA4368,AC4368,AE4368,AG4368,AI4368,AK4368,AM4368,AO4368,AQ4368,AS4368,AU4368,AW4368,AY4368)</f>
        <v>3023</v>
      </c>
      <c r="BC4368" s="28" t="n">
        <f aca="false">BA4368-BB4368</f>
        <v>0</v>
      </c>
      <c r="BD4368" s="32" t="n">
        <f aca="false">SUM(P4368,R4368,T4368,V4368,X4368,Z4368,AB4368,AD4368,AF4368,AH4368,AJ4368,AL4368,AN4368,AP4368,AR4368,AT4368,AV4368,AX4368)</f>
        <v>45.8</v>
      </c>
      <c r="BE4368" s="33" t="n">
        <f aca="false">AZ4368-BD4368</f>
        <v>0</v>
      </c>
      <c r="BF4368" s="34" t="n">
        <f aca="false">BD4368*M4368</f>
        <v>3022.8</v>
      </c>
      <c r="BG4368" s="35" t="n">
        <f aca="false">BA4368-BF4368</f>
        <v>0.200000000000273</v>
      </c>
      <c r="BH4368" s="19" t="str">
        <f aca="false">IF(BG4368=0,"",IF(BG4368&lt;&gt;BA4368,"erreur de calcul",IF(BD4368&lt;&gt;0,"pas de prix",IF(M4368&lt;&gt; 0,"pas de quantité","pas de prix, ni de quantité"))))</f>
        <v>erreur de calcul</v>
      </c>
      <c r="BI4368" s="19"/>
    </row>
    <row r="4369" customFormat="false" ht="15" hidden="false" customHeight="false" outlineLevel="0" collapsed="false">
      <c r="A4369" s="0" t="n">
        <v>30</v>
      </c>
      <c r="B4369" s="8" t="s">
        <v>24</v>
      </c>
      <c r="C4369" s="9" t="s">
        <v>25</v>
      </c>
      <c r="D4369" s="9" t="s">
        <v>26</v>
      </c>
      <c r="E4369" s="10" t="n">
        <v>1789</v>
      </c>
      <c r="F4369" s="9" t="s">
        <v>27</v>
      </c>
      <c r="G4369" s="9" t="s">
        <v>27</v>
      </c>
      <c r="H4369" s="11" t="n">
        <v>22</v>
      </c>
      <c r="I4369" s="11" t="s">
        <v>233</v>
      </c>
      <c r="J4369" s="14" t="n">
        <v>155</v>
      </c>
      <c r="K4369" s="14"/>
      <c r="L4369" s="16"/>
      <c r="M4369" s="27" t="n">
        <f aca="false">J4369+(K4369/20)+(L4369/240)</f>
        <v>155</v>
      </c>
      <c r="N4369" s="17" t="s">
        <v>64</v>
      </c>
      <c r="O4369" s="11"/>
      <c r="P4369" s="28" t="n">
        <f aca="false">27574/100</f>
        <v>275.74</v>
      </c>
      <c r="Q4369" s="28" t="n">
        <v>42740</v>
      </c>
      <c r="R4369" s="28" t="n">
        <f aca="false">7820/100</f>
        <v>78.2</v>
      </c>
      <c r="S4369" s="28" t="n">
        <v>12121</v>
      </c>
      <c r="T4369" s="28"/>
      <c r="U4369" s="28" t="n">
        <f aca="false">T4369*$M4369</f>
        <v>0</v>
      </c>
      <c r="V4369" s="28" t="n">
        <f aca="false">37316/100</f>
        <v>373.16</v>
      </c>
      <c r="W4369" s="28" t="n">
        <v>57840</v>
      </c>
      <c r="X4369" s="28" t="n">
        <f aca="false">1394/100</f>
        <v>13.94</v>
      </c>
      <c r="Y4369" s="28" t="n">
        <v>2161</v>
      </c>
      <c r="Z4369" s="28"/>
      <c r="AA4369" s="28" t="n">
        <f aca="false">Z4369*$M4369</f>
        <v>0</v>
      </c>
      <c r="AB4369" s="28"/>
      <c r="AC4369" s="28" t="n">
        <f aca="false">AB4369*$M4369</f>
        <v>0</v>
      </c>
      <c r="AD4369" s="28"/>
      <c r="AE4369" s="28" t="n">
        <f aca="false">AD4369*$M4369</f>
        <v>0</v>
      </c>
      <c r="AF4369" s="28"/>
      <c r="AG4369" s="28" t="n">
        <f aca="false">AF4369*$M4369</f>
        <v>0</v>
      </c>
      <c r="AH4369" s="28"/>
      <c r="AI4369" s="28" t="n">
        <f aca="false">AH4369*$M4369</f>
        <v>0</v>
      </c>
      <c r="AJ4369" s="28" t="n">
        <f aca="false">158255/100</f>
        <v>1582.55</v>
      </c>
      <c r="AK4369" s="28" t="n">
        <v>245295</v>
      </c>
      <c r="AL4369" s="28"/>
      <c r="AM4369" s="28" t="n">
        <f aca="false">AL4369*$M4369</f>
        <v>0</v>
      </c>
      <c r="AN4369" s="28" t="n">
        <f aca="false">417945/100</f>
        <v>4179.45</v>
      </c>
      <c r="AO4369" s="28" t="n">
        <v>647815</v>
      </c>
      <c r="AP4369" s="28"/>
      <c r="AQ4369" s="28" t="n">
        <f aca="false">AP4369*$M4369</f>
        <v>0</v>
      </c>
      <c r="AR4369" s="28"/>
      <c r="AS4369" s="28" t="n">
        <f aca="false">AR4369*$M4369</f>
        <v>0</v>
      </c>
      <c r="AT4369" s="28"/>
      <c r="AU4369" s="28" t="n">
        <f aca="false">AT4369*$M4369</f>
        <v>0</v>
      </c>
      <c r="AV4369" s="28"/>
      <c r="AW4369" s="28" t="n">
        <f aca="false">AV4369*$M4369</f>
        <v>0</v>
      </c>
      <c r="AX4369" s="28"/>
      <c r="AY4369" s="28" t="n">
        <f aca="false">AX4369*$M4369</f>
        <v>0</v>
      </c>
      <c r="AZ4369" s="30" t="n">
        <f aca="false">650304/100</f>
        <v>6503.04</v>
      </c>
      <c r="BA4369" s="11" t="n">
        <v>1007972</v>
      </c>
      <c r="BB4369" s="31" t="n">
        <f aca="false">SUM(Q4369,S4369,U4369,W4369,Y4369,AA4369,AC4369,AE4369,AG4369,AI4369,AK4369,AM4369,AO4369,AQ4369,AS4369,AU4369,AW4369,AY4369)</f>
        <v>1007972</v>
      </c>
      <c r="BC4369" s="28" t="n">
        <f aca="false">BA4369-BB4369</f>
        <v>0</v>
      </c>
      <c r="BD4369" s="32" t="n">
        <f aca="false">SUM(P4369,R4369,T4369,V4369,X4369,Z4369,AB4369,AD4369,AF4369,AH4369,AJ4369,AL4369,AN4369,AP4369,AR4369,AT4369,AV4369,AX4369)</f>
        <v>6503.04</v>
      </c>
      <c r="BE4369" s="33" t="n">
        <f aca="false">AZ4369-BD4369</f>
        <v>0</v>
      </c>
      <c r="BF4369" s="34" t="n">
        <f aca="false">BD4369*M4369</f>
        <v>1007971.2</v>
      </c>
      <c r="BG4369" s="35" t="n">
        <f aca="false">BA4369-BF4369</f>
        <v>0.800000000162981</v>
      </c>
      <c r="BH4369" s="19" t="str">
        <f aca="false">IF(BG4369=0,"",IF(BG4369&lt;&gt;BA4369,"erreur de calcul",IF(BD4369&lt;&gt;0,"pas de prix",IF(M4369&lt;&gt; 0,"pas de quantité","pas de prix, ni de quantité"))))</f>
        <v>erreur de calcul</v>
      </c>
      <c r="BI4369" s="19"/>
    </row>
    <row r="4370" customFormat="false" ht="15" hidden="false" customHeight="false" outlineLevel="0" collapsed="false">
      <c r="A4370" s="0" t="n">
        <v>31</v>
      </c>
      <c r="B4370" s="8" t="s">
        <v>24</v>
      </c>
      <c r="C4370" s="9" t="s">
        <v>25</v>
      </c>
      <c r="D4370" s="9" t="s">
        <v>26</v>
      </c>
      <c r="E4370" s="10" t="n">
        <v>1789</v>
      </c>
      <c r="F4370" s="9" t="s">
        <v>27</v>
      </c>
      <c r="G4370" s="9" t="s">
        <v>27</v>
      </c>
      <c r="H4370" s="11" t="n">
        <v>22</v>
      </c>
      <c r="I4370" s="11" t="s">
        <v>234</v>
      </c>
      <c r="J4370" s="14" t="n">
        <v>110</v>
      </c>
      <c r="K4370" s="14"/>
      <c r="L4370" s="16"/>
      <c r="M4370" s="27" t="n">
        <f aca="false">J4370+(K4370/20)+(L4370/240)</f>
        <v>110</v>
      </c>
      <c r="N4370" s="17" t="s">
        <v>64</v>
      </c>
      <c r="O4370" s="11"/>
      <c r="P4370" s="28" t="n">
        <f aca="false">73942/100</f>
        <v>739.42</v>
      </c>
      <c r="Q4370" s="28" t="n">
        <v>81336</v>
      </c>
      <c r="R4370" s="28"/>
      <c r="S4370" s="28" t="n">
        <f aca="false">R4370*$M4370</f>
        <v>0</v>
      </c>
      <c r="T4370" s="28"/>
      <c r="U4370" s="28" t="n">
        <f aca="false">T4370*$M4370</f>
        <v>0</v>
      </c>
      <c r="V4370" s="28"/>
      <c r="W4370" s="28" t="n">
        <f aca="false">V4370*$M4370</f>
        <v>0</v>
      </c>
      <c r="X4370" s="28"/>
      <c r="Y4370" s="28" t="n">
        <f aca="false">X4370*$M4370</f>
        <v>0</v>
      </c>
      <c r="Z4370" s="28"/>
      <c r="AA4370" s="28" t="n">
        <f aca="false">Z4370*$M4370</f>
        <v>0</v>
      </c>
      <c r="AB4370" s="28"/>
      <c r="AC4370" s="28" t="n">
        <f aca="false">AB4370*$M4370</f>
        <v>0</v>
      </c>
      <c r="AD4370" s="28"/>
      <c r="AE4370" s="28" t="n">
        <f aca="false">AD4370*$M4370</f>
        <v>0</v>
      </c>
      <c r="AF4370" s="28"/>
      <c r="AG4370" s="28" t="n">
        <f aca="false">AF4370*$M4370</f>
        <v>0</v>
      </c>
      <c r="AH4370" s="28"/>
      <c r="AI4370" s="28" t="n">
        <f aca="false">AH4370*$M4370</f>
        <v>0</v>
      </c>
      <c r="AJ4370" s="28"/>
      <c r="AK4370" s="28" t="n">
        <f aca="false">AJ4370*$M4370</f>
        <v>0</v>
      </c>
      <c r="AL4370" s="28"/>
      <c r="AM4370" s="28" t="n">
        <f aca="false">AL4370*$M4370</f>
        <v>0</v>
      </c>
      <c r="AN4370" s="28"/>
      <c r="AO4370" s="28" t="n">
        <f aca="false">AN4370*$M4370</f>
        <v>0</v>
      </c>
      <c r="AP4370" s="28"/>
      <c r="AQ4370" s="28" t="n">
        <f aca="false">AP4370*$M4370</f>
        <v>0</v>
      </c>
      <c r="AR4370" s="28"/>
      <c r="AS4370" s="28" t="n">
        <f aca="false">AR4370*$M4370</f>
        <v>0</v>
      </c>
      <c r="AT4370" s="28"/>
      <c r="AU4370" s="28" t="n">
        <f aca="false">AT4370*$M4370</f>
        <v>0</v>
      </c>
      <c r="AV4370" s="28"/>
      <c r="AW4370" s="28" t="n">
        <f aca="false">AV4370*$M4370</f>
        <v>0</v>
      </c>
      <c r="AX4370" s="28"/>
      <c r="AY4370" s="28" t="n">
        <f aca="false">AX4370*$M4370</f>
        <v>0</v>
      </c>
      <c r="AZ4370" s="30" t="n">
        <f aca="false">73942/100</f>
        <v>739.42</v>
      </c>
      <c r="BA4370" s="11" t="n">
        <v>81336</v>
      </c>
      <c r="BB4370" s="31" t="n">
        <f aca="false">SUM(Q4370,S4370,U4370,W4370,Y4370,AA4370,AC4370,AE4370,AG4370,AI4370,AK4370,AM4370,AO4370,AQ4370,AS4370,AU4370,AW4370,AY4370)</f>
        <v>81336</v>
      </c>
      <c r="BC4370" s="28" t="n">
        <f aca="false">BA4370-BB4370</f>
        <v>0</v>
      </c>
      <c r="BD4370" s="32" t="n">
        <f aca="false">SUM(P4370,R4370,T4370,V4370,X4370,Z4370,AB4370,AD4370,AF4370,AH4370,AJ4370,AL4370,AN4370,AP4370,AR4370,AT4370,AV4370,AX4370)</f>
        <v>739.42</v>
      </c>
      <c r="BE4370" s="33" t="n">
        <f aca="false">AZ4370-BD4370</f>
        <v>0</v>
      </c>
      <c r="BF4370" s="34" t="n">
        <f aca="false">BD4370*M4370</f>
        <v>81336.2</v>
      </c>
      <c r="BG4370" s="35" t="n">
        <f aca="false">BA4370-BF4370</f>
        <v>-0.19999999999709</v>
      </c>
      <c r="BH4370" s="19" t="str">
        <f aca="false">IF(BG4370=0,"",IF(BG4370&lt;&gt;BA4370,"erreur de calcul",IF(BD4370&lt;&gt;0,"pas de prix",IF(M4370&lt;&gt; 0,"pas de quantité","pas de prix, ni de quantité"))))</f>
        <v>erreur de calcul</v>
      </c>
      <c r="BI4370" s="19"/>
    </row>
    <row r="4371" customFormat="false" ht="15" hidden="false" customHeight="false" outlineLevel="0" collapsed="false">
      <c r="A4371" s="0" t="n">
        <v>32</v>
      </c>
      <c r="B4371" s="8" t="s">
        <v>24</v>
      </c>
      <c r="C4371" s="9" t="s">
        <v>25</v>
      </c>
      <c r="D4371" s="9" t="s">
        <v>26</v>
      </c>
      <c r="E4371" s="10" t="n">
        <v>1789</v>
      </c>
      <c r="F4371" s="9" t="s">
        <v>27</v>
      </c>
      <c r="G4371" s="9" t="s">
        <v>27</v>
      </c>
      <c r="H4371" s="11" t="n">
        <v>22</v>
      </c>
      <c r="I4371" s="11" t="s">
        <v>235</v>
      </c>
      <c r="J4371" s="14" t="n">
        <v>60</v>
      </c>
      <c r="K4371" s="14"/>
      <c r="L4371" s="16"/>
      <c r="M4371" s="27" t="n">
        <f aca="false">J4371+(K4371/20)+(L4371/240)</f>
        <v>60</v>
      </c>
      <c r="N4371" s="17" t="s">
        <v>64</v>
      </c>
      <c r="O4371" s="11"/>
      <c r="P4371" s="28"/>
      <c r="Q4371" s="28" t="n">
        <f aca="false">P4371*$M4371</f>
        <v>0</v>
      </c>
      <c r="R4371" s="28"/>
      <c r="S4371" s="28" t="n">
        <f aca="false">R4371*$M4371</f>
        <v>0</v>
      </c>
      <c r="T4371" s="28"/>
      <c r="U4371" s="28" t="n">
        <f aca="false">T4371*$M4371</f>
        <v>0</v>
      </c>
      <c r="V4371" s="28" t="n">
        <f aca="false">232/100</f>
        <v>2.32</v>
      </c>
      <c r="W4371" s="28" t="n">
        <v>139</v>
      </c>
      <c r="X4371" s="28" t="n">
        <f aca="false">5603/100</f>
        <v>56.03</v>
      </c>
      <c r="Y4371" s="28" t="n">
        <v>3362</v>
      </c>
      <c r="Z4371" s="28"/>
      <c r="AA4371" s="28" t="n">
        <f aca="false">Z4371*$M4371</f>
        <v>0</v>
      </c>
      <c r="AB4371" s="28" t="n">
        <f aca="false">1410/100</f>
        <v>14.1</v>
      </c>
      <c r="AC4371" s="28" t="n">
        <v>846</v>
      </c>
      <c r="AD4371" s="28"/>
      <c r="AE4371" s="28" t="n">
        <f aca="false">AD4371*$M4371</f>
        <v>0</v>
      </c>
      <c r="AF4371" s="28" t="n">
        <f aca="false">162899/100</f>
        <v>1628.99</v>
      </c>
      <c r="AG4371" s="28" t="n">
        <v>97739</v>
      </c>
      <c r="AH4371" s="28" t="n">
        <f aca="false">6506/100</f>
        <v>65.06</v>
      </c>
      <c r="AI4371" s="28" t="n">
        <v>3904</v>
      </c>
      <c r="AJ4371" s="28"/>
      <c r="AK4371" s="28" t="n">
        <f aca="false">AJ4371*$M4371</f>
        <v>0</v>
      </c>
      <c r="AL4371" s="28"/>
      <c r="AM4371" s="28" t="n">
        <f aca="false">AL4371*$M4371</f>
        <v>0</v>
      </c>
      <c r="AN4371" s="28"/>
      <c r="AO4371" s="28" t="n">
        <f aca="false">AN4371*$M4371</f>
        <v>0</v>
      </c>
      <c r="AP4371" s="28"/>
      <c r="AQ4371" s="28" t="n">
        <f aca="false">AP4371*$M4371</f>
        <v>0</v>
      </c>
      <c r="AR4371" s="28"/>
      <c r="AS4371" s="28" t="n">
        <f aca="false">AR4371*$M4371</f>
        <v>0</v>
      </c>
      <c r="AT4371" s="28"/>
      <c r="AU4371" s="28" t="n">
        <f aca="false">AT4371*$M4371</f>
        <v>0</v>
      </c>
      <c r="AV4371" s="28"/>
      <c r="AW4371" s="28" t="n">
        <f aca="false">AV4371*$M4371</f>
        <v>0</v>
      </c>
      <c r="AX4371" s="28"/>
      <c r="AY4371" s="28" t="n">
        <f aca="false">AX4371*$M4371</f>
        <v>0</v>
      </c>
      <c r="AZ4371" s="30" t="n">
        <f aca="false">176650/100</f>
        <v>1766.5</v>
      </c>
      <c r="BA4371" s="11" t="n">
        <v>105990</v>
      </c>
      <c r="BB4371" s="31" t="n">
        <f aca="false">SUM(Q4371,S4371,U4371,W4371,Y4371,AA4371,AC4371,AE4371,AG4371,AI4371,AK4371,AM4371,AO4371,AQ4371,AS4371,AU4371,AW4371,AY4371)</f>
        <v>105990</v>
      </c>
      <c r="BC4371" s="28" t="n">
        <f aca="false">BA4371-BB4371</f>
        <v>0</v>
      </c>
      <c r="BD4371" s="32" t="n">
        <f aca="false">SUM(P4371,R4371,T4371,V4371,X4371,Z4371,AB4371,AD4371,AF4371,AH4371,AJ4371,AL4371,AN4371,AP4371,AR4371,AT4371,AV4371,AX4371)</f>
        <v>1766.5</v>
      </c>
      <c r="BE4371" s="33" t="n">
        <f aca="false">AZ4371-BD4371</f>
        <v>0</v>
      </c>
      <c r="BF4371" s="34" t="n">
        <f aca="false">BD4371*M4371</f>
        <v>105990</v>
      </c>
      <c r="BG4371" s="35" t="n">
        <f aca="false">BA4371-BF4371</f>
        <v>0</v>
      </c>
      <c r="BH4371" s="19" t="str">
        <f aca="false">IF(BG4371=0,"",IF(BG4371&lt;&gt;BA4371,"erreur de calcul",IF(BD4371&lt;&gt;0,"pas de prix",IF(M4371&lt;&gt; 0,"pas de quantité","pas de prix, ni de quantité"))))</f>
        <v/>
      </c>
      <c r="BI4371" s="19"/>
    </row>
    <row r="4372" customFormat="false" ht="15" hidden="false" customHeight="false" outlineLevel="0" collapsed="false">
      <c r="A4372" s="0" t="n">
        <v>33</v>
      </c>
      <c r="B4372" s="8" t="s">
        <v>24</v>
      </c>
      <c r="C4372" s="9" t="s">
        <v>25</v>
      </c>
      <c r="D4372" s="9" t="s">
        <v>26</v>
      </c>
      <c r="E4372" s="10" t="n">
        <v>1789</v>
      </c>
      <c r="F4372" s="9" t="s">
        <v>27</v>
      </c>
      <c r="G4372" s="9" t="s">
        <v>27</v>
      </c>
      <c r="H4372" s="11" t="n">
        <v>22</v>
      </c>
      <c r="I4372" s="11" t="s">
        <v>236</v>
      </c>
      <c r="J4372" s="14" t="n">
        <v>710</v>
      </c>
      <c r="K4372" s="14"/>
      <c r="L4372" s="16"/>
      <c r="M4372" s="27" t="n">
        <f aca="false">J4372+(K4372/20)+(L4372/240)</f>
        <v>710</v>
      </c>
      <c r="N4372" s="17" t="s">
        <v>64</v>
      </c>
      <c r="O4372" s="11"/>
      <c r="P4372" s="28"/>
      <c r="Q4372" s="28" t="n">
        <f aca="false">P4372*$M4372</f>
        <v>0</v>
      </c>
      <c r="R4372" s="28"/>
      <c r="S4372" s="28" t="n">
        <f aca="false">R4372*$M4372</f>
        <v>0</v>
      </c>
      <c r="T4372" s="28" t="n">
        <f aca="false">108/100</f>
        <v>1.08</v>
      </c>
      <c r="U4372" s="28" t="n">
        <v>767</v>
      </c>
      <c r="V4372" s="28" t="n">
        <f aca="false">1190/100</f>
        <v>11.9</v>
      </c>
      <c r="W4372" s="28" t="n">
        <v>8449</v>
      </c>
      <c r="X4372" s="28" t="n">
        <f aca="false">487/100</f>
        <v>4.87</v>
      </c>
      <c r="Y4372" s="28" t="n">
        <v>3458</v>
      </c>
      <c r="Z4372" s="28"/>
      <c r="AA4372" s="28" t="n">
        <f aca="false">Z4372*$M4372</f>
        <v>0</v>
      </c>
      <c r="AB4372" s="28" t="n">
        <f aca="false">9170/100</f>
        <v>91.7</v>
      </c>
      <c r="AC4372" s="28" t="n">
        <v>65107</v>
      </c>
      <c r="AD4372" s="28" t="n">
        <f aca="false">531/100</f>
        <v>5.31</v>
      </c>
      <c r="AE4372" s="28" t="n">
        <v>3770</v>
      </c>
      <c r="AF4372" s="28"/>
      <c r="AG4372" s="28" t="n">
        <f aca="false">AF4372*$M4372</f>
        <v>0</v>
      </c>
      <c r="AH4372" s="28"/>
      <c r="AI4372" s="28" t="n">
        <f aca="false">AH4372*$M4372</f>
        <v>0</v>
      </c>
      <c r="AJ4372" s="28"/>
      <c r="AK4372" s="28" t="n">
        <f aca="false">AJ4372*$M4372</f>
        <v>0</v>
      </c>
      <c r="AL4372" s="28"/>
      <c r="AM4372" s="28" t="n">
        <f aca="false">AL4372*$M4372</f>
        <v>0</v>
      </c>
      <c r="AN4372" s="28"/>
      <c r="AO4372" s="28" t="n">
        <f aca="false">AN4372*$M4372</f>
        <v>0</v>
      </c>
      <c r="AP4372" s="28"/>
      <c r="AQ4372" s="28" t="n">
        <f aca="false">AP4372*$M4372</f>
        <v>0</v>
      </c>
      <c r="AR4372" s="28"/>
      <c r="AS4372" s="28" t="n">
        <f aca="false">AR4372*$M4372</f>
        <v>0</v>
      </c>
      <c r="AT4372" s="28"/>
      <c r="AU4372" s="28" t="n">
        <f aca="false">AT4372*$M4372</f>
        <v>0</v>
      </c>
      <c r="AV4372" s="28"/>
      <c r="AW4372" s="28" t="n">
        <f aca="false">AV4372*$M4372</f>
        <v>0</v>
      </c>
      <c r="AX4372" s="28"/>
      <c r="AY4372" s="28" t="n">
        <f aca="false">AX4372*$M4372</f>
        <v>0</v>
      </c>
      <c r="AZ4372" s="30" t="n">
        <f aca="false">11486/100</f>
        <v>114.86</v>
      </c>
      <c r="BA4372" s="11" t="n">
        <v>81551</v>
      </c>
      <c r="BB4372" s="31" t="n">
        <f aca="false">SUM(Q4372,S4372,U4372,W4372,Y4372,AA4372,AC4372,AE4372,AG4372,AI4372,AK4372,AM4372,AO4372,AQ4372,AS4372,AU4372,AW4372,AY4372)</f>
        <v>81551</v>
      </c>
      <c r="BC4372" s="28" t="n">
        <f aca="false">BA4372-BB4372</f>
        <v>0</v>
      </c>
      <c r="BD4372" s="32" t="n">
        <f aca="false">SUM(P4372,R4372,T4372,V4372,X4372,Z4372,AB4372,AD4372,AF4372,AH4372,AJ4372,AL4372,AN4372,AP4372,AR4372,AT4372,AV4372,AX4372)</f>
        <v>114.86</v>
      </c>
      <c r="BE4372" s="33" t="n">
        <f aca="false">AZ4372-BD4372</f>
        <v>0</v>
      </c>
      <c r="BF4372" s="34" t="n">
        <f aca="false">BD4372*M4372</f>
        <v>81550.6</v>
      </c>
      <c r="BG4372" s="35" t="n">
        <f aca="false">BA4372-BF4372</f>
        <v>0.399999999994179</v>
      </c>
      <c r="BH4372" s="19" t="str">
        <f aca="false">IF(BG4372=0,"",IF(BG4372&lt;&gt;BA4372,"erreur de calcul",IF(BD4372&lt;&gt;0,"pas de prix",IF(M4372&lt;&gt; 0,"pas de quantité","pas de prix, ni de quantité"))))</f>
        <v>erreur de calcul</v>
      </c>
      <c r="BI4372" s="19"/>
    </row>
    <row r="4373" customFormat="false" ht="15" hidden="false" customHeight="false" outlineLevel="0" collapsed="false">
      <c r="A4373" s="0" t="n">
        <v>34</v>
      </c>
      <c r="B4373" s="8" t="s">
        <v>24</v>
      </c>
      <c r="C4373" s="9" t="s">
        <v>25</v>
      </c>
      <c r="D4373" s="9" t="s">
        <v>26</v>
      </c>
      <c r="E4373" s="10" t="n">
        <v>1789</v>
      </c>
      <c r="F4373" s="9" t="s">
        <v>27</v>
      </c>
      <c r="G4373" s="9" t="s">
        <v>27</v>
      </c>
      <c r="H4373" s="11" t="n">
        <v>22</v>
      </c>
      <c r="I4373" s="11" t="s">
        <v>237</v>
      </c>
      <c r="J4373" s="14" t="n">
        <v>91</v>
      </c>
      <c r="K4373" s="14"/>
      <c r="L4373" s="16"/>
      <c r="M4373" s="27" t="n">
        <f aca="false">J4373+(K4373/20)+(L4373/240)</f>
        <v>91</v>
      </c>
      <c r="N4373" s="17" t="s">
        <v>64</v>
      </c>
      <c r="O4373" s="11"/>
      <c r="P4373" s="28"/>
      <c r="Q4373" s="28" t="n">
        <f aca="false">P4373*$M4373</f>
        <v>0</v>
      </c>
      <c r="R4373" s="28"/>
      <c r="S4373" s="28" t="n">
        <f aca="false">R4373*$M4373</f>
        <v>0</v>
      </c>
      <c r="T4373" s="28"/>
      <c r="U4373" s="28" t="n">
        <f aca="false">T4373*$M4373</f>
        <v>0</v>
      </c>
      <c r="V4373" s="28" t="n">
        <f aca="false">3384/100</f>
        <v>33.84</v>
      </c>
      <c r="W4373" s="28" t="n">
        <v>3079</v>
      </c>
      <c r="X4373" s="28" t="n">
        <f aca="false">18105/100</f>
        <v>181.05</v>
      </c>
      <c r="Y4373" s="28" t="n">
        <v>16475</v>
      </c>
      <c r="Z4373" s="28"/>
      <c r="AA4373" s="28" t="n">
        <f aca="false">Z4373*$M4373</f>
        <v>0</v>
      </c>
      <c r="AB4373" s="28"/>
      <c r="AC4373" s="28" t="n">
        <f aca="false">AB4373*$M4373</f>
        <v>0</v>
      </c>
      <c r="AD4373" s="28"/>
      <c r="AE4373" s="28" t="n">
        <f aca="false">AD4373*$M4373</f>
        <v>0</v>
      </c>
      <c r="AF4373" s="28"/>
      <c r="AG4373" s="28" t="n">
        <f aca="false">AF4373*$M4373</f>
        <v>0</v>
      </c>
      <c r="AH4373" s="28"/>
      <c r="AI4373" s="28" t="n">
        <f aca="false">AH4373*$M4373</f>
        <v>0</v>
      </c>
      <c r="AJ4373" s="28"/>
      <c r="AK4373" s="28" t="n">
        <f aca="false">AJ4373*$M4373</f>
        <v>0</v>
      </c>
      <c r="AL4373" s="28"/>
      <c r="AM4373" s="28" t="n">
        <f aca="false">AL4373*$M4373</f>
        <v>0</v>
      </c>
      <c r="AN4373" s="28"/>
      <c r="AO4373" s="28" t="n">
        <f aca="false">AN4373*$M4373</f>
        <v>0</v>
      </c>
      <c r="AP4373" s="28"/>
      <c r="AQ4373" s="28" t="n">
        <f aca="false">AP4373*$M4373</f>
        <v>0</v>
      </c>
      <c r="AR4373" s="28"/>
      <c r="AS4373" s="28" t="n">
        <f aca="false">AR4373*$M4373</f>
        <v>0</v>
      </c>
      <c r="AT4373" s="28"/>
      <c r="AU4373" s="28" t="n">
        <f aca="false">AT4373*$M4373</f>
        <v>0</v>
      </c>
      <c r="AV4373" s="28"/>
      <c r="AW4373" s="28" t="n">
        <f aca="false">AV4373*$M4373</f>
        <v>0</v>
      </c>
      <c r="AX4373" s="28"/>
      <c r="AY4373" s="28" t="n">
        <f aca="false">AX4373*$M4373</f>
        <v>0</v>
      </c>
      <c r="AZ4373" s="30" t="n">
        <f aca="false">21489/100</f>
        <v>214.89</v>
      </c>
      <c r="BA4373" s="11" t="n">
        <v>19554</v>
      </c>
      <c r="BB4373" s="31" t="n">
        <f aca="false">SUM(Q4373,S4373,U4373,W4373,Y4373,AA4373,AC4373,AE4373,AG4373,AI4373,AK4373,AM4373,AO4373,AQ4373,AS4373,AU4373,AW4373,AY4373)</f>
        <v>19554</v>
      </c>
      <c r="BC4373" s="28" t="n">
        <f aca="false">BA4373-BB4373</f>
        <v>0</v>
      </c>
      <c r="BD4373" s="32" t="n">
        <f aca="false">SUM(P4373,R4373,T4373,V4373,X4373,Z4373,AB4373,AD4373,AF4373,AH4373,AJ4373,AL4373,AN4373,AP4373,AR4373,AT4373,AV4373,AX4373)</f>
        <v>214.89</v>
      </c>
      <c r="BE4373" s="33" t="n">
        <f aca="false">AZ4373-BD4373</f>
        <v>0</v>
      </c>
      <c r="BF4373" s="34" t="n">
        <f aca="false">BD4373*M4373</f>
        <v>19554.99</v>
      </c>
      <c r="BG4373" s="35" t="n">
        <f aca="false">BA4373-BF4373</f>
        <v>-0.990000000001601</v>
      </c>
      <c r="BH4373" s="19" t="str">
        <f aca="false">IF(BG4373=0,"",IF(BG4373&lt;&gt;BA4373,"erreur de calcul",IF(BD4373&lt;&gt;0,"pas de prix",IF(M4373&lt;&gt; 0,"pas de quantité","pas de prix, ni de quantité"))))</f>
        <v>erreur de calcul</v>
      </c>
      <c r="BI4373" s="19"/>
    </row>
    <row r="4374" customFormat="false" ht="15" hidden="false" customHeight="false" outlineLevel="0" collapsed="false">
      <c r="A4374" s="0" t="n">
        <v>35</v>
      </c>
      <c r="B4374" s="8" t="s">
        <v>24</v>
      </c>
      <c r="C4374" s="9" t="s">
        <v>25</v>
      </c>
      <c r="D4374" s="9" t="s">
        <v>26</v>
      </c>
      <c r="E4374" s="10" t="n">
        <v>1789</v>
      </c>
      <c r="F4374" s="9" t="s">
        <v>27</v>
      </c>
      <c r="G4374" s="9" t="s">
        <v>27</v>
      </c>
      <c r="H4374" s="11" t="n">
        <v>22</v>
      </c>
      <c r="I4374" s="11" t="s">
        <v>238</v>
      </c>
      <c r="J4374" s="14" t="n">
        <v>40</v>
      </c>
      <c r="K4374" s="14"/>
      <c r="L4374" s="16"/>
      <c r="M4374" s="27" t="n">
        <f aca="false">J4374+(K4374/20)+(L4374/240)</f>
        <v>40</v>
      </c>
      <c r="N4374" s="17" t="s">
        <v>66</v>
      </c>
      <c r="O4374" s="11"/>
      <c r="P4374" s="28" t="n">
        <v>150</v>
      </c>
      <c r="Q4374" s="28" t="n">
        <v>6000</v>
      </c>
      <c r="R4374" s="28"/>
      <c r="S4374" s="28" t="n">
        <f aca="false">R4374*$M4374</f>
        <v>0</v>
      </c>
      <c r="T4374" s="28" t="n">
        <v>467</v>
      </c>
      <c r="U4374" s="28" t="n">
        <v>18680</v>
      </c>
      <c r="V4374" s="28" t="n">
        <v>1124</v>
      </c>
      <c r="W4374" s="28" t="n">
        <v>44960</v>
      </c>
      <c r="X4374" s="28" t="n">
        <v>591</v>
      </c>
      <c r="Y4374" s="28" t="n">
        <v>23640</v>
      </c>
      <c r="Z4374" s="28"/>
      <c r="AA4374" s="28" t="n">
        <f aca="false">Z4374*$M4374</f>
        <v>0</v>
      </c>
      <c r="AB4374" s="28" t="n">
        <v>554</v>
      </c>
      <c r="AC4374" s="28" t="n">
        <v>22160</v>
      </c>
      <c r="AD4374" s="28"/>
      <c r="AE4374" s="28" t="n">
        <f aca="false">AD4374*$M4374</f>
        <v>0</v>
      </c>
      <c r="AF4374" s="28"/>
      <c r="AG4374" s="28" t="n">
        <f aca="false">AF4374*$M4374</f>
        <v>0</v>
      </c>
      <c r="AH4374" s="28" t="n">
        <v>1109</v>
      </c>
      <c r="AI4374" s="28" t="n">
        <v>44360</v>
      </c>
      <c r="AJ4374" s="28"/>
      <c r="AK4374" s="28" t="n">
        <f aca="false">AJ4374*$M4374</f>
        <v>0</v>
      </c>
      <c r="AL4374" s="28"/>
      <c r="AM4374" s="28" t="n">
        <f aca="false">AL4374*$M4374</f>
        <v>0</v>
      </c>
      <c r="AN4374" s="28"/>
      <c r="AO4374" s="28" t="n">
        <f aca="false">AN4374*$M4374</f>
        <v>0</v>
      </c>
      <c r="AP4374" s="28"/>
      <c r="AQ4374" s="28" t="n">
        <f aca="false">AP4374*$M4374</f>
        <v>0</v>
      </c>
      <c r="AR4374" s="28"/>
      <c r="AS4374" s="28" t="n">
        <f aca="false">AR4374*$M4374</f>
        <v>0</v>
      </c>
      <c r="AT4374" s="28"/>
      <c r="AU4374" s="28" t="n">
        <f aca="false">AT4374*$M4374</f>
        <v>0</v>
      </c>
      <c r="AV4374" s="28"/>
      <c r="AW4374" s="28" t="n">
        <f aca="false">AV4374*$M4374</f>
        <v>0</v>
      </c>
      <c r="AX4374" s="28"/>
      <c r="AY4374" s="28" t="n">
        <f aca="false">AX4374*$M4374</f>
        <v>0</v>
      </c>
      <c r="AZ4374" s="30" t="n">
        <v>3995</v>
      </c>
      <c r="BA4374" s="11" t="n">
        <v>159800</v>
      </c>
      <c r="BB4374" s="31" t="n">
        <f aca="false">SUM(Q4374,S4374,U4374,W4374,Y4374,AA4374,AC4374,AE4374,AG4374,AI4374,AK4374,AM4374,AO4374,AQ4374,AS4374,AU4374,AW4374,AY4374)</f>
        <v>159800</v>
      </c>
      <c r="BC4374" s="28" t="n">
        <f aca="false">BA4374-BB4374</f>
        <v>0</v>
      </c>
      <c r="BD4374" s="32" t="n">
        <f aca="false">SUM(P4374,R4374,T4374,V4374,X4374,Z4374,AB4374,AD4374,AF4374,AH4374,AJ4374,AL4374,AN4374,AP4374,AR4374,AT4374,AV4374,AX4374)</f>
        <v>3995</v>
      </c>
      <c r="BE4374" s="33" t="n">
        <f aca="false">AZ4374-BD4374</f>
        <v>0</v>
      </c>
      <c r="BF4374" s="34" t="n">
        <f aca="false">BD4374*M4374</f>
        <v>159800</v>
      </c>
      <c r="BG4374" s="35" t="n">
        <f aca="false">BA4374-BF4374</f>
        <v>0</v>
      </c>
      <c r="BH4374" s="19" t="str">
        <f aca="false">IF(BG4374=0,"",IF(BG4374&lt;&gt;BA4374,"erreur de calcul",IF(BD4374&lt;&gt;0,"pas de prix",IF(M4374&lt;&gt; 0,"pas de quantité","pas de prix, ni de quantité"))))</f>
        <v/>
      </c>
      <c r="BI4374" s="19"/>
    </row>
    <row r="4375" customFormat="false" ht="15" hidden="false" customHeight="false" outlineLevel="0" collapsed="false">
      <c r="A4375" s="0" t="n">
        <v>36</v>
      </c>
      <c r="B4375" s="8" t="s">
        <v>24</v>
      </c>
      <c r="C4375" s="9" t="s">
        <v>25</v>
      </c>
      <c r="D4375" s="9" t="s">
        <v>26</v>
      </c>
      <c r="E4375" s="10" t="n">
        <v>1789</v>
      </c>
      <c r="F4375" s="9" t="s">
        <v>27</v>
      </c>
      <c r="G4375" s="9" t="s">
        <v>27</v>
      </c>
      <c r="H4375" s="11" t="n">
        <v>22</v>
      </c>
      <c r="I4375" s="11" t="s">
        <v>239</v>
      </c>
      <c r="J4375" s="14" t="n">
        <v>48</v>
      </c>
      <c r="K4375" s="14"/>
      <c r="L4375" s="16"/>
      <c r="M4375" s="27" t="n">
        <f aca="false">J4375+(K4375/20)+(L4375/240)</f>
        <v>48</v>
      </c>
      <c r="N4375" s="17" t="s">
        <v>66</v>
      </c>
      <c r="O4375" s="11"/>
      <c r="P4375" s="28"/>
      <c r="Q4375" s="28" t="n">
        <f aca="false">P4375*$M4375</f>
        <v>0</v>
      </c>
      <c r="R4375" s="28"/>
      <c r="S4375" s="28" t="n">
        <f aca="false">R4375*$M4375</f>
        <v>0</v>
      </c>
      <c r="T4375" s="28" t="n">
        <v>690</v>
      </c>
      <c r="U4375" s="28" t="n">
        <v>33120</v>
      </c>
      <c r="V4375" s="28" t="n">
        <v>3577</v>
      </c>
      <c r="W4375" s="28" t="n">
        <v>171696</v>
      </c>
      <c r="X4375" s="28"/>
      <c r="Y4375" s="28" t="n">
        <f aca="false">X4375*$M4375</f>
        <v>0</v>
      </c>
      <c r="Z4375" s="28"/>
      <c r="AA4375" s="28" t="n">
        <f aca="false">Z4375*$M4375</f>
        <v>0</v>
      </c>
      <c r="AB4375" s="28"/>
      <c r="AC4375" s="28" t="n">
        <f aca="false">AB4375*$M4375</f>
        <v>0</v>
      </c>
      <c r="AD4375" s="28"/>
      <c r="AE4375" s="28" t="n">
        <f aca="false">AD4375*$M4375</f>
        <v>0</v>
      </c>
      <c r="AF4375" s="28"/>
      <c r="AG4375" s="28" t="n">
        <f aca="false">AF4375*$M4375</f>
        <v>0</v>
      </c>
      <c r="AH4375" s="28"/>
      <c r="AI4375" s="28" t="n">
        <f aca="false">AH4375*$M4375</f>
        <v>0</v>
      </c>
      <c r="AJ4375" s="28"/>
      <c r="AK4375" s="28" t="n">
        <f aca="false">AJ4375*$M4375</f>
        <v>0</v>
      </c>
      <c r="AL4375" s="28"/>
      <c r="AM4375" s="28" t="n">
        <f aca="false">AL4375*$M4375</f>
        <v>0</v>
      </c>
      <c r="AN4375" s="28"/>
      <c r="AO4375" s="28" t="n">
        <f aca="false">AN4375*$M4375</f>
        <v>0</v>
      </c>
      <c r="AP4375" s="28"/>
      <c r="AQ4375" s="28" t="n">
        <f aca="false">AP4375*$M4375</f>
        <v>0</v>
      </c>
      <c r="AR4375" s="28"/>
      <c r="AS4375" s="28" t="n">
        <f aca="false">AR4375*$M4375</f>
        <v>0</v>
      </c>
      <c r="AT4375" s="28"/>
      <c r="AU4375" s="28" t="n">
        <f aca="false">AT4375*$M4375</f>
        <v>0</v>
      </c>
      <c r="AV4375" s="28"/>
      <c r="AW4375" s="28" t="n">
        <f aca="false">AV4375*$M4375</f>
        <v>0</v>
      </c>
      <c r="AX4375" s="28"/>
      <c r="AY4375" s="28" t="n">
        <f aca="false">AX4375*$M4375</f>
        <v>0</v>
      </c>
      <c r="AZ4375" s="30" t="n">
        <v>4267</v>
      </c>
      <c r="BA4375" s="11" t="n">
        <v>204816</v>
      </c>
      <c r="BB4375" s="31" t="n">
        <f aca="false">SUM(Q4375,S4375,U4375,W4375,Y4375,AA4375,AC4375,AE4375,AG4375,AI4375,AK4375,AM4375,AO4375,AQ4375,AS4375,AU4375,AW4375,AY4375)</f>
        <v>204816</v>
      </c>
      <c r="BC4375" s="28" t="n">
        <f aca="false">BA4375-BB4375</f>
        <v>0</v>
      </c>
      <c r="BD4375" s="32" t="n">
        <f aca="false">SUM(P4375,R4375,T4375,V4375,X4375,Z4375,AB4375,AD4375,AF4375,AH4375,AJ4375,AL4375,AN4375,AP4375,AR4375,AT4375,AV4375,AX4375)</f>
        <v>4267</v>
      </c>
      <c r="BE4375" s="33" t="n">
        <f aca="false">AZ4375-BD4375</f>
        <v>0</v>
      </c>
      <c r="BF4375" s="34" t="n">
        <f aca="false">BD4375*M4375</f>
        <v>204816</v>
      </c>
      <c r="BG4375" s="35" t="n">
        <f aca="false">BA4375-BF4375</f>
        <v>0</v>
      </c>
      <c r="BH4375" s="19" t="str">
        <f aca="false">IF(BG4375=0,"",IF(BG4375&lt;&gt;BA4375,"erreur de calcul",IF(BD4375&lt;&gt;0,"pas de prix",IF(M4375&lt;&gt; 0,"pas de quantité","pas de prix, ni de quantité"))))</f>
        <v/>
      </c>
      <c r="BI4375" s="19"/>
    </row>
    <row r="4376" customFormat="false" ht="15" hidden="false" customHeight="false" outlineLevel="0" collapsed="false">
      <c r="A4376" s="0" t="n">
        <v>37</v>
      </c>
      <c r="B4376" s="8" t="s">
        <v>24</v>
      </c>
      <c r="C4376" s="9" t="s">
        <v>25</v>
      </c>
      <c r="D4376" s="9" t="s">
        <v>26</v>
      </c>
      <c r="E4376" s="10" t="n">
        <v>1789</v>
      </c>
      <c r="F4376" s="9" t="s">
        <v>27</v>
      </c>
      <c r="G4376" s="9" t="s">
        <v>27</v>
      </c>
      <c r="H4376" s="11" t="n">
        <v>22</v>
      </c>
      <c r="I4376" s="11" t="s">
        <v>240</v>
      </c>
      <c r="J4376" s="14" t="n">
        <v>30</v>
      </c>
      <c r="K4376" s="14"/>
      <c r="L4376" s="16"/>
      <c r="M4376" s="27" t="n">
        <f aca="false">J4376+(K4376/20)+(L4376/240)</f>
        <v>30</v>
      </c>
      <c r="N4376" s="17" t="s">
        <v>66</v>
      </c>
      <c r="O4376" s="11"/>
      <c r="P4376" s="28"/>
      <c r="Q4376" s="28" t="n">
        <f aca="false">P4376*$M4376</f>
        <v>0</v>
      </c>
      <c r="R4376" s="28"/>
      <c r="S4376" s="28" t="n">
        <f aca="false">R4376*$M4376</f>
        <v>0</v>
      </c>
      <c r="T4376" s="28"/>
      <c r="U4376" s="28" t="n">
        <f aca="false">T4376*$M4376</f>
        <v>0</v>
      </c>
      <c r="V4376" s="28"/>
      <c r="W4376" s="28" t="n">
        <f aca="false">V4376*$M4376</f>
        <v>0</v>
      </c>
      <c r="X4376" s="28"/>
      <c r="Y4376" s="28" t="n">
        <f aca="false">X4376*$M4376</f>
        <v>0</v>
      </c>
      <c r="Z4376" s="28"/>
      <c r="AA4376" s="28" t="n">
        <f aca="false">Z4376*$M4376</f>
        <v>0</v>
      </c>
      <c r="AB4376" s="28"/>
      <c r="AC4376" s="28" t="n">
        <f aca="false">AB4376*$M4376</f>
        <v>0</v>
      </c>
      <c r="AD4376" s="28"/>
      <c r="AE4376" s="28" t="n">
        <f aca="false">AD4376*$M4376</f>
        <v>0</v>
      </c>
      <c r="AF4376" s="28"/>
      <c r="AG4376" s="28" t="n">
        <f aca="false">AF4376*$M4376</f>
        <v>0</v>
      </c>
      <c r="AH4376" s="28" t="n">
        <v>4770</v>
      </c>
      <c r="AI4376" s="28" t="n">
        <v>143100</v>
      </c>
      <c r="AJ4376" s="28"/>
      <c r="AK4376" s="28" t="n">
        <f aca="false">AJ4376*$M4376</f>
        <v>0</v>
      </c>
      <c r="AL4376" s="28"/>
      <c r="AM4376" s="28" t="n">
        <f aca="false">AL4376*$M4376</f>
        <v>0</v>
      </c>
      <c r="AN4376" s="28"/>
      <c r="AO4376" s="28" t="n">
        <f aca="false">AN4376*$M4376</f>
        <v>0</v>
      </c>
      <c r="AP4376" s="28"/>
      <c r="AQ4376" s="28" t="n">
        <f aca="false">AP4376*$M4376</f>
        <v>0</v>
      </c>
      <c r="AR4376" s="28"/>
      <c r="AS4376" s="28" t="n">
        <f aca="false">AR4376*$M4376</f>
        <v>0</v>
      </c>
      <c r="AT4376" s="28"/>
      <c r="AU4376" s="28" t="n">
        <f aca="false">AT4376*$M4376</f>
        <v>0</v>
      </c>
      <c r="AV4376" s="28"/>
      <c r="AW4376" s="28" t="n">
        <f aca="false">AV4376*$M4376</f>
        <v>0</v>
      </c>
      <c r="AX4376" s="28"/>
      <c r="AY4376" s="28" t="n">
        <f aca="false">AX4376*$M4376</f>
        <v>0</v>
      </c>
      <c r="AZ4376" s="30" t="n">
        <v>4770</v>
      </c>
      <c r="BA4376" s="11" t="n">
        <v>143100</v>
      </c>
      <c r="BB4376" s="31" t="n">
        <f aca="false">SUM(Q4376,S4376,U4376,W4376,Y4376,AA4376,AC4376,AE4376,AG4376,AI4376,AK4376,AM4376,AO4376,AQ4376,AS4376,AU4376,AW4376,AY4376)</f>
        <v>143100</v>
      </c>
      <c r="BC4376" s="28" t="n">
        <f aca="false">BA4376-BB4376</f>
        <v>0</v>
      </c>
      <c r="BD4376" s="32" t="n">
        <f aca="false">SUM(P4376,R4376,T4376,V4376,X4376,Z4376,AB4376,AD4376,AF4376,AH4376,AJ4376,AL4376,AN4376,AP4376,AR4376,AT4376,AV4376,AX4376)</f>
        <v>4770</v>
      </c>
      <c r="BE4376" s="33" t="n">
        <f aca="false">AZ4376-BD4376</f>
        <v>0</v>
      </c>
      <c r="BF4376" s="34" t="n">
        <f aca="false">BD4376*M4376</f>
        <v>143100</v>
      </c>
      <c r="BG4376" s="35" t="n">
        <f aca="false">BA4376-BF4376</f>
        <v>0</v>
      </c>
      <c r="BH4376" s="19" t="str">
        <f aca="false">IF(BG4376=0,"",IF(BG4376&lt;&gt;BA4376,"erreur de calcul",IF(BD4376&lt;&gt;0,"pas de prix",IF(M4376&lt;&gt; 0,"pas de quantité","pas de prix, ni de quantité"))))</f>
        <v/>
      </c>
      <c r="BI4376" s="19"/>
    </row>
    <row r="4377" customFormat="false" ht="15" hidden="false" customHeight="false" outlineLevel="0" collapsed="false">
      <c r="A4377" s="0" t="n">
        <v>38</v>
      </c>
      <c r="B4377" s="8" t="s">
        <v>24</v>
      </c>
      <c r="C4377" s="9" t="s">
        <v>25</v>
      </c>
      <c r="D4377" s="9" t="s">
        <v>26</v>
      </c>
      <c r="E4377" s="10" t="n">
        <v>1789</v>
      </c>
      <c r="F4377" s="9" t="s">
        <v>27</v>
      </c>
      <c r="G4377" s="9" t="s">
        <v>27</v>
      </c>
      <c r="H4377" s="11" t="n">
        <v>22</v>
      </c>
      <c r="I4377" s="11" t="s">
        <v>241</v>
      </c>
      <c r="J4377" s="14" t="n">
        <v>24</v>
      </c>
      <c r="K4377" s="14"/>
      <c r="L4377" s="16"/>
      <c r="M4377" s="27" t="n">
        <f aca="false">J4377+(K4377/20)+(L4377/240)</f>
        <v>24</v>
      </c>
      <c r="N4377" s="17" t="s">
        <v>64</v>
      </c>
      <c r="O4377" s="11"/>
      <c r="P4377" s="28" t="n">
        <f aca="false">188958/100</f>
        <v>1889.58</v>
      </c>
      <c r="Q4377" s="28" t="n">
        <v>45350</v>
      </c>
      <c r="R4377" s="28"/>
      <c r="S4377" s="28" t="n">
        <f aca="false">R4377*$M4377</f>
        <v>0</v>
      </c>
      <c r="T4377" s="28"/>
      <c r="U4377" s="28" t="n">
        <f aca="false">T4377*$M4377</f>
        <v>0</v>
      </c>
      <c r="V4377" s="28" t="n">
        <f aca="false">10567/100</f>
        <v>105.67</v>
      </c>
      <c r="W4377" s="28" t="n">
        <v>2536</v>
      </c>
      <c r="X4377" s="28" t="n">
        <f aca="false">9467/100</f>
        <v>94.67</v>
      </c>
      <c r="Y4377" s="28" t="n">
        <v>2272</v>
      </c>
      <c r="Z4377" s="28"/>
      <c r="AA4377" s="28" t="n">
        <f aca="false">Z4377*$M4377</f>
        <v>0</v>
      </c>
      <c r="AB4377" s="28"/>
      <c r="AC4377" s="28" t="n">
        <f aca="false">AB4377*$M4377</f>
        <v>0</v>
      </c>
      <c r="AD4377" s="28"/>
      <c r="AE4377" s="28" t="n">
        <f aca="false">AD4377*$M4377</f>
        <v>0</v>
      </c>
      <c r="AF4377" s="28"/>
      <c r="AG4377" s="28" t="n">
        <f aca="false">AF4377*$M4377</f>
        <v>0</v>
      </c>
      <c r="AH4377" s="28"/>
      <c r="AI4377" s="28" t="n">
        <f aca="false">AH4377*$M4377</f>
        <v>0</v>
      </c>
      <c r="AJ4377" s="28"/>
      <c r="AK4377" s="28" t="n">
        <f aca="false">AJ4377*$M4377</f>
        <v>0</v>
      </c>
      <c r="AL4377" s="28"/>
      <c r="AM4377" s="28" t="n">
        <f aca="false">AL4377*$M4377</f>
        <v>0</v>
      </c>
      <c r="AN4377" s="28"/>
      <c r="AO4377" s="28" t="n">
        <f aca="false">AN4377*$M4377</f>
        <v>0</v>
      </c>
      <c r="AP4377" s="28"/>
      <c r="AQ4377" s="28" t="n">
        <f aca="false">AP4377*$M4377</f>
        <v>0</v>
      </c>
      <c r="AR4377" s="28"/>
      <c r="AS4377" s="28" t="n">
        <f aca="false">AR4377*$M4377</f>
        <v>0</v>
      </c>
      <c r="AT4377" s="28"/>
      <c r="AU4377" s="28" t="n">
        <f aca="false">AT4377*$M4377</f>
        <v>0</v>
      </c>
      <c r="AV4377" s="28"/>
      <c r="AW4377" s="28" t="n">
        <f aca="false">AV4377*$M4377</f>
        <v>0</v>
      </c>
      <c r="AX4377" s="28" t="n">
        <f aca="false">328659/100</f>
        <v>3286.59</v>
      </c>
      <c r="AY4377" s="28" t="n">
        <v>78878</v>
      </c>
      <c r="AZ4377" s="30" t="n">
        <f aca="false">537651/100</f>
        <v>5376.51</v>
      </c>
      <c r="BA4377" s="11" t="n">
        <v>129036</v>
      </c>
      <c r="BB4377" s="31" t="n">
        <f aca="false">SUM(Q4377,S4377,U4377,W4377,Y4377,AA4377,AC4377,AE4377,AG4377,AI4377,AK4377,AM4377,AO4377,AQ4377,AS4377,AU4377,AW4377,AY4377)</f>
        <v>129036</v>
      </c>
      <c r="BC4377" s="28" t="n">
        <f aca="false">BA4377-BB4377</f>
        <v>0</v>
      </c>
      <c r="BD4377" s="32" t="n">
        <f aca="false">SUM(P4377,R4377,T4377,V4377,X4377,Z4377,AB4377,AD4377,AF4377,AH4377,AJ4377,AL4377,AN4377,AP4377,AR4377,AT4377,AV4377,AX4377)</f>
        <v>5376.51</v>
      </c>
      <c r="BE4377" s="33" t="n">
        <f aca="false">AZ4377-BD4377</f>
        <v>0</v>
      </c>
      <c r="BF4377" s="34" t="n">
        <f aca="false">BD4377*M4377</f>
        <v>129036.24</v>
      </c>
      <c r="BG4377" s="35" t="n">
        <f aca="false">BA4377-BF4377</f>
        <v>-0.240000000005239</v>
      </c>
      <c r="BH4377" s="19" t="str">
        <f aca="false">IF(BG4377=0,"",IF(BG4377&lt;&gt;BA4377,"erreur de calcul",IF(BD4377&lt;&gt;0,"pas de prix",IF(M4377&lt;&gt; 0,"pas de quantité","pas de prix, ni de quantité"))))</f>
        <v>erreur de calcul</v>
      </c>
      <c r="BI4377" s="19"/>
    </row>
    <row r="4378" customFormat="false" ht="15" hidden="false" customHeight="false" outlineLevel="0" collapsed="false">
      <c r="A4378" s="0" t="n">
        <v>39</v>
      </c>
      <c r="B4378" s="8" t="s">
        <v>24</v>
      </c>
      <c r="C4378" s="9" t="s">
        <v>25</v>
      </c>
      <c r="D4378" s="9" t="s">
        <v>26</v>
      </c>
      <c r="E4378" s="10" t="n">
        <v>1789</v>
      </c>
      <c r="F4378" s="9" t="s">
        <v>27</v>
      </c>
      <c r="G4378" s="9" t="s">
        <v>27</v>
      </c>
      <c r="H4378" s="11" t="n">
        <v>22</v>
      </c>
      <c r="I4378" s="11" t="s">
        <v>242</v>
      </c>
      <c r="J4378" s="14" t="n">
        <v>41</v>
      </c>
      <c r="K4378" s="14"/>
      <c r="L4378" s="16"/>
      <c r="M4378" s="27" t="n">
        <f aca="false">J4378+(K4378/20)+(L4378/240)</f>
        <v>41</v>
      </c>
      <c r="N4378" s="17" t="s">
        <v>64</v>
      </c>
      <c r="O4378" s="11"/>
      <c r="P4378" s="28"/>
      <c r="Q4378" s="28" t="n">
        <f aca="false">P4378*$M4378</f>
        <v>0</v>
      </c>
      <c r="R4378" s="28"/>
      <c r="S4378" s="28" t="n">
        <f aca="false">R4378*$M4378</f>
        <v>0</v>
      </c>
      <c r="T4378" s="28" t="n">
        <f aca="false">441/100</f>
        <v>4.41</v>
      </c>
      <c r="U4378" s="28" t="n">
        <v>181</v>
      </c>
      <c r="V4378" s="28"/>
      <c r="W4378" s="28" t="n">
        <f aca="false">V4378*$M4378</f>
        <v>0</v>
      </c>
      <c r="X4378" s="28"/>
      <c r="Y4378" s="28" t="n">
        <f aca="false">X4378*$M4378</f>
        <v>0</v>
      </c>
      <c r="Z4378" s="28"/>
      <c r="AA4378" s="28" t="n">
        <f aca="false">Z4378*$M4378</f>
        <v>0</v>
      </c>
      <c r="AB4378" s="28"/>
      <c r="AC4378" s="28" t="n">
        <f aca="false">AB4378*$M4378</f>
        <v>0</v>
      </c>
      <c r="AD4378" s="28"/>
      <c r="AE4378" s="28" t="n">
        <f aca="false">AD4378*$M4378</f>
        <v>0</v>
      </c>
      <c r="AF4378" s="28"/>
      <c r="AG4378" s="28" t="n">
        <f aca="false">AF4378*$M4378</f>
        <v>0</v>
      </c>
      <c r="AH4378" s="28"/>
      <c r="AI4378" s="28" t="n">
        <f aca="false">AH4378*$M4378</f>
        <v>0</v>
      </c>
      <c r="AJ4378" s="28"/>
      <c r="AK4378" s="28" t="n">
        <f aca="false">AJ4378*$M4378</f>
        <v>0</v>
      </c>
      <c r="AL4378" s="28"/>
      <c r="AM4378" s="28" t="n">
        <f aca="false">AL4378*$M4378</f>
        <v>0</v>
      </c>
      <c r="AN4378" s="28"/>
      <c r="AO4378" s="28" t="n">
        <f aca="false">AN4378*$M4378</f>
        <v>0</v>
      </c>
      <c r="AP4378" s="28"/>
      <c r="AQ4378" s="28" t="n">
        <f aca="false">AP4378*$M4378</f>
        <v>0</v>
      </c>
      <c r="AR4378" s="28"/>
      <c r="AS4378" s="28" t="n">
        <f aca="false">AR4378*$M4378</f>
        <v>0</v>
      </c>
      <c r="AT4378" s="28"/>
      <c r="AU4378" s="28" t="n">
        <f aca="false">AT4378*$M4378</f>
        <v>0</v>
      </c>
      <c r="AV4378" s="28"/>
      <c r="AW4378" s="28" t="n">
        <f aca="false">AV4378*$M4378</f>
        <v>0</v>
      </c>
      <c r="AX4378" s="28"/>
      <c r="AY4378" s="28" t="n">
        <f aca="false">AX4378*$M4378</f>
        <v>0</v>
      </c>
      <c r="AZ4378" s="30" t="n">
        <f aca="false">441/100</f>
        <v>4.41</v>
      </c>
      <c r="BA4378" s="11" t="n">
        <v>181</v>
      </c>
      <c r="BB4378" s="31" t="n">
        <f aca="false">SUM(Q4378,S4378,U4378,W4378,Y4378,AA4378,AC4378,AE4378,AG4378,AI4378,AK4378,AM4378,AO4378,AQ4378,AS4378,AU4378,AW4378,AY4378)</f>
        <v>181</v>
      </c>
      <c r="BC4378" s="28" t="n">
        <f aca="false">BA4378-BB4378</f>
        <v>0</v>
      </c>
      <c r="BD4378" s="32" t="n">
        <f aca="false">SUM(P4378,R4378,T4378,V4378,X4378,Z4378,AB4378,AD4378,AF4378,AH4378,AJ4378,AL4378,AN4378,AP4378,AR4378,AT4378,AV4378,AX4378)</f>
        <v>4.41</v>
      </c>
      <c r="BE4378" s="33" t="n">
        <f aca="false">AZ4378-BD4378</f>
        <v>0</v>
      </c>
      <c r="BF4378" s="34" t="n">
        <f aca="false">BD4378*M4378</f>
        <v>180.81</v>
      </c>
      <c r="BG4378" s="35" t="n">
        <f aca="false">BA4378-BF4378</f>
        <v>0.189999999999998</v>
      </c>
      <c r="BH4378" s="19" t="str">
        <f aca="false">IF(BG4378=0,"",IF(BG4378&lt;&gt;BA4378,"erreur de calcul",IF(BD4378&lt;&gt;0,"pas de prix",IF(M4378&lt;&gt; 0,"pas de quantité","pas de prix, ni de quantité"))))</f>
        <v>erreur de calcul</v>
      </c>
      <c r="BI4378" s="19"/>
    </row>
    <row r="4379" customFormat="false" ht="15" hidden="false" customHeight="false" outlineLevel="0" collapsed="false">
      <c r="A4379" s="0" t="n">
        <v>1</v>
      </c>
      <c r="B4379" s="8" t="s">
        <v>24</v>
      </c>
      <c r="C4379" s="9" t="s">
        <v>25</v>
      </c>
      <c r="D4379" s="9" t="s">
        <v>26</v>
      </c>
      <c r="E4379" s="10" t="n">
        <v>1789</v>
      </c>
      <c r="F4379" s="9" t="s">
        <v>27</v>
      </c>
      <c r="G4379" s="9" t="s">
        <v>27</v>
      </c>
      <c r="H4379" s="11" t="n">
        <v>23</v>
      </c>
      <c r="I4379" s="11" t="s">
        <v>243</v>
      </c>
      <c r="J4379" s="14"/>
      <c r="K4379" s="14"/>
      <c r="L4379" s="16"/>
      <c r="M4379" s="27" t="n">
        <f aca="false">J4379+(K4379/20)+(L4379/240)</f>
        <v>0</v>
      </c>
      <c r="N4379" s="17"/>
      <c r="O4379" s="11"/>
      <c r="P4379" s="28"/>
      <c r="Q4379" s="28" t="n">
        <f aca="false">P4379*$M4379</f>
        <v>0</v>
      </c>
      <c r="R4379" s="28"/>
      <c r="S4379" s="28" t="n">
        <f aca="false">R4379*$M4379</f>
        <v>0</v>
      </c>
      <c r="T4379" s="28"/>
      <c r="U4379" s="28" t="n">
        <f aca="false">T4379*$M4379</f>
        <v>0</v>
      </c>
      <c r="V4379" s="28"/>
      <c r="W4379" s="28" t="n">
        <v>100</v>
      </c>
      <c r="X4379" s="28"/>
      <c r="Y4379" s="28" t="n">
        <v>563</v>
      </c>
      <c r="Z4379" s="28"/>
      <c r="AA4379" s="28" t="n">
        <f aca="false">Z4379*$M4379</f>
        <v>0</v>
      </c>
      <c r="AB4379" s="28"/>
      <c r="AC4379" s="28" t="n">
        <f aca="false">AB4379*$M4379</f>
        <v>0</v>
      </c>
      <c r="AD4379" s="28"/>
      <c r="AE4379" s="28" t="n">
        <f aca="false">AD4379*$M4379</f>
        <v>0</v>
      </c>
      <c r="AF4379" s="28"/>
      <c r="AG4379" s="28" t="n">
        <f aca="false">AF4379*$M4379</f>
        <v>0</v>
      </c>
      <c r="AH4379" s="28"/>
      <c r="AI4379" s="28" t="n">
        <f aca="false">AH4379*$M4379</f>
        <v>0</v>
      </c>
      <c r="AJ4379" s="28"/>
      <c r="AK4379" s="28" t="n">
        <v>1015</v>
      </c>
      <c r="AL4379" s="28"/>
      <c r="AM4379" s="28" t="n">
        <f aca="false">AL4379*$M4379</f>
        <v>0</v>
      </c>
      <c r="AN4379" s="28"/>
      <c r="AO4379" s="28" t="n">
        <f aca="false">AN4379*$M4379</f>
        <v>0</v>
      </c>
      <c r="AP4379" s="28"/>
      <c r="AQ4379" s="28" t="n">
        <f aca="false">AP4379*$M4379</f>
        <v>0</v>
      </c>
      <c r="AR4379" s="28"/>
      <c r="AS4379" s="28" t="n">
        <f aca="false">AR4379*$M4379</f>
        <v>0</v>
      </c>
      <c r="AT4379" s="28"/>
      <c r="AU4379" s="28" t="n">
        <f aca="false">AT4379*$M4379</f>
        <v>0</v>
      </c>
      <c r="AV4379" s="28"/>
      <c r="AW4379" s="28" t="n">
        <f aca="false">AV4379*$M4379</f>
        <v>0</v>
      </c>
      <c r="AX4379" s="28"/>
      <c r="AY4379" s="28" t="n">
        <f aca="false">AX4379*$M4379</f>
        <v>0</v>
      </c>
      <c r="AZ4379" s="30"/>
      <c r="BA4379" s="11" t="n">
        <v>1678</v>
      </c>
      <c r="BB4379" s="31" t="n">
        <f aca="false">SUM(Q4379,S4379,U4379,W4379,Y4379,AA4379,AC4379,AE4379,AG4379,AI4379,AK4379,AM4379,AO4379,AQ4379,AS4379,AU4379,AW4379,AY4379)</f>
        <v>1678</v>
      </c>
      <c r="BC4379" s="28" t="n">
        <f aca="false">BA4379-BB4379</f>
        <v>0</v>
      </c>
      <c r="BD4379" s="32" t="n">
        <f aca="false">SUM(P4379,R4379,T4379,V4379,X4379,Z4379,AB4379,AD4379,AF4379,AH4379,AJ4379,AL4379,AN4379,AP4379,AR4379,AT4379,AV4379,AX4379)</f>
        <v>0</v>
      </c>
      <c r="BE4379" s="33" t="n">
        <f aca="false">AZ4379-BD4379</f>
        <v>0</v>
      </c>
      <c r="BF4379" s="34" t="n">
        <f aca="false">BD4379*M4379</f>
        <v>0</v>
      </c>
      <c r="BG4379" s="35" t="n">
        <f aca="false">BA4379-BF4379</f>
        <v>1678</v>
      </c>
      <c r="BH4379" s="19" t="str">
        <f aca="false">IF(BG4379=0,"",IF(BG4379&lt;&gt;BA4379,"erreur de calcul",IF(BD4379&lt;&gt;0,"pas de prix",IF(M4379&lt;&gt; 0,"pas de quantité","pas de prix, ni de quantité"))))</f>
        <v>pas de prix, ni de quantité</v>
      </c>
      <c r="BI4379" s="19"/>
    </row>
    <row r="4380" customFormat="false" ht="15" hidden="false" customHeight="false" outlineLevel="0" collapsed="false">
      <c r="A4380" s="0" t="n">
        <v>2</v>
      </c>
      <c r="B4380" s="8" t="s">
        <v>24</v>
      </c>
      <c r="C4380" s="9" t="s">
        <v>25</v>
      </c>
      <c r="D4380" s="9" t="s">
        <v>26</v>
      </c>
      <c r="E4380" s="10" t="n">
        <v>1789</v>
      </c>
      <c r="F4380" s="9" t="s">
        <v>27</v>
      </c>
      <c r="G4380" s="9" t="s">
        <v>27</v>
      </c>
      <c r="H4380" s="11" t="n">
        <v>23</v>
      </c>
      <c r="I4380" s="11" t="s">
        <v>244</v>
      </c>
      <c r="J4380" s="14" t="n">
        <v>22</v>
      </c>
      <c r="K4380" s="14"/>
      <c r="L4380" s="16"/>
      <c r="M4380" s="27" t="n">
        <f aca="false">J4380+(K4380/20)+(L4380/240)</f>
        <v>22</v>
      </c>
      <c r="N4380" s="17" t="s">
        <v>64</v>
      </c>
      <c r="O4380" s="11"/>
      <c r="P4380" s="28"/>
      <c r="Q4380" s="28" t="n">
        <f aca="false">P4380*$M4380</f>
        <v>0</v>
      </c>
      <c r="R4380" s="28"/>
      <c r="S4380" s="28" t="n">
        <f aca="false">R4380*$M4380</f>
        <v>0</v>
      </c>
      <c r="T4380" s="28"/>
      <c r="U4380" s="28" t="n">
        <f aca="false">T4380*$M4380</f>
        <v>0</v>
      </c>
      <c r="V4380" s="28" t="n">
        <f aca="false">15346/100</f>
        <v>153.46</v>
      </c>
      <c r="W4380" s="28" t="n">
        <v>3376</v>
      </c>
      <c r="X4380" s="28"/>
      <c r="Y4380" s="28" t="n">
        <f aca="false">X4380*$M4380</f>
        <v>0</v>
      </c>
      <c r="Z4380" s="28"/>
      <c r="AA4380" s="28" t="n">
        <f aca="false">Z4380*$M4380</f>
        <v>0</v>
      </c>
      <c r="AB4380" s="28"/>
      <c r="AC4380" s="28" t="n">
        <f aca="false">AB4380*$M4380</f>
        <v>0</v>
      </c>
      <c r="AD4380" s="28"/>
      <c r="AE4380" s="28" t="n">
        <f aca="false">AD4380*$M4380</f>
        <v>0</v>
      </c>
      <c r="AF4380" s="28"/>
      <c r="AG4380" s="28" t="n">
        <f aca="false">AF4380*$M4380</f>
        <v>0</v>
      </c>
      <c r="AH4380" s="28"/>
      <c r="AI4380" s="28" t="n">
        <f aca="false">AH4380*$M4380</f>
        <v>0</v>
      </c>
      <c r="AJ4380" s="28" t="n">
        <f aca="false">9084/100</f>
        <v>90.84</v>
      </c>
      <c r="AK4380" s="28" t="n">
        <v>1998</v>
      </c>
      <c r="AL4380" s="28" t="n">
        <f aca="false">8917/100</f>
        <v>89.17</v>
      </c>
      <c r="AM4380" s="28" t="n">
        <v>1962</v>
      </c>
      <c r="AN4380" s="28"/>
      <c r="AO4380" s="28" t="n">
        <f aca="false">AN4380*$M4380</f>
        <v>0</v>
      </c>
      <c r="AP4380" s="28"/>
      <c r="AQ4380" s="28" t="n">
        <f aca="false">AP4380*$M4380</f>
        <v>0</v>
      </c>
      <c r="AR4380" s="28"/>
      <c r="AS4380" s="28" t="n">
        <f aca="false">AR4380*$M4380</f>
        <v>0</v>
      </c>
      <c r="AT4380" s="28"/>
      <c r="AU4380" s="28" t="n">
        <f aca="false">AT4380*$M4380</f>
        <v>0</v>
      </c>
      <c r="AV4380" s="28"/>
      <c r="AW4380" s="28" t="n">
        <f aca="false">AV4380*$M4380</f>
        <v>0</v>
      </c>
      <c r="AX4380" s="28"/>
      <c r="AY4380" s="28" t="n">
        <f aca="false">AX4380*$M4380</f>
        <v>0</v>
      </c>
      <c r="AZ4380" s="30" t="n">
        <f aca="false">3347/100</f>
        <v>33.47</v>
      </c>
      <c r="BA4380" s="11" t="n">
        <v>7336</v>
      </c>
      <c r="BB4380" s="31" t="n">
        <f aca="false">SUM(Q4380,S4380,U4380,W4380,Y4380,AA4380,AC4380,AE4380,AG4380,AI4380,AK4380,AM4380,AO4380,AQ4380,AS4380,AU4380,AW4380,AY4380)</f>
        <v>7336</v>
      </c>
      <c r="BC4380" s="28" t="n">
        <f aca="false">BA4380-BB4380</f>
        <v>0</v>
      </c>
      <c r="BD4380" s="32" t="n">
        <f aca="false">SUM(P4380,R4380,T4380,V4380,X4380,Z4380,AB4380,AD4380,AF4380,AH4380,AJ4380,AL4380,AN4380,AP4380,AR4380,AT4380,AV4380,AX4380)</f>
        <v>333.47</v>
      </c>
      <c r="BE4380" s="33" t="n">
        <f aca="false">AZ4380-BD4380</f>
        <v>-300</v>
      </c>
      <c r="BF4380" s="34" t="n">
        <f aca="false">BD4380*M4380</f>
        <v>7336.34</v>
      </c>
      <c r="BG4380" s="35" t="n">
        <f aca="false">BA4380-BF4380</f>
        <v>-0.340000000000146</v>
      </c>
      <c r="BH4380" s="19" t="str">
        <f aca="false">IF(BG4380=0,"",IF(BG4380&lt;&gt;BA4380,"erreur de calcul",IF(BD4380&lt;&gt;0,"pas de prix",IF(M4380&lt;&gt; 0,"pas de quantité","pas de prix, ni de quantité"))))</f>
        <v>erreur de calcul</v>
      </c>
      <c r="BI4380" s="19"/>
    </row>
    <row r="4381" customFormat="false" ht="15" hidden="false" customHeight="false" outlineLevel="0" collapsed="false">
      <c r="A4381" s="0" t="n">
        <v>3</v>
      </c>
      <c r="B4381" s="8" t="s">
        <v>24</v>
      </c>
      <c r="C4381" s="9" t="s">
        <v>25</v>
      </c>
      <c r="D4381" s="9" t="s">
        <v>26</v>
      </c>
      <c r="E4381" s="10" t="n">
        <v>1789</v>
      </c>
      <c r="F4381" s="9" t="s">
        <v>27</v>
      </c>
      <c r="G4381" s="9" t="s">
        <v>27</v>
      </c>
      <c r="H4381" s="11" t="n">
        <v>23</v>
      </c>
      <c r="I4381" s="11" t="s">
        <v>245</v>
      </c>
      <c r="J4381" s="14" t="n">
        <v>28</v>
      </c>
      <c r="K4381" s="14"/>
      <c r="L4381" s="16"/>
      <c r="M4381" s="27" t="n">
        <f aca="false">J4381+(K4381/20)+(L4381/240)</f>
        <v>28</v>
      </c>
      <c r="N4381" s="17" t="s">
        <v>64</v>
      </c>
      <c r="O4381" s="11"/>
      <c r="P4381" s="28"/>
      <c r="Q4381" s="28" t="n">
        <f aca="false">P4381*$M4381</f>
        <v>0</v>
      </c>
      <c r="R4381" s="28"/>
      <c r="S4381" s="28" t="n">
        <f aca="false">R4381*$M4381</f>
        <v>0</v>
      </c>
      <c r="T4381" s="28"/>
      <c r="U4381" s="28" t="n">
        <f aca="false">T4381*$M4381</f>
        <v>0</v>
      </c>
      <c r="V4381" s="28" t="n">
        <f aca="false">61654/100</f>
        <v>616.54</v>
      </c>
      <c r="W4381" s="28" t="n">
        <v>17263</v>
      </c>
      <c r="X4381" s="28"/>
      <c r="Y4381" s="28" t="n">
        <f aca="false">X4381*$M4381</f>
        <v>0</v>
      </c>
      <c r="Z4381" s="28"/>
      <c r="AA4381" s="28" t="n">
        <f aca="false">Z4381*$M4381</f>
        <v>0</v>
      </c>
      <c r="AB4381" s="28"/>
      <c r="AC4381" s="28" t="n">
        <f aca="false">AB4381*$M4381</f>
        <v>0</v>
      </c>
      <c r="AD4381" s="28"/>
      <c r="AE4381" s="28" t="n">
        <f aca="false">AD4381*$M4381</f>
        <v>0</v>
      </c>
      <c r="AF4381" s="28"/>
      <c r="AG4381" s="28" t="n">
        <f aca="false">AF4381*$M4381</f>
        <v>0</v>
      </c>
      <c r="AH4381" s="28"/>
      <c r="AI4381" s="28" t="n">
        <f aca="false">AH4381*$M4381</f>
        <v>0</v>
      </c>
      <c r="AJ4381" s="28"/>
      <c r="AK4381" s="28" t="n">
        <f aca="false">AJ4381*$M4381</f>
        <v>0</v>
      </c>
      <c r="AL4381" s="28" t="n">
        <f aca="false">6250/100</f>
        <v>62.5</v>
      </c>
      <c r="AM4381" s="28" t="n">
        <v>1750</v>
      </c>
      <c r="AN4381" s="28"/>
      <c r="AO4381" s="28" t="n">
        <f aca="false">AN4381*$M4381</f>
        <v>0</v>
      </c>
      <c r="AP4381" s="28"/>
      <c r="AQ4381" s="28" t="n">
        <f aca="false">AP4381*$M4381</f>
        <v>0</v>
      </c>
      <c r="AR4381" s="28"/>
      <c r="AS4381" s="28" t="n">
        <f aca="false">AR4381*$M4381</f>
        <v>0</v>
      </c>
      <c r="AT4381" s="28"/>
      <c r="AU4381" s="28" t="n">
        <f aca="false">AT4381*$M4381</f>
        <v>0</v>
      </c>
      <c r="AV4381" s="28"/>
      <c r="AW4381" s="28" t="n">
        <f aca="false">AV4381*$M4381</f>
        <v>0</v>
      </c>
      <c r="AX4381" s="28"/>
      <c r="AY4381" s="28" t="n">
        <f aca="false">AX4381*$M4381</f>
        <v>0</v>
      </c>
      <c r="AZ4381" s="30" t="n">
        <f aca="false">67904/100</f>
        <v>679.04</v>
      </c>
      <c r="BA4381" s="11" t="n">
        <v>19013</v>
      </c>
      <c r="BB4381" s="31" t="n">
        <f aca="false">SUM(Q4381,S4381,U4381,W4381,Y4381,AA4381,AC4381,AE4381,AG4381,AI4381,AK4381,AM4381,AO4381,AQ4381,AS4381,AU4381,AW4381,AY4381)</f>
        <v>19013</v>
      </c>
      <c r="BC4381" s="28" t="n">
        <f aca="false">BA4381-BB4381</f>
        <v>0</v>
      </c>
      <c r="BD4381" s="32" t="n">
        <f aca="false">SUM(P4381,R4381,T4381,V4381,X4381,Z4381,AB4381,AD4381,AF4381,AH4381,AJ4381,AL4381,AN4381,AP4381,AR4381,AT4381,AV4381,AX4381)</f>
        <v>679.04</v>
      </c>
      <c r="BE4381" s="33" t="n">
        <f aca="false">AZ4381-BD4381</f>
        <v>0</v>
      </c>
      <c r="BF4381" s="34" t="n">
        <f aca="false">BD4381*M4381</f>
        <v>19013.12</v>
      </c>
      <c r="BG4381" s="35" t="n">
        <f aca="false">BA4381-BF4381</f>
        <v>-0.119999999998981</v>
      </c>
      <c r="BH4381" s="19" t="str">
        <f aca="false">IF(BG4381=0,"",IF(BG4381&lt;&gt;BA4381,"erreur de calcul",IF(BD4381&lt;&gt;0,"pas de prix",IF(M4381&lt;&gt; 0,"pas de quantité","pas de prix, ni de quantité"))))</f>
        <v>erreur de calcul</v>
      </c>
      <c r="BI4381" s="19"/>
    </row>
    <row r="4382" customFormat="false" ht="15" hidden="false" customHeight="false" outlineLevel="0" collapsed="false">
      <c r="A4382" s="0" t="n">
        <v>4</v>
      </c>
      <c r="B4382" s="8" t="s">
        <v>24</v>
      </c>
      <c r="C4382" s="9" t="s">
        <v>25</v>
      </c>
      <c r="D4382" s="9" t="s">
        <v>26</v>
      </c>
      <c r="E4382" s="10" t="n">
        <v>1789</v>
      </c>
      <c r="F4382" s="9" t="s">
        <v>27</v>
      </c>
      <c r="G4382" s="9" t="s">
        <v>27</v>
      </c>
      <c r="H4382" s="11" t="n">
        <v>23</v>
      </c>
      <c r="I4382" s="11" t="s">
        <v>246</v>
      </c>
      <c r="J4382" s="14" t="n">
        <v>17</v>
      </c>
      <c r="K4382" s="14"/>
      <c r="L4382" s="16"/>
      <c r="M4382" s="27" t="n">
        <f aca="false">J4382+(K4382/20)+(L4382/240)</f>
        <v>17</v>
      </c>
      <c r="N4382" s="17" t="s">
        <v>64</v>
      </c>
      <c r="O4382" s="11"/>
      <c r="P4382" s="28"/>
      <c r="Q4382" s="28" t="n">
        <f aca="false">P4382*$M4382</f>
        <v>0</v>
      </c>
      <c r="R4382" s="28"/>
      <c r="S4382" s="28" t="n">
        <f aca="false">R4382*$M4382</f>
        <v>0</v>
      </c>
      <c r="T4382" s="28" t="n">
        <f aca="false">25000/100</f>
        <v>250</v>
      </c>
      <c r="U4382" s="28" t="n">
        <v>4250</v>
      </c>
      <c r="V4382" s="28" t="n">
        <f aca="false">78153/100</f>
        <v>781.53</v>
      </c>
      <c r="W4382" s="28" t="n">
        <v>13286</v>
      </c>
      <c r="X4382" s="28"/>
      <c r="Y4382" s="28" t="n">
        <f aca="false">X4382*$M4382</f>
        <v>0</v>
      </c>
      <c r="Z4382" s="28"/>
      <c r="AA4382" s="28" t="n">
        <f aca="false">Z4382*$M4382</f>
        <v>0</v>
      </c>
      <c r="AB4382" s="28"/>
      <c r="AC4382" s="28" t="n">
        <f aca="false">AB4382*$M4382</f>
        <v>0</v>
      </c>
      <c r="AD4382" s="28"/>
      <c r="AE4382" s="28" t="n">
        <f aca="false">AD4382*$M4382</f>
        <v>0</v>
      </c>
      <c r="AF4382" s="28"/>
      <c r="AG4382" s="28" t="n">
        <f aca="false">AF4382*$M4382</f>
        <v>0</v>
      </c>
      <c r="AH4382" s="28"/>
      <c r="AI4382" s="28" t="n">
        <f aca="false">AH4382*$M4382</f>
        <v>0</v>
      </c>
      <c r="AJ4382" s="28" t="n">
        <f aca="false">113774/100</f>
        <v>1137.74</v>
      </c>
      <c r="AK4382" s="28" t="n">
        <v>19341</v>
      </c>
      <c r="AL4382" s="28" t="n">
        <f aca="false">749547/100</f>
        <v>7495.47</v>
      </c>
      <c r="AM4382" s="28" t="n">
        <v>127423</v>
      </c>
      <c r="AN4382" s="28"/>
      <c r="AO4382" s="28" t="n">
        <f aca="false">AN4382*$M4382</f>
        <v>0</v>
      </c>
      <c r="AP4382" s="28" t="n">
        <f aca="false">578251/100</f>
        <v>5782.51</v>
      </c>
      <c r="AQ4382" s="28" t="n">
        <v>98303</v>
      </c>
      <c r="AR4382" s="28" t="n">
        <f aca="false">9141217/100</f>
        <v>91412.17</v>
      </c>
      <c r="AS4382" s="28" t="n">
        <v>1554007</v>
      </c>
      <c r="AT4382" s="28"/>
      <c r="AU4382" s="28" t="n">
        <f aca="false">AT4382*$M4382</f>
        <v>0</v>
      </c>
      <c r="AV4382" s="28" t="n">
        <f aca="false">314570/100</f>
        <v>3145.7</v>
      </c>
      <c r="AW4382" s="28" t="n">
        <v>53477</v>
      </c>
      <c r="AX4382" s="28"/>
      <c r="AY4382" s="28" t="n">
        <f aca="false">AX4382*$M4382</f>
        <v>0</v>
      </c>
      <c r="AZ4382" s="30" t="n">
        <f aca="false">11004767/100</f>
        <v>110047.67</v>
      </c>
      <c r="BA4382" s="11" t="n">
        <v>1870087</v>
      </c>
      <c r="BB4382" s="31" t="n">
        <f aca="false">SUM(Q4382,S4382,U4382,W4382,Y4382,AA4382,AC4382,AE4382,AG4382,AI4382,AK4382,AM4382,AO4382,AQ4382,AS4382,AU4382,AW4382,AY4382)</f>
        <v>1870087</v>
      </c>
      <c r="BC4382" s="28" t="n">
        <f aca="false">BA4382-BB4382</f>
        <v>0</v>
      </c>
      <c r="BD4382" s="32" t="n">
        <f aca="false">SUM(P4382,R4382,T4382,V4382,X4382,Z4382,AB4382,AD4382,AF4382,AH4382,AJ4382,AL4382,AN4382,AP4382,AR4382,AT4382,AV4382,AX4382)</f>
        <v>110005.12</v>
      </c>
      <c r="BE4382" s="33" t="n">
        <f aca="false">AZ4382-BD4382</f>
        <v>42.5500000000029</v>
      </c>
      <c r="BF4382" s="34" t="n">
        <f aca="false">BD4382*M4382</f>
        <v>1870087.04</v>
      </c>
      <c r="BG4382" s="35" t="n">
        <f aca="false">BA4382-BF4382</f>
        <v>-0.0400000000372529</v>
      </c>
      <c r="BH4382" s="19" t="str">
        <f aca="false">IF(BG4382=0,"",IF(BG4382&lt;&gt;BA4382,"erreur de calcul",IF(BD4382&lt;&gt;0,"pas de prix",IF(M4382&lt;&gt; 0,"pas de quantité","pas de prix, ni de quantité"))))</f>
        <v>erreur de calcul</v>
      </c>
      <c r="BI4382" s="19"/>
    </row>
    <row r="4383" customFormat="false" ht="15" hidden="false" customHeight="false" outlineLevel="0" collapsed="false">
      <c r="A4383" s="0" t="n">
        <v>5</v>
      </c>
      <c r="B4383" s="8" t="s">
        <v>24</v>
      </c>
      <c r="C4383" s="9" t="s">
        <v>25</v>
      </c>
      <c r="D4383" s="9" t="s">
        <v>26</v>
      </c>
      <c r="E4383" s="10" t="n">
        <v>1789</v>
      </c>
      <c r="F4383" s="9" t="s">
        <v>27</v>
      </c>
      <c r="G4383" s="9" t="s">
        <v>27</v>
      </c>
      <c r="H4383" s="11" t="n">
        <v>23</v>
      </c>
      <c r="I4383" s="11" t="s">
        <v>247</v>
      </c>
      <c r="J4383" s="14" t="n">
        <v>60</v>
      </c>
      <c r="K4383" s="14"/>
      <c r="L4383" s="16"/>
      <c r="M4383" s="27" t="n">
        <f aca="false">J4383+(K4383/20)+(L4383/240)</f>
        <v>60</v>
      </c>
      <c r="N4383" s="17" t="s">
        <v>64</v>
      </c>
      <c r="O4383" s="11"/>
      <c r="P4383" s="28" t="n">
        <f aca="false">17500/100</f>
        <v>175</v>
      </c>
      <c r="Q4383" s="28" t="n">
        <v>10500</v>
      </c>
      <c r="R4383" s="28"/>
      <c r="S4383" s="28" t="n">
        <f aca="false">R4383*$M4383</f>
        <v>0</v>
      </c>
      <c r="T4383" s="28"/>
      <c r="U4383" s="28" t="n">
        <f aca="false">T4383*$M4383</f>
        <v>0</v>
      </c>
      <c r="V4383" s="28"/>
      <c r="W4383" s="28" t="n">
        <f aca="false">V4383*$M4383</f>
        <v>0</v>
      </c>
      <c r="X4383" s="28"/>
      <c r="Y4383" s="28" t="n">
        <f aca="false">X4383*$M4383</f>
        <v>0</v>
      </c>
      <c r="Z4383" s="28"/>
      <c r="AA4383" s="28" t="n">
        <f aca="false">Z4383*$M4383</f>
        <v>0</v>
      </c>
      <c r="AB4383" s="28"/>
      <c r="AC4383" s="28" t="n">
        <f aca="false">AB4383*$M4383</f>
        <v>0</v>
      </c>
      <c r="AD4383" s="28"/>
      <c r="AE4383" s="28" t="n">
        <f aca="false">AD4383*$M4383</f>
        <v>0</v>
      </c>
      <c r="AF4383" s="28"/>
      <c r="AG4383" s="28" t="n">
        <f aca="false">AF4383*$M4383</f>
        <v>0</v>
      </c>
      <c r="AH4383" s="28"/>
      <c r="AI4383" s="28" t="n">
        <f aca="false">AH4383*$M4383</f>
        <v>0</v>
      </c>
      <c r="AJ4383" s="28"/>
      <c r="AK4383" s="28" t="n">
        <f aca="false">AJ4383*$M4383</f>
        <v>0</v>
      </c>
      <c r="AL4383" s="28" t="n">
        <f aca="false">107571/100</f>
        <v>1075.71</v>
      </c>
      <c r="AM4383" s="28" t="n">
        <v>64543</v>
      </c>
      <c r="AN4383" s="28"/>
      <c r="AO4383" s="28" t="n">
        <f aca="false">AN4383*$M4383</f>
        <v>0</v>
      </c>
      <c r="AP4383" s="28"/>
      <c r="AQ4383" s="28" t="n">
        <f aca="false">AP4383*$M4383</f>
        <v>0</v>
      </c>
      <c r="AR4383" s="28"/>
      <c r="AS4383" s="28" t="n">
        <f aca="false">AR4383*$M4383</f>
        <v>0</v>
      </c>
      <c r="AT4383" s="28"/>
      <c r="AU4383" s="28" t="n">
        <f aca="false">AT4383*$M4383</f>
        <v>0</v>
      </c>
      <c r="AV4383" s="28"/>
      <c r="AW4383" s="28" t="n">
        <f aca="false">AV4383*$M4383</f>
        <v>0</v>
      </c>
      <c r="AX4383" s="28"/>
      <c r="AY4383" s="28" t="n">
        <f aca="false">AX4383*$M4383</f>
        <v>0</v>
      </c>
      <c r="AZ4383" s="30" t="n">
        <f aca="false">125071/100</f>
        <v>1250.71</v>
      </c>
      <c r="BA4383" s="11" t="n">
        <v>75043</v>
      </c>
      <c r="BB4383" s="31" t="n">
        <f aca="false">SUM(Q4383,S4383,U4383,W4383,Y4383,AA4383,AC4383,AE4383,AG4383,AI4383,AK4383,AM4383,AO4383,AQ4383,AS4383,AU4383,AW4383,AY4383)</f>
        <v>75043</v>
      </c>
      <c r="BC4383" s="28" t="n">
        <f aca="false">BA4383-BB4383</f>
        <v>0</v>
      </c>
      <c r="BD4383" s="32" t="n">
        <f aca="false">SUM(P4383,R4383,T4383,V4383,X4383,Z4383,AB4383,AD4383,AF4383,AH4383,AJ4383,AL4383,AN4383,AP4383,AR4383,AT4383,AV4383,AX4383)</f>
        <v>1250.71</v>
      </c>
      <c r="BE4383" s="33" t="n">
        <f aca="false">AZ4383-BD4383</f>
        <v>0</v>
      </c>
      <c r="BF4383" s="34" t="n">
        <f aca="false">BD4383*M4383</f>
        <v>75042.6</v>
      </c>
      <c r="BG4383" s="35" t="n">
        <f aca="false">BA4383-BF4383</f>
        <v>0.399999999994179</v>
      </c>
      <c r="BH4383" s="19" t="str">
        <f aca="false">IF(BG4383=0,"",IF(BG4383&lt;&gt;BA4383,"erreur de calcul",IF(BD4383&lt;&gt;0,"pas de prix",IF(M4383&lt;&gt; 0,"pas de quantité","pas de prix, ni de quantité"))))</f>
        <v>erreur de calcul</v>
      </c>
      <c r="BI4383" s="19"/>
    </row>
    <row r="4384" customFormat="false" ht="15" hidden="false" customHeight="false" outlineLevel="0" collapsed="false">
      <c r="A4384" s="0" t="n">
        <v>6</v>
      </c>
      <c r="B4384" s="8" t="s">
        <v>24</v>
      </c>
      <c r="C4384" s="9" t="s">
        <v>25</v>
      </c>
      <c r="D4384" s="9" t="s">
        <v>26</v>
      </c>
      <c r="E4384" s="10" t="n">
        <v>1789</v>
      </c>
      <c r="F4384" s="9" t="s">
        <v>27</v>
      </c>
      <c r="G4384" s="9" t="s">
        <v>27</v>
      </c>
      <c r="H4384" s="11" t="n">
        <v>23</v>
      </c>
      <c r="I4384" s="11" t="s">
        <v>248</v>
      </c>
      <c r="J4384" s="14" t="n">
        <v>30</v>
      </c>
      <c r="K4384" s="14"/>
      <c r="L4384" s="16"/>
      <c r="M4384" s="27" t="n">
        <f aca="false">J4384+(K4384/20)+(L4384/240)</f>
        <v>30</v>
      </c>
      <c r="N4384" s="17" t="s">
        <v>64</v>
      </c>
      <c r="O4384" s="11"/>
      <c r="P4384" s="28"/>
      <c r="Q4384" s="28" t="n">
        <f aca="false">P4384*$M4384</f>
        <v>0</v>
      </c>
      <c r="R4384" s="28"/>
      <c r="S4384" s="28" t="n">
        <f aca="false">R4384*$M4384</f>
        <v>0</v>
      </c>
      <c r="T4384" s="28"/>
      <c r="U4384" s="28" t="n">
        <f aca="false">T4384*$M4384</f>
        <v>0</v>
      </c>
      <c r="V4384" s="28" t="n">
        <f aca="false">8491/100</f>
        <v>84.91</v>
      </c>
      <c r="W4384" s="28" t="n">
        <v>2547</v>
      </c>
      <c r="X4384" s="28"/>
      <c r="Y4384" s="28" t="n">
        <f aca="false">X4384*$M4384</f>
        <v>0</v>
      </c>
      <c r="Z4384" s="28"/>
      <c r="AA4384" s="28" t="n">
        <f aca="false">Z4384*$M4384</f>
        <v>0</v>
      </c>
      <c r="AB4384" s="28"/>
      <c r="AC4384" s="28" t="n">
        <f aca="false">AB4384*$M4384</f>
        <v>0</v>
      </c>
      <c r="AD4384" s="28"/>
      <c r="AE4384" s="28" t="n">
        <f aca="false">AD4384*$M4384</f>
        <v>0</v>
      </c>
      <c r="AF4384" s="28"/>
      <c r="AG4384" s="28" t="n">
        <f aca="false">AF4384*$M4384</f>
        <v>0</v>
      </c>
      <c r="AH4384" s="28"/>
      <c r="AI4384" s="28" t="n">
        <f aca="false">AH4384*$M4384</f>
        <v>0</v>
      </c>
      <c r="AJ4384" s="28"/>
      <c r="AK4384" s="28" t="n">
        <f aca="false">AJ4384*$M4384</f>
        <v>0</v>
      </c>
      <c r="AL4384" s="28"/>
      <c r="AM4384" s="28" t="n">
        <f aca="false">AL4384*$M4384</f>
        <v>0</v>
      </c>
      <c r="AN4384" s="28"/>
      <c r="AO4384" s="28" t="n">
        <f aca="false">AN4384*$M4384</f>
        <v>0</v>
      </c>
      <c r="AP4384" s="28"/>
      <c r="AQ4384" s="28" t="n">
        <f aca="false">AP4384*$M4384</f>
        <v>0</v>
      </c>
      <c r="AR4384" s="28"/>
      <c r="AS4384" s="28" t="n">
        <f aca="false">AR4384*$M4384</f>
        <v>0</v>
      </c>
      <c r="AT4384" s="28"/>
      <c r="AU4384" s="28" t="n">
        <f aca="false">AT4384*$M4384</f>
        <v>0</v>
      </c>
      <c r="AV4384" s="28"/>
      <c r="AW4384" s="28" t="n">
        <f aca="false">AV4384*$M4384</f>
        <v>0</v>
      </c>
      <c r="AX4384" s="28"/>
      <c r="AY4384" s="28" t="n">
        <f aca="false">AX4384*$M4384</f>
        <v>0</v>
      </c>
      <c r="AZ4384" s="30" t="n">
        <f aca="false">8491/100</f>
        <v>84.91</v>
      </c>
      <c r="BA4384" s="11" t="n">
        <v>2547</v>
      </c>
      <c r="BB4384" s="31" t="n">
        <f aca="false">SUM(Q4384,S4384,U4384,W4384,Y4384,AA4384,AC4384,AE4384,AG4384,AI4384,AK4384,AM4384,AO4384,AQ4384,AS4384,AU4384,AW4384,AY4384)</f>
        <v>2547</v>
      </c>
      <c r="BC4384" s="28" t="n">
        <f aca="false">BA4384-BB4384</f>
        <v>0</v>
      </c>
      <c r="BD4384" s="32" t="n">
        <f aca="false">SUM(P4384,R4384,T4384,V4384,X4384,Z4384,AB4384,AD4384,AF4384,AH4384,AJ4384,AL4384,AN4384,AP4384,AR4384,AT4384,AV4384,AX4384)</f>
        <v>84.91</v>
      </c>
      <c r="BE4384" s="33" t="n">
        <f aca="false">AZ4384-BD4384</f>
        <v>0</v>
      </c>
      <c r="BF4384" s="34" t="n">
        <f aca="false">BD4384*M4384</f>
        <v>2547.3</v>
      </c>
      <c r="BG4384" s="35" t="n">
        <f aca="false">BA4384-BF4384</f>
        <v>-0.299999999999727</v>
      </c>
      <c r="BH4384" s="19" t="str">
        <f aca="false">IF(BG4384=0,"",IF(BG4384&lt;&gt;BA4384,"erreur de calcul",IF(BD4384&lt;&gt;0,"pas de prix",IF(M4384&lt;&gt; 0,"pas de quantité","pas de prix, ni de quantité"))))</f>
        <v>erreur de calcul</v>
      </c>
      <c r="BI4384" s="19"/>
    </row>
    <row r="4385" customFormat="false" ht="15" hidden="false" customHeight="false" outlineLevel="0" collapsed="false">
      <c r="A4385" s="0" t="n">
        <v>7</v>
      </c>
      <c r="B4385" s="8" t="s">
        <v>24</v>
      </c>
      <c r="C4385" s="9" t="s">
        <v>25</v>
      </c>
      <c r="D4385" s="9" t="s">
        <v>26</v>
      </c>
      <c r="E4385" s="10" t="n">
        <v>1789</v>
      </c>
      <c r="F4385" s="9" t="s">
        <v>27</v>
      </c>
      <c r="G4385" s="9" t="s">
        <v>27</v>
      </c>
      <c r="H4385" s="11" t="n">
        <v>23</v>
      </c>
      <c r="I4385" s="11" t="s">
        <v>249</v>
      </c>
      <c r="J4385" s="14" t="n">
        <v>27</v>
      </c>
      <c r="K4385" s="14"/>
      <c r="L4385" s="16"/>
      <c r="M4385" s="27" t="n">
        <f aca="false">J4385+(K4385/20)+(L4385/240)</f>
        <v>27</v>
      </c>
      <c r="N4385" s="17" t="s">
        <v>64</v>
      </c>
      <c r="O4385" s="11"/>
      <c r="P4385" s="28"/>
      <c r="Q4385" s="28" t="n">
        <f aca="false">P4385*$M4385</f>
        <v>0</v>
      </c>
      <c r="R4385" s="28"/>
      <c r="S4385" s="28" t="n">
        <f aca="false">R4385*$M4385</f>
        <v>0</v>
      </c>
      <c r="T4385" s="28"/>
      <c r="U4385" s="28" t="n">
        <f aca="false">T4385*$M4385</f>
        <v>0</v>
      </c>
      <c r="V4385" s="28"/>
      <c r="W4385" s="28" t="n">
        <f aca="false">V4385*$M4385</f>
        <v>0</v>
      </c>
      <c r="X4385" s="28"/>
      <c r="Y4385" s="28" t="n">
        <f aca="false">X4385*$M4385</f>
        <v>0</v>
      </c>
      <c r="Z4385" s="28"/>
      <c r="AA4385" s="28" t="n">
        <f aca="false">Z4385*$M4385</f>
        <v>0</v>
      </c>
      <c r="AB4385" s="28"/>
      <c r="AC4385" s="28" t="n">
        <f aca="false">AB4385*$M4385</f>
        <v>0</v>
      </c>
      <c r="AD4385" s="28"/>
      <c r="AE4385" s="28" t="n">
        <f aca="false">AD4385*$M4385</f>
        <v>0</v>
      </c>
      <c r="AF4385" s="28"/>
      <c r="AG4385" s="28" t="n">
        <f aca="false">AF4385*$M4385</f>
        <v>0</v>
      </c>
      <c r="AH4385" s="28"/>
      <c r="AI4385" s="28" t="n">
        <f aca="false">AH4385*$M4385</f>
        <v>0</v>
      </c>
      <c r="AJ4385" s="28" t="n">
        <f aca="false">168254/100</f>
        <v>1682.54</v>
      </c>
      <c r="AK4385" s="28" t="n">
        <v>45428</v>
      </c>
      <c r="AL4385" s="28"/>
      <c r="AM4385" s="28" t="n">
        <f aca="false">AL4385*$M4385</f>
        <v>0</v>
      </c>
      <c r="AN4385" s="28"/>
      <c r="AO4385" s="28" t="n">
        <f aca="false">AN4385*$M4385</f>
        <v>0</v>
      </c>
      <c r="AP4385" s="28"/>
      <c r="AQ4385" s="28" t="n">
        <f aca="false">AP4385*$M4385</f>
        <v>0</v>
      </c>
      <c r="AR4385" s="28"/>
      <c r="AS4385" s="28" t="n">
        <f aca="false">AR4385*$M4385</f>
        <v>0</v>
      </c>
      <c r="AT4385" s="28"/>
      <c r="AU4385" s="28" t="n">
        <f aca="false">AT4385*$M4385</f>
        <v>0</v>
      </c>
      <c r="AV4385" s="28"/>
      <c r="AW4385" s="28" t="n">
        <f aca="false">AV4385*$M4385</f>
        <v>0</v>
      </c>
      <c r="AX4385" s="28"/>
      <c r="AY4385" s="28" t="n">
        <f aca="false">AX4385*$M4385</f>
        <v>0</v>
      </c>
      <c r="AZ4385" s="30" t="n">
        <f aca="false">168254/100</f>
        <v>1682.54</v>
      </c>
      <c r="BA4385" s="11" t="n">
        <v>45428</v>
      </c>
      <c r="BB4385" s="31" t="n">
        <f aca="false">SUM(Q4385,S4385,U4385,W4385,Y4385,AA4385,AC4385,AE4385,AG4385,AI4385,AK4385,AM4385,AO4385,AQ4385,AS4385,AU4385,AW4385,AY4385)</f>
        <v>45428</v>
      </c>
      <c r="BC4385" s="28" t="n">
        <f aca="false">BA4385-BB4385</f>
        <v>0</v>
      </c>
      <c r="BD4385" s="32" t="n">
        <f aca="false">SUM(P4385,R4385,T4385,V4385,X4385,Z4385,AB4385,AD4385,AF4385,AH4385,AJ4385,AL4385,AN4385,AP4385,AR4385,AT4385,AV4385,AX4385)</f>
        <v>1682.54</v>
      </c>
      <c r="BE4385" s="33" t="n">
        <f aca="false">AZ4385-BD4385</f>
        <v>0</v>
      </c>
      <c r="BF4385" s="34" t="n">
        <f aca="false">BD4385*M4385</f>
        <v>45428.58</v>
      </c>
      <c r="BG4385" s="35" t="n">
        <f aca="false">BA4385-BF4385</f>
        <v>-0.580000000001746</v>
      </c>
      <c r="BH4385" s="19" t="str">
        <f aca="false">IF(BG4385=0,"",IF(BG4385&lt;&gt;BA4385,"erreur de calcul",IF(BD4385&lt;&gt;0,"pas de prix",IF(M4385&lt;&gt; 0,"pas de quantité","pas de prix, ni de quantité"))))</f>
        <v>erreur de calcul</v>
      </c>
      <c r="BI4385" s="19"/>
    </row>
    <row r="4386" customFormat="false" ht="15" hidden="false" customHeight="false" outlineLevel="0" collapsed="false">
      <c r="A4386" s="0" t="n">
        <v>8</v>
      </c>
      <c r="B4386" s="8" t="s">
        <v>24</v>
      </c>
      <c r="C4386" s="9" t="s">
        <v>25</v>
      </c>
      <c r="D4386" s="9" t="s">
        <v>26</v>
      </c>
      <c r="E4386" s="10" t="n">
        <v>1789</v>
      </c>
      <c r="F4386" s="9" t="s">
        <v>27</v>
      </c>
      <c r="G4386" s="9" t="s">
        <v>27</v>
      </c>
      <c r="H4386" s="11" t="n">
        <v>23</v>
      </c>
      <c r="I4386" s="11" t="s">
        <v>250</v>
      </c>
      <c r="J4386" s="14" t="n">
        <v>27</v>
      </c>
      <c r="K4386" s="14"/>
      <c r="L4386" s="16"/>
      <c r="M4386" s="27" t="n">
        <f aca="false">J4386+(K4386/20)+(L4386/240)</f>
        <v>27</v>
      </c>
      <c r="N4386" s="17" t="s">
        <v>64</v>
      </c>
      <c r="O4386" s="11"/>
      <c r="P4386" s="28"/>
      <c r="Q4386" s="28" t="n">
        <f aca="false">P4386*$M4386</f>
        <v>0</v>
      </c>
      <c r="R4386" s="28"/>
      <c r="S4386" s="28" t="n">
        <f aca="false">R4386*$M4386</f>
        <v>0</v>
      </c>
      <c r="T4386" s="28"/>
      <c r="U4386" s="28" t="n">
        <f aca="false">T4386*$M4386</f>
        <v>0</v>
      </c>
      <c r="V4386" s="28"/>
      <c r="W4386" s="28" t="n">
        <f aca="false">V4386*$M4386</f>
        <v>0</v>
      </c>
      <c r="X4386" s="28"/>
      <c r="Y4386" s="28" t="n">
        <f aca="false">X4386*$M4386</f>
        <v>0</v>
      </c>
      <c r="Z4386" s="28"/>
      <c r="AA4386" s="28" t="n">
        <f aca="false">Z4386*$M4386</f>
        <v>0</v>
      </c>
      <c r="AB4386" s="28"/>
      <c r="AC4386" s="28" t="n">
        <f aca="false">AB4386*$M4386</f>
        <v>0</v>
      </c>
      <c r="AD4386" s="28"/>
      <c r="AE4386" s="28" t="n">
        <f aca="false">AD4386*$M4386</f>
        <v>0</v>
      </c>
      <c r="AF4386" s="28"/>
      <c r="AG4386" s="28" t="n">
        <f aca="false">AF4386*$M4386</f>
        <v>0</v>
      </c>
      <c r="AH4386" s="28"/>
      <c r="AI4386" s="28" t="n">
        <f aca="false">AH4386*$M4386</f>
        <v>0</v>
      </c>
      <c r="AJ4386" s="28"/>
      <c r="AK4386" s="28" t="n">
        <f aca="false">AJ4386*$M4386</f>
        <v>0</v>
      </c>
      <c r="AL4386" s="28" t="n">
        <f aca="false">4108/100</f>
        <v>41.08</v>
      </c>
      <c r="AM4386" s="28" t="n">
        <v>1109</v>
      </c>
      <c r="AN4386" s="28"/>
      <c r="AO4386" s="28" t="n">
        <f aca="false">AN4386*$M4386</f>
        <v>0</v>
      </c>
      <c r="AP4386" s="28"/>
      <c r="AQ4386" s="28" t="n">
        <f aca="false">AP4386*$M4386</f>
        <v>0</v>
      </c>
      <c r="AR4386" s="28" t="n">
        <f aca="false">37084/100</f>
        <v>370.84</v>
      </c>
      <c r="AS4386" s="36" t="n">
        <v>9963</v>
      </c>
      <c r="AT4386" s="28"/>
      <c r="AU4386" s="28" t="n">
        <f aca="false">AT4386*$M4386</f>
        <v>0</v>
      </c>
      <c r="AV4386" s="28"/>
      <c r="AW4386" s="28" t="n">
        <f aca="false">AV4386*$M4386</f>
        <v>0</v>
      </c>
      <c r="AX4386" s="28"/>
      <c r="AY4386" s="28" t="n">
        <f aca="false">AX4386*$M4386</f>
        <v>0</v>
      </c>
      <c r="AZ4386" s="30" t="n">
        <f aca="false">41192/100</f>
        <v>411.92</v>
      </c>
      <c r="BA4386" s="11" t="n">
        <v>11072</v>
      </c>
      <c r="BB4386" s="31" t="n">
        <f aca="false">SUM(Q4386,S4386,U4386,W4386,Y4386,AA4386,AC4386,AE4386,AG4386,AI4386,AK4386,AM4386,AO4386,AQ4386,AS4386,AU4386,AW4386,AY4386)</f>
        <v>11072</v>
      </c>
      <c r="BC4386" s="28" t="n">
        <f aca="false">BA4386-BB4386</f>
        <v>0</v>
      </c>
      <c r="BD4386" s="32" t="n">
        <f aca="false">SUM(P4386,R4386,T4386,V4386,X4386,Z4386,AB4386,AD4386,AF4386,AH4386,AJ4386,AL4386,AN4386,AP4386,AR4386,AT4386,AV4386,AX4386)</f>
        <v>411.92</v>
      </c>
      <c r="BE4386" s="33" t="n">
        <f aca="false">AZ4386-BD4386</f>
        <v>0</v>
      </c>
      <c r="BF4386" s="34" t="n">
        <f aca="false">BD4386*M4386</f>
        <v>11121.84</v>
      </c>
      <c r="BG4386" s="35" t="n">
        <f aca="false">BA4386-BF4386</f>
        <v>-49.8399999999983</v>
      </c>
      <c r="BH4386" s="19" t="str">
        <f aca="false">IF(BG4386=0,"",IF(BG4386&lt;&gt;BA4386,"erreur de calcul",IF(BD4386&lt;&gt;0,"pas de prix",IF(M4386&lt;&gt; 0,"pas de quantité","pas de prix, ni de quantité"))))</f>
        <v>erreur de calcul</v>
      </c>
      <c r="BI4386" s="19"/>
    </row>
    <row r="4387" customFormat="false" ht="15" hidden="false" customHeight="false" outlineLevel="0" collapsed="false">
      <c r="A4387" s="0" t="n">
        <v>9</v>
      </c>
      <c r="B4387" s="8" t="s">
        <v>24</v>
      </c>
      <c r="C4387" s="9" t="s">
        <v>25</v>
      </c>
      <c r="D4387" s="9" t="s">
        <v>26</v>
      </c>
      <c r="E4387" s="10" t="n">
        <v>1789</v>
      </c>
      <c r="F4387" s="9" t="s">
        <v>27</v>
      </c>
      <c r="G4387" s="9" t="s">
        <v>27</v>
      </c>
      <c r="H4387" s="11" t="n">
        <v>23</v>
      </c>
      <c r="I4387" s="11" t="s">
        <v>251</v>
      </c>
      <c r="J4387" s="14" t="n">
        <v>6</v>
      </c>
      <c r="K4387" s="14"/>
      <c r="L4387" s="16"/>
      <c r="M4387" s="27" t="n">
        <f aca="false">J4387+(K4387/20)+(L4387/240)</f>
        <v>6</v>
      </c>
      <c r="N4387" s="17" t="s">
        <v>64</v>
      </c>
      <c r="O4387" s="11"/>
      <c r="P4387" s="28"/>
      <c r="Q4387" s="28" t="n">
        <f aca="false">P4387*$M4387</f>
        <v>0</v>
      </c>
      <c r="R4387" s="28"/>
      <c r="S4387" s="28" t="n">
        <f aca="false">R4387*$M4387</f>
        <v>0</v>
      </c>
      <c r="T4387" s="28"/>
      <c r="U4387" s="28" t="n">
        <f aca="false">T4387*$M4387</f>
        <v>0</v>
      </c>
      <c r="V4387" s="28"/>
      <c r="W4387" s="28" t="n">
        <f aca="false">V4387*$M4387</f>
        <v>0</v>
      </c>
      <c r="X4387" s="28"/>
      <c r="Y4387" s="28" t="n">
        <f aca="false">X4387*$M4387</f>
        <v>0</v>
      </c>
      <c r="Z4387" s="28"/>
      <c r="AA4387" s="28" t="n">
        <f aca="false">Z4387*$M4387</f>
        <v>0</v>
      </c>
      <c r="AB4387" s="28"/>
      <c r="AC4387" s="28" t="n">
        <f aca="false">AB4387*$M4387</f>
        <v>0</v>
      </c>
      <c r="AD4387" s="28"/>
      <c r="AE4387" s="28" t="n">
        <f aca="false">AD4387*$M4387</f>
        <v>0</v>
      </c>
      <c r="AF4387" s="28"/>
      <c r="AG4387" s="28" t="n">
        <f aca="false">AF4387*$M4387</f>
        <v>0</v>
      </c>
      <c r="AH4387" s="28"/>
      <c r="AI4387" s="28" t="n">
        <f aca="false">AH4387*$M4387</f>
        <v>0</v>
      </c>
      <c r="AJ4387" s="28"/>
      <c r="AK4387" s="28" t="n">
        <f aca="false">AJ4387*$M4387</f>
        <v>0</v>
      </c>
      <c r="AL4387" s="28"/>
      <c r="AM4387" s="28" t="n">
        <f aca="false">AL4387*$M4387</f>
        <v>0</v>
      </c>
      <c r="AN4387" s="28"/>
      <c r="AO4387" s="28" t="n">
        <f aca="false">AN4387*$M4387</f>
        <v>0</v>
      </c>
      <c r="AP4387" s="28"/>
      <c r="AQ4387" s="28" t="n">
        <f aca="false">AP4387*$M4387</f>
        <v>0</v>
      </c>
      <c r="AR4387" s="28"/>
      <c r="AS4387" s="28" t="n">
        <f aca="false">AR4387*$M4387</f>
        <v>0</v>
      </c>
      <c r="AT4387" s="28"/>
      <c r="AU4387" s="28" t="n">
        <f aca="false">AT4387*$M4387</f>
        <v>0</v>
      </c>
      <c r="AV4387" s="28"/>
      <c r="AW4387" s="28" t="n">
        <f aca="false">AV4387*$M4387</f>
        <v>0</v>
      </c>
      <c r="AX4387" s="28"/>
      <c r="AY4387" s="28" t="n">
        <f aca="false">AX4387*$M4387</f>
        <v>0</v>
      </c>
      <c r="AZ4387" s="30"/>
      <c r="BA4387" s="11"/>
      <c r="BB4387" s="31" t="n">
        <f aca="false">SUM(Q4387,S4387,U4387,W4387,Y4387,AA4387,AC4387,AE4387,AG4387,AI4387,AK4387,AM4387,AO4387,AQ4387,AS4387,AU4387,AW4387,AY4387)</f>
        <v>0</v>
      </c>
      <c r="BC4387" s="28" t="n">
        <f aca="false">BA4387-BB4387</f>
        <v>0</v>
      </c>
      <c r="BD4387" s="32" t="n">
        <f aca="false">SUM(P4387,R4387,T4387,V4387,X4387,Z4387,AB4387,AD4387,AF4387,AH4387,AJ4387,AL4387,AN4387,AP4387,AR4387,AT4387,AV4387,AX4387)</f>
        <v>0</v>
      </c>
      <c r="BE4387" s="33" t="n">
        <f aca="false">AZ4387-BD4387</f>
        <v>0</v>
      </c>
      <c r="BF4387" s="34" t="n">
        <f aca="false">BD4387*M4387</f>
        <v>0</v>
      </c>
      <c r="BG4387" s="35" t="n">
        <f aca="false">BA4387-BF4387</f>
        <v>0</v>
      </c>
      <c r="BH4387" s="19" t="str">
        <f aca="false">IF(BG4387=0,"",IF(BG4387&lt;&gt;BA4387,"erreur de calcul",IF(BD4387&lt;&gt;0,"pas de prix",IF(M4387&lt;&gt; 0,"pas de quantité","pas de prix, ni de quantité"))))</f>
        <v/>
      </c>
      <c r="BI4387" s="19"/>
    </row>
    <row r="4388" customFormat="false" ht="15" hidden="false" customHeight="false" outlineLevel="0" collapsed="false">
      <c r="A4388" s="0" t="n">
        <v>10</v>
      </c>
      <c r="B4388" s="8" t="s">
        <v>24</v>
      </c>
      <c r="C4388" s="9" t="s">
        <v>25</v>
      </c>
      <c r="D4388" s="9" t="s">
        <v>26</v>
      </c>
      <c r="E4388" s="10" t="n">
        <v>1789</v>
      </c>
      <c r="F4388" s="9" t="s">
        <v>27</v>
      </c>
      <c r="G4388" s="9" t="s">
        <v>27</v>
      </c>
      <c r="H4388" s="11" t="n">
        <v>23</v>
      </c>
      <c r="I4388" s="11" t="s">
        <v>252</v>
      </c>
      <c r="J4388" s="14" t="n">
        <v>240</v>
      </c>
      <c r="K4388" s="14"/>
      <c r="L4388" s="16"/>
      <c r="M4388" s="27" t="n">
        <f aca="false">J4388+(K4388/20)+(L4388/240)</f>
        <v>240</v>
      </c>
      <c r="N4388" s="17" t="s">
        <v>64</v>
      </c>
      <c r="O4388" s="11"/>
      <c r="P4388" s="28"/>
      <c r="Q4388" s="28" t="n">
        <f aca="false">P4388*$M4388</f>
        <v>0</v>
      </c>
      <c r="R4388" s="28"/>
      <c r="S4388" s="28" t="n">
        <f aca="false">R4388*$M4388</f>
        <v>0</v>
      </c>
      <c r="T4388" s="28" t="n">
        <f aca="false">4204/100</f>
        <v>42.04</v>
      </c>
      <c r="U4388" s="28" t="n">
        <v>10090</v>
      </c>
      <c r="V4388" s="28" t="n">
        <f aca="false">2799/100</f>
        <v>27.99</v>
      </c>
      <c r="W4388" s="28" t="n">
        <v>6718</v>
      </c>
      <c r="X4388" s="28" t="n">
        <f aca="false">2536/100</f>
        <v>25.36</v>
      </c>
      <c r="Y4388" s="28" t="n">
        <v>6086</v>
      </c>
      <c r="Z4388" s="28" t="n">
        <f aca="false">3393/100</f>
        <v>33.93</v>
      </c>
      <c r="AA4388" s="28" t="n">
        <v>8143</v>
      </c>
      <c r="AB4388" s="28" t="n">
        <f aca="false">242/100</f>
        <v>2.42</v>
      </c>
      <c r="AC4388" s="28" t="n">
        <v>581</v>
      </c>
      <c r="AD4388" s="28"/>
      <c r="AE4388" s="28" t="n">
        <f aca="false">AD4388*$M4388</f>
        <v>0</v>
      </c>
      <c r="AF4388" s="28"/>
      <c r="AG4388" s="28" t="n">
        <f aca="false">AF4388*$M4388</f>
        <v>0</v>
      </c>
      <c r="AH4388" s="28"/>
      <c r="AI4388" s="28" t="n">
        <f aca="false">AH4388*$M4388</f>
        <v>0</v>
      </c>
      <c r="AJ4388" s="28"/>
      <c r="AK4388" s="28" t="n">
        <f aca="false">AJ4388*$M4388</f>
        <v>0</v>
      </c>
      <c r="AL4388" s="28"/>
      <c r="AM4388" s="28" t="n">
        <f aca="false">AL4388*$M4388</f>
        <v>0</v>
      </c>
      <c r="AN4388" s="28"/>
      <c r="AO4388" s="28" t="n">
        <f aca="false">AN4388*$M4388</f>
        <v>0</v>
      </c>
      <c r="AP4388" s="28"/>
      <c r="AQ4388" s="28" t="n">
        <f aca="false">AP4388*$M4388</f>
        <v>0</v>
      </c>
      <c r="AR4388" s="28"/>
      <c r="AS4388" s="28" t="n">
        <f aca="false">AR4388*$M4388</f>
        <v>0</v>
      </c>
      <c r="AT4388" s="28"/>
      <c r="AU4388" s="28" t="n">
        <f aca="false">AT4388*$M4388</f>
        <v>0</v>
      </c>
      <c r="AV4388" s="28"/>
      <c r="AW4388" s="28" t="n">
        <f aca="false">AV4388*$M4388</f>
        <v>0</v>
      </c>
      <c r="AX4388" s="28"/>
      <c r="AY4388" s="28" t="n">
        <f aca="false">AX4388*$M4388</f>
        <v>0</v>
      </c>
      <c r="AZ4388" s="30" t="n">
        <f aca="false">13174/100</f>
        <v>131.74</v>
      </c>
      <c r="BA4388" s="11" t="n">
        <v>31618</v>
      </c>
      <c r="BB4388" s="31" t="n">
        <f aca="false">SUM(Q4388,S4388,U4388,W4388,Y4388,AA4388,AC4388,AE4388,AG4388,AI4388,AK4388,AM4388,AO4388,AQ4388,AS4388,AU4388,AW4388,AY4388)</f>
        <v>31618</v>
      </c>
      <c r="BC4388" s="28" t="n">
        <f aca="false">BA4388-BB4388</f>
        <v>0</v>
      </c>
      <c r="BD4388" s="32" t="n">
        <f aca="false">SUM(P4388,R4388,T4388,V4388,X4388,Z4388,AB4388,AD4388,AF4388,AH4388,AJ4388,AL4388,AN4388,AP4388,AR4388,AT4388,AV4388,AX4388)</f>
        <v>131.74</v>
      </c>
      <c r="BE4388" s="33" t="n">
        <f aca="false">AZ4388-BD4388</f>
        <v>0</v>
      </c>
      <c r="BF4388" s="34" t="n">
        <f aca="false">BD4388*M4388</f>
        <v>31617.6</v>
      </c>
      <c r="BG4388" s="35" t="n">
        <f aca="false">BA4388-BF4388</f>
        <v>0.399999999997817</v>
      </c>
      <c r="BH4388" s="19" t="str">
        <f aca="false">IF(BG4388=0,"",IF(BG4388&lt;&gt;BA4388,"erreur de calcul",IF(BD4388&lt;&gt;0,"pas de prix",IF(M4388&lt;&gt; 0,"pas de quantité","pas de prix, ni de quantité"))))</f>
        <v>erreur de calcul</v>
      </c>
      <c r="BI4388" s="19"/>
    </row>
    <row r="4389" customFormat="false" ht="15" hidden="false" customHeight="false" outlineLevel="0" collapsed="false">
      <c r="A4389" s="0" t="n">
        <v>11</v>
      </c>
      <c r="B4389" s="8" t="s">
        <v>24</v>
      </c>
      <c r="C4389" s="9" t="s">
        <v>25</v>
      </c>
      <c r="D4389" s="9" t="s">
        <v>26</v>
      </c>
      <c r="E4389" s="10" t="n">
        <v>1789</v>
      </c>
      <c r="F4389" s="9" t="s">
        <v>27</v>
      </c>
      <c r="G4389" s="9" t="s">
        <v>27</v>
      </c>
      <c r="H4389" s="11" t="n">
        <v>23</v>
      </c>
      <c r="I4389" s="11" t="s">
        <v>253</v>
      </c>
      <c r="J4389" s="14" t="n">
        <v>190</v>
      </c>
      <c r="K4389" s="14"/>
      <c r="L4389" s="16"/>
      <c r="M4389" s="27" t="n">
        <f aca="false">J4389+(K4389/20)+(L4389/240)</f>
        <v>190</v>
      </c>
      <c r="N4389" s="17" t="s">
        <v>64</v>
      </c>
      <c r="O4389" s="11"/>
      <c r="P4389" s="28"/>
      <c r="Q4389" s="28" t="n">
        <f aca="false">P4389*$M4389</f>
        <v>0</v>
      </c>
      <c r="R4389" s="28"/>
      <c r="S4389" s="28" t="n">
        <f aca="false">R4389*$M4389</f>
        <v>0</v>
      </c>
      <c r="T4389" s="28"/>
      <c r="U4389" s="28" t="n">
        <f aca="false">T4389*$M4389</f>
        <v>0</v>
      </c>
      <c r="V4389" s="28" t="n">
        <f aca="false">14963/100</f>
        <v>149.63</v>
      </c>
      <c r="W4389" s="36" t="n">
        <v>28420</v>
      </c>
      <c r="X4389" s="28"/>
      <c r="Y4389" s="28" t="n">
        <f aca="false">X4389*$M4389</f>
        <v>0</v>
      </c>
      <c r="Z4389" s="28"/>
      <c r="AA4389" s="28" t="n">
        <f aca="false">Z4389*$M4389</f>
        <v>0</v>
      </c>
      <c r="AB4389" s="28"/>
      <c r="AC4389" s="28" t="n">
        <f aca="false">AB4389*$M4389</f>
        <v>0</v>
      </c>
      <c r="AD4389" s="28"/>
      <c r="AE4389" s="28" t="n">
        <f aca="false">AD4389*$M4389</f>
        <v>0</v>
      </c>
      <c r="AF4389" s="28"/>
      <c r="AG4389" s="28" t="n">
        <f aca="false">AF4389*$M4389</f>
        <v>0</v>
      </c>
      <c r="AH4389" s="28"/>
      <c r="AI4389" s="28" t="n">
        <f aca="false">AH4389*$M4389</f>
        <v>0</v>
      </c>
      <c r="AJ4389" s="28"/>
      <c r="AK4389" s="28" t="n">
        <f aca="false">AJ4389*$M4389</f>
        <v>0</v>
      </c>
      <c r="AL4389" s="28"/>
      <c r="AM4389" s="28" t="n">
        <f aca="false">AL4389*$M4389</f>
        <v>0</v>
      </c>
      <c r="AN4389" s="28"/>
      <c r="AO4389" s="28" t="n">
        <f aca="false">AN4389*$M4389</f>
        <v>0</v>
      </c>
      <c r="AP4389" s="28"/>
      <c r="AQ4389" s="28" t="n">
        <f aca="false">AP4389*$M4389</f>
        <v>0</v>
      </c>
      <c r="AR4389" s="28"/>
      <c r="AS4389" s="28" t="n">
        <f aca="false">AR4389*$M4389</f>
        <v>0</v>
      </c>
      <c r="AT4389" s="28"/>
      <c r="AU4389" s="28" t="n">
        <f aca="false">AT4389*$M4389</f>
        <v>0</v>
      </c>
      <c r="AV4389" s="28"/>
      <c r="AW4389" s="28" t="n">
        <f aca="false">AV4389*$M4389</f>
        <v>0</v>
      </c>
      <c r="AX4389" s="28"/>
      <c r="AY4389" s="28" t="n">
        <f aca="false">AX4389*$M4389</f>
        <v>0</v>
      </c>
      <c r="AZ4389" s="30" t="n">
        <f aca="false">14963/100</f>
        <v>149.63</v>
      </c>
      <c r="BA4389" s="11" t="n">
        <v>28420</v>
      </c>
      <c r="BB4389" s="31" t="n">
        <f aca="false">SUM(Q4389,S4389,U4389,W4389,Y4389,AA4389,AC4389,AE4389,AG4389,AI4389,AK4389,AM4389,AO4389,AQ4389,AS4389,AU4389,AW4389,AY4389)</f>
        <v>28420</v>
      </c>
      <c r="BC4389" s="28" t="n">
        <f aca="false">BA4389-BB4389</f>
        <v>0</v>
      </c>
      <c r="BD4389" s="32" t="n">
        <f aca="false">SUM(P4389,R4389,T4389,V4389,X4389,Z4389,AB4389,AD4389,AF4389,AH4389,AJ4389,AL4389,AN4389,AP4389,AR4389,AT4389,AV4389,AX4389)</f>
        <v>149.63</v>
      </c>
      <c r="BE4389" s="33" t="n">
        <f aca="false">AZ4389-BD4389</f>
        <v>0</v>
      </c>
      <c r="BF4389" s="34" t="n">
        <f aca="false">BD4389*M4389</f>
        <v>28429.7</v>
      </c>
      <c r="BG4389" s="35" t="n">
        <f aca="false">BA4389-BF4389</f>
        <v>-9.70000000000073</v>
      </c>
      <c r="BH4389" s="19" t="str">
        <f aca="false">IF(BG4389=0,"",IF(BG4389&lt;&gt;BA4389,"erreur de calcul",IF(BD4389&lt;&gt;0,"pas de prix",IF(M4389&lt;&gt; 0,"pas de quantité","pas de prix, ni de quantité"))))</f>
        <v>erreur de calcul</v>
      </c>
      <c r="BI4389" s="19"/>
    </row>
    <row r="4390" customFormat="false" ht="15" hidden="false" customHeight="false" outlineLevel="0" collapsed="false">
      <c r="A4390" s="0" t="n">
        <v>12</v>
      </c>
      <c r="B4390" s="8" t="s">
        <v>24</v>
      </c>
      <c r="C4390" s="9" t="s">
        <v>25</v>
      </c>
      <c r="D4390" s="9" t="s">
        <v>26</v>
      </c>
      <c r="E4390" s="10" t="n">
        <v>1789</v>
      </c>
      <c r="F4390" s="9" t="s">
        <v>27</v>
      </c>
      <c r="G4390" s="9" t="s">
        <v>27</v>
      </c>
      <c r="H4390" s="11" t="n">
        <v>23</v>
      </c>
      <c r="I4390" s="11" t="s">
        <v>254</v>
      </c>
      <c r="J4390" s="14" t="n">
        <v>14</v>
      </c>
      <c r="K4390" s="14"/>
      <c r="L4390" s="16"/>
      <c r="M4390" s="27" t="n">
        <f aca="false">J4390+(K4390/20)+(L4390/240)</f>
        <v>14</v>
      </c>
      <c r="N4390" s="17" t="s">
        <v>64</v>
      </c>
      <c r="O4390" s="11"/>
      <c r="P4390" s="28"/>
      <c r="Q4390" s="28" t="n">
        <f aca="false">P4390*$M4390</f>
        <v>0</v>
      </c>
      <c r="R4390" s="28"/>
      <c r="S4390" s="28" t="n">
        <f aca="false">R4390*$M4390</f>
        <v>0</v>
      </c>
      <c r="T4390" s="28"/>
      <c r="U4390" s="28" t="n">
        <f aca="false">T4390*$M4390</f>
        <v>0</v>
      </c>
      <c r="V4390" s="28"/>
      <c r="W4390" s="28" t="n">
        <f aca="false">V4390*$M4390</f>
        <v>0</v>
      </c>
      <c r="X4390" s="28" t="n">
        <f aca="false">445483/100</f>
        <v>4454.83</v>
      </c>
      <c r="Y4390" s="28" t="n">
        <v>62368</v>
      </c>
      <c r="Z4390" s="28"/>
      <c r="AA4390" s="28" t="n">
        <f aca="false">Z4390*$M4390</f>
        <v>0</v>
      </c>
      <c r="AB4390" s="28"/>
      <c r="AC4390" s="28" t="n">
        <f aca="false">AB4390*$M4390</f>
        <v>0</v>
      </c>
      <c r="AD4390" s="28"/>
      <c r="AE4390" s="28" t="n">
        <f aca="false">AD4390*$M4390</f>
        <v>0</v>
      </c>
      <c r="AF4390" s="28"/>
      <c r="AG4390" s="28" t="n">
        <f aca="false">AF4390*$M4390</f>
        <v>0</v>
      </c>
      <c r="AH4390" s="28"/>
      <c r="AI4390" s="28" t="n">
        <f aca="false">AH4390*$M4390</f>
        <v>0</v>
      </c>
      <c r="AJ4390" s="28"/>
      <c r="AK4390" s="28" t="n">
        <f aca="false">AJ4390*$M4390</f>
        <v>0</v>
      </c>
      <c r="AL4390" s="28"/>
      <c r="AM4390" s="28" t="n">
        <f aca="false">AL4390*$M4390</f>
        <v>0</v>
      </c>
      <c r="AN4390" s="28"/>
      <c r="AO4390" s="28" t="n">
        <f aca="false">AN4390*$M4390</f>
        <v>0</v>
      </c>
      <c r="AP4390" s="28"/>
      <c r="AQ4390" s="28" t="n">
        <f aca="false">AP4390*$M4390</f>
        <v>0</v>
      </c>
      <c r="AR4390" s="28"/>
      <c r="AS4390" s="28" t="n">
        <f aca="false">AR4390*$M4390</f>
        <v>0</v>
      </c>
      <c r="AT4390" s="28"/>
      <c r="AU4390" s="28" t="n">
        <f aca="false">AT4390*$M4390</f>
        <v>0</v>
      </c>
      <c r="AV4390" s="28"/>
      <c r="AW4390" s="28" t="n">
        <f aca="false">AV4390*$M4390</f>
        <v>0</v>
      </c>
      <c r="AX4390" s="28"/>
      <c r="AY4390" s="28" t="n">
        <f aca="false">AX4390*$M4390</f>
        <v>0</v>
      </c>
      <c r="AZ4390" s="30" t="n">
        <f aca="false">445483/100</f>
        <v>4454.83</v>
      </c>
      <c r="BA4390" s="11" t="n">
        <v>62368</v>
      </c>
      <c r="BB4390" s="31" t="n">
        <f aca="false">SUM(Q4390,S4390,U4390,W4390,Y4390,AA4390,AC4390,AE4390,AG4390,AI4390,AK4390,AM4390,AO4390,AQ4390,AS4390,AU4390,AW4390,AY4390)</f>
        <v>62368</v>
      </c>
      <c r="BC4390" s="28" t="n">
        <f aca="false">BA4390-BB4390</f>
        <v>0</v>
      </c>
      <c r="BD4390" s="32" t="n">
        <f aca="false">SUM(P4390,R4390,T4390,V4390,X4390,Z4390,AB4390,AD4390,AF4390,AH4390,AJ4390,AL4390,AN4390,AP4390,AR4390,AT4390,AV4390,AX4390)</f>
        <v>4454.83</v>
      </c>
      <c r="BE4390" s="33" t="n">
        <f aca="false">AZ4390-BD4390</f>
        <v>0</v>
      </c>
      <c r="BF4390" s="34" t="n">
        <f aca="false">BD4390*M4390</f>
        <v>62367.62</v>
      </c>
      <c r="BG4390" s="35" t="n">
        <f aca="false">BA4390-BF4390</f>
        <v>0.380000000004657</v>
      </c>
      <c r="BH4390" s="19" t="str">
        <f aca="false">IF(BG4390=0,"",IF(BG4390&lt;&gt;BA4390,"erreur de calcul",IF(BD4390&lt;&gt;0,"pas de prix",IF(M4390&lt;&gt; 0,"pas de quantité","pas de prix, ni de quantité"))))</f>
        <v>erreur de calcul</v>
      </c>
      <c r="BI4390" s="19"/>
    </row>
    <row r="4391" customFormat="false" ht="15" hidden="false" customHeight="false" outlineLevel="0" collapsed="false">
      <c r="A4391" s="0" t="n">
        <v>13</v>
      </c>
      <c r="B4391" s="8" t="s">
        <v>24</v>
      </c>
      <c r="C4391" s="9" t="s">
        <v>25</v>
      </c>
      <c r="D4391" s="9" t="s">
        <v>26</v>
      </c>
      <c r="E4391" s="10" t="n">
        <v>1789</v>
      </c>
      <c r="F4391" s="9" t="s">
        <v>27</v>
      </c>
      <c r="G4391" s="9" t="s">
        <v>27</v>
      </c>
      <c r="H4391" s="11" t="n">
        <v>23</v>
      </c>
      <c r="I4391" s="11" t="s">
        <v>255</v>
      </c>
      <c r="J4391" s="14" t="n">
        <v>6</v>
      </c>
      <c r="K4391" s="14"/>
      <c r="L4391" s="16"/>
      <c r="M4391" s="27" t="n">
        <f aca="false">J4391+(K4391/20)+(L4391/240)</f>
        <v>6</v>
      </c>
      <c r="N4391" s="17" t="s">
        <v>64</v>
      </c>
      <c r="O4391" s="11"/>
      <c r="P4391" s="28"/>
      <c r="Q4391" s="28" t="n">
        <f aca="false">P4391*$M4391</f>
        <v>0</v>
      </c>
      <c r="R4391" s="28"/>
      <c r="S4391" s="28" t="n">
        <f aca="false">R4391*$M4391</f>
        <v>0</v>
      </c>
      <c r="T4391" s="28"/>
      <c r="U4391" s="28" t="n">
        <f aca="false">T4391*$M4391</f>
        <v>0</v>
      </c>
      <c r="V4391" s="28" t="n">
        <f aca="false">8263/100</f>
        <v>82.63</v>
      </c>
      <c r="W4391" s="28" t="n">
        <v>496</v>
      </c>
      <c r="X4391" s="28"/>
      <c r="Y4391" s="28" t="n">
        <f aca="false">X4391*$M4391</f>
        <v>0</v>
      </c>
      <c r="Z4391" s="28" t="n">
        <f aca="false">62695/100</f>
        <v>626.95</v>
      </c>
      <c r="AA4391" s="28" t="n">
        <v>3762</v>
      </c>
      <c r="AB4391" s="28"/>
      <c r="AC4391" s="28" t="n">
        <f aca="false">AB4391*$M4391</f>
        <v>0</v>
      </c>
      <c r="AD4391" s="28"/>
      <c r="AE4391" s="28" t="n">
        <f aca="false">AD4391*$M4391</f>
        <v>0</v>
      </c>
      <c r="AF4391" s="28"/>
      <c r="AG4391" s="28" t="n">
        <f aca="false">AF4391*$M4391</f>
        <v>0</v>
      </c>
      <c r="AH4391" s="28"/>
      <c r="AI4391" s="28" t="n">
        <f aca="false">AH4391*$M4391</f>
        <v>0</v>
      </c>
      <c r="AJ4391" s="28"/>
      <c r="AK4391" s="28" t="n">
        <f aca="false">AJ4391*$M4391</f>
        <v>0</v>
      </c>
      <c r="AL4391" s="28"/>
      <c r="AM4391" s="28" t="n">
        <f aca="false">AL4391*$M4391</f>
        <v>0</v>
      </c>
      <c r="AN4391" s="28"/>
      <c r="AO4391" s="28" t="n">
        <f aca="false">AN4391*$M4391</f>
        <v>0</v>
      </c>
      <c r="AP4391" s="28"/>
      <c r="AQ4391" s="28" t="n">
        <f aca="false">AP4391*$M4391</f>
        <v>0</v>
      </c>
      <c r="AR4391" s="28"/>
      <c r="AS4391" s="28" t="n">
        <f aca="false">AR4391*$M4391</f>
        <v>0</v>
      </c>
      <c r="AT4391" s="28"/>
      <c r="AU4391" s="28" t="n">
        <f aca="false">AT4391*$M4391</f>
        <v>0</v>
      </c>
      <c r="AV4391" s="28"/>
      <c r="AW4391" s="28" t="n">
        <f aca="false">AV4391*$M4391</f>
        <v>0</v>
      </c>
      <c r="AX4391" s="28"/>
      <c r="AY4391" s="28" t="n">
        <f aca="false">AX4391*$M4391</f>
        <v>0</v>
      </c>
      <c r="AZ4391" s="30" t="n">
        <f aca="false">70958/100</f>
        <v>709.58</v>
      </c>
      <c r="BA4391" s="11" t="n">
        <v>4258</v>
      </c>
      <c r="BB4391" s="31" t="n">
        <f aca="false">SUM(Q4391,S4391,U4391,W4391,Y4391,AA4391,AC4391,AE4391,AG4391,AI4391,AK4391,AM4391,AO4391,AQ4391,AS4391,AU4391,AW4391,AY4391)</f>
        <v>4258</v>
      </c>
      <c r="BC4391" s="28" t="n">
        <f aca="false">BA4391-BB4391</f>
        <v>0</v>
      </c>
      <c r="BD4391" s="32" t="n">
        <f aca="false">SUM(P4391,R4391,T4391,V4391,X4391,Z4391,AB4391,AD4391,AF4391,AH4391,AJ4391,AL4391,AN4391,AP4391,AR4391,AT4391,AV4391,AX4391)</f>
        <v>709.58</v>
      </c>
      <c r="BE4391" s="33" t="n">
        <f aca="false">AZ4391-BD4391</f>
        <v>0</v>
      </c>
      <c r="BF4391" s="34" t="n">
        <f aca="false">BD4391*M4391</f>
        <v>4257.48</v>
      </c>
      <c r="BG4391" s="35" t="n">
        <f aca="false">BA4391-BF4391</f>
        <v>0.519999999999527</v>
      </c>
      <c r="BH4391" s="19" t="str">
        <f aca="false">IF(BG4391=0,"",IF(BG4391&lt;&gt;BA4391,"erreur de calcul",IF(BD4391&lt;&gt;0,"pas de prix",IF(M4391&lt;&gt; 0,"pas de quantité","pas de prix, ni de quantité"))))</f>
        <v>erreur de calcul</v>
      </c>
      <c r="BI4391" s="19"/>
    </row>
    <row r="4392" customFormat="false" ht="15" hidden="false" customHeight="false" outlineLevel="0" collapsed="false">
      <c r="A4392" s="0" t="n">
        <v>14</v>
      </c>
      <c r="B4392" s="8" t="s">
        <v>24</v>
      </c>
      <c r="C4392" s="9" t="s">
        <v>25</v>
      </c>
      <c r="D4392" s="9" t="s">
        <v>26</v>
      </c>
      <c r="E4392" s="10" t="n">
        <v>1789</v>
      </c>
      <c r="F4392" s="9" t="s">
        <v>27</v>
      </c>
      <c r="G4392" s="9" t="s">
        <v>27</v>
      </c>
      <c r="H4392" s="11" t="n">
        <v>23</v>
      </c>
      <c r="I4392" s="11" t="s">
        <v>256</v>
      </c>
      <c r="J4392" s="14" t="n">
        <v>30</v>
      </c>
      <c r="K4392" s="14"/>
      <c r="L4392" s="16"/>
      <c r="M4392" s="27" t="n">
        <f aca="false">J4392+(K4392/20)+(L4392/240)</f>
        <v>30</v>
      </c>
      <c r="N4392" s="17" t="s">
        <v>64</v>
      </c>
      <c r="O4392" s="11"/>
      <c r="P4392" s="28" t="n">
        <f aca="false">1584/100</f>
        <v>15.84</v>
      </c>
      <c r="Q4392" s="28" t="n">
        <v>475</v>
      </c>
      <c r="R4392" s="28"/>
      <c r="S4392" s="28" t="n">
        <f aca="false">R4392*$M4392</f>
        <v>0</v>
      </c>
      <c r="T4392" s="28" t="n">
        <f aca="false">78834/100</f>
        <v>788.34</v>
      </c>
      <c r="U4392" s="28" t="n">
        <v>23650</v>
      </c>
      <c r="V4392" s="28"/>
      <c r="W4392" s="28" t="n">
        <f aca="false">V4392*$M4392</f>
        <v>0</v>
      </c>
      <c r="X4392" s="28"/>
      <c r="Y4392" s="28" t="n">
        <f aca="false">X4392*$M4392</f>
        <v>0</v>
      </c>
      <c r="Z4392" s="28"/>
      <c r="AA4392" s="28" t="n">
        <f aca="false">Z4392*$M4392</f>
        <v>0</v>
      </c>
      <c r="AB4392" s="28"/>
      <c r="AC4392" s="28" t="n">
        <f aca="false">AB4392*$M4392</f>
        <v>0</v>
      </c>
      <c r="AD4392" s="28"/>
      <c r="AE4392" s="28" t="n">
        <f aca="false">AD4392*$M4392</f>
        <v>0</v>
      </c>
      <c r="AF4392" s="28"/>
      <c r="AG4392" s="28" t="n">
        <f aca="false">AF4392*$M4392</f>
        <v>0</v>
      </c>
      <c r="AH4392" s="28"/>
      <c r="AI4392" s="28" t="n">
        <f aca="false">AH4392*$M4392</f>
        <v>0</v>
      </c>
      <c r="AJ4392" s="28"/>
      <c r="AK4392" s="28" t="n">
        <f aca="false">AJ4392*$M4392</f>
        <v>0</v>
      </c>
      <c r="AL4392" s="28"/>
      <c r="AM4392" s="28" t="n">
        <f aca="false">AL4392*$M4392</f>
        <v>0</v>
      </c>
      <c r="AN4392" s="28"/>
      <c r="AO4392" s="28" t="n">
        <f aca="false">AN4392*$M4392</f>
        <v>0</v>
      </c>
      <c r="AP4392" s="28"/>
      <c r="AQ4392" s="28" t="n">
        <f aca="false">AP4392*$M4392</f>
        <v>0</v>
      </c>
      <c r="AR4392" s="28"/>
      <c r="AS4392" s="28" t="n">
        <f aca="false">AR4392*$M4392</f>
        <v>0</v>
      </c>
      <c r="AT4392" s="28"/>
      <c r="AU4392" s="28" t="n">
        <f aca="false">AT4392*$M4392</f>
        <v>0</v>
      </c>
      <c r="AV4392" s="28"/>
      <c r="AW4392" s="28" t="n">
        <f aca="false">AV4392*$M4392</f>
        <v>0</v>
      </c>
      <c r="AX4392" s="28"/>
      <c r="AY4392" s="28" t="n">
        <f aca="false">AX4392*$M4392</f>
        <v>0</v>
      </c>
      <c r="AZ4392" s="30" t="n">
        <f aca="false">80418/100</f>
        <v>804.18</v>
      </c>
      <c r="BA4392" s="11" t="n">
        <v>24125</v>
      </c>
      <c r="BB4392" s="31" t="n">
        <f aca="false">SUM(Q4392,S4392,U4392,W4392,Y4392,AA4392,AC4392,AE4392,AG4392,AI4392,AK4392,AM4392,AO4392,AQ4392,AS4392,AU4392,AW4392,AY4392)</f>
        <v>24125</v>
      </c>
      <c r="BC4392" s="28" t="n">
        <f aca="false">BA4392-BB4392</f>
        <v>0</v>
      </c>
      <c r="BD4392" s="32" t="n">
        <f aca="false">SUM(P4392,R4392,T4392,V4392,X4392,Z4392,AB4392,AD4392,AF4392,AH4392,AJ4392,AL4392,AN4392,AP4392,AR4392,AT4392,AV4392,AX4392)</f>
        <v>804.18</v>
      </c>
      <c r="BE4392" s="33" t="n">
        <f aca="false">AZ4392-BD4392</f>
        <v>0</v>
      </c>
      <c r="BF4392" s="34" t="n">
        <f aca="false">BD4392*M4392</f>
        <v>24125.4</v>
      </c>
      <c r="BG4392" s="35" t="n">
        <f aca="false">BA4392-BF4392</f>
        <v>-0.400000000001455</v>
      </c>
      <c r="BH4392" s="19" t="str">
        <f aca="false">IF(BG4392=0,"",IF(BG4392&lt;&gt;BA4392,"erreur de calcul",IF(BD4392&lt;&gt;0,"pas de prix",IF(M4392&lt;&gt; 0,"pas de quantité","pas de prix, ni de quantité"))))</f>
        <v>erreur de calcul</v>
      </c>
      <c r="BI4392" s="19"/>
    </row>
    <row r="4393" customFormat="false" ht="15" hidden="false" customHeight="false" outlineLevel="0" collapsed="false">
      <c r="A4393" s="0" t="n">
        <v>15</v>
      </c>
      <c r="B4393" s="8" t="s">
        <v>24</v>
      </c>
      <c r="C4393" s="9" t="s">
        <v>25</v>
      </c>
      <c r="D4393" s="9" t="s">
        <v>26</v>
      </c>
      <c r="E4393" s="10" t="n">
        <v>1789</v>
      </c>
      <c r="F4393" s="9" t="s">
        <v>27</v>
      </c>
      <c r="G4393" s="9" t="s">
        <v>27</v>
      </c>
      <c r="H4393" s="11" t="n">
        <v>23</v>
      </c>
      <c r="I4393" s="11" t="s">
        <v>257</v>
      </c>
      <c r="J4393" s="14" t="n">
        <v>40</v>
      </c>
      <c r="K4393" s="14"/>
      <c r="L4393" s="16"/>
      <c r="M4393" s="27" t="n">
        <f aca="false">J4393+(K4393/20)+(L4393/240)</f>
        <v>40</v>
      </c>
      <c r="N4393" s="17" t="s">
        <v>64</v>
      </c>
      <c r="O4393" s="11"/>
      <c r="P4393" s="28"/>
      <c r="Q4393" s="28" t="n">
        <f aca="false">P4393*$M4393</f>
        <v>0</v>
      </c>
      <c r="R4393" s="28"/>
      <c r="S4393" s="28" t="n">
        <f aca="false">R4393*$M4393</f>
        <v>0</v>
      </c>
      <c r="T4393" s="28"/>
      <c r="U4393" s="28" t="n">
        <f aca="false">T4393*$M4393</f>
        <v>0</v>
      </c>
      <c r="V4393" s="28"/>
      <c r="W4393" s="28" t="n">
        <f aca="false">V4393*$M4393</f>
        <v>0</v>
      </c>
      <c r="X4393" s="28"/>
      <c r="Y4393" s="28" t="n">
        <f aca="false">X4393*$M4393</f>
        <v>0</v>
      </c>
      <c r="Z4393" s="28"/>
      <c r="AA4393" s="28" t="n">
        <f aca="false">Z4393*$M4393</f>
        <v>0</v>
      </c>
      <c r="AB4393" s="28"/>
      <c r="AC4393" s="28" t="n">
        <f aca="false">AB4393*$M4393</f>
        <v>0</v>
      </c>
      <c r="AD4393" s="28"/>
      <c r="AE4393" s="28" t="n">
        <f aca="false">AD4393*$M4393</f>
        <v>0</v>
      </c>
      <c r="AF4393" s="28"/>
      <c r="AG4393" s="28" t="n">
        <f aca="false">AF4393*$M4393</f>
        <v>0</v>
      </c>
      <c r="AH4393" s="28"/>
      <c r="AI4393" s="28" t="n">
        <f aca="false">AH4393*$M4393</f>
        <v>0</v>
      </c>
      <c r="AJ4393" s="28" t="n">
        <f aca="false">784564/100</f>
        <v>7845.64</v>
      </c>
      <c r="AK4393" s="28" t="n">
        <v>313826</v>
      </c>
      <c r="AL4393" s="28" t="n">
        <f aca="false">33500/100</f>
        <v>335</v>
      </c>
      <c r="AM4393" s="28" t="n">
        <v>13400</v>
      </c>
      <c r="AN4393" s="28"/>
      <c r="AO4393" s="28" t="n">
        <f aca="false">AN4393*$M4393</f>
        <v>0</v>
      </c>
      <c r="AP4393" s="28"/>
      <c r="AQ4393" s="28" t="n">
        <f aca="false">AP4393*$M4393</f>
        <v>0</v>
      </c>
      <c r="AR4393" s="28"/>
      <c r="AS4393" s="28" t="n">
        <f aca="false">AR4393*$M4393</f>
        <v>0</v>
      </c>
      <c r="AT4393" s="28"/>
      <c r="AU4393" s="28" t="n">
        <f aca="false">AT4393*$M4393</f>
        <v>0</v>
      </c>
      <c r="AV4393" s="28"/>
      <c r="AW4393" s="28" t="n">
        <f aca="false">AV4393*$M4393</f>
        <v>0</v>
      </c>
      <c r="AX4393" s="28"/>
      <c r="AY4393" s="28" t="n">
        <f aca="false">AX4393*$M4393</f>
        <v>0</v>
      </c>
      <c r="AZ4393" s="30" t="n">
        <f aca="false">818064/100</f>
        <v>8180.64</v>
      </c>
      <c r="BA4393" s="11" t="n">
        <v>327226</v>
      </c>
      <c r="BB4393" s="31" t="n">
        <f aca="false">SUM(Q4393,S4393,U4393,W4393,Y4393,AA4393,AC4393,AE4393,AG4393,AI4393,AK4393,AM4393,AO4393,AQ4393,AS4393,AU4393,AW4393,AY4393)</f>
        <v>327226</v>
      </c>
      <c r="BC4393" s="28" t="n">
        <f aca="false">BA4393-BB4393</f>
        <v>0</v>
      </c>
      <c r="BD4393" s="32" t="n">
        <f aca="false">SUM(P4393,R4393,T4393,V4393,X4393,Z4393,AB4393,AD4393,AF4393,AH4393,AJ4393,AL4393,AN4393,AP4393,AR4393,AT4393,AV4393,AX4393)</f>
        <v>8180.64</v>
      </c>
      <c r="BE4393" s="33" t="n">
        <f aca="false">AZ4393-BD4393</f>
        <v>0</v>
      </c>
      <c r="BF4393" s="34" t="n">
        <f aca="false">BD4393*M4393</f>
        <v>327225.6</v>
      </c>
      <c r="BG4393" s="35" t="n">
        <f aca="false">BA4393-BF4393</f>
        <v>0.399999999965075</v>
      </c>
      <c r="BH4393" s="19" t="str">
        <f aca="false">IF(BG4393=0,"",IF(BG4393&lt;&gt;BA4393,"erreur de calcul",IF(BD4393&lt;&gt;0,"pas de prix",IF(M4393&lt;&gt; 0,"pas de quantité","pas de prix, ni de quantité"))))</f>
        <v>erreur de calcul</v>
      </c>
      <c r="BI4393" s="19"/>
    </row>
    <row r="4394" customFormat="false" ht="15" hidden="false" customHeight="false" outlineLevel="0" collapsed="false">
      <c r="A4394" s="0" t="n">
        <v>16</v>
      </c>
      <c r="B4394" s="8" t="s">
        <v>24</v>
      </c>
      <c r="C4394" s="9" t="s">
        <v>25</v>
      </c>
      <c r="D4394" s="9" t="s">
        <v>26</v>
      </c>
      <c r="E4394" s="10" t="n">
        <v>1789</v>
      </c>
      <c r="F4394" s="9" t="s">
        <v>27</v>
      </c>
      <c r="G4394" s="9" t="s">
        <v>27</v>
      </c>
      <c r="H4394" s="11" t="n">
        <v>23</v>
      </c>
      <c r="I4394" s="11" t="s">
        <v>258</v>
      </c>
      <c r="J4394" s="14" t="n">
        <v>75</v>
      </c>
      <c r="K4394" s="14"/>
      <c r="L4394" s="16"/>
      <c r="M4394" s="27" t="n">
        <f aca="false">J4394+(K4394/20)+(L4394/240)</f>
        <v>75</v>
      </c>
      <c r="N4394" s="17" t="s">
        <v>64</v>
      </c>
      <c r="O4394" s="11"/>
      <c r="P4394" s="28"/>
      <c r="Q4394" s="28" t="n">
        <f aca="false">P4394*$M4394</f>
        <v>0</v>
      </c>
      <c r="R4394" s="28"/>
      <c r="S4394" s="28" t="n">
        <f aca="false">R4394*$M4394</f>
        <v>0</v>
      </c>
      <c r="T4394" s="28" t="n">
        <f aca="false">1000/100</f>
        <v>10</v>
      </c>
      <c r="U4394" s="28" t="n">
        <v>750</v>
      </c>
      <c r="V4394" s="28" t="n">
        <f aca="false">17232/100</f>
        <v>172.32</v>
      </c>
      <c r="W4394" s="28" t="n">
        <v>12924</v>
      </c>
      <c r="X4394" s="28" t="n">
        <f aca="false">942/100</f>
        <v>9.42</v>
      </c>
      <c r="Y4394" s="28" t="n">
        <v>706</v>
      </c>
      <c r="Z4394" s="28"/>
      <c r="AA4394" s="28" t="n">
        <f aca="false">Z4394*$M4394</f>
        <v>0</v>
      </c>
      <c r="AB4394" s="28" t="n">
        <f aca="false">415/100</f>
        <v>4.15</v>
      </c>
      <c r="AC4394" s="28" t="n">
        <v>311</v>
      </c>
      <c r="AD4394" s="28"/>
      <c r="AE4394" s="28" t="n">
        <f aca="false">AD4394*$M4394</f>
        <v>0</v>
      </c>
      <c r="AF4394" s="28"/>
      <c r="AG4394" s="28" t="n">
        <f aca="false">AF4394*$M4394</f>
        <v>0</v>
      </c>
      <c r="AH4394" s="28"/>
      <c r="AI4394" s="28" t="n">
        <f aca="false">AH4394*$M4394</f>
        <v>0</v>
      </c>
      <c r="AJ4394" s="28"/>
      <c r="AK4394" s="28" t="n">
        <f aca="false">AJ4394*$M4394</f>
        <v>0</v>
      </c>
      <c r="AL4394" s="28"/>
      <c r="AM4394" s="28" t="n">
        <f aca="false">AL4394*$M4394</f>
        <v>0</v>
      </c>
      <c r="AN4394" s="28"/>
      <c r="AO4394" s="28" t="n">
        <f aca="false">AN4394*$M4394</f>
        <v>0</v>
      </c>
      <c r="AP4394" s="28"/>
      <c r="AQ4394" s="28" t="n">
        <f aca="false">AP4394*$M4394</f>
        <v>0</v>
      </c>
      <c r="AR4394" s="28"/>
      <c r="AS4394" s="28" t="n">
        <f aca="false">AR4394*$M4394</f>
        <v>0</v>
      </c>
      <c r="AT4394" s="28"/>
      <c r="AU4394" s="28" t="n">
        <f aca="false">AT4394*$M4394</f>
        <v>0</v>
      </c>
      <c r="AV4394" s="28"/>
      <c r="AW4394" s="28" t="n">
        <f aca="false">AV4394*$M4394</f>
        <v>0</v>
      </c>
      <c r="AX4394" s="28"/>
      <c r="AY4394" s="28" t="n">
        <f aca="false">AX4394*$M4394</f>
        <v>0</v>
      </c>
      <c r="AZ4394" s="30" t="n">
        <f aca="false">19589/100</f>
        <v>195.89</v>
      </c>
      <c r="BA4394" s="11" t="n">
        <v>14691</v>
      </c>
      <c r="BB4394" s="31" t="n">
        <f aca="false">SUM(Q4394,S4394,U4394,W4394,Y4394,AA4394,AC4394,AE4394,AG4394,AI4394,AK4394,AM4394,AO4394,AQ4394,AS4394,AU4394,AW4394,AY4394)</f>
        <v>14691</v>
      </c>
      <c r="BC4394" s="28" t="n">
        <f aca="false">BA4394-BB4394</f>
        <v>0</v>
      </c>
      <c r="BD4394" s="32" t="n">
        <f aca="false">SUM(P4394,R4394,T4394,V4394,X4394,Z4394,AB4394,AD4394,AF4394,AH4394,AJ4394,AL4394,AN4394,AP4394,AR4394,AT4394,AV4394,AX4394)</f>
        <v>195.89</v>
      </c>
      <c r="BE4394" s="33" t="n">
        <f aca="false">AZ4394-BD4394</f>
        <v>0</v>
      </c>
      <c r="BF4394" s="34" t="n">
        <f aca="false">BD4394*M4394</f>
        <v>14691.75</v>
      </c>
      <c r="BG4394" s="35" t="n">
        <f aca="false">BA4394-BF4394</f>
        <v>-0.749999999998181</v>
      </c>
      <c r="BH4394" s="19" t="str">
        <f aca="false">IF(BG4394=0,"",IF(BG4394&lt;&gt;BA4394,"erreur de calcul",IF(BD4394&lt;&gt;0,"pas de prix",IF(M4394&lt;&gt; 0,"pas de quantité","pas de prix, ni de quantité"))))</f>
        <v>erreur de calcul</v>
      </c>
      <c r="BI4394" s="19"/>
    </row>
    <row r="4395" customFormat="false" ht="15" hidden="false" customHeight="false" outlineLevel="0" collapsed="false">
      <c r="A4395" s="0" t="n">
        <v>17</v>
      </c>
      <c r="B4395" s="8" t="s">
        <v>24</v>
      </c>
      <c r="C4395" s="9" t="s">
        <v>25</v>
      </c>
      <c r="D4395" s="9" t="s">
        <v>26</v>
      </c>
      <c r="E4395" s="10" t="n">
        <v>1789</v>
      </c>
      <c r="F4395" s="9" t="s">
        <v>27</v>
      </c>
      <c r="G4395" s="9" t="s">
        <v>27</v>
      </c>
      <c r="H4395" s="11" t="n">
        <v>23</v>
      </c>
      <c r="I4395" s="11" t="s">
        <v>259</v>
      </c>
      <c r="J4395" s="14"/>
      <c r="K4395" s="14"/>
      <c r="L4395" s="16"/>
      <c r="M4395" s="27" t="n">
        <f aca="false">J4395+(K4395/20)+(L4395/240)</f>
        <v>0</v>
      </c>
      <c r="N4395" s="17"/>
      <c r="O4395" s="11"/>
      <c r="P4395" s="28"/>
      <c r="Q4395" s="28" t="n">
        <v>957</v>
      </c>
      <c r="R4395" s="28"/>
      <c r="S4395" s="28" t="n">
        <f aca="false">R4395*$M4395</f>
        <v>0</v>
      </c>
      <c r="T4395" s="28"/>
      <c r="U4395" s="28" t="n">
        <v>354</v>
      </c>
      <c r="V4395" s="28"/>
      <c r="W4395" s="28" t="n">
        <v>398</v>
      </c>
      <c r="X4395" s="28"/>
      <c r="Y4395" s="28" t="n">
        <v>685</v>
      </c>
      <c r="Z4395" s="28"/>
      <c r="AA4395" s="28" t="n">
        <v>120</v>
      </c>
      <c r="AB4395" s="28"/>
      <c r="AC4395" s="28" t="n">
        <v>2994</v>
      </c>
      <c r="AD4395" s="28"/>
      <c r="AE4395" s="28" t="n">
        <f aca="false">AD4395*$M4395</f>
        <v>0</v>
      </c>
      <c r="AF4395" s="28"/>
      <c r="AG4395" s="28" t="n">
        <f aca="false">AF4395*$M4395</f>
        <v>0</v>
      </c>
      <c r="AH4395" s="28"/>
      <c r="AI4395" s="28" t="n">
        <v>144</v>
      </c>
      <c r="AJ4395" s="28"/>
      <c r="AK4395" s="28" t="n">
        <f aca="false">AJ4395*$M4395</f>
        <v>0</v>
      </c>
      <c r="AL4395" s="28"/>
      <c r="AM4395" s="28" t="n">
        <f aca="false">AL4395*$M4395</f>
        <v>0</v>
      </c>
      <c r="AN4395" s="28"/>
      <c r="AO4395" s="28" t="n">
        <f aca="false">AN4395*$M4395</f>
        <v>0</v>
      </c>
      <c r="AP4395" s="28"/>
      <c r="AQ4395" s="28" t="n">
        <f aca="false">AP4395*$M4395</f>
        <v>0</v>
      </c>
      <c r="AR4395" s="28"/>
      <c r="AS4395" s="28" t="n">
        <f aca="false">AR4395*$M4395</f>
        <v>0</v>
      </c>
      <c r="AT4395" s="28"/>
      <c r="AU4395" s="28" t="n">
        <f aca="false">AT4395*$M4395</f>
        <v>0</v>
      </c>
      <c r="AV4395" s="28"/>
      <c r="AW4395" s="28" t="n">
        <f aca="false">AV4395*$M4395</f>
        <v>0</v>
      </c>
      <c r="AX4395" s="28"/>
      <c r="AY4395" s="28" t="n">
        <f aca="false">AX4395*$M4395</f>
        <v>0</v>
      </c>
      <c r="AZ4395" s="30"/>
      <c r="BA4395" s="11" t="n">
        <v>5652</v>
      </c>
      <c r="BB4395" s="31" t="n">
        <f aca="false">SUM(Q4395,S4395,U4395,W4395,Y4395,AA4395,AC4395,AE4395,AG4395,AI4395,AK4395,AM4395,AO4395,AQ4395,AS4395,AU4395,AW4395,AY4395)</f>
        <v>5652</v>
      </c>
      <c r="BC4395" s="28" t="n">
        <f aca="false">BA4395-BB4395</f>
        <v>0</v>
      </c>
      <c r="BD4395" s="32" t="n">
        <f aca="false">SUM(P4395,R4395,T4395,V4395,X4395,Z4395,AB4395,AD4395,AF4395,AH4395,AJ4395,AL4395,AN4395,AP4395,AR4395,AT4395,AV4395,AX4395)</f>
        <v>0</v>
      </c>
      <c r="BE4395" s="33" t="n">
        <f aca="false">AZ4395-BD4395</f>
        <v>0</v>
      </c>
      <c r="BF4395" s="34" t="n">
        <f aca="false">BD4395*M4395</f>
        <v>0</v>
      </c>
      <c r="BG4395" s="35" t="n">
        <f aca="false">BA4395-BF4395</f>
        <v>5652</v>
      </c>
      <c r="BH4395" s="19" t="str">
        <f aca="false">IF(BG4395=0,"",IF(BG4395&lt;&gt;BA4395,"erreur de calcul",IF(BD4395&lt;&gt;0,"pas de prix",IF(M4395&lt;&gt; 0,"pas de quantité","pas de prix, ni de quantité"))))</f>
        <v>pas de prix, ni de quantité</v>
      </c>
      <c r="BI4395" s="19"/>
    </row>
    <row r="4396" customFormat="false" ht="15" hidden="false" customHeight="false" outlineLevel="0" collapsed="false">
      <c r="A4396" s="0" t="n">
        <v>18</v>
      </c>
      <c r="B4396" s="8" t="s">
        <v>24</v>
      </c>
      <c r="C4396" s="9" t="s">
        <v>25</v>
      </c>
      <c r="D4396" s="9" t="s">
        <v>26</v>
      </c>
      <c r="E4396" s="10" t="n">
        <v>1789</v>
      </c>
      <c r="F4396" s="9" t="s">
        <v>27</v>
      </c>
      <c r="G4396" s="9" t="s">
        <v>27</v>
      </c>
      <c r="H4396" s="11" t="n">
        <v>23</v>
      </c>
      <c r="I4396" s="11" t="s">
        <v>260</v>
      </c>
      <c r="J4396" s="14" t="n">
        <v>88</v>
      </c>
      <c r="K4396" s="14"/>
      <c r="L4396" s="16"/>
      <c r="M4396" s="27" t="n">
        <f aca="false">J4396+(K4396/20)+(L4396/240)</f>
        <v>88</v>
      </c>
      <c r="N4396" s="17" t="s">
        <v>64</v>
      </c>
      <c r="O4396" s="11"/>
      <c r="P4396" s="28"/>
      <c r="Q4396" s="28" t="n">
        <f aca="false">P4396*$M4396</f>
        <v>0</v>
      </c>
      <c r="R4396" s="28"/>
      <c r="S4396" s="28" t="n">
        <f aca="false">R4396*$M4396</f>
        <v>0</v>
      </c>
      <c r="T4396" s="28"/>
      <c r="U4396" s="28" t="n">
        <f aca="false">T4396*$M4396</f>
        <v>0</v>
      </c>
      <c r="V4396" s="28" t="n">
        <f aca="false">21004/100</f>
        <v>210.04</v>
      </c>
      <c r="W4396" s="28" t="n">
        <v>18483</v>
      </c>
      <c r="X4396" s="28"/>
      <c r="Y4396" s="28" t="n">
        <f aca="false">X4396*$M4396</f>
        <v>0</v>
      </c>
      <c r="Z4396" s="28"/>
      <c r="AA4396" s="28" t="n">
        <f aca="false">Z4396*$M4396</f>
        <v>0</v>
      </c>
      <c r="AB4396" s="28"/>
      <c r="AC4396" s="28" t="n">
        <f aca="false">AB4396*$M4396</f>
        <v>0</v>
      </c>
      <c r="AD4396" s="28"/>
      <c r="AE4396" s="28" t="n">
        <f aca="false">AD4396*$M4396</f>
        <v>0</v>
      </c>
      <c r="AF4396" s="28"/>
      <c r="AG4396" s="28" t="n">
        <f aca="false">AF4396*$M4396</f>
        <v>0</v>
      </c>
      <c r="AH4396" s="28"/>
      <c r="AI4396" s="28" t="n">
        <f aca="false">AH4396*$M4396</f>
        <v>0</v>
      </c>
      <c r="AJ4396" s="28"/>
      <c r="AK4396" s="28" t="n">
        <f aca="false">AJ4396*$M4396</f>
        <v>0</v>
      </c>
      <c r="AL4396" s="28"/>
      <c r="AM4396" s="28" t="n">
        <f aca="false">AL4396*$M4396</f>
        <v>0</v>
      </c>
      <c r="AN4396" s="28"/>
      <c r="AO4396" s="28" t="n">
        <f aca="false">AN4396*$M4396</f>
        <v>0</v>
      </c>
      <c r="AP4396" s="28"/>
      <c r="AQ4396" s="28" t="n">
        <f aca="false">AP4396*$M4396</f>
        <v>0</v>
      </c>
      <c r="AR4396" s="28"/>
      <c r="AS4396" s="28" t="n">
        <f aca="false">AR4396*$M4396</f>
        <v>0</v>
      </c>
      <c r="AT4396" s="28"/>
      <c r="AU4396" s="28" t="n">
        <f aca="false">AT4396*$M4396</f>
        <v>0</v>
      </c>
      <c r="AV4396" s="28"/>
      <c r="AW4396" s="28" t="n">
        <f aca="false">AV4396*$M4396</f>
        <v>0</v>
      </c>
      <c r="AX4396" s="28"/>
      <c r="AY4396" s="28" t="n">
        <f aca="false">AX4396*$M4396</f>
        <v>0</v>
      </c>
      <c r="AZ4396" s="30" t="n">
        <f aca="false">21004/100</f>
        <v>210.04</v>
      </c>
      <c r="BA4396" s="11" t="n">
        <v>18483</v>
      </c>
      <c r="BB4396" s="31" t="n">
        <f aca="false">SUM(Q4396,S4396,U4396,W4396,Y4396,AA4396,AC4396,AE4396,AG4396,AI4396,AK4396,AM4396,AO4396,AQ4396,AS4396,AU4396,AW4396,AY4396)</f>
        <v>18483</v>
      </c>
      <c r="BC4396" s="28" t="n">
        <f aca="false">BA4396-BB4396</f>
        <v>0</v>
      </c>
      <c r="BD4396" s="32" t="n">
        <f aca="false">SUM(P4396,R4396,T4396,V4396,X4396,Z4396,AB4396,AD4396,AF4396,AH4396,AJ4396,AL4396,AN4396,AP4396,AR4396,AT4396,AV4396,AX4396)</f>
        <v>210.04</v>
      </c>
      <c r="BE4396" s="33" t="n">
        <f aca="false">AZ4396-BD4396</f>
        <v>0</v>
      </c>
      <c r="BF4396" s="34" t="n">
        <f aca="false">BD4396*M4396</f>
        <v>18483.52</v>
      </c>
      <c r="BG4396" s="35" t="n">
        <f aca="false">BA4396-BF4396</f>
        <v>-0.520000000000437</v>
      </c>
      <c r="BH4396" s="19" t="str">
        <f aca="false">IF(BG4396=0,"",IF(BG4396&lt;&gt;BA4396,"erreur de calcul",IF(BD4396&lt;&gt;0,"pas de prix",IF(M4396&lt;&gt; 0,"pas de quantité","pas de prix, ni de quantité"))))</f>
        <v>erreur de calcul</v>
      </c>
      <c r="BI4396" s="19"/>
    </row>
    <row r="4397" customFormat="false" ht="15" hidden="false" customHeight="false" outlineLevel="0" collapsed="false">
      <c r="A4397" s="0" t="n">
        <v>19</v>
      </c>
      <c r="B4397" s="8" t="s">
        <v>24</v>
      </c>
      <c r="C4397" s="9" t="s">
        <v>25</v>
      </c>
      <c r="D4397" s="9" t="s">
        <v>26</v>
      </c>
      <c r="E4397" s="10" t="n">
        <v>1789</v>
      </c>
      <c r="F4397" s="9" t="s">
        <v>27</v>
      </c>
      <c r="G4397" s="9" t="s">
        <v>27</v>
      </c>
      <c r="H4397" s="11" t="n">
        <v>23</v>
      </c>
      <c r="I4397" s="11" t="s">
        <v>261</v>
      </c>
      <c r="J4397" s="14" t="n">
        <v>35</v>
      </c>
      <c r="K4397" s="14"/>
      <c r="L4397" s="16"/>
      <c r="M4397" s="27" t="n">
        <f aca="false">J4397+(K4397/20)+(L4397/240)</f>
        <v>35</v>
      </c>
      <c r="N4397" s="17" t="s">
        <v>64</v>
      </c>
      <c r="O4397" s="11"/>
      <c r="P4397" s="28" t="n">
        <f aca="false">2877/100</f>
        <v>28.77</v>
      </c>
      <c r="Q4397" s="28" t="n">
        <v>1007</v>
      </c>
      <c r="R4397" s="28"/>
      <c r="S4397" s="28" t="n">
        <f aca="false">R4397*$M4397</f>
        <v>0</v>
      </c>
      <c r="T4397" s="28"/>
      <c r="U4397" s="28" t="n">
        <f aca="false">T4397*$M4397</f>
        <v>0</v>
      </c>
      <c r="V4397" s="28"/>
      <c r="W4397" s="28" t="n">
        <f aca="false">V4397*$M4397</f>
        <v>0</v>
      </c>
      <c r="X4397" s="28"/>
      <c r="Y4397" s="28" t="n">
        <f aca="false">X4397*$M4397</f>
        <v>0</v>
      </c>
      <c r="Z4397" s="28"/>
      <c r="AA4397" s="28" t="n">
        <f aca="false">Z4397*$M4397</f>
        <v>0</v>
      </c>
      <c r="AB4397" s="28"/>
      <c r="AC4397" s="28" t="n">
        <f aca="false">AB4397*$M4397</f>
        <v>0</v>
      </c>
      <c r="AD4397" s="28"/>
      <c r="AE4397" s="28" t="n">
        <f aca="false">AD4397*$M4397</f>
        <v>0</v>
      </c>
      <c r="AF4397" s="28"/>
      <c r="AG4397" s="28" t="n">
        <f aca="false">AF4397*$M4397</f>
        <v>0</v>
      </c>
      <c r="AH4397" s="28"/>
      <c r="AI4397" s="28" t="n">
        <f aca="false">AH4397*$M4397</f>
        <v>0</v>
      </c>
      <c r="AJ4397" s="28"/>
      <c r="AK4397" s="28" t="n">
        <f aca="false">AJ4397*$M4397</f>
        <v>0</v>
      </c>
      <c r="AL4397" s="28"/>
      <c r="AM4397" s="28" t="n">
        <f aca="false">AL4397*$M4397</f>
        <v>0</v>
      </c>
      <c r="AN4397" s="28"/>
      <c r="AO4397" s="28" t="n">
        <f aca="false">AN4397*$M4397</f>
        <v>0</v>
      </c>
      <c r="AP4397" s="28"/>
      <c r="AQ4397" s="28" t="n">
        <f aca="false">AP4397*$M4397</f>
        <v>0</v>
      </c>
      <c r="AR4397" s="28"/>
      <c r="AS4397" s="28" t="n">
        <f aca="false">AR4397*$M4397</f>
        <v>0</v>
      </c>
      <c r="AT4397" s="28"/>
      <c r="AU4397" s="28" t="n">
        <f aca="false">AT4397*$M4397</f>
        <v>0</v>
      </c>
      <c r="AV4397" s="28"/>
      <c r="AW4397" s="28" t="n">
        <f aca="false">AV4397*$M4397</f>
        <v>0</v>
      </c>
      <c r="AX4397" s="28"/>
      <c r="AY4397" s="28" t="n">
        <f aca="false">AX4397*$M4397</f>
        <v>0</v>
      </c>
      <c r="AZ4397" s="30" t="n">
        <f aca="false">2877/100</f>
        <v>28.77</v>
      </c>
      <c r="BA4397" s="11" t="n">
        <v>1007</v>
      </c>
      <c r="BB4397" s="31" t="n">
        <f aca="false">SUM(Q4397,S4397,U4397,W4397,Y4397,AA4397,AC4397,AE4397,AG4397,AI4397,AK4397,AM4397,AO4397,AQ4397,AS4397,AU4397,AW4397,AY4397)</f>
        <v>1007</v>
      </c>
      <c r="BC4397" s="28" t="n">
        <f aca="false">BA4397-BB4397</f>
        <v>0</v>
      </c>
      <c r="BD4397" s="32" t="n">
        <f aca="false">SUM(P4397,R4397,T4397,V4397,X4397,Z4397,AB4397,AD4397,AF4397,AH4397,AJ4397,AL4397,AN4397,AP4397,AR4397,AT4397,AV4397,AX4397)</f>
        <v>28.77</v>
      </c>
      <c r="BE4397" s="33" t="n">
        <f aca="false">AZ4397-BD4397</f>
        <v>0</v>
      </c>
      <c r="BF4397" s="34" t="n">
        <f aca="false">BD4397*M4397</f>
        <v>1006.95</v>
      </c>
      <c r="BG4397" s="35" t="n">
        <f aca="false">BA4397-BF4397</f>
        <v>0.0500000000000682</v>
      </c>
      <c r="BH4397" s="19" t="str">
        <f aca="false">IF(BG4397=0,"",IF(BG4397&lt;&gt;BA4397,"erreur de calcul",IF(BD4397&lt;&gt;0,"pas de prix",IF(M4397&lt;&gt; 0,"pas de quantité","pas de prix, ni de quantité"))))</f>
        <v>erreur de calcul</v>
      </c>
      <c r="BI4397" s="19"/>
    </row>
    <row r="4398" customFormat="false" ht="15" hidden="false" customHeight="false" outlineLevel="0" collapsed="false">
      <c r="A4398" s="0" t="n">
        <v>20</v>
      </c>
      <c r="B4398" s="8" t="s">
        <v>24</v>
      </c>
      <c r="C4398" s="9" t="s">
        <v>25</v>
      </c>
      <c r="D4398" s="9" t="s">
        <v>26</v>
      </c>
      <c r="E4398" s="10" t="n">
        <v>1789</v>
      </c>
      <c r="F4398" s="9" t="s">
        <v>27</v>
      </c>
      <c r="G4398" s="9" t="s">
        <v>27</v>
      </c>
      <c r="H4398" s="11" t="n">
        <v>23</v>
      </c>
      <c r="I4398" s="11" t="s">
        <v>262</v>
      </c>
      <c r="J4398" s="14" t="n">
        <v>40</v>
      </c>
      <c r="K4398" s="14"/>
      <c r="L4398" s="16"/>
      <c r="M4398" s="27" t="n">
        <f aca="false">J4398+(K4398/20)+(L4398/240)</f>
        <v>40</v>
      </c>
      <c r="N4398" s="17" t="s">
        <v>64</v>
      </c>
      <c r="O4398" s="11"/>
      <c r="P4398" s="28"/>
      <c r="Q4398" s="28" t="n">
        <f aca="false">P4398*$M4398</f>
        <v>0</v>
      </c>
      <c r="R4398" s="28"/>
      <c r="S4398" s="28" t="n">
        <f aca="false">R4398*$M4398</f>
        <v>0</v>
      </c>
      <c r="T4398" s="28"/>
      <c r="U4398" s="28" t="n">
        <f aca="false">T4398*$M4398</f>
        <v>0</v>
      </c>
      <c r="V4398" s="28"/>
      <c r="W4398" s="28" t="n">
        <f aca="false">V4398*$M4398</f>
        <v>0</v>
      </c>
      <c r="X4398" s="28"/>
      <c r="Y4398" s="28" t="n">
        <f aca="false">X4398*$M4398</f>
        <v>0</v>
      </c>
      <c r="Z4398" s="28"/>
      <c r="AA4398" s="28" t="n">
        <f aca="false">Z4398*$M4398</f>
        <v>0</v>
      </c>
      <c r="AB4398" s="28"/>
      <c r="AC4398" s="28" t="n">
        <f aca="false">AB4398*$M4398</f>
        <v>0</v>
      </c>
      <c r="AD4398" s="28"/>
      <c r="AE4398" s="28" t="n">
        <f aca="false">AD4398*$M4398</f>
        <v>0</v>
      </c>
      <c r="AF4398" s="28" t="n">
        <f aca="false">108620/100</f>
        <v>1086.2</v>
      </c>
      <c r="AG4398" s="28" t="n">
        <v>43448</v>
      </c>
      <c r="AH4398" s="28"/>
      <c r="AI4398" s="28" t="n">
        <f aca="false">AH4398*$M4398</f>
        <v>0</v>
      </c>
      <c r="AJ4398" s="28"/>
      <c r="AK4398" s="28" t="n">
        <f aca="false">AJ4398*$M4398</f>
        <v>0</v>
      </c>
      <c r="AL4398" s="28"/>
      <c r="AM4398" s="28" t="n">
        <f aca="false">AL4398*$M4398</f>
        <v>0</v>
      </c>
      <c r="AN4398" s="28"/>
      <c r="AO4398" s="28" t="n">
        <f aca="false">AN4398*$M4398</f>
        <v>0</v>
      </c>
      <c r="AP4398" s="28"/>
      <c r="AQ4398" s="28" t="n">
        <f aca="false">AP4398*$M4398</f>
        <v>0</v>
      </c>
      <c r="AR4398" s="28"/>
      <c r="AS4398" s="28" t="n">
        <f aca="false">AR4398*$M4398</f>
        <v>0</v>
      </c>
      <c r="AT4398" s="28"/>
      <c r="AU4398" s="28" t="n">
        <f aca="false">AT4398*$M4398</f>
        <v>0</v>
      </c>
      <c r="AV4398" s="28"/>
      <c r="AW4398" s="28" t="n">
        <f aca="false">AV4398*$M4398</f>
        <v>0</v>
      </c>
      <c r="AX4398" s="28"/>
      <c r="AY4398" s="28" t="n">
        <f aca="false">AX4398*$M4398</f>
        <v>0</v>
      </c>
      <c r="AZ4398" s="30" t="n">
        <f aca="false">108620/100</f>
        <v>1086.2</v>
      </c>
      <c r="BA4398" s="11" t="n">
        <v>43448</v>
      </c>
      <c r="BB4398" s="31" t="n">
        <f aca="false">SUM(Q4398,S4398,U4398,W4398,Y4398,AA4398,AC4398,AE4398,AG4398,AI4398,AK4398,AM4398,AO4398,AQ4398,AS4398,AU4398,AW4398,AY4398)</f>
        <v>43448</v>
      </c>
      <c r="BC4398" s="28" t="n">
        <f aca="false">BA4398-BB4398</f>
        <v>0</v>
      </c>
      <c r="BD4398" s="32" t="n">
        <f aca="false">SUM(P4398,R4398,T4398,V4398,X4398,Z4398,AB4398,AD4398,AF4398,AH4398,AJ4398,AL4398,AN4398,AP4398,AR4398,AT4398,AV4398,AX4398)</f>
        <v>1086.2</v>
      </c>
      <c r="BE4398" s="33" t="n">
        <f aca="false">AZ4398-BD4398</f>
        <v>0</v>
      </c>
      <c r="BF4398" s="34" t="n">
        <f aca="false">BD4398*M4398</f>
        <v>43448</v>
      </c>
      <c r="BG4398" s="35" t="n">
        <f aca="false">BA4398-BF4398</f>
        <v>0</v>
      </c>
      <c r="BH4398" s="19" t="str">
        <f aca="false">IF(BG4398=0,"",IF(BG4398&lt;&gt;BA4398,"erreur de calcul",IF(BD4398&lt;&gt;0,"pas de prix",IF(M4398&lt;&gt; 0,"pas de quantité","pas de prix, ni de quantité"))))</f>
        <v/>
      </c>
      <c r="BI4398" s="19"/>
    </row>
    <row r="4399" customFormat="false" ht="15" hidden="false" customHeight="false" outlineLevel="0" collapsed="false">
      <c r="A4399" s="0" t="n">
        <v>21</v>
      </c>
      <c r="B4399" s="8" t="s">
        <v>24</v>
      </c>
      <c r="C4399" s="9" t="s">
        <v>25</v>
      </c>
      <c r="D4399" s="9" t="s">
        <v>26</v>
      </c>
      <c r="E4399" s="10" t="n">
        <v>1789</v>
      </c>
      <c r="F4399" s="9" t="s">
        <v>27</v>
      </c>
      <c r="G4399" s="9" t="s">
        <v>27</v>
      </c>
      <c r="H4399" s="11" t="n">
        <v>23</v>
      </c>
      <c r="I4399" s="11" t="s">
        <v>263</v>
      </c>
      <c r="J4399" s="14" t="n">
        <v>12</v>
      </c>
      <c r="K4399" s="14"/>
      <c r="L4399" s="16"/>
      <c r="M4399" s="27" t="n">
        <f aca="false">J4399+(K4399/20)+(L4399/240)</f>
        <v>12</v>
      </c>
      <c r="N4399" s="17" t="s">
        <v>64</v>
      </c>
      <c r="O4399" s="11"/>
      <c r="P4399" s="28"/>
      <c r="Q4399" s="28" t="n">
        <f aca="false">P4399*$M4399</f>
        <v>0</v>
      </c>
      <c r="R4399" s="28"/>
      <c r="S4399" s="28" t="n">
        <f aca="false">R4399*$M4399</f>
        <v>0</v>
      </c>
      <c r="T4399" s="28"/>
      <c r="U4399" s="28" t="n">
        <f aca="false">T4399*$M4399</f>
        <v>0</v>
      </c>
      <c r="V4399" s="28"/>
      <c r="W4399" s="28" t="n">
        <f aca="false">V4399*$M4399</f>
        <v>0</v>
      </c>
      <c r="X4399" s="28"/>
      <c r="Y4399" s="28" t="n">
        <f aca="false">X4399*$M4399</f>
        <v>0</v>
      </c>
      <c r="Z4399" s="28"/>
      <c r="AA4399" s="28" t="n">
        <f aca="false">Z4399*$M4399</f>
        <v>0</v>
      </c>
      <c r="AB4399" s="28" t="n">
        <f aca="false">485726/100</f>
        <v>4857.26</v>
      </c>
      <c r="AC4399" s="28" t="n">
        <v>58287</v>
      </c>
      <c r="AD4399" s="28"/>
      <c r="AE4399" s="28" t="n">
        <f aca="false">AD4399*$M4399</f>
        <v>0</v>
      </c>
      <c r="AF4399" s="28"/>
      <c r="AG4399" s="28" t="n">
        <f aca="false">AF4399*$M4399</f>
        <v>0</v>
      </c>
      <c r="AH4399" s="28" t="n">
        <f aca="false">259291/100</f>
        <v>2592.91</v>
      </c>
      <c r="AI4399" s="28" t="n">
        <v>31115</v>
      </c>
      <c r="AJ4399" s="28"/>
      <c r="AK4399" s="28" t="n">
        <f aca="false">AJ4399*$M4399</f>
        <v>0</v>
      </c>
      <c r="AL4399" s="28"/>
      <c r="AM4399" s="28" t="n">
        <f aca="false">AL4399*$M4399</f>
        <v>0</v>
      </c>
      <c r="AN4399" s="28"/>
      <c r="AO4399" s="28" t="n">
        <f aca="false">AN4399*$M4399</f>
        <v>0</v>
      </c>
      <c r="AP4399" s="28"/>
      <c r="AQ4399" s="28" t="n">
        <f aca="false">AP4399*$M4399</f>
        <v>0</v>
      </c>
      <c r="AR4399" s="28"/>
      <c r="AS4399" s="28" t="n">
        <f aca="false">AR4399*$M4399</f>
        <v>0</v>
      </c>
      <c r="AT4399" s="28"/>
      <c r="AU4399" s="28" t="n">
        <f aca="false">AT4399*$M4399</f>
        <v>0</v>
      </c>
      <c r="AV4399" s="28"/>
      <c r="AW4399" s="28" t="n">
        <f aca="false">AV4399*$M4399</f>
        <v>0</v>
      </c>
      <c r="AX4399" s="28"/>
      <c r="AY4399" s="28" t="n">
        <f aca="false">AX4399*$M4399</f>
        <v>0</v>
      </c>
      <c r="AZ4399" s="30" t="n">
        <f aca="false">745017/100</f>
        <v>7450.17</v>
      </c>
      <c r="BA4399" s="11" t="n">
        <v>89402</v>
      </c>
      <c r="BB4399" s="31" t="n">
        <f aca="false">SUM(Q4399,S4399,U4399,W4399,Y4399,AA4399,AC4399,AE4399,AG4399,AI4399,AK4399,AM4399,AO4399,AQ4399,AS4399,AU4399,AW4399,AY4399)</f>
        <v>89402</v>
      </c>
      <c r="BC4399" s="28" t="n">
        <f aca="false">BA4399-BB4399</f>
        <v>0</v>
      </c>
      <c r="BD4399" s="32" t="n">
        <f aca="false">SUM(P4399,R4399,T4399,V4399,X4399,Z4399,AB4399,AD4399,AF4399,AH4399,AJ4399,AL4399,AN4399,AP4399,AR4399,AT4399,AV4399,AX4399)</f>
        <v>7450.17</v>
      </c>
      <c r="BE4399" s="33" t="n">
        <f aca="false">AZ4399-BD4399</f>
        <v>0</v>
      </c>
      <c r="BF4399" s="34" t="n">
        <f aca="false">BD4399*M4399</f>
        <v>89402.04</v>
      </c>
      <c r="BG4399" s="35" t="n">
        <f aca="false">BA4399-BF4399</f>
        <v>-0.0400000000081491</v>
      </c>
      <c r="BH4399" s="19" t="str">
        <f aca="false">IF(BG4399=0,"",IF(BG4399&lt;&gt;BA4399,"erreur de calcul",IF(BD4399&lt;&gt;0,"pas de prix",IF(M4399&lt;&gt; 0,"pas de quantité","pas de prix, ni de quantité"))))</f>
        <v>erreur de calcul</v>
      </c>
      <c r="BI4399" s="19"/>
    </row>
    <row r="4400" customFormat="false" ht="15" hidden="false" customHeight="false" outlineLevel="0" collapsed="false">
      <c r="A4400" s="0" t="n">
        <v>22</v>
      </c>
      <c r="B4400" s="8" t="s">
        <v>24</v>
      </c>
      <c r="C4400" s="9" t="s">
        <v>25</v>
      </c>
      <c r="D4400" s="9" t="s">
        <v>26</v>
      </c>
      <c r="E4400" s="10" t="n">
        <v>1789</v>
      </c>
      <c r="F4400" s="9" t="s">
        <v>27</v>
      </c>
      <c r="G4400" s="9" t="s">
        <v>27</v>
      </c>
      <c r="H4400" s="11" t="n">
        <v>23</v>
      </c>
      <c r="I4400" s="11" t="s">
        <v>264</v>
      </c>
      <c r="J4400" s="14" t="n">
        <v>15</v>
      </c>
      <c r="K4400" s="14"/>
      <c r="L4400" s="16"/>
      <c r="M4400" s="27" t="n">
        <f aca="false">J4400+(K4400/20)+(L4400/240)</f>
        <v>15</v>
      </c>
      <c r="N4400" s="17" t="s">
        <v>64</v>
      </c>
      <c r="O4400" s="11"/>
      <c r="P4400" s="28"/>
      <c r="Q4400" s="28" t="n">
        <f aca="false">P4400*$M4400</f>
        <v>0</v>
      </c>
      <c r="R4400" s="28"/>
      <c r="S4400" s="28" t="n">
        <f aca="false">R4400*$M4400</f>
        <v>0</v>
      </c>
      <c r="T4400" s="28"/>
      <c r="U4400" s="28" t="n">
        <f aca="false">T4400*$M4400</f>
        <v>0</v>
      </c>
      <c r="V4400" s="28"/>
      <c r="W4400" s="28" t="n">
        <f aca="false">V4400*$M4400</f>
        <v>0</v>
      </c>
      <c r="X4400" s="28" t="n">
        <f aca="false">65502/100</f>
        <v>655.02</v>
      </c>
      <c r="Y4400" s="28" t="n">
        <v>9825</v>
      </c>
      <c r="Z4400" s="28"/>
      <c r="AA4400" s="28" t="n">
        <f aca="false">Z4400*$M4400</f>
        <v>0</v>
      </c>
      <c r="AB4400" s="28" t="n">
        <f aca="false">207046/100</f>
        <v>2070.46</v>
      </c>
      <c r="AC4400" s="28" t="n">
        <v>31057</v>
      </c>
      <c r="AD4400" s="28"/>
      <c r="AE4400" s="28" t="n">
        <f aca="false">AD4400*$M4400</f>
        <v>0</v>
      </c>
      <c r="AF4400" s="28"/>
      <c r="AG4400" s="28" t="n">
        <f aca="false">AF4400*$M4400</f>
        <v>0</v>
      </c>
      <c r="AH4400" s="28" t="n">
        <f aca="false">11048/100</f>
        <v>110.48</v>
      </c>
      <c r="AI4400" s="28" t="n">
        <v>1657</v>
      </c>
      <c r="AJ4400" s="28"/>
      <c r="AK4400" s="28" t="n">
        <f aca="false">AJ4400*$M4400</f>
        <v>0</v>
      </c>
      <c r="AL4400" s="28"/>
      <c r="AM4400" s="28" t="n">
        <f aca="false">AL4400*$M4400</f>
        <v>0</v>
      </c>
      <c r="AN4400" s="28"/>
      <c r="AO4400" s="28" t="n">
        <f aca="false">AN4400*$M4400</f>
        <v>0</v>
      </c>
      <c r="AP4400" s="28"/>
      <c r="AQ4400" s="28" t="n">
        <f aca="false">AP4400*$M4400</f>
        <v>0</v>
      </c>
      <c r="AR4400" s="28"/>
      <c r="AS4400" s="28" t="n">
        <f aca="false">AR4400*$M4400</f>
        <v>0</v>
      </c>
      <c r="AT4400" s="28"/>
      <c r="AU4400" s="28" t="n">
        <f aca="false">AT4400*$M4400</f>
        <v>0</v>
      </c>
      <c r="AV4400" s="28"/>
      <c r="AW4400" s="28" t="n">
        <f aca="false">AV4400*$M4400</f>
        <v>0</v>
      </c>
      <c r="AX4400" s="28"/>
      <c r="AY4400" s="28" t="n">
        <f aca="false">AX4400*$M4400</f>
        <v>0</v>
      </c>
      <c r="AZ4400" s="30" t="n">
        <f aca="false">283596/100</f>
        <v>2835.96</v>
      </c>
      <c r="BA4400" s="11" t="n">
        <v>42539</v>
      </c>
      <c r="BB4400" s="31" t="n">
        <f aca="false">SUM(Q4400,S4400,U4400,W4400,Y4400,AA4400,AC4400,AE4400,AG4400,AI4400,AK4400,AM4400,AO4400,AQ4400,AS4400,AU4400,AW4400,AY4400)</f>
        <v>42539</v>
      </c>
      <c r="BC4400" s="28" t="n">
        <f aca="false">BA4400-BB4400</f>
        <v>0</v>
      </c>
      <c r="BD4400" s="32" t="n">
        <f aca="false">SUM(P4400,R4400,T4400,V4400,X4400,Z4400,AB4400,AD4400,AF4400,AH4400,AJ4400,AL4400,AN4400,AP4400,AR4400,AT4400,AV4400,AX4400)</f>
        <v>2835.96</v>
      </c>
      <c r="BE4400" s="33" t="n">
        <f aca="false">AZ4400-BD4400</f>
        <v>0</v>
      </c>
      <c r="BF4400" s="34" t="n">
        <f aca="false">BD4400*M4400</f>
        <v>42539.4</v>
      </c>
      <c r="BG4400" s="35" t="n">
        <f aca="false">BA4400-BF4400</f>
        <v>-0.400000000001455</v>
      </c>
      <c r="BH4400" s="19" t="str">
        <f aca="false">IF(BG4400=0,"",IF(BG4400&lt;&gt;BA4400,"erreur de calcul",IF(BD4400&lt;&gt;0,"pas de prix",IF(M4400&lt;&gt; 0,"pas de quantité","pas de prix, ni de quantité"))))</f>
        <v>erreur de calcul</v>
      </c>
      <c r="BI4400" s="19"/>
    </row>
    <row r="4401" customFormat="false" ht="15" hidden="false" customHeight="false" outlineLevel="0" collapsed="false">
      <c r="A4401" s="0" t="n">
        <v>23</v>
      </c>
      <c r="B4401" s="8" t="s">
        <v>24</v>
      </c>
      <c r="C4401" s="9" t="s">
        <v>25</v>
      </c>
      <c r="D4401" s="9" t="s">
        <v>26</v>
      </c>
      <c r="E4401" s="10" t="n">
        <v>1789</v>
      </c>
      <c r="F4401" s="9" t="s">
        <v>27</v>
      </c>
      <c r="G4401" s="9" t="s">
        <v>27</v>
      </c>
      <c r="H4401" s="11" t="n">
        <v>23</v>
      </c>
      <c r="I4401" s="11" t="s">
        <v>265</v>
      </c>
      <c r="J4401" s="14"/>
      <c r="K4401" s="14" t="n">
        <v>40</v>
      </c>
      <c r="L4401" s="16"/>
      <c r="M4401" s="27" t="n">
        <f aca="false">J4401+(K4401/20)+(L4401/240)</f>
        <v>2</v>
      </c>
      <c r="N4401" s="17" t="s">
        <v>66</v>
      </c>
      <c r="O4401" s="11"/>
      <c r="P4401" s="28"/>
      <c r="Q4401" s="28" t="n">
        <f aca="false">P4401*$M4401</f>
        <v>0</v>
      </c>
      <c r="R4401" s="28"/>
      <c r="S4401" s="28" t="n">
        <f aca="false">R4401*$M4401</f>
        <v>0</v>
      </c>
      <c r="T4401" s="28"/>
      <c r="U4401" s="28" t="n">
        <f aca="false">T4401*$M4401</f>
        <v>0</v>
      </c>
      <c r="V4401" s="28" t="n">
        <v>6275</v>
      </c>
      <c r="W4401" s="28" t="n">
        <v>12550</v>
      </c>
      <c r="X4401" s="28" t="n">
        <v>8662</v>
      </c>
      <c r="Y4401" s="28" t="n">
        <v>17324</v>
      </c>
      <c r="Z4401" s="28"/>
      <c r="AA4401" s="28" t="n">
        <f aca="false">Z4401*$M4401</f>
        <v>0</v>
      </c>
      <c r="AB4401" s="28" t="n">
        <v>2196</v>
      </c>
      <c r="AC4401" s="28" t="n">
        <v>4392</v>
      </c>
      <c r="AD4401" s="28"/>
      <c r="AE4401" s="28" t="n">
        <f aca="false">AD4401*$M4401</f>
        <v>0</v>
      </c>
      <c r="AF4401" s="28"/>
      <c r="AG4401" s="28" t="n">
        <f aca="false">AF4401*$M4401</f>
        <v>0</v>
      </c>
      <c r="AH4401" s="28"/>
      <c r="AI4401" s="28" t="n">
        <f aca="false">AH4401*$M4401</f>
        <v>0</v>
      </c>
      <c r="AJ4401" s="28"/>
      <c r="AK4401" s="28" t="n">
        <f aca="false">AJ4401*$M4401</f>
        <v>0</v>
      </c>
      <c r="AL4401" s="28"/>
      <c r="AM4401" s="28" t="n">
        <f aca="false">AL4401*$M4401</f>
        <v>0</v>
      </c>
      <c r="AN4401" s="28"/>
      <c r="AO4401" s="28" t="n">
        <f aca="false">AN4401*$M4401</f>
        <v>0</v>
      </c>
      <c r="AP4401" s="28"/>
      <c r="AQ4401" s="28" t="n">
        <f aca="false">AP4401*$M4401</f>
        <v>0</v>
      </c>
      <c r="AR4401" s="28"/>
      <c r="AS4401" s="28" t="n">
        <f aca="false">AR4401*$M4401</f>
        <v>0</v>
      </c>
      <c r="AT4401" s="28"/>
      <c r="AU4401" s="28" t="n">
        <f aca="false">AT4401*$M4401</f>
        <v>0</v>
      </c>
      <c r="AV4401" s="28"/>
      <c r="AW4401" s="28" t="n">
        <f aca="false">AV4401*$M4401</f>
        <v>0</v>
      </c>
      <c r="AX4401" s="28"/>
      <c r="AY4401" s="28" t="n">
        <f aca="false">AX4401*$M4401</f>
        <v>0</v>
      </c>
      <c r="AZ4401" s="30" t="n">
        <v>17133</v>
      </c>
      <c r="BA4401" s="11" t="n">
        <v>34266</v>
      </c>
      <c r="BB4401" s="31" t="n">
        <f aca="false">SUM(Q4401,S4401,U4401,W4401,Y4401,AA4401,AC4401,AE4401,AG4401,AI4401,AK4401,AM4401,AO4401,AQ4401,AS4401,AU4401,AW4401,AY4401)</f>
        <v>34266</v>
      </c>
      <c r="BC4401" s="28" t="n">
        <f aca="false">BA4401-BB4401</f>
        <v>0</v>
      </c>
      <c r="BD4401" s="32" t="n">
        <f aca="false">SUM(P4401,R4401,T4401,V4401,X4401,Z4401,AB4401,AD4401,AF4401,AH4401,AJ4401,AL4401,AN4401,AP4401,AR4401,AT4401,AV4401,AX4401)</f>
        <v>17133</v>
      </c>
      <c r="BE4401" s="33" t="n">
        <f aca="false">AZ4401-BD4401</f>
        <v>0</v>
      </c>
      <c r="BF4401" s="34" t="n">
        <f aca="false">BD4401*M4401</f>
        <v>34266</v>
      </c>
      <c r="BG4401" s="35" t="n">
        <f aca="false">BA4401-BF4401</f>
        <v>0</v>
      </c>
      <c r="BH4401" s="19" t="str">
        <f aca="false">IF(BG4401=0,"",IF(BG4401&lt;&gt;BA4401,"erreur de calcul",IF(BD4401&lt;&gt;0,"pas de prix",IF(M4401&lt;&gt; 0,"pas de quantité","pas de prix, ni de quantité"))))</f>
        <v/>
      </c>
      <c r="BI4401" s="19"/>
    </row>
    <row r="4402" customFormat="false" ht="15" hidden="false" customHeight="false" outlineLevel="0" collapsed="false">
      <c r="A4402" s="0" t="n">
        <v>24</v>
      </c>
      <c r="B4402" s="8" t="s">
        <v>24</v>
      </c>
      <c r="C4402" s="9" t="s">
        <v>25</v>
      </c>
      <c r="D4402" s="9" t="s">
        <v>26</v>
      </c>
      <c r="E4402" s="10" t="n">
        <v>1789</v>
      </c>
      <c r="F4402" s="9" t="s">
        <v>27</v>
      </c>
      <c r="G4402" s="9" t="s">
        <v>27</v>
      </c>
      <c r="H4402" s="11" t="n">
        <v>23</v>
      </c>
      <c r="I4402" s="11" t="s">
        <v>266</v>
      </c>
      <c r="J4402" s="14" t="n">
        <v>17</v>
      </c>
      <c r="K4402" s="14" t="n">
        <v>10</v>
      </c>
      <c r="L4402" s="16"/>
      <c r="M4402" s="27" t="n">
        <f aca="false">J4402+(K4402/20)+(L4402/240)</f>
        <v>17.5</v>
      </c>
      <c r="N4402" s="17" t="s">
        <v>64</v>
      </c>
      <c r="O4402" s="11"/>
      <c r="P4402" s="28" t="n">
        <f aca="false">147621/100</f>
        <v>1476.21</v>
      </c>
      <c r="Q4402" s="28" t="n">
        <v>25834</v>
      </c>
      <c r="R4402" s="28"/>
      <c r="S4402" s="28" t="n">
        <f aca="false">R4402*$M4402</f>
        <v>0</v>
      </c>
      <c r="T4402" s="28"/>
      <c r="U4402" s="28" t="n">
        <f aca="false">T4402*$M4402</f>
        <v>0</v>
      </c>
      <c r="V4402" s="28"/>
      <c r="W4402" s="28" t="n">
        <f aca="false">V4402*$M4402</f>
        <v>0</v>
      </c>
      <c r="X4402" s="28" t="n">
        <f aca="false">7220/100</f>
        <v>72.2</v>
      </c>
      <c r="Y4402" s="28" t="n">
        <v>1263</v>
      </c>
      <c r="Z4402" s="28"/>
      <c r="AA4402" s="28" t="n">
        <f aca="false">Z4402*$M4402</f>
        <v>0</v>
      </c>
      <c r="AB4402" s="28" t="n">
        <f aca="false">524444/100</f>
        <v>5244.44</v>
      </c>
      <c r="AC4402" s="36" t="n">
        <v>91767</v>
      </c>
      <c r="AD4402" s="28"/>
      <c r="AE4402" s="28" t="n">
        <f aca="false">AD4402*$M4402</f>
        <v>0</v>
      </c>
      <c r="AF4402" s="28"/>
      <c r="AG4402" s="28" t="n">
        <f aca="false">AF4402*$M4402</f>
        <v>0</v>
      </c>
      <c r="AH4402" s="28" t="n">
        <f aca="false">124394/100</f>
        <v>1243.94</v>
      </c>
      <c r="AI4402" s="28" t="n">
        <v>21769</v>
      </c>
      <c r="AJ4402" s="28"/>
      <c r="AK4402" s="28" t="n">
        <f aca="false">AJ4402*$M4402</f>
        <v>0</v>
      </c>
      <c r="AL4402" s="28"/>
      <c r="AM4402" s="28" t="n">
        <f aca="false">AL4402*$M4402</f>
        <v>0</v>
      </c>
      <c r="AN4402" s="28"/>
      <c r="AO4402" s="28" t="n">
        <f aca="false">AN4402*$M4402</f>
        <v>0</v>
      </c>
      <c r="AP4402" s="28"/>
      <c r="AQ4402" s="28" t="n">
        <f aca="false">AP4402*$M4402</f>
        <v>0</v>
      </c>
      <c r="AR4402" s="28"/>
      <c r="AS4402" s="28" t="n">
        <f aca="false">AR4402*$M4402</f>
        <v>0</v>
      </c>
      <c r="AT4402" s="28"/>
      <c r="AU4402" s="28" t="n">
        <f aca="false">AT4402*$M4402</f>
        <v>0</v>
      </c>
      <c r="AV4402" s="28"/>
      <c r="AW4402" s="28" t="n">
        <f aca="false">AV4402*$M4402</f>
        <v>0</v>
      </c>
      <c r="AX4402" s="28"/>
      <c r="AY4402" s="28" t="n">
        <f aca="false">AX4402*$M4402</f>
        <v>0</v>
      </c>
      <c r="AZ4402" s="30" t="n">
        <f aca="false">803679/100</f>
        <v>8036.79</v>
      </c>
      <c r="BA4402" s="11" t="n">
        <v>140633</v>
      </c>
      <c r="BB4402" s="31" t="n">
        <f aca="false">SUM(Q4402,S4402,U4402,W4402,Y4402,AA4402,AC4402,AE4402,AG4402,AI4402,AK4402,AM4402,AO4402,AQ4402,AS4402,AU4402,AW4402,AY4402)</f>
        <v>140633</v>
      </c>
      <c r="BC4402" s="28" t="n">
        <f aca="false">BA4402-BB4402</f>
        <v>0</v>
      </c>
      <c r="BD4402" s="32" t="n">
        <f aca="false">SUM(P4402,R4402,T4402,V4402,X4402,Z4402,AB4402,AD4402,AF4402,AH4402,AJ4402,AL4402,AN4402,AP4402,AR4402,AT4402,AV4402,AX4402)</f>
        <v>8036.79</v>
      </c>
      <c r="BE4402" s="33" t="n">
        <f aca="false">AZ4402-BD4402</f>
        <v>0</v>
      </c>
      <c r="BF4402" s="34" t="n">
        <f aca="false">BD4402*M4402</f>
        <v>140643.825</v>
      </c>
      <c r="BG4402" s="35" t="n">
        <f aca="false">BA4402-BF4402</f>
        <v>-10.8249999999825</v>
      </c>
      <c r="BH4402" s="19" t="str">
        <f aca="false">IF(BG4402=0,"",IF(BG4402&lt;&gt;BA4402,"erreur de calcul",IF(BD4402&lt;&gt;0,"pas de prix",IF(M4402&lt;&gt; 0,"pas de quantité","pas de prix, ni de quantité"))))</f>
        <v>erreur de calcul</v>
      </c>
      <c r="BI4402" s="19"/>
    </row>
    <row r="4403" customFormat="false" ht="15" hidden="false" customHeight="false" outlineLevel="0" collapsed="false">
      <c r="A4403" s="0" t="n">
        <v>25</v>
      </c>
      <c r="B4403" s="8" t="s">
        <v>24</v>
      </c>
      <c r="C4403" s="9" t="s">
        <v>25</v>
      </c>
      <c r="D4403" s="9" t="s">
        <v>26</v>
      </c>
      <c r="E4403" s="10" t="n">
        <v>1789</v>
      </c>
      <c r="F4403" s="9" t="s">
        <v>27</v>
      </c>
      <c r="G4403" s="9" t="s">
        <v>27</v>
      </c>
      <c r="H4403" s="11" t="n">
        <v>23</v>
      </c>
      <c r="I4403" s="11" t="s">
        <v>267</v>
      </c>
      <c r="J4403" s="14" t="n">
        <v>25</v>
      </c>
      <c r="K4403" s="14"/>
      <c r="L4403" s="16"/>
      <c r="M4403" s="27" t="n">
        <f aca="false">J4403+(K4403/20)+(L4403/240)</f>
        <v>25</v>
      </c>
      <c r="N4403" s="17" t="s">
        <v>64</v>
      </c>
      <c r="O4403" s="11"/>
      <c r="P4403" s="28"/>
      <c r="Q4403" s="28" t="n">
        <f aca="false">P4403*$M4403</f>
        <v>0</v>
      </c>
      <c r="R4403" s="28"/>
      <c r="S4403" s="28" t="n">
        <f aca="false">R4403*$M4403</f>
        <v>0</v>
      </c>
      <c r="T4403" s="28"/>
      <c r="U4403" s="28" t="n">
        <f aca="false">T4403*$M4403</f>
        <v>0</v>
      </c>
      <c r="V4403" s="28"/>
      <c r="W4403" s="28" t="n">
        <f aca="false">V4403*$M4403</f>
        <v>0</v>
      </c>
      <c r="X4403" s="28"/>
      <c r="Y4403" s="28" t="n">
        <f aca="false">X4403*$M4403</f>
        <v>0</v>
      </c>
      <c r="Z4403" s="28"/>
      <c r="AA4403" s="28" t="n">
        <f aca="false">Z4403*$M4403</f>
        <v>0</v>
      </c>
      <c r="AB4403" s="28" t="n">
        <f aca="false">136004/100</f>
        <v>1360.04</v>
      </c>
      <c r="AC4403" s="28" t="n">
        <v>34001</v>
      </c>
      <c r="AD4403" s="28"/>
      <c r="AE4403" s="28" t="n">
        <f aca="false">AD4403*$M4403</f>
        <v>0</v>
      </c>
      <c r="AF4403" s="28"/>
      <c r="AG4403" s="28" t="n">
        <f aca="false">AF4403*$M4403</f>
        <v>0</v>
      </c>
      <c r="AH4403" s="28" t="n">
        <f aca="false">173052/100</f>
        <v>1730.52</v>
      </c>
      <c r="AI4403" s="28" t="n">
        <v>43263</v>
      </c>
      <c r="AJ4403" s="28"/>
      <c r="AK4403" s="28" t="n">
        <f aca="false">AJ4403*$M4403</f>
        <v>0</v>
      </c>
      <c r="AL4403" s="28"/>
      <c r="AM4403" s="28" t="n">
        <f aca="false">AL4403*$M4403</f>
        <v>0</v>
      </c>
      <c r="AN4403" s="28"/>
      <c r="AO4403" s="28" t="n">
        <f aca="false">AN4403*$M4403</f>
        <v>0</v>
      </c>
      <c r="AP4403" s="28"/>
      <c r="AQ4403" s="28" t="n">
        <f aca="false">AP4403*$M4403</f>
        <v>0</v>
      </c>
      <c r="AR4403" s="28"/>
      <c r="AS4403" s="28" t="n">
        <f aca="false">AR4403*$M4403</f>
        <v>0</v>
      </c>
      <c r="AT4403" s="28"/>
      <c r="AU4403" s="28" t="n">
        <f aca="false">AT4403*$M4403</f>
        <v>0</v>
      </c>
      <c r="AV4403" s="28"/>
      <c r="AW4403" s="28" t="n">
        <f aca="false">AV4403*$M4403</f>
        <v>0</v>
      </c>
      <c r="AX4403" s="28"/>
      <c r="AY4403" s="28" t="n">
        <f aca="false">AX4403*$M4403</f>
        <v>0</v>
      </c>
      <c r="AZ4403" s="30" t="n">
        <f aca="false">309056/100</f>
        <v>3090.56</v>
      </c>
      <c r="BA4403" s="11" t="n">
        <v>77264</v>
      </c>
      <c r="BB4403" s="31" t="n">
        <f aca="false">SUM(Q4403,S4403,U4403,W4403,Y4403,AA4403,AC4403,AE4403,AG4403,AI4403,AK4403,AM4403,AO4403,AQ4403,AS4403,AU4403,AW4403,AY4403)</f>
        <v>77264</v>
      </c>
      <c r="BC4403" s="28" t="n">
        <f aca="false">BA4403-BB4403</f>
        <v>0</v>
      </c>
      <c r="BD4403" s="32" t="n">
        <f aca="false">SUM(P4403,R4403,T4403,V4403,X4403,Z4403,AB4403,AD4403,AF4403,AH4403,AJ4403,AL4403,AN4403,AP4403,AR4403,AT4403,AV4403,AX4403)</f>
        <v>3090.56</v>
      </c>
      <c r="BE4403" s="33" t="n">
        <f aca="false">AZ4403-BD4403</f>
        <v>0</v>
      </c>
      <c r="BF4403" s="34" t="n">
        <f aca="false">BD4403*M4403</f>
        <v>77264</v>
      </c>
      <c r="BG4403" s="35" t="n">
        <f aca="false">BA4403-BF4403</f>
        <v>0</v>
      </c>
      <c r="BH4403" s="19" t="str">
        <f aca="false">IF(BG4403=0,"",IF(BG4403&lt;&gt;BA4403,"erreur de calcul",IF(BD4403&lt;&gt;0,"pas de prix",IF(M4403&lt;&gt; 0,"pas de quantité","pas de prix, ni de quantité"))))</f>
        <v/>
      </c>
      <c r="BI4403" s="19"/>
    </row>
    <row r="4404" customFormat="false" ht="15" hidden="false" customHeight="false" outlineLevel="0" collapsed="false">
      <c r="A4404" s="0" t="n">
        <v>26</v>
      </c>
      <c r="B4404" s="8" t="s">
        <v>24</v>
      </c>
      <c r="C4404" s="9" t="s">
        <v>25</v>
      </c>
      <c r="D4404" s="9" t="s">
        <v>26</v>
      </c>
      <c r="E4404" s="10" t="n">
        <v>1789</v>
      </c>
      <c r="F4404" s="9" t="s">
        <v>27</v>
      </c>
      <c r="G4404" s="9" t="s">
        <v>27</v>
      </c>
      <c r="H4404" s="11" t="n">
        <v>23</v>
      </c>
      <c r="I4404" s="11" t="s">
        <v>268</v>
      </c>
      <c r="J4404" s="14" t="n">
        <v>8</v>
      </c>
      <c r="K4404" s="14"/>
      <c r="L4404" s="16"/>
      <c r="M4404" s="27" t="n">
        <f aca="false">J4404+(K4404/20)+(L4404/240)</f>
        <v>8</v>
      </c>
      <c r="N4404" s="17" t="s">
        <v>64</v>
      </c>
      <c r="O4404" s="11"/>
      <c r="P4404" s="28"/>
      <c r="Q4404" s="28" t="n">
        <f aca="false">P4404*$M4404</f>
        <v>0</v>
      </c>
      <c r="R4404" s="28"/>
      <c r="S4404" s="28" t="n">
        <f aca="false">R4404*$M4404</f>
        <v>0</v>
      </c>
      <c r="T4404" s="28" t="n">
        <f aca="false">260752/100</f>
        <v>2607.52</v>
      </c>
      <c r="U4404" s="28" t="n">
        <v>20860</v>
      </c>
      <c r="V4404" s="28" t="n">
        <f aca="false">170453/100</f>
        <v>1704.53</v>
      </c>
      <c r="W4404" s="28" t="n">
        <v>13636</v>
      </c>
      <c r="X4404" s="28"/>
      <c r="Y4404" s="28" t="n">
        <f aca="false">X4404*$M4404</f>
        <v>0</v>
      </c>
      <c r="Z4404" s="28"/>
      <c r="AA4404" s="28" t="n">
        <f aca="false">Z4404*$M4404</f>
        <v>0</v>
      </c>
      <c r="AB4404" s="28"/>
      <c r="AC4404" s="28" t="n">
        <f aca="false">AB4404*$M4404</f>
        <v>0</v>
      </c>
      <c r="AD4404" s="28"/>
      <c r="AE4404" s="28" t="n">
        <f aca="false">AD4404*$M4404</f>
        <v>0</v>
      </c>
      <c r="AF4404" s="28"/>
      <c r="AG4404" s="28" t="n">
        <f aca="false">AF4404*$M4404</f>
        <v>0</v>
      </c>
      <c r="AH4404" s="28"/>
      <c r="AI4404" s="28" t="n">
        <f aca="false">AH4404*$M4404</f>
        <v>0</v>
      </c>
      <c r="AJ4404" s="28"/>
      <c r="AK4404" s="28" t="n">
        <f aca="false">AJ4404*$M4404</f>
        <v>0</v>
      </c>
      <c r="AL4404" s="28"/>
      <c r="AM4404" s="28" t="n">
        <f aca="false">AL4404*$M4404</f>
        <v>0</v>
      </c>
      <c r="AN4404" s="28"/>
      <c r="AO4404" s="28" t="n">
        <f aca="false">AN4404*$M4404</f>
        <v>0</v>
      </c>
      <c r="AP4404" s="28"/>
      <c r="AQ4404" s="28" t="n">
        <f aca="false">AP4404*$M4404</f>
        <v>0</v>
      </c>
      <c r="AR4404" s="28"/>
      <c r="AS4404" s="28" t="n">
        <f aca="false">AR4404*$M4404</f>
        <v>0</v>
      </c>
      <c r="AT4404" s="28"/>
      <c r="AU4404" s="28" t="n">
        <f aca="false">AT4404*$M4404</f>
        <v>0</v>
      </c>
      <c r="AV4404" s="28"/>
      <c r="AW4404" s="28" t="n">
        <f aca="false">AV4404*$M4404</f>
        <v>0</v>
      </c>
      <c r="AX4404" s="28"/>
      <c r="AY4404" s="28" t="n">
        <f aca="false">AX4404*$M4404</f>
        <v>0</v>
      </c>
      <c r="AZ4404" s="30" t="n">
        <f aca="false">431205/100</f>
        <v>4312.05</v>
      </c>
      <c r="BA4404" s="11" t="n">
        <v>34496</v>
      </c>
      <c r="BB4404" s="31" t="n">
        <f aca="false">SUM(Q4404,S4404,U4404,W4404,Y4404,AA4404,AC4404,AE4404,AG4404,AI4404,AK4404,AM4404,AO4404,AQ4404,AS4404,AU4404,AW4404,AY4404)</f>
        <v>34496</v>
      </c>
      <c r="BC4404" s="28" t="n">
        <f aca="false">BA4404-BB4404</f>
        <v>0</v>
      </c>
      <c r="BD4404" s="32" t="n">
        <f aca="false">SUM(P4404,R4404,T4404,V4404,X4404,Z4404,AB4404,AD4404,AF4404,AH4404,AJ4404,AL4404,AN4404,AP4404,AR4404,AT4404,AV4404,AX4404)</f>
        <v>4312.05</v>
      </c>
      <c r="BE4404" s="33" t="n">
        <f aca="false">AZ4404-BD4404</f>
        <v>0</v>
      </c>
      <c r="BF4404" s="34" t="n">
        <f aca="false">BD4404*M4404</f>
        <v>34496.4</v>
      </c>
      <c r="BG4404" s="35" t="n">
        <f aca="false">BA4404-BF4404</f>
        <v>-0.400000000001455</v>
      </c>
      <c r="BH4404" s="19" t="str">
        <f aca="false">IF(BG4404=0,"",IF(BG4404&lt;&gt;BA4404,"erreur de calcul",IF(BD4404&lt;&gt;0,"pas de prix",IF(M4404&lt;&gt; 0,"pas de quantité","pas de prix, ni de quantité"))))</f>
        <v>erreur de calcul</v>
      </c>
      <c r="BI4404" s="19"/>
    </row>
    <row r="4405" customFormat="false" ht="15" hidden="false" customHeight="false" outlineLevel="0" collapsed="false">
      <c r="A4405" s="0" t="n">
        <v>27</v>
      </c>
      <c r="B4405" s="8" t="s">
        <v>24</v>
      </c>
      <c r="C4405" s="9" t="s">
        <v>25</v>
      </c>
      <c r="D4405" s="9" t="s">
        <v>26</v>
      </c>
      <c r="E4405" s="10" t="n">
        <v>1789</v>
      </c>
      <c r="F4405" s="9" t="s">
        <v>27</v>
      </c>
      <c r="G4405" s="9" t="s">
        <v>27</v>
      </c>
      <c r="H4405" s="11" t="n">
        <v>23</v>
      </c>
      <c r="I4405" s="11" t="s">
        <v>269</v>
      </c>
      <c r="J4405" s="14"/>
      <c r="K4405" s="14" t="n">
        <v>50</v>
      </c>
      <c r="L4405" s="16"/>
      <c r="M4405" s="27" t="n">
        <f aca="false">J4405+(K4405/20)+(L4405/240)</f>
        <v>2.5</v>
      </c>
      <c r="N4405" s="17" t="s">
        <v>85</v>
      </c>
      <c r="O4405" s="11"/>
      <c r="P4405" s="28"/>
      <c r="Q4405" s="28" t="n">
        <f aca="false">P4405*$M4405</f>
        <v>0</v>
      </c>
      <c r="R4405" s="28"/>
      <c r="S4405" s="28" t="n">
        <f aca="false">R4405*$M4405</f>
        <v>0</v>
      </c>
      <c r="T4405" s="28" t="n">
        <f aca="false">221150/100</f>
        <v>2211.5</v>
      </c>
      <c r="U4405" s="28" t="n">
        <v>5529</v>
      </c>
      <c r="V4405" s="28" t="n">
        <f aca="false">3922156/100</f>
        <v>39221.56</v>
      </c>
      <c r="W4405" s="28" t="n">
        <v>98054</v>
      </c>
      <c r="X4405" s="28"/>
      <c r="Y4405" s="28" t="n">
        <f aca="false">X4405*$M4405</f>
        <v>0</v>
      </c>
      <c r="Z4405" s="28"/>
      <c r="AA4405" s="28" t="n">
        <f aca="false">Z4405*$M4405</f>
        <v>0</v>
      </c>
      <c r="AB4405" s="28" t="n">
        <f aca="false">297900/100</f>
        <v>2979</v>
      </c>
      <c r="AC4405" s="28" t="n">
        <v>7447</v>
      </c>
      <c r="AD4405" s="28"/>
      <c r="AE4405" s="28" t="n">
        <f aca="false">AD4405*$M4405</f>
        <v>0</v>
      </c>
      <c r="AF4405" s="28"/>
      <c r="AG4405" s="28" t="n">
        <f aca="false">AF4405*$M4405</f>
        <v>0</v>
      </c>
      <c r="AH4405" s="28"/>
      <c r="AI4405" s="28" t="n">
        <f aca="false">AH4405*$M4405</f>
        <v>0</v>
      </c>
      <c r="AJ4405" s="28"/>
      <c r="AK4405" s="28" t="n">
        <f aca="false">AJ4405*$M4405</f>
        <v>0</v>
      </c>
      <c r="AL4405" s="28"/>
      <c r="AM4405" s="28" t="n">
        <f aca="false">AL4405*$M4405</f>
        <v>0</v>
      </c>
      <c r="AN4405" s="28"/>
      <c r="AO4405" s="28" t="n">
        <f aca="false">AN4405*$M4405</f>
        <v>0</v>
      </c>
      <c r="AP4405" s="28"/>
      <c r="AQ4405" s="28" t="n">
        <f aca="false">AP4405*$M4405</f>
        <v>0</v>
      </c>
      <c r="AR4405" s="28"/>
      <c r="AS4405" s="28" t="n">
        <f aca="false">AR4405*$M4405</f>
        <v>0</v>
      </c>
      <c r="AT4405" s="28"/>
      <c r="AU4405" s="28" t="n">
        <f aca="false">AT4405*$M4405</f>
        <v>0</v>
      </c>
      <c r="AV4405" s="28"/>
      <c r="AW4405" s="28" t="n">
        <f aca="false">AV4405*$M4405</f>
        <v>0</v>
      </c>
      <c r="AX4405" s="28"/>
      <c r="AY4405" s="28" t="n">
        <f aca="false">AX4405*$M4405</f>
        <v>0</v>
      </c>
      <c r="AZ4405" s="30" t="n">
        <f aca="false">4441206/100</f>
        <v>44412.06</v>
      </c>
      <c r="BA4405" s="11" t="n">
        <v>111030</v>
      </c>
      <c r="BB4405" s="31" t="n">
        <f aca="false">SUM(Q4405,S4405,U4405,W4405,Y4405,AA4405,AC4405,AE4405,AG4405,AI4405,AK4405,AM4405,AO4405,AQ4405,AS4405,AU4405,AW4405,AY4405)</f>
        <v>111030</v>
      </c>
      <c r="BC4405" s="28" t="n">
        <f aca="false">BA4405-BB4405</f>
        <v>0</v>
      </c>
      <c r="BD4405" s="32" t="n">
        <f aca="false">SUM(P4405,R4405,T4405,V4405,X4405,Z4405,AB4405,AD4405,AF4405,AH4405,AJ4405,AL4405,AN4405,AP4405,AR4405,AT4405,AV4405,AX4405)</f>
        <v>44412.06</v>
      </c>
      <c r="BE4405" s="33" t="n">
        <f aca="false">AZ4405-BD4405</f>
        <v>0</v>
      </c>
      <c r="BF4405" s="34" t="n">
        <f aca="false">BD4405*M4405</f>
        <v>111030.15</v>
      </c>
      <c r="BG4405" s="35" t="n">
        <f aca="false">BA4405-BF4405</f>
        <v>-0.149999999994179</v>
      </c>
      <c r="BH4405" s="19" t="str">
        <f aca="false">IF(BG4405=0,"",IF(BG4405&lt;&gt;BA4405,"erreur de calcul",IF(BD4405&lt;&gt;0,"pas de prix",IF(M4405&lt;&gt; 0,"pas de quantité","pas de prix, ni de quantité"))))</f>
        <v>erreur de calcul</v>
      </c>
      <c r="BI4405" s="19"/>
    </row>
    <row r="4406" customFormat="false" ht="15" hidden="false" customHeight="false" outlineLevel="0" collapsed="false">
      <c r="A4406" s="0" t="n">
        <v>28</v>
      </c>
      <c r="B4406" s="8" t="s">
        <v>24</v>
      </c>
      <c r="C4406" s="9" t="s">
        <v>25</v>
      </c>
      <c r="D4406" s="9" t="s">
        <v>26</v>
      </c>
      <c r="E4406" s="10" t="n">
        <v>1789</v>
      </c>
      <c r="F4406" s="9" t="s">
        <v>27</v>
      </c>
      <c r="G4406" s="9" t="s">
        <v>27</v>
      </c>
      <c r="H4406" s="11" t="n">
        <v>23</v>
      </c>
      <c r="I4406" s="11" t="s">
        <v>270</v>
      </c>
      <c r="J4406" s="14" t="n">
        <v>5</v>
      </c>
      <c r="K4406" s="14"/>
      <c r="L4406" s="16"/>
      <c r="M4406" s="27" t="n">
        <f aca="false">J4406+(K4406/20)+(L4406/240)</f>
        <v>5</v>
      </c>
      <c r="N4406" s="17" t="s">
        <v>85</v>
      </c>
      <c r="O4406" s="11"/>
      <c r="P4406" s="28" t="n">
        <f aca="false">328200/100</f>
        <v>3282</v>
      </c>
      <c r="Q4406" s="28" t="n">
        <v>16410</v>
      </c>
      <c r="R4406" s="28"/>
      <c r="S4406" s="28" t="n">
        <f aca="false">R4406*$M4406</f>
        <v>0</v>
      </c>
      <c r="T4406" s="28" t="n">
        <f aca="false">667000/100</f>
        <v>6670</v>
      </c>
      <c r="U4406" s="36" t="n">
        <v>33360</v>
      </c>
      <c r="V4406" s="28" t="n">
        <f aca="false">506800/100</f>
        <v>5068</v>
      </c>
      <c r="W4406" s="28" t="n">
        <v>25340</v>
      </c>
      <c r="X4406" s="28"/>
      <c r="Y4406" s="28" t="n">
        <f aca="false">X4406*$M4406</f>
        <v>0</v>
      </c>
      <c r="Z4406" s="28"/>
      <c r="AA4406" s="28" t="n">
        <f aca="false">Z4406*$M4406</f>
        <v>0</v>
      </c>
      <c r="AB4406" s="28"/>
      <c r="AC4406" s="28" t="n">
        <f aca="false">AB4406*$M4406</f>
        <v>0</v>
      </c>
      <c r="AD4406" s="28"/>
      <c r="AE4406" s="28" t="n">
        <f aca="false">AD4406*$M4406</f>
        <v>0</v>
      </c>
      <c r="AF4406" s="28"/>
      <c r="AG4406" s="28" t="n">
        <f aca="false">AF4406*$M4406</f>
        <v>0</v>
      </c>
      <c r="AH4406" s="28" t="n">
        <f aca="false">320500/100</f>
        <v>3205</v>
      </c>
      <c r="AI4406" s="28" t="n">
        <v>16025</v>
      </c>
      <c r="AJ4406" s="28"/>
      <c r="AK4406" s="28" t="n">
        <f aca="false">AJ4406*$M4406</f>
        <v>0</v>
      </c>
      <c r="AL4406" s="28"/>
      <c r="AM4406" s="28" t="n">
        <f aca="false">AL4406*$M4406</f>
        <v>0</v>
      </c>
      <c r="AN4406" s="28"/>
      <c r="AO4406" s="28" t="n">
        <f aca="false">AN4406*$M4406</f>
        <v>0</v>
      </c>
      <c r="AP4406" s="28"/>
      <c r="AQ4406" s="28" t="n">
        <f aca="false">AP4406*$M4406</f>
        <v>0</v>
      </c>
      <c r="AR4406" s="28"/>
      <c r="AS4406" s="28" t="n">
        <f aca="false">AR4406*$M4406</f>
        <v>0</v>
      </c>
      <c r="AT4406" s="28"/>
      <c r="AU4406" s="28" t="n">
        <f aca="false">AT4406*$M4406</f>
        <v>0</v>
      </c>
      <c r="AV4406" s="28"/>
      <c r="AW4406" s="28" t="n">
        <f aca="false">AV4406*$M4406</f>
        <v>0</v>
      </c>
      <c r="AX4406" s="28"/>
      <c r="AY4406" s="28" t="n">
        <f aca="false">AX4406*$M4406</f>
        <v>0</v>
      </c>
      <c r="AZ4406" s="30" t="n">
        <f aca="false">1822500/100</f>
        <v>18225</v>
      </c>
      <c r="BA4406" s="11" t="n">
        <v>91135</v>
      </c>
      <c r="BB4406" s="31" t="n">
        <f aca="false">SUM(Q4406,S4406,U4406,W4406,Y4406,AA4406,AC4406,AE4406,AG4406,AI4406,AK4406,AM4406,AO4406,AQ4406,AS4406,AU4406,AW4406,AY4406)</f>
        <v>91135</v>
      </c>
      <c r="BC4406" s="28" t="n">
        <f aca="false">BA4406-BB4406</f>
        <v>0</v>
      </c>
      <c r="BD4406" s="32" t="n">
        <f aca="false">SUM(P4406,R4406,T4406,V4406,X4406,Z4406,AB4406,AD4406,AF4406,AH4406,AJ4406,AL4406,AN4406,AP4406,AR4406,AT4406,AV4406,AX4406)</f>
        <v>18225</v>
      </c>
      <c r="BE4406" s="33" t="n">
        <f aca="false">AZ4406-BD4406</f>
        <v>0</v>
      </c>
      <c r="BF4406" s="34" t="n">
        <f aca="false">BD4406*M4406</f>
        <v>91125</v>
      </c>
      <c r="BG4406" s="35" t="n">
        <f aca="false">BA4406-BF4406</f>
        <v>10</v>
      </c>
      <c r="BH4406" s="19" t="str">
        <f aca="false">IF(BG4406=0,"",IF(BG4406&lt;&gt;BA4406,"erreur de calcul",IF(BD4406&lt;&gt;0,"pas de prix",IF(M4406&lt;&gt; 0,"pas de quantité","pas de prix, ni de quantité"))))</f>
        <v>erreur de calcul</v>
      </c>
      <c r="BI4406" s="19"/>
    </row>
    <row r="4407" customFormat="false" ht="15" hidden="false" customHeight="false" outlineLevel="0" collapsed="false">
      <c r="A4407" s="0" t="n">
        <v>29</v>
      </c>
      <c r="B4407" s="8" t="s">
        <v>24</v>
      </c>
      <c r="C4407" s="9" t="s">
        <v>25</v>
      </c>
      <c r="D4407" s="9" t="s">
        <v>26</v>
      </c>
      <c r="E4407" s="10" t="n">
        <v>1789</v>
      </c>
      <c r="F4407" s="9" t="s">
        <v>27</v>
      </c>
      <c r="G4407" s="9" t="s">
        <v>27</v>
      </c>
      <c r="H4407" s="11" t="n">
        <v>23</v>
      </c>
      <c r="I4407" s="11" t="s">
        <v>271</v>
      </c>
      <c r="J4407" s="14" t="n">
        <v>7</v>
      </c>
      <c r="K4407" s="14" t="n">
        <v>10</v>
      </c>
      <c r="L4407" s="16"/>
      <c r="M4407" s="27" t="n">
        <f aca="false">J4407+(K4407/20)+(L4407/240)</f>
        <v>7.5</v>
      </c>
      <c r="N4407" s="17" t="s">
        <v>64</v>
      </c>
      <c r="O4407" s="11"/>
      <c r="P4407" s="28"/>
      <c r="Q4407" s="28" t="n">
        <f aca="false">P4407*$M4407</f>
        <v>0</v>
      </c>
      <c r="R4407" s="28"/>
      <c r="S4407" s="28" t="n">
        <f aca="false">R4407*$M4407</f>
        <v>0</v>
      </c>
      <c r="T4407" s="28"/>
      <c r="U4407" s="28" t="n">
        <f aca="false">T4407*$M4407</f>
        <v>0</v>
      </c>
      <c r="V4407" s="28" t="n">
        <f aca="false">191888/100</f>
        <v>1918.88</v>
      </c>
      <c r="W4407" s="28" t="n">
        <v>14392</v>
      </c>
      <c r="X4407" s="28"/>
      <c r="Y4407" s="28" t="n">
        <f aca="false">X4407*$M4407</f>
        <v>0</v>
      </c>
      <c r="Z4407" s="28"/>
      <c r="AA4407" s="28" t="n">
        <f aca="false">Z4407*$M4407</f>
        <v>0</v>
      </c>
      <c r="AB4407" s="28"/>
      <c r="AC4407" s="28" t="n">
        <f aca="false">AB4407*$M4407</f>
        <v>0</v>
      </c>
      <c r="AD4407" s="28"/>
      <c r="AE4407" s="28" t="n">
        <f aca="false">AD4407*$M4407</f>
        <v>0</v>
      </c>
      <c r="AF4407" s="28"/>
      <c r="AG4407" s="28" t="n">
        <f aca="false">AF4407*$M4407</f>
        <v>0</v>
      </c>
      <c r="AH4407" s="28"/>
      <c r="AI4407" s="28" t="n">
        <f aca="false">AH4407*$M4407</f>
        <v>0</v>
      </c>
      <c r="AJ4407" s="28"/>
      <c r="AK4407" s="28" t="n">
        <f aca="false">AJ4407*$M4407</f>
        <v>0</v>
      </c>
      <c r="AL4407" s="28"/>
      <c r="AM4407" s="28" t="n">
        <f aca="false">AL4407*$M4407</f>
        <v>0</v>
      </c>
      <c r="AN4407" s="28"/>
      <c r="AO4407" s="28" t="n">
        <f aca="false">AN4407*$M4407</f>
        <v>0</v>
      </c>
      <c r="AP4407" s="28"/>
      <c r="AQ4407" s="28" t="n">
        <f aca="false">AP4407*$M4407</f>
        <v>0</v>
      </c>
      <c r="AR4407" s="28"/>
      <c r="AS4407" s="28" t="n">
        <f aca="false">AR4407*$M4407</f>
        <v>0</v>
      </c>
      <c r="AT4407" s="28"/>
      <c r="AU4407" s="28" t="n">
        <f aca="false">AT4407*$M4407</f>
        <v>0</v>
      </c>
      <c r="AV4407" s="28"/>
      <c r="AW4407" s="28" t="n">
        <f aca="false">AV4407*$M4407</f>
        <v>0</v>
      </c>
      <c r="AX4407" s="28"/>
      <c r="AY4407" s="28" t="n">
        <f aca="false">AX4407*$M4407</f>
        <v>0</v>
      </c>
      <c r="AZ4407" s="30" t="n">
        <f aca="false">191888/100</f>
        <v>1918.88</v>
      </c>
      <c r="BA4407" s="11" t="n">
        <v>14392</v>
      </c>
      <c r="BB4407" s="31" t="n">
        <f aca="false">SUM(Q4407,S4407,U4407,W4407,Y4407,AA4407,AC4407,AE4407,AG4407,AI4407,AK4407,AM4407,AO4407,AQ4407,AS4407,AU4407,AW4407,AY4407)</f>
        <v>14392</v>
      </c>
      <c r="BC4407" s="28" t="n">
        <f aca="false">BA4407-BB4407</f>
        <v>0</v>
      </c>
      <c r="BD4407" s="32" t="n">
        <f aca="false">SUM(P4407,R4407,T4407,V4407,X4407,Z4407,AB4407,AD4407,AF4407,AH4407,AJ4407,AL4407,AN4407,AP4407,AR4407,AT4407,AV4407,AX4407)</f>
        <v>1918.88</v>
      </c>
      <c r="BE4407" s="33" t="n">
        <f aca="false">AZ4407-BD4407</f>
        <v>0</v>
      </c>
      <c r="BF4407" s="34" t="n">
        <f aca="false">BD4407*M4407</f>
        <v>14391.6</v>
      </c>
      <c r="BG4407" s="35" t="n">
        <f aca="false">BA4407-BF4407</f>
        <v>0.399999999999636</v>
      </c>
      <c r="BH4407" s="19" t="str">
        <f aca="false">IF(BG4407=0,"",IF(BG4407&lt;&gt;BA4407,"erreur de calcul",IF(BD4407&lt;&gt;0,"pas de prix",IF(M4407&lt;&gt; 0,"pas de quantité","pas de prix, ni de quantité"))))</f>
        <v>erreur de calcul</v>
      </c>
      <c r="BI4407" s="19"/>
    </row>
    <row r="4408" customFormat="false" ht="15" hidden="false" customHeight="false" outlineLevel="0" collapsed="false">
      <c r="A4408" s="0" t="n">
        <v>30</v>
      </c>
      <c r="B4408" s="8" t="s">
        <v>24</v>
      </c>
      <c r="C4408" s="9" t="s">
        <v>25</v>
      </c>
      <c r="D4408" s="9" t="s">
        <v>26</v>
      </c>
      <c r="E4408" s="10" t="n">
        <v>1789</v>
      </c>
      <c r="F4408" s="9" t="s">
        <v>27</v>
      </c>
      <c r="G4408" s="9" t="s">
        <v>27</v>
      </c>
      <c r="H4408" s="11" t="n">
        <v>23</v>
      </c>
      <c r="I4408" s="11" t="s">
        <v>272</v>
      </c>
      <c r="J4408" s="14" t="n">
        <v>6</v>
      </c>
      <c r="K4408" s="14"/>
      <c r="L4408" s="16"/>
      <c r="M4408" s="27" t="n">
        <f aca="false">J4408+(K4408/20)+(L4408/240)</f>
        <v>6</v>
      </c>
      <c r="N4408" s="17" t="s">
        <v>64</v>
      </c>
      <c r="O4408" s="11"/>
      <c r="P4408" s="28"/>
      <c r="Q4408" s="28" t="n">
        <f aca="false">P4408*$M4408</f>
        <v>0</v>
      </c>
      <c r="R4408" s="28"/>
      <c r="S4408" s="28" t="n">
        <f aca="false">R4408*$M4408</f>
        <v>0</v>
      </c>
      <c r="T4408" s="28" t="n">
        <f aca="false">26711/100</f>
        <v>267.11</v>
      </c>
      <c r="U4408" s="28" t="n">
        <v>1603</v>
      </c>
      <c r="V4408" s="28" t="n">
        <f aca="false">790699/100</f>
        <v>7906.99</v>
      </c>
      <c r="W4408" s="28" t="n">
        <v>47442</v>
      </c>
      <c r="X4408" s="28" t="n">
        <f aca="false">50169/100</f>
        <v>501.69</v>
      </c>
      <c r="Y4408" s="28" t="n">
        <v>3010</v>
      </c>
      <c r="Z4408" s="28"/>
      <c r="AA4408" s="28" t="n">
        <f aca="false">Z4408*$M4408</f>
        <v>0</v>
      </c>
      <c r="AB4408" s="28"/>
      <c r="AC4408" s="28" t="n">
        <f aca="false">AB4408*$M4408</f>
        <v>0</v>
      </c>
      <c r="AD4408" s="28"/>
      <c r="AE4408" s="28" t="n">
        <f aca="false">AD4408*$M4408</f>
        <v>0</v>
      </c>
      <c r="AF4408" s="28"/>
      <c r="AG4408" s="28" t="n">
        <f aca="false">AF4408*$M4408</f>
        <v>0</v>
      </c>
      <c r="AH4408" s="28"/>
      <c r="AI4408" s="28" t="n">
        <f aca="false">AH4408*$M4408</f>
        <v>0</v>
      </c>
      <c r="AJ4408" s="28"/>
      <c r="AK4408" s="28" t="n">
        <f aca="false">AJ4408*$M4408</f>
        <v>0</v>
      </c>
      <c r="AL4408" s="28"/>
      <c r="AM4408" s="28" t="n">
        <f aca="false">AL4408*$M4408</f>
        <v>0</v>
      </c>
      <c r="AN4408" s="28"/>
      <c r="AO4408" s="28" t="n">
        <f aca="false">AN4408*$M4408</f>
        <v>0</v>
      </c>
      <c r="AP4408" s="28"/>
      <c r="AQ4408" s="28" t="n">
        <f aca="false">AP4408*$M4408</f>
        <v>0</v>
      </c>
      <c r="AR4408" s="28"/>
      <c r="AS4408" s="28" t="n">
        <f aca="false">AR4408*$M4408</f>
        <v>0</v>
      </c>
      <c r="AT4408" s="28"/>
      <c r="AU4408" s="28" t="n">
        <f aca="false">AT4408*$M4408</f>
        <v>0</v>
      </c>
      <c r="AV4408" s="28"/>
      <c r="AW4408" s="28" t="n">
        <f aca="false">AV4408*$M4408</f>
        <v>0</v>
      </c>
      <c r="AX4408" s="28"/>
      <c r="AY4408" s="28" t="n">
        <f aca="false">AX4408*$M4408</f>
        <v>0</v>
      </c>
      <c r="AZ4408" s="30" t="n">
        <f aca="false">867559/100</f>
        <v>8675.59</v>
      </c>
      <c r="BA4408" s="11" t="n">
        <v>52055</v>
      </c>
      <c r="BB4408" s="31" t="n">
        <f aca="false">SUM(Q4408,S4408,U4408,W4408,Y4408,AA4408,AC4408,AE4408,AG4408,AI4408,AK4408,AM4408,AO4408,AQ4408,AS4408,AU4408,AW4408,AY4408)</f>
        <v>52055</v>
      </c>
      <c r="BC4408" s="28" t="n">
        <f aca="false">BA4408-BB4408</f>
        <v>0</v>
      </c>
      <c r="BD4408" s="32" t="n">
        <f aca="false">SUM(P4408,R4408,T4408,V4408,X4408,Z4408,AB4408,AD4408,AF4408,AH4408,AJ4408,AL4408,AN4408,AP4408,AR4408,AT4408,AV4408,AX4408)</f>
        <v>8675.79</v>
      </c>
      <c r="BE4408" s="33" t="n">
        <f aca="false">AZ4408-BD4408</f>
        <v>-0.200000000000728</v>
      </c>
      <c r="BF4408" s="34" t="n">
        <f aca="false">BD4408*M4408</f>
        <v>52054.74</v>
      </c>
      <c r="BG4408" s="35" t="n">
        <f aca="false">BA4408-BF4408</f>
        <v>0.259999999994761</v>
      </c>
      <c r="BH4408" s="19" t="str">
        <f aca="false">IF(BG4408=0,"",IF(BG4408&lt;&gt;BA4408,"erreur de calcul",IF(BD4408&lt;&gt;0,"pas de prix",IF(M4408&lt;&gt; 0,"pas de quantité","pas de prix, ni de quantité"))))</f>
        <v>erreur de calcul</v>
      </c>
      <c r="BI4408" s="19"/>
    </row>
    <row r="4409" customFormat="false" ht="15" hidden="false" customHeight="false" outlineLevel="0" collapsed="false">
      <c r="A4409" s="0" t="n">
        <v>31</v>
      </c>
      <c r="B4409" s="8" t="s">
        <v>24</v>
      </c>
      <c r="C4409" s="9" t="s">
        <v>25</v>
      </c>
      <c r="D4409" s="9" t="s">
        <v>26</v>
      </c>
      <c r="E4409" s="10" t="n">
        <v>1789</v>
      </c>
      <c r="F4409" s="9" t="s">
        <v>27</v>
      </c>
      <c r="G4409" s="9" t="s">
        <v>27</v>
      </c>
      <c r="H4409" s="11" t="n">
        <v>23</v>
      </c>
      <c r="I4409" s="11" t="s">
        <v>273</v>
      </c>
      <c r="J4409" s="14" t="n">
        <v>8</v>
      </c>
      <c r="K4409" s="14"/>
      <c r="L4409" s="16"/>
      <c r="M4409" s="27" t="n">
        <f aca="false">J4409+(K4409/20)+(L4409/240)</f>
        <v>8</v>
      </c>
      <c r="N4409" s="17" t="s">
        <v>81</v>
      </c>
      <c r="O4409" s="11"/>
      <c r="P4409" s="28" t="n">
        <v>27</v>
      </c>
      <c r="Q4409" s="28" t="n">
        <v>216</v>
      </c>
      <c r="R4409" s="28"/>
      <c r="S4409" s="28" t="n">
        <f aca="false">R4409*$M4409</f>
        <v>0</v>
      </c>
      <c r="T4409" s="28"/>
      <c r="U4409" s="28" t="n">
        <f aca="false">T4409*$M4409</f>
        <v>0</v>
      </c>
      <c r="V4409" s="28" t="n">
        <v>40</v>
      </c>
      <c r="W4409" s="28" t="n">
        <v>320</v>
      </c>
      <c r="X4409" s="28"/>
      <c r="Y4409" s="28" t="n">
        <f aca="false">X4409*$M4409</f>
        <v>0</v>
      </c>
      <c r="Z4409" s="28"/>
      <c r="AA4409" s="28" t="n">
        <f aca="false">Z4409*$M4409</f>
        <v>0</v>
      </c>
      <c r="AB4409" s="28" t="n">
        <v>164</v>
      </c>
      <c r="AC4409" s="28" t="n">
        <v>1312</v>
      </c>
      <c r="AD4409" s="28"/>
      <c r="AE4409" s="28" t="n">
        <f aca="false">AD4409*$M4409</f>
        <v>0</v>
      </c>
      <c r="AF4409" s="28" t="n">
        <v>263</v>
      </c>
      <c r="AG4409" s="28" t="n">
        <v>2104</v>
      </c>
      <c r="AH4409" s="28"/>
      <c r="AI4409" s="28" t="n">
        <f aca="false">AH4409*$M4409</f>
        <v>0</v>
      </c>
      <c r="AJ4409" s="28"/>
      <c r="AK4409" s="28" t="n">
        <f aca="false">AJ4409*$M4409</f>
        <v>0</v>
      </c>
      <c r="AL4409" s="28"/>
      <c r="AM4409" s="28" t="n">
        <f aca="false">AL4409*$M4409</f>
        <v>0</v>
      </c>
      <c r="AN4409" s="28"/>
      <c r="AO4409" s="28" t="n">
        <f aca="false">AN4409*$M4409</f>
        <v>0</v>
      </c>
      <c r="AP4409" s="28" t="n">
        <v>278</v>
      </c>
      <c r="AQ4409" s="28" t="n">
        <v>2224</v>
      </c>
      <c r="AR4409" s="28"/>
      <c r="AS4409" s="28" t="n">
        <f aca="false">AR4409*$M4409</f>
        <v>0</v>
      </c>
      <c r="AT4409" s="28"/>
      <c r="AU4409" s="28" t="n">
        <f aca="false">AT4409*$M4409</f>
        <v>0</v>
      </c>
      <c r="AV4409" s="28"/>
      <c r="AW4409" s="28" t="n">
        <f aca="false">AV4409*$M4409</f>
        <v>0</v>
      </c>
      <c r="AX4409" s="28"/>
      <c r="AY4409" s="28" t="n">
        <f aca="false">AX4409*$M4409</f>
        <v>0</v>
      </c>
      <c r="AZ4409" s="30" t="n">
        <v>772</v>
      </c>
      <c r="BA4409" s="11" t="n">
        <v>6176</v>
      </c>
      <c r="BB4409" s="31" t="n">
        <f aca="false">SUM(Q4409,S4409,U4409,W4409,Y4409,AA4409,AC4409,AE4409,AG4409,AI4409,AK4409,AM4409,AO4409,AQ4409,AS4409,AU4409,AW4409,AY4409)</f>
        <v>6176</v>
      </c>
      <c r="BC4409" s="28" t="n">
        <f aca="false">BA4409-BB4409</f>
        <v>0</v>
      </c>
      <c r="BD4409" s="32" t="n">
        <f aca="false">SUM(P4409,R4409,T4409,V4409,X4409,Z4409,AB4409,AD4409,AF4409,AH4409,AJ4409,AL4409,AN4409,AP4409,AR4409,AT4409,AV4409,AX4409)</f>
        <v>772</v>
      </c>
      <c r="BE4409" s="33" t="n">
        <f aca="false">AZ4409-BD4409</f>
        <v>0</v>
      </c>
      <c r="BF4409" s="34" t="n">
        <f aca="false">BD4409*M4409</f>
        <v>6176</v>
      </c>
      <c r="BG4409" s="35" t="n">
        <f aca="false">BA4409-BF4409</f>
        <v>0</v>
      </c>
      <c r="BH4409" s="19" t="str">
        <f aca="false">IF(BG4409=0,"",IF(BG4409&lt;&gt;BA4409,"erreur de calcul",IF(BD4409&lt;&gt;0,"pas de prix",IF(M4409&lt;&gt; 0,"pas de quantité","pas de prix, ni de quantité"))))</f>
        <v/>
      </c>
      <c r="BI4409" s="19"/>
    </row>
    <row r="4410" customFormat="false" ht="15" hidden="false" customHeight="false" outlineLevel="0" collapsed="false">
      <c r="A4410" s="0" t="n">
        <v>32</v>
      </c>
      <c r="B4410" s="8" t="s">
        <v>24</v>
      </c>
      <c r="C4410" s="9" t="s">
        <v>25</v>
      </c>
      <c r="D4410" s="9" t="s">
        <v>26</v>
      </c>
      <c r="E4410" s="10" t="n">
        <v>1789</v>
      </c>
      <c r="F4410" s="9" t="s">
        <v>27</v>
      </c>
      <c r="G4410" s="9" t="s">
        <v>27</v>
      </c>
      <c r="H4410" s="11" t="n">
        <v>23</v>
      </c>
      <c r="I4410" s="11" t="s">
        <v>274</v>
      </c>
      <c r="J4410" s="14" t="n">
        <v>17</v>
      </c>
      <c r="K4410" s="14"/>
      <c r="L4410" s="16"/>
      <c r="M4410" s="27" t="n">
        <f aca="false">J4410+(K4410/20)+(L4410/240)</f>
        <v>17</v>
      </c>
      <c r="N4410" s="17" t="s">
        <v>275</v>
      </c>
      <c r="O4410" s="11"/>
      <c r="P4410" s="28" t="n">
        <v>200</v>
      </c>
      <c r="Q4410" s="28" t="n">
        <v>3400</v>
      </c>
      <c r="R4410" s="28"/>
      <c r="S4410" s="28" t="n">
        <f aca="false">R4410*$M4410</f>
        <v>0</v>
      </c>
      <c r="T4410" s="28"/>
      <c r="U4410" s="28" t="n">
        <f aca="false">T4410*$M4410</f>
        <v>0</v>
      </c>
      <c r="V4410" s="28"/>
      <c r="W4410" s="28" t="n">
        <f aca="false">V4410*$M4410</f>
        <v>0</v>
      </c>
      <c r="X4410" s="28" t="n">
        <v>145</v>
      </c>
      <c r="Y4410" s="28" t="n">
        <v>2465</v>
      </c>
      <c r="Z4410" s="28"/>
      <c r="AA4410" s="28" t="n">
        <f aca="false">Z4410*$M4410</f>
        <v>0</v>
      </c>
      <c r="AB4410" s="28"/>
      <c r="AC4410" s="28" t="n">
        <f aca="false">AB4410*$M4410</f>
        <v>0</v>
      </c>
      <c r="AD4410" s="28"/>
      <c r="AE4410" s="28" t="n">
        <f aca="false">AD4410*$M4410</f>
        <v>0</v>
      </c>
      <c r="AF4410" s="28"/>
      <c r="AG4410" s="28" t="n">
        <f aca="false">AF4410*$M4410</f>
        <v>0</v>
      </c>
      <c r="AH4410" s="28"/>
      <c r="AI4410" s="28" t="n">
        <f aca="false">AH4410*$M4410</f>
        <v>0</v>
      </c>
      <c r="AJ4410" s="28"/>
      <c r="AK4410" s="28" t="n">
        <f aca="false">AJ4410*$M4410</f>
        <v>0</v>
      </c>
      <c r="AL4410" s="28" t="n">
        <v>12</v>
      </c>
      <c r="AM4410" s="28" t="n">
        <v>204</v>
      </c>
      <c r="AN4410" s="28"/>
      <c r="AO4410" s="28" t="n">
        <f aca="false">AN4410*$M4410</f>
        <v>0</v>
      </c>
      <c r="AP4410" s="28"/>
      <c r="AQ4410" s="28" t="n">
        <f aca="false">AP4410*$M4410</f>
        <v>0</v>
      </c>
      <c r="AR4410" s="28"/>
      <c r="AS4410" s="28" t="n">
        <f aca="false">AR4410*$M4410</f>
        <v>0</v>
      </c>
      <c r="AT4410" s="28"/>
      <c r="AU4410" s="28" t="n">
        <f aca="false">AT4410*$M4410</f>
        <v>0</v>
      </c>
      <c r="AV4410" s="28"/>
      <c r="AW4410" s="28" t="n">
        <f aca="false">AV4410*$M4410</f>
        <v>0</v>
      </c>
      <c r="AX4410" s="28"/>
      <c r="AY4410" s="28" t="n">
        <f aca="false">AX4410*$M4410</f>
        <v>0</v>
      </c>
      <c r="AZ4410" s="30" t="n">
        <v>357</v>
      </c>
      <c r="BA4410" s="11" t="n">
        <v>6069</v>
      </c>
      <c r="BB4410" s="31" t="n">
        <f aca="false">SUM(Q4410,S4410,U4410,W4410,Y4410,AA4410,AC4410,AE4410,AG4410,AI4410,AK4410,AM4410,AO4410,AQ4410,AS4410,AU4410,AW4410,AY4410)</f>
        <v>6069</v>
      </c>
      <c r="BC4410" s="28" t="n">
        <f aca="false">BA4410-BB4410</f>
        <v>0</v>
      </c>
      <c r="BD4410" s="32" t="n">
        <f aca="false">SUM(P4410,R4410,T4410,V4410,X4410,Z4410,AB4410,AD4410,AF4410,AH4410,AJ4410,AL4410,AN4410,AP4410,AR4410,AT4410,AV4410,AX4410)</f>
        <v>357</v>
      </c>
      <c r="BE4410" s="33" t="n">
        <f aca="false">AZ4410-BD4410</f>
        <v>0</v>
      </c>
      <c r="BF4410" s="34" t="n">
        <f aca="false">BD4410*M4410</f>
        <v>6069</v>
      </c>
      <c r="BG4410" s="35" t="n">
        <f aca="false">BA4410-BF4410</f>
        <v>0</v>
      </c>
      <c r="BH4410" s="19" t="str">
        <f aca="false">IF(BG4410=0,"",IF(BG4410&lt;&gt;BA4410,"erreur de calcul",IF(BD4410&lt;&gt;0,"pas de prix",IF(M4410&lt;&gt; 0,"pas de quantité","pas de prix, ni de quantité"))))</f>
        <v/>
      </c>
      <c r="BI4410" s="19" t="s">
        <v>275</v>
      </c>
    </row>
    <row r="4411" customFormat="false" ht="15" hidden="false" customHeight="false" outlineLevel="0" collapsed="false">
      <c r="A4411" s="0" t="n">
        <v>33</v>
      </c>
      <c r="B4411" s="8" t="s">
        <v>24</v>
      </c>
      <c r="C4411" s="9" t="s">
        <v>25</v>
      </c>
      <c r="D4411" s="9" t="s">
        <v>26</v>
      </c>
      <c r="E4411" s="10" t="n">
        <v>1789</v>
      </c>
      <c r="F4411" s="9" t="s">
        <v>27</v>
      </c>
      <c r="G4411" s="9" t="s">
        <v>27</v>
      </c>
      <c r="H4411" s="11" t="n">
        <v>23</v>
      </c>
      <c r="I4411" s="11" t="s">
        <v>276</v>
      </c>
      <c r="J4411" s="14" t="n">
        <v>36</v>
      </c>
      <c r="K4411" s="14"/>
      <c r="L4411" s="16"/>
      <c r="M4411" s="27" t="n">
        <f aca="false">J4411+(K4411/20)+(L4411/240)</f>
        <v>36</v>
      </c>
      <c r="N4411" s="17" t="s">
        <v>275</v>
      </c>
      <c r="O4411" s="11" t="s">
        <v>277</v>
      </c>
      <c r="P4411" s="28"/>
      <c r="Q4411" s="28" t="n">
        <f aca="false">P4411*$M4411</f>
        <v>0</v>
      </c>
      <c r="R4411" s="28"/>
      <c r="S4411" s="28" t="n">
        <f aca="false">R4411*$M4411</f>
        <v>0</v>
      </c>
      <c r="T4411" s="28"/>
      <c r="U4411" s="28" t="n">
        <f aca="false">T4411*$M4411</f>
        <v>0</v>
      </c>
      <c r="V4411" s="28"/>
      <c r="W4411" s="28" t="n">
        <f aca="false">V4411*$M4411</f>
        <v>0</v>
      </c>
      <c r="X4411" s="28"/>
      <c r="Y4411" s="28" t="n">
        <f aca="false">X4411*$M4411</f>
        <v>0</v>
      </c>
      <c r="Z4411" s="28"/>
      <c r="AA4411" s="28" t="n">
        <f aca="false">Z4411*$M4411</f>
        <v>0</v>
      </c>
      <c r="AB4411" s="28"/>
      <c r="AC4411" s="28" t="n">
        <f aca="false">AB4411*$M4411</f>
        <v>0</v>
      </c>
      <c r="AD4411" s="28"/>
      <c r="AE4411" s="28" t="n">
        <f aca="false">AD4411*$M4411</f>
        <v>0</v>
      </c>
      <c r="AF4411" s="28"/>
      <c r="AG4411" s="28" t="n">
        <f aca="false">AF4411*$M4411</f>
        <v>0</v>
      </c>
      <c r="AH4411" s="28"/>
      <c r="AI4411" s="28" t="n">
        <f aca="false">AH4411*$M4411</f>
        <v>0</v>
      </c>
      <c r="AJ4411" s="28"/>
      <c r="AK4411" s="28" t="n">
        <f aca="false">AJ4411*$M4411</f>
        <v>0</v>
      </c>
      <c r="AL4411" s="28"/>
      <c r="AM4411" s="28" t="n">
        <f aca="false">AL4411*$M4411</f>
        <v>0</v>
      </c>
      <c r="AN4411" s="28"/>
      <c r="AO4411" s="28" t="n">
        <f aca="false">AN4411*$M4411</f>
        <v>0</v>
      </c>
      <c r="AP4411" s="28"/>
      <c r="AQ4411" s="28" t="n">
        <f aca="false">AP4411*$M4411</f>
        <v>0</v>
      </c>
      <c r="AR4411" s="28"/>
      <c r="AS4411" s="28" t="n">
        <f aca="false">AR4411*$M4411</f>
        <v>0</v>
      </c>
      <c r="AT4411" s="28"/>
      <c r="AU4411" s="28" t="n">
        <f aca="false">AT4411*$M4411</f>
        <v>0</v>
      </c>
      <c r="AV4411" s="28"/>
      <c r="AW4411" s="28" t="n">
        <f aca="false">AV4411*$M4411</f>
        <v>0</v>
      </c>
      <c r="AX4411" s="28"/>
      <c r="AY4411" s="28" t="n">
        <f aca="false">AX4411*$M4411</f>
        <v>0</v>
      </c>
      <c r="AZ4411" s="30"/>
      <c r="BA4411" s="11"/>
      <c r="BB4411" s="31" t="n">
        <f aca="false">SUM(Q4411,S4411,U4411,W4411,Y4411,AA4411,AC4411,AE4411,AG4411,AI4411,AK4411,AM4411,AO4411,AQ4411,AS4411,AU4411,AW4411,AY4411)</f>
        <v>0</v>
      </c>
      <c r="BC4411" s="28" t="n">
        <f aca="false">BA4411-BB4411</f>
        <v>0</v>
      </c>
      <c r="BD4411" s="32" t="n">
        <f aca="false">SUM(P4411,R4411,T4411,V4411,X4411,Z4411,AB4411,AD4411,AF4411,AH4411,AJ4411,AL4411,AN4411,AP4411,AR4411,AT4411,AV4411,AX4411)</f>
        <v>0</v>
      </c>
      <c r="BE4411" s="33" t="n">
        <f aca="false">AZ4411-BD4411</f>
        <v>0</v>
      </c>
      <c r="BF4411" s="34" t="n">
        <f aca="false">BD4411*M4411</f>
        <v>0</v>
      </c>
      <c r="BG4411" s="35" t="n">
        <f aca="false">BA4411-BF4411</f>
        <v>0</v>
      </c>
      <c r="BH4411" s="19" t="str">
        <f aca="false">IF(BG4411=0,"",IF(BG4411&lt;&gt;BA4411,"erreur de calcul",IF(BD4411&lt;&gt;0,"pas de prix",IF(M4411&lt;&gt; 0,"pas de quantité","pas de prix, ni de quantité"))))</f>
        <v/>
      </c>
      <c r="BI4411" s="19" t="s">
        <v>275</v>
      </c>
    </row>
    <row r="4412" customFormat="false" ht="15" hidden="false" customHeight="false" outlineLevel="0" collapsed="false">
      <c r="A4412" s="0" t="n">
        <v>34</v>
      </c>
      <c r="B4412" s="8" t="s">
        <v>24</v>
      </c>
      <c r="C4412" s="9" t="s">
        <v>25</v>
      </c>
      <c r="D4412" s="9" t="s">
        <v>26</v>
      </c>
      <c r="E4412" s="10" t="n">
        <v>1789</v>
      </c>
      <c r="F4412" s="9" t="s">
        <v>27</v>
      </c>
      <c r="G4412" s="9" t="s">
        <v>27</v>
      </c>
      <c r="H4412" s="11" t="n">
        <v>23</v>
      </c>
      <c r="I4412" s="11" t="s">
        <v>276</v>
      </c>
      <c r="J4412" s="14" t="n">
        <v>36</v>
      </c>
      <c r="K4412" s="14"/>
      <c r="L4412" s="16"/>
      <c r="M4412" s="27" t="n">
        <f aca="false">J4412+(K4412/20)+(L4412/240)</f>
        <v>36</v>
      </c>
      <c r="N4412" s="17" t="s">
        <v>275</v>
      </c>
      <c r="O4412" s="11" t="s">
        <v>77</v>
      </c>
      <c r="P4412" s="28" t="n">
        <v>7250</v>
      </c>
      <c r="Q4412" s="28" t="n">
        <v>261000</v>
      </c>
      <c r="R4412" s="28"/>
      <c r="S4412" s="28" t="n">
        <f aca="false">R4412*$M4412</f>
        <v>0</v>
      </c>
      <c r="T4412" s="28" t="n">
        <v>38389</v>
      </c>
      <c r="U4412" s="28" t="n">
        <v>1382004</v>
      </c>
      <c r="V4412" s="28" t="n">
        <v>19350</v>
      </c>
      <c r="W4412" s="28" t="n">
        <v>696600</v>
      </c>
      <c r="X4412" s="28" t="n">
        <v>25392</v>
      </c>
      <c r="Y4412" s="28" t="n">
        <v>914112</v>
      </c>
      <c r="Z4412" s="28" t="n">
        <v>31863</v>
      </c>
      <c r="AA4412" s="28" t="n">
        <v>1147068</v>
      </c>
      <c r="AB4412" s="28" t="n">
        <v>149064</v>
      </c>
      <c r="AC4412" s="28" t="n">
        <v>5366304</v>
      </c>
      <c r="AD4412" s="28" t="n">
        <v>1270</v>
      </c>
      <c r="AE4412" s="28" t="n">
        <v>45720</v>
      </c>
      <c r="AF4412" s="28" t="n">
        <v>54784</v>
      </c>
      <c r="AG4412" s="28" t="n">
        <v>1972224</v>
      </c>
      <c r="AH4412" s="28" t="n">
        <v>1200</v>
      </c>
      <c r="AI4412" s="28" t="n">
        <v>43200</v>
      </c>
      <c r="AJ4412" s="28" t="n">
        <v>10055</v>
      </c>
      <c r="AK4412" s="28" t="n">
        <v>361980</v>
      </c>
      <c r="AL4412" s="28"/>
      <c r="AM4412" s="28" t="n">
        <f aca="false">AL4412*$M4412</f>
        <v>0</v>
      </c>
      <c r="AN4412" s="28"/>
      <c r="AO4412" s="28" t="n">
        <f aca="false">AN4412*$M4412</f>
        <v>0</v>
      </c>
      <c r="AP4412" s="28" t="n">
        <v>220</v>
      </c>
      <c r="AQ4412" s="28" t="n">
        <f aca="false">AP4412*$M4412</f>
        <v>7920</v>
      </c>
      <c r="AR4412" s="28"/>
      <c r="AS4412" s="28" t="n">
        <f aca="false">AR4412*$M4412</f>
        <v>0</v>
      </c>
      <c r="AT4412" s="28"/>
      <c r="AU4412" s="28" t="n">
        <f aca="false">AT4412*$M4412</f>
        <v>0</v>
      </c>
      <c r="AV4412" s="28" t="n">
        <v>100</v>
      </c>
      <c r="AW4412" s="28" t="n">
        <v>3600</v>
      </c>
      <c r="AX4412" s="28" t="n">
        <v>9241</v>
      </c>
      <c r="AY4412" s="28" t="n">
        <v>332676</v>
      </c>
      <c r="AZ4412" s="30" t="n">
        <v>348178</v>
      </c>
      <c r="BA4412" s="11" t="n">
        <v>12534408</v>
      </c>
      <c r="BB4412" s="31" t="n">
        <f aca="false">SUM(Q4412,S4412,U4412,W4412,Y4412,AA4412,AC4412,AE4412,AG4412,AI4412,AK4412,AM4412,AO4412,AQ4412,AS4412,AU4412,AW4412,AY4412)</f>
        <v>12534408</v>
      </c>
      <c r="BC4412" s="28" t="n">
        <f aca="false">BA4412-BB4412</f>
        <v>0</v>
      </c>
      <c r="BD4412" s="32" t="n">
        <f aca="false">SUM(P4412,R4412,T4412,V4412,X4412,Z4412,AB4412,AD4412,AF4412,AH4412,AJ4412,AL4412,AN4412,AP4412,AR4412,AT4412,AV4412,AX4412)</f>
        <v>348178</v>
      </c>
      <c r="BE4412" s="33" t="n">
        <f aca="false">AZ4412-BD4412</f>
        <v>0</v>
      </c>
      <c r="BF4412" s="34" t="n">
        <f aca="false">BD4412*M4412</f>
        <v>12534408</v>
      </c>
      <c r="BG4412" s="35" t="n">
        <f aca="false">BA4412-BF4412</f>
        <v>0</v>
      </c>
      <c r="BH4412" s="19" t="str">
        <f aca="false">IF(BG4412=0,"",IF(BG4412&lt;&gt;BA4412,"erreur de calcul",IF(BD4412&lt;&gt;0,"pas de prix",IF(M4412&lt;&gt; 0,"pas de quantité","pas de prix, ni de quantité"))))</f>
        <v/>
      </c>
      <c r="BI4412" s="19"/>
    </row>
    <row r="4413" customFormat="false" ht="15" hidden="false" customHeight="false" outlineLevel="0" collapsed="false">
      <c r="A4413" s="0" t="n">
        <v>35</v>
      </c>
      <c r="B4413" s="8" t="s">
        <v>24</v>
      </c>
      <c r="C4413" s="9" t="s">
        <v>25</v>
      </c>
      <c r="D4413" s="9" t="s">
        <v>26</v>
      </c>
      <c r="E4413" s="10" t="n">
        <v>1789</v>
      </c>
      <c r="F4413" s="9" t="s">
        <v>27</v>
      </c>
      <c r="G4413" s="9" t="s">
        <v>27</v>
      </c>
      <c r="H4413" s="11" t="n">
        <v>23</v>
      </c>
      <c r="I4413" s="11" t="s">
        <v>278</v>
      </c>
      <c r="J4413" s="14" t="n">
        <v>12</v>
      </c>
      <c r="K4413" s="14"/>
      <c r="L4413" s="16"/>
      <c r="M4413" s="27" t="n">
        <f aca="false">J4413+(K4413/20)+(L4413/240)</f>
        <v>12</v>
      </c>
      <c r="N4413" s="17" t="s">
        <v>64</v>
      </c>
      <c r="O4413" s="11" t="s">
        <v>77</v>
      </c>
      <c r="P4413" s="28" t="n">
        <f aca="false">351312/100</f>
        <v>3513.12</v>
      </c>
      <c r="Q4413" s="28" t="n">
        <v>42157</v>
      </c>
      <c r="R4413" s="28"/>
      <c r="S4413" s="28" t="n">
        <f aca="false">R4413*$M4413</f>
        <v>0</v>
      </c>
      <c r="T4413" s="28" t="n">
        <f aca="false">52251/100</f>
        <v>522.51</v>
      </c>
      <c r="U4413" s="28" t="n">
        <v>6270</v>
      </c>
      <c r="V4413" s="28" t="n">
        <f aca="false">2393/100</f>
        <v>23.93</v>
      </c>
      <c r="W4413" s="28" t="n">
        <v>287</v>
      </c>
      <c r="X4413" s="28" t="n">
        <f aca="false">44842/100</f>
        <v>448.42</v>
      </c>
      <c r="Y4413" s="28" t="n">
        <v>5381</v>
      </c>
      <c r="Z4413" s="28"/>
      <c r="AA4413" s="28" t="n">
        <f aca="false">Z4413*$M4413</f>
        <v>0</v>
      </c>
      <c r="AB4413" s="28"/>
      <c r="AC4413" s="28" t="n">
        <f aca="false">AB4413*$M4413</f>
        <v>0</v>
      </c>
      <c r="AD4413" s="28"/>
      <c r="AE4413" s="28" t="n">
        <f aca="false">AD4413*$M4413</f>
        <v>0</v>
      </c>
      <c r="AF4413" s="28" t="n">
        <f aca="false">164167/100</f>
        <v>1641.67</v>
      </c>
      <c r="AG4413" s="28" t="n">
        <v>19700</v>
      </c>
      <c r="AH4413" s="28"/>
      <c r="AI4413" s="28" t="n">
        <f aca="false">AH4413*$M4413</f>
        <v>0</v>
      </c>
      <c r="AJ4413" s="28"/>
      <c r="AK4413" s="28" t="n">
        <f aca="false">AJ4413*$M4413</f>
        <v>0</v>
      </c>
      <c r="AL4413" s="28"/>
      <c r="AM4413" s="28" t="n">
        <f aca="false">AL4413*$M4413</f>
        <v>0</v>
      </c>
      <c r="AN4413" s="28"/>
      <c r="AO4413" s="28" t="n">
        <f aca="false">AN4413*$M4413</f>
        <v>0</v>
      </c>
      <c r="AP4413" s="28"/>
      <c r="AQ4413" s="28" t="n">
        <f aca="false">AP4413*$M4413</f>
        <v>0</v>
      </c>
      <c r="AR4413" s="28"/>
      <c r="AS4413" s="28" t="n">
        <f aca="false">AR4413*$M4413</f>
        <v>0</v>
      </c>
      <c r="AT4413" s="28"/>
      <c r="AU4413" s="28" t="n">
        <f aca="false">AT4413*$M4413</f>
        <v>0</v>
      </c>
      <c r="AV4413" s="28"/>
      <c r="AW4413" s="28" t="n">
        <f aca="false">AV4413*$M4413</f>
        <v>0</v>
      </c>
      <c r="AX4413" s="28" t="n">
        <f aca="false">25000/100</f>
        <v>250</v>
      </c>
      <c r="AY4413" s="28" t="n">
        <v>3000</v>
      </c>
      <c r="AZ4413" s="30"/>
      <c r="BA4413" s="11" t="n">
        <v>76795</v>
      </c>
      <c r="BB4413" s="31" t="n">
        <f aca="false">SUM(Q4413,S4413,U4413,W4413,Y4413,AA4413,AC4413,AE4413,AG4413,AI4413,AK4413,AM4413,AO4413,AQ4413,AS4413,AU4413,AW4413,AY4413)</f>
        <v>76795</v>
      </c>
      <c r="BC4413" s="28" t="n">
        <f aca="false">BA4413-BB4413</f>
        <v>0</v>
      </c>
      <c r="BD4413" s="32" t="n">
        <f aca="false">SUM(P4413,R4413,T4413,V4413,X4413,Z4413,AB4413,AD4413,AF4413,AH4413,AJ4413,AL4413,AN4413,AP4413,AR4413,AT4413,AV4413,AX4413)</f>
        <v>6399.65</v>
      </c>
      <c r="BE4413" s="33" t="n">
        <f aca="false">AZ4413-BD4413</f>
        <v>-6399.65</v>
      </c>
      <c r="BF4413" s="34" t="n">
        <f aca="false">BD4413*M4413</f>
        <v>76795.8</v>
      </c>
      <c r="BG4413" s="35" t="n">
        <f aca="false">BA4413-BF4413</f>
        <v>-0.799999999988359</v>
      </c>
      <c r="BH4413" s="19" t="str">
        <f aca="false">IF(BG4413=0,"",IF(BG4413&lt;&gt;BA4413,"erreur de calcul",IF(BD4413&lt;&gt;0,"pas de prix",IF(M4413&lt;&gt; 0,"pas de quantité","pas de prix, ni de quantité"))))</f>
        <v>erreur de calcul</v>
      </c>
      <c r="BI4413" s="19"/>
    </row>
    <row r="4414" customFormat="false" ht="15" hidden="false" customHeight="false" outlineLevel="0" collapsed="false">
      <c r="A4414" s="0" t="n">
        <v>36</v>
      </c>
      <c r="B4414" s="8" t="s">
        <v>24</v>
      </c>
      <c r="C4414" s="9" t="s">
        <v>25</v>
      </c>
      <c r="D4414" s="9" t="s">
        <v>26</v>
      </c>
      <c r="E4414" s="10" t="n">
        <v>1789</v>
      </c>
      <c r="F4414" s="9" t="s">
        <v>27</v>
      </c>
      <c r="G4414" s="9" t="s">
        <v>27</v>
      </c>
      <c r="H4414" s="11" t="n">
        <v>23</v>
      </c>
      <c r="I4414" s="11" t="s">
        <v>279</v>
      </c>
      <c r="J4414" s="14" t="n">
        <v>18</v>
      </c>
      <c r="K4414" s="14"/>
      <c r="L4414" s="16"/>
      <c r="M4414" s="27" t="n">
        <f aca="false">J4414+(K4414/20)+(L4414/240)</f>
        <v>18</v>
      </c>
      <c r="N4414" s="17" t="s">
        <v>275</v>
      </c>
      <c r="O4414" s="11"/>
      <c r="P4414" s="28"/>
      <c r="Q4414" s="28" t="n">
        <f aca="false">P4414*$M4414</f>
        <v>0</v>
      </c>
      <c r="R4414" s="28"/>
      <c r="S4414" s="28" t="n">
        <f aca="false">R4414*$M4414</f>
        <v>0</v>
      </c>
      <c r="T4414" s="28" t="n">
        <v>100</v>
      </c>
      <c r="U4414" s="28" t="n">
        <v>1800</v>
      </c>
      <c r="V4414" s="28"/>
      <c r="W4414" s="28" t="n">
        <f aca="false">V4414*$M4414</f>
        <v>0</v>
      </c>
      <c r="X4414" s="28"/>
      <c r="Y4414" s="28" t="n">
        <f aca="false">X4414*$M4414</f>
        <v>0</v>
      </c>
      <c r="Z4414" s="28"/>
      <c r="AA4414" s="28" t="n">
        <f aca="false">Z4414*$M4414</f>
        <v>0</v>
      </c>
      <c r="AB4414" s="28" t="n">
        <v>1936</v>
      </c>
      <c r="AC4414" s="28" t="n">
        <v>34848</v>
      </c>
      <c r="AD4414" s="28"/>
      <c r="AE4414" s="28" t="n">
        <f aca="false">AD4414*$M4414</f>
        <v>0</v>
      </c>
      <c r="AF4414" s="28" t="n">
        <v>600</v>
      </c>
      <c r="AG4414" s="28" t="n">
        <v>10800</v>
      </c>
      <c r="AH4414" s="28"/>
      <c r="AI4414" s="28" t="n">
        <f aca="false">AH4414*$M4414</f>
        <v>0</v>
      </c>
      <c r="AJ4414" s="28"/>
      <c r="AK4414" s="28" t="n">
        <f aca="false">AJ4414*$M4414</f>
        <v>0</v>
      </c>
      <c r="AL4414" s="28" t="n">
        <v>12</v>
      </c>
      <c r="AM4414" s="28" t="n">
        <v>216</v>
      </c>
      <c r="AN4414" s="28"/>
      <c r="AO4414" s="28" t="n">
        <f aca="false">AN4414*$M4414</f>
        <v>0</v>
      </c>
      <c r="AP4414" s="28" t="n">
        <v>12</v>
      </c>
      <c r="AQ4414" s="28" t="n">
        <v>216</v>
      </c>
      <c r="AR4414" s="28"/>
      <c r="AS4414" s="28" t="n">
        <f aca="false">AR4414*$M4414</f>
        <v>0</v>
      </c>
      <c r="AT4414" s="28"/>
      <c r="AU4414" s="28" t="n">
        <f aca="false">AT4414*$M4414</f>
        <v>0</v>
      </c>
      <c r="AV4414" s="28"/>
      <c r="AW4414" s="28" t="n">
        <f aca="false">AV4414*$M4414</f>
        <v>0</v>
      </c>
      <c r="AX4414" s="28"/>
      <c r="AY4414" s="28" t="n">
        <f aca="false">AX4414*$M4414</f>
        <v>0</v>
      </c>
      <c r="AZ4414" s="30" t="n">
        <v>2660</v>
      </c>
      <c r="BA4414" s="11" t="n">
        <v>47880</v>
      </c>
      <c r="BB4414" s="31" t="n">
        <f aca="false">SUM(Q4414,S4414,U4414,W4414,Y4414,AA4414,AC4414,AE4414,AG4414,AI4414,AK4414,AM4414,AO4414,AQ4414,AS4414,AU4414,AW4414,AY4414)</f>
        <v>47880</v>
      </c>
      <c r="BC4414" s="28" t="n">
        <f aca="false">BA4414-BB4414</f>
        <v>0</v>
      </c>
      <c r="BD4414" s="32" t="n">
        <f aca="false">SUM(P4414,R4414,T4414,V4414,X4414,Z4414,AB4414,AD4414,AF4414,AH4414,AJ4414,AL4414,AN4414,AP4414,AR4414,AT4414,AV4414,AX4414)</f>
        <v>2660</v>
      </c>
      <c r="BE4414" s="33" t="n">
        <f aca="false">AZ4414-BD4414</f>
        <v>0</v>
      </c>
      <c r="BF4414" s="34" t="n">
        <f aca="false">BD4414*M4414</f>
        <v>47880</v>
      </c>
      <c r="BG4414" s="35" t="n">
        <f aca="false">BA4414-BF4414</f>
        <v>0</v>
      </c>
      <c r="BH4414" s="19" t="str">
        <f aca="false">IF(BG4414=0,"",IF(BG4414&lt;&gt;BA4414,"erreur de calcul",IF(BD4414&lt;&gt;0,"pas de prix",IF(M4414&lt;&gt; 0,"pas de quantité","pas de prix, ni de quantité"))))</f>
        <v/>
      </c>
      <c r="BI4414" s="19"/>
    </row>
    <row r="4415" customFormat="false" ht="15" hidden="false" customHeight="false" outlineLevel="0" collapsed="false">
      <c r="A4415" s="0" t="n">
        <v>37</v>
      </c>
      <c r="B4415" s="8" t="s">
        <v>24</v>
      </c>
      <c r="C4415" s="9" t="s">
        <v>25</v>
      </c>
      <c r="D4415" s="9" t="s">
        <v>26</v>
      </c>
      <c r="E4415" s="10" t="n">
        <v>1789</v>
      </c>
      <c r="F4415" s="9" t="s">
        <v>27</v>
      </c>
      <c r="G4415" s="9" t="s">
        <v>27</v>
      </c>
      <c r="H4415" s="11" t="n">
        <v>23</v>
      </c>
      <c r="I4415" s="11" t="s">
        <v>280</v>
      </c>
      <c r="J4415" s="14" t="n">
        <v>25</v>
      </c>
      <c r="K4415" s="14"/>
      <c r="L4415" s="16"/>
      <c r="M4415" s="27" t="n">
        <f aca="false">J4415+(K4415/20)+(L4415/240)</f>
        <v>25</v>
      </c>
      <c r="N4415" s="17" t="s">
        <v>64</v>
      </c>
      <c r="O4415" s="11"/>
      <c r="P4415" s="28"/>
      <c r="Q4415" s="28" t="n">
        <f aca="false">P4415*$M4415</f>
        <v>0</v>
      </c>
      <c r="R4415" s="28"/>
      <c r="S4415" s="28" t="n">
        <f aca="false">R4415*$M4415</f>
        <v>0</v>
      </c>
      <c r="T4415" s="28" t="n">
        <f aca="false">1664501/100</f>
        <v>16645.01</v>
      </c>
      <c r="U4415" s="28" t="n">
        <v>416125</v>
      </c>
      <c r="V4415" s="28" t="n">
        <f aca="false">2171980/100</f>
        <v>21719.8</v>
      </c>
      <c r="W4415" s="28" t="n">
        <v>542995</v>
      </c>
      <c r="X4415" s="28" t="n">
        <f aca="false">11567/100</f>
        <v>115.67</v>
      </c>
      <c r="Y4415" s="28" t="n">
        <v>2892</v>
      </c>
      <c r="Z4415" s="28" t="n">
        <f aca="false">985/100</f>
        <v>9.85</v>
      </c>
      <c r="AA4415" s="28" t="n">
        <v>246</v>
      </c>
      <c r="AB4415" s="28" t="n">
        <f aca="false">399494/100</f>
        <v>3994.94</v>
      </c>
      <c r="AC4415" s="28" t="n">
        <v>99873</v>
      </c>
      <c r="AD4415" s="28"/>
      <c r="AE4415" s="28" t="n">
        <f aca="false">AD4415*$M4415</f>
        <v>0</v>
      </c>
      <c r="AF4415" s="28"/>
      <c r="AG4415" s="28" t="n">
        <f aca="false">AF4415*$M4415</f>
        <v>0</v>
      </c>
      <c r="AH4415" s="28"/>
      <c r="AI4415" s="28" t="n">
        <f aca="false">AH4415*$M4415</f>
        <v>0</v>
      </c>
      <c r="AJ4415" s="28"/>
      <c r="AK4415" s="28" t="n">
        <f aca="false">AJ4415*$M4415</f>
        <v>0</v>
      </c>
      <c r="AL4415" s="28"/>
      <c r="AM4415" s="28" t="n">
        <f aca="false">AL4415*$M4415</f>
        <v>0</v>
      </c>
      <c r="AN4415" s="28"/>
      <c r="AO4415" s="28" t="n">
        <f aca="false">AN4415*$M4415</f>
        <v>0</v>
      </c>
      <c r="AP4415" s="28"/>
      <c r="AQ4415" s="28" t="n">
        <f aca="false">AP4415*$M4415</f>
        <v>0</v>
      </c>
      <c r="AR4415" s="28"/>
      <c r="AS4415" s="28" t="n">
        <f aca="false">AR4415*$M4415</f>
        <v>0</v>
      </c>
      <c r="AT4415" s="28"/>
      <c r="AU4415" s="28" t="n">
        <f aca="false">AT4415*$M4415</f>
        <v>0</v>
      </c>
      <c r="AV4415" s="28"/>
      <c r="AW4415" s="28" t="n">
        <f aca="false">AV4415*$M4415</f>
        <v>0</v>
      </c>
      <c r="AX4415" s="28" t="n">
        <f aca="false">57000/100</f>
        <v>570</v>
      </c>
      <c r="AY4415" s="28" t="n">
        <v>14250</v>
      </c>
      <c r="AZ4415" s="30" t="n">
        <f aca="false">4305527/100</f>
        <v>43055.27</v>
      </c>
      <c r="BA4415" s="11" t="n">
        <v>1076381</v>
      </c>
      <c r="BB4415" s="31" t="n">
        <f aca="false">SUM(Q4415,S4415,U4415,W4415,Y4415,AA4415,AC4415,AE4415,AG4415,AI4415,AK4415,AM4415,AO4415,AQ4415,AS4415,AU4415,AW4415,AY4415)</f>
        <v>1076381</v>
      </c>
      <c r="BC4415" s="28" t="n">
        <f aca="false">BA4415-BB4415</f>
        <v>0</v>
      </c>
      <c r="BD4415" s="32" t="n">
        <f aca="false">SUM(P4415,R4415,T4415,V4415,X4415,Z4415,AB4415,AD4415,AF4415,AH4415,AJ4415,AL4415,AN4415,AP4415,AR4415,AT4415,AV4415,AX4415)</f>
        <v>43055.27</v>
      </c>
      <c r="BE4415" s="33" t="n">
        <f aca="false">AZ4415-BD4415</f>
        <v>0</v>
      </c>
      <c r="BF4415" s="34" t="n">
        <f aca="false">BD4415*M4415</f>
        <v>1076381.75</v>
      </c>
      <c r="BG4415" s="35" t="n">
        <f aca="false">BA4415-BF4415</f>
        <v>-0.75</v>
      </c>
      <c r="BH4415" s="19" t="str">
        <f aca="false">IF(BG4415=0,"",IF(BG4415&lt;&gt;BA4415,"erreur de calcul",IF(BD4415&lt;&gt;0,"pas de prix",IF(M4415&lt;&gt; 0,"pas de quantité","pas de prix, ni de quantité"))))</f>
        <v>erreur de calcul</v>
      </c>
      <c r="BI4415" s="19"/>
    </row>
    <row r="4416" customFormat="false" ht="15" hidden="false" customHeight="false" outlineLevel="0" collapsed="false">
      <c r="A4416" s="0" t="n">
        <v>38</v>
      </c>
      <c r="B4416" s="8" t="s">
        <v>24</v>
      </c>
      <c r="C4416" s="9" t="s">
        <v>25</v>
      </c>
      <c r="D4416" s="9" t="s">
        <v>26</v>
      </c>
      <c r="E4416" s="10" t="n">
        <v>1789</v>
      </c>
      <c r="F4416" s="9" t="s">
        <v>27</v>
      </c>
      <c r="G4416" s="9" t="s">
        <v>27</v>
      </c>
      <c r="H4416" s="11" t="n">
        <v>23</v>
      </c>
      <c r="I4416" s="11" t="s">
        <v>281</v>
      </c>
      <c r="J4416" s="14" t="n">
        <v>18</v>
      </c>
      <c r="K4416" s="14"/>
      <c r="L4416" s="16"/>
      <c r="M4416" s="27" t="n">
        <f aca="false">J4416+(K4416/20)+(L4416/240)</f>
        <v>18</v>
      </c>
      <c r="N4416" s="17" t="s">
        <v>275</v>
      </c>
      <c r="O4416" s="11"/>
      <c r="P4416" s="28"/>
      <c r="Q4416" s="28" t="n">
        <f aca="false">P4416*$M4416</f>
        <v>0</v>
      </c>
      <c r="R4416" s="28"/>
      <c r="S4416" s="28" t="n">
        <f aca="false">R4416*$M4416</f>
        <v>0</v>
      </c>
      <c r="T4416" s="28" t="n">
        <v>537</v>
      </c>
      <c r="U4416" s="28" t="n">
        <v>9666</v>
      </c>
      <c r="V4416" s="28"/>
      <c r="W4416" s="28" t="n">
        <f aca="false">V4416*$M4416</f>
        <v>0</v>
      </c>
      <c r="X4416" s="28"/>
      <c r="Y4416" s="28" t="n">
        <f aca="false">X4416*$M4416</f>
        <v>0</v>
      </c>
      <c r="Z4416" s="28"/>
      <c r="AA4416" s="28" t="n">
        <f aca="false">Z4416*$M4416</f>
        <v>0</v>
      </c>
      <c r="AB4416" s="28"/>
      <c r="AC4416" s="28" t="n">
        <f aca="false">AB4416*$M4416</f>
        <v>0</v>
      </c>
      <c r="AD4416" s="28"/>
      <c r="AE4416" s="28" t="n">
        <f aca="false">AD4416*$M4416</f>
        <v>0</v>
      </c>
      <c r="AF4416" s="28"/>
      <c r="AG4416" s="28" t="n">
        <f aca="false">AF4416*$M4416</f>
        <v>0</v>
      </c>
      <c r="AH4416" s="28"/>
      <c r="AI4416" s="28" t="n">
        <f aca="false">AH4416*$M4416</f>
        <v>0</v>
      </c>
      <c r="AJ4416" s="28"/>
      <c r="AK4416" s="28" t="n">
        <f aca="false">AJ4416*$M4416</f>
        <v>0</v>
      </c>
      <c r="AL4416" s="28"/>
      <c r="AM4416" s="28" t="n">
        <f aca="false">AL4416*$M4416</f>
        <v>0</v>
      </c>
      <c r="AN4416" s="28"/>
      <c r="AO4416" s="28" t="n">
        <f aca="false">AN4416*$M4416</f>
        <v>0</v>
      </c>
      <c r="AP4416" s="28"/>
      <c r="AQ4416" s="28" t="n">
        <f aca="false">AP4416*$M4416</f>
        <v>0</v>
      </c>
      <c r="AR4416" s="28"/>
      <c r="AS4416" s="28" t="n">
        <f aca="false">AR4416*$M4416</f>
        <v>0</v>
      </c>
      <c r="AT4416" s="28"/>
      <c r="AU4416" s="28" t="n">
        <f aca="false">AT4416*$M4416</f>
        <v>0</v>
      </c>
      <c r="AV4416" s="28" t="n">
        <v>1700</v>
      </c>
      <c r="AW4416" s="36" t="n">
        <v>33600</v>
      </c>
      <c r="AX4416" s="28"/>
      <c r="AY4416" s="28" t="n">
        <f aca="false">AX4416*$M4416</f>
        <v>0</v>
      </c>
      <c r="AZ4416" s="30" t="n">
        <v>2237</v>
      </c>
      <c r="BA4416" s="11" t="n">
        <v>43266</v>
      </c>
      <c r="BB4416" s="31" t="n">
        <f aca="false">SUM(Q4416,S4416,U4416,W4416,Y4416,AA4416,AC4416,AE4416,AG4416,AI4416,AK4416,AM4416,AO4416,AQ4416,AS4416,AU4416,AW4416,AY4416)</f>
        <v>43266</v>
      </c>
      <c r="BC4416" s="28" t="n">
        <f aca="false">BA4416-BB4416</f>
        <v>0</v>
      </c>
      <c r="BD4416" s="32" t="n">
        <f aca="false">SUM(P4416,R4416,T4416,V4416,X4416,Z4416,AB4416,AD4416,AF4416,AH4416,AJ4416,AL4416,AN4416,AP4416,AR4416,AT4416,AV4416,AX4416)</f>
        <v>2237</v>
      </c>
      <c r="BE4416" s="33" t="n">
        <f aca="false">AZ4416-BD4416</f>
        <v>0</v>
      </c>
      <c r="BF4416" s="34" t="n">
        <f aca="false">BD4416*M4416</f>
        <v>40266</v>
      </c>
      <c r="BG4416" s="35" t="n">
        <f aca="false">BA4416-BF4416</f>
        <v>3000</v>
      </c>
      <c r="BH4416" s="19" t="str">
        <f aca="false">IF(BG4416=0,"",IF(BG4416&lt;&gt;BA4416,"erreur de calcul",IF(BD4416&lt;&gt;0,"pas de prix",IF(M4416&lt;&gt; 0,"pas de quantité","pas de prix, ni de quantité"))))</f>
        <v>erreur de calcul</v>
      </c>
      <c r="BI4416" s="19"/>
    </row>
    <row r="4417" customFormat="false" ht="15" hidden="false" customHeight="false" outlineLevel="0" collapsed="false">
      <c r="A4417" s="0" t="n">
        <v>39</v>
      </c>
      <c r="B4417" s="8" t="s">
        <v>24</v>
      </c>
      <c r="C4417" s="9" t="s">
        <v>25</v>
      </c>
      <c r="D4417" s="9" t="s">
        <v>26</v>
      </c>
      <c r="E4417" s="10" t="n">
        <v>1789</v>
      </c>
      <c r="F4417" s="9" t="s">
        <v>27</v>
      </c>
      <c r="G4417" s="9" t="s">
        <v>27</v>
      </c>
      <c r="H4417" s="11" t="n">
        <v>23</v>
      </c>
      <c r="I4417" s="11" t="s">
        <v>282</v>
      </c>
      <c r="J4417" s="14"/>
      <c r="K4417" s="14"/>
      <c r="L4417" s="16"/>
      <c r="M4417" s="27" t="n">
        <f aca="false">J4417+(K4417/20)+(L4417/240)</f>
        <v>0</v>
      </c>
      <c r="N4417" s="17"/>
      <c r="O4417" s="11"/>
      <c r="P4417" s="28"/>
      <c r="Q4417" s="28" t="n">
        <f aca="false">P4417*$M4417</f>
        <v>0</v>
      </c>
      <c r="R4417" s="28"/>
      <c r="S4417" s="28" t="n">
        <f aca="false">R4417*$M4417</f>
        <v>0</v>
      </c>
      <c r="T4417" s="28"/>
      <c r="U4417" s="28" t="n">
        <v>1962</v>
      </c>
      <c r="V4417" s="28"/>
      <c r="W4417" s="28" t="n">
        <v>148</v>
      </c>
      <c r="X4417" s="28"/>
      <c r="Y4417" s="28" t="n">
        <v>221</v>
      </c>
      <c r="Z4417" s="28"/>
      <c r="AA4417" s="28" t="n">
        <f aca="false">Z4417*$M4417</f>
        <v>0</v>
      </c>
      <c r="AB4417" s="28"/>
      <c r="AC4417" s="28" t="n">
        <v>725</v>
      </c>
      <c r="AD4417" s="28"/>
      <c r="AE4417" s="28" t="n">
        <f aca="false">AD4417*$M4417</f>
        <v>0</v>
      </c>
      <c r="AF4417" s="28"/>
      <c r="AG4417" s="28" t="n">
        <v>414</v>
      </c>
      <c r="AH4417" s="28"/>
      <c r="AI4417" s="28" t="n">
        <f aca="false">AH4417*$M4417</f>
        <v>0</v>
      </c>
      <c r="AJ4417" s="28"/>
      <c r="AK4417" s="28" t="n">
        <f aca="false">AJ4417*$M4417</f>
        <v>0</v>
      </c>
      <c r="AL4417" s="28"/>
      <c r="AM4417" s="28" t="n">
        <f aca="false">AL4417*$M4417</f>
        <v>0</v>
      </c>
      <c r="AN4417" s="28"/>
      <c r="AO4417" s="28" t="n">
        <f aca="false">AN4417*$M4417</f>
        <v>0</v>
      </c>
      <c r="AP4417" s="28"/>
      <c r="AQ4417" s="28" t="n">
        <f aca="false">AP4417*$M4417</f>
        <v>0</v>
      </c>
      <c r="AR4417" s="28"/>
      <c r="AS4417" s="28" t="n">
        <f aca="false">AR4417*$M4417</f>
        <v>0</v>
      </c>
      <c r="AT4417" s="28"/>
      <c r="AU4417" s="28" t="n">
        <v>276</v>
      </c>
      <c r="AV4417" s="28"/>
      <c r="AW4417" s="28" t="n">
        <f aca="false">AV4417*$M4417</f>
        <v>0</v>
      </c>
      <c r="AX4417" s="28"/>
      <c r="AY4417" s="28" t="n">
        <f aca="false">AX4417*$M4417</f>
        <v>0</v>
      </c>
      <c r="AZ4417" s="30"/>
      <c r="BA4417" s="11" t="n">
        <v>3746</v>
      </c>
      <c r="BB4417" s="31" t="n">
        <f aca="false">SUM(Q4417,S4417,U4417,W4417,Y4417,AA4417,AC4417,AE4417,AG4417,AI4417,AK4417,AM4417,AO4417,AQ4417,AS4417,AU4417,AW4417,AY4417)</f>
        <v>3746</v>
      </c>
      <c r="BC4417" s="28" t="n">
        <f aca="false">BA4417-BB4417</f>
        <v>0</v>
      </c>
      <c r="BD4417" s="32" t="n">
        <f aca="false">SUM(P4417,R4417,T4417,V4417,X4417,Z4417,AB4417,AD4417,AF4417,AH4417,AJ4417,AL4417,AN4417,AP4417,AR4417,AT4417,AV4417,AX4417)</f>
        <v>0</v>
      </c>
      <c r="BE4417" s="33" t="n">
        <f aca="false">AZ4417-BD4417</f>
        <v>0</v>
      </c>
      <c r="BF4417" s="34" t="n">
        <f aca="false">BD4417*M4417</f>
        <v>0</v>
      </c>
      <c r="BG4417" s="35" t="n">
        <f aca="false">BA4417-BF4417</f>
        <v>3746</v>
      </c>
      <c r="BH4417" s="19" t="str">
        <f aca="false">IF(BG4417=0,"",IF(BG4417&lt;&gt;BA4417,"erreur de calcul",IF(BD4417&lt;&gt;0,"pas de prix",IF(M4417&lt;&gt; 0,"pas de quantité","pas de prix, ni de quantité"))))</f>
        <v>pas de prix, ni de quantité</v>
      </c>
      <c r="BI4417" s="19"/>
    </row>
    <row r="4418" customFormat="false" ht="15" hidden="false" customHeight="false" outlineLevel="0" collapsed="false">
      <c r="A4418" s="0" t="n">
        <v>40</v>
      </c>
      <c r="B4418" s="8" t="s">
        <v>24</v>
      </c>
      <c r="C4418" s="9" t="s">
        <v>25</v>
      </c>
      <c r="D4418" s="9" t="s">
        <v>26</v>
      </c>
      <c r="E4418" s="10" t="n">
        <v>1789</v>
      </c>
      <c r="F4418" s="9" t="s">
        <v>27</v>
      </c>
      <c r="G4418" s="9" t="s">
        <v>27</v>
      </c>
      <c r="H4418" s="11" t="n">
        <v>23</v>
      </c>
      <c r="I4418" s="11" t="s">
        <v>283</v>
      </c>
      <c r="J4418" s="14" t="n">
        <v>25</v>
      </c>
      <c r="K4418" s="14"/>
      <c r="L4418" s="16"/>
      <c r="M4418" s="27" t="n">
        <f aca="false">J4418+(K4418/20)+(L4418/240)</f>
        <v>25</v>
      </c>
      <c r="N4418" s="17" t="s">
        <v>64</v>
      </c>
      <c r="O4418" s="11"/>
      <c r="P4418" s="28" t="n">
        <f aca="false">12568/100</f>
        <v>125.68</v>
      </c>
      <c r="Q4418" s="28" t="n">
        <v>3142</v>
      </c>
      <c r="R4418" s="28"/>
      <c r="S4418" s="28" t="n">
        <f aca="false">R4418*$M4418</f>
        <v>0</v>
      </c>
      <c r="T4418" s="28"/>
      <c r="U4418" s="28" t="n">
        <f aca="false">T4418*$M4418</f>
        <v>0</v>
      </c>
      <c r="V4418" s="28"/>
      <c r="W4418" s="28" t="n">
        <f aca="false">V4418*$M4418</f>
        <v>0</v>
      </c>
      <c r="X4418" s="28"/>
      <c r="Y4418" s="28" t="n">
        <f aca="false">X4418*$M4418</f>
        <v>0</v>
      </c>
      <c r="Z4418" s="28"/>
      <c r="AA4418" s="28" t="n">
        <f aca="false">Z4418*$M4418</f>
        <v>0</v>
      </c>
      <c r="AB4418" s="28"/>
      <c r="AC4418" s="28" t="n">
        <f aca="false">AB4418*$M4418</f>
        <v>0</v>
      </c>
      <c r="AD4418" s="28"/>
      <c r="AE4418" s="28" t="n">
        <f aca="false">AD4418*$M4418</f>
        <v>0</v>
      </c>
      <c r="AF4418" s="28"/>
      <c r="AG4418" s="28" t="n">
        <f aca="false">AF4418*$M4418</f>
        <v>0</v>
      </c>
      <c r="AH4418" s="28" t="n">
        <f aca="false">5355/100</f>
        <v>53.55</v>
      </c>
      <c r="AI4418" s="28" t="n">
        <v>1339</v>
      </c>
      <c r="AJ4418" s="28"/>
      <c r="AK4418" s="28" t="n">
        <f aca="false">AJ4418*$M4418</f>
        <v>0</v>
      </c>
      <c r="AL4418" s="28"/>
      <c r="AM4418" s="28" t="n">
        <f aca="false">AL4418*$M4418</f>
        <v>0</v>
      </c>
      <c r="AN4418" s="28"/>
      <c r="AO4418" s="28" t="n">
        <f aca="false">AN4418*$M4418</f>
        <v>0</v>
      </c>
      <c r="AP4418" s="28"/>
      <c r="AQ4418" s="28" t="n">
        <f aca="false">AP4418*$M4418</f>
        <v>0</v>
      </c>
      <c r="AR4418" s="28"/>
      <c r="AS4418" s="28" t="n">
        <f aca="false">AR4418*$M4418</f>
        <v>0</v>
      </c>
      <c r="AT4418" s="28"/>
      <c r="AU4418" s="28" t="n">
        <f aca="false">AT4418*$M4418</f>
        <v>0</v>
      </c>
      <c r="AV4418" s="28"/>
      <c r="AW4418" s="28" t="n">
        <f aca="false">AV4418*$M4418</f>
        <v>0</v>
      </c>
      <c r="AX4418" s="28"/>
      <c r="AY4418" s="28" t="n">
        <f aca="false">AX4418*$M4418</f>
        <v>0</v>
      </c>
      <c r="AZ4418" s="30" t="n">
        <f aca="false">17923/100</f>
        <v>179.23</v>
      </c>
      <c r="BA4418" s="11" t="n">
        <v>4481</v>
      </c>
      <c r="BB4418" s="31" t="n">
        <f aca="false">SUM(Q4418,S4418,U4418,W4418,Y4418,AA4418,AC4418,AE4418,AG4418,AI4418,AK4418,AM4418,AO4418,AQ4418,AS4418,AU4418,AW4418,AY4418)</f>
        <v>4481</v>
      </c>
      <c r="BC4418" s="28" t="n">
        <f aca="false">BA4418-BB4418</f>
        <v>0</v>
      </c>
      <c r="BD4418" s="32" t="n">
        <f aca="false">SUM(P4418,R4418,T4418,V4418,X4418,Z4418,AB4418,AD4418,AF4418,AH4418,AJ4418,AL4418,AN4418,AP4418,AR4418,AT4418,AV4418,AX4418)</f>
        <v>179.23</v>
      </c>
      <c r="BE4418" s="33" t="n">
        <f aca="false">AZ4418-BD4418</f>
        <v>0</v>
      </c>
      <c r="BF4418" s="34" t="n">
        <f aca="false">BD4418*M4418</f>
        <v>4480.75</v>
      </c>
      <c r="BG4418" s="35" t="n">
        <f aca="false">BA4418-BF4418</f>
        <v>0.25</v>
      </c>
      <c r="BH4418" s="19" t="str">
        <f aca="false">IF(BG4418=0,"",IF(BG4418&lt;&gt;BA4418,"erreur de calcul",IF(BD4418&lt;&gt;0,"pas de prix",IF(M4418&lt;&gt; 0,"pas de quantité","pas de prix, ni de quantité"))))</f>
        <v>erreur de calcul</v>
      </c>
      <c r="BI4418" s="19"/>
    </row>
    <row r="4419" customFormat="false" ht="15" hidden="false" customHeight="false" outlineLevel="0" collapsed="false">
      <c r="A4419" s="0" t="n">
        <v>41</v>
      </c>
      <c r="B4419" s="8" t="s">
        <v>24</v>
      </c>
      <c r="C4419" s="9" t="s">
        <v>25</v>
      </c>
      <c r="D4419" s="9" t="s">
        <v>26</v>
      </c>
      <c r="E4419" s="10" t="n">
        <v>1789</v>
      </c>
      <c r="F4419" s="9" t="s">
        <v>27</v>
      </c>
      <c r="G4419" s="9" t="s">
        <v>27</v>
      </c>
      <c r="H4419" s="11" t="n">
        <v>23</v>
      </c>
      <c r="I4419" s="11" t="s">
        <v>284</v>
      </c>
      <c r="J4419" s="14" t="n">
        <v>17</v>
      </c>
      <c r="K4419" s="14"/>
      <c r="L4419" s="16"/>
      <c r="M4419" s="27" t="n">
        <f aca="false">J4419+(K4419/20)+(L4419/240)</f>
        <v>17</v>
      </c>
      <c r="N4419" s="17" t="s">
        <v>64</v>
      </c>
      <c r="O4419" s="11"/>
      <c r="P4419" s="28" t="n">
        <f aca="false">56873/100</f>
        <v>568.73</v>
      </c>
      <c r="Q4419" s="36" t="n">
        <v>3981</v>
      </c>
      <c r="R4419" s="28"/>
      <c r="S4419" s="28" t="n">
        <f aca="false">R4419*$M4419</f>
        <v>0</v>
      </c>
      <c r="T4419" s="28"/>
      <c r="U4419" s="28" t="n">
        <f aca="false">T4419*$M4419</f>
        <v>0</v>
      </c>
      <c r="V4419" s="28"/>
      <c r="W4419" s="28" t="n">
        <f aca="false">V4419*$M4419</f>
        <v>0</v>
      </c>
      <c r="X4419" s="28"/>
      <c r="Y4419" s="28" t="n">
        <f aca="false">X4419*$M4419</f>
        <v>0</v>
      </c>
      <c r="Z4419" s="28"/>
      <c r="AA4419" s="28" t="n">
        <f aca="false">Z4419*$M4419</f>
        <v>0</v>
      </c>
      <c r="AB4419" s="28"/>
      <c r="AC4419" s="28" t="n">
        <f aca="false">AB4419*$M4419</f>
        <v>0</v>
      </c>
      <c r="AD4419" s="28"/>
      <c r="AE4419" s="28" t="n">
        <f aca="false">AD4419*$M4419</f>
        <v>0</v>
      </c>
      <c r="AF4419" s="28"/>
      <c r="AG4419" s="28" t="n">
        <f aca="false">AF4419*$M4419</f>
        <v>0</v>
      </c>
      <c r="AH4419" s="28"/>
      <c r="AI4419" s="28" t="n">
        <f aca="false">AH4419*$M4419</f>
        <v>0</v>
      </c>
      <c r="AJ4419" s="28" t="n">
        <f aca="false">19651/100</f>
        <v>196.51</v>
      </c>
      <c r="AK4419" s="28" t="n">
        <v>3341</v>
      </c>
      <c r="AL4419" s="28"/>
      <c r="AM4419" s="28" t="n">
        <f aca="false">AL4419*$M4419</f>
        <v>0</v>
      </c>
      <c r="AN4419" s="28"/>
      <c r="AO4419" s="28" t="n">
        <f aca="false">AN4419*$M4419</f>
        <v>0</v>
      </c>
      <c r="AP4419" s="28"/>
      <c r="AQ4419" s="28" t="n">
        <f aca="false">AP4419*$M4419</f>
        <v>0</v>
      </c>
      <c r="AR4419" s="28"/>
      <c r="AS4419" s="28" t="n">
        <f aca="false">AR4419*$M4419</f>
        <v>0</v>
      </c>
      <c r="AT4419" s="28"/>
      <c r="AU4419" s="28" t="n">
        <f aca="false">AT4419*$M4419</f>
        <v>0</v>
      </c>
      <c r="AV4419" s="28"/>
      <c r="AW4419" s="28" t="n">
        <f aca="false">AV4419*$M4419</f>
        <v>0</v>
      </c>
      <c r="AX4419" s="28"/>
      <c r="AY4419" s="28" t="n">
        <f aca="false">AX4419*$M4419</f>
        <v>0</v>
      </c>
      <c r="AZ4419" s="30" t="n">
        <f aca="false">76524/100</f>
        <v>765.24</v>
      </c>
      <c r="BA4419" s="11" t="n">
        <v>7322</v>
      </c>
      <c r="BB4419" s="31" t="n">
        <f aca="false">SUM(Q4419,S4419,U4419,W4419,Y4419,AA4419,AC4419,AE4419,AG4419,AI4419,AK4419,AM4419,AO4419,AQ4419,AS4419,AU4419,AW4419,AY4419)</f>
        <v>7322</v>
      </c>
      <c r="BC4419" s="28" t="n">
        <f aca="false">BA4419-BB4419</f>
        <v>0</v>
      </c>
      <c r="BD4419" s="32" t="n">
        <f aca="false">SUM(P4419,R4419,T4419,V4419,X4419,Z4419,AB4419,AD4419,AF4419,AH4419,AJ4419,AL4419,AN4419,AP4419,AR4419,AT4419,AV4419,AX4419)</f>
        <v>765.24</v>
      </c>
      <c r="BE4419" s="33" t="n">
        <f aca="false">AZ4419-BD4419</f>
        <v>0</v>
      </c>
      <c r="BF4419" s="34" t="n">
        <f aca="false">BD4419*M4419</f>
        <v>13009.08</v>
      </c>
      <c r="BG4419" s="35" t="n">
        <f aca="false">BA4419-BF4419</f>
        <v>-5687.08</v>
      </c>
      <c r="BH4419" s="19" t="str">
        <f aca="false">IF(BG4419=0,"",IF(BG4419&lt;&gt;BA4419,"erreur de calcul",IF(BD4419&lt;&gt;0,"pas de prix",IF(M4419&lt;&gt; 0,"pas de quantité","pas de prix, ni de quantité"))))</f>
        <v>erreur de calcul</v>
      </c>
      <c r="BI4419" s="19"/>
    </row>
    <row r="4420" customFormat="false" ht="15" hidden="false" customHeight="false" outlineLevel="0" collapsed="false">
      <c r="A4420" s="0" t="n">
        <v>42</v>
      </c>
      <c r="B4420" s="8" t="s">
        <v>24</v>
      </c>
      <c r="C4420" s="9" t="s">
        <v>25</v>
      </c>
      <c r="D4420" s="9" t="s">
        <v>26</v>
      </c>
      <c r="E4420" s="10" t="n">
        <v>1789</v>
      </c>
      <c r="F4420" s="9" t="s">
        <v>27</v>
      </c>
      <c r="G4420" s="9" t="s">
        <v>27</v>
      </c>
      <c r="H4420" s="11" t="n">
        <v>23</v>
      </c>
      <c r="I4420" s="11" t="s">
        <v>285</v>
      </c>
      <c r="J4420" s="14" t="n">
        <v>15</v>
      </c>
      <c r="K4420" s="14"/>
      <c r="L4420" s="16"/>
      <c r="M4420" s="27" t="n">
        <f aca="false">J4420+(K4420/20)+(L4420/240)</f>
        <v>15</v>
      </c>
      <c r="N4420" s="17" t="s">
        <v>64</v>
      </c>
      <c r="O4420" s="11"/>
      <c r="P4420" s="28" t="n">
        <f aca="false">10520/100</f>
        <v>105.2</v>
      </c>
      <c r="Q4420" s="28" t="n">
        <v>1578</v>
      </c>
      <c r="R4420" s="28"/>
      <c r="S4420" s="28" t="n">
        <f aca="false">R4420*$M4420</f>
        <v>0</v>
      </c>
      <c r="T4420" s="28"/>
      <c r="U4420" s="28" t="n">
        <f aca="false">T4420*$M4420</f>
        <v>0</v>
      </c>
      <c r="V4420" s="28"/>
      <c r="W4420" s="28" t="n">
        <f aca="false">V4420*$M4420</f>
        <v>0</v>
      </c>
      <c r="X4420" s="28" t="n">
        <f aca="false">39052/100</f>
        <v>390.52</v>
      </c>
      <c r="Y4420" s="28" t="n">
        <v>5858</v>
      </c>
      <c r="Z4420" s="28"/>
      <c r="AA4420" s="28" t="n">
        <f aca="false">Z4420*$M4420</f>
        <v>0</v>
      </c>
      <c r="AB4420" s="28" t="n">
        <f aca="false">101189/100</f>
        <v>1011.89</v>
      </c>
      <c r="AC4420" s="28" t="n">
        <v>15178</v>
      </c>
      <c r="AD4420" s="28"/>
      <c r="AE4420" s="28" t="n">
        <f aca="false">AD4420*$M4420</f>
        <v>0</v>
      </c>
      <c r="AF4420" s="28" t="n">
        <f aca="false">48408/100</f>
        <v>484.08</v>
      </c>
      <c r="AG4420" s="28" t="n">
        <v>7261</v>
      </c>
      <c r="AH4420" s="28" t="n">
        <f aca="false">17847/100</f>
        <v>178.47</v>
      </c>
      <c r="AI4420" s="28" t="n">
        <v>2677</v>
      </c>
      <c r="AJ4420" s="28"/>
      <c r="AK4420" s="28" t="n">
        <f aca="false">AJ4420*$M4420</f>
        <v>0</v>
      </c>
      <c r="AL4420" s="28"/>
      <c r="AM4420" s="28" t="n">
        <f aca="false">AL4420*$M4420</f>
        <v>0</v>
      </c>
      <c r="AN4420" s="28"/>
      <c r="AO4420" s="28" t="n">
        <f aca="false">AN4420*$M4420</f>
        <v>0</v>
      </c>
      <c r="AP4420" s="28"/>
      <c r="AQ4420" s="28" t="n">
        <f aca="false">AP4420*$M4420</f>
        <v>0</v>
      </c>
      <c r="AR4420" s="28"/>
      <c r="AS4420" s="28" t="n">
        <f aca="false">AR4420*$M4420</f>
        <v>0</v>
      </c>
      <c r="AT4420" s="28"/>
      <c r="AU4420" s="28" t="n">
        <f aca="false">AT4420*$M4420</f>
        <v>0</v>
      </c>
      <c r="AV4420" s="28"/>
      <c r="AW4420" s="28" t="n">
        <f aca="false">AV4420*$M4420</f>
        <v>0</v>
      </c>
      <c r="AX4420" s="28"/>
      <c r="AY4420" s="28" t="n">
        <f aca="false">AX4420*$M4420</f>
        <v>0</v>
      </c>
      <c r="AZ4420" s="30" t="n">
        <f aca="false">217016/100</f>
        <v>2170.16</v>
      </c>
      <c r="BA4420" s="11" t="n">
        <v>32552</v>
      </c>
      <c r="BB4420" s="31" t="n">
        <f aca="false">SUM(Q4420,S4420,U4420,W4420,Y4420,AA4420,AC4420,AE4420,AG4420,AI4420,AK4420,AM4420,AO4420,AQ4420,AS4420,AU4420,AW4420,AY4420)</f>
        <v>32552</v>
      </c>
      <c r="BC4420" s="28" t="n">
        <f aca="false">BA4420-BB4420</f>
        <v>0</v>
      </c>
      <c r="BD4420" s="32" t="n">
        <f aca="false">SUM(P4420,R4420,T4420,V4420,X4420,Z4420,AB4420,AD4420,AF4420,AH4420,AJ4420,AL4420,AN4420,AP4420,AR4420,AT4420,AV4420,AX4420)</f>
        <v>2170.16</v>
      </c>
      <c r="BE4420" s="33" t="n">
        <f aca="false">AZ4420-BD4420</f>
        <v>0</v>
      </c>
      <c r="BF4420" s="34" t="n">
        <f aca="false">BD4420*M4420</f>
        <v>32552.4</v>
      </c>
      <c r="BG4420" s="35" t="n">
        <f aca="false">BA4420-BF4420</f>
        <v>-0.399999999997817</v>
      </c>
      <c r="BH4420" s="19" t="str">
        <f aca="false">IF(BG4420=0,"",IF(BG4420&lt;&gt;BA4420,"erreur de calcul",IF(BD4420&lt;&gt;0,"pas de prix",IF(M4420&lt;&gt; 0,"pas de quantité","pas de prix, ni de quantité"))))</f>
        <v>erreur de calcul</v>
      </c>
      <c r="BI4420" s="19"/>
    </row>
    <row r="4421" customFormat="false" ht="15" hidden="false" customHeight="false" outlineLevel="0" collapsed="false">
      <c r="A4421" s="0" t="n">
        <v>43</v>
      </c>
      <c r="B4421" s="8" t="s">
        <v>24</v>
      </c>
      <c r="C4421" s="9" t="s">
        <v>25</v>
      </c>
      <c r="D4421" s="9" t="s">
        <v>26</v>
      </c>
      <c r="E4421" s="10" t="n">
        <v>1789</v>
      </c>
      <c r="F4421" s="9" t="s">
        <v>27</v>
      </c>
      <c r="G4421" s="9" t="s">
        <v>27</v>
      </c>
      <c r="H4421" s="11" t="n">
        <v>23</v>
      </c>
      <c r="I4421" s="11" t="s">
        <v>286</v>
      </c>
      <c r="J4421" s="14" t="n">
        <v>20</v>
      </c>
      <c r="K4421" s="14"/>
      <c r="L4421" s="16"/>
      <c r="M4421" s="27" t="n">
        <f aca="false">J4421+(K4421/20)+(L4421/240)</f>
        <v>20</v>
      </c>
      <c r="N4421" s="17" t="s">
        <v>64</v>
      </c>
      <c r="O4421" s="11"/>
      <c r="P4421" s="28"/>
      <c r="Q4421" s="28" t="n">
        <f aca="false">P4421*$M4421</f>
        <v>0</v>
      </c>
      <c r="R4421" s="28"/>
      <c r="S4421" s="28" t="n">
        <f aca="false">R4421*$M4421</f>
        <v>0</v>
      </c>
      <c r="T4421" s="28"/>
      <c r="U4421" s="28" t="n">
        <f aca="false">T4421*$M4421</f>
        <v>0</v>
      </c>
      <c r="V4421" s="28"/>
      <c r="W4421" s="28" t="n">
        <f aca="false">V4421*$M4421</f>
        <v>0</v>
      </c>
      <c r="X4421" s="28"/>
      <c r="Y4421" s="28" t="n">
        <f aca="false">X4421*$M4421</f>
        <v>0</v>
      </c>
      <c r="Z4421" s="28"/>
      <c r="AA4421" s="28" t="n">
        <f aca="false">Z4421*$M4421</f>
        <v>0</v>
      </c>
      <c r="AB4421" s="28" t="n">
        <f aca="false">8852/100</f>
        <v>88.52</v>
      </c>
      <c r="AC4421" s="28" t="n">
        <v>1770</v>
      </c>
      <c r="AD4421" s="28"/>
      <c r="AE4421" s="28" t="n">
        <f aca="false">AD4421*$M4421</f>
        <v>0</v>
      </c>
      <c r="AF4421" s="28"/>
      <c r="AG4421" s="28" t="n">
        <f aca="false">AF4421*$M4421</f>
        <v>0</v>
      </c>
      <c r="AH4421" s="28"/>
      <c r="AI4421" s="28" t="n">
        <f aca="false">AH4421*$M4421</f>
        <v>0</v>
      </c>
      <c r="AJ4421" s="28"/>
      <c r="AK4421" s="28" t="n">
        <f aca="false">AJ4421*$M4421</f>
        <v>0</v>
      </c>
      <c r="AL4421" s="28"/>
      <c r="AM4421" s="28" t="n">
        <f aca="false">AL4421*$M4421</f>
        <v>0</v>
      </c>
      <c r="AN4421" s="28"/>
      <c r="AO4421" s="28" t="n">
        <f aca="false">AN4421*$M4421</f>
        <v>0</v>
      </c>
      <c r="AP4421" s="28"/>
      <c r="AQ4421" s="28" t="n">
        <f aca="false">AP4421*$M4421</f>
        <v>0</v>
      </c>
      <c r="AR4421" s="28"/>
      <c r="AS4421" s="28" t="n">
        <f aca="false">AR4421*$M4421</f>
        <v>0</v>
      </c>
      <c r="AT4421" s="28"/>
      <c r="AU4421" s="28" t="n">
        <f aca="false">AT4421*$M4421</f>
        <v>0</v>
      </c>
      <c r="AV4421" s="28"/>
      <c r="AW4421" s="28" t="n">
        <f aca="false">AV4421*$M4421</f>
        <v>0</v>
      </c>
      <c r="AX4421" s="28"/>
      <c r="AY4421" s="28" t="n">
        <f aca="false">AX4421*$M4421</f>
        <v>0</v>
      </c>
      <c r="AZ4421" s="30" t="n">
        <f aca="false">8852/100</f>
        <v>88.52</v>
      </c>
      <c r="BA4421" s="11" t="n">
        <v>1770</v>
      </c>
      <c r="BB4421" s="31" t="n">
        <f aca="false">SUM(Q4421,S4421,U4421,W4421,Y4421,AA4421,AC4421,AE4421,AG4421,AI4421,AK4421,AM4421,AO4421,AQ4421,AS4421,AU4421,AW4421,AY4421)</f>
        <v>1770</v>
      </c>
      <c r="BC4421" s="28" t="n">
        <f aca="false">BA4421-BB4421</f>
        <v>0</v>
      </c>
      <c r="BD4421" s="32" t="n">
        <f aca="false">SUM(P4421,R4421,T4421,V4421,X4421,Z4421,AB4421,AD4421,AF4421,AH4421,AJ4421,AL4421,AN4421,AP4421,AR4421,AT4421,AV4421,AX4421)</f>
        <v>88.52</v>
      </c>
      <c r="BE4421" s="33" t="n">
        <f aca="false">AZ4421-BD4421</f>
        <v>0</v>
      </c>
      <c r="BF4421" s="34" t="n">
        <f aca="false">BD4421*M4421</f>
        <v>1770.4</v>
      </c>
      <c r="BG4421" s="35" t="n">
        <f aca="false">BA4421-BF4421</f>
        <v>-0.399999999999864</v>
      </c>
      <c r="BH4421" s="19" t="str">
        <f aca="false">IF(BG4421=0,"",IF(BG4421&lt;&gt;BA4421,"erreur de calcul",IF(BD4421&lt;&gt;0,"pas de prix",IF(M4421&lt;&gt; 0,"pas de quantité","pas de prix, ni de quantité"))))</f>
        <v>erreur de calcul</v>
      </c>
      <c r="BI4421" s="19"/>
    </row>
    <row r="4422" customFormat="false" ht="15" hidden="false" customHeight="false" outlineLevel="0" collapsed="false">
      <c r="A4422" s="0" t="n">
        <v>44</v>
      </c>
      <c r="B4422" s="8" t="s">
        <v>24</v>
      </c>
      <c r="C4422" s="9" t="s">
        <v>25</v>
      </c>
      <c r="D4422" s="9" t="s">
        <v>26</v>
      </c>
      <c r="E4422" s="10" t="n">
        <v>1789</v>
      </c>
      <c r="F4422" s="9" t="s">
        <v>27</v>
      </c>
      <c r="G4422" s="9" t="s">
        <v>27</v>
      </c>
      <c r="H4422" s="11" t="n">
        <v>23</v>
      </c>
      <c r="I4422" s="11" t="s">
        <v>287</v>
      </c>
      <c r="J4422" s="14" t="n">
        <v>25</v>
      </c>
      <c r="K4422" s="14"/>
      <c r="L4422" s="16"/>
      <c r="M4422" s="27" t="n">
        <f aca="false">J4422+(K4422/20)+(L4422/240)</f>
        <v>25</v>
      </c>
      <c r="N4422" s="17" t="s">
        <v>64</v>
      </c>
      <c r="O4422" s="11" t="s">
        <v>77</v>
      </c>
      <c r="P4422" s="28" t="n">
        <f aca="false">13782/100</f>
        <v>137.82</v>
      </c>
      <c r="Q4422" s="28" t="n">
        <v>3445</v>
      </c>
      <c r="R4422" s="28"/>
      <c r="S4422" s="28" t="n">
        <f aca="false">R4422*$M4422</f>
        <v>0</v>
      </c>
      <c r="T4422" s="28"/>
      <c r="U4422" s="28" t="n">
        <f aca="false">T4422*$M4422</f>
        <v>0</v>
      </c>
      <c r="V4422" s="28" t="n">
        <f aca="false">4293/100</f>
        <v>42.93</v>
      </c>
      <c r="W4422" s="28" t="n">
        <v>1073</v>
      </c>
      <c r="X4422" s="28"/>
      <c r="Y4422" s="28" t="n">
        <f aca="false">X4422*$M4422</f>
        <v>0</v>
      </c>
      <c r="Z4422" s="28"/>
      <c r="AA4422" s="28" t="n">
        <f aca="false">Z4422*$M4422</f>
        <v>0</v>
      </c>
      <c r="AB4422" s="28"/>
      <c r="AC4422" s="28" t="n">
        <f aca="false">AB4422*$M4422</f>
        <v>0</v>
      </c>
      <c r="AD4422" s="28"/>
      <c r="AE4422" s="28" t="n">
        <f aca="false">AD4422*$M4422</f>
        <v>0</v>
      </c>
      <c r="AF4422" s="28"/>
      <c r="AG4422" s="28" t="n">
        <f aca="false">AF4422*$M4422</f>
        <v>0</v>
      </c>
      <c r="AH4422" s="28"/>
      <c r="AI4422" s="28" t="n">
        <f aca="false">AH4422*$M4422</f>
        <v>0</v>
      </c>
      <c r="AJ4422" s="28"/>
      <c r="AK4422" s="28" t="n">
        <f aca="false">AJ4422*$M4422</f>
        <v>0</v>
      </c>
      <c r="AL4422" s="28"/>
      <c r="AM4422" s="28" t="n">
        <f aca="false">AL4422*$M4422</f>
        <v>0</v>
      </c>
      <c r="AN4422" s="28"/>
      <c r="AO4422" s="28" t="n">
        <f aca="false">AN4422*$M4422</f>
        <v>0</v>
      </c>
      <c r="AP4422" s="28"/>
      <c r="AQ4422" s="28" t="n">
        <f aca="false">AP4422*$M4422</f>
        <v>0</v>
      </c>
      <c r="AR4422" s="28"/>
      <c r="AS4422" s="28" t="n">
        <f aca="false">AR4422*$M4422</f>
        <v>0</v>
      </c>
      <c r="AT4422" s="28"/>
      <c r="AU4422" s="28" t="n">
        <f aca="false">AT4422*$M4422</f>
        <v>0</v>
      </c>
      <c r="AV4422" s="28"/>
      <c r="AW4422" s="28" t="n">
        <f aca="false">AV4422*$M4422</f>
        <v>0</v>
      </c>
      <c r="AX4422" s="28"/>
      <c r="AY4422" s="28" t="n">
        <f aca="false">AX4422*$M4422</f>
        <v>0</v>
      </c>
      <c r="AZ4422" s="30" t="n">
        <f aca="false">18075/100</f>
        <v>180.75</v>
      </c>
      <c r="BA4422" s="11" t="n">
        <v>4518</v>
      </c>
      <c r="BB4422" s="31" t="n">
        <f aca="false">SUM(Q4422,S4422,U4422,W4422,Y4422,AA4422,AC4422,AE4422,AG4422,AI4422,AK4422,AM4422,AO4422,AQ4422,AS4422,AU4422,AW4422,AY4422)</f>
        <v>4518</v>
      </c>
      <c r="BC4422" s="28" t="n">
        <f aca="false">BA4422-BB4422</f>
        <v>0</v>
      </c>
      <c r="BD4422" s="32" t="n">
        <f aca="false">SUM(P4422,R4422,T4422,V4422,X4422,Z4422,AB4422,AD4422,AF4422,AH4422,AJ4422,AL4422,AN4422,AP4422,AR4422,AT4422,AV4422,AX4422)</f>
        <v>180.75</v>
      </c>
      <c r="BE4422" s="33" t="n">
        <f aca="false">AZ4422-BD4422</f>
        <v>0</v>
      </c>
      <c r="BF4422" s="34" t="n">
        <f aca="false">BD4422*M4422</f>
        <v>4518.75</v>
      </c>
      <c r="BG4422" s="35" t="n">
        <f aca="false">BA4422-BF4422</f>
        <v>-0.75</v>
      </c>
      <c r="BH4422" s="19" t="str">
        <f aca="false">IF(BG4422=0,"",IF(BG4422&lt;&gt;BA4422,"erreur de calcul",IF(BD4422&lt;&gt;0,"pas de prix",IF(M4422&lt;&gt; 0,"pas de quantité","pas de prix, ni de quantité"))))</f>
        <v>erreur de calcul</v>
      </c>
      <c r="BI4422" s="19"/>
    </row>
    <row r="4423" customFormat="false" ht="15" hidden="false" customHeight="false" outlineLevel="0" collapsed="false">
      <c r="A4423" s="0" t="n">
        <v>1</v>
      </c>
      <c r="B4423" s="8" t="s">
        <v>24</v>
      </c>
      <c r="C4423" s="9" t="s">
        <v>25</v>
      </c>
      <c r="D4423" s="9" t="s">
        <v>26</v>
      </c>
      <c r="E4423" s="10" t="n">
        <v>1789</v>
      </c>
      <c r="F4423" s="9" t="s">
        <v>27</v>
      </c>
      <c r="G4423" s="9" t="s">
        <v>27</v>
      </c>
      <c r="H4423" s="11" t="n">
        <v>24</v>
      </c>
      <c r="I4423" s="11" t="s">
        <v>288</v>
      </c>
      <c r="J4423" s="14" t="n">
        <v>250</v>
      </c>
      <c r="K4423" s="14"/>
      <c r="L4423" s="16"/>
      <c r="M4423" s="27" t="n">
        <f aca="false">J4423+(K4423/20)+(L4423/240)</f>
        <v>250</v>
      </c>
      <c r="N4423" s="17" t="s">
        <v>64</v>
      </c>
      <c r="O4423" s="11"/>
      <c r="P4423" s="28"/>
      <c r="Q4423" s="28" t="n">
        <f aca="false">P4423*$M4423</f>
        <v>0</v>
      </c>
      <c r="R4423" s="28"/>
      <c r="S4423" s="28" t="n">
        <f aca="false">R4423*$M4423</f>
        <v>0</v>
      </c>
      <c r="T4423" s="28"/>
      <c r="U4423" s="28" t="n">
        <f aca="false">T4423*$M4423</f>
        <v>0</v>
      </c>
      <c r="V4423" s="28"/>
      <c r="W4423" s="28" t="n">
        <f aca="false">V4423*$M4423</f>
        <v>0</v>
      </c>
      <c r="X4423" s="28"/>
      <c r="Y4423" s="28" t="n">
        <f aca="false">X4423*$M4423</f>
        <v>0</v>
      </c>
      <c r="Z4423" s="28"/>
      <c r="AA4423" s="28" t="n">
        <f aca="false">Z4423*$M4423</f>
        <v>0</v>
      </c>
      <c r="AB4423" s="28"/>
      <c r="AC4423" s="28" t="n">
        <f aca="false">AB4423*$M4423</f>
        <v>0</v>
      </c>
      <c r="AD4423" s="28"/>
      <c r="AE4423" s="28" t="n">
        <f aca="false">AD4423*$M4423</f>
        <v>0</v>
      </c>
      <c r="AF4423" s="28"/>
      <c r="AG4423" s="28" t="n">
        <f aca="false">AF4423*$M4423</f>
        <v>0</v>
      </c>
      <c r="AH4423" s="28" t="n">
        <f aca="false">5374/100</f>
        <v>53.74</v>
      </c>
      <c r="AI4423" s="28" t="n">
        <v>13435</v>
      </c>
      <c r="AJ4423" s="28"/>
      <c r="AK4423" s="28" t="n">
        <f aca="false">AJ4423*$M4423</f>
        <v>0</v>
      </c>
      <c r="AL4423" s="28"/>
      <c r="AM4423" s="28" t="n">
        <f aca="false">AL4423*$M4423</f>
        <v>0</v>
      </c>
      <c r="AN4423" s="28"/>
      <c r="AO4423" s="28" t="n">
        <f aca="false">AN4423*$M4423</f>
        <v>0</v>
      </c>
      <c r="AP4423" s="28"/>
      <c r="AQ4423" s="28" t="n">
        <f aca="false">AP4423*$M4423</f>
        <v>0</v>
      </c>
      <c r="AR4423" s="28"/>
      <c r="AS4423" s="28" t="n">
        <f aca="false">AR4423*$M4423</f>
        <v>0</v>
      </c>
      <c r="AT4423" s="28"/>
      <c r="AU4423" s="28" t="n">
        <f aca="false">AT4423*$M4423</f>
        <v>0</v>
      </c>
      <c r="AV4423" s="28"/>
      <c r="AW4423" s="28" t="n">
        <f aca="false">AV4423*$M4423</f>
        <v>0</v>
      </c>
      <c r="AX4423" s="28"/>
      <c r="AY4423" s="28" t="n">
        <f aca="false">AX4423*$M4423</f>
        <v>0</v>
      </c>
      <c r="AZ4423" s="30" t="n">
        <f aca="false">5374/100</f>
        <v>53.74</v>
      </c>
      <c r="BA4423" s="11" t="n">
        <v>13435</v>
      </c>
      <c r="BB4423" s="31" t="n">
        <f aca="false">SUM(Q4423,S4423,U4423,W4423,Y4423,AA4423,AC4423,AE4423,AG4423,AI4423,AK4423,AM4423,AO4423,AQ4423,AS4423,AU4423,AW4423,AY4423)</f>
        <v>13435</v>
      </c>
      <c r="BC4423" s="28" t="n">
        <f aca="false">BA4423-BB4423</f>
        <v>0</v>
      </c>
      <c r="BD4423" s="32" t="n">
        <f aca="false">SUM(P4423,R4423,T4423,V4423,X4423,Z4423,AB4423,AD4423,AF4423,AH4423,AJ4423,AL4423,AN4423,AP4423,AR4423,AT4423,AV4423,AX4423)</f>
        <v>53.74</v>
      </c>
      <c r="BE4423" s="33" t="n">
        <f aca="false">AZ4423-BD4423</f>
        <v>0</v>
      </c>
      <c r="BF4423" s="34" t="n">
        <f aca="false">BD4423*M4423</f>
        <v>13435</v>
      </c>
      <c r="BG4423" s="35" t="n">
        <f aca="false">BA4423-BF4423</f>
        <v>0</v>
      </c>
      <c r="BH4423" s="19" t="str">
        <f aca="false">IF(BG4423=0,"",IF(BG4423&lt;&gt;BA4423,"erreur de calcul",IF(BD4423&lt;&gt;0,"pas de prix",IF(M4423&lt;&gt; 0,"pas de quantité","pas de prix, ni de quantité"))))</f>
        <v/>
      </c>
      <c r="BI4423" s="19"/>
    </row>
    <row r="4424" customFormat="false" ht="15" hidden="false" customHeight="false" outlineLevel="0" collapsed="false">
      <c r="A4424" s="0" t="n">
        <v>2</v>
      </c>
      <c r="B4424" s="8" t="s">
        <v>24</v>
      </c>
      <c r="C4424" s="9" t="s">
        <v>25</v>
      </c>
      <c r="D4424" s="9" t="s">
        <v>26</v>
      </c>
      <c r="E4424" s="10" t="n">
        <v>1789</v>
      </c>
      <c r="F4424" s="9" t="s">
        <v>27</v>
      </c>
      <c r="G4424" s="9" t="s">
        <v>27</v>
      </c>
      <c r="H4424" s="11" t="n">
        <v>24</v>
      </c>
      <c r="I4424" s="11" t="s">
        <v>289</v>
      </c>
      <c r="J4424" s="14" t="n">
        <v>3</v>
      </c>
      <c r="K4424" s="14"/>
      <c r="L4424" s="16"/>
      <c r="M4424" s="27" t="n">
        <f aca="false">J4424+(K4424/20)+(L4424/240)</f>
        <v>3</v>
      </c>
      <c r="N4424" s="17" t="s">
        <v>66</v>
      </c>
      <c r="O4424" s="11"/>
      <c r="P4424" s="28"/>
      <c r="Q4424" s="28" t="n">
        <f aca="false">P4424*$M4424</f>
        <v>0</v>
      </c>
      <c r="R4424" s="28"/>
      <c r="S4424" s="28" t="n">
        <f aca="false">R4424*$M4424</f>
        <v>0</v>
      </c>
      <c r="T4424" s="28"/>
      <c r="U4424" s="28" t="n">
        <f aca="false">T4424*$M4424</f>
        <v>0</v>
      </c>
      <c r="V4424" s="28"/>
      <c r="W4424" s="28" t="n">
        <f aca="false">V4424*$M4424</f>
        <v>0</v>
      </c>
      <c r="X4424" s="28"/>
      <c r="Y4424" s="28" t="n">
        <f aca="false">X4424*$M4424</f>
        <v>0</v>
      </c>
      <c r="Z4424" s="28"/>
      <c r="AA4424" s="28" t="n">
        <f aca="false">Z4424*$M4424</f>
        <v>0</v>
      </c>
      <c r="AB4424" s="28"/>
      <c r="AC4424" s="28" t="n">
        <f aca="false">AB4424*$M4424</f>
        <v>0</v>
      </c>
      <c r="AD4424" s="28"/>
      <c r="AE4424" s="28" t="n">
        <f aca="false">AD4424*$M4424</f>
        <v>0</v>
      </c>
      <c r="AF4424" s="28"/>
      <c r="AG4424" s="28" t="n">
        <f aca="false">AF4424*$M4424</f>
        <v>0</v>
      </c>
      <c r="AH4424" s="28" t="n">
        <v>261</v>
      </c>
      <c r="AI4424" s="28" t="n">
        <v>783</v>
      </c>
      <c r="AJ4424" s="28"/>
      <c r="AK4424" s="28" t="n">
        <f aca="false">AJ4424*$M4424</f>
        <v>0</v>
      </c>
      <c r="AL4424" s="28"/>
      <c r="AM4424" s="28" t="n">
        <f aca="false">AL4424*$M4424</f>
        <v>0</v>
      </c>
      <c r="AN4424" s="28"/>
      <c r="AO4424" s="28" t="n">
        <f aca="false">AN4424*$M4424</f>
        <v>0</v>
      </c>
      <c r="AP4424" s="28"/>
      <c r="AQ4424" s="28" t="n">
        <f aca="false">AP4424*$M4424</f>
        <v>0</v>
      </c>
      <c r="AR4424" s="28"/>
      <c r="AS4424" s="28" t="n">
        <f aca="false">AR4424*$M4424</f>
        <v>0</v>
      </c>
      <c r="AT4424" s="28"/>
      <c r="AU4424" s="28" t="n">
        <f aca="false">AT4424*$M4424</f>
        <v>0</v>
      </c>
      <c r="AV4424" s="28"/>
      <c r="AW4424" s="28" t="n">
        <f aca="false">AV4424*$M4424</f>
        <v>0</v>
      </c>
      <c r="AX4424" s="28"/>
      <c r="AY4424" s="28" t="n">
        <f aca="false">AX4424*$M4424</f>
        <v>0</v>
      </c>
      <c r="AZ4424" s="30" t="n">
        <v>261</v>
      </c>
      <c r="BA4424" s="11" t="n">
        <v>783</v>
      </c>
      <c r="BB4424" s="31" t="n">
        <f aca="false">SUM(Q4424,S4424,U4424,W4424,Y4424,AA4424,AC4424,AE4424,AG4424,AI4424,AK4424,AM4424,AO4424,AQ4424,AS4424,AU4424,AW4424,AY4424)</f>
        <v>783</v>
      </c>
      <c r="BC4424" s="28" t="n">
        <f aca="false">BA4424-BB4424</f>
        <v>0</v>
      </c>
      <c r="BD4424" s="32" t="n">
        <f aca="false">SUM(P4424,R4424,T4424,V4424,X4424,Z4424,AB4424,AD4424,AF4424,AH4424,AJ4424,AL4424,AN4424,AP4424,AR4424,AT4424,AV4424,AX4424)</f>
        <v>261</v>
      </c>
      <c r="BE4424" s="33" t="n">
        <f aca="false">AZ4424-BD4424</f>
        <v>0</v>
      </c>
      <c r="BF4424" s="34" t="n">
        <f aca="false">BD4424*M4424</f>
        <v>783</v>
      </c>
      <c r="BG4424" s="35" t="n">
        <f aca="false">BA4424-BF4424</f>
        <v>0</v>
      </c>
      <c r="BH4424" s="19" t="str">
        <f aca="false">IF(BG4424=0,"",IF(BG4424&lt;&gt;BA4424,"erreur de calcul",IF(BD4424&lt;&gt;0,"pas de prix",IF(M4424&lt;&gt; 0,"pas de quantité","pas de prix, ni de quantité"))))</f>
        <v/>
      </c>
      <c r="BI4424" s="19"/>
    </row>
    <row r="4425" customFormat="false" ht="15" hidden="false" customHeight="false" outlineLevel="0" collapsed="false">
      <c r="A4425" s="0" t="n">
        <v>3</v>
      </c>
      <c r="B4425" s="8" t="s">
        <v>24</v>
      </c>
      <c r="C4425" s="9" t="s">
        <v>25</v>
      </c>
      <c r="D4425" s="9" t="s">
        <v>26</v>
      </c>
      <c r="E4425" s="10" t="n">
        <v>1789</v>
      </c>
      <c r="F4425" s="9" t="s">
        <v>27</v>
      </c>
      <c r="G4425" s="9" t="s">
        <v>27</v>
      </c>
      <c r="H4425" s="11" t="n">
        <v>24</v>
      </c>
      <c r="I4425" s="11" t="s">
        <v>290</v>
      </c>
      <c r="J4425" s="14" t="n">
        <v>5</v>
      </c>
      <c r="K4425" s="14"/>
      <c r="L4425" s="16"/>
      <c r="M4425" s="27" t="n">
        <f aca="false">J4425+(K4425/20)+(L4425/240)</f>
        <v>5</v>
      </c>
      <c r="N4425" s="17" t="s">
        <v>66</v>
      </c>
      <c r="O4425" s="11"/>
      <c r="P4425" s="28"/>
      <c r="Q4425" s="28" t="n">
        <f aca="false">P4425*$M4425</f>
        <v>0</v>
      </c>
      <c r="R4425" s="28"/>
      <c r="S4425" s="28" t="n">
        <f aca="false">R4425*$M4425</f>
        <v>0</v>
      </c>
      <c r="T4425" s="28"/>
      <c r="U4425" s="28" t="n">
        <v>4765</v>
      </c>
      <c r="V4425" s="28"/>
      <c r="W4425" s="28" t="n">
        <f aca="false">V4425*$M4425</f>
        <v>0</v>
      </c>
      <c r="X4425" s="28"/>
      <c r="Y4425" s="28" t="n">
        <f aca="false">X4425*$M4425</f>
        <v>0</v>
      </c>
      <c r="Z4425" s="28"/>
      <c r="AA4425" s="28" t="n">
        <f aca="false">Z4425*$M4425</f>
        <v>0</v>
      </c>
      <c r="AB4425" s="28"/>
      <c r="AC4425" s="28" t="n">
        <f aca="false">AB4425*$M4425</f>
        <v>0</v>
      </c>
      <c r="AD4425" s="28"/>
      <c r="AE4425" s="28" t="n">
        <f aca="false">AD4425*$M4425</f>
        <v>0</v>
      </c>
      <c r="AF4425" s="28"/>
      <c r="AG4425" s="28" t="n">
        <f aca="false">AF4425*$M4425</f>
        <v>0</v>
      </c>
      <c r="AH4425" s="28"/>
      <c r="AI4425" s="28" t="n">
        <f aca="false">AH4425*$M4425</f>
        <v>0</v>
      </c>
      <c r="AJ4425" s="28"/>
      <c r="AK4425" s="28" t="n">
        <f aca="false">AJ4425*$M4425</f>
        <v>0</v>
      </c>
      <c r="AL4425" s="28"/>
      <c r="AM4425" s="28" t="n">
        <f aca="false">AL4425*$M4425</f>
        <v>0</v>
      </c>
      <c r="AN4425" s="28"/>
      <c r="AO4425" s="28" t="n">
        <f aca="false">AN4425*$M4425</f>
        <v>0</v>
      </c>
      <c r="AP4425" s="28"/>
      <c r="AQ4425" s="28" t="n">
        <f aca="false">AP4425*$M4425</f>
        <v>0</v>
      </c>
      <c r="AR4425" s="28"/>
      <c r="AS4425" s="28" t="n">
        <f aca="false">AR4425*$M4425</f>
        <v>0</v>
      </c>
      <c r="AT4425" s="28"/>
      <c r="AU4425" s="28" t="n">
        <f aca="false">AT4425*$M4425</f>
        <v>0</v>
      </c>
      <c r="AV4425" s="28"/>
      <c r="AW4425" s="28" t="n">
        <f aca="false">AV4425*$M4425</f>
        <v>0</v>
      </c>
      <c r="AX4425" s="28"/>
      <c r="AY4425" s="28" t="n">
        <f aca="false">AX4425*$M4425</f>
        <v>0</v>
      </c>
      <c r="AZ4425" s="30"/>
      <c r="BA4425" s="11" t="n">
        <v>4765</v>
      </c>
      <c r="BB4425" s="31" t="n">
        <f aca="false">SUM(Q4425,S4425,U4425,W4425,Y4425,AA4425,AC4425,AE4425,AG4425,AI4425,AK4425,AM4425,AO4425,AQ4425,AS4425,AU4425,AW4425,AY4425)</f>
        <v>4765</v>
      </c>
      <c r="BC4425" s="28" t="n">
        <f aca="false">BA4425-BB4425</f>
        <v>0</v>
      </c>
      <c r="BD4425" s="32" t="n">
        <f aca="false">SUM(P4425,R4425,T4425,V4425,X4425,Z4425,AB4425,AD4425,AF4425,AH4425,AJ4425,AL4425,AN4425,AP4425,AR4425,AT4425,AV4425,AX4425)</f>
        <v>0</v>
      </c>
      <c r="BE4425" s="33" t="n">
        <f aca="false">AZ4425-BD4425</f>
        <v>0</v>
      </c>
      <c r="BF4425" s="34" t="n">
        <f aca="false">BD4425*M4425</f>
        <v>0</v>
      </c>
      <c r="BG4425" s="35" t="n">
        <f aca="false">BA4425-BF4425</f>
        <v>4765</v>
      </c>
      <c r="BH4425" s="19" t="str">
        <f aca="false">IF(BG4425=0,"",IF(BG4425&lt;&gt;BA4425,"erreur de calcul",IF(BD4425&lt;&gt;0,"pas de prix",IF(M4425&lt;&gt; 0,"pas de quantité","pas de prix, ni de quantité"))))</f>
        <v>pas de quantité</v>
      </c>
      <c r="BI4425" s="19"/>
    </row>
    <row r="4426" customFormat="false" ht="15" hidden="false" customHeight="false" outlineLevel="0" collapsed="false">
      <c r="A4426" s="0" t="n">
        <v>4</v>
      </c>
      <c r="B4426" s="8" t="s">
        <v>24</v>
      </c>
      <c r="C4426" s="9" t="s">
        <v>25</v>
      </c>
      <c r="D4426" s="9" t="s">
        <v>26</v>
      </c>
      <c r="E4426" s="10" t="n">
        <v>1789</v>
      </c>
      <c r="F4426" s="9" t="s">
        <v>27</v>
      </c>
      <c r="G4426" s="9" t="s">
        <v>27</v>
      </c>
      <c r="H4426" s="11" t="n">
        <v>24</v>
      </c>
      <c r="I4426" s="11" t="s">
        <v>291</v>
      </c>
      <c r="J4426" s="14" t="n">
        <v>36</v>
      </c>
      <c r="K4426" s="14"/>
      <c r="L4426" s="16"/>
      <c r="M4426" s="27" t="n">
        <f aca="false">J4426+(K4426/20)+(L4426/240)</f>
        <v>36</v>
      </c>
      <c r="N4426" s="17" t="s">
        <v>66</v>
      </c>
      <c r="O4426" s="11"/>
      <c r="P4426" s="28"/>
      <c r="Q4426" s="28" t="n">
        <f aca="false">P4426*$M4426</f>
        <v>0</v>
      </c>
      <c r="R4426" s="28"/>
      <c r="S4426" s="28" t="n">
        <f aca="false">R4426*$M4426</f>
        <v>0</v>
      </c>
      <c r="T4426" s="28"/>
      <c r="U4426" s="28" t="n">
        <f aca="false">T4426*$M4426</f>
        <v>0</v>
      </c>
      <c r="V4426" s="28"/>
      <c r="W4426" s="28" t="n">
        <f aca="false">V4426*$M4426</f>
        <v>0</v>
      </c>
      <c r="X4426" s="28"/>
      <c r="Y4426" s="28" t="n">
        <f aca="false">X4426*$M4426</f>
        <v>0</v>
      </c>
      <c r="Z4426" s="28"/>
      <c r="AA4426" s="28" t="n">
        <f aca="false">Z4426*$M4426</f>
        <v>0</v>
      </c>
      <c r="AB4426" s="28"/>
      <c r="AC4426" s="28" t="n">
        <f aca="false">AB4426*$M4426</f>
        <v>0</v>
      </c>
      <c r="AD4426" s="28"/>
      <c r="AE4426" s="28" t="n">
        <f aca="false">AD4426*$M4426</f>
        <v>0</v>
      </c>
      <c r="AF4426" s="28"/>
      <c r="AG4426" s="28" t="n">
        <f aca="false">AF4426*$M4426</f>
        <v>0</v>
      </c>
      <c r="AH4426" s="28"/>
      <c r="AI4426" s="28" t="n">
        <f aca="false">AH4426*$M4426</f>
        <v>0</v>
      </c>
      <c r="AJ4426" s="28" t="n">
        <v>387</v>
      </c>
      <c r="AK4426" s="28" t="n">
        <v>13932</v>
      </c>
      <c r="AL4426" s="28"/>
      <c r="AM4426" s="28" t="n">
        <f aca="false">AL4426*$M4426</f>
        <v>0</v>
      </c>
      <c r="AN4426" s="28"/>
      <c r="AO4426" s="28" t="n">
        <f aca="false">AN4426*$M4426</f>
        <v>0</v>
      </c>
      <c r="AP4426" s="28"/>
      <c r="AQ4426" s="28" t="n">
        <f aca="false">AP4426*$M4426</f>
        <v>0</v>
      </c>
      <c r="AR4426" s="28"/>
      <c r="AS4426" s="28" t="n">
        <f aca="false">AR4426*$M4426</f>
        <v>0</v>
      </c>
      <c r="AT4426" s="28"/>
      <c r="AU4426" s="28" t="n">
        <f aca="false">AT4426*$M4426</f>
        <v>0</v>
      </c>
      <c r="AV4426" s="28"/>
      <c r="AW4426" s="28" t="n">
        <f aca="false">AV4426*$M4426</f>
        <v>0</v>
      </c>
      <c r="AX4426" s="28"/>
      <c r="AY4426" s="28" t="n">
        <f aca="false">AX4426*$M4426</f>
        <v>0</v>
      </c>
      <c r="AZ4426" s="30" t="n">
        <v>387</v>
      </c>
      <c r="BA4426" s="11" t="n">
        <v>13932</v>
      </c>
      <c r="BB4426" s="31" t="n">
        <f aca="false">SUM(Q4426,S4426,U4426,W4426,Y4426,AA4426,AC4426,AE4426,AG4426,AI4426,AK4426,AM4426,AO4426,AQ4426,AS4426,AU4426,AW4426,AY4426)</f>
        <v>13932</v>
      </c>
      <c r="BC4426" s="28" t="n">
        <f aca="false">BA4426-BB4426</f>
        <v>0</v>
      </c>
      <c r="BD4426" s="32" t="n">
        <f aca="false">SUM(P4426,R4426,T4426,V4426,X4426,Z4426,AB4426,AD4426,AF4426,AH4426,AJ4426,AL4426,AN4426,AP4426,AR4426,AT4426,AV4426,AX4426)</f>
        <v>387</v>
      </c>
      <c r="BE4426" s="33" t="n">
        <f aca="false">AZ4426-BD4426</f>
        <v>0</v>
      </c>
      <c r="BF4426" s="34" t="n">
        <f aca="false">BD4426*M4426</f>
        <v>13932</v>
      </c>
      <c r="BG4426" s="35" t="n">
        <f aca="false">BA4426-BF4426</f>
        <v>0</v>
      </c>
      <c r="BH4426" s="19" t="str">
        <f aca="false">IF(BG4426=0,"",IF(BG4426&lt;&gt;BA4426,"erreur de calcul",IF(BD4426&lt;&gt;0,"pas de prix",IF(M4426&lt;&gt; 0,"pas de quantité","pas de prix, ni de quantité"))))</f>
        <v/>
      </c>
      <c r="BI4426" s="19"/>
    </row>
    <row r="4427" customFormat="false" ht="15" hidden="false" customHeight="false" outlineLevel="0" collapsed="false">
      <c r="A4427" s="0" t="n">
        <v>5</v>
      </c>
      <c r="B4427" s="8" t="s">
        <v>24</v>
      </c>
      <c r="C4427" s="9" t="s">
        <v>25</v>
      </c>
      <c r="D4427" s="9" t="s">
        <v>26</v>
      </c>
      <c r="E4427" s="10" t="n">
        <v>1789</v>
      </c>
      <c r="F4427" s="9" t="s">
        <v>27</v>
      </c>
      <c r="G4427" s="9" t="s">
        <v>27</v>
      </c>
      <c r="H4427" s="11" t="n">
        <v>24</v>
      </c>
      <c r="I4427" s="11" t="s">
        <v>292</v>
      </c>
      <c r="J4427" s="14" t="n">
        <v>40</v>
      </c>
      <c r="K4427" s="14"/>
      <c r="L4427" s="16"/>
      <c r="M4427" s="27" t="n">
        <f aca="false">J4427+(K4427/20)+(L4427/240)</f>
        <v>40</v>
      </c>
      <c r="N4427" s="17" t="s">
        <v>64</v>
      </c>
      <c r="O4427" s="11" t="s">
        <v>277</v>
      </c>
      <c r="P4427" s="28"/>
      <c r="Q4427" s="28" t="n">
        <f aca="false">P4427*$M4427</f>
        <v>0</v>
      </c>
      <c r="R4427" s="28"/>
      <c r="S4427" s="28" t="n">
        <f aca="false">R4427*$M4427</f>
        <v>0</v>
      </c>
      <c r="T4427" s="28" t="n">
        <f aca="false">5917/100</f>
        <v>59.17</v>
      </c>
      <c r="U4427" s="28" t="n">
        <v>2367</v>
      </c>
      <c r="V4427" s="28" t="n">
        <f aca="false">12510/100</f>
        <v>125.1</v>
      </c>
      <c r="W4427" s="28" t="n">
        <f aca="false">V4427*$M4427</f>
        <v>5004</v>
      </c>
      <c r="X4427" s="28"/>
      <c r="Y4427" s="28" t="n">
        <f aca="false">X4427*$M4427</f>
        <v>0</v>
      </c>
      <c r="Z4427" s="28"/>
      <c r="AA4427" s="28" t="n">
        <f aca="false">Z4427*$M4427</f>
        <v>0</v>
      </c>
      <c r="AB4427" s="28" t="n">
        <f aca="false">50338/100</f>
        <v>503.38</v>
      </c>
      <c r="AC4427" s="28" t="n">
        <v>20135</v>
      </c>
      <c r="AD4427" s="28"/>
      <c r="AE4427" s="28" t="n">
        <f aca="false">AD4427*$M4427</f>
        <v>0</v>
      </c>
      <c r="AF4427" s="28"/>
      <c r="AG4427" s="28" t="n">
        <f aca="false">AF4427*$M4427</f>
        <v>0</v>
      </c>
      <c r="AH4427" s="28" t="n">
        <f aca="false">440/100</f>
        <v>4.4</v>
      </c>
      <c r="AI4427" s="28" t="n">
        <v>176</v>
      </c>
      <c r="AJ4427" s="28" t="n">
        <f aca="false">18094/100</f>
        <v>180.94</v>
      </c>
      <c r="AK4427" s="28" t="n">
        <v>7238</v>
      </c>
      <c r="AL4427" s="28"/>
      <c r="AM4427" s="28" t="n">
        <f aca="false">AL4427*$M4427</f>
        <v>0</v>
      </c>
      <c r="AN4427" s="28"/>
      <c r="AO4427" s="28" t="n">
        <f aca="false">AN4427*$M4427</f>
        <v>0</v>
      </c>
      <c r="AP4427" s="28"/>
      <c r="AQ4427" s="28" t="n">
        <f aca="false">AP4427*$M4427</f>
        <v>0</v>
      </c>
      <c r="AR4427" s="28"/>
      <c r="AS4427" s="28" t="n">
        <f aca="false">AR4427*$M4427</f>
        <v>0</v>
      </c>
      <c r="AT4427" s="28"/>
      <c r="AU4427" s="28" t="n">
        <f aca="false">AT4427*$M4427</f>
        <v>0</v>
      </c>
      <c r="AV4427" s="28"/>
      <c r="AW4427" s="28" t="n">
        <f aca="false">AV4427*$M4427</f>
        <v>0</v>
      </c>
      <c r="AX4427" s="28"/>
      <c r="AY4427" s="28" t="n">
        <f aca="false">AX4427*$M4427</f>
        <v>0</v>
      </c>
      <c r="AZ4427" s="30" t="n">
        <f aca="false">87279/100</f>
        <v>872.79</v>
      </c>
      <c r="BA4427" s="11" t="n">
        <v>34920</v>
      </c>
      <c r="BB4427" s="31" t="n">
        <f aca="false">SUM(Q4427,S4427,U4427,W4427,Y4427,AA4427,AC4427,AE4427,AG4427,AI4427,AK4427,AM4427,AO4427,AQ4427,AS4427,AU4427,AW4427,AY4427)</f>
        <v>34920</v>
      </c>
      <c r="BC4427" s="28" t="n">
        <f aca="false">BA4427-BB4427</f>
        <v>0</v>
      </c>
      <c r="BD4427" s="32" t="n">
        <f aca="false">SUM(P4427,R4427,T4427,V4427,X4427,Z4427,AB4427,AD4427,AF4427,AH4427,AJ4427,AL4427,AN4427,AP4427,AR4427,AT4427,AV4427,AX4427)</f>
        <v>872.99</v>
      </c>
      <c r="BE4427" s="33" t="n">
        <f aca="false">AZ4427-BD4427</f>
        <v>-0.200000000000045</v>
      </c>
      <c r="BF4427" s="34" t="n">
        <f aca="false">BD4427*M4427</f>
        <v>34919.6</v>
      </c>
      <c r="BG4427" s="35" t="n">
        <f aca="false">BA4427-BF4427</f>
        <v>0.400000000001455</v>
      </c>
      <c r="BH4427" s="19" t="str">
        <f aca="false">IF(BG4427=0,"",IF(BG4427&lt;&gt;BA4427,"erreur de calcul",IF(BD4427&lt;&gt;0,"pas de prix",IF(M4427&lt;&gt; 0,"pas de quantité","pas de prix, ni de quantité"))))</f>
        <v>erreur de calcul</v>
      </c>
      <c r="BI4427" s="19"/>
    </row>
    <row r="4428" customFormat="false" ht="15" hidden="false" customHeight="false" outlineLevel="0" collapsed="false">
      <c r="A4428" s="0" t="n">
        <v>6</v>
      </c>
      <c r="B4428" s="8" t="s">
        <v>24</v>
      </c>
      <c r="C4428" s="9" t="s">
        <v>25</v>
      </c>
      <c r="D4428" s="9" t="s">
        <v>26</v>
      </c>
      <c r="E4428" s="10" t="n">
        <v>1789</v>
      </c>
      <c r="F4428" s="9" t="s">
        <v>27</v>
      </c>
      <c r="G4428" s="9" t="s">
        <v>27</v>
      </c>
      <c r="H4428" s="11" t="n">
        <v>24</v>
      </c>
      <c r="I4428" s="11" t="s">
        <v>293</v>
      </c>
      <c r="J4428" s="14" t="n">
        <v>72</v>
      </c>
      <c r="K4428" s="14"/>
      <c r="L4428" s="16"/>
      <c r="M4428" s="27" t="n">
        <f aca="false">J4428+(K4428/20)+(L4428/240)</f>
        <v>72</v>
      </c>
      <c r="N4428" s="17" t="s">
        <v>294</v>
      </c>
      <c r="O4428" s="11"/>
      <c r="P4428" s="28" t="n">
        <v>16096</v>
      </c>
      <c r="Q4428" s="28" t="n">
        <v>1158912</v>
      </c>
      <c r="R4428" s="28"/>
      <c r="S4428" s="28" t="n">
        <f aca="false">R4428*$M4428</f>
        <v>0</v>
      </c>
      <c r="T4428" s="28" t="n">
        <v>6580</v>
      </c>
      <c r="U4428" s="28" t="n">
        <v>473760</v>
      </c>
      <c r="V4428" s="28" t="n">
        <v>21336</v>
      </c>
      <c r="W4428" s="28" t="n">
        <v>1536192</v>
      </c>
      <c r="X4428" s="28" t="n">
        <v>905</v>
      </c>
      <c r="Y4428" s="28" t="n">
        <v>65160</v>
      </c>
      <c r="Z4428" s="28" t="n">
        <v>250</v>
      </c>
      <c r="AA4428" s="28" t="n">
        <v>18000</v>
      </c>
      <c r="AB4428" s="28" t="n">
        <v>155034</v>
      </c>
      <c r="AC4428" s="28" t="n">
        <v>11162448</v>
      </c>
      <c r="AD4428" s="28"/>
      <c r="AE4428" s="28" t="n">
        <f aca="false">AD4428*$M4428</f>
        <v>0</v>
      </c>
      <c r="AF4428" s="28" t="n">
        <v>18739</v>
      </c>
      <c r="AG4428" s="28" t="n">
        <v>1349208</v>
      </c>
      <c r="AH4428" s="28" t="n">
        <v>44032</v>
      </c>
      <c r="AI4428" s="28" t="n">
        <v>3170304</v>
      </c>
      <c r="AJ4428" s="28"/>
      <c r="AK4428" s="28" t="n">
        <f aca="false">AJ4428*$M4428</f>
        <v>0</v>
      </c>
      <c r="AL4428" s="28"/>
      <c r="AM4428" s="28" t="n">
        <f aca="false">AL4428*$M4428</f>
        <v>0</v>
      </c>
      <c r="AN4428" s="28"/>
      <c r="AO4428" s="28" t="n">
        <f aca="false">AN4428*$M4428</f>
        <v>0</v>
      </c>
      <c r="AP4428" s="28"/>
      <c r="AQ4428" s="28" t="n">
        <f aca="false">AP4428*$M4428</f>
        <v>0</v>
      </c>
      <c r="AR4428" s="28"/>
      <c r="AS4428" s="28" t="n">
        <f aca="false">AR4428*$M4428</f>
        <v>0</v>
      </c>
      <c r="AT4428" s="28"/>
      <c r="AU4428" s="28" t="n">
        <f aca="false">AT4428*$M4428</f>
        <v>0</v>
      </c>
      <c r="AV4428" s="28"/>
      <c r="AW4428" s="28" t="n">
        <f aca="false">AV4428*$M4428</f>
        <v>0</v>
      </c>
      <c r="AX4428" s="28"/>
      <c r="AY4428" s="28" t="n">
        <f aca="false">AX4428*$M4428</f>
        <v>0</v>
      </c>
      <c r="AZ4428" s="30" t="n">
        <v>262972</v>
      </c>
      <c r="BA4428" s="11" t="n">
        <v>18933984</v>
      </c>
      <c r="BB4428" s="31" t="n">
        <f aca="false">SUM(Q4428,S4428,U4428,W4428,Y4428,AA4428,AC4428,AE4428,AG4428,AI4428,AK4428,AM4428,AO4428,AQ4428,AS4428,AU4428,AW4428,AY4428)</f>
        <v>18933984</v>
      </c>
      <c r="BC4428" s="28" t="n">
        <f aca="false">BA4428-BB4428</f>
        <v>0</v>
      </c>
      <c r="BD4428" s="32" t="n">
        <f aca="false">SUM(P4428,R4428,T4428,V4428,X4428,Z4428,AB4428,AD4428,AF4428,AH4428,AJ4428,AL4428,AN4428,AP4428,AR4428,AT4428,AV4428,AX4428)</f>
        <v>262972</v>
      </c>
      <c r="BE4428" s="33" t="n">
        <f aca="false">AZ4428-BD4428</f>
        <v>0</v>
      </c>
      <c r="BF4428" s="34" t="n">
        <f aca="false">BD4428*M4428</f>
        <v>18933984</v>
      </c>
      <c r="BG4428" s="35" t="n">
        <f aca="false">BA4428-BF4428</f>
        <v>0</v>
      </c>
      <c r="BH4428" s="19" t="str">
        <f aca="false">IF(BG4428=0,"",IF(BG4428&lt;&gt;BA4428,"erreur de calcul",IF(BD4428&lt;&gt;0,"pas de prix",IF(M4428&lt;&gt; 0,"pas de quantité","pas de prix, ni de quantité"))))</f>
        <v/>
      </c>
      <c r="BI4428" s="19" t="s">
        <v>295</v>
      </c>
    </row>
    <row r="4429" customFormat="false" ht="15" hidden="false" customHeight="false" outlineLevel="0" collapsed="false">
      <c r="A4429" s="0" t="n">
        <v>7</v>
      </c>
      <c r="B4429" s="8" t="s">
        <v>24</v>
      </c>
      <c r="C4429" s="9" t="s">
        <v>25</v>
      </c>
      <c r="D4429" s="9" t="s">
        <v>26</v>
      </c>
      <c r="E4429" s="10" t="n">
        <v>1789</v>
      </c>
      <c r="F4429" s="9" t="s">
        <v>27</v>
      </c>
      <c r="G4429" s="9" t="s">
        <v>27</v>
      </c>
      <c r="H4429" s="11" t="n">
        <v>24</v>
      </c>
      <c r="I4429" s="11" t="s">
        <v>296</v>
      </c>
      <c r="J4429" s="14" t="n">
        <v>35</v>
      </c>
      <c r="K4429" s="14"/>
      <c r="L4429" s="16"/>
      <c r="M4429" s="27" t="n">
        <f aca="false">J4429+(K4429/20)+(L4429/240)</f>
        <v>35</v>
      </c>
      <c r="N4429" s="17" t="s">
        <v>64</v>
      </c>
      <c r="O4429" s="11" t="s">
        <v>98</v>
      </c>
      <c r="P4429" s="28"/>
      <c r="Q4429" s="28" t="n">
        <f aca="false">P4429*$M4429</f>
        <v>0</v>
      </c>
      <c r="R4429" s="28"/>
      <c r="S4429" s="28" t="n">
        <f aca="false">R4429*$M4429</f>
        <v>0</v>
      </c>
      <c r="T4429" s="28"/>
      <c r="U4429" s="28" t="n">
        <f aca="false">T4429*$M4429</f>
        <v>0</v>
      </c>
      <c r="V4429" s="28"/>
      <c r="W4429" s="28" t="n">
        <f aca="false">V4429*$M4429</f>
        <v>0</v>
      </c>
      <c r="X4429" s="28"/>
      <c r="Y4429" s="28" t="n">
        <f aca="false">X4429*$M4429</f>
        <v>0</v>
      </c>
      <c r="Z4429" s="28"/>
      <c r="AA4429" s="28" t="n">
        <f aca="false">Z4429*$M4429</f>
        <v>0</v>
      </c>
      <c r="AB4429" s="28"/>
      <c r="AC4429" s="28" t="n">
        <f aca="false">AB4429*$M4429</f>
        <v>0</v>
      </c>
      <c r="AD4429" s="28"/>
      <c r="AE4429" s="28" t="n">
        <f aca="false">AD4429*$M4429</f>
        <v>0</v>
      </c>
      <c r="AF4429" s="28"/>
      <c r="AG4429" s="28" t="n">
        <f aca="false">AF4429*$M4429</f>
        <v>0</v>
      </c>
      <c r="AH4429" s="28"/>
      <c r="AI4429" s="28" t="n">
        <f aca="false">AH4429*$M4429</f>
        <v>0</v>
      </c>
      <c r="AJ4429" s="28"/>
      <c r="AK4429" s="28" t="n">
        <f aca="false">AJ4429*$M4429</f>
        <v>0</v>
      </c>
      <c r="AL4429" s="28"/>
      <c r="AM4429" s="28" t="n">
        <f aca="false">AL4429*$M4429</f>
        <v>0</v>
      </c>
      <c r="AN4429" s="28"/>
      <c r="AO4429" s="28" t="n">
        <f aca="false">AN4429*$M4429</f>
        <v>0</v>
      </c>
      <c r="AP4429" s="28"/>
      <c r="AQ4429" s="28" t="n">
        <f aca="false">AP4429*$M4429</f>
        <v>0</v>
      </c>
      <c r="AR4429" s="28"/>
      <c r="AS4429" s="28" t="n">
        <f aca="false">AR4429*$M4429</f>
        <v>0</v>
      </c>
      <c r="AT4429" s="28"/>
      <c r="AU4429" s="28" t="n">
        <f aca="false">AT4429*$M4429</f>
        <v>0</v>
      </c>
      <c r="AV4429" s="28"/>
      <c r="AW4429" s="28" t="n">
        <f aca="false">AV4429*$M4429</f>
        <v>0</v>
      </c>
      <c r="AX4429" s="28"/>
      <c r="AY4429" s="28" t="n">
        <f aca="false">AX4429*$M4429</f>
        <v>0</v>
      </c>
      <c r="AZ4429" s="30"/>
      <c r="BA4429" s="11"/>
      <c r="BB4429" s="31" t="n">
        <f aca="false">SUM(Q4429,S4429,U4429,W4429,Y4429,AA4429,AC4429,AE4429,AG4429,AI4429,AK4429,AM4429,AO4429,AQ4429,AS4429,AU4429,AW4429,AY4429)</f>
        <v>0</v>
      </c>
      <c r="BC4429" s="28" t="n">
        <f aca="false">BA4429-BB4429</f>
        <v>0</v>
      </c>
      <c r="BD4429" s="32" t="n">
        <f aca="false">SUM(P4429,R4429,T4429,V4429,X4429,Z4429,AB4429,AD4429,AF4429,AH4429,AJ4429,AL4429,AN4429,AP4429,AR4429,AT4429,AV4429,AX4429)</f>
        <v>0</v>
      </c>
      <c r="BE4429" s="33" t="n">
        <f aca="false">AZ4429-BD4429</f>
        <v>0</v>
      </c>
      <c r="BF4429" s="34" t="n">
        <f aca="false">BD4429*M4429</f>
        <v>0</v>
      </c>
      <c r="BG4429" s="35" t="n">
        <f aca="false">BA4429-BF4429</f>
        <v>0</v>
      </c>
      <c r="BH4429" s="19" t="str">
        <f aca="false">IF(BG4429=0,"",IF(BG4429&lt;&gt;BA4429,"erreur de calcul",IF(BD4429&lt;&gt;0,"pas de prix",IF(M4429&lt;&gt; 0,"pas de quantité","pas de prix, ni de quantité"))))</f>
        <v/>
      </c>
      <c r="BI4429" s="19"/>
    </row>
    <row r="4430" customFormat="false" ht="15" hidden="false" customHeight="false" outlineLevel="0" collapsed="false">
      <c r="A4430" s="0" t="n">
        <v>8</v>
      </c>
      <c r="B4430" s="8" t="s">
        <v>24</v>
      </c>
      <c r="C4430" s="9" t="s">
        <v>25</v>
      </c>
      <c r="D4430" s="9" t="s">
        <v>26</v>
      </c>
      <c r="E4430" s="10" t="n">
        <v>1789</v>
      </c>
      <c r="F4430" s="9" t="s">
        <v>27</v>
      </c>
      <c r="G4430" s="9" t="s">
        <v>27</v>
      </c>
      <c r="H4430" s="11" t="n">
        <v>24</v>
      </c>
      <c r="I4430" s="11" t="s">
        <v>297</v>
      </c>
      <c r="J4430" s="14" t="n">
        <v>45</v>
      </c>
      <c r="K4430" s="14"/>
      <c r="L4430" s="16"/>
      <c r="M4430" s="27" t="n">
        <f aca="false">J4430+(K4430/20)+(L4430/240)</f>
        <v>45</v>
      </c>
      <c r="N4430" s="17" t="s">
        <v>64</v>
      </c>
      <c r="O4430" s="11"/>
      <c r="P4430" s="28"/>
      <c r="Q4430" s="28" t="n">
        <f aca="false">P4430*$M4430</f>
        <v>0</v>
      </c>
      <c r="R4430" s="28"/>
      <c r="S4430" s="28" t="n">
        <f aca="false">R4430*$M4430</f>
        <v>0</v>
      </c>
      <c r="T4430" s="28"/>
      <c r="U4430" s="28" t="n">
        <f aca="false">T4430*$M4430</f>
        <v>0</v>
      </c>
      <c r="V4430" s="28"/>
      <c r="W4430" s="28" t="n">
        <f aca="false">V4430*$M4430</f>
        <v>0</v>
      </c>
      <c r="X4430" s="28"/>
      <c r="Y4430" s="28" t="n">
        <f aca="false">X4430*$M4430</f>
        <v>0</v>
      </c>
      <c r="Z4430" s="28"/>
      <c r="AA4430" s="28" t="n">
        <f aca="false">Z4430*$M4430</f>
        <v>0</v>
      </c>
      <c r="AB4430" s="28"/>
      <c r="AC4430" s="28" t="n">
        <f aca="false">AB4430*$M4430</f>
        <v>0</v>
      </c>
      <c r="AD4430" s="28"/>
      <c r="AE4430" s="28" t="n">
        <f aca="false">AD4430*$M4430</f>
        <v>0</v>
      </c>
      <c r="AF4430" s="28"/>
      <c r="AG4430" s="28" t="n">
        <f aca="false">AF4430*$M4430</f>
        <v>0</v>
      </c>
      <c r="AH4430" s="28"/>
      <c r="AI4430" s="28" t="n">
        <f aca="false">AH4430*$M4430</f>
        <v>0</v>
      </c>
      <c r="AJ4430" s="28"/>
      <c r="AK4430" s="28" t="n">
        <f aca="false">AJ4430*$M4430</f>
        <v>0</v>
      </c>
      <c r="AL4430" s="28"/>
      <c r="AM4430" s="28" t="n">
        <f aca="false">AL4430*$M4430</f>
        <v>0</v>
      </c>
      <c r="AN4430" s="28"/>
      <c r="AO4430" s="28" t="n">
        <f aca="false">AN4430*$M4430</f>
        <v>0</v>
      </c>
      <c r="AP4430" s="28"/>
      <c r="AQ4430" s="28" t="n">
        <f aca="false">AP4430*$M4430</f>
        <v>0</v>
      </c>
      <c r="AR4430" s="28"/>
      <c r="AS4430" s="28" t="n">
        <f aca="false">AR4430*$M4430</f>
        <v>0</v>
      </c>
      <c r="AT4430" s="28"/>
      <c r="AU4430" s="28" t="n">
        <f aca="false">AT4430*$M4430</f>
        <v>0</v>
      </c>
      <c r="AV4430" s="28"/>
      <c r="AW4430" s="28" t="n">
        <f aca="false">AV4430*$M4430</f>
        <v>0</v>
      </c>
      <c r="AX4430" s="28" t="n">
        <f aca="false">44459/100</f>
        <v>444.59</v>
      </c>
      <c r="AY4430" s="28" t="n">
        <v>20006</v>
      </c>
      <c r="AZ4430" s="30" t="n">
        <f aca="false">44459/100</f>
        <v>444.59</v>
      </c>
      <c r="BA4430" s="11" t="n">
        <v>20006</v>
      </c>
      <c r="BB4430" s="31" t="n">
        <f aca="false">SUM(Q4430,S4430,U4430,W4430,Y4430,AA4430,AC4430,AE4430,AG4430,AI4430,AK4430,AM4430,AO4430,AQ4430,AS4430,AU4430,AW4430,AY4430)</f>
        <v>20006</v>
      </c>
      <c r="BC4430" s="28" t="n">
        <f aca="false">BA4430-BB4430</f>
        <v>0</v>
      </c>
      <c r="BD4430" s="32" t="n">
        <f aca="false">SUM(P4430,R4430,T4430,V4430,X4430,Z4430,AB4430,AD4430,AF4430,AH4430,AJ4430,AL4430,AN4430,AP4430,AR4430,AT4430,AV4430,AX4430)</f>
        <v>444.59</v>
      </c>
      <c r="BE4430" s="33" t="n">
        <f aca="false">AZ4430-BD4430</f>
        <v>0</v>
      </c>
      <c r="BF4430" s="34" t="n">
        <f aca="false">BD4430*M4430</f>
        <v>20006.55</v>
      </c>
      <c r="BG4430" s="35" t="n">
        <f aca="false">BA4430-BF4430</f>
        <v>-0.549999999999272</v>
      </c>
      <c r="BH4430" s="19" t="str">
        <f aca="false">IF(BG4430=0,"",IF(BG4430&lt;&gt;BA4430,"erreur de calcul",IF(BD4430&lt;&gt;0,"pas de prix",IF(M4430&lt;&gt; 0,"pas de quantité","pas de prix, ni de quantité"))))</f>
        <v>erreur de calcul</v>
      </c>
      <c r="BI4430" s="19"/>
    </row>
    <row r="4431" customFormat="false" ht="15" hidden="false" customHeight="false" outlineLevel="0" collapsed="false">
      <c r="A4431" s="0" t="n">
        <v>9</v>
      </c>
      <c r="B4431" s="8" t="s">
        <v>24</v>
      </c>
      <c r="C4431" s="9" t="s">
        <v>25</v>
      </c>
      <c r="D4431" s="9" t="s">
        <v>26</v>
      </c>
      <c r="E4431" s="10" t="n">
        <v>1789</v>
      </c>
      <c r="F4431" s="9" t="s">
        <v>27</v>
      </c>
      <c r="G4431" s="9" t="s">
        <v>27</v>
      </c>
      <c r="H4431" s="11" t="n">
        <v>24</v>
      </c>
      <c r="I4431" s="11" t="s">
        <v>298</v>
      </c>
      <c r="J4431" s="14" t="n">
        <v>550</v>
      </c>
      <c r="K4431" s="14"/>
      <c r="L4431" s="16"/>
      <c r="M4431" s="27" t="n">
        <f aca="false">J4431+(K4431/20)+(L4431/240)</f>
        <v>550</v>
      </c>
      <c r="N4431" s="17" t="s">
        <v>64</v>
      </c>
      <c r="O4431" s="11"/>
      <c r="P4431" s="28"/>
      <c r="Q4431" s="28" t="n">
        <f aca="false">P4431*$M4431</f>
        <v>0</v>
      </c>
      <c r="R4431" s="28"/>
      <c r="S4431" s="28" t="n">
        <f aca="false">R4431*$M4431</f>
        <v>0</v>
      </c>
      <c r="T4431" s="28"/>
      <c r="U4431" s="28" t="n">
        <f aca="false">T4431*$M4431</f>
        <v>0</v>
      </c>
      <c r="V4431" s="28"/>
      <c r="W4431" s="28" t="n">
        <f aca="false">V4431*$M4431</f>
        <v>0</v>
      </c>
      <c r="X4431" s="28"/>
      <c r="Y4431" s="28" t="n">
        <f aca="false">X4431*$M4431</f>
        <v>0</v>
      </c>
      <c r="Z4431" s="28"/>
      <c r="AA4431" s="28" t="n">
        <f aca="false">Z4431*$M4431</f>
        <v>0</v>
      </c>
      <c r="AB4431" s="28"/>
      <c r="AC4431" s="28" t="n">
        <f aca="false">AB4431*$M4431</f>
        <v>0</v>
      </c>
      <c r="AD4431" s="28"/>
      <c r="AE4431" s="28" t="n">
        <f aca="false">AD4431*$M4431</f>
        <v>0</v>
      </c>
      <c r="AF4431" s="28" t="n">
        <f aca="false">200/100</f>
        <v>2</v>
      </c>
      <c r="AG4431" s="28" t="n">
        <v>1100</v>
      </c>
      <c r="AH4431" s="28"/>
      <c r="AI4431" s="28" t="n">
        <f aca="false">AH4431*$M4431</f>
        <v>0</v>
      </c>
      <c r="AJ4431" s="28"/>
      <c r="AK4431" s="28" t="n">
        <f aca="false">AJ4431*$M4431</f>
        <v>0</v>
      </c>
      <c r="AL4431" s="28"/>
      <c r="AM4431" s="28" t="n">
        <f aca="false">AL4431*$M4431</f>
        <v>0</v>
      </c>
      <c r="AN4431" s="28"/>
      <c r="AO4431" s="28" t="n">
        <f aca="false">AN4431*$M4431</f>
        <v>0</v>
      </c>
      <c r="AP4431" s="28"/>
      <c r="AQ4431" s="28" t="n">
        <f aca="false">AP4431*$M4431</f>
        <v>0</v>
      </c>
      <c r="AR4431" s="28"/>
      <c r="AS4431" s="28" t="n">
        <f aca="false">AR4431*$M4431</f>
        <v>0</v>
      </c>
      <c r="AT4431" s="28"/>
      <c r="AU4431" s="28" t="n">
        <f aca="false">AT4431*$M4431</f>
        <v>0</v>
      </c>
      <c r="AV4431" s="28"/>
      <c r="AW4431" s="28" t="n">
        <f aca="false">AV4431*$M4431</f>
        <v>0</v>
      </c>
      <c r="AX4431" s="28"/>
      <c r="AY4431" s="28" t="n">
        <f aca="false">AX4431*$M4431</f>
        <v>0</v>
      </c>
      <c r="AZ4431" s="30" t="n">
        <f aca="false">200/100</f>
        <v>2</v>
      </c>
      <c r="BA4431" s="11" t="n">
        <v>1100</v>
      </c>
      <c r="BB4431" s="31" t="n">
        <f aca="false">SUM(Q4431,S4431,U4431,W4431,Y4431,AA4431,AC4431,AE4431,AG4431,AI4431,AK4431,AM4431,AO4431,AQ4431,AS4431,AU4431,AW4431,AY4431)</f>
        <v>1100</v>
      </c>
      <c r="BC4431" s="28" t="n">
        <f aca="false">BA4431-BB4431</f>
        <v>0</v>
      </c>
      <c r="BD4431" s="32" t="n">
        <f aca="false">SUM(P4431,R4431,T4431,V4431,X4431,Z4431,AB4431,AD4431,AF4431,AH4431,AJ4431,AL4431,AN4431,AP4431,AR4431,AT4431,AV4431,AX4431)</f>
        <v>2</v>
      </c>
      <c r="BE4431" s="33" t="n">
        <f aca="false">AZ4431-BD4431</f>
        <v>0</v>
      </c>
      <c r="BF4431" s="34" t="n">
        <f aca="false">BD4431*M4431</f>
        <v>1100</v>
      </c>
      <c r="BG4431" s="35" t="n">
        <f aca="false">BA4431-BF4431</f>
        <v>0</v>
      </c>
      <c r="BH4431" s="19" t="str">
        <f aca="false">IF(BG4431=0,"",IF(BG4431&lt;&gt;BA4431,"erreur de calcul",IF(BD4431&lt;&gt;0,"pas de prix",IF(M4431&lt;&gt; 0,"pas de quantité","pas de prix, ni de quantité"))))</f>
        <v/>
      </c>
      <c r="BI4431" s="19"/>
    </row>
    <row r="4432" customFormat="false" ht="15" hidden="false" customHeight="false" outlineLevel="0" collapsed="false">
      <c r="A4432" s="0" t="n">
        <v>10</v>
      </c>
      <c r="B4432" s="8" t="s">
        <v>24</v>
      </c>
      <c r="C4432" s="9" t="s">
        <v>25</v>
      </c>
      <c r="D4432" s="9" t="s">
        <v>26</v>
      </c>
      <c r="E4432" s="10" t="n">
        <v>1789</v>
      </c>
      <c r="F4432" s="9" t="s">
        <v>27</v>
      </c>
      <c r="G4432" s="9" t="s">
        <v>27</v>
      </c>
      <c r="H4432" s="11" t="n">
        <v>24</v>
      </c>
      <c r="I4432" s="11" t="s">
        <v>299</v>
      </c>
      <c r="J4432" s="14" t="n">
        <v>16</v>
      </c>
      <c r="K4432" s="14"/>
      <c r="L4432" s="16"/>
      <c r="M4432" s="27" t="n">
        <f aca="false">J4432+(K4432/20)+(L4432/240)</f>
        <v>16</v>
      </c>
      <c r="N4432" s="17" t="s">
        <v>64</v>
      </c>
      <c r="O4432" s="11"/>
      <c r="P4432" s="28" t="n">
        <f aca="false">20*288*0.02+252*0.02</f>
        <v>120.24</v>
      </c>
      <c r="Q4432" s="28" t="n">
        <v>1924</v>
      </c>
      <c r="R4432" s="28"/>
      <c r="S4432" s="28" t="n">
        <f aca="false">R4432*$M4432</f>
        <v>0</v>
      </c>
      <c r="T4432" s="28"/>
      <c r="U4432" s="28" t="n">
        <f aca="false">T4432*$M4432</f>
        <v>0</v>
      </c>
      <c r="V4432" s="28" t="n">
        <f aca="false">16*288*0.02+15*0.02</f>
        <v>92.46</v>
      </c>
      <c r="W4432" s="28" t="n">
        <v>1479</v>
      </c>
      <c r="X4432" s="28" t="n">
        <f aca="false">25*288*0.02+152*0.02</f>
        <v>147.04</v>
      </c>
      <c r="Y4432" s="28" t="n">
        <v>2353</v>
      </c>
      <c r="Z4432" s="28"/>
      <c r="AA4432" s="28" t="n">
        <f aca="false">Z4432*$M4432</f>
        <v>0</v>
      </c>
      <c r="AB4432" s="28" t="n">
        <f aca="false">127*288*0.02+236*0.02</f>
        <v>736.24</v>
      </c>
      <c r="AC4432" s="28" t="n">
        <v>11780</v>
      </c>
      <c r="AD4432" s="28"/>
      <c r="AE4432" s="28" t="n">
        <f aca="false">AD4432*$M4432</f>
        <v>0</v>
      </c>
      <c r="AF4432" s="28"/>
      <c r="AG4432" s="28" t="n">
        <f aca="false">AF4432*$M4432</f>
        <v>0</v>
      </c>
      <c r="AH4432" s="28"/>
      <c r="AI4432" s="28" t="n">
        <f aca="false">AH4432*$M4432</f>
        <v>0</v>
      </c>
      <c r="AJ4432" s="28"/>
      <c r="AK4432" s="28" t="n">
        <f aca="false">AJ4432*$M4432</f>
        <v>0</v>
      </c>
      <c r="AL4432" s="28"/>
      <c r="AM4432" s="28" t="n">
        <f aca="false">AL4432*$M4432</f>
        <v>0</v>
      </c>
      <c r="AN4432" s="28"/>
      <c r="AO4432" s="28" t="n">
        <f aca="false">AN4432*$M4432</f>
        <v>0</v>
      </c>
      <c r="AP4432" s="28"/>
      <c r="AQ4432" s="28" t="n">
        <f aca="false">AP4432*$M4432</f>
        <v>0</v>
      </c>
      <c r="AR4432" s="28"/>
      <c r="AS4432" s="28" t="n">
        <f aca="false">AR4432*$M4432</f>
        <v>0</v>
      </c>
      <c r="AT4432" s="28"/>
      <c r="AU4432" s="28" t="n">
        <f aca="false">AT4432*$M4432</f>
        <v>0</v>
      </c>
      <c r="AV4432" s="28"/>
      <c r="AW4432" s="28" t="n">
        <f aca="false">AV4432*$M4432</f>
        <v>0</v>
      </c>
      <c r="AX4432" s="28"/>
      <c r="AY4432" s="28" t="n">
        <f aca="false">AX4432*$M4432</f>
        <v>0</v>
      </c>
      <c r="AZ4432" s="30" t="n">
        <f aca="false">190*288*0.02+82*0.02</f>
        <v>1096.04</v>
      </c>
      <c r="BA4432" s="11" t="n">
        <v>17536</v>
      </c>
      <c r="BB4432" s="31" t="n">
        <f aca="false">SUM(Q4432,S4432,U4432,W4432,Y4432,AA4432,AC4432,AE4432,AG4432,AI4432,AK4432,AM4432,AO4432,AQ4432,AS4432,AU4432,AW4432,AY4432)</f>
        <v>17536</v>
      </c>
      <c r="BC4432" s="28" t="n">
        <f aca="false">BA4432-BB4432</f>
        <v>0</v>
      </c>
      <c r="BD4432" s="32" t="n">
        <f aca="false">SUM(P4432,R4432,T4432,V4432,X4432,Z4432,AB4432,AD4432,AF4432,AH4432,AJ4432,AL4432,AN4432,AP4432,AR4432,AT4432,AV4432,AX4432)</f>
        <v>1095.98</v>
      </c>
      <c r="BE4432" s="33" t="n">
        <f aca="false">AZ4432-BD4432</f>
        <v>0.0600000000001728</v>
      </c>
      <c r="BF4432" s="34" t="n">
        <f aca="false">BD4432*M4432</f>
        <v>17535.68</v>
      </c>
      <c r="BG4432" s="35" t="n">
        <f aca="false">BA4432-BF4432</f>
        <v>0.319999999999709</v>
      </c>
      <c r="BH4432" s="19" t="str">
        <f aca="false">IF(BG4432=0,"",IF(BG4432&lt;&gt;BA4432,"erreur de calcul",IF(BD4432&lt;&gt;0,"pas de prix",IF(M4432&lt;&gt; 0,"pas de quantité","pas de prix, ni de quantité"))))</f>
        <v>erreur de calcul</v>
      </c>
      <c r="BI4432" s="19"/>
    </row>
    <row r="4433" customFormat="false" ht="15" hidden="false" customHeight="false" outlineLevel="0" collapsed="false">
      <c r="A4433" s="0" t="n">
        <v>11</v>
      </c>
      <c r="B4433" s="8" t="s">
        <v>24</v>
      </c>
      <c r="C4433" s="9" t="s">
        <v>25</v>
      </c>
      <c r="D4433" s="9" t="s">
        <v>26</v>
      </c>
      <c r="E4433" s="10" t="n">
        <v>1789</v>
      </c>
      <c r="F4433" s="9" t="s">
        <v>27</v>
      </c>
      <c r="G4433" s="9" t="s">
        <v>27</v>
      </c>
      <c r="H4433" s="11" t="n">
        <v>24</v>
      </c>
      <c r="I4433" s="11" t="s">
        <v>300</v>
      </c>
      <c r="J4433" s="14" t="n">
        <v>360</v>
      </c>
      <c r="K4433" s="14"/>
      <c r="L4433" s="16"/>
      <c r="M4433" s="27" t="n">
        <f aca="false">J4433+(K4433/20)+(L4433/240)</f>
        <v>360</v>
      </c>
      <c r="N4433" s="17" t="s">
        <v>64</v>
      </c>
      <c r="O4433" s="11"/>
      <c r="P4433" s="28"/>
      <c r="Q4433" s="28" t="n">
        <f aca="false">P4433*$M4433</f>
        <v>0</v>
      </c>
      <c r="R4433" s="28"/>
      <c r="S4433" s="28" t="n">
        <f aca="false">R4433*$M4433</f>
        <v>0</v>
      </c>
      <c r="T4433" s="28"/>
      <c r="U4433" s="28" t="n">
        <f aca="false">T4433*$M4433</f>
        <v>0</v>
      </c>
      <c r="V4433" s="28"/>
      <c r="W4433" s="28" t="n">
        <f aca="false">V4433*$M4433</f>
        <v>0</v>
      </c>
      <c r="X4433" s="28"/>
      <c r="Y4433" s="28" t="n">
        <f aca="false">X4433*$M4433</f>
        <v>0</v>
      </c>
      <c r="Z4433" s="28"/>
      <c r="AA4433" s="28" t="n">
        <f aca="false">Z4433*$M4433</f>
        <v>0</v>
      </c>
      <c r="AB4433" s="28"/>
      <c r="AC4433" s="28" t="n">
        <f aca="false">AB4433*$M4433</f>
        <v>0</v>
      </c>
      <c r="AD4433" s="28"/>
      <c r="AE4433" s="28" t="n">
        <f aca="false">AD4433*$M4433</f>
        <v>0</v>
      </c>
      <c r="AF4433" s="28"/>
      <c r="AG4433" s="28" t="n">
        <f aca="false">AF4433*$M4433</f>
        <v>0</v>
      </c>
      <c r="AH4433" s="28" t="n">
        <f aca="false">371073/100</f>
        <v>3710.73</v>
      </c>
      <c r="AI4433" s="28" t="n">
        <v>1335863</v>
      </c>
      <c r="AJ4433" s="28"/>
      <c r="AK4433" s="28" t="n">
        <f aca="false">AJ4433*$M4433</f>
        <v>0</v>
      </c>
      <c r="AL4433" s="28"/>
      <c r="AM4433" s="28" t="n">
        <f aca="false">AL4433*$M4433</f>
        <v>0</v>
      </c>
      <c r="AN4433" s="28"/>
      <c r="AO4433" s="28" t="n">
        <f aca="false">AN4433*$M4433</f>
        <v>0</v>
      </c>
      <c r="AP4433" s="28"/>
      <c r="AQ4433" s="28" t="n">
        <f aca="false">AP4433*$M4433</f>
        <v>0</v>
      </c>
      <c r="AR4433" s="28"/>
      <c r="AS4433" s="28" t="n">
        <f aca="false">AR4433*$M4433</f>
        <v>0</v>
      </c>
      <c r="AT4433" s="28"/>
      <c r="AU4433" s="28" t="n">
        <f aca="false">AT4433*$M4433</f>
        <v>0</v>
      </c>
      <c r="AV4433" s="28"/>
      <c r="AW4433" s="28" t="n">
        <f aca="false">AV4433*$M4433</f>
        <v>0</v>
      </c>
      <c r="AX4433" s="28"/>
      <c r="AY4433" s="28" t="n">
        <f aca="false">AX4433*$M4433</f>
        <v>0</v>
      </c>
      <c r="AZ4433" s="30" t="n">
        <f aca="false">371073/100</f>
        <v>3710.73</v>
      </c>
      <c r="BA4433" s="11" t="n">
        <v>1335863</v>
      </c>
      <c r="BB4433" s="31" t="n">
        <f aca="false">SUM(Q4433,S4433,U4433,W4433,Y4433,AA4433,AC4433,AE4433,AG4433,AI4433,AK4433,AM4433,AO4433,AQ4433,AS4433,AU4433,AW4433,AY4433)</f>
        <v>1335863</v>
      </c>
      <c r="BC4433" s="28" t="n">
        <f aca="false">BA4433-BB4433</f>
        <v>0</v>
      </c>
      <c r="BD4433" s="32" t="n">
        <f aca="false">SUM(P4433,R4433,T4433,V4433,X4433,Z4433,AB4433,AD4433,AF4433,AH4433,AJ4433,AL4433,AN4433,AP4433,AR4433,AT4433,AV4433,AX4433)</f>
        <v>3710.73</v>
      </c>
      <c r="BE4433" s="33" t="n">
        <f aca="false">AZ4433-BD4433</f>
        <v>0</v>
      </c>
      <c r="BF4433" s="34" t="n">
        <f aca="false">BD4433*M4433</f>
        <v>1335862.8</v>
      </c>
      <c r="BG4433" s="35" t="n">
        <f aca="false">BA4433-BF4433</f>
        <v>0.199999999953434</v>
      </c>
      <c r="BH4433" s="19" t="str">
        <f aca="false">IF(BG4433=0,"",IF(BG4433&lt;&gt;BA4433,"erreur de calcul",IF(BD4433&lt;&gt;0,"pas de prix",IF(M4433&lt;&gt; 0,"pas de quantité","pas de prix, ni de quantité"))))</f>
        <v>erreur de calcul</v>
      </c>
      <c r="BI4433" s="19"/>
    </row>
    <row r="4434" customFormat="false" ht="15" hidden="false" customHeight="false" outlineLevel="0" collapsed="false">
      <c r="A4434" s="0" t="n">
        <v>12</v>
      </c>
      <c r="B4434" s="8" t="s">
        <v>24</v>
      </c>
      <c r="C4434" s="9" t="s">
        <v>25</v>
      </c>
      <c r="D4434" s="9" t="s">
        <v>26</v>
      </c>
      <c r="E4434" s="10" t="n">
        <v>1789</v>
      </c>
      <c r="F4434" s="9" t="s">
        <v>27</v>
      </c>
      <c r="G4434" s="9" t="s">
        <v>27</v>
      </c>
      <c r="H4434" s="11" t="n">
        <v>24</v>
      </c>
      <c r="I4434" s="11" t="s">
        <v>301</v>
      </c>
      <c r="J4434" s="14" t="n">
        <v>3</v>
      </c>
      <c r="K4434" s="14"/>
      <c r="L4434" s="16"/>
      <c r="M4434" s="27" t="n">
        <f aca="false">J4434+(K4434/20)+(L4434/240)</f>
        <v>3</v>
      </c>
      <c r="N4434" s="17" t="s">
        <v>66</v>
      </c>
      <c r="O4434" s="11"/>
      <c r="P4434" s="28"/>
      <c r="Q4434" s="28" t="n">
        <f aca="false">P4434*$M4434</f>
        <v>0</v>
      </c>
      <c r="R4434" s="28"/>
      <c r="S4434" s="28" t="n">
        <f aca="false">R4434*$M4434</f>
        <v>0</v>
      </c>
      <c r="T4434" s="28"/>
      <c r="U4434" s="28" t="n">
        <f aca="false">T4434*$M4434</f>
        <v>0</v>
      </c>
      <c r="V4434" s="28"/>
      <c r="W4434" s="28" t="n">
        <f aca="false">V4434*$M4434</f>
        <v>0</v>
      </c>
      <c r="X4434" s="28"/>
      <c r="Y4434" s="28" t="n">
        <f aca="false">X4434*$M4434</f>
        <v>0</v>
      </c>
      <c r="Z4434" s="28"/>
      <c r="AA4434" s="28" t="n">
        <f aca="false">Z4434*$M4434</f>
        <v>0</v>
      </c>
      <c r="AB4434" s="28"/>
      <c r="AC4434" s="28" t="n">
        <f aca="false">AB4434*$M4434</f>
        <v>0</v>
      </c>
      <c r="AD4434" s="28"/>
      <c r="AE4434" s="28" t="n">
        <f aca="false">AD4434*$M4434</f>
        <v>0</v>
      </c>
      <c r="AF4434" s="28"/>
      <c r="AG4434" s="28" t="n">
        <f aca="false">AF4434*$M4434</f>
        <v>0</v>
      </c>
      <c r="AH4434" s="28" t="n">
        <v>19281</v>
      </c>
      <c r="AI4434" s="28" t="n">
        <v>57843</v>
      </c>
      <c r="AJ4434" s="28"/>
      <c r="AK4434" s="28" t="n">
        <f aca="false">AJ4434*$M4434</f>
        <v>0</v>
      </c>
      <c r="AL4434" s="28"/>
      <c r="AM4434" s="28" t="n">
        <f aca="false">AL4434*$M4434</f>
        <v>0</v>
      </c>
      <c r="AN4434" s="28"/>
      <c r="AO4434" s="28" t="n">
        <f aca="false">AN4434*$M4434</f>
        <v>0</v>
      </c>
      <c r="AP4434" s="28"/>
      <c r="AQ4434" s="28" t="n">
        <f aca="false">AP4434*$M4434</f>
        <v>0</v>
      </c>
      <c r="AR4434" s="28"/>
      <c r="AS4434" s="28" t="n">
        <f aca="false">AR4434*$M4434</f>
        <v>0</v>
      </c>
      <c r="AT4434" s="28"/>
      <c r="AU4434" s="28" t="n">
        <f aca="false">AT4434*$M4434</f>
        <v>0</v>
      </c>
      <c r="AV4434" s="28"/>
      <c r="AW4434" s="28" t="n">
        <f aca="false">AV4434*$M4434</f>
        <v>0</v>
      </c>
      <c r="AX4434" s="28"/>
      <c r="AY4434" s="28" t="n">
        <f aca="false">AX4434*$M4434</f>
        <v>0</v>
      </c>
      <c r="AZ4434" s="30" t="n">
        <v>19281</v>
      </c>
      <c r="BA4434" s="11" t="n">
        <v>57843</v>
      </c>
      <c r="BB4434" s="31" t="n">
        <f aca="false">SUM(Q4434,S4434,U4434,W4434,Y4434,AA4434,AC4434,AE4434,AG4434,AI4434,AK4434,AM4434,AO4434,AQ4434,AS4434,AU4434,AW4434,AY4434)</f>
        <v>57843</v>
      </c>
      <c r="BC4434" s="28" t="n">
        <f aca="false">BA4434-BB4434</f>
        <v>0</v>
      </c>
      <c r="BD4434" s="32" t="n">
        <f aca="false">SUM(P4434,R4434,T4434,V4434,X4434,Z4434,AB4434,AD4434,AF4434,AH4434,AJ4434,AL4434,AN4434,AP4434,AR4434,AT4434,AV4434,AX4434)</f>
        <v>19281</v>
      </c>
      <c r="BE4434" s="33" t="n">
        <f aca="false">AZ4434-BD4434</f>
        <v>0</v>
      </c>
      <c r="BF4434" s="34" t="n">
        <f aca="false">BD4434*M4434</f>
        <v>57843</v>
      </c>
      <c r="BG4434" s="35" t="n">
        <f aca="false">BA4434-BF4434</f>
        <v>0</v>
      </c>
      <c r="BH4434" s="19" t="str">
        <f aca="false">IF(BG4434=0,"",IF(BG4434&lt;&gt;BA4434,"erreur de calcul",IF(BD4434&lt;&gt;0,"pas de prix",IF(M4434&lt;&gt; 0,"pas de quantité","pas de prix, ni de quantité"))))</f>
        <v/>
      </c>
      <c r="BI4434" s="19"/>
    </row>
    <row r="4435" customFormat="false" ht="15" hidden="false" customHeight="false" outlineLevel="0" collapsed="false">
      <c r="A4435" s="0" t="n">
        <v>13</v>
      </c>
      <c r="B4435" s="8" t="s">
        <v>24</v>
      </c>
      <c r="C4435" s="9" t="s">
        <v>25</v>
      </c>
      <c r="D4435" s="9" t="s">
        <v>26</v>
      </c>
      <c r="E4435" s="10" t="n">
        <v>1789</v>
      </c>
      <c r="F4435" s="9" t="s">
        <v>27</v>
      </c>
      <c r="G4435" s="9" t="s">
        <v>27</v>
      </c>
      <c r="H4435" s="11" t="n">
        <v>24</v>
      </c>
      <c r="I4435" s="11" t="s">
        <v>302</v>
      </c>
      <c r="J4435" s="14" t="n">
        <v>112</v>
      </c>
      <c r="K4435" s="14"/>
      <c r="L4435" s="16"/>
      <c r="M4435" s="27" t="n">
        <f aca="false">J4435+(K4435/20)+(L4435/240)</f>
        <v>112</v>
      </c>
      <c r="N4435" s="17" t="s">
        <v>64</v>
      </c>
      <c r="O4435" s="11"/>
      <c r="P4435" s="28" t="n">
        <f aca="false">99503/100</f>
        <v>995.03</v>
      </c>
      <c r="Q4435" s="28" t="n">
        <v>111443</v>
      </c>
      <c r="R4435" s="28"/>
      <c r="S4435" s="28" t="n">
        <f aca="false">R4435*$M4435</f>
        <v>0</v>
      </c>
      <c r="T4435" s="28" t="n">
        <f aca="false">8445/100</f>
        <v>84.45</v>
      </c>
      <c r="U4435" s="28" t="n">
        <v>9458</v>
      </c>
      <c r="V4435" s="28" t="n">
        <f aca="false">2517/100</f>
        <v>25.17</v>
      </c>
      <c r="W4435" s="28" t="n">
        <v>2819</v>
      </c>
      <c r="X4435" s="28" t="n">
        <f aca="false">4729/100</f>
        <v>47.29</v>
      </c>
      <c r="Y4435" s="28" t="n">
        <v>5296</v>
      </c>
      <c r="Z4435" s="28" t="n">
        <f aca="false">198115/100</f>
        <v>1981.15</v>
      </c>
      <c r="AA4435" s="28" t="n">
        <v>221889</v>
      </c>
      <c r="AB4435" s="28"/>
      <c r="AC4435" s="28" t="n">
        <f aca="false">AB4435*$M4435</f>
        <v>0</v>
      </c>
      <c r="AD4435" s="28"/>
      <c r="AE4435" s="28" t="n">
        <f aca="false">AD4435*$M4435</f>
        <v>0</v>
      </c>
      <c r="AF4435" s="28" t="n">
        <f aca="false">67420/100</f>
        <v>674.2</v>
      </c>
      <c r="AG4435" s="28" t="n">
        <v>75510</v>
      </c>
      <c r="AH4435" s="28" t="n">
        <f aca="false">415806/100</f>
        <v>4158.06</v>
      </c>
      <c r="AI4435" s="28" t="n">
        <v>465703</v>
      </c>
      <c r="AJ4435" s="28"/>
      <c r="AK4435" s="28" t="n">
        <f aca="false">AJ4435*$M4435</f>
        <v>0</v>
      </c>
      <c r="AL4435" s="28" t="n">
        <f aca="false">324/100</f>
        <v>3.24</v>
      </c>
      <c r="AM4435" s="28" t="n">
        <v>363</v>
      </c>
      <c r="AN4435" s="28"/>
      <c r="AO4435" s="28" t="n">
        <f aca="false">AN4435*$M4435</f>
        <v>0</v>
      </c>
      <c r="AP4435" s="28"/>
      <c r="AQ4435" s="28" t="n">
        <f aca="false">AP4435*$M4435</f>
        <v>0</v>
      </c>
      <c r="AR4435" s="28"/>
      <c r="AS4435" s="28" t="n">
        <f aca="false">AR4435*$M4435</f>
        <v>0</v>
      </c>
      <c r="AT4435" s="28"/>
      <c r="AU4435" s="28" t="n">
        <f aca="false">AT4435*$M4435</f>
        <v>0</v>
      </c>
      <c r="AV4435" s="28"/>
      <c r="AW4435" s="28" t="n">
        <f aca="false">AV4435*$M4435</f>
        <v>0</v>
      </c>
      <c r="AX4435" s="28"/>
      <c r="AY4435" s="28" t="n">
        <f aca="false">AX4435*$M4435</f>
        <v>0</v>
      </c>
      <c r="AZ4435" s="30" t="n">
        <f aca="false">796859/100</f>
        <v>7968.59</v>
      </c>
      <c r="BA4435" s="11" t="n">
        <v>892481</v>
      </c>
      <c r="BB4435" s="31" t="n">
        <f aca="false">SUM(Q4435,S4435,U4435,W4435,Y4435,AA4435,AC4435,AE4435,AG4435,AI4435,AK4435,AM4435,AO4435,AQ4435,AS4435,AU4435,AW4435,AY4435)</f>
        <v>892481</v>
      </c>
      <c r="BC4435" s="28" t="n">
        <f aca="false">BA4435-BB4435</f>
        <v>0</v>
      </c>
      <c r="BD4435" s="32" t="n">
        <f aca="false">SUM(P4435,R4435,T4435,V4435,X4435,Z4435,AB4435,AD4435,AF4435,AH4435,AJ4435,AL4435,AN4435,AP4435,AR4435,AT4435,AV4435,AX4435)</f>
        <v>7968.59</v>
      </c>
      <c r="BE4435" s="33" t="n">
        <f aca="false">AZ4435-BD4435</f>
        <v>0</v>
      </c>
      <c r="BF4435" s="34" t="n">
        <f aca="false">BD4435*M4435</f>
        <v>892482.08</v>
      </c>
      <c r="BG4435" s="35" t="n">
        <f aca="false">BA4435-BF4435</f>
        <v>-1.07999999995809</v>
      </c>
      <c r="BH4435" s="19" t="str">
        <f aca="false">IF(BG4435=0,"",IF(BG4435&lt;&gt;BA4435,"erreur de calcul",IF(BD4435&lt;&gt;0,"pas de prix",IF(M4435&lt;&gt; 0,"pas de quantité","pas de prix, ni de quantité"))))</f>
        <v>erreur de calcul</v>
      </c>
      <c r="BI4435" s="19"/>
    </row>
    <row r="4436" customFormat="false" ht="15" hidden="false" customHeight="false" outlineLevel="0" collapsed="false">
      <c r="A4436" s="0" t="n">
        <v>14</v>
      </c>
      <c r="B4436" s="8" t="s">
        <v>24</v>
      </c>
      <c r="C4436" s="9" t="s">
        <v>25</v>
      </c>
      <c r="D4436" s="9" t="s">
        <v>26</v>
      </c>
      <c r="E4436" s="10" t="n">
        <v>1789</v>
      </c>
      <c r="F4436" s="9" t="s">
        <v>27</v>
      </c>
      <c r="G4436" s="9" t="s">
        <v>27</v>
      </c>
      <c r="H4436" s="11" t="n">
        <v>24</v>
      </c>
      <c r="I4436" s="11" t="s">
        <v>303</v>
      </c>
      <c r="J4436" s="14" t="n">
        <v>50</v>
      </c>
      <c r="K4436" s="14"/>
      <c r="L4436" s="16"/>
      <c r="M4436" s="27" t="n">
        <f aca="false">J4436+(K4436/20)+(L4436/240)</f>
        <v>50</v>
      </c>
      <c r="N4436" s="17" t="s">
        <v>64</v>
      </c>
      <c r="O4436" s="11"/>
      <c r="P4436" s="28"/>
      <c r="Q4436" s="28" t="n">
        <f aca="false">P4436*$M4436</f>
        <v>0</v>
      </c>
      <c r="R4436" s="28"/>
      <c r="S4436" s="28" t="n">
        <f aca="false">R4436*$M4436</f>
        <v>0</v>
      </c>
      <c r="T4436" s="28"/>
      <c r="U4436" s="28" t="n">
        <f aca="false">T4436*$M4436</f>
        <v>0</v>
      </c>
      <c r="V4436" s="28"/>
      <c r="W4436" s="28" t="n">
        <f aca="false">V4436*$M4436</f>
        <v>0</v>
      </c>
      <c r="X4436" s="28"/>
      <c r="Y4436" s="28" t="n">
        <f aca="false">X4436*$M4436</f>
        <v>0</v>
      </c>
      <c r="Z4436" s="28"/>
      <c r="AA4436" s="28" t="n">
        <f aca="false">Z4436*$M4436</f>
        <v>0</v>
      </c>
      <c r="AB4436" s="28"/>
      <c r="AC4436" s="28" t="n">
        <f aca="false">AB4436*$M4436</f>
        <v>0</v>
      </c>
      <c r="AD4436" s="28"/>
      <c r="AE4436" s="28" t="n">
        <f aca="false">AD4436*$M4436</f>
        <v>0</v>
      </c>
      <c r="AF4436" s="28" t="n">
        <f aca="false">208461/100</f>
        <v>2084.61</v>
      </c>
      <c r="AG4436" s="28" t="n">
        <v>104230</v>
      </c>
      <c r="AH4436" s="28" t="n">
        <f aca="false">757624/100</f>
        <v>7576.24</v>
      </c>
      <c r="AI4436" s="28" t="n">
        <v>378812</v>
      </c>
      <c r="AJ4436" s="28"/>
      <c r="AK4436" s="28" t="n">
        <f aca="false">AJ4436*$M4436</f>
        <v>0</v>
      </c>
      <c r="AL4436" s="28"/>
      <c r="AM4436" s="28" t="n">
        <f aca="false">AL4436*$M4436</f>
        <v>0</v>
      </c>
      <c r="AN4436" s="28"/>
      <c r="AO4436" s="28" t="n">
        <f aca="false">AN4436*$M4436</f>
        <v>0</v>
      </c>
      <c r="AP4436" s="28"/>
      <c r="AQ4436" s="28" t="n">
        <f aca="false">AP4436*$M4436</f>
        <v>0</v>
      </c>
      <c r="AR4436" s="28"/>
      <c r="AS4436" s="28" t="n">
        <f aca="false">AR4436*$M4436</f>
        <v>0</v>
      </c>
      <c r="AT4436" s="28"/>
      <c r="AU4436" s="28" t="n">
        <f aca="false">AT4436*$M4436</f>
        <v>0</v>
      </c>
      <c r="AV4436" s="28"/>
      <c r="AW4436" s="28" t="n">
        <f aca="false">AV4436*$M4436</f>
        <v>0</v>
      </c>
      <c r="AX4436" s="28"/>
      <c r="AY4436" s="28" t="n">
        <f aca="false">AX4436*$M4436</f>
        <v>0</v>
      </c>
      <c r="AZ4436" s="30" t="n">
        <f aca="false">966085/100</f>
        <v>9660.85</v>
      </c>
      <c r="BA4436" s="11" t="n">
        <v>483042</v>
      </c>
      <c r="BB4436" s="31" t="n">
        <f aca="false">SUM(Q4436,S4436,U4436,W4436,Y4436,AA4436,AC4436,AE4436,AG4436,AI4436,AK4436,AM4436,AO4436,AQ4436,AS4436,AU4436,AW4436,AY4436)</f>
        <v>483042</v>
      </c>
      <c r="BC4436" s="28" t="n">
        <f aca="false">BA4436-BB4436</f>
        <v>0</v>
      </c>
      <c r="BD4436" s="32" t="n">
        <f aca="false">SUM(P4436,R4436,T4436,V4436,X4436,Z4436,AB4436,AD4436,AF4436,AH4436,AJ4436,AL4436,AN4436,AP4436,AR4436,AT4436,AV4436,AX4436)</f>
        <v>9660.85</v>
      </c>
      <c r="BE4436" s="33" t="n">
        <f aca="false">AZ4436-BD4436</f>
        <v>0</v>
      </c>
      <c r="BF4436" s="34" t="n">
        <f aca="false">BD4436*M4436</f>
        <v>483042.5</v>
      </c>
      <c r="BG4436" s="35" t="n">
        <f aca="false">BA4436-BF4436</f>
        <v>-0.5</v>
      </c>
      <c r="BH4436" s="19" t="str">
        <f aca="false">IF(BG4436=0,"",IF(BG4436&lt;&gt;BA4436,"erreur de calcul",IF(BD4436&lt;&gt;0,"pas de prix",IF(M4436&lt;&gt; 0,"pas de quantité","pas de prix, ni de quantité"))))</f>
        <v>erreur de calcul</v>
      </c>
      <c r="BI4436" s="19"/>
    </row>
    <row r="4437" customFormat="false" ht="15" hidden="false" customHeight="false" outlineLevel="0" collapsed="false">
      <c r="A4437" s="0" t="n">
        <v>15</v>
      </c>
      <c r="B4437" s="8" t="s">
        <v>24</v>
      </c>
      <c r="C4437" s="9" t="s">
        <v>25</v>
      </c>
      <c r="D4437" s="9" t="s">
        <v>26</v>
      </c>
      <c r="E4437" s="10" t="n">
        <v>1789</v>
      </c>
      <c r="F4437" s="9" t="s">
        <v>27</v>
      </c>
      <c r="G4437" s="9" t="s">
        <v>27</v>
      </c>
      <c r="H4437" s="11" t="n">
        <v>24</v>
      </c>
      <c r="I4437" s="11" t="s">
        <v>304</v>
      </c>
      <c r="J4437" s="14" t="n">
        <v>340</v>
      </c>
      <c r="K4437" s="14"/>
      <c r="L4437" s="16"/>
      <c r="M4437" s="27" t="n">
        <f aca="false">J4437+(K4437/20)+(L4437/240)</f>
        <v>340</v>
      </c>
      <c r="N4437" s="17" t="s">
        <v>64</v>
      </c>
      <c r="O4437" s="11"/>
      <c r="P4437" s="28"/>
      <c r="Q4437" s="28" t="n">
        <f aca="false">P4437*$M4437</f>
        <v>0</v>
      </c>
      <c r="R4437" s="28"/>
      <c r="S4437" s="28" t="n">
        <f aca="false">R4437*$M4437</f>
        <v>0</v>
      </c>
      <c r="T4437" s="28"/>
      <c r="U4437" s="28" t="n">
        <f aca="false">T4437*$M4437</f>
        <v>0</v>
      </c>
      <c r="V4437" s="28"/>
      <c r="W4437" s="28" t="n">
        <f aca="false">V4437*$M4437</f>
        <v>0</v>
      </c>
      <c r="X4437" s="28"/>
      <c r="Y4437" s="28" t="n">
        <f aca="false">X4437*$M4437</f>
        <v>0</v>
      </c>
      <c r="Z4437" s="28"/>
      <c r="AA4437" s="28" t="n">
        <f aca="false">Z4437*$M4437</f>
        <v>0</v>
      </c>
      <c r="AB4437" s="28" t="n">
        <f aca="false">339883/100</f>
        <v>3398.83</v>
      </c>
      <c r="AC4437" s="28" t="n">
        <v>1155602</v>
      </c>
      <c r="AD4437" s="28"/>
      <c r="AE4437" s="28" t="n">
        <f aca="false">AD4437*$M4437</f>
        <v>0</v>
      </c>
      <c r="AF4437" s="28"/>
      <c r="AG4437" s="28" t="n">
        <f aca="false">AF4437*$M4437</f>
        <v>0</v>
      </c>
      <c r="AH4437" s="28"/>
      <c r="AI4437" s="28" t="n">
        <f aca="false">AH4437*$M4437</f>
        <v>0</v>
      </c>
      <c r="AJ4437" s="28"/>
      <c r="AK4437" s="28" t="n">
        <f aca="false">AJ4437*$M4437</f>
        <v>0</v>
      </c>
      <c r="AL4437" s="28"/>
      <c r="AM4437" s="28" t="n">
        <f aca="false">AL4437*$M4437</f>
        <v>0</v>
      </c>
      <c r="AN4437" s="28"/>
      <c r="AO4437" s="28" t="n">
        <f aca="false">AN4437*$M4437</f>
        <v>0</v>
      </c>
      <c r="AP4437" s="28"/>
      <c r="AQ4437" s="28" t="n">
        <f aca="false">AP4437*$M4437</f>
        <v>0</v>
      </c>
      <c r="AR4437" s="28"/>
      <c r="AS4437" s="28" t="n">
        <f aca="false">AR4437*$M4437</f>
        <v>0</v>
      </c>
      <c r="AT4437" s="28"/>
      <c r="AU4437" s="28" t="n">
        <f aca="false">AT4437*$M4437</f>
        <v>0</v>
      </c>
      <c r="AV4437" s="28"/>
      <c r="AW4437" s="28" t="n">
        <f aca="false">AV4437*$M4437</f>
        <v>0</v>
      </c>
      <c r="AX4437" s="28"/>
      <c r="AY4437" s="28" t="n">
        <f aca="false">AX4437*$M4437</f>
        <v>0</v>
      </c>
      <c r="AZ4437" s="30" t="n">
        <f aca="false">339883/100</f>
        <v>3398.83</v>
      </c>
      <c r="BA4437" s="11" t="n">
        <v>1155602</v>
      </c>
      <c r="BB4437" s="31" t="n">
        <f aca="false">SUM(Q4437,S4437,U4437,W4437,Y4437,AA4437,AC4437,AE4437,AG4437,AI4437,AK4437,AM4437,AO4437,AQ4437,AS4437,AU4437,AW4437,AY4437)</f>
        <v>1155602</v>
      </c>
      <c r="BC4437" s="28" t="n">
        <f aca="false">BA4437-BB4437</f>
        <v>0</v>
      </c>
      <c r="BD4437" s="32" t="n">
        <f aca="false">SUM(P4437,R4437,T4437,V4437,X4437,Z4437,AB4437,AD4437,AF4437,AH4437,AJ4437,AL4437,AN4437,AP4437,AR4437,AT4437,AV4437,AX4437)</f>
        <v>3398.83</v>
      </c>
      <c r="BE4437" s="33" t="n">
        <f aca="false">AZ4437-BD4437</f>
        <v>0</v>
      </c>
      <c r="BF4437" s="34" t="n">
        <f aca="false">BD4437*M4437</f>
        <v>1155602.2</v>
      </c>
      <c r="BG4437" s="35" t="n">
        <f aca="false">BA4437-BF4437</f>
        <v>-0.199999999953434</v>
      </c>
      <c r="BH4437" s="19" t="str">
        <f aca="false">IF(BG4437=0,"",IF(BG4437&lt;&gt;BA4437,"erreur de calcul",IF(BD4437&lt;&gt;0,"pas de prix",IF(M4437&lt;&gt; 0,"pas de quantité","pas de prix, ni de quantité"))))</f>
        <v>erreur de calcul</v>
      </c>
      <c r="BI4437" s="19"/>
    </row>
    <row r="4438" customFormat="false" ht="15" hidden="false" customHeight="false" outlineLevel="0" collapsed="false">
      <c r="A4438" s="0" t="n">
        <v>16</v>
      </c>
      <c r="B4438" s="8" t="s">
        <v>24</v>
      </c>
      <c r="C4438" s="9" t="s">
        <v>25</v>
      </c>
      <c r="D4438" s="9" t="s">
        <v>26</v>
      </c>
      <c r="E4438" s="10" t="n">
        <v>1789</v>
      </c>
      <c r="F4438" s="9" t="s">
        <v>27</v>
      </c>
      <c r="G4438" s="9" t="s">
        <v>27</v>
      </c>
      <c r="H4438" s="11" t="n">
        <v>24</v>
      </c>
      <c r="I4438" s="11" t="s">
        <v>305</v>
      </c>
      <c r="J4438" s="14" t="n">
        <v>235</v>
      </c>
      <c r="K4438" s="14"/>
      <c r="L4438" s="16"/>
      <c r="M4438" s="27" t="n">
        <f aca="false">J4438+(K4438/20)+(L4438/240)</f>
        <v>235</v>
      </c>
      <c r="N4438" s="17" t="s">
        <v>64</v>
      </c>
      <c r="O4438" s="11"/>
      <c r="P4438" s="28" t="n">
        <f aca="false">34642/100</f>
        <v>346.42</v>
      </c>
      <c r="Q4438" s="28" t="n">
        <v>81409</v>
      </c>
      <c r="R4438" s="28"/>
      <c r="S4438" s="28" t="n">
        <f aca="false">R4438*$M4438</f>
        <v>0</v>
      </c>
      <c r="T4438" s="28"/>
      <c r="U4438" s="28" t="n">
        <f aca="false">T4438*$M4438</f>
        <v>0</v>
      </c>
      <c r="V4438" s="28"/>
      <c r="W4438" s="28" t="n">
        <f aca="false">V4438*$M4438</f>
        <v>0</v>
      </c>
      <c r="X4438" s="28"/>
      <c r="Y4438" s="28" t="n">
        <f aca="false">X4438*$M4438</f>
        <v>0</v>
      </c>
      <c r="Z4438" s="28"/>
      <c r="AA4438" s="28" t="n">
        <f aca="false">Z4438*$M4438</f>
        <v>0</v>
      </c>
      <c r="AB4438" s="28"/>
      <c r="AC4438" s="28" t="n">
        <f aca="false">AB4438*$M4438</f>
        <v>0</v>
      </c>
      <c r="AD4438" s="28"/>
      <c r="AE4438" s="28" t="n">
        <f aca="false">AD4438*$M4438</f>
        <v>0</v>
      </c>
      <c r="AF4438" s="28"/>
      <c r="AG4438" s="28" t="n">
        <f aca="false">AF4438*$M4438</f>
        <v>0</v>
      </c>
      <c r="AH4438" s="28"/>
      <c r="AI4438" s="28" t="n">
        <f aca="false">AH4438*$M4438</f>
        <v>0</v>
      </c>
      <c r="AJ4438" s="28"/>
      <c r="AK4438" s="28" t="n">
        <f aca="false">AJ4438*$M4438</f>
        <v>0</v>
      </c>
      <c r="AL4438" s="28"/>
      <c r="AM4438" s="28" t="n">
        <f aca="false">AL4438*$M4438</f>
        <v>0</v>
      </c>
      <c r="AN4438" s="28"/>
      <c r="AO4438" s="28" t="n">
        <f aca="false">AN4438*$M4438</f>
        <v>0</v>
      </c>
      <c r="AP4438" s="28"/>
      <c r="AQ4438" s="28" t="n">
        <f aca="false">AP4438*$M4438</f>
        <v>0</v>
      </c>
      <c r="AR4438" s="28"/>
      <c r="AS4438" s="28" t="n">
        <f aca="false">AR4438*$M4438</f>
        <v>0</v>
      </c>
      <c r="AT4438" s="28"/>
      <c r="AU4438" s="28" t="n">
        <f aca="false">AT4438*$M4438</f>
        <v>0</v>
      </c>
      <c r="AV4438" s="28"/>
      <c r="AW4438" s="28" t="n">
        <f aca="false">AV4438*$M4438</f>
        <v>0</v>
      </c>
      <c r="AX4438" s="28"/>
      <c r="AY4438" s="28" t="n">
        <f aca="false">AX4438*$M4438</f>
        <v>0</v>
      </c>
      <c r="AZ4438" s="30" t="n">
        <f aca="false">34642/100</f>
        <v>346.42</v>
      </c>
      <c r="BA4438" s="11" t="n">
        <v>81409</v>
      </c>
      <c r="BB4438" s="31" t="n">
        <f aca="false">SUM(Q4438,S4438,U4438,W4438,Y4438,AA4438,AC4438,AE4438,AG4438,AI4438,AK4438,AM4438,AO4438,AQ4438,AS4438,AU4438,AW4438,AY4438)</f>
        <v>81409</v>
      </c>
      <c r="BC4438" s="28" t="n">
        <f aca="false">BA4438-BB4438</f>
        <v>0</v>
      </c>
      <c r="BD4438" s="32" t="n">
        <f aca="false">SUM(P4438,R4438,T4438,V4438,X4438,Z4438,AB4438,AD4438,AF4438,AH4438,AJ4438,AL4438,AN4438,AP4438,AR4438,AT4438,AV4438,AX4438)</f>
        <v>346.42</v>
      </c>
      <c r="BE4438" s="33" t="n">
        <f aca="false">AZ4438-BD4438</f>
        <v>0</v>
      </c>
      <c r="BF4438" s="34" t="n">
        <f aca="false">BD4438*M4438</f>
        <v>81408.7</v>
      </c>
      <c r="BG4438" s="35" t="n">
        <f aca="false">BA4438-BF4438</f>
        <v>0.30000000000291</v>
      </c>
      <c r="BH4438" s="19" t="str">
        <f aca="false">IF(BG4438=0,"",IF(BG4438&lt;&gt;BA4438,"erreur de calcul",IF(BD4438&lt;&gt;0,"pas de prix",IF(M4438&lt;&gt; 0,"pas de quantité","pas de prix, ni de quantité"))))</f>
        <v>erreur de calcul</v>
      </c>
      <c r="BI4438" s="19"/>
    </row>
    <row r="4439" customFormat="false" ht="15" hidden="false" customHeight="false" outlineLevel="0" collapsed="false">
      <c r="A4439" s="0" t="n">
        <v>17</v>
      </c>
      <c r="B4439" s="8" t="s">
        <v>24</v>
      </c>
      <c r="C4439" s="9" t="s">
        <v>25</v>
      </c>
      <c r="D4439" s="9" t="s">
        <v>26</v>
      </c>
      <c r="E4439" s="10" t="n">
        <v>1789</v>
      </c>
      <c r="F4439" s="9" t="s">
        <v>27</v>
      </c>
      <c r="G4439" s="9" t="s">
        <v>27</v>
      </c>
      <c r="H4439" s="11" t="n">
        <v>24</v>
      </c>
      <c r="I4439" s="11" t="s">
        <v>306</v>
      </c>
      <c r="J4439" s="14" t="n">
        <v>71</v>
      </c>
      <c r="K4439" s="14"/>
      <c r="L4439" s="16"/>
      <c r="M4439" s="27" t="n">
        <f aca="false">J4439+(K4439/20)+(L4439/240)</f>
        <v>71</v>
      </c>
      <c r="N4439" s="17" t="s">
        <v>64</v>
      </c>
      <c r="O4439" s="11"/>
      <c r="P4439" s="28"/>
      <c r="Q4439" s="28" t="n">
        <f aca="false">P4439*$M4439</f>
        <v>0</v>
      </c>
      <c r="R4439" s="28"/>
      <c r="S4439" s="28" t="n">
        <f aca="false">R4439*$M4439</f>
        <v>0</v>
      </c>
      <c r="T4439" s="28" t="n">
        <f aca="false">12674/100</f>
        <v>126.74</v>
      </c>
      <c r="U4439" s="28" t="n">
        <v>8998</v>
      </c>
      <c r="V4439" s="28"/>
      <c r="W4439" s="28" t="n">
        <f aca="false">V4439*$M4439</f>
        <v>0</v>
      </c>
      <c r="X4439" s="28"/>
      <c r="Y4439" s="28" t="n">
        <f aca="false">X4439*$M4439</f>
        <v>0</v>
      </c>
      <c r="Z4439" s="28"/>
      <c r="AA4439" s="28" t="n">
        <f aca="false">Z4439*$M4439</f>
        <v>0</v>
      </c>
      <c r="AB4439" s="28"/>
      <c r="AC4439" s="28" t="n">
        <f aca="false">AB4439*$M4439</f>
        <v>0</v>
      </c>
      <c r="AD4439" s="28" t="n">
        <f aca="false">4283/100</f>
        <v>42.83</v>
      </c>
      <c r="AE4439" s="28" t="n">
        <v>3041</v>
      </c>
      <c r="AF4439" s="28" t="n">
        <f aca="false">2978140/100</f>
        <v>29781.4</v>
      </c>
      <c r="AG4439" s="28" t="n">
        <v>2114479</v>
      </c>
      <c r="AH4439" s="28" t="n">
        <f aca="false">4119032/100</f>
        <v>41190.32</v>
      </c>
      <c r="AI4439" s="28" t="n">
        <v>2924512</v>
      </c>
      <c r="AJ4439" s="28"/>
      <c r="AK4439" s="28" t="n">
        <f aca="false">AJ4439*$M4439</f>
        <v>0</v>
      </c>
      <c r="AL4439" s="28"/>
      <c r="AM4439" s="28" t="n">
        <f aca="false">AL4439*$M4439</f>
        <v>0</v>
      </c>
      <c r="AN4439" s="28"/>
      <c r="AO4439" s="28" t="n">
        <f aca="false">AN4439*$M4439</f>
        <v>0</v>
      </c>
      <c r="AP4439" s="28"/>
      <c r="AQ4439" s="28" t="n">
        <f aca="false">AP4439*$M4439</f>
        <v>0</v>
      </c>
      <c r="AR4439" s="28"/>
      <c r="AS4439" s="28" t="n">
        <f aca="false">AR4439*$M4439</f>
        <v>0</v>
      </c>
      <c r="AT4439" s="28"/>
      <c r="AU4439" s="28" t="n">
        <f aca="false">AT4439*$M4439</f>
        <v>0</v>
      </c>
      <c r="AV4439" s="28"/>
      <c r="AW4439" s="28" t="n">
        <f aca="false">AV4439*$M4439</f>
        <v>0</v>
      </c>
      <c r="AX4439" s="28"/>
      <c r="AY4439" s="28" t="n">
        <f aca="false">AX4439*$M4439</f>
        <v>0</v>
      </c>
      <c r="AZ4439" s="30" t="n">
        <f aca="false">7114129/100</f>
        <v>71141.29</v>
      </c>
      <c r="BA4439" s="11" t="n">
        <v>5051030</v>
      </c>
      <c r="BB4439" s="31" t="n">
        <f aca="false">SUM(Q4439,S4439,U4439,W4439,Y4439,AA4439,AC4439,AE4439,AG4439,AI4439,AK4439,AM4439,AO4439,AQ4439,AS4439,AU4439,AW4439,AY4439)</f>
        <v>5051030</v>
      </c>
      <c r="BC4439" s="28" t="n">
        <f aca="false">BA4439-BB4439</f>
        <v>0</v>
      </c>
      <c r="BD4439" s="32" t="n">
        <f aca="false">SUM(P4439,R4439,T4439,V4439,X4439,Z4439,AB4439,AD4439,AF4439,AH4439,AJ4439,AL4439,AN4439,AP4439,AR4439,AT4439,AV4439,AX4439)</f>
        <v>71141.29</v>
      </c>
      <c r="BE4439" s="33" t="n">
        <f aca="false">AZ4439-BD4439</f>
        <v>0</v>
      </c>
      <c r="BF4439" s="34" t="n">
        <f aca="false">BD4439*M4439</f>
        <v>5051031.59</v>
      </c>
      <c r="BG4439" s="35" t="n">
        <f aca="false">BA4439-BF4439</f>
        <v>-1.59000000078231</v>
      </c>
      <c r="BH4439" s="19" t="str">
        <f aca="false">IF(BG4439=0,"",IF(BG4439&lt;&gt;BA4439,"erreur de calcul",IF(BD4439&lt;&gt;0,"pas de prix",IF(M4439&lt;&gt; 0,"pas de quantité","pas de prix, ni de quantité"))))</f>
        <v>erreur de calcul</v>
      </c>
      <c r="BI4439" s="19"/>
    </row>
    <row r="4440" customFormat="false" ht="15" hidden="false" customHeight="false" outlineLevel="0" collapsed="false">
      <c r="A4440" s="0" t="n">
        <v>18</v>
      </c>
      <c r="B4440" s="8" t="s">
        <v>24</v>
      </c>
      <c r="C4440" s="9" t="s">
        <v>25</v>
      </c>
      <c r="D4440" s="9" t="s">
        <v>26</v>
      </c>
      <c r="E4440" s="10" t="n">
        <v>1789</v>
      </c>
      <c r="F4440" s="9" t="s">
        <v>27</v>
      </c>
      <c r="G4440" s="9" t="s">
        <v>27</v>
      </c>
      <c r="H4440" s="11" t="n">
        <v>24</v>
      </c>
      <c r="I4440" s="11" t="s">
        <v>307</v>
      </c>
      <c r="J4440" s="14" t="n">
        <v>45</v>
      </c>
      <c r="K4440" s="14"/>
      <c r="L4440" s="16"/>
      <c r="M4440" s="27" t="n">
        <f aca="false">J4440+(K4440/20)+(L4440/240)</f>
        <v>45</v>
      </c>
      <c r="N4440" s="17" t="s">
        <v>64</v>
      </c>
      <c r="O4440" s="11"/>
      <c r="P4440" s="28"/>
      <c r="Q4440" s="28" t="n">
        <f aca="false">P4440*$M4440</f>
        <v>0</v>
      </c>
      <c r="R4440" s="28"/>
      <c r="S4440" s="28" t="n">
        <f aca="false">R4440*$M4440</f>
        <v>0</v>
      </c>
      <c r="T4440" s="28"/>
      <c r="U4440" s="28" t="n">
        <f aca="false">T4440*$M4440</f>
        <v>0</v>
      </c>
      <c r="V4440" s="28"/>
      <c r="W4440" s="28" t="n">
        <f aca="false">V4440*$M4440</f>
        <v>0</v>
      </c>
      <c r="X4440" s="28"/>
      <c r="Y4440" s="28" t="n">
        <f aca="false">X4440*$M4440</f>
        <v>0</v>
      </c>
      <c r="Z4440" s="28"/>
      <c r="AA4440" s="28" t="n">
        <f aca="false">Z4440*$M4440</f>
        <v>0</v>
      </c>
      <c r="AB4440" s="28"/>
      <c r="AC4440" s="28" t="n">
        <f aca="false">AB4440*$M4440</f>
        <v>0</v>
      </c>
      <c r="AD4440" s="28"/>
      <c r="AE4440" s="28" t="n">
        <f aca="false">AD4440*$M4440</f>
        <v>0</v>
      </c>
      <c r="AF4440" s="28"/>
      <c r="AG4440" s="28" t="n">
        <f aca="false">AF4440*$M4440</f>
        <v>0</v>
      </c>
      <c r="AH4440" s="28"/>
      <c r="AI4440" s="28" t="n">
        <f aca="false">AH4440*$M4440</f>
        <v>0</v>
      </c>
      <c r="AJ4440" s="28"/>
      <c r="AK4440" s="28" t="n">
        <f aca="false">AJ4440*$M4440</f>
        <v>0</v>
      </c>
      <c r="AL4440" s="28" t="n">
        <f aca="false">971/100</f>
        <v>9.71</v>
      </c>
      <c r="AM4440" s="28" t="n">
        <v>437</v>
      </c>
      <c r="AN4440" s="28"/>
      <c r="AO4440" s="28" t="n">
        <f aca="false">AN4440*$M4440</f>
        <v>0</v>
      </c>
      <c r="AP4440" s="28"/>
      <c r="AQ4440" s="28" t="n">
        <f aca="false">AP4440*$M4440</f>
        <v>0</v>
      </c>
      <c r="AR4440" s="28"/>
      <c r="AS4440" s="28" t="n">
        <f aca="false">AR4440*$M4440</f>
        <v>0</v>
      </c>
      <c r="AT4440" s="28"/>
      <c r="AU4440" s="28" t="n">
        <f aca="false">AT4440*$M4440</f>
        <v>0</v>
      </c>
      <c r="AV4440" s="28"/>
      <c r="AW4440" s="28" t="n">
        <f aca="false">AV4440*$M4440</f>
        <v>0</v>
      </c>
      <c r="AX4440" s="28"/>
      <c r="AY4440" s="28" t="n">
        <f aca="false">AX4440*$M4440</f>
        <v>0</v>
      </c>
      <c r="AZ4440" s="30" t="n">
        <f aca="false">971/100</f>
        <v>9.71</v>
      </c>
      <c r="BA4440" s="11" t="n">
        <v>437</v>
      </c>
      <c r="BB4440" s="31" t="n">
        <f aca="false">SUM(Q4440,S4440,U4440,W4440,Y4440,AA4440,AC4440,AE4440,AG4440,AI4440,AK4440,AM4440,AO4440,AQ4440,AS4440,AU4440,AW4440,AY4440)</f>
        <v>437</v>
      </c>
      <c r="BC4440" s="28" t="n">
        <f aca="false">BA4440-BB4440</f>
        <v>0</v>
      </c>
      <c r="BD4440" s="32" t="n">
        <f aca="false">SUM(P4440,R4440,T4440,V4440,X4440,Z4440,AB4440,AD4440,AF4440,AH4440,AJ4440,AL4440,AN4440,AP4440,AR4440,AT4440,AV4440,AX4440)</f>
        <v>9.71</v>
      </c>
      <c r="BE4440" s="33" t="n">
        <f aca="false">AZ4440-BD4440</f>
        <v>0</v>
      </c>
      <c r="BF4440" s="34" t="n">
        <f aca="false">BD4440*M4440</f>
        <v>436.95</v>
      </c>
      <c r="BG4440" s="35" t="n">
        <f aca="false">BA4440-BF4440</f>
        <v>0.0499999999999545</v>
      </c>
      <c r="BH4440" s="19" t="str">
        <f aca="false">IF(BG4440=0,"",IF(BG4440&lt;&gt;BA4440,"erreur de calcul",IF(BD4440&lt;&gt;0,"pas de prix",IF(M4440&lt;&gt; 0,"pas de quantité","pas de prix, ni de quantité"))))</f>
        <v>erreur de calcul</v>
      </c>
      <c r="BI4440" s="19"/>
    </row>
    <row r="4441" customFormat="false" ht="15" hidden="false" customHeight="false" outlineLevel="0" collapsed="false">
      <c r="A4441" s="0" t="n">
        <v>19</v>
      </c>
      <c r="B4441" s="8" t="s">
        <v>24</v>
      </c>
      <c r="C4441" s="9" t="s">
        <v>25</v>
      </c>
      <c r="D4441" s="9" t="s">
        <v>26</v>
      </c>
      <c r="E4441" s="10" t="n">
        <v>1789</v>
      </c>
      <c r="F4441" s="9" t="s">
        <v>27</v>
      </c>
      <c r="G4441" s="9" t="s">
        <v>27</v>
      </c>
      <c r="H4441" s="11" t="n">
        <v>24</v>
      </c>
      <c r="I4441" s="11" t="s">
        <v>308</v>
      </c>
      <c r="J4441" s="14" t="n">
        <v>240</v>
      </c>
      <c r="K4441" s="14"/>
      <c r="L4441" s="16"/>
      <c r="M4441" s="27" t="n">
        <f aca="false">J4441+(K4441/20)+(L4441/240)</f>
        <v>240</v>
      </c>
      <c r="N4441" s="17" t="s">
        <v>64</v>
      </c>
      <c r="O4441" s="11"/>
      <c r="P4441" s="28"/>
      <c r="Q4441" s="28" t="n">
        <f aca="false">P4441*$M4441</f>
        <v>0</v>
      </c>
      <c r="R4441" s="28"/>
      <c r="S4441" s="28" t="n">
        <f aca="false">R4441*$M4441</f>
        <v>0</v>
      </c>
      <c r="T4441" s="28"/>
      <c r="U4441" s="28" t="n">
        <f aca="false">T4441*$M4441</f>
        <v>0</v>
      </c>
      <c r="V4441" s="28"/>
      <c r="W4441" s="28" t="n">
        <f aca="false">V4441*$M4441</f>
        <v>0</v>
      </c>
      <c r="X4441" s="28"/>
      <c r="Y4441" s="28" t="n">
        <f aca="false">X4441*$M4441</f>
        <v>0</v>
      </c>
      <c r="Z4441" s="28"/>
      <c r="AA4441" s="28" t="n">
        <f aca="false">Z4441*$M4441</f>
        <v>0</v>
      </c>
      <c r="AB4441" s="28"/>
      <c r="AC4441" s="28" t="n">
        <f aca="false">AB4441*$M4441</f>
        <v>0</v>
      </c>
      <c r="AD4441" s="28"/>
      <c r="AE4441" s="28" t="n">
        <f aca="false">AD4441*$M4441</f>
        <v>0</v>
      </c>
      <c r="AF4441" s="28"/>
      <c r="AG4441" s="28" t="n">
        <f aca="false">AF4441*$M4441</f>
        <v>0</v>
      </c>
      <c r="AH4441" s="28"/>
      <c r="AI4441" s="28" t="n">
        <f aca="false">AH4441*$M4441</f>
        <v>0</v>
      </c>
      <c r="AJ4441" s="28" t="n">
        <f aca="false">2173/100</f>
        <v>21.73</v>
      </c>
      <c r="AK4441" s="28" t="n">
        <v>5215</v>
      </c>
      <c r="AL4441" s="28"/>
      <c r="AM4441" s="28" t="n">
        <f aca="false">AL4441*$M4441</f>
        <v>0</v>
      </c>
      <c r="AN4441" s="28"/>
      <c r="AO4441" s="28" t="n">
        <f aca="false">AN4441*$M4441</f>
        <v>0</v>
      </c>
      <c r="AP4441" s="28"/>
      <c r="AQ4441" s="28" t="n">
        <f aca="false">AP4441*$M4441</f>
        <v>0</v>
      </c>
      <c r="AR4441" s="28"/>
      <c r="AS4441" s="28" t="n">
        <f aca="false">AR4441*$M4441</f>
        <v>0</v>
      </c>
      <c r="AT4441" s="28"/>
      <c r="AU4441" s="28" t="n">
        <f aca="false">AT4441*$M4441</f>
        <v>0</v>
      </c>
      <c r="AV4441" s="28"/>
      <c r="AW4441" s="28" t="n">
        <f aca="false">AV4441*$M4441</f>
        <v>0</v>
      </c>
      <c r="AX4441" s="28"/>
      <c r="AY4441" s="28" t="n">
        <f aca="false">AX4441*$M4441</f>
        <v>0</v>
      </c>
      <c r="AZ4441" s="30" t="n">
        <f aca="false">2173/100</f>
        <v>21.73</v>
      </c>
      <c r="BA4441" s="11" t="n">
        <v>5215</v>
      </c>
      <c r="BB4441" s="31" t="n">
        <f aca="false">SUM(Q4441,S4441,U4441,W4441,Y4441,AA4441,AC4441,AE4441,AG4441,AI4441,AK4441,AM4441,AO4441,AQ4441,AS4441,AU4441,AW4441,AY4441)</f>
        <v>5215</v>
      </c>
      <c r="BC4441" s="28" t="n">
        <f aca="false">BA4441-BB4441</f>
        <v>0</v>
      </c>
      <c r="BD4441" s="32" t="n">
        <f aca="false">SUM(P4441,R4441,T4441,V4441,X4441,Z4441,AB4441,AD4441,AF4441,AH4441,AJ4441,AL4441,AN4441,AP4441,AR4441,AT4441,AV4441,AX4441)</f>
        <v>21.73</v>
      </c>
      <c r="BE4441" s="33" t="n">
        <f aca="false">AZ4441-BD4441</f>
        <v>0</v>
      </c>
      <c r="BF4441" s="34" t="n">
        <f aca="false">BD4441*M4441</f>
        <v>5215.2</v>
      </c>
      <c r="BG4441" s="35" t="n">
        <f aca="false">BA4441-BF4441</f>
        <v>-0.199999999999818</v>
      </c>
      <c r="BH4441" s="19" t="str">
        <f aca="false">IF(BG4441=0,"",IF(BG4441&lt;&gt;BA4441,"erreur de calcul",IF(BD4441&lt;&gt;0,"pas de prix",IF(M4441&lt;&gt; 0,"pas de quantité","pas de prix, ni de quantité"))))</f>
        <v>erreur de calcul</v>
      </c>
      <c r="BI4441" s="19"/>
    </row>
    <row r="4442" customFormat="false" ht="15" hidden="false" customHeight="false" outlineLevel="0" collapsed="false">
      <c r="A4442" s="0" t="n">
        <v>20</v>
      </c>
      <c r="B4442" s="8" t="s">
        <v>24</v>
      </c>
      <c r="C4442" s="9" t="s">
        <v>25</v>
      </c>
      <c r="D4442" s="9" t="s">
        <v>26</v>
      </c>
      <c r="E4442" s="10" t="n">
        <v>1789</v>
      </c>
      <c r="F4442" s="9" t="s">
        <v>27</v>
      </c>
      <c r="G4442" s="9" t="s">
        <v>27</v>
      </c>
      <c r="H4442" s="11" t="n">
        <v>24</v>
      </c>
      <c r="I4442" s="11" t="s">
        <v>309</v>
      </c>
      <c r="J4442" s="14"/>
      <c r="K4442" s="14"/>
      <c r="L4442" s="16"/>
      <c r="M4442" s="27" t="n">
        <f aca="false">J4442+(K4442/20)+(L4442/240)</f>
        <v>0</v>
      </c>
      <c r="N4442" s="17"/>
      <c r="O4442" s="11"/>
      <c r="P4442" s="28"/>
      <c r="Q4442" s="28" t="n">
        <f aca="false">P4442*$M4442</f>
        <v>0</v>
      </c>
      <c r="R4442" s="28"/>
      <c r="S4442" s="28" t="n">
        <f aca="false">R4442*$M4442</f>
        <v>0</v>
      </c>
      <c r="T4442" s="28"/>
      <c r="U4442" s="28" t="n">
        <v>195</v>
      </c>
      <c r="V4442" s="28"/>
      <c r="W4442" s="28" t="n">
        <v>640</v>
      </c>
      <c r="X4442" s="28"/>
      <c r="Y4442" s="28" t="n">
        <f aca="false">X4442*$M4442</f>
        <v>0</v>
      </c>
      <c r="Z4442" s="28"/>
      <c r="AA4442" s="28" t="n">
        <f aca="false">Z4442*$M4442</f>
        <v>0</v>
      </c>
      <c r="AB4442" s="28"/>
      <c r="AC4442" s="28" t="n">
        <f aca="false">AB4442*$M4442</f>
        <v>0</v>
      </c>
      <c r="AD4442" s="28"/>
      <c r="AE4442" s="28" t="n">
        <f aca="false">AD4442*$M4442</f>
        <v>0</v>
      </c>
      <c r="AF4442" s="28"/>
      <c r="AG4442" s="28" t="n">
        <f aca="false">AF4442*$M4442</f>
        <v>0</v>
      </c>
      <c r="AH4442" s="28"/>
      <c r="AI4442" s="28" t="n">
        <v>121</v>
      </c>
      <c r="AJ4442" s="28"/>
      <c r="AK4442" s="28" t="n">
        <v>412</v>
      </c>
      <c r="AL4442" s="28"/>
      <c r="AM4442" s="28" t="n">
        <f aca="false">AL4442*$M4442</f>
        <v>0</v>
      </c>
      <c r="AN4442" s="28"/>
      <c r="AO4442" s="28" t="n">
        <f aca="false">AN4442*$M4442</f>
        <v>0</v>
      </c>
      <c r="AP4442" s="28"/>
      <c r="AQ4442" s="28" t="n">
        <f aca="false">AP4442*$M4442</f>
        <v>0</v>
      </c>
      <c r="AR4442" s="28"/>
      <c r="AS4442" s="28" t="n">
        <f aca="false">AR4442*$M4442</f>
        <v>0</v>
      </c>
      <c r="AT4442" s="28"/>
      <c r="AU4442" s="28" t="n">
        <f aca="false">AT4442*$M4442</f>
        <v>0</v>
      </c>
      <c r="AV4442" s="28"/>
      <c r="AW4442" s="28" t="n">
        <f aca="false">AV4442*$M4442</f>
        <v>0</v>
      </c>
      <c r="AX4442" s="28"/>
      <c r="AY4442" s="28" t="n">
        <f aca="false">AX4442*$M4442</f>
        <v>0</v>
      </c>
      <c r="AZ4442" s="30"/>
      <c r="BA4442" s="11" t="n">
        <v>1368</v>
      </c>
      <c r="BB4442" s="31" t="n">
        <f aca="false">SUM(Q4442,S4442,U4442,W4442,Y4442,AA4442,AC4442,AE4442,AG4442,AI4442,AK4442,AM4442,AO4442,AQ4442,AS4442,AU4442,AW4442,AY4442)</f>
        <v>1368</v>
      </c>
      <c r="BC4442" s="28" t="n">
        <f aca="false">BA4442-BB4442</f>
        <v>0</v>
      </c>
      <c r="BD4442" s="32" t="n">
        <f aca="false">SUM(P4442,R4442,T4442,V4442,X4442,Z4442,AB4442,AD4442,AF4442,AH4442,AJ4442,AL4442,AN4442,AP4442,AR4442,AT4442,AV4442,AX4442)</f>
        <v>0</v>
      </c>
      <c r="BE4442" s="33" t="n">
        <f aca="false">AZ4442-BD4442</f>
        <v>0</v>
      </c>
      <c r="BF4442" s="34" t="n">
        <f aca="false">BD4442*M4442</f>
        <v>0</v>
      </c>
      <c r="BG4442" s="35" t="n">
        <f aca="false">BA4442-BF4442</f>
        <v>1368</v>
      </c>
      <c r="BH4442" s="19" t="str">
        <f aca="false">IF(BG4442=0,"",IF(BG4442&lt;&gt;BA4442,"erreur de calcul",IF(BD4442&lt;&gt;0,"pas de prix",IF(M4442&lt;&gt; 0,"pas de quantité","pas de prix, ni de quantité"))))</f>
        <v>pas de prix, ni de quantité</v>
      </c>
      <c r="BI4442" s="19"/>
    </row>
    <row r="4443" customFormat="false" ht="15" hidden="false" customHeight="false" outlineLevel="0" collapsed="false">
      <c r="A4443" s="0" t="n">
        <v>21</v>
      </c>
      <c r="B4443" s="8" t="s">
        <v>24</v>
      </c>
      <c r="C4443" s="9" t="s">
        <v>25</v>
      </c>
      <c r="D4443" s="9" t="s">
        <v>26</v>
      </c>
      <c r="E4443" s="10" t="n">
        <v>1789</v>
      </c>
      <c r="F4443" s="9" t="s">
        <v>27</v>
      </c>
      <c r="G4443" s="9" t="s">
        <v>27</v>
      </c>
      <c r="H4443" s="11" t="n">
        <v>24</v>
      </c>
      <c r="I4443" s="11" t="s">
        <v>310</v>
      </c>
      <c r="J4443" s="14"/>
      <c r="K4443" s="14" t="n">
        <v>3</v>
      </c>
      <c r="L4443" s="16"/>
      <c r="M4443" s="27" t="n">
        <f aca="false">J4443+(K4443/20)+(L4443/240)</f>
        <v>0.15</v>
      </c>
      <c r="N4443" s="17" t="s">
        <v>311</v>
      </c>
      <c r="O4443" s="11"/>
      <c r="P4443" s="28"/>
      <c r="Q4443" s="28" t="n">
        <f aca="false">P4443*$M4443</f>
        <v>0</v>
      </c>
      <c r="R4443" s="28"/>
      <c r="S4443" s="28" t="n">
        <f aca="false">R4443*$M4443</f>
        <v>0</v>
      </c>
      <c r="T4443" s="28"/>
      <c r="U4443" s="28" t="n">
        <f aca="false">T4443*$M4443</f>
        <v>0</v>
      </c>
      <c r="V4443" s="28" t="n">
        <v>32065</v>
      </c>
      <c r="W4443" s="28" t="n">
        <v>4810</v>
      </c>
      <c r="X4443" s="28" t="n">
        <v>20652</v>
      </c>
      <c r="Y4443" s="28" t="n">
        <v>3098</v>
      </c>
      <c r="Z4443" s="28"/>
      <c r="AA4443" s="28" t="n">
        <f aca="false">Z4443*$M4443</f>
        <v>0</v>
      </c>
      <c r="AB4443" s="28"/>
      <c r="AC4443" s="28" t="n">
        <f aca="false">AB4443*$M4443</f>
        <v>0</v>
      </c>
      <c r="AD4443" s="28"/>
      <c r="AE4443" s="28" t="n">
        <f aca="false">AD4443*$M4443</f>
        <v>0</v>
      </c>
      <c r="AF4443" s="28"/>
      <c r="AG4443" s="28" t="n">
        <f aca="false">AF4443*$M4443</f>
        <v>0</v>
      </c>
      <c r="AH4443" s="28"/>
      <c r="AI4443" s="28" t="n">
        <f aca="false">AH4443*$M4443</f>
        <v>0</v>
      </c>
      <c r="AJ4443" s="28"/>
      <c r="AK4443" s="28" t="n">
        <f aca="false">AJ4443*$M4443</f>
        <v>0</v>
      </c>
      <c r="AL4443" s="28"/>
      <c r="AM4443" s="28" t="n">
        <f aca="false">AL4443*$M4443</f>
        <v>0</v>
      </c>
      <c r="AN4443" s="28"/>
      <c r="AO4443" s="28" t="n">
        <f aca="false">AN4443*$M4443</f>
        <v>0</v>
      </c>
      <c r="AP4443" s="28"/>
      <c r="AQ4443" s="28" t="n">
        <f aca="false">AP4443*$M4443</f>
        <v>0</v>
      </c>
      <c r="AR4443" s="28"/>
      <c r="AS4443" s="28" t="n">
        <f aca="false">AR4443*$M4443</f>
        <v>0</v>
      </c>
      <c r="AT4443" s="28"/>
      <c r="AU4443" s="28" t="n">
        <f aca="false">AT4443*$M4443</f>
        <v>0</v>
      </c>
      <c r="AV4443" s="28"/>
      <c r="AW4443" s="28" t="n">
        <f aca="false">AV4443*$M4443</f>
        <v>0</v>
      </c>
      <c r="AX4443" s="28"/>
      <c r="AY4443" s="28" t="n">
        <f aca="false">AX4443*$M4443</f>
        <v>0</v>
      </c>
      <c r="AZ4443" s="30" t="n">
        <v>52717</v>
      </c>
      <c r="BA4443" s="11" t="n">
        <v>7908</v>
      </c>
      <c r="BB4443" s="31" t="n">
        <f aca="false">SUM(Q4443,S4443,U4443,W4443,Y4443,AA4443,AC4443,AE4443,AG4443,AI4443,AK4443,AM4443,AO4443,AQ4443,AS4443,AU4443,AW4443,AY4443)</f>
        <v>7908</v>
      </c>
      <c r="BC4443" s="28" t="n">
        <f aca="false">BA4443-BB4443</f>
        <v>0</v>
      </c>
      <c r="BD4443" s="32" t="n">
        <f aca="false">SUM(P4443,R4443,T4443,V4443,X4443,Z4443,AB4443,AD4443,AF4443,AH4443,AJ4443,AL4443,AN4443,AP4443,AR4443,AT4443,AV4443,AX4443)</f>
        <v>52717</v>
      </c>
      <c r="BE4443" s="33" t="n">
        <f aca="false">AZ4443-BD4443</f>
        <v>0</v>
      </c>
      <c r="BF4443" s="34" t="n">
        <f aca="false">BD4443*M4443</f>
        <v>7907.55</v>
      </c>
      <c r="BG4443" s="35" t="n">
        <f aca="false">BA4443-BF4443</f>
        <v>0.450000000000728</v>
      </c>
      <c r="BH4443" s="19" t="str">
        <f aca="false">IF(BG4443=0,"",IF(BG4443&lt;&gt;BA4443,"erreur de calcul",IF(BD4443&lt;&gt;0,"pas de prix",IF(M4443&lt;&gt; 0,"pas de quantité","pas de prix, ni de quantité"))))</f>
        <v>erreur de calcul</v>
      </c>
      <c r="BI4443" s="19"/>
    </row>
    <row r="4444" customFormat="false" ht="15" hidden="false" customHeight="false" outlineLevel="0" collapsed="false">
      <c r="A4444" s="0" t="n">
        <v>22</v>
      </c>
      <c r="B4444" s="8" t="s">
        <v>24</v>
      </c>
      <c r="C4444" s="9" t="s">
        <v>25</v>
      </c>
      <c r="D4444" s="9" t="s">
        <v>26</v>
      </c>
      <c r="E4444" s="10" t="n">
        <v>1789</v>
      </c>
      <c r="F4444" s="9" t="s">
        <v>27</v>
      </c>
      <c r="G4444" s="9" t="s">
        <v>27</v>
      </c>
      <c r="H4444" s="11" t="n">
        <v>24</v>
      </c>
      <c r="I4444" s="11" t="s">
        <v>312</v>
      </c>
      <c r="J4444" s="14" t="n">
        <v>15</v>
      </c>
      <c r="K4444" s="14"/>
      <c r="L4444" s="16"/>
      <c r="M4444" s="27" t="n">
        <f aca="false">J4444+(K4444/20)+(L4444/240)</f>
        <v>15</v>
      </c>
      <c r="N4444" s="17" t="s">
        <v>275</v>
      </c>
      <c r="O4444" s="11"/>
      <c r="P4444" s="28"/>
      <c r="Q4444" s="28" t="n">
        <f aca="false">P4444*$M4444</f>
        <v>0</v>
      </c>
      <c r="R4444" s="28"/>
      <c r="S4444" s="28" t="n">
        <f aca="false">R4444*$M4444</f>
        <v>0</v>
      </c>
      <c r="T4444" s="28" t="n">
        <v>1479</v>
      </c>
      <c r="U4444" s="28" t="n">
        <v>22185</v>
      </c>
      <c r="V4444" s="28" t="n">
        <v>1500</v>
      </c>
      <c r="W4444" s="28" t="n">
        <v>22500</v>
      </c>
      <c r="X4444" s="28" t="n">
        <v>300</v>
      </c>
      <c r="Y4444" s="28" t="n">
        <v>4500</v>
      </c>
      <c r="Z4444" s="28" t="n">
        <v>168</v>
      </c>
      <c r="AA4444" s="28" t="n">
        <v>2520</v>
      </c>
      <c r="AB4444" s="28" t="n">
        <v>14570</v>
      </c>
      <c r="AC4444" s="28" t="n">
        <v>218550</v>
      </c>
      <c r="AD4444" s="28"/>
      <c r="AE4444" s="28" t="n">
        <f aca="false">AD4444*$M4444</f>
        <v>0</v>
      </c>
      <c r="AF4444" s="28" t="n">
        <v>5748</v>
      </c>
      <c r="AG4444" s="28" t="n">
        <v>86220</v>
      </c>
      <c r="AH4444" s="28"/>
      <c r="AI4444" s="28" t="n">
        <f aca="false">AH4444*$M4444</f>
        <v>0</v>
      </c>
      <c r="AJ4444" s="28" t="n">
        <v>710</v>
      </c>
      <c r="AK4444" s="28" t="n">
        <v>10650</v>
      </c>
      <c r="AL4444" s="28" t="n">
        <v>600</v>
      </c>
      <c r="AM4444" s="28" t="n">
        <v>9000</v>
      </c>
      <c r="AN4444" s="28"/>
      <c r="AO4444" s="28" t="n">
        <f aca="false">AN4444*$M4444</f>
        <v>0</v>
      </c>
      <c r="AP4444" s="28" t="n">
        <v>1200</v>
      </c>
      <c r="AQ4444" s="28" t="n">
        <v>18000</v>
      </c>
      <c r="AR4444" s="28"/>
      <c r="AS4444" s="28" t="n">
        <f aca="false">AR4444*$M4444</f>
        <v>0</v>
      </c>
      <c r="AT4444" s="28"/>
      <c r="AU4444" s="28" t="n">
        <f aca="false">AT4444*$M4444</f>
        <v>0</v>
      </c>
      <c r="AV4444" s="28"/>
      <c r="AW4444" s="28" t="n">
        <f aca="false">AV4444*$M4444</f>
        <v>0</v>
      </c>
      <c r="AX4444" s="28"/>
      <c r="AY4444" s="28" t="n">
        <f aca="false">AX4444*$M4444</f>
        <v>0</v>
      </c>
      <c r="AZ4444" s="30" t="n">
        <v>26275</v>
      </c>
      <c r="BA4444" s="11" t="n">
        <v>394125</v>
      </c>
      <c r="BB4444" s="31" t="n">
        <f aca="false">SUM(Q4444,S4444,U4444,W4444,Y4444,AA4444,AC4444,AE4444,AG4444,AI4444,AK4444,AM4444,AO4444,AQ4444,AS4444,AU4444,AW4444,AY4444)</f>
        <v>394125</v>
      </c>
      <c r="BC4444" s="28" t="n">
        <f aca="false">BA4444-BB4444</f>
        <v>0</v>
      </c>
      <c r="BD4444" s="32" t="n">
        <f aca="false">SUM(P4444,R4444,T4444,V4444,X4444,Z4444,AB4444,AD4444,AF4444,AH4444,AJ4444,AL4444,AN4444,AP4444,AR4444,AT4444,AV4444,AX4444)</f>
        <v>26275</v>
      </c>
      <c r="BE4444" s="33" t="n">
        <f aca="false">AZ4444-BD4444</f>
        <v>0</v>
      </c>
      <c r="BF4444" s="34" t="n">
        <f aca="false">BD4444*M4444</f>
        <v>394125</v>
      </c>
      <c r="BG4444" s="35" t="n">
        <f aca="false">BA4444-BF4444</f>
        <v>0</v>
      </c>
      <c r="BH4444" s="19" t="str">
        <f aca="false">IF(BG4444=0,"",IF(BG4444&lt;&gt;BA4444,"erreur de calcul",IF(BD4444&lt;&gt;0,"pas de prix",IF(M4444&lt;&gt; 0,"pas de quantité","pas de prix, ni de quantité"))))</f>
        <v/>
      </c>
      <c r="BI4444" s="19"/>
    </row>
    <row r="4445" customFormat="false" ht="15" hidden="false" customHeight="false" outlineLevel="0" collapsed="false">
      <c r="A4445" s="0" t="n">
        <v>23</v>
      </c>
      <c r="B4445" s="8" t="s">
        <v>24</v>
      </c>
      <c r="C4445" s="9" t="s">
        <v>25</v>
      </c>
      <c r="D4445" s="9" t="s">
        <v>26</v>
      </c>
      <c r="E4445" s="10" t="n">
        <v>1789</v>
      </c>
      <c r="F4445" s="9" t="s">
        <v>27</v>
      </c>
      <c r="G4445" s="9" t="s">
        <v>27</v>
      </c>
      <c r="H4445" s="11" t="n">
        <v>24</v>
      </c>
      <c r="I4445" s="11" t="s">
        <v>313</v>
      </c>
      <c r="J4445" s="14" t="n">
        <v>9</v>
      </c>
      <c r="K4445" s="14"/>
      <c r="L4445" s="16"/>
      <c r="M4445" s="27" t="n">
        <f aca="false">J4445+(K4445/20)+(L4445/240)</f>
        <v>9</v>
      </c>
      <c r="N4445" s="17" t="s">
        <v>64</v>
      </c>
      <c r="O4445" s="11"/>
      <c r="P4445" s="28"/>
      <c r="Q4445" s="28" t="n">
        <f aca="false">P4445*$M4445</f>
        <v>0</v>
      </c>
      <c r="R4445" s="28"/>
      <c r="S4445" s="28" t="n">
        <f aca="false">R4445*$M4445</f>
        <v>0</v>
      </c>
      <c r="T4445" s="28"/>
      <c r="U4445" s="28" t="n">
        <f aca="false">T4445*$M4445</f>
        <v>0</v>
      </c>
      <c r="V4445" s="28" t="n">
        <f aca="false">145504/100</f>
        <v>1455.04</v>
      </c>
      <c r="W4445" s="28" t="n">
        <v>13095</v>
      </c>
      <c r="X4445" s="28" t="n">
        <f aca="false">58504/100</f>
        <v>585.04</v>
      </c>
      <c r="Y4445" s="28" t="n">
        <v>5265</v>
      </c>
      <c r="Z4445" s="28" t="n">
        <f aca="false">17027/100</f>
        <v>170.27</v>
      </c>
      <c r="AA4445" s="28" t="n">
        <v>1532</v>
      </c>
      <c r="AB4445" s="28" t="n">
        <f aca="false">84396/100</f>
        <v>843.96</v>
      </c>
      <c r="AC4445" s="28" t="n">
        <v>7596</v>
      </c>
      <c r="AD4445" s="28"/>
      <c r="AE4445" s="28" t="n">
        <f aca="false">AD4445*$M4445</f>
        <v>0</v>
      </c>
      <c r="AF4445" s="28" t="n">
        <f aca="false">14807/100</f>
        <v>148.07</v>
      </c>
      <c r="AG4445" s="28" t="n">
        <v>1333</v>
      </c>
      <c r="AH4445" s="28"/>
      <c r="AI4445" s="28" t="n">
        <f aca="false">AH4445*$M4445</f>
        <v>0</v>
      </c>
      <c r="AJ4445" s="28"/>
      <c r="AK4445" s="28" t="n">
        <f aca="false">AJ4445*$M4445</f>
        <v>0</v>
      </c>
      <c r="AL4445" s="28"/>
      <c r="AM4445" s="28" t="n">
        <f aca="false">AL4445*$M4445</f>
        <v>0</v>
      </c>
      <c r="AN4445" s="28"/>
      <c r="AO4445" s="28" t="n">
        <f aca="false">AN4445*$M4445</f>
        <v>0</v>
      </c>
      <c r="AP4445" s="28"/>
      <c r="AQ4445" s="28" t="n">
        <f aca="false">AP4445*$M4445</f>
        <v>0</v>
      </c>
      <c r="AR4445" s="28"/>
      <c r="AS4445" s="28" t="n">
        <f aca="false">AR4445*$M4445</f>
        <v>0</v>
      </c>
      <c r="AT4445" s="28"/>
      <c r="AU4445" s="28" t="n">
        <f aca="false">AT4445*$M4445</f>
        <v>0</v>
      </c>
      <c r="AV4445" s="28"/>
      <c r="AW4445" s="28" t="n">
        <f aca="false">AV4445*$M4445</f>
        <v>0</v>
      </c>
      <c r="AX4445" s="28"/>
      <c r="AY4445" s="28" t="n">
        <f aca="false">AX4445*$M4445</f>
        <v>0</v>
      </c>
      <c r="AZ4445" s="30" t="n">
        <f aca="false">320238/100</f>
        <v>3202.38</v>
      </c>
      <c r="BA4445" s="11" t="n">
        <v>28821</v>
      </c>
      <c r="BB4445" s="31" t="n">
        <f aca="false">SUM(Q4445,S4445,U4445,W4445,Y4445,AA4445,AC4445,AE4445,AG4445,AI4445,AK4445,AM4445,AO4445,AQ4445,AS4445,AU4445,AW4445,AY4445)</f>
        <v>28821</v>
      </c>
      <c r="BC4445" s="28" t="n">
        <f aca="false">BA4445-BB4445</f>
        <v>0</v>
      </c>
      <c r="BD4445" s="32" t="n">
        <f aca="false">SUM(P4445,R4445,T4445,V4445,X4445,Z4445,AB4445,AD4445,AF4445,AH4445,AJ4445,AL4445,AN4445,AP4445,AR4445,AT4445,AV4445,AX4445)</f>
        <v>3202.38</v>
      </c>
      <c r="BE4445" s="33" t="n">
        <f aca="false">AZ4445-BD4445</f>
        <v>0</v>
      </c>
      <c r="BF4445" s="34" t="n">
        <f aca="false">BD4445*M4445</f>
        <v>28821.42</v>
      </c>
      <c r="BG4445" s="35" t="n">
        <f aca="false">BA4445-BF4445</f>
        <v>-0.420000000001892</v>
      </c>
      <c r="BH4445" s="19" t="str">
        <f aca="false">IF(BG4445=0,"",IF(BG4445&lt;&gt;BA4445,"erreur de calcul",IF(BD4445&lt;&gt;0,"pas de prix",IF(M4445&lt;&gt; 0,"pas de quantité","pas de prix, ni de quantité"))))</f>
        <v>erreur de calcul</v>
      </c>
      <c r="BI4445" s="19"/>
    </row>
    <row r="4446" customFormat="false" ht="15" hidden="false" customHeight="false" outlineLevel="0" collapsed="false">
      <c r="A4446" s="0" t="n">
        <v>24</v>
      </c>
      <c r="B4446" s="8" t="s">
        <v>24</v>
      </c>
      <c r="C4446" s="9" t="s">
        <v>25</v>
      </c>
      <c r="D4446" s="9" t="s">
        <v>26</v>
      </c>
      <c r="E4446" s="10" t="n">
        <v>1789</v>
      </c>
      <c r="F4446" s="9" t="s">
        <v>27</v>
      </c>
      <c r="G4446" s="9" t="s">
        <v>27</v>
      </c>
      <c r="H4446" s="11" t="n">
        <v>24</v>
      </c>
      <c r="I4446" s="11" t="s">
        <v>314</v>
      </c>
      <c r="J4446" s="14"/>
      <c r="K4446" s="14" t="n">
        <v>4</v>
      </c>
      <c r="L4446" s="16"/>
      <c r="M4446" s="27" t="n">
        <f aca="false">J4446+(K4446/20)+(L4446/240)</f>
        <v>0.2</v>
      </c>
      <c r="N4446" s="17" t="s">
        <v>311</v>
      </c>
      <c r="O4446" s="11"/>
      <c r="P4446" s="28"/>
      <c r="Q4446" s="28" t="n">
        <f aca="false">P4446*$M4446</f>
        <v>0</v>
      </c>
      <c r="R4446" s="28"/>
      <c r="S4446" s="28" t="n">
        <f aca="false">R4446*$M4446</f>
        <v>0</v>
      </c>
      <c r="T4446" s="28"/>
      <c r="U4446" s="28" t="n">
        <f aca="false">T4446*$M4446</f>
        <v>0</v>
      </c>
      <c r="V4446" s="28" t="n">
        <v>5800</v>
      </c>
      <c r="W4446" s="28" t="n">
        <v>1160</v>
      </c>
      <c r="X4446" s="28"/>
      <c r="Y4446" s="28" t="n">
        <f aca="false">X4446*$M4446</f>
        <v>0</v>
      </c>
      <c r="Z4446" s="28"/>
      <c r="AA4446" s="28" t="n">
        <f aca="false">Z4446*$M4446</f>
        <v>0</v>
      </c>
      <c r="AB4446" s="28"/>
      <c r="AC4446" s="28" t="n">
        <f aca="false">AB4446*$M4446</f>
        <v>0</v>
      </c>
      <c r="AD4446" s="28"/>
      <c r="AE4446" s="28" t="n">
        <f aca="false">AD4446*$M4446</f>
        <v>0</v>
      </c>
      <c r="AF4446" s="28"/>
      <c r="AG4446" s="28" t="n">
        <f aca="false">AF4446*$M4446</f>
        <v>0</v>
      </c>
      <c r="AH4446" s="28"/>
      <c r="AI4446" s="28" t="n">
        <f aca="false">AH4446*$M4446</f>
        <v>0</v>
      </c>
      <c r="AJ4446" s="28"/>
      <c r="AK4446" s="28" t="n">
        <f aca="false">AJ4446*$M4446</f>
        <v>0</v>
      </c>
      <c r="AL4446" s="28"/>
      <c r="AM4446" s="28" t="n">
        <f aca="false">AL4446*$M4446</f>
        <v>0</v>
      </c>
      <c r="AN4446" s="28"/>
      <c r="AO4446" s="28" t="n">
        <f aca="false">AN4446*$M4446</f>
        <v>0</v>
      </c>
      <c r="AP4446" s="28"/>
      <c r="AQ4446" s="28" t="n">
        <f aca="false">AP4446*$M4446</f>
        <v>0</v>
      </c>
      <c r="AR4446" s="28"/>
      <c r="AS4446" s="28" t="n">
        <f aca="false">AR4446*$M4446</f>
        <v>0</v>
      </c>
      <c r="AT4446" s="28"/>
      <c r="AU4446" s="28" t="n">
        <f aca="false">AT4446*$M4446</f>
        <v>0</v>
      </c>
      <c r="AV4446" s="28"/>
      <c r="AW4446" s="28" t="n">
        <f aca="false">AV4446*$M4446</f>
        <v>0</v>
      </c>
      <c r="AX4446" s="28"/>
      <c r="AY4446" s="28" t="n">
        <f aca="false">AX4446*$M4446</f>
        <v>0</v>
      </c>
      <c r="AZ4446" s="30" t="n">
        <v>5800</v>
      </c>
      <c r="BA4446" s="11" t="n">
        <v>1160</v>
      </c>
      <c r="BB4446" s="31" t="n">
        <f aca="false">SUM(Q4446,S4446,U4446,W4446,Y4446,AA4446,AC4446,AE4446,AG4446,AI4446,AK4446,AM4446,AO4446,AQ4446,AS4446,AU4446,AW4446,AY4446)</f>
        <v>1160</v>
      </c>
      <c r="BC4446" s="28" t="n">
        <f aca="false">BA4446-BB4446</f>
        <v>0</v>
      </c>
      <c r="BD4446" s="32" t="n">
        <f aca="false">SUM(P4446,R4446,T4446,V4446,X4446,Z4446,AB4446,AD4446,AF4446,AH4446,AJ4446,AL4446,AN4446,AP4446,AR4446,AT4446,AV4446,AX4446)</f>
        <v>5800</v>
      </c>
      <c r="BE4446" s="33" t="n">
        <f aca="false">AZ4446-BD4446</f>
        <v>0</v>
      </c>
      <c r="BF4446" s="34" t="n">
        <f aca="false">BD4446*M4446</f>
        <v>1160</v>
      </c>
      <c r="BG4446" s="35" t="n">
        <f aca="false">BA4446-BF4446</f>
        <v>0</v>
      </c>
      <c r="BH4446" s="19" t="str">
        <f aca="false">IF(BG4446=0,"",IF(BG4446&lt;&gt;BA4446,"erreur de calcul",IF(BD4446&lt;&gt;0,"pas de prix",IF(M4446&lt;&gt; 0,"pas de quantité","pas de prix, ni de quantité"))))</f>
        <v/>
      </c>
      <c r="BI4446" s="19"/>
    </row>
    <row r="4447" customFormat="false" ht="15" hidden="false" customHeight="false" outlineLevel="0" collapsed="false">
      <c r="A4447" s="0" t="n">
        <v>25</v>
      </c>
      <c r="B4447" s="8" t="s">
        <v>24</v>
      </c>
      <c r="C4447" s="9" t="s">
        <v>25</v>
      </c>
      <c r="D4447" s="9" t="s">
        <v>26</v>
      </c>
      <c r="E4447" s="10" t="n">
        <v>1789</v>
      </c>
      <c r="F4447" s="9" t="s">
        <v>27</v>
      </c>
      <c r="G4447" s="9" t="s">
        <v>27</v>
      </c>
      <c r="H4447" s="11" t="n">
        <v>24</v>
      </c>
      <c r="I4447" s="11" t="s">
        <v>315</v>
      </c>
      <c r="J4447" s="14" t="n">
        <v>10</v>
      </c>
      <c r="K4447" s="14"/>
      <c r="L4447" s="16"/>
      <c r="M4447" s="27" t="n">
        <f aca="false">J4447+(K4447/20)+(L4447/240)</f>
        <v>10</v>
      </c>
      <c r="N4447" s="17" t="s">
        <v>64</v>
      </c>
      <c r="O4447" s="11"/>
      <c r="P4447" s="28"/>
      <c r="Q4447" s="28" t="n">
        <f aca="false">P4447*$M4447</f>
        <v>0</v>
      </c>
      <c r="R4447" s="28"/>
      <c r="S4447" s="28" t="n">
        <f aca="false">R4447*$M4447</f>
        <v>0</v>
      </c>
      <c r="T4447" s="28"/>
      <c r="U4447" s="28" t="n">
        <f aca="false">T4447*$M4447</f>
        <v>0</v>
      </c>
      <c r="V4447" s="28"/>
      <c r="W4447" s="28" t="n">
        <f aca="false">V4447*$M4447</f>
        <v>0</v>
      </c>
      <c r="X4447" s="28"/>
      <c r="Y4447" s="28" t="n">
        <f aca="false">X4447*$M4447</f>
        <v>0</v>
      </c>
      <c r="Z4447" s="28"/>
      <c r="AA4447" s="28" t="n">
        <f aca="false">Z4447*$M4447</f>
        <v>0</v>
      </c>
      <c r="AB4447" s="28"/>
      <c r="AC4447" s="28" t="n">
        <f aca="false">AB4447*$M4447</f>
        <v>0</v>
      </c>
      <c r="AD4447" s="28"/>
      <c r="AE4447" s="28" t="n">
        <f aca="false">AD4447*$M4447</f>
        <v>0</v>
      </c>
      <c r="AF4447" s="28"/>
      <c r="AG4447" s="28" t="n">
        <f aca="false">AF4447*$M4447</f>
        <v>0</v>
      </c>
      <c r="AH4447" s="28"/>
      <c r="AI4447" s="28" t="n">
        <f aca="false">AH4447*$M4447</f>
        <v>0</v>
      </c>
      <c r="AJ4447" s="28" t="n">
        <f aca="false">13584/100</f>
        <v>135.84</v>
      </c>
      <c r="AK4447" s="28" t="n">
        <v>1358</v>
      </c>
      <c r="AL4447" s="28"/>
      <c r="AM4447" s="28" t="n">
        <f aca="false">AL4447*$M4447</f>
        <v>0</v>
      </c>
      <c r="AN4447" s="28"/>
      <c r="AO4447" s="28" t="n">
        <f aca="false">AN4447*$M4447</f>
        <v>0</v>
      </c>
      <c r="AP4447" s="28"/>
      <c r="AQ4447" s="28" t="n">
        <f aca="false">AP4447*$M4447</f>
        <v>0</v>
      </c>
      <c r="AR4447" s="28"/>
      <c r="AS4447" s="28" t="n">
        <f aca="false">AR4447*$M4447</f>
        <v>0</v>
      </c>
      <c r="AT4447" s="28"/>
      <c r="AU4447" s="28" t="n">
        <f aca="false">AT4447*$M4447</f>
        <v>0</v>
      </c>
      <c r="AV4447" s="28"/>
      <c r="AW4447" s="28" t="n">
        <f aca="false">AV4447*$M4447</f>
        <v>0</v>
      </c>
      <c r="AX4447" s="28"/>
      <c r="AY4447" s="28" t="n">
        <f aca="false">AX4447*$M4447</f>
        <v>0</v>
      </c>
      <c r="AZ4447" s="30" t="n">
        <f aca="false">13584/100</f>
        <v>135.84</v>
      </c>
      <c r="BA4447" s="11" t="n">
        <v>1358</v>
      </c>
      <c r="BB4447" s="31" t="n">
        <f aca="false">SUM(Q4447,S4447,U4447,W4447,Y4447,AA4447,AC4447,AE4447,AG4447,AI4447,AK4447,AM4447,AO4447,AQ4447,AS4447,AU4447,AW4447,AY4447)</f>
        <v>1358</v>
      </c>
      <c r="BC4447" s="28" t="n">
        <f aca="false">BA4447-BB4447</f>
        <v>0</v>
      </c>
      <c r="BD4447" s="32" t="n">
        <f aca="false">SUM(P4447,R4447,T4447,V4447,X4447,Z4447,AB4447,AD4447,AF4447,AH4447,AJ4447,AL4447,AN4447,AP4447,AR4447,AT4447,AV4447,AX4447)</f>
        <v>135.84</v>
      </c>
      <c r="BE4447" s="33" t="n">
        <f aca="false">AZ4447-BD4447</f>
        <v>0</v>
      </c>
      <c r="BF4447" s="34" t="n">
        <f aca="false">BD4447*M4447</f>
        <v>1358.4</v>
      </c>
      <c r="BG4447" s="35" t="n">
        <f aca="false">BA4447-BF4447</f>
        <v>-0.400000000000091</v>
      </c>
      <c r="BH4447" s="19" t="str">
        <f aca="false">IF(BG4447=0,"",IF(BG4447&lt;&gt;BA4447,"erreur de calcul",IF(BD4447&lt;&gt;0,"pas de prix",IF(M4447&lt;&gt; 0,"pas de quantité","pas de prix, ni de quantité"))))</f>
        <v>erreur de calcul</v>
      </c>
      <c r="BI4447" s="19"/>
    </row>
    <row r="4448" customFormat="false" ht="15" hidden="false" customHeight="false" outlineLevel="0" collapsed="false">
      <c r="A4448" s="0" t="n">
        <v>26</v>
      </c>
      <c r="B4448" s="8" t="s">
        <v>24</v>
      </c>
      <c r="C4448" s="9" t="s">
        <v>25</v>
      </c>
      <c r="D4448" s="9" t="s">
        <v>26</v>
      </c>
      <c r="E4448" s="10" t="n">
        <v>1789</v>
      </c>
      <c r="F4448" s="9" t="s">
        <v>27</v>
      </c>
      <c r="G4448" s="9" t="s">
        <v>27</v>
      </c>
      <c r="H4448" s="11" t="n">
        <v>24</v>
      </c>
      <c r="I4448" s="11" t="s">
        <v>316</v>
      </c>
      <c r="J4448" s="14" t="n">
        <v>12</v>
      </c>
      <c r="K4448" s="14"/>
      <c r="L4448" s="16"/>
      <c r="M4448" s="27" t="n">
        <f aca="false">J4448+(K4448/20)+(L4448/240)</f>
        <v>12</v>
      </c>
      <c r="N4448" s="17" t="s">
        <v>64</v>
      </c>
      <c r="O4448" s="11"/>
      <c r="P4448" s="28" t="n">
        <f aca="false">8690/100</f>
        <v>86.9</v>
      </c>
      <c r="Q4448" s="28" t="n">
        <v>1043</v>
      </c>
      <c r="R4448" s="28"/>
      <c r="S4448" s="28" t="n">
        <f aca="false">R4448*$M4448</f>
        <v>0</v>
      </c>
      <c r="T4448" s="28"/>
      <c r="U4448" s="28" t="n">
        <f aca="false">T4448*$M4448</f>
        <v>0</v>
      </c>
      <c r="V4448" s="28"/>
      <c r="W4448" s="28" t="n">
        <f aca="false">V4448*$M4448</f>
        <v>0</v>
      </c>
      <c r="X4448" s="28" t="n">
        <f aca="false">10000/100</f>
        <v>100</v>
      </c>
      <c r="Y4448" s="28" t="n">
        <v>1200</v>
      </c>
      <c r="Z4448" s="28"/>
      <c r="AA4448" s="28" t="n">
        <f aca="false">Z4448*$M4448</f>
        <v>0</v>
      </c>
      <c r="AB4448" s="28"/>
      <c r="AC4448" s="28" t="n">
        <f aca="false">AB4448*$M4448</f>
        <v>0</v>
      </c>
      <c r="AD4448" s="28"/>
      <c r="AE4448" s="28" t="n">
        <f aca="false">AD4448*$M4448</f>
        <v>0</v>
      </c>
      <c r="AF4448" s="28"/>
      <c r="AG4448" s="28" t="n">
        <f aca="false">AF4448*$M4448</f>
        <v>0</v>
      </c>
      <c r="AH4448" s="28"/>
      <c r="AI4448" s="28" t="n">
        <f aca="false">AH4448*$M4448</f>
        <v>0</v>
      </c>
      <c r="AJ4448" s="28"/>
      <c r="AK4448" s="28" t="n">
        <f aca="false">AJ4448*$M4448</f>
        <v>0</v>
      </c>
      <c r="AL4448" s="28"/>
      <c r="AM4448" s="28" t="n">
        <f aca="false">AL4448*$M4448</f>
        <v>0</v>
      </c>
      <c r="AN4448" s="28"/>
      <c r="AO4448" s="28" t="n">
        <f aca="false">AN4448*$M4448</f>
        <v>0</v>
      </c>
      <c r="AP4448" s="28"/>
      <c r="AQ4448" s="28" t="n">
        <f aca="false">AP4448*$M4448</f>
        <v>0</v>
      </c>
      <c r="AR4448" s="28"/>
      <c r="AS4448" s="28" t="n">
        <f aca="false">AR4448*$M4448</f>
        <v>0</v>
      </c>
      <c r="AT4448" s="28"/>
      <c r="AU4448" s="28" t="n">
        <f aca="false">AT4448*$M4448</f>
        <v>0</v>
      </c>
      <c r="AV4448" s="28"/>
      <c r="AW4448" s="28" t="n">
        <f aca="false">AV4448*$M4448</f>
        <v>0</v>
      </c>
      <c r="AX4448" s="28"/>
      <c r="AY4448" s="28" t="n">
        <f aca="false">AX4448*$M4448</f>
        <v>0</v>
      </c>
      <c r="AZ4448" s="30" t="n">
        <f aca="false">18690/100</f>
        <v>186.9</v>
      </c>
      <c r="BA4448" s="11" t="n">
        <v>2243</v>
      </c>
      <c r="BB4448" s="31" t="n">
        <f aca="false">SUM(Q4448,S4448,U4448,W4448,Y4448,AA4448,AC4448,AE4448,AG4448,AI4448,AK4448,AM4448,AO4448,AQ4448,AS4448,AU4448,AW4448,AY4448)</f>
        <v>2243</v>
      </c>
      <c r="BC4448" s="28" t="n">
        <f aca="false">BA4448-BB4448</f>
        <v>0</v>
      </c>
      <c r="BD4448" s="32" t="n">
        <f aca="false">SUM(P4448,R4448,T4448,V4448,X4448,Z4448,AB4448,AD4448,AF4448,AH4448,AJ4448,AL4448,AN4448,AP4448,AR4448,AT4448,AV4448,AX4448)</f>
        <v>186.9</v>
      </c>
      <c r="BE4448" s="33" t="n">
        <f aca="false">AZ4448-BD4448</f>
        <v>0</v>
      </c>
      <c r="BF4448" s="34" t="n">
        <f aca="false">BD4448*M4448</f>
        <v>2242.8</v>
      </c>
      <c r="BG4448" s="35" t="n">
        <f aca="false">BA4448-BF4448</f>
        <v>0.199999999999818</v>
      </c>
      <c r="BH4448" s="19" t="str">
        <f aca="false">IF(BG4448=0,"",IF(BG4448&lt;&gt;BA4448,"erreur de calcul",IF(BD4448&lt;&gt;0,"pas de prix",IF(M4448&lt;&gt; 0,"pas de quantité","pas de prix, ni de quantité"))))</f>
        <v>erreur de calcul</v>
      </c>
      <c r="BI4448" s="19"/>
    </row>
    <row r="4449" customFormat="false" ht="15" hidden="false" customHeight="false" outlineLevel="0" collapsed="false">
      <c r="A4449" s="0" t="n">
        <v>27</v>
      </c>
      <c r="B4449" s="8" t="s">
        <v>24</v>
      </c>
      <c r="C4449" s="9" t="s">
        <v>25</v>
      </c>
      <c r="D4449" s="9" t="s">
        <v>26</v>
      </c>
      <c r="E4449" s="10" t="n">
        <v>1789</v>
      </c>
      <c r="F4449" s="9" t="s">
        <v>27</v>
      </c>
      <c r="G4449" s="9" t="s">
        <v>27</v>
      </c>
      <c r="H4449" s="11" t="n">
        <v>24</v>
      </c>
      <c r="I4449" s="11" t="s">
        <v>317</v>
      </c>
      <c r="J4449" s="14" t="n">
        <v>2</v>
      </c>
      <c r="K4449" s="14"/>
      <c r="L4449" s="16"/>
      <c r="M4449" s="27" t="n">
        <f aca="false">J4449+(K4449/20)+(L4449/240)</f>
        <v>2</v>
      </c>
      <c r="N4449" s="17" t="s">
        <v>64</v>
      </c>
      <c r="O4449" s="11"/>
      <c r="P4449" s="28"/>
      <c r="Q4449" s="28" t="n">
        <f aca="false">P4449*$M4449</f>
        <v>0</v>
      </c>
      <c r="R4449" s="28"/>
      <c r="S4449" s="28" t="n">
        <f aca="false">R4449*$M4449</f>
        <v>0</v>
      </c>
      <c r="T4449" s="28"/>
      <c r="U4449" s="28" t="n">
        <f aca="false">T4449*$M4449</f>
        <v>0</v>
      </c>
      <c r="V4449" s="28"/>
      <c r="W4449" s="28" t="n">
        <f aca="false">V4449*$M4449</f>
        <v>0</v>
      </c>
      <c r="X4449" s="28"/>
      <c r="Y4449" s="28" t="n">
        <f aca="false">X4449*$M4449</f>
        <v>0</v>
      </c>
      <c r="Z4449" s="28"/>
      <c r="AA4449" s="28" t="n">
        <f aca="false">Z4449*$M4449</f>
        <v>0</v>
      </c>
      <c r="AB4449" s="28" t="n">
        <f aca="false">15417/100</f>
        <v>154.17</v>
      </c>
      <c r="AC4449" s="28" t="n">
        <v>308</v>
      </c>
      <c r="AD4449" s="28"/>
      <c r="AE4449" s="28" t="n">
        <f aca="false">AD4449*$M4449</f>
        <v>0</v>
      </c>
      <c r="AF4449" s="28"/>
      <c r="AG4449" s="28" t="n">
        <f aca="false">AF4449*$M4449</f>
        <v>0</v>
      </c>
      <c r="AH4449" s="28"/>
      <c r="AI4449" s="28" t="n">
        <f aca="false">AH4449*$M4449</f>
        <v>0</v>
      </c>
      <c r="AJ4449" s="28"/>
      <c r="AK4449" s="28" t="n">
        <f aca="false">AJ4449*$M4449</f>
        <v>0</v>
      </c>
      <c r="AL4449" s="28"/>
      <c r="AM4449" s="28" t="n">
        <f aca="false">AL4449*$M4449</f>
        <v>0</v>
      </c>
      <c r="AN4449" s="28"/>
      <c r="AO4449" s="28" t="n">
        <f aca="false">AN4449*$M4449</f>
        <v>0</v>
      </c>
      <c r="AP4449" s="28"/>
      <c r="AQ4449" s="28" t="n">
        <f aca="false">AP4449*$M4449</f>
        <v>0</v>
      </c>
      <c r="AR4449" s="28"/>
      <c r="AS4449" s="28" t="n">
        <f aca="false">AR4449*$M4449</f>
        <v>0</v>
      </c>
      <c r="AT4449" s="28"/>
      <c r="AU4449" s="28" t="n">
        <f aca="false">AT4449*$M4449</f>
        <v>0</v>
      </c>
      <c r="AV4449" s="28"/>
      <c r="AW4449" s="28" t="n">
        <f aca="false">AV4449*$M4449</f>
        <v>0</v>
      </c>
      <c r="AX4449" s="28"/>
      <c r="AY4449" s="28" t="n">
        <f aca="false">AX4449*$M4449</f>
        <v>0</v>
      </c>
      <c r="AZ4449" s="30" t="n">
        <f aca="false">15417/100</f>
        <v>154.17</v>
      </c>
      <c r="BA4449" s="11" t="n">
        <v>308</v>
      </c>
      <c r="BB4449" s="31" t="n">
        <f aca="false">SUM(Q4449,S4449,U4449,W4449,Y4449,AA4449,AC4449,AE4449,AG4449,AI4449,AK4449,AM4449,AO4449,AQ4449,AS4449,AU4449,AW4449,AY4449)</f>
        <v>308</v>
      </c>
      <c r="BC4449" s="28" t="n">
        <f aca="false">BA4449-BB4449</f>
        <v>0</v>
      </c>
      <c r="BD4449" s="32" t="n">
        <f aca="false">SUM(P4449,R4449,T4449,V4449,X4449,Z4449,AB4449,AD4449,AF4449,AH4449,AJ4449,AL4449,AN4449,AP4449,AR4449,AT4449,AV4449,AX4449)</f>
        <v>154.17</v>
      </c>
      <c r="BE4449" s="33" t="n">
        <f aca="false">AZ4449-BD4449</f>
        <v>0</v>
      </c>
      <c r="BF4449" s="34" t="n">
        <f aca="false">BD4449*M4449</f>
        <v>308.34</v>
      </c>
      <c r="BG4449" s="35" t="n">
        <f aca="false">BA4449-BF4449</f>
        <v>-0.339999999999975</v>
      </c>
      <c r="BH4449" s="19" t="str">
        <f aca="false">IF(BG4449=0,"",IF(BG4449&lt;&gt;BA4449,"erreur de calcul",IF(BD4449&lt;&gt;0,"pas de prix",IF(M4449&lt;&gt; 0,"pas de quantité","pas de prix, ni de quantité"))))</f>
        <v>erreur de calcul</v>
      </c>
      <c r="BI4449" s="19"/>
    </row>
    <row r="4450" customFormat="false" ht="15" hidden="false" customHeight="false" outlineLevel="0" collapsed="false">
      <c r="A4450" s="0" t="n">
        <v>28</v>
      </c>
      <c r="B4450" s="8" t="s">
        <v>24</v>
      </c>
      <c r="C4450" s="9" t="s">
        <v>25</v>
      </c>
      <c r="D4450" s="9" t="s">
        <v>26</v>
      </c>
      <c r="E4450" s="10" t="n">
        <v>1789</v>
      </c>
      <c r="F4450" s="9" t="s">
        <v>27</v>
      </c>
      <c r="G4450" s="9" t="s">
        <v>27</v>
      </c>
      <c r="H4450" s="11" t="n">
        <v>24</v>
      </c>
      <c r="I4450" s="11" t="s">
        <v>318</v>
      </c>
      <c r="J4450" s="14" t="n">
        <v>30</v>
      </c>
      <c r="K4450" s="14"/>
      <c r="L4450" s="16"/>
      <c r="M4450" s="27" t="n">
        <f aca="false">J4450+(K4450/20)+(L4450/240)</f>
        <v>30</v>
      </c>
      <c r="N4450" s="17" t="s">
        <v>64</v>
      </c>
      <c r="O4450" s="11"/>
      <c r="P4450" s="28" t="n">
        <f aca="false">55459/100</f>
        <v>554.59</v>
      </c>
      <c r="Q4450" s="28" t="n">
        <v>16638</v>
      </c>
      <c r="R4450" s="28"/>
      <c r="S4450" s="28" t="n">
        <f aca="false">R4450*$M4450</f>
        <v>0</v>
      </c>
      <c r="T4450" s="28"/>
      <c r="U4450" s="28" t="n">
        <f aca="false">T4450*$M4450</f>
        <v>0</v>
      </c>
      <c r="V4450" s="28"/>
      <c r="W4450" s="28" t="n">
        <f aca="false">V4450*$M4450</f>
        <v>0</v>
      </c>
      <c r="X4450" s="28"/>
      <c r="Y4450" s="28" t="n">
        <f aca="false">X4450*$M4450</f>
        <v>0</v>
      </c>
      <c r="Z4450" s="28"/>
      <c r="AA4450" s="28" t="n">
        <f aca="false">Z4450*$M4450</f>
        <v>0</v>
      </c>
      <c r="AB4450" s="28"/>
      <c r="AC4450" s="28" t="n">
        <f aca="false">AB4450*$M4450</f>
        <v>0</v>
      </c>
      <c r="AD4450" s="28"/>
      <c r="AE4450" s="28" t="n">
        <f aca="false">AD4450*$M4450</f>
        <v>0</v>
      </c>
      <c r="AF4450" s="28"/>
      <c r="AG4450" s="28" t="n">
        <f aca="false">AF4450*$M4450</f>
        <v>0</v>
      </c>
      <c r="AH4450" s="28"/>
      <c r="AI4450" s="28" t="n">
        <f aca="false">AH4450*$M4450</f>
        <v>0</v>
      </c>
      <c r="AJ4450" s="28"/>
      <c r="AK4450" s="28" t="n">
        <f aca="false">AJ4450*$M4450</f>
        <v>0</v>
      </c>
      <c r="AL4450" s="28"/>
      <c r="AM4450" s="28" t="n">
        <f aca="false">AL4450*$M4450</f>
        <v>0</v>
      </c>
      <c r="AN4450" s="28"/>
      <c r="AO4450" s="28" t="n">
        <f aca="false">AN4450*$M4450</f>
        <v>0</v>
      </c>
      <c r="AP4450" s="28"/>
      <c r="AQ4450" s="28" t="n">
        <f aca="false">AP4450*$M4450</f>
        <v>0</v>
      </c>
      <c r="AR4450" s="28"/>
      <c r="AS4450" s="28" t="n">
        <f aca="false">AR4450*$M4450</f>
        <v>0</v>
      </c>
      <c r="AT4450" s="28"/>
      <c r="AU4450" s="28" t="n">
        <f aca="false">AT4450*$M4450</f>
        <v>0</v>
      </c>
      <c r="AV4450" s="28"/>
      <c r="AW4450" s="28" t="n">
        <f aca="false">AV4450*$M4450</f>
        <v>0</v>
      </c>
      <c r="AX4450" s="28"/>
      <c r="AY4450" s="28" t="n">
        <f aca="false">AX4450*$M4450</f>
        <v>0</v>
      </c>
      <c r="AZ4450" s="30" t="n">
        <f aca="false">55459/100</f>
        <v>554.59</v>
      </c>
      <c r="BA4450" s="11" t="n">
        <v>16638</v>
      </c>
      <c r="BB4450" s="31" t="n">
        <f aca="false">SUM(Q4450,S4450,U4450,W4450,Y4450,AA4450,AC4450,AE4450,AG4450,AI4450,AK4450,AM4450,AO4450,AQ4450,AS4450,AU4450,AW4450,AY4450)</f>
        <v>16638</v>
      </c>
      <c r="BC4450" s="28" t="n">
        <f aca="false">BA4450-BB4450</f>
        <v>0</v>
      </c>
      <c r="BD4450" s="32" t="n">
        <f aca="false">SUM(P4450,R4450,T4450,V4450,X4450,Z4450,AB4450,AD4450,AF4450,AH4450,AJ4450,AL4450,AN4450,AP4450,AR4450,AT4450,AV4450,AX4450)</f>
        <v>554.59</v>
      </c>
      <c r="BE4450" s="33" t="n">
        <f aca="false">AZ4450-BD4450</f>
        <v>0</v>
      </c>
      <c r="BF4450" s="34" t="n">
        <f aca="false">BD4450*M4450</f>
        <v>16637.7</v>
      </c>
      <c r="BG4450" s="35" t="n">
        <f aca="false">BA4450-BF4450</f>
        <v>0.299999999999272</v>
      </c>
      <c r="BH4450" s="19" t="str">
        <f aca="false">IF(BG4450=0,"",IF(BG4450&lt;&gt;BA4450,"erreur de calcul",IF(BD4450&lt;&gt;0,"pas de prix",IF(M4450&lt;&gt; 0,"pas de quantité","pas de prix, ni de quantité"))))</f>
        <v>erreur de calcul</v>
      </c>
      <c r="BI4450" s="19"/>
    </row>
    <row r="4451" customFormat="false" ht="15" hidden="false" customHeight="false" outlineLevel="0" collapsed="false">
      <c r="A4451" s="0" t="n">
        <v>29</v>
      </c>
      <c r="B4451" s="8" t="s">
        <v>24</v>
      </c>
      <c r="C4451" s="9" t="s">
        <v>25</v>
      </c>
      <c r="D4451" s="9" t="s">
        <v>26</v>
      </c>
      <c r="E4451" s="10" t="n">
        <v>1789</v>
      </c>
      <c r="F4451" s="9" t="s">
        <v>27</v>
      </c>
      <c r="G4451" s="9" t="s">
        <v>27</v>
      </c>
      <c r="H4451" s="11" t="n">
        <v>24</v>
      </c>
      <c r="I4451" s="11" t="s">
        <v>319</v>
      </c>
      <c r="J4451" s="14" t="n">
        <v>10</v>
      </c>
      <c r="K4451" s="14"/>
      <c r="L4451" s="16"/>
      <c r="M4451" s="27" t="n">
        <f aca="false">J4451+(K4451/20)+(L4451/240)</f>
        <v>10</v>
      </c>
      <c r="N4451" s="17" t="s">
        <v>64</v>
      </c>
      <c r="O4451" s="11"/>
      <c r="P4451" s="28" t="n">
        <f aca="false">48819/100</f>
        <v>488.19</v>
      </c>
      <c r="Q4451" s="28" t="n">
        <v>4882</v>
      </c>
      <c r="R4451" s="28"/>
      <c r="S4451" s="28" t="n">
        <f aca="false">R4451*$M4451</f>
        <v>0</v>
      </c>
      <c r="T4451" s="28" t="n">
        <f aca="false">2500/100</f>
        <v>25</v>
      </c>
      <c r="U4451" s="28" t="n">
        <v>250</v>
      </c>
      <c r="V4451" s="28"/>
      <c r="W4451" s="28" t="n">
        <f aca="false">V4451*$M4451</f>
        <v>0</v>
      </c>
      <c r="X4451" s="28" t="n">
        <f aca="false">6667/100</f>
        <v>66.67</v>
      </c>
      <c r="Y4451" s="28" t="n">
        <v>667</v>
      </c>
      <c r="Z4451" s="28"/>
      <c r="AA4451" s="28" t="n">
        <f aca="false">Z4451*$M4451</f>
        <v>0</v>
      </c>
      <c r="AB4451" s="28"/>
      <c r="AC4451" s="28" t="n">
        <f aca="false">AB4451*$M4451</f>
        <v>0</v>
      </c>
      <c r="AD4451" s="28"/>
      <c r="AE4451" s="28" t="n">
        <f aca="false">AD4451*$M4451</f>
        <v>0</v>
      </c>
      <c r="AF4451" s="28"/>
      <c r="AG4451" s="28" t="n">
        <f aca="false">AF4451*$M4451</f>
        <v>0</v>
      </c>
      <c r="AH4451" s="28"/>
      <c r="AI4451" s="28" t="n">
        <f aca="false">AH4451*$M4451</f>
        <v>0</v>
      </c>
      <c r="AJ4451" s="28"/>
      <c r="AK4451" s="28" t="n">
        <f aca="false">AJ4451*$M4451</f>
        <v>0</v>
      </c>
      <c r="AL4451" s="28"/>
      <c r="AM4451" s="28" t="n">
        <f aca="false">AL4451*$M4451</f>
        <v>0</v>
      </c>
      <c r="AN4451" s="28"/>
      <c r="AO4451" s="28" t="n">
        <f aca="false">AN4451*$M4451</f>
        <v>0</v>
      </c>
      <c r="AP4451" s="28"/>
      <c r="AQ4451" s="28" t="n">
        <f aca="false">AP4451*$M4451</f>
        <v>0</v>
      </c>
      <c r="AR4451" s="28"/>
      <c r="AS4451" s="28" t="n">
        <f aca="false">AR4451*$M4451</f>
        <v>0</v>
      </c>
      <c r="AT4451" s="28"/>
      <c r="AU4451" s="28" t="n">
        <f aca="false">AT4451*$M4451</f>
        <v>0</v>
      </c>
      <c r="AV4451" s="28"/>
      <c r="AW4451" s="28" t="n">
        <f aca="false">AV4451*$M4451</f>
        <v>0</v>
      </c>
      <c r="AX4451" s="28"/>
      <c r="AY4451" s="28" t="n">
        <f aca="false">AX4451*$M4451</f>
        <v>0</v>
      </c>
      <c r="AZ4451" s="30" t="n">
        <f aca="false">57986/100</f>
        <v>579.86</v>
      </c>
      <c r="BA4451" s="11" t="n">
        <v>5799</v>
      </c>
      <c r="BB4451" s="31" t="n">
        <f aca="false">SUM(Q4451,S4451,U4451,W4451,Y4451,AA4451,AC4451,AE4451,AG4451,AI4451,AK4451,AM4451,AO4451,AQ4451,AS4451,AU4451,AW4451,AY4451)</f>
        <v>5799</v>
      </c>
      <c r="BC4451" s="28" t="n">
        <f aca="false">BA4451-BB4451</f>
        <v>0</v>
      </c>
      <c r="BD4451" s="32" t="n">
        <f aca="false">SUM(P4451,R4451,T4451,V4451,X4451,Z4451,AB4451,AD4451,AF4451,AH4451,AJ4451,AL4451,AN4451,AP4451,AR4451,AT4451,AV4451,AX4451)</f>
        <v>579.86</v>
      </c>
      <c r="BE4451" s="33" t="n">
        <f aca="false">AZ4451-BD4451</f>
        <v>0</v>
      </c>
      <c r="BF4451" s="34" t="n">
        <f aca="false">BD4451*M4451</f>
        <v>5798.6</v>
      </c>
      <c r="BG4451" s="35" t="n">
        <f aca="false">BA4451-BF4451</f>
        <v>0.399999999999636</v>
      </c>
      <c r="BH4451" s="19" t="str">
        <f aca="false">IF(BG4451=0,"",IF(BG4451&lt;&gt;BA4451,"erreur de calcul",IF(BD4451&lt;&gt;0,"pas de prix",IF(M4451&lt;&gt; 0,"pas de quantité","pas de prix, ni de quantité"))))</f>
        <v>erreur de calcul</v>
      </c>
      <c r="BI4451" s="19"/>
    </row>
    <row r="4452" customFormat="false" ht="15" hidden="false" customHeight="false" outlineLevel="0" collapsed="false">
      <c r="A4452" s="0" t="n">
        <v>30</v>
      </c>
      <c r="B4452" s="8" t="s">
        <v>24</v>
      </c>
      <c r="C4452" s="9" t="s">
        <v>25</v>
      </c>
      <c r="D4452" s="9" t="s">
        <v>26</v>
      </c>
      <c r="E4452" s="10" t="n">
        <v>1789</v>
      </c>
      <c r="F4452" s="9" t="s">
        <v>27</v>
      </c>
      <c r="G4452" s="9" t="s">
        <v>27</v>
      </c>
      <c r="H4452" s="11" t="n">
        <v>24</v>
      </c>
      <c r="I4452" s="11" t="s">
        <v>320</v>
      </c>
      <c r="J4452" s="14" t="n">
        <v>90</v>
      </c>
      <c r="K4452" s="14"/>
      <c r="L4452" s="16"/>
      <c r="M4452" s="27" t="n">
        <f aca="false">J4452+(K4452/20)+(L4452/240)</f>
        <v>90</v>
      </c>
      <c r="N4452" s="17" t="s">
        <v>64</v>
      </c>
      <c r="O4452" s="11"/>
      <c r="P4452" s="28"/>
      <c r="Q4452" s="28" t="n">
        <f aca="false">P4452*$M4452</f>
        <v>0</v>
      </c>
      <c r="R4452" s="28"/>
      <c r="S4452" s="28" t="n">
        <f aca="false">R4452*$M4452</f>
        <v>0</v>
      </c>
      <c r="T4452" s="28"/>
      <c r="U4452" s="28" t="n">
        <f aca="false">T4452*$M4452</f>
        <v>0</v>
      </c>
      <c r="V4452" s="28"/>
      <c r="W4452" s="28" t="n">
        <f aca="false">V4452*$M4452</f>
        <v>0</v>
      </c>
      <c r="X4452" s="28"/>
      <c r="Y4452" s="28" t="n">
        <f aca="false">X4452*$M4452</f>
        <v>0</v>
      </c>
      <c r="Z4452" s="28"/>
      <c r="AA4452" s="28" t="n">
        <f aca="false">Z4452*$M4452</f>
        <v>0</v>
      </c>
      <c r="AB4452" s="28"/>
      <c r="AC4452" s="28" t="n">
        <f aca="false">AB4452*$M4452</f>
        <v>0</v>
      </c>
      <c r="AD4452" s="28"/>
      <c r="AE4452" s="28" t="n">
        <f aca="false">AD4452*$M4452</f>
        <v>0</v>
      </c>
      <c r="AF4452" s="28"/>
      <c r="AG4452" s="28" t="n">
        <f aca="false">AF4452*$M4452</f>
        <v>0</v>
      </c>
      <c r="AH4452" s="28"/>
      <c r="AI4452" s="28" t="n">
        <f aca="false">AH4452*$M4452</f>
        <v>0</v>
      </c>
      <c r="AJ4452" s="28"/>
      <c r="AK4452" s="28" t="n">
        <f aca="false">AJ4452*$M4452</f>
        <v>0</v>
      </c>
      <c r="AL4452" s="28" t="n">
        <f aca="false">2950/100</f>
        <v>29.5</v>
      </c>
      <c r="AM4452" s="28" t="n">
        <v>2655</v>
      </c>
      <c r="AN4452" s="28"/>
      <c r="AO4452" s="28" t="n">
        <f aca="false">AN4452*$M4452</f>
        <v>0</v>
      </c>
      <c r="AP4452" s="28"/>
      <c r="AQ4452" s="28" t="n">
        <f aca="false">AP4452*$M4452</f>
        <v>0</v>
      </c>
      <c r="AR4452" s="28"/>
      <c r="AS4452" s="28" t="n">
        <f aca="false">AR4452*$M4452</f>
        <v>0</v>
      </c>
      <c r="AT4452" s="28"/>
      <c r="AU4452" s="28" t="n">
        <f aca="false">AT4452*$M4452</f>
        <v>0</v>
      </c>
      <c r="AV4452" s="28"/>
      <c r="AW4452" s="28" t="n">
        <f aca="false">AV4452*$M4452</f>
        <v>0</v>
      </c>
      <c r="AX4452" s="28"/>
      <c r="AY4452" s="28" t="n">
        <f aca="false">AX4452*$M4452</f>
        <v>0</v>
      </c>
      <c r="AZ4452" s="30" t="n">
        <f aca="false">2950/100</f>
        <v>29.5</v>
      </c>
      <c r="BA4452" s="11" t="n">
        <v>2655</v>
      </c>
      <c r="BB4452" s="31" t="n">
        <f aca="false">SUM(Q4452,S4452,U4452,W4452,Y4452,AA4452,AC4452,AE4452,AG4452,AI4452,AK4452,AM4452,AO4452,AQ4452,AS4452,AU4452,AW4452,AY4452)</f>
        <v>2655</v>
      </c>
      <c r="BC4452" s="28" t="n">
        <f aca="false">BA4452-BB4452</f>
        <v>0</v>
      </c>
      <c r="BD4452" s="32" t="n">
        <f aca="false">SUM(P4452,R4452,T4452,V4452,X4452,Z4452,AB4452,AD4452,AF4452,AH4452,AJ4452,AL4452,AN4452,AP4452,AR4452,AT4452,AV4452,AX4452)</f>
        <v>29.5</v>
      </c>
      <c r="BE4452" s="33" t="n">
        <f aca="false">AZ4452-BD4452</f>
        <v>0</v>
      </c>
      <c r="BF4452" s="34" t="n">
        <f aca="false">BD4452*M4452</f>
        <v>2655</v>
      </c>
      <c r="BG4452" s="35" t="n">
        <f aca="false">BA4452-BF4452</f>
        <v>0</v>
      </c>
      <c r="BH4452" s="19" t="str">
        <f aca="false">IF(BG4452=0,"",IF(BG4452&lt;&gt;BA4452,"erreur de calcul",IF(BD4452&lt;&gt;0,"pas de prix",IF(M4452&lt;&gt; 0,"pas de quantité","pas de prix, ni de quantité"))))</f>
        <v/>
      </c>
      <c r="BI4452" s="19"/>
    </row>
    <row r="4453" customFormat="false" ht="15" hidden="false" customHeight="false" outlineLevel="0" collapsed="false">
      <c r="A4453" s="0" t="n">
        <v>31</v>
      </c>
      <c r="B4453" s="8" t="s">
        <v>24</v>
      </c>
      <c r="C4453" s="9" t="s">
        <v>25</v>
      </c>
      <c r="D4453" s="9" t="s">
        <v>26</v>
      </c>
      <c r="E4453" s="10" t="n">
        <v>1789</v>
      </c>
      <c r="F4453" s="9" t="s">
        <v>27</v>
      </c>
      <c r="G4453" s="9" t="s">
        <v>27</v>
      </c>
      <c r="H4453" s="11" t="n">
        <v>24</v>
      </c>
      <c r="I4453" s="11" t="s">
        <v>321</v>
      </c>
      <c r="J4453" s="14" t="n">
        <v>50</v>
      </c>
      <c r="K4453" s="14"/>
      <c r="L4453" s="16"/>
      <c r="M4453" s="27" t="n">
        <f aca="false">J4453+(K4453/20)+(L4453/240)</f>
        <v>50</v>
      </c>
      <c r="N4453" s="17" t="s">
        <v>64</v>
      </c>
      <c r="O4453" s="11" t="s">
        <v>277</v>
      </c>
      <c r="P4453" s="28"/>
      <c r="Q4453" s="28" t="n">
        <f aca="false">P4453*$M4453</f>
        <v>0</v>
      </c>
      <c r="R4453" s="28"/>
      <c r="S4453" s="28" t="n">
        <f aca="false">R4453*$M4453</f>
        <v>0</v>
      </c>
      <c r="T4453" s="28" t="n">
        <f aca="false">2*288*0.02+153*0.02</f>
        <v>14.58</v>
      </c>
      <c r="U4453" s="28" t="n">
        <v>729</v>
      </c>
      <c r="V4453" s="28" t="n">
        <f aca="false">2*288*0.02+118*0.02</f>
        <v>13.88</v>
      </c>
      <c r="W4453" s="28" t="n">
        <v>694</v>
      </c>
      <c r="X4453" s="28" t="n">
        <f aca="false">25*288*0.02+103*0.02</f>
        <v>146.06</v>
      </c>
      <c r="Y4453" s="28" t="n">
        <v>7303</v>
      </c>
      <c r="Z4453" s="28"/>
      <c r="AA4453" s="28" t="n">
        <f aca="false">Z4453*$M4453</f>
        <v>0</v>
      </c>
      <c r="AB4453" s="28" t="n">
        <f aca="false">1*288*0.02+74*0.02</f>
        <v>7.24</v>
      </c>
      <c r="AC4453" s="28" t="n">
        <v>362</v>
      </c>
      <c r="AD4453" s="28" t="n">
        <f aca="false">276*0.02</f>
        <v>5.52</v>
      </c>
      <c r="AE4453" s="28" t="n">
        <v>276</v>
      </c>
      <c r="AF4453" s="28"/>
      <c r="AG4453" s="28" t="n">
        <f aca="false">AF4453*$M4453</f>
        <v>0</v>
      </c>
      <c r="AH4453" s="28" t="n">
        <f aca="false">1*288*0.02+75*0.02</f>
        <v>7.26</v>
      </c>
      <c r="AI4453" s="28" t="n">
        <v>363</v>
      </c>
      <c r="AJ4453" s="28" t="n">
        <f aca="false">2*288*0.02+176*0.02</f>
        <v>15.04</v>
      </c>
      <c r="AK4453" s="28" t="n">
        <v>752</v>
      </c>
      <c r="AL4453" s="28"/>
      <c r="AM4453" s="28" t="n">
        <f aca="false">AL4453*$M4453</f>
        <v>0</v>
      </c>
      <c r="AN4453" s="28"/>
      <c r="AO4453" s="28" t="n">
        <f aca="false">AN4453*$M4453</f>
        <v>0</v>
      </c>
      <c r="AP4453" s="28"/>
      <c r="AQ4453" s="28" t="n">
        <f aca="false">AP4453*$M4453</f>
        <v>0</v>
      </c>
      <c r="AR4453" s="28"/>
      <c r="AS4453" s="28" t="n">
        <f aca="false">AR4453*$M4453</f>
        <v>0</v>
      </c>
      <c r="AT4453" s="28"/>
      <c r="AU4453" s="28" t="n">
        <f aca="false">AT4453*$M4453</f>
        <v>0</v>
      </c>
      <c r="AV4453" s="28"/>
      <c r="AW4453" s="28" t="n">
        <f aca="false">AV4453*$M4453</f>
        <v>0</v>
      </c>
      <c r="AX4453" s="28"/>
      <c r="AY4453" s="28" t="n">
        <f aca="false">AX4453*$M4453</f>
        <v>0</v>
      </c>
      <c r="AZ4453" s="30" t="n">
        <f aca="false">36*288*0.02+111*0.02</f>
        <v>209.58</v>
      </c>
      <c r="BA4453" s="11" t="n">
        <v>10479</v>
      </c>
      <c r="BB4453" s="31" t="n">
        <f aca="false">SUM(Q4453,S4453,U4453,W4453,Y4453,AA4453,AC4453,AE4453,AG4453,AI4453,AK4453,AM4453,AO4453,AQ4453,AS4453,AU4453,AW4453,AY4453)</f>
        <v>10479</v>
      </c>
      <c r="BC4453" s="28" t="n">
        <f aca="false">BA4453-BB4453</f>
        <v>0</v>
      </c>
      <c r="BD4453" s="32" t="n">
        <f aca="false">SUM(P4453,R4453,T4453,V4453,X4453,Z4453,AB4453,AD4453,AF4453,AH4453,AJ4453,AL4453,AN4453,AP4453,AR4453,AT4453,AV4453,AX4453)</f>
        <v>209.58</v>
      </c>
      <c r="BE4453" s="33" t="n">
        <f aca="false">AZ4453-BD4453</f>
        <v>0</v>
      </c>
      <c r="BF4453" s="34" t="n">
        <f aca="false">BD4453*M4453</f>
        <v>10479</v>
      </c>
      <c r="BG4453" s="35" t="n">
        <f aca="false">BA4453-BF4453</f>
        <v>0</v>
      </c>
      <c r="BH4453" s="19" t="str">
        <f aca="false">IF(BG4453=0,"",IF(BG4453&lt;&gt;BA4453,"erreur de calcul",IF(BD4453&lt;&gt;0,"pas de prix",IF(M4453&lt;&gt; 0,"pas de quantité","pas de prix, ni de quantité"))))</f>
        <v/>
      </c>
      <c r="BI4453" s="19"/>
    </row>
    <row r="4454" customFormat="false" ht="15" hidden="false" customHeight="false" outlineLevel="0" collapsed="false">
      <c r="A4454" s="0" t="n">
        <v>32</v>
      </c>
      <c r="B4454" s="8" t="s">
        <v>24</v>
      </c>
      <c r="C4454" s="9" t="s">
        <v>25</v>
      </c>
      <c r="D4454" s="9" t="s">
        <v>26</v>
      </c>
      <c r="E4454" s="10" t="n">
        <v>1789</v>
      </c>
      <c r="F4454" s="9" t="s">
        <v>27</v>
      </c>
      <c r="G4454" s="9" t="s">
        <v>27</v>
      </c>
      <c r="H4454" s="11" t="n">
        <v>24</v>
      </c>
      <c r="I4454" s="11" t="s">
        <v>322</v>
      </c>
      <c r="J4454" s="14" t="n">
        <v>70</v>
      </c>
      <c r="K4454" s="14"/>
      <c r="L4454" s="16"/>
      <c r="M4454" s="27" t="n">
        <f aca="false">J4454+(K4454/20)+(L4454/240)</f>
        <v>70</v>
      </c>
      <c r="N4454" s="17" t="s">
        <v>64</v>
      </c>
      <c r="O4454" s="11"/>
      <c r="P4454" s="28"/>
      <c r="Q4454" s="28" t="n">
        <f aca="false">P4454*$M4454</f>
        <v>0</v>
      </c>
      <c r="R4454" s="28"/>
      <c r="S4454" s="28" t="n">
        <f aca="false">R4454*$M4454</f>
        <v>0</v>
      </c>
      <c r="T4454" s="28"/>
      <c r="U4454" s="28" t="n">
        <f aca="false">T4454*$M4454</f>
        <v>0</v>
      </c>
      <c r="V4454" s="28"/>
      <c r="W4454" s="28" t="n">
        <f aca="false">V4454*$M4454</f>
        <v>0</v>
      </c>
      <c r="X4454" s="28" t="n">
        <f aca="false">2*288*0.02+217*0.02</f>
        <v>15.86</v>
      </c>
      <c r="Y4454" s="28" t="n">
        <v>1111</v>
      </c>
      <c r="Z4454" s="28"/>
      <c r="AA4454" s="28" t="n">
        <f aca="false">Z4454*$M4454</f>
        <v>0</v>
      </c>
      <c r="AB4454" s="28"/>
      <c r="AC4454" s="28" t="n">
        <f aca="false">AB4454*$M4454</f>
        <v>0</v>
      </c>
      <c r="AD4454" s="28"/>
      <c r="AE4454" s="28" t="n">
        <f aca="false">AD4454*$M4454</f>
        <v>0</v>
      </c>
      <c r="AF4454" s="28"/>
      <c r="AG4454" s="28" t="n">
        <f aca="false">AF4454*$M4454</f>
        <v>0</v>
      </c>
      <c r="AH4454" s="28"/>
      <c r="AI4454" s="28" t="n">
        <f aca="false">AH4454*$M4454</f>
        <v>0</v>
      </c>
      <c r="AJ4454" s="28"/>
      <c r="AK4454" s="28" t="n">
        <f aca="false">AJ4454*$M4454</f>
        <v>0</v>
      </c>
      <c r="AL4454" s="28"/>
      <c r="AM4454" s="28" t="n">
        <f aca="false">AL4454*$M4454</f>
        <v>0</v>
      </c>
      <c r="AN4454" s="28"/>
      <c r="AO4454" s="28" t="n">
        <f aca="false">AN4454*$M4454</f>
        <v>0</v>
      </c>
      <c r="AP4454" s="28"/>
      <c r="AQ4454" s="28" t="n">
        <f aca="false">AP4454*$M4454</f>
        <v>0</v>
      </c>
      <c r="AR4454" s="28"/>
      <c r="AS4454" s="28" t="n">
        <f aca="false">AR4454*$M4454</f>
        <v>0</v>
      </c>
      <c r="AT4454" s="28"/>
      <c r="AU4454" s="28" t="n">
        <f aca="false">AT4454*$M4454</f>
        <v>0</v>
      </c>
      <c r="AV4454" s="28"/>
      <c r="AW4454" s="28" t="n">
        <f aca="false">AV4454*$M4454</f>
        <v>0</v>
      </c>
      <c r="AX4454" s="28"/>
      <c r="AY4454" s="28" t="n">
        <f aca="false">AX4454*$M4454</f>
        <v>0</v>
      </c>
      <c r="AZ4454" s="30" t="n">
        <f aca="false">2*288*0.02+217*0.02</f>
        <v>15.86</v>
      </c>
      <c r="BA4454" s="11" t="n">
        <v>1111</v>
      </c>
      <c r="BB4454" s="31" t="n">
        <f aca="false">SUM(Q4454,S4454,U4454,W4454,Y4454,AA4454,AC4454,AE4454,AG4454,AI4454,AK4454,AM4454,AO4454,AQ4454,AS4454,AU4454,AW4454,AY4454)</f>
        <v>1111</v>
      </c>
      <c r="BC4454" s="28" t="n">
        <f aca="false">BA4454-BB4454</f>
        <v>0</v>
      </c>
      <c r="BD4454" s="32" t="n">
        <f aca="false">SUM(P4454,R4454,T4454,V4454,X4454,Z4454,AB4454,AD4454,AF4454,AH4454,AJ4454,AL4454,AN4454,AP4454,AR4454,AT4454,AV4454,AX4454)</f>
        <v>15.86</v>
      </c>
      <c r="BE4454" s="33" t="n">
        <f aca="false">AZ4454-BD4454</f>
        <v>0</v>
      </c>
      <c r="BF4454" s="34" t="n">
        <f aca="false">BD4454*M4454</f>
        <v>1110.2</v>
      </c>
      <c r="BG4454" s="35" t="n">
        <f aca="false">BA4454-BF4454</f>
        <v>0.799999999999955</v>
      </c>
      <c r="BH4454" s="19" t="str">
        <f aca="false">IF(BG4454=0,"",IF(BG4454&lt;&gt;BA4454,"erreur de calcul",IF(BD4454&lt;&gt;0,"pas de prix",IF(M4454&lt;&gt; 0,"pas de quantité","pas de prix, ni de quantité"))))</f>
        <v>erreur de calcul</v>
      </c>
      <c r="BI4454" s="19"/>
    </row>
    <row r="4455" customFormat="false" ht="15" hidden="false" customHeight="false" outlineLevel="0" collapsed="false">
      <c r="A4455" s="0" t="n">
        <v>33</v>
      </c>
      <c r="B4455" s="8" t="s">
        <v>24</v>
      </c>
      <c r="C4455" s="9" t="s">
        <v>25</v>
      </c>
      <c r="D4455" s="9" t="s">
        <v>26</v>
      </c>
      <c r="E4455" s="10" t="n">
        <v>1789</v>
      </c>
      <c r="F4455" s="9" t="s">
        <v>27</v>
      </c>
      <c r="G4455" s="9" t="s">
        <v>27</v>
      </c>
      <c r="H4455" s="11" t="n">
        <v>24</v>
      </c>
      <c r="I4455" s="11" t="s">
        <v>323</v>
      </c>
      <c r="J4455" s="14"/>
      <c r="K4455" s="14" t="n">
        <v>40</v>
      </c>
      <c r="L4455" s="16"/>
      <c r="M4455" s="27" t="n">
        <f aca="false">J4455+(K4455/20)+(L4455/240)</f>
        <v>2</v>
      </c>
      <c r="N4455" s="17" t="s">
        <v>66</v>
      </c>
      <c r="O4455" s="11"/>
      <c r="P4455" s="28" t="n">
        <v>780</v>
      </c>
      <c r="Q4455" s="28" t="n">
        <v>1560</v>
      </c>
      <c r="R4455" s="28"/>
      <c r="S4455" s="28" t="n">
        <f aca="false">R4455*$M4455</f>
        <v>0</v>
      </c>
      <c r="T4455" s="28" t="n">
        <v>1552</v>
      </c>
      <c r="U4455" s="28" t="n">
        <v>3104</v>
      </c>
      <c r="V4455" s="28" t="n">
        <v>1051</v>
      </c>
      <c r="W4455" s="28" t="n">
        <v>2102</v>
      </c>
      <c r="X4455" s="28" t="n">
        <v>1486</v>
      </c>
      <c r="Y4455" s="28" t="n">
        <v>2972</v>
      </c>
      <c r="Z4455" s="28" t="n">
        <v>847</v>
      </c>
      <c r="AA4455" s="28" t="n">
        <v>1694</v>
      </c>
      <c r="AB4455" s="28" t="n">
        <v>114</v>
      </c>
      <c r="AC4455" s="28" t="n">
        <v>228</v>
      </c>
      <c r="AD4455" s="28" t="n">
        <v>407</v>
      </c>
      <c r="AE4455" s="28" t="n">
        <v>814</v>
      </c>
      <c r="AF4455" s="28"/>
      <c r="AG4455" s="28" t="n">
        <f aca="false">AF4455*$M4455</f>
        <v>0</v>
      </c>
      <c r="AH4455" s="28"/>
      <c r="AI4455" s="28" t="n">
        <f aca="false">AH4455*$M4455</f>
        <v>0</v>
      </c>
      <c r="AJ4455" s="28" t="n">
        <v>1297</v>
      </c>
      <c r="AK4455" s="28" t="n">
        <v>2594</v>
      </c>
      <c r="AL4455" s="28"/>
      <c r="AM4455" s="28" t="n">
        <f aca="false">AL4455*$M4455</f>
        <v>0</v>
      </c>
      <c r="AN4455" s="28"/>
      <c r="AO4455" s="28" t="n">
        <f aca="false">AN4455*$M4455</f>
        <v>0</v>
      </c>
      <c r="AP4455" s="28"/>
      <c r="AQ4455" s="28" t="n">
        <f aca="false">AP4455*$M4455</f>
        <v>0</v>
      </c>
      <c r="AR4455" s="28"/>
      <c r="AS4455" s="28" t="n">
        <f aca="false">AR4455*$M4455</f>
        <v>0</v>
      </c>
      <c r="AT4455" s="28"/>
      <c r="AU4455" s="28" t="n">
        <f aca="false">AT4455*$M4455</f>
        <v>0</v>
      </c>
      <c r="AV4455" s="28"/>
      <c r="AW4455" s="28" t="n">
        <f aca="false">AV4455*$M4455</f>
        <v>0</v>
      </c>
      <c r="AX4455" s="28"/>
      <c r="AY4455" s="28" t="n">
        <f aca="false">AX4455*$M4455</f>
        <v>0</v>
      </c>
      <c r="AZ4455" s="30" t="n">
        <v>7534</v>
      </c>
      <c r="BA4455" s="11" t="n">
        <v>15068</v>
      </c>
      <c r="BB4455" s="31" t="n">
        <f aca="false">SUM(Q4455,S4455,U4455,W4455,Y4455,AA4455,AC4455,AE4455,AG4455,AI4455,AK4455,AM4455,AO4455,AQ4455,AS4455,AU4455,AW4455,AY4455)</f>
        <v>15068</v>
      </c>
      <c r="BC4455" s="28" t="n">
        <f aca="false">BA4455-BB4455</f>
        <v>0</v>
      </c>
      <c r="BD4455" s="32" t="n">
        <f aca="false">SUM(P4455,R4455,T4455,V4455,X4455,Z4455,AB4455,AD4455,AF4455,AH4455,AJ4455,AL4455,AN4455,AP4455,AR4455,AT4455,AV4455,AX4455)</f>
        <v>7534</v>
      </c>
      <c r="BE4455" s="33" t="n">
        <f aca="false">AZ4455-BD4455</f>
        <v>0</v>
      </c>
      <c r="BF4455" s="34" t="n">
        <f aca="false">BD4455*M4455</f>
        <v>15068</v>
      </c>
      <c r="BG4455" s="35" t="n">
        <f aca="false">BA4455-BF4455</f>
        <v>0</v>
      </c>
      <c r="BH4455" s="19" t="str">
        <f aca="false">IF(BG4455=0,"",IF(BG4455&lt;&gt;BA4455,"erreur de calcul",IF(BD4455&lt;&gt;0,"pas de prix",IF(M4455&lt;&gt; 0,"pas de quantité","pas de prix, ni de quantité"))))</f>
        <v/>
      </c>
      <c r="BI4455" s="19"/>
    </row>
    <row r="4456" customFormat="false" ht="15" hidden="false" customHeight="false" outlineLevel="0" collapsed="false">
      <c r="A4456" s="0" t="n">
        <v>34</v>
      </c>
      <c r="B4456" s="8" t="s">
        <v>24</v>
      </c>
      <c r="C4456" s="9" t="s">
        <v>25</v>
      </c>
      <c r="D4456" s="9" t="s">
        <v>26</v>
      </c>
      <c r="E4456" s="10" t="n">
        <v>1789</v>
      </c>
      <c r="F4456" s="9" t="s">
        <v>27</v>
      </c>
      <c r="G4456" s="9" t="s">
        <v>27</v>
      </c>
      <c r="H4456" s="11" t="n">
        <v>24</v>
      </c>
      <c r="I4456" s="11" t="s">
        <v>324</v>
      </c>
      <c r="J4456" s="14" t="n">
        <v>15</v>
      </c>
      <c r="K4456" s="14"/>
      <c r="L4456" s="16"/>
      <c r="M4456" s="27" t="n">
        <f aca="false">J4456+(K4456/20)+(L4456/240)</f>
        <v>15</v>
      </c>
      <c r="N4456" s="17" t="s">
        <v>64</v>
      </c>
      <c r="O4456" s="11"/>
      <c r="P4456" s="28" t="n">
        <f aca="false">6834/100</f>
        <v>68.34</v>
      </c>
      <c r="Q4456" s="28" t="n">
        <v>1025</v>
      </c>
      <c r="R4456" s="28"/>
      <c r="S4456" s="28" t="n">
        <f aca="false">R4456*$M4456</f>
        <v>0</v>
      </c>
      <c r="T4456" s="28" t="n">
        <f aca="false">834/100</f>
        <v>8.34</v>
      </c>
      <c r="U4456" s="28" t="n">
        <v>125</v>
      </c>
      <c r="V4456" s="28" t="n">
        <f aca="false">197372/100</f>
        <v>1973.72</v>
      </c>
      <c r="W4456" s="28" t="n">
        <v>29606</v>
      </c>
      <c r="X4456" s="28" t="n">
        <f aca="false">2334702/100</f>
        <v>23347.02</v>
      </c>
      <c r="Y4456" s="28" t="n">
        <v>350205</v>
      </c>
      <c r="Z4456" s="28"/>
      <c r="AA4456" s="28" t="n">
        <f aca="false">Z4456*$M4456</f>
        <v>0</v>
      </c>
      <c r="AB4456" s="28" t="n">
        <f aca="false">1417/100</f>
        <v>14.17</v>
      </c>
      <c r="AC4456" s="28" t="n">
        <v>212</v>
      </c>
      <c r="AD4456" s="28"/>
      <c r="AE4456" s="28" t="n">
        <f aca="false">AD4456*$M4456</f>
        <v>0</v>
      </c>
      <c r="AF4456" s="28"/>
      <c r="AG4456" s="28" t="n">
        <f aca="false">AF4456*$M4456</f>
        <v>0</v>
      </c>
      <c r="AH4456" s="28"/>
      <c r="AI4456" s="28" t="n">
        <f aca="false">AH4456*$M4456</f>
        <v>0</v>
      </c>
      <c r="AJ4456" s="28"/>
      <c r="AK4456" s="28" t="n">
        <f aca="false">AJ4456*$M4456</f>
        <v>0</v>
      </c>
      <c r="AL4456" s="28"/>
      <c r="AM4456" s="28" t="n">
        <f aca="false">AL4456*$M4456</f>
        <v>0</v>
      </c>
      <c r="AN4456" s="28"/>
      <c r="AO4456" s="28" t="n">
        <f aca="false">AN4456*$M4456</f>
        <v>0</v>
      </c>
      <c r="AP4456" s="28"/>
      <c r="AQ4456" s="28" t="n">
        <f aca="false">AP4456*$M4456</f>
        <v>0</v>
      </c>
      <c r="AR4456" s="28"/>
      <c r="AS4456" s="28" t="n">
        <f aca="false">AR4456*$M4456</f>
        <v>0</v>
      </c>
      <c r="AT4456" s="28"/>
      <c r="AU4456" s="28" t="n">
        <f aca="false">AT4456*$M4456</f>
        <v>0</v>
      </c>
      <c r="AV4456" s="28"/>
      <c r="AW4456" s="28" t="n">
        <f aca="false">AV4456*$M4456</f>
        <v>0</v>
      </c>
      <c r="AX4456" s="28"/>
      <c r="AY4456" s="28" t="n">
        <f aca="false">AX4456*$M4456</f>
        <v>0</v>
      </c>
      <c r="AZ4456" s="30" t="n">
        <f aca="false">2541159/100</f>
        <v>25411.59</v>
      </c>
      <c r="BA4456" s="11" t="n">
        <v>381173</v>
      </c>
      <c r="BB4456" s="31" t="n">
        <f aca="false">SUM(Q4456,S4456,U4456,W4456,Y4456,AA4456,AC4456,AE4456,AG4456,AI4456,AK4456,AM4456,AO4456,AQ4456,AS4456,AU4456,AW4456,AY4456)</f>
        <v>381173</v>
      </c>
      <c r="BC4456" s="28" t="n">
        <f aca="false">BA4456-BB4456</f>
        <v>0</v>
      </c>
      <c r="BD4456" s="32" t="n">
        <f aca="false">SUM(P4456,R4456,T4456,V4456,X4456,Z4456,AB4456,AD4456,AF4456,AH4456,AJ4456,AL4456,AN4456,AP4456,AR4456,AT4456,AV4456,AX4456)</f>
        <v>25411.59</v>
      </c>
      <c r="BE4456" s="33" t="n">
        <f aca="false">AZ4456-BD4456</f>
        <v>0</v>
      </c>
      <c r="BF4456" s="34" t="n">
        <f aca="false">BD4456*M4456</f>
        <v>381173.85</v>
      </c>
      <c r="BG4456" s="35" t="n">
        <f aca="false">BA4456-BF4456</f>
        <v>-0.849999999976717</v>
      </c>
      <c r="BH4456" s="19" t="str">
        <f aca="false">IF(BG4456=0,"",IF(BG4456&lt;&gt;BA4456,"erreur de calcul",IF(BD4456&lt;&gt;0,"pas de prix",IF(M4456&lt;&gt; 0,"pas de quantité","pas de prix, ni de quantité"))))</f>
        <v>erreur de calcul</v>
      </c>
      <c r="BI4456" s="19"/>
    </row>
    <row r="4457" customFormat="false" ht="15" hidden="false" customHeight="false" outlineLevel="0" collapsed="false">
      <c r="A4457" s="0" t="n">
        <v>35</v>
      </c>
      <c r="B4457" s="8" t="s">
        <v>24</v>
      </c>
      <c r="C4457" s="9" t="s">
        <v>25</v>
      </c>
      <c r="D4457" s="9" t="s">
        <v>26</v>
      </c>
      <c r="E4457" s="10" t="n">
        <v>1789</v>
      </c>
      <c r="F4457" s="9" t="s">
        <v>27</v>
      </c>
      <c r="G4457" s="9" t="s">
        <v>27</v>
      </c>
      <c r="H4457" s="11" t="n">
        <v>24</v>
      </c>
      <c r="I4457" s="11" t="s">
        <v>325</v>
      </c>
      <c r="J4457" s="14" t="n">
        <v>25</v>
      </c>
      <c r="K4457" s="14"/>
      <c r="L4457" s="16"/>
      <c r="M4457" s="27" t="n">
        <f aca="false">J4457+(K4457/20)+(L4457/240)</f>
        <v>25</v>
      </c>
      <c r="N4457" s="17" t="s">
        <v>64</v>
      </c>
      <c r="O4457" s="11"/>
      <c r="P4457" s="28"/>
      <c r="Q4457" s="28" t="n">
        <f aca="false">P4457*$M4457</f>
        <v>0</v>
      </c>
      <c r="R4457" s="28"/>
      <c r="S4457" s="28" t="n">
        <f aca="false">R4457*$M4457</f>
        <v>0</v>
      </c>
      <c r="T4457" s="28"/>
      <c r="U4457" s="28" t="n">
        <f aca="false">T4457*$M4457</f>
        <v>0</v>
      </c>
      <c r="V4457" s="28"/>
      <c r="W4457" s="28" t="n">
        <f aca="false">V4457*$M4457</f>
        <v>0</v>
      </c>
      <c r="X4457" s="28" t="n">
        <f aca="false">4971/100</f>
        <v>49.71</v>
      </c>
      <c r="Y4457" s="28" t="n">
        <v>1243</v>
      </c>
      <c r="Z4457" s="28" t="n">
        <f aca="false">14812/100</f>
        <v>148.12</v>
      </c>
      <c r="AA4457" s="28" t="n">
        <v>3703</v>
      </c>
      <c r="AB4457" s="28"/>
      <c r="AC4457" s="28" t="n">
        <f aca="false">AB4457*$M4457</f>
        <v>0</v>
      </c>
      <c r="AD4457" s="28"/>
      <c r="AE4457" s="28" t="n">
        <f aca="false">AD4457*$M4457</f>
        <v>0</v>
      </c>
      <c r="AF4457" s="28"/>
      <c r="AG4457" s="28" t="n">
        <f aca="false">AF4457*$M4457</f>
        <v>0</v>
      </c>
      <c r="AH4457" s="28"/>
      <c r="AI4457" s="28" t="n">
        <f aca="false">AH4457*$M4457</f>
        <v>0</v>
      </c>
      <c r="AJ4457" s="28"/>
      <c r="AK4457" s="28" t="n">
        <f aca="false">AJ4457*$M4457</f>
        <v>0</v>
      </c>
      <c r="AL4457" s="28"/>
      <c r="AM4457" s="28" t="n">
        <f aca="false">AL4457*$M4457</f>
        <v>0</v>
      </c>
      <c r="AN4457" s="28"/>
      <c r="AO4457" s="28" t="n">
        <f aca="false">AN4457*$M4457</f>
        <v>0</v>
      </c>
      <c r="AP4457" s="28"/>
      <c r="AQ4457" s="28" t="n">
        <f aca="false">AP4457*$M4457</f>
        <v>0</v>
      </c>
      <c r="AR4457" s="28"/>
      <c r="AS4457" s="28" t="n">
        <f aca="false">AR4457*$M4457</f>
        <v>0</v>
      </c>
      <c r="AT4457" s="28"/>
      <c r="AU4457" s="28" t="n">
        <f aca="false">AT4457*$M4457</f>
        <v>0</v>
      </c>
      <c r="AV4457" s="28"/>
      <c r="AW4457" s="28" t="n">
        <f aca="false">AV4457*$M4457</f>
        <v>0</v>
      </c>
      <c r="AX4457" s="28"/>
      <c r="AY4457" s="28" t="n">
        <f aca="false">AX4457*$M4457</f>
        <v>0</v>
      </c>
      <c r="AZ4457" s="30" t="n">
        <f aca="false">19783/100</f>
        <v>197.83</v>
      </c>
      <c r="BA4457" s="11" t="n">
        <v>4946</v>
      </c>
      <c r="BB4457" s="31" t="n">
        <f aca="false">SUM(Q4457,S4457,U4457,W4457,Y4457,AA4457,AC4457,AE4457,AG4457,AI4457,AK4457,AM4457,AO4457,AQ4457,AS4457,AU4457,AW4457,AY4457)</f>
        <v>4946</v>
      </c>
      <c r="BC4457" s="28" t="n">
        <f aca="false">BA4457-BB4457</f>
        <v>0</v>
      </c>
      <c r="BD4457" s="32" t="n">
        <f aca="false">SUM(P4457,R4457,T4457,V4457,X4457,Z4457,AB4457,AD4457,AF4457,AH4457,AJ4457,AL4457,AN4457,AP4457,AR4457,AT4457,AV4457,AX4457)</f>
        <v>197.83</v>
      </c>
      <c r="BE4457" s="33" t="n">
        <f aca="false">AZ4457-BD4457</f>
        <v>0</v>
      </c>
      <c r="BF4457" s="34" t="n">
        <f aca="false">BD4457*M4457</f>
        <v>4945.75</v>
      </c>
      <c r="BG4457" s="35" t="n">
        <f aca="false">BA4457-BF4457</f>
        <v>0.25</v>
      </c>
      <c r="BH4457" s="19" t="str">
        <f aca="false">IF(BG4457=0,"",IF(BG4457&lt;&gt;BA4457,"erreur de calcul",IF(BD4457&lt;&gt;0,"pas de prix",IF(M4457&lt;&gt; 0,"pas de quantité","pas de prix, ni de quantité"))))</f>
        <v>erreur de calcul</v>
      </c>
      <c r="BI4457" s="19"/>
    </row>
    <row r="4458" customFormat="false" ht="15" hidden="false" customHeight="false" outlineLevel="0" collapsed="false">
      <c r="A4458" s="0" t="n">
        <v>36</v>
      </c>
      <c r="B4458" s="8" t="s">
        <v>24</v>
      </c>
      <c r="C4458" s="9" t="s">
        <v>25</v>
      </c>
      <c r="D4458" s="9" t="s">
        <v>26</v>
      </c>
      <c r="E4458" s="10" t="n">
        <v>1789</v>
      </c>
      <c r="F4458" s="9" t="s">
        <v>27</v>
      </c>
      <c r="G4458" s="9" t="s">
        <v>27</v>
      </c>
      <c r="H4458" s="11" t="n">
        <v>24</v>
      </c>
      <c r="I4458" s="11" t="s">
        <v>326</v>
      </c>
      <c r="J4458" s="14"/>
      <c r="K4458" s="14"/>
      <c r="L4458" s="16"/>
      <c r="M4458" s="27" t="n">
        <f aca="false">J4458+(K4458/20)+(L4458/240)</f>
        <v>0</v>
      </c>
      <c r="N4458" s="17"/>
      <c r="O4458" s="11" t="s">
        <v>77</v>
      </c>
      <c r="P4458" s="28"/>
      <c r="Q4458" s="28" t="n">
        <v>84</v>
      </c>
      <c r="R4458" s="28"/>
      <c r="S4458" s="28" t="n">
        <v>80</v>
      </c>
      <c r="T4458" s="28"/>
      <c r="U4458" s="28" t="n">
        <v>115</v>
      </c>
      <c r="V4458" s="28"/>
      <c r="W4458" s="28" t="n">
        <f aca="false">V4458*$M4458</f>
        <v>0</v>
      </c>
      <c r="X4458" s="28"/>
      <c r="Y4458" s="28" t="n">
        <v>82</v>
      </c>
      <c r="Z4458" s="28"/>
      <c r="AA4458" s="28" t="n">
        <v>32</v>
      </c>
      <c r="AB4458" s="28"/>
      <c r="AC4458" s="28" t="n">
        <v>82</v>
      </c>
      <c r="AD4458" s="28"/>
      <c r="AE4458" s="28" t="n">
        <f aca="false">AD4458*$M4458</f>
        <v>0</v>
      </c>
      <c r="AF4458" s="28"/>
      <c r="AG4458" s="28" t="n">
        <v>129</v>
      </c>
      <c r="AH4458" s="28"/>
      <c r="AI4458" s="28" t="n">
        <f aca="false">AH4458*$M4458</f>
        <v>0</v>
      </c>
      <c r="AJ4458" s="28"/>
      <c r="AK4458" s="28" t="n">
        <v>79</v>
      </c>
      <c r="AL4458" s="28"/>
      <c r="AM4458" s="28" t="n">
        <v>106</v>
      </c>
      <c r="AN4458" s="28"/>
      <c r="AO4458" s="28" t="n">
        <f aca="false">AN4458*$M4458</f>
        <v>0</v>
      </c>
      <c r="AP4458" s="28"/>
      <c r="AQ4458" s="28" t="n">
        <f aca="false">AP4458*$M4458</f>
        <v>0</v>
      </c>
      <c r="AR4458" s="28"/>
      <c r="AS4458" s="28" t="n">
        <f aca="false">AR4458*$M4458</f>
        <v>0</v>
      </c>
      <c r="AT4458" s="28"/>
      <c r="AU4458" s="28" t="n">
        <f aca="false">AT4458*$M4458</f>
        <v>0</v>
      </c>
      <c r="AV4458" s="28"/>
      <c r="AW4458" s="28" t="n">
        <f aca="false">AV4458*$M4458</f>
        <v>0</v>
      </c>
      <c r="AX4458" s="28"/>
      <c r="AY4458" s="28" t="n">
        <f aca="false">AX4458*$M4458</f>
        <v>0</v>
      </c>
      <c r="AZ4458" s="30"/>
      <c r="BA4458" s="11" t="n">
        <v>789</v>
      </c>
      <c r="BB4458" s="31" t="n">
        <f aca="false">SUM(Q4458,S4458,U4458,W4458,Y4458,AA4458,AC4458,AE4458,AG4458,AI4458,AK4458,AM4458,AO4458,AQ4458,AS4458,AU4458,AW4458,AY4458)</f>
        <v>789</v>
      </c>
      <c r="BC4458" s="28" t="n">
        <f aca="false">BA4458-BB4458</f>
        <v>0</v>
      </c>
      <c r="BD4458" s="32" t="n">
        <f aca="false">SUM(P4458,R4458,T4458,V4458,X4458,Z4458,AB4458,AD4458,AF4458,AH4458,AJ4458,AL4458,AN4458,AP4458,AR4458,AT4458,AV4458,AX4458)</f>
        <v>0</v>
      </c>
      <c r="BE4458" s="33" t="n">
        <f aca="false">AZ4458-BD4458</f>
        <v>0</v>
      </c>
      <c r="BF4458" s="34" t="n">
        <f aca="false">BD4458*M4458</f>
        <v>0</v>
      </c>
      <c r="BG4458" s="35" t="n">
        <f aca="false">BA4458-BF4458</f>
        <v>789</v>
      </c>
      <c r="BH4458" s="19" t="str">
        <f aca="false">IF(BG4458=0,"",IF(BG4458&lt;&gt;BA4458,"erreur de calcul",IF(BD4458&lt;&gt;0,"pas de prix",IF(M4458&lt;&gt; 0,"pas de quantité","pas de prix, ni de quantité"))))</f>
        <v>pas de prix, ni de quantité</v>
      </c>
      <c r="BI4458" s="19"/>
    </row>
    <row r="4459" customFormat="false" ht="15" hidden="false" customHeight="false" outlineLevel="0" collapsed="false">
      <c r="A4459" s="0" t="n">
        <v>37</v>
      </c>
      <c r="B4459" s="8" t="s">
        <v>24</v>
      </c>
      <c r="C4459" s="9" t="s">
        <v>25</v>
      </c>
      <c r="D4459" s="9" t="s">
        <v>26</v>
      </c>
      <c r="E4459" s="10" t="n">
        <v>1789</v>
      </c>
      <c r="F4459" s="9" t="s">
        <v>27</v>
      </c>
      <c r="G4459" s="9" t="s">
        <v>27</v>
      </c>
      <c r="H4459" s="11" t="n">
        <v>24</v>
      </c>
      <c r="I4459" s="11" t="s">
        <v>327</v>
      </c>
      <c r="J4459" s="14"/>
      <c r="K4459" s="14" t="n">
        <v>20</v>
      </c>
      <c r="L4459" s="16"/>
      <c r="M4459" s="27" t="n">
        <f aca="false">J4459+(K4459/20)+(L4459/240)</f>
        <v>1</v>
      </c>
      <c r="N4459" s="17" t="s">
        <v>66</v>
      </c>
      <c r="O4459" s="11"/>
      <c r="P4459" s="28"/>
      <c r="Q4459" s="28" t="n">
        <f aca="false">P4459*$M4459</f>
        <v>0</v>
      </c>
      <c r="R4459" s="28"/>
      <c r="S4459" s="28" t="n">
        <f aca="false">R4459*$M4459</f>
        <v>0</v>
      </c>
      <c r="T4459" s="28"/>
      <c r="U4459" s="28" t="n">
        <f aca="false">T4459*$M4459</f>
        <v>0</v>
      </c>
      <c r="V4459" s="28" t="n">
        <v>1705</v>
      </c>
      <c r="W4459" s="28" t="n">
        <v>1705</v>
      </c>
      <c r="X4459" s="28"/>
      <c r="Y4459" s="28" t="n">
        <f aca="false">X4459*$M4459</f>
        <v>0</v>
      </c>
      <c r="Z4459" s="28"/>
      <c r="AA4459" s="28" t="n">
        <f aca="false">Z4459*$M4459</f>
        <v>0</v>
      </c>
      <c r="AB4459" s="28" t="n">
        <v>226</v>
      </c>
      <c r="AC4459" s="28" t="n">
        <v>226</v>
      </c>
      <c r="AD4459" s="28"/>
      <c r="AE4459" s="28" t="n">
        <f aca="false">AD4459*$M4459</f>
        <v>0</v>
      </c>
      <c r="AF4459" s="28"/>
      <c r="AG4459" s="28" t="n">
        <f aca="false">AF4459*$M4459</f>
        <v>0</v>
      </c>
      <c r="AH4459" s="28"/>
      <c r="AI4459" s="28" t="n">
        <f aca="false">AH4459*$M4459</f>
        <v>0</v>
      </c>
      <c r="AJ4459" s="28"/>
      <c r="AK4459" s="28" t="n">
        <f aca="false">AJ4459*$M4459</f>
        <v>0</v>
      </c>
      <c r="AL4459" s="28"/>
      <c r="AM4459" s="28" t="n">
        <f aca="false">AL4459*$M4459</f>
        <v>0</v>
      </c>
      <c r="AN4459" s="28"/>
      <c r="AO4459" s="28" t="n">
        <f aca="false">AN4459*$M4459</f>
        <v>0</v>
      </c>
      <c r="AP4459" s="28"/>
      <c r="AQ4459" s="28" t="n">
        <f aca="false">AP4459*$M4459</f>
        <v>0</v>
      </c>
      <c r="AR4459" s="28"/>
      <c r="AS4459" s="28" t="n">
        <f aca="false">AR4459*$M4459</f>
        <v>0</v>
      </c>
      <c r="AT4459" s="28"/>
      <c r="AU4459" s="28" t="n">
        <f aca="false">AT4459*$M4459</f>
        <v>0</v>
      </c>
      <c r="AV4459" s="28"/>
      <c r="AW4459" s="28" t="n">
        <f aca="false">AV4459*$M4459</f>
        <v>0</v>
      </c>
      <c r="AX4459" s="28"/>
      <c r="AY4459" s="28" t="n">
        <f aca="false">AX4459*$M4459</f>
        <v>0</v>
      </c>
      <c r="AZ4459" s="30" t="n">
        <v>1931</v>
      </c>
      <c r="BA4459" s="11" t="n">
        <v>1931</v>
      </c>
      <c r="BB4459" s="31" t="n">
        <f aca="false">SUM(Q4459,S4459,U4459,W4459,Y4459,AA4459,AC4459,AE4459,AG4459,AI4459,AK4459,AM4459,AO4459,AQ4459,AS4459,AU4459,AW4459,AY4459)</f>
        <v>1931</v>
      </c>
      <c r="BC4459" s="28" t="n">
        <f aca="false">BA4459-BB4459</f>
        <v>0</v>
      </c>
      <c r="BD4459" s="32" t="n">
        <f aca="false">SUM(P4459,R4459,T4459,V4459,X4459,Z4459,AB4459,AD4459,AF4459,AH4459,AJ4459,AL4459,AN4459,AP4459,AR4459,AT4459,AV4459,AX4459)</f>
        <v>1931</v>
      </c>
      <c r="BE4459" s="33" t="n">
        <f aca="false">AZ4459-BD4459</f>
        <v>0</v>
      </c>
      <c r="BF4459" s="34" t="n">
        <f aca="false">BD4459*M4459</f>
        <v>1931</v>
      </c>
      <c r="BG4459" s="35" t="n">
        <f aca="false">BA4459-BF4459</f>
        <v>0</v>
      </c>
      <c r="BH4459" s="19" t="str">
        <f aca="false">IF(BG4459=0,"",IF(BG4459&lt;&gt;BA4459,"erreur de calcul",IF(BD4459&lt;&gt;0,"pas de prix",IF(M4459&lt;&gt; 0,"pas de quantité","pas de prix, ni de quantité"))))</f>
        <v/>
      </c>
      <c r="BI4459" s="19"/>
    </row>
    <row r="4460" customFormat="false" ht="15" hidden="false" customHeight="false" outlineLevel="0" collapsed="false">
      <c r="A4460" s="0" t="n">
        <v>38</v>
      </c>
      <c r="B4460" s="8" t="s">
        <v>24</v>
      </c>
      <c r="C4460" s="9" t="s">
        <v>25</v>
      </c>
      <c r="D4460" s="9" t="s">
        <v>26</v>
      </c>
      <c r="E4460" s="10" t="n">
        <v>1789</v>
      </c>
      <c r="F4460" s="9" t="s">
        <v>27</v>
      </c>
      <c r="G4460" s="9" t="s">
        <v>27</v>
      </c>
      <c r="H4460" s="11" t="n">
        <v>24</v>
      </c>
      <c r="I4460" s="11" t="s">
        <v>328</v>
      </c>
      <c r="J4460" s="14" t="n">
        <v>208</v>
      </c>
      <c r="K4460" s="14"/>
      <c r="L4460" s="16"/>
      <c r="M4460" s="27" t="n">
        <f aca="false">J4460+(K4460/20)+(L4460/240)</f>
        <v>208</v>
      </c>
      <c r="N4460" s="17" t="s">
        <v>64</v>
      </c>
      <c r="O4460" s="11" t="s">
        <v>277</v>
      </c>
      <c r="P4460" s="28"/>
      <c r="Q4460" s="28" t="n">
        <f aca="false">P4460*$M4460</f>
        <v>0</v>
      </c>
      <c r="R4460" s="28"/>
      <c r="S4460" s="28" t="n">
        <f aca="false">R4460*$M4460</f>
        <v>0</v>
      </c>
      <c r="T4460" s="28" t="n">
        <f aca="false">536/100</f>
        <v>5.36</v>
      </c>
      <c r="U4460" s="28" t="n">
        <v>1115</v>
      </c>
      <c r="V4460" s="28" t="n">
        <f aca="false">1983/100</f>
        <v>19.83</v>
      </c>
      <c r="W4460" s="28" t="n">
        <v>4125</v>
      </c>
      <c r="X4460" s="28" t="n">
        <f aca="false">37641/100</f>
        <v>376.41</v>
      </c>
      <c r="Y4460" s="28" t="n">
        <v>78293</v>
      </c>
      <c r="Z4460" s="28" t="n">
        <f aca="false">1281/100</f>
        <v>12.81</v>
      </c>
      <c r="AA4460" s="28" t="n">
        <v>2664</v>
      </c>
      <c r="AB4460" s="28"/>
      <c r="AC4460" s="28" t="n">
        <f aca="false">AB4460*$M4460</f>
        <v>0</v>
      </c>
      <c r="AD4460" s="28"/>
      <c r="AE4460" s="28" t="n">
        <f aca="false">AD4460*$M4460</f>
        <v>0</v>
      </c>
      <c r="AF4460" s="28"/>
      <c r="AG4460" s="28" t="n">
        <f aca="false">AF4460*$M4460</f>
        <v>0</v>
      </c>
      <c r="AH4460" s="28"/>
      <c r="AI4460" s="28" t="n">
        <f aca="false">AH4460*$M4460</f>
        <v>0</v>
      </c>
      <c r="AJ4460" s="28" t="n">
        <f aca="false">20789/100</f>
        <v>207.89</v>
      </c>
      <c r="AK4460" s="28" t="n">
        <v>43241</v>
      </c>
      <c r="AL4460" s="28" t="n">
        <f aca="false">2470/100</f>
        <v>24.7</v>
      </c>
      <c r="AM4460" s="28" t="n">
        <v>5138</v>
      </c>
      <c r="AN4460" s="28"/>
      <c r="AO4460" s="28" t="n">
        <f aca="false">AN4460*$M4460</f>
        <v>0</v>
      </c>
      <c r="AP4460" s="28"/>
      <c r="AQ4460" s="28" t="n">
        <f aca="false">AP4460*$M4460</f>
        <v>0</v>
      </c>
      <c r="AR4460" s="28"/>
      <c r="AS4460" s="28" t="n">
        <f aca="false">AR4460*$M4460</f>
        <v>0</v>
      </c>
      <c r="AT4460" s="28"/>
      <c r="AU4460" s="28" t="n">
        <f aca="false">AT4460*$M4460</f>
        <v>0</v>
      </c>
      <c r="AV4460" s="28"/>
      <c r="AW4460" s="28" t="n">
        <f aca="false">AV4460*$M4460</f>
        <v>0</v>
      </c>
      <c r="AX4460" s="28"/>
      <c r="AY4460" s="28" t="n">
        <f aca="false">AX4460*$M4460</f>
        <v>0</v>
      </c>
      <c r="AZ4460" s="30" t="n">
        <f aca="false">64700/100</f>
        <v>647</v>
      </c>
      <c r="BA4460" s="11" t="n">
        <v>134576</v>
      </c>
      <c r="BB4460" s="31" t="n">
        <f aca="false">SUM(Q4460,S4460,U4460,W4460,Y4460,AA4460,AC4460,AE4460,AG4460,AI4460,AK4460,AM4460,AO4460,AQ4460,AS4460,AU4460,AW4460,AY4460)</f>
        <v>134576</v>
      </c>
      <c r="BC4460" s="28" t="n">
        <f aca="false">BA4460-BB4460</f>
        <v>0</v>
      </c>
      <c r="BD4460" s="32" t="n">
        <f aca="false">SUM(P4460,R4460,T4460,V4460,X4460,Z4460,AB4460,AD4460,AF4460,AH4460,AJ4460,AL4460,AN4460,AP4460,AR4460,AT4460,AV4460,AX4460)</f>
        <v>647</v>
      </c>
      <c r="BE4460" s="33" t="n">
        <f aca="false">AZ4460-BD4460</f>
        <v>0</v>
      </c>
      <c r="BF4460" s="34" t="n">
        <f aca="false">BD4460*M4460</f>
        <v>134576</v>
      </c>
      <c r="BG4460" s="35" t="n">
        <f aca="false">BA4460-BF4460</f>
        <v>0</v>
      </c>
      <c r="BH4460" s="19" t="str">
        <f aca="false">IF(BG4460=0,"",IF(BG4460&lt;&gt;BA4460,"erreur de calcul",IF(BD4460&lt;&gt;0,"pas de prix",IF(M4460&lt;&gt; 0,"pas de quantité","pas de prix, ni de quantité"))))</f>
        <v/>
      </c>
      <c r="BI4460" s="19"/>
    </row>
    <row r="4461" customFormat="false" ht="15" hidden="false" customHeight="false" outlineLevel="0" collapsed="false">
      <c r="A4461" s="0" t="n">
        <v>1</v>
      </c>
      <c r="B4461" s="8" t="s">
        <v>24</v>
      </c>
      <c r="C4461" s="9" t="s">
        <v>25</v>
      </c>
      <c r="D4461" s="9" t="s">
        <v>26</v>
      </c>
      <c r="E4461" s="10" t="n">
        <v>1789</v>
      </c>
      <c r="F4461" s="9" t="s">
        <v>27</v>
      </c>
      <c r="G4461" s="9" t="s">
        <v>27</v>
      </c>
      <c r="H4461" s="11" t="n">
        <v>25</v>
      </c>
      <c r="I4461" s="11" t="s">
        <v>329</v>
      </c>
      <c r="J4461" s="14" t="n">
        <v>30</v>
      </c>
      <c r="K4461" s="14"/>
      <c r="L4461" s="16"/>
      <c r="M4461" s="27" t="n">
        <f aca="false">J4461+(K4461/20)+(L4461/240)</f>
        <v>30</v>
      </c>
      <c r="N4461" s="17" t="s">
        <v>64</v>
      </c>
      <c r="O4461" s="11"/>
      <c r="P4461" s="28" t="n">
        <f aca="false">888/100</f>
        <v>8.88</v>
      </c>
      <c r="Q4461" s="28" t="n">
        <v>266</v>
      </c>
      <c r="R4461" s="28"/>
      <c r="S4461" s="28" t="n">
        <f aca="false">R4461*$M4461</f>
        <v>0</v>
      </c>
      <c r="T4461" s="28" t="n">
        <f aca="false">1151/100</f>
        <v>11.51</v>
      </c>
      <c r="U4461" s="28" t="n">
        <v>345</v>
      </c>
      <c r="V4461" s="28"/>
      <c r="W4461" s="28" t="n">
        <f aca="false">V4461*$M4461</f>
        <v>0</v>
      </c>
      <c r="X4461" s="28"/>
      <c r="Y4461" s="28" t="n">
        <f aca="false">X4461*$M4461</f>
        <v>0</v>
      </c>
      <c r="Z4461" s="28"/>
      <c r="AA4461" s="28" t="n">
        <f aca="false">Z4461*$M4461</f>
        <v>0</v>
      </c>
      <c r="AB4461" s="28"/>
      <c r="AC4461" s="28" t="n">
        <f aca="false">AB4461*$M4461</f>
        <v>0</v>
      </c>
      <c r="AD4461" s="28"/>
      <c r="AE4461" s="28" t="n">
        <f aca="false">AD4461*$M4461</f>
        <v>0</v>
      </c>
      <c r="AF4461" s="28"/>
      <c r="AG4461" s="28" t="n">
        <f aca="false">AF4461*$M4461</f>
        <v>0</v>
      </c>
      <c r="AH4461" s="28"/>
      <c r="AI4461" s="28" t="n">
        <f aca="false">AH4461*$M4461</f>
        <v>0</v>
      </c>
      <c r="AJ4461" s="28"/>
      <c r="AK4461" s="28" t="n">
        <f aca="false">AJ4461*$M4461</f>
        <v>0</v>
      </c>
      <c r="AL4461" s="28"/>
      <c r="AM4461" s="28" t="n">
        <f aca="false">AL4461*$M4461</f>
        <v>0</v>
      </c>
      <c r="AN4461" s="28"/>
      <c r="AO4461" s="28" t="n">
        <f aca="false">AN4461*$M4461</f>
        <v>0</v>
      </c>
      <c r="AP4461" s="28"/>
      <c r="AQ4461" s="28" t="n">
        <f aca="false">AP4461*$M4461</f>
        <v>0</v>
      </c>
      <c r="AR4461" s="28"/>
      <c r="AS4461" s="28" t="n">
        <f aca="false">AR4461*$M4461</f>
        <v>0</v>
      </c>
      <c r="AT4461" s="28"/>
      <c r="AU4461" s="28" t="n">
        <f aca="false">AT4461*$M4461</f>
        <v>0</v>
      </c>
      <c r="AV4461" s="28"/>
      <c r="AW4461" s="28" t="n">
        <f aca="false">AV4461*$M4461</f>
        <v>0</v>
      </c>
      <c r="AX4461" s="28"/>
      <c r="AY4461" s="28" t="n">
        <f aca="false">AX4461*$M4461</f>
        <v>0</v>
      </c>
      <c r="AZ4461" s="30" t="n">
        <f aca="false">2039/100</f>
        <v>20.39</v>
      </c>
      <c r="BA4461" s="11" t="n">
        <v>611</v>
      </c>
      <c r="BB4461" s="31" t="n">
        <f aca="false">SUM(Q4461,S4461,U4461,W4461,Y4461,AA4461,AC4461,AE4461,AG4461,AI4461,AK4461,AM4461,AO4461,AQ4461,AS4461,AU4461,AW4461,AY4461)</f>
        <v>611</v>
      </c>
      <c r="BC4461" s="28" t="n">
        <f aca="false">BA4461-BB4461</f>
        <v>0</v>
      </c>
      <c r="BD4461" s="32" t="n">
        <f aca="false">SUM(P4461,R4461,T4461,V4461,X4461,Z4461,AB4461,AD4461,AF4461,AH4461,AJ4461,AL4461,AN4461,AP4461,AR4461,AT4461,AV4461,AX4461)</f>
        <v>20.39</v>
      </c>
      <c r="BE4461" s="33" t="n">
        <f aca="false">AZ4461-BD4461</f>
        <v>0</v>
      </c>
      <c r="BF4461" s="34" t="n">
        <f aca="false">BD4461*M4461</f>
        <v>611.7</v>
      </c>
      <c r="BG4461" s="35" t="n">
        <f aca="false">BA4461-BF4461</f>
        <v>-0.700000000000046</v>
      </c>
      <c r="BH4461" s="19" t="str">
        <f aca="false">IF(BG4461=0,"",IF(BG4461&lt;&gt;BA4461,"erreur de calcul",IF(BD4461&lt;&gt;0,"pas de prix",IF(M4461&lt;&gt; 0,"pas de quantité","pas de prix, ni de quantité"))))</f>
        <v>erreur de calcul</v>
      </c>
      <c r="BI4461" s="19"/>
    </row>
    <row r="4462" customFormat="false" ht="15" hidden="false" customHeight="false" outlineLevel="0" collapsed="false">
      <c r="A4462" s="0" t="n">
        <v>2</v>
      </c>
      <c r="B4462" s="8" t="s">
        <v>24</v>
      </c>
      <c r="C4462" s="9" t="s">
        <v>25</v>
      </c>
      <c r="D4462" s="9" t="s">
        <v>26</v>
      </c>
      <c r="E4462" s="10" t="n">
        <v>1789</v>
      </c>
      <c r="F4462" s="9" t="s">
        <v>27</v>
      </c>
      <c r="G4462" s="9" t="s">
        <v>27</v>
      </c>
      <c r="H4462" s="11" t="n">
        <v>25</v>
      </c>
      <c r="I4462" s="11" t="s">
        <v>330</v>
      </c>
      <c r="J4462" s="14"/>
      <c r="K4462" s="14" t="n">
        <v>20</v>
      </c>
      <c r="L4462" s="16"/>
      <c r="M4462" s="27" t="n">
        <f aca="false">J4462+(K4462/20)+(L4462/240)</f>
        <v>1</v>
      </c>
      <c r="N4462" s="17" t="s">
        <v>66</v>
      </c>
      <c r="O4462" s="11"/>
      <c r="P4462" s="28"/>
      <c r="Q4462" s="28" t="n">
        <f aca="false">P4462*$M4462</f>
        <v>0</v>
      </c>
      <c r="R4462" s="28"/>
      <c r="S4462" s="28" t="n">
        <f aca="false">R4462*$M4462</f>
        <v>0</v>
      </c>
      <c r="T4462" s="28"/>
      <c r="U4462" s="28" t="n">
        <f aca="false">T4462*$M4462</f>
        <v>0</v>
      </c>
      <c r="V4462" s="28"/>
      <c r="W4462" s="28" t="n">
        <f aca="false">V4462*$M4462</f>
        <v>0</v>
      </c>
      <c r="X4462" s="28"/>
      <c r="Y4462" s="28" t="n">
        <f aca="false">X4462*$M4462</f>
        <v>0</v>
      </c>
      <c r="Z4462" s="28"/>
      <c r="AA4462" s="28" t="n">
        <f aca="false">Z4462*$M4462</f>
        <v>0</v>
      </c>
      <c r="AB4462" s="28"/>
      <c r="AC4462" s="28" t="n">
        <f aca="false">AB4462*$M4462</f>
        <v>0</v>
      </c>
      <c r="AD4462" s="28"/>
      <c r="AE4462" s="28" t="n">
        <f aca="false">AD4462*$M4462</f>
        <v>0</v>
      </c>
      <c r="AF4462" s="28"/>
      <c r="AG4462" s="28" t="n">
        <f aca="false">AF4462*$M4462</f>
        <v>0</v>
      </c>
      <c r="AH4462" s="28"/>
      <c r="AI4462" s="28" t="n">
        <f aca="false">AH4462*$M4462</f>
        <v>0</v>
      </c>
      <c r="AJ4462" s="28" t="n">
        <v>4241</v>
      </c>
      <c r="AK4462" s="28" t="n">
        <v>4241</v>
      </c>
      <c r="AL4462" s="28"/>
      <c r="AM4462" s="28" t="n">
        <f aca="false">AL4462*$M4462</f>
        <v>0</v>
      </c>
      <c r="AN4462" s="28"/>
      <c r="AO4462" s="28" t="n">
        <f aca="false">AN4462*$M4462</f>
        <v>0</v>
      </c>
      <c r="AP4462" s="28"/>
      <c r="AQ4462" s="28" t="n">
        <f aca="false">AP4462*$M4462</f>
        <v>0</v>
      </c>
      <c r="AR4462" s="28"/>
      <c r="AS4462" s="28" t="n">
        <f aca="false">AR4462*$M4462</f>
        <v>0</v>
      </c>
      <c r="AT4462" s="28"/>
      <c r="AU4462" s="28" t="n">
        <f aca="false">AT4462*$M4462</f>
        <v>0</v>
      </c>
      <c r="AV4462" s="28"/>
      <c r="AW4462" s="28" t="n">
        <f aca="false">AV4462*$M4462</f>
        <v>0</v>
      </c>
      <c r="AX4462" s="28"/>
      <c r="AY4462" s="28" t="n">
        <f aca="false">AX4462*$M4462</f>
        <v>0</v>
      </c>
      <c r="AZ4462" s="30" t="n">
        <v>4241</v>
      </c>
      <c r="BA4462" s="11" t="n">
        <v>4241</v>
      </c>
      <c r="BB4462" s="31" t="n">
        <f aca="false">SUM(Q4462,S4462,U4462,W4462,Y4462,AA4462,AC4462,AE4462,AG4462,AI4462,AK4462,AM4462,AO4462,AQ4462,AS4462,AU4462,AW4462,AY4462)</f>
        <v>4241</v>
      </c>
      <c r="BC4462" s="28" t="n">
        <f aca="false">BA4462-BB4462</f>
        <v>0</v>
      </c>
      <c r="BD4462" s="32" t="n">
        <f aca="false">SUM(P4462,R4462,T4462,V4462,X4462,Z4462,AB4462,AD4462,AF4462,AH4462,AJ4462,AL4462,AN4462,AP4462,AR4462,AT4462,AV4462,AX4462)</f>
        <v>4241</v>
      </c>
      <c r="BE4462" s="33" t="n">
        <f aca="false">AZ4462-BD4462</f>
        <v>0</v>
      </c>
      <c r="BF4462" s="34" t="n">
        <f aca="false">BD4462*M4462</f>
        <v>4241</v>
      </c>
      <c r="BG4462" s="35" t="n">
        <f aca="false">BA4462-BF4462</f>
        <v>0</v>
      </c>
      <c r="BH4462" s="19" t="str">
        <f aca="false">IF(BG4462=0,"",IF(BG4462&lt;&gt;BA4462,"erreur de calcul",IF(BD4462&lt;&gt;0,"pas de prix",IF(M4462&lt;&gt; 0,"pas de quantité","pas de prix, ni de quantité"))))</f>
        <v/>
      </c>
      <c r="BI4462" s="19"/>
    </row>
    <row r="4463" customFormat="false" ht="15" hidden="false" customHeight="false" outlineLevel="0" collapsed="false">
      <c r="A4463" s="0" t="n">
        <v>3</v>
      </c>
      <c r="B4463" s="8" t="s">
        <v>24</v>
      </c>
      <c r="C4463" s="9" t="s">
        <v>25</v>
      </c>
      <c r="D4463" s="9" t="s">
        <v>26</v>
      </c>
      <c r="E4463" s="10" t="n">
        <v>1789</v>
      </c>
      <c r="F4463" s="9" t="s">
        <v>27</v>
      </c>
      <c r="G4463" s="9" t="s">
        <v>27</v>
      </c>
      <c r="H4463" s="11" t="n">
        <v>25</v>
      </c>
      <c r="I4463" s="11" t="s">
        <v>331</v>
      </c>
      <c r="J4463" s="14" t="n">
        <v>18</v>
      </c>
      <c r="K4463" s="14"/>
      <c r="L4463" s="16"/>
      <c r="M4463" s="27" t="n">
        <f aca="false">J4463+(K4463/20)+(L4463/240)</f>
        <v>18</v>
      </c>
      <c r="N4463" s="17" t="s">
        <v>66</v>
      </c>
      <c r="O4463" s="11" t="s">
        <v>98</v>
      </c>
      <c r="P4463" s="28"/>
      <c r="Q4463" s="28" t="n">
        <f aca="false">P4463*$M4463</f>
        <v>0</v>
      </c>
      <c r="R4463" s="28"/>
      <c r="S4463" s="28" t="n">
        <f aca="false">R4463*$M4463</f>
        <v>0</v>
      </c>
      <c r="T4463" s="28"/>
      <c r="U4463" s="28" t="n">
        <f aca="false">T4463*$M4463</f>
        <v>0</v>
      </c>
      <c r="V4463" s="28"/>
      <c r="W4463" s="28" t="n">
        <f aca="false">V4463*$M4463</f>
        <v>0</v>
      </c>
      <c r="X4463" s="28"/>
      <c r="Y4463" s="28" t="n">
        <f aca="false">X4463*$M4463</f>
        <v>0</v>
      </c>
      <c r="Z4463" s="28"/>
      <c r="AA4463" s="28" t="n">
        <f aca="false">Z4463*$M4463</f>
        <v>0</v>
      </c>
      <c r="AB4463" s="28"/>
      <c r="AC4463" s="28" t="n">
        <f aca="false">AB4463*$M4463</f>
        <v>0</v>
      </c>
      <c r="AD4463" s="28"/>
      <c r="AE4463" s="28" t="n">
        <f aca="false">AD4463*$M4463</f>
        <v>0</v>
      </c>
      <c r="AF4463" s="28"/>
      <c r="AG4463" s="28" t="n">
        <f aca="false">AF4463*$M4463</f>
        <v>0</v>
      </c>
      <c r="AH4463" s="28"/>
      <c r="AI4463" s="28" t="n">
        <f aca="false">AH4463*$M4463</f>
        <v>0</v>
      </c>
      <c r="AJ4463" s="28"/>
      <c r="AK4463" s="28" t="n">
        <f aca="false">AJ4463*$M4463</f>
        <v>0</v>
      </c>
      <c r="AL4463" s="28"/>
      <c r="AM4463" s="28" t="n">
        <f aca="false">AL4463*$M4463</f>
        <v>0</v>
      </c>
      <c r="AN4463" s="28"/>
      <c r="AO4463" s="28" t="n">
        <f aca="false">AN4463*$M4463</f>
        <v>0</v>
      </c>
      <c r="AP4463" s="28"/>
      <c r="AQ4463" s="28" t="n">
        <f aca="false">AP4463*$M4463</f>
        <v>0</v>
      </c>
      <c r="AR4463" s="28"/>
      <c r="AS4463" s="28" t="n">
        <f aca="false">AR4463*$M4463</f>
        <v>0</v>
      </c>
      <c r="AT4463" s="28"/>
      <c r="AU4463" s="28" t="n">
        <f aca="false">AT4463*$M4463</f>
        <v>0</v>
      </c>
      <c r="AV4463" s="28"/>
      <c r="AW4463" s="28" t="n">
        <f aca="false">AV4463*$M4463</f>
        <v>0</v>
      </c>
      <c r="AX4463" s="28"/>
      <c r="AY4463" s="28" t="n">
        <f aca="false">AX4463*$M4463</f>
        <v>0</v>
      </c>
      <c r="AZ4463" s="30"/>
      <c r="BA4463" s="11"/>
      <c r="BB4463" s="31" t="n">
        <f aca="false">SUM(Q4463,S4463,U4463,W4463,Y4463,AA4463,AC4463,AE4463,AG4463,AI4463,AK4463,AM4463,AO4463,AQ4463,AS4463,AU4463,AW4463,AY4463)</f>
        <v>0</v>
      </c>
      <c r="BC4463" s="28" t="n">
        <f aca="false">BA4463-BB4463</f>
        <v>0</v>
      </c>
      <c r="BD4463" s="32" t="n">
        <f aca="false">SUM(P4463,R4463,T4463,V4463,X4463,Z4463,AB4463,AD4463,AF4463,AH4463,AJ4463,AL4463,AN4463,AP4463,AR4463,AT4463,AV4463,AX4463)</f>
        <v>0</v>
      </c>
      <c r="BE4463" s="33" t="n">
        <f aca="false">AZ4463-BD4463</f>
        <v>0</v>
      </c>
      <c r="BF4463" s="34" t="n">
        <f aca="false">BD4463*M4463</f>
        <v>0</v>
      </c>
      <c r="BG4463" s="35" t="n">
        <f aca="false">BA4463-BF4463</f>
        <v>0</v>
      </c>
      <c r="BH4463" s="19" t="str">
        <f aca="false">IF(BG4463=0,"",IF(BG4463&lt;&gt;BA4463,"erreur de calcul",IF(BD4463&lt;&gt;0,"pas de prix",IF(M4463&lt;&gt; 0,"pas de quantité","pas de prix, ni de quantité"))))</f>
        <v/>
      </c>
      <c r="BI4463" s="19"/>
    </row>
    <row r="4464" customFormat="false" ht="15" hidden="false" customHeight="false" outlineLevel="0" collapsed="false">
      <c r="A4464" s="0" t="n">
        <v>4</v>
      </c>
      <c r="B4464" s="8" t="s">
        <v>24</v>
      </c>
      <c r="C4464" s="9" t="s">
        <v>25</v>
      </c>
      <c r="D4464" s="9" t="s">
        <v>26</v>
      </c>
      <c r="E4464" s="10" t="n">
        <v>1789</v>
      </c>
      <c r="F4464" s="9" t="s">
        <v>27</v>
      </c>
      <c r="G4464" s="9" t="s">
        <v>27</v>
      </c>
      <c r="H4464" s="11" t="n">
        <v>25</v>
      </c>
      <c r="I4464" s="11" t="s">
        <v>332</v>
      </c>
      <c r="J4464" s="14" t="n">
        <v>18</v>
      </c>
      <c r="K4464" s="14"/>
      <c r="L4464" s="16"/>
      <c r="M4464" s="27" t="n">
        <f aca="false">J4464+(K4464/20)+(L4464/240)</f>
        <v>18</v>
      </c>
      <c r="N4464" s="17" t="s">
        <v>66</v>
      </c>
      <c r="O4464" s="11" t="s">
        <v>98</v>
      </c>
      <c r="P4464" s="28"/>
      <c r="Q4464" s="28" t="n">
        <f aca="false">P4464*$M4464</f>
        <v>0</v>
      </c>
      <c r="R4464" s="28"/>
      <c r="S4464" s="28" t="n">
        <f aca="false">R4464*$M4464</f>
        <v>0</v>
      </c>
      <c r="T4464" s="28"/>
      <c r="U4464" s="28" t="n">
        <f aca="false">T4464*$M4464</f>
        <v>0</v>
      </c>
      <c r="V4464" s="28"/>
      <c r="W4464" s="28" t="n">
        <f aca="false">V4464*$M4464</f>
        <v>0</v>
      </c>
      <c r="X4464" s="28"/>
      <c r="Y4464" s="28" t="n">
        <f aca="false">X4464*$M4464</f>
        <v>0</v>
      </c>
      <c r="Z4464" s="28"/>
      <c r="AA4464" s="28" t="n">
        <f aca="false">Z4464*$M4464</f>
        <v>0</v>
      </c>
      <c r="AB4464" s="28"/>
      <c r="AC4464" s="28" t="n">
        <f aca="false">AB4464*$M4464</f>
        <v>0</v>
      </c>
      <c r="AD4464" s="28"/>
      <c r="AE4464" s="28" t="n">
        <f aca="false">AD4464*$M4464</f>
        <v>0</v>
      </c>
      <c r="AF4464" s="28"/>
      <c r="AG4464" s="28" t="n">
        <f aca="false">AF4464*$M4464</f>
        <v>0</v>
      </c>
      <c r="AH4464" s="28"/>
      <c r="AI4464" s="28" t="n">
        <f aca="false">AH4464*$M4464</f>
        <v>0</v>
      </c>
      <c r="AJ4464" s="28"/>
      <c r="AK4464" s="28" t="n">
        <f aca="false">AJ4464*$M4464</f>
        <v>0</v>
      </c>
      <c r="AL4464" s="28"/>
      <c r="AM4464" s="28" t="n">
        <f aca="false">AL4464*$M4464</f>
        <v>0</v>
      </c>
      <c r="AN4464" s="28"/>
      <c r="AO4464" s="28" t="n">
        <f aca="false">AN4464*$M4464</f>
        <v>0</v>
      </c>
      <c r="AP4464" s="28"/>
      <c r="AQ4464" s="28" t="n">
        <f aca="false">AP4464*$M4464</f>
        <v>0</v>
      </c>
      <c r="AR4464" s="28"/>
      <c r="AS4464" s="28" t="n">
        <f aca="false">AR4464*$M4464</f>
        <v>0</v>
      </c>
      <c r="AT4464" s="28"/>
      <c r="AU4464" s="28" t="n">
        <f aca="false">AT4464*$M4464</f>
        <v>0</v>
      </c>
      <c r="AV4464" s="28"/>
      <c r="AW4464" s="28" t="n">
        <f aca="false">AV4464*$M4464</f>
        <v>0</v>
      </c>
      <c r="AX4464" s="28"/>
      <c r="AY4464" s="28" t="n">
        <f aca="false">AX4464*$M4464</f>
        <v>0</v>
      </c>
      <c r="AZ4464" s="30"/>
      <c r="BA4464" s="11"/>
      <c r="BB4464" s="31" t="n">
        <f aca="false">SUM(Q4464,S4464,U4464,W4464,Y4464,AA4464,AC4464,AE4464,AG4464,AI4464,AK4464,AM4464,AO4464,AQ4464,AS4464,AU4464,AW4464,AY4464)</f>
        <v>0</v>
      </c>
      <c r="BC4464" s="28" t="n">
        <f aca="false">BA4464-BB4464</f>
        <v>0</v>
      </c>
      <c r="BD4464" s="32" t="n">
        <f aca="false">SUM(P4464,R4464,T4464,V4464,X4464,Z4464,AB4464,AD4464,AF4464,AH4464,AJ4464,AL4464,AN4464,AP4464,AR4464,AT4464,AV4464,AX4464)</f>
        <v>0</v>
      </c>
      <c r="BE4464" s="33" t="n">
        <f aca="false">AZ4464-BD4464</f>
        <v>0</v>
      </c>
      <c r="BF4464" s="34" t="n">
        <f aca="false">BD4464*M4464</f>
        <v>0</v>
      </c>
      <c r="BG4464" s="35" t="n">
        <f aca="false">BA4464-BF4464</f>
        <v>0</v>
      </c>
      <c r="BH4464" s="19" t="str">
        <f aca="false">IF(BG4464=0,"",IF(BG4464&lt;&gt;BA4464,"erreur de calcul",IF(BD4464&lt;&gt;0,"pas de prix",IF(M4464&lt;&gt; 0,"pas de quantité","pas de prix, ni de quantité"))))</f>
        <v/>
      </c>
      <c r="BI4464" s="19"/>
    </row>
    <row r="4465" customFormat="false" ht="15" hidden="false" customHeight="false" outlineLevel="0" collapsed="false">
      <c r="A4465" s="0" t="n">
        <v>5</v>
      </c>
      <c r="B4465" s="8" t="s">
        <v>24</v>
      </c>
      <c r="C4465" s="9" t="s">
        <v>25</v>
      </c>
      <c r="D4465" s="9" t="s">
        <v>26</v>
      </c>
      <c r="E4465" s="10" t="n">
        <v>1789</v>
      </c>
      <c r="F4465" s="9" t="s">
        <v>27</v>
      </c>
      <c r="G4465" s="9" t="s">
        <v>27</v>
      </c>
      <c r="H4465" s="11" t="n">
        <v>25</v>
      </c>
      <c r="I4465" s="11" t="s">
        <v>333</v>
      </c>
      <c r="J4465" s="14" t="n">
        <v>44</v>
      </c>
      <c r="K4465" s="14"/>
      <c r="L4465" s="16"/>
      <c r="M4465" s="27" t="n">
        <f aca="false">J4465+(K4465/20)+(L4465/240)</f>
        <v>44</v>
      </c>
      <c r="N4465" s="17" t="s">
        <v>66</v>
      </c>
      <c r="O4465" s="11"/>
      <c r="P4465" s="28" t="n">
        <v>1391</v>
      </c>
      <c r="Q4465" s="28" t="n">
        <v>61204</v>
      </c>
      <c r="R4465" s="28"/>
      <c r="S4465" s="28" t="n">
        <f aca="false">R4465*$M4465</f>
        <v>0</v>
      </c>
      <c r="T4465" s="28"/>
      <c r="U4465" s="28" t="n">
        <f aca="false">T4465*$M4465</f>
        <v>0</v>
      </c>
      <c r="V4465" s="28"/>
      <c r="W4465" s="28" t="n">
        <f aca="false">V4465*$M4465</f>
        <v>0</v>
      </c>
      <c r="X4465" s="28"/>
      <c r="Y4465" s="28" t="n">
        <f aca="false">X4465*$M4465</f>
        <v>0</v>
      </c>
      <c r="Z4465" s="28"/>
      <c r="AA4465" s="28" t="n">
        <f aca="false">Z4465*$M4465</f>
        <v>0</v>
      </c>
      <c r="AB4465" s="28"/>
      <c r="AC4465" s="28" t="n">
        <f aca="false">AB4465*$M4465</f>
        <v>0</v>
      </c>
      <c r="AD4465" s="28"/>
      <c r="AE4465" s="28" t="n">
        <f aca="false">AD4465*$M4465</f>
        <v>0</v>
      </c>
      <c r="AF4465" s="28"/>
      <c r="AG4465" s="28" t="n">
        <f aca="false">AF4465*$M4465</f>
        <v>0</v>
      </c>
      <c r="AH4465" s="28"/>
      <c r="AI4465" s="28" t="n">
        <f aca="false">AH4465*$M4465</f>
        <v>0</v>
      </c>
      <c r="AJ4465" s="28"/>
      <c r="AK4465" s="28" t="n">
        <f aca="false">AJ4465*$M4465</f>
        <v>0</v>
      </c>
      <c r="AL4465" s="28"/>
      <c r="AM4465" s="28" t="n">
        <f aca="false">AL4465*$M4465</f>
        <v>0</v>
      </c>
      <c r="AN4465" s="28"/>
      <c r="AO4465" s="28" t="n">
        <f aca="false">AN4465*$M4465</f>
        <v>0</v>
      </c>
      <c r="AP4465" s="28"/>
      <c r="AQ4465" s="28" t="n">
        <f aca="false">AP4465*$M4465</f>
        <v>0</v>
      </c>
      <c r="AR4465" s="28"/>
      <c r="AS4465" s="28" t="n">
        <f aca="false">AR4465*$M4465</f>
        <v>0</v>
      </c>
      <c r="AT4465" s="28"/>
      <c r="AU4465" s="28" t="n">
        <f aca="false">AT4465*$M4465</f>
        <v>0</v>
      </c>
      <c r="AV4465" s="28"/>
      <c r="AW4465" s="28" t="n">
        <f aca="false">AV4465*$M4465</f>
        <v>0</v>
      </c>
      <c r="AX4465" s="28"/>
      <c r="AY4465" s="28" t="n">
        <f aca="false">AX4465*$M4465</f>
        <v>0</v>
      </c>
      <c r="AZ4465" s="30" t="n">
        <v>1391</v>
      </c>
      <c r="BA4465" s="11" t="n">
        <v>61204</v>
      </c>
      <c r="BB4465" s="31" t="n">
        <f aca="false">SUM(Q4465,S4465,U4465,W4465,Y4465,AA4465,AC4465,AE4465,AG4465,AI4465,AK4465,AM4465,AO4465,AQ4465,AS4465,AU4465,AW4465,AY4465)</f>
        <v>61204</v>
      </c>
      <c r="BC4465" s="28" t="n">
        <f aca="false">BA4465-BB4465</f>
        <v>0</v>
      </c>
      <c r="BD4465" s="32" t="n">
        <f aca="false">SUM(P4465,R4465,T4465,V4465,X4465,Z4465,AB4465,AD4465,AF4465,AH4465,AJ4465,AL4465,AN4465,AP4465,AR4465,AT4465,AV4465,AX4465)</f>
        <v>1391</v>
      </c>
      <c r="BE4465" s="33" t="n">
        <f aca="false">AZ4465-BD4465</f>
        <v>0</v>
      </c>
      <c r="BF4465" s="34" t="n">
        <f aca="false">BD4465*M4465</f>
        <v>61204</v>
      </c>
      <c r="BG4465" s="35" t="n">
        <f aca="false">BA4465-BF4465</f>
        <v>0</v>
      </c>
      <c r="BH4465" s="19" t="str">
        <f aca="false">IF(BG4465=0,"",IF(BG4465&lt;&gt;BA4465,"erreur de calcul",IF(BD4465&lt;&gt;0,"pas de prix",IF(M4465&lt;&gt; 0,"pas de quantité","pas de prix, ni de quantité"))))</f>
        <v/>
      </c>
      <c r="BI4465" s="19"/>
    </row>
    <row r="4466" customFormat="false" ht="15" hidden="false" customHeight="false" outlineLevel="0" collapsed="false">
      <c r="A4466" s="0" t="n">
        <v>6</v>
      </c>
      <c r="B4466" s="8" t="s">
        <v>24</v>
      </c>
      <c r="C4466" s="9" t="s">
        <v>25</v>
      </c>
      <c r="D4466" s="9" t="s">
        <v>26</v>
      </c>
      <c r="E4466" s="10" t="n">
        <v>1789</v>
      </c>
      <c r="F4466" s="9" t="s">
        <v>27</v>
      </c>
      <c r="G4466" s="9" t="s">
        <v>27</v>
      </c>
      <c r="H4466" s="11" t="n">
        <v>25</v>
      </c>
      <c r="I4466" s="11" t="s">
        <v>334</v>
      </c>
      <c r="J4466" s="14" t="n">
        <v>12</v>
      </c>
      <c r="K4466" s="14"/>
      <c r="L4466" s="16"/>
      <c r="M4466" s="27" t="n">
        <f aca="false">J4466+(K4466/20)+(L4466/240)</f>
        <v>12</v>
      </c>
      <c r="N4466" s="17" t="s">
        <v>64</v>
      </c>
      <c r="O4466" s="11"/>
      <c r="P4466" s="28"/>
      <c r="Q4466" s="28" t="n">
        <f aca="false">P4466*$M4466</f>
        <v>0</v>
      </c>
      <c r="R4466" s="28"/>
      <c r="S4466" s="28" t="n">
        <f aca="false">R4466*$M4466</f>
        <v>0</v>
      </c>
      <c r="T4466" s="28"/>
      <c r="U4466" s="28" t="n">
        <f aca="false">T4466*$M4466</f>
        <v>0</v>
      </c>
      <c r="V4466" s="28"/>
      <c r="W4466" s="28" t="n">
        <f aca="false">V4466*$M4466</f>
        <v>0</v>
      </c>
      <c r="X4466" s="28" t="n">
        <f aca="false">1111/100</f>
        <v>11.11</v>
      </c>
      <c r="Y4466" s="28" t="n">
        <v>133</v>
      </c>
      <c r="Z4466" s="28"/>
      <c r="AA4466" s="28" t="n">
        <f aca="false">Z4466*$M4466</f>
        <v>0</v>
      </c>
      <c r="AB4466" s="28"/>
      <c r="AC4466" s="28" t="n">
        <f aca="false">AB4466*$M4466</f>
        <v>0</v>
      </c>
      <c r="AD4466" s="28"/>
      <c r="AE4466" s="28" t="n">
        <f aca="false">AD4466*$M4466</f>
        <v>0</v>
      </c>
      <c r="AF4466" s="28"/>
      <c r="AG4466" s="28" t="n">
        <f aca="false">AF4466*$M4466</f>
        <v>0</v>
      </c>
      <c r="AH4466" s="28"/>
      <c r="AI4466" s="28" t="n">
        <f aca="false">AH4466*$M4466</f>
        <v>0</v>
      </c>
      <c r="AJ4466" s="28"/>
      <c r="AK4466" s="28" t="n">
        <f aca="false">AJ4466*$M4466</f>
        <v>0</v>
      </c>
      <c r="AL4466" s="28"/>
      <c r="AM4466" s="28" t="n">
        <f aca="false">AL4466*$M4466</f>
        <v>0</v>
      </c>
      <c r="AN4466" s="28"/>
      <c r="AO4466" s="28" t="n">
        <f aca="false">AN4466*$M4466</f>
        <v>0</v>
      </c>
      <c r="AP4466" s="28"/>
      <c r="AQ4466" s="28" t="n">
        <f aca="false">AP4466*$M4466</f>
        <v>0</v>
      </c>
      <c r="AR4466" s="28"/>
      <c r="AS4466" s="28" t="n">
        <f aca="false">AR4466*$M4466</f>
        <v>0</v>
      </c>
      <c r="AT4466" s="28"/>
      <c r="AU4466" s="28" t="n">
        <f aca="false">AT4466*$M4466</f>
        <v>0</v>
      </c>
      <c r="AV4466" s="28"/>
      <c r="AW4466" s="28" t="n">
        <f aca="false">AV4466*$M4466</f>
        <v>0</v>
      </c>
      <c r="AX4466" s="28"/>
      <c r="AY4466" s="28" t="n">
        <f aca="false">AX4466*$M4466</f>
        <v>0</v>
      </c>
      <c r="AZ4466" s="30" t="n">
        <f aca="false">1111/100</f>
        <v>11.11</v>
      </c>
      <c r="BA4466" s="11" t="n">
        <v>133</v>
      </c>
      <c r="BB4466" s="31" t="n">
        <f aca="false">SUM(Q4466,S4466,U4466,W4466,Y4466,AA4466,AC4466,AE4466,AG4466,AI4466,AK4466,AM4466,AO4466,AQ4466,AS4466,AU4466,AW4466,AY4466)</f>
        <v>133</v>
      </c>
      <c r="BC4466" s="28" t="n">
        <f aca="false">BA4466-BB4466</f>
        <v>0</v>
      </c>
      <c r="BD4466" s="32" t="n">
        <f aca="false">SUM(P4466,R4466,T4466,V4466,X4466,Z4466,AB4466,AD4466,AF4466,AH4466,AJ4466,AL4466,AN4466,AP4466,AR4466,AT4466,AV4466,AX4466)</f>
        <v>11.11</v>
      </c>
      <c r="BE4466" s="33" t="n">
        <f aca="false">AZ4466-BD4466</f>
        <v>0</v>
      </c>
      <c r="BF4466" s="34" t="n">
        <f aca="false">BD4466*M4466</f>
        <v>133.32</v>
      </c>
      <c r="BG4466" s="35" t="n">
        <f aca="false">BA4466-BF4466</f>
        <v>-0.319999999999993</v>
      </c>
      <c r="BH4466" s="19" t="str">
        <f aca="false">IF(BG4466=0,"",IF(BG4466&lt;&gt;BA4466,"erreur de calcul",IF(BD4466&lt;&gt;0,"pas de prix",IF(M4466&lt;&gt; 0,"pas de quantité","pas de prix, ni de quantité"))))</f>
        <v>erreur de calcul</v>
      </c>
      <c r="BI4466" s="19"/>
    </row>
    <row r="4467" customFormat="false" ht="16.65" hidden="false" customHeight="false" outlineLevel="0" collapsed="false">
      <c r="A4467" s="0" t="n">
        <v>7</v>
      </c>
      <c r="B4467" s="8" t="s">
        <v>24</v>
      </c>
      <c r="C4467" s="9" t="s">
        <v>25</v>
      </c>
      <c r="D4467" s="9" t="s">
        <v>26</v>
      </c>
      <c r="E4467" s="10" t="n">
        <v>1789</v>
      </c>
      <c r="F4467" s="9" t="s">
        <v>27</v>
      </c>
      <c r="G4467" s="9" t="s">
        <v>27</v>
      </c>
      <c r="H4467" s="11" t="n">
        <v>25</v>
      </c>
      <c r="I4467" s="11" t="s">
        <v>335</v>
      </c>
      <c r="J4467" s="14" t="n">
        <v>4</v>
      </c>
      <c r="K4467" s="14" t="n">
        <v>10</v>
      </c>
      <c r="L4467" s="16"/>
      <c r="M4467" s="27" t="n">
        <f aca="false">J4467+(K4467/20)+(L4467/240)</f>
        <v>4.5</v>
      </c>
      <c r="N4467" s="17" t="s">
        <v>64</v>
      </c>
      <c r="O4467" s="11" t="s">
        <v>77</v>
      </c>
      <c r="P4467" s="28" t="n">
        <f aca="false">8366/100</f>
        <v>83.66</v>
      </c>
      <c r="Q4467" s="28" t="n">
        <v>376</v>
      </c>
      <c r="R4467" s="28"/>
      <c r="S4467" s="28" t="n">
        <f aca="false">R4467*$M4467</f>
        <v>0</v>
      </c>
      <c r="T4467" s="28"/>
      <c r="U4467" s="28" t="n">
        <f aca="false">T4467*$M4467</f>
        <v>0</v>
      </c>
      <c r="V4467" s="28"/>
      <c r="W4467" s="28" t="n">
        <f aca="false">V4467*$M4467</f>
        <v>0</v>
      </c>
      <c r="X4467" s="28"/>
      <c r="Y4467" s="28" t="n">
        <f aca="false">X4467*$M4467</f>
        <v>0</v>
      </c>
      <c r="Z4467" s="28"/>
      <c r="AA4467" s="28" t="n">
        <f aca="false">Z4467*$M4467</f>
        <v>0</v>
      </c>
      <c r="AB4467" s="28"/>
      <c r="AC4467" s="28" t="n">
        <f aca="false">AB4467*$M4467</f>
        <v>0</v>
      </c>
      <c r="AD4467" s="28"/>
      <c r="AE4467" s="28" t="n">
        <f aca="false">AD4467*$M4467</f>
        <v>0</v>
      </c>
      <c r="AF4467" s="28"/>
      <c r="AG4467" s="28" t="n">
        <f aca="false">AF4467*$M4467</f>
        <v>0</v>
      </c>
      <c r="AH4467" s="28"/>
      <c r="AI4467" s="28" t="n">
        <f aca="false">AH4467*$M4467</f>
        <v>0</v>
      </c>
      <c r="AJ4467" s="28"/>
      <c r="AK4467" s="28" t="n">
        <f aca="false">AJ4467*$M4467</f>
        <v>0</v>
      </c>
      <c r="AL4467" s="28"/>
      <c r="AM4467" s="28" t="n">
        <f aca="false">AL4467*$M4467</f>
        <v>0</v>
      </c>
      <c r="AN4467" s="28"/>
      <c r="AO4467" s="28" t="n">
        <f aca="false">AN4467*$M4467</f>
        <v>0</v>
      </c>
      <c r="AP4467" s="28"/>
      <c r="AQ4467" s="28" t="n">
        <f aca="false">AP4467*$M4467</f>
        <v>0</v>
      </c>
      <c r="AR4467" s="28"/>
      <c r="AS4467" s="28" t="n">
        <f aca="false">AR4467*$M4467</f>
        <v>0</v>
      </c>
      <c r="AT4467" s="28"/>
      <c r="AU4467" s="28" t="n">
        <f aca="false">AT4467*$M4467</f>
        <v>0</v>
      </c>
      <c r="AV4467" s="28"/>
      <c r="AW4467" s="28" t="n">
        <f aca="false">AV4467*$M4467</f>
        <v>0</v>
      </c>
      <c r="AX4467" s="28"/>
      <c r="AY4467" s="28" t="n">
        <f aca="false">AX4467*$M4467</f>
        <v>0</v>
      </c>
      <c r="AZ4467" s="30" t="n">
        <f aca="false">8366/100</f>
        <v>83.66</v>
      </c>
      <c r="BA4467" s="11" t="n">
        <v>376</v>
      </c>
      <c r="BB4467" s="31" t="n">
        <f aca="false">SUM(Q4467,S4467,U4467,W4467,Y4467,AA4467,AC4467,AE4467,AG4467,AI4467,AK4467,AM4467,AO4467,AQ4467,AS4467,AU4467,AW4467,AY4467)</f>
        <v>376</v>
      </c>
      <c r="BC4467" s="28" t="n">
        <f aca="false">BA4467-BB4467</f>
        <v>0</v>
      </c>
      <c r="BD4467" s="32" t="n">
        <f aca="false">SUM(P4467,R4467,T4467,V4467,X4467,Z4467,AB4467,AD4467,AF4467,AH4467,AJ4467,AL4467,AN4467,AP4467,AR4467,AT4467,AV4467,AX4467)</f>
        <v>83.66</v>
      </c>
      <c r="BE4467" s="33" t="n">
        <f aca="false">AZ4467-BD4467</f>
        <v>0</v>
      </c>
      <c r="BF4467" s="34" t="n">
        <f aca="false">BD4467*M4467</f>
        <v>376.47</v>
      </c>
      <c r="BG4467" s="35" t="n">
        <f aca="false">BA4467-BF4467</f>
        <v>-0.46999999999997</v>
      </c>
      <c r="BH4467" s="19" t="str">
        <f aca="false">IF(BG4467=0,"",IF(BG4467&lt;&gt;BA4467,"erreur de calcul",IF(BD4467&lt;&gt;0,"pas de prix",IF(M4467&lt;&gt; 0,"pas de quantité","pas de prix, ni de quantité"))))</f>
        <v>erreur de calcul</v>
      </c>
      <c r="BI4467" s="19"/>
    </row>
    <row r="4468" customFormat="false" ht="15" hidden="false" customHeight="false" outlineLevel="0" collapsed="false">
      <c r="A4468" s="0" t="n">
        <v>8</v>
      </c>
      <c r="B4468" s="8" t="s">
        <v>24</v>
      </c>
      <c r="C4468" s="9" t="s">
        <v>25</v>
      </c>
      <c r="D4468" s="9" t="s">
        <v>26</v>
      </c>
      <c r="E4468" s="10" t="n">
        <v>1789</v>
      </c>
      <c r="F4468" s="9" t="s">
        <v>27</v>
      </c>
      <c r="G4468" s="9" t="s">
        <v>27</v>
      </c>
      <c r="H4468" s="11" t="n">
        <v>25</v>
      </c>
      <c r="I4468" s="11" t="s">
        <v>336</v>
      </c>
      <c r="J4468" s="14" t="n">
        <v>64</v>
      </c>
      <c r="K4468" s="14"/>
      <c r="L4468" s="16"/>
      <c r="M4468" s="27" t="n">
        <f aca="false">J4468+(K4468/20)+(L4468/240)</f>
        <v>64</v>
      </c>
      <c r="N4468" s="17" t="s">
        <v>337</v>
      </c>
      <c r="O4468" s="11"/>
      <c r="P4468" s="28"/>
      <c r="Q4468" s="28" t="n">
        <f aca="false">P4468*$M4468</f>
        <v>0</v>
      </c>
      <c r="R4468" s="28"/>
      <c r="S4468" s="28" t="n">
        <f aca="false">R4468*$M4468</f>
        <v>0</v>
      </c>
      <c r="T4468" s="28" t="n">
        <v>42</v>
      </c>
      <c r="U4468" s="28" t="n">
        <v>2688</v>
      </c>
      <c r="V4468" s="28"/>
      <c r="W4468" s="28" t="n">
        <f aca="false">V4468*$M4468</f>
        <v>0</v>
      </c>
      <c r="X4468" s="28"/>
      <c r="Y4468" s="28" t="n">
        <f aca="false">X4468*$M4468</f>
        <v>0</v>
      </c>
      <c r="Z4468" s="28"/>
      <c r="AA4468" s="28" t="n">
        <f aca="false">Z4468*$M4468</f>
        <v>0</v>
      </c>
      <c r="AB4468" s="28" t="n">
        <v>66</v>
      </c>
      <c r="AC4468" s="28" t="n">
        <v>4224</v>
      </c>
      <c r="AD4468" s="28"/>
      <c r="AE4468" s="28" t="n">
        <f aca="false">AD4468*$M4468</f>
        <v>0</v>
      </c>
      <c r="AF4468" s="28"/>
      <c r="AG4468" s="28" t="n">
        <f aca="false">AF4468*$M4468</f>
        <v>0</v>
      </c>
      <c r="AH4468" s="28"/>
      <c r="AI4468" s="28" t="n">
        <f aca="false">AH4468*$M4468</f>
        <v>0</v>
      </c>
      <c r="AJ4468" s="28"/>
      <c r="AK4468" s="28" t="n">
        <f aca="false">AJ4468*$M4468</f>
        <v>0</v>
      </c>
      <c r="AL4468" s="28"/>
      <c r="AM4468" s="28" t="n">
        <f aca="false">AL4468*$M4468</f>
        <v>0</v>
      </c>
      <c r="AN4468" s="28"/>
      <c r="AO4468" s="28" t="n">
        <f aca="false">AN4468*$M4468</f>
        <v>0</v>
      </c>
      <c r="AP4468" s="28"/>
      <c r="AQ4468" s="28" t="n">
        <f aca="false">AP4468*$M4468</f>
        <v>0</v>
      </c>
      <c r="AR4468" s="28"/>
      <c r="AS4468" s="28" t="n">
        <f aca="false">AR4468*$M4468</f>
        <v>0</v>
      </c>
      <c r="AT4468" s="28"/>
      <c r="AU4468" s="28" t="n">
        <f aca="false">AT4468*$M4468</f>
        <v>0</v>
      </c>
      <c r="AV4468" s="28"/>
      <c r="AW4468" s="28" t="n">
        <f aca="false">AV4468*$M4468</f>
        <v>0</v>
      </c>
      <c r="AX4468" s="28"/>
      <c r="AY4468" s="28" t="n">
        <f aca="false">AX4468*$M4468</f>
        <v>0</v>
      </c>
      <c r="AZ4468" s="30" t="n">
        <v>108</v>
      </c>
      <c r="BA4468" s="11" t="n">
        <v>6912</v>
      </c>
      <c r="BB4468" s="31" t="n">
        <f aca="false">SUM(Q4468,S4468,U4468,W4468,Y4468,AA4468,AC4468,AE4468,AG4468,AI4468,AK4468,AM4468,AO4468,AQ4468,AS4468,AU4468,AW4468,AY4468)</f>
        <v>6912</v>
      </c>
      <c r="BC4468" s="28" t="n">
        <f aca="false">BA4468-BB4468</f>
        <v>0</v>
      </c>
      <c r="BD4468" s="32" t="n">
        <f aca="false">SUM(P4468,R4468,T4468,V4468,X4468,Z4468,AB4468,AD4468,AF4468,AH4468,AJ4468,AL4468,AN4468,AP4468,AR4468,AT4468,AV4468,AX4468)</f>
        <v>108</v>
      </c>
      <c r="BE4468" s="33" t="n">
        <f aca="false">AZ4468-BD4468</f>
        <v>0</v>
      </c>
      <c r="BF4468" s="34" t="n">
        <f aca="false">BD4468*M4468</f>
        <v>6912</v>
      </c>
      <c r="BG4468" s="35" t="n">
        <f aca="false">BA4468-BF4468</f>
        <v>0</v>
      </c>
      <c r="BH4468" s="19" t="str">
        <f aca="false">IF(BG4468=0,"",IF(BG4468&lt;&gt;BA4468,"erreur de calcul",IF(BD4468&lt;&gt;0,"pas de prix",IF(M4468&lt;&gt; 0,"pas de quantité","pas de prix, ni de quantité"))))</f>
        <v/>
      </c>
      <c r="BI4468" s="19"/>
    </row>
    <row r="4469" customFormat="false" ht="15" hidden="false" customHeight="false" outlineLevel="0" collapsed="false">
      <c r="A4469" s="0" t="n">
        <v>9</v>
      </c>
      <c r="B4469" s="8" t="s">
        <v>24</v>
      </c>
      <c r="C4469" s="9" t="s">
        <v>25</v>
      </c>
      <c r="D4469" s="9" t="s">
        <v>26</v>
      </c>
      <c r="E4469" s="10" t="n">
        <v>1789</v>
      </c>
      <c r="F4469" s="9" t="s">
        <v>27</v>
      </c>
      <c r="G4469" s="9" t="s">
        <v>27</v>
      </c>
      <c r="H4469" s="11" t="n">
        <v>25</v>
      </c>
      <c r="I4469" s="11" t="s">
        <v>338</v>
      </c>
      <c r="J4469" s="14"/>
      <c r="K4469" s="14"/>
      <c r="L4469" s="16"/>
      <c r="M4469" s="27" t="n">
        <f aca="false">J4469+(K4469/20)+(L4469/240)</f>
        <v>0</v>
      </c>
      <c r="N4469" s="17"/>
      <c r="O4469" s="11"/>
      <c r="P4469" s="28"/>
      <c r="Q4469" s="28" t="n">
        <f aca="false">P4469*$M4469</f>
        <v>0</v>
      </c>
      <c r="R4469" s="28"/>
      <c r="S4469" s="28" t="n">
        <f aca="false">R4469*$M4469</f>
        <v>0</v>
      </c>
      <c r="T4469" s="28"/>
      <c r="U4469" s="28" t="n">
        <v>135</v>
      </c>
      <c r="V4469" s="28"/>
      <c r="W4469" s="28" t="n">
        <v>642</v>
      </c>
      <c r="X4469" s="28"/>
      <c r="Y4469" s="28" t="n">
        <f aca="false">X4469*$M4469</f>
        <v>0</v>
      </c>
      <c r="Z4469" s="28"/>
      <c r="AA4469" s="28" t="n">
        <f aca="false">Z4469*$M4469</f>
        <v>0</v>
      </c>
      <c r="AB4469" s="28"/>
      <c r="AC4469" s="28" t="n">
        <f aca="false">AB4469*$M4469</f>
        <v>0</v>
      </c>
      <c r="AD4469" s="28"/>
      <c r="AE4469" s="28" t="n">
        <f aca="false">AD4469*$M4469</f>
        <v>0</v>
      </c>
      <c r="AF4469" s="28"/>
      <c r="AG4469" s="28" t="n">
        <f aca="false">AF4469*$M4469</f>
        <v>0</v>
      </c>
      <c r="AH4469" s="28"/>
      <c r="AI4469" s="28" t="n">
        <f aca="false">AH4469*$M4469</f>
        <v>0</v>
      </c>
      <c r="AJ4469" s="28"/>
      <c r="AK4469" s="28" t="n">
        <v>375</v>
      </c>
      <c r="AL4469" s="28"/>
      <c r="AM4469" s="28" t="n">
        <f aca="false">AL4469*$M4469</f>
        <v>0</v>
      </c>
      <c r="AN4469" s="28"/>
      <c r="AO4469" s="28" t="n">
        <f aca="false">AN4469*$M4469</f>
        <v>0</v>
      </c>
      <c r="AP4469" s="28"/>
      <c r="AQ4469" s="28" t="n">
        <f aca="false">AP4469*$M4469</f>
        <v>0</v>
      </c>
      <c r="AR4469" s="28"/>
      <c r="AS4469" s="28" t="n">
        <f aca="false">AR4469*$M4469</f>
        <v>0</v>
      </c>
      <c r="AT4469" s="28"/>
      <c r="AU4469" s="28" t="n">
        <f aca="false">AT4469*$M4469</f>
        <v>0</v>
      </c>
      <c r="AV4469" s="28"/>
      <c r="AW4469" s="28" t="n">
        <v>765</v>
      </c>
      <c r="AX4469" s="28"/>
      <c r="AY4469" s="28" t="n">
        <f aca="false">AX4469*$M4469</f>
        <v>0</v>
      </c>
      <c r="AZ4469" s="30"/>
      <c r="BA4469" s="11" t="n">
        <v>1917</v>
      </c>
      <c r="BB4469" s="31" t="n">
        <f aca="false">SUM(Q4469,S4469,U4469,W4469,Y4469,AA4469,AC4469,AE4469,AG4469,AI4469,AK4469,AM4469,AO4469,AQ4469,AS4469,AU4469,AW4469,AY4469)</f>
        <v>1917</v>
      </c>
      <c r="BC4469" s="28" t="n">
        <f aca="false">BA4469-BB4469</f>
        <v>0</v>
      </c>
      <c r="BD4469" s="32" t="n">
        <f aca="false">SUM(P4469,R4469,T4469,V4469,X4469,Z4469,AB4469,AD4469,AF4469,AH4469,AJ4469,AL4469,AN4469,AP4469,AR4469,AT4469,AV4469,AX4469)</f>
        <v>0</v>
      </c>
      <c r="BE4469" s="33" t="n">
        <f aca="false">AZ4469-BD4469</f>
        <v>0</v>
      </c>
      <c r="BF4469" s="34" t="n">
        <f aca="false">BD4469*M4469</f>
        <v>0</v>
      </c>
      <c r="BG4469" s="35" t="n">
        <f aca="false">BA4469-BF4469</f>
        <v>1917</v>
      </c>
      <c r="BH4469" s="19" t="str">
        <f aca="false">IF(BG4469=0,"",IF(BG4469&lt;&gt;BA4469,"erreur de calcul",IF(BD4469&lt;&gt;0,"pas de prix",IF(M4469&lt;&gt; 0,"pas de quantité","pas de prix, ni de quantité"))))</f>
        <v>pas de prix, ni de quantité</v>
      </c>
      <c r="BI4469" s="19"/>
    </row>
    <row r="4470" customFormat="false" ht="15" hidden="false" customHeight="false" outlineLevel="0" collapsed="false">
      <c r="A4470" s="0" t="n">
        <v>10</v>
      </c>
      <c r="B4470" s="8" t="s">
        <v>24</v>
      </c>
      <c r="C4470" s="9" t="s">
        <v>25</v>
      </c>
      <c r="D4470" s="9" t="s">
        <v>26</v>
      </c>
      <c r="E4470" s="10" t="n">
        <v>1789</v>
      </c>
      <c r="F4470" s="9" t="s">
        <v>27</v>
      </c>
      <c r="G4470" s="9" t="s">
        <v>27</v>
      </c>
      <c r="H4470" s="11" t="n">
        <v>25</v>
      </c>
      <c r="I4470" s="11" t="s">
        <v>339</v>
      </c>
      <c r="J4470" s="14" t="n">
        <v>7</v>
      </c>
      <c r="K4470" s="14"/>
      <c r="L4470" s="16"/>
      <c r="M4470" s="27" t="n">
        <f aca="false">J4470+(K4470/20)+(L4470/240)</f>
        <v>7</v>
      </c>
      <c r="N4470" s="17" t="s">
        <v>69</v>
      </c>
      <c r="O4470" s="11"/>
      <c r="P4470" s="28"/>
      <c r="Q4470" s="28" t="n">
        <f aca="false">P4470*$M4470</f>
        <v>0</v>
      </c>
      <c r="R4470" s="28"/>
      <c r="S4470" s="28" t="n">
        <f aca="false">R4470*$M4470</f>
        <v>0</v>
      </c>
      <c r="T4470" s="28"/>
      <c r="U4470" s="28" t="n">
        <f aca="false">T4470*$M4470</f>
        <v>0</v>
      </c>
      <c r="V4470" s="28" t="n">
        <v>554</v>
      </c>
      <c r="W4470" s="28" t="n">
        <v>3878</v>
      </c>
      <c r="X4470" s="28"/>
      <c r="Y4470" s="28" t="n">
        <f aca="false">X4470*$M4470</f>
        <v>0</v>
      </c>
      <c r="Z4470" s="28"/>
      <c r="AA4470" s="28" t="n">
        <f aca="false">Z4470*$M4470</f>
        <v>0</v>
      </c>
      <c r="AB4470" s="28"/>
      <c r="AC4470" s="28" t="n">
        <f aca="false">AB4470*$M4470</f>
        <v>0</v>
      </c>
      <c r="AD4470" s="28"/>
      <c r="AE4470" s="28" t="n">
        <f aca="false">AD4470*$M4470</f>
        <v>0</v>
      </c>
      <c r="AF4470" s="28"/>
      <c r="AG4470" s="28" t="n">
        <f aca="false">AF4470*$M4470</f>
        <v>0</v>
      </c>
      <c r="AH4470" s="28"/>
      <c r="AI4470" s="28" t="n">
        <f aca="false">AH4470*$M4470</f>
        <v>0</v>
      </c>
      <c r="AJ4470" s="28"/>
      <c r="AK4470" s="28" t="n">
        <f aca="false">AJ4470*$M4470</f>
        <v>0</v>
      </c>
      <c r="AL4470" s="28"/>
      <c r="AM4470" s="28" t="n">
        <f aca="false">AL4470*$M4470</f>
        <v>0</v>
      </c>
      <c r="AN4470" s="28"/>
      <c r="AO4470" s="28" t="n">
        <f aca="false">AN4470*$M4470</f>
        <v>0</v>
      </c>
      <c r="AP4470" s="28"/>
      <c r="AQ4470" s="28" t="n">
        <f aca="false">AP4470*$M4470</f>
        <v>0</v>
      </c>
      <c r="AR4470" s="28"/>
      <c r="AS4470" s="28" t="n">
        <f aca="false">AR4470*$M4470</f>
        <v>0</v>
      </c>
      <c r="AT4470" s="28"/>
      <c r="AU4470" s="28" t="n">
        <f aca="false">AT4470*$M4470</f>
        <v>0</v>
      </c>
      <c r="AV4470" s="28"/>
      <c r="AW4470" s="28" t="n">
        <f aca="false">AV4470*$M4470</f>
        <v>0</v>
      </c>
      <c r="AX4470" s="28"/>
      <c r="AY4470" s="28" t="n">
        <f aca="false">AX4470*$M4470</f>
        <v>0</v>
      </c>
      <c r="AZ4470" s="30" t="n">
        <v>554</v>
      </c>
      <c r="BA4470" s="11" t="n">
        <v>3878</v>
      </c>
      <c r="BB4470" s="31" t="n">
        <f aca="false">SUM(Q4470,S4470,U4470,W4470,Y4470,AA4470,AC4470,AE4470,AG4470,AI4470,AK4470,AM4470,AO4470,AQ4470,AS4470,AU4470,AW4470,AY4470)</f>
        <v>3878</v>
      </c>
      <c r="BC4470" s="28" t="n">
        <f aca="false">BA4470-BB4470</f>
        <v>0</v>
      </c>
      <c r="BD4470" s="32" t="n">
        <f aca="false">SUM(P4470,R4470,T4470,V4470,X4470,Z4470,AB4470,AD4470,AF4470,AH4470,AJ4470,AL4470,AN4470,AP4470,AR4470,AT4470,AV4470,AX4470)</f>
        <v>554</v>
      </c>
      <c r="BE4470" s="33" t="n">
        <f aca="false">AZ4470-BD4470</f>
        <v>0</v>
      </c>
      <c r="BF4470" s="34" t="n">
        <f aca="false">BD4470*M4470</f>
        <v>3878</v>
      </c>
      <c r="BG4470" s="35" t="n">
        <f aca="false">BA4470-BF4470</f>
        <v>0</v>
      </c>
      <c r="BH4470" s="19" t="str">
        <f aca="false">IF(BG4470=0,"",IF(BG4470&lt;&gt;BA4470,"erreur de calcul",IF(BD4470&lt;&gt;0,"pas de prix",IF(M4470&lt;&gt; 0,"pas de quantité","pas de prix, ni de quantité"))))</f>
        <v/>
      </c>
      <c r="BI4470" s="19"/>
    </row>
    <row r="4471" customFormat="false" ht="15" hidden="false" customHeight="false" outlineLevel="0" collapsed="false">
      <c r="A4471" s="0" t="n">
        <v>11</v>
      </c>
      <c r="B4471" s="8" t="s">
        <v>24</v>
      </c>
      <c r="C4471" s="9" t="s">
        <v>25</v>
      </c>
      <c r="D4471" s="9" t="s">
        <v>26</v>
      </c>
      <c r="E4471" s="10" t="n">
        <v>1789</v>
      </c>
      <c r="F4471" s="9" t="s">
        <v>27</v>
      </c>
      <c r="G4471" s="9" t="s">
        <v>27</v>
      </c>
      <c r="H4471" s="11" t="n">
        <v>25</v>
      </c>
      <c r="I4471" s="11" t="s">
        <v>340</v>
      </c>
      <c r="J4471" s="14" t="n">
        <v>15</v>
      </c>
      <c r="K4471" s="14"/>
      <c r="L4471" s="16"/>
      <c r="M4471" s="27" t="n">
        <f aca="false">J4471+(K4471/20)+(L4471/240)</f>
        <v>15</v>
      </c>
      <c r="N4471" s="17" t="s">
        <v>64</v>
      </c>
      <c r="O4471" s="11"/>
      <c r="P4471" s="28" t="n">
        <f aca="false">470959/100</f>
        <v>4709.59</v>
      </c>
      <c r="Q4471" s="28" t="n">
        <v>70644</v>
      </c>
      <c r="R4471" s="28"/>
      <c r="S4471" s="28" t="n">
        <f aca="false">R4471*$M4471</f>
        <v>0</v>
      </c>
      <c r="T4471" s="28"/>
      <c r="U4471" s="28" t="n">
        <f aca="false">T4471*$M4471</f>
        <v>0</v>
      </c>
      <c r="V4471" s="28"/>
      <c r="W4471" s="28" t="n">
        <f aca="false">V4471*$M4471</f>
        <v>0</v>
      </c>
      <c r="X4471" s="28"/>
      <c r="Y4471" s="28" t="n">
        <f aca="false">X4471*$M4471</f>
        <v>0</v>
      </c>
      <c r="Z4471" s="28"/>
      <c r="AA4471" s="28" t="n">
        <f aca="false">Z4471*$M4471</f>
        <v>0</v>
      </c>
      <c r="AB4471" s="28" t="n">
        <f aca="false">50000/100</f>
        <v>500</v>
      </c>
      <c r="AC4471" s="28" t="n">
        <v>7500</v>
      </c>
      <c r="AD4471" s="28"/>
      <c r="AE4471" s="28" t="n">
        <f aca="false">AD4471*$M4471</f>
        <v>0</v>
      </c>
      <c r="AF4471" s="28" t="n">
        <f aca="false">15584/100</f>
        <v>155.84</v>
      </c>
      <c r="AG4471" s="28" t="n">
        <v>2338</v>
      </c>
      <c r="AH4471" s="28"/>
      <c r="AI4471" s="28" t="n">
        <f aca="false">AH4471*$M4471</f>
        <v>0</v>
      </c>
      <c r="AJ4471" s="28"/>
      <c r="AK4471" s="28" t="n">
        <f aca="false">AJ4471*$M4471</f>
        <v>0</v>
      </c>
      <c r="AL4471" s="28"/>
      <c r="AM4471" s="28" t="n">
        <f aca="false">AL4471*$M4471</f>
        <v>0</v>
      </c>
      <c r="AN4471" s="28"/>
      <c r="AO4471" s="28" t="n">
        <f aca="false">AN4471*$M4471</f>
        <v>0</v>
      </c>
      <c r="AP4471" s="28"/>
      <c r="AQ4471" s="28" t="n">
        <f aca="false">AP4471*$M4471</f>
        <v>0</v>
      </c>
      <c r="AR4471" s="28"/>
      <c r="AS4471" s="28" t="n">
        <f aca="false">AR4471*$M4471</f>
        <v>0</v>
      </c>
      <c r="AT4471" s="28"/>
      <c r="AU4471" s="28" t="n">
        <f aca="false">AT4471*$M4471</f>
        <v>0</v>
      </c>
      <c r="AV4471" s="28"/>
      <c r="AW4471" s="28" t="n">
        <f aca="false">AV4471*$M4471</f>
        <v>0</v>
      </c>
      <c r="AX4471" s="28"/>
      <c r="AY4471" s="28" t="n">
        <f aca="false">AX4471*$M4471</f>
        <v>0</v>
      </c>
      <c r="AZ4471" s="30" t="n">
        <f aca="false">535959/100</f>
        <v>5359.59</v>
      </c>
      <c r="BA4471" s="11" t="n">
        <v>80482</v>
      </c>
      <c r="BB4471" s="31" t="n">
        <f aca="false">SUM(Q4471,S4471,U4471,W4471,Y4471,AA4471,AC4471,AE4471,AG4471,AI4471,AK4471,AM4471,AO4471,AQ4471,AS4471,AU4471,AW4471,AY4471)</f>
        <v>80482</v>
      </c>
      <c r="BC4471" s="28" t="n">
        <f aca="false">BA4471-BB4471</f>
        <v>0</v>
      </c>
      <c r="BD4471" s="32" t="n">
        <f aca="false">SUM(P4471,R4471,T4471,V4471,X4471,Z4471,AB4471,AD4471,AF4471,AH4471,AJ4471,AL4471,AN4471,AP4471,AR4471,AT4471,AV4471,AX4471)</f>
        <v>5365.43</v>
      </c>
      <c r="BE4471" s="33" t="n">
        <f aca="false">AZ4471-BD4471</f>
        <v>-5.84000000000015</v>
      </c>
      <c r="BF4471" s="34" t="n">
        <f aca="false">BD4471*M4471</f>
        <v>80481.45</v>
      </c>
      <c r="BG4471" s="35" t="n">
        <f aca="false">BA4471-BF4471</f>
        <v>0.549999999988359</v>
      </c>
      <c r="BH4471" s="19" t="str">
        <f aca="false">IF(BG4471=0,"",IF(BG4471&lt;&gt;BA4471,"erreur de calcul",IF(BD4471&lt;&gt;0,"pas de prix",IF(M4471&lt;&gt; 0,"pas de quantité","pas de prix, ni de quantité"))))</f>
        <v>erreur de calcul</v>
      </c>
      <c r="BI4471" s="19"/>
    </row>
    <row r="4472" customFormat="false" ht="15" hidden="false" customHeight="false" outlineLevel="0" collapsed="false">
      <c r="A4472" s="0" t="n">
        <v>12</v>
      </c>
      <c r="B4472" s="8" t="s">
        <v>24</v>
      </c>
      <c r="C4472" s="9" t="s">
        <v>25</v>
      </c>
      <c r="D4472" s="9" t="s">
        <v>26</v>
      </c>
      <c r="E4472" s="10" t="n">
        <v>1789</v>
      </c>
      <c r="F4472" s="9" t="s">
        <v>27</v>
      </c>
      <c r="G4472" s="9" t="s">
        <v>27</v>
      </c>
      <c r="H4472" s="11" t="n">
        <v>25</v>
      </c>
      <c r="I4472" s="11" t="s">
        <v>341</v>
      </c>
      <c r="J4472" s="14" t="n">
        <v>75</v>
      </c>
      <c r="K4472" s="14"/>
      <c r="L4472" s="16"/>
      <c r="M4472" s="27" t="n">
        <f aca="false">J4472+(K4472/20)+(L4472/240)</f>
        <v>75</v>
      </c>
      <c r="N4472" s="17" t="s">
        <v>85</v>
      </c>
      <c r="O4472" s="11"/>
      <c r="P4472" s="28"/>
      <c r="Q4472" s="28" t="n">
        <f aca="false">P4472*$M4472</f>
        <v>0</v>
      </c>
      <c r="R4472" s="28"/>
      <c r="S4472" s="28" t="n">
        <f aca="false">R4472*$M4472</f>
        <v>0</v>
      </c>
      <c r="T4472" s="28"/>
      <c r="U4472" s="28" t="n">
        <f aca="false">T4472*$M4472</f>
        <v>0</v>
      </c>
      <c r="V4472" s="28"/>
      <c r="W4472" s="28" t="n">
        <f aca="false">V4472*$M4472</f>
        <v>0</v>
      </c>
      <c r="X4472" s="28"/>
      <c r="Y4472" s="28" t="n">
        <f aca="false">X4472*$M4472</f>
        <v>0</v>
      </c>
      <c r="Z4472" s="28"/>
      <c r="AA4472" s="28" t="n">
        <f aca="false">Z4472*$M4472</f>
        <v>0</v>
      </c>
      <c r="AB4472" s="28"/>
      <c r="AC4472" s="28" t="n">
        <f aca="false">AB4472*$M4472</f>
        <v>0</v>
      </c>
      <c r="AD4472" s="28"/>
      <c r="AE4472" s="28" t="n">
        <f aca="false">AD4472*$M4472</f>
        <v>0</v>
      </c>
      <c r="AF4472" s="28"/>
      <c r="AG4472" s="28" t="n">
        <f aca="false">AF4472*$M4472</f>
        <v>0</v>
      </c>
      <c r="AH4472" s="28"/>
      <c r="AI4472" s="28" t="n">
        <f aca="false">AH4472*$M4472</f>
        <v>0</v>
      </c>
      <c r="AJ4472" s="28"/>
      <c r="AK4472" s="28" t="n">
        <f aca="false">AJ4472*$M4472</f>
        <v>0</v>
      </c>
      <c r="AL4472" s="28" t="n">
        <f aca="false">2584/100</f>
        <v>25.84</v>
      </c>
      <c r="AM4472" s="28" t="n">
        <v>1938</v>
      </c>
      <c r="AN4472" s="28"/>
      <c r="AO4472" s="28" t="n">
        <f aca="false">AN4472*$M4472</f>
        <v>0</v>
      </c>
      <c r="AP4472" s="28"/>
      <c r="AQ4472" s="28" t="n">
        <f aca="false">AP4472*$M4472</f>
        <v>0</v>
      </c>
      <c r="AR4472" s="28"/>
      <c r="AS4472" s="28" t="n">
        <f aca="false">AR4472*$M4472</f>
        <v>0</v>
      </c>
      <c r="AT4472" s="28"/>
      <c r="AU4472" s="28" t="n">
        <f aca="false">AT4472*$M4472</f>
        <v>0</v>
      </c>
      <c r="AV4472" s="28"/>
      <c r="AW4472" s="28" t="n">
        <f aca="false">AV4472*$M4472</f>
        <v>0</v>
      </c>
      <c r="AX4472" s="28"/>
      <c r="AY4472" s="28" t="n">
        <f aca="false">AX4472*$M4472</f>
        <v>0</v>
      </c>
      <c r="AZ4472" s="30" t="n">
        <f aca="false">2584/100</f>
        <v>25.84</v>
      </c>
      <c r="BA4472" s="11" t="n">
        <v>1938</v>
      </c>
      <c r="BB4472" s="31" t="n">
        <f aca="false">SUM(Q4472,S4472,U4472,W4472,Y4472,AA4472,AC4472,AE4472,AG4472,AI4472,AK4472,AM4472,AO4472,AQ4472,AS4472,AU4472,AW4472,AY4472)</f>
        <v>1938</v>
      </c>
      <c r="BC4472" s="28" t="n">
        <f aca="false">BA4472-BB4472</f>
        <v>0</v>
      </c>
      <c r="BD4472" s="32" t="n">
        <f aca="false">SUM(P4472,R4472,T4472,V4472,X4472,Z4472,AB4472,AD4472,AF4472,AH4472,AJ4472,AL4472,AN4472,AP4472,AR4472,AT4472,AV4472,AX4472)</f>
        <v>25.84</v>
      </c>
      <c r="BE4472" s="33" t="n">
        <f aca="false">AZ4472-BD4472</f>
        <v>0</v>
      </c>
      <c r="BF4472" s="34" t="n">
        <f aca="false">BD4472*M4472</f>
        <v>1938</v>
      </c>
      <c r="BG4472" s="35" t="n">
        <f aca="false">BA4472-BF4472</f>
        <v>0</v>
      </c>
      <c r="BH4472" s="19" t="str">
        <f aca="false">IF(BG4472=0,"",IF(BG4472&lt;&gt;BA4472,"erreur de calcul",IF(BD4472&lt;&gt;0,"pas de prix",IF(M4472&lt;&gt; 0,"pas de quantité","pas de prix, ni de quantité"))))</f>
        <v/>
      </c>
      <c r="BI4472" s="19"/>
    </row>
    <row r="4473" customFormat="false" ht="15" hidden="false" customHeight="false" outlineLevel="0" collapsed="false">
      <c r="A4473" s="0" t="n">
        <v>13</v>
      </c>
      <c r="B4473" s="8" t="s">
        <v>24</v>
      </c>
      <c r="C4473" s="9" t="s">
        <v>25</v>
      </c>
      <c r="D4473" s="9" t="s">
        <v>26</v>
      </c>
      <c r="E4473" s="10" t="n">
        <v>1789</v>
      </c>
      <c r="F4473" s="9" t="s">
        <v>27</v>
      </c>
      <c r="G4473" s="9" t="s">
        <v>27</v>
      </c>
      <c r="H4473" s="11" t="n">
        <v>25</v>
      </c>
      <c r="I4473" s="11" t="s">
        <v>342</v>
      </c>
      <c r="J4473" s="14" t="n">
        <v>10</v>
      </c>
      <c r="K4473" s="14"/>
      <c r="L4473" s="16"/>
      <c r="M4473" s="27" t="n">
        <f aca="false">J4473+(K4473/20)+(L4473/240)</f>
        <v>10</v>
      </c>
      <c r="N4473" s="17" t="s">
        <v>66</v>
      </c>
      <c r="O4473" s="11"/>
      <c r="P4473" s="28"/>
      <c r="Q4473" s="28" t="n">
        <f aca="false">P4473*$M4473</f>
        <v>0</v>
      </c>
      <c r="R4473" s="28" t="n">
        <v>827</v>
      </c>
      <c r="S4473" s="28" t="n">
        <v>8270</v>
      </c>
      <c r="T4473" s="28"/>
      <c r="U4473" s="28" t="n">
        <f aca="false">T4473*$M4473</f>
        <v>0</v>
      </c>
      <c r="V4473" s="28"/>
      <c r="W4473" s="28" t="n">
        <f aca="false">V4473*$M4473</f>
        <v>0</v>
      </c>
      <c r="X4473" s="28"/>
      <c r="Y4473" s="28" t="n">
        <f aca="false">X4473*$M4473</f>
        <v>0</v>
      </c>
      <c r="Z4473" s="28"/>
      <c r="AA4473" s="28" t="n">
        <f aca="false">Z4473*$M4473</f>
        <v>0</v>
      </c>
      <c r="AB4473" s="28"/>
      <c r="AC4473" s="28" t="n">
        <f aca="false">AB4473*$M4473</f>
        <v>0</v>
      </c>
      <c r="AD4473" s="28"/>
      <c r="AE4473" s="28" t="n">
        <f aca="false">AD4473*$M4473</f>
        <v>0</v>
      </c>
      <c r="AF4473" s="28"/>
      <c r="AG4473" s="28" t="n">
        <f aca="false">AF4473*$M4473</f>
        <v>0</v>
      </c>
      <c r="AH4473" s="28"/>
      <c r="AI4473" s="28" t="n">
        <f aca="false">AH4473*$M4473</f>
        <v>0</v>
      </c>
      <c r="AJ4473" s="28"/>
      <c r="AK4473" s="28" t="n">
        <f aca="false">AJ4473*$M4473</f>
        <v>0</v>
      </c>
      <c r="AL4473" s="28"/>
      <c r="AM4473" s="28" t="n">
        <f aca="false">AL4473*$M4473</f>
        <v>0</v>
      </c>
      <c r="AN4473" s="28"/>
      <c r="AO4473" s="28" t="n">
        <f aca="false">AN4473*$M4473</f>
        <v>0</v>
      </c>
      <c r="AP4473" s="28"/>
      <c r="AQ4473" s="28" t="n">
        <f aca="false">AP4473*$M4473</f>
        <v>0</v>
      </c>
      <c r="AR4473" s="28"/>
      <c r="AS4473" s="28" t="n">
        <f aca="false">AR4473*$M4473</f>
        <v>0</v>
      </c>
      <c r="AT4473" s="28"/>
      <c r="AU4473" s="28" t="n">
        <f aca="false">AT4473*$M4473</f>
        <v>0</v>
      </c>
      <c r="AV4473" s="28"/>
      <c r="AW4473" s="28" t="n">
        <f aca="false">AV4473*$M4473</f>
        <v>0</v>
      </c>
      <c r="AX4473" s="28"/>
      <c r="AY4473" s="28" t="n">
        <f aca="false">AX4473*$M4473</f>
        <v>0</v>
      </c>
      <c r="AZ4473" s="30" t="n">
        <v>827</v>
      </c>
      <c r="BA4473" s="11" t="n">
        <v>8270</v>
      </c>
      <c r="BB4473" s="31" t="n">
        <f aca="false">SUM(Q4473,S4473,U4473,W4473,Y4473,AA4473,AC4473,AE4473,AG4473,AI4473,AK4473,AM4473,AO4473,AQ4473,AS4473,AU4473,AW4473,AY4473)</f>
        <v>8270</v>
      </c>
      <c r="BC4473" s="28" t="n">
        <f aca="false">BA4473-BB4473</f>
        <v>0</v>
      </c>
      <c r="BD4473" s="32" t="n">
        <f aca="false">SUM(P4473,R4473,T4473,V4473,X4473,Z4473,AB4473,AD4473,AF4473,AH4473,AJ4473,AL4473,AN4473,AP4473,AR4473,AT4473,AV4473,AX4473)</f>
        <v>827</v>
      </c>
      <c r="BE4473" s="33" t="n">
        <f aca="false">AZ4473-BD4473</f>
        <v>0</v>
      </c>
      <c r="BF4473" s="34" t="n">
        <f aca="false">BD4473*M4473</f>
        <v>8270</v>
      </c>
      <c r="BG4473" s="35" t="n">
        <f aca="false">BA4473-BF4473</f>
        <v>0</v>
      </c>
      <c r="BH4473" s="19" t="str">
        <f aca="false">IF(BG4473=0,"",IF(BG4473&lt;&gt;BA4473,"erreur de calcul",IF(BD4473&lt;&gt;0,"pas de prix",IF(M4473&lt;&gt; 0,"pas de quantité","pas de prix, ni de quantité"))))</f>
        <v/>
      </c>
      <c r="BI4473" s="19"/>
    </row>
    <row r="4474" customFormat="false" ht="15" hidden="false" customHeight="false" outlineLevel="0" collapsed="false">
      <c r="A4474" s="0" t="n">
        <v>14</v>
      </c>
      <c r="B4474" s="8" t="s">
        <v>24</v>
      </c>
      <c r="C4474" s="9" t="s">
        <v>25</v>
      </c>
      <c r="D4474" s="9" t="s">
        <v>26</v>
      </c>
      <c r="E4474" s="10" t="n">
        <v>1789</v>
      </c>
      <c r="F4474" s="9" t="s">
        <v>27</v>
      </c>
      <c r="G4474" s="9" t="s">
        <v>27</v>
      </c>
      <c r="H4474" s="11" t="n">
        <v>25</v>
      </c>
      <c r="I4474" s="11" t="s">
        <v>343</v>
      </c>
      <c r="J4474" s="14" t="n">
        <v>4</v>
      </c>
      <c r="K4474" s="14"/>
      <c r="L4474" s="16"/>
      <c r="M4474" s="27" t="n">
        <f aca="false">J4474+(K4474/20)+(L4474/240)</f>
        <v>4</v>
      </c>
      <c r="N4474" s="17" t="s">
        <v>69</v>
      </c>
      <c r="O4474" s="11"/>
      <c r="P4474" s="28"/>
      <c r="Q4474" s="28" t="n">
        <f aca="false">P4474*$M4474</f>
        <v>0</v>
      </c>
      <c r="R4474" s="28"/>
      <c r="S4474" s="28" t="n">
        <f aca="false">R4474*$M4474</f>
        <v>0</v>
      </c>
      <c r="T4474" s="28"/>
      <c r="U4474" s="28" t="n">
        <f aca="false">T4474*$M4474</f>
        <v>0</v>
      </c>
      <c r="V4474" s="28" t="n">
        <v>2198</v>
      </c>
      <c r="W4474" s="28" t="n">
        <v>8792</v>
      </c>
      <c r="X4474" s="28"/>
      <c r="Y4474" s="28" t="n">
        <f aca="false">X4474*$M4474</f>
        <v>0</v>
      </c>
      <c r="Z4474" s="28"/>
      <c r="AA4474" s="28" t="n">
        <f aca="false">Z4474*$M4474</f>
        <v>0</v>
      </c>
      <c r="AB4474" s="28"/>
      <c r="AC4474" s="28" t="n">
        <f aca="false">AB4474*$M4474</f>
        <v>0</v>
      </c>
      <c r="AD4474" s="28"/>
      <c r="AE4474" s="28" t="n">
        <f aca="false">AD4474*$M4474</f>
        <v>0</v>
      </c>
      <c r="AF4474" s="28"/>
      <c r="AG4474" s="28" t="n">
        <f aca="false">AF4474*$M4474</f>
        <v>0</v>
      </c>
      <c r="AH4474" s="28"/>
      <c r="AI4474" s="28" t="n">
        <f aca="false">AH4474*$M4474</f>
        <v>0</v>
      </c>
      <c r="AJ4474" s="28"/>
      <c r="AK4474" s="28" t="n">
        <f aca="false">AJ4474*$M4474</f>
        <v>0</v>
      </c>
      <c r="AL4474" s="28"/>
      <c r="AM4474" s="28" t="n">
        <f aca="false">AL4474*$M4474</f>
        <v>0</v>
      </c>
      <c r="AN4474" s="28"/>
      <c r="AO4474" s="28" t="n">
        <f aca="false">AN4474*$M4474</f>
        <v>0</v>
      </c>
      <c r="AP4474" s="28"/>
      <c r="AQ4474" s="28" t="n">
        <f aca="false">AP4474*$M4474</f>
        <v>0</v>
      </c>
      <c r="AR4474" s="28"/>
      <c r="AS4474" s="28" t="n">
        <f aca="false">AR4474*$M4474</f>
        <v>0</v>
      </c>
      <c r="AT4474" s="28"/>
      <c r="AU4474" s="28" t="n">
        <f aca="false">AT4474*$M4474</f>
        <v>0</v>
      </c>
      <c r="AV4474" s="28"/>
      <c r="AW4474" s="28" t="n">
        <f aca="false">AV4474*$M4474</f>
        <v>0</v>
      </c>
      <c r="AX4474" s="28"/>
      <c r="AY4474" s="28" t="n">
        <f aca="false">AX4474*$M4474</f>
        <v>0</v>
      </c>
      <c r="AZ4474" s="30" t="n">
        <v>2198</v>
      </c>
      <c r="BA4474" s="11" t="n">
        <v>8792</v>
      </c>
      <c r="BB4474" s="31" t="n">
        <f aca="false">SUM(Q4474,S4474,U4474,W4474,Y4474,AA4474,AC4474,AE4474,AG4474,AI4474,AK4474,AM4474,AO4474,AQ4474,AS4474,AU4474,AW4474,AY4474)</f>
        <v>8792</v>
      </c>
      <c r="BC4474" s="28" t="n">
        <f aca="false">BA4474-BB4474</f>
        <v>0</v>
      </c>
      <c r="BD4474" s="32" t="n">
        <f aca="false">SUM(P4474,R4474,T4474,V4474,X4474,Z4474,AB4474,AD4474,AF4474,AH4474,AJ4474,AL4474,AN4474,AP4474,AR4474,AT4474,AV4474,AX4474)</f>
        <v>2198</v>
      </c>
      <c r="BE4474" s="33" t="n">
        <f aca="false">AZ4474-BD4474</f>
        <v>0</v>
      </c>
      <c r="BF4474" s="34" t="n">
        <f aca="false">BD4474*M4474</f>
        <v>8792</v>
      </c>
      <c r="BG4474" s="35" t="n">
        <f aca="false">BA4474-BF4474</f>
        <v>0</v>
      </c>
      <c r="BH4474" s="19" t="str">
        <f aca="false">IF(BG4474=0,"",IF(BG4474&lt;&gt;BA4474,"erreur de calcul",IF(BD4474&lt;&gt;0,"pas de prix",IF(M4474&lt;&gt; 0,"pas de quantité","pas de prix, ni de quantité"))))</f>
        <v/>
      </c>
      <c r="BI4474" s="19"/>
    </row>
    <row r="4475" customFormat="false" ht="15" hidden="false" customHeight="false" outlineLevel="0" collapsed="false">
      <c r="A4475" s="0" t="n">
        <v>15</v>
      </c>
      <c r="B4475" s="8" t="s">
        <v>24</v>
      </c>
      <c r="C4475" s="9" t="s">
        <v>25</v>
      </c>
      <c r="D4475" s="9" t="s">
        <v>26</v>
      </c>
      <c r="E4475" s="10" t="n">
        <v>1789</v>
      </c>
      <c r="F4475" s="9" t="s">
        <v>27</v>
      </c>
      <c r="G4475" s="9" t="s">
        <v>27</v>
      </c>
      <c r="H4475" s="11" t="n">
        <v>25</v>
      </c>
      <c r="I4475" s="11" t="s">
        <v>344</v>
      </c>
      <c r="J4475" s="14" t="n">
        <v>2000</v>
      </c>
      <c r="K4475" s="14"/>
      <c r="L4475" s="16"/>
      <c r="M4475" s="27" t="n">
        <f aca="false">J4475+(K4475/20)+(L4475/240)</f>
        <v>2000</v>
      </c>
      <c r="N4475" s="17" t="s">
        <v>64</v>
      </c>
      <c r="O4475" s="11" t="s">
        <v>277</v>
      </c>
      <c r="P4475" s="28"/>
      <c r="Q4475" s="28" t="n">
        <f aca="false">P4475*$M4475</f>
        <v>0</v>
      </c>
      <c r="R4475" s="28"/>
      <c r="S4475" s="28" t="n">
        <f aca="false">R4475*$M4475</f>
        <v>0</v>
      </c>
      <c r="T4475" s="28"/>
      <c r="U4475" s="28" t="n">
        <f aca="false">T4475*$M4475</f>
        <v>0</v>
      </c>
      <c r="V4475" s="28"/>
      <c r="W4475" s="28" t="n">
        <f aca="false">V4475*$M4475</f>
        <v>0</v>
      </c>
      <c r="X4475" s="28"/>
      <c r="Y4475" s="28" t="n">
        <f aca="false">X4475*$M4475</f>
        <v>0</v>
      </c>
      <c r="Z4475" s="28"/>
      <c r="AA4475" s="28" t="n">
        <f aca="false">Z4475*$M4475</f>
        <v>0</v>
      </c>
      <c r="AB4475" s="28"/>
      <c r="AC4475" s="28" t="n">
        <f aca="false">AB4475*$M4475</f>
        <v>0</v>
      </c>
      <c r="AD4475" s="28"/>
      <c r="AE4475" s="28" t="n">
        <f aca="false">AD4475*$M4475</f>
        <v>0</v>
      </c>
      <c r="AF4475" s="28"/>
      <c r="AG4475" s="28" t="n">
        <f aca="false">AF4475*$M4475</f>
        <v>0</v>
      </c>
      <c r="AH4475" s="28"/>
      <c r="AI4475" s="28" t="n">
        <f aca="false">AH4475*$M4475</f>
        <v>0</v>
      </c>
      <c r="AJ4475" s="28"/>
      <c r="AK4475" s="28" t="n">
        <f aca="false">AJ4475*$M4475</f>
        <v>0</v>
      </c>
      <c r="AL4475" s="28"/>
      <c r="AM4475" s="28" t="n">
        <f aca="false">AL4475*$M4475</f>
        <v>0</v>
      </c>
      <c r="AN4475" s="28"/>
      <c r="AO4475" s="28" t="n">
        <f aca="false">AN4475*$M4475</f>
        <v>0</v>
      </c>
      <c r="AP4475" s="28"/>
      <c r="AQ4475" s="28" t="n">
        <f aca="false">AP4475*$M4475</f>
        <v>0</v>
      </c>
      <c r="AR4475" s="28"/>
      <c r="AS4475" s="28" t="n">
        <f aca="false">AR4475*$M4475</f>
        <v>0</v>
      </c>
      <c r="AT4475" s="28"/>
      <c r="AU4475" s="28" t="n">
        <f aca="false">AT4475*$M4475</f>
        <v>0</v>
      </c>
      <c r="AV4475" s="28"/>
      <c r="AW4475" s="28" t="n">
        <f aca="false">AV4475*$M4475</f>
        <v>0</v>
      </c>
      <c r="AX4475" s="28"/>
      <c r="AY4475" s="28" t="n">
        <f aca="false">AX4475*$M4475</f>
        <v>0</v>
      </c>
      <c r="AZ4475" s="30"/>
      <c r="BA4475" s="11"/>
      <c r="BB4475" s="31" t="n">
        <f aca="false">SUM(Q4475,S4475,U4475,W4475,Y4475,AA4475,AC4475,AE4475,AG4475,AI4475,AK4475,AM4475,AO4475,AQ4475,AS4475,AU4475,AW4475,AY4475)</f>
        <v>0</v>
      </c>
      <c r="BC4475" s="28" t="n">
        <f aca="false">BA4475-BB4475</f>
        <v>0</v>
      </c>
      <c r="BD4475" s="32" t="n">
        <f aca="false">SUM(P4475,R4475,T4475,V4475,X4475,Z4475,AB4475,AD4475,AF4475,AH4475,AJ4475,AL4475,AN4475,AP4475,AR4475,AT4475,AV4475,AX4475)</f>
        <v>0</v>
      </c>
      <c r="BE4475" s="33" t="n">
        <f aca="false">AZ4475-BD4475</f>
        <v>0</v>
      </c>
      <c r="BF4475" s="34" t="n">
        <f aca="false">BD4475*M4475</f>
        <v>0</v>
      </c>
      <c r="BG4475" s="35" t="n">
        <f aca="false">BA4475-BF4475</f>
        <v>0</v>
      </c>
      <c r="BH4475" s="19" t="str">
        <f aca="false">IF(BG4475=0,"",IF(BG4475&lt;&gt;BA4475,"erreur de calcul",IF(BD4475&lt;&gt;0,"pas de prix",IF(M4475&lt;&gt; 0,"pas de quantité","pas de prix, ni de quantité"))))</f>
        <v/>
      </c>
      <c r="BI4475" s="19"/>
    </row>
    <row r="4476" customFormat="false" ht="15" hidden="false" customHeight="false" outlineLevel="0" collapsed="false">
      <c r="A4476" s="0" t="n">
        <v>16</v>
      </c>
      <c r="B4476" s="8" t="s">
        <v>24</v>
      </c>
      <c r="C4476" s="9" t="s">
        <v>25</v>
      </c>
      <c r="D4476" s="9" t="s">
        <v>26</v>
      </c>
      <c r="E4476" s="10" t="n">
        <v>1789</v>
      </c>
      <c r="F4476" s="9" t="s">
        <v>27</v>
      </c>
      <c r="G4476" s="9" t="s">
        <v>27</v>
      </c>
      <c r="H4476" s="11" t="n">
        <v>25</v>
      </c>
      <c r="I4476" s="11" t="s">
        <v>344</v>
      </c>
      <c r="J4476" s="14" t="n">
        <v>2000</v>
      </c>
      <c r="K4476" s="14"/>
      <c r="L4476" s="16"/>
      <c r="M4476" s="27" t="n">
        <f aca="false">J4476+(K4476/20)+(L4476/240)</f>
        <v>2000</v>
      </c>
      <c r="N4476" s="17" t="s">
        <v>64</v>
      </c>
      <c r="O4476" s="11" t="s">
        <v>98</v>
      </c>
      <c r="P4476" s="28"/>
      <c r="Q4476" s="28" t="n">
        <f aca="false">P4476*$M4476</f>
        <v>0</v>
      </c>
      <c r="R4476" s="28"/>
      <c r="S4476" s="28" t="n">
        <f aca="false">R4476*$M4476</f>
        <v>0</v>
      </c>
      <c r="T4476" s="28"/>
      <c r="U4476" s="28" t="n">
        <f aca="false">T4476*$M4476</f>
        <v>0</v>
      </c>
      <c r="V4476" s="28"/>
      <c r="W4476" s="28" t="n">
        <f aca="false">V4476*$M4476</f>
        <v>0</v>
      </c>
      <c r="X4476" s="28" t="n">
        <f aca="false">607/100</f>
        <v>6.07</v>
      </c>
      <c r="Y4476" s="28" t="n">
        <f aca="false">X4476*$M4476</f>
        <v>12140</v>
      </c>
      <c r="Z4476" s="28"/>
      <c r="AA4476" s="28" t="n">
        <f aca="false">Z4476*$M4476</f>
        <v>0</v>
      </c>
      <c r="AB4476" s="28"/>
      <c r="AC4476" s="28" t="n">
        <f aca="false">AB4476*$M4476</f>
        <v>0</v>
      </c>
      <c r="AD4476" s="28"/>
      <c r="AE4476" s="28" t="n">
        <f aca="false">AD4476*$M4476</f>
        <v>0</v>
      </c>
      <c r="AF4476" s="28"/>
      <c r="AG4476" s="28" t="n">
        <f aca="false">AF4476*$M4476</f>
        <v>0</v>
      </c>
      <c r="AH4476" s="28"/>
      <c r="AI4476" s="28" t="n">
        <f aca="false">AH4476*$M4476</f>
        <v>0</v>
      </c>
      <c r="AJ4476" s="28"/>
      <c r="AK4476" s="28" t="n">
        <f aca="false">AJ4476*$M4476</f>
        <v>0</v>
      </c>
      <c r="AL4476" s="28" t="n">
        <f aca="false">145/100</f>
        <v>1.45</v>
      </c>
      <c r="AM4476" s="28" t="n">
        <f aca="false">AL4476*$M4476</f>
        <v>2900</v>
      </c>
      <c r="AN4476" s="28" t="n">
        <f aca="false">3865/100</f>
        <v>38.65</v>
      </c>
      <c r="AO4476" s="28" t="n">
        <v>77300</v>
      </c>
      <c r="AP4476" s="28"/>
      <c r="AQ4476" s="28" t="n">
        <f aca="false">AP4476*$M4476</f>
        <v>0</v>
      </c>
      <c r="AR4476" s="28"/>
      <c r="AS4476" s="28" t="n">
        <f aca="false">AR4476*$M4476</f>
        <v>0</v>
      </c>
      <c r="AT4476" s="28"/>
      <c r="AU4476" s="28" t="n">
        <f aca="false">AT4476*$M4476</f>
        <v>0</v>
      </c>
      <c r="AV4476" s="28"/>
      <c r="AW4476" s="28" t="n">
        <f aca="false">AV4476*$M4476</f>
        <v>0</v>
      </c>
      <c r="AX4476" s="28"/>
      <c r="AY4476" s="28" t="n">
        <f aca="false">AX4476*$M4476</f>
        <v>0</v>
      </c>
      <c r="AZ4476" s="30" t="n">
        <f aca="false">4617/100</f>
        <v>46.17</v>
      </c>
      <c r="BA4476" s="11" t="n">
        <v>92340</v>
      </c>
      <c r="BB4476" s="31" t="n">
        <f aca="false">SUM(Q4476,S4476,U4476,W4476,Y4476,AA4476,AC4476,AE4476,AG4476,AI4476,AK4476,AM4476,AO4476,AQ4476,AS4476,AU4476,AW4476,AY4476)</f>
        <v>92340</v>
      </c>
      <c r="BC4476" s="28" t="n">
        <f aca="false">BA4476-BB4476</f>
        <v>0</v>
      </c>
      <c r="BD4476" s="32" t="n">
        <f aca="false">SUM(P4476,R4476,T4476,V4476,X4476,Z4476,AB4476,AD4476,AF4476,AH4476,AJ4476,AL4476,AN4476,AP4476,AR4476,AT4476,AV4476,AX4476)</f>
        <v>46.17</v>
      </c>
      <c r="BE4476" s="33" t="n">
        <f aca="false">AZ4476-BD4476</f>
        <v>0</v>
      </c>
      <c r="BF4476" s="34" t="n">
        <f aca="false">BD4476*M4476</f>
        <v>92340</v>
      </c>
      <c r="BG4476" s="35" t="n">
        <f aca="false">BA4476-BF4476</f>
        <v>0</v>
      </c>
      <c r="BH4476" s="19" t="str">
        <f aca="false">IF(BG4476=0,"",IF(BG4476&lt;&gt;BA4476,"erreur de calcul",IF(BD4476&lt;&gt;0,"pas de prix",IF(M4476&lt;&gt; 0,"pas de quantité","pas de prix, ni de quantité"))))</f>
        <v/>
      </c>
      <c r="BI4476" s="19"/>
    </row>
    <row r="4477" customFormat="false" ht="15" hidden="false" customHeight="false" outlineLevel="0" collapsed="false">
      <c r="A4477" s="0" t="n">
        <v>17</v>
      </c>
      <c r="B4477" s="8" t="s">
        <v>24</v>
      </c>
      <c r="C4477" s="9" t="s">
        <v>25</v>
      </c>
      <c r="D4477" s="9" t="s">
        <v>26</v>
      </c>
      <c r="E4477" s="10" t="n">
        <v>1789</v>
      </c>
      <c r="F4477" s="9" t="s">
        <v>27</v>
      </c>
      <c r="G4477" s="9" t="s">
        <v>27</v>
      </c>
      <c r="H4477" s="11" t="n">
        <v>25</v>
      </c>
      <c r="I4477" s="11" t="s">
        <v>345</v>
      </c>
      <c r="J4477" s="14"/>
      <c r="K4477" s="14" t="n">
        <v>12</v>
      </c>
      <c r="L4477" s="16"/>
      <c r="M4477" s="27" t="n">
        <f aca="false">J4477+(K4477/20)+(L4477/240)</f>
        <v>0.6</v>
      </c>
      <c r="N4477" s="17" t="s">
        <v>66</v>
      </c>
      <c r="O4477" s="11"/>
      <c r="P4477" s="28"/>
      <c r="Q4477" s="28" t="n">
        <f aca="false">P4477*$M4477</f>
        <v>0</v>
      </c>
      <c r="R4477" s="28"/>
      <c r="S4477" s="28" t="n">
        <f aca="false">R4477*$M4477</f>
        <v>0</v>
      </c>
      <c r="T4477" s="28"/>
      <c r="U4477" s="28" t="n">
        <f aca="false">T4477*$M4477</f>
        <v>0</v>
      </c>
      <c r="V4477" s="28"/>
      <c r="W4477" s="28" t="n">
        <f aca="false">V4477*$M4477</f>
        <v>0</v>
      </c>
      <c r="X4477" s="28"/>
      <c r="Y4477" s="28" t="n">
        <f aca="false">X4477*$M4477</f>
        <v>0</v>
      </c>
      <c r="Z4477" s="28"/>
      <c r="AA4477" s="28" t="n">
        <f aca="false">Z4477*$M4477</f>
        <v>0</v>
      </c>
      <c r="AB4477" s="28"/>
      <c r="AC4477" s="28" t="n">
        <f aca="false">AB4477*$M4477</f>
        <v>0</v>
      </c>
      <c r="AD4477" s="28"/>
      <c r="AE4477" s="28" t="n">
        <f aca="false">AD4477*$M4477</f>
        <v>0</v>
      </c>
      <c r="AF4477" s="28"/>
      <c r="AG4477" s="28" t="n">
        <f aca="false">AF4477*$M4477</f>
        <v>0</v>
      </c>
      <c r="AH4477" s="28"/>
      <c r="AI4477" s="28" t="n">
        <f aca="false">AH4477*$M4477</f>
        <v>0</v>
      </c>
      <c r="AJ4477" s="28" t="n">
        <v>41194</v>
      </c>
      <c r="AK4477" s="28" t="n">
        <v>24716</v>
      </c>
      <c r="AL4477" s="28"/>
      <c r="AM4477" s="28" t="n">
        <f aca="false">AL4477*$M4477</f>
        <v>0</v>
      </c>
      <c r="AN4477" s="28"/>
      <c r="AO4477" s="28" t="n">
        <f aca="false">AN4477*$M4477</f>
        <v>0</v>
      </c>
      <c r="AP4477" s="28"/>
      <c r="AQ4477" s="28" t="n">
        <f aca="false">AP4477*$M4477</f>
        <v>0</v>
      </c>
      <c r="AR4477" s="28"/>
      <c r="AS4477" s="28" t="n">
        <f aca="false">AR4477*$M4477</f>
        <v>0</v>
      </c>
      <c r="AT4477" s="28"/>
      <c r="AU4477" s="28" t="n">
        <f aca="false">AT4477*$M4477</f>
        <v>0</v>
      </c>
      <c r="AV4477" s="28"/>
      <c r="AW4477" s="28" t="n">
        <f aca="false">AV4477*$M4477</f>
        <v>0</v>
      </c>
      <c r="AX4477" s="28"/>
      <c r="AY4477" s="28" t="n">
        <f aca="false">AX4477*$M4477</f>
        <v>0</v>
      </c>
      <c r="AZ4477" s="30" t="n">
        <v>41194</v>
      </c>
      <c r="BA4477" s="11" t="n">
        <v>24716</v>
      </c>
      <c r="BB4477" s="31" t="n">
        <f aca="false">SUM(Q4477,S4477,U4477,W4477,Y4477,AA4477,AC4477,AE4477,AG4477,AI4477,AK4477,AM4477,AO4477,AQ4477,AS4477,AU4477,AW4477,AY4477)</f>
        <v>24716</v>
      </c>
      <c r="BC4477" s="28" t="n">
        <f aca="false">BA4477-BB4477</f>
        <v>0</v>
      </c>
      <c r="BD4477" s="32" t="n">
        <f aca="false">SUM(P4477,R4477,T4477,V4477,X4477,Z4477,AB4477,AD4477,AF4477,AH4477,AJ4477,AL4477,AN4477,AP4477,AR4477,AT4477,AV4477,AX4477)</f>
        <v>41194</v>
      </c>
      <c r="BE4477" s="33" t="n">
        <f aca="false">AZ4477-BD4477</f>
        <v>0</v>
      </c>
      <c r="BF4477" s="34" t="n">
        <f aca="false">BD4477*M4477</f>
        <v>24716.4</v>
      </c>
      <c r="BG4477" s="35" t="n">
        <f aca="false">BA4477-BF4477</f>
        <v>-0.399999999997817</v>
      </c>
      <c r="BH4477" s="19" t="str">
        <f aca="false">IF(BG4477=0,"",IF(BG4477&lt;&gt;BA4477,"erreur de calcul",IF(BD4477&lt;&gt;0,"pas de prix",IF(M4477&lt;&gt; 0,"pas de quantité","pas de prix, ni de quantité"))))</f>
        <v>erreur de calcul</v>
      </c>
      <c r="BI4477" s="19"/>
    </row>
    <row r="4478" customFormat="false" ht="15" hidden="false" customHeight="false" outlineLevel="0" collapsed="false">
      <c r="A4478" s="0" t="n">
        <v>18</v>
      </c>
      <c r="B4478" s="8" t="s">
        <v>24</v>
      </c>
      <c r="C4478" s="9" t="s">
        <v>25</v>
      </c>
      <c r="D4478" s="9" t="s">
        <v>26</v>
      </c>
      <c r="E4478" s="10" t="n">
        <v>1789</v>
      </c>
      <c r="F4478" s="9" t="s">
        <v>27</v>
      </c>
      <c r="G4478" s="9" t="s">
        <v>27</v>
      </c>
      <c r="H4478" s="11" t="n">
        <v>25</v>
      </c>
      <c r="I4478" s="11" t="s">
        <v>346</v>
      </c>
      <c r="J4478" s="14"/>
      <c r="K4478" s="14" t="n">
        <v>50</v>
      </c>
      <c r="L4478" s="16"/>
      <c r="M4478" s="27" t="n">
        <f aca="false">J4478+(K4478/20)+(L4478/240)</f>
        <v>2.5</v>
      </c>
      <c r="N4478" s="17" t="s">
        <v>85</v>
      </c>
      <c r="O4478" s="11"/>
      <c r="P4478" s="28" t="n">
        <f aca="false">371167/100</f>
        <v>3711.67</v>
      </c>
      <c r="Q4478" s="28" t="n">
        <v>9279</v>
      </c>
      <c r="R4478" s="28"/>
      <c r="S4478" s="28" t="n">
        <f aca="false">R4478*$M4478</f>
        <v>0</v>
      </c>
      <c r="T4478" s="28"/>
      <c r="U4478" s="28" t="n">
        <f aca="false">T4478*$M4478</f>
        <v>0</v>
      </c>
      <c r="V4478" s="28"/>
      <c r="W4478" s="28" t="n">
        <f aca="false">V4478*$M4478</f>
        <v>0</v>
      </c>
      <c r="X4478" s="28"/>
      <c r="Y4478" s="28" t="n">
        <f aca="false">X4478*$M4478</f>
        <v>0</v>
      </c>
      <c r="Z4478" s="28"/>
      <c r="AA4478" s="28" t="n">
        <f aca="false">Z4478*$M4478</f>
        <v>0</v>
      </c>
      <c r="AB4478" s="28"/>
      <c r="AC4478" s="28" t="n">
        <f aca="false">AB4478*$M4478</f>
        <v>0</v>
      </c>
      <c r="AD4478" s="28"/>
      <c r="AE4478" s="28" t="n">
        <f aca="false">AD4478*$M4478</f>
        <v>0</v>
      </c>
      <c r="AF4478" s="28"/>
      <c r="AG4478" s="28" t="n">
        <f aca="false">AF4478*$M4478</f>
        <v>0</v>
      </c>
      <c r="AH4478" s="28"/>
      <c r="AI4478" s="28" t="n">
        <f aca="false">AH4478*$M4478</f>
        <v>0</v>
      </c>
      <c r="AJ4478" s="28"/>
      <c r="AK4478" s="28" t="n">
        <f aca="false">AJ4478*$M4478</f>
        <v>0</v>
      </c>
      <c r="AL4478" s="28"/>
      <c r="AM4478" s="28" t="n">
        <f aca="false">AL4478*$M4478</f>
        <v>0</v>
      </c>
      <c r="AN4478" s="28"/>
      <c r="AO4478" s="28" t="n">
        <f aca="false">AN4478*$M4478</f>
        <v>0</v>
      </c>
      <c r="AP4478" s="28"/>
      <c r="AQ4478" s="28" t="n">
        <f aca="false">AP4478*$M4478</f>
        <v>0</v>
      </c>
      <c r="AR4478" s="28"/>
      <c r="AS4478" s="28" t="n">
        <f aca="false">AR4478*$M4478</f>
        <v>0</v>
      </c>
      <c r="AT4478" s="28"/>
      <c r="AU4478" s="28" t="n">
        <f aca="false">AT4478*$M4478</f>
        <v>0</v>
      </c>
      <c r="AV4478" s="28"/>
      <c r="AW4478" s="28" t="n">
        <f aca="false">AV4478*$M4478</f>
        <v>0</v>
      </c>
      <c r="AX4478" s="28"/>
      <c r="AY4478" s="28" t="n">
        <f aca="false">AX4478*$M4478</f>
        <v>0</v>
      </c>
      <c r="AZ4478" s="30" t="n">
        <f aca="false">371167/100</f>
        <v>3711.67</v>
      </c>
      <c r="BA4478" s="11" t="n">
        <v>9279</v>
      </c>
      <c r="BB4478" s="31" t="n">
        <f aca="false">SUM(Q4478,S4478,U4478,W4478,Y4478,AA4478,AC4478,AE4478,AG4478,AI4478,AK4478,AM4478,AO4478,AQ4478,AS4478,AU4478,AW4478,AY4478)</f>
        <v>9279</v>
      </c>
      <c r="BC4478" s="28" t="n">
        <f aca="false">BA4478-BB4478</f>
        <v>0</v>
      </c>
      <c r="BD4478" s="32" t="n">
        <f aca="false">SUM(P4478,R4478,T4478,V4478,X4478,Z4478,AB4478,AD4478,AF4478,AH4478,AJ4478,AL4478,AN4478,AP4478,AR4478,AT4478,AV4478,AX4478)</f>
        <v>3711.67</v>
      </c>
      <c r="BE4478" s="33" t="n">
        <f aca="false">AZ4478-BD4478</f>
        <v>0</v>
      </c>
      <c r="BF4478" s="34" t="n">
        <f aca="false">BD4478*M4478</f>
        <v>9279.175</v>
      </c>
      <c r="BG4478" s="35" t="n">
        <f aca="false">BA4478-BF4478</f>
        <v>-0.174999999999272</v>
      </c>
      <c r="BH4478" s="19" t="str">
        <f aca="false">IF(BG4478=0,"",IF(BG4478&lt;&gt;BA4478,"erreur de calcul",IF(BD4478&lt;&gt;0,"pas de prix",IF(M4478&lt;&gt; 0,"pas de quantité","pas de prix, ni de quantité"))))</f>
        <v>erreur de calcul</v>
      </c>
      <c r="BI4478" s="19"/>
    </row>
    <row r="4479" customFormat="false" ht="16.65" hidden="false" customHeight="false" outlineLevel="0" collapsed="false">
      <c r="A4479" s="0" t="n">
        <v>19</v>
      </c>
      <c r="B4479" s="8" t="s">
        <v>24</v>
      </c>
      <c r="C4479" s="9" t="s">
        <v>25</v>
      </c>
      <c r="D4479" s="9" t="s">
        <v>26</v>
      </c>
      <c r="E4479" s="10" t="n">
        <v>1789</v>
      </c>
      <c r="F4479" s="9" t="s">
        <v>27</v>
      </c>
      <c r="G4479" s="9" t="s">
        <v>27</v>
      </c>
      <c r="H4479" s="11" t="n">
        <v>25</v>
      </c>
      <c r="I4479" s="11" t="s">
        <v>347</v>
      </c>
      <c r="J4479" s="14" t="n">
        <v>60</v>
      </c>
      <c r="K4479" s="14"/>
      <c r="L4479" s="16"/>
      <c r="M4479" s="27" t="n">
        <f aca="false">J4479+(K4479/20)+(L4479/240)</f>
        <v>60</v>
      </c>
      <c r="N4479" s="17" t="s">
        <v>64</v>
      </c>
      <c r="O4479" s="11"/>
      <c r="P4479" s="28"/>
      <c r="Q4479" s="28" t="n">
        <f aca="false">P4479*$M4479</f>
        <v>0</v>
      </c>
      <c r="R4479" s="28"/>
      <c r="S4479" s="28" t="n">
        <f aca="false">R4479*$M4479</f>
        <v>0</v>
      </c>
      <c r="T4479" s="28"/>
      <c r="U4479" s="28" t="n">
        <f aca="false">T4479*$M4479</f>
        <v>0</v>
      </c>
      <c r="V4479" s="28" t="n">
        <f aca="false">4151/100</f>
        <v>41.51</v>
      </c>
      <c r="W4479" s="28" t="n">
        <v>2491</v>
      </c>
      <c r="X4479" s="28" t="n">
        <f aca="false">13344/100</f>
        <v>133.44</v>
      </c>
      <c r="Y4479" s="28" t="n">
        <v>8006</v>
      </c>
      <c r="Z4479" s="28" t="n">
        <f aca="false">3323/100</f>
        <v>33.23</v>
      </c>
      <c r="AA4479" s="28" t="n">
        <v>1994</v>
      </c>
      <c r="AB4479" s="28"/>
      <c r="AC4479" s="28" t="n">
        <f aca="false">AB4479*$M4479</f>
        <v>0</v>
      </c>
      <c r="AD4479" s="28" t="n">
        <f aca="false">15268/100</f>
        <v>152.68</v>
      </c>
      <c r="AE4479" s="28" t="n">
        <v>9161</v>
      </c>
      <c r="AF4479" s="28"/>
      <c r="AG4479" s="28" t="n">
        <f aca="false">AF4479*$M4479</f>
        <v>0</v>
      </c>
      <c r="AH4479" s="28"/>
      <c r="AI4479" s="28" t="n">
        <f aca="false">AH4479*$M4479</f>
        <v>0</v>
      </c>
      <c r="AJ4479" s="28"/>
      <c r="AK4479" s="28" t="n">
        <f aca="false">AJ4479*$M4479</f>
        <v>0</v>
      </c>
      <c r="AL4479" s="28"/>
      <c r="AM4479" s="28" t="n">
        <f aca="false">AL4479*$M4479</f>
        <v>0</v>
      </c>
      <c r="AN4479" s="28"/>
      <c r="AO4479" s="28" t="n">
        <f aca="false">AN4479*$M4479</f>
        <v>0</v>
      </c>
      <c r="AP4479" s="28"/>
      <c r="AQ4479" s="28" t="n">
        <f aca="false">AP4479*$M4479</f>
        <v>0</v>
      </c>
      <c r="AR4479" s="28"/>
      <c r="AS4479" s="28" t="n">
        <f aca="false">AR4479*$M4479</f>
        <v>0</v>
      </c>
      <c r="AT4479" s="28"/>
      <c r="AU4479" s="28" t="n">
        <f aca="false">AT4479*$M4479</f>
        <v>0</v>
      </c>
      <c r="AV4479" s="28"/>
      <c r="AW4479" s="28" t="n">
        <f aca="false">AV4479*$M4479</f>
        <v>0</v>
      </c>
      <c r="AX4479" s="28"/>
      <c r="AY4479" s="28" t="n">
        <f aca="false">AX4479*$M4479</f>
        <v>0</v>
      </c>
      <c r="AZ4479" s="30" t="n">
        <f aca="false">32763/100</f>
        <v>327.63</v>
      </c>
      <c r="BA4479" s="11" t="n">
        <v>21652</v>
      </c>
      <c r="BB4479" s="31" t="n">
        <f aca="false">SUM(Q4479,S4479,U4479,W4479,Y4479,AA4479,AC4479,AE4479,AG4479,AI4479,AK4479,AM4479,AO4479,AQ4479,AS4479,AU4479,AW4479,AY4479)</f>
        <v>21652</v>
      </c>
      <c r="BC4479" s="28" t="n">
        <f aca="false">BA4479-BB4479</f>
        <v>0</v>
      </c>
      <c r="BD4479" s="32" t="n">
        <f aca="false">SUM(P4479,R4479,T4479,V4479,X4479,Z4479,AB4479,AD4479,AF4479,AH4479,AJ4479,AL4479,AN4479,AP4479,AR4479,AT4479,AV4479,AX4479)</f>
        <v>360.86</v>
      </c>
      <c r="BE4479" s="33" t="n">
        <f aca="false">AZ4479-BD4479</f>
        <v>-33.23</v>
      </c>
      <c r="BF4479" s="34" t="n">
        <f aca="false">BD4479*M4479</f>
        <v>21651.6</v>
      </c>
      <c r="BG4479" s="35" t="n">
        <f aca="false">BA4479-BF4479</f>
        <v>0.399999999997817</v>
      </c>
      <c r="BH4479" s="19" t="str">
        <f aca="false">IF(BG4479=0,"",IF(BG4479&lt;&gt;BA4479,"erreur de calcul",IF(BD4479&lt;&gt;0,"pas de prix",IF(M4479&lt;&gt; 0,"pas de quantité","pas de prix, ni de quantité"))))</f>
        <v>erreur de calcul</v>
      </c>
      <c r="BI4479" s="19"/>
    </row>
    <row r="4480" customFormat="false" ht="15" hidden="false" customHeight="false" outlineLevel="0" collapsed="false">
      <c r="A4480" s="0" t="n">
        <v>20</v>
      </c>
      <c r="B4480" s="8" t="s">
        <v>24</v>
      </c>
      <c r="C4480" s="9" t="s">
        <v>25</v>
      </c>
      <c r="D4480" s="9" t="s">
        <v>26</v>
      </c>
      <c r="E4480" s="10" t="n">
        <v>1789</v>
      </c>
      <c r="F4480" s="9" t="s">
        <v>27</v>
      </c>
      <c r="G4480" s="9" t="s">
        <v>27</v>
      </c>
      <c r="H4480" s="11" t="n">
        <v>25</v>
      </c>
      <c r="I4480" s="11" t="s">
        <v>348</v>
      </c>
      <c r="J4480" s="14" t="n">
        <v>9</v>
      </c>
      <c r="K4480" s="14"/>
      <c r="L4480" s="16"/>
      <c r="M4480" s="27" t="n">
        <f aca="false">J4480+(K4480/20)+(L4480/240)</f>
        <v>9</v>
      </c>
      <c r="N4480" s="17" t="s">
        <v>349</v>
      </c>
      <c r="O4480" s="11"/>
      <c r="P4480" s="28"/>
      <c r="Q4480" s="28" t="n">
        <f aca="false">P4480*$M4480</f>
        <v>0</v>
      </c>
      <c r="R4480" s="28"/>
      <c r="S4480" s="28" t="n">
        <f aca="false">R4480*$M4480</f>
        <v>0</v>
      </c>
      <c r="T4480" s="28"/>
      <c r="U4480" s="28" t="n">
        <f aca="false">T4480*$M4480</f>
        <v>0</v>
      </c>
      <c r="V4480" s="28" t="n">
        <v>545</v>
      </c>
      <c r="W4480" s="28" t="n">
        <v>4905</v>
      </c>
      <c r="X4480" s="28"/>
      <c r="Y4480" s="28" t="n">
        <f aca="false">X4480*$M4480</f>
        <v>0</v>
      </c>
      <c r="Z4480" s="28"/>
      <c r="AA4480" s="28" t="n">
        <f aca="false">Z4480*$M4480</f>
        <v>0</v>
      </c>
      <c r="AB4480" s="28"/>
      <c r="AC4480" s="28" t="n">
        <f aca="false">AB4480*$M4480</f>
        <v>0</v>
      </c>
      <c r="AD4480" s="28"/>
      <c r="AE4480" s="28" t="n">
        <f aca="false">AD4480*$M4480</f>
        <v>0</v>
      </c>
      <c r="AF4480" s="28"/>
      <c r="AG4480" s="28" t="n">
        <f aca="false">AF4480*$M4480</f>
        <v>0</v>
      </c>
      <c r="AH4480" s="28"/>
      <c r="AI4480" s="28" t="n">
        <f aca="false">AH4480*$M4480</f>
        <v>0</v>
      </c>
      <c r="AJ4480" s="28" t="n">
        <v>592</v>
      </c>
      <c r="AK4480" s="28" t="n">
        <v>5328</v>
      </c>
      <c r="AL4480" s="28"/>
      <c r="AM4480" s="28" t="n">
        <f aca="false">AL4480*$M4480</f>
        <v>0</v>
      </c>
      <c r="AN4480" s="28"/>
      <c r="AO4480" s="28" t="n">
        <f aca="false">AN4480*$M4480</f>
        <v>0</v>
      </c>
      <c r="AP4480" s="28"/>
      <c r="AQ4480" s="28" t="n">
        <f aca="false">AP4480*$M4480</f>
        <v>0</v>
      </c>
      <c r="AR4480" s="28"/>
      <c r="AS4480" s="28" t="n">
        <f aca="false">AR4480*$M4480</f>
        <v>0</v>
      </c>
      <c r="AT4480" s="28"/>
      <c r="AU4480" s="28" t="n">
        <f aca="false">AT4480*$M4480</f>
        <v>0</v>
      </c>
      <c r="AV4480" s="28"/>
      <c r="AW4480" s="28" t="n">
        <f aca="false">AV4480*$M4480</f>
        <v>0</v>
      </c>
      <c r="AX4480" s="28"/>
      <c r="AY4480" s="28" t="n">
        <f aca="false">AX4480*$M4480</f>
        <v>0</v>
      </c>
      <c r="AZ4480" s="30" t="n">
        <v>1137</v>
      </c>
      <c r="BA4480" s="11" t="n">
        <v>10233</v>
      </c>
      <c r="BB4480" s="31" t="n">
        <f aca="false">SUM(Q4480,S4480,U4480,W4480,Y4480,AA4480,AC4480,AE4480,AG4480,AI4480,AK4480,AM4480,AO4480,AQ4480,AS4480,AU4480,AW4480,AY4480)</f>
        <v>10233</v>
      </c>
      <c r="BC4480" s="28" t="n">
        <f aca="false">BA4480-BB4480</f>
        <v>0</v>
      </c>
      <c r="BD4480" s="32" t="n">
        <f aca="false">SUM(P4480,R4480,T4480,V4480,X4480,Z4480,AB4480,AD4480,AF4480,AH4480,AJ4480,AL4480,AN4480,AP4480,AR4480,AT4480,AV4480,AX4480)</f>
        <v>1137</v>
      </c>
      <c r="BE4480" s="33" t="n">
        <f aca="false">AZ4480-BD4480</f>
        <v>0</v>
      </c>
      <c r="BF4480" s="34" t="n">
        <f aca="false">BD4480*M4480</f>
        <v>10233</v>
      </c>
      <c r="BG4480" s="35" t="n">
        <f aca="false">BA4480-BF4480</f>
        <v>0</v>
      </c>
      <c r="BH4480" s="19" t="str">
        <f aca="false">IF(BG4480=0,"",IF(BG4480&lt;&gt;BA4480,"erreur de calcul",IF(BD4480&lt;&gt;0,"pas de prix",IF(M4480&lt;&gt; 0,"pas de quantité","pas de prix, ni de quantité"))))</f>
        <v/>
      </c>
      <c r="BI4480" s="19"/>
    </row>
    <row r="4481" customFormat="false" ht="15" hidden="false" customHeight="false" outlineLevel="0" collapsed="false">
      <c r="A4481" s="0" t="n">
        <v>21</v>
      </c>
      <c r="B4481" s="8" t="s">
        <v>24</v>
      </c>
      <c r="C4481" s="9" t="s">
        <v>25</v>
      </c>
      <c r="D4481" s="9" t="s">
        <v>26</v>
      </c>
      <c r="E4481" s="10" t="n">
        <v>1789</v>
      </c>
      <c r="F4481" s="9" t="s">
        <v>27</v>
      </c>
      <c r="G4481" s="9" t="s">
        <v>27</v>
      </c>
      <c r="H4481" s="11" t="n">
        <v>25</v>
      </c>
      <c r="I4481" s="11" t="s">
        <v>350</v>
      </c>
      <c r="J4481" s="14"/>
      <c r="K4481" s="14" t="n">
        <v>40</v>
      </c>
      <c r="L4481" s="16"/>
      <c r="M4481" s="27" t="n">
        <f aca="false">J4481+(K4481/20)+(L4481/240)</f>
        <v>2</v>
      </c>
      <c r="N4481" s="17" t="s">
        <v>349</v>
      </c>
      <c r="O4481" s="11"/>
      <c r="P4481" s="28"/>
      <c r="Q4481" s="28" t="n">
        <f aca="false">P4481*$M4481</f>
        <v>0</v>
      </c>
      <c r="R4481" s="28"/>
      <c r="S4481" s="28" t="n">
        <f aca="false">R4481*$M4481</f>
        <v>0</v>
      </c>
      <c r="T4481" s="28"/>
      <c r="U4481" s="28" t="n">
        <f aca="false">T4481*$M4481</f>
        <v>0</v>
      </c>
      <c r="V4481" s="28" t="n">
        <v>2688</v>
      </c>
      <c r="W4481" s="28" t="n">
        <v>5376</v>
      </c>
      <c r="X4481" s="28" t="n">
        <v>775</v>
      </c>
      <c r="Y4481" s="28" t="n">
        <v>1550</v>
      </c>
      <c r="Z4481" s="28"/>
      <c r="AA4481" s="28" t="n">
        <f aca="false">Z4481*$M4481</f>
        <v>0</v>
      </c>
      <c r="AB4481" s="28"/>
      <c r="AC4481" s="28" t="n">
        <f aca="false">AB4481*$M4481</f>
        <v>0</v>
      </c>
      <c r="AD4481" s="28"/>
      <c r="AE4481" s="28" t="n">
        <f aca="false">AD4481*$M4481</f>
        <v>0</v>
      </c>
      <c r="AF4481" s="28"/>
      <c r="AG4481" s="28" t="n">
        <f aca="false">AF4481*$M4481</f>
        <v>0</v>
      </c>
      <c r="AH4481" s="28"/>
      <c r="AI4481" s="28" t="n">
        <f aca="false">AH4481*$M4481</f>
        <v>0</v>
      </c>
      <c r="AJ4481" s="28"/>
      <c r="AK4481" s="28" t="n">
        <f aca="false">AJ4481*$M4481</f>
        <v>0</v>
      </c>
      <c r="AL4481" s="28"/>
      <c r="AM4481" s="28" t="n">
        <f aca="false">AL4481*$M4481</f>
        <v>0</v>
      </c>
      <c r="AN4481" s="28"/>
      <c r="AO4481" s="28" t="n">
        <f aca="false">AN4481*$M4481</f>
        <v>0</v>
      </c>
      <c r="AP4481" s="28"/>
      <c r="AQ4481" s="28" t="n">
        <f aca="false">AP4481*$M4481</f>
        <v>0</v>
      </c>
      <c r="AR4481" s="28"/>
      <c r="AS4481" s="28" t="n">
        <f aca="false">AR4481*$M4481</f>
        <v>0</v>
      </c>
      <c r="AT4481" s="28"/>
      <c r="AU4481" s="28" t="n">
        <f aca="false">AT4481*$M4481</f>
        <v>0</v>
      </c>
      <c r="AV4481" s="28"/>
      <c r="AW4481" s="28" t="n">
        <f aca="false">AV4481*$M4481</f>
        <v>0</v>
      </c>
      <c r="AX4481" s="28"/>
      <c r="AY4481" s="28" t="n">
        <f aca="false">AX4481*$M4481</f>
        <v>0</v>
      </c>
      <c r="AZ4481" s="30" t="n">
        <v>3463</v>
      </c>
      <c r="BA4481" s="11" t="n">
        <v>6926</v>
      </c>
      <c r="BB4481" s="31" t="n">
        <f aca="false">SUM(Q4481,S4481,U4481,W4481,Y4481,AA4481,AC4481,AE4481,AG4481,AI4481,AK4481,AM4481,AO4481,AQ4481,AS4481,AU4481,AW4481,AY4481)</f>
        <v>6926</v>
      </c>
      <c r="BC4481" s="28" t="n">
        <f aca="false">BA4481-BB4481</f>
        <v>0</v>
      </c>
      <c r="BD4481" s="32" t="n">
        <f aca="false">SUM(P4481,R4481,T4481,V4481,X4481,Z4481,AB4481,AD4481,AF4481,AH4481,AJ4481,AL4481,AN4481,AP4481,AR4481,AT4481,AV4481,AX4481)</f>
        <v>3463</v>
      </c>
      <c r="BE4481" s="33" t="n">
        <f aca="false">AZ4481-BD4481</f>
        <v>0</v>
      </c>
      <c r="BF4481" s="34" t="n">
        <f aca="false">BD4481*M4481</f>
        <v>6926</v>
      </c>
      <c r="BG4481" s="35" t="n">
        <f aca="false">BA4481-BF4481</f>
        <v>0</v>
      </c>
      <c r="BH4481" s="19" t="str">
        <f aca="false">IF(BG4481=0,"",IF(BG4481&lt;&gt;BA4481,"erreur de calcul",IF(BD4481&lt;&gt;0,"pas de prix",IF(M4481&lt;&gt; 0,"pas de quantité","pas de prix, ni de quantité"))))</f>
        <v/>
      </c>
      <c r="BI4481" s="19"/>
    </row>
    <row r="4482" customFormat="false" ht="15" hidden="false" customHeight="false" outlineLevel="0" collapsed="false">
      <c r="A4482" s="0" t="n">
        <v>22</v>
      </c>
      <c r="B4482" s="8" t="s">
        <v>24</v>
      </c>
      <c r="C4482" s="9" t="s">
        <v>25</v>
      </c>
      <c r="D4482" s="9" t="s">
        <v>26</v>
      </c>
      <c r="E4482" s="10" t="n">
        <v>1789</v>
      </c>
      <c r="F4482" s="9" t="s">
        <v>27</v>
      </c>
      <c r="G4482" s="9" t="s">
        <v>27</v>
      </c>
      <c r="H4482" s="11" t="n">
        <v>25</v>
      </c>
      <c r="I4482" s="11" t="s">
        <v>351</v>
      </c>
      <c r="J4482" s="14" t="n">
        <v>60</v>
      </c>
      <c r="K4482" s="14"/>
      <c r="L4482" s="16"/>
      <c r="M4482" s="27" t="n">
        <f aca="false">J4482+(K4482/20)+(L4482/240)</f>
        <v>60</v>
      </c>
      <c r="N4482" s="17" t="s">
        <v>69</v>
      </c>
      <c r="O4482" s="11"/>
      <c r="P4482" s="28"/>
      <c r="Q4482" s="28" t="n">
        <f aca="false">P4482*$M4482</f>
        <v>0</v>
      </c>
      <c r="R4482" s="28"/>
      <c r="S4482" s="28" t="n">
        <f aca="false">R4482*$M4482</f>
        <v>0</v>
      </c>
      <c r="T4482" s="28" t="n">
        <v>20</v>
      </c>
      <c r="U4482" s="28" t="n">
        <v>1200</v>
      </c>
      <c r="V4482" s="28" t="n">
        <v>82</v>
      </c>
      <c r="W4482" s="28" t="n">
        <v>4920</v>
      </c>
      <c r="X4482" s="28"/>
      <c r="Y4482" s="28" t="n">
        <f aca="false">X4482*$M4482</f>
        <v>0</v>
      </c>
      <c r="Z4482" s="28"/>
      <c r="AA4482" s="28" t="n">
        <f aca="false">Z4482*$M4482</f>
        <v>0</v>
      </c>
      <c r="AB4482" s="28"/>
      <c r="AC4482" s="28" t="n">
        <f aca="false">AB4482*$M4482</f>
        <v>0</v>
      </c>
      <c r="AD4482" s="28"/>
      <c r="AE4482" s="28" t="n">
        <f aca="false">AD4482*$M4482</f>
        <v>0</v>
      </c>
      <c r="AF4482" s="28"/>
      <c r="AG4482" s="28" t="n">
        <f aca="false">AF4482*$M4482</f>
        <v>0</v>
      </c>
      <c r="AH4482" s="28"/>
      <c r="AI4482" s="28" t="n">
        <f aca="false">AH4482*$M4482</f>
        <v>0</v>
      </c>
      <c r="AJ4482" s="28"/>
      <c r="AK4482" s="28" t="n">
        <f aca="false">AJ4482*$M4482</f>
        <v>0</v>
      </c>
      <c r="AL4482" s="28"/>
      <c r="AM4482" s="28" t="n">
        <f aca="false">AL4482*$M4482</f>
        <v>0</v>
      </c>
      <c r="AN4482" s="28"/>
      <c r="AO4482" s="28" t="n">
        <f aca="false">AN4482*$M4482</f>
        <v>0</v>
      </c>
      <c r="AP4482" s="28"/>
      <c r="AQ4482" s="28" t="n">
        <f aca="false">AP4482*$M4482</f>
        <v>0</v>
      </c>
      <c r="AR4482" s="28"/>
      <c r="AS4482" s="28" t="n">
        <f aca="false">AR4482*$M4482</f>
        <v>0</v>
      </c>
      <c r="AT4482" s="28"/>
      <c r="AU4482" s="28" t="n">
        <f aca="false">AT4482*$M4482</f>
        <v>0</v>
      </c>
      <c r="AV4482" s="28"/>
      <c r="AW4482" s="28" t="n">
        <f aca="false">AV4482*$M4482</f>
        <v>0</v>
      </c>
      <c r="AX4482" s="28"/>
      <c r="AY4482" s="28" t="n">
        <f aca="false">AX4482*$M4482</f>
        <v>0</v>
      </c>
      <c r="AZ4482" s="30" t="n">
        <v>102</v>
      </c>
      <c r="BA4482" s="11" t="n">
        <v>6120</v>
      </c>
      <c r="BB4482" s="31" t="n">
        <f aca="false">SUM(Q4482,S4482,U4482,W4482,Y4482,AA4482,AC4482,AE4482,AG4482,AI4482,AK4482,AM4482,AO4482,AQ4482,AS4482,AU4482,AW4482,AY4482)</f>
        <v>6120</v>
      </c>
      <c r="BC4482" s="28" t="n">
        <f aca="false">BA4482-BB4482</f>
        <v>0</v>
      </c>
      <c r="BD4482" s="32" t="n">
        <f aca="false">SUM(P4482,R4482,T4482,V4482,X4482,Z4482,AB4482,AD4482,AF4482,AH4482,AJ4482,AL4482,AN4482,AP4482,AR4482,AT4482,AV4482,AX4482)</f>
        <v>102</v>
      </c>
      <c r="BE4482" s="33" t="n">
        <f aca="false">AZ4482-BD4482</f>
        <v>0</v>
      </c>
      <c r="BF4482" s="34" t="n">
        <f aca="false">BD4482*M4482</f>
        <v>6120</v>
      </c>
      <c r="BG4482" s="35" t="n">
        <f aca="false">BA4482-BF4482</f>
        <v>0</v>
      </c>
      <c r="BH4482" s="19" t="str">
        <f aca="false">IF(BG4482=0,"",IF(BG4482&lt;&gt;BA4482,"erreur de calcul",IF(BD4482&lt;&gt;0,"pas de prix",IF(M4482&lt;&gt; 0,"pas de quantité","pas de prix, ni de quantité"))))</f>
        <v/>
      </c>
      <c r="BI4482" s="19"/>
    </row>
    <row r="4483" customFormat="false" ht="15" hidden="false" customHeight="false" outlineLevel="0" collapsed="false">
      <c r="A4483" s="0" t="n">
        <v>23</v>
      </c>
      <c r="B4483" s="8" t="s">
        <v>24</v>
      </c>
      <c r="C4483" s="9" t="s">
        <v>25</v>
      </c>
      <c r="D4483" s="9" t="s">
        <v>26</v>
      </c>
      <c r="E4483" s="10" t="n">
        <v>1789</v>
      </c>
      <c r="F4483" s="9" t="s">
        <v>27</v>
      </c>
      <c r="G4483" s="9" t="s">
        <v>27</v>
      </c>
      <c r="H4483" s="11" t="n">
        <v>25</v>
      </c>
      <c r="I4483" s="11" t="s">
        <v>352</v>
      </c>
      <c r="J4483" s="14" t="n">
        <v>150</v>
      </c>
      <c r="K4483" s="14"/>
      <c r="L4483" s="16"/>
      <c r="M4483" s="27" t="n">
        <f aca="false">J4483+(K4483/20)+(L4483/240)</f>
        <v>150</v>
      </c>
      <c r="N4483" s="17" t="s">
        <v>64</v>
      </c>
      <c r="O4483" s="11"/>
      <c r="P4483" s="28" t="n">
        <f aca="false">274/100</f>
        <v>2.74</v>
      </c>
      <c r="Q4483" s="28" t="n">
        <v>411</v>
      </c>
      <c r="R4483" s="28"/>
      <c r="S4483" s="28" t="n">
        <f aca="false">R4483*$M4483</f>
        <v>0</v>
      </c>
      <c r="T4483" s="28" t="n">
        <f aca="false">3042/100</f>
        <v>30.42</v>
      </c>
      <c r="U4483" s="28" t="n">
        <v>4563</v>
      </c>
      <c r="V4483" s="28"/>
      <c r="W4483" s="28" t="n">
        <f aca="false">V4483*$M4483</f>
        <v>0</v>
      </c>
      <c r="X4483" s="28"/>
      <c r="Y4483" s="28" t="n">
        <f aca="false">X4483*$M4483</f>
        <v>0</v>
      </c>
      <c r="Z4483" s="28"/>
      <c r="AA4483" s="28" t="n">
        <f aca="false">Z4483*$M4483</f>
        <v>0</v>
      </c>
      <c r="AB4483" s="28" t="n">
        <f aca="false">92/100</f>
        <v>0.92</v>
      </c>
      <c r="AC4483" s="28" t="n">
        <v>138</v>
      </c>
      <c r="AD4483" s="28"/>
      <c r="AE4483" s="28" t="n">
        <f aca="false">AD4483*$M4483</f>
        <v>0</v>
      </c>
      <c r="AF4483" s="28"/>
      <c r="AG4483" s="28" t="n">
        <f aca="false">AF4483*$M4483</f>
        <v>0</v>
      </c>
      <c r="AH4483" s="28"/>
      <c r="AI4483" s="28" t="n">
        <f aca="false">AH4483*$M4483</f>
        <v>0</v>
      </c>
      <c r="AJ4483" s="28"/>
      <c r="AK4483" s="28" t="n">
        <f aca="false">AJ4483*$M4483</f>
        <v>0</v>
      </c>
      <c r="AL4483" s="28"/>
      <c r="AM4483" s="28" t="n">
        <f aca="false">AL4483*$M4483</f>
        <v>0</v>
      </c>
      <c r="AN4483" s="28"/>
      <c r="AO4483" s="28" t="n">
        <f aca="false">AN4483*$M4483</f>
        <v>0</v>
      </c>
      <c r="AP4483" s="28"/>
      <c r="AQ4483" s="28" t="n">
        <f aca="false">AP4483*$M4483</f>
        <v>0</v>
      </c>
      <c r="AR4483" s="28"/>
      <c r="AS4483" s="28" t="n">
        <f aca="false">AR4483*$M4483</f>
        <v>0</v>
      </c>
      <c r="AT4483" s="28"/>
      <c r="AU4483" s="28" t="n">
        <f aca="false">AT4483*$M4483</f>
        <v>0</v>
      </c>
      <c r="AV4483" s="28"/>
      <c r="AW4483" s="28" t="n">
        <f aca="false">AV4483*$M4483</f>
        <v>0</v>
      </c>
      <c r="AX4483" s="28"/>
      <c r="AY4483" s="28" t="n">
        <f aca="false">AX4483*$M4483</f>
        <v>0</v>
      </c>
      <c r="AZ4483" s="30" t="n">
        <f aca="false">3408/100</f>
        <v>34.08</v>
      </c>
      <c r="BA4483" s="11" t="n">
        <v>5112</v>
      </c>
      <c r="BB4483" s="31" t="n">
        <f aca="false">SUM(Q4483,S4483,U4483,W4483,Y4483,AA4483,AC4483,AE4483,AG4483,AI4483,AK4483,AM4483,AO4483,AQ4483,AS4483,AU4483,AW4483,AY4483)</f>
        <v>5112</v>
      </c>
      <c r="BC4483" s="28" t="n">
        <f aca="false">BA4483-BB4483</f>
        <v>0</v>
      </c>
      <c r="BD4483" s="32" t="n">
        <f aca="false">SUM(P4483,R4483,T4483,V4483,X4483,Z4483,AB4483,AD4483,AF4483,AH4483,AJ4483,AL4483,AN4483,AP4483,AR4483,AT4483,AV4483,AX4483)</f>
        <v>34.08</v>
      </c>
      <c r="BE4483" s="33" t="n">
        <f aca="false">AZ4483-BD4483</f>
        <v>0</v>
      </c>
      <c r="BF4483" s="34" t="n">
        <f aca="false">BD4483*M4483</f>
        <v>5112</v>
      </c>
      <c r="BG4483" s="35" t="n">
        <f aca="false">BA4483-BF4483</f>
        <v>0</v>
      </c>
      <c r="BH4483" s="19" t="str">
        <f aca="false">IF(BG4483=0,"",IF(BG4483&lt;&gt;BA4483,"erreur de calcul",IF(BD4483&lt;&gt;0,"pas de prix",IF(M4483&lt;&gt; 0,"pas de quantité","pas de prix, ni de quantité"))))</f>
        <v/>
      </c>
      <c r="BI4483" s="19"/>
    </row>
    <row r="4484" customFormat="false" ht="15" hidden="false" customHeight="false" outlineLevel="0" collapsed="false">
      <c r="A4484" s="0" t="n">
        <v>24</v>
      </c>
      <c r="B4484" s="8" t="s">
        <v>24</v>
      </c>
      <c r="C4484" s="9" t="s">
        <v>25</v>
      </c>
      <c r="D4484" s="9" t="s">
        <v>26</v>
      </c>
      <c r="E4484" s="10" t="n">
        <v>1789</v>
      </c>
      <c r="F4484" s="9" t="s">
        <v>27</v>
      </c>
      <c r="G4484" s="9" t="s">
        <v>27</v>
      </c>
      <c r="H4484" s="11" t="n">
        <v>25</v>
      </c>
      <c r="I4484" s="11" t="s">
        <v>353</v>
      </c>
      <c r="J4484" s="14" t="n">
        <v>40</v>
      </c>
      <c r="K4484" s="14"/>
      <c r="L4484" s="16"/>
      <c r="M4484" s="27" t="n">
        <f aca="false">J4484+(K4484/20)+(L4484/240)</f>
        <v>40</v>
      </c>
      <c r="N4484" s="17" t="s">
        <v>64</v>
      </c>
      <c r="O4484" s="11"/>
      <c r="P4484" s="28"/>
      <c r="Q4484" s="28" t="n">
        <f aca="false">P4484*$M4484</f>
        <v>0</v>
      </c>
      <c r="R4484" s="28"/>
      <c r="S4484" s="28" t="n">
        <f aca="false">R4484*$M4484</f>
        <v>0</v>
      </c>
      <c r="T4484" s="28"/>
      <c r="U4484" s="28" t="n">
        <f aca="false">T4484*$M4484</f>
        <v>0</v>
      </c>
      <c r="V4484" s="28" t="n">
        <f aca="false">4960/100</f>
        <v>49.6</v>
      </c>
      <c r="W4484" s="28" t="n">
        <v>1984</v>
      </c>
      <c r="X4484" s="28" t="n">
        <f aca="false">394/100</f>
        <v>3.94</v>
      </c>
      <c r="Y4484" s="28" t="n">
        <v>158</v>
      </c>
      <c r="Z4484" s="28"/>
      <c r="AA4484" s="28" t="n">
        <f aca="false">Z4484*$M4484</f>
        <v>0</v>
      </c>
      <c r="AB4484" s="28"/>
      <c r="AC4484" s="28" t="n">
        <f aca="false">AB4484*$M4484</f>
        <v>0</v>
      </c>
      <c r="AD4484" s="28"/>
      <c r="AE4484" s="28" t="n">
        <f aca="false">AD4484*$M4484</f>
        <v>0</v>
      </c>
      <c r="AF4484" s="28"/>
      <c r="AG4484" s="28" t="n">
        <f aca="false">AF4484*$M4484</f>
        <v>0</v>
      </c>
      <c r="AH4484" s="28"/>
      <c r="AI4484" s="28" t="n">
        <f aca="false">AH4484*$M4484</f>
        <v>0</v>
      </c>
      <c r="AJ4484" s="28"/>
      <c r="AK4484" s="28" t="n">
        <f aca="false">AJ4484*$M4484</f>
        <v>0</v>
      </c>
      <c r="AL4484" s="28"/>
      <c r="AM4484" s="28" t="n">
        <f aca="false">AL4484*$M4484</f>
        <v>0</v>
      </c>
      <c r="AN4484" s="28"/>
      <c r="AO4484" s="28" t="n">
        <f aca="false">AN4484*$M4484</f>
        <v>0</v>
      </c>
      <c r="AP4484" s="28"/>
      <c r="AQ4484" s="28" t="n">
        <f aca="false">AP4484*$M4484</f>
        <v>0</v>
      </c>
      <c r="AR4484" s="28"/>
      <c r="AS4484" s="28" t="n">
        <f aca="false">AR4484*$M4484</f>
        <v>0</v>
      </c>
      <c r="AT4484" s="28"/>
      <c r="AU4484" s="28" t="n">
        <f aca="false">AT4484*$M4484</f>
        <v>0</v>
      </c>
      <c r="AV4484" s="28"/>
      <c r="AW4484" s="28" t="n">
        <f aca="false">AV4484*$M4484</f>
        <v>0</v>
      </c>
      <c r="AX4484" s="28"/>
      <c r="AY4484" s="28" t="n">
        <f aca="false">AX4484*$M4484</f>
        <v>0</v>
      </c>
      <c r="AZ4484" s="30" t="n">
        <f aca="false">5354/100</f>
        <v>53.54</v>
      </c>
      <c r="BA4484" s="11" t="n">
        <v>2142</v>
      </c>
      <c r="BB4484" s="31" t="n">
        <f aca="false">SUM(Q4484,S4484,U4484,W4484,Y4484,AA4484,AC4484,AE4484,AG4484,AI4484,AK4484,AM4484,AO4484,AQ4484,AS4484,AU4484,AW4484,AY4484)</f>
        <v>2142</v>
      </c>
      <c r="BC4484" s="28" t="n">
        <f aca="false">BA4484-BB4484</f>
        <v>0</v>
      </c>
      <c r="BD4484" s="32" t="n">
        <f aca="false">SUM(P4484,R4484,T4484,V4484,X4484,Z4484,AB4484,AD4484,AF4484,AH4484,AJ4484,AL4484,AN4484,AP4484,AR4484,AT4484,AV4484,AX4484)</f>
        <v>53.54</v>
      </c>
      <c r="BE4484" s="33" t="n">
        <f aca="false">AZ4484-BD4484</f>
        <v>0</v>
      </c>
      <c r="BF4484" s="34" t="n">
        <f aca="false">BD4484*M4484</f>
        <v>2141.6</v>
      </c>
      <c r="BG4484" s="35" t="n">
        <f aca="false">BA4484-BF4484</f>
        <v>0.400000000000091</v>
      </c>
      <c r="BH4484" s="19" t="str">
        <f aca="false">IF(BG4484=0,"",IF(BG4484&lt;&gt;BA4484,"erreur de calcul",IF(BD4484&lt;&gt;0,"pas de prix",IF(M4484&lt;&gt; 0,"pas de quantité","pas de prix, ni de quantité"))))</f>
        <v>erreur de calcul</v>
      </c>
      <c r="BI4484" s="19"/>
    </row>
    <row r="4485" customFormat="false" ht="15" hidden="false" customHeight="false" outlineLevel="0" collapsed="false">
      <c r="A4485" s="0" t="n">
        <v>25</v>
      </c>
      <c r="B4485" s="8" t="s">
        <v>24</v>
      </c>
      <c r="C4485" s="9" t="s">
        <v>25</v>
      </c>
      <c r="D4485" s="9" t="s">
        <v>26</v>
      </c>
      <c r="E4485" s="10" t="n">
        <v>1789</v>
      </c>
      <c r="F4485" s="9" t="s">
        <v>27</v>
      </c>
      <c r="G4485" s="9" t="s">
        <v>27</v>
      </c>
      <c r="H4485" s="11" t="n">
        <v>25</v>
      </c>
      <c r="I4485" s="11" t="s">
        <v>354</v>
      </c>
      <c r="J4485" s="14" t="n">
        <v>200</v>
      </c>
      <c r="K4485" s="14"/>
      <c r="L4485" s="16"/>
      <c r="M4485" s="27" t="n">
        <f aca="false">J4485+(K4485/20)+(L4485/240)</f>
        <v>200</v>
      </c>
      <c r="N4485" s="17" t="s">
        <v>64</v>
      </c>
      <c r="O4485" s="11"/>
      <c r="P4485" s="28"/>
      <c r="Q4485" s="28" t="n">
        <f aca="false">P4485*$M4485</f>
        <v>0</v>
      </c>
      <c r="R4485" s="28"/>
      <c r="S4485" s="28" t="n">
        <f aca="false">R4485*$M4485</f>
        <v>0</v>
      </c>
      <c r="T4485" s="28" t="n">
        <f aca="false">4367/100</f>
        <v>43.67</v>
      </c>
      <c r="U4485" s="28" t="n">
        <v>8734</v>
      </c>
      <c r="V4485" s="28" t="n">
        <f aca="false">346/100</f>
        <v>3.46</v>
      </c>
      <c r="W4485" s="28" t="n">
        <v>692</v>
      </c>
      <c r="X4485" s="28"/>
      <c r="Y4485" s="28" t="n">
        <f aca="false">X4485*$M4485</f>
        <v>0</v>
      </c>
      <c r="Z4485" s="28"/>
      <c r="AA4485" s="28" t="n">
        <f aca="false">Z4485*$M4485</f>
        <v>0</v>
      </c>
      <c r="AB4485" s="28"/>
      <c r="AC4485" s="28" t="n">
        <f aca="false">AB4485*$M4485</f>
        <v>0</v>
      </c>
      <c r="AD4485" s="28"/>
      <c r="AE4485" s="28" t="n">
        <f aca="false">AD4485*$M4485</f>
        <v>0</v>
      </c>
      <c r="AF4485" s="28"/>
      <c r="AG4485" s="28" t="n">
        <f aca="false">AF4485*$M4485</f>
        <v>0</v>
      </c>
      <c r="AH4485" s="28"/>
      <c r="AI4485" s="28" t="n">
        <f aca="false">AH4485*$M4485</f>
        <v>0</v>
      </c>
      <c r="AJ4485" s="28"/>
      <c r="AK4485" s="28" t="n">
        <f aca="false">AJ4485*$M4485</f>
        <v>0</v>
      </c>
      <c r="AL4485" s="28"/>
      <c r="AM4485" s="28" t="n">
        <f aca="false">AL4485*$M4485</f>
        <v>0</v>
      </c>
      <c r="AN4485" s="28"/>
      <c r="AO4485" s="28" t="n">
        <f aca="false">AN4485*$M4485</f>
        <v>0</v>
      </c>
      <c r="AP4485" s="28"/>
      <c r="AQ4485" s="28" t="n">
        <f aca="false">AP4485*$M4485</f>
        <v>0</v>
      </c>
      <c r="AR4485" s="28"/>
      <c r="AS4485" s="28" t="n">
        <f aca="false">AR4485*$M4485</f>
        <v>0</v>
      </c>
      <c r="AT4485" s="28"/>
      <c r="AU4485" s="28" t="n">
        <f aca="false">AT4485*$M4485</f>
        <v>0</v>
      </c>
      <c r="AV4485" s="28"/>
      <c r="AW4485" s="28" t="n">
        <f aca="false">AV4485*$M4485</f>
        <v>0</v>
      </c>
      <c r="AX4485" s="28"/>
      <c r="AY4485" s="28" t="n">
        <f aca="false">AX4485*$M4485</f>
        <v>0</v>
      </c>
      <c r="AZ4485" s="30" t="n">
        <f aca="false">4713/100</f>
        <v>47.13</v>
      </c>
      <c r="BA4485" s="11" t="n">
        <v>9426</v>
      </c>
      <c r="BB4485" s="31" t="n">
        <f aca="false">SUM(Q4485,S4485,U4485,W4485,Y4485,AA4485,AC4485,AE4485,AG4485,AI4485,AK4485,AM4485,AO4485,AQ4485,AS4485,AU4485,AW4485,AY4485)</f>
        <v>9426</v>
      </c>
      <c r="BC4485" s="28" t="n">
        <f aca="false">BA4485-BB4485</f>
        <v>0</v>
      </c>
      <c r="BD4485" s="32" t="n">
        <f aca="false">SUM(P4485,R4485,T4485,V4485,X4485,Z4485,AB4485,AD4485,AF4485,AH4485,AJ4485,AL4485,AN4485,AP4485,AR4485,AT4485,AV4485,AX4485)</f>
        <v>47.13</v>
      </c>
      <c r="BE4485" s="33" t="n">
        <f aca="false">AZ4485-BD4485</f>
        <v>0</v>
      </c>
      <c r="BF4485" s="34" t="n">
        <f aca="false">BD4485*M4485</f>
        <v>9426</v>
      </c>
      <c r="BG4485" s="35" t="n">
        <f aca="false">BA4485-BF4485</f>
        <v>0</v>
      </c>
      <c r="BH4485" s="19" t="str">
        <f aca="false">IF(BG4485=0,"",IF(BG4485&lt;&gt;BA4485,"erreur de calcul",IF(BD4485&lt;&gt;0,"pas de prix",IF(M4485&lt;&gt; 0,"pas de quantité","pas de prix, ni de quantité"))))</f>
        <v/>
      </c>
      <c r="BI4485" s="19"/>
    </row>
    <row r="4486" customFormat="false" ht="15" hidden="false" customHeight="false" outlineLevel="0" collapsed="false">
      <c r="A4486" s="0" t="n">
        <v>26</v>
      </c>
      <c r="B4486" s="8" t="s">
        <v>24</v>
      </c>
      <c r="C4486" s="9" t="s">
        <v>25</v>
      </c>
      <c r="D4486" s="9" t="s">
        <v>26</v>
      </c>
      <c r="E4486" s="10" t="n">
        <v>1789</v>
      </c>
      <c r="F4486" s="9" t="s">
        <v>27</v>
      </c>
      <c r="G4486" s="9" t="s">
        <v>27</v>
      </c>
      <c r="H4486" s="11" t="n">
        <v>25</v>
      </c>
      <c r="I4486" s="11" t="s">
        <v>355</v>
      </c>
      <c r="J4486" s="14" t="n">
        <v>200</v>
      </c>
      <c r="K4486" s="14"/>
      <c r="L4486" s="16"/>
      <c r="M4486" s="27" t="n">
        <f aca="false">J4486+(K4486/20)+(L4486/240)</f>
        <v>200</v>
      </c>
      <c r="N4486" s="17" t="s">
        <v>64</v>
      </c>
      <c r="O4486" s="11"/>
      <c r="P4486" s="28"/>
      <c r="Q4486" s="28" t="n">
        <f aca="false">P4486*$M4486</f>
        <v>0</v>
      </c>
      <c r="R4486" s="28"/>
      <c r="S4486" s="28" t="n">
        <f aca="false">R4486*$M4486</f>
        <v>0</v>
      </c>
      <c r="T4486" s="28" t="n">
        <f aca="false">2471/100</f>
        <v>24.71</v>
      </c>
      <c r="U4486" s="28" t="n">
        <v>4942</v>
      </c>
      <c r="V4486" s="28"/>
      <c r="W4486" s="28" t="n">
        <f aca="false">V4486*$M4486</f>
        <v>0</v>
      </c>
      <c r="X4486" s="28"/>
      <c r="Y4486" s="28" t="n">
        <f aca="false">X4486*$M4486</f>
        <v>0</v>
      </c>
      <c r="Z4486" s="28"/>
      <c r="AA4486" s="28" t="n">
        <f aca="false">Z4486*$M4486</f>
        <v>0</v>
      </c>
      <c r="AB4486" s="28"/>
      <c r="AC4486" s="28" t="n">
        <f aca="false">AB4486*$M4486</f>
        <v>0</v>
      </c>
      <c r="AD4486" s="28"/>
      <c r="AE4486" s="28" t="n">
        <f aca="false">AD4486*$M4486</f>
        <v>0</v>
      </c>
      <c r="AF4486" s="28"/>
      <c r="AG4486" s="28" t="n">
        <f aca="false">AF4486*$M4486</f>
        <v>0</v>
      </c>
      <c r="AH4486" s="28"/>
      <c r="AI4486" s="28" t="n">
        <f aca="false">AH4486*$M4486</f>
        <v>0</v>
      </c>
      <c r="AJ4486" s="28"/>
      <c r="AK4486" s="28" t="n">
        <f aca="false">AJ4486*$M4486</f>
        <v>0</v>
      </c>
      <c r="AL4486" s="28"/>
      <c r="AM4486" s="28" t="n">
        <f aca="false">AL4486*$M4486</f>
        <v>0</v>
      </c>
      <c r="AN4486" s="28"/>
      <c r="AO4486" s="28" t="n">
        <f aca="false">AN4486*$M4486</f>
        <v>0</v>
      </c>
      <c r="AP4486" s="28"/>
      <c r="AQ4486" s="28" t="n">
        <f aca="false">AP4486*$M4486</f>
        <v>0</v>
      </c>
      <c r="AR4486" s="28"/>
      <c r="AS4486" s="28" t="n">
        <f aca="false">AR4486*$M4486</f>
        <v>0</v>
      </c>
      <c r="AT4486" s="28"/>
      <c r="AU4486" s="28" t="n">
        <f aca="false">AT4486*$M4486</f>
        <v>0</v>
      </c>
      <c r="AV4486" s="28"/>
      <c r="AW4486" s="28" t="n">
        <f aca="false">AV4486*$M4486</f>
        <v>0</v>
      </c>
      <c r="AX4486" s="28"/>
      <c r="AY4486" s="28" t="n">
        <f aca="false">AX4486*$M4486</f>
        <v>0</v>
      </c>
      <c r="AZ4486" s="30" t="n">
        <f aca="false">2471/100</f>
        <v>24.71</v>
      </c>
      <c r="BA4486" s="11" t="n">
        <v>4942</v>
      </c>
      <c r="BB4486" s="31" t="n">
        <f aca="false">SUM(Q4486,S4486,U4486,W4486,Y4486,AA4486,AC4486,AE4486,AG4486,AI4486,AK4486,AM4486,AO4486,AQ4486,AS4486,AU4486,AW4486,AY4486)</f>
        <v>4942</v>
      </c>
      <c r="BC4486" s="28" t="n">
        <f aca="false">BA4486-BB4486</f>
        <v>0</v>
      </c>
      <c r="BD4486" s="32" t="n">
        <f aca="false">SUM(P4486,R4486,T4486,V4486,X4486,Z4486,AB4486,AD4486,AF4486,AH4486,AJ4486,AL4486,AN4486,AP4486,AR4486,AT4486,AV4486,AX4486)</f>
        <v>24.71</v>
      </c>
      <c r="BE4486" s="33" t="n">
        <f aca="false">AZ4486-BD4486</f>
        <v>0</v>
      </c>
      <c r="BF4486" s="34" t="n">
        <f aca="false">BD4486*M4486</f>
        <v>4942</v>
      </c>
      <c r="BG4486" s="35" t="n">
        <f aca="false">BA4486-BF4486</f>
        <v>0</v>
      </c>
      <c r="BH4486" s="19" t="str">
        <f aca="false">IF(BG4486=0,"",IF(BG4486&lt;&gt;BA4486,"erreur de calcul",IF(BD4486&lt;&gt;0,"pas de prix",IF(M4486&lt;&gt; 0,"pas de quantité","pas de prix, ni de quantité"))))</f>
        <v/>
      </c>
      <c r="BI4486" s="19"/>
    </row>
    <row r="4487" customFormat="false" ht="15" hidden="false" customHeight="false" outlineLevel="0" collapsed="false">
      <c r="A4487" s="0" t="n">
        <v>27</v>
      </c>
      <c r="B4487" s="8" t="s">
        <v>24</v>
      </c>
      <c r="C4487" s="9" t="s">
        <v>25</v>
      </c>
      <c r="D4487" s="9" t="s">
        <v>26</v>
      </c>
      <c r="E4487" s="10" t="n">
        <v>1789</v>
      </c>
      <c r="F4487" s="9" t="s">
        <v>27</v>
      </c>
      <c r="G4487" s="9" t="s">
        <v>27</v>
      </c>
      <c r="H4487" s="11" t="n">
        <v>25</v>
      </c>
      <c r="I4487" s="11" t="s">
        <v>356</v>
      </c>
      <c r="J4487" s="14" t="n">
        <v>120</v>
      </c>
      <c r="K4487" s="14"/>
      <c r="L4487" s="16"/>
      <c r="M4487" s="27" t="n">
        <f aca="false">J4487+(K4487/20)+(L4487/240)</f>
        <v>120</v>
      </c>
      <c r="N4487" s="17" t="s">
        <v>64</v>
      </c>
      <c r="O4487" s="11"/>
      <c r="P4487" s="28"/>
      <c r="Q4487" s="28" t="n">
        <f aca="false">P4487*$M4487</f>
        <v>0</v>
      </c>
      <c r="R4487" s="28"/>
      <c r="S4487" s="28" t="n">
        <f aca="false">R4487*$M4487</f>
        <v>0</v>
      </c>
      <c r="T4487" s="28"/>
      <c r="U4487" s="28" t="n">
        <f aca="false">T4487*$M4487</f>
        <v>0</v>
      </c>
      <c r="V4487" s="28"/>
      <c r="W4487" s="28" t="n">
        <f aca="false">V4487*$M4487</f>
        <v>0</v>
      </c>
      <c r="X4487" s="28"/>
      <c r="Y4487" s="28" t="n">
        <f aca="false">X4487*$M4487</f>
        <v>0</v>
      </c>
      <c r="Z4487" s="28"/>
      <c r="AA4487" s="28" t="n">
        <f aca="false">Z4487*$M4487</f>
        <v>0</v>
      </c>
      <c r="AB4487" s="28"/>
      <c r="AC4487" s="28" t="n">
        <f aca="false">AB4487*$M4487</f>
        <v>0</v>
      </c>
      <c r="AD4487" s="28"/>
      <c r="AE4487" s="28" t="n">
        <f aca="false">AD4487*$M4487</f>
        <v>0</v>
      </c>
      <c r="AF4487" s="28"/>
      <c r="AG4487" s="28" t="n">
        <f aca="false">AF4487*$M4487</f>
        <v>0</v>
      </c>
      <c r="AH4487" s="28"/>
      <c r="AI4487" s="28" t="n">
        <f aca="false">AH4487*$M4487</f>
        <v>0</v>
      </c>
      <c r="AJ4487" s="28"/>
      <c r="AK4487" s="28" t="n">
        <f aca="false">AJ4487*$M4487</f>
        <v>0</v>
      </c>
      <c r="AL4487" s="28"/>
      <c r="AM4487" s="28" t="n">
        <f aca="false">AL4487*$M4487</f>
        <v>0</v>
      </c>
      <c r="AN4487" s="28" t="n">
        <f aca="false">407/100</f>
        <v>4.07</v>
      </c>
      <c r="AO4487" s="28" t="n">
        <v>488</v>
      </c>
      <c r="AP4487" s="28"/>
      <c r="AQ4487" s="28" t="n">
        <f aca="false">AP4487*$M4487</f>
        <v>0</v>
      </c>
      <c r="AR4487" s="28"/>
      <c r="AS4487" s="28" t="n">
        <f aca="false">AR4487*$M4487</f>
        <v>0</v>
      </c>
      <c r="AT4487" s="28"/>
      <c r="AU4487" s="28" t="n">
        <f aca="false">AT4487*$M4487</f>
        <v>0</v>
      </c>
      <c r="AV4487" s="28"/>
      <c r="AW4487" s="28" t="n">
        <f aca="false">AV4487*$M4487</f>
        <v>0</v>
      </c>
      <c r="AX4487" s="28"/>
      <c r="AY4487" s="28" t="n">
        <f aca="false">AX4487*$M4487</f>
        <v>0</v>
      </c>
      <c r="AZ4487" s="30" t="n">
        <f aca="false">407/100</f>
        <v>4.07</v>
      </c>
      <c r="BA4487" s="11" t="n">
        <v>488</v>
      </c>
      <c r="BB4487" s="31" t="n">
        <f aca="false">SUM(Q4487,S4487,U4487,W4487,Y4487,AA4487,AC4487,AE4487,AG4487,AI4487,AK4487,AM4487,AO4487,AQ4487,AS4487,AU4487,AW4487,AY4487)</f>
        <v>488</v>
      </c>
      <c r="BC4487" s="28" t="n">
        <f aca="false">BA4487-BB4487</f>
        <v>0</v>
      </c>
      <c r="BD4487" s="32" t="n">
        <f aca="false">SUM(P4487,R4487,T4487,V4487,X4487,Z4487,AB4487,AD4487,AF4487,AH4487,AJ4487,AL4487,AN4487,AP4487,AR4487,AT4487,AV4487,AX4487)</f>
        <v>4.07</v>
      </c>
      <c r="BE4487" s="33" t="n">
        <f aca="false">AZ4487-BD4487</f>
        <v>0</v>
      </c>
      <c r="BF4487" s="34" t="n">
        <f aca="false">BD4487*M4487</f>
        <v>488.4</v>
      </c>
      <c r="BG4487" s="35" t="n">
        <f aca="false">BA4487-BF4487</f>
        <v>-0.400000000000034</v>
      </c>
      <c r="BH4487" s="19" t="str">
        <f aca="false">IF(BG4487=0,"",IF(BG4487&lt;&gt;BA4487,"erreur de calcul",IF(BD4487&lt;&gt;0,"pas de prix",IF(M4487&lt;&gt; 0,"pas de quantité","pas de prix, ni de quantité"))))</f>
        <v>erreur de calcul</v>
      </c>
      <c r="BI4487" s="19"/>
    </row>
    <row r="4488" customFormat="false" ht="15" hidden="false" customHeight="false" outlineLevel="0" collapsed="false">
      <c r="A4488" s="0" t="n">
        <v>28</v>
      </c>
      <c r="B4488" s="8" t="s">
        <v>24</v>
      </c>
      <c r="C4488" s="9" t="s">
        <v>25</v>
      </c>
      <c r="D4488" s="9" t="s">
        <v>26</v>
      </c>
      <c r="E4488" s="10" t="n">
        <v>1789</v>
      </c>
      <c r="F4488" s="9" t="s">
        <v>27</v>
      </c>
      <c r="G4488" s="9" t="s">
        <v>27</v>
      </c>
      <c r="H4488" s="11" t="n">
        <v>25</v>
      </c>
      <c r="I4488" s="11" t="s">
        <v>357</v>
      </c>
      <c r="J4488" s="14" t="n">
        <v>30</v>
      </c>
      <c r="K4488" s="14"/>
      <c r="L4488" s="16"/>
      <c r="M4488" s="27" t="n">
        <f aca="false">J4488+(K4488/20)+(L4488/240)</f>
        <v>30</v>
      </c>
      <c r="N4488" s="17" t="s">
        <v>64</v>
      </c>
      <c r="O4488" s="11"/>
      <c r="P4488" s="28"/>
      <c r="Q4488" s="28" t="n">
        <f aca="false">P4488*$M4488</f>
        <v>0</v>
      </c>
      <c r="R4488" s="28"/>
      <c r="S4488" s="28" t="n">
        <f aca="false">R4488*$M4488</f>
        <v>0</v>
      </c>
      <c r="T4488" s="28" t="n">
        <f aca="false">8903/100</f>
        <v>89.03</v>
      </c>
      <c r="U4488" s="28" t="n">
        <v>2671</v>
      </c>
      <c r="V4488" s="28" t="n">
        <f aca="false">2591/100</f>
        <v>25.91</v>
      </c>
      <c r="W4488" s="28" t="n">
        <v>777</v>
      </c>
      <c r="X4488" s="28"/>
      <c r="Y4488" s="28" t="n">
        <f aca="false">X4488*$M4488</f>
        <v>0</v>
      </c>
      <c r="Z4488" s="28" t="n">
        <f aca="false">17041/100</f>
        <v>170.41</v>
      </c>
      <c r="AA4488" s="28" t="n">
        <v>5112</v>
      </c>
      <c r="AB4488" s="28" t="n">
        <f aca="false">42963/100</f>
        <v>429.63</v>
      </c>
      <c r="AC4488" s="28" t="n">
        <v>12889</v>
      </c>
      <c r="AD4488" s="28"/>
      <c r="AE4488" s="28" t="n">
        <f aca="false">AD4488*$M4488</f>
        <v>0</v>
      </c>
      <c r="AF4488" s="28" t="n">
        <f aca="false">138369/100</f>
        <v>1383.69</v>
      </c>
      <c r="AG4488" s="28" t="n">
        <v>41511</v>
      </c>
      <c r="AH4488" s="28"/>
      <c r="AI4488" s="28" t="n">
        <f aca="false">AH4488*$M4488</f>
        <v>0</v>
      </c>
      <c r="AJ4488" s="28"/>
      <c r="AK4488" s="28" t="n">
        <f aca="false">AJ4488*$M4488</f>
        <v>0</v>
      </c>
      <c r="AL4488" s="28"/>
      <c r="AM4488" s="28" t="n">
        <f aca="false">AL4488*$M4488</f>
        <v>0</v>
      </c>
      <c r="AN4488" s="28"/>
      <c r="AO4488" s="28" t="n">
        <f aca="false">AN4488*$M4488</f>
        <v>0</v>
      </c>
      <c r="AP4488" s="28"/>
      <c r="AQ4488" s="28" t="n">
        <f aca="false">AP4488*$M4488</f>
        <v>0</v>
      </c>
      <c r="AR4488" s="28"/>
      <c r="AS4488" s="28" t="n">
        <f aca="false">AR4488*$M4488</f>
        <v>0</v>
      </c>
      <c r="AT4488" s="28"/>
      <c r="AU4488" s="28" t="n">
        <f aca="false">AT4488*$M4488</f>
        <v>0</v>
      </c>
      <c r="AV4488" s="28"/>
      <c r="AW4488" s="28" t="n">
        <f aca="false">AV4488*$M4488</f>
        <v>0</v>
      </c>
      <c r="AX4488" s="28"/>
      <c r="AY4488" s="28" t="n">
        <f aca="false">AX4488*$M4488</f>
        <v>0</v>
      </c>
      <c r="AZ4488" s="30" t="n">
        <f aca="false">209867/100</f>
        <v>2098.67</v>
      </c>
      <c r="BA4488" s="11" t="n">
        <v>62960</v>
      </c>
      <c r="BB4488" s="31" t="n">
        <f aca="false">SUM(Q4488,S4488,U4488,W4488,Y4488,AA4488,AC4488,AE4488,AG4488,AI4488,AK4488,AM4488,AO4488,AQ4488,AS4488,AU4488,AW4488,AY4488)</f>
        <v>62960</v>
      </c>
      <c r="BC4488" s="28" t="n">
        <f aca="false">BA4488-BB4488</f>
        <v>0</v>
      </c>
      <c r="BD4488" s="32" t="n">
        <f aca="false">SUM(P4488,R4488,T4488,V4488,X4488,Z4488,AB4488,AD4488,AF4488,AH4488,AJ4488,AL4488,AN4488,AP4488,AR4488,AT4488,AV4488,AX4488)</f>
        <v>2098.67</v>
      </c>
      <c r="BE4488" s="33" t="n">
        <f aca="false">AZ4488-BD4488</f>
        <v>0</v>
      </c>
      <c r="BF4488" s="34" t="n">
        <f aca="false">BD4488*M4488</f>
        <v>62960.1</v>
      </c>
      <c r="BG4488" s="35" t="n">
        <f aca="false">BA4488-BF4488</f>
        <v>-0.100000000013097</v>
      </c>
      <c r="BH4488" s="19" t="str">
        <f aca="false">IF(BG4488=0,"",IF(BG4488&lt;&gt;BA4488,"erreur de calcul",IF(BD4488&lt;&gt;0,"pas de prix",IF(M4488&lt;&gt; 0,"pas de quantité","pas de prix, ni de quantité"))))</f>
        <v>erreur de calcul</v>
      </c>
      <c r="BI4488" s="19"/>
    </row>
    <row r="4489" customFormat="false" ht="15" hidden="false" customHeight="false" outlineLevel="0" collapsed="false">
      <c r="A4489" s="0" t="n">
        <v>29</v>
      </c>
      <c r="B4489" s="8" t="s">
        <v>24</v>
      </c>
      <c r="C4489" s="9" t="s">
        <v>25</v>
      </c>
      <c r="D4489" s="9" t="s">
        <v>26</v>
      </c>
      <c r="E4489" s="10" t="n">
        <v>1789</v>
      </c>
      <c r="F4489" s="9" t="s">
        <v>27</v>
      </c>
      <c r="G4489" s="9" t="s">
        <v>27</v>
      </c>
      <c r="H4489" s="11" t="n">
        <v>25</v>
      </c>
      <c r="I4489" s="11" t="s">
        <v>358</v>
      </c>
      <c r="J4489" s="14" t="n">
        <v>35</v>
      </c>
      <c r="K4489" s="14"/>
      <c r="L4489" s="16"/>
      <c r="M4489" s="27" t="n">
        <f aca="false">J4489+(K4489/20)+(L4489/240)</f>
        <v>35</v>
      </c>
      <c r="N4489" s="17" t="s">
        <v>64</v>
      </c>
      <c r="O4489" s="11"/>
      <c r="P4489" s="28"/>
      <c r="Q4489" s="28" t="n">
        <f aca="false">P4489*$M4489</f>
        <v>0</v>
      </c>
      <c r="R4489" s="28"/>
      <c r="S4489" s="28" t="n">
        <f aca="false">R4489*$M4489</f>
        <v>0</v>
      </c>
      <c r="T4489" s="28" t="n">
        <f aca="false">62095/100</f>
        <v>620.95</v>
      </c>
      <c r="U4489" s="28" t="n">
        <v>21733</v>
      </c>
      <c r="V4489" s="28" t="n">
        <f aca="false">257918/100</f>
        <v>2579.18</v>
      </c>
      <c r="W4489" s="28" t="n">
        <v>90271</v>
      </c>
      <c r="X4489" s="28" t="n">
        <f aca="false">10723/100</f>
        <v>107.23</v>
      </c>
      <c r="Y4489" s="28" t="n">
        <v>3753</v>
      </c>
      <c r="Z4489" s="28" t="n">
        <f aca="false">21191/100</f>
        <v>211.91</v>
      </c>
      <c r="AA4489" s="28" t="n">
        <v>7417</v>
      </c>
      <c r="AB4489" s="28" t="n">
        <f aca="false">308781/100</f>
        <v>3087.81</v>
      </c>
      <c r="AC4489" s="28" t="n">
        <v>108073</v>
      </c>
      <c r="AD4489" s="28"/>
      <c r="AE4489" s="28" t="n">
        <f aca="false">AD4489*$M4489</f>
        <v>0</v>
      </c>
      <c r="AF4489" s="28" t="n">
        <f aca="false">5225/100</f>
        <v>52.25</v>
      </c>
      <c r="AG4489" s="28" t="n">
        <v>1829</v>
      </c>
      <c r="AH4489" s="28"/>
      <c r="AI4489" s="28" t="n">
        <f aca="false">AH4489*$M4489</f>
        <v>0</v>
      </c>
      <c r="AJ4489" s="28"/>
      <c r="AK4489" s="28" t="n">
        <f aca="false">AJ4489*$M4489</f>
        <v>0</v>
      </c>
      <c r="AL4489" s="28"/>
      <c r="AM4489" s="28" t="n">
        <f aca="false">AL4489*$M4489</f>
        <v>0</v>
      </c>
      <c r="AN4489" s="28"/>
      <c r="AO4489" s="28" t="n">
        <f aca="false">AN4489*$M4489</f>
        <v>0</v>
      </c>
      <c r="AP4489" s="28"/>
      <c r="AQ4489" s="28" t="n">
        <f aca="false">AP4489*$M4489</f>
        <v>0</v>
      </c>
      <c r="AR4489" s="28"/>
      <c r="AS4489" s="28" t="n">
        <f aca="false">AR4489*$M4489</f>
        <v>0</v>
      </c>
      <c r="AT4489" s="28"/>
      <c r="AU4489" s="28" t="n">
        <f aca="false">AT4489*$M4489</f>
        <v>0</v>
      </c>
      <c r="AV4489" s="28"/>
      <c r="AW4489" s="28" t="n">
        <f aca="false">AV4489*$M4489</f>
        <v>0</v>
      </c>
      <c r="AX4489" s="28"/>
      <c r="AY4489" s="28" t="n">
        <f aca="false">AX4489*$M4489</f>
        <v>0</v>
      </c>
      <c r="AZ4489" s="30" t="n">
        <f aca="false">665933/100</f>
        <v>6659.33</v>
      </c>
      <c r="BA4489" s="11" t="n">
        <v>233076</v>
      </c>
      <c r="BB4489" s="31" t="n">
        <f aca="false">SUM(Q4489,S4489,U4489,W4489,Y4489,AA4489,AC4489,AE4489,AG4489,AI4489,AK4489,AM4489,AO4489,AQ4489,AS4489,AU4489,AW4489,AY4489)</f>
        <v>233076</v>
      </c>
      <c r="BC4489" s="28" t="n">
        <f aca="false">BA4489-BB4489</f>
        <v>0</v>
      </c>
      <c r="BD4489" s="32" t="n">
        <f aca="false">SUM(P4489,R4489,T4489,V4489,X4489,Z4489,AB4489,AD4489,AF4489,AH4489,AJ4489,AL4489,AN4489,AP4489,AR4489,AT4489,AV4489,AX4489)</f>
        <v>6659.33</v>
      </c>
      <c r="BE4489" s="33" t="n">
        <f aca="false">AZ4489-BD4489</f>
        <v>0</v>
      </c>
      <c r="BF4489" s="34" t="n">
        <f aca="false">BD4489*M4489</f>
        <v>233076.55</v>
      </c>
      <c r="BG4489" s="35" t="n">
        <f aca="false">BA4489-BF4489</f>
        <v>-0.549999999959255</v>
      </c>
      <c r="BH4489" s="19" t="str">
        <f aca="false">IF(BG4489=0,"",IF(BG4489&lt;&gt;BA4489,"erreur de calcul",IF(BD4489&lt;&gt;0,"pas de prix",IF(M4489&lt;&gt; 0,"pas de quantité","pas de prix, ni de quantité"))))</f>
        <v>erreur de calcul</v>
      </c>
      <c r="BI4489" s="19"/>
    </row>
    <row r="4490" customFormat="false" ht="15" hidden="false" customHeight="false" outlineLevel="0" collapsed="false">
      <c r="A4490" s="0" t="n">
        <v>30</v>
      </c>
      <c r="B4490" s="8" t="s">
        <v>24</v>
      </c>
      <c r="C4490" s="9" t="s">
        <v>25</v>
      </c>
      <c r="D4490" s="9" t="s">
        <v>26</v>
      </c>
      <c r="E4490" s="10" t="n">
        <v>1789</v>
      </c>
      <c r="F4490" s="9" t="s">
        <v>27</v>
      </c>
      <c r="G4490" s="9" t="s">
        <v>27</v>
      </c>
      <c r="H4490" s="11" t="n">
        <v>25</v>
      </c>
      <c r="I4490" s="11" t="s">
        <v>359</v>
      </c>
      <c r="J4490" s="14"/>
      <c r="K4490" s="14"/>
      <c r="L4490" s="16"/>
      <c r="M4490" s="27" t="n">
        <f aca="false">J4490+(K4490/20)+(L4490/240)</f>
        <v>0</v>
      </c>
      <c r="N4490" s="17"/>
      <c r="O4490" s="11" t="s">
        <v>109</v>
      </c>
      <c r="P4490" s="28"/>
      <c r="Q4490" s="28" t="n">
        <f aca="false">P4490*$M4490</f>
        <v>0</v>
      </c>
      <c r="R4490" s="28"/>
      <c r="S4490" s="28" t="n">
        <f aca="false">R4490*$M4490</f>
        <v>0</v>
      </c>
      <c r="T4490" s="28"/>
      <c r="U4490" s="28" t="n">
        <f aca="false">T4490*$M4490</f>
        <v>0</v>
      </c>
      <c r="V4490" s="28"/>
      <c r="W4490" s="28" t="n">
        <f aca="false">V4490*$M4490</f>
        <v>0</v>
      </c>
      <c r="X4490" s="28"/>
      <c r="Y4490" s="28" t="n">
        <f aca="false">X4490*$M4490</f>
        <v>0</v>
      </c>
      <c r="Z4490" s="28"/>
      <c r="AA4490" s="28" t="n">
        <f aca="false">Z4490*$M4490</f>
        <v>0</v>
      </c>
      <c r="AB4490" s="28"/>
      <c r="AC4490" s="28" t="n">
        <f aca="false">AB4490*$M4490</f>
        <v>0</v>
      </c>
      <c r="AD4490" s="28"/>
      <c r="AE4490" s="28" t="n">
        <f aca="false">AD4490*$M4490</f>
        <v>0</v>
      </c>
      <c r="AF4490" s="28"/>
      <c r="AG4490" s="28" t="n">
        <f aca="false">AF4490*$M4490</f>
        <v>0</v>
      </c>
      <c r="AH4490" s="28"/>
      <c r="AI4490" s="28" t="n">
        <f aca="false">AH4490*$M4490</f>
        <v>0</v>
      </c>
      <c r="AJ4490" s="28"/>
      <c r="AK4490" s="28" t="n">
        <f aca="false">AJ4490*$M4490</f>
        <v>0</v>
      </c>
      <c r="AL4490" s="28"/>
      <c r="AM4490" s="28" t="n">
        <f aca="false">AL4490*$M4490</f>
        <v>0</v>
      </c>
      <c r="AN4490" s="28"/>
      <c r="AO4490" s="28" t="n">
        <f aca="false">AN4490*$M4490</f>
        <v>0</v>
      </c>
      <c r="AP4490" s="28"/>
      <c r="AQ4490" s="28" t="n">
        <f aca="false">AP4490*$M4490</f>
        <v>0</v>
      </c>
      <c r="AR4490" s="28"/>
      <c r="AS4490" s="28" t="n">
        <f aca="false">AR4490*$M4490</f>
        <v>0</v>
      </c>
      <c r="AT4490" s="28"/>
      <c r="AU4490" s="28" t="n">
        <f aca="false">AT4490*$M4490</f>
        <v>0</v>
      </c>
      <c r="AV4490" s="28"/>
      <c r="AW4490" s="28" t="n">
        <f aca="false">AV4490*$M4490</f>
        <v>0</v>
      </c>
      <c r="AX4490" s="28"/>
      <c r="AY4490" s="28" t="n">
        <f aca="false">AX4490*$M4490</f>
        <v>0</v>
      </c>
      <c r="AZ4490" s="30"/>
      <c r="BA4490" s="11"/>
      <c r="BB4490" s="31" t="n">
        <f aca="false">SUM(Q4490,S4490,U4490,W4490,Y4490,AA4490,AC4490,AE4490,AG4490,AI4490,AK4490,AM4490,AO4490,AQ4490,AS4490,AU4490,AW4490,AY4490)</f>
        <v>0</v>
      </c>
      <c r="BC4490" s="28" t="n">
        <f aca="false">BA4490-BB4490</f>
        <v>0</v>
      </c>
      <c r="BD4490" s="32" t="n">
        <f aca="false">SUM(P4490,R4490,T4490,V4490,X4490,Z4490,AB4490,AD4490,AF4490,AH4490,AJ4490,AL4490,AN4490,AP4490,AR4490,AT4490,AV4490,AX4490)</f>
        <v>0</v>
      </c>
      <c r="BE4490" s="33" t="n">
        <f aca="false">AZ4490-BD4490</f>
        <v>0</v>
      </c>
      <c r="BF4490" s="34" t="n">
        <f aca="false">BD4490*M4490</f>
        <v>0</v>
      </c>
      <c r="BG4490" s="35" t="n">
        <f aca="false">BA4490-BF4490</f>
        <v>0</v>
      </c>
      <c r="BH4490" s="19" t="str">
        <f aca="false">IF(BG4490=0,"",IF(BG4490&lt;&gt;BA4490,"erreur de calcul",IF(BD4490&lt;&gt;0,"pas de prix",IF(M4490&lt;&gt; 0,"pas de quantité","pas de prix, ni de quantité"))))</f>
        <v/>
      </c>
      <c r="BI4490" s="19"/>
    </row>
    <row r="4491" customFormat="false" ht="15" hidden="false" customHeight="false" outlineLevel="0" collapsed="false">
      <c r="A4491" s="0" t="n">
        <v>31</v>
      </c>
      <c r="B4491" s="8" t="s">
        <v>24</v>
      </c>
      <c r="C4491" s="9" t="s">
        <v>25</v>
      </c>
      <c r="D4491" s="9" t="s">
        <v>26</v>
      </c>
      <c r="E4491" s="10" t="n">
        <v>1789</v>
      </c>
      <c r="F4491" s="9" t="s">
        <v>27</v>
      </c>
      <c r="G4491" s="9" t="s">
        <v>27</v>
      </c>
      <c r="H4491" s="11" t="n">
        <v>25</v>
      </c>
      <c r="I4491" s="11" t="s">
        <v>359</v>
      </c>
      <c r="J4491" s="14"/>
      <c r="K4491" s="14"/>
      <c r="L4491" s="16"/>
      <c r="M4491" s="27" t="n">
        <f aca="false">J4491+(K4491/20)+(L4491/240)</f>
        <v>0</v>
      </c>
      <c r="N4491" s="17"/>
      <c r="O4491" s="11" t="s">
        <v>277</v>
      </c>
      <c r="P4491" s="28"/>
      <c r="Q4491" s="28" t="n">
        <f aca="false">P4491*$M4491</f>
        <v>0</v>
      </c>
      <c r="R4491" s="28"/>
      <c r="S4491" s="28" t="n">
        <f aca="false">R4491*$M4491</f>
        <v>0</v>
      </c>
      <c r="T4491" s="28"/>
      <c r="U4491" s="28" t="n">
        <f aca="false">T4491*$M4491</f>
        <v>0</v>
      </c>
      <c r="V4491" s="28"/>
      <c r="W4491" s="28" t="n">
        <f aca="false">V4491*$M4491</f>
        <v>0</v>
      </c>
      <c r="X4491" s="28"/>
      <c r="Y4491" s="28" t="n">
        <v>1361</v>
      </c>
      <c r="Z4491" s="28"/>
      <c r="AA4491" s="28" t="n">
        <f aca="false">Z4491*$M4491</f>
        <v>0</v>
      </c>
      <c r="AB4491" s="28"/>
      <c r="AC4491" s="28" t="n">
        <v>1182</v>
      </c>
      <c r="AD4491" s="28"/>
      <c r="AE4491" s="28" t="n">
        <v>649</v>
      </c>
      <c r="AF4491" s="28"/>
      <c r="AG4491" s="28" t="n">
        <f aca="false">AF4491*$M4491</f>
        <v>0</v>
      </c>
      <c r="AH4491" s="28"/>
      <c r="AI4491" s="28" t="n">
        <v>862</v>
      </c>
      <c r="AJ4491" s="28"/>
      <c r="AK4491" s="28" t="n">
        <f aca="false">AJ4491*$M4491</f>
        <v>0</v>
      </c>
      <c r="AL4491" s="28"/>
      <c r="AM4491" s="28" t="n">
        <f aca="false">AL4491*$M4491</f>
        <v>0</v>
      </c>
      <c r="AN4491" s="28"/>
      <c r="AO4491" s="28" t="n">
        <f aca="false">AN4491*$M4491</f>
        <v>0</v>
      </c>
      <c r="AP4491" s="28"/>
      <c r="AQ4491" s="28" t="n">
        <f aca="false">AP4491*$M4491</f>
        <v>0</v>
      </c>
      <c r="AR4491" s="28"/>
      <c r="AS4491" s="28" t="n">
        <f aca="false">AR4491*$M4491</f>
        <v>0</v>
      </c>
      <c r="AT4491" s="28"/>
      <c r="AU4491" s="28" t="n">
        <f aca="false">AT4491*$M4491</f>
        <v>0</v>
      </c>
      <c r="AV4491" s="28"/>
      <c r="AW4491" s="28" t="n">
        <f aca="false">AV4491*$M4491</f>
        <v>0</v>
      </c>
      <c r="AX4491" s="28"/>
      <c r="AY4491" s="28" t="n">
        <f aca="false">AX4491*$M4491</f>
        <v>0</v>
      </c>
      <c r="AZ4491" s="30"/>
      <c r="BA4491" s="11" t="n">
        <v>4054</v>
      </c>
      <c r="BB4491" s="31" t="n">
        <f aca="false">SUM(Q4491,S4491,U4491,W4491,Y4491,AA4491,AC4491,AE4491,AG4491,AI4491,AK4491,AM4491,AO4491,AQ4491,AS4491,AU4491,AW4491,AY4491)</f>
        <v>4054</v>
      </c>
      <c r="BC4491" s="28" t="n">
        <f aca="false">BA4491-BB4491</f>
        <v>0</v>
      </c>
      <c r="BD4491" s="32" t="n">
        <f aca="false">SUM(P4491,R4491,T4491,V4491,X4491,Z4491,AB4491,AD4491,AF4491,AH4491,AJ4491,AL4491,AN4491,AP4491,AR4491,AT4491,AV4491,AX4491)</f>
        <v>0</v>
      </c>
      <c r="BE4491" s="33" t="n">
        <f aca="false">AZ4491-BD4491</f>
        <v>0</v>
      </c>
      <c r="BF4491" s="34" t="n">
        <f aca="false">BD4491*M4491</f>
        <v>0</v>
      </c>
      <c r="BG4491" s="35" t="n">
        <f aca="false">BA4491-BF4491</f>
        <v>4054</v>
      </c>
      <c r="BH4491" s="19" t="str">
        <f aca="false">IF(BG4491=0,"",IF(BG4491&lt;&gt;BA4491,"erreur de calcul",IF(BD4491&lt;&gt;0,"pas de prix",IF(M4491&lt;&gt; 0,"pas de quantité","pas de prix, ni de quantité"))))</f>
        <v>pas de prix, ni de quantité</v>
      </c>
      <c r="BI4491" s="19"/>
    </row>
    <row r="4492" customFormat="false" ht="15" hidden="false" customHeight="false" outlineLevel="0" collapsed="false">
      <c r="A4492" s="0" t="n">
        <v>32</v>
      </c>
      <c r="B4492" s="8" t="s">
        <v>24</v>
      </c>
      <c r="C4492" s="9" t="s">
        <v>25</v>
      </c>
      <c r="D4492" s="9" t="s">
        <v>26</v>
      </c>
      <c r="E4492" s="10" t="n">
        <v>1789</v>
      </c>
      <c r="F4492" s="9" t="s">
        <v>27</v>
      </c>
      <c r="G4492" s="9" t="s">
        <v>27</v>
      </c>
      <c r="H4492" s="11" t="n">
        <v>25</v>
      </c>
      <c r="I4492" s="11" t="s">
        <v>360</v>
      </c>
      <c r="J4492" s="14" t="n">
        <v>66</v>
      </c>
      <c r="K4492" s="14"/>
      <c r="L4492" s="16"/>
      <c r="M4492" s="27" t="n">
        <f aca="false">J4492+(K4492/20)+(L4492/240)</f>
        <v>66</v>
      </c>
      <c r="N4492" s="17" t="s">
        <v>64</v>
      </c>
      <c r="O4492" s="11"/>
      <c r="P4492" s="28"/>
      <c r="Q4492" s="28" t="n">
        <f aca="false">P4492*$M4492</f>
        <v>0</v>
      </c>
      <c r="R4492" s="28"/>
      <c r="S4492" s="28" t="n">
        <f aca="false">R4492*$M4492</f>
        <v>0</v>
      </c>
      <c r="T4492" s="28"/>
      <c r="U4492" s="28" t="n">
        <f aca="false">T4492*$M4492</f>
        <v>0</v>
      </c>
      <c r="V4492" s="28"/>
      <c r="W4492" s="28" t="n">
        <f aca="false">V4492*$M4492</f>
        <v>0</v>
      </c>
      <c r="X4492" s="28"/>
      <c r="Y4492" s="28" t="n">
        <f aca="false">X4492*$M4492</f>
        <v>0</v>
      </c>
      <c r="Z4492" s="28"/>
      <c r="AA4492" s="28" t="n">
        <f aca="false">Z4492*$M4492</f>
        <v>0</v>
      </c>
      <c r="AB4492" s="28"/>
      <c r="AC4492" s="28" t="n">
        <f aca="false">AB4492*$M4492</f>
        <v>0</v>
      </c>
      <c r="AD4492" s="28"/>
      <c r="AE4492" s="28" t="n">
        <f aca="false">AD4492*$M4492</f>
        <v>0</v>
      </c>
      <c r="AF4492" s="28"/>
      <c r="AG4492" s="28" t="n">
        <f aca="false">AF4492*$M4492</f>
        <v>0</v>
      </c>
      <c r="AH4492" s="28" t="n">
        <f aca="false">75475/100</f>
        <v>754.75</v>
      </c>
      <c r="AI4492" s="28" t="n">
        <v>49813</v>
      </c>
      <c r="AJ4492" s="28"/>
      <c r="AK4492" s="28" t="n">
        <f aca="false">AJ4492*$M4492</f>
        <v>0</v>
      </c>
      <c r="AL4492" s="28"/>
      <c r="AM4492" s="28" t="n">
        <f aca="false">AL4492*$M4492</f>
        <v>0</v>
      </c>
      <c r="AN4492" s="28"/>
      <c r="AO4492" s="28" t="n">
        <f aca="false">AN4492*$M4492</f>
        <v>0</v>
      </c>
      <c r="AP4492" s="28"/>
      <c r="AQ4492" s="28" t="n">
        <f aca="false">AP4492*$M4492</f>
        <v>0</v>
      </c>
      <c r="AR4492" s="28"/>
      <c r="AS4492" s="28" t="n">
        <f aca="false">AR4492*$M4492</f>
        <v>0</v>
      </c>
      <c r="AT4492" s="28"/>
      <c r="AU4492" s="28" t="n">
        <f aca="false">AT4492*$M4492</f>
        <v>0</v>
      </c>
      <c r="AV4492" s="28"/>
      <c r="AW4492" s="28" t="n">
        <f aca="false">AV4492*$M4492</f>
        <v>0</v>
      </c>
      <c r="AX4492" s="28"/>
      <c r="AY4492" s="28" t="n">
        <f aca="false">AX4492*$M4492</f>
        <v>0</v>
      </c>
      <c r="AZ4492" s="30" t="n">
        <f aca="false">75475/100</f>
        <v>754.75</v>
      </c>
      <c r="BA4492" s="11" t="n">
        <v>49813</v>
      </c>
      <c r="BB4492" s="31" t="n">
        <f aca="false">SUM(Q4492,S4492,U4492,W4492,Y4492,AA4492,AC4492,AE4492,AG4492,AI4492,AK4492,AM4492,AO4492,AQ4492,AS4492,AU4492,AW4492,AY4492)</f>
        <v>49813</v>
      </c>
      <c r="BC4492" s="28" t="n">
        <f aca="false">BA4492-BB4492</f>
        <v>0</v>
      </c>
      <c r="BD4492" s="32" t="n">
        <f aca="false">SUM(P4492,R4492,T4492,V4492,X4492,Z4492,AB4492,AD4492,AF4492,AH4492,AJ4492,AL4492,AN4492,AP4492,AR4492,AT4492,AV4492,AX4492)</f>
        <v>754.75</v>
      </c>
      <c r="BE4492" s="33" t="n">
        <f aca="false">AZ4492-BD4492</f>
        <v>0</v>
      </c>
      <c r="BF4492" s="34" t="n">
        <f aca="false">BD4492*M4492</f>
        <v>49813.5</v>
      </c>
      <c r="BG4492" s="35" t="n">
        <f aca="false">BA4492-BF4492</f>
        <v>-0.5</v>
      </c>
      <c r="BH4492" s="19" t="str">
        <f aca="false">IF(BG4492=0,"",IF(BG4492&lt;&gt;BA4492,"erreur de calcul",IF(BD4492&lt;&gt;0,"pas de prix",IF(M4492&lt;&gt; 0,"pas de quantité","pas de prix, ni de quantité"))))</f>
        <v>erreur de calcul</v>
      </c>
      <c r="BI4492" s="19"/>
    </row>
    <row r="4493" customFormat="false" ht="15" hidden="false" customHeight="false" outlineLevel="0" collapsed="false">
      <c r="A4493" s="0" t="n">
        <v>33</v>
      </c>
      <c r="B4493" s="8" t="s">
        <v>24</v>
      </c>
      <c r="C4493" s="9" t="s">
        <v>25</v>
      </c>
      <c r="D4493" s="9" t="s">
        <v>26</v>
      </c>
      <c r="E4493" s="10" t="n">
        <v>1789</v>
      </c>
      <c r="F4493" s="9" t="s">
        <v>27</v>
      </c>
      <c r="G4493" s="9" t="s">
        <v>27</v>
      </c>
      <c r="H4493" s="11" t="n">
        <v>25</v>
      </c>
      <c r="I4493" s="11" t="s">
        <v>361</v>
      </c>
      <c r="J4493" s="14" t="n">
        <v>175</v>
      </c>
      <c r="K4493" s="14"/>
      <c r="L4493" s="16"/>
      <c r="M4493" s="27" t="n">
        <f aca="false">J4493+(K4493/20)+(L4493/240)</f>
        <v>175</v>
      </c>
      <c r="N4493" s="17" t="s">
        <v>64</v>
      </c>
      <c r="O4493" s="11" t="s">
        <v>77</v>
      </c>
      <c r="P4493" s="28" t="n">
        <f aca="false">1514/100</f>
        <v>15.14</v>
      </c>
      <c r="Q4493" s="28" t="n">
        <v>2649</v>
      </c>
      <c r="R4493" s="28"/>
      <c r="S4493" s="28" t="n">
        <f aca="false">R4493*$M4493</f>
        <v>0</v>
      </c>
      <c r="T4493" s="28" t="n">
        <f aca="false">170926/100</f>
        <v>1709.26</v>
      </c>
      <c r="U4493" s="28" t="n">
        <v>299120</v>
      </c>
      <c r="V4493" s="28" t="n">
        <f aca="false">16985/100</f>
        <v>169.85</v>
      </c>
      <c r="W4493" s="28" t="n">
        <v>29724</v>
      </c>
      <c r="X4493" s="28" t="n">
        <f aca="false">4530/100</f>
        <v>45.3</v>
      </c>
      <c r="Y4493" s="28" t="n">
        <v>7927</v>
      </c>
      <c r="Z4493" s="28"/>
      <c r="AA4493" s="28" t="n">
        <f aca="false">Z4493*$M4493</f>
        <v>0</v>
      </c>
      <c r="AB4493" s="28" t="n">
        <f aca="false">33770/100</f>
        <v>337.7</v>
      </c>
      <c r="AC4493" s="28" t="n">
        <v>59097</v>
      </c>
      <c r="AD4493" s="28"/>
      <c r="AE4493" s="28" t="n">
        <f aca="false">AD4493*$M4493</f>
        <v>0</v>
      </c>
      <c r="AF4493" s="28" t="n">
        <f aca="false">4712/100</f>
        <v>47.12</v>
      </c>
      <c r="AG4493" s="28" t="n">
        <v>8246</v>
      </c>
      <c r="AH4493" s="28" t="n">
        <f aca="false">55822/100</f>
        <v>558.22</v>
      </c>
      <c r="AI4493" s="28" t="n">
        <v>97688</v>
      </c>
      <c r="AJ4493" s="28"/>
      <c r="AK4493" s="28" t="n">
        <f aca="false">AJ4493*$M4493</f>
        <v>0</v>
      </c>
      <c r="AL4493" s="28"/>
      <c r="AM4493" s="28" t="n">
        <f aca="false">AL4493*$M4493</f>
        <v>0</v>
      </c>
      <c r="AN4493" s="28"/>
      <c r="AO4493" s="28" t="n">
        <f aca="false">AN4493*$M4493</f>
        <v>0</v>
      </c>
      <c r="AP4493" s="28"/>
      <c r="AQ4493" s="28" t="n">
        <f aca="false">AP4493*$M4493</f>
        <v>0</v>
      </c>
      <c r="AR4493" s="28"/>
      <c r="AS4493" s="28" t="n">
        <f aca="false">AR4493*$M4493</f>
        <v>0</v>
      </c>
      <c r="AT4493" s="28"/>
      <c r="AU4493" s="28" t="n">
        <f aca="false">AT4493*$M4493</f>
        <v>0</v>
      </c>
      <c r="AV4493" s="28"/>
      <c r="AW4493" s="28" t="n">
        <f aca="false">AV4493*$M4493</f>
        <v>0</v>
      </c>
      <c r="AX4493" s="28"/>
      <c r="AY4493" s="28" t="n">
        <f aca="false">AX4493*$M4493</f>
        <v>0</v>
      </c>
      <c r="AZ4493" s="30" t="n">
        <f aca="false">288259/100</f>
        <v>2882.59</v>
      </c>
      <c r="BA4493" s="11" t="n">
        <v>504451</v>
      </c>
      <c r="BB4493" s="31" t="n">
        <f aca="false">SUM(Q4493,S4493,U4493,W4493,Y4493,AA4493,AC4493,AE4493,AG4493,AI4493,AK4493,AM4493,AO4493,AQ4493,AS4493,AU4493,AW4493,AY4493)</f>
        <v>504451</v>
      </c>
      <c r="BC4493" s="28" t="n">
        <f aca="false">BA4493-BB4493</f>
        <v>0</v>
      </c>
      <c r="BD4493" s="32" t="n">
        <f aca="false">SUM(P4493,R4493,T4493,V4493,X4493,Z4493,AB4493,AD4493,AF4493,AH4493,AJ4493,AL4493,AN4493,AP4493,AR4493,AT4493,AV4493,AX4493)</f>
        <v>2882.59</v>
      </c>
      <c r="BE4493" s="33" t="n">
        <f aca="false">AZ4493-BD4493</f>
        <v>0</v>
      </c>
      <c r="BF4493" s="34" t="n">
        <f aca="false">BD4493*M4493</f>
        <v>504453.25</v>
      </c>
      <c r="BG4493" s="35" t="n">
        <f aca="false">BA4493-BF4493</f>
        <v>-2.24999999994179</v>
      </c>
      <c r="BH4493" s="19" t="str">
        <f aca="false">IF(BG4493=0,"",IF(BG4493&lt;&gt;BA4493,"erreur de calcul",IF(BD4493&lt;&gt;0,"pas de prix",IF(M4493&lt;&gt; 0,"pas de quantité","pas de prix, ni de quantité"))))</f>
        <v>erreur de calcul</v>
      </c>
      <c r="BI4493" s="19"/>
    </row>
    <row r="4494" customFormat="false" ht="15" hidden="false" customHeight="false" outlineLevel="0" collapsed="false">
      <c r="A4494" s="0" t="n">
        <v>34</v>
      </c>
      <c r="B4494" s="8" t="s">
        <v>24</v>
      </c>
      <c r="C4494" s="9" t="s">
        <v>25</v>
      </c>
      <c r="D4494" s="9" t="s">
        <v>26</v>
      </c>
      <c r="E4494" s="10" t="n">
        <v>1789</v>
      </c>
      <c r="F4494" s="9" t="s">
        <v>27</v>
      </c>
      <c r="G4494" s="9" t="s">
        <v>27</v>
      </c>
      <c r="H4494" s="11" t="n">
        <v>25</v>
      </c>
      <c r="I4494" s="11" t="s">
        <v>362</v>
      </c>
      <c r="J4494" s="14" t="n">
        <v>150</v>
      </c>
      <c r="K4494" s="14"/>
      <c r="L4494" s="16"/>
      <c r="M4494" s="27" t="n">
        <f aca="false">J4494+(K4494/20)+(L4494/240)</f>
        <v>150</v>
      </c>
      <c r="N4494" s="17" t="s">
        <v>64</v>
      </c>
      <c r="O4494" s="11"/>
      <c r="P4494" s="28"/>
      <c r="Q4494" s="28" t="n">
        <f aca="false">P4494*$M4494</f>
        <v>0</v>
      </c>
      <c r="R4494" s="28"/>
      <c r="S4494" s="28" t="n">
        <f aca="false">R4494*$M4494</f>
        <v>0</v>
      </c>
      <c r="T4494" s="28" t="n">
        <f aca="false">1842/100</f>
        <v>18.42</v>
      </c>
      <c r="U4494" s="28" t="n">
        <v>2763</v>
      </c>
      <c r="V4494" s="28" t="n">
        <f aca="false">684/100</f>
        <v>6.84</v>
      </c>
      <c r="W4494" s="28" t="n">
        <v>1026</v>
      </c>
      <c r="X4494" s="28"/>
      <c r="Y4494" s="28" t="n">
        <f aca="false">X4494*$M4494</f>
        <v>0</v>
      </c>
      <c r="Z4494" s="28"/>
      <c r="AA4494" s="28" t="n">
        <f aca="false">Z4494*$M4494</f>
        <v>0</v>
      </c>
      <c r="AB4494" s="28"/>
      <c r="AC4494" s="28" t="n">
        <f aca="false">AB4494*$M4494</f>
        <v>0</v>
      </c>
      <c r="AD4494" s="28"/>
      <c r="AE4494" s="28" t="n">
        <f aca="false">AD4494*$M4494</f>
        <v>0</v>
      </c>
      <c r="AF4494" s="28"/>
      <c r="AG4494" s="28" t="n">
        <f aca="false">AF4494*$M4494</f>
        <v>0</v>
      </c>
      <c r="AH4494" s="28"/>
      <c r="AI4494" s="28" t="n">
        <f aca="false">AH4494*$M4494</f>
        <v>0</v>
      </c>
      <c r="AJ4494" s="28"/>
      <c r="AK4494" s="28" t="n">
        <f aca="false">AJ4494*$M4494</f>
        <v>0</v>
      </c>
      <c r="AL4494" s="28"/>
      <c r="AM4494" s="28" t="n">
        <f aca="false">AL4494*$M4494</f>
        <v>0</v>
      </c>
      <c r="AN4494" s="28"/>
      <c r="AO4494" s="28" t="n">
        <f aca="false">AN4494*$M4494</f>
        <v>0</v>
      </c>
      <c r="AP4494" s="28"/>
      <c r="AQ4494" s="28" t="n">
        <f aca="false">AP4494*$M4494</f>
        <v>0</v>
      </c>
      <c r="AR4494" s="28"/>
      <c r="AS4494" s="28" t="n">
        <f aca="false">AR4494*$M4494</f>
        <v>0</v>
      </c>
      <c r="AT4494" s="28"/>
      <c r="AU4494" s="28" t="n">
        <f aca="false">AT4494*$M4494</f>
        <v>0</v>
      </c>
      <c r="AV4494" s="28"/>
      <c r="AW4494" s="28" t="n">
        <f aca="false">AV4494*$M4494</f>
        <v>0</v>
      </c>
      <c r="AX4494" s="28"/>
      <c r="AY4494" s="28" t="n">
        <f aca="false">AX4494*$M4494</f>
        <v>0</v>
      </c>
      <c r="AZ4494" s="30" t="n">
        <f aca="false">2526/100</f>
        <v>25.26</v>
      </c>
      <c r="BA4494" s="11" t="n">
        <v>3789</v>
      </c>
      <c r="BB4494" s="31" t="n">
        <f aca="false">SUM(Q4494,S4494,U4494,W4494,Y4494,AA4494,AC4494,AE4494,AG4494,AI4494,AK4494,AM4494,AO4494,AQ4494,AS4494,AU4494,AW4494,AY4494)</f>
        <v>3789</v>
      </c>
      <c r="BC4494" s="28" t="n">
        <f aca="false">BA4494-BB4494</f>
        <v>0</v>
      </c>
      <c r="BD4494" s="32" t="n">
        <f aca="false">SUM(P4494,R4494,T4494,V4494,X4494,Z4494,AB4494,AD4494,AF4494,AH4494,AJ4494,AL4494,AN4494,AP4494,AR4494,AT4494,AV4494,AX4494)</f>
        <v>25.26</v>
      </c>
      <c r="BE4494" s="33" t="n">
        <f aca="false">AZ4494-BD4494</f>
        <v>0</v>
      </c>
      <c r="BF4494" s="34" t="n">
        <f aca="false">BD4494*M4494</f>
        <v>3789</v>
      </c>
      <c r="BG4494" s="35" t="n">
        <f aca="false">BA4494-BF4494</f>
        <v>0</v>
      </c>
      <c r="BH4494" s="19" t="str">
        <f aca="false">IF(BG4494=0,"",IF(BG4494&lt;&gt;BA4494,"erreur de calcul",IF(BD4494&lt;&gt;0,"pas de prix",IF(M4494&lt;&gt; 0,"pas de quantité","pas de prix, ni de quantité"))))</f>
        <v/>
      </c>
      <c r="BI4494" s="19"/>
    </row>
    <row r="4495" customFormat="false" ht="15" hidden="false" customHeight="false" outlineLevel="0" collapsed="false">
      <c r="A4495" s="0" t="n">
        <v>35</v>
      </c>
      <c r="B4495" s="8" t="s">
        <v>24</v>
      </c>
      <c r="C4495" s="9" t="s">
        <v>25</v>
      </c>
      <c r="D4495" s="9" t="s">
        <v>26</v>
      </c>
      <c r="E4495" s="10" t="n">
        <v>1789</v>
      </c>
      <c r="F4495" s="9" t="s">
        <v>27</v>
      </c>
      <c r="G4495" s="9" t="s">
        <v>27</v>
      </c>
      <c r="H4495" s="11" t="n">
        <v>25</v>
      </c>
      <c r="I4495" s="11" t="s">
        <v>363</v>
      </c>
      <c r="J4495" s="14" t="n">
        <v>150</v>
      </c>
      <c r="K4495" s="14"/>
      <c r="L4495" s="16"/>
      <c r="M4495" s="27" t="n">
        <f aca="false">J4495+(K4495/20)+(L4495/240)</f>
        <v>150</v>
      </c>
      <c r="N4495" s="17" t="s">
        <v>64</v>
      </c>
      <c r="O4495" s="11" t="s">
        <v>77</v>
      </c>
      <c r="P4495" s="28"/>
      <c r="Q4495" s="28" t="n">
        <f aca="false">P4495*$M4495</f>
        <v>0</v>
      </c>
      <c r="R4495" s="28"/>
      <c r="S4495" s="28" t="n">
        <f aca="false">R4495*$M4495</f>
        <v>0</v>
      </c>
      <c r="T4495" s="28"/>
      <c r="U4495" s="28" t="n">
        <f aca="false">T4495*$M4495</f>
        <v>0</v>
      </c>
      <c r="V4495" s="28" t="n">
        <f aca="false">1501/100</f>
        <v>15.01</v>
      </c>
      <c r="W4495" s="28" t="n">
        <v>2251</v>
      </c>
      <c r="X4495" s="28"/>
      <c r="Y4495" s="28" t="n">
        <f aca="false">X4495*$M4495</f>
        <v>0</v>
      </c>
      <c r="Z4495" s="28" t="n">
        <f aca="false">6420/100</f>
        <v>64.2</v>
      </c>
      <c r="AA4495" s="28" t="n">
        <v>9630</v>
      </c>
      <c r="AB4495" s="28"/>
      <c r="AC4495" s="28" t="n">
        <f aca="false">AB4495*$M4495</f>
        <v>0</v>
      </c>
      <c r="AD4495" s="28"/>
      <c r="AE4495" s="28" t="n">
        <f aca="false">AD4495*$M4495</f>
        <v>0</v>
      </c>
      <c r="AF4495" s="28"/>
      <c r="AG4495" s="28" t="n">
        <f aca="false">AF4495*$M4495</f>
        <v>0</v>
      </c>
      <c r="AH4495" s="28" t="n">
        <f aca="false">138039/100</f>
        <v>1380.39</v>
      </c>
      <c r="AI4495" s="28" t="n">
        <v>207058</v>
      </c>
      <c r="AJ4495" s="28"/>
      <c r="AK4495" s="28" t="n">
        <f aca="false">AJ4495*$M4495</f>
        <v>0</v>
      </c>
      <c r="AL4495" s="28" t="n">
        <f aca="false">917/100</f>
        <v>9.17</v>
      </c>
      <c r="AM4495" s="28" t="n">
        <v>1375</v>
      </c>
      <c r="AN4495" s="28"/>
      <c r="AO4495" s="28" t="n">
        <f aca="false">AN4495*$M4495</f>
        <v>0</v>
      </c>
      <c r="AP4495" s="28"/>
      <c r="AQ4495" s="28" t="n">
        <f aca="false">AP4495*$M4495</f>
        <v>0</v>
      </c>
      <c r="AR4495" s="28"/>
      <c r="AS4495" s="28" t="n">
        <f aca="false">AR4495*$M4495</f>
        <v>0</v>
      </c>
      <c r="AT4495" s="28"/>
      <c r="AU4495" s="28" t="n">
        <f aca="false">AT4495*$M4495</f>
        <v>0</v>
      </c>
      <c r="AV4495" s="28"/>
      <c r="AW4495" s="28" t="n">
        <f aca="false">AV4495*$M4495</f>
        <v>0</v>
      </c>
      <c r="AX4495" s="28"/>
      <c r="AY4495" s="28" t="n">
        <f aca="false">AX4495*$M4495</f>
        <v>0</v>
      </c>
      <c r="AZ4495" s="30" t="n">
        <f aca="false">146877/100</f>
        <v>1468.77</v>
      </c>
      <c r="BA4495" s="11" t="n">
        <v>220314</v>
      </c>
      <c r="BB4495" s="31" t="n">
        <f aca="false">SUM(Q4495,S4495,U4495,W4495,Y4495,AA4495,AC4495,AE4495,AG4495,AI4495,AK4495,AM4495,AO4495,AQ4495,AS4495,AU4495,AW4495,AY4495)</f>
        <v>220314</v>
      </c>
      <c r="BC4495" s="28" t="n">
        <f aca="false">BA4495-BB4495</f>
        <v>0</v>
      </c>
      <c r="BD4495" s="32" t="n">
        <f aca="false">SUM(P4495,R4495,T4495,V4495,X4495,Z4495,AB4495,AD4495,AF4495,AH4495,AJ4495,AL4495,AN4495,AP4495,AR4495,AT4495,AV4495,AX4495)</f>
        <v>1468.77</v>
      </c>
      <c r="BE4495" s="33" t="n">
        <f aca="false">AZ4495-BD4495</f>
        <v>0</v>
      </c>
      <c r="BF4495" s="34" t="n">
        <f aca="false">BD4495*M4495</f>
        <v>220315.5</v>
      </c>
      <c r="BG4495" s="35" t="n">
        <f aca="false">BA4495-BF4495</f>
        <v>-1.5000000000291</v>
      </c>
      <c r="BH4495" s="19" t="str">
        <f aca="false">IF(BG4495=0,"",IF(BG4495&lt;&gt;BA4495,"erreur de calcul",IF(BD4495&lt;&gt;0,"pas de prix",IF(M4495&lt;&gt; 0,"pas de quantité","pas de prix, ni de quantité"))))</f>
        <v>erreur de calcul</v>
      </c>
      <c r="BI4495" s="19"/>
    </row>
    <row r="4496" customFormat="false" ht="15" hidden="false" customHeight="false" outlineLevel="0" collapsed="false">
      <c r="A4496" s="0" t="n">
        <v>36</v>
      </c>
      <c r="B4496" s="8" t="s">
        <v>24</v>
      </c>
      <c r="C4496" s="9" t="s">
        <v>25</v>
      </c>
      <c r="D4496" s="9" t="s">
        <v>26</v>
      </c>
      <c r="E4496" s="10" t="n">
        <v>1789</v>
      </c>
      <c r="F4496" s="9" t="s">
        <v>27</v>
      </c>
      <c r="G4496" s="9" t="s">
        <v>27</v>
      </c>
      <c r="H4496" s="11" t="n">
        <v>25</v>
      </c>
      <c r="I4496" s="11" t="s">
        <v>364</v>
      </c>
      <c r="J4496" s="14" t="n">
        <v>122</v>
      </c>
      <c r="K4496" s="14"/>
      <c r="L4496" s="16"/>
      <c r="M4496" s="27" t="n">
        <f aca="false">J4496+(K4496/20)+(L4496/240)</f>
        <v>122</v>
      </c>
      <c r="N4496" s="17" t="s">
        <v>64</v>
      </c>
      <c r="O4496" s="11" t="s">
        <v>77</v>
      </c>
      <c r="P4496" s="28" t="n">
        <f aca="false">2402/100</f>
        <v>24.02</v>
      </c>
      <c r="Q4496" s="28" t="n">
        <v>2930</v>
      </c>
      <c r="R4496" s="28"/>
      <c r="S4496" s="28" t="n">
        <f aca="false">R4496*$M4496</f>
        <v>0</v>
      </c>
      <c r="T4496" s="28" t="n">
        <f aca="false">3566/100</f>
        <v>35.66</v>
      </c>
      <c r="U4496" s="36" t="n">
        <v>4550</v>
      </c>
      <c r="V4496" s="28" t="n">
        <f aca="false">917/100</f>
        <v>9.17</v>
      </c>
      <c r="W4496" s="28" t="n">
        <v>1119</v>
      </c>
      <c r="X4496" s="28"/>
      <c r="Y4496" s="28" t="n">
        <f aca="false">X4496*$M4496</f>
        <v>0</v>
      </c>
      <c r="Z4496" s="28"/>
      <c r="AA4496" s="28" t="n">
        <f aca="false">Z4496*$M4496</f>
        <v>0</v>
      </c>
      <c r="AB4496" s="28" t="n">
        <f aca="false">28087/100</f>
        <v>280.87</v>
      </c>
      <c r="AC4496" s="28" t="n">
        <v>34266</v>
      </c>
      <c r="AD4496" s="28" t="n">
        <f aca="false">1505/100</f>
        <v>15.05</v>
      </c>
      <c r="AE4496" s="28" t="n">
        <v>1836</v>
      </c>
      <c r="AF4496" s="28"/>
      <c r="AG4496" s="28" t="n">
        <f aca="false">AF4496*$M4496</f>
        <v>0</v>
      </c>
      <c r="AH4496" s="28" t="n">
        <f aca="false">15314/100</f>
        <v>153.14</v>
      </c>
      <c r="AI4496" s="28" t="n">
        <v>18683</v>
      </c>
      <c r="AJ4496" s="28"/>
      <c r="AK4496" s="28" t="n">
        <f aca="false">AJ4496*$M4496</f>
        <v>0</v>
      </c>
      <c r="AL4496" s="28"/>
      <c r="AM4496" s="28" t="n">
        <f aca="false">AL4496*$M4496</f>
        <v>0</v>
      </c>
      <c r="AN4496" s="28"/>
      <c r="AO4496" s="28" t="n">
        <f aca="false">AN4496*$M4496</f>
        <v>0</v>
      </c>
      <c r="AP4496" s="28"/>
      <c r="AQ4496" s="28" t="n">
        <f aca="false">AP4496*$M4496</f>
        <v>0</v>
      </c>
      <c r="AR4496" s="28"/>
      <c r="AS4496" s="28" t="n">
        <f aca="false">AR4496*$M4496</f>
        <v>0</v>
      </c>
      <c r="AT4496" s="28"/>
      <c r="AU4496" s="28" t="n">
        <f aca="false">AT4496*$M4496</f>
        <v>0</v>
      </c>
      <c r="AV4496" s="28"/>
      <c r="AW4496" s="28" t="n">
        <f aca="false">AV4496*$M4496</f>
        <v>0</v>
      </c>
      <c r="AX4496" s="28"/>
      <c r="AY4496" s="28" t="n">
        <f aca="false">AX4496*$M4496</f>
        <v>0</v>
      </c>
      <c r="AZ4496" s="30" t="n">
        <f aca="false">51791/100</f>
        <v>517.91</v>
      </c>
      <c r="BA4496" s="11" t="n">
        <v>63384</v>
      </c>
      <c r="BB4496" s="31" t="n">
        <f aca="false">SUM(Q4496,S4496,U4496,W4496,Y4496,AA4496,AC4496,AE4496,AG4496,AI4496,AK4496,AM4496,AO4496,AQ4496,AS4496,AU4496,AW4496,AY4496)</f>
        <v>63384</v>
      </c>
      <c r="BC4496" s="28" t="n">
        <f aca="false">BA4496-BB4496</f>
        <v>0</v>
      </c>
      <c r="BD4496" s="32" t="n">
        <f aca="false">SUM(P4496,R4496,T4496,V4496,X4496,Z4496,AB4496,AD4496,AF4496,AH4496,AJ4496,AL4496,AN4496,AP4496,AR4496,AT4496,AV4496,AX4496)</f>
        <v>517.91</v>
      </c>
      <c r="BE4496" s="33" t="n">
        <f aca="false">AZ4496-BD4496</f>
        <v>0</v>
      </c>
      <c r="BF4496" s="34" t="n">
        <f aca="false">BD4496*M4496</f>
        <v>63185.02</v>
      </c>
      <c r="BG4496" s="35" t="n">
        <f aca="false">BA4496-BF4496</f>
        <v>198.980000000003</v>
      </c>
      <c r="BH4496" s="19" t="str">
        <f aca="false">IF(BG4496=0,"",IF(BG4496&lt;&gt;BA4496,"erreur de calcul",IF(BD4496&lt;&gt;0,"pas de prix",IF(M4496&lt;&gt; 0,"pas de quantité","pas de prix, ni de quantité"))))</f>
        <v>erreur de calcul</v>
      </c>
      <c r="BI4496" s="19"/>
    </row>
    <row r="4497" customFormat="false" ht="15" hidden="false" customHeight="false" outlineLevel="0" collapsed="false">
      <c r="A4497" s="0" t="n">
        <v>37</v>
      </c>
      <c r="B4497" s="8" t="s">
        <v>24</v>
      </c>
      <c r="C4497" s="9" t="s">
        <v>25</v>
      </c>
      <c r="D4497" s="9" t="s">
        <v>26</v>
      </c>
      <c r="E4497" s="10" t="n">
        <v>1789</v>
      </c>
      <c r="F4497" s="9" t="s">
        <v>27</v>
      </c>
      <c r="G4497" s="9" t="s">
        <v>27</v>
      </c>
      <c r="H4497" s="11" t="n">
        <v>25</v>
      </c>
      <c r="I4497" s="11" t="s">
        <v>365</v>
      </c>
      <c r="J4497" s="14" t="n">
        <v>107</v>
      </c>
      <c r="K4497" s="14"/>
      <c r="L4497" s="16"/>
      <c r="M4497" s="27" t="n">
        <f aca="false">J4497+(K4497/20)+(L4497/240)</f>
        <v>107</v>
      </c>
      <c r="N4497" s="17" t="s">
        <v>64</v>
      </c>
      <c r="O4497" s="11" t="s">
        <v>77</v>
      </c>
      <c r="P4497" s="28"/>
      <c r="Q4497" s="28" t="n">
        <f aca="false">P4497*$M4497</f>
        <v>0</v>
      </c>
      <c r="R4497" s="28"/>
      <c r="S4497" s="28" t="n">
        <f aca="false">R4497*$M4497</f>
        <v>0</v>
      </c>
      <c r="T4497" s="28" t="n">
        <f aca="false">1834/100</f>
        <v>18.34</v>
      </c>
      <c r="U4497" s="28" t="n">
        <v>1962</v>
      </c>
      <c r="V4497" s="28"/>
      <c r="W4497" s="28" t="n">
        <f aca="false">V4497*$M4497</f>
        <v>0</v>
      </c>
      <c r="X4497" s="28"/>
      <c r="Y4497" s="28" t="n">
        <f aca="false">X4497*$M4497</f>
        <v>0</v>
      </c>
      <c r="Z4497" s="28"/>
      <c r="AA4497" s="28" t="n">
        <f aca="false">Z4497*$M4497</f>
        <v>0</v>
      </c>
      <c r="AB4497" s="28"/>
      <c r="AC4497" s="28" t="n">
        <f aca="false">AB4497*$M4497</f>
        <v>0</v>
      </c>
      <c r="AD4497" s="28"/>
      <c r="AE4497" s="28" t="n">
        <f aca="false">AD4497*$M4497</f>
        <v>0</v>
      </c>
      <c r="AF4497" s="28" t="n">
        <f aca="false">5202/100</f>
        <v>52.02</v>
      </c>
      <c r="AG4497" s="28" t="n">
        <v>5566</v>
      </c>
      <c r="AH4497" s="28"/>
      <c r="AI4497" s="28" t="n">
        <f aca="false">AH4497*$M4497</f>
        <v>0</v>
      </c>
      <c r="AJ4497" s="28" t="n">
        <f aca="false">3209/100</f>
        <v>32.09</v>
      </c>
      <c r="AK4497" s="28" t="n">
        <v>3434</v>
      </c>
      <c r="AL4497" s="28" t="n">
        <f aca="false">80682/100</f>
        <v>806.82</v>
      </c>
      <c r="AM4497" s="28" t="n">
        <v>86329</v>
      </c>
      <c r="AN4497" s="28"/>
      <c r="AO4497" s="28" t="n">
        <f aca="false">AN4497*$M4497</f>
        <v>0</v>
      </c>
      <c r="AP4497" s="28"/>
      <c r="AQ4497" s="28" t="n">
        <f aca="false">AP4497*$M4497</f>
        <v>0</v>
      </c>
      <c r="AR4497" s="28"/>
      <c r="AS4497" s="28" t="n">
        <f aca="false">AR4497*$M4497</f>
        <v>0</v>
      </c>
      <c r="AT4497" s="28"/>
      <c r="AU4497" s="28" t="n">
        <f aca="false">AT4497*$M4497</f>
        <v>0</v>
      </c>
      <c r="AV4497" s="28"/>
      <c r="AW4497" s="28" t="n">
        <f aca="false">AV4497*$M4497</f>
        <v>0</v>
      </c>
      <c r="AX4497" s="28"/>
      <c r="AY4497" s="28" t="n">
        <f aca="false">AX4497*$M4497</f>
        <v>0</v>
      </c>
      <c r="AZ4497" s="30" t="n">
        <f aca="false">90927/100</f>
        <v>909.27</v>
      </c>
      <c r="BA4497" s="11" t="n">
        <v>97291</v>
      </c>
      <c r="BB4497" s="31" t="n">
        <f aca="false">SUM(Q4497,S4497,U4497,W4497,Y4497,AA4497,AC4497,AE4497,AG4497,AI4497,AK4497,AM4497,AO4497,AQ4497,AS4497,AU4497,AW4497,AY4497)</f>
        <v>97291</v>
      </c>
      <c r="BC4497" s="28" t="n">
        <f aca="false">BA4497-BB4497</f>
        <v>0</v>
      </c>
      <c r="BD4497" s="32" t="n">
        <f aca="false">SUM(P4497,R4497,T4497,V4497,X4497,Z4497,AB4497,AD4497,AF4497,AH4497,AJ4497,AL4497,AN4497,AP4497,AR4497,AT4497,AV4497,AX4497)</f>
        <v>909.27</v>
      </c>
      <c r="BE4497" s="33" t="n">
        <f aca="false">AZ4497-BD4497</f>
        <v>0</v>
      </c>
      <c r="BF4497" s="34" t="n">
        <f aca="false">BD4497*M4497</f>
        <v>97291.89</v>
      </c>
      <c r="BG4497" s="35" t="n">
        <f aca="false">BA4497-BF4497</f>
        <v>-0.89000000001397</v>
      </c>
      <c r="BH4497" s="19" t="str">
        <f aca="false">IF(BG4497=0,"",IF(BG4497&lt;&gt;BA4497,"erreur de calcul",IF(BD4497&lt;&gt;0,"pas de prix",IF(M4497&lt;&gt; 0,"pas de quantité","pas de prix, ni de quantité"))))</f>
        <v>erreur de calcul</v>
      </c>
      <c r="BI4497" s="19"/>
    </row>
    <row r="4498" customFormat="false" ht="15" hidden="false" customHeight="false" outlineLevel="0" collapsed="false">
      <c r="A4498" s="0" t="n">
        <v>38</v>
      </c>
      <c r="B4498" s="8" t="s">
        <v>24</v>
      </c>
      <c r="C4498" s="9" t="s">
        <v>25</v>
      </c>
      <c r="D4498" s="9" t="s">
        <v>26</v>
      </c>
      <c r="E4498" s="10" t="n">
        <v>1789</v>
      </c>
      <c r="F4498" s="9" t="s">
        <v>27</v>
      </c>
      <c r="G4498" s="9" t="s">
        <v>27</v>
      </c>
      <c r="H4498" s="11" t="n">
        <v>25</v>
      </c>
      <c r="I4498" s="11" t="s">
        <v>366</v>
      </c>
      <c r="J4498" s="14"/>
      <c r="K4498" s="14"/>
      <c r="L4498" s="16"/>
      <c r="M4498" s="27" t="n">
        <f aca="false">J4498+(K4498/20)+(L4498/240)</f>
        <v>0</v>
      </c>
      <c r="N4498" s="17" t="s">
        <v>66</v>
      </c>
      <c r="O4498" s="11"/>
      <c r="P4498" s="28"/>
      <c r="Q4498" s="28" t="n">
        <f aca="false">P4498*$M4498</f>
        <v>0</v>
      </c>
      <c r="R4498" s="28"/>
      <c r="S4498" s="28" t="n">
        <f aca="false">R4498*$M4498</f>
        <v>0</v>
      </c>
      <c r="T4498" s="28"/>
      <c r="U4498" s="28" t="n">
        <f aca="false">T4498*$M4498</f>
        <v>0</v>
      </c>
      <c r="V4498" s="28" t="n">
        <v>797</v>
      </c>
      <c r="W4498" s="28" t="n">
        <v>720</v>
      </c>
      <c r="X4498" s="28"/>
      <c r="Y4498" s="28" t="n">
        <f aca="false">X4498*$M4498</f>
        <v>0</v>
      </c>
      <c r="Z4498" s="28"/>
      <c r="AA4498" s="28" t="n">
        <f aca="false">Z4498*$M4498</f>
        <v>0</v>
      </c>
      <c r="AB4498" s="28"/>
      <c r="AC4498" s="28" t="n">
        <f aca="false">AB4498*$M4498</f>
        <v>0</v>
      </c>
      <c r="AD4498" s="28"/>
      <c r="AE4498" s="28" t="n">
        <f aca="false">AD4498*$M4498</f>
        <v>0</v>
      </c>
      <c r="AF4498" s="28"/>
      <c r="AG4498" s="28" t="n">
        <f aca="false">AF4498*$M4498</f>
        <v>0</v>
      </c>
      <c r="AH4498" s="28"/>
      <c r="AI4498" s="28" t="n">
        <f aca="false">AH4498*$M4498</f>
        <v>0</v>
      </c>
      <c r="AJ4498" s="28"/>
      <c r="AK4498" s="28" t="n">
        <f aca="false">AJ4498*$M4498</f>
        <v>0</v>
      </c>
      <c r="AL4498" s="28"/>
      <c r="AM4498" s="28" t="n">
        <f aca="false">AL4498*$M4498</f>
        <v>0</v>
      </c>
      <c r="AN4498" s="28"/>
      <c r="AO4498" s="28" t="n">
        <f aca="false">AN4498*$M4498</f>
        <v>0</v>
      </c>
      <c r="AP4498" s="28"/>
      <c r="AQ4498" s="28" t="n">
        <f aca="false">AP4498*$M4498</f>
        <v>0</v>
      </c>
      <c r="AR4498" s="28"/>
      <c r="AS4498" s="28" t="n">
        <f aca="false">AR4498*$M4498</f>
        <v>0</v>
      </c>
      <c r="AT4498" s="28"/>
      <c r="AU4498" s="28" t="n">
        <f aca="false">AT4498*$M4498</f>
        <v>0</v>
      </c>
      <c r="AV4498" s="28"/>
      <c r="AW4498" s="28" t="n">
        <f aca="false">AV4498*$M4498</f>
        <v>0</v>
      </c>
      <c r="AX4498" s="28"/>
      <c r="AY4498" s="28" t="n">
        <f aca="false">AX4498*$M4498</f>
        <v>0</v>
      </c>
      <c r="AZ4498" s="30" t="n">
        <v>797</v>
      </c>
      <c r="BA4498" s="11" t="n">
        <v>720</v>
      </c>
      <c r="BB4498" s="31" t="n">
        <f aca="false">SUM(Q4498,S4498,U4498,W4498,Y4498,AA4498,AC4498,AE4498,AG4498,AI4498,AK4498,AM4498,AO4498,AQ4498,AS4498,AU4498,AW4498,AY4498)</f>
        <v>720</v>
      </c>
      <c r="BC4498" s="28" t="n">
        <f aca="false">BA4498-BB4498</f>
        <v>0</v>
      </c>
      <c r="BD4498" s="32" t="n">
        <f aca="false">SUM(P4498,R4498,T4498,V4498,X4498,Z4498,AB4498,AD4498,AF4498,AH4498,AJ4498,AL4498,AN4498,AP4498,AR4498,AT4498,AV4498,AX4498)</f>
        <v>797</v>
      </c>
      <c r="BE4498" s="33" t="n">
        <f aca="false">AZ4498-BD4498</f>
        <v>0</v>
      </c>
      <c r="BF4498" s="34" t="n">
        <f aca="false">BD4498*M4498</f>
        <v>0</v>
      </c>
      <c r="BG4498" s="35" t="n">
        <f aca="false">BA4498-BF4498</f>
        <v>720</v>
      </c>
      <c r="BH4498" s="19" t="str">
        <f aca="false">IF(BG4498=0,"",IF(BG4498&lt;&gt;BA4498,"erreur de calcul",IF(BD4498&lt;&gt;0,"pas de prix",IF(M4498&lt;&gt; 0,"pas de quantité","pas de prix, ni de quantité"))))</f>
        <v>pas de prix</v>
      </c>
      <c r="BI4498" s="19" t="s">
        <v>367</v>
      </c>
    </row>
    <row r="4499" customFormat="false" ht="15" hidden="false" customHeight="false" outlineLevel="0" collapsed="false">
      <c r="A4499" s="0" t="n">
        <v>39</v>
      </c>
      <c r="B4499" s="8" t="s">
        <v>24</v>
      </c>
      <c r="C4499" s="9" t="s">
        <v>25</v>
      </c>
      <c r="D4499" s="9" t="s">
        <v>26</v>
      </c>
      <c r="E4499" s="10" t="n">
        <v>1789</v>
      </c>
      <c r="F4499" s="9" t="s">
        <v>27</v>
      </c>
      <c r="G4499" s="9" t="s">
        <v>27</v>
      </c>
      <c r="H4499" s="11" t="n">
        <v>25</v>
      </c>
      <c r="I4499" s="11" t="s">
        <v>368</v>
      </c>
      <c r="J4499" s="14" t="n">
        <v>4</v>
      </c>
      <c r="K4499" s="14"/>
      <c r="L4499" s="16"/>
      <c r="M4499" s="27" t="n">
        <f aca="false">J4499+(K4499/20)+(L4499/240)</f>
        <v>4</v>
      </c>
      <c r="N4499" s="17" t="s">
        <v>64</v>
      </c>
      <c r="O4499" s="11"/>
      <c r="P4499" s="28"/>
      <c r="Q4499" s="28" t="n">
        <f aca="false">P4499*$M4499</f>
        <v>0</v>
      </c>
      <c r="R4499" s="28"/>
      <c r="S4499" s="28" t="n">
        <f aca="false">R4499*$M4499</f>
        <v>0</v>
      </c>
      <c r="T4499" s="28"/>
      <c r="U4499" s="28" t="n">
        <f aca="false">T4499*$M4499</f>
        <v>0</v>
      </c>
      <c r="V4499" s="28" t="n">
        <f aca="false">23693/100</f>
        <v>236.93</v>
      </c>
      <c r="W4499" s="28" t="n">
        <v>948</v>
      </c>
      <c r="X4499" s="28"/>
      <c r="Y4499" s="28" t="n">
        <f aca="false">X4499*$M4499</f>
        <v>0</v>
      </c>
      <c r="Z4499" s="28"/>
      <c r="AA4499" s="28" t="n">
        <f aca="false">Z4499*$M4499</f>
        <v>0</v>
      </c>
      <c r="AB4499" s="28"/>
      <c r="AC4499" s="28" t="n">
        <f aca="false">AB4499*$M4499</f>
        <v>0</v>
      </c>
      <c r="AD4499" s="28"/>
      <c r="AE4499" s="28" t="n">
        <f aca="false">AD4499*$M4499</f>
        <v>0</v>
      </c>
      <c r="AF4499" s="28"/>
      <c r="AG4499" s="28" t="n">
        <f aca="false">AF4499*$M4499</f>
        <v>0</v>
      </c>
      <c r="AH4499" s="28"/>
      <c r="AI4499" s="28" t="n">
        <f aca="false">AH4499*$M4499</f>
        <v>0</v>
      </c>
      <c r="AJ4499" s="28"/>
      <c r="AK4499" s="28" t="n">
        <f aca="false">AJ4499*$M4499</f>
        <v>0</v>
      </c>
      <c r="AL4499" s="28"/>
      <c r="AM4499" s="28" t="n">
        <f aca="false">AL4499*$M4499</f>
        <v>0</v>
      </c>
      <c r="AN4499" s="28"/>
      <c r="AO4499" s="28" t="n">
        <f aca="false">AN4499*$M4499</f>
        <v>0</v>
      </c>
      <c r="AP4499" s="28"/>
      <c r="AQ4499" s="28" t="n">
        <f aca="false">AP4499*$M4499</f>
        <v>0</v>
      </c>
      <c r="AR4499" s="28"/>
      <c r="AS4499" s="28" t="n">
        <f aca="false">AR4499*$M4499</f>
        <v>0</v>
      </c>
      <c r="AT4499" s="28"/>
      <c r="AU4499" s="28" t="n">
        <f aca="false">AT4499*$M4499</f>
        <v>0</v>
      </c>
      <c r="AV4499" s="28"/>
      <c r="AW4499" s="28" t="n">
        <f aca="false">AV4499*$M4499</f>
        <v>0</v>
      </c>
      <c r="AX4499" s="28"/>
      <c r="AY4499" s="28" t="n">
        <f aca="false">AX4499*$M4499</f>
        <v>0</v>
      </c>
      <c r="AZ4499" s="30" t="n">
        <f aca="false">23693/100</f>
        <v>236.93</v>
      </c>
      <c r="BA4499" s="11" t="n">
        <v>948</v>
      </c>
      <c r="BB4499" s="31" t="n">
        <f aca="false">SUM(Q4499,S4499,U4499,W4499,Y4499,AA4499,AC4499,AE4499,AG4499,AI4499,AK4499,AM4499,AO4499,AQ4499,AS4499,AU4499,AW4499,AY4499)</f>
        <v>948</v>
      </c>
      <c r="BC4499" s="28" t="n">
        <f aca="false">BA4499-BB4499</f>
        <v>0</v>
      </c>
      <c r="BD4499" s="32" t="n">
        <f aca="false">SUM(P4499,R4499,T4499,V4499,X4499,Z4499,AB4499,AD4499,AF4499,AH4499,AJ4499,AL4499,AN4499,AP4499,AR4499,AT4499,AV4499,AX4499)</f>
        <v>236.93</v>
      </c>
      <c r="BE4499" s="33" t="n">
        <f aca="false">AZ4499-BD4499</f>
        <v>0</v>
      </c>
      <c r="BF4499" s="34" t="n">
        <f aca="false">BD4499*M4499</f>
        <v>947.72</v>
      </c>
      <c r="BG4499" s="35" t="n">
        <f aca="false">BA4499-BF4499</f>
        <v>0.279999999999973</v>
      </c>
      <c r="BH4499" s="19" t="str">
        <f aca="false">IF(BG4499=0,"",IF(BG4499&lt;&gt;BA4499,"erreur de calcul",IF(BD4499&lt;&gt;0,"pas de prix",IF(M4499&lt;&gt; 0,"pas de quantité","pas de prix, ni de quantité"))))</f>
        <v>erreur de calcul</v>
      </c>
      <c r="BI4499" s="19"/>
    </row>
    <row r="4500" customFormat="false" ht="15" hidden="false" customHeight="false" outlineLevel="0" collapsed="false">
      <c r="A4500" s="0" t="n">
        <v>40</v>
      </c>
      <c r="B4500" s="8" t="s">
        <v>24</v>
      </c>
      <c r="C4500" s="9" t="s">
        <v>25</v>
      </c>
      <c r="D4500" s="9" t="s">
        <v>26</v>
      </c>
      <c r="E4500" s="10" t="n">
        <v>1789</v>
      </c>
      <c r="F4500" s="9" t="s">
        <v>27</v>
      </c>
      <c r="G4500" s="9" t="s">
        <v>27</v>
      </c>
      <c r="H4500" s="11" t="n">
        <v>25</v>
      </c>
      <c r="I4500" s="11" t="s">
        <v>369</v>
      </c>
      <c r="J4500" s="14" t="n">
        <v>92</v>
      </c>
      <c r="K4500" s="14"/>
      <c r="L4500" s="16"/>
      <c r="M4500" s="27" t="n">
        <f aca="false">J4500+(K4500/20)+(L4500/240)</f>
        <v>92</v>
      </c>
      <c r="N4500" s="17" t="s">
        <v>64</v>
      </c>
      <c r="O4500" s="11"/>
      <c r="P4500" s="28"/>
      <c r="Q4500" s="28" t="n">
        <f aca="false">P4500*$M4500</f>
        <v>0</v>
      </c>
      <c r="R4500" s="28"/>
      <c r="S4500" s="28" t="n">
        <f aca="false">R4500*$M4500</f>
        <v>0</v>
      </c>
      <c r="T4500" s="28"/>
      <c r="U4500" s="28" t="n">
        <f aca="false">T4500*$M4500</f>
        <v>0</v>
      </c>
      <c r="V4500" s="28" t="n">
        <f aca="false">82878/100</f>
        <v>828.78</v>
      </c>
      <c r="W4500" s="28" t="n">
        <v>76248</v>
      </c>
      <c r="X4500" s="28" t="n">
        <f aca="false">44264/100</f>
        <v>442.64</v>
      </c>
      <c r="Y4500" s="36" t="n">
        <v>41023</v>
      </c>
      <c r="Z4500" s="28"/>
      <c r="AA4500" s="28" t="n">
        <f aca="false">Z4500*$M4500</f>
        <v>0</v>
      </c>
      <c r="AB4500" s="28"/>
      <c r="AC4500" s="28" t="n">
        <f aca="false">AB4500*$M4500</f>
        <v>0</v>
      </c>
      <c r="AD4500" s="28"/>
      <c r="AE4500" s="28" t="n">
        <f aca="false">AD4500*$M4500</f>
        <v>0</v>
      </c>
      <c r="AF4500" s="28"/>
      <c r="AG4500" s="28" t="n">
        <f aca="false">AF4500*$M4500</f>
        <v>0</v>
      </c>
      <c r="AH4500" s="28"/>
      <c r="AI4500" s="28" t="n">
        <f aca="false">AH4500*$M4500</f>
        <v>0</v>
      </c>
      <c r="AJ4500" s="28"/>
      <c r="AK4500" s="28" t="n">
        <f aca="false">AJ4500*$M4500</f>
        <v>0</v>
      </c>
      <c r="AL4500" s="28"/>
      <c r="AM4500" s="28" t="n">
        <f aca="false">AL4500*$M4500</f>
        <v>0</v>
      </c>
      <c r="AN4500" s="28"/>
      <c r="AO4500" s="28" t="n">
        <f aca="false">AN4500*$M4500</f>
        <v>0</v>
      </c>
      <c r="AP4500" s="28"/>
      <c r="AQ4500" s="28" t="n">
        <f aca="false">AP4500*$M4500</f>
        <v>0</v>
      </c>
      <c r="AR4500" s="28"/>
      <c r="AS4500" s="28" t="n">
        <f aca="false">AR4500*$M4500</f>
        <v>0</v>
      </c>
      <c r="AT4500" s="28"/>
      <c r="AU4500" s="28" t="n">
        <f aca="false">AT4500*$M4500</f>
        <v>0</v>
      </c>
      <c r="AV4500" s="28"/>
      <c r="AW4500" s="28" t="n">
        <f aca="false">AV4500*$M4500</f>
        <v>0</v>
      </c>
      <c r="AX4500" s="28"/>
      <c r="AY4500" s="28" t="n">
        <f aca="false">AX4500*$M4500</f>
        <v>0</v>
      </c>
      <c r="AZ4500" s="30" t="n">
        <f aca="false">127142/100</f>
        <v>1271.42</v>
      </c>
      <c r="BA4500" s="11" t="n">
        <v>117271</v>
      </c>
      <c r="BB4500" s="31" t="n">
        <f aca="false">SUM(Q4500,S4500,U4500,W4500,Y4500,AA4500,AC4500,AE4500,AG4500,AI4500,AK4500,AM4500,AO4500,AQ4500,AS4500,AU4500,AW4500,AY4500)</f>
        <v>117271</v>
      </c>
      <c r="BC4500" s="28" t="n">
        <f aca="false">BA4500-BB4500</f>
        <v>0</v>
      </c>
      <c r="BD4500" s="32" t="n">
        <f aca="false">SUM(P4500,R4500,T4500,V4500,X4500,Z4500,AB4500,AD4500,AF4500,AH4500,AJ4500,AL4500,AN4500,AP4500,AR4500,AT4500,AV4500,AX4500)</f>
        <v>1271.42</v>
      </c>
      <c r="BE4500" s="33" t="n">
        <f aca="false">AZ4500-BD4500</f>
        <v>0</v>
      </c>
      <c r="BF4500" s="34" t="n">
        <f aca="false">BD4500*M4500</f>
        <v>116970.64</v>
      </c>
      <c r="BG4500" s="35" t="n">
        <f aca="false">BA4500-BF4500</f>
        <v>300.359999999986</v>
      </c>
      <c r="BH4500" s="19" t="str">
        <f aca="false">IF(BG4500=0,"",IF(BG4500&lt;&gt;BA4500,"erreur de calcul",IF(BD4500&lt;&gt;0,"pas de prix",IF(M4500&lt;&gt; 0,"pas de quantité","pas de prix, ni de quantité"))))</f>
        <v>erreur de calcul</v>
      </c>
      <c r="BI4500" s="19"/>
    </row>
    <row r="4501" customFormat="false" ht="15" hidden="false" customHeight="false" outlineLevel="0" collapsed="false">
      <c r="A4501" s="0" t="n">
        <v>41</v>
      </c>
      <c r="B4501" s="8" t="s">
        <v>24</v>
      </c>
      <c r="C4501" s="9" t="s">
        <v>25</v>
      </c>
      <c r="D4501" s="9" t="s">
        <v>26</v>
      </c>
      <c r="E4501" s="10" t="n">
        <v>1789</v>
      </c>
      <c r="F4501" s="9" t="s">
        <v>27</v>
      </c>
      <c r="G4501" s="9" t="s">
        <v>27</v>
      </c>
      <c r="H4501" s="11" t="n">
        <v>25</v>
      </c>
      <c r="I4501" s="11" t="s">
        <v>370</v>
      </c>
      <c r="J4501" s="14" t="n">
        <v>12</v>
      </c>
      <c r="K4501" s="14"/>
      <c r="L4501" s="16"/>
      <c r="M4501" s="27" t="n">
        <f aca="false">J4501+(K4501/20)+(L4501/240)</f>
        <v>12</v>
      </c>
      <c r="N4501" s="17" t="s">
        <v>64</v>
      </c>
      <c r="O4501" s="11"/>
      <c r="P4501" s="28"/>
      <c r="Q4501" s="28" t="n">
        <f aca="false">P4501*$M4501</f>
        <v>0</v>
      </c>
      <c r="R4501" s="28"/>
      <c r="S4501" s="28" t="n">
        <f aca="false">R4501*$M4501</f>
        <v>0</v>
      </c>
      <c r="T4501" s="28"/>
      <c r="U4501" s="28" t="n">
        <f aca="false">T4501*$M4501</f>
        <v>0</v>
      </c>
      <c r="V4501" s="28"/>
      <c r="W4501" s="28" t="n">
        <f aca="false">V4501*$M4501</f>
        <v>0</v>
      </c>
      <c r="X4501" s="28"/>
      <c r="Y4501" s="28" t="n">
        <f aca="false">X4501*$M4501</f>
        <v>0</v>
      </c>
      <c r="Z4501" s="28"/>
      <c r="AA4501" s="28" t="n">
        <f aca="false">Z4501*$M4501</f>
        <v>0</v>
      </c>
      <c r="AB4501" s="28"/>
      <c r="AC4501" s="28" t="n">
        <f aca="false">AB4501*$M4501</f>
        <v>0</v>
      </c>
      <c r="AD4501" s="28"/>
      <c r="AE4501" s="28" t="n">
        <f aca="false">AD4501*$M4501</f>
        <v>0</v>
      </c>
      <c r="AF4501" s="28"/>
      <c r="AG4501" s="28" t="n">
        <f aca="false">AF4501*$M4501</f>
        <v>0</v>
      </c>
      <c r="AH4501" s="28" t="n">
        <f aca="false">12168/100</f>
        <v>121.68</v>
      </c>
      <c r="AI4501" s="28" t="n">
        <v>1460</v>
      </c>
      <c r="AJ4501" s="28"/>
      <c r="AK4501" s="28" t="n">
        <f aca="false">AJ4501*$M4501</f>
        <v>0</v>
      </c>
      <c r="AL4501" s="28"/>
      <c r="AM4501" s="28" t="n">
        <f aca="false">AL4501*$M4501</f>
        <v>0</v>
      </c>
      <c r="AN4501" s="28"/>
      <c r="AO4501" s="28" t="n">
        <f aca="false">AN4501*$M4501</f>
        <v>0</v>
      </c>
      <c r="AP4501" s="28"/>
      <c r="AQ4501" s="28" t="n">
        <f aca="false">AP4501*$M4501</f>
        <v>0</v>
      </c>
      <c r="AR4501" s="28"/>
      <c r="AS4501" s="28" t="n">
        <f aca="false">AR4501*$M4501</f>
        <v>0</v>
      </c>
      <c r="AT4501" s="28"/>
      <c r="AU4501" s="28" t="n">
        <f aca="false">AT4501*$M4501</f>
        <v>0</v>
      </c>
      <c r="AV4501" s="28"/>
      <c r="AW4501" s="28" t="n">
        <f aca="false">AV4501*$M4501</f>
        <v>0</v>
      </c>
      <c r="AX4501" s="28"/>
      <c r="AY4501" s="28" t="n">
        <f aca="false">AX4501*$M4501</f>
        <v>0</v>
      </c>
      <c r="AZ4501" s="30" t="n">
        <f aca="false">12168/100</f>
        <v>121.68</v>
      </c>
      <c r="BA4501" s="11" t="n">
        <v>1460</v>
      </c>
      <c r="BB4501" s="31" t="n">
        <f aca="false">SUM(Q4501,S4501,U4501,W4501,Y4501,AA4501,AC4501,AE4501,AG4501,AI4501,AK4501,AM4501,AO4501,AQ4501,AS4501,AU4501,AW4501,AY4501)</f>
        <v>1460</v>
      </c>
      <c r="BC4501" s="28" t="n">
        <f aca="false">BA4501-BB4501</f>
        <v>0</v>
      </c>
      <c r="BD4501" s="32" t="n">
        <f aca="false">SUM(P4501,R4501,T4501,V4501,X4501,Z4501,AB4501,AD4501,AF4501,AH4501,AJ4501,AL4501,AN4501,AP4501,AR4501,AT4501,AV4501,AX4501)</f>
        <v>121.68</v>
      </c>
      <c r="BE4501" s="33" t="n">
        <f aca="false">AZ4501-BD4501</f>
        <v>0</v>
      </c>
      <c r="BF4501" s="34" t="n">
        <f aca="false">BD4501*M4501</f>
        <v>1460.16</v>
      </c>
      <c r="BG4501" s="35" t="n">
        <f aca="false">BA4501-BF4501</f>
        <v>-0.160000000000082</v>
      </c>
      <c r="BH4501" s="19" t="str">
        <f aca="false">IF(BG4501=0,"",IF(BG4501&lt;&gt;BA4501,"erreur de calcul",IF(BD4501&lt;&gt;0,"pas de prix",IF(M4501&lt;&gt; 0,"pas de quantité","pas de prix, ni de quantité"))))</f>
        <v>erreur de calcul</v>
      </c>
      <c r="BI4501" s="19"/>
    </row>
    <row r="4502" customFormat="false" ht="15" hidden="false" customHeight="false" outlineLevel="0" collapsed="false">
      <c r="A4502" s="0" t="n">
        <v>42</v>
      </c>
      <c r="B4502" s="8" t="s">
        <v>24</v>
      </c>
      <c r="C4502" s="9" t="s">
        <v>25</v>
      </c>
      <c r="D4502" s="9" t="s">
        <v>26</v>
      </c>
      <c r="E4502" s="10" t="n">
        <v>1789</v>
      </c>
      <c r="F4502" s="9" t="s">
        <v>27</v>
      </c>
      <c r="G4502" s="9" t="s">
        <v>27</v>
      </c>
      <c r="H4502" s="11" t="n">
        <v>25</v>
      </c>
      <c r="I4502" s="11" t="s">
        <v>371</v>
      </c>
      <c r="J4502" s="14" t="n">
        <v>7</v>
      </c>
      <c r="K4502" s="14"/>
      <c r="L4502" s="16"/>
      <c r="M4502" s="27" t="n">
        <f aca="false">J4502+(K4502/20)+(L4502/240)</f>
        <v>7</v>
      </c>
      <c r="N4502" s="17" t="s">
        <v>64</v>
      </c>
      <c r="O4502" s="11"/>
      <c r="P4502" s="28"/>
      <c r="Q4502" s="28" t="n">
        <f aca="false">P4502*$M4502</f>
        <v>0</v>
      </c>
      <c r="R4502" s="28"/>
      <c r="S4502" s="28" t="n">
        <f aca="false">R4502*$M4502</f>
        <v>0</v>
      </c>
      <c r="T4502" s="28"/>
      <c r="U4502" s="28" t="n">
        <f aca="false">T4502*$M4502</f>
        <v>0</v>
      </c>
      <c r="V4502" s="28"/>
      <c r="W4502" s="28" t="n">
        <f aca="false">V4502*$M4502</f>
        <v>0</v>
      </c>
      <c r="X4502" s="28"/>
      <c r="Y4502" s="28" t="n">
        <f aca="false">X4502*$M4502</f>
        <v>0</v>
      </c>
      <c r="Z4502" s="28"/>
      <c r="AA4502" s="28" t="n">
        <f aca="false">Z4502*$M4502</f>
        <v>0</v>
      </c>
      <c r="AB4502" s="28" t="n">
        <f aca="false">58003/100</f>
        <v>580.03</v>
      </c>
      <c r="AC4502" s="28" t="n">
        <v>4060</v>
      </c>
      <c r="AD4502" s="28"/>
      <c r="AE4502" s="28" t="n">
        <f aca="false">AD4502*$M4502</f>
        <v>0</v>
      </c>
      <c r="AF4502" s="28"/>
      <c r="AG4502" s="28" t="n">
        <f aca="false">AF4502*$M4502</f>
        <v>0</v>
      </c>
      <c r="AH4502" s="28"/>
      <c r="AI4502" s="28" t="n">
        <f aca="false">AH4502*$M4502</f>
        <v>0</v>
      </c>
      <c r="AJ4502" s="28"/>
      <c r="AK4502" s="28" t="n">
        <f aca="false">AJ4502*$M4502</f>
        <v>0</v>
      </c>
      <c r="AL4502" s="28"/>
      <c r="AM4502" s="28" t="n">
        <f aca="false">AL4502*$M4502</f>
        <v>0</v>
      </c>
      <c r="AN4502" s="28"/>
      <c r="AO4502" s="28" t="n">
        <f aca="false">AN4502*$M4502</f>
        <v>0</v>
      </c>
      <c r="AP4502" s="28"/>
      <c r="AQ4502" s="28" t="n">
        <f aca="false">AP4502*$M4502</f>
        <v>0</v>
      </c>
      <c r="AR4502" s="28"/>
      <c r="AS4502" s="28" t="n">
        <f aca="false">AR4502*$M4502</f>
        <v>0</v>
      </c>
      <c r="AT4502" s="28"/>
      <c r="AU4502" s="28" t="n">
        <f aca="false">AT4502*$M4502</f>
        <v>0</v>
      </c>
      <c r="AV4502" s="28"/>
      <c r="AW4502" s="28" t="n">
        <f aca="false">AV4502*$M4502</f>
        <v>0</v>
      </c>
      <c r="AX4502" s="28"/>
      <c r="AY4502" s="28" t="n">
        <f aca="false">AX4502*$M4502</f>
        <v>0</v>
      </c>
      <c r="AZ4502" s="30" t="n">
        <f aca="false">58003/100</f>
        <v>580.03</v>
      </c>
      <c r="BA4502" s="11" t="n">
        <v>4060</v>
      </c>
      <c r="BB4502" s="31" t="n">
        <f aca="false">SUM(Q4502,S4502,U4502,W4502,Y4502,AA4502,AC4502,AE4502,AG4502,AI4502,AK4502,AM4502,AO4502,AQ4502,AS4502,AU4502,AW4502,AY4502)</f>
        <v>4060</v>
      </c>
      <c r="BC4502" s="28" t="n">
        <f aca="false">BA4502-BB4502</f>
        <v>0</v>
      </c>
      <c r="BD4502" s="32" t="n">
        <f aca="false">SUM(P4502,R4502,T4502,V4502,X4502,Z4502,AB4502,AD4502,AF4502,AH4502,AJ4502,AL4502,AN4502,AP4502,AR4502,AT4502,AV4502,AX4502)</f>
        <v>580.03</v>
      </c>
      <c r="BE4502" s="33" t="n">
        <f aca="false">AZ4502-BD4502</f>
        <v>0</v>
      </c>
      <c r="BF4502" s="34" t="n">
        <f aca="false">BD4502*M4502</f>
        <v>4060.21</v>
      </c>
      <c r="BG4502" s="35" t="n">
        <f aca="false">BA4502-BF4502</f>
        <v>-0.210000000000036</v>
      </c>
      <c r="BH4502" s="19" t="str">
        <f aca="false">IF(BG4502=0,"",IF(BG4502&lt;&gt;BA4502,"erreur de calcul",IF(BD4502&lt;&gt;0,"pas de prix",IF(M4502&lt;&gt; 0,"pas de quantité","pas de prix, ni de quantité"))))</f>
        <v>erreur de calcul</v>
      </c>
      <c r="BI4502" s="19"/>
    </row>
    <row r="4503" customFormat="false" ht="15" hidden="false" customHeight="false" outlineLevel="0" collapsed="false">
      <c r="A4503" s="0" t="n">
        <v>1</v>
      </c>
      <c r="B4503" s="8" t="s">
        <v>24</v>
      </c>
      <c r="C4503" s="9" t="s">
        <v>25</v>
      </c>
      <c r="D4503" s="9" t="s">
        <v>26</v>
      </c>
      <c r="E4503" s="10" t="n">
        <v>1789</v>
      </c>
      <c r="F4503" s="9" t="s">
        <v>27</v>
      </c>
      <c r="G4503" s="9" t="s">
        <v>27</v>
      </c>
      <c r="H4503" s="11" t="n">
        <v>26</v>
      </c>
      <c r="I4503" s="11" t="s">
        <v>372</v>
      </c>
      <c r="J4503" s="14" t="n">
        <v>30</v>
      </c>
      <c r="K4503" s="14"/>
      <c r="L4503" s="16"/>
      <c r="M4503" s="27" t="n">
        <f aca="false">J4503+(K4503/20)+(L4503/240)</f>
        <v>30</v>
      </c>
      <c r="N4503" s="17" t="s">
        <v>64</v>
      </c>
      <c r="O4503" s="11"/>
      <c r="P4503" s="28"/>
      <c r="Q4503" s="28" t="n">
        <f aca="false">P4503*$M4503</f>
        <v>0</v>
      </c>
      <c r="R4503" s="28"/>
      <c r="S4503" s="28" t="n">
        <f aca="false">R4503*$M4503</f>
        <v>0</v>
      </c>
      <c r="T4503" s="28"/>
      <c r="U4503" s="28" t="n">
        <f aca="false">T4503*$M4503</f>
        <v>0</v>
      </c>
      <c r="V4503" s="28" t="n">
        <f aca="false">1500/100</f>
        <v>15</v>
      </c>
      <c r="W4503" s="28" t="n">
        <v>450</v>
      </c>
      <c r="X4503" s="28"/>
      <c r="Y4503" s="28" t="n">
        <f aca="false">X4503*$M4503</f>
        <v>0</v>
      </c>
      <c r="Z4503" s="28"/>
      <c r="AA4503" s="28" t="n">
        <f aca="false">Z4503*$M4503</f>
        <v>0</v>
      </c>
      <c r="AB4503" s="28"/>
      <c r="AC4503" s="28" t="n">
        <f aca="false">AB4503*$M4503</f>
        <v>0</v>
      </c>
      <c r="AD4503" s="28"/>
      <c r="AE4503" s="28" t="n">
        <f aca="false">AD4503*$M4503</f>
        <v>0</v>
      </c>
      <c r="AF4503" s="28"/>
      <c r="AG4503" s="28" t="n">
        <f aca="false">AF4503*$M4503</f>
        <v>0</v>
      </c>
      <c r="AH4503" s="28"/>
      <c r="AI4503" s="28" t="n">
        <f aca="false">AH4503*$M4503</f>
        <v>0</v>
      </c>
      <c r="AJ4503" s="28"/>
      <c r="AK4503" s="28" t="n">
        <f aca="false">AJ4503*$M4503</f>
        <v>0</v>
      </c>
      <c r="AL4503" s="28"/>
      <c r="AM4503" s="28" t="n">
        <f aca="false">AL4503*$M4503</f>
        <v>0</v>
      </c>
      <c r="AN4503" s="28"/>
      <c r="AO4503" s="28" t="n">
        <f aca="false">AN4503*$M4503</f>
        <v>0</v>
      </c>
      <c r="AP4503" s="28"/>
      <c r="AQ4503" s="28" t="n">
        <f aca="false">AP4503*$M4503</f>
        <v>0</v>
      </c>
      <c r="AR4503" s="28"/>
      <c r="AS4503" s="28" t="n">
        <f aca="false">AR4503*$M4503</f>
        <v>0</v>
      </c>
      <c r="AT4503" s="28"/>
      <c r="AU4503" s="28" t="n">
        <f aca="false">AT4503*$M4503</f>
        <v>0</v>
      </c>
      <c r="AV4503" s="28"/>
      <c r="AW4503" s="28" t="n">
        <f aca="false">AV4503*$M4503</f>
        <v>0</v>
      </c>
      <c r="AX4503" s="28"/>
      <c r="AY4503" s="28" t="n">
        <f aca="false">AX4503*$M4503</f>
        <v>0</v>
      </c>
      <c r="AZ4503" s="30" t="n">
        <f aca="false">1500/100</f>
        <v>15</v>
      </c>
      <c r="BA4503" s="11" t="n">
        <v>450</v>
      </c>
      <c r="BB4503" s="31" t="n">
        <f aca="false">SUM(Q4503,S4503,U4503,W4503,Y4503,AA4503,AC4503,AE4503,AG4503,AI4503,AK4503,AM4503,AO4503,AQ4503,AS4503,AU4503,AW4503,AY4503)</f>
        <v>450</v>
      </c>
      <c r="BC4503" s="28" t="n">
        <f aca="false">BA4503-BB4503</f>
        <v>0</v>
      </c>
      <c r="BD4503" s="32" t="n">
        <f aca="false">SUM(P4503,R4503,T4503,V4503,X4503,Z4503,AB4503,AD4503,AF4503,AH4503,AJ4503,AL4503,AN4503,AP4503,AR4503,AT4503,AV4503,AX4503)</f>
        <v>15</v>
      </c>
      <c r="BE4503" s="33" t="n">
        <f aca="false">AZ4503-BD4503</f>
        <v>0</v>
      </c>
      <c r="BF4503" s="34" t="n">
        <f aca="false">BD4503*M4503</f>
        <v>450</v>
      </c>
      <c r="BG4503" s="35" t="n">
        <f aca="false">BA4503-BF4503</f>
        <v>0</v>
      </c>
      <c r="BH4503" s="19" t="str">
        <f aca="false">IF(BG4503=0,"",IF(BG4503&lt;&gt;BA4503,"erreur de calcul",IF(BD4503&lt;&gt;0,"pas de prix",IF(M4503&lt;&gt; 0,"pas de quantité","pas de prix, ni de quantité"))))</f>
        <v/>
      </c>
      <c r="BI4503" s="19"/>
    </row>
    <row r="4504" customFormat="false" ht="15" hidden="false" customHeight="false" outlineLevel="0" collapsed="false">
      <c r="A4504" s="0" t="n">
        <v>2</v>
      </c>
      <c r="B4504" s="8" t="s">
        <v>24</v>
      </c>
      <c r="C4504" s="9" t="s">
        <v>25</v>
      </c>
      <c r="D4504" s="9" t="s">
        <v>26</v>
      </c>
      <c r="E4504" s="10" t="n">
        <v>1789</v>
      </c>
      <c r="F4504" s="9" t="s">
        <v>27</v>
      </c>
      <c r="G4504" s="9" t="s">
        <v>27</v>
      </c>
      <c r="H4504" s="11" t="n">
        <v>26</v>
      </c>
      <c r="I4504" s="11" t="s">
        <v>373</v>
      </c>
      <c r="J4504" s="14" t="n">
        <v>25</v>
      </c>
      <c r="K4504" s="14"/>
      <c r="L4504" s="16"/>
      <c r="M4504" s="27" t="n">
        <f aca="false">J4504+(K4504/20)+(L4504/240)</f>
        <v>25</v>
      </c>
      <c r="N4504" s="17" t="s">
        <v>64</v>
      </c>
      <c r="O4504" s="11"/>
      <c r="P4504" s="28"/>
      <c r="Q4504" s="28" t="n">
        <f aca="false">P4504*$M4504</f>
        <v>0</v>
      </c>
      <c r="R4504" s="28"/>
      <c r="S4504" s="28" t="n">
        <f aca="false">R4504*$M4504</f>
        <v>0</v>
      </c>
      <c r="T4504" s="28" t="n">
        <f aca="false">34168/100</f>
        <v>341.68</v>
      </c>
      <c r="U4504" s="28" t="n">
        <v>8542</v>
      </c>
      <c r="V4504" s="28" t="n">
        <f aca="false">128249/100</f>
        <v>1282.49</v>
      </c>
      <c r="W4504" s="28" t="n">
        <v>32062</v>
      </c>
      <c r="X4504" s="28" t="n">
        <f aca="false">21365/100</f>
        <v>213.65</v>
      </c>
      <c r="Y4504" s="28" t="n">
        <v>5341</v>
      </c>
      <c r="Z4504" s="28"/>
      <c r="AA4504" s="28" t="n">
        <f aca="false">Z4504*$M4504</f>
        <v>0</v>
      </c>
      <c r="AB4504" s="28"/>
      <c r="AC4504" s="28" t="n">
        <f aca="false">AB4504*$M4504</f>
        <v>0</v>
      </c>
      <c r="AD4504" s="28"/>
      <c r="AE4504" s="28" t="n">
        <f aca="false">AD4504*$M4504</f>
        <v>0</v>
      </c>
      <c r="AF4504" s="28"/>
      <c r="AG4504" s="28" t="n">
        <f aca="false">AF4504*$M4504</f>
        <v>0</v>
      </c>
      <c r="AH4504" s="28"/>
      <c r="AI4504" s="28" t="n">
        <f aca="false">AH4504*$M4504</f>
        <v>0</v>
      </c>
      <c r="AJ4504" s="28" t="n">
        <f aca="false">155251/100</f>
        <v>1552.51</v>
      </c>
      <c r="AK4504" s="28" t="n">
        <v>38813</v>
      </c>
      <c r="AL4504" s="28" t="n">
        <f aca="false">185000/100</f>
        <v>1850</v>
      </c>
      <c r="AM4504" s="28" t="n">
        <v>46250</v>
      </c>
      <c r="AN4504" s="28"/>
      <c r="AO4504" s="28" t="n">
        <f aca="false">AN4504*$M4504</f>
        <v>0</v>
      </c>
      <c r="AP4504" s="28"/>
      <c r="AQ4504" s="28" t="n">
        <f aca="false">AP4504*$M4504</f>
        <v>0</v>
      </c>
      <c r="AR4504" s="28"/>
      <c r="AS4504" s="28" t="n">
        <f aca="false">AR4504*$M4504</f>
        <v>0</v>
      </c>
      <c r="AT4504" s="28"/>
      <c r="AU4504" s="28" t="n">
        <f aca="false">AT4504*$M4504</f>
        <v>0</v>
      </c>
      <c r="AV4504" s="28"/>
      <c r="AW4504" s="28" t="n">
        <f aca="false">AV4504*$M4504</f>
        <v>0</v>
      </c>
      <c r="AX4504" s="28"/>
      <c r="AY4504" s="28" t="n">
        <f aca="false">AX4504*$M4504</f>
        <v>0</v>
      </c>
      <c r="AZ4504" s="30" t="n">
        <f aca="false">524033/100</f>
        <v>5240.33</v>
      </c>
      <c r="BA4504" s="11" t="n">
        <v>131008</v>
      </c>
      <c r="BB4504" s="31" t="n">
        <f aca="false">SUM(Q4504,S4504,U4504,W4504,Y4504,AA4504,AC4504,AE4504,AG4504,AI4504,AK4504,AM4504,AO4504,AQ4504,AS4504,AU4504,AW4504,AY4504)</f>
        <v>131008</v>
      </c>
      <c r="BC4504" s="28" t="n">
        <f aca="false">BA4504-BB4504</f>
        <v>0</v>
      </c>
      <c r="BD4504" s="32" t="n">
        <f aca="false">SUM(P4504,R4504,T4504,V4504,X4504,Z4504,AB4504,AD4504,AF4504,AH4504,AJ4504,AL4504,AN4504,AP4504,AR4504,AT4504,AV4504,AX4504)</f>
        <v>5240.33</v>
      </c>
      <c r="BE4504" s="33" t="n">
        <f aca="false">AZ4504-BD4504</f>
        <v>0</v>
      </c>
      <c r="BF4504" s="34" t="n">
        <f aca="false">BD4504*M4504</f>
        <v>131008.25</v>
      </c>
      <c r="BG4504" s="35" t="n">
        <f aca="false">BA4504-BF4504</f>
        <v>-0.250000000014552</v>
      </c>
      <c r="BH4504" s="19" t="str">
        <f aca="false">IF(BG4504=0,"",IF(BG4504&lt;&gt;BA4504,"erreur de calcul",IF(BD4504&lt;&gt;0,"pas de prix",IF(M4504&lt;&gt; 0,"pas de quantité","pas de prix, ni de quantité"))))</f>
        <v>erreur de calcul</v>
      </c>
      <c r="BI4504" s="19"/>
    </row>
    <row r="4505" customFormat="false" ht="15" hidden="false" customHeight="false" outlineLevel="0" collapsed="false">
      <c r="A4505" s="0" t="n">
        <v>3</v>
      </c>
      <c r="B4505" s="8" t="s">
        <v>24</v>
      </c>
      <c r="C4505" s="9" t="s">
        <v>25</v>
      </c>
      <c r="D4505" s="9" t="s">
        <v>26</v>
      </c>
      <c r="E4505" s="10" t="n">
        <v>1789</v>
      </c>
      <c r="F4505" s="9" t="s">
        <v>27</v>
      </c>
      <c r="G4505" s="9" t="s">
        <v>27</v>
      </c>
      <c r="H4505" s="11" t="n">
        <v>26</v>
      </c>
      <c r="I4505" s="11" t="s">
        <v>374</v>
      </c>
      <c r="J4505" s="14" t="n">
        <v>70</v>
      </c>
      <c r="K4505" s="14"/>
      <c r="L4505" s="16"/>
      <c r="M4505" s="27" t="n">
        <f aca="false">J4505+(K4505/20)+(L4505/240)</f>
        <v>70</v>
      </c>
      <c r="N4505" s="17" t="s">
        <v>64</v>
      </c>
      <c r="O4505" s="11"/>
      <c r="P4505" s="28"/>
      <c r="Q4505" s="28" t="n">
        <f aca="false">P4505*$M4505</f>
        <v>0</v>
      </c>
      <c r="R4505" s="28"/>
      <c r="S4505" s="28" t="n">
        <f aca="false">R4505*$M4505</f>
        <v>0</v>
      </c>
      <c r="T4505" s="28"/>
      <c r="U4505" s="28" t="n">
        <f aca="false">T4505*$M4505</f>
        <v>0</v>
      </c>
      <c r="V4505" s="28" t="n">
        <f aca="false">4560/100</f>
        <v>45.6</v>
      </c>
      <c r="W4505" s="28" t="n">
        <v>3192</v>
      </c>
      <c r="X4505" s="28" t="n">
        <f aca="false">1115/100</f>
        <v>11.15</v>
      </c>
      <c r="Y4505" s="28" t="n">
        <v>780</v>
      </c>
      <c r="Z4505" s="28"/>
      <c r="AA4505" s="28" t="n">
        <f aca="false">Z4505*$M4505</f>
        <v>0</v>
      </c>
      <c r="AB4505" s="28" t="n">
        <f aca="false">9431/100</f>
        <v>94.31</v>
      </c>
      <c r="AC4505" s="28" t="n">
        <v>6602</v>
      </c>
      <c r="AD4505" s="28"/>
      <c r="AE4505" s="28" t="n">
        <f aca="false">AD4505*$M4505</f>
        <v>0</v>
      </c>
      <c r="AF4505" s="28"/>
      <c r="AG4505" s="28" t="n">
        <f aca="false">AF4505*$M4505</f>
        <v>0</v>
      </c>
      <c r="AH4505" s="28"/>
      <c r="AI4505" s="28" t="n">
        <f aca="false">AH4505*$M4505</f>
        <v>0</v>
      </c>
      <c r="AJ4505" s="28"/>
      <c r="AK4505" s="28" t="n">
        <f aca="false">AJ4505*$M4505</f>
        <v>0</v>
      </c>
      <c r="AL4505" s="28"/>
      <c r="AM4505" s="28" t="n">
        <f aca="false">AL4505*$M4505</f>
        <v>0</v>
      </c>
      <c r="AN4505" s="28"/>
      <c r="AO4505" s="28" t="n">
        <f aca="false">AN4505*$M4505</f>
        <v>0</v>
      </c>
      <c r="AP4505" s="28"/>
      <c r="AQ4505" s="28" t="n">
        <f aca="false">AP4505*$M4505</f>
        <v>0</v>
      </c>
      <c r="AR4505" s="28"/>
      <c r="AS4505" s="28" t="n">
        <f aca="false">AR4505*$M4505</f>
        <v>0</v>
      </c>
      <c r="AT4505" s="28"/>
      <c r="AU4505" s="28" t="n">
        <f aca="false">AT4505*$M4505</f>
        <v>0</v>
      </c>
      <c r="AV4505" s="28"/>
      <c r="AW4505" s="28" t="n">
        <f aca="false">AV4505*$M4505</f>
        <v>0</v>
      </c>
      <c r="AX4505" s="28"/>
      <c r="AY4505" s="28" t="n">
        <f aca="false">AX4505*$M4505</f>
        <v>0</v>
      </c>
      <c r="AZ4505" s="30" t="n">
        <f aca="false">15106/100</f>
        <v>151.06</v>
      </c>
      <c r="BA4505" s="11" t="n">
        <v>10574</v>
      </c>
      <c r="BB4505" s="31" t="n">
        <f aca="false">SUM(Q4505,S4505,U4505,W4505,Y4505,AA4505,AC4505,AE4505,AG4505,AI4505,AK4505,AM4505,AO4505,AQ4505,AS4505,AU4505,AW4505,AY4505)</f>
        <v>10574</v>
      </c>
      <c r="BC4505" s="28" t="n">
        <f aca="false">BA4505-BB4505</f>
        <v>0</v>
      </c>
      <c r="BD4505" s="32" t="n">
        <f aca="false">SUM(P4505,R4505,T4505,V4505,X4505,Z4505,AB4505,AD4505,AF4505,AH4505,AJ4505,AL4505,AN4505,AP4505,AR4505,AT4505,AV4505,AX4505)</f>
        <v>151.06</v>
      </c>
      <c r="BE4505" s="33" t="n">
        <f aca="false">AZ4505-BD4505</f>
        <v>0</v>
      </c>
      <c r="BF4505" s="34" t="n">
        <f aca="false">BD4505*M4505</f>
        <v>10574.2</v>
      </c>
      <c r="BG4505" s="35" t="n">
        <f aca="false">BA4505-BF4505</f>
        <v>-0.200000000000728</v>
      </c>
      <c r="BH4505" s="19" t="str">
        <f aca="false">IF(BG4505=0,"",IF(BG4505&lt;&gt;BA4505,"erreur de calcul",IF(BD4505&lt;&gt;0,"pas de prix",IF(M4505&lt;&gt; 0,"pas de quantité","pas de prix, ni de quantité"))))</f>
        <v>erreur de calcul</v>
      </c>
      <c r="BI4505" s="19"/>
    </row>
    <row r="4506" customFormat="false" ht="15" hidden="false" customHeight="false" outlineLevel="0" collapsed="false">
      <c r="A4506" s="0" t="n">
        <v>4</v>
      </c>
      <c r="B4506" s="8" t="s">
        <v>24</v>
      </c>
      <c r="C4506" s="9" t="s">
        <v>25</v>
      </c>
      <c r="D4506" s="9" t="s">
        <v>26</v>
      </c>
      <c r="E4506" s="10" t="n">
        <v>1789</v>
      </c>
      <c r="F4506" s="9" t="s">
        <v>27</v>
      </c>
      <c r="G4506" s="9" t="s">
        <v>27</v>
      </c>
      <c r="H4506" s="11" t="n">
        <v>26</v>
      </c>
      <c r="I4506" s="11" t="s">
        <v>375</v>
      </c>
      <c r="J4506" s="14" t="n">
        <v>245</v>
      </c>
      <c r="K4506" s="14"/>
      <c r="L4506" s="16"/>
      <c r="M4506" s="27" t="n">
        <f aca="false">J4506+(K4506/20)+(L4506/240)</f>
        <v>245</v>
      </c>
      <c r="N4506" s="17" t="s">
        <v>64</v>
      </c>
      <c r="O4506" s="11"/>
      <c r="P4506" s="28"/>
      <c r="Q4506" s="28" t="n">
        <f aca="false">P4506*$M4506</f>
        <v>0</v>
      </c>
      <c r="R4506" s="28"/>
      <c r="S4506" s="28" t="n">
        <f aca="false">R4506*$M4506</f>
        <v>0</v>
      </c>
      <c r="T4506" s="28"/>
      <c r="U4506" s="28" t="n">
        <f aca="false">T4506*$M4506</f>
        <v>0</v>
      </c>
      <c r="V4506" s="28"/>
      <c r="W4506" s="28" t="n">
        <f aca="false">V4506*$M4506</f>
        <v>0</v>
      </c>
      <c r="X4506" s="28"/>
      <c r="Y4506" s="28" t="n">
        <f aca="false">X4506*$M4506</f>
        <v>0</v>
      </c>
      <c r="Z4506" s="28"/>
      <c r="AA4506" s="28" t="n">
        <f aca="false">Z4506*$M4506</f>
        <v>0</v>
      </c>
      <c r="AB4506" s="28"/>
      <c r="AC4506" s="28" t="n">
        <f aca="false">AB4506*$M4506</f>
        <v>0</v>
      </c>
      <c r="AD4506" s="28"/>
      <c r="AE4506" s="28" t="n">
        <f aca="false">AD4506*$M4506</f>
        <v>0</v>
      </c>
      <c r="AF4506" s="28"/>
      <c r="AG4506" s="28" t="n">
        <f aca="false">AF4506*$M4506</f>
        <v>0</v>
      </c>
      <c r="AH4506" s="28" t="n">
        <f aca="false">751/100</f>
        <v>7.51</v>
      </c>
      <c r="AI4506" s="28" t="n">
        <v>1840</v>
      </c>
      <c r="AJ4506" s="28"/>
      <c r="AK4506" s="28" t="n">
        <f aca="false">AJ4506*$M4506</f>
        <v>0</v>
      </c>
      <c r="AL4506" s="28"/>
      <c r="AM4506" s="28" t="n">
        <f aca="false">AL4506*$M4506</f>
        <v>0</v>
      </c>
      <c r="AN4506" s="28"/>
      <c r="AO4506" s="28" t="n">
        <f aca="false">AN4506*$M4506</f>
        <v>0</v>
      </c>
      <c r="AP4506" s="28"/>
      <c r="AQ4506" s="28" t="n">
        <f aca="false">AP4506*$M4506</f>
        <v>0</v>
      </c>
      <c r="AR4506" s="28"/>
      <c r="AS4506" s="28" t="n">
        <f aca="false">AR4506*$M4506</f>
        <v>0</v>
      </c>
      <c r="AT4506" s="28"/>
      <c r="AU4506" s="28" t="n">
        <f aca="false">AT4506*$M4506</f>
        <v>0</v>
      </c>
      <c r="AV4506" s="28"/>
      <c r="AW4506" s="28" t="n">
        <f aca="false">AV4506*$M4506</f>
        <v>0</v>
      </c>
      <c r="AX4506" s="28"/>
      <c r="AY4506" s="28" t="n">
        <f aca="false">AX4506*$M4506</f>
        <v>0</v>
      </c>
      <c r="AZ4506" s="30" t="n">
        <f aca="false">751/100</f>
        <v>7.51</v>
      </c>
      <c r="BA4506" s="11" t="n">
        <v>1840</v>
      </c>
      <c r="BB4506" s="31" t="n">
        <f aca="false">SUM(Q4506,S4506,U4506,W4506,Y4506,AA4506,AC4506,AE4506,AG4506,AI4506,AK4506,AM4506,AO4506,AQ4506,AS4506,AU4506,AW4506,AY4506)</f>
        <v>1840</v>
      </c>
      <c r="BC4506" s="28" t="n">
        <f aca="false">BA4506-BB4506</f>
        <v>0</v>
      </c>
      <c r="BD4506" s="32" t="n">
        <f aca="false">SUM(P4506,R4506,T4506,V4506,X4506,Z4506,AB4506,AD4506,AF4506,AH4506,AJ4506,AL4506,AN4506,AP4506,AR4506,AT4506,AV4506,AX4506)</f>
        <v>7.51</v>
      </c>
      <c r="BE4506" s="33" t="n">
        <f aca="false">AZ4506-BD4506</f>
        <v>0</v>
      </c>
      <c r="BF4506" s="34" t="n">
        <f aca="false">BD4506*M4506</f>
        <v>1839.95</v>
      </c>
      <c r="BG4506" s="35" t="n">
        <f aca="false">BA4506-BF4506</f>
        <v>0.0499999999999545</v>
      </c>
      <c r="BH4506" s="19" t="str">
        <f aca="false">IF(BG4506=0,"",IF(BG4506&lt;&gt;BA4506,"erreur de calcul",IF(BD4506&lt;&gt;0,"pas de prix",IF(M4506&lt;&gt; 0,"pas de quantité","pas de prix, ni de quantité"))))</f>
        <v>erreur de calcul</v>
      </c>
      <c r="BI4506" s="19"/>
    </row>
    <row r="4507" customFormat="false" ht="15" hidden="false" customHeight="false" outlineLevel="0" collapsed="false">
      <c r="A4507" s="0" t="n">
        <v>5</v>
      </c>
      <c r="B4507" s="8" t="s">
        <v>24</v>
      </c>
      <c r="C4507" s="9" t="s">
        <v>25</v>
      </c>
      <c r="D4507" s="9" t="s">
        <v>26</v>
      </c>
      <c r="E4507" s="10" t="n">
        <v>1789</v>
      </c>
      <c r="F4507" s="9" t="s">
        <v>27</v>
      </c>
      <c r="G4507" s="9" t="s">
        <v>27</v>
      </c>
      <c r="H4507" s="11" t="n">
        <v>26</v>
      </c>
      <c r="I4507" s="11" t="s">
        <v>376</v>
      </c>
      <c r="J4507" s="14" t="n">
        <v>550</v>
      </c>
      <c r="K4507" s="14"/>
      <c r="L4507" s="16"/>
      <c r="M4507" s="27" t="n">
        <f aca="false">J4507+(K4507/20)+(L4507/240)</f>
        <v>550</v>
      </c>
      <c r="N4507" s="17" t="s">
        <v>64</v>
      </c>
      <c r="O4507" s="11"/>
      <c r="P4507" s="28"/>
      <c r="Q4507" s="28" t="n">
        <f aca="false">P4507*$M4507</f>
        <v>0</v>
      </c>
      <c r="R4507" s="28"/>
      <c r="S4507" s="28" t="n">
        <f aca="false">R4507*$M4507</f>
        <v>0</v>
      </c>
      <c r="T4507" s="28"/>
      <c r="U4507" s="28" t="n">
        <f aca="false">T4507*$M4507</f>
        <v>0</v>
      </c>
      <c r="V4507" s="28"/>
      <c r="W4507" s="28" t="n">
        <f aca="false">V4507*$M4507</f>
        <v>0</v>
      </c>
      <c r="X4507" s="28"/>
      <c r="Y4507" s="28" t="n">
        <f aca="false">X4507*$M4507</f>
        <v>0</v>
      </c>
      <c r="Z4507" s="28"/>
      <c r="AA4507" s="28" t="n">
        <f aca="false">Z4507*$M4507</f>
        <v>0</v>
      </c>
      <c r="AB4507" s="28"/>
      <c r="AC4507" s="28" t="n">
        <f aca="false">AB4507*$M4507</f>
        <v>0</v>
      </c>
      <c r="AD4507" s="28"/>
      <c r="AE4507" s="28" t="n">
        <f aca="false">AD4507*$M4507</f>
        <v>0</v>
      </c>
      <c r="AF4507" s="28"/>
      <c r="AG4507" s="28" t="n">
        <f aca="false">AF4507*$M4507</f>
        <v>0</v>
      </c>
      <c r="AH4507" s="28" t="n">
        <f aca="false">215551/100</f>
        <v>2155.51</v>
      </c>
      <c r="AI4507" s="28" t="n">
        <v>1185530</v>
      </c>
      <c r="AJ4507" s="28"/>
      <c r="AK4507" s="28" t="n">
        <f aca="false">AJ4507*$M4507</f>
        <v>0</v>
      </c>
      <c r="AL4507" s="28"/>
      <c r="AM4507" s="28" t="n">
        <f aca="false">AL4507*$M4507</f>
        <v>0</v>
      </c>
      <c r="AN4507" s="28"/>
      <c r="AO4507" s="28" t="n">
        <f aca="false">AN4507*$M4507</f>
        <v>0</v>
      </c>
      <c r="AP4507" s="28"/>
      <c r="AQ4507" s="28" t="n">
        <f aca="false">AP4507*$M4507</f>
        <v>0</v>
      </c>
      <c r="AR4507" s="28"/>
      <c r="AS4507" s="28" t="n">
        <f aca="false">AR4507*$M4507</f>
        <v>0</v>
      </c>
      <c r="AT4507" s="28"/>
      <c r="AU4507" s="28" t="n">
        <f aca="false">AT4507*$M4507</f>
        <v>0</v>
      </c>
      <c r="AV4507" s="28"/>
      <c r="AW4507" s="28" t="n">
        <f aca="false">AV4507*$M4507</f>
        <v>0</v>
      </c>
      <c r="AX4507" s="28"/>
      <c r="AY4507" s="28" t="n">
        <f aca="false">AX4507*$M4507</f>
        <v>0</v>
      </c>
      <c r="AZ4507" s="30" t="n">
        <f aca="false">215551/100</f>
        <v>2155.51</v>
      </c>
      <c r="BA4507" s="11" t="n">
        <v>1185530</v>
      </c>
      <c r="BB4507" s="31" t="n">
        <f aca="false">SUM(Q4507,S4507,U4507,W4507,Y4507,AA4507,AC4507,AE4507,AG4507,AI4507,AK4507,AM4507,AO4507,AQ4507,AS4507,AU4507,AW4507,AY4507)</f>
        <v>1185530</v>
      </c>
      <c r="BC4507" s="28" t="n">
        <f aca="false">BA4507-BB4507</f>
        <v>0</v>
      </c>
      <c r="BD4507" s="32" t="n">
        <f aca="false">SUM(P4507,R4507,T4507,V4507,X4507,Z4507,AB4507,AD4507,AF4507,AH4507,AJ4507,AL4507,AN4507,AP4507,AR4507,AT4507,AV4507,AX4507)</f>
        <v>2155.51</v>
      </c>
      <c r="BE4507" s="33" t="n">
        <f aca="false">AZ4507-BD4507</f>
        <v>0</v>
      </c>
      <c r="BF4507" s="34" t="n">
        <f aca="false">BD4507*M4507</f>
        <v>1185530.5</v>
      </c>
      <c r="BG4507" s="35" t="n">
        <f aca="false">BA4507-BF4507</f>
        <v>-0.500000000232831</v>
      </c>
      <c r="BH4507" s="19" t="str">
        <f aca="false">IF(BG4507=0,"",IF(BG4507&lt;&gt;BA4507,"erreur de calcul",IF(BD4507&lt;&gt;0,"pas de prix",IF(M4507&lt;&gt; 0,"pas de quantité","pas de prix, ni de quantité"))))</f>
        <v>erreur de calcul</v>
      </c>
      <c r="BI4507" s="19"/>
    </row>
    <row r="4508" customFormat="false" ht="15" hidden="false" customHeight="false" outlineLevel="0" collapsed="false">
      <c r="A4508" s="0" t="n">
        <v>6</v>
      </c>
      <c r="B4508" s="8" t="s">
        <v>24</v>
      </c>
      <c r="C4508" s="9" t="s">
        <v>25</v>
      </c>
      <c r="D4508" s="9" t="s">
        <v>26</v>
      </c>
      <c r="E4508" s="10" t="n">
        <v>1789</v>
      </c>
      <c r="F4508" s="9" t="s">
        <v>27</v>
      </c>
      <c r="G4508" s="9" t="s">
        <v>27</v>
      </c>
      <c r="H4508" s="11" t="n">
        <v>26</v>
      </c>
      <c r="I4508" s="11" t="s">
        <v>377</v>
      </c>
      <c r="J4508" s="14"/>
      <c r="K4508" s="14"/>
      <c r="L4508" s="16"/>
      <c r="M4508" s="27" t="n">
        <f aca="false">J4508+(K4508/20)+(L4508/240)</f>
        <v>0</v>
      </c>
      <c r="N4508" s="17"/>
      <c r="O4508" s="11"/>
      <c r="P4508" s="28"/>
      <c r="Q4508" s="28" t="n">
        <f aca="false">P4508*$M4508</f>
        <v>0</v>
      </c>
      <c r="R4508" s="28"/>
      <c r="S4508" s="28" t="n">
        <f aca="false">R4508*$M4508</f>
        <v>0</v>
      </c>
      <c r="T4508" s="28"/>
      <c r="U4508" s="28" t="n">
        <v>517</v>
      </c>
      <c r="V4508" s="28"/>
      <c r="W4508" s="28" t="n">
        <v>1243</v>
      </c>
      <c r="X4508" s="28"/>
      <c r="Y4508" s="28" t="n">
        <f aca="false">X4508*$M4508</f>
        <v>0</v>
      </c>
      <c r="Z4508" s="28"/>
      <c r="AA4508" s="28" t="n">
        <f aca="false">Z4508*$M4508</f>
        <v>0</v>
      </c>
      <c r="AB4508" s="28"/>
      <c r="AC4508" s="28" t="n">
        <v>694</v>
      </c>
      <c r="AD4508" s="28"/>
      <c r="AE4508" s="28" t="n">
        <f aca="false">AD4508*$M4508</f>
        <v>0</v>
      </c>
      <c r="AF4508" s="28"/>
      <c r="AG4508" s="28" t="n">
        <f aca="false">AF4508*$M4508</f>
        <v>0</v>
      </c>
      <c r="AH4508" s="28"/>
      <c r="AI4508" s="28" t="n">
        <f aca="false">AH4508*$M4508</f>
        <v>0</v>
      </c>
      <c r="AJ4508" s="28"/>
      <c r="AK4508" s="28" t="n">
        <v>664</v>
      </c>
      <c r="AL4508" s="28"/>
      <c r="AM4508" s="28" t="n">
        <v>161</v>
      </c>
      <c r="AN4508" s="28"/>
      <c r="AO4508" s="28" t="n">
        <f aca="false">AN4508*$M4508</f>
        <v>0</v>
      </c>
      <c r="AP4508" s="28"/>
      <c r="AQ4508" s="28" t="n">
        <f aca="false">AP4508*$M4508</f>
        <v>0</v>
      </c>
      <c r="AR4508" s="28"/>
      <c r="AS4508" s="28" t="n">
        <f aca="false">AR4508*$M4508</f>
        <v>0</v>
      </c>
      <c r="AT4508" s="28"/>
      <c r="AU4508" s="28" t="n">
        <f aca="false">AT4508*$M4508</f>
        <v>0</v>
      </c>
      <c r="AV4508" s="28"/>
      <c r="AW4508" s="28" t="n">
        <f aca="false">AV4508*$M4508</f>
        <v>0</v>
      </c>
      <c r="AX4508" s="28"/>
      <c r="AY4508" s="28" t="n">
        <f aca="false">AX4508*$M4508</f>
        <v>0</v>
      </c>
      <c r="AZ4508" s="30"/>
      <c r="BA4508" s="11" t="n">
        <v>3279</v>
      </c>
      <c r="BB4508" s="31" t="n">
        <f aca="false">SUM(Q4508,S4508,U4508,W4508,Y4508,AA4508,AC4508,AE4508,AG4508,AI4508,AK4508,AM4508,AO4508,AQ4508,AS4508,AU4508,AW4508,AY4508)</f>
        <v>3279</v>
      </c>
      <c r="BC4508" s="28" t="n">
        <f aca="false">BA4508-BB4508</f>
        <v>0</v>
      </c>
      <c r="BD4508" s="32" t="n">
        <f aca="false">SUM(P4508,R4508,T4508,V4508,X4508,Z4508,AB4508,AD4508,AF4508,AH4508,AJ4508,AL4508,AN4508,AP4508,AR4508,AT4508,AV4508,AX4508)</f>
        <v>0</v>
      </c>
      <c r="BE4508" s="33" t="n">
        <f aca="false">AZ4508-BD4508</f>
        <v>0</v>
      </c>
      <c r="BF4508" s="34" t="n">
        <f aca="false">BD4508*M4508</f>
        <v>0</v>
      </c>
      <c r="BG4508" s="35" t="n">
        <f aca="false">BA4508-BF4508</f>
        <v>3279</v>
      </c>
      <c r="BH4508" s="19" t="str">
        <f aca="false">IF(BG4508=0,"",IF(BG4508&lt;&gt;BA4508,"erreur de calcul",IF(BD4508&lt;&gt;0,"pas de prix",IF(M4508&lt;&gt; 0,"pas de quantité","pas de prix, ni de quantité"))))</f>
        <v>pas de prix, ni de quantité</v>
      </c>
      <c r="BI4508" s="19"/>
    </row>
    <row r="4509" customFormat="false" ht="15" hidden="false" customHeight="false" outlineLevel="0" collapsed="false">
      <c r="A4509" s="0" t="n">
        <v>7</v>
      </c>
      <c r="B4509" s="8" t="s">
        <v>24</v>
      </c>
      <c r="C4509" s="9" t="s">
        <v>25</v>
      </c>
      <c r="D4509" s="9" t="s">
        <v>26</v>
      </c>
      <c r="E4509" s="10" t="n">
        <v>1789</v>
      </c>
      <c r="F4509" s="9" t="s">
        <v>27</v>
      </c>
      <c r="G4509" s="9" t="s">
        <v>27</v>
      </c>
      <c r="H4509" s="11" t="n">
        <v>26</v>
      </c>
      <c r="I4509" s="11" t="s">
        <v>378</v>
      </c>
      <c r="J4509" s="14" t="n">
        <v>27</v>
      </c>
      <c r="K4509" s="14"/>
      <c r="L4509" s="16"/>
      <c r="M4509" s="27" t="n">
        <f aca="false">J4509+(K4509/20)+(L4509/240)</f>
        <v>27</v>
      </c>
      <c r="N4509" s="17" t="s">
        <v>379</v>
      </c>
      <c r="O4509" s="11" t="s">
        <v>98</v>
      </c>
      <c r="P4509" s="28"/>
      <c r="Q4509" s="28" t="n">
        <f aca="false">P4509*$M4509</f>
        <v>0</v>
      </c>
      <c r="R4509" s="28"/>
      <c r="S4509" s="28" t="n">
        <f aca="false">R4509*$M4509</f>
        <v>0</v>
      </c>
      <c r="T4509" s="28"/>
      <c r="U4509" s="28" t="n">
        <f aca="false">T4509*$M4509</f>
        <v>0</v>
      </c>
      <c r="V4509" s="28"/>
      <c r="W4509" s="28" t="n">
        <f aca="false">V4509*$M4509</f>
        <v>0</v>
      </c>
      <c r="X4509" s="28"/>
      <c r="Y4509" s="28" t="n">
        <f aca="false">X4509*$M4509</f>
        <v>0</v>
      </c>
      <c r="Z4509" s="28"/>
      <c r="AA4509" s="28" t="n">
        <f aca="false">Z4509*$M4509</f>
        <v>0</v>
      </c>
      <c r="AB4509" s="28"/>
      <c r="AC4509" s="28" t="n">
        <f aca="false">AB4509*$M4509</f>
        <v>0</v>
      </c>
      <c r="AD4509" s="28"/>
      <c r="AE4509" s="28" t="n">
        <f aca="false">AD4509*$M4509</f>
        <v>0</v>
      </c>
      <c r="AF4509" s="28"/>
      <c r="AG4509" s="28" t="n">
        <f aca="false">AF4509*$M4509</f>
        <v>0</v>
      </c>
      <c r="AH4509" s="28"/>
      <c r="AI4509" s="28" t="n">
        <f aca="false">AH4509*$M4509</f>
        <v>0</v>
      </c>
      <c r="AJ4509" s="28"/>
      <c r="AK4509" s="28" t="n">
        <f aca="false">AJ4509*$M4509</f>
        <v>0</v>
      </c>
      <c r="AL4509" s="28"/>
      <c r="AM4509" s="28" t="n">
        <f aca="false">AL4509*$M4509</f>
        <v>0</v>
      </c>
      <c r="AN4509" s="28"/>
      <c r="AO4509" s="28" t="n">
        <f aca="false">AN4509*$M4509</f>
        <v>0</v>
      </c>
      <c r="AP4509" s="28"/>
      <c r="AQ4509" s="28" t="n">
        <f aca="false">AP4509*$M4509</f>
        <v>0</v>
      </c>
      <c r="AR4509" s="28"/>
      <c r="AS4509" s="28" t="n">
        <f aca="false">AR4509*$M4509</f>
        <v>0</v>
      </c>
      <c r="AT4509" s="28"/>
      <c r="AU4509" s="28" t="n">
        <f aca="false">AT4509*$M4509</f>
        <v>0</v>
      </c>
      <c r="AV4509" s="28"/>
      <c r="AW4509" s="28" t="n">
        <f aca="false">AV4509*$M4509</f>
        <v>0</v>
      </c>
      <c r="AX4509" s="28"/>
      <c r="AY4509" s="28" t="n">
        <f aca="false">AX4509*$M4509</f>
        <v>0</v>
      </c>
      <c r="AZ4509" s="30"/>
      <c r="BA4509" s="11"/>
      <c r="BB4509" s="31" t="n">
        <f aca="false">SUM(Q4509,S4509,U4509,W4509,Y4509,AA4509,AC4509,AE4509,AG4509,AI4509,AK4509,AM4509,AO4509,AQ4509,AS4509,AU4509,AW4509,AY4509)</f>
        <v>0</v>
      </c>
      <c r="BC4509" s="28" t="n">
        <f aca="false">BA4509-BB4509</f>
        <v>0</v>
      </c>
      <c r="BD4509" s="32" t="n">
        <f aca="false">SUM(P4509,R4509,T4509,V4509,X4509,Z4509,AB4509,AD4509,AF4509,AH4509,AJ4509,AL4509,AN4509,AP4509,AR4509,AT4509,AV4509,AX4509)</f>
        <v>0</v>
      </c>
      <c r="BE4509" s="33" t="n">
        <f aca="false">AZ4509-BD4509</f>
        <v>0</v>
      </c>
      <c r="BF4509" s="34" t="n">
        <f aca="false">BD4509*M4509</f>
        <v>0</v>
      </c>
      <c r="BG4509" s="35" t="n">
        <f aca="false">BA4509-BF4509</f>
        <v>0</v>
      </c>
      <c r="BH4509" s="19" t="str">
        <f aca="false">IF(BG4509=0,"",IF(BG4509&lt;&gt;BA4509,"erreur de calcul",IF(BD4509&lt;&gt;0,"pas de prix",IF(M4509&lt;&gt; 0,"pas de quantité","pas de prix, ni de quantité"))))</f>
        <v/>
      </c>
      <c r="BI4509" s="19"/>
    </row>
    <row r="4510" customFormat="false" ht="15" hidden="false" customHeight="false" outlineLevel="0" collapsed="false">
      <c r="A4510" s="0" t="n">
        <v>8</v>
      </c>
      <c r="B4510" s="8" t="s">
        <v>24</v>
      </c>
      <c r="C4510" s="9" t="s">
        <v>25</v>
      </c>
      <c r="D4510" s="9" t="s">
        <v>26</v>
      </c>
      <c r="E4510" s="10" t="n">
        <v>1789</v>
      </c>
      <c r="F4510" s="9" t="s">
        <v>27</v>
      </c>
      <c r="G4510" s="9" t="s">
        <v>27</v>
      </c>
      <c r="H4510" s="11" t="n">
        <v>26</v>
      </c>
      <c r="I4510" s="11" t="s">
        <v>380</v>
      </c>
      <c r="J4510" s="14" t="n">
        <v>30</v>
      </c>
      <c r="K4510" s="14"/>
      <c r="L4510" s="16"/>
      <c r="M4510" s="27" t="n">
        <f aca="false">J4510+(K4510/20)+(L4510/240)</f>
        <v>30</v>
      </c>
      <c r="N4510" s="17" t="s">
        <v>64</v>
      </c>
      <c r="O4510" s="11"/>
      <c r="P4510" s="28"/>
      <c r="Q4510" s="28" t="n">
        <f aca="false">P4510*$M4510</f>
        <v>0</v>
      </c>
      <c r="R4510" s="28"/>
      <c r="S4510" s="28" t="n">
        <f aca="false">R4510*$M4510</f>
        <v>0</v>
      </c>
      <c r="T4510" s="28"/>
      <c r="U4510" s="28" t="n">
        <f aca="false">T4510*$M4510</f>
        <v>0</v>
      </c>
      <c r="V4510" s="28"/>
      <c r="W4510" s="28" t="n">
        <f aca="false">V4510*$M4510</f>
        <v>0</v>
      </c>
      <c r="X4510" s="28"/>
      <c r="Y4510" s="28" t="n">
        <f aca="false">X4510*$M4510</f>
        <v>0</v>
      </c>
      <c r="Z4510" s="28"/>
      <c r="AA4510" s="28" t="n">
        <f aca="false">Z4510*$M4510</f>
        <v>0</v>
      </c>
      <c r="AB4510" s="28"/>
      <c r="AC4510" s="28" t="n">
        <f aca="false">AB4510*$M4510</f>
        <v>0</v>
      </c>
      <c r="AD4510" s="28"/>
      <c r="AE4510" s="28" t="n">
        <f aca="false">AD4510*$M4510</f>
        <v>0</v>
      </c>
      <c r="AF4510" s="28"/>
      <c r="AG4510" s="28" t="n">
        <f aca="false">AF4510*$M4510</f>
        <v>0</v>
      </c>
      <c r="AH4510" s="28"/>
      <c r="AI4510" s="28" t="n">
        <f aca="false">AH4510*$M4510</f>
        <v>0</v>
      </c>
      <c r="AJ4510" s="28"/>
      <c r="AK4510" s="28" t="n">
        <f aca="false">AJ4510*$M4510</f>
        <v>0</v>
      </c>
      <c r="AL4510" s="28"/>
      <c r="AM4510" s="28" t="n">
        <f aca="false">AL4510*$M4510</f>
        <v>0</v>
      </c>
      <c r="AN4510" s="28"/>
      <c r="AO4510" s="28" t="n">
        <f aca="false">AN4510*$M4510</f>
        <v>0</v>
      </c>
      <c r="AP4510" s="28"/>
      <c r="AQ4510" s="28" t="n">
        <f aca="false">AP4510*$M4510</f>
        <v>0</v>
      </c>
      <c r="AR4510" s="28"/>
      <c r="AS4510" s="28" t="n">
        <f aca="false">AR4510*$M4510</f>
        <v>0</v>
      </c>
      <c r="AT4510" s="28"/>
      <c r="AU4510" s="28" t="n">
        <f aca="false">AT4510*$M4510</f>
        <v>0</v>
      </c>
      <c r="AV4510" s="28" t="n">
        <f aca="false">5417/100</f>
        <v>54.17</v>
      </c>
      <c r="AW4510" s="28" t="n">
        <v>1625</v>
      </c>
      <c r="AX4510" s="28"/>
      <c r="AY4510" s="28" t="n">
        <f aca="false">AX4510*$M4510</f>
        <v>0</v>
      </c>
      <c r="AZ4510" s="30"/>
      <c r="BA4510" s="11" t="n">
        <v>1625</v>
      </c>
      <c r="BB4510" s="31" t="n">
        <f aca="false">SUM(Q4510,S4510,U4510,W4510,Y4510,AA4510,AC4510,AE4510,AG4510,AI4510,AK4510,AM4510,AO4510,AQ4510,AS4510,AU4510,AW4510,AY4510)</f>
        <v>1625</v>
      </c>
      <c r="BC4510" s="28" t="n">
        <f aca="false">BA4510-BB4510</f>
        <v>0</v>
      </c>
      <c r="BD4510" s="32" t="n">
        <f aca="false">SUM(P4510,R4510,T4510,V4510,X4510,Z4510,AB4510,AD4510,AF4510,AH4510,AJ4510,AL4510,AN4510,AP4510,AR4510,AT4510,AV4510,AX4510)</f>
        <v>54.17</v>
      </c>
      <c r="BE4510" s="33" t="n">
        <f aca="false">AZ4510-BD4510</f>
        <v>-54.17</v>
      </c>
      <c r="BF4510" s="34" t="n">
        <f aca="false">BD4510*M4510</f>
        <v>1625.1</v>
      </c>
      <c r="BG4510" s="35" t="n">
        <f aca="false">BA4510-BF4510</f>
        <v>-0.100000000000136</v>
      </c>
      <c r="BH4510" s="19" t="str">
        <f aca="false">IF(BG4510=0,"",IF(BG4510&lt;&gt;BA4510,"erreur de calcul",IF(BD4510&lt;&gt;0,"pas de prix",IF(M4510&lt;&gt; 0,"pas de quantité","pas de prix, ni de quantité"))))</f>
        <v>erreur de calcul</v>
      </c>
      <c r="BI4510" s="19"/>
    </row>
    <row r="4511" customFormat="false" ht="15" hidden="false" customHeight="false" outlineLevel="0" collapsed="false">
      <c r="A4511" s="0" t="n">
        <v>9</v>
      </c>
      <c r="B4511" s="8" t="s">
        <v>24</v>
      </c>
      <c r="C4511" s="9" t="s">
        <v>25</v>
      </c>
      <c r="D4511" s="9" t="s">
        <v>26</v>
      </c>
      <c r="E4511" s="10" t="n">
        <v>1789</v>
      </c>
      <c r="F4511" s="9" t="s">
        <v>27</v>
      </c>
      <c r="G4511" s="9" t="s">
        <v>27</v>
      </c>
      <c r="H4511" s="11" t="n">
        <v>26</v>
      </c>
      <c r="I4511" s="11" t="s">
        <v>381</v>
      </c>
      <c r="J4511" s="14" t="n">
        <v>6</v>
      </c>
      <c r="K4511" s="14"/>
      <c r="L4511" s="16"/>
      <c r="M4511" s="27" t="n">
        <f aca="false">J4511+(K4511/20)+(L4511/240)</f>
        <v>6</v>
      </c>
      <c r="N4511" s="17" t="s">
        <v>379</v>
      </c>
      <c r="O4511" s="11" t="s">
        <v>98</v>
      </c>
      <c r="P4511" s="28"/>
      <c r="Q4511" s="28" t="n">
        <f aca="false">P4511*$M4511</f>
        <v>0</v>
      </c>
      <c r="R4511" s="28"/>
      <c r="S4511" s="28" t="n">
        <f aca="false">R4511*$M4511</f>
        <v>0</v>
      </c>
      <c r="T4511" s="28"/>
      <c r="U4511" s="28" t="n">
        <f aca="false">T4511*$M4511</f>
        <v>0</v>
      </c>
      <c r="V4511" s="28"/>
      <c r="W4511" s="28" t="n">
        <f aca="false">V4511*$M4511</f>
        <v>0</v>
      </c>
      <c r="X4511" s="28"/>
      <c r="Y4511" s="28" t="n">
        <f aca="false">X4511*$M4511</f>
        <v>0</v>
      </c>
      <c r="Z4511" s="28"/>
      <c r="AA4511" s="28" t="n">
        <f aca="false">Z4511*$M4511</f>
        <v>0</v>
      </c>
      <c r="AB4511" s="28"/>
      <c r="AC4511" s="28" t="n">
        <f aca="false">AB4511*$M4511</f>
        <v>0</v>
      </c>
      <c r="AD4511" s="28"/>
      <c r="AE4511" s="28" t="n">
        <f aca="false">AD4511*$M4511</f>
        <v>0</v>
      </c>
      <c r="AF4511" s="28"/>
      <c r="AG4511" s="28" t="n">
        <f aca="false">AF4511*$M4511</f>
        <v>0</v>
      </c>
      <c r="AH4511" s="28"/>
      <c r="AI4511" s="28" t="n">
        <f aca="false">AH4511*$M4511</f>
        <v>0</v>
      </c>
      <c r="AJ4511" s="28"/>
      <c r="AK4511" s="28" t="n">
        <f aca="false">AJ4511*$M4511</f>
        <v>0</v>
      </c>
      <c r="AL4511" s="28"/>
      <c r="AM4511" s="28" t="n">
        <f aca="false">AL4511*$M4511</f>
        <v>0</v>
      </c>
      <c r="AN4511" s="28"/>
      <c r="AO4511" s="28" t="n">
        <f aca="false">AN4511*$M4511</f>
        <v>0</v>
      </c>
      <c r="AP4511" s="28"/>
      <c r="AQ4511" s="28" t="n">
        <f aca="false">AP4511*$M4511</f>
        <v>0</v>
      </c>
      <c r="AR4511" s="28"/>
      <c r="AS4511" s="28" t="n">
        <f aca="false">AR4511*$M4511</f>
        <v>0</v>
      </c>
      <c r="AT4511" s="28"/>
      <c r="AU4511" s="28" t="n">
        <f aca="false">AT4511*$M4511</f>
        <v>0</v>
      </c>
      <c r="AV4511" s="28"/>
      <c r="AW4511" s="28" t="n">
        <f aca="false">AV4511*$M4511</f>
        <v>0</v>
      </c>
      <c r="AX4511" s="28"/>
      <c r="AY4511" s="28" t="n">
        <f aca="false">AX4511*$M4511</f>
        <v>0</v>
      </c>
      <c r="AZ4511" s="30"/>
      <c r="BA4511" s="11"/>
      <c r="BB4511" s="31" t="n">
        <f aca="false">SUM(Q4511,S4511,U4511,W4511,Y4511,AA4511,AC4511,AE4511,AG4511,AI4511,AK4511,AM4511,AO4511,AQ4511,AS4511,AU4511,AW4511,AY4511)</f>
        <v>0</v>
      </c>
      <c r="BC4511" s="28" t="n">
        <f aca="false">BA4511-BB4511</f>
        <v>0</v>
      </c>
      <c r="BD4511" s="32" t="n">
        <f aca="false">SUM(P4511,R4511,T4511,V4511,X4511,Z4511,AB4511,AD4511,AF4511,AH4511,AJ4511,AL4511,AN4511,AP4511,AR4511,AT4511,AV4511,AX4511)</f>
        <v>0</v>
      </c>
      <c r="BE4511" s="33" t="n">
        <f aca="false">AZ4511-BD4511</f>
        <v>0</v>
      </c>
      <c r="BF4511" s="34" t="n">
        <f aca="false">BD4511*M4511</f>
        <v>0</v>
      </c>
      <c r="BG4511" s="35" t="n">
        <f aca="false">BA4511-BF4511</f>
        <v>0</v>
      </c>
      <c r="BH4511" s="19" t="str">
        <f aca="false">IF(BG4511=0,"",IF(BG4511&lt;&gt;BA4511,"erreur de calcul",IF(BD4511&lt;&gt;0,"pas de prix",IF(M4511&lt;&gt; 0,"pas de quantité","pas de prix, ni de quantité"))))</f>
        <v/>
      </c>
      <c r="BI4511" s="19"/>
    </row>
    <row r="4512" customFormat="false" ht="15" hidden="false" customHeight="false" outlineLevel="0" collapsed="false">
      <c r="A4512" s="0" t="n">
        <v>10</v>
      </c>
      <c r="B4512" s="8" t="s">
        <v>24</v>
      </c>
      <c r="C4512" s="9" t="s">
        <v>25</v>
      </c>
      <c r="D4512" s="9" t="s">
        <v>26</v>
      </c>
      <c r="E4512" s="10" t="n">
        <v>1789</v>
      </c>
      <c r="F4512" s="9" t="s">
        <v>27</v>
      </c>
      <c r="G4512" s="9" t="s">
        <v>27</v>
      </c>
      <c r="H4512" s="11" t="n">
        <v>26</v>
      </c>
      <c r="I4512" s="11" t="s">
        <v>381</v>
      </c>
      <c r="J4512" s="14" t="n">
        <v>40</v>
      </c>
      <c r="K4512" s="14"/>
      <c r="L4512" s="16"/>
      <c r="M4512" s="27" t="n">
        <f aca="false">J4512+(K4512/20)+(L4512/240)</f>
        <v>40</v>
      </c>
      <c r="N4512" s="17" t="s">
        <v>382</v>
      </c>
      <c r="O4512" s="11" t="s">
        <v>98</v>
      </c>
      <c r="P4512" s="28"/>
      <c r="Q4512" s="28" t="n">
        <f aca="false">P4512*$M4512</f>
        <v>0</v>
      </c>
      <c r="R4512" s="28"/>
      <c r="S4512" s="28" t="n">
        <f aca="false">R4512*$M4512</f>
        <v>0</v>
      </c>
      <c r="T4512" s="28"/>
      <c r="U4512" s="28" t="n">
        <f aca="false">T4512*$M4512</f>
        <v>0</v>
      </c>
      <c r="V4512" s="28"/>
      <c r="W4512" s="28" t="n">
        <f aca="false">V4512*$M4512</f>
        <v>0</v>
      </c>
      <c r="X4512" s="28"/>
      <c r="Y4512" s="28" t="n">
        <f aca="false">X4512*$M4512</f>
        <v>0</v>
      </c>
      <c r="Z4512" s="28"/>
      <c r="AA4512" s="28" t="n">
        <f aca="false">Z4512*$M4512</f>
        <v>0</v>
      </c>
      <c r="AB4512" s="28"/>
      <c r="AC4512" s="28" t="n">
        <f aca="false">AB4512*$M4512</f>
        <v>0</v>
      </c>
      <c r="AD4512" s="28"/>
      <c r="AE4512" s="28" t="n">
        <f aca="false">AD4512*$M4512</f>
        <v>0</v>
      </c>
      <c r="AF4512" s="28"/>
      <c r="AG4512" s="28" t="n">
        <f aca="false">AF4512*$M4512</f>
        <v>0</v>
      </c>
      <c r="AH4512" s="28"/>
      <c r="AI4512" s="28" t="n">
        <f aca="false">AH4512*$M4512</f>
        <v>0</v>
      </c>
      <c r="AJ4512" s="28"/>
      <c r="AK4512" s="28" t="n">
        <f aca="false">AJ4512*$M4512</f>
        <v>0</v>
      </c>
      <c r="AL4512" s="28"/>
      <c r="AM4512" s="28" t="n">
        <f aca="false">AL4512*$M4512</f>
        <v>0</v>
      </c>
      <c r="AN4512" s="28"/>
      <c r="AO4512" s="28" t="n">
        <f aca="false">AN4512*$M4512</f>
        <v>0</v>
      </c>
      <c r="AP4512" s="28"/>
      <c r="AQ4512" s="28" t="n">
        <f aca="false">AP4512*$M4512</f>
        <v>0</v>
      </c>
      <c r="AR4512" s="28"/>
      <c r="AS4512" s="28" t="n">
        <f aca="false">AR4512*$M4512</f>
        <v>0</v>
      </c>
      <c r="AT4512" s="28"/>
      <c r="AU4512" s="28" t="n">
        <f aca="false">AT4512*$M4512</f>
        <v>0</v>
      </c>
      <c r="AV4512" s="28"/>
      <c r="AW4512" s="28" t="n">
        <f aca="false">AV4512*$M4512</f>
        <v>0</v>
      </c>
      <c r="AX4512" s="28"/>
      <c r="AY4512" s="28" t="n">
        <f aca="false">AX4512*$M4512</f>
        <v>0</v>
      </c>
      <c r="AZ4512" s="30"/>
      <c r="BA4512" s="11"/>
      <c r="BB4512" s="31" t="n">
        <f aca="false">SUM(Q4512,S4512,U4512,W4512,Y4512,AA4512,AC4512,AE4512,AG4512,AI4512,AK4512,AM4512,AO4512,AQ4512,AS4512,AU4512,AW4512,AY4512)</f>
        <v>0</v>
      </c>
      <c r="BC4512" s="28" t="n">
        <f aca="false">BA4512-BB4512</f>
        <v>0</v>
      </c>
      <c r="BD4512" s="32" t="n">
        <f aca="false">SUM(P4512,R4512,T4512,V4512,X4512,Z4512,AB4512,AD4512,AF4512,AH4512,AJ4512,AL4512,AN4512,AP4512,AR4512,AT4512,AV4512,AX4512)</f>
        <v>0</v>
      </c>
      <c r="BE4512" s="33" t="n">
        <f aca="false">AZ4512-BD4512</f>
        <v>0</v>
      </c>
      <c r="BF4512" s="34" t="n">
        <f aca="false">BD4512*M4512</f>
        <v>0</v>
      </c>
      <c r="BG4512" s="35" t="n">
        <f aca="false">BA4512-BF4512</f>
        <v>0</v>
      </c>
      <c r="BH4512" s="19" t="str">
        <f aca="false">IF(BG4512=0,"",IF(BG4512&lt;&gt;BA4512,"erreur de calcul",IF(BD4512&lt;&gt;0,"pas de prix",IF(M4512&lt;&gt; 0,"pas de quantité","pas de prix, ni de quantité"))))</f>
        <v/>
      </c>
      <c r="BI4512" s="19"/>
    </row>
    <row r="4513" customFormat="false" ht="15" hidden="false" customHeight="false" outlineLevel="0" collapsed="false">
      <c r="A4513" s="0" t="n">
        <v>11</v>
      </c>
      <c r="B4513" s="8" t="s">
        <v>24</v>
      </c>
      <c r="C4513" s="9" t="s">
        <v>25</v>
      </c>
      <c r="D4513" s="9" t="s">
        <v>26</v>
      </c>
      <c r="E4513" s="10" t="n">
        <v>1789</v>
      </c>
      <c r="F4513" s="9" t="s">
        <v>27</v>
      </c>
      <c r="G4513" s="9" t="s">
        <v>27</v>
      </c>
      <c r="H4513" s="11" t="n">
        <v>26</v>
      </c>
      <c r="I4513" s="11" t="s">
        <v>383</v>
      </c>
      <c r="J4513" s="14" t="n">
        <v>50</v>
      </c>
      <c r="K4513" s="14"/>
      <c r="L4513" s="16"/>
      <c r="M4513" s="27" t="n">
        <f aca="false">J4513+(K4513/20)+(L4513/240)</f>
        <v>50</v>
      </c>
      <c r="N4513" s="17" t="s">
        <v>64</v>
      </c>
      <c r="O4513" s="11"/>
      <c r="P4513" s="28" t="n">
        <f aca="false">54967/100</f>
        <v>549.67</v>
      </c>
      <c r="Q4513" s="28" t="n">
        <v>27483</v>
      </c>
      <c r="R4513" s="28"/>
      <c r="S4513" s="28" t="n">
        <f aca="false">R4513*$M4513</f>
        <v>0</v>
      </c>
      <c r="T4513" s="28" t="n">
        <f aca="false">74693/100</f>
        <v>746.93</v>
      </c>
      <c r="U4513" s="28" t="n">
        <v>37346</v>
      </c>
      <c r="V4513" s="28" t="n">
        <f aca="false">161729/100</f>
        <v>1617.29</v>
      </c>
      <c r="W4513" s="28" t="n">
        <v>80864</v>
      </c>
      <c r="X4513" s="28" t="n">
        <f aca="false">106689/100</f>
        <v>1066.89</v>
      </c>
      <c r="Y4513" s="28" t="n">
        <v>53344</v>
      </c>
      <c r="Z4513" s="28"/>
      <c r="AA4513" s="28" t="n">
        <f aca="false">Z4513*$M4513</f>
        <v>0</v>
      </c>
      <c r="AB4513" s="28"/>
      <c r="AC4513" s="28" t="n">
        <f aca="false">AB4513*$M4513</f>
        <v>0</v>
      </c>
      <c r="AD4513" s="28"/>
      <c r="AE4513" s="28" t="n">
        <f aca="false">AD4513*$M4513</f>
        <v>0</v>
      </c>
      <c r="AF4513" s="28"/>
      <c r="AG4513" s="28" t="n">
        <f aca="false">AF4513*$M4513</f>
        <v>0</v>
      </c>
      <c r="AH4513" s="28"/>
      <c r="AI4513" s="28" t="n">
        <f aca="false">AH4513*$M4513</f>
        <v>0</v>
      </c>
      <c r="AJ4513" s="28"/>
      <c r="AK4513" s="28" t="n">
        <f aca="false">AJ4513*$M4513</f>
        <v>0</v>
      </c>
      <c r="AL4513" s="28"/>
      <c r="AM4513" s="28" t="n">
        <f aca="false">AL4513*$M4513</f>
        <v>0</v>
      </c>
      <c r="AN4513" s="28"/>
      <c r="AO4513" s="28" t="n">
        <f aca="false">AN4513*$M4513</f>
        <v>0</v>
      </c>
      <c r="AP4513" s="28"/>
      <c r="AQ4513" s="28" t="n">
        <f aca="false">AP4513*$M4513</f>
        <v>0</v>
      </c>
      <c r="AR4513" s="28"/>
      <c r="AS4513" s="28" t="n">
        <f aca="false">AR4513*$M4513</f>
        <v>0</v>
      </c>
      <c r="AT4513" s="28"/>
      <c r="AU4513" s="28" t="n">
        <f aca="false">AT4513*$M4513</f>
        <v>0</v>
      </c>
      <c r="AV4513" s="28"/>
      <c r="AW4513" s="28" t="n">
        <f aca="false">AV4513*$M4513</f>
        <v>0</v>
      </c>
      <c r="AX4513" s="28"/>
      <c r="AY4513" s="28" t="n">
        <f aca="false">AX4513*$M4513</f>
        <v>0</v>
      </c>
      <c r="AZ4513" s="30" t="n">
        <f aca="false">398078/100</f>
        <v>3980.78</v>
      </c>
      <c r="BA4513" s="11" t="n">
        <v>199037</v>
      </c>
      <c r="BB4513" s="31" t="n">
        <f aca="false">SUM(Q4513,S4513,U4513,W4513,Y4513,AA4513,AC4513,AE4513,AG4513,AI4513,AK4513,AM4513,AO4513,AQ4513,AS4513,AU4513,AW4513,AY4513)</f>
        <v>199037</v>
      </c>
      <c r="BC4513" s="28" t="n">
        <f aca="false">BA4513-BB4513</f>
        <v>0</v>
      </c>
      <c r="BD4513" s="32" t="n">
        <f aca="false">SUM(P4513,R4513,T4513,V4513,X4513,Z4513,AB4513,AD4513,AF4513,AH4513,AJ4513,AL4513,AN4513,AP4513,AR4513,AT4513,AV4513,AX4513)</f>
        <v>3980.78</v>
      </c>
      <c r="BE4513" s="33" t="n">
        <f aca="false">AZ4513-BD4513</f>
        <v>0</v>
      </c>
      <c r="BF4513" s="34" t="n">
        <f aca="false">BD4513*M4513</f>
        <v>199039</v>
      </c>
      <c r="BG4513" s="35" t="n">
        <f aca="false">BA4513-BF4513</f>
        <v>-2</v>
      </c>
      <c r="BH4513" s="19" t="str">
        <f aca="false">IF(BG4513=0,"",IF(BG4513&lt;&gt;BA4513,"erreur de calcul",IF(BD4513&lt;&gt;0,"pas de prix",IF(M4513&lt;&gt; 0,"pas de quantité","pas de prix, ni de quantité"))))</f>
        <v>erreur de calcul</v>
      </c>
      <c r="BI4513" s="19"/>
    </row>
    <row r="4514" customFormat="false" ht="15" hidden="false" customHeight="false" outlineLevel="0" collapsed="false">
      <c r="A4514" s="0" t="n">
        <v>12</v>
      </c>
      <c r="B4514" s="8" t="s">
        <v>24</v>
      </c>
      <c r="C4514" s="9" t="s">
        <v>25</v>
      </c>
      <c r="D4514" s="9" t="s">
        <v>26</v>
      </c>
      <c r="E4514" s="10" t="n">
        <v>1789</v>
      </c>
      <c r="F4514" s="9" t="s">
        <v>27</v>
      </c>
      <c r="G4514" s="9" t="s">
        <v>27</v>
      </c>
      <c r="H4514" s="11" t="n">
        <v>26</v>
      </c>
      <c r="I4514" s="11" t="s">
        <v>384</v>
      </c>
      <c r="J4514" s="14" t="n">
        <v>27</v>
      </c>
      <c r="K4514" s="14"/>
      <c r="L4514" s="16"/>
      <c r="M4514" s="27" t="n">
        <f aca="false">J4514+(K4514/20)+(L4514/240)</f>
        <v>27</v>
      </c>
      <c r="N4514" s="17" t="s">
        <v>64</v>
      </c>
      <c r="O4514" s="11"/>
      <c r="P4514" s="28"/>
      <c r="Q4514" s="28" t="n">
        <f aca="false">P4514*$M4514</f>
        <v>0</v>
      </c>
      <c r="R4514" s="28"/>
      <c r="S4514" s="28" t="n">
        <f aca="false">R4514*$M4514</f>
        <v>0</v>
      </c>
      <c r="T4514" s="28"/>
      <c r="U4514" s="28" t="n">
        <f aca="false">T4514*$M4514</f>
        <v>0</v>
      </c>
      <c r="V4514" s="28"/>
      <c r="W4514" s="28" t="n">
        <f aca="false">V4514*$M4514</f>
        <v>0</v>
      </c>
      <c r="X4514" s="28" t="n">
        <f aca="false">13334/100</f>
        <v>133.34</v>
      </c>
      <c r="Y4514" s="28" t="n">
        <v>3600</v>
      </c>
      <c r="Z4514" s="28"/>
      <c r="AA4514" s="28" t="n">
        <f aca="false">Z4514*$M4514</f>
        <v>0</v>
      </c>
      <c r="AB4514" s="28"/>
      <c r="AC4514" s="28" t="n">
        <f aca="false">AB4514*$M4514</f>
        <v>0</v>
      </c>
      <c r="AD4514" s="28"/>
      <c r="AE4514" s="28" t="n">
        <f aca="false">AD4514*$M4514</f>
        <v>0</v>
      </c>
      <c r="AF4514" s="28"/>
      <c r="AG4514" s="28" t="n">
        <f aca="false">AF4514*$M4514</f>
        <v>0</v>
      </c>
      <c r="AH4514" s="28"/>
      <c r="AI4514" s="28" t="n">
        <f aca="false">AH4514*$M4514</f>
        <v>0</v>
      </c>
      <c r="AJ4514" s="28"/>
      <c r="AK4514" s="28" t="n">
        <f aca="false">AJ4514*$M4514</f>
        <v>0</v>
      </c>
      <c r="AL4514" s="28"/>
      <c r="AM4514" s="28" t="n">
        <f aca="false">AL4514*$M4514</f>
        <v>0</v>
      </c>
      <c r="AN4514" s="28"/>
      <c r="AO4514" s="28" t="n">
        <f aca="false">AN4514*$M4514</f>
        <v>0</v>
      </c>
      <c r="AP4514" s="28"/>
      <c r="AQ4514" s="28" t="n">
        <f aca="false">AP4514*$M4514</f>
        <v>0</v>
      </c>
      <c r="AR4514" s="28"/>
      <c r="AS4514" s="28" t="n">
        <f aca="false">AR4514*$M4514</f>
        <v>0</v>
      </c>
      <c r="AT4514" s="28"/>
      <c r="AU4514" s="28" t="n">
        <f aca="false">AT4514*$M4514</f>
        <v>0</v>
      </c>
      <c r="AV4514" s="28"/>
      <c r="AW4514" s="28" t="n">
        <f aca="false">AV4514*$M4514</f>
        <v>0</v>
      </c>
      <c r="AX4514" s="28"/>
      <c r="AY4514" s="28" t="n">
        <f aca="false">AX4514*$M4514</f>
        <v>0</v>
      </c>
      <c r="AZ4514" s="30" t="n">
        <f aca="false">13334/100</f>
        <v>133.34</v>
      </c>
      <c r="BA4514" s="11" t="n">
        <v>3600</v>
      </c>
      <c r="BB4514" s="31" t="n">
        <f aca="false">SUM(Q4514,S4514,U4514,W4514,Y4514,AA4514,AC4514,AE4514,AG4514,AI4514,AK4514,AM4514,AO4514,AQ4514,AS4514,AU4514,AW4514,AY4514)</f>
        <v>3600</v>
      </c>
      <c r="BC4514" s="28" t="n">
        <f aca="false">BA4514-BB4514</f>
        <v>0</v>
      </c>
      <c r="BD4514" s="32" t="n">
        <f aca="false">SUM(P4514,R4514,T4514,V4514,X4514,Z4514,AB4514,AD4514,AF4514,AH4514,AJ4514,AL4514,AN4514,AP4514,AR4514,AT4514,AV4514,AX4514)</f>
        <v>133.34</v>
      </c>
      <c r="BE4514" s="33" t="n">
        <f aca="false">AZ4514-BD4514</f>
        <v>0</v>
      </c>
      <c r="BF4514" s="34" t="n">
        <f aca="false">BD4514*M4514</f>
        <v>3600.18</v>
      </c>
      <c r="BG4514" s="35" t="n">
        <f aca="false">BA4514-BF4514</f>
        <v>-0.180000000000291</v>
      </c>
      <c r="BH4514" s="19" t="str">
        <f aca="false">IF(BG4514=0,"",IF(BG4514&lt;&gt;BA4514,"erreur de calcul",IF(BD4514&lt;&gt;0,"pas de prix",IF(M4514&lt;&gt; 0,"pas de quantité","pas de prix, ni de quantité"))))</f>
        <v>erreur de calcul</v>
      </c>
      <c r="BI4514" s="19"/>
    </row>
    <row r="4515" customFormat="false" ht="15" hidden="false" customHeight="false" outlineLevel="0" collapsed="false">
      <c r="A4515" s="0" t="n">
        <v>13</v>
      </c>
      <c r="B4515" s="8" t="s">
        <v>24</v>
      </c>
      <c r="C4515" s="9" t="s">
        <v>25</v>
      </c>
      <c r="D4515" s="9" t="s">
        <v>26</v>
      </c>
      <c r="E4515" s="10" t="n">
        <v>1789</v>
      </c>
      <c r="F4515" s="9" t="s">
        <v>27</v>
      </c>
      <c r="G4515" s="9" t="s">
        <v>27</v>
      </c>
      <c r="H4515" s="11" t="n">
        <v>26</v>
      </c>
      <c r="I4515" s="11" t="s">
        <v>385</v>
      </c>
      <c r="J4515" s="14" t="n">
        <v>40</v>
      </c>
      <c r="K4515" s="14"/>
      <c r="L4515" s="16"/>
      <c r="M4515" s="27" t="n">
        <f aca="false">J4515+(K4515/20)+(L4515/240)</f>
        <v>40</v>
      </c>
      <c r="N4515" s="17" t="s">
        <v>64</v>
      </c>
      <c r="O4515" s="11"/>
      <c r="P4515" s="28"/>
      <c r="Q4515" s="28" t="n">
        <f aca="false">P4515*$M4515</f>
        <v>0</v>
      </c>
      <c r="R4515" s="28"/>
      <c r="S4515" s="28" t="n">
        <f aca="false">R4515*$M4515</f>
        <v>0</v>
      </c>
      <c r="T4515" s="28" t="n">
        <f aca="false">13801/100</f>
        <v>138.01</v>
      </c>
      <c r="U4515" s="28" t="n">
        <v>5520</v>
      </c>
      <c r="V4515" s="28"/>
      <c r="W4515" s="28" t="n">
        <f aca="false">V4515*$M4515</f>
        <v>0</v>
      </c>
      <c r="X4515" s="28"/>
      <c r="Y4515" s="28" t="n">
        <f aca="false">X4515*$M4515</f>
        <v>0</v>
      </c>
      <c r="Z4515" s="28"/>
      <c r="AA4515" s="28" t="n">
        <f aca="false">Z4515*$M4515</f>
        <v>0</v>
      </c>
      <c r="AB4515" s="28"/>
      <c r="AC4515" s="28" t="n">
        <f aca="false">AB4515*$M4515</f>
        <v>0</v>
      </c>
      <c r="AD4515" s="28"/>
      <c r="AE4515" s="28" t="n">
        <f aca="false">AD4515*$M4515</f>
        <v>0</v>
      </c>
      <c r="AF4515" s="28"/>
      <c r="AG4515" s="28" t="n">
        <f aca="false">AF4515*$M4515</f>
        <v>0</v>
      </c>
      <c r="AH4515" s="28"/>
      <c r="AI4515" s="28" t="n">
        <f aca="false">AH4515*$M4515</f>
        <v>0</v>
      </c>
      <c r="AJ4515" s="28"/>
      <c r="AK4515" s="28" t="n">
        <f aca="false">AJ4515*$M4515</f>
        <v>0</v>
      </c>
      <c r="AL4515" s="28"/>
      <c r="AM4515" s="28" t="n">
        <f aca="false">AL4515*$M4515</f>
        <v>0</v>
      </c>
      <c r="AN4515" s="28"/>
      <c r="AO4515" s="28" t="n">
        <f aca="false">AN4515*$M4515</f>
        <v>0</v>
      </c>
      <c r="AP4515" s="28"/>
      <c r="AQ4515" s="28" t="n">
        <f aca="false">AP4515*$M4515</f>
        <v>0</v>
      </c>
      <c r="AR4515" s="28"/>
      <c r="AS4515" s="28" t="n">
        <f aca="false">AR4515*$M4515</f>
        <v>0</v>
      </c>
      <c r="AT4515" s="28"/>
      <c r="AU4515" s="28" t="n">
        <f aca="false">AT4515*$M4515</f>
        <v>0</v>
      </c>
      <c r="AV4515" s="28"/>
      <c r="AW4515" s="28" t="n">
        <f aca="false">AV4515*$M4515</f>
        <v>0</v>
      </c>
      <c r="AX4515" s="28"/>
      <c r="AY4515" s="28" t="n">
        <f aca="false">AX4515*$M4515</f>
        <v>0</v>
      </c>
      <c r="AZ4515" s="30" t="n">
        <f aca="false">13801/100</f>
        <v>138.01</v>
      </c>
      <c r="BA4515" s="11" t="n">
        <v>5520</v>
      </c>
      <c r="BB4515" s="31" t="n">
        <f aca="false">SUM(Q4515,S4515,U4515,W4515,Y4515,AA4515,AC4515,AE4515,AG4515,AI4515,AK4515,AM4515,AO4515,AQ4515,AS4515,AU4515,AW4515,AY4515)</f>
        <v>5520</v>
      </c>
      <c r="BC4515" s="28" t="n">
        <f aca="false">BA4515-BB4515</f>
        <v>0</v>
      </c>
      <c r="BD4515" s="32" t="n">
        <f aca="false">SUM(P4515,R4515,T4515,V4515,X4515,Z4515,AB4515,AD4515,AF4515,AH4515,AJ4515,AL4515,AN4515,AP4515,AR4515,AT4515,AV4515,AX4515)</f>
        <v>138.01</v>
      </c>
      <c r="BE4515" s="33" t="n">
        <f aca="false">AZ4515-BD4515</f>
        <v>0</v>
      </c>
      <c r="BF4515" s="34" t="n">
        <f aca="false">BD4515*M4515</f>
        <v>5520.4</v>
      </c>
      <c r="BG4515" s="35" t="n">
        <f aca="false">BA4515-BF4515</f>
        <v>-0.399999999999636</v>
      </c>
      <c r="BH4515" s="19" t="str">
        <f aca="false">IF(BG4515=0,"",IF(BG4515&lt;&gt;BA4515,"erreur de calcul",IF(BD4515&lt;&gt;0,"pas de prix",IF(M4515&lt;&gt; 0,"pas de quantité","pas de prix, ni de quantité"))))</f>
        <v>erreur de calcul</v>
      </c>
      <c r="BI4515" s="19"/>
    </row>
    <row r="4516" customFormat="false" ht="15" hidden="false" customHeight="false" outlineLevel="0" collapsed="false">
      <c r="A4516" s="0" t="n">
        <v>14</v>
      </c>
      <c r="B4516" s="8" t="s">
        <v>24</v>
      </c>
      <c r="C4516" s="9" t="s">
        <v>25</v>
      </c>
      <c r="D4516" s="9" t="s">
        <v>26</v>
      </c>
      <c r="E4516" s="10" t="n">
        <v>1789</v>
      </c>
      <c r="F4516" s="9" t="s">
        <v>27</v>
      </c>
      <c r="G4516" s="9" t="s">
        <v>27</v>
      </c>
      <c r="H4516" s="11" t="n">
        <v>26</v>
      </c>
      <c r="I4516" s="11" t="s">
        <v>386</v>
      </c>
      <c r="J4516" s="14" t="n">
        <v>10</v>
      </c>
      <c r="K4516" s="14"/>
      <c r="L4516" s="16"/>
      <c r="M4516" s="27" t="n">
        <f aca="false">J4516+(K4516/20)+(L4516/240)</f>
        <v>10</v>
      </c>
      <c r="N4516" s="17" t="s">
        <v>387</v>
      </c>
      <c r="O4516" s="11" t="s">
        <v>77</v>
      </c>
      <c r="P4516" s="28" t="n">
        <v>30740</v>
      </c>
      <c r="Q4516" s="28" t="n">
        <v>307400</v>
      </c>
      <c r="R4516" s="28"/>
      <c r="S4516" s="28" t="n">
        <f aca="false">R4516*$M4516</f>
        <v>0</v>
      </c>
      <c r="T4516" s="28" t="n">
        <v>1357</v>
      </c>
      <c r="U4516" s="28" t="n">
        <v>13570</v>
      </c>
      <c r="V4516" s="28" t="n">
        <v>115</v>
      </c>
      <c r="W4516" s="28" t="n">
        <v>1150</v>
      </c>
      <c r="X4516" s="28"/>
      <c r="Y4516" s="28" t="n">
        <f aca="false">X4516*$M4516</f>
        <v>0</v>
      </c>
      <c r="Z4516" s="28"/>
      <c r="AA4516" s="28" t="n">
        <f aca="false">Z4516*$M4516</f>
        <v>0</v>
      </c>
      <c r="AB4516" s="28"/>
      <c r="AC4516" s="28" t="n">
        <f aca="false">AB4516*$M4516</f>
        <v>0</v>
      </c>
      <c r="AD4516" s="28"/>
      <c r="AE4516" s="28" t="n">
        <f aca="false">AD4516*$M4516</f>
        <v>0</v>
      </c>
      <c r="AF4516" s="28"/>
      <c r="AG4516" s="28" t="n">
        <f aca="false">AF4516*$M4516</f>
        <v>0</v>
      </c>
      <c r="AH4516" s="28"/>
      <c r="AI4516" s="28" t="n">
        <f aca="false">AH4516*$M4516</f>
        <v>0</v>
      </c>
      <c r="AJ4516" s="28"/>
      <c r="AK4516" s="28" t="n">
        <f aca="false">AJ4516*$M4516</f>
        <v>0</v>
      </c>
      <c r="AL4516" s="28"/>
      <c r="AM4516" s="28" t="n">
        <f aca="false">AL4516*$M4516</f>
        <v>0</v>
      </c>
      <c r="AN4516" s="28"/>
      <c r="AO4516" s="28" t="n">
        <f aca="false">AN4516*$M4516</f>
        <v>0</v>
      </c>
      <c r="AP4516" s="28"/>
      <c r="AQ4516" s="28" t="n">
        <f aca="false">AP4516*$M4516</f>
        <v>0</v>
      </c>
      <c r="AR4516" s="28"/>
      <c r="AS4516" s="28" t="n">
        <f aca="false">AR4516*$M4516</f>
        <v>0</v>
      </c>
      <c r="AT4516" s="28"/>
      <c r="AU4516" s="28" t="n">
        <f aca="false">AT4516*$M4516</f>
        <v>0</v>
      </c>
      <c r="AV4516" s="28"/>
      <c r="AW4516" s="28" t="n">
        <f aca="false">AV4516*$M4516</f>
        <v>0</v>
      </c>
      <c r="AX4516" s="28"/>
      <c r="AY4516" s="28" t="n">
        <f aca="false">AX4516*$M4516</f>
        <v>0</v>
      </c>
      <c r="AZ4516" s="30" t="n">
        <f aca="false">32212/100</f>
        <v>322.12</v>
      </c>
      <c r="BA4516" s="11" t="n">
        <v>322120</v>
      </c>
      <c r="BB4516" s="31" t="n">
        <f aca="false">SUM(Q4516,S4516,U4516,W4516,Y4516,AA4516,AC4516,AE4516,AG4516,AI4516,AK4516,AM4516,AO4516,AQ4516,AS4516,AU4516,AW4516,AY4516)</f>
        <v>322120</v>
      </c>
      <c r="BC4516" s="28" t="n">
        <f aca="false">BA4516-BB4516</f>
        <v>0</v>
      </c>
      <c r="BD4516" s="32" t="n">
        <f aca="false">SUM(P4516,R4516,T4516,V4516,X4516,Z4516,AB4516,AD4516,AF4516,AH4516,AJ4516,AL4516,AN4516,AP4516,AR4516,AT4516,AV4516,AX4516)</f>
        <v>32212</v>
      </c>
      <c r="BE4516" s="33" t="n">
        <f aca="false">AZ4516-BD4516</f>
        <v>-31889.88</v>
      </c>
      <c r="BF4516" s="34" t="n">
        <f aca="false">BD4516*M4516</f>
        <v>322120</v>
      </c>
      <c r="BG4516" s="35" t="n">
        <f aca="false">BA4516-BF4516</f>
        <v>0</v>
      </c>
      <c r="BH4516" s="19" t="str">
        <f aca="false">IF(BG4516=0,"",IF(BG4516&lt;&gt;BA4516,"erreur de calcul",IF(BD4516&lt;&gt;0,"pas de prix",IF(M4516&lt;&gt; 0,"pas de quantité","pas de prix, ni de quantité"))))</f>
        <v/>
      </c>
      <c r="BI4516" s="19"/>
    </row>
    <row r="4517" customFormat="false" ht="15" hidden="false" customHeight="false" outlineLevel="0" collapsed="false">
      <c r="A4517" s="0" t="n">
        <v>15</v>
      </c>
      <c r="B4517" s="8" t="s">
        <v>24</v>
      </c>
      <c r="C4517" s="9" t="s">
        <v>25</v>
      </c>
      <c r="D4517" s="9" t="s">
        <v>26</v>
      </c>
      <c r="E4517" s="10" t="n">
        <v>1789</v>
      </c>
      <c r="F4517" s="9" t="s">
        <v>27</v>
      </c>
      <c r="G4517" s="9" t="s">
        <v>27</v>
      </c>
      <c r="H4517" s="11" t="n">
        <v>26</v>
      </c>
      <c r="I4517" s="11" t="s">
        <v>385</v>
      </c>
      <c r="J4517" s="14" t="n">
        <v>60</v>
      </c>
      <c r="K4517" s="14"/>
      <c r="L4517" s="16"/>
      <c r="M4517" s="27" t="n">
        <f aca="false">J4517+(K4517/20)+(L4517/240)</f>
        <v>60</v>
      </c>
      <c r="N4517" s="17" t="s">
        <v>64</v>
      </c>
      <c r="O4517" s="11"/>
      <c r="P4517" s="28"/>
      <c r="Q4517" s="28" t="n">
        <f aca="false">P4517*$M4517</f>
        <v>0</v>
      </c>
      <c r="R4517" s="28"/>
      <c r="S4517" s="28" t="n">
        <f aca="false">R4517*$M4517</f>
        <v>0</v>
      </c>
      <c r="T4517" s="28" t="n">
        <f aca="false">204759/100</f>
        <v>2047.59</v>
      </c>
      <c r="U4517" s="28" t="n">
        <v>122855</v>
      </c>
      <c r="V4517" s="28"/>
      <c r="W4517" s="28" t="n">
        <f aca="false">V4517*$M4517</f>
        <v>0</v>
      </c>
      <c r="X4517" s="28"/>
      <c r="Y4517" s="28" t="n">
        <f aca="false">X4517*$M4517</f>
        <v>0</v>
      </c>
      <c r="Z4517" s="28"/>
      <c r="AA4517" s="28" t="n">
        <f aca="false">Z4517*$M4517</f>
        <v>0</v>
      </c>
      <c r="AB4517" s="28"/>
      <c r="AC4517" s="28" t="n">
        <f aca="false">AB4517*$M4517</f>
        <v>0</v>
      </c>
      <c r="AD4517" s="28"/>
      <c r="AE4517" s="28" t="n">
        <f aca="false">AD4517*$M4517</f>
        <v>0</v>
      </c>
      <c r="AF4517" s="28"/>
      <c r="AG4517" s="28" t="n">
        <f aca="false">AF4517*$M4517</f>
        <v>0</v>
      </c>
      <c r="AH4517" s="28"/>
      <c r="AI4517" s="28" t="n">
        <f aca="false">AH4517*$M4517</f>
        <v>0</v>
      </c>
      <c r="AJ4517" s="28"/>
      <c r="AK4517" s="28" t="n">
        <f aca="false">AJ4517*$M4517</f>
        <v>0</v>
      </c>
      <c r="AL4517" s="28"/>
      <c r="AM4517" s="28" t="n">
        <f aca="false">AL4517*$M4517</f>
        <v>0</v>
      </c>
      <c r="AN4517" s="28"/>
      <c r="AO4517" s="28" t="n">
        <f aca="false">AN4517*$M4517</f>
        <v>0</v>
      </c>
      <c r="AP4517" s="28"/>
      <c r="AQ4517" s="28" t="n">
        <f aca="false">AP4517*$M4517</f>
        <v>0</v>
      </c>
      <c r="AR4517" s="28"/>
      <c r="AS4517" s="28" t="n">
        <f aca="false">AR4517*$M4517</f>
        <v>0</v>
      </c>
      <c r="AT4517" s="28"/>
      <c r="AU4517" s="28" t="n">
        <f aca="false">AT4517*$M4517</f>
        <v>0</v>
      </c>
      <c r="AV4517" s="28"/>
      <c r="AW4517" s="28" t="n">
        <f aca="false">AV4517*$M4517</f>
        <v>0</v>
      </c>
      <c r="AX4517" s="28"/>
      <c r="AY4517" s="28" t="n">
        <f aca="false">AX4517*$M4517</f>
        <v>0</v>
      </c>
      <c r="AZ4517" s="30" t="n">
        <f aca="false">204759/100</f>
        <v>2047.59</v>
      </c>
      <c r="BA4517" s="11" t="n">
        <v>122855</v>
      </c>
      <c r="BB4517" s="31" t="n">
        <f aca="false">SUM(Q4517,S4517,U4517,W4517,Y4517,AA4517,AC4517,AE4517,AG4517,AI4517,AK4517,AM4517,AO4517,AQ4517,AS4517,AU4517,AW4517,AY4517)</f>
        <v>122855</v>
      </c>
      <c r="BC4517" s="28" t="n">
        <f aca="false">BA4517-BB4517</f>
        <v>0</v>
      </c>
      <c r="BD4517" s="32" t="n">
        <f aca="false">SUM(P4517,R4517,T4517,V4517,X4517,Z4517,AB4517,AD4517,AF4517,AH4517,AJ4517,AL4517,AN4517,AP4517,AR4517,AT4517,AV4517,AX4517)</f>
        <v>2047.59</v>
      </c>
      <c r="BE4517" s="33" t="n">
        <f aca="false">AZ4517-BD4517</f>
        <v>0</v>
      </c>
      <c r="BF4517" s="34" t="n">
        <f aca="false">BD4517*M4517</f>
        <v>122855.4</v>
      </c>
      <c r="BG4517" s="35" t="n">
        <f aca="false">BA4517-BF4517</f>
        <v>-0.399999999994179</v>
      </c>
      <c r="BH4517" s="19" t="str">
        <f aca="false">IF(BG4517=0,"",IF(BG4517&lt;&gt;BA4517,"erreur de calcul",IF(BD4517&lt;&gt;0,"pas de prix",IF(M4517&lt;&gt; 0,"pas de quantité","pas de prix, ni de quantité"))))</f>
        <v>erreur de calcul</v>
      </c>
      <c r="BI4517" s="19"/>
    </row>
    <row r="4518" customFormat="false" ht="15" hidden="false" customHeight="false" outlineLevel="0" collapsed="false">
      <c r="A4518" s="0" t="n">
        <v>16</v>
      </c>
      <c r="B4518" s="8" t="s">
        <v>24</v>
      </c>
      <c r="C4518" s="9" t="s">
        <v>25</v>
      </c>
      <c r="D4518" s="9" t="s">
        <v>26</v>
      </c>
      <c r="E4518" s="10" t="n">
        <v>1789</v>
      </c>
      <c r="F4518" s="9" t="s">
        <v>27</v>
      </c>
      <c r="G4518" s="9" t="s">
        <v>27</v>
      </c>
      <c r="H4518" s="11" t="n">
        <v>26</v>
      </c>
      <c r="I4518" s="11" t="s">
        <v>388</v>
      </c>
      <c r="J4518" s="14" t="n">
        <v>4</v>
      </c>
      <c r="K4518" s="14" t="n">
        <v>10</v>
      </c>
      <c r="L4518" s="16"/>
      <c r="M4518" s="27" t="n">
        <f aca="false">J4518+(K4518/20)+(L4518/240)</f>
        <v>4.5</v>
      </c>
      <c r="N4518" s="17" t="s">
        <v>66</v>
      </c>
      <c r="O4518" s="11"/>
      <c r="P4518" s="28" t="n">
        <v>20973</v>
      </c>
      <c r="Q4518" s="28" t="n">
        <v>94378</v>
      </c>
      <c r="R4518" s="28"/>
      <c r="S4518" s="28" t="n">
        <f aca="false">R4518*$M4518</f>
        <v>0</v>
      </c>
      <c r="T4518" s="28"/>
      <c r="U4518" s="28" t="n">
        <f aca="false">T4518*$M4518</f>
        <v>0</v>
      </c>
      <c r="V4518" s="28"/>
      <c r="W4518" s="28" t="n">
        <f aca="false">V4518*$M4518</f>
        <v>0</v>
      </c>
      <c r="X4518" s="28"/>
      <c r="Y4518" s="28" t="n">
        <f aca="false">X4518*$M4518</f>
        <v>0</v>
      </c>
      <c r="Z4518" s="28"/>
      <c r="AA4518" s="28" t="n">
        <f aca="false">Z4518*$M4518</f>
        <v>0</v>
      </c>
      <c r="AB4518" s="28"/>
      <c r="AC4518" s="28" t="n">
        <f aca="false">AB4518*$M4518</f>
        <v>0</v>
      </c>
      <c r="AD4518" s="28"/>
      <c r="AE4518" s="28" t="n">
        <f aca="false">AD4518*$M4518</f>
        <v>0</v>
      </c>
      <c r="AF4518" s="28"/>
      <c r="AG4518" s="28" t="n">
        <f aca="false">AF4518*$M4518</f>
        <v>0</v>
      </c>
      <c r="AH4518" s="28"/>
      <c r="AI4518" s="28" t="n">
        <f aca="false">AH4518*$M4518</f>
        <v>0</v>
      </c>
      <c r="AJ4518" s="28"/>
      <c r="AK4518" s="28" t="n">
        <f aca="false">AJ4518*$M4518</f>
        <v>0</v>
      </c>
      <c r="AL4518" s="28"/>
      <c r="AM4518" s="28" t="n">
        <f aca="false">AL4518*$M4518</f>
        <v>0</v>
      </c>
      <c r="AN4518" s="28"/>
      <c r="AO4518" s="28" t="n">
        <f aca="false">AN4518*$M4518</f>
        <v>0</v>
      </c>
      <c r="AP4518" s="28"/>
      <c r="AQ4518" s="28" t="n">
        <f aca="false">AP4518*$M4518</f>
        <v>0</v>
      </c>
      <c r="AR4518" s="28"/>
      <c r="AS4518" s="28" t="n">
        <f aca="false">AR4518*$M4518</f>
        <v>0</v>
      </c>
      <c r="AT4518" s="28"/>
      <c r="AU4518" s="28" t="n">
        <f aca="false">AT4518*$M4518</f>
        <v>0</v>
      </c>
      <c r="AV4518" s="28"/>
      <c r="AW4518" s="28" t="n">
        <f aca="false">AV4518*$M4518</f>
        <v>0</v>
      </c>
      <c r="AX4518" s="28"/>
      <c r="AY4518" s="28" t="n">
        <f aca="false">AX4518*$M4518</f>
        <v>0</v>
      </c>
      <c r="AZ4518" s="30" t="n">
        <v>20973</v>
      </c>
      <c r="BA4518" s="11" t="n">
        <v>94378</v>
      </c>
      <c r="BB4518" s="31" t="n">
        <f aca="false">SUM(Q4518,S4518,U4518,W4518,Y4518,AA4518,AC4518,AE4518,AG4518,AI4518,AK4518,AM4518,AO4518,AQ4518,AS4518,AU4518,AW4518,AY4518)</f>
        <v>94378</v>
      </c>
      <c r="BC4518" s="28" t="n">
        <f aca="false">BA4518-BB4518</f>
        <v>0</v>
      </c>
      <c r="BD4518" s="32" t="n">
        <f aca="false">SUM(P4518,R4518,T4518,V4518,X4518,Z4518,AB4518,AD4518,AF4518,AH4518,AJ4518,AL4518,AN4518,AP4518,AR4518,AT4518,AV4518,AX4518)</f>
        <v>20973</v>
      </c>
      <c r="BE4518" s="33" t="n">
        <f aca="false">AZ4518-BD4518</f>
        <v>0</v>
      </c>
      <c r="BF4518" s="34" t="n">
        <f aca="false">BD4518*M4518</f>
        <v>94378.5</v>
      </c>
      <c r="BG4518" s="35" t="n">
        <f aca="false">BA4518-BF4518</f>
        <v>-0.5</v>
      </c>
      <c r="BH4518" s="19" t="str">
        <f aca="false">IF(BG4518=0,"",IF(BG4518&lt;&gt;BA4518,"erreur de calcul",IF(BD4518&lt;&gt;0,"pas de prix",IF(M4518&lt;&gt; 0,"pas de quantité","pas de prix, ni de quantité"))))</f>
        <v>erreur de calcul</v>
      </c>
      <c r="BI4518" s="19"/>
    </row>
    <row r="4519" customFormat="false" ht="15" hidden="false" customHeight="false" outlineLevel="0" collapsed="false">
      <c r="A4519" s="0" t="n">
        <v>17</v>
      </c>
      <c r="B4519" s="8" t="s">
        <v>24</v>
      </c>
      <c r="C4519" s="9" t="s">
        <v>25</v>
      </c>
      <c r="D4519" s="9" t="s">
        <v>26</v>
      </c>
      <c r="E4519" s="10" t="n">
        <v>1789</v>
      </c>
      <c r="F4519" s="9" t="s">
        <v>27</v>
      </c>
      <c r="G4519" s="9" t="s">
        <v>27</v>
      </c>
      <c r="H4519" s="11" t="n">
        <v>26</v>
      </c>
      <c r="I4519" s="11" t="s">
        <v>389</v>
      </c>
      <c r="J4519" s="14"/>
      <c r="K4519" s="14"/>
      <c r="L4519" s="16"/>
      <c r="M4519" s="27" t="n">
        <f aca="false">J4519+(K4519/20)+(L4519/240)</f>
        <v>0</v>
      </c>
      <c r="N4519" s="17"/>
      <c r="O4519" s="11" t="s">
        <v>277</v>
      </c>
      <c r="P4519" s="28"/>
      <c r="Q4519" s="28" t="n">
        <f aca="false">P4519*$M4519</f>
        <v>0</v>
      </c>
      <c r="R4519" s="28"/>
      <c r="S4519" s="28" t="n">
        <f aca="false">R4519*$M4519</f>
        <v>0</v>
      </c>
      <c r="T4519" s="28"/>
      <c r="U4519" s="28" t="n">
        <v>189</v>
      </c>
      <c r="V4519" s="28"/>
      <c r="W4519" s="28" t="n">
        <v>540</v>
      </c>
      <c r="X4519" s="28"/>
      <c r="Y4519" s="28" t="n">
        <f aca="false">X4519*$M4519</f>
        <v>0</v>
      </c>
      <c r="Z4519" s="28"/>
      <c r="AA4519" s="28" t="n">
        <f aca="false">Z4519*$M4519</f>
        <v>0</v>
      </c>
      <c r="AB4519" s="28"/>
      <c r="AC4519" s="28" t="n">
        <f aca="false">AB4519*$M4519</f>
        <v>0</v>
      </c>
      <c r="AD4519" s="28"/>
      <c r="AE4519" s="28" t="n">
        <f aca="false">AD4519*$M4519</f>
        <v>0</v>
      </c>
      <c r="AF4519" s="28"/>
      <c r="AG4519" s="28" t="n">
        <f aca="false">AF4519*$M4519</f>
        <v>0</v>
      </c>
      <c r="AH4519" s="28"/>
      <c r="AI4519" s="28" t="n">
        <f aca="false">AH4519*$M4519</f>
        <v>0</v>
      </c>
      <c r="AJ4519" s="28"/>
      <c r="AK4519" s="28" t="n">
        <v>317</v>
      </c>
      <c r="AL4519" s="28"/>
      <c r="AM4519" s="28" t="n">
        <f aca="false">AL4519*$M4519</f>
        <v>0</v>
      </c>
      <c r="AN4519" s="28"/>
      <c r="AO4519" s="28" t="n">
        <f aca="false">AN4519*$M4519</f>
        <v>0</v>
      </c>
      <c r="AP4519" s="28"/>
      <c r="AQ4519" s="28" t="n">
        <f aca="false">AP4519*$M4519</f>
        <v>0</v>
      </c>
      <c r="AR4519" s="28"/>
      <c r="AS4519" s="28" t="n">
        <f aca="false">AR4519*$M4519</f>
        <v>0</v>
      </c>
      <c r="AT4519" s="28"/>
      <c r="AU4519" s="28" t="n">
        <f aca="false">AT4519*$M4519</f>
        <v>0</v>
      </c>
      <c r="AV4519" s="28"/>
      <c r="AW4519" s="28" t="n">
        <f aca="false">AV4519*$M4519</f>
        <v>0</v>
      </c>
      <c r="AX4519" s="28"/>
      <c r="AY4519" s="28" t="n">
        <f aca="false">AX4519*$M4519</f>
        <v>0</v>
      </c>
      <c r="AZ4519" s="30"/>
      <c r="BA4519" s="11" t="n">
        <v>1046</v>
      </c>
      <c r="BB4519" s="31" t="n">
        <f aca="false">SUM(Q4519,S4519,U4519,W4519,Y4519,AA4519,AC4519,AE4519,AG4519,AI4519,AK4519,AM4519,AO4519,AQ4519,AS4519,AU4519,AW4519,AY4519)</f>
        <v>1046</v>
      </c>
      <c r="BC4519" s="28" t="n">
        <f aca="false">BA4519-BB4519</f>
        <v>0</v>
      </c>
      <c r="BD4519" s="32" t="n">
        <f aca="false">SUM(P4519,R4519,T4519,V4519,X4519,Z4519,AB4519,AD4519,AF4519,AH4519,AJ4519,AL4519,AN4519,AP4519,AR4519,AT4519,AV4519,AX4519)</f>
        <v>0</v>
      </c>
      <c r="BE4519" s="33" t="n">
        <f aca="false">AZ4519-BD4519</f>
        <v>0</v>
      </c>
      <c r="BF4519" s="34" t="n">
        <f aca="false">BD4519*M4519</f>
        <v>0</v>
      </c>
      <c r="BG4519" s="35" t="n">
        <f aca="false">BA4519-BF4519</f>
        <v>1046</v>
      </c>
      <c r="BH4519" s="19" t="str">
        <f aca="false">IF(BG4519=0,"",IF(BG4519&lt;&gt;BA4519,"erreur de calcul",IF(BD4519&lt;&gt;0,"pas de prix",IF(M4519&lt;&gt; 0,"pas de quantité","pas de prix, ni de quantité"))))</f>
        <v>pas de prix, ni de quantité</v>
      </c>
      <c r="BI4519" s="19"/>
    </row>
    <row r="4520" customFormat="false" ht="15" hidden="false" customHeight="false" outlineLevel="0" collapsed="false">
      <c r="A4520" s="0" t="n">
        <v>18</v>
      </c>
      <c r="B4520" s="8" t="s">
        <v>24</v>
      </c>
      <c r="C4520" s="9" t="s">
        <v>25</v>
      </c>
      <c r="D4520" s="9" t="s">
        <v>26</v>
      </c>
      <c r="E4520" s="10" t="n">
        <v>1789</v>
      </c>
      <c r="F4520" s="9" t="s">
        <v>27</v>
      </c>
      <c r="G4520" s="9" t="s">
        <v>27</v>
      </c>
      <c r="H4520" s="11" t="n">
        <v>26</v>
      </c>
      <c r="I4520" s="11" t="s">
        <v>389</v>
      </c>
      <c r="J4520" s="14" t="n">
        <v>90</v>
      </c>
      <c r="K4520" s="14"/>
      <c r="L4520" s="16"/>
      <c r="M4520" s="27" t="n">
        <f aca="false">J4520+(K4520/20)+(L4520/240)</f>
        <v>90</v>
      </c>
      <c r="N4520" s="17" t="s">
        <v>64</v>
      </c>
      <c r="O4520" s="11"/>
      <c r="P4520" s="28"/>
      <c r="Q4520" s="28" t="n">
        <f aca="false">P4520*$M4520</f>
        <v>0</v>
      </c>
      <c r="R4520" s="28"/>
      <c r="S4520" s="28" t="n">
        <f aca="false">R4520*$M4520</f>
        <v>0</v>
      </c>
      <c r="T4520" s="28"/>
      <c r="U4520" s="28" t="n">
        <f aca="false">T4520*$M4520</f>
        <v>0</v>
      </c>
      <c r="V4520" s="28" t="n">
        <f aca="false">6341/100</f>
        <v>63.41</v>
      </c>
      <c r="W4520" s="28" t="n">
        <v>5707</v>
      </c>
      <c r="X4520" s="28" t="n">
        <f aca="false">10903/100</f>
        <v>109.03</v>
      </c>
      <c r="Y4520" s="28" t="n">
        <v>9813</v>
      </c>
      <c r="Z4520" s="28"/>
      <c r="AA4520" s="28" t="n">
        <f aca="false">Z4520*$M4520</f>
        <v>0</v>
      </c>
      <c r="AB4520" s="28"/>
      <c r="AC4520" s="28" t="n">
        <f aca="false">AB4520*$M4520</f>
        <v>0</v>
      </c>
      <c r="AD4520" s="28"/>
      <c r="AE4520" s="28" t="n">
        <f aca="false">AD4520*$M4520</f>
        <v>0</v>
      </c>
      <c r="AF4520" s="28"/>
      <c r="AG4520" s="28" t="n">
        <f aca="false">AF4520*$M4520</f>
        <v>0</v>
      </c>
      <c r="AH4520" s="28"/>
      <c r="AI4520" s="28" t="n">
        <f aca="false">AH4520*$M4520</f>
        <v>0</v>
      </c>
      <c r="AJ4520" s="28" t="n">
        <f aca="false">127232/100</f>
        <v>1272.32</v>
      </c>
      <c r="AK4520" s="28" t="n">
        <v>114509</v>
      </c>
      <c r="AL4520" s="28" t="n">
        <f aca="false">1835/100</f>
        <v>18.35</v>
      </c>
      <c r="AM4520" s="28" t="n">
        <v>1651</v>
      </c>
      <c r="AN4520" s="28"/>
      <c r="AO4520" s="28" t="n">
        <f aca="false">AN4520*$M4520</f>
        <v>0</v>
      </c>
      <c r="AP4520" s="28"/>
      <c r="AQ4520" s="28" t="n">
        <f aca="false">AP4520*$M4520</f>
        <v>0</v>
      </c>
      <c r="AR4520" s="28"/>
      <c r="AS4520" s="28" t="n">
        <f aca="false">AR4520*$M4520</f>
        <v>0</v>
      </c>
      <c r="AT4520" s="28"/>
      <c r="AU4520" s="28" t="n">
        <f aca="false">AT4520*$M4520</f>
        <v>0</v>
      </c>
      <c r="AV4520" s="28"/>
      <c r="AW4520" s="28" t="n">
        <f aca="false">AV4520*$M4520</f>
        <v>0</v>
      </c>
      <c r="AX4520" s="28"/>
      <c r="AY4520" s="28" t="n">
        <f aca="false">AX4520*$M4520</f>
        <v>0</v>
      </c>
      <c r="AZ4520" s="30" t="n">
        <f aca="false">146311/100</f>
        <v>1463.11</v>
      </c>
      <c r="BA4520" s="11" t="n">
        <v>131680</v>
      </c>
      <c r="BB4520" s="31" t="n">
        <f aca="false">SUM(Q4520,S4520,U4520,W4520,Y4520,AA4520,AC4520,AE4520,AG4520,AI4520,AK4520,AM4520,AO4520,AQ4520,AS4520,AU4520,AW4520,AY4520)</f>
        <v>131680</v>
      </c>
      <c r="BC4520" s="28" t="n">
        <f aca="false">BA4520-BB4520</f>
        <v>0</v>
      </c>
      <c r="BD4520" s="32" t="n">
        <f aca="false">SUM(P4520,R4520,T4520,V4520,X4520,Z4520,AB4520,AD4520,AF4520,AH4520,AJ4520,AL4520,AN4520,AP4520,AR4520,AT4520,AV4520,AX4520)</f>
        <v>1463.11</v>
      </c>
      <c r="BE4520" s="33" t="n">
        <f aca="false">AZ4520-BD4520</f>
        <v>0</v>
      </c>
      <c r="BF4520" s="34" t="n">
        <f aca="false">BD4520*M4520</f>
        <v>131679.9</v>
      </c>
      <c r="BG4520" s="35" t="n">
        <f aca="false">BA4520-BF4520</f>
        <v>0.100000000005821</v>
      </c>
      <c r="BH4520" s="19" t="str">
        <f aca="false">IF(BG4520=0,"",IF(BG4520&lt;&gt;BA4520,"erreur de calcul",IF(BD4520&lt;&gt;0,"pas de prix",IF(M4520&lt;&gt; 0,"pas de quantité","pas de prix, ni de quantité"))))</f>
        <v>erreur de calcul</v>
      </c>
      <c r="BI4520" s="19"/>
    </row>
    <row r="4521" customFormat="false" ht="15" hidden="false" customHeight="false" outlineLevel="0" collapsed="false">
      <c r="A4521" s="0" t="n">
        <v>19</v>
      </c>
      <c r="B4521" s="8" t="s">
        <v>24</v>
      </c>
      <c r="C4521" s="9" t="s">
        <v>25</v>
      </c>
      <c r="D4521" s="9" t="s">
        <v>26</v>
      </c>
      <c r="E4521" s="10" t="n">
        <v>1789</v>
      </c>
      <c r="F4521" s="9" t="s">
        <v>27</v>
      </c>
      <c r="G4521" s="9" t="s">
        <v>27</v>
      </c>
      <c r="H4521" s="11" t="n">
        <v>26</v>
      </c>
      <c r="I4521" s="11" t="s">
        <v>390</v>
      </c>
      <c r="J4521" s="14" t="n">
        <v>25</v>
      </c>
      <c r="K4521" s="14"/>
      <c r="L4521" s="16"/>
      <c r="M4521" s="27" t="n">
        <f aca="false">J4521+(K4521/20)+(L4521/240)</f>
        <v>25</v>
      </c>
      <c r="N4521" s="17" t="s">
        <v>64</v>
      </c>
      <c r="O4521" s="11" t="s">
        <v>277</v>
      </c>
      <c r="P4521" s="28"/>
      <c r="Q4521" s="28" t="n">
        <f aca="false">P4521*$M4521</f>
        <v>0</v>
      </c>
      <c r="R4521" s="28"/>
      <c r="S4521" s="28" t="n">
        <f aca="false">R4521*$M4521</f>
        <v>0</v>
      </c>
      <c r="T4521" s="28"/>
      <c r="U4521" s="28" t="n">
        <f aca="false">T4521*$M4521</f>
        <v>0</v>
      </c>
      <c r="V4521" s="28"/>
      <c r="W4521" s="28" t="n">
        <f aca="false">V4521*$M4521</f>
        <v>0</v>
      </c>
      <c r="X4521" s="28"/>
      <c r="Y4521" s="28" t="n">
        <f aca="false">X4521*$M4521</f>
        <v>0</v>
      </c>
      <c r="Z4521" s="28"/>
      <c r="AA4521" s="28" t="n">
        <f aca="false">Z4521*$M4521</f>
        <v>0</v>
      </c>
      <c r="AB4521" s="28"/>
      <c r="AC4521" s="28" t="n">
        <f aca="false">AB4521*$M4521</f>
        <v>0</v>
      </c>
      <c r="AD4521" s="28"/>
      <c r="AE4521" s="28" t="n">
        <f aca="false">AD4521*$M4521</f>
        <v>0</v>
      </c>
      <c r="AF4521" s="28"/>
      <c r="AG4521" s="28" t="n">
        <f aca="false">AF4521*$M4521</f>
        <v>0</v>
      </c>
      <c r="AH4521" s="28"/>
      <c r="AI4521" s="28" t="n">
        <f aca="false">AH4521*$M4521</f>
        <v>0</v>
      </c>
      <c r="AJ4521" s="28"/>
      <c r="AK4521" s="28" t="n">
        <f aca="false">AJ4521*$M4521</f>
        <v>0</v>
      </c>
      <c r="AL4521" s="28"/>
      <c r="AM4521" s="28" t="n">
        <f aca="false">AL4521*$M4521</f>
        <v>0</v>
      </c>
      <c r="AN4521" s="28"/>
      <c r="AO4521" s="28" t="n">
        <f aca="false">AN4521*$M4521</f>
        <v>0</v>
      </c>
      <c r="AP4521" s="28"/>
      <c r="AQ4521" s="28" t="n">
        <f aca="false">AP4521*$M4521</f>
        <v>0</v>
      </c>
      <c r="AR4521" s="28"/>
      <c r="AS4521" s="28" t="n">
        <f aca="false">AR4521*$M4521</f>
        <v>0</v>
      </c>
      <c r="AT4521" s="28"/>
      <c r="AU4521" s="28" t="n">
        <f aca="false">AT4521*$M4521</f>
        <v>0</v>
      </c>
      <c r="AV4521" s="28"/>
      <c r="AW4521" s="28" t="n">
        <f aca="false">AV4521*$M4521</f>
        <v>0</v>
      </c>
      <c r="AX4521" s="28"/>
      <c r="AY4521" s="28" t="n">
        <f aca="false">AX4521*$M4521</f>
        <v>0</v>
      </c>
      <c r="AZ4521" s="30"/>
      <c r="BA4521" s="11"/>
      <c r="BB4521" s="31" t="n">
        <f aca="false">SUM(Q4521,S4521,U4521,W4521,Y4521,AA4521,AC4521,AE4521,AG4521,AI4521,AK4521,AM4521,AO4521,AQ4521,AS4521,AU4521,AW4521,AY4521)</f>
        <v>0</v>
      </c>
      <c r="BC4521" s="28" t="n">
        <f aca="false">BA4521-BB4521</f>
        <v>0</v>
      </c>
      <c r="BD4521" s="32" t="n">
        <f aca="false">SUM(P4521,R4521,T4521,V4521,X4521,Z4521,AB4521,AD4521,AF4521,AH4521,AJ4521,AL4521,AN4521,AP4521,AR4521,AT4521,AV4521,AX4521)</f>
        <v>0</v>
      </c>
      <c r="BE4521" s="33" t="n">
        <f aca="false">AZ4521-BD4521</f>
        <v>0</v>
      </c>
      <c r="BF4521" s="34" t="n">
        <f aca="false">BD4521*M4521</f>
        <v>0</v>
      </c>
      <c r="BG4521" s="35" t="n">
        <f aca="false">BA4521-BF4521</f>
        <v>0</v>
      </c>
      <c r="BH4521" s="19" t="str">
        <f aca="false">IF(BG4521=0,"",IF(BG4521&lt;&gt;BA4521,"erreur de calcul",IF(BD4521&lt;&gt;0,"pas de prix",IF(M4521&lt;&gt; 0,"pas de quantité","pas de prix, ni de quantité"))))</f>
        <v/>
      </c>
      <c r="BI4521" s="19"/>
    </row>
    <row r="4522" customFormat="false" ht="15" hidden="false" customHeight="false" outlineLevel="0" collapsed="false">
      <c r="A4522" s="0" t="n">
        <v>20</v>
      </c>
      <c r="B4522" s="8" t="s">
        <v>24</v>
      </c>
      <c r="C4522" s="9" t="s">
        <v>25</v>
      </c>
      <c r="D4522" s="9" t="s">
        <v>26</v>
      </c>
      <c r="E4522" s="10" t="n">
        <v>1789</v>
      </c>
      <c r="F4522" s="9" t="s">
        <v>27</v>
      </c>
      <c r="G4522" s="9" t="s">
        <v>27</v>
      </c>
      <c r="H4522" s="11" t="n">
        <v>26</v>
      </c>
      <c r="I4522" s="11" t="s">
        <v>391</v>
      </c>
      <c r="J4522" s="14" t="n">
        <v>35</v>
      </c>
      <c r="K4522" s="14"/>
      <c r="L4522" s="16"/>
      <c r="M4522" s="27" t="n">
        <f aca="false">J4522+(K4522/20)+(L4522/240)</f>
        <v>35</v>
      </c>
      <c r="N4522" s="17" t="s">
        <v>64</v>
      </c>
      <c r="O4522" s="11"/>
      <c r="P4522" s="28"/>
      <c r="Q4522" s="28" t="n">
        <f aca="false">P4522*$M4522</f>
        <v>0</v>
      </c>
      <c r="R4522" s="28"/>
      <c r="S4522" s="28" t="n">
        <f aca="false">R4522*$M4522</f>
        <v>0</v>
      </c>
      <c r="T4522" s="28"/>
      <c r="U4522" s="28" t="n">
        <f aca="false">T4522*$M4522</f>
        <v>0</v>
      </c>
      <c r="V4522" s="28"/>
      <c r="W4522" s="28" t="n">
        <f aca="false">V4522*$M4522</f>
        <v>0</v>
      </c>
      <c r="X4522" s="28"/>
      <c r="Y4522" s="28" t="n">
        <f aca="false">X4522*$M4522</f>
        <v>0</v>
      </c>
      <c r="Z4522" s="28"/>
      <c r="AA4522" s="28" t="n">
        <f aca="false">Z4522*$M4522</f>
        <v>0</v>
      </c>
      <c r="AB4522" s="28"/>
      <c r="AC4522" s="28" t="n">
        <f aca="false">AB4522*$M4522</f>
        <v>0</v>
      </c>
      <c r="AD4522" s="28"/>
      <c r="AE4522" s="28" t="n">
        <f aca="false">AD4522*$M4522</f>
        <v>0</v>
      </c>
      <c r="AF4522" s="28"/>
      <c r="AG4522" s="28" t="n">
        <f aca="false">AF4522*$M4522</f>
        <v>0</v>
      </c>
      <c r="AH4522" s="28"/>
      <c r="AI4522" s="28" t="n">
        <f aca="false">AH4522*$M4522</f>
        <v>0</v>
      </c>
      <c r="AJ4522" s="28" t="n">
        <f aca="false">3950/100</f>
        <v>39.5</v>
      </c>
      <c r="AK4522" s="28" t="n">
        <v>1382</v>
      </c>
      <c r="AL4522" s="28"/>
      <c r="AM4522" s="28" t="n">
        <f aca="false">AL4522*$M4522</f>
        <v>0</v>
      </c>
      <c r="AN4522" s="28"/>
      <c r="AO4522" s="28" t="n">
        <f aca="false">AN4522*$M4522</f>
        <v>0</v>
      </c>
      <c r="AP4522" s="28"/>
      <c r="AQ4522" s="28" t="n">
        <f aca="false">AP4522*$M4522</f>
        <v>0</v>
      </c>
      <c r="AR4522" s="28"/>
      <c r="AS4522" s="28" t="n">
        <f aca="false">AR4522*$M4522</f>
        <v>0</v>
      </c>
      <c r="AT4522" s="28"/>
      <c r="AU4522" s="28" t="n">
        <f aca="false">AT4522*$M4522</f>
        <v>0</v>
      </c>
      <c r="AV4522" s="28"/>
      <c r="AW4522" s="28" t="n">
        <f aca="false">AV4522*$M4522</f>
        <v>0</v>
      </c>
      <c r="AX4522" s="28"/>
      <c r="AY4522" s="28" t="n">
        <f aca="false">AX4522*$M4522</f>
        <v>0</v>
      </c>
      <c r="AZ4522" s="30" t="n">
        <f aca="false">3950/100</f>
        <v>39.5</v>
      </c>
      <c r="BA4522" s="11" t="n">
        <v>1382</v>
      </c>
      <c r="BB4522" s="31" t="n">
        <f aca="false">SUM(Q4522,S4522,U4522,W4522,Y4522,AA4522,AC4522,AE4522,AG4522,AI4522,AK4522,AM4522,AO4522,AQ4522,AS4522,AU4522,AW4522,AY4522)</f>
        <v>1382</v>
      </c>
      <c r="BC4522" s="28" t="n">
        <f aca="false">BA4522-BB4522</f>
        <v>0</v>
      </c>
      <c r="BD4522" s="32" t="n">
        <f aca="false">SUM(P4522,R4522,T4522,V4522,X4522,Z4522,AB4522,AD4522,AF4522,AH4522,AJ4522,AL4522,AN4522,AP4522,AR4522,AT4522,AV4522,AX4522)</f>
        <v>39.5</v>
      </c>
      <c r="BE4522" s="33" t="n">
        <f aca="false">AZ4522-BD4522</f>
        <v>0</v>
      </c>
      <c r="BF4522" s="34" t="n">
        <f aca="false">BD4522*M4522</f>
        <v>1382.5</v>
      </c>
      <c r="BG4522" s="35" t="n">
        <f aca="false">BA4522-BF4522</f>
        <v>-0.5</v>
      </c>
      <c r="BH4522" s="19" t="str">
        <f aca="false">IF(BG4522=0,"",IF(BG4522&lt;&gt;BA4522,"erreur de calcul",IF(BD4522&lt;&gt;0,"pas de prix",IF(M4522&lt;&gt; 0,"pas de quantité","pas de prix, ni de quantité"))))</f>
        <v>erreur de calcul</v>
      </c>
      <c r="BI4522" s="19"/>
    </row>
    <row r="4523" customFormat="false" ht="15" hidden="false" customHeight="false" outlineLevel="0" collapsed="false">
      <c r="A4523" s="0" t="n">
        <v>21</v>
      </c>
      <c r="B4523" s="8" t="s">
        <v>24</v>
      </c>
      <c r="C4523" s="9" t="s">
        <v>25</v>
      </c>
      <c r="D4523" s="9" t="s">
        <v>26</v>
      </c>
      <c r="E4523" s="10" t="n">
        <v>1789</v>
      </c>
      <c r="F4523" s="9" t="s">
        <v>27</v>
      </c>
      <c r="G4523" s="9" t="s">
        <v>27</v>
      </c>
      <c r="H4523" s="11" t="n">
        <v>26</v>
      </c>
      <c r="I4523" s="11" t="s">
        <v>392</v>
      </c>
      <c r="J4523" s="14" t="n">
        <v>60</v>
      </c>
      <c r="K4523" s="14"/>
      <c r="L4523" s="16"/>
      <c r="M4523" s="27" t="n">
        <f aca="false">J4523+(K4523/20)+(L4523/240)</f>
        <v>60</v>
      </c>
      <c r="N4523" s="17" t="s">
        <v>64</v>
      </c>
      <c r="O4523" s="11"/>
      <c r="P4523" s="28"/>
      <c r="Q4523" s="28" t="n">
        <f aca="false">P4523*$M4523</f>
        <v>0</v>
      </c>
      <c r="R4523" s="28"/>
      <c r="S4523" s="28" t="n">
        <f aca="false">R4523*$M4523</f>
        <v>0</v>
      </c>
      <c r="T4523" s="28"/>
      <c r="U4523" s="28" t="n">
        <f aca="false">T4523*$M4523</f>
        <v>0</v>
      </c>
      <c r="V4523" s="28"/>
      <c r="W4523" s="28" t="n">
        <f aca="false">V4523*$M4523</f>
        <v>0</v>
      </c>
      <c r="X4523" s="28" t="n">
        <f aca="false">12306/100</f>
        <v>123.06</v>
      </c>
      <c r="Y4523" s="28" t="n">
        <v>7384</v>
      </c>
      <c r="Z4523" s="28"/>
      <c r="AA4523" s="28" t="n">
        <f aca="false">Z4523*$M4523</f>
        <v>0</v>
      </c>
      <c r="AB4523" s="28"/>
      <c r="AC4523" s="28" t="n">
        <f aca="false">AB4523*$M4523</f>
        <v>0</v>
      </c>
      <c r="AD4523" s="28"/>
      <c r="AE4523" s="28" t="n">
        <f aca="false">AD4523*$M4523</f>
        <v>0</v>
      </c>
      <c r="AF4523" s="28"/>
      <c r="AG4523" s="28" t="n">
        <f aca="false">AF4523*$M4523</f>
        <v>0</v>
      </c>
      <c r="AH4523" s="28"/>
      <c r="AI4523" s="28" t="n">
        <f aca="false">AH4523*$M4523</f>
        <v>0</v>
      </c>
      <c r="AJ4523" s="28" t="n">
        <f aca="false">2557/100</f>
        <v>25.57</v>
      </c>
      <c r="AK4523" s="28" t="n">
        <v>1534</v>
      </c>
      <c r="AL4523" s="28"/>
      <c r="AM4523" s="28" t="n">
        <f aca="false">AL4523*$M4523</f>
        <v>0</v>
      </c>
      <c r="AN4523" s="28"/>
      <c r="AO4523" s="28" t="n">
        <f aca="false">AN4523*$M4523</f>
        <v>0</v>
      </c>
      <c r="AP4523" s="28"/>
      <c r="AQ4523" s="28" t="n">
        <f aca="false">AP4523*$M4523</f>
        <v>0</v>
      </c>
      <c r="AR4523" s="28" t="n">
        <f aca="false">7204/100</f>
        <v>72.04</v>
      </c>
      <c r="AS4523" s="28" t="n">
        <v>4322</v>
      </c>
      <c r="AT4523" s="28"/>
      <c r="AU4523" s="28" t="n">
        <f aca="false">AT4523*$M4523</f>
        <v>0</v>
      </c>
      <c r="AV4523" s="28"/>
      <c r="AW4523" s="28" t="n">
        <f aca="false">AV4523*$M4523</f>
        <v>0</v>
      </c>
      <c r="AX4523" s="28"/>
      <c r="AY4523" s="28" t="n">
        <f aca="false">AX4523*$M4523</f>
        <v>0</v>
      </c>
      <c r="AZ4523" s="30" t="n">
        <f aca="false">22067/100</f>
        <v>220.67</v>
      </c>
      <c r="BA4523" s="11" t="n">
        <v>13240</v>
      </c>
      <c r="BB4523" s="31" t="n">
        <f aca="false">SUM(Q4523,S4523,U4523,W4523,Y4523,AA4523,AC4523,AE4523,AG4523,AI4523,AK4523,AM4523,AO4523,AQ4523,AS4523,AU4523,AW4523,AY4523)</f>
        <v>13240</v>
      </c>
      <c r="BC4523" s="28" t="n">
        <f aca="false">BA4523-BB4523</f>
        <v>0</v>
      </c>
      <c r="BD4523" s="32" t="n">
        <f aca="false">SUM(P4523,R4523,T4523,V4523,X4523,Z4523,AB4523,AD4523,AF4523,AH4523,AJ4523,AL4523,AN4523,AP4523,AR4523,AT4523,AV4523,AX4523)</f>
        <v>220.67</v>
      </c>
      <c r="BE4523" s="33" t="n">
        <f aca="false">AZ4523-BD4523</f>
        <v>0</v>
      </c>
      <c r="BF4523" s="34" t="n">
        <f aca="false">BD4523*M4523</f>
        <v>13240.2</v>
      </c>
      <c r="BG4523" s="35" t="n">
        <f aca="false">BA4523-BF4523</f>
        <v>-0.200000000000728</v>
      </c>
      <c r="BH4523" s="19" t="str">
        <f aca="false">IF(BG4523=0,"",IF(BG4523&lt;&gt;BA4523,"erreur de calcul",IF(BD4523&lt;&gt;0,"pas de prix",IF(M4523&lt;&gt; 0,"pas de quantité","pas de prix, ni de quantité"))))</f>
        <v>erreur de calcul</v>
      </c>
      <c r="BI4523" s="19"/>
    </row>
    <row r="4524" customFormat="false" ht="15" hidden="false" customHeight="false" outlineLevel="0" collapsed="false">
      <c r="A4524" s="0" t="n">
        <v>22</v>
      </c>
      <c r="B4524" s="8" t="s">
        <v>24</v>
      </c>
      <c r="C4524" s="9" t="s">
        <v>25</v>
      </c>
      <c r="D4524" s="9" t="s">
        <v>26</v>
      </c>
      <c r="E4524" s="10" t="n">
        <v>1789</v>
      </c>
      <c r="F4524" s="9" t="s">
        <v>27</v>
      </c>
      <c r="G4524" s="9" t="s">
        <v>27</v>
      </c>
      <c r="H4524" s="11" t="n">
        <v>26</v>
      </c>
      <c r="I4524" s="11" t="s">
        <v>393</v>
      </c>
      <c r="J4524" s="14" t="n">
        <v>120</v>
      </c>
      <c r="K4524" s="14"/>
      <c r="L4524" s="16"/>
      <c r="M4524" s="27" t="n">
        <f aca="false">J4524+(K4524/20)+(L4524/240)</f>
        <v>120</v>
      </c>
      <c r="N4524" s="17" t="s">
        <v>64</v>
      </c>
      <c r="O4524" s="11"/>
      <c r="P4524" s="28"/>
      <c r="Q4524" s="28" t="n">
        <f aca="false">P4524*$M4524</f>
        <v>0</v>
      </c>
      <c r="R4524" s="28"/>
      <c r="S4524" s="28" t="n">
        <f aca="false">R4524*$M4524</f>
        <v>0</v>
      </c>
      <c r="T4524" s="28"/>
      <c r="U4524" s="28" t="n">
        <f aca="false">T4524*$M4524</f>
        <v>0</v>
      </c>
      <c r="V4524" s="28"/>
      <c r="W4524" s="28" t="n">
        <f aca="false">V4524*$M4524</f>
        <v>0</v>
      </c>
      <c r="X4524" s="28"/>
      <c r="Y4524" s="28" t="n">
        <f aca="false">X4524*$M4524</f>
        <v>0</v>
      </c>
      <c r="Z4524" s="28"/>
      <c r="AA4524" s="28" t="n">
        <f aca="false">Z4524*$M4524</f>
        <v>0</v>
      </c>
      <c r="AB4524" s="28"/>
      <c r="AC4524" s="28" t="n">
        <f aca="false">AB4524*$M4524</f>
        <v>0</v>
      </c>
      <c r="AD4524" s="28"/>
      <c r="AE4524" s="28" t="n">
        <f aca="false">AD4524*$M4524</f>
        <v>0</v>
      </c>
      <c r="AF4524" s="28"/>
      <c r="AG4524" s="28" t="n">
        <f aca="false">AF4524*$M4524</f>
        <v>0</v>
      </c>
      <c r="AH4524" s="28" t="n">
        <f aca="false">1810/100</f>
        <v>18.1</v>
      </c>
      <c r="AI4524" s="28" t="n">
        <v>2172</v>
      </c>
      <c r="AJ4524" s="28"/>
      <c r="AK4524" s="28" t="n">
        <f aca="false">AJ4524*$M4524</f>
        <v>0</v>
      </c>
      <c r="AL4524" s="28"/>
      <c r="AM4524" s="28" t="n">
        <f aca="false">AL4524*$M4524</f>
        <v>0</v>
      </c>
      <c r="AN4524" s="28"/>
      <c r="AO4524" s="28" t="n">
        <f aca="false">AN4524*$M4524</f>
        <v>0</v>
      </c>
      <c r="AP4524" s="28"/>
      <c r="AQ4524" s="28" t="n">
        <f aca="false">AP4524*$M4524</f>
        <v>0</v>
      </c>
      <c r="AR4524" s="28"/>
      <c r="AS4524" s="28" t="n">
        <f aca="false">AR4524*$M4524</f>
        <v>0</v>
      </c>
      <c r="AT4524" s="28"/>
      <c r="AU4524" s="28" t="n">
        <f aca="false">AT4524*$M4524</f>
        <v>0</v>
      </c>
      <c r="AV4524" s="28"/>
      <c r="AW4524" s="28" t="n">
        <f aca="false">AV4524*$M4524</f>
        <v>0</v>
      </c>
      <c r="AX4524" s="28"/>
      <c r="AY4524" s="28" t="n">
        <f aca="false">AX4524*$M4524</f>
        <v>0</v>
      </c>
      <c r="AZ4524" s="30" t="n">
        <f aca="false">1810/100</f>
        <v>18.1</v>
      </c>
      <c r="BA4524" s="11" t="n">
        <v>2172</v>
      </c>
      <c r="BB4524" s="31" t="n">
        <f aca="false">SUM(Q4524,S4524,U4524,W4524,Y4524,AA4524,AC4524,AE4524,AG4524,AI4524,AK4524,AM4524,AO4524,AQ4524,AS4524,AU4524,AW4524,AY4524)</f>
        <v>2172</v>
      </c>
      <c r="BC4524" s="28" t="n">
        <f aca="false">BA4524-BB4524</f>
        <v>0</v>
      </c>
      <c r="BD4524" s="32" t="n">
        <f aca="false">SUM(P4524,R4524,T4524,V4524,X4524,Z4524,AB4524,AD4524,AF4524,AH4524,AJ4524,AL4524,AN4524,AP4524,AR4524,AT4524,AV4524,AX4524)</f>
        <v>18.1</v>
      </c>
      <c r="BE4524" s="33" t="n">
        <f aca="false">AZ4524-BD4524</f>
        <v>0</v>
      </c>
      <c r="BF4524" s="34" t="n">
        <f aca="false">BD4524*M4524</f>
        <v>2172</v>
      </c>
      <c r="BG4524" s="35" t="n">
        <f aca="false">BA4524-BF4524</f>
        <v>0</v>
      </c>
      <c r="BH4524" s="19" t="str">
        <f aca="false">IF(BG4524=0,"",IF(BG4524&lt;&gt;BA4524,"erreur de calcul",IF(BD4524&lt;&gt;0,"pas de prix",IF(M4524&lt;&gt; 0,"pas de quantité","pas de prix, ni de quantité"))))</f>
        <v/>
      </c>
      <c r="BI4524" s="19"/>
    </row>
    <row r="4525" customFormat="false" ht="15" hidden="false" customHeight="false" outlineLevel="0" collapsed="false">
      <c r="A4525" s="0" t="n">
        <v>23</v>
      </c>
      <c r="B4525" s="8" t="s">
        <v>24</v>
      </c>
      <c r="C4525" s="9" t="s">
        <v>25</v>
      </c>
      <c r="D4525" s="9" t="s">
        <v>26</v>
      </c>
      <c r="E4525" s="10" t="n">
        <v>1789</v>
      </c>
      <c r="F4525" s="9" t="s">
        <v>27</v>
      </c>
      <c r="G4525" s="9" t="s">
        <v>27</v>
      </c>
      <c r="H4525" s="11" t="n">
        <v>26</v>
      </c>
      <c r="I4525" s="41" t="s">
        <v>394</v>
      </c>
      <c r="J4525" s="14" t="n">
        <v>7</v>
      </c>
      <c r="K4525" s="14"/>
      <c r="L4525" s="16"/>
      <c r="M4525" s="27" t="n">
        <f aca="false">J4525+(K4525/20)+(L4525/240)</f>
        <v>7</v>
      </c>
      <c r="N4525" s="17" t="s">
        <v>64</v>
      </c>
      <c r="O4525" s="11"/>
      <c r="P4525" s="28" t="n">
        <f aca="false">11428/100</f>
        <v>114.28</v>
      </c>
      <c r="Q4525" s="28" t="n">
        <v>800</v>
      </c>
      <c r="R4525" s="28"/>
      <c r="S4525" s="28" t="n">
        <f aca="false">R4525*$M4525</f>
        <v>0</v>
      </c>
      <c r="T4525" s="28" t="n">
        <f aca="false">2084/100</f>
        <v>20.84</v>
      </c>
      <c r="U4525" s="36" t="n">
        <v>246</v>
      </c>
      <c r="V4525" s="28"/>
      <c r="W4525" s="28" t="n">
        <f aca="false">V4525*$M4525</f>
        <v>0</v>
      </c>
      <c r="X4525" s="28"/>
      <c r="Y4525" s="28" t="n">
        <f aca="false">X4525*$M4525</f>
        <v>0</v>
      </c>
      <c r="Z4525" s="28"/>
      <c r="AA4525" s="28" t="n">
        <f aca="false">Z4525*$M4525</f>
        <v>0</v>
      </c>
      <c r="AB4525" s="28"/>
      <c r="AC4525" s="28" t="n">
        <f aca="false">AB4525*$M4525</f>
        <v>0</v>
      </c>
      <c r="AD4525" s="28"/>
      <c r="AE4525" s="28" t="n">
        <f aca="false">AD4525*$M4525</f>
        <v>0</v>
      </c>
      <c r="AF4525" s="28" t="n">
        <f aca="false">6709/100</f>
        <v>67.09</v>
      </c>
      <c r="AG4525" s="28" t="n">
        <v>470</v>
      </c>
      <c r="AH4525" s="28"/>
      <c r="AI4525" s="28" t="n">
        <f aca="false">AH4525*$M4525</f>
        <v>0</v>
      </c>
      <c r="AJ4525" s="28"/>
      <c r="AK4525" s="28" t="n">
        <f aca="false">AJ4525*$M4525</f>
        <v>0</v>
      </c>
      <c r="AL4525" s="28"/>
      <c r="AM4525" s="28" t="n">
        <f aca="false">AL4525*$M4525</f>
        <v>0</v>
      </c>
      <c r="AN4525" s="28"/>
      <c r="AO4525" s="28" t="n">
        <f aca="false">AN4525*$M4525</f>
        <v>0</v>
      </c>
      <c r="AP4525" s="28"/>
      <c r="AQ4525" s="28" t="n">
        <f aca="false">AP4525*$M4525</f>
        <v>0</v>
      </c>
      <c r="AR4525" s="28"/>
      <c r="AS4525" s="28" t="n">
        <f aca="false">AR4525*$M4525</f>
        <v>0</v>
      </c>
      <c r="AT4525" s="28"/>
      <c r="AU4525" s="28" t="n">
        <f aca="false">AT4525*$M4525</f>
        <v>0</v>
      </c>
      <c r="AV4525" s="28"/>
      <c r="AW4525" s="28" t="n">
        <f aca="false">AV4525*$M4525</f>
        <v>0</v>
      </c>
      <c r="AX4525" s="28"/>
      <c r="AY4525" s="28" t="n">
        <f aca="false">AX4525*$M4525</f>
        <v>0</v>
      </c>
      <c r="AZ4525" s="30" t="n">
        <f aca="false">20221/100</f>
        <v>202.21</v>
      </c>
      <c r="BA4525" s="11" t="n">
        <v>1516</v>
      </c>
      <c r="BB4525" s="31" t="n">
        <f aca="false">SUM(Q4525,S4525,U4525,W4525,Y4525,AA4525,AC4525,AE4525,AG4525,AI4525,AK4525,AM4525,AO4525,AQ4525,AS4525,AU4525,AW4525,AY4525)</f>
        <v>1516</v>
      </c>
      <c r="BC4525" s="28" t="n">
        <f aca="false">BA4525-BB4525</f>
        <v>0</v>
      </c>
      <c r="BD4525" s="32" t="n">
        <f aca="false">SUM(P4525,R4525,T4525,V4525,X4525,Z4525,AB4525,AD4525,AF4525,AH4525,AJ4525,AL4525,AN4525,AP4525,AR4525,AT4525,AV4525,AX4525)</f>
        <v>202.21</v>
      </c>
      <c r="BE4525" s="33" t="n">
        <f aca="false">AZ4525-BD4525</f>
        <v>0</v>
      </c>
      <c r="BF4525" s="34" t="n">
        <f aca="false">BD4525*M4525</f>
        <v>1415.47</v>
      </c>
      <c r="BG4525" s="35" t="n">
        <f aca="false">BA4525-BF4525</f>
        <v>100.53</v>
      </c>
      <c r="BH4525" s="19" t="str">
        <f aca="false">IF(BG4525=0,"",IF(BG4525&lt;&gt;BA4525,"erreur de calcul",IF(BD4525&lt;&gt;0,"pas de prix",IF(M4525&lt;&gt; 0,"pas de quantité","pas de prix, ni de quantité"))))</f>
        <v>erreur de calcul</v>
      </c>
      <c r="BI4525" s="19"/>
    </row>
    <row r="4526" customFormat="false" ht="15" hidden="false" customHeight="false" outlineLevel="0" collapsed="false">
      <c r="A4526" s="0" t="n">
        <v>24</v>
      </c>
      <c r="B4526" s="8" t="s">
        <v>24</v>
      </c>
      <c r="C4526" s="9" t="s">
        <v>25</v>
      </c>
      <c r="D4526" s="9" t="s">
        <v>26</v>
      </c>
      <c r="E4526" s="10" t="n">
        <v>1789</v>
      </c>
      <c r="F4526" s="9" t="s">
        <v>27</v>
      </c>
      <c r="G4526" s="9" t="s">
        <v>27</v>
      </c>
      <c r="H4526" s="11" t="n">
        <v>26</v>
      </c>
      <c r="I4526" s="11" t="s">
        <v>395</v>
      </c>
      <c r="J4526" s="14" t="n">
        <v>40</v>
      </c>
      <c r="K4526" s="14"/>
      <c r="L4526" s="16"/>
      <c r="M4526" s="27" t="n">
        <f aca="false">J4526+(K4526/20)+(L4526/240)</f>
        <v>40</v>
      </c>
      <c r="N4526" s="17" t="s">
        <v>66</v>
      </c>
      <c r="O4526" s="11"/>
      <c r="P4526" s="28"/>
      <c r="Q4526" s="28" t="n">
        <f aca="false">P4526*$M4526</f>
        <v>0</v>
      </c>
      <c r="R4526" s="28"/>
      <c r="S4526" s="28" t="n">
        <f aca="false">R4526*$M4526</f>
        <v>0</v>
      </c>
      <c r="T4526" s="28" t="n">
        <v>2339</v>
      </c>
      <c r="U4526" s="28" t="n">
        <v>93560</v>
      </c>
      <c r="V4526" s="28" t="n">
        <v>38</v>
      </c>
      <c r="W4526" s="28" t="n">
        <v>1520</v>
      </c>
      <c r="X4526" s="28"/>
      <c r="Y4526" s="28" t="n">
        <f aca="false">X4526*$M4526</f>
        <v>0</v>
      </c>
      <c r="Z4526" s="28"/>
      <c r="AA4526" s="28" t="n">
        <f aca="false">Z4526*$M4526</f>
        <v>0</v>
      </c>
      <c r="AB4526" s="28"/>
      <c r="AC4526" s="28" t="n">
        <f aca="false">AB4526*$M4526</f>
        <v>0</v>
      </c>
      <c r="AD4526" s="28"/>
      <c r="AE4526" s="28" t="n">
        <f aca="false">AD4526*$M4526</f>
        <v>0</v>
      </c>
      <c r="AF4526" s="28"/>
      <c r="AG4526" s="28" t="n">
        <f aca="false">AF4526*$M4526</f>
        <v>0</v>
      </c>
      <c r="AH4526" s="28"/>
      <c r="AI4526" s="28" t="n">
        <f aca="false">AH4526*$M4526</f>
        <v>0</v>
      </c>
      <c r="AJ4526" s="28"/>
      <c r="AK4526" s="28" t="n">
        <f aca="false">AJ4526*$M4526</f>
        <v>0</v>
      </c>
      <c r="AL4526" s="28"/>
      <c r="AM4526" s="28" t="n">
        <f aca="false">AL4526*$M4526</f>
        <v>0</v>
      </c>
      <c r="AN4526" s="28"/>
      <c r="AO4526" s="28" t="n">
        <f aca="false">AN4526*$M4526</f>
        <v>0</v>
      </c>
      <c r="AP4526" s="28"/>
      <c r="AQ4526" s="28" t="n">
        <f aca="false">AP4526*$M4526</f>
        <v>0</v>
      </c>
      <c r="AR4526" s="28"/>
      <c r="AS4526" s="28" t="n">
        <f aca="false">AR4526*$M4526</f>
        <v>0</v>
      </c>
      <c r="AT4526" s="28"/>
      <c r="AU4526" s="28" t="n">
        <f aca="false">AT4526*$M4526</f>
        <v>0</v>
      </c>
      <c r="AV4526" s="28"/>
      <c r="AW4526" s="28" t="n">
        <f aca="false">AV4526*$M4526</f>
        <v>0</v>
      </c>
      <c r="AX4526" s="28"/>
      <c r="AY4526" s="28" t="n">
        <f aca="false">AX4526*$M4526</f>
        <v>0</v>
      </c>
      <c r="AZ4526" s="30" t="n">
        <v>2377</v>
      </c>
      <c r="BA4526" s="11" t="n">
        <v>95080</v>
      </c>
      <c r="BB4526" s="31" t="n">
        <f aca="false">SUM(Q4526,S4526,U4526,W4526,Y4526,AA4526,AC4526,AE4526,AG4526,AI4526,AK4526,AM4526,AO4526,AQ4526,AS4526,AU4526,AW4526,AY4526)</f>
        <v>95080</v>
      </c>
      <c r="BC4526" s="28" t="n">
        <f aca="false">BA4526-BB4526</f>
        <v>0</v>
      </c>
      <c r="BD4526" s="32" t="n">
        <f aca="false">SUM(P4526,R4526,T4526,V4526,X4526,Z4526,AB4526,AD4526,AF4526,AH4526,AJ4526,AL4526,AN4526,AP4526,AR4526,AT4526,AV4526,AX4526)</f>
        <v>2377</v>
      </c>
      <c r="BE4526" s="33" t="n">
        <f aca="false">AZ4526-BD4526</f>
        <v>0</v>
      </c>
      <c r="BF4526" s="34" t="n">
        <f aca="false">BD4526*M4526</f>
        <v>95080</v>
      </c>
      <c r="BG4526" s="35" t="n">
        <f aca="false">BA4526-BF4526</f>
        <v>0</v>
      </c>
      <c r="BH4526" s="19" t="str">
        <f aca="false">IF(BG4526=0,"",IF(BG4526&lt;&gt;BA4526,"erreur de calcul",IF(BD4526&lt;&gt;0,"pas de prix",IF(M4526&lt;&gt; 0,"pas de quantité","pas de prix, ni de quantité"))))</f>
        <v/>
      </c>
      <c r="BI4526" s="19"/>
    </row>
    <row r="4527" customFormat="false" ht="15" hidden="false" customHeight="false" outlineLevel="0" collapsed="false">
      <c r="A4527" s="0" t="n">
        <v>25</v>
      </c>
      <c r="B4527" s="8" t="s">
        <v>24</v>
      </c>
      <c r="C4527" s="9" t="s">
        <v>25</v>
      </c>
      <c r="D4527" s="9" t="s">
        <v>26</v>
      </c>
      <c r="E4527" s="10" t="n">
        <v>1789</v>
      </c>
      <c r="F4527" s="9" t="s">
        <v>27</v>
      </c>
      <c r="G4527" s="9" t="s">
        <v>27</v>
      </c>
      <c r="H4527" s="11" t="n">
        <v>26</v>
      </c>
      <c r="I4527" s="11" t="s">
        <v>396</v>
      </c>
      <c r="J4527" s="14" t="n">
        <v>2</v>
      </c>
      <c r="K4527" s="14" t="n">
        <v>10</v>
      </c>
      <c r="L4527" s="16"/>
      <c r="M4527" s="27" t="n">
        <f aca="false">J4527+(K4527/20)+(L4527/240)</f>
        <v>2.5</v>
      </c>
      <c r="N4527" s="17" t="s">
        <v>66</v>
      </c>
      <c r="O4527" s="11"/>
      <c r="P4527" s="28"/>
      <c r="Q4527" s="28" t="n">
        <f aca="false">P4527*$M4527</f>
        <v>0</v>
      </c>
      <c r="R4527" s="28"/>
      <c r="S4527" s="28" t="n">
        <f aca="false">R4527*$M4527</f>
        <v>0</v>
      </c>
      <c r="T4527" s="28"/>
      <c r="U4527" s="28" t="n">
        <f aca="false">T4527*$M4527</f>
        <v>0</v>
      </c>
      <c r="V4527" s="28"/>
      <c r="W4527" s="28" t="n">
        <f aca="false">V4527*$M4527</f>
        <v>0</v>
      </c>
      <c r="X4527" s="28"/>
      <c r="Y4527" s="28" t="n">
        <f aca="false">X4527*$M4527</f>
        <v>0</v>
      </c>
      <c r="Z4527" s="28"/>
      <c r="AA4527" s="28" t="n">
        <f aca="false">Z4527*$M4527</f>
        <v>0</v>
      </c>
      <c r="AB4527" s="28"/>
      <c r="AC4527" s="28" t="n">
        <f aca="false">AB4527*$M4527</f>
        <v>0</v>
      </c>
      <c r="AD4527" s="28"/>
      <c r="AE4527" s="28" t="n">
        <f aca="false">AD4527*$M4527</f>
        <v>0</v>
      </c>
      <c r="AF4527" s="28"/>
      <c r="AG4527" s="28" t="n">
        <f aca="false">AF4527*$M4527</f>
        <v>0</v>
      </c>
      <c r="AH4527" s="28"/>
      <c r="AI4527" s="28" t="n">
        <f aca="false">AH4527*$M4527</f>
        <v>0</v>
      </c>
      <c r="AJ4527" s="28" t="n">
        <v>7127</v>
      </c>
      <c r="AK4527" s="28" t="n">
        <v>17817</v>
      </c>
      <c r="AL4527" s="28"/>
      <c r="AM4527" s="28" t="n">
        <f aca="false">AL4527*$M4527</f>
        <v>0</v>
      </c>
      <c r="AN4527" s="28"/>
      <c r="AO4527" s="28" t="n">
        <f aca="false">AN4527*$M4527</f>
        <v>0</v>
      </c>
      <c r="AP4527" s="28"/>
      <c r="AQ4527" s="28" t="n">
        <f aca="false">AP4527*$M4527</f>
        <v>0</v>
      </c>
      <c r="AR4527" s="28"/>
      <c r="AS4527" s="28" t="n">
        <f aca="false">AR4527*$M4527</f>
        <v>0</v>
      </c>
      <c r="AT4527" s="28"/>
      <c r="AU4527" s="28" t="n">
        <f aca="false">AT4527*$M4527</f>
        <v>0</v>
      </c>
      <c r="AV4527" s="28"/>
      <c r="AW4527" s="28" t="n">
        <f aca="false">AV4527*$M4527</f>
        <v>0</v>
      </c>
      <c r="AX4527" s="28"/>
      <c r="AY4527" s="28" t="n">
        <f aca="false">AX4527*$M4527</f>
        <v>0</v>
      </c>
      <c r="AZ4527" s="30" t="n">
        <v>7127</v>
      </c>
      <c r="BA4527" s="11" t="n">
        <v>17817</v>
      </c>
      <c r="BB4527" s="31" t="n">
        <f aca="false">SUM(Q4527,S4527,U4527,W4527,Y4527,AA4527,AC4527,AE4527,AG4527,AI4527,AK4527,AM4527,AO4527,AQ4527,AS4527,AU4527,AW4527,AY4527)</f>
        <v>17817</v>
      </c>
      <c r="BC4527" s="28" t="n">
        <f aca="false">BA4527-BB4527</f>
        <v>0</v>
      </c>
      <c r="BD4527" s="32" t="n">
        <f aca="false">SUM(P4527,R4527,T4527,V4527,X4527,Z4527,AB4527,AD4527,AF4527,AH4527,AJ4527,AL4527,AN4527,AP4527,AR4527,AT4527,AV4527,AX4527)</f>
        <v>7127</v>
      </c>
      <c r="BE4527" s="33" t="n">
        <f aca="false">AZ4527-BD4527</f>
        <v>0</v>
      </c>
      <c r="BF4527" s="34" t="n">
        <f aca="false">BD4527*M4527</f>
        <v>17817.5</v>
      </c>
      <c r="BG4527" s="35" t="n">
        <f aca="false">BA4527-BF4527</f>
        <v>-0.5</v>
      </c>
      <c r="BH4527" s="19" t="str">
        <f aca="false">IF(BG4527=0,"",IF(BG4527&lt;&gt;BA4527,"erreur de calcul",IF(BD4527&lt;&gt;0,"pas de prix",IF(M4527&lt;&gt; 0,"pas de quantité","pas de prix, ni de quantité"))))</f>
        <v>erreur de calcul</v>
      </c>
      <c r="BI4527" s="19"/>
    </row>
    <row r="4528" customFormat="false" ht="15" hidden="false" customHeight="false" outlineLevel="0" collapsed="false">
      <c r="A4528" s="0" t="n">
        <v>26</v>
      </c>
      <c r="B4528" s="8" t="s">
        <v>24</v>
      </c>
      <c r="C4528" s="9" t="s">
        <v>25</v>
      </c>
      <c r="D4528" s="9" t="s">
        <v>26</v>
      </c>
      <c r="E4528" s="10" t="n">
        <v>1789</v>
      </c>
      <c r="F4528" s="9" t="s">
        <v>27</v>
      </c>
      <c r="G4528" s="9" t="s">
        <v>27</v>
      </c>
      <c r="H4528" s="11" t="n">
        <v>26</v>
      </c>
      <c r="I4528" s="11" t="s">
        <v>397</v>
      </c>
      <c r="J4528" s="14" t="n">
        <v>6</v>
      </c>
      <c r="K4528" s="14" t="n">
        <v>10</v>
      </c>
      <c r="L4528" s="16"/>
      <c r="M4528" s="27" t="n">
        <f aca="false">J4528+(K4528/20)+(L4528/240)</f>
        <v>6.5</v>
      </c>
      <c r="N4528" s="17" t="s">
        <v>64</v>
      </c>
      <c r="O4528" s="11"/>
      <c r="P4528" s="28"/>
      <c r="Q4528" s="28" t="n">
        <f aca="false">P4528*$M4528</f>
        <v>0</v>
      </c>
      <c r="R4528" s="28"/>
      <c r="S4528" s="28" t="n">
        <f aca="false">R4528*$M4528</f>
        <v>0</v>
      </c>
      <c r="T4528" s="28"/>
      <c r="U4528" s="28" t="n">
        <f aca="false">T4528*$M4528</f>
        <v>0</v>
      </c>
      <c r="V4528" s="28"/>
      <c r="W4528" s="28" t="n">
        <f aca="false">V4528*$M4528</f>
        <v>0</v>
      </c>
      <c r="X4528" s="28" t="n">
        <f aca="false">22000/100</f>
        <v>220</v>
      </c>
      <c r="Y4528" s="28" t="n">
        <v>1430</v>
      </c>
      <c r="Z4528" s="28"/>
      <c r="AA4528" s="28" t="n">
        <f aca="false">Z4528*$M4528</f>
        <v>0</v>
      </c>
      <c r="AB4528" s="28" t="n">
        <f aca="false">3575715/100</f>
        <v>35757.15</v>
      </c>
      <c r="AC4528" s="36" t="n">
        <v>214543</v>
      </c>
      <c r="AD4528" s="28"/>
      <c r="AE4528" s="28" t="n">
        <f aca="false">AD4528*$M4528</f>
        <v>0</v>
      </c>
      <c r="AF4528" s="28"/>
      <c r="AG4528" s="28" t="n">
        <f aca="false">AF4528*$M4528</f>
        <v>0</v>
      </c>
      <c r="AH4528" s="28"/>
      <c r="AI4528" s="28" t="n">
        <f aca="false">AH4528*$M4528</f>
        <v>0</v>
      </c>
      <c r="AJ4528" s="28"/>
      <c r="AK4528" s="28" t="n">
        <f aca="false">AJ4528*$M4528</f>
        <v>0</v>
      </c>
      <c r="AL4528" s="28"/>
      <c r="AM4528" s="28" t="n">
        <f aca="false">AL4528*$M4528</f>
        <v>0</v>
      </c>
      <c r="AN4528" s="28"/>
      <c r="AO4528" s="28" t="n">
        <f aca="false">AN4528*$M4528</f>
        <v>0</v>
      </c>
      <c r="AP4528" s="28"/>
      <c r="AQ4528" s="28" t="n">
        <f aca="false">AP4528*$M4528</f>
        <v>0</v>
      </c>
      <c r="AR4528" s="28"/>
      <c r="AS4528" s="28" t="n">
        <f aca="false">AR4528*$M4528</f>
        <v>0</v>
      </c>
      <c r="AT4528" s="28"/>
      <c r="AU4528" s="28" t="n">
        <f aca="false">AT4528*$M4528</f>
        <v>0</v>
      </c>
      <c r="AV4528" s="28"/>
      <c r="AW4528" s="28" t="n">
        <f aca="false">AV4528*$M4528</f>
        <v>0</v>
      </c>
      <c r="AX4528" s="28"/>
      <c r="AY4528" s="28" t="n">
        <f aca="false">AX4528*$M4528</f>
        <v>0</v>
      </c>
      <c r="AZ4528" s="30" t="n">
        <f aca="false">3597715/100</f>
        <v>35977.15</v>
      </c>
      <c r="BA4528" s="11" t="n">
        <v>215973</v>
      </c>
      <c r="BB4528" s="31" t="n">
        <f aca="false">SUM(Q4528,S4528,U4528,W4528,Y4528,AA4528,AC4528,AE4528,AG4528,AI4528,AK4528,AM4528,AO4528,AQ4528,AS4528,AU4528,AW4528,AY4528)</f>
        <v>215973</v>
      </c>
      <c r="BC4528" s="28" t="n">
        <f aca="false">BA4528-BB4528</f>
        <v>0</v>
      </c>
      <c r="BD4528" s="32" t="n">
        <f aca="false">SUM(P4528,R4528,T4528,V4528,X4528,Z4528,AB4528,AD4528,AF4528,AH4528,AJ4528,AL4528,AN4528,AP4528,AR4528,AT4528,AV4528,AX4528)</f>
        <v>35977.15</v>
      </c>
      <c r="BE4528" s="33" t="n">
        <f aca="false">AZ4528-BD4528</f>
        <v>0</v>
      </c>
      <c r="BF4528" s="34" t="n">
        <f aca="false">BD4528*M4528</f>
        <v>233851.475</v>
      </c>
      <c r="BG4528" s="35" t="n">
        <f aca="false">BA4528-BF4528</f>
        <v>-17878.475</v>
      </c>
      <c r="BH4528" s="19" t="str">
        <f aca="false">IF(BG4528=0,"",IF(BG4528&lt;&gt;BA4528,"erreur de calcul",IF(BD4528&lt;&gt;0,"pas de prix",IF(M4528&lt;&gt; 0,"pas de quantité","pas de prix, ni de quantité"))))</f>
        <v>erreur de calcul</v>
      </c>
      <c r="BI4528" s="19"/>
    </row>
    <row r="4529" customFormat="false" ht="15" hidden="false" customHeight="false" outlineLevel="0" collapsed="false">
      <c r="A4529" s="0" t="n">
        <v>27</v>
      </c>
      <c r="B4529" s="8" t="s">
        <v>24</v>
      </c>
      <c r="C4529" s="9" t="s">
        <v>25</v>
      </c>
      <c r="D4529" s="9" t="s">
        <v>26</v>
      </c>
      <c r="E4529" s="10" t="n">
        <v>1789</v>
      </c>
      <c r="F4529" s="9" t="s">
        <v>27</v>
      </c>
      <c r="G4529" s="9" t="s">
        <v>27</v>
      </c>
      <c r="H4529" s="11" t="n">
        <v>26</v>
      </c>
      <c r="I4529" s="11" t="s">
        <v>398</v>
      </c>
      <c r="J4529" s="14" t="n">
        <v>11</v>
      </c>
      <c r="K4529" s="14"/>
      <c r="L4529" s="16"/>
      <c r="M4529" s="27" t="n">
        <f aca="false">J4529+(K4529/20)+(L4529/240)</f>
        <v>11</v>
      </c>
      <c r="N4529" s="17" t="s">
        <v>64</v>
      </c>
      <c r="O4529" s="11"/>
      <c r="P4529" s="28" t="n">
        <f aca="false">166667/100</f>
        <v>1666.67</v>
      </c>
      <c r="Q4529" s="28" t="n">
        <v>18333</v>
      </c>
      <c r="R4529" s="28"/>
      <c r="S4529" s="28" t="n">
        <f aca="false">R4529*$M4529</f>
        <v>0</v>
      </c>
      <c r="T4529" s="28"/>
      <c r="U4529" s="28" t="n">
        <f aca="false">T4529*$M4529</f>
        <v>0</v>
      </c>
      <c r="V4529" s="28"/>
      <c r="W4529" s="28" t="n">
        <f aca="false">V4529*$M4529</f>
        <v>0</v>
      </c>
      <c r="X4529" s="28"/>
      <c r="Y4529" s="28" t="n">
        <f aca="false">X4529*$M4529</f>
        <v>0</v>
      </c>
      <c r="Z4529" s="28"/>
      <c r="AA4529" s="28" t="n">
        <f aca="false">Z4529*$M4529</f>
        <v>0</v>
      </c>
      <c r="AB4529" s="28" t="n">
        <f aca="false">3312/100</f>
        <v>33.12</v>
      </c>
      <c r="AC4529" s="28" t="n">
        <v>364</v>
      </c>
      <c r="AD4529" s="28"/>
      <c r="AE4529" s="28" t="n">
        <f aca="false">AD4529*$M4529</f>
        <v>0</v>
      </c>
      <c r="AF4529" s="28"/>
      <c r="AG4529" s="28" t="n">
        <f aca="false">AF4529*$M4529</f>
        <v>0</v>
      </c>
      <c r="AH4529" s="28"/>
      <c r="AI4529" s="28" t="n">
        <f aca="false">AH4529*$M4529</f>
        <v>0</v>
      </c>
      <c r="AJ4529" s="28"/>
      <c r="AK4529" s="28" t="n">
        <f aca="false">AJ4529*$M4529</f>
        <v>0</v>
      </c>
      <c r="AL4529" s="28"/>
      <c r="AM4529" s="28" t="n">
        <f aca="false">AL4529*$M4529</f>
        <v>0</v>
      </c>
      <c r="AN4529" s="28"/>
      <c r="AO4529" s="28" t="n">
        <f aca="false">AN4529*$M4529</f>
        <v>0</v>
      </c>
      <c r="AP4529" s="28"/>
      <c r="AQ4529" s="28" t="n">
        <f aca="false">AP4529*$M4529</f>
        <v>0</v>
      </c>
      <c r="AR4529" s="28"/>
      <c r="AS4529" s="28" t="n">
        <f aca="false">AR4529*$M4529</f>
        <v>0</v>
      </c>
      <c r="AT4529" s="28"/>
      <c r="AU4529" s="28" t="n">
        <f aca="false">AT4529*$M4529</f>
        <v>0</v>
      </c>
      <c r="AV4529" s="28"/>
      <c r="AW4529" s="28" t="n">
        <f aca="false">AV4529*$M4529</f>
        <v>0</v>
      </c>
      <c r="AX4529" s="28"/>
      <c r="AY4529" s="28" t="n">
        <f aca="false">AX4529*$M4529</f>
        <v>0</v>
      </c>
      <c r="AZ4529" s="30" t="n">
        <f aca="false">169979/100</f>
        <v>1699.79</v>
      </c>
      <c r="BA4529" s="11" t="n">
        <v>18697</v>
      </c>
      <c r="BB4529" s="31" t="n">
        <f aca="false">SUM(Q4529,S4529,U4529,W4529,Y4529,AA4529,AC4529,AE4529,AG4529,AI4529,AK4529,AM4529,AO4529,AQ4529,AS4529,AU4529,AW4529,AY4529)</f>
        <v>18697</v>
      </c>
      <c r="BC4529" s="28" t="n">
        <f aca="false">BA4529-BB4529</f>
        <v>0</v>
      </c>
      <c r="BD4529" s="32" t="n">
        <f aca="false">SUM(P4529,R4529,T4529,V4529,X4529,Z4529,AB4529,AD4529,AF4529,AH4529,AJ4529,AL4529,AN4529,AP4529,AR4529,AT4529,AV4529,AX4529)</f>
        <v>1699.79</v>
      </c>
      <c r="BE4529" s="33" t="n">
        <f aca="false">AZ4529-BD4529</f>
        <v>0</v>
      </c>
      <c r="BF4529" s="34" t="n">
        <f aca="false">BD4529*M4529</f>
        <v>18697.69</v>
      </c>
      <c r="BG4529" s="35" t="n">
        <f aca="false">BA4529-BF4529</f>
        <v>-0.68999999999869</v>
      </c>
      <c r="BH4529" s="19" t="str">
        <f aca="false">IF(BG4529=0,"",IF(BG4529&lt;&gt;BA4529,"erreur de calcul",IF(BD4529&lt;&gt;0,"pas de prix",IF(M4529&lt;&gt; 0,"pas de quantité","pas de prix, ni de quantité"))))</f>
        <v>erreur de calcul</v>
      </c>
      <c r="BI4529" s="19"/>
    </row>
    <row r="4530" customFormat="false" ht="15" hidden="false" customHeight="false" outlineLevel="0" collapsed="false">
      <c r="A4530" s="0" t="n">
        <v>28</v>
      </c>
      <c r="B4530" s="8" t="s">
        <v>24</v>
      </c>
      <c r="C4530" s="9" t="s">
        <v>25</v>
      </c>
      <c r="D4530" s="9" t="s">
        <v>26</v>
      </c>
      <c r="E4530" s="10" t="n">
        <v>1789</v>
      </c>
      <c r="F4530" s="9" t="s">
        <v>27</v>
      </c>
      <c r="G4530" s="9" t="s">
        <v>27</v>
      </c>
      <c r="H4530" s="11" t="n">
        <v>26</v>
      </c>
      <c r="I4530" s="11" t="s">
        <v>399</v>
      </c>
      <c r="J4530" s="14" t="n">
        <v>18</v>
      </c>
      <c r="K4530" s="14"/>
      <c r="L4530" s="16"/>
      <c r="M4530" s="27" t="n">
        <f aca="false">J4530+(K4530/20)+(L4530/240)</f>
        <v>18</v>
      </c>
      <c r="N4530" s="17" t="s">
        <v>66</v>
      </c>
      <c r="O4530" s="11"/>
      <c r="P4530" s="28"/>
      <c r="Q4530" s="28" t="n">
        <f aca="false">P4530*$M4530</f>
        <v>0</v>
      </c>
      <c r="R4530" s="28"/>
      <c r="S4530" s="28" t="n">
        <f aca="false">R4530*$M4530</f>
        <v>0</v>
      </c>
      <c r="T4530" s="28"/>
      <c r="U4530" s="28" t="n">
        <f aca="false">T4530*$M4530</f>
        <v>0</v>
      </c>
      <c r="V4530" s="28"/>
      <c r="W4530" s="28" t="n">
        <f aca="false">V4530*$M4530</f>
        <v>0</v>
      </c>
      <c r="X4530" s="28"/>
      <c r="Y4530" s="28" t="n">
        <f aca="false">X4530*$M4530</f>
        <v>0</v>
      </c>
      <c r="Z4530" s="28"/>
      <c r="AA4530" s="28" t="n">
        <f aca="false">Z4530*$M4530</f>
        <v>0</v>
      </c>
      <c r="AB4530" s="28"/>
      <c r="AC4530" s="28" t="n">
        <f aca="false">AB4530*$M4530</f>
        <v>0</v>
      </c>
      <c r="AD4530" s="28"/>
      <c r="AE4530" s="28" t="n">
        <f aca="false">AD4530*$M4530</f>
        <v>0</v>
      </c>
      <c r="AF4530" s="28"/>
      <c r="AG4530" s="28" t="n">
        <f aca="false">AF4530*$M4530</f>
        <v>0</v>
      </c>
      <c r="AH4530" s="28" t="n">
        <v>72036</v>
      </c>
      <c r="AI4530" s="28" t="n">
        <v>1296648</v>
      </c>
      <c r="AJ4530" s="28"/>
      <c r="AK4530" s="28" t="n">
        <f aca="false">AJ4530*$M4530</f>
        <v>0</v>
      </c>
      <c r="AL4530" s="28"/>
      <c r="AM4530" s="28" t="n">
        <f aca="false">AL4530*$M4530</f>
        <v>0</v>
      </c>
      <c r="AN4530" s="28"/>
      <c r="AO4530" s="28" t="n">
        <f aca="false">AN4530*$M4530</f>
        <v>0</v>
      </c>
      <c r="AP4530" s="28"/>
      <c r="AQ4530" s="28" t="n">
        <f aca="false">AP4530*$M4530</f>
        <v>0</v>
      </c>
      <c r="AR4530" s="28"/>
      <c r="AS4530" s="28" t="n">
        <f aca="false">AR4530*$M4530</f>
        <v>0</v>
      </c>
      <c r="AT4530" s="28"/>
      <c r="AU4530" s="28" t="n">
        <f aca="false">AT4530*$M4530</f>
        <v>0</v>
      </c>
      <c r="AV4530" s="28"/>
      <c r="AW4530" s="28" t="n">
        <f aca="false">AV4530*$M4530</f>
        <v>0</v>
      </c>
      <c r="AX4530" s="28"/>
      <c r="AY4530" s="28" t="n">
        <f aca="false">AX4530*$M4530</f>
        <v>0</v>
      </c>
      <c r="AZ4530" s="30" t="n">
        <v>72036</v>
      </c>
      <c r="BA4530" s="11" t="n">
        <v>1296648</v>
      </c>
      <c r="BB4530" s="31" t="n">
        <f aca="false">SUM(Q4530,S4530,U4530,W4530,Y4530,AA4530,AC4530,AE4530,AG4530,AI4530,AK4530,AM4530,AO4530,AQ4530,AS4530,AU4530,AW4530,AY4530)</f>
        <v>1296648</v>
      </c>
      <c r="BC4530" s="28" t="n">
        <f aca="false">BA4530-BB4530</f>
        <v>0</v>
      </c>
      <c r="BD4530" s="32" t="n">
        <f aca="false">SUM(P4530,R4530,T4530,V4530,X4530,Z4530,AB4530,AD4530,AF4530,AH4530,AJ4530,AL4530,AN4530,AP4530,AR4530,AT4530,AV4530,AX4530)</f>
        <v>72036</v>
      </c>
      <c r="BE4530" s="33" t="n">
        <f aca="false">AZ4530-BD4530</f>
        <v>0</v>
      </c>
      <c r="BF4530" s="34" t="n">
        <f aca="false">BD4530*M4530</f>
        <v>1296648</v>
      </c>
      <c r="BG4530" s="35" t="n">
        <f aca="false">BA4530-BF4530</f>
        <v>0</v>
      </c>
      <c r="BH4530" s="19" t="str">
        <f aca="false">IF(BG4530=0,"",IF(BG4530&lt;&gt;BA4530,"erreur de calcul",IF(BD4530&lt;&gt;0,"pas de prix",IF(M4530&lt;&gt; 0,"pas de quantité","pas de prix, ni de quantité"))))</f>
        <v/>
      </c>
      <c r="BI4530" s="19"/>
    </row>
    <row r="4531" customFormat="false" ht="15" hidden="false" customHeight="false" outlineLevel="0" collapsed="false">
      <c r="A4531" s="0" t="n">
        <v>29</v>
      </c>
      <c r="B4531" s="8" t="s">
        <v>24</v>
      </c>
      <c r="C4531" s="9" t="s">
        <v>25</v>
      </c>
      <c r="D4531" s="9" t="s">
        <v>26</v>
      </c>
      <c r="E4531" s="10" t="n">
        <v>1789</v>
      </c>
      <c r="F4531" s="9" t="s">
        <v>27</v>
      </c>
      <c r="G4531" s="9" t="s">
        <v>27</v>
      </c>
      <c r="H4531" s="11" t="n">
        <v>26</v>
      </c>
      <c r="I4531" s="11" t="s">
        <v>400</v>
      </c>
      <c r="J4531" s="14" t="n">
        <v>19</v>
      </c>
      <c r="K4531" s="14"/>
      <c r="L4531" s="16"/>
      <c r="M4531" s="27" t="n">
        <f aca="false">J4531+(K4531/20)+(L4531/240)</f>
        <v>19</v>
      </c>
      <c r="N4531" s="17" t="s">
        <v>66</v>
      </c>
      <c r="O4531" s="11"/>
      <c r="P4531" s="28"/>
      <c r="Q4531" s="28" t="n">
        <f aca="false">P4531*$M4531</f>
        <v>0</v>
      </c>
      <c r="R4531" s="28"/>
      <c r="S4531" s="28" t="n">
        <f aca="false">R4531*$M4531</f>
        <v>0</v>
      </c>
      <c r="T4531" s="28"/>
      <c r="U4531" s="28" t="n">
        <f aca="false">T4531*$M4531</f>
        <v>0</v>
      </c>
      <c r="V4531" s="28"/>
      <c r="W4531" s="28" t="n">
        <f aca="false">V4531*$M4531</f>
        <v>0</v>
      </c>
      <c r="X4531" s="28"/>
      <c r="Y4531" s="28" t="n">
        <f aca="false">X4531*$M4531</f>
        <v>0</v>
      </c>
      <c r="Z4531" s="28"/>
      <c r="AA4531" s="28" t="n">
        <f aca="false">Z4531*$M4531</f>
        <v>0</v>
      </c>
      <c r="AB4531" s="28" t="n">
        <v>1176</v>
      </c>
      <c r="AC4531" s="28" t="n">
        <v>22344</v>
      </c>
      <c r="AD4531" s="28"/>
      <c r="AE4531" s="28" t="n">
        <f aca="false">AD4531*$M4531</f>
        <v>0</v>
      </c>
      <c r="AF4531" s="28"/>
      <c r="AG4531" s="28" t="n">
        <f aca="false">AF4531*$M4531</f>
        <v>0</v>
      </c>
      <c r="AH4531" s="28"/>
      <c r="AI4531" s="28" t="n">
        <f aca="false">AH4531*$M4531</f>
        <v>0</v>
      </c>
      <c r="AJ4531" s="28"/>
      <c r="AK4531" s="28" t="n">
        <f aca="false">AJ4531*$M4531</f>
        <v>0</v>
      </c>
      <c r="AL4531" s="28"/>
      <c r="AM4531" s="28" t="n">
        <f aca="false">AL4531*$M4531</f>
        <v>0</v>
      </c>
      <c r="AN4531" s="28"/>
      <c r="AO4531" s="28" t="n">
        <f aca="false">AN4531*$M4531</f>
        <v>0</v>
      </c>
      <c r="AP4531" s="28"/>
      <c r="AQ4531" s="28" t="n">
        <f aca="false">AP4531*$M4531</f>
        <v>0</v>
      </c>
      <c r="AR4531" s="28"/>
      <c r="AS4531" s="28" t="n">
        <f aca="false">AR4531*$M4531</f>
        <v>0</v>
      </c>
      <c r="AT4531" s="28"/>
      <c r="AU4531" s="28" t="n">
        <f aca="false">AT4531*$M4531</f>
        <v>0</v>
      </c>
      <c r="AV4531" s="28"/>
      <c r="AW4531" s="28" t="n">
        <f aca="false">AV4531*$M4531</f>
        <v>0</v>
      </c>
      <c r="AX4531" s="28"/>
      <c r="AY4531" s="28" t="n">
        <f aca="false">AX4531*$M4531</f>
        <v>0</v>
      </c>
      <c r="AZ4531" s="30" t="n">
        <v>1176</v>
      </c>
      <c r="BA4531" s="11" t="n">
        <v>22344</v>
      </c>
      <c r="BB4531" s="31" t="n">
        <f aca="false">SUM(Q4531,S4531,U4531,W4531,Y4531,AA4531,AC4531,AE4531,AG4531,AI4531,AK4531,AM4531,AO4531,AQ4531,AS4531,AU4531,AW4531,AY4531)</f>
        <v>22344</v>
      </c>
      <c r="BC4531" s="28" t="n">
        <f aca="false">BA4531-BB4531</f>
        <v>0</v>
      </c>
      <c r="BD4531" s="32" t="n">
        <f aca="false">SUM(P4531,R4531,T4531,V4531,X4531,Z4531,AB4531,AD4531,AF4531,AH4531,AJ4531,AL4531,AN4531,AP4531,AR4531,AT4531,AV4531,AX4531)</f>
        <v>1176</v>
      </c>
      <c r="BE4531" s="33" t="n">
        <f aca="false">AZ4531-BD4531</f>
        <v>0</v>
      </c>
      <c r="BF4531" s="34" t="n">
        <f aca="false">BD4531*M4531</f>
        <v>22344</v>
      </c>
      <c r="BG4531" s="35" t="n">
        <f aca="false">BA4531-BF4531</f>
        <v>0</v>
      </c>
      <c r="BH4531" s="19" t="str">
        <f aca="false">IF(BG4531=0,"",IF(BG4531&lt;&gt;BA4531,"erreur de calcul",IF(BD4531&lt;&gt;0,"pas de prix",IF(M4531&lt;&gt; 0,"pas de quantité","pas de prix, ni de quantité"))))</f>
        <v/>
      </c>
      <c r="BI4531" s="19"/>
    </row>
    <row r="4532" customFormat="false" ht="15" hidden="false" customHeight="false" outlineLevel="0" collapsed="false">
      <c r="A4532" s="0" t="n">
        <v>30</v>
      </c>
      <c r="B4532" s="8" t="s">
        <v>24</v>
      </c>
      <c r="C4532" s="9" t="s">
        <v>25</v>
      </c>
      <c r="D4532" s="9" t="s">
        <v>26</v>
      </c>
      <c r="E4532" s="10" t="n">
        <v>1789</v>
      </c>
      <c r="F4532" s="9" t="s">
        <v>27</v>
      </c>
      <c r="G4532" s="9" t="s">
        <v>27</v>
      </c>
      <c r="H4532" s="11" t="n">
        <v>26</v>
      </c>
      <c r="I4532" s="11" t="s">
        <v>401</v>
      </c>
      <c r="J4532" s="14" t="n">
        <v>20</v>
      </c>
      <c r="K4532" s="14"/>
      <c r="L4532" s="16"/>
      <c r="M4532" s="27" t="n">
        <f aca="false">J4532+(K4532/20)+(L4532/240)</f>
        <v>20</v>
      </c>
      <c r="N4532" s="17" t="s">
        <v>66</v>
      </c>
      <c r="O4532" s="11"/>
      <c r="P4532" s="28"/>
      <c r="Q4532" s="28" t="n">
        <f aca="false">P4532*$M4532</f>
        <v>0</v>
      </c>
      <c r="R4532" s="28"/>
      <c r="S4532" s="28" t="n">
        <f aca="false">R4532*$M4532</f>
        <v>0</v>
      </c>
      <c r="T4532" s="28" t="n">
        <v>7478</v>
      </c>
      <c r="U4532" s="28" t="n">
        <v>149560</v>
      </c>
      <c r="V4532" s="28" t="n">
        <v>3386</v>
      </c>
      <c r="W4532" s="36" t="n">
        <v>66720</v>
      </c>
      <c r="X4532" s="28" t="n">
        <v>2233</v>
      </c>
      <c r="Y4532" s="28" t="n">
        <v>44660</v>
      </c>
      <c r="Z4532" s="28" t="n">
        <v>867</v>
      </c>
      <c r="AA4532" s="28" t="n">
        <v>17340</v>
      </c>
      <c r="AB4532" s="28" t="n">
        <v>32380</v>
      </c>
      <c r="AC4532" s="28" t="n">
        <v>647600</v>
      </c>
      <c r="AD4532" s="28"/>
      <c r="AE4532" s="28" t="n">
        <f aca="false">AD4532*$M4532</f>
        <v>0</v>
      </c>
      <c r="AF4532" s="28"/>
      <c r="AG4532" s="28" t="n">
        <f aca="false">AF4532*$M4532</f>
        <v>0</v>
      </c>
      <c r="AH4532" s="28" t="n">
        <v>12038</v>
      </c>
      <c r="AI4532" s="28" t="n">
        <v>240760</v>
      </c>
      <c r="AJ4532" s="28"/>
      <c r="AK4532" s="28" t="n">
        <f aca="false">AJ4532*$M4532</f>
        <v>0</v>
      </c>
      <c r="AL4532" s="28"/>
      <c r="AM4532" s="28" t="n">
        <f aca="false">AL4532*$M4532</f>
        <v>0</v>
      </c>
      <c r="AN4532" s="28"/>
      <c r="AO4532" s="28" t="n">
        <f aca="false">AN4532*$M4532</f>
        <v>0</v>
      </c>
      <c r="AP4532" s="28"/>
      <c r="AQ4532" s="28" t="n">
        <f aca="false">AP4532*$M4532</f>
        <v>0</v>
      </c>
      <c r="AR4532" s="28"/>
      <c r="AS4532" s="28" t="n">
        <f aca="false">AR4532*$M4532</f>
        <v>0</v>
      </c>
      <c r="AT4532" s="28"/>
      <c r="AU4532" s="28" t="n">
        <f aca="false">AT4532*$M4532</f>
        <v>0</v>
      </c>
      <c r="AV4532" s="28"/>
      <c r="AW4532" s="28" t="n">
        <f aca="false">AV4532*$M4532</f>
        <v>0</v>
      </c>
      <c r="AX4532" s="28"/>
      <c r="AY4532" s="28" t="n">
        <f aca="false">AX4532*$M4532</f>
        <v>0</v>
      </c>
      <c r="AZ4532" s="30" t="n">
        <v>58382</v>
      </c>
      <c r="BA4532" s="11" t="n">
        <v>1166640</v>
      </c>
      <c r="BB4532" s="31" t="n">
        <f aca="false">SUM(Q4532,S4532,U4532,W4532,Y4532,AA4532,AC4532,AE4532,AG4532,AI4532,AK4532,AM4532,AO4532,AQ4532,AS4532,AU4532,AW4532,AY4532)</f>
        <v>1166640</v>
      </c>
      <c r="BC4532" s="28" t="n">
        <f aca="false">BA4532-BB4532</f>
        <v>0</v>
      </c>
      <c r="BD4532" s="32" t="n">
        <f aca="false">SUM(P4532,R4532,T4532,V4532,X4532,Z4532,AB4532,AD4532,AF4532,AH4532,AJ4532,AL4532,AN4532,AP4532,AR4532,AT4532,AV4532,AX4532)</f>
        <v>58382</v>
      </c>
      <c r="BE4532" s="33" t="n">
        <f aca="false">AZ4532-BD4532</f>
        <v>0</v>
      </c>
      <c r="BF4532" s="34" t="n">
        <f aca="false">BD4532*M4532</f>
        <v>1167640</v>
      </c>
      <c r="BG4532" s="35" t="n">
        <f aca="false">BA4532-BF4532</f>
        <v>-1000</v>
      </c>
      <c r="BH4532" s="19" t="str">
        <f aca="false">IF(BG4532=0,"",IF(BG4532&lt;&gt;BA4532,"erreur de calcul",IF(BD4532&lt;&gt;0,"pas de prix",IF(M4532&lt;&gt; 0,"pas de quantité","pas de prix, ni de quantité"))))</f>
        <v>erreur de calcul</v>
      </c>
      <c r="BI4532" s="19"/>
    </row>
    <row r="4533" customFormat="false" ht="15" hidden="false" customHeight="false" outlineLevel="0" collapsed="false">
      <c r="A4533" s="0" t="n">
        <v>31</v>
      </c>
      <c r="B4533" s="8" t="s">
        <v>24</v>
      </c>
      <c r="C4533" s="9" t="s">
        <v>25</v>
      </c>
      <c r="D4533" s="9" t="s">
        <v>26</v>
      </c>
      <c r="E4533" s="10" t="n">
        <v>1789</v>
      </c>
      <c r="F4533" s="9" t="s">
        <v>27</v>
      </c>
      <c r="G4533" s="9" t="s">
        <v>27</v>
      </c>
      <c r="H4533" s="11" t="n">
        <v>26</v>
      </c>
      <c r="I4533" s="11" t="s">
        <v>402</v>
      </c>
      <c r="J4533" s="14" t="n">
        <v>17</v>
      </c>
      <c r="K4533" s="14"/>
      <c r="L4533" s="16"/>
      <c r="M4533" s="27" t="n">
        <f aca="false">J4533+(K4533/20)+(L4533/240)</f>
        <v>17</v>
      </c>
      <c r="N4533" s="17" t="s">
        <v>66</v>
      </c>
      <c r="O4533" s="11"/>
      <c r="P4533" s="28"/>
      <c r="Q4533" s="28" t="n">
        <f aca="false">P4533*$M4533</f>
        <v>0</v>
      </c>
      <c r="R4533" s="28"/>
      <c r="S4533" s="28" t="n">
        <f aca="false">R4533*$M4533</f>
        <v>0</v>
      </c>
      <c r="T4533" s="28" t="n">
        <v>126481</v>
      </c>
      <c r="U4533" s="28" t="n">
        <v>2150177</v>
      </c>
      <c r="V4533" s="28"/>
      <c r="W4533" s="28" t="n">
        <f aca="false">V4533*$M4533</f>
        <v>0</v>
      </c>
      <c r="X4533" s="28"/>
      <c r="Y4533" s="28" t="n">
        <f aca="false">X4533*$M4533</f>
        <v>0</v>
      </c>
      <c r="Z4533" s="28"/>
      <c r="AA4533" s="28" t="n">
        <f aca="false">Z4533*$M4533</f>
        <v>0</v>
      </c>
      <c r="AB4533" s="28"/>
      <c r="AC4533" s="28" t="n">
        <f aca="false">AB4533*$M4533</f>
        <v>0</v>
      </c>
      <c r="AD4533" s="28"/>
      <c r="AE4533" s="28" t="n">
        <f aca="false">AD4533*$M4533</f>
        <v>0</v>
      </c>
      <c r="AF4533" s="28"/>
      <c r="AG4533" s="28" t="n">
        <f aca="false">AF4533*$M4533</f>
        <v>0</v>
      </c>
      <c r="AH4533" s="28"/>
      <c r="AI4533" s="28" t="n">
        <f aca="false">AH4533*$M4533</f>
        <v>0</v>
      </c>
      <c r="AJ4533" s="28"/>
      <c r="AK4533" s="28" t="n">
        <f aca="false">AJ4533*$M4533</f>
        <v>0</v>
      </c>
      <c r="AL4533" s="28"/>
      <c r="AM4533" s="28" t="n">
        <f aca="false">AL4533*$M4533</f>
        <v>0</v>
      </c>
      <c r="AN4533" s="28"/>
      <c r="AO4533" s="28" t="n">
        <f aca="false">AN4533*$M4533</f>
        <v>0</v>
      </c>
      <c r="AP4533" s="28"/>
      <c r="AQ4533" s="28" t="n">
        <f aca="false">AP4533*$M4533</f>
        <v>0</v>
      </c>
      <c r="AR4533" s="28"/>
      <c r="AS4533" s="28" t="n">
        <f aca="false">AR4533*$M4533</f>
        <v>0</v>
      </c>
      <c r="AT4533" s="28"/>
      <c r="AU4533" s="28" t="n">
        <f aca="false">AT4533*$M4533</f>
        <v>0</v>
      </c>
      <c r="AV4533" s="28"/>
      <c r="AW4533" s="28" t="n">
        <f aca="false">AV4533*$M4533</f>
        <v>0</v>
      </c>
      <c r="AX4533" s="28"/>
      <c r="AY4533" s="28" t="n">
        <f aca="false">AX4533*$M4533</f>
        <v>0</v>
      </c>
      <c r="AZ4533" s="30" t="n">
        <v>126481</v>
      </c>
      <c r="BA4533" s="11" t="n">
        <v>2150177</v>
      </c>
      <c r="BB4533" s="31" t="n">
        <f aca="false">SUM(Q4533,S4533,U4533,W4533,Y4533,AA4533,AC4533,AE4533,AG4533,AI4533,AK4533,AM4533,AO4533,AQ4533,AS4533,AU4533,AW4533,AY4533)</f>
        <v>2150177</v>
      </c>
      <c r="BC4533" s="28" t="n">
        <f aca="false">BA4533-BB4533</f>
        <v>0</v>
      </c>
      <c r="BD4533" s="32" t="n">
        <f aca="false">SUM(P4533,R4533,T4533,V4533,X4533,Z4533,AB4533,AD4533,AF4533,AH4533,AJ4533,AL4533,AN4533,AP4533,AR4533,AT4533,AV4533,AX4533)</f>
        <v>126481</v>
      </c>
      <c r="BE4533" s="33" t="n">
        <f aca="false">AZ4533-BD4533</f>
        <v>0</v>
      </c>
      <c r="BF4533" s="34" t="n">
        <f aca="false">BD4533*M4533</f>
        <v>2150177</v>
      </c>
      <c r="BG4533" s="35" t="n">
        <f aca="false">BA4533-BF4533</f>
        <v>0</v>
      </c>
      <c r="BH4533" s="19" t="str">
        <f aca="false">IF(BG4533=0,"",IF(BG4533&lt;&gt;BA4533,"erreur de calcul",IF(BD4533&lt;&gt;0,"pas de prix",IF(M4533&lt;&gt; 0,"pas de quantité","pas de prix, ni de quantité"))))</f>
        <v/>
      </c>
      <c r="BI4533" s="19"/>
    </row>
    <row r="4534" customFormat="false" ht="15" hidden="false" customHeight="false" outlineLevel="0" collapsed="false">
      <c r="A4534" s="0" t="n">
        <v>32</v>
      </c>
      <c r="B4534" s="8" t="s">
        <v>24</v>
      </c>
      <c r="C4534" s="9" t="s">
        <v>25</v>
      </c>
      <c r="D4534" s="9" t="s">
        <v>26</v>
      </c>
      <c r="E4534" s="10" t="n">
        <v>1789</v>
      </c>
      <c r="F4534" s="9" t="s">
        <v>27</v>
      </c>
      <c r="G4534" s="9" t="s">
        <v>27</v>
      </c>
      <c r="H4534" s="11" t="n">
        <v>26</v>
      </c>
      <c r="I4534" s="11" t="s">
        <v>403</v>
      </c>
      <c r="J4534" s="14" t="n">
        <v>28</v>
      </c>
      <c r="K4534" s="14"/>
      <c r="L4534" s="16"/>
      <c r="M4534" s="27" t="n">
        <f aca="false">J4534+(K4534/20)+(L4534/240)</f>
        <v>28</v>
      </c>
      <c r="N4534" s="17" t="s">
        <v>66</v>
      </c>
      <c r="O4534" s="11"/>
      <c r="P4534" s="28"/>
      <c r="Q4534" s="28" t="n">
        <f aca="false">P4534*$M4534</f>
        <v>0</v>
      </c>
      <c r="R4534" s="28"/>
      <c r="S4534" s="28" t="n">
        <f aca="false">R4534*$M4534</f>
        <v>0</v>
      </c>
      <c r="T4534" s="28"/>
      <c r="U4534" s="28" t="n">
        <f aca="false">T4534*$M4534</f>
        <v>0</v>
      </c>
      <c r="V4534" s="28" t="n">
        <v>1923</v>
      </c>
      <c r="W4534" s="28" t="n">
        <v>53844</v>
      </c>
      <c r="X4534" s="28" t="n">
        <v>7280</v>
      </c>
      <c r="Y4534" s="36" t="n">
        <v>203860</v>
      </c>
      <c r="Z4534" s="28"/>
      <c r="AA4534" s="28" t="n">
        <f aca="false">Z4534*$M4534</f>
        <v>0</v>
      </c>
      <c r="AB4534" s="28" t="n">
        <v>128803</v>
      </c>
      <c r="AC4534" s="28" t="n">
        <v>3606484</v>
      </c>
      <c r="AD4534" s="28"/>
      <c r="AE4534" s="28" t="n">
        <f aca="false">AD4534*$M4534</f>
        <v>0</v>
      </c>
      <c r="AF4534" s="28"/>
      <c r="AG4534" s="28" t="n">
        <f aca="false">AF4534*$M4534</f>
        <v>0</v>
      </c>
      <c r="AH4534" s="28"/>
      <c r="AI4534" s="28" t="n">
        <f aca="false">AH4534*$M4534</f>
        <v>0</v>
      </c>
      <c r="AJ4534" s="28"/>
      <c r="AK4534" s="28" t="n">
        <f aca="false">AJ4534*$M4534</f>
        <v>0</v>
      </c>
      <c r="AL4534" s="28"/>
      <c r="AM4534" s="28" t="n">
        <f aca="false">AL4534*$M4534</f>
        <v>0</v>
      </c>
      <c r="AN4534" s="28"/>
      <c r="AO4534" s="28" t="n">
        <f aca="false">AN4534*$M4534</f>
        <v>0</v>
      </c>
      <c r="AP4534" s="28"/>
      <c r="AQ4534" s="28" t="n">
        <f aca="false">AP4534*$M4534</f>
        <v>0</v>
      </c>
      <c r="AR4534" s="28"/>
      <c r="AS4534" s="28" t="n">
        <f aca="false">AR4534*$M4534</f>
        <v>0</v>
      </c>
      <c r="AT4534" s="28"/>
      <c r="AU4534" s="28" t="n">
        <f aca="false">AT4534*$M4534</f>
        <v>0</v>
      </c>
      <c r="AV4534" s="28"/>
      <c r="AW4534" s="28" t="n">
        <f aca="false">AV4534*$M4534</f>
        <v>0</v>
      </c>
      <c r="AX4534" s="28"/>
      <c r="AY4534" s="28" t="n">
        <f aca="false">AX4534*$M4534</f>
        <v>0</v>
      </c>
      <c r="AZ4534" s="30" t="n">
        <v>138006</v>
      </c>
      <c r="BA4534" s="11" t="n">
        <v>3864188</v>
      </c>
      <c r="BB4534" s="31" t="n">
        <f aca="false">SUM(Q4534,S4534,U4534,W4534,Y4534,AA4534,AC4534,AE4534,AG4534,AI4534,AK4534,AM4534,AO4534,AQ4534,AS4534,AU4534,AW4534,AY4534)</f>
        <v>3864188</v>
      </c>
      <c r="BC4534" s="28" t="n">
        <f aca="false">BA4534-BB4534</f>
        <v>0</v>
      </c>
      <c r="BD4534" s="32" t="n">
        <f aca="false">SUM(P4534,R4534,T4534,V4534,X4534,Z4534,AB4534,AD4534,AF4534,AH4534,AJ4534,AL4534,AN4534,AP4534,AR4534,AT4534,AV4534,AX4534)</f>
        <v>138006</v>
      </c>
      <c r="BE4534" s="33" t="n">
        <f aca="false">AZ4534-BD4534</f>
        <v>0</v>
      </c>
      <c r="BF4534" s="34" t="n">
        <f aca="false">BD4534*M4534</f>
        <v>3864168</v>
      </c>
      <c r="BG4534" s="35" t="n">
        <f aca="false">BA4534-BF4534</f>
        <v>20</v>
      </c>
      <c r="BH4534" s="19" t="str">
        <f aca="false">IF(BG4534=0,"",IF(BG4534&lt;&gt;BA4534,"erreur de calcul",IF(BD4534&lt;&gt;0,"pas de prix",IF(M4534&lt;&gt; 0,"pas de quantité","pas de prix, ni de quantité"))))</f>
        <v>erreur de calcul</v>
      </c>
      <c r="BI4534" s="19"/>
    </row>
    <row r="4535" customFormat="false" ht="15" hidden="false" customHeight="false" outlineLevel="0" collapsed="false">
      <c r="A4535" s="0" t="n">
        <v>33</v>
      </c>
      <c r="B4535" s="8" t="s">
        <v>24</v>
      </c>
      <c r="C4535" s="9" t="s">
        <v>25</v>
      </c>
      <c r="D4535" s="9" t="s">
        <v>26</v>
      </c>
      <c r="E4535" s="10" t="n">
        <v>1789</v>
      </c>
      <c r="F4535" s="9" t="s">
        <v>27</v>
      </c>
      <c r="G4535" s="9" t="s">
        <v>27</v>
      </c>
      <c r="H4535" s="11" t="n">
        <v>26</v>
      </c>
      <c r="I4535" s="11" t="s">
        <v>404</v>
      </c>
      <c r="J4535" s="14"/>
      <c r="K4535" s="14" t="n">
        <v>30</v>
      </c>
      <c r="L4535" s="16"/>
      <c r="M4535" s="27" t="n">
        <f aca="false">J4535+(K4535/20)+(L4535/240)</f>
        <v>1.5</v>
      </c>
      <c r="N4535" s="17" t="s">
        <v>66</v>
      </c>
      <c r="O4535" s="11"/>
      <c r="P4535" s="28"/>
      <c r="Q4535" s="28" t="n">
        <f aca="false">P4535*$M4535</f>
        <v>0</v>
      </c>
      <c r="R4535" s="28"/>
      <c r="S4535" s="28" t="n">
        <f aca="false">R4535*$M4535</f>
        <v>0</v>
      </c>
      <c r="T4535" s="28" t="n">
        <v>11245</v>
      </c>
      <c r="U4535" s="28" t="n">
        <v>16867</v>
      </c>
      <c r="V4535" s="28"/>
      <c r="W4535" s="28" t="n">
        <f aca="false">V4535*$M4535</f>
        <v>0</v>
      </c>
      <c r="X4535" s="28"/>
      <c r="Y4535" s="28" t="n">
        <f aca="false">X4535*$M4535</f>
        <v>0</v>
      </c>
      <c r="Z4535" s="28"/>
      <c r="AA4535" s="28" t="n">
        <f aca="false">Z4535*$M4535</f>
        <v>0</v>
      </c>
      <c r="AB4535" s="28"/>
      <c r="AC4535" s="28" t="n">
        <f aca="false">AB4535*$M4535</f>
        <v>0</v>
      </c>
      <c r="AD4535" s="28"/>
      <c r="AE4535" s="28" t="n">
        <f aca="false">AD4535*$M4535</f>
        <v>0</v>
      </c>
      <c r="AF4535" s="28"/>
      <c r="AG4535" s="28" t="n">
        <f aca="false">AF4535*$M4535</f>
        <v>0</v>
      </c>
      <c r="AH4535" s="28"/>
      <c r="AI4535" s="28" t="n">
        <f aca="false">AH4535*$M4535</f>
        <v>0</v>
      </c>
      <c r="AJ4535" s="28"/>
      <c r="AK4535" s="28" t="n">
        <f aca="false">AJ4535*$M4535</f>
        <v>0</v>
      </c>
      <c r="AL4535" s="28"/>
      <c r="AM4535" s="28" t="n">
        <f aca="false">AL4535*$M4535</f>
        <v>0</v>
      </c>
      <c r="AN4535" s="28"/>
      <c r="AO4535" s="28" t="n">
        <f aca="false">AN4535*$M4535</f>
        <v>0</v>
      </c>
      <c r="AP4535" s="28"/>
      <c r="AQ4535" s="28" t="n">
        <f aca="false">AP4535*$M4535</f>
        <v>0</v>
      </c>
      <c r="AR4535" s="28"/>
      <c r="AS4535" s="28" t="n">
        <f aca="false">AR4535*$M4535</f>
        <v>0</v>
      </c>
      <c r="AT4535" s="28"/>
      <c r="AU4535" s="28" t="n">
        <f aca="false">AT4535*$M4535</f>
        <v>0</v>
      </c>
      <c r="AV4535" s="28"/>
      <c r="AW4535" s="28" t="n">
        <f aca="false">AV4535*$M4535</f>
        <v>0</v>
      </c>
      <c r="AX4535" s="28"/>
      <c r="AY4535" s="28" t="n">
        <f aca="false">AX4535*$M4535</f>
        <v>0</v>
      </c>
      <c r="AZ4535" s="30" t="n">
        <v>11245</v>
      </c>
      <c r="BA4535" s="11" t="n">
        <v>16867</v>
      </c>
      <c r="BB4535" s="31" t="n">
        <f aca="false">SUM(Q4535,S4535,U4535,W4535,Y4535,AA4535,AC4535,AE4535,AG4535,AI4535,AK4535,AM4535,AO4535,AQ4535,AS4535,AU4535,AW4535,AY4535)</f>
        <v>16867</v>
      </c>
      <c r="BC4535" s="28" t="n">
        <f aca="false">BA4535-BB4535</f>
        <v>0</v>
      </c>
      <c r="BD4535" s="32" t="n">
        <f aca="false">SUM(P4535,R4535,T4535,V4535,X4535,Z4535,AB4535,AD4535,AF4535,AH4535,AJ4535,AL4535,AN4535,AP4535,AR4535,AT4535,AV4535,AX4535)</f>
        <v>11245</v>
      </c>
      <c r="BE4535" s="33" t="n">
        <f aca="false">AZ4535-BD4535</f>
        <v>0</v>
      </c>
      <c r="BF4535" s="34" t="n">
        <f aca="false">BD4535*M4535</f>
        <v>16867.5</v>
      </c>
      <c r="BG4535" s="35" t="n">
        <f aca="false">BA4535-BF4535</f>
        <v>-0.5</v>
      </c>
      <c r="BH4535" s="19" t="str">
        <f aca="false">IF(BG4535=0,"",IF(BG4535&lt;&gt;BA4535,"erreur de calcul",IF(BD4535&lt;&gt;0,"pas de prix",IF(M4535&lt;&gt; 0,"pas de quantité","pas de prix, ni de quantité"))))</f>
        <v>erreur de calcul</v>
      </c>
      <c r="BI4535" s="19"/>
    </row>
    <row r="4536" customFormat="false" ht="15" hidden="false" customHeight="false" outlineLevel="0" collapsed="false">
      <c r="A4536" s="0" t="n">
        <v>34</v>
      </c>
      <c r="B4536" s="8" t="s">
        <v>24</v>
      </c>
      <c r="C4536" s="9" t="s">
        <v>25</v>
      </c>
      <c r="D4536" s="9" t="s">
        <v>26</v>
      </c>
      <c r="E4536" s="10" t="n">
        <v>1789</v>
      </c>
      <c r="F4536" s="9" t="s">
        <v>27</v>
      </c>
      <c r="G4536" s="9" t="s">
        <v>27</v>
      </c>
      <c r="H4536" s="11" t="n">
        <v>26</v>
      </c>
      <c r="I4536" s="11" t="s">
        <v>405</v>
      </c>
      <c r="J4536" s="14"/>
      <c r="K4536" s="14" t="n">
        <v>40</v>
      </c>
      <c r="L4536" s="16"/>
      <c r="M4536" s="27" t="n">
        <f aca="false">J4536+(K4536/20)+(L4536/240)</f>
        <v>2</v>
      </c>
      <c r="N4536" s="17" t="s">
        <v>66</v>
      </c>
      <c r="O4536" s="11"/>
      <c r="P4536" s="28"/>
      <c r="Q4536" s="28" t="n">
        <f aca="false">P4536*$M4536</f>
        <v>0</v>
      </c>
      <c r="R4536" s="28"/>
      <c r="S4536" s="28" t="n">
        <f aca="false">R4536*$M4536</f>
        <v>0</v>
      </c>
      <c r="T4536" s="28"/>
      <c r="U4536" s="28" t="n">
        <f aca="false">T4536*$M4536</f>
        <v>0</v>
      </c>
      <c r="V4536" s="28"/>
      <c r="W4536" s="28" t="n">
        <f aca="false">V4536*$M4536</f>
        <v>0</v>
      </c>
      <c r="X4536" s="28"/>
      <c r="Y4536" s="28" t="n">
        <f aca="false">X4536*$M4536</f>
        <v>0</v>
      </c>
      <c r="Z4536" s="28"/>
      <c r="AA4536" s="28" t="n">
        <f aca="false">Z4536*$M4536</f>
        <v>0</v>
      </c>
      <c r="AB4536" s="28"/>
      <c r="AC4536" s="28" t="n">
        <f aca="false">AB4536*$M4536</f>
        <v>0</v>
      </c>
      <c r="AD4536" s="28"/>
      <c r="AE4536" s="28" t="n">
        <f aca="false">AD4536*$M4536</f>
        <v>0</v>
      </c>
      <c r="AF4536" s="28"/>
      <c r="AG4536" s="28" t="n">
        <f aca="false">AF4536*$M4536</f>
        <v>0</v>
      </c>
      <c r="AH4536" s="28" t="n">
        <v>9380</v>
      </c>
      <c r="AI4536" s="28" t="n">
        <v>18760</v>
      </c>
      <c r="AJ4536" s="28"/>
      <c r="AK4536" s="28" t="n">
        <f aca="false">AJ4536*$M4536</f>
        <v>0</v>
      </c>
      <c r="AL4536" s="28"/>
      <c r="AM4536" s="28" t="n">
        <f aca="false">AL4536*$M4536</f>
        <v>0</v>
      </c>
      <c r="AN4536" s="28"/>
      <c r="AO4536" s="28" t="n">
        <f aca="false">AN4536*$M4536</f>
        <v>0</v>
      </c>
      <c r="AP4536" s="28"/>
      <c r="AQ4536" s="28" t="n">
        <f aca="false">AP4536*$M4536</f>
        <v>0</v>
      </c>
      <c r="AR4536" s="28"/>
      <c r="AS4536" s="28" t="n">
        <f aca="false">AR4536*$M4536</f>
        <v>0</v>
      </c>
      <c r="AT4536" s="28"/>
      <c r="AU4536" s="28" t="n">
        <f aca="false">AT4536*$M4536</f>
        <v>0</v>
      </c>
      <c r="AV4536" s="28"/>
      <c r="AW4536" s="28" t="n">
        <f aca="false">AV4536*$M4536</f>
        <v>0</v>
      </c>
      <c r="AX4536" s="28"/>
      <c r="AY4536" s="28" t="n">
        <f aca="false">AX4536*$M4536</f>
        <v>0</v>
      </c>
      <c r="AZ4536" s="30" t="n">
        <v>9380</v>
      </c>
      <c r="BA4536" s="11" t="n">
        <v>18760</v>
      </c>
      <c r="BB4536" s="31" t="n">
        <f aca="false">SUM(Q4536,S4536,U4536,W4536,Y4536,AA4536,AC4536,AE4536,AG4536,AI4536,AK4536,AM4536,AO4536,AQ4536,AS4536,AU4536,AW4536,AY4536)</f>
        <v>18760</v>
      </c>
      <c r="BC4536" s="28" t="n">
        <f aca="false">BA4536-BB4536</f>
        <v>0</v>
      </c>
      <c r="BD4536" s="32" t="n">
        <f aca="false">SUM(P4536,R4536,T4536,V4536,X4536,Z4536,AB4536,AD4536,AF4536,AH4536,AJ4536,AL4536,AN4536,AP4536,AR4536,AT4536,AV4536,AX4536)</f>
        <v>9380</v>
      </c>
      <c r="BE4536" s="33" t="n">
        <f aca="false">AZ4536-BD4536</f>
        <v>0</v>
      </c>
      <c r="BF4536" s="34" t="n">
        <f aca="false">BD4536*M4536</f>
        <v>18760</v>
      </c>
      <c r="BG4536" s="35" t="n">
        <f aca="false">BA4536-BF4536</f>
        <v>0</v>
      </c>
      <c r="BH4536" s="19" t="str">
        <f aca="false">IF(BG4536=0,"",IF(BG4536&lt;&gt;BA4536,"erreur de calcul",IF(BD4536&lt;&gt;0,"pas de prix",IF(M4536&lt;&gt; 0,"pas de quantité","pas de prix, ni de quantité"))))</f>
        <v/>
      </c>
      <c r="BI4536" s="19"/>
    </row>
    <row r="4537" customFormat="false" ht="15" hidden="false" customHeight="false" outlineLevel="0" collapsed="false">
      <c r="A4537" s="0" t="n">
        <v>35</v>
      </c>
      <c r="B4537" s="8" t="s">
        <v>24</v>
      </c>
      <c r="C4537" s="9" t="s">
        <v>25</v>
      </c>
      <c r="D4537" s="9" t="s">
        <v>26</v>
      </c>
      <c r="E4537" s="10" t="n">
        <v>1789</v>
      </c>
      <c r="F4537" s="9" t="s">
        <v>27</v>
      </c>
      <c r="G4537" s="9" t="s">
        <v>27</v>
      </c>
      <c r="H4537" s="11" t="n">
        <v>26</v>
      </c>
      <c r="I4537" s="11" t="s">
        <v>406</v>
      </c>
      <c r="J4537" s="14" t="n">
        <v>55</v>
      </c>
      <c r="K4537" s="14"/>
      <c r="L4537" s="16"/>
      <c r="M4537" s="27" t="n">
        <f aca="false">J4537+(K4537/20)+(L4537/240)</f>
        <v>55</v>
      </c>
      <c r="N4537" s="17" t="s">
        <v>64</v>
      </c>
      <c r="O4537" s="11"/>
      <c r="P4537" s="28" t="n">
        <f aca="false">634/100</f>
        <v>6.34</v>
      </c>
      <c r="Q4537" s="28" t="n">
        <v>349</v>
      </c>
      <c r="R4537" s="28"/>
      <c r="S4537" s="28" t="n">
        <f aca="false">R4537*$M4537</f>
        <v>0</v>
      </c>
      <c r="T4537" s="28" t="n">
        <f aca="false">2450/100</f>
        <v>24.5</v>
      </c>
      <c r="U4537" s="28" t="n">
        <v>1347</v>
      </c>
      <c r="V4537" s="28" t="n">
        <f aca="false">9685/100</f>
        <v>96.85</v>
      </c>
      <c r="W4537" s="28" t="n">
        <v>5327</v>
      </c>
      <c r="X4537" s="28"/>
      <c r="Y4537" s="28" t="n">
        <f aca="false">X4537*$M4537</f>
        <v>0</v>
      </c>
      <c r="Z4537" s="28"/>
      <c r="AA4537" s="28" t="n">
        <f aca="false">Z4537*$M4537</f>
        <v>0</v>
      </c>
      <c r="AB4537" s="28"/>
      <c r="AC4537" s="28" t="n">
        <f aca="false">AB4537*$M4537</f>
        <v>0</v>
      </c>
      <c r="AD4537" s="28"/>
      <c r="AE4537" s="28" t="n">
        <f aca="false">AD4537*$M4537</f>
        <v>0</v>
      </c>
      <c r="AF4537" s="28"/>
      <c r="AG4537" s="28" t="n">
        <f aca="false">AF4537*$M4537</f>
        <v>0</v>
      </c>
      <c r="AH4537" s="28"/>
      <c r="AI4537" s="28" t="n">
        <f aca="false">AH4537*$M4537</f>
        <v>0</v>
      </c>
      <c r="AJ4537" s="28"/>
      <c r="AK4537" s="28" t="n">
        <f aca="false">AJ4537*$M4537</f>
        <v>0</v>
      </c>
      <c r="AL4537" s="28"/>
      <c r="AM4537" s="28" t="n">
        <f aca="false">AL4537*$M4537</f>
        <v>0</v>
      </c>
      <c r="AN4537" s="28"/>
      <c r="AO4537" s="28" t="n">
        <f aca="false">AN4537*$M4537</f>
        <v>0</v>
      </c>
      <c r="AP4537" s="28"/>
      <c r="AQ4537" s="28" t="n">
        <f aca="false">AP4537*$M4537</f>
        <v>0</v>
      </c>
      <c r="AR4537" s="28"/>
      <c r="AS4537" s="28" t="n">
        <f aca="false">AR4537*$M4537</f>
        <v>0</v>
      </c>
      <c r="AT4537" s="28"/>
      <c r="AU4537" s="28" t="n">
        <f aca="false">AT4537*$M4537</f>
        <v>0</v>
      </c>
      <c r="AV4537" s="28"/>
      <c r="AW4537" s="28" t="n">
        <f aca="false">AV4537*$M4537</f>
        <v>0</v>
      </c>
      <c r="AX4537" s="28"/>
      <c r="AY4537" s="28" t="n">
        <f aca="false">AX4537*$M4537</f>
        <v>0</v>
      </c>
      <c r="AZ4537" s="30" t="n">
        <f aca="false">12769/100</f>
        <v>127.69</v>
      </c>
      <c r="BA4537" s="11" t="n">
        <v>7023</v>
      </c>
      <c r="BB4537" s="31" t="n">
        <f aca="false">SUM(Q4537,S4537,U4537,W4537,Y4537,AA4537,AC4537,AE4537,AG4537,AI4537,AK4537,AM4537,AO4537,AQ4537,AS4537,AU4537,AW4537,AY4537)</f>
        <v>7023</v>
      </c>
      <c r="BC4537" s="28" t="n">
        <f aca="false">BA4537-BB4537</f>
        <v>0</v>
      </c>
      <c r="BD4537" s="32" t="n">
        <f aca="false">SUM(P4537,R4537,T4537,V4537,X4537,Z4537,AB4537,AD4537,AF4537,AH4537,AJ4537,AL4537,AN4537,AP4537,AR4537,AT4537,AV4537,AX4537)</f>
        <v>127.69</v>
      </c>
      <c r="BE4537" s="33" t="n">
        <f aca="false">AZ4537-BD4537</f>
        <v>0</v>
      </c>
      <c r="BF4537" s="34" t="n">
        <f aca="false">BD4537*M4537</f>
        <v>7022.95</v>
      </c>
      <c r="BG4537" s="35" t="n">
        <f aca="false">BA4537-BF4537</f>
        <v>0.0500000000001819</v>
      </c>
      <c r="BH4537" s="19" t="str">
        <f aca="false">IF(BG4537=0,"",IF(BG4537&lt;&gt;BA4537,"erreur de calcul",IF(BD4537&lt;&gt;0,"pas de prix",IF(M4537&lt;&gt; 0,"pas de quantité","pas de prix, ni de quantité"))))</f>
        <v>erreur de calcul</v>
      </c>
      <c r="BI4537" s="19"/>
    </row>
    <row r="4538" customFormat="false" ht="15" hidden="false" customHeight="false" outlineLevel="0" collapsed="false">
      <c r="A4538" s="0" t="n">
        <v>36</v>
      </c>
      <c r="B4538" s="8" t="s">
        <v>24</v>
      </c>
      <c r="C4538" s="9" t="s">
        <v>25</v>
      </c>
      <c r="D4538" s="9" t="s">
        <v>26</v>
      </c>
      <c r="E4538" s="10" t="n">
        <v>1789</v>
      </c>
      <c r="F4538" s="9" t="s">
        <v>27</v>
      </c>
      <c r="G4538" s="9" t="s">
        <v>27</v>
      </c>
      <c r="H4538" s="11" t="n">
        <v>26</v>
      </c>
      <c r="I4538" s="11" t="s">
        <v>407</v>
      </c>
      <c r="J4538" s="14" t="n">
        <v>44</v>
      </c>
      <c r="K4538" s="14"/>
      <c r="L4538" s="16"/>
      <c r="M4538" s="27" t="n">
        <f aca="false">J4538+(K4538/20)+(L4538/240)</f>
        <v>44</v>
      </c>
      <c r="N4538" s="17" t="s">
        <v>64</v>
      </c>
      <c r="O4538" s="11" t="s">
        <v>77</v>
      </c>
      <c r="P4538" s="28" t="n">
        <f aca="false">68669/100</f>
        <v>686.69</v>
      </c>
      <c r="Q4538" s="28" t="n">
        <v>30214</v>
      </c>
      <c r="R4538" s="28"/>
      <c r="S4538" s="28" t="n">
        <f aca="false">R4538*$M4538</f>
        <v>0</v>
      </c>
      <c r="T4538" s="28" t="n">
        <f aca="false">7101/100</f>
        <v>71.01</v>
      </c>
      <c r="U4538" s="28" t="n">
        <v>3124</v>
      </c>
      <c r="V4538" s="28" t="n">
        <f aca="false">27549/100</f>
        <v>275.49</v>
      </c>
      <c r="W4538" s="28" t="n">
        <v>12121</v>
      </c>
      <c r="X4538" s="28" t="n">
        <f aca="false">947914/100</f>
        <v>9479.14</v>
      </c>
      <c r="Y4538" s="28" t="n">
        <v>417082</v>
      </c>
      <c r="Z4538" s="28" t="n">
        <f aca="false">183606/100</f>
        <v>1836.06</v>
      </c>
      <c r="AA4538" s="28" t="n">
        <v>80787</v>
      </c>
      <c r="AB4538" s="28" t="n">
        <f aca="false">36047/100</f>
        <v>360.47</v>
      </c>
      <c r="AC4538" s="28" t="n">
        <v>15861</v>
      </c>
      <c r="AD4538" s="28" t="n">
        <f aca="false">12322/100</f>
        <v>123.22</v>
      </c>
      <c r="AE4538" s="28" t="n">
        <v>5422</v>
      </c>
      <c r="AF4538" s="28"/>
      <c r="AG4538" s="28" t="n">
        <f aca="false">AF4538*$M4538</f>
        <v>0</v>
      </c>
      <c r="AH4538" s="28" t="n">
        <f aca="false">3318/100</f>
        <v>33.18</v>
      </c>
      <c r="AI4538" s="28" t="n">
        <v>1460</v>
      </c>
      <c r="AJ4538" s="28"/>
      <c r="AK4538" s="28" t="n">
        <f aca="false">AJ4538*$M4538</f>
        <v>0</v>
      </c>
      <c r="AL4538" s="28" t="n">
        <f aca="false">28260/100</f>
        <v>282.6</v>
      </c>
      <c r="AM4538" s="28" t="n">
        <v>12434</v>
      </c>
      <c r="AN4538" s="28"/>
      <c r="AO4538" s="28" t="n">
        <f aca="false">AN4538*$M4538</f>
        <v>0</v>
      </c>
      <c r="AP4538" s="28"/>
      <c r="AQ4538" s="28" t="n">
        <f aca="false">AP4538*$M4538</f>
        <v>0</v>
      </c>
      <c r="AR4538" s="28"/>
      <c r="AS4538" s="28" t="n">
        <f aca="false">AR4538*$M4538</f>
        <v>0</v>
      </c>
      <c r="AT4538" s="28"/>
      <c r="AU4538" s="28" t="n">
        <f aca="false">AT4538*$M4538</f>
        <v>0</v>
      </c>
      <c r="AV4538" s="28"/>
      <c r="AW4538" s="28" t="n">
        <f aca="false">AV4538*$M4538</f>
        <v>0</v>
      </c>
      <c r="AX4538" s="28"/>
      <c r="AY4538" s="28" t="n">
        <f aca="false">AX4538*$M4538</f>
        <v>0</v>
      </c>
      <c r="AZ4538" s="30" t="n">
        <f aca="false">1314786/100</f>
        <v>13147.86</v>
      </c>
      <c r="BA4538" s="11" t="n">
        <v>578505</v>
      </c>
      <c r="BB4538" s="31" t="n">
        <f aca="false">SUM(Q4538,S4538,U4538,W4538,Y4538,AA4538,AC4538,AE4538,AG4538,AI4538,AK4538,AM4538,AO4538,AQ4538,AS4538,AU4538,AW4538,AY4538)</f>
        <v>578505</v>
      </c>
      <c r="BC4538" s="28" t="n">
        <f aca="false">BA4538-BB4538</f>
        <v>0</v>
      </c>
      <c r="BD4538" s="32" t="n">
        <f aca="false">SUM(P4538,R4538,T4538,V4538,X4538,Z4538,AB4538,AD4538,AF4538,AH4538,AJ4538,AL4538,AN4538,AP4538,AR4538,AT4538,AV4538,AX4538)</f>
        <v>13147.86</v>
      </c>
      <c r="BE4538" s="33" t="n">
        <f aca="false">AZ4538-BD4538</f>
        <v>0</v>
      </c>
      <c r="BF4538" s="34" t="n">
        <f aca="false">BD4538*M4538</f>
        <v>578505.84</v>
      </c>
      <c r="BG4538" s="35" t="n">
        <f aca="false">BA4538-BF4538</f>
        <v>-0.839999999967404</v>
      </c>
      <c r="BH4538" s="19" t="str">
        <f aca="false">IF(BG4538=0,"",IF(BG4538&lt;&gt;BA4538,"erreur de calcul",IF(BD4538&lt;&gt;0,"pas de prix",IF(M4538&lt;&gt; 0,"pas de quantité","pas de prix, ni de quantité"))))</f>
        <v>erreur de calcul</v>
      </c>
      <c r="BI4538" s="19"/>
    </row>
    <row r="4539" customFormat="false" ht="15" hidden="false" customHeight="false" outlineLevel="0" collapsed="false">
      <c r="A4539" s="0" t="n">
        <v>37</v>
      </c>
      <c r="B4539" s="8" t="s">
        <v>24</v>
      </c>
      <c r="C4539" s="9" t="s">
        <v>25</v>
      </c>
      <c r="D4539" s="9" t="s">
        <v>26</v>
      </c>
      <c r="E4539" s="10" t="n">
        <v>1789</v>
      </c>
      <c r="F4539" s="9" t="s">
        <v>27</v>
      </c>
      <c r="G4539" s="9" t="s">
        <v>27</v>
      </c>
      <c r="H4539" s="11" t="n">
        <v>26</v>
      </c>
      <c r="I4539" s="11" t="s">
        <v>408</v>
      </c>
      <c r="J4539" s="14" t="n">
        <v>40</v>
      </c>
      <c r="K4539" s="14"/>
      <c r="L4539" s="16"/>
      <c r="M4539" s="27" t="n">
        <f aca="false">J4539+(K4539/20)+(L4539/240)</f>
        <v>40</v>
      </c>
      <c r="N4539" s="17" t="s">
        <v>64</v>
      </c>
      <c r="O4539" s="11"/>
      <c r="P4539" s="28"/>
      <c r="Q4539" s="28" t="n">
        <f aca="false">P4539*$M4539</f>
        <v>0</v>
      </c>
      <c r="R4539" s="28"/>
      <c r="S4539" s="28" t="n">
        <f aca="false">R4539*$M4539</f>
        <v>0</v>
      </c>
      <c r="T4539" s="28"/>
      <c r="U4539" s="28" t="n">
        <f aca="false">T4539*$M4539</f>
        <v>0</v>
      </c>
      <c r="V4539" s="28" t="n">
        <f aca="false">4827/100</f>
        <v>48.27</v>
      </c>
      <c r="W4539" s="28" t="n">
        <v>1931</v>
      </c>
      <c r="X4539" s="28"/>
      <c r="Y4539" s="28" t="n">
        <f aca="false">X4539*$M4539</f>
        <v>0</v>
      </c>
      <c r="Z4539" s="28"/>
      <c r="AA4539" s="28" t="n">
        <f aca="false">Z4539*$M4539</f>
        <v>0</v>
      </c>
      <c r="AB4539" s="28"/>
      <c r="AC4539" s="28" t="n">
        <f aca="false">AB4539*$M4539</f>
        <v>0</v>
      </c>
      <c r="AD4539" s="28"/>
      <c r="AE4539" s="28" t="n">
        <f aca="false">AD4539*$M4539</f>
        <v>0</v>
      </c>
      <c r="AF4539" s="28"/>
      <c r="AG4539" s="28" t="n">
        <f aca="false">AF4539*$M4539</f>
        <v>0</v>
      </c>
      <c r="AH4539" s="28"/>
      <c r="AI4539" s="28" t="n">
        <f aca="false">AH4539*$M4539</f>
        <v>0</v>
      </c>
      <c r="AJ4539" s="28"/>
      <c r="AK4539" s="28" t="n">
        <f aca="false">AJ4539*$M4539</f>
        <v>0</v>
      </c>
      <c r="AL4539" s="28"/>
      <c r="AM4539" s="28" t="n">
        <f aca="false">AL4539*$M4539</f>
        <v>0</v>
      </c>
      <c r="AN4539" s="28"/>
      <c r="AO4539" s="28" t="n">
        <f aca="false">AN4539*$M4539</f>
        <v>0</v>
      </c>
      <c r="AP4539" s="28"/>
      <c r="AQ4539" s="28" t="n">
        <f aca="false">AP4539*$M4539</f>
        <v>0</v>
      </c>
      <c r="AR4539" s="28"/>
      <c r="AS4539" s="28" t="n">
        <f aca="false">AR4539*$M4539</f>
        <v>0</v>
      </c>
      <c r="AT4539" s="28"/>
      <c r="AU4539" s="28" t="n">
        <f aca="false">AT4539*$M4539</f>
        <v>0</v>
      </c>
      <c r="AV4539" s="28"/>
      <c r="AW4539" s="28" t="n">
        <f aca="false">AV4539*$M4539</f>
        <v>0</v>
      </c>
      <c r="AX4539" s="28" t="n">
        <f aca="false">835109/100</f>
        <v>8351.09</v>
      </c>
      <c r="AY4539" s="28" t="n">
        <v>334044</v>
      </c>
      <c r="AZ4539" s="30" t="n">
        <f aca="false">839936/100</f>
        <v>8399.36</v>
      </c>
      <c r="BA4539" s="11" t="n">
        <v>335975</v>
      </c>
      <c r="BB4539" s="31" t="n">
        <f aca="false">SUM(Q4539,S4539,U4539,W4539,Y4539,AA4539,AC4539,AE4539,AG4539,AI4539,AK4539,AM4539,AO4539,AQ4539,AS4539,AU4539,AW4539,AY4539)</f>
        <v>335975</v>
      </c>
      <c r="BC4539" s="28" t="n">
        <f aca="false">BA4539-BB4539</f>
        <v>0</v>
      </c>
      <c r="BD4539" s="32" t="n">
        <f aca="false">SUM(P4539,R4539,T4539,V4539,X4539,Z4539,AB4539,AD4539,AF4539,AH4539,AJ4539,AL4539,AN4539,AP4539,AR4539,AT4539,AV4539,AX4539)</f>
        <v>8399.36</v>
      </c>
      <c r="BE4539" s="33" t="n">
        <f aca="false">AZ4539-BD4539</f>
        <v>0</v>
      </c>
      <c r="BF4539" s="34" t="n">
        <f aca="false">BD4539*M4539</f>
        <v>335974.4</v>
      </c>
      <c r="BG4539" s="35" t="n">
        <f aca="false">BA4539-BF4539</f>
        <v>0.599999999976717</v>
      </c>
      <c r="BH4539" s="19" t="str">
        <f aca="false">IF(BG4539=0,"",IF(BG4539&lt;&gt;BA4539,"erreur de calcul",IF(BD4539&lt;&gt;0,"pas de prix",IF(M4539&lt;&gt; 0,"pas de quantité","pas de prix, ni de quantité"))))</f>
        <v>erreur de calcul</v>
      </c>
      <c r="BI4539" s="19"/>
    </row>
    <row r="4540" customFormat="false" ht="16.65" hidden="false" customHeight="false" outlineLevel="0" collapsed="false">
      <c r="A4540" s="0" t="n">
        <v>38</v>
      </c>
      <c r="B4540" s="8" t="s">
        <v>24</v>
      </c>
      <c r="C4540" s="9" t="s">
        <v>25</v>
      </c>
      <c r="D4540" s="9" t="s">
        <v>26</v>
      </c>
      <c r="E4540" s="10" t="n">
        <v>1789</v>
      </c>
      <c r="F4540" s="9" t="s">
        <v>27</v>
      </c>
      <c r="G4540" s="9" t="s">
        <v>27</v>
      </c>
      <c r="H4540" s="11" t="n">
        <v>26</v>
      </c>
      <c r="I4540" s="11" t="s">
        <v>409</v>
      </c>
      <c r="J4540" s="14"/>
      <c r="K4540" s="14" t="n">
        <v>13</v>
      </c>
      <c r="L4540" s="16"/>
      <c r="M4540" s="27" t="n">
        <f aca="false">J4540+(K4540/20)+(L4540/240)</f>
        <v>0.65</v>
      </c>
      <c r="N4540" s="17" t="s">
        <v>64</v>
      </c>
      <c r="O4540" s="11"/>
      <c r="P4540" s="28"/>
      <c r="Q4540" s="28" t="n">
        <f aca="false">P4540*$M4540</f>
        <v>0</v>
      </c>
      <c r="R4540" s="28"/>
      <c r="S4540" s="28" t="n">
        <f aca="false">R4540*$M4540</f>
        <v>0</v>
      </c>
      <c r="T4540" s="28"/>
      <c r="U4540" s="28" t="n">
        <f aca="false">T4540*$M4540</f>
        <v>0</v>
      </c>
      <c r="V4540" s="28"/>
      <c r="W4540" s="28" t="n">
        <f aca="false">V4540*$M4540</f>
        <v>0</v>
      </c>
      <c r="X4540" s="28"/>
      <c r="Y4540" s="28" t="n">
        <f aca="false">X4540*$M4540</f>
        <v>0</v>
      </c>
      <c r="Z4540" s="28" t="n">
        <f aca="false">2471002/100</f>
        <v>24710.02</v>
      </c>
      <c r="AA4540" s="28" t="n">
        <v>16061</v>
      </c>
      <c r="AB4540" s="28"/>
      <c r="AC4540" s="28" t="n">
        <f aca="false">AB4540*$M4540</f>
        <v>0</v>
      </c>
      <c r="AD4540" s="28"/>
      <c r="AE4540" s="28" t="n">
        <f aca="false">AD4540*$M4540</f>
        <v>0</v>
      </c>
      <c r="AF4540" s="28"/>
      <c r="AG4540" s="28" t="n">
        <f aca="false">AF4540*$M4540</f>
        <v>0</v>
      </c>
      <c r="AH4540" s="28"/>
      <c r="AI4540" s="28" t="n">
        <f aca="false">AH4540*$M4540</f>
        <v>0</v>
      </c>
      <c r="AJ4540" s="28"/>
      <c r="AK4540" s="28" t="n">
        <f aca="false">AJ4540*$M4540</f>
        <v>0</v>
      </c>
      <c r="AL4540" s="28"/>
      <c r="AM4540" s="28" t="n">
        <f aca="false">AL4540*$M4540</f>
        <v>0</v>
      </c>
      <c r="AN4540" s="28"/>
      <c r="AO4540" s="28" t="n">
        <f aca="false">AN4540*$M4540</f>
        <v>0</v>
      </c>
      <c r="AP4540" s="28"/>
      <c r="AQ4540" s="28" t="n">
        <f aca="false">AP4540*$M4540</f>
        <v>0</v>
      </c>
      <c r="AR4540" s="28"/>
      <c r="AS4540" s="28" t="n">
        <f aca="false">AR4540*$M4540</f>
        <v>0</v>
      </c>
      <c r="AT4540" s="28"/>
      <c r="AU4540" s="28" t="n">
        <f aca="false">AT4540*$M4540</f>
        <v>0</v>
      </c>
      <c r="AV4540" s="28"/>
      <c r="AW4540" s="28" t="n">
        <f aca="false">AV4540*$M4540</f>
        <v>0</v>
      </c>
      <c r="AX4540" s="28"/>
      <c r="AY4540" s="28" t="n">
        <f aca="false">AX4540*$M4540</f>
        <v>0</v>
      </c>
      <c r="AZ4540" s="30" t="n">
        <f aca="false">2471002</f>
        <v>2471002</v>
      </c>
      <c r="BA4540" s="11" t="n">
        <v>16061</v>
      </c>
      <c r="BB4540" s="31" t="n">
        <f aca="false">SUM(Q4540,S4540,U4540,W4540,Y4540,AA4540,AC4540,AE4540,AG4540,AI4540,AK4540,AM4540,AO4540,AQ4540,AS4540,AU4540,AW4540,AY4540)</f>
        <v>16061</v>
      </c>
      <c r="BC4540" s="28" t="n">
        <f aca="false">BA4540-BB4540</f>
        <v>0</v>
      </c>
      <c r="BD4540" s="32" t="n">
        <f aca="false">SUM(P4540,R4540,T4540,V4540,X4540,Z4540,AB4540,AD4540,AF4540,AH4540,AJ4540,AL4540,AN4540,AP4540,AR4540,AT4540,AV4540,AX4540)</f>
        <v>24710.02</v>
      </c>
      <c r="BE4540" s="33" t="n">
        <f aca="false">AZ4540-BD4540</f>
        <v>2446291.98</v>
      </c>
      <c r="BF4540" s="34" t="n">
        <f aca="false">BD4540*M4540</f>
        <v>16061.513</v>
      </c>
      <c r="BG4540" s="35" t="n">
        <f aca="false">BA4540-BF4540</f>
        <v>-0.513000000000829</v>
      </c>
      <c r="BH4540" s="19" t="str">
        <f aca="false">IF(BG4540=0,"",IF(BG4540&lt;&gt;BA4540,"erreur de calcul",IF(BD4540&lt;&gt;0,"pas de prix",IF(M4540&lt;&gt; 0,"pas de quantité","pas de prix, ni de quantité"))))</f>
        <v>erreur de calcul</v>
      </c>
      <c r="BI4540" s="19"/>
    </row>
    <row r="4541" customFormat="false" ht="15" hidden="false" customHeight="false" outlineLevel="0" collapsed="false">
      <c r="A4541" s="0" t="n">
        <v>39</v>
      </c>
      <c r="B4541" s="8" t="s">
        <v>24</v>
      </c>
      <c r="C4541" s="9" t="s">
        <v>25</v>
      </c>
      <c r="D4541" s="9" t="s">
        <v>26</v>
      </c>
      <c r="E4541" s="10" t="n">
        <v>1789</v>
      </c>
      <c r="F4541" s="9" t="s">
        <v>27</v>
      </c>
      <c r="G4541" s="9" t="s">
        <v>27</v>
      </c>
      <c r="H4541" s="11" t="n">
        <v>26</v>
      </c>
      <c r="I4541" s="11" t="s">
        <v>410</v>
      </c>
      <c r="J4541" s="14" t="n">
        <v>10</v>
      </c>
      <c r="K4541" s="14"/>
      <c r="L4541" s="16"/>
      <c r="M4541" s="27" t="n">
        <f aca="false">J4541+(K4541/20)+(L4541/240)</f>
        <v>10</v>
      </c>
      <c r="N4541" s="17" t="s">
        <v>64</v>
      </c>
      <c r="O4541" s="11"/>
      <c r="P4541" s="28"/>
      <c r="Q4541" s="28" t="n">
        <f aca="false">P4541*$M4541</f>
        <v>0</v>
      </c>
      <c r="R4541" s="28"/>
      <c r="S4541" s="28" t="n">
        <f aca="false">R4541*$M4541</f>
        <v>0</v>
      </c>
      <c r="T4541" s="28"/>
      <c r="U4541" s="28" t="n">
        <f aca="false">T4541*$M4541</f>
        <v>0</v>
      </c>
      <c r="V4541" s="28"/>
      <c r="W4541" s="28" t="n">
        <f aca="false">V4541*$M4541</f>
        <v>0</v>
      </c>
      <c r="X4541" s="28" t="n">
        <f aca="false">2481/100</f>
        <v>24.81</v>
      </c>
      <c r="Y4541" s="28" t="n">
        <v>248</v>
      </c>
      <c r="Z4541" s="28"/>
      <c r="AA4541" s="28" t="n">
        <f aca="false">Z4541*$M4541</f>
        <v>0</v>
      </c>
      <c r="AB4541" s="28"/>
      <c r="AC4541" s="28" t="n">
        <f aca="false">AB4541*$M4541</f>
        <v>0</v>
      </c>
      <c r="AD4541" s="28"/>
      <c r="AE4541" s="28" t="n">
        <f aca="false">AD4541*$M4541</f>
        <v>0</v>
      </c>
      <c r="AF4541" s="28"/>
      <c r="AG4541" s="28" t="n">
        <f aca="false">AF4541*$M4541</f>
        <v>0</v>
      </c>
      <c r="AH4541" s="28"/>
      <c r="AI4541" s="28" t="n">
        <f aca="false">AH4541*$M4541</f>
        <v>0</v>
      </c>
      <c r="AJ4541" s="28"/>
      <c r="AK4541" s="28" t="n">
        <f aca="false">AJ4541*$M4541</f>
        <v>0</v>
      </c>
      <c r="AL4541" s="28"/>
      <c r="AM4541" s="28" t="n">
        <f aca="false">AL4541*$M4541</f>
        <v>0</v>
      </c>
      <c r="AN4541" s="28"/>
      <c r="AO4541" s="28" t="n">
        <f aca="false">AN4541*$M4541</f>
        <v>0</v>
      </c>
      <c r="AP4541" s="28"/>
      <c r="AQ4541" s="28" t="n">
        <f aca="false">AP4541*$M4541</f>
        <v>0</v>
      </c>
      <c r="AR4541" s="28"/>
      <c r="AS4541" s="28" t="n">
        <f aca="false">AR4541*$M4541</f>
        <v>0</v>
      </c>
      <c r="AT4541" s="28"/>
      <c r="AU4541" s="28" t="n">
        <f aca="false">AT4541*$M4541</f>
        <v>0</v>
      </c>
      <c r="AV4541" s="28"/>
      <c r="AW4541" s="28" t="n">
        <f aca="false">AV4541*$M4541</f>
        <v>0</v>
      </c>
      <c r="AX4541" s="28"/>
      <c r="AY4541" s="28" t="n">
        <f aca="false">AX4541*$M4541</f>
        <v>0</v>
      </c>
      <c r="AZ4541" s="30" t="n">
        <f aca="false">2481/100</f>
        <v>24.81</v>
      </c>
      <c r="BA4541" s="11" t="n">
        <v>248</v>
      </c>
      <c r="BB4541" s="31" t="n">
        <f aca="false">SUM(Q4541,S4541,U4541,W4541,Y4541,AA4541,AC4541,AE4541,AG4541,AI4541,AK4541,AM4541,AO4541,AQ4541,AS4541,AU4541,AW4541,AY4541)</f>
        <v>248</v>
      </c>
      <c r="BC4541" s="28" t="n">
        <f aca="false">BA4541-BB4541</f>
        <v>0</v>
      </c>
      <c r="BD4541" s="32" t="n">
        <f aca="false">SUM(P4541,R4541,T4541,V4541,X4541,Z4541,AB4541,AD4541,AF4541,AH4541,AJ4541,AL4541,AN4541,AP4541,AR4541,AT4541,AV4541,AX4541)</f>
        <v>24.81</v>
      </c>
      <c r="BE4541" s="33" t="n">
        <f aca="false">AZ4541-BD4541</f>
        <v>0</v>
      </c>
      <c r="BF4541" s="34" t="n">
        <f aca="false">BD4541*M4541</f>
        <v>248.1</v>
      </c>
      <c r="BG4541" s="35" t="n">
        <f aca="false">BA4541-BF4541</f>
        <v>-0.0999999999999943</v>
      </c>
      <c r="BH4541" s="19" t="str">
        <f aca="false">IF(BG4541=0,"",IF(BG4541&lt;&gt;BA4541,"erreur de calcul",IF(BD4541&lt;&gt;0,"pas de prix",IF(M4541&lt;&gt; 0,"pas de quantité","pas de prix, ni de quantité"))))</f>
        <v>erreur de calcul</v>
      </c>
      <c r="BI4541" s="19"/>
    </row>
    <row r="4542" customFormat="false" ht="15" hidden="false" customHeight="false" outlineLevel="0" collapsed="false">
      <c r="A4542" s="0" t="n">
        <v>40</v>
      </c>
      <c r="B4542" s="8" t="s">
        <v>24</v>
      </c>
      <c r="C4542" s="9" t="s">
        <v>25</v>
      </c>
      <c r="D4542" s="9" t="s">
        <v>26</v>
      </c>
      <c r="E4542" s="10" t="n">
        <v>1789</v>
      </c>
      <c r="F4542" s="9" t="s">
        <v>27</v>
      </c>
      <c r="G4542" s="9" t="s">
        <v>27</v>
      </c>
      <c r="H4542" s="11" t="n">
        <v>26</v>
      </c>
      <c r="I4542" s="11" t="s">
        <v>411</v>
      </c>
      <c r="J4542" s="14" t="n">
        <v>5</v>
      </c>
      <c r="K4542" s="14"/>
      <c r="L4542" s="16"/>
      <c r="M4542" s="27" t="n">
        <f aca="false">J4542+(K4542/20)+(L4542/240)</f>
        <v>5</v>
      </c>
      <c r="N4542" s="17" t="s">
        <v>66</v>
      </c>
      <c r="O4542" s="11" t="s">
        <v>98</v>
      </c>
      <c r="P4542" s="28"/>
      <c r="Q4542" s="28" t="n">
        <f aca="false">P4542*$M4542</f>
        <v>0</v>
      </c>
      <c r="R4542" s="28"/>
      <c r="S4542" s="28" t="n">
        <f aca="false">R4542*$M4542</f>
        <v>0</v>
      </c>
      <c r="T4542" s="28"/>
      <c r="U4542" s="28" t="n">
        <f aca="false">T4542*$M4542</f>
        <v>0</v>
      </c>
      <c r="V4542" s="28"/>
      <c r="W4542" s="28" t="n">
        <f aca="false">V4542*$M4542</f>
        <v>0</v>
      </c>
      <c r="X4542" s="28"/>
      <c r="Y4542" s="28" t="n">
        <f aca="false">X4542*$M4542</f>
        <v>0</v>
      </c>
      <c r="Z4542" s="28"/>
      <c r="AA4542" s="28" t="n">
        <f aca="false">Z4542*$M4542</f>
        <v>0</v>
      </c>
      <c r="AB4542" s="28"/>
      <c r="AC4542" s="28" t="n">
        <f aca="false">AB4542*$M4542</f>
        <v>0</v>
      </c>
      <c r="AD4542" s="28"/>
      <c r="AE4542" s="28" t="n">
        <f aca="false">AD4542*$M4542</f>
        <v>0</v>
      </c>
      <c r="AF4542" s="28" t="n">
        <v>22</v>
      </c>
      <c r="AG4542" s="28" t="n">
        <v>110</v>
      </c>
      <c r="AH4542" s="28" t="n">
        <v>2657</v>
      </c>
      <c r="AI4542" s="28" t="n">
        <v>13285</v>
      </c>
      <c r="AJ4542" s="28"/>
      <c r="AK4542" s="28" t="n">
        <f aca="false">AJ4542*$M4542</f>
        <v>0</v>
      </c>
      <c r="AL4542" s="28"/>
      <c r="AM4542" s="28" t="n">
        <f aca="false">AL4542*$M4542</f>
        <v>0</v>
      </c>
      <c r="AN4542" s="28"/>
      <c r="AO4542" s="28" t="n">
        <f aca="false">AN4542*$M4542</f>
        <v>0</v>
      </c>
      <c r="AP4542" s="28"/>
      <c r="AQ4542" s="28" t="n">
        <f aca="false">AP4542*$M4542</f>
        <v>0</v>
      </c>
      <c r="AR4542" s="28"/>
      <c r="AS4542" s="28" t="n">
        <f aca="false">AR4542*$M4542</f>
        <v>0</v>
      </c>
      <c r="AT4542" s="28"/>
      <c r="AU4542" s="28" t="n">
        <f aca="false">AT4542*$M4542</f>
        <v>0</v>
      </c>
      <c r="AV4542" s="28"/>
      <c r="AW4542" s="28" t="n">
        <f aca="false">AV4542*$M4542</f>
        <v>0</v>
      </c>
      <c r="AX4542" s="28"/>
      <c r="AY4542" s="28" t="n">
        <f aca="false">AX4542*$M4542</f>
        <v>0</v>
      </c>
      <c r="AZ4542" s="30" t="n">
        <v>2679</v>
      </c>
      <c r="BA4542" s="11" t="n">
        <v>13395</v>
      </c>
      <c r="BB4542" s="31" t="n">
        <f aca="false">SUM(Q4542,S4542,U4542,W4542,Y4542,AA4542,AC4542,AE4542,AG4542,AI4542,AK4542,AM4542,AO4542,AQ4542,AS4542,AU4542,AW4542,AY4542)</f>
        <v>13395</v>
      </c>
      <c r="BC4542" s="28" t="n">
        <f aca="false">BA4542-BB4542</f>
        <v>0</v>
      </c>
      <c r="BD4542" s="32" t="n">
        <f aca="false">SUM(P4542,R4542,T4542,V4542,X4542,Z4542,AB4542,AD4542,AF4542,AH4542,AJ4542,AL4542,AN4542,AP4542,AR4542,AT4542,AV4542,AX4542)</f>
        <v>2679</v>
      </c>
      <c r="BE4542" s="33" t="n">
        <f aca="false">AZ4542-BD4542</f>
        <v>0</v>
      </c>
      <c r="BF4542" s="34" t="n">
        <f aca="false">BD4542*M4542</f>
        <v>13395</v>
      </c>
      <c r="BG4542" s="35" t="n">
        <f aca="false">BA4542-BF4542</f>
        <v>0</v>
      </c>
      <c r="BH4542" s="19" t="str">
        <f aca="false">IF(BG4542=0,"",IF(BG4542&lt;&gt;BA4542,"erreur de calcul",IF(BD4542&lt;&gt;0,"pas de prix",IF(M4542&lt;&gt; 0,"pas de quantité","pas de prix, ni de quantité"))))</f>
        <v/>
      </c>
      <c r="BI4542" s="19"/>
    </row>
    <row r="4543" customFormat="false" ht="15" hidden="false" customHeight="false" outlineLevel="0" collapsed="false">
      <c r="A4543" s="0" t="n">
        <v>1</v>
      </c>
      <c r="B4543" s="8" t="s">
        <v>24</v>
      </c>
      <c r="C4543" s="9" t="s">
        <v>25</v>
      </c>
      <c r="D4543" s="9" t="s">
        <v>26</v>
      </c>
      <c r="E4543" s="10" t="n">
        <v>1789</v>
      </c>
      <c r="F4543" s="9" t="s">
        <v>27</v>
      </c>
      <c r="G4543" s="9" t="s">
        <v>27</v>
      </c>
      <c r="H4543" s="11" t="n">
        <v>27</v>
      </c>
      <c r="I4543" s="11" t="s">
        <v>412</v>
      </c>
      <c r="J4543" s="14" t="n">
        <v>7</v>
      </c>
      <c r="K4543" s="14" t="n">
        <v>10</v>
      </c>
      <c r="L4543" s="16"/>
      <c r="M4543" s="27" t="n">
        <f aca="false">J4543+(K4543/20)+(L4543/240)</f>
        <v>7.5</v>
      </c>
      <c r="N4543" s="17" t="s">
        <v>64</v>
      </c>
      <c r="O4543" s="11"/>
      <c r="P4543" s="28" t="n">
        <f aca="false">16667/100</f>
        <v>166.67</v>
      </c>
      <c r="Q4543" s="28" t="n">
        <v>1250</v>
      </c>
      <c r="R4543" s="28"/>
      <c r="S4543" s="28" t="n">
        <f aca="false">R4543*$M4543</f>
        <v>0</v>
      </c>
      <c r="T4543" s="28"/>
      <c r="U4543" s="28" t="n">
        <f aca="false">T4543*$M4543</f>
        <v>0</v>
      </c>
      <c r="V4543" s="28" t="n">
        <f aca="false">407887/100</f>
        <v>4078.87</v>
      </c>
      <c r="W4543" s="28" t="n">
        <v>30591</v>
      </c>
      <c r="X4543" s="28" t="n">
        <f aca="false">4444/100</f>
        <v>44.44</v>
      </c>
      <c r="Y4543" s="28" t="n">
        <v>333</v>
      </c>
      <c r="Z4543" s="28" t="n">
        <f aca="false">16084/100</f>
        <v>160.84</v>
      </c>
      <c r="AA4543" s="28" t="n">
        <v>1206</v>
      </c>
      <c r="AB4543" s="28" t="n">
        <f aca="false">20834/100</f>
        <v>208.34</v>
      </c>
      <c r="AC4543" s="28" t="n">
        <v>1562</v>
      </c>
      <c r="AD4543" s="28"/>
      <c r="AE4543" s="28" t="n">
        <f aca="false">AD4543*$M4543</f>
        <v>0</v>
      </c>
      <c r="AF4543" s="28"/>
      <c r="AG4543" s="28" t="n">
        <f aca="false">AF4543*$M4543</f>
        <v>0</v>
      </c>
      <c r="AH4543" s="28"/>
      <c r="AI4543" s="28" t="n">
        <f aca="false">AH4543*$M4543</f>
        <v>0</v>
      </c>
      <c r="AJ4543" s="28"/>
      <c r="AK4543" s="28" t="n">
        <f aca="false">AJ4543*$M4543</f>
        <v>0</v>
      </c>
      <c r="AL4543" s="28"/>
      <c r="AM4543" s="28" t="n">
        <f aca="false">AL4543*$M4543</f>
        <v>0</v>
      </c>
      <c r="AN4543" s="28"/>
      <c r="AO4543" s="28" t="n">
        <f aca="false">AN4543*$M4543</f>
        <v>0</v>
      </c>
      <c r="AP4543" s="28"/>
      <c r="AQ4543" s="28" t="n">
        <f aca="false">AP4543*$M4543</f>
        <v>0</v>
      </c>
      <c r="AR4543" s="28"/>
      <c r="AS4543" s="28" t="n">
        <f aca="false">AR4543*$M4543</f>
        <v>0</v>
      </c>
      <c r="AT4543" s="28"/>
      <c r="AU4543" s="28" t="n">
        <f aca="false">AT4543*$M4543</f>
        <v>0</v>
      </c>
      <c r="AV4543" s="28"/>
      <c r="AW4543" s="28" t="n">
        <f aca="false">AV4543*$M4543</f>
        <v>0</v>
      </c>
      <c r="AX4543" s="28"/>
      <c r="AY4543" s="28" t="n">
        <f aca="false">AX4543*$M4543</f>
        <v>0</v>
      </c>
      <c r="AZ4543" s="30" t="n">
        <f aca="false">465916/100</f>
        <v>4659.16</v>
      </c>
      <c r="BA4543" s="11" t="n">
        <v>34942</v>
      </c>
      <c r="BB4543" s="31" t="n">
        <f aca="false">SUM(Q4543,S4543,U4543,W4543,Y4543,AA4543,AC4543,AE4543,AG4543,AI4543,AK4543,AM4543,AO4543,AQ4543,AS4543,AU4543,AW4543,AY4543)</f>
        <v>34942</v>
      </c>
      <c r="BC4543" s="28" t="n">
        <f aca="false">BA4543-BB4543</f>
        <v>0</v>
      </c>
      <c r="BD4543" s="32" t="n">
        <f aca="false">SUM(P4543,R4543,T4543,V4543,X4543,Z4543,AB4543,AD4543,AF4543,AH4543,AJ4543,AL4543,AN4543,AP4543,AR4543,AT4543,AV4543,AX4543)</f>
        <v>4659.16</v>
      </c>
      <c r="BE4543" s="33" t="n">
        <f aca="false">AZ4543-BD4543</f>
        <v>0</v>
      </c>
      <c r="BF4543" s="34" t="n">
        <f aca="false">BD4543*M4543</f>
        <v>34943.7</v>
      </c>
      <c r="BG4543" s="35" t="n">
        <f aca="false">BA4543-BF4543</f>
        <v>-1.69999999999709</v>
      </c>
      <c r="BH4543" s="19" t="str">
        <f aca="false">IF(BG4543=0,"",IF(BG4543&lt;&gt;BA4543,"erreur de calcul",IF(BD4543&lt;&gt;0,"pas de prix",IF(M4543&lt;&gt; 0,"pas de quantité","pas de prix, ni de quantité"))))</f>
        <v>erreur de calcul</v>
      </c>
      <c r="BI4543" s="19"/>
    </row>
    <row r="4544" customFormat="false" ht="15" hidden="false" customHeight="false" outlineLevel="0" collapsed="false">
      <c r="A4544" s="0" t="n">
        <v>2</v>
      </c>
      <c r="B4544" s="8" t="s">
        <v>24</v>
      </c>
      <c r="C4544" s="9" t="s">
        <v>25</v>
      </c>
      <c r="D4544" s="9" t="s">
        <v>26</v>
      </c>
      <c r="E4544" s="10" t="n">
        <v>1789</v>
      </c>
      <c r="F4544" s="9" t="s">
        <v>27</v>
      </c>
      <c r="G4544" s="9" t="s">
        <v>27</v>
      </c>
      <c r="H4544" s="11" t="n">
        <v>27</v>
      </c>
      <c r="I4544" s="11" t="s">
        <v>413</v>
      </c>
      <c r="J4544" s="14" t="n">
        <v>3</v>
      </c>
      <c r="K4544" s="14"/>
      <c r="L4544" s="16"/>
      <c r="M4544" s="27" t="n">
        <f aca="false">J4544+(K4544/20)+(L4544/240)</f>
        <v>3</v>
      </c>
      <c r="N4544" s="17" t="s">
        <v>66</v>
      </c>
      <c r="O4544" s="11"/>
      <c r="P4544" s="28"/>
      <c r="Q4544" s="28" t="n">
        <f aca="false">P4544*$M4544</f>
        <v>0</v>
      </c>
      <c r="R4544" s="28"/>
      <c r="S4544" s="28" t="n">
        <f aca="false">R4544*$M4544</f>
        <v>0</v>
      </c>
      <c r="T4544" s="28"/>
      <c r="U4544" s="28" t="n">
        <f aca="false">T4544*$M4544</f>
        <v>0</v>
      </c>
      <c r="V4544" s="28"/>
      <c r="W4544" s="28" t="n">
        <f aca="false">V4544*$M4544</f>
        <v>0</v>
      </c>
      <c r="X4544" s="28"/>
      <c r="Y4544" s="28" t="n">
        <f aca="false">X4544*$M4544</f>
        <v>0</v>
      </c>
      <c r="Z4544" s="28"/>
      <c r="AA4544" s="28" t="n">
        <f aca="false">Z4544*$M4544</f>
        <v>0</v>
      </c>
      <c r="AB4544" s="28"/>
      <c r="AC4544" s="28" t="n">
        <f aca="false">AB4544*$M4544</f>
        <v>0</v>
      </c>
      <c r="AD4544" s="28"/>
      <c r="AE4544" s="28" t="n">
        <f aca="false">AD4544*$M4544</f>
        <v>0</v>
      </c>
      <c r="AF4544" s="28"/>
      <c r="AG4544" s="28" t="n">
        <f aca="false">AF4544*$M4544</f>
        <v>0</v>
      </c>
      <c r="AH4544" s="28" t="n">
        <v>58272</v>
      </c>
      <c r="AI4544" s="28" t="n">
        <v>174816</v>
      </c>
      <c r="AJ4544" s="28"/>
      <c r="AK4544" s="28" t="n">
        <f aca="false">AJ4544*$M4544</f>
        <v>0</v>
      </c>
      <c r="AL4544" s="28"/>
      <c r="AM4544" s="28" t="n">
        <f aca="false">AL4544*$M4544</f>
        <v>0</v>
      </c>
      <c r="AN4544" s="28"/>
      <c r="AO4544" s="28" t="n">
        <f aca="false">AN4544*$M4544</f>
        <v>0</v>
      </c>
      <c r="AP4544" s="28"/>
      <c r="AQ4544" s="28" t="n">
        <f aca="false">AP4544*$M4544</f>
        <v>0</v>
      </c>
      <c r="AR4544" s="28"/>
      <c r="AS4544" s="28" t="n">
        <f aca="false">AR4544*$M4544</f>
        <v>0</v>
      </c>
      <c r="AT4544" s="28"/>
      <c r="AU4544" s="28" t="n">
        <f aca="false">AT4544*$M4544</f>
        <v>0</v>
      </c>
      <c r="AV4544" s="28"/>
      <c r="AW4544" s="28" t="n">
        <f aca="false">AV4544*$M4544</f>
        <v>0</v>
      </c>
      <c r="AX4544" s="28"/>
      <c r="AY4544" s="28" t="n">
        <f aca="false">AX4544*$M4544</f>
        <v>0</v>
      </c>
      <c r="AZ4544" s="30" t="n">
        <f aca="false">58272</f>
        <v>58272</v>
      </c>
      <c r="BA4544" s="11" t="n">
        <v>174816</v>
      </c>
      <c r="BB4544" s="31" t="n">
        <f aca="false">SUM(Q4544,S4544,U4544,W4544,Y4544,AA4544,AC4544,AE4544,AG4544,AI4544,AK4544,AM4544,AO4544,AQ4544,AS4544,AU4544,AW4544,AY4544)</f>
        <v>174816</v>
      </c>
      <c r="BC4544" s="28" t="n">
        <f aca="false">BA4544-BB4544</f>
        <v>0</v>
      </c>
      <c r="BD4544" s="32" t="n">
        <f aca="false">SUM(P4544,R4544,T4544,V4544,X4544,Z4544,AB4544,AD4544,AF4544,AH4544,AJ4544,AL4544,AN4544,AP4544,AR4544,AT4544,AV4544,AX4544)</f>
        <v>58272</v>
      </c>
      <c r="BE4544" s="33" t="n">
        <f aca="false">AZ4544-BD4544</f>
        <v>0</v>
      </c>
      <c r="BF4544" s="34" t="n">
        <f aca="false">BD4544*M4544</f>
        <v>174816</v>
      </c>
      <c r="BG4544" s="35" t="n">
        <f aca="false">BA4544-BF4544</f>
        <v>0</v>
      </c>
      <c r="BH4544" s="19" t="str">
        <f aca="false">IF(BG4544=0,"",IF(BG4544&lt;&gt;BA4544,"erreur de calcul",IF(BD4544&lt;&gt;0,"pas de prix",IF(M4544&lt;&gt; 0,"pas de quantité","pas de prix, ni de quantité"))))</f>
        <v/>
      </c>
      <c r="BI4544" s="19"/>
    </row>
    <row r="4545" customFormat="false" ht="15" hidden="false" customHeight="false" outlineLevel="0" collapsed="false">
      <c r="A4545" s="0" t="n">
        <v>3</v>
      </c>
      <c r="B4545" s="8" t="s">
        <v>24</v>
      </c>
      <c r="C4545" s="9" t="s">
        <v>25</v>
      </c>
      <c r="D4545" s="9" t="s">
        <v>26</v>
      </c>
      <c r="E4545" s="10" t="n">
        <v>1789</v>
      </c>
      <c r="F4545" s="9" t="s">
        <v>27</v>
      </c>
      <c r="G4545" s="9" t="s">
        <v>27</v>
      </c>
      <c r="H4545" s="11" t="n">
        <v>27</v>
      </c>
      <c r="I4545" s="11" t="s">
        <v>414</v>
      </c>
      <c r="J4545" s="14" t="n">
        <v>3</v>
      </c>
      <c r="K4545" s="14"/>
      <c r="L4545" s="16"/>
      <c r="M4545" s="27" t="n">
        <f aca="false">J4545+(K4545/20)+(L4545/240)</f>
        <v>3</v>
      </c>
      <c r="N4545" s="17" t="s">
        <v>66</v>
      </c>
      <c r="O4545" s="11" t="s">
        <v>98</v>
      </c>
      <c r="P4545" s="28"/>
      <c r="Q4545" s="28" t="n">
        <f aca="false">P4545*$M4545</f>
        <v>0</v>
      </c>
      <c r="R4545" s="28"/>
      <c r="S4545" s="28" t="n">
        <f aca="false">R4545*$M4545</f>
        <v>0</v>
      </c>
      <c r="T4545" s="28"/>
      <c r="U4545" s="28" t="n">
        <f aca="false">T4545*$M4545</f>
        <v>0</v>
      </c>
      <c r="V4545" s="28"/>
      <c r="W4545" s="28" t="n">
        <f aca="false">V4545*$M4545</f>
        <v>0</v>
      </c>
      <c r="X4545" s="28"/>
      <c r="Y4545" s="28" t="n">
        <f aca="false">X4545*$M4545</f>
        <v>0</v>
      </c>
      <c r="Z4545" s="28"/>
      <c r="AA4545" s="28" t="n">
        <f aca="false">Z4545*$M4545</f>
        <v>0</v>
      </c>
      <c r="AB4545" s="28"/>
      <c r="AC4545" s="28" t="n">
        <f aca="false">AB4545*$M4545</f>
        <v>0</v>
      </c>
      <c r="AD4545" s="28"/>
      <c r="AE4545" s="28" t="n">
        <f aca="false">AD4545*$M4545</f>
        <v>0</v>
      </c>
      <c r="AF4545" s="28"/>
      <c r="AG4545" s="28" t="n">
        <f aca="false">AF4545*$M4545</f>
        <v>0</v>
      </c>
      <c r="AH4545" s="28" t="n">
        <v>110560</v>
      </c>
      <c r="AI4545" s="28" t="n">
        <v>331680</v>
      </c>
      <c r="AJ4545" s="28"/>
      <c r="AK4545" s="28" t="n">
        <f aca="false">AJ4545*$M4545</f>
        <v>0</v>
      </c>
      <c r="AL4545" s="28"/>
      <c r="AM4545" s="28" t="n">
        <f aca="false">AL4545*$M4545</f>
        <v>0</v>
      </c>
      <c r="AN4545" s="28"/>
      <c r="AO4545" s="28" t="n">
        <f aca="false">AN4545*$M4545</f>
        <v>0</v>
      </c>
      <c r="AP4545" s="28"/>
      <c r="AQ4545" s="28" t="n">
        <f aca="false">AP4545*$M4545</f>
        <v>0</v>
      </c>
      <c r="AR4545" s="28"/>
      <c r="AS4545" s="28" t="n">
        <f aca="false">AR4545*$M4545</f>
        <v>0</v>
      </c>
      <c r="AT4545" s="28"/>
      <c r="AU4545" s="28" t="n">
        <f aca="false">AT4545*$M4545</f>
        <v>0</v>
      </c>
      <c r="AV4545" s="28"/>
      <c r="AW4545" s="28" t="n">
        <f aca="false">AV4545*$M4545</f>
        <v>0</v>
      </c>
      <c r="AX4545" s="28"/>
      <c r="AY4545" s="28" t="n">
        <f aca="false">AX4545*$M4545</f>
        <v>0</v>
      </c>
      <c r="AZ4545" s="30" t="n">
        <v>110560</v>
      </c>
      <c r="BA4545" s="11" t="n">
        <v>331680</v>
      </c>
      <c r="BB4545" s="31" t="n">
        <f aca="false">SUM(Q4545,S4545,U4545,W4545,Y4545,AA4545,AC4545,AE4545,AG4545,AI4545,AK4545,AM4545,AO4545,AQ4545,AS4545,AU4545,AW4545,AY4545)</f>
        <v>331680</v>
      </c>
      <c r="BC4545" s="28" t="n">
        <f aca="false">BA4545-BB4545</f>
        <v>0</v>
      </c>
      <c r="BD4545" s="32" t="n">
        <f aca="false">SUM(P4545,R4545,T4545,V4545,X4545,Z4545,AB4545,AD4545,AF4545,AH4545,AJ4545,AL4545,AN4545,AP4545,AR4545,AT4545,AV4545,AX4545)</f>
        <v>110560</v>
      </c>
      <c r="BE4545" s="33" t="n">
        <f aca="false">AZ4545-BD4545</f>
        <v>0</v>
      </c>
      <c r="BF4545" s="34" t="n">
        <f aca="false">BD4545*M4545</f>
        <v>331680</v>
      </c>
      <c r="BG4545" s="35" t="n">
        <f aca="false">BA4545-BF4545</f>
        <v>0</v>
      </c>
      <c r="BH4545" s="19" t="str">
        <f aca="false">IF(BG4545=0,"",IF(BG4545&lt;&gt;BA4545,"erreur de calcul",IF(BD4545&lt;&gt;0,"pas de prix",IF(M4545&lt;&gt; 0,"pas de quantité","pas de prix, ni de quantité"))))</f>
        <v/>
      </c>
      <c r="BI4545" s="19"/>
    </row>
    <row r="4546" customFormat="false" ht="15" hidden="false" customHeight="false" outlineLevel="0" collapsed="false">
      <c r="A4546" s="0" t="n">
        <v>4</v>
      </c>
      <c r="B4546" s="8" t="s">
        <v>24</v>
      </c>
      <c r="C4546" s="9" t="s">
        <v>25</v>
      </c>
      <c r="D4546" s="9" t="s">
        <v>26</v>
      </c>
      <c r="E4546" s="10" t="n">
        <v>1789</v>
      </c>
      <c r="F4546" s="9" t="s">
        <v>27</v>
      </c>
      <c r="G4546" s="9" t="s">
        <v>27</v>
      </c>
      <c r="H4546" s="11" t="n">
        <v>27</v>
      </c>
      <c r="I4546" s="11" t="s">
        <v>415</v>
      </c>
      <c r="J4546" s="14" t="n">
        <v>3</v>
      </c>
      <c r="K4546" s="14" t="n">
        <v>10</v>
      </c>
      <c r="L4546" s="16"/>
      <c r="M4546" s="27" t="n">
        <f aca="false">J4546+(K4546/20)+(L4546/240)</f>
        <v>3.5</v>
      </c>
      <c r="N4546" s="17" t="s">
        <v>66</v>
      </c>
      <c r="O4546" s="11" t="s">
        <v>98</v>
      </c>
      <c r="P4546" s="28"/>
      <c r="Q4546" s="28" t="n">
        <f aca="false">P4546*$M4546</f>
        <v>0</v>
      </c>
      <c r="R4546" s="28"/>
      <c r="S4546" s="28" t="n">
        <f aca="false">R4546*$M4546</f>
        <v>0</v>
      </c>
      <c r="T4546" s="28"/>
      <c r="U4546" s="28" t="n">
        <f aca="false">T4546*$M4546</f>
        <v>0</v>
      </c>
      <c r="V4546" s="28"/>
      <c r="W4546" s="28" t="n">
        <f aca="false">V4546*$M4546</f>
        <v>0</v>
      </c>
      <c r="X4546" s="28" t="n">
        <v>218</v>
      </c>
      <c r="Y4546" s="28" t="n">
        <v>763</v>
      </c>
      <c r="Z4546" s="28"/>
      <c r="AA4546" s="28" t="n">
        <f aca="false">Z4546*$M4546</f>
        <v>0</v>
      </c>
      <c r="AB4546" s="28"/>
      <c r="AC4546" s="28" t="n">
        <f aca="false">AB4546*$M4546</f>
        <v>0</v>
      </c>
      <c r="AD4546" s="28"/>
      <c r="AE4546" s="28" t="n">
        <f aca="false">AD4546*$M4546</f>
        <v>0</v>
      </c>
      <c r="AF4546" s="28"/>
      <c r="AG4546" s="28" t="n">
        <f aca="false">AF4546*$M4546</f>
        <v>0</v>
      </c>
      <c r="AH4546" s="28" t="n">
        <v>25905</v>
      </c>
      <c r="AI4546" s="28" t="n">
        <v>90667</v>
      </c>
      <c r="AJ4546" s="28"/>
      <c r="AK4546" s="28" t="n">
        <f aca="false">AJ4546*$M4546</f>
        <v>0</v>
      </c>
      <c r="AL4546" s="28"/>
      <c r="AM4546" s="28" t="n">
        <f aca="false">AL4546*$M4546</f>
        <v>0</v>
      </c>
      <c r="AN4546" s="28"/>
      <c r="AO4546" s="28" t="n">
        <f aca="false">AN4546*$M4546</f>
        <v>0</v>
      </c>
      <c r="AP4546" s="28"/>
      <c r="AQ4546" s="28" t="n">
        <f aca="false">AP4546*$M4546</f>
        <v>0</v>
      </c>
      <c r="AR4546" s="28"/>
      <c r="AS4546" s="28" t="n">
        <f aca="false">AR4546*$M4546</f>
        <v>0</v>
      </c>
      <c r="AT4546" s="28"/>
      <c r="AU4546" s="28" t="n">
        <f aca="false">AT4546*$M4546</f>
        <v>0</v>
      </c>
      <c r="AV4546" s="28"/>
      <c r="AW4546" s="28" t="n">
        <f aca="false">AV4546*$M4546</f>
        <v>0</v>
      </c>
      <c r="AX4546" s="28"/>
      <c r="AY4546" s="28" t="n">
        <f aca="false">AX4546*$M4546</f>
        <v>0</v>
      </c>
      <c r="AZ4546" s="30" t="n">
        <v>26123</v>
      </c>
      <c r="BA4546" s="11" t="n">
        <v>91430</v>
      </c>
      <c r="BB4546" s="31" t="n">
        <f aca="false">SUM(Q4546,S4546,U4546,W4546,Y4546,AA4546,AC4546,AE4546,AG4546,AI4546,AK4546,AM4546,AO4546,AQ4546,AS4546,AU4546,AW4546,AY4546)</f>
        <v>91430</v>
      </c>
      <c r="BC4546" s="28" t="n">
        <f aca="false">BA4546-BB4546</f>
        <v>0</v>
      </c>
      <c r="BD4546" s="32" t="n">
        <f aca="false">SUM(P4546,R4546,T4546,V4546,X4546,Z4546,AB4546,AD4546,AF4546,AH4546,AJ4546,AL4546,AN4546,AP4546,AR4546,AT4546,AV4546,AX4546)</f>
        <v>26123</v>
      </c>
      <c r="BE4546" s="33" t="n">
        <f aca="false">AZ4546-BD4546</f>
        <v>0</v>
      </c>
      <c r="BF4546" s="34" t="n">
        <f aca="false">BD4546*M4546</f>
        <v>91430.5</v>
      </c>
      <c r="BG4546" s="35" t="n">
        <f aca="false">BA4546-BF4546</f>
        <v>-0.5</v>
      </c>
      <c r="BH4546" s="19" t="str">
        <f aca="false">IF(BG4546=0,"",IF(BG4546&lt;&gt;BA4546,"erreur de calcul",IF(BD4546&lt;&gt;0,"pas de prix",IF(M4546&lt;&gt; 0,"pas de quantité","pas de prix, ni de quantité"))))</f>
        <v>erreur de calcul</v>
      </c>
      <c r="BI4546" s="19"/>
    </row>
    <row r="4547" customFormat="false" ht="15" hidden="false" customHeight="false" outlineLevel="0" collapsed="false">
      <c r="A4547" s="0" t="n">
        <v>5</v>
      </c>
      <c r="B4547" s="8" t="s">
        <v>24</v>
      </c>
      <c r="C4547" s="9" t="s">
        <v>25</v>
      </c>
      <c r="D4547" s="9" t="s">
        <v>26</v>
      </c>
      <c r="E4547" s="10" t="n">
        <v>1789</v>
      </c>
      <c r="F4547" s="9" t="s">
        <v>27</v>
      </c>
      <c r="G4547" s="9" t="s">
        <v>27</v>
      </c>
      <c r="H4547" s="11" t="n">
        <v>27</v>
      </c>
      <c r="I4547" s="11" t="s">
        <v>416</v>
      </c>
      <c r="J4547" s="14"/>
      <c r="K4547" s="14" t="n">
        <v>30</v>
      </c>
      <c r="L4547" s="16"/>
      <c r="M4547" s="27" t="n">
        <f aca="false">J4547+(K4547/20)+(L4547/240)</f>
        <v>1.5</v>
      </c>
      <c r="N4547" s="17" t="s">
        <v>66</v>
      </c>
      <c r="O4547" s="11"/>
      <c r="P4547" s="28"/>
      <c r="Q4547" s="28" t="n">
        <f aca="false">P4547*$M4547</f>
        <v>0</v>
      </c>
      <c r="R4547" s="28"/>
      <c r="S4547" s="28" t="n">
        <f aca="false">R4547*$M4547</f>
        <v>0</v>
      </c>
      <c r="T4547" s="28"/>
      <c r="U4547" s="28" t="n">
        <f aca="false">T4547*$M4547</f>
        <v>0</v>
      </c>
      <c r="V4547" s="28"/>
      <c r="W4547" s="28" t="n">
        <f aca="false">V4547*$M4547</f>
        <v>0</v>
      </c>
      <c r="X4547" s="28"/>
      <c r="Y4547" s="28" t="n">
        <f aca="false">X4547*$M4547</f>
        <v>0</v>
      </c>
      <c r="Z4547" s="28"/>
      <c r="AA4547" s="28" t="n">
        <f aca="false">Z4547*$M4547</f>
        <v>0</v>
      </c>
      <c r="AB4547" s="28"/>
      <c r="AC4547" s="28" t="n">
        <f aca="false">AB4547*$M4547</f>
        <v>0</v>
      </c>
      <c r="AD4547" s="28"/>
      <c r="AE4547" s="28" t="n">
        <f aca="false">AD4547*$M4547</f>
        <v>0</v>
      </c>
      <c r="AF4547" s="28"/>
      <c r="AG4547" s="28" t="n">
        <f aca="false">AF4547*$M4547</f>
        <v>0</v>
      </c>
      <c r="AH4547" s="28" t="n">
        <v>75870</v>
      </c>
      <c r="AI4547" s="28" t="n">
        <v>113805</v>
      </c>
      <c r="AJ4547" s="28"/>
      <c r="AK4547" s="28" t="n">
        <f aca="false">AJ4547*$M4547</f>
        <v>0</v>
      </c>
      <c r="AL4547" s="28"/>
      <c r="AM4547" s="28" t="n">
        <f aca="false">AL4547*$M4547</f>
        <v>0</v>
      </c>
      <c r="AN4547" s="28"/>
      <c r="AO4547" s="28" t="n">
        <f aca="false">AN4547*$M4547</f>
        <v>0</v>
      </c>
      <c r="AP4547" s="28"/>
      <c r="AQ4547" s="28" t="n">
        <f aca="false">AP4547*$M4547</f>
        <v>0</v>
      </c>
      <c r="AR4547" s="28"/>
      <c r="AS4547" s="28" t="n">
        <f aca="false">AR4547*$M4547</f>
        <v>0</v>
      </c>
      <c r="AT4547" s="28"/>
      <c r="AU4547" s="28" t="n">
        <f aca="false">AT4547*$M4547</f>
        <v>0</v>
      </c>
      <c r="AV4547" s="28"/>
      <c r="AW4547" s="28" t="n">
        <f aca="false">AV4547*$M4547</f>
        <v>0</v>
      </c>
      <c r="AX4547" s="28"/>
      <c r="AY4547" s="28" t="n">
        <f aca="false">AX4547*$M4547</f>
        <v>0</v>
      </c>
      <c r="AZ4547" s="30" t="n">
        <v>75870</v>
      </c>
      <c r="BA4547" s="11" t="n">
        <v>113805</v>
      </c>
      <c r="BB4547" s="31" t="n">
        <f aca="false">SUM(Q4547,S4547,U4547,W4547,Y4547,AA4547,AC4547,AE4547,AG4547,AI4547,AK4547,AM4547,AO4547,AQ4547,AS4547,AU4547,AW4547,AY4547)</f>
        <v>113805</v>
      </c>
      <c r="BC4547" s="28" t="n">
        <f aca="false">BA4547-BB4547</f>
        <v>0</v>
      </c>
      <c r="BD4547" s="32" t="n">
        <f aca="false">SUM(P4547,R4547,T4547,V4547,X4547,Z4547,AB4547,AD4547,AF4547,AH4547,AJ4547,AL4547,AN4547,AP4547,AR4547,AT4547,AV4547,AX4547)</f>
        <v>75870</v>
      </c>
      <c r="BE4547" s="33" t="n">
        <f aca="false">AZ4547-BD4547</f>
        <v>0</v>
      </c>
      <c r="BF4547" s="34" t="n">
        <f aca="false">BD4547*M4547</f>
        <v>113805</v>
      </c>
      <c r="BG4547" s="35" t="n">
        <f aca="false">BA4547-BF4547</f>
        <v>0</v>
      </c>
      <c r="BH4547" s="19" t="str">
        <f aca="false">IF(BG4547=0,"",IF(BG4547&lt;&gt;BA4547,"erreur de calcul",IF(BD4547&lt;&gt;0,"pas de prix",IF(M4547&lt;&gt; 0,"pas de quantité","pas de prix, ni de quantité"))))</f>
        <v/>
      </c>
      <c r="BI4547" s="19"/>
    </row>
    <row r="4548" customFormat="false" ht="15" hidden="false" customHeight="false" outlineLevel="0" collapsed="false">
      <c r="A4548" s="0" t="n">
        <v>6</v>
      </c>
      <c r="B4548" s="8" t="s">
        <v>24</v>
      </c>
      <c r="C4548" s="9" t="s">
        <v>25</v>
      </c>
      <c r="D4548" s="9" t="s">
        <v>26</v>
      </c>
      <c r="E4548" s="10" t="n">
        <v>1789</v>
      </c>
      <c r="F4548" s="9" t="s">
        <v>27</v>
      </c>
      <c r="G4548" s="9" t="s">
        <v>27</v>
      </c>
      <c r="H4548" s="11" t="n">
        <v>27</v>
      </c>
      <c r="I4548" s="11" t="s">
        <v>417</v>
      </c>
      <c r="J4548" s="14" t="n">
        <v>3</v>
      </c>
      <c r="K4548" s="14"/>
      <c r="L4548" s="16"/>
      <c r="M4548" s="27" t="n">
        <f aca="false">J4548+(K4548/20)+(L4548/240)</f>
        <v>3</v>
      </c>
      <c r="N4548" s="17" t="s">
        <v>66</v>
      </c>
      <c r="O4548" s="11"/>
      <c r="P4548" s="28"/>
      <c r="Q4548" s="28" t="n">
        <f aca="false">P4548*$M4548</f>
        <v>0</v>
      </c>
      <c r="R4548" s="28"/>
      <c r="S4548" s="28" t="n">
        <f aca="false">R4548*$M4548</f>
        <v>0</v>
      </c>
      <c r="T4548" s="28"/>
      <c r="U4548" s="28" t="n">
        <f aca="false">T4548*$M4548</f>
        <v>0</v>
      </c>
      <c r="V4548" s="28"/>
      <c r="W4548" s="28" t="n">
        <f aca="false">V4548*$M4548</f>
        <v>0</v>
      </c>
      <c r="X4548" s="28"/>
      <c r="Y4548" s="28" t="n">
        <f aca="false">X4548*$M4548</f>
        <v>0</v>
      </c>
      <c r="Z4548" s="28"/>
      <c r="AA4548" s="28" t="n">
        <f aca="false">Z4548*$M4548</f>
        <v>0</v>
      </c>
      <c r="AB4548" s="28"/>
      <c r="AC4548" s="28" t="n">
        <f aca="false">AB4548*$M4548</f>
        <v>0</v>
      </c>
      <c r="AD4548" s="28"/>
      <c r="AE4548" s="28" t="n">
        <f aca="false">AD4548*$M4548</f>
        <v>0</v>
      </c>
      <c r="AF4548" s="28"/>
      <c r="AG4548" s="28" t="n">
        <f aca="false">AF4548*$M4548</f>
        <v>0</v>
      </c>
      <c r="AH4548" s="28" t="n">
        <v>121588</v>
      </c>
      <c r="AI4548" s="28" t="n">
        <v>364764</v>
      </c>
      <c r="AJ4548" s="28"/>
      <c r="AK4548" s="28" t="n">
        <f aca="false">AJ4548*$M4548</f>
        <v>0</v>
      </c>
      <c r="AL4548" s="28"/>
      <c r="AM4548" s="28" t="n">
        <f aca="false">AL4548*$M4548</f>
        <v>0</v>
      </c>
      <c r="AN4548" s="28"/>
      <c r="AO4548" s="28" t="n">
        <f aca="false">AN4548*$M4548</f>
        <v>0</v>
      </c>
      <c r="AP4548" s="28"/>
      <c r="AQ4548" s="28" t="n">
        <f aca="false">AP4548*$M4548</f>
        <v>0</v>
      </c>
      <c r="AR4548" s="28"/>
      <c r="AS4548" s="28" t="n">
        <f aca="false">AR4548*$M4548</f>
        <v>0</v>
      </c>
      <c r="AT4548" s="28"/>
      <c r="AU4548" s="28" t="n">
        <f aca="false">AT4548*$M4548</f>
        <v>0</v>
      </c>
      <c r="AV4548" s="28"/>
      <c r="AW4548" s="28" t="n">
        <f aca="false">AV4548*$M4548</f>
        <v>0</v>
      </c>
      <c r="AX4548" s="28"/>
      <c r="AY4548" s="28" t="n">
        <f aca="false">AX4548*$M4548</f>
        <v>0</v>
      </c>
      <c r="AZ4548" s="30" t="n">
        <v>121588</v>
      </c>
      <c r="BA4548" s="11" t="n">
        <v>364764</v>
      </c>
      <c r="BB4548" s="31" t="n">
        <f aca="false">SUM(Q4548,S4548,U4548,W4548,Y4548,AA4548,AC4548,AE4548,AG4548,AI4548,AK4548,AM4548,AO4548,AQ4548,AS4548,AU4548,AW4548,AY4548)</f>
        <v>364764</v>
      </c>
      <c r="BC4548" s="28" t="n">
        <f aca="false">BA4548-BB4548</f>
        <v>0</v>
      </c>
      <c r="BD4548" s="32" t="n">
        <f aca="false">SUM(P4548,R4548,T4548,V4548,X4548,Z4548,AB4548,AD4548,AF4548,AH4548,AJ4548,AL4548,AN4548,AP4548,AR4548,AT4548,AV4548,AX4548)</f>
        <v>121588</v>
      </c>
      <c r="BE4548" s="33" t="n">
        <f aca="false">AZ4548-BD4548</f>
        <v>0</v>
      </c>
      <c r="BF4548" s="34" t="n">
        <f aca="false">BD4548*M4548</f>
        <v>364764</v>
      </c>
      <c r="BG4548" s="35" t="n">
        <f aca="false">BA4548-BF4548</f>
        <v>0</v>
      </c>
      <c r="BH4548" s="19" t="str">
        <f aca="false">IF(BG4548=0,"",IF(BG4548&lt;&gt;BA4548,"erreur de calcul",IF(BD4548&lt;&gt;0,"pas de prix",IF(M4548&lt;&gt; 0,"pas de quantité","pas de prix, ni de quantité"))))</f>
        <v/>
      </c>
      <c r="BI4548" s="19"/>
    </row>
    <row r="4549" customFormat="false" ht="15" hidden="false" customHeight="false" outlineLevel="0" collapsed="false">
      <c r="A4549" s="0" t="n">
        <v>7</v>
      </c>
      <c r="B4549" s="8" t="s">
        <v>24</v>
      </c>
      <c r="C4549" s="9" t="s">
        <v>25</v>
      </c>
      <c r="D4549" s="9" t="s">
        <v>26</v>
      </c>
      <c r="E4549" s="10" t="n">
        <v>1789</v>
      </c>
      <c r="F4549" s="9" t="s">
        <v>27</v>
      </c>
      <c r="G4549" s="9" t="s">
        <v>27</v>
      </c>
      <c r="H4549" s="11" t="n">
        <v>27</v>
      </c>
      <c r="I4549" s="11" t="s">
        <v>418</v>
      </c>
      <c r="J4549" s="14"/>
      <c r="K4549" s="14" t="n">
        <v>24</v>
      </c>
      <c r="L4549" s="16"/>
      <c r="M4549" s="27" t="n">
        <f aca="false">J4549+(K4549/20)+(L4549/240)</f>
        <v>1.2</v>
      </c>
      <c r="N4549" s="17" t="s">
        <v>66</v>
      </c>
      <c r="O4549" s="11"/>
      <c r="P4549" s="28"/>
      <c r="Q4549" s="28" t="n">
        <f aca="false">P4549*$M4549</f>
        <v>0</v>
      </c>
      <c r="R4549" s="28"/>
      <c r="S4549" s="28" t="n">
        <f aca="false">R4549*$M4549</f>
        <v>0</v>
      </c>
      <c r="T4549" s="28"/>
      <c r="U4549" s="28" t="n">
        <f aca="false">T4549*$M4549</f>
        <v>0</v>
      </c>
      <c r="V4549" s="28"/>
      <c r="W4549" s="28" t="n">
        <f aca="false">V4549*$M4549</f>
        <v>0</v>
      </c>
      <c r="X4549" s="28"/>
      <c r="Y4549" s="28" t="n">
        <f aca="false">X4549*$M4549</f>
        <v>0</v>
      </c>
      <c r="Z4549" s="28"/>
      <c r="AA4549" s="28" t="n">
        <f aca="false">Z4549*$M4549</f>
        <v>0</v>
      </c>
      <c r="AB4549" s="28"/>
      <c r="AC4549" s="28" t="n">
        <f aca="false">AB4549*$M4549</f>
        <v>0</v>
      </c>
      <c r="AD4549" s="28"/>
      <c r="AE4549" s="28" t="n">
        <f aca="false">AD4549*$M4549</f>
        <v>0</v>
      </c>
      <c r="AF4549" s="28"/>
      <c r="AG4549" s="28" t="n">
        <f aca="false">AF4549*$M4549</f>
        <v>0</v>
      </c>
      <c r="AH4549" s="28" t="n">
        <v>50204</v>
      </c>
      <c r="AI4549" s="28" t="n">
        <v>60245</v>
      </c>
      <c r="AJ4549" s="28"/>
      <c r="AK4549" s="28" t="n">
        <f aca="false">AJ4549*$M4549</f>
        <v>0</v>
      </c>
      <c r="AL4549" s="28"/>
      <c r="AM4549" s="28" t="n">
        <f aca="false">AL4549*$M4549</f>
        <v>0</v>
      </c>
      <c r="AN4549" s="28"/>
      <c r="AO4549" s="28" t="n">
        <f aca="false">AN4549*$M4549</f>
        <v>0</v>
      </c>
      <c r="AP4549" s="28"/>
      <c r="AQ4549" s="28" t="n">
        <f aca="false">AP4549*$M4549</f>
        <v>0</v>
      </c>
      <c r="AR4549" s="28"/>
      <c r="AS4549" s="28" t="n">
        <f aca="false">AR4549*$M4549</f>
        <v>0</v>
      </c>
      <c r="AT4549" s="28"/>
      <c r="AU4549" s="28" t="n">
        <f aca="false">AT4549*$M4549</f>
        <v>0</v>
      </c>
      <c r="AV4549" s="28"/>
      <c r="AW4549" s="28" t="n">
        <f aca="false">AV4549*$M4549</f>
        <v>0</v>
      </c>
      <c r="AX4549" s="28"/>
      <c r="AY4549" s="28" t="n">
        <f aca="false">AX4549*$M4549</f>
        <v>0</v>
      </c>
      <c r="AZ4549" s="30" t="n">
        <v>50204</v>
      </c>
      <c r="BA4549" s="11" t="n">
        <v>60245</v>
      </c>
      <c r="BB4549" s="31" t="n">
        <f aca="false">SUM(Q4549,S4549,U4549,W4549,Y4549,AA4549,AC4549,AE4549,AG4549,AI4549,AK4549,AM4549,AO4549,AQ4549,AS4549,AU4549,AW4549,AY4549)</f>
        <v>60245</v>
      </c>
      <c r="BC4549" s="28" t="n">
        <f aca="false">BA4549-BB4549</f>
        <v>0</v>
      </c>
      <c r="BD4549" s="32" t="n">
        <f aca="false">SUM(P4549,R4549,T4549,V4549,X4549,Z4549,AB4549,AD4549,AF4549,AH4549,AJ4549,AL4549,AN4549,AP4549,AR4549,AT4549,AV4549,AX4549)</f>
        <v>50204</v>
      </c>
      <c r="BE4549" s="33" t="n">
        <f aca="false">AZ4549-BD4549</f>
        <v>0</v>
      </c>
      <c r="BF4549" s="34" t="n">
        <f aca="false">BD4549*M4549</f>
        <v>60244.8</v>
      </c>
      <c r="BG4549" s="35" t="n">
        <f aca="false">BA4549-BF4549</f>
        <v>0.200000000004366</v>
      </c>
      <c r="BH4549" s="19" t="str">
        <f aca="false">IF(BG4549=0,"",IF(BG4549&lt;&gt;BA4549,"erreur de calcul",IF(BD4549&lt;&gt;0,"pas de prix",IF(M4549&lt;&gt; 0,"pas de quantité","pas de prix, ni de quantité"))))</f>
        <v>erreur de calcul</v>
      </c>
      <c r="BI4549" s="19"/>
    </row>
    <row r="4550" customFormat="false" ht="15" hidden="false" customHeight="false" outlineLevel="0" collapsed="false">
      <c r="A4550" s="0" t="n">
        <v>8</v>
      </c>
      <c r="B4550" s="8" t="s">
        <v>24</v>
      </c>
      <c r="C4550" s="9" t="s">
        <v>25</v>
      </c>
      <c r="D4550" s="9" t="s">
        <v>26</v>
      </c>
      <c r="E4550" s="10" t="n">
        <v>1789</v>
      </c>
      <c r="F4550" s="9" t="s">
        <v>27</v>
      </c>
      <c r="G4550" s="9" t="s">
        <v>27</v>
      </c>
      <c r="H4550" s="11" t="n">
        <v>27</v>
      </c>
      <c r="I4550" s="11" t="s">
        <v>419</v>
      </c>
      <c r="J4550" s="14" t="n">
        <v>40</v>
      </c>
      <c r="K4550" s="14"/>
      <c r="L4550" s="16"/>
      <c r="M4550" s="27" t="n">
        <f aca="false">J4550+(K4550/20)+(L4550/240)</f>
        <v>40</v>
      </c>
      <c r="N4550" s="17" t="s">
        <v>66</v>
      </c>
      <c r="O4550" s="11" t="s">
        <v>98</v>
      </c>
      <c r="P4550" s="28"/>
      <c r="Q4550" s="28" t="n">
        <f aca="false">P4550*$M4550</f>
        <v>0</v>
      </c>
      <c r="R4550" s="28"/>
      <c r="S4550" s="28" t="n">
        <f aca="false">R4550*$M4550</f>
        <v>0</v>
      </c>
      <c r="T4550" s="28"/>
      <c r="U4550" s="28" t="n">
        <f aca="false">T4550*$M4550</f>
        <v>0</v>
      </c>
      <c r="V4550" s="28"/>
      <c r="W4550" s="28" t="n">
        <f aca="false">V4550*$M4550</f>
        <v>0</v>
      </c>
      <c r="X4550" s="28"/>
      <c r="Y4550" s="28" t="n">
        <f aca="false">X4550*$M4550</f>
        <v>0</v>
      </c>
      <c r="Z4550" s="28"/>
      <c r="AA4550" s="28" t="n">
        <f aca="false">Z4550*$M4550</f>
        <v>0</v>
      </c>
      <c r="AB4550" s="28"/>
      <c r="AC4550" s="28" t="n">
        <f aca="false">AB4550*$M4550</f>
        <v>0</v>
      </c>
      <c r="AD4550" s="28"/>
      <c r="AE4550" s="28" t="n">
        <f aca="false">AD4550*$M4550</f>
        <v>0</v>
      </c>
      <c r="AF4550" s="28"/>
      <c r="AG4550" s="28" t="n">
        <f aca="false">AF4550*$M4550</f>
        <v>0</v>
      </c>
      <c r="AH4550" s="28"/>
      <c r="AI4550" s="28" t="n">
        <f aca="false">AH4550*$M4550</f>
        <v>0</v>
      </c>
      <c r="AJ4550" s="28"/>
      <c r="AK4550" s="28" t="n">
        <f aca="false">AJ4550*$M4550</f>
        <v>0</v>
      </c>
      <c r="AL4550" s="28"/>
      <c r="AM4550" s="28" t="n">
        <f aca="false">AL4550*$M4550</f>
        <v>0</v>
      </c>
      <c r="AN4550" s="28"/>
      <c r="AO4550" s="28" t="n">
        <f aca="false">AN4550*$M4550</f>
        <v>0</v>
      </c>
      <c r="AP4550" s="28"/>
      <c r="AQ4550" s="28" t="n">
        <f aca="false">AP4550*$M4550</f>
        <v>0</v>
      </c>
      <c r="AR4550" s="28"/>
      <c r="AS4550" s="28" t="n">
        <f aca="false">AR4550*$M4550</f>
        <v>0</v>
      </c>
      <c r="AT4550" s="28"/>
      <c r="AU4550" s="28" t="n">
        <f aca="false">AT4550*$M4550</f>
        <v>0</v>
      </c>
      <c r="AV4550" s="28"/>
      <c r="AW4550" s="28" t="n">
        <f aca="false">AV4550*$M4550</f>
        <v>0</v>
      </c>
      <c r="AX4550" s="28"/>
      <c r="AY4550" s="28" t="n">
        <f aca="false">AX4550*$M4550</f>
        <v>0</v>
      </c>
      <c r="AZ4550" s="30"/>
      <c r="BA4550" s="11"/>
      <c r="BB4550" s="31" t="n">
        <f aca="false">SUM(Q4550,S4550,U4550,W4550,Y4550,AA4550,AC4550,AE4550,AG4550,AI4550,AK4550,AM4550,AO4550,AQ4550,AS4550,AU4550,AW4550,AY4550)</f>
        <v>0</v>
      </c>
      <c r="BC4550" s="28" t="n">
        <f aca="false">BA4550-BB4550</f>
        <v>0</v>
      </c>
      <c r="BD4550" s="32" t="n">
        <f aca="false">SUM(P4550,R4550,T4550,V4550,X4550,Z4550,AB4550,AD4550,AF4550,AH4550,AJ4550,AL4550,AN4550,AP4550,AR4550,AT4550,AV4550,AX4550)</f>
        <v>0</v>
      </c>
      <c r="BE4550" s="33" t="n">
        <f aca="false">AZ4550-BD4550</f>
        <v>0</v>
      </c>
      <c r="BF4550" s="34" t="n">
        <f aca="false">BD4550*M4550</f>
        <v>0</v>
      </c>
      <c r="BG4550" s="35" t="n">
        <f aca="false">BA4550-BF4550</f>
        <v>0</v>
      </c>
      <c r="BH4550" s="19" t="str">
        <f aca="false">IF(BG4550=0,"",IF(BG4550&lt;&gt;BA4550,"erreur de calcul",IF(BD4550&lt;&gt;0,"pas de prix",IF(M4550&lt;&gt; 0,"pas de quantité","pas de prix, ni de quantité"))))</f>
        <v/>
      </c>
      <c r="BI4550" s="19"/>
    </row>
    <row r="4551" customFormat="false" ht="15" hidden="false" customHeight="false" outlineLevel="0" collapsed="false">
      <c r="A4551" s="0" t="n">
        <v>9</v>
      </c>
      <c r="B4551" s="8" t="s">
        <v>24</v>
      </c>
      <c r="C4551" s="9" t="s">
        <v>25</v>
      </c>
      <c r="D4551" s="9" t="s">
        <v>26</v>
      </c>
      <c r="E4551" s="10" t="n">
        <v>1789</v>
      </c>
      <c r="F4551" s="9" t="s">
        <v>27</v>
      </c>
      <c r="G4551" s="9" t="s">
        <v>27</v>
      </c>
      <c r="H4551" s="11" t="n">
        <v>27</v>
      </c>
      <c r="I4551" s="11" t="s">
        <v>420</v>
      </c>
      <c r="J4551" s="14" t="n">
        <v>9</v>
      </c>
      <c r="K4551" s="14"/>
      <c r="L4551" s="16"/>
      <c r="M4551" s="27" t="n">
        <f aca="false">J4551+(K4551/20)+(L4551/240)</f>
        <v>9</v>
      </c>
      <c r="N4551" s="17" t="s">
        <v>81</v>
      </c>
      <c r="O4551" s="11" t="s">
        <v>98</v>
      </c>
      <c r="P4551" s="28"/>
      <c r="Q4551" s="28" t="n">
        <f aca="false">P4551*$M4551</f>
        <v>0</v>
      </c>
      <c r="R4551" s="28"/>
      <c r="S4551" s="28" t="n">
        <f aca="false">R4551*$M4551</f>
        <v>0</v>
      </c>
      <c r="T4551" s="28"/>
      <c r="U4551" s="28" t="n">
        <f aca="false">T4551*$M4551</f>
        <v>0</v>
      </c>
      <c r="V4551" s="28"/>
      <c r="W4551" s="28" t="n">
        <f aca="false">V4551*$M4551</f>
        <v>0</v>
      </c>
      <c r="X4551" s="28"/>
      <c r="Y4551" s="28" t="n">
        <f aca="false">X4551*$M4551</f>
        <v>0</v>
      </c>
      <c r="Z4551" s="28"/>
      <c r="AA4551" s="28" t="n">
        <f aca="false">Z4551*$M4551</f>
        <v>0</v>
      </c>
      <c r="AB4551" s="28"/>
      <c r="AC4551" s="28" t="n">
        <f aca="false">AB4551*$M4551</f>
        <v>0</v>
      </c>
      <c r="AD4551" s="28"/>
      <c r="AE4551" s="28" t="n">
        <f aca="false">AD4551*$M4551</f>
        <v>0</v>
      </c>
      <c r="AF4551" s="28"/>
      <c r="AG4551" s="28" t="n">
        <f aca="false">AF4551*$M4551</f>
        <v>0</v>
      </c>
      <c r="AH4551" s="28"/>
      <c r="AI4551" s="28" t="n">
        <f aca="false">AH4551*$M4551</f>
        <v>0</v>
      </c>
      <c r="AJ4551" s="28"/>
      <c r="AK4551" s="28" t="n">
        <f aca="false">AJ4551*$M4551</f>
        <v>0</v>
      </c>
      <c r="AL4551" s="28"/>
      <c r="AM4551" s="28" t="n">
        <f aca="false">AL4551*$M4551</f>
        <v>0</v>
      </c>
      <c r="AN4551" s="28"/>
      <c r="AO4551" s="28" t="n">
        <f aca="false">AN4551*$M4551</f>
        <v>0</v>
      </c>
      <c r="AP4551" s="28"/>
      <c r="AQ4551" s="28" t="n">
        <f aca="false">AP4551*$M4551</f>
        <v>0</v>
      </c>
      <c r="AR4551" s="28"/>
      <c r="AS4551" s="28" t="n">
        <f aca="false">AR4551*$M4551</f>
        <v>0</v>
      </c>
      <c r="AT4551" s="28"/>
      <c r="AU4551" s="28" t="n">
        <f aca="false">AT4551*$M4551</f>
        <v>0</v>
      </c>
      <c r="AV4551" s="28"/>
      <c r="AW4551" s="28" t="n">
        <f aca="false">AV4551*$M4551</f>
        <v>0</v>
      </c>
      <c r="AX4551" s="28"/>
      <c r="AY4551" s="28" t="n">
        <f aca="false">AX4551*$M4551</f>
        <v>0</v>
      </c>
      <c r="AZ4551" s="30"/>
      <c r="BA4551" s="11"/>
      <c r="BB4551" s="31" t="n">
        <f aca="false">SUM(Q4551,S4551,U4551,W4551,Y4551,AA4551,AC4551,AE4551,AG4551,AI4551,AK4551,AM4551,AO4551,AQ4551,AS4551,AU4551,AW4551,AY4551)</f>
        <v>0</v>
      </c>
      <c r="BC4551" s="28" t="n">
        <f aca="false">BA4551-BB4551</f>
        <v>0</v>
      </c>
      <c r="BD4551" s="32" t="n">
        <f aca="false">SUM(P4551,R4551,T4551,V4551,X4551,Z4551,AB4551,AD4551,AF4551,AH4551,AJ4551,AL4551,AN4551,AP4551,AR4551,AT4551,AV4551,AX4551)</f>
        <v>0</v>
      </c>
      <c r="BE4551" s="33" t="n">
        <f aca="false">AZ4551-BD4551</f>
        <v>0</v>
      </c>
      <c r="BF4551" s="34" t="n">
        <f aca="false">BD4551*M4551</f>
        <v>0</v>
      </c>
      <c r="BG4551" s="35" t="n">
        <f aca="false">BA4551-BF4551</f>
        <v>0</v>
      </c>
      <c r="BH4551" s="19" t="str">
        <f aca="false">IF(BG4551=0,"",IF(BG4551&lt;&gt;BA4551,"erreur de calcul",IF(BD4551&lt;&gt;0,"pas de prix",IF(M4551&lt;&gt; 0,"pas de quantité","pas de prix, ni de quantité"))))</f>
        <v/>
      </c>
      <c r="BI4551" s="19"/>
    </row>
    <row r="4552" customFormat="false" ht="15" hidden="false" customHeight="false" outlineLevel="0" collapsed="false">
      <c r="A4552" s="0" t="n">
        <v>10</v>
      </c>
      <c r="B4552" s="8" t="s">
        <v>24</v>
      </c>
      <c r="C4552" s="9" t="s">
        <v>25</v>
      </c>
      <c r="D4552" s="9" t="s">
        <v>26</v>
      </c>
      <c r="E4552" s="10" t="n">
        <v>1789</v>
      </c>
      <c r="F4552" s="9" t="s">
        <v>27</v>
      </c>
      <c r="G4552" s="9" t="s">
        <v>27</v>
      </c>
      <c r="H4552" s="11" t="n">
        <v>27</v>
      </c>
      <c r="I4552" s="11" t="s">
        <v>421</v>
      </c>
      <c r="J4552" s="14" t="n">
        <v>220</v>
      </c>
      <c r="K4552" s="14"/>
      <c r="L4552" s="16"/>
      <c r="M4552" s="27" t="n">
        <f aca="false">J4552+(K4552/20)+(L4552/240)</f>
        <v>220</v>
      </c>
      <c r="N4552" s="17" t="s">
        <v>64</v>
      </c>
      <c r="O4552" s="11" t="s">
        <v>277</v>
      </c>
      <c r="P4552" s="28" t="n">
        <f aca="false">245/100</f>
        <v>2.45</v>
      </c>
      <c r="Q4552" s="28" t="n">
        <v>539</v>
      </c>
      <c r="R4552" s="28"/>
      <c r="S4552" s="28" t="n">
        <f aca="false">R4552*$M4552</f>
        <v>0</v>
      </c>
      <c r="T4552" s="28" t="n">
        <f aca="false">40119/100</f>
        <v>401.19</v>
      </c>
      <c r="U4552" s="28" t="n">
        <v>88262</v>
      </c>
      <c r="V4552" s="28" t="n">
        <f aca="false">14285/100</f>
        <v>142.85</v>
      </c>
      <c r="W4552" s="28" t="n">
        <v>31427</v>
      </c>
      <c r="X4552" s="28" t="n">
        <f aca="false">62608/100</f>
        <v>626.08</v>
      </c>
      <c r="Y4552" s="28" t="n">
        <v>137738</v>
      </c>
      <c r="Z4552" s="28" t="n">
        <f aca="false">523/100</f>
        <v>5.23</v>
      </c>
      <c r="AA4552" s="28" t="n">
        <v>1151</v>
      </c>
      <c r="AB4552" s="28" t="n">
        <f aca="false">56/100</f>
        <v>0.56</v>
      </c>
      <c r="AC4552" s="28" t="n">
        <v>123</v>
      </c>
      <c r="AD4552" s="28"/>
      <c r="AE4552" s="28" t="n">
        <f aca="false">AD4552*$M4552</f>
        <v>0</v>
      </c>
      <c r="AF4552" s="28"/>
      <c r="AG4552" s="28" t="n">
        <f aca="false">AF4552*$M4552</f>
        <v>0</v>
      </c>
      <c r="AH4552" s="28"/>
      <c r="AI4552" s="28" t="n">
        <f aca="false">AH4552*$M4552</f>
        <v>0</v>
      </c>
      <c r="AJ4552" s="28" t="n">
        <f aca="false">3845/100</f>
        <v>38.45</v>
      </c>
      <c r="AK4552" s="28" t="n">
        <v>8459</v>
      </c>
      <c r="AL4552" s="28" t="n">
        <f aca="false">26510/100</f>
        <v>265.1</v>
      </c>
      <c r="AM4552" s="28" t="n">
        <v>58322</v>
      </c>
      <c r="AN4552" s="28" t="n">
        <f aca="false">330/100</f>
        <v>3.3</v>
      </c>
      <c r="AO4552" s="28" t="n">
        <v>726</v>
      </c>
      <c r="AP4552" s="28"/>
      <c r="AQ4552" s="28" t="n">
        <f aca="false">AP4552*$M4552</f>
        <v>0</v>
      </c>
      <c r="AR4552" s="28"/>
      <c r="AS4552" s="28" t="n">
        <f aca="false">AR4552*$M4552</f>
        <v>0</v>
      </c>
      <c r="AT4552" s="28"/>
      <c r="AU4552" s="28" t="n">
        <f aca="false">AT4552*$M4552</f>
        <v>0</v>
      </c>
      <c r="AV4552" s="28" t="n">
        <f aca="false">1487/100</f>
        <v>14.87</v>
      </c>
      <c r="AW4552" s="28" t="n">
        <v>3271</v>
      </c>
      <c r="AX4552" s="28"/>
      <c r="AY4552" s="28" t="n">
        <f aca="false">AX4552*$M4552</f>
        <v>0</v>
      </c>
      <c r="AZ4552" s="30" t="n">
        <f aca="false">150008/100</f>
        <v>1500.08</v>
      </c>
      <c r="BA4552" s="11" t="n">
        <v>330018</v>
      </c>
      <c r="BB4552" s="31" t="n">
        <f aca="false">SUM(Q4552,S4552,U4552,W4552,Y4552,AA4552,AC4552,AE4552,AG4552,AI4552,AK4552,AM4552,AO4552,AQ4552,AS4552,AU4552,AW4552,AY4552)</f>
        <v>330018</v>
      </c>
      <c r="BC4552" s="28" t="n">
        <f aca="false">BA4552-BB4552</f>
        <v>0</v>
      </c>
      <c r="BD4552" s="32" t="n">
        <f aca="false">SUM(P4552,R4552,T4552,V4552,X4552,Z4552,AB4552,AD4552,AF4552,AH4552,AJ4552,AL4552,AN4552,AP4552,AR4552,AT4552,AV4552,AX4552)</f>
        <v>1500.08</v>
      </c>
      <c r="BE4552" s="33" t="n">
        <f aca="false">AZ4552-BD4552</f>
        <v>0</v>
      </c>
      <c r="BF4552" s="34" t="n">
        <f aca="false">BD4552*M4552</f>
        <v>330017.6</v>
      </c>
      <c r="BG4552" s="35" t="n">
        <f aca="false">BA4552-BF4552</f>
        <v>0.399999999965075</v>
      </c>
      <c r="BH4552" s="19" t="str">
        <f aca="false">IF(BG4552=0,"",IF(BG4552&lt;&gt;BA4552,"erreur de calcul",IF(BD4552&lt;&gt;0,"pas de prix",IF(M4552&lt;&gt; 0,"pas de quantité","pas de prix, ni de quantité"))))</f>
        <v>erreur de calcul</v>
      </c>
      <c r="BI4552" s="19"/>
    </row>
    <row r="4553" customFormat="false" ht="15" hidden="false" customHeight="false" outlineLevel="0" collapsed="false">
      <c r="A4553" s="0" t="n">
        <v>11</v>
      </c>
      <c r="B4553" s="8" t="s">
        <v>24</v>
      </c>
      <c r="C4553" s="9" t="s">
        <v>25</v>
      </c>
      <c r="D4553" s="9" t="s">
        <v>26</v>
      </c>
      <c r="E4553" s="10" t="n">
        <v>1789</v>
      </c>
      <c r="F4553" s="9" t="s">
        <v>27</v>
      </c>
      <c r="G4553" s="9" t="s">
        <v>27</v>
      </c>
      <c r="H4553" s="11" t="n">
        <v>27</v>
      </c>
      <c r="I4553" s="11" t="s">
        <v>422</v>
      </c>
      <c r="J4553" s="14" t="n">
        <v>35</v>
      </c>
      <c r="K4553" s="14"/>
      <c r="L4553" s="16"/>
      <c r="M4553" s="27" t="n">
        <f aca="false">J4553+(K4553/20)+(L4553/240)</f>
        <v>35</v>
      </c>
      <c r="N4553" s="17" t="s">
        <v>64</v>
      </c>
      <c r="O4553" s="11"/>
      <c r="P4553" s="28"/>
      <c r="Q4553" s="28" t="n">
        <f aca="false">P4553*$M4553</f>
        <v>0</v>
      </c>
      <c r="R4553" s="28"/>
      <c r="S4553" s="28" t="n">
        <f aca="false">R4553*$M4553</f>
        <v>0</v>
      </c>
      <c r="T4553" s="28"/>
      <c r="U4553" s="28" t="n">
        <f aca="false">T4553*$M4553</f>
        <v>0</v>
      </c>
      <c r="V4553" s="28"/>
      <c r="W4553" s="28" t="n">
        <f aca="false">V4553*$M4553</f>
        <v>0</v>
      </c>
      <c r="X4553" s="28" t="n">
        <f aca="false">9982/100</f>
        <v>99.82</v>
      </c>
      <c r="Y4553" s="28" t="n">
        <v>3494</v>
      </c>
      <c r="Z4553" s="28"/>
      <c r="AA4553" s="28" t="n">
        <f aca="false">Z4553*$M4553</f>
        <v>0</v>
      </c>
      <c r="AB4553" s="28"/>
      <c r="AC4553" s="28" t="n">
        <f aca="false">AB4553*$M4553</f>
        <v>0</v>
      </c>
      <c r="AD4553" s="28"/>
      <c r="AE4553" s="28" t="n">
        <f aca="false">AD4553*$M4553</f>
        <v>0</v>
      </c>
      <c r="AF4553" s="28"/>
      <c r="AG4553" s="28" t="n">
        <f aca="false">AF4553*$M4553</f>
        <v>0</v>
      </c>
      <c r="AH4553" s="28"/>
      <c r="AI4553" s="28" t="n">
        <f aca="false">AH4553*$M4553</f>
        <v>0</v>
      </c>
      <c r="AJ4553" s="28" t="n">
        <f aca="false">28200/100</f>
        <v>282</v>
      </c>
      <c r="AK4553" s="28" t="n">
        <v>9870</v>
      </c>
      <c r="AL4553" s="28" t="n">
        <f aca="false">163472/100</f>
        <v>1634.72</v>
      </c>
      <c r="AM4553" s="28" t="n">
        <v>57215</v>
      </c>
      <c r="AN4553" s="28"/>
      <c r="AO4553" s="28" t="n">
        <f aca="false">AN4553*$M4553</f>
        <v>0</v>
      </c>
      <c r="AP4553" s="28"/>
      <c r="AQ4553" s="28" t="n">
        <f aca="false">AP4553*$M4553</f>
        <v>0</v>
      </c>
      <c r="AR4553" s="28"/>
      <c r="AS4553" s="28" t="n">
        <f aca="false">AR4553*$M4553</f>
        <v>0</v>
      </c>
      <c r="AT4553" s="28"/>
      <c r="AU4553" s="28" t="n">
        <f aca="false">AT4553*$M4553</f>
        <v>0</v>
      </c>
      <c r="AV4553" s="28" t="n">
        <f aca="false">49250/100</f>
        <v>492.5</v>
      </c>
      <c r="AW4553" s="28" t="n">
        <v>17237</v>
      </c>
      <c r="AX4553" s="28"/>
      <c r="AY4553" s="28" t="n">
        <f aca="false">AX4553*$M4553</f>
        <v>0</v>
      </c>
      <c r="AZ4553" s="30" t="n">
        <f aca="false">250904/100</f>
        <v>2509.04</v>
      </c>
      <c r="BA4553" s="11" t="n">
        <v>87816</v>
      </c>
      <c r="BB4553" s="31" t="n">
        <f aca="false">SUM(Q4553,S4553,U4553,W4553,Y4553,AA4553,AC4553,AE4553,AG4553,AI4553,AK4553,AM4553,AO4553,AQ4553,AS4553,AU4553,AW4553,AY4553)</f>
        <v>87816</v>
      </c>
      <c r="BC4553" s="28" t="n">
        <f aca="false">BA4553-BB4553</f>
        <v>0</v>
      </c>
      <c r="BD4553" s="32" t="n">
        <f aca="false">SUM(P4553,R4553,T4553,V4553,X4553,Z4553,AB4553,AD4553,AF4553,AH4553,AJ4553,AL4553,AN4553,AP4553,AR4553,AT4553,AV4553,AX4553)</f>
        <v>2509.04</v>
      </c>
      <c r="BE4553" s="33" t="n">
        <f aca="false">AZ4553-BD4553</f>
        <v>0</v>
      </c>
      <c r="BF4553" s="34" t="n">
        <f aca="false">BD4553*M4553</f>
        <v>87816.4</v>
      </c>
      <c r="BG4553" s="35" t="n">
        <f aca="false">BA4553-BF4553</f>
        <v>-0.400000000008731</v>
      </c>
      <c r="BH4553" s="19" t="str">
        <f aca="false">IF(BG4553=0,"",IF(BG4553&lt;&gt;BA4553,"erreur de calcul",IF(BD4553&lt;&gt;0,"pas de prix",IF(M4553&lt;&gt; 0,"pas de quantité","pas de prix, ni de quantité"))))</f>
        <v>erreur de calcul</v>
      </c>
      <c r="BI4553" s="19"/>
    </row>
    <row r="4554" customFormat="false" ht="15" hidden="false" customHeight="false" outlineLevel="0" collapsed="false">
      <c r="A4554" s="0" t="n">
        <v>12</v>
      </c>
      <c r="B4554" s="8" t="s">
        <v>24</v>
      </c>
      <c r="C4554" s="9" t="s">
        <v>25</v>
      </c>
      <c r="D4554" s="9" t="s">
        <v>26</v>
      </c>
      <c r="E4554" s="10" t="n">
        <v>1789</v>
      </c>
      <c r="F4554" s="9" t="s">
        <v>27</v>
      </c>
      <c r="G4554" s="9" t="s">
        <v>27</v>
      </c>
      <c r="H4554" s="11" t="n">
        <v>27</v>
      </c>
      <c r="I4554" s="11" t="s">
        <v>423</v>
      </c>
      <c r="J4554" s="14" t="n">
        <v>75</v>
      </c>
      <c r="K4554" s="14"/>
      <c r="L4554" s="16"/>
      <c r="M4554" s="27" t="n">
        <f aca="false">J4554+(K4554/20)+(L4554/240)</f>
        <v>75</v>
      </c>
      <c r="N4554" s="17" t="s">
        <v>64</v>
      </c>
      <c r="O4554" s="11"/>
      <c r="P4554" s="28"/>
      <c r="Q4554" s="28" t="n">
        <f aca="false">P4554*$M4554</f>
        <v>0</v>
      </c>
      <c r="R4554" s="28"/>
      <c r="S4554" s="28" t="n">
        <f aca="false">R4554*$M4554</f>
        <v>0</v>
      </c>
      <c r="T4554" s="28"/>
      <c r="U4554" s="28" t="n">
        <f aca="false">T4554*$M4554</f>
        <v>0</v>
      </c>
      <c r="V4554" s="28" t="n">
        <f aca="false">1030/100</f>
        <v>10.3</v>
      </c>
      <c r="W4554" s="28" t="n">
        <v>772</v>
      </c>
      <c r="X4554" s="28"/>
      <c r="Y4554" s="28" t="n">
        <f aca="false">X4554*$M4554</f>
        <v>0</v>
      </c>
      <c r="Z4554" s="28"/>
      <c r="AA4554" s="28" t="n">
        <f aca="false">Z4554*$M4554</f>
        <v>0</v>
      </c>
      <c r="AB4554" s="28"/>
      <c r="AC4554" s="28" t="n">
        <f aca="false">AB4554*$M4554</f>
        <v>0</v>
      </c>
      <c r="AD4554" s="28"/>
      <c r="AE4554" s="28" t="n">
        <f aca="false">AD4554*$M4554</f>
        <v>0</v>
      </c>
      <c r="AF4554" s="28"/>
      <c r="AG4554" s="28" t="n">
        <f aca="false">AF4554*$M4554</f>
        <v>0</v>
      </c>
      <c r="AH4554" s="28"/>
      <c r="AI4554" s="28" t="n">
        <f aca="false">AH4554*$M4554</f>
        <v>0</v>
      </c>
      <c r="AJ4554" s="28"/>
      <c r="AK4554" s="28" t="n">
        <f aca="false">AJ4554*$M4554</f>
        <v>0</v>
      </c>
      <c r="AL4554" s="28"/>
      <c r="AM4554" s="28" t="n">
        <f aca="false">AL4554*$M4554</f>
        <v>0</v>
      </c>
      <c r="AN4554" s="28"/>
      <c r="AO4554" s="28" t="n">
        <f aca="false">AN4554*$M4554</f>
        <v>0</v>
      </c>
      <c r="AP4554" s="28"/>
      <c r="AQ4554" s="28" t="n">
        <f aca="false">AP4554*$M4554</f>
        <v>0</v>
      </c>
      <c r="AR4554" s="28"/>
      <c r="AS4554" s="28" t="n">
        <f aca="false">AR4554*$M4554</f>
        <v>0</v>
      </c>
      <c r="AT4554" s="28"/>
      <c r="AU4554" s="28" t="n">
        <f aca="false">AT4554*$M4554</f>
        <v>0</v>
      </c>
      <c r="AV4554" s="28"/>
      <c r="AW4554" s="28" t="n">
        <f aca="false">AV4554*$M4554</f>
        <v>0</v>
      </c>
      <c r="AX4554" s="28"/>
      <c r="AY4554" s="28" t="n">
        <f aca="false">AX4554*$M4554</f>
        <v>0</v>
      </c>
      <c r="AZ4554" s="30" t="n">
        <f aca="false">1030/100</f>
        <v>10.3</v>
      </c>
      <c r="BA4554" s="11" t="n">
        <v>772</v>
      </c>
      <c r="BB4554" s="31" t="n">
        <f aca="false">SUM(Q4554,S4554,U4554,W4554,Y4554,AA4554,AC4554,AE4554,AG4554,AI4554,AK4554,AM4554,AO4554,AQ4554,AS4554,AU4554,AW4554,AY4554)</f>
        <v>772</v>
      </c>
      <c r="BC4554" s="28" t="n">
        <f aca="false">BA4554-BB4554</f>
        <v>0</v>
      </c>
      <c r="BD4554" s="32" t="n">
        <f aca="false">SUM(P4554,R4554,T4554,V4554,X4554,Z4554,AB4554,AD4554,AF4554,AH4554,AJ4554,AL4554,AN4554,AP4554,AR4554,AT4554,AV4554,AX4554)</f>
        <v>10.3</v>
      </c>
      <c r="BE4554" s="33" t="n">
        <f aca="false">AZ4554-BD4554</f>
        <v>0</v>
      </c>
      <c r="BF4554" s="34" t="n">
        <f aca="false">BD4554*M4554</f>
        <v>772.5</v>
      </c>
      <c r="BG4554" s="35" t="n">
        <f aca="false">BA4554-BF4554</f>
        <v>-0.5</v>
      </c>
      <c r="BH4554" s="19" t="str">
        <f aca="false">IF(BG4554=0,"",IF(BG4554&lt;&gt;BA4554,"erreur de calcul",IF(BD4554&lt;&gt;0,"pas de prix",IF(M4554&lt;&gt; 0,"pas de quantité","pas de prix, ni de quantité"))))</f>
        <v>erreur de calcul</v>
      </c>
      <c r="BI4554" s="19"/>
    </row>
    <row r="4555" customFormat="false" ht="15" hidden="false" customHeight="false" outlineLevel="0" collapsed="false">
      <c r="A4555" s="0" t="n">
        <v>13</v>
      </c>
      <c r="B4555" s="8" t="s">
        <v>24</v>
      </c>
      <c r="C4555" s="9" t="s">
        <v>25</v>
      </c>
      <c r="D4555" s="9" t="s">
        <v>26</v>
      </c>
      <c r="E4555" s="10" t="n">
        <v>1789</v>
      </c>
      <c r="F4555" s="9" t="s">
        <v>27</v>
      </c>
      <c r="G4555" s="9" t="s">
        <v>27</v>
      </c>
      <c r="H4555" s="11" t="n">
        <v>27</v>
      </c>
      <c r="I4555" s="11" t="s">
        <v>424</v>
      </c>
      <c r="J4555" s="14" t="n">
        <v>6</v>
      </c>
      <c r="K4555" s="14"/>
      <c r="L4555" s="16"/>
      <c r="M4555" s="27" t="n">
        <f aca="false">J4555+(K4555/20)+(L4555/240)</f>
        <v>6</v>
      </c>
      <c r="N4555" s="17" t="s">
        <v>64</v>
      </c>
      <c r="O4555" s="11" t="s">
        <v>277</v>
      </c>
      <c r="P4555" s="28"/>
      <c r="Q4555" s="28" t="n">
        <f aca="false">P4555*$M4555</f>
        <v>0</v>
      </c>
      <c r="R4555" s="28"/>
      <c r="S4555" s="28" t="n">
        <f aca="false">R4555*$M4555</f>
        <v>0</v>
      </c>
      <c r="T4555" s="28"/>
      <c r="U4555" s="28" t="n">
        <f aca="false">T4555*$M4555</f>
        <v>0</v>
      </c>
      <c r="V4555" s="28"/>
      <c r="W4555" s="28" t="n">
        <f aca="false">V4555*$M4555</f>
        <v>0</v>
      </c>
      <c r="X4555" s="28"/>
      <c r="Y4555" s="28" t="n">
        <f aca="false">X4555*$M4555</f>
        <v>0</v>
      </c>
      <c r="Z4555" s="28"/>
      <c r="AA4555" s="28" t="n">
        <f aca="false">Z4555*$M4555</f>
        <v>0</v>
      </c>
      <c r="AB4555" s="28"/>
      <c r="AC4555" s="28" t="n">
        <f aca="false">AB4555*$M4555</f>
        <v>0</v>
      </c>
      <c r="AD4555" s="28"/>
      <c r="AE4555" s="28" t="n">
        <f aca="false">AD4555*$M4555</f>
        <v>0</v>
      </c>
      <c r="AF4555" s="28"/>
      <c r="AG4555" s="28" t="n">
        <f aca="false">AF4555*$M4555</f>
        <v>0</v>
      </c>
      <c r="AH4555" s="28" t="n">
        <f aca="false">9050/100</f>
        <v>90.5</v>
      </c>
      <c r="AI4555" s="28" t="n">
        <v>543</v>
      </c>
      <c r="AJ4555" s="28"/>
      <c r="AK4555" s="28" t="n">
        <f aca="false">AJ4555*$M4555</f>
        <v>0</v>
      </c>
      <c r="AL4555" s="28" t="n">
        <f aca="false">48717/100</f>
        <v>487.17</v>
      </c>
      <c r="AM4555" s="28" t="n">
        <v>2923</v>
      </c>
      <c r="AN4555" s="28"/>
      <c r="AO4555" s="28" t="n">
        <f aca="false">AN4555*$M4555</f>
        <v>0</v>
      </c>
      <c r="AP4555" s="28"/>
      <c r="AQ4555" s="28" t="n">
        <f aca="false">AP4555*$M4555</f>
        <v>0</v>
      </c>
      <c r="AR4555" s="28"/>
      <c r="AS4555" s="28" t="n">
        <f aca="false">AR4555*$M4555</f>
        <v>0</v>
      </c>
      <c r="AT4555" s="28"/>
      <c r="AU4555" s="28" t="n">
        <f aca="false">AT4555*$M4555</f>
        <v>0</v>
      </c>
      <c r="AV4555" s="28"/>
      <c r="AW4555" s="28" t="n">
        <f aca="false">AV4555*$M4555</f>
        <v>0</v>
      </c>
      <c r="AX4555" s="28"/>
      <c r="AY4555" s="28" t="n">
        <f aca="false">AX4555*$M4555</f>
        <v>0</v>
      </c>
      <c r="AZ4555" s="30" t="n">
        <f aca="false">57767/100</f>
        <v>577.67</v>
      </c>
      <c r="BA4555" s="11" t="n">
        <v>3466</v>
      </c>
      <c r="BB4555" s="31" t="n">
        <f aca="false">SUM(Q4555,S4555,U4555,W4555,Y4555,AA4555,AC4555,AE4555,AG4555,AI4555,AK4555,AM4555,AO4555,AQ4555,AS4555,AU4555,AW4555,AY4555)</f>
        <v>3466</v>
      </c>
      <c r="BC4555" s="28" t="n">
        <f aca="false">BA4555-BB4555</f>
        <v>0</v>
      </c>
      <c r="BD4555" s="32" t="n">
        <f aca="false">SUM(P4555,R4555,T4555,V4555,X4555,Z4555,AB4555,AD4555,AF4555,AH4555,AJ4555,AL4555,AN4555,AP4555,AR4555,AT4555,AV4555,AX4555)</f>
        <v>577.67</v>
      </c>
      <c r="BE4555" s="33" t="n">
        <f aca="false">AZ4555-BD4555</f>
        <v>0</v>
      </c>
      <c r="BF4555" s="34" t="n">
        <f aca="false">BD4555*M4555</f>
        <v>3466.02</v>
      </c>
      <c r="BG4555" s="35" t="n">
        <f aca="false">BA4555-BF4555</f>
        <v>-0.0200000000004366</v>
      </c>
      <c r="BH4555" s="19" t="str">
        <f aca="false">IF(BG4555=0,"",IF(BG4555&lt;&gt;BA4555,"erreur de calcul",IF(BD4555&lt;&gt;0,"pas de prix",IF(M4555&lt;&gt; 0,"pas de quantité","pas de prix, ni de quantité"))))</f>
        <v>erreur de calcul</v>
      </c>
      <c r="BI4555" s="19"/>
    </row>
    <row r="4556" customFormat="false" ht="15" hidden="false" customHeight="false" outlineLevel="0" collapsed="false">
      <c r="A4556" s="0" t="n">
        <v>14</v>
      </c>
      <c r="B4556" s="8" t="s">
        <v>24</v>
      </c>
      <c r="C4556" s="9" t="s">
        <v>25</v>
      </c>
      <c r="D4556" s="9" t="s">
        <v>26</v>
      </c>
      <c r="E4556" s="10" t="n">
        <v>1789</v>
      </c>
      <c r="F4556" s="9" t="s">
        <v>27</v>
      </c>
      <c r="G4556" s="9" t="s">
        <v>27</v>
      </c>
      <c r="H4556" s="11" t="n">
        <v>27</v>
      </c>
      <c r="I4556" s="11" t="s">
        <v>425</v>
      </c>
      <c r="J4556" s="14" t="n">
        <v>25</v>
      </c>
      <c r="K4556" s="14"/>
      <c r="L4556" s="16"/>
      <c r="M4556" s="27" t="n">
        <f aca="false">J4556+(K4556/20)+(L4556/240)</f>
        <v>25</v>
      </c>
      <c r="N4556" s="17" t="s">
        <v>64</v>
      </c>
      <c r="O4556" s="11"/>
      <c r="P4556" s="28"/>
      <c r="Q4556" s="28" t="n">
        <f aca="false">P4556*$M4556</f>
        <v>0</v>
      </c>
      <c r="R4556" s="28"/>
      <c r="S4556" s="28" t="n">
        <f aca="false">R4556*$M4556</f>
        <v>0</v>
      </c>
      <c r="T4556" s="28" t="n">
        <f aca="false">10*288*0.02+114*0.02</f>
        <v>59.88</v>
      </c>
      <c r="U4556" s="28" t="n">
        <v>1497</v>
      </c>
      <c r="V4556" s="28"/>
      <c r="W4556" s="28" t="n">
        <f aca="false">V4556*$M4556</f>
        <v>0</v>
      </c>
      <c r="X4556" s="28"/>
      <c r="Y4556" s="28" t="n">
        <f aca="false">X4556*$M4556</f>
        <v>0</v>
      </c>
      <c r="Z4556" s="28"/>
      <c r="AA4556" s="28" t="n">
        <f aca="false">Z4556*$M4556</f>
        <v>0</v>
      </c>
      <c r="AB4556" s="28"/>
      <c r="AC4556" s="28" t="n">
        <f aca="false">AB4556*$M4556</f>
        <v>0</v>
      </c>
      <c r="AD4556" s="28"/>
      <c r="AE4556" s="28" t="n">
        <f aca="false">AD4556*$M4556</f>
        <v>0</v>
      </c>
      <c r="AF4556" s="28"/>
      <c r="AG4556" s="28" t="n">
        <f aca="false">AF4556*$M4556</f>
        <v>0</v>
      </c>
      <c r="AH4556" s="28"/>
      <c r="AI4556" s="28" t="n">
        <f aca="false">AH4556*$M4556</f>
        <v>0</v>
      </c>
      <c r="AJ4556" s="28"/>
      <c r="AK4556" s="28" t="n">
        <f aca="false">AJ4556*$M4556</f>
        <v>0</v>
      </c>
      <c r="AL4556" s="28"/>
      <c r="AM4556" s="28" t="n">
        <f aca="false">AL4556*$M4556</f>
        <v>0</v>
      </c>
      <c r="AN4556" s="28"/>
      <c r="AO4556" s="28" t="n">
        <f aca="false">AN4556*$M4556</f>
        <v>0</v>
      </c>
      <c r="AP4556" s="28"/>
      <c r="AQ4556" s="28" t="n">
        <f aca="false">AP4556*$M4556</f>
        <v>0</v>
      </c>
      <c r="AR4556" s="28"/>
      <c r="AS4556" s="28" t="n">
        <f aca="false">AR4556*$M4556</f>
        <v>0</v>
      </c>
      <c r="AT4556" s="28"/>
      <c r="AU4556" s="28" t="n">
        <f aca="false">AT4556*$M4556</f>
        <v>0</v>
      </c>
      <c r="AV4556" s="28"/>
      <c r="AW4556" s="28" t="n">
        <f aca="false">AV4556*$M4556</f>
        <v>0</v>
      </c>
      <c r="AX4556" s="28"/>
      <c r="AY4556" s="28" t="n">
        <f aca="false">AX4556*$M4556</f>
        <v>0</v>
      </c>
      <c r="AZ4556" s="30" t="n">
        <f aca="false">10*288*0.02+114*0.02</f>
        <v>59.88</v>
      </c>
      <c r="BA4556" s="11" t="n">
        <v>1497</v>
      </c>
      <c r="BB4556" s="31" t="n">
        <f aca="false">SUM(Q4556,S4556,U4556,W4556,Y4556,AA4556,AC4556,AE4556,AG4556,AI4556,AK4556,AM4556,AO4556,AQ4556,AS4556,AU4556,AW4556,AY4556)</f>
        <v>1497</v>
      </c>
      <c r="BC4556" s="28" t="n">
        <f aca="false">BA4556-BB4556</f>
        <v>0</v>
      </c>
      <c r="BD4556" s="32" t="n">
        <f aca="false">SUM(P4556,R4556,T4556,V4556,X4556,Z4556,AB4556,AD4556,AF4556,AH4556,AJ4556,AL4556,AN4556,AP4556,AR4556,AT4556,AV4556,AX4556)</f>
        <v>59.88</v>
      </c>
      <c r="BE4556" s="33" t="n">
        <f aca="false">AZ4556-BD4556</f>
        <v>0</v>
      </c>
      <c r="BF4556" s="34" t="n">
        <f aca="false">BD4556*M4556</f>
        <v>1497</v>
      </c>
      <c r="BG4556" s="35" t="n">
        <f aca="false">BA4556-BF4556</f>
        <v>0</v>
      </c>
      <c r="BH4556" s="19" t="str">
        <f aca="false">IF(BG4556=0,"",IF(BG4556&lt;&gt;BA4556,"erreur de calcul",IF(BD4556&lt;&gt;0,"pas de prix",IF(M4556&lt;&gt; 0,"pas de quantité","pas de prix, ni de quantité"))))</f>
        <v/>
      </c>
      <c r="BI4556" s="19"/>
    </row>
    <row r="4557" customFormat="false" ht="15" hidden="false" customHeight="false" outlineLevel="0" collapsed="false">
      <c r="A4557" s="0" t="n">
        <v>15</v>
      </c>
      <c r="B4557" s="8" t="s">
        <v>24</v>
      </c>
      <c r="C4557" s="9" t="s">
        <v>25</v>
      </c>
      <c r="D4557" s="9" t="s">
        <v>26</v>
      </c>
      <c r="E4557" s="10" t="n">
        <v>1789</v>
      </c>
      <c r="F4557" s="9" t="s">
        <v>27</v>
      </c>
      <c r="G4557" s="9" t="s">
        <v>27</v>
      </c>
      <c r="H4557" s="11" t="n">
        <v>27</v>
      </c>
      <c r="I4557" s="11" t="s">
        <v>426</v>
      </c>
      <c r="J4557" s="14" t="n">
        <v>40</v>
      </c>
      <c r="K4557" s="14"/>
      <c r="L4557" s="16"/>
      <c r="M4557" s="27" t="n">
        <f aca="false">J4557+(K4557/20)+(L4557/240)</f>
        <v>40</v>
      </c>
      <c r="N4557" s="17" t="s">
        <v>64</v>
      </c>
      <c r="O4557" s="11"/>
      <c r="P4557" s="28"/>
      <c r="Q4557" s="28" t="n">
        <f aca="false">P4557*$M4557</f>
        <v>0</v>
      </c>
      <c r="R4557" s="28"/>
      <c r="S4557" s="28" t="n">
        <f aca="false">R4557*$M4557</f>
        <v>0</v>
      </c>
      <c r="T4557" s="28"/>
      <c r="U4557" s="28" t="n">
        <f aca="false">T4557*$M4557</f>
        <v>0</v>
      </c>
      <c r="V4557" s="28"/>
      <c r="W4557" s="28" t="n">
        <f aca="false">V4557*$M4557</f>
        <v>0</v>
      </c>
      <c r="X4557" s="28"/>
      <c r="Y4557" s="28" t="n">
        <f aca="false">X4557*$M4557</f>
        <v>0</v>
      </c>
      <c r="Z4557" s="28"/>
      <c r="AA4557" s="28" t="n">
        <f aca="false">Z4557*$M4557</f>
        <v>0</v>
      </c>
      <c r="AB4557" s="28"/>
      <c r="AC4557" s="28" t="n">
        <f aca="false">AB4557*$M4557</f>
        <v>0</v>
      </c>
      <c r="AD4557" s="28"/>
      <c r="AE4557" s="28" t="n">
        <f aca="false">AD4557*$M4557</f>
        <v>0</v>
      </c>
      <c r="AF4557" s="28"/>
      <c r="AG4557" s="28" t="n">
        <f aca="false">AF4557*$M4557</f>
        <v>0</v>
      </c>
      <c r="AH4557" s="28" t="n">
        <f aca="false">1*288*0.02+59*0.02</f>
        <v>6.94</v>
      </c>
      <c r="AI4557" s="28" t="n">
        <v>278</v>
      </c>
      <c r="AJ4557" s="28"/>
      <c r="AK4557" s="28" t="n">
        <f aca="false">AJ4557*$M4557</f>
        <v>0</v>
      </c>
      <c r="AL4557" s="28"/>
      <c r="AM4557" s="28" t="n">
        <f aca="false">AL4557*$M4557</f>
        <v>0</v>
      </c>
      <c r="AN4557" s="28"/>
      <c r="AO4557" s="28" t="n">
        <f aca="false">AN4557*$M4557</f>
        <v>0</v>
      </c>
      <c r="AP4557" s="28"/>
      <c r="AQ4557" s="28" t="n">
        <f aca="false">AP4557*$M4557</f>
        <v>0</v>
      </c>
      <c r="AR4557" s="28"/>
      <c r="AS4557" s="28" t="n">
        <f aca="false">AR4557*$M4557</f>
        <v>0</v>
      </c>
      <c r="AT4557" s="28"/>
      <c r="AU4557" s="28" t="n">
        <f aca="false">AT4557*$M4557</f>
        <v>0</v>
      </c>
      <c r="AV4557" s="28"/>
      <c r="AW4557" s="28" t="n">
        <f aca="false">AV4557*$M4557</f>
        <v>0</v>
      </c>
      <c r="AX4557" s="28"/>
      <c r="AY4557" s="28" t="n">
        <f aca="false">AX4557*$M4557</f>
        <v>0</v>
      </c>
      <c r="AZ4557" s="30" t="n">
        <f aca="false">1*288*0.02+59*0.02</f>
        <v>6.94</v>
      </c>
      <c r="BA4557" s="11" t="n">
        <v>278</v>
      </c>
      <c r="BB4557" s="31" t="n">
        <f aca="false">SUM(Q4557,S4557,U4557,W4557,Y4557,AA4557,AC4557,AE4557,AG4557,AI4557,AK4557,AM4557,AO4557,AQ4557,AS4557,AU4557,AW4557,AY4557)</f>
        <v>278</v>
      </c>
      <c r="BC4557" s="28" t="n">
        <f aca="false">BA4557-BB4557</f>
        <v>0</v>
      </c>
      <c r="BD4557" s="32" t="n">
        <f aca="false">SUM(P4557,R4557,T4557,V4557,X4557,Z4557,AB4557,AD4557,AF4557,AH4557,AJ4557,AL4557,AN4557,AP4557,AR4557,AT4557,AV4557,AX4557)</f>
        <v>6.94</v>
      </c>
      <c r="BE4557" s="33" t="n">
        <f aca="false">AZ4557-BD4557</f>
        <v>0</v>
      </c>
      <c r="BF4557" s="34" t="n">
        <f aca="false">BD4557*M4557</f>
        <v>277.6</v>
      </c>
      <c r="BG4557" s="35" t="n">
        <f aca="false">BA4557-BF4557</f>
        <v>0.400000000000034</v>
      </c>
      <c r="BH4557" s="19" t="str">
        <f aca="false">IF(BG4557=0,"",IF(BG4557&lt;&gt;BA4557,"erreur de calcul",IF(BD4557&lt;&gt;0,"pas de prix",IF(M4557&lt;&gt; 0,"pas de quantité","pas de prix, ni de quantité"))))</f>
        <v>erreur de calcul</v>
      </c>
      <c r="BI4557" s="19"/>
    </row>
    <row r="4558" customFormat="false" ht="15" hidden="false" customHeight="false" outlineLevel="0" collapsed="false">
      <c r="A4558" s="0" t="n">
        <v>16</v>
      </c>
      <c r="B4558" s="8" t="s">
        <v>24</v>
      </c>
      <c r="C4558" s="9" t="s">
        <v>25</v>
      </c>
      <c r="D4558" s="9" t="s">
        <v>26</v>
      </c>
      <c r="E4558" s="10" t="n">
        <v>1789</v>
      </c>
      <c r="F4558" s="9" t="s">
        <v>27</v>
      </c>
      <c r="G4558" s="9" t="s">
        <v>27</v>
      </c>
      <c r="H4558" s="11" t="n">
        <v>27</v>
      </c>
      <c r="I4558" s="11" t="s">
        <v>427</v>
      </c>
      <c r="J4558" s="14" t="n">
        <v>32</v>
      </c>
      <c r="K4558" s="14"/>
      <c r="L4558" s="16"/>
      <c r="M4558" s="27" t="n">
        <f aca="false">J4558+(K4558/20)+(L4558/240)</f>
        <v>32</v>
      </c>
      <c r="N4558" s="17" t="s">
        <v>64</v>
      </c>
      <c r="O4558" s="11"/>
      <c r="P4558" s="28" t="n">
        <f aca="false">33*288*0.02+179*0.02</f>
        <v>193.66</v>
      </c>
      <c r="Q4558" s="28" t="n">
        <v>6197</v>
      </c>
      <c r="R4558" s="28"/>
      <c r="S4558" s="28" t="n">
        <f aca="false">R4558*$M4558</f>
        <v>0</v>
      </c>
      <c r="T4558" s="28"/>
      <c r="U4558" s="28" t="n">
        <f aca="false">T4558*$M4558</f>
        <v>0</v>
      </c>
      <c r="V4558" s="28"/>
      <c r="W4558" s="28" t="n">
        <f aca="false">V4558*$M4558</f>
        <v>0</v>
      </c>
      <c r="X4558" s="28"/>
      <c r="Y4558" s="28" t="n">
        <f aca="false">X4558*$M4558</f>
        <v>0</v>
      </c>
      <c r="Z4558" s="28"/>
      <c r="AA4558" s="28" t="n">
        <f aca="false">Z4558*$M4558</f>
        <v>0</v>
      </c>
      <c r="AB4558" s="28"/>
      <c r="AC4558" s="28" t="n">
        <f aca="false">AB4558*$M4558</f>
        <v>0</v>
      </c>
      <c r="AD4558" s="28"/>
      <c r="AE4558" s="28" t="n">
        <f aca="false">AD4558*$M4558</f>
        <v>0</v>
      </c>
      <c r="AF4558" s="28"/>
      <c r="AG4558" s="28" t="n">
        <f aca="false">AF4558*$M4558</f>
        <v>0</v>
      </c>
      <c r="AH4558" s="28"/>
      <c r="AI4558" s="28" t="n">
        <f aca="false">AH4558*$M4558</f>
        <v>0</v>
      </c>
      <c r="AJ4558" s="28"/>
      <c r="AK4558" s="28" t="n">
        <f aca="false">AJ4558*$M4558</f>
        <v>0</v>
      </c>
      <c r="AL4558" s="28"/>
      <c r="AM4558" s="28" t="n">
        <f aca="false">AL4558*$M4558</f>
        <v>0</v>
      </c>
      <c r="AN4558" s="28"/>
      <c r="AO4558" s="28" t="n">
        <f aca="false">AN4558*$M4558</f>
        <v>0</v>
      </c>
      <c r="AP4558" s="28"/>
      <c r="AQ4558" s="28" t="n">
        <f aca="false">AP4558*$M4558</f>
        <v>0</v>
      </c>
      <c r="AR4558" s="28"/>
      <c r="AS4558" s="28" t="n">
        <f aca="false">AR4558*$M4558</f>
        <v>0</v>
      </c>
      <c r="AT4558" s="28"/>
      <c r="AU4558" s="28" t="n">
        <f aca="false">AT4558*$M4558</f>
        <v>0</v>
      </c>
      <c r="AV4558" s="28"/>
      <c r="AW4558" s="28" t="n">
        <f aca="false">AV4558*$M4558</f>
        <v>0</v>
      </c>
      <c r="AX4558" s="28"/>
      <c r="AY4558" s="28" t="n">
        <f aca="false">AX4558*$M4558</f>
        <v>0</v>
      </c>
      <c r="AZ4558" s="30" t="n">
        <f aca="false">33*288*0.02+179*0.02</f>
        <v>193.66</v>
      </c>
      <c r="BA4558" s="11" t="n">
        <v>6197</v>
      </c>
      <c r="BB4558" s="31" t="n">
        <f aca="false">SUM(Q4558,S4558,U4558,W4558,Y4558,AA4558,AC4558,AE4558,AG4558,AI4558,AK4558,AM4558,AO4558,AQ4558,AS4558,AU4558,AW4558,AY4558)</f>
        <v>6197</v>
      </c>
      <c r="BC4558" s="28" t="n">
        <f aca="false">BA4558-BB4558</f>
        <v>0</v>
      </c>
      <c r="BD4558" s="32" t="n">
        <f aca="false">SUM(P4558,R4558,T4558,V4558,X4558,Z4558,AB4558,AD4558,AF4558,AH4558,AJ4558,AL4558,AN4558,AP4558,AR4558,AT4558,AV4558,AX4558)</f>
        <v>193.66</v>
      </c>
      <c r="BE4558" s="33" t="n">
        <f aca="false">AZ4558-BD4558</f>
        <v>0</v>
      </c>
      <c r="BF4558" s="34" t="n">
        <f aca="false">BD4558*M4558</f>
        <v>6197.12</v>
      </c>
      <c r="BG4558" s="35" t="n">
        <f aca="false">BA4558-BF4558</f>
        <v>-0.1200000000008</v>
      </c>
      <c r="BH4558" s="19" t="str">
        <f aca="false">IF(BG4558=0,"",IF(BG4558&lt;&gt;BA4558,"erreur de calcul",IF(BD4558&lt;&gt;0,"pas de prix",IF(M4558&lt;&gt; 0,"pas de quantité","pas de prix, ni de quantité"))))</f>
        <v>erreur de calcul</v>
      </c>
      <c r="BI4558" s="19"/>
    </row>
    <row r="4559" customFormat="false" ht="15" hidden="false" customHeight="false" outlineLevel="0" collapsed="false">
      <c r="A4559" s="0" t="n">
        <v>17</v>
      </c>
      <c r="B4559" s="8" t="s">
        <v>24</v>
      </c>
      <c r="C4559" s="9" t="s">
        <v>25</v>
      </c>
      <c r="D4559" s="9" t="s">
        <v>26</v>
      </c>
      <c r="E4559" s="10" t="n">
        <v>1789</v>
      </c>
      <c r="F4559" s="9" t="s">
        <v>27</v>
      </c>
      <c r="G4559" s="9" t="s">
        <v>27</v>
      </c>
      <c r="H4559" s="11" t="n">
        <v>27</v>
      </c>
      <c r="I4559" s="11" t="s">
        <v>428</v>
      </c>
      <c r="J4559" s="14"/>
      <c r="K4559" s="14" t="n">
        <v>12</v>
      </c>
      <c r="L4559" s="16"/>
      <c r="M4559" s="27" t="n">
        <f aca="false">J4559+(K4559/20)+(L4559/240)</f>
        <v>0.6</v>
      </c>
      <c r="N4559" s="17" t="s">
        <v>429</v>
      </c>
      <c r="O4559" s="11"/>
      <c r="P4559" s="28" t="n">
        <f aca="false">620*288+173</f>
        <v>178733</v>
      </c>
      <c r="Q4559" s="28" t="n">
        <v>107240</v>
      </c>
      <c r="R4559" s="28"/>
      <c r="S4559" s="28" t="n">
        <f aca="false">R4559*$M4559</f>
        <v>0</v>
      </c>
      <c r="T4559" s="28"/>
      <c r="U4559" s="28" t="n">
        <f aca="false">T4559*$M4559</f>
        <v>0</v>
      </c>
      <c r="V4559" s="28" t="n">
        <f aca="false">4*288+179</f>
        <v>1331</v>
      </c>
      <c r="W4559" s="28" t="n">
        <v>799</v>
      </c>
      <c r="X4559" s="28"/>
      <c r="Y4559" s="28" t="n">
        <f aca="false">X4559*$M4559</f>
        <v>0</v>
      </c>
      <c r="Z4559" s="28"/>
      <c r="AA4559" s="28" t="n">
        <f aca="false">Z4559*$M4559</f>
        <v>0</v>
      </c>
      <c r="AB4559" s="28"/>
      <c r="AC4559" s="28" t="n">
        <f aca="false">AB4559*$M4559</f>
        <v>0</v>
      </c>
      <c r="AD4559" s="28"/>
      <c r="AE4559" s="28" t="n">
        <f aca="false">AD4559*$M4559</f>
        <v>0</v>
      </c>
      <c r="AF4559" s="28"/>
      <c r="AG4559" s="28" t="n">
        <f aca="false">AF4559*$M4559</f>
        <v>0</v>
      </c>
      <c r="AH4559" s="28" t="n">
        <f aca="false">12*288+227</f>
        <v>3683</v>
      </c>
      <c r="AI4559" s="28" t="n">
        <v>2210</v>
      </c>
      <c r="AJ4559" s="28"/>
      <c r="AK4559" s="28" t="n">
        <f aca="false">AJ4559*$M4559</f>
        <v>0</v>
      </c>
      <c r="AL4559" s="28"/>
      <c r="AM4559" s="28" t="n">
        <f aca="false">AL4559*$M4559</f>
        <v>0</v>
      </c>
      <c r="AN4559" s="28"/>
      <c r="AO4559" s="28" t="n">
        <f aca="false">AN4559*$M4559</f>
        <v>0</v>
      </c>
      <c r="AP4559" s="28"/>
      <c r="AQ4559" s="28" t="n">
        <f aca="false">AP4559*$M4559</f>
        <v>0</v>
      </c>
      <c r="AR4559" s="28"/>
      <c r="AS4559" s="28" t="n">
        <f aca="false">AR4559*$M4559</f>
        <v>0</v>
      </c>
      <c r="AT4559" s="28"/>
      <c r="AU4559" s="28" t="n">
        <f aca="false">AT4559*$M4559</f>
        <v>0</v>
      </c>
      <c r="AV4559" s="28"/>
      <c r="AW4559" s="28" t="n">
        <f aca="false">AV4559*$M4559</f>
        <v>0</v>
      </c>
      <c r="AX4559" s="28"/>
      <c r="AY4559" s="28" t="n">
        <f aca="false">AX4559*$M4559</f>
        <v>0</v>
      </c>
      <c r="AZ4559" s="30" t="n">
        <f aca="false">638*288+3</f>
        <v>183747</v>
      </c>
      <c r="BA4559" s="11" t="n">
        <v>110249</v>
      </c>
      <c r="BB4559" s="31" t="n">
        <f aca="false">SUM(Q4559,S4559,U4559,W4559,Y4559,AA4559,AC4559,AE4559,AG4559,AI4559,AK4559,AM4559,AO4559,AQ4559,AS4559,AU4559,AW4559,AY4559)</f>
        <v>110249</v>
      </c>
      <c r="BC4559" s="28" t="n">
        <f aca="false">BA4559-BB4559</f>
        <v>0</v>
      </c>
      <c r="BD4559" s="32" t="n">
        <f aca="false">SUM(P4559,R4559,T4559,V4559,X4559,Z4559,AB4559,AD4559,AF4559,AH4559,AJ4559,AL4559,AN4559,AP4559,AR4559,AT4559,AV4559,AX4559)</f>
        <v>183747</v>
      </c>
      <c r="BE4559" s="33" t="n">
        <f aca="false">AZ4559-BD4559</f>
        <v>0</v>
      </c>
      <c r="BF4559" s="34" t="n">
        <f aca="false">BD4559*M4559</f>
        <v>110248.2</v>
      </c>
      <c r="BG4559" s="35" t="n">
        <f aca="false">BA4559-BF4559</f>
        <v>0.80000000000291</v>
      </c>
      <c r="BH4559" s="19" t="str">
        <f aca="false">IF(BG4559=0,"",IF(BG4559&lt;&gt;BA4559,"erreur de calcul",IF(BD4559&lt;&gt;0,"pas de prix",IF(M4559&lt;&gt; 0,"pas de quantité","pas de prix, ni de quantité"))))</f>
        <v>erreur de calcul</v>
      </c>
      <c r="BI4559" s="19"/>
    </row>
    <row r="4560" customFormat="false" ht="15" hidden="false" customHeight="false" outlineLevel="0" collapsed="false">
      <c r="A4560" s="0" t="n">
        <v>18</v>
      </c>
      <c r="B4560" s="8" t="s">
        <v>24</v>
      </c>
      <c r="C4560" s="9" t="s">
        <v>25</v>
      </c>
      <c r="D4560" s="9" t="s">
        <v>26</v>
      </c>
      <c r="E4560" s="10" t="n">
        <v>1789</v>
      </c>
      <c r="F4560" s="9" t="s">
        <v>27</v>
      </c>
      <c r="G4560" s="9" t="s">
        <v>27</v>
      </c>
      <c r="H4560" s="11" t="n">
        <v>27</v>
      </c>
      <c r="I4560" s="11" t="s">
        <v>430</v>
      </c>
      <c r="J4560" s="14" t="n">
        <v>30</v>
      </c>
      <c r="K4560" s="14"/>
      <c r="L4560" s="16"/>
      <c r="M4560" s="27" t="n">
        <f aca="false">J4560+(K4560/20)+(L4560/240)</f>
        <v>30</v>
      </c>
      <c r="N4560" s="17" t="s">
        <v>64</v>
      </c>
      <c r="O4560" s="11" t="s">
        <v>77</v>
      </c>
      <c r="P4560" s="28"/>
      <c r="Q4560" s="28" t="n">
        <f aca="false">P4560*$M4560</f>
        <v>0</v>
      </c>
      <c r="R4560" s="28"/>
      <c r="S4560" s="28" t="n">
        <f aca="false">R4560*$M4560</f>
        <v>0</v>
      </c>
      <c r="T4560" s="28" t="n">
        <f aca="false">3*288*0.02+162*0.02</f>
        <v>20.52</v>
      </c>
      <c r="U4560" s="28" t="n">
        <v>616</v>
      </c>
      <c r="V4560" s="28"/>
      <c r="W4560" s="28" t="n">
        <f aca="false">V4560*$M4560</f>
        <v>0</v>
      </c>
      <c r="X4560" s="28" t="n">
        <f aca="false">4*288*0.02+17*0.02</f>
        <v>23.38</v>
      </c>
      <c r="Y4560" s="28" t="n">
        <v>702</v>
      </c>
      <c r="Z4560" s="28" t="n">
        <f aca="false">3*288*0.02+169*0.02</f>
        <v>20.66</v>
      </c>
      <c r="AA4560" s="28" t="n">
        <v>620</v>
      </c>
      <c r="AB4560" s="28" t="n">
        <f aca="false">10*288*0.02+224*0.02</f>
        <v>62.08</v>
      </c>
      <c r="AC4560" s="28" t="n">
        <v>1863</v>
      </c>
      <c r="AD4560" s="28"/>
      <c r="AE4560" s="28" t="n">
        <f aca="false">AD4560*$M4560</f>
        <v>0</v>
      </c>
      <c r="AF4560" s="28"/>
      <c r="AG4560" s="28" t="n">
        <f aca="false">AF4560*$M4560</f>
        <v>0</v>
      </c>
      <c r="AH4560" s="28" t="n">
        <f aca="false">200*0.02</f>
        <v>4</v>
      </c>
      <c r="AI4560" s="28" t="n">
        <v>120</v>
      </c>
      <c r="AJ4560" s="28"/>
      <c r="AK4560" s="28" t="n">
        <f aca="false">AJ4560*$M4560</f>
        <v>0</v>
      </c>
      <c r="AL4560" s="28"/>
      <c r="AM4560" s="28" t="n">
        <f aca="false">AL4560*$M4560</f>
        <v>0</v>
      </c>
      <c r="AN4560" s="28"/>
      <c r="AO4560" s="28" t="n">
        <f aca="false">AN4560*$M4560</f>
        <v>0</v>
      </c>
      <c r="AP4560" s="28"/>
      <c r="AQ4560" s="28" t="n">
        <f aca="false">AP4560*$M4560</f>
        <v>0</v>
      </c>
      <c r="AR4560" s="28"/>
      <c r="AS4560" s="28" t="n">
        <f aca="false">AR4560*$M4560</f>
        <v>0</v>
      </c>
      <c r="AT4560" s="28"/>
      <c r="AU4560" s="28" t="n">
        <f aca="false">AT4560*$M4560</f>
        <v>0</v>
      </c>
      <c r="AV4560" s="28"/>
      <c r="AW4560" s="28" t="n">
        <f aca="false">AV4560*$M4560</f>
        <v>0</v>
      </c>
      <c r="AX4560" s="28"/>
      <c r="AY4560" s="28" t="n">
        <f aca="false">AX4560*$M4560</f>
        <v>0</v>
      </c>
      <c r="AZ4560" s="30" t="n">
        <f aca="false">22*288*0.02+196*0.02</f>
        <v>130.64</v>
      </c>
      <c r="BA4560" s="11" t="n">
        <v>3921</v>
      </c>
      <c r="BB4560" s="31" t="n">
        <f aca="false">SUM(Q4560,S4560,U4560,W4560,Y4560,AA4560,AC4560,AE4560,AG4560,AI4560,AK4560,AM4560,AO4560,AQ4560,AS4560,AU4560,AW4560,AY4560)</f>
        <v>3921</v>
      </c>
      <c r="BC4560" s="28" t="n">
        <f aca="false">BA4560-BB4560</f>
        <v>0</v>
      </c>
      <c r="BD4560" s="32" t="n">
        <f aca="false">SUM(P4560,R4560,T4560,V4560,X4560,Z4560,AB4560,AD4560,AF4560,AH4560,AJ4560,AL4560,AN4560,AP4560,AR4560,AT4560,AV4560,AX4560)</f>
        <v>130.64</v>
      </c>
      <c r="BE4560" s="33" t="n">
        <f aca="false">AZ4560-BD4560</f>
        <v>0</v>
      </c>
      <c r="BF4560" s="34" t="n">
        <f aca="false">BD4560*M4560</f>
        <v>3919.2</v>
      </c>
      <c r="BG4560" s="35" t="n">
        <f aca="false">BA4560-BF4560</f>
        <v>1.80000000000018</v>
      </c>
      <c r="BH4560" s="19" t="str">
        <f aca="false">IF(BG4560=0,"",IF(BG4560&lt;&gt;BA4560,"erreur de calcul",IF(BD4560&lt;&gt;0,"pas de prix",IF(M4560&lt;&gt; 0,"pas de quantité","pas de prix, ni de quantité"))))</f>
        <v>erreur de calcul</v>
      </c>
      <c r="BI4560" s="19"/>
    </row>
    <row r="4561" customFormat="false" ht="15" hidden="false" customHeight="false" outlineLevel="0" collapsed="false">
      <c r="A4561" s="0" t="n">
        <v>19</v>
      </c>
      <c r="B4561" s="8" t="s">
        <v>24</v>
      </c>
      <c r="C4561" s="9" t="s">
        <v>25</v>
      </c>
      <c r="D4561" s="9" t="s">
        <v>26</v>
      </c>
      <c r="E4561" s="10" t="n">
        <v>1789</v>
      </c>
      <c r="F4561" s="9" t="s">
        <v>27</v>
      </c>
      <c r="G4561" s="9" t="s">
        <v>27</v>
      </c>
      <c r="H4561" s="11" t="n">
        <v>27</v>
      </c>
      <c r="I4561" s="11" t="s">
        <v>431</v>
      </c>
      <c r="J4561" s="14" t="n">
        <v>10</v>
      </c>
      <c r="K4561" s="14"/>
      <c r="L4561" s="16"/>
      <c r="M4561" s="27" t="n">
        <f aca="false">J4561+(K4561/20)+(L4561/240)</f>
        <v>10</v>
      </c>
      <c r="N4561" s="17" t="s">
        <v>432</v>
      </c>
      <c r="O4561" s="11" t="s">
        <v>109</v>
      </c>
      <c r="P4561" s="28" t="n">
        <f aca="false">105*(288/62.5)+135/62.5</f>
        <v>486</v>
      </c>
      <c r="Q4561" s="28" t="n">
        <v>4860</v>
      </c>
      <c r="R4561" s="28"/>
      <c r="S4561" s="28" t="n">
        <f aca="false">R4561*$M4561</f>
        <v>0</v>
      </c>
      <c r="T4561" s="28" t="n">
        <f aca="false">8*(288/62.5)+196/62.5</f>
        <v>40</v>
      </c>
      <c r="U4561" s="28" t="n">
        <v>400</v>
      </c>
      <c r="V4561" s="28"/>
      <c r="W4561" s="28" t="n">
        <f aca="false">V4561*$M4561</f>
        <v>0</v>
      </c>
      <c r="X4561" s="28"/>
      <c r="Y4561" s="28" t="n">
        <f aca="false">X4561*$M4561</f>
        <v>0</v>
      </c>
      <c r="Z4561" s="28"/>
      <c r="AA4561" s="28" t="n">
        <f aca="false">Z4561*$M4561</f>
        <v>0</v>
      </c>
      <c r="AB4561" s="28"/>
      <c r="AC4561" s="28" t="n">
        <f aca="false">AB4561*$M4561</f>
        <v>0</v>
      </c>
      <c r="AD4561" s="28"/>
      <c r="AE4561" s="28" t="n">
        <f aca="false">AD4561*$M4561</f>
        <v>0</v>
      </c>
      <c r="AF4561" s="28"/>
      <c r="AG4561" s="28" t="n">
        <f aca="false">AF4561*$M4561</f>
        <v>0</v>
      </c>
      <c r="AH4561" s="28"/>
      <c r="AI4561" s="28" t="n">
        <f aca="false">AH4561*$M4561</f>
        <v>0</v>
      </c>
      <c r="AJ4561" s="28"/>
      <c r="AK4561" s="28" t="n">
        <f aca="false">AJ4561*$M4561</f>
        <v>0</v>
      </c>
      <c r="AL4561" s="28"/>
      <c r="AM4561" s="28" t="n">
        <f aca="false">AL4561*$M4561</f>
        <v>0</v>
      </c>
      <c r="AN4561" s="28"/>
      <c r="AO4561" s="28" t="n">
        <f aca="false">AN4561*$M4561</f>
        <v>0</v>
      </c>
      <c r="AP4561" s="28"/>
      <c r="AQ4561" s="28" t="n">
        <f aca="false">AP4561*$M4561</f>
        <v>0</v>
      </c>
      <c r="AR4561" s="28"/>
      <c r="AS4561" s="28" t="n">
        <f aca="false">AR4561*$M4561</f>
        <v>0</v>
      </c>
      <c r="AT4561" s="28"/>
      <c r="AU4561" s="28" t="n">
        <f aca="false">AT4561*$M4561</f>
        <v>0</v>
      </c>
      <c r="AV4561" s="28"/>
      <c r="AW4561" s="28" t="n">
        <f aca="false">AV4561*$M4561</f>
        <v>0</v>
      </c>
      <c r="AX4561" s="28"/>
      <c r="AY4561" s="28" t="n">
        <f aca="false">AX4561*$M4561</f>
        <v>0</v>
      </c>
      <c r="AZ4561" s="30" t="n">
        <f aca="false">114*(288/62.5)+43/62.5</f>
        <v>526</v>
      </c>
      <c r="BA4561" s="11" t="n">
        <v>5260</v>
      </c>
      <c r="BB4561" s="31" t="n">
        <f aca="false">SUM(Q4561,S4561,U4561,W4561,Y4561,AA4561,AC4561,AE4561,AG4561,AI4561,AK4561,AM4561,AO4561,AQ4561,AS4561,AU4561,AW4561,AY4561)</f>
        <v>5260</v>
      </c>
      <c r="BC4561" s="28" t="n">
        <f aca="false">BA4561-BB4561</f>
        <v>0</v>
      </c>
      <c r="BD4561" s="32" t="n">
        <f aca="false">SUM(P4561,R4561,T4561,V4561,X4561,Z4561,AB4561,AD4561,AF4561,AH4561,AJ4561,AL4561,AN4561,AP4561,AR4561,AT4561,AV4561,AX4561)</f>
        <v>526</v>
      </c>
      <c r="BE4561" s="33" t="n">
        <f aca="false">AZ4561-BD4561</f>
        <v>0</v>
      </c>
      <c r="BF4561" s="34" t="n">
        <f aca="false">BD4561*M4561</f>
        <v>5260</v>
      </c>
      <c r="BG4561" s="35" t="n">
        <f aca="false">BA4561-BF4561</f>
        <v>0</v>
      </c>
      <c r="BH4561" s="19" t="str">
        <f aca="false">IF(BG4561=0,"",IF(BG4561&lt;&gt;BA4561,"erreur de calcul",IF(BD4561&lt;&gt;0,"pas de prix",IF(M4561&lt;&gt; 0,"pas de quantité","pas de prix, ni de quantité"))))</f>
        <v/>
      </c>
      <c r="BI4561" s="19"/>
    </row>
    <row r="4562" customFormat="false" ht="15" hidden="false" customHeight="false" outlineLevel="0" collapsed="false">
      <c r="A4562" s="0" t="n">
        <v>20</v>
      </c>
      <c r="B4562" s="8" t="s">
        <v>24</v>
      </c>
      <c r="C4562" s="9" t="s">
        <v>25</v>
      </c>
      <c r="D4562" s="9" t="s">
        <v>26</v>
      </c>
      <c r="E4562" s="10" t="n">
        <v>1789</v>
      </c>
      <c r="F4562" s="9" t="s">
        <v>27</v>
      </c>
      <c r="G4562" s="9" t="s">
        <v>27</v>
      </c>
      <c r="H4562" s="11" t="n">
        <v>27</v>
      </c>
      <c r="I4562" s="11" t="s">
        <v>433</v>
      </c>
      <c r="J4562" s="14"/>
      <c r="K4562" s="14" t="n">
        <v>14</v>
      </c>
      <c r="L4562" s="16"/>
      <c r="M4562" s="27" t="n">
        <f aca="false">J4562+(K4562/20)+(L4562/240)</f>
        <v>0.7</v>
      </c>
      <c r="N4562" s="17" t="s">
        <v>429</v>
      </c>
      <c r="O4562" s="11"/>
      <c r="P4562" s="28" t="n">
        <f aca="false">103*288+190</f>
        <v>29854</v>
      </c>
      <c r="Q4562" s="28" t="n">
        <v>20898</v>
      </c>
      <c r="R4562" s="28"/>
      <c r="S4562" s="28" t="n">
        <f aca="false">R4562*$M4562</f>
        <v>0</v>
      </c>
      <c r="T4562" s="28"/>
      <c r="U4562" s="28" t="n">
        <f aca="false">T4562*$M4562</f>
        <v>0</v>
      </c>
      <c r="V4562" s="28"/>
      <c r="W4562" s="28" t="n">
        <f aca="false">V4562*$M4562</f>
        <v>0</v>
      </c>
      <c r="X4562" s="28"/>
      <c r="Y4562" s="28" t="n">
        <f aca="false">X4562*$M4562</f>
        <v>0</v>
      </c>
      <c r="Z4562" s="28"/>
      <c r="AA4562" s="28" t="n">
        <f aca="false">Z4562*$M4562</f>
        <v>0</v>
      </c>
      <c r="AB4562" s="28"/>
      <c r="AC4562" s="28" t="n">
        <f aca="false">AB4562*$M4562</f>
        <v>0</v>
      </c>
      <c r="AD4562" s="28"/>
      <c r="AE4562" s="28" t="n">
        <f aca="false">AD4562*$M4562</f>
        <v>0</v>
      </c>
      <c r="AF4562" s="28"/>
      <c r="AG4562" s="28" t="n">
        <f aca="false">AF4562*$M4562</f>
        <v>0</v>
      </c>
      <c r="AH4562" s="28"/>
      <c r="AI4562" s="28" t="n">
        <f aca="false">AH4562*$M4562</f>
        <v>0</v>
      </c>
      <c r="AJ4562" s="28"/>
      <c r="AK4562" s="28" t="n">
        <f aca="false">AJ4562*$M4562</f>
        <v>0</v>
      </c>
      <c r="AL4562" s="28"/>
      <c r="AM4562" s="28" t="n">
        <f aca="false">AL4562*$M4562</f>
        <v>0</v>
      </c>
      <c r="AN4562" s="28"/>
      <c r="AO4562" s="28" t="n">
        <f aca="false">AN4562*$M4562</f>
        <v>0</v>
      </c>
      <c r="AP4562" s="28"/>
      <c r="AQ4562" s="28" t="n">
        <f aca="false">AP4562*$M4562</f>
        <v>0</v>
      </c>
      <c r="AR4562" s="28"/>
      <c r="AS4562" s="28" t="n">
        <f aca="false">AR4562*$M4562</f>
        <v>0</v>
      </c>
      <c r="AT4562" s="28"/>
      <c r="AU4562" s="28" t="n">
        <f aca="false">AT4562*$M4562</f>
        <v>0</v>
      </c>
      <c r="AV4562" s="28"/>
      <c r="AW4562" s="28" t="n">
        <f aca="false">AV4562*$M4562</f>
        <v>0</v>
      </c>
      <c r="AX4562" s="28"/>
      <c r="AY4562" s="28" t="n">
        <f aca="false">AX4562*$M4562</f>
        <v>0</v>
      </c>
      <c r="AZ4562" s="30" t="n">
        <f aca="false">103*288+190</f>
        <v>29854</v>
      </c>
      <c r="BA4562" s="11" t="n">
        <v>20898</v>
      </c>
      <c r="BB4562" s="31" t="n">
        <f aca="false">SUM(Q4562,S4562,U4562,W4562,Y4562,AA4562,AC4562,AE4562,AG4562,AI4562,AK4562,AM4562,AO4562,AQ4562,AS4562,AU4562,AW4562,AY4562)</f>
        <v>20898</v>
      </c>
      <c r="BC4562" s="28" t="n">
        <f aca="false">BA4562-BB4562</f>
        <v>0</v>
      </c>
      <c r="BD4562" s="32" t="n">
        <f aca="false">SUM(P4562,R4562,T4562,V4562,X4562,Z4562,AB4562,AD4562,AF4562,AH4562,AJ4562,AL4562,AN4562,AP4562,AR4562,AT4562,AV4562,AX4562)</f>
        <v>29854</v>
      </c>
      <c r="BE4562" s="33" t="n">
        <f aca="false">AZ4562-BD4562</f>
        <v>0</v>
      </c>
      <c r="BF4562" s="34" t="n">
        <f aca="false">BD4562*M4562</f>
        <v>20897.8</v>
      </c>
      <c r="BG4562" s="35" t="n">
        <f aca="false">BA4562-BF4562</f>
        <v>0.200000000000728</v>
      </c>
      <c r="BH4562" s="19" t="str">
        <f aca="false">IF(BG4562=0,"",IF(BG4562&lt;&gt;BA4562,"erreur de calcul",IF(BD4562&lt;&gt;0,"pas de prix",IF(M4562&lt;&gt; 0,"pas de quantité","pas de prix, ni de quantité"))))</f>
        <v>erreur de calcul</v>
      </c>
      <c r="BI4562" s="19"/>
    </row>
    <row r="4563" customFormat="false" ht="15" hidden="false" customHeight="false" outlineLevel="0" collapsed="false">
      <c r="A4563" s="0" t="n">
        <v>21</v>
      </c>
      <c r="B4563" s="8" t="s">
        <v>24</v>
      </c>
      <c r="C4563" s="9" t="s">
        <v>25</v>
      </c>
      <c r="D4563" s="9" t="s">
        <v>26</v>
      </c>
      <c r="E4563" s="10" t="n">
        <v>1789</v>
      </c>
      <c r="F4563" s="9" t="s">
        <v>27</v>
      </c>
      <c r="G4563" s="9" t="s">
        <v>27</v>
      </c>
      <c r="H4563" s="11" t="n">
        <v>27</v>
      </c>
      <c r="I4563" s="11" t="s">
        <v>434</v>
      </c>
      <c r="J4563" s="14"/>
      <c r="K4563" s="14" t="n">
        <v>5</v>
      </c>
      <c r="L4563" s="16"/>
      <c r="M4563" s="27" t="n">
        <f aca="false">J4563+(K4563/20)+(L4563/240)</f>
        <v>0.25</v>
      </c>
      <c r="N4563" s="17" t="s">
        <v>79</v>
      </c>
      <c r="O4563" s="11"/>
      <c r="P4563" s="28" t="n">
        <v>300402</v>
      </c>
      <c r="Q4563" s="28" t="n">
        <v>75100</v>
      </c>
      <c r="R4563" s="28"/>
      <c r="S4563" s="28" t="n">
        <f aca="false">R4563*$M4563</f>
        <v>0</v>
      </c>
      <c r="T4563" s="28"/>
      <c r="U4563" s="28" t="n">
        <f aca="false">T4563*$M4563</f>
        <v>0</v>
      </c>
      <c r="V4563" s="28" t="n">
        <v>448</v>
      </c>
      <c r="W4563" s="28" t="n">
        <v>112</v>
      </c>
      <c r="X4563" s="28"/>
      <c r="Y4563" s="28" t="n">
        <f aca="false">X4563*$M4563</f>
        <v>0</v>
      </c>
      <c r="Z4563" s="28"/>
      <c r="AA4563" s="28" t="n">
        <f aca="false">Z4563*$M4563</f>
        <v>0</v>
      </c>
      <c r="AB4563" s="28"/>
      <c r="AC4563" s="28" t="n">
        <f aca="false">AB4563*$M4563</f>
        <v>0</v>
      </c>
      <c r="AD4563" s="28"/>
      <c r="AE4563" s="28" t="n">
        <f aca="false">AD4563*$M4563</f>
        <v>0</v>
      </c>
      <c r="AF4563" s="28"/>
      <c r="AG4563" s="28" t="n">
        <f aca="false">AF4563*$M4563</f>
        <v>0</v>
      </c>
      <c r="AH4563" s="28"/>
      <c r="AI4563" s="28" t="n">
        <f aca="false">AH4563*$M4563</f>
        <v>0</v>
      </c>
      <c r="AJ4563" s="28"/>
      <c r="AK4563" s="28" t="n">
        <f aca="false">AJ4563*$M4563</f>
        <v>0</v>
      </c>
      <c r="AL4563" s="28"/>
      <c r="AM4563" s="28" t="n">
        <f aca="false">AL4563*$M4563</f>
        <v>0</v>
      </c>
      <c r="AN4563" s="28"/>
      <c r="AO4563" s="28" t="n">
        <f aca="false">AN4563*$M4563</f>
        <v>0</v>
      </c>
      <c r="AP4563" s="28"/>
      <c r="AQ4563" s="28" t="n">
        <f aca="false">AP4563*$M4563</f>
        <v>0</v>
      </c>
      <c r="AR4563" s="28"/>
      <c r="AS4563" s="28" t="n">
        <f aca="false">AR4563*$M4563</f>
        <v>0</v>
      </c>
      <c r="AT4563" s="28"/>
      <c r="AU4563" s="28" t="n">
        <f aca="false">AT4563*$M4563</f>
        <v>0</v>
      </c>
      <c r="AV4563" s="28"/>
      <c r="AW4563" s="28" t="n">
        <f aca="false">AV4563*$M4563</f>
        <v>0</v>
      </c>
      <c r="AX4563" s="28"/>
      <c r="AY4563" s="28" t="n">
        <f aca="false">AX4563*$M4563</f>
        <v>0</v>
      </c>
      <c r="AZ4563" s="30" t="n">
        <v>300850</v>
      </c>
      <c r="BA4563" s="11" t="n">
        <v>75212</v>
      </c>
      <c r="BB4563" s="31" t="n">
        <f aca="false">SUM(Q4563,S4563,U4563,W4563,Y4563,AA4563,AC4563,AE4563,AG4563,AI4563,AK4563,AM4563,AO4563,AQ4563,AS4563,AU4563,AW4563,AY4563)</f>
        <v>75212</v>
      </c>
      <c r="BC4563" s="28" t="n">
        <f aca="false">BA4563-BB4563</f>
        <v>0</v>
      </c>
      <c r="BD4563" s="32" t="n">
        <f aca="false">SUM(P4563,R4563,T4563,V4563,X4563,Z4563,AB4563,AD4563,AF4563,AH4563,AJ4563,AL4563,AN4563,AP4563,AR4563,AT4563,AV4563,AX4563)</f>
        <v>300850</v>
      </c>
      <c r="BE4563" s="33" t="n">
        <f aca="false">AZ4563-BD4563</f>
        <v>0</v>
      </c>
      <c r="BF4563" s="34" t="n">
        <f aca="false">BD4563*M4563</f>
        <v>75212.5</v>
      </c>
      <c r="BG4563" s="35" t="n">
        <f aca="false">BA4563-BF4563</f>
        <v>-0.5</v>
      </c>
      <c r="BH4563" s="19" t="str">
        <f aca="false">IF(BG4563=0,"",IF(BG4563&lt;&gt;BA4563,"erreur de calcul",IF(BD4563&lt;&gt;0,"pas de prix",IF(M4563&lt;&gt; 0,"pas de quantité","pas de prix, ni de quantité"))))</f>
        <v>erreur de calcul</v>
      </c>
      <c r="BI4563" s="19"/>
    </row>
    <row r="4564" customFormat="false" ht="78.4" hidden="false" customHeight="true" outlineLevel="0" collapsed="false">
      <c r="A4564" s="0" t="s">
        <v>31</v>
      </c>
      <c r="B4564" s="2" t="s">
        <v>0</v>
      </c>
      <c r="C4564" s="2" t="s">
        <v>1</v>
      </c>
      <c r="D4564" s="2" t="s">
        <v>2</v>
      </c>
      <c r="E4564" s="2" t="s">
        <v>3</v>
      </c>
      <c r="F4564" s="2" t="s">
        <v>4</v>
      </c>
      <c r="G4564" s="2" t="s">
        <v>5</v>
      </c>
      <c r="H4564" s="2" t="s">
        <v>6</v>
      </c>
      <c r="I4564" s="3" t="s">
        <v>7</v>
      </c>
      <c r="J4564" s="5" t="s">
        <v>12</v>
      </c>
      <c r="K4564" s="5" t="s">
        <v>13</v>
      </c>
      <c r="L4564" s="5" t="s">
        <v>14</v>
      </c>
      <c r="M4564" s="7" t="s">
        <v>15</v>
      </c>
      <c r="N4564" s="6" t="s">
        <v>32</v>
      </c>
      <c r="O4564" s="6" t="s">
        <v>33</v>
      </c>
      <c r="P4564" s="6" t="s">
        <v>34</v>
      </c>
      <c r="Q4564" s="6"/>
      <c r="R4564" s="6" t="s">
        <v>35</v>
      </c>
      <c r="S4564" s="6"/>
      <c r="T4564" s="6" t="s">
        <v>36</v>
      </c>
      <c r="U4564" s="6"/>
      <c r="V4564" s="6" t="s">
        <v>37</v>
      </c>
      <c r="W4564" s="6"/>
      <c r="X4564" s="6" t="s">
        <v>38</v>
      </c>
      <c r="Y4564" s="6"/>
      <c r="Z4564" s="6" t="s">
        <v>39</v>
      </c>
      <c r="AA4564" s="6"/>
      <c r="AB4564" s="6" t="s">
        <v>40</v>
      </c>
      <c r="AC4564" s="6"/>
      <c r="AD4564" s="6" t="s">
        <v>41</v>
      </c>
      <c r="AE4564" s="6"/>
      <c r="AF4564" s="6" t="s">
        <v>42</v>
      </c>
      <c r="AG4564" s="6"/>
      <c r="AH4564" s="6" t="s">
        <v>43</v>
      </c>
      <c r="AI4564" s="6"/>
      <c r="AJ4564" s="6" t="s">
        <v>44</v>
      </c>
      <c r="AK4564" s="6"/>
      <c r="AL4564" s="6" t="s">
        <v>45</v>
      </c>
      <c r="AM4564" s="6"/>
      <c r="AN4564" s="6" t="s">
        <v>46</v>
      </c>
      <c r="AO4564" s="6"/>
      <c r="AP4564" s="6" t="s">
        <v>47</v>
      </c>
      <c r="AQ4564" s="6"/>
      <c r="AR4564" s="6" t="s">
        <v>48</v>
      </c>
      <c r="AS4564" s="6"/>
      <c r="AT4564" s="6" t="s">
        <v>49</v>
      </c>
      <c r="AU4564" s="6"/>
      <c r="AV4564" s="6" t="s">
        <v>50</v>
      </c>
      <c r="AW4564" s="6"/>
      <c r="AX4564" s="6" t="s">
        <v>51</v>
      </c>
      <c r="AY4564" s="6"/>
      <c r="AZ4564" s="6" t="s">
        <v>52</v>
      </c>
      <c r="BA4564" s="6"/>
      <c r="BB4564" s="6"/>
      <c r="BC4564" s="6"/>
      <c r="BD4564" s="6" t="s">
        <v>53</v>
      </c>
      <c r="BE4564" s="6" t="s">
        <v>54</v>
      </c>
      <c r="BF4564" s="6" t="s">
        <v>55</v>
      </c>
      <c r="BG4564" s="6" t="s">
        <v>56</v>
      </c>
      <c r="BH4564" s="6" t="s">
        <v>57</v>
      </c>
      <c r="BI4564" s="6" t="s">
        <v>23</v>
      </c>
    </row>
    <row r="4565" customFormat="false" ht="15" hidden="false" customHeight="false" outlineLevel="0" collapsed="false">
      <c r="B4565" s="20"/>
      <c r="C4565" s="20"/>
      <c r="D4565" s="20"/>
      <c r="E4565" s="21"/>
      <c r="F4565" s="20"/>
      <c r="G4565" s="20"/>
      <c r="H4565" s="20"/>
      <c r="I4565" s="22"/>
      <c r="J4565" s="23"/>
      <c r="K4565" s="23"/>
      <c r="L4565" s="24"/>
      <c r="M4565" s="25"/>
      <c r="N4565" s="25"/>
      <c r="O4565" s="26" t="s">
        <v>58</v>
      </c>
      <c r="P4565" s="25" t="s">
        <v>59</v>
      </c>
      <c r="Q4565" s="25" t="s">
        <v>60</v>
      </c>
      <c r="R4565" s="25" t="s">
        <v>59</v>
      </c>
      <c r="S4565" s="25" t="s">
        <v>60</v>
      </c>
      <c r="T4565" s="25" t="s">
        <v>59</v>
      </c>
      <c r="U4565" s="25" t="s">
        <v>60</v>
      </c>
      <c r="V4565" s="25" t="s">
        <v>59</v>
      </c>
      <c r="W4565" s="25" t="s">
        <v>60</v>
      </c>
      <c r="X4565" s="25" t="s">
        <v>59</v>
      </c>
      <c r="Y4565" s="25" t="s">
        <v>60</v>
      </c>
      <c r="Z4565" s="25" t="s">
        <v>59</v>
      </c>
      <c r="AA4565" s="25" t="s">
        <v>60</v>
      </c>
      <c r="AB4565" s="25" t="s">
        <v>59</v>
      </c>
      <c r="AC4565" s="25" t="s">
        <v>60</v>
      </c>
      <c r="AD4565" s="25" t="s">
        <v>59</v>
      </c>
      <c r="AE4565" s="25" t="s">
        <v>60</v>
      </c>
      <c r="AF4565" s="25" t="s">
        <v>59</v>
      </c>
      <c r="AG4565" s="25" t="s">
        <v>60</v>
      </c>
      <c r="AH4565" s="25" t="s">
        <v>59</v>
      </c>
      <c r="AI4565" s="25" t="s">
        <v>60</v>
      </c>
      <c r="AJ4565" s="25" t="s">
        <v>59</v>
      </c>
      <c r="AK4565" s="25" t="s">
        <v>60</v>
      </c>
      <c r="AL4565" s="25" t="s">
        <v>59</v>
      </c>
      <c r="AM4565" s="25" t="s">
        <v>60</v>
      </c>
      <c r="AN4565" s="25" t="s">
        <v>59</v>
      </c>
      <c r="AO4565" s="25" t="s">
        <v>60</v>
      </c>
      <c r="AP4565" s="25" t="s">
        <v>59</v>
      </c>
      <c r="AQ4565" s="25" t="s">
        <v>60</v>
      </c>
      <c r="AR4565" s="25" t="s">
        <v>59</v>
      </c>
      <c r="AS4565" s="25" t="s">
        <v>60</v>
      </c>
      <c r="AT4565" s="25" t="s">
        <v>59</v>
      </c>
      <c r="AU4565" s="25" t="s">
        <v>60</v>
      </c>
      <c r="AV4565" s="25" t="s">
        <v>59</v>
      </c>
      <c r="AW4565" s="25" t="s">
        <v>60</v>
      </c>
      <c r="AX4565" s="25" t="s">
        <v>59</v>
      </c>
      <c r="AY4565" s="25" t="s">
        <v>60</v>
      </c>
      <c r="AZ4565" s="25" t="s">
        <v>59</v>
      </c>
      <c r="BA4565" s="25" t="s">
        <v>60</v>
      </c>
      <c r="BB4565" s="25" t="s">
        <v>61</v>
      </c>
      <c r="BC4565" s="25" t="s">
        <v>62</v>
      </c>
      <c r="BD4565" s="20"/>
      <c r="BE4565" s="20"/>
      <c r="BF4565" s="20"/>
      <c r="BG4565" s="20"/>
      <c r="BH4565" s="20"/>
      <c r="BI4565" s="20"/>
    </row>
    <row r="4566" customFormat="false" ht="15" hidden="false" customHeight="false" outlineLevel="0" collapsed="false">
      <c r="A4566" s="0" t="n">
        <v>1</v>
      </c>
      <c r="B4566" s="8" t="s">
        <v>24</v>
      </c>
      <c r="C4566" s="9" t="s">
        <v>25</v>
      </c>
      <c r="D4566" s="9" t="s">
        <v>26</v>
      </c>
      <c r="E4566" s="10" t="n">
        <v>1789</v>
      </c>
      <c r="F4566" s="9" t="s">
        <v>27</v>
      </c>
      <c r="G4566" s="9" t="s">
        <v>27</v>
      </c>
      <c r="H4566" s="11" t="n">
        <v>18</v>
      </c>
      <c r="I4566" s="11" t="s">
        <v>63</v>
      </c>
      <c r="J4566" s="14" t="n">
        <v>27</v>
      </c>
      <c r="K4566" s="14"/>
      <c r="L4566" s="16"/>
      <c r="M4566" s="27" t="n">
        <f aca="false">J4566+(K4566/20)+(L4566/240)</f>
        <v>27</v>
      </c>
      <c r="N4566" s="17" t="s">
        <v>64</v>
      </c>
      <c r="O4566" s="11"/>
      <c r="P4566" s="28"/>
      <c r="Q4566" s="28" t="n">
        <f aca="false">P4566*$M4566</f>
        <v>0</v>
      </c>
      <c r="R4566" s="28"/>
      <c r="S4566" s="28" t="n">
        <f aca="false">R4566*$M4566</f>
        <v>0</v>
      </c>
      <c r="T4566" s="28"/>
      <c r="U4566" s="28" t="n">
        <f aca="false">T4566*$M4566</f>
        <v>0</v>
      </c>
      <c r="V4566" s="28" t="n">
        <f aca="false">700/100</f>
        <v>7</v>
      </c>
      <c r="W4566" s="28" t="n">
        <v>189</v>
      </c>
      <c r="X4566" s="29"/>
      <c r="Y4566" s="28" t="n">
        <v>9506</v>
      </c>
      <c r="Z4566" s="28"/>
      <c r="AA4566" s="28" t="n">
        <f aca="false">Z4566*$M4566</f>
        <v>0</v>
      </c>
      <c r="AB4566" s="28"/>
      <c r="AC4566" s="28" t="n">
        <f aca="false">AB4566*$M4566</f>
        <v>0</v>
      </c>
      <c r="AD4566" s="28"/>
      <c r="AE4566" s="28" t="n">
        <f aca="false">AD4566*$M4566</f>
        <v>0</v>
      </c>
      <c r="AF4566" s="28"/>
      <c r="AG4566" s="28" t="n">
        <f aca="false">AF4566*$M4566</f>
        <v>0</v>
      </c>
      <c r="AH4566" s="28"/>
      <c r="AI4566" s="28" t="n">
        <f aca="false">AH4566*$M4566</f>
        <v>0</v>
      </c>
      <c r="AJ4566" s="28" t="n">
        <f aca="false">72509/100</f>
        <v>725.09</v>
      </c>
      <c r="AK4566" s="28" t="n">
        <v>19577</v>
      </c>
      <c r="AL4566" s="28"/>
      <c r="AM4566" s="28" t="n">
        <f aca="false">AL4566*$M4566</f>
        <v>0</v>
      </c>
      <c r="AN4566" s="28"/>
      <c r="AO4566" s="28" t="n">
        <f aca="false">AN4566*$M4566</f>
        <v>0</v>
      </c>
      <c r="AP4566" s="28"/>
      <c r="AQ4566" s="28" t="n">
        <f aca="false">AP4566*$M4566</f>
        <v>0</v>
      </c>
      <c r="AR4566" s="28" t="n">
        <f aca="false">36750/100</f>
        <v>367.5</v>
      </c>
      <c r="AS4566" s="28" t="n">
        <v>9922</v>
      </c>
      <c r="AT4566" s="28"/>
      <c r="AU4566" s="28" t="n">
        <f aca="false">AT4566*$M4566</f>
        <v>0</v>
      </c>
      <c r="AV4566" s="28"/>
      <c r="AW4566" s="28" t="n">
        <f aca="false">AV4566*$M4566</f>
        <v>0</v>
      </c>
      <c r="AX4566" s="28"/>
      <c r="AY4566" s="28" t="n">
        <f aca="false">AX4566*$M4566</f>
        <v>0</v>
      </c>
      <c r="AZ4566" s="30" t="n">
        <f aca="false">145166/100</f>
        <v>1451.66</v>
      </c>
      <c r="BA4566" s="11" t="n">
        <v>39194</v>
      </c>
      <c r="BB4566" s="31" t="n">
        <f aca="false">SUM(Q4566,S4566,U4566,W4566,Y4566,AA4566,AC4566,AE4566,AG4566,AI4566,AK4566,AM4566,AO4566,AQ4566,AS4566,AU4566,AW4566,AY4566)</f>
        <v>39194</v>
      </c>
      <c r="BC4566" s="28" t="n">
        <f aca="false">BA4566-BB4566</f>
        <v>0</v>
      </c>
      <c r="BD4566" s="32" t="n">
        <f aca="false">SUM(P4566,R4566,T4566,V4566,X4566,Z4566,AB4566,AD4566,AF4566,AH4566,AJ4566,AL4566,AN4566,AP4566,AR4566,AT4566,AV4566,AX4566)</f>
        <v>1099.59</v>
      </c>
      <c r="BE4566" s="33" t="n">
        <f aca="false">AZ4566-BD4566</f>
        <v>352.07</v>
      </c>
      <c r="BF4566" s="34" t="n">
        <f aca="false">BD4566*M4566</f>
        <v>29688.93</v>
      </c>
      <c r="BG4566" s="35" t="n">
        <f aca="false">BA4566-BF4566</f>
        <v>9505.07</v>
      </c>
      <c r="BH4566" s="19" t="str">
        <f aca="false">IF(BG4566=0,"",IF(BG4566&lt;&gt;BA4566,"erreur de calcul",IF(BD4566&lt;&gt;0,"pas de prix",IF(M4566&lt;&gt; 0,"pas de quantité","pas de prix, ni de quantité"))))</f>
        <v>erreur de calcul</v>
      </c>
      <c r="BI4566" s="19"/>
    </row>
    <row r="4567" customFormat="false" ht="15" hidden="false" customHeight="false" outlineLevel="0" collapsed="false">
      <c r="A4567" s="0" t="n">
        <v>2</v>
      </c>
      <c r="B4567" s="8" t="s">
        <v>24</v>
      </c>
      <c r="C4567" s="9" t="s">
        <v>25</v>
      </c>
      <c r="D4567" s="9" t="s">
        <v>26</v>
      </c>
      <c r="E4567" s="10" t="n">
        <v>1789</v>
      </c>
      <c r="F4567" s="9" t="s">
        <v>27</v>
      </c>
      <c r="G4567" s="9" t="s">
        <v>27</v>
      </c>
      <c r="H4567" s="11" t="n">
        <v>18</v>
      </c>
      <c r="I4567" s="11" t="s">
        <v>65</v>
      </c>
      <c r="J4567" s="14"/>
      <c r="K4567" s="14" t="n">
        <v>20</v>
      </c>
      <c r="L4567" s="16"/>
      <c r="M4567" s="27" t="n">
        <f aca="false">J4567+(K4567/20)+(L4567/240)</f>
        <v>1</v>
      </c>
      <c r="N4567" s="17" t="s">
        <v>66</v>
      </c>
      <c r="O4567" s="11"/>
      <c r="P4567" s="28"/>
      <c r="Q4567" s="28" t="n">
        <f aca="false">P4567*$M4567</f>
        <v>0</v>
      </c>
      <c r="R4567" s="28"/>
      <c r="S4567" s="28" t="n">
        <f aca="false">R4567*$M4567</f>
        <v>0</v>
      </c>
      <c r="T4567" s="28"/>
      <c r="U4567" s="28" t="n">
        <f aca="false">T4567*$M4567</f>
        <v>0</v>
      </c>
      <c r="V4567" s="28" t="n">
        <v>2365</v>
      </c>
      <c r="W4567" s="28" t="n">
        <v>2365</v>
      </c>
      <c r="X4567" s="29" t="n">
        <v>234</v>
      </c>
      <c r="Y4567" s="28" t="n">
        <v>234</v>
      </c>
      <c r="Z4567" s="28"/>
      <c r="AA4567" s="28" t="n">
        <f aca="false">Z4567*$M4567</f>
        <v>0</v>
      </c>
      <c r="AB4567" s="28" t="n">
        <v>17776</v>
      </c>
      <c r="AC4567" s="28" t="n">
        <v>17776</v>
      </c>
      <c r="AD4567" s="28"/>
      <c r="AE4567" s="28" t="n">
        <f aca="false">AD4567*$M4567</f>
        <v>0</v>
      </c>
      <c r="AF4567" s="28"/>
      <c r="AG4567" s="28" t="n">
        <f aca="false">AF4567*$M4567</f>
        <v>0</v>
      </c>
      <c r="AH4567" s="28"/>
      <c r="AI4567" s="28" t="n">
        <f aca="false">AH4567*$M4567</f>
        <v>0</v>
      </c>
      <c r="AJ4567" s="28"/>
      <c r="AK4567" s="28" t="n">
        <f aca="false">AJ4567*$M4567</f>
        <v>0</v>
      </c>
      <c r="AL4567" s="28"/>
      <c r="AM4567" s="28" t="n">
        <f aca="false">AL4567*$M4567</f>
        <v>0</v>
      </c>
      <c r="AN4567" s="28"/>
      <c r="AO4567" s="28" t="n">
        <f aca="false">AN4567*$M4567</f>
        <v>0</v>
      </c>
      <c r="AP4567" s="28"/>
      <c r="AQ4567" s="28" t="n">
        <f aca="false">AP4567*$M4567</f>
        <v>0</v>
      </c>
      <c r="AR4567" s="28"/>
      <c r="AS4567" s="28" t="n">
        <f aca="false">AR4567*$M4567</f>
        <v>0</v>
      </c>
      <c r="AT4567" s="28"/>
      <c r="AU4567" s="28" t="n">
        <f aca="false">AT4567*$M4567</f>
        <v>0</v>
      </c>
      <c r="AV4567" s="28"/>
      <c r="AW4567" s="28" t="n">
        <f aca="false">AV4567*$M4567</f>
        <v>0</v>
      </c>
      <c r="AX4567" s="28"/>
      <c r="AY4567" s="28" t="n">
        <f aca="false">AX4567*$M4567</f>
        <v>0</v>
      </c>
      <c r="AZ4567" s="30" t="n">
        <v>20375</v>
      </c>
      <c r="BA4567" s="11" t="n">
        <v>20375</v>
      </c>
      <c r="BB4567" s="31" t="n">
        <f aca="false">SUM(Q4567,S4567,U4567,W4567,Y4567,AA4567,AC4567,AE4567,AG4567,AI4567,AK4567,AM4567,AO4567,AQ4567,AS4567,AU4567,AW4567,AY4567)</f>
        <v>20375</v>
      </c>
      <c r="BC4567" s="28" t="n">
        <f aca="false">BA4567-BB4567</f>
        <v>0</v>
      </c>
      <c r="BD4567" s="32" t="n">
        <f aca="false">SUM(P4567,R4567,T4567,V4567,X4567,Z4567,AB4567,AD4567,AF4567,AH4567,AJ4567,AL4567,AN4567,AP4567,AR4567,AT4567,AV4567,AX4567)</f>
        <v>20375</v>
      </c>
      <c r="BE4567" s="33" t="n">
        <f aca="false">AZ4567-BD4567</f>
        <v>0</v>
      </c>
      <c r="BF4567" s="34" t="n">
        <f aca="false">BD4567*M4567</f>
        <v>20375</v>
      </c>
      <c r="BG4567" s="35" t="n">
        <f aca="false">BA4567-BF4567</f>
        <v>0</v>
      </c>
      <c r="BH4567" s="19" t="str">
        <f aca="false">IF(BG4567=0,"",IF(BG4567&lt;&gt;BA4567,"erreur de calcul",IF(BD4567&lt;&gt;0,"pas de prix",IF(M4567&lt;&gt; 0,"pas de quantité","pas de prix, ni de quantité"))))</f>
        <v/>
      </c>
      <c r="BI4567" s="19"/>
    </row>
    <row r="4568" customFormat="false" ht="15" hidden="false" customHeight="false" outlineLevel="0" collapsed="false">
      <c r="A4568" s="0" t="n">
        <v>3</v>
      </c>
      <c r="B4568" s="8" t="s">
        <v>24</v>
      </c>
      <c r="C4568" s="9" t="s">
        <v>25</v>
      </c>
      <c r="D4568" s="9" t="s">
        <v>26</v>
      </c>
      <c r="E4568" s="10" t="n">
        <v>1789</v>
      </c>
      <c r="F4568" s="9" t="s">
        <v>27</v>
      </c>
      <c r="G4568" s="9" t="s">
        <v>27</v>
      </c>
      <c r="H4568" s="11" t="n">
        <v>18</v>
      </c>
      <c r="I4568" s="11" t="s">
        <v>67</v>
      </c>
      <c r="J4568" s="14" t="n">
        <v>56</v>
      </c>
      <c r="K4568" s="14"/>
      <c r="L4568" s="16"/>
      <c r="M4568" s="27" t="n">
        <f aca="false">J4568+(K4568/20)+(L4568/240)</f>
        <v>56</v>
      </c>
      <c r="N4568" s="17" t="s">
        <v>64</v>
      </c>
      <c r="O4568" s="11"/>
      <c r="P4568" s="28" t="n">
        <f aca="false">27159/100</f>
        <v>271.59</v>
      </c>
      <c r="Q4568" s="28" t="n">
        <v>15209</v>
      </c>
      <c r="R4568" s="28"/>
      <c r="S4568" s="28" t="n">
        <f aca="false">R4568*$M4568</f>
        <v>0</v>
      </c>
      <c r="T4568" s="28" t="n">
        <f aca="false">1044/100</f>
        <v>10.44</v>
      </c>
      <c r="U4568" s="28" t="n">
        <v>585</v>
      </c>
      <c r="V4568" s="28" t="n">
        <f aca="false">1838/100</f>
        <v>18.38</v>
      </c>
      <c r="W4568" s="36" t="n">
        <v>4557</v>
      </c>
      <c r="X4568" s="29"/>
      <c r="Y4568" s="28" t="n">
        <v>2566</v>
      </c>
      <c r="Z4568" s="28"/>
      <c r="AA4568" s="28" t="n">
        <f aca="false">Z4568*$M4568</f>
        <v>0</v>
      </c>
      <c r="AB4568" s="28" t="n">
        <f aca="false">17833/100</f>
        <v>178.33</v>
      </c>
      <c r="AC4568" s="28" t="n">
        <v>9986</v>
      </c>
      <c r="AD4568" s="28"/>
      <c r="AE4568" s="28" t="n">
        <f aca="false">AD4568*$M4568</f>
        <v>0</v>
      </c>
      <c r="AF4568" s="28" t="n">
        <f aca="false">30595/100</f>
        <v>305.95</v>
      </c>
      <c r="AG4568" s="28" t="n">
        <v>17133</v>
      </c>
      <c r="AH4568" s="28"/>
      <c r="AI4568" s="28" t="n">
        <f aca="false">AH4568*$M4568</f>
        <v>0</v>
      </c>
      <c r="AJ4568" s="28"/>
      <c r="AK4568" s="28" t="n">
        <f aca="false">AJ4568*$M4568</f>
        <v>0</v>
      </c>
      <c r="AL4568" s="28"/>
      <c r="AM4568" s="28" t="n">
        <f aca="false">AL4568*$M4568</f>
        <v>0</v>
      </c>
      <c r="AN4568" s="28"/>
      <c r="AO4568" s="28" t="n">
        <f aca="false">AN4568*$M4568</f>
        <v>0</v>
      </c>
      <c r="AP4568" s="28"/>
      <c r="AQ4568" s="28" t="n">
        <f aca="false">AP4568*$M4568</f>
        <v>0</v>
      </c>
      <c r="AR4568" s="28"/>
      <c r="AS4568" s="28" t="n">
        <f aca="false">AR4568*$M4568</f>
        <v>0</v>
      </c>
      <c r="AT4568" s="28"/>
      <c r="AU4568" s="28" t="n">
        <f aca="false">AT4568*$M4568</f>
        <v>0</v>
      </c>
      <c r="AV4568" s="28"/>
      <c r="AW4568" s="28" t="n">
        <f aca="false">AV4568*$M4568</f>
        <v>0</v>
      </c>
      <c r="AX4568" s="28"/>
      <c r="AY4568" s="28" t="n">
        <f aca="false">AX4568*$M4568</f>
        <v>0</v>
      </c>
      <c r="AZ4568" s="30" t="n">
        <f aca="false">83051/100</f>
        <v>830.51</v>
      </c>
      <c r="BA4568" s="11" t="n">
        <v>50036</v>
      </c>
      <c r="BB4568" s="31" t="n">
        <f aca="false">SUM(Q4568,S4568,U4568,W4568,Y4568,AA4568,AC4568,AE4568,AG4568,AI4568,AK4568,AM4568,AO4568,AQ4568,AS4568,AU4568,AW4568,AY4568)</f>
        <v>50036</v>
      </c>
      <c r="BC4568" s="28" t="n">
        <f aca="false">BA4568-BB4568</f>
        <v>0</v>
      </c>
      <c r="BD4568" s="32" t="n">
        <f aca="false">SUM(P4568,R4568,T4568,V4568,X4568,Z4568,AB4568,AD4568,AF4568,AH4568,AJ4568,AL4568,AN4568,AP4568,AR4568,AT4568,AV4568,AX4568)</f>
        <v>784.69</v>
      </c>
      <c r="BE4568" s="33" t="n">
        <f aca="false">AZ4568-BD4568</f>
        <v>45.8199999999999</v>
      </c>
      <c r="BF4568" s="34" t="n">
        <f aca="false">BD4568*M4568</f>
        <v>43942.64</v>
      </c>
      <c r="BG4568" s="35" t="n">
        <f aca="false">BA4568-BF4568</f>
        <v>6093.36</v>
      </c>
      <c r="BH4568" s="19" t="str">
        <f aca="false">IF(BG4568=0,"",IF(BG4568&lt;&gt;BA4568,"erreur de calcul",IF(BD4568&lt;&gt;0,"pas de prix",IF(M4568&lt;&gt; 0,"pas de quantité","pas de prix, ni de quantité"))))</f>
        <v>erreur de calcul</v>
      </c>
      <c r="BI4568" s="19"/>
    </row>
    <row r="4569" customFormat="false" ht="15" hidden="false" customHeight="false" outlineLevel="0" collapsed="false">
      <c r="A4569" s="0" t="n">
        <v>4</v>
      </c>
      <c r="B4569" s="8" t="s">
        <v>24</v>
      </c>
      <c r="C4569" s="9" t="s">
        <v>25</v>
      </c>
      <c r="D4569" s="9" t="s">
        <v>26</v>
      </c>
      <c r="E4569" s="10" t="n">
        <v>1789</v>
      </c>
      <c r="F4569" s="9" t="s">
        <v>27</v>
      </c>
      <c r="G4569" s="9" t="s">
        <v>27</v>
      </c>
      <c r="H4569" s="11" t="n">
        <v>18</v>
      </c>
      <c r="I4569" s="11" t="s">
        <v>68</v>
      </c>
      <c r="J4569" s="14"/>
      <c r="K4569" s="14" t="n">
        <v>30</v>
      </c>
      <c r="L4569" s="16"/>
      <c r="M4569" s="27" t="n">
        <f aca="false">J4569+(K4569/20)+(L4569/240)</f>
        <v>1.5</v>
      </c>
      <c r="N4569" s="17" t="s">
        <v>69</v>
      </c>
      <c r="O4569" s="11"/>
      <c r="P4569" s="28" t="n">
        <v>5460</v>
      </c>
      <c r="Q4569" s="28" t="n">
        <v>8190</v>
      </c>
      <c r="R4569" s="28"/>
      <c r="S4569" s="28" t="n">
        <f aca="false">R4569*$M4569</f>
        <v>0</v>
      </c>
      <c r="T4569" s="28"/>
      <c r="U4569" s="28" t="n">
        <f aca="false">T4569*$M4569</f>
        <v>0</v>
      </c>
      <c r="V4569" s="28" t="n">
        <v>1061</v>
      </c>
      <c r="W4569" s="28" t="n">
        <v>1591</v>
      </c>
      <c r="X4569" s="29"/>
      <c r="Y4569" s="28" t="n">
        <v>5766</v>
      </c>
      <c r="Z4569" s="28"/>
      <c r="AA4569" s="28" t="n">
        <f aca="false">Z4569*$M4569</f>
        <v>0</v>
      </c>
      <c r="AB4569" s="28"/>
      <c r="AC4569" s="28" t="n">
        <f aca="false">AB4569*$M4569</f>
        <v>0</v>
      </c>
      <c r="AD4569" s="28"/>
      <c r="AE4569" s="28" t="n">
        <f aca="false">AD4569*$M4569</f>
        <v>0</v>
      </c>
      <c r="AF4569" s="28"/>
      <c r="AG4569" s="28" t="n">
        <f aca="false">AF4569*$M4569</f>
        <v>0</v>
      </c>
      <c r="AH4569" s="28"/>
      <c r="AI4569" s="28" t="n">
        <f aca="false">AH4569*$M4569</f>
        <v>0</v>
      </c>
      <c r="AJ4569" s="28"/>
      <c r="AK4569" s="28" t="n">
        <f aca="false">AJ4569*$M4569</f>
        <v>0</v>
      </c>
      <c r="AL4569" s="28"/>
      <c r="AM4569" s="28" t="n">
        <f aca="false">AL4569*$M4569</f>
        <v>0</v>
      </c>
      <c r="AN4569" s="28"/>
      <c r="AO4569" s="28" t="n">
        <f aca="false">AN4569*$M4569</f>
        <v>0</v>
      </c>
      <c r="AP4569" s="28"/>
      <c r="AQ4569" s="28" t="n">
        <f aca="false">AP4569*$M4569</f>
        <v>0</v>
      </c>
      <c r="AR4569" s="28"/>
      <c r="AS4569" s="28" t="n">
        <f aca="false">AR4569*$M4569</f>
        <v>0</v>
      </c>
      <c r="AT4569" s="28"/>
      <c r="AU4569" s="28" t="n">
        <f aca="false">AT4569*$M4569</f>
        <v>0</v>
      </c>
      <c r="AV4569" s="28"/>
      <c r="AW4569" s="28" t="n">
        <f aca="false">AV4569*$M4569</f>
        <v>0</v>
      </c>
      <c r="AX4569" s="28"/>
      <c r="AY4569" s="28" t="n">
        <f aca="false">AX4569*$M4569</f>
        <v>0</v>
      </c>
      <c r="AZ4569" s="30" t="n">
        <v>10365</v>
      </c>
      <c r="BA4569" s="11" t="n">
        <v>15547</v>
      </c>
      <c r="BB4569" s="31" t="n">
        <f aca="false">SUM(Q4569,S4569,U4569,W4569,Y4569,AA4569,AC4569,AE4569,AG4569,AI4569,AK4569,AM4569,AO4569,AQ4569,AS4569,AU4569,AW4569,AY4569)</f>
        <v>15547</v>
      </c>
      <c r="BC4569" s="28" t="n">
        <f aca="false">BA4569-BB4569</f>
        <v>0</v>
      </c>
      <c r="BD4569" s="32" t="n">
        <f aca="false">SUM(P4569,R4569,T4569,V4569,X4569,Z4569,AB4569,AD4569,AF4569,AH4569,AJ4569,AL4569,AN4569,AP4569,AR4569,AT4569,AV4569,AX4569)</f>
        <v>6521</v>
      </c>
      <c r="BE4569" s="33" t="n">
        <f aca="false">AZ4569-BD4569</f>
        <v>3844</v>
      </c>
      <c r="BF4569" s="34" t="n">
        <f aca="false">BD4569*M4569</f>
        <v>9781.5</v>
      </c>
      <c r="BG4569" s="35" t="n">
        <f aca="false">BA4569-BF4569</f>
        <v>5765.5</v>
      </c>
      <c r="BH4569" s="19" t="str">
        <f aca="false">IF(BG4569=0,"",IF(BG4569&lt;&gt;BA4569,"erreur de calcul",IF(BD4569&lt;&gt;0,"pas de prix",IF(M4569&lt;&gt; 0,"pas de quantité","pas de prix, ni de quantité"))))</f>
        <v>erreur de calcul</v>
      </c>
      <c r="BI4569" s="19"/>
    </row>
    <row r="4570" customFormat="false" ht="15" hidden="false" customHeight="false" outlineLevel="0" collapsed="false">
      <c r="A4570" s="0" t="n">
        <v>5</v>
      </c>
      <c r="B4570" s="8" t="s">
        <v>24</v>
      </c>
      <c r="C4570" s="9" t="s">
        <v>25</v>
      </c>
      <c r="D4570" s="9" t="s">
        <v>26</v>
      </c>
      <c r="E4570" s="10" t="n">
        <v>1789</v>
      </c>
      <c r="F4570" s="9" t="s">
        <v>27</v>
      </c>
      <c r="G4570" s="9" t="s">
        <v>27</v>
      </c>
      <c r="H4570" s="11" t="n">
        <v>18</v>
      </c>
      <c r="I4570" s="11" t="s">
        <v>70</v>
      </c>
      <c r="J4570" s="14" t="n">
        <v>190</v>
      </c>
      <c r="K4570" s="14"/>
      <c r="L4570" s="16"/>
      <c r="M4570" s="27" t="n">
        <f aca="false">J4570+(K4570/20)+(L4570/240)</f>
        <v>190</v>
      </c>
      <c r="N4570" s="17" t="s">
        <v>64</v>
      </c>
      <c r="O4570" s="11"/>
      <c r="P4570" s="28"/>
      <c r="Q4570" s="28" t="n">
        <f aca="false">P4570*$M4570</f>
        <v>0</v>
      </c>
      <c r="R4570" s="28" t="n">
        <f aca="false">22283/100</f>
        <v>222.83</v>
      </c>
      <c r="S4570" s="28" t="n">
        <v>42338</v>
      </c>
      <c r="T4570" s="28" t="n">
        <f aca="false">1289/100</f>
        <v>12.89</v>
      </c>
      <c r="U4570" s="28" t="n">
        <v>2449</v>
      </c>
      <c r="V4570" s="28"/>
      <c r="W4570" s="28" t="n">
        <f aca="false">V4570*$M4570</f>
        <v>0</v>
      </c>
      <c r="X4570" s="29"/>
      <c r="Y4570" s="28" t="n">
        <f aca="false">X4570*$M4570</f>
        <v>0</v>
      </c>
      <c r="Z4570" s="28"/>
      <c r="AA4570" s="28" t="n">
        <f aca="false">Z4570*$M4570</f>
        <v>0</v>
      </c>
      <c r="AB4570" s="28"/>
      <c r="AC4570" s="28" t="n">
        <f aca="false">AB4570*$M4570</f>
        <v>0</v>
      </c>
      <c r="AD4570" s="28"/>
      <c r="AE4570" s="28" t="n">
        <f aca="false">AD4570*$M4570</f>
        <v>0</v>
      </c>
      <c r="AF4570" s="28"/>
      <c r="AG4570" s="28" t="n">
        <f aca="false">AF4570*$M4570</f>
        <v>0</v>
      </c>
      <c r="AH4570" s="28"/>
      <c r="AI4570" s="28" t="n">
        <f aca="false">AH4570*$M4570</f>
        <v>0</v>
      </c>
      <c r="AJ4570" s="28"/>
      <c r="AK4570" s="28" t="n">
        <f aca="false">AJ4570*$M4570</f>
        <v>0</v>
      </c>
      <c r="AL4570" s="28"/>
      <c r="AM4570" s="28" t="n">
        <f aca="false">AL4570*$M4570</f>
        <v>0</v>
      </c>
      <c r="AN4570" s="28"/>
      <c r="AO4570" s="28" t="n">
        <f aca="false">AN4570*$M4570</f>
        <v>0</v>
      </c>
      <c r="AP4570" s="28"/>
      <c r="AQ4570" s="28" t="n">
        <f aca="false">AP4570*$M4570</f>
        <v>0</v>
      </c>
      <c r="AR4570" s="28"/>
      <c r="AS4570" s="28" t="n">
        <f aca="false">AR4570*$M4570</f>
        <v>0</v>
      </c>
      <c r="AT4570" s="28"/>
      <c r="AU4570" s="28" t="n">
        <f aca="false">AT4570*$M4570</f>
        <v>0</v>
      </c>
      <c r="AV4570" s="28"/>
      <c r="AW4570" s="28" t="n">
        <f aca="false">AV4570*$M4570</f>
        <v>0</v>
      </c>
      <c r="AX4570" s="28"/>
      <c r="AY4570" s="28" t="n">
        <f aca="false">AX4570*$M4570</f>
        <v>0</v>
      </c>
      <c r="AZ4570" s="30" t="n">
        <f aca="false">23572/100</f>
        <v>235.72</v>
      </c>
      <c r="BA4570" s="11" t="n">
        <v>44787</v>
      </c>
      <c r="BB4570" s="31" t="n">
        <f aca="false">SUM(Q4570,S4570,U4570,W4570,Y4570,AA4570,AC4570,AE4570,AG4570,AI4570,AK4570,AM4570,AO4570,AQ4570,AS4570,AU4570,AW4570,AY4570)</f>
        <v>44787</v>
      </c>
      <c r="BC4570" s="28" t="n">
        <f aca="false">BA4570-BB4570</f>
        <v>0</v>
      </c>
      <c r="BD4570" s="32" t="n">
        <f aca="false">SUM(P4570,R4570,T4570,V4570,X4570,Z4570,AB4570,AD4570,AF4570,AH4570,AJ4570,AL4570,AN4570,AP4570,AR4570,AT4570,AV4570,AX4570)</f>
        <v>235.72</v>
      </c>
      <c r="BE4570" s="33" t="n">
        <f aca="false">AZ4570-BD4570</f>
        <v>0</v>
      </c>
      <c r="BF4570" s="34" t="n">
        <f aca="false">BD4570*M4570</f>
        <v>44786.8</v>
      </c>
      <c r="BG4570" s="35" t="n">
        <f aca="false">BA4570-BF4570</f>
        <v>0.19999999999709</v>
      </c>
      <c r="BH4570" s="19" t="str">
        <f aca="false">IF(BG4570=0,"",IF(BG4570&lt;&gt;BA4570,"erreur de calcul",IF(BD4570&lt;&gt;0,"pas de prix",IF(M4570&lt;&gt; 0,"pas de quantité","pas de prix, ni de quantité"))))</f>
        <v>erreur de calcul</v>
      </c>
      <c r="BI4570" s="19"/>
    </row>
    <row r="4571" customFormat="false" ht="15" hidden="false" customHeight="false" outlineLevel="0" collapsed="false">
      <c r="A4571" s="0" t="n">
        <v>6</v>
      </c>
      <c r="B4571" s="8" t="s">
        <v>24</v>
      </c>
      <c r="C4571" s="9" t="s">
        <v>25</v>
      </c>
      <c r="D4571" s="9" t="s">
        <v>26</v>
      </c>
      <c r="E4571" s="10" t="n">
        <v>1789</v>
      </c>
      <c r="F4571" s="9" t="s">
        <v>27</v>
      </c>
      <c r="G4571" s="9" t="s">
        <v>27</v>
      </c>
      <c r="H4571" s="11" t="n">
        <v>18</v>
      </c>
      <c r="I4571" s="11" t="s">
        <v>71</v>
      </c>
      <c r="J4571" s="14" t="n">
        <v>60</v>
      </c>
      <c r="K4571" s="14"/>
      <c r="L4571" s="16"/>
      <c r="M4571" s="27" t="n">
        <f aca="false">J4571+(K4571/20)+(L4571/240)</f>
        <v>60</v>
      </c>
      <c r="N4571" s="17" t="s">
        <v>64</v>
      </c>
      <c r="O4571" s="11"/>
      <c r="P4571" s="28" t="n">
        <f aca="false">674/100</f>
        <v>6.74</v>
      </c>
      <c r="Q4571" s="28" t="n">
        <v>404</v>
      </c>
      <c r="R4571" s="28"/>
      <c r="S4571" s="28" t="n">
        <f aca="false">R4571*$M4571</f>
        <v>0</v>
      </c>
      <c r="T4571" s="28"/>
      <c r="U4571" s="28" t="n">
        <f aca="false">T4571*$M4571</f>
        <v>0</v>
      </c>
      <c r="V4571" s="28"/>
      <c r="W4571" s="28" t="n">
        <f aca="false">V4571*$M4571</f>
        <v>0</v>
      </c>
      <c r="X4571" s="29"/>
      <c r="Y4571" s="28" t="n">
        <f aca="false">X4571*$M4571</f>
        <v>0</v>
      </c>
      <c r="Z4571" s="28"/>
      <c r="AA4571" s="28" t="n">
        <f aca="false">Z4571*$M4571</f>
        <v>0</v>
      </c>
      <c r="AB4571" s="28"/>
      <c r="AC4571" s="28" t="n">
        <f aca="false">AB4571*$M4571</f>
        <v>0</v>
      </c>
      <c r="AD4571" s="28"/>
      <c r="AE4571" s="28" t="n">
        <f aca="false">AD4571*$M4571</f>
        <v>0</v>
      </c>
      <c r="AF4571" s="28"/>
      <c r="AG4571" s="28" t="n">
        <f aca="false">AF4571*$M4571</f>
        <v>0</v>
      </c>
      <c r="AH4571" s="28"/>
      <c r="AI4571" s="28" t="n">
        <f aca="false">AH4571*$M4571</f>
        <v>0</v>
      </c>
      <c r="AJ4571" s="28" t="n">
        <f aca="false">1133/100</f>
        <v>11.33</v>
      </c>
      <c r="AK4571" s="28" t="n">
        <v>680</v>
      </c>
      <c r="AL4571" s="28" t="n">
        <f aca="false">3140/100</f>
        <v>31.4</v>
      </c>
      <c r="AM4571" s="28" t="n">
        <v>1884</v>
      </c>
      <c r="AN4571" s="28"/>
      <c r="AO4571" s="28" t="n">
        <f aca="false">AN4571*$M4571</f>
        <v>0</v>
      </c>
      <c r="AP4571" s="28"/>
      <c r="AQ4571" s="28" t="n">
        <f aca="false">AP4571*$M4571</f>
        <v>0</v>
      </c>
      <c r="AR4571" s="28"/>
      <c r="AS4571" s="28" t="n">
        <f aca="false">AR4571*$M4571</f>
        <v>0</v>
      </c>
      <c r="AT4571" s="28"/>
      <c r="AU4571" s="28" t="n">
        <f aca="false">AT4571*$M4571</f>
        <v>0</v>
      </c>
      <c r="AV4571" s="28"/>
      <c r="AW4571" s="28" t="n">
        <f aca="false">AV4571*$M4571</f>
        <v>0</v>
      </c>
      <c r="AX4571" s="28"/>
      <c r="AY4571" s="28" t="n">
        <f aca="false">AX4571*$M4571</f>
        <v>0</v>
      </c>
      <c r="AZ4571" s="30" t="n">
        <f aca="false">4947/100</f>
        <v>49.47</v>
      </c>
      <c r="BA4571" s="11" t="n">
        <v>2968</v>
      </c>
      <c r="BB4571" s="31" t="n">
        <f aca="false">SUM(Q4571,S4571,U4571,W4571,Y4571,AA4571,AC4571,AE4571,AG4571,AI4571,AK4571,AM4571,AO4571,AQ4571,AS4571,AU4571,AW4571,AY4571)</f>
        <v>2968</v>
      </c>
      <c r="BC4571" s="28" t="n">
        <f aca="false">BA4571-BB4571</f>
        <v>0</v>
      </c>
      <c r="BD4571" s="32" t="n">
        <f aca="false">SUM(P4571,R4571,T4571,V4571,X4571,Z4571,AB4571,AD4571,AF4571,AH4571,AJ4571,AL4571,AN4571,AP4571,AR4571,AT4571,AV4571,AX4571)</f>
        <v>49.47</v>
      </c>
      <c r="BE4571" s="33" t="n">
        <f aca="false">AZ4571-BD4571</f>
        <v>0</v>
      </c>
      <c r="BF4571" s="34" t="n">
        <f aca="false">BD4571*M4571</f>
        <v>2968.2</v>
      </c>
      <c r="BG4571" s="35" t="n">
        <f aca="false">BA4571-BF4571</f>
        <v>-0.199999999999818</v>
      </c>
      <c r="BH4571" s="19" t="str">
        <f aca="false">IF(BG4571=0,"",IF(BG4571&lt;&gt;BA4571,"erreur de calcul",IF(BD4571&lt;&gt;0,"pas de prix",IF(M4571&lt;&gt; 0,"pas de quantité","pas de prix, ni de quantité"))))</f>
        <v>erreur de calcul</v>
      </c>
      <c r="BI4571" s="19"/>
    </row>
    <row r="4572" customFormat="false" ht="15" hidden="false" customHeight="false" outlineLevel="0" collapsed="false">
      <c r="A4572" s="0" t="n">
        <v>7</v>
      </c>
      <c r="B4572" s="8" t="s">
        <v>24</v>
      </c>
      <c r="C4572" s="9" t="s">
        <v>25</v>
      </c>
      <c r="D4572" s="9" t="s">
        <v>26</v>
      </c>
      <c r="E4572" s="10" t="n">
        <v>1789</v>
      </c>
      <c r="F4572" s="9" t="s">
        <v>27</v>
      </c>
      <c r="G4572" s="9" t="s">
        <v>27</v>
      </c>
      <c r="H4572" s="11" t="n">
        <v>18</v>
      </c>
      <c r="I4572" s="11" t="s">
        <v>72</v>
      </c>
      <c r="J4572" s="14" t="n">
        <v>15</v>
      </c>
      <c r="K4572" s="14"/>
      <c r="L4572" s="16"/>
      <c r="M4572" s="27" t="n">
        <f aca="false">J4572+(K4572/20)+(L4572/240)</f>
        <v>15</v>
      </c>
      <c r="N4572" s="17" t="s">
        <v>64</v>
      </c>
      <c r="O4572" s="11"/>
      <c r="P4572" s="28"/>
      <c r="Q4572" s="28" t="n">
        <f aca="false">P4572*$M4572</f>
        <v>0</v>
      </c>
      <c r="R4572" s="28"/>
      <c r="S4572" s="28" t="n">
        <f aca="false">R4572*$M4572</f>
        <v>0</v>
      </c>
      <c r="T4572" s="28"/>
      <c r="U4572" s="28" t="n">
        <f aca="false">T4572*$M4572</f>
        <v>0</v>
      </c>
      <c r="V4572" s="28"/>
      <c r="W4572" s="28" t="n">
        <f aca="false">V4572*$M4572</f>
        <v>0</v>
      </c>
      <c r="X4572" s="29"/>
      <c r="Y4572" s="28" t="n">
        <f aca="false">X4572*$M4572</f>
        <v>0</v>
      </c>
      <c r="Z4572" s="28"/>
      <c r="AA4572" s="28" t="n">
        <f aca="false">Z4572*$M4572</f>
        <v>0</v>
      </c>
      <c r="AB4572" s="28"/>
      <c r="AC4572" s="28" t="n">
        <f aca="false">AB4572*$M4572</f>
        <v>0</v>
      </c>
      <c r="AD4572" s="28"/>
      <c r="AE4572" s="28" t="n">
        <f aca="false">AD4572*$M4572</f>
        <v>0</v>
      </c>
      <c r="AF4572" s="28"/>
      <c r="AG4572" s="28" t="n">
        <f aca="false">AF4572*$M4572</f>
        <v>0</v>
      </c>
      <c r="AH4572" s="28"/>
      <c r="AI4572" s="28" t="n">
        <f aca="false">AH4572*$M4572</f>
        <v>0</v>
      </c>
      <c r="AJ4572" s="28" t="n">
        <f aca="false">119*288*0.02+88*0.02</f>
        <v>687.2</v>
      </c>
      <c r="AK4572" s="28" t="n">
        <v>10308</v>
      </c>
      <c r="AL4572" s="28"/>
      <c r="AM4572" s="28" t="n">
        <f aca="false">AL4572*$M4572</f>
        <v>0</v>
      </c>
      <c r="AN4572" s="28"/>
      <c r="AO4572" s="28" t="n">
        <f aca="false">AN4572*$M4572</f>
        <v>0</v>
      </c>
      <c r="AP4572" s="28"/>
      <c r="AQ4572" s="28" t="n">
        <f aca="false">AP4572*$M4572</f>
        <v>0</v>
      </c>
      <c r="AR4572" s="28"/>
      <c r="AS4572" s="28" t="n">
        <f aca="false">AR4572*$M4572</f>
        <v>0</v>
      </c>
      <c r="AT4572" s="28"/>
      <c r="AU4572" s="28" t="n">
        <f aca="false">AT4572*$M4572</f>
        <v>0</v>
      </c>
      <c r="AV4572" s="28"/>
      <c r="AW4572" s="28" t="n">
        <f aca="false">AV4572*$M4572</f>
        <v>0</v>
      </c>
      <c r="AX4572" s="28"/>
      <c r="AY4572" s="28" t="n">
        <f aca="false">AX4572*$M4572</f>
        <v>0</v>
      </c>
      <c r="AZ4572" s="30" t="n">
        <f aca="false">119*288*0.02+88*0.02</f>
        <v>687.2</v>
      </c>
      <c r="BA4572" s="11" t="n">
        <v>10308</v>
      </c>
      <c r="BB4572" s="31" t="n">
        <f aca="false">SUM(Q4572,S4572,U4572,W4572,Y4572,AA4572,AC4572,AE4572,AG4572,AI4572,AK4572,AM4572,AO4572,AQ4572,AS4572,AU4572,AW4572,AY4572)</f>
        <v>10308</v>
      </c>
      <c r="BC4572" s="28" t="n">
        <f aca="false">BA4572-BB4572</f>
        <v>0</v>
      </c>
      <c r="BD4572" s="32" t="n">
        <f aca="false">SUM(P4572,R4572,T4572,V4572,X4572,Z4572,AB4572,AD4572,AF4572,AH4572,AJ4572,AL4572,AN4572,AP4572,AR4572,AT4572,AV4572,AX4572)</f>
        <v>687.2</v>
      </c>
      <c r="BE4572" s="33" t="n">
        <f aca="false">AZ4572-BD4572</f>
        <v>0</v>
      </c>
      <c r="BF4572" s="34" t="n">
        <f aca="false">BD4572*M4572</f>
        <v>10308</v>
      </c>
      <c r="BG4572" s="35" t="n">
        <f aca="false">BA4572-BF4572</f>
        <v>0</v>
      </c>
      <c r="BH4572" s="19" t="str">
        <f aca="false">IF(BG4572=0,"",IF(BG4572&lt;&gt;BA4572,"erreur de calcul",IF(BD4572&lt;&gt;0,"pas de prix",IF(M4572&lt;&gt; 0,"pas de quantité","pas de prix, ni de quantité"))))</f>
        <v/>
      </c>
      <c r="BI4572" s="19"/>
    </row>
    <row r="4573" customFormat="false" ht="15" hidden="false" customHeight="false" outlineLevel="0" collapsed="false">
      <c r="A4573" s="0" t="n">
        <v>8</v>
      </c>
      <c r="B4573" s="8" t="s">
        <v>24</v>
      </c>
      <c r="C4573" s="9" t="s">
        <v>25</v>
      </c>
      <c r="D4573" s="9" t="s">
        <v>26</v>
      </c>
      <c r="E4573" s="10" t="n">
        <v>1789</v>
      </c>
      <c r="F4573" s="9" t="s">
        <v>27</v>
      </c>
      <c r="G4573" s="9" t="s">
        <v>27</v>
      </c>
      <c r="H4573" s="11" t="n">
        <v>18</v>
      </c>
      <c r="I4573" s="11" t="s">
        <v>73</v>
      </c>
      <c r="J4573" s="14"/>
      <c r="K4573" s="14"/>
      <c r="L4573" s="16"/>
      <c r="M4573" s="27" t="n">
        <f aca="false">J4573+(K4573/20)+(L4573/240)</f>
        <v>0</v>
      </c>
      <c r="N4573" s="17"/>
      <c r="O4573" s="11"/>
      <c r="P4573" s="28"/>
      <c r="Q4573" s="28" t="n">
        <f aca="false">P4573*$M4573</f>
        <v>0</v>
      </c>
      <c r="R4573" s="28"/>
      <c r="S4573" s="28" t="n">
        <f aca="false">R4573*$M4573</f>
        <v>0</v>
      </c>
      <c r="T4573" s="28"/>
      <c r="U4573" s="28" t="n">
        <v>3356</v>
      </c>
      <c r="V4573" s="28"/>
      <c r="W4573" s="28" t="n">
        <v>1444</v>
      </c>
      <c r="X4573" s="29"/>
      <c r="Y4573" s="28" t="n">
        <f aca="false">X4573*$M4573</f>
        <v>0</v>
      </c>
      <c r="Z4573" s="28"/>
      <c r="AA4573" s="28" t="n">
        <f aca="false">Z4573*$M4573</f>
        <v>0</v>
      </c>
      <c r="AB4573" s="28"/>
      <c r="AC4573" s="28" t="n">
        <f aca="false">AB4573*$M4573</f>
        <v>0</v>
      </c>
      <c r="AD4573" s="28"/>
      <c r="AE4573" s="28" t="n">
        <f aca="false">AD4573*$M4573</f>
        <v>0</v>
      </c>
      <c r="AF4573" s="28"/>
      <c r="AG4573" s="28" t="n">
        <f aca="false">AF4573*$M4573</f>
        <v>0</v>
      </c>
      <c r="AH4573" s="28"/>
      <c r="AI4573" s="28" t="n">
        <f aca="false">AH4573*$M4573</f>
        <v>0</v>
      </c>
      <c r="AJ4573" s="28"/>
      <c r="AK4573" s="28" t="n">
        <f aca="false">AJ4573*$M4573</f>
        <v>0</v>
      </c>
      <c r="AL4573" s="28"/>
      <c r="AM4573" s="28" t="n">
        <f aca="false">AL4573*$M4573</f>
        <v>0</v>
      </c>
      <c r="AN4573" s="28"/>
      <c r="AO4573" s="28" t="n">
        <f aca="false">AN4573*$M4573</f>
        <v>0</v>
      </c>
      <c r="AP4573" s="28"/>
      <c r="AQ4573" s="28" t="n">
        <f aca="false">AP4573*$M4573</f>
        <v>0</v>
      </c>
      <c r="AR4573" s="28"/>
      <c r="AS4573" s="28" t="n">
        <f aca="false">AR4573*$M4573</f>
        <v>0</v>
      </c>
      <c r="AT4573" s="28"/>
      <c r="AU4573" s="28" t="n">
        <f aca="false">AT4573*$M4573</f>
        <v>0</v>
      </c>
      <c r="AV4573" s="28"/>
      <c r="AW4573" s="28" t="n">
        <f aca="false">AV4573*$M4573</f>
        <v>0</v>
      </c>
      <c r="AX4573" s="28"/>
      <c r="AY4573" s="28" t="n">
        <f aca="false">AX4573*$M4573</f>
        <v>0</v>
      </c>
      <c r="AZ4573" s="30"/>
      <c r="BA4573" s="11" t="n">
        <v>4800</v>
      </c>
      <c r="BB4573" s="31" t="n">
        <f aca="false">SUM(Q4573,S4573,U4573,W4573,Y4573,AA4573,AC4573,AE4573,AG4573,AI4573,AK4573,AM4573,AO4573,AQ4573,AS4573,AU4573,AW4573,AY4573)</f>
        <v>4800</v>
      </c>
      <c r="BC4573" s="28" t="n">
        <f aca="false">BA4573-BB4573</f>
        <v>0</v>
      </c>
      <c r="BD4573" s="32" t="n">
        <f aca="false">SUM(P4573,R4573,T4573,V4573,X4573,Z4573,AB4573,AD4573,AF4573,AH4573,AJ4573,AL4573,AN4573,AP4573,AR4573,AT4573,AV4573,AX4573)</f>
        <v>0</v>
      </c>
      <c r="BE4573" s="33" t="n">
        <f aca="false">AZ4573-BD4573</f>
        <v>0</v>
      </c>
      <c r="BF4573" s="34" t="n">
        <f aca="false">BD4573*M4573</f>
        <v>0</v>
      </c>
      <c r="BG4573" s="35" t="n">
        <f aca="false">BA4573-BF4573</f>
        <v>4800</v>
      </c>
      <c r="BH4573" s="19" t="str">
        <f aca="false">IF(BG4573=0,"",IF(BG4573&lt;&gt;BA4573,"erreur de calcul",IF(BD4573&lt;&gt;0,"pas de prix",IF(M4573&lt;&gt; 0,"pas de quantité","pas de prix, ni de quantité"))))</f>
        <v>pas de prix, ni de quantité</v>
      </c>
      <c r="BI4573" s="19"/>
    </row>
    <row r="4574" customFormat="false" ht="15" hidden="false" customHeight="false" outlineLevel="0" collapsed="false">
      <c r="A4574" s="0" t="n">
        <v>9</v>
      </c>
      <c r="B4574" s="8" t="s">
        <v>24</v>
      </c>
      <c r="C4574" s="9" t="s">
        <v>25</v>
      </c>
      <c r="D4574" s="9" t="s">
        <v>26</v>
      </c>
      <c r="E4574" s="10" t="n">
        <v>1789</v>
      </c>
      <c r="F4574" s="9" t="s">
        <v>27</v>
      </c>
      <c r="G4574" s="9" t="s">
        <v>27</v>
      </c>
      <c r="H4574" s="11" t="n">
        <v>18</v>
      </c>
      <c r="I4574" s="11" t="s">
        <v>74</v>
      </c>
      <c r="J4574" s="14"/>
      <c r="K4574" s="14"/>
      <c r="L4574" s="16"/>
      <c r="M4574" s="27" t="n">
        <f aca="false">J4574+(K4574/20)+(L4574/240)</f>
        <v>0</v>
      </c>
      <c r="N4574" s="17" t="s">
        <v>66</v>
      </c>
      <c r="O4574" s="11"/>
      <c r="P4574" s="28"/>
      <c r="Q4574" s="28" t="n">
        <f aca="false">P4574*$M4574</f>
        <v>0</v>
      </c>
      <c r="R4574" s="28"/>
      <c r="S4574" s="28" t="n">
        <f aca="false">R4574*$M4574</f>
        <v>0</v>
      </c>
      <c r="T4574" s="28"/>
      <c r="U4574" s="28" t="n">
        <f aca="false">T4574*$M4574</f>
        <v>0</v>
      </c>
      <c r="V4574" s="28"/>
      <c r="W4574" s="28" t="n">
        <f aca="false">V4574*$M4574</f>
        <v>0</v>
      </c>
      <c r="X4574" s="29"/>
      <c r="Y4574" s="28"/>
      <c r="Z4574" s="28"/>
      <c r="AA4574" s="28" t="n">
        <f aca="false">Z4574*$M4574</f>
        <v>0</v>
      </c>
      <c r="AB4574" s="28"/>
      <c r="AC4574" s="28" t="n">
        <f aca="false">AB4574*$M4574</f>
        <v>0</v>
      </c>
      <c r="AD4574" s="28"/>
      <c r="AE4574" s="28" t="n">
        <f aca="false">AD4574*$M4574</f>
        <v>0</v>
      </c>
      <c r="AF4574" s="28"/>
      <c r="AG4574" s="28" t="n">
        <f aca="false">AF4574*$M4574</f>
        <v>0</v>
      </c>
      <c r="AH4574" s="28" t="n">
        <v>45346</v>
      </c>
      <c r="AI4574" s="28" t="n">
        <v>3174</v>
      </c>
      <c r="AJ4574" s="28"/>
      <c r="AK4574" s="28" t="n">
        <f aca="false">AJ4574*$M4574</f>
        <v>0</v>
      </c>
      <c r="AL4574" s="28"/>
      <c r="AM4574" s="28" t="n">
        <f aca="false">AL4574*$M4574</f>
        <v>0</v>
      </c>
      <c r="AN4574" s="28"/>
      <c r="AO4574" s="28" t="n">
        <f aca="false">AN4574*$M4574</f>
        <v>0</v>
      </c>
      <c r="AP4574" s="28"/>
      <c r="AQ4574" s="28" t="n">
        <f aca="false">AP4574*$M4574</f>
        <v>0</v>
      </c>
      <c r="AR4574" s="28"/>
      <c r="AS4574" s="28" t="n">
        <f aca="false">AR4574*$M4574</f>
        <v>0</v>
      </c>
      <c r="AT4574" s="28"/>
      <c r="AU4574" s="28" t="n">
        <f aca="false">AT4574*$M4574</f>
        <v>0</v>
      </c>
      <c r="AV4574" s="28"/>
      <c r="AW4574" s="28" t="n">
        <f aca="false">AV4574*$M4574</f>
        <v>0</v>
      </c>
      <c r="AX4574" s="28"/>
      <c r="AY4574" s="28" t="n">
        <f aca="false">AX4574*$M4574</f>
        <v>0</v>
      </c>
      <c r="AZ4574" s="30" t="n">
        <v>45346</v>
      </c>
      <c r="BA4574" s="11" t="n">
        <v>3174</v>
      </c>
      <c r="BB4574" s="31" t="n">
        <f aca="false">SUM(Q4574,S4574,U4574,W4574,Y4574,AA4574,AC4574,AE4574,AG4574,AI4574,AK4574,AM4574,AO4574,AQ4574,AS4574,AU4574,AW4574,AY4574)</f>
        <v>3174</v>
      </c>
      <c r="BC4574" s="28" t="n">
        <f aca="false">BA4574-BB4574</f>
        <v>0</v>
      </c>
      <c r="BD4574" s="32" t="n">
        <f aca="false">SUM(P4574,R4574,T4574,V4574,X4574,Z4574,AB4574,AD4574,AF4574,AH4574,AJ4574,AL4574,AN4574,AP4574,AR4574,AT4574,AV4574,AX4574)</f>
        <v>45346</v>
      </c>
      <c r="BE4574" s="33" t="n">
        <f aca="false">AZ4574-BD4574</f>
        <v>0</v>
      </c>
      <c r="BF4574" s="34" t="n">
        <f aca="false">BD4574*M4574</f>
        <v>0</v>
      </c>
      <c r="BG4574" s="35" t="n">
        <f aca="false">BA4574-BF4574</f>
        <v>3174</v>
      </c>
      <c r="BH4574" s="19" t="str">
        <f aca="false">IF(BG4574=0,"",IF(BG4574&lt;&gt;BA4574,"erreur de calcul",IF(BD4574&lt;&gt;0,"pas de prix",IF(M4574&lt;&gt; 0,"pas de quantité","pas de prix, ni de quantité"))))</f>
        <v>pas de prix</v>
      </c>
      <c r="BI4574" s="19" t="s">
        <v>75</v>
      </c>
    </row>
    <row r="4575" customFormat="false" ht="15" hidden="false" customHeight="false" outlineLevel="0" collapsed="false">
      <c r="A4575" s="0" t="n">
        <v>10</v>
      </c>
      <c r="B4575" s="8" t="s">
        <v>24</v>
      </c>
      <c r="C4575" s="9" t="s">
        <v>25</v>
      </c>
      <c r="D4575" s="9" t="s">
        <v>26</v>
      </c>
      <c r="E4575" s="10" t="n">
        <v>1789</v>
      </c>
      <c r="F4575" s="9" t="s">
        <v>27</v>
      </c>
      <c r="G4575" s="9" t="s">
        <v>27</v>
      </c>
      <c r="H4575" s="11" t="n">
        <v>18</v>
      </c>
      <c r="I4575" s="11" t="s">
        <v>76</v>
      </c>
      <c r="J4575" s="14"/>
      <c r="K4575" s="14" t="n">
        <v>20</v>
      </c>
      <c r="L4575" s="16"/>
      <c r="M4575" s="27" t="n">
        <f aca="false">J4575+(K4575/20)+(L4575/240)</f>
        <v>1</v>
      </c>
      <c r="N4575" s="17" t="s">
        <v>64</v>
      </c>
      <c r="O4575" s="11" t="s">
        <v>77</v>
      </c>
      <c r="P4575" s="28" t="n">
        <f aca="false">66667/100</f>
        <v>666.67</v>
      </c>
      <c r="Q4575" s="28" t="n">
        <v>667</v>
      </c>
      <c r="R4575" s="28"/>
      <c r="S4575" s="28" t="n">
        <f aca="false">R4575*$M4575</f>
        <v>0</v>
      </c>
      <c r="T4575" s="28"/>
      <c r="U4575" s="28" t="n">
        <f aca="false">T4575*$M4575</f>
        <v>0</v>
      </c>
      <c r="V4575" s="28" t="n">
        <f aca="false">281532/100</f>
        <v>2815.32</v>
      </c>
      <c r="W4575" s="28" t="n">
        <v>2815</v>
      </c>
      <c r="X4575" s="29" t="n">
        <f aca="false">366667/100</f>
        <v>3666.67</v>
      </c>
      <c r="Y4575" s="28" t="n">
        <v>3666</v>
      </c>
      <c r="Z4575" s="28" t="n">
        <f aca="false">33334/100</f>
        <v>333.34</v>
      </c>
      <c r="AA4575" s="28" t="n">
        <v>333</v>
      </c>
      <c r="AB4575" s="28"/>
      <c r="AC4575" s="28" t="n">
        <f aca="false">AB4575*$M4575</f>
        <v>0</v>
      </c>
      <c r="AD4575" s="28"/>
      <c r="AE4575" s="28" t="n">
        <f aca="false">AD4575*$M4575</f>
        <v>0</v>
      </c>
      <c r="AF4575" s="28"/>
      <c r="AG4575" s="28" t="n">
        <f aca="false">AF4575*$M4575</f>
        <v>0</v>
      </c>
      <c r="AH4575" s="28"/>
      <c r="AI4575" s="28" t="n">
        <f aca="false">AH4575*$M4575</f>
        <v>0</v>
      </c>
      <c r="AJ4575" s="28"/>
      <c r="AK4575" s="28" t="n">
        <f aca="false">AJ4575*$M4575</f>
        <v>0</v>
      </c>
      <c r="AL4575" s="28"/>
      <c r="AM4575" s="28" t="n">
        <f aca="false">AL4575*$M4575</f>
        <v>0</v>
      </c>
      <c r="AN4575" s="28"/>
      <c r="AO4575" s="28" t="n">
        <f aca="false">AN4575*$M4575</f>
        <v>0</v>
      </c>
      <c r="AP4575" s="28"/>
      <c r="AQ4575" s="28" t="n">
        <f aca="false">AP4575*$M4575</f>
        <v>0</v>
      </c>
      <c r="AR4575" s="28"/>
      <c r="AS4575" s="28" t="n">
        <f aca="false">AR4575*$M4575</f>
        <v>0</v>
      </c>
      <c r="AT4575" s="28"/>
      <c r="AU4575" s="28" t="n">
        <f aca="false">AT4575*$M4575</f>
        <v>0</v>
      </c>
      <c r="AV4575" s="28"/>
      <c r="AW4575" s="28" t="n">
        <f aca="false">AV4575*$M4575</f>
        <v>0</v>
      </c>
      <c r="AX4575" s="28"/>
      <c r="AY4575" s="28" t="n">
        <f aca="false">AX4575*$M4575</f>
        <v>0</v>
      </c>
      <c r="AZ4575" s="30" t="n">
        <f aca="false">748200/100</f>
        <v>7482</v>
      </c>
      <c r="BA4575" s="11" t="n">
        <v>7481</v>
      </c>
      <c r="BB4575" s="31" t="n">
        <f aca="false">SUM(Q4575,S4575,U4575,W4575,Y4575,AA4575,AC4575,AE4575,AG4575,AI4575,AK4575,AM4575,AO4575,AQ4575,AS4575,AU4575,AW4575,AY4575)</f>
        <v>7481</v>
      </c>
      <c r="BC4575" s="28" t="n">
        <f aca="false">BA4575-BB4575</f>
        <v>0</v>
      </c>
      <c r="BD4575" s="32" t="n">
        <f aca="false">SUM(P4575,R4575,T4575,V4575,X4575,Z4575,AB4575,AD4575,AF4575,AH4575,AJ4575,AL4575,AN4575,AP4575,AR4575,AT4575,AV4575,AX4575)</f>
        <v>7482</v>
      </c>
      <c r="BE4575" s="33" t="n">
        <f aca="false">AZ4575-BD4575</f>
        <v>0</v>
      </c>
      <c r="BF4575" s="34" t="n">
        <f aca="false">BD4575*M4575</f>
        <v>7482</v>
      </c>
      <c r="BG4575" s="35" t="n">
        <f aca="false">BA4575-BF4575</f>
        <v>-1</v>
      </c>
      <c r="BH4575" s="19" t="str">
        <f aca="false">IF(BG4575=0,"",IF(BG4575&lt;&gt;BA4575,"erreur de calcul",IF(BD4575&lt;&gt;0,"pas de prix",IF(M4575&lt;&gt; 0,"pas de quantité","pas de prix, ni de quantité"))))</f>
        <v>erreur de calcul</v>
      </c>
      <c r="BI4575" s="19"/>
    </row>
    <row r="4576" customFormat="false" ht="15" hidden="false" customHeight="false" outlineLevel="0" collapsed="false">
      <c r="A4576" s="0" t="n">
        <v>11</v>
      </c>
      <c r="B4576" s="8" t="s">
        <v>24</v>
      </c>
      <c r="C4576" s="9" t="s">
        <v>25</v>
      </c>
      <c r="D4576" s="9" t="s">
        <v>26</v>
      </c>
      <c r="E4576" s="10" t="n">
        <v>1789</v>
      </c>
      <c r="F4576" s="9" t="s">
        <v>27</v>
      </c>
      <c r="G4576" s="9" t="s">
        <v>27</v>
      </c>
      <c r="H4576" s="11" t="n">
        <v>18</v>
      </c>
      <c r="I4576" s="11" t="s">
        <v>78</v>
      </c>
      <c r="J4576" s="14"/>
      <c r="K4576" s="14" t="n">
        <v>50</v>
      </c>
      <c r="L4576" s="16"/>
      <c r="M4576" s="27" t="n">
        <f aca="false">J4576+(K4576/20)+(L4576/240)</f>
        <v>2.5</v>
      </c>
      <c r="N4576" s="17" t="s">
        <v>79</v>
      </c>
      <c r="O4576" s="11"/>
      <c r="P4576" s="28"/>
      <c r="Q4576" s="28" t="n">
        <f aca="false">P4576*$M4576</f>
        <v>0</v>
      </c>
      <c r="R4576" s="28"/>
      <c r="S4576" s="28" t="n">
        <f aca="false">R4576*$M4576</f>
        <v>0</v>
      </c>
      <c r="T4576" s="28"/>
      <c r="U4576" s="28" t="n">
        <f aca="false">T4576*$M4576</f>
        <v>0</v>
      </c>
      <c r="V4576" s="28" t="n">
        <v>61807</v>
      </c>
      <c r="W4576" s="28" t="n">
        <v>154517</v>
      </c>
      <c r="X4576" s="29"/>
      <c r="Y4576" s="28" t="n">
        <f aca="false">X4576*$M4576</f>
        <v>0</v>
      </c>
      <c r="Z4576" s="28"/>
      <c r="AA4576" s="28" t="n">
        <f aca="false">Z4576*$M4576</f>
        <v>0</v>
      </c>
      <c r="AB4576" s="28" t="n">
        <v>43640</v>
      </c>
      <c r="AC4576" s="28" t="n">
        <v>109100</v>
      </c>
      <c r="AD4576" s="28"/>
      <c r="AE4576" s="28" t="n">
        <f aca="false">AD4576*$M4576</f>
        <v>0</v>
      </c>
      <c r="AF4576" s="28"/>
      <c r="AG4576" s="28" t="n">
        <f aca="false">AF4576*$M4576</f>
        <v>0</v>
      </c>
      <c r="AH4576" s="28"/>
      <c r="AI4576" s="28" t="n">
        <f aca="false">AH4576*$M4576</f>
        <v>0</v>
      </c>
      <c r="AJ4576" s="28"/>
      <c r="AK4576" s="28" t="n">
        <f aca="false">AJ4576*$M4576</f>
        <v>0</v>
      </c>
      <c r="AL4576" s="28"/>
      <c r="AM4576" s="28" t="n">
        <f aca="false">AL4576*$M4576</f>
        <v>0</v>
      </c>
      <c r="AN4576" s="28"/>
      <c r="AO4576" s="28" t="n">
        <f aca="false">AN4576*$M4576</f>
        <v>0</v>
      </c>
      <c r="AP4576" s="28"/>
      <c r="AQ4576" s="28" t="n">
        <f aca="false">AP4576*$M4576</f>
        <v>0</v>
      </c>
      <c r="AR4576" s="28"/>
      <c r="AS4576" s="28" t="n">
        <f aca="false">AR4576*$M4576</f>
        <v>0</v>
      </c>
      <c r="AT4576" s="28"/>
      <c r="AU4576" s="28" t="n">
        <f aca="false">AT4576*$M4576</f>
        <v>0</v>
      </c>
      <c r="AV4576" s="28"/>
      <c r="AW4576" s="28" t="n">
        <f aca="false">AV4576*$M4576</f>
        <v>0</v>
      </c>
      <c r="AX4576" s="28"/>
      <c r="AY4576" s="28" t="n">
        <f aca="false">AX4576*$M4576</f>
        <v>0</v>
      </c>
      <c r="AZ4576" s="30" t="n">
        <v>105447</v>
      </c>
      <c r="BA4576" s="11" t="n">
        <v>263617</v>
      </c>
      <c r="BB4576" s="31" t="n">
        <f aca="false">SUM(Q4576,S4576,U4576,W4576,Y4576,AA4576,AC4576,AE4576,AG4576,AI4576,AK4576,AM4576,AO4576,AQ4576,AS4576,AU4576,AW4576,AY4576)</f>
        <v>263617</v>
      </c>
      <c r="BC4576" s="28" t="n">
        <f aca="false">BA4576-BB4576</f>
        <v>0</v>
      </c>
      <c r="BD4576" s="32" t="n">
        <f aca="false">SUM(P4576,R4576,T4576,V4576,X4576,Z4576,AB4576,AD4576,AF4576,AH4576,AJ4576,AL4576,AN4576,AP4576,AR4576,AT4576,AV4576,AX4576)</f>
        <v>105447</v>
      </c>
      <c r="BE4576" s="33" t="n">
        <f aca="false">AZ4576-BD4576</f>
        <v>0</v>
      </c>
      <c r="BF4576" s="34" t="n">
        <f aca="false">BD4576*M4576</f>
        <v>263617.5</v>
      </c>
      <c r="BG4576" s="35" t="n">
        <f aca="false">BA4576-BF4576</f>
        <v>-0.5</v>
      </c>
      <c r="BH4576" s="19" t="str">
        <f aca="false">IF(BG4576=0,"",IF(BG4576&lt;&gt;BA4576,"erreur de calcul",IF(BD4576&lt;&gt;0,"pas de prix",IF(M4576&lt;&gt; 0,"pas de quantité","pas de prix, ni de quantité"))))</f>
        <v>erreur de calcul</v>
      </c>
      <c r="BI4576" s="19"/>
    </row>
    <row r="4577" customFormat="false" ht="15" hidden="false" customHeight="false" outlineLevel="0" collapsed="false">
      <c r="A4577" s="0" t="n">
        <v>12</v>
      </c>
      <c r="B4577" s="8" t="s">
        <v>24</v>
      </c>
      <c r="C4577" s="9" t="s">
        <v>25</v>
      </c>
      <c r="D4577" s="9" t="s">
        <v>26</v>
      </c>
      <c r="E4577" s="10" t="n">
        <v>1789</v>
      </c>
      <c r="F4577" s="9" t="s">
        <v>27</v>
      </c>
      <c r="G4577" s="9" t="s">
        <v>27</v>
      </c>
      <c r="H4577" s="11" t="n">
        <v>18</v>
      </c>
      <c r="I4577" s="11" t="s">
        <v>80</v>
      </c>
      <c r="J4577" s="14"/>
      <c r="K4577" s="14" t="n">
        <v>4</v>
      </c>
      <c r="L4577" s="16"/>
      <c r="M4577" s="27" t="n">
        <f aca="false">J4577+(K4577/20)+(L4577/240)</f>
        <v>0.2</v>
      </c>
      <c r="N4577" s="17" t="s">
        <v>81</v>
      </c>
      <c r="O4577" s="11"/>
      <c r="P4577" s="28"/>
      <c r="Q4577" s="28" t="n">
        <f aca="false">P4577*$M4577</f>
        <v>0</v>
      </c>
      <c r="R4577" s="28"/>
      <c r="S4577" s="28" t="n">
        <f aca="false">R4577*$M4577</f>
        <v>0</v>
      </c>
      <c r="T4577" s="28"/>
      <c r="U4577" s="28" t="n">
        <f aca="false">T4577*$M4577</f>
        <v>0</v>
      </c>
      <c r="V4577" s="28" t="n">
        <v>5800</v>
      </c>
      <c r="W4577" s="28" t="n">
        <v>1160</v>
      </c>
      <c r="X4577" s="29"/>
      <c r="Y4577" s="28" t="n">
        <v>1069</v>
      </c>
      <c r="Z4577" s="28"/>
      <c r="AA4577" s="28" t="n">
        <f aca="false">Z4577*$M4577</f>
        <v>0</v>
      </c>
      <c r="AB4577" s="28"/>
      <c r="AC4577" s="28" t="n">
        <f aca="false">AB4577*$M4577</f>
        <v>0</v>
      </c>
      <c r="AD4577" s="28"/>
      <c r="AE4577" s="28" t="n">
        <f aca="false">AD4577*$M4577</f>
        <v>0</v>
      </c>
      <c r="AF4577" s="28"/>
      <c r="AG4577" s="28" t="n">
        <f aca="false">AF4577*$M4577</f>
        <v>0</v>
      </c>
      <c r="AH4577" s="28"/>
      <c r="AI4577" s="28" t="n">
        <f aca="false">AH4577*$M4577</f>
        <v>0</v>
      </c>
      <c r="AJ4577" s="28"/>
      <c r="AK4577" s="28" t="n">
        <f aca="false">AJ4577*$M4577</f>
        <v>0</v>
      </c>
      <c r="AL4577" s="28"/>
      <c r="AM4577" s="28" t="n">
        <f aca="false">AL4577*$M4577</f>
        <v>0</v>
      </c>
      <c r="AN4577" s="28"/>
      <c r="AO4577" s="28" t="n">
        <f aca="false">AN4577*$M4577</f>
        <v>0</v>
      </c>
      <c r="AP4577" s="28"/>
      <c r="AQ4577" s="28" t="n">
        <f aca="false">AP4577*$M4577</f>
        <v>0</v>
      </c>
      <c r="AR4577" s="28"/>
      <c r="AS4577" s="28" t="n">
        <f aca="false">AR4577*$M4577</f>
        <v>0</v>
      </c>
      <c r="AT4577" s="28"/>
      <c r="AU4577" s="28" t="n">
        <f aca="false">AT4577*$M4577</f>
        <v>0</v>
      </c>
      <c r="AV4577" s="28"/>
      <c r="AW4577" s="28" t="n">
        <f aca="false">AV4577*$M4577</f>
        <v>0</v>
      </c>
      <c r="AX4577" s="28"/>
      <c r="AY4577" s="28" t="n">
        <f aca="false">AX4577*$M4577</f>
        <v>0</v>
      </c>
      <c r="AZ4577" s="30" t="n">
        <v>11144</v>
      </c>
      <c r="BA4577" s="11" t="n">
        <v>2229</v>
      </c>
      <c r="BB4577" s="31" t="n">
        <f aca="false">SUM(Q4577,S4577,U4577,W4577,Y4577,AA4577,AC4577,AE4577,AG4577,AI4577,AK4577,AM4577,AO4577,AQ4577,AS4577,AU4577,AW4577,AY4577)</f>
        <v>2229</v>
      </c>
      <c r="BC4577" s="28" t="n">
        <f aca="false">BA4577-BB4577</f>
        <v>0</v>
      </c>
      <c r="BD4577" s="32" t="n">
        <f aca="false">SUM(P4577,R4577,T4577,V4577,X4577,Z4577,AB4577,AD4577,AF4577,AH4577,AJ4577,AL4577,AN4577,AP4577,AR4577,AT4577,AV4577,AX4577)</f>
        <v>5800</v>
      </c>
      <c r="BE4577" s="33" t="n">
        <f aca="false">AZ4577-BD4577</f>
        <v>5344</v>
      </c>
      <c r="BF4577" s="34" t="n">
        <f aca="false">BD4577*M4577</f>
        <v>1160</v>
      </c>
      <c r="BG4577" s="35" t="n">
        <f aca="false">BA4577-BF4577</f>
        <v>1069</v>
      </c>
      <c r="BH4577" s="19" t="str">
        <f aca="false">IF(BG4577=0,"",IF(BG4577&lt;&gt;BA4577,"erreur de calcul",IF(BD4577&lt;&gt;0,"pas de prix",IF(M4577&lt;&gt; 0,"pas de quantité","pas de prix, ni de quantité"))))</f>
        <v>erreur de calcul</v>
      </c>
      <c r="BI4577" s="19"/>
    </row>
    <row r="4578" customFormat="false" ht="15" hidden="false" customHeight="false" outlineLevel="0" collapsed="false">
      <c r="A4578" s="0" t="n">
        <v>13</v>
      </c>
      <c r="B4578" s="8" t="s">
        <v>24</v>
      </c>
      <c r="C4578" s="9" t="s">
        <v>25</v>
      </c>
      <c r="D4578" s="9" t="s">
        <v>26</v>
      </c>
      <c r="E4578" s="10" t="n">
        <v>1789</v>
      </c>
      <c r="F4578" s="9" t="s">
        <v>27</v>
      </c>
      <c r="G4578" s="9" t="s">
        <v>27</v>
      </c>
      <c r="H4578" s="11" t="n">
        <v>18</v>
      </c>
      <c r="I4578" s="11" t="s">
        <v>82</v>
      </c>
      <c r="J4578" s="14" t="n">
        <v>17</v>
      </c>
      <c r="K4578" s="14"/>
      <c r="L4578" s="16"/>
      <c r="M4578" s="27" t="n">
        <f aca="false">J4578+(K4578/20)+(L4578/240)</f>
        <v>17</v>
      </c>
      <c r="N4578" s="17" t="s">
        <v>69</v>
      </c>
      <c r="O4578" s="11"/>
      <c r="P4578" s="28"/>
      <c r="Q4578" s="28" t="n">
        <f aca="false">P4578*$M4578</f>
        <v>0</v>
      </c>
      <c r="R4578" s="28"/>
      <c r="S4578" s="28" t="n">
        <f aca="false">R4578*$M4578</f>
        <v>0</v>
      </c>
      <c r="T4578" s="28"/>
      <c r="U4578" s="28" t="n">
        <f aca="false">T4578*$M4578</f>
        <v>0</v>
      </c>
      <c r="V4578" s="28" t="n">
        <v>600</v>
      </c>
      <c r="W4578" s="28" t="n">
        <v>10200</v>
      </c>
      <c r="X4578" s="29"/>
      <c r="Y4578" s="28" t="n">
        <f aca="false">X4578*$M4578</f>
        <v>0</v>
      </c>
      <c r="Z4578" s="28"/>
      <c r="AA4578" s="28" t="n">
        <f aca="false">Z4578*$M4578</f>
        <v>0</v>
      </c>
      <c r="AB4578" s="28"/>
      <c r="AC4578" s="28" t="n">
        <f aca="false">AB4578*$M4578</f>
        <v>0</v>
      </c>
      <c r="AD4578" s="28"/>
      <c r="AE4578" s="28" t="n">
        <f aca="false">AD4578*$M4578</f>
        <v>0</v>
      </c>
      <c r="AF4578" s="28"/>
      <c r="AG4578" s="28" t="n">
        <f aca="false">AF4578*$M4578</f>
        <v>0</v>
      </c>
      <c r="AH4578" s="28"/>
      <c r="AI4578" s="28" t="n">
        <f aca="false">AH4578*$M4578</f>
        <v>0</v>
      </c>
      <c r="AJ4578" s="28"/>
      <c r="AK4578" s="28" t="n">
        <f aca="false">AJ4578*$M4578</f>
        <v>0</v>
      </c>
      <c r="AL4578" s="28"/>
      <c r="AM4578" s="28" t="n">
        <f aca="false">AL4578*$M4578</f>
        <v>0</v>
      </c>
      <c r="AN4578" s="28"/>
      <c r="AO4578" s="28" t="n">
        <f aca="false">AN4578*$M4578</f>
        <v>0</v>
      </c>
      <c r="AP4578" s="28"/>
      <c r="AQ4578" s="28" t="n">
        <f aca="false">AP4578*$M4578</f>
        <v>0</v>
      </c>
      <c r="AR4578" s="28"/>
      <c r="AS4578" s="28" t="n">
        <f aca="false">AR4578*$M4578</f>
        <v>0</v>
      </c>
      <c r="AT4578" s="28"/>
      <c r="AU4578" s="28" t="n">
        <f aca="false">AT4578*$M4578</f>
        <v>0</v>
      </c>
      <c r="AV4578" s="28"/>
      <c r="AW4578" s="28" t="n">
        <f aca="false">AV4578*$M4578</f>
        <v>0</v>
      </c>
      <c r="AX4578" s="28"/>
      <c r="AY4578" s="28" t="n">
        <f aca="false">AX4578*$M4578</f>
        <v>0</v>
      </c>
      <c r="AZ4578" s="30" t="n">
        <v>600</v>
      </c>
      <c r="BA4578" s="11" t="n">
        <v>10200</v>
      </c>
      <c r="BB4578" s="31" t="n">
        <f aca="false">SUM(Q4578,S4578,U4578,W4578,Y4578,AA4578,AC4578,AE4578,AG4578,AI4578,AK4578,AM4578,AO4578,AQ4578,AS4578,AU4578,AW4578,AY4578)</f>
        <v>10200</v>
      </c>
      <c r="BC4578" s="28" t="n">
        <f aca="false">BA4578-BB4578</f>
        <v>0</v>
      </c>
      <c r="BD4578" s="32" t="n">
        <f aca="false">SUM(P4578,R4578,T4578,V4578,X4578,Z4578,AB4578,AD4578,AF4578,AH4578,AJ4578,AL4578,AN4578,AP4578,AR4578,AT4578,AV4578,AX4578)</f>
        <v>600</v>
      </c>
      <c r="BE4578" s="33" t="n">
        <f aca="false">AZ4578-BD4578</f>
        <v>0</v>
      </c>
      <c r="BF4578" s="34" t="n">
        <f aca="false">BD4578*M4578</f>
        <v>10200</v>
      </c>
      <c r="BG4578" s="35" t="n">
        <f aca="false">BA4578-BF4578</f>
        <v>0</v>
      </c>
      <c r="BH4578" s="19" t="str">
        <f aca="false">IF(BG4578=0,"",IF(BG4578&lt;&gt;BA4578,"erreur de calcul",IF(BD4578&lt;&gt;0,"pas de prix",IF(M4578&lt;&gt; 0,"pas de quantité","pas de prix, ni de quantité"))))</f>
        <v/>
      </c>
      <c r="BI4578" s="19"/>
    </row>
    <row r="4579" customFormat="false" ht="15" hidden="false" customHeight="false" outlineLevel="0" collapsed="false">
      <c r="A4579" s="0" t="n">
        <v>14</v>
      </c>
      <c r="B4579" s="8" t="s">
        <v>24</v>
      </c>
      <c r="C4579" s="9" t="s">
        <v>25</v>
      </c>
      <c r="D4579" s="9" t="s">
        <v>26</v>
      </c>
      <c r="E4579" s="10" t="n">
        <v>1789</v>
      </c>
      <c r="F4579" s="9" t="s">
        <v>27</v>
      </c>
      <c r="G4579" s="9" t="s">
        <v>27</v>
      </c>
      <c r="H4579" s="11" t="n">
        <v>18</v>
      </c>
      <c r="I4579" s="11" t="s">
        <v>83</v>
      </c>
      <c r="J4579" s="14" t="n">
        <v>20</v>
      </c>
      <c r="K4579" s="14"/>
      <c r="L4579" s="16"/>
      <c r="M4579" s="27" t="n">
        <f aca="false">J4579+(K4579/20)+(L4579/240)</f>
        <v>20</v>
      </c>
      <c r="N4579" s="17" t="s">
        <v>81</v>
      </c>
      <c r="O4579" s="11"/>
      <c r="P4579" s="28"/>
      <c r="Q4579" s="28" t="n">
        <f aca="false">P4579*$M4579</f>
        <v>0</v>
      </c>
      <c r="R4579" s="28"/>
      <c r="S4579" s="28" t="n">
        <f aca="false">R4579*$M4579</f>
        <v>0</v>
      </c>
      <c r="T4579" s="28"/>
      <c r="U4579" s="28" t="n">
        <f aca="false">T4579*$M4579</f>
        <v>0</v>
      </c>
      <c r="V4579" s="28"/>
      <c r="W4579" s="28" t="n">
        <f aca="false">V4579*$M4579</f>
        <v>0</v>
      </c>
      <c r="X4579" s="29"/>
      <c r="Y4579" s="28" t="n">
        <f aca="false">X4579*$M4579</f>
        <v>0</v>
      </c>
      <c r="Z4579" s="28" t="n">
        <v>460</v>
      </c>
      <c r="AA4579" s="28" t="n">
        <v>9200</v>
      </c>
      <c r="AB4579" s="28"/>
      <c r="AC4579" s="28" t="n">
        <f aca="false">AB4579*$M4579</f>
        <v>0</v>
      </c>
      <c r="AD4579" s="28"/>
      <c r="AE4579" s="28" t="n">
        <f aca="false">AD4579*$M4579</f>
        <v>0</v>
      </c>
      <c r="AF4579" s="28"/>
      <c r="AG4579" s="28" t="n">
        <f aca="false">AF4579*$M4579</f>
        <v>0</v>
      </c>
      <c r="AH4579" s="28"/>
      <c r="AI4579" s="28" t="n">
        <f aca="false">AH4579*$M4579</f>
        <v>0</v>
      </c>
      <c r="AJ4579" s="28"/>
      <c r="AK4579" s="28" t="n">
        <f aca="false">AJ4579*$M4579</f>
        <v>0</v>
      </c>
      <c r="AL4579" s="28"/>
      <c r="AM4579" s="28" t="n">
        <f aca="false">AL4579*$M4579</f>
        <v>0</v>
      </c>
      <c r="AN4579" s="28"/>
      <c r="AO4579" s="28" t="n">
        <f aca="false">AN4579*$M4579</f>
        <v>0</v>
      </c>
      <c r="AP4579" s="28"/>
      <c r="AQ4579" s="28" t="n">
        <f aca="false">AP4579*$M4579</f>
        <v>0</v>
      </c>
      <c r="AR4579" s="28"/>
      <c r="AS4579" s="28" t="n">
        <f aca="false">AR4579*$M4579</f>
        <v>0</v>
      </c>
      <c r="AT4579" s="28"/>
      <c r="AU4579" s="28" t="n">
        <f aca="false">AT4579*$M4579</f>
        <v>0</v>
      </c>
      <c r="AV4579" s="28"/>
      <c r="AW4579" s="28" t="n">
        <f aca="false">AV4579*$M4579</f>
        <v>0</v>
      </c>
      <c r="AX4579" s="28"/>
      <c r="AY4579" s="28" t="n">
        <f aca="false">AX4579*$M4579</f>
        <v>0</v>
      </c>
      <c r="AZ4579" s="30" t="n">
        <v>460</v>
      </c>
      <c r="BA4579" s="11" t="n">
        <v>9200</v>
      </c>
      <c r="BB4579" s="31" t="n">
        <f aca="false">SUM(Q4579,S4579,U4579,W4579,Y4579,AA4579,AC4579,AE4579,AG4579,AI4579,AK4579,AM4579,AO4579,AQ4579,AS4579,AU4579,AW4579,AY4579)</f>
        <v>9200</v>
      </c>
      <c r="BC4579" s="28" t="n">
        <f aca="false">BA4579-BB4579</f>
        <v>0</v>
      </c>
      <c r="BD4579" s="32" t="n">
        <f aca="false">SUM(P4579,R4579,T4579,V4579,X4579,Z4579,AB4579,AD4579,AF4579,AH4579,AJ4579,AL4579,AN4579,AP4579,AR4579,AT4579,AV4579,AX4579)</f>
        <v>460</v>
      </c>
      <c r="BE4579" s="33" t="n">
        <f aca="false">AZ4579-BD4579</f>
        <v>0</v>
      </c>
      <c r="BF4579" s="34" t="n">
        <f aca="false">BD4579*M4579</f>
        <v>9200</v>
      </c>
      <c r="BG4579" s="35" t="n">
        <f aca="false">BA4579-BF4579</f>
        <v>0</v>
      </c>
      <c r="BH4579" s="19" t="str">
        <f aca="false">IF(BG4579=0,"",IF(BG4579&lt;&gt;BA4579,"erreur de calcul",IF(BD4579&lt;&gt;0,"pas de prix",IF(M4579&lt;&gt; 0,"pas de quantité","pas de prix, ni de quantité"))))</f>
        <v/>
      </c>
      <c r="BI4579" s="19"/>
    </row>
    <row r="4580" customFormat="false" ht="15" hidden="false" customHeight="false" outlineLevel="0" collapsed="false">
      <c r="A4580" s="0" t="n">
        <v>15</v>
      </c>
      <c r="B4580" s="8" t="s">
        <v>24</v>
      </c>
      <c r="C4580" s="9" t="s">
        <v>25</v>
      </c>
      <c r="D4580" s="9" t="s">
        <v>26</v>
      </c>
      <c r="E4580" s="10" t="n">
        <v>1789</v>
      </c>
      <c r="F4580" s="9" t="s">
        <v>27</v>
      </c>
      <c r="G4580" s="9" t="s">
        <v>27</v>
      </c>
      <c r="H4580" s="11" t="n">
        <v>18</v>
      </c>
      <c r="I4580" s="11" t="s">
        <v>84</v>
      </c>
      <c r="J4580" s="14" t="n">
        <v>16</v>
      </c>
      <c r="K4580" s="14"/>
      <c r="L4580" s="16"/>
      <c r="M4580" s="27" t="n">
        <f aca="false">J4580+(K4580/20)+(L4580/240)</f>
        <v>16</v>
      </c>
      <c r="N4580" s="17" t="s">
        <v>85</v>
      </c>
      <c r="O4580" s="11"/>
      <c r="P4580" s="28"/>
      <c r="Q4580" s="28" t="n">
        <f aca="false">P4580*$M4580</f>
        <v>0</v>
      </c>
      <c r="R4580" s="28"/>
      <c r="S4580" s="28" t="n">
        <f aca="false">R4580*$M4580</f>
        <v>0</v>
      </c>
      <c r="T4580" s="28" t="n">
        <f aca="false">1600/100</f>
        <v>16</v>
      </c>
      <c r="U4580" s="28" t="n">
        <v>256</v>
      </c>
      <c r="V4580" s="28" t="n">
        <f aca="false">227136/100</f>
        <v>2271.36</v>
      </c>
      <c r="W4580" s="28" t="n">
        <v>36342</v>
      </c>
      <c r="X4580" s="29"/>
      <c r="Y4580" s="28" t="n">
        <v>304</v>
      </c>
      <c r="Z4580" s="28" t="n">
        <f aca="false">6850/100</f>
        <v>68.5</v>
      </c>
      <c r="AA4580" s="28" t="n">
        <v>1096</v>
      </c>
      <c r="AB4580" s="28" t="n">
        <f aca="false">204300/100</f>
        <v>2043</v>
      </c>
      <c r="AC4580" s="28" t="n">
        <v>32688</v>
      </c>
      <c r="AD4580" s="28" t="n">
        <f aca="false">9750/100</f>
        <v>97.5</v>
      </c>
      <c r="AE4580" s="28" t="n">
        <v>1560</v>
      </c>
      <c r="AF4580" s="28"/>
      <c r="AG4580" s="28" t="n">
        <f aca="false">AF4580*$M4580</f>
        <v>0</v>
      </c>
      <c r="AH4580" s="28"/>
      <c r="AI4580" s="28" t="n">
        <f aca="false">AH4580*$M4580</f>
        <v>0</v>
      </c>
      <c r="AJ4580" s="28" t="n">
        <f aca="false">1414/100</f>
        <v>14.14</v>
      </c>
      <c r="AK4580" s="28" t="n">
        <v>226</v>
      </c>
      <c r="AL4580" s="28" t="n">
        <f aca="false">29500/100</f>
        <v>295</v>
      </c>
      <c r="AM4580" s="28" t="n">
        <v>4720</v>
      </c>
      <c r="AN4580" s="28"/>
      <c r="AO4580" s="28" t="n">
        <f aca="false">AN4580*$M4580</f>
        <v>0</v>
      </c>
      <c r="AP4580" s="28" t="n">
        <f aca="false">1520/100</f>
        <v>15.2</v>
      </c>
      <c r="AQ4580" s="28" t="n">
        <v>243</v>
      </c>
      <c r="AR4580" s="28"/>
      <c r="AS4580" s="28" t="n">
        <f aca="false">AR4580*$M4580</f>
        <v>0</v>
      </c>
      <c r="AT4580" s="28" t="n">
        <f aca="false">2100/100</f>
        <v>21</v>
      </c>
      <c r="AU4580" s="28" t="n">
        <v>336</v>
      </c>
      <c r="AV4580" s="28" t="n">
        <f aca="false">1320/100</f>
        <v>13.2</v>
      </c>
      <c r="AW4580" s="28" t="n">
        <v>211</v>
      </c>
      <c r="AX4580" s="28" t="n">
        <f aca="false">177746/100</f>
        <v>1777.46</v>
      </c>
      <c r="AY4580" s="28" t="n">
        <v>28439</v>
      </c>
      <c r="AZ4580" s="30" t="n">
        <f aca="false">665136/100</f>
        <v>6651.36</v>
      </c>
      <c r="BA4580" s="11" t="n">
        <v>106421</v>
      </c>
      <c r="BB4580" s="31" t="n">
        <f aca="false">SUM(Q4580,S4580,U4580,W4580,Y4580,AA4580,AC4580,AE4580,AG4580,AI4580,AK4580,AM4580,AO4580,AQ4580,AS4580,AU4580,AW4580,AY4580)</f>
        <v>106421</v>
      </c>
      <c r="BC4580" s="28" t="n">
        <f aca="false">BA4580-BB4580</f>
        <v>0</v>
      </c>
      <c r="BD4580" s="32" t="n">
        <f aca="false">SUM(P4580,R4580,T4580,V4580,X4580,Z4580,AB4580,AD4580,AF4580,AH4580,AJ4580,AL4580,AN4580,AP4580,AR4580,AT4580,AV4580,AX4580)</f>
        <v>6632.36</v>
      </c>
      <c r="BE4580" s="33" t="n">
        <f aca="false">AZ4580-BD4580</f>
        <v>18.9999999999991</v>
      </c>
      <c r="BF4580" s="34" t="n">
        <f aca="false">BD4580*M4580</f>
        <v>106117.76</v>
      </c>
      <c r="BG4580" s="35" t="n">
        <f aca="false">BA4580-BF4580</f>
        <v>303.239999999991</v>
      </c>
      <c r="BH4580" s="19" t="str">
        <f aca="false">IF(BG4580=0,"",IF(BG4580&lt;&gt;BA4580,"erreur de calcul",IF(BD4580&lt;&gt;0,"pas de prix",IF(M4580&lt;&gt; 0,"pas de quantité","pas de prix, ni de quantité"))))</f>
        <v>erreur de calcul</v>
      </c>
      <c r="BI4580" s="19"/>
    </row>
    <row r="4581" customFormat="false" ht="15" hidden="false" customHeight="false" outlineLevel="0" collapsed="false">
      <c r="A4581" s="0" t="n">
        <v>16</v>
      </c>
      <c r="B4581" s="8" t="s">
        <v>24</v>
      </c>
      <c r="C4581" s="9" t="s">
        <v>25</v>
      </c>
      <c r="D4581" s="9" t="s">
        <v>26</v>
      </c>
      <c r="E4581" s="10" t="n">
        <v>1789</v>
      </c>
      <c r="F4581" s="9" t="s">
        <v>27</v>
      </c>
      <c r="G4581" s="9" t="s">
        <v>27</v>
      </c>
      <c r="H4581" s="11" t="n">
        <v>18</v>
      </c>
      <c r="I4581" s="11" t="s">
        <v>86</v>
      </c>
      <c r="J4581" s="14" t="n">
        <v>55</v>
      </c>
      <c r="K4581" s="14"/>
      <c r="L4581" s="16"/>
      <c r="M4581" s="27" t="n">
        <f aca="false">J4581+(K4581/20)+(L4581/240)</f>
        <v>55</v>
      </c>
      <c r="N4581" s="17" t="s">
        <v>81</v>
      </c>
      <c r="O4581" s="11"/>
      <c r="P4581" s="28"/>
      <c r="Q4581" s="28" t="n">
        <f aca="false">P4581*$M4581</f>
        <v>0</v>
      </c>
      <c r="R4581" s="28"/>
      <c r="S4581" s="28" t="n">
        <f aca="false">R4581*$M4581</f>
        <v>0</v>
      </c>
      <c r="T4581" s="28"/>
      <c r="U4581" s="28" t="n">
        <f aca="false">T4581*$M4581</f>
        <v>0</v>
      </c>
      <c r="V4581" s="28"/>
      <c r="W4581" s="28" t="n">
        <f aca="false">V4581*$M4581</f>
        <v>0</v>
      </c>
      <c r="X4581" s="29"/>
      <c r="Y4581" s="28" t="n">
        <f aca="false">X4581*$M4581</f>
        <v>0</v>
      </c>
      <c r="Z4581" s="28"/>
      <c r="AA4581" s="28" t="n">
        <f aca="false">Z4581*$M4581</f>
        <v>0</v>
      </c>
      <c r="AB4581" s="28"/>
      <c r="AC4581" s="28" t="n">
        <f aca="false">AB4581*$M4581</f>
        <v>0</v>
      </c>
      <c r="AD4581" s="28"/>
      <c r="AE4581" s="28" t="n">
        <f aca="false">AD4581*$M4581</f>
        <v>0</v>
      </c>
      <c r="AF4581" s="28"/>
      <c r="AG4581" s="28" t="n">
        <f aca="false">AF4581*$M4581</f>
        <v>0</v>
      </c>
      <c r="AH4581" s="28"/>
      <c r="AI4581" s="28" t="n">
        <f aca="false">AH4581*$M4581</f>
        <v>0</v>
      </c>
      <c r="AJ4581" s="28"/>
      <c r="AK4581" s="28" t="n">
        <f aca="false">AJ4581*$M4581</f>
        <v>0</v>
      </c>
      <c r="AL4581" s="28"/>
      <c r="AM4581" s="28" t="n">
        <f aca="false">AL4581*$M4581</f>
        <v>0</v>
      </c>
      <c r="AN4581" s="28"/>
      <c r="AO4581" s="28" t="n">
        <f aca="false">AN4581*$M4581</f>
        <v>0</v>
      </c>
      <c r="AP4581" s="28"/>
      <c r="AQ4581" s="28" t="n">
        <f aca="false">AP4581*$M4581</f>
        <v>0</v>
      </c>
      <c r="AR4581" s="28"/>
      <c r="AS4581" s="28" t="n">
        <f aca="false">AR4581*$M4581</f>
        <v>0</v>
      </c>
      <c r="AT4581" s="28" t="n">
        <v>319</v>
      </c>
      <c r="AU4581" s="28" t="n">
        <v>17545</v>
      </c>
      <c r="AV4581" s="28"/>
      <c r="AW4581" s="28" t="n">
        <f aca="false">AV4581*$M4581</f>
        <v>0</v>
      </c>
      <c r="AX4581" s="28"/>
      <c r="AY4581" s="28" t="n">
        <f aca="false">AX4581*$M4581</f>
        <v>0</v>
      </c>
      <c r="AZ4581" s="30" t="n">
        <v>319</v>
      </c>
      <c r="BA4581" s="11" t="n">
        <v>17545</v>
      </c>
      <c r="BB4581" s="31" t="n">
        <f aca="false">SUM(Q4581,S4581,U4581,W4581,Y4581,AA4581,AC4581,AE4581,AG4581,AI4581,AK4581,AM4581,AO4581,AQ4581,AS4581,AU4581,AW4581,AY4581)</f>
        <v>17545</v>
      </c>
      <c r="BC4581" s="28" t="n">
        <f aca="false">BA4581-BB4581</f>
        <v>0</v>
      </c>
      <c r="BD4581" s="32" t="n">
        <f aca="false">SUM(P4581,R4581,T4581,V4581,X4581,Z4581,AB4581,AD4581,AF4581,AH4581,AJ4581,AL4581,AN4581,AP4581,AR4581,AT4581,AV4581,AX4581)</f>
        <v>319</v>
      </c>
      <c r="BE4581" s="33" t="n">
        <f aca="false">AZ4581-BD4581</f>
        <v>0</v>
      </c>
      <c r="BF4581" s="34" t="n">
        <f aca="false">BD4581*M4581</f>
        <v>17545</v>
      </c>
      <c r="BG4581" s="35" t="n">
        <f aca="false">BA4581-BF4581</f>
        <v>0</v>
      </c>
      <c r="BH4581" s="19" t="str">
        <f aca="false">IF(BG4581=0,"",IF(BG4581&lt;&gt;BA4581,"erreur de calcul",IF(BD4581&lt;&gt;0,"pas de prix",IF(M4581&lt;&gt; 0,"pas de quantité","pas de prix, ni de quantité"))))</f>
        <v/>
      </c>
      <c r="BI4581" s="19"/>
    </row>
    <row r="4582" customFormat="false" ht="15" hidden="false" customHeight="false" outlineLevel="0" collapsed="false">
      <c r="A4582" s="0" t="n">
        <v>17</v>
      </c>
      <c r="B4582" s="8" t="s">
        <v>24</v>
      </c>
      <c r="C4582" s="9" t="s">
        <v>25</v>
      </c>
      <c r="D4582" s="9" t="s">
        <v>26</v>
      </c>
      <c r="E4582" s="10" t="n">
        <v>1789</v>
      </c>
      <c r="F4582" s="9" t="s">
        <v>27</v>
      </c>
      <c r="G4582" s="9" t="s">
        <v>27</v>
      </c>
      <c r="H4582" s="11" t="n">
        <v>18</v>
      </c>
      <c r="I4582" s="11" t="s">
        <v>87</v>
      </c>
      <c r="J4582" s="14" t="n">
        <v>6</v>
      </c>
      <c r="K4582" s="14"/>
      <c r="L4582" s="16"/>
      <c r="M4582" s="27" t="n">
        <f aca="false">J4582+(K4582/20)+(L4582/240)</f>
        <v>6</v>
      </c>
      <c r="N4582" s="17" t="s">
        <v>69</v>
      </c>
      <c r="O4582" s="11" t="s">
        <v>77</v>
      </c>
      <c r="P4582" s="28"/>
      <c r="Q4582" s="28" t="n">
        <f aca="false">P4582*$M4582</f>
        <v>0</v>
      </c>
      <c r="R4582" s="28" t="n">
        <v>63</v>
      </c>
      <c r="S4582" s="28" t="n">
        <v>378</v>
      </c>
      <c r="T4582" s="28" t="n">
        <v>2406</v>
      </c>
      <c r="U4582" s="28" t="n">
        <v>14436</v>
      </c>
      <c r="V4582" s="28" t="n">
        <v>222</v>
      </c>
      <c r="W4582" s="28" t="n">
        <v>1332</v>
      </c>
      <c r="X4582" s="29"/>
      <c r="Y4582" s="28" t="n">
        <f aca="false">X4582*$M4582</f>
        <v>0</v>
      </c>
      <c r="Z4582" s="28"/>
      <c r="AA4582" s="28" t="n">
        <f aca="false">Z4582*$M4582</f>
        <v>0</v>
      </c>
      <c r="AB4582" s="28"/>
      <c r="AC4582" s="28" t="n">
        <f aca="false">AB4582*$M4582</f>
        <v>0</v>
      </c>
      <c r="AD4582" s="28" t="n">
        <v>330</v>
      </c>
      <c r="AE4582" s="28" t="n">
        <v>1980</v>
      </c>
      <c r="AF4582" s="28"/>
      <c r="AG4582" s="28" t="n">
        <f aca="false">AF4582*$M4582</f>
        <v>0</v>
      </c>
      <c r="AH4582" s="28"/>
      <c r="AI4582" s="28" t="n">
        <f aca="false">AH4582*$M4582</f>
        <v>0</v>
      </c>
      <c r="AJ4582" s="28"/>
      <c r="AK4582" s="28" t="n">
        <f aca="false">AJ4582*$M4582</f>
        <v>0</v>
      </c>
      <c r="AL4582" s="28"/>
      <c r="AM4582" s="28" t="n">
        <f aca="false">AL4582*$M4582</f>
        <v>0</v>
      </c>
      <c r="AN4582" s="28"/>
      <c r="AO4582" s="28" t="n">
        <f aca="false">AN4582*$M4582</f>
        <v>0</v>
      </c>
      <c r="AP4582" s="28"/>
      <c r="AQ4582" s="28" t="n">
        <f aca="false">AP4582*$M4582</f>
        <v>0</v>
      </c>
      <c r="AR4582" s="28"/>
      <c r="AS4582" s="28" t="n">
        <f aca="false">AR4582*$M4582</f>
        <v>0</v>
      </c>
      <c r="AT4582" s="28"/>
      <c r="AU4582" s="28" t="n">
        <f aca="false">AT4582*$M4582</f>
        <v>0</v>
      </c>
      <c r="AV4582" s="28"/>
      <c r="AW4582" s="28" t="n">
        <f aca="false">AV4582*$M4582</f>
        <v>0</v>
      </c>
      <c r="AX4582" s="28"/>
      <c r="AY4582" s="28" t="n">
        <f aca="false">AX4582*$M4582</f>
        <v>0</v>
      </c>
      <c r="AZ4582" s="30" t="n">
        <v>3021</v>
      </c>
      <c r="BA4582" s="11" t="n">
        <v>18126</v>
      </c>
      <c r="BB4582" s="31" t="n">
        <f aca="false">SUM(Q4582,S4582,U4582,W4582,Y4582,AA4582,AC4582,AE4582,AG4582,AI4582,AK4582,AM4582,AO4582,AQ4582,AS4582,AU4582,AW4582,AY4582)</f>
        <v>18126</v>
      </c>
      <c r="BC4582" s="28" t="n">
        <f aca="false">BA4582-BB4582</f>
        <v>0</v>
      </c>
      <c r="BD4582" s="32" t="n">
        <f aca="false">SUM(P4582,R4582,T4582,V4582,X4582,Z4582,AB4582,AD4582,AF4582,AH4582,AJ4582,AL4582,AN4582,AP4582,AR4582,AT4582,AV4582,AX4582)</f>
        <v>3021</v>
      </c>
      <c r="BE4582" s="33" t="n">
        <f aca="false">AZ4582-BD4582</f>
        <v>0</v>
      </c>
      <c r="BF4582" s="34" t="n">
        <f aca="false">BD4582*M4582</f>
        <v>18126</v>
      </c>
      <c r="BG4582" s="35" t="n">
        <f aca="false">BA4582-BF4582</f>
        <v>0</v>
      </c>
      <c r="BH4582" s="19" t="str">
        <f aca="false">IF(BG4582=0,"",IF(BG4582&lt;&gt;BA4582,"erreur de calcul",IF(BD4582&lt;&gt;0,"pas de prix",IF(M4582&lt;&gt; 0,"pas de quantité","pas de prix, ni de quantité"))))</f>
        <v/>
      </c>
      <c r="BI4582" s="19"/>
    </row>
    <row r="4583" customFormat="false" ht="15" hidden="false" customHeight="false" outlineLevel="0" collapsed="false">
      <c r="A4583" s="0" t="n">
        <v>18</v>
      </c>
      <c r="B4583" s="8" t="s">
        <v>24</v>
      </c>
      <c r="C4583" s="9" t="s">
        <v>25</v>
      </c>
      <c r="D4583" s="9" t="s">
        <v>26</v>
      </c>
      <c r="E4583" s="10" t="n">
        <v>1789</v>
      </c>
      <c r="F4583" s="9" t="s">
        <v>27</v>
      </c>
      <c r="G4583" s="9" t="s">
        <v>27</v>
      </c>
      <c r="H4583" s="11" t="n">
        <v>18</v>
      </c>
      <c r="I4583" s="11" t="s">
        <v>88</v>
      </c>
      <c r="J4583" s="14" t="n">
        <v>26</v>
      </c>
      <c r="K4583" s="14"/>
      <c r="L4583" s="16"/>
      <c r="M4583" s="27" t="n">
        <f aca="false">J4583+(K4583/20)+(L4583/240)</f>
        <v>26</v>
      </c>
      <c r="N4583" s="17" t="s">
        <v>69</v>
      </c>
      <c r="O4583" s="11"/>
      <c r="P4583" s="28"/>
      <c r="Q4583" s="28" t="n">
        <f aca="false">P4583*$M4583</f>
        <v>0</v>
      </c>
      <c r="R4583" s="28"/>
      <c r="S4583" s="28" t="n">
        <f aca="false">R4583*$M4583</f>
        <v>0</v>
      </c>
      <c r="T4583" s="28"/>
      <c r="U4583" s="28" t="n">
        <f aca="false">T4583*$M4583</f>
        <v>0</v>
      </c>
      <c r="V4583" s="28"/>
      <c r="W4583" s="28" t="n">
        <f aca="false">V4583*$M4583</f>
        <v>0</v>
      </c>
      <c r="X4583" s="29"/>
      <c r="Y4583" s="28" t="n">
        <f aca="false">X4583*$M4583</f>
        <v>0</v>
      </c>
      <c r="Z4583" s="28"/>
      <c r="AA4583" s="28" t="n">
        <f aca="false">Z4583*$M4583</f>
        <v>0</v>
      </c>
      <c r="AB4583" s="28"/>
      <c r="AC4583" s="28" t="n">
        <f aca="false">AB4583*$M4583</f>
        <v>0</v>
      </c>
      <c r="AD4583" s="28"/>
      <c r="AE4583" s="28" t="n">
        <f aca="false">AD4583*$M4583</f>
        <v>0</v>
      </c>
      <c r="AF4583" s="28"/>
      <c r="AG4583" s="28" t="n">
        <f aca="false">AF4583*$M4583</f>
        <v>0</v>
      </c>
      <c r="AH4583" s="28"/>
      <c r="AI4583" s="28" t="n">
        <f aca="false">AH4583*$M4583</f>
        <v>0</v>
      </c>
      <c r="AJ4583" s="28"/>
      <c r="AK4583" s="28" t="n">
        <f aca="false">AJ4583*$M4583</f>
        <v>0</v>
      </c>
      <c r="AL4583" s="28" t="n">
        <v>150</v>
      </c>
      <c r="AM4583" s="28" t="n">
        <v>3900</v>
      </c>
      <c r="AN4583" s="28"/>
      <c r="AO4583" s="28" t="n">
        <f aca="false">AN4583*$M4583</f>
        <v>0</v>
      </c>
      <c r="AP4583" s="28" t="n">
        <v>4140</v>
      </c>
      <c r="AQ4583" s="28" t="n">
        <v>107640</v>
      </c>
      <c r="AR4583" s="28" t="n">
        <v>6957</v>
      </c>
      <c r="AS4583" s="28" t="n">
        <v>180882</v>
      </c>
      <c r="AT4583" s="28" t="n">
        <v>171</v>
      </c>
      <c r="AU4583" s="28" t="n">
        <v>4446</v>
      </c>
      <c r="AV4583" s="28" t="n">
        <v>838</v>
      </c>
      <c r="AW4583" s="28" t="n">
        <v>21788</v>
      </c>
      <c r="AX4583" s="28" t="n">
        <v>35</v>
      </c>
      <c r="AY4583" s="28" t="n">
        <v>910</v>
      </c>
      <c r="AZ4583" s="30" t="n">
        <v>12291</v>
      </c>
      <c r="BA4583" s="11" t="n">
        <v>319566</v>
      </c>
      <c r="BB4583" s="31" t="n">
        <f aca="false">SUM(Q4583,S4583,U4583,W4583,Y4583,AA4583,AC4583,AE4583,AG4583,AI4583,AK4583,AM4583,AO4583,AQ4583,AS4583,AU4583,AW4583,AY4583)</f>
        <v>319566</v>
      </c>
      <c r="BC4583" s="28" t="n">
        <f aca="false">BA4583-BB4583</f>
        <v>0</v>
      </c>
      <c r="BD4583" s="32" t="n">
        <f aca="false">SUM(P4583,R4583,T4583,V4583,X4583,Z4583,AB4583,AD4583,AF4583,AH4583,AJ4583,AL4583,AN4583,AP4583,AR4583,AT4583,AV4583,AX4583)</f>
        <v>12291</v>
      </c>
      <c r="BE4583" s="33" t="n">
        <f aca="false">AZ4583-BD4583</f>
        <v>0</v>
      </c>
      <c r="BF4583" s="34" t="n">
        <f aca="false">BD4583*M4583</f>
        <v>319566</v>
      </c>
      <c r="BG4583" s="35" t="n">
        <f aca="false">BA4583-BF4583</f>
        <v>0</v>
      </c>
      <c r="BH4583" s="19" t="str">
        <f aca="false">IF(BG4583=0,"",IF(BG4583&lt;&gt;BA4583,"erreur de calcul",IF(BD4583&lt;&gt;0,"pas de prix",IF(M4583&lt;&gt; 0,"pas de quantité","pas de prix, ni de quantité"))))</f>
        <v/>
      </c>
      <c r="BI4583" s="19"/>
    </row>
    <row r="4584" customFormat="false" ht="15" hidden="false" customHeight="false" outlineLevel="0" collapsed="false">
      <c r="A4584" s="0" t="n">
        <v>19</v>
      </c>
      <c r="B4584" s="8" t="s">
        <v>24</v>
      </c>
      <c r="C4584" s="9" t="s">
        <v>25</v>
      </c>
      <c r="D4584" s="9" t="s">
        <v>26</v>
      </c>
      <c r="E4584" s="10" t="n">
        <v>1789</v>
      </c>
      <c r="F4584" s="9" t="s">
        <v>27</v>
      </c>
      <c r="G4584" s="9" t="s">
        <v>27</v>
      </c>
      <c r="H4584" s="11" t="n">
        <v>18</v>
      </c>
      <c r="I4584" s="11" t="s">
        <v>89</v>
      </c>
      <c r="J4584" s="14" t="n">
        <v>7</v>
      </c>
      <c r="K4584" s="14"/>
      <c r="L4584" s="16"/>
      <c r="M4584" s="27" t="n">
        <f aca="false">J4584+(K4584/20)+(L4584/240)</f>
        <v>7</v>
      </c>
      <c r="N4584" s="17" t="s">
        <v>81</v>
      </c>
      <c r="O4584" s="11" t="s">
        <v>77</v>
      </c>
      <c r="P4584" s="28"/>
      <c r="Q4584" s="28" t="n">
        <f aca="false">P4584*$M4584</f>
        <v>0</v>
      </c>
      <c r="R4584" s="28"/>
      <c r="S4584" s="28" t="n">
        <f aca="false">R4584*$M4584</f>
        <v>0</v>
      </c>
      <c r="T4584" s="28"/>
      <c r="U4584" s="28" t="n">
        <f aca="false">T4584*$M4584</f>
        <v>0</v>
      </c>
      <c r="V4584" s="28"/>
      <c r="W4584" s="28" t="n">
        <f aca="false">V4584*$M4584</f>
        <v>0</v>
      </c>
      <c r="X4584" s="29"/>
      <c r="Y4584" s="28" t="n">
        <f aca="false">X4584*$M4584</f>
        <v>0</v>
      </c>
      <c r="Z4584" s="28"/>
      <c r="AA4584" s="28" t="n">
        <f aca="false">Z4584*$M4584</f>
        <v>0</v>
      </c>
      <c r="AB4584" s="28"/>
      <c r="AC4584" s="28" t="n">
        <f aca="false">AB4584*$M4584</f>
        <v>0</v>
      </c>
      <c r="AD4584" s="28"/>
      <c r="AE4584" s="28" t="n">
        <f aca="false">AD4584*$M4584</f>
        <v>0</v>
      </c>
      <c r="AF4584" s="28"/>
      <c r="AG4584" s="28" t="n">
        <f aca="false">AF4584*$M4584</f>
        <v>0</v>
      </c>
      <c r="AH4584" s="28"/>
      <c r="AI4584" s="28" t="n">
        <f aca="false">AH4584*$M4584</f>
        <v>0</v>
      </c>
      <c r="AJ4584" s="28"/>
      <c r="AK4584" s="28" t="n">
        <f aca="false">AJ4584*$M4584</f>
        <v>0</v>
      </c>
      <c r="AL4584" s="28"/>
      <c r="AM4584" s="28" t="n">
        <f aca="false">AL4584*$M4584</f>
        <v>0</v>
      </c>
      <c r="AN4584" s="28"/>
      <c r="AO4584" s="28" t="n">
        <f aca="false">AN4584*$M4584</f>
        <v>0</v>
      </c>
      <c r="AP4584" s="38" t="n">
        <v>1763</v>
      </c>
      <c r="AQ4584" s="28" t="n">
        <v>42312</v>
      </c>
      <c r="AR4584" s="28"/>
      <c r="AS4584" s="28" t="n">
        <f aca="false">AR4584*$M4584</f>
        <v>0</v>
      </c>
      <c r="AT4584" s="28"/>
      <c r="AU4584" s="28" t="n">
        <f aca="false">AT4584*$M4584</f>
        <v>0</v>
      </c>
      <c r="AV4584" s="38" t="n">
        <v>377</v>
      </c>
      <c r="AW4584" s="28" t="n">
        <v>9425</v>
      </c>
      <c r="AX4584" s="28"/>
      <c r="AY4584" s="28" t="n">
        <f aca="false">AX4584*$M4584</f>
        <v>0</v>
      </c>
      <c r="AZ4584" s="30" t="n">
        <v>2140</v>
      </c>
      <c r="BA4584" s="11" t="n">
        <v>51737</v>
      </c>
      <c r="BB4584" s="31" t="n">
        <f aca="false">SUM(Q4584,S4584,U4584,W4584,Y4584,AA4584,AC4584,AE4584,AG4584,AI4584,AK4584,AM4584,AO4584,AQ4584,AS4584,AU4584,AW4584,AY4584)</f>
        <v>51737</v>
      </c>
      <c r="BC4584" s="28" t="n">
        <f aca="false">BA4584-BB4584</f>
        <v>0</v>
      </c>
      <c r="BD4584" s="32" t="n">
        <f aca="false">SUM(P4584,R4584,T4584,V4584,X4584,Z4584,AB4584,AD4584,AF4584,AH4584,AJ4584,AL4584,AN4584,AP4584,AR4584,AT4584,AV4584,AX4584)</f>
        <v>2140</v>
      </c>
      <c r="BE4584" s="33" t="n">
        <f aca="false">AZ4584-BD4584</f>
        <v>0</v>
      </c>
      <c r="BF4584" s="34" t="n">
        <f aca="false">BD4584*M4584</f>
        <v>14980</v>
      </c>
      <c r="BG4584" s="35" t="n">
        <f aca="false">BA4584-BF4584</f>
        <v>36757</v>
      </c>
      <c r="BH4584" s="19" t="str">
        <f aca="false">IF(BG4584=0,"",IF(BG4584&lt;&gt;BA4584,"erreur de calcul",IF(BD4584&lt;&gt;0,"pas de prix",IF(M4584&lt;&gt; 0,"pas de quantité","pas de prix, ni de quantité"))))</f>
        <v>erreur de calcul</v>
      </c>
      <c r="BI4584" s="19" t="s">
        <v>90</v>
      </c>
    </row>
    <row r="4585" customFormat="false" ht="15" hidden="false" customHeight="false" outlineLevel="0" collapsed="false">
      <c r="A4585" s="0" t="n">
        <v>20</v>
      </c>
      <c r="B4585" s="8" t="s">
        <v>24</v>
      </c>
      <c r="C4585" s="9" t="s">
        <v>25</v>
      </c>
      <c r="D4585" s="9" t="s">
        <v>26</v>
      </c>
      <c r="E4585" s="10" t="n">
        <v>1789</v>
      </c>
      <c r="F4585" s="9" t="s">
        <v>27</v>
      </c>
      <c r="G4585" s="9" t="s">
        <v>27</v>
      </c>
      <c r="H4585" s="11" t="n">
        <v>18</v>
      </c>
      <c r="I4585" s="11" t="s">
        <v>91</v>
      </c>
      <c r="J4585" s="14" t="n">
        <v>30</v>
      </c>
      <c r="K4585" s="14"/>
      <c r="L4585" s="16"/>
      <c r="M4585" s="27" t="n">
        <f aca="false">J4585+(K4585/20)+(L4585/240)</f>
        <v>30</v>
      </c>
      <c r="N4585" s="17" t="s">
        <v>64</v>
      </c>
      <c r="O4585" s="11"/>
      <c r="P4585" s="28"/>
      <c r="Q4585" s="28" t="n">
        <f aca="false">P4585*$M4585</f>
        <v>0</v>
      </c>
      <c r="R4585" s="28"/>
      <c r="S4585" s="28" t="n">
        <f aca="false">R4585*$M4585</f>
        <v>0</v>
      </c>
      <c r="T4585" s="28"/>
      <c r="U4585" s="28" t="n">
        <f aca="false">T4585*$M4585</f>
        <v>0</v>
      </c>
      <c r="V4585" s="28" t="n">
        <f aca="false">12300/100</f>
        <v>123</v>
      </c>
      <c r="W4585" s="28" t="n">
        <v>3690</v>
      </c>
      <c r="X4585" s="29"/>
      <c r="Y4585" s="28" t="n">
        <f aca="false">X4585*$M4585</f>
        <v>0</v>
      </c>
      <c r="Z4585" s="28"/>
      <c r="AA4585" s="28" t="n">
        <f aca="false">Z4585*$M4585</f>
        <v>0</v>
      </c>
      <c r="AB4585" s="28" t="n">
        <f aca="false">16277/100</f>
        <v>162.77</v>
      </c>
      <c r="AC4585" s="28" t="n">
        <v>4883</v>
      </c>
      <c r="AD4585" s="28"/>
      <c r="AE4585" s="28" t="n">
        <f aca="false">AD4585*$M4585</f>
        <v>0</v>
      </c>
      <c r="AF4585" s="28"/>
      <c r="AG4585" s="28" t="n">
        <f aca="false">AF4585*$M4585</f>
        <v>0</v>
      </c>
      <c r="AH4585" s="28"/>
      <c r="AI4585" s="28" t="n">
        <f aca="false">AH4585*$M4585</f>
        <v>0</v>
      </c>
      <c r="AJ4585" s="28"/>
      <c r="AK4585" s="28" t="n">
        <f aca="false">AJ4585*$M4585</f>
        <v>0</v>
      </c>
      <c r="AL4585" s="28"/>
      <c r="AM4585" s="28" t="n">
        <f aca="false">AL4585*$M4585</f>
        <v>0</v>
      </c>
      <c r="AN4585" s="28"/>
      <c r="AO4585" s="28" t="n">
        <f aca="false">AN4585*$M4585</f>
        <v>0</v>
      </c>
      <c r="AP4585" s="28"/>
      <c r="AQ4585" s="28" t="n">
        <f aca="false">AP4585*$M4585</f>
        <v>0</v>
      </c>
      <c r="AR4585" s="28"/>
      <c r="AS4585" s="28" t="n">
        <f aca="false">AR4585*$M4585</f>
        <v>0</v>
      </c>
      <c r="AT4585" s="28"/>
      <c r="AU4585" s="28" t="n">
        <f aca="false">AT4585*$M4585</f>
        <v>0</v>
      </c>
      <c r="AV4585" s="28"/>
      <c r="AW4585" s="28" t="n">
        <f aca="false">AV4585*$M4585</f>
        <v>0</v>
      </c>
      <c r="AX4585" s="28"/>
      <c r="AY4585" s="28" t="n">
        <f aca="false">AX4585*$M4585</f>
        <v>0</v>
      </c>
      <c r="AZ4585" s="30" t="n">
        <f aca="false">28577/100</f>
        <v>285.77</v>
      </c>
      <c r="BA4585" s="11" t="n">
        <v>8573</v>
      </c>
      <c r="BB4585" s="31" t="n">
        <f aca="false">SUM(Q4585,S4585,U4585,W4585,Y4585,AA4585,AC4585,AE4585,AG4585,AI4585,AK4585,AM4585,AO4585,AQ4585,AS4585,AU4585,AW4585,AY4585)</f>
        <v>8573</v>
      </c>
      <c r="BC4585" s="28" t="n">
        <f aca="false">BA4585-BB4585</f>
        <v>0</v>
      </c>
      <c r="BD4585" s="32" t="n">
        <f aca="false">SUM(P4585,R4585,T4585,V4585,X4585,Z4585,AB4585,AD4585,AF4585,AH4585,AJ4585,AL4585,AN4585,AP4585,AR4585,AT4585,AV4585,AX4585)</f>
        <v>285.77</v>
      </c>
      <c r="BE4585" s="33" t="n">
        <f aca="false">AZ4585-BD4585</f>
        <v>0</v>
      </c>
      <c r="BF4585" s="34" t="n">
        <f aca="false">BD4585*M4585</f>
        <v>8573.1</v>
      </c>
      <c r="BG4585" s="35" t="n">
        <f aca="false">BA4585-BF4585</f>
        <v>-0.0999999999985448</v>
      </c>
      <c r="BH4585" s="19" t="str">
        <f aca="false">IF(BG4585=0,"",IF(BG4585&lt;&gt;BA4585,"erreur de calcul",IF(BD4585&lt;&gt;0,"pas de prix",IF(M4585&lt;&gt; 0,"pas de quantité","pas de prix, ni de quantité"))))</f>
        <v>erreur de calcul</v>
      </c>
      <c r="BI4585" s="19"/>
    </row>
    <row r="4586" customFormat="false" ht="15" hidden="false" customHeight="false" outlineLevel="0" collapsed="false">
      <c r="A4586" s="0" t="n">
        <v>21</v>
      </c>
      <c r="B4586" s="8" t="s">
        <v>24</v>
      </c>
      <c r="C4586" s="9" t="s">
        <v>25</v>
      </c>
      <c r="D4586" s="9" t="s">
        <v>26</v>
      </c>
      <c r="E4586" s="10" t="n">
        <v>1789</v>
      </c>
      <c r="F4586" s="9" t="s">
        <v>27</v>
      </c>
      <c r="G4586" s="9" t="s">
        <v>27</v>
      </c>
      <c r="H4586" s="11" t="n">
        <v>18</v>
      </c>
      <c r="I4586" s="11" t="s">
        <v>92</v>
      </c>
      <c r="J4586" s="14"/>
      <c r="K4586" s="14" t="n">
        <v>25</v>
      </c>
      <c r="L4586" s="16"/>
      <c r="M4586" s="27" t="n">
        <f aca="false">J4586+(K4586/20)+(L4586/240)</f>
        <v>1.25</v>
      </c>
      <c r="N4586" s="17" t="s">
        <v>81</v>
      </c>
      <c r="O4586" s="11"/>
      <c r="P4586" s="28"/>
      <c r="Q4586" s="28" t="n">
        <f aca="false">P4586*$M4586</f>
        <v>0</v>
      </c>
      <c r="R4586" s="28"/>
      <c r="S4586" s="28" t="n">
        <f aca="false">R4586*$M4586</f>
        <v>0</v>
      </c>
      <c r="T4586" s="28"/>
      <c r="U4586" s="28" t="n">
        <f aca="false">T4586*$M4586</f>
        <v>0</v>
      </c>
      <c r="V4586" s="28" t="n">
        <v>17192</v>
      </c>
      <c r="W4586" s="28" t="n">
        <v>21490</v>
      </c>
      <c r="X4586" s="29"/>
      <c r="Y4586" s="28" t="n">
        <f aca="false">X4586*$M4586</f>
        <v>0</v>
      </c>
      <c r="Z4586" s="28"/>
      <c r="AA4586" s="28" t="n">
        <f aca="false">Z4586*$M4586</f>
        <v>0</v>
      </c>
      <c r="AB4586" s="28"/>
      <c r="AC4586" s="28" t="n">
        <f aca="false">AB4586*$M4586</f>
        <v>0</v>
      </c>
      <c r="AD4586" s="28"/>
      <c r="AE4586" s="28" t="n">
        <f aca="false">AD4586*$M4586</f>
        <v>0</v>
      </c>
      <c r="AF4586" s="28"/>
      <c r="AG4586" s="28" t="n">
        <f aca="false">AF4586*$M4586</f>
        <v>0</v>
      </c>
      <c r="AH4586" s="28"/>
      <c r="AI4586" s="28" t="n">
        <f aca="false">AH4586*$M4586</f>
        <v>0</v>
      </c>
      <c r="AJ4586" s="28"/>
      <c r="AK4586" s="28" t="n">
        <f aca="false">AJ4586*$M4586</f>
        <v>0</v>
      </c>
      <c r="AL4586" s="28"/>
      <c r="AM4586" s="28" t="n">
        <f aca="false">AL4586*$M4586</f>
        <v>0</v>
      </c>
      <c r="AN4586" s="28"/>
      <c r="AO4586" s="28" t="n">
        <f aca="false">AN4586*$M4586</f>
        <v>0</v>
      </c>
      <c r="AP4586" s="28"/>
      <c r="AQ4586" s="28" t="n">
        <f aca="false">AP4586*$M4586</f>
        <v>0</v>
      </c>
      <c r="AR4586" s="28"/>
      <c r="AS4586" s="28" t="n">
        <f aca="false">AR4586*$M4586</f>
        <v>0</v>
      </c>
      <c r="AT4586" s="28"/>
      <c r="AU4586" s="28" t="n">
        <f aca="false">AT4586*$M4586</f>
        <v>0</v>
      </c>
      <c r="AV4586" s="28"/>
      <c r="AW4586" s="28" t="n">
        <f aca="false">AV4586*$M4586</f>
        <v>0</v>
      </c>
      <c r="AX4586" s="28"/>
      <c r="AY4586" s="28" t="n">
        <f aca="false">AX4586*$M4586</f>
        <v>0</v>
      </c>
      <c r="AZ4586" s="30" t="n">
        <v>17192</v>
      </c>
      <c r="BA4586" s="11" t="n">
        <v>21490</v>
      </c>
      <c r="BB4586" s="31" t="n">
        <f aca="false">SUM(Q4586,S4586,U4586,W4586,Y4586,AA4586,AC4586,AE4586,AG4586,AI4586,AK4586,AM4586,AO4586,AQ4586,AS4586,AU4586,AW4586,AY4586)</f>
        <v>21490</v>
      </c>
      <c r="BC4586" s="28" t="n">
        <f aca="false">BA4586-BB4586</f>
        <v>0</v>
      </c>
      <c r="BD4586" s="32" t="n">
        <f aca="false">SUM(P4586,R4586,T4586,V4586,X4586,Z4586,AB4586,AD4586,AF4586,AH4586,AJ4586,AL4586,AN4586,AP4586,AR4586,AT4586,AV4586,AX4586)</f>
        <v>17192</v>
      </c>
      <c r="BE4586" s="33" t="n">
        <f aca="false">AZ4586-BD4586</f>
        <v>0</v>
      </c>
      <c r="BF4586" s="34" t="n">
        <f aca="false">BD4586*M4586</f>
        <v>21490</v>
      </c>
      <c r="BG4586" s="35" t="n">
        <f aca="false">BA4586-BF4586</f>
        <v>0</v>
      </c>
      <c r="BH4586" s="19" t="str">
        <f aca="false">IF(BG4586=0,"",IF(BG4586&lt;&gt;BA4586,"erreur de calcul",IF(BD4586&lt;&gt;0,"pas de prix",IF(M4586&lt;&gt; 0,"pas de quantité","pas de prix, ni de quantité"))))</f>
        <v/>
      </c>
      <c r="BI4586" s="19"/>
    </row>
    <row r="4587" customFormat="false" ht="15" hidden="false" customHeight="false" outlineLevel="0" collapsed="false">
      <c r="A4587" s="0" t="n">
        <v>22</v>
      </c>
      <c r="B4587" s="8" t="s">
        <v>24</v>
      </c>
      <c r="C4587" s="9" t="s">
        <v>25</v>
      </c>
      <c r="D4587" s="9" t="s">
        <v>26</v>
      </c>
      <c r="E4587" s="10" t="n">
        <v>1789</v>
      </c>
      <c r="F4587" s="9" t="s">
        <v>27</v>
      </c>
      <c r="G4587" s="9" t="s">
        <v>27</v>
      </c>
      <c r="H4587" s="11" t="n">
        <v>18</v>
      </c>
      <c r="I4587" s="11" t="s">
        <v>93</v>
      </c>
      <c r="J4587" s="14" t="n">
        <v>4</v>
      </c>
      <c r="K4587" s="14"/>
      <c r="L4587" s="16"/>
      <c r="M4587" s="27" t="n">
        <f aca="false">J4587+(K4587/20)+(L4587/240)</f>
        <v>4</v>
      </c>
      <c r="N4587" s="17" t="s">
        <v>94</v>
      </c>
      <c r="O4587" s="11"/>
      <c r="P4587" s="28"/>
      <c r="Q4587" s="28" t="n">
        <f aca="false">P4587*$M4587</f>
        <v>0</v>
      </c>
      <c r="R4587" s="28"/>
      <c r="S4587" s="28" t="n">
        <f aca="false">R4587*$M4587</f>
        <v>0</v>
      </c>
      <c r="T4587" s="28"/>
      <c r="U4587" s="28" t="n">
        <f aca="false">T4587*$M4587</f>
        <v>0</v>
      </c>
      <c r="V4587" s="28"/>
      <c r="W4587" s="28" t="n">
        <f aca="false">V4587*$M4587</f>
        <v>0</v>
      </c>
      <c r="X4587" s="29"/>
      <c r="Y4587" s="28" t="n">
        <f aca="false">X4587*$M4587</f>
        <v>0</v>
      </c>
      <c r="Z4587" s="28"/>
      <c r="AA4587" s="28" t="n">
        <f aca="false">Z4587*$M4587</f>
        <v>0</v>
      </c>
      <c r="AB4587" s="28"/>
      <c r="AC4587" s="28" t="n">
        <f aca="false">AB4587*$M4587</f>
        <v>0</v>
      </c>
      <c r="AD4587" s="28" t="n">
        <v>900</v>
      </c>
      <c r="AE4587" s="28" t="n">
        <v>3600</v>
      </c>
      <c r="AF4587" s="28"/>
      <c r="AG4587" s="28" t="n">
        <f aca="false">AF4587*$M4587</f>
        <v>0</v>
      </c>
      <c r="AH4587" s="28"/>
      <c r="AI4587" s="28" t="n">
        <f aca="false">AH4587*$M4587</f>
        <v>0</v>
      </c>
      <c r="AJ4587" s="28"/>
      <c r="AK4587" s="28" t="n">
        <f aca="false">AJ4587*$M4587</f>
        <v>0</v>
      </c>
      <c r="AL4587" s="28"/>
      <c r="AM4587" s="28" t="n">
        <f aca="false">AL4587*$M4587</f>
        <v>0</v>
      </c>
      <c r="AN4587" s="28"/>
      <c r="AO4587" s="28" t="n">
        <f aca="false">AN4587*$M4587</f>
        <v>0</v>
      </c>
      <c r="AP4587" s="28" t="n">
        <v>36</v>
      </c>
      <c r="AQ4587" s="28" t="n">
        <v>144</v>
      </c>
      <c r="AR4587" s="28"/>
      <c r="AS4587" s="28" t="n">
        <f aca="false">AR4587*$M4587</f>
        <v>0</v>
      </c>
      <c r="AT4587" s="28"/>
      <c r="AU4587" s="28" t="n">
        <f aca="false">AT4587*$M4587</f>
        <v>0</v>
      </c>
      <c r="AV4587" s="28"/>
      <c r="AW4587" s="28" t="n">
        <f aca="false">AV4587*$M4587</f>
        <v>0</v>
      </c>
      <c r="AX4587" s="28"/>
      <c r="AY4587" s="28" t="n">
        <f aca="false">AX4587*$M4587</f>
        <v>0</v>
      </c>
      <c r="AZ4587" s="30" t="n">
        <v>936</v>
      </c>
      <c r="BA4587" s="11" t="n">
        <v>3744</v>
      </c>
      <c r="BB4587" s="31" t="n">
        <f aca="false">SUM(Q4587,S4587,U4587,W4587,Y4587,AA4587,AC4587,AE4587,AG4587,AI4587,AK4587,AM4587,AO4587,AQ4587,AS4587,AU4587,AW4587,AY4587)</f>
        <v>3744</v>
      </c>
      <c r="BC4587" s="28" t="n">
        <f aca="false">BA4587-BB4587</f>
        <v>0</v>
      </c>
      <c r="BD4587" s="32" t="n">
        <f aca="false">SUM(P4587,R4587,T4587,V4587,X4587,Z4587,AB4587,AD4587,AF4587,AH4587,AJ4587,AL4587,AN4587,AP4587,AR4587,AT4587,AV4587,AX4587)</f>
        <v>936</v>
      </c>
      <c r="BE4587" s="33" t="n">
        <f aca="false">AZ4587-BD4587</f>
        <v>0</v>
      </c>
      <c r="BF4587" s="34" t="n">
        <f aca="false">BD4587*M4587</f>
        <v>3744</v>
      </c>
      <c r="BG4587" s="35" t="n">
        <f aca="false">BA4587-BF4587</f>
        <v>0</v>
      </c>
      <c r="BH4587" s="19" t="str">
        <f aca="false">IF(BG4587=0,"",IF(BG4587&lt;&gt;BA4587,"erreur de calcul",IF(BD4587&lt;&gt;0,"pas de prix",IF(M4587&lt;&gt; 0,"pas de quantité","pas de prix, ni de quantité"))))</f>
        <v/>
      </c>
      <c r="BI4587" s="19"/>
    </row>
    <row r="4588" customFormat="false" ht="15" hidden="false" customHeight="false" outlineLevel="0" collapsed="false">
      <c r="A4588" s="0" t="n">
        <v>23</v>
      </c>
      <c r="B4588" s="8" t="s">
        <v>24</v>
      </c>
      <c r="C4588" s="9" t="s">
        <v>25</v>
      </c>
      <c r="D4588" s="9" t="s">
        <v>26</v>
      </c>
      <c r="E4588" s="10" t="n">
        <v>1789</v>
      </c>
      <c r="F4588" s="9" t="s">
        <v>27</v>
      </c>
      <c r="G4588" s="9" t="s">
        <v>27</v>
      </c>
      <c r="H4588" s="11" t="n">
        <v>18</v>
      </c>
      <c r="I4588" s="11" t="s">
        <v>95</v>
      </c>
      <c r="J4588" s="14" t="n">
        <v>40</v>
      </c>
      <c r="K4588" s="14"/>
      <c r="L4588" s="16"/>
      <c r="M4588" s="27" t="n">
        <f aca="false">J4588+(K4588/20)+(L4588/240)</f>
        <v>40</v>
      </c>
      <c r="N4588" s="17" t="s">
        <v>64</v>
      </c>
      <c r="O4588" s="11"/>
      <c r="P4588" s="28" t="n">
        <f aca="false">16000/100</f>
        <v>160</v>
      </c>
      <c r="Q4588" s="28" t="n">
        <v>6400</v>
      </c>
      <c r="R4588" s="28"/>
      <c r="S4588" s="28" t="n">
        <f aca="false">R4588*$M4588</f>
        <v>0</v>
      </c>
      <c r="T4588" s="28"/>
      <c r="U4588" s="28" t="n">
        <f aca="false">T4588*$M4588</f>
        <v>0</v>
      </c>
      <c r="V4588" s="28"/>
      <c r="W4588" s="28" t="n">
        <f aca="false">V4588*$M4588</f>
        <v>0</v>
      </c>
      <c r="X4588" s="29"/>
      <c r="Y4588" s="28" t="n">
        <f aca="false">X4588*$M4588</f>
        <v>0</v>
      </c>
      <c r="Z4588" s="28"/>
      <c r="AA4588" s="28" t="n">
        <f aca="false">Z4588*$M4588</f>
        <v>0</v>
      </c>
      <c r="AB4588" s="28"/>
      <c r="AC4588" s="28" t="n">
        <f aca="false">AB4588*$M4588</f>
        <v>0</v>
      </c>
      <c r="AD4588" s="28"/>
      <c r="AE4588" s="28" t="n">
        <f aca="false">AD4588*$M4588</f>
        <v>0</v>
      </c>
      <c r="AF4588" s="28"/>
      <c r="AG4588" s="28" t="n">
        <f aca="false">AF4588*$M4588</f>
        <v>0</v>
      </c>
      <c r="AH4588" s="28"/>
      <c r="AI4588" s="28" t="n">
        <f aca="false">AH4588*$M4588</f>
        <v>0</v>
      </c>
      <c r="AJ4588" s="28"/>
      <c r="AK4588" s="28" t="n">
        <f aca="false">AJ4588*$M4588</f>
        <v>0</v>
      </c>
      <c r="AL4588" s="28"/>
      <c r="AM4588" s="28" t="n">
        <f aca="false">AL4588*$M4588</f>
        <v>0</v>
      </c>
      <c r="AN4588" s="28"/>
      <c r="AO4588" s="28" t="n">
        <f aca="false">AN4588*$M4588</f>
        <v>0</v>
      </c>
      <c r="AP4588" s="28"/>
      <c r="AQ4588" s="28" t="n">
        <f aca="false">AP4588*$M4588</f>
        <v>0</v>
      </c>
      <c r="AR4588" s="28"/>
      <c r="AS4588" s="28" t="n">
        <f aca="false">AR4588*$M4588</f>
        <v>0</v>
      </c>
      <c r="AT4588" s="28"/>
      <c r="AU4588" s="28" t="n">
        <f aca="false">AT4588*$M4588</f>
        <v>0</v>
      </c>
      <c r="AV4588" s="28"/>
      <c r="AW4588" s="28" t="n">
        <f aca="false">AV4588*$M4588</f>
        <v>0</v>
      </c>
      <c r="AX4588" s="28"/>
      <c r="AY4588" s="28" t="n">
        <f aca="false">AX4588*$M4588</f>
        <v>0</v>
      </c>
      <c r="AZ4588" s="30" t="n">
        <f aca="false">16000/100</f>
        <v>160</v>
      </c>
      <c r="BA4588" s="11" t="n">
        <v>6400</v>
      </c>
      <c r="BB4588" s="31" t="n">
        <f aca="false">SUM(Q4588,S4588,U4588,W4588,Y4588,AA4588,AC4588,AE4588,AG4588,AI4588,AK4588,AM4588,AO4588,AQ4588,AS4588,AU4588,AW4588,AY4588)</f>
        <v>6400</v>
      </c>
      <c r="BC4588" s="28" t="n">
        <f aca="false">BA4588-BB4588</f>
        <v>0</v>
      </c>
      <c r="BD4588" s="32" t="n">
        <f aca="false">SUM(P4588,R4588,T4588,V4588,X4588,Z4588,AB4588,AD4588,AF4588,AH4588,AJ4588,AL4588,AN4588,AP4588,AR4588,AT4588,AV4588,AX4588)</f>
        <v>160</v>
      </c>
      <c r="BE4588" s="33" t="n">
        <f aca="false">AZ4588-BD4588</f>
        <v>0</v>
      </c>
      <c r="BF4588" s="34" t="n">
        <f aca="false">BD4588*M4588</f>
        <v>6400</v>
      </c>
      <c r="BG4588" s="35" t="n">
        <f aca="false">BA4588-BF4588</f>
        <v>0</v>
      </c>
      <c r="BH4588" s="19" t="str">
        <f aca="false">IF(BG4588=0,"",IF(BG4588&lt;&gt;BA4588,"erreur de calcul",IF(BD4588&lt;&gt;0,"pas de prix",IF(M4588&lt;&gt; 0,"pas de quantité","pas de prix, ni de quantité"))))</f>
        <v/>
      </c>
      <c r="BI4588" s="19"/>
    </row>
    <row r="4589" customFormat="false" ht="15" hidden="false" customHeight="false" outlineLevel="0" collapsed="false">
      <c r="A4589" s="0" t="n">
        <v>24</v>
      </c>
      <c r="B4589" s="8" t="s">
        <v>24</v>
      </c>
      <c r="C4589" s="9" t="s">
        <v>25</v>
      </c>
      <c r="D4589" s="9" t="s">
        <v>26</v>
      </c>
      <c r="E4589" s="10" t="n">
        <v>1789</v>
      </c>
      <c r="F4589" s="9" t="s">
        <v>27</v>
      </c>
      <c r="G4589" s="9" t="s">
        <v>27</v>
      </c>
      <c r="H4589" s="11" t="n">
        <v>18</v>
      </c>
      <c r="I4589" s="11" t="s">
        <v>96</v>
      </c>
      <c r="J4589" s="14" t="n">
        <v>25</v>
      </c>
      <c r="K4589" s="14"/>
      <c r="L4589" s="16"/>
      <c r="M4589" s="27" t="n">
        <f aca="false">J4589+(K4589/20)+(L4589/240)</f>
        <v>25</v>
      </c>
      <c r="N4589" s="17" t="s">
        <v>64</v>
      </c>
      <c r="O4589" s="11"/>
      <c r="P4589" s="28" t="n">
        <f aca="false">968306/100</f>
        <v>9683.06</v>
      </c>
      <c r="Q4589" s="28" t="n">
        <v>242076</v>
      </c>
      <c r="R4589" s="28"/>
      <c r="S4589" s="28" t="n">
        <f aca="false">R4589*$M4589</f>
        <v>0</v>
      </c>
      <c r="T4589" s="28"/>
      <c r="U4589" s="28" t="n">
        <f aca="false">T4589*$M4589</f>
        <v>0</v>
      </c>
      <c r="V4589" s="28" t="n">
        <f aca="false">39234/100</f>
        <v>392.34</v>
      </c>
      <c r="W4589" s="28" t="n">
        <v>9808</v>
      </c>
      <c r="X4589" s="29"/>
      <c r="Y4589" s="28" t="n">
        <v>3410</v>
      </c>
      <c r="Z4589" s="28"/>
      <c r="AA4589" s="28" t="n">
        <f aca="false">Z4589*$M4589</f>
        <v>0</v>
      </c>
      <c r="AB4589" s="28"/>
      <c r="AC4589" s="28" t="n">
        <f aca="false">AB4589*$M4589</f>
        <v>0</v>
      </c>
      <c r="AD4589" s="28"/>
      <c r="AE4589" s="28" t="n">
        <f aca="false">AD4589*$M4589</f>
        <v>0</v>
      </c>
      <c r="AF4589" s="28"/>
      <c r="AG4589" s="28" t="n">
        <f aca="false">AF4589*$M4589</f>
        <v>0</v>
      </c>
      <c r="AH4589" s="28"/>
      <c r="AI4589" s="28" t="n">
        <f aca="false">AH4589*$M4589</f>
        <v>0</v>
      </c>
      <c r="AJ4589" s="28" t="n">
        <f aca="false">2665/100</f>
        <v>26.65</v>
      </c>
      <c r="AK4589" s="28" t="n">
        <v>666</v>
      </c>
      <c r="AL4589" s="28"/>
      <c r="AM4589" s="28" t="n">
        <f aca="false">AL4589*$M4589</f>
        <v>0</v>
      </c>
      <c r="AN4589" s="28"/>
      <c r="AO4589" s="28" t="n">
        <f aca="false">AN4589*$M4589</f>
        <v>0</v>
      </c>
      <c r="AP4589" s="28"/>
      <c r="AQ4589" s="28" t="n">
        <f aca="false">AP4589*$M4589</f>
        <v>0</v>
      </c>
      <c r="AR4589" s="28"/>
      <c r="AS4589" s="28" t="n">
        <f aca="false">AR4589*$M4589</f>
        <v>0</v>
      </c>
      <c r="AT4589" s="28"/>
      <c r="AU4589" s="28" t="n">
        <f aca="false">AT4589*$M4589</f>
        <v>0</v>
      </c>
      <c r="AV4589" s="28"/>
      <c r="AW4589" s="28" t="n">
        <f aca="false">AV4589*$M4589</f>
        <v>0</v>
      </c>
      <c r="AX4589" s="28" t="n">
        <f aca="false">118115/100</f>
        <v>1181.15</v>
      </c>
      <c r="AY4589" s="28" t="n">
        <v>29529</v>
      </c>
      <c r="AZ4589" s="30" t="n">
        <f aca="false">1141960/100</f>
        <v>11419.6</v>
      </c>
      <c r="BA4589" s="11" t="n">
        <v>285489</v>
      </c>
      <c r="BB4589" s="31" t="n">
        <f aca="false">SUM(Q4589,S4589,U4589,W4589,Y4589,AA4589,AC4589,AE4589,AG4589,AI4589,AK4589,AM4589,AO4589,AQ4589,AS4589,AU4589,AW4589,AY4589)</f>
        <v>285489</v>
      </c>
      <c r="BC4589" s="28" t="n">
        <f aca="false">BA4589-BB4589</f>
        <v>0</v>
      </c>
      <c r="BD4589" s="32" t="n">
        <f aca="false">SUM(P4589,R4589,T4589,V4589,X4589,Z4589,AB4589,AD4589,AF4589,AH4589,AJ4589,AL4589,AN4589,AP4589,AR4589,AT4589,AV4589,AX4589)</f>
        <v>11283.2</v>
      </c>
      <c r="BE4589" s="33" t="n">
        <f aca="false">AZ4589-BD4589</f>
        <v>136.400000000001</v>
      </c>
      <c r="BF4589" s="34" t="n">
        <f aca="false">BD4589*M4589</f>
        <v>282080</v>
      </c>
      <c r="BG4589" s="35" t="n">
        <f aca="false">BA4589-BF4589</f>
        <v>3409</v>
      </c>
      <c r="BH4589" s="19" t="str">
        <f aca="false">IF(BG4589=0,"",IF(BG4589&lt;&gt;BA4589,"erreur de calcul",IF(BD4589&lt;&gt;0,"pas de prix",IF(M4589&lt;&gt; 0,"pas de quantité","pas de prix, ni de quantité"))))</f>
        <v>erreur de calcul</v>
      </c>
      <c r="BI4589" s="19"/>
    </row>
    <row r="4590" customFormat="false" ht="15" hidden="false" customHeight="false" outlineLevel="0" collapsed="false">
      <c r="A4590" s="0" t="n">
        <v>25</v>
      </c>
      <c r="B4590" s="8" t="s">
        <v>24</v>
      </c>
      <c r="C4590" s="9" t="s">
        <v>25</v>
      </c>
      <c r="D4590" s="9" t="s">
        <v>26</v>
      </c>
      <c r="E4590" s="10" t="n">
        <v>1789</v>
      </c>
      <c r="F4590" s="9" t="s">
        <v>27</v>
      </c>
      <c r="G4590" s="9" t="s">
        <v>27</v>
      </c>
      <c r="H4590" s="11" t="n">
        <v>18</v>
      </c>
      <c r="I4590" s="11" t="s">
        <v>97</v>
      </c>
      <c r="J4590" s="14" t="n">
        <v>30</v>
      </c>
      <c r="K4590" s="14"/>
      <c r="L4590" s="16"/>
      <c r="M4590" s="27" t="n">
        <f aca="false">J4590+(K4590/20)+(L4590/240)</f>
        <v>30</v>
      </c>
      <c r="N4590" s="17" t="s">
        <v>64</v>
      </c>
      <c r="O4590" s="11" t="s">
        <v>98</v>
      </c>
      <c r="P4590" s="28"/>
      <c r="Q4590" s="28" t="n">
        <f aca="false">P4590*$M4590</f>
        <v>0</v>
      </c>
      <c r="R4590" s="28"/>
      <c r="S4590" s="28" t="n">
        <f aca="false">R4590*$M4590</f>
        <v>0</v>
      </c>
      <c r="T4590" s="28"/>
      <c r="U4590" s="28" t="n">
        <f aca="false">T4590*$M4590</f>
        <v>0</v>
      </c>
      <c r="V4590" s="28"/>
      <c r="W4590" s="28" t="n">
        <f aca="false">V4590*$M4590</f>
        <v>0</v>
      </c>
      <c r="X4590" s="29"/>
      <c r="Y4590" s="28" t="n">
        <f aca="false">X4590*$M4590</f>
        <v>0</v>
      </c>
      <c r="Z4590" s="28"/>
      <c r="AA4590" s="28" t="n">
        <f aca="false">Z4590*$M4590</f>
        <v>0</v>
      </c>
      <c r="AB4590" s="28"/>
      <c r="AC4590" s="28" t="n">
        <f aca="false">AB4590*$M4590</f>
        <v>0</v>
      </c>
      <c r="AD4590" s="28"/>
      <c r="AE4590" s="28" t="n">
        <f aca="false">AD4590*$M4590</f>
        <v>0</v>
      </c>
      <c r="AF4590" s="28"/>
      <c r="AG4590" s="28" t="n">
        <f aca="false">AF4590*$M4590</f>
        <v>0</v>
      </c>
      <c r="AH4590" s="28"/>
      <c r="AI4590" s="28" t="n">
        <f aca="false">AH4590*$M4590</f>
        <v>0</v>
      </c>
      <c r="AJ4590" s="28"/>
      <c r="AK4590" s="28" t="n">
        <f aca="false">AJ4590*$M4590</f>
        <v>0</v>
      </c>
      <c r="AL4590" s="28"/>
      <c r="AM4590" s="28" t="n">
        <f aca="false">AL4590*$M4590</f>
        <v>0</v>
      </c>
      <c r="AN4590" s="28"/>
      <c r="AO4590" s="28" t="n">
        <f aca="false">AN4590*$M4590</f>
        <v>0</v>
      </c>
      <c r="AP4590" s="28"/>
      <c r="AQ4590" s="28" t="n">
        <f aca="false">AP4590*$M4590</f>
        <v>0</v>
      </c>
      <c r="AR4590" s="28"/>
      <c r="AS4590" s="28" t="n">
        <f aca="false">AR4590*$M4590</f>
        <v>0</v>
      </c>
      <c r="AT4590" s="28"/>
      <c r="AU4590" s="28" t="n">
        <f aca="false">AT4590*$M4590</f>
        <v>0</v>
      </c>
      <c r="AV4590" s="28"/>
      <c r="AW4590" s="28" t="n">
        <f aca="false">AV4590*$M4590</f>
        <v>0</v>
      </c>
      <c r="AX4590" s="28"/>
      <c r="AY4590" s="28" t="n">
        <f aca="false">AX4590*$M4590</f>
        <v>0</v>
      </c>
      <c r="AZ4590" s="30"/>
      <c r="BA4590" s="11"/>
      <c r="BB4590" s="31" t="n">
        <f aca="false">SUM(Q4590,S4590,U4590,W4590,Y4590,AA4590,AC4590,AE4590,AG4590,AI4590,AK4590,AM4590,AO4590,AQ4590,AS4590,AU4590,AW4590,AY4590)</f>
        <v>0</v>
      </c>
      <c r="BC4590" s="28" t="n">
        <f aca="false">BA4590-BB4590</f>
        <v>0</v>
      </c>
      <c r="BD4590" s="32" t="n">
        <f aca="false">SUM(P4590,R4590,T4590,V4590,X4590,Z4590,AB4590,AD4590,AF4590,AH4590,AJ4590,AL4590,AN4590,AP4590,AR4590,AT4590,AV4590,AX4590)</f>
        <v>0</v>
      </c>
      <c r="BE4590" s="33" t="n">
        <f aca="false">AZ4590-BD4590</f>
        <v>0</v>
      </c>
      <c r="BF4590" s="34" t="n">
        <f aca="false">BD4590*M4590</f>
        <v>0</v>
      </c>
      <c r="BG4590" s="35" t="n">
        <f aca="false">BA4590-BF4590</f>
        <v>0</v>
      </c>
      <c r="BH4590" s="19" t="str">
        <f aca="false">IF(BG4590=0,"",IF(BG4590&lt;&gt;BA4590,"erreur de calcul",IF(BD4590&lt;&gt;0,"pas de prix",IF(M4590&lt;&gt; 0,"pas de quantité","pas de prix, ni de quantité"))))</f>
        <v/>
      </c>
      <c r="BI4590" s="19"/>
    </row>
    <row r="4591" customFormat="false" ht="15" hidden="false" customHeight="false" outlineLevel="0" collapsed="false">
      <c r="A4591" s="0" t="n">
        <v>26</v>
      </c>
      <c r="B4591" s="8" t="s">
        <v>24</v>
      </c>
      <c r="C4591" s="9" t="s">
        <v>25</v>
      </c>
      <c r="D4591" s="9" t="s">
        <v>26</v>
      </c>
      <c r="E4591" s="10" t="n">
        <v>1789</v>
      </c>
      <c r="F4591" s="9" t="s">
        <v>27</v>
      </c>
      <c r="G4591" s="9" t="s">
        <v>27</v>
      </c>
      <c r="H4591" s="11" t="n">
        <v>18</v>
      </c>
      <c r="I4591" s="11" t="s">
        <v>99</v>
      </c>
      <c r="J4591" s="14" t="n">
        <v>12</v>
      </c>
      <c r="K4591" s="14"/>
      <c r="L4591" s="16"/>
      <c r="M4591" s="27" t="n">
        <f aca="false">J4591+(K4591/20)+(L4591/240)</f>
        <v>12</v>
      </c>
      <c r="N4591" s="17" t="s">
        <v>64</v>
      </c>
      <c r="O4591" s="11"/>
      <c r="P4591" s="28" t="n">
        <f aca="false">7077/100</f>
        <v>70.77</v>
      </c>
      <c r="Q4591" s="28" t="n">
        <v>849</v>
      </c>
      <c r="R4591" s="28"/>
      <c r="S4591" s="28" t="n">
        <f aca="false">R4591*$M4591</f>
        <v>0</v>
      </c>
      <c r="T4591" s="28"/>
      <c r="U4591" s="28" t="n">
        <f aca="false">T4591*$M4591</f>
        <v>0</v>
      </c>
      <c r="V4591" s="28"/>
      <c r="W4591" s="28" t="n">
        <f aca="false">V4591*$M4591</f>
        <v>0</v>
      </c>
      <c r="X4591" s="29"/>
      <c r="Y4591" s="28" t="n">
        <v>866</v>
      </c>
      <c r="Z4591" s="28"/>
      <c r="AA4591" s="28" t="n">
        <f aca="false">Z4591*$M4591</f>
        <v>0</v>
      </c>
      <c r="AB4591" s="28"/>
      <c r="AC4591" s="28" t="n">
        <f aca="false">AB4591*$M4591</f>
        <v>0</v>
      </c>
      <c r="AD4591" s="28"/>
      <c r="AE4591" s="28" t="n">
        <f aca="false">AD4591*$M4591</f>
        <v>0</v>
      </c>
      <c r="AF4591" s="28"/>
      <c r="AG4591" s="28" t="n">
        <f aca="false">AF4591*$M4591</f>
        <v>0</v>
      </c>
      <c r="AH4591" s="28"/>
      <c r="AI4591" s="28" t="n">
        <f aca="false">AH4591*$M4591</f>
        <v>0</v>
      </c>
      <c r="AJ4591" s="28"/>
      <c r="AK4591" s="28" t="n">
        <f aca="false">AJ4591*$M4591</f>
        <v>0</v>
      </c>
      <c r="AL4591" s="28"/>
      <c r="AM4591" s="28" t="n">
        <f aca="false">AL4591*$M4591</f>
        <v>0</v>
      </c>
      <c r="AN4591" s="28"/>
      <c r="AO4591" s="28" t="n">
        <f aca="false">AN4591*$M4591</f>
        <v>0</v>
      </c>
      <c r="AP4591" s="28"/>
      <c r="AQ4591" s="28" t="n">
        <f aca="false">AP4591*$M4591</f>
        <v>0</v>
      </c>
      <c r="AR4591" s="28"/>
      <c r="AS4591" s="28" t="n">
        <f aca="false">AR4591*$M4591</f>
        <v>0</v>
      </c>
      <c r="AT4591" s="28"/>
      <c r="AU4591" s="28" t="n">
        <f aca="false">AT4591*$M4591</f>
        <v>0</v>
      </c>
      <c r="AV4591" s="28"/>
      <c r="AW4591" s="28" t="n">
        <f aca="false">AV4591*$M4591</f>
        <v>0</v>
      </c>
      <c r="AX4591" s="28"/>
      <c r="AY4591" s="28" t="n">
        <f aca="false">AX4591*$M4591</f>
        <v>0</v>
      </c>
      <c r="AZ4591" s="30" t="n">
        <f aca="false">14294/100</f>
        <v>142.94</v>
      </c>
      <c r="BA4591" s="11" t="n">
        <v>1715</v>
      </c>
      <c r="BB4591" s="31" t="n">
        <f aca="false">SUM(Q4591,S4591,U4591,W4591,Y4591,AA4591,AC4591,AE4591,AG4591,AI4591,AK4591,AM4591,AO4591,AQ4591,AS4591,AU4591,AW4591,AY4591)</f>
        <v>1715</v>
      </c>
      <c r="BC4591" s="28" t="n">
        <f aca="false">BA4591-BB4591</f>
        <v>0</v>
      </c>
      <c r="BD4591" s="32" t="n">
        <f aca="false">SUM(P4591,R4591,T4591,V4591,X4591,Z4591,AB4591,AD4591,AF4591,AH4591,AJ4591,AL4591,AN4591,AP4591,AR4591,AT4591,AV4591,AX4591)</f>
        <v>70.77</v>
      </c>
      <c r="BE4591" s="33" t="n">
        <f aca="false">AZ4591-BD4591</f>
        <v>72.17</v>
      </c>
      <c r="BF4591" s="34" t="n">
        <f aca="false">BD4591*M4591</f>
        <v>849.24</v>
      </c>
      <c r="BG4591" s="35" t="n">
        <f aca="false">BA4591-BF4591</f>
        <v>865.76</v>
      </c>
      <c r="BH4591" s="19" t="str">
        <f aca="false">IF(BG4591=0,"",IF(BG4591&lt;&gt;BA4591,"erreur de calcul",IF(BD4591&lt;&gt;0,"pas de prix",IF(M4591&lt;&gt; 0,"pas de quantité","pas de prix, ni de quantité"))))</f>
        <v>erreur de calcul</v>
      </c>
      <c r="BI4591" s="19"/>
    </row>
    <row r="4592" customFormat="false" ht="15" hidden="false" customHeight="false" outlineLevel="0" collapsed="false">
      <c r="A4592" s="0" t="n">
        <v>27</v>
      </c>
      <c r="B4592" s="8" t="s">
        <v>24</v>
      </c>
      <c r="C4592" s="9" t="s">
        <v>25</v>
      </c>
      <c r="D4592" s="9" t="s">
        <v>26</v>
      </c>
      <c r="E4592" s="10" t="n">
        <v>1789</v>
      </c>
      <c r="F4592" s="9" t="s">
        <v>27</v>
      </c>
      <c r="G4592" s="9" t="s">
        <v>27</v>
      </c>
      <c r="H4592" s="11" t="n">
        <v>18</v>
      </c>
      <c r="I4592" s="11" t="s">
        <v>100</v>
      </c>
      <c r="J4592" s="14" t="n">
        <v>13</v>
      </c>
      <c r="K4592" s="14"/>
      <c r="L4592" s="16"/>
      <c r="M4592" s="27" t="n">
        <f aca="false">J4592+(K4592/20)+(L4592/240)</f>
        <v>13</v>
      </c>
      <c r="N4592" s="17" t="s">
        <v>64</v>
      </c>
      <c r="O4592" s="11"/>
      <c r="P4592" s="28"/>
      <c r="Q4592" s="28" t="n">
        <f aca="false">P4592*$M4592</f>
        <v>0</v>
      </c>
      <c r="R4592" s="28"/>
      <c r="S4592" s="28" t="n">
        <f aca="false">R4592*$M4592</f>
        <v>0</v>
      </c>
      <c r="T4592" s="28"/>
      <c r="U4592" s="28" t="n">
        <f aca="false">T4592*$M4592</f>
        <v>0</v>
      </c>
      <c r="V4592" s="28"/>
      <c r="W4592" s="28" t="n">
        <f aca="false">V4592*$M4592</f>
        <v>0</v>
      </c>
      <c r="X4592" s="29"/>
      <c r="Y4592" s="28" t="n">
        <f aca="false">X4592*$M4592</f>
        <v>0</v>
      </c>
      <c r="Z4592" s="28"/>
      <c r="AA4592" s="28" t="n">
        <f aca="false">Z4592*$M4592</f>
        <v>0</v>
      </c>
      <c r="AB4592" s="28"/>
      <c r="AC4592" s="28" t="n">
        <f aca="false">AB4592*$M4592</f>
        <v>0</v>
      </c>
      <c r="AD4592" s="28"/>
      <c r="AE4592" s="28" t="n">
        <f aca="false">AD4592*$M4592</f>
        <v>0</v>
      </c>
      <c r="AF4592" s="28"/>
      <c r="AG4592" s="28" t="n">
        <f aca="false">AF4592*$M4592</f>
        <v>0</v>
      </c>
      <c r="AH4592" s="28" t="n">
        <f aca="false">7819/100</f>
        <v>78.19</v>
      </c>
      <c r="AI4592" s="28" t="n">
        <v>1016</v>
      </c>
      <c r="AJ4592" s="28" t="n">
        <f aca="false">10382/100</f>
        <v>103.82</v>
      </c>
      <c r="AK4592" s="28" t="n">
        <v>1350</v>
      </c>
      <c r="AL4592" s="28"/>
      <c r="AM4592" s="28" t="n">
        <f aca="false">AL4592*$M4592</f>
        <v>0</v>
      </c>
      <c r="AN4592" s="28"/>
      <c r="AO4592" s="28" t="n">
        <f aca="false">AN4592*$M4592</f>
        <v>0</v>
      </c>
      <c r="AP4592" s="28"/>
      <c r="AQ4592" s="28" t="n">
        <f aca="false">AP4592*$M4592</f>
        <v>0</v>
      </c>
      <c r="AR4592" s="28"/>
      <c r="AS4592" s="28" t="n">
        <f aca="false">AR4592*$M4592</f>
        <v>0</v>
      </c>
      <c r="AT4592" s="28"/>
      <c r="AU4592" s="28" t="n">
        <f aca="false">AT4592*$M4592</f>
        <v>0</v>
      </c>
      <c r="AV4592" s="28"/>
      <c r="AW4592" s="28" t="n">
        <f aca="false">AV4592*$M4592</f>
        <v>0</v>
      </c>
      <c r="AX4592" s="28"/>
      <c r="AY4592" s="28" t="n">
        <f aca="false">AX4592*$M4592</f>
        <v>0</v>
      </c>
      <c r="AZ4592" s="30" t="n">
        <f aca="false">18201/100</f>
        <v>182.01</v>
      </c>
      <c r="BA4592" s="11" t="n">
        <v>2366</v>
      </c>
      <c r="BB4592" s="31" t="n">
        <f aca="false">SUM(Q4592,S4592,U4592,W4592,Y4592,AA4592,AC4592,AE4592,AG4592,AI4592,AK4592,AM4592,AO4592,AQ4592,AS4592,AU4592,AW4592,AY4592)</f>
        <v>2366</v>
      </c>
      <c r="BC4592" s="28" t="n">
        <f aca="false">BA4592-BB4592</f>
        <v>0</v>
      </c>
      <c r="BD4592" s="32" t="n">
        <f aca="false">SUM(P4592,R4592,T4592,V4592,X4592,Z4592,AB4592,AD4592,AF4592,AH4592,AJ4592,AL4592,AN4592,AP4592,AR4592,AT4592,AV4592,AX4592)</f>
        <v>182.01</v>
      </c>
      <c r="BE4592" s="33" t="n">
        <f aca="false">AZ4592-BD4592</f>
        <v>0</v>
      </c>
      <c r="BF4592" s="34" t="n">
        <f aca="false">BD4592*M4592</f>
        <v>2366.13</v>
      </c>
      <c r="BG4592" s="35" t="n">
        <f aca="false">BA4592-BF4592</f>
        <v>-0.130000000000109</v>
      </c>
      <c r="BH4592" s="19" t="str">
        <f aca="false">IF(BG4592=0,"",IF(BG4592&lt;&gt;BA4592,"erreur de calcul",IF(BD4592&lt;&gt;0,"pas de prix",IF(M4592&lt;&gt; 0,"pas de quantité","pas de prix, ni de quantité"))))</f>
        <v>erreur de calcul</v>
      </c>
      <c r="BI4592" s="19"/>
    </row>
    <row r="4593" customFormat="false" ht="15" hidden="false" customHeight="false" outlineLevel="0" collapsed="false">
      <c r="A4593" s="0" t="n">
        <v>28</v>
      </c>
      <c r="B4593" s="8" t="s">
        <v>24</v>
      </c>
      <c r="C4593" s="9" t="s">
        <v>25</v>
      </c>
      <c r="D4593" s="9" t="s">
        <v>26</v>
      </c>
      <c r="E4593" s="10" t="n">
        <v>1789</v>
      </c>
      <c r="F4593" s="9" t="s">
        <v>27</v>
      </c>
      <c r="G4593" s="9" t="s">
        <v>27</v>
      </c>
      <c r="H4593" s="11" t="n">
        <v>18</v>
      </c>
      <c r="I4593" s="11" t="s">
        <v>101</v>
      </c>
      <c r="J4593" s="14" t="n">
        <v>35</v>
      </c>
      <c r="K4593" s="14"/>
      <c r="L4593" s="16"/>
      <c r="M4593" s="27" t="n">
        <f aca="false">J4593+(K4593/20)+(L4593/240)</f>
        <v>35</v>
      </c>
      <c r="N4593" s="17" t="s">
        <v>64</v>
      </c>
      <c r="O4593" s="11"/>
      <c r="P4593" s="28"/>
      <c r="Q4593" s="28" t="n">
        <f aca="false">P4593*$M4593</f>
        <v>0</v>
      </c>
      <c r="R4593" s="28"/>
      <c r="S4593" s="28" t="n">
        <f aca="false">R4593*$M4593</f>
        <v>0</v>
      </c>
      <c r="T4593" s="28"/>
      <c r="U4593" s="28" t="n">
        <f aca="false">T4593*$M4593</f>
        <v>0</v>
      </c>
      <c r="V4593" s="28"/>
      <c r="W4593" s="28" t="n">
        <f aca="false">V4593*$M4593</f>
        <v>0</v>
      </c>
      <c r="X4593" s="29"/>
      <c r="Y4593" s="28" t="n">
        <f aca="false">X4593*$M4593</f>
        <v>0</v>
      </c>
      <c r="Z4593" s="28"/>
      <c r="AA4593" s="28" t="n">
        <f aca="false">Z4593*$M4593</f>
        <v>0</v>
      </c>
      <c r="AB4593" s="28"/>
      <c r="AC4593" s="28" t="n">
        <f aca="false">AB4593*$M4593</f>
        <v>0</v>
      </c>
      <c r="AD4593" s="28"/>
      <c r="AE4593" s="28" t="n">
        <f aca="false">AD4593*$M4593</f>
        <v>0</v>
      </c>
      <c r="AF4593" s="28"/>
      <c r="AG4593" s="28" t="n">
        <f aca="false">AF4593*$M4593</f>
        <v>0</v>
      </c>
      <c r="AH4593" s="28"/>
      <c r="AI4593" s="28" t="n">
        <f aca="false">AH4593*$M4593</f>
        <v>0</v>
      </c>
      <c r="AJ4593" s="28" t="n">
        <f aca="false">65277/100</f>
        <v>652.77</v>
      </c>
      <c r="AK4593" s="28" t="n">
        <v>22847</v>
      </c>
      <c r="AL4593" s="28"/>
      <c r="AM4593" s="28" t="n">
        <f aca="false">AL4593*$M4593</f>
        <v>0</v>
      </c>
      <c r="AN4593" s="28"/>
      <c r="AO4593" s="28" t="n">
        <f aca="false">AN4593*$M4593</f>
        <v>0</v>
      </c>
      <c r="AP4593" s="28"/>
      <c r="AQ4593" s="28" t="n">
        <f aca="false">AP4593*$M4593</f>
        <v>0</v>
      </c>
      <c r="AR4593" s="28"/>
      <c r="AS4593" s="28" t="n">
        <f aca="false">AR4593*$M4593</f>
        <v>0</v>
      </c>
      <c r="AT4593" s="28"/>
      <c r="AU4593" s="28" t="n">
        <f aca="false">AT4593*$M4593</f>
        <v>0</v>
      </c>
      <c r="AV4593" s="28"/>
      <c r="AW4593" s="28" t="n">
        <f aca="false">AV4593*$M4593</f>
        <v>0</v>
      </c>
      <c r="AX4593" s="28"/>
      <c r="AY4593" s="28" t="n">
        <f aca="false">AX4593*$M4593</f>
        <v>0</v>
      </c>
      <c r="AZ4593" s="30" t="n">
        <f aca="false">65277/100</f>
        <v>652.77</v>
      </c>
      <c r="BA4593" s="11" t="n">
        <v>22847</v>
      </c>
      <c r="BB4593" s="31" t="n">
        <f aca="false">SUM(Q4593,S4593,U4593,W4593,Y4593,AA4593,AC4593,AE4593,AG4593,AI4593,AK4593,AM4593,AO4593,AQ4593,AS4593,AU4593,AW4593,AY4593)</f>
        <v>22847</v>
      </c>
      <c r="BC4593" s="28" t="n">
        <f aca="false">BA4593-BB4593</f>
        <v>0</v>
      </c>
      <c r="BD4593" s="32" t="n">
        <f aca="false">SUM(P4593,R4593,T4593,V4593,X4593,Z4593,AB4593,AD4593,AF4593,AH4593,AJ4593,AL4593,AN4593,AP4593,AR4593,AT4593,AV4593,AX4593)</f>
        <v>652.77</v>
      </c>
      <c r="BE4593" s="33" t="n">
        <f aca="false">AZ4593-BD4593</f>
        <v>0</v>
      </c>
      <c r="BF4593" s="34" t="n">
        <f aca="false">BD4593*M4593</f>
        <v>22846.95</v>
      </c>
      <c r="BG4593" s="35" t="n">
        <f aca="false">BA4593-BF4593</f>
        <v>0.0499999999992724</v>
      </c>
      <c r="BH4593" s="19" t="str">
        <f aca="false">IF(BG4593=0,"",IF(BG4593&lt;&gt;BA4593,"erreur de calcul",IF(BD4593&lt;&gt;0,"pas de prix",IF(M4593&lt;&gt; 0,"pas de quantité","pas de prix, ni de quantité"))))</f>
        <v>erreur de calcul</v>
      </c>
      <c r="BI4593" s="19"/>
    </row>
    <row r="4594" customFormat="false" ht="16.65" hidden="false" customHeight="false" outlineLevel="0" collapsed="false">
      <c r="A4594" s="0" t="n">
        <v>29</v>
      </c>
      <c r="B4594" s="8" t="s">
        <v>24</v>
      </c>
      <c r="C4594" s="9" t="s">
        <v>25</v>
      </c>
      <c r="D4594" s="9" t="s">
        <v>26</v>
      </c>
      <c r="E4594" s="10" t="n">
        <v>1789</v>
      </c>
      <c r="F4594" s="9" t="s">
        <v>27</v>
      </c>
      <c r="G4594" s="9" t="s">
        <v>27</v>
      </c>
      <c r="H4594" s="11" t="n">
        <v>18</v>
      </c>
      <c r="I4594" s="11" t="s">
        <v>102</v>
      </c>
      <c r="J4594" s="14" t="n">
        <v>47</v>
      </c>
      <c r="K4594" s="14"/>
      <c r="L4594" s="16"/>
      <c r="M4594" s="27" t="n">
        <f aca="false">J4594+(K4594/20)+(L4594/240)</f>
        <v>47</v>
      </c>
      <c r="N4594" s="17" t="s">
        <v>64</v>
      </c>
      <c r="O4594" s="11"/>
      <c r="P4594" s="28" t="n">
        <f aca="false">8467/100</f>
        <v>84.67</v>
      </c>
      <c r="Q4594" s="28" t="n">
        <v>3979</v>
      </c>
      <c r="R4594" s="28"/>
      <c r="S4594" s="28" t="n">
        <f aca="false">R4594*$M4594</f>
        <v>0</v>
      </c>
      <c r="T4594" s="28"/>
      <c r="U4594" s="28" t="n">
        <f aca="false">T4594*$M4594</f>
        <v>0</v>
      </c>
      <c r="V4594" s="28"/>
      <c r="W4594" s="28" t="n">
        <f aca="false">V4594*$M4594</f>
        <v>0</v>
      </c>
      <c r="X4594" s="29"/>
      <c r="Y4594" s="28" t="n">
        <f aca="false">X4594*$M4594</f>
        <v>0</v>
      </c>
      <c r="Z4594" s="28"/>
      <c r="AA4594" s="28" t="n">
        <f aca="false">Z4594*$M4594</f>
        <v>0</v>
      </c>
      <c r="AB4594" s="28"/>
      <c r="AC4594" s="28" t="n">
        <f aca="false">AB4594*$M4594</f>
        <v>0</v>
      </c>
      <c r="AD4594" s="28"/>
      <c r="AE4594" s="28" t="n">
        <f aca="false">AD4594*$M4594</f>
        <v>0</v>
      </c>
      <c r="AF4594" s="28"/>
      <c r="AG4594" s="28" t="n">
        <f aca="false">AF4594*$M4594</f>
        <v>0</v>
      </c>
      <c r="AH4594" s="28"/>
      <c r="AI4594" s="28" t="n">
        <f aca="false">AH4594*$M4594</f>
        <v>0</v>
      </c>
      <c r="AJ4594" s="28"/>
      <c r="AK4594" s="28" t="n">
        <f aca="false">AJ4594*$M4594</f>
        <v>0</v>
      </c>
      <c r="AL4594" s="28"/>
      <c r="AM4594" s="28" t="n">
        <f aca="false">AL4594*$M4594</f>
        <v>0</v>
      </c>
      <c r="AN4594" s="28"/>
      <c r="AO4594" s="28" t="n">
        <f aca="false">AN4594*$M4594</f>
        <v>0</v>
      </c>
      <c r="AP4594" s="28"/>
      <c r="AQ4594" s="28" t="n">
        <f aca="false">AP4594*$M4594</f>
        <v>0</v>
      </c>
      <c r="AR4594" s="28"/>
      <c r="AS4594" s="28" t="n">
        <f aca="false">AR4594*$M4594</f>
        <v>0</v>
      </c>
      <c r="AT4594" s="28"/>
      <c r="AU4594" s="28" t="n">
        <f aca="false">AT4594*$M4594</f>
        <v>0</v>
      </c>
      <c r="AV4594" s="28"/>
      <c r="AW4594" s="28" t="n">
        <f aca="false">AV4594*$M4594</f>
        <v>0</v>
      </c>
      <c r="AX4594" s="28"/>
      <c r="AY4594" s="28" t="n">
        <f aca="false">AX4594*$M4594</f>
        <v>0</v>
      </c>
      <c r="AZ4594" s="30" t="n">
        <f aca="false">8467/100</f>
        <v>84.67</v>
      </c>
      <c r="BA4594" s="11" t="n">
        <v>3979</v>
      </c>
      <c r="BB4594" s="31" t="n">
        <f aca="false">SUM(Q4594,S4594,U4594,W4594,Y4594,AA4594,AC4594,AE4594,AG4594,AI4594,AK4594,AM4594,AO4594,AQ4594,AS4594,AU4594,AW4594,AY4594)</f>
        <v>3979</v>
      </c>
      <c r="BC4594" s="28" t="n">
        <f aca="false">BA4594-BB4594</f>
        <v>0</v>
      </c>
      <c r="BD4594" s="32" t="n">
        <f aca="false">SUM(P4594,R4594,T4594,V4594,X4594,Z4594,AB4594,AD4594,AF4594,AH4594,AJ4594,AL4594,AN4594,AP4594,AR4594,AT4594,AV4594,AX4594)</f>
        <v>84.67</v>
      </c>
      <c r="BE4594" s="33" t="n">
        <f aca="false">AZ4594-BD4594</f>
        <v>0</v>
      </c>
      <c r="BF4594" s="34" t="n">
        <f aca="false">BD4594*M4594</f>
        <v>3979.49</v>
      </c>
      <c r="BG4594" s="35" t="n">
        <f aca="false">BA4594-BF4594</f>
        <v>-0.490000000000237</v>
      </c>
      <c r="BH4594" s="19" t="str">
        <f aca="false">IF(BG4594=0,"",IF(BG4594&lt;&gt;BA4594,"erreur de calcul",IF(BD4594&lt;&gt;0,"pas de prix",IF(M4594&lt;&gt; 0,"pas de quantité","pas de prix, ni de quantité"))))</f>
        <v>erreur de calcul</v>
      </c>
      <c r="BI4594" s="19"/>
    </row>
    <row r="4595" customFormat="false" ht="15" hidden="false" customHeight="false" outlineLevel="0" collapsed="false">
      <c r="A4595" s="0" t="n">
        <v>30</v>
      </c>
      <c r="B4595" s="8" t="s">
        <v>24</v>
      </c>
      <c r="C4595" s="9" t="s">
        <v>25</v>
      </c>
      <c r="D4595" s="9" t="s">
        <v>26</v>
      </c>
      <c r="E4595" s="10" t="n">
        <v>1789</v>
      </c>
      <c r="F4595" s="9" t="s">
        <v>27</v>
      </c>
      <c r="G4595" s="9" t="s">
        <v>27</v>
      </c>
      <c r="H4595" s="11" t="n">
        <v>18</v>
      </c>
      <c r="I4595" s="11" t="s">
        <v>103</v>
      </c>
      <c r="J4595" s="14" t="n">
        <v>475</v>
      </c>
      <c r="K4595" s="14"/>
      <c r="L4595" s="16"/>
      <c r="M4595" s="27" t="n">
        <f aca="false">J4595+(K4595/20)+(L4595/240)</f>
        <v>475</v>
      </c>
      <c r="N4595" s="17" t="s">
        <v>64</v>
      </c>
      <c r="O4595" s="11"/>
      <c r="P4595" s="28"/>
      <c r="Q4595" s="28" t="n">
        <f aca="false">P4595*$M4595</f>
        <v>0</v>
      </c>
      <c r="R4595" s="28"/>
      <c r="S4595" s="28" t="n">
        <f aca="false">R4595*$M4595</f>
        <v>0</v>
      </c>
      <c r="T4595" s="28" t="n">
        <f aca="false">1746/100</f>
        <v>17.46</v>
      </c>
      <c r="U4595" s="28" t="n">
        <v>8293</v>
      </c>
      <c r="V4595" s="28"/>
      <c r="W4595" s="28" t="n">
        <f aca="false">V4595*$M4595</f>
        <v>0</v>
      </c>
      <c r="X4595" s="29"/>
      <c r="Y4595" s="28" t="n">
        <f aca="false">X4595*$M4595</f>
        <v>0</v>
      </c>
      <c r="Z4595" s="28"/>
      <c r="AA4595" s="28" t="n">
        <f aca="false">Z4595*$M4595</f>
        <v>0</v>
      </c>
      <c r="AB4595" s="28"/>
      <c r="AC4595" s="28" t="n">
        <f aca="false">AB4595*$M4595</f>
        <v>0</v>
      </c>
      <c r="AD4595" s="28"/>
      <c r="AE4595" s="28" t="n">
        <f aca="false">AD4595*$M4595</f>
        <v>0</v>
      </c>
      <c r="AF4595" s="28"/>
      <c r="AG4595" s="28" t="n">
        <f aca="false">AF4595*$M4595</f>
        <v>0</v>
      </c>
      <c r="AH4595" s="28" t="n">
        <f aca="false">1667/100</f>
        <v>16.67</v>
      </c>
      <c r="AI4595" s="28" t="n">
        <v>7918</v>
      </c>
      <c r="AJ4595" s="28"/>
      <c r="AK4595" s="28" t="n">
        <f aca="false">AJ4595*$M4595</f>
        <v>0</v>
      </c>
      <c r="AL4595" s="28"/>
      <c r="AM4595" s="28" t="n">
        <f aca="false">AL4595*$M4595</f>
        <v>0</v>
      </c>
      <c r="AN4595" s="28"/>
      <c r="AO4595" s="28" t="n">
        <f aca="false">AN4595*$M4595</f>
        <v>0</v>
      </c>
      <c r="AP4595" s="28"/>
      <c r="AQ4595" s="28" t="n">
        <f aca="false">AP4595*$M4595</f>
        <v>0</v>
      </c>
      <c r="AR4595" s="28"/>
      <c r="AS4595" s="28" t="n">
        <f aca="false">AR4595*$M4595</f>
        <v>0</v>
      </c>
      <c r="AT4595" s="28"/>
      <c r="AU4595" s="28" t="n">
        <f aca="false">AT4595*$M4595</f>
        <v>0</v>
      </c>
      <c r="AV4595" s="28"/>
      <c r="AW4595" s="28" t="n">
        <f aca="false">AV4595*$M4595</f>
        <v>0</v>
      </c>
      <c r="AX4595" s="28"/>
      <c r="AY4595" s="28" t="n">
        <f aca="false">AX4595*$M4595</f>
        <v>0</v>
      </c>
      <c r="AZ4595" s="30" t="n">
        <f aca="false">3413/100</f>
        <v>34.13</v>
      </c>
      <c r="BA4595" s="11" t="n">
        <v>16211</v>
      </c>
      <c r="BB4595" s="31" t="n">
        <f aca="false">SUM(Q4595,S4595,U4595,W4595,Y4595,AA4595,AC4595,AE4595,AG4595,AI4595,AK4595,AM4595,AO4595,AQ4595,AS4595,AU4595,AW4595,AY4595)</f>
        <v>16211</v>
      </c>
      <c r="BC4595" s="28" t="n">
        <f aca="false">BA4595-BB4595</f>
        <v>0</v>
      </c>
      <c r="BD4595" s="32" t="n">
        <f aca="false">SUM(P4595,R4595,T4595,V4595,X4595,Z4595,AB4595,AD4595,AF4595,AH4595,AJ4595,AL4595,AN4595,AP4595,AR4595,AT4595,AV4595,AX4595)</f>
        <v>34.13</v>
      </c>
      <c r="BE4595" s="33" t="n">
        <f aca="false">AZ4595-BD4595</f>
        <v>0</v>
      </c>
      <c r="BF4595" s="34" t="n">
        <f aca="false">BD4595*M4595</f>
        <v>16211.75</v>
      </c>
      <c r="BG4595" s="35" t="n">
        <f aca="false">BA4595-BF4595</f>
        <v>-0.750000000001819</v>
      </c>
      <c r="BH4595" s="19" t="str">
        <f aca="false">IF(BG4595=0,"",IF(BG4595&lt;&gt;BA4595,"erreur de calcul",IF(BD4595&lt;&gt;0,"pas de prix",IF(M4595&lt;&gt; 0,"pas de quantité","pas de prix, ni de quantité"))))</f>
        <v>erreur de calcul</v>
      </c>
      <c r="BI4595" s="19"/>
    </row>
    <row r="4596" customFormat="false" ht="15" hidden="false" customHeight="false" outlineLevel="0" collapsed="false">
      <c r="A4596" s="0" t="n">
        <v>31</v>
      </c>
      <c r="B4596" s="8" t="s">
        <v>24</v>
      </c>
      <c r="C4596" s="9" t="s">
        <v>25</v>
      </c>
      <c r="D4596" s="9" t="s">
        <v>26</v>
      </c>
      <c r="E4596" s="10" t="n">
        <v>1789</v>
      </c>
      <c r="F4596" s="9" t="s">
        <v>27</v>
      </c>
      <c r="G4596" s="9" t="s">
        <v>27</v>
      </c>
      <c r="H4596" s="11" t="n">
        <v>18</v>
      </c>
      <c r="I4596" s="11" t="s">
        <v>104</v>
      </c>
      <c r="J4596" s="14" t="n">
        <v>310</v>
      </c>
      <c r="K4596" s="14"/>
      <c r="L4596" s="16"/>
      <c r="M4596" s="27" t="n">
        <f aca="false">J4596+(K4596/20)+(L4596/240)</f>
        <v>310</v>
      </c>
      <c r="N4596" s="17" t="s">
        <v>64</v>
      </c>
      <c r="O4596" s="11"/>
      <c r="P4596" s="28"/>
      <c r="Q4596" s="28" t="n">
        <f aca="false">P4596*$M4596</f>
        <v>0</v>
      </c>
      <c r="R4596" s="28"/>
      <c r="S4596" s="28" t="n">
        <f aca="false">R4596*$M4596</f>
        <v>0</v>
      </c>
      <c r="T4596" s="28" t="n">
        <f aca="false">1087/100</f>
        <v>10.87</v>
      </c>
      <c r="U4596" s="28" t="n">
        <v>3370</v>
      </c>
      <c r="V4596" s="28" t="n">
        <f aca="false">285/100</f>
        <v>2.85</v>
      </c>
      <c r="W4596" s="28" t="n">
        <v>883</v>
      </c>
      <c r="X4596" s="29"/>
      <c r="Y4596" s="28" t="n">
        <f aca="false">X4596*$M4596</f>
        <v>0</v>
      </c>
      <c r="Z4596" s="28"/>
      <c r="AA4596" s="28" t="n">
        <f aca="false">Z4596*$M4596</f>
        <v>0</v>
      </c>
      <c r="AB4596" s="28"/>
      <c r="AC4596" s="28" t="n">
        <f aca="false">AB4596*$M4596</f>
        <v>0</v>
      </c>
      <c r="AD4596" s="28"/>
      <c r="AE4596" s="28" t="n">
        <f aca="false">AD4596*$M4596</f>
        <v>0</v>
      </c>
      <c r="AF4596" s="28"/>
      <c r="AG4596" s="28" t="n">
        <f aca="false">AF4596*$M4596</f>
        <v>0</v>
      </c>
      <c r="AH4596" s="28"/>
      <c r="AI4596" s="28" t="n">
        <f aca="false">AH4596*$M4596</f>
        <v>0</v>
      </c>
      <c r="AJ4596" s="28"/>
      <c r="AK4596" s="28" t="n">
        <f aca="false">AJ4596*$M4596</f>
        <v>0</v>
      </c>
      <c r="AL4596" s="28"/>
      <c r="AM4596" s="28" t="n">
        <f aca="false">AL4596*$M4596</f>
        <v>0</v>
      </c>
      <c r="AN4596" s="28"/>
      <c r="AO4596" s="28" t="n">
        <f aca="false">AN4596*$M4596</f>
        <v>0</v>
      </c>
      <c r="AP4596" s="28"/>
      <c r="AQ4596" s="28" t="n">
        <f aca="false">AP4596*$M4596</f>
        <v>0</v>
      </c>
      <c r="AR4596" s="28"/>
      <c r="AS4596" s="28" t="n">
        <f aca="false">AR4596*$M4596</f>
        <v>0</v>
      </c>
      <c r="AT4596" s="28"/>
      <c r="AU4596" s="28" t="n">
        <f aca="false">AT4596*$M4596</f>
        <v>0</v>
      </c>
      <c r="AV4596" s="28"/>
      <c r="AW4596" s="28" t="n">
        <f aca="false">AV4596*$M4596</f>
        <v>0</v>
      </c>
      <c r="AX4596" s="28"/>
      <c r="AY4596" s="28" t="n">
        <f aca="false">AX4596*$M4596</f>
        <v>0</v>
      </c>
      <c r="AZ4596" s="30" t="n">
        <f aca="false">1372/100</f>
        <v>13.72</v>
      </c>
      <c r="BA4596" s="11" t="n">
        <v>4253</v>
      </c>
      <c r="BB4596" s="31" t="n">
        <f aca="false">SUM(Q4596,S4596,U4596,W4596,Y4596,AA4596,AC4596,AE4596,AG4596,AI4596,AK4596,AM4596,AO4596,AQ4596,AS4596,AU4596,AW4596,AY4596)</f>
        <v>4253</v>
      </c>
      <c r="BC4596" s="28" t="n">
        <f aca="false">BA4596-BB4596</f>
        <v>0</v>
      </c>
      <c r="BD4596" s="32" t="n">
        <f aca="false">SUM(P4596,R4596,T4596,V4596,X4596,Z4596,AB4596,AD4596,AF4596,AH4596,AJ4596,AL4596,AN4596,AP4596,AR4596,AT4596,AV4596,AX4596)</f>
        <v>13.72</v>
      </c>
      <c r="BE4596" s="33" t="n">
        <f aca="false">AZ4596-BD4596</f>
        <v>0</v>
      </c>
      <c r="BF4596" s="34" t="n">
        <f aca="false">BD4596*M4596</f>
        <v>4253.2</v>
      </c>
      <c r="BG4596" s="35" t="n">
        <f aca="false">BA4596-BF4596</f>
        <v>-0.199999999999818</v>
      </c>
      <c r="BH4596" s="19" t="str">
        <f aca="false">IF(BG4596=0,"",IF(BG4596&lt;&gt;BA4596,"erreur de calcul",IF(BD4596&lt;&gt;0,"pas de prix",IF(M4596&lt;&gt; 0,"pas de quantité","pas de prix, ni de quantité"))))</f>
        <v>erreur de calcul</v>
      </c>
      <c r="BI4596" s="19"/>
    </row>
    <row r="4597" customFormat="false" ht="15" hidden="false" customHeight="false" outlineLevel="0" collapsed="false">
      <c r="A4597" s="0" t="n">
        <v>32</v>
      </c>
      <c r="B4597" s="8" t="s">
        <v>24</v>
      </c>
      <c r="C4597" s="9" t="s">
        <v>25</v>
      </c>
      <c r="D4597" s="9" t="s">
        <v>26</v>
      </c>
      <c r="E4597" s="10" t="n">
        <v>1789</v>
      </c>
      <c r="F4597" s="9" t="s">
        <v>27</v>
      </c>
      <c r="G4597" s="9" t="s">
        <v>27</v>
      </c>
      <c r="H4597" s="11" t="n">
        <v>18</v>
      </c>
      <c r="I4597" s="11" t="s">
        <v>105</v>
      </c>
      <c r="J4597" s="14" t="n">
        <v>570</v>
      </c>
      <c r="K4597" s="14"/>
      <c r="L4597" s="16"/>
      <c r="M4597" s="27" t="n">
        <f aca="false">J4597+(K4597/20)+(L4597/240)</f>
        <v>570</v>
      </c>
      <c r="N4597" s="17" t="s">
        <v>64</v>
      </c>
      <c r="O4597" s="11"/>
      <c r="P4597" s="28"/>
      <c r="Q4597" s="28" t="n">
        <f aca="false">P4597*$M4597</f>
        <v>0</v>
      </c>
      <c r="R4597" s="28"/>
      <c r="S4597" s="28" t="n">
        <f aca="false">R4597*$M4597</f>
        <v>0</v>
      </c>
      <c r="T4597" s="28" t="n">
        <f aca="false">7423/100</f>
        <v>74.23</v>
      </c>
      <c r="U4597" s="28" t="n">
        <v>42311</v>
      </c>
      <c r="V4597" s="28" t="n">
        <f aca="false">798/100</f>
        <v>7.98</v>
      </c>
      <c r="W4597" s="28" t="n">
        <v>4549</v>
      </c>
      <c r="X4597" s="29" t="n">
        <f aca="false">2068/100</f>
        <v>20.68</v>
      </c>
      <c r="Y4597" s="28" t="n">
        <v>8368</v>
      </c>
      <c r="Z4597" s="28"/>
      <c r="AA4597" s="28" t="n">
        <f aca="false">Z4597*$M4597</f>
        <v>0</v>
      </c>
      <c r="AB4597" s="28" t="n">
        <f aca="false">226/100</f>
        <v>2.26</v>
      </c>
      <c r="AC4597" s="28" t="n">
        <v>1288</v>
      </c>
      <c r="AD4597" s="28"/>
      <c r="AE4597" s="28" t="n">
        <f aca="false">AD4597*$M4597</f>
        <v>0</v>
      </c>
      <c r="AF4597" s="28"/>
      <c r="AG4597" s="28" t="n">
        <f aca="false">AF4597*$M4597</f>
        <v>0</v>
      </c>
      <c r="AH4597" s="28"/>
      <c r="AI4597" s="28" t="n">
        <f aca="false">AH4597*$M4597</f>
        <v>0</v>
      </c>
      <c r="AJ4597" s="28"/>
      <c r="AK4597" s="28" t="n">
        <f aca="false">AJ4597*$M4597</f>
        <v>0</v>
      </c>
      <c r="AL4597" s="28"/>
      <c r="AM4597" s="28" t="n">
        <f aca="false">AL4597*$M4597</f>
        <v>0</v>
      </c>
      <c r="AN4597" s="28"/>
      <c r="AO4597" s="28" t="n">
        <f aca="false">AN4597*$M4597</f>
        <v>0</v>
      </c>
      <c r="AP4597" s="28"/>
      <c r="AQ4597" s="28" t="n">
        <f aca="false">AP4597*$M4597</f>
        <v>0</v>
      </c>
      <c r="AR4597" s="28"/>
      <c r="AS4597" s="28" t="n">
        <f aca="false">AR4597*$M4597</f>
        <v>0</v>
      </c>
      <c r="AT4597" s="28"/>
      <c r="AU4597" s="28" t="n">
        <f aca="false">AT4597*$M4597</f>
        <v>0</v>
      </c>
      <c r="AV4597" s="28"/>
      <c r="AW4597" s="28" t="n">
        <f aca="false">AV4597*$M4597</f>
        <v>0</v>
      </c>
      <c r="AX4597" s="28"/>
      <c r="AY4597" s="28" t="n">
        <f aca="false">AX4597*$M4597</f>
        <v>0</v>
      </c>
      <c r="AZ4597" s="30" t="n">
        <f aca="false">10515/100</f>
        <v>105.15</v>
      </c>
      <c r="BA4597" s="11" t="n">
        <v>56516</v>
      </c>
      <c r="BB4597" s="31" t="n">
        <f aca="false">SUM(Q4597,S4597,U4597,W4597,Y4597,AA4597,AC4597,AE4597,AG4597,AI4597,AK4597,AM4597,AO4597,AQ4597,AS4597,AU4597,AW4597,AY4597)</f>
        <v>56516</v>
      </c>
      <c r="BC4597" s="28" t="n">
        <f aca="false">BA4597-BB4597</f>
        <v>0</v>
      </c>
      <c r="BD4597" s="32" t="n">
        <f aca="false">SUM(P4597,R4597,T4597,V4597,X4597,Z4597,AB4597,AD4597,AF4597,AH4597,AJ4597,AL4597,AN4597,AP4597,AR4597,AT4597,AV4597,AX4597)</f>
        <v>105.15</v>
      </c>
      <c r="BE4597" s="33" t="n">
        <f aca="false">AZ4597-BD4597</f>
        <v>0</v>
      </c>
      <c r="BF4597" s="34" t="n">
        <f aca="false">BD4597*M4597</f>
        <v>59935.5</v>
      </c>
      <c r="BG4597" s="35" t="n">
        <f aca="false">BA4597-BF4597</f>
        <v>-3419.5</v>
      </c>
      <c r="BH4597" s="19" t="str">
        <f aca="false">IF(BG4597=0,"",IF(BG4597&lt;&gt;BA4597,"erreur de calcul",IF(BD4597&lt;&gt;0,"pas de prix",IF(M4597&lt;&gt; 0,"pas de quantité","pas de prix, ni de quantité"))))</f>
        <v>erreur de calcul</v>
      </c>
      <c r="BI4597" s="19"/>
    </row>
    <row r="4598" customFormat="false" ht="15" hidden="false" customHeight="false" outlineLevel="0" collapsed="false">
      <c r="A4598" s="0" t="n">
        <v>33</v>
      </c>
      <c r="B4598" s="8" t="s">
        <v>24</v>
      </c>
      <c r="C4598" s="9" t="s">
        <v>25</v>
      </c>
      <c r="D4598" s="9" t="s">
        <v>26</v>
      </c>
      <c r="E4598" s="10" t="n">
        <v>1789</v>
      </c>
      <c r="F4598" s="9" t="s">
        <v>27</v>
      </c>
      <c r="G4598" s="9" t="s">
        <v>27</v>
      </c>
      <c r="H4598" s="11" t="n">
        <v>18</v>
      </c>
      <c r="I4598" s="11" t="s">
        <v>106</v>
      </c>
      <c r="J4598" s="14"/>
      <c r="K4598" s="14" t="n">
        <v>40</v>
      </c>
      <c r="L4598" s="16"/>
      <c r="M4598" s="27" t="n">
        <f aca="false">J4598+(K4598/20)+(L4598/240)</f>
        <v>2</v>
      </c>
      <c r="N4598" s="17" t="s">
        <v>66</v>
      </c>
      <c r="O4598" s="11"/>
      <c r="P4598" s="28"/>
      <c r="Q4598" s="28" t="n">
        <f aca="false">P4598*$M4598</f>
        <v>0</v>
      </c>
      <c r="R4598" s="28"/>
      <c r="S4598" s="28" t="n">
        <f aca="false">R4598*$M4598</f>
        <v>0</v>
      </c>
      <c r="T4598" s="28"/>
      <c r="U4598" s="28" t="n">
        <f aca="false">T4598*$M4598</f>
        <v>0</v>
      </c>
      <c r="V4598" s="28" t="n">
        <v>892</v>
      </c>
      <c r="W4598" s="28" t="n">
        <v>1784</v>
      </c>
      <c r="X4598" s="29"/>
      <c r="Y4598" s="28" t="n">
        <f aca="false">X4598*$M4598</f>
        <v>0</v>
      </c>
      <c r="Z4598" s="28"/>
      <c r="AA4598" s="28" t="n">
        <f aca="false">Z4598*$M4598</f>
        <v>0</v>
      </c>
      <c r="AB4598" s="28"/>
      <c r="AC4598" s="28" t="n">
        <f aca="false">AB4598*$M4598</f>
        <v>0</v>
      </c>
      <c r="AD4598" s="28"/>
      <c r="AE4598" s="28" t="n">
        <f aca="false">AD4598*$M4598</f>
        <v>0</v>
      </c>
      <c r="AF4598" s="28"/>
      <c r="AG4598" s="28" t="n">
        <f aca="false">AF4598*$M4598</f>
        <v>0</v>
      </c>
      <c r="AH4598" s="28" t="n">
        <v>1961</v>
      </c>
      <c r="AI4598" s="28" t="n">
        <v>3922</v>
      </c>
      <c r="AJ4598" s="28"/>
      <c r="AK4598" s="28" t="n">
        <f aca="false">AJ4598*$M4598</f>
        <v>0</v>
      </c>
      <c r="AL4598" s="28"/>
      <c r="AM4598" s="28" t="n">
        <f aca="false">AL4598*$M4598</f>
        <v>0</v>
      </c>
      <c r="AN4598" s="28"/>
      <c r="AO4598" s="28" t="n">
        <f aca="false">AN4598*$M4598</f>
        <v>0</v>
      </c>
      <c r="AP4598" s="28"/>
      <c r="AQ4598" s="28" t="n">
        <f aca="false">AP4598*$M4598</f>
        <v>0</v>
      </c>
      <c r="AR4598" s="28"/>
      <c r="AS4598" s="28" t="n">
        <f aca="false">AR4598*$M4598</f>
        <v>0</v>
      </c>
      <c r="AT4598" s="28"/>
      <c r="AU4598" s="28" t="n">
        <f aca="false">AT4598*$M4598</f>
        <v>0</v>
      </c>
      <c r="AV4598" s="28"/>
      <c r="AW4598" s="28" t="n">
        <f aca="false">AV4598*$M4598</f>
        <v>0</v>
      </c>
      <c r="AX4598" s="28"/>
      <c r="AY4598" s="28" t="n">
        <f aca="false">AX4598*$M4598</f>
        <v>0</v>
      </c>
      <c r="AZ4598" s="30" t="n">
        <v>2853</v>
      </c>
      <c r="BA4598" s="11" t="n">
        <v>5706</v>
      </c>
      <c r="BB4598" s="31" t="n">
        <f aca="false">SUM(Q4598,S4598,U4598,W4598,Y4598,AA4598,AC4598,AE4598,AG4598,AI4598,AK4598,AM4598,AO4598,AQ4598,AS4598,AU4598,AW4598,AY4598)</f>
        <v>5706</v>
      </c>
      <c r="BC4598" s="28" t="n">
        <f aca="false">BA4598-BB4598</f>
        <v>0</v>
      </c>
      <c r="BD4598" s="32" t="n">
        <f aca="false">SUM(P4598,R4598,T4598,V4598,X4598,Z4598,AB4598,AD4598,AF4598,AH4598,AJ4598,AL4598,AN4598,AP4598,AR4598,AT4598,AV4598,AX4598)</f>
        <v>2853</v>
      </c>
      <c r="BE4598" s="33" t="n">
        <f aca="false">AZ4598-BD4598</f>
        <v>0</v>
      </c>
      <c r="BF4598" s="34" t="n">
        <f aca="false">BD4598*M4598</f>
        <v>5706</v>
      </c>
      <c r="BG4598" s="35" t="n">
        <f aca="false">BA4598-BF4598</f>
        <v>0</v>
      </c>
      <c r="BH4598" s="19" t="str">
        <f aca="false">IF(BG4598=0,"",IF(BG4598&lt;&gt;BA4598,"erreur de calcul",IF(BD4598&lt;&gt;0,"pas de prix",IF(M4598&lt;&gt; 0,"pas de quantité","pas de prix, ni de quantité"))))</f>
        <v/>
      </c>
      <c r="BI4598" s="19"/>
    </row>
    <row r="4599" customFormat="false" ht="15" hidden="false" customHeight="false" outlineLevel="0" collapsed="false">
      <c r="A4599" s="0" t="n">
        <v>34</v>
      </c>
      <c r="B4599" s="8" t="s">
        <v>24</v>
      </c>
      <c r="C4599" s="9" t="s">
        <v>25</v>
      </c>
      <c r="D4599" s="9" t="s">
        <v>26</v>
      </c>
      <c r="E4599" s="10" t="n">
        <v>1789</v>
      </c>
      <c r="F4599" s="9" t="s">
        <v>27</v>
      </c>
      <c r="G4599" s="9" t="s">
        <v>27</v>
      </c>
      <c r="H4599" s="11" t="n">
        <v>18</v>
      </c>
      <c r="I4599" s="11" t="s">
        <v>107</v>
      </c>
      <c r="J4599" s="14" t="n">
        <v>180</v>
      </c>
      <c r="K4599" s="14"/>
      <c r="L4599" s="16"/>
      <c r="M4599" s="27" t="n">
        <f aca="false">J4599+(K4599/20)+(L4599/240)</f>
        <v>180</v>
      </c>
      <c r="N4599" s="17" t="s">
        <v>64</v>
      </c>
      <c r="O4599" s="11"/>
      <c r="P4599" s="28"/>
      <c r="Q4599" s="28" t="n">
        <f aca="false">P4599*$M4599</f>
        <v>0</v>
      </c>
      <c r="R4599" s="28"/>
      <c r="S4599" s="28" t="n">
        <f aca="false">R4599*$M4599</f>
        <v>0</v>
      </c>
      <c r="T4599" s="28"/>
      <c r="U4599" s="28" t="n">
        <f aca="false">T4599*$M4599</f>
        <v>0</v>
      </c>
      <c r="V4599" s="28"/>
      <c r="W4599" s="28" t="n">
        <f aca="false">V4599*$M4599</f>
        <v>0</v>
      </c>
      <c r="X4599" s="29"/>
      <c r="Y4599" s="28" t="n">
        <f aca="false">X4599*$M4599</f>
        <v>0</v>
      </c>
      <c r="Z4599" s="28"/>
      <c r="AA4599" s="28" t="n">
        <f aca="false">Z4599*$M4599</f>
        <v>0</v>
      </c>
      <c r="AB4599" s="28"/>
      <c r="AC4599" s="28" t="n">
        <f aca="false">AB4599*$M4599</f>
        <v>0</v>
      </c>
      <c r="AD4599" s="28"/>
      <c r="AE4599" s="28" t="n">
        <f aca="false">AD4599*$M4599</f>
        <v>0</v>
      </c>
      <c r="AF4599" s="28"/>
      <c r="AG4599" s="28" t="n">
        <f aca="false">AF4599*$M4599</f>
        <v>0</v>
      </c>
      <c r="AH4599" s="28" t="n">
        <f aca="false">28680/100</f>
        <v>286.8</v>
      </c>
      <c r="AI4599" s="28" t="n">
        <v>51624</v>
      </c>
      <c r="AJ4599" s="28"/>
      <c r="AK4599" s="28" t="n">
        <f aca="false">AJ4599*$M4599</f>
        <v>0</v>
      </c>
      <c r="AL4599" s="28"/>
      <c r="AM4599" s="28" t="n">
        <f aca="false">AL4599*$M4599</f>
        <v>0</v>
      </c>
      <c r="AN4599" s="28"/>
      <c r="AO4599" s="28" t="n">
        <f aca="false">AN4599*$M4599</f>
        <v>0</v>
      </c>
      <c r="AP4599" s="28"/>
      <c r="AQ4599" s="28" t="n">
        <f aca="false">AP4599*$M4599</f>
        <v>0</v>
      </c>
      <c r="AR4599" s="28"/>
      <c r="AS4599" s="28" t="n">
        <f aca="false">AR4599*$M4599</f>
        <v>0</v>
      </c>
      <c r="AT4599" s="28"/>
      <c r="AU4599" s="28" t="n">
        <f aca="false">AT4599*$M4599</f>
        <v>0</v>
      </c>
      <c r="AV4599" s="28"/>
      <c r="AW4599" s="28" t="n">
        <f aca="false">AV4599*$M4599</f>
        <v>0</v>
      </c>
      <c r="AX4599" s="28"/>
      <c r="AY4599" s="28" t="n">
        <f aca="false">AX4599*$M4599</f>
        <v>0</v>
      </c>
      <c r="AZ4599" s="30" t="n">
        <f aca="false">28680/100</f>
        <v>286.8</v>
      </c>
      <c r="BA4599" s="11" t="n">
        <v>51624</v>
      </c>
      <c r="BB4599" s="31" t="n">
        <f aca="false">SUM(Q4599,S4599,U4599,W4599,Y4599,AA4599,AC4599,AE4599,AG4599,AI4599,AK4599,AM4599,AO4599,AQ4599,AS4599,AU4599,AW4599,AY4599)</f>
        <v>51624</v>
      </c>
      <c r="BC4599" s="28" t="n">
        <f aca="false">BA4599-BB4599</f>
        <v>0</v>
      </c>
      <c r="BD4599" s="32" t="n">
        <f aca="false">SUM(P4599,R4599,T4599,V4599,X4599,Z4599,AB4599,AD4599,AF4599,AH4599,AJ4599,AL4599,AN4599,AP4599,AR4599,AT4599,AV4599,AX4599)</f>
        <v>286.8</v>
      </c>
      <c r="BE4599" s="33" t="n">
        <f aca="false">AZ4599-BD4599</f>
        <v>0</v>
      </c>
      <c r="BF4599" s="34" t="n">
        <f aca="false">BD4599*M4599</f>
        <v>51624</v>
      </c>
      <c r="BG4599" s="35" t="n">
        <f aca="false">BA4599-BF4599</f>
        <v>0</v>
      </c>
      <c r="BH4599" s="19" t="str">
        <f aca="false">IF(BG4599=0,"",IF(BG4599&lt;&gt;BA4599,"erreur de calcul",IF(BD4599&lt;&gt;0,"pas de prix",IF(M4599&lt;&gt; 0,"pas de quantité","pas de prix, ni de quantité"))))</f>
        <v/>
      </c>
      <c r="BI4599" s="19"/>
    </row>
    <row r="4600" customFormat="false" ht="15" hidden="false" customHeight="false" outlineLevel="0" collapsed="false">
      <c r="A4600" s="0" t="n">
        <v>35</v>
      </c>
      <c r="B4600" s="8" t="s">
        <v>24</v>
      </c>
      <c r="C4600" s="9" t="s">
        <v>25</v>
      </c>
      <c r="D4600" s="9" t="s">
        <v>26</v>
      </c>
      <c r="E4600" s="10" t="n">
        <v>1789</v>
      </c>
      <c r="F4600" s="9" t="s">
        <v>27</v>
      </c>
      <c r="G4600" s="9" t="s">
        <v>27</v>
      </c>
      <c r="H4600" s="11" t="n">
        <v>18</v>
      </c>
      <c r="I4600" s="11" t="s">
        <v>108</v>
      </c>
      <c r="J4600" s="14" t="n">
        <v>11</v>
      </c>
      <c r="K4600" s="14"/>
      <c r="L4600" s="16"/>
      <c r="M4600" s="27" t="n">
        <f aca="false">J4600+(K4600/20)+(L4600/240)</f>
        <v>11</v>
      </c>
      <c r="N4600" s="17" t="s">
        <v>64</v>
      </c>
      <c r="O4600" s="11" t="s">
        <v>109</v>
      </c>
      <c r="P4600" s="28"/>
      <c r="Q4600" s="28" t="n">
        <f aca="false">P4600*$M4600</f>
        <v>0</v>
      </c>
      <c r="R4600" s="28"/>
      <c r="S4600" s="28" t="n">
        <f aca="false">R4600*$M4600</f>
        <v>0</v>
      </c>
      <c r="T4600" s="28"/>
      <c r="U4600" s="28" t="n">
        <f aca="false">T4600*$M4600</f>
        <v>0</v>
      </c>
      <c r="V4600" s="28"/>
      <c r="W4600" s="28" t="n">
        <f aca="false">V4600*$M4600</f>
        <v>0</v>
      </c>
      <c r="X4600" s="29"/>
      <c r="Y4600" s="28" t="n">
        <f aca="false">X4600*$M4600</f>
        <v>0</v>
      </c>
      <c r="Z4600" s="28"/>
      <c r="AA4600" s="28" t="n">
        <f aca="false">Z4600*$M4600</f>
        <v>0</v>
      </c>
      <c r="AB4600" s="28"/>
      <c r="AC4600" s="28" t="n">
        <f aca="false">AB4600*$M4600</f>
        <v>0</v>
      </c>
      <c r="AD4600" s="28"/>
      <c r="AE4600" s="28" t="n">
        <f aca="false">AD4600*$M4600</f>
        <v>0</v>
      </c>
      <c r="AF4600" s="28"/>
      <c r="AG4600" s="28" t="n">
        <f aca="false">AF4600*$M4600</f>
        <v>0</v>
      </c>
      <c r="AH4600" s="28"/>
      <c r="AI4600" s="28" t="n">
        <f aca="false">AH4600*$M4600</f>
        <v>0</v>
      </c>
      <c r="AJ4600" s="28" t="n">
        <f aca="false">1784/100</f>
        <v>17.84</v>
      </c>
      <c r="AK4600" s="28" t="n">
        <v>196</v>
      </c>
      <c r="AL4600" s="28" t="n">
        <f aca="false">7942/100</f>
        <v>79.42</v>
      </c>
      <c r="AM4600" s="28" t="n">
        <v>874</v>
      </c>
      <c r="AN4600" s="28"/>
      <c r="AO4600" s="28" t="n">
        <f aca="false">AN4600*$M4600</f>
        <v>0</v>
      </c>
      <c r="AP4600" s="28" t="n">
        <f aca="false">13980/100</f>
        <v>139.8</v>
      </c>
      <c r="AQ4600" s="28" t="n">
        <v>1538</v>
      </c>
      <c r="AR4600" s="28" t="n">
        <f aca="false">96390/100</f>
        <v>963.9</v>
      </c>
      <c r="AS4600" s="28" t="n">
        <v>10603</v>
      </c>
      <c r="AT4600" s="28"/>
      <c r="AU4600" s="28" t="n">
        <f aca="false">AT4600*$M4600</f>
        <v>0</v>
      </c>
      <c r="AV4600" s="28"/>
      <c r="AW4600" s="28" t="n">
        <f aca="false">AV4600*$M4600</f>
        <v>0</v>
      </c>
      <c r="AX4600" s="28"/>
      <c r="AY4600" s="28" t="n">
        <f aca="false">AX4600*$M4600</f>
        <v>0</v>
      </c>
      <c r="AZ4600" s="30" t="n">
        <f aca="false">120096/100</f>
        <v>1200.96</v>
      </c>
      <c r="BA4600" s="11" t="n">
        <v>13211</v>
      </c>
      <c r="BB4600" s="31" t="n">
        <f aca="false">SUM(Q4600,S4600,U4600,W4600,Y4600,AA4600,AC4600,AE4600,AG4600,AI4600,AK4600,AM4600,AO4600,AQ4600,AS4600,AU4600,AW4600,AY4600)</f>
        <v>13211</v>
      </c>
      <c r="BC4600" s="28" t="n">
        <f aca="false">BA4600-BB4600</f>
        <v>0</v>
      </c>
      <c r="BD4600" s="32" t="n">
        <f aca="false">SUM(P4600,R4600,T4600,V4600,X4600,Z4600,AB4600,AD4600,AF4600,AH4600,AJ4600,AL4600,AN4600,AP4600,AR4600,AT4600,AV4600,AX4600)</f>
        <v>1200.96</v>
      </c>
      <c r="BE4600" s="33" t="n">
        <f aca="false">AZ4600-BD4600</f>
        <v>0</v>
      </c>
      <c r="BF4600" s="34" t="n">
        <f aca="false">BD4600*M4600</f>
        <v>13210.56</v>
      </c>
      <c r="BG4600" s="35" t="n">
        <f aca="false">BA4600-BF4600</f>
        <v>0.43999999999869</v>
      </c>
      <c r="BH4600" s="19" t="str">
        <f aca="false">IF(BG4600=0,"",IF(BG4600&lt;&gt;BA4600,"erreur de calcul",IF(BD4600&lt;&gt;0,"pas de prix",IF(M4600&lt;&gt; 0,"pas de quantité","pas de prix, ni de quantité"))))</f>
        <v>erreur de calcul</v>
      </c>
      <c r="BI4600" s="19"/>
    </row>
    <row r="4601" customFormat="false" ht="15" hidden="false" customHeight="false" outlineLevel="0" collapsed="false">
      <c r="A4601" s="0" t="n">
        <v>36</v>
      </c>
      <c r="B4601" s="8" t="s">
        <v>24</v>
      </c>
      <c r="C4601" s="9" t="s">
        <v>25</v>
      </c>
      <c r="D4601" s="9" t="s">
        <v>26</v>
      </c>
      <c r="E4601" s="10" t="n">
        <v>1789</v>
      </c>
      <c r="F4601" s="9" t="s">
        <v>27</v>
      </c>
      <c r="G4601" s="9" t="s">
        <v>27</v>
      </c>
      <c r="H4601" s="11" t="n">
        <v>18</v>
      </c>
      <c r="I4601" s="11" t="s">
        <v>110</v>
      </c>
      <c r="J4601" s="14" t="n">
        <v>12</v>
      </c>
      <c r="K4601" s="14"/>
      <c r="L4601" s="16"/>
      <c r="M4601" s="27" t="n">
        <f aca="false">J4601+(K4601/20)+(L4601/240)</f>
        <v>12</v>
      </c>
      <c r="N4601" s="17" t="s">
        <v>64</v>
      </c>
      <c r="O4601" s="11" t="s">
        <v>109</v>
      </c>
      <c r="P4601" s="28" t="n">
        <f aca="false">30663/100</f>
        <v>306.63</v>
      </c>
      <c r="Q4601" s="28" t="n">
        <v>3679</v>
      </c>
      <c r="R4601" s="28"/>
      <c r="S4601" s="28" t="n">
        <f aca="false">R4601*$M4601</f>
        <v>0</v>
      </c>
      <c r="T4601" s="28"/>
      <c r="U4601" s="28" t="n">
        <f aca="false">T4601*$M4601</f>
        <v>0</v>
      </c>
      <c r="V4601" s="28"/>
      <c r="W4601" s="28" t="n">
        <f aca="false">V4601*$M4601</f>
        <v>0</v>
      </c>
      <c r="X4601" s="29"/>
      <c r="Y4601" s="28" t="n">
        <f aca="false">X4601*$M4601</f>
        <v>0</v>
      </c>
      <c r="Z4601" s="28"/>
      <c r="AA4601" s="28" t="n">
        <f aca="false">Z4601*$M4601</f>
        <v>0</v>
      </c>
      <c r="AB4601" s="28"/>
      <c r="AC4601" s="28" t="n">
        <f aca="false">AB4601*$M4601</f>
        <v>0</v>
      </c>
      <c r="AD4601" s="28"/>
      <c r="AE4601" s="28" t="n">
        <f aca="false">AD4601*$M4601</f>
        <v>0</v>
      </c>
      <c r="AF4601" s="28"/>
      <c r="AG4601" s="28" t="n">
        <f aca="false">AF4601*$M4601</f>
        <v>0</v>
      </c>
      <c r="AH4601" s="28"/>
      <c r="AI4601" s="28" t="n">
        <f aca="false">AH4601*$M4601</f>
        <v>0</v>
      </c>
      <c r="AJ4601" s="28"/>
      <c r="AK4601" s="28" t="n">
        <f aca="false">AJ4601*$M4601</f>
        <v>0</v>
      </c>
      <c r="AL4601" s="28" t="n">
        <f aca="false">114207/100</f>
        <v>1142.07</v>
      </c>
      <c r="AM4601" s="28" t="n">
        <v>13705</v>
      </c>
      <c r="AN4601" s="28" t="n">
        <f aca="false">2100/100</f>
        <v>21</v>
      </c>
      <c r="AO4601" s="28" t="n">
        <v>252</v>
      </c>
      <c r="AP4601" s="28" t="n">
        <f aca="false">16107/100</f>
        <v>161.07</v>
      </c>
      <c r="AQ4601" s="28" t="n">
        <v>1933</v>
      </c>
      <c r="AR4601" s="28" t="n">
        <f aca="false">553069/100</f>
        <v>5530.69</v>
      </c>
      <c r="AS4601" s="28" t="n">
        <v>66368</v>
      </c>
      <c r="AT4601" s="28" t="n">
        <f aca="false">6160/100</f>
        <v>61.6</v>
      </c>
      <c r="AU4601" s="28" t="n">
        <v>739</v>
      </c>
      <c r="AV4601" s="28" t="n">
        <f aca="false">2640/100</f>
        <v>26.4</v>
      </c>
      <c r="AW4601" s="28" t="n">
        <v>317</v>
      </c>
      <c r="AX4601" s="28" t="n">
        <f aca="false">8767/100</f>
        <v>87.67</v>
      </c>
      <c r="AY4601" s="36" t="n">
        <v>1085</v>
      </c>
      <c r="AZ4601" s="30" t="n">
        <f aca="false">733753/100</f>
        <v>7337.53</v>
      </c>
      <c r="BA4601" s="11" t="n">
        <v>88078</v>
      </c>
      <c r="BB4601" s="31" t="n">
        <f aca="false">SUM(Q4601,S4601,U4601,W4601,Y4601,AA4601,AC4601,AE4601,AG4601,AI4601,AK4601,AM4601,AO4601,AQ4601,AS4601,AU4601,AW4601,AY4601)</f>
        <v>88078</v>
      </c>
      <c r="BC4601" s="28" t="n">
        <f aca="false">BA4601-BB4601</f>
        <v>0</v>
      </c>
      <c r="BD4601" s="32" t="n">
        <f aca="false">SUM(P4601,R4601,T4601,V4601,X4601,Z4601,AB4601,AD4601,AF4601,AH4601,AJ4601,AL4601,AN4601,AP4601,AR4601,AT4601,AV4601,AX4601)</f>
        <v>7337.13</v>
      </c>
      <c r="BE4601" s="33" t="n">
        <f aca="false">AZ4601-BD4601</f>
        <v>0.400000000000546</v>
      </c>
      <c r="BF4601" s="34" t="n">
        <f aca="false">BD4601*M4601</f>
        <v>88045.56</v>
      </c>
      <c r="BG4601" s="35" t="n">
        <f aca="false">BA4601-BF4601</f>
        <v>32.4400000000023</v>
      </c>
      <c r="BH4601" s="19" t="str">
        <f aca="false">IF(BG4601=0,"",IF(BG4601&lt;&gt;BA4601,"erreur de calcul",IF(BD4601&lt;&gt;0,"pas de prix",IF(M4601&lt;&gt; 0,"pas de quantité","pas de prix, ni de quantité"))))</f>
        <v>erreur de calcul</v>
      </c>
      <c r="BI4601" s="19"/>
    </row>
    <row r="4602" customFormat="false" ht="15" hidden="false" customHeight="false" outlineLevel="0" collapsed="false">
      <c r="A4602" s="0" t="n">
        <v>37</v>
      </c>
      <c r="B4602" s="8" t="s">
        <v>24</v>
      </c>
      <c r="C4602" s="9" t="s">
        <v>25</v>
      </c>
      <c r="D4602" s="9" t="s">
        <v>26</v>
      </c>
      <c r="E4602" s="10" t="n">
        <v>1789</v>
      </c>
      <c r="F4602" s="9" t="s">
        <v>27</v>
      </c>
      <c r="G4602" s="9" t="s">
        <v>27</v>
      </c>
      <c r="H4602" s="11" t="n">
        <v>18</v>
      </c>
      <c r="I4602" s="11" t="s">
        <v>111</v>
      </c>
      <c r="J4602" s="14" t="n">
        <v>10</v>
      </c>
      <c r="K4602" s="14"/>
      <c r="L4602" s="16"/>
      <c r="M4602" s="27" t="n">
        <f aca="false">J4602+(K4602/20)+(L4602/240)</f>
        <v>10</v>
      </c>
      <c r="N4602" s="17" t="s">
        <v>64</v>
      </c>
      <c r="O4602" s="11"/>
      <c r="P4602" s="28"/>
      <c r="Q4602" s="28" t="n">
        <f aca="false">P4602*$M4602</f>
        <v>0</v>
      </c>
      <c r="R4602" s="28"/>
      <c r="S4602" s="28" t="n">
        <f aca="false">R4602*$M4602</f>
        <v>0</v>
      </c>
      <c r="T4602" s="28"/>
      <c r="U4602" s="28" t="n">
        <f aca="false">T4602*$M4602</f>
        <v>0</v>
      </c>
      <c r="V4602" s="28"/>
      <c r="W4602" s="28" t="n">
        <f aca="false">V4602*$M4602</f>
        <v>0</v>
      </c>
      <c r="X4602" s="29"/>
      <c r="Y4602" s="28" t="n">
        <f aca="false">X4602*$M4602</f>
        <v>0</v>
      </c>
      <c r="Z4602" s="28"/>
      <c r="AA4602" s="28" t="n">
        <f aca="false">Z4602*$M4602</f>
        <v>0</v>
      </c>
      <c r="AB4602" s="28"/>
      <c r="AC4602" s="28" t="n">
        <f aca="false">AB4602*$M4602</f>
        <v>0</v>
      </c>
      <c r="AD4602" s="28"/>
      <c r="AE4602" s="28" t="n">
        <f aca="false">AD4602*$M4602</f>
        <v>0</v>
      </c>
      <c r="AF4602" s="28"/>
      <c r="AG4602" s="28" t="n">
        <f aca="false">AF4602*$M4602</f>
        <v>0</v>
      </c>
      <c r="AH4602" s="28"/>
      <c r="AI4602" s="28" t="n">
        <f aca="false">AH4602*$M4602</f>
        <v>0</v>
      </c>
      <c r="AJ4602" s="28"/>
      <c r="AK4602" s="28" t="n">
        <f aca="false">AJ4602*$M4602</f>
        <v>0</v>
      </c>
      <c r="AL4602" s="28"/>
      <c r="AM4602" s="28" t="n">
        <f aca="false">AL4602*$M4602</f>
        <v>0</v>
      </c>
      <c r="AN4602" s="28"/>
      <c r="AO4602" s="28" t="n">
        <f aca="false">AN4602*$M4602</f>
        <v>0</v>
      </c>
      <c r="AP4602" s="28"/>
      <c r="AQ4602" s="28" t="n">
        <f aca="false">AP4602*$M4602</f>
        <v>0</v>
      </c>
      <c r="AR4602" s="28"/>
      <c r="AS4602" s="28" t="n">
        <f aca="false">AR4602*$M4602</f>
        <v>0</v>
      </c>
      <c r="AT4602" s="28"/>
      <c r="AU4602" s="28" t="n">
        <f aca="false">AT4602*$M4602</f>
        <v>0</v>
      </c>
      <c r="AV4602" s="28"/>
      <c r="AW4602" s="28" t="n">
        <f aca="false">AV4602*$M4602</f>
        <v>0</v>
      </c>
      <c r="AX4602" s="28" t="n">
        <f aca="false">16133/100</f>
        <v>161.33</v>
      </c>
      <c r="AY4602" s="28" t="n">
        <v>1613</v>
      </c>
      <c r="AZ4602" s="30"/>
      <c r="BA4602" s="11" t="n">
        <v>1613</v>
      </c>
      <c r="BB4602" s="31" t="n">
        <f aca="false">SUM(Q4602,S4602,U4602,W4602,Y4602,AA4602,AC4602,AE4602,AG4602,AI4602,AK4602,AM4602,AO4602,AQ4602,AS4602,AU4602,AW4602,AY4602)</f>
        <v>1613</v>
      </c>
      <c r="BC4602" s="28" t="n">
        <f aca="false">BA4602-BB4602</f>
        <v>0</v>
      </c>
      <c r="BD4602" s="32" t="n">
        <f aca="false">SUM(P4602,R4602,T4602,V4602,X4602,Z4602,AB4602,AD4602,AF4602,AH4602,AJ4602,AL4602,AN4602,AP4602,AR4602,AT4602,AV4602,AX4602)</f>
        <v>161.33</v>
      </c>
      <c r="BE4602" s="33" t="n">
        <f aca="false">AZ4602-BD4602</f>
        <v>-161.33</v>
      </c>
      <c r="BF4602" s="34" t="n">
        <f aca="false">BD4602*M4602</f>
        <v>1613.3</v>
      </c>
      <c r="BG4602" s="35" t="n">
        <f aca="false">BA4602-BF4602</f>
        <v>-0.300000000000182</v>
      </c>
      <c r="BH4602" s="19" t="str">
        <f aca="false">IF(BG4602=0,"",IF(BG4602&lt;&gt;BA4602,"erreur de calcul",IF(BD4602&lt;&gt;0,"pas de prix",IF(M4602&lt;&gt; 0,"pas de quantité","pas de prix, ni de quantité"))))</f>
        <v>erreur de calcul</v>
      </c>
      <c r="BI4602" s="19"/>
    </row>
    <row r="4603" customFormat="false" ht="15" hidden="false" customHeight="false" outlineLevel="0" collapsed="false">
      <c r="A4603" s="0" t="n">
        <v>38</v>
      </c>
      <c r="B4603" s="8" t="s">
        <v>24</v>
      </c>
      <c r="C4603" s="9" t="s">
        <v>25</v>
      </c>
      <c r="D4603" s="9" t="s">
        <v>26</v>
      </c>
      <c r="E4603" s="10" t="n">
        <v>1789</v>
      </c>
      <c r="F4603" s="9" t="s">
        <v>27</v>
      </c>
      <c r="G4603" s="9" t="s">
        <v>27</v>
      </c>
      <c r="H4603" s="11" t="n">
        <v>18</v>
      </c>
      <c r="I4603" s="11" t="s">
        <v>112</v>
      </c>
      <c r="J4603" s="14" t="n">
        <v>100</v>
      </c>
      <c r="K4603" s="14"/>
      <c r="L4603" s="16"/>
      <c r="M4603" s="27" t="n">
        <f aca="false">J4603+(K4603/20)+(L4603/240)</f>
        <v>100</v>
      </c>
      <c r="N4603" s="17" t="s">
        <v>64</v>
      </c>
      <c r="O4603" s="11"/>
      <c r="P4603" s="28" t="n">
        <f aca="false">69730/100</f>
        <v>697.3</v>
      </c>
      <c r="Q4603" s="28" t="n">
        <v>69730</v>
      </c>
      <c r="R4603" s="28"/>
      <c r="S4603" s="28" t="n">
        <f aca="false">R4603*$M4603</f>
        <v>0</v>
      </c>
      <c r="T4603" s="28"/>
      <c r="U4603" s="28" t="n">
        <f aca="false">T4603*$M4603</f>
        <v>0</v>
      </c>
      <c r="V4603" s="28"/>
      <c r="W4603" s="28" t="n">
        <f aca="false">V4603*$M4603</f>
        <v>0</v>
      </c>
      <c r="X4603" s="29"/>
      <c r="Y4603" s="28" t="n">
        <f aca="false">X4603*$M4603</f>
        <v>0</v>
      </c>
      <c r="Z4603" s="28"/>
      <c r="AA4603" s="28" t="n">
        <f aca="false">Z4603*$M4603</f>
        <v>0</v>
      </c>
      <c r="AB4603" s="28"/>
      <c r="AC4603" s="28" t="n">
        <f aca="false">AB4603*$M4603</f>
        <v>0</v>
      </c>
      <c r="AD4603" s="28"/>
      <c r="AE4603" s="28" t="n">
        <f aca="false">AD4603*$M4603</f>
        <v>0</v>
      </c>
      <c r="AF4603" s="28"/>
      <c r="AG4603" s="28" t="n">
        <f aca="false">AF4603*$M4603</f>
        <v>0</v>
      </c>
      <c r="AH4603" s="28"/>
      <c r="AI4603" s="28" t="n">
        <f aca="false">AH4603*$M4603</f>
        <v>0</v>
      </c>
      <c r="AJ4603" s="28"/>
      <c r="AK4603" s="28" t="n">
        <f aca="false">AJ4603*$M4603</f>
        <v>0</v>
      </c>
      <c r="AL4603" s="28"/>
      <c r="AM4603" s="28" t="n">
        <f aca="false">AL4603*$M4603</f>
        <v>0</v>
      </c>
      <c r="AN4603" s="28"/>
      <c r="AO4603" s="28" t="n">
        <f aca="false">AN4603*$M4603</f>
        <v>0</v>
      </c>
      <c r="AP4603" s="28"/>
      <c r="AQ4603" s="28" t="n">
        <f aca="false">AP4603*$M4603</f>
        <v>0</v>
      </c>
      <c r="AR4603" s="28"/>
      <c r="AS4603" s="28" t="n">
        <f aca="false">AR4603*$M4603</f>
        <v>0</v>
      </c>
      <c r="AT4603" s="28"/>
      <c r="AU4603" s="28" t="n">
        <f aca="false">AT4603*$M4603</f>
        <v>0</v>
      </c>
      <c r="AV4603" s="28"/>
      <c r="AW4603" s="28" t="n">
        <f aca="false">AV4603*$M4603</f>
        <v>0</v>
      </c>
      <c r="AX4603" s="28"/>
      <c r="AY4603" s="28" t="n">
        <f aca="false">AX4603*$M4603</f>
        <v>0</v>
      </c>
      <c r="AZ4603" s="30" t="n">
        <f aca="false">69730/100</f>
        <v>697.3</v>
      </c>
      <c r="BA4603" s="11" t="n">
        <v>69730</v>
      </c>
      <c r="BB4603" s="31" t="n">
        <f aca="false">SUM(Q4603,S4603,U4603,W4603,Y4603,AA4603,AC4603,AE4603,AG4603,AI4603,AK4603,AM4603,AO4603,AQ4603,AS4603,AU4603,AW4603,AY4603)</f>
        <v>69730</v>
      </c>
      <c r="BC4603" s="28" t="n">
        <f aca="false">BA4603-BB4603</f>
        <v>0</v>
      </c>
      <c r="BD4603" s="32" t="n">
        <f aca="false">SUM(P4603,R4603,T4603,V4603,X4603,Z4603,AB4603,AD4603,AF4603,AH4603,AJ4603,AL4603,AN4603,AP4603,AR4603,AT4603,AV4603,AX4603)</f>
        <v>697.3</v>
      </c>
      <c r="BE4603" s="33" t="n">
        <f aca="false">AZ4603-BD4603</f>
        <v>0</v>
      </c>
      <c r="BF4603" s="34" t="n">
        <f aca="false">BD4603*M4603</f>
        <v>69730</v>
      </c>
      <c r="BG4603" s="35" t="n">
        <f aca="false">BA4603-BF4603</f>
        <v>0</v>
      </c>
      <c r="BH4603" s="19" t="str">
        <f aca="false">IF(BG4603=0,"",IF(BG4603&lt;&gt;BA4603,"erreur de calcul",IF(BD4603&lt;&gt;0,"pas de prix",IF(M4603&lt;&gt; 0,"pas de quantité","pas de prix, ni de quantité"))))</f>
        <v/>
      </c>
      <c r="BI4603" s="19" t="s">
        <v>113</v>
      </c>
    </row>
    <row r="4604" customFormat="false" ht="15" hidden="false" customHeight="false" outlineLevel="0" collapsed="false">
      <c r="A4604" s="0" t="n">
        <v>39</v>
      </c>
      <c r="B4604" s="8" t="s">
        <v>24</v>
      </c>
      <c r="C4604" s="9" t="s">
        <v>25</v>
      </c>
      <c r="D4604" s="9" t="s">
        <v>26</v>
      </c>
      <c r="E4604" s="10" t="n">
        <v>1789</v>
      </c>
      <c r="F4604" s="9" t="s">
        <v>27</v>
      </c>
      <c r="G4604" s="9" t="s">
        <v>27</v>
      </c>
      <c r="H4604" s="11" t="n">
        <v>18</v>
      </c>
      <c r="I4604" s="11" t="s">
        <v>112</v>
      </c>
      <c r="J4604" s="14" t="n">
        <v>50</v>
      </c>
      <c r="K4604" s="14"/>
      <c r="L4604" s="16"/>
      <c r="M4604" s="27" t="n">
        <f aca="false">J4604+(K4604/20)+(L4604/240)</f>
        <v>50</v>
      </c>
      <c r="N4604" s="17" t="s">
        <v>64</v>
      </c>
      <c r="O4604" s="11"/>
      <c r="P4604" s="28"/>
      <c r="Q4604" s="28" t="n">
        <f aca="false">P4604*$M4604</f>
        <v>0</v>
      </c>
      <c r="R4604" s="28"/>
      <c r="S4604" s="28" t="n">
        <f aca="false">R4604*$M4604</f>
        <v>0</v>
      </c>
      <c r="T4604" s="28"/>
      <c r="U4604" s="28" t="n">
        <f aca="false">T4604*$M4604</f>
        <v>0</v>
      </c>
      <c r="V4604" s="28" t="n">
        <f aca="false">38043/100</f>
        <v>380.43</v>
      </c>
      <c r="W4604" s="28" t="n">
        <v>19021</v>
      </c>
      <c r="X4604" s="29" t="n">
        <f aca="false">10658/100</f>
        <v>106.58</v>
      </c>
      <c r="Y4604" s="28" t="n">
        <v>5329</v>
      </c>
      <c r="Z4604" s="28"/>
      <c r="AA4604" s="28" t="n">
        <f aca="false">Z4604*$M4604</f>
        <v>0</v>
      </c>
      <c r="AB4604" s="28"/>
      <c r="AC4604" s="28" t="n">
        <f aca="false">AB4604*$M4604</f>
        <v>0</v>
      </c>
      <c r="AD4604" s="28"/>
      <c r="AE4604" s="28" t="n">
        <f aca="false">AD4604*$M4604</f>
        <v>0</v>
      </c>
      <c r="AF4604" s="28"/>
      <c r="AG4604" s="28" t="n">
        <f aca="false">AF4604*$M4604</f>
        <v>0</v>
      </c>
      <c r="AH4604" s="28"/>
      <c r="AI4604" s="28" t="n">
        <f aca="false">AH4604*$M4604</f>
        <v>0</v>
      </c>
      <c r="AJ4604" s="28" t="n">
        <f aca="false">39321/100</f>
        <v>393.21</v>
      </c>
      <c r="AK4604" s="28" t="n">
        <v>19660</v>
      </c>
      <c r="AL4604" s="28"/>
      <c r="AM4604" s="28" t="n">
        <f aca="false">AL4604*$M4604</f>
        <v>0</v>
      </c>
      <c r="AN4604" s="28"/>
      <c r="AO4604" s="28" t="n">
        <f aca="false">AN4604*$M4604</f>
        <v>0</v>
      </c>
      <c r="AP4604" s="28"/>
      <c r="AQ4604" s="28" t="n">
        <f aca="false">AP4604*$M4604</f>
        <v>0</v>
      </c>
      <c r="AR4604" s="28"/>
      <c r="AS4604" s="28" t="n">
        <f aca="false">AR4604*$M4604</f>
        <v>0</v>
      </c>
      <c r="AT4604" s="28"/>
      <c r="AU4604" s="28" t="n">
        <f aca="false">AT4604*$M4604</f>
        <v>0</v>
      </c>
      <c r="AV4604" s="28"/>
      <c r="AW4604" s="28" t="n">
        <f aca="false">AV4604*$M4604</f>
        <v>0</v>
      </c>
      <c r="AX4604" s="28"/>
      <c r="AY4604" s="28" t="n">
        <f aca="false">AX4604*$M4604</f>
        <v>0</v>
      </c>
      <c r="AZ4604" s="30" t="n">
        <f aca="false">88022/100</f>
        <v>880.22</v>
      </c>
      <c r="BA4604" s="11" t="n">
        <v>44010</v>
      </c>
      <c r="BB4604" s="31" t="n">
        <f aca="false">SUM(Q4604,S4604,U4604,W4604,Y4604,AA4604,AC4604,AE4604,AG4604,AI4604,AK4604,AM4604,AO4604,AQ4604,AS4604,AU4604,AW4604,AY4604)</f>
        <v>44010</v>
      </c>
      <c r="BC4604" s="28" t="n">
        <f aca="false">BA4604-BB4604</f>
        <v>0</v>
      </c>
      <c r="BD4604" s="32" t="n">
        <f aca="false">SUM(P4604,R4604,T4604,V4604,X4604,Z4604,AB4604,AD4604,AF4604,AH4604,AJ4604,AL4604,AN4604,AP4604,AR4604,AT4604,AV4604,AX4604)</f>
        <v>880.22</v>
      </c>
      <c r="BE4604" s="33" t="n">
        <f aca="false">AZ4604-BD4604</f>
        <v>0</v>
      </c>
      <c r="BF4604" s="34" t="n">
        <f aca="false">BD4604*M4604</f>
        <v>44011</v>
      </c>
      <c r="BG4604" s="35" t="n">
        <f aca="false">BA4604-BF4604</f>
        <v>-1</v>
      </c>
      <c r="BH4604" s="19" t="str">
        <f aca="false">IF(BG4604=0,"",IF(BG4604&lt;&gt;BA4604,"erreur de calcul",IF(BD4604&lt;&gt;0,"pas de prix",IF(M4604&lt;&gt; 0,"pas de quantité","pas de prix, ni de quantité"))))</f>
        <v>erreur de calcul</v>
      </c>
      <c r="BI4604" s="19" t="s">
        <v>114</v>
      </c>
    </row>
    <row r="4605" customFormat="false" ht="15" hidden="false" customHeight="false" outlineLevel="0" collapsed="false">
      <c r="A4605" s="0" t="n">
        <v>40</v>
      </c>
      <c r="B4605" s="8" t="s">
        <v>24</v>
      </c>
      <c r="C4605" s="9" t="s">
        <v>25</v>
      </c>
      <c r="D4605" s="9" t="s">
        <v>26</v>
      </c>
      <c r="E4605" s="10" t="n">
        <v>1789</v>
      </c>
      <c r="F4605" s="9" t="s">
        <v>27</v>
      </c>
      <c r="G4605" s="9" t="s">
        <v>27</v>
      </c>
      <c r="H4605" s="11" t="n">
        <v>18</v>
      </c>
      <c r="I4605" s="11" t="s">
        <v>115</v>
      </c>
      <c r="J4605" s="14"/>
      <c r="K4605" s="14" t="n">
        <v>28</v>
      </c>
      <c r="L4605" s="16"/>
      <c r="M4605" s="27" t="n">
        <f aca="false">J4605+(K4605/20)+(L4605/240)</f>
        <v>1.4</v>
      </c>
      <c r="N4605" s="17" t="s">
        <v>66</v>
      </c>
      <c r="O4605" s="11" t="s">
        <v>98</v>
      </c>
      <c r="P4605" s="28"/>
      <c r="Q4605" s="28" t="n">
        <f aca="false">P4605*$M4605</f>
        <v>0</v>
      </c>
      <c r="R4605" s="28"/>
      <c r="S4605" s="28" t="n">
        <f aca="false">R4605*$M4605</f>
        <v>0</v>
      </c>
      <c r="T4605" s="28" t="n">
        <v>426</v>
      </c>
      <c r="U4605" s="28" t="n">
        <v>596</v>
      </c>
      <c r="V4605" s="28"/>
      <c r="W4605" s="28" t="n">
        <f aca="false">V4605*$M4605</f>
        <v>0</v>
      </c>
      <c r="X4605" s="29"/>
      <c r="Y4605" s="28" t="n">
        <f aca="false">X4605*$M4605</f>
        <v>0</v>
      </c>
      <c r="Z4605" s="28"/>
      <c r="AA4605" s="28" t="n">
        <f aca="false">Z4605*$M4605</f>
        <v>0</v>
      </c>
      <c r="AB4605" s="28"/>
      <c r="AC4605" s="28" t="n">
        <f aca="false">AB4605*$M4605</f>
        <v>0</v>
      </c>
      <c r="AD4605" s="28"/>
      <c r="AE4605" s="28" t="n">
        <f aca="false">AD4605*$M4605</f>
        <v>0</v>
      </c>
      <c r="AF4605" s="28"/>
      <c r="AG4605" s="28" t="n">
        <f aca="false">AF4605*$M4605</f>
        <v>0</v>
      </c>
      <c r="AH4605" s="28"/>
      <c r="AI4605" s="28" t="n">
        <f aca="false">AH4605*$M4605</f>
        <v>0</v>
      </c>
      <c r="AJ4605" s="28" t="n">
        <v>142</v>
      </c>
      <c r="AK4605" s="28" t="n">
        <v>199</v>
      </c>
      <c r="AL4605" s="28"/>
      <c r="AM4605" s="28" t="n">
        <f aca="false">AL4605*$M4605</f>
        <v>0</v>
      </c>
      <c r="AN4605" s="28"/>
      <c r="AO4605" s="28" t="n">
        <f aca="false">AN4605*$M4605</f>
        <v>0</v>
      </c>
      <c r="AP4605" s="28"/>
      <c r="AQ4605" s="28" t="n">
        <f aca="false">AP4605*$M4605</f>
        <v>0</v>
      </c>
      <c r="AR4605" s="28"/>
      <c r="AS4605" s="28" t="n">
        <f aca="false">AR4605*$M4605</f>
        <v>0</v>
      </c>
      <c r="AT4605" s="28"/>
      <c r="AU4605" s="28" t="n">
        <f aca="false">AT4605*$M4605</f>
        <v>0</v>
      </c>
      <c r="AV4605" s="28"/>
      <c r="AW4605" s="28" t="n">
        <f aca="false">AV4605*$M4605</f>
        <v>0</v>
      </c>
      <c r="AX4605" s="28"/>
      <c r="AY4605" s="28" t="n">
        <f aca="false">AX4605*$M4605</f>
        <v>0</v>
      </c>
      <c r="AZ4605" s="30" t="n">
        <v>568</v>
      </c>
      <c r="BA4605" s="11" t="n">
        <v>795</v>
      </c>
      <c r="BB4605" s="31" t="n">
        <f aca="false">SUM(Q4605,S4605,U4605,W4605,Y4605,AA4605,AC4605,AE4605,AG4605,AI4605,AK4605,AM4605,AO4605,AQ4605,AS4605,AU4605,AW4605,AY4605)</f>
        <v>795</v>
      </c>
      <c r="BC4605" s="28" t="n">
        <f aca="false">BA4605-BB4605</f>
        <v>0</v>
      </c>
      <c r="BD4605" s="32" t="n">
        <f aca="false">SUM(P4605,R4605,T4605,V4605,X4605,Z4605,AB4605,AD4605,AF4605,AH4605,AJ4605,AL4605,AN4605,AP4605,AR4605,AT4605,AV4605,AX4605)</f>
        <v>568</v>
      </c>
      <c r="BE4605" s="33" t="n">
        <f aca="false">AZ4605-BD4605</f>
        <v>0</v>
      </c>
      <c r="BF4605" s="34" t="n">
        <f aca="false">BD4605*M4605</f>
        <v>795.2</v>
      </c>
      <c r="BG4605" s="35" t="n">
        <f aca="false">BA4605-BF4605</f>
        <v>-0.199999999999932</v>
      </c>
      <c r="BH4605" s="19" t="str">
        <f aca="false">IF(BG4605=0,"",IF(BG4605&lt;&gt;BA4605,"erreur de calcul",IF(BD4605&lt;&gt;0,"pas de prix",IF(M4605&lt;&gt; 0,"pas de quantité","pas de prix, ni de quantité"))))</f>
        <v>erreur de calcul</v>
      </c>
      <c r="BI4605" s="19"/>
    </row>
    <row r="4606" customFormat="false" ht="15" hidden="false" customHeight="false" outlineLevel="0" collapsed="false">
      <c r="A4606" s="0" t="n">
        <v>41</v>
      </c>
      <c r="B4606" s="8" t="s">
        <v>24</v>
      </c>
      <c r="C4606" s="9" t="s">
        <v>25</v>
      </c>
      <c r="D4606" s="9" t="s">
        <v>26</v>
      </c>
      <c r="E4606" s="10" t="n">
        <v>1789</v>
      </c>
      <c r="F4606" s="9" t="s">
        <v>27</v>
      </c>
      <c r="G4606" s="9" t="s">
        <v>27</v>
      </c>
      <c r="H4606" s="11" t="n">
        <v>18</v>
      </c>
      <c r="I4606" s="11" t="s">
        <v>116</v>
      </c>
      <c r="J4606" s="14"/>
      <c r="K4606" s="14" t="n">
        <v>40</v>
      </c>
      <c r="L4606" s="16"/>
      <c r="M4606" s="27" t="n">
        <f aca="false">J4606+(K4606/20)+(L4606/240)</f>
        <v>2</v>
      </c>
      <c r="N4606" s="17" t="s">
        <v>66</v>
      </c>
      <c r="O4606" s="11"/>
      <c r="P4606" s="28"/>
      <c r="Q4606" s="28" t="n">
        <f aca="false">P4606*$M4606</f>
        <v>0</v>
      </c>
      <c r="R4606" s="28"/>
      <c r="S4606" s="28" t="n">
        <f aca="false">R4606*$M4606</f>
        <v>0</v>
      </c>
      <c r="T4606" s="28"/>
      <c r="U4606" s="28" t="n">
        <f aca="false">T4606*$M4606</f>
        <v>0</v>
      </c>
      <c r="V4606" s="28"/>
      <c r="W4606" s="28" t="n">
        <f aca="false">V4606*$M4606</f>
        <v>0</v>
      </c>
      <c r="X4606" s="29"/>
      <c r="Y4606" s="28" t="n">
        <f aca="false">X4606*$M4606</f>
        <v>0</v>
      </c>
      <c r="Z4606" s="28"/>
      <c r="AA4606" s="28" t="n">
        <f aca="false">Z4606*$M4606</f>
        <v>0</v>
      </c>
      <c r="AB4606" s="28"/>
      <c r="AC4606" s="28" t="n">
        <f aca="false">AB4606*$M4606</f>
        <v>0</v>
      </c>
      <c r="AD4606" s="28"/>
      <c r="AE4606" s="28" t="n">
        <f aca="false">AD4606*$M4606</f>
        <v>0</v>
      </c>
      <c r="AF4606" s="28"/>
      <c r="AG4606" s="28" t="n">
        <f aca="false">AF4606*$M4606</f>
        <v>0</v>
      </c>
      <c r="AH4606" s="28" t="n">
        <v>232710</v>
      </c>
      <c r="AI4606" s="28" t="n">
        <v>465420</v>
      </c>
      <c r="AJ4606" s="28"/>
      <c r="AK4606" s="28" t="n">
        <f aca="false">AJ4606*$M4606</f>
        <v>0</v>
      </c>
      <c r="AL4606" s="28"/>
      <c r="AM4606" s="28" t="n">
        <f aca="false">AL4606*$M4606</f>
        <v>0</v>
      </c>
      <c r="AN4606" s="28"/>
      <c r="AO4606" s="28" t="n">
        <f aca="false">AN4606*$M4606</f>
        <v>0</v>
      </c>
      <c r="AP4606" s="28"/>
      <c r="AQ4606" s="28" t="n">
        <f aca="false">AP4606*$M4606</f>
        <v>0</v>
      </c>
      <c r="AR4606" s="28"/>
      <c r="AS4606" s="28" t="n">
        <f aca="false">AR4606*$M4606</f>
        <v>0</v>
      </c>
      <c r="AT4606" s="28"/>
      <c r="AU4606" s="28" t="n">
        <f aca="false">AT4606*$M4606</f>
        <v>0</v>
      </c>
      <c r="AV4606" s="28"/>
      <c r="AW4606" s="28" t="n">
        <f aca="false">AV4606*$M4606</f>
        <v>0</v>
      </c>
      <c r="AX4606" s="28"/>
      <c r="AY4606" s="28" t="n">
        <f aca="false">AX4606*$M4606</f>
        <v>0</v>
      </c>
      <c r="AZ4606" s="30" t="n">
        <v>232710</v>
      </c>
      <c r="BA4606" s="11" t="n">
        <v>465420</v>
      </c>
      <c r="BB4606" s="31" t="n">
        <f aca="false">SUM(Q4606,S4606,U4606,W4606,Y4606,AA4606,AC4606,AE4606,AG4606,AI4606,AK4606,AM4606,AO4606,AQ4606,AS4606,AU4606,AW4606,AY4606)</f>
        <v>465420</v>
      </c>
      <c r="BC4606" s="28" t="n">
        <f aca="false">BA4606-BB4606</f>
        <v>0</v>
      </c>
      <c r="BD4606" s="32" t="n">
        <f aca="false">SUM(P4606,R4606,T4606,V4606,X4606,Z4606,AB4606,AD4606,AF4606,AH4606,AJ4606,AL4606,AN4606,AP4606,AR4606,AT4606,AV4606,AX4606)</f>
        <v>232710</v>
      </c>
      <c r="BE4606" s="33" t="n">
        <f aca="false">AZ4606-BD4606</f>
        <v>0</v>
      </c>
      <c r="BF4606" s="34" t="n">
        <f aca="false">BD4606*M4606</f>
        <v>465420</v>
      </c>
      <c r="BG4606" s="35" t="n">
        <f aca="false">BA4606-BF4606</f>
        <v>0</v>
      </c>
      <c r="BH4606" s="19" t="str">
        <f aca="false">IF(BG4606=0,"",IF(BG4606&lt;&gt;BA4606,"erreur de calcul",IF(BD4606&lt;&gt;0,"pas de prix",IF(M4606&lt;&gt; 0,"pas de quantité","pas de prix, ni de quantité"))))</f>
        <v/>
      </c>
      <c r="BI4606" s="19"/>
    </row>
    <row r="4607" customFormat="false" ht="15" hidden="false" customHeight="false" outlineLevel="0" collapsed="false">
      <c r="A4607" s="0" t="n">
        <v>1</v>
      </c>
      <c r="B4607" s="8" t="s">
        <v>24</v>
      </c>
      <c r="C4607" s="9" t="s">
        <v>25</v>
      </c>
      <c r="D4607" s="9" t="s">
        <v>26</v>
      </c>
      <c r="E4607" s="10" t="n">
        <v>1789</v>
      </c>
      <c r="F4607" s="9" t="s">
        <v>27</v>
      </c>
      <c r="G4607" s="9" t="s">
        <v>27</v>
      </c>
      <c r="H4607" s="11" t="n">
        <v>20</v>
      </c>
      <c r="I4607" s="11" t="s">
        <v>117</v>
      </c>
      <c r="J4607" s="14" t="n">
        <v>10</v>
      </c>
      <c r="K4607" s="14"/>
      <c r="L4607" s="16"/>
      <c r="M4607" s="27" t="n">
        <f aca="false">J4607+(K4607/20)+(L4607/240)</f>
        <v>10</v>
      </c>
      <c r="N4607" s="17" t="s">
        <v>64</v>
      </c>
      <c r="O4607" s="11"/>
      <c r="P4607" s="28" t="n">
        <f aca="false">2120/100</f>
        <v>21.2</v>
      </c>
      <c r="Q4607" s="28" t="n">
        <v>212</v>
      </c>
      <c r="R4607" s="28"/>
      <c r="S4607" s="28" t="n">
        <f aca="false">R4607*$M4607</f>
        <v>0</v>
      </c>
      <c r="T4607" s="28" t="n">
        <f aca="false">4184/100</f>
        <v>41.84</v>
      </c>
      <c r="U4607" s="28" t="n">
        <v>418</v>
      </c>
      <c r="V4607" s="28"/>
      <c r="W4607" s="28" t="n">
        <f aca="false">V4607*$M4607</f>
        <v>0</v>
      </c>
      <c r="X4607" s="28"/>
      <c r="Y4607" s="28" t="n">
        <f aca="false">X4607*$M4607</f>
        <v>0</v>
      </c>
      <c r="Z4607" s="28" t="n">
        <f aca="false">4467/100</f>
        <v>44.67</v>
      </c>
      <c r="AA4607" s="28" t="n">
        <v>447</v>
      </c>
      <c r="AB4607" s="28"/>
      <c r="AC4607" s="28" t="n">
        <f aca="false">AB4607*$M4607</f>
        <v>0</v>
      </c>
      <c r="AD4607" s="28"/>
      <c r="AE4607" s="28" t="n">
        <f aca="false">AD4607*$M4607</f>
        <v>0</v>
      </c>
      <c r="AF4607" s="28"/>
      <c r="AG4607" s="28" t="n">
        <f aca="false">AF4607*$M4607</f>
        <v>0</v>
      </c>
      <c r="AH4607" s="28" t="n">
        <f aca="false">37604/100</f>
        <v>376.04</v>
      </c>
      <c r="AI4607" s="28" t="n">
        <v>3760</v>
      </c>
      <c r="AJ4607" s="28"/>
      <c r="AK4607" s="28" t="n">
        <f aca="false">AJ4607*$M4607</f>
        <v>0</v>
      </c>
      <c r="AL4607" s="28"/>
      <c r="AM4607" s="28" t="n">
        <f aca="false">AL4607*$M4607</f>
        <v>0</v>
      </c>
      <c r="AN4607" s="28"/>
      <c r="AO4607" s="28" t="n">
        <f aca="false">AN4607*$M4607</f>
        <v>0</v>
      </c>
      <c r="AP4607" s="28"/>
      <c r="AQ4607" s="28" t="n">
        <f aca="false">AP4607*$M4607</f>
        <v>0</v>
      </c>
      <c r="AR4607" s="28"/>
      <c r="AS4607" s="28" t="n">
        <f aca="false">AR4607*$M4607</f>
        <v>0</v>
      </c>
      <c r="AT4607" s="28"/>
      <c r="AU4607" s="28" t="n">
        <f aca="false">AT4607*$M4607</f>
        <v>0</v>
      </c>
      <c r="AV4607" s="28"/>
      <c r="AW4607" s="28" t="n">
        <f aca="false">AV4607*$M4607</f>
        <v>0</v>
      </c>
      <c r="AX4607" s="28"/>
      <c r="AY4607" s="28" t="n">
        <f aca="false">AX4607*$M4607</f>
        <v>0</v>
      </c>
      <c r="AZ4607" s="30" t="n">
        <f aca="false">46255/100</f>
        <v>462.55</v>
      </c>
      <c r="BA4607" s="11" t="n">
        <v>4837</v>
      </c>
      <c r="BB4607" s="31" t="n">
        <f aca="false">SUM(Q4607,S4607,U4607,W4607,Y4607,AA4607,AC4607,AE4607,AG4607,AI4607,AK4607,AM4607,AO4607,AQ4607,AS4607,AU4607,AW4607,AY4607)</f>
        <v>4837</v>
      </c>
      <c r="BC4607" s="28" t="n">
        <f aca="false">BA4607-BB4607</f>
        <v>0</v>
      </c>
      <c r="BD4607" s="32" t="n">
        <f aca="false">SUM(P4607,R4607,T4607,V4607,X4607,Z4607,AB4607,AD4607,AF4607,AH4607,AJ4607,AL4607,AN4607,AP4607,AR4607,AT4607,AV4607,AX4607)</f>
        <v>483.75</v>
      </c>
      <c r="BE4607" s="33" t="n">
        <f aca="false">AZ4607-BD4607</f>
        <v>-21.2</v>
      </c>
      <c r="BF4607" s="34" t="n">
        <f aca="false">BD4607*M4607</f>
        <v>4837.5</v>
      </c>
      <c r="BG4607" s="35" t="n">
        <f aca="false">BA4607-BF4607</f>
        <v>-0.50000000000091</v>
      </c>
      <c r="BH4607" s="19" t="str">
        <f aca="false">IF(BG4607=0,"",IF(BG4607&lt;&gt;BA4607,"erreur de calcul",IF(BD4607&lt;&gt;0,"pas de prix",IF(M4607&lt;&gt; 0,"pas de quantité","pas de prix, ni de quantité"))))</f>
        <v>erreur de calcul</v>
      </c>
      <c r="BI4607" s="19"/>
    </row>
    <row r="4608" customFormat="false" ht="15" hidden="false" customHeight="false" outlineLevel="0" collapsed="false">
      <c r="A4608" s="0" t="n">
        <v>2</v>
      </c>
      <c r="B4608" s="8" t="s">
        <v>24</v>
      </c>
      <c r="C4608" s="9" t="s">
        <v>25</v>
      </c>
      <c r="D4608" s="9" t="s">
        <v>26</v>
      </c>
      <c r="E4608" s="10" t="n">
        <v>1789</v>
      </c>
      <c r="F4608" s="9" t="s">
        <v>27</v>
      </c>
      <c r="G4608" s="9" t="s">
        <v>27</v>
      </c>
      <c r="H4608" s="11" t="n">
        <v>20</v>
      </c>
      <c r="I4608" s="11" t="s">
        <v>118</v>
      </c>
      <c r="J4608" s="14" t="n">
        <v>10</v>
      </c>
      <c r="K4608" s="14"/>
      <c r="L4608" s="16"/>
      <c r="M4608" s="27" t="n">
        <f aca="false">J4608+(K4608/20)+(L4608/240)</f>
        <v>10</v>
      </c>
      <c r="N4608" s="17" t="s">
        <v>64</v>
      </c>
      <c r="O4608" s="11"/>
      <c r="P4608" s="28" t="n">
        <f aca="false">6450193/100</f>
        <v>64501.93</v>
      </c>
      <c r="Q4608" s="28" t="n">
        <v>645019</v>
      </c>
      <c r="R4608" s="28"/>
      <c r="S4608" s="28" t="n">
        <f aca="false">R4608*$M4608</f>
        <v>0</v>
      </c>
      <c r="T4608" s="28"/>
      <c r="U4608" s="28" t="n">
        <f aca="false">T4608*$M4608</f>
        <v>0</v>
      </c>
      <c r="V4608" s="28"/>
      <c r="W4608" s="28" t="n">
        <f aca="false">V4608*$M4608</f>
        <v>0</v>
      </c>
      <c r="X4608" s="28"/>
      <c r="Y4608" s="28" t="n">
        <f aca="false">X4608*$M4608</f>
        <v>0</v>
      </c>
      <c r="Z4608" s="28"/>
      <c r="AA4608" s="28" t="n">
        <f aca="false">Z4608*$M4608</f>
        <v>0</v>
      </c>
      <c r="AB4608" s="28" t="n">
        <f aca="false">601547/100</f>
        <v>6015.47</v>
      </c>
      <c r="AC4608" s="28" t="n">
        <v>60155</v>
      </c>
      <c r="AD4608" s="28"/>
      <c r="AE4608" s="28" t="n">
        <f aca="false">AD4608*$M4608</f>
        <v>0</v>
      </c>
      <c r="AF4608" s="28" t="n">
        <f aca="false">727551/100</f>
        <v>7275.51</v>
      </c>
      <c r="AG4608" s="28" t="n">
        <v>72755</v>
      </c>
      <c r="AH4608" s="28" t="n">
        <f aca="false">52982/100</f>
        <v>529.82</v>
      </c>
      <c r="AI4608" s="28" t="n">
        <v>5299</v>
      </c>
      <c r="AJ4608" s="28"/>
      <c r="AK4608" s="28" t="n">
        <f aca="false">AJ4608*$M4608</f>
        <v>0</v>
      </c>
      <c r="AL4608" s="28"/>
      <c r="AM4608" s="28" t="n">
        <f aca="false">AL4608*$M4608</f>
        <v>0</v>
      </c>
      <c r="AN4608" s="28"/>
      <c r="AO4608" s="28" t="n">
        <f aca="false">AN4608*$M4608</f>
        <v>0</v>
      </c>
      <c r="AP4608" s="28"/>
      <c r="AQ4608" s="28" t="n">
        <f aca="false">AP4608*$M4608</f>
        <v>0</v>
      </c>
      <c r="AR4608" s="28"/>
      <c r="AS4608" s="28" t="n">
        <f aca="false">AR4608*$M4608</f>
        <v>0</v>
      </c>
      <c r="AT4608" s="28"/>
      <c r="AU4608" s="28" t="n">
        <f aca="false">AT4608*$M4608</f>
        <v>0</v>
      </c>
      <c r="AV4608" s="28"/>
      <c r="AW4608" s="28" t="n">
        <f aca="false">AV4608*$M4608</f>
        <v>0</v>
      </c>
      <c r="AX4608" s="28"/>
      <c r="AY4608" s="28" t="n">
        <f aca="false">AX4608*$M4608</f>
        <v>0</v>
      </c>
      <c r="AZ4608" s="30" t="n">
        <f aca="false">7832273/100</f>
        <v>78322.73</v>
      </c>
      <c r="BA4608" s="11" t="n">
        <v>783228</v>
      </c>
      <c r="BB4608" s="31" t="n">
        <f aca="false">SUM(Q4608,S4608,U4608,W4608,Y4608,AA4608,AC4608,AE4608,AG4608,AI4608,AK4608,AM4608,AO4608,AQ4608,AS4608,AU4608,AW4608,AY4608)</f>
        <v>783228</v>
      </c>
      <c r="BC4608" s="28" t="n">
        <f aca="false">BA4608-BB4608</f>
        <v>0</v>
      </c>
      <c r="BD4608" s="32" t="n">
        <f aca="false">SUM(P4608,R4608,T4608,V4608,X4608,Z4608,AB4608,AD4608,AF4608,AH4608,AJ4608,AL4608,AN4608,AP4608,AR4608,AT4608,AV4608,AX4608)</f>
        <v>78322.73</v>
      </c>
      <c r="BE4608" s="33" t="n">
        <f aca="false">AZ4608-BD4608</f>
        <v>0</v>
      </c>
      <c r="BF4608" s="34" t="n">
        <f aca="false">BD4608*M4608</f>
        <v>783227.3</v>
      </c>
      <c r="BG4608" s="35" t="n">
        <f aca="false">BA4608-BF4608</f>
        <v>0.700000000069849</v>
      </c>
      <c r="BH4608" s="19" t="str">
        <f aca="false">IF(BG4608=0,"",IF(BG4608&lt;&gt;BA4608,"erreur de calcul",IF(BD4608&lt;&gt;0,"pas de prix",IF(M4608&lt;&gt; 0,"pas de quantité","pas de prix, ni de quantité"))))</f>
        <v>erreur de calcul</v>
      </c>
      <c r="BI4608" s="19"/>
    </row>
    <row r="4609" customFormat="false" ht="15" hidden="false" customHeight="false" outlineLevel="0" collapsed="false">
      <c r="A4609" s="0" t="n">
        <v>3</v>
      </c>
      <c r="B4609" s="8" t="s">
        <v>24</v>
      </c>
      <c r="C4609" s="9" t="s">
        <v>25</v>
      </c>
      <c r="D4609" s="9" t="s">
        <v>26</v>
      </c>
      <c r="E4609" s="10" t="n">
        <v>1789</v>
      </c>
      <c r="F4609" s="9" t="s">
        <v>27</v>
      </c>
      <c r="G4609" s="9" t="s">
        <v>27</v>
      </c>
      <c r="H4609" s="11" t="n">
        <v>20</v>
      </c>
      <c r="I4609" s="11" t="s">
        <v>119</v>
      </c>
      <c r="J4609" s="14" t="n">
        <v>10</v>
      </c>
      <c r="K4609" s="14"/>
      <c r="L4609" s="16"/>
      <c r="M4609" s="27" t="n">
        <f aca="false">J4609+(K4609/20)+(L4609/240)</f>
        <v>10</v>
      </c>
      <c r="N4609" s="17" t="s">
        <v>64</v>
      </c>
      <c r="O4609" s="11"/>
      <c r="P4609" s="28" t="n">
        <f aca="false">2617064/100</f>
        <v>26170.64</v>
      </c>
      <c r="Q4609" s="28" t="n">
        <v>261706</v>
      </c>
      <c r="R4609" s="28"/>
      <c r="S4609" s="28" t="n">
        <f aca="false">R4609*$M4609</f>
        <v>0</v>
      </c>
      <c r="T4609" s="28" t="n">
        <f aca="false">251959/100</f>
        <v>2519.59</v>
      </c>
      <c r="U4609" s="28" t="n">
        <v>25196</v>
      </c>
      <c r="V4609" s="28"/>
      <c r="W4609" s="28" t="n">
        <f aca="false">V4609*$M4609</f>
        <v>0</v>
      </c>
      <c r="X4609" s="28"/>
      <c r="Y4609" s="28" t="n">
        <f aca="false">X4609*$M4609</f>
        <v>0</v>
      </c>
      <c r="Z4609" s="28"/>
      <c r="AA4609" s="28" t="n">
        <f aca="false">Z4609*$M4609</f>
        <v>0</v>
      </c>
      <c r="AB4609" s="28"/>
      <c r="AC4609" s="28" t="n">
        <f aca="false">AB4609*$M4609</f>
        <v>0</v>
      </c>
      <c r="AD4609" s="28"/>
      <c r="AE4609" s="28" t="n">
        <f aca="false">AD4609*$M4609</f>
        <v>0</v>
      </c>
      <c r="AF4609" s="28"/>
      <c r="AG4609" s="28" t="n">
        <f aca="false">AF4609*$M4609</f>
        <v>0</v>
      </c>
      <c r="AH4609" s="28"/>
      <c r="AI4609" s="28" t="n">
        <f aca="false">AH4609*$M4609</f>
        <v>0</v>
      </c>
      <c r="AJ4609" s="28"/>
      <c r="AK4609" s="28" t="n">
        <f aca="false">AJ4609*$M4609</f>
        <v>0</v>
      </c>
      <c r="AL4609" s="28"/>
      <c r="AM4609" s="28" t="n">
        <f aca="false">AL4609*$M4609</f>
        <v>0</v>
      </c>
      <c r="AN4609" s="28"/>
      <c r="AO4609" s="28" t="n">
        <f aca="false">AN4609*$M4609</f>
        <v>0</v>
      </c>
      <c r="AP4609" s="28"/>
      <c r="AQ4609" s="28" t="n">
        <f aca="false">AP4609*$M4609</f>
        <v>0</v>
      </c>
      <c r="AR4609" s="28"/>
      <c r="AS4609" s="28" t="n">
        <f aca="false">AR4609*$M4609</f>
        <v>0</v>
      </c>
      <c r="AT4609" s="28"/>
      <c r="AU4609" s="28" t="n">
        <f aca="false">AT4609*$M4609</f>
        <v>0</v>
      </c>
      <c r="AV4609" s="28"/>
      <c r="AW4609" s="28" t="n">
        <f aca="false">AV4609*$M4609</f>
        <v>0</v>
      </c>
      <c r="AX4609" s="28"/>
      <c r="AY4609" s="28" t="n">
        <f aca="false">AX4609*$M4609</f>
        <v>0</v>
      </c>
      <c r="AZ4609" s="30" t="n">
        <f aca="false">2869023/100</f>
        <v>28690.23</v>
      </c>
      <c r="BA4609" s="11" t="n">
        <v>286902</v>
      </c>
      <c r="BB4609" s="31" t="n">
        <f aca="false">SUM(Q4609,S4609,U4609,W4609,Y4609,AA4609,AC4609,AE4609,AG4609,AI4609,AK4609,AM4609,AO4609,AQ4609,AS4609,AU4609,AW4609,AY4609)</f>
        <v>286902</v>
      </c>
      <c r="BC4609" s="28" t="n">
        <f aca="false">BA4609-BB4609</f>
        <v>0</v>
      </c>
      <c r="BD4609" s="32" t="n">
        <f aca="false">SUM(P4609,R4609,T4609,V4609,X4609,Z4609,AB4609,AD4609,AF4609,AH4609,AJ4609,AL4609,AN4609,AP4609,AR4609,AT4609,AV4609,AX4609)</f>
        <v>28690.23</v>
      </c>
      <c r="BE4609" s="33" t="n">
        <f aca="false">AZ4609-BD4609</f>
        <v>0</v>
      </c>
      <c r="BF4609" s="34" t="n">
        <f aca="false">BD4609*M4609</f>
        <v>286902.3</v>
      </c>
      <c r="BG4609" s="35" t="n">
        <f aca="false">BA4609-BF4609</f>
        <v>-0.299999999988358</v>
      </c>
      <c r="BH4609" s="19" t="str">
        <f aca="false">IF(BG4609=0,"",IF(BG4609&lt;&gt;BA4609,"erreur de calcul",IF(BD4609&lt;&gt;0,"pas de prix",IF(M4609&lt;&gt; 0,"pas de quantité","pas de prix, ni de quantité"))))</f>
        <v>erreur de calcul</v>
      </c>
      <c r="BI4609" s="19"/>
    </row>
    <row r="4610" customFormat="false" ht="16.65" hidden="false" customHeight="false" outlineLevel="0" collapsed="false">
      <c r="A4610" s="0" t="n">
        <v>4</v>
      </c>
      <c r="B4610" s="8" t="s">
        <v>24</v>
      </c>
      <c r="C4610" s="9" t="s">
        <v>25</v>
      </c>
      <c r="D4610" s="9" t="s">
        <v>26</v>
      </c>
      <c r="E4610" s="10" t="n">
        <v>1789</v>
      </c>
      <c r="F4610" s="9" t="s">
        <v>27</v>
      </c>
      <c r="G4610" s="9" t="s">
        <v>27</v>
      </c>
      <c r="H4610" s="11" t="n">
        <v>20</v>
      </c>
      <c r="I4610" s="11" t="s">
        <v>120</v>
      </c>
      <c r="J4610" s="14" t="n">
        <v>12</v>
      </c>
      <c r="K4610" s="14"/>
      <c r="L4610" s="16"/>
      <c r="M4610" s="27" t="n">
        <f aca="false">J4610+(K4610/20)+(L4610/240)</f>
        <v>12</v>
      </c>
      <c r="N4610" s="17" t="s">
        <v>64</v>
      </c>
      <c r="O4610" s="11" t="s">
        <v>77</v>
      </c>
      <c r="P4610" s="28"/>
      <c r="Q4610" s="28" t="n">
        <f aca="false">P4610*$M4610</f>
        <v>0</v>
      </c>
      <c r="R4610" s="28"/>
      <c r="S4610" s="28" t="n">
        <f aca="false">R4610*$M4610</f>
        <v>0</v>
      </c>
      <c r="T4610" s="28"/>
      <c r="U4610" s="28" t="n">
        <f aca="false">T4610*$M4610</f>
        <v>0</v>
      </c>
      <c r="V4610" s="28" t="n">
        <f aca="false">15268/100</f>
        <v>152.68</v>
      </c>
      <c r="W4610" s="28" t="n">
        <v>1832</v>
      </c>
      <c r="X4610" s="28"/>
      <c r="Y4610" s="28" t="n">
        <f aca="false">X4610*$M4610</f>
        <v>0</v>
      </c>
      <c r="Z4610" s="28"/>
      <c r="AA4610" s="28" t="n">
        <f aca="false">Z4610*$M4610</f>
        <v>0</v>
      </c>
      <c r="AB4610" s="28"/>
      <c r="AC4610" s="28" t="n">
        <f aca="false">AB4610*$M4610</f>
        <v>0</v>
      </c>
      <c r="AD4610" s="28"/>
      <c r="AE4610" s="28" t="n">
        <f aca="false">AD4610*$M4610</f>
        <v>0</v>
      </c>
      <c r="AF4610" s="28"/>
      <c r="AG4610" s="28" t="n">
        <f aca="false">AF4610*$M4610</f>
        <v>0</v>
      </c>
      <c r="AH4610" s="28" t="n">
        <f aca="false">26667/100</f>
        <v>266.67</v>
      </c>
      <c r="AI4610" s="28" t="n">
        <v>3200</v>
      </c>
      <c r="AJ4610" s="28"/>
      <c r="AK4610" s="28" t="n">
        <f aca="false">AJ4610*$M4610</f>
        <v>0</v>
      </c>
      <c r="AL4610" s="28"/>
      <c r="AM4610" s="28" t="n">
        <f aca="false">AL4610*$M4610</f>
        <v>0</v>
      </c>
      <c r="AN4610" s="28"/>
      <c r="AO4610" s="28" t="n">
        <f aca="false">AN4610*$M4610</f>
        <v>0</v>
      </c>
      <c r="AP4610" s="28"/>
      <c r="AQ4610" s="28" t="n">
        <f aca="false">AP4610*$M4610</f>
        <v>0</v>
      </c>
      <c r="AR4610" s="28"/>
      <c r="AS4610" s="28" t="n">
        <f aca="false">AR4610*$M4610</f>
        <v>0</v>
      </c>
      <c r="AT4610" s="28"/>
      <c r="AU4610" s="28" t="n">
        <f aca="false">AT4610*$M4610</f>
        <v>0</v>
      </c>
      <c r="AV4610" s="28"/>
      <c r="AW4610" s="28" t="n">
        <f aca="false">AV4610*$M4610</f>
        <v>0</v>
      </c>
      <c r="AX4610" s="28"/>
      <c r="AY4610" s="28" t="n">
        <f aca="false">AX4610*$M4610</f>
        <v>0</v>
      </c>
      <c r="AZ4610" s="30" t="n">
        <f aca="false">41935/100</f>
        <v>419.35</v>
      </c>
      <c r="BA4610" s="11" t="n">
        <v>5032</v>
      </c>
      <c r="BB4610" s="31" t="n">
        <f aca="false">SUM(Q4610,S4610,U4610,W4610,Y4610,AA4610,AC4610,AE4610,AG4610,AI4610,AK4610,AM4610,AO4610,AQ4610,AS4610,AU4610,AW4610,AY4610)</f>
        <v>5032</v>
      </c>
      <c r="BC4610" s="28" t="n">
        <f aca="false">BA4610-BB4610</f>
        <v>0</v>
      </c>
      <c r="BD4610" s="32" t="n">
        <f aca="false">SUM(P4610,R4610,T4610,V4610,X4610,Z4610,AB4610,AD4610,AF4610,AH4610,AJ4610,AL4610,AN4610,AP4610,AR4610,AT4610,AV4610,AX4610)</f>
        <v>419.35</v>
      </c>
      <c r="BE4610" s="33" t="n">
        <f aca="false">AZ4610-BD4610</f>
        <v>0</v>
      </c>
      <c r="BF4610" s="34" t="n">
        <f aca="false">BD4610*M4610</f>
        <v>5032.2</v>
      </c>
      <c r="BG4610" s="35" t="n">
        <f aca="false">BA4610-BF4610</f>
        <v>-0.200000000000728</v>
      </c>
      <c r="BH4610" s="19" t="str">
        <f aca="false">IF(BG4610=0,"",IF(BG4610&lt;&gt;BA4610,"erreur de calcul",IF(BD4610&lt;&gt;0,"pas de prix",IF(M4610&lt;&gt; 0,"pas de quantité","pas de prix, ni de quantité"))))</f>
        <v>erreur de calcul</v>
      </c>
      <c r="BI4610" s="19"/>
    </row>
    <row r="4611" customFormat="false" ht="15" hidden="false" customHeight="false" outlineLevel="0" collapsed="false">
      <c r="A4611" s="0" t="n">
        <v>5</v>
      </c>
      <c r="B4611" s="8" t="s">
        <v>24</v>
      </c>
      <c r="C4611" s="9" t="s">
        <v>25</v>
      </c>
      <c r="D4611" s="9" t="s">
        <v>26</v>
      </c>
      <c r="E4611" s="10" t="n">
        <v>1789</v>
      </c>
      <c r="F4611" s="9" t="s">
        <v>27</v>
      </c>
      <c r="G4611" s="9" t="s">
        <v>27</v>
      </c>
      <c r="H4611" s="11" t="n">
        <v>20</v>
      </c>
      <c r="I4611" s="11" t="s">
        <v>121</v>
      </c>
      <c r="J4611" s="14" t="n">
        <v>28</v>
      </c>
      <c r="K4611" s="14"/>
      <c r="L4611" s="16"/>
      <c r="M4611" s="27" t="n">
        <f aca="false">J4611+(K4611/20)+(L4611/240)</f>
        <v>28</v>
      </c>
      <c r="N4611" s="17" t="s">
        <v>64</v>
      </c>
      <c r="O4611" s="11"/>
      <c r="P4611" s="28"/>
      <c r="Q4611" s="28" t="n">
        <f aca="false">P4611*$M4611</f>
        <v>0</v>
      </c>
      <c r="R4611" s="28"/>
      <c r="S4611" s="28" t="n">
        <f aca="false">R4611*$M4611</f>
        <v>0</v>
      </c>
      <c r="T4611" s="28"/>
      <c r="U4611" s="28" t="n">
        <f aca="false">T4611*$M4611</f>
        <v>0</v>
      </c>
      <c r="V4611" s="28"/>
      <c r="W4611" s="28" t="n">
        <f aca="false">V4611*$M4611</f>
        <v>0</v>
      </c>
      <c r="X4611" s="28" t="n">
        <f aca="false">187504/100</f>
        <v>1875.04</v>
      </c>
      <c r="Y4611" s="28" t="n">
        <v>52501</v>
      </c>
      <c r="Z4611" s="28" t="n">
        <f aca="false">1041667/100</f>
        <v>10416.67</v>
      </c>
      <c r="AA4611" s="28" t="n">
        <v>291667</v>
      </c>
      <c r="AB4611" s="28"/>
      <c r="AC4611" s="28" t="n">
        <f aca="false">AB4611*$M4611</f>
        <v>0</v>
      </c>
      <c r="AD4611" s="28"/>
      <c r="AE4611" s="28" t="n">
        <f aca="false">AD4611*$M4611</f>
        <v>0</v>
      </c>
      <c r="AF4611" s="28"/>
      <c r="AG4611" s="28" t="n">
        <f aca="false">AF4611*$M4611</f>
        <v>0</v>
      </c>
      <c r="AH4611" s="28"/>
      <c r="AI4611" s="28" t="n">
        <f aca="false">AH4611*$M4611</f>
        <v>0</v>
      </c>
      <c r="AJ4611" s="28"/>
      <c r="AK4611" s="28" t="n">
        <f aca="false">AJ4611*$M4611</f>
        <v>0</v>
      </c>
      <c r="AL4611" s="28"/>
      <c r="AM4611" s="28" t="n">
        <f aca="false">AL4611*$M4611</f>
        <v>0</v>
      </c>
      <c r="AN4611" s="28"/>
      <c r="AO4611" s="28" t="n">
        <f aca="false">AN4611*$M4611</f>
        <v>0</v>
      </c>
      <c r="AP4611" s="28"/>
      <c r="AQ4611" s="28" t="n">
        <f aca="false">AP4611*$M4611</f>
        <v>0</v>
      </c>
      <c r="AR4611" s="28"/>
      <c r="AS4611" s="28" t="n">
        <f aca="false">AR4611*$M4611</f>
        <v>0</v>
      </c>
      <c r="AT4611" s="28"/>
      <c r="AU4611" s="28" t="n">
        <f aca="false">AT4611*$M4611</f>
        <v>0</v>
      </c>
      <c r="AV4611" s="28"/>
      <c r="AW4611" s="28" t="n">
        <f aca="false">AV4611*$M4611</f>
        <v>0</v>
      </c>
      <c r="AX4611" s="28"/>
      <c r="AY4611" s="28" t="n">
        <f aca="false">AX4611*$M4611</f>
        <v>0</v>
      </c>
      <c r="AZ4611" s="30" t="n">
        <f aca="false">1229171/100</f>
        <v>12291.71</v>
      </c>
      <c r="BA4611" s="11" t="n">
        <v>344168</v>
      </c>
      <c r="BB4611" s="31" t="n">
        <f aca="false">SUM(Q4611,S4611,U4611,W4611,Y4611,AA4611,AC4611,AE4611,AG4611,AI4611,AK4611,AM4611,AO4611,AQ4611,AS4611,AU4611,AW4611,AY4611)</f>
        <v>344168</v>
      </c>
      <c r="BC4611" s="28" t="n">
        <f aca="false">BA4611-BB4611</f>
        <v>0</v>
      </c>
      <c r="BD4611" s="32" t="n">
        <f aca="false">SUM(P4611,R4611,T4611,V4611,X4611,Z4611,AB4611,AD4611,AF4611,AH4611,AJ4611,AL4611,AN4611,AP4611,AR4611,AT4611,AV4611,AX4611)</f>
        <v>12291.71</v>
      </c>
      <c r="BE4611" s="33" t="n">
        <f aca="false">AZ4611-BD4611</f>
        <v>0</v>
      </c>
      <c r="BF4611" s="34" t="n">
        <f aca="false">BD4611*M4611</f>
        <v>344167.88</v>
      </c>
      <c r="BG4611" s="35" t="n">
        <f aca="false">BA4611-BF4611</f>
        <v>0.119999999995343</v>
      </c>
      <c r="BH4611" s="19" t="str">
        <f aca="false">IF(BG4611=0,"",IF(BG4611&lt;&gt;BA4611,"erreur de calcul",IF(BD4611&lt;&gt;0,"pas de prix",IF(M4611&lt;&gt; 0,"pas de quantité","pas de prix, ni de quantité"))))</f>
        <v>erreur de calcul</v>
      </c>
      <c r="BI4611" s="19"/>
    </row>
    <row r="4612" customFormat="false" ht="15" hidden="false" customHeight="false" outlineLevel="0" collapsed="false">
      <c r="A4612" s="0" t="n">
        <v>6</v>
      </c>
      <c r="B4612" s="8" t="s">
        <v>24</v>
      </c>
      <c r="C4612" s="9" t="s">
        <v>25</v>
      </c>
      <c r="D4612" s="9" t="s">
        <v>26</v>
      </c>
      <c r="E4612" s="10" t="n">
        <v>1789</v>
      </c>
      <c r="F4612" s="9" t="s">
        <v>27</v>
      </c>
      <c r="G4612" s="9" t="s">
        <v>27</v>
      </c>
      <c r="H4612" s="11" t="n">
        <v>20</v>
      </c>
      <c r="I4612" s="11" t="s">
        <v>122</v>
      </c>
      <c r="J4612" s="14" t="n">
        <v>16</v>
      </c>
      <c r="K4612" s="14"/>
      <c r="L4612" s="16"/>
      <c r="M4612" s="27" t="n">
        <f aca="false">J4612+(K4612/20)+(L4612/240)</f>
        <v>16</v>
      </c>
      <c r="N4612" s="17" t="s">
        <v>64</v>
      </c>
      <c r="O4612" s="11"/>
      <c r="P4612" s="28" t="n">
        <f aca="false">1774951/100</f>
        <v>17749.51</v>
      </c>
      <c r="Q4612" s="28" t="n">
        <v>283992</v>
      </c>
      <c r="R4612" s="28"/>
      <c r="S4612" s="28" t="n">
        <f aca="false">R4612*$M4612</f>
        <v>0</v>
      </c>
      <c r="T4612" s="28"/>
      <c r="U4612" s="28" t="n">
        <f aca="false">T4612*$M4612</f>
        <v>0</v>
      </c>
      <c r="V4612" s="28" t="n">
        <f aca="false">20834/100</f>
        <v>208.34</v>
      </c>
      <c r="W4612" s="28" t="n">
        <v>3333</v>
      </c>
      <c r="X4612" s="28" t="n">
        <f aca="false">85901/100</f>
        <v>859.01</v>
      </c>
      <c r="Y4612" s="28" t="n">
        <v>13744</v>
      </c>
      <c r="Z4612" s="28"/>
      <c r="AA4612" s="28" t="n">
        <f aca="false">Z4612*$M4612</f>
        <v>0</v>
      </c>
      <c r="AB4612" s="28" t="n">
        <f aca="false">6847841/100</f>
        <v>68478.41</v>
      </c>
      <c r="AC4612" s="28" t="n">
        <v>1095654</v>
      </c>
      <c r="AD4612" s="28"/>
      <c r="AE4612" s="28" t="n">
        <f aca="false">AD4612*$M4612</f>
        <v>0</v>
      </c>
      <c r="AF4612" s="28"/>
      <c r="AG4612" s="28" t="n">
        <f aca="false">AF4612*$M4612</f>
        <v>0</v>
      </c>
      <c r="AH4612" s="28" t="n">
        <f aca="false">50417/100</f>
        <v>504.17</v>
      </c>
      <c r="AI4612" s="28" t="n">
        <v>8067</v>
      </c>
      <c r="AJ4612" s="28"/>
      <c r="AK4612" s="28" t="n">
        <f aca="false">AJ4612*$M4612</f>
        <v>0</v>
      </c>
      <c r="AL4612" s="28"/>
      <c r="AM4612" s="28" t="n">
        <f aca="false">AL4612*$M4612</f>
        <v>0</v>
      </c>
      <c r="AN4612" s="28"/>
      <c r="AO4612" s="28" t="n">
        <f aca="false">AN4612*$M4612</f>
        <v>0</v>
      </c>
      <c r="AP4612" s="28"/>
      <c r="AQ4612" s="28" t="n">
        <f aca="false">AP4612*$M4612</f>
        <v>0</v>
      </c>
      <c r="AR4612" s="28"/>
      <c r="AS4612" s="28" t="n">
        <f aca="false">AR4612*$M4612</f>
        <v>0</v>
      </c>
      <c r="AT4612" s="28"/>
      <c r="AU4612" s="28" t="n">
        <f aca="false">AT4612*$M4612</f>
        <v>0</v>
      </c>
      <c r="AV4612" s="28"/>
      <c r="AW4612" s="28" t="n">
        <f aca="false">AV4612*$M4612</f>
        <v>0</v>
      </c>
      <c r="AX4612" s="28"/>
      <c r="AY4612" s="28" t="n">
        <f aca="false">AX4612*$M4612</f>
        <v>0</v>
      </c>
      <c r="AZ4612" s="30" t="n">
        <f aca="false">8779944/100</f>
        <v>87799.44</v>
      </c>
      <c r="BA4612" s="11" t="n">
        <v>1404790</v>
      </c>
      <c r="BB4612" s="31" t="n">
        <f aca="false">SUM(Q4612,S4612,U4612,W4612,Y4612,AA4612,AC4612,AE4612,AG4612,AI4612,AK4612,AM4612,AO4612,AQ4612,AS4612,AU4612,AW4612,AY4612)</f>
        <v>1404790</v>
      </c>
      <c r="BC4612" s="28" t="n">
        <f aca="false">BA4612-BB4612</f>
        <v>0</v>
      </c>
      <c r="BD4612" s="32" t="n">
        <f aca="false">SUM(P4612,R4612,T4612,V4612,X4612,Z4612,AB4612,AD4612,AF4612,AH4612,AJ4612,AL4612,AN4612,AP4612,AR4612,AT4612,AV4612,AX4612)</f>
        <v>87799.44</v>
      </c>
      <c r="BE4612" s="33" t="n">
        <f aca="false">AZ4612-BD4612</f>
        <v>0</v>
      </c>
      <c r="BF4612" s="34" t="n">
        <f aca="false">BD4612*M4612</f>
        <v>1404791.04</v>
      </c>
      <c r="BG4612" s="35" t="n">
        <f aca="false">BA4612-BF4612</f>
        <v>-1.03999999980442</v>
      </c>
      <c r="BH4612" s="19" t="str">
        <f aca="false">IF(BG4612=0,"",IF(BG4612&lt;&gt;BA4612,"erreur de calcul",IF(BD4612&lt;&gt;0,"pas de prix",IF(M4612&lt;&gt; 0,"pas de quantité","pas de prix, ni de quantité"))))</f>
        <v>erreur de calcul</v>
      </c>
      <c r="BI4612" s="19"/>
    </row>
    <row r="4613" customFormat="false" ht="15" hidden="false" customHeight="false" outlineLevel="0" collapsed="false">
      <c r="A4613" s="0" t="n">
        <v>7</v>
      </c>
      <c r="B4613" s="8" t="s">
        <v>24</v>
      </c>
      <c r="C4613" s="9" t="s">
        <v>25</v>
      </c>
      <c r="D4613" s="9" t="s">
        <v>26</v>
      </c>
      <c r="E4613" s="10" t="n">
        <v>1789</v>
      </c>
      <c r="F4613" s="9" t="s">
        <v>27</v>
      </c>
      <c r="G4613" s="9" t="s">
        <v>27</v>
      </c>
      <c r="H4613" s="11" t="n">
        <v>20</v>
      </c>
      <c r="I4613" s="11" t="s">
        <v>123</v>
      </c>
      <c r="J4613" s="14" t="n">
        <v>12</v>
      </c>
      <c r="K4613" s="14"/>
      <c r="L4613" s="16"/>
      <c r="M4613" s="27" t="n">
        <f aca="false">J4613+(K4613/20)+(L4613/240)</f>
        <v>12</v>
      </c>
      <c r="N4613" s="17" t="s">
        <v>64</v>
      </c>
      <c r="O4613" s="11"/>
      <c r="P4613" s="28"/>
      <c r="Q4613" s="28" t="n">
        <f aca="false">P4613*$M4613</f>
        <v>0</v>
      </c>
      <c r="R4613" s="28"/>
      <c r="S4613" s="28" t="n">
        <f aca="false">R4613*$M4613</f>
        <v>0</v>
      </c>
      <c r="T4613" s="28"/>
      <c r="U4613" s="28" t="n">
        <f aca="false">T4613*$M4613</f>
        <v>0</v>
      </c>
      <c r="V4613" s="28"/>
      <c r="W4613" s="28" t="n">
        <f aca="false">V4613*$M4613</f>
        <v>0</v>
      </c>
      <c r="X4613" s="28"/>
      <c r="Y4613" s="28" t="n">
        <f aca="false">X4613*$M4613</f>
        <v>0</v>
      </c>
      <c r="Z4613" s="28"/>
      <c r="AA4613" s="28" t="n">
        <f aca="false">Z4613*$M4613</f>
        <v>0</v>
      </c>
      <c r="AB4613" s="28"/>
      <c r="AC4613" s="28" t="n">
        <f aca="false">AB4613*$M4613</f>
        <v>0</v>
      </c>
      <c r="AD4613" s="28"/>
      <c r="AE4613" s="28" t="n">
        <f aca="false">AD4613*$M4613</f>
        <v>0</v>
      </c>
      <c r="AF4613" s="28"/>
      <c r="AG4613" s="28" t="n">
        <f aca="false">AF4613*$M4613</f>
        <v>0</v>
      </c>
      <c r="AH4613" s="28" t="n">
        <f aca="false">5697511/100</f>
        <v>56975.11</v>
      </c>
      <c r="AI4613" s="28" t="n">
        <v>683701</v>
      </c>
      <c r="AJ4613" s="28"/>
      <c r="AK4613" s="28" t="n">
        <f aca="false">AJ4613*$M4613</f>
        <v>0</v>
      </c>
      <c r="AL4613" s="28"/>
      <c r="AM4613" s="28" t="n">
        <f aca="false">AL4613*$M4613</f>
        <v>0</v>
      </c>
      <c r="AN4613" s="28"/>
      <c r="AO4613" s="28" t="n">
        <f aca="false">AN4613*$M4613</f>
        <v>0</v>
      </c>
      <c r="AP4613" s="28"/>
      <c r="AQ4613" s="28" t="n">
        <f aca="false">AP4613*$M4613</f>
        <v>0</v>
      </c>
      <c r="AR4613" s="28"/>
      <c r="AS4613" s="28" t="n">
        <f aca="false">AR4613*$M4613</f>
        <v>0</v>
      </c>
      <c r="AT4613" s="28"/>
      <c r="AU4613" s="28" t="n">
        <f aca="false">AT4613*$M4613</f>
        <v>0</v>
      </c>
      <c r="AV4613" s="28"/>
      <c r="AW4613" s="28" t="n">
        <f aca="false">AV4613*$M4613</f>
        <v>0</v>
      </c>
      <c r="AX4613" s="28"/>
      <c r="AY4613" s="28" t="n">
        <f aca="false">AX4613*$M4613</f>
        <v>0</v>
      </c>
      <c r="AZ4613" s="30" t="n">
        <f aca="false">5697511/100</f>
        <v>56975.11</v>
      </c>
      <c r="BA4613" s="11" t="n">
        <v>683701</v>
      </c>
      <c r="BB4613" s="31" t="n">
        <f aca="false">SUM(Q4613,S4613,U4613,W4613,Y4613,AA4613,AC4613,AE4613,AG4613,AI4613,AK4613,AM4613,AO4613,AQ4613,AS4613,AU4613,AW4613,AY4613)</f>
        <v>683701</v>
      </c>
      <c r="BC4613" s="28" t="n">
        <f aca="false">BA4613-BB4613</f>
        <v>0</v>
      </c>
      <c r="BD4613" s="32" t="n">
        <f aca="false">SUM(P4613,R4613,T4613,V4613,X4613,Z4613,AB4613,AD4613,AF4613,AH4613,AJ4613,AL4613,AN4613,AP4613,AR4613,AT4613,AV4613,AX4613)</f>
        <v>56975.11</v>
      </c>
      <c r="BE4613" s="33" t="n">
        <f aca="false">AZ4613-BD4613</f>
        <v>0</v>
      </c>
      <c r="BF4613" s="34" t="n">
        <f aca="false">BD4613*M4613</f>
        <v>683701.32</v>
      </c>
      <c r="BG4613" s="35" t="n">
        <f aca="false">BA4613-BF4613</f>
        <v>-0.320000000065193</v>
      </c>
      <c r="BH4613" s="19" t="str">
        <f aca="false">IF(BG4613=0,"",IF(BG4613&lt;&gt;BA4613,"erreur de calcul",IF(BD4613&lt;&gt;0,"pas de prix",IF(M4613&lt;&gt; 0,"pas de quantité","pas de prix, ni de quantité"))))</f>
        <v>erreur de calcul</v>
      </c>
      <c r="BI4613" s="19"/>
    </row>
    <row r="4614" customFormat="false" ht="15" hidden="false" customHeight="false" outlineLevel="0" collapsed="false">
      <c r="A4614" s="0" t="n">
        <v>8</v>
      </c>
      <c r="B4614" s="8" t="s">
        <v>24</v>
      </c>
      <c r="C4614" s="9" t="s">
        <v>25</v>
      </c>
      <c r="D4614" s="9" t="s">
        <v>26</v>
      </c>
      <c r="E4614" s="10" t="n">
        <v>1789</v>
      </c>
      <c r="F4614" s="9" t="s">
        <v>27</v>
      </c>
      <c r="G4614" s="9" t="s">
        <v>27</v>
      </c>
      <c r="H4614" s="11" t="n">
        <v>20</v>
      </c>
      <c r="I4614" s="11" t="s">
        <v>124</v>
      </c>
      <c r="J4614" s="14" t="n">
        <v>34</v>
      </c>
      <c r="K4614" s="14"/>
      <c r="L4614" s="16"/>
      <c r="M4614" s="27" t="n">
        <f aca="false">J4614+(K4614/20)+(L4614/240)</f>
        <v>34</v>
      </c>
      <c r="N4614" s="17" t="s">
        <v>64</v>
      </c>
      <c r="O4614" s="11"/>
      <c r="P4614" s="28"/>
      <c r="Q4614" s="28" t="n">
        <f aca="false">P4614*$M4614</f>
        <v>0</v>
      </c>
      <c r="R4614" s="28"/>
      <c r="S4614" s="28" t="n">
        <f aca="false">R4614*$M4614</f>
        <v>0</v>
      </c>
      <c r="T4614" s="28" t="n">
        <f aca="false">528/100</f>
        <v>5.28</v>
      </c>
      <c r="U4614" s="28" t="n">
        <v>179</v>
      </c>
      <c r="V4614" s="28"/>
      <c r="W4614" s="28" t="n">
        <f aca="false">V4614*$M4614</f>
        <v>0</v>
      </c>
      <c r="X4614" s="28" t="n">
        <f aca="false">1014/100</f>
        <v>10.14</v>
      </c>
      <c r="Y4614" s="36" t="n">
        <v>243</v>
      </c>
      <c r="Z4614" s="28"/>
      <c r="AA4614" s="28" t="n">
        <f aca="false">Z4614*$M4614</f>
        <v>0</v>
      </c>
      <c r="AB4614" s="28"/>
      <c r="AC4614" s="28" t="n">
        <f aca="false">AB4614*$M4614</f>
        <v>0</v>
      </c>
      <c r="AD4614" s="28"/>
      <c r="AE4614" s="28" t="n">
        <f aca="false">AD4614*$M4614</f>
        <v>0</v>
      </c>
      <c r="AF4614" s="28"/>
      <c r="AG4614" s="28" t="n">
        <f aca="false">AF4614*$M4614</f>
        <v>0</v>
      </c>
      <c r="AH4614" s="28"/>
      <c r="AI4614" s="28" t="n">
        <f aca="false">AH4614*$M4614</f>
        <v>0</v>
      </c>
      <c r="AJ4614" s="28" t="n">
        <f aca="false">1917/100</f>
        <v>19.17</v>
      </c>
      <c r="AK4614" s="28" t="n">
        <v>652</v>
      </c>
      <c r="AL4614" s="28"/>
      <c r="AM4614" s="28" t="n">
        <f aca="false">AL4614*$M4614</f>
        <v>0</v>
      </c>
      <c r="AN4614" s="28"/>
      <c r="AO4614" s="28" t="n">
        <f aca="false">AN4614*$M4614</f>
        <v>0</v>
      </c>
      <c r="AP4614" s="28"/>
      <c r="AQ4614" s="28" t="n">
        <f aca="false">AP4614*$M4614</f>
        <v>0</v>
      </c>
      <c r="AR4614" s="28"/>
      <c r="AS4614" s="28" t="n">
        <f aca="false">AR4614*$M4614</f>
        <v>0</v>
      </c>
      <c r="AT4614" s="28"/>
      <c r="AU4614" s="28" t="n">
        <f aca="false">AT4614*$M4614</f>
        <v>0</v>
      </c>
      <c r="AV4614" s="28"/>
      <c r="AW4614" s="28" t="n">
        <f aca="false">AV4614*$M4614</f>
        <v>0</v>
      </c>
      <c r="AX4614" s="28"/>
      <c r="AY4614" s="28" t="n">
        <f aca="false">AX4614*$M4614</f>
        <v>0</v>
      </c>
      <c r="AZ4614" s="30" t="n">
        <f aca="false">3459/100</f>
        <v>34.59</v>
      </c>
      <c r="BA4614" s="11" t="n">
        <v>1074</v>
      </c>
      <c r="BB4614" s="31" t="n">
        <f aca="false">SUM(Q4614,S4614,U4614,W4614,Y4614,AA4614,AC4614,AE4614,AG4614,AI4614,AK4614,AM4614,AO4614,AQ4614,AS4614,AU4614,AW4614,AY4614)</f>
        <v>1074</v>
      </c>
      <c r="BC4614" s="28" t="n">
        <f aca="false">BA4614-BB4614</f>
        <v>0</v>
      </c>
      <c r="BD4614" s="32" t="n">
        <f aca="false">SUM(P4614,R4614,T4614,V4614,X4614,Z4614,AB4614,AD4614,AF4614,AH4614,AJ4614,AL4614,AN4614,AP4614,AR4614,AT4614,AV4614,AX4614)</f>
        <v>34.59</v>
      </c>
      <c r="BE4614" s="33" t="n">
        <f aca="false">AZ4614-BD4614</f>
        <v>0</v>
      </c>
      <c r="BF4614" s="34" t="n">
        <f aca="false">BD4614*M4614</f>
        <v>1176.06</v>
      </c>
      <c r="BG4614" s="35" t="n">
        <f aca="false">BA4614-BF4614</f>
        <v>-102.06</v>
      </c>
      <c r="BH4614" s="19" t="str">
        <f aca="false">IF(BG4614=0,"",IF(BG4614&lt;&gt;BA4614,"erreur de calcul",IF(BD4614&lt;&gt;0,"pas de prix",IF(M4614&lt;&gt; 0,"pas de quantité","pas de prix, ni de quantité"))))</f>
        <v>erreur de calcul</v>
      </c>
      <c r="BI4614" s="19"/>
    </row>
    <row r="4615" customFormat="false" ht="15" hidden="false" customHeight="false" outlineLevel="0" collapsed="false">
      <c r="A4615" s="0" t="n">
        <v>9</v>
      </c>
      <c r="B4615" s="8" t="s">
        <v>24</v>
      </c>
      <c r="C4615" s="9" t="s">
        <v>25</v>
      </c>
      <c r="D4615" s="9" t="s">
        <v>26</v>
      </c>
      <c r="E4615" s="10" t="n">
        <v>1789</v>
      </c>
      <c r="F4615" s="9" t="s">
        <v>27</v>
      </c>
      <c r="G4615" s="9" t="s">
        <v>27</v>
      </c>
      <c r="H4615" s="11" t="n">
        <v>20</v>
      </c>
      <c r="I4615" s="11" t="s">
        <v>125</v>
      </c>
      <c r="J4615" s="14" t="n">
        <v>30</v>
      </c>
      <c r="K4615" s="14"/>
      <c r="L4615" s="16"/>
      <c r="M4615" s="27" t="n">
        <f aca="false">J4615+(K4615/20)+(L4615/240)</f>
        <v>30</v>
      </c>
      <c r="N4615" s="17" t="s">
        <v>64</v>
      </c>
      <c r="O4615" s="11"/>
      <c r="P4615" s="28" t="n">
        <f aca="false">31476/100</f>
        <v>314.76</v>
      </c>
      <c r="Q4615" s="28" t="n">
        <v>9443</v>
      </c>
      <c r="R4615" s="28"/>
      <c r="S4615" s="28" t="n">
        <f aca="false">R4615*$M4615</f>
        <v>0</v>
      </c>
      <c r="T4615" s="28"/>
      <c r="U4615" s="28" t="n">
        <f aca="false">T4615*$M4615</f>
        <v>0</v>
      </c>
      <c r="V4615" s="28"/>
      <c r="W4615" s="28" t="n">
        <f aca="false">V4615*$M4615</f>
        <v>0</v>
      </c>
      <c r="X4615" s="28" t="n">
        <f aca="false">2320/100</f>
        <v>23.2</v>
      </c>
      <c r="Y4615" s="28" t="n">
        <v>696</v>
      </c>
      <c r="Z4615" s="28"/>
      <c r="AA4615" s="28" t="n">
        <f aca="false">Z4615*$M4615</f>
        <v>0</v>
      </c>
      <c r="AB4615" s="28"/>
      <c r="AC4615" s="28" t="n">
        <f aca="false">AB4615*$M4615</f>
        <v>0</v>
      </c>
      <c r="AD4615" s="28"/>
      <c r="AE4615" s="28" t="n">
        <f aca="false">AD4615*$M4615</f>
        <v>0</v>
      </c>
      <c r="AF4615" s="28"/>
      <c r="AG4615" s="28" t="n">
        <f aca="false">AF4615*$M4615</f>
        <v>0</v>
      </c>
      <c r="AH4615" s="28"/>
      <c r="AI4615" s="28" t="n">
        <f aca="false">AH4615*$M4615</f>
        <v>0</v>
      </c>
      <c r="AJ4615" s="28"/>
      <c r="AK4615" s="28" t="n">
        <f aca="false">AJ4615*$M4615</f>
        <v>0</v>
      </c>
      <c r="AL4615" s="28"/>
      <c r="AM4615" s="28" t="n">
        <f aca="false">AL4615*$M4615</f>
        <v>0</v>
      </c>
      <c r="AN4615" s="28"/>
      <c r="AO4615" s="28" t="n">
        <f aca="false">AN4615*$M4615</f>
        <v>0</v>
      </c>
      <c r="AP4615" s="28" t="n">
        <f aca="false">5100/100</f>
        <v>51</v>
      </c>
      <c r="AQ4615" s="28" t="n">
        <v>1530</v>
      </c>
      <c r="AR4615" s="28"/>
      <c r="AS4615" s="28" t="n">
        <f aca="false">AR4615*$M4615</f>
        <v>0</v>
      </c>
      <c r="AT4615" s="28"/>
      <c r="AU4615" s="28" t="n">
        <f aca="false">AT4615*$M4615</f>
        <v>0</v>
      </c>
      <c r="AV4615" s="28"/>
      <c r="AW4615" s="28" t="n">
        <f aca="false">AV4615*$M4615</f>
        <v>0</v>
      </c>
      <c r="AX4615" s="28" t="n">
        <f aca="false">26345/100</f>
        <v>263.45</v>
      </c>
      <c r="AY4615" s="28" t="n">
        <v>7903</v>
      </c>
      <c r="AZ4615" s="30" t="n">
        <f aca="false">65241/100</f>
        <v>652.41</v>
      </c>
      <c r="BA4615" s="11" t="n">
        <v>19572</v>
      </c>
      <c r="BB4615" s="31" t="n">
        <f aca="false">SUM(Q4615,S4615,U4615,W4615,Y4615,AA4615,AC4615,AE4615,AG4615,AI4615,AK4615,AM4615,AO4615,AQ4615,AS4615,AU4615,AW4615,AY4615)</f>
        <v>19572</v>
      </c>
      <c r="BC4615" s="28" t="n">
        <f aca="false">BA4615-BB4615</f>
        <v>0</v>
      </c>
      <c r="BD4615" s="32" t="n">
        <f aca="false">SUM(P4615,R4615,T4615,V4615,X4615,Z4615,AB4615,AD4615,AF4615,AH4615,AJ4615,AL4615,AN4615,AP4615,AR4615,AT4615,AV4615,AX4615)</f>
        <v>652.41</v>
      </c>
      <c r="BE4615" s="33" t="n">
        <f aca="false">AZ4615-BD4615</f>
        <v>0</v>
      </c>
      <c r="BF4615" s="34" t="n">
        <f aca="false">BD4615*M4615</f>
        <v>19572.3</v>
      </c>
      <c r="BG4615" s="35" t="n">
        <f aca="false">BA4615-BF4615</f>
        <v>-0.299999999999272</v>
      </c>
      <c r="BH4615" s="19" t="str">
        <f aca="false">IF(BG4615=0,"",IF(BG4615&lt;&gt;BA4615,"erreur de calcul",IF(BD4615&lt;&gt;0,"pas de prix",IF(M4615&lt;&gt; 0,"pas de quantité","pas de prix, ni de quantité"))))</f>
        <v>erreur de calcul</v>
      </c>
      <c r="BI4615" s="19"/>
    </row>
    <row r="4616" customFormat="false" ht="15" hidden="false" customHeight="false" outlineLevel="0" collapsed="false">
      <c r="A4616" s="0" t="n">
        <v>10</v>
      </c>
      <c r="B4616" s="8" t="s">
        <v>24</v>
      </c>
      <c r="C4616" s="9" t="s">
        <v>25</v>
      </c>
      <c r="D4616" s="9" t="s">
        <v>26</v>
      </c>
      <c r="E4616" s="10" t="n">
        <v>1789</v>
      </c>
      <c r="F4616" s="9" t="s">
        <v>27</v>
      </c>
      <c r="G4616" s="9" t="s">
        <v>27</v>
      </c>
      <c r="H4616" s="11" t="n">
        <v>20</v>
      </c>
      <c r="I4616" s="11" t="s">
        <v>126</v>
      </c>
      <c r="J4616" s="14" t="n">
        <v>75</v>
      </c>
      <c r="K4616" s="14"/>
      <c r="L4616" s="16"/>
      <c r="M4616" s="27" t="n">
        <f aca="false">J4616+(K4616/20)+(L4616/240)</f>
        <v>75</v>
      </c>
      <c r="N4616" s="17" t="s">
        <v>64</v>
      </c>
      <c r="O4616" s="11"/>
      <c r="P4616" s="28"/>
      <c r="Q4616" s="28" t="n">
        <f aca="false">P4616*$M4616</f>
        <v>0</v>
      </c>
      <c r="R4616" s="28"/>
      <c r="S4616" s="28" t="n">
        <f aca="false">R4616*$M4616</f>
        <v>0</v>
      </c>
      <c r="T4616" s="28"/>
      <c r="U4616" s="28" t="n">
        <f aca="false">T4616*$M4616</f>
        <v>0</v>
      </c>
      <c r="V4616" s="28" t="n">
        <f aca="false">223/100</f>
        <v>2.23</v>
      </c>
      <c r="W4616" s="28" t="n">
        <v>167</v>
      </c>
      <c r="X4616" s="28" t="n">
        <f aca="false">2897/100</f>
        <v>28.97</v>
      </c>
      <c r="Y4616" s="28" t="n">
        <v>2173</v>
      </c>
      <c r="Z4616" s="28"/>
      <c r="AA4616" s="28" t="n">
        <f aca="false">Z4616*$M4616</f>
        <v>0</v>
      </c>
      <c r="AB4616" s="28"/>
      <c r="AC4616" s="28" t="n">
        <f aca="false">AB4616*$M4616</f>
        <v>0</v>
      </c>
      <c r="AD4616" s="28"/>
      <c r="AE4616" s="28" t="n">
        <f aca="false">AD4616*$M4616</f>
        <v>0</v>
      </c>
      <c r="AF4616" s="28"/>
      <c r="AG4616" s="28" t="n">
        <f aca="false">AF4616*$M4616</f>
        <v>0</v>
      </c>
      <c r="AH4616" s="28"/>
      <c r="AI4616" s="28" t="n">
        <f aca="false">AH4616*$M4616</f>
        <v>0</v>
      </c>
      <c r="AJ4616" s="28"/>
      <c r="AK4616" s="28" t="n">
        <f aca="false">AJ4616*$M4616</f>
        <v>0</v>
      </c>
      <c r="AL4616" s="28"/>
      <c r="AM4616" s="28" t="n">
        <f aca="false">AL4616*$M4616</f>
        <v>0</v>
      </c>
      <c r="AN4616" s="28"/>
      <c r="AO4616" s="28" t="n">
        <f aca="false">AN4616*$M4616</f>
        <v>0</v>
      </c>
      <c r="AP4616" s="28"/>
      <c r="AQ4616" s="28" t="n">
        <f aca="false">AP4616*$M4616</f>
        <v>0</v>
      </c>
      <c r="AR4616" s="28"/>
      <c r="AS4616" s="28" t="n">
        <f aca="false">AR4616*$M4616</f>
        <v>0</v>
      </c>
      <c r="AT4616" s="28"/>
      <c r="AU4616" s="28" t="n">
        <f aca="false">AT4616*$M4616</f>
        <v>0</v>
      </c>
      <c r="AV4616" s="28"/>
      <c r="AW4616" s="28" t="n">
        <f aca="false">AV4616*$M4616</f>
        <v>0</v>
      </c>
      <c r="AX4616" s="28"/>
      <c r="AY4616" s="28" t="n">
        <f aca="false">AX4616*$M4616</f>
        <v>0</v>
      </c>
      <c r="AZ4616" s="30" t="n">
        <f aca="false">3120/100</f>
        <v>31.2</v>
      </c>
      <c r="BA4616" s="11" t="n">
        <v>2340</v>
      </c>
      <c r="BB4616" s="31" t="n">
        <f aca="false">SUM(Q4616,S4616,U4616,W4616,Y4616,AA4616,AC4616,AE4616,AG4616,AI4616,AK4616,AM4616,AO4616,AQ4616,AS4616,AU4616,AW4616,AY4616)</f>
        <v>2340</v>
      </c>
      <c r="BC4616" s="28" t="n">
        <f aca="false">BA4616-BB4616</f>
        <v>0</v>
      </c>
      <c r="BD4616" s="32" t="n">
        <f aca="false">SUM(P4616,R4616,T4616,V4616,X4616,Z4616,AB4616,AD4616,AF4616,AH4616,AJ4616,AL4616,AN4616,AP4616,AR4616,AT4616,AV4616,AX4616)</f>
        <v>31.2</v>
      </c>
      <c r="BE4616" s="33" t="n">
        <f aca="false">AZ4616-BD4616</f>
        <v>0</v>
      </c>
      <c r="BF4616" s="34" t="n">
        <f aca="false">BD4616*M4616</f>
        <v>2340</v>
      </c>
      <c r="BG4616" s="35" t="n">
        <f aca="false">BA4616-BF4616</f>
        <v>0</v>
      </c>
      <c r="BH4616" s="19" t="str">
        <f aca="false">IF(BG4616=0,"",IF(BG4616&lt;&gt;BA4616,"erreur de calcul",IF(BD4616&lt;&gt;0,"pas de prix",IF(M4616&lt;&gt; 0,"pas de quantité","pas de prix, ni de quantité"))))</f>
        <v/>
      </c>
      <c r="BI4616" s="19"/>
    </row>
    <row r="4617" customFormat="false" ht="15" hidden="false" customHeight="false" outlineLevel="0" collapsed="false">
      <c r="A4617" s="0" t="n">
        <v>11</v>
      </c>
      <c r="B4617" s="8" t="s">
        <v>24</v>
      </c>
      <c r="C4617" s="9" t="s">
        <v>25</v>
      </c>
      <c r="D4617" s="9" t="s">
        <v>26</v>
      </c>
      <c r="E4617" s="10" t="n">
        <v>1789</v>
      </c>
      <c r="F4617" s="9" t="s">
        <v>27</v>
      </c>
      <c r="G4617" s="9" t="s">
        <v>27</v>
      </c>
      <c r="H4617" s="11" t="n">
        <v>20</v>
      </c>
      <c r="I4617" s="11" t="s">
        <v>127</v>
      </c>
      <c r="J4617" s="14" t="n">
        <v>75</v>
      </c>
      <c r="K4617" s="14"/>
      <c r="L4617" s="16"/>
      <c r="M4617" s="27" t="n">
        <f aca="false">J4617+(K4617/20)+(L4617/240)</f>
        <v>75</v>
      </c>
      <c r="N4617" s="17" t="s">
        <v>64</v>
      </c>
      <c r="O4617" s="11"/>
      <c r="P4617" s="28"/>
      <c r="Q4617" s="28" t="n">
        <f aca="false">P4617*$M4617</f>
        <v>0</v>
      </c>
      <c r="R4617" s="28"/>
      <c r="S4617" s="28" t="n">
        <f aca="false">R4617*$M4617</f>
        <v>0</v>
      </c>
      <c r="T4617" s="28" t="n">
        <f aca="false">5807/100</f>
        <v>58.07</v>
      </c>
      <c r="U4617" s="28" t="n">
        <v>4355</v>
      </c>
      <c r="V4617" s="28"/>
      <c r="W4617" s="28" t="n">
        <f aca="false">V4617*$M4617</f>
        <v>0</v>
      </c>
      <c r="X4617" s="28"/>
      <c r="Y4617" s="28" t="n">
        <f aca="false">X4617*$M4617</f>
        <v>0</v>
      </c>
      <c r="Z4617" s="28"/>
      <c r="AA4617" s="28" t="n">
        <f aca="false">Z4617*$M4617</f>
        <v>0</v>
      </c>
      <c r="AB4617" s="28"/>
      <c r="AC4617" s="28" t="n">
        <f aca="false">AB4617*$M4617</f>
        <v>0</v>
      </c>
      <c r="AD4617" s="28"/>
      <c r="AE4617" s="28" t="n">
        <f aca="false">AD4617*$M4617</f>
        <v>0</v>
      </c>
      <c r="AF4617" s="28"/>
      <c r="AG4617" s="28" t="n">
        <f aca="false">AF4617*$M4617</f>
        <v>0</v>
      </c>
      <c r="AH4617" s="28"/>
      <c r="AI4617" s="28" t="n">
        <f aca="false">AH4617*$M4617</f>
        <v>0</v>
      </c>
      <c r="AJ4617" s="28"/>
      <c r="AK4617" s="28" t="n">
        <f aca="false">AJ4617*$M4617</f>
        <v>0</v>
      </c>
      <c r="AL4617" s="28"/>
      <c r="AM4617" s="28" t="n">
        <f aca="false">AL4617*$M4617</f>
        <v>0</v>
      </c>
      <c r="AN4617" s="28"/>
      <c r="AO4617" s="28" t="n">
        <f aca="false">AN4617*$M4617</f>
        <v>0</v>
      </c>
      <c r="AP4617" s="28"/>
      <c r="AQ4617" s="28" t="n">
        <f aca="false">AP4617*$M4617</f>
        <v>0</v>
      </c>
      <c r="AR4617" s="28"/>
      <c r="AS4617" s="28" t="n">
        <f aca="false">AR4617*$M4617</f>
        <v>0</v>
      </c>
      <c r="AT4617" s="28"/>
      <c r="AU4617" s="28" t="n">
        <f aca="false">AT4617*$M4617</f>
        <v>0</v>
      </c>
      <c r="AV4617" s="28"/>
      <c r="AW4617" s="28" t="n">
        <f aca="false">AV4617*$M4617</f>
        <v>0</v>
      </c>
      <c r="AX4617" s="28"/>
      <c r="AY4617" s="28" t="n">
        <f aca="false">AX4617*$M4617</f>
        <v>0</v>
      </c>
      <c r="AZ4617" s="30" t="n">
        <f aca="false">5807/100</f>
        <v>58.07</v>
      </c>
      <c r="BA4617" s="11" t="n">
        <v>4355</v>
      </c>
      <c r="BB4617" s="31" t="n">
        <f aca="false">SUM(Q4617,S4617,U4617,W4617,Y4617,AA4617,AC4617,AE4617,AG4617,AI4617,AK4617,AM4617,AO4617,AQ4617,AS4617,AU4617,AW4617,AY4617)</f>
        <v>4355</v>
      </c>
      <c r="BC4617" s="28" t="n">
        <f aca="false">BA4617-BB4617</f>
        <v>0</v>
      </c>
      <c r="BD4617" s="32" t="n">
        <f aca="false">SUM(P4617,R4617,T4617,V4617,X4617,Z4617,AB4617,AD4617,AF4617,AH4617,AJ4617,AL4617,AN4617,AP4617,AR4617,AT4617,AV4617,AX4617)</f>
        <v>58.07</v>
      </c>
      <c r="BE4617" s="33" t="n">
        <f aca="false">AZ4617-BD4617</f>
        <v>0</v>
      </c>
      <c r="BF4617" s="34" t="n">
        <f aca="false">BD4617*M4617</f>
        <v>4355.25</v>
      </c>
      <c r="BG4617" s="35" t="n">
        <f aca="false">BA4617-BF4617</f>
        <v>-0.25</v>
      </c>
      <c r="BH4617" s="19" t="str">
        <f aca="false">IF(BG4617=0,"",IF(BG4617&lt;&gt;BA4617,"erreur de calcul",IF(BD4617&lt;&gt;0,"pas de prix",IF(M4617&lt;&gt; 0,"pas de quantité","pas de prix, ni de quantité"))))</f>
        <v>erreur de calcul</v>
      </c>
      <c r="BI4617" s="19"/>
    </row>
    <row r="4618" customFormat="false" ht="15" hidden="false" customHeight="false" outlineLevel="0" collapsed="false">
      <c r="A4618" s="0" t="n">
        <v>12</v>
      </c>
      <c r="B4618" s="8" t="s">
        <v>24</v>
      </c>
      <c r="C4618" s="9" t="s">
        <v>25</v>
      </c>
      <c r="D4618" s="9" t="s">
        <v>26</v>
      </c>
      <c r="E4618" s="10" t="n">
        <v>1789</v>
      </c>
      <c r="F4618" s="9" t="s">
        <v>27</v>
      </c>
      <c r="G4618" s="9" t="s">
        <v>27</v>
      </c>
      <c r="H4618" s="11" t="n">
        <v>20</v>
      </c>
      <c r="I4618" s="11" t="s">
        <v>128</v>
      </c>
      <c r="J4618" s="14" t="n">
        <v>42</v>
      </c>
      <c r="K4618" s="14"/>
      <c r="L4618" s="16"/>
      <c r="M4618" s="27" t="n">
        <f aca="false">J4618+(K4618/20)+(L4618/240)</f>
        <v>42</v>
      </c>
      <c r="N4618" s="17" t="s">
        <v>64</v>
      </c>
      <c r="O4618" s="11"/>
      <c r="P4618" s="28"/>
      <c r="Q4618" s="28" t="n">
        <f aca="false">P4618*$M4618</f>
        <v>0</v>
      </c>
      <c r="R4618" s="28"/>
      <c r="S4618" s="28" t="n">
        <f aca="false">R4618*$M4618</f>
        <v>0</v>
      </c>
      <c r="T4618" s="28" t="n">
        <f aca="false">347073/100</f>
        <v>3470.73</v>
      </c>
      <c r="U4618" s="28" t="n">
        <v>145771</v>
      </c>
      <c r="V4618" s="28" t="n">
        <f aca="false">188616/100</f>
        <v>1886.16</v>
      </c>
      <c r="W4618" s="28" t="n">
        <v>79219</v>
      </c>
      <c r="X4618" s="28" t="n">
        <f aca="false">518894/100</f>
        <v>5188.94</v>
      </c>
      <c r="Y4618" s="28" t="n">
        <v>217935</v>
      </c>
      <c r="Z4618" s="28" t="n">
        <f aca="false">965148/100</f>
        <v>9651.48</v>
      </c>
      <c r="AA4618" s="28" t="n">
        <v>405362</v>
      </c>
      <c r="AB4618" s="28" t="n">
        <f aca="false">759238/100</f>
        <v>7592.38</v>
      </c>
      <c r="AC4618" s="28" t="n">
        <v>318880</v>
      </c>
      <c r="AD4618" s="28" t="n">
        <f aca="false">254167/100</f>
        <v>2541.67</v>
      </c>
      <c r="AE4618" s="28" t="n">
        <v>106750</v>
      </c>
      <c r="AF4618" s="28"/>
      <c r="AG4618" s="28" t="n">
        <f aca="false">AF4618*$M4618</f>
        <v>0</v>
      </c>
      <c r="AH4618" s="28"/>
      <c r="AI4618" s="28" t="n">
        <f aca="false">AH4618*$M4618</f>
        <v>0</v>
      </c>
      <c r="AJ4618" s="28"/>
      <c r="AK4618" s="28" t="n">
        <f aca="false">AJ4618*$M4618</f>
        <v>0</v>
      </c>
      <c r="AL4618" s="28" t="n">
        <f aca="false">73551/100</f>
        <v>735.51</v>
      </c>
      <c r="AM4618" s="28" t="n">
        <v>30891</v>
      </c>
      <c r="AN4618" s="28"/>
      <c r="AO4618" s="28" t="n">
        <f aca="false">AN4618*$M4618</f>
        <v>0</v>
      </c>
      <c r="AP4618" s="28" t="n">
        <f aca="false">45836/100</f>
        <v>458.36</v>
      </c>
      <c r="AQ4618" s="28" t="n">
        <v>19251</v>
      </c>
      <c r="AR4618" s="28"/>
      <c r="AS4618" s="28" t="n">
        <f aca="false">AR4618*$M4618</f>
        <v>0</v>
      </c>
      <c r="AT4618" s="28"/>
      <c r="AU4618" s="28" t="n">
        <f aca="false">AT4618*$M4618</f>
        <v>0</v>
      </c>
      <c r="AV4618" s="28" t="n">
        <f aca="false">566574/100</f>
        <v>5665.74</v>
      </c>
      <c r="AW4618" s="28" t="n">
        <v>237961</v>
      </c>
      <c r="AX4618" s="28"/>
      <c r="AY4618" s="28" t="n">
        <f aca="false">AX4618*$M4618</f>
        <v>0</v>
      </c>
      <c r="AZ4618" s="30" t="n">
        <f aca="false">3719097/100</f>
        <v>37190.97</v>
      </c>
      <c r="BA4618" s="11" t="n">
        <v>1562020</v>
      </c>
      <c r="BB4618" s="31" t="n">
        <f aca="false">SUM(Q4618,S4618,U4618,W4618,Y4618,AA4618,AC4618,AE4618,AG4618,AI4618,AK4618,AM4618,AO4618,AQ4618,AS4618,AU4618,AW4618,AY4618)</f>
        <v>1562020</v>
      </c>
      <c r="BC4618" s="28" t="n">
        <f aca="false">BA4618-BB4618</f>
        <v>0</v>
      </c>
      <c r="BD4618" s="32" t="n">
        <f aca="false">SUM(P4618,R4618,T4618,V4618,X4618,Z4618,AB4618,AD4618,AF4618,AH4618,AJ4618,AL4618,AN4618,AP4618,AR4618,AT4618,AV4618,AX4618)</f>
        <v>37190.97</v>
      </c>
      <c r="BE4618" s="33" t="n">
        <f aca="false">AZ4618-BD4618</f>
        <v>0</v>
      </c>
      <c r="BF4618" s="34" t="n">
        <f aca="false">BD4618*M4618</f>
        <v>1562020.74</v>
      </c>
      <c r="BG4618" s="35" t="n">
        <f aca="false">BA4618-BF4618</f>
        <v>-0.739999999990687</v>
      </c>
      <c r="BH4618" s="19" t="str">
        <f aca="false">IF(BG4618=0,"",IF(BG4618&lt;&gt;BA4618,"erreur de calcul",IF(BD4618&lt;&gt;0,"pas de prix",IF(M4618&lt;&gt; 0,"pas de quantité","pas de prix, ni de quantité"))))</f>
        <v>erreur de calcul</v>
      </c>
      <c r="BI4618" s="19"/>
    </row>
    <row r="4619" customFormat="false" ht="15" hidden="false" customHeight="false" outlineLevel="0" collapsed="false">
      <c r="A4619" s="0" t="n">
        <v>13</v>
      </c>
      <c r="B4619" s="8" t="s">
        <v>24</v>
      </c>
      <c r="C4619" s="9" t="s">
        <v>25</v>
      </c>
      <c r="D4619" s="9" t="s">
        <v>26</v>
      </c>
      <c r="E4619" s="10" t="n">
        <v>1789</v>
      </c>
      <c r="F4619" s="9" t="s">
        <v>27</v>
      </c>
      <c r="G4619" s="9" t="s">
        <v>27</v>
      </c>
      <c r="H4619" s="11" t="n">
        <v>20</v>
      </c>
      <c r="I4619" s="11" t="s">
        <v>129</v>
      </c>
      <c r="J4619" s="14" t="n">
        <v>75</v>
      </c>
      <c r="K4619" s="14"/>
      <c r="L4619" s="16"/>
      <c r="M4619" s="27" t="n">
        <f aca="false">J4619+(K4619/20)+(L4619/240)</f>
        <v>75</v>
      </c>
      <c r="N4619" s="17" t="s">
        <v>64</v>
      </c>
      <c r="O4619" s="11"/>
      <c r="P4619" s="28"/>
      <c r="Q4619" s="28" t="n">
        <f aca="false">P4619*$M4619</f>
        <v>0</v>
      </c>
      <c r="R4619" s="28"/>
      <c r="S4619" s="28" t="n">
        <f aca="false">R4619*$M4619</f>
        <v>0</v>
      </c>
      <c r="T4619" s="28"/>
      <c r="U4619" s="28" t="n">
        <f aca="false">T4619*$M4619</f>
        <v>0</v>
      </c>
      <c r="V4619" s="28" t="n">
        <f aca="false">3418/100</f>
        <v>34.18</v>
      </c>
      <c r="W4619" s="28" t="n">
        <v>2563</v>
      </c>
      <c r="X4619" s="28" t="n">
        <f aca="false">3755/100</f>
        <v>37.55</v>
      </c>
      <c r="Y4619" s="28" t="n">
        <v>2817</v>
      </c>
      <c r="Z4619" s="28"/>
      <c r="AA4619" s="28" t="n">
        <f aca="false">Z4619*$M4619</f>
        <v>0</v>
      </c>
      <c r="AB4619" s="28" t="n">
        <f aca="false">75529/100</f>
        <v>755.29</v>
      </c>
      <c r="AC4619" s="28" t="n">
        <v>56647</v>
      </c>
      <c r="AD4619" s="28"/>
      <c r="AE4619" s="28" t="n">
        <f aca="false">AD4619*$M4619</f>
        <v>0</v>
      </c>
      <c r="AF4619" s="28"/>
      <c r="AG4619" s="28" t="n">
        <f aca="false">AF4619*$M4619</f>
        <v>0</v>
      </c>
      <c r="AH4619" s="28"/>
      <c r="AI4619" s="28" t="n">
        <f aca="false">AH4619*$M4619</f>
        <v>0</v>
      </c>
      <c r="AJ4619" s="28"/>
      <c r="AK4619" s="28" t="n">
        <f aca="false">AJ4619*$M4619</f>
        <v>0</v>
      </c>
      <c r="AL4619" s="28"/>
      <c r="AM4619" s="28" t="n">
        <f aca="false">AL4619*$M4619</f>
        <v>0</v>
      </c>
      <c r="AN4619" s="28"/>
      <c r="AO4619" s="28" t="n">
        <f aca="false">AN4619*$M4619</f>
        <v>0</v>
      </c>
      <c r="AP4619" s="28"/>
      <c r="AQ4619" s="28" t="n">
        <f aca="false">AP4619*$M4619</f>
        <v>0</v>
      </c>
      <c r="AR4619" s="28"/>
      <c r="AS4619" s="28" t="n">
        <f aca="false">AR4619*$M4619</f>
        <v>0</v>
      </c>
      <c r="AT4619" s="28"/>
      <c r="AU4619" s="28" t="n">
        <f aca="false">AT4619*$M4619</f>
        <v>0</v>
      </c>
      <c r="AV4619" s="28"/>
      <c r="AW4619" s="28" t="n">
        <f aca="false">AV4619*$M4619</f>
        <v>0</v>
      </c>
      <c r="AX4619" s="28"/>
      <c r="AY4619" s="28" t="n">
        <f aca="false">AX4619*$M4619</f>
        <v>0</v>
      </c>
      <c r="AZ4619" s="30" t="n">
        <f aca="false">82702/100</f>
        <v>827.02</v>
      </c>
      <c r="BA4619" s="11" t="n">
        <v>62027</v>
      </c>
      <c r="BB4619" s="31" t="n">
        <f aca="false">SUM(Q4619,S4619,U4619,W4619,Y4619,AA4619,AC4619,AE4619,AG4619,AI4619,AK4619,AM4619,AO4619,AQ4619,AS4619,AU4619,AW4619,AY4619)</f>
        <v>62027</v>
      </c>
      <c r="BC4619" s="28" t="n">
        <f aca="false">BA4619-BB4619</f>
        <v>0</v>
      </c>
      <c r="BD4619" s="32" t="n">
        <f aca="false">SUM(P4619,R4619,T4619,V4619,X4619,Z4619,AB4619,AD4619,AF4619,AH4619,AJ4619,AL4619,AN4619,AP4619,AR4619,AT4619,AV4619,AX4619)</f>
        <v>827.02</v>
      </c>
      <c r="BE4619" s="33" t="n">
        <f aca="false">AZ4619-BD4619</f>
        <v>0</v>
      </c>
      <c r="BF4619" s="34" t="n">
        <f aca="false">BD4619*M4619</f>
        <v>62026.5</v>
      </c>
      <c r="BG4619" s="35" t="n">
        <f aca="false">BA4619-BF4619</f>
        <v>0.500000000007276</v>
      </c>
      <c r="BH4619" s="19" t="str">
        <f aca="false">IF(BG4619=0,"",IF(BG4619&lt;&gt;BA4619,"erreur de calcul",IF(BD4619&lt;&gt;0,"pas de prix",IF(M4619&lt;&gt; 0,"pas de quantité","pas de prix, ni de quantité"))))</f>
        <v>erreur de calcul</v>
      </c>
      <c r="BI4619" s="19"/>
    </row>
    <row r="4620" customFormat="false" ht="15" hidden="false" customHeight="false" outlineLevel="0" collapsed="false">
      <c r="A4620" s="0" t="n">
        <v>14</v>
      </c>
      <c r="B4620" s="8" t="s">
        <v>24</v>
      </c>
      <c r="C4620" s="9" t="s">
        <v>25</v>
      </c>
      <c r="D4620" s="9" t="s">
        <v>26</v>
      </c>
      <c r="E4620" s="10" t="n">
        <v>1789</v>
      </c>
      <c r="F4620" s="9" t="s">
        <v>27</v>
      </c>
      <c r="G4620" s="9" t="s">
        <v>27</v>
      </c>
      <c r="H4620" s="11" t="n">
        <v>20</v>
      </c>
      <c r="I4620" s="11" t="s">
        <v>130</v>
      </c>
      <c r="J4620" s="14" t="n">
        <v>170</v>
      </c>
      <c r="K4620" s="14"/>
      <c r="L4620" s="16"/>
      <c r="M4620" s="27" t="n">
        <f aca="false">J4620+(K4620/20)+(L4620/240)</f>
        <v>170</v>
      </c>
      <c r="N4620" s="17" t="s">
        <v>64</v>
      </c>
      <c r="O4620" s="11"/>
      <c r="P4620" s="28"/>
      <c r="Q4620" s="28" t="n">
        <f aca="false">P4620*$M4620</f>
        <v>0</v>
      </c>
      <c r="R4620" s="28"/>
      <c r="S4620" s="28" t="n">
        <f aca="false">R4620*$M4620</f>
        <v>0</v>
      </c>
      <c r="T4620" s="28" t="n">
        <f aca="false">488/100</f>
        <v>4.88</v>
      </c>
      <c r="U4620" s="28" t="n">
        <v>830</v>
      </c>
      <c r="V4620" s="28"/>
      <c r="W4620" s="28" t="n">
        <f aca="false">V4620*$M4620</f>
        <v>0</v>
      </c>
      <c r="X4620" s="28" t="n">
        <f aca="false">8480/100</f>
        <v>84.8</v>
      </c>
      <c r="Y4620" s="28" t="n">
        <v>14416</v>
      </c>
      <c r="Z4620" s="28"/>
      <c r="AA4620" s="28" t="n">
        <f aca="false">Z4620*$M4620</f>
        <v>0</v>
      </c>
      <c r="AB4620" s="28" t="n">
        <f aca="false">291/100</f>
        <v>2.91</v>
      </c>
      <c r="AC4620" s="28" t="n">
        <v>495</v>
      </c>
      <c r="AD4620" s="28"/>
      <c r="AE4620" s="28" t="n">
        <f aca="false">AD4620*$M4620</f>
        <v>0</v>
      </c>
      <c r="AF4620" s="28"/>
      <c r="AG4620" s="28" t="n">
        <f aca="false">AF4620*$M4620</f>
        <v>0</v>
      </c>
      <c r="AH4620" s="28"/>
      <c r="AI4620" s="28" t="n">
        <f aca="false">AH4620*$M4620</f>
        <v>0</v>
      </c>
      <c r="AJ4620" s="28"/>
      <c r="AK4620" s="28" t="n">
        <f aca="false">AJ4620*$M4620</f>
        <v>0</v>
      </c>
      <c r="AL4620" s="28"/>
      <c r="AM4620" s="28" t="n">
        <f aca="false">AL4620*$M4620</f>
        <v>0</v>
      </c>
      <c r="AN4620" s="28"/>
      <c r="AO4620" s="28" t="n">
        <f aca="false">AN4620*$M4620</f>
        <v>0</v>
      </c>
      <c r="AP4620" s="28"/>
      <c r="AQ4620" s="28" t="n">
        <f aca="false">AP4620*$M4620</f>
        <v>0</v>
      </c>
      <c r="AR4620" s="28"/>
      <c r="AS4620" s="28" t="n">
        <f aca="false">AR4620*$M4620</f>
        <v>0</v>
      </c>
      <c r="AT4620" s="28"/>
      <c r="AU4620" s="28" t="n">
        <f aca="false">AT4620*$M4620</f>
        <v>0</v>
      </c>
      <c r="AV4620" s="28"/>
      <c r="AW4620" s="28" t="n">
        <f aca="false">AV4620*$M4620</f>
        <v>0</v>
      </c>
      <c r="AX4620" s="28"/>
      <c r="AY4620" s="28" t="n">
        <f aca="false">AX4620*$M4620</f>
        <v>0</v>
      </c>
      <c r="AZ4620" s="30" t="n">
        <f aca="false">9259/100</f>
        <v>92.59</v>
      </c>
      <c r="BA4620" s="11" t="n">
        <v>15741</v>
      </c>
      <c r="BB4620" s="31" t="n">
        <f aca="false">SUM(Q4620,S4620,U4620,W4620,Y4620,AA4620,AC4620,AE4620,AG4620,AI4620,AK4620,AM4620,AO4620,AQ4620,AS4620,AU4620,AW4620,AY4620)</f>
        <v>15741</v>
      </c>
      <c r="BC4620" s="28" t="n">
        <f aca="false">BA4620-BB4620</f>
        <v>0</v>
      </c>
      <c r="BD4620" s="32" t="n">
        <f aca="false">SUM(P4620,R4620,T4620,V4620,X4620,Z4620,AB4620,AD4620,AF4620,AH4620,AJ4620,AL4620,AN4620,AP4620,AR4620,AT4620,AV4620,AX4620)</f>
        <v>92.59</v>
      </c>
      <c r="BE4620" s="33" t="n">
        <f aca="false">AZ4620-BD4620</f>
        <v>0</v>
      </c>
      <c r="BF4620" s="34" t="n">
        <f aca="false">BD4620*M4620</f>
        <v>15740.3</v>
      </c>
      <c r="BG4620" s="35" t="n">
        <f aca="false">BA4620-BF4620</f>
        <v>0.700000000002547</v>
      </c>
      <c r="BH4620" s="19" t="str">
        <f aca="false">IF(BG4620=0,"",IF(BG4620&lt;&gt;BA4620,"erreur de calcul",IF(BD4620&lt;&gt;0,"pas de prix",IF(M4620&lt;&gt; 0,"pas de quantité","pas de prix, ni de quantité"))))</f>
        <v>erreur de calcul</v>
      </c>
      <c r="BI4620" s="19"/>
    </row>
    <row r="4621" customFormat="false" ht="15" hidden="false" customHeight="false" outlineLevel="0" collapsed="false">
      <c r="A4621" s="0" t="n">
        <v>15</v>
      </c>
      <c r="B4621" s="8" t="s">
        <v>24</v>
      </c>
      <c r="C4621" s="9" t="s">
        <v>25</v>
      </c>
      <c r="D4621" s="9" t="s">
        <v>26</v>
      </c>
      <c r="E4621" s="10" t="n">
        <v>1789</v>
      </c>
      <c r="F4621" s="9" t="s">
        <v>27</v>
      </c>
      <c r="G4621" s="9" t="s">
        <v>27</v>
      </c>
      <c r="H4621" s="11" t="n">
        <v>20</v>
      </c>
      <c r="I4621" s="11" t="s">
        <v>131</v>
      </c>
      <c r="J4621" s="14"/>
      <c r="K4621" s="14" t="n">
        <v>55</v>
      </c>
      <c r="L4621" s="16"/>
      <c r="M4621" s="27" t="n">
        <f aca="false">J4621+(K4621/20)+(L4621/240)</f>
        <v>2.75</v>
      </c>
      <c r="N4621" s="17" t="s">
        <v>64</v>
      </c>
      <c r="O4621" s="11"/>
      <c r="P4621" s="28"/>
      <c r="Q4621" s="28" t="n">
        <f aca="false">P4621*$M4621</f>
        <v>0</v>
      </c>
      <c r="R4621" s="28"/>
      <c r="S4621" s="28" t="n">
        <f aca="false">R4621*$M4621</f>
        <v>0</v>
      </c>
      <c r="T4621" s="28"/>
      <c r="U4621" s="28" t="n">
        <f aca="false">T4621*$M4621</f>
        <v>0</v>
      </c>
      <c r="V4621" s="28"/>
      <c r="W4621" s="28" t="n">
        <f aca="false">V4621*$M4621</f>
        <v>0</v>
      </c>
      <c r="X4621" s="28" t="n">
        <f aca="false">3875617/100</f>
        <v>38756.17</v>
      </c>
      <c r="Y4621" s="28" t="n">
        <v>106579</v>
      </c>
      <c r="Z4621" s="28" t="n">
        <f aca="false">62500/100</f>
        <v>625</v>
      </c>
      <c r="AA4621" s="28" t="n">
        <v>1719</v>
      </c>
      <c r="AB4621" s="28" t="n">
        <f aca="false">360000/100</f>
        <v>3600</v>
      </c>
      <c r="AC4621" s="28" t="n">
        <v>9900</v>
      </c>
      <c r="AD4621" s="28"/>
      <c r="AE4621" s="28" t="n">
        <f aca="false">AD4621*$M4621</f>
        <v>0</v>
      </c>
      <c r="AF4621" s="28"/>
      <c r="AG4621" s="28" t="n">
        <f aca="false">AF4621*$M4621</f>
        <v>0</v>
      </c>
      <c r="AH4621" s="28"/>
      <c r="AI4621" s="28" t="n">
        <f aca="false">AH4621*$M4621</f>
        <v>0</v>
      </c>
      <c r="AJ4621" s="28"/>
      <c r="AK4621" s="28" t="n">
        <f aca="false">AJ4621*$M4621</f>
        <v>0</v>
      </c>
      <c r="AL4621" s="28"/>
      <c r="AM4621" s="28" t="n">
        <f aca="false">AL4621*$M4621</f>
        <v>0</v>
      </c>
      <c r="AN4621" s="28"/>
      <c r="AO4621" s="28" t="n">
        <f aca="false">AN4621*$M4621</f>
        <v>0</v>
      </c>
      <c r="AP4621" s="28"/>
      <c r="AQ4621" s="28" t="n">
        <f aca="false">AP4621*$M4621</f>
        <v>0</v>
      </c>
      <c r="AR4621" s="28"/>
      <c r="AS4621" s="28" t="n">
        <f aca="false">AR4621*$M4621</f>
        <v>0</v>
      </c>
      <c r="AT4621" s="28"/>
      <c r="AU4621" s="28" t="n">
        <f aca="false">AT4621*$M4621</f>
        <v>0</v>
      </c>
      <c r="AV4621" s="28"/>
      <c r="AW4621" s="28" t="n">
        <f aca="false">AV4621*$M4621</f>
        <v>0</v>
      </c>
      <c r="AX4621" s="28"/>
      <c r="AY4621" s="28" t="n">
        <f aca="false">AX4621*$M4621</f>
        <v>0</v>
      </c>
      <c r="AZ4621" s="30" t="n">
        <f aca="false">4298117/100</f>
        <v>42981.17</v>
      </c>
      <c r="BA4621" s="11" t="n">
        <v>118198</v>
      </c>
      <c r="BB4621" s="31" t="n">
        <f aca="false">SUM(Q4621,S4621,U4621,W4621,Y4621,AA4621,AC4621,AE4621,AG4621,AI4621,AK4621,AM4621,AO4621,AQ4621,AS4621,AU4621,AW4621,AY4621)</f>
        <v>118198</v>
      </c>
      <c r="BC4621" s="28" t="n">
        <f aca="false">BA4621-BB4621</f>
        <v>0</v>
      </c>
      <c r="BD4621" s="32" t="n">
        <f aca="false">SUM(P4621,R4621,T4621,V4621,X4621,Z4621,AB4621,AD4621,AF4621,AH4621,AJ4621,AL4621,AN4621,AP4621,AR4621,AT4621,AV4621,AX4621)</f>
        <v>42981.17</v>
      </c>
      <c r="BE4621" s="33" t="n">
        <f aca="false">AZ4621-BD4621</f>
        <v>0</v>
      </c>
      <c r="BF4621" s="34" t="n">
        <f aca="false">BD4621*M4621</f>
        <v>118198.2175</v>
      </c>
      <c r="BG4621" s="35" t="n">
        <f aca="false">BA4621-BF4621</f>
        <v>-0.217499999998836</v>
      </c>
      <c r="BH4621" s="19" t="str">
        <f aca="false">IF(BG4621=0,"",IF(BG4621&lt;&gt;BA4621,"erreur de calcul",IF(BD4621&lt;&gt;0,"pas de prix",IF(M4621&lt;&gt; 0,"pas de quantité","pas de prix, ni de quantité"))))</f>
        <v>erreur de calcul</v>
      </c>
      <c r="BI4621" s="19"/>
    </row>
    <row r="4622" customFormat="false" ht="15" hidden="false" customHeight="false" outlineLevel="0" collapsed="false">
      <c r="A4622" s="0" t="n">
        <v>16</v>
      </c>
      <c r="B4622" s="8" t="s">
        <v>24</v>
      </c>
      <c r="C4622" s="9" t="s">
        <v>25</v>
      </c>
      <c r="D4622" s="9" t="s">
        <v>26</v>
      </c>
      <c r="E4622" s="10" t="n">
        <v>1789</v>
      </c>
      <c r="F4622" s="9" t="s">
        <v>27</v>
      </c>
      <c r="G4622" s="9" t="s">
        <v>27</v>
      </c>
      <c r="H4622" s="11" t="n">
        <v>20</v>
      </c>
      <c r="I4622" s="11" t="s">
        <v>132</v>
      </c>
      <c r="J4622" s="14"/>
      <c r="K4622" s="14" t="n">
        <v>50</v>
      </c>
      <c r="L4622" s="16"/>
      <c r="M4622" s="27" t="n">
        <f aca="false">J4622+(K4622/20)+(L4622/240)</f>
        <v>2.5</v>
      </c>
      <c r="N4622" s="17" t="s">
        <v>64</v>
      </c>
      <c r="O4622" s="11"/>
      <c r="P4622" s="28"/>
      <c r="Q4622" s="28" t="n">
        <f aca="false">P4622*$M4622</f>
        <v>0</v>
      </c>
      <c r="R4622" s="28"/>
      <c r="S4622" s="28" t="n">
        <f aca="false">R4622*$M4622</f>
        <v>0</v>
      </c>
      <c r="T4622" s="28"/>
      <c r="U4622" s="28" t="n">
        <f aca="false">T4622*$M4622</f>
        <v>0</v>
      </c>
      <c r="V4622" s="28" t="n">
        <f aca="false">25000/100</f>
        <v>250</v>
      </c>
      <c r="W4622" s="28" t="n">
        <v>625</v>
      </c>
      <c r="X4622" s="28" t="n">
        <f aca="false">9335/100</f>
        <v>93.35</v>
      </c>
      <c r="Y4622" s="28" t="n">
        <v>233</v>
      </c>
      <c r="Z4622" s="28"/>
      <c r="AA4622" s="28" t="n">
        <f aca="false">Z4622*$M4622</f>
        <v>0</v>
      </c>
      <c r="AB4622" s="28"/>
      <c r="AC4622" s="28" t="n">
        <f aca="false">AB4622*$M4622</f>
        <v>0</v>
      </c>
      <c r="AD4622" s="28"/>
      <c r="AE4622" s="28" t="n">
        <f aca="false">AD4622*$M4622</f>
        <v>0</v>
      </c>
      <c r="AF4622" s="28"/>
      <c r="AG4622" s="28" t="n">
        <f aca="false">AF4622*$M4622</f>
        <v>0</v>
      </c>
      <c r="AH4622" s="28"/>
      <c r="AI4622" s="28" t="n">
        <f aca="false">AH4622*$M4622</f>
        <v>0</v>
      </c>
      <c r="AJ4622" s="28"/>
      <c r="AK4622" s="28" t="n">
        <f aca="false">AJ4622*$M4622</f>
        <v>0</v>
      </c>
      <c r="AL4622" s="28"/>
      <c r="AM4622" s="28" t="n">
        <f aca="false">AL4622*$M4622</f>
        <v>0</v>
      </c>
      <c r="AN4622" s="28"/>
      <c r="AO4622" s="28" t="n">
        <f aca="false">AN4622*$M4622</f>
        <v>0</v>
      </c>
      <c r="AP4622" s="28"/>
      <c r="AQ4622" s="28" t="n">
        <f aca="false">AP4622*$M4622</f>
        <v>0</v>
      </c>
      <c r="AR4622" s="28"/>
      <c r="AS4622" s="28" t="n">
        <f aca="false">AR4622*$M4622</f>
        <v>0</v>
      </c>
      <c r="AT4622" s="28"/>
      <c r="AU4622" s="28" t="n">
        <f aca="false">AT4622*$M4622</f>
        <v>0</v>
      </c>
      <c r="AV4622" s="28"/>
      <c r="AW4622" s="28" t="n">
        <f aca="false">AV4622*$M4622</f>
        <v>0</v>
      </c>
      <c r="AX4622" s="28"/>
      <c r="AY4622" s="28" t="n">
        <f aca="false">AX4622*$M4622</f>
        <v>0</v>
      </c>
      <c r="AZ4622" s="30" t="n">
        <f aca="false">34335/100</f>
        <v>343.35</v>
      </c>
      <c r="BA4622" s="11" t="n">
        <v>858</v>
      </c>
      <c r="BB4622" s="31" t="n">
        <f aca="false">SUM(Q4622,S4622,U4622,W4622,Y4622,AA4622,AC4622,AE4622,AG4622,AI4622,AK4622,AM4622,AO4622,AQ4622,AS4622,AU4622,AW4622,AY4622)</f>
        <v>858</v>
      </c>
      <c r="BC4622" s="28" t="n">
        <f aca="false">BA4622-BB4622</f>
        <v>0</v>
      </c>
      <c r="BD4622" s="32" t="n">
        <f aca="false">SUM(P4622,R4622,T4622,V4622,X4622,Z4622,AB4622,AD4622,AF4622,AH4622,AJ4622,AL4622,AN4622,AP4622,AR4622,AT4622,AV4622,AX4622)</f>
        <v>343.35</v>
      </c>
      <c r="BE4622" s="33" t="n">
        <f aca="false">AZ4622-BD4622</f>
        <v>0</v>
      </c>
      <c r="BF4622" s="34" t="n">
        <f aca="false">BD4622*M4622</f>
        <v>858.375</v>
      </c>
      <c r="BG4622" s="35" t="n">
        <f aca="false">BA4622-BF4622</f>
        <v>-0.375</v>
      </c>
      <c r="BH4622" s="19" t="str">
        <f aca="false">IF(BG4622=0,"",IF(BG4622&lt;&gt;BA4622,"erreur de calcul",IF(BD4622&lt;&gt;0,"pas de prix",IF(M4622&lt;&gt; 0,"pas de quantité","pas de prix, ni de quantité"))))</f>
        <v>erreur de calcul</v>
      </c>
      <c r="BI4622" s="19"/>
    </row>
    <row r="4623" customFormat="false" ht="15" hidden="false" customHeight="false" outlineLevel="0" collapsed="false">
      <c r="A4623" s="0" t="n">
        <v>17</v>
      </c>
      <c r="B4623" s="8" t="s">
        <v>24</v>
      </c>
      <c r="C4623" s="9" t="s">
        <v>25</v>
      </c>
      <c r="D4623" s="9" t="s">
        <v>26</v>
      </c>
      <c r="E4623" s="10" t="n">
        <v>1789</v>
      </c>
      <c r="F4623" s="9" t="s">
        <v>27</v>
      </c>
      <c r="G4623" s="9" t="s">
        <v>27</v>
      </c>
      <c r="H4623" s="11" t="n">
        <v>20</v>
      </c>
      <c r="I4623" s="11" t="s">
        <v>133</v>
      </c>
      <c r="J4623" s="14" t="n">
        <v>175</v>
      </c>
      <c r="K4623" s="14"/>
      <c r="L4623" s="16"/>
      <c r="M4623" s="27" t="n">
        <f aca="false">J4623+(K4623/20)+(L4623/240)</f>
        <v>175</v>
      </c>
      <c r="N4623" s="17" t="s">
        <v>64</v>
      </c>
      <c r="O4623" s="11"/>
      <c r="P4623" s="28" t="n">
        <f aca="false">84/100</f>
        <v>0.84</v>
      </c>
      <c r="Q4623" s="28" t="n">
        <v>147</v>
      </c>
      <c r="R4623" s="28"/>
      <c r="S4623" s="28" t="n">
        <f aca="false">R4623*$M4623</f>
        <v>0</v>
      </c>
      <c r="T4623" s="28"/>
      <c r="U4623" s="28" t="n">
        <f aca="false">T4623*$M4623</f>
        <v>0</v>
      </c>
      <c r="V4623" s="28" t="n">
        <f aca="false">124/100</f>
        <v>1.24</v>
      </c>
      <c r="W4623" s="28" t="n">
        <v>217</v>
      </c>
      <c r="X4623" s="28" t="n">
        <f aca="false">6034/100</f>
        <v>60.34</v>
      </c>
      <c r="Y4623" s="28" t="n">
        <v>10559</v>
      </c>
      <c r="Z4623" s="28" t="n">
        <f aca="false">147/100</f>
        <v>1.47</v>
      </c>
      <c r="AA4623" s="28" t="n">
        <v>257</v>
      </c>
      <c r="AB4623" s="28" t="n">
        <f aca="false">195/100</f>
        <v>1.95</v>
      </c>
      <c r="AC4623" s="28" t="n">
        <v>341</v>
      </c>
      <c r="AD4623" s="28"/>
      <c r="AE4623" s="28" t="n">
        <f aca="false">AD4623*$M4623</f>
        <v>0</v>
      </c>
      <c r="AF4623" s="28"/>
      <c r="AG4623" s="28" t="n">
        <f aca="false">AF4623*$M4623</f>
        <v>0</v>
      </c>
      <c r="AH4623" s="28"/>
      <c r="AI4623" s="28" t="n">
        <f aca="false">AH4623*$M4623</f>
        <v>0</v>
      </c>
      <c r="AJ4623" s="28"/>
      <c r="AK4623" s="28" t="n">
        <f aca="false">AJ4623*$M4623</f>
        <v>0</v>
      </c>
      <c r="AL4623" s="28"/>
      <c r="AM4623" s="28" t="n">
        <f aca="false">AL4623*$M4623</f>
        <v>0</v>
      </c>
      <c r="AN4623" s="28"/>
      <c r="AO4623" s="28" t="n">
        <f aca="false">AN4623*$M4623</f>
        <v>0</v>
      </c>
      <c r="AP4623" s="28"/>
      <c r="AQ4623" s="28" t="n">
        <f aca="false">AP4623*$M4623</f>
        <v>0</v>
      </c>
      <c r="AR4623" s="28"/>
      <c r="AS4623" s="28" t="n">
        <f aca="false">AR4623*$M4623</f>
        <v>0</v>
      </c>
      <c r="AT4623" s="28"/>
      <c r="AU4623" s="28" t="n">
        <f aca="false">AT4623*$M4623</f>
        <v>0</v>
      </c>
      <c r="AV4623" s="28"/>
      <c r="AW4623" s="28" t="n">
        <f aca="false">AV4623*$M4623</f>
        <v>0</v>
      </c>
      <c r="AX4623" s="28"/>
      <c r="AY4623" s="28" t="n">
        <f aca="false">AX4623*$M4623</f>
        <v>0</v>
      </c>
      <c r="AZ4623" s="30" t="n">
        <f aca="false">6584/100</f>
        <v>65.84</v>
      </c>
      <c r="BA4623" s="11" t="n">
        <v>11521</v>
      </c>
      <c r="BB4623" s="31" t="n">
        <f aca="false">SUM(Q4623,S4623,U4623,W4623,Y4623,AA4623,AC4623,AE4623,AG4623,AI4623,AK4623,AM4623,AO4623,AQ4623,AS4623,AU4623,AW4623,AY4623)</f>
        <v>11521</v>
      </c>
      <c r="BC4623" s="28" t="n">
        <f aca="false">BA4623-BB4623</f>
        <v>0</v>
      </c>
      <c r="BD4623" s="32" t="n">
        <f aca="false">SUM(P4623,R4623,T4623,V4623,X4623,Z4623,AB4623,AD4623,AF4623,AH4623,AJ4623,AL4623,AN4623,AP4623,AR4623,AT4623,AV4623,AX4623)</f>
        <v>65.84</v>
      </c>
      <c r="BE4623" s="33" t="n">
        <f aca="false">AZ4623-BD4623</f>
        <v>0</v>
      </c>
      <c r="BF4623" s="34" t="n">
        <f aca="false">BD4623*M4623</f>
        <v>11522</v>
      </c>
      <c r="BG4623" s="35" t="n">
        <f aca="false">BA4623-BF4623</f>
        <v>-1</v>
      </c>
      <c r="BH4623" s="19" t="str">
        <f aca="false">IF(BG4623=0,"",IF(BG4623&lt;&gt;BA4623,"erreur de calcul",IF(BD4623&lt;&gt;0,"pas de prix",IF(M4623&lt;&gt; 0,"pas de quantité","pas de prix, ni de quantité"))))</f>
        <v>erreur de calcul</v>
      </c>
      <c r="BI4623" s="19"/>
    </row>
    <row r="4624" customFormat="false" ht="15" hidden="false" customHeight="false" outlineLevel="0" collapsed="false">
      <c r="A4624" s="0" t="n">
        <v>18</v>
      </c>
      <c r="B4624" s="8" t="s">
        <v>24</v>
      </c>
      <c r="C4624" s="9" t="s">
        <v>25</v>
      </c>
      <c r="D4624" s="9" t="s">
        <v>26</v>
      </c>
      <c r="E4624" s="10" t="n">
        <v>1789</v>
      </c>
      <c r="F4624" s="9" t="s">
        <v>27</v>
      </c>
      <c r="G4624" s="9" t="s">
        <v>27</v>
      </c>
      <c r="H4624" s="11" t="n">
        <v>20</v>
      </c>
      <c r="I4624" s="11" t="s">
        <v>134</v>
      </c>
      <c r="J4624" s="14" t="n">
        <v>210</v>
      </c>
      <c r="K4624" s="14"/>
      <c r="L4624" s="16"/>
      <c r="M4624" s="27" t="n">
        <f aca="false">J4624+(K4624/20)+(L4624/240)</f>
        <v>210</v>
      </c>
      <c r="N4624" s="17" t="s">
        <v>64</v>
      </c>
      <c r="O4624" s="11"/>
      <c r="P4624" s="28"/>
      <c r="Q4624" s="28" t="n">
        <f aca="false">P4624*$M4624</f>
        <v>0</v>
      </c>
      <c r="R4624" s="28"/>
      <c r="S4624" s="28" t="n">
        <f aca="false">R4624*$M4624</f>
        <v>0</v>
      </c>
      <c r="T4624" s="28"/>
      <c r="U4624" s="28" t="n">
        <f aca="false">T4624*$M4624</f>
        <v>0</v>
      </c>
      <c r="V4624" s="28" t="n">
        <f aca="false">869/100</f>
        <v>8.69</v>
      </c>
      <c r="W4624" s="28" t="n">
        <v>1825</v>
      </c>
      <c r="X4624" s="28"/>
      <c r="Y4624" s="28" t="n">
        <f aca="false">X4624*$M4624</f>
        <v>0</v>
      </c>
      <c r="Z4624" s="28"/>
      <c r="AA4624" s="28" t="n">
        <f aca="false">Z4624*$M4624</f>
        <v>0</v>
      </c>
      <c r="AB4624" s="28"/>
      <c r="AC4624" s="28" t="n">
        <f aca="false">AB4624*$M4624</f>
        <v>0</v>
      </c>
      <c r="AD4624" s="28"/>
      <c r="AE4624" s="28" t="n">
        <f aca="false">AD4624*$M4624</f>
        <v>0</v>
      </c>
      <c r="AF4624" s="28"/>
      <c r="AG4624" s="28" t="n">
        <f aca="false">AF4624*$M4624</f>
        <v>0</v>
      </c>
      <c r="AH4624" s="28"/>
      <c r="AI4624" s="28" t="n">
        <f aca="false">AH4624*$M4624</f>
        <v>0</v>
      </c>
      <c r="AJ4624" s="28"/>
      <c r="AK4624" s="28" t="n">
        <f aca="false">AJ4624*$M4624</f>
        <v>0</v>
      </c>
      <c r="AL4624" s="28"/>
      <c r="AM4624" s="28" t="n">
        <f aca="false">AL4624*$M4624</f>
        <v>0</v>
      </c>
      <c r="AN4624" s="28"/>
      <c r="AO4624" s="28" t="n">
        <f aca="false">AN4624*$M4624</f>
        <v>0</v>
      </c>
      <c r="AP4624" s="28"/>
      <c r="AQ4624" s="28" t="n">
        <f aca="false">AP4624*$M4624</f>
        <v>0</v>
      </c>
      <c r="AR4624" s="28"/>
      <c r="AS4624" s="28" t="n">
        <f aca="false">AR4624*$M4624</f>
        <v>0</v>
      </c>
      <c r="AT4624" s="28"/>
      <c r="AU4624" s="28" t="n">
        <f aca="false">AT4624*$M4624</f>
        <v>0</v>
      </c>
      <c r="AV4624" s="28"/>
      <c r="AW4624" s="28" t="n">
        <f aca="false">AV4624*$M4624</f>
        <v>0</v>
      </c>
      <c r="AX4624" s="28"/>
      <c r="AY4624" s="28" t="n">
        <f aca="false">AX4624*$M4624</f>
        <v>0</v>
      </c>
      <c r="AZ4624" s="30" t="n">
        <f aca="false">869/100</f>
        <v>8.69</v>
      </c>
      <c r="BA4624" s="11" t="n">
        <v>1825</v>
      </c>
      <c r="BB4624" s="31" t="n">
        <f aca="false">SUM(Q4624,S4624,U4624,W4624,Y4624,AA4624,AC4624,AE4624,AG4624,AI4624,AK4624,AM4624,AO4624,AQ4624,AS4624,AU4624,AW4624,AY4624)</f>
        <v>1825</v>
      </c>
      <c r="BC4624" s="28" t="n">
        <f aca="false">BA4624-BB4624</f>
        <v>0</v>
      </c>
      <c r="BD4624" s="32" t="n">
        <f aca="false">SUM(P4624,R4624,T4624,V4624,X4624,Z4624,AB4624,AD4624,AF4624,AH4624,AJ4624,AL4624,AN4624,AP4624,AR4624,AT4624,AV4624,AX4624)</f>
        <v>8.69</v>
      </c>
      <c r="BE4624" s="33" t="n">
        <f aca="false">AZ4624-BD4624</f>
        <v>0</v>
      </c>
      <c r="BF4624" s="34" t="n">
        <f aca="false">BD4624*M4624</f>
        <v>1824.9</v>
      </c>
      <c r="BG4624" s="35" t="n">
        <f aca="false">BA4624-BF4624</f>
        <v>0.100000000000136</v>
      </c>
      <c r="BH4624" s="19" t="str">
        <f aca="false">IF(BG4624=0,"",IF(BG4624&lt;&gt;BA4624,"erreur de calcul",IF(BD4624&lt;&gt;0,"pas de prix",IF(M4624&lt;&gt; 0,"pas de quantité","pas de prix, ni de quantité"))))</f>
        <v>erreur de calcul</v>
      </c>
      <c r="BI4624" s="19"/>
    </row>
    <row r="4625" customFormat="false" ht="15" hidden="false" customHeight="false" outlineLevel="0" collapsed="false">
      <c r="A4625" s="0" t="n">
        <v>19</v>
      </c>
      <c r="B4625" s="8" t="s">
        <v>24</v>
      </c>
      <c r="C4625" s="9" t="s">
        <v>25</v>
      </c>
      <c r="D4625" s="9" t="s">
        <v>26</v>
      </c>
      <c r="E4625" s="10" t="n">
        <v>1789</v>
      </c>
      <c r="F4625" s="9" t="s">
        <v>27</v>
      </c>
      <c r="G4625" s="9" t="s">
        <v>27</v>
      </c>
      <c r="H4625" s="11" t="n">
        <v>20</v>
      </c>
      <c r="I4625" s="11" t="s">
        <v>135</v>
      </c>
      <c r="J4625" s="14" t="n">
        <v>170</v>
      </c>
      <c r="K4625" s="14"/>
      <c r="L4625" s="16"/>
      <c r="M4625" s="27" t="n">
        <f aca="false">J4625+(K4625/20)+(L4625/240)</f>
        <v>170</v>
      </c>
      <c r="N4625" s="17" t="s">
        <v>64</v>
      </c>
      <c r="O4625" s="11" t="s">
        <v>77</v>
      </c>
      <c r="P4625" s="28"/>
      <c r="Q4625" s="28" t="n">
        <f aca="false">P4625*$M4625</f>
        <v>0</v>
      </c>
      <c r="R4625" s="28"/>
      <c r="S4625" s="28" t="n">
        <f aca="false">R4625*$M4625</f>
        <v>0</v>
      </c>
      <c r="T4625" s="28"/>
      <c r="U4625" s="28" t="n">
        <f aca="false">T4625*$M4625</f>
        <v>0</v>
      </c>
      <c r="V4625" s="28"/>
      <c r="W4625" s="28" t="n">
        <f aca="false">V4625*$M4625</f>
        <v>0</v>
      </c>
      <c r="X4625" s="28"/>
      <c r="Y4625" s="28" t="n">
        <f aca="false">X4625*$M4625</f>
        <v>0</v>
      </c>
      <c r="Z4625" s="28"/>
      <c r="AA4625" s="28" t="n">
        <f aca="false">Z4625*$M4625</f>
        <v>0</v>
      </c>
      <c r="AB4625" s="28"/>
      <c r="AC4625" s="28" t="n">
        <f aca="false">AB4625*$M4625</f>
        <v>0</v>
      </c>
      <c r="AD4625" s="28"/>
      <c r="AE4625" s="28" t="n">
        <f aca="false">AD4625*$M4625</f>
        <v>0</v>
      </c>
      <c r="AF4625" s="28" t="n">
        <f aca="false">229459/100</f>
        <v>2294.59</v>
      </c>
      <c r="AG4625" s="28" t="n">
        <v>390080</v>
      </c>
      <c r="AH4625" s="28" t="n">
        <f aca="false">202301/100</f>
        <v>2023.01</v>
      </c>
      <c r="AI4625" s="28" t="n">
        <v>343912</v>
      </c>
      <c r="AJ4625" s="28"/>
      <c r="AK4625" s="28" t="n">
        <f aca="false">AJ4625*$M4625</f>
        <v>0</v>
      </c>
      <c r="AL4625" s="28"/>
      <c r="AM4625" s="28" t="n">
        <f aca="false">AL4625*$M4625</f>
        <v>0</v>
      </c>
      <c r="AN4625" s="28"/>
      <c r="AO4625" s="28" t="n">
        <f aca="false">AN4625*$M4625</f>
        <v>0</v>
      </c>
      <c r="AP4625" s="28"/>
      <c r="AQ4625" s="28" t="n">
        <f aca="false">AP4625*$M4625</f>
        <v>0</v>
      </c>
      <c r="AR4625" s="28"/>
      <c r="AS4625" s="28" t="n">
        <f aca="false">AR4625*$M4625</f>
        <v>0</v>
      </c>
      <c r="AT4625" s="28"/>
      <c r="AU4625" s="28" t="n">
        <f aca="false">AT4625*$M4625</f>
        <v>0</v>
      </c>
      <c r="AV4625" s="28"/>
      <c r="AW4625" s="28" t="n">
        <f aca="false">AV4625*$M4625</f>
        <v>0</v>
      </c>
      <c r="AX4625" s="28" t="n">
        <f aca="false">2736/100</f>
        <v>27.36</v>
      </c>
      <c r="AY4625" s="28" t="n">
        <v>4651</v>
      </c>
      <c r="AZ4625" s="30" t="n">
        <f aca="false">434496/100</f>
        <v>4344.96</v>
      </c>
      <c r="BA4625" s="11" t="n">
        <v>738643</v>
      </c>
      <c r="BB4625" s="31" t="n">
        <f aca="false">SUM(Q4625,S4625,U4625,W4625,Y4625,AA4625,AC4625,AE4625,AG4625,AI4625,AK4625,AM4625,AO4625,AQ4625,AS4625,AU4625,AW4625,AY4625)</f>
        <v>738643</v>
      </c>
      <c r="BC4625" s="28" t="n">
        <f aca="false">BA4625-BB4625</f>
        <v>0</v>
      </c>
      <c r="BD4625" s="32" t="n">
        <f aca="false">SUM(P4625,R4625,T4625,V4625,X4625,Z4625,AB4625,AD4625,AF4625,AH4625,AJ4625,AL4625,AN4625,AP4625,AR4625,AT4625,AV4625,AX4625)</f>
        <v>4344.96</v>
      </c>
      <c r="BE4625" s="33" t="n">
        <f aca="false">AZ4625-BD4625</f>
        <v>0</v>
      </c>
      <c r="BF4625" s="34" t="n">
        <f aca="false">BD4625*M4625</f>
        <v>738643.2</v>
      </c>
      <c r="BG4625" s="35" t="n">
        <f aca="false">BA4625-BF4625</f>
        <v>-0.199999999953434</v>
      </c>
      <c r="BH4625" s="19" t="str">
        <f aca="false">IF(BG4625=0,"",IF(BG4625&lt;&gt;BA4625,"erreur de calcul",IF(BD4625&lt;&gt;0,"pas de prix",IF(M4625&lt;&gt; 0,"pas de quantité","pas de prix, ni de quantité"))))</f>
        <v>erreur de calcul</v>
      </c>
      <c r="BI4625" s="19"/>
    </row>
    <row r="4626" customFormat="false" ht="15" hidden="false" customHeight="false" outlineLevel="0" collapsed="false">
      <c r="A4626" s="0" t="n">
        <v>20</v>
      </c>
      <c r="B4626" s="8" t="s">
        <v>24</v>
      </c>
      <c r="C4626" s="9" t="s">
        <v>25</v>
      </c>
      <c r="D4626" s="9" t="s">
        <v>26</v>
      </c>
      <c r="E4626" s="10" t="n">
        <v>1789</v>
      </c>
      <c r="F4626" s="9" t="s">
        <v>27</v>
      </c>
      <c r="G4626" s="9" t="s">
        <v>27</v>
      </c>
      <c r="H4626" s="11" t="n">
        <v>20</v>
      </c>
      <c r="I4626" s="11" t="s">
        <v>136</v>
      </c>
      <c r="J4626" s="14" t="n">
        <v>41</v>
      </c>
      <c r="K4626" s="14"/>
      <c r="L4626" s="16"/>
      <c r="M4626" s="27" t="n">
        <f aca="false">J4626+(K4626/20)+(L4626/240)</f>
        <v>41</v>
      </c>
      <c r="N4626" s="17" t="s">
        <v>64</v>
      </c>
      <c r="O4626" s="11"/>
      <c r="P4626" s="28" t="n">
        <f aca="false">1210/100</f>
        <v>12.1</v>
      </c>
      <c r="Q4626" s="28" t="n">
        <v>496</v>
      </c>
      <c r="R4626" s="28"/>
      <c r="S4626" s="28" t="n">
        <f aca="false">R4626*$M4626</f>
        <v>0</v>
      </c>
      <c r="T4626" s="28"/>
      <c r="U4626" s="28" t="n">
        <f aca="false">T4626*$M4626</f>
        <v>0</v>
      </c>
      <c r="V4626" s="28"/>
      <c r="W4626" s="28" t="n">
        <f aca="false">V4626*$M4626</f>
        <v>0</v>
      </c>
      <c r="X4626" s="28"/>
      <c r="Y4626" s="28" t="n">
        <f aca="false">X4626*$M4626</f>
        <v>0</v>
      </c>
      <c r="Z4626" s="28"/>
      <c r="AA4626" s="28" t="n">
        <f aca="false">Z4626*$M4626</f>
        <v>0</v>
      </c>
      <c r="AB4626" s="28"/>
      <c r="AC4626" s="28" t="n">
        <f aca="false">AB4626*$M4626</f>
        <v>0</v>
      </c>
      <c r="AD4626" s="28"/>
      <c r="AE4626" s="28" t="n">
        <f aca="false">AD4626*$M4626</f>
        <v>0</v>
      </c>
      <c r="AF4626" s="28"/>
      <c r="AG4626" s="28" t="n">
        <f aca="false">AF4626*$M4626</f>
        <v>0</v>
      </c>
      <c r="AH4626" s="28"/>
      <c r="AI4626" s="28" t="n">
        <f aca="false">AH4626*$M4626</f>
        <v>0</v>
      </c>
      <c r="AJ4626" s="28" t="n">
        <f aca="false">85034/100</f>
        <v>850.34</v>
      </c>
      <c r="AK4626" s="28" t="n">
        <v>34864</v>
      </c>
      <c r="AL4626" s="28" t="n">
        <f aca="false">1024/100</f>
        <v>10.24</v>
      </c>
      <c r="AM4626" s="28" t="n">
        <v>420</v>
      </c>
      <c r="AN4626" s="28"/>
      <c r="AO4626" s="28" t="n">
        <f aca="false">AN4626*$M4626</f>
        <v>0</v>
      </c>
      <c r="AP4626" s="28"/>
      <c r="AQ4626" s="28" t="n">
        <f aca="false">AP4626*$M4626</f>
        <v>0</v>
      </c>
      <c r="AR4626" s="28"/>
      <c r="AS4626" s="28" t="n">
        <f aca="false">AR4626*$M4626</f>
        <v>0</v>
      </c>
      <c r="AT4626" s="28"/>
      <c r="AU4626" s="28" t="n">
        <f aca="false">AT4626*$M4626</f>
        <v>0</v>
      </c>
      <c r="AV4626" s="28"/>
      <c r="AW4626" s="28" t="n">
        <f aca="false">AV4626*$M4626</f>
        <v>0</v>
      </c>
      <c r="AX4626" s="28"/>
      <c r="AY4626" s="28" t="n">
        <f aca="false">AX4626*$M4626</f>
        <v>0</v>
      </c>
      <c r="AZ4626" s="30" t="n">
        <f aca="false">87268/100</f>
        <v>872.68</v>
      </c>
      <c r="BA4626" s="11" t="n">
        <v>35780</v>
      </c>
      <c r="BB4626" s="31" t="n">
        <f aca="false">SUM(Q4626,S4626,U4626,W4626,Y4626,AA4626,AC4626,AE4626,AG4626,AI4626,AK4626,AM4626,AO4626,AQ4626,AS4626,AU4626,AW4626,AY4626)</f>
        <v>35780</v>
      </c>
      <c r="BC4626" s="28" t="n">
        <f aca="false">BA4626-BB4626</f>
        <v>0</v>
      </c>
      <c r="BD4626" s="32" t="n">
        <f aca="false">SUM(P4626,R4626,T4626,V4626,X4626,Z4626,AB4626,AD4626,AF4626,AH4626,AJ4626,AL4626,AN4626,AP4626,AR4626,AT4626,AV4626,AX4626)</f>
        <v>872.68</v>
      </c>
      <c r="BE4626" s="33" t="n">
        <f aca="false">AZ4626-BD4626</f>
        <v>0</v>
      </c>
      <c r="BF4626" s="34" t="n">
        <f aca="false">BD4626*M4626</f>
        <v>35779.88</v>
      </c>
      <c r="BG4626" s="35" t="n">
        <f aca="false">BA4626-BF4626</f>
        <v>0.119999999995343</v>
      </c>
      <c r="BH4626" s="19" t="str">
        <f aca="false">IF(BG4626=0,"",IF(BG4626&lt;&gt;BA4626,"erreur de calcul",IF(BD4626&lt;&gt;0,"pas de prix",IF(M4626&lt;&gt; 0,"pas de quantité","pas de prix, ni de quantité"))))</f>
        <v>erreur de calcul</v>
      </c>
      <c r="BI4626" s="19"/>
    </row>
    <row r="4627" customFormat="false" ht="15" hidden="false" customHeight="false" outlineLevel="0" collapsed="false">
      <c r="A4627" s="0" t="n">
        <v>21</v>
      </c>
      <c r="B4627" s="8" t="s">
        <v>24</v>
      </c>
      <c r="C4627" s="9" t="s">
        <v>25</v>
      </c>
      <c r="D4627" s="9" t="s">
        <v>26</v>
      </c>
      <c r="E4627" s="10" t="n">
        <v>1789</v>
      </c>
      <c r="F4627" s="9" t="s">
        <v>27</v>
      </c>
      <c r="G4627" s="9" t="s">
        <v>27</v>
      </c>
      <c r="H4627" s="11" t="n">
        <v>20</v>
      </c>
      <c r="I4627" s="11" t="s">
        <v>137</v>
      </c>
      <c r="J4627" s="14"/>
      <c r="K4627" s="14"/>
      <c r="L4627" s="16"/>
      <c r="M4627" s="27" t="n">
        <f aca="false">J4627+(K4627/20)+(L4627/240)</f>
        <v>0</v>
      </c>
      <c r="N4627" s="39" t="s">
        <v>138</v>
      </c>
      <c r="O4627" s="11"/>
      <c r="P4627" s="28" t="n">
        <v>337</v>
      </c>
      <c r="Q4627" s="28" t="n">
        <v>6250</v>
      </c>
      <c r="R4627" s="28"/>
      <c r="S4627" s="28" t="n">
        <f aca="false">R4627*$M4627</f>
        <v>0</v>
      </c>
      <c r="T4627" s="28"/>
      <c r="U4627" s="28" t="n">
        <f aca="false">T4627*$M4627</f>
        <v>0</v>
      </c>
      <c r="V4627" s="28" t="n">
        <v>760</v>
      </c>
      <c r="W4627" s="28" t="n">
        <v>18259</v>
      </c>
      <c r="X4627" s="28"/>
      <c r="Y4627" s="28" t="n">
        <f aca="false">X4627*$M4627</f>
        <v>0</v>
      </c>
      <c r="Z4627" s="28"/>
      <c r="AA4627" s="28" t="n">
        <f aca="false">Z4627*$M4627</f>
        <v>0</v>
      </c>
      <c r="AB4627" s="28"/>
      <c r="AC4627" s="28" t="n">
        <f aca="false">AB4627*$M4627</f>
        <v>0</v>
      </c>
      <c r="AD4627" s="28"/>
      <c r="AE4627" s="28" t="n">
        <f aca="false">AD4627*$M4627</f>
        <v>0</v>
      </c>
      <c r="AF4627" s="28"/>
      <c r="AG4627" s="28" t="n">
        <f aca="false">AF4627*$M4627</f>
        <v>0</v>
      </c>
      <c r="AH4627" s="28"/>
      <c r="AI4627" s="28" t="n">
        <f aca="false">AH4627*$M4627</f>
        <v>0</v>
      </c>
      <c r="AJ4627" s="28"/>
      <c r="AK4627" s="28" t="n">
        <f aca="false">AJ4627*$M4627</f>
        <v>0</v>
      </c>
      <c r="AL4627" s="28"/>
      <c r="AM4627" s="28" t="n">
        <f aca="false">AL4627*$M4627</f>
        <v>0</v>
      </c>
      <c r="AN4627" s="28"/>
      <c r="AO4627" s="28" t="n">
        <f aca="false">AN4627*$M4627</f>
        <v>0</v>
      </c>
      <c r="AP4627" s="28"/>
      <c r="AQ4627" s="28" t="n">
        <f aca="false">AP4627*$M4627</f>
        <v>0</v>
      </c>
      <c r="AR4627" s="28"/>
      <c r="AS4627" s="28" t="n">
        <f aca="false">AR4627*$M4627</f>
        <v>0</v>
      </c>
      <c r="AT4627" s="28"/>
      <c r="AU4627" s="28" t="n">
        <f aca="false">AT4627*$M4627</f>
        <v>0</v>
      </c>
      <c r="AV4627" s="28"/>
      <c r="AW4627" s="28" t="n">
        <f aca="false">AV4627*$M4627</f>
        <v>0</v>
      </c>
      <c r="AX4627" s="28"/>
      <c r="AY4627" s="28" t="n">
        <f aca="false">AX4627*$M4627</f>
        <v>0</v>
      </c>
      <c r="AZ4627" s="30" t="n">
        <f aca="false">1097</f>
        <v>1097</v>
      </c>
      <c r="BA4627" s="11" t="n">
        <v>24509</v>
      </c>
      <c r="BB4627" s="31" t="n">
        <f aca="false">SUM(Q4627,S4627,U4627,W4627,Y4627,AA4627,AC4627,AE4627,AG4627,AI4627,AK4627,AM4627,AO4627,AQ4627,AS4627,AU4627,AW4627,AY4627)</f>
        <v>24509</v>
      </c>
      <c r="BC4627" s="28" t="n">
        <f aca="false">BA4627-BB4627</f>
        <v>0</v>
      </c>
      <c r="BD4627" s="32" t="n">
        <f aca="false">SUM(P4627,R4627,T4627,V4627,X4627,Z4627,AB4627,AD4627,AF4627,AH4627,AJ4627,AL4627,AN4627,AP4627,AR4627,AT4627,AV4627,AX4627)</f>
        <v>1097</v>
      </c>
      <c r="BE4627" s="33" t="n">
        <f aca="false">AZ4627-BD4627</f>
        <v>0</v>
      </c>
      <c r="BF4627" s="34" t="n">
        <f aca="false">BD4627*M4627</f>
        <v>0</v>
      </c>
      <c r="BG4627" s="35" t="n">
        <f aca="false">BA4627-BF4627</f>
        <v>24509</v>
      </c>
      <c r="BH4627" s="19" t="str">
        <f aca="false">IF(BG4627=0,"",IF(BG4627&lt;&gt;BA4627,"erreur de calcul",IF(BD4627&lt;&gt;0,"pas de prix",IF(M4627&lt;&gt; 0,"pas de quantité","pas de prix, ni de quantité"))))</f>
        <v>pas de prix</v>
      </c>
      <c r="BI4627" s="19" t="s">
        <v>139</v>
      </c>
    </row>
    <row r="4628" customFormat="false" ht="15" hidden="false" customHeight="false" outlineLevel="0" collapsed="false">
      <c r="A4628" s="0" t="n">
        <v>22</v>
      </c>
      <c r="B4628" s="8" t="s">
        <v>24</v>
      </c>
      <c r="C4628" s="9" t="s">
        <v>25</v>
      </c>
      <c r="D4628" s="9" t="s">
        <v>26</v>
      </c>
      <c r="E4628" s="10" t="n">
        <v>1789</v>
      </c>
      <c r="F4628" s="9" t="s">
        <v>27</v>
      </c>
      <c r="G4628" s="9" t="s">
        <v>27</v>
      </c>
      <c r="H4628" s="11" t="n">
        <v>20</v>
      </c>
      <c r="I4628" s="11" t="s">
        <v>140</v>
      </c>
      <c r="J4628" s="14" t="n">
        <v>28</v>
      </c>
      <c r="K4628" s="14"/>
      <c r="L4628" s="16"/>
      <c r="M4628" s="27" t="n">
        <f aca="false">J4628+(K4628/20)+(L4628/240)</f>
        <v>28</v>
      </c>
      <c r="N4628" s="17" t="s">
        <v>64</v>
      </c>
      <c r="O4628" s="11"/>
      <c r="P4628" s="28"/>
      <c r="Q4628" s="28" t="n">
        <f aca="false">P4628*$M4628</f>
        <v>0</v>
      </c>
      <c r="R4628" s="28"/>
      <c r="S4628" s="28" t="n">
        <f aca="false">R4628*$M4628</f>
        <v>0</v>
      </c>
      <c r="T4628" s="28"/>
      <c r="U4628" s="28" t="n">
        <f aca="false">T4628*$M4628</f>
        <v>0</v>
      </c>
      <c r="V4628" s="28"/>
      <c r="W4628" s="28" t="n">
        <f aca="false">V4628*$M4628</f>
        <v>0</v>
      </c>
      <c r="X4628" s="28" t="n">
        <f aca="false">2572/100</f>
        <v>25.72</v>
      </c>
      <c r="Y4628" s="28" t="n">
        <v>720</v>
      </c>
      <c r="Z4628" s="28"/>
      <c r="AA4628" s="28" t="n">
        <f aca="false">Z4628*$M4628</f>
        <v>0</v>
      </c>
      <c r="AB4628" s="28"/>
      <c r="AC4628" s="28" t="n">
        <f aca="false">AB4628*$M4628</f>
        <v>0</v>
      </c>
      <c r="AD4628" s="28"/>
      <c r="AE4628" s="28" t="n">
        <f aca="false">AD4628*$M4628</f>
        <v>0</v>
      </c>
      <c r="AF4628" s="28" t="n">
        <f aca="false">3367/100</f>
        <v>33.67</v>
      </c>
      <c r="AG4628" s="36" t="n">
        <v>915</v>
      </c>
      <c r="AH4628" s="28"/>
      <c r="AI4628" s="28" t="n">
        <f aca="false">AH4628*$M4628</f>
        <v>0</v>
      </c>
      <c r="AJ4628" s="28"/>
      <c r="AK4628" s="28" t="n">
        <f aca="false">AJ4628*$M4628</f>
        <v>0</v>
      </c>
      <c r="AL4628" s="28"/>
      <c r="AM4628" s="28" t="n">
        <f aca="false">AL4628*$M4628</f>
        <v>0</v>
      </c>
      <c r="AN4628" s="28"/>
      <c r="AO4628" s="28" t="n">
        <f aca="false">AN4628*$M4628</f>
        <v>0</v>
      </c>
      <c r="AP4628" s="28"/>
      <c r="AQ4628" s="28" t="n">
        <f aca="false">AP4628*$M4628</f>
        <v>0</v>
      </c>
      <c r="AR4628" s="28"/>
      <c r="AS4628" s="28" t="n">
        <f aca="false">AR4628*$M4628</f>
        <v>0</v>
      </c>
      <c r="AT4628" s="28"/>
      <c r="AU4628" s="28" t="n">
        <f aca="false">AT4628*$M4628</f>
        <v>0</v>
      </c>
      <c r="AV4628" s="28"/>
      <c r="AW4628" s="28" t="n">
        <f aca="false">AV4628*$M4628</f>
        <v>0</v>
      </c>
      <c r="AX4628" s="28"/>
      <c r="AY4628" s="28" t="n">
        <f aca="false">AX4628*$M4628</f>
        <v>0</v>
      </c>
      <c r="AZ4628" s="30" t="n">
        <f aca="false">5939/100</f>
        <v>59.39</v>
      </c>
      <c r="BA4628" s="11" t="n">
        <v>1635</v>
      </c>
      <c r="BB4628" s="31" t="n">
        <f aca="false">SUM(Q4628,S4628,U4628,W4628,Y4628,AA4628,AC4628,AE4628,AG4628,AI4628,AK4628,AM4628,AO4628,AQ4628,AS4628,AU4628,AW4628,AY4628)</f>
        <v>1635</v>
      </c>
      <c r="BC4628" s="28" t="n">
        <f aca="false">BA4628-BB4628</f>
        <v>0</v>
      </c>
      <c r="BD4628" s="32" t="n">
        <f aca="false">SUM(P4628,R4628,T4628,V4628,X4628,Z4628,AB4628,AD4628,AF4628,AH4628,AJ4628,AL4628,AN4628,AP4628,AR4628,AT4628,AV4628,AX4628)</f>
        <v>59.39</v>
      </c>
      <c r="BE4628" s="33" t="n">
        <f aca="false">AZ4628-BD4628</f>
        <v>0</v>
      </c>
      <c r="BF4628" s="34" t="n">
        <f aca="false">BD4628*M4628</f>
        <v>1662.92</v>
      </c>
      <c r="BG4628" s="35" t="n">
        <f aca="false">BA4628-BF4628</f>
        <v>-27.9200000000001</v>
      </c>
      <c r="BH4628" s="19" t="str">
        <f aca="false">IF(BG4628=0,"",IF(BG4628&lt;&gt;BA4628,"erreur de calcul",IF(BD4628&lt;&gt;0,"pas de prix",IF(M4628&lt;&gt; 0,"pas de quantité","pas de prix, ni de quantité"))))</f>
        <v>erreur de calcul</v>
      </c>
      <c r="BI4628" s="19"/>
    </row>
    <row r="4629" customFormat="false" ht="15" hidden="false" customHeight="false" outlineLevel="0" collapsed="false">
      <c r="A4629" s="0" t="n">
        <v>23</v>
      </c>
      <c r="B4629" s="8" t="s">
        <v>24</v>
      </c>
      <c r="C4629" s="9" t="s">
        <v>25</v>
      </c>
      <c r="D4629" s="9" t="s">
        <v>26</v>
      </c>
      <c r="E4629" s="10" t="n">
        <v>1789</v>
      </c>
      <c r="F4629" s="9" t="s">
        <v>27</v>
      </c>
      <c r="G4629" s="9" t="s">
        <v>27</v>
      </c>
      <c r="H4629" s="11" t="n">
        <v>20</v>
      </c>
      <c r="I4629" s="11" t="s">
        <v>141</v>
      </c>
      <c r="J4629" s="14" t="n">
        <v>50</v>
      </c>
      <c r="K4629" s="14"/>
      <c r="L4629" s="16"/>
      <c r="M4629" s="27" t="n">
        <f aca="false">J4629+(K4629/20)+(L4629/240)</f>
        <v>50</v>
      </c>
      <c r="N4629" s="17" t="s">
        <v>64</v>
      </c>
      <c r="O4629" s="11"/>
      <c r="P4629" s="28" t="n">
        <f aca="false">79168/100</f>
        <v>791.68</v>
      </c>
      <c r="Q4629" s="28" t="n">
        <v>39584</v>
      </c>
      <c r="R4629" s="28"/>
      <c r="S4629" s="28" t="n">
        <f aca="false">R4629*$M4629</f>
        <v>0</v>
      </c>
      <c r="T4629" s="28" t="n">
        <f aca="false">18545/100</f>
        <v>185.45</v>
      </c>
      <c r="U4629" s="28" t="n">
        <v>9272</v>
      </c>
      <c r="V4629" s="28" t="n">
        <f aca="false">10784/100</f>
        <v>107.84</v>
      </c>
      <c r="W4629" s="28" t="n">
        <v>5392</v>
      </c>
      <c r="X4629" s="28" t="n">
        <f aca="false">22033/100</f>
        <v>220.33</v>
      </c>
      <c r="Y4629" s="28" t="n">
        <v>11016</v>
      </c>
      <c r="Z4629" s="28" t="n">
        <f aca="false">4478/100</f>
        <v>44.78</v>
      </c>
      <c r="AA4629" s="28" t="n">
        <v>2239</v>
      </c>
      <c r="AB4629" s="28" t="n">
        <f aca="false">8901/100</f>
        <v>89.01</v>
      </c>
      <c r="AC4629" s="28" t="n">
        <v>4450</v>
      </c>
      <c r="AD4629" s="28"/>
      <c r="AE4629" s="28" t="n">
        <f aca="false">AD4629*$M4629</f>
        <v>0</v>
      </c>
      <c r="AF4629" s="28"/>
      <c r="AG4629" s="28" t="n">
        <f aca="false">AF4629*$M4629</f>
        <v>0</v>
      </c>
      <c r="AH4629" s="28"/>
      <c r="AI4629" s="28" t="n">
        <f aca="false">AH4629*$M4629</f>
        <v>0</v>
      </c>
      <c r="AJ4629" s="28" t="n">
        <f aca="false">2917/100</f>
        <v>29.17</v>
      </c>
      <c r="AK4629" s="28" t="n">
        <v>1458</v>
      </c>
      <c r="AL4629" s="28"/>
      <c r="AM4629" s="28" t="n">
        <f aca="false">AL4629*$M4629</f>
        <v>0</v>
      </c>
      <c r="AN4629" s="28"/>
      <c r="AO4629" s="28" t="n">
        <f aca="false">AN4629*$M4629</f>
        <v>0</v>
      </c>
      <c r="AP4629" s="28"/>
      <c r="AQ4629" s="28" t="n">
        <f aca="false">AP4629*$M4629</f>
        <v>0</v>
      </c>
      <c r="AR4629" s="28"/>
      <c r="AS4629" s="28" t="n">
        <f aca="false">AR4629*$M4629</f>
        <v>0</v>
      </c>
      <c r="AT4629" s="28"/>
      <c r="AU4629" s="28" t="n">
        <f aca="false">AT4629*$M4629</f>
        <v>0</v>
      </c>
      <c r="AV4629" s="28" t="n">
        <f aca="false">6667/100</f>
        <v>66.67</v>
      </c>
      <c r="AW4629" s="28" t="n">
        <v>3333</v>
      </c>
      <c r="AX4629" s="28"/>
      <c r="AY4629" s="28" t="n">
        <f aca="false">AX4629*$M4629</f>
        <v>0</v>
      </c>
      <c r="AZ4629" s="30" t="n">
        <f aca="false">153493/100</f>
        <v>1534.93</v>
      </c>
      <c r="BA4629" s="11" t="n">
        <v>76744</v>
      </c>
      <c r="BB4629" s="31" t="n">
        <f aca="false">SUM(Q4629,S4629,U4629,W4629,Y4629,AA4629,AC4629,AE4629,AG4629,AI4629,AK4629,AM4629,AO4629,AQ4629,AS4629,AU4629,AW4629,AY4629)</f>
        <v>76744</v>
      </c>
      <c r="BC4629" s="28" t="n">
        <f aca="false">BA4629-BB4629</f>
        <v>0</v>
      </c>
      <c r="BD4629" s="32" t="n">
        <f aca="false">SUM(P4629,R4629,T4629,V4629,X4629,Z4629,AB4629,AD4629,AF4629,AH4629,AJ4629,AL4629,AN4629,AP4629,AR4629,AT4629,AV4629,AX4629)</f>
        <v>1534.93</v>
      </c>
      <c r="BE4629" s="33" t="n">
        <f aca="false">AZ4629-BD4629</f>
        <v>0</v>
      </c>
      <c r="BF4629" s="34" t="n">
        <f aca="false">BD4629*M4629</f>
        <v>76746.5</v>
      </c>
      <c r="BG4629" s="35" t="n">
        <f aca="false">BA4629-BF4629</f>
        <v>-2.49999999998545</v>
      </c>
      <c r="BH4629" s="19" t="str">
        <f aca="false">IF(BG4629=0,"",IF(BG4629&lt;&gt;BA4629,"erreur de calcul",IF(BD4629&lt;&gt;0,"pas de prix",IF(M4629&lt;&gt; 0,"pas de quantité","pas de prix, ni de quantité"))))</f>
        <v>erreur de calcul</v>
      </c>
      <c r="BI4629" s="19"/>
    </row>
    <row r="4630" customFormat="false" ht="15" hidden="false" customHeight="false" outlineLevel="0" collapsed="false">
      <c r="A4630" s="0" t="n">
        <v>24</v>
      </c>
      <c r="B4630" s="8" t="s">
        <v>24</v>
      </c>
      <c r="C4630" s="9" t="s">
        <v>25</v>
      </c>
      <c r="D4630" s="9" t="s">
        <v>26</v>
      </c>
      <c r="E4630" s="10" t="n">
        <v>1789</v>
      </c>
      <c r="F4630" s="9" t="s">
        <v>27</v>
      </c>
      <c r="G4630" s="9" t="s">
        <v>27</v>
      </c>
      <c r="H4630" s="11" t="n">
        <v>20</v>
      </c>
      <c r="I4630" s="11" t="s">
        <v>142</v>
      </c>
      <c r="J4630" s="14" t="n">
        <v>12</v>
      </c>
      <c r="K4630" s="14"/>
      <c r="L4630" s="16"/>
      <c r="M4630" s="27" t="n">
        <f aca="false">J4630+(K4630/20)+(L4630/240)</f>
        <v>12</v>
      </c>
      <c r="N4630" s="17" t="s">
        <v>66</v>
      </c>
      <c r="O4630" s="11"/>
      <c r="P4630" s="28"/>
      <c r="Q4630" s="28" t="n">
        <f aca="false">P4630*$M4630</f>
        <v>0</v>
      </c>
      <c r="R4630" s="28"/>
      <c r="S4630" s="28" t="n">
        <f aca="false">R4630*$M4630</f>
        <v>0</v>
      </c>
      <c r="T4630" s="28"/>
      <c r="U4630" s="28" t="n">
        <f aca="false">T4630*$M4630</f>
        <v>0</v>
      </c>
      <c r="V4630" s="28"/>
      <c r="W4630" s="28" t="n">
        <f aca="false">V4630*$M4630</f>
        <v>0</v>
      </c>
      <c r="X4630" s="28"/>
      <c r="Y4630" s="28" t="n">
        <f aca="false">X4630*$M4630</f>
        <v>0</v>
      </c>
      <c r="Z4630" s="28" t="n">
        <v>21</v>
      </c>
      <c r="AA4630" s="28" t="n">
        <v>252</v>
      </c>
      <c r="AB4630" s="28" t="n">
        <v>672</v>
      </c>
      <c r="AC4630" s="28" t="n">
        <v>8064</v>
      </c>
      <c r="AD4630" s="28"/>
      <c r="AE4630" s="28" t="n">
        <f aca="false">AD4630*$M4630</f>
        <v>0</v>
      </c>
      <c r="AF4630" s="28"/>
      <c r="AG4630" s="28" t="n">
        <f aca="false">AF4630*$M4630</f>
        <v>0</v>
      </c>
      <c r="AH4630" s="28"/>
      <c r="AI4630" s="28" t="n">
        <f aca="false">AH4630*$M4630</f>
        <v>0</v>
      </c>
      <c r="AJ4630" s="28"/>
      <c r="AK4630" s="28" t="n">
        <f aca="false">AJ4630*$M4630</f>
        <v>0</v>
      </c>
      <c r="AL4630" s="28"/>
      <c r="AM4630" s="28" t="n">
        <f aca="false">AL4630*$M4630</f>
        <v>0</v>
      </c>
      <c r="AN4630" s="28"/>
      <c r="AO4630" s="28" t="n">
        <f aca="false">AN4630*$M4630</f>
        <v>0</v>
      </c>
      <c r="AP4630" s="28"/>
      <c r="AQ4630" s="28" t="n">
        <f aca="false">AP4630*$M4630</f>
        <v>0</v>
      </c>
      <c r="AR4630" s="28"/>
      <c r="AS4630" s="28" t="n">
        <f aca="false">AR4630*$M4630</f>
        <v>0</v>
      </c>
      <c r="AT4630" s="28"/>
      <c r="AU4630" s="28" t="n">
        <f aca="false">AT4630*$M4630</f>
        <v>0</v>
      </c>
      <c r="AV4630" s="28"/>
      <c r="AW4630" s="28" t="n">
        <f aca="false">AV4630*$M4630</f>
        <v>0</v>
      </c>
      <c r="AX4630" s="28"/>
      <c r="AY4630" s="28" t="n">
        <f aca="false">AX4630*$M4630</f>
        <v>0</v>
      </c>
      <c r="AZ4630" s="30" t="n">
        <v>693</v>
      </c>
      <c r="BA4630" s="11" t="n">
        <v>8316</v>
      </c>
      <c r="BB4630" s="31" t="n">
        <f aca="false">SUM(Q4630,S4630,U4630,W4630,Y4630,AA4630,AC4630,AE4630,AG4630,AI4630,AK4630,AM4630,AO4630,AQ4630,AS4630,AU4630,AW4630,AY4630)</f>
        <v>8316</v>
      </c>
      <c r="BC4630" s="28" t="n">
        <f aca="false">BA4630-BB4630</f>
        <v>0</v>
      </c>
      <c r="BD4630" s="32" t="n">
        <f aca="false">SUM(P4630,R4630,T4630,V4630,X4630,Z4630,AB4630,AD4630,AF4630,AH4630,AJ4630,AL4630,AN4630,AP4630,AR4630,AT4630,AV4630,AX4630)</f>
        <v>693</v>
      </c>
      <c r="BE4630" s="33" t="n">
        <f aca="false">AZ4630-BD4630</f>
        <v>0</v>
      </c>
      <c r="BF4630" s="34" t="n">
        <f aca="false">BD4630*M4630</f>
        <v>8316</v>
      </c>
      <c r="BG4630" s="35" t="n">
        <f aca="false">BA4630-BF4630</f>
        <v>0</v>
      </c>
      <c r="BH4630" s="19" t="str">
        <f aca="false">IF(BG4630=0,"",IF(BG4630&lt;&gt;BA4630,"erreur de calcul",IF(BD4630&lt;&gt;0,"pas de prix",IF(M4630&lt;&gt; 0,"pas de quantité","pas de prix, ni de quantité"))))</f>
        <v/>
      </c>
      <c r="BI4630" s="19"/>
    </row>
    <row r="4631" customFormat="false" ht="15" hidden="false" customHeight="false" outlineLevel="0" collapsed="false">
      <c r="A4631" s="0" t="n">
        <v>25</v>
      </c>
      <c r="B4631" s="8" t="s">
        <v>24</v>
      </c>
      <c r="C4631" s="9" t="s">
        <v>25</v>
      </c>
      <c r="D4631" s="9" t="s">
        <v>26</v>
      </c>
      <c r="E4631" s="10" t="n">
        <v>1789</v>
      </c>
      <c r="F4631" s="9" t="s">
        <v>27</v>
      </c>
      <c r="G4631" s="9" t="s">
        <v>27</v>
      </c>
      <c r="H4631" s="11" t="n">
        <v>20</v>
      </c>
      <c r="I4631" s="11" t="s">
        <v>143</v>
      </c>
      <c r="J4631" s="14" t="n">
        <v>8</v>
      </c>
      <c r="K4631" s="14"/>
      <c r="L4631" s="16"/>
      <c r="M4631" s="27" t="n">
        <f aca="false">J4631+(K4631/20)+(L4631/240)</f>
        <v>8</v>
      </c>
      <c r="N4631" s="17" t="s">
        <v>85</v>
      </c>
      <c r="O4631" s="11"/>
      <c r="P4631" s="28" t="n">
        <f aca="false">74969/100</f>
        <v>749.69</v>
      </c>
      <c r="Q4631" s="28" t="n">
        <v>5997</v>
      </c>
      <c r="R4631" s="28"/>
      <c r="S4631" s="28" t="n">
        <f aca="false">R4631*$M4631</f>
        <v>0</v>
      </c>
      <c r="T4631" s="28" t="n">
        <f aca="false">58256/100</f>
        <v>582.56</v>
      </c>
      <c r="U4631" s="28" t="n">
        <v>4660</v>
      </c>
      <c r="V4631" s="28" t="n">
        <f aca="false">14450/100</f>
        <v>144.5</v>
      </c>
      <c r="W4631" s="28" t="n">
        <v>1156</v>
      </c>
      <c r="X4631" s="28" t="n">
        <f aca="false">4397/100</f>
        <v>43.97</v>
      </c>
      <c r="Y4631" s="28" t="n">
        <v>352</v>
      </c>
      <c r="Z4631" s="28"/>
      <c r="AA4631" s="28" t="n">
        <f aca="false">Z4631*$M4631</f>
        <v>0</v>
      </c>
      <c r="AB4631" s="28" t="n">
        <f aca="false">6400/100</f>
        <v>64</v>
      </c>
      <c r="AC4631" s="28" t="n">
        <v>512</v>
      </c>
      <c r="AD4631" s="28" t="n">
        <f aca="false">19450/100</f>
        <v>194.5</v>
      </c>
      <c r="AE4631" s="28" t="n">
        <v>1556</v>
      </c>
      <c r="AF4631" s="28" t="n">
        <f aca="false">2496/100</f>
        <v>24.96</v>
      </c>
      <c r="AG4631" s="28" t="n">
        <v>200</v>
      </c>
      <c r="AH4631" s="28"/>
      <c r="AI4631" s="28" t="n">
        <f aca="false">AH4631*$M4631</f>
        <v>0</v>
      </c>
      <c r="AJ4631" s="28"/>
      <c r="AK4631" s="28" t="n">
        <f aca="false">AJ4631*$M4631</f>
        <v>0</v>
      </c>
      <c r="AL4631" s="28"/>
      <c r="AM4631" s="28" t="n">
        <f aca="false">AL4631*$M4631</f>
        <v>0</v>
      </c>
      <c r="AN4631" s="28"/>
      <c r="AO4631" s="28" t="n">
        <f aca="false">AN4631*$M4631</f>
        <v>0</v>
      </c>
      <c r="AP4631" s="28"/>
      <c r="AQ4631" s="28" t="n">
        <f aca="false">AP4631*$M4631</f>
        <v>0</v>
      </c>
      <c r="AR4631" s="28"/>
      <c r="AS4631" s="28" t="n">
        <f aca="false">AR4631*$M4631</f>
        <v>0</v>
      </c>
      <c r="AT4631" s="28"/>
      <c r="AU4631" s="28" t="n">
        <f aca="false">AT4631*$M4631</f>
        <v>0</v>
      </c>
      <c r="AV4631" s="28"/>
      <c r="AW4631" s="28" t="n">
        <f aca="false">AV4631*$M4631</f>
        <v>0</v>
      </c>
      <c r="AX4631" s="28"/>
      <c r="AY4631" s="28" t="n">
        <f aca="false">AX4631*$M4631</f>
        <v>0</v>
      </c>
      <c r="AZ4631" s="30" t="n">
        <f aca="false">180418/100</f>
        <v>1804.18</v>
      </c>
      <c r="BA4631" s="11" t="n">
        <v>14433</v>
      </c>
      <c r="BB4631" s="31" t="n">
        <f aca="false">SUM(Q4631,S4631,U4631,W4631,Y4631,AA4631,AC4631,AE4631,AG4631,AI4631,AK4631,AM4631,AO4631,AQ4631,AS4631,AU4631,AW4631,AY4631)</f>
        <v>14433</v>
      </c>
      <c r="BC4631" s="28" t="n">
        <f aca="false">BA4631-BB4631</f>
        <v>0</v>
      </c>
      <c r="BD4631" s="32" t="n">
        <f aca="false">SUM(P4631,R4631,T4631,V4631,X4631,Z4631,AB4631,AD4631,AF4631,AH4631,AJ4631,AL4631,AN4631,AP4631,AR4631,AT4631,AV4631,AX4631)</f>
        <v>1804.18</v>
      </c>
      <c r="BE4631" s="33" t="n">
        <f aca="false">AZ4631-BD4631</f>
        <v>0</v>
      </c>
      <c r="BF4631" s="34" t="n">
        <f aca="false">BD4631*M4631</f>
        <v>14433.44</v>
      </c>
      <c r="BG4631" s="35" t="n">
        <f aca="false">BA4631-BF4631</f>
        <v>-0.440000000000509</v>
      </c>
      <c r="BH4631" s="19" t="str">
        <f aca="false">IF(BG4631=0,"",IF(BG4631&lt;&gt;BA4631,"erreur de calcul",IF(BD4631&lt;&gt;0,"pas de prix",IF(M4631&lt;&gt; 0,"pas de quantité","pas de prix, ni de quantité"))))</f>
        <v>erreur de calcul</v>
      </c>
      <c r="BI4631" s="19"/>
    </row>
    <row r="4632" customFormat="false" ht="15" hidden="false" customHeight="false" outlineLevel="0" collapsed="false">
      <c r="A4632" s="0" t="n">
        <v>26</v>
      </c>
      <c r="B4632" s="8" t="s">
        <v>24</v>
      </c>
      <c r="C4632" s="9" t="s">
        <v>25</v>
      </c>
      <c r="D4632" s="9" t="s">
        <v>26</v>
      </c>
      <c r="E4632" s="10" t="n">
        <v>1789</v>
      </c>
      <c r="F4632" s="9" t="s">
        <v>27</v>
      </c>
      <c r="G4632" s="9" t="s">
        <v>27</v>
      </c>
      <c r="H4632" s="11" t="n">
        <v>20</v>
      </c>
      <c r="I4632" s="11" t="s">
        <v>144</v>
      </c>
      <c r="J4632" s="14" t="n">
        <v>3</v>
      </c>
      <c r="K4632" s="14"/>
      <c r="L4632" s="16"/>
      <c r="M4632" s="27" t="n">
        <f aca="false">J4632+(K4632/20)+(L4632/240)</f>
        <v>3</v>
      </c>
      <c r="N4632" s="17" t="s">
        <v>66</v>
      </c>
      <c r="O4632" s="11"/>
      <c r="P4632" s="28"/>
      <c r="Q4632" s="28" t="n">
        <f aca="false">P4632*$M4632</f>
        <v>0</v>
      </c>
      <c r="R4632" s="28"/>
      <c r="S4632" s="28" t="n">
        <f aca="false">R4632*$M4632</f>
        <v>0</v>
      </c>
      <c r="T4632" s="28" t="n">
        <v>24347</v>
      </c>
      <c r="U4632" s="28" t="n">
        <v>73041</v>
      </c>
      <c r="V4632" s="28" t="n">
        <v>2300</v>
      </c>
      <c r="W4632" s="28" t="n">
        <v>6900</v>
      </c>
      <c r="X4632" s="28" t="n">
        <v>152</v>
      </c>
      <c r="Y4632" s="28" t="n">
        <v>456</v>
      </c>
      <c r="Z4632" s="28"/>
      <c r="AA4632" s="28" t="n">
        <f aca="false">Z4632*$M4632</f>
        <v>0</v>
      </c>
      <c r="AB4632" s="28" t="n">
        <v>53940</v>
      </c>
      <c r="AC4632" s="28" t="n">
        <v>161820</v>
      </c>
      <c r="AD4632" s="28"/>
      <c r="AE4632" s="28" t="n">
        <f aca="false">AD4632*$M4632</f>
        <v>0</v>
      </c>
      <c r="AF4632" s="28"/>
      <c r="AG4632" s="28" t="n">
        <f aca="false">AF4632*$M4632</f>
        <v>0</v>
      </c>
      <c r="AH4632" s="28" t="n">
        <v>1668909</v>
      </c>
      <c r="AI4632" s="28" t="n">
        <v>5006727</v>
      </c>
      <c r="AJ4632" s="28"/>
      <c r="AK4632" s="28" t="n">
        <f aca="false">AJ4632*$M4632</f>
        <v>0</v>
      </c>
      <c r="AL4632" s="28"/>
      <c r="AM4632" s="28" t="n">
        <f aca="false">AL4632*$M4632</f>
        <v>0</v>
      </c>
      <c r="AN4632" s="28" t="n">
        <v>165</v>
      </c>
      <c r="AO4632" s="28" t="n">
        <v>495</v>
      </c>
      <c r="AP4632" s="28"/>
      <c r="AQ4632" s="28" t="n">
        <f aca="false">AP4632*$M4632</f>
        <v>0</v>
      </c>
      <c r="AR4632" s="28"/>
      <c r="AS4632" s="28" t="n">
        <f aca="false">AR4632*$M4632</f>
        <v>0</v>
      </c>
      <c r="AT4632" s="28"/>
      <c r="AU4632" s="28" t="n">
        <f aca="false">AT4632*$M4632</f>
        <v>0</v>
      </c>
      <c r="AV4632" s="28"/>
      <c r="AW4632" s="28" t="n">
        <f aca="false">AV4632*$M4632</f>
        <v>0</v>
      </c>
      <c r="AX4632" s="28"/>
      <c r="AY4632" s="28" t="n">
        <f aca="false">AX4632*$M4632</f>
        <v>0</v>
      </c>
      <c r="AZ4632" s="30" t="n">
        <v>1736540</v>
      </c>
      <c r="BA4632" s="11" t="n">
        <v>5249439</v>
      </c>
      <c r="BB4632" s="31" t="n">
        <f aca="false">SUM(Q4632,S4632,U4632,W4632,Y4632,AA4632,AC4632,AE4632,AG4632,AI4632,AK4632,AM4632,AO4632,AQ4632,AS4632,AU4632,AW4632,AY4632)</f>
        <v>5249439</v>
      </c>
      <c r="BC4632" s="28" t="n">
        <f aca="false">BA4632-BB4632</f>
        <v>0</v>
      </c>
      <c r="BD4632" s="32" t="n">
        <f aca="false">SUM(P4632,R4632,T4632,V4632,X4632,Z4632,AB4632,AD4632,AF4632,AH4632,AJ4632,AL4632,AN4632,AP4632,AR4632,AT4632,AV4632,AX4632)</f>
        <v>1749813</v>
      </c>
      <c r="BE4632" s="33" t="n">
        <f aca="false">AZ4632-BD4632</f>
        <v>-13273</v>
      </c>
      <c r="BF4632" s="34" t="n">
        <f aca="false">BD4632*M4632</f>
        <v>5249439</v>
      </c>
      <c r="BG4632" s="35" t="n">
        <f aca="false">BA4632-BF4632</f>
        <v>0</v>
      </c>
      <c r="BH4632" s="19" t="str">
        <f aca="false">IF(BG4632=0,"",IF(BG4632&lt;&gt;BA4632,"erreur de calcul",IF(BD4632&lt;&gt;0,"pas de prix",IF(M4632&lt;&gt; 0,"pas de quantité","pas de prix, ni de quantité"))))</f>
        <v/>
      </c>
      <c r="BI4632" s="19"/>
    </row>
    <row r="4633" customFormat="false" ht="15" hidden="false" customHeight="false" outlineLevel="0" collapsed="false">
      <c r="A4633" s="0" t="n">
        <v>27</v>
      </c>
      <c r="B4633" s="8" t="s">
        <v>24</v>
      </c>
      <c r="C4633" s="9" t="s">
        <v>25</v>
      </c>
      <c r="D4633" s="9" t="s">
        <v>26</v>
      </c>
      <c r="E4633" s="10" t="n">
        <v>1789</v>
      </c>
      <c r="F4633" s="9" t="s">
        <v>27</v>
      </c>
      <c r="G4633" s="9" t="s">
        <v>27</v>
      </c>
      <c r="H4633" s="11" t="n">
        <v>20</v>
      </c>
      <c r="I4633" s="11" t="s">
        <v>145</v>
      </c>
      <c r="J4633" s="14" t="n">
        <v>4</v>
      </c>
      <c r="K4633" s="14" t="n">
        <v>18</v>
      </c>
      <c r="L4633" s="16"/>
      <c r="M4633" s="27" t="n">
        <f aca="false">J4633+(K4633/20)+(L4633/240)</f>
        <v>4.9</v>
      </c>
      <c r="N4633" s="17" t="s">
        <v>66</v>
      </c>
      <c r="O4633" s="11"/>
      <c r="P4633" s="28"/>
      <c r="Q4633" s="28" t="n">
        <f aca="false">P4633*$M4633</f>
        <v>0</v>
      </c>
      <c r="R4633" s="28"/>
      <c r="S4633" s="28" t="n">
        <f aca="false">R4633*$M4633</f>
        <v>0</v>
      </c>
      <c r="T4633" s="28"/>
      <c r="U4633" s="28" t="n">
        <f aca="false">T4633*$M4633</f>
        <v>0</v>
      </c>
      <c r="V4633" s="28"/>
      <c r="W4633" s="28" t="n">
        <f aca="false">V4633*$M4633</f>
        <v>0</v>
      </c>
      <c r="X4633" s="28"/>
      <c r="Y4633" s="28" t="n">
        <f aca="false">X4633*$M4633</f>
        <v>0</v>
      </c>
      <c r="Z4633" s="28"/>
      <c r="AA4633" s="28" t="n">
        <f aca="false">Z4633*$M4633</f>
        <v>0</v>
      </c>
      <c r="AB4633" s="28"/>
      <c r="AC4633" s="28" t="n">
        <f aca="false">AB4633*$M4633</f>
        <v>0</v>
      </c>
      <c r="AD4633" s="28"/>
      <c r="AE4633" s="28" t="n">
        <f aca="false">AD4633*$M4633</f>
        <v>0</v>
      </c>
      <c r="AF4633" s="28"/>
      <c r="AG4633" s="28" t="n">
        <f aca="false">AF4633*$M4633</f>
        <v>0</v>
      </c>
      <c r="AH4633" s="28" t="n">
        <v>14916</v>
      </c>
      <c r="AI4633" s="28" t="n">
        <v>73088</v>
      </c>
      <c r="AJ4633" s="28"/>
      <c r="AK4633" s="28" t="n">
        <f aca="false">AJ4633*$M4633</f>
        <v>0</v>
      </c>
      <c r="AL4633" s="28"/>
      <c r="AM4633" s="28" t="n">
        <f aca="false">AL4633*$M4633</f>
        <v>0</v>
      </c>
      <c r="AN4633" s="28"/>
      <c r="AO4633" s="28" t="n">
        <f aca="false">AN4633*$M4633</f>
        <v>0</v>
      </c>
      <c r="AP4633" s="28"/>
      <c r="AQ4633" s="28" t="n">
        <f aca="false">AP4633*$M4633</f>
        <v>0</v>
      </c>
      <c r="AR4633" s="28"/>
      <c r="AS4633" s="28" t="n">
        <f aca="false">AR4633*$M4633</f>
        <v>0</v>
      </c>
      <c r="AT4633" s="28"/>
      <c r="AU4633" s="28" t="n">
        <f aca="false">AT4633*$M4633</f>
        <v>0</v>
      </c>
      <c r="AV4633" s="28"/>
      <c r="AW4633" s="28" t="n">
        <f aca="false">AV4633*$M4633</f>
        <v>0</v>
      </c>
      <c r="AX4633" s="28"/>
      <c r="AY4633" s="28" t="n">
        <f aca="false">AX4633*$M4633</f>
        <v>0</v>
      </c>
      <c r="AZ4633" s="30" t="n">
        <v>14916</v>
      </c>
      <c r="BA4633" s="11" t="n">
        <v>73088</v>
      </c>
      <c r="BB4633" s="31" t="n">
        <f aca="false">SUM(Q4633,S4633,U4633,W4633,Y4633,AA4633,AC4633,AE4633,AG4633,AI4633,AK4633,AM4633,AO4633,AQ4633,AS4633,AU4633,AW4633,AY4633)</f>
        <v>73088</v>
      </c>
      <c r="BC4633" s="28" t="n">
        <f aca="false">BA4633-BB4633</f>
        <v>0</v>
      </c>
      <c r="BD4633" s="32" t="n">
        <f aca="false">SUM(P4633,R4633,T4633,V4633,X4633,Z4633,AB4633,AD4633,AF4633,AH4633,AJ4633,AL4633,AN4633,AP4633,AR4633,AT4633,AV4633,AX4633)</f>
        <v>14916</v>
      </c>
      <c r="BE4633" s="33" t="n">
        <f aca="false">AZ4633-BD4633</f>
        <v>0</v>
      </c>
      <c r="BF4633" s="34" t="n">
        <f aca="false">BD4633*M4633</f>
        <v>73088.4</v>
      </c>
      <c r="BG4633" s="35" t="n">
        <f aca="false">BA4633-BF4633</f>
        <v>-0.400000000008731</v>
      </c>
      <c r="BH4633" s="19" t="str">
        <f aca="false">IF(BG4633=0,"",IF(BG4633&lt;&gt;BA4633,"erreur de calcul",IF(BD4633&lt;&gt;0,"pas de prix",IF(M4633&lt;&gt; 0,"pas de quantité","pas de prix, ni de quantité"))))</f>
        <v>erreur de calcul</v>
      </c>
      <c r="BI4633" s="19"/>
    </row>
    <row r="4634" customFormat="false" ht="15" hidden="false" customHeight="false" outlineLevel="0" collapsed="false">
      <c r="A4634" s="0" t="n">
        <v>28</v>
      </c>
      <c r="B4634" s="8" t="s">
        <v>24</v>
      </c>
      <c r="C4634" s="9" t="s">
        <v>25</v>
      </c>
      <c r="D4634" s="9" t="s">
        <v>26</v>
      </c>
      <c r="E4634" s="10" t="n">
        <v>1789</v>
      </c>
      <c r="F4634" s="9" t="s">
        <v>27</v>
      </c>
      <c r="G4634" s="9" t="s">
        <v>27</v>
      </c>
      <c r="H4634" s="11" t="n">
        <v>20</v>
      </c>
      <c r="I4634" s="11" t="s">
        <v>146</v>
      </c>
      <c r="J4634" s="14" t="n">
        <v>126</v>
      </c>
      <c r="K4634" s="14"/>
      <c r="L4634" s="16"/>
      <c r="M4634" s="27"/>
      <c r="N4634" s="17" t="s">
        <v>66</v>
      </c>
      <c r="O4634" s="11" t="s">
        <v>98</v>
      </c>
      <c r="P4634" s="28"/>
      <c r="Q4634" s="28" t="n">
        <f aca="false">P4634*$M4634</f>
        <v>0</v>
      </c>
      <c r="R4634" s="28" t="n">
        <v>82676</v>
      </c>
      <c r="S4634" s="28" t="n">
        <v>28572</v>
      </c>
      <c r="T4634" s="28"/>
      <c r="U4634" s="28" t="n">
        <f aca="false">T4634*$M4634</f>
        <v>0</v>
      </c>
      <c r="V4634" s="28"/>
      <c r="W4634" s="28" t="n">
        <f aca="false">V4634*$M4634</f>
        <v>0</v>
      </c>
      <c r="X4634" s="28"/>
      <c r="Y4634" s="28" t="n">
        <f aca="false">X4634*$M4634</f>
        <v>0</v>
      </c>
      <c r="Z4634" s="28"/>
      <c r="AA4634" s="28" t="n">
        <f aca="false">Z4634*$M4634</f>
        <v>0</v>
      </c>
      <c r="AB4634" s="28"/>
      <c r="AC4634" s="28" t="n">
        <f aca="false">AB4634*$M4634</f>
        <v>0</v>
      </c>
      <c r="AD4634" s="28"/>
      <c r="AE4634" s="28" t="n">
        <f aca="false">AD4634*$M4634</f>
        <v>0</v>
      </c>
      <c r="AF4634" s="28"/>
      <c r="AG4634" s="28" t="n">
        <f aca="false">AF4634*$M4634</f>
        <v>0</v>
      </c>
      <c r="AH4634" s="28" t="n">
        <v>6408925</v>
      </c>
      <c r="AI4634" s="28" t="n">
        <v>8075245</v>
      </c>
      <c r="AJ4634" s="28"/>
      <c r="AK4634" s="28" t="n">
        <f aca="false">AJ4634*$M4634</f>
        <v>0</v>
      </c>
      <c r="AL4634" s="28"/>
      <c r="AM4634" s="28" t="n">
        <f aca="false">AL4634*$M4634</f>
        <v>0</v>
      </c>
      <c r="AN4634" s="28"/>
      <c r="AO4634" s="28" t="n">
        <f aca="false">AN4634*$M4634</f>
        <v>0</v>
      </c>
      <c r="AP4634" s="28"/>
      <c r="AQ4634" s="28" t="n">
        <f aca="false">AP4634*$M4634</f>
        <v>0</v>
      </c>
      <c r="AR4634" s="28"/>
      <c r="AS4634" s="28" t="n">
        <f aca="false">AR4634*$M4634</f>
        <v>0</v>
      </c>
      <c r="AT4634" s="28"/>
      <c r="AU4634" s="28" t="n">
        <f aca="false">AT4634*$M4634</f>
        <v>0</v>
      </c>
      <c r="AV4634" s="28"/>
      <c r="AW4634" s="28" t="n">
        <f aca="false">AV4634*$M4634</f>
        <v>0</v>
      </c>
      <c r="AX4634" s="28"/>
      <c r="AY4634" s="28" t="n">
        <f aca="false">AX4634*$M4634</f>
        <v>0</v>
      </c>
      <c r="AZ4634" s="11" t="n">
        <v>6431601</v>
      </c>
      <c r="BA4634" s="11" t="n">
        <v>8103817</v>
      </c>
      <c r="BB4634" s="31" t="n">
        <f aca="false">SUM(Q4634,S4634,U4634,W4634,Y4634,AA4634,AC4634,AE4634,AG4634,AI4634,AK4634,AM4634,AO4634,AQ4634,AS4634,AU4634,AW4634,AY4634)</f>
        <v>8103817</v>
      </c>
      <c r="BC4634" s="28" t="n">
        <f aca="false">BA4634-BB4634</f>
        <v>0</v>
      </c>
      <c r="BD4634" s="32" t="n">
        <f aca="false">SUM(P4634,R4634,T4634,V4634,X4634,Z4634,AB4634,AD4634,AF4634,AH4634,AJ4634,AL4634,AN4634,AP4634,AR4634,AT4634,AV4634,AX4634)</f>
        <v>6491601</v>
      </c>
      <c r="BE4634" s="33" t="n">
        <f aca="false">AZ4634-BD4634</f>
        <v>-60000</v>
      </c>
      <c r="BF4634" s="34" t="n">
        <f aca="false">BD4634*M4634</f>
        <v>0</v>
      </c>
      <c r="BG4634" s="35" t="n">
        <f aca="false">BA4634-BF4634</f>
        <v>8103817</v>
      </c>
      <c r="BH4634" s="19" t="str">
        <f aca="false">IF(BG4634=0,"",IF(BG4634&lt;&gt;BA4634,"erreur de calcul",IF(BD4634&lt;&gt;0,"pas de prix",IF(M4634&lt;&gt; 0,"pas de quantité","pas de prix, ni de quantité"))))</f>
        <v>pas de prix</v>
      </c>
      <c r="BI4634" s="19" t="s">
        <v>147</v>
      </c>
    </row>
    <row r="4635" customFormat="false" ht="15" hidden="false" customHeight="false" outlineLevel="0" collapsed="false">
      <c r="A4635" s="0" t="n">
        <v>29</v>
      </c>
      <c r="B4635" s="8" t="s">
        <v>24</v>
      </c>
      <c r="C4635" s="9" t="s">
        <v>25</v>
      </c>
      <c r="D4635" s="9" t="s">
        <v>26</v>
      </c>
      <c r="E4635" s="10" t="n">
        <v>1789</v>
      </c>
      <c r="F4635" s="9" t="s">
        <v>27</v>
      </c>
      <c r="G4635" s="9" t="s">
        <v>27</v>
      </c>
      <c r="H4635" s="11" t="n">
        <v>20</v>
      </c>
      <c r="I4635" s="11" t="s">
        <v>148</v>
      </c>
      <c r="J4635" s="14"/>
      <c r="K4635" s="14" t="n">
        <v>20</v>
      </c>
      <c r="L4635" s="16"/>
      <c r="M4635" s="27" t="n">
        <f aca="false">J4635+(K4635/20)+(L4635/240)</f>
        <v>1</v>
      </c>
      <c r="N4635" s="17" t="s">
        <v>66</v>
      </c>
      <c r="O4635" s="11"/>
      <c r="P4635" s="28"/>
      <c r="Q4635" s="28" t="n">
        <f aca="false">P4635*$M4635</f>
        <v>0</v>
      </c>
      <c r="R4635" s="28"/>
      <c r="S4635" s="28" t="n">
        <f aca="false">R4635*$M4635</f>
        <v>0</v>
      </c>
      <c r="T4635" s="28" t="n">
        <v>392</v>
      </c>
      <c r="U4635" s="28" t="n">
        <v>392</v>
      </c>
      <c r="V4635" s="28"/>
      <c r="W4635" s="28" t="n">
        <f aca="false">V4635*$M4635</f>
        <v>0</v>
      </c>
      <c r="X4635" s="28"/>
      <c r="Y4635" s="28" t="n">
        <f aca="false">X4635*$M4635</f>
        <v>0</v>
      </c>
      <c r="Z4635" s="28"/>
      <c r="AA4635" s="28" t="n">
        <f aca="false">Z4635*$M4635</f>
        <v>0</v>
      </c>
      <c r="AB4635" s="28" t="n">
        <v>7596</v>
      </c>
      <c r="AC4635" s="28" t="n">
        <v>7596</v>
      </c>
      <c r="AD4635" s="28"/>
      <c r="AE4635" s="28" t="n">
        <f aca="false">AD4635*$M4635</f>
        <v>0</v>
      </c>
      <c r="AF4635" s="28"/>
      <c r="AG4635" s="28" t="n">
        <f aca="false">AF4635*$M4635</f>
        <v>0</v>
      </c>
      <c r="AH4635" s="28"/>
      <c r="AI4635" s="28" t="n">
        <f aca="false">AH4635*$M4635</f>
        <v>0</v>
      </c>
      <c r="AJ4635" s="28"/>
      <c r="AK4635" s="28" t="n">
        <f aca="false">AJ4635*$M4635</f>
        <v>0</v>
      </c>
      <c r="AL4635" s="28"/>
      <c r="AM4635" s="28" t="n">
        <f aca="false">AL4635*$M4635</f>
        <v>0</v>
      </c>
      <c r="AN4635" s="28"/>
      <c r="AO4635" s="28" t="n">
        <f aca="false">AN4635*$M4635</f>
        <v>0</v>
      </c>
      <c r="AP4635" s="28"/>
      <c r="AQ4635" s="28" t="n">
        <f aca="false">AP4635*$M4635</f>
        <v>0</v>
      </c>
      <c r="AR4635" s="28"/>
      <c r="AS4635" s="28" t="n">
        <f aca="false">AR4635*$M4635</f>
        <v>0</v>
      </c>
      <c r="AT4635" s="28"/>
      <c r="AU4635" s="28" t="n">
        <f aca="false">AT4635*$M4635</f>
        <v>0</v>
      </c>
      <c r="AV4635" s="28"/>
      <c r="AW4635" s="28" t="n">
        <f aca="false">AV4635*$M4635</f>
        <v>0</v>
      </c>
      <c r="AX4635" s="28"/>
      <c r="AY4635" s="28" t="n">
        <f aca="false">AX4635*$M4635</f>
        <v>0</v>
      </c>
      <c r="AZ4635" s="30" t="n">
        <v>7988</v>
      </c>
      <c r="BA4635" s="11" t="n">
        <v>7988</v>
      </c>
      <c r="BB4635" s="31" t="n">
        <f aca="false">SUM(Q4635,S4635,U4635,W4635,Y4635,AA4635,AC4635,AE4635,AG4635,AI4635,AK4635,AM4635,AO4635,AQ4635,AS4635,AU4635,AW4635,AY4635)</f>
        <v>7988</v>
      </c>
      <c r="BC4635" s="28" t="n">
        <f aca="false">BA4635-BB4635</f>
        <v>0</v>
      </c>
      <c r="BD4635" s="32" t="n">
        <f aca="false">SUM(P4635,R4635,T4635,V4635,X4635,Z4635,AB4635,AD4635,AF4635,AH4635,AJ4635,AL4635,AN4635,AP4635,AR4635,AT4635,AV4635,AX4635)</f>
        <v>7988</v>
      </c>
      <c r="BE4635" s="33" t="n">
        <f aca="false">AZ4635-BD4635</f>
        <v>0</v>
      </c>
      <c r="BF4635" s="34" t="n">
        <f aca="false">BD4635*M4635</f>
        <v>7988</v>
      </c>
      <c r="BG4635" s="35" t="n">
        <f aca="false">BA4635-BF4635</f>
        <v>0</v>
      </c>
      <c r="BH4635" s="19" t="str">
        <f aca="false">IF(BG4635=0,"",IF(BG4635&lt;&gt;BA4635,"erreur de calcul",IF(BD4635&lt;&gt;0,"pas de prix",IF(M4635&lt;&gt; 0,"pas de quantité","pas de prix, ni de quantité"))))</f>
        <v/>
      </c>
      <c r="BI4635" s="19"/>
    </row>
    <row r="4636" customFormat="false" ht="15" hidden="false" customHeight="false" outlineLevel="0" collapsed="false">
      <c r="A4636" s="0" t="n">
        <v>30</v>
      </c>
      <c r="B4636" s="8" t="s">
        <v>24</v>
      </c>
      <c r="C4636" s="9" t="s">
        <v>25</v>
      </c>
      <c r="D4636" s="9" t="s">
        <v>26</v>
      </c>
      <c r="E4636" s="10" t="n">
        <v>1789</v>
      </c>
      <c r="F4636" s="9" t="s">
        <v>27</v>
      </c>
      <c r="G4636" s="9" t="s">
        <v>27</v>
      </c>
      <c r="H4636" s="11" t="n">
        <v>20</v>
      </c>
      <c r="I4636" s="11" t="s">
        <v>149</v>
      </c>
      <c r="J4636" s="14" t="n">
        <v>70</v>
      </c>
      <c r="K4636" s="14"/>
      <c r="L4636" s="16"/>
      <c r="M4636" s="27" t="n">
        <f aca="false">J4636+(K4636/20)+(L4636/240)</f>
        <v>70</v>
      </c>
      <c r="N4636" s="17" t="s">
        <v>64</v>
      </c>
      <c r="O4636" s="11"/>
      <c r="P4636" s="28"/>
      <c r="Q4636" s="28" t="n">
        <f aca="false">P4636*$M4636</f>
        <v>0</v>
      </c>
      <c r="R4636" s="28"/>
      <c r="S4636" s="28" t="n">
        <f aca="false">R4636*$M4636</f>
        <v>0</v>
      </c>
      <c r="T4636" s="28"/>
      <c r="U4636" s="28" t="n">
        <f aca="false">T4636*$M4636</f>
        <v>0</v>
      </c>
      <c r="V4636" s="28"/>
      <c r="W4636" s="28" t="n">
        <f aca="false">V4636*$M4636</f>
        <v>0</v>
      </c>
      <c r="X4636" s="28" t="n">
        <f aca="false">1904/100</f>
        <v>19.04</v>
      </c>
      <c r="Y4636" s="28" t="n">
        <v>1333</v>
      </c>
      <c r="Z4636" s="28"/>
      <c r="AA4636" s="28" t="n">
        <f aca="false">Z4636*$M4636</f>
        <v>0</v>
      </c>
      <c r="AB4636" s="28" t="n">
        <f aca="false">51370/100</f>
        <v>513.7</v>
      </c>
      <c r="AC4636" s="28" t="n">
        <v>35959</v>
      </c>
      <c r="AD4636" s="28"/>
      <c r="AE4636" s="28" t="n">
        <f aca="false">AD4636*$M4636</f>
        <v>0</v>
      </c>
      <c r="AF4636" s="28" t="n">
        <f aca="false">8872/100</f>
        <v>88.72</v>
      </c>
      <c r="AG4636" s="28" t="n">
        <v>6210</v>
      </c>
      <c r="AH4636" s="28" t="n">
        <f aca="false">14751/100</f>
        <v>147.51</v>
      </c>
      <c r="AI4636" s="28" t="n">
        <v>10326</v>
      </c>
      <c r="AJ4636" s="28"/>
      <c r="AK4636" s="28" t="n">
        <f aca="false">AJ4636*$M4636</f>
        <v>0</v>
      </c>
      <c r="AL4636" s="28"/>
      <c r="AM4636" s="28" t="n">
        <f aca="false">AL4636*$M4636</f>
        <v>0</v>
      </c>
      <c r="AN4636" s="28"/>
      <c r="AO4636" s="28" t="n">
        <f aca="false">AN4636*$M4636</f>
        <v>0</v>
      </c>
      <c r="AP4636" s="28"/>
      <c r="AQ4636" s="28" t="n">
        <f aca="false">AP4636*$M4636</f>
        <v>0</v>
      </c>
      <c r="AR4636" s="28"/>
      <c r="AS4636" s="28" t="n">
        <f aca="false">AR4636*$M4636</f>
        <v>0</v>
      </c>
      <c r="AT4636" s="28"/>
      <c r="AU4636" s="28" t="n">
        <f aca="false">AT4636*$M4636</f>
        <v>0</v>
      </c>
      <c r="AV4636" s="28"/>
      <c r="AW4636" s="28" t="n">
        <f aca="false">AV4636*$M4636</f>
        <v>0</v>
      </c>
      <c r="AX4636" s="28"/>
      <c r="AY4636" s="28" t="n">
        <f aca="false">AX4636*$M4636</f>
        <v>0</v>
      </c>
      <c r="AZ4636" s="30" t="n">
        <f aca="false">76897/100</f>
        <v>768.97</v>
      </c>
      <c r="BA4636" s="11" t="n">
        <v>53828</v>
      </c>
      <c r="BB4636" s="31" t="n">
        <f aca="false">SUM(Q4636,S4636,U4636,W4636,Y4636,AA4636,AC4636,AE4636,AG4636,AI4636,AK4636,AM4636,AO4636,AQ4636,AS4636,AU4636,AW4636,AY4636)</f>
        <v>53828</v>
      </c>
      <c r="BC4636" s="28" t="n">
        <f aca="false">BA4636-BB4636</f>
        <v>0</v>
      </c>
      <c r="BD4636" s="32" t="n">
        <f aca="false">SUM(P4636,R4636,T4636,V4636,X4636,Z4636,AB4636,AD4636,AF4636,AH4636,AJ4636,AL4636,AN4636,AP4636,AR4636,AT4636,AV4636,AX4636)</f>
        <v>768.97</v>
      </c>
      <c r="BE4636" s="33" t="n">
        <f aca="false">AZ4636-BD4636</f>
        <v>0</v>
      </c>
      <c r="BF4636" s="34" t="n">
        <f aca="false">BD4636*M4636</f>
        <v>53827.9</v>
      </c>
      <c r="BG4636" s="35" t="n">
        <f aca="false">BA4636-BF4636</f>
        <v>0.0999999999985448</v>
      </c>
      <c r="BH4636" s="19" t="str">
        <f aca="false">IF(BG4636=0,"",IF(BG4636&lt;&gt;BA4636,"erreur de calcul",IF(BD4636&lt;&gt;0,"pas de prix",IF(M4636&lt;&gt; 0,"pas de quantité","pas de prix, ni de quantité"))))</f>
        <v>erreur de calcul</v>
      </c>
      <c r="BI4636" s="19"/>
    </row>
    <row r="4637" customFormat="false" ht="15" hidden="false" customHeight="false" outlineLevel="0" collapsed="false">
      <c r="A4637" s="0" t="n">
        <v>31</v>
      </c>
      <c r="B4637" s="8" t="s">
        <v>24</v>
      </c>
      <c r="C4637" s="9" t="s">
        <v>25</v>
      </c>
      <c r="D4637" s="9" t="s">
        <v>26</v>
      </c>
      <c r="E4637" s="10" t="n">
        <v>1789</v>
      </c>
      <c r="F4637" s="9" t="s">
        <v>27</v>
      </c>
      <c r="G4637" s="9" t="s">
        <v>27</v>
      </c>
      <c r="H4637" s="11" t="n">
        <v>20</v>
      </c>
      <c r="I4637" s="11" t="s">
        <v>150</v>
      </c>
      <c r="J4637" s="14" t="n">
        <v>70</v>
      </c>
      <c r="K4637" s="14"/>
      <c r="L4637" s="16"/>
      <c r="M4637" s="27" t="n">
        <f aca="false">J4637+(K4637/20)+(L4637/240)</f>
        <v>70</v>
      </c>
      <c r="N4637" s="17" t="s">
        <v>64</v>
      </c>
      <c r="O4637" s="11" t="s">
        <v>77</v>
      </c>
      <c r="P4637" s="28"/>
      <c r="Q4637" s="28" t="n">
        <f aca="false">P4637*$M4637</f>
        <v>0</v>
      </c>
      <c r="R4637" s="28"/>
      <c r="S4637" s="28" t="n">
        <f aca="false">R4637*$M4637</f>
        <v>0</v>
      </c>
      <c r="T4637" s="28"/>
      <c r="U4637" s="28" t="n">
        <f aca="false">T4637*$M4637</f>
        <v>0</v>
      </c>
      <c r="V4637" s="28"/>
      <c r="W4637" s="28" t="n">
        <f aca="false">V4637*$M4637</f>
        <v>0</v>
      </c>
      <c r="X4637" s="28"/>
      <c r="Y4637" s="28" t="n">
        <f aca="false">X4637*$M4637</f>
        <v>0</v>
      </c>
      <c r="Z4637" s="28"/>
      <c r="AA4637" s="28" t="n">
        <f aca="false">Z4637*$M4637</f>
        <v>0</v>
      </c>
      <c r="AB4637" s="28"/>
      <c r="AC4637" s="28" t="n">
        <f aca="false">AB4637*$M4637</f>
        <v>0</v>
      </c>
      <c r="AD4637" s="28"/>
      <c r="AE4637" s="28" t="n">
        <f aca="false">AD4637*$M4637</f>
        <v>0</v>
      </c>
      <c r="AF4637" s="28"/>
      <c r="AG4637" s="28" t="n">
        <f aca="false">AF4637*$M4637</f>
        <v>0</v>
      </c>
      <c r="AH4637" s="28"/>
      <c r="AI4637" s="28" t="n">
        <f aca="false">AH4637*$M4637</f>
        <v>0</v>
      </c>
      <c r="AJ4637" s="28"/>
      <c r="AK4637" s="28" t="n">
        <f aca="false">AJ4637*$M4637</f>
        <v>0</v>
      </c>
      <c r="AL4637" s="28"/>
      <c r="AM4637" s="28" t="n">
        <f aca="false">AL4637*$M4637</f>
        <v>0</v>
      </c>
      <c r="AN4637" s="28"/>
      <c r="AO4637" s="28" t="n">
        <f aca="false">AN4637*$M4637</f>
        <v>0</v>
      </c>
      <c r="AP4637" s="28"/>
      <c r="AQ4637" s="28" t="n">
        <f aca="false">AP4637*$M4637</f>
        <v>0</v>
      </c>
      <c r="AR4637" s="28"/>
      <c r="AS4637" s="28" t="n">
        <f aca="false">AR4637*$M4637</f>
        <v>0</v>
      </c>
      <c r="AT4637" s="28"/>
      <c r="AU4637" s="28" t="n">
        <f aca="false">AT4637*$M4637</f>
        <v>0</v>
      </c>
      <c r="AV4637" s="28"/>
      <c r="AW4637" s="28" t="n">
        <f aca="false">AV4637*$M4637</f>
        <v>0</v>
      </c>
      <c r="AX4637" s="28"/>
      <c r="AY4637" s="28" t="n">
        <f aca="false">AX4637*$M4637</f>
        <v>0</v>
      </c>
      <c r="AZ4637" s="30"/>
      <c r="BA4637" s="11"/>
      <c r="BB4637" s="31" t="n">
        <f aca="false">SUM(Q4637,S4637,U4637,W4637,Y4637,AA4637,AC4637,AE4637,AG4637,AI4637,AK4637,AM4637,AO4637,AQ4637,AS4637,AU4637,AW4637,AY4637)</f>
        <v>0</v>
      </c>
      <c r="BC4637" s="28" t="n">
        <f aca="false">BA4637-BB4637</f>
        <v>0</v>
      </c>
      <c r="BD4637" s="32" t="n">
        <f aca="false">SUM(P4637,R4637,T4637,V4637,X4637,Z4637,AB4637,AD4637,AF4637,AH4637,AJ4637,AL4637,AN4637,AP4637,AR4637,AT4637,AV4637,AX4637)</f>
        <v>0</v>
      </c>
      <c r="BE4637" s="33" t="n">
        <f aca="false">AZ4637-BD4637</f>
        <v>0</v>
      </c>
      <c r="BF4637" s="34" t="n">
        <f aca="false">BD4637*M4637</f>
        <v>0</v>
      </c>
      <c r="BG4637" s="35" t="n">
        <f aca="false">BA4637-BF4637</f>
        <v>0</v>
      </c>
      <c r="BH4637" s="19" t="str">
        <f aca="false">IF(BG4637=0,"",IF(BG4637&lt;&gt;BA4637,"erreur de calcul",IF(BD4637&lt;&gt;0,"pas de prix",IF(M4637&lt;&gt; 0,"pas de quantité","pas de prix, ni de quantité"))))</f>
        <v/>
      </c>
      <c r="BI4637" s="19"/>
    </row>
    <row r="4638" customFormat="false" ht="15" hidden="false" customHeight="false" outlineLevel="0" collapsed="false">
      <c r="A4638" s="0" t="n">
        <v>32</v>
      </c>
      <c r="B4638" s="8" t="s">
        <v>24</v>
      </c>
      <c r="C4638" s="9" t="s">
        <v>25</v>
      </c>
      <c r="D4638" s="9" t="s">
        <v>26</v>
      </c>
      <c r="E4638" s="10" t="n">
        <v>1789</v>
      </c>
      <c r="F4638" s="9" t="s">
        <v>27</v>
      </c>
      <c r="G4638" s="9" t="s">
        <v>27</v>
      </c>
      <c r="H4638" s="11" t="n">
        <v>20</v>
      </c>
      <c r="I4638" s="11" t="s">
        <v>150</v>
      </c>
      <c r="J4638" s="14" t="n">
        <v>70</v>
      </c>
      <c r="K4638" s="14"/>
      <c r="L4638" s="16"/>
      <c r="M4638" s="27" t="n">
        <f aca="false">J4638+(K4638/20)+(L4638/240)</f>
        <v>70</v>
      </c>
      <c r="N4638" s="17" t="s">
        <v>64</v>
      </c>
      <c r="O4638" s="11" t="s">
        <v>98</v>
      </c>
      <c r="P4638" s="28" t="n">
        <f aca="false">382028/100</f>
        <v>3820.28</v>
      </c>
      <c r="Q4638" s="28" t="n">
        <v>267420</v>
      </c>
      <c r="R4638" s="28" t="n">
        <f aca="false">131361/100</f>
        <v>1313.61</v>
      </c>
      <c r="S4638" s="28" t="n">
        <v>91953</v>
      </c>
      <c r="T4638" s="28" t="n">
        <f aca="false">8856/100</f>
        <v>88.56</v>
      </c>
      <c r="U4638" s="28" t="n">
        <v>6199</v>
      </c>
      <c r="V4638" s="28" t="n">
        <f aca="false">171125/100</f>
        <v>1711.25</v>
      </c>
      <c r="W4638" s="28" t="n">
        <v>119787</v>
      </c>
      <c r="X4638" s="28" t="n">
        <f aca="false">24259/100</f>
        <v>242.59</v>
      </c>
      <c r="Y4638" s="28" t="n">
        <v>16981</v>
      </c>
      <c r="Z4638" s="28"/>
      <c r="AA4638" s="28" t="n">
        <f aca="false">Z4638*$M4638</f>
        <v>0</v>
      </c>
      <c r="AB4638" s="28" t="n">
        <f aca="false">33694/100</f>
        <v>336.94</v>
      </c>
      <c r="AC4638" s="28" t="n">
        <v>23586</v>
      </c>
      <c r="AD4638" s="28" t="n">
        <f aca="false">89734/100</f>
        <v>897.34</v>
      </c>
      <c r="AE4638" s="28" t="n">
        <v>62814</v>
      </c>
      <c r="AF4638" s="28" t="n">
        <f aca="false">1955727/100</f>
        <v>19557.27</v>
      </c>
      <c r="AG4638" s="28" t="n">
        <v>1369009</v>
      </c>
      <c r="AH4638" s="28" t="n">
        <f aca="false">11740/100</f>
        <v>117.4</v>
      </c>
      <c r="AI4638" s="28" t="n">
        <v>8218</v>
      </c>
      <c r="AJ4638" s="28"/>
      <c r="AK4638" s="28" t="n">
        <f aca="false">AJ4638*$M4638</f>
        <v>0</v>
      </c>
      <c r="AL4638" s="28"/>
      <c r="AM4638" s="28" t="n">
        <f aca="false">AL4638*$M4638</f>
        <v>0</v>
      </c>
      <c r="AN4638" s="28"/>
      <c r="AO4638" s="28" t="n">
        <f aca="false">AN4638*$M4638</f>
        <v>0</v>
      </c>
      <c r="AP4638" s="28"/>
      <c r="AQ4638" s="28" t="n">
        <f aca="false">AP4638*$M4638</f>
        <v>0</v>
      </c>
      <c r="AR4638" s="28"/>
      <c r="AS4638" s="28" t="n">
        <f aca="false">AR4638*$M4638</f>
        <v>0</v>
      </c>
      <c r="AT4638" s="28"/>
      <c r="AU4638" s="28" t="n">
        <f aca="false">AT4638*$M4638</f>
        <v>0</v>
      </c>
      <c r="AV4638" s="28" t="n">
        <f aca="false">15000/100</f>
        <v>150</v>
      </c>
      <c r="AW4638" s="28" t="n">
        <v>10500</v>
      </c>
      <c r="AX4638" s="28"/>
      <c r="AY4638" s="28" t="n">
        <f aca="false">AX4638*$M4638</f>
        <v>0</v>
      </c>
      <c r="AZ4638" s="30" t="n">
        <f aca="false">2823524/100</f>
        <v>28235.24</v>
      </c>
      <c r="BA4638" s="11" t="n">
        <v>1976467</v>
      </c>
      <c r="BB4638" s="31" t="n">
        <f aca="false">SUM(Q4638,S4638,U4638,W4638,Y4638,AA4638,AC4638,AE4638,AG4638,AI4638,AK4638,AM4638,AO4638,AQ4638,AS4638,AU4638,AW4638,AY4638)</f>
        <v>1976467</v>
      </c>
      <c r="BC4638" s="28" t="n">
        <f aca="false">BA4638-BB4638</f>
        <v>0</v>
      </c>
      <c r="BD4638" s="32" t="n">
        <f aca="false">SUM(P4638,R4638,T4638,V4638,X4638,Z4638,AB4638,AD4638,AF4638,AH4638,AJ4638,AL4638,AN4638,AP4638,AR4638,AT4638,AV4638,AX4638)</f>
        <v>28235.24</v>
      </c>
      <c r="BE4638" s="33" t="n">
        <f aca="false">AZ4638-BD4638</f>
        <v>0</v>
      </c>
      <c r="BF4638" s="34" t="n">
        <f aca="false">BD4638*M4638</f>
        <v>1976466.8</v>
      </c>
      <c r="BG4638" s="35" t="n">
        <f aca="false">BA4638-BF4638</f>
        <v>0.199999999953434</v>
      </c>
      <c r="BH4638" s="19" t="str">
        <f aca="false">IF(BG4638=0,"",IF(BG4638&lt;&gt;BA4638,"erreur de calcul",IF(BD4638&lt;&gt;0,"pas de prix",IF(M4638&lt;&gt; 0,"pas de quantité","pas de prix, ni de quantité"))))</f>
        <v>erreur de calcul</v>
      </c>
      <c r="BI4638" s="19"/>
    </row>
    <row r="4639" customFormat="false" ht="15" hidden="false" customHeight="false" outlineLevel="0" collapsed="false">
      <c r="A4639" s="0" t="n">
        <v>33</v>
      </c>
      <c r="B4639" s="8" t="s">
        <v>24</v>
      </c>
      <c r="C4639" s="9" t="s">
        <v>25</v>
      </c>
      <c r="D4639" s="9" t="s">
        <v>26</v>
      </c>
      <c r="E4639" s="10" t="n">
        <v>1789</v>
      </c>
      <c r="F4639" s="9" t="s">
        <v>27</v>
      </c>
      <c r="G4639" s="9" t="s">
        <v>27</v>
      </c>
      <c r="H4639" s="11" t="n">
        <v>20</v>
      </c>
      <c r="I4639" s="11" t="s">
        <v>151</v>
      </c>
      <c r="J4639" s="14" t="n">
        <v>150</v>
      </c>
      <c r="K4639" s="14"/>
      <c r="L4639" s="16"/>
      <c r="M4639" s="27" t="n">
        <f aca="false">J4639+(K4639/20)+(L4639/240)</f>
        <v>150</v>
      </c>
      <c r="N4639" s="17" t="s">
        <v>64</v>
      </c>
      <c r="O4639" s="11"/>
      <c r="P4639" s="28"/>
      <c r="Q4639" s="28" t="n">
        <f aca="false">P4639*$M4639</f>
        <v>0</v>
      </c>
      <c r="R4639" s="28"/>
      <c r="S4639" s="28" t="n">
        <f aca="false">R4639*$M4639</f>
        <v>0</v>
      </c>
      <c r="T4639" s="28"/>
      <c r="U4639" s="28" t="n">
        <f aca="false">T4639*$M4639</f>
        <v>0</v>
      </c>
      <c r="V4639" s="28"/>
      <c r="W4639" s="28" t="n">
        <f aca="false">V4639*$M4639</f>
        <v>0</v>
      </c>
      <c r="X4639" s="28"/>
      <c r="Y4639" s="28" t="n">
        <f aca="false">X4639*$M4639</f>
        <v>0</v>
      </c>
      <c r="Z4639" s="28"/>
      <c r="AA4639" s="28" t="n">
        <f aca="false">Z4639*$M4639</f>
        <v>0</v>
      </c>
      <c r="AB4639" s="28"/>
      <c r="AC4639" s="28" t="n">
        <f aca="false">AB4639*$M4639</f>
        <v>0</v>
      </c>
      <c r="AD4639" s="28"/>
      <c r="AE4639" s="28" t="n">
        <f aca="false">AD4639*$M4639</f>
        <v>0</v>
      </c>
      <c r="AF4639" s="28"/>
      <c r="AG4639" s="28" t="n">
        <f aca="false">AF4639*$M4639</f>
        <v>0</v>
      </c>
      <c r="AH4639" s="28"/>
      <c r="AI4639" s="28" t="n">
        <f aca="false">AH4639*$M4639</f>
        <v>0</v>
      </c>
      <c r="AJ4639" s="28"/>
      <c r="AK4639" s="28" t="n">
        <f aca="false">AJ4639*$M4639</f>
        <v>0</v>
      </c>
      <c r="AL4639" s="28" t="n">
        <f aca="false">118785/100</f>
        <v>1187.85</v>
      </c>
      <c r="AM4639" s="28" t="n">
        <v>178177</v>
      </c>
      <c r="AN4639" s="28"/>
      <c r="AO4639" s="28" t="n">
        <f aca="false">AN4639*$M4639</f>
        <v>0</v>
      </c>
      <c r="AP4639" s="28"/>
      <c r="AQ4639" s="28" t="n">
        <f aca="false">AP4639*$M4639</f>
        <v>0</v>
      </c>
      <c r="AR4639" s="28"/>
      <c r="AS4639" s="28" t="n">
        <f aca="false">AR4639*$M4639</f>
        <v>0</v>
      </c>
      <c r="AT4639" s="28"/>
      <c r="AU4639" s="28" t="n">
        <f aca="false">AT4639*$M4639</f>
        <v>0</v>
      </c>
      <c r="AV4639" s="28"/>
      <c r="AW4639" s="28" t="n">
        <f aca="false">AV4639*$M4639</f>
        <v>0</v>
      </c>
      <c r="AX4639" s="28"/>
      <c r="AY4639" s="28" t="n">
        <f aca="false">AX4639*$M4639</f>
        <v>0</v>
      </c>
      <c r="AZ4639" s="30" t="n">
        <f aca="false">118785/100</f>
        <v>1187.85</v>
      </c>
      <c r="BA4639" s="11" t="n">
        <v>178177</v>
      </c>
      <c r="BB4639" s="31" t="n">
        <f aca="false">SUM(Q4639,S4639,U4639,W4639,Y4639,AA4639,AC4639,AE4639,AG4639,AI4639,AK4639,AM4639,AO4639,AQ4639,AS4639,AU4639,AW4639,AY4639)</f>
        <v>178177</v>
      </c>
      <c r="BC4639" s="28" t="n">
        <f aca="false">BA4639-BB4639</f>
        <v>0</v>
      </c>
      <c r="BD4639" s="32" t="n">
        <f aca="false">SUM(P4639,R4639,T4639,V4639,X4639,Z4639,AB4639,AD4639,AF4639,AH4639,AJ4639,AL4639,AN4639,AP4639,AR4639,AT4639,AV4639,AX4639)</f>
        <v>1187.85</v>
      </c>
      <c r="BE4639" s="33" t="n">
        <f aca="false">AZ4639-BD4639</f>
        <v>0</v>
      </c>
      <c r="BF4639" s="34" t="n">
        <f aca="false">BD4639*M4639</f>
        <v>178177.5</v>
      </c>
      <c r="BG4639" s="35" t="n">
        <f aca="false">BA4639-BF4639</f>
        <v>-0.5</v>
      </c>
      <c r="BH4639" s="19" t="str">
        <f aca="false">IF(BG4639=0,"",IF(BG4639&lt;&gt;BA4639,"erreur de calcul",IF(BD4639&lt;&gt;0,"pas de prix",IF(M4639&lt;&gt; 0,"pas de quantité","pas de prix, ni de quantité"))))</f>
        <v>erreur de calcul</v>
      </c>
      <c r="BI4639" s="19"/>
    </row>
    <row r="4640" customFormat="false" ht="15" hidden="false" customHeight="false" outlineLevel="0" collapsed="false">
      <c r="A4640" s="0" t="n">
        <v>34</v>
      </c>
      <c r="B4640" s="8" t="s">
        <v>24</v>
      </c>
      <c r="C4640" s="9" t="s">
        <v>25</v>
      </c>
      <c r="D4640" s="9" t="s">
        <v>26</v>
      </c>
      <c r="E4640" s="10" t="n">
        <v>1789</v>
      </c>
      <c r="F4640" s="9" t="s">
        <v>27</v>
      </c>
      <c r="G4640" s="9" t="s">
        <v>27</v>
      </c>
      <c r="H4640" s="11" t="n">
        <v>20</v>
      </c>
      <c r="I4640" s="11" t="s">
        <v>152</v>
      </c>
      <c r="J4640" s="14" t="n">
        <v>80</v>
      </c>
      <c r="K4640" s="14"/>
      <c r="L4640" s="16"/>
      <c r="M4640" s="27" t="n">
        <f aca="false">J4640+(K4640/20)+(L4640/240)</f>
        <v>80</v>
      </c>
      <c r="N4640" s="17" t="s">
        <v>64</v>
      </c>
      <c r="O4640" s="11"/>
      <c r="P4640" s="28"/>
      <c r="Q4640" s="28" t="n">
        <f aca="false">P4640*$M4640</f>
        <v>0</v>
      </c>
      <c r="R4640" s="28"/>
      <c r="S4640" s="28" t="n">
        <f aca="false">R4640*$M4640</f>
        <v>0</v>
      </c>
      <c r="T4640" s="28"/>
      <c r="U4640" s="28" t="n">
        <f aca="false">T4640*$M4640</f>
        <v>0</v>
      </c>
      <c r="V4640" s="28"/>
      <c r="W4640" s="28" t="n">
        <f aca="false">V4640*$M4640</f>
        <v>0</v>
      </c>
      <c r="X4640" s="28"/>
      <c r="Y4640" s="28" t="n">
        <f aca="false">X4640*$M4640</f>
        <v>0</v>
      </c>
      <c r="Z4640" s="28"/>
      <c r="AA4640" s="28" t="n">
        <f aca="false">Z4640*$M4640</f>
        <v>0</v>
      </c>
      <c r="AB4640" s="28" t="n">
        <f aca="false">3142/100</f>
        <v>31.42</v>
      </c>
      <c r="AC4640" s="28" t="n">
        <v>2514</v>
      </c>
      <c r="AD4640" s="28"/>
      <c r="AE4640" s="28" t="n">
        <f aca="false">AD4640*$M4640</f>
        <v>0</v>
      </c>
      <c r="AF4640" s="28" t="n">
        <f aca="false">4868/100</f>
        <v>48.68</v>
      </c>
      <c r="AG4640" s="36" t="n">
        <v>3874</v>
      </c>
      <c r="AH4640" s="28" t="n">
        <f aca="false">1541601/100</f>
        <v>15416.01</v>
      </c>
      <c r="AI4640" s="28" t="n">
        <v>1233281</v>
      </c>
      <c r="AJ4640" s="28"/>
      <c r="AK4640" s="28" t="n">
        <f aca="false">AJ4640*$M4640</f>
        <v>0</v>
      </c>
      <c r="AL4640" s="28"/>
      <c r="AM4640" s="28" t="n">
        <f aca="false">AL4640*$M4640</f>
        <v>0</v>
      </c>
      <c r="AN4640" s="28"/>
      <c r="AO4640" s="28" t="n">
        <f aca="false">AN4640*$M4640</f>
        <v>0</v>
      </c>
      <c r="AP4640" s="28"/>
      <c r="AQ4640" s="28" t="n">
        <f aca="false">AP4640*$M4640</f>
        <v>0</v>
      </c>
      <c r="AR4640" s="28"/>
      <c r="AS4640" s="28" t="n">
        <f aca="false">AR4640*$M4640</f>
        <v>0</v>
      </c>
      <c r="AT4640" s="28"/>
      <c r="AU4640" s="28" t="n">
        <f aca="false">AT4640*$M4640</f>
        <v>0</v>
      </c>
      <c r="AV4640" s="28"/>
      <c r="AW4640" s="28" t="n">
        <f aca="false">AV4640*$M4640</f>
        <v>0</v>
      </c>
      <c r="AX4640" s="28"/>
      <c r="AY4640" s="28" t="n">
        <f aca="false">AX4640*$M4640</f>
        <v>0</v>
      </c>
      <c r="AZ4640" s="30" t="n">
        <f aca="false">1549611/100</f>
        <v>15496.11</v>
      </c>
      <c r="BA4640" s="11" t="n">
        <v>1239669</v>
      </c>
      <c r="BB4640" s="31" t="n">
        <f aca="false">SUM(Q4640,S4640,U4640,W4640,Y4640,AA4640,AC4640,AE4640,AG4640,AI4640,AK4640,AM4640,AO4640,AQ4640,AS4640,AU4640,AW4640,AY4640)</f>
        <v>1239669</v>
      </c>
      <c r="BC4640" s="28" t="n">
        <f aca="false">BA4640-BB4640</f>
        <v>0</v>
      </c>
      <c r="BD4640" s="32" t="n">
        <f aca="false">SUM(P4640,R4640,T4640,V4640,X4640,Z4640,AB4640,AD4640,AF4640,AH4640,AJ4640,AL4640,AN4640,AP4640,AR4640,AT4640,AV4640,AX4640)</f>
        <v>15496.11</v>
      </c>
      <c r="BE4640" s="33" t="n">
        <f aca="false">AZ4640-BD4640</f>
        <v>0</v>
      </c>
      <c r="BF4640" s="34" t="n">
        <f aca="false">BD4640*M4640</f>
        <v>1239688.8</v>
      </c>
      <c r="BG4640" s="35" t="n">
        <f aca="false">BA4640-BF4640</f>
        <v>-19.8000000000466</v>
      </c>
      <c r="BH4640" s="19" t="str">
        <f aca="false">IF(BG4640=0,"",IF(BG4640&lt;&gt;BA4640,"erreur de calcul",IF(BD4640&lt;&gt;0,"pas de prix",IF(M4640&lt;&gt; 0,"pas de quantité","pas de prix, ni de quantité"))))</f>
        <v>erreur de calcul</v>
      </c>
      <c r="BI4640" s="19"/>
    </row>
    <row r="4641" customFormat="false" ht="15" hidden="false" customHeight="false" outlineLevel="0" collapsed="false">
      <c r="A4641" s="0" t="n">
        <v>35</v>
      </c>
      <c r="B4641" s="8" t="s">
        <v>24</v>
      </c>
      <c r="C4641" s="9" t="s">
        <v>25</v>
      </c>
      <c r="D4641" s="9" t="s">
        <v>26</v>
      </c>
      <c r="E4641" s="10" t="n">
        <v>1789</v>
      </c>
      <c r="F4641" s="9" t="s">
        <v>27</v>
      </c>
      <c r="G4641" s="9" t="s">
        <v>27</v>
      </c>
      <c r="H4641" s="11" t="n">
        <v>20</v>
      </c>
      <c r="I4641" s="11" t="s">
        <v>153</v>
      </c>
      <c r="J4641" s="14" t="n">
        <v>148</v>
      </c>
      <c r="K4641" s="14"/>
      <c r="L4641" s="16"/>
      <c r="M4641" s="27" t="n">
        <f aca="false">J4641+(K4641/20)+(L4641/240)</f>
        <v>148</v>
      </c>
      <c r="N4641" s="17" t="s">
        <v>64</v>
      </c>
      <c r="O4641" s="11"/>
      <c r="P4641" s="28"/>
      <c r="Q4641" s="28" t="n">
        <f aca="false">P4641*$M4641</f>
        <v>0</v>
      </c>
      <c r="R4641" s="28"/>
      <c r="S4641" s="28" t="n">
        <f aca="false">R4641*$M4641</f>
        <v>0</v>
      </c>
      <c r="T4641" s="28"/>
      <c r="U4641" s="28" t="n">
        <f aca="false">T4641*$M4641</f>
        <v>0</v>
      </c>
      <c r="V4641" s="28"/>
      <c r="W4641" s="28" t="n">
        <f aca="false">V4641*$M4641</f>
        <v>0</v>
      </c>
      <c r="X4641" s="28"/>
      <c r="Y4641" s="28" t="n">
        <f aca="false">X4641*$M4641</f>
        <v>0</v>
      </c>
      <c r="Z4641" s="28"/>
      <c r="AA4641" s="28" t="n">
        <f aca="false">Z4641*$M4641</f>
        <v>0</v>
      </c>
      <c r="AB4641" s="28"/>
      <c r="AC4641" s="28" t="n">
        <f aca="false">AB4641*$M4641</f>
        <v>0</v>
      </c>
      <c r="AD4641" s="28"/>
      <c r="AE4641" s="28" t="n">
        <f aca="false">AD4641*$M4641</f>
        <v>0</v>
      </c>
      <c r="AF4641" s="28"/>
      <c r="AG4641" s="28" t="n">
        <f aca="false">AF4641*$M4641</f>
        <v>0</v>
      </c>
      <c r="AH4641" s="28"/>
      <c r="AI4641" s="28" t="n">
        <f aca="false">AH4641*$M4641</f>
        <v>0</v>
      </c>
      <c r="AJ4641" s="28" t="n">
        <f aca="false">1472/100</f>
        <v>14.72</v>
      </c>
      <c r="AK4641" s="28" t="n">
        <v>2178</v>
      </c>
      <c r="AL4641" s="28"/>
      <c r="AM4641" s="28" t="n">
        <f aca="false">AL4641*$M4641</f>
        <v>0</v>
      </c>
      <c r="AN4641" s="28"/>
      <c r="AO4641" s="28" t="n">
        <f aca="false">AN4641*$M4641</f>
        <v>0</v>
      </c>
      <c r="AP4641" s="28"/>
      <c r="AQ4641" s="28" t="n">
        <f aca="false">AP4641*$M4641</f>
        <v>0</v>
      </c>
      <c r="AR4641" s="28"/>
      <c r="AS4641" s="28" t="n">
        <f aca="false">AR4641*$M4641</f>
        <v>0</v>
      </c>
      <c r="AT4641" s="28"/>
      <c r="AU4641" s="28" t="n">
        <f aca="false">AT4641*$M4641</f>
        <v>0</v>
      </c>
      <c r="AV4641" s="28"/>
      <c r="AW4641" s="28" t="n">
        <f aca="false">AV4641*$M4641</f>
        <v>0</v>
      </c>
      <c r="AX4641" s="28"/>
      <c r="AY4641" s="28" t="n">
        <f aca="false">AX4641*$M4641</f>
        <v>0</v>
      </c>
      <c r="AZ4641" s="30" t="n">
        <f aca="false">1472/100</f>
        <v>14.72</v>
      </c>
      <c r="BA4641" s="11" t="n">
        <v>2178</v>
      </c>
      <c r="BB4641" s="31" t="n">
        <f aca="false">SUM(Q4641,S4641,U4641,W4641,Y4641,AA4641,AC4641,AE4641,AG4641,AI4641,AK4641,AM4641,AO4641,AQ4641,AS4641,AU4641,AW4641,AY4641)</f>
        <v>2178</v>
      </c>
      <c r="BC4641" s="28" t="n">
        <f aca="false">BA4641-BB4641</f>
        <v>0</v>
      </c>
      <c r="BD4641" s="32" t="n">
        <f aca="false">SUM(P4641,R4641,T4641,V4641,X4641,Z4641,AB4641,AD4641,AF4641,AH4641,AJ4641,AL4641,AN4641,AP4641,AR4641,AT4641,AV4641,AX4641)</f>
        <v>14.72</v>
      </c>
      <c r="BE4641" s="33" t="n">
        <f aca="false">AZ4641-BD4641</f>
        <v>0</v>
      </c>
      <c r="BF4641" s="34" t="n">
        <f aca="false">BD4641*M4641</f>
        <v>2178.56</v>
      </c>
      <c r="BG4641" s="35" t="n">
        <f aca="false">BA4641-BF4641</f>
        <v>-0.559999999999945</v>
      </c>
      <c r="BH4641" s="19" t="str">
        <f aca="false">IF(BG4641=0,"",IF(BG4641&lt;&gt;BA4641,"erreur de calcul",IF(BD4641&lt;&gt;0,"pas de prix",IF(M4641&lt;&gt; 0,"pas de quantité","pas de prix, ni de quantité"))))</f>
        <v>erreur de calcul</v>
      </c>
      <c r="BI4641" s="19"/>
    </row>
    <row r="4642" customFormat="false" ht="15" hidden="false" customHeight="false" outlineLevel="0" collapsed="false">
      <c r="A4642" s="0" t="n">
        <v>36</v>
      </c>
      <c r="B4642" s="8" t="s">
        <v>24</v>
      </c>
      <c r="C4642" s="9" t="s">
        <v>25</v>
      </c>
      <c r="D4642" s="9" t="s">
        <v>26</v>
      </c>
      <c r="E4642" s="10" t="n">
        <v>1789</v>
      </c>
      <c r="F4642" s="9" t="s">
        <v>27</v>
      </c>
      <c r="G4642" s="9" t="s">
        <v>27</v>
      </c>
      <c r="H4642" s="11" t="n">
        <v>20</v>
      </c>
      <c r="I4642" s="11" t="s">
        <v>154</v>
      </c>
      <c r="J4642" s="14" t="n">
        <v>75</v>
      </c>
      <c r="K4642" s="14"/>
      <c r="L4642" s="16"/>
      <c r="M4642" s="27" t="n">
        <f aca="false">J4642+(K4642/20)+(L4642/240)</f>
        <v>75</v>
      </c>
      <c r="N4642" s="17" t="s">
        <v>64</v>
      </c>
      <c r="O4642" s="11"/>
      <c r="P4642" s="28"/>
      <c r="Q4642" s="28" t="n">
        <f aca="false">P4642*$M4642</f>
        <v>0</v>
      </c>
      <c r="R4642" s="28"/>
      <c r="S4642" s="28" t="n">
        <f aca="false">R4642*$M4642</f>
        <v>0</v>
      </c>
      <c r="T4642" s="28" t="n">
        <f aca="false">627/100</f>
        <v>6.27</v>
      </c>
      <c r="U4642" s="28" t="n">
        <v>470</v>
      </c>
      <c r="V4642" s="28"/>
      <c r="W4642" s="28" t="n">
        <f aca="false">V4642*$M4642</f>
        <v>0</v>
      </c>
      <c r="X4642" s="28"/>
      <c r="Y4642" s="28" t="n">
        <f aca="false">X4642*$M4642</f>
        <v>0</v>
      </c>
      <c r="Z4642" s="28"/>
      <c r="AA4642" s="28" t="n">
        <f aca="false">Z4642*$M4642</f>
        <v>0</v>
      </c>
      <c r="AB4642" s="28"/>
      <c r="AC4642" s="28" t="n">
        <f aca="false">AB4642*$M4642</f>
        <v>0</v>
      </c>
      <c r="AD4642" s="28"/>
      <c r="AE4642" s="28" t="n">
        <f aca="false">AD4642*$M4642</f>
        <v>0</v>
      </c>
      <c r="AF4642" s="28"/>
      <c r="AG4642" s="28" t="n">
        <f aca="false">AF4642*$M4642</f>
        <v>0</v>
      </c>
      <c r="AH4642" s="28"/>
      <c r="AI4642" s="28" t="n">
        <f aca="false">AH4642*$M4642</f>
        <v>0</v>
      </c>
      <c r="AJ4642" s="28"/>
      <c r="AK4642" s="28" t="n">
        <f aca="false">AJ4642*$M4642</f>
        <v>0</v>
      </c>
      <c r="AL4642" s="28"/>
      <c r="AM4642" s="28" t="n">
        <f aca="false">AL4642*$M4642</f>
        <v>0</v>
      </c>
      <c r="AN4642" s="28"/>
      <c r="AO4642" s="28" t="n">
        <f aca="false">AN4642*$M4642</f>
        <v>0</v>
      </c>
      <c r="AP4642" s="28"/>
      <c r="AQ4642" s="28" t="n">
        <f aca="false">AP4642*$M4642</f>
        <v>0</v>
      </c>
      <c r="AR4642" s="28"/>
      <c r="AS4642" s="28" t="n">
        <f aca="false">AR4642*$M4642</f>
        <v>0</v>
      </c>
      <c r="AT4642" s="28"/>
      <c r="AU4642" s="28" t="n">
        <f aca="false">AT4642*$M4642</f>
        <v>0</v>
      </c>
      <c r="AV4642" s="28"/>
      <c r="AW4642" s="28" t="n">
        <f aca="false">AV4642*$M4642</f>
        <v>0</v>
      </c>
      <c r="AX4642" s="28"/>
      <c r="AY4642" s="28" t="n">
        <f aca="false">AX4642*$M4642</f>
        <v>0</v>
      </c>
      <c r="AZ4642" s="30" t="n">
        <f aca="false">627/100</f>
        <v>6.27</v>
      </c>
      <c r="BA4642" s="11" t="n">
        <v>470</v>
      </c>
      <c r="BB4642" s="31" t="n">
        <f aca="false">SUM(Q4642,S4642,U4642,W4642,Y4642,AA4642,AC4642,AE4642,AG4642,AI4642,AK4642,AM4642,AO4642,AQ4642,AS4642,AU4642,AW4642,AY4642)</f>
        <v>470</v>
      </c>
      <c r="BC4642" s="28" t="n">
        <f aca="false">BA4642-BB4642</f>
        <v>0</v>
      </c>
      <c r="BD4642" s="32" t="n">
        <f aca="false">SUM(P4642,R4642,T4642,V4642,X4642,Z4642,AB4642,AD4642,AF4642,AH4642,AJ4642,AL4642,AN4642,AP4642,AR4642,AT4642,AV4642,AX4642)</f>
        <v>6.27</v>
      </c>
      <c r="BE4642" s="33" t="n">
        <f aca="false">AZ4642-BD4642</f>
        <v>0</v>
      </c>
      <c r="BF4642" s="34" t="n">
        <f aca="false">BD4642*M4642</f>
        <v>470.25</v>
      </c>
      <c r="BG4642" s="35" t="n">
        <f aca="false">BA4642-BF4642</f>
        <v>-0.249999999999943</v>
      </c>
      <c r="BH4642" s="19" t="str">
        <f aca="false">IF(BG4642=0,"",IF(BG4642&lt;&gt;BA4642,"erreur de calcul",IF(BD4642&lt;&gt;0,"pas de prix",IF(M4642&lt;&gt; 0,"pas de quantité","pas de prix, ni de quantité"))))</f>
        <v>erreur de calcul</v>
      </c>
      <c r="BI4642" s="19"/>
    </row>
    <row r="4643" customFormat="false" ht="15" hidden="false" customHeight="false" outlineLevel="0" collapsed="false">
      <c r="A4643" s="0" t="n">
        <v>1</v>
      </c>
      <c r="B4643" s="8" t="s">
        <v>24</v>
      </c>
      <c r="C4643" s="9" t="s">
        <v>25</v>
      </c>
      <c r="D4643" s="9" t="s">
        <v>26</v>
      </c>
      <c r="E4643" s="10" t="n">
        <v>1789</v>
      </c>
      <c r="F4643" s="9" t="s">
        <v>27</v>
      </c>
      <c r="G4643" s="9" t="s">
        <v>27</v>
      </c>
      <c r="H4643" s="11" t="n">
        <v>21</v>
      </c>
      <c r="I4643" s="11" t="s">
        <v>155</v>
      </c>
      <c r="J4643" s="14" t="n">
        <v>60</v>
      </c>
      <c r="K4643" s="14"/>
      <c r="L4643" s="16"/>
      <c r="M4643" s="27" t="n">
        <f aca="false">J4643+(K4643/20)+(L4643/240)</f>
        <v>60</v>
      </c>
      <c r="N4643" s="17" t="s">
        <v>66</v>
      </c>
      <c r="O4643" s="11"/>
      <c r="P4643" s="28"/>
      <c r="Q4643" s="28" t="n">
        <f aca="false">P4643*$M4643</f>
        <v>0</v>
      </c>
      <c r="R4643" s="28"/>
      <c r="S4643" s="28" t="n">
        <f aca="false">R4643*$M4643</f>
        <v>0</v>
      </c>
      <c r="T4643" s="28"/>
      <c r="U4643" s="28" t="n">
        <f aca="false">T4643*$M4643</f>
        <v>0</v>
      </c>
      <c r="V4643" s="28" t="n">
        <v>10</v>
      </c>
      <c r="W4643" s="28" t="n">
        <v>600</v>
      </c>
      <c r="X4643" s="28"/>
      <c r="Y4643" s="28" t="n">
        <f aca="false">X4643*$M4643</f>
        <v>0</v>
      </c>
      <c r="Z4643" s="28"/>
      <c r="AA4643" s="28" t="n">
        <f aca="false">Z4643*$M4643</f>
        <v>0</v>
      </c>
      <c r="AB4643" s="28"/>
      <c r="AC4643" s="28" t="n">
        <f aca="false">AB4643*$M4643</f>
        <v>0</v>
      </c>
      <c r="AD4643" s="28"/>
      <c r="AE4643" s="28" t="n">
        <f aca="false">AD4643*$M4643</f>
        <v>0</v>
      </c>
      <c r="AF4643" s="28"/>
      <c r="AG4643" s="28" t="n">
        <f aca="false">AF4643*$M4643</f>
        <v>0</v>
      </c>
      <c r="AH4643" s="28"/>
      <c r="AI4643" s="28" t="n">
        <f aca="false">AH4643*$M4643</f>
        <v>0</v>
      </c>
      <c r="AJ4643" s="28"/>
      <c r="AK4643" s="28" t="n">
        <f aca="false">AJ4643*$M4643</f>
        <v>0</v>
      </c>
      <c r="AL4643" s="28"/>
      <c r="AM4643" s="28" t="n">
        <f aca="false">AL4643*$M4643</f>
        <v>0</v>
      </c>
      <c r="AN4643" s="28"/>
      <c r="AO4643" s="28" t="n">
        <f aca="false">AN4643*$M4643</f>
        <v>0</v>
      </c>
      <c r="AP4643" s="28"/>
      <c r="AQ4643" s="28" t="n">
        <f aca="false">AP4643*$M4643</f>
        <v>0</v>
      </c>
      <c r="AR4643" s="28"/>
      <c r="AS4643" s="28" t="n">
        <f aca="false">AR4643*$M4643</f>
        <v>0</v>
      </c>
      <c r="AT4643" s="28"/>
      <c r="AU4643" s="28" t="n">
        <f aca="false">AT4643*$M4643</f>
        <v>0</v>
      </c>
      <c r="AV4643" s="28"/>
      <c r="AW4643" s="28" t="n">
        <f aca="false">AV4643*$M4643</f>
        <v>0</v>
      </c>
      <c r="AX4643" s="28"/>
      <c r="AY4643" s="28" t="n">
        <f aca="false">AX4643*$M4643</f>
        <v>0</v>
      </c>
      <c r="AZ4643" s="30" t="n">
        <v>10</v>
      </c>
      <c r="BA4643" s="11" t="n">
        <v>600</v>
      </c>
      <c r="BB4643" s="31" t="n">
        <f aca="false">SUM(Q4643,S4643,U4643,W4643,Y4643,AA4643,AC4643,AE4643,AG4643,AI4643,AK4643,AM4643,AO4643,AQ4643,AS4643,AU4643,AW4643,AY4643)</f>
        <v>600</v>
      </c>
      <c r="BC4643" s="28" t="n">
        <f aca="false">BA4643-BB4643</f>
        <v>0</v>
      </c>
      <c r="BD4643" s="32" t="n">
        <f aca="false">SUM(P4643,R4643,T4643,V4643,X4643,Z4643,AB4643,AD4643,AF4643,AH4643,AJ4643,AL4643,AN4643,AP4643,AR4643,AT4643,AV4643,AX4643)</f>
        <v>10</v>
      </c>
      <c r="BE4643" s="33" t="n">
        <f aca="false">AZ4643-BD4643</f>
        <v>0</v>
      </c>
      <c r="BF4643" s="34" t="n">
        <f aca="false">BD4643*M4643</f>
        <v>600</v>
      </c>
      <c r="BG4643" s="35" t="n">
        <f aca="false">BA4643-BF4643</f>
        <v>0</v>
      </c>
      <c r="BH4643" s="19" t="str">
        <f aca="false">IF(BG4643=0,"",IF(BG4643&lt;&gt;BA4643,"erreur de calcul",IF(BD4643&lt;&gt;0,"pas de prix",IF(M4643&lt;&gt; 0,"pas de quantité","pas de prix, ni de quantité"))))</f>
        <v/>
      </c>
      <c r="BI4643" s="19"/>
    </row>
    <row r="4644" customFormat="false" ht="15" hidden="false" customHeight="false" outlineLevel="0" collapsed="false">
      <c r="A4644" s="0" t="n">
        <v>2</v>
      </c>
      <c r="B4644" s="8" t="s">
        <v>24</v>
      </c>
      <c r="C4644" s="9" t="s">
        <v>25</v>
      </c>
      <c r="D4644" s="9" t="s">
        <v>26</v>
      </c>
      <c r="E4644" s="10" t="n">
        <v>1789</v>
      </c>
      <c r="F4644" s="9" t="s">
        <v>27</v>
      </c>
      <c r="G4644" s="9" t="s">
        <v>27</v>
      </c>
      <c r="H4644" s="11" t="n">
        <v>21</v>
      </c>
      <c r="I4644" s="11" t="s">
        <v>156</v>
      </c>
      <c r="J4644" s="14"/>
      <c r="K4644" s="14"/>
      <c r="L4644" s="16"/>
      <c r="M4644" s="27" t="n">
        <f aca="false">J4644+(K4644/20)+(L4644/240)</f>
        <v>0</v>
      </c>
      <c r="N4644" s="17"/>
      <c r="O4644" s="11"/>
      <c r="P4644" s="28"/>
      <c r="Q4644" s="28" t="n">
        <v>304</v>
      </c>
      <c r="R4644" s="28"/>
      <c r="S4644" s="28" t="n">
        <f aca="false">R4644*$M4644</f>
        <v>0</v>
      </c>
      <c r="T4644" s="28"/>
      <c r="U4644" s="28" t="n">
        <f aca="false">T4644*$M4644</f>
        <v>0</v>
      </c>
      <c r="V4644" s="28"/>
      <c r="W4644" s="28" t="n">
        <f aca="false">V4644*$M4644</f>
        <v>0</v>
      </c>
      <c r="X4644" s="28"/>
      <c r="Y4644" s="28" t="n">
        <v>270</v>
      </c>
      <c r="Z4644" s="28"/>
      <c r="AA4644" s="28" t="n">
        <f aca="false">Z4644*$M4644</f>
        <v>0</v>
      </c>
      <c r="AB4644" s="28"/>
      <c r="AC4644" s="28" t="n">
        <f aca="false">AB4644*$M4644</f>
        <v>0</v>
      </c>
      <c r="AD4644" s="28"/>
      <c r="AE4644" s="28" t="n">
        <v>175</v>
      </c>
      <c r="AF4644" s="28"/>
      <c r="AG4644" s="28" t="n">
        <f aca="false">AF4644*$M4644</f>
        <v>0</v>
      </c>
      <c r="AH4644" s="28"/>
      <c r="AI4644" s="28" t="n">
        <f aca="false">AH4644*$M4644</f>
        <v>0</v>
      </c>
      <c r="AJ4644" s="28"/>
      <c r="AK4644" s="28" t="n">
        <v>240</v>
      </c>
      <c r="AL4644" s="28"/>
      <c r="AM4644" s="28" t="n">
        <v>808</v>
      </c>
      <c r="AN4644" s="28"/>
      <c r="AO4644" s="28" t="n">
        <f aca="false">AN4644*$M4644</f>
        <v>0</v>
      </c>
      <c r="AP4644" s="28"/>
      <c r="AQ4644" s="28" t="n">
        <f aca="false">AP4644*$M4644</f>
        <v>0</v>
      </c>
      <c r="AR4644" s="28"/>
      <c r="AS4644" s="28" t="n">
        <f aca="false">AR4644*$M4644</f>
        <v>0</v>
      </c>
      <c r="AT4644" s="28"/>
      <c r="AU4644" s="28" t="n">
        <f aca="false">AT4644*$M4644</f>
        <v>0</v>
      </c>
      <c r="AV4644" s="28"/>
      <c r="AW4644" s="28" t="n">
        <f aca="false">AV4644*$M4644</f>
        <v>0</v>
      </c>
      <c r="AX4644" s="28"/>
      <c r="AY4644" s="28" t="n">
        <f aca="false">AX4644*$M4644</f>
        <v>0</v>
      </c>
      <c r="AZ4644" s="30"/>
      <c r="BA4644" s="11" t="n">
        <v>1797</v>
      </c>
      <c r="BB4644" s="31" t="n">
        <f aca="false">SUM(Q4644,S4644,U4644,W4644,Y4644,AA4644,AC4644,AE4644,AG4644,AI4644,AK4644,AM4644,AO4644,AQ4644,AS4644,AU4644,AW4644,AY4644)</f>
        <v>1797</v>
      </c>
      <c r="BC4644" s="28" t="n">
        <f aca="false">BA4644-BB4644</f>
        <v>0</v>
      </c>
      <c r="BD4644" s="32" t="n">
        <f aca="false">SUM(P4644,R4644,T4644,V4644,X4644,Z4644,AB4644,AD4644,AF4644,AH4644,AJ4644,AL4644,AN4644,AP4644,AR4644,AT4644,AV4644,AX4644)</f>
        <v>0</v>
      </c>
      <c r="BE4644" s="33" t="n">
        <f aca="false">AZ4644-BD4644</f>
        <v>0</v>
      </c>
      <c r="BF4644" s="34" t="n">
        <f aca="false">BD4644*M4644</f>
        <v>0</v>
      </c>
      <c r="BG4644" s="35" t="n">
        <f aca="false">BA4644-BF4644</f>
        <v>1797</v>
      </c>
      <c r="BH4644" s="19" t="str">
        <f aca="false">IF(BG4644=0,"",IF(BG4644&lt;&gt;BA4644,"erreur de calcul",IF(BD4644&lt;&gt;0,"pas de prix",IF(M4644&lt;&gt; 0,"pas de quantité","pas de prix, ni de quantité"))))</f>
        <v>pas de prix, ni de quantité</v>
      </c>
      <c r="BI4644" s="19"/>
    </row>
    <row r="4645" customFormat="false" ht="15" hidden="false" customHeight="false" outlineLevel="0" collapsed="false">
      <c r="A4645" s="0" t="n">
        <v>3</v>
      </c>
      <c r="B4645" s="8" t="s">
        <v>24</v>
      </c>
      <c r="C4645" s="9" t="s">
        <v>25</v>
      </c>
      <c r="D4645" s="9" t="s">
        <v>26</v>
      </c>
      <c r="E4645" s="10" t="n">
        <v>1789</v>
      </c>
      <c r="F4645" s="9" t="s">
        <v>27</v>
      </c>
      <c r="G4645" s="9" t="s">
        <v>27</v>
      </c>
      <c r="H4645" s="11" t="n">
        <v>21</v>
      </c>
      <c r="I4645" s="11" t="s">
        <v>156</v>
      </c>
      <c r="J4645" s="14" t="n">
        <v>175</v>
      </c>
      <c r="K4645" s="14"/>
      <c r="L4645" s="16"/>
      <c r="M4645" s="27" t="n">
        <f aca="false">J4645+(K4645/20)+(L4645/240)</f>
        <v>175</v>
      </c>
      <c r="N4645" s="17" t="s">
        <v>64</v>
      </c>
      <c r="O4645" s="11" t="s">
        <v>98</v>
      </c>
      <c r="P4645" s="28" t="n">
        <f aca="false">3429/100</f>
        <v>34.29</v>
      </c>
      <c r="Q4645" s="28" t="n">
        <v>6001</v>
      </c>
      <c r="R4645" s="28"/>
      <c r="S4645" s="28" t="n">
        <f aca="false">R4645*$M4645</f>
        <v>0</v>
      </c>
      <c r="T4645" s="28" t="n">
        <f aca="false">5135/100</f>
        <v>51.35</v>
      </c>
      <c r="U4645" s="28" t="n">
        <v>8986</v>
      </c>
      <c r="V4645" s="28" t="n">
        <f aca="false">33716/100</f>
        <v>337.16</v>
      </c>
      <c r="W4645" s="28" t="n">
        <v>59003</v>
      </c>
      <c r="X4645" s="28" t="n">
        <f aca="false">14982/100</f>
        <v>149.82</v>
      </c>
      <c r="Y4645" s="28" t="n">
        <v>26218</v>
      </c>
      <c r="Z4645" s="28"/>
      <c r="AA4645" s="28" t="n">
        <f aca="false">Z4645*$M4645</f>
        <v>0</v>
      </c>
      <c r="AB4645" s="28"/>
      <c r="AC4645" s="28" t="n">
        <f aca="false">AB4645*$M4645</f>
        <v>0</v>
      </c>
      <c r="AD4645" s="28"/>
      <c r="AE4645" s="28" t="n">
        <f aca="false">AD4645*$M4645</f>
        <v>0</v>
      </c>
      <c r="AF4645" s="28" t="n">
        <f aca="false">439/100</f>
        <v>4.39</v>
      </c>
      <c r="AG4645" s="28" t="n">
        <v>768</v>
      </c>
      <c r="AH4645" s="28" t="n">
        <f aca="false">163722/100</f>
        <v>1637.22</v>
      </c>
      <c r="AI4645" s="28" t="n">
        <v>286513</v>
      </c>
      <c r="AJ4645" s="28" t="n">
        <f aca="false">17649/100</f>
        <v>176.49</v>
      </c>
      <c r="AK4645" s="28" t="n">
        <v>30886</v>
      </c>
      <c r="AL4645" s="28" t="n">
        <f aca="false">6852/100</f>
        <v>68.52</v>
      </c>
      <c r="AM4645" s="28" t="n">
        <v>11991</v>
      </c>
      <c r="AN4645" s="28"/>
      <c r="AO4645" s="28" t="n">
        <f aca="false">AN4645*$M4645</f>
        <v>0</v>
      </c>
      <c r="AP4645" s="28"/>
      <c r="AQ4645" s="28" t="n">
        <f aca="false">AP4645*$M4645</f>
        <v>0</v>
      </c>
      <c r="AR4645" s="28"/>
      <c r="AS4645" s="28" t="n">
        <f aca="false">AR4645*$M4645</f>
        <v>0</v>
      </c>
      <c r="AT4645" s="28"/>
      <c r="AU4645" s="28" t="n">
        <f aca="false">AT4645*$M4645</f>
        <v>0</v>
      </c>
      <c r="AV4645" s="28"/>
      <c r="AW4645" s="28" t="n">
        <f aca="false">AV4645*$M4645</f>
        <v>0</v>
      </c>
      <c r="AX4645" s="28"/>
      <c r="AY4645" s="28" t="n">
        <f aca="false">AX4645*$M4645</f>
        <v>0</v>
      </c>
      <c r="AZ4645" s="30" t="n">
        <f aca="false">245924/100</f>
        <v>2459.24</v>
      </c>
      <c r="BA4645" s="11" t="n">
        <v>430366</v>
      </c>
      <c r="BB4645" s="31" t="n">
        <f aca="false">SUM(Q4645,S4645,U4645,W4645,Y4645,AA4645,AC4645,AE4645,AG4645,AI4645,AK4645,AM4645,AO4645,AQ4645,AS4645,AU4645,AW4645,AY4645)</f>
        <v>430366</v>
      </c>
      <c r="BC4645" s="28" t="n">
        <f aca="false">BA4645-BB4645</f>
        <v>0</v>
      </c>
      <c r="BD4645" s="32" t="n">
        <f aca="false">SUM(P4645,R4645,T4645,V4645,X4645,Z4645,AB4645,AD4645,AF4645,AH4645,AJ4645,AL4645,AN4645,AP4645,AR4645,AT4645,AV4645,AX4645)</f>
        <v>2459.24</v>
      </c>
      <c r="BE4645" s="33" t="n">
        <f aca="false">AZ4645-BD4645</f>
        <v>0</v>
      </c>
      <c r="BF4645" s="34" t="n">
        <f aca="false">BD4645*M4645</f>
        <v>430367</v>
      </c>
      <c r="BG4645" s="35" t="n">
        <f aca="false">BA4645-BF4645</f>
        <v>-0.999999999941792</v>
      </c>
      <c r="BH4645" s="19" t="str">
        <f aca="false">IF(BG4645=0,"",IF(BG4645&lt;&gt;BA4645,"erreur de calcul",IF(BD4645&lt;&gt;0,"pas de prix",IF(M4645&lt;&gt; 0,"pas de quantité","pas de prix, ni de quantité"))))</f>
        <v>erreur de calcul</v>
      </c>
      <c r="BI4645" s="19"/>
    </row>
    <row r="4646" customFormat="false" ht="15" hidden="false" customHeight="false" outlineLevel="0" collapsed="false">
      <c r="A4646" s="0" t="n">
        <v>4</v>
      </c>
      <c r="B4646" s="8" t="s">
        <v>24</v>
      </c>
      <c r="C4646" s="9" t="s">
        <v>25</v>
      </c>
      <c r="D4646" s="9" t="s">
        <v>26</v>
      </c>
      <c r="E4646" s="10" t="n">
        <v>1789</v>
      </c>
      <c r="F4646" s="9" t="s">
        <v>27</v>
      </c>
      <c r="G4646" s="9" t="s">
        <v>27</v>
      </c>
      <c r="H4646" s="11" t="n">
        <v>21</v>
      </c>
      <c r="I4646" s="11" t="s">
        <v>157</v>
      </c>
      <c r="J4646" s="14" t="n">
        <v>240</v>
      </c>
      <c r="K4646" s="14"/>
      <c r="L4646" s="16"/>
      <c r="M4646" s="27" t="n">
        <f aca="false">J4646+(K4646/20)+(L4646/240)</f>
        <v>240</v>
      </c>
      <c r="N4646" s="17" t="s">
        <v>64</v>
      </c>
      <c r="O4646" s="11"/>
      <c r="P4646" s="28"/>
      <c r="Q4646" s="28" t="n">
        <f aca="false">P4646*$M4646</f>
        <v>0</v>
      </c>
      <c r="R4646" s="28"/>
      <c r="S4646" s="28" t="n">
        <f aca="false">R4646*$M4646</f>
        <v>0</v>
      </c>
      <c r="T4646" s="28"/>
      <c r="U4646" s="28" t="n">
        <f aca="false">T4646*$M4646</f>
        <v>0</v>
      </c>
      <c r="V4646" s="28"/>
      <c r="W4646" s="28" t="n">
        <f aca="false">V4646*$M4646</f>
        <v>0</v>
      </c>
      <c r="X4646" s="28"/>
      <c r="Y4646" s="28" t="n">
        <f aca="false">X4646*$M4646</f>
        <v>0</v>
      </c>
      <c r="Z4646" s="28"/>
      <c r="AA4646" s="28" t="n">
        <f aca="false">Z4646*$M4646</f>
        <v>0</v>
      </c>
      <c r="AB4646" s="28"/>
      <c r="AC4646" s="28" t="n">
        <f aca="false">AB4646*$M4646</f>
        <v>0</v>
      </c>
      <c r="AD4646" s="28"/>
      <c r="AE4646" s="28" t="n">
        <f aca="false">AD4646*$M4646</f>
        <v>0</v>
      </c>
      <c r="AF4646" s="28"/>
      <c r="AG4646" s="28" t="n">
        <f aca="false">AF4646*$M4646</f>
        <v>0</v>
      </c>
      <c r="AH4646" s="28"/>
      <c r="AI4646" s="28" t="n">
        <f aca="false">AH4646*$M4646</f>
        <v>0</v>
      </c>
      <c r="AJ4646" s="28" t="n">
        <f aca="false">290/100</f>
        <v>2.9</v>
      </c>
      <c r="AK4646" s="36" t="n">
        <v>2208</v>
      </c>
      <c r="AL4646" s="28"/>
      <c r="AM4646" s="28" t="n">
        <f aca="false">AL4646*$M4646</f>
        <v>0</v>
      </c>
      <c r="AN4646" s="28"/>
      <c r="AO4646" s="28" t="n">
        <f aca="false">AN4646*$M4646</f>
        <v>0</v>
      </c>
      <c r="AP4646" s="28"/>
      <c r="AQ4646" s="28" t="n">
        <f aca="false">AP4646*$M4646</f>
        <v>0</v>
      </c>
      <c r="AR4646" s="28"/>
      <c r="AS4646" s="28" t="n">
        <f aca="false">AR4646*$M4646</f>
        <v>0</v>
      </c>
      <c r="AT4646" s="28"/>
      <c r="AU4646" s="28" t="n">
        <f aca="false">AT4646*$M4646</f>
        <v>0</v>
      </c>
      <c r="AV4646" s="28"/>
      <c r="AW4646" s="28" t="n">
        <f aca="false">AV4646*$M4646</f>
        <v>0</v>
      </c>
      <c r="AX4646" s="28"/>
      <c r="AY4646" s="28" t="n">
        <f aca="false">AX4646*$M4646</f>
        <v>0</v>
      </c>
      <c r="AZ4646" s="30" t="n">
        <f aca="false">290/100</f>
        <v>2.9</v>
      </c>
      <c r="BA4646" s="11" t="n">
        <v>2208</v>
      </c>
      <c r="BB4646" s="31" t="n">
        <f aca="false">SUM(Q4646,S4646,U4646,W4646,Y4646,AA4646,AC4646,AE4646,AG4646,AI4646,AK4646,AM4646,AO4646,AQ4646,AS4646,AU4646,AW4646,AY4646)</f>
        <v>2208</v>
      </c>
      <c r="BC4646" s="28" t="n">
        <f aca="false">BA4646-BB4646</f>
        <v>0</v>
      </c>
      <c r="BD4646" s="32" t="n">
        <f aca="false">SUM(P4646,R4646,T4646,V4646,X4646,Z4646,AB4646,AD4646,AF4646,AH4646,AJ4646,AL4646,AN4646,AP4646,AR4646,AT4646,AV4646,AX4646)</f>
        <v>2.9</v>
      </c>
      <c r="BE4646" s="33" t="n">
        <f aca="false">AZ4646-BD4646</f>
        <v>0</v>
      </c>
      <c r="BF4646" s="34" t="n">
        <f aca="false">BD4646*M4646</f>
        <v>696</v>
      </c>
      <c r="BG4646" s="35" t="n">
        <f aca="false">BA4646-BF4646</f>
        <v>1512</v>
      </c>
      <c r="BH4646" s="19" t="str">
        <f aca="false">IF(BG4646=0,"",IF(BG4646&lt;&gt;BA4646,"erreur de calcul",IF(BD4646&lt;&gt;0,"pas de prix",IF(M4646&lt;&gt; 0,"pas de quantité","pas de prix, ni de quantité"))))</f>
        <v>erreur de calcul</v>
      </c>
      <c r="BI4646" s="19"/>
    </row>
    <row r="4647" customFormat="false" ht="15" hidden="false" customHeight="false" outlineLevel="0" collapsed="false">
      <c r="A4647" s="0" t="n">
        <v>5</v>
      </c>
      <c r="B4647" s="8" t="s">
        <v>24</v>
      </c>
      <c r="C4647" s="9" t="s">
        <v>25</v>
      </c>
      <c r="D4647" s="9" t="s">
        <v>26</v>
      </c>
      <c r="E4647" s="10" t="n">
        <v>1789</v>
      </c>
      <c r="F4647" s="9" t="s">
        <v>27</v>
      </c>
      <c r="G4647" s="9" t="s">
        <v>27</v>
      </c>
      <c r="H4647" s="11" t="n">
        <v>21</v>
      </c>
      <c r="I4647" s="11" t="s">
        <v>158</v>
      </c>
      <c r="J4647" s="14" t="n">
        <v>115</v>
      </c>
      <c r="K4647" s="14"/>
      <c r="L4647" s="16"/>
      <c r="M4647" s="27" t="n">
        <f aca="false">J4647+(K4647/20)+(L4647/240)</f>
        <v>115</v>
      </c>
      <c r="N4647" s="17" t="s">
        <v>64</v>
      </c>
      <c r="O4647" s="11"/>
      <c r="P4647" s="28"/>
      <c r="Q4647" s="28" t="n">
        <f aca="false">P4647*$M4647</f>
        <v>0</v>
      </c>
      <c r="R4647" s="28"/>
      <c r="S4647" s="28" t="n">
        <f aca="false">R4647*$M4647</f>
        <v>0</v>
      </c>
      <c r="T4647" s="28"/>
      <c r="U4647" s="28" t="n">
        <f aca="false">T4647*$M4647</f>
        <v>0</v>
      </c>
      <c r="V4647" s="28"/>
      <c r="W4647" s="28" t="n">
        <f aca="false">V4647*$M4647</f>
        <v>0</v>
      </c>
      <c r="X4647" s="28"/>
      <c r="Y4647" s="28" t="n">
        <f aca="false">X4647*$M4647</f>
        <v>0</v>
      </c>
      <c r="Z4647" s="28"/>
      <c r="AA4647" s="28" t="n">
        <f aca="false">Z4647*$M4647</f>
        <v>0</v>
      </c>
      <c r="AB4647" s="28"/>
      <c r="AC4647" s="28" t="n">
        <f aca="false">AB4647*$M4647</f>
        <v>0</v>
      </c>
      <c r="AD4647" s="28"/>
      <c r="AE4647" s="28" t="n">
        <f aca="false">AD4647*$M4647</f>
        <v>0</v>
      </c>
      <c r="AF4647" s="28"/>
      <c r="AG4647" s="28" t="n">
        <f aca="false">AF4647*$M4647</f>
        <v>0</v>
      </c>
      <c r="AH4647" s="28" t="n">
        <f aca="false">491552/100</f>
        <v>4915.52</v>
      </c>
      <c r="AI4647" s="28" t="n">
        <v>565285</v>
      </c>
      <c r="AJ4647" s="28"/>
      <c r="AK4647" s="28" t="n">
        <f aca="false">AJ4647*$M4647</f>
        <v>0</v>
      </c>
      <c r="AL4647" s="28"/>
      <c r="AM4647" s="28" t="n">
        <f aca="false">AL4647*$M4647</f>
        <v>0</v>
      </c>
      <c r="AN4647" s="28"/>
      <c r="AO4647" s="28" t="n">
        <f aca="false">AN4647*$M4647</f>
        <v>0</v>
      </c>
      <c r="AP4647" s="28"/>
      <c r="AQ4647" s="28" t="n">
        <f aca="false">AP4647*$M4647</f>
        <v>0</v>
      </c>
      <c r="AR4647" s="28"/>
      <c r="AS4647" s="28" t="n">
        <f aca="false">AR4647*$M4647</f>
        <v>0</v>
      </c>
      <c r="AT4647" s="28"/>
      <c r="AU4647" s="28" t="n">
        <f aca="false">AT4647*$M4647</f>
        <v>0</v>
      </c>
      <c r="AV4647" s="28"/>
      <c r="AW4647" s="28" t="n">
        <f aca="false">AV4647*$M4647</f>
        <v>0</v>
      </c>
      <c r="AX4647" s="28"/>
      <c r="AY4647" s="28" t="n">
        <f aca="false">AX4647*$M4647</f>
        <v>0</v>
      </c>
      <c r="AZ4647" s="30" t="n">
        <f aca="false">491552/100</f>
        <v>4915.52</v>
      </c>
      <c r="BA4647" s="11" t="n">
        <v>565285</v>
      </c>
      <c r="BB4647" s="31" t="n">
        <f aca="false">SUM(Q4647,S4647,U4647,W4647,Y4647,AA4647,AC4647,AE4647,AG4647,AI4647,AK4647,AM4647,AO4647,AQ4647,AS4647,AU4647,AW4647,AY4647)</f>
        <v>565285</v>
      </c>
      <c r="BC4647" s="28" t="n">
        <f aca="false">BA4647-BB4647</f>
        <v>0</v>
      </c>
      <c r="BD4647" s="32" t="n">
        <f aca="false">SUM(P4647,R4647,T4647,V4647,X4647,Z4647,AB4647,AD4647,AF4647,AH4647,AJ4647,AL4647,AN4647,AP4647,AR4647,AT4647,AV4647,AX4647)</f>
        <v>4915.52</v>
      </c>
      <c r="BE4647" s="33" t="n">
        <f aca="false">AZ4647-BD4647</f>
        <v>0</v>
      </c>
      <c r="BF4647" s="34" t="n">
        <f aca="false">BD4647*M4647</f>
        <v>565284.8</v>
      </c>
      <c r="BG4647" s="35" t="n">
        <f aca="false">BA4647-BF4647</f>
        <v>0.199999999953434</v>
      </c>
      <c r="BH4647" s="19" t="str">
        <f aca="false">IF(BG4647=0,"",IF(BG4647&lt;&gt;BA4647,"erreur de calcul",IF(BD4647&lt;&gt;0,"pas de prix",IF(M4647&lt;&gt; 0,"pas de quantité","pas de prix, ni de quantité"))))</f>
        <v>erreur de calcul</v>
      </c>
      <c r="BI4647" s="19"/>
    </row>
    <row r="4648" customFormat="false" ht="15" hidden="false" customHeight="false" outlineLevel="0" collapsed="false">
      <c r="A4648" s="0" t="n">
        <v>6</v>
      </c>
      <c r="B4648" s="8" t="s">
        <v>24</v>
      </c>
      <c r="C4648" s="9" t="s">
        <v>25</v>
      </c>
      <c r="D4648" s="9" t="s">
        <v>26</v>
      </c>
      <c r="E4648" s="10" t="n">
        <v>1789</v>
      </c>
      <c r="F4648" s="9" t="s">
        <v>27</v>
      </c>
      <c r="G4648" s="9" t="s">
        <v>27</v>
      </c>
      <c r="H4648" s="11" t="n">
        <v>21</v>
      </c>
      <c r="I4648" s="11" t="s">
        <v>159</v>
      </c>
      <c r="J4648" s="14" t="n">
        <v>240</v>
      </c>
      <c r="K4648" s="14"/>
      <c r="L4648" s="16"/>
      <c r="M4648" s="27" t="n">
        <f aca="false">J4648+(K4648/20)+(L4648/240)</f>
        <v>240</v>
      </c>
      <c r="N4648" s="17" t="s">
        <v>64</v>
      </c>
      <c r="O4648" s="11"/>
      <c r="P4648" s="28"/>
      <c r="Q4648" s="28" t="n">
        <f aca="false">P4648*$M4648</f>
        <v>0</v>
      </c>
      <c r="R4648" s="28"/>
      <c r="S4648" s="28" t="n">
        <f aca="false">R4648*$M4648</f>
        <v>0</v>
      </c>
      <c r="T4648" s="28"/>
      <c r="U4648" s="28" t="n">
        <f aca="false">T4648*$M4648</f>
        <v>0</v>
      </c>
      <c r="V4648" s="28"/>
      <c r="W4648" s="28" t="n">
        <f aca="false">V4648*$M4648</f>
        <v>0</v>
      </c>
      <c r="X4648" s="28"/>
      <c r="Y4648" s="28" t="n">
        <f aca="false">X4648*$M4648</f>
        <v>0</v>
      </c>
      <c r="Z4648" s="28"/>
      <c r="AA4648" s="28" t="n">
        <f aca="false">Z4648*$M4648</f>
        <v>0</v>
      </c>
      <c r="AB4648" s="28"/>
      <c r="AC4648" s="28" t="n">
        <f aca="false">AB4648*$M4648</f>
        <v>0</v>
      </c>
      <c r="AD4648" s="28"/>
      <c r="AE4648" s="28" t="n">
        <f aca="false">AD4648*$M4648</f>
        <v>0</v>
      </c>
      <c r="AF4648" s="28"/>
      <c r="AG4648" s="28" t="n">
        <f aca="false">AF4648*$M4648</f>
        <v>0</v>
      </c>
      <c r="AH4648" s="28" t="n">
        <f aca="false">46293/100</f>
        <v>462.93</v>
      </c>
      <c r="AI4648" s="28" t="n">
        <v>111103</v>
      </c>
      <c r="AJ4648" s="28"/>
      <c r="AK4648" s="28" t="n">
        <f aca="false">AJ4648*$M4648</f>
        <v>0</v>
      </c>
      <c r="AL4648" s="28"/>
      <c r="AM4648" s="28" t="n">
        <f aca="false">AL4648*$M4648</f>
        <v>0</v>
      </c>
      <c r="AN4648" s="28"/>
      <c r="AO4648" s="28" t="n">
        <f aca="false">AN4648*$M4648</f>
        <v>0</v>
      </c>
      <c r="AP4648" s="28"/>
      <c r="AQ4648" s="28" t="n">
        <f aca="false">AP4648*$M4648</f>
        <v>0</v>
      </c>
      <c r="AR4648" s="28"/>
      <c r="AS4648" s="28" t="n">
        <f aca="false">AR4648*$M4648</f>
        <v>0</v>
      </c>
      <c r="AT4648" s="28"/>
      <c r="AU4648" s="28" t="n">
        <f aca="false">AT4648*$M4648</f>
        <v>0</v>
      </c>
      <c r="AV4648" s="28"/>
      <c r="AW4648" s="28" t="n">
        <f aca="false">AV4648*$M4648</f>
        <v>0</v>
      </c>
      <c r="AX4648" s="28"/>
      <c r="AY4648" s="28" t="n">
        <f aca="false">AX4648*$M4648</f>
        <v>0</v>
      </c>
      <c r="AZ4648" s="30" t="n">
        <f aca="false">46293/100</f>
        <v>462.93</v>
      </c>
      <c r="BA4648" s="11" t="n">
        <v>111103</v>
      </c>
      <c r="BB4648" s="31" t="n">
        <f aca="false">SUM(Q4648,S4648,U4648,W4648,Y4648,AA4648,AC4648,AE4648,AG4648,AI4648,AK4648,AM4648,AO4648,AQ4648,AS4648,AU4648,AW4648,AY4648)</f>
        <v>111103</v>
      </c>
      <c r="BC4648" s="28" t="n">
        <f aca="false">BA4648-BB4648</f>
        <v>0</v>
      </c>
      <c r="BD4648" s="32" t="n">
        <f aca="false">SUM(P4648,R4648,T4648,V4648,X4648,Z4648,AB4648,AD4648,AF4648,AH4648,AJ4648,AL4648,AN4648,AP4648,AR4648,AT4648,AV4648,AX4648)</f>
        <v>462.93</v>
      </c>
      <c r="BE4648" s="33" t="n">
        <f aca="false">AZ4648-BD4648</f>
        <v>0</v>
      </c>
      <c r="BF4648" s="34" t="n">
        <f aca="false">BD4648*M4648</f>
        <v>111103.2</v>
      </c>
      <c r="BG4648" s="35" t="n">
        <f aca="false">BA4648-BF4648</f>
        <v>-0.19999999999709</v>
      </c>
      <c r="BH4648" s="19" t="str">
        <f aca="false">IF(BG4648=0,"",IF(BG4648&lt;&gt;BA4648,"erreur de calcul",IF(BD4648&lt;&gt;0,"pas de prix",IF(M4648&lt;&gt; 0,"pas de quantité","pas de prix, ni de quantité"))))</f>
        <v>erreur de calcul</v>
      </c>
      <c r="BI4648" s="19"/>
    </row>
    <row r="4649" customFormat="false" ht="15" hidden="false" customHeight="false" outlineLevel="0" collapsed="false">
      <c r="A4649" s="0" t="n">
        <v>7</v>
      </c>
      <c r="B4649" s="8" t="s">
        <v>24</v>
      </c>
      <c r="C4649" s="9" t="s">
        <v>25</v>
      </c>
      <c r="D4649" s="9" t="s">
        <v>26</v>
      </c>
      <c r="E4649" s="10" t="n">
        <v>1789</v>
      </c>
      <c r="F4649" s="9" t="s">
        <v>27</v>
      </c>
      <c r="G4649" s="9" t="s">
        <v>27</v>
      </c>
      <c r="H4649" s="11" t="n">
        <v>21</v>
      </c>
      <c r="I4649" s="11" t="s">
        <v>160</v>
      </c>
      <c r="J4649" s="14" t="n">
        <v>70</v>
      </c>
      <c r="K4649" s="14"/>
      <c r="L4649" s="16"/>
      <c r="M4649" s="27" t="n">
        <f aca="false">J4649+(K4649/20)+(L4649/240)</f>
        <v>70</v>
      </c>
      <c r="N4649" s="17" t="s">
        <v>64</v>
      </c>
      <c r="O4649" s="11"/>
      <c r="P4649" s="28"/>
      <c r="Q4649" s="28" t="n">
        <f aca="false">P4649*$M4649</f>
        <v>0</v>
      </c>
      <c r="R4649" s="28"/>
      <c r="S4649" s="28" t="n">
        <f aca="false">R4649*$M4649</f>
        <v>0</v>
      </c>
      <c r="T4649" s="28"/>
      <c r="U4649" s="28" t="n">
        <f aca="false">T4649*$M4649</f>
        <v>0</v>
      </c>
      <c r="V4649" s="28"/>
      <c r="W4649" s="28" t="n">
        <f aca="false">V4649*$M4649</f>
        <v>0</v>
      </c>
      <c r="X4649" s="28"/>
      <c r="Y4649" s="28" t="n">
        <f aca="false">X4649*$M4649</f>
        <v>0</v>
      </c>
      <c r="Z4649" s="28"/>
      <c r="AA4649" s="28" t="n">
        <f aca="false">Z4649*$M4649</f>
        <v>0</v>
      </c>
      <c r="AB4649" s="28"/>
      <c r="AC4649" s="28" t="n">
        <f aca="false">AB4649*$M4649</f>
        <v>0</v>
      </c>
      <c r="AD4649" s="28"/>
      <c r="AE4649" s="28" t="n">
        <f aca="false">AD4649*$M4649</f>
        <v>0</v>
      </c>
      <c r="AF4649" s="28" t="n">
        <f aca="false">125849/100</f>
        <v>1258.49</v>
      </c>
      <c r="AG4649" s="28" t="n">
        <v>88094</v>
      </c>
      <c r="AH4649" s="28"/>
      <c r="AI4649" s="28" t="n">
        <f aca="false">AH4649*$M4649</f>
        <v>0</v>
      </c>
      <c r="AJ4649" s="28"/>
      <c r="AK4649" s="28" t="n">
        <f aca="false">AJ4649*$M4649</f>
        <v>0</v>
      </c>
      <c r="AL4649" s="28"/>
      <c r="AM4649" s="28" t="n">
        <f aca="false">AL4649*$M4649</f>
        <v>0</v>
      </c>
      <c r="AN4649" s="28"/>
      <c r="AO4649" s="28" t="n">
        <f aca="false">AN4649*$M4649</f>
        <v>0</v>
      </c>
      <c r="AP4649" s="28"/>
      <c r="AQ4649" s="28" t="n">
        <f aca="false">AP4649*$M4649</f>
        <v>0</v>
      </c>
      <c r="AR4649" s="28"/>
      <c r="AS4649" s="28" t="n">
        <f aca="false">AR4649*$M4649</f>
        <v>0</v>
      </c>
      <c r="AT4649" s="28"/>
      <c r="AU4649" s="28" t="n">
        <f aca="false">AT4649*$M4649</f>
        <v>0</v>
      </c>
      <c r="AV4649" s="28"/>
      <c r="AW4649" s="28" t="n">
        <f aca="false">AV4649*$M4649</f>
        <v>0</v>
      </c>
      <c r="AX4649" s="28"/>
      <c r="AY4649" s="28" t="n">
        <f aca="false">AX4649*$M4649</f>
        <v>0</v>
      </c>
      <c r="AZ4649" s="30" t="n">
        <f aca="false">125849/100</f>
        <v>1258.49</v>
      </c>
      <c r="BA4649" s="11" t="n">
        <v>88094</v>
      </c>
      <c r="BB4649" s="31" t="n">
        <f aca="false">SUM(Q4649,S4649,U4649,W4649,Y4649,AA4649,AC4649,AE4649,AG4649,AI4649,AK4649,AM4649,AO4649,AQ4649,AS4649,AU4649,AW4649,AY4649)</f>
        <v>88094</v>
      </c>
      <c r="BC4649" s="28" t="n">
        <f aca="false">BA4649-BB4649</f>
        <v>0</v>
      </c>
      <c r="BD4649" s="32" t="n">
        <f aca="false">SUM(P4649,R4649,T4649,V4649,X4649,Z4649,AB4649,AD4649,AF4649,AH4649,AJ4649,AL4649,AN4649,AP4649,AR4649,AT4649,AV4649,AX4649)</f>
        <v>1258.49</v>
      </c>
      <c r="BE4649" s="33" t="n">
        <f aca="false">AZ4649-BD4649</f>
        <v>0</v>
      </c>
      <c r="BF4649" s="34" t="n">
        <f aca="false">BD4649*M4649</f>
        <v>88094.3</v>
      </c>
      <c r="BG4649" s="35" t="n">
        <f aca="false">BA4649-BF4649</f>
        <v>-0.30000000000291</v>
      </c>
      <c r="BH4649" s="19" t="str">
        <f aca="false">IF(BG4649=0,"",IF(BG4649&lt;&gt;BA4649,"erreur de calcul",IF(BD4649&lt;&gt;0,"pas de prix",IF(M4649&lt;&gt; 0,"pas de quantité","pas de prix, ni de quantité"))))</f>
        <v>erreur de calcul</v>
      </c>
      <c r="BI4649" s="19"/>
    </row>
    <row r="4650" customFormat="false" ht="15" hidden="false" customHeight="false" outlineLevel="0" collapsed="false">
      <c r="A4650" s="0" t="n">
        <v>8</v>
      </c>
      <c r="B4650" s="8" t="s">
        <v>24</v>
      </c>
      <c r="C4650" s="9" t="s">
        <v>25</v>
      </c>
      <c r="D4650" s="9" t="s">
        <v>26</v>
      </c>
      <c r="E4650" s="10" t="n">
        <v>1789</v>
      </c>
      <c r="F4650" s="9" t="s">
        <v>27</v>
      </c>
      <c r="G4650" s="9" t="s">
        <v>27</v>
      </c>
      <c r="H4650" s="11" t="n">
        <v>21</v>
      </c>
      <c r="I4650" s="11" t="s">
        <v>161</v>
      </c>
      <c r="J4650" s="14" t="n">
        <v>50</v>
      </c>
      <c r="K4650" s="14"/>
      <c r="L4650" s="16"/>
      <c r="M4650" s="27" t="n">
        <f aca="false">J4650+(K4650/20)+(L4650/240)</f>
        <v>50</v>
      </c>
      <c r="N4650" s="17" t="s">
        <v>64</v>
      </c>
      <c r="O4650" s="11"/>
      <c r="P4650" s="28"/>
      <c r="Q4650" s="28" t="n">
        <f aca="false">P4650*$M4650</f>
        <v>0</v>
      </c>
      <c r="R4650" s="28"/>
      <c r="S4650" s="28" t="n">
        <f aca="false">R4650*$M4650</f>
        <v>0</v>
      </c>
      <c r="T4650" s="28"/>
      <c r="U4650" s="28" t="n">
        <f aca="false">T4650*$M4650</f>
        <v>0</v>
      </c>
      <c r="V4650" s="28" t="n">
        <f aca="false">18055/100</f>
        <v>180.55</v>
      </c>
      <c r="W4650" s="28" t="n">
        <v>9027</v>
      </c>
      <c r="X4650" s="28" t="n">
        <f aca="false">17880/100</f>
        <v>178.8</v>
      </c>
      <c r="Y4650" s="28" t="n">
        <v>8940</v>
      </c>
      <c r="Z4650" s="28"/>
      <c r="AA4650" s="28" t="n">
        <f aca="false">Z4650*$M4650</f>
        <v>0</v>
      </c>
      <c r="AB4650" s="28" t="n">
        <f aca="false">104483/100</f>
        <v>1044.83</v>
      </c>
      <c r="AC4650" s="28" t="n">
        <v>52241</v>
      </c>
      <c r="AD4650" s="28"/>
      <c r="AE4650" s="28" t="n">
        <f aca="false">AD4650*$M4650</f>
        <v>0</v>
      </c>
      <c r="AF4650" s="28"/>
      <c r="AG4650" s="28" t="n">
        <f aca="false">AF4650*$M4650</f>
        <v>0</v>
      </c>
      <c r="AH4650" s="28"/>
      <c r="AI4650" s="28" t="n">
        <f aca="false">AH4650*$M4650</f>
        <v>0</v>
      </c>
      <c r="AJ4650" s="28"/>
      <c r="AK4650" s="28" t="n">
        <f aca="false">AJ4650*$M4650</f>
        <v>0</v>
      </c>
      <c r="AL4650" s="28"/>
      <c r="AM4650" s="28" t="n">
        <f aca="false">AL4650*$M4650</f>
        <v>0</v>
      </c>
      <c r="AN4650" s="28"/>
      <c r="AO4650" s="28" t="n">
        <f aca="false">AN4650*$M4650</f>
        <v>0</v>
      </c>
      <c r="AP4650" s="28"/>
      <c r="AQ4650" s="28" t="n">
        <f aca="false">AP4650*$M4650</f>
        <v>0</v>
      </c>
      <c r="AR4650" s="28"/>
      <c r="AS4650" s="28" t="n">
        <f aca="false">AR4650*$M4650</f>
        <v>0</v>
      </c>
      <c r="AT4650" s="28"/>
      <c r="AU4650" s="28" t="n">
        <f aca="false">AT4650*$M4650</f>
        <v>0</v>
      </c>
      <c r="AV4650" s="28"/>
      <c r="AW4650" s="28" t="n">
        <f aca="false">AV4650*$M4650</f>
        <v>0</v>
      </c>
      <c r="AX4650" s="28"/>
      <c r="AY4650" s="28" t="n">
        <f aca="false">AX4650*$M4650</f>
        <v>0</v>
      </c>
      <c r="AZ4650" s="30" t="n">
        <f aca="false">140418/100</f>
        <v>1404.18</v>
      </c>
      <c r="BA4650" s="11" t="n">
        <v>70208</v>
      </c>
      <c r="BB4650" s="31" t="n">
        <f aca="false">SUM(Q4650,S4650,U4650,W4650,Y4650,AA4650,AC4650,AE4650,AG4650,AI4650,AK4650,AM4650,AO4650,AQ4650,AS4650,AU4650,AW4650,AY4650)</f>
        <v>70208</v>
      </c>
      <c r="BC4650" s="28" t="n">
        <f aca="false">BA4650-BB4650</f>
        <v>0</v>
      </c>
      <c r="BD4650" s="32" t="n">
        <f aca="false">SUM(P4650,R4650,T4650,V4650,X4650,Z4650,AB4650,AD4650,AF4650,AH4650,AJ4650,AL4650,AN4650,AP4650,AR4650,AT4650,AV4650,AX4650)</f>
        <v>1404.18</v>
      </c>
      <c r="BE4650" s="33" t="n">
        <f aca="false">AZ4650-BD4650</f>
        <v>0</v>
      </c>
      <c r="BF4650" s="34" t="n">
        <f aca="false">BD4650*M4650</f>
        <v>70209</v>
      </c>
      <c r="BG4650" s="35" t="n">
        <f aca="false">BA4650-BF4650</f>
        <v>-0.999999999985448</v>
      </c>
      <c r="BH4650" s="19" t="str">
        <f aca="false">IF(BG4650=0,"",IF(BG4650&lt;&gt;BA4650,"erreur de calcul",IF(BD4650&lt;&gt;0,"pas de prix",IF(M4650&lt;&gt; 0,"pas de quantité","pas de prix, ni de quantité"))))</f>
        <v>erreur de calcul</v>
      </c>
      <c r="BI4650" s="19"/>
    </row>
    <row r="4651" customFormat="false" ht="15" hidden="false" customHeight="false" outlineLevel="0" collapsed="false">
      <c r="A4651" s="0" t="n">
        <v>9</v>
      </c>
      <c r="B4651" s="8" t="s">
        <v>24</v>
      </c>
      <c r="C4651" s="9" t="s">
        <v>25</v>
      </c>
      <c r="D4651" s="9" t="s">
        <v>26</v>
      </c>
      <c r="E4651" s="10" t="n">
        <v>1789</v>
      </c>
      <c r="F4651" s="9" t="s">
        <v>27</v>
      </c>
      <c r="G4651" s="9" t="s">
        <v>27</v>
      </c>
      <c r="H4651" s="11" t="n">
        <v>21</v>
      </c>
      <c r="I4651" s="11" t="s">
        <v>162</v>
      </c>
      <c r="J4651" s="14" t="n">
        <v>250</v>
      </c>
      <c r="K4651" s="14"/>
      <c r="L4651" s="16"/>
      <c r="M4651" s="27" t="n">
        <f aca="false">J4651+(K4651/20)+(L4651/240)</f>
        <v>250</v>
      </c>
      <c r="N4651" s="17" t="s">
        <v>64</v>
      </c>
      <c r="O4651" s="11"/>
      <c r="P4651" s="28"/>
      <c r="Q4651" s="28" t="n">
        <f aca="false">P4651*$M4651</f>
        <v>0</v>
      </c>
      <c r="R4651" s="28"/>
      <c r="S4651" s="28" t="n">
        <f aca="false">R4651*$M4651</f>
        <v>0</v>
      </c>
      <c r="T4651" s="28"/>
      <c r="U4651" s="28" t="n">
        <f aca="false">T4651*$M4651</f>
        <v>0</v>
      </c>
      <c r="V4651" s="28"/>
      <c r="W4651" s="28" t="n">
        <f aca="false">V4651*$M4651</f>
        <v>0</v>
      </c>
      <c r="X4651" s="28"/>
      <c r="Y4651" s="28" t="n">
        <f aca="false">X4651*$M4651</f>
        <v>0</v>
      </c>
      <c r="Z4651" s="28"/>
      <c r="AA4651" s="28" t="n">
        <f aca="false">Z4651*$M4651</f>
        <v>0</v>
      </c>
      <c r="AB4651" s="28"/>
      <c r="AC4651" s="28" t="n">
        <f aca="false">AB4651*$M4651</f>
        <v>0</v>
      </c>
      <c r="AD4651" s="28"/>
      <c r="AE4651" s="28" t="n">
        <f aca="false">AD4651*$M4651</f>
        <v>0</v>
      </c>
      <c r="AF4651" s="28"/>
      <c r="AG4651" s="28" t="n">
        <f aca="false">AF4651*$M4651</f>
        <v>0</v>
      </c>
      <c r="AH4651" s="28" t="n">
        <f aca="false">2306/100</f>
        <v>23.06</v>
      </c>
      <c r="AI4651" s="36" t="n">
        <v>5073</v>
      </c>
      <c r="AJ4651" s="28"/>
      <c r="AK4651" s="28" t="n">
        <f aca="false">AJ4651*$M4651</f>
        <v>0</v>
      </c>
      <c r="AL4651" s="28"/>
      <c r="AM4651" s="28" t="n">
        <f aca="false">AL4651*$M4651</f>
        <v>0</v>
      </c>
      <c r="AN4651" s="28"/>
      <c r="AO4651" s="28" t="n">
        <f aca="false">AN4651*$M4651</f>
        <v>0</v>
      </c>
      <c r="AP4651" s="28"/>
      <c r="AQ4651" s="28" t="n">
        <f aca="false">AP4651*$M4651</f>
        <v>0</v>
      </c>
      <c r="AR4651" s="28"/>
      <c r="AS4651" s="28" t="n">
        <f aca="false">AR4651*$M4651</f>
        <v>0</v>
      </c>
      <c r="AT4651" s="28"/>
      <c r="AU4651" s="28" t="n">
        <f aca="false">AT4651*$M4651</f>
        <v>0</v>
      </c>
      <c r="AV4651" s="28"/>
      <c r="AW4651" s="28" t="n">
        <f aca="false">AV4651*$M4651</f>
        <v>0</v>
      </c>
      <c r="AX4651" s="28"/>
      <c r="AY4651" s="28" t="n">
        <f aca="false">AX4651*$M4651</f>
        <v>0</v>
      </c>
      <c r="AZ4651" s="30" t="n">
        <f aca="false">2306/100</f>
        <v>23.06</v>
      </c>
      <c r="BA4651" s="11" t="n">
        <v>5073</v>
      </c>
      <c r="BB4651" s="31" t="n">
        <f aca="false">SUM(Q4651,S4651,U4651,W4651,Y4651,AA4651,AC4651,AE4651,AG4651,AI4651,AK4651,AM4651,AO4651,AQ4651,AS4651,AU4651,AW4651,AY4651)</f>
        <v>5073</v>
      </c>
      <c r="BC4651" s="28" t="n">
        <f aca="false">BA4651-BB4651</f>
        <v>0</v>
      </c>
      <c r="BD4651" s="32" t="n">
        <f aca="false">SUM(P4651,R4651,T4651,V4651,X4651,Z4651,AB4651,AD4651,AF4651,AH4651,AJ4651,AL4651,AN4651,AP4651,AR4651,AT4651,AV4651,AX4651)</f>
        <v>23.06</v>
      </c>
      <c r="BE4651" s="33" t="n">
        <f aca="false">AZ4651-BD4651</f>
        <v>0</v>
      </c>
      <c r="BF4651" s="34" t="n">
        <f aca="false">BD4651*M4651</f>
        <v>5765</v>
      </c>
      <c r="BG4651" s="35" t="n">
        <f aca="false">BA4651-BF4651</f>
        <v>-692</v>
      </c>
      <c r="BH4651" s="19" t="str">
        <f aca="false">IF(BG4651=0,"",IF(BG4651&lt;&gt;BA4651,"erreur de calcul",IF(BD4651&lt;&gt;0,"pas de prix",IF(M4651&lt;&gt; 0,"pas de quantité","pas de prix, ni de quantité"))))</f>
        <v>erreur de calcul</v>
      </c>
      <c r="BI4651" s="19"/>
    </row>
    <row r="4652" customFormat="false" ht="15" hidden="false" customHeight="false" outlineLevel="0" collapsed="false">
      <c r="A4652" s="0" t="n">
        <v>10</v>
      </c>
      <c r="B4652" s="8" t="s">
        <v>24</v>
      </c>
      <c r="C4652" s="9" t="s">
        <v>25</v>
      </c>
      <c r="D4652" s="9" t="s">
        <v>26</v>
      </c>
      <c r="E4652" s="10" t="n">
        <v>1789</v>
      </c>
      <c r="F4652" s="9" t="s">
        <v>27</v>
      </c>
      <c r="G4652" s="9" t="s">
        <v>27</v>
      </c>
      <c r="H4652" s="11" t="n">
        <v>21</v>
      </c>
      <c r="I4652" s="11" t="s">
        <v>163</v>
      </c>
      <c r="J4652" s="14"/>
      <c r="K4652" s="14"/>
      <c r="L4652" s="16"/>
      <c r="M4652" s="27" t="n">
        <f aca="false">J4652+(K4652/20)+(L4652/240)</f>
        <v>0</v>
      </c>
      <c r="N4652" s="17"/>
      <c r="O4652" s="11"/>
      <c r="P4652" s="28"/>
      <c r="Q4652" s="28" t="n">
        <v>1571</v>
      </c>
      <c r="R4652" s="28"/>
      <c r="S4652" s="28" t="n">
        <f aca="false">R4652*$M4652</f>
        <v>0</v>
      </c>
      <c r="T4652" s="28"/>
      <c r="U4652" s="28" t="n">
        <v>182</v>
      </c>
      <c r="V4652" s="28"/>
      <c r="W4652" s="28" t="n">
        <v>1801</v>
      </c>
      <c r="X4652" s="28"/>
      <c r="Y4652" s="28" t="n">
        <v>214</v>
      </c>
      <c r="Z4652" s="28"/>
      <c r="AA4652" s="28" t="n">
        <f aca="false">Z4652*$M4652</f>
        <v>0</v>
      </c>
      <c r="AB4652" s="28"/>
      <c r="AC4652" s="28" t="n">
        <v>401</v>
      </c>
      <c r="AD4652" s="28"/>
      <c r="AE4652" s="28" t="n">
        <f aca="false">AD4652*$M4652</f>
        <v>0</v>
      </c>
      <c r="AF4652" s="28"/>
      <c r="AG4652" s="28" t="n">
        <f aca="false">AF4652*$M4652</f>
        <v>0</v>
      </c>
      <c r="AH4652" s="28"/>
      <c r="AI4652" s="28" t="n">
        <f aca="false">AH4652*$M4652</f>
        <v>0</v>
      </c>
      <c r="AJ4652" s="28"/>
      <c r="AK4652" s="28" t="n">
        <v>760</v>
      </c>
      <c r="AL4652" s="28"/>
      <c r="AM4652" s="28" t="n">
        <f aca="false">AL4652*$M4652</f>
        <v>0</v>
      </c>
      <c r="AN4652" s="28"/>
      <c r="AO4652" s="28" t="n">
        <f aca="false">AN4652*$M4652</f>
        <v>0</v>
      </c>
      <c r="AP4652" s="28"/>
      <c r="AQ4652" s="28" t="n">
        <f aca="false">AP4652*$M4652</f>
        <v>0</v>
      </c>
      <c r="AR4652" s="28"/>
      <c r="AS4652" s="28" t="n">
        <f aca="false">AR4652*$M4652</f>
        <v>0</v>
      </c>
      <c r="AT4652" s="28"/>
      <c r="AU4652" s="28" t="n">
        <f aca="false">AT4652*$M4652</f>
        <v>0</v>
      </c>
      <c r="AV4652" s="28"/>
      <c r="AW4652" s="28" t="n">
        <f aca="false">AV4652*$M4652</f>
        <v>0</v>
      </c>
      <c r="AX4652" s="28"/>
      <c r="AY4652" s="28" t="n">
        <f aca="false">AX4652*$M4652</f>
        <v>0</v>
      </c>
      <c r="AZ4652" s="30"/>
      <c r="BA4652" s="11" t="n">
        <v>4929</v>
      </c>
      <c r="BB4652" s="31" t="n">
        <f aca="false">SUM(Q4652,S4652,U4652,W4652,Y4652,AA4652,AC4652,AE4652,AG4652,AI4652,AK4652,AM4652,AO4652,AQ4652,AS4652,AU4652,AW4652,AY4652)</f>
        <v>4929</v>
      </c>
      <c r="BC4652" s="28" t="n">
        <f aca="false">BA4652-BB4652</f>
        <v>0</v>
      </c>
      <c r="BD4652" s="32" t="n">
        <f aca="false">SUM(P4652,R4652,T4652,V4652,X4652,Z4652,AB4652,AD4652,AF4652,AH4652,AJ4652,AL4652,AN4652,AP4652,AR4652,AT4652,AV4652,AX4652)</f>
        <v>0</v>
      </c>
      <c r="BE4652" s="33" t="n">
        <f aca="false">AZ4652-BD4652</f>
        <v>0</v>
      </c>
      <c r="BF4652" s="34" t="n">
        <f aca="false">BD4652*M4652</f>
        <v>0</v>
      </c>
      <c r="BG4652" s="35" t="n">
        <f aca="false">BA4652-BF4652</f>
        <v>4929</v>
      </c>
      <c r="BH4652" s="19" t="str">
        <f aca="false">IF(BG4652=0,"",IF(BG4652&lt;&gt;BA4652,"erreur de calcul",IF(BD4652&lt;&gt;0,"pas de prix",IF(M4652&lt;&gt; 0,"pas de quantité","pas de prix, ni de quantité"))))</f>
        <v>pas de prix, ni de quantité</v>
      </c>
      <c r="BI4652" s="19"/>
    </row>
    <row r="4653" customFormat="false" ht="15" hidden="false" customHeight="false" outlineLevel="0" collapsed="false">
      <c r="A4653" s="0" t="n">
        <v>11</v>
      </c>
      <c r="B4653" s="8" t="s">
        <v>24</v>
      </c>
      <c r="C4653" s="9" t="s">
        <v>25</v>
      </c>
      <c r="D4653" s="9" t="s">
        <v>26</v>
      </c>
      <c r="E4653" s="10" t="n">
        <v>1789</v>
      </c>
      <c r="F4653" s="9" t="s">
        <v>27</v>
      </c>
      <c r="G4653" s="9" t="s">
        <v>27</v>
      </c>
      <c r="H4653" s="11" t="n">
        <v>21</v>
      </c>
      <c r="I4653" s="11" t="s">
        <v>164</v>
      </c>
      <c r="J4653" s="14" t="n">
        <v>580</v>
      </c>
      <c r="K4653" s="14"/>
      <c r="L4653" s="16"/>
      <c r="M4653" s="27" t="n">
        <f aca="false">J4653+(K4653/20)+(L4653/240)</f>
        <v>580</v>
      </c>
      <c r="N4653" s="17" t="s">
        <v>64</v>
      </c>
      <c r="O4653" s="11"/>
      <c r="P4653" s="28" t="n">
        <f aca="false">294/100</f>
        <v>2.94</v>
      </c>
      <c r="Q4653" s="28" t="n">
        <v>1705</v>
      </c>
      <c r="R4653" s="28"/>
      <c r="S4653" s="28" t="n">
        <f aca="false">R4653*$M4653</f>
        <v>0</v>
      </c>
      <c r="T4653" s="28"/>
      <c r="U4653" s="28" t="n">
        <f aca="false">T4653*$M4653</f>
        <v>0</v>
      </c>
      <c r="V4653" s="28"/>
      <c r="W4653" s="28" t="n">
        <f aca="false">V4653*$M4653</f>
        <v>0</v>
      </c>
      <c r="X4653" s="28"/>
      <c r="Y4653" s="28" t="n">
        <f aca="false">X4653*$M4653</f>
        <v>0</v>
      </c>
      <c r="Z4653" s="28"/>
      <c r="AA4653" s="28" t="n">
        <f aca="false">Z4653*$M4653</f>
        <v>0</v>
      </c>
      <c r="AB4653" s="28"/>
      <c r="AC4653" s="28" t="n">
        <f aca="false">AB4653*$M4653</f>
        <v>0</v>
      </c>
      <c r="AD4653" s="28"/>
      <c r="AE4653" s="28" t="n">
        <f aca="false">AD4653*$M4653</f>
        <v>0</v>
      </c>
      <c r="AF4653" s="28"/>
      <c r="AG4653" s="28" t="n">
        <f aca="false">AF4653*$M4653</f>
        <v>0</v>
      </c>
      <c r="AH4653" s="28"/>
      <c r="AI4653" s="28" t="n">
        <f aca="false">AH4653*$M4653</f>
        <v>0</v>
      </c>
      <c r="AJ4653" s="28"/>
      <c r="AK4653" s="28" t="n">
        <f aca="false">AJ4653*$M4653</f>
        <v>0</v>
      </c>
      <c r="AL4653" s="28"/>
      <c r="AM4653" s="28" t="n">
        <f aca="false">AL4653*$M4653</f>
        <v>0</v>
      </c>
      <c r="AN4653" s="28"/>
      <c r="AO4653" s="28" t="n">
        <f aca="false">AN4653*$M4653</f>
        <v>0</v>
      </c>
      <c r="AP4653" s="28"/>
      <c r="AQ4653" s="28" t="n">
        <f aca="false">AP4653*$M4653</f>
        <v>0</v>
      </c>
      <c r="AR4653" s="28"/>
      <c r="AS4653" s="28" t="n">
        <f aca="false">AR4653*$M4653</f>
        <v>0</v>
      </c>
      <c r="AT4653" s="28"/>
      <c r="AU4653" s="28" t="n">
        <f aca="false">AT4653*$M4653</f>
        <v>0</v>
      </c>
      <c r="AV4653" s="28"/>
      <c r="AW4653" s="28" t="n">
        <f aca="false">AV4653*$M4653</f>
        <v>0</v>
      </c>
      <c r="AX4653" s="28"/>
      <c r="AY4653" s="28" t="n">
        <f aca="false">AX4653*$M4653</f>
        <v>0</v>
      </c>
      <c r="AZ4653" s="30" t="n">
        <f aca="false">294/100</f>
        <v>2.94</v>
      </c>
      <c r="BA4653" s="11" t="n">
        <v>1705</v>
      </c>
      <c r="BB4653" s="31" t="n">
        <f aca="false">SUM(Q4653,S4653,U4653,W4653,Y4653,AA4653,AC4653,AE4653,AG4653,AI4653,AK4653,AM4653,AO4653,AQ4653,AS4653,AU4653,AW4653,AY4653)</f>
        <v>1705</v>
      </c>
      <c r="BC4653" s="28" t="n">
        <f aca="false">BA4653-BB4653</f>
        <v>0</v>
      </c>
      <c r="BD4653" s="32" t="n">
        <f aca="false">SUM(P4653,R4653,T4653,V4653,X4653,Z4653,AB4653,AD4653,AF4653,AH4653,AJ4653,AL4653,AN4653,AP4653,AR4653,AT4653,AV4653,AX4653)</f>
        <v>2.94</v>
      </c>
      <c r="BE4653" s="33" t="n">
        <f aca="false">AZ4653-BD4653</f>
        <v>0</v>
      </c>
      <c r="BF4653" s="34" t="n">
        <f aca="false">BD4653*M4653</f>
        <v>1705.2</v>
      </c>
      <c r="BG4653" s="35" t="n">
        <f aca="false">BA4653-BF4653</f>
        <v>-0.200000000000045</v>
      </c>
      <c r="BH4653" s="19" t="str">
        <f aca="false">IF(BG4653=0,"",IF(BG4653&lt;&gt;BA4653,"erreur de calcul",IF(BD4653&lt;&gt;0,"pas de prix",IF(M4653&lt;&gt; 0,"pas de quantité","pas de prix, ni de quantité"))))</f>
        <v>erreur de calcul</v>
      </c>
      <c r="BI4653" s="19"/>
    </row>
    <row r="4654" customFormat="false" ht="15" hidden="false" customHeight="false" outlineLevel="0" collapsed="false">
      <c r="A4654" s="0" t="n">
        <v>12</v>
      </c>
      <c r="B4654" s="8" t="s">
        <v>24</v>
      </c>
      <c r="C4654" s="9" t="s">
        <v>25</v>
      </c>
      <c r="D4654" s="9" t="s">
        <v>26</v>
      </c>
      <c r="E4654" s="10" t="n">
        <v>1789</v>
      </c>
      <c r="F4654" s="9" t="s">
        <v>27</v>
      </c>
      <c r="G4654" s="9" t="s">
        <v>27</v>
      </c>
      <c r="H4654" s="11" t="n">
        <v>21</v>
      </c>
      <c r="I4654" s="11" t="s">
        <v>165</v>
      </c>
      <c r="J4654" s="14" t="n">
        <v>180</v>
      </c>
      <c r="K4654" s="14"/>
      <c r="L4654" s="16"/>
      <c r="M4654" s="27" t="n">
        <f aca="false">J4654+(K4654/20)+(L4654/240)</f>
        <v>180</v>
      </c>
      <c r="N4654" s="17" t="s">
        <v>64</v>
      </c>
      <c r="O4654" s="11"/>
      <c r="P4654" s="28"/>
      <c r="Q4654" s="28" t="n">
        <f aca="false">P4654*$M4654</f>
        <v>0</v>
      </c>
      <c r="R4654" s="28"/>
      <c r="S4654" s="28" t="n">
        <f aca="false">R4654*$M4654</f>
        <v>0</v>
      </c>
      <c r="T4654" s="28"/>
      <c r="U4654" s="28" t="n">
        <f aca="false">T4654*$M4654</f>
        <v>0</v>
      </c>
      <c r="V4654" s="28"/>
      <c r="W4654" s="28" t="n">
        <f aca="false">V4654*$M4654</f>
        <v>0</v>
      </c>
      <c r="X4654" s="28"/>
      <c r="Y4654" s="28" t="n">
        <f aca="false">X4654*$M4654</f>
        <v>0</v>
      </c>
      <c r="Z4654" s="28"/>
      <c r="AA4654" s="28" t="n">
        <f aca="false">Z4654*$M4654</f>
        <v>0</v>
      </c>
      <c r="AB4654" s="28"/>
      <c r="AC4654" s="28" t="n">
        <f aca="false">AB4654*$M4654</f>
        <v>0</v>
      </c>
      <c r="AD4654" s="28"/>
      <c r="AE4654" s="28" t="n">
        <f aca="false">AD4654*$M4654</f>
        <v>0</v>
      </c>
      <c r="AF4654" s="28"/>
      <c r="AG4654" s="28" t="n">
        <f aca="false">AF4654*$M4654</f>
        <v>0</v>
      </c>
      <c r="AH4654" s="28"/>
      <c r="AI4654" s="28" t="n">
        <f aca="false">AH4654*$M4654</f>
        <v>0</v>
      </c>
      <c r="AJ4654" s="28"/>
      <c r="AK4654" s="28" t="n">
        <f aca="false">AJ4654*$M4654</f>
        <v>0</v>
      </c>
      <c r="AL4654" s="28"/>
      <c r="AM4654" s="28" t="n">
        <f aca="false">AL4654*$M4654</f>
        <v>0</v>
      </c>
      <c r="AN4654" s="28" t="n">
        <f aca="false">13754/100</f>
        <v>137.54</v>
      </c>
      <c r="AO4654" s="28" t="n">
        <v>24757</v>
      </c>
      <c r="AP4654" s="28"/>
      <c r="AQ4654" s="28" t="n">
        <f aca="false">AP4654*$M4654</f>
        <v>0</v>
      </c>
      <c r="AR4654" s="28"/>
      <c r="AS4654" s="28" t="n">
        <f aca="false">AR4654*$M4654</f>
        <v>0</v>
      </c>
      <c r="AT4654" s="28"/>
      <c r="AU4654" s="28" t="n">
        <f aca="false">AT4654*$M4654</f>
        <v>0</v>
      </c>
      <c r="AV4654" s="28"/>
      <c r="AW4654" s="28" t="n">
        <f aca="false">AV4654*$M4654</f>
        <v>0</v>
      </c>
      <c r="AX4654" s="28"/>
      <c r="AY4654" s="28" t="n">
        <f aca="false">AX4654*$M4654</f>
        <v>0</v>
      </c>
      <c r="AZ4654" s="30" t="n">
        <f aca="false">17360/100</f>
        <v>173.6</v>
      </c>
      <c r="BA4654" s="11" t="n">
        <v>24757</v>
      </c>
      <c r="BB4654" s="31" t="n">
        <f aca="false">SUM(Q4654,S4654,U4654,W4654,Y4654,AA4654,AC4654,AE4654,AG4654,AI4654,AK4654,AM4654,AO4654,AQ4654,AS4654,AU4654,AW4654,AY4654)</f>
        <v>24757</v>
      </c>
      <c r="BC4654" s="28" t="n">
        <f aca="false">BA4654-BB4654</f>
        <v>0</v>
      </c>
      <c r="BD4654" s="32" t="n">
        <f aca="false">SUM(P4654,R4654,T4654,V4654,X4654,Z4654,AB4654,AD4654,AF4654,AH4654,AJ4654,AL4654,AN4654,AP4654,AR4654,AT4654,AV4654,AX4654)</f>
        <v>137.54</v>
      </c>
      <c r="BE4654" s="33" t="n">
        <f aca="false">AZ4654-BD4654</f>
        <v>36.06</v>
      </c>
      <c r="BF4654" s="34" t="n">
        <f aca="false">BD4654*M4654</f>
        <v>24757.2</v>
      </c>
      <c r="BG4654" s="35" t="n">
        <f aca="false">BA4654-BF4654</f>
        <v>-0.19999999999709</v>
      </c>
      <c r="BH4654" s="19" t="str">
        <f aca="false">IF(BG4654=0,"",IF(BG4654&lt;&gt;BA4654,"erreur de calcul",IF(BD4654&lt;&gt;0,"pas de prix",IF(M4654&lt;&gt; 0,"pas de quantité","pas de prix, ni de quantité"))))</f>
        <v>erreur de calcul</v>
      </c>
      <c r="BI4654" s="19"/>
    </row>
    <row r="4655" customFormat="false" ht="15" hidden="false" customHeight="false" outlineLevel="0" collapsed="false">
      <c r="A4655" s="0" t="n">
        <v>13</v>
      </c>
      <c r="B4655" s="8" t="s">
        <v>24</v>
      </c>
      <c r="C4655" s="9" t="s">
        <v>25</v>
      </c>
      <c r="D4655" s="9" t="s">
        <v>26</v>
      </c>
      <c r="E4655" s="10" t="n">
        <v>1789</v>
      </c>
      <c r="F4655" s="9" t="s">
        <v>27</v>
      </c>
      <c r="G4655" s="9" t="s">
        <v>27</v>
      </c>
      <c r="H4655" s="11" t="n">
        <v>21</v>
      </c>
      <c r="I4655" s="11" t="s">
        <v>166</v>
      </c>
      <c r="J4655" s="14" t="n">
        <v>90</v>
      </c>
      <c r="K4655" s="14"/>
      <c r="L4655" s="16"/>
      <c r="M4655" s="27" t="n">
        <f aca="false">J4655+(K4655/20)+(L4655/240)</f>
        <v>90</v>
      </c>
      <c r="N4655" s="17" t="s">
        <v>64</v>
      </c>
      <c r="O4655" s="11"/>
      <c r="P4655" s="28" t="n">
        <f aca="false">3606/100</f>
        <v>36.06</v>
      </c>
      <c r="Q4655" s="28" t="n">
        <v>3245</v>
      </c>
      <c r="R4655" s="28"/>
      <c r="S4655" s="28" t="n">
        <f aca="false">R4655*$M4655</f>
        <v>0</v>
      </c>
      <c r="T4655" s="28"/>
      <c r="U4655" s="28" t="n">
        <f aca="false">T4655*$M4655</f>
        <v>0</v>
      </c>
      <c r="V4655" s="28"/>
      <c r="W4655" s="28" t="n">
        <f aca="false">V4655*$M4655</f>
        <v>0</v>
      </c>
      <c r="X4655" s="28"/>
      <c r="Y4655" s="28" t="n">
        <f aca="false">X4655*$M4655</f>
        <v>0</v>
      </c>
      <c r="Z4655" s="28"/>
      <c r="AA4655" s="28" t="n">
        <f aca="false">Z4655*$M4655</f>
        <v>0</v>
      </c>
      <c r="AB4655" s="28"/>
      <c r="AC4655" s="28" t="n">
        <f aca="false">AB4655*$M4655</f>
        <v>0</v>
      </c>
      <c r="AD4655" s="28"/>
      <c r="AE4655" s="28" t="n">
        <f aca="false">AD4655*$M4655</f>
        <v>0</v>
      </c>
      <c r="AF4655" s="28"/>
      <c r="AG4655" s="28" t="n">
        <f aca="false">AF4655*$M4655</f>
        <v>0</v>
      </c>
      <c r="AH4655" s="28"/>
      <c r="AI4655" s="28" t="n">
        <f aca="false">AH4655*$M4655</f>
        <v>0</v>
      </c>
      <c r="AJ4655" s="28"/>
      <c r="AK4655" s="28" t="n">
        <f aca="false">AJ4655*$M4655</f>
        <v>0</v>
      </c>
      <c r="AL4655" s="28"/>
      <c r="AM4655" s="28" t="n">
        <f aca="false">AL4655*$M4655</f>
        <v>0</v>
      </c>
      <c r="AN4655" s="28"/>
      <c r="AO4655" s="28" t="n">
        <f aca="false">AN4655*$M4655</f>
        <v>0</v>
      </c>
      <c r="AP4655" s="28"/>
      <c r="AQ4655" s="28" t="n">
        <f aca="false">AP4655*$M4655</f>
        <v>0</v>
      </c>
      <c r="AR4655" s="28"/>
      <c r="AS4655" s="28" t="n">
        <f aca="false">AR4655*$M4655</f>
        <v>0</v>
      </c>
      <c r="AT4655" s="28"/>
      <c r="AU4655" s="28" t="n">
        <f aca="false">AT4655*$M4655</f>
        <v>0</v>
      </c>
      <c r="AV4655" s="28"/>
      <c r="AW4655" s="28" t="n">
        <f aca="false">AV4655*$M4655</f>
        <v>0</v>
      </c>
      <c r="AX4655" s="28"/>
      <c r="AY4655" s="28" t="n">
        <f aca="false">AX4655*$M4655</f>
        <v>0</v>
      </c>
      <c r="AZ4655" s="30" t="n">
        <f aca="false">3606/100</f>
        <v>36.06</v>
      </c>
      <c r="BA4655" s="11" t="n">
        <v>3245</v>
      </c>
      <c r="BB4655" s="31" t="n">
        <f aca="false">SUM(Q4655,S4655,U4655,W4655,Y4655,AA4655,AC4655,AE4655,AG4655,AI4655,AK4655,AM4655,AO4655,AQ4655,AS4655,AU4655,AW4655,AY4655)</f>
        <v>3245</v>
      </c>
      <c r="BC4655" s="28" t="n">
        <f aca="false">BA4655-BB4655</f>
        <v>0</v>
      </c>
      <c r="BD4655" s="32" t="n">
        <f aca="false">SUM(P4655,R4655,T4655,V4655,X4655,Z4655,AB4655,AD4655,AF4655,AH4655,AJ4655,AL4655,AN4655,AP4655,AR4655,AT4655,AV4655,AX4655)</f>
        <v>36.06</v>
      </c>
      <c r="BE4655" s="33" t="n">
        <f aca="false">AZ4655-BD4655</f>
        <v>0</v>
      </c>
      <c r="BF4655" s="34" t="n">
        <f aca="false">BD4655*M4655</f>
        <v>3245.4</v>
      </c>
      <c r="BG4655" s="35" t="n">
        <f aca="false">BA4655-BF4655</f>
        <v>-0.400000000000091</v>
      </c>
      <c r="BH4655" s="19" t="str">
        <f aca="false">IF(BG4655=0,"",IF(BG4655&lt;&gt;BA4655,"erreur de calcul",IF(BD4655&lt;&gt;0,"pas de prix",IF(M4655&lt;&gt; 0,"pas de quantité","pas de prix, ni de quantité"))))</f>
        <v>erreur de calcul</v>
      </c>
      <c r="BI4655" s="19"/>
    </row>
    <row r="4656" customFormat="false" ht="15" hidden="false" customHeight="false" outlineLevel="0" collapsed="false">
      <c r="A4656" s="0" t="n">
        <v>14</v>
      </c>
      <c r="B4656" s="8" t="s">
        <v>24</v>
      </c>
      <c r="C4656" s="9" t="s">
        <v>25</v>
      </c>
      <c r="D4656" s="9" t="s">
        <v>26</v>
      </c>
      <c r="E4656" s="10" t="n">
        <v>1789</v>
      </c>
      <c r="F4656" s="9" t="s">
        <v>27</v>
      </c>
      <c r="G4656" s="9" t="s">
        <v>27</v>
      </c>
      <c r="H4656" s="11" t="n">
        <v>21</v>
      </c>
      <c r="I4656" s="11" t="s">
        <v>167</v>
      </c>
      <c r="J4656" s="14" t="n">
        <v>60</v>
      </c>
      <c r="K4656" s="14"/>
      <c r="L4656" s="16"/>
      <c r="M4656" s="27" t="n">
        <f aca="false">J4656+(K4656/20)+(L4656/240)</f>
        <v>60</v>
      </c>
      <c r="N4656" s="17" t="s">
        <v>64</v>
      </c>
      <c r="O4656" s="11"/>
      <c r="P4656" s="28" t="n">
        <f aca="false">19377/100</f>
        <v>193.77</v>
      </c>
      <c r="Q4656" s="28" t="n">
        <v>11626</v>
      </c>
      <c r="R4656" s="28"/>
      <c r="S4656" s="28" t="n">
        <f aca="false">R4656*$M4656</f>
        <v>0</v>
      </c>
      <c r="T4656" s="28"/>
      <c r="U4656" s="28" t="n">
        <f aca="false">T4656*$M4656</f>
        <v>0</v>
      </c>
      <c r="V4656" s="28"/>
      <c r="W4656" s="28" t="n">
        <f aca="false">V4656*$M4656</f>
        <v>0</v>
      </c>
      <c r="X4656" s="28"/>
      <c r="Y4656" s="28" t="n">
        <f aca="false">X4656*$M4656</f>
        <v>0</v>
      </c>
      <c r="Z4656" s="28"/>
      <c r="AA4656" s="28" t="n">
        <f aca="false">Z4656*$M4656</f>
        <v>0</v>
      </c>
      <c r="AB4656" s="28"/>
      <c r="AC4656" s="28" t="n">
        <f aca="false">AB4656*$M4656</f>
        <v>0</v>
      </c>
      <c r="AD4656" s="28"/>
      <c r="AE4656" s="28" t="n">
        <f aca="false">AD4656*$M4656</f>
        <v>0</v>
      </c>
      <c r="AF4656" s="28"/>
      <c r="AG4656" s="28" t="n">
        <f aca="false">AF4656*$M4656</f>
        <v>0</v>
      </c>
      <c r="AH4656" s="28"/>
      <c r="AI4656" s="28" t="n">
        <f aca="false">AH4656*$M4656</f>
        <v>0</v>
      </c>
      <c r="AJ4656" s="28"/>
      <c r="AK4656" s="28" t="n">
        <f aca="false">AJ4656*$M4656</f>
        <v>0</v>
      </c>
      <c r="AL4656" s="28"/>
      <c r="AM4656" s="28" t="n">
        <f aca="false">AL4656*$M4656</f>
        <v>0</v>
      </c>
      <c r="AN4656" s="28"/>
      <c r="AO4656" s="28" t="n">
        <f aca="false">AN4656*$M4656</f>
        <v>0</v>
      </c>
      <c r="AP4656" s="28"/>
      <c r="AQ4656" s="28" t="n">
        <f aca="false">AP4656*$M4656</f>
        <v>0</v>
      </c>
      <c r="AR4656" s="28"/>
      <c r="AS4656" s="28" t="n">
        <f aca="false">AR4656*$M4656</f>
        <v>0</v>
      </c>
      <c r="AT4656" s="28"/>
      <c r="AU4656" s="28" t="n">
        <f aca="false">AT4656*$M4656</f>
        <v>0</v>
      </c>
      <c r="AV4656" s="28"/>
      <c r="AW4656" s="28" t="n">
        <f aca="false">AV4656*$M4656</f>
        <v>0</v>
      </c>
      <c r="AX4656" s="28"/>
      <c r="AY4656" s="28" t="n">
        <f aca="false">AX4656*$M4656</f>
        <v>0</v>
      </c>
      <c r="AZ4656" s="30" t="n">
        <f aca="false">19377/100</f>
        <v>193.77</v>
      </c>
      <c r="BA4656" s="11" t="n">
        <v>11626</v>
      </c>
      <c r="BB4656" s="31" t="n">
        <f aca="false">SUM(Q4656,S4656,U4656,W4656,Y4656,AA4656,AC4656,AE4656,AG4656,AI4656,AK4656,AM4656,AO4656,AQ4656,AS4656,AU4656,AW4656,AY4656)</f>
        <v>11626</v>
      </c>
      <c r="BC4656" s="28" t="n">
        <f aca="false">BA4656-BB4656</f>
        <v>0</v>
      </c>
      <c r="BD4656" s="32" t="n">
        <f aca="false">SUM(P4656,R4656,T4656,V4656,X4656,Z4656,AB4656,AD4656,AF4656,AH4656,AJ4656,AL4656,AN4656,AP4656,AR4656,AT4656,AV4656,AX4656)</f>
        <v>193.77</v>
      </c>
      <c r="BE4656" s="33" t="n">
        <f aca="false">AZ4656-BD4656</f>
        <v>0</v>
      </c>
      <c r="BF4656" s="34" t="n">
        <f aca="false">BD4656*M4656</f>
        <v>11626.2</v>
      </c>
      <c r="BG4656" s="35" t="n">
        <f aca="false">BA4656-BF4656</f>
        <v>-0.200000000000728</v>
      </c>
      <c r="BH4656" s="19" t="str">
        <f aca="false">IF(BG4656=0,"",IF(BG4656&lt;&gt;BA4656,"erreur de calcul",IF(BD4656&lt;&gt;0,"pas de prix",IF(M4656&lt;&gt; 0,"pas de quantité","pas de prix, ni de quantité"))))</f>
        <v>erreur de calcul</v>
      </c>
      <c r="BI4656" s="19"/>
    </row>
    <row r="4657" customFormat="false" ht="15" hidden="false" customHeight="false" outlineLevel="0" collapsed="false">
      <c r="A4657" s="0" t="n">
        <v>15</v>
      </c>
      <c r="B4657" s="8" t="s">
        <v>24</v>
      </c>
      <c r="C4657" s="9" t="s">
        <v>25</v>
      </c>
      <c r="D4657" s="9" t="s">
        <v>26</v>
      </c>
      <c r="E4657" s="10" t="n">
        <v>1789</v>
      </c>
      <c r="F4657" s="9" t="s">
        <v>27</v>
      </c>
      <c r="G4657" s="9" t="s">
        <v>27</v>
      </c>
      <c r="H4657" s="11" t="n">
        <v>21</v>
      </c>
      <c r="I4657" s="11" t="s">
        <v>168</v>
      </c>
      <c r="J4657" s="14" t="n">
        <v>345</v>
      </c>
      <c r="K4657" s="14"/>
      <c r="L4657" s="16"/>
      <c r="M4657" s="27" t="n">
        <f aca="false">J4657+(K4657/20)+(L4657/240)</f>
        <v>345</v>
      </c>
      <c r="N4657" s="17" t="s">
        <v>64</v>
      </c>
      <c r="O4657" s="11"/>
      <c r="P4657" s="28" t="n">
        <f aca="false">617/100</f>
        <v>6.17</v>
      </c>
      <c r="Q4657" s="28" t="n">
        <v>2129</v>
      </c>
      <c r="R4657" s="28"/>
      <c r="S4657" s="28" t="n">
        <f aca="false">R4657*$M4657</f>
        <v>0</v>
      </c>
      <c r="T4657" s="28"/>
      <c r="U4657" s="28" t="n">
        <f aca="false">T4657*$M4657</f>
        <v>0</v>
      </c>
      <c r="V4657" s="28"/>
      <c r="W4657" s="28" t="n">
        <f aca="false">V4657*$M4657</f>
        <v>0</v>
      </c>
      <c r="X4657" s="28"/>
      <c r="Y4657" s="28" t="n">
        <f aca="false">X4657*$M4657</f>
        <v>0</v>
      </c>
      <c r="Z4657" s="28"/>
      <c r="AA4657" s="28" t="n">
        <f aca="false">Z4657*$M4657</f>
        <v>0</v>
      </c>
      <c r="AB4657" s="28" t="n">
        <f aca="false">1270/100</f>
        <v>12.7</v>
      </c>
      <c r="AC4657" s="28" t="n">
        <v>4381</v>
      </c>
      <c r="AD4657" s="28"/>
      <c r="AE4657" s="28" t="n">
        <f aca="false">AD4657*$M4657</f>
        <v>0</v>
      </c>
      <c r="AF4657" s="28"/>
      <c r="AG4657" s="28" t="n">
        <f aca="false">AF4657*$M4657</f>
        <v>0</v>
      </c>
      <c r="AH4657" s="28"/>
      <c r="AI4657" s="28" t="n">
        <f aca="false">AH4657*$M4657</f>
        <v>0</v>
      </c>
      <c r="AJ4657" s="28"/>
      <c r="AK4657" s="28" t="n">
        <f aca="false">AJ4657*$M4657</f>
        <v>0</v>
      </c>
      <c r="AL4657" s="28"/>
      <c r="AM4657" s="28" t="n">
        <f aca="false">AL4657*$M4657</f>
        <v>0</v>
      </c>
      <c r="AN4657" s="28"/>
      <c r="AO4657" s="28" t="n">
        <f aca="false">AN4657*$M4657</f>
        <v>0</v>
      </c>
      <c r="AP4657" s="28"/>
      <c r="AQ4657" s="28" t="n">
        <f aca="false">AP4657*$M4657</f>
        <v>0</v>
      </c>
      <c r="AR4657" s="28"/>
      <c r="AS4657" s="28" t="n">
        <f aca="false">AR4657*$M4657</f>
        <v>0</v>
      </c>
      <c r="AT4657" s="28"/>
      <c r="AU4657" s="28" t="n">
        <f aca="false">AT4657*$M4657</f>
        <v>0</v>
      </c>
      <c r="AV4657" s="28"/>
      <c r="AW4657" s="28" t="n">
        <f aca="false">AV4657*$M4657</f>
        <v>0</v>
      </c>
      <c r="AX4657" s="28"/>
      <c r="AY4657" s="28" t="n">
        <f aca="false">AX4657*$M4657</f>
        <v>0</v>
      </c>
      <c r="AZ4657" s="30" t="n">
        <f aca="false">1887/100</f>
        <v>18.87</v>
      </c>
      <c r="BA4657" s="11" t="n">
        <v>6510</v>
      </c>
      <c r="BB4657" s="31" t="n">
        <f aca="false">SUM(Q4657,S4657,U4657,W4657,Y4657,AA4657,AC4657,AE4657,AG4657,AI4657,AK4657,AM4657,AO4657,AQ4657,AS4657,AU4657,AW4657,AY4657)</f>
        <v>6510</v>
      </c>
      <c r="BC4657" s="28" t="n">
        <f aca="false">BA4657-BB4657</f>
        <v>0</v>
      </c>
      <c r="BD4657" s="32" t="n">
        <f aca="false">SUM(P4657,R4657,T4657,V4657,X4657,Z4657,AB4657,AD4657,AF4657,AH4657,AJ4657,AL4657,AN4657,AP4657,AR4657,AT4657,AV4657,AX4657)</f>
        <v>18.87</v>
      </c>
      <c r="BE4657" s="33" t="n">
        <f aca="false">AZ4657-BD4657</f>
        <v>0</v>
      </c>
      <c r="BF4657" s="34" t="n">
        <f aca="false">BD4657*M4657</f>
        <v>6510.15</v>
      </c>
      <c r="BG4657" s="35" t="n">
        <f aca="false">BA4657-BF4657</f>
        <v>-0.149999999998727</v>
      </c>
      <c r="BH4657" s="19" t="str">
        <f aca="false">IF(BG4657=0,"",IF(BG4657&lt;&gt;BA4657,"erreur de calcul",IF(BD4657&lt;&gt;0,"pas de prix",IF(M4657&lt;&gt; 0,"pas de quantité","pas de prix, ni de quantité"))))</f>
        <v>erreur de calcul</v>
      </c>
      <c r="BI4657" s="19"/>
    </row>
    <row r="4658" customFormat="false" ht="15" hidden="false" customHeight="false" outlineLevel="0" collapsed="false">
      <c r="A4658" s="0" t="n">
        <v>16</v>
      </c>
      <c r="B4658" s="8" t="s">
        <v>24</v>
      </c>
      <c r="C4658" s="9" t="s">
        <v>25</v>
      </c>
      <c r="D4658" s="9" t="s">
        <v>26</v>
      </c>
      <c r="E4658" s="10" t="n">
        <v>1789</v>
      </c>
      <c r="F4658" s="9" t="s">
        <v>27</v>
      </c>
      <c r="G4658" s="9" t="s">
        <v>27</v>
      </c>
      <c r="H4658" s="11" t="n">
        <v>21</v>
      </c>
      <c r="I4658" s="11" t="s">
        <v>169</v>
      </c>
      <c r="J4658" s="14" t="n">
        <v>6</v>
      </c>
      <c r="K4658" s="14"/>
      <c r="L4658" s="16"/>
      <c r="M4658" s="27" t="n">
        <f aca="false">J4658+(K4658/20)+(L4658/240)</f>
        <v>6</v>
      </c>
      <c r="N4658" s="17" t="s">
        <v>64</v>
      </c>
      <c r="O4658" s="11"/>
      <c r="P4658" s="28"/>
      <c r="Q4658" s="28" t="n">
        <f aca="false">P4658*$M4658</f>
        <v>0</v>
      </c>
      <c r="R4658" s="28"/>
      <c r="S4658" s="28" t="n">
        <f aca="false">R4658*$M4658</f>
        <v>0</v>
      </c>
      <c r="T4658" s="28"/>
      <c r="U4658" s="28" t="n">
        <f aca="false">T4658*$M4658</f>
        <v>0</v>
      </c>
      <c r="V4658" s="28" t="n">
        <f aca="false">39752/100</f>
        <v>397.52</v>
      </c>
      <c r="W4658" s="28" t="n">
        <v>2385</v>
      </c>
      <c r="X4658" s="28"/>
      <c r="Y4658" s="28" t="n">
        <f aca="false">X4658*$M4658</f>
        <v>0</v>
      </c>
      <c r="Z4658" s="28"/>
      <c r="AA4658" s="28" t="n">
        <f aca="false">Z4658*$M4658</f>
        <v>0</v>
      </c>
      <c r="AB4658" s="28"/>
      <c r="AC4658" s="28" t="n">
        <f aca="false">AB4658*$M4658</f>
        <v>0</v>
      </c>
      <c r="AD4658" s="28"/>
      <c r="AE4658" s="28" t="n">
        <f aca="false">AD4658*$M4658</f>
        <v>0</v>
      </c>
      <c r="AF4658" s="28"/>
      <c r="AG4658" s="28" t="n">
        <f aca="false">AF4658*$M4658</f>
        <v>0</v>
      </c>
      <c r="AH4658" s="28"/>
      <c r="AI4658" s="28" t="n">
        <f aca="false">AH4658*$M4658</f>
        <v>0</v>
      </c>
      <c r="AJ4658" s="28"/>
      <c r="AK4658" s="28" t="n">
        <f aca="false">AJ4658*$M4658</f>
        <v>0</v>
      </c>
      <c r="AL4658" s="28"/>
      <c r="AM4658" s="28" t="n">
        <f aca="false">AL4658*$M4658</f>
        <v>0</v>
      </c>
      <c r="AN4658" s="28"/>
      <c r="AO4658" s="28" t="n">
        <f aca="false">AN4658*$M4658</f>
        <v>0</v>
      </c>
      <c r="AP4658" s="28"/>
      <c r="AQ4658" s="28" t="n">
        <f aca="false">AP4658*$M4658</f>
        <v>0</v>
      </c>
      <c r="AR4658" s="28"/>
      <c r="AS4658" s="28" t="n">
        <f aca="false">AR4658*$M4658</f>
        <v>0</v>
      </c>
      <c r="AT4658" s="28"/>
      <c r="AU4658" s="28" t="n">
        <f aca="false">AT4658*$M4658</f>
        <v>0</v>
      </c>
      <c r="AV4658" s="28"/>
      <c r="AW4658" s="28" t="n">
        <f aca="false">AV4658*$M4658</f>
        <v>0</v>
      </c>
      <c r="AX4658" s="28"/>
      <c r="AY4658" s="28" t="n">
        <f aca="false">AX4658*$M4658</f>
        <v>0</v>
      </c>
      <c r="AZ4658" s="30" t="n">
        <f aca="false">39752/100</f>
        <v>397.52</v>
      </c>
      <c r="BA4658" s="11" t="n">
        <v>2385</v>
      </c>
      <c r="BB4658" s="31" t="n">
        <f aca="false">SUM(Q4658,S4658,U4658,W4658,Y4658,AA4658,AC4658,AE4658,AG4658,AI4658,AK4658,AM4658,AO4658,AQ4658,AS4658,AU4658,AW4658,AY4658)</f>
        <v>2385</v>
      </c>
      <c r="BC4658" s="28" t="n">
        <f aca="false">BA4658-BB4658</f>
        <v>0</v>
      </c>
      <c r="BD4658" s="32" t="n">
        <f aca="false">SUM(P4658,R4658,T4658,V4658,X4658,Z4658,AB4658,AD4658,AF4658,AH4658,AJ4658,AL4658,AN4658,AP4658,AR4658,AT4658,AV4658,AX4658)</f>
        <v>397.52</v>
      </c>
      <c r="BE4658" s="33" t="n">
        <f aca="false">AZ4658-BD4658</f>
        <v>0</v>
      </c>
      <c r="BF4658" s="34" t="n">
        <f aca="false">BD4658*M4658</f>
        <v>2385.12</v>
      </c>
      <c r="BG4658" s="35" t="n">
        <f aca="false">BA4658-BF4658</f>
        <v>-0.119999999999891</v>
      </c>
      <c r="BH4658" s="19" t="str">
        <f aca="false">IF(BG4658=0,"",IF(BG4658&lt;&gt;BA4658,"erreur de calcul",IF(BD4658&lt;&gt;0,"pas de prix",IF(M4658&lt;&gt; 0,"pas de quantité","pas de prix, ni de quantité"))))</f>
        <v>erreur de calcul</v>
      </c>
      <c r="BI4658" s="19"/>
    </row>
    <row r="4659" customFormat="false" ht="15" hidden="false" customHeight="false" outlineLevel="0" collapsed="false">
      <c r="A4659" s="0" t="n">
        <v>17</v>
      </c>
      <c r="B4659" s="8" t="s">
        <v>24</v>
      </c>
      <c r="C4659" s="9" t="s">
        <v>25</v>
      </c>
      <c r="D4659" s="9" t="s">
        <v>26</v>
      </c>
      <c r="E4659" s="10" t="n">
        <v>1789</v>
      </c>
      <c r="F4659" s="9" t="s">
        <v>27</v>
      </c>
      <c r="G4659" s="9" t="s">
        <v>27</v>
      </c>
      <c r="H4659" s="11" t="n">
        <v>21</v>
      </c>
      <c r="I4659" s="11" t="s">
        <v>170</v>
      </c>
      <c r="J4659" s="14" t="n">
        <v>90</v>
      </c>
      <c r="K4659" s="14"/>
      <c r="L4659" s="16"/>
      <c r="M4659" s="27" t="n">
        <f aca="false">J4659+(K4659/20)+(L4659/240)</f>
        <v>90</v>
      </c>
      <c r="N4659" s="17" t="s">
        <v>64</v>
      </c>
      <c r="O4659" s="11"/>
      <c r="P4659" s="28"/>
      <c r="Q4659" s="28" t="n">
        <f aca="false">P4659*$M4659</f>
        <v>0</v>
      </c>
      <c r="R4659" s="28"/>
      <c r="S4659" s="28" t="n">
        <f aca="false">R4659*$M4659</f>
        <v>0</v>
      </c>
      <c r="T4659" s="28"/>
      <c r="U4659" s="28" t="n">
        <f aca="false">T4659*$M4659</f>
        <v>0</v>
      </c>
      <c r="V4659" s="28"/>
      <c r="W4659" s="28" t="n">
        <f aca="false">V4659*$M4659</f>
        <v>0</v>
      </c>
      <c r="X4659" s="28" t="n">
        <f aca="false">3136/100</f>
        <v>31.36</v>
      </c>
      <c r="Y4659" s="28" t="n">
        <v>2822</v>
      </c>
      <c r="Z4659" s="28"/>
      <c r="AA4659" s="28" t="n">
        <f aca="false">Z4659*$M4659</f>
        <v>0</v>
      </c>
      <c r="AB4659" s="28"/>
      <c r="AC4659" s="28" t="n">
        <f aca="false">AB4659*$M4659</f>
        <v>0</v>
      </c>
      <c r="AD4659" s="28"/>
      <c r="AE4659" s="28" t="n">
        <f aca="false">AD4659*$M4659</f>
        <v>0</v>
      </c>
      <c r="AF4659" s="28"/>
      <c r="AG4659" s="28" t="n">
        <f aca="false">AF4659*$M4659</f>
        <v>0</v>
      </c>
      <c r="AH4659" s="28"/>
      <c r="AI4659" s="28" t="n">
        <f aca="false">AH4659*$M4659</f>
        <v>0</v>
      </c>
      <c r="AJ4659" s="28"/>
      <c r="AK4659" s="28" t="n">
        <f aca="false">AJ4659*$M4659</f>
        <v>0</v>
      </c>
      <c r="AL4659" s="28"/>
      <c r="AM4659" s="28" t="n">
        <f aca="false">AL4659*$M4659</f>
        <v>0</v>
      </c>
      <c r="AN4659" s="28"/>
      <c r="AO4659" s="28" t="n">
        <f aca="false">AN4659*$M4659</f>
        <v>0</v>
      </c>
      <c r="AP4659" s="28"/>
      <c r="AQ4659" s="28" t="n">
        <f aca="false">AP4659*$M4659</f>
        <v>0</v>
      </c>
      <c r="AR4659" s="28"/>
      <c r="AS4659" s="28" t="n">
        <f aca="false">AR4659*$M4659</f>
        <v>0</v>
      </c>
      <c r="AT4659" s="28"/>
      <c r="AU4659" s="28" t="n">
        <f aca="false">AT4659*$M4659</f>
        <v>0</v>
      </c>
      <c r="AV4659" s="28"/>
      <c r="AW4659" s="28" t="n">
        <f aca="false">AV4659*$M4659</f>
        <v>0</v>
      </c>
      <c r="AX4659" s="28"/>
      <c r="AY4659" s="28" t="n">
        <f aca="false">AX4659*$M4659</f>
        <v>0</v>
      </c>
      <c r="AZ4659" s="30" t="n">
        <f aca="false">3136/100</f>
        <v>31.36</v>
      </c>
      <c r="BA4659" s="11" t="n">
        <v>2822</v>
      </c>
      <c r="BB4659" s="31" t="n">
        <f aca="false">SUM(Q4659,S4659,U4659,W4659,Y4659,AA4659,AC4659,AE4659,AG4659,AI4659,AK4659,AM4659,AO4659,AQ4659,AS4659,AU4659,AW4659,AY4659)</f>
        <v>2822</v>
      </c>
      <c r="BC4659" s="28" t="n">
        <f aca="false">BA4659-BB4659</f>
        <v>0</v>
      </c>
      <c r="BD4659" s="32" t="n">
        <f aca="false">SUM(P4659,R4659,T4659,V4659,X4659,Z4659,AB4659,AD4659,AF4659,AH4659,AJ4659,AL4659,AN4659,AP4659,AR4659,AT4659,AV4659,AX4659)</f>
        <v>31.36</v>
      </c>
      <c r="BE4659" s="33" t="n">
        <f aca="false">AZ4659-BD4659</f>
        <v>0</v>
      </c>
      <c r="BF4659" s="34" t="n">
        <f aca="false">BD4659*M4659</f>
        <v>2822.4</v>
      </c>
      <c r="BG4659" s="35" t="n">
        <f aca="false">BA4659-BF4659</f>
        <v>-0.400000000000091</v>
      </c>
      <c r="BH4659" s="19" t="str">
        <f aca="false">IF(BG4659=0,"",IF(BG4659&lt;&gt;BA4659,"erreur de calcul",IF(BD4659&lt;&gt;0,"pas de prix",IF(M4659&lt;&gt; 0,"pas de quantité","pas de prix, ni de quantité"))))</f>
        <v>erreur de calcul</v>
      </c>
      <c r="BI4659" s="19"/>
    </row>
    <row r="4660" customFormat="false" ht="15" hidden="false" customHeight="false" outlineLevel="0" collapsed="false">
      <c r="A4660" s="0" t="n">
        <v>18</v>
      </c>
      <c r="B4660" s="8" t="s">
        <v>24</v>
      </c>
      <c r="C4660" s="9" t="s">
        <v>25</v>
      </c>
      <c r="D4660" s="9" t="s">
        <v>26</v>
      </c>
      <c r="E4660" s="10" t="n">
        <v>1789</v>
      </c>
      <c r="F4660" s="9" t="s">
        <v>27</v>
      </c>
      <c r="G4660" s="9" t="s">
        <v>27</v>
      </c>
      <c r="H4660" s="11" t="n">
        <v>21</v>
      </c>
      <c r="I4660" s="11" t="s">
        <v>171</v>
      </c>
      <c r="J4660" s="14" t="n">
        <v>90</v>
      </c>
      <c r="K4660" s="14"/>
      <c r="L4660" s="16"/>
      <c r="M4660" s="27" t="n">
        <f aca="false">J4660+(K4660/20)+(L4660/240)</f>
        <v>90</v>
      </c>
      <c r="N4660" s="17" t="s">
        <v>64</v>
      </c>
      <c r="O4660" s="11"/>
      <c r="P4660" s="28"/>
      <c r="Q4660" s="28" t="n">
        <f aca="false">P4660*$M4660</f>
        <v>0</v>
      </c>
      <c r="R4660" s="28"/>
      <c r="S4660" s="28" t="n">
        <f aca="false">R4660*$M4660</f>
        <v>0</v>
      </c>
      <c r="T4660" s="28"/>
      <c r="U4660" s="28" t="n">
        <f aca="false">T4660*$M4660</f>
        <v>0</v>
      </c>
      <c r="V4660" s="28"/>
      <c r="W4660" s="28" t="n">
        <f aca="false">V4660*$M4660</f>
        <v>0</v>
      </c>
      <c r="X4660" s="28"/>
      <c r="Y4660" s="28" t="n">
        <f aca="false">X4660*$M4660</f>
        <v>0</v>
      </c>
      <c r="Z4660" s="28"/>
      <c r="AA4660" s="28" t="n">
        <f aca="false">Z4660*$M4660</f>
        <v>0</v>
      </c>
      <c r="AB4660" s="28"/>
      <c r="AC4660" s="28" t="n">
        <f aca="false">AB4660*$M4660</f>
        <v>0</v>
      </c>
      <c r="AD4660" s="28"/>
      <c r="AE4660" s="28" t="n">
        <f aca="false">AD4660*$M4660</f>
        <v>0</v>
      </c>
      <c r="AF4660" s="28"/>
      <c r="AG4660" s="28" t="n">
        <f aca="false">AF4660*$M4660</f>
        <v>0</v>
      </c>
      <c r="AH4660" s="28" t="n">
        <f aca="false">5337/100</f>
        <v>53.37</v>
      </c>
      <c r="AI4660" s="28" t="n">
        <v>4803</v>
      </c>
      <c r="AJ4660" s="28"/>
      <c r="AK4660" s="28" t="n">
        <f aca="false">AJ4660*$M4660</f>
        <v>0</v>
      </c>
      <c r="AL4660" s="28"/>
      <c r="AM4660" s="28" t="n">
        <f aca="false">AL4660*$M4660</f>
        <v>0</v>
      </c>
      <c r="AN4660" s="28"/>
      <c r="AO4660" s="28" t="n">
        <f aca="false">AN4660*$M4660</f>
        <v>0</v>
      </c>
      <c r="AP4660" s="28"/>
      <c r="AQ4660" s="28" t="n">
        <f aca="false">AP4660*$M4660</f>
        <v>0</v>
      </c>
      <c r="AR4660" s="28"/>
      <c r="AS4660" s="28" t="n">
        <f aca="false">AR4660*$M4660</f>
        <v>0</v>
      </c>
      <c r="AT4660" s="28"/>
      <c r="AU4660" s="28" t="n">
        <f aca="false">AT4660*$M4660</f>
        <v>0</v>
      </c>
      <c r="AV4660" s="28"/>
      <c r="AW4660" s="28" t="n">
        <f aca="false">AV4660*$M4660</f>
        <v>0</v>
      </c>
      <c r="AX4660" s="28"/>
      <c r="AY4660" s="28" t="n">
        <f aca="false">AX4660*$M4660</f>
        <v>0</v>
      </c>
      <c r="AZ4660" s="30" t="n">
        <f aca="false">5337/100</f>
        <v>53.37</v>
      </c>
      <c r="BA4660" s="11" t="n">
        <v>4803</v>
      </c>
      <c r="BB4660" s="31" t="n">
        <f aca="false">SUM(Q4660,S4660,U4660,W4660,Y4660,AA4660,AC4660,AE4660,AG4660,AI4660,AK4660,AM4660,AO4660,AQ4660,AS4660,AU4660,AW4660,AY4660)</f>
        <v>4803</v>
      </c>
      <c r="BC4660" s="28" t="n">
        <f aca="false">BA4660-BB4660</f>
        <v>0</v>
      </c>
      <c r="BD4660" s="32" t="n">
        <f aca="false">SUM(P4660,R4660,T4660,V4660,X4660,Z4660,AB4660,AD4660,AF4660,AH4660,AJ4660,AL4660,AN4660,AP4660,AR4660,AT4660,AV4660,AX4660)</f>
        <v>53.37</v>
      </c>
      <c r="BE4660" s="33" t="n">
        <f aca="false">AZ4660-BD4660</f>
        <v>0</v>
      </c>
      <c r="BF4660" s="34" t="n">
        <f aca="false">BD4660*M4660</f>
        <v>4803.3</v>
      </c>
      <c r="BG4660" s="35" t="n">
        <f aca="false">BA4660-BF4660</f>
        <v>-0.300000000000182</v>
      </c>
      <c r="BH4660" s="19" t="str">
        <f aca="false">IF(BG4660=0,"",IF(BG4660&lt;&gt;BA4660,"erreur de calcul",IF(BD4660&lt;&gt;0,"pas de prix",IF(M4660&lt;&gt; 0,"pas de quantité","pas de prix, ni de quantité"))))</f>
        <v>erreur de calcul</v>
      </c>
      <c r="BI4660" s="19"/>
    </row>
    <row r="4661" customFormat="false" ht="15" hidden="false" customHeight="false" outlineLevel="0" collapsed="false">
      <c r="A4661" s="0" t="n">
        <v>19</v>
      </c>
      <c r="B4661" s="8" t="s">
        <v>24</v>
      </c>
      <c r="C4661" s="9" t="s">
        <v>25</v>
      </c>
      <c r="D4661" s="9" t="s">
        <v>26</v>
      </c>
      <c r="E4661" s="10" t="n">
        <v>1789</v>
      </c>
      <c r="F4661" s="9" t="s">
        <v>27</v>
      </c>
      <c r="G4661" s="9" t="s">
        <v>27</v>
      </c>
      <c r="H4661" s="11" t="n">
        <v>21</v>
      </c>
      <c r="I4661" s="11" t="s">
        <v>172</v>
      </c>
      <c r="J4661" s="14" t="n">
        <v>15</v>
      </c>
      <c r="K4661" s="14"/>
      <c r="L4661" s="16"/>
      <c r="M4661" s="27" t="n">
        <f aca="false">J4661+(K4661/20)+(L4661/240)</f>
        <v>15</v>
      </c>
      <c r="N4661" s="17" t="s">
        <v>64</v>
      </c>
      <c r="O4661" s="11" t="s">
        <v>77</v>
      </c>
      <c r="P4661" s="28"/>
      <c r="Q4661" s="28" t="n">
        <f aca="false">P4661*$M4661</f>
        <v>0</v>
      </c>
      <c r="R4661" s="28"/>
      <c r="S4661" s="28" t="n">
        <f aca="false">R4661*$M4661</f>
        <v>0</v>
      </c>
      <c r="T4661" s="28"/>
      <c r="U4661" s="28" t="n">
        <f aca="false">T4661*$M4661</f>
        <v>0</v>
      </c>
      <c r="V4661" s="28"/>
      <c r="W4661" s="28" t="n">
        <f aca="false">V4661*$M4661</f>
        <v>0</v>
      </c>
      <c r="X4661" s="28"/>
      <c r="Y4661" s="28" t="n">
        <f aca="false">X4661*$M4661</f>
        <v>0</v>
      </c>
      <c r="Z4661" s="28"/>
      <c r="AA4661" s="28" t="n">
        <f aca="false">Z4661*$M4661</f>
        <v>0</v>
      </c>
      <c r="AB4661" s="28"/>
      <c r="AC4661" s="28" t="n">
        <f aca="false">AB4661*$M4661</f>
        <v>0</v>
      </c>
      <c r="AD4661" s="28"/>
      <c r="AE4661" s="28" t="n">
        <f aca="false">AD4661*$M4661</f>
        <v>0</v>
      </c>
      <c r="AF4661" s="28"/>
      <c r="AG4661" s="28" t="n">
        <f aca="false">AF4661*$M4661</f>
        <v>0</v>
      </c>
      <c r="AH4661" s="28"/>
      <c r="AI4661" s="28" t="n">
        <f aca="false">AH4661*$M4661</f>
        <v>0</v>
      </c>
      <c r="AJ4661" s="28"/>
      <c r="AK4661" s="28" t="n">
        <f aca="false">AJ4661*$M4661</f>
        <v>0</v>
      </c>
      <c r="AL4661" s="28"/>
      <c r="AM4661" s="28" t="n">
        <f aca="false">AL4661*$M4661</f>
        <v>0</v>
      </c>
      <c r="AN4661" s="28"/>
      <c r="AO4661" s="28" t="n">
        <f aca="false">AN4661*$M4661</f>
        <v>0</v>
      </c>
      <c r="AP4661" s="28"/>
      <c r="AQ4661" s="28" t="n">
        <f aca="false">AP4661*$M4661</f>
        <v>0</v>
      </c>
      <c r="AR4661" s="28"/>
      <c r="AS4661" s="28" t="n">
        <f aca="false">AR4661*$M4661</f>
        <v>0</v>
      </c>
      <c r="AT4661" s="28"/>
      <c r="AU4661" s="28" t="n">
        <f aca="false">AT4661*$M4661</f>
        <v>0</v>
      </c>
      <c r="AV4661" s="28"/>
      <c r="AW4661" s="28" t="n">
        <f aca="false">AV4661*$M4661</f>
        <v>0</v>
      </c>
      <c r="AX4661" s="28"/>
      <c r="AY4661" s="28" t="n">
        <f aca="false">AX4661*$M4661</f>
        <v>0</v>
      </c>
      <c r="AZ4661" s="30"/>
      <c r="BA4661" s="11"/>
      <c r="BB4661" s="31" t="n">
        <f aca="false">SUM(Q4661,S4661,U4661,W4661,Y4661,AA4661,AC4661,AE4661,AG4661,AI4661,AK4661,AM4661,AO4661,AQ4661,AS4661,AU4661,AW4661,AY4661)</f>
        <v>0</v>
      </c>
      <c r="BC4661" s="28" t="n">
        <f aca="false">BA4661-BB4661</f>
        <v>0</v>
      </c>
      <c r="BD4661" s="32" t="n">
        <f aca="false">SUM(P4661,R4661,T4661,V4661,X4661,Z4661,AB4661,AD4661,AF4661,AH4661,AJ4661,AL4661,AN4661,AP4661,AR4661,AT4661,AV4661,AX4661)</f>
        <v>0</v>
      </c>
      <c r="BE4661" s="33" t="n">
        <f aca="false">AZ4661-BD4661</f>
        <v>0</v>
      </c>
      <c r="BF4661" s="34" t="n">
        <f aca="false">BD4661*M4661</f>
        <v>0</v>
      </c>
      <c r="BG4661" s="35" t="n">
        <f aca="false">BA4661-BF4661</f>
        <v>0</v>
      </c>
      <c r="BH4661" s="19" t="str">
        <f aca="false">IF(BG4661=0,"",IF(BG4661&lt;&gt;BA4661,"erreur de calcul",IF(BD4661&lt;&gt;0,"pas de prix",IF(M4661&lt;&gt; 0,"pas de quantité","pas de prix, ni de quantité"))))</f>
        <v/>
      </c>
      <c r="BI4661" s="19"/>
    </row>
    <row r="4662" customFormat="false" ht="15" hidden="false" customHeight="false" outlineLevel="0" collapsed="false">
      <c r="A4662" s="0" t="n">
        <v>20</v>
      </c>
      <c r="B4662" s="8" t="s">
        <v>24</v>
      </c>
      <c r="C4662" s="9" t="s">
        <v>25</v>
      </c>
      <c r="D4662" s="9" t="s">
        <v>26</v>
      </c>
      <c r="E4662" s="10" t="n">
        <v>1789</v>
      </c>
      <c r="F4662" s="9" t="s">
        <v>27</v>
      </c>
      <c r="G4662" s="9" t="s">
        <v>27</v>
      </c>
      <c r="H4662" s="11" t="n">
        <v>21</v>
      </c>
      <c r="I4662" s="11" t="s">
        <v>173</v>
      </c>
      <c r="J4662" s="14" t="n">
        <v>36</v>
      </c>
      <c r="K4662" s="14"/>
      <c r="L4662" s="16"/>
      <c r="M4662" s="27" t="n">
        <f aca="false">J4662+(K4662/20)+(L4662/240)</f>
        <v>36</v>
      </c>
      <c r="N4662" s="17" t="s">
        <v>64</v>
      </c>
      <c r="O4662" s="11"/>
      <c r="P4662" s="28"/>
      <c r="Q4662" s="28" t="n">
        <f aca="false">P4662*$M4662</f>
        <v>0</v>
      </c>
      <c r="R4662" s="28"/>
      <c r="S4662" s="28" t="n">
        <f aca="false">R4662*$M4662</f>
        <v>0</v>
      </c>
      <c r="T4662" s="28"/>
      <c r="U4662" s="28" t="n">
        <f aca="false">T4662*$M4662</f>
        <v>0</v>
      </c>
      <c r="V4662" s="28"/>
      <c r="W4662" s="28" t="n">
        <f aca="false">V4662*$M4662</f>
        <v>0</v>
      </c>
      <c r="X4662" s="28"/>
      <c r="Y4662" s="28" t="n">
        <f aca="false">X4662*$M4662</f>
        <v>0</v>
      </c>
      <c r="Z4662" s="28"/>
      <c r="AA4662" s="28" t="n">
        <f aca="false">Z4662*$M4662</f>
        <v>0</v>
      </c>
      <c r="AB4662" s="28" t="n">
        <f aca="false">80722/100</f>
        <v>807.22</v>
      </c>
      <c r="AC4662" s="28" t="n">
        <v>29060</v>
      </c>
      <c r="AD4662" s="28"/>
      <c r="AE4662" s="28" t="n">
        <f aca="false">AD4662*$M4662</f>
        <v>0</v>
      </c>
      <c r="AF4662" s="28"/>
      <c r="AG4662" s="28" t="n">
        <f aca="false">AF4662*$M4662</f>
        <v>0</v>
      </c>
      <c r="AH4662" s="28"/>
      <c r="AI4662" s="28" t="n">
        <f aca="false">AH4662*$M4662</f>
        <v>0</v>
      </c>
      <c r="AJ4662" s="28"/>
      <c r="AK4662" s="28" t="n">
        <f aca="false">AJ4662*$M4662</f>
        <v>0</v>
      </c>
      <c r="AL4662" s="28"/>
      <c r="AM4662" s="28" t="n">
        <f aca="false">AL4662*$M4662</f>
        <v>0</v>
      </c>
      <c r="AN4662" s="28"/>
      <c r="AO4662" s="28" t="n">
        <f aca="false">AN4662*$M4662</f>
        <v>0</v>
      </c>
      <c r="AP4662" s="28"/>
      <c r="AQ4662" s="28" t="n">
        <f aca="false">AP4662*$M4662</f>
        <v>0</v>
      </c>
      <c r="AR4662" s="28"/>
      <c r="AS4662" s="28" t="n">
        <f aca="false">AR4662*$M4662</f>
        <v>0</v>
      </c>
      <c r="AT4662" s="28"/>
      <c r="AU4662" s="28" t="n">
        <f aca="false">AT4662*$M4662</f>
        <v>0</v>
      </c>
      <c r="AV4662" s="28"/>
      <c r="AW4662" s="28" t="n">
        <f aca="false">AV4662*$M4662</f>
        <v>0</v>
      </c>
      <c r="AX4662" s="28"/>
      <c r="AY4662" s="28" t="n">
        <f aca="false">AX4662*$M4662</f>
        <v>0</v>
      </c>
      <c r="AZ4662" s="30" t="n">
        <f aca="false">80722/100</f>
        <v>807.22</v>
      </c>
      <c r="BA4662" s="11" t="n">
        <v>29060</v>
      </c>
      <c r="BB4662" s="31" t="n">
        <f aca="false">SUM(Q4662,S4662,U4662,W4662,Y4662,AA4662,AC4662,AE4662,AG4662,AI4662,AK4662,AM4662,AO4662,AQ4662,AS4662,AU4662,AW4662,AY4662)</f>
        <v>29060</v>
      </c>
      <c r="BC4662" s="28" t="n">
        <f aca="false">BA4662-BB4662</f>
        <v>0</v>
      </c>
      <c r="BD4662" s="32" t="n">
        <f aca="false">SUM(P4662,R4662,T4662,V4662,X4662,Z4662,AB4662,AD4662,AF4662,AH4662,AJ4662,AL4662,AN4662,AP4662,AR4662,AT4662,AV4662,AX4662)</f>
        <v>807.22</v>
      </c>
      <c r="BE4662" s="33" t="n">
        <f aca="false">AZ4662-BD4662</f>
        <v>0</v>
      </c>
      <c r="BF4662" s="34" t="n">
        <f aca="false">BD4662*M4662</f>
        <v>29059.92</v>
      </c>
      <c r="BG4662" s="35" t="n">
        <f aca="false">BA4662-BF4662</f>
        <v>0.0799999999981083</v>
      </c>
      <c r="BH4662" s="19" t="str">
        <f aca="false">IF(BG4662=0,"",IF(BG4662&lt;&gt;BA4662,"erreur de calcul",IF(BD4662&lt;&gt;0,"pas de prix",IF(M4662&lt;&gt; 0,"pas de quantité","pas de prix, ni de quantité"))))</f>
        <v>erreur de calcul</v>
      </c>
      <c r="BI4662" s="19"/>
    </row>
    <row r="4663" customFormat="false" ht="15" hidden="false" customHeight="false" outlineLevel="0" collapsed="false">
      <c r="A4663" s="0" t="n">
        <v>21</v>
      </c>
      <c r="B4663" s="8" t="s">
        <v>24</v>
      </c>
      <c r="C4663" s="9" t="s">
        <v>25</v>
      </c>
      <c r="D4663" s="9" t="s">
        <v>26</v>
      </c>
      <c r="E4663" s="10" t="n">
        <v>1789</v>
      </c>
      <c r="F4663" s="9" t="s">
        <v>27</v>
      </c>
      <c r="G4663" s="9" t="s">
        <v>27</v>
      </c>
      <c r="H4663" s="11" t="n">
        <v>21</v>
      </c>
      <c r="I4663" s="11" t="s">
        <v>174</v>
      </c>
      <c r="J4663" s="14" t="n">
        <v>31</v>
      </c>
      <c r="K4663" s="14"/>
      <c r="L4663" s="16"/>
      <c r="M4663" s="27" t="n">
        <f aca="false">J4663+(K4663/20)+(L4663/240)</f>
        <v>31</v>
      </c>
      <c r="N4663" s="17" t="s">
        <v>64</v>
      </c>
      <c r="O4663" s="11"/>
      <c r="P4663" s="28"/>
      <c r="Q4663" s="28" t="n">
        <f aca="false">P4663*$M4663</f>
        <v>0</v>
      </c>
      <c r="R4663" s="28"/>
      <c r="S4663" s="28" t="n">
        <f aca="false">R4663*$M4663</f>
        <v>0</v>
      </c>
      <c r="T4663" s="28"/>
      <c r="U4663" s="28" t="n">
        <f aca="false">T4663*$M4663</f>
        <v>0</v>
      </c>
      <c r="V4663" s="28"/>
      <c r="W4663" s="28" t="n">
        <f aca="false">V4663*$M4663</f>
        <v>0</v>
      </c>
      <c r="X4663" s="28"/>
      <c r="Y4663" s="28" t="n">
        <f aca="false">X4663*$M4663</f>
        <v>0</v>
      </c>
      <c r="Z4663" s="28"/>
      <c r="AA4663" s="28" t="n">
        <f aca="false">Z4663*$M4663</f>
        <v>0</v>
      </c>
      <c r="AB4663" s="28"/>
      <c r="AC4663" s="28" t="n">
        <f aca="false">AB4663*$M4663</f>
        <v>0</v>
      </c>
      <c r="AD4663" s="28"/>
      <c r="AE4663" s="28" t="n">
        <f aca="false">AD4663*$M4663</f>
        <v>0</v>
      </c>
      <c r="AF4663" s="28" t="n">
        <f aca="false">4599/100</f>
        <v>45.99</v>
      </c>
      <c r="AG4663" s="28" t="n">
        <v>1426</v>
      </c>
      <c r="AH4663" s="28" t="n">
        <f aca="false">12691/100</f>
        <v>126.91</v>
      </c>
      <c r="AI4663" s="28" t="n">
        <v>3934</v>
      </c>
      <c r="AJ4663" s="28"/>
      <c r="AK4663" s="28" t="n">
        <f aca="false">AJ4663*$M4663</f>
        <v>0</v>
      </c>
      <c r="AL4663" s="28"/>
      <c r="AM4663" s="28" t="n">
        <f aca="false">AL4663*$M4663</f>
        <v>0</v>
      </c>
      <c r="AN4663" s="28"/>
      <c r="AO4663" s="28" t="n">
        <f aca="false">AN4663*$M4663</f>
        <v>0</v>
      </c>
      <c r="AP4663" s="28"/>
      <c r="AQ4663" s="28" t="n">
        <f aca="false">AP4663*$M4663</f>
        <v>0</v>
      </c>
      <c r="AR4663" s="28"/>
      <c r="AS4663" s="28" t="n">
        <f aca="false">AR4663*$M4663</f>
        <v>0</v>
      </c>
      <c r="AT4663" s="28"/>
      <c r="AU4663" s="28" t="n">
        <f aca="false">AT4663*$M4663</f>
        <v>0</v>
      </c>
      <c r="AV4663" s="28"/>
      <c r="AW4663" s="28" t="n">
        <f aca="false">AV4663*$M4663</f>
        <v>0</v>
      </c>
      <c r="AX4663" s="28"/>
      <c r="AY4663" s="28" t="n">
        <f aca="false">AX4663*$M4663</f>
        <v>0</v>
      </c>
      <c r="AZ4663" s="30" t="n">
        <f aca="false">17290/100</f>
        <v>172.9</v>
      </c>
      <c r="BA4663" s="11" t="n">
        <v>5360</v>
      </c>
      <c r="BB4663" s="31" t="n">
        <f aca="false">SUM(Q4663,S4663,U4663,W4663,Y4663,AA4663,AC4663,AE4663,AG4663,AI4663,AK4663,AM4663,AO4663,AQ4663,AS4663,AU4663,AW4663,AY4663)</f>
        <v>5360</v>
      </c>
      <c r="BC4663" s="28" t="n">
        <f aca="false">BA4663-BB4663</f>
        <v>0</v>
      </c>
      <c r="BD4663" s="32" t="n">
        <f aca="false">SUM(P4663,R4663,T4663,V4663,X4663,Z4663,AB4663,AD4663,AF4663,AH4663,AJ4663,AL4663,AN4663,AP4663,AR4663,AT4663,AV4663,AX4663)</f>
        <v>172.9</v>
      </c>
      <c r="BE4663" s="33" t="n">
        <f aca="false">AZ4663-BD4663</f>
        <v>0</v>
      </c>
      <c r="BF4663" s="34" t="n">
        <f aca="false">BD4663*M4663</f>
        <v>5359.9</v>
      </c>
      <c r="BG4663" s="35" t="n">
        <f aca="false">BA4663-BF4663</f>
        <v>0.0999999999994543</v>
      </c>
      <c r="BH4663" s="19" t="str">
        <f aca="false">IF(BG4663=0,"",IF(BG4663&lt;&gt;BA4663,"erreur de calcul",IF(BD4663&lt;&gt;0,"pas de prix",IF(M4663&lt;&gt; 0,"pas de quantité","pas de prix, ni de quantité"))))</f>
        <v>erreur de calcul</v>
      </c>
      <c r="BI4663" s="19"/>
    </row>
    <row r="4664" customFormat="false" ht="15" hidden="false" customHeight="false" outlineLevel="0" collapsed="false">
      <c r="A4664" s="0" t="n">
        <v>22</v>
      </c>
      <c r="B4664" s="8" t="s">
        <v>24</v>
      </c>
      <c r="C4664" s="9" t="s">
        <v>25</v>
      </c>
      <c r="D4664" s="9" t="s">
        <v>26</v>
      </c>
      <c r="E4664" s="10" t="n">
        <v>1789</v>
      </c>
      <c r="F4664" s="9" t="s">
        <v>27</v>
      </c>
      <c r="G4664" s="9" t="s">
        <v>27</v>
      </c>
      <c r="H4664" s="11" t="n">
        <v>21</v>
      </c>
      <c r="I4664" s="11" t="s">
        <v>175</v>
      </c>
      <c r="J4664" s="14" t="n">
        <v>120</v>
      </c>
      <c r="K4664" s="14"/>
      <c r="L4664" s="16"/>
      <c r="M4664" s="27" t="n">
        <f aca="false">J4664+(K4664/20)+(L4664/240)</f>
        <v>120</v>
      </c>
      <c r="N4664" s="17" t="s">
        <v>64</v>
      </c>
      <c r="O4664" s="11"/>
      <c r="P4664" s="28"/>
      <c r="Q4664" s="28" t="n">
        <f aca="false">P4664*$M4664</f>
        <v>0</v>
      </c>
      <c r="R4664" s="28"/>
      <c r="S4664" s="28" t="n">
        <f aca="false">R4664*$M4664</f>
        <v>0</v>
      </c>
      <c r="T4664" s="28"/>
      <c r="U4664" s="28" t="n">
        <f aca="false">T4664*$M4664</f>
        <v>0</v>
      </c>
      <c r="V4664" s="28" t="n">
        <f aca="false">2364/100</f>
        <v>23.64</v>
      </c>
      <c r="W4664" s="28" t="n">
        <v>2837</v>
      </c>
      <c r="X4664" s="28"/>
      <c r="Y4664" s="28" t="n">
        <f aca="false">X4664*$M4664</f>
        <v>0</v>
      </c>
      <c r="Z4664" s="28"/>
      <c r="AA4664" s="28" t="n">
        <f aca="false">Z4664*$M4664</f>
        <v>0</v>
      </c>
      <c r="AB4664" s="28"/>
      <c r="AC4664" s="28" t="n">
        <f aca="false">AB4664*$M4664</f>
        <v>0</v>
      </c>
      <c r="AD4664" s="28"/>
      <c r="AE4664" s="28" t="n">
        <f aca="false">AD4664*$M4664</f>
        <v>0</v>
      </c>
      <c r="AF4664" s="28"/>
      <c r="AG4664" s="28" t="n">
        <f aca="false">AF4664*$M4664</f>
        <v>0</v>
      </c>
      <c r="AH4664" s="28"/>
      <c r="AI4664" s="28" t="n">
        <f aca="false">AH4664*$M4664</f>
        <v>0</v>
      </c>
      <c r="AJ4664" s="28"/>
      <c r="AK4664" s="28" t="n">
        <f aca="false">AJ4664*$M4664</f>
        <v>0</v>
      </c>
      <c r="AL4664" s="28"/>
      <c r="AM4664" s="28" t="n">
        <f aca="false">AL4664*$M4664</f>
        <v>0</v>
      </c>
      <c r="AN4664" s="28"/>
      <c r="AO4664" s="28" t="n">
        <f aca="false">AN4664*$M4664</f>
        <v>0</v>
      </c>
      <c r="AP4664" s="28"/>
      <c r="AQ4664" s="28" t="n">
        <f aca="false">AP4664*$M4664</f>
        <v>0</v>
      </c>
      <c r="AR4664" s="28"/>
      <c r="AS4664" s="28" t="n">
        <f aca="false">AR4664*$M4664</f>
        <v>0</v>
      </c>
      <c r="AT4664" s="28"/>
      <c r="AU4664" s="28" t="n">
        <f aca="false">AT4664*$M4664</f>
        <v>0</v>
      </c>
      <c r="AV4664" s="28"/>
      <c r="AW4664" s="28" t="n">
        <f aca="false">AV4664*$M4664</f>
        <v>0</v>
      </c>
      <c r="AX4664" s="28"/>
      <c r="AY4664" s="28" t="n">
        <f aca="false">AX4664*$M4664</f>
        <v>0</v>
      </c>
      <c r="AZ4664" s="30" t="n">
        <f aca="false">2364/100</f>
        <v>23.64</v>
      </c>
      <c r="BA4664" s="11" t="n">
        <v>2837</v>
      </c>
      <c r="BB4664" s="31" t="n">
        <f aca="false">SUM(Q4664,S4664,U4664,W4664,Y4664,AA4664,AC4664,AE4664,AG4664,AI4664,AK4664,AM4664,AO4664,AQ4664,AS4664,AU4664,AW4664,AY4664)</f>
        <v>2837</v>
      </c>
      <c r="BC4664" s="28" t="n">
        <f aca="false">BA4664-BB4664</f>
        <v>0</v>
      </c>
      <c r="BD4664" s="32" t="n">
        <f aca="false">SUM(P4664,R4664,T4664,V4664,X4664,Z4664,AB4664,AD4664,AF4664,AH4664,AJ4664,AL4664,AN4664,AP4664,AR4664,AT4664,AV4664,AX4664)</f>
        <v>23.64</v>
      </c>
      <c r="BE4664" s="33" t="n">
        <f aca="false">AZ4664-BD4664</f>
        <v>0</v>
      </c>
      <c r="BF4664" s="34" t="n">
        <f aca="false">BD4664*M4664</f>
        <v>2836.8</v>
      </c>
      <c r="BG4664" s="35" t="n">
        <f aca="false">BA4664-BF4664</f>
        <v>0.199999999999818</v>
      </c>
      <c r="BH4664" s="19" t="str">
        <f aca="false">IF(BG4664=0,"",IF(BG4664&lt;&gt;BA4664,"erreur de calcul",IF(BD4664&lt;&gt;0,"pas de prix",IF(M4664&lt;&gt; 0,"pas de quantité","pas de prix, ni de quantité"))))</f>
        <v>erreur de calcul</v>
      </c>
      <c r="BI4664" s="19"/>
    </row>
    <row r="4665" customFormat="false" ht="15" hidden="false" customHeight="false" outlineLevel="0" collapsed="false">
      <c r="A4665" s="0" t="n">
        <v>23</v>
      </c>
      <c r="B4665" s="8" t="s">
        <v>24</v>
      </c>
      <c r="C4665" s="9" t="s">
        <v>25</v>
      </c>
      <c r="D4665" s="9" t="s">
        <v>26</v>
      </c>
      <c r="E4665" s="10" t="n">
        <v>1789</v>
      </c>
      <c r="F4665" s="9" t="s">
        <v>27</v>
      </c>
      <c r="G4665" s="9" t="s">
        <v>27</v>
      </c>
      <c r="H4665" s="11" t="n">
        <v>21</v>
      </c>
      <c r="I4665" s="11" t="s">
        <v>176</v>
      </c>
      <c r="J4665" s="14" t="n">
        <v>170</v>
      </c>
      <c r="K4665" s="14"/>
      <c r="L4665" s="16"/>
      <c r="M4665" s="27" t="n">
        <f aca="false">J4665+(K4665/20)+(L4665/240)</f>
        <v>170</v>
      </c>
      <c r="N4665" s="17" t="s">
        <v>64</v>
      </c>
      <c r="O4665" s="11"/>
      <c r="P4665" s="28" t="n">
        <f aca="false">9760/100</f>
        <v>97.6</v>
      </c>
      <c r="Q4665" s="28" t="n">
        <v>16592</v>
      </c>
      <c r="R4665" s="28"/>
      <c r="S4665" s="28" t="n">
        <f aca="false">R4665*$M4665</f>
        <v>0</v>
      </c>
      <c r="T4665" s="28"/>
      <c r="U4665" s="28" t="n">
        <f aca="false">T4665*$M4665</f>
        <v>0</v>
      </c>
      <c r="V4665" s="28"/>
      <c r="W4665" s="28" t="n">
        <f aca="false">V4665*$M4665</f>
        <v>0</v>
      </c>
      <c r="X4665" s="28" t="n">
        <f aca="false">1589/100</f>
        <v>15.89</v>
      </c>
      <c r="Y4665" s="28" t="n">
        <v>2701</v>
      </c>
      <c r="Z4665" s="28"/>
      <c r="AA4665" s="28" t="n">
        <f aca="false">Z4665*$M4665</f>
        <v>0</v>
      </c>
      <c r="AB4665" s="28"/>
      <c r="AC4665" s="28" t="n">
        <f aca="false">AB4665*$M4665</f>
        <v>0</v>
      </c>
      <c r="AD4665" s="28"/>
      <c r="AE4665" s="28" t="n">
        <f aca="false">AD4665*$M4665</f>
        <v>0</v>
      </c>
      <c r="AF4665" s="28"/>
      <c r="AG4665" s="28" t="n">
        <f aca="false">AF4665*$M4665</f>
        <v>0</v>
      </c>
      <c r="AH4665" s="28"/>
      <c r="AI4665" s="28" t="n">
        <f aca="false">AH4665*$M4665</f>
        <v>0</v>
      </c>
      <c r="AJ4665" s="28"/>
      <c r="AK4665" s="28" t="n">
        <f aca="false">AJ4665*$M4665</f>
        <v>0</v>
      </c>
      <c r="AL4665" s="28"/>
      <c r="AM4665" s="28" t="n">
        <f aca="false">AL4665*$M4665</f>
        <v>0</v>
      </c>
      <c r="AN4665" s="28"/>
      <c r="AO4665" s="28" t="n">
        <f aca="false">AN4665*$M4665</f>
        <v>0</v>
      </c>
      <c r="AP4665" s="28"/>
      <c r="AQ4665" s="28" t="n">
        <f aca="false">AP4665*$M4665</f>
        <v>0</v>
      </c>
      <c r="AR4665" s="28"/>
      <c r="AS4665" s="28" t="n">
        <f aca="false">AR4665*$M4665</f>
        <v>0</v>
      </c>
      <c r="AT4665" s="28"/>
      <c r="AU4665" s="28" t="n">
        <f aca="false">AT4665*$M4665</f>
        <v>0</v>
      </c>
      <c r="AV4665" s="28"/>
      <c r="AW4665" s="28" t="n">
        <f aca="false">AV4665*$M4665</f>
        <v>0</v>
      </c>
      <c r="AX4665" s="28"/>
      <c r="AY4665" s="28" t="n">
        <f aca="false">AX4665*$M4665</f>
        <v>0</v>
      </c>
      <c r="AZ4665" s="30" t="n">
        <f aca="false">11349/100</f>
        <v>113.49</v>
      </c>
      <c r="BA4665" s="11" t="n">
        <v>19293</v>
      </c>
      <c r="BB4665" s="31" t="n">
        <f aca="false">SUM(Q4665,S4665,U4665,W4665,Y4665,AA4665,AC4665,AE4665,AG4665,AI4665,AK4665,AM4665,AO4665,AQ4665,AS4665,AU4665,AW4665,AY4665)</f>
        <v>19293</v>
      </c>
      <c r="BC4665" s="28" t="n">
        <f aca="false">BA4665-BB4665</f>
        <v>0</v>
      </c>
      <c r="BD4665" s="32" t="n">
        <f aca="false">SUM(P4665,R4665,T4665,V4665,X4665,Z4665,AB4665,AD4665,AF4665,AH4665,AJ4665,AL4665,AN4665,AP4665,AR4665,AT4665,AV4665,AX4665)</f>
        <v>113.49</v>
      </c>
      <c r="BE4665" s="33" t="n">
        <f aca="false">AZ4665-BD4665</f>
        <v>0</v>
      </c>
      <c r="BF4665" s="34" t="n">
        <f aca="false">BD4665*M4665</f>
        <v>19293.3</v>
      </c>
      <c r="BG4665" s="35" t="n">
        <f aca="false">BA4665-BF4665</f>
        <v>-0.299999999999272</v>
      </c>
      <c r="BH4665" s="19" t="str">
        <f aca="false">IF(BG4665=0,"",IF(BG4665&lt;&gt;BA4665,"erreur de calcul",IF(BD4665&lt;&gt;0,"pas de prix",IF(M4665&lt;&gt; 0,"pas de quantité","pas de prix, ni de quantité"))))</f>
        <v>erreur de calcul</v>
      </c>
      <c r="BI4665" s="19"/>
    </row>
    <row r="4666" customFormat="false" ht="15" hidden="false" customHeight="false" outlineLevel="0" collapsed="false">
      <c r="A4666" s="0" t="n">
        <v>24</v>
      </c>
      <c r="B4666" s="8" t="s">
        <v>24</v>
      </c>
      <c r="C4666" s="9" t="s">
        <v>25</v>
      </c>
      <c r="D4666" s="9" t="s">
        <v>26</v>
      </c>
      <c r="E4666" s="10" t="n">
        <v>1789</v>
      </c>
      <c r="F4666" s="9" t="s">
        <v>27</v>
      </c>
      <c r="G4666" s="9" t="s">
        <v>27</v>
      </c>
      <c r="H4666" s="11" t="n">
        <v>21</v>
      </c>
      <c r="I4666" s="11" t="s">
        <v>177</v>
      </c>
      <c r="J4666" s="14" t="n">
        <v>9</v>
      </c>
      <c r="K4666" s="14"/>
      <c r="L4666" s="16"/>
      <c r="M4666" s="27" t="n">
        <f aca="false">J4666+(K4666/20)+(L4666/240)</f>
        <v>9</v>
      </c>
      <c r="N4666" s="17" t="s">
        <v>66</v>
      </c>
      <c r="O4666" s="11"/>
      <c r="P4666" s="28"/>
      <c r="Q4666" s="28" t="n">
        <f aca="false">P4666*$M4666</f>
        <v>0</v>
      </c>
      <c r="R4666" s="28" t="n">
        <v>349</v>
      </c>
      <c r="S4666" s="28" t="n">
        <v>3141</v>
      </c>
      <c r="T4666" s="28"/>
      <c r="U4666" s="28" t="n">
        <f aca="false">T4666*$M4666</f>
        <v>0</v>
      </c>
      <c r="V4666" s="28" t="n">
        <v>315</v>
      </c>
      <c r="W4666" s="28" t="n">
        <v>2835</v>
      </c>
      <c r="X4666" s="28" t="n">
        <v>733</v>
      </c>
      <c r="Y4666" s="28" t="n">
        <v>6597</v>
      </c>
      <c r="Z4666" s="28"/>
      <c r="AA4666" s="28" t="n">
        <f aca="false">Z4666*$M4666</f>
        <v>0</v>
      </c>
      <c r="AB4666" s="28" t="n">
        <v>162</v>
      </c>
      <c r="AC4666" s="28" t="n">
        <v>1458</v>
      </c>
      <c r="AD4666" s="28"/>
      <c r="AE4666" s="28" t="n">
        <f aca="false">AD4666*$M4666</f>
        <v>0</v>
      </c>
      <c r="AF4666" s="28"/>
      <c r="AG4666" s="28" t="n">
        <f aca="false">AF4666*$M4666</f>
        <v>0</v>
      </c>
      <c r="AH4666" s="28"/>
      <c r="AI4666" s="28" t="n">
        <f aca="false">AH4666*$M4666</f>
        <v>0</v>
      </c>
      <c r="AJ4666" s="28"/>
      <c r="AK4666" s="28" t="n">
        <f aca="false">AJ4666*$M4666</f>
        <v>0</v>
      </c>
      <c r="AL4666" s="28"/>
      <c r="AM4666" s="28" t="n">
        <f aca="false">AL4666*$M4666</f>
        <v>0</v>
      </c>
      <c r="AN4666" s="28"/>
      <c r="AO4666" s="28" t="n">
        <f aca="false">AN4666*$M4666</f>
        <v>0</v>
      </c>
      <c r="AP4666" s="28"/>
      <c r="AQ4666" s="28" t="n">
        <f aca="false">AP4666*$M4666</f>
        <v>0</v>
      </c>
      <c r="AR4666" s="28"/>
      <c r="AS4666" s="28" t="n">
        <f aca="false">AR4666*$M4666</f>
        <v>0</v>
      </c>
      <c r="AT4666" s="28"/>
      <c r="AU4666" s="28" t="n">
        <f aca="false">AT4666*$M4666</f>
        <v>0</v>
      </c>
      <c r="AV4666" s="28"/>
      <c r="AW4666" s="28" t="n">
        <f aca="false">AV4666*$M4666</f>
        <v>0</v>
      </c>
      <c r="AX4666" s="28"/>
      <c r="AY4666" s="28" t="n">
        <f aca="false">AX4666*$M4666</f>
        <v>0</v>
      </c>
      <c r="AZ4666" s="30" t="n">
        <f aca="false">1559</f>
        <v>1559</v>
      </c>
      <c r="BA4666" s="11" t="n">
        <v>14031</v>
      </c>
      <c r="BB4666" s="31" t="n">
        <f aca="false">SUM(Q4666,S4666,U4666,W4666,Y4666,AA4666,AC4666,AE4666,AG4666,AI4666,AK4666,AM4666,AO4666,AQ4666,AS4666,AU4666,AW4666,AY4666)</f>
        <v>14031</v>
      </c>
      <c r="BC4666" s="28" t="n">
        <f aca="false">BA4666-BB4666</f>
        <v>0</v>
      </c>
      <c r="BD4666" s="32" t="n">
        <f aca="false">SUM(P4666,R4666,T4666,V4666,X4666,Z4666,AB4666,AD4666,AF4666,AH4666,AJ4666,AL4666,AN4666,AP4666,AR4666,AT4666,AV4666,AX4666)</f>
        <v>1559</v>
      </c>
      <c r="BE4666" s="33" t="n">
        <f aca="false">AZ4666-BD4666</f>
        <v>0</v>
      </c>
      <c r="BF4666" s="34" t="n">
        <f aca="false">BD4666*M4666</f>
        <v>14031</v>
      </c>
      <c r="BG4666" s="35" t="n">
        <f aca="false">BA4666-BF4666</f>
        <v>0</v>
      </c>
      <c r="BH4666" s="19" t="str">
        <f aca="false">IF(BG4666=0,"",IF(BG4666&lt;&gt;BA4666,"erreur de calcul",IF(BD4666&lt;&gt;0,"pas de prix",IF(M4666&lt;&gt; 0,"pas de quantité","pas de prix, ni de quantité"))))</f>
        <v/>
      </c>
      <c r="BI4666" s="19"/>
    </row>
    <row r="4667" customFormat="false" ht="15" hidden="false" customHeight="false" outlineLevel="0" collapsed="false">
      <c r="A4667" s="0" t="n">
        <v>25</v>
      </c>
      <c r="B4667" s="8" t="s">
        <v>24</v>
      </c>
      <c r="C4667" s="9" t="s">
        <v>25</v>
      </c>
      <c r="D4667" s="9" t="s">
        <v>26</v>
      </c>
      <c r="E4667" s="10" t="n">
        <v>1789</v>
      </c>
      <c r="F4667" s="9" t="s">
        <v>27</v>
      </c>
      <c r="G4667" s="9" t="s">
        <v>27</v>
      </c>
      <c r="H4667" s="11" t="n">
        <v>21</v>
      </c>
      <c r="I4667" s="11" t="s">
        <v>178</v>
      </c>
      <c r="J4667" s="14" t="n">
        <v>125</v>
      </c>
      <c r="K4667" s="14"/>
      <c r="L4667" s="16"/>
      <c r="M4667" s="27" t="n">
        <f aca="false">J4667+(K4667/20)+(L4667/240)</f>
        <v>125</v>
      </c>
      <c r="N4667" s="17" t="s">
        <v>64</v>
      </c>
      <c r="O4667" s="11"/>
      <c r="P4667" s="28"/>
      <c r="Q4667" s="28" t="n">
        <f aca="false">P4667*$M4667</f>
        <v>0</v>
      </c>
      <c r="R4667" s="28"/>
      <c r="S4667" s="28" t="n">
        <f aca="false">R4667*$M4667</f>
        <v>0</v>
      </c>
      <c r="T4667" s="28"/>
      <c r="U4667" s="28" t="n">
        <f aca="false">T4667*$M4667</f>
        <v>0</v>
      </c>
      <c r="V4667" s="28" t="n">
        <f aca="false">10764/100</f>
        <v>107.64</v>
      </c>
      <c r="W4667" s="28" t="n">
        <v>13455</v>
      </c>
      <c r="X4667" s="28" t="n">
        <f aca="false">13215/100</f>
        <v>132.15</v>
      </c>
      <c r="Y4667" s="28" t="n">
        <v>16519</v>
      </c>
      <c r="Z4667" s="28"/>
      <c r="AA4667" s="28" t="n">
        <f aca="false">Z4667*$M4667</f>
        <v>0</v>
      </c>
      <c r="AB4667" s="28" t="n">
        <f aca="false">188461/100</f>
        <v>1884.61</v>
      </c>
      <c r="AC4667" s="28" t="n">
        <v>235576</v>
      </c>
      <c r="AD4667" s="28"/>
      <c r="AE4667" s="28" t="n">
        <f aca="false">AD4667*$M4667</f>
        <v>0</v>
      </c>
      <c r="AF4667" s="28"/>
      <c r="AG4667" s="28" t="n">
        <f aca="false">AF4667*$M4667</f>
        <v>0</v>
      </c>
      <c r="AH4667" s="28"/>
      <c r="AI4667" s="28" t="n">
        <f aca="false">AH4667*$M4667</f>
        <v>0</v>
      </c>
      <c r="AJ4667" s="28"/>
      <c r="AK4667" s="28" t="n">
        <f aca="false">AJ4667*$M4667</f>
        <v>0</v>
      </c>
      <c r="AL4667" s="28"/>
      <c r="AM4667" s="28" t="n">
        <f aca="false">AL4667*$M4667</f>
        <v>0</v>
      </c>
      <c r="AN4667" s="28"/>
      <c r="AO4667" s="28" t="n">
        <f aca="false">AN4667*$M4667</f>
        <v>0</v>
      </c>
      <c r="AP4667" s="28"/>
      <c r="AQ4667" s="28" t="n">
        <f aca="false">AP4667*$M4667</f>
        <v>0</v>
      </c>
      <c r="AR4667" s="28"/>
      <c r="AS4667" s="28" t="n">
        <f aca="false">AR4667*$M4667</f>
        <v>0</v>
      </c>
      <c r="AT4667" s="28"/>
      <c r="AU4667" s="28" t="n">
        <f aca="false">AT4667*$M4667</f>
        <v>0</v>
      </c>
      <c r="AV4667" s="28"/>
      <c r="AW4667" s="28" t="n">
        <f aca="false">AV4667*$M4667</f>
        <v>0</v>
      </c>
      <c r="AX4667" s="28"/>
      <c r="AY4667" s="28" t="n">
        <f aca="false">AX4667*$M4667</f>
        <v>0</v>
      </c>
      <c r="AZ4667" s="30" t="n">
        <f aca="false">212440/100</f>
        <v>2124.4</v>
      </c>
      <c r="BA4667" s="11" t="n">
        <v>265550</v>
      </c>
      <c r="BB4667" s="31" t="n">
        <f aca="false">SUM(Q4667,S4667,U4667,W4667,Y4667,AA4667,AC4667,AE4667,AG4667,AI4667,AK4667,AM4667,AO4667,AQ4667,AS4667,AU4667,AW4667,AY4667)</f>
        <v>265550</v>
      </c>
      <c r="BC4667" s="28" t="n">
        <f aca="false">BA4667-BB4667</f>
        <v>0</v>
      </c>
      <c r="BD4667" s="32" t="n">
        <f aca="false">SUM(P4667,R4667,T4667,V4667,X4667,Z4667,AB4667,AD4667,AF4667,AH4667,AJ4667,AL4667,AN4667,AP4667,AR4667,AT4667,AV4667,AX4667)</f>
        <v>2124.4</v>
      </c>
      <c r="BE4667" s="33" t="n">
        <f aca="false">AZ4667-BD4667</f>
        <v>0</v>
      </c>
      <c r="BF4667" s="34" t="n">
        <f aca="false">BD4667*M4667</f>
        <v>265550</v>
      </c>
      <c r="BG4667" s="35" t="n">
        <f aca="false">BA4667-BF4667</f>
        <v>0</v>
      </c>
      <c r="BH4667" s="19" t="str">
        <f aca="false">IF(BG4667=0,"",IF(BG4667&lt;&gt;BA4667,"erreur de calcul",IF(BD4667&lt;&gt;0,"pas de prix",IF(M4667&lt;&gt; 0,"pas de quantité","pas de prix, ni de quantité"))))</f>
        <v/>
      </c>
      <c r="BI4667" s="19"/>
    </row>
    <row r="4668" customFormat="false" ht="15" hidden="false" customHeight="false" outlineLevel="0" collapsed="false">
      <c r="A4668" s="0" t="n">
        <v>26</v>
      </c>
      <c r="B4668" s="8" t="s">
        <v>24</v>
      </c>
      <c r="C4668" s="9" t="s">
        <v>25</v>
      </c>
      <c r="D4668" s="9" t="s">
        <v>26</v>
      </c>
      <c r="E4668" s="10" t="n">
        <v>1789</v>
      </c>
      <c r="F4668" s="9" t="s">
        <v>27</v>
      </c>
      <c r="G4668" s="9" t="s">
        <v>27</v>
      </c>
      <c r="H4668" s="11" t="n">
        <v>21</v>
      </c>
      <c r="I4668" s="11" t="s">
        <v>179</v>
      </c>
      <c r="J4668" s="14" t="n">
        <v>7</v>
      </c>
      <c r="K4668" s="14"/>
      <c r="L4668" s="16"/>
      <c r="M4668" s="27" t="n">
        <f aca="false">J4668+(K4668/20)+(L4668/240)</f>
        <v>7</v>
      </c>
      <c r="N4668" s="17" t="s">
        <v>66</v>
      </c>
      <c r="O4668" s="11"/>
      <c r="P4668" s="28" t="n">
        <v>8441</v>
      </c>
      <c r="Q4668" s="28" t="n">
        <v>59087</v>
      </c>
      <c r="R4668" s="28"/>
      <c r="S4668" s="28" t="n">
        <f aca="false">R4668*$M4668</f>
        <v>0</v>
      </c>
      <c r="T4668" s="28"/>
      <c r="U4668" s="28" t="n">
        <f aca="false">T4668*$M4668</f>
        <v>0</v>
      </c>
      <c r="V4668" s="28"/>
      <c r="W4668" s="28" t="n">
        <f aca="false">V4668*$M4668</f>
        <v>0</v>
      </c>
      <c r="X4668" s="28"/>
      <c r="Y4668" s="28" t="n">
        <f aca="false">X4668*$M4668</f>
        <v>0</v>
      </c>
      <c r="Z4668" s="28" t="n">
        <v>357</v>
      </c>
      <c r="AA4668" s="28" t="n">
        <v>2499</v>
      </c>
      <c r="AB4668" s="28"/>
      <c r="AC4668" s="28" t="n">
        <f aca="false">AB4668*$M4668</f>
        <v>0</v>
      </c>
      <c r="AD4668" s="28"/>
      <c r="AE4668" s="28" t="n">
        <f aca="false">AD4668*$M4668</f>
        <v>0</v>
      </c>
      <c r="AF4668" s="28"/>
      <c r="AG4668" s="28" t="n">
        <f aca="false">AF4668*$M4668</f>
        <v>0</v>
      </c>
      <c r="AH4668" s="28"/>
      <c r="AI4668" s="28" t="n">
        <f aca="false">AH4668*$M4668</f>
        <v>0</v>
      </c>
      <c r="AJ4668" s="28"/>
      <c r="AK4668" s="28" t="n">
        <f aca="false">AJ4668*$M4668</f>
        <v>0</v>
      </c>
      <c r="AL4668" s="28"/>
      <c r="AM4668" s="28" t="n">
        <f aca="false">AL4668*$M4668</f>
        <v>0</v>
      </c>
      <c r="AN4668" s="28"/>
      <c r="AO4668" s="28" t="n">
        <f aca="false">AN4668*$M4668</f>
        <v>0</v>
      </c>
      <c r="AP4668" s="28"/>
      <c r="AQ4668" s="28" t="n">
        <f aca="false">AP4668*$M4668</f>
        <v>0</v>
      </c>
      <c r="AR4668" s="28"/>
      <c r="AS4668" s="28" t="n">
        <f aca="false">AR4668*$M4668</f>
        <v>0</v>
      </c>
      <c r="AT4668" s="28"/>
      <c r="AU4668" s="28" t="n">
        <f aca="false">AT4668*$M4668</f>
        <v>0</v>
      </c>
      <c r="AV4668" s="28"/>
      <c r="AW4668" s="28" t="n">
        <f aca="false">AV4668*$M4668</f>
        <v>0</v>
      </c>
      <c r="AX4668" s="28"/>
      <c r="AY4668" s="28" t="n">
        <f aca="false">AX4668*$M4668</f>
        <v>0</v>
      </c>
      <c r="AZ4668" s="30" t="n">
        <v>8798</v>
      </c>
      <c r="BA4668" s="11" t="n">
        <v>61586</v>
      </c>
      <c r="BB4668" s="31" t="n">
        <f aca="false">SUM(Q4668,S4668,U4668,W4668,Y4668,AA4668,AC4668,AE4668,AG4668,AI4668,AK4668,AM4668,AO4668,AQ4668,AS4668,AU4668,AW4668,AY4668)</f>
        <v>61586</v>
      </c>
      <c r="BC4668" s="28" t="n">
        <f aca="false">BA4668-BB4668</f>
        <v>0</v>
      </c>
      <c r="BD4668" s="32" t="n">
        <f aca="false">SUM(P4668,R4668,T4668,V4668,X4668,Z4668,AB4668,AD4668,AF4668,AH4668,AJ4668,AL4668,AN4668,AP4668,AR4668,AT4668,AV4668,AX4668)</f>
        <v>8798</v>
      </c>
      <c r="BE4668" s="33" t="n">
        <f aca="false">AZ4668-BD4668</f>
        <v>0</v>
      </c>
      <c r="BF4668" s="34" t="n">
        <f aca="false">BD4668*M4668</f>
        <v>61586</v>
      </c>
      <c r="BG4668" s="35" t="n">
        <f aca="false">BA4668-BF4668</f>
        <v>0</v>
      </c>
      <c r="BH4668" s="19" t="str">
        <f aca="false">IF(BG4668=0,"",IF(BG4668&lt;&gt;BA4668,"erreur de calcul",IF(BD4668&lt;&gt;0,"pas de prix",IF(M4668&lt;&gt; 0,"pas de quantité","pas de prix, ni de quantité"))))</f>
        <v/>
      </c>
      <c r="BI4668" s="19"/>
    </row>
    <row r="4669" customFormat="false" ht="15" hidden="false" customHeight="false" outlineLevel="0" collapsed="false">
      <c r="A4669" s="0" t="n">
        <v>27</v>
      </c>
      <c r="B4669" s="8" t="s">
        <v>24</v>
      </c>
      <c r="C4669" s="9" t="s">
        <v>25</v>
      </c>
      <c r="D4669" s="9" t="s">
        <v>26</v>
      </c>
      <c r="E4669" s="10" t="n">
        <v>1789</v>
      </c>
      <c r="F4669" s="9" t="s">
        <v>27</v>
      </c>
      <c r="G4669" s="9" t="s">
        <v>27</v>
      </c>
      <c r="H4669" s="11" t="n">
        <v>21</v>
      </c>
      <c r="I4669" s="11" t="s">
        <v>180</v>
      </c>
      <c r="J4669" s="14" t="n">
        <v>9</v>
      </c>
      <c r="K4669" s="14"/>
      <c r="L4669" s="16"/>
      <c r="M4669" s="27" t="n">
        <f aca="false">J4669+(K4669/20)+(L4669/240)</f>
        <v>9</v>
      </c>
      <c r="N4669" s="17" t="s">
        <v>64</v>
      </c>
      <c r="O4669" s="11"/>
      <c r="P4669" s="28" t="n">
        <f aca="false">22662/100</f>
        <v>226.62</v>
      </c>
      <c r="Q4669" s="28" t="n">
        <v>2039</v>
      </c>
      <c r="R4669" s="28"/>
      <c r="S4669" s="28" t="n">
        <f aca="false">R4669*$M4669</f>
        <v>0</v>
      </c>
      <c r="T4669" s="28"/>
      <c r="U4669" s="28" t="n">
        <f aca="false">T4669*$M4669</f>
        <v>0</v>
      </c>
      <c r="V4669" s="28"/>
      <c r="W4669" s="28" t="n">
        <f aca="false">V4669*$M4669</f>
        <v>0</v>
      </c>
      <c r="X4669" s="28"/>
      <c r="Y4669" s="28" t="n">
        <f aca="false">X4669*$M4669</f>
        <v>0</v>
      </c>
      <c r="Z4669" s="28"/>
      <c r="AA4669" s="28" t="n">
        <f aca="false">Z4669*$M4669</f>
        <v>0</v>
      </c>
      <c r="AB4669" s="28"/>
      <c r="AC4669" s="28" t="n">
        <f aca="false">AB4669*$M4669</f>
        <v>0</v>
      </c>
      <c r="AD4669" s="28"/>
      <c r="AE4669" s="28" t="n">
        <f aca="false">AD4669*$M4669</f>
        <v>0</v>
      </c>
      <c r="AF4669" s="28"/>
      <c r="AG4669" s="28" t="n">
        <f aca="false">AF4669*$M4669</f>
        <v>0</v>
      </c>
      <c r="AH4669" s="28"/>
      <c r="AI4669" s="28" t="n">
        <f aca="false">AH4669*$M4669</f>
        <v>0</v>
      </c>
      <c r="AJ4669" s="28"/>
      <c r="AK4669" s="28" t="n">
        <f aca="false">AJ4669*$M4669</f>
        <v>0</v>
      </c>
      <c r="AL4669" s="28"/>
      <c r="AM4669" s="28" t="n">
        <f aca="false">AL4669*$M4669</f>
        <v>0</v>
      </c>
      <c r="AN4669" s="28"/>
      <c r="AO4669" s="28" t="n">
        <f aca="false">AN4669*$M4669</f>
        <v>0</v>
      </c>
      <c r="AP4669" s="28"/>
      <c r="AQ4669" s="28" t="n">
        <f aca="false">AP4669*$M4669</f>
        <v>0</v>
      </c>
      <c r="AR4669" s="28"/>
      <c r="AS4669" s="28" t="n">
        <f aca="false">AR4669*$M4669</f>
        <v>0</v>
      </c>
      <c r="AT4669" s="28"/>
      <c r="AU4669" s="28" t="n">
        <f aca="false">AT4669*$M4669</f>
        <v>0</v>
      </c>
      <c r="AV4669" s="28"/>
      <c r="AW4669" s="28" t="n">
        <f aca="false">AV4669*$M4669</f>
        <v>0</v>
      </c>
      <c r="AX4669" s="28"/>
      <c r="AY4669" s="28" t="n">
        <f aca="false">AX4669*$M4669</f>
        <v>0</v>
      </c>
      <c r="AZ4669" s="30" t="n">
        <f aca="false">22662/100</f>
        <v>226.62</v>
      </c>
      <c r="BA4669" s="11" t="n">
        <v>2039</v>
      </c>
      <c r="BB4669" s="31" t="n">
        <f aca="false">SUM(Q4669,S4669,U4669,W4669,Y4669,AA4669,AC4669,AE4669,AG4669,AI4669,AK4669,AM4669,AO4669,AQ4669,AS4669,AU4669,AW4669,AY4669)</f>
        <v>2039</v>
      </c>
      <c r="BC4669" s="28" t="n">
        <f aca="false">BA4669-BB4669</f>
        <v>0</v>
      </c>
      <c r="BD4669" s="32" t="n">
        <f aca="false">SUM(P4669,R4669,T4669,V4669,X4669,Z4669,AB4669,AD4669,AF4669,AH4669,AJ4669,AL4669,AN4669,AP4669,AR4669,AT4669,AV4669,AX4669)</f>
        <v>226.62</v>
      </c>
      <c r="BE4669" s="33" t="n">
        <f aca="false">AZ4669-BD4669</f>
        <v>0</v>
      </c>
      <c r="BF4669" s="34" t="n">
        <f aca="false">BD4669*M4669</f>
        <v>2039.58</v>
      </c>
      <c r="BG4669" s="35" t="n">
        <f aca="false">BA4669-BF4669</f>
        <v>-0.579999999999927</v>
      </c>
      <c r="BH4669" s="19" t="str">
        <f aca="false">IF(BG4669=0,"",IF(BG4669&lt;&gt;BA4669,"erreur de calcul",IF(BD4669&lt;&gt;0,"pas de prix",IF(M4669&lt;&gt; 0,"pas de quantité","pas de prix, ni de quantité"))))</f>
        <v>erreur de calcul</v>
      </c>
      <c r="BI4669" s="19"/>
    </row>
    <row r="4670" customFormat="false" ht="15" hidden="false" customHeight="false" outlineLevel="0" collapsed="false">
      <c r="A4670" s="0" t="n">
        <v>28</v>
      </c>
      <c r="B4670" s="8" t="s">
        <v>24</v>
      </c>
      <c r="C4670" s="9" t="s">
        <v>25</v>
      </c>
      <c r="D4670" s="9" t="s">
        <v>26</v>
      </c>
      <c r="E4670" s="10" t="n">
        <v>1789</v>
      </c>
      <c r="F4670" s="9" t="s">
        <v>27</v>
      </c>
      <c r="G4670" s="9" t="s">
        <v>27</v>
      </c>
      <c r="H4670" s="11" t="n">
        <v>21</v>
      </c>
      <c r="I4670" s="11" t="s">
        <v>181</v>
      </c>
      <c r="J4670" s="14" t="n">
        <v>8</v>
      </c>
      <c r="K4670" s="14" t="n">
        <v>10</v>
      </c>
      <c r="L4670" s="16"/>
      <c r="M4670" s="27" t="n">
        <f aca="false">J4670+(K4670/20)+(L4670/240)</f>
        <v>8.5</v>
      </c>
      <c r="N4670" s="17" t="s">
        <v>66</v>
      </c>
      <c r="O4670" s="11"/>
      <c r="P4670" s="28" t="n">
        <v>1770</v>
      </c>
      <c r="Q4670" s="28" t="n">
        <v>15045</v>
      </c>
      <c r="R4670" s="28"/>
      <c r="S4670" s="28" t="n">
        <f aca="false">R4670*$M4670</f>
        <v>0</v>
      </c>
      <c r="T4670" s="28"/>
      <c r="U4670" s="28" t="n">
        <f aca="false">T4670*$M4670</f>
        <v>0</v>
      </c>
      <c r="V4670" s="28"/>
      <c r="W4670" s="28" t="n">
        <f aca="false">V4670*$M4670</f>
        <v>0</v>
      </c>
      <c r="X4670" s="28"/>
      <c r="Y4670" s="28" t="n">
        <f aca="false">X4670*$M4670</f>
        <v>0</v>
      </c>
      <c r="Z4670" s="28"/>
      <c r="AA4670" s="28" t="n">
        <f aca="false">Z4670*$M4670</f>
        <v>0</v>
      </c>
      <c r="AB4670" s="28"/>
      <c r="AC4670" s="28" t="n">
        <f aca="false">AB4670*$M4670</f>
        <v>0</v>
      </c>
      <c r="AD4670" s="28"/>
      <c r="AE4670" s="28" t="n">
        <f aca="false">AD4670*$M4670</f>
        <v>0</v>
      </c>
      <c r="AF4670" s="28"/>
      <c r="AG4670" s="28" t="n">
        <f aca="false">AF4670*$M4670</f>
        <v>0</v>
      </c>
      <c r="AH4670" s="28" t="n">
        <v>323</v>
      </c>
      <c r="AI4670" s="28" t="n">
        <v>2745</v>
      </c>
      <c r="AJ4670" s="28"/>
      <c r="AK4670" s="28" t="n">
        <f aca="false">AJ4670*$M4670</f>
        <v>0</v>
      </c>
      <c r="AL4670" s="28"/>
      <c r="AM4670" s="28" t="n">
        <f aca="false">AL4670*$M4670</f>
        <v>0</v>
      </c>
      <c r="AN4670" s="28"/>
      <c r="AO4670" s="28" t="n">
        <f aca="false">AN4670*$M4670</f>
        <v>0</v>
      </c>
      <c r="AP4670" s="28"/>
      <c r="AQ4670" s="28" t="n">
        <f aca="false">AP4670*$M4670</f>
        <v>0</v>
      </c>
      <c r="AR4670" s="28"/>
      <c r="AS4670" s="28" t="n">
        <f aca="false">AR4670*$M4670</f>
        <v>0</v>
      </c>
      <c r="AT4670" s="28"/>
      <c r="AU4670" s="28" t="n">
        <f aca="false">AT4670*$M4670</f>
        <v>0</v>
      </c>
      <c r="AV4670" s="28"/>
      <c r="AW4670" s="28" t="n">
        <f aca="false">AV4670*$M4670</f>
        <v>0</v>
      </c>
      <c r="AX4670" s="28"/>
      <c r="AY4670" s="28" t="n">
        <f aca="false">AX4670*$M4670</f>
        <v>0</v>
      </c>
      <c r="AZ4670" s="30" t="n">
        <v>2093</v>
      </c>
      <c r="BA4670" s="11" t="n">
        <v>17790</v>
      </c>
      <c r="BB4670" s="31" t="n">
        <f aca="false">SUM(Q4670,S4670,U4670,W4670,Y4670,AA4670,AC4670,AE4670,AG4670,AI4670,AK4670,AM4670,AO4670,AQ4670,AS4670,AU4670,AW4670,AY4670)</f>
        <v>17790</v>
      </c>
      <c r="BC4670" s="28" t="n">
        <f aca="false">BA4670-BB4670</f>
        <v>0</v>
      </c>
      <c r="BD4670" s="32" t="n">
        <f aca="false">SUM(P4670,R4670,T4670,V4670,X4670,Z4670,AB4670,AD4670,AF4670,AH4670,AJ4670,AL4670,AN4670,AP4670,AR4670,AT4670,AV4670,AX4670)</f>
        <v>2093</v>
      </c>
      <c r="BE4670" s="33" t="n">
        <f aca="false">AZ4670-BD4670</f>
        <v>0</v>
      </c>
      <c r="BF4670" s="34" t="n">
        <f aca="false">BD4670*M4670</f>
        <v>17790.5</v>
      </c>
      <c r="BG4670" s="35" t="n">
        <f aca="false">BA4670-BF4670</f>
        <v>-0.5</v>
      </c>
      <c r="BH4670" s="19" t="str">
        <f aca="false">IF(BG4670=0,"",IF(BG4670&lt;&gt;BA4670,"erreur de calcul",IF(BD4670&lt;&gt;0,"pas de prix",IF(M4670&lt;&gt; 0,"pas de quantité","pas de prix, ni de quantité"))))</f>
        <v>erreur de calcul</v>
      </c>
      <c r="BI4670" s="19"/>
    </row>
    <row r="4671" customFormat="false" ht="15" hidden="false" customHeight="false" outlineLevel="0" collapsed="false">
      <c r="A4671" s="0" t="n">
        <v>29</v>
      </c>
      <c r="B4671" s="8" t="s">
        <v>24</v>
      </c>
      <c r="C4671" s="9" t="s">
        <v>25</v>
      </c>
      <c r="D4671" s="9" t="s">
        <v>26</v>
      </c>
      <c r="E4671" s="10" t="n">
        <v>1789</v>
      </c>
      <c r="F4671" s="9" t="s">
        <v>27</v>
      </c>
      <c r="G4671" s="9" t="s">
        <v>27</v>
      </c>
      <c r="H4671" s="11" t="n">
        <v>21</v>
      </c>
      <c r="I4671" s="11" t="s">
        <v>182</v>
      </c>
      <c r="J4671" s="14" t="n">
        <v>24</v>
      </c>
      <c r="K4671" s="14"/>
      <c r="L4671" s="16"/>
      <c r="M4671" s="27" t="n">
        <f aca="false">J4671+(K4671/20)+(L4671/240)</f>
        <v>24</v>
      </c>
      <c r="N4671" s="17" t="s">
        <v>66</v>
      </c>
      <c r="O4671" s="11"/>
      <c r="P4671" s="28" t="n">
        <v>478</v>
      </c>
      <c r="Q4671" s="28" t="n">
        <v>11472</v>
      </c>
      <c r="R4671" s="28"/>
      <c r="S4671" s="28" t="n">
        <f aca="false">R4671*$M4671</f>
        <v>0</v>
      </c>
      <c r="T4671" s="28" t="n">
        <v>38</v>
      </c>
      <c r="U4671" s="28" t="n">
        <v>912</v>
      </c>
      <c r="V4671" s="28"/>
      <c r="W4671" s="28" t="n">
        <f aca="false">V4671*$M4671</f>
        <v>0</v>
      </c>
      <c r="X4671" s="28"/>
      <c r="Y4671" s="28" t="n">
        <f aca="false">X4671*$M4671</f>
        <v>0</v>
      </c>
      <c r="Z4671" s="28"/>
      <c r="AA4671" s="28" t="n">
        <f aca="false">Z4671*$M4671</f>
        <v>0</v>
      </c>
      <c r="AB4671" s="28"/>
      <c r="AC4671" s="28" t="n">
        <f aca="false">AB4671*$M4671</f>
        <v>0</v>
      </c>
      <c r="AD4671" s="28"/>
      <c r="AE4671" s="28" t="n">
        <f aca="false">AD4671*$M4671</f>
        <v>0</v>
      </c>
      <c r="AF4671" s="28"/>
      <c r="AG4671" s="28" t="n">
        <f aca="false">AF4671*$M4671</f>
        <v>0</v>
      </c>
      <c r="AH4671" s="28"/>
      <c r="AI4671" s="28" t="n">
        <f aca="false">AH4671*$M4671</f>
        <v>0</v>
      </c>
      <c r="AJ4671" s="28"/>
      <c r="AK4671" s="28" t="n">
        <f aca="false">AJ4671*$M4671</f>
        <v>0</v>
      </c>
      <c r="AL4671" s="28"/>
      <c r="AM4671" s="28" t="n">
        <f aca="false">AL4671*$M4671</f>
        <v>0</v>
      </c>
      <c r="AN4671" s="28"/>
      <c r="AO4671" s="28" t="n">
        <f aca="false">AN4671*$M4671</f>
        <v>0</v>
      </c>
      <c r="AP4671" s="28"/>
      <c r="AQ4671" s="28" t="n">
        <f aca="false">AP4671*$M4671</f>
        <v>0</v>
      </c>
      <c r="AR4671" s="28"/>
      <c r="AS4671" s="28" t="n">
        <f aca="false">AR4671*$M4671</f>
        <v>0</v>
      </c>
      <c r="AT4671" s="28"/>
      <c r="AU4671" s="28" t="n">
        <f aca="false">AT4671*$M4671</f>
        <v>0</v>
      </c>
      <c r="AV4671" s="28"/>
      <c r="AW4671" s="28" t="n">
        <f aca="false">AV4671*$M4671</f>
        <v>0</v>
      </c>
      <c r="AX4671" s="28"/>
      <c r="AY4671" s="28" t="n">
        <f aca="false">AX4671*$M4671</f>
        <v>0</v>
      </c>
      <c r="AZ4671" s="30" t="n">
        <v>516</v>
      </c>
      <c r="BA4671" s="11" t="n">
        <v>12384</v>
      </c>
      <c r="BB4671" s="31" t="n">
        <f aca="false">SUM(Q4671,S4671,U4671,W4671,Y4671,AA4671,AC4671,AE4671,AG4671,AI4671,AK4671,AM4671,AO4671,AQ4671,AS4671,AU4671,AW4671,AY4671)</f>
        <v>12384</v>
      </c>
      <c r="BC4671" s="28" t="n">
        <f aca="false">BA4671-BB4671</f>
        <v>0</v>
      </c>
      <c r="BD4671" s="32" t="n">
        <f aca="false">SUM(P4671,R4671,T4671,V4671,X4671,Z4671,AB4671,AD4671,AF4671,AH4671,AJ4671,AL4671,AN4671,AP4671,AR4671,AT4671,AV4671,AX4671)</f>
        <v>516</v>
      </c>
      <c r="BE4671" s="33" t="n">
        <f aca="false">AZ4671-BD4671</f>
        <v>0</v>
      </c>
      <c r="BF4671" s="34" t="n">
        <f aca="false">BD4671*M4671</f>
        <v>12384</v>
      </c>
      <c r="BG4671" s="35" t="n">
        <f aca="false">BA4671-BF4671</f>
        <v>0</v>
      </c>
      <c r="BH4671" s="19" t="str">
        <f aca="false">IF(BG4671=0,"",IF(BG4671&lt;&gt;BA4671,"erreur de calcul",IF(BD4671&lt;&gt;0,"pas de prix",IF(M4671&lt;&gt; 0,"pas de quantité","pas de prix, ni de quantité"))))</f>
        <v/>
      </c>
      <c r="BI4671" s="19"/>
    </row>
    <row r="4672" customFormat="false" ht="15" hidden="false" customHeight="false" outlineLevel="0" collapsed="false">
      <c r="A4672" s="0" t="n">
        <v>30</v>
      </c>
      <c r="B4672" s="8" t="s">
        <v>24</v>
      </c>
      <c r="C4672" s="9" t="s">
        <v>25</v>
      </c>
      <c r="D4672" s="9" t="s">
        <v>26</v>
      </c>
      <c r="E4672" s="10" t="n">
        <v>1789</v>
      </c>
      <c r="F4672" s="9" t="s">
        <v>27</v>
      </c>
      <c r="G4672" s="9" t="s">
        <v>27</v>
      </c>
      <c r="H4672" s="11" t="n">
        <v>21</v>
      </c>
      <c r="I4672" s="11" t="s">
        <v>183</v>
      </c>
      <c r="J4672" s="14" t="n">
        <v>240</v>
      </c>
      <c r="K4672" s="14"/>
      <c r="L4672" s="16"/>
      <c r="M4672" s="27" t="n">
        <f aca="false">J4672+(K4672/20)+(L4672/240)</f>
        <v>240</v>
      </c>
      <c r="N4672" s="17" t="s">
        <v>64</v>
      </c>
      <c r="O4672" s="11"/>
      <c r="P4672" s="28" t="n">
        <f aca="false">52196/100</f>
        <v>521.96</v>
      </c>
      <c r="Q4672" s="28" t="n">
        <v>125270</v>
      </c>
      <c r="R4672" s="28" t="n">
        <f aca="false">29767/100</f>
        <v>297.67</v>
      </c>
      <c r="S4672" s="28" t="n">
        <v>71441</v>
      </c>
      <c r="T4672" s="28"/>
      <c r="U4672" s="28" t="n">
        <f aca="false">T4672*$M4672</f>
        <v>0</v>
      </c>
      <c r="V4672" s="28"/>
      <c r="W4672" s="28" t="n">
        <f aca="false">V4672*$M4672</f>
        <v>0</v>
      </c>
      <c r="X4672" s="28"/>
      <c r="Y4672" s="28" t="n">
        <f aca="false">X4672*$M4672</f>
        <v>0</v>
      </c>
      <c r="Z4672" s="28"/>
      <c r="AA4672" s="28" t="n">
        <f aca="false">Z4672*$M4672</f>
        <v>0</v>
      </c>
      <c r="AB4672" s="28"/>
      <c r="AC4672" s="28" t="n">
        <f aca="false">AB4672*$M4672</f>
        <v>0</v>
      </c>
      <c r="AD4672" s="28"/>
      <c r="AE4672" s="28" t="n">
        <f aca="false">AD4672*$M4672</f>
        <v>0</v>
      </c>
      <c r="AF4672" s="28"/>
      <c r="AG4672" s="28" t="n">
        <f aca="false">AF4672*$M4672</f>
        <v>0</v>
      </c>
      <c r="AH4672" s="28"/>
      <c r="AI4672" s="28" t="n">
        <f aca="false">AH4672*$M4672</f>
        <v>0</v>
      </c>
      <c r="AJ4672" s="28"/>
      <c r="AK4672" s="28" t="n">
        <f aca="false">AJ4672*$M4672</f>
        <v>0</v>
      </c>
      <c r="AL4672" s="28"/>
      <c r="AM4672" s="28" t="n">
        <f aca="false">AL4672*$M4672</f>
        <v>0</v>
      </c>
      <c r="AN4672" s="28"/>
      <c r="AO4672" s="28" t="n">
        <f aca="false">AN4672*$M4672</f>
        <v>0</v>
      </c>
      <c r="AP4672" s="28"/>
      <c r="AQ4672" s="28" t="n">
        <f aca="false">AP4672*$M4672</f>
        <v>0</v>
      </c>
      <c r="AR4672" s="28"/>
      <c r="AS4672" s="28" t="n">
        <f aca="false">AR4672*$M4672</f>
        <v>0</v>
      </c>
      <c r="AT4672" s="28"/>
      <c r="AU4672" s="28" t="n">
        <f aca="false">AT4672*$M4672</f>
        <v>0</v>
      </c>
      <c r="AV4672" s="28"/>
      <c r="AW4672" s="28" t="n">
        <f aca="false">AV4672*$M4672</f>
        <v>0</v>
      </c>
      <c r="AX4672" s="28"/>
      <c r="AY4672" s="28" t="n">
        <f aca="false">AX4672*$M4672</f>
        <v>0</v>
      </c>
      <c r="AZ4672" s="30" t="n">
        <f aca="false">81963/100</f>
        <v>819.63</v>
      </c>
      <c r="BA4672" s="11" t="n">
        <v>196711</v>
      </c>
      <c r="BB4672" s="31" t="n">
        <f aca="false">SUM(Q4672,S4672,U4672,W4672,Y4672,AA4672,AC4672,AE4672,AG4672,AI4672,AK4672,AM4672,AO4672,AQ4672,AS4672,AU4672,AW4672,AY4672)</f>
        <v>196711</v>
      </c>
      <c r="BC4672" s="28" t="n">
        <f aca="false">BA4672-BB4672</f>
        <v>0</v>
      </c>
      <c r="BD4672" s="32" t="n">
        <f aca="false">SUM(P4672,R4672,T4672,V4672,X4672,Z4672,AB4672,AD4672,AF4672,AH4672,AJ4672,AL4672,AN4672,AP4672,AR4672,AT4672,AV4672,AX4672)</f>
        <v>819.63</v>
      </c>
      <c r="BE4672" s="33" t="n">
        <f aca="false">AZ4672-BD4672</f>
        <v>0</v>
      </c>
      <c r="BF4672" s="34" t="n">
        <f aca="false">BD4672*M4672</f>
        <v>196711.2</v>
      </c>
      <c r="BG4672" s="35" t="n">
        <f aca="false">BA4672-BF4672</f>
        <v>-0.200000000011642</v>
      </c>
      <c r="BH4672" s="19" t="str">
        <f aca="false">IF(BG4672=0,"",IF(BG4672&lt;&gt;BA4672,"erreur de calcul",IF(BD4672&lt;&gt;0,"pas de prix",IF(M4672&lt;&gt; 0,"pas de quantité","pas de prix, ni de quantité"))))</f>
        <v>erreur de calcul</v>
      </c>
      <c r="BI4672" s="19"/>
    </row>
    <row r="4673" customFormat="false" ht="15" hidden="false" customHeight="false" outlineLevel="0" collapsed="false">
      <c r="A4673" s="0" t="n">
        <v>31</v>
      </c>
      <c r="B4673" s="8" t="s">
        <v>24</v>
      </c>
      <c r="C4673" s="9" t="s">
        <v>25</v>
      </c>
      <c r="D4673" s="9" t="s">
        <v>26</v>
      </c>
      <c r="E4673" s="10" t="n">
        <v>1789</v>
      </c>
      <c r="F4673" s="9" t="s">
        <v>27</v>
      </c>
      <c r="G4673" s="9" t="s">
        <v>27</v>
      </c>
      <c r="H4673" s="11" t="n">
        <v>21</v>
      </c>
      <c r="I4673" s="11" t="s">
        <v>184</v>
      </c>
      <c r="J4673" s="14" t="n">
        <v>13</v>
      </c>
      <c r="K4673" s="14"/>
      <c r="L4673" s="16"/>
      <c r="M4673" s="27" t="n">
        <f aca="false">J4673+(K4673/20)+(L4673/240)</f>
        <v>13</v>
      </c>
      <c r="N4673" s="17" t="s">
        <v>66</v>
      </c>
      <c r="O4673" s="11"/>
      <c r="P4673" s="28"/>
      <c r="Q4673" s="28" t="n">
        <f aca="false">P4673*$M4673</f>
        <v>0</v>
      </c>
      <c r="R4673" s="28"/>
      <c r="S4673" s="28" t="n">
        <f aca="false">R4673*$M4673</f>
        <v>0</v>
      </c>
      <c r="T4673" s="28"/>
      <c r="U4673" s="28" t="n">
        <f aca="false">T4673*$M4673</f>
        <v>0</v>
      </c>
      <c r="V4673" s="28"/>
      <c r="W4673" s="28" t="n">
        <f aca="false">V4673*$M4673</f>
        <v>0</v>
      </c>
      <c r="X4673" s="28"/>
      <c r="Y4673" s="28" t="n">
        <f aca="false">X4673*$M4673</f>
        <v>0</v>
      </c>
      <c r="Z4673" s="28"/>
      <c r="AA4673" s="28" t="n">
        <f aca="false">Z4673*$M4673</f>
        <v>0</v>
      </c>
      <c r="AB4673" s="28"/>
      <c r="AC4673" s="28" t="n">
        <f aca="false">AB4673*$M4673</f>
        <v>0</v>
      </c>
      <c r="AD4673" s="28"/>
      <c r="AE4673" s="28" t="n">
        <f aca="false">AD4673*$M4673</f>
        <v>0</v>
      </c>
      <c r="AF4673" s="28"/>
      <c r="AG4673" s="28" t="n">
        <f aca="false">AF4673*$M4673</f>
        <v>0</v>
      </c>
      <c r="AH4673" s="28" t="n">
        <v>354</v>
      </c>
      <c r="AI4673" s="28" t="n">
        <v>4602</v>
      </c>
      <c r="AJ4673" s="28"/>
      <c r="AK4673" s="28" t="n">
        <f aca="false">AJ4673*$M4673</f>
        <v>0</v>
      </c>
      <c r="AL4673" s="28"/>
      <c r="AM4673" s="28" t="n">
        <f aca="false">AL4673*$M4673</f>
        <v>0</v>
      </c>
      <c r="AN4673" s="28"/>
      <c r="AO4673" s="28" t="n">
        <f aca="false">AN4673*$M4673</f>
        <v>0</v>
      </c>
      <c r="AP4673" s="28"/>
      <c r="AQ4673" s="28" t="n">
        <f aca="false">AP4673*$M4673</f>
        <v>0</v>
      </c>
      <c r="AR4673" s="28"/>
      <c r="AS4673" s="28" t="n">
        <f aca="false">AR4673*$M4673</f>
        <v>0</v>
      </c>
      <c r="AT4673" s="28"/>
      <c r="AU4673" s="28" t="n">
        <f aca="false">AT4673*$M4673</f>
        <v>0</v>
      </c>
      <c r="AV4673" s="28"/>
      <c r="AW4673" s="28" t="n">
        <f aca="false">AV4673*$M4673</f>
        <v>0</v>
      </c>
      <c r="AX4673" s="28"/>
      <c r="AY4673" s="28" t="n">
        <f aca="false">AX4673*$M4673</f>
        <v>0</v>
      </c>
      <c r="AZ4673" s="30" t="n">
        <v>354</v>
      </c>
      <c r="BA4673" s="11" t="n">
        <v>4602</v>
      </c>
      <c r="BB4673" s="31" t="n">
        <f aca="false">SUM(Q4673,S4673,U4673,W4673,Y4673,AA4673,AC4673,AE4673,AG4673,AI4673,AK4673,AM4673,AO4673,AQ4673,AS4673,AU4673,AW4673,AY4673)</f>
        <v>4602</v>
      </c>
      <c r="BC4673" s="28" t="n">
        <f aca="false">BA4673-BB4673</f>
        <v>0</v>
      </c>
      <c r="BD4673" s="32" t="n">
        <f aca="false">SUM(P4673,R4673,T4673,V4673,X4673,Z4673,AB4673,AD4673,AF4673,AH4673,AJ4673,AL4673,AN4673,AP4673,AR4673,AT4673,AV4673,AX4673)</f>
        <v>354</v>
      </c>
      <c r="BE4673" s="33" t="n">
        <f aca="false">AZ4673-BD4673</f>
        <v>0</v>
      </c>
      <c r="BF4673" s="34" t="n">
        <f aca="false">BD4673*M4673</f>
        <v>4602</v>
      </c>
      <c r="BG4673" s="35" t="n">
        <f aca="false">BA4673-BF4673</f>
        <v>0</v>
      </c>
      <c r="BH4673" s="19" t="str">
        <f aca="false">IF(BG4673=0,"",IF(BG4673&lt;&gt;BA4673,"erreur de calcul",IF(BD4673&lt;&gt;0,"pas de prix",IF(M4673&lt;&gt; 0,"pas de quantité","pas de prix, ni de quantité"))))</f>
        <v/>
      </c>
      <c r="BI4673" s="19"/>
    </row>
    <row r="4674" customFormat="false" ht="15" hidden="false" customHeight="false" outlineLevel="0" collapsed="false">
      <c r="A4674" s="0" t="n">
        <v>32</v>
      </c>
      <c r="B4674" s="8" t="s">
        <v>24</v>
      </c>
      <c r="C4674" s="9" t="s">
        <v>25</v>
      </c>
      <c r="D4674" s="9" t="s">
        <v>26</v>
      </c>
      <c r="E4674" s="10" t="n">
        <v>1789</v>
      </c>
      <c r="F4674" s="9" t="s">
        <v>27</v>
      </c>
      <c r="G4674" s="9" t="s">
        <v>27</v>
      </c>
      <c r="H4674" s="11" t="n">
        <v>21</v>
      </c>
      <c r="I4674" s="11" t="s">
        <v>185</v>
      </c>
      <c r="J4674" s="14" t="n">
        <v>245</v>
      </c>
      <c r="K4674" s="14"/>
      <c r="L4674" s="16"/>
      <c r="M4674" s="27" t="n">
        <f aca="false">J4674+(K4674/20)+(L4674/240)</f>
        <v>245</v>
      </c>
      <c r="N4674" s="17" t="s">
        <v>64</v>
      </c>
      <c r="O4674" s="11"/>
      <c r="P4674" s="28"/>
      <c r="Q4674" s="28" t="n">
        <f aca="false">P4674*$M4674</f>
        <v>0</v>
      </c>
      <c r="R4674" s="28"/>
      <c r="S4674" s="28" t="n">
        <f aca="false">R4674*$M4674</f>
        <v>0</v>
      </c>
      <c r="T4674" s="28"/>
      <c r="U4674" s="28" t="n">
        <f aca="false">T4674*$M4674</f>
        <v>0</v>
      </c>
      <c r="V4674" s="28" t="n">
        <f aca="false">720/100</f>
        <v>7.2</v>
      </c>
      <c r="W4674" s="28" t="n">
        <v>1764</v>
      </c>
      <c r="X4674" s="28" t="n">
        <f aca="false">40366/100</f>
        <v>403.66</v>
      </c>
      <c r="Y4674" s="28" t="n">
        <v>98897</v>
      </c>
      <c r="Z4674" s="28"/>
      <c r="AA4674" s="28" t="n">
        <f aca="false">Z4674*$M4674</f>
        <v>0</v>
      </c>
      <c r="AB4674" s="28"/>
      <c r="AC4674" s="28" t="n">
        <f aca="false">AB4674*$M4674</f>
        <v>0</v>
      </c>
      <c r="AD4674" s="28"/>
      <c r="AE4674" s="28" t="n">
        <f aca="false">AD4674*$M4674</f>
        <v>0</v>
      </c>
      <c r="AF4674" s="28"/>
      <c r="AG4674" s="28" t="n">
        <f aca="false">AF4674*$M4674</f>
        <v>0</v>
      </c>
      <c r="AH4674" s="28" t="n">
        <f aca="false">83243/100</f>
        <v>832.43</v>
      </c>
      <c r="AI4674" s="28" t="n">
        <v>203945</v>
      </c>
      <c r="AJ4674" s="28"/>
      <c r="AK4674" s="28" t="n">
        <f aca="false">AJ4674*$M4674</f>
        <v>0</v>
      </c>
      <c r="AL4674" s="28"/>
      <c r="AM4674" s="28" t="n">
        <f aca="false">AL4674*$M4674</f>
        <v>0</v>
      </c>
      <c r="AN4674" s="28"/>
      <c r="AO4674" s="28" t="n">
        <f aca="false">AN4674*$M4674</f>
        <v>0</v>
      </c>
      <c r="AP4674" s="28"/>
      <c r="AQ4674" s="28" t="n">
        <f aca="false">AP4674*$M4674</f>
        <v>0</v>
      </c>
      <c r="AR4674" s="28"/>
      <c r="AS4674" s="28" t="n">
        <f aca="false">AR4674*$M4674</f>
        <v>0</v>
      </c>
      <c r="AT4674" s="28"/>
      <c r="AU4674" s="28" t="n">
        <f aca="false">AT4674*$M4674</f>
        <v>0</v>
      </c>
      <c r="AV4674" s="28"/>
      <c r="AW4674" s="28" t="n">
        <f aca="false">AV4674*$M4674</f>
        <v>0</v>
      </c>
      <c r="AX4674" s="28"/>
      <c r="AY4674" s="28" t="n">
        <f aca="false">AX4674*$M4674</f>
        <v>0</v>
      </c>
      <c r="AZ4674" s="30" t="n">
        <f aca="false">124329/100</f>
        <v>1243.29</v>
      </c>
      <c r="BA4674" s="11" t="n">
        <v>304606</v>
      </c>
      <c r="BB4674" s="31" t="n">
        <f aca="false">SUM(Q4674,S4674,U4674,W4674,Y4674,AA4674,AC4674,AE4674,AG4674,AI4674,AK4674,AM4674,AO4674,AQ4674,AS4674,AU4674,AW4674,AY4674)</f>
        <v>304606</v>
      </c>
      <c r="BC4674" s="28" t="n">
        <f aca="false">BA4674-BB4674</f>
        <v>0</v>
      </c>
      <c r="BD4674" s="32" t="n">
        <f aca="false">SUM(P4674,R4674,T4674,V4674,X4674,Z4674,AB4674,AD4674,AF4674,AH4674,AJ4674,AL4674,AN4674,AP4674,AR4674,AT4674,AV4674,AX4674)</f>
        <v>1243.29</v>
      </c>
      <c r="BE4674" s="33" t="n">
        <f aca="false">AZ4674-BD4674</f>
        <v>0</v>
      </c>
      <c r="BF4674" s="34" t="n">
        <f aca="false">BD4674*M4674</f>
        <v>304606.05</v>
      </c>
      <c r="BG4674" s="35" t="n">
        <f aca="false">BA4674-BF4674</f>
        <v>-0.0499999999883585</v>
      </c>
      <c r="BH4674" s="19" t="str">
        <f aca="false">IF(BG4674=0,"",IF(BG4674&lt;&gt;BA4674,"erreur de calcul",IF(BD4674&lt;&gt;0,"pas de prix",IF(M4674&lt;&gt; 0,"pas de quantité","pas de prix, ni de quantité"))))</f>
        <v>erreur de calcul</v>
      </c>
      <c r="BI4674" s="19"/>
    </row>
    <row r="4675" customFormat="false" ht="15" hidden="false" customHeight="false" outlineLevel="0" collapsed="false">
      <c r="A4675" s="0" t="n">
        <v>33</v>
      </c>
      <c r="B4675" s="8" t="s">
        <v>24</v>
      </c>
      <c r="C4675" s="9" t="s">
        <v>25</v>
      </c>
      <c r="D4675" s="9" t="s">
        <v>26</v>
      </c>
      <c r="E4675" s="10" t="n">
        <v>1789</v>
      </c>
      <c r="F4675" s="9" t="s">
        <v>27</v>
      </c>
      <c r="G4675" s="9" t="s">
        <v>27</v>
      </c>
      <c r="H4675" s="11" t="n">
        <v>21</v>
      </c>
      <c r="I4675" s="11" t="s">
        <v>186</v>
      </c>
      <c r="J4675" s="14" t="n">
        <v>240</v>
      </c>
      <c r="K4675" s="14"/>
      <c r="L4675" s="16"/>
      <c r="M4675" s="27" t="n">
        <f aca="false">J4675+(K4675/20)+(L4675/240)</f>
        <v>240</v>
      </c>
      <c r="N4675" s="17" t="s">
        <v>64</v>
      </c>
      <c r="O4675" s="11"/>
      <c r="P4675" s="28"/>
      <c r="Q4675" s="28" t="n">
        <f aca="false">P4675*$M4675</f>
        <v>0</v>
      </c>
      <c r="R4675" s="28"/>
      <c r="S4675" s="28" t="n">
        <f aca="false">R4675*$M4675</f>
        <v>0</v>
      </c>
      <c r="T4675" s="28"/>
      <c r="U4675" s="28" t="n">
        <f aca="false">T4675*$M4675</f>
        <v>0</v>
      </c>
      <c r="V4675" s="28"/>
      <c r="W4675" s="28" t="n">
        <f aca="false">V4675*$M4675</f>
        <v>0</v>
      </c>
      <c r="X4675" s="28"/>
      <c r="Y4675" s="28" t="n">
        <f aca="false">X4675*$M4675</f>
        <v>0</v>
      </c>
      <c r="Z4675" s="28"/>
      <c r="AA4675" s="28" t="n">
        <f aca="false">Z4675*$M4675</f>
        <v>0</v>
      </c>
      <c r="AB4675" s="28"/>
      <c r="AC4675" s="28" t="n">
        <f aca="false">AB4675*$M4675</f>
        <v>0</v>
      </c>
      <c r="AD4675" s="28"/>
      <c r="AE4675" s="28" t="n">
        <f aca="false">AD4675*$M4675</f>
        <v>0</v>
      </c>
      <c r="AF4675" s="28"/>
      <c r="AG4675" s="28" t="n">
        <f aca="false">AF4675*$M4675</f>
        <v>0</v>
      </c>
      <c r="AH4675" s="28" t="n">
        <f aca="false">803/100</f>
        <v>8.03</v>
      </c>
      <c r="AI4675" s="28" t="n">
        <v>1927</v>
      </c>
      <c r="AJ4675" s="28"/>
      <c r="AK4675" s="28" t="n">
        <f aca="false">AJ4675*$M4675</f>
        <v>0</v>
      </c>
      <c r="AL4675" s="28"/>
      <c r="AM4675" s="28" t="n">
        <f aca="false">AL4675*$M4675</f>
        <v>0</v>
      </c>
      <c r="AN4675" s="28"/>
      <c r="AO4675" s="28" t="n">
        <f aca="false">AN4675*$M4675</f>
        <v>0</v>
      </c>
      <c r="AP4675" s="28"/>
      <c r="AQ4675" s="28" t="n">
        <f aca="false">AP4675*$M4675</f>
        <v>0</v>
      </c>
      <c r="AR4675" s="28"/>
      <c r="AS4675" s="28" t="n">
        <f aca="false">AR4675*$M4675</f>
        <v>0</v>
      </c>
      <c r="AT4675" s="28"/>
      <c r="AU4675" s="28" t="n">
        <f aca="false">AT4675*$M4675</f>
        <v>0</v>
      </c>
      <c r="AV4675" s="28"/>
      <c r="AW4675" s="28" t="n">
        <f aca="false">AV4675*$M4675</f>
        <v>0</v>
      </c>
      <c r="AX4675" s="28"/>
      <c r="AY4675" s="28" t="n">
        <f aca="false">AX4675*$M4675</f>
        <v>0</v>
      </c>
      <c r="AZ4675" s="30" t="n">
        <f aca="false">803/100</f>
        <v>8.03</v>
      </c>
      <c r="BA4675" s="11" t="n">
        <v>1927</v>
      </c>
      <c r="BB4675" s="31" t="n">
        <f aca="false">SUM(Q4675,S4675,U4675,W4675,Y4675,AA4675,AC4675,AE4675,AG4675,AI4675,AK4675,AM4675,AO4675,AQ4675,AS4675,AU4675,AW4675,AY4675)</f>
        <v>1927</v>
      </c>
      <c r="BC4675" s="28" t="n">
        <f aca="false">BA4675-BB4675</f>
        <v>0</v>
      </c>
      <c r="BD4675" s="32" t="n">
        <f aca="false">SUM(P4675,R4675,T4675,V4675,X4675,Z4675,AB4675,AD4675,AF4675,AH4675,AJ4675,AL4675,AN4675,AP4675,AR4675,AT4675,AV4675,AX4675)</f>
        <v>8.03</v>
      </c>
      <c r="BE4675" s="33" t="n">
        <f aca="false">AZ4675-BD4675</f>
        <v>0</v>
      </c>
      <c r="BF4675" s="34" t="n">
        <f aca="false">BD4675*M4675</f>
        <v>1927.2</v>
      </c>
      <c r="BG4675" s="35" t="n">
        <f aca="false">BA4675-BF4675</f>
        <v>-0.199999999999818</v>
      </c>
      <c r="BH4675" s="19" t="str">
        <f aca="false">IF(BG4675=0,"",IF(BG4675&lt;&gt;BA4675,"erreur de calcul",IF(BD4675&lt;&gt;0,"pas de prix",IF(M4675&lt;&gt; 0,"pas de quantité","pas de prix, ni de quantité"))))</f>
        <v>erreur de calcul</v>
      </c>
      <c r="BI4675" s="19"/>
    </row>
    <row r="4676" customFormat="false" ht="15" hidden="false" customHeight="false" outlineLevel="0" collapsed="false">
      <c r="A4676" s="0" t="n">
        <v>34</v>
      </c>
      <c r="B4676" s="8" t="s">
        <v>24</v>
      </c>
      <c r="C4676" s="9" t="s">
        <v>25</v>
      </c>
      <c r="D4676" s="9" t="s">
        <v>26</v>
      </c>
      <c r="E4676" s="10" t="n">
        <v>1789</v>
      </c>
      <c r="F4676" s="9" t="s">
        <v>27</v>
      </c>
      <c r="G4676" s="9" t="s">
        <v>27</v>
      </c>
      <c r="H4676" s="11" t="n">
        <v>21</v>
      </c>
      <c r="I4676" s="11" t="s">
        <v>187</v>
      </c>
      <c r="J4676" s="14" t="n">
        <v>45</v>
      </c>
      <c r="K4676" s="14"/>
      <c r="L4676" s="16"/>
      <c r="M4676" s="27" t="n">
        <f aca="false">J4676+(K4676/20)+(L4676/240)</f>
        <v>45</v>
      </c>
      <c r="N4676" s="17" t="s">
        <v>64</v>
      </c>
      <c r="O4676" s="11"/>
      <c r="P4676" s="28" t="n">
        <f aca="false">8827/100</f>
        <v>88.27</v>
      </c>
      <c r="Q4676" s="28" t="n">
        <v>3972</v>
      </c>
      <c r="R4676" s="28"/>
      <c r="S4676" s="28" t="n">
        <f aca="false">R4676*$M4676</f>
        <v>0</v>
      </c>
      <c r="T4676" s="28"/>
      <c r="U4676" s="28" t="n">
        <f aca="false">T4676*$M4676</f>
        <v>0</v>
      </c>
      <c r="V4676" s="28" t="n">
        <f aca="false">8951/100</f>
        <v>89.51</v>
      </c>
      <c r="W4676" s="28" t="n">
        <v>4028</v>
      </c>
      <c r="X4676" s="28" t="n">
        <f aca="false">49106/100</f>
        <v>491.06</v>
      </c>
      <c r="Y4676" s="28" t="n">
        <v>22098</v>
      </c>
      <c r="Z4676" s="28"/>
      <c r="AA4676" s="28" t="n">
        <f aca="false">Z4676*$M4676</f>
        <v>0</v>
      </c>
      <c r="AB4676" s="28" t="n">
        <f aca="false">313412/100</f>
        <v>3134.12</v>
      </c>
      <c r="AC4676" s="28" t="n">
        <v>141035</v>
      </c>
      <c r="AD4676" s="28"/>
      <c r="AE4676" s="28" t="n">
        <f aca="false">AD4676*$M4676</f>
        <v>0</v>
      </c>
      <c r="AF4676" s="28"/>
      <c r="AG4676" s="28" t="n">
        <f aca="false">AF4676*$M4676</f>
        <v>0</v>
      </c>
      <c r="AH4676" s="28"/>
      <c r="AI4676" s="28" t="n">
        <f aca="false">AH4676*$M4676</f>
        <v>0</v>
      </c>
      <c r="AJ4676" s="28"/>
      <c r="AK4676" s="28" t="n">
        <f aca="false">AJ4676*$M4676</f>
        <v>0</v>
      </c>
      <c r="AL4676" s="28"/>
      <c r="AM4676" s="28" t="n">
        <f aca="false">AL4676*$M4676</f>
        <v>0</v>
      </c>
      <c r="AN4676" s="28"/>
      <c r="AO4676" s="28" t="n">
        <f aca="false">AN4676*$M4676</f>
        <v>0</v>
      </c>
      <c r="AP4676" s="28"/>
      <c r="AQ4676" s="28" t="n">
        <f aca="false">AP4676*$M4676</f>
        <v>0</v>
      </c>
      <c r="AR4676" s="28"/>
      <c r="AS4676" s="28" t="n">
        <f aca="false">AR4676*$M4676</f>
        <v>0</v>
      </c>
      <c r="AT4676" s="28"/>
      <c r="AU4676" s="28" t="n">
        <f aca="false">AT4676*$M4676</f>
        <v>0</v>
      </c>
      <c r="AV4676" s="28"/>
      <c r="AW4676" s="28" t="n">
        <f aca="false">AV4676*$M4676</f>
        <v>0</v>
      </c>
      <c r="AX4676" s="28"/>
      <c r="AY4676" s="28" t="n">
        <f aca="false">AX4676*$M4676</f>
        <v>0</v>
      </c>
      <c r="AZ4676" s="30" t="n">
        <f aca="false">380296/100</f>
        <v>3802.96</v>
      </c>
      <c r="BA4676" s="11" t="n">
        <v>171133</v>
      </c>
      <c r="BB4676" s="31" t="n">
        <f aca="false">SUM(Q4676,S4676,U4676,W4676,Y4676,AA4676,AC4676,AE4676,AG4676,AI4676,AK4676,AM4676,AO4676,AQ4676,AS4676,AU4676,AW4676,AY4676)</f>
        <v>171133</v>
      </c>
      <c r="BC4676" s="28" t="n">
        <f aca="false">BA4676-BB4676</f>
        <v>0</v>
      </c>
      <c r="BD4676" s="32" t="n">
        <f aca="false">SUM(P4676,R4676,T4676,V4676,X4676,Z4676,AB4676,AD4676,AF4676,AH4676,AJ4676,AL4676,AN4676,AP4676,AR4676,AT4676,AV4676,AX4676)</f>
        <v>3802.96</v>
      </c>
      <c r="BE4676" s="33" t="n">
        <f aca="false">AZ4676-BD4676</f>
        <v>0</v>
      </c>
      <c r="BF4676" s="34" t="n">
        <f aca="false">BD4676*M4676</f>
        <v>171133.2</v>
      </c>
      <c r="BG4676" s="35" t="n">
        <f aca="false">BA4676-BF4676</f>
        <v>-0.200000000011642</v>
      </c>
      <c r="BH4676" s="19" t="str">
        <f aca="false">IF(BG4676=0,"",IF(BG4676&lt;&gt;BA4676,"erreur de calcul",IF(BD4676&lt;&gt;0,"pas de prix",IF(M4676&lt;&gt; 0,"pas de quantité","pas de prix, ni de quantité"))))</f>
        <v>erreur de calcul</v>
      </c>
      <c r="BI4676" s="19"/>
    </row>
    <row r="4677" customFormat="false" ht="15" hidden="false" customHeight="false" outlineLevel="0" collapsed="false">
      <c r="A4677" s="0" t="n">
        <v>35</v>
      </c>
      <c r="B4677" s="8" t="s">
        <v>24</v>
      </c>
      <c r="C4677" s="9" t="s">
        <v>25</v>
      </c>
      <c r="D4677" s="9" t="s">
        <v>26</v>
      </c>
      <c r="E4677" s="10" t="n">
        <v>1789</v>
      </c>
      <c r="F4677" s="9" t="s">
        <v>27</v>
      </c>
      <c r="G4677" s="9" t="s">
        <v>27</v>
      </c>
      <c r="H4677" s="11" t="n">
        <v>21</v>
      </c>
      <c r="I4677" s="11" t="s">
        <v>188</v>
      </c>
      <c r="J4677" s="14" t="n">
        <v>60</v>
      </c>
      <c r="K4677" s="14"/>
      <c r="L4677" s="16"/>
      <c r="M4677" s="27" t="n">
        <f aca="false">J4677+(K4677/20)+(L4677/240)</f>
        <v>60</v>
      </c>
      <c r="N4677" s="17" t="s">
        <v>64</v>
      </c>
      <c r="O4677" s="11"/>
      <c r="P4677" s="28"/>
      <c r="Q4677" s="28" t="n">
        <f aca="false">P4677*$M4677</f>
        <v>0</v>
      </c>
      <c r="R4677" s="28"/>
      <c r="S4677" s="28" t="n">
        <f aca="false">R4677*$M4677</f>
        <v>0</v>
      </c>
      <c r="T4677" s="28"/>
      <c r="U4677" s="28" t="n">
        <f aca="false">T4677*$M4677</f>
        <v>0</v>
      </c>
      <c r="V4677" s="28"/>
      <c r="W4677" s="28" t="n">
        <f aca="false">V4677*$M4677</f>
        <v>0</v>
      </c>
      <c r="X4677" s="28"/>
      <c r="Y4677" s="28" t="n">
        <f aca="false">X4677*$M4677</f>
        <v>0</v>
      </c>
      <c r="Z4677" s="28"/>
      <c r="AA4677" s="28" t="n">
        <f aca="false">Z4677*$M4677</f>
        <v>0</v>
      </c>
      <c r="AB4677" s="28"/>
      <c r="AC4677" s="28" t="n">
        <f aca="false">AB4677*$M4677</f>
        <v>0</v>
      </c>
      <c r="AD4677" s="28"/>
      <c r="AE4677" s="28" t="n">
        <f aca="false">AD4677*$M4677</f>
        <v>0</v>
      </c>
      <c r="AF4677" s="28"/>
      <c r="AG4677" s="28" t="n">
        <f aca="false">AF4677*$M4677</f>
        <v>0</v>
      </c>
      <c r="AH4677" s="28" t="n">
        <f aca="false">6391/100</f>
        <v>63.91</v>
      </c>
      <c r="AI4677" s="28" t="n">
        <v>3835</v>
      </c>
      <c r="AJ4677" s="28"/>
      <c r="AK4677" s="28" t="n">
        <f aca="false">AJ4677*$M4677</f>
        <v>0</v>
      </c>
      <c r="AL4677" s="28"/>
      <c r="AM4677" s="28" t="n">
        <f aca="false">AL4677*$M4677</f>
        <v>0</v>
      </c>
      <c r="AN4677" s="28"/>
      <c r="AO4677" s="28" t="n">
        <f aca="false">AN4677*$M4677</f>
        <v>0</v>
      </c>
      <c r="AP4677" s="28"/>
      <c r="AQ4677" s="28" t="n">
        <f aca="false">AP4677*$M4677</f>
        <v>0</v>
      </c>
      <c r="AR4677" s="28"/>
      <c r="AS4677" s="28" t="n">
        <f aca="false">AR4677*$M4677</f>
        <v>0</v>
      </c>
      <c r="AT4677" s="28"/>
      <c r="AU4677" s="28" t="n">
        <f aca="false">AT4677*$M4677</f>
        <v>0</v>
      </c>
      <c r="AV4677" s="28"/>
      <c r="AW4677" s="28" t="n">
        <f aca="false">AV4677*$M4677</f>
        <v>0</v>
      </c>
      <c r="AX4677" s="28"/>
      <c r="AY4677" s="28" t="n">
        <f aca="false">AX4677*$M4677</f>
        <v>0</v>
      </c>
      <c r="AZ4677" s="30" t="n">
        <f aca="false">6391/100</f>
        <v>63.91</v>
      </c>
      <c r="BA4677" s="11" t="n">
        <v>3835</v>
      </c>
      <c r="BB4677" s="31" t="n">
        <f aca="false">SUM(Q4677,S4677,U4677,W4677,Y4677,AA4677,AC4677,AE4677,AG4677,AI4677,AK4677,AM4677,AO4677,AQ4677,AS4677,AU4677,AW4677,AY4677)</f>
        <v>3835</v>
      </c>
      <c r="BC4677" s="28" t="n">
        <f aca="false">BA4677-BB4677</f>
        <v>0</v>
      </c>
      <c r="BD4677" s="32" t="n">
        <f aca="false">SUM(P4677,R4677,T4677,V4677,X4677,Z4677,AB4677,AD4677,AF4677,AH4677,AJ4677,AL4677,AN4677,AP4677,AR4677,AT4677,AV4677,AX4677)</f>
        <v>63.91</v>
      </c>
      <c r="BE4677" s="33" t="n">
        <f aca="false">AZ4677-BD4677</f>
        <v>0</v>
      </c>
      <c r="BF4677" s="34" t="n">
        <f aca="false">BD4677*M4677</f>
        <v>3834.6</v>
      </c>
      <c r="BG4677" s="35" t="n">
        <f aca="false">BA4677-BF4677</f>
        <v>0.400000000000091</v>
      </c>
      <c r="BH4677" s="19" t="str">
        <f aca="false">IF(BG4677=0,"",IF(BG4677&lt;&gt;BA4677,"erreur de calcul",IF(BD4677&lt;&gt;0,"pas de prix",IF(M4677&lt;&gt; 0,"pas de quantité","pas de prix, ni de quantité"))))</f>
        <v>erreur de calcul</v>
      </c>
      <c r="BI4677" s="19"/>
    </row>
    <row r="4678" customFormat="false" ht="15" hidden="false" customHeight="false" outlineLevel="0" collapsed="false">
      <c r="A4678" s="0" t="n">
        <v>36</v>
      </c>
      <c r="B4678" s="8" t="s">
        <v>24</v>
      </c>
      <c r="C4678" s="9" t="s">
        <v>25</v>
      </c>
      <c r="D4678" s="9" t="s">
        <v>26</v>
      </c>
      <c r="E4678" s="10" t="n">
        <v>1789</v>
      </c>
      <c r="F4678" s="9" t="s">
        <v>27</v>
      </c>
      <c r="G4678" s="9" t="s">
        <v>27</v>
      </c>
      <c r="H4678" s="11" t="n">
        <v>21</v>
      </c>
      <c r="I4678" s="11" t="s">
        <v>189</v>
      </c>
      <c r="J4678" s="14" t="n">
        <v>30</v>
      </c>
      <c r="K4678" s="14"/>
      <c r="L4678" s="16"/>
      <c r="M4678" s="27" t="n">
        <f aca="false">J4678+(K4678/20)+(L4678/240)</f>
        <v>30</v>
      </c>
      <c r="N4678" s="17" t="s">
        <v>66</v>
      </c>
      <c r="O4678" s="11"/>
      <c r="P4678" s="28"/>
      <c r="Q4678" s="28" t="n">
        <f aca="false">P4678*$M4678</f>
        <v>0</v>
      </c>
      <c r="R4678" s="28"/>
      <c r="S4678" s="28" t="n">
        <f aca="false">R4678*$M4678</f>
        <v>0</v>
      </c>
      <c r="T4678" s="28"/>
      <c r="U4678" s="28" t="n">
        <f aca="false">T4678*$M4678</f>
        <v>0</v>
      </c>
      <c r="V4678" s="28" t="n">
        <v>146</v>
      </c>
      <c r="W4678" s="28" t="n">
        <v>4380</v>
      </c>
      <c r="X4678" s="28"/>
      <c r="Y4678" s="28" t="n">
        <f aca="false">X4678*$M4678</f>
        <v>0</v>
      </c>
      <c r="Z4678" s="28"/>
      <c r="AA4678" s="28" t="n">
        <f aca="false">Z4678*$M4678</f>
        <v>0</v>
      </c>
      <c r="AB4678" s="28"/>
      <c r="AC4678" s="28" t="n">
        <f aca="false">AB4678*$M4678</f>
        <v>0</v>
      </c>
      <c r="AD4678" s="28"/>
      <c r="AE4678" s="28" t="n">
        <f aca="false">AD4678*$M4678</f>
        <v>0</v>
      </c>
      <c r="AF4678" s="28"/>
      <c r="AG4678" s="28" t="n">
        <f aca="false">AF4678*$M4678</f>
        <v>0</v>
      </c>
      <c r="AH4678" s="28"/>
      <c r="AI4678" s="28" t="n">
        <f aca="false">AH4678*$M4678</f>
        <v>0</v>
      </c>
      <c r="AJ4678" s="28"/>
      <c r="AK4678" s="28" t="n">
        <f aca="false">AJ4678*$M4678</f>
        <v>0</v>
      </c>
      <c r="AL4678" s="28"/>
      <c r="AM4678" s="28" t="n">
        <f aca="false">AL4678*$M4678</f>
        <v>0</v>
      </c>
      <c r="AN4678" s="28"/>
      <c r="AO4678" s="28" t="n">
        <f aca="false">AN4678*$M4678</f>
        <v>0</v>
      </c>
      <c r="AP4678" s="28"/>
      <c r="AQ4678" s="28" t="n">
        <f aca="false">AP4678*$M4678</f>
        <v>0</v>
      </c>
      <c r="AR4678" s="28"/>
      <c r="AS4678" s="28" t="n">
        <f aca="false">AR4678*$M4678</f>
        <v>0</v>
      </c>
      <c r="AT4678" s="28"/>
      <c r="AU4678" s="28" t="n">
        <f aca="false">AT4678*$M4678</f>
        <v>0</v>
      </c>
      <c r="AV4678" s="28"/>
      <c r="AW4678" s="28" t="n">
        <f aca="false">AV4678*$M4678</f>
        <v>0</v>
      </c>
      <c r="AX4678" s="28"/>
      <c r="AY4678" s="28" t="n">
        <f aca="false">AX4678*$M4678</f>
        <v>0</v>
      </c>
      <c r="AZ4678" s="30" t="n">
        <v>146</v>
      </c>
      <c r="BA4678" s="11" t="n">
        <v>4380</v>
      </c>
      <c r="BB4678" s="31" t="n">
        <f aca="false">SUM(Q4678,S4678,U4678,W4678,Y4678,AA4678,AC4678,AE4678,AG4678,AI4678,AK4678,AM4678,AO4678,AQ4678,AS4678,AU4678,AW4678,AY4678)</f>
        <v>4380</v>
      </c>
      <c r="BC4678" s="28" t="n">
        <f aca="false">BA4678-BB4678</f>
        <v>0</v>
      </c>
      <c r="BD4678" s="32" t="n">
        <f aca="false">SUM(P4678,R4678,T4678,V4678,X4678,Z4678,AB4678,AD4678,AF4678,AH4678,AJ4678,AL4678,AN4678,AP4678,AR4678,AT4678,AV4678,AX4678)</f>
        <v>146</v>
      </c>
      <c r="BE4678" s="33" t="n">
        <f aca="false">AZ4678-BD4678</f>
        <v>0</v>
      </c>
      <c r="BF4678" s="34" t="n">
        <f aca="false">BD4678*M4678</f>
        <v>4380</v>
      </c>
      <c r="BG4678" s="35" t="n">
        <f aca="false">BA4678-BF4678</f>
        <v>0</v>
      </c>
      <c r="BH4678" s="19" t="str">
        <f aca="false">IF(BG4678=0,"",IF(BG4678&lt;&gt;BA4678,"erreur de calcul",IF(BD4678&lt;&gt;0,"pas de prix",IF(M4678&lt;&gt; 0,"pas de quantité","pas de prix, ni de quantité"))))</f>
        <v/>
      </c>
      <c r="BI4678" s="19"/>
    </row>
    <row r="4679" customFormat="false" ht="15" hidden="false" customHeight="false" outlineLevel="0" collapsed="false">
      <c r="A4679" s="0" t="n">
        <v>37</v>
      </c>
      <c r="B4679" s="8" t="s">
        <v>24</v>
      </c>
      <c r="C4679" s="9" t="s">
        <v>25</v>
      </c>
      <c r="D4679" s="9" t="s">
        <v>26</v>
      </c>
      <c r="E4679" s="10" t="n">
        <v>1789</v>
      </c>
      <c r="F4679" s="9" t="s">
        <v>27</v>
      </c>
      <c r="G4679" s="9" t="s">
        <v>27</v>
      </c>
      <c r="H4679" s="11" t="n">
        <v>21</v>
      </c>
      <c r="I4679" s="11" t="s">
        <v>190</v>
      </c>
      <c r="J4679" s="14" t="n">
        <v>3</v>
      </c>
      <c r="K4679" s="14"/>
      <c r="L4679" s="16"/>
      <c r="M4679" s="27" t="n">
        <f aca="false">J4679+(K4679/20)+(L4679/240)</f>
        <v>3</v>
      </c>
      <c r="N4679" s="17" t="s">
        <v>66</v>
      </c>
      <c r="O4679" s="11"/>
      <c r="P4679" s="28"/>
      <c r="Q4679" s="28" t="n">
        <f aca="false">P4679*$M4679</f>
        <v>0</v>
      </c>
      <c r="R4679" s="28"/>
      <c r="S4679" s="28" t="n">
        <f aca="false">R4679*$M4679</f>
        <v>0</v>
      </c>
      <c r="T4679" s="28"/>
      <c r="U4679" s="28" t="n">
        <f aca="false">T4679*$M4679</f>
        <v>0</v>
      </c>
      <c r="V4679" s="28" t="n">
        <v>284</v>
      </c>
      <c r="W4679" s="28" t="n">
        <v>852</v>
      </c>
      <c r="X4679" s="28" t="n">
        <v>8028</v>
      </c>
      <c r="Y4679" s="28" t="n">
        <v>24084</v>
      </c>
      <c r="Z4679" s="28"/>
      <c r="AA4679" s="28" t="n">
        <f aca="false">Z4679*$M4679</f>
        <v>0</v>
      </c>
      <c r="AB4679" s="28"/>
      <c r="AC4679" s="28" t="n">
        <f aca="false">AB4679*$M4679</f>
        <v>0</v>
      </c>
      <c r="AD4679" s="28"/>
      <c r="AE4679" s="28" t="n">
        <f aca="false">AD4679*$M4679</f>
        <v>0</v>
      </c>
      <c r="AF4679" s="28"/>
      <c r="AG4679" s="28" t="n">
        <f aca="false">AF4679*$M4679</f>
        <v>0</v>
      </c>
      <c r="AH4679" s="28"/>
      <c r="AI4679" s="28" t="n">
        <f aca="false">AH4679*$M4679</f>
        <v>0</v>
      </c>
      <c r="AJ4679" s="28"/>
      <c r="AK4679" s="28" t="n">
        <f aca="false">AJ4679*$M4679</f>
        <v>0</v>
      </c>
      <c r="AL4679" s="28" t="n">
        <v>2127</v>
      </c>
      <c r="AM4679" s="28" t="n">
        <v>6381</v>
      </c>
      <c r="AN4679" s="28"/>
      <c r="AO4679" s="28" t="n">
        <f aca="false">AN4679*$M4679</f>
        <v>0</v>
      </c>
      <c r="AP4679" s="28"/>
      <c r="AQ4679" s="28" t="n">
        <f aca="false">AP4679*$M4679</f>
        <v>0</v>
      </c>
      <c r="AR4679" s="28"/>
      <c r="AS4679" s="28" t="n">
        <f aca="false">AR4679*$M4679</f>
        <v>0</v>
      </c>
      <c r="AT4679" s="28"/>
      <c r="AU4679" s="28" t="n">
        <f aca="false">AT4679*$M4679</f>
        <v>0</v>
      </c>
      <c r="AV4679" s="28"/>
      <c r="AW4679" s="28" t="n">
        <f aca="false">AV4679*$M4679</f>
        <v>0</v>
      </c>
      <c r="AX4679" s="28"/>
      <c r="AY4679" s="28" t="n">
        <f aca="false">AX4679*$M4679</f>
        <v>0</v>
      </c>
      <c r="AZ4679" s="30" t="n">
        <v>10439</v>
      </c>
      <c r="BA4679" s="11" t="n">
        <v>31317</v>
      </c>
      <c r="BB4679" s="31" t="n">
        <f aca="false">SUM(Q4679,S4679,U4679,W4679,Y4679,AA4679,AC4679,AE4679,AG4679,AI4679,AK4679,AM4679,AO4679,AQ4679,AS4679,AU4679,AW4679,AY4679)</f>
        <v>31317</v>
      </c>
      <c r="BC4679" s="28" t="n">
        <f aca="false">BA4679-BB4679</f>
        <v>0</v>
      </c>
      <c r="BD4679" s="32" t="n">
        <f aca="false">SUM(P4679,R4679,T4679,V4679,X4679,Z4679,AB4679,AD4679,AF4679,AH4679,AJ4679,AL4679,AN4679,AP4679,AR4679,AT4679,AV4679,AX4679)</f>
        <v>10439</v>
      </c>
      <c r="BE4679" s="33" t="n">
        <f aca="false">AZ4679-BD4679</f>
        <v>0</v>
      </c>
      <c r="BF4679" s="34" t="n">
        <f aca="false">BD4679*M4679</f>
        <v>31317</v>
      </c>
      <c r="BG4679" s="35" t="n">
        <f aca="false">BA4679-BF4679</f>
        <v>0</v>
      </c>
      <c r="BH4679" s="19" t="str">
        <f aca="false">IF(BG4679=0,"",IF(BG4679&lt;&gt;BA4679,"erreur de calcul",IF(BD4679&lt;&gt;0,"pas de prix",IF(M4679&lt;&gt; 0,"pas de quantité","pas de prix, ni de quantité"))))</f>
        <v/>
      </c>
      <c r="BI4679" s="19"/>
    </row>
    <row r="4680" customFormat="false" ht="15" hidden="false" customHeight="false" outlineLevel="0" collapsed="false">
      <c r="A4680" s="0" t="n">
        <v>38</v>
      </c>
      <c r="B4680" s="8" t="s">
        <v>24</v>
      </c>
      <c r="C4680" s="9" t="s">
        <v>25</v>
      </c>
      <c r="D4680" s="9" t="s">
        <v>26</v>
      </c>
      <c r="E4680" s="10" t="n">
        <v>1789</v>
      </c>
      <c r="F4680" s="9" t="s">
        <v>27</v>
      </c>
      <c r="G4680" s="9" t="s">
        <v>27</v>
      </c>
      <c r="H4680" s="11" t="n">
        <v>21</v>
      </c>
      <c r="I4680" s="11" t="s">
        <v>191</v>
      </c>
      <c r="J4680" s="14" t="n">
        <v>25</v>
      </c>
      <c r="K4680" s="14"/>
      <c r="L4680" s="16"/>
      <c r="M4680" s="27" t="n">
        <f aca="false">J4680+(K4680/20)+(L4680/240)</f>
        <v>25</v>
      </c>
      <c r="N4680" s="17" t="s">
        <v>64</v>
      </c>
      <c r="O4680" s="11"/>
      <c r="P4680" s="28"/>
      <c r="Q4680" s="28" t="n">
        <f aca="false">P4680*$M4680</f>
        <v>0</v>
      </c>
      <c r="R4680" s="28"/>
      <c r="S4680" s="28" t="n">
        <f aca="false">R4680*$M4680</f>
        <v>0</v>
      </c>
      <c r="T4680" s="28"/>
      <c r="U4680" s="28" t="n">
        <f aca="false">T4680*$M4680</f>
        <v>0</v>
      </c>
      <c r="V4680" s="28"/>
      <c r="W4680" s="28" t="n">
        <f aca="false">V4680*$M4680</f>
        <v>0</v>
      </c>
      <c r="X4680" s="28" t="n">
        <f aca="false">5034/100</f>
        <v>50.34</v>
      </c>
      <c r="Y4680" s="28" t="n">
        <v>1258</v>
      </c>
      <c r="Z4680" s="28"/>
      <c r="AA4680" s="28" t="n">
        <f aca="false">Z4680*$M4680</f>
        <v>0</v>
      </c>
      <c r="AB4680" s="28"/>
      <c r="AC4680" s="28" t="n">
        <f aca="false">AB4680*$M4680</f>
        <v>0</v>
      </c>
      <c r="AD4680" s="28"/>
      <c r="AE4680" s="28" t="n">
        <f aca="false">AD4680*$M4680</f>
        <v>0</v>
      </c>
      <c r="AF4680" s="28"/>
      <c r="AG4680" s="28" t="n">
        <f aca="false">AF4680*$M4680</f>
        <v>0</v>
      </c>
      <c r="AH4680" s="28"/>
      <c r="AI4680" s="28" t="n">
        <f aca="false">AH4680*$M4680</f>
        <v>0</v>
      </c>
      <c r="AJ4680" s="28" t="n">
        <f aca="false">1375/100</f>
        <v>13.75</v>
      </c>
      <c r="AK4680" s="28" t="n">
        <v>344</v>
      </c>
      <c r="AL4680" s="28" t="n">
        <f aca="false">6710/100</f>
        <v>67.1</v>
      </c>
      <c r="AM4680" s="28" t="n">
        <v>1677</v>
      </c>
      <c r="AN4680" s="28"/>
      <c r="AO4680" s="28" t="n">
        <f aca="false">AN4680*$M4680</f>
        <v>0</v>
      </c>
      <c r="AP4680" s="28"/>
      <c r="AQ4680" s="28" t="n">
        <f aca="false">AP4680*$M4680</f>
        <v>0</v>
      </c>
      <c r="AR4680" s="28"/>
      <c r="AS4680" s="28" t="n">
        <f aca="false">AR4680*$M4680</f>
        <v>0</v>
      </c>
      <c r="AT4680" s="28"/>
      <c r="AU4680" s="28" t="n">
        <f aca="false">AT4680*$M4680</f>
        <v>0</v>
      </c>
      <c r="AV4680" s="28"/>
      <c r="AW4680" s="28" t="n">
        <f aca="false">AV4680*$M4680</f>
        <v>0</v>
      </c>
      <c r="AX4680" s="28"/>
      <c r="AY4680" s="28" t="n">
        <f aca="false">AX4680*$M4680</f>
        <v>0</v>
      </c>
      <c r="AZ4680" s="30" t="n">
        <f aca="false">13119/100</f>
        <v>131.19</v>
      </c>
      <c r="BA4680" s="11" t="n">
        <v>3279</v>
      </c>
      <c r="BB4680" s="31" t="n">
        <f aca="false">SUM(Q4680,S4680,U4680,W4680,Y4680,AA4680,AC4680,AE4680,AG4680,AI4680,AK4680,AM4680,AO4680,AQ4680,AS4680,AU4680,AW4680,AY4680)</f>
        <v>3279</v>
      </c>
      <c r="BC4680" s="28" t="n">
        <f aca="false">BA4680-BB4680</f>
        <v>0</v>
      </c>
      <c r="BD4680" s="32" t="n">
        <f aca="false">SUM(P4680,R4680,T4680,V4680,X4680,Z4680,AB4680,AD4680,AF4680,AH4680,AJ4680,AL4680,AN4680,AP4680,AR4680,AT4680,AV4680,AX4680)</f>
        <v>131.19</v>
      </c>
      <c r="BE4680" s="33" t="n">
        <f aca="false">AZ4680-BD4680</f>
        <v>0</v>
      </c>
      <c r="BF4680" s="34" t="n">
        <f aca="false">BD4680*M4680</f>
        <v>3279.75</v>
      </c>
      <c r="BG4680" s="35" t="n">
        <f aca="false">BA4680-BF4680</f>
        <v>-0.75</v>
      </c>
      <c r="BH4680" s="19" t="str">
        <f aca="false">IF(BG4680=0,"",IF(BG4680&lt;&gt;BA4680,"erreur de calcul",IF(BD4680&lt;&gt;0,"pas de prix",IF(M4680&lt;&gt; 0,"pas de quantité","pas de prix, ni de quantité"))))</f>
        <v>erreur de calcul</v>
      </c>
      <c r="BI4680" s="19"/>
    </row>
    <row r="4681" customFormat="false" ht="15" hidden="false" customHeight="false" outlineLevel="0" collapsed="false">
      <c r="A4681" s="0" t="n">
        <v>39</v>
      </c>
      <c r="B4681" s="8" t="s">
        <v>24</v>
      </c>
      <c r="C4681" s="9" t="s">
        <v>25</v>
      </c>
      <c r="D4681" s="9" t="s">
        <v>26</v>
      </c>
      <c r="E4681" s="10" t="n">
        <v>1789</v>
      </c>
      <c r="F4681" s="9" t="s">
        <v>27</v>
      </c>
      <c r="G4681" s="9" t="s">
        <v>27</v>
      </c>
      <c r="H4681" s="11" t="n">
        <v>21</v>
      </c>
      <c r="I4681" s="11" t="s">
        <v>192</v>
      </c>
      <c r="J4681" s="14" t="n">
        <v>25</v>
      </c>
      <c r="K4681" s="14"/>
      <c r="L4681" s="16"/>
      <c r="M4681" s="27" t="n">
        <f aca="false">J4681+(K4681/20)+(L4681/240)</f>
        <v>25</v>
      </c>
      <c r="N4681" s="17" t="s">
        <v>64</v>
      </c>
      <c r="O4681" s="11"/>
      <c r="P4681" s="28"/>
      <c r="Q4681" s="28" t="n">
        <f aca="false">P4681*$M4681</f>
        <v>0</v>
      </c>
      <c r="R4681" s="28"/>
      <c r="S4681" s="28" t="n">
        <f aca="false">R4681*$M4681</f>
        <v>0</v>
      </c>
      <c r="T4681" s="28"/>
      <c r="U4681" s="28" t="n">
        <f aca="false">T4681*$M4681</f>
        <v>0</v>
      </c>
      <c r="V4681" s="28"/>
      <c r="W4681" s="28" t="n">
        <f aca="false">V4681*$M4681</f>
        <v>0</v>
      </c>
      <c r="X4681" s="28" t="n">
        <f aca="false">5561/100</f>
        <v>55.61</v>
      </c>
      <c r="Y4681" s="28" t="n">
        <v>1390</v>
      </c>
      <c r="Z4681" s="28"/>
      <c r="AA4681" s="28" t="n">
        <f aca="false">Z4681*$M4681</f>
        <v>0</v>
      </c>
      <c r="AB4681" s="28"/>
      <c r="AC4681" s="28" t="n">
        <f aca="false">AB4681*$M4681</f>
        <v>0</v>
      </c>
      <c r="AD4681" s="28"/>
      <c r="AE4681" s="28" t="n">
        <f aca="false">AD4681*$M4681</f>
        <v>0</v>
      </c>
      <c r="AF4681" s="28"/>
      <c r="AG4681" s="28" t="n">
        <f aca="false">AF4681*$M4681</f>
        <v>0</v>
      </c>
      <c r="AH4681" s="28"/>
      <c r="AI4681" s="28" t="n">
        <f aca="false">AH4681*$M4681</f>
        <v>0</v>
      </c>
      <c r="AJ4681" s="28"/>
      <c r="AK4681" s="28" t="n">
        <f aca="false">AJ4681*$M4681</f>
        <v>0</v>
      </c>
      <c r="AL4681" s="28"/>
      <c r="AM4681" s="28" t="n">
        <f aca="false">AL4681*$M4681</f>
        <v>0</v>
      </c>
      <c r="AN4681" s="28"/>
      <c r="AO4681" s="28" t="n">
        <f aca="false">AN4681*$M4681</f>
        <v>0</v>
      </c>
      <c r="AP4681" s="28"/>
      <c r="AQ4681" s="28" t="n">
        <f aca="false">AP4681*$M4681</f>
        <v>0</v>
      </c>
      <c r="AR4681" s="28"/>
      <c r="AS4681" s="28" t="n">
        <f aca="false">AR4681*$M4681</f>
        <v>0</v>
      </c>
      <c r="AT4681" s="28"/>
      <c r="AU4681" s="28" t="n">
        <f aca="false">AT4681*$M4681</f>
        <v>0</v>
      </c>
      <c r="AV4681" s="28"/>
      <c r="AW4681" s="28" t="n">
        <f aca="false">AV4681*$M4681</f>
        <v>0</v>
      </c>
      <c r="AX4681" s="28"/>
      <c r="AY4681" s="28" t="n">
        <f aca="false">AX4681*$M4681</f>
        <v>0</v>
      </c>
      <c r="AZ4681" s="30" t="n">
        <f aca="false">5561/100</f>
        <v>55.61</v>
      </c>
      <c r="BA4681" s="11" t="n">
        <v>1390</v>
      </c>
      <c r="BB4681" s="31" t="n">
        <f aca="false">SUM(Q4681,S4681,U4681,W4681,Y4681,AA4681,AC4681,AE4681,AG4681,AI4681,AK4681,AM4681,AO4681,AQ4681,AS4681,AU4681,AW4681,AY4681)</f>
        <v>1390</v>
      </c>
      <c r="BC4681" s="28" t="n">
        <f aca="false">BA4681-BB4681</f>
        <v>0</v>
      </c>
      <c r="BD4681" s="32" t="n">
        <f aca="false">SUM(P4681,R4681,T4681,V4681,X4681,Z4681,AB4681,AD4681,AF4681,AH4681,AJ4681,AL4681,AN4681,AP4681,AR4681,AT4681,AV4681,AX4681)</f>
        <v>55.61</v>
      </c>
      <c r="BE4681" s="33" t="n">
        <f aca="false">AZ4681-BD4681</f>
        <v>0</v>
      </c>
      <c r="BF4681" s="34" t="n">
        <f aca="false">BD4681*M4681</f>
        <v>1390.25</v>
      </c>
      <c r="BG4681" s="35" t="n">
        <f aca="false">BA4681-BF4681</f>
        <v>-0.25</v>
      </c>
      <c r="BH4681" s="19" t="str">
        <f aca="false">IF(BG4681=0,"",IF(BG4681&lt;&gt;BA4681,"erreur de calcul",IF(BD4681&lt;&gt;0,"pas de prix",IF(M4681&lt;&gt; 0,"pas de quantité","pas de prix, ni de quantité"))))</f>
        <v>erreur de calcul</v>
      </c>
      <c r="BI4681" s="19"/>
    </row>
    <row r="4682" customFormat="false" ht="15" hidden="false" customHeight="false" outlineLevel="0" collapsed="false">
      <c r="A4682" s="0" t="n">
        <v>40</v>
      </c>
      <c r="B4682" s="8" t="s">
        <v>24</v>
      </c>
      <c r="C4682" s="9" t="s">
        <v>25</v>
      </c>
      <c r="D4682" s="9" t="s">
        <v>26</v>
      </c>
      <c r="E4682" s="10" t="n">
        <v>1789</v>
      </c>
      <c r="F4682" s="9" t="s">
        <v>27</v>
      </c>
      <c r="G4682" s="9" t="s">
        <v>27</v>
      </c>
      <c r="H4682" s="11" t="n">
        <v>21</v>
      </c>
      <c r="I4682" s="11" t="s">
        <v>193</v>
      </c>
      <c r="J4682" s="14" t="n">
        <v>168</v>
      </c>
      <c r="K4682" s="14"/>
      <c r="L4682" s="16"/>
      <c r="M4682" s="27" t="n">
        <f aca="false">J4682+(K4682/20)+(L4682/240)</f>
        <v>168</v>
      </c>
      <c r="N4682" s="17" t="s">
        <v>64</v>
      </c>
      <c r="O4682" s="11"/>
      <c r="P4682" s="28"/>
      <c r="Q4682" s="28" t="n">
        <f aca="false">P4682*$M4682</f>
        <v>0</v>
      </c>
      <c r="R4682" s="28"/>
      <c r="S4682" s="28" t="n">
        <f aca="false">R4682*$M4682</f>
        <v>0</v>
      </c>
      <c r="T4682" s="28"/>
      <c r="U4682" s="28" t="n">
        <f aca="false">T4682*$M4682</f>
        <v>0</v>
      </c>
      <c r="V4682" s="28"/>
      <c r="W4682" s="28" t="n">
        <f aca="false">V4682*$M4682</f>
        <v>0</v>
      </c>
      <c r="X4682" s="28"/>
      <c r="Y4682" s="28" t="n">
        <f aca="false">X4682*$M4682</f>
        <v>0</v>
      </c>
      <c r="Z4682" s="28"/>
      <c r="AA4682" s="28" t="n">
        <f aca="false">Z4682*$M4682</f>
        <v>0</v>
      </c>
      <c r="AB4682" s="28"/>
      <c r="AC4682" s="28" t="n">
        <f aca="false">AB4682*$M4682</f>
        <v>0</v>
      </c>
      <c r="AD4682" s="28"/>
      <c r="AE4682" s="28" t="n">
        <f aca="false">AD4682*$M4682</f>
        <v>0</v>
      </c>
      <c r="AF4682" s="28"/>
      <c r="AG4682" s="28" t="n">
        <f aca="false">AF4682*$M4682</f>
        <v>0</v>
      </c>
      <c r="AH4682" s="28" t="n">
        <f aca="false">14590/100</f>
        <v>145.9</v>
      </c>
      <c r="AI4682" s="28" t="n">
        <v>24511</v>
      </c>
      <c r="AJ4682" s="28"/>
      <c r="AK4682" s="28" t="n">
        <f aca="false">AJ4682*$M4682</f>
        <v>0</v>
      </c>
      <c r="AL4682" s="28"/>
      <c r="AM4682" s="28" t="n">
        <f aca="false">AL4682*$M4682</f>
        <v>0</v>
      </c>
      <c r="AN4682" s="28"/>
      <c r="AO4682" s="28" t="n">
        <f aca="false">AN4682*$M4682</f>
        <v>0</v>
      </c>
      <c r="AP4682" s="28"/>
      <c r="AQ4682" s="28" t="n">
        <f aca="false">AP4682*$M4682</f>
        <v>0</v>
      </c>
      <c r="AR4682" s="28"/>
      <c r="AS4682" s="28" t="n">
        <f aca="false">AR4682*$M4682</f>
        <v>0</v>
      </c>
      <c r="AT4682" s="28"/>
      <c r="AU4682" s="28" t="n">
        <f aca="false">AT4682*$M4682</f>
        <v>0</v>
      </c>
      <c r="AV4682" s="28"/>
      <c r="AW4682" s="28" t="n">
        <f aca="false">AV4682*$M4682</f>
        <v>0</v>
      </c>
      <c r="AX4682" s="28"/>
      <c r="AY4682" s="28" t="n">
        <f aca="false">AX4682*$M4682</f>
        <v>0</v>
      </c>
      <c r="AZ4682" s="30" t="n">
        <f aca="false">14590/100</f>
        <v>145.9</v>
      </c>
      <c r="BA4682" s="11" t="n">
        <v>24511</v>
      </c>
      <c r="BB4682" s="31" t="n">
        <f aca="false">SUM(Q4682,S4682,U4682,W4682,Y4682,AA4682,AC4682,AE4682,AG4682,AI4682,AK4682,AM4682,AO4682,AQ4682,AS4682,AU4682,AW4682,AY4682)</f>
        <v>24511</v>
      </c>
      <c r="BC4682" s="28" t="n">
        <f aca="false">BA4682-BB4682</f>
        <v>0</v>
      </c>
      <c r="BD4682" s="32" t="n">
        <f aca="false">SUM(P4682,R4682,T4682,V4682,X4682,Z4682,AB4682,AD4682,AF4682,AH4682,AJ4682,AL4682,AN4682,AP4682,AR4682,AT4682,AV4682,AX4682)</f>
        <v>145.9</v>
      </c>
      <c r="BE4682" s="33" t="n">
        <f aca="false">AZ4682-BD4682</f>
        <v>0</v>
      </c>
      <c r="BF4682" s="34" t="n">
        <f aca="false">BD4682*M4682</f>
        <v>24511.2</v>
      </c>
      <c r="BG4682" s="35" t="n">
        <f aca="false">BA4682-BF4682</f>
        <v>-0.200000000000728</v>
      </c>
      <c r="BH4682" s="19" t="str">
        <f aca="false">IF(BG4682=0,"",IF(BG4682&lt;&gt;BA4682,"erreur de calcul",IF(BD4682&lt;&gt;0,"pas de prix",IF(M4682&lt;&gt; 0,"pas de quantité","pas de prix, ni de quantité"))))</f>
        <v>erreur de calcul</v>
      </c>
      <c r="BI4682" s="19"/>
    </row>
    <row r="4683" customFormat="false" ht="15" hidden="false" customHeight="false" outlineLevel="0" collapsed="false">
      <c r="A4683" s="0" t="n">
        <v>41</v>
      </c>
      <c r="B4683" s="8" t="s">
        <v>24</v>
      </c>
      <c r="C4683" s="9" t="s">
        <v>25</v>
      </c>
      <c r="D4683" s="9" t="s">
        <v>26</v>
      </c>
      <c r="E4683" s="10" t="n">
        <v>1789</v>
      </c>
      <c r="F4683" s="9" t="s">
        <v>27</v>
      </c>
      <c r="G4683" s="9" t="s">
        <v>27</v>
      </c>
      <c r="H4683" s="11" t="n">
        <v>21</v>
      </c>
      <c r="I4683" s="11" t="s">
        <v>194</v>
      </c>
      <c r="J4683" s="14" t="n">
        <v>120</v>
      </c>
      <c r="K4683" s="14"/>
      <c r="L4683" s="16"/>
      <c r="M4683" s="27" t="n">
        <f aca="false">J4683+(K4683/20)+(L4683/240)</f>
        <v>120</v>
      </c>
      <c r="N4683" s="17" t="s">
        <v>64</v>
      </c>
      <c r="O4683" s="11"/>
      <c r="P4683" s="28"/>
      <c r="Q4683" s="28" t="n">
        <f aca="false">P4683*$M4683</f>
        <v>0</v>
      </c>
      <c r="R4683" s="28"/>
      <c r="S4683" s="28" t="n">
        <f aca="false">R4683*$M4683</f>
        <v>0</v>
      </c>
      <c r="T4683" s="28"/>
      <c r="U4683" s="28" t="n">
        <f aca="false">T4683*$M4683</f>
        <v>0</v>
      </c>
      <c r="V4683" s="28"/>
      <c r="W4683" s="28" t="n">
        <f aca="false">V4683*$M4683</f>
        <v>0</v>
      </c>
      <c r="X4683" s="28"/>
      <c r="Y4683" s="28" t="n">
        <f aca="false">X4683*$M4683</f>
        <v>0</v>
      </c>
      <c r="Z4683" s="28"/>
      <c r="AA4683" s="28" t="n">
        <f aca="false">Z4683*$M4683</f>
        <v>0</v>
      </c>
      <c r="AB4683" s="28" t="n">
        <f aca="false">6930/100</f>
        <v>69.3</v>
      </c>
      <c r="AC4683" s="28" t="n">
        <v>8316</v>
      </c>
      <c r="AD4683" s="28"/>
      <c r="AE4683" s="28" t="n">
        <f aca="false">AD4683*$M4683</f>
        <v>0</v>
      </c>
      <c r="AF4683" s="28"/>
      <c r="AG4683" s="28" t="n">
        <f aca="false">AF4683*$M4683</f>
        <v>0</v>
      </c>
      <c r="AH4683" s="28"/>
      <c r="AI4683" s="28" t="n">
        <f aca="false">AH4683*$M4683</f>
        <v>0</v>
      </c>
      <c r="AJ4683" s="28"/>
      <c r="AK4683" s="28" t="n">
        <f aca="false">AJ4683*$M4683</f>
        <v>0</v>
      </c>
      <c r="AL4683" s="28"/>
      <c r="AM4683" s="28" t="n">
        <f aca="false">AL4683*$M4683</f>
        <v>0</v>
      </c>
      <c r="AN4683" s="28"/>
      <c r="AO4683" s="28" t="n">
        <f aca="false">AN4683*$M4683</f>
        <v>0</v>
      </c>
      <c r="AP4683" s="28"/>
      <c r="AQ4683" s="28" t="n">
        <f aca="false">AP4683*$M4683</f>
        <v>0</v>
      </c>
      <c r="AR4683" s="28"/>
      <c r="AS4683" s="28" t="n">
        <f aca="false">AR4683*$M4683</f>
        <v>0</v>
      </c>
      <c r="AT4683" s="28"/>
      <c r="AU4683" s="28" t="n">
        <f aca="false">AT4683*$M4683</f>
        <v>0</v>
      </c>
      <c r="AV4683" s="28"/>
      <c r="AW4683" s="28" t="n">
        <f aca="false">AV4683*$M4683</f>
        <v>0</v>
      </c>
      <c r="AX4683" s="28"/>
      <c r="AY4683" s="28" t="n">
        <f aca="false">AX4683*$M4683</f>
        <v>0</v>
      </c>
      <c r="AZ4683" s="30" t="n">
        <f aca="false">6930/100</f>
        <v>69.3</v>
      </c>
      <c r="BA4683" s="11" t="n">
        <v>8316</v>
      </c>
      <c r="BB4683" s="31" t="n">
        <f aca="false">SUM(Q4683,S4683,U4683,W4683,Y4683,AA4683,AC4683,AE4683,AG4683,AI4683,AK4683,AM4683,AO4683,AQ4683,AS4683,AU4683,AW4683,AY4683)</f>
        <v>8316</v>
      </c>
      <c r="BC4683" s="28" t="n">
        <f aca="false">BA4683-BB4683</f>
        <v>0</v>
      </c>
      <c r="BD4683" s="32" t="n">
        <f aca="false">SUM(P4683,R4683,T4683,V4683,X4683,Z4683,AB4683,AD4683,AF4683,AH4683,AJ4683,AL4683,AN4683,AP4683,AR4683,AT4683,AV4683,AX4683)</f>
        <v>69.3</v>
      </c>
      <c r="BE4683" s="33" t="n">
        <f aca="false">AZ4683-BD4683</f>
        <v>0</v>
      </c>
      <c r="BF4683" s="34" t="n">
        <f aca="false">BD4683*M4683</f>
        <v>8316</v>
      </c>
      <c r="BG4683" s="35" t="n">
        <f aca="false">BA4683-BF4683</f>
        <v>0</v>
      </c>
      <c r="BH4683" s="19" t="str">
        <f aca="false">IF(BG4683=0,"",IF(BG4683&lt;&gt;BA4683,"erreur de calcul",IF(BD4683&lt;&gt;0,"pas de prix",IF(M4683&lt;&gt; 0,"pas de quantité","pas de prix, ni de quantité"))))</f>
        <v/>
      </c>
      <c r="BI4683" s="19"/>
    </row>
    <row r="4684" customFormat="false" ht="16.65" hidden="false" customHeight="false" outlineLevel="0" collapsed="false">
      <c r="A4684" s="0" t="n">
        <v>42</v>
      </c>
      <c r="B4684" s="8" t="s">
        <v>24</v>
      </c>
      <c r="C4684" s="9" t="s">
        <v>25</v>
      </c>
      <c r="D4684" s="9" t="s">
        <v>26</v>
      </c>
      <c r="E4684" s="10" t="n">
        <v>1789</v>
      </c>
      <c r="F4684" s="9" t="s">
        <v>27</v>
      </c>
      <c r="G4684" s="9" t="s">
        <v>27</v>
      </c>
      <c r="H4684" s="11" t="n">
        <v>21</v>
      </c>
      <c r="I4684" s="11" t="s">
        <v>195</v>
      </c>
      <c r="J4684" s="14" t="n">
        <v>70</v>
      </c>
      <c r="K4684" s="14"/>
      <c r="L4684" s="16"/>
      <c r="M4684" s="27" t="n">
        <f aca="false">J4684+(K4684/20)+(L4684/240)</f>
        <v>70</v>
      </c>
      <c r="N4684" s="17" t="s">
        <v>64</v>
      </c>
      <c r="O4684" s="11"/>
      <c r="P4684" s="28"/>
      <c r="Q4684" s="28" t="n">
        <f aca="false">P4684*$M4684</f>
        <v>0</v>
      </c>
      <c r="R4684" s="28"/>
      <c r="S4684" s="28" t="n">
        <f aca="false">R4684*$M4684</f>
        <v>0</v>
      </c>
      <c r="T4684" s="28"/>
      <c r="U4684" s="28" t="n">
        <f aca="false">T4684*$M4684</f>
        <v>0</v>
      </c>
      <c r="V4684" s="28"/>
      <c r="W4684" s="28" t="n">
        <f aca="false">V4684*$M4684</f>
        <v>0</v>
      </c>
      <c r="X4684" s="28"/>
      <c r="Y4684" s="28" t="n">
        <f aca="false">X4684*$M4684</f>
        <v>0</v>
      </c>
      <c r="Z4684" s="28"/>
      <c r="AA4684" s="28" t="n">
        <f aca="false">Z4684*$M4684</f>
        <v>0</v>
      </c>
      <c r="AB4684" s="28"/>
      <c r="AC4684" s="28" t="n">
        <f aca="false">AB4684*$M4684</f>
        <v>0</v>
      </c>
      <c r="AD4684" s="28"/>
      <c r="AE4684" s="28" t="n">
        <f aca="false">AD4684*$M4684</f>
        <v>0</v>
      </c>
      <c r="AF4684" s="28"/>
      <c r="AG4684" s="28" t="n">
        <f aca="false">AF4684*$M4684</f>
        <v>0</v>
      </c>
      <c r="AH4684" s="28"/>
      <c r="AI4684" s="28" t="n">
        <f aca="false">AH4684*$M4684</f>
        <v>0</v>
      </c>
      <c r="AJ4684" s="28"/>
      <c r="AK4684" s="28" t="n">
        <f aca="false">AJ4684*$M4684</f>
        <v>0</v>
      </c>
      <c r="AL4684" s="28"/>
      <c r="AM4684" s="28" t="n">
        <f aca="false">AL4684*$M4684</f>
        <v>0</v>
      </c>
      <c r="AN4684" s="28" t="n">
        <f aca="false">13200/100</f>
        <v>132</v>
      </c>
      <c r="AO4684" s="28" t="n">
        <v>9240</v>
      </c>
      <c r="AP4684" s="28"/>
      <c r="AQ4684" s="28" t="n">
        <f aca="false">AP4684*$M4684</f>
        <v>0</v>
      </c>
      <c r="AR4684" s="28"/>
      <c r="AS4684" s="28" t="n">
        <f aca="false">AR4684*$M4684</f>
        <v>0</v>
      </c>
      <c r="AT4684" s="28"/>
      <c r="AU4684" s="28" t="n">
        <f aca="false">AT4684*$M4684</f>
        <v>0</v>
      </c>
      <c r="AV4684" s="28"/>
      <c r="AW4684" s="28" t="n">
        <f aca="false">AV4684*$M4684</f>
        <v>0</v>
      </c>
      <c r="AX4684" s="28"/>
      <c r="AY4684" s="28" t="n">
        <f aca="false">AX4684*$M4684</f>
        <v>0</v>
      </c>
      <c r="AZ4684" s="30" t="n">
        <f aca="false">13200/100</f>
        <v>132</v>
      </c>
      <c r="BA4684" s="11" t="n">
        <v>9240</v>
      </c>
      <c r="BB4684" s="31" t="n">
        <f aca="false">SUM(Q4684,S4684,U4684,W4684,Y4684,AA4684,AC4684,AE4684,AG4684,AI4684,AK4684,AM4684,AO4684,AQ4684,AS4684,AU4684,AW4684,AY4684)</f>
        <v>9240</v>
      </c>
      <c r="BC4684" s="28" t="n">
        <f aca="false">BA4684-BB4684</f>
        <v>0</v>
      </c>
      <c r="BD4684" s="32" t="n">
        <f aca="false">SUM(P4684,R4684,T4684,V4684,X4684,Z4684,AB4684,AD4684,AF4684,AH4684,AJ4684,AL4684,AN4684,AP4684,AR4684,AT4684,AV4684,AX4684)</f>
        <v>132</v>
      </c>
      <c r="BE4684" s="33" t="n">
        <f aca="false">AZ4684-BD4684</f>
        <v>0</v>
      </c>
      <c r="BF4684" s="34" t="n">
        <f aca="false">BD4684*M4684</f>
        <v>9240</v>
      </c>
      <c r="BG4684" s="35" t="n">
        <f aca="false">BA4684-BF4684</f>
        <v>0</v>
      </c>
      <c r="BH4684" s="19" t="str">
        <f aca="false">IF(BG4684=0,"",IF(BG4684&lt;&gt;BA4684,"erreur de calcul",IF(BD4684&lt;&gt;0,"pas de prix",IF(M4684&lt;&gt; 0,"pas de quantité","pas de prix, ni de quantité"))))</f>
        <v/>
      </c>
      <c r="BI4684" s="19"/>
    </row>
    <row r="4685" customFormat="false" ht="15" hidden="false" customHeight="false" outlineLevel="0" collapsed="false">
      <c r="A4685" s="0" t="n">
        <v>43</v>
      </c>
      <c r="B4685" s="8" t="s">
        <v>24</v>
      </c>
      <c r="C4685" s="9" t="s">
        <v>25</v>
      </c>
      <c r="D4685" s="9" t="s">
        <v>26</v>
      </c>
      <c r="E4685" s="10" t="n">
        <v>1789</v>
      </c>
      <c r="F4685" s="9" t="s">
        <v>27</v>
      </c>
      <c r="G4685" s="9" t="s">
        <v>27</v>
      </c>
      <c r="H4685" s="11" t="n">
        <v>21</v>
      </c>
      <c r="I4685" s="11" t="s">
        <v>196</v>
      </c>
      <c r="J4685" s="14" t="n">
        <v>65</v>
      </c>
      <c r="K4685" s="14"/>
      <c r="L4685" s="16"/>
      <c r="M4685" s="27" t="n">
        <f aca="false">J4685+(K4685/20)+(L4685/240)</f>
        <v>65</v>
      </c>
      <c r="N4685" s="17" t="s">
        <v>64</v>
      </c>
      <c r="O4685" s="11"/>
      <c r="P4685" s="28"/>
      <c r="Q4685" s="28" t="n">
        <f aca="false">P4685*$M4685</f>
        <v>0</v>
      </c>
      <c r="R4685" s="28"/>
      <c r="S4685" s="28" t="n">
        <f aca="false">R4685*$M4685</f>
        <v>0</v>
      </c>
      <c r="T4685" s="28"/>
      <c r="U4685" s="28" t="n">
        <f aca="false">T4685*$M4685</f>
        <v>0</v>
      </c>
      <c r="V4685" s="28"/>
      <c r="W4685" s="28" t="n">
        <f aca="false">V4685*$M4685</f>
        <v>0</v>
      </c>
      <c r="X4685" s="28" t="n">
        <f aca="false">44247/100</f>
        <v>442.47</v>
      </c>
      <c r="Y4685" s="28" t="n">
        <v>28760</v>
      </c>
      <c r="Z4685" s="28" t="n">
        <f aca="false">1906/100</f>
        <v>19.06</v>
      </c>
      <c r="AA4685" s="28" t="n">
        <v>1239</v>
      </c>
      <c r="AB4685" s="28"/>
      <c r="AC4685" s="28" t="n">
        <f aca="false">AB4685*$M4685</f>
        <v>0</v>
      </c>
      <c r="AD4685" s="28"/>
      <c r="AE4685" s="28" t="n">
        <f aca="false">AD4685*$M4685</f>
        <v>0</v>
      </c>
      <c r="AF4685" s="28"/>
      <c r="AG4685" s="28" t="n">
        <f aca="false">AF4685*$M4685</f>
        <v>0</v>
      </c>
      <c r="AH4685" s="28"/>
      <c r="AI4685" s="28" t="n">
        <f aca="false">AH4685*$M4685</f>
        <v>0</v>
      </c>
      <c r="AJ4685" s="28" t="n">
        <f aca="false">625/100</f>
        <v>6.25</v>
      </c>
      <c r="AK4685" s="28" t="n">
        <v>406</v>
      </c>
      <c r="AL4685" s="28"/>
      <c r="AM4685" s="28" t="n">
        <f aca="false">AL4685*$M4685</f>
        <v>0</v>
      </c>
      <c r="AN4685" s="28"/>
      <c r="AO4685" s="28" t="n">
        <f aca="false">AN4685*$M4685</f>
        <v>0</v>
      </c>
      <c r="AP4685" s="28"/>
      <c r="AQ4685" s="28" t="n">
        <f aca="false">AP4685*$M4685</f>
        <v>0</v>
      </c>
      <c r="AR4685" s="28"/>
      <c r="AS4685" s="28" t="n">
        <f aca="false">AR4685*$M4685</f>
        <v>0</v>
      </c>
      <c r="AT4685" s="28"/>
      <c r="AU4685" s="28" t="n">
        <f aca="false">AT4685*$M4685</f>
        <v>0</v>
      </c>
      <c r="AV4685" s="28"/>
      <c r="AW4685" s="28" t="n">
        <f aca="false">AV4685*$M4685</f>
        <v>0</v>
      </c>
      <c r="AX4685" s="28"/>
      <c r="AY4685" s="28" t="n">
        <f aca="false">AX4685*$M4685</f>
        <v>0</v>
      </c>
      <c r="AZ4685" s="30" t="n">
        <f aca="false">46778/100</f>
        <v>467.78</v>
      </c>
      <c r="BA4685" s="11" t="n">
        <v>30405</v>
      </c>
      <c r="BB4685" s="31" t="n">
        <f aca="false">SUM(Q4685,S4685,U4685,W4685,Y4685,AA4685,AC4685,AE4685,AG4685,AI4685,AK4685,AM4685,AO4685,AQ4685,AS4685,AU4685,AW4685,AY4685)</f>
        <v>30405</v>
      </c>
      <c r="BC4685" s="28" t="n">
        <f aca="false">BA4685-BB4685</f>
        <v>0</v>
      </c>
      <c r="BD4685" s="32" t="n">
        <f aca="false">SUM(P4685,R4685,T4685,V4685,X4685,Z4685,AB4685,AD4685,AF4685,AH4685,AJ4685,AL4685,AN4685,AP4685,AR4685,AT4685,AV4685,AX4685)</f>
        <v>467.78</v>
      </c>
      <c r="BE4685" s="33" t="n">
        <f aca="false">AZ4685-BD4685</f>
        <v>0</v>
      </c>
      <c r="BF4685" s="34" t="n">
        <f aca="false">BD4685*M4685</f>
        <v>30405.7</v>
      </c>
      <c r="BG4685" s="35" t="n">
        <f aca="false">BA4685-BF4685</f>
        <v>-0.700000000000728</v>
      </c>
      <c r="BH4685" s="19" t="str">
        <f aca="false">IF(BG4685=0,"",IF(BG4685&lt;&gt;BA4685,"erreur de calcul",IF(BD4685&lt;&gt;0,"pas de prix",IF(M4685&lt;&gt; 0,"pas de quantité","pas de prix, ni de quantité"))))</f>
        <v>erreur de calcul</v>
      </c>
      <c r="BI4685" s="19"/>
    </row>
    <row r="4686" customFormat="false" ht="15" hidden="false" customHeight="false" outlineLevel="0" collapsed="false">
      <c r="A4686" s="0" t="n">
        <v>44</v>
      </c>
      <c r="B4686" s="8" t="s">
        <v>24</v>
      </c>
      <c r="C4686" s="9" t="s">
        <v>25</v>
      </c>
      <c r="D4686" s="9" t="s">
        <v>26</v>
      </c>
      <c r="E4686" s="10" t="n">
        <v>1789</v>
      </c>
      <c r="F4686" s="9" t="s">
        <v>27</v>
      </c>
      <c r="G4686" s="9" t="s">
        <v>27</v>
      </c>
      <c r="H4686" s="11" t="n">
        <v>21</v>
      </c>
      <c r="I4686" s="11" t="s">
        <v>197</v>
      </c>
      <c r="J4686" s="14" t="n">
        <v>70</v>
      </c>
      <c r="K4686" s="14"/>
      <c r="L4686" s="16"/>
      <c r="M4686" s="27" t="n">
        <f aca="false">J4686+(K4686/20)+(L4686/240)</f>
        <v>70</v>
      </c>
      <c r="N4686" s="17" t="s">
        <v>64</v>
      </c>
      <c r="O4686" s="11"/>
      <c r="P4686" s="28"/>
      <c r="Q4686" s="28" t="n">
        <f aca="false">P4686*$M4686</f>
        <v>0</v>
      </c>
      <c r="R4686" s="28"/>
      <c r="S4686" s="28" t="n">
        <f aca="false">R4686*$M4686</f>
        <v>0</v>
      </c>
      <c r="T4686" s="28"/>
      <c r="U4686" s="28" t="n">
        <f aca="false">T4686*$M4686</f>
        <v>0</v>
      </c>
      <c r="V4686" s="28"/>
      <c r="W4686" s="28" t="n">
        <f aca="false">V4686*$M4686</f>
        <v>0</v>
      </c>
      <c r="X4686" s="28"/>
      <c r="Y4686" s="28" t="n">
        <f aca="false">X4686*$M4686</f>
        <v>0</v>
      </c>
      <c r="Z4686" s="28"/>
      <c r="AA4686" s="28" t="n">
        <f aca="false">Z4686*$M4686</f>
        <v>0</v>
      </c>
      <c r="AB4686" s="28"/>
      <c r="AC4686" s="28" t="n">
        <f aca="false">AB4686*$M4686</f>
        <v>0</v>
      </c>
      <c r="AD4686" s="28"/>
      <c r="AE4686" s="28" t="n">
        <f aca="false">AD4686*$M4686</f>
        <v>0</v>
      </c>
      <c r="AF4686" s="28"/>
      <c r="AG4686" s="28" t="n">
        <f aca="false">AF4686*$M4686</f>
        <v>0</v>
      </c>
      <c r="AH4686" s="28" t="n">
        <f aca="false">156436/100</f>
        <v>1564.36</v>
      </c>
      <c r="AI4686" s="28" t="n">
        <v>109505</v>
      </c>
      <c r="AJ4686" s="28"/>
      <c r="AK4686" s="28" t="n">
        <f aca="false">AJ4686*$M4686</f>
        <v>0</v>
      </c>
      <c r="AL4686" s="28"/>
      <c r="AM4686" s="28" t="n">
        <f aca="false">AL4686*$M4686</f>
        <v>0</v>
      </c>
      <c r="AN4686" s="28"/>
      <c r="AO4686" s="28" t="n">
        <f aca="false">AN4686*$M4686</f>
        <v>0</v>
      </c>
      <c r="AP4686" s="28"/>
      <c r="AQ4686" s="28" t="n">
        <f aca="false">AP4686*$M4686</f>
        <v>0</v>
      </c>
      <c r="AR4686" s="28"/>
      <c r="AS4686" s="28" t="n">
        <f aca="false">AR4686*$M4686</f>
        <v>0</v>
      </c>
      <c r="AT4686" s="28"/>
      <c r="AU4686" s="28" t="n">
        <f aca="false">AT4686*$M4686</f>
        <v>0</v>
      </c>
      <c r="AV4686" s="28"/>
      <c r="AW4686" s="28" t="n">
        <f aca="false">AV4686*$M4686</f>
        <v>0</v>
      </c>
      <c r="AX4686" s="28"/>
      <c r="AY4686" s="28" t="n">
        <f aca="false">AX4686*$M4686</f>
        <v>0</v>
      </c>
      <c r="AZ4686" s="30" t="n">
        <f aca="false">156436/100</f>
        <v>1564.36</v>
      </c>
      <c r="BA4686" s="11" t="n">
        <v>109505</v>
      </c>
      <c r="BB4686" s="31" t="n">
        <f aca="false">SUM(Q4686,S4686,U4686,W4686,Y4686,AA4686,AC4686,AE4686,AG4686,AI4686,AK4686,AM4686,AO4686,AQ4686,AS4686,AU4686,AW4686,AY4686)</f>
        <v>109505</v>
      </c>
      <c r="BC4686" s="28" t="n">
        <f aca="false">BA4686-BB4686</f>
        <v>0</v>
      </c>
      <c r="BD4686" s="32" t="n">
        <f aca="false">SUM(P4686,R4686,T4686,V4686,X4686,Z4686,AB4686,AD4686,AF4686,AH4686,AJ4686,AL4686,AN4686,AP4686,AR4686,AT4686,AV4686,AX4686)</f>
        <v>1564.36</v>
      </c>
      <c r="BE4686" s="33" t="n">
        <f aca="false">AZ4686-BD4686</f>
        <v>0</v>
      </c>
      <c r="BF4686" s="34" t="n">
        <f aca="false">BD4686*M4686</f>
        <v>109505.2</v>
      </c>
      <c r="BG4686" s="35" t="n">
        <f aca="false">BA4686-BF4686</f>
        <v>-0.19999999999709</v>
      </c>
      <c r="BH4686" s="19" t="str">
        <f aca="false">IF(BG4686=0,"",IF(BG4686&lt;&gt;BA4686,"erreur de calcul",IF(BD4686&lt;&gt;0,"pas de prix",IF(M4686&lt;&gt; 0,"pas de quantité","pas de prix, ni de quantité"))))</f>
        <v>erreur de calcul</v>
      </c>
      <c r="BI4686" s="19"/>
    </row>
    <row r="4687" customFormat="false" ht="15" hidden="false" customHeight="false" outlineLevel="0" collapsed="false">
      <c r="A4687" s="0" t="n">
        <v>45</v>
      </c>
      <c r="B4687" s="8" t="s">
        <v>24</v>
      </c>
      <c r="C4687" s="9" t="s">
        <v>25</v>
      </c>
      <c r="D4687" s="9" t="s">
        <v>26</v>
      </c>
      <c r="E4687" s="10" t="n">
        <v>1789</v>
      </c>
      <c r="F4687" s="9" t="s">
        <v>27</v>
      </c>
      <c r="G4687" s="9" t="s">
        <v>27</v>
      </c>
      <c r="H4687" s="11" t="n">
        <v>21</v>
      </c>
      <c r="I4687" s="11" t="s">
        <v>198</v>
      </c>
      <c r="J4687" s="14"/>
      <c r="K4687" s="14"/>
      <c r="L4687" s="16"/>
      <c r="M4687" s="27" t="n">
        <f aca="false">J4687+(K4687/20)+(L4687/240)</f>
        <v>0</v>
      </c>
      <c r="N4687" s="17"/>
      <c r="O4687" s="11" t="s">
        <v>98</v>
      </c>
      <c r="P4687" s="28"/>
      <c r="Q4687" s="28" t="n">
        <v>387</v>
      </c>
      <c r="R4687" s="28"/>
      <c r="S4687" s="28" t="n">
        <f aca="false">R4687*$M4687</f>
        <v>0</v>
      </c>
      <c r="T4687" s="28"/>
      <c r="U4687" s="28" t="n">
        <v>2349</v>
      </c>
      <c r="V4687" s="28"/>
      <c r="W4687" s="28" t="n">
        <v>978</v>
      </c>
      <c r="X4687" s="28"/>
      <c r="Y4687" s="28" t="n">
        <f aca="false">X4687*$M4687</f>
        <v>0</v>
      </c>
      <c r="Z4687" s="28"/>
      <c r="AA4687" s="28" t="n">
        <f aca="false">Z4687*$M4687</f>
        <v>0</v>
      </c>
      <c r="AB4687" s="28"/>
      <c r="AC4687" s="28" t="n">
        <v>328</v>
      </c>
      <c r="AD4687" s="28"/>
      <c r="AE4687" s="28" t="n">
        <f aca="false">AD4687*$M4687</f>
        <v>0</v>
      </c>
      <c r="AF4687" s="28"/>
      <c r="AG4687" s="28" t="n">
        <f aca="false">AF4687*$M4687</f>
        <v>0</v>
      </c>
      <c r="AH4687" s="28"/>
      <c r="AI4687" s="28" t="n">
        <v>878</v>
      </c>
      <c r="AJ4687" s="28"/>
      <c r="AK4687" s="28" t="n">
        <v>1546</v>
      </c>
      <c r="AL4687" s="28"/>
      <c r="AM4687" s="28" t="n">
        <f aca="false">AL4687*$M4687</f>
        <v>0</v>
      </c>
      <c r="AN4687" s="28"/>
      <c r="AO4687" s="28" t="n">
        <f aca="false">AN4687*$M4687</f>
        <v>0</v>
      </c>
      <c r="AP4687" s="28"/>
      <c r="AQ4687" s="28" t="n">
        <f aca="false">AP4687*$M4687</f>
        <v>0</v>
      </c>
      <c r="AR4687" s="28"/>
      <c r="AS4687" s="28" t="n">
        <f aca="false">AR4687*$M4687</f>
        <v>0</v>
      </c>
      <c r="AT4687" s="28"/>
      <c r="AU4687" s="28" t="n">
        <f aca="false">AT4687*$M4687</f>
        <v>0</v>
      </c>
      <c r="AV4687" s="28"/>
      <c r="AW4687" s="28" t="n">
        <f aca="false">AV4687*$M4687</f>
        <v>0</v>
      </c>
      <c r="AX4687" s="28"/>
      <c r="AY4687" s="28" t="n">
        <f aca="false">AX4687*$M4687</f>
        <v>0</v>
      </c>
      <c r="AZ4687" s="30"/>
      <c r="BA4687" s="11" t="n">
        <v>6466</v>
      </c>
      <c r="BB4687" s="31" t="n">
        <f aca="false">SUM(Q4687,S4687,U4687,W4687,Y4687,AA4687,AC4687,AE4687,AG4687,AI4687,AK4687,AM4687,AO4687,AQ4687,AS4687,AU4687,AW4687,AY4687)</f>
        <v>6466</v>
      </c>
      <c r="BC4687" s="28" t="n">
        <f aca="false">BA4687-BB4687</f>
        <v>0</v>
      </c>
      <c r="BD4687" s="32" t="n">
        <f aca="false">SUM(P4687,R4687,T4687,V4687,X4687,Z4687,AB4687,AD4687,AF4687,AH4687,AJ4687,AL4687,AN4687,AP4687,AR4687,AT4687,AV4687,AX4687)</f>
        <v>0</v>
      </c>
      <c r="BE4687" s="33" t="n">
        <f aca="false">AZ4687-BD4687</f>
        <v>0</v>
      </c>
      <c r="BF4687" s="34" t="n">
        <f aca="false">BD4687*M4687</f>
        <v>0</v>
      </c>
      <c r="BG4687" s="35" t="n">
        <f aca="false">BA4687-BF4687</f>
        <v>6466</v>
      </c>
      <c r="BH4687" s="19" t="str">
        <f aca="false">IF(BG4687=0,"",IF(BG4687&lt;&gt;BA4687,"erreur de calcul",IF(BD4687&lt;&gt;0,"pas de prix",IF(M4687&lt;&gt; 0,"pas de quantité","pas de prix, ni de quantité"))))</f>
        <v>pas de prix, ni de quantité</v>
      </c>
      <c r="BI4687" s="19"/>
    </row>
    <row r="4688" customFormat="false" ht="15" hidden="false" customHeight="false" outlineLevel="0" collapsed="false">
      <c r="A4688" s="0" t="n">
        <v>46</v>
      </c>
      <c r="B4688" s="8" t="s">
        <v>24</v>
      </c>
      <c r="C4688" s="9" t="s">
        <v>25</v>
      </c>
      <c r="D4688" s="9" t="s">
        <v>26</v>
      </c>
      <c r="E4688" s="10" t="n">
        <v>1789</v>
      </c>
      <c r="F4688" s="9" t="s">
        <v>27</v>
      </c>
      <c r="G4688" s="9" t="s">
        <v>27</v>
      </c>
      <c r="H4688" s="11" t="n">
        <v>21</v>
      </c>
      <c r="I4688" s="11" t="s">
        <v>199</v>
      </c>
      <c r="J4688" s="14" t="n">
        <v>27</v>
      </c>
      <c r="K4688" s="14"/>
      <c r="L4688" s="16"/>
      <c r="M4688" s="27" t="n">
        <f aca="false">J4688+(K4688/20)+(L4688/240)</f>
        <v>27</v>
      </c>
      <c r="N4688" s="17" t="s">
        <v>64</v>
      </c>
      <c r="O4688" s="11"/>
      <c r="P4688" s="28" t="n">
        <f aca="false">108627/100</f>
        <v>1086.27</v>
      </c>
      <c r="Q4688" s="28" t="n">
        <v>29329</v>
      </c>
      <c r="R4688" s="28"/>
      <c r="S4688" s="28" t="n">
        <f aca="false">R4688*$M4688</f>
        <v>0</v>
      </c>
      <c r="T4688" s="28"/>
      <c r="U4688" s="28" t="n">
        <f aca="false">T4688*$M4688</f>
        <v>0</v>
      </c>
      <c r="V4688" s="28"/>
      <c r="W4688" s="28" t="n">
        <f aca="false">V4688*$M4688</f>
        <v>0</v>
      </c>
      <c r="X4688" s="28"/>
      <c r="Y4688" s="28" t="n">
        <f aca="false">X4688*$M4688</f>
        <v>0</v>
      </c>
      <c r="Z4688" s="28" t="n">
        <f aca="false">535243/100</f>
        <v>5352.43</v>
      </c>
      <c r="AA4688" s="28" t="n">
        <v>144516</v>
      </c>
      <c r="AB4688" s="28"/>
      <c r="AC4688" s="28" t="n">
        <f aca="false">AB4688*$M4688</f>
        <v>0</v>
      </c>
      <c r="AD4688" s="28" t="n">
        <f aca="false">75759/100</f>
        <v>757.59</v>
      </c>
      <c r="AE4688" s="28" t="n">
        <v>20455</v>
      </c>
      <c r="AF4688" s="28"/>
      <c r="AG4688" s="28" t="n">
        <f aca="false">AF4688*$M4688</f>
        <v>0</v>
      </c>
      <c r="AH4688" s="28" t="n">
        <f aca="false">77800/100</f>
        <v>778</v>
      </c>
      <c r="AI4688" s="36" t="n">
        <v>21016</v>
      </c>
      <c r="AJ4688" s="28" t="n">
        <f aca="false">28078/100</f>
        <v>280.78</v>
      </c>
      <c r="AK4688" s="28" t="n">
        <v>7581</v>
      </c>
      <c r="AL4688" s="28" t="n">
        <f aca="false">15417/100</f>
        <v>154.17</v>
      </c>
      <c r="AM4688" s="28" t="n">
        <v>4162</v>
      </c>
      <c r="AN4688" s="28"/>
      <c r="AO4688" s="28" t="n">
        <f aca="false">AN4688*$M4688</f>
        <v>0</v>
      </c>
      <c r="AP4688" s="28"/>
      <c r="AQ4688" s="28" t="n">
        <f aca="false">AP4688*$M4688</f>
        <v>0</v>
      </c>
      <c r="AR4688" s="28"/>
      <c r="AS4688" s="28" t="n">
        <f aca="false">AR4688*$M4688</f>
        <v>0</v>
      </c>
      <c r="AT4688" s="28"/>
      <c r="AU4688" s="28" t="n">
        <f aca="false">AT4688*$M4688</f>
        <v>0</v>
      </c>
      <c r="AV4688" s="28"/>
      <c r="AW4688" s="28" t="n">
        <f aca="false">AV4688*$M4688</f>
        <v>0</v>
      </c>
      <c r="AX4688" s="28"/>
      <c r="AY4688" s="28" t="n">
        <f aca="false">AX4688*$M4688</f>
        <v>0</v>
      </c>
      <c r="AZ4688" s="30" t="n">
        <f aca="false">840924/100</f>
        <v>8409.24</v>
      </c>
      <c r="BA4688" s="11" t="n">
        <v>227059</v>
      </c>
      <c r="BB4688" s="31" t="n">
        <f aca="false">SUM(Q4688,S4688,U4688,W4688,Y4688,AA4688,AC4688,AE4688,AG4688,AI4688,AK4688,AM4688,AO4688,AQ4688,AS4688,AU4688,AW4688,AY4688)</f>
        <v>227059</v>
      </c>
      <c r="BC4688" s="28" t="n">
        <f aca="false">BA4688-BB4688</f>
        <v>0</v>
      </c>
      <c r="BD4688" s="32" t="n">
        <f aca="false">SUM(P4688,R4688,T4688,V4688,X4688,Z4688,AB4688,AD4688,AF4688,AH4688,AJ4688,AL4688,AN4688,AP4688,AR4688,AT4688,AV4688,AX4688)</f>
        <v>8409.24</v>
      </c>
      <c r="BE4688" s="33" t="n">
        <f aca="false">AZ4688-BD4688</f>
        <v>0</v>
      </c>
      <c r="BF4688" s="34" t="n">
        <f aca="false">BD4688*M4688</f>
        <v>227049.48</v>
      </c>
      <c r="BG4688" s="35" t="n">
        <f aca="false">BA4688-BF4688</f>
        <v>9.52000000001863</v>
      </c>
      <c r="BH4688" s="19" t="str">
        <f aca="false">IF(BG4688=0,"",IF(BG4688&lt;&gt;BA4688,"erreur de calcul",IF(BD4688&lt;&gt;0,"pas de prix",IF(M4688&lt;&gt; 0,"pas de quantité","pas de prix, ni de quantité"))))</f>
        <v>erreur de calcul</v>
      </c>
      <c r="BI4688" s="19"/>
    </row>
    <row r="4689" customFormat="false" ht="15" hidden="false" customHeight="false" outlineLevel="0" collapsed="false">
      <c r="A4689" s="0" t="n">
        <v>47</v>
      </c>
      <c r="B4689" s="8" t="s">
        <v>24</v>
      </c>
      <c r="C4689" s="9" t="s">
        <v>25</v>
      </c>
      <c r="D4689" s="9" t="s">
        <v>26</v>
      </c>
      <c r="E4689" s="10" t="n">
        <v>1789</v>
      </c>
      <c r="F4689" s="9" t="s">
        <v>27</v>
      </c>
      <c r="G4689" s="9" t="s">
        <v>27</v>
      </c>
      <c r="H4689" s="11" t="n">
        <v>21</v>
      </c>
      <c r="I4689" s="11" t="s">
        <v>200</v>
      </c>
      <c r="J4689" s="14" t="n">
        <v>25</v>
      </c>
      <c r="K4689" s="14"/>
      <c r="L4689" s="16"/>
      <c r="M4689" s="27" t="n">
        <f aca="false">J4689+(K4689/20)+(L4689/240)</f>
        <v>25</v>
      </c>
      <c r="N4689" s="17" t="s">
        <v>64</v>
      </c>
      <c r="O4689" s="11"/>
      <c r="P4689" s="28"/>
      <c r="Q4689" s="28" t="n">
        <f aca="false">P4689*$M4689</f>
        <v>0</v>
      </c>
      <c r="R4689" s="28"/>
      <c r="S4689" s="28" t="n">
        <f aca="false">R4689*$M4689</f>
        <v>0</v>
      </c>
      <c r="T4689" s="28" t="n">
        <f aca="false">56427/100</f>
        <v>564.27</v>
      </c>
      <c r="U4689" s="28" t="n">
        <v>14107</v>
      </c>
      <c r="V4689" s="28"/>
      <c r="W4689" s="28" t="n">
        <f aca="false">V4689*$M4689</f>
        <v>0</v>
      </c>
      <c r="X4689" s="28" t="n">
        <f aca="false">98758/100</f>
        <v>987.58</v>
      </c>
      <c r="Y4689" s="28" t="n">
        <v>24689</v>
      </c>
      <c r="Z4689" s="28"/>
      <c r="AA4689" s="28" t="n">
        <f aca="false">Z4689*$M4689</f>
        <v>0</v>
      </c>
      <c r="AB4689" s="28"/>
      <c r="AC4689" s="28" t="n">
        <f aca="false">AB4689*$M4689</f>
        <v>0</v>
      </c>
      <c r="AD4689" s="28"/>
      <c r="AE4689" s="28" t="n">
        <f aca="false">AD4689*$M4689</f>
        <v>0</v>
      </c>
      <c r="AF4689" s="28"/>
      <c r="AG4689" s="28" t="n">
        <f aca="false">AF4689*$M4689</f>
        <v>0</v>
      </c>
      <c r="AH4689" s="28"/>
      <c r="AI4689" s="28" t="n">
        <f aca="false">AH4689*$M4689</f>
        <v>0</v>
      </c>
      <c r="AJ4689" s="28"/>
      <c r="AK4689" s="28" t="n">
        <f aca="false">AJ4689*$M4689</f>
        <v>0</v>
      </c>
      <c r="AL4689" s="28"/>
      <c r="AM4689" s="28" t="n">
        <f aca="false">AL4689*$M4689</f>
        <v>0</v>
      </c>
      <c r="AN4689" s="28"/>
      <c r="AO4689" s="28" t="n">
        <f aca="false">AN4689*$M4689</f>
        <v>0</v>
      </c>
      <c r="AP4689" s="28"/>
      <c r="AQ4689" s="28" t="n">
        <f aca="false">AP4689*$M4689</f>
        <v>0</v>
      </c>
      <c r="AR4689" s="28"/>
      <c r="AS4689" s="28" t="n">
        <f aca="false">AR4689*$M4689</f>
        <v>0</v>
      </c>
      <c r="AT4689" s="28"/>
      <c r="AU4689" s="28" t="n">
        <f aca="false">AT4689*$M4689</f>
        <v>0</v>
      </c>
      <c r="AV4689" s="28"/>
      <c r="AW4689" s="28" t="n">
        <f aca="false">AV4689*$M4689</f>
        <v>0</v>
      </c>
      <c r="AX4689" s="28"/>
      <c r="AY4689" s="28" t="n">
        <f aca="false">AX4689*$M4689</f>
        <v>0</v>
      </c>
      <c r="AZ4689" s="30" t="n">
        <f aca="false">155115/100</f>
        <v>1551.15</v>
      </c>
      <c r="BA4689" s="11" t="n">
        <v>38796</v>
      </c>
      <c r="BB4689" s="31" t="n">
        <f aca="false">SUM(Q4689,S4689,U4689,W4689,Y4689,AA4689,AC4689,AE4689,AG4689,AI4689,AK4689,AM4689,AO4689,AQ4689,AS4689,AU4689,AW4689,AY4689)</f>
        <v>38796</v>
      </c>
      <c r="BC4689" s="28" t="n">
        <f aca="false">BA4689-BB4689</f>
        <v>0</v>
      </c>
      <c r="BD4689" s="32" t="n">
        <f aca="false">SUM(P4689,R4689,T4689,V4689,X4689,Z4689,AB4689,AD4689,AF4689,AH4689,AJ4689,AL4689,AN4689,AP4689,AR4689,AT4689,AV4689,AX4689)</f>
        <v>1551.85</v>
      </c>
      <c r="BE4689" s="33" t="n">
        <f aca="false">AZ4689-BD4689</f>
        <v>-0.699999999999818</v>
      </c>
      <c r="BF4689" s="34" t="n">
        <f aca="false">BD4689*M4689</f>
        <v>38796.25</v>
      </c>
      <c r="BG4689" s="35" t="n">
        <f aca="false">BA4689-BF4689</f>
        <v>-0.25</v>
      </c>
      <c r="BH4689" s="19" t="str">
        <f aca="false">IF(BG4689=0,"",IF(BG4689&lt;&gt;BA4689,"erreur de calcul",IF(BD4689&lt;&gt;0,"pas de prix",IF(M4689&lt;&gt; 0,"pas de quantité","pas de prix, ni de quantité"))))</f>
        <v>erreur de calcul</v>
      </c>
      <c r="BI4689" s="19"/>
    </row>
    <row r="4690" customFormat="false" ht="15" hidden="false" customHeight="false" outlineLevel="0" collapsed="false">
      <c r="A4690" s="0" t="n">
        <v>48</v>
      </c>
      <c r="B4690" s="8" t="s">
        <v>24</v>
      </c>
      <c r="C4690" s="9" t="s">
        <v>25</v>
      </c>
      <c r="D4690" s="9" t="s">
        <v>26</v>
      </c>
      <c r="E4690" s="10" t="n">
        <v>1789</v>
      </c>
      <c r="F4690" s="9" t="s">
        <v>27</v>
      </c>
      <c r="G4690" s="9" t="s">
        <v>27</v>
      </c>
      <c r="H4690" s="11" t="n">
        <v>21</v>
      </c>
      <c r="I4690" s="11" t="s">
        <v>201</v>
      </c>
      <c r="J4690" s="14"/>
      <c r="K4690" s="14" t="n">
        <v>15</v>
      </c>
      <c r="L4690" s="16"/>
      <c r="M4690" s="27" t="n">
        <f aca="false">J4690+(K4690/20)+(L4690/240)</f>
        <v>0.75</v>
      </c>
      <c r="N4690" s="17" t="s">
        <v>66</v>
      </c>
      <c r="O4690" s="11"/>
      <c r="P4690" s="28"/>
      <c r="Q4690" s="28" t="n">
        <f aca="false">P4690*$M4690</f>
        <v>0</v>
      </c>
      <c r="R4690" s="28"/>
      <c r="S4690" s="28" t="n">
        <f aca="false">R4690*$M4690</f>
        <v>0</v>
      </c>
      <c r="T4690" s="28"/>
      <c r="U4690" s="28" t="n">
        <f aca="false">T4690*$M4690</f>
        <v>0</v>
      </c>
      <c r="V4690" s="28"/>
      <c r="W4690" s="28" t="n">
        <f aca="false">V4690*$M4690</f>
        <v>0</v>
      </c>
      <c r="X4690" s="28"/>
      <c r="Y4690" s="28" t="n">
        <f aca="false">X4690*$M4690</f>
        <v>0</v>
      </c>
      <c r="Z4690" s="28"/>
      <c r="AA4690" s="28" t="n">
        <f aca="false">Z4690*$M4690</f>
        <v>0</v>
      </c>
      <c r="AB4690" s="28"/>
      <c r="AC4690" s="28" t="n">
        <f aca="false">AB4690*$M4690</f>
        <v>0</v>
      </c>
      <c r="AD4690" s="28"/>
      <c r="AE4690" s="28" t="n">
        <f aca="false">AD4690*$M4690</f>
        <v>0</v>
      </c>
      <c r="AF4690" s="28"/>
      <c r="AG4690" s="28" t="n">
        <f aca="false">AF4690*$M4690</f>
        <v>0</v>
      </c>
      <c r="AH4690" s="28"/>
      <c r="AI4690" s="28" t="n">
        <f aca="false">AH4690*$M4690</f>
        <v>0</v>
      </c>
      <c r="AJ4690" s="28" t="n">
        <v>6171</v>
      </c>
      <c r="AK4690" s="28" t="n">
        <v>4628</v>
      </c>
      <c r="AL4690" s="28"/>
      <c r="AM4690" s="28" t="n">
        <f aca="false">AL4690*$M4690</f>
        <v>0</v>
      </c>
      <c r="AN4690" s="28"/>
      <c r="AO4690" s="28" t="n">
        <f aca="false">AN4690*$M4690</f>
        <v>0</v>
      </c>
      <c r="AP4690" s="28"/>
      <c r="AQ4690" s="28" t="n">
        <f aca="false">AP4690*$M4690</f>
        <v>0</v>
      </c>
      <c r="AR4690" s="28"/>
      <c r="AS4690" s="28" t="n">
        <f aca="false">AR4690*$M4690</f>
        <v>0</v>
      </c>
      <c r="AT4690" s="28"/>
      <c r="AU4690" s="28" t="n">
        <f aca="false">AT4690*$M4690</f>
        <v>0</v>
      </c>
      <c r="AV4690" s="28"/>
      <c r="AW4690" s="28" t="n">
        <f aca="false">AV4690*$M4690</f>
        <v>0</v>
      </c>
      <c r="AX4690" s="28"/>
      <c r="AY4690" s="28" t="n">
        <f aca="false">AX4690*$M4690</f>
        <v>0</v>
      </c>
      <c r="AZ4690" s="30" t="n">
        <v>6171</v>
      </c>
      <c r="BA4690" s="11" t="n">
        <v>4628</v>
      </c>
      <c r="BB4690" s="31" t="n">
        <f aca="false">SUM(Q4690,S4690,U4690,W4690,Y4690,AA4690,AC4690,AE4690,AG4690,AI4690,AK4690,AM4690,AO4690,AQ4690,AS4690,AU4690,AW4690,AY4690)</f>
        <v>4628</v>
      </c>
      <c r="BC4690" s="28" t="n">
        <f aca="false">BA4690-BB4690</f>
        <v>0</v>
      </c>
      <c r="BD4690" s="32" t="n">
        <f aca="false">SUM(P4690,R4690,T4690,V4690,X4690,Z4690,AB4690,AD4690,AF4690,AH4690,AJ4690,AL4690,AN4690,AP4690,AR4690,AT4690,AV4690,AX4690)</f>
        <v>6171</v>
      </c>
      <c r="BE4690" s="33" t="n">
        <f aca="false">AZ4690-BD4690</f>
        <v>0</v>
      </c>
      <c r="BF4690" s="34" t="n">
        <f aca="false">BD4690*M4690</f>
        <v>4628.25</v>
      </c>
      <c r="BG4690" s="35" t="n">
        <f aca="false">BA4690-BF4690</f>
        <v>-0.25</v>
      </c>
      <c r="BH4690" s="19" t="str">
        <f aca="false">IF(BG4690=0,"",IF(BG4690&lt;&gt;BA4690,"erreur de calcul",IF(BD4690&lt;&gt;0,"pas de prix",IF(M4690&lt;&gt; 0,"pas de quantité","pas de prix, ni de quantité"))))</f>
        <v>erreur de calcul</v>
      </c>
      <c r="BI4690" s="19"/>
    </row>
    <row r="4691" customFormat="false" ht="15" hidden="false" customHeight="false" outlineLevel="0" collapsed="false">
      <c r="A4691" s="0" t="n">
        <v>1</v>
      </c>
      <c r="B4691" s="8" t="s">
        <v>24</v>
      </c>
      <c r="C4691" s="9" t="s">
        <v>25</v>
      </c>
      <c r="D4691" s="9" t="s">
        <v>26</v>
      </c>
      <c r="E4691" s="10" t="n">
        <v>1789</v>
      </c>
      <c r="F4691" s="9" t="s">
        <v>27</v>
      </c>
      <c r="G4691" s="9" t="s">
        <v>27</v>
      </c>
      <c r="H4691" s="11" t="n">
        <v>22</v>
      </c>
      <c r="I4691" s="11" t="s">
        <v>202</v>
      </c>
      <c r="J4691" s="14" t="n">
        <v>10</v>
      </c>
      <c r="K4691" s="14"/>
      <c r="L4691" s="16"/>
      <c r="M4691" s="27" t="n">
        <f aca="false">J4691+(K4691/20)+(L4691/240)</f>
        <v>10</v>
      </c>
      <c r="N4691" s="17" t="s">
        <v>64</v>
      </c>
      <c r="O4691" s="11"/>
      <c r="P4691" s="28" t="n">
        <f aca="false">36147/100</f>
        <v>361.47</v>
      </c>
      <c r="Q4691" s="28" t="n">
        <v>3615</v>
      </c>
      <c r="R4691" s="28"/>
      <c r="S4691" s="28" t="n">
        <f aca="false">R4691*$M4691</f>
        <v>0</v>
      </c>
      <c r="T4691" s="28"/>
      <c r="U4691" s="28" t="n">
        <f aca="false">T4691*$M4691</f>
        <v>0</v>
      </c>
      <c r="V4691" s="28"/>
      <c r="W4691" s="28" t="n">
        <f aca="false">V4691*$M4691</f>
        <v>0</v>
      </c>
      <c r="X4691" s="28"/>
      <c r="Y4691" s="28" t="n">
        <f aca="false">X4691*$M4691</f>
        <v>0</v>
      </c>
      <c r="Z4691" s="28"/>
      <c r="AA4691" s="28" t="n">
        <f aca="false">Z4691*$M4691</f>
        <v>0</v>
      </c>
      <c r="AB4691" s="28" t="n">
        <f aca="false">14437/100</f>
        <v>144.37</v>
      </c>
      <c r="AC4691" s="28" t="n">
        <v>1444</v>
      </c>
      <c r="AD4691" s="28"/>
      <c r="AE4691" s="28" t="n">
        <f aca="false">AD4691*$M4691</f>
        <v>0</v>
      </c>
      <c r="AF4691" s="28"/>
      <c r="AG4691" s="28" t="n">
        <f aca="false">AF4691*$M4691</f>
        <v>0</v>
      </c>
      <c r="AH4691" s="28"/>
      <c r="AI4691" s="28" t="n">
        <f aca="false">AH4691*$M4691</f>
        <v>0</v>
      </c>
      <c r="AJ4691" s="28" t="n">
        <f aca="false">36351/100</f>
        <v>363.51</v>
      </c>
      <c r="AK4691" s="28" t="n">
        <v>3635</v>
      </c>
      <c r="AL4691" s="28"/>
      <c r="AM4691" s="28" t="n">
        <f aca="false">AL4691*$M4691</f>
        <v>0</v>
      </c>
      <c r="AN4691" s="28"/>
      <c r="AO4691" s="28" t="n">
        <f aca="false">AN4691*$M4691</f>
        <v>0</v>
      </c>
      <c r="AP4691" s="28"/>
      <c r="AQ4691" s="28" t="n">
        <f aca="false">AP4691*$M4691</f>
        <v>0</v>
      </c>
      <c r="AR4691" s="28" t="n">
        <f aca="false">25120/100</f>
        <v>251.2</v>
      </c>
      <c r="AS4691" s="28" t="n">
        <v>2512</v>
      </c>
      <c r="AT4691" s="28"/>
      <c r="AU4691" s="28" t="n">
        <f aca="false">AT4691*$M4691</f>
        <v>0</v>
      </c>
      <c r="AV4691" s="28"/>
      <c r="AW4691" s="28" t="n">
        <f aca="false">AV4691*$M4691</f>
        <v>0</v>
      </c>
      <c r="AX4691" s="28"/>
      <c r="AY4691" s="28" t="n">
        <f aca="false">AX4691*$M4691</f>
        <v>0</v>
      </c>
      <c r="AZ4691" s="30" t="n">
        <f aca="false">112055/100</f>
        <v>1120.55</v>
      </c>
      <c r="BA4691" s="11" t="n">
        <v>11206</v>
      </c>
      <c r="BB4691" s="31" t="n">
        <f aca="false">SUM(Q4691,S4691,U4691,W4691,Y4691,AA4691,AC4691,AE4691,AG4691,AI4691,AK4691,AM4691,AO4691,AQ4691,AS4691,AU4691,AW4691,AY4691)</f>
        <v>11206</v>
      </c>
      <c r="BC4691" s="28" t="n">
        <f aca="false">BA4691-BB4691</f>
        <v>0</v>
      </c>
      <c r="BD4691" s="32" t="n">
        <f aca="false">SUM(P4691,R4691,T4691,V4691,X4691,Z4691,AB4691,AD4691,AF4691,AH4691,AJ4691,AL4691,AN4691,AP4691,AR4691,AT4691,AV4691,AX4691)</f>
        <v>1120.55</v>
      </c>
      <c r="BE4691" s="33" t="n">
        <f aca="false">AZ4691-BD4691</f>
        <v>0</v>
      </c>
      <c r="BF4691" s="34" t="n">
        <f aca="false">BD4691*M4691</f>
        <v>11205.5</v>
      </c>
      <c r="BG4691" s="35" t="n">
        <f aca="false">BA4691-BF4691</f>
        <v>0.499999999998181</v>
      </c>
      <c r="BH4691" s="19" t="str">
        <f aca="false">IF(BG4691=0,"",IF(BG4691&lt;&gt;BA4691,"erreur de calcul",IF(BD4691&lt;&gt;0,"pas de prix",IF(M4691&lt;&gt; 0,"pas de quantité","pas de prix, ni de quantité"))))</f>
        <v>erreur de calcul</v>
      </c>
      <c r="BI4691" s="19"/>
    </row>
    <row r="4692" customFormat="false" ht="15" hidden="false" customHeight="false" outlineLevel="0" collapsed="false">
      <c r="A4692" s="0" t="n">
        <v>2</v>
      </c>
      <c r="B4692" s="8" t="s">
        <v>24</v>
      </c>
      <c r="C4692" s="9" t="s">
        <v>25</v>
      </c>
      <c r="D4692" s="9" t="s">
        <v>26</v>
      </c>
      <c r="E4692" s="10" t="n">
        <v>1789</v>
      </c>
      <c r="F4692" s="9" t="s">
        <v>27</v>
      </c>
      <c r="G4692" s="9" t="s">
        <v>27</v>
      </c>
      <c r="H4692" s="11" t="n">
        <v>22</v>
      </c>
      <c r="I4692" s="11" t="s">
        <v>203</v>
      </c>
      <c r="J4692" s="14" t="n">
        <v>20</v>
      </c>
      <c r="K4692" s="14"/>
      <c r="L4692" s="16"/>
      <c r="M4692" s="27" t="n">
        <f aca="false">J4692+(K4692/20)+(L4692/240)</f>
        <v>20</v>
      </c>
      <c r="N4692" s="17" t="s">
        <v>64</v>
      </c>
      <c r="O4692" s="11"/>
      <c r="P4692" s="28"/>
      <c r="Q4692" s="28" t="n">
        <f aca="false">P4692*$M4692</f>
        <v>0</v>
      </c>
      <c r="R4692" s="28"/>
      <c r="S4692" s="28" t="n">
        <f aca="false">R4692*$M4692</f>
        <v>0</v>
      </c>
      <c r="T4692" s="28"/>
      <c r="U4692" s="28" t="n">
        <f aca="false">T4692*$M4692</f>
        <v>0</v>
      </c>
      <c r="V4692" s="28"/>
      <c r="W4692" s="28" t="n">
        <f aca="false">V4692*$M4692</f>
        <v>0</v>
      </c>
      <c r="X4692" s="28"/>
      <c r="Y4692" s="28" t="n">
        <f aca="false">X4692*$M4692</f>
        <v>0</v>
      </c>
      <c r="Z4692" s="28"/>
      <c r="AA4692" s="28" t="n">
        <f aca="false">Z4692*$M4692</f>
        <v>0</v>
      </c>
      <c r="AB4692" s="28"/>
      <c r="AC4692" s="28" t="n">
        <f aca="false">AB4692*$M4692</f>
        <v>0</v>
      </c>
      <c r="AD4692" s="28"/>
      <c r="AE4692" s="28" t="n">
        <f aca="false">AD4692*$M4692</f>
        <v>0</v>
      </c>
      <c r="AF4692" s="28"/>
      <c r="AG4692" s="28" t="n">
        <f aca="false">AF4692*$M4692</f>
        <v>0</v>
      </c>
      <c r="AH4692" s="28"/>
      <c r="AI4692" s="28" t="n">
        <f aca="false">AH4692*$M4692</f>
        <v>0</v>
      </c>
      <c r="AJ4692" s="28" t="n">
        <f aca="false">109254/100</f>
        <v>1092.54</v>
      </c>
      <c r="AK4692" s="28" t="n">
        <v>21851</v>
      </c>
      <c r="AL4692" s="28"/>
      <c r="AM4692" s="28" t="n">
        <f aca="false">AL4692*$M4692</f>
        <v>0</v>
      </c>
      <c r="AN4692" s="28"/>
      <c r="AO4692" s="28" t="n">
        <f aca="false">AN4692*$M4692</f>
        <v>0</v>
      </c>
      <c r="AP4692" s="28"/>
      <c r="AQ4692" s="28" t="n">
        <f aca="false">AP4692*$M4692</f>
        <v>0</v>
      </c>
      <c r="AR4692" s="28"/>
      <c r="AS4692" s="28" t="n">
        <f aca="false">AR4692*$M4692</f>
        <v>0</v>
      </c>
      <c r="AT4692" s="28"/>
      <c r="AU4692" s="28" t="n">
        <f aca="false">AT4692*$M4692</f>
        <v>0</v>
      </c>
      <c r="AV4692" s="28"/>
      <c r="AW4692" s="28" t="n">
        <f aca="false">AV4692*$M4692</f>
        <v>0</v>
      </c>
      <c r="AX4692" s="28"/>
      <c r="AY4692" s="28" t="n">
        <f aca="false">AX4692*$M4692</f>
        <v>0</v>
      </c>
      <c r="AZ4692" s="30" t="n">
        <f aca="false">109254/100</f>
        <v>1092.54</v>
      </c>
      <c r="BA4692" s="11" t="n">
        <v>21851</v>
      </c>
      <c r="BB4692" s="31" t="n">
        <f aca="false">SUM(Q4692,S4692,U4692,W4692,Y4692,AA4692,AC4692,AE4692,AG4692,AI4692,AK4692,AM4692,AO4692,AQ4692,AS4692,AU4692,AW4692,AY4692)</f>
        <v>21851</v>
      </c>
      <c r="BC4692" s="28" t="n">
        <f aca="false">BA4692-BB4692</f>
        <v>0</v>
      </c>
      <c r="BD4692" s="32" t="n">
        <f aca="false">SUM(P4692,R4692,T4692,V4692,X4692,Z4692,AB4692,AD4692,AF4692,AH4692,AJ4692,AL4692,AN4692,AP4692,AR4692,AT4692,AV4692,AX4692)</f>
        <v>1092.54</v>
      </c>
      <c r="BE4692" s="33" t="n">
        <f aca="false">AZ4692-BD4692</f>
        <v>0</v>
      </c>
      <c r="BF4692" s="34" t="n">
        <f aca="false">BD4692*M4692</f>
        <v>21850.8</v>
      </c>
      <c r="BG4692" s="35" t="n">
        <f aca="false">BA4692-BF4692</f>
        <v>0.200000000000728</v>
      </c>
      <c r="BH4692" s="19" t="str">
        <f aca="false">IF(BG4692=0,"",IF(BG4692&lt;&gt;BA4692,"erreur de calcul",IF(BD4692&lt;&gt;0,"pas de prix",IF(M4692&lt;&gt; 0,"pas de quantité","pas de prix, ni de quantité"))))</f>
        <v>erreur de calcul</v>
      </c>
      <c r="BI4692" s="19"/>
    </row>
    <row r="4693" customFormat="false" ht="15" hidden="false" customHeight="false" outlineLevel="0" collapsed="false">
      <c r="A4693" s="0" t="n">
        <v>3</v>
      </c>
      <c r="B4693" s="8" t="s">
        <v>24</v>
      </c>
      <c r="C4693" s="9" t="s">
        <v>25</v>
      </c>
      <c r="D4693" s="9" t="s">
        <v>26</v>
      </c>
      <c r="E4693" s="10" t="n">
        <v>1789</v>
      </c>
      <c r="F4693" s="9" t="s">
        <v>27</v>
      </c>
      <c r="G4693" s="9" t="s">
        <v>27</v>
      </c>
      <c r="H4693" s="11" t="n">
        <v>22</v>
      </c>
      <c r="I4693" s="11" t="s">
        <v>204</v>
      </c>
      <c r="J4693" s="14" t="n">
        <v>20</v>
      </c>
      <c r="K4693" s="14"/>
      <c r="L4693" s="16"/>
      <c r="M4693" s="27" t="n">
        <f aca="false">J4693+(K4693/20)+(L4693/240)</f>
        <v>20</v>
      </c>
      <c r="N4693" s="17" t="s">
        <v>66</v>
      </c>
      <c r="O4693" s="11"/>
      <c r="P4693" s="28" t="n">
        <v>106125</v>
      </c>
      <c r="Q4693" s="36" t="n">
        <v>2162500</v>
      </c>
      <c r="R4693" s="28"/>
      <c r="S4693" s="28" t="n">
        <f aca="false">R4693*$M4693</f>
        <v>0</v>
      </c>
      <c r="T4693" s="28"/>
      <c r="U4693" s="28" t="n">
        <f aca="false">T4693*$M4693</f>
        <v>0</v>
      </c>
      <c r="V4693" s="28"/>
      <c r="W4693" s="28" t="n">
        <f aca="false">V4693*$M4693</f>
        <v>0</v>
      </c>
      <c r="X4693" s="28"/>
      <c r="Y4693" s="28" t="n">
        <f aca="false">X4693*$M4693</f>
        <v>0</v>
      </c>
      <c r="Z4693" s="28"/>
      <c r="AA4693" s="28" t="n">
        <f aca="false">Z4693*$M4693</f>
        <v>0</v>
      </c>
      <c r="AB4693" s="28"/>
      <c r="AC4693" s="28" t="n">
        <f aca="false">AB4693*$M4693</f>
        <v>0</v>
      </c>
      <c r="AD4693" s="28"/>
      <c r="AE4693" s="28" t="n">
        <f aca="false">AD4693*$M4693</f>
        <v>0</v>
      </c>
      <c r="AF4693" s="28"/>
      <c r="AG4693" s="28" t="n">
        <f aca="false">AF4693*$M4693</f>
        <v>0</v>
      </c>
      <c r="AH4693" s="28"/>
      <c r="AI4693" s="28" t="n">
        <f aca="false">AH4693*$M4693</f>
        <v>0</v>
      </c>
      <c r="AJ4693" s="28"/>
      <c r="AK4693" s="28" t="n">
        <f aca="false">AJ4693*$M4693</f>
        <v>0</v>
      </c>
      <c r="AL4693" s="28"/>
      <c r="AM4693" s="28" t="n">
        <f aca="false">AL4693*$M4693</f>
        <v>0</v>
      </c>
      <c r="AN4693" s="28"/>
      <c r="AO4693" s="28" t="n">
        <f aca="false">AN4693*$M4693</f>
        <v>0</v>
      </c>
      <c r="AP4693" s="28"/>
      <c r="AQ4693" s="28" t="n">
        <f aca="false">AP4693*$M4693</f>
        <v>0</v>
      </c>
      <c r="AR4693" s="28"/>
      <c r="AS4693" s="28" t="n">
        <f aca="false">AR4693*$M4693</f>
        <v>0</v>
      </c>
      <c r="AT4693" s="28"/>
      <c r="AU4693" s="28" t="n">
        <f aca="false">AT4693*$M4693</f>
        <v>0</v>
      </c>
      <c r="AV4693" s="28"/>
      <c r="AW4693" s="28" t="n">
        <f aca="false">AV4693*$M4693</f>
        <v>0</v>
      </c>
      <c r="AX4693" s="28"/>
      <c r="AY4693" s="28" t="n">
        <f aca="false">AX4693*$M4693</f>
        <v>0</v>
      </c>
      <c r="AZ4693" s="30" t="n">
        <v>108125</v>
      </c>
      <c r="BA4693" s="11" t="n">
        <v>2162500</v>
      </c>
      <c r="BB4693" s="31" t="n">
        <f aca="false">SUM(Q4693,S4693,U4693,W4693,Y4693,AA4693,AC4693,AE4693,AG4693,AI4693,AK4693,AM4693,AO4693,AQ4693,AS4693,AU4693,AW4693,AY4693)</f>
        <v>2162500</v>
      </c>
      <c r="BC4693" s="28" t="n">
        <f aca="false">BA4693-BB4693</f>
        <v>0</v>
      </c>
      <c r="BD4693" s="32" t="n">
        <f aca="false">SUM(P4693,R4693,T4693,V4693,X4693,Z4693,AB4693,AD4693,AF4693,AH4693,AJ4693,AL4693,AN4693,AP4693,AR4693,AT4693,AV4693,AX4693)</f>
        <v>106125</v>
      </c>
      <c r="BE4693" s="33" t="n">
        <f aca="false">AZ4693-BD4693</f>
        <v>2000</v>
      </c>
      <c r="BF4693" s="34" t="n">
        <f aca="false">BD4693*M4693</f>
        <v>2122500</v>
      </c>
      <c r="BG4693" s="35" t="n">
        <f aca="false">BA4693-BF4693</f>
        <v>40000</v>
      </c>
      <c r="BH4693" s="19" t="str">
        <f aca="false">IF(BG4693=0,"",IF(BG4693&lt;&gt;BA4693,"erreur de calcul",IF(BD4693&lt;&gt;0,"pas de prix",IF(M4693&lt;&gt; 0,"pas de quantité","pas de prix, ni de quantité"))))</f>
        <v>erreur de calcul</v>
      </c>
      <c r="BI4693" s="19"/>
    </row>
    <row r="4694" customFormat="false" ht="15" hidden="false" customHeight="false" outlineLevel="0" collapsed="false">
      <c r="A4694" s="0" t="n">
        <v>4</v>
      </c>
      <c r="B4694" s="8" t="s">
        <v>24</v>
      </c>
      <c r="C4694" s="9" t="s">
        <v>25</v>
      </c>
      <c r="D4694" s="9" t="s">
        <v>26</v>
      </c>
      <c r="E4694" s="10" t="n">
        <v>1789</v>
      </c>
      <c r="F4694" s="9" t="s">
        <v>27</v>
      </c>
      <c r="G4694" s="9" t="s">
        <v>27</v>
      </c>
      <c r="H4694" s="11" t="n">
        <v>22</v>
      </c>
      <c r="I4694" s="11" t="s">
        <v>205</v>
      </c>
      <c r="J4694" s="14" t="n">
        <v>15</v>
      </c>
      <c r="K4694" s="14"/>
      <c r="L4694" s="16"/>
      <c r="M4694" s="27" t="n">
        <f aca="false">J4694+(K4694/20)+(L4694/240)</f>
        <v>15</v>
      </c>
      <c r="N4694" s="17" t="s">
        <v>64</v>
      </c>
      <c r="O4694" s="11"/>
      <c r="P4694" s="28"/>
      <c r="Q4694" s="28" t="n">
        <f aca="false">P4694*$M4694</f>
        <v>0</v>
      </c>
      <c r="R4694" s="28"/>
      <c r="S4694" s="28" t="n">
        <f aca="false">R4694*$M4694</f>
        <v>0</v>
      </c>
      <c r="T4694" s="28"/>
      <c r="U4694" s="28" t="n">
        <f aca="false">T4694*$M4694</f>
        <v>0</v>
      </c>
      <c r="V4694" s="28"/>
      <c r="W4694" s="28" t="n">
        <f aca="false">V4694*$M4694</f>
        <v>0</v>
      </c>
      <c r="X4694" s="28" t="n">
        <f aca="false">27897/100</f>
        <v>278.97</v>
      </c>
      <c r="Y4694" s="28" t="n">
        <v>4184</v>
      </c>
      <c r="Z4694" s="28"/>
      <c r="AA4694" s="28" t="n">
        <f aca="false">Z4694*$M4694</f>
        <v>0</v>
      </c>
      <c r="AB4694" s="28"/>
      <c r="AC4694" s="28" t="n">
        <f aca="false">AB4694*$M4694</f>
        <v>0</v>
      </c>
      <c r="AD4694" s="28"/>
      <c r="AE4694" s="28" t="n">
        <f aca="false">AD4694*$M4694</f>
        <v>0</v>
      </c>
      <c r="AF4694" s="28"/>
      <c r="AG4694" s="28" t="n">
        <f aca="false">AF4694*$M4694</f>
        <v>0</v>
      </c>
      <c r="AH4694" s="28"/>
      <c r="AI4694" s="28" t="n">
        <f aca="false">AH4694*$M4694</f>
        <v>0</v>
      </c>
      <c r="AJ4694" s="28" t="n">
        <f aca="false">63734/100</f>
        <v>637.34</v>
      </c>
      <c r="AK4694" s="28" t="n">
        <v>9560</v>
      </c>
      <c r="AL4694" s="28"/>
      <c r="AM4694" s="28" t="n">
        <f aca="false">AL4694*$M4694</f>
        <v>0</v>
      </c>
      <c r="AN4694" s="28"/>
      <c r="AO4694" s="28" t="n">
        <f aca="false">AN4694*$M4694</f>
        <v>0</v>
      </c>
      <c r="AP4694" s="28"/>
      <c r="AQ4694" s="28" t="n">
        <f aca="false">AP4694*$M4694</f>
        <v>0</v>
      </c>
      <c r="AR4694" s="28"/>
      <c r="AS4694" s="28" t="n">
        <f aca="false">AR4694*$M4694</f>
        <v>0</v>
      </c>
      <c r="AT4694" s="28"/>
      <c r="AU4694" s="28" t="n">
        <f aca="false">AT4694*$M4694</f>
        <v>0</v>
      </c>
      <c r="AV4694" s="28"/>
      <c r="AW4694" s="28" t="n">
        <f aca="false">AV4694*$M4694</f>
        <v>0</v>
      </c>
      <c r="AX4694" s="28"/>
      <c r="AY4694" s="28" t="n">
        <f aca="false">AX4694*$M4694</f>
        <v>0</v>
      </c>
      <c r="AZ4694" s="30" t="n">
        <f aca="false">91631/100</f>
        <v>916.31</v>
      </c>
      <c r="BA4694" s="11" t="n">
        <v>13744</v>
      </c>
      <c r="BB4694" s="31" t="n">
        <f aca="false">SUM(Q4694,S4694,U4694,W4694,Y4694,AA4694,AC4694,AE4694,AG4694,AI4694,AK4694,AM4694,AO4694,AQ4694,AS4694,AU4694,AW4694,AY4694)</f>
        <v>13744</v>
      </c>
      <c r="BC4694" s="28" t="n">
        <f aca="false">BA4694-BB4694</f>
        <v>0</v>
      </c>
      <c r="BD4694" s="32" t="n">
        <f aca="false">SUM(P4694,R4694,T4694,V4694,X4694,Z4694,AB4694,AD4694,AF4694,AH4694,AJ4694,AL4694,AN4694,AP4694,AR4694,AT4694,AV4694,AX4694)</f>
        <v>916.31</v>
      </c>
      <c r="BE4694" s="33" t="n">
        <f aca="false">AZ4694-BD4694</f>
        <v>0</v>
      </c>
      <c r="BF4694" s="34" t="n">
        <f aca="false">BD4694*M4694</f>
        <v>13744.65</v>
      </c>
      <c r="BG4694" s="35" t="n">
        <f aca="false">BA4694-BF4694</f>
        <v>-0.650000000001455</v>
      </c>
      <c r="BH4694" s="19" t="str">
        <f aca="false">IF(BG4694=0,"",IF(BG4694&lt;&gt;BA4694,"erreur de calcul",IF(BD4694&lt;&gt;0,"pas de prix",IF(M4694&lt;&gt; 0,"pas de quantité","pas de prix, ni de quantité"))))</f>
        <v>erreur de calcul</v>
      </c>
      <c r="BI4694" s="19"/>
    </row>
    <row r="4695" customFormat="false" ht="15" hidden="false" customHeight="false" outlineLevel="0" collapsed="false">
      <c r="A4695" s="0" t="n">
        <v>5</v>
      </c>
      <c r="B4695" s="8" t="s">
        <v>24</v>
      </c>
      <c r="C4695" s="9" t="s">
        <v>25</v>
      </c>
      <c r="D4695" s="9" t="s">
        <v>26</v>
      </c>
      <c r="E4695" s="10" t="n">
        <v>1789</v>
      </c>
      <c r="F4695" s="9" t="s">
        <v>27</v>
      </c>
      <c r="G4695" s="9" t="s">
        <v>27</v>
      </c>
      <c r="H4695" s="11" t="n">
        <v>22</v>
      </c>
      <c r="I4695" s="11" t="s">
        <v>206</v>
      </c>
      <c r="J4695" s="14" t="n">
        <v>30</v>
      </c>
      <c r="K4695" s="14"/>
      <c r="L4695" s="16"/>
      <c r="M4695" s="27" t="n">
        <f aca="false">J4695+(K4695/20)+(L4695/240)</f>
        <v>30</v>
      </c>
      <c r="N4695" s="17" t="s">
        <v>64</v>
      </c>
      <c r="O4695" s="11"/>
      <c r="P4695" s="28" t="n">
        <f aca="false">8334/100</f>
        <v>83.34</v>
      </c>
      <c r="Q4695" s="28" t="n">
        <v>2500</v>
      </c>
      <c r="R4695" s="28"/>
      <c r="S4695" s="28" t="n">
        <f aca="false">R4695*$M4695</f>
        <v>0</v>
      </c>
      <c r="T4695" s="28"/>
      <c r="U4695" s="28" t="n">
        <f aca="false">T4695*$M4695</f>
        <v>0</v>
      </c>
      <c r="V4695" s="28"/>
      <c r="W4695" s="28" t="n">
        <f aca="false">V4695*$M4695</f>
        <v>0</v>
      </c>
      <c r="X4695" s="28"/>
      <c r="Y4695" s="28" t="n">
        <f aca="false">X4695*$M4695</f>
        <v>0</v>
      </c>
      <c r="Z4695" s="28"/>
      <c r="AA4695" s="28" t="n">
        <f aca="false">Z4695*$M4695</f>
        <v>0</v>
      </c>
      <c r="AB4695" s="28"/>
      <c r="AC4695" s="28" t="n">
        <f aca="false">AB4695*$M4695</f>
        <v>0</v>
      </c>
      <c r="AD4695" s="28"/>
      <c r="AE4695" s="28" t="n">
        <f aca="false">AD4695*$M4695</f>
        <v>0</v>
      </c>
      <c r="AF4695" s="28"/>
      <c r="AG4695" s="28" t="n">
        <f aca="false">AF4695*$M4695</f>
        <v>0</v>
      </c>
      <c r="AH4695" s="28"/>
      <c r="AI4695" s="28" t="n">
        <f aca="false">AH4695*$M4695</f>
        <v>0</v>
      </c>
      <c r="AJ4695" s="28"/>
      <c r="AK4695" s="28" t="n">
        <f aca="false">AJ4695*$M4695</f>
        <v>0</v>
      </c>
      <c r="AL4695" s="28"/>
      <c r="AM4695" s="28" t="n">
        <f aca="false">AL4695*$M4695</f>
        <v>0</v>
      </c>
      <c r="AN4695" s="28"/>
      <c r="AO4695" s="28" t="n">
        <f aca="false">AN4695*$M4695</f>
        <v>0</v>
      </c>
      <c r="AP4695" s="28"/>
      <c r="AQ4695" s="28" t="n">
        <f aca="false">AP4695*$M4695</f>
        <v>0</v>
      </c>
      <c r="AR4695" s="28"/>
      <c r="AS4695" s="28" t="n">
        <f aca="false">AR4695*$M4695</f>
        <v>0</v>
      </c>
      <c r="AT4695" s="28"/>
      <c r="AU4695" s="28" t="n">
        <f aca="false">AT4695*$M4695</f>
        <v>0</v>
      </c>
      <c r="AV4695" s="28"/>
      <c r="AW4695" s="28" t="n">
        <f aca="false">AV4695*$M4695</f>
        <v>0</v>
      </c>
      <c r="AX4695" s="28"/>
      <c r="AY4695" s="28" t="n">
        <f aca="false">AX4695*$M4695</f>
        <v>0</v>
      </c>
      <c r="AZ4695" s="30" t="n">
        <f aca="false">8334/100</f>
        <v>83.34</v>
      </c>
      <c r="BA4695" s="11" t="n">
        <v>2500</v>
      </c>
      <c r="BB4695" s="31" t="n">
        <f aca="false">SUM(Q4695,S4695,U4695,W4695,Y4695,AA4695,AC4695,AE4695,AG4695,AI4695,AK4695,AM4695,AO4695,AQ4695,AS4695,AU4695,AW4695,AY4695)</f>
        <v>2500</v>
      </c>
      <c r="BC4695" s="28" t="n">
        <f aca="false">BA4695-BB4695</f>
        <v>0</v>
      </c>
      <c r="BD4695" s="32" t="n">
        <f aca="false">SUM(P4695,R4695,T4695,V4695,X4695,Z4695,AB4695,AD4695,AF4695,AH4695,AJ4695,AL4695,AN4695,AP4695,AR4695,AT4695,AV4695,AX4695)</f>
        <v>83.34</v>
      </c>
      <c r="BE4695" s="33" t="n">
        <f aca="false">AZ4695-BD4695</f>
        <v>0</v>
      </c>
      <c r="BF4695" s="34" t="n">
        <f aca="false">BD4695*M4695</f>
        <v>2500.2</v>
      </c>
      <c r="BG4695" s="35" t="n">
        <f aca="false">BA4695-BF4695</f>
        <v>-0.200000000000273</v>
      </c>
      <c r="BH4695" s="19" t="str">
        <f aca="false">IF(BG4695=0,"",IF(BG4695&lt;&gt;BA4695,"erreur de calcul",IF(BD4695&lt;&gt;0,"pas de prix",IF(M4695&lt;&gt; 0,"pas de quantité","pas de prix, ni de quantité"))))</f>
        <v>erreur de calcul</v>
      </c>
      <c r="BI4695" s="19"/>
    </row>
    <row r="4696" customFormat="false" ht="15" hidden="false" customHeight="false" outlineLevel="0" collapsed="false">
      <c r="A4696" s="0" t="n">
        <v>6</v>
      </c>
      <c r="B4696" s="8" t="s">
        <v>24</v>
      </c>
      <c r="C4696" s="9" t="s">
        <v>25</v>
      </c>
      <c r="D4696" s="9" t="s">
        <v>26</v>
      </c>
      <c r="E4696" s="10" t="n">
        <v>1789</v>
      </c>
      <c r="F4696" s="9" t="s">
        <v>27</v>
      </c>
      <c r="G4696" s="9" t="s">
        <v>27</v>
      </c>
      <c r="H4696" s="11" t="n">
        <v>22</v>
      </c>
      <c r="I4696" s="11" t="s">
        <v>207</v>
      </c>
      <c r="J4696" s="14"/>
      <c r="K4696" s="14" t="n">
        <v>20</v>
      </c>
      <c r="L4696" s="16"/>
      <c r="M4696" s="27" t="n">
        <f aca="false">J4696+(K4696/20)+(L4696/240)</f>
        <v>1</v>
      </c>
      <c r="N4696" s="17" t="s">
        <v>66</v>
      </c>
      <c r="O4696" s="11"/>
      <c r="P4696" s="28"/>
      <c r="Q4696" s="28" t="n">
        <f aca="false">P4696*$M4696</f>
        <v>0</v>
      </c>
      <c r="R4696" s="28"/>
      <c r="S4696" s="28" t="n">
        <f aca="false">R4696*$M4696</f>
        <v>0</v>
      </c>
      <c r="T4696" s="28"/>
      <c r="U4696" s="28" t="n">
        <f aca="false">T4696*$M4696</f>
        <v>0</v>
      </c>
      <c r="V4696" s="28" t="n">
        <v>33010</v>
      </c>
      <c r="W4696" s="28" t="n">
        <v>33010</v>
      </c>
      <c r="X4696" s="28" t="n">
        <v>292003</v>
      </c>
      <c r="Y4696" s="28" t="n">
        <v>292003</v>
      </c>
      <c r="Z4696" s="28" t="n">
        <v>15558</v>
      </c>
      <c r="AA4696" s="28" t="n">
        <v>15558</v>
      </c>
      <c r="AB4696" s="28" t="n">
        <v>80515</v>
      </c>
      <c r="AC4696" s="28" t="n">
        <v>80515</v>
      </c>
      <c r="AD4696" s="28"/>
      <c r="AE4696" s="28" t="n">
        <f aca="false">AD4696*$M4696</f>
        <v>0</v>
      </c>
      <c r="AF4696" s="28"/>
      <c r="AG4696" s="28" t="n">
        <f aca="false">AF4696*$M4696</f>
        <v>0</v>
      </c>
      <c r="AH4696" s="28" t="n">
        <v>515373</v>
      </c>
      <c r="AI4696" s="28" t="n">
        <v>515373</v>
      </c>
      <c r="AJ4696" s="28"/>
      <c r="AK4696" s="28" t="n">
        <f aca="false">AJ4696*$M4696</f>
        <v>0</v>
      </c>
      <c r="AL4696" s="28" t="n">
        <v>3480</v>
      </c>
      <c r="AM4696" s="28" t="n">
        <v>3480</v>
      </c>
      <c r="AN4696" s="28"/>
      <c r="AO4696" s="28" t="n">
        <f aca="false">AN4696*$M4696</f>
        <v>0</v>
      </c>
      <c r="AP4696" s="28"/>
      <c r="AQ4696" s="28" t="n">
        <f aca="false">AP4696*$M4696</f>
        <v>0</v>
      </c>
      <c r="AR4696" s="28"/>
      <c r="AS4696" s="28" t="n">
        <f aca="false">AR4696*$M4696</f>
        <v>0</v>
      </c>
      <c r="AT4696" s="28"/>
      <c r="AU4696" s="28" t="n">
        <f aca="false">AT4696*$M4696</f>
        <v>0</v>
      </c>
      <c r="AV4696" s="28"/>
      <c r="AW4696" s="28" t="n">
        <f aca="false">AV4696*$M4696</f>
        <v>0</v>
      </c>
      <c r="AX4696" s="28"/>
      <c r="AY4696" s="28" t="n">
        <f aca="false">AX4696*$M4696</f>
        <v>0</v>
      </c>
      <c r="AZ4696" s="30" t="n">
        <v>939939</v>
      </c>
      <c r="BA4696" s="11" t="n">
        <v>939939</v>
      </c>
      <c r="BB4696" s="31" t="n">
        <f aca="false">SUM(Q4696,S4696,U4696,W4696,Y4696,AA4696,AC4696,AE4696,AG4696,AI4696,AK4696,AM4696,AO4696,AQ4696,AS4696,AU4696,AW4696,AY4696)</f>
        <v>939939</v>
      </c>
      <c r="BC4696" s="28" t="n">
        <f aca="false">BA4696-BB4696</f>
        <v>0</v>
      </c>
      <c r="BD4696" s="32" t="n">
        <f aca="false">SUM(P4696,R4696,T4696,V4696,X4696,Z4696,AB4696,AD4696,AF4696,AH4696,AJ4696,AL4696,AN4696,AP4696,AR4696,AT4696,AV4696,AX4696)</f>
        <v>939939</v>
      </c>
      <c r="BE4696" s="33" t="n">
        <f aca="false">AZ4696-BD4696</f>
        <v>0</v>
      </c>
      <c r="BF4696" s="34" t="n">
        <f aca="false">BD4696*M4696</f>
        <v>939939</v>
      </c>
      <c r="BG4696" s="35" t="n">
        <f aca="false">BA4696-BF4696</f>
        <v>0</v>
      </c>
      <c r="BH4696" s="19" t="str">
        <f aca="false">IF(BG4696=0,"",IF(BG4696&lt;&gt;BA4696,"erreur de calcul",IF(BD4696&lt;&gt;0,"pas de prix",IF(M4696&lt;&gt; 0,"pas de quantité","pas de prix, ni de quantité"))))</f>
        <v/>
      </c>
      <c r="BI4696" s="19"/>
    </row>
    <row r="4697" customFormat="false" ht="15" hidden="false" customHeight="false" outlineLevel="0" collapsed="false">
      <c r="A4697" s="0" t="n">
        <v>7</v>
      </c>
      <c r="B4697" s="8" t="s">
        <v>24</v>
      </c>
      <c r="C4697" s="9" t="s">
        <v>25</v>
      </c>
      <c r="D4697" s="9" t="s">
        <v>26</v>
      </c>
      <c r="E4697" s="10" t="n">
        <v>1789</v>
      </c>
      <c r="F4697" s="9" t="s">
        <v>27</v>
      </c>
      <c r="G4697" s="9" t="s">
        <v>27</v>
      </c>
      <c r="H4697" s="11" t="n">
        <v>22</v>
      </c>
      <c r="I4697" s="11" t="s">
        <v>208</v>
      </c>
      <c r="J4697" s="14" t="n">
        <v>60</v>
      </c>
      <c r="K4697" s="14"/>
      <c r="L4697" s="16"/>
      <c r="M4697" s="27" t="n">
        <f aca="false">J4697+(K4697/20)+(L4697/240)</f>
        <v>60</v>
      </c>
      <c r="N4697" s="17" t="s">
        <v>64</v>
      </c>
      <c r="O4697" s="11"/>
      <c r="P4697" s="28"/>
      <c r="Q4697" s="28" t="n">
        <f aca="false">P4697*$M4697</f>
        <v>0</v>
      </c>
      <c r="R4697" s="28"/>
      <c r="S4697" s="28" t="n">
        <f aca="false">R4697*$M4697</f>
        <v>0</v>
      </c>
      <c r="T4697" s="28"/>
      <c r="U4697" s="28" t="n">
        <f aca="false">T4697*$M4697</f>
        <v>0</v>
      </c>
      <c r="V4697" s="28"/>
      <c r="W4697" s="28" t="n">
        <f aca="false">V4697*$M4697</f>
        <v>0</v>
      </c>
      <c r="X4697" s="28"/>
      <c r="Y4697" s="28" t="n">
        <f aca="false">X4697*$M4697</f>
        <v>0</v>
      </c>
      <c r="Z4697" s="28"/>
      <c r="AA4697" s="28" t="n">
        <f aca="false">Z4697*$M4697</f>
        <v>0</v>
      </c>
      <c r="AB4697" s="28"/>
      <c r="AC4697" s="28" t="n">
        <f aca="false">AB4697*$M4697</f>
        <v>0</v>
      </c>
      <c r="AD4697" s="28"/>
      <c r="AE4697" s="28" t="n">
        <f aca="false">AD4697*$M4697</f>
        <v>0</v>
      </c>
      <c r="AF4697" s="28"/>
      <c r="AG4697" s="28" t="n">
        <f aca="false">AF4697*$M4697</f>
        <v>0</v>
      </c>
      <c r="AH4697" s="28"/>
      <c r="AI4697" s="28" t="n">
        <f aca="false">AH4697*$M4697</f>
        <v>0</v>
      </c>
      <c r="AJ4697" s="28" t="n">
        <f aca="false">28692/100</f>
        <v>286.92</v>
      </c>
      <c r="AK4697" s="28" t="n">
        <v>17215</v>
      </c>
      <c r="AL4697" s="28"/>
      <c r="AM4697" s="28" t="n">
        <f aca="false">AL4697*$M4697</f>
        <v>0</v>
      </c>
      <c r="AN4697" s="28"/>
      <c r="AO4697" s="28" t="n">
        <f aca="false">AN4697*$M4697</f>
        <v>0</v>
      </c>
      <c r="AP4697" s="28"/>
      <c r="AQ4697" s="28" t="n">
        <f aca="false">AP4697*$M4697</f>
        <v>0</v>
      </c>
      <c r="AR4697" s="28"/>
      <c r="AS4697" s="28" t="n">
        <f aca="false">AR4697*$M4697</f>
        <v>0</v>
      </c>
      <c r="AT4697" s="28"/>
      <c r="AU4697" s="28" t="n">
        <f aca="false">AT4697*$M4697</f>
        <v>0</v>
      </c>
      <c r="AV4697" s="28"/>
      <c r="AW4697" s="28" t="n">
        <f aca="false">AV4697*$M4697</f>
        <v>0</v>
      </c>
      <c r="AX4697" s="28"/>
      <c r="AY4697" s="28" t="n">
        <f aca="false">AX4697*$M4697</f>
        <v>0</v>
      </c>
      <c r="AZ4697" s="30" t="n">
        <f aca="false">28692/100</f>
        <v>286.92</v>
      </c>
      <c r="BA4697" s="11" t="n">
        <v>17215</v>
      </c>
      <c r="BB4697" s="31" t="n">
        <f aca="false">SUM(Q4697,S4697,U4697,W4697,Y4697,AA4697,AC4697,AE4697,AG4697,AI4697,AK4697,AM4697,AO4697,AQ4697,AS4697,AU4697,AW4697,AY4697)</f>
        <v>17215</v>
      </c>
      <c r="BC4697" s="28" t="n">
        <f aca="false">BA4697-BB4697</f>
        <v>0</v>
      </c>
      <c r="BD4697" s="32" t="n">
        <f aca="false">SUM(P4697,R4697,T4697,V4697,X4697,Z4697,AB4697,AD4697,AF4697,AH4697,AJ4697,AL4697,AN4697,AP4697,AR4697,AT4697,AV4697,AX4697)</f>
        <v>286.92</v>
      </c>
      <c r="BE4697" s="33" t="n">
        <f aca="false">AZ4697-BD4697</f>
        <v>0</v>
      </c>
      <c r="BF4697" s="34" t="n">
        <f aca="false">BD4697*M4697</f>
        <v>17215.2</v>
      </c>
      <c r="BG4697" s="35" t="n">
        <f aca="false">BA4697-BF4697</f>
        <v>-0.200000000000728</v>
      </c>
      <c r="BH4697" s="19" t="str">
        <f aca="false">IF(BG4697=0,"",IF(BG4697&lt;&gt;BA4697,"erreur de calcul",IF(BD4697&lt;&gt;0,"pas de prix",IF(M4697&lt;&gt; 0,"pas de quantité","pas de prix, ni de quantité"))))</f>
        <v>erreur de calcul</v>
      </c>
      <c r="BI4697" s="19"/>
    </row>
    <row r="4698" customFormat="false" ht="15" hidden="false" customHeight="false" outlineLevel="0" collapsed="false">
      <c r="A4698" s="0" t="n">
        <v>8</v>
      </c>
      <c r="B4698" s="8" t="s">
        <v>24</v>
      </c>
      <c r="C4698" s="9" t="s">
        <v>25</v>
      </c>
      <c r="D4698" s="9" t="s">
        <v>26</v>
      </c>
      <c r="E4698" s="10" t="n">
        <v>1789</v>
      </c>
      <c r="F4698" s="9" t="s">
        <v>27</v>
      </c>
      <c r="G4698" s="9" t="s">
        <v>27</v>
      </c>
      <c r="H4698" s="11" t="n">
        <v>22</v>
      </c>
      <c r="I4698" s="11" t="s">
        <v>209</v>
      </c>
      <c r="J4698" s="14" t="n">
        <v>26</v>
      </c>
      <c r="K4698" s="14"/>
      <c r="L4698" s="16"/>
      <c r="M4698" s="27" t="n">
        <f aca="false">J4698+(K4698/20)+(L4698/240)</f>
        <v>26</v>
      </c>
      <c r="N4698" s="17" t="s">
        <v>64</v>
      </c>
      <c r="O4698" s="11"/>
      <c r="P4698" s="28" t="n">
        <f aca="false">9675/100</f>
        <v>96.75</v>
      </c>
      <c r="Q4698" s="28" t="n">
        <v>2515</v>
      </c>
      <c r="R4698" s="28"/>
      <c r="S4698" s="28" t="n">
        <f aca="false">R4698*$M4698</f>
        <v>0</v>
      </c>
      <c r="T4698" s="28"/>
      <c r="U4698" s="28" t="n">
        <f aca="false">T4698*$M4698</f>
        <v>0</v>
      </c>
      <c r="V4698" s="28"/>
      <c r="W4698" s="28" t="n">
        <f aca="false">V4698*$M4698</f>
        <v>0</v>
      </c>
      <c r="X4698" s="28"/>
      <c r="Y4698" s="28" t="n">
        <f aca="false">X4698*$M4698</f>
        <v>0</v>
      </c>
      <c r="Z4698" s="28"/>
      <c r="AA4698" s="28" t="n">
        <f aca="false">Z4698*$M4698</f>
        <v>0</v>
      </c>
      <c r="AB4698" s="28"/>
      <c r="AC4698" s="28" t="n">
        <f aca="false">AB4698*$M4698</f>
        <v>0</v>
      </c>
      <c r="AD4698" s="28"/>
      <c r="AE4698" s="28" t="n">
        <f aca="false">AD4698*$M4698</f>
        <v>0</v>
      </c>
      <c r="AF4698" s="28"/>
      <c r="AG4698" s="28" t="n">
        <f aca="false">AF4698*$M4698</f>
        <v>0</v>
      </c>
      <c r="AH4698" s="28"/>
      <c r="AI4698" s="28" t="n">
        <f aca="false">AH4698*$M4698</f>
        <v>0</v>
      </c>
      <c r="AJ4698" s="28"/>
      <c r="AK4698" s="28" t="n">
        <f aca="false">AJ4698*$M4698</f>
        <v>0</v>
      </c>
      <c r="AL4698" s="28"/>
      <c r="AM4698" s="28" t="n">
        <f aca="false">AL4698*$M4698</f>
        <v>0</v>
      </c>
      <c r="AN4698" s="28"/>
      <c r="AO4698" s="28" t="n">
        <f aca="false">AN4698*$M4698</f>
        <v>0</v>
      </c>
      <c r="AP4698" s="28"/>
      <c r="AQ4698" s="28" t="n">
        <f aca="false">AP4698*$M4698</f>
        <v>0</v>
      </c>
      <c r="AR4698" s="28"/>
      <c r="AS4698" s="28" t="n">
        <f aca="false">AR4698*$M4698</f>
        <v>0</v>
      </c>
      <c r="AT4698" s="28"/>
      <c r="AU4698" s="28" t="n">
        <f aca="false">AT4698*$M4698</f>
        <v>0</v>
      </c>
      <c r="AV4698" s="28"/>
      <c r="AW4698" s="28" t="n">
        <f aca="false">AV4698*$M4698</f>
        <v>0</v>
      </c>
      <c r="AX4698" s="28"/>
      <c r="AY4698" s="28" t="n">
        <f aca="false">AX4698*$M4698</f>
        <v>0</v>
      </c>
      <c r="AZ4698" s="30" t="n">
        <f aca="false">9675/100</f>
        <v>96.75</v>
      </c>
      <c r="BA4698" s="11" t="n">
        <v>2515</v>
      </c>
      <c r="BB4698" s="31" t="n">
        <f aca="false">SUM(Q4698,S4698,U4698,W4698,Y4698,AA4698,AC4698,AE4698,AG4698,AI4698,AK4698,AM4698,AO4698,AQ4698,AS4698,AU4698,AW4698,AY4698)</f>
        <v>2515</v>
      </c>
      <c r="BC4698" s="28" t="n">
        <f aca="false">BA4698-BB4698</f>
        <v>0</v>
      </c>
      <c r="BD4698" s="32" t="n">
        <f aca="false">SUM(P4698,R4698,T4698,V4698,X4698,Z4698,AB4698,AD4698,AF4698,AH4698,AJ4698,AL4698,AN4698,AP4698,AR4698,AT4698,AV4698,AX4698)</f>
        <v>96.75</v>
      </c>
      <c r="BE4698" s="33" t="n">
        <f aca="false">AZ4698-BD4698</f>
        <v>0</v>
      </c>
      <c r="BF4698" s="34" t="n">
        <f aca="false">BD4698*M4698</f>
        <v>2515.5</v>
      </c>
      <c r="BG4698" s="35" t="n">
        <f aca="false">BA4698-BF4698</f>
        <v>-0.5</v>
      </c>
      <c r="BH4698" s="19" t="str">
        <f aca="false">IF(BG4698=0,"",IF(BG4698&lt;&gt;BA4698,"erreur de calcul",IF(BD4698&lt;&gt;0,"pas de prix",IF(M4698&lt;&gt; 0,"pas de quantité","pas de prix, ni de quantité"))))</f>
        <v>erreur de calcul</v>
      </c>
      <c r="BI4698" s="19"/>
    </row>
    <row r="4699" customFormat="false" ht="15" hidden="false" customHeight="false" outlineLevel="0" collapsed="false">
      <c r="A4699" s="0" t="n">
        <v>9</v>
      </c>
      <c r="B4699" s="8" t="s">
        <v>24</v>
      </c>
      <c r="C4699" s="9" t="s">
        <v>25</v>
      </c>
      <c r="D4699" s="9" t="s">
        <v>26</v>
      </c>
      <c r="E4699" s="10" t="n">
        <v>1789</v>
      </c>
      <c r="F4699" s="9" t="s">
        <v>27</v>
      </c>
      <c r="G4699" s="9" t="s">
        <v>27</v>
      </c>
      <c r="H4699" s="11" t="n">
        <v>22</v>
      </c>
      <c r="I4699" s="11" t="s">
        <v>210</v>
      </c>
      <c r="J4699" s="14" t="n">
        <v>8</v>
      </c>
      <c r="K4699" s="14" t="n">
        <v>15</v>
      </c>
      <c r="L4699" s="16"/>
      <c r="M4699" s="27" t="n">
        <f aca="false">J4699+(K4699/20)+(L4699/240)</f>
        <v>8.75</v>
      </c>
      <c r="N4699" s="17" t="s">
        <v>66</v>
      </c>
      <c r="O4699" s="11"/>
      <c r="P4699" s="28"/>
      <c r="Q4699" s="28" t="n">
        <f aca="false">P4699*$M4699</f>
        <v>0</v>
      </c>
      <c r="R4699" s="28"/>
      <c r="S4699" s="28" t="n">
        <f aca="false">R4699*$M4699</f>
        <v>0</v>
      </c>
      <c r="T4699" s="28" t="n">
        <v>2562</v>
      </c>
      <c r="U4699" s="36" t="n">
        <v>21777</v>
      </c>
      <c r="V4699" s="28" t="n">
        <v>127</v>
      </c>
      <c r="W4699" s="28" t="n">
        <v>1111</v>
      </c>
      <c r="X4699" s="28" t="n">
        <v>1945</v>
      </c>
      <c r="Y4699" s="28" t="n">
        <v>17018</v>
      </c>
      <c r="Z4699" s="28"/>
      <c r="AA4699" s="28" t="n">
        <f aca="false">Z4699*$M4699</f>
        <v>0</v>
      </c>
      <c r="AB4699" s="28"/>
      <c r="AC4699" s="28" t="n">
        <f aca="false">AB4699*$M4699</f>
        <v>0</v>
      </c>
      <c r="AD4699" s="28"/>
      <c r="AE4699" s="28" t="n">
        <f aca="false">AD4699*$M4699</f>
        <v>0</v>
      </c>
      <c r="AF4699" s="28"/>
      <c r="AG4699" s="28" t="n">
        <f aca="false">AF4699*$M4699</f>
        <v>0</v>
      </c>
      <c r="AH4699" s="28"/>
      <c r="AI4699" s="28" t="n">
        <f aca="false">AH4699*$M4699</f>
        <v>0</v>
      </c>
      <c r="AJ4699" s="28" t="n">
        <v>3538</v>
      </c>
      <c r="AK4699" s="36" t="n">
        <v>30073</v>
      </c>
      <c r="AL4699" s="28"/>
      <c r="AM4699" s="28" t="n">
        <f aca="false">AL4699*$M4699</f>
        <v>0</v>
      </c>
      <c r="AN4699" s="28"/>
      <c r="AO4699" s="28" t="n">
        <f aca="false">AN4699*$M4699</f>
        <v>0</v>
      </c>
      <c r="AP4699" s="28"/>
      <c r="AQ4699" s="28" t="n">
        <f aca="false">AP4699*$M4699</f>
        <v>0</v>
      </c>
      <c r="AR4699" s="28"/>
      <c r="AS4699" s="28" t="n">
        <f aca="false">AR4699*$M4699</f>
        <v>0</v>
      </c>
      <c r="AT4699" s="28"/>
      <c r="AU4699" s="28" t="n">
        <f aca="false">AT4699*$M4699</f>
        <v>0</v>
      </c>
      <c r="AV4699" s="28"/>
      <c r="AW4699" s="28" t="n">
        <f aca="false">AV4699*$M4699</f>
        <v>0</v>
      </c>
      <c r="AX4699" s="28" t="n">
        <v>11559</v>
      </c>
      <c r="AY4699" s="28" t="n">
        <v>101141</v>
      </c>
      <c r="AZ4699" s="30" t="n">
        <v>19731</v>
      </c>
      <c r="BA4699" s="11" t="n">
        <v>171120</v>
      </c>
      <c r="BB4699" s="31" t="n">
        <f aca="false">SUM(Q4699,S4699,U4699,W4699,Y4699,AA4699,AC4699,AE4699,AG4699,AI4699,AK4699,AM4699,AO4699,AQ4699,AS4699,AU4699,AW4699,AY4699)</f>
        <v>171120</v>
      </c>
      <c r="BC4699" s="28" t="n">
        <f aca="false">BA4699-BB4699</f>
        <v>0</v>
      </c>
      <c r="BD4699" s="32" t="n">
        <f aca="false">SUM(P4699,R4699,T4699,V4699,X4699,Z4699,AB4699,AD4699,AF4699,AH4699,AJ4699,AL4699,AN4699,AP4699,AR4699,AT4699,AV4699,AX4699)</f>
        <v>19731</v>
      </c>
      <c r="BE4699" s="33" t="n">
        <f aca="false">AZ4699-BD4699</f>
        <v>0</v>
      </c>
      <c r="BF4699" s="34" t="n">
        <f aca="false">BD4699*M4699</f>
        <v>172646.25</v>
      </c>
      <c r="BG4699" s="35" t="n">
        <f aca="false">BA4699-BF4699</f>
        <v>-1526.25</v>
      </c>
      <c r="BH4699" s="19" t="str">
        <f aca="false">IF(BG4699=0,"",IF(BG4699&lt;&gt;BA4699,"erreur de calcul",IF(BD4699&lt;&gt;0,"pas de prix",IF(M4699&lt;&gt; 0,"pas de quantité","pas de prix, ni de quantité"))))</f>
        <v>erreur de calcul</v>
      </c>
      <c r="BI4699" s="19"/>
    </row>
    <row r="4700" customFormat="false" ht="15" hidden="false" customHeight="false" outlineLevel="0" collapsed="false">
      <c r="A4700" s="0" t="n">
        <v>10</v>
      </c>
      <c r="B4700" s="8" t="s">
        <v>24</v>
      </c>
      <c r="C4700" s="9" t="s">
        <v>25</v>
      </c>
      <c r="D4700" s="9" t="s">
        <v>26</v>
      </c>
      <c r="E4700" s="10" t="n">
        <v>1789</v>
      </c>
      <c r="F4700" s="9" t="s">
        <v>27</v>
      </c>
      <c r="G4700" s="9" t="s">
        <v>27</v>
      </c>
      <c r="H4700" s="11" t="n">
        <v>22</v>
      </c>
      <c r="I4700" s="11" t="s">
        <v>211</v>
      </c>
      <c r="J4700" s="14" t="n">
        <v>11</v>
      </c>
      <c r="K4700" s="14"/>
      <c r="L4700" s="16"/>
      <c r="M4700" s="27" t="n">
        <f aca="false">J4700+(K4700/20)+(L4700/240)</f>
        <v>11</v>
      </c>
      <c r="N4700" s="17" t="s">
        <v>66</v>
      </c>
      <c r="O4700" s="11"/>
      <c r="P4700" s="28" t="n">
        <v>95190</v>
      </c>
      <c r="Q4700" s="28" t="n">
        <v>1047090</v>
      </c>
      <c r="R4700" s="28"/>
      <c r="S4700" s="28" t="n">
        <f aca="false">R4700*$M4700</f>
        <v>0</v>
      </c>
      <c r="T4700" s="28"/>
      <c r="U4700" s="28" t="n">
        <f aca="false">T4700*$M4700</f>
        <v>0</v>
      </c>
      <c r="V4700" s="28"/>
      <c r="W4700" s="28" t="n">
        <f aca="false">V4700*$M4700</f>
        <v>0</v>
      </c>
      <c r="X4700" s="28"/>
      <c r="Y4700" s="28" t="n">
        <f aca="false">X4700*$M4700</f>
        <v>0</v>
      </c>
      <c r="Z4700" s="28"/>
      <c r="AA4700" s="28" t="n">
        <f aca="false">Z4700*$M4700</f>
        <v>0</v>
      </c>
      <c r="AB4700" s="28"/>
      <c r="AC4700" s="28" t="n">
        <f aca="false">AB4700*$M4700</f>
        <v>0</v>
      </c>
      <c r="AD4700" s="28"/>
      <c r="AE4700" s="28" t="n">
        <f aca="false">AD4700*$M4700</f>
        <v>0</v>
      </c>
      <c r="AF4700" s="28"/>
      <c r="AG4700" s="28" t="n">
        <f aca="false">AF4700*$M4700</f>
        <v>0</v>
      </c>
      <c r="AH4700" s="28"/>
      <c r="AI4700" s="28" t="n">
        <f aca="false">AH4700*$M4700</f>
        <v>0</v>
      </c>
      <c r="AJ4700" s="28"/>
      <c r="AK4700" s="28" t="n">
        <f aca="false">AJ4700*$M4700</f>
        <v>0</v>
      </c>
      <c r="AL4700" s="28"/>
      <c r="AM4700" s="28" t="n">
        <f aca="false">AL4700*$M4700</f>
        <v>0</v>
      </c>
      <c r="AN4700" s="28"/>
      <c r="AO4700" s="28" t="n">
        <f aca="false">AN4700*$M4700</f>
        <v>0</v>
      </c>
      <c r="AP4700" s="28"/>
      <c r="AQ4700" s="28" t="n">
        <f aca="false">AP4700*$M4700</f>
        <v>0</v>
      </c>
      <c r="AR4700" s="28"/>
      <c r="AS4700" s="28" t="n">
        <f aca="false">AR4700*$M4700</f>
        <v>0</v>
      </c>
      <c r="AT4700" s="28"/>
      <c r="AU4700" s="28" t="n">
        <f aca="false">AT4700*$M4700</f>
        <v>0</v>
      </c>
      <c r="AV4700" s="28"/>
      <c r="AW4700" s="28" t="n">
        <f aca="false">AV4700*$M4700</f>
        <v>0</v>
      </c>
      <c r="AX4700" s="28"/>
      <c r="AY4700" s="28" t="n">
        <f aca="false">AX4700*$M4700</f>
        <v>0</v>
      </c>
      <c r="AZ4700" s="30" t="n">
        <v>95190</v>
      </c>
      <c r="BA4700" s="11" t="n">
        <v>1047090</v>
      </c>
      <c r="BB4700" s="31" t="n">
        <f aca="false">SUM(Q4700,S4700,U4700,W4700,Y4700,AA4700,AC4700,AE4700,AG4700,AI4700,AK4700,AM4700,AO4700,AQ4700,AS4700,AU4700,AW4700,AY4700)</f>
        <v>1047090</v>
      </c>
      <c r="BC4700" s="28" t="n">
        <f aca="false">BA4700-BB4700</f>
        <v>0</v>
      </c>
      <c r="BD4700" s="32" t="n">
        <f aca="false">SUM(P4700,R4700,T4700,V4700,X4700,Z4700,AB4700,AD4700,AF4700,AH4700,AJ4700,AL4700,AN4700,AP4700,AR4700,AT4700,AV4700,AX4700)</f>
        <v>95190</v>
      </c>
      <c r="BE4700" s="33" t="n">
        <f aca="false">AZ4700-BD4700</f>
        <v>0</v>
      </c>
      <c r="BF4700" s="34" t="n">
        <f aca="false">BD4700*M4700</f>
        <v>1047090</v>
      </c>
      <c r="BG4700" s="35" t="n">
        <f aca="false">BA4700-BF4700</f>
        <v>0</v>
      </c>
      <c r="BH4700" s="19" t="str">
        <f aca="false">IF(BG4700=0,"",IF(BG4700&lt;&gt;BA4700,"erreur de calcul",IF(BD4700&lt;&gt;0,"pas de prix",IF(M4700&lt;&gt; 0,"pas de quantité","pas de prix, ni de quantité"))))</f>
        <v/>
      </c>
      <c r="BI4700" s="19"/>
    </row>
    <row r="4701" customFormat="false" ht="17.15" hidden="false" customHeight="false" outlineLevel="0" collapsed="false">
      <c r="A4701" s="0" t="n">
        <v>11</v>
      </c>
      <c r="B4701" s="8" t="s">
        <v>24</v>
      </c>
      <c r="C4701" s="9" t="s">
        <v>25</v>
      </c>
      <c r="D4701" s="9" t="s">
        <v>26</v>
      </c>
      <c r="E4701" s="10" t="n">
        <v>1789</v>
      </c>
      <c r="F4701" s="9" t="s">
        <v>27</v>
      </c>
      <c r="G4701" s="9" t="s">
        <v>27</v>
      </c>
      <c r="H4701" s="11" t="n">
        <v>22</v>
      </c>
      <c r="I4701" s="40" t="s">
        <v>212</v>
      </c>
      <c r="J4701" s="14" t="n">
        <v>75</v>
      </c>
      <c r="K4701" s="14"/>
      <c r="L4701" s="16"/>
      <c r="M4701" s="27" t="n">
        <f aca="false">J4701+(K4701/20)+(L4701/240)</f>
        <v>75</v>
      </c>
      <c r="N4701" s="17" t="s">
        <v>64</v>
      </c>
      <c r="O4701" s="11"/>
      <c r="P4701" s="28"/>
      <c r="Q4701" s="28" t="n">
        <f aca="false">P4701*$M4701</f>
        <v>0</v>
      </c>
      <c r="R4701" s="28"/>
      <c r="S4701" s="28" t="n">
        <f aca="false">R4701*$M4701</f>
        <v>0</v>
      </c>
      <c r="T4701" s="28"/>
      <c r="U4701" s="28" t="n">
        <f aca="false">T4701*$M4701</f>
        <v>0</v>
      </c>
      <c r="V4701" s="28"/>
      <c r="W4701" s="28" t="n">
        <f aca="false">V4701*$M4701</f>
        <v>0</v>
      </c>
      <c r="X4701" s="28"/>
      <c r="Y4701" s="28" t="n">
        <f aca="false">X4701*$M4701</f>
        <v>0</v>
      </c>
      <c r="Z4701" s="28"/>
      <c r="AA4701" s="28" t="n">
        <f aca="false">Z4701*$M4701</f>
        <v>0</v>
      </c>
      <c r="AB4701" s="28"/>
      <c r="AC4701" s="28" t="n">
        <f aca="false">AB4701*$M4701</f>
        <v>0</v>
      </c>
      <c r="AD4701" s="28"/>
      <c r="AE4701" s="28" t="n">
        <f aca="false">AD4701*$M4701</f>
        <v>0</v>
      </c>
      <c r="AF4701" s="28"/>
      <c r="AG4701" s="28" t="n">
        <f aca="false">AF4701*$M4701</f>
        <v>0</v>
      </c>
      <c r="AH4701" s="28"/>
      <c r="AI4701" s="28" t="n">
        <f aca="false">AH4701*$M4701</f>
        <v>0</v>
      </c>
      <c r="AJ4701" s="28" t="n">
        <f aca="false">2372/100</f>
        <v>23.72</v>
      </c>
      <c r="AK4701" s="28" t="n">
        <v>1779</v>
      </c>
      <c r="AL4701" s="28"/>
      <c r="AM4701" s="28" t="n">
        <f aca="false">AL4701*$M4701</f>
        <v>0</v>
      </c>
      <c r="AN4701" s="28"/>
      <c r="AO4701" s="28" t="n">
        <f aca="false">AN4701*$M4701</f>
        <v>0</v>
      </c>
      <c r="AP4701" s="28"/>
      <c r="AQ4701" s="28" t="n">
        <f aca="false">AP4701*$M4701</f>
        <v>0</v>
      </c>
      <c r="AR4701" s="28"/>
      <c r="AS4701" s="28" t="n">
        <f aca="false">AR4701*$M4701</f>
        <v>0</v>
      </c>
      <c r="AT4701" s="28"/>
      <c r="AU4701" s="28" t="n">
        <f aca="false">AT4701*$M4701</f>
        <v>0</v>
      </c>
      <c r="AV4701" s="28"/>
      <c r="AW4701" s="28" t="n">
        <f aca="false">AV4701*$M4701</f>
        <v>0</v>
      </c>
      <c r="AX4701" s="28"/>
      <c r="AY4701" s="28" t="n">
        <f aca="false">AX4701*$M4701</f>
        <v>0</v>
      </c>
      <c r="AZ4701" s="30" t="n">
        <f aca="false">2372/100</f>
        <v>23.72</v>
      </c>
      <c r="BA4701" s="11" t="n">
        <v>1779</v>
      </c>
      <c r="BB4701" s="31" t="n">
        <f aca="false">SUM(Q4701,S4701,U4701,W4701,Y4701,AA4701,AC4701,AE4701,AG4701,AI4701,AK4701,AM4701,AO4701,AQ4701,AS4701,AU4701,AW4701,AY4701)</f>
        <v>1779</v>
      </c>
      <c r="BC4701" s="28" t="n">
        <f aca="false">BA4701-BB4701</f>
        <v>0</v>
      </c>
      <c r="BD4701" s="32" t="n">
        <f aca="false">SUM(P4701,R4701,T4701,V4701,X4701,Z4701,AB4701,AD4701,AF4701,AH4701,AJ4701,AL4701,AN4701,AP4701,AR4701,AT4701,AV4701,AX4701)</f>
        <v>23.72</v>
      </c>
      <c r="BE4701" s="33" t="n">
        <f aca="false">AZ4701-BD4701</f>
        <v>0</v>
      </c>
      <c r="BF4701" s="34" t="n">
        <f aca="false">BD4701*M4701</f>
        <v>1779</v>
      </c>
      <c r="BG4701" s="35" t="n">
        <f aca="false">BA4701-BF4701</f>
        <v>0</v>
      </c>
      <c r="BH4701" s="19" t="str">
        <f aca="false">IF(BG4701=0,"",IF(BG4701&lt;&gt;BA4701,"erreur de calcul",IF(BD4701&lt;&gt;0,"pas de prix",IF(M4701&lt;&gt; 0,"pas de quantité","pas de prix, ni de quantité"))))</f>
        <v/>
      </c>
      <c r="BI4701" s="19"/>
    </row>
    <row r="4702" customFormat="false" ht="15" hidden="false" customHeight="false" outlineLevel="0" collapsed="false">
      <c r="A4702" s="0" t="n">
        <v>12</v>
      </c>
      <c r="B4702" s="8" t="s">
        <v>24</v>
      </c>
      <c r="C4702" s="9" t="s">
        <v>25</v>
      </c>
      <c r="D4702" s="9" t="s">
        <v>26</v>
      </c>
      <c r="E4702" s="10" t="n">
        <v>1789</v>
      </c>
      <c r="F4702" s="9" t="s">
        <v>27</v>
      </c>
      <c r="G4702" s="9" t="s">
        <v>27</v>
      </c>
      <c r="H4702" s="11" t="n">
        <v>22</v>
      </c>
      <c r="I4702" s="11" t="s">
        <v>213</v>
      </c>
      <c r="J4702" s="14" t="n">
        <v>31</v>
      </c>
      <c r="K4702" s="14"/>
      <c r="L4702" s="16"/>
      <c r="M4702" s="27" t="n">
        <f aca="false">J4702+(K4702/20)+(L4702/240)</f>
        <v>31</v>
      </c>
      <c r="N4702" s="17" t="s">
        <v>64</v>
      </c>
      <c r="O4702" s="11"/>
      <c r="P4702" s="28"/>
      <c r="Q4702" s="28" t="n">
        <f aca="false">P4702*$M4702</f>
        <v>0</v>
      </c>
      <c r="R4702" s="28"/>
      <c r="S4702" s="28" t="n">
        <f aca="false">R4702*$M4702</f>
        <v>0</v>
      </c>
      <c r="T4702" s="28"/>
      <c r="U4702" s="28" t="n">
        <f aca="false">T4702*$M4702</f>
        <v>0</v>
      </c>
      <c r="V4702" s="28"/>
      <c r="W4702" s="28" t="n">
        <f aca="false">V4702*$M4702</f>
        <v>0</v>
      </c>
      <c r="X4702" s="28" t="n">
        <f aca="false">18202/100</f>
        <v>182.02</v>
      </c>
      <c r="Y4702" s="28" t="n">
        <v>5643</v>
      </c>
      <c r="Z4702" s="28"/>
      <c r="AA4702" s="28" t="n">
        <f aca="false">Z4702*$M4702</f>
        <v>0</v>
      </c>
      <c r="AB4702" s="28"/>
      <c r="AC4702" s="28" t="n">
        <f aca="false">AB4702*$M4702</f>
        <v>0</v>
      </c>
      <c r="AD4702" s="28"/>
      <c r="AE4702" s="28" t="n">
        <f aca="false">AD4702*$M4702</f>
        <v>0</v>
      </c>
      <c r="AF4702" s="28"/>
      <c r="AG4702" s="28" t="n">
        <f aca="false">AF4702*$M4702</f>
        <v>0</v>
      </c>
      <c r="AH4702" s="28"/>
      <c r="AI4702" s="28" t="n">
        <f aca="false">AH4702*$M4702</f>
        <v>0</v>
      </c>
      <c r="AJ4702" s="28"/>
      <c r="AK4702" s="28" t="n">
        <f aca="false">AJ4702*$M4702</f>
        <v>0</v>
      </c>
      <c r="AL4702" s="28"/>
      <c r="AM4702" s="28" t="n">
        <f aca="false">AL4702*$M4702</f>
        <v>0</v>
      </c>
      <c r="AN4702" s="28"/>
      <c r="AO4702" s="28" t="n">
        <f aca="false">AN4702*$M4702</f>
        <v>0</v>
      </c>
      <c r="AP4702" s="28"/>
      <c r="AQ4702" s="28" t="n">
        <f aca="false">AP4702*$M4702</f>
        <v>0</v>
      </c>
      <c r="AR4702" s="28"/>
      <c r="AS4702" s="28" t="n">
        <f aca="false">AR4702*$M4702</f>
        <v>0</v>
      </c>
      <c r="AT4702" s="28"/>
      <c r="AU4702" s="28" t="n">
        <f aca="false">AT4702*$M4702</f>
        <v>0</v>
      </c>
      <c r="AV4702" s="28"/>
      <c r="AW4702" s="28" t="n">
        <f aca="false">AV4702*$M4702</f>
        <v>0</v>
      </c>
      <c r="AX4702" s="28"/>
      <c r="AY4702" s="28" t="n">
        <f aca="false">AX4702*$M4702</f>
        <v>0</v>
      </c>
      <c r="AZ4702" s="30" t="n">
        <f aca="false">18202/100</f>
        <v>182.02</v>
      </c>
      <c r="BA4702" s="11" t="n">
        <v>5643</v>
      </c>
      <c r="BB4702" s="31" t="n">
        <f aca="false">SUM(Q4702,S4702,U4702,W4702,Y4702,AA4702,AC4702,AE4702,AG4702,AI4702,AK4702,AM4702,AO4702,AQ4702,AS4702,AU4702,AW4702,AY4702)</f>
        <v>5643</v>
      </c>
      <c r="BC4702" s="28" t="n">
        <f aca="false">BA4702-BB4702</f>
        <v>0</v>
      </c>
      <c r="BD4702" s="32" t="n">
        <f aca="false">SUM(P4702,R4702,T4702,V4702,X4702,Z4702,AB4702,AD4702,AF4702,AH4702,AJ4702,AL4702,AN4702,AP4702,AR4702,AT4702,AV4702,AX4702)</f>
        <v>182.02</v>
      </c>
      <c r="BE4702" s="33" t="n">
        <f aca="false">AZ4702-BD4702</f>
        <v>0</v>
      </c>
      <c r="BF4702" s="34" t="n">
        <f aca="false">BD4702*M4702</f>
        <v>5642.62</v>
      </c>
      <c r="BG4702" s="35" t="n">
        <f aca="false">BA4702-BF4702</f>
        <v>0.380000000000109</v>
      </c>
      <c r="BH4702" s="19" t="str">
        <f aca="false">IF(BG4702=0,"",IF(BG4702&lt;&gt;BA4702,"erreur de calcul",IF(BD4702&lt;&gt;0,"pas de prix",IF(M4702&lt;&gt; 0,"pas de quantité","pas de prix, ni de quantité"))))</f>
        <v>erreur de calcul</v>
      </c>
      <c r="BI4702" s="19"/>
    </row>
    <row r="4703" customFormat="false" ht="15" hidden="false" customHeight="false" outlineLevel="0" collapsed="false">
      <c r="A4703" s="0" t="n">
        <v>13</v>
      </c>
      <c r="B4703" s="8" t="s">
        <v>24</v>
      </c>
      <c r="C4703" s="9" t="s">
        <v>25</v>
      </c>
      <c r="D4703" s="9" t="s">
        <v>26</v>
      </c>
      <c r="E4703" s="10" t="n">
        <v>1789</v>
      </c>
      <c r="F4703" s="9" t="s">
        <v>27</v>
      </c>
      <c r="G4703" s="9" t="s">
        <v>27</v>
      </c>
      <c r="H4703" s="11" t="n">
        <v>22</v>
      </c>
      <c r="I4703" s="11" t="s">
        <v>214</v>
      </c>
      <c r="J4703" s="14"/>
      <c r="K4703" s="14" t="n">
        <v>20</v>
      </c>
      <c r="L4703" s="16"/>
      <c r="M4703" s="27" t="n">
        <f aca="false">J4703+(K4703/20)+(L4703/240)</f>
        <v>1</v>
      </c>
      <c r="N4703" s="17" t="s">
        <v>66</v>
      </c>
      <c r="O4703" s="11"/>
      <c r="P4703" s="28"/>
      <c r="Q4703" s="28" t="n">
        <f aca="false">P4703*$M4703</f>
        <v>0</v>
      </c>
      <c r="R4703" s="28"/>
      <c r="S4703" s="28" t="n">
        <f aca="false">R4703*$M4703</f>
        <v>0</v>
      </c>
      <c r="T4703" s="28"/>
      <c r="U4703" s="28" t="n">
        <f aca="false">T4703*$M4703</f>
        <v>0</v>
      </c>
      <c r="V4703" s="28"/>
      <c r="W4703" s="28" t="n">
        <f aca="false">V4703*$M4703</f>
        <v>0</v>
      </c>
      <c r="X4703" s="28"/>
      <c r="Y4703" s="28" t="n">
        <f aca="false">X4703*$M4703</f>
        <v>0</v>
      </c>
      <c r="Z4703" s="28"/>
      <c r="AA4703" s="28" t="n">
        <f aca="false">Z4703*$M4703</f>
        <v>0</v>
      </c>
      <c r="AB4703" s="28"/>
      <c r="AC4703" s="28" t="n">
        <f aca="false">AB4703*$M4703</f>
        <v>0</v>
      </c>
      <c r="AD4703" s="28" t="n">
        <v>2831</v>
      </c>
      <c r="AE4703" s="28" t="n">
        <v>2831</v>
      </c>
      <c r="AF4703" s="28"/>
      <c r="AG4703" s="28" t="n">
        <f aca="false">AF4703*$M4703</f>
        <v>0</v>
      </c>
      <c r="AH4703" s="28"/>
      <c r="AI4703" s="28" t="n">
        <f aca="false">AH4703*$M4703</f>
        <v>0</v>
      </c>
      <c r="AJ4703" s="28"/>
      <c r="AK4703" s="28" t="n">
        <f aca="false">AJ4703*$M4703</f>
        <v>0</v>
      </c>
      <c r="AL4703" s="28"/>
      <c r="AM4703" s="28" t="n">
        <f aca="false">AL4703*$M4703</f>
        <v>0</v>
      </c>
      <c r="AN4703" s="28"/>
      <c r="AO4703" s="28" t="n">
        <f aca="false">AN4703*$M4703</f>
        <v>0</v>
      </c>
      <c r="AP4703" s="28"/>
      <c r="AQ4703" s="28" t="n">
        <f aca="false">AP4703*$M4703</f>
        <v>0</v>
      </c>
      <c r="AR4703" s="28"/>
      <c r="AS4703" s="28" t="n">
        <f aca="false">AR4703*$M4703</f>
        <v>0</v>
      </c>
      <c r="AT4703" s="28"/>
      <c r="AU4703" s="28" t="n">
        <f aca="false">AT4703*$M4703</f>
        <v>0</v>
      </c>
      <c r="AV4703" s="28"/>
      <c r="AW4703" s="28" t="n">
        <f aca="false">AV4703*$M4703</f>
        <v>0</v>
      </c>
      <c r="AX4703" s="28"/>
      <c r="AY4703" s="28" t="n">
        <f aca="false">AX4703*$M4703</f>
        <v>0</v>
      </c>
      <c r="AZ4703" s="30" t="n">
        <v>2831</v>
      </c>
      <c r="BA4703" s="11" t="n">
        <v>2831</v>
      </c>
      <c r="BB4703" s="31" t="n">
        <f aca="false">SUM(Q4703,S4703,U4703,W4703,Y4703,AA4703,AC4703,AE4703,AG4703,AI4703,AK4703,AM4703,AO4703,AQ4703,AS4703,AU4703,AW4703,AY4703)</f>
        <v>2831</v>
      </c>
      <c r="BC4703" s="28" t="n">
        <f aca="false">BA4703-BB4703</f>
        <v>0</v>
      </c>
      <c r="BD4703" s="32" t="n">
        <f aca="false">SUM(P4703,R4703,T4703,V4703,X4703,Z4703,AB4703,AD4703,AF4703,AH4703,AJ4703,AL4703,AN4703,AP4703,AR4703,AT4703,AV4703,AX4703)</f>
        <v>2831</v>
      </c>
      <c r="BE4703" s="33" t="n">
        <f aca="false">AZ4703-BD4703</f>
        <v>0</v>
      </c>
      <c r="BF4703" s="34" t="n">
        <f aca="false">BD4703*M4703</f>
        <v>2831</v>
      </c>
      <c r="BG4703" s="35" t="n">
        <f aca="false">BA4703-BF4703</f>
        <v>0</v>
      </c>
      <c r="BH4703" s="19" t="str">
        <f aca="false">IF(BG4703=0,"",IF(BG4703&lt;&gt;BA4703,"erreur de calcul",IF(BD4703&lt;&gt;0,"pas de prix",IF(M4703&lt;&gt; 0,"pas de quantité","pas de prix, ni de quantité"))))</f>
        <v/>
      </c>
      <c r="BI4703" s="19"/>
    </row>
    <row r="4704" customFormat="false" ht="15" hidden="false" customHeight="false" outlineLevel="0" collapsed="false">
      <c r="A4704" s="0" t="n">
        <v>14</v>
      </c>
      <c r="B4704" s="8" t="s">
        <v>24</v>
      </c>
      <c r="C4704" s="9" t="s">
        <v>25</v>
      </c>
      <c r="D4704" s="9" t="s">
        <v>26</v>
      </c>
      <c r="E4704" s="10" t="n">
        <v>1789</v>
      </c>
      <c r="F4704" s="9" t="s">
        <v>27</v>
      </c>
      <c r="G4704" s="9" t="s">
        <v>27</v>
      </c>
      <c r="H4704" s="11" t="n">
        <v>22</v>
      </c>
      <c r="I4704" s="11" t="s">
        <v>215</v>
      </c>
      <c r="J4704" s="14" t="n">
        <v>36</v>
      </c>
      <c r="K4704" s="14"/>
      <c r="L4704" s="16"/>
      <c r="M4704" s="27" t="n">
        <f aca="false">J4704+(K4704/20)+(L4704/240)</f>
        <v>36</v>
      </c>
      <c r="N4704" s="17" t="s">
        <v>64</v>
      </c>
      <c r="O4704" s="11"/>
      <c r="P4704" s="28"/>
      <c r="Q4704" s="28" t="n">
        <f aca="false">P4704*$M4704</f>
        <v>0</v>
      </c>
      <c r="R4704" s="28"/>
      <c r="S4704" s="28" t="n">
        <f aca="false">R4704*$M4704</f>
        <v>0</v>
      </c>
      <c r="T4704" s="28"/>
      <c r="U4704" s="28" t="n">
        <f aca="false">T4704*$M4704</f>
        <v>0</v>
      </c>
      <c r="V4704" s="28"/>
      <c r="W4704" s="28" t="n">
        <f aca="false">V4704*$M4704</f>
        <v>0</v>
      </c>
      <c r="X4704" s="28"/>
      <c r="Y4704" s="28" t="n">
        <f aca="false">X4704*$M4704</f>
        <v>0</v>
      </c>
      <c r="Z4704" s="28"/>
      <c r="AA4704" s="28" t="n">
        <f aca="false">Z4704*$M4704</f>
        <v>0</v>
      </c>
      <c r="AB4704" s="28"/>
      <c r="AC4704" s="28" t="n">
        <f aca="false">AB4704*$M4704</f>
        <v>0</v>
      </c>
      <c r="AD4704" s="28"/>
      <c r="AE4704" s="28" t="n">
        <f aca="false">AD4704*$M4704</f>
        <v>0</v>
      </c>
      <c r="AF4704" s="28" t="n">
        <f aca="false">92472/100</f>
        <v>924.72</v>
      </c>
      <c r="AG4704" s="28" t="n">
        <v>33290</v>
      </c>
      <c r="AH4704" s="28" t="n">
        <f aca="false">490633/100</f>
        <v>4906.33</v>
      </c>
      <c r="AI4704" s="28" t="n">
        <v>176628</v>
      </c>
      <c r="AJ4704" s="28"/>
      <c r="AK4704" s="28" t="n">
        <f aca="false">AJ4704*$M4704</f>
        <v>0</v>
      </c>
      <c r="AL4704" s="28"/>
      <c r="AM4704" s="28" t="n">
        <f aca="false">AL4704*$M4704</f>
        <v>0</v>
      </c>
      <c r="AN4704" s="28"/>
      <c r="AO4704" s="28" t="n">
        <f aca="false">AN4704*$M4704</f>
        <v>0</v>
      </c>
      <c r="AP4704" s="28"/>
      <c r="AQ4704" s="28" t="n">
        <f aca="false">AP4704*$M4704</f>
        <v>0</v>
      </c>
      <c r="AR4704" s="28"/>
      <c r="AS4704" s="28" t="n">
        <f aca="false">AR4704*$M4704</f>
        <v>0</v>
      </c>
      <c r="AT4704" s="28"/>
      <c r="AU4704" s="28" t="n">
        <f aca="false">AT4704*$M4704</f>
        <v>0</v>
      </c>
      <c r="AV4704" s="28"/>
      <c r="AW4704" s="28" t="n">
        <f aca="false">AV4704*$M4704</f>
        <v>0</v>
      </c>
      <c r="AX4704" s="28"/>
      <c r="AY4704" s="28" t="n">
        <f aca="false">AX4704*$M4704</f>
        <v>0</v>
      </c>
      <c r="AZ4704" s="30" t="n">
        <f aca="false">583105/100</f>
        <v>5831.05</v>
      </c>
      <c r="BA4704" s="11" t="n">
        <v>209918</v>
      </c>
      <c r="BB4704" s="31" t="n">
        <f aca="false">SUM(Q4704,S4704,U4704,W4704,Y4704,AA4704,AC4704,AE4704,AG4704,AI4704,AK4704,AM4704,AO4704,AQ4704,AS4704,AU4704,AW4704,AY4704)</f>
        <v>209918</v>
      </c>
      <c r="BC4704" s="28" t="n">
        <f aca="false">BA4704-BB4704</f>
        <v>0</v>
      </c>
      <c r="BD4704" s="32" t="n">
        <f aca="false">SUM(P4704,R4704,T4704,V4704,X4704,Z4704,AB4704,AD4704,AF4704,AH4704,AJ4704,AL4704,AN4704,AP4704,AR4704,AT4704,AV4704,AX4704)</f>
        <v>5831.05</v>
      </c>
      <c r="BE4704" s="33" t="n">
        <f aca="false">AZ4704-BD4704</f>
        <v>0</v>
      </c>
      <c r="BF4704" s="34" t="n">
        <f aca="false">BD4704*M4704</f>
        <v>209917.8</v>
      </c>
      <c r="BG4704" s="35" t="n">
        <f aca="false">BA4704-BF4704</f>
        <v>0.199999999982538</v>
      </c>
      <c r="BH4704" s="19" t="str">
        <f aca="false">IF(BG4704=0,"",IF(BG4704&lt;&gt;BA4704,"erreur de calcul",IF(BD4704&lt;&gt;0,"pas de prix",IF(M4704&lt;&gt; 0,"pas de quantité","pas de prix, ni de quantité"))))</f>
        <v>erreur de calcul</v>
      </c>
      <c r="BI4704" s="19"/>
    </row>
    <row r="4705" customFormat="false" ht="15" hidden="false" customHeight="false" outlineLevel="0" collapsed="false">
      <c r="A4705" s="0" t="n">
        <v>15</v>
      </c>
      <c r="B4705" s="8" t="s">
        <v>24</v>
      </c>
      <c r="C4705" s="9" t="s">
        <v>25</v>
      </c>
      <c r="D4705" s="9" t="s">
        <v>26</v>
      </c>
      <c r="E4705" s="10" t="n">
        <v>1789</v>
      </c>
      <c r="F4705" s="9" t="s">
        <v>27</v>
      </c>
      <c r="G4705" s="9" t="s">
        <v>27</v>
      </c>
      <c r="H4705" s="11" t="n">
        <v>22</v>
      </c>
      <c r="I4705" s="11" t="s">
        <v>216</v>
      </c>
      <c r="J4705" s="14"/>
      <c r="K4705" s="14" t="n">
        <v>22</v>
      </c>
      <c r="L4705" s="16"/>
      <c r="M4705" s="27" t="n">
        <f aca="false">J4705+(K4705/20)+(L4705/240)</f>
        <v>1.1</v>
      </c>
      <c r="N4705" s="17" t="s">
        <v>66</v>
      </c>
      <c r="O4705" s="11"/>
      <c r="P4705" s="28"/>
      <c r="Q4705" s="28" t="n">
        <f aca="false">P4705*$M4705</f>
        <v>0</v>
      </c>
      <c r="R4705" s="28"/>
      <c r="S4705" s="28" t="n">
        <f aca="false">R4705*$M4705</f>
        <v>0</v>
      </c>
      <c r="T4705" s="28" t="n">
        <v>2875</v>
      </c>
      <c r="U4705" s="28" t="n">
        <v>3162</v>
      </c>
      <c r="V4705" s="28"/>
      <c r="W4705" s="28" t="n">
        <f aca="false">V4705*$M4705</f>
        <v>0</v>
      </c>
      <c r="X4705" s="28"/>
      <c r="Y4705" s="28" t="n">
        <f aca="false">X4705*$M4705</f>
        <v>0</v>
      </c>
      <c r="Z4705" s="28"/>
      <c r="AA4705" s="28" t="n">
        <f aca="false">Z4705*$M4705</f>
        <v>0</v>
      </c>
      <c r="AB4705" s="28"/>
      <c r="AC4705" s="28" t="n">
        <f aca="false">AB4705*$M4705</f>
        <v>0</v>
      </c>
      <c r="AD4705" s="28"/>
      <c r="AE4705" s="28" t="n">
        <f aca="false">AD4705*$M4705</f>
        <v>0</v>
      </c>
      <c r="AF4705" s="28"/>
      <c r="AG4705" s="28" t="n">
        <f aca="false">AF4705*$M4705</f>
        <v>0</v>
      </c>
      <c r="AH4705" s="28"/>
      <c r="AI4705" s="28" t="n">
        <f aca="false">AH4705*$M4705</f>
        <v>0</v>
      </c>
      <c r="AJ4705" s="28"/>
      <c r="AK4705" s="28" t="n">
        <f aca="false">AJ4705*$M4705</f>
        <v>0</v>
      </c>
      <c r="AL4705" s="28"/>
      <c r="AM4705" s="28" t="n">
        <f aca="false">AL4705*$M4705</f>
        <v>0</v>
      </c>
      <c r="AN4705" s="28"/>
      <c r="AO4705" s="28" t="n">
        <f aca="false">AN4705*$M4705</f>
        <v>0</v>
      </c>
      <c r="AP4705" s="28"/>
      <c r="AQ4705" s="28" t="n">
        <f aca="false">AP4705*$M4705</f>
        <v>0</v>
      </c>
      <c r="AR4705" s="28"/>
      <c r="AS4705" s="28" t="n">
        <f aca="false">AR4705*$M4705</f>
        <v>0</v>
      </c>
      <c r="AT4705" s="28"/>
      <c r="AU4705" s="28" t="n">
        <f aca="false">AT4705*$M4705</f>
        <v>0</v>
      </c>
      <c r="AV4705" s="28"/>
      <c r="AW4705" s="28" t="n">
        <f aca="false">AV4705*$M4705</f>
        <v>0</v>
      </c>
      <c r="AX4705" s="28"/>
      <c r="AY4705" s="28" t="n">
        <f aca="false">AX4705*$M4705</f>
        <v>0</v>
      </c>
      <c r="AZ4705" s="30" t="n">
        <v>2875</v>
      </c>
      <c r="BA4705" s="11" t="n">
        <v>3162</v>
      </c>
      <c r="BB4705" s="31" t="n">
        <f aca="false">SUM(Q4705,S4705,U4705,W4705,Y4705,AA4705,AC4705,AE4705,AG4705,AI4705,AK4705,AM4705,AO4705,AQ4705,AS4705,AU4705,AW4705,AY4705)</f>
        <v>3162</v>
      </c>
      <c r="BC4705" s="28" t="n">
        <f aca="false">BA4705-BB4705</f>
        <v>0</v>
      </c>
      <c r="BD4705" s="32" t="n">
        <f aca="false">SUM(P4705,R4705,T4705,V4705,X4705,Z4705,AB4705,AD4705,AF4705,AH4705,AJ4705,AL4705,AN4705,AP4705,AR4705,AT4705,AV4705,AX4705)</f>
        <v>2875</v>
      </c>
      <c r="BE4705" s="33" t="n">
        <f aca="false">AZ4705-BD4705</f>
        <v>0</v>
      </c>
      <c r="BF4705" s="34" t="n">
        <f aca="false">BD4705*M4705</f>
        <v>3162.5</v>
      </c>
      <c r="BG4705" s="35" t="n">
        <f aca="false">BA4705-BF4705</f>
        <v>-0.500000000000455</v>
      </c>
      <c r="BH4705" s="19" t="str">
        <f aca="false">IF(BG4705=0,"",IF(BG4705&lt;&gt;BA4705,"erreur de calcul",IF(BD4705&lt;&gt;0,"pas de prix",IF(M4705&lt;&gt; 0,"pas de quantité","pas de prix, ni de quantité"))))</f>
        <v>erreur de calcul</v>
      </c>
      <c r="BI4705" s="19"/>
    </row>
    <row r="4706" customFormat="false" ht="15" hidden="false" customHeight="false" outlineLevel="0" collapsed="false">
      <c r="A4706" s="0" t="n">
        <v>16</v>
      </c>
      <c r="B4706" s="8" t="s">
        <v>24</v>
      </c>
      <c r="C4706" s="9" t="s">
        <v>25</v>
      </c>
      <c r="D4706" s="9" t="s">
        <v>26</v>
      </c>
      <c r="E4706" s="10" t="n">
        <v>1789</v>
      </c>
      <c r="F4706" s="9" t="s">
        <v>27</v>
      </c>
      <c r="G4706" s="9" t="s">
        <v>27</v>
      </c>
      <c r="H4706" s="11" t="n">
        <v>22</v>
      </c>
      <c r="I4706" s="11" t="s">
        <v>217</v>
      </c>
      <c r="J4706" s="14" t="n">
        <v>90</v>
      </c>
      <c r="K4706" s="14"/>
      <c r="L4706" s="16"/>
      <c r="M4706" s="27" t="n">
        <f aca="false">J4706+(K4706/20)+(L4706/240)</f>
        <v>90</v>
      </c>
      <c r="N4706" s="17" t="s">
        <v>64</v>
      </c>
      <c r="O4706" s="11"/>
      <c r="P4706" s="28"/>
      <c r="Q4706" s="28" t="n">
        <f aca="false">P4706*$M4706</f>
        <v>0</v>
      </c>
      <c r="R4706" s="28"/>
      <c r="S4706" s="28" t="n">
        <f aca="false">R4706*$M4706</f>
        <v>0</v>
      </c>
      <c r="T4706" s="28"/>
      <c r="U4706" s="28" t="n">
        <f aca="false">T4706*$M4706</f>
        <v>0</v>
      </c>
      <c r="V4706" s="28"/>
      <c r="W4706" s="28" t="n">
        <f aca="false">V4706*$M4706</f>
        <v>0</v>
      </c>
      <c r="X4706" s="28" t="n">
        <f aca="false">2440/100</f>
        <v>24.4</v>
      </c>
      <c r="Y4706" s="28" t="n">
        <v>2196</v>
      </c>
      <c r="Z4706" s="28"/>
      <c r="AA4706" s="28" t="n">
        <f aca="false">Z4706*$M4706</f>
        <v>0</v>
      </c>
      <c r="AB4706" s="28"/>
      <c r="AC4706" s="28" t="n">
        <f aca="false">AB4706*$M4706</f>
        <v>0</v>
      </c>
      <c r="AD4706" s="28"/>
      <c r="AE4706" s="28" t="n">
        <f aca="false">AD4706*$M4706</f>
        <v>0</v>
      </c>
      <c r="AF4706" s="28"/>
      <c r="AG4706" s="28" t="n">
        <f aca="false">AF4706*$M4706</f>
        <v>0</v>
      </c>
      <c r="AH4706" s="28" t="n">
        <f aca="false">524577/100</f>
        <v>5245.77</v>
      </c>
      <c r="AI4706" s="28" t="n">
        <v>472116</v>
      </c>
      <c r="AJ4706" s="28"/>
      <c r="AK4706" s="28" t="n">
        <f aca="false">AJ4706*$M4706</f>
        <v>0</v>
      </c>
      <c r="AL4706" s="28"/>
      <c r="AM4706" s="28" t="n">
        <f aca="false">AL4706*$M4706</f>
        <v>0</v>
      </c>
      <c r="AN4706" s="28"/>
      <c r="AO4706" s="28" t="n">
        <f aca="false">AN4706*$M4706</f>
        <v>0</v>
      </c>
      <c r="AP4706" s="28"/>
      <c r="AQ4706" s="28" t="n">
        <f aca="false">AP4706*$M4706</f>
        <v>0</v>
      </c>
      <c r="AR4706" s="28"/>
      <c r="AS4706" s="28" t="n">
        <f aca="false">AR4706*$M4706</f>
        <v>0</v>
      </c>
      <c r="AT4706" s="28"/>
      <c r="AU4706" s="28" t="n">
        <f aca="false">AT4706*$M4706</f>
        <v>0</v>
      </c>
      <c r="AV4706" s="28"/>
      <c r="AW4706" s="28" t="n">
        <f aca="false">AV4706*$M4706</f>
        <v>0</v>
      </c>
      <c r="AX4706" s="28"/>
      <c r="AY4706" s="28" t="n">
        <f aca="false">AX4706*$M4706</f>
        <v>0</v>
      </c>
      <c r="AZ4706" s="30" t="n">
        <f aca="false">526980/100</f>
        <v>5269.8</v>
      </c>
      <c r="BA4706" s="11" t="n">
        <v>474312</v>
      </c>
      <c r="BB4706" s="31" t="n">
        <f aca="false">SUM(Q4706,S4706,U4706,W4706,Y4706,AA4706,AC4706,AE4706,AG4706,AI4706,AK4706,AM4706,AO4706,AQ4706,AS4706,AU4706,AW4706,AY4706)</f>
        <v>474312</v>
      </c>
      <c r="BC4706" s="28" t="n">
        <f aca="false">BA4706-BB4706</f>
        <v>0</v>
      </c>
      <c r="BD4706" s="32" t="n">
        <f aca="false">SUM(P4706,R4706,T4706,V4706,X4706,Z4706,AB4706,AD4706,AF4706,AH4706,AJ4706,AL4706,AN4706,AP4706,AR4706,AT4706,AV4706,AX4706)</f>
        <v>5270.17</v>
      </c>
      <c r="BE4706" s="33" t="n">
        <f aca="false">AZ4706-BD4706</f>
        <v>-0.369999999999891</v>
      </c>
      <c r="BF4706" s="34" t="n">
        <f aca="false">BD4706*M4706</f>
        <v>474315.3</v>
      </c>
      <c r="BG4706" s="35" t="n">
        <f aca="false">BA4706-BF4706</f>
        <v>-3.29999999998836</v>
      </c>
      <c r="BH4706" s="19" t="str">
        <f aca="false">IF(BG4706=0,"",IF(BG4706&lt;&gt;BA4706,"erreur de calcul",IF(BD4706&lt;&gt;0,"pas de prix",IF(M4706&lt;&gt; 0,"pas de quantité","pas de prix, ni de quantité"))))</f>
        <v>erreur de calcul</v>
      </c>
      <c r="BI4706" s="19"/>
    </row>
    <row r="4707" customFormat="false" ht="15" hidden="false" customHeight="false" outlineLevel="0" collapsed="false">
      <c r="A4707" s="0" t="n">
        <v>17</v>
      </c>
      <c r="B4707" s="8" t="s">
        <v>24</v>
      </c>
      <c r="C4707" s="9" t="s">
        <v>25</v>
      </c>
      <c r="D4707" s="9" t="s">
        <v>26</v>
      </c>
      <c r="E4707" s="10" t="n">
        <v>1789</v>
      </c>
      <c r="F4707" s="9" t="s">
        <v>27</v>
      </c>
      <c r="G4707" s="9" t="s">
        <v>27</v>
      </c>
      <c r="H4707" s="11" t="n">
        <v>22</v>
      </c>
      <c r="I4707" s="11" t="s">
        <v>218</v>
      </c>
      <c r="J4707" s="14" t="n">
        <v>15</v>
      </c>
      <c r="K4707" s="14"/>
      <c r="L4707" s="16"/>
      <c r="M4707" s="27" t="n">
        <f aca="false">J4707+(K4707/20)+(L4707/240)</f>
        <v>15</v>
      </c>
      <c r="N4707" s="17" t="s">
        <v>64</v>
      </c>
      <c r="O4707" s="11"/>
      <c r="P4707" s="28" t="n">
        <f aca="false">12250/100</f>
        <v>122.5</v>
      </c>
      <c r="Q4707" s="28" t="n">
        <v>1837</v>
      </c>
      <c r="R4707" s="28"/>
      <c r="S4707" s="28" t="n">
        <f aca="false">R4707*$M4707</f>
        <v>0</v>
      </c>
      <c r="T4707" s="28"/>
      <c r="U4707" s="28" t="n">
        <f aca="false">T4707*$M4707</f>
        <v>0</v>
      </c>
      <c r="V4707" s="28" t="n">
        <f aca="false">118493/100</f>
        <v>1184.93</v>
      </c>
      <c r="W4707" s="28" t="n">
        <v>17774</v>
      </c>
      <c r="X4707" s="28" t="n">
        <f aca="false">16835/100</f>
        <v>168.35</v>
      </c>
      <c r="Y4707" s="28" t="n">
        <v>2525</v>
      </c>
      <c r="Z4707" s="28"/>
      <c r="AA4707" s="28" t="n">
        <f aca="false">Z4707*$M4707</f>
        <v>0</v>
      </c>
      <c r="AB4707" s="28" t="n">
        <f aca="false">268622/100</f>
        <v>2686.22</v>
      </c>
      <c r="AC4707" s="28" t="n">
        <v>40293</v>
      </c>
      <c r="AD4707" s="28"/>
      <c r="AE4707" s="28" t="n">
        <f aca="false">AD4707*$M4707</f>
        <v>0</v>
      </c>
      <c r="AF4707" s="28"/>
      <c r="AG4707" s="28" t="n">
        <f aca="false">AF4707*$M4707</f>
        <v>0</v>
      </c>
      <c r="AH4707" s="28" t="n">
        <f aca="false">70164/100</f>
        <v>701.64</v>
      </c>
      <c r="AI4707" s="28" t="n">
        <v>10524</v>
      </c>
      <c r="AJ4707" s="28"/>
      <c r="AK4707" s="28" t="n">
        <f aca="false">AJ4707*$M4707</f>
        <v>0</v>
      </c>
      <c r="AL4707" s="28"/>
      <c r="AM4707" s="28" t="n">
        <f aca="false">AL4707*$M4707</f>
        <v>0</v>
      </c>
      <c r="AN4707" s="28"/>
      <c r="AO4707" s="28" t="n">
        <f aca="false">AN4707*$M4707</f>
        <v>0</v>
      </c>
      <c r="AP4707" s="28"/>
      <c r="AQ4707" s="28" t="n">
        <f aca="false">AP4707*$M4707</f>
        <v>0</v>
      </c>
      <c r="AR4707" s="28"/>
      <c r="AS4707" s="28" t="n">
        <f aca="false">AR4707*$M4707</f>
        <v>0</v>
      </c>
      <c r="AT4707" s="28"/>
      <c r="AU4707" s="28" t="n">
        <f aca="false">AT4707*$M4707</f>
        <v>0</v>
      </c>
      <c r="AV4707" s="28"/>
      <c r="AW4707" s="28" t="n">
        <f aca="false">AV4707*$M4707</f>
        <v>0</v>
      </c>
      <c r="AX4707" s="28"/>
      <c r="AY4707" s="28" t="n">
        <f aca="false">AX4707*$M4707</f>
        <v>0</v>
      </c>
      <c r="AZ4707" s="30" t="n">
        <f aca="false">486364/100</f>
        <v>4863.64</v>
      </c>
      <c r="BA4707" s="11" t="n">
        <v>72953</v>
      </c>
      <c r="BB4707" s="31" t="n">
        <f aca="false">SUM(Q4707,S4707,U4707,W4707,Y4707,AA4707,AC4707,AE4707,AG4707,AI4707,AK4707,AM4707,AO4707,AQ4707,AS4707,AU4707,AW4707,AY4707)</f>
        <v>72953</v>
      </c>
      <c r="BC4707" s="28" t="n">
        <f aca="false">BA4707-BB4707</f>
        <v>0</v>
      </c>
      <c r="BD4707" s="32" t="n">
        <f aca="false">SUM(P4707,R4707,T4707,V4707,X4707,Z4707,AB4707,AD4707,AF4707,AH4707,AJ4707,AL4707,AN4707,AP4707,AR4707,AT4707,AV4707,AX4707)</f>
        <v>4863.64</v>
      </c>
      <c r="BE4707" s="33" t="n">
        <f aca="false">AZ4707-BD4707</f>
        <v>0</v>
      </c>
      <c r="BF4707" s="34" t="n">
        <f aca="false">BD4707*M4707</f>
        <v>72954.6</v>
      </c>
      <c r="BG4707" s="35" t="n">
        <f aca="false">BA4707-BF4707</f>
        <v>-1.59999999999127</v>
      </c>
      <c r="BH4707" s="19" t="str">
        <f aca="false">IF(BG4707=0,"",IF(BG4707&lt;&gt;BA4707,"erreur de calcul",IF(BD4707&lt;&gt;0,"pas de prix",IF(M4707&lt;&gt; 0,"pas de quantité","pas de prix, ni de quantité"))))</f>
        <v>erreur de calcul</v>
      </c>
      <c r="BI4707" s="19"/>
    </row>
    <row r="4708" customFormat="false" ht="15" hidden="false" customHeight="false" outlineLevel="0" collapsed="false">
      <c r="A4708" s="0" t="n">
        <v>18</v>
      </c>
      <c r="B4708" s="8" t="s">
        <v>24</v>
      </c>
      <c r="C4708" s="9" t="s">
        <v>25</v>
      </c>
      <c r="D4708" s="9" t="s">
        <v>26</v>
      </c>
      <c r="E4708" s="10" t="n">
        <v>1789</v>
      </c>
      <c r="F4708" s="9" t="s">
        <v>27</v>
      </c>
      <c r="G4708" s="9" t="s">
        <v>27</v>
      </c>
      <c r="H4708" s="11" t="n">
        <v>22</v>
      </c>
      <c r="I4708" s="11" t="s">
        <v>219</v>
      </c>
      <c r="J4708" s="14" t="n">
        <v>12</v>
      </c>
      <c r="K4708" s="14"/>
      <c r="L4708" s="16"/>
      <c r="M4708" s="27" t="n">
        <f aca="false">J4708+(K4708/20)+(L4708/240)</f>
        <v>12</v>
      </c>
      <c r="N4708" s="17" t="s">
        <v>64</v>
      </c>
      <c r="O4708" s="11"/>
      <c r="P4708" s="28"/>
      <c r="Q4708" s="28" t="n">
        <f aca="false">P4708*$M4708</f>
        <v>0</v>
      </c>
      <c r="R4708" s="28"/>
      <c r="S4708" s="28" t="n">
        <f aca="false">R4708*$M4708</f>
        <v>0</v>
      </c>
      <c r="T4708" s="28"/>
      <c r="U4708" s="28" t="n">
        <f aca="false">T4708*$M4708</f>
        <v>0</v>
      </c>
      <c r="V4708" s="28" t="n">
        <f aca="false">26072/100</f>
        <v>260.72</v>
      </c>
      <c r="W4708" s="28" t="n">
        <v>3129</v>
      </c>
      <c r="X4708" s="28" t="n">
        <f aca="false">16340/100</f>
        <v>163.4</v>
      </c>
      <c r="Y4708" s="28" t="n">
        <v>1961</v>
      </c>
      <c r="Z4708" s="28"/>
      <c r="AA4708" s="28" t="n">
        <f aca="false">Z4708*$M4708</f>
        <v>0</v>
      </c>
      <c r="AB4708" s="28" t="n">
        <f aca="false">76351/100</f>
        <v>763.51</v>
      </c>
      <c r="AC4708" s="28" t="n">
        <v>9162</v>
      </c>
      <c r="AD4708" s="28"/>
      <c r="AE4708" s="28" t="n">
        <f aca="false">AD4708*$M4708</f>
        <v>0</v>
      </c>
      <c r="AF4708" s="28"/>
      <c r="AG4708" s="28" t="n">
        <f aca="false">AF4708*$M4708</f>
        <v>0</v>
      </c>
      <c r="AH4708" s="28"/>
      <c r="AI4708" s="28" t="n">
        <f aca="false">AH4708*$M4708</f>
        <v>0</v>
      </c>
      <c r="AJ4708" s="28"/>
      <c r="AK4708" s="28" t="n">
        <f aca="false">AJ4708*$M4708</f>
        <v>0</v>
      </c>
      <c r="AL4708" s="28"/>
      <c r="AM4708" s="28" t="n">
        <f aca="false">AL4708*$M4708</f>
        <v>0</v>
      </c>
      <c r="AN4708" s="28"/>
      <c r="AO4708" s="28" t="n">
        <f aca="false">AN4708*$M4708</f>
        <v>0</v>
      </c>
      <c r="AP4708" s="28"/>
      <c r="AQ4708" s="28" t="n">
        <f aca="false">AP4708*$M4708</f>
        <v>0</v>
      </c>
      <c r="AR4708" s="28"/>
      <c r="AS4708" s="28" t="n">
        <f aca="false">AR4708*$M4708</f>
        <v>0</v>
      </c>
      <c r="AT4708" s="28"/>
      <c r="AU4708" s="28" t="n">
        <f aca="false">AT4708*$M4708</f>
        <v>0</v>
      </c>
      <c r="AV4708" s="28"/>
      <c r="AW4708" s="28" t="n">
        <f aca="false">AV4708*$M4708</f>
        <v>0</v>
      </c>
      <c r="AX4708" s="28"/>
      <c r="AY4708" s="28" t="n">
        <f aca="false">AX4708*$M4708</f>
        <v>0</v>
      </c>
      <c r="AZ4708" s="30" t="n">
        <f aca="false">118763/100</f>
        <v>1187.63</v>
      </c>
      <c r="BA4708" s="11" t="n">
        <v>14252</v>
      </c>
      <c r="BB4708" s="31" t="n">
        <f aca="false">SUM(Q4708,S4708,U4708,W4708,Y4708,AA4708,AC4708,AE4708,AG4708,AI4708,AK4708,AM4708,AO4708,AQ4708,AS4708,AU4708,AW4708,AY4708)</f>
        <v>14252</v>
      </c>
      <c r="BC4708" s="28" t="n">
        <f aca="false">BA4708-BB4708</f>
        <v>0</v>
      </c>
      <c r="BD4708" s="32" t="n">
        <f aca="false">SUM(P4708,R4708,T4708,V4708,X4708,Z4708,AB4708,AD4708,AF4708,AH4708,AJ4708,AL4708,AN4708,AP4708,AR4708,AT4708,AV4708,AX4708)</f>
        <v>1187.63</v>
      </c>
      <c r="BE4708" s="33" t="n">
        <f aca="false">AZ4708-BD4708</f>
        <v>0</v>
      </c>
      <c r="BF4708" s="34" t="n">
        <f aca="false">BD4708*M4708</f>
        <v>14251.56</v>
      </c>
      <c r="BG4708" s="35" t="n">
        <f aca="false">BA4708-BF4708</f>
        <v>0.43999999999869</v>
      </c>
      <c r="BH4708" s="19" t="str">
        <f aca="false">IF(BG4708=0,"",IF(BG4708&lt;&gt;BA4708,"erreur de calcul",IF(BD4708&lt;&gt;0,"pas de prix",IF(M4708&lt;&gt; 0,"pas de quantité","pas de prix, ni de quantité"))))</f>
        <v>erreur de calcul</v>
      </c>
      <c r="BI4708" s="19"/>
    </row>
    <row r="4709" customFormat="false" ht="15" hidden="false" customHeight="false" outlineLevel="0" collapsed="false">
      <c r="A4709" s="0" t="n">
        <v>19</v>
      </c>
      <c r="B4709" s="8" t="s">
        <v>24</v>
      </c>
      <c r="C4709" s="9" t="s">
        <v>25</v>
      </c>
      <c r="D4709" s="9" t="s">
        <v>26</v>
      </c>
      <c r="E4709" s="10" t="n">
        <v>1789</v>
      </c>
      <c r="F4709" s="9" t="s">
        <v>27</v>
      </c>
      <c r="G4709" s="9" t="s">
        <v>27</v>
      </c>
      <c r="H4709" s="11" t="n">
        <v>22</v>
      </c>
      <c r="I4709" s="11" t="s">
        <v>220</v>
      </c>
      <c r="J4709" s="14" t="n">
        <v>8</v>
      </c>
      <c r="K4709" s="14"/>
      <c r="L4709" s="16"/>
      <c r="M4709" s="27" t="n">
        <f aca="false">J4709+(K4709/20)+(L4709/240)</f>
        <v>8</v>
      </c>
      <c r="N4709" s="17" t="s">
        <v>66</v>
      </c>
      <c r="O4709" s="11"/>
      <c r="P4709" s="28" t="n">
        <v>3798</v>
      </c>
      <c r="Q4709" s="28" t="n">
        <v>30384</v>
      </c>
      <c r="R4709" s="28"/>
      <c r="S4709" s="28" t="n">
        <f aca="false">R4709*$M4709</f>
        <v>0</v>
      </c>
      <c r="T4709" s="28"/>
      <c r="U4709" s="28" t="n">
        <f aca="false">T4709*$M4709</f>
        <v>0</v>
      </c>
      <c r="V4709" s="28"/>
      <c r="W4709" s="28" t="n">
        <f aca="false">V4709*$M4709</f>
        <v>0</v>
      </c>
      <c r="X4709" s="28"/>
      <c r="Y4709" s="28" t="n">
        <f aca="false">X4709*$M4709</f>
        <v>0</v>
      </c>
      <c r="Z4709" s="28"/>
      <c r="AA4709" s="28" t="n">
        <f aca="false">Z4709*$M4709</f>
        <v>0</v>
      </c>
      <c r="AB4709" s="28"/>
      <c r="AC4709" s="28" t="n">
        <f aca="false">AB4709*$M4709</f>
        <v>0</v>
      </c>
      <c r="AD4709" s="28"/>
      <c r="AE4709" s="28" t="n">
        <f aca="false">AD4709*$M4709</f>
        <v>0</v>
      </c>
      <c r="AF4709" s="28"/>
      <c r="AG4709" s="28" t="n">
        <f aca="false">AF4709*$M4709</f>
        <v>0</v>
      </c>
      <c r="AH4709" s="28" t="n">
        <v>322</v>
      </c>
      <c r="AI4709" s="28" t="n">
        <v>2576</v>
      </c>
      <c r="AJ4709" s="28"/>
      <c r="AK4709" s="28" t="n">
        <f aca="false">AJ4709*$M4709</f>
        <v>0</v>
      </c>
      <c r="AL4709" s="28"/>
      <c r="AM4709" s="28" t="n">
        <f aca="false">AL4709*$M4709</f>
        <v>0</v>
      </c>
      <c r="AN4709" s="28"/>
      <c r="AO4709" s="28" t="n">
        <f aca="false">AN4709*$M4709</f>
        <v>0</v>
      </c>
      <c r="AP4709" s="28"/>
      <c r="AQ4709" s="28" t="n">
        <f aca="false">AP4709*$M4709</f>
        <v>0</v>
      </c>
      <c r="AR4709" s="28"/>
      <c r="AS4709" s="28" t="n">
        <f aca="false">AR4709*$M4709</f>
        <v>0</v>
      </c>
      <c r="AT4709" s="28"/>
      <c r="AU4709" s="28" t="n">
        <f aca="false">AT4709*$M4709</f>
        <v>0</v>
      </c>
      <c r="AV4709" s="28"/>
      <c r="AW4709" s="28" t="n">
        <f aca="false">AV4709*$M4709</f>
        <v>0</v>
      </c>
      <c r="AX4709" s="28"/>
      <c r="AY4709" s="28" t="n">
        <f aca="false">AX4709*$M4709</f>
        <v>0</v>
      </c>
      <c r="AZ4709" s="30" t="n">
        <v>4120</v>
      </c>
      <c r="BA4709" s="11" t="n">
        <v>32960</v>
      </c>
      <c r="BB4709" s="31" t="n">
        <f aca="false">SUM(Q4709,S4709,U4709,W4709,Y4709,AA4709,AC4709,AE4709,AG4709,AI4709,AK4709,AM4709,AO4709,AQ4709,AS4709,AU4709,AW4709,AY4709)</f>
        <v>32960</v>
      </c>
      <c r="BC4709" s="28" t="n">
        <f aca="false">BA4709-BB4709</f>
        <v>0</v>
      </c>
      <c r="BD4709" s="32" t="n">
        <f aca="false">SUM(P4709,R4709,T4709,V4709,X4709,Z4709,AB4709,AD4709,AF4709,AH4709,AJ4709,AL4709,AN4709,AP4709,AR4709,AT4709,AV4709,AX4709)</f>
        <v>4120</v>
      </c>
      <c r="BE4709" s="33" t="n">
        <f aca="false">AZ4709-BD4709</f>
        <v>0</v>
      </c>
      <c r="BF4709" s="34" t="n">
        <f aca="false">BD4709*M4709</f>
        <v>32960</v>
      </c>
      <c r="BG4709" s="35" t="n">
        <f aca="false">BA4709-BF4709</f>
        <v>0</v>
      </c>
      <c r="BH4709" s="19" t="str">
        <f aca="false">IF(BG4709=0,"",IF(BG4709&lt;&gt;BA4709,"erreur de calcul",IF(BD4709&lt;&gt;0,"pas de prix",IF(M4709&lt;&gt; 0,"pas de quantité","pas de prix, ni de quantité"))))</f>
        <v/>
      </c>
      <c r="BI4709" s="19"/>
    </row>
    <row r="4710" customFormat="false" ht="15" hidden="false" customHeight="false" outlineLevel="0" collapsed="false">
      <c r="A4710" s="0" t="n">
        <v>20</v>
      </c>
      <c r="B4710" s="8" t="s">
        <v>24</v>
      </c>
      <c r="C4710" s="9" t="s">
        <v>25</v>
      </c>
      <c r="D4710" s="9" t="s">
        <v>26</v>
      </c>
      <c r="E4710" s="10" t="n">
        <v>1789</v>
      </c>
      <c r="F4710" s="9" t="s">
        <v>27</v>
      </c>
      <c r="G4710" s="9" t="s">
        <v>27</v>
      </c>
      <c r="H4710" s="11" t="n">
        <v>22</v>
      </c>
      <c r="I4710" s="11" t="s">
        <v>221</v>
      </c>
      <c r="J4710" s="14"/>
      <c r="K4710" s="14" t="n">
        <v>20</v>
      </c>
      <c r="L4710" s="16"/>
      <c r="M4710" s="27" t="n">
        <f aca="false">J4710+(K4710/20)+(L4710/240)</f>
        <v>1</v>
      </c>
      <c r="N4710" s="17" t="s">
        <v>66</v>
      </c>
      <c r="O4710" s="11"/>
      <c r="P4710" s="28" t="n">
        <v>1353</v>
      </c>
      <c r="Q4710" s="28" t="n">
        <v>1353</v>
      </c>
      <c r="R4710" s="28"/>
      <c r="S4710" s="28" t="n">
        <f aca="false">R4710*$M4710</f>
        <v>0</v>
      </c>
      <c r="T4710" s="28"/>
      <c r="U4710" s="28" t="n">
        <f aca="false">T4710*$M4710</f>
        <v>0</v>
      </c>
      <c r="V4710" s="28"/>
      <c r="W4710" s="28" t="n">
        <f aca="false">V4710*$M4710</f>
        <v>0</v>
      </c>
      <c r="X4710" s="28"/>
      <c r="Y4710" s="28" t="n">
        <f aca="false">X4710*$M4710</f>
        <v>0</v>
      </c>
      <c r="Z4710" s="28"/>
      <c r="AA4710" s="28" t="n">
        <f aca="false">Z4710*$M4710</f>
        <v>0</v>
      </c>
      <c r="AB4710" s="28"/>
      <c r="AC4710" s="28" t="n">
        <f aca="false">AB4710*$M4710</f>
        <v>0</v>
      </c>
      <c r="AD4710" s="28"/>
      <c r="AE4710" s="28" t="n">
        <f aca="false">AD4710*$M4710</f>
        <v>0</v>
      </c>
      <c r="AF4710" s="28"/>
      <c r="AG4710" s="28" t="n">
        <f aca="false">AF4710*$M4710</f>
        <v>0</v>
      </c>
      <c r="AH4710" s="28"/>
      <c r="AI4710" s="28" t="n">
        <f aca="false">AH4710*$M4710</f>
        <v>0</v>
      </c>
      <c r="AJ4710" s="28"/>
      <c r="AK4710" s="28" t="n">
        <f aca="false">AJ4710*$M4710</f>
        <v>0</v>
      </c>
      <c r="AL4710" s="28"/>
      <c r="AM4710" s="28" t="n">
        <f aca="false">AL4710*$M4710</f>
        <v>0</v>
      </c>
      <c r="AN4710" s="28"/>
      <c r="AO4710" s="28" t="n">
        <f aca="false">AN4710*$M4710</f>
        <v>0</v>
      </c>
      <c r="AP4710" s="28"/>
      <c r="AQ4710" s="28" t="n">
        <f aca="false">AP4710*$M4710</f>
        <v>0</v>
      </c>
      <c r="AR4710" s="28"/>
      <c r="AS4710" s="28" t="n">
        <f aca="false">AR4710*$M4710</f>
        <v>0</v>
      </c>
      <c r="AT4710" s="28"/>
      <c r="AU4710" s="28" t="n">
        <f aca="false">AT4710*$M4710</f>
        <v>0</v>
      </c>
      <c r="AV4710" s="28"/>
      <c r="AW4710" s="28" t="n">
        <f aca="false">AV4710*$M4710</f>
        <v>0</v>
      </c>
      <c r="AX4710" s="28"/>
      <c r="AY4710" s="28" t="n">
        <f aca="false">AX4710*$M4710</f>
        <v>0</v>
      </c>
      <c r="AZ4710" s="30" t="n">
        <v>1353</v>
      </c>
      <c r="BA4710" s="11" t="n">
        <v>1353</v>
      </c>
      <c r="BB4710" s="31" t="n">
        <f aca="false">SUM(Q4710,S4710,U4710,W4710,Y4710,AA4710,AC4710,AE4710,AG4710,AI4710,AK4710,AM4710,AO4710,AQ4710,AS4710,AU4710,AW4710,AY4710)</f>
        <v>1353</v>
      </c>
      <c r="BC4710" s="28" t="n">
        <f aca="false">BA4710-BB4710</f>
        <v>0</v>
      </c>
      <c r="BD4710" s="32" t="n">
        <f aca="false">SUM(P4710,R4710,T4710,V4710,X4710,Z4710,AB4710,AD4710,AF4710,AH4710,AJ4710,AL4710,AN4710,AP4710,AR4710,AT4710,AV4710,AX4710)</f>
        <v>1353</v>
      </c>
      <c r="BE4710" s="33" t="n">
        <f aca="false">AZ4710-BD4710</f>
        <v>0</v>
      </c>
      <c r="BF4710" s="34" t="n">
        <f aca="false">BD4710*M4710</f>
        <v>1353</v>
      </c>
      <c r="BG4710" s="35" t="n">
        <f aca="false">BA4710-BF4710</f>
        <v>0</v>
      </c>
      <c r="BH4710" s="19" t="str">
        <f aca="false">IF(BG4710=0,"",IF(BG4710&lt;&gt;BA4710,"erreur de calcul",IF(BD4710&lt;&gt;0,"pas de prix",IF(M4710&lt;&gt; 0,"pas de quantité","pas de prix, ni de quantité"))))</f>
        <v/>
      </c>
      <c r="BI4710" s="19"/>
    </row>
    <row r="4711" customFormat="false" ht="15" hidden="false" customHeight="false" outlineLevel="0" collapsed="false">
      <c r="A4711" s="0" t="n">
        <v>21</v>
      </c>
      <c r="B4711" s="8" t="s">
        <v>24</v>
      </c>
      <c r="C4711" s="9" t="s">
        <v>25</v>
      </c>
      <c r="D4711" s="9" t="s">
        <v>26</v>
      </c>
      <c r="E4711" s="10" t="n">
        <v>1789</v>
      </c>
      <c r="F4711" s="9" t="s">
        <v>27</v>
      </c>
      <c r="G4711" s="9" t="s">
        <v>27</v>
      </c>
      <c r="H4711" s="11" t="n">
        <v>22</v>
      </c>
      <c r="I4711" s="11" t="s">
        <v>222</v>
      </c>
      <c r="J4711" s="14" t="n">
        <v>85</v>
      </c>
      <c r="K4711" s="14"/>
      <c r="L4711" s="16"/>
      <c r="M4711" s="27" t="n">
        <f aca="false">J4711+(K4711/20)+(L4711/240)</f>
        <v>85</v>
      </c>
      <c r="N4711" s="17" t="s">
        <v>64</v>
      </c>
      <c r="O4711" s="11"/>
      <c r="P4711" s="28"/>
      <c r="Q4711" s="28" t="n">
        <f aca="false">P4711*$M4711</f>
        <v>0</v>
      </c>
      <c r="R4711" s="28"/>
      <c r="S4711" s="28" t="n">
        <f aca="false">R4711*$M4711</f>
        <v>0</v>
      </c>
      <c r="T4711" s="28" t="n">
        <f aca="false">10813/100</f>
        <v>108.13</v>
      </c>
      <c r="U4711" s="28" t="n">
        <v>9191</v>
      </c>
      <c r="V4711" s="28" t="n">
        <f aca="false">43400/100</f>
        <v>434</v>
      </c>
      <c r="W4711" s="28" t="n">
        <v>36890</v>
      </c>
      <c r="X4711" s="28" t="n">
        <f aca="false">702/100</f>
        <v>7.02</v>
      </c>
      <c r="Y4711" s="28" t="n">
        <v>597</v>
      </c>
      <c r="Z4711" s="28"/>
      <c r="AA4711" s="28" t="n">
        <f aca="false">Z4711*$M4711</f>
        <v>0</v>
      </c>
      <c r="AB4711" s="28" t="n">
        <f aca="false">171/100</f>
        <v>1.71</v>
      </c>
      <c r="AC4711" s="28" t="n">
        <v>145</v>
      </c>
      <c r="AD4711" s="28"/>
      <c r="AE4711" s="28" t="n">
        <f aca="false">AD4711*$M4711</f>
        <v>0</v>
      </c>
      <c r="AF4711" s="28"/>
      <c r="AG4711" s="28" t="n">
        <f aca="false">AF4711*$M4711</f>
        <v>0</v>
      </c>
      <c r="AH4711" s="28" t="n">
        <f aca="false">17388/100</f>
        <v>173.88</v>
      </c>
      <c r="AI4711" s="28" t="n">
        <v>14780</v>
      </c>
      <c r="AJ4711" s="28"/>
      <c r="AK4711" s="28" t="n">
        <f aca="false">AJ4711*$M4711</f>
        <v>0</v>
      </c>
      <c r="AL4711" s="28"/>
      <c r="AM4711" s="28" t="n">
        <f aca="false">AL4711*$M4711</f>
        <v>0</v>
      </c>
      <c r="AN4711" s="28"/>
      <c r="AO4711" s="28" t="n">
        <f aca="false">AN4711*$M4711</f>
        <v>0</v>
      </c>
      <c r="AP4711" s="28"/>
      <c r="AQ4711" s="28" t="n">
        <f aca="false">AP4711*$M4711</f>
        <v>0</v>
      </c>
      <c r="AR4711" s="28"/>
      <c r="AS4711" s="28" t="n">
        <f aca="false">AR4711*$M4711</f>
        <v>0</v>
      </c>
      <c r="AT4711" s="28"/>
      <c r="AU4711" s="28" t="n">
        <f aca="false">AT4711*$M4711</f>
        <v>0</v>
      </c>
      <c r="AV4711" s="28"/>
      <c r="AW4711" s="28" t="n">
        <f aca="false">AV4711*$M4711</f>
        <v>0</v>
      </c>
      <c r="AX4711" s="28"/>
      <c r="AY4711" s="28" t="n">
        <f aca="false">AX4711*$M4711</f>
        <v>0</v>
      </c>
      <c r="AZ4711" s="30" t="n">
        <f aca="false">72474/100</f>
        <v>724.74</v>
      </c>
      <c r="BA4711" s="11" t="n">
        <v>61603</v>
      </c>
      <c r="BB4711" s="31" t="n">
        <f aca="false">SUM(Q4711,S4711,U4711,W4711,Y4711,AA4711,AC4711,AE4711,AG4711,AI4711,AK4711,AM4711,AO4711,AQ4711,AS4711,AU4711,AW4711,AY4711)</f>
        <v>61603</v>
      </c>
      <c r="BC4711" s="28" t="n">
        <f aca="false">BA4711-BB4711</f>
        <v>0</v>
      </c>
      <c r="BD4711" s="32" t="n">
        <f aca="false">SUM(P4711,R4711,T4711,V4711,X4711,Z4711,AB4711,AD4711,AF4711,AH4711,AJ4711,AL4711,AN4711,AP4711,AR4711,AT4711,AV4711,AX4711)</f>
        <v>724.74</v>
      </c>
      <c r="BE4711" s="33" t="n">
        <f aca="false">AZ4711-BD4711</f>
        <v>0</v>
      </c>
      <c r="BF4711" s="34" t="n">
        <f aca="false">BD4711*M4711</f>
        <v>61602.9</v>
      </c>
      <c r="BG4711" s="35" t="n">
        <f aca="false">BA4711-BF4711</f>
        <v>0.0999999999985448</v>
      </c>
      <c r="BH4711" s="19" t="str">
        <f aca="false">IF(BG4711=0,"",IF(BG4711&lt;&gt;BA4711,"erreur de calcul",IF(BD4711&lt;&gt;0,"pas de prix",IF(M4711&lt;&gt; 0,"pas de quantité","pas de prix, ni de quantité"))))</f>
        <v>erreur de calcul</v>
      </c>
      <c r="BI4711" s="19"/>
    </row>
    <row r="4712" customFormat="false" ht="15" hidden="false" customHeight="false" outlineLevel="0" collapsed="false">
      <c r="A4712" s="0" t="n">
        <v>22</v>
      </c>
      <c r="B4712" s="8" t="s">
        <v>24</v>
      </c>
      <c r="C4712" s="9" t="s">
        <v>25</v>
      </c>
      <c r="D4712" s="9" t="s">
        <v>26</v>
      </c>
      <c r="E4712" s="10" t="n">
        <v>1789</v>
      </c>
      <c r="F4712" s="9" t="s">
        <v>27</v>
      </c>
      <c r="G4712" s="9" t="s">
        <v>27</v>
      </c>
      <c r="H4712" s="11" t="n">
        <v>22</v>
      </c>
      <c r="I4712" s="11" t="s">
        <v>223</v>
      </c>
      <c r="J4712" s="14" t="n">
        <v>150</v>
      </c>
      <c r="K4712" s="14"/>
      <c r="L4712" s="16"/>
      <c r="M4712" s="27" t="n">
        <f aca="false">J4712+(K4712/20)+(L4712/240)</f>
        <v>150</v>
      </c>
      <c r="N4712" s="17" t="s">
        <v>64</v>
      </c>
      <c r="O4712" s="11"/>
      <c r="P4712" s="28"/>
      <c r="Q4712" s="28" t="n">
        <f aca="false">P4712*$M4712</f>
        <v>0</v>
      </c>
      <c r="R4712" s="28"/>
      <c r="S4712" s="28" t="n">
        <f aca="false">R4712*$M4712</f>
        <v>0</v>
      </c>
      <c r="T4712" s="28"/>
      <c r="U4712" s="28" t="n">
        <f aca="false">T4712*$M4712</f>
        <v>0</v>
      </c>
      <c r="V4712" s="28" t="n">
        <f aca="false">1415/100</f>
        <v>14.15</v>
      </c>
      <c r="W4712" s="28" t="n">
        <v>2122</v>
      </c>
      <c r="X4712" s="28"/>
      <c r="Y4712" s="28" t="n">
        <f aca="false">X4712*$M4712</f>
        <v>0</v>
      </c>
      <c r="Z4712" s="28"/>
      <c r="AA4712" s="28" t="n">
        <f aca="false">Z4712*$M4712</f>
        <v>0</v>
      </c>
      <c r="AB4712" s="28" t="n">
        <f aca="false">1806/100</f>
        <v>18.06</v>
      </c>
      <c r="AC4712" s="28" t="n">
        <v>2709</v>
      </c>
      <c r="AD4712" s="28"/>
      <c r="AE4712" s="28" t="n">
        <f aca="false">AD4712*$M4712</f>
        <v>0</v>
      </c>
      <c r="AF4712" s="28"/>
      <c r="AG4712" s="28" t="n">
        <f aca="false">AF4712*$M4712</f>
        <v>0</v>
      </c>
      <c r="AH4712" s="28"/>
      <c r="AI4712" s="28" t="n">
        <f aca="false">AH4712*$M4712</f>
        <v>0</v>
      </c>
      <c r="AJ4712" s="28"/>
      <c r="AK4712" s="28" t="n">
        <f aca="false">AJ4712*$M4712</f>
        <v>0</v>
      </c>
      <c r="AL4712" s="28"/>
      <c r="AM4712" s="28" t="n">
        <f aca="false">AL4712*$M4712</f>
        <v>0</v>
      </c>
      <c r="AN4712" s="28"/>
      <c r="AO4712" s="28" t="n">
        <f aca="false">AN4712*$M4712</f>
        <v>0</v>
      </c>
      <c r="AP4712" s="28"/>
      <c r="AQ4712" s="28" t="n">
        <f aca="false">AP4712*$M4712</f>
        <v>0</v>
      </c>
      <c r="AR4712" s="28"/>
      <c r="AS4712" s="28" t="n">
        <f aca="false">AR4712*$M4712</f>
        <v>0</v>
      </c>
      <c r="AT4712" s="28"/>
      <c r="AU4712" s="28" t="n">
        <f aca="false">AT4712*$M4712</f>
        <v>0</v>
      </c>
      <c r="AV4712" s="28"/>
      <c r="AW4712" s="28" t="n">
        <f aca="false">AV4712*$M4712</f>
        <v>0</v>
      </c>
      <c r="AX4712" s="28"/>
      <c r="AY4712" s="28" t="n">
        <f aca="false">AX4712*$M4712</f>
        <v>0</v>
      </c>
      <c r="AZ4712" s="30" t="n">
        <f aca="false">3221/100</f>
        <v>32.21</v>
      </c>
      <c r="BA4712" s="11" t="n">
        <v>4831</v>
      </c>
      <c r="BB4712" s="31" t="n">
        <f aca="false">SUM(Q4712,S4712,U4712,W4712,Y4712,AA4712,AC4712,AE4712,AG4712,AI4712,AK4712,AM4712,AO4712,AQ4712,AS4712,AU4712,AW4712,AY4712)</f>
        <v>4831</v>
      </c>
      <c r="BC4712" s="28" t="n">
        <f aca="false">BA4712-BB4712</f>
        <v>0</v>
      </c>
      <c r="BD4712" s="32" t="n">
        <f aca="false">SUM(P4712,R4712,T4712,V4712,X4712,Z4712,AB4712,AD4712,AF4712,AH4712,AJ4712,AL4712,AN4712,AP4712,AR4712,AT4712,AV4712,AX4712)</f>
        <v>32.21</v>
      </c>
      <c r="BE4712" s="33" t="n">
        <f aca="false">AZ4712-BD4712</f>
        <v>0</v>
      </c>
      <c r="BF4712" s="34" t="n">
        <f aca="false">BD4712*M4712</f>
        <v>4831.5</v>
      </c>
      <c r="BG4712" s="35" t="n">
        <f aca="false">BA4712-BF4712</f>
        <v>-0.5</v>
      </c>
      <c r="BH4712" s="19" t="str">
        <f aca="false">IF(BG4712=0,"",IF(BG4712&lt;&gt;BA4712,"erreur de calcul",IF(BD4712&lt;&gt;0,"pas de prix",IF(M4712&lt;&gt; 0,"pas de quantité","pas de prix, ni de quantité"))))</f>
        <v>erreur de calcul</v>
      </c>
      <c r="BI4712" s="19"/>
    </row>
    <row r="4713" customFormat="false" ht="15" hidden="false" customHeight="false" outlineLevel="0" collapsed="false">
      <c r="A4713" s="0" t="n">
        <v>23</v>
      </c>
      <c r="B4713" s="8" t="s">
        <v>24</v>
      </c>
      <c r="C4713" s="9" t="s">
        <v>25</v>
      </c>
      <c r="D4713" s="9" t="s">
        <v>26</v>
      </c>
      <c r="E4713" s="10" t="n">
        <v>1789</v>
      </c>
      <c r="F4713" s="9" t="s">
        <v>27</v>
      </c>
      <c r="G4713" s="9" t="s">
        <v>27</v>
      </c>
      <c r="H4713" s="11" t="n">
        <v>22</v>
      </c>
      <c r="I4713" s="11" t="s">
        <v>224</v>
      </c>
      <c r="J4713" s="14"/>
      <c r="K4713" s="14"/>
      <c r="L4713" s="16"/>
      <c r="M4713" s="27" t="n">
        <f aca="false">J4713+(K4713/20)+(L4713/240)</f>
        <v>0</v>
      </c>
      <c r="N4713" s="17" t="s">
        <v>225</v>
      </c>
      <c r="O4713" s="11"/>
      <c r="P4713" s="28" t="n">
        <f aca="false">2+121/288</f>
        <v>2.42013888888889</v>
      </c>
      <c r="Q4713" s="28" t="n">
        <v>275</v>
      </c>
      <c r="R4713" s="28"/>
      <c r="S4713" s="28" t="n">
        <f aca="false">R4713*$M4713</f>
        <v>0</v>
      </c>
      <c r="T4713" s="28"/>
      <c r="U4713" s="28" t="n">
        <f aca="false">T4713*$M4713</f>
        <v>0</v>
      </c>
      <c r="V4713" s="28"/>
      <c r="W4713" s="28" t="n">
        <f aca="false">V4713*$M4713</f>
        <v>0</v>
      </c>
      <c r="X4713" s="28"/>
      <c r="Y4713" s="28" t="n">
        <f aca="false">X4713*$M4713</f>
        <v>0</v>
      </c>
      <c r="Z4713" s="28"/>
      <c r="AA4713" s="28" t="n">
        <f aca="false">Z4713*$M4713</f>
        <v>0</v>
      </c>
      <c r="AB4713" s="28"/>
      <c r="AC4713" s="28" t="n">
        <f aca="false">AB4713*$M4713</f>
        <v>0</v>
      </c>
      <c r="AD4713" s="28"/>
      <c r="AE4713" s="28" t="n">
        <f aca="false">AD4713*$M4713</f>
        <v>0</v>
      </c>
      <c r="AF4713" s="28"/>
      <c r="AG4713" s="28" t="n">
        <f aca="false">AF4713*$M4713</f>
        <v>0</v>
      </c>
      <c r="AH4713" s="28"/>
      <c r="AI4713" s="28" t="n">
        <f aca="false">AH4713*$M4713</f>
        <v>0</v>
      </c>
      <c r="AJ4713" s="28"/>
      <c r="AK4713" s="28" t="n">
        <f aca="false">AJ4713*$M4713</f>
        <v>0</v>
      </c>
      <c r="AL4713" s="28"/>
      <c r="AM4713" s="28" t="n">
        <f aca="false">AL4713*$M4713</f>
        <v>0</v>
      </c>
      <c r="AN4713" s="28"/>
      <c r="AO4713" s="28" t="n">
        <f aca="false">AN4713*$M4713</f>
        <v>0</v>
      </c>
      <c r="AP4713" s="28"/>
      <c r="AQ4713" s="28" t="n">
        <f aca="false">AP4713*$M4713</f>
        <v>0</v>
      </c>
      <c r="AR4713" s="28"/>
      <c r="AS4713" s="28" t="n">
        <f aca="false">AR4713*$M4713</f>
        <v>0</v>
      </c>
      <c r="AT4713" s="28"/>
      <c r="AU4713" s="28" t="n">
        <f aca="false">AT4713*$M4713</f>
        <v>0</v>
      </c>
      <c r="AV4713" s="28"/>
      <c r="AW4713" s="28" t="n">
        <f aca="false">AV4713*$M4713</f>
        <v>0</v>
      </c>
      <c r="AX4713" s="28"/>
      <c r="AY4713" s="28" t="n">
        <f aca="false">AX4713*$M4713</f>
        <v>0</v>
      </c>
      <c r="AZ4713" s="30" t="n">
        <f aca="false">2+121/288</f>
        <v>2.42013888888889</v>
      </c>
      <c r="BA4713" s="11" t="n">
        <v>275</v>
      </c>
      <c r="BB4713" s="31" t="n">
        <f aca="false">SUM(Q4713,S4713,U4713,W4713,Y4713,AA4713,AC4713,AE4713,AG4713,AI4713,AK4713,AM4713,AO4713,AQ4713,AS4713,AU4713,AW4713,AY4713)</f>
        <v>275</v>
      </c>
      <c r="BC4713" s="28" t="n">
        <f aca="false">BA4713-BB4713</f>
        <v>0</v>
      </c>
      <c r="BD4713" s="32" t="n">
        <f aca="false">SUM(P4713,R4713,T4713,V4713,X4713,Z4713,AB4713,AD4713,AF4713,AH4713,AJ4713,AL4713,AN4713,AP4713,AR4713,AT4713,AV4713,AX4713)</f>
        <v>2.42013888888889</v>
      </c>
      <c r="BE4713" s="33" t="n">
        <f aca="false">AZ4713-BD4713</f>
        <v>0</v>
      </c>
      <c r="BF4713" s="34" t="n">
        <f aca="false">BD4713*M4713</f>
        <v>0</v>
      </c>
      <c r="BG4713" s="35" t="n">
        <f aca="false">BA4713-BF4713</f>
        <v>275</v>
      </c>
      <c r="BH4713" s="19" t="str">
        <f aca="false">IF(BG4713=0,"",IF(BG4713&lt;&gt;BA4713,"erreur de calcul",IF(BD4713&lt;&gt;0,"pas de prix",IF(M4713&lt;&gt; 0,"pas de quantité","pas de prix, ni de quantité"))))</f>
        <v>pas de prix</v>
      </c>
      <c r="BI4713" s="19" t="s">
        <v>226</v>
      </c>
    </row>
    <row r="4714" customFormat="false" ht="15" hidden="false" customHeight="false" outlineLevel="0" collapsed="false">
      <c r="A4714" s="0" t="n">
        <v>24</v>
      </c>
      <c r="B4714" s="8" t="s">
        <v>24</v>
      </c>
      <c r="C4714" s="9" t="s">
        <v>25</v>
      </c>
      <c r="D4714" s="9" t="s">
        <v>26</v>
      </c>
      <c r="E4714" s="10" t="n">
        <v>1789</v>
      </c>
      <c r="F4714" s="9" t="s">
        <v>27</v>
      </c>
      <c r="G4714" s="9" t="s">
        <v>27</v>
      </c>
      <c r="H4714" s="11" t="n">
        <v>22</v>
      </c>
      <c r="I4714" s="11" t="s">
        <v>227</v>
      </c>
      <c r="J4714" s="14" t="n">
        <v>8</v>
      </c>
      <c r="K4714" s="14"/>
      <c r="L4714" s="16"/>
      <c r="M4714" s="27" t="n">
        <f aca="false">J4714+(K4714/20)+(L4714/240)</f>
        <v>8</v>
      </c>
      <c r="N4714" s="17" t="s">
        <v>64</v>
      </c>
      <c r="O4714" s="11" t="s">
        <v>77</v>
      </c>
      <c r="P4714" s="28" t="n">
        <f aca="false">267216/100</f>
        <v>2672.16</v>
      </c>
      <c r="Q4714" s="28" t="n">
        <v>21377</v>
      </c>
      <c r="R4714" s="28"/>
      <c r="S4714" s="28" t="n">
        <f aca="false">R4714*$M4714</f>
        <v>0</v>
      </c>
      <c r="T4714" s="28"/>
      <c r="U4714" s="28" t="n">
        <f aca="false">T4714*$M4714</f>
        <v>0</v>
      </c>
      <c r="V4714" s="28"/>
      <c r="W4714" s="28" t="n">
        <f aca="false">V4714*$M4714</f>
        <v>0</v>
      </c>
      <c r="X4714" s="28"/>
      <c r="Y4714" s="28" t="n">
        <f aca="false">X4714*$M4714</f>
        <v>0</v>
      </c>
      <c r="Z4714" s="28"/>
      <c r="AA4714" s="28" t="n">
        <f aca="false">Z4714*$M4714</f>
        <v>0</v>
      </c>
      <c r="AB4714" s="28" t="n">
        <f aca="false">3334/100</f>
        <v>33.34</v>
      </c>
      <c r="AC4714" s="28" t="n">
        <v>267</v>
      </c>
      <c r="AD4714" s="28"/>
      <c r="AE4714" s="28" t="n">
        <f aca="false">AD4714*$M4714</f>
        <v>0</v>
      </c>
      <c r="AF4714" s="28"/>
      <c r="AG4714" s="28" t="n">
        <f aca="false">AF4714*$M4714</f>
        <v>0</v>
      </c>
      <c r="AH4714" s="28"/>
      <c r="AI4714" s="28" t="n">
        <f aca="false">AH4714*$M4714</f>
        <v>0</v>
      </c>
      <c r="AJ4714" s="28"/>
      <c r="AK4714" s="28" t="n">
        <f aca="false">AJ4714*$M4714</f>
        <v>0</v>
      </c>
      <c r="AL4714" s="28"/>
      <c r="AM4714" s="28" t="n">
        <f aca="false">AL4714*$M4714</f>
        <v>0</v>
      </c>
      <c r="AN4714" s="28"/>
      <c r="AO4714" s="28" t="n">
        <f aca="false">AN4714*$M4714</f>
        <v>0</v>
      </c>
      <c r="AP4714" s="28"/>
      <c r="AQ4714" s="28" t="n">
        <f aca="false">AP4714*$M4714</f>
        <v>0</v>
      </c>
      <c r="AR4714" s="28"/>
      <c r="AS4714" s="28" t="n">
        <f aca="false">AR4714*$M4714</f>
        <v>0</v>
      </c>
      <c r="AT4714" s="28"/>
      <c r="AU4714" s="28" t="n">
        <f aca="false">AT4714*$M4714</f>
        <v>0</v>
      </c>
      <c r="AV4714" s="28"/>
      <c r="AW4714" s="28" t="n">
        <f aca="false">AV4714*$M4714</f>
        <v>0</v>
      </c>
      <c r="AX4714" s="28"/>
      <c r="AY4714" s="28" t="n">
        <f aca="false">AX4714*$M4714</f>
        <v>0</v>
      </c>
      <c r="AZ4714" s="30" t="n">
        <f aca="false">270550/100</f>
        <v>2705.5</v>
      </c>
      <c r="BA4714" s="11" t="n">
        <v>21644</v>
      </c>
      <c r="BB4714" s="31" t="n">
        <f aca="false">SUM(Q4714,S4714,U4714,W4714,Y4714,AA4714,AC4714,AE4714,AG4714,AI4714,AK4714,AM4714,AO4714,AQ4714,AS4714,AU4714,AW4714,AY4714)</f>
        <v>21644</v>
      </c>
      <c r="BC4714" s="28" t="n">
        <f aca="false">BA4714-BB4714</f>
        <v>0</v>
      </c>
      <c r="BD4714" s="32" t="n">
        <f aca="false">SUM(P4714,R4714,T4714,V4714,X4714,Z4714,AB4714,AD4714,AF4714,AH4714,AJ4714,AL4714,AN4714,AP4714,AR4714,AT4714,AV4714,AX4714)</f>
        <v>2705.5</v>
      </c>
      <c r="BE4714" s="33" t="n">
        <f aca="false">AZ4714-BD4714</f>
        <v>0</v>
      </c>
      <c r="BF4714" s="34" t="n">
        <f aca="false">BD4714*M4714</f>
        <v>21644</v>
      </c>
      <c r="BG4714" s="35" t="n">
        <f aca="false">BA4714-BF4714</f>
        <v>0</v>
      </c>
      <c r="BH4714" s="19" t="str">
        <f aca="false">IF(BG4714=0,"",IF(BG4714&lt;&gt;BA4714,"erreur de calcul",IF(BD4714&lt;&gt;0,"pas de prix",IF(M4714&lt;&gt; 0,"pas de quantité","pas de prix, ni de quantité"))))</f>
        <v/>
      </c>
      <c r="BI4714" s="19"/>
    </row>
    <row r="4715" customFormat="false" ht="15" hidden="false" customHeight="false" outlineLevel="0" collapsed="false">
      <c r="A4715" s="0" t="n">
        <v>25</v>
      </c>
      <c r="B4715" s="8" t="s">
        <v>24</v>
      </c>
      <c r="C4715" s="9" t="s">
        <v>25</v>
      </c>
      <c r="D4715" s="9" t="s">
        <v>26</v>
      </c>
      <c r="E4715" s="10" t="n">
        <v>1789</v>
      </c>
      <c r="F4715" s="9" t="s">
        <v>27</v>
      </c>
      <c r="G4715" s="9" t="s">
        <v>27</v>
      </c>
      <c r="H4715" s="11" t="n">
        <v>22</v>
      </c>
      <c r="I4715" s="11" t="s">
        <v>228</v>
      </c>
      <c r="J4715" s="14" t="n">
        <v>11</v>
      </c>
      <c r="K4715" s="14"/>
      <c r="L4715" s="16"/>
      <c r="M4715" s="27" t="n">
        <f aca="false">J4715+(K4715/20)+(L4715/240)</f>
        <v>11</v>
      </c>
      <c r="N4715" s="17" t="s">
        <v>66</v>
      </c>
      <c r="O4715" s="11"/>
      <c r="P4715" s="28"/>
      <c r="Q4715" s="28" t="n">
        <f aca="false">P4715*$M4715</f>
        <v>0</v>
      </c>
      <c r="R4715" s="28" t="n">
        <v>2017</v>
      </c>
      <c r="S4715" s="28" t="n">
        <v>22187</v>
      </c>
      <c r="T4715" s="28"/>
      <c r="U4715" s="28" t="n">
        <f aca="false">T4715*$M4715</f>
        <v>0</v>
      </c>
      <c r="V4715" s="28"/>
      <c r="W4715" s="28" t="n">
        <f aca="false">V4715*$M4715</f>
        <v>0</v>
      </c>
      <c r="X4715" s="28" t="n">
        <v>3804</v>
      </c>
      <c r="Y4715" s="28" t="n">
        <v>41844</v>
      </c>
      <c r="Z4715" s="28"/>
      <c r="AA4715" s="28" t="n">
        <f aca="false">Z4715*$M4715</f>
        <v>0</v>
      </c>
      <c r="AB4715" s="28"/>
      <c r="AC4715" s="28" t="n">
        <f aca="false">AB4715*$M4715</f>
        <v>0</v>
      </c>
      <c r="AD4715" s="28"/>
      <c r="AE4715" s="28" t="n">
        <f aca="false">AD4715*$M4715</f>
        <v>0</v>
      </c>
      <c r="AF4715" s="28"/>
      <c r="AG4715" s="28" t="n">
        <f aca="false">AF4715*$M4715</f>
        <v>0</v>
      </c>
      <c r="AH4715" s="28" t="n">
        <v>117</v>
      </c>
      <c r="AI4715" s="28" t="n">
        <v>1287</v>
      </c>
      <c r="AJ4715" s="28" t="n">
        <v>8694</v>
      </c>
      <c r="AK4715" s="28" t="n">
        <v>95634</v>
      </c>
      <c r="AL4715" s="28"/>
      <c r="AM4715" s="28" t="n">
        <f aca="false">AL4715*$M4715</f>
        <v>0</v>
      </c>
      <c r="AN4715" s="28" t="n">
        <v>5697</v>
      </c>
      <c r="AO4715" s="28" t="n">
        <v>62667</v>
      </c>
      <c r="AP4715" s="28"/>
      <c r="AQ4715" s="28" t="n">
        <f aca="false">AP4715*$M4715</f>
        <v>0</v>
      </c>
      <c r="AR4715" s="28"/>
      <c r="AS4715" s="28" t="n">
        <f aca="false">AR4715*$M4715</f>
        <v>0</v>
      </c>
      <c r="AT4715" s="28"/>
      <c r="AU4715" s="28" t="n">
        <f aca="false">AT4715*$M4715</f>
        <v>0</v>
      </c>
      <c r="AV4715" s="28"/>
      <c r="AW4715" s="28" t="n">
        <f aca="false">AV4715*$M4715</f>
        <v>0</v>
      </c>
      <c r="AX4715" s="28"/>
      <c r="AY4715" s="28" t="n">
        <f aca="false">AX4715*$M4715</f>
        <v>0</v>
      </c>
      <c r="AZ4715" s="30" t="n">
        <v>20329</v>
      </c>
      <c r="BA4715" s="11" t="n">
        <v>223619</v>
      </c>
      <c r="BB4715" s="31" t="n">
        <f aca="false">SUM(Q4715,S4715,U4715,W4715,Y4715,AA4715,AC4715,AE4715,AG4715,AI4715,AK4715,AM4715,AO4715,AQ4715,AS4715,AU4715,AW4715,AY4715)</f>
        <v>223619</v>
      </c>
      <c r="BC4715" s="28" t="n">
        <f aca="false">BA4715-BB4715</f>
        <v>0</v>
      </c>
      <c r="BD4715" s="32" t="n">
        <f aca="false">SUM(P4715,R4715,T4715,V4715,X4715,Z4715,AB4715,AD4715,AF4715,AH4715,AJ4715,AL4715,AN4715,AP4715,AR4715,AT4715,AV4715,AX4715)</f>
        <v>20329</v>
      </c>
      <c r="BE4715" s="33" t="n">
        <f aca="false">AZ4715-BD4715</f>
        <v>0</v>
      </c>
      <c r="BF4715" s="34" t="n">
        <f aca="false">BD4715*M4715</f>
        <v>223619</v>
      </c>
      <c r="BG4715" s="35" t="n">
        <f aca="false">BA4715-BF4715</f>
        <v>0</v>
      </c>
      <c r="BH4715" s="19" t="str">
        <f aca="false">IF(BG4715=0,"",IF(BG4715&lt;&gt;BA4715,"erreur de calcul",IF(BD4715&lt;&gt;0,"pas de prix",IF(M4715&lt;&gt; 0,"pas de quantité","pas de prix, ni de quantité"))))</f>
        <v/>
      </c>
      <c r="BI4715" s="19"/>
    </row>
    <row r="4716" customFormat="false" ht="15" hidden="false" customHeight="false" outlineLevel="0" collapsed="false">
      <c r="A4716" s="0" t="n">
        <v>26</v>
      </c>
      <c r="B4716" s="8" t="s">
        <v>24</v>
      </c>
      <c r="C4716" s="9" t="s">
        <v>25</v>
      </c>
      <c r="D4716" s="9" t="s">
        <v>26</v>
      </c>
      <c r="E4716" s="10" t="n">
        <v>1789</v>
      </c>
      <c r="F4716" s="9" t="s">
        <v>27</v>
      </c>
      <c r="G4716" s="9" t="s">
        <v>27</v>
      </c>
      <c r="H4716" s="11" t="n">
        <v>22</v>
      </c>
      <c r="I4716" s="11" t="s">
        <v>229</v>
      </c>
      <c r="J4716" s="14" t="n">
        <v>5</v>
      </c>
      <c r="K4716" s="14"/>
      <c r="L4716" s="16"/>
      <c r="M4716" s="27" t="n">
        <f aca="false">J4716+(K4716/20)+(L4716/240)</f>
        <v>5</v>
      </c>
      <c r="N4716" s="17" t="s">
        <v>66</v>
      </c>
      <c r="O4716" s="11"/>
      <c r="P4716" s="28"/>
      <c r="Q4716" s="28" t="n">
        <f aca="false">P4716*$M4716</f>
        <v>0</v>
      </c>
      <c r="R4716" s="28" t="n">
        <v>4117</v>
      </c>
      <c r="S4716" s="28" t="n">
        <v>20585</v>
      </c>
      <c r="T4716" s="28"/>
      <c r="U4716" s="28" t="n">
        <f aca="false">T4716*$M4716</f>
        <v>0</v>
      </c>
      <c r="V4716" s="28"/>
      <c r="W4716" s="28" t="n">
        <f aca="false">V4716*$M4716</f>
        <v>0</v>
      </c>
      <c r="X4716" s="28"/>
      <c r="Y4716" s="28" t="n">
        <f aca="false">X4716*$M4716</f>
        <v>0</v>
      </c>
      <c r="Z4716" s="28"/>
      <c r="AA4716" s="28" t="n">
        <f aca="false">Z4716*$M4716</f>
        <v>0</v>
      </c>
      <c r="AB4716" s="28"/>
      <c r="AC4716" s="28" t="n">
        <f aca="false">AB4716*$M4716</f>
        <v>0</v>
      </c>
      <c r="AD4716" s="28"/>
      <c r="AE4716" s="28" t="n">
        <f aca="false">AD4716*$M4716</f>
        <v>0</v>
      </c>
      <c r="AF4716" s="28"/>
      <c r="AG4716" s="28" t="n">
        <f aca="false">AF4716*$M4716</f>
        <v>0</v>
      </c>
      <c r="AH4716" s="28"/>
      <c r="AI4716" s="28" t="n">
        <f aca="false">AH4716*$M4716</f>
        <v>0</v>
      </c>
      <c r="AJ4716" s="28"/>
      <c r="AK4716" s="28" t="n">
        <f aca="false">AJ4716*$M4716</f>
        <v>0</v>
      </c>
      <c r="AL4716" s="28"/>
      <c r="AM4716" s="28" t="n">
        <f aca="false">AL4716*$M4716</f>
        <v>0</v>
      </c>
      <c r="AN4716" s="28"/>
      <c r="AO4716" s="28" t="n">
        <f aca="false">AN4716*$M4716</f>
        <v>0</v>
      </c>
      <c r="AP4716" s="28"/>
      <c r="AQ4716" s="28" t="n">
        <f aca="false">AP4716*$M4716</f>
        <v>0</v>
      </c>
      <c r="AR4716" s="28"/>
      <c r="AS4716" s="28" t="n">
        <f aca="false">AR4716*$M4716</f>
        <v>0</v>
      </c>
      <c r="AT4716" s="28"/>
      <c r="AU4716" s="28" t="n">
        <f aca="false">AT4716*$M4716</f>
        <v>0</v>
      </c>
      <c r="AV4716" s="28"/>
      <c r="AW4716" s="28" t="n">
        <f aca="false">AV4716*$M4716</f>
        <v>0</v>
      </c>
      <c r="AX4716" s="28"/>
      <c r="AY4716" s="28" t="n">
        <f aca="false">AX4716*$M4716</f>
        <v>0</v>
      </c>
      <c r="AZ4716" s="30" t="n">
        <v>4117</v>
      </c>
      <c r="BA4716" s="11" t="n">
        <v>20585</v>
      </c>
      <c r="BB4716" s="31" t="n">
        <f aca="false">SUM(Q4716,S4716,U4716,W4716,Y4716,AA4716,AC4716,AE4716,AG4716,AI4716,AK4716,AM4716,AO4716,AQ4716,AS4716,AU4716,AW4716,AY4716)</f>
        <v>20585</v>
      </c>
      <c r="BC4716" s="28" t="n">
        <f aca="false">BA4716-BB4716</f>
        <v>0</v>
      </c>
      <c r="BD4716" s="32" t="n">
        <f aca="false">SUM(P4716,R4716,T4716,V4716,X4716,Z4716,AB4716,AD4716,AF4716,AH4716,AJ4716,AL4716,AN4716,AP4716,AR4716,AT4716,AV4716,AX4716)</f>
        <v>4117</v>
      </c>
      <c r="BE4716" s="33" t="n">
        <f aca="false">AZ4716-BD4716</f>
        <v>0</v>
      </c>
      <c r="BF4716" s="34" t="n">
        <f aca="false">BD4716*M4716</f>
        <v>20585</v>
      </c>
      <c r="BG4716" s="35" t="n">
        <f aca="false">BA4716-BF4716</f>
        <v>0</v>
      </c>
      <c r="BH4716" s="19" t="str">
        <f aca="false">IF(BG4716=0,"",IF(BG4716&lt;&gt;BA4716,"erreur de calcul",IF(BD4716&lt;&gt;0,"pas de prix",IF(M4716&lt;&gt; 0,"pas de quantité","pas de prix, ni de quantité"))))</f>
        <v/>
      </c>
      <c r="BI4716" s="19"/>
    </row>
    <row r="4717" customFormat="false" ht="15" hidden="false" customHeight="false" outlineLevel="0" collapsed="false">
      <c r="A4717" s="0" t="n">
        <v>27</v>
      </c>
      <c r="B4717" s="8" t="s">
        <v>24</v>
      </c>
      <c r="C4717" s="9" t="s">
        <v>25</v>
      </c>
      <c r="D4717" s="9" t="s">
        <v>26</v>
      </c>
      <c r="E4717" s="10" t="n">
        <v>1789</v>
      </c>
      <c r="F4717" s="9" t="s">
        <v>27</v>
      </c>
      <c r="G4717" s="9" t="s">
        <v>27</v>
      </c>
      <c r="H4717" s="11" t="n">
        <v>22</v>
      </c>
      <c r="I4717" s="11" t="s">
        <v>230</v>
      </c>
      <c r="J4717" s="14" t="n">
        <v>11</v>
      </c>
      <c r="K4717" s="14"/>
      <c r="L4717" s="16"/>
      <c r="M4717" s="27" t="n">
        <f aca="false">J4717+(K4717/20)+(L4717/240)</f>
        <v>11</v>
      </c>
      <c r="N4717" s="17" t="s">
        <v>66</v>
      </c>
      <c r="O4717" s="11"/>
      <c r="P4717" s="28"/>
      <c r="Q4717" s="28" t="n">
        <f aca="false">P4717*$M4717</f>
        <v>0</v>
      </c>
      <c r="R4717" s="28"/>
      <c r="S4717" s="28" t="n">
        <f aca="false">R4717*$M4717</f>
        <v>0</v>
      </c>
      <c r="T4717" s="28"/>
      <c r="U4717" s="28" t="n">
        <f aca="false">T4717*$M4717</f>
        <v>0</v>
      </c>
      <c r="V4717" s="28"/>
      <c r="W4717" s="28" t="n">
        <f aca="false">V4717*$M4717</f>
        <v>0</v>
      </c>
      <c r="X4717" s="28"/>
      <c r="Y4717" s="28" t="n">
        <f aca="false">X4717*$M4717</f>
        <v>0</v>
      </c>
      <c r="Z4717" s="28"/>
      <c r="AA4717" s="28" t="n">
        <f aca="false">Z4717*$M4717</f>
        <v>0</v>
      </c>
      <c r="AB4717" s="28"/>
      <c r="AC4717" s="28" t="n">
        <f aca="false">AB4717*$M4717</f>
        <v>0</v>
      </c>
      <c r="AD4717" s="28"/>
      <c r="AE4717" s="28" t="n">
        <f aca="false">AD4717*$M4717</f>
        <v>0</v>
      </c>
      <c r="AF4717" s="28"/>
      <c r="AG4717" s="28" t="n">
        <f aca="false">AF4717*$M4717</f>
        <v>0</v>
      </c>
      <c r="AH4717" s="28"/>
      <c r="AI4717" s="28" t="n">
        <f aca="false">AH4717*$M4717</f>
        <v>0</v>
      </c>
      <c r="AJ4717" s="28" t="n">
        <v>34854</v>
      </c>
      <c r="AK4717" s="28" t="n">
        <v>383394</v>
      </c>
      <c r="AL4717" s="28"/>
      <c r="AM4717" s="28" t="n">
        <f aca="false">AL4717*$M4717</f>
        <v>0</v>
      </c>
      <c r="AN4717" s="28"/>
      <c r="AO4717" s="28" t="n">
        <f aca="false">AN4717*$M4717</f>
        <v>0</v>
      </c>
      <c r="AP4717" s="28"/>
      <c r="AQ4717" s="28" t="n">
        <f aca="false">AP4717*$M4717</f>
        <v>0</v>
      </c>
      <c r="AR4717" s="28"/>
      <c r="AS4717" s="28" t="n">
        <f aca="false">AR4717*$M4717</f>
        <v>0</v>
      </c>
      <c r="AT4717" s="28"/>
      <c r="AU4717" s="28" t="n">
        <f aca="false">AT4717*$M4717</f>
        <v>0</v>
      </c>
      <c r="AV4717" s="28"/>
      <c r="AW4717" s="28" t="n">
        <f aca="false">AV4717*$M4717</f>
        <v>0</v>
      </c>
      <c r="AX4717" s="28"/>
      <c r="AY4717" s="28" t="n">
        <f aca="false">AX4717*$M4717</f>
        <v>0</v>
      </c>
      <c r="AZ4717" s="30" t="n">
        <v>34854</v>
      </c>
      <c r="BA4717" s="11" t="n">
        <v>383394</v>
      </c>
      <c r="BB4717" s="31" t="n">
        <f aca="false">SUM(Q4717,S4717,U4717,W4717,Y4717,AA4717,AC4717,AE4717,AG4717,AI4717,AK4717,AM4717,AO4717,AQ4717,AS4717,AU4717,AW4717,AY4717)</f>
        <v>383394</v>
      </c>
      <c r="BC4717" s="28" t="n">
        <f aca="false">BA4717-BB4717</f>
        <v>0</v>
      </c>
      <c r="BD4717" s="32" t="n">
        <f aca="false">SUM(P4717,R4717,T4717,V4717,X4717,Z4717,AB4717,AD4717,AF4717,AH4717,AJ4717,AL4717,AN4717,AP4717,AR4717,AT4717,AV4717,AX4717)</f>
        <v>34854</v>
      </c>
      <c r="BE4717" s="33" t="n">
        <f aca="false">AZ4717-BD4717</f>
        <v>0</v>
      </c>
      <c r="BF4717" s="34" t="n">
        <f aca="false">BD4717*M4717</f>
        <v>383394</v>
      </c>
      <c r="BG4717" s="35" t="n">
        <f aca="false">BA4717-BF4717</f>
        <v>0</v>
      </c>
      <c r="BH4717" s="19" t="str">
        <f aca="false">IF(BG4717=0,"",IF(BG4717&lt;&gt;BA4717,"erreur de calcul",IF(BD4717&lt;&gt;0,"pas de prix",IF(M4717&lt;&gt; 0,"pas de quantité","pas de prix, ni de quantité"))))</f>
        <v/>
      </c>
      <c r="BI4717" s="19"/>
    </row>
    <row r="4718" customFormat="false" ht="15" hidden="false" customHeight="false" outlineLevel="0" collapsed="false">
      <c r="A4718" s="0" t="n">
        <v>28</v>
      </c>
      <c r="B4718" s="8" t="s">
        <v>24</v>
      </c>
      <c r="C4718" s="9" t="s">
        <v>25</v>
      </c>
      <c r="D4718" s="9" t="s">
        <v>26</v>
      </c>
      <c r="E4718" s="10" t="n">
        <v>1789</v>
      </c>
      <c r="F4718" s="9" t="s">
        <v>27</v>
      </c>
      <c r="G4718" s="9" t="s">
        <v>27</v>
      </c>
      <c r="H4718" s="11" t="n">
        <v>22</v>
      </c>
      <c r="I4718" s="11" t="s">
        <v>231</v>
      </c>
      <c r="J4718" s="14" t="n">
        <v>18</v>
      </c>
      <c r="K4718" s="14"/>
      <c r="L4718" s="16"/>
      <c r="M4718" s="27" t="n">
        <f aca="false">J4718+(K4718/20)+(L4718/240)</f>
        <v>18</v>
      </c>
      <c r="N4718" s="17" t="s">
        <v>66</v>
      </c>
      <c r="O4718" s="11"/>
      <c r="P4718" s="28"/>
      <c r="Q4718" s="28" t="n">
        <f aca="false">P4718*$M4718</f>
        <v>0</v>
      </c>
      <c r="R4718" s="28"/>
      <c r="S4718" s="28" t="n">
        <f aca="false">R4718*$M4718</f>
        <v>0</v>
      </c>
      <c r="T4718" s="28"/>
      <c r="U4718" s="28" t="n">
        <f aca="false">T4718*$M4718</f>
        <v>0</v>
      </c>
      <c r="V4718" s="28"/>
      <c r="W4718" s="28" t="n">
        <f aca="false">V4718*$M4718</f>
        <v>0</v>
      </c>
      <c r="X4718" s="28"/>
      <c r="Y4718" s="28" t="n">
        <f aca="false">X4718*$M4718</f>
        <v>0</v>
      </c>
      <c r="Z4718" s="28"/>
      <c r="AA4718" s="28" t="n">
        <f aca="false">Z4718*$M4718</f>
        <v>0</v>
      </c>
      <c r="AB4718" s="28"/>
      <c r="AC4718" s="28" t="n">
        <f aca="false">AB4718*$M4718</f>
        <v>0</v>
      </c>
      <c r="AD4718" s="28"/>
      <c r="AE4718" s="28" t="n">
        <f aca="false">AD4718*$M4718</f>
        <v>0</v>
      </c>
      <c r="AF4718" s="28"/>
      <c r="AG4718" s="28" t="n">
        <f aca="false">AF4718*$M4718</f>
        <v>0</v>
      </c>
      <c r="AH4718" s="28"/>
      <c r="AI4718" s="28" t="n">
        <f aca="false">AH4718*$M4718</f>
        <v>0</v>
      </c>
      <c r="AJ4718" s="28" t="n">
        <v>623</v>
      </c>
      <c r="AK4718" s="28" t="n">
        <v>11214</v>
      </c>
      <c r="AL4718" s="28"/>
      <c r="AM4718" s="28" t="n">
        <f aca="false">AL4718*$M4718</f>
        <v>0</v>
      </c>
      <c r="AN4718" s="28"/>
      <c r="AO4718" s="28" t="n">
        <f aca="false">AN4718*$M4718</f>
        <v>0</v>
      </c>
      <c r="AP4718" s="28"/>
      <c r="AQ4718" s="28" t="n">
        <f aca="false">AP4718*$M4718</f>
        <v>0</v>
      </c>
      <c r="AR4718" s="28"/>
      <c r="AS4718" s="28" t="n">
        <f aca="false">AR4718*$M4718</f>
        <v>0</v>
      </c>
      <c r="AT4718" s="28"/>
      <c r="AU4718" s="28" t="n">
        <f aca="false">AT4718*$M4718</f>
        <v>0</v>
      </c>
      <c r="AV4718" s="28"/>
      <c r="AW4718" s="28" t="n">
        <f aca="false">AV4718*$M4718</f>
        <v>0</v>
      </c>
      <c r="AX4718" s="28"/>
      <c r="AY4718" s="28" t="n">
        <f aca="false">AX4718*$M4718</f>
        <v>0</v>
      </c>
      <c r="AZ4718" s="30" t="n">
        <v>623</v>
      </c>
      <c r="BA4718" s="11" t="n">
        <v>11214</v>
      </c>
      <c r="BB4718" s="31" t="n">
        <f aca="false">SUM(Q4718,S4718,U4718,W4718,Y4718,AA4718,AC4718,AE4718,AG4718,AI4718,AK4718,AM4718,AO4718,AQ4718,AS4718,AU4718,AW4718,AY4718)</f>
        <v>11214</v>
      </c>
      <c r="BC4718" s="28" t="n">
        <f aca="false">BA4718-BB4718</f>
        <v>0</v>
      </c>
      <c r="BD4718" s="32" t="n">
        <f aca="false">SUM(P4718,R4718,T4718,V4718,X4718,Z4718,AB4718,AD4718,AF4718,AH4718,AJ4718,AL4718,AN4718,AP4718,AR4718,AT4718,AV4718,AX4718)</f>
        <v>623</v>
      </c>
      <c r="BE4718" s="33" t="n">
        <f aca="false">AZ4718-BD4718</f>
        <v>0</v>
      </c>
      <c r="BF4718" s="34" t="n">
        <f aca="false">BD4718*M4718</f>
        <v>11214</v>
      </c>
      <c r="BG4718" s="35" t="n">
        <f aca="false">BA4718-BF4718</f>
        <v>0</v>
      </c>
      <c r="BH4718" s="19" t="str">
        <f aca="false">IF(BG4718=0,"",IF(BG4718&lt;&gt;BA4718,"erreur de calcul",IF(BD4718&lt;&gt;0,"pas de prix",IF(M4718&lt;&gt; 0,"pas de quantité","pas de prix, ni de quantité"))))</f>
        <v/>
      </c>
      <c r="BI4718" s="19"/>
    </row>
    <row r="4719" customFormat="false" ht="15" hidden="false" customHeight="false" outlineLevel="0" collapsed="false">
      <c r="A4719" s="0" t="n">
        <v>29</v>
      </c>
      <c r="B4719" s="8" t="s">
        <v>24</v>
      </c>
      <c r="C4719" s="9" t="s">
        <v>25</v>
      </c>
      <c r="D4719" s="9" t="s">
        <v>26</v>
      </c>
      <c r="E4719" s="10" t="n">
        <v>1789</v>
      </c>
      <c r="F4719" s="9" t="s">
        <v>27</v>
      </c>
      <c r="G4719" s="9" t="s">
        <v>27</v>
      </c>
      <c r="H4719" s="11" t="n">
        <v>22</v>
      </c>
      <c r="I4719" s="11" t="s">
        <v>232</v>
      </c>
      <c r="J4719" s="14" t="n">
        <v>66</v>
      </c>
      <c r="K4719" s="14"/>
      <c r="L4719" s="16"/>
      <c r="M4719" s="27" t="n">
        <f aca="false">J4719+(K4719/20)+(L4719/240)</f>
        <v>66</v>
      </c>
      <c r="N4719" s="17" t="s">
        <v>64</v>
      </c>
      <c r="O4719" s="11"/>
      <c r="P4719" s="28"/>
      <c r="Q4719" s="28" t="n">
        <f aca="false">P4719*$M4719</f>
        <v>0</v>
      </c>
      <c r="R4719" s="28" t="n">
        <f aca="false">4580/100</f>
        <v>45.8</v>
      </c>
      <c r="S4719" s="28" t="n">
        <v>3023</v>
      </c>
      <c r="T4719" s="28"/>
      <c r="U4719" s="28" t="n">
        <f aca="false">T4719*$M4719</f>
        <v>0</v>
      </c>
      <c r="V4719" s="28"/>
      <c r="W4719" s="28" t="n">
        <f aca="false">V4719*$M4719</f>
        <v>0</v>
      </c>
      <c r="X4719" s="28"/>
      <c r="Y4719" s="28" t="n">
        <f aca="false">X4719*$M4719</f>
        <v>0</v>
      </c>
      <c r="Z4719" s="28"/>
      <c r="AA4719" s="28" t="n">
        <f aca="false">Z4719*$M4719</f>
        <v>0</v>
      </c>
      <c r="AB4719" s="28"/>
      <c r="AC4719" s="28" t="n">
        <f aca="false">AB4719*$M4719</f>
        <v>0</v>
      </c>
      <c r="AD4719" s="28"/>
      <c r="AE4719" s="28" t="n">
        <f aca="false">AD4719*$M4719</f>
        <v>0</v>
      </c>
      <c r="AF4719" s="28"/>
      <c r="AG4719" s="28" t="n">
        <f aca="false">AF4719*$M4719</f>
        <v>0</v>
      </c>
      <c r="AH4719" s="28"/>
      <c r="AI4719" s="28" t="n">
        <f aca="false">AH4719*$M4719</f>
        <v>0</v>
      </c>
      <c r="AJ4719" s="28"/>
      <c r="AK4719" s="28" t="n">
        <f aca="false">AJ4719*$M4719</f>
        <v>0</v>
      </c>
      <c r="AL4719" s="28"/>
      <c r="AM4719" s="28" t="n">
        <f aca="false">AL4719*$M4719</f>
        <v>0</v>
      </c>
      <c r="AN4719" s="28"/>
      <c r="AO4719" s="28" t="n">
        <f aca="false">AN4719*$M4719</f>
        <v>0</v>
      </c>
      <c r="AP4719" s="28"/>
      <c r="AQ4719" s="28" t="n">
        <f aca="false">AP4719*$M4719</f>
        <v>0</v>
      </c>
      <c r="AR4719" s="28"/>
      <c r="AS4719" s="28" t="n">
        <f aca="false">AR4719*$M4719</f>
        <v>0</v>
      </c>
      <c r="AT4719" s="28"/>
      <c r="AU4719" s="28" t="n">
        <f aca="false">AT4719*$M4719</f>
        <v>0</v>
      </c>
      <c r="AV4719" s="28"/>
      <c r="AW4719" s="28" t="n">
        <f aca="false">AV4719*$M4719</f>
        <v>0</v>
      </c>
      <c r="AX4719" s="28"/>
      <c r="AY4719" s="28" t="n">
        <f aca="false">AX4719*$M4719</f>
        <v>0</v>
      </c>
      <c r="AZ4719" s="30" t="n">
        <f aca="false">4580/100</f>
        <v>45.8</v>
      </c>
      <c r="BA4719" s="11" t="n">
        <v>3023</v>
      </c>
      <c r="BB4719" s="31" t="n">
        <f aca="false">SUM(Q4719,S4719,U4719,W4719,Y4719,AA4719,AC4719,AE4719,AG4719,AI4719,AK4719,AM4719,AO4719,AQ4719,AS4719,AU4719,AW4719,AY4719)</f>
        <v>3023</v>
      </c>
      <c r="BC4719" s="28" t="n">
        <f aca="false">BA4719-BB4719</f>
        <v>0</v>
      </c>
      <c r="BD4719" s="32" t="n">
        <f aca="false">SUM(P4719,R4719,T4719,V4719,X4719,Z4719,AB4719,AD4719,AF4719,AH4719,AJ4719,AL4719,AN4719,AP4719,AR4719,AT4719,AV4719,AX4719)</f>
        <v>45.8</v>
      </c>
      <c r="BE4719" s="33" t="n">
        <f aca="false">AZ4719-BD4719</f>
        <v>0</v>
      </c>
      <c r="BF4719" s="34" t="n">
        <f aca="false">BD4719*M4719</f>
        <v>3022.8</v>
      </c>
      <c r="BG4719" s="35" t="n">
        <f aca="false">BA4719-BF4719</f>
        <v>0.200000000000273</v>
      </c>
      <c r="BH4719" s="19" t="str">
        <f aca="false">IF(BG4719=0,"",IF(BG4719&lt;&gt;BA4719,"erreur de calcul",IF(BD4719&lt;&gt;0,"pas de prix",IF(M4719&lt;&gt; 0,"pas de quantité","pas de prix, ni de quantité"))))</f>
        <v>erreur de calcul</v>
      </c>
      <c r="BI4719" s="19"/>
    </row>
    <row r="4720" customFormat="false" ht="15" hidden="false" customHeight="false" outlineLevel="0" collapsed="false">
      <c r="A4720" s="0" t="n">
        <v>30</v>
      </c>
      <c r="B4720" s="8" t="s">
        <v>24</v>
      </c>
      <c r="C4720" s="9" t="s">
        <v>25</v>
      </c>
      <c r="D4720" s="9" t="s">
        <v>26</v>
      </c>
      <c r="E4720" s="10" t="n">
        <v>1789</v>
      </c>
      <c r="F4720" s="9" t="s">
        <v>27</v>
      </c>
      <c r="G4720" s="9" t="s">
        <v>27</v>
      </c>
      <c r="H4720" s="11" t="n">
        <v>22</v>
      </c>
      <c r="I4720" s="11" t="s">
        <v>233</v>
      </c>
      <c r="J4720" s="14" t="n">
        <v>155</v>
      </c>
      <c r="K4720" s="14"/>
      <c r="L4720" s="16"/>
      <c r="M4720" s="27" t="n">
        <f aca="false">J4720+(K4720/20)+(L4720/240)</f>
        <v>155</v>
      </c>
      <c r="N4720" s="17" t="s">
        <v>64</v>
      </c>
      <c r="O4720" s="11"/>
      <c r="P4720" s="28" t="n">
        <f aca="false">27574/100</f>
        <v>275.74</v>
      </c>
      <c r="Q4720" s="28" t="n">
        <v>42740</v>
      </c>
      <c r="R4720" s="28" t="n">
        <f aca="false">7820/100</f>
        <v>78.2</v>
      </c>
      <c r="S4720" s="28" t="n">
        <v>12121</v>
      </c>
      <c r="T4720" s="28"/>
      <c r="U4720" s="28" t="n">
        <f aca="false">T4720*$M4720</f>
        <v>0</v>
      </c>
      <c r="V4720" s="28" t="n">
        <f aca="false">37316/100</f>
        <v>373.16</v>
      </c>
      <c r="W4720" s="28" t="n">
        <v>57840</v>
      </c>
      <c r="X4720" s="28" t="n">
        <f aca="false">1394/100</f>
        <v>13.94</v>
      </c>
      <c r="Y4720" s="28" t="n">
        <v>2161</v>
      </c>
      <c r="Z4720" s="28"/>
      <c r="AA4720" s="28" t="n">
        <f aca="false">Z4720*$M4720</f>
        <v>0</v>
      </c>
      <c r="AB4720" s="28"/>
      <c r="AC4720" s="28" t="n">
        <f aca="false">AB4720*$M4720</f>
        <v>0</v>
      </c>
      <c r="AD4720" s="28"/>
      <c r="AE4720" s="28" t="n">
        <f aca="false">AD4720*$M4720</f>
        <v>0</v>
      </c>
      <c r="AF4720" s="28"/>
      <c r="AG4720" s="28" t="n">
        <f aca="false">AF4720*$M4720</f>
        <v>0</v>
      </c>
      <c r="AH4720" s="28"/>
      <c r="AI4720" s="28" t="n">
        <f aca="false">AH4720*$M4720</f>
        <v>0</v>
      </c>
      <c r="AJ4720" s="28" t="n">
        <f aca="false">158255/100</f>
        <v>1582.55</v>
      </c>
      <c r="AK4720" s="28" t="n">
        <v>245295</v>
      </c>
      <c r="AL4720" s="28"/>
      <c r="AM4720" s="28" t="n">
        <f aca="false">AL4720*$M4720</f>
        <v>0</v>
      </c>
      <c r="AN4720" s="28" t="n">
        <f aca="false">417945/100</f>
        <v>4179.45</v>
      </c>
      <c r="AO4720" s="28" t="n">
        <v>647815</v>
      </c>
      <c r="AP4720" s="28"/>
      <c r="AQ4720" s="28" t="n">
        <f aca="false">AP4720*$M4720</f>
        <v>0</v>
      </c>
      <c r="AR4720" s="28"/>
      <c r="AS4720" s="28" t="n">
        <f aca="false">AR4720*$M4720</f>
        <v>0</v>
      </c>
      <c r="AT4720" s="28"/>
      <c r="AU4720" s="28" t="n">
        <f aca="false">AT4720*$M4720</f>
        <v>0</v>
      </c>
      <c r="AV4720" s="28"/>
      <c r="AW4720" s="28" t="n">
        <f aca="false">AV4720*$M4720</f>
        <v>0</v>
      </c>
      <c r="AX4720" s="28"/>
      <c r="AY4720" s="28" t="n">
        <f aca="false">AX4720*$M4720</f>
        <v>0</v>
      </c>
      <c r="AZ4720" s="30" t="n">
        <f aca="false">650304/100</f>
        <v>6503.04</v>
      </c>
      <c r="BA4720" s="11" t="n">
        <v>1007972</v>
      </c>
      <c r="BB4720" s="31" t="n">
        <f aca="false">SUM(Q4720,S4720,U4720,W4720,Y4720,AA4720,AC4720,AE4720,AG4720,AI4720,AK4720,AM4720,AO4720,AQ4720,AS4720,AU4720,AW4720,AY4720)</f>
        <v>1007972</v>
      </c>
      <c r="BC4720" s="28" t="n">
        <f aca="false">BA4720-BB4720</f>
        <v>0</v>
      </c>
      <c r="BD4720" s="32" t="n">
        <f aca="false">SUM(P4720,R4720,T4720,V4720,X4720,Z4720,AB4720,AD4720,AF4720,AH4720,AJ4720,AL4720,AN4720,AP4720,AR4720,AT4720,AV4720,AX4720)</f>
        <v>6503.04</v>
      </c>
      <c r="BE4720" s="33" t="n">
        <f aca="false">AZ4720-BD4720</f>
        <v>0</v>
      </c>
      <c r="BF4720" s="34" t="n">
        <f aca="false">BD4720*M4720</f>
        <v>1007971.2</v>
      </c>
      <c r="BG4720" s="35" t="n">
        <f aca="false">BA4720-BF4720</f>
        <v>0.800000000162981</v>
      </c>
      <c r="BH4720" s="19" t="str">
        <f aca="false">IF(BG4720=0,"",IF(BG4720&lt;&gt;BA4720,"erreur de calcul",IF(BD4720&lt;&gt;0,"pas de prix",IF(M4720&lt;&gt; 0,"pas de quantité","pas de prix, ni de quantité"))))</f>
        <v>erreur de calcul</v>
      </c>
      <c r="BI4720" s="19"/>
    </row>
    <row r="4721" customFormat="false" ht="15" hidden="false" customHeight="false" outlineLevel="0" collapsed="false">
      <c r="A4721" s="0" t="n">
        <v>31</v>
      </c>
      <c r="B4721" s="8" t="s">
        <v>24</v>
      </c>
      <c r="C4721" s="9" t="s">
        <v>25</v>
      </c>
      <c r="D4721" s="9" t="s">
        <v>26</v>
      </c>
      <c r="E4721" s="10" t="n">
        <v>1789</v>
      </c>
      <c r="F4721" s="9" t="s">
        <v>27</v>
      </c>
      <c r="G4721" s="9" t="s">
        <v>27</v>
      </c>
      <c r="H4721" s="11" t="n">
        <v>22</v>
      </c>
      <c r="I4721" s="11" t="s">
        <v>234</v>
      </c>
      <c r="J4721" s="14" t="n">
        <v>110</v>
      </c>
      <c r="K4721" s="14"/>
      <c r="L4721" s="16"/>
      <c r="M4721" s="27" t="n">
        <f aca="false">J4721+(K4721/20)+(L4721/240)</f>
        <v>110</v>
      </c>
      <c r="N4721" s="17" t="s">
        <v>64</v>
      </c>
      <c r="O4721" s="11"/>
      <c r="P4721" s="28" t="n">
        <f aca="false">73942/100</f>
        <v>739.42</v>
      </c>
      <c r="Q4721" s="28" t="n">
        <v>81336</v>
      </c>
      <c r="R4721" s="28"/>
      <c r="S4721" s="28" t="n">
        <f aca="false">R4721*$M4721</f>
        <v>0</v>
      </c>
      <c r="T4721" s="28"/>
      <c r="U4721" s="28" t="n">
        <f aca="false">T4721*$M4721</f>
        <v>0</v>
      </c>
      <c r="V4721" s="28"/>
      <c r="W4721" s="28" t="n">
        <f aca="false">V4721*$M4721</f>
        <v>0</v>
      </c>
      <c r="X4721" s="28"/>
      <c r="Y4721" s="28" t="n">
        <f aca="false">X4721*$M4721</f>
        <v>0</v>
      </c>
      <c r="Z4721" s="28"/>
      <c r="AA4721" s="28" t="n">
        <f aca="false">Z4721*$M4721</f>
        <v>0</v>
      </c>
      <c r="AB4721" s="28"/>
      <c r="AC4721" s="28" t="n">
        <f aca="false">AB4721*$M4721</f>
        <v>0</v>
      </c>
      <c r="AD4721" s="28"/>
      <c r="AE4721" s="28" t="n">
        <f aca="false">AD4721*$M4721</f>
        <v>0</v>
      </c>
      <c r="AF4721" s="28"/>
      <c r="AG4721" s="28" t="n">
        <f aca="false">AF4721*$M4721</f>
        <v>0</v>
      </c>
      <c r="AH4721" s="28"/>
      <c r="AI4721" s="28" t="n">
        <f aca="false">AH4721*$M4721</f>
        <v>0</v>
      </c>
      <c r="AJ4721" s="28"/>
      <c r="AK4721" s="28" t="n">
        <f aca="false">AJ4721*$M4721</f>
        <v>0</v>
      </c>
      <c r="AL4721" s="28"/>
      <c r="AM4721" s="28" t="n">
        <f aca="false">AL4721*$M4721</f>
        <v>0</v>
      </c>
      <c r="AN4721" s="28"/>
      <c r="AO4721" s="28" t="n">
        <f aca="false">AN4721*$M4721</f>
        <v>0</v>
      </c>
      <c r="AP4721" s="28"/>
      <c r="AQ4721" s="28" t="n">
        <f aca="false">AP4721*$M4721</f>
        <v>0</v>
      </c>
      <c r="AR4721" s="28"/>
      <c r="AS4721" s="28" t="n">
        <f aca="false">AR4721*$M4721</f>
        <v>0</v>
      </c>
      <c r="AT4721" s="28"/>
      <c r="AU4721" s="28" t="n">
        <f aca="false">AT4721*$M4721</f>
        <v>0</v>
      </c>
      <c r="AV4721" s="28"/>
      <c r="AW4721" s="28" t="n">
        <f aca="false">AV4721*$M4721</f>
        <v>0</v>
      </c>
      <c r="AX4721" s="28"/>
      <c r="AY4721" s="28" t="n">
        <f aca="false">AX4721*$M4721</f>
        <v>0</v>
      </c>
      <c r="AZ4721" s="30" t="n">
        <f aca="false">73942/100</f>
        <v>739.42</v>
      </c>
      <c r="BA4721" s="11" t="n">
        <v>81336</v>
      </c>
      <c r="BB4721" s="31" t="n">
        <f aca="false">SUM(Q4721,S4721,U4721,W4721,Y4721,AA4721,AC4721,AE4721,AG4721,AI4721,AK4721,AM4721,AO4721,AQ4721,AS4721,AU4721,AW4721,AY4721)</f>
        <v>81336</v>
      </c>
      <c r="BC4721" s="28" t="n">
        <f aca="false">BA4721-BB4721</f>
        <v>0</v>
      </c>
      <c r="BD4721" s="32" t="n">
        <f aca="false">SUM(P4721,R4721,T4721,V4721,X4721,Z4721,AB4721,AD4721,AF4721,AH4721,AJ4721,AL4721,AN4721,AP4721,AR4721,AT4721,AV4721,AX4721)</f>
        <v>739.42</v>
      </c>
      <c r="BE4721" s="33" t="n">
        <f aca="false">AZ4721-BD4721</f>
        <v>0</v>
      </c>
      <c r="BF4721" s="34" t="n">
        <f aca="false">BD4721*M4721</f>
        <v>81336.2</v>
      </c>
      <c r="BG4721" s="35" t="n">
        <f aca="false">BA4721-BF4721</f>
        <v>-0.19999999999709</v>
      </c>
      <c r="BH4721" s="19" t="str">
        <f aca="false">IF(BG4721=0,"",IF(BG4721&lt;&gt;BA4721,"erreur de calcul",IF(BD4721&lt;&gt;0,"pas de prix",IF(M4721&lt;&gt; 0,"pas de quantité","pas de prix, ni de quantité"))))</f>
        <v>erreur de calcul</v>
      </c>
      <c r="BI4721" s="19"/>
    </row>
    <row r="4722" customFormat="false" ht="15" hidden="false" customHeight="false" outlineLevel="0" collapsed="false">
      <c r="A4722" s="0" t="n">
        <v>32</v>
      </c>
      <c r="B4722" s="8" t="s">
        <v>24</v>
      </c>
      <c r="C4722" s="9" t="s">
        <v>25</v>
      </c>
      <c r="D4722" s="9" t="s">
        <v>26</v>
      </c>
      <c r="E4722" s="10" t="n">
        <v>1789</v>
      </c>
      <c r="F4722" s="9" t="s">
        <v>27</v>
      </c>
      <c r="G4722" s="9" t="s">
        <v>27</v>
      </c>
      <c r="H4722" s="11" t="n">
        <v>22</v>
      </c>
      <c r="I4722" s="11" t="s">
        <v>235</v>
      </c>
      <c r="J4722" s="14" t="n">
        <v>60</v>
      </c>
      <c r="K4722" s="14"/>
      <c r="L4722" s="16"/>
      <c r="M4722" s="27" t="n">
        <f aca="false">J4722+(K4722/20)+(L4722/240)</f>
        <v>60</v>
      </c>
      <c r="N4722" s="17" t="s">
        <v>64</v>
      </c>
      <c r="O4722" s="11"/>
      <c r="P4722" s="28"/>
      <c r="Q4722" s="28" t="n">
        <f aca="false">P4722*$M4722</f>
        <v>0</v>
      </c>
      <c r="R4722" s="28"/>
      <c r="S4722" s="28" t="n">
        <f aca="false">R4722*$M4722</f>
        <v>0</v>
      </c>
      <c r="T4722" s="28"/>
      <c r="U4722" s="28" t="n">
        <f aca="false">T4722*$M4722</f>
        <v>0</v>
      </c>
      <c r="V4722" s="28" t="n">
        <f aca="false">232/100</f>
        <v>2.32</v>
      </c>
      <c r="W4722" s="28" t="n">
        <v>139</v>
      </c>
      <c r="X4722" s="28" t="n">
        <f aca="false">5603/100</f>
        <v>56.03</v>
      </c>
      <c r="Y4722" s="28" t="n">
        <v>3362</v>
      </c>
      <c r="Z4722" s="28"/>
      <c r="AA4722" s="28" t="n">
        <f aca="false">Z4722*$M4722</f>
        <v>0</v>
      </c>
      <c r="AB4722" s="28" t="n">
        <f aca="false">1410/100</f>
        <v>14.1</v>
      </c>
      <c r="AC4722" s="28" t="n">
        <v>846</v>
      </c>
      <c r="AD4722" s="28"/>
      <c r="AE4722" s="28" t="n">
        <f aca="false">AD4722*$M4722</f>
        <v>0</v>
      </c>
      <c r="AF4722" s="28" t="n">
        <f aca="false">162899/100</f>
        <v>1628.99</v>
      </c>
      <c r="AG4722" s="28" t="n">
        <v>97739</v>
      </c>
      <c r="AH4722" s="28" t="n">
        <f aca="false">6506/100</f>
        <v>65.06</v>
      </c>
      <c r="AI4722" s="28" t="n">
        <v>3904</v>
      </c>
      <c r="AJ4722" s="28"/>
      <c r="AK4722" s="28" t="n">
        <f aca="false">AJ4722*$M4722</f>
        <v>0</v>
      </c>
      <c r="AL4722" s="28"/>
      <c r="AM4722" s="28" t="n">
        <f aca="false">AL4722*$M4722</f>
        <v>0</v>
      </c>
      <c r="AN4722" s="28"/>
      <c r="AO4722" s="28" t="n">
        <f aca="false">AN4722*$M4722</f>
        <v>0</v>
      </c>
      <c r="AP4722" s="28"/>
      <c r="AQ4722" s="28" t="n">
        <f aca="false">AP4722*$M4722</f>
        <v>0</v>
      </c>
      <c r="AR4722" s="28"/>
      <c r="AS4722" s="28" t="n">
        <f aca="false">AR4722*$M4722</f>
        <v>0</v>
      </c>
      <c r="AT4722" s="28"/>
      <c r="AU4722" s="28" t="n">
        <f aca="false">AT4722*$M4722</f>
        <v>0</v>
      </c>
      <c r="AV4722" s="28"/>
      <c r="AW4722" s="28" t="n">
        <f aca="false">AV4722*$M4722</f>
        <v>0</v>
      </c>
      <c r="AX4722" s="28"/>
      <c r="AY4722" s="28" t="n">
        <f aca="false">AX4722*$M4722</f>
        <v>0</v>
      </c>
      <c r="AZ4722" s="30" t="n">
        <f aca="false">176650/100</f>
        <v>1766.5</v>
      </c>
      <c r="BA4722" s="11" t="n">
        <v>105990</v>
      </c>
      <c r="BB4722" s="31" t="n">
        <f aca="false">SUM(Q4722,S4722,U4722,W4722,Y4722,AA4722,AC4722,AE4722,AG4722,AI4722,AK4722,AM4722,AO4722,AQ4722,AS4722,AU4722,AW4722,AY4722)</f>
        <v>105990</v>
      </c>
      <c r="BC4722" s="28" t="n">
        <f aca="false">BA4722-BB4722</f>
        <v>0</v>
      </c>
      <c r="BD4722" s="32" t="n">
        <f aca="false">SUM(P4722,R4722,T4722,V4722,X4722,Z4722,AB4722,AD4722,AF4722,AH4722,AJ4722,AL4722,AN4722,AP4722,AR4722,AT4722,AV4722,AX4722)</f>
        <v>1766.5</v>
      </c>
      <c r="BE4722" s="33" t="n">
        <f aca="false">AZ4722-BD4722</f>
        <v>0</v>
      </c>
      <c r="BF4722" s="34" t="n">
        <f aca="false">BD4722*M4722</f>
        <v>105990</v>
      </c>
      <c r="BG4722" s="35" t="n">
        <f aca="false">BA4722-BF4722</f>
        <v>0</v>
      </c>
      <c r="BH4722" s="19" t="str">
        <f aca="false">IF(BG4722=0,"",IF(BG4722&lt;&gt;BA4722,"erreur de calcul",IF(BD4722&lt;&gt;0,"pas de prix",IF(M4722&lt;&gt; 0,"pas de quantité","pas de prix, ni de quantité"))))</f>
        <v/>
      </c>
      <c r="BI4722" s="19"/>
    </row>
    <row r="4723" customFormat="false" ht="15" hidden="false" customHeight="false" outlineLevel="0" collapsed="false">
      <c r="A4723" s="0" t="n">
        <v>33</v>
      </c>
      <c r="B4723" s="8" t="s">
        <v>24</v>
      </c>
      <c r="C4723" s="9" t="s">
        <v>25</v>
      </c>
      <c r="D4723" s="9" t="s">
        <v>26</v>
      </c>
      <c r="E4723" s="10" t="n">
        <v>1789</v>
      </c>
      <c r="F4723" s="9" t="s">
        <v>27</v>
      </c>
      <c r="G4723" s="9" t="s">
        <v>27</v>
      </c>
      <c r="H4723" s="11" t="n">
        <v>22</v>
      </c>
      <c r="I4723" s="11" t="s">
        <v>236</v>
      </c>
      <c r="J4723" s="14" t="n">
        <v>710</v>
      </c>
      <c r="K4723" s="14"/>
      <c r="L4723" s="16"/>
      <c r="M4723" s="27" t="n">
        <f aca="false">J4723+(K4723/20)+(L4723/240)</f>
        <v>710</v>
      </c>
      <c r="N4723" s="17" t="s">
        <v>64</v>
      </c>
      <c r="O4723" s="11"/>
      <c r="P4723" s="28"/>
      <c r="Q4723" s="28" t="n">
        <f aca="false">P4723*$M4723</f>
        <v>0</v>
      </c>
      <c r="R4723" s="28"/>
      <c r="S4723" s="28" t="n">
        <f aca="false">R4723*$M4723</f>
        <v>0</v>
      </c>
      <c r="T4723" s="28" t="n">
        <f aca="false">108/100</f>
        <v>1.08</v>
      </c>
      <c r="U4723" s="28" t="n">
        <v>767</v>
      </c>
      <c r="V4723" s="28" t="n">
        <f aca="false">1190/100</f>
        <v>11.9</v>
      </c>
      <c r="W4723" s="28" t="n">
        <v>8449</v>
      </c>
      <c r="X4723" s="28" t="n">
        <f aca="false">487/100</f>
        <v>4.87</v>
      </c>
      <c r="Y4723" s="28" t="n">
        <v>3458</v>
      </c>
      <c r="Z4723" s="28"/>
      <c r="AA4723" s="28" t="n">
        <f aca="false">Z4723*$M4723</f>
        <v>0</v>
      </c>
      <c r="AB4723" s="28" t="n">
        <f aca="false">9170/100</f>
        <v>91.7</v>
      </c>
      <c r="AC4723" s="28" t="n">
        <v>65107</v>
      </c>
      <c r="AD4723" s="28" t="n">
        <f aca="false">531/100</f>
        <v>5.31</v>
      </c>
      <c r="AE4723" s="28" t="n">
        <v>3770</v>
      </c>
      <c r="AF4723" s="28"/>
      <c r="AG4723" s="28" t="n">
        <f aca="false">AF4723*$M4723</f>
        <v>0</v>
      </c>
      <c r="AH4723" s="28"/>
      <c r="AI4723" s="28" t="n">
        <f aca="false">AH4723*$M4723</f>
        <v>0</v>
      </c>
      <c r="AJ4723" s="28"/>
      <c r="AK4723" s="28" t="n">
        <f aca="false">AJ4723*$M4723</f>
        <v>0</v>
      </c>
      <c r="AL4723" s="28"/>
      <c r="AM4723" s="28" t="n">
        <f aca="false">AL4723*$M4723</f>
        <v>0</v>
      </c>
      <c r="AN4723" s="28"/>
      <c r="AO4723" s="28" t="n">
        <f aca="false">AN4723*$M4723</f>
        <v>0</v>
      </c>
      <c r="AP4723" s="28"/>
      <c r="AQ4723" s="28" t="n">
        <f aca="false">AP4723*$M4723</f>
        <v>0</v>
      </c>
      <c r="AR4723" s="28"/>
      <c r="AS4723" s="28" t="n">
        <f aca="false">AR4723*$M4723</f>
        <v>0</v>
      </c>
      <c r="AT4723" s="28"/>
      <c r="AU4723" s="28" t="n">
        <f aca="false">AT4723*$M4723</f>
        <v>0</v>
      </c>
      <c r="AV4723" s="28"/>
      <c r="AW4723" s="28" t="n">
        <f aca="false">AV4723*$M4723</f>
        <v>0</v>
      </c>
      <c r="AX4723" s="28"/>
      <c r="AY4723" s="28" t="n">
        <f aca="false">AX4723*$M4723</f>
        <v>0</v>
      </c>
      <c r="AZ4723" s="30" t="n">
        <f aca="false">11486/100</f>
        <v>114.86</v>
      </c>
      <c r="BA4723" s="11" t="n">
        <v>81551</v>
      </c>
      <c r="BB4723" s="31" t="n">
        <f aca="false">SUM(Q4723,S4723,U4723,W4723,Y4723,AA4723,AC4723,AE4723,AG4723,AI4723,AK4723,AM4723,AO4723,AQ4723,AS4723,AU4723,AW4723,AY4723)</f>
        <v>81551</v>
      </c>
      <c r="BC4723" s="28" t="n">
        <f aca="false">BA4723-BB4723</f>
        <v>0</v>
      </c>
      <c r="BD4723" s="32" t="n">
        <f aca="false">SUM(P4723,R4723,T4723,V4723,X4723,Z4723,AB4723,AD4723,AF4723,AH4723,AJ4723,AL4723,AN4723,AP4723,AR4723,AT4723,AV4723,AX4723)</f>
        <v>114.86</v>
      </c>
      <c r="BE4723" s="33" t="n">
        <f aca="false">AZ4723-BD4723</f>
        <v>0</v>
      </c>
      <c r="BF4723" s="34" t="n">
        <f aca="false">BD4723*M4723</f>
        <v>81550.6</v>
      </c>
      <c r="BG4723" s="35" t="n">
        <f aca="false">BA4723-BF4723</f>
        <v>0.399999999994179</v>
      </c>
      <c r="BH4723" s="19" t="str">
        <f aca="false">IF(BG4723=0,"",IF(BG4723&lt;&gt;BA4723,"erreur de calcul",IF(BD4723&lt;&gt;0,"pas de prix",IF(M4723&lt;&gt; 0,"pas de quantité","pas de prix, ni de quantité"))))</f>
        <v>erreur de calcul</v>
      </c>
      <c r="BI4723" s="19"/>
    </row>
    <row r="4724" customFormat="false" ht="15" hidden="false" customHeight="false" outlineLevel="0" collapsed="false">
      <c r="A4724" s="0" t="n">
        <v>34</v>
      </c>
      <c r="B4724" s="8" t="s">
        <v>24</v>
      </c>
      <c r="C4724" s="9" t="s">
        <v>25</v>
      </c>
      <c r="D4724" s="9" t="s">
        <v>26</v>
      </c>
      <c r="E4724" s="10" t="n">
        <v>1789</v>
      </c>
      <c r="F4724" s="9" t="s">
        <v>27</v>
      </c>
      <c r="G4724" s="9" t="s">
        <v>27</v>
      </c>
      <c r="H4724" s="11" t="n">
        <v>22</v>
      </c>
      <c r="I4724" s="11" t="s">
        <v>237</v>
      </c>
      <c r="J4724" s="14" t="n">
        <v>91</v>
      </c>
      <c r="K4724" s="14"/>
      <c r="L4724" s="16"/>
      <c r="M4724" s="27" t="n">
        <f aca="false">J4724+(K4724/20)+(L4724/240)</f>
        <v>91</v>
      </c>
      <c r="N4724" s="17" t="s">
        <v>64</v>
      </c>
      <c r="O4724" s="11"/>
      <c r="P4724" s="28"/>
      <c r="Q4724" s="28" t="n">
        <f aca="false">P4724*$M4724</f>
        <v>0</v>
      </c>
      <c r="R4724" s="28"/>
      <c r="S4724" s="28" t="n">
        <f aca="false">R4724*$M4724</f>
        <v>0</v>
      </c>
      <c r="T4724" s="28"/>
      <c r="U4724" s="28" t="n">
        <f aca="false">T4724*$M4724</f>
        <v>0</v>
      </c>
      <c r="V4724" s="28" t="n">
        <f aca="false">3384/100</f>
        <v>33.84</v>
      </c>
      <c r="W4724" s="28" t="n">
        <v>3079</v>
      </c>
      <c r="X4724" s="28" t="n">
        <f aca="false">18105/100</f>
        <v>181.05</v>
      </c>
      <c r="Y4724" s="28" t="n">
        <v>16475</v>
      </c>
      <c r="Z4724" s="28"/>
      <c r="AA4724" s="28" t="n">
        <f aca="false">Z4724*$M4724</f>
        <v>0</v>
      </c>
      <c r="AB4724" s="28"/>
      <c r="AC4724" s="28" t="n">
        <f aca="false">AB4724*$M4724</f>
        <v>0</v>
      </c>
      <c r="AD4724" s="28"/>
      <c r="AE4724" s="28" t="n">
        <f aca="false">AD4724*$M4724</f>
        <v>0</v>
      </c>
      <c r="AF4724" s="28"/>
      <c r="AG4724" s="28" t="n">
        <f aca="false">AF4724*$M4724</f>
        <v>0</v>
      </c>
      <c r="AH4724" s="28"/>
      <c r="AI4724" s="28" t="n">
        <f aca="false">AH4724*$M4724</f>
        <v>0</v>
      </c>
      <c r="AJ4724" s="28"/>
      <c r="AK4724" s="28" t="n">
        <f aca="false">AJ4724*$M4724</f>
        <v>0</v>
      </c>
      <c r="AL4724" s="28"/>
      <c r="AM4724" s="28" t="n">
        <f aca="false">AL4724*$M4724</f>
        <v>0</v>
      </c>
      <c r="AN4724" s="28"/>
      <c r="AO4724" s="28" t="n">
        <f aca="false">AN4724*$M4724</f>
        <v>0</v>
      </c>
      <c r="AP4724" s="28"/>
      <c r="AQ4724" s="28" t="n">
        <f aca="false">AP4724*$M4724</f>
        <v>0</v>
      </c>
      <c r="AR4724" s="28"/>
      <c r="AS4724" s="28" t="n">
        <f aca="false">AR4724*$M4724</f>
        <v>0</v>
      </c>
      <c r="AT4724" s="28"/>
      <c r="AU4724" s="28" t="n">
        <f aca="false">AT4724*$M4724</f>
        <v>0</v>
      </c>
      <c r="AV4724" s="28"/>
      <c r="AW4724" s="28" t="n">
        <f aca="false">AV4724*$M4724</f>
        <v>0</v>
      </c>
      <c r="AX4724" s="28"/>
      <c r="AY4724" s="28" t="n">
        <f aca="false">AX4724*$M4724</f>
        <v>0</v>
      </c>
      <c r="AZ4724" s="30" t="n">
        <f aca="false">21489/100</f>
        <v>214.89</v>
      </c>
      <c r="BA4724" s="11" t="n">
        <v>19554</v>
      </c>
      <c r="BB4724" s="31" t="n">
        <f aca="false">SUM(Q4724,S4724,U4724,W4724,Y4724,AA4724,AC4724,AE4724,AG4724,AI4724,AK4724,AM4724,AO4724,AQ4724,AS4724,AU4724,AW4724,AY4724)</f>
        <v>19554</v>
      </c>
      <c r="BC4724" s="28" t="n">
        <f aca="false">BA4724-BB4724</f>
        <v>0</v>
      </c>
      <c r="BD4724" s="32" t="n">
        <f aca="false">SUM(P4724,R4724,T4724,V4724,X4724,Z4724,AB4724,AD4724,AF4724,AH4724,AJ4724,AL4724,AN4724,AP4724,AR4724,AT4724,AV4724,AX4724)</f>
        <v>214.89</v>
      </c>
      <c r="BE4724" s="33" t="n">
        <f aca="false">AZ4724-BD4724</f>
        <v>0</v>
      </c>
      <c r="BF4724" s="34" t="n">
        <f aca="false">BD4724*M4724</f>
        <v>19554.99</v>
      </c>
      <c r="BG4724" s="35" t="n">
        <f aca="false">BA4724-BF4724</f>
        <v>-0.990000000001601</v>
      </c>
      <c r="BH4724" s="19" t="str">
        <f aca="false">IF(BG4724=0,"",IF(BG4724&lt;&gt;BA4724,"erreur de calcul",IF(BD4724&lt;&gt;0,"pas de prix",IF(M4724&lt;&gt; 0,"pas de quantité","pas de prix, ni de quantité"))))</f>
        <v>erreur de calcul</v>
      </c>
      <c r="BI4724" s="19"/>
    </row>
    <row r="4725" customFormat="false" ht="15" hidden="false" customHeight="false" outlineLevel="0" collapsed="false">
      <c r="A4725" s="0" t="n">
        <v>35</v>
      </c>
      <c r="B4725" s="8" t="s">
        <v>24</v>
      </c>
      <c r="C4725" s="9" t="s">
        <v>25</v>
      </c>
      <c r="D4725" s="9" t="s">
        <v>26</v>
      </c>
      <c r="E4725" s="10" t="n">
        <v>1789</v>
      </c>
      <c r="F4725" s="9" t="s">
        <v>27</v>
      </c>
      <c r="G4725" s="9" t="s">
        <v>27</v>
      </c>
      <c r="H4725" s="11" t="n">
        <v>22</v>
      </c>
      <c r="I4725" s="11" t="s">
        <v>238</v>
      </c>
      <c r="J4725" s="14" t="n">
        <v>40</v>
      </c>
      <c r="K4725" s="14"/>
      <c r="L4725" s="16"/>
      <c r="M4725" s="27" t="n">
        <f aca="false">J4725+(K4725/20)+(L4725/240)</f>
        <v>40</v>
      </c>
      <c r="N4725" s="17" t="s">
        <v>66</v>
      </c>
      <c r="O4725" s="11"/>
      <c r="P4725" s="28" t="n">
        <v>150</v>
      </c>
      <c r="Q4725" s="28" t="n">
        <v>6000</v>
      </c>
      <c r="R4725" s="28"/>
      <c r="S4725" s="28" t="n">
        <f aca="false">R4725*$M4725</f>
        <v>0</v>
      </c>
      <c r="T4725" s="28" t="n">
        <v>467</v>
      </c>
      <c r="U4725" s="28" t="n">
        <v>18680</v>
      </c>
      <c r="V4725" s="28" t="n">
        <v>1124</v>
      </c>
      <c r="W4725" s="28" t="n">
        <v>44960</v>
      </c>
      <c r="X4725" s="28" t="n">
        <v>591</v>
      </c>
      <c r="Y4725" s="28" t="n">
        <v>23640</v>
      </c>
      <c r="Z4725" s="28"/>
      <c r="AA4725" s="28" t="n">
        <f aca="false">Z4725*$M4725</f>
        <v>0</v>
      </c>
      <c r="AB4725" s="28" t="n">
        <v>554</v>
      </c>
      <c r="AC4725" s="28" t="n">
        <v>22160</v>
      </c>
      <c r="AD4725" s="28"/>
      <c r="AE4725" s="28" t="n">
        <f aca="false">AD4725*$M4725</f>
        <v>0</v>
      </c>
      <c r="AF4725" s="28"/>
      <c r="AG4725" s="28" t="n">
        <f aca="false">AF4725*$M4725</f>
        <v>0</v>
      </c>
      <c r="AH4725" s="28" t="n">
        <v>1109</v>
      </c>
      <c r="AI4725" s="28" t="n">
        <v>44360</v>
      </c>
      <c r="AJ4725" s="28"/>
      <c r="AK4725" s="28" t="n">
        <f aca="false">AJ4725*$M4725</f>
        <v>0</v>
      </c>
      <c r="AL4725" s="28"/>
      <c r="AM4725" s="28" t="n">
        <f aca="false">AL4725*$M4725</f>
        <v>0</v>
      </c>
      <c r="AN4725" s="28"/>
      <c r="AO4725" s="28" t="n">
        <f aca="false">AN4725*$M4725</f>
        <v>0</v>
      </c>
      <c r="AP4725" s="28"/>
      <c r="AQ4725" s="28" t="n">
        <f aca="false">AP4725*$M4725</f>
        <v>0</v>
      </c>
      <c r="AR4725" s="28"/>
      <c r="AS4725" s="28" t="n">
        <f aca="false">AR4725*$M4725</f>
        <v>0</v>
      </c>
      <c r="AT4725" s="28"/>
      <c r="AU4725" s="28" t="n">
        <f aca="false">AT4725*$M4725</f>
        <v>0</v>
      </c>
      <c r="AV4725" s="28"/>
      <c r="AW4725" s="28" t="n">
        <f aca="false">AV4725*$M4725</f>
        <v>0</v>
      </c>
      <c r="AX4725" s="28"/>
      <c r="AY4725" s="28" t="n">
        <f aca="false">AX4725*$M4725</f>
        <v>0</v>
      </c>
      <c r="AZ4725" s="30" t="n">
        <v>3995</v>
      </c>
      <c r="BA4725" s="11" t="n">
        <v>159800</v>
      </c>
      <c r="BB4725" s="31" t="n">
        <f aca="false">SUM(Q4725,S4725,U4725,W4725,Y4725,AA4725,AC4725,AE4725,AG4725,AI4725,AK4725,AM4725,AO4725,AQ4725,AS4725,AU4725,AW4725,AY4725)</f>
        <v>159800</v>
      </c>
      <c r="BC4725" s="28" t="n">
        <f aca="false">BA4725-BB4725</f>
        <v>0</v>
      </c>
      <c r="BD4725" s="32" t="n">
        <f aca="false">SUM(P4725,R4725,T4725,V4725,X4725,Z4725,AB4725,AD4725,AF4725,AH4725,AJ4725,AL4725,AN4725,AP4725,AR4725,AT4725,AV4725,AX4725)</f>
        <v>3995</v>
      </c>
      <c r="BE4725" s="33" t="n">
        <f aca="false">AZ4725-BD4725</f>
        <v>0</v>
      </c>
      <c r="BF4725" s="34" t="n">
        <f aca="false">BD4725*M4725</f>
        <v>159800</v>
      </c>
      <c r="BG4725" s="35" t="n">
        <f aca="false">BA4725-BF4725</f>
        <v>0</v>
      </c>
      <c r="BH4725" s="19" t="str">
        <f aca="false">IF(BG4725=0,"",IF(BG4725&lt;&gt;BA4725,"erreur de calcul",IF(BD4725&lt;&gt;0,"pas de prix",IF(M4725&lt;&gt; 0,"pas de quantité","pas de prix, ni de quantité"))))</f>
        <v/>
      </c>
      <c r="BI4725" s="19"/>
    </row>
    <row r="4726" customFormat="false" ht="15" hidden="false" customHeight="false" outlineLevel="0" collapsed="false">
      <c r="A4726" s="0" t="n">
        <v>36</v>
      </c>
      <c r="B4726" s="8" t="s">
        <v>24</v>
      </c>
      <c r="C4726" s="9" t="s">
        <v>25</v>
      </c>
      <c r="D4726" s="9" t="s">
        <v>26</v>
      </c>
      <c r="E4726" s="10" t="n">
        <v>1789</v>
      </c>
      <c r="F4726" s="9" t="s">
        <v>27</v>
      </c>
      <c r="G4726" s="9" t="s">
        <v>27</v>
      </c>
      <c r="H4726" s="11" t="n">
        <v>22</v>
      </c>
      <c r="I4726" s="11" t="s">
        <v>239</v>
      </c>
      <c r="J4726" s="14" t="n">
        <v>48</v>
      </c>
      <c r="K4726" s="14"/>
      <c r="L4726" s="16"/>
      <c r="M4726" s="27" t="n">
        <f aca="false">J4726+(K4726/20)+(L4726/240)</f>
        <v>48</v>
      </c>
      <c r="N4726" s="17" t="s">
        <v>66</v>
      </c>
      <c r="O4726" s="11"/>
      <c r="P4726" s="28"/>
      <c r="Q4726" s="28" t="n">
        <f aca="false">P4726*$M4726</f>
        <v>0</v>
      </c>
      <c r="R4726" s="28"/>
      <c r="S4726" s="28" t="n">
        <f aca="false">R4726*$M4726</f>
        <v>0</v>
      </c>
      <c r="T4726" s="28" t="n">
        <v>690</v>
      </c>
      <c r="U4726" s="28" t="n">
        <v>33120</v>
      </c>
      <c r="V4726" s="28" t="n">
        <v>3577</v>
      </c>
      <c r="W4726" s="28" t="n">
        <v>171696</v>
      </c>
      <c r="X4726" s="28"/>
      <c r="Y4726" s="28" t="n">
        <f aca="false">X4726*$M4726</f>
        <v>0</v>
      </c>
      <c r="Z4726" s="28"/>
      <c r="AA4726" s="28" t="n">
        <f aca="false">Z4726*$M4726</f>
        <v>0</v>
      </c>
      <c r="AB4726" s="28"/>
      <c r="AC4726" s="28" t="n">
        <f aca="false">AB4726*$M4726</f>
        <v>0</v>
      </c>
      <c r="AD4726" s="28"/>
      <c r="AE4726" s="28" t="n">
        <f aca="false">AD4726*$M4726</f>
        <v>0</v>
      </c>
      <c r="AF4726" s="28"/>
      <c r="AG4726" s="28" t="n">
        <f aca="false">AF4726*$M4726</f>
        <v>0</v>
      </c>
      <c r="AH4726" s="28"/>
      <c r="AI4726" s="28" t="n">
        <f aca="false">AH4726*$M4726</f>
        <v>0</v>
      </c>
      <c r="AJ4726" s="28"/>
      <c r="AK4726" s="28" t="n">
        <f aca="false">AJ4726*$M4726</f>
        <v>0</v>
      </c>
      <c r="AL4726" s="28"/>
      <c r="AM4726" s="28" t="n">
        <f aca="false">AL4726*$M4726</f>
        <v>0</v>
      </c>
      <c r="AN4726" s="28"/>
      <c r="AO4726" s="28" t="n">
        <f aca="false">AN4726*$M4726</f>
        <v>0</v>
      </c>
      <c r="AP4726" s="28"/>
      <c r="AQ4726" s="28" t="n">
        <f aca="false">AP4726*$M4726</f>
        <v>0</v>
      </c>
      <c r="AR4726" s="28"/>
      <c r="AS4726" s="28" t="n">
        <f aca="false">AR4726*$M4726</f>
        <v>0</v>
      </c>
      <c r="AT4726" s="28"/>
      <c r="AU4726" s="28" t="n">
        <f aca="false">AT4726*$M4726</f>
        <v>0</v>
      </c>
      <c r="AV4726" s="28"/>
      <c r="AW4726" s="28" t="n">
        <f aca="false">AV4726*$M4726</f>
        <v>0</v>
      </c>
      <c r="AX4726" s="28"/>
      <c r="AY4726" s="28" t="n">
        <f aca="false">AX4726*$M4726</f>
        <v>0</v>
      </c>
      <c r="AZ4726" s="30" t="n">
        <v>4267</v>
      </c>
      <c r="BA4726" s="11" t="n">
        <v>204816</v>
      </c>
      <c r="BB4726" s="31" t="n">
        <f aca="false">SUM(Q4726,S4726,U4726,W4726,Y4726,AA4726,AC4726,AE4726,AG4726,AI4726,AK4726,AM4726,AO4726,AQ4726,AS4726,AU4726,AW4726,AY4726)</f>
        <v>204816</v>
      </c>
      <c r="BC4726" s="28" t="n">
        <f aca="false">BA4726-BB4726</f>
        <v>0</v>
      </c>
      <c r="BD4726" s="32" t="n">
        <f aca="false">SUM(P4726,R4726,T4726,V4726,X4726,Z4726,AB4726,AD4726,AF4726,AH4726,AJ4726,AL4726,AN4726,AP4726,AR4726,AT4726,AV4726,AX4726)</f>
        <v>4267</v>
      </c>
      <c r="BE4726" s="33" t="n">
        <f aca="false">AZ4726-BD4726</f>
        <v>0</v>
      </c>
      <c r="BF4726" s="34" t="n">
        <f aca="false">BD4726*M4726</f>
        <v>204816</v>
      </c>
      <c r="BG4726" s="35" t="n">
        <f aca="false">BA4726-BF4726</f>
        <v>0</v>
      </c>
      <c r="BH4726" s="19" t="str">
        <f aca="false">IF(BG4726=0,"",IF(BG4726&lt;&gt;BA4726,"erreur de calcul",IF(BD4726&lt;&gt;0,"pas de prix",IF(M4726&lt;&gt; 0,"pas de quantité","pas de prix, ni de quantité"))))</f>
        <v/>
      </c>
      <c r="BI4726" s="19"/>
    </row>
    <row r="4727" customFormat="false" ht="15" hidden="false" customHeight="false" outlineLevel="0" collapsed="false">
      <c r="A4727" s="0" t="n">
        <v>37</v>
      </c>
      <c r="B4727" s="8" t="s">
        <v>24</v>
      </c>
      <c r="C4727" s="9" t="s">
        <v>25</v>
      </c>
      <c r="D4727" s="9" t="s">
        <v>26</v>
      </c>
      <c r="E4727" s="10" t="n">
        <v>1789</v>
      </c>
      <c r="F4727" s="9" t="s">
        <v>27</v>
      </c>
      <c r="G4727" s="9" t="s">
        <v>27</v>
      </c>
      <c r="H4727" s="11" t="n">
        <v>22</v>
      </c>
      <c r="I4727" s="11" t="s">
        <v>240</v>
      </c>
      <c r="J4727" s="14" t="n">
        <v>30</v>
      </c>
      <c r="K4727" s="14"/>
      <c r="L4727" s="16"/>
      <c r="M4727" s="27" t="n">
        <f aca="false">J4727+(K4727/20)+(L4727/240)</f>
        <v>30</v>
      </c>
      <c r="N4727" s="17" t="s">
        <v>66</v>
      </c>
      <c r="O4727" s="11"/>
      <c r="P4727" s="28"/>
      <c r="Q4727" s="28" t="n">
        <f aca="false">P4727*$M4727</f>
        <v>0</v>
      </c>
      <c r="R4727" s="28"/>
      <c r="S4727" s="28" t="n">
        <f aca="false">R4727*$M4727</f>
        <v>0</v>
      </c>
      <c r="T4727" s="28"/>
      <c r="U4727" s="28" t="n">
        <f aca="false">T4727*$M4727</f>
        <v>0</v>
      </c>
      <c r="V4727" s="28"/>
      <c r="W4727" s="28" t="n">
        <f aca="false">V4727*$M4727</f>
        <v>0</v>
      </c>
      <c r="X4727" s="28"/>
      <c r="Y4727" s="28" t="n">
        <f aca="false">X4727*$M4727</f>
        <v>0</v>
      </c>
      <c r="Z4727" s="28"/>
      <c r="AA4727" s="28" t="n">
        <f aca="false">Z4727*$M4727</f>
        <v>0</v>
      </c>
      <c r="AB4727" s="28"/>
      <c r="AC4727" s="28" t="n">
        <f aca="false">AB4727*$M4727</f>
        <v>0</v>
      </c>
      <c r="AD4727" s="28"/>
      <c r="AE4727" s="28" t="n">
        <f aca="false">AD4727*$M4727</f>
        <v>0</v>
      </c>
      <c r="AF4727" s="28"/>
      <c r="AG4727" s="28" t="n">
        <f aca="false">AF4727*$M4727</f>
        <v>0</v>
      </c>
      <c r="AH4727" s="28" t="n">
        <v>4770</v>
      </c>
      <c r="AI4727" s="28" t="n">
        <v>143100</v>
      </c>
      <c r="AJ4727" s="28"/>
      <c r="AK4727" s="28" t="n">
        <f aca="false">AJ4727*$M4727</f>
        <v>0</v>
      </c>
      <c r="AL4727" s="28"/>
      <c r="AM4727" s="28" t="n">
        <f aca="false">AL4727*$M4727</f>
        <v>0</v>
      </c>
      <c r="AN4727" s="28"/>
      <c r="AO4727" s="28" t="n">
        <f aca="false">AN4727*$M4727</f>
        <v>0</v>
      </c>
      <c r="AP4727" s="28"/>
      <c r="AQ4727" s="28" t="n">
        <f aca="false">AP4727*$M4727</f>
        <v>0</v>
      </c>
      <c r="AR4727" s="28"/>
      <c r="AS4727" s="28" t="n">
        <f aca="false">AR4727*$M4727</f>
        <v>0</v>
      </c>
      <c r="AT4727" s="28"/>
      <c r="AU4727" s="28" t="n">
        <f aca="false">AT4727*$M4727</f>
        <v>0</v>
      </c>
      <c r="AV4727" s="28"/>
      <c r="AW4727" s="28" t="n">
        <f aca="false">AV4727*$M4727</f>
        <v>0</v>
      </c>
      <c r="AX4727" s="28"/>
      <c r="AY4727" s="28" t="n">
        <f aca="false">AX4727*$M4727</f>
        <v>0</v>
      </c>
      <c r="AZ4727" s="30" t="n">
        <v>4770</v>
      </c>
      <c r="BA4727" s="11" t="n">
        <v>143100</v>
      </c>
      <c r="BB4727" s="31" t="n">
        <f aca="false">SUM(Q4727,S4727,U4727,W4727,Y4727,AA4727,AC4727,AE4727,AG4727,AI4727,AK4727,AM4727,AO4727,AQ4727,AS4727,AU4727,AW4727,AY4727)</f>
        <v>143100</v>
      </c>
      <c r="BC4727" s="28" t="n">
        <f aca="false">BA4727-BB4727</f>
        <v>0</v>
      </c>
      <c r="BD4727" s="32" t="n">
        <f aca="false">SUM(P4727,R4727,T4727,V4727,X4727,Z4727,AB4727,AD4727,AF4727,AH4727,AJ4727,AL4727,AN4727,AP4727,AR4727,AT4727,AV4727,AX4727)</f>
        <v>4770</v>
      </c>
      <c r="BE4727" s="33" t="n">
        <f aca="false">AZ4727-BD4727</f>
        <v>0</v>
      </c>
      <c r="BF4727" s="34" t="n">
        <f aca="false">BD4727*M4727</f>
        <v>143100</v>
      </c>
      <c r="BG4727" s="35" t="n">
        <f aca="false">BA4727-BF4727</f>
        <v>0</v>
      </c>
      <c r="BH4727" s="19" t="str">
        <f aca="false">IF(BG4727=0,"",IF(BG4727&lt;&gt;BA4727,"erreur de calcul",IF(BD4727&lt;&gt;0,"pas de prix",IF(M4727&lt;&gt; 0,"pas de quantité","pas de prix, ni de quantité"))))</f>
        <v/>
      </c>
      <c r="BI4727" s="19"/>
    </row>
    <row r="4728" customFormat="false" ht="15" hidden="false" customHeight="false" outlineLevel="0" collapsed="false">
      <c r="A4728" s="0" t="n">
        <v>38</v>
      </c>
      <c r="B4728" s="8" t="s">
        <v>24</v>
      </c>
      <c r="C4728" s="9" t="s">
        <v>25</v>
      </c>
      <c r="D4728" s="9" t="s">
        <v>26</v>
      </c>
      <c r="E4728" s="10" t="n">
        <v>1789</v>
      </c>
      <c r="F4728" s="9" t="s">
        <v>27</v>
      </c>
      <c r="G4728" s="9" t="s">
        <v>27</v>
      </c>
      <c r="H4728" s="11" t="n">
        <v>22</v>
      </c>
      <c r="I4728" s="11" t="s">
        <v>241</v>
      </c>
      <c r="J4728" s="14" t="n">
        <v>24</v>
      </c>
      <c r="K4728" s="14"/>
      <c r="L4728" s="16"/>
      <c r="M4728" s="27" t="n">
        <f aca="false">J4728+(K4728/20)+(L4728/240)</f>
        <v>24</v>
      </c>
      <c r="N4728" s="17" t="s">
        <v>64</v>
      </c>
      <c r="O4728" s="11"/>
      <c r="P4728" s="28" t="n">
        <f aca="false">188958/100</f>
        <v>1889.58</v>
      </c>
      <c r="Q4728" s="28" t="n">
        <v>45350</v>
      </c>
      <c r="R4728" s="28"/>
      <c r="S4728" s="28" t="n">
        <f aca="false">R4728*$M4728</f>
        <v>0</v>
      </c>
      <c r="T4728" s="28"/>
      <c r="U4728" s="28" t="n">
        <f aca="false">T4728*$M4728</f>
        <v>0</v>
      </c>
      <c r="V4728" s="28" t="n">
        <f aca="false">10567/100</f>
        <v>105.67</v>
      </c>
      <c r="W4728" s="28" t="n">
        <v>2536</v>
      </c>
      <c r="X4728" s="28" t="n">
        <f aca="false">9467/100</f>
        <v>94.67</v>
      </c>
      <c r="Y4728" s="28" t="n">
        <v>2272</v>
      </c>
      <c r="Z4728" s="28"/>
      <c r="AA4728" s="28" t="n">
        <f aca="false">Z4728*$M4728</f>
        <v>0</v>
      </c>
      <c r="AB4728" s="28"/>
      <c r="AC4728" s="28" t="n">
        <f aca="false">AB4728*$M4728</f>
        <v>0</v>
      </c>
      <c r="AD4728" s="28"/>
      <c r="AE4728" s="28" t="n">
        <f aca="false">AD4728*$M4728</f>
        <v>0</v>
      </c>
      <c r="AF4728" s="28"/>
      <c r="AG4728" s="28" t="n">
        <f aca="false">AF4728*$M4728</f>
        <v>0</v>
      </c>
      <c r="AH4728" s="28"/>
      <c r="AI4728" s="28" t="n">
        <f aca="false">AH4728*$M4728</f>
        <v>0</v>
      </c>
      <c r="AJ4728" s="28"/>
      <c r="AK4728" s="28" t="n">
        <f aca="false">AJ4728*$M4728</f>
        <v>0</v>
      </c>
      <c r="AL4728" s="28"/>
      <c r="AM4728" s="28" t="n">
        <f aca="false">AL4728*$M4728</f>
        <v>0</v>
      </c>
      <c r="AN4728" s="28"/>
      <c r="AO4728" s="28" t="n">
        <f aca="false">AN4728*$M4728</f>
        <v>0</v>
      </c>
      <c r="AP4728" s="28"/>
      <c r="AQ4728" s="28" t="n">
        <f aca="false">AP4728*$M4728</f>
        <v>0</v>
      </c>
      <c r="AR4728" s="28"/>
      <c r="AS4728" s="28" t="n">
        <f aca="false">AR4728*$M4728</f>
        <v>0</v>
      </c>
      <c r="AT4728" s="28"/>
      <c r="AU4728" s="28" t="n">
        <f aca="false">AT4728*$M4728</f>
        <v>0</v>
      </c>
      <c r="AV4728" s="28"/>
      <c r="AW4728" s="28" t="n">
        <f aca="false">AV4728*$M4728</f>
        <v>0</v>
      </c>
      <c r="AX4728" s="28" t="n">
        <f aca="false">328659/100</f>
        <v>3286.59</v>
      </c>
      <c r="AY4728" s="28" t="n">
        <v>78878</v>
      </c>
      <c r="AZ4728" s="30" t="n">
        <f aca="false">537651/100</f>
        <v>5376.51</v>
      </c>
      <c r="BA4728" s="11" t="n">
        <v>129036</v>
      </c>
      <c r="BB4728" s="31" t="n">
        <f aca="false">SUM(Q4728,S4728,U4728,W4728,Y4728,AA4728,AC4728,AE4728,AG4728,AI4728,AK4728,AM4728,AO4728,AQ4728,AS4728,AU4728,AW4728,AY4728)</f>
        <v>129036</v>
      </c>
      <c r="BC4728" s="28" t="n">
        <f aca="false">BA4728-BB4728</f>
        <v>0</v>
      </c>
      <c r="BD4728" s="32" t="n">
        <f aca="false">SUM(P4728,R4728,T4728,V4728,X4728,Z4728,AB4728,AD4728,AF4728,AH4728,AJ4728,AL4728,AN4728,AP4728,AR4728,AT4728,AV4728,AX4728)</f>
        <v>5376.51</v>
      </c>
      <c r="BE4728" s="33" t="n">
        <f aca="false">AZ4728-BD4728</f>
        <v>0</v>
      </c>
      <c r="BF4728" s="34" t="n">
        <f aca="false">BD4728*M4728</f>
        <v>129036.24</v>
      </c>
      <c r="BG4728" s="35" t="n">
        <f aca="false">BA4728-BF4728</f>
        <v>-0.240000000005239</v>
      </c>
      <c r="BH4728" s="19" t="str">
        <f aca="false">IF(BG4728=0,"",IF(BG4728&lt;&gt;BA4728,"erreur de calcul",IF(BD4728&lt;&gt;0,"pas de prix",IF(M4728&lt;&gt; 0,"pas de quantité","pas de prix, ni de quantité"))))</f>
        <v>erreur de calcul</v>
      </c>
      <c r="BI4728" s="19"/>
    </row>
    <row r="4729" customFormat="false" ht="15" hidden="false" customHeight="false" outlineLevel="0" collapsed="false">
      <c r="A4729" s="0" t="n">
        <v>39</v>
      </c>
      <c r="B4729" s="8" t="s">
        <v>24</v>
      </c>
      <c r="C4729" s="9" t="s">
        <v>25</v>
      </c>
      <c r="D4729" s="9" t="s">
        <v>26</v>
      </c>
      <c r="E4729" s="10" t="n">
        <v>1789</v>
      </c>
      <c r="F4729" s="9" t="s">
        <v>27</v>
      </c>
      <c r="G4729" s="9" t="s">
        <v>27</v>
      </c>
      <c r="H4729" s="11" t="n">
        <v>22</v>
      </c>
      <c r="I4729" s="11" t="s">
        <v>242</v>
      </c>
      <c r="J4729" s="14" t="n">
        <v>41</v>
      </c>
      <c r="K4729" s="14"/>
      <c r="L4729" s="16"/>
      <c r="M4729" s="27" t="n">
        <f aca="false">J4729+(K4729/20)+(L4729/240)</f>
        <v>41</v>
      </c>
      <c r="N4729" s="17" t="s">
        <v>64</v>
      </c>
      <c r="O4729" s="11"/>
      <c r="P4729" s="28"/>
      <c r="Q4729" s="28" t="n">
        <f aca="false">P4729*$M4729</f>
        <v>0</v>
      </c>
      <c r="R4729" s="28"/>
      <c r="S4729" s="28" t="n">
        <f aca="false">R4729*$M4729</f>
        <v>0</v>
      </c>
      <c r="T4729" s="28" t="n">
        <f aca="false">441/100</f>
        <v>4.41</v>
      </c>
      <c r="U4729" s="28" t="n">
        <v>181</v>
      </c>
      <c r="V4729" s="28"/>
      <c r="W4729" s="28" t="n">
        <f aca="false">V4729*$M4729</f>
        <v>0</v>
      </c>
      <c r="X4729" s="28"/>
      <c r="Y4729" s="28" t="n">
        <f aca="false">X4729*$M4729</f>
        <v>0</v>
      </c>
      <c r="Z4729" s="28"/>
      <c r="AA4729" s="28" t="n">
        <f aca="false">Z4729*$M4729</f>
        <v>0</v>
      </c>
      <c r="AB4729" s="28"/>
      <c r="AC4729" s="28" t="n">
        <f aca="false">AB4729*$M4729</f>
        <v>0</v>
      </c>
      <c r="AD4729" s="28"/>
      <c r="AE4729" s="28" t="n">
        <f aca="false">AD4729*$M4729</f>
        <v>0</v>
      </c>
      <c r="AF4729" s="28"/>
      <c r="AG4729" s="28" t="n">
        <f aca="false">AF4729*$M4729</f>
        <v>0</v>
      </c>
      <c r="AH4729" s="28"/>
      <c r="AI4729" s="28" t="n">
        <f aca="false">AH4729*$M4729</f>
        <v>0</v>
      </c>
      <c r="AJ4729" s="28"/>
      <c r="AK4729" s="28" t="n">
        <f aca="false">AJ4729*$M4729</f>
        <v>0</v>
      </c>
      <c r="AL4729" s="28"/>
      <c r="AM4729" s="28" t="n">
        <f aca="false">AL4729*$M4729</f>
        <v>0</v>
      </c>
      <c r="AN4729" s="28"/>
      <c r="AO4729" s="28" t="n">
        <f aca="false">AN4729*$M4729</f>
        <v>0</v>
      </c>
      <c r="AP4729" s="28"/>
      <c r="AQ4729" s="28" t="n">
        <f aca="false">AP4729*$M4729</f>
        <v>0</v>
      </c>
      <c r="AR4729" s="28"/>
      <c r="AS4729" s="28" t="n">
        <f aca="false">AR4729*$M4729</f>
        <v>0</v>
      </c>
      <c r="AT4729" s="28"/>
      <c r="AU4729" s="28" t="n">
        <f aca="false">AT4729*$M4729</f>
        <v>0</v>
      </c>
      <c r="AV4729" s="28"/>
      <c r="AW4729" s="28" t="n">
        <f aca="false">AV4729*$M4729</f>
        <v>0</v>
      </c>
      <c r="AX4729" s="28"/>
      <c r="AY4729" s="28" t="n">
        <f aca="false">AX4729*$M4729</f>
        <v>0</v>
      </c>
      <c r="AZ4729" s="30" t="n">
        <f aca="false">441/100</f>
        <v>4.41</v>
      </c>
      <c r="BA4729" s="11" t="n">
        <v>181</v>
      </c>
      <c r="BB4729" s="31" t="n">
        <f aca="false">SUM(Q4729,S4729,U4729,W4729,Y4729,AA4729,AC4729,AE4729,AG4729,AI4729,AK4729,AM4729,AO4729,AQ4729,AS4729,AU4729,AW4729,AY4729)</f>
        <v>181</v>
      </c>
      <c r="BC4729" s="28" t="n">
        <f aca="false">BA4729-BB4729</f>
        <v>0</v>
      </c>
      <c r="BD4729" s="32" t="n">
        <f aca="false">SUM(P4729,R4729,T4729,V4729,X4729,Z4729,AB4729,AD4729,AF4729,AH4729,AJ4729,AL4729,AN4729,AP4729,AR4729,AT4729,AV4729,AX4729)</f>
        <v>4.41</v>
      </c>
      <c r="BE4729" s="33" t="n">
        <f aca="false">AZ4729-BD4729</f>
        <v>0</v>
      </c>
      <c r="BF4729" s="34" t="n">
        <f aca="false">BD4729*M4729</f>
        <v>180.81</v>
      </c>
      <c r="BG4729" s="35" t="n">
        <f aca="false">BA4729-BF4729</f>
        <v>0.189999999999998</v>
      </c>
      <c r="BH4729" s="19" t="str">
        <f aca="false">IF(BG4729=0,"",IF(BG4729&lt;&gt;BA4729,"erreur de calcul",IF(BD4729&lt;&gt;0,"pas de prix",IF(M4729&lt;&gt; 0,"pas de quantité","pas de prix, ni de quantité"))))</f>
        <v>erreur de calcul</v>
      </c>
      <c r="BI4729" s="19"/>
    </row>
    <row r="4730" customFormat="false" ht="15" hidden="false" customHeight="false" outlineLevel="0" collapsed="false">
      <c r="A4730" s="0" t="n">
        <v>1</v>
      </c>
      <c r="B4730" s="8" t="s">
        <v>24</v>
      </c>
      <c r="C4730" s="9" t="s">
        <v>25</v>
      </c>
      <c r="D4730" s="9" t="s">
        <v>26</v>
      </c>
      <c r="E4730" s="10" t="n">
        <v>1789</v>
      </c>
      <c r="F4730" s="9" t="s">
        <v>27</v>
      </c>
      <c r="G4730" s="9" t="s">
        <v>27</v>
      </c>
      <c r="H4730" s="11" t="n">
        <v>23</v>
      </c>
      <c r="I4730" s="11" t="s">
        <v>243</v>
      </c>
      <c r="J4730" s="14"/>
      <c r="K4730" s="14"/>
      <c r="L4730" s="16"/>
      <c r="M4730" s="27" t="n">
        <f aca="false">J4730+(K4730/20)+(L4730/240)</f>
        <v>0</v>
      </c>
      <c r="N4730" s="17"/>
      <c r="O4730" s="11"/>
      <c r="P4730" s="28"/>
      <c r="Q4730" s="28" t="n">
        <f aca="false">P4730*$M4730</f>
        <v>0</v>
      </c>
      <c r="R4730" s="28"/>
      <c r="S4730" s="28" t="n">
        <f aca="false">R4730*$M4730</f>
        <v>0</v>
      </c>
      <c r="T4730" s="28"/>
      <c r="U4730" s="28" t="n">
        <f aca="false">T4730*$M4730</f>
        <v>0</v>
      </c>
      <c r="V4730" s="28"/>
      <c r="W4730" s="28" t="n">
        <v>100</v>
      </c>
      <c r="X4730" s="28"/>
      <c r="Y4730" s="28" t="n">
        <v>563</v>
      </c>
      <c r="Z4730" s="28"/>
      <c r="AA4730" s="28" t="n">
        <f aca="false">Z4730*$M4730</f>
        <v>0</v>
      </c>
      <c r="AB4730" s="28"/>
      <c r="AC4730" s="28" t="n">
        <f aca="false">AB4730*$M4730</f>
        <v>0</v>
      </c>
      <c r="AD4730" s="28"/>
      <c r="AE4730" s="28" t="n">
        <f aca="false">AD4730*$M4730</f>
        <v>0</v>
      </c>
      <c r="AF4730" s="28"/>
      <c r="AG4730" s="28" t="n">
        <f aca="false">AF4730*$M4730</f>
        <v>0</v>
      </c>
      <c r="AH4730" s="28"/>
      <c r="AI4730" s="28" t="n">
        <f aca="false">AH4730*$M4730</f>
        <v>0</v>
      </c>
      <c r="AJ4730" s="28"/>
      <c r="AK4730" s="28" t="n">
        <v>1015</v>
      </c>
      <c r="AL4730" s="28"/>
      <c r="AM4730" s="28" t="n">
        <f aca="false">AL4730*$M4730</f>
        <v>0</v>
      </c>
      <c r="AN4730" s="28"/>
      <c r="AO4730" s="28" t="n">
        <f aca="false">AN4730*$M4730</f>
        <v>0</v>
      </c>
      <c r="AP4730" s="28"/>
      <c r="AQ4730" s="28" t="n">
        <f aca="false">AP4730*$M4730</f>
        <v>0</v>
      </c>
      <c r="AR4730" s="28"/>
      <c r="AS4730" s="28" t="n">
        <f aca="false">AR4730*$M4730</f>
        <v>0</v>
      </c>
      <c r="AT4730" s="28"/>
      <c r="AU4730" s="28" t="n">
        <f aca="false">AT4730*$M4730</f>
        <v>0</v>
      </c>
      <c r="AV4730" s="28"/>
      <c r="AW4730" s="28" t="n">
        <f aca="false">AV4730*$M4730</f>
        <v>0</v>
      </c>
      <c r="AX4730" s="28"/>
      <c r="AY4730" s="28" t="n">
        <f aca="false">AX4730*$M4730</f>
        <v>0</v>
      </c>
      <c r="AZ4730" s="30"/>
      <c r="BA4730" s="11" t="n">
        <v>1678</v>
      </c>
      <c r="BB4730" s="31" t="n">
        <f aca="false">SUM(Q4730,S4730,U4730,W4730,Y4730,AA4730,AC4730,AE4730,AG4730,AI4730,AK4730,AM4730,AO4730,AQ4730,AS4730,AU4730,AW4730,AY4730)</f>
        <v>1678</v>
      </c>
      <c r="BC4730" s="28" t="n">
        <f aca="false">BA4730-BB4730</f>
        <v>0</v>
      </c>
      <c r="BD4730" s="32" t="n">
        <f aca="false">SUM(P4730,R4730,T4730,V4730,X4730,Z4730,AB4730,AD4730,AF4730,AH4730,AJ4730,AL4730,AN4730,AP4730,AR4730,AT4730,AV4730,AX4730)</f>
        <v>0</v>
      </c>
      <c r="BE4730" s="33" t="n">
        <f aca="false">AZ4730-BD4730</f>
        <v>0</v>
      </c>
      <c r="BF4730" s="34" t="n">
        <f aca="false">BD4730*M4730</f>
        <v>0</v>
      </c>
      <c r="BG4730" s="35" t="n">
        <f aca="false">BA4730-BF4730</f>
        <v>1678</v>
      </c>
      <c r="BH4730" s="19" t="str">
        <f aca="false">IF(BG4730=0,"",IF(BG4730&lt;&gt;BA4730,"erreur de calcul",IF(BD4730&lt;&gt;0,"pas de prix",IF(M4730&lt;&gt; 0,"pas de quantité","pas de prix, ni de quantité"))))</f>
        <v>pas de prix, ni de quantité</v>
      </c>
      <c r="BI4730" s="19"/>
    </row>
    <row r="4731" customFormat="false" ht="15" hidden="false" customHeight="false" outlineLevel="0" collapsed="false">
      <c r="A4731" s="0" t="n">
        <v>2</v>
      </c>
      <c r="B4731" s="8" t="s">
        <v>24</v>
      </c>
      <c r="C4731" s="9" t="s">
        <v>25</v>
      </c>
      <c r="D4731" s="9" t="s">
        <v>26</v>
      </c>
      <c r="E4731" s="10" t="n">
        <v>1789</v>
      </c>
      <c r="F4731" s="9" t="s">
        <v>27</v>
      </c>
      <c r="G4731" s="9" t="s">
        <v>27</v>
      </c>
      <c r="H4731" s="11" t="n">
        <v>23</v>
      </c>
      <c r="I4731" s="11" t="s">
        <v>244</v>
      </c>
      <c r="J4731" s="14" t="n">
        <v>22</v>
      </c>
      <c r="K4731" s="14"/>
      <c r="L4731" s="16"/>
      <c r="M4731" s="27" t="n">
        <f aca="false">J4731+(K4731/20)+(L4731/240)</f>
        <v>22</v>
      </c>
      <c r="N4731" s="17" t="s">
        <v>64</v>
      </c>
      <c r="O4731" s="11"/>
      <c r="P4731" s="28"/>
      <c r="Q4731" s="28" t="n">
        <f aca="false">P4731*$M4731</f>
        <v>0</v>
      </c>
      <c r="R4731" s="28"/>
      <c r="S4731" s="28" t="n">
        <f aca="false">R4731*$M4731</f>
        <v>0</v>
      </c>
      <c r="T4731" s="28"/>
      <c r="U4731" s="28" t="n">
        <f aca="false">T4731*$M4731</f>
        <v>0</v>
      </c>
      <c r="V4731" s="28" t="n">
        <f aca="false">15346/100</f>
        <v>153.46</v>
      </c>
      <c r="W4731" s="28" t="n">
        <v>3376</v>
      </c>
      <c r="X4731" s="28"/>
      <c r="Y4731" s="28" t="n">
        <f aca="false">X4731*$M4731</f>
        <v>0</v>
      </c>
      <c r="Z4731" s="28"/>
      <c r="AA4731" s="28" t="n">
        <f aca="false">Z4731*$M4731</f>
        <v>0</v>
      </c>
      <c r="AB4731" s="28"/>
      <c r="AC4731" s="28" t="n">
        <f aca="false">AB4731*$M4731</f>
        <v>0</v>
      </c>
      <c r="AD4731" s="28"/>
      <c r="AE4731" s="28" t="n">
        <f aca="false">AD4731*$M4731</f>
        <v>0</v>
      </c>
      <c r="AF4731" s="28"/>
      <c r="AG4731" s="28" t="n">
        <f aca="false">AF4731*$M4731</f>
        <v>0</v>
      </c>
      <c r="AH4731" s="28"/>
      <c r="AI4731" s="28" t="n">
        <f aca="false">AH4731*$M4731</f>
        <v>0</v>
      </c>
      <c r="AJ4731" s="28" t="n">
        <f aca="false">9084/100</f>
        <v>90.84</v>
      </c>
      <c r="AK4731" s="28" t="n">
        <v>1998</v>
      </c>
      <c r="AL4731" s="28" t="n">
        <f aca="false">8917/100</f>
        <v>89.17</v>
      </c>
      <c r="AM4731" s="28" t="n">
        <v>1962</v>
      </c>
      <c r="AN4731" s="28"/>
      <c r="AO4731" s="28" t="n">
        <f aca="false">AN4731*$M4731</f>
        <v>0</v>
      </c>
      <c r="AP4731" s="28"/>
      <c r="AQ4731" s="28" t="n">
        <f aca="false">AP4731*$M4731</f>
        <v>0</v>
      </c>
      <c r="AR4731" s="28"/>
      <c r="AS4731" s="28" t="n">
        <f aca="false">AR4731*$M4731</f>
        <v>0</v>
      </c>
      <c r="AT4731" s="28"/>
      <c r="AU4731" s="28" t="n">
        <f aca="false">AT4731*$M4731</f>
        <v>0</v>
      </c>
      <c r="AV4731" s="28"/>
      <c r="AW4731" s="28" t="n">
        <f aca="false">AV4731*$M4731</f>
        <v>0</v>
      </c>
      <c r="AX4731" s="28"/>
      <c r="AY4731" s="28" t="n">
        <f aca="false">AX4731*$M4731</f>
        <v>0</v>
      </c>
      <c r="AZ4731" s="30" t="n">
        <f aca="false">3347/100</f>
        <v>33.47</v>
      </c>
      <c r="BA4731" s="11" t="n">
        <v>7336</v>
      </c>
      <c r="BB4731" s="31" t="n">
        <f aca="false">SUM(Q4731,S4731,U4731,W4731,Y4731,AA4731,AC4731,AE4731,AG4731,AI4731,AK4731,AM4731,AO4731,AQ4731,AS4731,AU4731,AW4731,AY4731)</f>
        <v>7336</v>
      </c>
      <c r="BC4731" s="28" t="n">
        <f aca="false">BA4731-BB4731</f>
        <v>0</v>
      </c>
      <c r="BD4731" s="32" t="n">
        <f aca="false">SUM(P4731,R4731,T4731,V4731,X4731,Z4731,AB4731,AD4731,AF4731,AH4731,AJ4731,AL4731,AN4731,AP4731,AR4731,AT4731,AV4731,AX4731)</f>
        <v>333.47</v>
      </c>
      <c r="BE4731" s="33" t="n">
        <f aca="false">AZ4731-BD4731</f>
        <v>-300</v>
      </c>
      <c r="BF4731" s="34" t="n">
        <f aca="false">BD4731*M4731</f>
        <v>7336.34</v>
      </c>
      <c r="BG4731" s="35" t="n">
        <f aca="false">BA4731-BF4731</f>
        <v>-0.340000000000146</v>
      </c>
      <c r="BH4731" s="19" t="str">
        <f aca="false">IF(BG4731=0,"",IF(BG4731&lt;&gt;BA4731,"erreur de calcul",IF(BD4731&lt;&gt;0,"pas de prix",IF(M4731&lt;&gt; 0,"pas de quantité","pas de prix, ni de quantité"))))</f>
        <v>erreur de calcul</v>
      </c>
      <c r="BI4731" s="19"/>
    </row>
    <row r="4732" customFormat="false" ht="15" hidden="false" customHeight="false" outlineLevel="0" collapsed="false">
      <c r="A4732" s="0" t="n">
        <v>3</v>
      </c>
      <c r="B4732" s="8" t="s">
        <v>24</v>
      </c>
      <c r="C4732" s="9" t="s">
        <v>25</v>
      </c>
      <c r="D4732" s="9" t="s">
        <v>26</v>
      </c>
      <c r="E4732" s="10" t="n">
        <v>1789</v>
      </c>
      <c r="F4732" s="9" t="s">
        <v>27</v>
      </c>
      <c r="G4732" s="9" t="s">
        <v>27</v>
      </c>
      <c r="H4732" s="11" t="n">
        <v>23</v>
      </c>
      <c r="I4732" s="11" t="s">
        <v>245</v>
      </c>
      <c r="J4732" s="14" t="n">
        <v>28</v>
      </c>
      <c r="K4732" s="14"/>
      <c r="L4732" s="16"/>
      <c r="M4732" s="27" t="n">
        <f aca="false">J4732+(K4732/20)+(L4732/240)</f>
        <v>28</v>
      </c>
      <c r="N4732" s="17" t="s">
        <v>64</v>
      </c>
      <c r="O4732" s="11"/>
      <c r="P4732" s="28"/>
      <c r="Q4732" s="28" t="n">
        <f aca="false">P4732*$M4732</f>
        <v>0</v>
      </c>
      <c r="R4732" s="28"/>
      <c r="S4732" s="28" t="n">
        <f aca="false">R4732*$M4732</f>
        <v>0</v>
      </c>
      <c r="T4732" s="28"/>
      <c r="U4732" s="28" t="n">
        <f aca="false">T4732*$M4732</f>
        <v>0</v>
      </c>
      <c r="V4732" s="28" t="n">
        <f aca="false">61654/100</f>
        <v>616.54</v>
      </c>
      <c r="W4732" s="28" t="n">
        <v>17263</v>
      </c>
      <c r="X4732" s="28"/>
      <c r="Y4732" s="28" t="n">
        <f aca="false">X4732*$M4732</f>
        <v>0</v>
      </c>
      <c r="Z4732" s="28"/>
      <c r="AA4732" s="28" t="n">
        <f aca="false">Z4732*$M4732</f>
        <v>0</v>
      </c>
      <c r="AB4732" s="28"/>
      <c r="AC4732" s="28" t="n">
        <f aca="false">AB4732*$M4732</f>
        <v>0</v>
      </c>
      <c r="AD4732" s="28"/>
      <c r="AE4732" s="28" t="n">
        <f aca="false">AD4732*$M4732</f>
        <v>0</v>
      </c>
      <c r="AF4732" s="28"/>
      <c r="AG4732" s="28" t="n">
        <f aca="false">AF4732*$M4732</f>
        <v>0</v>
      </c>
      <c r="AH4732" s="28"/>
      <c r="AI4732" s="28" t="n">
        <f aca="false">AH4732*$M4732</f>
        <v>0</v>
      </c>
      <c r="AJ4732" s="28"/>
      <c r="AK4732" s="28" t="n">
        <f aca="false">AJ4732*$M4732</f>
        <v>0</v>
      </c>
      <c r="AL4732" s="28" t="n">
        <f aca="false">6250/100</f>
        <v>62.5</v>
      </c>
      <c r="AM4732" s="28" t="n">
        <v>1750</v>
      </c>
      <c r="AN4732" s="28"/>
      <c r="AO4732" s="28" t="n">
        <f aca="false">AN4732*$M4732</f>
        <v>0</v>
      </c>
      <c r="AP4732" s="28"/>
      <c r="AQ4732" s="28" t="n">
        <f aca="false">AP4732*$M4732</f>
        <v>0</v>
      </c>
      <c r="AR4732" s="28"/>
      <c r="AS4732" s="28" t="n">
        <f aca="false">AR4732*$M4732</f>
        <v>0</v>
      </c>
      <c r="AT4732" s="28"/>
      <c r="AU4732" s="28" t="n">
        <f aca="false">AT4732*$M4732</f>
        <v>0</v>
      </c>
      <c r="AV4732" s="28"/>
      <c r="AW4732" s="28" t="n">
        <f aca="false">AV4732*$M4732</f>
        <v>0</v>
      </c>
      <c r="AX4732" s="28"/>
      <c r="AY4732" s="28" t="n">
        <f aca="false">AX4732*$M4732</f>
        <v>0</v>
      </c>
      <c r="AZ4732" s="30" t="n">
        <f aca="false">67904/100</f>
        <v>679.04</v>
      </c>
      <c r="BA4732" s="11" t="n">
        <v>19013</v>
      </c>
      <c r="BB4732" s="31" t="n">
        <f aca="false">SUM(Q4732,S4732,U4732,W4732,Y4732,AA4732,AC4732,AE4732,AG4732,AI4732,AK4732,AM4732,AO4732,AQ4732,AS4732,AU4732,AW4732,AY4732)</f>
        <v>19013</v>
      </c>
      <c r="BC4732" s="28" t="n">
        <f aca="false">BA4732-BB4732</f>
        <v>0</v>
      </c>
      <c r="BD4732" s="32" t="n">
        <f aca="false">SUM(P4732,R4732,T4732,V4732,X4732,Z4732,AB4732,AD4732,AF4732,AH4732,AJ4732,AL4732,AN4732,AP4732,AR4732,AT4732,AV4732,AX4732)</f>
        <v>679.04</v>
      </c>
      <c r="BE4732" s="33" t="n">
        <f aca="false">AZ4732-BD4732</f>
        <v>0</v>
      </c>
      <c r="BF4732" s="34" t="n">
        <f aca="false">BD4732*M4732</f>
        <v>19013.12</v>
      </c>
      <c r="BG4732" s="35" t="n">
        <f aca="false">BA4732-BF4732</f>
        <v>-0.119999999998981</v>
      </c>
      <c r="BH4732" s="19" t="str">
        <f aca="false">IF(BG4732=0,"",IF(BG4732&lt;&gt;BA4732,"erreur de calcul",IF(BD4732&lt;&gt;0,"pas de prix",IF(M4732&lt;&gt; 0,"pas de quantité","pas de prix, ni de quantité"))))</f>
        <v>erreur de calcul</v>
      </c>
      <c r="BI4732" s="19"/>
    </row>
    <row r="4733" customFormat="false" ht="15" hidden="false" customHeight="false" outlineLevel="0" collapsed="false">
      <c r="A4733" s="0" t="n">
        <v>4</v>
      </c>
      <c r="B4733" s="8" t="s">
        <v>24</v>
      </c>
      <c r="C4733" s="9" t="s">
        <v>25</v>
      </c>
      <c r="D4733" s="9" t="s">
        <v>26</v>
      </c>
      <c r="E4733" s="10" t="n">
        <v>1789</v>
      </c>
      <c r="F4733" s="9" t="s">
        <v>27</v>
      </c>
      <c r="G4733" s="9" t="s">
        <v>27</v>
      </c>
      <c r="H4733" s="11" t="n">
        <v>23</v>
      </c>
      <c r="I4733" s="11" t="s">
        <v>246</v>
      </c>
      <c r="J4733" s="14" t="n">
        <v>17</v>
      </c>
      <c r="K4733" s="14"/>
      <c r="L4733" s="16"/>
      <c r="M4733" s="27" t="n">
        <f aca="false">J4733+(K4733/20)+(L4733/240)</f>
        <v>17</v>
      </c>
      <c r="N4733" s="17" t="s">
        <v>64</v>
      </c>
      <c r="O4733" s="11"/>
      <c r="P4733" s="28"/>
      <c r="Q4733" s="28" t="n">
        <f aca="false">P4733*$M4733</f>
        <v>0</v>
      </c>
      <c r="R4733" s="28"/>
      <c r="S4733" s="28" t="n">
        <f aca="false">R4733*$M4733</f>
        <v>0</v>
      </c>
      <c r="T4733" s="28" t="n">
        <f aca="false">25000/100</f>
        <v>250</v>
      </c>
      <c r="U4733" s="28" t="n">
        <v>4250</v>
      </c>
      <c r="V4733" s="28" t="n">
        <f aca="false">78153/100</f>
        <v>781.53</v>
      </c>
      <c r="W4733" s="28" t="n">
        <v>13286</v>
      </c>
      <c r="X4733" s="28"/>
      <c r="Y4733" s="28" t="n">
        <f aca="false">X4733*$M4733</f>
        <v>0</v>
      </c>
      <c r="Z4733" s="28"/>
      <c r="AA4733" s="28" t="n">
        <f aca="false">Z4733*$M4733</f>
        <v>0</v>
      </c>
      <c r="AB4733" s="28"/>
      <c r="AC4733" s="28" t="n">
        <f aca="false">AB4733*$M4733</f>
        <v>0</v>
      </c>
      <c r="AD4733" s="28"/>
      <c r="AE4733" s="28" t="n">
        <f aca="false">AD4733*$M4733</f>
        <v>0</v>
      </c>
      <c r="AF4733" s="28"/>
      <c r="AG4733" s="28" t="n">
        <f aca="false">AF4733*$M4733</f>
        <v>0</v>
      </c>
      <c r="AH4733" s="28"/>
      <c r="AI4733" s="28" t="n">
        <f aca="false">AH4733*$M4733</f>
        <v>0</v>
      </c>
      <c r="AJ4733" s="28" t="n">
        <f aca="false">113774/100</f>
        <v>1137.74</v>
      </c>
      <c r="AK4733" s="28" t="n">
        <v>19341</v>
      </c>
      <c r="AL4733" s="28" t="n">
        <f aca="false">749547/100</f>
        <v>7495.47</v>
      </c>
      <c r="AM4733" s="28" t="n">
        <v>127423</v>
      </c>
      <c r="AN4733" s="28"/>
      <c r="AO4733" s="28" t="n">
        <f aca="false">AN4733*$M4733</f>
        <v>0</v>
      </c>
      <c r="AP4733" s="28" t="n">
        <f aca="false">578251/100</f>
        <v>5782.51</v>
      </c>
      <c r="AQ4733" s="28" t="n">
        <v>98303</v>
      </c>
      <c r="AR4733" s="28" t="n">
        <f aca="false">9141217/100</f>
        <v>91412.17</v>
      </c>
      <c r="AS4733" s="28" t="n">
        <v>1554007</v>
      </c>
      <c r="AT4733" s="28"/>
      <c r="AU4733" s="28" t="n">
        <f aca="false">AT4733*$M4733</f>
        <v>0</v>
      </c>
      <c r="AV4733" s="28" t="n">
        <f aca="false">314570/100</f>
        <v>3145.7</v>
      </c>
      <c r="AW4733" s="28" t="n">
        <v>53477</v>
      </c>
      <c r="AX4733" s="28"/>
      <c r="AY4733" s="28" t="n">
        <f aca="false">AX4733*$M4733</f>
        <v>0</v>
      </c>
      <c r="AZ4733" s="30" t="n">
        <f aca="false">11004767/100</f>
        <v>110047.67</v>
      </c>
      <c r="BA4733" s="11" t="n">
        <v>1870087</v>
      </c>
      <c r="BB4733" s="31" t="n">
        <f aca="false">SUM(Q4733,S4733,U4733,W4733,Y4733,AA4733,AC4733,AE4733,AG4733,AI4733,AK4733,AM4733,AO4733,AQ4733,AS4733,AU4733,AW4733,AY4733)</f>
        <v>1870087</v>
      </c>
      <c r="BC4733" s="28" t="n">
        <f aca="false">BA4733-BB4733</f>
        <v>0</v>
      </c>
      <c r="BD4733" s="32" t="n">
        <f aca="false">SUM(P4733,R4733,T4733,V4733,X4733,Z4733,AB4733,AD4733,AF4733,AH4733,AJ4733,AL4733,AN4733,AP4733,AR4733,AT4733,AV4733,AX4733)</f>
        <v>110005.12</v>
      </c>
      <c r="BE4733" s="33" t="n">
        <f aca="false">AZ4733-BD4733</f>
        <v>42.5500000000029</v>
      </c>
      <c r="BF4733" s="34" t="n">
        <f aca="false">BD4733*M4733</f>
        <v>1870087.04</v>
      </c>
      <c r="BG4733" s="35" t="n">
        <f aca="false">BA4733-BF4733</f>
        <v>-0.0400000000372529</v>
      </c>
      <c r="BH4733" s="19" t="str">
        <f aca="false">IF(BG4733=0,"",IF(BG4733&lt;&gt;BA4733,"erreur de calcul",IF(BD4733&lt;&gt;0,"pas de prix",IF(M4733&lt;&gt; 0,"pas de quantité","pas de prix, ni de quantité"))))</f>
        <v>erreur de calcul</v>
      </c>
      <c r="BI4733" s="19"/>
    </row>
    <row r="4734" customFormat="false" ht="15" hidden="false" customHeight="false" outlineLevel="0" collapsed="false">
      <c r="A4734" s="0" t="n">
        <v>5</v>
      </c>
      <c r="B4734" s="8" t="s">
        <v>24</v>
      </c>
      <c r="C4734" s="9" t="s">
        <v>25</v>
      </c>
      <c r="D4734" s="9" t="s">
        <v>26</v>
      </c>
      <c r="E4734" s="10" t="n">
        <v>1789</v>
      </c>
      <c r="F4734" s="9" t="s">
        <v>27</v>
      </c>
      <c r="G4734" s="9" t="s">
        <v>27</v>
      </c>
      <c r="H4734" s="11" t="n">
        <v>23</v>
      </c>
      <c r="I4734" s="11" t="s">
        <v>247</v>
      </c>
      <c r="J4734" s="14" t="n">
        <v>60</v>
      </c>
      <c r="K4734" s="14"/>
      <c r="L4734" s="16"/>
      <c r="M4734" s="27" t="n">
        <f aca="false">J4734+(K4734/20)+(L4734/240)</f>
        <v>60</v>
      </c>
      <c r="N4734" s="17" t="s">
        <v>64</v>
      </c>
      <c r="O4734" s="11"/>
      <c r="P4734" s="28" t="n">
        <f aca="false">17500/100</f>
        <v>175</v>
      </c>
      <c r="Q4734" s="28" t="n">
        <v>10500</v>
      </c>
      <c r="R4734" s="28"/>
      <c r="S4734" s="28" t="n">
        <f aca="false">R4734*$M4734</f>
        <v>0</v>
      </c>
      <c r="T4734" s="28"/>
      <c r="U4734" s="28" t="n">
        <f aca="false">T4734*$M4734</f>
        <v>0</v>
      </c>
      <c r="V4734" s="28"/>
      <c r="W4734" s="28" t="n">
        <f aca="false">V4734*$M4734</f>
        <v>0</v>
      </c>
      <c r="X4734" s="28"/>
      <c r="Y4734" s="28" t="n">
        <f aca="false">X4734*$M4734</f>
        <v>0</v>
      </c>
      <c r="Z4734" s="28"/>
      <c r="AA4734" s="28" t="n">
        <f aca="false">Z4734*$M4734</f>
        <v>0</v>
      </c>
      <c r="AB4734" s="28"/>
      <c r="AC4734" s="28" t="n">
        <f aca="false">AB4734*$M4734</f>
        <v>0</v>
      </c>
      <c r="AD4734" s="28"/>
      <c r="AE4734" s="28" t="n">
        <f aca="false">AD4734*$M4734</f>
        <v>0</v>
      </c>
      <c r="AF4734" s="28"/>
      <c r="AG4734" s="28" t="n">
        <f aca="false">AF4734*$M4734</f>
        <v>0</v>
      </c>
      <c r="AH4734" s="28"/>
      <c r="AI4734" s="28" t="n">
        <f aca="false">AH4734*$M4734</f>
        <v>0</v>
      </c>
      <c r="AJ4734" s="28"/>
      <c r="AK4734" s="28" t="n">
        <f aca="false">AJ4734*$M4734</f>
        <v>0</v>
      </c>
      <c r="AL4734" s="28" t="n">
        <f aca="false">107571/100</f>
        <v>1075.71</v>
      </c>
      <c r="AM4734" s="28" t="n">
        <v>64543</v>
      </c>
      <c r="AN4734" s="28"/>
      <c r="AO4734" s="28" t="n">
        <f aca="false">AN4734*$M4734</f>
        <v>0</v>
      </c>
      <c r="AP4734" s="28"/>
      <c r="AQ4734" s="28" t="n">
        <f aca="false">AP4734*$M4734</f>
        <v>0</v>
      </c>
      <c r="AR4734" s="28"/>
      <c r="AS4734" s="28" t="n">
        <f aca="false">AR4734*$M4734</f>
        <v>0</v>
      </c>
      <c r="AT4734" s="28"/>
      <c r="AU4734" s="28" t="n">
        <f aca="false">AT4734*$M4734</f>
        <v>0</v>
      </c>
      <c r="AV4734" s="28"/>
      <c r="AW4734" s="28" t="n">
        <f aca="false">AV4734*$M4734</f>
        <v>0</v>
      </c>
      <c r="AX4734" s="28"/>
      <c r="AY4734" s="28" t="n">
        <f aca="false">AX4734*$M4734</f>
        <v>0</v>
      </c>
      <c r="AZ4734" s="30" t="n">
        <f aca="false">125071/100</f>
        <v>1250.71</v>
      </c>
      <c r="BA4734" s="11" t="n">
        <v>75043</v>
      </c>
      <c r="BB4734" s="31" t="n">
        <f aca="false">SUM(Q4734,S4734,U4734,W4734,Y4734,AA4734,AC4734,AE4734,AG4734,AI4734,AK4734,AM4734,AO4734,AQ4734,AS4734,AU4734,AW4734,AY4734)</f>
        <v>75043</v>
      </c>
      <c r="BC4734" s="28" t="n">
        <f aca="false">BA4734-BB4734</f>
        <v>0</v>
      </c>
      <c r="BD4734" s="32" t="n">
        <f aca="false">SUM(P4734,R4734,T4734,V4734,X4734,Z4734,AB4734,AD4734,AF4734,AH4734,AJ4734,AL4734,AN4734,AP4734,AR4734,AT4734,AV4734,AX4734)</f>
        <v>1250.71</v>
      </c>
      <c r="BE4734" s="33" t="n">
        <f aca="false">AZ4734-BD4734</f>
        <v>0</v>
      </c>
      <c r="BF4734" s="34" t="n">
        <f aca="false">BD4734*M4734</f>
        <v>75042.6</v>
      </c>
      <c r="BG4734" s="35" t="n">
        <f aca="false">BA4734-BF4734</f>
        <v>0.399999999994179</v>
      </c>
      <c r="BH4734" s="19" t="str">
        <f aca="false">IF(BG4734=0,"",IF(BG4734&lt;&gt;BA4734,"erreur de calcul",IF(BD4734&lt;&gt;0,"pas de prix",IF(M4734&lt;&gt; 0,"pas de quantité","pas de prix, ni de quantité"))))</f>
        <v>erreur de calcul</v>
      </c>
      <c r="BI4734" s="19"/>
    </row>
    <row r="4735" customFormat="false" ht="15" hidden="false" customHeight="false" outlineLevel="0" collapsed="false">
      <c r="A4735" s="0" t="n">
        <v>6</v>
      </c>
      <c r="B4735" s="8" t="s">
        <v>24</v>
      </c>
      <c r="C4735" s="9" t="s">
        <v>25</v>
      </c>
      <c r="D4735" s="9" t="s">
        <v>26</v>
      </c>
      <c r="E4735" s="10" t="n">
        <v>1789</v>
      </c>
      <c r="F4735" s="9" t="s">
        <v>27</v>
      </c>
      <c r="G4735" s="9" t="s">
        <v>27</v>
      </c>
      <c r="H4735" s="11" t="n">
        <v>23</v>
      </c>
      <c r="I4735" s="11" t="s">
        <v>248</v>
      </c>
      <c r="J4735" s="14" t="n">
        <v>30</v>
      </c>
      <c r="K4735" s="14"/>
      <c r="L4735" s="16"/>
      <c r="M4735" s="27" t="n">
        <f aca="false">J4735+(K4735/20)+(L4735/240)</f>
        <v>30</v>
      </c>
      <c r="N4735" s="17" t="s">
        <v>64</v>
      </c>
      <c r="O4735" s="11"/>
      <c r="P4735" s="28"/>
      <c r="Q4735" s="28" t="n">
        <f aca="false">P4735*$M4735</f>
        <v>0</v>
      </c>
      <c r="R4735" s="28"/>
      <c r="S4735" s="28" t="n">
        <f aca="false">R4735*$M4735</f>
        <v>0</v>
      </c>
      <c r="T4735" s="28"/>
      <c r="U4735" s="28" t="n">
        <f aca="false">T4735*$M4735</f>
        <v>0</v>
      </c>
      <c r="V4735" s="28" t="n">
        <f aca="false">8491/100</f>
        <v>84.91</v>
      </c>
      <c r="W4735" s="28" t="n">
        <v>2547</v>
      </c>
      <c r="X4735" s="28"/>
      <c r="Y4735" s="28" t="n">
        <f aca="false">X4735*$M4735</f>
        <v>0</v>
      </c>
      <c r="Z4735" s="28"/>
      <c r="AA4735" s="28" t="n">
        <f aca="false">Z4735*$M4735</f>
        <v>0</v>
      </c>
      <c r="AB4735" s="28"/>
      <c r="AC4735" s="28" t="n">
        <f aca="false">AB4735*$M4735</f>
        <v>0</v>
      </c>
      <c r="AD4735" s="28"/>
      <c r="AE4735" s="28" t="n">
        <f aca="false">AD4735*$M4735</f>
        <v>0</v>
      </c>
      <c r="AF4735" s="28"/>
      <c r="AG4735" s="28" t="n">
        <f aca="false">AF4735*$M4735</f>
        <v>0</v>
      </c>
      <c r="AH4735" s="28"/>
      <c r="AI4735" s="28" t="n">
        <f aca="false">AH4735*$M4735</f>
        <v>0</v>
      </c>
      <c r="AJ4735" s="28"/>
      <c r="AK4735" s="28" t="n">
        <f aca="false">AJ4735*$M4735</f>
        <v>0</v>
      </c>
      <c r="AL4735" s="28"/>
      <c r="AM4735" s="28" t="n">
        <f aca="false">AL4735*$M4735</f>
        <v>0</v>
      </c>
      <c r="AN4735" s="28"/>
      <c r="AO4735" s="28" t="n">
        <f aca="false">AN4735*$M4735</f>
        <v>0</v>
      </c>
      <c r="AP4735" s="28"/>
      <c r="AQ4735" s="28" t="n">
        <f aca="false">AP4735*$M4735</f>
        <v>0</v>
      </c>
      <c r="AR4735" s="28"/>
      <c r="AS4735" s="28" t="n">
        <f aca="false">AR4735*$M4735</f>
        <v>0</v>
      </c>
      <c r="AT4735" s="28"/>
      <c r="AU4735" s="28" t="n">
        <f aca="false">AT4735*$M4735</f>
        <v>0</v>
      </c>
      <c r="AV4735" s="28"/>
      <c r="AW4735" s="28" t="n">
        <f aca="false">AV4735*$M4735</f>
        <v>0</v>
      </c>
      <c r="AX4735" s="28"/>
      <c r="AY4735" s="28" t="n">
        <f aca="false">AX4735*$M4735</f>
        <v>0</v>
      </c>
      <c r="AZ4735" s="30" t="n">
        <f aca="false">8491/100</f>
        <v>84.91</v>
      </c>
      <c r="BA4735" s="11" t="n">
        <v>2547</v>
      </c>
      <c r="BB4735" s="31" t="n">
        <f aca="false">SUM(Q4735,S4735,U4735,W4735,Y4735,AA4735,AC4735,AE4735,AG4735,AI4735,AK4735,AM4735,AO4735,AQ4735,AS4735,AU4735,AW4735,AY4735)</f>
        <v>2547</v>
      </c>
      <c r="BC4735" s="28" t="n">
        <f aca="false">BA4735-BB4735</f>
        <v>0</v>
      </c>
      <c r="BD4735" s="32" t="n">
        <f aca="false">SUM(P4735,R4735,T4735,V4735,X4735,Z4735,AB4735,AD4735,AF4735,AH4735,AJ4735,AL4735,AN4735,AP4735,AR4735,AT4735,AV4735,AX4735)</f>
        <v>84.91</v>
      </c>
      <c r="BE4735" s="33" t="n">
        <f aca="false">AZ4735-BD4735</f>
        <v>0</v>
      </c>
      <c r="BF4735" s="34" t="n">
        <f aca="false">BD4735*M4735</f>
        <v>2547.3</v>
      </c>
      <c r="BG4735" s="35" t="n">
        <f aca="false">BA4735-BF4735</f>
        <v>-0.299999999999727</v>
      </c>
      <c r="BH4735" s="19" t="str">
        <f aca="false">IF(BG4735=0,"",IF(BG4735&lt;&gt;BA4735,"erreur de calcul",IF(BD4735&lt;&gt;0,"pas de prix",IF(M4735&lt;&gt; 0,"pas de quantité","pas de prix, ni de quantité"))))</f>
        <v>erreur de calcul</v>
      </c>
      <c r="BI4735" s="19"/>
    </row>
    <row r="4736" customFormat="false" ht="15" hidden="false" customHeight="false" outlineLevel="0" collapsed="false">
      <c r="A4736" s="0" t="n">
        <v>7</v>
      </c>
      <c r="B4736" s="8" t="s">
        <v>24</v>
      </c>
      <c r="C4736" s="9" t="s">
        <v>25</v>
      </c>
      <c r="D4736" s="9" t="s">
        <v>26</v>
      </c>
      <c r="E4736" s="10" t="n">
        <v>1789</v>
      </c>
      <c r="F4736" s="9" t="s">
        <v>27</v>
      </c>
      <c r="G4736" s="9" t="s">
        <v>27</v>
      </c>
      <c r="H4736" s="11" t="n">
        <v>23</v>
      </c>
      <c r="I4736" s="11" t="s">
        <v>249</v>
      </c>
      <c r="J4736" s="14" t="n">
        <v>27</v>
      </c>
      <c r="K4736" s="14"/>
      <c r="L4736" s="16"/>
      <c r="M4736" s="27" t="n">
        <f aca="false">J4736+(K4736/20)+(L4736/240)</f>
        <v>27</v>
      </c>
      <c r="N4736" s="17" t="s">
        <v>64</v>
      </c>
      <c r="O4736" s="11"/>
      <c r="P4736" s="28"/>
      <c r="Q4736" s="28" t="n">
        <f aca="false">P4736*$M4736</f>
        <v>0</v>
      </c>
      <c r="R4736" s="28"/>
      <c r="S4736" s="28" t="n">
        <f aca="false">R4736*$M4736</f>
        <v>0</v>
      </c>
      <c r="T4736" s="28"/>
      <c r="U4736" s="28" t="n">
        <f aca="false">T4736*$M4736</f>
        <v>0</v>
      </c>
      <c r="V4736" s="28"/>
      <c r="W4736" s="28" t="n">
        <f aca="false">V4736*$M4736</f>
        <v>0</v>
      </c>
      <c r="X4736" s="28"/>
      <c r="Y4736" s="28" t="n">
        <f aca="false">X4736*$M4736</f>
        <v>0</v>
      </c>
      <c r="Z4736" s="28"/>
      <c r="AA4736" s="28" t="n">
        <f aca="false">Z4736*$M4736</f>
        <v>0</v>
      </c>
      <c r="AB4736" s="28"/>
      <c r="AC4736" s="28" t="n">
        <f aca="false">AB4736*$M4736</f>
        <v>0</v>
      </c>
      <c r="AD4736" s="28"/>
      <c r="AE4736" s="28" t="n">
        <f aca="false">AD4736*$M4736</f>
        <v>0</v>
      </c>
      <c r="AF4736" s="28"/>
      <c r="AG4736" s="28" t="n">
        <f aca="false">AF4736*$M4736</f>
        <v>0</v>
      </c>
      <c r="AH4736" s="28"/>
      <c r="AI4736" s="28" t="n">
        <f aca="false">AH4736*$M4736</f>
        <v>0</v>
      </c>
      <c r="AJ4736" s="28" t="n">
        <f aca="false">168254/100</f>
        <v>1682.54</v>
      </c>
      <c r="AK4736" s="28" t="n">
        <v>45428</v>
      </c>
      <c r="AL4736" s="28"/>
      <c r="AM4736" s="28" t="n">
        <f aca="false">AL4736*$M4736</f>
        <v>0</v>
      </c>
      <c r="AN4736" s="28"/>
      <c r="AO4736" s="28" t="n">
        <f aca="false">AN4736*$M4736</f>
        <v>0</v>
      </c>
      <c r="AP4736" s="28"/>
      <c r="AQ4736" s="28" t="n">
        <f aca="false">AP4736*$M4736</f>
        <v>0</v>
      </c>
      <c r="AR4736" s="28"/>
      <c r="AS4736" s="28" t="n">
        <f aca="false">AR4736*$M4736</f>
        <v>0</v>
      </c>
      <c r="AT4736" s="28"/>
      <c r="AU4736" s="28" t="n">
        <f aca="false">AT4736*$M4736</f>
        <v>0</v>
      </c>
      <c r="AV4736" s="28"/>
      <c r="AW4736" s="28" t="n">
        <f aca="false">AV4736*$M4736</f>
        <v>0</v>
      </c>
      <c r="AX4736" s="28"/>
      <c r="AY4736" s="28" t="n">
        <f aca="false">AX4736*$M4736</f>
        <v>0</v>
      </c>
      <c r="AZ4736" s="30" t="n">
        <f aca="false">168254/100</f>
        <v>1682.54</v>
      </c>
      <c r="BA4736" s="11" t="n">
        <v>45428</v>
      </c>
      <c r="BB4736" s="31" t="n">
        <f aca="false">SUM(Q4736,S4736,U4736,W4736,Y4736,AA4736,AC4736,AE4736,AG4736,AI4736,AK4736,AM4736,AO4736,AQ4736,AS4736,AU4736,AW4736,AY4736)</f>
        <v>45428</v>
      </c>
      <c r="BC4736" s="28" t="n">
        <f aca="false">BA4736-BB4736</f>
        <v>0</v>
      </c>
      <c r="BD4736" s="32" t="n">
        <f aca="false">SUM(P4736,R4736,T4736,V4736,X4736,Z4736,AB4736,AD4736,AF4736,AH4736,AJ4736,AL4736,AN4736,AP4736,AR4736,AT4736,AV4736,AX4736)</f>
        <v>1682.54</v>
      </c>
      <c r="BE4736" s="33" t="n">
        <f aca="false">AZ4736-BD4736</f>
        <v>0</v>
      </c>
      <c r="BF4736" s="34" t="n">
        <f aca="false">BD4736*M4736</f>
        <v>45428.58</v>
      </c>
      <c r="BG4736" s="35" t="n">
        <f aca="false">BA4736-BF4736</f>
        <v>-0.580000000001746</v>
      </c>
      <c r="BH4736" s="19" t="str">
        <f aca="false">IF(BG4736=0,"",IF(BG4736&lt;&gt;BA4736,"erreur de calcul",IF(BD4736&lt;&gt;0,"pas de prix",IF(M4736&lt;&gt; 0,"pas de quantité","pas de prix, ni de quantité"))))</f>
        <v>erreur de calcul</v>
      </c>
      <c r="BI4736" s="19"/>
    </row>
    <row r="4737" customFormat="false" ht="15" hidden="false" customHeight="false" outlineLevel="0" collapsed="false">
      <c r="A4737" s="0" t="n">
        <v>8</v>
      </c>
      <c r="B4737" s="8" t="s">
        <v>24</v>
      </c>
      <c r="C4737" s="9" t="s">
        <v>25</v>
      </c>
      <c r="D4737" s="9" t="s">
        <v>26</v>
      </c>
      <c r="E4737" s="10" t="n">
        <v>1789</v>
      </c>
      <c r="F4737" s="9" t="s">
        <v>27</v>
      </c>
      <c r="G4737" s="9" t="s">
        <v>27</v>
      </c>
      <c r="H4737" s="11" t="n">
        <v>23</v>
      </c>
      <c r="I4737" s="11" t="s">
        <v>250</v>
      </c>
      <c r="J4737" s="14" t="n">
        <v>27</v>
      </c>
      <c r="K4737" s="14"/>
      <c r="L4737" s="16"/>
      <c r="M4737" s="27" t="n">
        <f aca="false">J4737+(K4737/20)+(L4737/240)</f>
        <v>27</v>
      </c>
      <c r="N4737" s="17" t="s">
        <v>64</v>
      </c>
      <c r="O4737" s="11"/>
      <c r="P4737" s="28"/>
      <c r="Q4737" s="28" t="n">
        <f aca="false">P4737*$M4737</f>
        <v>0</v>
      </c>
      <c r="R4737" s="28"/>
      <c r="S4737" s="28" t="n">
        <f aca="false">R4737*$M4737</f>
        <v>0</v>
      </c>
      <c r="T4737" s="28"/>
      <c r="U4737" s="28" t="n">
        <f aca="false">T4737*$M4737</f>
        <v>0</v>
      </c>
      <c r="V4737" s="28"/>
      <c r="W4737" s="28" t="n">
        <f aca="false">V4737*$M4737</f>
        <v>0</v>
      </c>
      <c r="X4737" s="28"/>
      <c r="Y4737" s="28" t="n">
        <f aca="false">X4737*$M4737</f>
        <v>0</v>
      </c>
      <c r="Z4737" s="28"/>
      <c r="AA4737" s="28" t="n">
        <f aca="false">Z4737*$M4737</f>
        <v>0</v>
      </c>
      <c r="AB4737" s="28"/>
      <c r="AC4737" s="28" t="n">
        <f aca="false">AB4737*$M4737</f>
        <v>0</v>
      </c>
      <c r="AD4737" s="28"/>
      <c r="AE4737" s="28" t="n">
        <f aca="false">AD4737*$M4737</f>
        <v>0</v>
      </c>
      <c r="AF4737" s="28"/>
      <c r="AG4737" s="28" t="n">
        <f aca="false">AF4737*$M4737</f>
        <v>0</v>
      </c>
      <c r="AH4737" s="28"/>
      <c r="AI4737" s="28" t="n">
        <f aca="false">AH4737*$M4737</f>
        <v>0</v>
      </c>
      <c r="AJ4737" s="28"/>
      <c r="AK4737" s="28" t="n">
        <f aca="false">AJ4737*$M4737</f>
        <v>0</v>
      </c>
      <c r="AL4737" s="28" t="n">
        <f aca="false">4108/100</f>
        <v>41.08</v>
      </c>
      <c r="AM4737" s="28" t="n">
        <v>1109</v>
      </c>
      <c r="AN4737" s="28"/>
      <c r="AO4737" s="28" t="n">
        <f aca="false">AN4737*$M4737</f>
        <v>0</v>
      </c>
      <c r="AP4737" s="28"/>
      <c r="AQ4737" s="28" t="n">
        <f aca="false">AP4737*$M4737</f>
        <v>0</v>
      </c>
      <c r="AR4737" s="28" t="n">
        <f aca="false">37084/100</f>
        <v>370.84</v>
      </c>
      <c r="AS4737" s="36" t="n">
        <v>9963</v>
      </c>
      <c r="AT4737" s="28"/>
      <c r="AU4737" s="28" t="n">
        <f aca="false">AT4737*$M4737</f>
        <v>0</v>
      </c>
      <c r="AV4737" s="28"/>
      <c r="AW4737" s="28" t="n">
        <f aca="false">AV4737*$M4737</f>
        <v>0</v>
      </c>
      <c r="AX4737" s="28"/>
      <c r="AY4737" s="28" t="n">
        <f aca="false">AX4737*$M4737</f>
        <v>0</v>
      </c>
      <c r="AZ4737" s="30" t="n">
        <f aca="false">41192/100</f>
        <v>411.92</v>
      </c>
      <c r="BA4737" s="11" t="n">
        <v>11072</v>
      </c>
      <c r="BB4737" s="31" t="n">
        <f aca="false">SUM(Q4737,S4737,U4737,W4737,Y4737,AA4737,AC4737,AE4737,AG4737,AI4737,AK4737,AM4737,AO4737,AQ4737,AS4737,AU4737,AW4737,AY4737)</f>
        <v>11072</v>
      </c>
      <c r="BC4737" s="28" t="n">
        <f aca="false">BA4737-BB4737</f>
        <v>0</v>
      </c>
      <c r="BD4737" s="32" t="n">
        <f aca="false">SUM(P4737,R4737,T4737,V4737,X4737,Z4737,AB4737,AD4737,AF4737,AH4737,AJ4737,AL4737,AN4737,AP4737,AR4737,AT4737,AV4737,AX4737)</f>
        <v>411.92</v>
      </c>
      <c r="BE4737" s="33" t="n">
        <f aca="false">AZ4737-BD4737</f>
        <v>0</v>
      </c>
      <c r="BF4737" s="34" t="n">
        <f aca="false">BD4737*M4737</f>
        <v>11121.84</v>
      </c>
      <c r="BG4737" s="35" t="n">
        <f aca="false">BA4737-BF4737</f>
        <v>-49.8399999999983</v>
      </c>
      <c r="BH4737" s="19" t="str">
        <f aca="false">IF(BG4737=0,"",IF(BG4737&lt;&gt;BA4737,"erreur de calcul",IF(BD4737&lt;&gt;0,"pas de prix",IF(M4737&lt;&gt; 0,"pas de quantité","pas de prix, ni de quantité"))))</f>
        <v>erreur de calcul</v>
      </c>
      <c r="BI4737" s="19"/>
    </row>
    <row r="4738" customFormat="false" ht="15" hidden="false" customHeight="false" outlineLevel="0" collapsed="false">
      <c r="A4738" s="0" t="n">
        <v>9</v>
      </c>
      <c r="B4738" s="8" t="s">
        <v>24</v>
      </c>
      <c r="C4738" s="9" t="s">
        <v>25</v>
      </c>
      <c r="D4738" s="9" t="s">
        <v>26</v>
      </c>
      <c r="E4738" s="10" t="n">
        <v>1789</v>
      </c>
      <c r="F4738" s="9" t="s">
        <v>27</v>
      </c>
      <c r="G4738" s="9" t="s">
        <v>27</v>
      </c>
      <c r="H4738" s="11" t="n">
        <v>23</v>
      </c>
      <c r="I4738" s="11" t="s">
        <v>251</v>
      </c>
      <c r="J4738" s="14" t="n">
        <v>6</v>
      </c>
      <c r="K4738" s="14"/>
      <c r="L4738" s="16"/>
      <c r="M4738" s="27" t="n">
        <f aca="false">J4738+(K4738/20)+(L4738/240)</f>
        <v>6</v>
      </c>
      <c r="N4738" s="17" t="s">
        <v>64</v>
      </c>
      <c r="O4738" s="11"/>
      <c r="P4738" s="28"/>
      <c r="Q4738" s="28" t="n">
        <f aca="false">P4738*$M4738</f>
        <v>0</v>
      </c>
      <c r="R4738" s="28"/>
      <c r="S4738" s="28" t="n">
        <f aca="false">R4738*$M4738</f>
        <v>0</v>
      </c>
      <c r="T4738" s="28"/>
      <c r="U4738" s="28" t="n">
        <f aca="false">T4738*$M4738</f>
        <v>0</v>
      </c>
      <c r="V4738" s="28"/>
      <c r="W4738" s="28" t="n">
        <f aca="false">V4738*$M4738</f>
        <v>0</v>
      </c>
      <c r="X4738" s="28"/>
      <c r="Y4738" s="28" t="n">
        <f aca="false">X4738*$M4738</f>
        <v>0</v>
      </c>
      <c r="Z4738" s="28"/>
      <c r="AA4738" s="28" t="n">
        <f aca="false">Z4738*$M4738</f>
        <v>0</v>
      </c>
      <c r="AB4738" s="28"/>
      <c r="AC4738" s="28" t="n">
        <f aca="false">AB4738*$M4738</f>
        <v>0</v>
      </c>
      <c r="AD4738" s="28"/>
      <c r="AE4738" s="28" t="n">
        <f aca="false">AD4738*$M4738</f>
        <v>0</v>
      </c>
      <c r="AF4738" s="28"/>
      <c r="AG4738" s="28" t="n">
        <f aca="false">AF4738*$M4738</f>
        <v>0</v>
      </c>
      <c r="AH4738" s="28"/>
      <c r="AI4738" s="28" t="n">
        <f aca="false">AH4738*$M4738</f>
        <v>0</v>
      </c>
      <c r="AJ4738" s="28"/>
      <c r="AK4738" s="28" t="n">
        <f aca="false">AJ4738*$M4738</f>
        <v>0</v>
      </c>
      <c r="AL4738" s="28"/>
      <c r="AM4738" s="28" t="n">
        <f aca="false">AL4738*$M4738</f>
        <v>0</v>
      </c>
      <c r="AN4738" s="28"/>
      <c r="AO4738" s="28" t="n">
        <f aca="false">AN4738*$M4738</f>
        <v>0</v>
      </c>
      <c r="AP4738" s="28"/>
      <c r="AQ4738" s="28" t="n">
        <f aca="false">AP4738*$M4738</f>
        <v>0</v>
      </c>
      <c r="AR4738" s="28"/>
      <c r="AS4738" s="28" t="n">
        <f aca="false">AR4738*$M4738</f>
        <v>0</v>
      </c>
      <c r="AT4738" s="28"/>
      <c r="AU4738" s="28" t="n">
        <f aca="false">AT4738*$M4738</f>
        <v>0</v>
      </c>
      <c r="AV4738" s="28"/>
      <c r="AW4738" s="28" t="n">
        <f aca="false">AV4738*$M4738</f>
        <v>0</v>
      </c>
      <c r="AX4738" s="28"/>
      <c r="AY4738" s="28" t="n">
        <f aca="false">AX4738*$M4738</f>
        <v>0</v>
      </c>
      <c r="AZ4738" s="30"/>
      <c r="BA4738" s="11"/>
      <c r="BB4738" s="31" t="n">
        <f aca="false">SUM(Q4738,S4738,U4738,W4738,Y4738,AA4738,AC4738,AE4738,AG4738,AI4738,AK4738,AM4738,AO4738,AQ4738,AS4738,AU4738,AW4738,AY4738)</f>
        <v>0</v>
      </c>
      <c r="BC4738" s="28" t="n">
        <f aca="false">BA4738-BB4738</f>
        <v>0</v>
      </c>
      <c r="BD4738" s="32" t="n">
        <f aca="false">SUM(P4738,R4738,T4738,V4738,X4738,Z4738,AB4738,AD4738,AF4738,AH4738,AJ4738,AL4738,AN4738,AP4738,AR4738,AT4738,AV4738,AX4738)</f>
        <v>0</v>
      </c>
      <c r="BE4738" s="33" t="n">
        <f aca="false">AZ4738-BD4738</f>
        <v>0</v>
      </c>
      <c r="BF4738" s="34" t="n">
        <f aca="false">BD4738*M4738</f>
        <v>0</v>
      </c>
      <c r="BG4738" s="35" t="n">
        <f aca="false">BA4738-BF4738</f>
        <v>0</v>
      </c>
      <c r="BH4738" s="19" t="str">
        <f aca="false">IF(BG4738=0,"",IF(BG4738&lt;&gt;BA4738,"erreur de calcul",IF(BD4738&lt;&gt;0,"pas de prix",IF(M4738&lt;&gt; 0,"pas de quantité","pas de prix, ni de quantité"))))</f>
        <v/>
      </c>
      <c r="BI4738" s="19"/>
    </row>
    <row r="4739" customFormat="false" ht="15" hidden="false" customHeight="false" outlineLevel="0" collapsed="false">
      <c r="A4739" s="0" t="n">
        <v>10</v>
      </c>
      <c r="B4739" s="8" t="s">
        <v>24</v>
      </c>
      <c r="C4739" s="9" t="s">
        <v>25</v>
      </c>
      <c r="D4739" s="9" t="s">
        <v>26</v>
      </c>
      <c r="E4739" s="10" t="n">
        <v>1789</v>
      </c>
      <c r="F4739" s="9" t="s">
        <v>27</v>
      </c>
      <c r="G4739" s="9" t="s">
        <v>27</v>
      </c>
      <c r="H4739" s="11" t="n">
        <v>23</v>
      </c>
      <c r="I4739" s="11" t="s">
        <v>252</v>
      </c>
      <c r="J4739" s="14" t="n">
        <v>240</v>
      </c>
      <c r="K4739" s="14"/>
      <c r="L4739" s="16"/>
      <c r="M4739" s="27" t="n">
        <f aca="false">J4739+(K4739/20)+(L4739/240)</f>
        <v>240</v>
      </c>
      <c r="N4739" s="17" t="s">
        <v>64</v>
      </c>
      <c r="O4739" s="11"/>
      <c r="P4739" s="28"/>
      <c r="Q4739" s="28" t="n">
        <f aca="false">P4739*$M4739</f>
        <v>0</v>
      </c>
      <c r="R4739" s="28"/>
      <c r="S4739" s="28" t="n">
        <f aca="false">R4739*$M4739</f>
        <v>0</v>
      </c>
      <c r="T4739" s="28" t="n">
        <f aca="false">4204/100</f>
        <v>42.04</v>
      </c>
      <c r="U4739" s="28" t="n">
        <v>10090</v>
      </c>
      <c r="V4739" s="28" t="n">
        <f aca="false">2799/100</f>
        <v>27.99</v>
      </c>
      <c r="W4739" s="28" t="n">
        <v>6718</v>
      </c>
      <c r="X4739" s="28" t="n">
        <f aca="false">2536/100</f>
        <v>25.36</v>
      </c>
      <c r="Y4739" s="28" t="n">
        <v>6086</v>
      </c>
      <c r="Z4739" s="28" t="n">
        <f aca="false">3393/100</f>
        <v>33.93</v>
      </c>
      <c r="AA4739" s="28" t="n">
        <v>8143</v>
      </c>
      <c r="AB4739" s="28" t="n">
        <f aca="false">242/100</f>
        <v>2.42</v>
      </c>
      <c r="AC4739" s="28" t="n">
        <v>581</v>
      </c>
      <c r="AD4739" s="28"/>
      <c r="AE4739" s="28" t="n">
        <f aca="false">AD4739*$M4739</f>
        <v>0</v>
      </c>
      <c r="AF4739" s="28"/>
      <c r="AG4739" s="28" t="n">
        <f aca="false">AF4739*$M4739</f>
        <v>0</v>
      </c>
      <c r="AH4739" s="28"/>
      <c r="AI4739" s="28" t="n">
        <f aca="false">AH4739*$M4739</f>
        <v>0</v>
      </c>
      <c r="AJ4739" s="28"/>
      <c r="AK4739" s="28" t="n">
        <f aca="false">AJ4739*$M4739</f>
        <v>0</v>
      </c>
      <c r="AL4739" s="28"/>
      <c r="AM4739" s="28" t="n">
        <f aca="false">AL4739*$M4739</f>
        <v>0</v>
      </c>
      <c r="AN4739" s="28"/>
      <c r="AO4739" s="28" t="n">
        <f aca="false">AN4739*$M4739</f>
        <v>0</v>
      </c>
      <c r="AP4739" s="28"/>
      <c r="AQ4739" s="28" t="n">
        <f aca="false">AP4739*$M4739</f>
        <v>0</v>
      </c>
      <c r="AR4739" s="28"/>
      <c r="AS4739" s="28" t="n">
        <f aca="false">AR4739*$M4739</f>
        <v>0</v>
      </c>
      <c r="AT4739" s="28"/>
      <c r="AU4739" s="28" t="n">
        <f aca="false">AT4739*$M4739</f>
        <v>0</v>
      </c>
      <c r="AV4739" s="28"/>
      <c r="AW4739" s="28" t="n">
        <f aca="false">AV4739*$M4739</f>
        <v>0</v>
      </c>
      <c r="AX4739" s="28"/>
      <c r="AY4739" s="28" t="n">
        <f aca="false">AX4739*$M4739</f>
        <v>0</v>
      </c>
      <c r="AZ4739" s="30" t="n">
        <f aca="false">13174/100</f>
        <v>131.74</v>
      </c>
      <c r="BA4739" s="11" t="n">
        <v>31618</v>
      </c>
      <c r="BB4739" s="31" t="n">
        <f aca="false">SUM(Q4739,S4739,U4739,W4739,Y4739,AA4739,AC4739,AE4739,AG4739,AI4739,AK4739,AM4739,AO4739,AQ4739,AS4739,AU4739,AW4739,AY4739)</f>
        <v>31618</v>
      </c>
      <c r="BC4739" s="28" t="n">
        <f aca="false">BA4739-BB4739</f>
        <v>0</v>
      </c>
      <c r="BD4739" s="32" t="n">
        <f aca="false">SUM(P4739,R4739,T4739,V4739,X4739,Z4739,AB4739,AD4739,AF4739,AH4739,AJ4739,AL4739,AN4739,AP4739,AR4739,AT4739,AV4739,AX4739)</f>
        <v>131.74</v>
      </c>
      <c r="BE4739" s="33" t="n">
        <f aca="false">AZ4739-BD4739</f>
        <v>0</v>
      </c>
      <c r="BF4739" s="34" t="n">
        <f aca="false">BD4739*M4739</f>
        <v>31617.6</v>
      </c>
      <c r="BG4739" s="35" t="n">
        <f aca="false">BA4739-BF4739</f>
        <v>0.399999999997817</v>
      </c>
      <c r="BH4739" s="19" t="str">
        <f aca="false">IF(BG4739=0,"",IF(BG4739&lt;&gt;BA4739,"erreur de calcul",IF(BD4739&lt;&gt;0,"pas de prix",IF(M4739&lt;&gt; 0,"pas de quantité","pas de prix, ni de quantité"))))</f>
        <v>erreur de calcul</v>
      </c>
      <c r="BI4739" s="19"/>
    </row>
    <row r="4740" customFormat="false" ht="15" hidden="false" customHeight="false" outlineLevel="0" collapsed="false">
      <c r="A4740" s="0" t="n">
        <v>11</v>
      </c>
      <c r="B4740" s="8" t="s">
        <v>24</v>
      </c>
      <c r="C4740" s="9" t="s">
        <v>25</v>
      </c>
      <c r="D4740" s="9" t="s">
        <v>26</v>
      </c>
      <c r="E4740" s="10" t="n">
        <v>1789</v>
      </c>
      <c r="F4740" s="9" t="s">
        <v>27</v>
      </c>
      <c r="G4740" s="9" t="s">
        <v>27</v>
      </c>
      <c r="H4740" s="11" t="n">
        <v>23</v>
      </c>
      <c r="I4740" s="11" t="s">
        <v>253</v>
      </c>
      <c r="J4740" s="14" t="n">
        <v>190</v>
      </c>
      <c r="K4740" s="14"/>
      <c r="L4740" s="16"/>
      <c r="M4740" s="27" t="n">
        <f aca="false">J4740+(K4740/20)+(L4740/240)</f>
        <v>190</v>
      </c>
      <c r="N4740" s="17" t="s">
        <v>64</v>
      </c>
      <c r="O4740" s="11"/>
      <c r="P4740" s="28"/>
      <c r="Q4740" s="28" t="n">
        <f aca="false">P4740*$M4740</f>
        <v>0</v>
      </c>
      <c r="R4740" s="28"/>
      <c r="S4740" s="28" t="n">
        <f aca="false">R4740*$M4740</f>
        <v>0</v>
      </c>
      <c r="T4740" s="28"/>
      <c r="U4740" s="28" t="n">
        <f aca="false">T4740*$M4740</f>
        <v>0</v>
      </c>
      <c r="V4740" s="28" t="n">
        <f aca="false">14963/100</f>
        <v>149.63</v>
      </c>
      <c r="W4740" s="36" t="n">
        <v>28420</v>
      </c>
      <c r="X4740" s="28"/>
      <c r="Y4740" s="28" t="n">
        <f aca="false">X4740*$M4740</f>
        <v>0</v>
      </c>
      <c r="Z4740" s="28"/>
      <c r="AA4740" s="28" t="n">
        <f aca="false">Z4740*$M4740</f>
        <v>0</v>
      </c>
      <c r="AB4740" s="28"/>
      <c r="AC4740" s="28" t="n">
        <f aca="false">AB4740*$M4740</f>
        <v>0</v>
      </c>
      <c r="AD4740" s="28"/>
      <c r="AE4740" s="28" t="n">
        <f aca="false">AD4740*$M4740</f>
        <v>0</v>
      </c>
      <c r="AF4740" s="28"/>
      <c r="AG4740" s="28" t="n">
        <f aca="false">AF4740*$M4740</f>
        <v>0</v>
      </c>
      <c r="AH4740" s="28"/>
      <c r="AI4740" s="28" t="n">
        <f aca="false">AH4740*$M4740</f>
        <v>0</v>
      </c>
      <c r="AJ4740" s="28"/>
      <c r="AK4740" s="28" t="n">
        <f aca="false">AJ4740*$M4740</f>
        <v>0</v>
      </c>
      <c r="AL4740" s="28"/>
      <c r="AM4740" s="28" t="n">
        <f aca="false">AL4740*$M4740</f>
        <v>0</v>
      </c>
      <c r="AN4740" s="28"/>
      <c r="AO4740" s="28" t="n">
        <f aca="false">AN4740*$M4740</f>
        <v>0</v>
      </c>
      <c r="AP4740" s="28"/>
      <c r="AQ4740" s="28" t="n">
        <f aca="false">AP4740*$M4740</f>
        <v>0</v>
      </c>
      <c r="AR4740" s="28"/>
      <c r="AS4740" s="28" t="n">
        <f aca="false">AR4740*$M4740</f>
        <v>0</v>
      </c>
      <c r="AT4740" s="28"/>
      <c r="AU4740" s="28" t="n">
        <f aca="false">AT4740*$M4740</f>
        <v>0</v>
      </c>
      <c r="AV4740" s="28"/>
      <c r="AW4740" s="28" t="n">
        <f aca="false">AV4740*$M4740</f>
        <v>0</v>
      </c>
      <c r="AX4740" s="28"/>
      <c r="AY4740" s="28" t="n">
        <f aca="false">AX4740*$M4740</f>
        <v>0</v>
      </c>
      <c r="AZ4740" s="30" t="n">
        <f aca="false">14963/100</f>
        <v>149.63</v>
      </c>
      <c r="BA4740" s="11" t="n">
        <v>28420</v>
      </c>
      <c r="BB4740" s="31" t="n">
        <f aca="false">SUM(Q4740,S4740,U4740,W4740,Y4740,AA4740,AC4740,AE4740,AG4740,AI4740,AK4740,AM4740,AO4740,AQ4740,AS4740,AU4740,AW4740,AY4740)</f>
        <v>28420</v>
      </c>
      <c r="BC4740" s="28" t="n">
        <f aca="false">BA4740-BB4740</f>
        <v>0</v>
      </c>
      <c r="BD4740" s="32" t="n">
        <f aca="false">SUM(P4740,R4740,T4740,V4740,X4740,Z4740,AB4740,AD4740,AF4740,AH4740,AJ4740,AL4740,AN4740,AP4740,AR4740,AT4740,AV4740,AX4740)</f>
        <v>149.63</v>
      </c>
      <c r="BE4740" s="33" t="n">
        <f aca="false">AZ4740-BD4740</f>
        <v>0</v>
      </c>
      <c r="BF4740" s="34" t="n">
        <f aca="false">BD4740*M4740</f>
        <v>28429.7</v>
      </c>
      <c r="BG4740" s="35" t="n">
        <f aca="false">BA4740-BF4740</f>
        <v>-9.70000000000073</v>
      </c>
      <c r="BH4740" s="19" t="str">
        <f aca="false">IF(BG4740=0,"",IF(BG4740&lt;&gt;BA4740,"erreur de calcul",IF(BD4740&lt;&gt;0,"pas de prix",IF(M4740&lt;&gt; 0,"pas de quantité","pas de prix, ni de quantité"))))</f>
        <v>erreur de calcul</v>
      </c>
      <c r="BI4740" s="19"/>
    </row>
    <row r="4741" customFormat="false" ht="15" hidden="false" customHeight="false" outlineLevel="0" collapsed="false">
      <c r="A4741" s="0" t="n">
        <v>12</v>
      </c>
      <c r="B4741" s="8" t="s">
        <v>24</v>
      </c>
      <c r="C4741" s="9" t="s">
        <v>25</v>
      </c>
      <c r="D4741" s="9" t="s">
        <v>26</v>
      </c>
      <c r="E4741" s="10" t="n">
        <v>1789</v>
      </c>
      <c r="F4741" s="9" t="s">
        <v>27</v>
      </c>
      <c r="G4741" s="9" t="s">
        <v>27</v>
      </c>
      <c r="H4741" s="11" t="n">
        <v>23</v>
      </c>
      <c r="I4741" s="11" t="s">
        <v>254</v>
      </c>
      <c r="J4741" s="14" t="n">
        <v>14</v>
      </c>
      <c r="K4741" s="14"/>
      <c r="L4741" s="16"/>
      <c r="M4741" s="27" t="n">
        <f aca="false">J4741+(K4741/20)+(L4741/240)</f>
        <v>14</v>
      </c>
      <c r="N4741" s="17" t="s">
        <v>64</v>
      </c>
      <c r="O4741" s="11"/>
      <c r="P4741" s="28"/>
      <c r="Q4741" s="28" t="n">
        <f aca="false">P4741*$M4741</f>
        <v>0</v>
      </c>
      <c r="R4741" s="28"/>
      <c r="S4741" s="28" t="n">
        <f aca="false">R4741*$M4741</f>
        <v>0</v>
      </c>
      <c r="T4741" s="28"/>
      <c r="U4741" s="28" t="n">
        <f aca="false">T4741*$M4741</f>
        <v>0</v>
      </c>
      <c r="V4741" s="28"/>
      <c r="W4741" s="28" t="n">
        <f aca="false">V4741*$M4741</f>
        <v>0</v>
      </c>
      <c r="X4741" s="28" t="n">
        <f aca="false">445483/100</f>
        <v>4454.83</v>
      </c>
      <c r="Y4741" s="28" t="n">
        <v>62368</v>
      </c>
      <c r="Z4741" s="28"/>
      <c r="AA4741" s="28" t="n">
        <f aca="false">Z4741*$M4741</f>
        <v>0</v>
      </c>
      <c r="AB4741" s="28"/>
      <c r="AC4741" s="28" t="n">
        <f aca="false">AB4741*$M4741</f>
        <v>0</v>
      </c>
      <c r="AD4741" s="28"/>
      <c r="AE4741" s="28" t="n">
        <f aca="false">AD4741*$M4741</f>
        <v>0</v>
      </c>
      <c r="AF4741" s="28"/>
      <c r="AG4741" s="28" t="n">
        <f aca="false">AF4741*$M4741</f>
        <v>0</v>
      </c>
      <c r="AH4741" s="28"/>
      <c r="AI4741" s="28" t="n">
        <f aca="false">AH4741*$M4741</f>
        <v>0</v>
      </c>
      <c r="AJ4741" s="28"/>
      <c r="AK4741" s="28" t="n">
        <f aca="false">AJ4741*$M4741</f>
        <v>0</v>
      </c>
      <c r="AL4741" s="28"/>
      <c r="AM4741" s="28" t="n">
        <f aca="false">AL4741*$M4741</f>
        <v>0</v>
      </c>
      <c r="AN4741" s="28"/>
      <c r="AO4741" s="28" t="n">
        <f aca="false">AN4741*$M4741</f>
        <v>0</v>
      </c>
      <c r="AP4741" s="28"/>
      <c r="AQ4741" s="28" t="n">
        <f aca="false">AP4741*$M4741</f>
        <v>0</v>
      </c>
      <c r="AR4741" s="28"/>
      <c r="AS4741" s="28" t="n">
        <f aca="false">AR4741*$M4741</f>
        <v>0</v>
      </c>
      <c r="AT4741" s="28"/>
      <c r="AU4741" s="28" t="n">
        <f aca="false">AT4741*$M4741</f>
        <v>0</v>
      </c>
      <c r="AV4741" s="28"/>
      <c r="AW4741" s="28" t="n">
        <f aca="false">AV4741*$M4741</f>
        <v>0</v>
      </c>
      <c r="AX4741" s="28"/>
      <c r="AY4741" s="28" t="n">
        <f aca="false">AX4741*$M4741</f>
        <v>0</v>
      </c>
      <c r="AZ4741" s="30" t="n">
        <f aca="false">445483/100</f>
        <v>4454.83</v>
      </c>
      <c r="BA4741" s="11" t="n">
        <v>62368</v>
      </c>
      <c r="BB4741" s="31" t="n">
        <f aca="false">SUM(Q4741,S4741,U4741,W4741,Y4741,AA4741,AC4741,AE4741,AG4741,AI4741,AK4741,AM4741,AO4741,AQ4741,AS4741,AU4741,AW4741,AY4741)</f>
        <v>62368</v>
      </c>
      <c r="BC4741" s="28" t="n">
        <f aca="false">BA4741-BB4741</f>
        <v>0</v>
      </c>
      <c r="BD4741" s="32" t="n">
        <f aca="false">SUM(P4741,R4741,T4741,V4741,X4741,Z4741,AB4741,AD4741,AF4741,AH4741,AJ4741,AL4741,AN4741,AP4741,AR4741,AT4741,AV4741,AX4741)</f>
        <v>4454.83</v>
      </c>
      <c r="BE4741" s="33" t="n">
        <f aca="false">AZ4741-BD4741</f>
        <v>0</v>
      </c>
      <c r="BF4741" s="34" t="n">
        <f aca="false">BD4741*M4741</f>
        <v>62367.62</v>
      </c>
      <c r="BG4741" s="35" t="n">
        <f aca="false">BA4741-BF4741</f>
        <v>0.380000000004657</v>
      </c>
      <c r="BH4741" s="19" t="str">
        <f aca="false">IF(BG4741=0,"",IF(BG4741&lt;&gt;BA4741,"erreur de calcul",IF(BD4741&lt;&gt;0,"pas de prix",IF(M4741&lt;&gt; 0,"pas de quantité","pas de prix, ni de quantité"))))</f>
        <v>erreur de calcul</v>
      </c>
      <c r="BI4741" s="19"/>
    </row>
    <row r="4742" customFormat="false" ht="15" hidden="false" customHeight="false" outlineLevel="0" collapsed="false">
      <c r="A4742" s="0" t="n">
        <v>13</v>
      </c>
      <c r="B4742" s="8" t="s">
        <v>24</v>
      </c>
      <c r="C4742" s="9" t="s">
        <v>25</v>
      </c>
      <c r="D4742" s="9" t="s">
        <v>26</v>
      </c>
      <c r="E4742" s="10" t="n">
        <v>1789</v>
      </c>
      <c r="F4742" s="9" t="s">
        <v>27</v>
      </c>
      <c r="G4742" s="9" t="s">
        <v>27</v>
      </c>
      <c r="H4742" s="11" t="n">
        <v>23</v>
      </c>
      <c r="I4742" s="11" t="s">
        <v>255</v>
      </c>
      <c r="J4742" s="14" t="n">
        <v>6</v>
      </c>
      <c r="K4742" s="14"/>
      <c r="L4742" s="16"/>
      <c r="M4742" s="27" t="n">
        <f aca="false">J4742+(K4742/20)+(L4742/240)</f>
        <v>6</v>
      </c>
      <c r="N4742" s="17" t="s">
        <v>64</v>
      </c>
      <c r="O4742" s="11"/>
      <c r="P4742" s="28"/>
      <c r="Q4742" s="28" t="n">
        <f aca="false">P4742*$M4742</f>
        <v>0</v>
      </c>
      <c r="R4742" s="28"/>
      <c r="S4742" s="28" t="n">
        <f aca="false">R4742*$M4742</f>
        <v>0</v>
      </c>
      <c r="T4742" s="28"/>
      <c r="U4742" s="28" t="n">
        <f aca="false">T4742*$M4742</f>
        <v>0</v>
      </c>
      <c r="V4742" s="28" t="n">
        <f aca="false">8263/100</f>
        <v>82.63</v>
      </c>
      <c r="W4742" s="28" t="n">
        <v>496</v>
      </c>
      <c r="X4742" s="28"/>
      <c r="Y4742" s="28" t="n">
        <f aca="false">X4742*$M4742</f>
        <v>0</v>
      </c>
      <c r="Z4742" s="28" t="n">
        <f aca="false">62695/100</f>
        <v>626.95</v>
      </c>
      <c r="AA4742" s="28" t="n">
        <v>3762</v>
      </c>
      <c r="AB4742" s="28"/>
      <c r="AC4742" s="28" t="n">
        <f aca="false">AB4742*$M4742</f>
        <v>0</v>
      </c>
      <c r="AD4742" s="28"/>
      <c r="AE4742" s="28" t="n">
        <f aca="false">AD4742*$M4742</f>
        <v>0</v>
      </c>
      <c r="AF4742" s="28"/>
      <c r="AG4742" s="28" t="n">
        <f aca="false">AF4742*$M4742</f>
        <v>0</v>
      </c>
      <c r="AH4742" s="28"/>
      <c r="AI4742" s="28" t="n">
        <f aca="false">AH4742*$M4742</f>
        <v>0</v>
      </c>
      <c r="AJ4742" s="28"/>
      <c r="AK4742" s="28" t="n">
        <f aca="false">AJ4742*$M4742</f>
        <v>0</v>
      </c>
      <c r="AL4742" s="28"/>
      <c r="AM4742" s="28" t="n">
        <f aca="false">AL4742*$M4742</f>
        <v>0</v>
      </c>
      <c r="AN4742" s="28"/>
      <c r="AO4742" s="28" t="n">
        <f aca="false">AN4742*$M4742</f>
        <v>0</v>
      </c>
      <c r="AP4742" s="28"/>
      <c r="AQ4742" s="28" t="n">
        <f aca="false">AP4742*$M4742</f>
        <v>0</v>
      </c>
      <c r="AR4742" s="28"/>
      <c r="AS4742" s="28" t="n">
        <f aca="false">AR4742*$M4742</f>
        <v>0</v>
      </c>
      <c r="AT4742" s="28"/>
      <c r="AU4742" s="28" t="n">
        <f aca="false">AT4742*$M4742</f>
        <v>0</v>
      </c>
      <c r="AV4742" s="28"/>
      <c r="AW4742" s="28" t="n">
        <f aca="false">AV4742*$M4742</f>
        <v>0</v>
      </c>
      <c r="AX4742" s="28"/>
      <c r="AY4742" s="28" t="n">
        <f aca="false">AX4742*$M4742</f>
        <v>0</v>
      </c>
      <c r="AZ4742" s="30" t="n">
        <f aca="false">70958/100</f>
        <v>709.58</v>
      </c>
      <c r="BA4742" s="11" t="n">
        <v>4258</v>
      </c>
      <c r="BB4742" s="31" t="n">
        <f aca="false">SUM(Q4742,S4742,U4742,W4742,Y4742,AA4742,AC4742,AE4742,AG4742,AI4742,AK4742,AM4742,AO4742,AQ4742,AS4742,AU4742,AW4742,AY4742)</f>
        <v>4258</v>
      </c>
      <c r="BC4742" s="28" t="n">
        <f aca="false">BA4742-BB4742</f>
        <v>0</v>
      </c>
      <c r="BD4742" s="32" t="n">
        <f aca="false">SUM(P4742,R4742,T4742,V4742,X4742,Z4742,AB4742,AD4742,AF4742,AH4742,AJ4742,AL4742,AN4742,AP4742,AR4742,AT4742,AV4742,AX4742)</f>
        <v>709.58</v>
      </c>
      <c r="BE4742" s="33" t="n">
        <f aca="false">AZ4742-BD4742</f>
        <v>0</v>
      </c>
      <c r="BF4742" s="34" t="n">
        <f aca="false">BD4742*M4742</f>
        <v>4257.48</v>
      </c>
      <c r="BG4742" s="35" t="n">
        <f aca="false">BA4742-BF4742</f>
        <v>0.519999999999527</v>
      </c>
      <c r="BH4742" s="19" t="str">
        <f aca="false">IF(BG4742=0,"",IF(BG4742&lt;&gt;BA4742,"erreur de calcul",IF(BD4742&lt;&gt;0,"pas de prix",IF(M4742&lt;&gt; 0,"pas de quantité","pas de prix, ni de quantité"))))</f>
        <v>erreur de calcul</v>
      </c>
      <c r="BI4742" s="19"/>
    </row>
    <row r="4743" customFormat="false" ht="15" hidden="false" customHeight="false" outlineLevel="0" collapsed="false">
      <c r="A4743" s="0" t="n">
        <v>14</v>
      </c>
      <c r="B4743" s="8" t="s">
        <v>24</v>
      </c>
      <c r="C4743" s="9" t="s">
        <v>25</v>
      </c>
      <c r="D4743" s="9" t="s">
        <v>26</v>
      </c>
      <c r="E4743" s="10" t="n">
        <v>1789</v>
      </c>
      <c r="F4743" s="9" t="s">
        <v>27</v>
      </c>
      <c r="G4743" s="9" t="s">
        <v>27</v>
      </c>
      <c r="H4743" s="11" t="n">
        <v>23</v>
      </c>
      <c r="I4743" s="11" t="s">
        <v>256</v>
      </c>
      <c r="J4743" s="14" t="n">
        <v>30</v>
      </c>
      <c r="K4743" s="14"/>
      <c r="L4743" s="16"/>
      <c r="M4743" s="27" t="n">
        <f aca="false">J4743+(K4743/20)+(L4743/240)</f>
        <v>30</v>
      </c>
      <c r="N4743" s="17" t="s">
        <v>64</v>
      </c>
      <c r="O4743" s="11"/>
      <c r="P4743" s="28" t="n">
        <f aca="false">1584/100</f>
        <v>15.84</v>
      </c>
      <c r="Q4743" s="28" t="n">
        <v>475</v>
      </c>
      <c r="R4743" s="28"/>
      <c r="S4743" s="28" t="n">
        <f aca="false">R4743*$M4743</f>
        <v>0</v>
      </c>
      <c r="T4743" s="28" t="n">
        <f aca="false">78834/100</f>
        <v>788.34</v>
      </c>
      <c r="U4743" s="28" t="n">
        <v>23650</v>
      </c>
      <c r="V4743" s="28"/>
      <c r="W4743" s="28" t="n">
        <f aca="false">V4743*$M4743</f>
        <v>0</v>
      </c>
      <c r="X4743" s="28"/>
      <c r="Y4743" s="28" t="n">
        <f aca="false">X4743*$M4743</f>
        <v>0</v>
      </c>
      <c r="Z4743" s="28"/>
      <c r="AA4743" s="28" t="n">
        <f aca="false">Z4743*$M4743</f>
        <v>0</v>
      </c>
      <c r="AB4743" s="28"/>
      <c r="AC4743" s="28" t="n">
        <f aca="false">AB4743*$M4743</f>
        <v>0</v>
      </c>
      <c r="AD4743" s="28"/>
      <c r="AE4743" s="28" t="n">
        <f aca="false">AD4743*$M4743</f>
        <v>0</v>
      </c>
      <c r="AF4743" s="28"/>
      <c r="AG4743" s="28" t="n">
        <f aca="false">AF4743*$M4743</f>
        <v>0</v>
      </c>
      <c r="AH4743" s="28"/>
      <c r="AI4743" s="28" t="n">
        <f aca="false">AH4743*$M4743</f>
        <v>0</v>
      </c>
      <c r="AJ4743" s="28"/>
      <c r="AK4743" s="28" t="n">
        <f aca="false">AJ4743*$M4743</f>
        <v>0</v>
      </c>
      <c r="AL4743" s="28"/>
      <c r="AM4743" s="28" t="n">
        <f aca="false">AL4743*$M4743</f>
        <v>0</v>
      </c>
      <c r="AN4743" s="28"/>
      <c r="AO4743" s="28" t="n">
        <f aca="false">AN4743*$M4743</f>
        <v>0</v>
      </c>
      <c r="AP4743" s="28"/>
      <c r="AQ4743" s="28" t="n">
        <f aca="false">AP4743*$M4743</f>
        <v>0</v>
      </c>
      <c r="AR4743" s="28"/>
      <c r="AS4743" s="28" t="n">
        <f aca="false">AR4743*$M4743</f>
        <v>0</v>
      </c>
      <c r="AT4743" s="28"/>
      <c r="AU4743" s="28" t="n">
        <f aca="false">AT4743*$M4743</f>
        <v>0</v>
      </c>
      <c r="AV4743" s="28"/>
      <c r="AW4743" s="28" t="n">
        <f aca="false">AV4743*$M4743</f>
        <v>0</v>
      </c>
      <c r="AX4743" s="28"/>
      <c r="AY4743" s="28" t="n">
        <f aca="false">AX4743*$M4743</f>
        <v>0</v>
      </c>
      <c r="AZ4743" s="30" t="n">
        <f aca="false">80418/100</f>
        <v>804.18</v>
      </c>
      <c r="BA4743" s="11" t="n">
        <v>24125</v>
      </c>
      <c r="BB4743" s="31" t="n">
        <f aca="false">SUM(Q4743,S4743,U4743,W4743,Y4743,AA4743,AC4743,AE4743,AG4743,AI4743,AK4743,AM4743,AO4743,AQ4743,AS4743,AU4743,AW4743,AY4743)</f>
        <v>24125</v>
      </c>
      <c r="BC4743" s="28" t="n">
        <f aca="false">BA4743-BB4743</f>
        <v>0</v>
      </c>
      <c r="BD4743" s="32" t="n">
        <f aca="false">SUM(P4743,R4743,T4743,V4743,X4743,Z4743,AB4743,AD4743,AF4743,AH4743,AJ4743,AL4743,AN4743,AP4743,AR4743,AT4743,AV4743,AX4743)</f>
        <v>804.18</v>
      </c>
      <c r="BE4743" s="33" t="n">
        <f aca="false">AZ4743-BD4743</f>
        <v>0</v>
      </c>
      <c r="BF4743" s="34" t="n">
        <f aca="false">BD4743*M4743</f>
        <v>24125.4</v>
      </c>
      <c r="BG4743" s="35" t="n">
        <f aca="false">BA4743-BF4743</f>
        <v>-0.400000000001455</v>
      </c>
      <c r="BH4743" s="19" t="str">
        <f aca="false">IF(BG4743=0,"",IF(BG4743&lt;&gt;BA4743,"erreur de calcul",IF(BD4743&lt;&gt;0,"pas de prix",IF(M4743&lt;&gt; 0,"pas de quantité","pas de prix, ni de quantité"))))</f>
        <v>erreur de calcul</v>
      </c>
      <c r="BI4743" s="19"/>
    </row>
    <row r="4744" customFormat="false" ht="15" hidden="false" customHeight="false" outlineLevel="0" collapsed="false">
      <c r="A4744" s="0" t="n">
        <v>15</v>
      </c>
      <c r="B4744" s="8" t="s">
        <v>24</v>
      </c>
      <c r="C4744" s="9" t="s">
        <v>25</v>
      </c>
      <c r="D4744" s="9" t="s">
        <v>26</v>
      </c>
      <c r="E4744" s="10" t="n">
        <v>1789</v>
      </c>
      <c r="F4744" s="9" t="s">
        <v>27</v>
      </c>
      <c r="G4744" s="9" t="s">
        <v>27</v>
      </c>
      <c r="H4744" s="11" t="n">
        <v>23</v>
      </c>
      <c r="I4744" s="11" t="s">
        <v>257</v>
      </c>
      <c r="J4744" s="14" t="n">
        <v>40</v>
      </c>
      <c r="K4744" s="14"/>
      <c r="L4744" s="16"/>
      <c r="M4744" s="27" t="n">
        <f aca="false">J4744+(K4744/20)+(L4744/240)</f>
        <v>40</v>
      </c>
      <c r="N4744" s="17" t="s">
        <v>64</v>
      </c>
      <c r="O4744" s="11"/>
      <c r="P4744" s="28"/>
      <c r="Q4744" s="28" t="n">
        <f aca="false">P4744*$M4744</f>
        <v>0</v>
      </c>
      <c r="R4744" s="28"/>
      <c r="S4744" s="28" t="n">
        <f aca="false">R4744*$M4744</f>
        <v>0</v>
      </c>
      <c r="T4744" s="28"/>
      <c r="U4744" s="28" t="n">
        <f aca="false">T4744*$M4744</f>
        <v>0</v>
      </c>
      <c r="V4744" s="28"/>
      <c r="W4744" s="28" t="n">
        <f aca="false">V4744*$M4744</f>
        <v>0</v>
      </c>
      <c r="X4744" s="28"/>
      <c r="Y4744" s="28" t="n">
        <f aca="false">X4744*$M4744</f>
        <v>0</v>
      </c>
      <c r="Z4744" s="28"/>
      <c r="AA4744" s="28" t="n">
        <f aca="false">Z4744*$M4744</f>
        <v>0</v>
      </c>
      <c r="AB4744" s="28"/>
      <c r="AC4744" s="28" t="n">
        <f aca="false">AB4744*$M4744</f>
        <v>0</v>
      </c>
      <c r="AD4744" s="28"/>
      <c r="AE4744" s="28" t="n">
        <f aca="false">AD4744*$M4744</f>
        <v>0</v>
      </c>
      <c r="AF4744" s="28"/>
      <c r="AG4744" s="28" t="n">
        <f aca="false">AF4744*$M4744</f>
        <v>0</v>
      </c>
      <c r="AH4744" s="28"/>
      <c r="AI4744" s="28" t="n">
        <f aca="false">AH4744*$M4744</f>
        <v>0</v>
      </c>
      <c r="AJ4744" s="28" t="n">
        <f aca="false">784564/100</f>
        <v>7845.64</v>
      </c>
      <c r="AK4744" s="28" t="n">
        <v>313826</v>
      </c>
      <c r="AL4744" s="28" t="n">
        <f aca="false">33500/100</f>
        <v>335</v>
      </c>
      <c r="AM4744" s="28" t="n">
        <v>13400</v>
      </c>
      <c r="AN4744" s="28"/>
      <c r="AO4744" s="28" t="n">
        <f aca="false">AN4744*$M4744</f>
        <v>0</v>
      </c>
      <c r="AP4744" s="28"/>
      <c r="AQ4744" s="28" t="n">
        <f aca="false">AP4744*$M4744</f>
        <v>0</v>
      </c>
      <c r="AR4744" s="28"/>
      <c r="AS4744" s="28" t="n">
        <f aca="false">AR4744*$M4744</f>
        <v>0</v>
      </c>
      <c r="AT4744" s="28"/>
      <c r="AU4744" s="28" t="n">
        <f aca="false">AT4744*$M4744</f>
        <v>0</v>
      </c>
      <c r="AV4744" s="28"/>
      <c r="AW4744" s="28" t="n">
        <f aca="false">AV4744*$M4744</f>
        <v>0</v>
      </c>
      <c r="AX4744" s="28"/>
      <c r="AY4744" s="28" t="n">
        <f aca="false">AX4744*$M4744</f>
        <v>0</v>
      </c>
      <c r="AZ4744" s="30" t="n">
        <f aca="false">818064/100</f>
        <v>8180.64</v>
      </c>
      <c r="BA4744" s="11" t="n">
        <v>327226</v>
      </c>
      <c r="BB4744" s="31" t="n">
        <f aca="false">SUM(Q4744,S4744,U4744,W4744,Y4744,AA4744,AC4744,AE4744,AG4744,AI4744,AK4744,AM4744,AO4744,AQ4744,AS4744,AU4744,AW4744,AY4744)</f>
        <v>327226</v>
      </c>
      <c r="BC4744" s="28" t="n">
        <f aca="false">BA4744-BB4744</f>
        <v>0</v>
      </c>
      <c r="BD4744" s="32" t="n">
        <f aca="false">SUM(P4744,R4744,T4744,V4744,X4744,Z4744,AB4744,AD4744,AF4744,AH4744,AJ4744,AL4744,AN4744,AP4744,AR4744,AT4744,AV4744,AX4744)</f>
        <v>8180.64</v>
      </c>
      <c r="BE4744" s="33" t="n">
        <f aca="false">AZ4744-BD4744</f>
        <v>0</v>
      </c>
      <c r="BF4744" s="34" t="n">
        <f aca="false">BD4744*M4744</f>
        <v>327225.6</v>
      </c>
      <c r="BG4744" s="35" t="n">
        <f aca="false">BA4744-BF4744</f>
        <v>0.399999999965075</v>
      </c>
      <c r="BH4744" s="19" t="str">
        <f aca="false">IF(BG4744=0,"",IF(BG4744&lt;&gt;BA4744,"erreur de calcul",IF(BD4744&lt;&gt;0,"pas de prix",IF(M4744&lt;&gt; 0,"pas de quantité","pas de prix, ni de quantité"))))</f>
        <v>erreur de calcul</v>
      </c>
      <c r="BI4744" s="19"/>
    </row>
    <row r="4745" customFormat="false" ht="15" hidden="false" customHeight="false" outlineLevel="0" collapsed="false">
      <c r="A4745" s="0" t="n">
        <v>16</v>
      </c>
      <c r="B4745" s="8" t="s">
        <v>24</v>
      </c>
      <c r="C4745" s="9" t="s">
        <v>25</v>
      </c>
      <c r="D4745" s="9" t="s">
        <v>26</v>
      </c>
      <c r="E4745" s="10" t="n">
        <v>1789</v>
      </c>
      <c r="F4745" s="9" t="s">
        <v>27</v>
      </c>
      <c r="G4745" s="9" t="s">
        <v>27</v>
      </c>
      <c r="H4745" s="11" t="n">
        <v>23</v>
      </c>
      <c r="I4745" s="11" t="s">
        <v>258</v>
      </c>
      <c r="J4745" s="14" t="n">
        <v>75</v>
      </c>
      <c r="K4745" s="14"/>
      <c r="L4745" s="16"/>
      <c r="M4745" s="27" t="n">
        <f aca="false">J4745+(K4745/20)+(L4745/240)</f>
        <v>75</v>
      </c>
      <c r="N4745" s="17" t="s">
        <v>64</v>
      </c>
      <c r="O4745" s="11"/>
      <c r="P4745" s="28"/>
      <c r="Q4745" s="28" t="n">
        <f aca="false">P4745*$M4745</f>
        <v>0</v>
      </c>
      <c r="R4745" s="28"/>
      <c r="S4745" s="28" t="n">
        <f aca="false">R4745*$M4745</f>
        <v>0</v>
      </c>
      <c r="T4745" s="28" t="n">
        <f aca="false">1000/100</f>
        <v>10</v>
      </c>
      <c r="U4745" s="28" t="n">
        <v>750</v>
      </c>
      <c r="V4745" s="28" t="n">
        <f aca="false">17232/100</f>
        <v>172.32</v>
      </c>
      <c r="W4745" s="28" t="n">
        <v>12924</v>
      </c>
      <c r="X4745" s="28" t="n">
        <f aca="false">942/100</f>
        <v>9.42</v>
      </c>
      <c r="Y4745" s="28" t="n">
        <v>706</v>
      </c>
      <c r="Z4745" s="28"/>
      <c r="AA4745" s="28" t="n">
        <f aca="false">Z4745*$M4745</f>
        <v>0</v>
      </c>
      <c r="AB4745" s="28" t="n">
        <f aca="false">415/100</f>
        <v>4.15</v>
      </c>
      <c r="AC4745" s="28" t="n">
        <v>311</v>
      </c>
      <c r="AD4745" s="28"/>
      <c r="AE4745" s="28" t="n">
        <f aca="false">AD4745*$M4745</f>
        <v>0</v>
      </c>
      <c r="AF4745" s="28"/>
      <c r="AG4745" s="28" t="n">
        <f aca="false">AF4745*$M4745</f>
        <v>0</v>
      </c>
      <c r="AH4745" s="28"/>
      <c r="AI4745" s="28" t="n">
        <f aca="false">AH4745*$M4745</f>
        <v>0</v>
      </c>
      <c r="AJ4745" s="28"/>
      <c r="AK4745" s="28" t="n">
        <f aca="false">AJ4745*$M4745</f>
        <v>0</v>
      </c>
      <c r="AL4745" s="28"/>
      <c r="AM4745" s="28" t="n">
        <f aca="false">AL4745*$M4745</f>
        <v>0</v>
      </c>
      <c r="AN4745" s="28"/>
      <c r="AO4745" s="28" t="n">
        <f aca="false">AN4745*$M4745</f>
        <v>0</v>
      </c>
      <c r="AP4745" s="28"/>
      <c r="AQ4745" s="28" t="n">
        <f aca="false">AP4745*$M4745</f>
        <v>0</v>
      </c>
      <c r="AR4745" s="28"/>
      <c r="AS4745" s="28" t="n">
        <f aca="false">AR4745*$M4745</f>
        <v>0</v>
      </c>
      <c r="AT4745" s="28"/>
      <c r="AU4745" s="28" t="n">
        <f aca="false">AT4745*$M4745</f>
        <v>0</v>
      </c>
      <c r="AV4745" s="28"/>
      <c r="AW4745" s="28" t="n">
        <f aca="false">AV4745*$M4745</f>
        <v>0</v>
      </c>
      <c r="AX4745" s="28"/>
      <c r="AY4745" s="28" t="n">
        <f aca="false">AX4745*$M4745</f>
        <v>0</v>
      </c>
      <c r="AZ4745" s="30" t="n">
        <f aca="false">19589/100</f>
        <v>195.89</v>
      </c>
      <c r="BA4745" s="11" t="n">
        <v>14691</v>
      </c>
      <c r="BB4745" s="31" t="n">
        <f aca="false">SUM(Q4745,S4745,U4745,W4745,Y4745,AA4745,AC4745,AE4745,AG4745,AI4745,AK4745,AM4745,AO4745,AQ4745,AS4745,AU4745,AW4745,AY4745)</f>
        <v>14691</v>
      </c>
      <c r="BC4745" s="28" t="n">
        <f aca="false">BA4745-BB4745</f>
        <v>0</v>
      </c>
      <c r="BD4745" s="32" t="n">
        <f aca="false">SUM(P4745,R4745,T4745,V4745,X4745,Z4745,AB4745,AD4745,AF4745,AH4745,AJ4745,AL4745,AN4745,AP4745,AR4745,AT4745,AV4745,AX4745)</f>
        <v>195.89</v>
      </c>
      <c r="BE4745" s="33" t="n">
        <f aca="false">AZ4745-BD4745</f>
        <v>0</v>
      </c>
      <c r="BF4745" s="34" t="n">
        <f aca="false">BD4745*M4745</f>
        <v>14691.75</v>
      </c>
      <c r="BG4745" s="35" t="n">
        <f aca="false">BA4745-BF4745</f>
        <v>-0.749999999998181</v>
      </c>
      <c r="BH4745" s="19" t="str">
        <f aca="false">IF(BG4745=0,"",IF(BG4745&lt;&gt;BA4745,"erreur de calcul",IF(BD4745&lt;&gt;0,"pas de prix",IF(M4745&lt;&gt; 0,"pas de quantité","pas de prix, ni de quantité"))))</f>
        <v>erreur de calcul</v>
      </c>
      <c r="BI4745" s="19"/>
    </row>
    <row r="4746" customFormat="false" ht="15" hidden="false" customHeight="false" outlineLevel="0" collapsed="false">
      <c r="A4746" s="0" t="n">
        <v>17</v>
      </c>
      <c r="B4746" s="8" t="s">
        <v>24</v>
      </c>
      <c r="C4746" s="9" t="s">
        <v>25</v>
      </c>
      <c r="D4746" s="9" t="s">
        <v>26</v>
      </c>
      <c r="E4746" s="10" t="n">
        <v>1789</v>
      </c>
      <c r="F4746" s="9" t="s">
        <v>27</v>
      </c>
      <c r="G4746" s="9" t="s">
        <v>27</v>
      </c>
      <c r="H4746" s="11" t="n">
        <v>23</v>
      </c>
      <c r="I4746" s="11" t="s">
        <v>259</v>
      </c>
      <c r="J4746" s="14"/>
      <c r="K4746" s="14"/>
      <c r="L4746" s="16"/>
      <c r="M4746" s="27" t="n">
        <f aca="false">J4746+(K4746/20)+(L4746/240)</f>
        <v>0</v>
      </c>
      <c r="N4746" s="17"/>
      <c r="O4746" s="11"/>
      <c r="P4746" s="28"/>
      <c r="Q4746" s="28" t="n">
        <v>957</v>
      </c>
      <c r="R4746" s="28"/>
      <c r="S4746" s="28" t="n">
        <f aca="false">R4746*$M4746</f>
        <v>0</v>
      </c>
      <c r="T4746" s="28"/>
      <c r="U4746" s="28" t="n">
        <v>354</v>
      </c>
      <c r="V4746" s="28"/>
      <c r="W4746" s="28" t="n">
        <v>398</v>
      </c>
      <c r="X4746" s="28"/>
      <c r="Y4746" s="28" t="n">
        <v>685</v>
      </c>
      <c r="Z4746" s="28"/>
      <c r="AA4746" s="28" t="n">
        <v>120</v>
      </c>
      <c r="AB4746" s="28"/>
      <c r="AC4746" s="28" t="n">
        <v>2994</v>
      </c>
      <c r="AD4746" s="28"/>
      <c r="AE4746" s="28" t="n">
        <f aca="false">AD4746*$M4746</f>
        <v>0</v>
      </c>
      <c r="AF4746" s="28"/>
      <c r="AG4746" s="28" t="n">
        <f aca="false">AF4746*$M4746</f>
        <v>0</v>
      </c>
      <c r="AH4746" s="28"/>
      <c r="AI4746" s="28" t="n">
        <v>144</v>
      </c>
      <c r="AJ4746" s="28"/>
      <c r="AK4746" s="28" t="n">
        <f aca="false">AJ4746*$M4746</f>
        <v>0</v>
      </c>
      <c r="AL4746" s="28"/>
      <c r="AM4746" s="28" t="n">
        <f aca="false">AL4746*$M4746</f>
        <v>0</v>
      </c>
      <c r="AN4746" s="28"/>
      <c r="AO4746" s="28" t="n">
        <f aca="false">AN4746*$M4746</f>
        <v>0</v>
      </c>
      <c r="AP4746" s="28"/>
      <c r="AQ4746" s="28" t="n">
        <f aca="false">AP4746*$M4746</f>
        <v>0</v>
      </c>
      <c r="AR4746" s="28"/>
      <c r="AS4746" s="28" t="n">
        <f aca="false">AR4746*$M4746</f>
        <v>0</v>
      </c>
      <c r="AT4746" s="28"/>
      <c r="AU4746" s="28" t="n">
        <f aca="false">AT4746*$M4746</f>
        <v>0</v>
      </c>
      <c r="AV4746" s="28"/>
      <c r="AW4746" s="28" t="n">
        <f aca="false">AV4746*$M4746</f>
        <v>0</v>
      </c>
      <c r="AX4746" s="28"/>
      <c r="AY4746" s="28" t="n">
        <f aca="false">AX4746*$M4746</f>
        <v>0</v>
      </c>
      <c r="AZ4746" s="30"/>
      <c r="BA4746" s="11" t="n">
        <v>5652</v>
      </c>
      <c r="BB4746" s="31" t="n">
        <f aca="false">SUM(Q4746,S4746,U4746,W4746,Y4746,AA4746,AC4746,AE4746,AG4746,AI4746,AK4746,AM4746,AO4746,AQ4746,AS4746,AU4746,AW4746,AY4746)</f>
        <v>5652</v>
      </c>
      <c r="BC4746" s="28" t="n">
        <f aca="false">BA4746-BB4746</f>
        <v>0</v>
      </c>
      <c r="BD4746" s="32" t="n">
        <f aca="false">SUM(P4746,R4746,T4746,V4746,X4746,Z4746,AB4746,AD4746,AF4746,AH4746,AJ4746,AL4746,AN4746,AP4746,AR4746,AT4746,AV4746,AX4746)</f>
        <v>0</v>
      </c>
      <c r="BE4746" s="33" t="n">
        <f aca="false">AZ4746-BD4746</f>
        <v>0</v>
      </c>
      <c r="BF4746" s="34" t="n">
        <f aca="false">BD4746*M4746</f>
        <v>0</v>
      </c>
      <c r="BG4746" s="35" t="n">
        <f aca="false">BA4746-BF4746</f>
        <v>5652</v>
      </c>
      <c r="BH4746" s="19" t="str">
        <f aca="false">IF(BG4746=0,"",IF(BG4746&lt;&gt;BA4746,"erreur de calcul",IF(BD4746&lt;&gt;0,"pas de prix",IF(M4746&lt;&gt; 0,"pas de quantité","pas de prix, ni de quantité"))))</f>
        <v>pas de prix, ni de quantité</v>
      </c>
      <c r="BI4746" s="19"/>
    </row>
    <row r="4747" customFormat="false" ht="15" hidden="false" customHeight="false" outlineLevel="0" collapsed="false">
      <c r="A4747" s="0" t="n">
        <v>18</v>
      </c>
      <c r="B4747" s="8" t="s">
        <v>24</v>
      </c>
      <c r="C4747" s="9" t="s">
        <v>25</v>
      </c>
      <c r="D4747" s="9" t="s">
        <v>26</v>
      </c>
      <c r="E4747" s="10" t="n">
        <v>1789</v>
      </c>
      <c r="F4747" s="9" t="s">
        <v>27</v>
      </c>
      <c r="G4747" s="9" t="s">
        <v>27</v>
      </c>
      <c r="H4747" s="11" t="n">
        <v>23</v>
      </c>
      <c r="I4747" s="11" t="s">
        <v>260</v>
      </c>
      <c r="J4747" s="14" t="n">
        <v>88</v>
      </c>
      <c r="K4747" s="14"/>
      <c r="L4747" s="16"/>
      <c r="M4747" s="27" t="n">
        <f aca="false">J4747+(K4747/20)+(L4747/240)</f>
        <v>88</v>
      </c>
      <c r="N4747" s="17" t="s">
        <v>64</v>
      </c>
      <c r="O4747" s="11"/>
      <c r="P4747" s="28"/>
      <c r="Q4747" s="28" t="n">
        <f aca="false">P4747*$M4747</f>
        <v>0</v>
      </c>
      <c r="R4747" s="28"/>
      <c r="S4747" s="28" t="n">
        <f aca="false">R4747*$M4747</f>
        <v>0</v>
      </c>
      <c r="T4747" s="28"/>
      <c r="U4747" s="28" t="n">
        <f aca="false">T4747*$M4747</f>
        <v>0</v>
      </c>
      <c r="V4747" s="28" t="n">
        <f aca="false">21004/100</f>
        <v>210.04</v>
      </c>
      <c r="W4747" s="28" t="n">
        <v>18483</v>
      </c>
      <c r="X4747" s="28"/>
      <c r="Y4747" s="28" t="n">
        <f aca="false">X4747*$M4747</f>
        <v>0</v>
      </c>
      <c r="Z4747" s="28"/>
      <c r="AA4747" s="28" t="n">
        <f aca="false">Z4747*$M4747</f>
        <v>0</v>
      </c>
      <c r="AB4747" s="28"/>
      <c r="AC4747" s="28" t="n">
        <f aca="false">AB4747*$M4747</f>
        <v>0</v>
      </c>
      <c r="AD4747" s="28"/>
      <c r="AE4747" s="28" t="n">
        <f aca="false">AD4747*$M4747</f>
        <v>0</v>
      </c>
      <c r="AF4747" s="28"/>
      <c r="AG4747" s="28" t="n">
        <f aca="false">AF4747*$M4747</f>
        <v>0</v>
      </c>
      <c r="AH4747" s="28"/>
      <c r="AI4747" s="28" t="n">
        <f aca="false">AH4747*$M4747</f>
        <v>0</v>
      </c>
      <c r="AJ4747" s="28"/>
      <c r="AK4747" s="28" t="n">
        <f aca="false">AJ4747*$M4747</f>
        <v>0</v>
      </c>
      <c r="AL4747" s="28"/>
      <c r="AM4747" s="28" t="n">
        <f aca="false">AL4747*$M4747</f>
        <v>0</v>
      </c>
      <c r="AN4747" s="28"/>
      <c r="AO4747" s="28" t="n">
        <f aca="false">AN4747*$M4747</f>
        <v>0</v>
      </c>
      <c r="AP4747" s="28"/>
      <c r="AQ4747" s="28" t="n">
        <f aca="false">AP4747*$M4747</f>
        <v>0</v>
      </c>
      <c r="AR4747" s="28"/>
      <c r="AS4747" s="28" t="n">
        <f aca="false">AR4747*$M4747</f>
        <v>0</v>
      </c>
      <c r="AT4747" s="28"/>
      <c r="AU4747" s="28" t="n">
        <f aca="false">AT4747*$M4747</f>
        <v>0</v>
      </c>
      <c r="AV4747" s="28"/>
      <c r="AW4747" s="28" t="n">
        <f aca="false">AV4747*$M4747</f>
        <v>0</v>
      </c>
      <c r="AX4747" s="28"/>
      <c r="AY4747" s="28" t="n">
        <f aca="false">AX4747*$M4747</f>
        <v>0</v>
      </c>
      <c r="AZ4747" s="30" t="n">
        <f aca="false">21004/100</f>
        <v>210.04</v>
      </c>
      <c r="BA4747" s="11" t="n">
        <v>18483</v>
      </c>
      <c r="BB4747" s="31" t="n">
        <f aca="false">SUM(Q4747,S4747,U4747,W4747,Y4747,AA4747,AC4747,AE4747,AG4747,AI4747,AK4747,AM4747,AO4747,AQ4747,AS4747,AU4747,AW4747,AY4747)</f>
        <v>18483</v>
      </c>
      <c r="BC4747" s="28" t="n">
        <f aca="false">BA4747-BB4747</f>
        <v>0</v>
      </c>
      <c r="BD4747" s="32" t="n">
        <f aca="false">SUM(P4747,R4747,T4747,V4747,X4747,Z4747,AB4747,AD4747,AF4747,AH4747,AJ4747,AL4747,AN4747,AP4747,AR4747,AT4747,AV4747,AX4747)</f>
        <v>210.04</v>
      </c>
      <c r="BE4747" s="33" t="n">
        <f aca="false">AZ4747-BD4747</f>
        <v>0</v>
      </c>
      <c r="BF4747" s="34" t="n">
        <f aca="false">BD4747*M4747</f>
        <v>18483.52</v>
      </c>
      <c r="BG4747" s="35" t="n">
        <f aca="false">BA4747-BF4747</f>
        <v>-0.520000000000437</v>
      </c>
      <c r="BH4747" s="19" t="str">
        <f aca="false">IF(BG4747=0,"",IF(BG4747&lt;&gt;BA4747,"erreur de calcul",IF(BD4747&lt;&gt;0,"pas de prix",IF(M4747&lt;&gt; 0,"pas de quantité","pas de prix, ni de quantité"))))</f>
        <v>erreur de calcul</v>
      </c>
      <c r="BI4747" s="19"/>
    </row>
    <row r="4748" customFormat="false" ht="15" hidden="false" customHeight="false" outlineLevel="0" collapsed="false">
      <c r="A4748" s="0" t="n">
        <v>19</v>
      </c>
      <c r="B4748" s="8" t="s">
        <v>24</v>
      </c>
      <c r="C4748" s="9" t="s">
        <v>25</v>
      </c>
      <c r="D4748" s="9" t="s">
        <v>26</v>
      </c>
      <c r="E4748" s="10" t="n">
        <v>1789</v>
      </c>
      <c r="F4748" s="9" t="s">
        <v>27</v>
      </c>
      <c r="G4748" s="9" t="s">
        <v>27</v>
      </c>
      <c r="H4748" s="11" t="n">
        <v>23</v>
      </c>
      <c r="I4748" s="11" t="s">
        <v>261</v>
      </c>
      <c r="J4748" s="14" t="n">
        <v>35</v>
      </c>
      <c r="K4748" s="14"/>
      <c r="L4748" s="16"/>
      <c r="M4748" s="27" t="n">
        <f aca="false">J4748+(K4748/20)+(L4748/240)</f>
        <v>35</v>
      </c>
      <c r="N4748" s="17" t="s">
        <v>64</v>
      </c>
      <c r="O4748" s="11"/>
      <c r="P4748" s="28" t="n">
        <f aca="false">2877/100</f>
        <v>28.77</v>
      </c>
      <c r="Q4748" s="28" t="n">
        <v>1007</v>
      </c>
      <c r="R4748" s="28"/>
      <c r="S4748" s="28" t="n">
        <f aca="false">R4748*$M4748</f>
        <v>0</v>
      </c>
      <c r="T4748" s="28"/>
      <c r="U4748" s="28" t="n">
        <f aca="false">T4748*$M4748</f>
        <v>0</v>
      </c>
      <c r="V4748" s="28"/>
      <c r="W4748" s="28" t="n">
        <f aca="false">V4748*$M4748</f>
        <v>0</v>
      </c>
      <c r="X4748" s="28"/>
      <c r="Y4748" s="28" t="n">
        <f aca="false">X4748*$M4748</f>
        <v>0</v>
      </c>
      <c r="Z4748" s="28"/>
      <c r="AA4748" s="28" t="n">
        <f aca="false">Z4748*$M4748</f>
        <v>0</v>
      </c>
      <c r="AB4748" s="28"/>
      <c r="AC4748" s="28" t="n">
        <f aca="false">AB4748*$M4748</f>
        <v>0</v>
      </c>
      <c r="AD4748" s="28"/>
      <c r="AE4748" s="28" t="n">
        <f aca="false">AD4748*$M4748</f>
        <v>0</v>
      </c>
      <c r="AF4748" s="28"/>
      <c r="AG4748" s="28" t="n">
        <f aca="false">AF4748*$M4748</f>
        <v>0</v>
      </c>
      <c r="AH4748" s="28"/>
      <c r="AI4748" s="28" t="n">
        <f aca="false">AH4748*$M4748</f>
        <v>0</v>
      </c>
      <c r="AJ4748" s="28"/>
      <c r="AK4748" s="28" t="n">
        <f aca="false">AJ4748*$M4748</f>
        <v>0</v>
      </c>
      <c r="AL4748" s="28"/>
      <c r="AM4748" s="28" t="n">
        <f aca="false">AL4748*$M4748</f>
        <v>0</v>
      </c>
      <c r="AN4748" s="28"/>
      <c r="AO4748" s="28" t="n">
        <f aca="false">AN4748*$M4748</f>
        <v>0</v>
      </c>
      <c r="AP4748" s="28"/>
      <c r="AQ4748" s="28" t="n">
        <f aca="false">AP4748*$M4748</f>
        <v>0</v>
      </c>
      <c r="AR4748" s="28"/>
      <c r="AS4748" s="28" t="n">
        <f aca="false">AR4748*$M4748</f>
        <v>0</v>
      </c>
      <c r="AT4748" s="28"/>
      <c r="AU4748" s="28" t="n">
        <f aca="false">AT4748*$M4748</f>
        <v>0</v>
      </c>
      <c r="AV4748" s="28"/>
      <c r="AW4748" s="28" t="n">
        <f aca="false">AV4748*$M4748</f>
        <v>0</v>
      </c>
      <c r="AX4748" s="28"/>
      <c r="AY4748" s="28" t="n">
        <f aca="false">AX4748*$M4748</f>
        <v>0</v>
      </c>
      <c r="AZ4748" s="30" t="n">
        <f aca="false">2877/100</f>
        <v>28.77</v>
      </c>
      <c r="BA4748" s="11" t="n">
        <v>1007</v>
      </c>
      <c r="BB4748" s="31" t="n">
        <f aca="false">SUM(Q4748,S4748,U4748,W4748,Y4748,AA4748,AC4748,AE4748,AG4748,AI4748,AK4748,AM4748,AO4748,AQ4748,AS4748,AU4748,AW4748,AY4748)</f>
        <v>1007</v>
      </c>
      <c r="BC4748" s="28" t="n">
        <f aca="false">BA4748-BB4748</f>
        <v>0</v>
      </c>
      <c r="BD4748" s="32" t="n">
        <f aca="false">SUM(P4748,R4748,T4748,V4748,X4748,Z4748,AB4748,AD4748,AF4748,AH4748,AJ4748,AL4748,AN4748,AP4748,AR4748,AT4748,AV4748,AX4748)</f>
        <v>28.77</v>
      </c>
      <c r="BE4748" s="33" t="n">
        <f aca="false">AZ4748-BD4748</f>
        <v>0</v>
      </c>
      <c r="BF4748" s="34" t="n">
        <f aca="false">BD4748*M4748</f>
        <v>1006.95</v>
      </c>
      <c r="BG4748" s="35" t="n">
        <f aca="false">BA4748-BF4748</f>
        <v>0.0500000000000682</v>
      </c>
      <c r="BH4748" s="19" t="str">
        <f aca="false">IF(BG4748=0,"",IF(BG4748&lt;&gt;BA4748,"erreur de calcul",IF(BD4748&lt;&gt;0,"pas de prix",IF(M4748&lt;&gt; 0,"pas de quantité","pas de prix, ni de quantité"))))</f>
        <v>erreur de calcul</v>
      </c>
      <c r="BI4748" s="19"/>
    </row>
    <row r="4749" customFormat="false" ht="15" hidden="false" customHeight="false" outlineLevel="0" collapsed="false">
      <c r="A4749" s="0" t="n">
        <v>20</v>
      </c>
      <c r="B4749" s="8" t="s">
        <v>24</v>
      </c>
      <c r="C4749" s="9" t="s">
        <v>25</v>
      </c>
      <c r="D4749" s="9" t="s">
        <v>26</v>
      </c>
      <c r="E4749" s="10" t="n">
        <v>1789</v>
      </c>
      <c r="F4749" s="9" t="s">
        <v>27</v>
      </c>
      <c r="G4749" s="9" t="s">
        <v>27</v>
      </c>
      <c r="H4749" s="11" t="n">
        <v>23</v>
      </c>
      <c r="I4749" s="11" t="s">
        <v>262</v>
      </c>
      <c r="J4749" s="14" t="n">
        <v>40</v>
      </c>
      <c r="K4749" s="14"/>
      <c r="L4749" s="16"/>
      <c r="M4749" s="27" t="n">
        <f aca="false">J4749+(K4749/20)+(L4749/240)</f>
        <v>40</v>
      </c>
      <c r="N4749" s="17" t="s">
        <v>64</v>
      </c>
      <c r="O4749" s="11"/>
      <c r="P4749" s="28"/>
      <c r="Q4749" s="28" t="n">
        <f aca="false">P4749*$M4749</f>
        <v>0</v>
      </c>
      <c r="R4749" s="28"/>
      <c r="S4749" s="28" t="n">
        <f aca="false">R4749*$M4749</f>
        <v>0</v>
      </c>
      <c r="T4749" s="28"/>
      <c r="U4749" s="28" t="n">
        <f aca="false">T4749*$M4749</f>
        <v>0</v>
      </c>
      <c r="V4749" s="28"/>
      <c r="W4749" s="28" t="n">
        <f aca="false">V4749*$M4749</f>
        <v>0</v>
      </c>
      <c r="X4749" s="28"/>
      <c r="Y4749" s="28" t="n">
        <f aca="false">X4749*$M4749</f>
        <v>0</v>
      </c>
      <c r="Z4749" s="28"/>
      <c r="AA4749" s="28" t="n">
        <f aca="false">Z4749*$M4749</f>
        <v>0</v>
      </c>
      <c r="AB4749" s="28"/>
      <c r="AC4749" s="28" t="n">
        <f aca="false">AB4749*$M4749</f>
        <v>0</v>
      </c>
      <c r="AD4749" s="28"/>
      <c r="AE4749" s="28" t="n">
        <f aca="false">AD4749*$M4749</f>
        <v>0</v>
      </c>
      <c r="AF4749" s="28" t="n">
        <f aca="false">108620/100</f>
        <v>1086.2</v>
      </c>
      <c r="AG4749" s="28" t="n">
        <v>43448</v>
      </c>
      <c r="AH4749" s="28"/>
      <c r="AI4749" s="28" t="n">
        <f aca="false">AH4749*$M4749</f>
        <v>0</v>
      </c>
      <c r="AJ4749" s="28"/>
      <c r="AK4749" s="28" t="n">
        <f aca="false">AJ4749*$M4749</f>
        <v>0</v>
      </c>
      <c r="AL4749" s="28"/>
      <c r="AM4749" s="28" t="n">
        <f aca="false">AL4749*$M4749</f>
        <v>0</v>
      </c>
      <c r="AN4749" s="28"/>
      <c r="AO4749" s="28" t="n">
        <f aca="false">AN4749*$M4749</f>
        <v>0</v>
      </c>
      <c r="AP4749" s="28"/>
      <c r="AQ4749" s="28" t="n">
        <f aca="false">AP4749*$M4749</f>
        <v>0</v>
      </c>
      <c r="AR4749" s="28"/>
      <c r="AS4749" s="28" t="n">
        <f aca="false">AR4749*$M4749</f>
        <v>0</v>
      </c>
      <c r="AT4749" s="28"/>
      <c r="AU4749" s="28" t="n">
        <f aca="false">AT4749*$M4749</f>
        <v>0</v>
      </c>
      <c r="AV4749" s="28"/>
      <c r="AW4749" s="28" t="n">
        <f aca="false">AV4749*$M4749</f>
        <v>0</v>
      </c>
      <c r="AX4749" s="28"/>
      <c r="AY4749" s="28" t="n">
        <f aca="false">AX4749*$M4749</f>
        <v>0</v>
      </c>
      <c r="AZ4749" s="30" t="n">
        <f aca="false">108620/100</f>
        <v>1086.2</v>
      </c>
      <c r="BA4749" s="11" t="n">
        <v>43448</v>
      </c>
      <c r="BB4749" s="31" t="n">
        <f aca="false">SUM(Q4749,S4749,U4749,W4749,Y4749,AA4749,AC4749,AE4749,AG4749,AI4749,AK4749,AM4749,AO4749,AQ4749,AS4749,AU4749,AW4749,AY4749)</f>
        <v>43448</v>
      </c>
      <c r="BC4749" s="28" t="n">
        <f aca="false">BA4749-BB4749</f>
        <v>0</v>
      </c>
      <c r="BD4749" s="32" t="n">
        <f aca="false">SUM(P4749,R4749,T4749,V4749,X4749,Z4749,AB4749,AD4749,AF4749,AH4749,AJ4749,AL4749,AN4749,AP4749,AR4749,AT4749,AV4749,AX4749)</f>
        <v>1086.2</v>
      </c>
      <c r="BE4749" s="33" t="n">
        <f aca="false">AZ4749-BD4749</f>
        <v>0</v>
      </c>
      <c r="BF4749" s="34" t="n">
        <f aca="false">BD4749*M4749</f>
        <v>43448</v>
      </c>
      <c r="BG4749" s="35" t="n">
        <f aca="false">BA4749-BF4749</f>
        <v>0</v>
      </c>
      <c r="BH4749" s="19" t="str">
        <f aca="false">IF(BG4749=0,"",IF(BG4749&lt;&gt;BA4749,"erreur de calcul",IF(BD4749&lt;&gt;0,"pas de prix",IF(M4749&lt;&gt; 0,"pas de quantité","pas de prix, ni de quantité"))))</f>
        <v/>
      </c>
      <c r="BI4749" s="19"/>
    </row>
    <row r="4750" customFormat="false" ht="15" hidden="false" customHeight="false" outlineLevel="0" collapsed="false">
      <c r="A4750" s="0" t="n">
        <v>21</v>
      </c>
      <c r="B4750" s="8" t="s">
        <v>24</v>
      </c>
      <c r="C4750" s="9" t="s">
        <v>25</v>
      </c>
      <c r="D4750" s="9" t="s">
        <v>26</v>
      </c>
      <c r="E4750" s="10" t="n">
        <v>1789</v>
      </c>
      <c r="F4750" s="9" t="s">
        <v>27</v>
      </c>
      <c r="G4750" s="9" t="s">
        <v>27</v>
      </c>
      <c r="H4750" s="11" t="n">
        <v>23</v>
      </c>
      <c r="I4750" s="11" t="s">
        <v>263</v>
      </c>
      <c r="J4750" s="14" t="n">
        <v>12</v>
      </c>
      <c r="K4750" s="14"/>
      <c r="L4750" s="16"/>
      <c r="M4750" s="27" t="n">
        <f aca="false">J4750+(K4750/20)+(L4750/240)</f>
        <v>12</v>
      </c>
      <c r="N4750" s="17" t="s">
        <v>64</v>
      </c>
      <c r="O4750" s="11"/>
      <c r="P4750" s="28"/>
      <c r="Q4750" s="28" t="n">
        <f aca="false">P4750*$M4750</f>
        <v>0</v>
      </c>
      <c r="R4750" s="28"/>
      <c r="S4750" s="28" t="n">
        <f aca="false">R4750*$M4750</f>
        <v>0</v>
      </c>
      <c r="T4750" s="28"/>
      <c r="U4750" s="28" t="n">
        <f aca="false">T4750*$M4750</f>
        <v>0</v>
      </c>
      <c r="V4750" s="28"/>
      <c r="W4750" s="28" t="n">
        <f aca="false">V4750*$M4750</f>
        <v>0</v>
      </c>
      <c r="X4750" s="28"/>
      <c r="Y4750" s="28" t="n">
        <f aca="false">X4750*$M4750</f>
        <v>0</v>
      </c>
      <c r="Z4750" s="28"/>
      <c r="AA4750" s="28" t="n">
        <f aca="false">Z4750*$M4750</f>
        <v>0</v>
      </c>
      <c r="AB4750" s="28" t="n">
        <f aca="false">485726/100</f>
        <v>4857.26</v>
      </c>
      <c r="AC4750" s="28" t="n">
        <v>58287</v>
      </c>
      <c r="AD4750" s="28"/>
      <c r="AE4750" s="28" t="n">
        <f aca="false">AD4750*$M4750</f>
        <v>0</v>
      </c>
      <c r="AF4750" s="28"/>
      <c r="AG4750" s="28" t="n">
        <f aca="false">AF4750*$M4750</f>
        <v>0</v>
      </c>
      <c r="AH4750" s="28" t="n">
        <f aca="false">259291/100</f>
        <v>2592.91</v>
      </c>
      <c r="AI4750" s="28" t="n">
        <v>31115</v>
      </c>
      <c r="AJ4750" s="28"/>
      <c r="AK4750" s="28" t="n">
        <f aca="false">AJ4750*$M4750</f>
        <v>0</v>
      </c>
      <c r="AL4750" s="28"/>
      <c r="AM4750" s="28" t="n">
        <f aca="false">AL4750*$M4750</f>
        <v>0</v>
      </c>
      <c r="AN4750" s="28"/>
      <c r="AO4750" s="28" t="n">
        <f aca="false">AN4750*$M4750</f>
        <v>0</v>
      </c>
      <c r="AP4750" s="28"/>
      <c r="AQ4750" s="28" t="n">
        <f aca="false">AP4750*$M4750</f>
        <v>0</v>
      </c>
      <c r="AR4750" s="28"/>
      <c r="AS4750" s="28" t="n">
        <f aca="false">AR4750*$M4750</f>
        <v>0</v>
      </c>
      <c r="AT4750" s="28"/>
      <c r="AU4750" s="28" t="n">
        <f aca="false">AT4750*$M4750</f>
        <v>0</v>
      </c>
      <c r="AV4750" s="28"/>
      <c r="AW4750" s="28" t="n">
        <f aca="false">AV4750*$M4750</f>
        <v>0</v>
      </c>
      <c r="AX4750" s="28"/>
      <c r="AY4750" s="28" t="n">
        <f aca="false">AX4750*$M4750</f>
        <v>0</v>
      </c>
      <c r="AZ4750" s="30" t="n">
        <f aca="false">745017/100</f>
        <v>7450.17</v>
      </c>
      <c r="BA4750" s="11" t="n">
        <v>89402</v>
      </c>
      <c r="BB4750" s="31" t="n">
        <f aca="false">SUM(Q4750,S4750,U4750,W4750,Y4750,AA4750,AC4750,AE4750,AG4750,AI4750,AK4750,AM4750,AO4750,AQ4750,AS4750,AU4750,AW4750,AY4750)</f>
        <v>89402</v>
      </c>
      <c r="BC4750" s="28" t="n">
        <f aca="false">BA4750-BB4750</f>
        <v>0</v>
      </c>
      <c r="BD4750" s="32" t="n">
        <f aca="false">SUM(P4750,R4750,T4750,V4750,X4750,Z4750,AB4750,AD4750,AF4750,AH4750,AJ4750,AL4750,AN4750,AP4750,AR4750,AT4750,AV4750,AX4750)</f>
        <v>7450.17</v>
      </c>
      <c r="BE4750" s="33" t="n">
        <f aca="false">AZ4750-BD4750</f>
        <v>0</v>
      </c>
      <c r="BF4750" s="34" t="n">
        <f aca="false">BD4750*M4750</f>
        <v>89402.04</v>
      </c>
      <c r="BG4750" s="35" t="n">
        <f aca="false">BA4750-BF4750</f>
        <v>-0.0400000000081491</v>
      </c>
      <c r="BH4750" s="19" t="str">
        <f aca="false">IF(BG4750=0,"",IF(BG4750&lt;&gt;BA4750,"erreur de calcul",IF(BD4750&lt;&gt;0,"pas de prix",IF(M4750&lt;&gt; 0,"pas de quantité","pas de prix, ni de quantité"))))</f>
        <v>erreur de calcul</v>
      </c>
      <c r="BI4750" s="19"/>
    </row>
    <row r="4751" customFormat="false" ht="15" hidden="false" customHeight="false" outlineLevel="0" collapsed="false">
      <c r="A4751" s="0" t="n">
        <v>22</v>
      </c>
      <c r="B4751" s="8" t="s">
        <v>24</v>
      </c>
      <c r="C4751" s="9" t="s">
        <v>25</v>
      </c>
      <c r="D4751" s="9" t="s">
        <v>26</v>
      </c>
      <c r="E4751" s="10" t="n">
        <v>1789</v>
      </c>
      <c r="F4751" s="9" t="s">
        <v>27</v>
      </c>
      <c r="G4751" s="9" t="s">
        <v>27</v>
      </c>
      <c r="H4751" s="11" t="n">
        <v>23</v>
      </c>
      <c r="I4751" s="11" t="s">
        <v>264</v>
      </c>
      <c r="J4751" s="14" t="n">
        <v>15</v>
      </c>
      <c r="K4751" s="14"/>
      <c r="L4751" s="16"/>
      <c r="M4751" s="27" t="n">
        <f aca="false">J4751+(K4751/20)+(L4751/240)</f>
        <v>15</v>
      </c>
      <c r="N4751" s="17" t="s">
        <v>64</v>
      </c>
      <c r="O4751" s="11"/>
      <c r="P4751" s="28"/>
      <c r="Q4751" s="28" t="n">
        <f aca="false">P4751*$M4751</f>
        <v>0</v>
      </c>
      <c r="R4751" s="28"/>
      <c r="S4751" s="28" t="n">
        <f aca="false">R4751*$M4751</f>
        <v>0</v>
      </c>
      <c r="T4751" s="28"/>
      <c r="U4751" s="28" t="n">
        <f aca="false">T4751*$M4751</f>
        <v>0</v>
      </c>
      <c r="V4751" s="28"/>
      <c r="W4751" s="28" t="n">
        <f aca="false">V4751*$M4751</f>
        <v>0</v>
      </c>
      <c r="X4751" s="28" t="n">
        <f aca="false">65502/100</f>
        <v>655.02</v>
      </c>
      <c r="Y4751" s="28" t="n">
        <v>9825</v>
      </c>
      <c r="Z4751" s="28"/>
      <c r="AA4751" s="28" t="n">
        <f aca="false">Z4751*$M4751</f>
        <v>0</v>
      </c>
      <c r="AB4751" s="28" t="n">
        <f aca="false">207046/100</f>
        <v>2070.46</v>
      </c>
      <c r="AC4751" s="28" t="n">
        <v>31057</v>
      </c>
      <c r="AD4751" s="28"/>
      <c r="AE4751" s="28" t="n">
        <f aca="false">AD4751*$M4751</f>
        <v>0</v>
      </c>
      <c r="AF4751" s="28"/>
      <c r="AG4751" s="28" t="n">
        <f aca="false">AF4751*$M4751</f>
        <v>0</v>
      </c>
      <c r="AH4751" s="28" t="n">
        <f aca="false">11048/100</f>
        <v>110.48</v>
      </c>
      <c r="AI4751" s="28" t="n">
        <v>1657</v>
      </c>
      <c r="AJ4751" s="28"/>
      <c r="AK4751" s="28" t="n">
        <f aca="false">AJ4751*$M4751</f>
        <v>0</v>
      </c>
      <c r="AL4751" s="28"/>
      <c r="AM4751" s="28" t="n">
        <f aca="false">AL4751*$M4751</f>
        <v>0</v>
      </c>
      <c r="AN4751" s="28"/>
      <c r="AO4751" s="28" t="n">
        <f aca="false">AN4751*$M4751</f>
        <v>0</v>
      </c>
      <c r="AP4751" s="28"/>
      <c r="AQ4751" s="28" t="n">
        <f aca="false">AP4751*$M4751</f>
        <v>0</v>
      </c>
      <c r="AR4751" s="28"/>
      <c r="AS4751" s="28" t="n">
        <f aca="false">AR4751*$M4751</f>
        <v>0</v>
      </c>
      <c r="AT4751" s="28"/>
      <c r="AU4751" s="28" t="n">
        <f aca="false">AT4751*$M4751</f>
        <v>0</v>
      </c>
      <c r="AV4751" s="28"/>
      <c r="AW4751" s="28" t="n">
        <f aca="false">AV4751*$M4751</f>
        <v>0</v>
      </c>
      <c r="AX4751" s="28"/>
      <c r="AY4751" s="28" t="n">
        <f aca="false">AX4751*$M4751</f>
        <v>0</v>
      </c>
      <c r="AZ4751" s="30" t="n">
        <f aca="false">283596/100</f>
        <v>2835.96</v>
      </c>
      <c r="BA4751" s="11" t="n">
        <v>42539</v>
      </c>
      <c r="BB4751" s="31" t="n">
        <f aca="false">SUM(Q4751,S4751,U4751,W4751,Y4751,AA4751,AC4751,AE4751,AG4751,AI4751,AK4751,AM4751,AO4751,AQ4751,AS4751,AU4751,AW4751,AY4751)</f>
        <v>42539</v>
      </c>
      <c r="BC4751" s="28" t="n">
        <f aca="false">BA4751-BB4751</f>
        <v>0</v>
      </c>
      <c r="BD4751" s="32" t="n">
        <f aca="false">SUM(P4751,R4751,T4751,V4751,X4751,Z4751,AB4751,AD4751,AF4751,AH4751,AJ4751,AL4751,AN4751,AP4751,AR4751,AT4751,AV4751,AX4751)</f>
        <v>2835.96</v>
      </c>
      <c r="BE4751" s="33" t="n">
        <f aca="false">AZ4751-BD4751</f>
        <v>0</v>
      </c>
      <c r="BF4751" s="34" t="n">
        <f aca="false">BD4751*M4751</f>
        <v>42539.4</v>
      </c>
      <c r="BG4751" s="35" t="n">
        <f aca="false">BA4751-BF4751</f>
        <v>-0.400000000001455</v>
      </c>
      <c r="BH4751" s="19" t="str">
        <f aca="false">IF(BG4751=0,"",IF(BG4751&lt;&gt;BA4751,"erreur de calcul",IF(BD4751&lt;&gt;0,"pas de prix",IF(M4751&lt;&gt; 0,"pas de quantité","pas de prix, ni de quantité"))))</f>
        <v>erreur de calcul</v>
      </c>
      <c r="BI4751" s="19"/>
    </row>
    <row r="4752" customFormat="false" ht="15" hidden="false" customHeight="false" outlineLevel="0" collapsed="false">
      <c r="A4752" s="0" t="n">
        <v>23</v>
      </c>
      <c r="B4752" s="8" t="s">
        <v>24</v>
      </c>
      <c r="C4752" s="9" t="s">
        <v>25</v>
      </c>
      <c r="D4752" s="9" t="s">
        <v>26</v>
      </c>
      <c r="E4752" s="10" t="n">
        <v>1789</v>
      </c>
      <c r="F4752" s="9" t="s">
        <v>27</v>
      </c>
      <c r="G4752" s="9" t="s">
        <v>27</v>
      </c>
      <c r="H4752" s="11" t="n">
        <v>23</v>
      </c>
      <c r="I4752" s="11" t="s">
        <v>265</v>
      </c>
      <c r="J4752" s="14"/>
      <c r="K4752" s="14" t="n">
        <v>40</v>
      </c>
      <c r="L4752" s="16"/>
      <c r="M4752" s="27" t="n">
        <f aca="false">J4752+(K4752/20)+(L4752/240)</f>
        <v>2</v>
      </c>
      <c r="N4752" s="17" t="s">
        <v>66</v>
      </c>
      <c r="O4752" s="11"/>
      <c r="P4752" s="28"/>
      <c r="Q4752" s="28" t="n">
        <f aca="false">P4752*$M4752</f>
        <v>0</v>
      </c>
      <c r="R4752" s="28"/>
      <c r="S4752" s="28" t="n">
        <f aca="false">R4752*$M4752</f>
        <v>0</v>
      </c>
      <c r="T4752" s="28"/>
      <c r="U4752" s="28" t="n">
        <f aca="false">T4752*$M4752</f>
        <v>0</v>
      </c>
      <c r="V4752" s="28" t="n">
        <v>6275</v>
      </c>
      <c r="W4752" s="28" t="n">
        <v>12550</v>
      </c>
      <c r="X4752" s="28" t="n">
        <v>8662</v>
      </c>
      <c r="Y4752" s="28" t="n">
        <v>17324</v>
      </c>
      <c r="Z4752" s="28"/>
      <c r="AA4752" s="28" t="n">
        <f aca="false">Z4752*$M4752</f>
        <v>0</v>
      </c>
      <c r="AB4752" s="28" t="n">
        <v>2196</v>
      </c>
      <c r="AC4752" s="28" t="n">
        <v>4392</v>
      </c>
      <c r="AD4752" s="28"/>
      <c r="AE4752" s="28" t="n">
        <f aca="false">AD4752*$M4752</f>
        <v>0</v>
      </c>
      <c r="AF4752" s="28"/>
      <c r="AG4752" s="28" t="n">
        <f aca="false">AF4752*$M4752</f>
        <v>0</v>
      </c>
      <c r="AH4752" s="28"/>
      <c r="AI4752" s="28" t="n">
        <f aca="false">AH4752*$M4752</f>
        <v>0</v>
      </c>
      <c r="AJ4752" s="28"/>
      <c r="AK4752" s="28" t="n">
        <f aca="false">AJ4752*$M4752</f>
        <v>0</v>
      </c>
      <c r="AL4752" s="28"/>
      <c r="AM4752" s="28" t="n">
        <f aca="false">AL4752*$M4752</f>
        <v>0</v>
      </c>
      <c r="AN4752" s="28"/>
      <c r="AO4752" s="28" t="n">
        <f aca="false">AN4752*$M4752</f>
        <v>0</v>
      </c>
      <c r="AP4752" s="28"/>
      <c r="AQ4752" s="28" t="n">
        <f aca="false">AP4752*$M4752</f>
        <v>0</v>
      </c>
      <c r="AR4752" s="28"/>
      <c r="AS4752" s="28" t="n">
        <f aca="false">AR4752*$M4752</f>
        <v>0</v>
      </c>
      <c r="AT4752" s="28"/>
      <c r="AU4752" s="28" t="n">
        <f aca="false">AT4752*$M4752</f>
        <v>0</v>
      </c>
      <c r="AV4752" s="28"/>
      <c r="AW4752" s="28" t="n">
        <f aca="false">AV4752*$M4752</f>
        <v>0</v>
      </c>
      <c r="AX4752" s="28"/>
      <c r="AY4752" s="28" t="n">
        <f aca="false">AX4752*$M4752</f>
        <v>0</v>
      </c>
      <c r="AZ4752" s="30" t="n">
        <v>17133</v>
      </c>
      <c r="BA4752" s="11" t="n">
        <v>34266</v>
      </c>
      <c r="BB4752" s="31" t="n">
        <f aca="false">SUM(Q4752,S4752,U4752,W4752,Y4752,AA4752,AC4752,AE4752,AG4752,AI4752,AK4752,AM4752,AO4752,AQ4752,AS4752,AU4752,AW4752,AY4752)</f>
        <v>34266</v>
      </c>
      <c r="BC4752" s="28" t="n">
        <f aca="false">BA4752-BB4752</f>
        <v>0</v>
      </c>
      <c r="BD4752" s="32" t="n">
        <f aca="false">SUM(P4752,R4752,T4752,V4752,X4752,Z4752,AB4752,AD4752,AF4752,AH4752,AJ4752,AL4752,AN4752,AP4752,AR4752,AT4752,AV4752,AX4752)</f>
        <v>17133</v>
      </c>
      <c r="BE4752" s="33" t="n">
        <f aca="false">AZ4752-BD4752</f>
        <v>0</v>
      </c>
      <c r="BF4752" s="34" t="n">
        <f aca="false">BD4752*M4752</f>
        <v>34266</v>
      </c>
      <c r="BG4752" s="35" t="n">
        <f aca="false">BA4752-BF4752</f>
        <v>0</v>
      </c>
      <c r="BH4752" s="19" t="str">
        <f aca="false">IF(BG4752=0,"",IF(BG4752&lt;&gt;BA4752,"erreur de calcul",IF(BD4752&lt;&gt;0,"pas de prix",IF(M4752&lt;&gt; 0,"pas de quantité","pas de prix, ni de quantité"))))</f>
        <v/>
      </c>
      <c r="BI4752" s="19"/>
    </row>
    <row r="4753" customFormat="false" ht="15" hidden="false" customHeight="false" outlineLevel="0" collapsed="false">
      <c r="A4753" s="0" t="n">
        <v>24</v>
      </c>
      <c r="B4753" s="8" t="s">
        <v>24</v>
      </c>
      <c r="C4753" s="9" t="s">
        <v>25</v>
      </c>
      <c r="D4753" s="9" t="s">
        <v>26</v>
      </c>
      <c r="E4753" s="10" t="n">
        <v>1789</v>
      </c>
      <c r="F4753" s="9" t="s">
        <v>27</v>
      </c>
      <c r="G4753" s="9" t="s">
        <v>27</v>
      </c>
      <c r="H4753" s="11" t="n">
        <v>23</v>
      </c>
      <c r="I4753" s="11" t="s">
        <v>266</v>
      </c>
      <c r="J4753" s="14" t="n">
        <v>17</v>
      </c>
      <c r="K4753" s="14" t="n">
        <v>10</v>
      </c>
      <c r="L4753" s="16"/>
      <c r="M4753" s="27" t="n">
        <f aca="false">J4753+(K4753/20)+(L4753/240)</f>
        <v>17.5</v>
      </c>
      <c r="N4753" s="17" t="s">
        <v>64</v>
      </c>
      <c r="O4753" s="11"/>
      <c r="P4753" s="28" t="n">
        <f aca="false">147621/100</f>
        <v>1476.21</v>
      </c>
      <c r="Q4753" s="28" t="n">
        <v>25834</v>
      </c>
      <c r="R4753" s="28"/>
      <c r="S4753" s="28" t="n">
        <f aca="false">R4753*$M4753</f>
        <v>0</v>
      </c>
      <c r="T4753" s="28"/>
      <c r="U4753" s="28" t="n">
        <f aca="false">T4753*$M4753</f>
        <v>0</v>
      </c>
      <c r="V4753" s="28"/>
      <c r="W4753" s="28" t="n">
        <f aca="false">V4753*$M4753</f>
        <v>0</v>
      </c>
      <c r="X4753" s="28" t="n">
        <f aca="false">7220/100</f>
        <v>72.2</v>
      </c>
      <c r="Y4753" s="28" t="n">
        <v>1263</v>
      </c>
      <c r="Z4753" s="28"/>
      <c r="AA4753" s="28" t="n">
        <f aca="false">Z4753*$M4753</f>
        <v>0</v>
      </c>
      <c r="AB4753" s="28" t="n">
        <f aca="false">524444/100</f>
        <v>5244.44</v>
      </c>
      <c r="AC4753" s="36" t="n">
        <v>91767</v>
      </c>
      <c r="AD4753" s="28"/>
      <c r="AE4753" s="28" t="n">
        <f aca="false">AD4753*$M4753</f>
        <v>0</v>
      </c>
      <c r="AF4753" s="28"/>
      <c r="AG4753" s="28" t="n">
        <f aca="false">AF4753*$M4753</f>
        <v>0</v>
      </c>
      <c r="AH4753" s="28" t="n">
        <f aca="false">124394/100</f>
        <v>1243.94</v>
      </c>
      <c r="AI4753" s="28" t="n">
        <v>21769</v>
      </c>
      <c r="AJ4753" s="28"/>
      <c r="AK4753" s="28" t="n">
        <f aca="false">AJ4753*$M4753</f>
        <v>0</v>
      </c>
      <c r="AL4753" s="28"/>
      <c r="AM4753" s="28" t="n">
        <f aca="false">AL4753*$M4753</f>
        <v>0</v>
      </c>
      <c r="AN4753" s="28"/>
      <c r="AO4753" s="28" t="n">
        <f aca="false">AN4753*$M4753</f>
        <v>0</v>
      </c>
      <c r="AP4753" s="28"/>
      <c r="AQ4753" s="28" t="n">
        <f aca="false">AP4753*$M4753</f>
        <v>0</v>
      </c>
      <c r="AR4753" s="28"/>
      <c r="AS4753" s="28" t="n">
        <f aca="false">AR4753*$M4753</f>
        <v>0</v>
      </c>
      <c r="AT4753" s="28"/>
      <c r="AU4753" s="28" t="n">
        <f aca="false">AT4753*$M4753</f>
        <v>0</v>
      </c>
      <c r="AV4753" s="28"/>
      <c r="AW4753" s="28" t="n">
        <f aca="false">AV4753*$M4753</f>
        <v>0</v>
      </c>
      <c r="AX4753" s="28"/>
      <c r="AY4753" s="28" t="n">
        <f aca="false">AX4753*$M4753</f>
        <v>0</v>
      </c>
      <c r="AZ4753" s="30" t="n">
        <f aca="false">803679/100</f>
        <v>8036.79</v>
      </c>
      <c r="BA4753" s="11" t="n">
        <v>140633</v>
      </c>
      <c r="BB4753" s="31" t="n">
        <f aca="false">SUM(Q4753,S4753,U4753,W4753,Y4753,AA4753,AC4753,AE4753,AG4753,AI4753,AK4753,AM4753,AO4753,AQ4753,AS4753,AU4753,AW4753,AY4753)</f>
        <v>140633</v>
      </c>
      <c r="BC4753" s="28" t="n">
        <f aca="false">BA4753-BB4753</f>
        <v>0</v>
      </c>
      <c r="BD4753" s="32" t="n">
        <f aca="false">SUM(P4753,R4753,T4753,V4753,X4753,Z4753,AB4753,AD4753,AF4753,AH4753,AJ4753,AL4753,AN4753,AP4753,AR4753,AT4753,AV4753,AX4753)</f>
        <v>8036.79</v>
      </c>
      <c r="BE4753" s="33" t="n">
        <f aca="false">AZ4753-BD4753</f>
        <v>0</v>
      </c>
      <c r="BF4753" s="34" t="n">
        <f aca="false">BD4753*M4753</f>
        <v>140643.825</v>
      </c>
      <c r="BG4753" s="35" t="n">
        <f aca="false">BA4753-BF4753</f>
        <v>-10.8249999999825</v>
      </c>
      <c r="BH4753" s="19" t="str">
        <f aca="false">IF(BG4753=0,"",IF(BG4753&lt;&gt;BA4753,"erreur de calcul",IF(BD4753&lt;&gt;0,"pas de prix",IF(M4753&lt;&gt; 0,"pas de quantité","pas de prix, ni de quantité"))))</f>
        <v>erreur de calcul</v>
      </c>
      <c r="BI4753" s="19"/>
    </row>
    <row r="4754" customFormat="false" ht="15" hidden="false" customHeight="false" outlineLevel="0" collapsed="false">
      <c r="A4754" s="0" t="n">
        <v>25</v>
      </c>
      <c r="B4754" s="8" t="s">
        <v>24</v>
      </c>
      <c r="C4754" s="9" t="s">
        <v>25</v>
      </c>
      <c r="D4754" s="9" t="s">
        <v>26</v>
      </c>
      <c r="E4754" s="10" t="n">
        <v>1789</v>
      </c>
      <c r="F4754" s="9" t="s">
        <v>27</v>
      </c>
      <c r="G4754" s="9" t="s">
        <v>27</v>
      </c>
      <c r="H4754" s="11" t="n">
        <v>23</v>
      </c>
      <c r="I4754" s="11" t="s">
        <v>267</v>
      </c>
      <c r="J4754" s="14" t="n">
        <v>25</v>
      </c>
      <c r="K4754" s="14"/>
      <c r="L4754" s="16"/>
      <c r="M4754" s="27" t="n">
        <f aca="false">J4754+(K4754/20)+(L4754/240)</f>
        <v>25</v>
      </c>
      <c r="N4754" s="17" t="s">
        <v>64</v>
      </c>
      <c r="O4754" s="11"/>
      <c r="P4754" s="28"/>
      <c r="Q4754" s="28" t="n">
        <f aca="false">P4754*$M4754</f>
        <v>0</v>
      </c>
      <c r="R4754" s="28"/>
      <c r="S4754" s="28" t="n">
        <f aca="false">R4754*$M4754</f>
        <v>0</v>
      </c>
      <c r="T4754" s="28"/>
      <c r="U4754" s="28" t="n">
        <f aca="false">T4754*$M4754</f>
        <v>0</v>
      </c>
      <c r="V4754" s="28"/>
      <c r="W4754" s="28" t="n">
        <f aca="false">V4754*$M4754</f>
        <v>0</v>
      </c>
      <c r="X4754" s="28"/>
      <c r="Y4754" s="28" t="n">
        <f aca="false">X4754*$M4754</f>
        <v>0</v>
      </c>
      <c r="Z4754" s="28"/>
      <c r="AA4754" s="28" t="n">
        <f aca="false">Z4754*$M4754</f>
        <v>0</v>
      </c>
      <c r="AB4754" s="28" t="n">
        <f aca="false">136004/100</f>
        <v>1360.04</v>
      </c>
      <c r="AC4754" s="28" t="n">
        <v>34001</v>
      </c>
      <c r="AD4754" s="28"/>
      <c r="AE4754" s="28" t="n">
        <f aca="false">AD4754*$M4754</f>
        <v>0</v>
      </c>
      <c r="AF4754" s="28"/>
      <c r="AG4754" s="28" t="n">
        <f aca="false">AF4754*$M4754</f>
        <v>0</v>
      </c>
      <c r="AH4754" s="28" t="n">
        <f aca="false">173052/100</f>
        <v>1730.52</v>
      </c>
      <c r="AI4754" s="28" t="n">
        <v>43263</v>
      </c>
      <c r="AJ4754" s="28"/>
      <c r="AK4754" s="28" t="n">
        <f aca="false">AJ4754*$M4754</f>
        <v>0</v>
      </c>
      <c r="AL4754" s="28"/>
      <c r="AM4754" s="28" t="n">
        <f aca="false">AL4754*$M4754</f>
        <v>0</v>
      </c>
      <c r="AN4754" s="28"/>
      <c r="AO4754" s="28" t="n">
        <f aca="false">AN4754*$M4754</f>
        <v>0</v>
      </c>
      <c r="AP4754" s="28"/>
      <c r="AQ4754" s="28" t="n">
        <f aca="false">AP4754*$M4754</f>
        <v>0</v>
      </c>
      <c r="AR4754" s="28"/>
      <c r="AS4754" s="28" t="n">
        <f aca="false">AR4754*$M4754</f>
        <v>0</v>
      </c>
      <c r="AT4754" s="28"/>
      <c r="AU4754" s="28" t="n">
        <f aca="false">AT4754*$M4754</f>
        <v>0</v>
      </c>
      <c r="AV4754" s="28"/>
      <c r="AW4754" s="28" t="n">
        <f aca="false">AV4754*$M4754</f>
        <v>0</v>
      </c>
      <c r="AX4754" s="28"/>
      <c r="AY4754" s="28" t="n">
        <f aca="false">AX4754*$M4754</f>
        <v>0</v>
      </c>
      <c r="AZ4754" s="30" t="n">
        <f aca="false">309056/100</f>
        <v>3090.56</v>
      </c>
      <c r="BA4754" s="11" t="n">
        <v>77264</v>
      </c>
      <c r="BB4754" s="31" t="n">
        <f aca="false">SUM(Q4754,S4754,U4754,W4754,Y4754,AA4754,AC4754,AE4754,AG4754,AI4754,AK4754,AM4754,AO4754,AQ4754,AS4754,AU4754,AW4754,AY4754)</f>
        <v>77264</v>
      </c>
      <c r="BC4754" s="28" t="n">
        <f aca="false">BA4754-BB4754</f>
        <v>0</v>
      </c>
      <c r="BD4754" s="32" t="n">
        <f aca="false">SUM(P4754,R4754,T4754,V4754,X4754,Z4754,AB4754,AD4754,AF4754,AH4754,AJ4754,AL4754,AN4754,AP4754,AR4754,AT4754,AV4754,AX4754)</f>
        <v>3090.56</v>
      </c>
      <c r="BE4754" s="33" t="n">
        <f aca="false">AZ4754-BD4754</f>
        <v>0</v>
      </c>
      <c r="BF4754" s="34" t="n">
        <f aca="false">BD4754*M4754</f>
        <v>77264</v>
      </c>
      <c r="BG4754" s="35" t="n">
        <f aca="false">BA4754-BF4754</f>
        <v>0</v>
      </c>
      <c r="BH4754" s="19" t="str">
        <f aca="false">IF(BG4754=0,"",IF(BG4754&lt;&gt;BA4754,"erreur de calcul",IF(BD4754&lt;&gt;0,"pas de prix",IF(M4754&lt;&gt; 0,"pas de quantité","pas de prix, ni de quantité"))))</f>
        <v/>
      </c>
      <c r="BI4754" s="19"/>
    </row>
    <row r="4755" customFormat="false" ht="15" hidden="false" customHeight="false" outlineLevel="0" collapsed="false">
      <c r="A4755" s="0" t="n">
        <v>26</v>
      </c>
      <c r="B4755" s="8" t="s">
        <v>24</v>
      </c>
      <c r="C4755" s="9" t="s">
        <v>25</v>
      </c>
      <c r="D4755" s="9" t="s">
        <v>26</v>
      </c>
      <c r="E4755" s="10" t="n">
        <v>1789</v>
      </c>
      <c r="F4755" s="9" t="s">
        <v>27</v>
      </c>
      <c r="G4755" s="9" t="s">
        <v>27</v>
      </c>
      <c r="H4755" s="11" t="n">
        <v>23</v>
      </c>
      <c r="I4755" s="11" t="s">
        <v>268</v>
      </c>
      <c r="J4755" s="14" t="n">
        <v>8</v>
      </c>
      <c r="K4755" s="14"/>
      <c r="L4755" s="16"/>
      <c r="M4755" s="27" t="n">
        <f aca="false">J4755+(K4755/20)+(L4755/240)</f>
        <v>8</v>
      </c>
      <c r="N4755" s="17" t="s">
        <v>64</v>
      </c>
      <c r="O4755" s="11"/>
      <c r="P4755" s="28"/>
      <c r="Q4755" s="28" t="n">
        <f aca="false">P4755*$M4755</f>
        <v>0</v>
      </c>
      <c r="R4755" s="28"/>
      <c r="S4755" s="28" t="n">
        <f aca="false">R4755*$M4755</f>
        <v>0</v>
      </c>
      <c r="T4755" s="28" t="n">
        <f aca="false">260752/100</f>
        <v>2607.52</v>
      </c>
      <c r="U4755" s="28" t="n">
        <v>20860</v>
      </c>
      <c r="V4755" s="28" t="n">
        <f aca="false">170453/100</f>
        <v>1704.53</v>
      </c>
      <c r="W4755" s="28" t="n">
        <v>13636</v>
      </c>
      <c r="X4755" s="28"/>
      <c r="Y4755" s="28" t="n">
        <f aca="false">X4755*$M4755</f>
        <v>0</v>
      </c>
      <c r="Z4755" s="28"/>
      <c r="AA4755" s="28" t="n">
        <f aca="false">Z4755*$M4755</f>
        <v>0</v>
      </c>
      <c r="AB4755" s="28"/>
      <c r="AC4755" s="28" t="n">
        <f aca="false">AB4755*$M4755</f>
        <v>0</v>
      </c>
      <c r="AD4755" s="28"/>
      <c r="AE4755" s="28" t="n">
        <f aca="false">AD4755*$M4755</f>
        <v>0</v>
      </c>
      <c r="AF4755" s="28"/>
      <c r="AG4755" s="28" t="n">
        <f aca="false">AF4755*$M4755</f>
        <v>0</v>
      </c>
      <c r="AH4755" s="28"/>
      <c r="AI4755" s="28" t="n">
        <f aca="false">AH4755*$M4755</f>
        <v>0</v>
      </c>
      <c r="AJ4755" s="28"/>
      <c r="AK4755" s="28" t="n">
        <f aca="false">AJ4755*$M4755</f>
        <v>0</v>
      </c>
      <c r="AL4755" s="28"/>
      <c r="AM4755" s="28" t="n">
        <f aca="false">AL4755*$M4755</f>
        <v>0</v>
      </c>
      <c r="AN4755" s="28"/>
      <c r="AO4755" s="28" t="n">
        <f aca="false">AN4755*$M4755</f>
        <v>0</v>
      </c>
      <c r="AP4755" s="28"/>
      <c r="AQ4755" s="28" t="n">
        <f aca="false">AP4755*$M4755</f>
        <v>0</v>
      </c>
      <c r="AR4755" s="28"/>
      <c r="AS4755" s="28" t="n">
        <f aca="false">AR4755*$M4755</f>
        <v>0</v>
      </c>
      <c r="AT4755" s="28"/>
      <c r="AU4755" s="28" t="n">
        <f aca="false">AT4755*$M4755</f>
        <v>0</v>
      </c>
      <c r="AV4755" s="28"/>
      <c r="AW4755" s="28" t="n">
        <f aca="false">AV4755*$M4755</f>
        <v>0</v>
      </c>
      <c r="AX4755" s="28"/>
      <c r="AY4755" s="28" t="n">
        <f aca="false">AX4755*$M4755</f>
        <v>0</v>
      </c>
      <c r="AZ4755" s="30" t="n">
        <f aca="false">431205/100</f>
        <v>4312.05</v>
      </c>
      <c r="BA4755" s="11" t="n">
        <v>34496</v>
      </c>
      <c r="BB4755" s="31" t="n">
        <f aca="false">SUM(Q4755,S4755,U4755,W4755,Y4755,AA4755,AC4755,AE4755,AG4755,AI4755,AK4755,AM4755,AO4755,AQ4755,AS4755,AU4755,AW4755,AY4755)</f>
        <v>34496</v>
      </c>
      <c r="BC4755" s="28" t="n">
        <f aca="false">BA4755-BB4755</f>
        <v>0</v>
      </c>
      <c r="BD4755" s="32" t="n">
        <f aca="false">SUM(P4755,R4755,T4755,V4755,X4755,Z4755,AB4755,AD4755,AF4755,AH4755,AJ4755,AL4755,AN4755,AP4755,AR4755,AT4755,AV4755,AX4755)</f>
        <v>4312.05</v>
      </c>
      <c r="BE4755" s="33" t="n">
        <f aca="false">AZ4755-BD4755</f>
        <v>0</v>
      </c>
      <c r="BF4755" s="34" t="n">
        <f aca="false">BD4755*M4755</f>
        <v>34496.4</v>
      </c>
      <c r="BG4755" s="35" t="n">
        <f aca="false">BA4755-BF4755</f>
        <v>-0.400000000001455</v>
      </c>
      <c r="BH4755" s="19" t="str">
        <f aca="false">IF(BG4755=0,"",IF(BG4755&lt;&gt;BA4755,"erreur de calcul",IF(BD4755&lt;&gt;0,"pas de prix",IF(M4755&lt;&gt; 0,"pas de quantité","pas de prix, ni de quantité"))))</f>
        <v>erreur de calcul</v>
      </c>
      <c r="BI4755" s="19"/>
    </row>
    <row r="4756" customFormat="false" ht="15" hidden="false" customHeight="false" outlineLevel="0" collapsed="false">
      <c r="A4756" s="0" t="n">
        <v>27</v>
      </c>
      <c r="B4756" s="8" t="s">
        <v>24</v>
      </c>
      <c r="C4756" s="9" t="s">
        <v>25</v>
      </c>
      <c r="D4756" s="9" t="s">
        <v>26</v>
      </c>
      <c r="E4756" s="10" t="n">
        <v>1789</v>
      </c>
      <c r="F4756" s="9" t="s">
        <v>27</v>
      </c>
      <c r="G4756" s="9" t="s">
        <v>27</v>
      </c>
      <c r="H4756" s="11" t="n">
        <v>23</v>
      </c>
      <c r="I4756" s="11" t="s">
        <v>269</v>
      </c>
      <c r="J4756" s="14"/>
      <c r="K4756" s="14" t="n">
        <v>50</v>
      </c>
      <c r="L4756" s="16"/>
      <c r="M4756" s="27" t="n">
        <f aca="false">J4756+(K4756/20)+(L4756/240)</f>
        <v>2.5</v>
      </c>
      <c r="N4756" s="17" t="s">
        <v>85</v>
      </c>
      <c r="O4756" s="11"/>
      <c r="P4756" s="28"/>
      <c r="Q4756" s="28" t="n">
        <f aca="false">P4756*$M4756</f>
        <v>0</v>
      </c>
      <c r="R4756" s="28"/>
      <c r="S4756" s="28" t="n">
        <f aca="false">R4756*$M4756</f>
        <v>0</v>
      </c>
      <c r="T4756" s="28" t="n">
        <f aca="false">221150/100</f>
        <v>2211.5</v>
      </c>
      <c r="U4756" s="28" t="n">
        <v>5529</v>
      </c>
      <c r="V4756" s="28" t="n">
        <f aca="false">3922156/100</f>
        <v>39221.56</v>
      </c>
      <c r="W4756" s="28" t="n">
        <v>98054</v>
      </c>
      <c r="X4756" s="28"/>
      <c r="Y4756" s="28" t="n">
        <f aca="false">X4756*$M4756</f>
        <v>0</v>
      </c>
      <c r="Z4756" s="28"/>
      <c r="AA4756" s="28" t="n">
        <f aca="false">Z4756*$M4756</f>
        <v>0</v>
      </c>
      <c r="AB4756" s="28" t="n">
        <f aca="false">297900/100</f>
        <v>2979</v>
      </c>
      <c r="AC4756" s="28" t="n">
        <v>7447</v>
      </c>
      <c r="AD4756" s="28"/>
      <c r="AE4756" s="28" t="n">
        <f aca="false">AD4756*$M4756</f>
        <v>0</v>
      </c>
      <c r="AF4756" s="28"/>
      <c r="AG4756" s="28" t="n">
        <f aca="false">AF4756*$M4756</f>
        <v>0</v>
      </c>
      <c r="AH4756" s="28"/>
      <c r="AI4756" s="28" t="n">
        <f aca="false">AH4756*$M4756</f>
        <v>0</v>
      </c>
      <c r="AJ4756" s="28"/>
      <c r="AK4756" s="28" t="n">
        <f aca="false">AJ4756*$M4756</f>
        <v>0</v>
      </c>
      <c r="AL4756" s="28"/>
      <c r="AM4756" s="28" t="n">
        <f aca="false">AL4756*$M4756</f>
        <v>0</v>
      </c>
      <c r="AN4756" s="28"/>
      <c r="AO4756" s="28" t="n">
        <f aca="false">AN4756*$M4756</f>
        <v>0</v>
      </c>
      <c r="AP4756" s="28"/>
      <c r="AQ4756" s="28" t="n">
        <f aca="false">AP4756*$M4756</f>
        <v>0</v>
      </c>
      <c r="AR4756" s="28"/>
      <c r="AS4756" s="28" t="n">
        <f aca="false">AR4756*$M4756</f>
        <v>0</v>
      </c>
      <c r="AT4756" s="28"/>
      <c r="AU4756" s="28" t="n">
        <f aca="false">AT4756*$M4756</f>
        <v>0</v>
      </c>
      <c r="AV4756" s="28"/>
      <c r="AW4756" s="28" t="n">
        <f aca="false">AV4756*$M4756</f>
        <v>0</v>
      </c>
      <c r="AX4756" s="28"/>
      <c r="AY4756" s="28" t="n">
        <f aca="false">AX4756*$M4756</f>
        <v>0</v>
      </c>
      <c r="AZ4756" s="30" t="n">
        <f aca="false">4441206/100</f>
        <v>44412.06</v>
      </c>
      <c r="BA4756" s="11" t="n">
        <v>111030</v>
      </c>
      <c r="BB4756" s="31" t="n">
        <f aca="false">SUM(Q4756,S4756,U4756,W4756,Y4756,AA4756,AC4756,AE4756,AG4756,AI4756,AK4756,AM4756,AO4756,AQ4756,AS4756,AU4756,AW4756,AY4756)</f>
        <v>111030</v>
      </c>
      <c r="BC4756" s="28" t="n">
        <f aca="false">BA4756-BB4756</f>
        <v>0</v>
      </c>
      <c r="BD4756" s="32" t="n">
        <f aca="false">SUM(P4756,R4756,T4756,V4756,X4756,Z4756,AB4756,AD4756,AF4756,AH4756,AJ4756,AL4756,AN4756,AP4756,AR4756,AT4756,AV4756,AX4756)</f>
        <v>44412.06</v>
      </c>
      <c r="BE4756" s="33" t="n">
        <f aca="false">AZ4756-BD4756</f>
        <v>0</v>
      </c>
      <c r="BF4756" s="34" t="n">
        <f aca="false">BD4756*M4756</f>
        <v>111030.15</v>
      </c>
      <c r="BG4756" s="35" t="n">
        <f aca="false">BA4756-BF4756</f>
        <v>-0.149999999994179</v>
      </c>
      <c r="BH4756" s="19" t="str">
        <f aca="false">IF(BG4756=0,"",IF(BG4756&lt;&gt;BA4756,"erreur de calcul",IF(BD4756&lt;&gt;0,"pas de prix",IF(M4756&lt;&gt; 0,"pas de quantité","pas de prix, ni de quantité"))))</f>
        <v>erreur de calcul</v>
      </c>
      <c r="BI4756" s="19"/>
    </row>
    <row r="4757" customFormat="false" ht="15" hidden="false" customHeight="false" outlineLevel="0" collapsed="false">
      <c r="A4757" s="0" t="n">
        <v>28</v>
      </c>
      <c r="B4757" s="8" t="s">
        <v>24</v>
      </c>
      <c r="C4757" s="9" t="s">
        <v>25</v>
      </c>
      <c r="D4757" s="9" t="s">
        <v>26</v>
      </c>
      <c r="E4757" s="10" t="n">
        <v>1789</v>
      </c>
      <c r="F4757" s="9" t="s">
        <v>27</v>
      </c>
      <c r="G4757" s="9" t="s">
        <v>27</v>
      </c>
      <c r="H4757" s="11" t="n">
        <v>23</v>
      </c>
      <c r="I4757" s="11" t="s">
        <v>270</v>
      </c>
      <c r="J4757" s="14" t="n">
        <v>5</v>
      </c>
      <c r="K4757" s="14"/>
      <c r="L4757" s="16"/>
      <c r="M4757" s="27" t="n">
        <f aca="false">J4757+(K4757/20)+(L4757/240)</f>
        <v>5</v>
      </c>
      <c r="N4757" s="17" t="s">
        <v>85</v>
      </c>
      <c r="O4757" s="11"/>
      <c r="P4757" s="28" t="n">
        <f aca="false">328200/100</f>
        <v>3282</v>
      </c>
      <c r="Q4757" s="28" t="n">
        <v>16410</v>
      </c>
      <c r="R4757" s="28"/>
      <c r="S4757" s="28" t="n">
        <f aca="false">R4757*$M4757</f>
        <v>0</v>
      </c>
      <c r="T4757" s="28" t="n">
        <f aca="false">667000/100</f>
        <v>6670</v>
      </c>
      <c r="U4757" s="36" t="n">
        <v>33360</v>
      </c>
      <c r="V4757" s="28" t="n">
        <f aca="false">506800/100</f>
        <v>5068</v>
      </c>
      <c r="W4757" s="28" t="n">
        <v>25340</v>
      </c>
      <c r="X4757" s="28"/>
      <c r="Y4757" s="28" t="n">
        <f aca="false">X4757*$M4757</f>
        <v>0</v>
      </c>
      <c r="Z4757" s="28"/>
      <c r="AA4757" s="28" t="n">
        <f aca="false">Z4757*$M4757</f>
        <v>0</v>
      </c>
      <c r="AB4757" s="28"/>
      <c r="AC4757" s="28" t="n">
        <f aca="false">AB4757*$M4757</f>
        <v>0</v>
      </c>
      <c r="AD4757" s="28"/>
      <c r="AE4757" s="28" t="n">
        <f aca="false">AD4757*$M4757</f>
        <v>0</v>
      </c>
      <c r="AF4757" s="28"/>
      <c r="AG4757" s="28" t="n">
        <f aca="false">AF4757*$M4757</f>
        <v>0</v>
      </c>
      <c r="AH4757" s="28" t="n">
        <f aca="false">320500/100</f>
        <v>3205</v>
      </c>
      <c r="AI4757" s="28" t="n">
        <v>16025</v>
      </c>
      <c r="AJ4757" s="28"/>
      <c r="AK4757" s="28" t="n">
        <f aca="false">AJ4757*$M4757</f>
        <v>0</v>
      </c>
      <c r="AL4757" s="28"/>
      <c r="AM4757" s="28" t="n">
        <f aca="false">AL4757*$M4757</f>
        <v>0</v>
      </c>
      <c r="AN4757" s="28"/>
      <c r="AO4757" s="28" t="n">
        <f aca="false">AN4757*$M4757</f>
        <v>0</v>
      </c>
      <c r="AP4757" s="28"/>
      <c r="AQ4757" s="28" t="n">
        <f aca="false">AP4757*$M4757</f>
        <v>0</v>
      </c>
      <c r="AR4757" s="28"/>
      <c r="AS4757" s="28" t="n">
        <f aca="false">AR4757*$M4757</f>
        <v>0</v>
      </c>
      <c r="AT4757" s="28"/>
      <c r="AU4757" s="28" t="n">
        <f aca="false">AT4757*$M4757</f>
        <v>0</v>
      </c>
      <c r="AV4757" s="28"/>
      <c r="AW4757" s="28" t="n">
        <f aca="false">AV4757*$M4757</f>
        <v>0</v>
      </c>
      <c r="AX4757" s="28"/>
      <c r="AY4757" s="28" t="n">
        <f aca="false">AX4757*$M4757</f>
        <v>0</v>
      </c>
      <c r="AZ4757" s="30" t="n">
        <f aca="false">1822500/100</f>
        <v>18225</v>
      </c>
      <c r="BA4757" s="11" t="n">
        <v>91135</v>
      </c>
      <c r="BB4757" s="31" t="n">
        <f aca="false">SUM(Q4757,S4757,U4757,W4757,Y4757,AA4757,AC4757,AE4757,AG4757,AI4757,AK4757,AM4757,AO4757,AQ4757,AS4757,AU4757,AW4757,AY4757)</f>
        <v>91135</v>
      </c>
      <c r="BC4757" s="28" t="n">
        <f aca="false">BA4757-BB4757</f>
        <v>0</v>
      </c>
      <c r="BD4757" s="32" t="n">
        <f aca="false">SUM(P4757,R4757,T4757,V4757,X4757,Z4757,AB4757,AD4757,AF4757,AH4757,AJ4757,AL4757,AN4757,AP4757,AR4757,AT4757,AV4757,AX4757)</f>
        <v>18225</v>
      </c>
      <c r="BE4757" s="33" t="n">
        <f aca="false">AZ4757-BD4757</f>
        <v>0</v>
      </c>
      <c r="BF4757" s="34" t="n">
        <f aca="false">BD4757*M4757</f>
        <v>91125</v>
      </c>
      <c r="BG4757" s="35" t="n">
        <f aca="false">BA4757-BF4757</f>
        <v>10</v>
      </c>
      <c r="BH4757" s="19" t="str">
        <f aca="false">IF(BG4757=0,"",IF(BG4757&lt;&gt;BA4757,"erreur de calcul",IF(BD4757&lt;&gt;0,"pas de prix",IF(M4757&lt;&gt; 0,"pas de quantité","pas de prix, ni de quantité"))))</f>
        <v>erreur de calcul</v>
      </c>
      <c r="BI4757" s="19"/>
    </row>
    <row r="4758" customFormat="false" ht="15" hidden="false" customHeight="false" outlineLevel="0" collapsed="false">
      <c r="A4758" s="0" t="n">
        <v>29</v>
      </c>
      <c r="B4758" s="8" t="s">
        <v>24</v>
      </c>
      <c r="C4758" s="9" t="s">
        <v>25</v>
      </c>
      <c r="D4758" s="9" t="s">
        <v>26</v>
      </c>
      <c r="E4758" s="10" t="n">
        <v>1789</v>
      </c>
      <c r="F4758" s="9" t="s">
        <v>27</v>
      </c>
      <c r="G4758" s="9" t="s">
        <v>27</v>
      </c>
      <c r="H4758" s="11" t="n">
        <v>23</v>
      </c>
      <c r="I4758" s="11" t="s">
        <v>271</v>
      </c>
      <c r="J4758" s="14" t="n">
        <v>7</v>
      </c>
      <c r="K4758" s="14" t="n">
        <v>10</v>
      </c>
      <c r="L4758" s="16"/>
      <c r="M4758" s="27" t="n">
        <f aca="false">J4758+(K4758/20)+(L4758/240)</f>
        <v>7.5</v>
      </c>
      <c r="N4758" s="17" t="s">
        <v>64</v>
      </c>
      <c r="O4758" s="11"/>
      <c r="P4758" s="28"/>
      <c r="Q4758" s="28" t="n">
        <f aca="false">P4758*$M4758</f>
        <v>0</v>
      </c>
      <c r="R4758" s="28"/>
      <c r="S4758" s="28" t="n">
        <f aca="false">R4758*$M4758</f>
        <v>0</v>
      </c>
      <c r="T4758" s="28"/>
      <c r="U4758" s="28" t="n">
        <f aca="false">T4758*$M4758</f>
        <v>0</v>
      </c>
      <c r="V4758" s="28" t="n">
        <f aca="false">191888/100</f>
        <v>1918.88</v>
      </c>
      <c r="W4758" s="28" t="n">
        <v>14392</v>
      </c>
      <c r="X4758" s="28"/>
      <c r="Y4758" s="28" t="n">
        <f aca="false">X4758*$M4758</f>
        <v>0</v>
      </c>
      <c r="Z4758" s="28"/>
      <c r="AA4758" s="28" t="n">
        <f aca="false">Z4758*$M4758</f>
        <v>0</v>
      </c>
      <c r="AB4758" s="28"/>
      <c r="AC4758" s="28" t="n">
        <f aca="false">AB4758*$M4758</f>
        <v>0</v>
      </c>
      <c r="AD4758" s="28"/>
      <c r="AE4758" s="28" t="n">
        <f aca="false">AD4758*$M4758</f>
        <v>0</v>
      </c>
      <c r="AF4758" s="28"/>
      <c r="AG4758" s="28" t="n">
        <f aca="false">AF4758*$M4758</f>
        <v>0</v>
      </c>
      <c r="AH4758" s="28"/>
      <c r="AI4758" s="28" t="n">
        <f aca="false">AH4758*$M4758</f>
        <v>0</v>
      </c>
      <c r="AJ4758" s="28"/>
      <c r="AK4758" s="28" t="n">
        <f aca="false">AJ4758*$M4758</f>
        <v>0</v>
      </c>
      <c r="AL4758" s="28"/>
      <c r="AM4758" s="28" t="n">
        <f aca="false">AL4758*$M4758</f>
        <v>0</v>
      </c>
      <c r="AN4758" s="28"/>
      <c r="AO4758" s="28" t="n">
        <f aca="false">AN4758*$M4758</f>
        <v>0</v>
      </c>
      <c r="AP4758" s="28"/>
      <c r="AQ4758" s="28" t="n">
        <f aca="false">AP4758*$M4758</f>
        <v>0</v>
      </c>
      <c r="AR4758" s="28"/>
      <c r="AS4758" s="28" t="n">
        <f aca="false">AR4758*$M4758</f>
        <v>0</v>
      </c>
      <c r="AT4758" s="28"/>
      <c r="AU4758" s="28" t="n">
        <f aca="false">AT4758*$M4758</f>
        <v>0</v>
      </c>
      <c r="AV4758" s="28"/>
      <c r="AW4758" s="28" t="n">
        <f aca="false">AV4758*$M4758</f>
        <v>0</v>
      </c>
      <c r="AX4758" s="28"/>
      <c r="AY4758" s="28" t="n">
        <f aca="false">AX4758*$M4758</f>
        <v>0</v>
      </c>
      <c r="AZ4758" s="30" t="n">
        <f aca="false">191888/100</f>
        <v>1918.88</v>
      </c>
      <c r="BA4758" s="11" t="n">
        <v>14392</v>
      </c>
      <c r="BB4758" s="31" t="n">
        <f aca="false">SUM(Q4758,S4758,U4758,W4758,Y4758,AA4758,AC4758,AE4758,AG4758,AI4758,AK4758,AM4758,AO4758,AQ4758,AS4758,AU4758,AW4758,AY4758)</f>
        <v>14392</v>
      </c>
      <c r="BC4758" s="28" t="n">
        <f aca="false">BA4758-BB4758</f>
        <v>0</v>
      </c>
      <c r="BD4758" s="32" t="n">
        <f aca="false">SUM(P4758,R4758,T4758,V4758,X4758,Z4758,AB4758,AD4758,AF4758,AH4758,AJ4758,AL4758,AN4758,AP4758,AR4758,AT4758,AV4758,AX4758)</f>
        <v>1918.88</v>
      </c>
      <c r="BE4758" s="33" t="n">
        <f aca="false">AZ4758-BD4758</f>
        <v>0</v>
      </c>
      <c r="BF4758" s="34" t="n">
        <f aca="false">BD4758*M4758</f>
        <v>14391.6</v>
      </c>
      <c r="BG4758" s="35" t="n">
        <f aca="false">BA4758-BF4758</f>
        <v>0.399999999999636</v>
      </c>
      <c r="BH4758" s="19" t="str">
        <f aca="false">IF(BG4758=0,"",IF(BG4758&lt;&gt;BA4758,"erreur de calcul",IF(BD4758&lt;&gt;0,"pas de prix",IF(M4758&lt;&gt; 0,"pas de quantité","pas de prix, ni de quantité"))))</f>
        <v>erreur de calcul</v>
      </c>
      <c r="BI4758" s="19"/>
    </row>
    <row r="4759" customFormat="false" ht="15" hidden="false" customHeight="false" outlineLevel="0" collapsed="false">
      <c r="A4759" s="0" t="n">
        <v>30</v>
      </c>
      <c r="B4759" s="8" t="s">
        <v>24</v>
      </c>
      <c r="C4759" s="9" t="s">
        <v>25</v>
      </c>
      <c r="D4759" s="9" t="s">
        <v>26</v>
      </c>
      <c r="E4759" s="10" t="n">
        <v>1789</v>
      </c>
      <c r="F4759" s="9" t="s">
        <v>27</v>
      </c>
      <c r="G4759" s="9" t="s">
        <v>27</v>
      </c>
      <c r="H4759" s="11" t="n">
        <v>23</v>
      </c>
      <c r="I4759" s="11" t="s">
        <v>272</v>
      </c>
      <c r="J4759" s="14" t="n">
        <v>6</v>
      </c>
      <c r="K4759" s="14"/>
      <c r="L4759" s="16"/>
      <c r="M4759" s="27" t="n">
        <f aca="false">J4759+(K4759/20)+(L4759/240)</f>
        <v>6</v>
      </c>
      <c r="N4759" s="17" t="s">
        <v>64</v>
      </c>
      <c r="O4759" s="11"/>
      <c r="P4759" s="28"/>
      <c r="Q4759" s="28" t="n">
        <f aca="false">P4759*$M4759</f>
        <v>0</v>
      </c>
      <c r="R4759" s="28"/>
      <c r="S4759" s="28" t="n">
        <f aca="false">R4759*$M4759</f>
        <v>0</v>
      </c>
      <c r="T4759" s="28" t="n">
        <f aca="false">26711/100</f>
        <v>267.11</v>
      </c>
      <c r="U4759" s="28" t="n">
        <v>1603</v>
      </c>
      <c r="V4759" s="28" t="n">
        <f aca="false">790699/100</f>
        <v>7906.99</v>
      </c>
      <c r="W4759" s="28" t="n">
        <v>47442</v>
      </c>
      <c r="X4759" s="28" t="n">
        <f aca="false">50169/100</f>
        <v>501.69</v>
      </c>
      <c r="Y4759" s="28" t="n">
        <v>3010</v>
      </c>
      <c r="Z4759" s="28"/>
      <c r="AA4759" s="28" t="n">
        <f aca="false">Z4759*$M4759</f>
        <v>0</v>
      </c>
      <c r="AB4759" s="28"/>
      <c r="AC4759" s="28" t="n">
        <f aca="false">AB4759*$M4759</f>
        <v>0</v>
      </c>
      <c r="AD4759" s="28"/>
      <c r="AE4759" s="28" t="n">
        <f aca="false">AD4759*$M4759</f>
        <v>0</v>
      </c>
      <c r="AF4759" s="28"/>
      <c r="AG4759" s="28" t="n">
        <f aca="false">AF4759*$M4759</f>
        <v>0</v>
      </c>
      <c r="AH4759" s="28"/>
      <c r="AI4759" s="28" t="n">
        <f aca="false">AH4759*$M4759</f>
        <v>0</v>
      </c>
      <c r="AJ4759" s="28"/>
      <c r="AK4759" s="28" t="n">
        <f aca="false">AJ4759*$M4759</f>
        <v>0</v>
      </c>
      <c r="AL4759" s="28"/>
      <c r="AM4759" s="28" t="n">
        <f aca="false">AL4759*$M4759</f>
        <v>0</v>
      </c>
      <c r="AN4759" s="28"/>
      <c r="AO4759" s="28" t="n">
        <f aca="false">AN4759*$M4759</f>
        <v>0</v>
      </c>
      <c r="AP4759" s="28"/>
      <c r="AQ4759" s="28" t="n">
        <f aca="false">AP4759*$M4759</f>
        <v>0</v>
      </c>
      <c r="AR4759" s="28"/>
      <c r="AS4759" s="28" t="n">
        <f aca="false">AR4759*$M4759</f>
        <v>0</v>
      </c>
      <c r="AT4759" s="28"/>
      <c r="AU4759" s="28" t="n">
        <f aca="false">AT4759*$M4759</f>
        <v>0</v>
      </c>
      <c r="AV4759" s="28"/>
      <c r="AW4759" s="28" t="n">
        <f aca="false">AV4759*$M4759</f>
        <v>0</v>
      </c>
      <c r="AX4759" s="28"/>
      <c r="AY4759" s="28" t="n">
        <f aca="false">AX4759*$M4759</f>
        <v>0</v>
      </c>
      <c r="AZ4759" s="30" t="n">
        <f aca="false">867559/100</f>
        <v>8675.59</v>
      </c>
      <c r="BA4759" s="11" t="n">
        <v>52055</v>
      </c>
      <c r="BB4759" s="31" t="n">
        <f aca="false">SUM(Q4759,S4759,U4759,W4759,Y4759,AA4759,AC4759,AE4759,AG4759,AI4759,AK4759,AM4759,AO4759,AQ4759,AS4759,AU4759,AW4759,AY4759)</f>
        <v>52055</v>
      </c>
      <c r="BC4759" s="28" t="n">
        <f aca="false">BA4759-BB4759</f>
        <v>0</v>
      </c>
      <c r="BD4759" s="32" t="n">
        <f aca="false">SUM(P4759,R4759,T4759,V4759,X4759,Z4759,AB4759,AD4759,AF4759,AH4759,AJ4759,AL4759,AN4759,AP4759,AR4759,AT4759,AV4759,AX4759)</f>
        <v>8675.79</v>
      </c>
      <c r="BE4759" s="33" t="n">
        <f aca="false">AZ4759-BD4759</f>
        <v>-0.200000000000728</v>
      </c>
      <c r="BF4759" s="34" t="n">
        <f aca="false">BD4759*M4759</f>
        <v>52054.74</v>
      </c>
      <c r="BG4759" s="35" t="n">
        <f aca="false">BA4759-BF4759</f>
        <v>0.259999999994761</v>
      </c>
      <c r="BH4759" s="19" t="str">
        <f aca="false">IF(BG4759=0,"",IF(BG4759&lt;&gt;BA4759,"erreur de calcul",IF(BD4759&lt;&gt;0,"pas de prix",IF(M4759&lt;&gt; 0,"pas de quantité","pas de prix, ni de quantité"))))</f>
        <v>erreur de calcul</v>
      </c>
      <c r="BI4759" s="19"/>
    </row>
    <row r="4760" customFormat="false" ht="15" hidden="false" customHeight="false" outlineLevel="0" collapsed="false">
      <c r="A4760" s="0" t="n">
        <v>31</v>
      </c>
      <c r="B4760" s="8" t="s">
        <v>24</v>
      </c>
      <c r="C4760" s="9" t="s">
        <v>25</v>
      </c>
      <c r="D4760" s="9" t="s">
        <v>26</v>
      </c>
      <c r="E4760" s="10" t="n">
        <v>1789</v>
      </c>
      <c r="F4760" s="9" t="s">
        <v>27</v>
      </c>
      <c r="G4760" s="9" t="s">
        <v>27</v>
      </c>
      <c r="H4760" s="11" t="n">
        <v>23</v>
      </c>
      <c r="I4760" s="11" t="s">
        <v>273</v>
      </c>
      <c r="J4760" s="14" t="n">
        <v>8</v>
      </c>
      <c r="K4760" s="14"/>
      <c r="L4760" s="16"/>
      <c r="M4760" s="27" t="n">
        <f aca="false">J4760+(K4760/20)+(L4760/240)</f>
        <v>8</v>
      </c>
      <c r="N4760" s="17" t="s">
        <v>81</v>
      </c>
      <c r="O4760" s="11"/>
      <c r="P4760" s="28" t="n">
        <v>27</v>
      </c>
      <c r="Q4760" s="28" t="n">
        <v>216</v>
      </c>
      <c r="R4760" s="28"/>
      <c r="S4760" s="28" t="n">
        <f aca="false">R4760*$M4760</f>
        <v>0</v>
      </c>
      <c r="T4760" s="28"/>
      <c r="U4760" s="28" t="n">
        <f aca="false">T4760*$M4760</f>
        <v>0</v>
      </c>
      <c r="V4760" s="28" t="n">
        <v>40</v>
      </c>
      <c r="W4760" s="28" t="n">
        <v>320</v>
      </c>
      <c r="X4760" s="28"/>
      <c r="Y4760" s="28" t="n">
        <f aca="false">X4760*$M4760</f>
        <v>0</v>
      </c>
      <c r="Z4760" s="28"/>
      <c r="AA4760" s="28" t="n">
        <f aca="false">Z4760*$M4760</f>
        <v>0</v>
      </c>
      <c r="AB4760" s="28" t="n">
        <v>164</v>
      </c>
      <c r="AC4760" s="28" t="n">
        <v>1312</v>
      </c>
      <c r="AD4760" s="28"/>
      <c r="AE4760" s="28" t="n">
        <f aca="false">AD4760*$M4760</f>
        <v>0</v>
      </c>
      <c r="AF4760" s="28" t="n">
        <v>263</v>
      </c>
      <c r="AG4760" s="28" t="n">
        <v>2104</v>
      </c>
      <c r="AH4760" s="28"/>
      <c r="AI4760" s="28" t="n">
        <f aca="false">AH4760*$M4760</f>
        <v>0</v>
      </c>
      <c r="AJ4760" s="28"/>
      <c r="AK4760" s="28" t="n">
        <f aca="false">AJ4760*$M4760</f>
        <v>0</v>
      </c>
      <c r="AL4760" s="28"/>
      <c r="AM4760" s="28" t="n">
        <f aca="false">AL4760*$M4760</f>
        <v>0</v>
      </c>
      <c r="AN4760" s="28"/>
      <c r="AO4760" s="28" t="n">
        <f aca="false">AN4760*$M4760</f>
        <v>0</v>
      </c>
      <c r="AP4760" s="28" t="n">
        <v>278</v>
      </c>
      <c r="AQ4760" s="28" t="n">
        <v>2224</v>
      </c>
      <c r="AR4760" s="28"/>
      <c r="AS4760" s="28" t="n">
        <f aca="false">AR4760*$M4760</f>
        <v>0</v>
      </c>
      <c r="AT4760" s="28"/>
      <c r="AU4760" s="28" t="n">
        <f aca="false">AT4760*$M4760</f>
        <v>0</v>
      </c>
      <c r="AV4760" s="28"/>
      <c r="AW4760" s="28" t="n">
        <f aca="false">AV4760*$M4760</f>
        <v>0</v>
      </c>
      <c r="AX4760" s="28"/>
      <c r="AY4760" s="28" t="n">
        <f aca="false">AX4760*$M4760</f>
        <v>0</v>
      </c>
      <c r="AZ4760" s="30" t="n">
        <v>772</v>
      </c>
      <c r="BA4760" s="11" t="n">
        <v>6176</v>
      </c>
      <c r="BB4760" s="31" t="n">
        <f aca="false">SUM(Q4760,S4760,U4760,W4760,Y4760,AA4760,AC4760,AE4760,AG4760,AI4760,AK4760,AM4760,AO4760,AQ4760,AS4760,AU4760,AW4760,AY4760)</f>
        <v>6176</v>
      </c>
      <c r="BC4760" s="28" t="n">
        <f aca="false">BA4760-BB4760</f>
        <v>0</v>
      </c>
      <c r="BD4760" s="32" t="n">
        <f aca="false">SUM(P4760,R4760,T4760,V4760,X4760,Z4760,AB4760,AD4760,AF4760,AH4760,AJ4760,AL4760,AN4760,AP4760,AR4760,AT4760,AV4760,AX4760)</f>
        <v>772</v>
      </c>
      <c r="BE4760" s="33" t="n">
        <f aca="false">AZ4760-BD4760</f>
        <v>0</v>
      </c>
      <c r="BF4760" s="34" t="n">
        <f aca="false">BD4760*M4760</f>
        <v>6176</v>
      </c>
      <c r="BG4760" s="35" t="n">
        <f aca="false">BA4760-BF4760</f>
        <v>0</v>
      </c>
      <c r="BH4760" s="19" t="str">
        <f aca="false">IF(BG4760=0,"",IF(BG4760&lt;&gt;BA4760,"erreur de calcul",IF(BD4760&lt;&gt;0,"pas de prix",IF(M4760&lt;&gt; 0,"pas de quantité","pas de prix, ni de quantité"))))</f>
        <v/>
      </c>
      <c r="BI4760" s="19"/>
    </row>
    <row r="4761" customFormat="false" ht="15" hidden="false" customHeight="false" outlineLevel="0" collapsed="false">
      <c r="A4761" s="0" t="n">
        <v>32</v>
      </c>
      <c r="B4761" s="8" t="s">
        <v>24</v>
      </c>
      <c r="C4761" s="9" t="s">
        <v>25</v>
      </c>
      <c r="D4761" s="9" t="s">
        <v>26</v>
      </c>
      <c r="E4761" s="10" t="n">
        <v>1789</v>
      </c>
      <c r="F4761" s="9" t="s">
        <v>27</v>
      </c>
      <c r="G4761" s="9" t="s">
        <v>27</v>
      </c>
      <c r="H4761" s="11" t="n">
        <v>23</v>
      </c>
      <c r="I4761" s="11" t="s">
        <v>274</v>
      </c>
      <c r="J4761" s="14" t="n">
        <v>17</v>
      </c>
      <c r="K4761" s="14"/>
      <c r="L4761" s="16"/>
      <c r="M4761" s="27" t="n">
        <f aca="false">J4761+(K4761/20)+(L4761/240)</f>
        <v>17</v>
      </c>
      <c r="N4761" s="17" t="s">
        <v>275</v>
      </c>
      <c r="O4761" s="11"/>
      <c r="P4761" s="28" t="n">
        <v>200</v>
      </c>
      <c r="Q4761" s="28" t="n">
        <v>3400</v>
      </c>
      <c r="R4761" s="28"/>
      <c r="S4761" s="28" t="n">
        <f aca="false">R4761*$M4761</f>
        <v>0</v>
      </c>
      <c r="T4761" s="28"/>
      <c r="U4761" s="28" t="n">
        <f aca="false">T4761*$M4761</f>
        <v>0</v>
      </c>
      <c r="V4761" s="28"/>
      <c r="W4761" s="28" t="n">
        <f aca="false">V4761*$M4761</f>
        <v>0</v>
      </c>
      <c r="X4761" s="28" t="n">
        <v>145</v>
      </c>
      <c r="Y4761" s="28" t="n">
        <v>2465</v>
      </c>
      <c r="Z4761" s="28"/>
      <c r="AA4761" s="28" t="n">
        <f aca="false">Z4761*$M4761</f>
        <v>0</v>
      </c>
      <c r="AB4761" s="28"/>
      <c r="AC4761" s="28" t="n">
        <f aca="false">AB4761*$M4761</f>
        <v>0</v>
      </c>
      <c r="AD4761" s="28"/>
      <c r="AE4761" s="28" t="n">
        <f aca="false">AD4761*$M4761</f>
        <v>0</v>
      </c>
      <c r="AF4761" s="28"/>
      <c r="AG4761" s="28" t="n">
        <f aca="false">AF4761*$M4761</f>
        <v>0</v>
      </c>
      <c r="AH4761" s="28"/>
      <c r="AI4761" s="28" t="n">
        <f aca="false">AH4761*$M4761</f>
        <v>0</v>
      </c>
      <c r="AJ4761" s="28"/>
      <c r="AK4761" s="28" t="n">
        <f aca="false">AJ4761*$M4761</f>
        <v>0</v>
      </c>
      <c r="AL4761" s="28" t="n">
        <v>12</v>
      </c>
      <c r="AM4761" s="28" t="n">
        <v>204</v>
      </c>
      <c r="AN4761" s="28"/>
      <c r="AO4761" s="28" t="n">
        <f aca="false">AN4761*$M4761</f>
        <v>0</v>
      </c>
      <c r="AP4761" s="28"/>
      <c r="AQ4761" s="28" t="n">
        <f aca="false">AP4761*$M4761</f>
        <v>0</v>
      </c>
      <c r="AR4761" s="28"/>
      <c r="AS4761" s="28" t="n">
        <f aca="false">AR4761*$M4761</f>
        <v>0</v>
      </c>
      <c r="AT4761" s="28"/>
      <c r="AU4761" s="28" t="n">
        <f aca="false">AT4761*$M4761</f>
        <v>0</v>
      </c>
      <c r="AV4761" s="28"/>
      <c r="AW4761" s="28" t="n">
        <f aca="false">AV4761*$M4761</f>
        <v>0</v>
      </c>
      <c r="AX4761" s="28"/>
      <c r="AY4761" s="28" t="n">
        <f aca="false">AX4761*$M4761</f>
        <v>0</v>
      </c>
      <c r="AZ4761" s="30" t="n">
        <v>357</v>
      </c>
      <c r="BA4761" s="11" t="n">
        <v>6069</v>
      </c>
      <c r="BB4761" s="31" t="n">
        <f aca="false">SUM(Q4761,S4761,U4761,W4761,Y4761,AA4761,AC4761,AE4761,AG4761,AI4761,AK4761,AM4761,AO4761,AQ4761,AS4761,AU4761,AW4761,AY4761)</f>
        <v>6069</v>
      </c>
      <c r="BC4761" s="28" t="n">
        <f aca="false">BA4761-BB4761</f>
        <v>0</v>
      </c>
      <c r="BD4761" s="32" t="n">
        <f aca="false">SUM(P4761,R4761,T4761,V4761,X4761,Z4761,AB4761,AD4761,AF4761,AH4761,AJ4761,AL4761,AN4761,AP4761,AR4761,AT4761,AV4761,AX4761)</f>
        <v>357</v>
      </c>
      <c r="BE4761" s="33" t="n">
        <f aca="false">AZ4761-BD4761</f>
        <v>0</v>
      </c>
      <c r="BF4761" s="34" t="n">
        <f aca="false">BD4761*M4761</f>
        <v>6069</v>
      </c>
      <c r="BG4761" s="35" t="n">
        <f aca="false">BA4761-BF4761</f>
        <v>0</v>
      </c>
      <c r="BH4761" s="19" t="str">
        <f aca="false">IF(BG4761=0,"",IF(BG4761&lt;&gt;BA4761,"erreur de calcul",IF(BD4761&lt;&gt;0,"pas de prix",IF(M4761&lt;&gt; 0,"pas de quantité","pas de prix, ni de quantité"))))</f>
        <v/>
      </c>
      <c r="BI4761" s="19" t="s">
        <v>275</v>
      </c>
    </row>
    <row r="4762" customFormat="false" ht="15" hidden="false" customHeight="false" outlineLevel="0" collapsed="false">
      <c r="A4762" s="0" t="n">
        <v>33</v>
      </c>
      <c r="B4762" s="8" t="s">
        <v>24</v>
      </c>
      <c r="C4762" s="9" t="s">
        <v>25</v>
      </c>
      <c r="D4762" s="9" t="s">
        <v>26</v>
      </c>
      <c r="E4762" s="10" t="n">
        <v>1789</v>
      </c>
      <c r="F4762" s="9" t="s">
        <v>27</v>
      </c>
      <c r="G4762" s="9" t="s">
        <v>27</v>
      </c>
      <c r="H4762" s="11" t="n">
        <v>23</v>
      </c>
      <c r="I4762" s="11" t="s">
        <v>276</v>
      </c>
      <c r="J4762" s="14" t="n">
        <v>36</v>
      </c>
      <c r="K4762" s="14"/>
      <c r="L4762" s="16"/>
      <c r="M4762" s="27" t="n">
        <f aca="false">J4762+(K4762/20)+(L4762/240)</f>
        <v>36</v>
      </c>
      <c r="N4762" s="17" t="s">
        <v>275</v>
      </c>
      <c r="O4762" s="11" t="s">
        <v>277</v>
      </c>
      <c r="P4762" s="28"/>
      <c r="Q4762" s="28" t="n">
        <f aca="false">P4762*$M4762</f>
        <v>0</v>
      </c>
      <c r="R4762" s="28"/>
      <c r="S4762" s="28" t="n">
        <f aca="false">R4762*$M4762</f>
        <v>0</v>
      </c>
      <c r="T4762" s="28"/>
      <c r="U4762" s="28" t="n">
        <f aca="false">T4762*$M4762</f>
        <v>0</v>
      </c>
      <c r="V4762" s="28"/>
      <c r="W4762" s="28" t="n">
        <f aca="false">V4762*$M4762</f>
        <v>0</v>
      </c>
      <c r="X4762" s="28"/>
      <c r="Y4762" s="28" t="n">
        <f aca="false">X4762*$M4762</f>
        <v>0</v>
      </c>
      <c r="Z4762" s="28"/>
      <c r="AA4762" s="28" t="n">
        <f aca="false">Z4762*$M4762</f>
        <v>0</v>
      </c>
      <c r="AB4762" s="28"/>
      <c r="AC4762" s="28" t="n">
        <f aca="false">AB4762*$M4762</f>
        <v>0</v>
      </c>
      <c r="AD4762" s="28"/>
      <c r="AE4762" s="28" t="n">
        <f aca="false">AD4762*$M4762</f>
        <v>0</v>
      </c>
      <c r="AF4762" s="28"/>
      <c r="AG4762" s="28" t="n">
        <f aca="false">AF4762*$M4762</f>
        <v>0</v>
      </c>
      <c r="AH4762" s="28"/>
      <c r="AI4762" s="28" t="n">
        <f aca="false">AH4762*$M4762</f>
        <v>0</v>
      </c>
      <c r="AJ4762" s="28"/>
      <c r="AK4762" s="28" t="n">
        <f aca="false">AJ4762*$M4762</f>
        <v>0</v>
      </c>
      <c r="AL4762" s="28"/>
      <c r="AM4762" s="28" t="n">
        <f aca="false">AL4762*$M4762</f>
        <v>0</v>
      </c>
      <c r="AN4762" s="28"/>
      <c r="AO4762" s="28" t="n">
        <f aca="false">AN4762*$M4762</f>
        <v>0</v>
      </c>
      <c r="AP4762" s="28"/>
      <c r="AQ4762" s="28" t="n">
        <f aca="false">AP4762*$M4762</f>
        <v>0</v>
      </c>
      <c r="AR4762" s="28"/>
      <c r="AS4762" s="28" t="n">
        <f aca="false">AR4762*$M4762</f>
        <v>0</v>
      </c>
      <c r="AT4762" s="28"/>
      <c r="AU4762" s="28" t="n">
        <f aca="false">AT4762*$M4762</f>
        <v>0</v>
      </c>
      <c r="AV4762" s="28"/>
      <c r="AW4762" s="28" t="n">
        <f aca="false">AV4762*$M4762</f>
        <v>0</v>
      </c>
      <c r="AX4762" s="28"/>
      <c r="AY4762" s="28" t="n">
        <f aca="false">AX4762*$M4762</f>
        <v>0</v>
      </c>
      <c r="AZ4762" s="30"/>
      <c r="BA4762" s="11"/>
      <c r="BB4762" s="31" t="n">
        <f aca="false">SUM(Q4762,S4762,U4762,W4762,Y4762,AA4762,AC4762,AE4762,AG4762,AI4762,AK4762,AM4762,AO4762,AQ4762,AS4762,AU4762,AW4762,AY4762)</f>
        <v>0</v>
      </c>
      <c r="BC4762" s="28" t="n">
        <f aca="false">BA4762-BB4762</f>
        <v>0</v>
      </c>
      <c r="BD4762" s="32" t="n">
        <f aca="false">SUM(P4762,R4762,T4762,V4762,X4762,Z4762,AB4762,AD4762,AF4762,AH4762,AJ4762,AL4762,AN4762,AP4762,AR4762,AT4762,AV4762,AX4762)</f>
        <v>0</v>
      </c>
      <c r="BE4762" s="33" t="n">
        <f aca="false">AZ4762-BD4762</f>
        <v>0</v>
      </c>
      <c r="BF4762" s="34" t="n">
        <f aca="false">BD4762*M4762</f>
        <v>0</v>
      </c>
      <c r="BG4762" s="35" t="n">
        <f aca="false">BA4762-BF4762</f>
        <v>0</v>
      </c>
      <c r="BH4762" s="19" t="str">
        <f aca="false">IF(BG4762=0,"",IF(BG4762&lt;&gt;BA4762,"erreur de calcul",IF(BD4762&lt;&gt;0,"pas de prix",IF(M4762&lt;&gt; 0,"pas de quantité","pas de prix, ni de quantité"))))</f>
        <v/>
      </c>
      <c r="BI4762" s="19" t="s">
        <v>275</v>
      </c>
    </row>
    <row r="4763" customFormat="false" ht="15" hidden="false" customHeight="false" outlineLevel="0" collapsed="false">
      <c r="A4763" s="0" t="n">
        <v>34</v>
      </c>
      <c r="B4763" s="8" t="s">
        <v>24</v>
      </c>
      <c r="C4763" s="9" t="s">
        <v>25</v>
      </c>
      <c r="D4763" s="9" t="s">
        <v>26</v>
      </c>
      <c r="E4763" s="10" t="n">
        <v>1789</v>
      </c>
      <c r="F4763" s="9" t="s">
        <v>27</v>
      </c>
      <c r="G4763" s="9" t="s">
        <v>27</v>
      </c>
      <c r="H4763" s="11" t="n">
        <v>23</v>
      </c>
      <c r="I4763" s="11" t="s">
        <v>276</v>
      </c>
      <c r="J4763" s="14" t="n">
        <v>36</v>
      </c>
      <c r="K4763" s="14"/>
      <c r="L4763" s="16"/>
      <c r="M4763" s="27" t="n">
        <f aca="false">J4763+(K4763/20)+(L4763/240)</f>
        <v>36</v>
      </c>
      <c r="N4763" s="17" t="s">
        <v>275</v>
      </c>
      <c r="O4763" s="11" t="s">
        <v>77</v>
      </c>
      <c r="P4763" s="28" t="n">
        <v>7250</v>
      </c>
      <c r="Q4763" s="28" t="n">
        <v>261000</v>
      </c>
      <c r="R4763" s="28"/>
      <c r="S4763" s="28" t="n">
        <f aca="false">R4763*$M4763</f>
        <v>0</v>
      </c>
      <c r="T4763" s="28" t="n">
        <v>38389</v>
      </c>
      <c r="U4763" s="28" t="n">
        <v>1382004</v>
      </c>
      <c r="V4763" s="28" t="n">
        <v>19350</v>
      </c>
      <c r="W4763" s="28" t="n">
        <v>696600</v>
      </c>
      <c r="X4763" s="28" t="n">
        <v>25392</v>
      </c>
      <c r="Y4763" s="28" t="n">
        <v>914112</v>
      </c>
      <c r="Z4763" s="28" t="n">
        <v>31863</v>
      </c>
      <c r="AA4763" s="28" t="n">
        <v>1147068</v>
      </c>
      <c r="AB4763" s="28" t="n">
        <v>149064</v>
      </c>
      <c r="AC4763" s="28" t="n">
        <v>5366304</v>
      </c>
      <c r="AD4763" s="28" t="n">
        <v>1270</v>
      </c>
      <c r="AE4763" s="28" t="n">
        <v>45720</v>
      </c>
      <c r="AF4763" s="28" t="n">
        <v>54784</v>
      </c>
      <c r="AG4763" s="28" t="n">
        <v>1972224</v>
      </c>
      <c r="AH4763" s="28" t="n">
        <v>1200</v>
      </c>
      <c r="AI4763" s="28" t="n">
        <v>43200</v>
      </c>
      <c r="AJ4763" s="28" t="n">
        <v>10055</v>
      </c>
      <c r="AK4763" s="28" t="n">
        <v>361980</v>
      </c>
      <c r="AL4763" s="28"/>
      <c r="AM4763" s="28" t="n">
        <f aca="false">AL4763*$M4763</f>
        <v>0</v>
      </c>
      <c r="AN4763" s="28"/>
      <c r="AO4763" s="28" t="n">
        <f aca="false">AN4763*$M4763</f>
        <v>0</v>
      </c>
      <c r="AP4763" s="28" t="n">
        <v>220</v>
      </c>
      <c r="AQ4763" s="28" t="n">
        <f aca="false">AP4763*$M4763</f>
        <v>7920</v>
      </c>
      <c r="AR4763" s="28"/>
      <c r="AS4763" s="28" t="n">
        <f aca="false">AR4763*$M4763</f>
        <v>0</v>
      </c>
      <c r="AT4763" s="28"/>
      <c r="AU4763" s="28" t="n">
        <f aca="false">AT4763*$M4763</f>
        <v>0</v>
      </c>
      <c r="AV4763" s="28" t="n">
        <v>100</v>
      </c>
      <c r="AW4763" s="28" t="n">
        <v>3600</v>
      </c>
      <c r="AX4763" s="28" t="n">
        <v>9241</v>
      </c>
      <c r="AY4763" s="28" t="n">
        <v>332676</v>
      </c>
      <c r="AZ4763" s="30" t="n">
        <v>348178</v>
      </c>
      <c r="BA4763" s="11" t="n">
        <v>12534408</v>
      </c>
      <c r="BB4763" s="31" t="n">
        <f aca="false">SUM(Q4763,S4763,U4763,W4763,Y4763,AA4763,AC4763,AE4763,AG4763,AI4763,AK4763,AM4763,AO4763,AQ4763,AS4763,AU4763,AW4763,AY4763)</f>
        <v>12534408</v>
      </c>
      <c r="BC4763" s="28" t="n">
        <f aca="false">BA4763-BB4763</f>
        <v>0</v>
      </c>
      <c r="BD4763" s="32" t="n">
        <f aca="false">SUM(P4763,R4763,T4763,V4763,X4763,Z4763,AB4763,AD4763,AF4763,AH4763,AJ4763,AL4763,AN4763,AP4763,AR4763,AT4763,AV4763,AX4763)</f>
        <v>348178</v>
      </c>
      <c r="BE4763" s="33" t="n">
        <f aca="false">AZ4763-BD4763</f>
        <v>0</v>
      </c>
      <c r="BF4763" s="34" t="n">
        <f aca="false">BD4763*M4763</f>
        <v>12534408</v>
      </c>
      <c r="BG4763" s="35" t="n">
        <f aca="false">BA4763-BF4763</f>
        <v>0</v>
      </c>
      <c r="BH4763" s="19" t="str">
        <f aca="false">IF(BG4763=0,"",IF(BG4763&lt;&gt;BA4763,"erreur de calcul",IF(BD4763&lt;&gt;0,"pas de prix",IF(M4763&lt;&gt; 0,"pas de quantité","pas de prix, ni de quantité"))))</f>
        <v/>
      </c>
      <c r="BI4763" s="19"/>
    </row>
    <row r="4764" customFormat="false" ht="15" hidden="false" customHeight="false" outlineLevel="0" collapsed="false">
      <c r="A4764" s="0" t="n">
        <v>35</v>
      </c>
      <c r="B4764" s="8" t="s">
        <v>24</v>
      </c>
      <c r="C4764" s="9" t="s">
        <v>25</v>
      </c>
      <c r="D4764" s="9" t="s">
        <v>26</v>
      </c>
      <c r="E4764" s="10" t="n">
        <v>1789</v>
      </c>
      <c r="F4764" s="9" t="s">
        <v>27</v>
      </c>
      <c r="G4764" s="9" t="s">
        <v>27</v>
      </c>
      <c r="H4764" s="11" t="n">
        <v>23</v>
      </c>
      <c r="I4764" s="11" t="s">
        <v>278</v>
      </c>
      <c r="J4764" s="14" t="n">
        <v>12</v>
      </c>
      <c r="K4764" s="14"/>
      <c r="L4764" s="16"/>
      <c r="M4764" s="27" t="n">
        <f aca="false">J4764+(K4764/20)+(L4764/240)</f>
        <v>12</v>
      </c>
      <c r="N4764" s="17" t="s">
        <v>64</v>
      </c>
      <c r="O4764" s="11" t="s">
        <v>77</v>
      </c>
      <c r="P4764" s="28" t="n">
        <f aca="false">351312/100</f>
        <v>3513.12</v>
      </c>
      <c r="Q4764" s="28" t="n">
        <v>42157</v>
      </c>
      <c r="R4764" s="28"/>
      <c r="S4764" s="28" t="n">
        <f aca="false">R4764*$M4764</f>
        <v>0</v>
      </c>
      <c r="T4764" s="28" t="n">
        <f aca="false">52251/100</f>
        <v>522.51</v>
      </c>
      <c r="U4764" s="28" t="n">
        <v>6270</v>
      </c>
      <c r="V4764" s="28" t="n">
        <f aca="false">2393/100</f>
        <v>23.93</v>
      </c>
      <c r="W4764" s="28" t="n">
        <v>287</v>
      </c>
      <c r="X4764" s="28" t="n">
        <f aca="false">44842/100</f>
        <v>448.42</v>
      </c>
      <c r="Y4764" s="28" t="n">
        <v>5381</v>
      </c>
      <c r="Z4764" s="28"/>
      <c r="AA4764" s="28" t="n">
        <f aca="false">Z4764*$M4764</f>
        <v>0</v>
      </c>
      <c r="AB4764" s="28"/>
      <c r="AC4764" s="28" t="n">
        <f aca="false">AB4764*$M4764</f>
        <v>0</v>
      </c>
      <c r="AD4764" s="28"/>
      <c r="AE4764" s="28" t="n">
        <f aca="false">AD4764*$M4764</f>
        <v>0</v>
      </c>
      <c r="AF4764" s="28" t="n">
        <f aca="false">164167/100</f>
        <v>1641.67</v>
      </c>
      <c r="AG4764" s="28" t="n">
        <v>19700</v>
      </c>
      <c r="AH4764" s="28"/>
      <c r="AI4764" s="28" t="n">
        <f aca="false">AH4764*$M4764</f>
        <v>0</v>
      </c>
      <c r="AJ4764" s="28"/>
      <c r="AK4764" s="28" t="n">
        <f aca="false">AJ4764*$M4764</f>
        <v>0</v>
      </c>
      <c r="AL4764" s="28"/>
      <c r="AM4764" s="28" t="n">
        <f aca="false">AL4764*$M4764</f>
        <v>0</v>
      </c>
      <c r="AN4764" s="28"/>
      <c r="AO4764" s="28" t="n">
        <f aca="false">AN4764*$M4764</f>
        <v>0</v>
      </c>
      <c r="AP4764" s="28"/>
      <c r="AQ4764" s="28" t="n">
        <f aca="false">AP4764*$M4764</f>
        <v>0</v>
      </c>
      <c r="AR4764" s="28"/>
      <c r="AS4764" s="28" t="n">
        <f aca="false">AR4764*$M4764</f>
        <v>0</v>
      </c>
      <c r="AT4764" s="28"/>
      <c r="AU4764" s="28" t="n">
        <f aca="false">AT4764*$M4764</f>
        <v>0</v>
      </c>
      <c r="AV4764" s="28"/>
      <c r="AW4764" s="28" t="n">
        <f aca="false">AV4764*$M4764</f>
        <v>0</v>
      </c>
      <c r="AX4764" s="28" t="n">
        <f aca="false">25000/100</f>
        <v>250</v>
      </c>
      <c r="AY4764" s="28" t="n">
        <v>3000</v>
      </c>
      <c r="AZ4764" s="30"/>
      <c r="BA4764" s="11" t="n">
        <v>76795</v>
      </c>
      <c r="BB4764" s="31" t="n">
        <f aca="false">SUM(Q4764,S4764,U4764,W4764,Y4764,AA4764,AC4764,AE4764,AG4764,AI4764,AK4764,AM4764,AO4764,AQ4764,AS4764,AU4764,AW4764,AY4764)</f>
        <v>76795</v>
      </c>
      <c r="BC4764" s="28" t="n">
        <f aca="false">BA4764-BB4764</f>
        <v>0</v>
      </c>
      <c r="BD4764" s="32" t="n">
        <f aca="false">SUM(P4764,R4764,T4764,V4764,X4764,Z4764,AB4764,AD4764,AF4764,AH4764,AJ4764,AL4764,AN4764,AP4764,AR4764,AT4764,AV4764,AX4764)</f>
        <v>6399.65</v>
      </c>
      <c r="BE4764" s="33" t="n">
        <f aca="false">AZ4764-BD4764</f>
        <v>-6399.65</v>
      </c>
      <c r="BF4764" s="34" t="n">
        <f aca="false">BD4764*M4764</f>
        <v>76795.8</v>
      </c>
      <c r="BG4764" s="35" t="n">
        <f aca="false">BA4764-BF4764</f>
        <v>-0.799999999988359</v>
      </c>
      <c r="BH4764" s="19" t="str">
        <f aca="false">IF(BG4764=0,"",IF(BG4764&lt;&gt;BA4764,"erreur de calcul",IF(BD4764&lt;&gt;0,"pas de prix",IF(M4764&lt;&gt; 0,"pas de quantité","pas de prix, ni de quantité"))))</f>
        <v>erreur de calcul</v>
      </c>
      <c r="BI4764" s="19"/>
    </row>
    <row r="4765" customFormat="false" ht="15" hidden="false" customHeight="false" outlineLevel="0" collapsed="false">
      <c r="A4765" s="0" t="n">
        <v>36</v>
      </c>
      <c r="B4765" s="8" t="s">
        <v>24</v>
      </c>
      <c r="C4765" s="9" t="s">
        <v>25</v>
      </c>
      <c r="D4765" s="9" t="s">
        <v>26</v>
      </c>
      <c r="E4765" s="10" t="n">
        <v>1789</v>
      </c>
      <c r="F4765" s="9" t="s">
        <v>27</v>
      </c>
      <c r="G4765" s="9" t="s">
        <v>27</v>
      </c>
      <c r="H4765" s="11" t="n">
        <v>23</v>
      </c>
      <c r="I4765" s="11" t="s">
        <v>279</v>
      </c>
      <c r="J4765" s="14" t="n">
        <v>18</v>
      </c>
      <c r="K4765" s="14"/>
      <c r="L4765" s="16"/>
      <c r="M4765" s="27" t="n">
        <f aca="false">J4765+(K4765/20)+(L4765/240)</f>
        <v>18</v>
      </c>
      <c r="N4765" s="17" t="s">
        <v>275</v>
      </c>
      <c r="O4765" s="11"/>
      <c r="P4765" s="28"/>
      <c r="Q4765" s="28" t="n">
        <f aca="false">P4765*$M4765</f>
        <v>0</v>
      </c>
      <c r="R4765" s="28"/>
      <c r="S4765" s="28" t="n">
        <f aca="false">R4765*$M4765</f>
        <v>0</v>
      </c>
      <c r="T4765" s="28" t="n">
        <v>100</v>
      </c>
      <c r="U4765" s="28" t="n">
        <v>1800</v>
      </c>
      <c r="V4765" s="28"/>
      <c r="W4765" s="28" t="n">
        <f aca="false">V4765*$M4765</f>
        <v>0</v>
      </c>
      <c r="X4765" s="28"/>
      <c r="Y4765" s="28" t="n">
        <f aca="false">X4765*$M4765</f>
        <v>0</v>
      </c>
      <c r="Z4765" s="28"/>
      <c r="AA4765" s="28" t="n">
        <f aca="false">Z4765*$M4765</f>
        <v>0</v>
      </c>
      <c r="AB4765" s="28" t="n">
        <v>1936</v>
      </c>
      <c r="AC4765" s="28" t="n">
        <v>34848</v>
      </c>
      <c r="AD4765" s="28"/>
      <c r="AE4765" s="28" t="n">
        <f aca="false">AD4765*$M4765</f>
        <v>0</v>
      </c>
      <c r="AF4765" s="28" t="n">
        <v>600</v>
      </c>
      <c r="AG4765" s="28" t="n">
        <v>10800</v>
      </c>
      <c r="AH4765" s="28"/>
      <c r="AI4765" s="28" t="n">
        <f aca="false">AH4765*$M4765</f>
        <v>0</v>
      </c>
      <c r="AJ4765" s="28"/>
      <c r="AK4765" s="28" t="n">
        <f aca="false">AJ4765*$M4765</f>
        <v>0</v>
      </c>
      <c r="AL4765" s="28" t="n">
        <v>12</v>
      </c>
      <c r="AM4765" s="28" t="n">
        <v>216</v>
      </c>
      <c r="AN4765" s="28"/>
      <c r="AO4765" s="28" t="n">
        <f aca="false">AN4765*$M4765</f>
        <v>0</v>
      </c>
      <c r="AP4765" s="28" t="n">
        <v>12</v>
      </c>
      <c r="AQ4765" s="28" t="n">
        <v>216</v>
      </c>
      <c r="AR4765" s="28"/>
      <c r="AS4765" s="28" t="n">
        <f aca="false">AR4765*$M4765</f>
        <v>0</v>
      </c>
      <c r="AT4765" s="28"/>
      <c r="AU4765" s="28" t="n">
        <f aca="false">AT4765*$M4765</f>
        <v>0</v>
      </c>
      <c r="AV4765" s="28"/>
      <c r="AW4765" s="28" t="n">
        <f aca="false">AV4765*$M4765</f>
        <v>0</v>
      </c>
      <c r="AX4765" s="28"/>
      <c r="AY4765" s="28" t="n">
        <f aca="false">AX4765*$M4765</f>
        <v>0</v>
      </c>
      <c r="AZ4765" s="30" t="n">
        <v>2660</v>
      </c>
      <c r="BA4765" s="11" t="n">
        <v>47880</v>
      </c>
      <c r="BB4765" s="31" t="n">
        <f aca="false">SUM(Q4765,S4765,U4765,W4765,Y4765,AA4765,AC4765,AE4765,AG4765,AI4765,AK4765,AM4765,AO4765,AQ4765,AS4765,AU4765,AW4765,AY4765)</f>
        <v>47880</v>
      </c>
      <c r="BC4765" s="28" t="n">
        <f aca="false">BA4765-BB4765</f>
        <v>0</v>
      </c>
      <c r="BD4765" s="32" t="n">
        <f aca="false">SUM(P4765,R4765,T4765,V4765,X4765,Z4765,AB4765,AD4765,AF4765,AH4765,AJ4765,AL4765,AN4765,AP4765,AR4765,AT4765,AV4765,AX4765)</f>
        <v>2660</v>
      </c>
      <c r="BE4765" s="33" t="n">
        <f aca="false">AZ4765-BD4765</f>
        <v>0</v>
      </c>
      <c r="BF4765" s="34" t="n">
        <f aca="false">BD4765*M4765</f>
        <v>47880</v>
      </c>
      <c r="BG4765" s="35" t="n">
        <f aca="false">BA4765-BF4765</f>
        <v>0</v>
      </c>
      <c r="BH4765" s="19" t="str">
        <f aca="false">IF(BG4765=0,"",IF(BG4765&lt;&gt;BA4765,"erreur de calcul",IF(BD4765&lt;&gt;0,"pas de prix",IF(M4765&lt;&gt; 0,"pas de quantité","pas de prix, ni de quantité"))))</f>
        <v/>
      </c>
      <c r="BI4765" s="19"/>
    </row>
    <row r="4766" customFormat="false" ht="15" hidden="false" customHeight="false" outlineLevel="0" collapsed="false">
      <c r="A4766" s="0" t="n">
        <v>37</v>
      </c>
      <c r="B4766" s="8" t="s">
        <v>24</v>
      </c>
      <c r="C4766" s="9" t="s">
        <v>25</v>
      </c>
      <c r="D4766" s="9" t="s">
        <v>26</v>
      </c>
      <c r="E4766" s="10" t="n">
        <v>1789</v>
      </c>
      <c r="F4766" s="9" t="s">
        <v>27</v>
      </c>
      <c r="G4766" s="9" t="s">
        <v>27</v>
      </c>
      <c r="H4766" s="11" t="n">
        <v>23</v>
      </c>
      <c r="I4766" s="11" t="s">
        <v>280</v>
      </c>
      <c r="J4766" s="14" t="n">
        <v>25</v>
      </c>
      <c r="K4766" s="14"/>
      <c r="L4766" s="16"/>
      <c r="M4766" s="27" t="n">
        <f aca="false">J4766+(K4766/20)+(L4766/240)</f>
        <v>25</v>
      </c>
      <c r="N4766" s="17" t="s">
        <v>64</v>
      </c>
      <c r="O4766" s="11"/>
      <c r="P4766" s="28"/>
      <c r="Q4766" s="28" t="n">
        <f aca="false">P4766*$M4766</f>
        <v>0</v>
      </c>
      <c r="R4766" s="28"/>
      <c r="S4766" s="28" t="n">
        <f aca="false">R4766*$M4766</f>
        <v>0</v>
      </c>
      <c r="T4766" s="28" t="n">
        <f aca="false">1664501/100</f>
        <v>16645.01</v>
      </c>
      <c r="U4766" s="28" t="n">
        <v>416125</v>
      </c>
      <c r="V4766" s="28" t="n">
        <f aca="false">2171980/100</f>
        <v>21719.8</v>
      </c>
      <c r="W4766" s="28" t="n">
        <v>542995</v>
      </c>
      <c r="X4766" s="28" t="n">
        <f aca="false">11567/100</f>
        <v>115.67</v>
      </c>
      <c r="Y4766" s="28" t="n">
        <v>2892</v>
      </c>
      <c r="Z4766" s="28" t="n">
        <f aca="false">985/100</f>
        <v>9.85</v>
      </c>
      <c r="AA4766" s="28" t="n">
        <v>246</v>
      </c>
      <c r="AB4766" s="28" t="n">
        <f aca="false">399494/100</f>
        <v>3994.94</v>
      </c>
      <c r="AC4766" s="28" t="n">
        <v>99873</v>
      </c>
      <c r="AD4766" s="28"/>
      <c r="AE4766" s="28" t="n">
        <f aca="false">AD4766*$M4766</f>
        <v>0</v>
      </c>
      <c r="AF4766" s="28"/>
      <c r="AG4766" s="28" t="n">
        <f aca="false">AF4766*$M4766</f>
        <v>0</v>
      </c>
      <c r="AH4766" s="28"/>
      <c r="AI4766" s="28" t="n">
        <f aca="false">AH4766*$M4766</f>
        <v>0</v>
      </c>
      <c r="AJ4766" s="28"/>
      <c r="AK4766" s="28" t="n">
        <f aca="false">AJ4766*$M4766</f>
        <v>0</v>
      </c>
      <c r="AL4766" s="28"/>
      <c r="AM4766" s="28" t="n">
        <f aca="false">AL4766*$M4766</f>
        <v>0</v>
      </c>
      <c r="AN4766" s="28"/>
      <c r="AO4766" s="28" t="n">
        <f aca="false">AN4766*$M4766</f>
        <v>0</v>
      </c>
      <c r="AP4766" s="28"/>
      <c r="AQ4766" s="28" t="n">
        <f aca="false">AP4766*$M4766</f>
        <v>0</v>
      </c>
      <c r="AR4766" s="28"/>
      <c r="AS4766" s="28" t="n">
        <f aca="false">AR4766*$M4766</f>
        <v>0</v>
      </c>
      <c r="AT4766" s="28"/>
      <c r="AU4766" s="28" t="n">
        <f aca="false">AT4766*$M4766</f>
        <v>0</v>
      </c>
      <c r="AV4766" s="28"/>
      <c r="AW4766" s="28" t="n">
        <f aca="false">AV4766*$M4766</f>
        <v>0</v>
      </c>
      <c r="AX4766" s="28" t="n">
        <f aca="false">57000/100</f>
        <v>570</v>
      </c>
      <c r="AY4766" s="28" t="n">
        <v>14250</v>
      </c>
      <c r="AZ4766" s="30" t="n">
        <f aca="false">4305527/100</f>
        <v>43055.27</v>
      </c>
      <c r="BA4766" s="11" t="n">
        <v>1076381</v>
      </c>
      <c r="BB4766" s="31" t="n">
        <f aca="false">SUM(Q4766,S4766,U4766,W4766,Y4766,AA4766,AC4766,AE4766,AG4766,AI4766,AK4766,AM4766,AO4766,AQ4766,AS4766,AU4766,AW4766,AY4766)</f>
        <v>1076381</v>
      </c>
      <c r="BC4766" s="28" t="n">
        <f aca="false">BA4766-BB4766</f>
        <v>0</v>
      </c>
      <c r="BD4766" s="32" t="n">
        <f aca="false">SUM(P4766,R4766,T4766,V4766,X4766,Z4766,AB4766,AD4766,AF4766,AH4766,AJ4766,AL4766,AN4766,AP4766,AR4766,AT4766,AV4766,AX4766)</f>
        <v>43055.27</v>
      </c>
      <c r="BE4766" s="33" t="n">
        <f aca="false">AZ4766-BD4766</f>
        <v>0</v>
      </c>
      <c r="BF4766" s="34" t="n">
        <f aca="false">BD4766*M4766</f>
        <v>1076381.75</v>
      </c>
      <c r="BG4766" s="35" t="n">
        <f aca="false">BA4766-BF4766</f>
        <v>-0.75</v>
      </c>
      <c r="BH4766" s="19" t="str">
        <f aca="false">IF(BG4766=0,"",IF(BG4766&lt;&gt;BA4766,"erreur de calcul",IF(BD4766&lt;&gt;0,"pas de prix",IF(M4766&lt;&gt; 0,"pas de quantité","pas de prix, ni de quantité"))))</f>
        <v>erreur de calcul</v>
      </c>
      <c r="BI4766" s="19"/>
    </row>
    <row r="4767" customFormat="false" ht="15" hidden="false" customHeight="false" outlineLevel="0" collapsed="false">
      <c r="A4767" s="0" t="n">
        <v>38</v>
      </c>
      <c r="B4767" s="8" t="s">
        <v>24</v>
      </c>
      <c r="C4767" s="9" t="s">
        <v>25</v>
      </c>
      <c r="D4767" s="9" t="s">
        <v>26</v>
      </c>
      <c r="E4767" s="10" t="n">
        <v>1789</v>
      </c>
      <c r="F4767" s="9" t="s">
        <v>27</v>
      </c>
      <c r="G4767" s="9" t="s">
        <v>27</v>
      </c>
      <c r="H4767" s="11" t="n">
        <v>23</v>
      </c>
      <c r="I4767" s="11" t="s">
        <v>281</v>
      </c>
      <c r="J4767" s="14" t="n">
        <v>18</v>
      </c>
      <c r="K4767" s="14"/>
      <c r="L4767" s="16"/>
      <c r="M4767" s="27" t="n">
        <f aca="false">J4767+(K4767/20)+(L4767/240)</f>
        <v>18</v>
      </c>
      <c r="N4767" s="17" t="s">
        <v>275</v>
      </c>
      <c r="O4767" s="11"/>
      <c r="P4767" s="28"/>
      <c r="Q4767" s="28" t="n">
        <f aca="false">P4767*$M4767</f>
        <v>0</v>
      </c>
      <c r="R4767" s="28"/>
      <c r="S4767" s="28" t="n">
        <f aca="false">R4767*$M4767</f>
        <v>0</v>
      </c>
      <c r="T4767" s="28" t="n">
        <v>537</v>
      </c>
      <c r="U4767" s="28" t="n">
        <v>9666</v>
      </c>
      <c r="V4767" s="28"/>
      <c r="W4767" s="28" t="n">
        <f aca="false">V4767*$M4767</f>
        <v>0</v>
      </c>
      <c r="X4767" s="28"/>
      <c r="Y4767" s="28" t="n">
        <f aca="false">X4767*$M4767</f>
        <v>0</v>
      </c>
      <c r="Z4767" s="28"/>
      <c r="AA4767" s="28" t="n">
        <f aca="false">Z4767*$M4767</f>
        <v>0</v>
      </c>
      <c r="AB4767" s="28"/>
      <c r="AC4767" s="28" t="n">
        <f aca="false">AB4767*$M4767</f>
        <v>0</v>
      </c>
      <c r="AD4767" s="28"/>
      <c r="AE4767" s="28" t="n">
        <f aca="false">AD4767*$M4767</f>
        <v>0</v>
      </c>
      <c r="AF4767" s="28"/>
      <c r="AG4767" s="28" t="n">
        <f aca="false">AF4767*$M4767</f>
        <v>0</v>
      </c>
      <c r="AH4767" s="28"/>
      <c r="AI4767" s="28" t="n">
        <f aca="false">AH4767*$M4767</f>
        <v>0</v>
      </c>
      <c r="AJ4767" s="28"/>
      <c r="AK4767" s="28" t="n">
        <f aca="false">AJ4767*$M4767</f>
        <v>0</v>
      </c>
      <c r="AL4767" s="28"/>
      <c r="AM4767" s="28" t="n">
        <f aca="false">AL4767*$M4767</f>
        <v>0</v>
      </c>
      <c r="AN4767" s="28"/>
      <c r="AO4767" s="28" t="n">
        <f aca="false">AN4767*$M4767</f>
        <v>0</v>
      </c>
      <c r="AP4767" s="28"/>
      <c r="AQ4767" s="28" t="n">
        <f aca="false">AP4767*$M4767</f>
        <v>0</v>
      </c>
      <c r="AR4767" s="28"/>
      <c r="AS4767" s="28" t="n">
        <f aca="false">AR4767*$M4767</f>
        <v>0</v>
      </c>
      <c r="AT4767" s="28"/>
      <c r="AU4767" s="28" t="n">
        <f aca="false">AT4767*$M4767</f>
        <v>0</v>
      </c>
      <c r="AV4767" s="28" t="n">
        <v>1700</v>
      </c>
      <c r="AW4767" s="36" t="n">
        <v>33600</v>
      </c>
      <c r="AX4767" s="28"/>
      <c r="AY4767" s="28" t="n">
        <f aca="false">AX4767*$M4767</f>
        <v>0</v>
      </c>
      <c r="AZ4767" s="30" t="n">
        <v>2237</v>
      </c>
      <c r="BA4767" s="11" t="n">
        <v>43266</v>
      </c>
      <c r="BB4767" s="31" t="n">
        <f aca="false">SUM(Q4767,S4767,U4767,W4767,Y4767,AA4767,AC4767,AE4767,AG4767,AI4767,AK4767,AM4767,AO4767,AQ4767,AS4767,AU4767,AW4767,AY4767)</f>
        <v>43266</v>
      </c>
      <c r="BC4767" s="28" t="n">
        <f aca="false">BA4767-BB4767</f>
        <v>0</v>
      </c>
      <c r="BD4767" s="32" t="n">
        <f aca="false">SUM(P4767,R4767,T4767,V4767,X4767,Z4767,AB4767,AD4767,AF4767,AH4767,AJ4767,AL4767,AN4767,AP4767,AR4767,AT4767,AV4767,AX4767)</f>
        <v>2237</v>
      </c>
      <c r="BE4767" s="33" t="n">
        <f aca="false">AZ4767-BD4767</f>
        <v>0</v>
      </c>
      <c r="BF4767" s="34" t="n">
        <f aca="false">BD4767*M4767</f>
        <v>40266</v>
      </c>
      <c r="BG4767" s="35" t="n">
        <f aca="false">BA4767-BF4767</f>
        <v>3000</v>
      </c>
      <c r="BH4767" s="19" t="str">
        <f aca="false">IF(BG4767=0,"",IF(BG4767&lt;&gt;BA4767,"erreur de calcul",IF(BD4767&lt;&gt;0,"pas de prix",IF(M4767&lt;&gt; 0,"pas de quantité","pas de prix, ni de quantité"))))</f>
        <v>erreur de calcul</v>
      </c>
      <c r="BI4767" s="19"/>
    </row>
    <row r="4768" customFormat="false" ht="15" hidden="false" customHeight="false" outlineLevel="0" collapsed="false">
      <c r="A4768" s="0" t="n">
        <v>39</v>
      </c>
      <c r="B4768" s="8" t="s">
        <v>24</v>
      </c>
      <c r="C4768" s="9" t="s">
        <v>25</v>
      </c>
      <c r="D4768" s="9" t="s">
        <v>26</v>
      </c>
      <c r="E4768" s="10" t="n">
        <v>1789</v>
      </c>
      <c r="F4768" s="9" t="s">
        <v>27</v>
      </c>
      <c r="G4768" s="9" t="s">
        <v>27</v>
      </c>
      <c r="H4768" s="11" t="n">
        <v>23</v>
      </c>
      <c r="I4768" s="11" t="s">
        <v>282</v>
      </c>
      <c r="J4768" s="14"/>
      <c r="K4768" s="14"/>
      <c r="L4768" s="16"/>
      <c r="M4768" s="27" t="n">
        <f aca="false">J4768+(K4768/20)+(L4768/240)</f>
        <v>0</v>
      </c>
      <c r="N4768" s="17"/>
      <c r="O4768" s="11"/>
      <c r="P4768" s="28"/>
      <c r="Q4768" s="28" t="n">
        <f aca="false">P4768*$M4768</f>
        <v>0</v>
      </c>
      <c r="R4768" s="28"/>
      <c r="S4768" s="28" t="n">
        <f aca="false">R4768*$M4768</f>
        <v>0</v>
      </c>
      <c r="T4768" s="28"/>
      <c r="U4768" s="28" t="n">
        <v>1962</v>
      </c>
      <c r="V4768" s="28"/>
      <c r="W4768" s="28" t="n">
        <v>148</v>
      </c>
      <c r="X4768" s="28"/>
      <c r="Y4768" s="28" t="n">
        <v>221</v>
      </c>
      <c r="Z4768" s="28"/>
      <c r="AA4768" s="28" t="n">
        <f aca="false">Z4768*$M4768</f>
        <v>0</v>
      </c>
      <c r="AB4768" s="28"/>
      <c r="AC4768" s="28" t="n">
        <v>725</v>
      </c>
      <c r="AD4768" s="28"/>
      <c r="AE4768" s="28" t="n">
        <f aca="false">AD4768*$M4768</f>
        <v>0</v>
      </c>
      <c r="AF4768" s="28"/>
      <c r="AG4768" s="28" t="n">
        <v>414</v>
      </c>
      <c r="AH4768" s="28"/>
      <c r="AI4768" s="28" t="n">
        <f aca="false">AH4768*$M4768</f>
        <v>0</v>
      </c>
      <c r="AJ4768" s="28"/>
      <c r="AK4768" s="28" t="n">
        <f aca="false">AJ4768*$M4768</f>
        <v>0</v>
      </c>
      <c r="AL4768" s="28"/>
      <c r="AM4768" s="28" t="n">
        <f aca="false">AL4768*$M4768</f>
        <v>0</v>
      </c>
      <c r="AN4768" s="28"/>
      <c r="AO4768" s="28" t="n">
        <f aca="false">AN4768*$M4768</f>
        <v>0</v>
      </c>
      <c r="AP4768" s="28"/>
      <c r="AQ4768" s="28" t="n">
        <f aca="false">AP4768*$M4768</f>
        <v>0</v>
      </c>
      <c r="AR4768" s="28"/>
      <c r="AS4768" s="28" t="n">
        <f aca="false">AR4768*$M4768</f>
        <v>0</v>
      </c>
      <c r="AT4768" s="28"/>
      <c r="AU4768" s="28" t="n">
        <v>276</v>
      </c>
      <c r="AV4768" s="28"/>
      <c r="AW4768" s="28" t="n">
        <f aca="false">AV4768*$M4768</f>
        <v>0</v>
      </c>
      <c r="AX4768" s="28"/>
      <c r="AY4768" s="28" t="n">
        <f aca="false">AX4768*$M4768</f>
        <v>0</v>
      </c>
      <c r="AZ4768" s="30"/>
      <c r="BA4768" s="11" t="n">
        <v>3746</v>
      </c>
      <c r="BB4768" s="31" t="n">
        <f aca="false">SUM(Q4768,S4768,U4768,W4768,Y4768,AA4768,AC4768,AE4768,AG4768,AI4768,AK4768,AM4768,AO4768,AQ4768,AS4768,AU4768,AW4768,AY4768)</f>
        <v>3746</v>
      </c>
      <c r="BC4768" s="28" t="n">
        <f aca="false">BA4768-BB4768</f>
        <v>0</v>
      </c>
      <c r="BD4768" s="32" t="n">
        <f aca="false">SUM(P4768,R4768,T4768,V4768,X4768,Z4768,AB4768,AD4768,AF4768,AH4768,AJ4768,AL4768,AN4768,AP4768,AR4768,AT4768,AV4768,AX4768)</f>
        <v>0</v>
      </c>
      <c r="BE4768" s="33" t="n">
        <f aca="false">AZ4768-BD4768</f>
        <v>0</v>
      </c>
      <c r="BF4768" s="34" t="n">
        <f aca="false">BD4768*M4768</f>
        <v>0</v>
      </c>
      <c r="BG4768" s="35" t="n">
        <f aca="false">BA4768-BF4768</f>
        <v>3746</v>
      </c>
      <c r="BH4768" s="19" t="str">
        <f aca="false">IF(BG4768=0,"",IF(BG4768&lt;&gt;BA4768,"erreur de calcul",IF(BD4768&lt;&gt;0,"pas de prix",IF(M4768&lt;&gt; 0,"pas de quantité","pas de prix, ni de quantité"))))</f>
        <v>pas de prix, ni de quantité</v>
      </c>
      <c r="BI4768" s="19"/>
    </row>
    <row r="4769" customFormat="false" ht="15" hidden="false" customHeight="false" outlineLevel="0" collapsed="false">
      <c r="A4769" s="0" t="n">
        <v>40</v>
      </c>
      <c r="B4769" s="8" t="s">
        <v>24</v>
      </c>
      <c r="C4769" s="9" t="s">
        <v>25</v>
      </c>
      <c r="D4769" s="9" t="s">
        <v>26</v>
      </c>
      <c r="E4769" s="10" t="n">
        <v>1789</v>
      </c>
      <c r="F4769" s="9" t="s">
        <v>27</v>
      </c>
      <c r="G4769" s="9" t="s">
        <v>27</v>
      </c>
      <c r="H4769" s="11" t="n">
        <v>23</v>
      </c>
      <c r="I4769" s="11" t="s">
        <v>283</v>
      </c>
      <c r="J4769" s="14" t="n">
        <v>25</v>
      </c>
      <c r="K4769" s="14"/>
      <c r="L4769" s="16"/>
      <c r="M4769" s="27" t="n">
        <f aca="false">J4769+(K4769/20)+(L4769/240)</f>
        <v>25</v>
      </c>
      <c r="N4769" s="17" t="s">
        <v>64</v>
      </c>
      <c r="O4769" s="11"/>
      <c r="P4769" s="28" t="n">
        <f aca="false">12568/100</f>
        <v>125.68</v>
      </c>
      <c r="Q4769" s="28" t="n">
        <v>3142</v>
      </c>
      <c r="R4769" s="28"/>
      <c r="S4769" s="28" t="n">
        <f aca="false">R4769*$M4769</f>
        <v>0</v>
      </c>
      <c r="T4769" s="28"/>
      <c r="U4769" s="28" t="n">
        <f aca="false">T4769*$M4769</f>
        <v>0</v>
      </c>
      <c r="V4769" s="28"/>
      <c r="W4769" s="28" t="n">
        <f aca="false">V4769*$M4769</f>
        <v>0</v>
      </c>
      <c r="X4769" s="28"/>
      <c r="Y4769" s="28" t="n">
        <f aca="false">X4769*$M4769</f>
        <v>0</v>
      </c>
      <c r="Z4769" s="28"/>
      <c r="AA4769" s="28" t="n">
        <f aca="false">Z4769*$M4769</f>
        <v>0</v>
      </c>
      <c r="AB4769" s="28"/>
      <c r="AC4769" s="28" t="n">
        <f aca="false">AB4769*$M4769</f>
        <v>0</v>
      </c>
      <c r="AD4769" s="28"/>
      <c r="AE4769" s="28" t="n">
        <f aca="false">AD4769*$M4769</f>
        <v>0</v>
      </c>
      <c r="AF4769" s="28"/>
      <c r="AG4769" s="28" t="n">
        <f aca="false">AF4769*$M4769</f>
        <v>0</v>
      </c>
      <c r="AH4769" s="28" t="n">
        <f aca="false">5355/100</f>
        <v>53.55</v>
      </c>
      <c r="AI4769" s="28" t="n">
        <v>1339</v>
      </c>
      <c r="AJ4769" s="28"/>
      <c r="AK4769" s="28" t="n">
        <f aca="false">AJ4769*$M4769</f>
        <v>0</v>
      </c>
      <c r="AL4769" s="28"/>
      <c r="AM4769" s="28" t="n">
        <f aca="false">AL4769*$M4769</f>
        <v>0</v>
      </c>
      <c r="AN4769" s="28"/>
      <c r="AO4769" s="28" t="n">
        <f aca="false">AN4769*$M4769</f>
        <v>0</v>
      </c>
      <c r="AP4769" s="28"/>
      <c r="AQ4769" s="28" t="n">
        <f aca="false">AP4769*$M4769</f>
        <v>0</v>
      </c>
      <c r="AR4769" s="28"/>
      <c r="AS4769" s="28" t="n">
        <f aca="false">AR4769*$M4769</f>
        <v>0</v>
      </c>
      <c r="AT4769" s="28"/>
      <c r="AU4769" s="28" t="n">
        <f aca="false">AT4769*$M4769</f>
        <v>0</v>
      </c>
      <c r="AV4769" s="28"/>
      <c r="AW4769" s="28" t="n">
        <f aca="false">AV4769*$M4769</f>
        <v>0</v>
      </c>
      <c r="AX4769" s="28"/>
      <c r="AY4769" s="28" t="n">
        <f aca="false">AX4769*$M4769</f>
        <v>0</v>
      </c>
      <c r="AZ4769" s="30" t="n">
        <f aca="false">17923/100</f>
        <v>179.23</v>
      </c>
      <c r="BA4769" s="11" t="n">
        <v>4481</v>
      </c>
      <c r="BB4769" s="31" t="n">
        <f aca="false">SUM(Q4769,S4769,U4769,W4769,Y4769,AA4769,AC4769,AE4769,AG4769,AI4769,AK4769,AM4769,AO4769,AQ4769,AS4769,AU4769,AW4769,AY4769)</f>
        <v>4481</v>
      </c>
      <c r="BC4769" s="28" t="n">
        <f aca="false">BA4769-BB4769</f>
        <v>0</v>
      </c>
      <c r="BD4769" s="32" t="n">
        <f aca="false">SUM(P4769,R4769,T4769,V4769,X4769,Z4769,AB4769,AD4769,AF4769,AH4769,AJ4769,AL4769,AN4769,AP4769,AR4769,AT4769,AV4769,AX4769)</f>
        <v>179.23</v>
      </c>
      <c r="BE4769" s="33" t="n">
        <f aca="false">AZ4769-BD4769</f>
        <v>0</v>
      </c>
      <c r="BF4769" s="34" t="n">
        <f aca="false">BD4769*M4769</f>
        <v>4480.75</v>
      </c>
      <c r="BG4769" s="35" t="n">
        <f aca="false">BA4769-BF4769</f>
        <v>0.25</v>
      </c>
      <c r="BH4769" s="19" t="str">
        <f aca="false">IF(BG4769=0,"",IF(BG4769&lt;&gt;BA4769,"erreur de calcul",IF(BD4769&lt;&gt;0,"pas de prix",IF(M4769&lt;&gt; 0,"pas de quantité","pas de prix, ni de quantité"))))</f>
        <v>erreur de calcul</v>
      </c>
      <c r="BI4769" s="19"/>
    </row>
    <row r="4770" customFormat="false" ht="15" hidden="false" customHeight="false" outlineLevel="0" collapsed="false">
      <c r="A4770" s="0" t="n">
        <v>41</v>
      </c>
      <c r="B4770" s="8" t="s">
        <v>24</v>
      </c>
      <c r="C4770" s="9" t="s">
        <v>25</v>
      </c>
      <c r="D4770" s="9" t="s">
        <v>26</v>
      </c>
      <c r="E4770" s="10" t="n">
        <v>1789</v>
      </c>
      <c r="F4770" s="9" t="s">
        <v>27</v>
      </c>
      <c r="G4770" s="9" t="s">
        <v>27</v>
      </c>
      <c r="H4770" s="11" t="n">
        <v>23</v>
      </c>
      <c r="I4770" s="11" t="s">
        <v>284</v>
      </c>
      <c r="J4770" s="14" t="n">
        <v>17</v>
      </c>
      <c r="K4770" s="14"/>
      <c r="L4770" s="16"/>
      <c r="M4770" s="27" t="n">
        <f aca="false">J4770+(K4770/20)+(L4770/240)</f>
        <v>17</v>
      </c>
      <c r="N4770" s="17" t="s">
        <v>64</v>
      </c>
      <c r="O4770" s="11"/>
      <c r="P4770" s="28" t="n">
        <f aca="false">56873/100</f>
        <v>568.73</v>
      </c>
      <c r="Q4770" s="36" t="n">
        <v>3981</v>
      </c>
      <c r="R4770" s="28"/>
      <c r="S4770" s="28" t="n">
        <f aca="false">R4770*$M4770</f>
        <v>0</v>
      </c>
      <c r="T4770" s="28"/>
      <c r="U4770" s="28" t="n">
        <f aca="false">T4770*$M4770</f>
        <v>0</v>
      </c>
      <c r="V4770" s="28"/>
      <c r="W4770" s="28" t="n">
        <f aca="false">V4770*$M4770</f>
        <v>0</v>
      </c>
      <c r="X4770" s="28"/>
      <c r="Y4770" s="28" t="n">
        <f aca="false">X4770*$M4770</f>
        <v>0</v>
      </c>
      <c r="Z4770" s="28"/>
      <c r="AA4770" s="28" t="n">
        <f aca="false">Z4770*$M4770</f>
        <v>0</v>
      </c>
      <c r="AB4770" s="28"/>
      <c r="AC4770" s="28" t="n">
        <f aca="false">AB4770*$M4770</f>
        <v>0</v>
      </c>
      <c r="AD4770" s="28"/>
      <c r="AE4770" s="28" t="n">
        <f aca="false">AD4770*$M4770</f>
        <v>0</v>
      </c>
      <c r="AF4770" s="28"/>
      <c r="AG4770" s="28" t="n">
        <f aca="false">AF4770*$M4770</f>
        <v>0</v>
      </c>
      <c r="AH4770" s="28"/>
      <c r="AI4770" s="28" t="n">
        <f aca="false">AH4770*$M4770</f>
        <v>0</v>
      </c>
      <c r="AJ4770" s="28" t="n">
        <f aca="false">19651/100</f>
        <v>196.51</v>
      </c>
      <c r="AK4770" s="28" t="n">
        <v>3341</v>
      </c>
      <c r="AL4770" s="28"/>
      <c r="AM4770" s="28" t="n">
        <f aca="false">AL4770*$M4770</f>
        <v>0</v>
      </c>
      <c r="AN4770" s="28"/>
      <c r="AO4770" s="28" t="n">
        <f aca="false">AN4770*$M4770</f>
        <v>0</v>
      </c>
      <c r="AP4770" s="28"/>
      <c r="AQ4770" s="28" t="n">
        <f aca="false">AP4770*$M4770</f>
        <v>0</v>
      </c>
      <c r="AR4770" s="28"/>
      <c r="AS4770" s="28" t="n">
        <f aca="false">AR4770*$M4770</f>
        <v>0</v>
      </c>
      <c r="AT4770" s="28"/>
      <c r="AU4770" s="28" t="n">
        <f aca="false">AT4770*$M4770</f>
        <v>0</v>
      </c>
      <c r="AV4770" s="28"/>
      <c r="AW4770" s="28" t="n">
        <f aca="false">AV4770*$M4770</f>
        <v>0</v>
      </c>
      <c r="AX4770" s="28"/>
      <c r="AY4770" s="28" t="n">
        <f aca="false">AX4770*$M4770</f>
        <v>0</v>
      </c>
      <c r="AZ4770" s="30" t="n">
        <f aca="false">76524/100</f>
        <v>765.24</v>
      </c>
      <c r="BA4770" s="11" t="n">
        <v>7322</v>
      </c>
      <c r="BB4770" s="31" t="n">
        <f aca="false">SUM(Q4770,S4770,U4770,W4770,Y4770,AA4770,AC4770,AE4770,AG4770,AI4770,AK4770,AM4770,AO4770,AQ4770,AS4770,AU4770,AW4770,AY4770)</f>
        <v>7322</v>
      </c>
      <c r="BC4770" s="28" t="n">
        <f aca="false">BA4770-BB4770</f>
        <v>0</v>
      </c>
      <c r="BD4770" s="32" t="n">
        <f aca="false">SUM(P4770,R4770,T4770,V4770,X4770,Z4770,AB4770,AD4770,AF4770,AH4770,AJ4770,AL4770,AN4770,AP4770,AR4770,AT4770,AV4770,AX4770)</f>
        <v>765.24</v>
      </c>
      <c r="BE4770" s="33" t="n">
        <f aca="false">AZ4770-BD4770</f>
        <v>0</v>
      </c>
      <c r="BF4770" s="34" t="n">
        <f aca="false">BD4770*M4770</f>
        <v>13009.08</v>
      </c>
      <c r="BG4770" s="35" t="n">
        <f aca="false">BA4770-BF4770</f>
        <v>-5687.08</v>
      </c>
      <c r="BH4770" s="19" t="str">
        <f aca="false">IF(BG4770=0,"",IF(BG4770&lt;&gt;BA4770,"erreur de calcul",IF(BD4770&lt;&gt;0,"pas de prix",IF(M4770&lt;&gt; 0,"pas de quantité","pas de prix, ni de quantité"))))</f>
        <v>erreur de calcul</v>
      </c>
      <c r="BI4770" s="19"/>
    </row>
    <row r="4771" customFormat="false" ht="15" hidden="false" customHeight="false" outlineLevel="0" collapsed="false">
      <c r="A4771" s="0" t="n">
        <v>42</v>
      </c>
      <c r="B4771" s="8" t="s">
        <v>24</v>
      </c>
      <c r="C4771" s="9" t="s">
        <v>25</v>
      </c>
      <c r="D4771" s="9" t="s">
        <v>26</v>
      </c>
      <c r="E4771" s="10" t="n">
        <v>1789</v>
      </c>
      <c r="F4771" s="9" t="s">
        <v>27</v>
      </c>
      <c r="G4771" s="9" t="s">
        <v>27</v>
      </c>
      <c r="H4771" s="11" t="n">
        <v>23</v>
      </c>
      <c r="I4771" s="11" t="s">
        <v>285</v>
      </c>
      <c r="J4771" s="14" t="n">
        <v>15</v>
      </c>
      <c r="K4771" s="14"/>
      <c r="L4771" s="16"/>
      <c r="M4771" s="27" t="n">
        <f aca="false">J4771+(K4771/20)+(L4771/240)</f>
        <v>15</v>
      </c>
      <c r="N4771" s="17" t="s">
        <v>64</v>
      </c>
      <c r="O4771" s="11"/>
      <c r="P4771" s="28" t="n">
        <f aca="false">10520/100</f>
        <v>105.2</v>
      </c>
      <c r="Q4771" s="28" t="n">
        <v>1578</v>
      </c>
      <c r="R4771" s="28"/>
      <c r="S4771" s="28" t="n">
        <f aca="false">R4771*$M4771</f>
        <v>0</v>
      </c>
      <c r="T4771" s="28"/>
      <c r="U4771" s="28" t="n">
        <f aca="false">T4771*$M4771</f>
        <v>0</v>
      </c>
      <c r="V4771" s="28"/>
      <c r="W4771" s="28" t="n">
        <f aca="false">V4771*$M4771</f>
        <v>0</v>
      </c>
      <c r="X4771" s="28" t="n">
        <f aca="false">39052/100</f>
        <v>390.52</v>
      </c>
      <c r="Y4771" s="28" t="n">
        <v>5858</v>
      </c>
      <c r="Z4771" s="28"/>
      <c r="AA4771" s="28" t="n">
        <f aca="false">Z4771*$M4771</f>
        <v>0</v>
      </c>
      <c r="AB4771" s="28" t="n">
        <f aca="false">101189/100</f>
        <v>1011.89</v>
      </c>
      <c r="AC4771" s="28" t="n">
        <v>15178</v>
      </c>
      <c r="AD4771" s="28"/>
      <c r="AE4771" s="28" t="n">
        <f aca="false">AD4771*$M4771</f>
        <v>0</v>
      </c>
      <c r="AF4771" s="28" t="n">
        <f aca="false">48408/100</f>
        <v>484.08</v>
      </c>
      <c r="AG4771" s="28" t="n">
        <v>7261</v>
      </c>
      <c r="AH4771" s="28" t="n">
        <f aca="false">17847/100</f>
        <v>178.47</v>
      </c>
      <c r="AI4771" s="28" t="n">
        <v>2677</v>
      </c>
      <c r="AJ4771" s="28"/>
      <c r="AK4771" s="28" t="n">
        <f aca="false">AJ4771*$M4771</f>
        <v>0</v>
      </c>
      <c r="AL4771" s="28"/>
      <c r="AM4771" s="28" t="n">
        <f aca="false">AL4771*$M4771</f>
        <v>0</v>
      </c>
      <c r="AN4771" s="28"/>
      <c r="AO4771" s="28" t="n">
        <f aca="false">AN4771*$M4771</f>
        <v>0</v>
      </c>
      <c r="AP4771" s="28"/>
      <c r="AQ4771" s="28" t="n">
        <f aca="false">AP4771*$M4771</f>
        <v>0</v>
      </c>
      <c r="AR4771" s="28"/>
      <c r="AS4771" s="28" t="n">
        <f aca="false">AR4771*$M4771</f>
        <v>0</v>
      </c>
      <c r="AT4771" s="28"/>
      <c r="AU4771" s="28" t="n">
        <f aca="false">AT4771*$M4771</f>
        <v>0</v>
      </c>
      <c r="AV4771" s="28"/>
      <c r="AW4771" s="28" t="n">
        <f aca="false">AV4771*$M4771</f>
        <v>0</v>
      </c>
      <c r="AX4771" s="28"/>
      <c r="AY4771" s="28" t="n">
        <f aca="false">AX4771*$M4771</f>
        <v>0</v>
      </c>
      <c r="AZ4771" s="30" t="n">
        <f aca="false">217016/100</f>
        <v>2170.16</v>
      </c>
      <c r="BA4771" s="11" t="n">
        <v>32552</v>
      </c>
      <c r="BB4771" s="31" t="n">
        <f aca="false">SUM(Q4771,S4771,U4771,W4771,Y4771,AA4771,AC4771,AE4771,AG4771,AI4771,AK4771,AM4771,AO4771,AQ4771,AS4771,AU4771,AW4771,AY4771)</f>
        <v>32552</v>
      </c>
      <c r="BC4771" s="28" t="n">
        <f aca="false">BA4771-BB4771</f>
        <v>0</v>
      </c>
      <c r="BD4771" s="32" t="n">
        <f aca="false">SUM(P4771,R4771,T4771,V4771,X4771,Z4771,AB4771,AD4771,AF4771,AH4771,AJ4771,AL4771,AN4771,AP4771,AR4771,AT4771,AV4771,AX4771)</f>
        <v>2170.16</v>
      </c>
      <c r="BE4771" s="33" t="n">
        <f aca="false">AZ4771-BD4771</f>
        <v>0</v>
      </c>
      <c r="BF4771" s="34" t="n">
        <f aca="false">BD4771*M4771</f>
        <v>32552.4</v>
      </c>
      <c r="BG4771" s="35" t="n">
        <f aca="false">BA4771-BF4771</f>
        <v>-0.399999999997817</v>
      </c>
      <c r="BH4771" s="19" t="str">
        <f aca="false">IF(BG4771=0,"",IF(BG4771&lt;&gt;BA4771,"erreur de calcul",IF(BD4771&lt;&gt;0,"pas de prix",IF(M4771&lt;&gt; 0,"pas de quantité","pas de prix, ni de quantité"))))</f>
        <v>erreur de calcul</v>
      </c>
      <c r="BI4771" s="19"/>
    </row>
    <row r="4772" customFormat="false" ht="15" hidden="false" customHeight="false" outlineLevel="0" collapsed="false">
      <c r="A4772" s="0" t="n">
        <v>43</v>
      </c>
      <c r="B4772" s="8" t="s">
        <v>24</v>
      </c>
      <c r="C4772" s="9" t="s">
        <v>25</v>
      </c>
      <c r="D4772" s="9" t="s">
        <v>26</v>
      </c>
      <c r="E4772" s="10" t="n">
        <v>1789</v>
      </c>
      <c r="F4772" s="9" t="s">
        <v>27</v>
      </c>
      <c r="G4772" s="9" t="s">
        <v>27</v>
      </c>
      <c r="H4772" s="11" t="n">
        <v>23</v>
      </c>
      <c r="I4772" s="11" t="s">
        <v>286</v>
      </c>
      <c r="J4772" s="14" t="n">
        <v>20</v>
      </c>
      <c r="K4772" s="14"/>
      <c r="L4772" s="16"/>
      <c r="M4772" s="27" t="n">
        <f aca="false">J4772+(K4772/20)+(L4772/240)</f>
        <v>20</v>
      </c>
      <c r="N4772" s="17" t="s">
        <v>64</v>
      </c>
      <c r="O4772" s="11"/>
      <c r="P4772" s="28"/>
      <c r="Q4772" s="28" t="n">
        <f aca="false">P4772*$M4772</f>
        <v>0</v>
      </c>
      <c r="R4772" s="28"/>
      <c r="S4772" s="28" t="n">
        <f aca="false">R4772*$M4772</f>
        <v>0</v>
      </c>
      <c r="T4772" s="28"/>
      <c r="U4772" s="28" t="n">
        <f aca="false">T4772*$M4772</f>
        <v>0</v>
      </c>
      <c r="V4772" s="28"/>
      <c r="W4772" s="28" t="n">
        <f aca="false">V4772*$M4772</f>
        <v>0</v>
      </c>
      <c r="X4772" s="28"/>
      <c r="Y4772" s="28" t="n">
        <f aca="false">X4772*$M4772</f>
        <v>0</v>
      </c>
      <c r="Z4772" s="28"/>
      <c r="AA4772" s="28" t="n">
        <f aca="false">Z4772*$M4772</f>
        <v>0</v>
      </c>
      <c r="AB4772" s="28" t="n">
        <f aca="false">8852/100</f>
        <v>88.52</v>
      </c>
      <c r="AC4772" s="28" t="n">
        <v>1770</v>
      </c>
      <c r="AD4772" s="28"/>
      <c r="AE4772" s="28" t="n">
        <f aca="false">AD4772*$M4772</f>
        <v>0</v>
      </c>
      <c r="AF4772" s="28"/>
      <c r="AG4772" s="28" t="n">
        <f aca="false">AF4772*$M4772</f>
        <v>0</v>
      </c>
      <c r="AH4772" s="28"/>
      <c r="AI4772" s="28" t="n">
        <f aca="false">AH4772*$M4772</f>
        <v>0</v>
      </c>
      <c r="AJ4772" s="28"/>
      <c r="AK4772" s="28" t="n">
        <f aca="false">AJ4772*$M4772</f>
        <v>0</v>
      </c>
      <c r="AL4772" s="28"/>
      <c r="AM4772" s="28" t="n">
        <f aca="false">AL4772*$M4772</f>
        <v>0</v>
      </c>
      <c r="AN4772" s="28"/>
      <c r="AO4772" s="28" t="n">
        <f aca="false">AN4772*$M4772</f>
        <v>0</v>
      </c>
      <c r="AP4772" s="28"/>
      <c r="AQ4772" s="28" t="n">
        <f aca="false">AP4772*$M4772</f>
        <v>0</v>
      </c>
      <c r="AR4772" s="28"/>
      <c r="AS4772" s="28" t="n">
        <f aca="false">AR4772*$M4772</f>
        <v>0</v>
      </c>
      <c r="AT4772" s="28"/>
      <c r="AU4772" s="28" t="n">
        <f aca="false">AT4772*$M4772</f>
        <v>0</v>
      </c>
      <c r="AV4772" s="28"/>
      <c r="AW4772" s="28" t="n">
        <f aca="false">AV4772*$M4772</f>
        <v>0</v>
      </c>
      <c r="AX4772" s="28"/>
      <c r="AY4772" s="28" t="n">
        <f aca="false">AX4772*$M4772</f>
        <v>0</v>
      </c>
      <c r="AZ4772" s="30" t="n">
        <f aca="false">8852/100</f>
        <v>88.52</v>
      </c>
      <c r="BA4772" s="11" t="n">
        <v>1770</v>
      </c>
      <c r="BB4772" s="31" t="n">
        <f aca="false">SUM(Q4772,S4772,U4772,W4772,Y4772,AA4772,AC4772,AE4772,AG4772,AI4772,AK4772,AM4772,AO4772,AQ4772,AS4772,AU4772,AW4772,AY4772)</f>
        <v>1770</v>
      </c>
      <c r="BC4772" s="28" t="n">
        <f aca="false">BA4772-BB4772</f>
        <v>0</v>
      </c>
      <c r="BD4772" s="32" t="n">
        <f aca="false">SUM(P4772,R4772,T4772,V4772,X4772,Z4772,AB4772,AD4772,AF4772,AH4772,AJ4772,AL4772,AN4772,AP4772,AR4772,AT4772,AV4772,AX4772)</f>
        <v>88.52</v>
      </c>
      <c r="BE4772" s="33" t="n">
        <f aca="false">AZ4772-BD4772</f>
        <v>0</v>
      </c>
      <c r="BF4772" s="34" t="n">
        <f aca="false">BD4772*M4772</f>
        <v>1770.4</v>
      </c>
      <c r="BG4772" s="35" t="n">
        <f aca="false">BA4772-BF4772</f>
        <v>-0.399999999999864</v>
      </c>
      <c r="BH4772" s="19" t="str">
        <f aca="false">IF(BG4772=0,"",IF(BG4772&lt;&gt;BA4772,"erreur de calcul",IF(BD4772&lt;&gt;0,"pas de prix",IF(M4772&lt;&gt; 0,"pas de quantité","pas de prix, ni de quantité"))))</f>
        <v>erreur de calcul</v>
      </c>
      <c r="BI4772" s="19"/>
    </row>
    <row r="4773" customFormat="false" ht="15" hidden="false" customHeight="false" outlineLevel="0" collapsed="false">
      <c r="A4773" s="0" t="n">
        <v>44</v>
      </c>
      <c r="B4773" s="8" t="s">
        <v>24</v>
      </c>
      <c r="C4773" s="9" t="s">
        <v>25</v>
      </c>
      <c r="D4773" s="9" t="s">
        <v>26</v>
      </c>
      <c r="E4773" s="10" t="n">
        <v>1789</v>
      </c>
      <c r="F4773" s="9" t="s">
        <v>27</v>
      </c>
      <c r="G4773" s="9" t="s">
        <v>27</v>
      </c>
      <c r="H4773" s="11" t="n">
        <v>23</v>
      </c>
      <c r="I4773" s="11" t="s">
        <v>287</v>
      </c>
      <c r="J4773" s="14" t="n">
        <v>25</v>
      </c>
      <c r="K4773" s="14"/>
      <c r="L4773" s="16"/>
      <c r="M4773" s="27" t="n">
        <f aca="false">J4773+(K4773/20)+(L4773/240)</f>
        <v>25</v>
      </c>
      <c r="N4773" s="17" t="s">
        <v>64</v>
      </c>
      <c r="O4773" s="11" t="s">
        <v>77</v>
      </c>
      <c r="P4773" s="28" t="n">
        <f aca="false">13782/100</f>
        <v>137.82</v>
      </c>
      <c r="Q4773" s="28" t="n">
        <v>3445</v>
      </c>
      <c r="R4773" s="28"/>
      <c r="S4773" s="28" t="n">
        <f aca="false">R4773*$M4773</f>
        <v>0</v>
      </c>
      <c r="T4773" s="28"/>
      <c r="U4773" s="28" t="n">
        <f aca="false">T4773*$M4773</f>
        <v>0</v>
      </c>
      <c r="V4773" s="28" t="n">
        <f aca="false">4293/100</f>
        <v>42.93</v>
      </c>
      <c r="W4773" s="28" t="n">
        <v>1073</v>
      </c>
      <c r="X4773" s="28"/>
      <c r="Y4773" s="28" t="n">
        <f aca="false">X4773*$M4773</f>
        <v>0</v>
      </c>
      <c r="Z4773" s="28"/>
      <c r="AA4773" s="28" t="n">
        <f aca="false">Z4773*$M4773</f>
        <v>0</v>
      </c>
      <c r="AB4773" s="28"/>
      <c r="AC4773" s="28" t="n">
        <f aca="false">AB4773*$M4773</f>
        <v>0</v>
      </c>
      <c r="AD4773" s="28"/>
      <c r="AE4773" s="28" t="n">
        <f aca="false">AD4773*$M4773</f>
        <v>0</v>
      </c>
      <c r="AF4773" s="28"/>
      <c r="AG4773" s="28" t="n">
        <f aca="false">AF4773*$M4773</f>
        <v>0</v>
      </c>
      <c r="AH4773" s="28"/>
      <c r="AI4773" s="28" t="n">
        <f aca="false">AH4773*$M4773</f>
        <v>0</v>
      </c>
      <c r="AJ4773" s="28"/>
      <c r="AK4773" s="28" t="n">
        <f aca="false">AJ4773*$M4773</f>
        <v>0</v>
      </c>
      <c r="AL4773" s="28"/>
      <c r="AM4773" s="28" t="n">
        <f aca="false">AL4773*$M4773</f>
        <v>0</v>
      </c>
      <c r="AN4773" s="28"/>
      <c r="AO4773" s="28" t="n">
        <f aca="false">AN4773*$M4773</f>
        <v>0</v>
      </c>
      <c r="AP4773" s="28"/>
      <c r="AQ4773" s="28" t="n">
        <f aca="false">AP4773*$M4773</f>
        <v>0</v>
      </c>
      <c r="AR4773" s="28"/>
      <c r="AS4773" s="28" t="n">
        <f aca="false">AR4773*$M4773</f>
        <v>0</v>
      </c>
      <c r="AT4773" s="28"/>
      <c r="AU4773" s="28" t="n">
        <f aca="false">AT4773*$M4773</f>
        <v>0</v>
      </c>
      <c r="AV4773" s="28"/>
      <c r="AW4773" s="28" t="n">
        <f aca="false">AV4773*$M4773</f>
        <v>0</v>
      </c>
      <c r="AX4773" s="28"/>
      <c r="AY4773" s="28" t="n">
        <f aca="false">AX4773*$M4773</f>
        <v>0</v>
      </c>
      <c r="AZ4773" s="30" t="n">
        <f aca="false">18075/100</f>
        <v>180.75</v>
      </c>
      <c r="BA4773" s="11" t="n">
        <v>4518</v>
      </c>
      <c r="BB4773" s="31" t="n">
        <f aca="false">SUM(Q4773,S4773,U4773,W4773,Y4773,AA4773,AC4773,AE4773,AG4773,AI4773,AK4773,AM4773,AO4773,AQ4773,AS4773,AU4773,AW4773,AY4773)</f>
        <v>4518</v>
      </c>
      <c r="BC4773" s="28" t="n">
        <f aca="false">BA4773-BB4773</f>
        <v>0</v>
      </c>
      <c r="BD4773" s="32" t="n">
        <f aca="false">SUM(P4773,R4773,T4773,V4773,X4773,Z4773,AB4773,AD4773,AF4773,AH4773,AJ4773,AL4773,AN4773,AP4773,AR4773,AT4773,AV4773,AX4773)</f>
        <v>180.75</v>
      </c>
      <c r="BE4773" s="33" t="n">
        <f aca="false">AZ4773-BD4773</f>
        <v>0</v>
      </c>
      <c r="BF4773" s="34" t="n">
        <f aca="false">BD4773*M4773</f>
        <v>4518.75</v>
      </c>
      <c r="BG4773" s="35" t="n">
        <f aca="false">BA4773-BF4773</f>
        <v>-0.75</v>
      </c>
      <c r="BH4773" s="19" t="str">
        <f aca="false">IF(BG4773=0,"",IF(BG4773&lt;&gt;BA4773,"erreur de calcul",IF(BD4773&lt;&gt;0,"pas de prix",IF(M4773&lt;&gt; 0,"pas de quantité","pas de prix, ni de quantité"))))</f>
        <v>erreur de calcul</v>
      </c>
      <c r="BI4773" s="19"/>
    </row>
    <row r="4774" customFormat="false" ht="15" hidden="false" customHeight="false" outlineLevel="0" collapsed="false">
      <c r="A4774" s="0" t="n">
        <v>1</v>
      </c>
      <c r="B4774" s="8" t="s">
        <v>24</v>
      </c>
      <c r="C4774" s="9" t="s">
        <v>25</v>
      </c>
      <c r="D4774" s="9" t="s">
        <v>26</v>
      </c>
      <c r="E4774" s="10" t="n">
        <v>1789</v>
      </c>
      <c r="F4774" s="9" t="s">
        <v>27</v>
      </c>
      <c r="G4774" s="9" t="s">
        <v>27</v>
      </c>
      <c r="H4774" s="11" t="n">
        <v>24</v>
      </c>
      <c r="I4774" s="11" t="s">
        <v>288</v>
      </c>
      <c r="J4774" s="14" t="n">
        <v>250</v>
      </c>
      <c r="K4774" s="14"/>
      <c r="L4774" s="16"/>
      <c r="M4774" s="27" t="n">
        <f aca="false">J4774+(K4774/20)+(L4774/240)</f>
        <v>250</v>
      </c>
      <c r="N4774" s="17" t="s">
        <v>64</v>
      </c>
      <c r="O4774" s="11"/>
      <c r="P4774" s="28"/>
      <c r="Q4774" s="28" t="n">
        <f aca="false">P4774*$M4774</f>
        <v>0</v>
      </c>
      <c r="R4774" s="28"/>
      <c r="S4774" s="28" t="n">
        <f aca="false">R4774*$M4774</f>
        <v>0</v>
      </c>
      <c r="T4774" s="28"/>
      <c r="U4774" s="28" t="n">
        <f aca="false">T4774*$M4774</f>
        <v>0</v>
      </c>
      <c r="V4774" s="28"/>
      <c r="W4774" s="28" t="n">
        <f aca="false">V4774*$M4774</f>
        <v>0</v>
      </c>
      <c r="X4774" s="28"/>
      <c r="Y4774" s="28" t="n">
        <f aca="false">X4774*$M4774</f>
        <v>0</v>
      </c>
      <c r="Z4774" s="28"/>
      <c r="AA4774" s="28" t="n">
        <f aca="false">Z4774*$M4774</f>
        <v>0</v>
      </c>
      <c r="AB4774" s="28"/>
      <c r="AC4774" s="28" t="n">
        <f aca="false">AB4774*$M4774</f>
        <v>0</v>
      </c>
      <c r="AD4774" s="28"/>
      <c r="AE4774" s="28" t="n">
        <f aca="false">AD4774*$M4774</f>
        <v>0</v>
      </c>
      <c r="AF4774" s="28"/>
      <c r="AG4774" s="28" t="n">
        <f aca="false">AF4774*$M4774</f>
        <v>0</v>
      </c>
      <c r="AH4774" s="28" t="n">
        <f aca="false">5374/100</f>
        <v>53.74</v>
      </c>
      <c r="AI4774" s="28" t="n">
        <v>13435</v>
      </c>
      <c r="AJ4774" s="28"/>
      <c r="AK4774" s="28" t="n">
        <f aca="false">AJ4774*$M4774</f>
        <v>0</v>
      </c>
      <c r="AL4774" s="28"/>
      <c r="AM4774" s="28" t="n">
        <f aca="false">AL4774*$M4774</f>
        <v>0</v>
      </c>
      <c r="AN4774" s="28"/>
      <c r="AO4774" s="28" t="n">
        <f aca="false">AN4774*$M4774</f>
        <v>0</v>
      </c>
      <c r="AP4774" s="28"/>
      <c r="AQ4774" s="28" t="n">
        <f aca="false">AP4774*$M4774</f>
        <v>0</v>
      </c>
      <c r="AR4774" s="28"/>
      <c r="AS4774" s="28" t="n">
        <f aca="false">AR4774*$M4774</f>
        <v>0</v>
      </c>
      <c r="AT4774" s="28"/>
      <c r="AU4774" s="28" t="n">
        <f aca="false">AT4774*$M4774</f>
        <v>0</v>
      </c>
      <c r="AV4774" s="28"/>
      <c r="AW4774" s="28" t="n">
        <f aca="false">AV4774*$M4774</f>
        <v>0</v>
      </c>
      <c r="AX4774" s="28"/>
      <c r="AY4774" s="28" t="n">
        <f aca="false">AX4774*$M4774</f>
        <v>0</v>
      </c>
      <c r="AZ4774" s="30" t="n">
        <f aca="false">5374/100</f>
        <v>53.74</v>
      </c>
      <c r="BA4774" s="11" t="n">
        <v>13435</v>
      </c>
      <c r="BB4774" s="31" t="n">
        <f aca="false">SUM(Q4774,S4774,U4774,W4774,Y4774,AA4774,AC4774,AE4774,AG4774,AI4774,AK4774,AM4774,AO4774,AQ4774,AS4774,AU4774,AW4774,AY4774)</f>
        <v>13435</v>
      </c>
      <c r="BC4774" s="28" t="n">
        <f aca="false">BA4774-BB4774</f>
        <v>0</v>
      </c>
      <c r="BD4774" s="32" t="n">
        <f aca="false">SUM(P4774,R4774,T4774,V4774,X4774,Z4774,AB4774,AD4774,AF4774,AH4774,AJ4774,AL4774,AN4774,AP4774,AR4774,AT4774,AV4774,AX4774)</f>
        <v>53.74</v>
      </c>
      <c r="BE4774" s="33" t="n">
        <f aca="false">AZ4774-BD4774</f>
        <v>0</v>
      </c>
      <c r="BF4774" s="34" t="n">
        <f aca="false">BD4774*M4774</f>
        <v>13435</v>
      </c>
      <c r="BG4774" s="35" t="n">
        <f aca="false">BA4774-BF4774</f>
        <v>0</v>
      </c>
      <c r="BH4774" s="19" t="str">
        <f aca="false">IF(BG4774=0,"",IF(BG4774&lt;&gt;BA4774,"erreur de calcul",IF(BD4774&lt;&gt;0,"pas de prix",IF(M4774&lt;&gt; 0,"pas de quantité","pas de prix, ni de quantité"))))</f>
        <v/>
      </c>
      <c r="BI4774" s="19"/>
    </row>
    <row r="4775" customFormat="false" ht="15" hidden="false" customHeight="false" outlineLevel="0" collapsed="false">
      <c r="A4775" s="0" t="n">
        <v>2</v>
      </c>
      <c r="B4775" s="8" t="s">
        <v>24</v>
      </c>
      <c r="C4775" s="9" t="s">
        <v>25</v>
      </c>
      <c r="D4775" s="9" t="s">
        <v>26</v>
      </c>
      <c r="E4775" s="10" t="n">
        <v>1789</v>
      </c>
      <c r="F4775" s="9" t="s">
        <v>27</v>
      </c>
      <c r="G4775" s="9" t="s">
        <v>27</v>
      </c>
      <c r="H4775" s="11" t="n">
        <v>24</v>
      </c>
      <c r="I4775" s="11" t="s">
        <v>289</v>
      </c>
      <c r="J4775" s="14" t="n">
        <v>3</v>
      </c>
      <c r="K4775" s="14"/>
      <c r="L4775" s="16"/>
      <c r="M4775" s="27" t="n">
        <f aca="false">J4775+(K4775/20)+(L4775/240)</f>
        <v>3</v>
      </c>
      <c r="N4775" s="17" t="s">
        <v>66</v>
      </c>
      <c r="O4775" s="11"/>
      <c r="P4775" s="28"/>
      <c r="Q4775" s="28" t="n">
        <f aca="false">P4775*$M4775</f>
        <v>0</v>
      </c>
      <c r="R4775" s="28"/>
      <c r="S4775" s="28" t="n">
        <f aca="false">R4775*$M4775</f>
        <v>0</v>
      </c>
      <c r="T4775" s="28"/>
      <c r="U4775" s="28" t="n">
        <f aca="false">T4775*$M4775</f>
        <v>0</v>
      </c>
      <c r="V4775" s="28"/>
      <c r="W4775" s="28" t="n">
        <f aca="false">V4775*$M4775</f>
        <v>0</v>
      </c>
      <c r="X4775" s="28"/>
      <c r="Y4775" s="28" t="n">
        <f aca="false">X4775*$M4775</f>
        <v>0</v>
      </c>
      <c r="Z4775" s="28"/>
      <c r="AA4775" s="28" t="n">
        <f aca="false">Z4775*$M4775</f>
        <v>0</v>
      </c>
      <c r="AB4775" s="28"/>
      <c r="AC4775" s="28" t="n">
        <f aca="false">AB4775*$M4775</f>
        <v>0</v>
      </c>
      <c r="AD4775" s="28"/>
      <c r="AE4775" s="28" t="n">
        <f aca="false">AD4775*$M4775</f>
        <v>0</v>
      </c>
      <c r="AF4775" s="28"/>
      <c r="AG4775" s="28" t="n">
        <f aca="false">AF4775*$M4775</f>
        <v>0</v>
      </c>
      <c r="AH4775" s="28" t="n">
        <v>261</v>
      </c>
      <c r="AI4775" s="28" t="n">
        <v>783</v>
      </c>
      <c r="AJ4775" s="28"/>
      <c r="AK4775" s="28" t="n">
        <f aca="false">AJ4775*$M4775</f>
        <v>0</v>
      </c>
      <c r="AL4775" s="28"/>
      <c r="AM4775" s="28" t="n">
        <f aca="false">AL4775*$M4775</f>
        <v>0</v>
      </c>
      <c r="AN4775" s="28"/>
      <c r="AO4775" s="28" t="n">
        <f aca="false">AN4775*$M4775</f>
        <v>0</v>
      </c>
      <c r="AP4775" s="28"/>
      <c r="AQ4775" s="28" t="n">
        <f aca="false">AP4775*$M4775</f>
        <v>0</v>
      </c>
      <c r="AR4775" s="28"/>
      <c r="AS4775" s="28" t="n">
        <f aca="false">AR4775*$M4775</f>
        <v>0</v>
      </c>
      <c r="AT4775" s="28"/>
      <c r="AU4775" s="28" t="n">
        <f aca="false">AT4775*$M4775</f>
        <v>0</v>
      </c>
      <c r="AV4775" s="28"/>
      <c r="AW4775" s="28" t="n">
        <f aca="false">AV4775*$M4775</f>
        <v>0</v>
      </c>
      <c r="AX4775" s="28"/>
      <c r="AY4775" s="28" t="n">
        <f aca="false">AX4775*$M4775</f>
        <v>0</v>
      </c>
      <c r="AZ4775" s="30" t="n">
        <v>261</v>
      </c>
      <c r="BA4775" s="11" t="n">
        <v>783</v>
      </c>
      <c r="BB4775" s="31" t="n">
        <f aca="false">SUM(Q4775,S4775,U4775,W4775,Y4775,AA4775,AC4775,AE4775,AG4775,AI4775,AK4775,AM4775,AO4775,AQ4775,AS4775,AU4775,AW4775,AY4775)</f>
        <v>783</v>
      </c>
      <c r="BC4775" s="28" t="n">
        <f aca="false">BA4775-BB4775</f>
        <v>0</v>
      </c>
      <c r="BD4775" s="32" t="n">
        <f aca="false">SUM(P4775,R4775,T4775,V4775,X4775,Z4775,AB4775,AD4775,AF4775,AH4775,AJ4775,AL4775,AN4775,AP4775,AR4775,AT4775,AV4775,AX4775)</f>
        <v>261</v>
      </c>
      <c r="BE4775" s="33" t="n">
        <f aca="false">AZ4775-BD4775</f>
        <v>0</v>
      </c>
      <c r="BF4775" s="34" t="n">
        <f aca="false">BD4775*M4775</f>
        <v>783</v>
      </c>
      <c r="BG4775" s="35" t="n">
        <f aca="false">BA4775-BF4775</f>
        <v>0</v>
      </c>
      <c r="BH4775" s="19" t="str">
        <f aca="false">IF(BG4775=0,"",IF(BG4775&lt;&gt;BA4775,"erreur de calcul",IF(BD4775&lt;&gt;0,"pas de prix",IF(M4775&lt;&gt; 0,"pas de quantité","pas de prix, ni de quantité"))))</f>
        <v/>
      </c>
      <c r="BI4775" s="19"/>
    </row>
    <row r="4776" customFormat="false" ht="15" hidden="false" customHeight="false" outlineLevel="0" collapsed="false">
      <c r="A4776" s="0" t="n">
        <v>3</v>
      </c>
      <c r="B4776" s="8" t="s">
        <v>24</v>
      </c>
      <c r="C4776" s="9" t="s">
        <v>25</v>
      </c>
      <c r="D4776" s="9" t="s">
        <v>26</v>
      </c>
      <c r="E4776" s="10" t="n">
        <v>1789</v>
      </c>
      <c r="F4776" s="9" t="s">
        <v>27</v>
      </c>
      <c r="G4776" s="9" t="s">
        <v>27</v>
      </c>
      <c r="H4776" s="11" t="n">
        <v>24</v>
      </c>
      <c r="I4776" s="11" t="s">
        <v>290</v>
      </c>
      <c r="J4776" s="14" t="n">
        <v>5</v>
      </c>
      <c r="K4776" s="14"/>
      <c r="L4776" s="16"/>
      <c r="M4776" s="27" t="n">
        <f aca="false">J4776+(K4776/20)+(L4776/240)</f>
        <v>5</v>
      </c>
      <c r="N4776" s="17" t="s">
        <v>66</v>
      </c>
      <c r="O4776" s="11"/>
      <c r="P4776" s="28"/>
      <c r="Q4776" s="28" t="n">
        <f aca="false">P4776*$M4776</f>
        <v>0</v>
      </c>
      <c r="R4776" s="28"/>
      <c r="S4776" s="28" t="n">
        <f aca="false">R4776*$M4776</f>
        <v>0</v>
      </c>
      <c r="T4776" s="28"/>
      <c r="U4776" s="28" t="n">
        <v>4765</v>
      </c>
      <c r="V4776" s="28"/>
      <c r="W4776" s="28" t="n">
        <f aca="false">V4776*$M4776</f>
        <v>0</v>
      </c>
      <c r="X4776" s="28"/>
      <c r="Y4776" s="28" t="n">
        <f aca="false">X4776*$M4776</f>
        <v>0</v>
      </c>
      <c r="Z4776" s="28"/>
      <c r="AA4776" s="28" t="n">
        <f aca="false">Z4776*$M4776</f>
        <v>0</v>
      </c>
      <c r="AB4776" s="28"/>
      <c r="AC4776" s="28" t="n">
        <f aca="false">AB4776*$M4776</f>
        <v>0</v>
      </c>
      <c r="AD4776" s="28"/>
      <c r="AE4776" s="28" t="n">
        <f aca="false">AD4776*$M4776</f>
        <v>0</v>
      </c>
      <c r="AF4776" s="28"/>
      <c r="AG4776" s="28" t="n">
        <f aca="false">AF4776*$M4776</f>
        <v>0</v>
      </c>
      <c r="AH4776" s="28"/>
      <c r="AI4776" s="28" t="n">
        <f aca="false">AH4776*$M4776</f>
        <v>0</v>
      </c>
      <c r="AJ4776" s="28"/>
      <c r="AK4776" s="28" t="n">
        <f aca="false">AJ4776*$M4776</f>
        <v>0</v>
      </c>
      <c r="AL4776" s="28"/>
      <c r="AM4776" s="28" t="n">
        <f aca="false">AL4776*$M4776</f>
        <v>0</v>
      </c>
      <c r="AN4776" s="28"/>
      <c r="AO4776" s="28" t="n">
        <f aca="false">AN4776*$M4776</f>
        <v>0</v>
      </c>
      <c r="AP4776" s="28"/>
      <c r="AQ4776" s="28" t="n">
        <f aca="false">AP4776*$M4776</f>
        <v>0</v>
      </c>
      <c r="AR4776" s="28"/>
      <c r="AS4776" s="28" t="n">
        <f aca="false">AR4776*$M4776</f>
        <v>0</v>
      </c>
      <c r="AT4776" s="28"/>
      <c r="AU4776" s="28" t="n">
        <f aca="false">AT4776*$M4776</f>
        <v>0</v>
      </c>
      <c r="AV4776" s="28"/>
      <c r="AW4776" s="28" t="n">
        <f aca="false">AV4776*$M4776</f>
        <v>0</v>
      </c>
      <c r="AX4776" s="28"/>
      <c r="AY4776" s="28" t="n">
        <f aca="false">AX4776*$M4776</f>
        <v>0</v>
      </c>
      <c r="AZ4776" s="30"/>
      <c r="BA4776" s="11" t="n">
        <v>4765</v>
      </c>
      <c r="BB4776" s="31" t="n">
        <f aca="false">SUM(Q4776,S4776,U4776,W4776,Y4776,AA4776,AC4776,AE4776,AG4776,AI4776,AK4776,AM4776,AO4776,AQ4776,AS4776,AU4776,AW4776,AY4776)</f>
        <v>4765</v>
      </c>
      <c r="BC4776" s="28" t="n">
        <f aca="false">BA4776-BB4776</f>
        <v>0</v>
      </c>
      <c r="BD4776" s="32" t="n">
        <f aca="false">SUM(P4776,R4776,T4776,V4776,X4776,Z4776,AB4776,AD4776,AF4776,AH4776,AJ4776,AL4776,AN4776,AP4776,AR4776,AT4776,AV4776,AX4776)</f>
        <v>0</v>
      </c>
      <c r="BE4776" s="33" t="n">
        <f aca="false">AZ4776-BD4776</f>
        <v>0</v>
      </c>
      <c r="BF4776" s="34" t="n">
        <f aca="false">BD4776*M4776</f>
        <v>0</v>
      </c>
      <c r="BG4776" s="35" t="n">
        <f aca="false">BA4776-BF4776</f>
        <v>4765</v>
      </c>
      <c r="BH4776" s="19" t="str">
        <f aca="false">IF(BG4776=0,"",IF(BG4776&lt;&gt;BA4776,"erreur de calcul",IF(BD4776&lt;&gt;0,"pas de prix",IF(M4776&lt;&gt; 0,"pas de quantité","pas de prix, ni de quantité"))))</f>
        <v>pas de quantité</v>
      </c>
      <c r="BI4776" s="19"/>
    </row>
    <row r="4777" customFormat="false" ht="15" hidden="false" customHeight="false" outlineLevel="0" collapsed="false">
      <c r="A4777" s="0" t="n">
        <v>4</v>
      </c>
      <c r="B4777" s="8" t="s">
        <v>24</v>
      </c>
      <c r="C4777" s="9" t="s">
        <v>25</v>
      </c>
      <c r="D4777" s="9" t="s">
        <v>26</v>
      </c>
      <c r="E4777" s="10" t="n">
        <v>1789</v>
      </c>
      <c r="F4777" s="9" t="s">
        <v>27</v>
      </c>
      <c r="G4777" s="9" t="s">
        <v>27</v>
      </c>
      <c r="H4777" s="11" t="n">
        <v>24</v>
      </c>
      <c r="I4777" s="11" t="s">
        <v>291</v>
      </c>
      <c r="J4777" s="14" t="n">
        <v>36</v>
      </c>
      <c r="K4777" s="14"/>
      <c r="L4777" s="16"/>
      <c r="M4777" s="27" t="n">
        <f aca="false">J4777+(K4777/20)+(L4777/240)</f>
        <v>36</v>
      </c>
      <c r="N4777" s="17" t="s">
        <v>66</v>
      </c>
      <c r="O4777" s="11"/>
      <c r="P4777" s="28"/>
      <c r="Q4777" s="28" t="n">
        <f aca="false">P4777*$M4777</f>
        <v>0</v>
      </c>
      <c r="R4777" s="28"/>
      <c r="S4777" s="28" t="n">
        <f aca="false">R4777*$M4777</f>
        <v>0</v>
      </c>
      <c r="T4777" s="28"/>
      <c r="U4777" s="28" t="n">
        <f aca="false">T4777*$M4777</f>
        <v>0</v>
      </c>
      <c r="V4777" s="28"/>
      <c r="W4777" s="28" t="n">
        <f aca="false">V4777*$M4777</f>
        <v>0</v>
      </c>
      <c r="X4777" s="28"/>
      <c r="Y4777" s="28" t="n">
        <f aca="false">X4777*$M4777</f>
        <v>0</v>
      </c>
      <c r="Z4777" s="28"/>
      <c r="AA4777" s="28" t="n">
        <f aca="false">Z4777*$M4777</f>
        <v>0</v>
      </c>
      <c r="AB4777" s="28"/>
      <c r="AC4777" s="28" t="n">
        <f aca="false">AB4777*$M4777</f>
        <v>0</v>
      </c>
      <c r="AD4777" s="28"/>
      <c r="AE4777" s="28" t="n">
        <f aca="false">AD4777*$M4777</f>
        <v>0</v>
      </c>
      <c r="AF4777" s="28"/>
      <c r="AG4777" s="28" t="n">
        <f aca="false">AF4777*$M4777</f>
        <v>0</v>
      </c>
      <c r="AH4777" s="28"/>
      <c r="AI4777" s="28" t="n">
        <f aca="false">AH4777*$M4777</f>
        <v>0</v>
      </c>
      <c r="AJ4777" s="28" t="n">
        <v>387</v>
      </c>
      <c r="AK4777" s="28" t="n">
        <v>13932</v>
      </c>
      <c r="AL4777" s="28"/>
      <c r="AM4777" s="28" t="n">
        <f aca="false">AL4777*$M4777</f>
        <v>0</v>
      </c>
      <c r="AN4777" s="28"/>
      <c r="AO4777" s="28" t="n">
        <f aca="false">AN4777*$M4777</f>
        <v>0</v>
      </c>
      <c r="AP4777" s="28"/>
      <c r="AQ4777" s="28" t="n">
        <f aca="false">AP4777*$M4777</f>
        <v>0</v>
      </c>
      <c r="AR4777" s="28"/>
      <c r="AS4777" s="28" t="n">
        <f aca="false">AR4777*$M4777</f>
        <v>0</v>
      </c>
      <c r="AT4777" s="28"/>
      <c r="AU4777" s="28" t="n">
        <f aca="false">AT4777*$M4777</f>
        <v>0</v>
      </c>
      <c r="AV4777" s="28"/>
      <c r="AW4777" s="28" t="n">
        <f aca="false">AV4777*$M4777</f>
        <v>0</v>
      </c>
      <c r="AX4777" s="28"/>
      <c r="AY4777" s="28" t="n">
        <f aca="false">AX4777*$M4777</f>
        <v>0</v>
      </c>
      <c r="AZ4777" s="30" t="n">
        <v>387</v>
      </c>
      <c r="BA4777" s="11" t="n">
        <v>13932</v>
      </c>
      <c r="BB4777" s="31" t="n">
        <f aca="false">SUM(Q4777,S4777,U4777,W4777,Y4777,AA4777,AC4777,AE4777,AG4777,AI4777,AK4777,AM4777,AO4777,AQ4777,AS4777,AU4777,AW4777,AY4777)</f>
        <v>13932</v>
      </c>
      <c r="BC4777" s="28" t="n">
        <f aca="false">BA4777-BB4777</f>
        <v>0</v>
      </c>
      <c r="BD4777" s="32" t="n">
        <f aca="false">SUM(P4777,R4777,T4777,V4777,X4777,Z4777,AB4777,AD4777,AF4777,AH4777,AJ4777,AL4777,AN4777,AP4777,AR4777,AT4777,AV4777,AX4777)</f>
        <v>387</v>
      </c>
      <c r="BE4777" s="33" t="n">
        <f aca="false">AZ4777-BD4777</f>
        <v>0</v>
      </c>
      <c r="BF4777" s="34" t="n">
        <f aca="false">BD4777*M4777</f>
        <v>13932</v>
      </c>
      <c r="BG4777" s="35" t="n">
        <f aca="false">BA4777-BF4777</f>
        <v>0</v>
      </c>
      <c r="BH4777" s="19" t="str">
        <f aca="false">IF(BG4777=0,"",IF(BG4777&lt;&gt;BA4777,"erreur de calcul",IF(BD4777&lt;&gt;0,"pas de prix",IF(M4777&lt;&gt; 0,"pas de quantité","pas de prix, ni de quantité"))))</f>
        <v/>
      </c>
      <c r="BI4777" s="19"/>
    </row>
    <row r="4778" customFormat="false" ht="15" hidden="false" customHeight="false" outlineLevel="0" collapsed="false">
      <c r="A4778" s="0" t="n">
        <v>5</v>
      </c>
      <c r="B4778" s="8" t="s">
        <v>24</v>
      </c>
      <c r="C4778" s="9" t="s">
        <v>25</v>
      </c>
      <c r="D4778" s="9" t="s">
        <v>26</v>
      </c>
      <c r="E4778" s="10" t="n">
        <v>1789</v>
      </c>
      <c r="F4778" s="9" t="s">
        <v>27</v>
      </c>
      <c r="G4778" s="9" t="s">
        <v>27</v>
      </c>
      <c r="H4778" s="11" t="n">
        <v>24</v>
      </c>
      <c r="I4778" s="11" t="s">
        <v>292</v>
      </c>
      <c r="J4778" s="14" t="n">
        <v>40</v>
      </c>
      <c r="K4778" s="14"/>
      <c r="L4778" s="16"/>
      <c r="M4778" s="27" t="n">
        <f aca="false">J4778+(K4778/20)+(L4778/240)</f>
        <v>40</v>
      </c>
      <c r="N4778" s="17" t="s">
        <v>64</v>
      </c>
      <c r="O4778" s="11" t="s">
        <v>277</v>
      </c>
      <c r="P4778" s="28"/>
      <c r="Q4778" s="28" t="n">
        <f aca="false">P4778*$M4778</f>
        <v>0</v>
      </c>
      <c r="R4778" s="28"/>
      <c r="S4778" s="28" t="n">
        <f aca="false">R4778*$M4778</f>
        <v>0</v>
      </c>
      <c r="T4778" s="28" t="n">
        <f aca="false">5917/100</f>
        <v>59.17</v>
      </c>
      <c r="U4778" s="28" t="n">
        <v>2367</v>
      </c>
      <c r="V4778" s="28" t="n">
        <f aca="false">12510/100</f>
        <v>125.1</v>
      </c>
      <c r="W4778" s="28" t="n">
        <f aca="false">V4778*$M4778</f>
        <v>5004</v>
      </c>
      <c r="X4778" s="28"/>
      <c r="Y4778" s="28" t="n">
        <f aca="false">X4778*$M4778</f>
        <v>0</v>
      </c>
      <c r="Z4778" s="28"/>
      <c r="AA4778" s="28" t="n">
        <f aca="false">Z4778*$M4778</f>
        <v>0</v>
      </c>
      <c r="AB4778" s="28" t="n">
        <f aca="false">50338/100</f>
        <v>503.38</v>
      </c>
      <c r="AC4778" s="28" t="n">
        <v>20135</v>
      </c>
      <c r="AD4778" s="28"/>
      <c r="AE4778" s="28" t="n">
        <f aca="false">AD4778*$M4778</f>
        <v>0</v>
      </c>
      <c r="AF4778" s="28"/>
      <c r="AG4778" s="28" t="n">
        <f aca="false">AF4778*$M4778</f>
        <v>0</v>
      </c>
      <c r="AH4778" s="28" t="n">
        <f aca="false">440/100</f>
        <v>4.4</v>
      </c>
      <c r="AI4778" s="28" t="n">
        <v>176</v>
      </c>
      <c r="AJ4778" s="28" t="n">
        <f aca="false">18094/100</f>
        <v>180.94</v>
      </c>
      <c r="AK4778" s="28" t="n">
        <v>7238</v>
      </c>
      <c r="AL4778" s="28"/>
      <c r="AM4778" s="28" t="n">
        <f aca="false">AL4778*$M4778</f>
        <v>0</v>
      </c>
      <c r="AN4778" s="28"/>
      <c r="AO4778" s="28" t="n">
        <f aca="false">AN4778*$M4778</f>
        <v>0</v>
      </c>
      <c r="AP4778" s="28"/>
      <c r="AQ4778" s="28" t="n">
        <f aca="false">AP4778*$M4778</f>
        <v>0</v>
      </c>
      <c r="AR4778" s="28"/>
      <c r="AS4778" s="28" t="n">
        <f aca="false">AR4778*$M4778</f>
        <v>0</v>
      </c>
      <c r="AT4778" s="28"/>
      <c r="AU4778" s="28" t="n">
        <f aca="false">AT4778*$M4778</f>
        <v>0</v>
      </c>
      <c r="AV4778" s="28"/>
      <c r="AW4778" s="28" t="n">
        <f aca="false">AV4778*$M4778</f>
        <v>0</v>
      </c>
      <c r="AX4778" s="28"/>
      <c r="AY4778" s="28" t="n">
        <f aca="false">AX4778*$M4778</f>
        <v>0</v>
      </c>
      <c r="AZ4778" s="30" t="n">
        <f aca="false">87279/100</f>
        <v>872.79</v>
      </c>
      <c r="BA4778" s="11" t="n">
        <v>34920</v>
      </c>
      <c r="BB4778" s="31" t="n">
        <f aca="false">SUM(Q4778,S4778,U4778,W4778,Y4778,AA4778,AC4778,AE4778,AG4778,AI4778,AK4778,AM4778,AO4778,AQ4778,AS4778,AU4778,AW4778,AY4778)</f>
        <v>34920</v>
      </c>
      <c r="BC4778" s="28" t="n">
        <f aca="false">BA4778-BB4778</f>
        <v>0</v>
      </c>
      <c r="BD4778" s="32" t="n">
        <f aca="false">SUM(P4778,R4778,T4778,V4778,X4778,Z4778,AB4778,AD4778,AF4778,AH4778,AJ4778,AL4778,AN4778,AP4778,AR4778,AT4778,AV4778,AX4778)</f>
        <v>872.99</v>
      </c>
      <c r="BE4778" s="33" t="n">
        <f aca="false">AZ4778-BD4778</f>
        <v>-0.200000000000045</v>
      </c>
      <c r="BF4778" s="34" t="n">
        <f aca="false">BD4778*M4778</f>
        <v>34919.6</v>
      </c>
      <c r="BG4778" s="35" t="n">
        <f aca="false">BA4778-BF4778</f>
        <v>0.400000000001455</v>
      </c>
      <c r="BH4778" s="19" t="str">
        <f aca="false">IF(BG4778=0,"",IF(BG4778&lt;&gt;BA4778,"erreur de calcul",IF(BD4778&lt;&gt;0,"pas de prix",IF(M4778&lt;&gt; 0,"pas de quantité","pas de prix, ni de quantité"))))</f>
        <v>erreur de calcul</v>
      </c>
      <c r="BI4778" s="19"/>
    </row>
    <row r="4779" customFormat="false" ht="15" hidden="false" customHeight="false" outlineLevel="0" collapsed="false">
      <c r="A4779" s="0" t="n">
        <v>6</v>
      </c>
      <c r="B4779" s="8" t="s">
        <v>24</v>
      </c>
      <c r="C4779" s="9" t="s">
        <v>25</v>
      </c>
      <c r="D4779" s="9" t="s">
        <v>26</v>
      </c>
      <c r="E4779" s="10" t="n">
        <v>1789</v>
      </c>
      <c r="F4779" s="9" t="s">
        <v>27</v>
      </c>
      <c r="G4779" s="9" t="s">
        <v>27</v>
      </c>
      <c r="H4779" s="11" t="n">
        <v>24</v>
      </c>
      <c r="I4779" s="11" t="s">
        <v>293</v>
      </c>
      <c r="J4779" s="14" t="n">
        <v>72</v>
      </c>
      <c r="K4779" s="14"/>
      <c r="L4779" s="16"/>
      <c r="M4779" s="27" t="n">
        <f aca="false">J4779+(K4779/20)+(L4779/240)</f>
        <v>72</v>
      </c>
      <c r="N4779" s="17" t="s">
        <v>294</v>
      </c>
      <c r="O4779" s="11"/>
      <c r="P4779" s="28" t="n">
        <v>16096</v>
      </c>
      <c r="Q4779" s="28" t="n">
        <v>1158912</v>
      </c>
      <c r="R4779" s="28"/>
      <c r="S4779" s="28" t="n">
        <f aca="false">R4779*$M4779</f>
        <v>0</v>
      </c>
      <c r="T4779" s="28" t="n">
        <v>6580</v>
      </c>
      <c r="U4779" s="28" t="n">
        <v>473760</v>
      </c>
      <c r="V4779" s="28" t="n">
        <v>21336</v>
      </c>
      <c r="W4779" s="28" t="n">
        <v>1536192</v>
      </c>
      <c r="X4779" s="28" t="n">
        <v>905</v>
      </c>
      <c r="Y4779" s="28" t="n">
        <v>65160</v>
      </c>
      <c r="Z4779" s="28" t="n">
        <v>250</v>
      </c>
      <c r="AA4779" s="28" t="n">
        <v>18000</v>
      </c>
      <c r="AB4779" s="28" t="n">
        <v>155034</v>
      </c>
      <c r="AC4779" s="28" t="n">
        <v>11162448</v>
      </c>
      <c r="AD4779" s="28"/>
      <c r="AE4779" s="28" t="n">
        <f aca="false">AD4779*$M4779</f>
        <v>0</v>
      </c>
      <c r="AF4779" s="28" t="n">
        <v>18739</v>
      </c>
      <c r="AG4779" s="28" t="n">
        <v>1349208</v>
      </c>
      <c r="AH4779" s="28" t="n">
        <v>44032</v>
      </c>
      <c r="AI4779" s="28" t="n">
        <v>3170304</v>
      </c>
      <c r="AJ4779" s="28"/>
      <c r="AK4779" s="28" t="n">
        <f aca="false">AJ4779*$M4779</f>
        <v>0</v>
      </c>
      <c r="AL4779" s="28"/>
      <c r="AM4779" s="28" t="n">
        <f aca="false">AL4779*$M4779</f>
        <v>0</v>
      </c>
      <c r="AN4779" s="28"/>
      <c r="AO4779" s="28" t="n">
        <f aca="false">AN4779*$M4779</f>
        <v>0</v>
      </c>
      <c r="AP4779" s="28"/>
      <c r="AQ4779" s="28" t="n">
        <f aca="false">AP4779*$M4779</f>
        <v>0</v>
      </c>
      <c r="AR4779" s="28"/>
      <c r="AS4779" s="28" t="n">
        <f aca="false">AR4779*$M4779</f>
        <v>0</v>
      </c>
      <c r="AT4779" s="28"/>
      <c r="AU4779" s="28" t="n">
        <f aca="false">AT4779*$M4779</f>
        <v>0</v>
      </c>
      <c r="AV4779" s="28"/>
      <c r="AW4779" s="28" t="n">
        <f aca="false">AV4779*$M4779</f>
        <v>0</v>
      </c>
      <c r="AX4779" s="28"/>
      <c r="AY4779" s="28" t="n">
        <f aca="false">AX4779*$M4779</f>
        <v>0</v>
      </c>
      <c r="AZ4779" s="30" t="n">
        <v>262972</v>
      </c>
      <c r="BA4779" s="11" t="n">
        <v>18933984</v>
      </c>
      <c r="BB4779" s="31" t="n">
        <f aca="false">SUM(Q4779,S4779,U4779,W4779,Y4779,AA4779,AC4779,AE4779,AG4779,AI4779,AK4779,AM4779,AO4779,AQ4779,AS4779,AU4779,AW4779,AY4779)</f>
        <v>18933984</v>
      </c>
      <c r="BC4779" s="28" t="n">
        <f aca="false">BA4779-BB4779</f>
        <v>0</v>
      </c>
      <c r="BD4779" s="32" t="n">
        <f aca="false">SUM(P4779,R4779,T4779,V4779,X4779,Z4779,AB4779,AD4779,AF4779,AH4779,AJ4779,AL4779,AN4779,AP4779,AR4779,AT4779,AV4779,AX4779)</f>
        <v>262972</v>
      </c>
      <c r="BE4779" s="33" t="n">
        <f aca="false">AZ4779-BD4779</f>
        <v>0</v>
      </c>
      <c r="BF4779" s="34" t="n">
        <f aca="false">BD4779*M4779</f>
        <v>18933984</v>
      </c>
      <c r="BG4779" s="35" t="n">
        <f aca="false">BA4779-BF4779</f>
        <v>0</v>
      </c>
      <c r="BH4779" s="19" t="str">
        <f aca="false">IF(BG4779=0,"",IF(BG4779&lt;&gt;BA4779,"erreur de calcul",IF(BD4779&lt;&gt;0,"pas de prix",IF(M4779&lt;&gt; 0,"pas de quantité","pas de prix, ni de quantité"))))</f>
        <v/>
      </c>
      <c r="BI4779" s="19" t="s">
        <v>295</v>
      </c>
    </row>
    <row r="4780" customFormat="false" ht="15" hidden="false" customHeight="false" outlineLevel="0" collapsed="false">
      <c r="A4780" s="0" t="n">
        <v>7</v>
      </c>
      <c r="B4780" s="8" t="s">
        <v>24</v>
      </c>
      <c r="C4780" s="9" t="s">
        <v>25</v>
      </c>
      <c r="D4780" s="9" t="s">
        <v>26</v>
      </c>
      <c r="E4780" s="10" t="n">
        <v>1789</v>
      </c>
      <c r="F4780" s="9" t="s">
        <v>27</v>
      </c>
      <c r="G4780" s="9" t="s">
        <v>27</v>
      </c>
      <c r="H4780" s="11" t="n">
        <v>24</v>
      </c>
      <c r="I4780" s="11" t="s">
        <v>296</v>
      </c>
      <c r="J4780" s="14" t="n">
        <v>35</v>
      </c>
      <c r="K4780" s="14"/>
      <c r="L4780" s="16"/>
      <c r="M4780" s="27" t="n">
        <f aca="false">J4780+(K4780/20)+(L4780/240)</f>
        <v>35</v>
      </c>
      <c r="N4780" s="17" t="s">
        <v>64</v>
      </c>
      <c r="O4780" s="11" t="s">
        <v>98</v>
      </c>
      <c r="P4780" s="28"/>
      <c r="Q4780" s="28" t="n">
        <f aca="false">P4780*$M4780</f>
        <v>0</v>
      </c>
      <c r="R4780" s="28"/>
      <c r="S4780" s="28" t="n">
        <f aca="false">R4780*$M4780</f>
        <v>0</v>
      </c>
      <c r="T4780" s="28"/>
      <c r="U4780" s="28" t="n">
        <f aca="false">T4780*$M4780</f>
        <v>0</v>
      </c>
      <c r="V4780" s="28"/>
      <c r="W4780" s="28" t="n">
        <f aca="false">V4780*$M4780</f>
        <v>0</v>
      </c>
      <c r="X4780" s="28"/>
      <c r="Y4780" s="28" t="n">
        <f aca="false">X4780*$M4780</f>
        <v>0</v>
      </c>
      <c r="Z4780" s="28"/>
      <c r="AA4780" s="28" t="n">
        <f aca="false">Z4780*$M4780</f>
        <v>0</v>
      </c>
      <c r="AB4780" s="28"/>
      <c r="AC4780" s="28" t="n">
        <f aca="false">AB4780*$M4780</f>
        <v>0</v>
      </c>
      <c r="AD4780" s="28"/>
      <c r="AE4780" s="28" t="n">
        <f aca="false">AD4780*$M4780</f>
        <v>0</v>
      </c>
      <c r="AF4780" s="28"/>
      <c r="AG4780" s="28" t="n">
        <f aca="false">AF4780*$M4780</f>
        <v>0</v>
      </c>
      <c r="AH4780" s="28"/>
      <c r="AI4780" s="28" t="n">
        <f aca="false">AH4780*$M4780</f>
        <v>0</v>
      </c>
      <c r="AJ4780" s="28"/>
      <c r="AK4780" s="28" t="n">
        <f aca="false">AJ4780*$M4780</f>
        <v>0</v>
      </c>
      <c r="AL4780" s="28"/>
      <c r="AM4780" s="28" t="n">
        <f aca="false">AL4780*$M4780</f>
        <v>0</v>
      </c>
      <c r="AN4780" s="28"/>
      <c r="AO4780" s="28" t="n">
        <f aca="false">AN4780*$M4780</f>
        <v>0</v>
      </c>
      <c r="AP4780" s="28"/>
      <c r="AQ4780" s="28" t="n">
        <f aca="false">AP4780*$M4780</f>
        <v>0</v>
      </c>
      <c r="AR4780" s="28"/>
      <c r="AS4780" s="28" t="n">
        <f aca="false">AR4780*$M4780</f>
        <v>0</v>
      </c>
      <c r="AT4780" s="28"/>
      <c r="AU4780" s="28" t="n">
        <f aca="false">AT4780*$M4780</f>
        <v>0</v>
      </c>
      <c r="AV4780" s="28"/>
      <c r="AW4780" s="28" t="n">
        <f aca="false">AV4780*$M4780</f>
        <v>0</v>
      </c>
      <c r="AX4780" s="28"/>
      <c r="AY4780" s="28" t="n">
        <f aca="false">AX4780*$M4780</f>
        <v>0</v>
      </c>
      <c r="AZ4780" s="30"/>
      <c r="BA4780" s="11"/>
      <c r="BB4780" s="31" t="n">
        <f aca="false">SUM(Q4780,S4780,U4780,W4780,Y4780,AA4780,AC4780,AE4780,AG4780,AI4780,AK4780,AM4780,AO4780,AQ4780,AS4780,AU4780,AW4780,AY4780)</f>
        <v>0</v>
      </c>
      <c r="BC4780" s="28" t="n">
        <f aca="false">BA4780-BB4780</f>
        <v>0</v>
      </c>
      <c r="BD4780" s="32" t="n">
        <f aca="false">SUM(P4780,R4780,T4780,V4780,X4780,Z4780,AB4780,AD4780,AF4780,AH4780,AJ4780,AL4780,AN4780,AP4780,AR4780,AT4780,AV4780,AX4780)</f>
        <v>0</v>
      </c>
      <c r="BE4780" s="33" t="n">
        <f aca="false">AZ4780-BD4780</f>
        <v>0</v>
      </c>
      <c r="BF4780" s="34" t="n">
        <f aca="false">BD4780*M4780</f>
        <v>0</v>
      </c>
      <c r="BG4780" s="35" t="n">
        <f aca="false">BA4780-BF4780</f>
        <v>0</v>
      </c>
      <c r="BH4780" s="19" t="str">
        <f aca="false">IF(BG4780=0,"",IF(BG4780&lt;&gt;BA4780,"erreur de calcul",IF(BD4780&lt;&gt;0,"pas de prix",IF(M4780&lt;&gt; 0,"pas de quantité","pas de prix, ni de quantité"))))</f>
        <v/>
      </c>
      <c r="BI4780" s="19"/>
    </row>
    <row r="4781" customFormat="false" ht="15" hidden="false" customHeight="false" outlineLevel="0" collapsed="false">
      <c r="A4781" s="0" t="n">
        <v>8</v>
      </c>
      <c r="B4781" s="8" t="s">
        <v>24</v>
      </c>
      <c r="C4781" s="9" t="s">
        <v>25</v>
      </c>
      <c r="D4781" s="9" t="s">
        <v>26</v>
      </c>
      <c r="E4781" s="10" t="n">
        <v>1789</v>
      </c>
      <c r="F4781" s="9" t="s">
        <v>27</v>
      </c>
      <c r="G4781" s="9" t="s">
        <v>27</v>
      </c>
      <c r="H4781" s="11" t="n">
        <v>24</v>
      </c>
      <c r="I4781" s="11" t="s">
        <v>297</v>
      </c>
      <c r="J4781" s="14" t="n">
        <v>45</v>
      </c>
      <c r="K4781" s="14"/>
      <c r="L4781" s="16"/>
      <c r="M4781" s="27" t="n">
        <f aca="false">J4781+(K4781/20)+(L4781/240)</f>
        <v>45</v>
      </c>
      <c r="N4781" s="17" t="s">
        <v>64</v>
      </c>
      <c r="O4781" s="11"/>
      <c r="P4781" s="28"/>
      <c r="Q4781" s="28" t="n">
        <f aca="false">P4781*$M4781</f>
        <v>0</v>
      </c>
      <c r="R4781" s="28"/>
      <c r="S4781" s="28" t="n">
        <f aca="false">R4781*$M4781</f>
        <v>0</v>
      </c>
      <c r="T4781" s="28"/>
      <c r="U4781" s="28" t="n">
        <f aca="false">T4781*$M4781</f>
        <v>0</v>
      </c>
      <c r="V4781" s="28"/>
      <c r="W4781" s="28" t="n">
        <f aca="false">V4781*$M4781</f>
        <v>0</v>
      </c>
      <c r="X4781" s="28"/>
      <c r="Y4781" s="28" t="n">
        <f aca="false">X4781*$M4781</f>
        <v>0</v>
      </c>
      <c r="Z4781" s="28"/>
      <c r="AA4781" s="28" t="n">
        <f aca="false">Z4781*$M4781</f>
        <v>0</v>
      </c>
      <c r="AB4781" s="28"/>
      <c r="AC4781" s="28" t="n">
        <f aca="false">AB4781*$M4781</f>
        <v>0</v>
      </c>
      <c r="AD4781" s="28"/>
      <c r="AE4781" s="28" t="n">
        <f aca="false">AD4781*$M4781</f>
        <v>0</v>
      </c>
      <c r="AF4781" s="28"/>
      <c r="AG4781" s="28" t="n">
        <f aca="false">AF4781*$M4781</f>
        <v>0</v>
      </c>
      <c r="AH4781" s="28"/>
      <c r="AI4781" s="28" t="n">
        <f aca="false">AH4781*$M4781</f>
        <v>0</v>
      </c>
      <c r="AJ4781" s="28"/>
      <c r="AK4781" s="28" t="n">
        <f aca="false">AJ4781*$M4781</f>
        <v>0</v>
      </c>
      <c r="AL4781" s="28"/>
      <c r="AM4781" s="28" t="n">
        <f aca="false">AL4781*$M4781</f>
        <v>0</v>
      </c>
      <c r="AN4781" s="28"/>
      <c r="AO4781" s="28" t="n">
        <f aca="false">AN4781*$M4781</f>
        <v>0</v>
      </c>
      <c r="AP4781" s="28"/>
      <c r="AQ4781" s="28" t="n">
        <f aca="false">AP4781*$M4781</f>
        <v>0</v>
      </c>
      <c r="AR4781" s="28"/>
      <c r="AS4781" s="28" t="n">
        <f aca="false">AR4781*$M4781</f>
        <v>0</v>
      </c>
      <c r="AT4781" s="28"/>
      <c r="AU4781" s="28" t="n">
        <f aca="false">AT4781*$M4781</f>
        <v>0</v>
      </c>
      <c r="AV4781" s="28"/>
      <c r="AW4781" s="28" t="n">
        <f aca="false">AV4781*$M4781</f>
        <v>0</v>
      </c>
      <c r="AX4781" s="28" t="n">
        <f aca="false">44459/100</f>
        <v>444.59</v>
      </c>
      <c r="AY4781" s="28" t="n">
        <v>20006</v>
      </c>
      <c r="AZ4781" s="30" t="n">
        <f aca="false">44459/100</f>
        <v>444.59</v>
      </c>
      <c r="BA4781" s="11" t="n">
        <v>20006</v>
      </c>
      <c r="BB4781" s="31" t="n">
        <f aca="false">SUM(Q4781,S4781,U4781,W4781,Y4781,AA4781,AC4781,AE4781,AG4781,AI4781,AK4781,AM4781,AO4781,AQ4781,AS4781,AU4781,AW4781,AY4781)</f>
        <v>20006</v>
      </c>
      <c r="BC4781" s="28" t="n">
        <f aca="false">BA4781-BB4781</f>
        <v>0</v>
      </c>
      <c r="BD4781" s="32" t="n">
        <f aca="false">SUM(P4781,R4781,T4781,V4781,X4781,Z4781,AB4781,AD4781,AF4781,AH4781,AJ4781,AL4781,AN4781,AP4781,AR4781,AT4781,AV4781,AX4781)</f>
        <v>444.59</v>
      </c>
      <c r="BE4781" s="33" t="n">
        <f aca="false">AZ4781-BD4781</f>
        <v>0</v>
      </c>
      <c r="BF4781" s="34" t="n">
        <f aca="false">BD4781*M4781</f>
        <v>20006.55</v>
      </c>
      <c r="BG4781" s="35" t="n">
        <f aca="false">BA4781-BF4781</f>
        <v>-0.549999999999272</v>
      </c>
      <c r="BH4781" s="19" t="str">
        <f aca="false">IF(BG4781=0,"",IF(BG4781&lt;&gt;BA4781,"erreur de calcul",IF(BD4781&lt;&gt;0,"pas de prix",IF(M4781&lt;&gt; 0,"pas de quantité","pas de prix, ni de quantité"))))</f>
        <v>erreur de calcul</v>
      </c>
      <c r="BI4781" s="19"/>
    </row>
    <row r="4782" customFormat="false" ht="15" hidden="false" customHeight="false" outlineLevel="0" collapsed="false">
      <c r="A4782" s="0" t="n">
        <v>9</v>
      </c>
      <c r="B4782" s="8" t="s">
        <v>24</v>
      </c>
      <c r="C4782" s="9" t="s">
        <v>25</v>
      </c>
      <c r="D4782" s="9" t="s">
        <v>26</v>
      </c>
      <c r="E4782" s="10" t="n">
        <v>1789</v>
      </c>
      <c r="F4782" s="9" t="s">
        <v>27</v>
      </c>
      <c r="G4782" s="9" t="s">
        <v>27</v>
      </c>
      <c r="H4782" s="11" t="n">
        <v>24</v>
      </c>
      <c r="I4782" s="11" t="s">
        <v>298</v>
      </c>
      <c r="J4782" s="14" t="n">
        <v>550</v>
      </c>
      <c r="K4782" s="14"/>
      <c r="L4782" s="16"/>
      <c r="M4782" s="27" t="n">
        <f aca="false">J4782+(K4782/20)+(L4782/240)</f>
        <v>550</v>
      </c>
      <c r="N4782" s="17" t="s">
        <v>64</v>
      </c>
      <c r="O4782" s="11"/>
      <c r="P4782" s="28"/>
      <c r="Q4782" s="28" t="n">
        <f aca="false">P4782*$M4782</f>
        <v>0</v>
      </c>
      <c r="R4782" s="28"/>
      <c r="S4782" s="28" t="n">
        <f aca="false">R4782*$M4782</f>
        <v>0</v>
      </c>
      <c r="T4782" s="28"/>
      <c r="U4782" s="28" t="n">
        <f aca="false">T4782*$M4782</f>
        <v>0</v>
      </c>
      <c r="V4782" s="28"/>
      <c r="W4782" s="28" t="n">
        <f aca="false">V4782*$M4782</f>
        <v>0</v>
      </c>
      <c r="X4782" s="28"/>
      <c r="Y4782" s="28" t="n">
        <f aca="false">X4782*$M4782</f>
        <v>0</v>
      </c>
      <c r="Z4782" s="28"/>
      <c r="AA4782" s="28" t="n">
        <f aca="false">Z4782*$M4782</f>
        <v>0</v>
      </c>
      <c r="AB4782" s="28"/>
      <c r="AC4782" s="28" t="n">
        <f aca="false">AB4782*$M4782</f>
        <v>0</v>
      </c>
      <c r="AD4782" s="28"/>
      <c r="AE4782" s="28" t="n">
        <f aca="false">AD4782*$M4782</f>
        <v>0</v>
      </c>
      <c r="AF4782" s="28" t="n">
        <f aca="false">200/100</f>
        <v>2</v>
      </c>
      <c r="AG4782" s="28" t="n">
        <v>1100</v>
      </c>
      <c r="AH4782" s="28"/>
      <c r="AI4782" s="28" t="n">
        <f aca="false">AH4782*$M4782</f>
        <v>0</v>
      </c>
      <c r="AJ4782" s="28"/>
      <c r="AK4782" s="28" t="n">
        <f aca="false">AJ4782*$M4782</f>
        <v>0</v>
      </c>
      <c r="AL4782" s="28"/>
      <c r="AM4782" s="28" t="n">
        <f aca="false">AL4782*$M4782</f>
        <v>0</v>
      </c>
      <c r="AN4782" s="28"/>
      <c r="AO4782" s="28" t="n">
        <f aca="false">AN4782*$M4782</f>
        <v>0</v>
      </c>
      <c r="AP4782" s="28"/>
      <c r="AQ4782" s="28" t="n">
        <f aca="false">AP4782*$M4782</f>
        <v>0</v>
      </c>
      <c r="AR4782" s="28"/>
      <c r="AS4782" s="28" t="n">
        <f aca="false">AR4782*$M4782</f>
        <v>0</v>
      </c>
      <c r="AT4782" s="28"/>
      <c r="AU4782" s="28" t="n">
        <f aca="false">AT4782*$M4782</f>
        <v>0</v>
      </c>
      <c r="AV4782" s="28"/>
      <c r="AW4782" s="28" t="n">
        <f aca="false">AV4782*$M4782</f>
        <v>0</v>
      </c>
      <c r="AX4782" s="28"/>
      <c r="AY4782" s="28" t="n">
        <f aca="false">AX4782*$M4782</f>
        <v>0</v>
      </c>
      <c r="AZ4782" s="30" t="n">
        <f aca="false">200/100</f>
        <v>2</v>
      </c>
      <c r="BA4782" s="11" t="n">
        <v>1100</v>
      </c>
      <c r="BB4782" s="31" t="n">
        <f aca="false">SUM(Q4782,S4782,U4782,W4782,Y4782,AA4782,AC4782,AE4782,AG4782,AI4782,AK4782,AM4782,AO4782,AQ4782,AS4782,AU4782,AW4782,AY4782)</f>
        <v>1100</v>
      </c>
      <c r="BC4782" s="28" t="n">
        <f aca="false">BA4782-BB4782</f>
        <v>0</v>
      </c>
      <c r="BD4782" s="32" t="n">
        <f aca="false">SUM(P4782,R4782,T4782,V4782,X4782,Z4782,AB4782,AD4782,AF4782,AH4782,AJ4782,AL4782,AN4782,AP4782,AR4782,AT4782,AV4782,AX4782)</f>
        <v>2</v>
      </c>
      <c r="BE4782" s="33" t="n">
        <f aca="false">AZ4782-BD4782</f>
        <v>0</v>
      </c>
      <c r="BF4782" s="34" t="n">
        <f aca="false">BD4782*M4782</f>
        <v>1100</v>
      </c>
      <c r="BG4782" s="35" t="n">
        <f aca="false">BA4782-BF4782</f>
        <v>0</v>
      </c>
      <c r="BH4782" s="19" t="str">
        <f aca="false">IF(BG4782=0,"",IF(BG4782&lt;&gt;BA4782,"erreur de calcul",IF(BD4782&lt;&gt;0,"pas de prix",IF(M4782&lt;&gt; 0,"pas de quantité","pas de prix, ni de quantité"))))</f>
        <v/>
      </c>
      <c r="BI4782" s="19"/>
    </row>
    <row r="4783" customFormat="false" ht="15" hidden="false" customHeight="false" outlineLevel="0" collapsed="false">
      <c r="A4783" s="0" t="n">
        <v>10</v>
      </c>
      <c r="B4783" s="8" t="s">
        <v>24</v>
      </c>
      <c r="C4783" s="9" t="s">
        <v>25</v>
      </c>
      <c r="D4783" s="9" t="s">
        <v>26</v>
      </c>
      <c r="E4783" s="10" t="n">
        <v>1789</v>
      </c>
      <c r="F4783" s="9" t="s">
        <v>27</v>
      </c>
      <c r="G4783" s="9" t="s">
        <v>27</v>
      </c>
      <c r="H4783" s="11" t="n">
        <v>24</v>
      </c>
      <c r="I4783" s="11" t="s">
        <v>299</v>
      </c>
      <c r="J4783" s="14" t="n">
        <v>16</v>
      </c>
      <c r="K4783" s="14"/>
      <c r="L4783" s="16"/>
      <c r="M4783" s="27" t="n">
        <f aca="false">J4783+(K4783/20)+(L4783/240)</f>
        <v>16</v>
      </c>
      <c r="N4783" s="17" t="s">
        <v>64</v>
      </c>
      <c r="O4783" s="11"/>
      <c r="P4783" s="28" t="n">
        <f aca="false">20*288*0.02+252*0.02</f>
        <v>120.24</v>
      </c>
      <c r="Q4783" s="28" t="n">
        <v>1924</v>
      </c>
      <c r="R4783" s="28"/>
      <c r="S4783" s="28" t="n">
        <f aca="false">R4783*$M4783</f>
        <v>0</v>
      </c>
      <c r="T4783" s="28"/>
      <c r="U4783" s="28" t="n">
        <f aca="false">T4783*$M4783</f>
        <v>0</v>
      </c>
      <c r="V4783" s="28" t="n">
        <f aca="false">16*288*0.02+15*0.02</f>
        <v>92.46</v>
      </c>
      <c r="W4783" s="28" t="n">
        <v>1479</v>
      </c>
      <c r="X4783" s="28" t="n">
        <f aca="false">25*288*0.02+152*0.02</f>
        <v>147.04</v>
      </c>
      <c r="Y4783" s="28" t="n">
        <v>2353</v>
      </c>
      <c r="Z4783" s="28"/>
      <c r="AA4783" s="28" t="n">
        <f aca="false">Z4783*$M4783</f>
        <v>0</v>
      </c>
      <c r="AB4783" s="28" t="n">
        <f aca="false">127*288*0.02+236*0.02</f>
        <v>736.24</v>
      </c>
      <c r="AC4783" s="28" t="n">
        <v>11780</v>
      </c>
      <c r="AD4783" s="28"/>
      <c r="AE4783" s="28" t="n">
        <f aca="false">AD4783*$M4783</f>
        <v>0</v>
      </c>
      <c r="AF4783" s="28"/>
      <c r="AG4783" s="28" t="n">
        <f aca="false">AF4783*$M4783</f>
        <v>0</v>
      </c>
      <c r="AH4783" s="28"/>
      <c r="AI4783" s="28" t="n">
        <f aca="false">AH4783*$M4783</f>
        <v>0</v>
      </c>
      <c r="AJ4783" s="28"/>
      <c r="AK4783" s="28" t="n">
        <f aca="false">AJ4783*$M4783</f>
        <v>0</v>
      </c>
      <c r="AL4783" s="28"/>
      <c r="AM4783" s="28" t="n">
        <f aca="false">AL4783*$M4783</f>
        <v>0</v>
      </c>
      <c r="AN4783" s="28"/>
      <c r="AO4783" s="28" t="n">
        <f aca="false">AN4783*$M4783</f>
        <v>0</v>
      </c>
      <c r="AP4783" s="28"/>
      <c r="AQ4783" s="28" t="n">
        <f aca="false">AP4783*$M4783</f>
        <v>0</v>
      </c>
      <c r="AR4783" s="28"/>
      <c r="AS4783" s="28" t="n">
        <f aca="false">AR4783*$M4783</f>
        <v>0</v>
      </c>
      <c r="AT4783" s="28"/>
      <c r="AU4783" s="28" t="n">
        <f aca="false">AT4783*$M4783</f>
        <v>0</v>
      </c>
      <c r="AV4783" s="28"/>
      <c r="AW4783" s="28" t="n">
        <f aca="false">AV4783*$M4783</f>
        <v>0</v>
      </c>
      <c r="AX4783" s="28"/>
      <c r="AY4783" s="28" t="n">
        <f aca="false">AX4783*$M4783</f>
        <v>0</v>
      </c>
      <c r="AZ4783" s="30" t="n">
        <f aca="false">190*288*0.02+82*0.02</f>
        <v>1096.04</v>
      </c>
      <c r="BA4783" s="11" t="n">
        <v>17536</v>
      </c>
      <c r="BB4783" s="31" t="n">
        <f aca="false">SUM(Q4783,S4783,U4783,W4783,Y4783,AA4783,AC4783,AE4783,AG4783,AI4783,AK4783,AM4783,AO4783,AQ4783,AS4783,AU4783,AW4783,AY4783)</f>
        <v>17536</v>
      </c>
      <c r="BC4783" s="28" t="n">
        <f aca="false">BA4783-BB4783</f>
        <v>0</v>
      </c>
      <c r="BD4783" s="32" t="n">
        <f aca="false">SUM(P4783,R4783,T4783,V4783,X4783,Z4783,AB4783,AD4783,AF4783,AH4783,AJ4783,AL4783,AN4783,AP4783,AR4783,AT4783,AV4783,AX4783)</f>
        <v>1095.98</v>
      </c>
      <c r="BE4783" s="33" t="n">
        <f aca="false">AZ4783-BD4783</f>
        <v>0.0600000000001728</v>
      </c>
      <c r="BF4783" s="34" t="n">
        <f aca="false">BD4783*M4783</f>
        <v>17535.68</v>
      </c>
      <c r="BG4783" s="35" t="n">
        <f aca="false">BA4783-BF4783</f>
        <v>0.319999999999709</v>
      </c>
      <c r="BH4783" s="19" t="str">
        <f aca="false">IF(BG4783=0,"",IF(BG4783&lt;&gt;BA4783,"erreur de calcul",IF(BD4783&lt;&gt;0,"pas de prix",IF(M4783&lt;&gt; 0,"pas de quantité","pas de prix, ni de quantité"))))</f>
        <v>erreur de calcul</v>
      </c>
      <c r="BI4783" s="19"/>
    </row>
    <row r="4784" customFormat="false" ht="15" hidden="false" customHeight="false" outlineLevel="0" collapsed="false">
      <c r="A4784" s="0" t="n">
        <v>11</v>
      </c>
      <c r="B4784" s="8" t="s">
        <v>24</v>
      </c>
      <c r="C4784" s="9" t="s">
        <v>25</v>
      </c>
      <c r="D4784" s="9" t="s">
        <v>26</v>
      </c>
      <c r="E4784" s="10" t="n">
        <v>1789</v>
      </c>
      <c r="F4784" s="9" t="s">
        <v>27</v>
      </c>
      <c r="G4784" s="9" t="s">
        <v>27</v>
      </c>
      <c r="H4784" s="11" t="n">
        <v>24</v>
      </c>
      <c r="I4784" s="11" t="s">
        <v>300</v>
      </c>
      <c r="J4784" s="14" t="n">
        <v>360</v>
      </c>
      <c r="K4784" s="14"/>
      <c r="L4784" s="16"/>
      <c r="M4784" s="27" t="n">
        <f aca="false">J4784+(K4784/20)+(L4784/240)</f>
        <v>360</v>
      </c>
      <c r="N4784" s="17" t="s">
        <v>64</v>
      </c>
      <c r="O4784" s="11"/>
      <c r="P4784" s="28"/>
      <c r="Q4784" s="28" t="n">
        <f aca="false">P4784*$M4784</f>
        <v>0</v>
      </c>
      <c r="R4784" s="28"/>
      <c r="S4784" s="28" t="n">
        <f aca="false">R4784*$M4784</f>
        <v>0</v>
      </c>
      <c r="T4784" s="28"/>
      <c r="U4784" s="28" t="n">
        <f aca="false">T4784*$M4784</f>
        <v>0</v>
      </c>
      <c r="V4784" s="28"/>
      <c r="W4784" s="28" t="n">
        <f aca="false">V4784*$M4784</f>
        <v>0</v>
      </c>
      <c r="X4784" s="28"/>
      <c r="Y4784" s="28" t="n">
        <f aca="false">X4784*$M4784</f>
        <v>0</v>
      </c>
      <c r="Z4784" s="28"/>
      <c r="AA4784" s="28" t="n">
        <f aca="false">Z4784*$M4784</f>
        <v>0</v>
      </c>
      <c r="AB4784" s="28"/>
      <c r="AC4784" s="28" t="n">
        <f aca="false">AB4784*$M4784</f>
        <v>0</v>
      </c>
      <c r="AD4784" s="28"/>
      <c r="AE4784" s="28" t="n">
        <f aca="false">AD4784*$M4784</f>
        <v>0</v>
      </c>
      <c r="AF4784" s="28"/>
      <c r="AG4784" s="28" t="n">
        <f aca="false">AF4784*$M4784</f>
        <v>0</v>
      </c>
      <c r="AH4784" s="28" t="n">
        <f aca="false">371073/100</f>
        <v>3710.73</v>
      </c>
      <c r="AI4784" s="28" t="n">
        <v>1335863</v>
      </c>
      <c r="AJ4784" s="28"/>
      <c r="AK4784" s="28" t="n">
        <f aca="false">AJ4784*$M4784</f>
        <v>0</v>
      </c>
      <c r="AL4784" s="28"/>
      <c r="AM4784" s="28" t="n">
        <f aca="false">AL4784*$M4784</f>
        <v>0</v>
      </c>
      <c r="AN4784" s="28"/>
      <c r="AO4784" s="28" t="n">
        <f aca="false">AN4784*$M4784</f>
        <v>0</v>
      </c>
      <c r="AP4784" s="28"/>
      <c r="AQ4784" s="28" t="n">
        <f aca="false">AP4784*$M4784</f>
        <v>0</v>
      </c>
      <c r="AR4784" s="28"/>
      <c r="AS4784" s="28" t="n">
        <f aca="false">AR4784*$M4784</f>
        <v>0</v>
      </c>
      <c r="AT4784" s="28"/>
      <c r="AU4784" s="28" t="n">
        <f aca="false">AT4784*$M4784</f>
        <v>0</v>
      </c>
      <c r="AV4784" s="28"/>
      <c r="AW4784" s="28" t="n">
        <f aca="false">AV4784*$M4784</f>
        <v>0</v>
      </c>
      <c r="AX4784" s="28"/>
      <c r="AY4784" s="28" t="n">
        <f aca="false">AX4784*$M4784</f>
        <v>0</v>
      </c>
      <c r="AZ4784" s="30" t="n">
        <f aca="false">371073/100</f>
        <v>3710.73</v>
      </c>
      <c r="BA4784" s="11" t="n">
        <v>1335863</v>
      </c>
      <c r="BB4784" s="31" t="n">
        <f aca="false">SUM(Q4784,S4784,U4784,W4784,Y4784,AA4784,AC4784,AE4784,AG4784,AI4784,AK4784,AM4784,AO4784,AQ4784,AS4784,AU4784,AW4784,AY4784)</f>
        <v>1335863</v>
      </c>
      <c r="BC4784" s="28" t="n">
        <f aca="false">BA4784-BB4784</f>
        <v>0</v>
      </c>
      <c r="BD4784" s="32" t="n">
        <f aca="false">SUM(P4784,R4784,T4784,V4784,X4784,Z4784,AB4784,AD4784,AF4784,AH4784,AJ4784,AL4784,AN4784,AP4784,AR4784,AT4784,AV4784,AX4784)</f>
        <v>3710.73</v>
      </c>
      <c r="BE4784" s="33" t="n">
        <f aca="false">AZ4784-BD4784</f>
        <v>0</v>
      </c>
      <c r="BF4784" s="34" t="n">
        <f aca="false">BD4784*M4784</f>
        <v>1335862.8</v>
      </c>
      <c r="BG4784" s="35" t="n">
        <f aca="false">BA4784-BF4784</f>
        <v>0.199999999953434</v>
      </c>
      <c r="BH4784" s="19" t="str">
        <f aca="false">IF(BG4784=0,"",IF(BG4784&lt;&gt;BA4784,"erreur de calcul",IF(BD4784&lt;&gt;0,"pas de prix",IF(M4784&lt;&gt; 0,"pas de quantité","pas de prix, ni de quantité"))))</f>
        <v>erreur de calcul</v>
      </c>
      <c r="BI4784" s="19"/>
    </row>
    <row r="4785" customFormat="false" ht="15" hidden="false" customHeight="false" outlineLevel="0" collapsed="false">
      <c r="A4785" s="0" t="n">
        <v>12</v>
      </c>
      <c r="B4785" s="8" t="s">
        <v>24</v>
      </c>
      <c r="C4785" s="9" t="s">
        <v>25</v>
      </c>
      <c r="D4785" s="9" t="s">
        <v>26</v>
      </c>
      <c r="E4785" s="10" t="n">
        <v>1789</v>
      </c>
      <c r="F4785" s="9" t="s">
        <v>27</v>
      </c>
      <c r="G4785" s="9" t="s">
        <v>27</v>
      </c>
      <c r="H4785" s="11" t="n">
        <v>24</v>
      </c>
      <c r="I4785" s="11" t="s">
        <v>301</v>
      </c>
      <c r="J4785" s="14" t="n">
        <v>3</v>
      </c>
      <c r="K4785" s="14"/>
      <c r="L4785" s="16"/>
      <c r="M4785" s="27" t="n">
        <f aca="false">J4785+(K4785/20)+(L4785/240)</f>
        <v>3</v>
      </c>
      <c r="N4785" s="17" t="s">
        <v>66</v>
      </c>
      <c r="O4785" s="11"/>
      <c r="P4785" s="28"/>
      <c r="Q4785" s="28" t="n">
        <f aca="false">P4785*$M4785</f>
        <v>0</v>
      </c>
      <c r="R4785" s="28"/>
      <c r="S4785" s="28" t="n">
        <f aca="false">R4785*$M4785</f>
        <v>0</v>
      </c>
      <c r="T4785" s="28"/>
      <c r="U4785" s="28" t="n">
        <f aca="false">T4785*$M4785</f>
        <v>0</v>
      </c>
      <c r="V4785" s="28"/>
      <c r="W4785" s="28" t="n">
        <f aca="false">V4785*$M4785</f>
        <v>0</v>
      </c>
      <c r="X4785" s="28"/>
      <c r="Y4785" s="28" t="n">
        <f aca="false">X4785*$M4785</f>
        <v>0</v>
      </c>
      <c r="Z4785" s="28"/>
      <c r="AA4785" s="28" t="n">
        <f aca="false">Z4785*$M4785</f>
        <v>0</v>
      </c>
      <c r="AB4785" s="28"/>
      <c r="AC4785" s="28" t="n">
        <f aca="false">AB4785*$M4785</f>
        <v>0</v>
      </c>
      <c r="AD4785" s="28"/>
      <c r="AE4785" s="28" t="n">
        <f aca="false">AD4785*$M4785</f>
        <v>0</v>
      </c>
      <c r="AF4785" s="28"/>
      <c r="AG4785" s="28" t="n">
        <f aca="false">AF4785*$M4785</f>
        <v>0</v>
      </c>
      <c r="AH4785" s="28" t="n">
        <v>19281</v>
      </c>
      <c r="AI4785" s="28" t="n">
        <v>57843</v>
      </c>
      <c r="AJ4785" s="28"/>
      <c r="AK4785" s="28" t="n">
        <f aca="false">AJ4785*$M4785</f>
        <v>0</v>
      </c>
      <c r="AL4785" s="28"/>
      <c r="AM4785" s="28" t="n">
        <f aca="false">AL4785*$M4785</f>
        <v>0</v>
      </c>
      <c r="AN4785" s="28"/>
      <c r="AO4785" s="28" t="n">
        <f aca="false">AN4785*$M4785</f>
        <v>0</v>
      </c>
      <c r="AP4785" s="28"/>
      <c r="AQ4785" s="28" t="n">
        <f aca="false">AP4785*$M4785</f>
        <v>0</v>
      </c>
      <c r="AR4785" s="28"/>
      <c r="AS4785" s="28" t="n">
        <f aca="false">AR4785*$M4785</f>
        <v>0</v>
      </c>
      <c r="AT4785" s="28"/>
      <c r="AU4785" s="28" t="n">
        <f aca="false">AT4785*$M4785</f>
        <v>0</v>
      </c>
      <c r="AV4785" s="28"/>
      <c r="AW4785" s="28" t="n">
        <f aca="false">AV4785*$M4785</f>
        <v>0</v>
      </c>
      <c r="AX4785" s="28"/>
      <c r="AY4785" s="28" t="n">
        <f aca="false">AX4785*$M4785</f>
        <v>0</v>
      </c>
      <c r="AZ4785" s="30" t="n">
        <v>19281</v>
      </c>
      <c r="BA4785" s="11" t="n">
        <v>57843</v>
      </c>
      <c r="BB4785" s="31" t="n">
        <f aca="false">SUM(Q4785,S4785,U4785,W4785,Y4785,AA4785,AC4785,AE4785,AG4785,AI4785,AK4785,AM4785,AO4785,AQ4785,AS4785,AU4785,AW4785,AY4785)</f>
        <v>57843</v>
      </c>
      <c r="BC4785" s="28" t="n">
        <f aca="false">BA4785-BB4785</f>
        <v>0</v>
      </c>
      <c r="BD4785" s="32" t="n">
        <f aca="false">SUM(P4785,R4785,T4785,V4785,X4785,Z4785,AB4785,AD4785,AF4785,AH4785,AJ4785,AL4785,AN4785,AP4785,AR4785,AT4785,AV4785,AX4785)</f>
        <v>19281</v>
      </c>
      <c r="BE4785" s="33" t="n">
        <f aca="false">AZ4785-BD4785</f>
        <v>0</v>
      </c>
      <c r="BF4785" s="34" t="n">
        <f aca="false">BD4785*M4785</f>
        <v>57843</v>
      </c>
      <c r="BG4785" s="35" t="n">
        <f aca="false">BA4785-BF4785</f>
        <v>0</v>
      </c>
      <c r="BH4785" s="19" t="str">
        <f aca="false">IF(BG4785=0,"",IF(BG4785&lt;&gt;BA4785,"erreur de calcul",IF(BD4785&lt;&gt;0,"pas de prix",IF(M4785&lt;&gt; 0,"pas de quantité","pas de prix, ni de quantité"))))</f>
        <v/>
      </c>
      <c r="BI4785" s="19"/>
    </row>
    <row r="4786" customFormat="false" ht="15" hidden="false" customHeight="false" outlineLevel="0" collapsed="false">
      <c r="A4786" s="0" t="n">
        <v>13</v>
      </c>
      <c r="B4786" s="8" t="s">
        <v>24</v>
      </c>
      <c r="C4786" s="9" t="s">
        <v>25</v>
      </c>
      <c r="D4786" s="9" t="s">
        <v>26</v>
      </c>
      <c r="E4786" s="10" t="n">
        <v>1789</v>
      </c>
      <c r="F4786" s="9" t="s">
        <v>27</v>
      </c>
      <c r="G4786" s="9" t="s">
        <v>27</v>
      </c>
      <c r="H4786" s="11" t="n">
        <v>24</v>
      </c>
      <c r="I4786" s="11" t="s">
        <v>302</v>
      </c>
      <c r="J4786" s="14" t="n">
        <v>112</v>
      </c>
      <c r="K4786" s="14"/>
      <c r="L4786" s="16"/>
      <c r="M4786" s="27" t="n">
        <f aca="false">J4786+(K4786/20)+(L4786/240)</f>
        <v>112</v>
      </c>
      <c r="N4786" s="17" t="s">
        <v>64</v>
      </c>
      <c r="O4786" s="11"/>
      <c r="P4786" s="28" t="n">
        <f aca="false">99503/100</f>
        <v>995.03</v>
      </c>
      <c r="Q4786" s="28" t="n">
        <v>111443</v>
      </c>
      <c r="R4786" s="28"/>
      <c r="S4786" s="28" t="n">
        <f aca="false">R4786*$M4786</f>
        <v>0</v>
      </c>
      <c r="T4786" s="28" t="n">
        <f aca="false">8445/100</f>
        <v>84.45</v>
      </c>
      <c r="U4786" s="28" t="n">
        <v>9458</v>
      </c>
      <c r="V4786" s="28" t="n">
        <f aca="false">2517/100</f>
        <v>25.17</v>
      </c>
      <c r="W4786" s="28" t="n">
        <v>2819</v>
      </c>
      <c r="X4786" s="28" t="n">
        <f aca="false">4729/100</f>
        <v>47.29</v>
      </c>
      <c r="Y4786" s="28" t="n">
        <v>5296</v>
      </c>
      <c r="Z4786" s="28" t="n">
        <f aca="false">198115/100</f>
        <v>1981.15</v>
      </c>
      <c r="AA4786" s="28" t="n">
        <v>221889</v>
      </c>
      <c r="AB4786" s="28"/>
      <c r="AC4786" s="28" t="n">
        <f aca="false">AB4786*$M4786</f>
        <v>0</v>
      </c>
      <c r="AD4786" s="28"/>
      <c r="AE4786" s="28" t="n">
        <f aca="false">AD4786*$M4786</f>
        <v>0</v>
      </c>
      <c r="AF4786" s="28" t="n">
        <f aca="false">67420/100</f>
        <v>674.2</v>
      </c>
      <c r="AG4786" s="28" t="n">
        <v>75510</v>
      </c>
      <c r="AH4786" s="28" t="n">
        <f aca="false">415806/100</f>
        <v>4158.06</v>
      </c>
      <c r="AI4786" s="28" t="n">
        <v>465703</v>
      </c>
      <c r="AJ4786" s="28"/>
      <c r="AK4786" s="28" t="n">
        <f aca="false">AJ4786*$M4786</f>
        <v>0</v>
      </c>
      <c r="AL4786" s="28" t="n">
        <f aca="false">324/100</f>
        <v>3.24</v>
      </c>
      <c r="AM4786" s="28" t="n">
        <v>363</v>
      </c>
      <c r="AN4786" s="28"/>
      <c r="AO4786" s="28" t="n">
        <f aca="false">AN4786*$M4786</f>
        <v>0</v>
      </c>
      <c r="AP4786" s="28"/>
      <c r="AQ4786" s="28" t="n">
        <f aca="false">AP4786*$M4786</f>
        <v>0</v>
      </c>
      <c r="AR4786" s="28"/>
      <c r="AS4786" s="28" t="n">
        <f aca="false">AR4786*$M4786</f>
        <v>0</v>
      </c>
      <c r="AT4786" s="28"/>
      <c r="AU4786" s="28" t="n">
        <f aca="false">AT4786*$M4786</f>
        <v>0</v>
      </c>
      <c r="AV4786" s="28"/>
      <c r="AW4786" s="28" t="n">
        <f aca="false">AV4786*$M4786</f>
        <v>0</v>
      </c>
      <c r="AX4786" s="28"/>
      <c r="AY4786" s="28" t="n">
        <f aca="false">AX4786*$M4786</f>
        <v>0</v>
      </c>
      <c r="AZ4786" s="30" t="n">
        <f aca="false">796859/100</f>
        <v>7968.59</v>
      </c>
      <c r="BA4786" s="11" t="n">
        <v>892481</v>
      </c>
      <c r="BB4786" s="31" t="n">
        <f aca="false">SUM(Q4786,S4786,U4786,W4786,Y4786,AA4786,AC4786,AE4786,AG4786,AI4786,AK4786,AM4786,AO4786,AQ4786,AS4786,AU4786,AW4786,AY4786)</f>
        <v>892481</v>
      </c>
      <c r="BC4786" s="28" t="n">
        <f aca="false">BA4786-BB4786</f>
        <v>0</v>
      </c>
      <c r="BD4786" s="32" t="n">
        <f aca="false">SUM(P4786,R4786,T4786,V4786,X4786,Z4786,AB4786,AD4786,AF4786,AH4786,AJ4786,AL4786,AN4786,AP4786,AR4786,AT4786,AV4786,AX4786)</f>
        <v>7968.59</v>
      </c>
      <c r="BE4786" s="33" t="n">
        <f aca="false">AZ4786-BD4786</f>
        <v>0</v>
      </c>
      <c r="BF4786" s="34" t="n">
        <f aca="false">BD4786*M4786</f>
        <v>892482.08</v>
      </c>
      <c r="BG4786" s="35" t="n">
        <f aca="false">BA4786-BF4786</f>
        <v>-1.07999999995809</v>
      </c>
      <c r="BH4786" s="19" t="str">
        <f aca="false">IF(BG4786=0,"",IF(BG4786&lt;&gt;BA4786,"erreur de calcul",IF(BD4786&lt;&gt;0,"pas de prix",IF(M4786&lt;&gt; 0,"pas de quantité","pas de prix, ni de quantité"))))</f>
        <v>erreur de calcul</v>
      </c>
      <c r="BI4786" s="19"/>
    </row>
    <row r="4787" customFormat="false" ht="15" hidden="false" customHeight="false" outlineLevel="0" collapsed="false">
      <c r="A4787" s="0" t="n">
        <v>14</v>
      </c>
      <c r="B4787" s="8" t="s">
        <v>24</v>
      </c>
      <c r="C4787" s="9" t="s">
        <v>25</v>
      </c>
      <c r="D4787" s="9" t="s">
        <v>26</v>
      </c>
      <c r="E4787" s="10" t="n">
        <v>1789</v>
      </c>
      <c r="F4787" s="9" t="s">
        <v>27</v>
      </c>
      <c r="G4787" s="9" t="s">
        <v>27</v>
      </c>
      <c r="H4787" s="11" t="n">
        <v>24</v>
      </c>
      <c r="I4787" s="11" t="s">
        <v>303</v>
      </c>
      <c r="J4787" s="14" t="n">
        <v>50</v>
      </c>
      <c r="K4787" s="14"/>
      <c r="L4787" s="16"/>
      <c r="M4787" s="27" t="n">
        <f aca="false">J4787+(K4787/20)+(L4787/240)</f>
        <v>50</v>
      </c>
      <c r="N4787" s="17" t="s">
        <v>64</v>
      </c>
      <c r="O4787" s="11"/>
      <c r="P4787" s="28"/>
      <c r="Q4787" s="28" t="n">
        <f aca="false">P4787*$M4787</f>
        <v>0</v>
      </c>
      <c r="R4787" s="28"/>
      <c r="S4787" s="28" t="n">
        <f aca="false">R4787*$M4787</f>
        <v>0</v>
      </c>
      <c r="T4787" s="28"/>
      <c r="U4787" s="28" t="n">
        <f aca="false">T4787*$M4787</f>
        <v>0</v>
      </c>
      <c r="V4787" s="28"/>
      <c r="W4787" s="28" t="n">
        <f aca="false">V4787*$M4787</f>
        <v>0</v>
      </c>
      <c r="X4787" s="28"/>
      <c r="Y4787" s="28" t="n">
        <f aca="false">X4787*$M4787</f>
        <v>0</v>
      </c>
      <c r="Z4787" s="28"/>
      <c r="AA4787" s="28" t="n">
        <f aca="false">Z4787*$M4787</f>
        <v>0</v>
      </c>
      <c r="AB4787" s="28"/>
      <c r="AC4787" s="28" t="n">
        <f aca="false">AB4787*$M4787</f>
        <v>0</v>
      </c>
      <c r="AD4787" s="28"/>
      <c r="AE4787" s="28" t="n">
        <f aca="false">AD4787*$M4787</f>
        <v>0</v>
      </c>
      <c r="AF4787" s="28" t="n">
        <f aca="false">208461/100</f>
        <v>2084.61</v>
      </c>
      <c r="AG4787" s="28" t="n">
        <v>104230</v>
      </c>
      <c r="AH4787" s="28" t="n">
        <f aca="false">757624/100</f>
        <v>7576.24</v>
      </c>
      <c r="AI4787" s="28" t="n">
        <v>378812</v>
      </c>
      <c r="AJ4787" s="28"/>
      <c r="AK4787" s="28" t="n">
        <f aca="false">AJ4787*$M4787</f>
        <v>0</v>
      </c>
      <c r="AL4787" s="28"/>
      <c r="AM4787" s="28" t="n">
        <f aca="false">AL4787*$M4787</f>
        <v>0</v>
      </c>
      <c r="AN4787" s="28"/>
      <c r="AO4787" s="28" t="n">
        <f aca="false">AN4787*$M4787</f>
        <v>0</v>
      </c>
      <c r="AP4787" s="28"/>
      <c r="AQ4787" s="28" t="n">
        <f aca="false">AP4787*$M4787</f>
        <v>0</v>
      </c>
      <c r="AR4787" s="28"/>
      <c r="AS4787" s="28" t="n">
        <f aca="false">AR4787*$M4787</f>
        <v>0</v>
      </c>
      <c r="AT4787" s="28"/>
      <c r="AU4787" s="28" t="n">
        <f aca="false">AT4787*$M4787</f>
        <v>0</v>
      </c>
      <c r="AV4787" s="28"/>
      <c r="AW4787" s="28" t="n">
        <f aca="false">AV4787*$M4787</f>
        <v>0</v>
      </c>
      <c r="AX4787" s="28"/>
      <c r="AY4787" s="28" t="n">
        <f aca="false">AX4787*$M4787</f>
        <v>0</v>
      </c>
      <c r="AZ4787" s="30" t="n">
        <f aca="false">966085/100</f>
        <v>9660.85</v>
      </c>
      <c r="BA4787" s="11" t="n">
        <v>483042</v>
      </c>
      <c r="BB4787" s="31" t="n">
        <f aca="false">SUM(Q4787,S4787,U4787,W4787,Y4787,AA4787,AC4787,AE4787,AG4787,AI4787,AK4787,AM4787,AO4787,AQ4787,AS4787,AU4787,AW4787,AY4787)</f>
        <v>483042</v>
      </c>
      <c r="BC4787" s="28" t="n">
        <f aca="false">BA4787-BB4787</f>
        <v>0</v>
      </c>
      <c r="BD4787" s="32" t="n">
        <f aca="false">SUM(P4787,R4787,T4787,V4787,X4787,Z4787,AB4787,AD4787,AF4787,AH4787,AJ4787,AL4787,AN4787,AP4787,AR4787,AT4787,AV4787,AX4787)</f>
        <v>9660.85</v>
      </c>
      <c r="BE4787" s="33" t="n">
        <f aca="false">AZ4787-BD4787</f>
        <v>0</v>
      </c>
      <c r="BF4787" s="34" t="n">
        <f aca="false">BD4787*M4787</f>
        <v>483042.5</v>
      </c>
      <c r="BG4787" s="35" t="n">
        <f aca="false">BA4787-BF4787</f>
        <v>-0.5</v>
      </c>
      <c r="BH4787" s="19" t="str">
        <f aca="false">IF(BG4787=0,"",IF(BG4787&lt;&gt;BA4787,"erreur de calcul",IF(BD4787&lt;&gt;0,"pas de prix",IF(M4787&lt;&gt; 0,"pas de quantité","pas de prix, ni de quantité"))))</f>
        <v>erreur de calcul</v>
      </c>
      <c r="BI4787" s="19"/>
    </row>
    <row r="4788" customFormat="false" ht="15" hidden="false" customHeight="false" outlineLevel="0" collapsed="false">
      <c r="A4788" s="0" t="n">
        <v>15</v>
      </c>
      <c r="B4788" s="8" t="s">
        <v>24</v>
      </c>
      <c r="C4788" s="9" t="s">
        <v>25</v>
      </c>
      <c r="D4788" s="9" t="s">
        <v>26</v>
      </c>
      <c r="E4788" s="10" t="n">
        <v>1789</v>
      </c>
      <c r="F4788" s="9" t="s">
        <v>27</v>
      </c>
      <c r="G4788" s="9" t="s">
        <v>27</v>
      </c>
      <c r="H4788" s="11" t="n">
        <v>24</v>
      </c>
      <c r="I4788" s="11" t="s">
        <v>304</v>
      </c>
      <c r="J4788" s="14" t="n">
        <v>340</v>
      </c>
      <c r="K4788" s="14"/>
      <c r="L4788" s="16"/>
      <c r="M4788" s="27" t="n">
        <f aca="false">J4788+(K4788/20)+(L4788/240)</f>
        <v>340</v>
      </c>
      <c r="N4788" s="17" t="s">
        <v>64</v>
      </c>
      <c r="O4788" s="11"/>
      <c r="P4788" s="28"/>
      <c r="Q4788" s="28" t="n">
        <f aca="false">P4788*$M4788</f>
        <v>0</v>
      </c>
      <c r="R4788" s="28"/>
      <c r="S4788" s="28" t="n">
        <f aca="false">R4788*$M4788</f>
        <v>0</v>
      </c>
      <c r="T4788" s="28"/>
      <c r="U4788" s="28" t="n">
        <f aca="false">T4788*$M4788</f>
        <v>0</v>
      </c>
      <c r="V4788" s="28"/>
      <c r="W4788" s="28" t="n">
        <f aca="false">V4788*$M4788</f>
        <v>0</v>
      </c>
      <c r="X4788" s="28"/>
      <c r="Y4788" s="28" t="n">
        <f aca="false">X4788*$M4788</f>
        <v>0</v>
      </c>
      <c r="Z4788" s="28"/>
      <c r="AA4788" s="28" t="n">
        <f aca="false">Z4788*$M4788</f>
        <v>0</v>
      </c>
      <c r="AB4788" s="28" t="n">
        <f aca="false">339883/100</f>
        <v>3398.83</v>
      </c>
      <c r="AC4788" s="28" t="n">
        <v>1155602</v>
      </c>
      <c r="AD4788" s="28"/>
      <c r="AE4788" s="28" t="n">
        <f aca="false">AD4788*$M4788</f>
        <v>0</v>
      </c>
      <c r="AF4788" s="28"/>
      <c r="AG4788" s="28" t="n">
        <f aca="false">AF4788*$M4788</f>
        <v>0</v>
      </c>
      <c r="AH4788" s="28"/>
      <c r="AI4788" s="28" t="n">
        <f aca="false">AH4788*$M4788</f>
        <v>0</v>
      </c>
      <c r="AJ4788" s="28"/>
      <c r="AK4788" s="28" t="n">
        <f aca="false">AJ4788*$M4788</f>
        <v>0</v>
      </c>
      <c r="AL4788" s="28"/>
      <c r="AM4788" s="28" t="n">
        <f aca="false">AL4788*$M4788</f>
        <v>0</v>
      </c>
      <c r="AN4788" s="28"/>
      <c r="AO4788" s="28" t="n">
        <f aca="false">AN4788*$M4788</f>
        <v>0</v>
      </c>
      <c r="AP4788" s="28"/>
      <c r="AQ4788" s="28" t="n">
        <f aca="false">AP4788*$M4788</f>
        <v>0</v>
      </c>
      <c r="AR4788" s="28"/>
      <c r="AS4788" s="28" t="n">
        <f aca="false">AR4788*$M4788</f>
        <v>0</v>
      </c>
      <c r="AT4788" s="28"/>
      <c r="AU4788" s="28" t="n">
        <f aca="false">AT4788*$M4788</f>
        <v>0</v>
      </c>
      <c r="AV4788" s="28"/>
      <c r="AW4788" s="28" t="n">
        <f aca="false">AV4788*$M4788</f>
        <v>0</v>
      </c>
      <c r="AX4788" s="28"/>
      <c r="AY4788" s="28" t="n">
        <f aca="false">AX4788*$M4788</f>
        <v>0</v>
      </c>
      <c r="AZ4788" s="30" t="n">
        <f aca="false">339883/100</f>
        <v>3398.83</v>
      </c>
      <c r="BA4788" s="11" t="n">
        <v>1155602</v>
      </c>
      <c r="BB4788" s="31" t="n">
        <f aca="false">SUM(Q4788,S4788,U4788,W4788,Y4788,AA4788,AC4788,AE4788,AG4788,AI4788,AK4788,AM4788,AO4788,AQ4788,AS4788,AU4788,AW4788,AY4788)</f>
        <v>1155602</v>
      </c>
      <c r="BC4788" s="28" t="n">
        <f aca="false">BA4788-BB4788</f>
        <v>0</v>
      </c>
      <c r="BD4788" s="32" t="n">
        <f aca="false">SUM(P4788,R4788,T4788,V4788,X4788,Z4788,AB4788,AD4788,AF4788,AH4788,AJ4788,AL4788,AN4788,AP4788,AR4788,AT4788,AV4788,AX4788)</f>
        <v>3398.83</v>
      </c>
      <c r="BE4788" s="33" t="n">
        <f aca="false">AZ4788-BD4788</f>
        <v>0</v>
      </c>
      <c r="BF4788" s="34" t="n">
        <f aca="false">BD4788*M4788</f>
        <v>1155602.2</v>
      </c>
      <c r="BG4788" s="35" t="n">
        <f aca="false">BA4788-BF4788</f>
        <v>-0.199999999953434</v>
      </c>
      <c r="BH4788" s="19" t="str">
        <f aca="false">IF(BG4788=0,"",IF(BG4788&lt;&gt;BA4788,"erreur de calcul",IF(BD4788&lt;&gt;0,"pas de prix",IF(M4788&lt;&gt; 0,"pas de quantité","pas de prix, ni de quantité"))))</f>
        <v>erreur de calcul</v>
      </c>
      <c r="BI4788" s="19"/>
    </row>
    <row r="4789" customFormat="false" ht="15" hidden="false" customHeight="false" outlineLevel="0" collapsed="false">
      <c r="A4789" s="0" t="n">
        <v>16</v>
      </c>
      <c r="B4789" s="8" t="s">
        <v>24</v>
      </c>
      <c r="C4789" s="9" t="s">
        <v>25</v>
      </c>
      <c r="D4789" s="9" t="s">
        <v>26</v>
      </c>
      <c r="E4789" s="10" t="n">
        <v>1789</v>
      </c>
      <c r="F4789" s="9" t="s">
        <v>27</v>
      </c>
      <c r="G4789" s="9" t="s">
        <v>27</v>
      </c>
      <c r="H4789" s="11" t="n">
        <v>24</v>
      </c>
      <c r="I4789" s="11" t="s">
        <v>305</v>
      </c>
      <c r="J4789" s="14" t="n">
        <v>235</v>
      </c>
      <c r="K4789" s="14"/>
      <c r="L4789" s="16"/>
      <c r="M4789" s="27" t="n">
        <f aca="false">J4789+(K4789/20)+(L4789/240)</f>
        <v>235</v>
      </c>
      <c r="N4789" s="17" t="s">
        <v>64</v>
      </c>
      <c r="O4789" s="11"/>
      <c r="P4789" s="28" t="n">
        <f aca="false">34642/100</f>
        <v>346.42</v>
      </c>
      <c r="Q4789" s="28" t="n">
        <v>81409</v>
      </c>
      <c r="R4789" s="28"/>
      <c r="S4789" s="28" t="n">
        <f aca="false">R4789*$M4789</f>
        <v>0</v>
      </c>
      <c r="T4789" s="28"/>
      <c r="U4789" s="28" t="n">
        <f aca="false">T4789*$M4789</f>
        <v>0</v>
      </c>
      <c r="V4789" s="28"/>
      <c r="W4789" s="28" t="n">
        <f aca="false">V4789*$M4789</f>
        <v>0</v>
      </c>
      <c r="X4789" s="28"/>
      <c r="Y4789" s="28" t="n">
        <f aca="false">X4789*$M4789</f>
        <v>0</v>
      </c>
      <c r="Z4789" s="28"/>
      <c r="AA4789" s="28" t="n">
        <f aca="false">Z4789*$M4789</f>
        <v>0</v>
      </c>
      <c r="AB4789" s="28"/>
      <c r="AC4789" s="28" t="n">
        <f aca="false">AB4789*$M4789</f>
        <v>0</v>
      </c>
      <c r="AD4789" s="28"/>
      <c r="AE4789" s="28" t="n">
        <f aca="false">AD4789*$M4789</f>
        <v>0</v>
      </c>
      <c r="AF4789" s="28"/>
      <c r="AG4789" s="28" t="n">
        <f aca="false">AF4789*$M4789</f>
        <v>0</v>
      </c>
      <c r="AH4789" s="28"/>
      <c r="AI4789" s="28" t="n">
        <f aca="false">AH4789*$M4789</f>
        <v>0</v>
      </c>
      <c r="AJ4789" s="28"/>
      <c r="AK4789" s="28" t="n">
        <f aca="false">AJ4789*$M4789</f>
        <v>0</v>
      </c>
      <c r="AL4789" s="28"/>
      <c r="AM4789" s="28" t="n">
        <f aca="false">AL4789*$M4789</f>
        <v>0</v>
      </c>
      <c r="AN4789" s="28"/>
      <c r="AO4789" s="28" t="n">
        <f aca="false">AN4789*$M4789</f>
        <v>0</v>
      </c>
      <c r="AP4789" s="28"/>
      <c r="AQ4789" s="28" t="n">
        <f aca="false">AP4789*$M4789</f>
        <v>0</v>
      </c>
      <c r="AR4789" s="28"/>
      <c r="AS4789" s="28" t="n">
        <f aca="false">AR4789*$M4789</f>
        <v>0</v>
      </c>
      <c r="AT4789" s="28"/>
      <c r="AU4789" s="28" t="n">
        <f aca="false">AT4789*$M4789</f>
        <v>0</v>
      </c>
      <c r="AV4789" s="28"/>
      <c r="AW4789" s="28" t="n">
        <f aca="false">AV4789*$M4789</f>
        <v>0</v>
      </c>
      <c r="AX4789" s="28"/>
      <c r="AY4789" s="28" t="n">
        <f aca="false">AX4789*$M4789</f>
        <v>0</v>
      </c>
      <c r="AZ4789" s="30" t="n">
        <f aca="false">34642/100</f>
        <v>346.42</v>
      </c>
      <c r="BA4789" s="11" t="n">
        <v>81409</v>
      </c>
      <c r="BB4789" s="31" t="n">
        <f aca="false">SUM(Q4789,S4789,U4789,W4789,Y4789,AA4789,AC4789,AE4789,AG4789,AI4789,AK4789,AM4789,AO4789,AQ4789,AS4789,AU4789,AW4789,AY4789)</f>
        <v>81409</v>
      </c>
      <c r="BC4789" s="28" t="n">
        <f aca="false">BA4789-BB4789</f>
        <v>0</v>
      </c>
      <c r="BD4789" s="32" t="n">
        <f aca="false">SUM(P4789,R4789,T4789,V4789,X4789,Z4789,AB4789,AD4789,AF4789,AH4789,AJ4789,AL4789,AN4789,AP4789,AR4789,AT4789,AV4789,AX4789)</f>
        <v>346.42</v>
      </c>
      <c r="BE4789" s="33" t="n">
        <f aca="false">AZ4789-BD4789</f>
        <v>0</v>
      </c>
      <c r="BF4789" s="34" t="n">
        <f aca="false">BD4789*M4789</f>
        <v>81408.7</v>
      </c>
      <c r="BG4789" s="35" t="n">
        <f aca="false">BA4789-BF4789</f>
        <v>0.30000000000291</v>
      </c>
      <c r="BH4789" s="19" t="str">
        <f aca="false">IF(BG4789=0,"",IF(BG4789&lt;&gt;BA4789,"erreur de calcul",IF(BD4789&lt;&gt;0,"pas de prix",IF(M4789&lt;&gt; 0,"pas de quantité","pas de prix, ni de quantité"))))</f>
        <v>erreur de calcul</v>
      </c>
      <c r="BI4789" s="19"/>
    </row>
    <row r="4790" customFormat="false" ht="15" hidden="false" customHeight="false" outlineLevel="0" collapsed="false">
      <c r="A4790" s="0" t="n">
        <v>17</v>
      </c>
      <c r="B4790" s="8" t="s">
        <v>24</v>
      </c>
      <c r="C4790" s="9" t="s">
        <v>25</v>
      </c>
      <c r="D4790" s="9" t="s">
        <v>26</v>
      </c>
      <c r="E4790" s="10" t="n">
        <v>1789</v>
      </c>
      <c r="F4790" s="9" t="s">
        <v>27</v>
      </c>
      <c r="G4790" s="9" t="s">
        <v>27</v>
      </c>
      <c r="H4790" s="11" t="n">
        <v>24</v>
      </c>
      <c r="I4790" s="11" t="s">
        <v>306</v>
      </c>
      <c r="J4790" s="14" t="n">
        <v>71</v>
      </c>
      <c r="K4790" s="14"/>
      <c r="L4790" s="16"/>
      <c r="M4790" s="27" t="n">
        <f aca="false">J4790+(K4790/20)+(L4790/240)</f>
        <v>71</v>
      </c>
      <c r="N4790" s="17" t="s">
        <v>64</v>
      </c>
      <c r="O4790" s="11"/>
      <c r="P4790" s="28"/>
      <c r="Q4790" s="28" t="n">
        <f aca="false">P4790*$M4790</f>
        <v>0</v>
      </c>
      <c r="R4790" s="28"/>
      <c r="S4790" s="28" t="n">
        <f aca="false">R4790*$M4790</f>
        <v>0</v>
      </c>
      <c r="T4790" s="28" t="n">
        <f aca="false">12674/100</f>
        <v>126.74</v>
      </c>
      <c r="U4790" s="28" t="n">
        <v>8998</v>
      </c>
      <c r="V4790" s="28"/>
      <c r="W4790" s="28" t="n">
        <f aca="false">V4790*$M4790</f>
        <v>0</v>
      </c>
      <c r="X4790" s="28"/>
      <c r="Y4790" s="28" t="n">
        <f aca="false">X4790*$M4790</f>
        <v>0</v>
      </c>
      <c r="Z4790" s="28"/>
      <c r="AA4790" s="28" t="n">
        <f aca="false">Z4790*$M4790</f>
        <v>0</v>
      </c>
      <c r="AB4790" s="28"/>
      <c r="AC4790" s="28" t="n">
        <f aca="false">AB4790*$M4790</f>
        <v>0</v>
      </c>
      <c r="AD4790" s="28" t="n">
        <f aca="false">4283/100</f>
        <v>42.83</v>
      </c>
      <c r="AE4790" s="28" t="n">
        <v>3041</v>
      </c>
      <c r="AF4790" s="28" t="n">
        <f aca="false">2978140/100</f>
        <v>29781.4</v>
      </c>
      <c r="AG4790" s="28" t="n">
        <v>2114479</v>
      </c>
      <c r="AH4790" s="28" t="n">
        <f aca="false">4119032/100</f>
        <v>41190.32</v>
      </c>
      <c r="AI4790" s="28" t="n">
        <v>2924512</v>
      </c>
      <c r="AJ4790" s="28"/>
      <c r="AK4790" s="28" t="n">
        <f aca="false">AJ4790*$M4790</f>
        <v>0</v>
      </c>
      <c r="AL4790" s="28"/>
      <c r="AM4790" s="28" t="n">
        <f aca="false">AL4790*$M4790</f>
        <v>0</v>
      </c>
      <c r="AN4790" s="28"/>
      <c r="AO4790" s="28" t="n">
        <f aca="false">AN4790*$M4790</f>
        <v>0</v>
      </c>
      <c r="AP4790" s="28"/>
      <c r="AQ4790" s="28" t="n">
        <f aca="false">AP4790*$M4790</f>
        <v>0</v>
      </c>
      <c r="AR4790" s="28"/>
      <c r="AS4790" s="28" t="n">
        <f aca="false">AR4790*$M4790</f>
        <v>0</v>
      </c>
      <c r="AT4790" s="28"/>
      <c r="AU4790" s="28" t="n">
        <f aca="false">AT4790*$M4790</f>
        <v>0</v>
      </c>
      <c r="AV4790" s="28"/>
      <c r="AW4790" s="28" t="n">
        <f aca="false">AV4790*$M4790</f>
        <v>0</v>
      </c>
      <c r="AX4790" s="28"/>
      <c r="AY4790" s="28" t="n">
        <f aca="false">AX4790*$M4790</f>
        <v>0</v>
      </c>
      <c r="AZ4790" s="30" t="n">
        <f aca="false">7114129/100</f>
        <v>71141.29</v>
      </c>
      <c r="BA4790" s="11" t="n">
        <v>5051030</v>
      </c>
      <c r="BB4790" s="31" t="n">
        <f aca="false">SUM(Q4790,S4790,U4790,W4790,Y4790,AA4790,AC4790,AE4790,AG4790,AI4790,AK4790,AM4790,AO4790,AQ4790,AS4790,AU4790,AW4790,AY4790)</f>
        <v>5051030</v>
      </c>
      <c r="BC4790" s="28" t="n">
        <f aca="false">BA4790-BB4790</f>
        <v>0</v>
      </c>
      <c r="BD4790" s="32" t="n">
        <f aca="false">SUM(P4790,R4790,T4790,V4790,X4790,Z4790,AB4790,AD4790,AF4790,AH4790,AJ4790,AL4790,AN4790,AP4790,AR4790,AT4790,AV4790,AX4790)</f>
        <v>71141.29</v>
      </c>
      <c r="BE4790" s="33" t="n">
        <f aca="false">AZ4790-BD4790</f>
        <v>0</v>
      </c>
      <c r="BF4790" s="34" t="n">
        <f aca="false">BD4790*M4790</f>
        <v>5051031.59</v>
      </c>
      <c r="BG4790" s="35" t="n">
        <f aca="false">BA4790-BF4790</f>
        <v>-1.59000000078231</v>
      </c>
      <c r="BH4790" s="19" t="str">
        <f aca="false">IF(BG4790=0,"",IF(BG4790&lt;&gt;BA4790,"erreur de calcul",IF(BD4790&lt;&gt;0,"pas de prix",IF(M4790&lt;&gt; 0,"pas de quantité","pas de prix, ni de quantité"))))</f>
        <v>erreur de calcul</v>
      </c>
      <c r="BI4790" s="19"/>
    </row>
    <row r="4791" customFormat="false" ht="15" hidden="false" customHeight="false" outlineLevel="0" collapsed="false">
      <c r="A4791" s="0" t="n">
        <v>18</v>
      </c>
      <c r="B4791" s="8" t="s">
        <v>24</v>
      </c>
      <c r="C4791" s="9" t="s">
        <v>25</v>
      </c>
      <c r="D4791" s="9" t="s">
        <v>26</v>
      </c>
      <c r="E4791" s="10" t="n">
        <v>1789</v>
      </c>
      <c r="F4791" s="9" t="s">
        <v>27</v>
      </c>
      <c r="G4791" s="9" t="s">
        <v>27</v>
      </c>
      <c r="H4791" s="11" t="n">
        <v>24</v>
      </c>
      <c r="I4791" s="11" t="s">
        <v>307</v>
      </c>
      <c r="J4791" s="14" t="n">
        <v>45</v>
      </c>
      <c r="K4791" s="14"/>
      <c r="L4791" s="16"/>
      <c r="M4791" s="27" t="n">
        <f aca="false">J4791+(K4791/20)+(L4791/240)</f>
        <v>45</v>
      </c>
      <c r="N4791" s="17" t="s">
        <v>64</v>
      </c>
      <c r="O4791" s="11"/>
      <c r="P4791" s="28"/>
      <c r="Q4791" s="28" t="n">
        <f aca="false">P4791*$M4791</f>
        <v>0</v>
      </c>
      <c r="R4791" s="28"/>
      <c r="S4791" s="28" t="n">
        <f aca="false">R4791*$M4791</f>
        <v>0</v>
      </c>
      <c r="T4791" s="28"/>
      <c r="U4791" s="28" t="n">
        <f aca="false">T4791*$M4791</f>
        <v>0</v>
      </c>
      <c r="V4791" s="28"/>
      <c r="W4791" s="28" t="n">
        <f aca="false">V4791*$M4791</f>
        <v>0</v>
      </c>
      <c r="X4791" s="28"/>
      <c r="Y4791" s="28" t="n">
        <f aca="false">X4791*$M4791</f>
        <v>0</v>
      </c>
      <c r="Z4791" s="28"/>
      <c r="AA4791" s="28" t="n">
        <f aca="false">Z4791*$M4791</f>
        <v>0</v>
      </c>
      <c r="AB4791" s="28"/>
      <c r="AC4791" s="28" t="n">
        <f aca="false">AB4791*$M4791</f>
        <v>0</v>
      </c>
      <c r="AD4791" s="28"/>
      <c r="AE4791" s="28" t="n">
        <f aca="false">AD4791*$M4791</f>
        <v>0</v>
      </c>
      <c r="AF4791" s="28"/>
      <c r="AG4791" s="28" t="n">
        <f aca="false">AF4791*$M4791</f>
        <v>0</v>
      </c>
      <c r="AH4791" s="28"/>
      <c r="AI4791" s="28" t="n">
        <f aca="false">AH4791*$M4791</f>
        <v>0</v>
      </c>
      <c r="AJ4791" s="28"/>
      <c r="AK4791" s="28" t="n">
        <f aca="false">AJ4791*$M4791</f>
        <v>0</v>
      </c>
      <c r="AL4791" s="28" t="n">
        <f aca="false">971/100</f>
        <v>9.71</v>
      </c>
      <c r="AM4791" s="28" t="n">
        <v>437</v>
      </c>
      <c r="AN4791" s="28"/>
      <c r="AO4791" s="28" t="n">
        <f aca="false">AN4791*$M4791</f>
        <v>0</v>
      </c>
      <c r="AP4791" s="28"/>
      <c r="AQ4791" s="28" t="n">
        <f aca="false">AP4791*$M4791</f>
        <v>0</v>
      </c>
      <c r="AR4791" s="28"/>
      <c r="AS4791" s="28" t="n">
        <f aca="false">AR4791*$M4791</f>
        <v>0</v>
      </c>
      <c r="AT4791" s="28"/>
      <c r="AU4791" s="28" t="n">
        <f aca="false">AT4791*$M4791</f>
        <v>0</v>
      </c>
      <c r="AV4791" s="28"/>
      <c r="AW4791" s="28" t="n">
        <f aca="false">AV4791*$M4791</f>
        <v>0</v>
      </c>
      <c r="AX4791" s="28"/>
      <c r="AY4791" s="28" t="n">
        <f aca="false">AX4791*$M4791</f>
        <v>0</v>
      </c>
      <c r="AZ4791" s="30" t="n">
        <f aca="false">971/100</f>
        <v>9.71</v>
      </c>
      <c r="BA4791" s="11" t="n">
        <v>437</v>
      </c>
      <c r="BB4791" s="31" t="n">
        <f aca="false">SUM(Q4791,S4791,U4791,W4791,Y4791,AA4791,AC4791,AE4791,AG4791,AI4791,AK4791,AM4791,AO4791,AQ4791,AS4791,AU4791,AW4791,AY4791)</f>
        <v>437</v>
      </c>
      <c r="BC4791" s="28" t="n">
        <f aca="false">BA4791-BB4791</f>
        <v>0</v>
      </c>
      <c r="BD4791" s="32" t="n">
        <f aca="false">SUM(P4791,R4791,T4791,V4791,X4791,Z4791,AB4791,AD4791,AF4791,AH4791,AJ4791,AL4791,AN4791,AP4791,AR4791,AT4791,AV4791,AX4791)</f>
        <v>9.71</v>
      </c>
      <c r="BE4791" s="33" t="n">
        <f aca="false">AZ4791-BD4791</f>
        <v>0</v>
      </c>
      <c r="BF4791" s="34" t="n">
        <f aca="false">BD4791*M4791</f>
        <v>436.95</v>
      </c>
      <c r="BG4791" s="35" t="n">
        <f aca="false">BA4791-BF4791</f>
        <v>0.0499999999999545</v>
      </c>
      <c r="BH4791" s="19" t="str">
        <f aca="false">IF(BG4791=0,"",IF(BG4791&lt;&gt;BA4791,"erreur de calcul",IF(BD4791&lt;&gt;0,"pas de prix",IF(M4791&lt;&gt; 0,"pas de quantité","pas de prix, ni de quantité"))))</f>
        <v>erreur de calcul</v>
      </c>
      <c r="BI4791" s="19"/>
    </row>
    <row r="4792" customFormat="false" ht="15" hidden="false" customHeight="false" outlineLevel="0" collapsed="false">
      <c r="A4792" s="0" t="n">
        <v>19</v>
      </c>
      <c r="B4792" s="8" t="s">
        <v>24</v>
      </c>
      <c r="C4792" s="9" t="s">
        <v>25</v>
      </c>
      <c r="D4792" s="9" t="s">
        <v>26</v>
      </c>
      <c r="E4792" s="10" t="n">
        <v>1789</v>
      </c>
      <c r="F4792" s="9" t="s">
        <v>27</v>
      </c>
      <c r="G4792" s="9" t="s">
        <v>27</v>
      </c>
      <c r="H4792" s="11" t="n">
        <v>24</v>
      </c>
      <c r="I4792" s="11" t="s">
        <v>308</v>
      </c>
      <c r="J4792" s="14" t="n">
        <v>240</v>
      </c>
      <c r="K4792" s="14"/>
      <c r="L4792" s="16"/>
      <c r="M4792" s="27" t="n">
        <f aca="false">J4792+(K4792/20)+(L4792/240)</f>
        <v>240</v>
      </c>
      <c r="N4792" s="17" t="s">
        <v>64</v>
      </c>
      <c r="O4792" s="11"/>
      <c r="P4792" s="28"/>
      <c r="Q4792" s="28" t="n">
        <f aca="false">P4792*$M4792</f>
        <v>0</v>
      </c>
      <c r="R4792" s="28"/>
      <c r="S4792" s="28" t="n">
        <f aca="false">R4792*$M4792</f>
        <v>0</v>
      </c>
      <c r="T4792" s="28"/>
      <c r="U4792" s="28" t="n">
        <f aca="false">T4792*$M4792</f>
        <v>0</v>
      </c>
      <c r="V4792" s="28"/>
      <c r="W4792" s="28" t="n">
        <f aca="false">V4792*$M4792</f>
        <v>0</v>
      </c>
      <c r="X4792" s="28"/>
      <c r="Y4792" s="28" t="n">
        <f aca="false">X4792*$M4792</f>
        <v>0</v>
      </c>
      <c r="Z4792" s="28"/>
      <c r="AA4792" s="28" t="n">
        <f aca="false">Z4792*$M4792</f>
        <v>0</v>
      </c>
      <c r="AB4792" s="28"/>
      <c r="AC4792" s="28" t="n">
        <f aca="false">AB4792*$M4792</f>
        <v>0</v>
      </c>
      <c r="AD4792" s="28"/>
      <c r="AE4792" s="28" t="n">
        <f aca="false">AD4792*$M4792</f>
        <v>0</v>
      </c>
      <c r="AF4792" s="28"/>
      <c r="AG4792" s="28" t="n">
        <f aca="false">AF4792*$M4792</f>
        <v>0</v>
      </c>
      <c r="AH4792" s="28"/>
      <c r="AI4792" s="28" t="n">
        <f aca="false">AH4792*$M4792</f>
        <v>0</v>
      </c>
      <c r="AJ4792" s="28" t="n">
        <f aca="false">2173/100</f>
        <v>21.73</v>
      </c>
      <c r="AK4792" s="28" t="n">
        <v>5215</v>
      </c>
      <c r="AL4792" s="28"/>
      <c r="AM4792" s="28" t="n">
        <f aca="false">AL4792*$M4792</f>
        <v>0</v>
      </c>
      <c r="AN4792" s="28"/>
      <c r="AO4792" s="28" t="n">
        <f aca="false">AN4792*$M4792</f>
        <v>0</v>
      </c>
      <c r="AP4792" s="28"/>
      <c r="AQ4792" s="28" t="n">
        <f aca="false">AP4792*$M4792</f>
        <v>0</v>
      </c>
      <c r="AR4792" s="28"/>
      <c r="AS4792" s="28" t="n">
        <f aca="false">AR4792*$M4792</f>
        <v>0</v>
      </c>
      <c r="AT4792" s="28"/>
      <c r="AU4792" s="28" t="n">
        <f aca="false">AT4792*$M4792</f>
        <v>0</v>
      </c>
      <c r="AV4792" s="28"/>
      <c r="AW4792" s="28" t="n">
        <f aca="false">AV4792*$M4792</f>
        <v>0</v>
      </c>
      <c r="AX4792" s="28"/>
      <c r="AY4792" s="28" t="n">
        <f aca="false">AX4792*$M4792</f>
        <v>0</v>
      </c>
      <c r="AZ4792" s="30" t="n">
        <f aca="false">2173/100</f>
        <v>21.73</v>
      </c>
      <c r="BA4792" s="11" t="n">
        <v>5215</v>
      </c>
      <c r="BB4792" s="31" t="n">
        <f aca="false">SUM(Q4792,S4792,U4792,W4792,Y4792,AA4792,AC4792,AE4792,AG4792,AI4792,AK4792,AM4792,AO4792,AQ4792,AS4792,AU4792,AW4792,AY4792)</f>
        <v>5215</v>
      </c>
      <c r="BC4792" s="28" t="n">
        <f aca="false">BA4792-BB4792</f>
        <v>0</v>
      </c>
      <c r="BD4792" s="32" t="n">
        <f aca="false">SUM(P4792,R4792,T4792,V4792,X4792,Z4792,AB4792,AD4792,AF4792,AH4792,AJ4792,AL4792,AN4792,AP4792,AR4792,AT4792,AV4792,AX4792)</f>
        <v>21.73</v>
      </c>
      <c r="BE4792" s="33" t="n">
        <f aca="false">AZ4792-BD4792</f>
        <v>0</v>
      </c>
      <c r="BF4792" s="34" t="n">
        <f aca="false">BD4792*M4792</f>
        <v>5215.2</v>
      </c>
      <c r="BG4792" s="35" t="n">
        <f aca="false">BA4792-BF4792</f>
        <v>-0.199999999999818</v>
      </c>
      <c r="BH4792" s="19" t="str">
        <f aca="false">IF(BG4792=0,"",IF(BG4792&lt;&gt;BA4792,"erreur de calcul",IF(BD4792&lt;&gt;0,"pas de prix",IF(M4792&lt;&gt; 0,"pas de quantité","pas de prix, ni de quantité"))))</f>
        <v>erreur de calcul</v>
      </c>
      <c r="BI4792" s="19"/>
    </row>
    <row r="4793" customFormat="false" ht="15" hidden="false" customHeight="false" outlineLevel="0" collapsed="false">
      <c r="A4793" s="0" t="n">
        <v>20</v>
      </c>
      <c r="B4793" s="8" t="s">
        <v>24</v>
      </c>
      <c r="C4793" s="9" t="s">
        <v>25</v>
      </c>
      <c r="D4793" s="9" t="s">
        <v>26</v>
      </c>
      <c r="E4793" s="10" t="n">
        <v>1789</v>
      </c>
      <c r="F4793" s="9" t="s">
        <v>27</v>
      </c>
      <c r="G4793" s="9" t="s">
        <v>27</v>
      </c>
      <c r="H4793" s="11" t="n">
        <v>24</v>
      </c>
      <c r="I4793" s="11" t="s">
        <v>309</v>
      </c>
      <c r="J4793" s="14"/>
      <c r="K4793" s="14"/>
      <c r="L4793" s="16"/>
      <c r="M4793" s="27" t="n">
        <f aca="false">J4793+(K4793/20)+(L4793/240)</f>
        <v>0</v>
      </c>
      <c r="N4793" s="17"/>
      <c r="O4793" s="11"/>
      <c r="P4793" s="28"/>
      <c r="Q4793" s="28" t="n">
        <f aca="false">P4793*$M4793</f>
        <v>0</v>
      </c>
      <c r="R4793" s="28"/>
      <c r="S4793" s="28" t="n">
        <f aca="false">R4793*$M4793</f>
        <v>0</v>
      </c>
      <c r="T4793" s="28"/>
      <c r="U4793" s="28" t="n">
        <v>195</v>
      </c>
      <c r="V4793" s="28"/>
      <c r="W4793" s="28" t="n">
        <v>640</v>
      </c>
      <c r="X4793" s="28"/>
      <c r="Y4793" s="28" t="n">
        <f aca="false">X4793*$M4793</f>
        <v>0</v>
      </c>
      <c r="Z4793" s="28"/>
      <c r="AA4793" s="28" t="n">
        <f aca="false">Z4793*$M4793</f>
        <v>0</v>
      </c>
      <c r="AB4793" s="28"/>
      <c r="AC4793" s="28" t="n">
        <f aca="false">AB4793*$M4793</f>
        <v>0</v>
      </c>
      <c r="AD4793" s="28"/>
      <c r="AE4793" s="28" t="n">
        <f aca="false">AD4793*$M4793</f>
        <v>0</v>
      </c>
      <c r="AF4793" s="28"/>
      <c r="AG4793" s="28" t="n">
        <f aca="false">AF4793*$M4793</f>
        <v>0</v>
      </c>
      <c r="AH4793" s="28"/>
      <c r="AI4793" s="28" t="n">
        <v>121</v>
      </c>
      <c r="AJ4793" s="28"/>
      <c r="AK4793" s="28" t="n">
        <v>412</v>
      </c>
      <c r="AL4793" s="28"/>
      <c r="AM4793" s="28" t="n">
        <f aca="false">AL4793*$M4793</f>
        <v>0</v>
      </c>
      <c r="AN4793" s="28"/>
      <c r="AO4793" s="28" t="n">
        <f aca="false">AN4793*$M4793</f>
        <v>0</v>
      </c>
      <c r="AP4793" s="28"/>
      <c r="AQ4793" s="28" t="n">
        <f aca="false">AP4793*$M4793</f>
        <v>0</v>
      </c>
      <c r="AR4793" s="28"/>
      <c r="AS4793" s="28" t="n">
        <f aca="false">AR4793*$M4793</f>
        <v>0</v>
      </c>
      <c r="AT4793" s="28"/>
      <c r="AU4793" s="28" t="n">
        <f aca="false">AT4793*$M4793</f>
        <v>0</v>
      </c>
      <c r="AV4793" s="28"/>
      <c r="AW4793" s="28" t="n">
        <f aca="false">AV4793*$M4793</f>
        <v>0</v>
      </c>
      <c r="AX4793" s="28"/>
      <c r="AY4793" s="28" t="n">
        <f aca="false">AX4793*$M4793</f>
        <v>0</v>
      </c>
      <c r="AZ4793" s="30"/>
      <c r="BA4793" s="11" t="n">
        <v>1368</v>
      </c>
      <c r="BB4793" s="31" t="n">
        <f aca="false">SUM(Q4793,S4793,U4793,W4793,Y4793,AA4793,AC4793,AE4793,AG4793,AI4793,AK4793,AM4793,AO4793,AQ4793,AS4793,AU4793,AW4793,AY4793)</f>
        <v>1368</v>
      </c>
      <c r="BC4793" s="28" t="n">
        <f aca="false">BA4793-BB4793</f>
        <v>0</v>
      </c>
      <c r="BD4793" s="32" t="n">
        <f aca="false">SUM(P4793,R4793,T4793,V4793,X4793,Z4793,AB4793,AD4793,AF4793,AH4793,AJ4793,AL4793,AN4793,AP4793,AR4793,AT4793,AV4793,AX4793)</f>
        <v>0</v>
      </c>
      <c r="BE4793" s="33" t="n">
        <f aca="false">AZ4793-BD4793</f>
        <v>0</v>
      </c>
      <c r="BF4793" s="34" t="n">
        <f aca="false">BD4793*M4793</f>
        <v>0</v>
      </c>
      <c r="BG4793" s="35" t="n">
        <f aca="false">BA4793-BF4793</f>
        <v>1368</v>
      </c>
      <c r="BH4793" s="19" t="str">
        <f aca="false">IF(BG4793=0,"",IF(BG4793&lt;&gt;BA4793,"erreur de calcul",IF(BD4793&lt;&gt;0,"pas de prix",IF(M4793&lt;&gt; 0,"pas de quantité","pas de prix, ni de quantité"))))</f>
        <v>pas de prix, ni de quantité</v>
      </c>
      <c r="BI4793" s="19"/>
    </row>
    <row r="4794" customFormat="false" ht="15" hidden="false" customHeight="false" outlineLevel="0" collapsed="false">
      <c r="A4794" s="0" t="n">
        <v>21</v>
      </c>
      <c r="B4794" s="8" t="s">
        <v>24</v>
      </c>
      <c r="C4794" s="9" t="s">
        <v>25</v>
      </c>
      <c r="D4794" s="9" t="s">
        <v>26</v>
      </c>
      <c r="E4794" s="10" t="n">
        <v>1789</v>
      </c>
      <c r="F4794" s="9" t="s">
        <v>27</v>
      </c>
      <c r="G4794" s="9" t="s">
        <v>27</v>
      </c>
      <c r="H4794" s="11" t="n">
        <v>24</v>
      </c>
      <c r="I4794" s="11" t="s">
        <v>310</v>
      </c>
      <c r="J4794" s="14"/>
      <c r="K4794" s="14" t="n">
        <v>3</v>
      </c>
      <c r="L4794" s="16"/>
      <c r="M4794" s="27" t="n">
        <f aca="false">J4794+(K4794/20)+(L4794/240)</f>
        <v>0.15</v>
      </c>
      <c r="N4794" s="17" t="s">
        <v>311</v>
      </c>
      <c r="O4794" s="11"/>
      <c r="P4794" s="28"/>
      <c r="Q4794" s="28" t="n">
        <f aca="false">P4794*$M4794</f>
        <v>0</v>
      </c>
      <c r="R4794" s="28"/>
      <c r="S4794" s="28" t="n">
        <f aca="false">R4794*$M4794</f>
        <v>0</v>
      </c>
      <c r="T4794" s="28"/>
      <c r="U4794" s="28" t="n">
        <f aca="false">T4794*$M4794</f>
        <v>0</v>
      </c>
      <c r="V4794" s="28" t="n">
        <v>32065</v>
      </c>
      <c r="W4794" s="28" t="n">
        <v>4810</v>
      </c>
      <c r="X4794" s="28" t="n">
        <v>20652</v>
      </c>
      <c r="Y4794" s="28" t="n">
        <v>3098</v>
      </c>
      <c r="Z4794" s="28"/>
      <c r="AA4794" s="28" t="n">
        <f aca="false">Z4794*$M4794</f>
        <v>0</v>
      </c>
      <c r="AB4794" s="28"/>
      <c r="AC4794" s="28" t="n">
        <f aca="false">AB4794*$M4794</f>
        <v>0</v>
      </c>
      <c r="AD4794" s="28"/>
      <c r="AE4794" s="28" t="n">
        <f aca="false">AD4794*$M4794</f>
        <v>0</v>
      </c>
      <c r="AF4794" s="28"/>
      <c r="AG4794" s="28" t="n">
        <f aca="false">AF4794*$M4794</f>
        <v>0</v>
      </c>
      <c r="AH4794" s="28"/>
      <c r="AI4794" s="28" t="n">
        <f aca="false">AH4794*$M4794</f>
        <v>0</v>
      </c>
      <c r="AJ4794" s="28"/>
      <c r="AK4794" s="28" t="n">
        <f aca="false">AJ4794*$M4794</f>
        <v>0</v>
      </c>
      <c r="AL4794" s="28"/>
      <c r="AM4794" s="28" t="n">
        <f aca="false">AL4794*$M4794</f>
        <v>0</v>
      </c>
      <c r="AN4794" s="28"/>
      <c r="AO4794" s="28" t="n">
        <f aca="false">AN4794*$M4794</f>
        <v>0</v>
      </c>
      <c r="AP4794" s="28"/>
      <c r="AQ4794" s="28" t="n">
        <f aca="false">AP4794*$M4794</f>
        <v>0</v>
      </c>
      <c r="AR4794" s="28"/>
      <c r="AS4794" s="28" t="n">
        <f aca="false">AR4794*$M4794</f>
        <v>0</v>
      </c>
      <c r="AT4794" s="28"/>
      <c r="AU4794" s="28" t="n">
        <f aca="false">AT4794*$M4794</f>
        <v>0</v>
      </c>
      <c r="AV4794" s="28"/>
      <c r="AW4794" s="28" t="n">
        <f aca="false">AV4794*$M4794</f>
        <v>0</v>
      </c>
      <c r="AX4794" s="28"/>
      <c r="AY4794" s="28" t="n">
        <f aca="false">AX4794*$M4794</f>
        <v>0</v>
      </c>
      <c r="AZ4794" s="30" t="n">
        <v>52717</v>
      </c>
      <c r="BA4794" s="11" t="n">
        <v>7908</v>
      </c>
      <c r="BB4794" s="31" t="n">
        <f aca="false">SUM(Q4794,S4794,U4794,W4794,Y4794,AA4794,AC4794,AE4794,AG4794,AI4794,AK4794,AM4794,AO4794,AQ4794,AS4794,AU4794,AW4794,AY4794)</f>
        <v>7908</v>
      </c>
      <c r="BC4794" s="28" t="n">
        <f aca="false">BA4794-BB4794</f>
        <v>0</v>
      </c>
      <c r="BD4794" s="32" t="n">
        <f aca="false">SUM(P4794,R4794,T4794,V4794,X4794,Z4794,AB4794,AD4794,AF4794,AH4794,AJ4794,AL4794,AN4794,AP4794,AR4794,AT4794,AV4794,AX4794)</f>
        <v>52717</v>
      </c>
      <c r="BE4794" s="33" t="n">
        <f aca="false">AZ4794-BD4794</f>
        <v>0</v>
      </c>
      <c r="BF4794" s="34" t="n">
        <f aca="false">BD4794*M4794</f>
        <v>7907.55</v>
      </c>
      <c r="BG4794" s="35" t="n">
        <f aca="false">BA4794-BF4794</f>
        <v>0.450000000000728</v>
      </c>
      <c r="BH4794" s="19" t="str">
        <f aca="false">IF(BG4794=0,"",IF(BG4794&lt;&gt;BA4794,"erreur de calcul",IF(BD4794&lt;&gt;0,"pas de prix",IF(M4794&lt;&gt; 0,"pas de quantité","pas de prix, ni de quantité"))))</f>
        <v>erreur de calcul</v>
      </c>
      <c r="BI4794" s="19"/>
    </row>
    <row r="4795" customFormat="false" ht="15" hidden="false" customHeight="false" outlineLevel="0" collapsed="false">
      <c r="A4795" s="0" t="n">
        <v>22</v>
      </c>
      <c r="B4795" s="8" t="s">
        <v>24</v>
      </c>
      <c r="C4795" s="9" t="s">
        <v>25</v>
      </c>
      <c r="D4795" s="9" t="s">
        <v>26</v>
      </c>
      <c r="E4795" s="10" t="n">
        <v>1789</v>
      </c>
      <c r="F4795" s="9" t="s">
        <v>27</v>
      </c>
      <c r="G4795" s="9" t="s">
        <v>27</v>
      </c>
      <c r="H4795" s="11" t="n">
        <v>24</v>
      </c>
      <c r="I4795" s="11" t="s">
        <v>312</v>
      </c>
      <c r="J4795" s="14" t="n">
        <v>15</v>
      </c>
      <c r="K4795" s="14"/>
      <c r="L4795" s="16"/>
      <c r="M4795" s="27" t="n">
        <f aca="false">J4795+(K4795/20)+(L4795/240)</f>
        <v>15</v>
      </c>
      <c r="N4795" s="17" t="s">
        <v>275</v>
      </c>
      <c r="O4795" s="11"/>
      <c r="P4795" s="28"/>
      <c r="Q4795" s="28" t="n">
        <f aca="false">P4795*$M4795</f>
        <v>0</v>
      </c>
      <c r="R4795" s="28"/>
      <c r="S4795" s="28" t="n">
        <f aca="false">R4795*$M4795</f>
        <v>0</v>
      </c>
      <c r="T4795" s="28" t="n">
        <v>1479</v>
      </c>
      <c r="U4795" s="28" t="n">
        <v>22185</v>
      </c>
      <c r="V4795" s="28" t="n">
        <v>1500</v>
      </c>
      <c r="W4795" s="28" t="n">
        <v>22500</v>
      </c>
      <c r="X4795" s="28" t="n">
        <v>300</v>
      </c>
      <c r="Y4795" s="28" t="n">
        <v>4500</v>
      </c>
      <c r="Z4795" s="28" t="n">
        <v>168</v>
      </c>
      <c r="AA4795" s="28" t="n">
        <v>2520</v>
      </c>
      <c r="AB4795" s="28" t="n">
        <v>14570</v>
      </c>
      <c r="AC4795" s="28" t="n">
        <v>218550</v>
      </c>
      <c r="AD4795" s="28"/>
      <c r="AE4795" s="28" t="n">
        <f aca="false">AD4795*$M4795</f>
        <v>0</v>
      </c>
      <c r="AF4795" s="28" t="n">
        <v>5748</v>
      </c>
      <c r="AG4795" s="28" t="n">
        <v>86220</v>
      </c>
      <c r="AH4795" s="28"/>
      <c r="AI4795" s="28" t="n">
        <f aca="false">AH4795*$M4795</f>
        <v>0</v>
      </c>
      <c r="AJ4795" s="28" t="n">
        <v>710</v>
      </c>
      <c r="AK4795" s="28" t="n">
        <v>10650</v>
      </c>
      <c r="AL4795" s="28" t="n">
        <v>600</v>
      </c>
      <c r="AM4795" s="28" t="n">
        <v>9000</v>
      </c>
      <c r="AN4795" s="28"/>
      <c r="AO4795" s="28" t="n">
        <f aca="false">AN4795*$M4795</f>
        <v>0</v>
      </c>
      <c r="AP4795" s="28" t="n">
        <v>1200</v>
      </c>
      <c r="AQ4795" s="28" t="n">
        <v>18000</v>
      </c>
      <c r="AR4795" s="28"/>
      <c r="AS4795" s="28" t="n">
        <f aca="false">AR4795*$M4795</f>
        <v>0</v>
      </c>
      <c r="AT4795" s="28"/>
      <c r="AU4795" s="28" t="n">
        <f aca="false">AT4795*$M4795</f>
        <v>0</v>
      </c>
      <c r="AV4795" s="28"/>
      <c r="AW4795" s="28" t="n">
        <f aca="false">AV4795*$M4795</f>
        <v>0</v>
      </c>
      <c r="AX4795" s="28"/>
      <c r="AY4795" s="28" t="n">
        <f aca="false">AX4795*$M4795</f>
        <v>0</v>
      </c>
      <c r="AZ4795" s="30" t="n">
        <v>26275</v>
      </c>
      <c r="BA4795" s="11" t="n">
        <v>394125</v>
      </c>
      <c r="BB4795" s="31" t="n">
        <f aca="false">SUM(Q4795,S4795,U4795,W4795,Y4795,AA4795,AC4795,AE4795,AG4795,AI4795,AK4795,AM4795,AO4795,AQ4795,AS4795,AU4795,AW4795,AY4795)</f>
        <v>394125</v>
      </c>
      <c r="BC4795" s="28" t="n">
        <f aca="false">BA4795-BB4795</f>
        <v>0</v>
      </c>
      <c r="BD4795" s="32" t="n">
        <f aca="false">SUM(P4795,R4795,T4795,V4795,X4795,Z4795,AB4795,AD4795,AF4795,AH4795,AJ4795,AL4795,AN4795,AP4795,AR4795,AT4795,AV4795,AX4795)</f>
        <v>26275</v>
      </c>
      <c r="BE4795" s="33" t="n">
        <f aca="false">AZ4795-BD4795</f>
        <v>0</v>
      </c>
      <c r="BF4795" s="34" t="n">
        <f aca="false">BD4795*M4795</f>
        <v>394125</v>
      </c>
      <c r="BG4795" s="35" t="n">
        <f aca="false">BA4795-BF4795</f>
        <v>0</v>
      </c>
      <c r="BH4795" s="19" t="str">
        <f aca="false">IF(BG4795=0,"",IF(BG4795&lt;&gt;BA4795,"erreur de calcul",IF(BD4795&lt;&gt;0,"pas de prix",IF(M4795&lt;&gt; 0,"pas de quantité","pas de prix, ni de quantité"))))</f>
        <v/>
      </c>
      <c r="BI4795" s="19"/>
    </row>
    <row r="4796" customFormat="false" ht="15" hidden="false" customHeight="false" outlineLevel="0" collapsed="false">
      <c r="A4796" s="0" t="n">
        <v>23</v>
      </c>
      <c r="B4796" s="8" t="s">
        <v>24</v>
      </c>
      <c r="C4796" s="9" t="s">
        <v>25</v>
      </c>
      <c r="D4796" s="9" t="s">
        <v>26</v>
      </c>
      <c r="E4796" s="10" t="n">
        <v>1789</v>
      </c>
      <c r="F4796" s="9" t="s">
        <v>27</v>
      </c>
      <c r="G4796" s="9" t="s">
        <v>27</v>
      </c>
      <c r="H4796" s="11" t="n">
        <v>24</v>
      </c>
      <c r="I4796" s="11" t="s">
        <v>313</v>
      </c>
      <c r="J4796" s="14" t="n">
        <v>9</v>
      </c>
      <c r="K4796" s="14"/>
      <c r="L4796" s="16"/>
      <c r="M4796" s="27" t="n">
        <f aca="false">J4796+(K4796/20)+(L4796/240)</f>
        <v>9</v>
      </c>
      <c r="N4796" s="17" t="s">
        <v>64</v>
      </c>
      <c r="O4796" s="11"/>
      <c r="P4796" s="28"/>
      <c r="Q4796" s="28" t="n">
        <f aca="false">P4796*$M4796</f>
        <v>0</v>
      </c>
      <c r="R4796" s="28"/>
      <c r="S4796" s="28" t="n">
        <f aca="false">R4796*$M4796</f>
        <v>0</v>
      </c>
      <c r="T4796" s="28"/>
      <c r="U4796" s="28" t="n">
        <f aca="false">T4796*$M4796</f>
        <v>0</v>
      </c>
      <c r="V4796" s="28" t="n">
        <f aca="false">145504/100</f>
        <v>1455.04</v>
      </c>
      <c r="W4796" s="28" t="n">
        <v>13095</v>
      </c>
      <c r="X4796" s="28" t="n">
        <f aca="false">58504/100</f>
        <v>585.04</v>
      </c>
      <c r="Y4796" s="28" t="n">
        <v>5265</v>
      </c>
      <c r="Z4796" s="28" t="n">
        <f aca="false">17027/100</f>
        <v>170.27</v>
      </c>
      <c r="AA4796" s="28" t="n">
        <v>1532</v>
      </c>
      <c r="AB4796" s="28" t="n">
        <f aca="false">84396/100</f>
        <v>843.96</v>
      </c>
      <c r="AC4796" s="28" t="n">
        <v>7596</v>
      </c>
      <c r="AD4796" s="28"/>
      <c r="AE4796" s="28" t="n">
        <f aca="false">AD4796*$M4796</f>
        <v>0</v>
      </c>
      <c r="AF4796" s="28" t="n">
        <f aca="false">14807/100</f>
        <v>148.07</v>
      </c>
      <c r="AG4796" s="28" t="n">
        <v>1333</v>
      </c>
      <c r="AH4796" s="28"/>
      <c r="AI4796" s="28" t="n">
        <f aca="false">AH4796*$M4796</f>
        <v>0</v>
      </c>
      <c r="AJ4796" s="28"/>
      <c r="AK4796" s="28" t="n">
        <f aca="false">AJ4796*$M4796</f>
        <v>0</v>
      </c>
      <c r="AL4796" s="28"/>
      <c r="AM4796" s="28" t="n">
        <f aca="false">AL4796*$M4796</f>
        <v>0</v>
      </c>
      <c r="AN4796" s="28"/>
      <c r="AO4796" s="28" t="n">
        <f aca="false">AN4796*$M4796</f>
        <v>0</v>
      </c>
      <c r="AP4796" s="28"/>
      <c r="AQ4796" s="28" t="n">
        <f aca="false">AP4796*$M4796</f>
        <v>0</v>
      </c>
      <c r="AR4796" s="28"/>
      <c r="AS4796" s="28" t="n">
        <f aca="false">AR4796*$M4796</f>
        <v>0</v>
      </c>
      <c r="AT4796" s="28"/>
      <c r="AU4796" s="28" t="n">
        <f aca="false">AT4796*$M4796</f>
        <v>0</v>
      </c>
      <c r="AV4796" s="28"/>
      <c r="AW4796" s="28" t="n">
        <f aca="false">AV4796*$M4796</f>
        <v>0</v>
      </c>
      <c r="AX4796" s="28"/>
      <c r="AY4796" s="28" t="n">
        <f aca="false">AX4796*$M4796</f>
        <v>0</v>
      </c>
      <c r="AZ4796" s="30" t="n">
        <f aca="false">320238/100</f>
        <v>3202.38</v>
      </c>
      <c r="BA4796" s="11" t="n">
        <v>28821</v>
      </c>
      <c r="BB4796" s="31" t="n">
        <f aca="false">SUM(Q4796,S4796,U4796,W4796,Y4796,AA4796,AC4796,AE4796,AG4796,AI4796,AK4796,AM4796,AO4796,AQ4796,AS4796,AU4796,AW4796,AY4796)</f>
        <v>28821</v>
      </c>
      <c r="BC4796" s="28" t="n">
        <f aca="false">BA4796-BB4796</f>
        <v>0</v>
      </c>
      <c r="BD4796" s="32" t="n">
        <f aca="false">SUM(P4796,R4796,T4796,V4796,X4796,Z4796,AB4796,AD4796,AF4796,AH4796,AJ4796,AL4796,AN4796,AP4796,AR4796,AT4796,AV4796,AX4796)</f>
        <v>3202.38</v>
      </c>
      <c r="BE4796" s="33" t="n">
        <f aca="false">AZ4796-BD4796</f>
        <v>0</v>
      </c>
      <c r="BF4796" s="34" t="n">
        <f aca="false">BD4796*M4796</f>
        <v>28821.42</v>
      </c>
      <c r="BG4796" s="35" t="n">
        <f aca="false">BA4796-BF4796</f>
        <v>-0.420000000001892</v>
      </c>
      <c r="BH4796" s="19" t="str">
        <f aca="false">IF(BG4796=0,"",IF(BG4796&lt;&gt;BA4796,"erreur de calcul",IF(BD4796&lt;&gt;0,"pas de prix",IF(M4796&lt;&gt; 0,"pas de quantité","pas de prix, ni de quantité"))))</f>
        <v>erreur de calcul</v>
      </c>
      <c r="BI4796" s="19"/>
    </row>
    <row r="4797" customFormat="false" ht="15" hidden="false" customHeight="false" outlineLevel="0" collapsed="false">
      <c r="A4797" s="0" t="n">
        <v>24</v>
      </c>
      <c r="B4797" s="8" t="s">
        <v>24</v>
      </c>
      <c r="C4797" s="9" t="s">
        <v>25</v>
      </c>
      <c r="D4797" s="9" t="s">
        <v>26</v>
      </c>
      <c r="E4797" s="10" t="n">
        <v>1789</v>
      </c>
      <c r="F4797" s="9" t="s">
        <v>27</v>
      </c>
      <c r="G4797" s="9" t="s">
        <v>27</v>
      </c>
      <c r="H4797" s="11" t="n">
        <v>24</v>
      </c>
      <c r="I4797" s="11" t="s">
        <v>314</v>
      </c>
      <c r="J4797" s="14"/>
      <c r="K4797" s="14" t="n">
        <v>4</v>
      </c>
      <c r="L4797" s="16"/>
      <c r="M4797" s="27" t="n">
        <f aca="false">J4797+(K4797/20)+(L4797/240)</f>
        <v>0.2</v>
      </c>
      <c r="N4797" s="17" t="s">
        <v>311</v>
      </c>
      <c r="O4797" s="11"/>
      <c r="P4797" s="28"/>
      <c r="Q4797" s="28" t="n">
        <f aca="false">P4797*$M4797</f>
        <v>0</v>
      </c>
      <c r="R4797" s="28"/>
      <c r="S4797" s="28" t="n">
        <f aca="false">R4797*$M4797</f>
        <v>0</v>
      </c>
      <c r="T4797" s="28"/>
      <c r="U4797" s="28" t="n">
        <f aca="false">T4797*$M4797</f>
        <v>0</v>
      </c>
      <c r="V4797" s="28" t="n">
        <v>5800</v>
      </c>
      <c r="W4797" s="28" t="n">
        <v>1160</v>
      </c>
      <c r="X4797" s="28"/>
      <c r="Y4797" s="28" t="n">
        <f aca="false">X4797*$M4797</f>
        <v>0</v>
      </c>
      <c r="Z4797" s="28"/>
      <c r="AA4797" s="28" t="n">
        <f aca="false">Z4797*$M4797</f>
        <v>0</v>
      </c>
      <c r="AB4797" s="28"/>
      <c r="AC4797" s="28" t="n">
        <f aca="false">AB4797*$M4797</f>
        <v>0</v>
      </c>
      <c r="AD4797" s="28"/>
      <c r="AE4797" s="28" t="n">
        <f aca="false">AD4797*$M4797</f>
        <v>0</v>
      </c>
      <c r="AF4797" s="28"/>
      <c r="AG4797" s="28" t="n">
        <f aca="false">AF4797*$M4797</f>
        <v>0</v>
      </c>
      <c r="AH4797" s="28"/>
      <c r="AI4797" s="28" t="n">
        <f aca="false">AH4797*$M4797</f>
        <v>0</v>
      </c>
      <c r="AJ4797" s="28"/>
      <c r="AK4797" s="28" t="n">
        <f aca="false">AJ4797*$M4797</f>
        <v>0</v>
      </c>
      <c r="AL4797" s="28"/>
      <c r="AM4797" s="28" t="n">
        <f aca="false">AL4797*$M4797</f>
        <v>0</v>
      </c>
      <c r="AN4797" s="28"/>
      <c r="AO4797" s="28" t="n">
        <f aca="false">AN4797*$M4797</f>
        <v>0</v>
      </c>
      <c r="AP4797" s="28"/>
      <c r="AQ4797" s="28" t="n">
        <f aca="false">AP4797*$M4797</f>
        <v>0</v>
      </c>
      <c r="AR4797" s="28"/>
      <c r="AS4797" s="28" t="n">
        <f aca="false">AR4797*$M4797</f>
        <v>0</v>
      </c>
      <c r="AT4797" s="28"/>
      <c r="AU4797" s="28" t="n">
        <f aca="false">AT4797*$M4797</f>
        <v>0</v>
      </c>
      <c r="AV4797" s="28"/>
      <c r="AW4797" s="28" t="n">
        <f aca="false">AV4797*$M4797</f>
        <v>0</v>
      </c>
      <c r="AX4797" s="28"/>
      <c r="AY4797" s="28" t="n">
        <f aca="false">AX4797*$M4797</f>
        <v>0</v>
      </c>
      <c r="AZ4797" s="30" t="n">
        <v>5800</v>
      </c>
      <c r="BA4797" s="11" t="n">
        <v>1160</v>
      </c>
      <c r="BB4797" s="31" t="n">
        <f aca="false">SUM(Q4797,S4797,U4797,W4797,Y4797,AA4797,AC4797,AE4797,AG4797,AI4797,AK4797,AM4797,AO4797,AQ4797,AS4797,AU4797,AW4797,AY4797)</f>
        <v>1160</v>
      </c>
      <c r="BC4797" s="28" t="n">
        <f aca="false">BA4797-BB4797</f>
        <v>0</v>
      </c>
      <c r="BD4797" s="32" t="n">
        <f aca="false">SUM(P4797,R4797,T4797,V4797,X4797,Z4797,AB4797,AD4797,AF4797,AH4797,AJ4797,AL4797,AN4797,AP4797,AR4797,AT4797,AV4797,AX4797)</f>
        <v>5800</v>
      </c>
      <c r="BE4797" s="33" t="n">
        <f aca="false">AZ4797-BD4797</f>
        <v>0</v>
      </c>
      <c r="BF4797" s="34" t="n">
        <f aca="false">BD4797*M4797</f>
        <v>1160</v>
      </c>
      <c r="BG4797" s="35" t="n">
        <f aca="false">BA4797-BF4797</f>
        <v>0</v>
      </c>
      <c r="BH4797" s="19" t="str">
        <f aca="false">IF(BG4797=0,"",IF(BG4797&lt;&gt;BA4797,"erreur de calcul",IF(BD4797&lt;&gt;0,"pas de prix",IF(M4797&lt;&gt; 0,"pas de quantité","pas de prix, ni de quantité"))))</f>
        <v/>
      </c>
      <c r="BI4797" s="19"/>
    </row>
    <row r="4798" customFormat="false" ht="15" hidden="false" customHeight="false" outlineLevel="0" collapsed="false">
      <c r="A4798" s="0" t="n">
        <v>25</v>
      </c>
      <c r="B4798" s="8" t="s">
        <v>24</v>
      </c>
      <c r="C4798" s="9" t="s">
        <v>25</v>
      </c>
      <c r="D4798" s="9" t="s">
        <v>26</v>
      </c>
      <c r="E4798" s="10" t="n">
        <v>1789</v>
      </c>
      <c r="F4798" s="9" t="s">
        <v>27</v>
      </c>
      <c r="G4798" s="9" t="s">
        <v>27</v>
      </c>
      <c r="H4798" s="11" t="n">
        <v>24</v>
      </c>
      <c r="I4798" s="11" t="s">
        <v>315</v>
      </c>
      <c r="J4798" s="14" t="n">
        <v>10</v>
      </c>
      <c r="K4798" s="14"/>
      <c r="L4798" s="16"/>
      <c r="M4798" s="27" t="n">
        <f aca="false">J4798+(K4798/20)+(L4798/240)</f>
        <v>10</v>
      </c>
      <c r="N4798" s="17" t="s">
        <v>64</v>
      </c>
      <c r="O4798" s="11"/>
      <c r="P4798" s="28"/>
      <c r="Q4798" s="28" t="n">
        <f aca="false">P4798*$M4798</f>
        <v>0</v>
      </c>
      <c r="R4798" s="28"/>
      <c r="S4798" s="28" t="n">
        <f aca="false">R4798*$M4798</f>
        <v>0</v>
      </c>
      <c r="T4798" s="28"/>
      <c r="U4798" s="28" t="n">
        <f aca="false">T4798*$M4798</f>
        <v>0</v>
      </c>
      <c r="V4798" s="28"/>
      <c r="W4798" s="28" t="n">
        <f aca="false">V4798*$M4798</f>
        <v>0</v>
      </c>
      <c r="X4798" s="28"/>
      <c r="Y4798" s="28" t="n">
        <f aca="false">X4798*$M4798</f>
        <v>0</v>
      </c>
      <c r="Z4798" s="28"/>
      <c r="AA4798" s="28" t="n">
        <f aca="false">Z4798*$M4798</f>
        <v>0</v>
      </c>
      <c r="AB4798" s="28"/>
      <c r="AC4798" s="28" t="n">
        <f aca="false">AB4798*$M4798</f>
        <v>0</v>
      </c>
      <c r="AD4798" s="28"/>
      <c r="AE4798" s="28" t="n">
        <f aca="false">AD4798*$M4798</f>
        <v>0</v>
      </c>
      <c r="AF4798" s="28"/>
      <c r="AG4798" s="28" t="n">
        <f aca="false">AF4798*$M4798</f>
        <v>0</v>
      </c>
      <c r="AH4798" s="28"/>
      <c r="AI4798" s="28" t="n">
        <f aca="false">AH4798*$M4798</f>
        <v>0</v>
      </c>
      <c r="AJ4798" s="28" t="n">
        <f aca="false">13584/100</f>
        <v>135.84</v>
      </c>
      <c r="AK4798" s="28" t="n">
        <v>1358</v>
      </c>
      <c r="AL4798" s="28"/>
      <c r="AM4798" s="28" t="n">
        <f aca="false">AL4798*$M4798</f>
        <v>0</v>
      </c>
      <c r="AN4798" s="28"/>
      <c r="AO4798" s="28" t="n">
        <f aca="false">AN4798*$M4798</f>
        <v>0</v>
      </c>
      <c r="AP4798" s="28"/>
      <c r="AQ4798" s="28" t="n">
        <f aca="false">AP4798*$M4798</f>
        <v>0</v>
      </c>
      <c r="AR4798" s="28"/>
      <c r="AS4798" s="28" t="n">
        <f aca="false">AR4798*$M4798</f>
        <v>0</v>
      </c>
      <c r="AT4798" s="28"/>
      <c r="AU4798" s="28" t="n">
        <f aca="false">AT4798*$M4798</f>
        <v>0</v>
      </c>
      <c r="AV4798" s="28"/>
      <c r="AW4798" s="28" t="n">
        <f aca="false">AV4798*$M4798</f>
        <v>0</v>
      </c>
      <c r="AX4798" s="28"/>
      <c r="AY4798" s="28" t="n">
        <f aca="false">AX4798*$M4798</f>
        <v>0</v>
      </c>
      <c r="AZ4798" s="30" t="n">
        <f aca="false">13584/100</f>
        <v>135.84</v>
      </c>
      <c r="BA4798" s="11" t="n">
        <v>1358</v>
      </c>
      <c r="BB4798" s="31" t="n">
        <f aca="false">SUM(Q4798,S4798,U4798,W4798,Y4798,AA4798,AC4798,AE4798,AG4798,AI4798,AK4798,AM4798,AO4798,AQ4798,AS4798,AU4798,AW4798,AY4798)</f>
        <v>1358</v>
      </c>
      <c r="BC4798" s="28" t="n">
        <f aca="false">BA4798-BB4798</f>
        <v>0</v>
      </c>
      <c r="BD4798" s="32" t="n">
        <f aca="false">SUM(P4798,R4798,T4798,V4798,X4798,Z4798,AB4798,AD4798,AF4798,AH4798,AJ4798,AL4798,AN4798,AP4798,AR4798,AT4798,AV4798,AX4798)</f>
        <v>135.84</v>
      </c>
      <c r="BE4798" s="33" t="n">
        <f aca="false">AZ4798-BD4798</f>
        <v>0</v>
      </c>
      <c r="BF4798" s="34" t="n">
        <f aca="false">BD4798*M4798</f>
        <v>1358.4</v>
      </c>
      <c r="BG4798" s="35" t="n">
        <f aca="false">BA4798-BF4798</f>
        <v>-0.400000000000091</v>
      </c>
      <c r="BH4798" s="19" t="str">
        <f aca="false">IF(BG4798=0,"",IF(BG4798&lt;&gt;BA4798,"erreur de calcul",IF(BD4798&lt;&gt;0,"pas de prix",IF(M4798&lt;&gt; 0,"pas de quantité","pas de prix, ni de quantité"))))</f>
        <v>erreur de calcul</v>
      </c>
      <c r="BI4798" s="19"/>
    </row>
    <row r="4799" customFormat="false" ht="15" hidden="false" customHeight="false" outlineLevel="0" collapsed="false">
      <c r="A4799" s="0" t="n">
        <v>26</v>
      </c>
      <c r="B4799" s="8" t="s">
        <v>24</v>
      </c>
      <c r="C4799" s="9" t="s">
        <v>25</v>
      </c>
      <c r="D4799" s="9" t="s">
        <v>26</v>
      </c>
      <c r="E4799" s="10" t="n">
        <v>1789</v>
      </c>
      <c r="F4799" s="9" t="s">
        <v>27</v>
      </c>
      <c r="G4799" s="9" t="s">
        <v>27</v>
      </c>
      <c r="H4799" s="11" t="n">
        <v>24</v>
      </c>
      <c r="I4799" s="11" t="s">
        <v>316</v>
      </c>
      <c r="J4799" s="14" t="n">
        <v>12</v>
      </c>
      <c r="K4799" s="14"/>
      <c r="L4799" s="16"/>
      <c r="M4799" s="27" t="n">
        <f aca="false">J4799+(K4799/20)+(L4799/240)</f>
        <v>12</v>
      </c>
      <c r="N4799" s="17" t="s">
        <v>64</v>
      </c>
      <c r="O4799" s="11"/>
      <c r="P4799" s="28" t="n">
        <f aca="false">8690/100</f>
        <v>86.9</v>
      </c>
      <c r="Q4799" s="28" t="n">
        <v>1043</v>
      </c>
      <c r="R4799" s="28"/>
      <c r="S4799" s="28" t="n">
        <f aca="false">R4799*$M4799</f>
        <v>0</v>
      </c>
      <c r="T4799" s="28"/>
      <c r="U4799" s="28" t="n">
        <f aca="false">T4799*$M4799</f>
        <v>0</v>
      </c>
      <c r="V4799" s="28"/>
      <c r="W4799" s="28" t="n">
        <f aca="false">V4799*$M4799</f>
        <v>0</v>
      </c>
      <c r="X4799" s="28" t="n">
        <f aca="false">10000/100</f>
        <v>100</v>
      </c>
      <c r="Y4799" s="28" t="n">
        <v>1200</v>
      </c>
      <c r="Z4799" s="28"/>
      <c r="AA4799" s="28" t="n">
        <f aca="false">Z4799*$M4799</f>
        <v>0</v>
      </c>
      <c r="AB4799" s="28"/>
      <c r="AC4799" s="28" t="n">
        <f aca="false">AB4799*$M4799</f>
        <v>0</v>
      </c>
      <c r="AD4799" s="28"/>
      <c r="AE4799" s="28" t="n">
        <f aca="false">AD4799*$M4799</f>
        <v>0</v>
      </c>
      <c r="AF4799" s="28"/>
      <c r="AG4799" s="28" t="n">
        <f aca="false">AF4799*$M4799</f>
        <v>0</v>
      </c>
      <c r="AH4799" s="28"/>
      <c r="AI4799" s="28" t="n">
        <f aca="false">AH4799*$M4799</f>
        <v>0</v>
      </c>
      <c r="AJ4799" s="28"/>
      <c r="AK4799" s="28" t="n">
        <f aca="false">AJ4799*$M4799</f>
        <v>0</v>
      </c>
      <c r="AL4799" s="28"/>
      <c r="AM4799" s="28" t="n">
        <f aca="false">AL4799*$M4799</f>
        <v>0</v>
      </c>
      <c r="AN4799" s="28"/>
      <c r="AO4799" s="28" t="n">
        <f aca="false">AN4799*$M4799</f>
        <v>0</v>
      </c>
      <c r="AP4799" s="28"/>
      <c r="AQ4799" s="28" t="n">
        <f aca="false">AP4799*$M4799</f>
        <v>0</v>
      </c>
      <c r="AR4799" s="28"/>
      <c r="AS4799" s="28" t="n">
        <f aca="false">AR4799*$M4799</f>
        <v>0</v>
      </c>
      <c r="AT4799" s="28"/>
      <c r="AU4799" s="28" t="n">
        <f aca="false">AT4799*$M4799</f>
        <v>0</v>
      </c>
      <c r="AV4799" s="28"/>
      <c r="AW4799" s="28" t="n">
        <f aca="false">AV4799*$M4799</f>
        <v>0</v>
      </c>
      <c r="AX4799" s="28"/>
      <c r="AY4799" s="28" t="n">
        <f aca="false">AX4799*$M4799</f>
        <v>0</v>
      </c>
      <c r="AZ4799" s="30" t="n">
        <f aca="false">18690/100</f>
        <v>186.9</v>
      </c>
      <c r="BA4799" s="11" t="n">
        <v>2243</v>
      </c>
      <c r="BB4799" s="31" t="n">
        <f aca="false">SUM(Q4799,S4799,U4799,W4799,Y4799,AA4799,AC4799,AE4799,AG4799,AI4799,AK4799,AM4799,AO4799,AQ4799,AS4799,AU4799,AW4799,AY4799)</f>
        <v>2243</v>
      </c>
      <c r="BC4799" s="28" t="n">
        <f aca="false">BA4799-BB4799</f>
        <v>0</v>
      </c>
      <c r="BD4799" s="32" t="n">
        <f aca="false">SUM(P4799,R4799,T4799,V4799,X4799,Z4799,AB4799,AD4799,AF4799,AH4799,AJ4799,AL4799,AN4799,AP4799,AR4799,AT4799,AV4799,AX4799)</f>
        <v>186.9</v>
      </c>
      <c r="BE4799" s="33" t="n">
        <f aca="false">AZ4799-BD4799</f>
        <v>0</v>
      </c>
      <c r="BF4799" s="34" t="n">
        <f aca="false">BD4799*M4799</f>
        <v>2242.8</v>
      </c>
      <c r="BG4799" s="35" t="n">
        <f aca="false">BA4799-BF4799</f>
        <v>0.199999999999818</v>
      </c>
      <c r="BH4799" s="19" t="str">
        <f aca="false">IF(BG4799=0,"",IF(BG4799&lt;&gt;BA4799,"erreur de calcul",IF(BD4799&lt;&gt;0,"pas de prix",IF(M4799&lt;&gt; 0,"pas de quantité","pas de prix, ni de quantité"))))</f>
        <v>erreur de calcul</v>
      </c>
      <c r="BI4799" s="19"/>
    </row>
    <row r="4800" customFormat="false" ht="15" hidden="false" customHeight="false" outlineLevel="0" collapsed="false">
      <c r="A4800" s="0" t="n">
        <v>27</v>
      </c>
      <c r="B4800" s="8" t="s">
        <v>24</v>
      </c>
      <c r="C4800" s="9" t="s">
        <v>25</v>
      </c>
      <c r="D4800" s="9" t="s">
        <v>26</v>
      </c>
      <c r="E4800" s="10" t="n">
        <v>1789</v>
      </c>
      <c r="F4800" s="9" t="s">
        <v>27</v>
      </c>
      <c r="G4800" s="9" t="s">
        <v>27</v>
      </c>
      <c r="H4800" s="11" t="n">
        <v>24</v>
      </c>
      <c r="I4800" s="11" t="s">
        <v>317</v>
      </c>
      <c r="J4800" s="14" t="n">
        <v>2</v>
      </c>
      <c r="K4800" s="14"/>
      <c r="L4800" s="16"/>
      <c r="M4800" s="27" t="n">
        <f aca="false">J4800+(K4800/20)+(L4800/240)</f>
        <v>2</v>
      </c>
      <c r="N4800" s="17" t="s">
        <v>64</v>
      </c>
      <c r="O4800" s="11"/>
      <c r="P4800" s="28"/>
      <c r="Q4800" s="28" t="n">
        <f aca="false">P4800*$M4800</f>
        <v>0</v>
      </c>
      <c r="R4800" s="28"/>
      <c r="S4800" s="28" t="n">
        <f aca="false">R4800*$M4800</f>
        <v>0</v>
      </c>
      <c r="T4800" s="28"/>
      <c r="U4800" s="28" t="n">
        <f aca="false">T4800*$M4800</f>
        <v>0</v>
      </c>
      <c r="V4800" s="28"/>
      <c r="W4800" s="28" t="n">
        <f aca="false">V4800*$M4800</f>
        <v>0</v>
      </c>
      <c r="X4800" s="28"/>
      <c r="Y4800" s="28" t="n">
        <f aca="false">X4800*$M4800</f>
        <v>0</v>
      </c>
      <c r="Z4800" s="28"/>
      <c r="AA4800" s="28" t="n">
        <f aca="false">Z4800*$M4800</f>
        <v>0</v>
      </c>
      <c r="AB4800" s="28" t="n">
        <f aca="false">15417/100</f>
        <v>154.17</v>
      </c>
      <c r="AC4800" s="28" t="n">
        <v>308</v>
      </c>
      <c r="AD4800" s="28"/>
      <c r="AE4800" s="28" t="n">
        <f aca="false">AD4800*$M4800</f>
        <v>0</v>
      </c>
      <c r="AF4800" s="28"/>
      <c r="AG4800" s="28" t="n">
        <f aca="false">AF4800*$M4800</f>
        <v>0</v>
      </c>
      <c r="AH4800" s="28"/>
      <c r="AI4800" s="28" t="n">
        <f aca="false">AH4800*$M4800</f>
        <v>0</v>
      </c>
      <c r="AJ4800" s="28"/>
      <c r="AK4800" s="28" t="n">
        <f aca="false">AJ4800*$M4800</f>
        <v>0</v>
      </c>
      <c r="AL4800" s="28"/>
      <c r="AM4800" s="28" t="n">
        <f aca="false">AL4800*$M4800</f>
        <v>0</v>
      </c>
      <c r="AN4800" s="28"/>
      <c r="AO4800" s="28" t="n">
        <f aca="false">AN4800*$M4800</f>
        <v>0</v>
      </c>
      <c r="AP4800" s="28"/>
      <c r="AQ4800" s="28" t="n">
        <f aca="false">AP4800*$M4800</f>
        <v>0</v>
      </c>
      <c r="AR4800" s="28"/>
      <c r="AS4800" s="28" t="n">
        <f aca="false">AR4800*$M4800</f>
        <v>0</v>
      </c>
      <c r="AT4800" s="28"/>
      <c r="AU4800" s="28" t="n">
        <f aca="false">AT4800*$M4800</f>
        <v>0</v>
      </c>
      <c r="AV4800" s="28"/>
      <c r="AW4800" s="28" t="n">
        <f aca="false">AV4800*$M4800</f>
        <v>0</v>
      </c>
      <c r="AX4800" s="28"/>
      <c r="AY4800" s="28" t="n">
        <f aca="false">AX4800*$M4800</f>
        <v>0</v>
      </c>
      <c r="AZ4800" s="30" t="n">
        <f aca="false">15417/100</f>
        <v>154.17</v>
      </c>
      <c r="BA4800" s="11" t="n">
        <v>308</v>
      </c>
      <c r="BB4800" s="31" t="n">
        <f aca="false">SUM(Q4800,S4800,U4800,W4800,Y4800,AA4800,AC4800,AE4800,AG4800,AI4800,AK4800,AM4800,AO4800,AQ4800,AS4800,AU4800,AW4800,AY4800)</f>
        <v>308</v>
      </c>
      <c r="BC4800" s="28" t="n">
        <f aca="false">BA4800-BB4800</f>
        <v>0</v>
      </c>
      <c r="BD4800" s="32" t="n">
        <f aca="false">SUM(P4800,R4800,T4800,V4800,X4800,Z4800,AB4800,AD4800,AF4800,AH4800,AJ4800,AL4800,AN4800,AP4800,AR4800,AT4800,AV4800,AX4800)</f>
        <v>154.17</v>
      </c>
      <c r="BE4800" s="33" t="n">
        <f aca="false">AZ4800-BD4800</f>
        <v>0</v>
      </c>
      <c r="BF4800" s="34" t="n">
        <f aca="false">BD4800*M4800</f>
        <v>308.34</v>
      </c>
      <c r="BG4800" s="35" t="n">
        <f aca="false">BA4800-BF4800</f>
        <v>-0.339999999999975</v>
      </c>
      <c r="BH4800" s="19" t="str">
        <f aca="false">IF(BG4800=0,"",IF(BG4800&lt;&gt;BA4800,"erreur de calcul",IF(BD4800&lt;&gt;0,"pas de prix",IF(M4800&lt;&gt; 0,"pas de quantité","pas de prix, ni de quantité"))))</f>
        <v>erreur de calcul</v>
      </c>
      <c r="BI4800" s="19"/>
    </row>
    <row r="4801" customFormat="false" ht="15" hidden="false" customHeight="false" outlineLevel="0" collapsed="false">
      <c r="A4801" s="0" t="n">
        <v>28</v>
      </c>
      <c r="B4801" s="8" t="s">
        <v>24</v>
      </c>
      <c r="C4801" s="9" t="s">
        <v>25</v>
      </c>
      <c r="D4801" s="9" t="s">
        <v>26</v>
      </c>
      <c r="E4801" s="10" t="n">
        <v>1789</v>
      </c>
      <c r="F4801" s="9" t="s">
        <v>27</v>
      </c>
      <c r="G4801" s="9" t="s">
        <v>27</v>
      </c>
      <c r="H4801" s="11" t="n">
        <v>24</v>
      </c>
      <c r="I4801" s="11" t="s">
        <v>318</v>
      </c>
      <c r="J4801" s="14" t="n">
        <v>30</v>
      </c>
      <c r="K4801" s="14"/>
      <c r="L4801" s="16"/>
      <c r="M4801" s="27" t="n">
        <f aca="false">J4801+(K4801/20)+(L4801/240)</f>
        <v>30</v>
      </c>
      <c r="N4801" s="17" t="s">
        <v>64</v>
      </c>
      <c r="O4801" s="11"/>
      <c r="P4801" s="28" t="n">
        <f aca="false">55459/100</f>
        <v>554.59</v>
      </c>
      <c r="Q4801" s="28" t="n">
        <v>16638</v>
      </c>
      <c r="R4801" s="28"/>
      <c r="S4801" s="28" t="n">
        <f aca="false">R4801*$M4801</f>
        <v>0</v>
      </c>
      <c r="T4801" s="28"/>
      <c r="U4801" s="28" t="n">
        <f aca="false">T4801*$M4801</f>
        <v>0</v>
      </c>
      <c r="V4801" s="28"/>
      <c r="W4801" s="28" t="n">
        <f aca="false">V4801*$M4801</f>
        <v>0</v>
      </c>
      <c r="X4801" s="28"/>
      <c r="Y4801" s="28" t="n">
        <f aca="false">X4801*$M4801</f>
        <v>0</v>
      </c>
      <c r="Z4801" s="28"/>
      <c r="AA4801" s="28" t="n">
        <f aca="false">Z4801*$M4801</f>
        <v>0</v>
      </c>
      <c r="AB4801" s="28"/>
      <c r="AC4801" s="28" t="n">
        <f aca="false">AB4801*$M4801</f>
        <v>0</v>
      </c>
      <c r="AD4801" s="28"/>
      <c r="AE4801" s="28" t="n">
        <f aca="false">AD4801*$M4801</f>
        <v>0</v>
      </c>
      <c r="AF4801" s="28"/>
      <c r="AG4801" s="28" t="n">
        <f aca="false">AF4801*$M4801</f>
        <v>0</v>
      </c>
      <c r="AH4801" s="28"/>
      <c r="AI4801" s="28" t="n">
        <f aca="false">AH4801*$M4801</f>
        <v>0</v>
      </c>
      <c r="AJ4801" s="28"/>
      <c r="AK4801" s="28" t="n">
        <f aca="false">AJ4801*$M4801</f>
        <v>0</v>
      </c>
      <c r="AL4801" s="28"/>
      <c r="AM4801" s="28" t="n">
        <f aca="false">AL4801*$M4801</f>
        <v>0</v>
      </c>
      <c r="AN4801" s="28"/>
      <c r="AO4801" s="28" t="n">
        <f aca="false">AN4801*$M4801</f>
        <v>0</v>
      </c>
      <c r="AP4801" s="28"/>
      <c r="AQ4801" s="28" t="n">
        <f aca="false">AP4801*$M4801</f>
        <v>0</v>
      </c>
      <c r="AR4801" s="28"/>
      <c r="AS4801" s="28" t="n">
        <f aca="false">AR4801*$M4801</f>
        <v>0</v>
      </c>
      <c r="AT4801" s="28"/>
      <c r="AU4801" s="28" t="n">
        <f aca="false">AT4801*$M4801</f>
        <v>0</v>
      </c>
      <c r="AV4801" s="28"/>
      <c r="AW4801" s="28" t="n">
        <f aca="false">AV4801*$M4801</f>
        <v>0</v>
      </c>
      <c r="AX4801" s="28"/>
      <c r="AY4801" s="28" t="n">
        <f aca="false">AX4801*$M4801</f>
        <v>0</v>
      </c>
      <c r="AZ4801" s="30" t="n">
        <f aca="false">55459/100</f>
        <v>554.59</v>
      </c>
      <c r="BA4801" s="11" t="n">
        <v>16638</v>
      </c>
      <c r="BB4801" s="31" t="n">
        <f aca="false">SUM(Q4801,S4801,U4801,W4801,Y4801,AA4801,AC4801,AE4801,AG4801,AI4801,AK4801,AM4801,AO4801,AQ4801,AS4801,AU4801,AW4801,AY4801)</f>
        <v>16638</v>
      </c>
      <c r="BC4801" s="28" t="n">
        <f aca="false">BA4801-BB4801</f>
        <v>0</v>
      </c>
      <c r="BD4801" s="32" t="n">
        <f aca="false">SUM(P4801,R4801,T4801,V4801,X4801,Z4801,AB4801,AD4801,AF4801,AH4801,AJ4801,AL4801,AN4801,AP4801,AR4801,AT4801,AV4801,AX4801)</f>
        <v>554.59</v>
      </c>
      <c r="BE4801" s="33" t="n">
        <f aca="false">AZ4801-BD4801</f>
        <v>0</v>
      </c>
      <c r="BF4801" s="34" t="n">
        <f aca="false">BD4801*M4801</f>
        <v>16637.7</v>
      </c>
      <c r="BG4801" s="35" t="n">
        <f aca="false">BA4801-BF4801</f>
        <v>0.299999999999272</v>
      </c>
      <c r="BH4801" s="19" t="str">
        <f aca="false">IF(BG4801=0,"",IF(BG4801&lt;&gt;BA4801,"erreur de calcul",IF(BD4801&lt;&gt;0,"pas de prix",IF(M4801&lt;&gt; 0,"pas de quantité","pas de prix, ni de quantité"))))</f>
        <v>erreur de calcul</v>
      </c>
      <c r="BI4801" s="19"/>
    </row>
    <row r="4802" customFormat="false" ht="15" hidden="false" customHeight="false" outlineLevel="0" collapsed="false">
      <c r="A4802" s="0" t="n">
        <v>29</v>
      </c>
      <c r="B4802" s="8" t="s">
        <v>24</v>
      </c>
      <c r="C4802" s="9" t="s">
        <v>25</v>
      </c>
      <c r="D4802" s="9" t="s">
        <v>26</v>
      </c>
      <c r="E4802" s="10" t="n">
        <v>1789</v>
      </c>
      <c r="F4802" s="9" t="s">
        <v>27</v>
      </c>
      <c r="G4802" s="9" t="s">
        <v>27</v>
      </c>
      <c r="H4802" s="11" t="n">
        <v>24</v>
      </c>
      <c r="I4802" s="11" t="s">
        <v>319</v>
      </c>
      <c r="J4802" s="14" t="n">
        <v>10</v>
      </c>
      <c r="K4802" s="14"/>
      <c r="L4802" s="16"/>
      <c r="M4802" s="27" t="n">
        <f aca="false">J4802+(K4802/20)+(L4802/240)</f>
        <v>10</v>
      </c>
      <c r="N4802" s="17" t="s">
        <v>64</v>
      </c>
      <c r="O4802" s="11"/>
      <c r="P4802" s="28" t="n">
        <f aca="false">48819/100</f>
        <v>488.19</v>
      </c>
      <c r="Q4802" s="28" t="n">
        <v>4882</v>
      </c>
      <c r="R4802" s="28"/>
      <c r="S4802" s="28" t="n">
        <f aca="false">R4802*$M4802</f>
        <v>0</v>
      </c>
      <c r="T4802" s="28" t="n">
        <f aca="false">2500/100</f>
        <v>25</v>
      </c>
      <c r="U4802" s="28" t="n">
        <v>250</v>
      </c>
      <c r="V4802" s="28"/>
      <c r="W4802" s="28" t="n">
        <f aca="false">V4802*$M4802</f>
        <v>0</v>
      </c>
      <c r="X4802" s="28" t="n">
        <f aca="false">6667/100</f>
        <v>66.67</v>
      </c>
      <c r="Y4802" s="28" t="n">
        <v>667</v>
      </c>
      <c r="Z4802" s="28"/>
      <c r="AA4802" s="28" t="n">
        <f aca="false">Z4802*$M4802</f>
        <v>0</v>
      </c>
      <c r="AB4802" s="28"/>
      <c r="AC4802" s="28" t="n">
        <f aca="false">AB4802*$M4802</f>
        <v>0</v>
      </c>
      <c r="AD4802" s="28"/>
      <c r="AE4802" s="28" t="n">
        <f aca="false">AD4802*$M4802</f>
        <v>0</v>
      </c>
      <c r="AF4802" s="28"/>
      <c r="AG4802" s="28" t="n">
        <f aca="false">AF4802*$M4802</f>
        <v>0</v>
      </c>
      <c r="AH4802" s="28"/>
      <c r="AI4802" s="28" t="n">
        <f aca="false">AH4802*$M4802</f>
        <v>0</v>
      </c>
      <c r="AJ4802" s="28"/>
      <c r="AK4802" s="28" t="n">
        <f aca="false">AJ4802*$M4802</f>
        <v>0</v>
      </c>
      <c r="AL4802" s="28"/>
      <c r="AM4802" s="28" t="n">
        <f aca="false">AL4802*$M4802</f>
        <v>0</v>
      </c>
      <c r="AN4802" s="28"/>
      <c r="AO4802" s="28" t="n">
        <f aca="false">AN4802*$M4802</f>
        <v>0</v>
      </c>
      <c r="AP4802" s="28"/>
      <c r="AQ4802" s="28" t="n">
        <f aca="false">AP4802*$M4802</f>
        <v>0</v>
      </c>
      <c r="AR4802" s="28"/>
      <c r="AS4802" s="28" t="n">
        <f aca="false">AR4802*$M4802</f>
        <v>0</v>
      </c>
      <c r="AT4802" s="28"/>
      <c r="AU4802" s="28" t="n">
        <f aca="false">AT4802*$M4802</f>
        <v>0</v>
      </c>
      <c r="AV4802" s="28"/>
      <c r="AW4802" s="28" t="n">
        <f aca="false">AV4802*$M4802</f>
        <v>0</v>
      </c>
      <c r="AX4802" s="28"/>
      <c r="AY4802" s="28" t="n">
        <f aca="false">AX4802*$M4802</f>
        <v>0</v>
      </c>
      <c r="AZ4802" s="30" t="n">
        <f aca="false">57986/100</f>
        <v>579.86</v>
      </c>
      <c r="BA4802" s="11" t="n">
        <v>5799</v>
      </c>
      <c r="BB4802" s="31" t="n">
        <f aca="false">SUM(Q4802,S4802,U4802,W4802,Y4802,AA4802,AC4802,AE4802,AG4802,AI4802,AK4802,AM4802,AO4802,AQ4802,AS4802,AU4802,AW4802,AY4802)</f>
        <v>5799</v>
      </c>
      <c r="BC4802" s="28" t="n">
        <f aca="false">BA4802-BB4802</f>
        <v>0</v>
      </c>
      <c r="BD4802" s="32" t="n">
        <f aca="false">SUM(P4802,R4802,T4802,V4802,X4802,Z4802,AB4802,AD4802,AF4802,AH4802,AJ4802,AL4802,AN4802,AP4802,AR4802,AT4802,AV4802,AX4802)</f>
        <v>579.86</v>
      </c>
      <c r="BE4802" s="33" t="n">
        <f aca="false">AZ4802-BD4802</f>
        <v>0</v>
      </c>
      <c r="BF4802" s="34" t="n">
        <f aca="false">BD4802*M4802</f>
        <v>5798.6</v>
      </c>
      <c r="BG4802" s="35" t="n">
        <f aca="false">BA4802-BF4802</f>
        <v>0.399999999999636</v>
      </c>
      <c r="BH4802" s="19" t="str">
        <f aca="false">IF(BG4802=0,"",IF(BG4802&lt;&gt;BA4802,"erreur de calcul",IF(BD4802&lt;&gt;0,"pas de prix",IF(M4802&lt;&gt; 0,"pas de quantité","pas de prix, ni de quantité"))))</f>
        <v>erreur de calcul</v>
      </c>
      <c r="BI4802" s="19"/>
    </row>
    <row r="4803" customFormat="false" ht="15" hidden="false" customHeight="false" outlineLevel="0" collapsed="false">
      <c r="A4803" s="0" t="n">
        <v>30</v>
      </c>
      <c r="B4803" s="8" t="s">
        <v>24</v>
      </c>
      <c r="C4803" s="9" t="s">
        <v>25</v>
      </c>
      <c r="D4803" s="9" t="s">
        <v>26</v>
      </c>
      <c r="E4803" s="10" t="n">
        <v>1789</v>
      </c>
      <c r="F4803" s="9" t="s">
        <v>27</v>
      </c>
      <c r="G4803" s="9" t="s">
        <v>27</v>
      </c>
      <c r="H4803" s="11" t="n">
        <v>24</v>
      </c>
      <c r="I4803" s="11" t="s">
        <v>320</v>
      </c>
      <c r="J4803" s="14" t="n">
        <v>90</v>
      </c>
      <c r="K4803" s="14"/>
      <c r="L4803" s="16"/>
      <c r="M4803" s="27" t="n">
        <f aca="false">J4803+(K4803/20)+(L4803/240)</f>
        <v>90</v>
      </c>
      <c r="N4803" s="17" t="s">
        <v>64</v>
      </c>
      <c r="O4803" s="11"/>
      <c r="P4803" s="28"/>
      <c r="Q4803" s="28" t="n">
        <f aca="false">P4803*$M4803</f>
        <v>0</v>
      </c>
      <c r="R4803" s="28"/>
      <c r="S4803" s="28" t="n">
        <f aca="false">R4803*$M4803</f>
        <v>0</v>
      </c>
      <c r="T4803" s="28"/>
      <c r="U4803" s="28" t="n">
        <f aca="false">T4803*$M4803</f>
        <v>0</v>
      </c>
      <c r="V4803" s="28"/>
      <c r="W4803" s="28" t="n">
        <f aca="false">V4803*$M4803</f>
        <v>0</v>
      </c>
      <c r="X4803" s="28"/>
      <c r="Y4803" s="28" t="n">
        <f aca="false">X4803*$M4803</f>
        <v>0</v>
      </c>
      <c r="Z4803" s="28"/>
      <c r="AA4803" s="28" t="n">
        <f aca="false">Z4803*$M4803</f>
        <v>0</v>
      </c>
      <c r="AB4803" s="28"/>
      <c r="AC4803" s="28" t="n">
        <f aca="false">AB4803*$M4803</f>
        <v>0</v>
      </c>
      <c r="AD4803" s="28"/>
      <c r="AE4803" s="28" t="n">
        <f aca="false">AD4803*$M4803</f>
        <v>0</v>
      </c>
      <c r="AF4803" s="28"/>
      <c r="AG4803" s="28" t="n">
        <f aca="false">AF4803*$M4803</f>
        <v>0</v>
      </c>
      <c r="AH4803" s="28"/>
      <c r="AI4803" s="28" t="n">
        <f aca="false">AH4803*$M4803</f>
        <v>0</v>
      </c>
      <c r="AJ4803" s="28"/>
      <c r="AK4803" s="28" t="n">
        <f aca="false">AJ4803*$M4803</f>
        <v>0</v>
      </c>
      <c r="AL4803" s="28" t="n">
        <f aca="false">2950/100</f>
        <v>29.5</v>
      </c>
      <c r="AM4803" s="28" t="n">
        <v>2655</v>
      </c>
      <c r="AN4803" s="28"/>
      <c r="AO4803" s="28" t="n">
        <f aca="false">AN4803*$M4803</f>
        <v>0</v>
      </c>
      <c r="AP4803" s="28"/>
      <c r="AQ4803" s="28" t="n">
        <f aca="false">AP4803*$M4803</f>
        <v>0</v>
      </c>
      <c r="AR4803" s="28"/>
      <c r="AS4803" s="28" t="n">
        <f aca="false">AR4803*$M4803</f>
        <v>0</v>
      </c>
      <c r="AT4803" s="28"/>
      <c r="AU4803" s="28" t="n">
        <f aca="false">AT4803*$M4803</f>
        <v>0</v>
      </c>
      <c r="AV4803" s="28"/>
      <c r="AW4803" s="28" t="n">
        <f aca="false">AV4803*$M4803</f>
        <v>0</v>
      </c>
      <c r="AX4803" s="28"/>
      <c r="AY4803" s="28" t="n">
        <f aca="false">AX4803*$M4803</f>
        <v>0</v>
      </c>
      <c r="AZ4803" s="30" t="n">
        <f aca="false">2950/100</f>
        <v>29.5</v>
      </c>
      <c r="BA4803" s="11" t="n">
        <v>2655</v>
      </c>
      <c r="BB4803" s="31" t="n">
        <f aca="false">SUM(Q4803,S4803,U4803,W4803,Y4803,AA4803,AC4803,AE4803,AG4803,AI4803,AK4803,AM4803,AO4803,AQ4803,AS4803,AU4803,AW4803,AY4803)</f>
        <v>2655</v>
      </c>
      <c r="BC4803" s="28" t="n">
        <f aca="false">BA4803-BB4803</f>
        <v>0</v>
      </c>
      <c r="BD4803" s="32" t="n">
        <f aca="false">SUM(P4803,R4803,T4803,V4803,X4803,Z4803,AB4803,AD4803,AF4803,AH4803,AJ4803,AL4803,AN4803,AP4803,AR4803,AT4803,AV4803,AX4803)</f>
        <v>29.5</v>
      </c>
      <c r="BE4803" s="33" t="n">
        <f aca="false">AZ4803-BD4803</f>
        <v>0</v>
      </c>
      <c r="BF4803" s="34" t="n">
        <f aca="false">BD4803*M4803</f>
        <v>2655</v>
      </c>
      <c r="BG4803" s="35" t="n">
        <f aca="false">BA4803-BF4803</f>
        <v>0</v>
      </c>
      <c r="BH4803" s="19" t="str">
        <f aca="false">IF(BG4803=0,"",IF(BG4803&lt;&gt;BA4803,"erreur de calcul",IF(BD4803&lt;&gt;0,"pas de prix",IF(M4803&lt;&gt; 0,"pas de quantité","pas de prix, ni de quantité"))))</f>
        <v/>
      </c>
      <c r="BI4803" s="19"/>
    </row>
    <row r="4804" customFormat="false" ht="15" hidden="false" customHeight="false" outlineLevel="0" collapsed="false">
      <c r="A4804" s="0" t="n">
        <v>31</v>
      </c>
      <c r="B4804" s="8" t="s">
        <v>24</v>
      </c>
      <c r="C4804" s="9" t="s">
        <v>25</v>
      </c>
      <c r="D4804" s="9" t="s">
        <v>26</v>
      </c>
      <c r="E4804" s="10" t="n">
        <v>1789</v>
      </c>
      <c r="F4804" s="9" t="s">
        <v>27</v>
      </c>
      <c r="G4804" s="9" t="s">
        <v>27</v>
      </c>
      <c r="H4804" s="11" t="n">
        <v>24</v>
      </c>
      <c r="I4804" s="11" t="s">
        <v>321</v>
      </c>
      <c r="J4804" s="14" t="n">
        <v>50</v>
      </c>
      <c r="K4804" s="14"/>
      <c r="L4804" s="16"/>
      <c r="M4804" s="27" t="n">
        <f aca="false">J4804+(K4804/20)+(L4804/240)</f>
        <v>50</v>
      </c>
      <c r="N4804" s="17" t="s">
        <v>64</v>
      </c>
      <c r="O4804" s="11" t="s">
        <v>277</v>
      </c>
      <c r="P4804" s="28"/>
      <c r="Q4804" s="28" t="n">
        <f aca="false">P4804*$M4804</f>
        <v>0</v>
      </c>
      <c r="R4804" s="28"/>
      <c r="S4804" s="28" t="n">
        <f aca="false">R4804*$M4804</f>
        <v>0</v>
      </c>
      <c r="T4804" s="28" t="n">
        <f aca="false">2*288*0.02+153*0.02</f>
        <v>14.58</v>
      </c>
      <c r="U4804" s="28" t="n">
        <v>729</v>
      </c>
      <c r="V4804" s="28" t="n">
        <f aca="false">2*288*0.02+118*0.02</f>
        <v>13.88</v>
      </c>
      <c r="W4804" s="28" t="n">
        <v>694</v>
      </c>
      <c r="X4804" s="28" t="n">
        <f aca="false">25*288*0.02+103*0.02</f>
        <v>146.06</v>
      </c>
      <c r="Y4804" s="28" t="n">
        <v>7303</v>
      </c>
      <c r="Z4804" s="28"/>
      <c r="AA4804" s="28" t="n">
        <f aca="false">Z4804*$M4804</f>
        <v>0</v>
      </c>
      <c r="AB4804" s="28" t="n">
        <f aca="false">1*288*0.02+74*0.02</f>
        <v>7.24</v>
      </c>
      <c r="AC4804" s="28" t="n">
        <v>362</v>
      </c>
      <c r="AD4804" s="28" t="n">
        <f aca="false">276*0.02</f>
        <v>5.52</v>
      </c>
      <c r="AE4804" s="28" t="n">
        <v>276</v>
      </c>
      <c r="AF4804" s="28"/>
      <c r="AG4804" s="28" t="n">
        <f aca="false">AF4804*$M4804</f>
        <v>0</v>
      </c>
      <c r="AH4804" s="28" t="n">
        <f aca="false">1*288*0.02+75*0.02</f>
        <v>7.26</v>
      </c>
      <c r="AI4804" s="28" t="n">
        <v>363</v>
      </c>
      <c r="AJ4804" s="28" t="n">
        <f aca="false">2*288*0.02+176*0.02</f>
        <v>15.04</v>
      </c>
      <c r="AK4804" s="28" t="n">
        <v>752</v>
      </c>
      <c r="AL4804" s="28"/>
      <c r="AM4804" s="28" t="n">
        <f aca="false">AL4804*$M4804</f>
        <v>0</v>
      </c>
      <c r="AN4804" s="28"/>
      <c r="AO4804" s="28" t="n">
        <f aca="false">AN4804*$M4804</f>
        <v>0</v>
      </c>
      <c r="AP4804" s="28"/>
      <c r="AQ4804" s="28" t="n">
        <f aca="false">AP4804*$M4804</f>
        <v>0</v>
      </c>
      <c r="AR4804" s="28"/>
      <c r="AS4804" s="28" t="n">
        <f aca="false">AR4804*$M4804</f>
        <v>0</v>
      </c>
      <c r="AT4804" s="28"/>
      <c r="AU4804" s="28" t="n">
        <f aca="false">AT4804*$M4804</f>
        <v>0</v>
      </c>
      <c r="AV4804" s="28"/>
      <c r="AW4804" s="28" t="n">
        <f aca="false">AV4804*$M4804</f>
        <v>0</v>
      </c>
      <c r="AX4804" s="28"/>
      <c r="AY4804" s="28" t="n">
        <f aca="false">AX4804*$M4804</f>
        <v>0</v>
      </c>
      <c r="AZ4804" s="30" t="n">
        <f aca="false">36*288*0.02+111*0.02</f>
        <v>209.58</v>
      </c>
      <c r="BA4804" s="11" t="n">
        <v>10479</v>
      </c>
      <c r="BB4804" s="31" t="n">
        <f aca="false">SUM(Q4804,S4804,U4804,W4804,Y4804,AA4804,AC4804,AE4804,AG4804,AI4804,AK4804,AM4804,AO4804,AQ4804,AS4804,AU4804,AW4804,AY4804)</f>
        <v>10479</v>
      </c>
      <c r="BC4804" s="28" t="n">
        <f aca="false">BA4804-BB4804</f>
        <v>0</v>
      </c>
      <c r="BD4804" s="32" t="n">
        <f aca="false">SUM(P4804,R4804,T4804,V4804,X4804,Z4804,AB4804,AD4804,AF4804,AH4804,AJ4804,AL4804,AN4804,AP4804,AR4804,AT4804,AV4804,AX4804)</f>
        <v>209.58</v>
      </c>
      <c r="BE4804" s="33" t="n">
        <f aca="false">AZ4804-BD4804</f>
        <v>0</v>
      </c>
      <c r="BF4804" s="34" t="n">
        <f aca="false">BD4804*M4804</f>
        <v>10479</v>
      </c>
      <c r="BG4804" s="35" t="n">
        <f aca="false">BA4804-BF4804</f>
        <v>0</v>
      </c>
      <c r="BH4804" s="19" t="str">
        <f aca="false">IF(BG4804=0,"",IF(BG4804&lt;&gt;BA4804,"erreur de calcul",IF(BD4804&lt;&gt;0,"pas de prix",IF(M4804&lt;&gt; 0,"pas de quantité","pas de prix, ni de quantité"))))</f>
        <v/>
      </c>
      <c r="BI4804" s="19"/>
    </row>
    <row r="4805" customFormat="false" ht="15" hidden="false" customHeight="false" outlineLevel="0" collapsed="false">
      <c r="A4805" s="0" t="n">
        <v>32</v>
      </c>
      <c r="B4805" s="8" t="s">
        <v>24</v>
      </c>
      <c r="C4805" s="9" t="s">
        <v>25</v>
      </c>
      <c r="D4805" s="9" t="s">
        <v>26</v>
      </c>
      <c r="E4805" s="10" t="n">
        <v>1789</v>
      </c>
      <c r="F4805" s="9" t="s">
        <v>27</v>
      </c>
      <c r="G4805" s="9" t="s">
        <v>27</v>
      </c>
      <c r="H4805" s="11" t="n">
        <v>24</v>
      </c>
      <c r="I4805" s="11" t="s">
        <v>322</v>
      </c>
      <c r="J4805" s="14" t="n">
        <v>70</v>
      </c>
      <c r="K4805" s="14"/>
      <c r="L4805" s="16"/>
      <c r="M4805" s="27" t="n">
        <f aca="false">J4805+(K4805/20)+(L4805/240)</f>
        <v>70</v>
      </c>
      <c r="N4805" s="17" t="s">
        <v>64</v>
      </c>
      <c r="O4805" s="11"/>
      <c r="P4805" s="28"/>
      <c r="Q4805" s="28" t="n">
        <f aca="false">P4805*$M4805</f>
        <v>0</v>
      </c>
      <c r="R4805" s="28"/>
      <c r="S4805" s="28" t="n">
        <f aca="false">R4805*$M4805</f>
        <v>0</v>
      </c>
      <c r="T4805" s="28"/>
      <c r="U4805" s="28" t="n">
        <f aca="false">T4805*$M4805</f>
        <v>0</v>
      </c>
      <c r="V4805" s="28"/>
      <c r="W4805" s="28" t="n">
        <f aca="false">V4805*$M4805</f>
        <v>0</v>
      </c>
      <c r="X4805" s="28" t="n">
        <f aca="false">2*288*0.02+217*0.02</f>
        <v>15.86</v>
      </c>
      <c r="Y4805" s="28" t="n">
        <v>1111</v>
      </c>
      <c r="Z4805" s="28"/>
      <c r="AA4805" s="28" t="n">
        <f aca="false">Z4805*$M4805</f>
        <v>0</v>
      </c>
      <c r="AB4805" s="28"/>
      <c r="AC4805" s="28" t="n">
        <f aca="false">AB4805*$M4805</f>
        <v>0</v>
      </c>
      <c r="AD4805" s="28"/>
      <c r="AE4805" s="28" t="n">
        <f aca="false">AD4805*$M4805</f>
        <v>0</v>
      </c>
      <c r="AF4805" s="28"/>
      <c r="AG4805" s="28" t="n">
        <f aca="false">AF4805*$M4805</f>
        <v>0</v>
      </c>
      <c r="AH4805" s="28"/>
      <c r="AI4805" s="28" t="n">
        <f aca="false">AH4805*$M4805</f>
        <v>0</v>
      </c>
      <c r="AJ4805" s="28"/>
      <c r="AK4805" s="28" t="n">
        <f aca="false">AJ4805*$M4805</f>
        <v>0</v>
      </c>
      <c r="AL4805" s="28"/>
      <c r="AM4805" s="28" t="n">
        <f aca="false">AL4805*$M4805</f>
        <v>0</v>
      </c>
      <c r="AN4805" s="28"/>
      <c r="AO4805" s="28" t="n">
        <f aca="false">AN4805*$M4805</f>
        <v>0</v>
      </c>
      <c r="AP4805" s="28"/>
      <c r="AQ4805" s="28" t="n">
        <f aca="false">AP4805*$M4805</f>
        <v>0</v>
      </c>
      <c r="AR4805" s="28"/>
      <c r="AS4805" s="28" t="n">
        <f aca="false">AR4805*$M4805</f>
        <v>0</v>
      </c>
      <c r="AT4805" s="28"/>
      <c r="AU4805" s="28" t="n">
        <f aca="false">AT4805*$M4805</f>
        <v>0</v>
      </c>
      <c r="AV4805" s="28"/>
      <c r="AW4805" s="28" t="n">
        <f aca="false">AV4805*$M4805</f>
        <v>0</v>
      </c>
      <c r="AX4805" s="28"/>
      <c r="AY4805" s="28" t="n">
        <f aca="false">AX4805*$M4805</f>
        <v>0</v>
      </c>
      <c r="AZ4805" s="30" t="n">
        <f aca="false">2*288*0.02+217*0.02</f>
        <v>15.86</v>
      </c>
      <c r="BA4805" s="11" t="n">
        <v>1111</v>
      </c>
      <c r="BB4805" s="31" t="n">
        <f aca="false">SUM(Q4805,S4805,U4805,W4805,Y4805,AA4805,AC4805,AE4805,AG4805,AI4805,AK4805,AM4805,AO4805,AQ4805,AS4805,AU4805,AW4805,AY4805)</f>
        <v>1111</v>
      </c>
      <c r="BC4805" s="28" t="n">
        <f aca="false">BA4805-BB4805</f>
        <v>0</v>
      </c>
      <c r="BD4805" s="32" t="n">
        <f aca="false">SUM(P4805,R4805,T4805,V4805,X4805,Z4805,AB4805,AD4805,AF4805,AH4805,AJ4805,AL4805,AN4805,AP4805,AR4805,AT4805,AV4805,AX4805)</f>
        <v>15.86</v>
      </c>
      <c r="BE4805" s="33" t="n">
        <f aca="false">AZ4805-BD4805</f>
        <v>0</v>
      </c>
      <c r="BF4805" s="34" t="n">
        <f aca="false">BD4805*M4805</f>
        <v>1110.2</v>
      </c>
      <c r="BG4805" s="35" t="n">
        <f aca="false">BA4805-BF4805</f>
        <v>0.799999999999955</v>
      </c>
      <c r="BH4805" s="19" t="str">
        <f aca="false">IF(BG4805=0,"",IF(BG4805&lt;&gt;BA4805,"erreur de calcul",IF(BD4805&lt;&gt;0,"pas de prix",IF(M4805&lt;&gt; 0,"pas de quantité","pas de prix, ni de quantité"))))</f>
        <v>erreur de calcul</v>
      </c>
      <c r="BI4805" s="19"/>
    </row>
    <row r="4806" customFormat="false" ht="15" hidden="false" customHeight="false" outlineLevel="0" collapsed="false">
      <c r="A4806" s="0" t="n">
        <v>33</v>
      </c>
      <c r="B4806" s="8" t="s">
        <v>24</v>
      </c>
      <c r="C4806" s="9" t="s">
        <v>25</v>
      </c>
      <c r="D4806" s="9" t="s">
        <v>26</v>
      </c>
      <c r="E4806" s="10" t="n">
        <v>1789</v>
      </c>
      <c r="F4806" s="9" t="s">
        <v>27</v>
      </c>
      <c r="G4806" s="9" t="s">
        <v>27</v>
      </c>
      <c r="H4806" s="11" t="n">
        <v>24</v>
      </c>
      <c r="I4806" s="11" t="s">
        <v>323</v>
      </c>
      <c r="J4806" s="14"/>
      <c r="K4806" s="14" t="n">
        <v>40</v>
      </c>
      <c r="L4806" s="16"/>
      <c r="M4806" s="27" t="n">
        <f aca="false">J4806+(K4806/20)+(L4806/240)</f>
        <v>2</v>
      </c>
      <c r="N4806" s="17" t="s">
        <v>66</v>
      </c>
      <c r="O4806" s="11"/>
      <c r="P4806" s="28" t="n">
        <v>780</v>
      </c>
      <c r="Q4806" s="28" t="n">
        <v>1560</v>
      </c>
      <c r="R4806" s="28"/>
      <c r="S4806" s="28" t="n">
        <f aca="false">R4806*$M4806</f>
        <v>0</v>
      </c>
      <c r="T4806" s="28" t="n">
        <v>1552</v>
      </c>
      <c r="U4806" s="28" t="n">
        <v>3104</v>
      </c>
      <c r="V4806" s="28" t="n">
        <v>1051</v>
      </c>
      <c r="W4806" s="28" t="n">
        <v>2102</v>
      </c>
      <c r="X4806" s="28" t="n">
        <v>1486</v>
      </c>
      <c r="Y4806" s="28" t="n">
        <v>2972</v>
      </c>
      <c r="Z4806" s="28" t="n">
        <v>847</v>
      </c>
      <c r="AA4806" s="28" t="n">
        <v>1694</v>
      </c>
      <c r="AB4806" s="28" t="n">
        <v>114</v>
      </c>
      <c r="AC4806" s="28" t="n">
        <v>228</v>
      </c>
      <c r="AD4806" s="28" t="n">
        <v>407</v>
      </c>
      <c r="AE4806" s="28" t="n">
        <v>814</v>
      </c>
      <c r="AF4806" s="28"/>
      <c r="AG4806" s="28" t="n">
        <f aca="false">AF4806*$M4806</f>
        <v>0</v>
      </c>
      <c r="AH4806" s="28"/>
      <c r="AI4806" s="28" t="n">
        <f aca="false">AH4806*$M4806</f>
        <v>0</v>
      </c>
      <c r="AJ4806" s="28" t="n">
        <v>1297</v>
      </c>
      <c r="AK4806" s="28" t="n">
        <v>2594</v>
      </c>
      <c r="AL4806" s="28"/>
      <c r="AM4806" s="28" t="n">
        <f aca="false">AL4806*$M4806</f>
        <v>0</v>
      </c>
      <c r="AN4806" s="28"/>
      <c r="AO4806" s="28" t="n">
        <f aca="false">AN4806*$M4806</f>
        <v>0</v>
      </c>
      <c r="AP4806" s="28"/>
      <c r="AQ4806" s="28" t="n">
        <f aca="false">AP4806*$M4806</f>
        <v>0</v>
      </c>
      <c r="AR4806" s="28"/>
      <c r="AS4806" s="28" t="n">
        <f aca="false">AR4806*$M4806</f>
        <v>0</v>
      </c>
      <c r="AT4806" s="28"/>
      <c r="AU4806" s="28" t="n">
        <f aca="false">AT4806*$M4806</f>
        <v>0</v>
      </c>
      <c r="AV4806" s="28"/>
      <c r="AW4806" s="28" t="n">
        <f aca="false">AV4806*$M4806</f>
        <v>0</v>
      </c>
      <c r="AX4806" s="28"/>
      <c r="AY4806" s="28" t="n">
        <f aca="false">AX4806*$M4806</f>
        <v>0</v>
      </c>
      <c r="AZ4806" s="30" t="n">
        <v>7534</v>
      </c>
      <c r="BA4806" s="11" t="n">
        <v>15068</v>
      </c>
      <c r="BB4806" s="31" t="n">
        <f aca="false">SUM(Q4806,S4806,U4806,W4806,Y4806,AA4806,AC4806,AE4806,AG4806,AI4806,AK4806,AM4806,AO4806,AQ4806,AS4806,AU4806,AW4806,AY4806)</f>
        <v>15068</v>
      </c>
      <c r="BC4806" s="28" t="n">
        <f aca="false">BA4806-BB4806</f>
        <v>0</v>
      </c>
      <c r="BD4806" s="32" t="n">
        <f aca="false">SUM(P4806,R4806,T4806,V4806,X4806,Z4806,AB4806,AD4806,AF4806,AH4806,AJ4806,AL4806,AN4806,AP4806,AR4806,AT4806,AV4806,AX4806)</f>
        <v>7534</v>
      </c>
      <c r="BE4806" s="33" t="n">
        <f aca="false">AZ4806-BD4806</f>
        <v>0</v>
      </c>
      <c r="BF4806" s="34" t="n">
        <f aca="false">BD4806*M4806</f>
        <v>15068</v>
      </c>
      <c r="BG4806" s="35" t="n">
        <f aca="false">BA4806-BF4806</f>
        <v>0</v>
      </c>
      <c r="BH4806" s="19" t="str">
        <f aca="false">IF(BG4806=0,"",IF(BG4806&lt;&gt;BA4806,"erreur de calcul",IF(BD4806&lt;&gt;0,"pas de prix",IF(M4806&lt;&gt; 0,"pas de quantité","pas de prix, ni de quantité"))))</f>
        <v/>
      </c>
      <c r="BI4806" s="19"/>
    </row>
    <row r="4807" customFormat="false" ht="15" hidden="false" customHeight="false" outlineLevel="0" collapsed="false">
      <c r="A4807" s="0" t="n">
        <v>34</v>
      </c>
      <c r="B4807" s="8" t="s">
        <v>24</v>
      </c>
      <c r="C4807" s="9" t="s">
        <v>25</v>
      </c>
      <c r="D4807" s="9" t="s">
        <v>26</v>
      </c>
      <c r="E4807" s="10" t="n">
        <v>1789</v>
      </c>
      <c r="F4807" s="9" t="s">
        <v>27</v>
      </c>
      <c r="G4807" s="9" t="s">
        <v>27</v>
      </c>
      <c r="H4807" s="11" t="n">
        <v>24</v>
      </c>
      <c r="I4807" s="11" t="s">
        <v>324</v>
      </c>
      <c r="J4807" s="14" t="n">
        <v>15</v>
      </c>
      <c r="K4807" s="14"/>
      <c r="L4807" s="16"/>
      <c r="M4807" s="27" t="n">
        <f aca="false">J4807+(K4807/20)+(L4807/240)</f>
        <v>15</v>
      </c>
      <c r="N4807" s="17" t="s">
        <v>64</v>
      </c>
      <c r="O4807" s="11"/>
      <c r="P4807" s="28" t="n">
        <f aca="false">6834/100</f>
        <v>68.34</v>
      </c>
      <c r="Q4807" s="28" t="n">
        <v>1025</v>
      </c>
      <c r="R4807" s="28"/>
      <c r="S4807" s="28" t="n">
        <f aca="false">R4807*$M4807</f>
        <v>0</v>
      </c>
      <c r="T4807" s="28" t="n">
        <f aca="false">834/100</f>
        <v>8.34</v>
      </c>
      <c r="U4807" s="28" t="n">
        <v>125</v>
      </c>
      <c r="V4807" s="28" t="n">
        <f aca="false">197372/100</f>
        <v>1973.72</v>
      </c>
      <c r="W4807" s="28" t="n">
        <v>29606</v>
      </c>
      <c r="X4807" s="28" t="n">
        <f aca="false">2334702/100</f>
        <v>23347.02</v>
      </c>
      <c r="Y4807" s="28" t="n">
        <v>350205</v>
      </c>
      <c r="Z4807" s="28"/>
      <c r="AA4807" s="28" t="n">
        <f aca="false">Z4807*$M4807</f>
        <v>0</v>
      </c>
      <c r="AB4807" s="28" t="n">
        <f aca="false">1417/100</f>
        <v>14.17</v>
      </c>
      <c r="AC4807" s="28" t="n">
        <v>212</v>
      </c>
      <c r="AD4807" s="28"/>
      <c r="AE4807" s="28" t="n">
        <f aca="false">AD4807*$M4807</f>
        <v>0</v>
      </c>
      <c r="AF4807" s="28"/>
      <c r="AG4807" s="28" t="n">
        <f aca="false">AF4807*$M4807</f>
        <v>0</v>
      </c>
      <c r="AH4807" s="28"/>
      <c r="AI4807" s="28" t="n">
        <f aca="false">AH4807*$M4807</f>
        <v>0</v>
      </c>
      <c r="AJ4807" s="28"/>
      <c r="AK4807" s="28" t="n">
        <f aca="false">AJ4807*$M4807</f>
        <v>0</v>
      </c>
      <c r="AL4807" s="28"/>
      <c r="AM4807" s="28" t="n">
        <f aca="false">AL4807*$M4807</f>
        <v>0</v>
      </c>
      <c r="AN4807" s="28"/>
      <c r="AO4807" s="28" t="n">
        <f aca="false">AN4807*$M4807</f>
        <v>0</v>
      </c>
      <c r="AP4807" s="28"/>
      <c r="AQ4807" s="28" t="n">
        <f aca="false">AP4807*$M4807</f>
        <v>0</v>
      </c>
      <c r="AR4807" s="28"/>
      <c r="AS4807" s="28" t="n">
        <f aca="false">AR4807*$M4807</f>
        <v>0</v>
      </c>
      <c r="AT4807" s="28"/>
      <c r="AU4807" s="28" t="n">
        <f aca="false">AT4807*$M4807</f>
        <v>0</v>
      </c>
      <c r="AV4807" s="28"/>
      <c r="AW4807" s="28" t="n">
        <f aca="false">AV4807*$M4807</f>
        <v>0</v>
      </c>
      <c r="AX4807" s="28"/>
      <c r="AY4807" s="28" t="n">
        <f aca="false">AX4807*$M4807</f>
        <v>0</v>
      </c>
      <c r="AZ4807" s="30" t="n">
        <f aca="false">2541159/100</f>
        <v>25411.59</v>
      </c>
      <c r="BA4807" s="11" t="n">
        <v>381173</v>
      </c>
      <c r="BB4807" s="31" t="n">
        <f aca="false">SUM(Q4807,S4807,U4807,W4807,Y4807,AA4807,AC4807,AE4807,AG4807,AI4807,AK4807,AM4807,AO4807,AQ4807,AS4807,AU4807,AW4807,AY4807)</f>
        <v>381173</v>
      </c>
      <c r="BC4807" s="28" t="n">
        <f aca="false">BA4807-BB4807</f>
        <v>0</v>
      </c>
      <c r="BD4807" s="32" t="n">
        <f aca="false">SUM(P4807,R4807,T4807,V4807,X4807,Z4807,AB4807,AD4807,AF4807,AH4807,AJ4807,AL4807,AN4807,AP4807,AR4807,AT4807,AV4807,AX4807)</f>
        <v>25411.59</v>
      </c>
      <c r="BE4807" s="33" t="n">
        <f aca="false">AZ4807-BD4807</f>
        <v>0</v>
      </c>
      <c r="BF4807" s="34" t="n">
        <f aca="false">BD4807*M4807</f>
        <v>381173.85</v>
      </c>
      <c r="BG4807" s="35" t="n">
        <f aca="false">BA4807-BF4807</f>
        <v>-0.849999999976717</v>
      </c>
      <c r="BH4807" s="19" t="str">
        <f aca="false">IF(BG4807=0,"",IF(BG4807&lt;&gt;BA4807,"erreur de calcul",IF(BD4807&lt;&gt;0,"pas de prix",IF(M4807&lt;&gt; 0,"pas de quantité","pas de prix, ni de quantité"))))</f>
        <v>erreur de calcul</v>
      </c>
      <c r="BI4807" s="19"/>
    </row>
    <row r="4808" customFormat="false" ht="15" hidden="false" customHeight="false" outlineLevel="0" collapsed="false">
      <c r="A4808" s="0" t="n">
        <v>35</v>
      </c>
      <c r="B4808" s="8" t="s">
        <v>24</v>
      </c>
      <c r="C4808" s="9" t="s">
        <v>25</v>
      </c>
      <c r="D4808" s="9" t="s">
        <v>26</v>
      </c>
      <c r="E4808" s="10" t="n">
        <v>1789</v>
      </c>
      <c r="F4808" s="9" t="s">
        <v>27</v>
      </c>
      <c r="G4808" s="9" t="s">
        <v>27</v>
      </c>
      <c r="H4808" s="11" t="n">
        <v>24</v>
      </c>
      <c r="I4808" s="11" t="s">
        <v>325</v>
      </c>
      <c r="J4808" s="14" t="n">
        <v>25</v>
      </c>
      <c r="K4808" s="14"/>
      <c r="L4808" s="16"/>
      <c r="M4808" s="27" t="n">
        <f aca="false">J4808+(K4808/20)+(L4808/240)</f>
        <v>25</v>
      </c>
      <c r="N4808" s="17" t="s">
        <v>64</v>
      </c>
      <c r="O4808" s="11"/>
      <c r="P4808" s="28"/>
      <c r="Q4808" s="28" t="n">
        <f aca="false">P4808*$M4808</f>
        <v>0</v>
      </c>
      <c r="R4808" s="28"/>
      <c r="S4808" s="28" t="n">
        <f aca="false">R4808*$M4808</f>
        <v>0</v>
      </c>
      <c r="T4808" s="28"/>
      <c r="U4808" s="28" t="n">
        <f aca="false">T4808*$M4808</f>
        <v>0</v>
      </c>
      <c r="V4808" s="28"/>
      <c r="W4808" s="28" t="n">
        <f aca="false">V4808*$M4808</f>
        <v>0</v>
      </c>
      <c r="X4808" s="28" t="n">
        <f aca="false">4971/100</f>
        <v>49.71</v>
      </c>
      <c r="Y4808" s="28" t="n">
        <v>1243</v>
      </c>
      <c r="Z4808" s="28" t="n">
        <f aca="false">14812/100</f>
        <v>148.12</v>
      </c>
      <c r="AA4808" s="28" t="n">
        <v>3703</v>
      </c>
      <c r="AB4808" s="28"/>
      <c r="AC4808" s="28" t="n">
        <f aca="false">AB4808*$M4808</f>
        <v>0</v>
      </c>
      <c r="AD4808" s="28"/>
      <c r="AE4808" s="28" t="n">
        <f aca="false">AD4808*$M4808</f>
        <v>0</v>
      </c>
      <c r="AF4808" s="28"/>
      <c r="AG4808" s="28" t="n">
        <f aca="false">AF4808*$M4808</f>
        <v>0</v>
      </c>
      <c r="AH4808" s="28"/>
      <c r="AI4808" s="28" t="n">
        <f aca="false">AH4808*$M4808</f>
        <v>0</v>
      </c>
      <c r="AJ4808" s="28"/>
      <c r="AK4808" s="28" t="n">
        <f aca="false">AJ4808*$M4808</f>
        <v>0</v>
      </c>
      <c r="AL4808" s="28"/>
      <c r="AM4808" s="28" t="n">
        <f aca="false">AL4808*$M4808</f>
        <v>0</v>
      </c>
      <c r="AN4808" s="28"/>
      <c r="AO4808" s="28" t="n">
        <f aca="false">AN4808*$M4808</f>
        <v>0</v>
      </c>
      <c r="AP4808" s="28"/>
      <c r="AQ4808" s="28" t="n">
        <f aca="false">AP4808*$M4808</f>
        <v>0</v>
      </c>
      <c r="AR4808" s="28"/>
      <c r="AS4808" s="28" t="n">
        <f aca="false">AR4808*$M4808</f>
        <v>0</v>
      </c>
      <c r="AT4808" s="28"/>
      <c r="AU4808" s="28" t="n">
        <f aca="false">AT4808*$M4808</f>
        <v>0</v>
      </c>
      <c r="AV4808" s="28"/>
      <c r="AW4808" s="28" t="n">
        <f aca="false">AV4808*$M4808</f>
        <v>0</v>
      </c>
      <c r="AX4808" s="28"/>
      <c r="AY4808" s="28" t="n">
        <f aca="false">AX4808*$M4808</f>
        <v>0</v>
      </c>
      <c r="AZ4808" s="30" t="n">
        <f aca="false">19783/100</f>
        <v>197.83</v>
      </c>
      <c r="BA4808" s="11" t="n">
        <v>4946</v>
      </c>
      <c r="BB4808" s="31" t="n">
        <f aca="false">SUM(Q4808,S4808,U4808,W4808,Y4808,AA4808,AC4808,AE4808,AG4808,AI4808,AK4808,AM4808,AO4808,AQ4808,AS4808,AU4808,AW4808,AY4808)</f>
        <v>4946</v>
      </c>
      <c r="BC4808" s="28" t="n">
        <f aca="false">BA4808-BB4808</f>
        <v>0</v>
      </c>
      <c r="BD4808" s="32" t="n">
        <f aca="false">SUM(P4808,R4808,T4808,V4808,X4808,Z4808,AB4808,AD4808,AF4808,AH4808,AJ4808,AL4808,AN4808,AP4808,AR4808,AT4808,AV4808,AX4808)</f>
        <v>197.83</v>
      </c>
      <c r="BE4808" s="33" t="n">
        <f aca="false">AZ4808-BD4808</f>
        <v>0</v>
      </c>
      <c r="BF4808" s="34" t="n">
        <f aca="false">BD4808*M4808</f>
        <v>4945.75</v>
      </c>
      <c r="BG4808" s="35" t="n">
        <f aca="false">BA4808-BF4808</f>
        <v>0.25</v>
      </c>
      <c r="BH4808" s="19" t="str">
        <f aca="false">IF(BG4808=0,"",IF(BG4808&lt;&gt;BA4808,"erreur de calcul",IF(BD4808&lt;&gt;0,"pas de prix",IF(M4808&lt;&gt; 0,"pas de quantité","pas de prix, ni de quantité"))))</f>
        <v>erreur de calcul</v>
      </c>
      <c r="BI4808" s="19"/>
    </row>
    <row r="4809" customFormat="false" ht="15" hidden="false" customHeight="false" outlineLevel="0" collapsed="false">
      <c r="A4809" s="0" t="n">
        <v>36</v>
      </c>
      <c r="B4809" s="8" t="s">
        <v>24</v>
      </c>
      <c r="C4809" s="9" t="s">
        <v>25</v>
      </c>
      <c r="D4809" s="9" t="s">
        <v>26</v>
      </c>
      <c r="E4809" s="10" t="n">
        <v>1789</v>
      </c>
      <c r="F4809" s="9" t="s">
        <v>27</v>
      </c>
      <c r="G4809" s="9" t="s">
        <v>27</v>
      </c>
      <c r="H4809" s="11" t="n">
        <v>24</v>
      </c>
      <c r="I4809" s="11" t="s">
        <v>326</v>
      </c>
      <c r="J4809" s="14"/>
      <c r="K4809" s="14"/>
      <c r="L4809" s="16"/>
      <c r="M4809" s="27" t="n">
        <f aca="false">J4809+(K4809/20)+(L4809/240)</f>
        <v>0</v>
      </c>
      <c r="N4809" s="17"/>
      <c r="O4809" s="11" t="s">
        <v>77</v>
      </c>
      <c r="P4809" s="28"/>
      <c r="Q4809" s="28" t="n">
        <v>84</v>
      </c>
      <c r="R4809" s="28"/>
      <c r="S4809" s="28" t="n">
        <v>80</v>
      </c>
      <c r="T4809" s="28"/>
      <c r="U4809" s="28" t="n">
        <v>115</v>
      </c>
      <c r="V4809" s="28"/>
      <c r="W4809" s="28" t="n">
        <f aca="false">V4809*$M4809</f>
        <v>0</v>
      </c>
      <c r="X4809" s="28"/>
      <c r="Y4809" s="28" t="n">
        <v>82</v>
      </c>
      <c r="Z4809" s="28"/>
      <c r="AA4809" s="28" t="n">
        <v>32</v>
      </c>
      <c r="AB4809" s="28"/>
      <c r="AC4809" s="28" t="n">
        <v>82</v>
      </c>
      <c r="AD4809" s="28"/>
      <c r="AE4809" s="28" t="n">
        <f aca="false">AD4809*$M4809</f>
        <v>0</v>
      </c>
      <c r="AF4809" s="28"/>
      <c r="AG4809" s="28" t="n">
        <v>129</v>
      </c>
      <c r="AH4809" s="28"/>
      <c r="AI4809" s="28" t="n">
        <f aca="false">AH4809*$M4809</f>
        <v>0</v>
      </c>
      <c r="AJ4809" s="28"/>
      <c r="AK4809" s="28" t="n">
        <v>79</v>
      </c>
      <c r="AL4809" s="28"/>
      <c r="AM4809" s="28" t="n">
        <v>106</v>
      </c>
      <c r="AN4809" s="28"/>
      <c r="AO4809" s="28" t="n">
        <f aca="false">AN4809*$M4809</f>
        <v>0</v>
      </c>
      <c r="AP4809" s="28"/>
      <c r="AQ4809" s="28" t="n">
        <f aca="false">AP4809*$M4809</f>
        <v>0</v>
      </c>
      <c r="AR4809" s="28"/>
      <c r="AS4809" s="28" t="n">
        <f aca="false">AR4809*$M4809</f>
        <v>0</v>
      </c>
      <c r="AT4809" s="28"/>
      <c r="AU4809" s="28" t="n">
        <f aca="false">AT4809*$M4809</f>
        <v>0</v>
      </c>
      <c r="AV4809" s="28"/>
      <c r="AW4809" s="28" t="n">
        <f aca="false">AV4809*$M4809</f>
        <v>0</v>
      </c>
      <c r="AX4809" s="28"/>
      <c r="AY4809" s="28" t="n">
        <f aca="false">AX4809*$M4809</f>
        <v>0</v>
      </c>
      <c r="AZ4809" s="30"/>
      <c r="BA4809" s="11" t="n">
        <v>789</v>
      </c>
      <c r="BB4809" s="31" t="n">
        <f aca="false">SUM(Q4809,S4809,U4809,W4809,Y4809,AA4809,AC4809,AE4809,AG4809,AI4809,AK4809,AM4809,AO4809,AQ4809,AS4809,AU4809,AW4809,AY4809)</f>
        <v>789</v>
      </c>
      <c r="BC4809" s="28" t="n">
        <f aca="false">BA4809-BB4809</f>
        <v>0</v>
      </c>
      <c r="BD4809" s="32" t="n">
        <f aca="false">SUM(P4809,R4809,T4809,V4809,X4809,Z4809,AB4809,AD4809,AF4809,AH4809,AJ4809,AL4809,AN4809,AP4809,AR4809,AT4809,AV4809,AX4809)</f>
        <v>0</v>
      </c>
      <c r="BE4809" s="33" t="n">
        <f aca="false">AZ4809-BD4809</f>
        <v>0</v>
      </c>
      <c r="BF4809" s="34" t="n">
        <f aca="false">BD4809*M4809</f>
        <v>0</v>
      </c>
      <c r="BG4809" s="35" t="n">
        <f aca="false">BA4809-BF4809</f>
        <v>789</v>
      </c>
      <c r="BH4809" s="19" t="str">
        <f aca="false">IF(BG4809=0,"",IF(BG4809&lt;&gt;BA4809,"erreur de calcul",IF(BD4809&lt;&gt;0,"pas de prix",IF(M4809&lt;&gt; 0,"pas de quantité","pas de prix, ni de quantité"))))</f>
        <v>pas de prix, ni de quantité</v>
      </c>
      <c r="BI4809" s="19"/>
    </row>
    <row r="4810" customFormat="false" ht="15" hidden="false" customHeight="false" outlineLevel="0" collapsed="false">
      <c r="A4810" s="0" t="n">
        <v>37</v>
      </c>
      <c r="B4810" s="8" t="s">
        <v>24</v>
      </c>
      <c r="C4810" s="9" t="s">
        <v>25</v>
      </c>
      <c r="D4810" s="9" t="s">
        <v>26</v>
      </c>
      <c r="E4810" s="10" t="n">
        <v>1789</v>
      </c>
      <c r="F4810" s="9" t="s">
        <v>27</v>
      </c>
      <c r="G4810" s="9" t="s">
        <v>27</v>
      </c>
      <c r="H4810" s="11" t="n">
        <v>24</v>
      </c>
      <c r="I4810" s="11" t="s">
        <v>327</v>
      </c>
      <c r="J4810" s="14"/>
      <c r="K4810" s="14" t="n">
        <v>20</v>
      </c>
      <c r="L4810" s="16"/>
      <c r="M4810" s="27" t="n">
        <f aca="false">J4810+(K4810/20)+(L4810/240)</f>
        <v>1</v>
      </c>
      <c r="N4810" s="17" t="s">
        <v>66</v>
      </c>
      <c r="O4810" s="11"/>
      <c r="P4810" s="28"/>
      <c r="Q4810" s="28" t="n">
        <f aca="false">P4810*$M4810</f>
        <v>0</v>
      </c>
      <c r="R4810" s="28"/>
      <c r="S4810" s="28" t="n">
        <f aca="false">R4810*$M4810</f>
        <v>0</v>
      </c>
      <c r="T4810" s="28"/>
      <c r="U4810" s="28" t="n">
        <f aca="false">T4810*$M4810</f>
        <v>0</v>
      </c>
      <c r="V4810" s="28" t="n">
        <v>1705</v>
      </c>
      <c r="W4810" s="28" t="n">
        <v>1705</v>
      </c>
      <c r="X4810" s="28"/>
      <c r="Y4810" s="28" t="n">
        <f aca="false">X4810*$M4810</f>
        <v>0</v>
      </c>
      <c r="Z4810" s="28"/>
      <c r="AA4810" s="28" t="n">
        <f aca="false">Z4810*$M4810</f>
        <v>0</v>
      </c>
      <c r="AB4810" s="28" t="n">
        <v>226</v>
      </c>
      <c r="AC4810" s="28" t="n">
        <v>226</v>
      </c>
      <c r="AD4810" s="28"/>
      <c r="AE4810" s="28" t="n">
        <f aca="false">AD4810*$M4810</f>
        <v>0</v>
      </c>
      <c r="AF4810" s="28"/>
      <c r="AG4810" s="28" t="n">
        <f aca="false">AF4810*$M4810</f>
        <v>0</v>
      </c>
      <c r="AH4810" s="28"/>
      <c r="AI4810" s="28" t="n">
        <f aca="false">AH4810*$M4810</f>
        <v>0</v>
      </c>
      <c r="AJ4810" s="28"/>
      <c r="AK4810" s="28" t="n">
        <f aca="false">AJ4810*$M4810</f>
        <v>0</v>
      </c>
      <c r="AL4810" s="28"/>
      <c r="AM4810" s="28" t="n">
        <f aca="false">AL4810*$M4810</f>
        <v>0</v>
      </c>
      <c r="AN4810" s="28"/>
      <c r="AO4810" s="28" t="n">
        <f aca="false">AN4810*$M4810</f>
        <v>0</v>
      </c>
      <c r="AP4810" s="28"/>
      <c r="AQ4810" s="28" t="n">
        <f aca="false">AP4810*$M4810</f>
        <v>0</v>
      </c>
      <c r="AR4810" s="28"/>
      <c r="AS4810" s="28" t="n">
        <f aca="false">AR4810*$M4810</f>
        <v>0</v>
      </c>
      <c r="AT4810" s="28"/>
      <c r="AU4810" s="28" t="n">
        <f aca="false">AT4810*$M4810</f>
        <v>0</v>
      </c>
      <c r="AV4810" s="28"/>
      <c r="AW4810" s="28" t="n">
        <f aca="false">AV4810*$M4810</f>
        <v>0</v>
      </c>
      <c r="AX4810" s="28"/>
      <c r="AY4810" s="28" t="n">
        <f aca="false">AX4810*$M4810</f>
        <v>0</v>
      </c>
      <c r="AZ4810" s="30" t="n">
        <v>1931</v>
      </c>
      <c r="BA4810" s="11" t="n">
        <v>1931</v>
      </c>
      <c r="BB4810" s="31" t="n">
        <f aca="false">SUM(Q4810,S4810,U4810,W4810,Y4810,AA4810,AC4810,AE4810,AG4810,AI4810,AK4810,AM4810,AO4810,AQ4810,AS4810,AU4810,AW4810,AY4810)</f>
        <v>1931</v>
      </c>
      <c r="BC4810" s="28" t="n">
        <f aca="false">BA4810-BB4810</f>
        <v>0</v>
      </c>
      <c r="BD4810" s="32" t="n">
        <f aca="false">SUM(P4810,R4810,T4810,V4810,X4810,Z4810,AB4810,AD4810,AF4810,AH4810,AJ4810,AL4810,AN4810,AP4810,AR4810,AT4810,AV4810,AX4810)</f>
        <v>1931</v>
      </c>
      <c r="BE4810" s="33" t="n">
        <f aca="false">AZ4810-BD4810</f>
        <v>0</v>
      </c>
      <c r="BF4810" s="34" t="n">
        <f aca="false">BD4810*M4810</f>
        <v>1931</v>
      </c>
      <c r="BG4810" s="35" t="n">
        <f aca="false">BA4810-BF4810</f>
        <v>0</v>
      </c>
      <c r="BH4810" s="19" t="str">
        <f aca="false">IF(BG4810=0,"",IF(BG4810&lt;&gt;BA4810,"erreur de calcul",IF(BD4810&lt;&gt;0,"pas de prix",IF(M4810&lt;&gt; 0,"pas de quantité","pas de prix, ni de quantité"))))</f>
        <v/>
      </c>
      <c r="BI4810" s="19"/>
    </row>
    <row r="4811" customFormat="false" ht="15" hidden="false" customHeight="false" outlineLevel="0" collapsed="false">
      <c r="A4811" s="0" t="n">
        <v>38</v>
      </c>
      <c r="B4811" s="8" t="s">
        <v>24</v>
      </c>
      <c r="C4811" s="9" t="s">
        <v>25</v>
      </c>
      <c r="D4811" s="9" t="s">
        <v>26</v>
      </c>
      <c r="E4811" s="10" t="n">
        <v>1789</v>
      </c>
      <c r="F4811" s="9" t="s">
        <v>27</v>
      </c>
      <c r="G4811" s="9" t="s">
        <v>27</v>
      </c>
      <c r="H4811" s="11" t="n">
        <v>24</v>
      </c>
      <c r="I4811" s="11" t="s">
        <v>328</v>
      </c>
      <c r="J4811" s="14" t="n">
        <v>208</v>
      </c>
      <c r="K4811" s="14"/>
      <c r="L4811" s="16"/>
      <c r="M4811" s="27" t="n">
        <f aca="false">J4811+(K4811/20)+(L4811/240)</f>
        <v>208</v>
      </c>
      <c r="N4811" s="17" t="s">
        <v>64</v>
      </c>
      <c r="O4811" s="11" t="s">
        <v>277</v>
      </c>
      <c r="P4811" s="28"/>
      <c r="Q4811" s="28" t="n">
        <f aca="false">P4811*$M4811</f>
        <v>0</v>
      </c>
      <c r="R4811" s="28"/>
      <c r="S4811" s="28" t="n">
        <f aca="false">R4811*$M4811</f>
        <v>0</v>
      </c>
      <c r="T4811" s="28" t="n">
        <f aca="false">536/100</f>
        <v>5.36</v>
      </c>
      <c r="U4811" s="28" t="n">
        <v>1115</v>
      </c>
      <c r="V4811" s="28" t="n">
        <f aca="false">1983/100</f>
        <v>19.83</v>
      </c>
      <c r="W4811" s="28" t="n">
        <v>4125</v>
      </c>
      <c r="X4811" s="28" t="n">
        <f aca="false">37641/100</f>
        <v>376.41</v>
      </c>
      <c r="Y4811" s="28" t="n">
        <v>78293</v>
      </c>
      <c r="Z4811" s="28" t="n">
        <f aca="false">1281/100</f>
        <v>12.81</v>
      </c>
      <c r="AA4811" s="28" t="n">
        <v>2664</v>
      </c>
      <c r="AB4811" s="28"/>
      <c r="AC4811" s="28" t="n">
        <f aca="false">AB4811*$M4811</f>
        <v>0</v>
      </c>
      <c r="AD4811" s="28"/>
      <c r="AE4811" s="28" t="n">
        <f aca="false">AD4811*$M4811</f>
        <v>0</v>
      </c>
      <c r="AF4811" s="28"/>
      <c r="AG4811" s="28" t="n">
        <f aca="false">AF4811*$M4811</f>
        <v>0</v>
      </c>
      <c r="AH4811" s="28"/>
      <c r="AI4811" s="28" t="n">
        <f aca="false">AH4811*$M4811</f>
        <v>0</v>
      </c>
      <c r="AJ4811" s="28" t="n">
        <f aca="false">20789/100</f>
        <v>207.89</v>
      </c>
      <c r="AK4811" s="28" t="n">
        <v>43241</v>
      </c>
      <c r="AL4811" s="28" t="n">
        <f aca="false">2470/100</f>
        <v>24.7</v>
      </c>
      <c r="AM4811" s="28" t="n">
        <v>5138</v>
      </c>
      <c r="AN4811" s="28"/>
      <c r="AO4811" s="28" t="n">
        <f aca="false">AN4811*$M4811</f>
        <v>0</v>
      </c>
      <c r="AP4811" s="28"/>
      <c r="AQ4811" s="28" t="n">
        <f aca="false">AP4811*$M4811</f>
        <v>0</v>
      </c>
      <c r="AR4811" s="28"/>
      <c r="AS4811" s="28" t="n">
        <f aca="false">AR4811*$M4811</f>
        <v>0</v>
      </c>
      <c r="AT4811" s="28"/>
      <c r="AU4811" s="28" t="n">
        <f aca="false">AT4811*$M4811</f>
        <v>0</v>
      </c>
      <c r="AV4811" s="28"/>
      <c r="AW4811" s="28" t="n">
        <f aca="false">AV4811*$M4811</f>
        <v>0</v>
      </c>
      <c r="AX4811" s="28"/>
      <c r="AY4811" s="28" t="n">
        <f aca="false">AX4811*$M4811</f>
        <v>0</v>
      </c>
      <c r="AZ4811" s="30" t="n">
        <f aca="false">64700/100</f>
        <v>647</v>
      </c>
      <c r="BA4811" s="11" t="n">
        <v>134576</v>
      </c>
      <c r="BB4811" s="31" t="n">
        <f aca="false">SUM(Q4811,S4811,U4811,W4811,Y4811,AA4811,AC4811,AE4811,AG4811,AI4811,AK4811,AM4811,AO4811,AQ4811,AS4811,AU4811,AW4811,AY4811)</f>
        <v>134576</v>
      </c>
      <c r="BC4811" s="28" t="n">
        <f aca="false">BA4811-BB4811</f>
        <v>0</v>
      </c>
      <c r="BD4811" s="32" t="n">
        <f aca="false">SUM(P4811,R4811,T4811,V4811,X4811,Z4811,AB4811,AD4811,AF4811,AH4811,AJ4811,AL4811,AN4811,AP4811,AR4811,AT4811,AV4811,AX4811)</f>
        <v>647</v>
      </c>
      <c r="BE4811" s="33" t="n">
        <f aca="false">AZ4811-BD4811</f>
        <v>0</v>
      </c>
      <c r="BF4811" s="34" t="n">
        <f aca="false">BD4811*M4811</f>
        <v>134576</v>
      </c>
      <c r="BG4811" s="35" t="n">
        <f aca="false">BA4811-BF4811</f>
        <v>0</v>
      </c>
      <c r="BH4811" s="19" t="str">
        <f aca="false">IF(BG4811=0,"",IF(BG4811&lt;&gt;BA4811,"erreur de calcul",IF(BD4811&lt;&gt;0,"pas de prix",IF(M4811&lt;&gt; 0,"pas de quantité","pas de prix, ni de quantité"))))</f>
        <v/>
      </c>
      <c r="BI4811" s="19"/>
    </row>
    <row r="4812" customFormat="false" ht="15" hidden="false" customHeight="false" outlineLevel="0" collapsed="false">
      <c r="A4812" s="0" t="n">
        <v>1</v>
      </c>
      <c r="B4812" s="8" t="s">
        <v>24</v>
      </c>
      <c r="C4812" s="9" t="s">
        <v>25</v>
      </c>
      <c r="D4812" s="9" t="s">
        <v>26</v>
      </c>
      <c r="E4812" s="10" t="n">
        <v>1789</v>
      </c>
      <c r="F4812" s="9" t="s">
        <v>27</v>
      </c>
      <c r="G4812" s="9" t="s">
        <v>27</v>
      </c>
      <c r="H4812" s="11" t="n">
        <v>25</v>
      </c>
      <c r="I4812" s="11" t="s">
        <v>329</v>
      </c>
      <c r="J4812" s="14" t="n">
        <v>30</v>
      </c>
      <c r="K4812" s="14"/>
      <c r="L4812" s="16"/>
      <c r="M4812" s="27" t="n">
        <f aca="false">J4812+(K4812/20)+(L4812/240)</f>
        <v>30</v>
      </c>
      <c r="N4812" s="17" t="s">
        <v>64</v>
      </c>
      <c r="O4812" s="11"/>
      <c r="P4812" s="28" t="n">
        <f aca="false">888/100</f>
        <v>8.88</v>
      </c>
      <c r="Q4812" s="28" t="n">
        <v>266</v>
      </c>
      <c r="R4812" s="28"/>
      <c r="S4812" s="28" t="n">
        <f aca="false">R4812*$M4812</f>
        <v>0</v>
      </c>
      <c r="T4812" s="28" t="n">
        <f aca="false">1151/100</f>
        <v>11.51</v>
      </c>
      <c r="U4812" s="28" t="n">
        <v>345</v>
      </c>
      <c r="V4812" s="28"/>
      <c r="W4812" s="28" t="n">
        <f aca="false">V4812*$M4812</f>
        <v>0</v>
      </c>
      <c r="X4812" s="28"/>
      <c r="Y4812" s="28" t="n">
        <f aca="false">X4812*$M4812</f>
        <v>0</v>
      </c>
      <c r="Z4812" s="28"/>
      <c r="AA4812" s="28" t="n">
        <f aca="false">Z4812*$M4812</f>
        <v>0</v>
      </c>
      <c r="AB4812" s="28"/>
      <c r="AC4812" s="28" t="n">
        <f aca="false">AB4812*$M4812</f>
        <v>0</v>
      </c>
      <c r="AD4812" s="28"/>
      <c r="AE4812" s="28" t="n">
        <f aca="false">AD4812*$M4812</f>
        <v>0</v>
      </c>
      <c r="AF4812" s="28"/>
      <c r="AG4812" s="28" t="n">
        <f aca="false">AF4812*$M4812</f>
        <v>0</v>
      </c>
      <c r="AH4812" s="28"/>
      <c r="AI4812" s="28" t="n">
        <f aca="false">AH4812*$M4812</f>
        <v>0</v>
      </c>
      <c r="AJ4812" s="28"/>
      <c r="AK4812" s="28" t="n">
        <f aca="false">AJ4812*$M4812</f>
        <v>0</v>
      </c>
      <c r="AL4812" s="28"/>
      <c r="AM4812" s="28" t="n">
        <f aca="false">AL4812*$M4812</f>
        <v>0</v>
      </c>
      <c r="AN4812" s="28"/>
      <c r="AO4812" s="28" t="n">
        <f aca="false">AN4812*$M4812</f>
        <v>0</v>
      </c>
      <c r="AP4812" s="28"/>
      <c r="AQ4812" s="28" t="n">
        <f aca="false">AP4812*$M4812</f>
        <v>0</v>
      </c>
      <c r="AR4812" s="28"/>
      <c r="AS4812" s="28" t="n">
        <f aca="false">AR4812*$M4812</f>
        <v>0</v>
      </c>
      <c r="AT4812" s="28"/>
      <c r="AU4812" s="28" t="n">
        <f aca="false">AT4812*$M4812</f>
        <v>0</v>
      </c>
      <c r="AV4812" s="28"/>
      <c r="AW4812" s="28" t="n">
        <f aca="false">AV4812*$M4812</f>
        <v>0</v>
      </c>
      <c r="AX4812" s="28"/>
      <c r="AY4812" s="28" t="n">
        <f aca="false">AX4812*$M4812</f>
        <v>0</v>
      </c>
      <c r="AZ4812" s="30" t="n">
        <f aca="false">2039/100</f>
        <v>20.39</v>
      </c>
      <c r="BA4812" s="11" t="n">
        <v>611</v>
      </c>
      <c r="BB4812" s="31" t="n">
        <f aca="false">SUM(Q4812,S4812,U4812,W4812,Y4812,AA4812,AC4812,AE4812,AG4812,AI4812,AK4812,AM4812,AO4812,AQ4812,AS4812,AU4812,AW4812,AY4812)</f>
        <v>611</v>
      </c>
      <c r="BC4812" s="28" t="n">
        <f aca="false">BA4812-BB4812</f>
        <v>0</v>
      </c>
      <c r="BD4812" s="32" t="n">
        <f aca="false">SUM(P4812,R4812,T4812,V4812,X4812,Z4812,AB4812,AD4812,AF4812,AH4812,AJ4812,AL4812,AN4812,AP4812,AR4812,AT4812,AV4812,AX4812)</f>
        <v>20.39</v>
      </c>
      <c r="BE4812" s="33" t="n">
        <f aca="false">AZ4812-BD4812</f>
        <v>0</v>
      </c>
      <c r="BF4812" s="34" t="n">
        <f aca="false">BD4812*M4812</f>
        <v>611.7</v>
      </c>
      <c r="BG4812" s="35" t="n">
        <f aca="false">BA4812-BF4812</f>
        <v>-0.700000000000046</v>
      </c>
      <c r="BH4812" s="19" t="str">
        <f aca="false">IF(BG4812=0,"",IF(BG4812&lt;&gt;BA4812,"erreur de calcul",IF(BD4812&lt;&gt;0,"pas de prix",IF(M4812&lt;&gt; 0,"pas de quantité","pas de prix, ni de quantité"))))</f>
        <v>erreur de calcul</v>
      </c>
      <c r="BI4812" s="19"/>
    </row>
    <row r="4813" customFormat="false" ht="15" hidden="false" customHeight="false" outlineLevel="0" collapsed="false">
      <c r="A4813" s="0" t="n">
        <v>2</v>
      </c>
      <c r="B4813" s="8" t="s">
        <v>24</v>
      </c>
      <c r="C4813" s="9" t="s">
        <v>25</v>
      </c>
      <c r="D4813" s="9" t="s">
        <v>26</v>
      </c>
      <c r="E4813" s="10" t="n">
        <v>1789</v>
      </c>
      <c r="F4813" s="9" t="s">
        <v>27</v>
      </c>
      <c r="G4813" s="9" t="s">
        <v>27</v>
      </c>
      <c r="H4813" s="11" t="n">
        <v>25</v>
      </c>
      <c r="I4813" s="11" t="s">
        <v>330</v>
      </c>
      <c r="J4813" s="14"/>
      <c r="K4813" s="14" t="n">
        <v>20</v>
      </c>
      <c r="L4813" s="16"/>
      <c r="M4813" s="27" t="n">
        <f aca="false">J4813+(K4813/20)+(L4813/240)</f>
        <v>1</v>
      </c>
      <c r="N4813" s="17" t="s">
        <v>66</v>
      </c>
      <c r="O4813" s="11"/>
      <c r="P4813" s="28"/>
      <c r="Q4813" s="28" t="n">
        <f aca="false">P4813*$M4813</f>
        <v>0</v>
      </c>
      <c r="R4813" s="28"/>
      <c r="S4813" s="28" t="n">
        <f aca="false">R4813*$M4813</f>
        <v>0</v>
      </c>
      <c r="T4813" s="28"/>
      <c r="U4813" s="28" t="n">
        <f aca="false">T4813*$M4813</f>
        <v>0</v>
      </c>
      <c r="V4813" s="28"/>
      <c r="W4813" s="28" t="n">
        <f aca="false">V4813*$M4813</f>
        <v>0</v>
      </c>
      <c r="X4813" s="28"/>
      <c r="Y4813" s="28" t="n">
        <f aca="false">X4813*$M4813</f>
        <v>0</v>
      </c>
      <c r="Z4813" s="28"/>
      <c r="AA4813" s="28" t="n">
        <f aca="false">Z4813*$M4813</f>
        <v>0</v>
      </c>
      <c r="AB4813" s="28"/>
      <c r="AC4813" s="28" t="n">
        <f aca="false">AB4813*$M4813</f>
        <v>0</v>
      </c>
      <c r="AD4813" s="28"/>
      <c r="AE4813" s="28" t="n">
        <f aca="false">AD4813*$M4813</f>
        <v>0</v>
      </c>
      <c r="AF4813" s="28"/>
      <c r="AG4813" s="28" t="n">
        <f aca="false">AF4813*$M4813</f>
        <v>0</v>
      </c>
      <c r="AH4813" s="28"/>
      <c r="AI4813" s="28" t="n">
        <f aca="false">AH4813*$M4813</f>
        <v>0</v>
      </c>
      <c r="AJ4813" s="28" t="n">
        <v>4241</v>
      </c>
      <c r="AK4813" s="28" t="n">
        <v>4241</v>
      </c>
      <c r="AL4813" s="28"/>
      <c r="AM4813" s="28" t="n">
        <f aca="false">AL4813*$M4813</f>
        <v>0</v>
      </c>
      <c r="AN4813" s="28"/>
      <c r="AO4813" s="28" t="n">
        <f aca="false">AN4813*$M4813</f>
        <v>0</v>
      </c>
      <c r="AP4813" s="28"/>
      <c r="AQ4813" s="28" t="n">
        <f aca="false">AP4813*$M4813</f>
        <v>0</v>
      </c>
      <c r="AR4813" s="28"/>
      <c r="AS4813" s="28" t="n">
        <f aca="false">AR4813*$M4813</f>
        <v>0</v>
      </c>
      <c r="AT4813" s="28"/>
      <c r="AU4813" s="28" t="n">
        <f aca="false">AT4813*$M4813</f>
        <v>0</v>
      </c>
      <c r="AV4813" s="28"/>
      <c r="AW4813" s="28" t="n">
        <f aca="false">AV4813*$M4813</f>
        <v>0</v>
      </c>
      <c r="AX4813" s="28"/>
      <c r="AY4813" s="28" t="n">
        <f aca="false">AX4813*$M4813</f>
        <v>0</v>
      </c>
      <c r="AZ4813" s="30" t="n">
        <v>4241</v>
      </c>
      <c r="BA4813" s="11" t="n">
        <v>4241</v>
      </c>
      <c r="BB4813" s="31" t="n">
        <f aca="false">SUM(Q4813,S4813,U4813,W4813,Y4813,AA4813,AC4813,AE4813,AG4813,AI4813,AK4813,AM4813,AO4813,AQ4813,AS4813,AU4813,AW4813,AY4813)</f>
        <v>4241</v>
      </c>
      <c r="BC4813" s="28" t="n">
        <f aca="false">BA4813-BB4813</f>
        <v>0</v>
      </c>
      <c r="BD4813" s="32" t="n">
        <f aca="false">SUM(P4813,R4813,T4813,V4813,X4813,Z4813,AB4813,AD4813,AF4813,AH4813,AJ4813,AL4813,AN4813,AP4813,AR4813,AT4813,AV4813,AX4813)</f>
        <v>4241</v>
      </c>
      <c r="BE4813" s="33" t="n">
        <f aca="false">AZ4813-BD4813</f>
        <v>0</v>
      </c>
      <c r="BF4813" s="34" t="n">
        <f aca="false">BD4813*M4813</f>
        <v>4241</v>
      </c>
      <c r="BG4813" s="35" t="n">
        <f aca="false">BA4813-BF4813</f>
        <v>0</v>
      </c>
      <c r="BH4813" s="19" t="str">
        <f aca="false">IF(BG4813=0,"",IF(BG4813&lt;&gt;BA4813,"erreur de calcul",IF(BD4813&lt;&gt;0,"pas de prix",IF(M4813&lt;&gt; 0,"pas de quantité","pas de prix, ni de quantité"))))</f>
        <v/>
      </c>
      <c r="BI4813" s="19"/>
    </row>
    <row r="4814" customFormat="false" ht="15" hidden="false" customHeight="false" outlineLevel="0" collapsed="false">
      <c r="A4814" s="0" t="n">
        <v>3</v>
      </c>
      <c r="B4814" s="8" t="s">
        <v>24</v>
      </c>
      <c r="C4814" s="9" t="s">
        <v>25</v>
      </c>
      <c r="D4814" s="9" t="s">
        <v>26</v>
      </c>
      <c r="E4814" s="10" t="n">
        <v>1789</v>
      </c>
      <c r="F4814" s="9" t="s">
        <v>27</v>
      </c>
      <c r="G4814" s="9" t="s">
        <v>27</v>
      </c>
      <c r="H4814" s="11" t="n">
        <v>25</v>
      </c>
      <c r="I4814" s="11" t="s">
        <v>331</v>
      </c>
      <c r="J4814" s="14" t="n">
        <v>18</v>
      </c>
      <c r="K4814" s="14"/>
      <c r="L4814" s="16"/>
      <c r="M4814" s="27" t="n">
        <f aca="false">J4814+(K4814/20)+(L4814/240)</f>
        <v>18</v>
      </c>
      <c r="N4814" s="17" t="s">
        <v>66</v>
      </c>
      <c r="O4814" s="11" t="s">
        <v>98</v>
      </c>
      <c r="P4814" s="28"/>
      <c r="Q4814" s="28" t="n">
        <f aca="false">P4814*$M4814</f>
        <v>0</v>
      </c>
      <c r="R4814" s="28"/>
      <c r="S4814" s="28" t="n">
        <f aca="false">R4814*$M4814</f>
        <v>0</v>
      </c>
      <c r="T4814" s="28"/>
      <c r="U4814" s="28" t="n">
        <f aca="false">T4814*$M4814</f>
        <v>0</v>
      </c>
      <c r="V4814" s="28"/>
      <c r="W4814" s="28" t="n">
        <f aca="false">V4814*$M4814</f>
        <v>0</v>
      </c>
      <c r="X4814" s="28"/>
      <c r="Y4814" s="28" t="n">
        <f aca="false">X4814*$M4814</f>
        <v>0</v>
      </c>
      <c r="Z4814" s="28"/>
      <c r="AA4814" s="28" t="n">
        <f aca="false">Z4814*$M4814</f>
        <v>0</v>
      </c>
      <c r="AB4814" s="28"/>
      <c r="AC4814" s="28" t="n">
        <f aca="false">AB4814*$M4814</f>
        <v>0</v>
      </c>
      <c r="AD4814" s="28"/>
      <c r="AE4814" s="28" t="n">
        <f aca="false">AD4814*$M4814</f>
        <v>0</v>
      </c>
      <c r="AF4814" s="28"/>
      <c r="AG4814" s="28" t="n">
        <f aca="false">AF4814*$M4814</f>
        <v>0</v>
      </c>
      <c r="AH4814" s="28"/>
      <c r="AI4814" s="28" t="n">
        <f aca="false">AH4814*$M4814</f>
        <v>0</v>
      </c>
      <c r="AJ4814" s="28"/>
      <c r="AK4814" s="28" t="n">
        <f aca="false">AJ4814*$M4814</f>
        <v>0</v>
      </c>
      <c r="AL4814" s="28"/>
      <c r="AM4814" s="28" t="n">
        <f aca="false">AL4814*$M4814</f>
        <v>0</v>
      </c>
      <c r="AN4814" s="28"/>
      <c r="AO4814" s="28" t="n">
        <f aca="false">AN4814*$M4814</f>
        <v>0</v>
      </c>
      <c r="AP4814" s="28"/>
      <c r="AQ4814" s="28" t="n">
        <f aca="false">AP4814*$M4814</f>
        <v>0</v>
      </c>
      <c r="AR4814" s="28"/>
      <c r="AS4814" s="28" t="n">
        <f aca="false">AR4814*$M4814</f>
        <v>0</v>
      </c>
      <c r="AT4814" s="28"/>
      <c r="AU4814" s="28" t="n">
        <f aca="false">AT4814*$M4814</f>
        <v>0</v>
      </c>
      <c r="AV4814" s="28"/>
      <c r="AW4814" s="28" t="n">
        <f aca="false">AV4814*$M4814</f>
        <v>0</v>
      </c>
      <c r="AX4814" s="28"/>
      <c r="AY4814" s="28" t="n">
        <f aca="false">AX4814*$M4814</f>
        <v>0</v>
      </c>
      <c r="AZ4814" s="30"/>
      <c r="BA4814" s="11"/>
      <c r="BB4814" s="31" t="n">
        <f aca="false">SUM(Q4814,S4814,U4814,W4814,Y4814,AA4814,AC4814,AE4814,AG4814,AI4814,AK4814,AM4814,AO4814,AQ4814,AS4814,AU4814,AW4814,AY4814)</f>
        <v>0</v>
      </c>
      <c r="BC4814" s="28" t="n">
        <f aca="false">BA4814-BB4814</f>
        <v>0</v>
      </c>
      <c r="BD4814" s="32" t="n">
        <f aca="false">SUM(P4814,R4814,T4814,V4814,X4814,Z4814,AB4814,AD4814,AF4814,AH4814,AJ4814,AL4814,AN4814,AP4814,AR4814,AT4814,AV4814,AX4814)</f>
        <v>0</v>
      </c>
      <c r="BE4814" s="33" t="n">
        <f aca="false">AZ4814-BD4814</f>
        <v>0</v>
      </c>
      <c r="BF4814" s="34" t="n">
        <f aca="false">BD4814*M4814</f>
        <v>0</v>
      </c>
      <c r="BG4814" s="35" t="n">
        <f aca="false">BA4814-BF4814</f>
        <v>0</v>
      </c>
      <c r="BH4814" s="19" t="str">
        <f aca="false">IF(BG4814=0,"",IF(BG4814&lt;&gt;BA4814,"erreur de calcul",IF(BD4814&lt;&gt;0,"pas de prix",IF(M4814&lt;&gt; 0,"pas de quantité","pas de prix, ni de quantité"))))</f>
        <v/>
      </c>
      <c r="BI4814" s="19"/>
    </row>
    <row r="4815" customFormat="false" ht="15" hidden="false" customHeight="false" outlineLevel="0" collapsed="false">
      <c r="A4815" s="0" t="n">
        <v>4</v>
      </c>
      <c r="B4815" s="8" t="s">
        <v>24</v>
      </c>
      <c r="C4815" s="9" t="s">
        <v>25</v>
      </c>
      <c r="D4815" s="9" t="s">
        <v>26</v>
      </c>
      <c r="E4815" s="10" t="n">
        <v>1789</v>
      </c>
      <c r="F4815" s="9" t="s">
        <v>27</v>
      </c>
      <c r="G4815" s="9" t="s">
        <v>27</v>
      </c>
      <c r="H4815" s="11" t="n">
        <v>25</v>
      </c>
      <c r="I4815" s="11" t="s">
        <v>332</v>
      </c>
      <c r="J4815" s="14" t="n">
        <v>18</v>
      </c>
      <c r="K4815" s="14"/>
      <c r="L4815" s="16"/>
      <c r="M4815" s="27" t="n">
        <f aca="false">J4815+(K4815/20)+(L4815/240)</f>
        <v>18</v>
      </c>
      <c r="N4815" s="17" t="s">
        <v>66</v>
      </c>
      <c r="O4815" s="11" t="s">
        <v>98</v>
      </c>
      <c r="P4815" s="28"/>
      <c r="Q4815" s="28" t="n">
        <f aca="false">P4815*$M4815</f>
        <v>0</v>
      </c>
      <c r="R4815" s="28"/>
      <c r="S4815" s="28" t="n">
        <f aca="false">R4815*$M4815</f>
        <v>0</v>
      </c>
      <c r="T4815" s="28"/>
      <c r="U4815" s="28" t="n">
        <f aca="false">T4815*$M4815</f>
        <v>0</v>
      </c>
      <c r="V4815" s="28"/>
      <c r="W4815" s="28" t="n">
        <f aca="false">V4815*$M4815</f>
        <v>0</v>
      </c>
      <c r="X4815" s="28"/>
      <c r="Y4815" s="28" t="n">
        <f aca="false">X4815*$M4815</f>
        <v>0</v>
      </c>
      <c r="Z4815" s="28"/>
      <c r="AA4815" s="28" t="n">
        <f aca="false">Z4815*$M4815</f>
        <v>0</v>
      </c>
      <c r="AB4815" s="28"/>
      <c r="AC4815" s="28" t="n">
        <f aca="false">AB4815*$M4815</f>
        <v>0</v>
      </c>
      <c r="AD4815" s="28"/>
      <c r="AE4815" s="28" t="n">
        <f aca="false">AD4815*$M4815</f>
        <v>0</v>
      </c>
      <c r="AF4815" s="28"/>
      <c r="AG4815" s="28" t="n">
        <f aca="false">AF4815*$M4815</f>
        <v>0</v>
      </c>
      <c r="AH4815" s="28"/>
      <c r="AI4815" s="28" t="n">
        <f aca="false">AH4815*$M4815</f>
        <v>0</v>
      </c>
      <c r="AJ4815" s="28"/>
      <c r="AK4815" s="28" t="n">
        <f aca="false">AJ4815*$M4815</f>
        <v>0</v>
      </c>
      <c r="AL4815" s="28"/>
      <c r="AM4815" s="28" t="n">
        <f aca="false">AL4815*$M4815</f>
        <v>0</v>
      </c>
      <c r="AN4815" s="28"/>
      <c r="AO4815" s="28" t="n">
        <f aca="false">AN4815*$M4815</f>
        <v>0</v>
      </c>
      <c r="AP4815" s="28"/>
      <c r="AQ4815" s="28" t="n">
        <f aca="false">AP4815*$M4815</f>
        <v>0</v>
      </c>
      <c r="AR4815" s="28"/>
      <c r="AS4815" s="28" t="n">
        <f aca="false">AR4815*$M4815</f>
        <v>0</v>
      </c>
      <c r="AT4815" s="28"/>
      <c r="AU4815" s="28" t="n">
        <f aca="false">AT4815*$M4815</f>
        <v>0</v>
      </c>
      <c r="AV4815" s="28"/>
      <c r="AW4815" s="28" t="n">
        <f aca="false">AV4815*$M4815</f>
        <v>0</v>
      </c>
      <c r="AX4815" s="28"/>
      <c r="AY4815" s="28" t="n">
        <f aca="false">AX4815*$M4815</f>
        <v>0</v>
      </c>
      <c r="AZ4815" s="30"/>
      <c r="BA4815" s="11"/>
      <c r="BB4815" s="31" t="n">
        <f aca="false">SUM(Q4815,S4815,U4815,W4815,Y4815,AA4815,AC4815,AE4815,AG4815,AI4815,AK4815,AM4815,AO4815,AQ4815,AS4815,AU4815,AW4815,AY4815)</f>
        <v>0</v>
      </c>
      <c r="BC4815" s="28" t="n">
        <f aca="false">BA4815-BB4815</f>
        <v>0</v>
      </c>
      <c r="BD4815" s="32" t="n">
        <f aca="false">SUM(P4815,R4815,T4815,V4815,X4815,Z4815,AB4815,AD4815,AF4815,AH4815,AJ4815,AL4815,AN4815,AP4815,AR4815,AT4815,AV4815,AX4815)</f>
        <v>0</v>
      </c>
      <c r="BE4815" s="33" t="n">
        <f aca="false">AZ4815-BD4815</f>
        <v>0</v>
      </c>
      <c r="BF4815" s="34" t="n">
        <f aca="false">BD4815*M4815</f>
        <v>0</v>
      </c>
      <c r="BG4815" s="35" t="n">
        <f aca="false">BA4815-BF4815</f>
        <v>0</v>
      </c>
      <c r="BH4815" s="19" t="str">
        <f aca="false">IF(BG4815=0,"",IF(BG4815&lt;&gt;BA4815,"erreur de calcul",IF(BD4815&lt;&gt;0,"pas de prix",IF(M4815&lt;&gt; 0,"pas de quantité","pas de prix, ni de quantité"))))</f>
        <v/>
      </c>
      <c r="BI4815" s="19"/>
    </row>
    <row r="4816" customFormat="false" ht="15" hidden="false" customHeight="false" outlineLevel="0" collapsed="false">
      <c r="A4816" s="0" t="n">
        <v>5</v>
      </c>
      <c r="B4816" s="8" t="s">
        <v>24</v>
      </c>
      <c r="C4816" s="9" t="s">
        <v>25</v>
      </c>
      <c r="D4816" s="9" t="s">
        <v>26</v>
      </c>
      <c r="E4816" s="10" t="n">
        <v>1789</v>
      </c>
      <c r="F4816" s="9" t="s">
        <v>27</v>
      </c>
      <c r="G4816" s="9" t="s">
        <v>27</v>
      </c>
      <c r="H4816" s="11" t="n">
        <v>25</v>
      </c>
      <c r="I4816" s="11" t="s">
        <v>333</v>
      </c>
      <c r="J4816" s="14" t="n">
        <v>44</v>
      </c>
      <c r="K4816" s="14"/>
      <c r="L4816" s="16"/>
      <c r="M4816" s="27" t="n">
        <f aca="false">J4816+(K4816/20)+(L4816/240)</f>
        <v>44</v>
      </c>
      <c r="N4816" s="17" t="s">
        <v>66</v>
      </c>
      <c r="O4816" s="11"/>
      <c r="P4816" s="28" t="n">
        <v>1391</v>
      </c>
      <c r="Q4816" s="28" t="n">
        <v>61204</v>
      </c>
      <c r="R4816" s="28"/>
      <c r="S4816" s="28" t="n">
        <f aca="false">R4816*$M4816</f>
        <v>0</v>
      </c>
      <c r="T4816" s="28"/>
      <c r="U4816" s="28" t="n">
        <f aca="false">T4816*$M4816</f>
        <v>0</v>
      </c>
      <c r="V4816" s="28"/>
      <c r="W4816" s="28" t="n">
        <f aca="false">V4816*$M4816</f>
        <v>0</v>
      </c>
      <c r="X4816" s="28"/>
      <c r="Y4816" s="28" t="n">
        <f aca="false">X4816*$M4816</f>
        <v>0</v>
      </c>
      <c r="Z4816" s="28"/>
      <c r="AA4816" s="28" t="n">
        <f aca="false">Z4816*$M4816</f>
        <v>0</v>
      </c>
      <c r="AB4816" s="28"/>
      <c r="AC4816" s="28" t="n">
        <f aca="false">AB4816*$M4816</f>
        <v>0</v>
      </c>
      <c r="AD4816" s="28"/>
      <c r="AE4816" s="28" t="n">
        <f aca="false">AD4816*$M4816</f>
        <v>0</v>
      </c>
      <c r="AF4816" s="28"/>
      <c r="AG4816" s="28" t="n">
        <f aca="false">AF4816*$M4816</f>
        <v>0</v>
      </c>
      <c r="AH4816" s="28"/>
      <c r="AI4816" s="28" t="n">
        <f aca="false">AH4816*$M4816</f>
        <v>0</v>
      </c>
      <c r="AJ4816" s="28"/>
      <c r="AK4816" s="28" t="n">
        <f aca="false">AJ4816*$M4816</f>
        <v>0</v>
      </c>
      <c r="AL4816" s="28"/>
      <c r="AM4816" s="28" t="n">
        <f aca="false">AL4816*$M4816</f>
        <v>0</v>
      </c>
      <c r="AN4816" s="28"/>
      <c r="AO4816" s="28" t="n">
        <f aca="false">AN4816*$M4816</f>
        <v>0</v>
      </c>
      <c r="AP4816" s="28"/>
      <c r="AQ4816" s="28" t="n">
        <f aca="false">AP4816*$M4816</f>
        <v>0</v>
      </c>
      <c r="AR4816" s="28"/>
      <c r="AS4816" s="28" t="n">
        <f aca="false">AR4816*$M4816</f>
        <v>0</v>
      </c>
      <c r="AT4816" s="28"/>
      <c r="AU4816" s="28" t="n">
        <f aca="false">AT4816*$M4816</f>
        <v>0</v>
      </c>
      <c r="AV4816" s="28"/>
      <c r="AW4816" s="28" t="n">
        <f aca="false">AV4816*$M4816</f>
        <v>0</v>
      </c>
      <c r="AX4816" s="28"/>
      <c r="AY4816" s="28" t="n">
        <f aca="false">AX4816*$M4816</f>
        <v>0</v>
      </c>
      <c r="AZ4816" s="30" t="n">
        <v>1391</v>
      </c>
      <c r="BA4816" s="11" t="n">
        <v>61204</v>
      </c>
      <c r="BB4816" s="31" t="n">
        <f aca="false">SUM(Q4816,S4816,U4816,W4816,Y4816,AA4816,AC4816,AE4816,AG4816,AI4816,AK4816,AM4816,AO4816,AQ4816,AS4816,AU4816,AW4816,AY4816)</f>
        <v>61204</v>
      </c>
      <c r="BC4816" s="28" t="n">
        <f aca="false">BA4816-BB4816</f>
        <v>0</v>
      </c>
      <c r="BD4816" s="32" t="n">
        <f aca="false">SUM(P4816,R4816,T4816,V4816,X4816,Z4816,AB4816,AD4816,AF4816,AH4816,AJ4816,AL4816,AN4816,AP4816,AR4816,AT4816,AV4816,AX4816)</f>
        <v>1391</v>
      </c>
      <c r="BE4816" s="33" t="n">
        <f aca="false">AZ4816-BD4816</f>
        <v>0</v>
      </c>
      <c r="BF4816" s="34" t="n">
        <f aca="false">BD4816*M4816</f>
        <v>61204</v>
      </c>
      <c r="BG4816" s="35" t="n">
        <f aca="false">BA4816-BF4816</f>
        <v>0</v>
      </c>
      <c r="BH4816" s="19" t="str">
        <f aca="false">IF(BG4816=0,"",IF(BG4816&lt;&gt;BA4816,"erreur de calcul",IF(BD4816&lt;&gt;0,"pas de prix",IF(M4816&lt;&gt; 0,"pas de quantité","pas de prix, ni de quantité"))))</f>
        <v/>
      </c>
      <c r="BI4816" s="19"/>
    </row>
    <row r="4817" customFormat="false" ht="15" hidden="false" customHeight="false" outlineLevel="0" collapsed="false">
      <c r="A4817" s="0" t="n">
        <v>6</v>
      </c>
      <c r="B4817" s="8" t="s">
        <v>24</v>
      </c>
      <c r="C4817" s="9" t="s">
        <v>25</v>
      </c>
      <c r="D4817" s="9" t="s">
        <v>26</v>
      </c>
      <c r="E4817" s="10" t="n">
        <v>1789</v>
      </c>
      <c r="F4817" s="9" t="s">
        <v>27</v>
      </c>
      <c r="G4817" s="9" t="s">
        <v>27</v>
      </c>
      <c r="H4817" s="11" t="n">
        <v>25</v>
      </c>
      <c r="I4817" s="11" t="s">
        <v>334</v>
      </c>
      <c r="J4817" s="14" t="n">
        <v>12</v>
      </c>
      <c r="K4817" s="14"/>
      <c r="L4817" s="16"/>
      <c r="M4817" s="27" t="n">
        <f aca="false">J4817+(K4817/20)+(L4817/240)</f>
        <v>12</v>
      </c>
      <c r="N4817" s="17" t="s">
        <v>64</v>
      </c>
      <c r="O4817" s="11"/>
      <c r="P4817" s="28"/>
      <c r="Q4817" s="28" t="n">
        <f aca="false">P4817*$M4817</f>
        <v>0</v>
      </c>
      <c r="R4817" s="28"/>
      <c r="S4817" s="28" t="n">
        <f aca="false">R4817*$M4817</f>
        <v>0</v>
      </c>
      <c r="T4817" s="28"/>
      <c r="U4817" s="28" t="n">
        <f aca="false">T4817*$M4817</f>
        <v>0</v>
      </c>
      <c r="V4817" s="28"/>
      <c r="W4817" s="28" t="n">
        <f aca="false">V4817*$M4817</f>
        <v>0</v>
      </c>
      <c r="X4817" s="28" t="n">
        <f aca="false">1111/100</f>
        <v>11.11</v>
      </c>
      <c r="Y4817" s="28" t="n">
        <v>133</v>
      </c>
      <c r="Z4817" s="28"/>
      <c r="AA4817" s="28" t="n">
        <f aca="false">Z4817*$M4817</f>
        <v>0</v>
      </c>
      <c r="AB4817" s="28"/>
      <c r="AC4817" s="28" t="n">
        <f aca="false">AB4817*$M4817</f>
        <v>0</v>
      </c>
      <c r="AD4817" s="28"/>
      <c r="AE4817" s="28" t="n">
        <f aca="false">AD4817*$M4817</f>
        <v>0</v>
      </c>
      <c r="AF4817" s="28"/>
      <c r="AG4817" s="28" t="n">
        <f aca="false">AF4817*$M4817</f>
        <v>0</v>
      </c>
      <c r="AH4817" s="28"/>
      <c r="AI4817" s="28" t="n">
        <f aca="false">AH4817*$M4817</f>
        <v>0</v>
      </c>
      <c r="AJ4817" s="28"/>
      <c r="AK4817" s="28" t="n">
        <f aca="false">AJ4817*$M4817</f>
        <v>0</v>
      </c>
      <c r="AL4817" s="28"/>
      <c r="AM4817" s="28" t="n">
        <f aca="false">AL4817*$M4817</f>
        <v>0</v>
      </c>
      <c r="AN4817" s="28"/>
      <c r="AO4817" s="28" t="n">
        <f aca="false">AN4817*$M4817</f>
        <v>0</v>
      </c>
      <c r="AP4817" s="28"/>
      <c r="AQ4817" s="28" t="n">
        <f aca="false">AP4817*$M4817</f>
        <v>0</v>
      </c>
      <c r="AR4817" s="28"/>
      <c r="AS4817" s="28" t="n">
        <f aca="false">AR4817*$M4817</f>
        <v>0</v>
      </c>
      <c r="AT4817" s="28"/>
      <c r="AU4817" s="28" t="n">
        <f aca="false">AT4817*$M4817</f>
        <v>0</v>
      </c>
      <c r="AV4817" s="28"/>
      <c r="AW4817" s="28" t="n">
        <f aca="false">AV4817*$M4817</f>
        <v>0</v>
      </c>
      <c r="AX4817" s="28"/>
      <c r="AY4817" s="28" t="n">
        <f aca="false">AX4817*$M4817</f>
        <v>0</v>
      </c>
      <c r="AZ4817" s="30" t="n">
        <f aca="false">1111/100</f>
        <v>11.11</v>
      </c>
      <c r="BA4817" s="11" t="n">
        <v>133</v>
      </c>
      <c r="BB4817" s="31" t="n">
        <f aca="false">SUM(Q4817,S4817,U4817,W4817,Y4817,AA4817,AC4817,AE4817,AG4817,AI4817,AK4817,AM4817,AO4817,AQ4817,AS4817,AU4817,AW4817,AY4817)</f>
        <v>133</v>
      </c>
      <c r="BC4817" s="28" t="n">
        <f aca="false">BA4817-BB4817</f>
        <v>0</v>
      </c>
      <c r="BD4817" s="32" t="n">
        <f aca="false">SUM(P4817,R4817,T4817,V4817,X4817,Z4817,AB4817,AD4817,AF4817,AH4817,AJ4817,AL4817,AN4817,AP4817,AR4817,AT4817,AV4817,AX4817)</f>
        <v>11.11</v>
      </c>
      <c r="BE4817" s="33" t="n">
        <f aca="false">AZ4817-BD4817</f>
        <v>0</v>
      </c>
      <c r="BF4817" s="34" t="n">
        <f aca="false">BD4817*M4817</f>
        <v>133.32</v>
      </c>
      <c r="BG4817" s="35" t="n">
        <f aca="false">BA4817-BF4817</f>
        <v>-0.319999999999993</v>
      </c>
      <c r="BH4817" s="19" t="str">
        <f aca="false">IF(BG4817=0,"",IF(BG4817&lt;&gt;BA4817,"erreur de calcul",IF(BD4817&lt;&gt;0,"pas de prix",IF(M4817&lt;&gt; 0,"pas de quantité","pas de prix, ni de quantité"))))</f>
        <v>erreur de calcul</v>
      </c>
      <c r="BI4817" s="19"/>
    </row>
    <row r="4818" customFormat="false" ht="16.65" hidden="false" customHeight="false" outlineLevel="0" collapsed="false">
      <c r="A4818" s="0" t="n">
        <v>7</v>
      </c>
      <c r="B4818" s="8" t="s">
        <v>24</v>
      </c>
      <c r="C4818" s="9" t="s">
        <v>25</v>
      </c>
      <c r="D4818" s="9" t="s">
        <v>26</v>
      </c>
      <c r="E4818" s="10" t="n">
        <v>1789</v>
      </c>
      <c r="F4818" s="9" t="s">
        <v>27</v>
      </c>
      <c r="G4818" s="9" t="s">
        <v>27</v>
      </c>
      <c r="H4818" s="11" t="n">
        <v>25</v>
      </c>
      <c r="I4818" s="11" t="s">
        <v>335</v>
      </c>
      <c r="J4818" s="14" t="n">
        <v>4</v>
      </c>
      <c r="K4818" s="14" t="n">
        <v>10</v>
      </c>
      <c r="L4818" s="16"/>
      <c r="M4818" s="27" t="n">
        <f aca="false">J4818+(K4818/20)+(L4818/240)</f>
        <v>4.5</v>
      </c>
      <c r="N4818" s="17" t="s">
        <v>64</v>
      </c>
      <c r="O4818" s="11" t="s">
        <v>77</v>
      </c>
      <c r="P4818" s="28" t="n">
        <f aca="false">8366/100</f>
        <v>83.66</v>
      </c>
      <c r="Q4818" s="28" t="n">
        <v>376</v>
      </c>
      <c r="R4818" s="28"/>
      <c r="S4818" s="28" t="n">
        <f aca="false">R4818*$M4818</f>
        <v>0</v>
      </c>
      <c r="T4818" s="28"/>
      <c r="U4818" s="28" t="n">
        <f aca="false">T4818*$M4818</f>
        <v>0</v>
      </c>
      <c r="V4818" s="28"/>
      <c r="W4818" s="28" t="n">
        <f aca="false">V4818*$M4818</f>
        <v>0</v>
      </c>
      <c r="X4818" s="28"/>
      <c r="Y4818" s="28" t="n">
        <f aca="false">X4818*$M4818</f>
        <v>0</v>
      </c>
      <c r="Z4818" s="28"/>
      <c r="AA4818" s="28" t="n">
        <f aca="false">Z4818*$M4818</f>
        <v>0</v>
      </c>
      <c r="AB4818" s="28"/>
      <c r="AC4818" s="28" t="n">
        <f aca="false">AB4818*$M4818</f>
        <v>0</v>
      </c>
      <c r="AD4818" s="28"/>
      <c r="AE4818" s="28" t="n">
        <f aca="false">AD4818*$M4818</f>
        <v>0</v>
      </c>
      <c r="AF4818" s="28"/>
      <c r="AG4818" s="28" t="n">
        <f aca="false">AF4818*$M4818</f>
        <v>0</v>
      </c>
      <c r="AH4818" s="28"/>
      <c r="AI4818" s="28" t="n">
        <f aca="false">AH4818*$M4818</f>
        <v>0</v>
      </c>
      <c r="AJ4818" s="28"/>
      <c r="AK4818" s="28" t="n">
        <f aca="false">AJ4818*$M4818</f>
        <v>0</v>
      </c>
      <c r="AL4818" s="28"/>
      <c r="AM4818" s="28" t="n">
        <f aca="false">AL4818*$M4818</f>
        <v>0</v>
      </c>
      <c r="AN4818" s="28"/>
      <c r="AO4818" s="28" t="n">
        <f aca="false">AN4818*$M4818</f>
        <v>0</v>
      </c>
      <c r="AP4818" s="28"/>
      <c r="AQ4818" s="28" t="n">
        <f aca="false">AP4818*$M4818</f>
        <v>0</v>
      </c>
      <c r="AR4818" s="28"/>
      <c r="AS4818" s="28" t="n">
        <f aca="false">AR4818*$M4818</f>
        <v>0</v>
      </c>
      <c r="AT4818" s="28"/>
      <c r="AU4818" s="28" t="n">
        <f aca="false">AT4818*$M4818</f>
        <v>0</v>
      </c>
      <c r="AV4818" s="28"/>
      <c r="AW4818" s="28" t="n">
        <f aca="false">AV4818*$M4818</f>
        <v>0</v>
      </c>
      <c r="AX4818" s="28"/>
      <c r="AY4818" s="28" t="n">
        <f aca="false">AX4818*$M4818</f>
        <v>0</v>
      </c>
      <c r="AZ4818" s="30" t="n">
        <f aca="false">8366/100</f>
        <v>83.66</v>
      </c>
      <c r="BA4818" s="11" t="n">
        <v>376</v>
      </c>
      <c r="BB4818" s="31" t="n">
        <f aca="false">SUM(Q4818,S4818,U4818,W4818,Y4818,AA4818,AC4818,AE4818,AG4818,AI4818,AK4818,AM4818,AO4818,AQ4818,AS4818,AU4818,AW4818,AY4818)</f>
        <v>376</v>
      </c>
      <c r="BC4818" s="28" t="n">
        <f aca="false">BA4818-BB4818</f>
        <v>0</v>
      </c>
      <c r="BD4818" s="32" t="n">
        <f aca="false">SUM(P4818,R4818,T4818,V4818,X4818,Z4818,AB4818,AD4818,AF4818,AH4818,AJ4818,AL4818,AN4818,AP4818,AR4818,AT4818,AV4818,AX4818)</f>
        <v>83.66</v>
      </c>
      <c r="BE4818" s="33" t="n">
        <f aca="false">AZ4818-BD4818</f>
        <v>0</v>
      </c>
      <c r="BF4818" s="34" t="n">
        <f aca="false">BD4818*M4818</f>
        <v>376.47</v>
      </c>
      <c r="BG4818" s="35" t="n">
        <f aca="false">BA4818-BF4818</f>
        <v>-0.46999999999997</v>
      </c>
      <c r="BH4818" s="19" t="str">
        <f aca="false">IF(BG4818=0,"",IF(BG4818&lt;&gt;BA4818,"erreur de calcul",IF(BD4818&lt;&gt;0,"pas de prix",IF(M4818&lt;&gt; 0,"pas de quantité","pas de prix, ni de quantité"))))</f>
        <v>erreur de calcul</v>
      </c>
      <c r="BI4818" s="19"/>
    </row>
    <row r="4819" customFormat="false" ht="15" hidden="false" customHeight="false" outlineLevel="0" collapsed="false">
      <c r="A4819" s="0" t="n">
        <v>8</v>
      </c>
      <c r="B4819" s="8" t="s">
        <v>24</v>
      </c>
      <c r="C4819" s="9" t="s">
        <v>25</v>
      </c>
      <c r="D4819" s="9" t="s">
        <v>26</v>
      </c>
      <c r="E4819" s="10" t="n">
        <v>1789</v>
      </c>
      <c r="F4819" s="9" t="s">
        <v>27</v>
      </c>
      <c r="G4819" s="9" t="s">
        <v>27</v>
      </c>
      <c r="H4819" s="11" t="n">
        <v>25</v>
      </c>
      <c r="I4819" s="11" t="s">
        <v>336</v>
      </c>
      <c r="J4819" s="14" t="n">
        <v>64</v>
      </c>
      <c r="K4819" s="14"/>
      <c r="L4819" s="16"/>
      <c r="M4819" s="27" t="n">
        <f aca="false">J4819+(K4819/20)+(L4819/240)</f>
        <v>64</v>
      </c>
      <c r="N4819" s="17" t="s">
        <v>337</v>
      </c>
      <c r="O4819" s="11"/>
      <c r="P4819" s="28"/>
      <c r="Q4819" s="28" t="n">
        <f aca="false">P4819*$M4819</f>
        <v>0</v>
      </c>
      <c r="R4819" s="28"/>
      <c r="S4819" s="28" t="n">
        <f aca="false">R4819*$M4819</f>
        <v>0</v>
      </c>
      <c r="T4819" s="28" t="n">
        <v>42</v>
      </c>
      <c r="U4819" s="28" t="n">
        <v>2688</v>
      </c>
      <c r="V4819" s="28"/>
      <c r="W4819" s="28" t="n">
        <f aca="false">V4819*$M4819</f>
        <v>0</v>
      </c>
      <c r="X4819" s="28"/>
      <c r="Y4819" s="28" t="n">
        <f aca="false">X4819*$M4819</f>
        <v>0</v>
      </c>
      <c r="Z4819" s="28"/>
      <c r="AA4819" s="28" t="n">
        <f aca="false">Z4819*$M4819</f>
        <v>0</v>
      </c>
      <c r="AB4819" s="28" t="n">
        <v>66</v>
      </c>
      <c r="AC4819" s="28" t="n">
        <v>4224</v>
      </c>
      <c r="AD4819" s="28"/>
      <c r="AE4819" s="28" t="n">
        <f aca="false">AD4819*$M4819</f>
        <v>0</v>
      </c>
      <c r="AF4819" s="28"/>
      <c r="AG4819" s="28" t="n">
        <f aca="false">AF4819*$M4819</f>
        <v>0</v>
      </c>
      <c r="AH4819" s="28"/>
      <c r="AI4819" s="28" t="n">
        <f aca="false">AH4819*$M4819</f>
        <v>0</v>
      </c>
      <c r="AJ4819" s="28"/>
      <c r="AK4819" s="28" t="n">
        <f aca="false">AJ4819*$M4819</f>
        <v>0</v>
      </c>
      <c r="AL4819" s="28"/>
      <c r="AM4819" s="28" t="n">
        <f aca="false">AL4819*$M4819</f>
        <v>0</v>
      </c>
      <c r="AN4819" s="28"/>
      <c r="AO4819" s="28" t="n">
        <f aca="false">AN4819*$M4819</f>
        <v>0</v>
      </c>
      <c r="AP4819" s="28"/>
      <c r="AQ4819" s="28" t="n">
        <f aca="false">AP4819*$M4819</f>
        <v>0</v>
      </c>
      <c r="AR4819" s="28"/>
      <c r="AS4819" s="28" t="n">
        <f aca="false">AR4819*$M4819</f>
        <v>0</v>
      </c>
      <c r="AT4819" s="28"/>
      <c r="AU4819" s="28" t="n">
        <f aca="false">AT4819*$M4819</f>
        <v>0</v>
      </c>
      <c r="AV4819" s="28"/>
      <c r="AW4819" s="28" t="n">
        <f aca="false">AV4819*$M4819</f>
        <v>0</v>
      </c>
      <c r="AX4819" s="28"/>
      <c r="AY4819" s="28" t="n">
        <f aca="false">AX4819*$M4819</f>
        <v>0</v>
      </c>
      <c r="AZ4819" s="30" t="n">
        <v>108</v>
      </c>
      <c r="BA4819" s="11" t="n">
        <v>6912</v>
      </c>
      <c r="BB4819" s="31" t="n">
        <f aca="false">SUM(Q4819,S4819,U4819,W4819,Y4819,AA4819,AC4819,AE4819,AG4819,AI4819,AK4819,AM4819,AO4819,AQ4819,AS4819,AU4819,AW4819,AY4819)</f>
        <v>6912</v>
      </c>
      <c r="BC4819" s="28" t="n">
        <f aca="false">BA4819-BB4819</f>
        <v>0</v>
      </c>
      <c r="BD4819" s="32" t="n">
        <f aca="false">SUM(P4819,R4819,T4819,V4819,X4819,Z4819,AB4819,AD4819,AF4819,AH4819,AJ4819,AL4819,AN4819,AP4819,AR4819,AT4819,AV4819,AX4819)</f>
        <v>108</v>
      </c>
      <c r="BE4819" s="33" t="n">
        <f aca="false">AZ4819-BD4819</f>
        <v>0</v>
      </c>
      <c r="BF4819" s="34" t="n">
        <f aca="false">BD4819*M4819</f>
        <v>6912</v>
      </c>
      <c r="BG4819" s="35" t="n">
        <f aca="false">BA4819-BF4819</f>
        <v>0</v>
      </c>
      <c r="BH4819" s="19" t="str">
        <f aca="false">IF(BG4819=0,"",IF(BG4819&lt;&gt;BA4819,"erreur de calcul",IF(BD4819&lt;&gt;0,"pas de prix",IF(M4819&lt;&gt; 0,"pas de quantité","pas de prix, ni de quantité"))))</f>
        <v/>
      </c>
      <c r="BI4819" s="19"/>
    </row>
    <row r="4820" customFormat="false" ht="15" hidden="false" customHeight="false" outlineLevel="0" collapsed="false">
      <c r="A4820" s="0" t="n">
        <v>9</v>
      </c>
      <c r="B4820" s="8" t="s">
        <v>24</v>
      </c>
      <c r="C4820" s="9" t="s">
        <v>25</v>
      </c>
      <c r="D4820" s="9" t="s">
        <v>26</v>
      </c>
      <c r="E4820" s="10" t="n">
        <v>1789</v>
      </c>
      <c r="F4820" s="9" t="s">
        <v>27</v>
      </c>
      <c r="G4820" s="9" t="s">
        <v>27</v>
      </c>
      <c r="H4820" s="11" t="n">
        <v>25</v>
      </c>
      <c r="I4820" s="11" t="s">
        <v>338</v>
      </c>
      <c r="J4820" s="14"/>
      <c r="K4820" s="14"/>
      <c r="L4820" s="16"/>
      <c r="M4820" s="27" t="n">
        <f aca="false">J4820+(K4820/20)+(L4820/240)</f>
        <v>0</v>
      </c>
      <c r="N4820" s="17"/>
      <c r="O4820" s="11"/>
      <c r="P4820" s="28"/>
      <c r="Q4820" s="28" t="n">
        <f aca="false">P4820*$M4820</f>
        <v>0</v>
      </c>
      <c r="R4820" s="28"/>
      <c r="S4820" s="28" t="n">
        <f aca="false">R4820*$M4820</f>
        <v>0</v>
      </c>
      <c r="T4820" s="28"/>
      <c r="U4820" s="28" t="n">
        <v>135</v>
      </c>
      <c r="V4820" s="28"/>
      <c r="W4820" s="28" t="n">
        <v>642</v>
      </c>
      <c r="X4820" s="28"/>
      <c r="Y4820" s="28" t="n">
        <f aca="false">X4820*$M4820</f>
        <v>0</v>
      </c>
      <c r="Z4820" s="28"/>
      <c r="AA4820" s="28" t="n">
        <f aca="false">Z4820*$M4820</f>
        <v>0</v>
      </c>
      <c r="AB4820" s="28"/>
      <c r="AC4820" s="28" t="n">
        <f aca="false">AB4820*$M4820</f>
        <v>0</v>
      </c>
      <c r="AD4820" s="28"/>
      <c r="AE4820" s="28" t="n">
        <f aca="false">AD4820*$M4820</f>
        <v>0</v>
      </c>
      <c r="AF4820" s="28"/>
      <c r="AG4820" s="28" t="n">
        <f aca="false">AF4820*$M4820</f>
        <v>0</v>
      </c>
      <c r="AH4820" s="28"/>
      <c r="AI4820" s="28" t="n">
        <f aca="false">AH4820*$M4820</f>
        <v>0</v>
      </c>
      <c r="AJ4820" s="28"/>
      <c r="AK4820" s="28" t="n">
        <v>375</v>
      </c>
      <c r="AL4820" s="28"/>
      <c r="AM4820" s="28" t="n">
        <f aca="false">AL4820*$M4820</f>
        <v>0</v>
      </c>
      <c r="AN4820" s="28"/>
      <c r="AO4820" s="28" t="n">
        <f aca="false">AN4820*$M4820</f>
        <v>0</v>
      </c>
      <c r="AP4820" s="28"/>
      <c r="AQ4820" s="28" t="n">
        <f aca="false">AP4820*$M4820</f>
        <v>0</v>
      </c>
      <c r="AR4820" s="28"/>
      <c r="AS4820" s="28" t="n">
        <f aca="false">AR4820*$M4820</f>
        <v>0</v>
      </c>
      <c r="AT4820" s="28"/>
      <c r="AU4820" s="28" t="n">
        <f aca="false">AT4820*$M4820</f>
        <v>0</v>
      </c>
      <c r="AV4820" s="28"/>
      <c r="AW4820" s="28" t="n">
        <v>765</v>
      </c>
      <c r="AX4820" s="28"/>
      <c r="AY4820" s="28" t="n">
        <f aca="false">AX4820*$M4820</f>
        <v>0</v>
      </c>
      <c r="AZ4820" s="30"/>
      <c r="BA4820" s="11" t="n">
        <v>1917</v>
      </c>
      <c r="BB4820" s="31" t="n">
        <f aca="false">SUM(Q4820,S4820,U4820,W4820,Y4820,AA4820,AC4820,AE4820,AG4820,AI4820,AK4820,AM4820,AO4820,AQ4820,AS4820,AU4820,AW4820,AY4820)</f>
        <v>1917</v>
      </c>
      <c r="BC4820" s="28" t="n">
        <f aca="false">BA4820-BB4820</f>
        <v>0</v>
      </c>
      <c r="BD4820" s="32" t="n">
        <f aca="false">SUM(P4820,R4820,T4820,V4820,X4820,Z4820,AB4820,AD4820,AF4820,AH4820,AJ4820,AL4820,AN4820,AP4820,AR4820,AT4820,AV4820,AX4820)</f>
        <v>0</v>
      </c>
      <c r="BE4820" s="33" t="n">
        <f aca="false">AZ4820-BD4820</f>
        <v>0</v>
      </c>
      <c r="BF4820" s="34" t="n">
        <f aca="false">BD4820*M4820</f>
        <v>0</v>
      </c>
      <c r="BG4820" s="35" t="n">
        <f aca="false">BA4820-BF4820</f>
        <v>1917</v>
      </c>
      <c r="BH4820" s="19" t="str">
        <f aca="false">IF(BG4820=0,"",IF(BG4820&lt;&gt;BA4820,"erreur de calcul",IF(BD4820&lt;&gt;0,"pas de prix",IF(M4820&lt;&gt; 0,"pas de quantité","pas de prix, ni de quantité"))))</f>
        <v>pas de prix, ni de quantité</v>
      </c>
      <c r="BI4820" s="19"/>
    </row>
    <row r="4821" customFormat="false" ht="15" hidden="false" customHeight="false" outlineLevel="0" collapsed="false">
      <c r="A4821" s="0" t="n">
        <v>10</v>
      </c>
      <c r="B4821" s="8" t="s">
        <v>24</v>
      </c>
      <c r="C4821" s="9" t="s">
        <v>25</v>
      </c>
      <c r="D4821" s="9" t="s">
        <v>26</v>
      </c>
      <c r="E4821" s="10" t="n">
        <v>1789</v>
      </c>
      <c r="F4821" s="9" t="s">
        <v>27</v>
      </c>
      <c r="G4821" s="9" t="s">
        <v>27</v>
      </c>
      <c r="H4821" s="11" t="n">
        <v>25</v>
      </c>
      <c r="I4821" s="11" t="s">
        <v>339</v>
      </c>
      <c r="J4821" s="14" t="n">
        <v>7</v>
      </c>
      <c r="K4821" s="14"/>
      <c r="L4821" s="16"/>
      <c r="M4821" s="27" t="n">
        <f aca="false">J4821+(K4821/20)+(L4821/240)</f>
        <v>7</v>
      </c>
      <c r="N4821" s="17" t="s">
        <v>69</v>
      </c>
      <c r="O4821" s="11"/>
      <c r="P4821" s="28"/>
      <c r="Q4821" s="28" t="n">
        <f aca="false">P4821*$M4821</f>
        <v>0</v>
      </c>
      <c r="R4821" s="28"/>
      <c r="S4821" s="28" t="n">
        <f aca="false">R4821*$M4821</f>
        <v>0</v>
      </c>
      <c r="T4821" s="28"/>
      <c r="U4821" s="28" t="n">
        <f aca="false">T4821*$M4821</f>
        <v>0</v>
      </c>
      <c r="V4821" s="28" t="n">
        <v>554</v>
      </c>
      <c r="W4821" s="28" t="n">
        <v>3878</v>
      </c>
      <c r="X4821" s="28"/>
      <c r="Y4821" s="28" t="n">
        <f aca="false">X4821*$M4821</f>
        <v>0</v>
      </c>
      <c r="Z4821" s="28"/>
      <c r="AA4821" s="28" t="n">
        <f aca="false">Z4821*$M4821</f>
        <v>0</v>
      </c>
      <c r="AB4821" s="28"/>
      <c r="AC4821" s="28" t="n">
        <f aca="false">AB4821*$M4821</f>
        <v>0</v>
      </c>
      <c r="AD4821" s="28"/>
      <c r="AE4821" s="28" t="n">
        <f aca="false">AD4821*$M4821</f>
        <v>0</v>
      </c>
      <c r="AF4821" s="28"/>
      <c r="AG4821" s="28" t="n">
        <f aca="false">AF4821*$M4821</f>
        <v>0</v>
      </c>
      <c r="AH4821" s="28"/>
      <c r="AI4821" s="28" t="n">
        <f aca="false">AH4821*$M4821</f>
        <v>0</v>
      </c>
      <c r="AJ4821" s="28"/>
      <c r="AK4821" s="28" t="n">
        <f aca="false">AJ4821*$M4821</f>
        <v>0</v>
      </c>
      <c r="AL4821" s="28"/>
      <c r="AM4821" s="28" t="n">
        <f aca="false">AL4821*$M4821</f>
        <v>0</v>
      </c>
      <c r="AN4821" s="28"/>
      <c r="AO4821" s="28" t="n">
        <f aca="false">AN4821*$M4821</f>
        <v>0</v>
      </c>
      <c r="AP4821" s="28"/>
      <c r="AQ4821" s="28" t="n">
        <f aca="false">AP4821*$M4821</f>
        <v>0</v>
      </c>
      <c r="AR4821" s="28"/>
      <c r="AS4821" s="28" t="n">
        <f aca="false">AR4821*$M4821</f>
        <v>0</v>
      </c>
      <c r="AT4821" s="28"/>
      <c r="AU4821" s="28" t="n">
        <f aca="false">AT4821*$M4821</f>
        <v>0</v>
      </c>
      <c r="AV4821" s="28"/>
      <c r="AW4821" s="28" t="n">
        <f aca="false">AV4821*$M4821</f>
        <v>0</v>
      </c>
      <c r="AX4821" s="28"/>
      <c r="AY4821" s="28" t="n">
        <f aca="false">AX4821*$M4821</f>
        <v>0</v>
      </c>
      <c r="AZ4821" s="30" t="n">
        <v>554</v>
      </c>
      <c r="BA4821" s="11" t="n">
        <v>3878</v>
      </c>
      <c r="BB4821" s="31" t="n">
        <f aca="false">SUM(Q4821,S4821,U4821,W4821,Y4821,AA4821,AC4821,AE4821,AG4821,AI4821,AK4821,AM4821,AO4821,AQ4821,AS4821,AU4821,AW4821,AY4821)</f>
        <v>3878</v>
      </c>
      <c r="BC4821" s="28" t="n">
        <f aca="false">BA4821-BB4821</f>
        <v>0</v>
      </c>
      <c r="BD4821" s="32" t="n">
        <f aca="false">SUM(P4821,R4821,T4821,V4821,X4821,Z4821,AB4821,AD4821,AF4821,AH4821,AJ4821,AL4821,AN4821,AP4821,AR4821,AT4821,AV4821,AX4821)</f>
        <v>554</v>
      </c>
      <c r="BE4821" s="33" t="n">
        <f aca="false">AZ4821-BD4821</f>
        <v>0</v>
      </c>
      <c r="BF4821" s="34" t="n">
        <f aca="false">BD4821*M4821</f>
        <v>3878</v>
      </c>
      <c r="BG4821" s="35" t="n">
        <f aca="false">BA4821-BF4821</f>
        <v>0</v>
      </c>
      <c r="BH4821" s="19" t="str">
        <f aca="false">IF(BG4821=0,"",IF(BG4821&lt;&gt;BA4821,"erreur de calcul",IF(BD4821&lt;&gt;0,"pas de prix",IF(M4821&lt;&gt; 0,"pas de quantité","pas de prix, ni de quantité"))))</f>
        <v/>
      </c>
      <c r="BI4821" s="19"/>
    </row>
    <row r="4822" customFormat="false" ht="15" hidden="false" customHeight="false" outlineLevel="0" collapsed="false">
      <c r="A4822" s="0" t="n">
        <v>11</v>
      </c>
      <c r="B4822" s="8" t="s">
        <v>24</v>
      </c>
      <c r="C4822" s="9" t="s">
        <v>25</v>
      </c>
      <c r="D4822" s="9" t="s">
        <v>26</v>
      </c>
      <c r="E4822" s="10" t="n">
        <v>1789</v>
      </c>
      <c r="F4822" s="9" t="s">
        <v>27</v>
      </c>
      <c r="G4822" s="9" t="s">
        <v>27</v>
      </c>
      <c r="H4822" s="11" t="n">
        <v>25</v>
      </c>
      <c r="I4822" s="11" t="s">
        <v>340</v>
      </c>
      <c r="J4822" s="14" t="n">
        <v>15</v>
      </c>
      <c r="K4822" s="14"/>
      <c r="L4822" s="16"/>
      <c r="M4822" s="27" t="n">
        <f aca="false">J4822+(K4822/20)+(L4822/240)</f>
        <v>15</v>
      </c>
      <c r="N4822" s="17" t="s">
        <v>64</v>
      </c>
      <c r="O4822" s="11"/>
      <c r="P4822" s="28" t="n">
        <f aca="false">470959/100</f>
        <v>4709.59</v>
      </c>
      <c r="Q4822" s="28" t="n">
        <v>70644</v>
      </c>
      <c r="R4822" s="28"/>
      <c r="S4822" s="28" t="n">
        <f aca="false">R4822*$M4822</f>
        <v>0</v>
      </c>
      <c r="T4822" s="28"/>
      <c r="U4822" s="28" t="n">
        <f aca="false">T4822*$M4822</f>
        <v>0</v>
      </c>
      <c r="V4822" s="28"/>
      <c r="W4822" s="28" t="n">
        <f aca="false">V4822*$M4822</f>
        <v>0</v>
      </c>
      <c r="X4822" s="28"/>
      <c r="Y4822" s="28" t="n">
        <f aca="false">X4822*$M4822</f>
        <v>0</v>
      </c>
      <c r="Z4822" s="28"/>
      <c r="AA4822" s="28" t="n">
        <f aca="false">Z4822*$M4822</f>
        <v>0</v>
      </c>
      <c r="AB4822" s="28" t="n">
        <f aca="false">50000/100</f>
        <v>500</v>
      </c>
      <c r="AC4822" s="28" t="n">
        <v>7500</v>
      </c>
      <c r="AD4822" s="28"/>
      <c r="AE4822" s="28" t="n">
        <f aca="false">AD4822*$M4822</f>
        <v>0</v>
      </c>
      <c r="AF4822" s="28" t="n">
        <f aca="false">15584/100</f>
        <v>155.84</v>
      </c>
      <c r="AG4822" s="28" t="n">
        <v>2338</v>
      </c>
      <c r="AH4822" s="28"/>
      <c r="AI4822" s="28" t="n">
        <f aca="false">AH4822*$M4822</f>
        <v>0</v>
      </c>
      <c r="AJ4822" s="28"/>
      <c r="AK4822" s="28" t="n">
        <f aca="false">AJ4822*$M4822</f>
        <v>0</v>
      </c>
      <c r="AL4822" s="28"/>
      <c r="AM4822" s="28" t="n">
        <f aca="false">AL4822*$M4822</f>
        <v>0</v>
      </c>
      <c r="AN4822" s="28"/>
      <c r="AO4822" s="28" t="n">
        <f aca="false">AN4822*$M4822</f>
        <v>0</v>
      </c>
      <c r="AP4822" s="28"/>
      <c r="AQ4822" s="28" t="n">
        <f aca="false">AP4822*$M4822</f>
        <v>0</v>
      </c>
      <c r="AR4822" s="28"/>
      <c r="AS4822" s="28" t="n">
        <f aca="false">AR4822*$M4822</f>
        <v>0</v>
      </c>
      <c r="AT4822" s="28"/>
      <c r="AU4822" s="28" t="n">
        <f aca="false">AT4822*$M4822</f>
        <v>0</v>
      </c>
      <c r="AV4822" s="28"/>
      <c r="AW4822" s="28" t="n">
        <f aca="false">AV4822*$M4822</f>
        <v>0</v>
      </c>
      <c r="AX4822" s="28"/>
      <c r="AY4822" s="28" t="n">
        <f aca="false">AX4822*$M4822</f>
        <v>0</v>
      </c>
      <c r="AZ4822" s="30" t="n">
        <f aca="false">535959/100</f>
        <v>5359.59</v>
      </c>
      <c r="BA4822" s="11" t="n">
        <v>80482</v>
      </c>
      <c r="BB4822" s="31" t="n">
        <f aca="false">SUM(Q4822,S4822,U4822,W4822,Y4822,AA4822,AC4822,AE4822,AG4822,AI4822,AK4822,AM4822,AO4822,AQ4822,AS4822,AU4822,AW4822,AY4822)</f>
        <v>80482</v>
      </c>
      <c r="BC4822" s="28" t="n">
        <f aca="false">BA4822-BB4822</f>
        <v>0</v>
      </c>
      <c r="BD4822" s="32" t="n">
        <f aca="false">SUM(P4822,R4822,T4822,V4822,X4822,Z4822,AB4822,AD4822,AF4822,AH4822,AJ4822,AL4822,AN4822,AP4822,AR4822,AT4822,AV4822,AX4822)</f>
        <v>5365.43</v>
      </c>
      <c r="BE4822" s="33" t="n">
        <f aca="false">AZ4822-BD4822</f>
        <v>-5.84000000000015</v>
      </c>
      <c r="BF4822" s="34" t="n">
        <f aca="false">BD4822*M4822</f>
        <v>80481.45</v>
      </c>
      <c r="BG4822" s="35" t="n">
        <f aca="false">BA4822-BF4822</f>
        <v>0.549999999988359</v>
      </c>
      <c r="BH4822" s="19" t="str">
        <f aca="false">IF(BG4822=0,"",IF(BG4822&lt;&gt;BA4822,"erreur de calcul",IF(BD4822&lt;&gt;0,"pas de prix",IF(M4822&lt;&gt; 0,"pas de quantité","pas de prix, ni de quantité"))))</f>
        <v>erreur de calcul</v>
      </c>
      <c r="BI4822" s="19"/>
    </row>
    <row r="4823" customFormat="false" ht="15" hidden="false" customHeight="false" outlineLevel="0" collapsed="false">
      <c r="A4823" s="0" t="n">
        <v>12</v>
      </c>
      <c r="B4823" s="8" t="s">
        <v>24</v>
      </c>
      <c r="C4823" s="9" t="s">
        <v>25</v>
      </c>
      <c r="D4823" s="9" t="s">
        <v>26</v>
      </c>
      <c r="E4823" s="10" t="n">
        <v>1789</v>
      </c>
      <c r="F4823" s="9" t="s">
        <v>27</v>
      </c>
      <c r="G4823" s="9" t="s">
        <v>27</v>
      </c>
      <c r="H4823" s="11" t="n">
        <v>25</v>
      </c>
      <c r="I4823" s="11" t="s">
        <v>341</v>
      </c>
      <c r="J4823" s="14" t="n">
        <v>75</v>
      </c>
      <c r="K4823" s="14"/>
      <c r="L4823" s="16"/>
      <c r="M4823" s="27" t="n">
        <f aca="false">J4823+(K4823/20)+(L4823/240)</f>
        <v>75</v>
      </c>
      <c r="N4823" s="17" t="s">
        <v>85</v>
      </c>
      <c r="O4823" s="11"/>
      <c r="P4823" s="28"/>
      <c r="Q4823" s="28" t="n">
        <f aca="false">P4823*$M4823</f>
        <v>0</v>
      </c>
      <c r="R4823" s="28"/>
      <c r="S4823" s="28" t="n">
        <f aca="false">R4823*$M4823</f>
        <v>0</v>
      </c>
      <c r="T4823" s="28"/>
      <c r="U4823" s="28" t="n">
        <f aca="false">T4823*$M4823</f>
        <v>0</v>
      </c>
      <c r="V4823" s="28"/>
      <c r="W4823" s="28" t="n">
        <f aca="false">V4823*$M4823</f>
        <v>0</v>
      </c>
      <c r="X4823" s="28"/>
      <c r="Y4823" s="28" t="n">
        <f aca="false">X4823*$M4823</f>
        <v>0</v>
      </c>
      <c r="Z4823" s="28"/>
      <c r="AA4823" s="28" t="n">
        <f aca="false">Z4823*$M4823</f>
        <v>0</v>
      </c>
      <c r="AB4823" s="28"/>
      <c r="AC4823" s="28" t="n">
        <f aca="false">AB4823*$M4823</f>
        <v>0</v>
      </c>
      <c r="AD4823" s="28"/>
      <c r="AE4823" s="28" t="n">
        <f aca="false">AD4823*$M4823</f>
        <v>0</v>
      </c>
      <c r="AF4823" s="28"/>
      <c r="AG4823" s="28" t="n">
        <f aca="false">AF4823*$M4823</f>
        <v>0</v>
      </c>
      <c r="AH4823" s="28"/>
      <c r="AI4823" s="28" t="n">
        <f aca="false">AH4823*$M4823</f>
        <v>0</v>
      </c>
      <c r="AJ4823" s="28"/>
      <c r="AK4823" s="28" t="n">
        <f aca="false">AJ4823*$M4823</f>
        <v>0</v>
      </c>
      <c r="AL4823" s="28" t="n">
        <f aca="false">2584/100</f>
        <v>25.84</v>
      </c>
      <c r="AM4823" s="28" t="n">
        <v>1938</v>
      </c>
      <c r="AN4823" s="28"/>
      <c r="AO4823" s="28" t="n">
        <f aca="false">AN4823*$M4823</f>
        <v>0</v>
      </c>
      <c r="AP4823" s="28"/>
      <c r="AQ4823" s="28" t="n">
        <f aca="false">AP4823*$M4823</f>
        <v>0</v>
      </c>
      <c r="AR4823" s="28"/>
      <c r="AS4823" s="28" t="n">
        <f aca="false">AR4823*$M4823</f>
        <v>0</v>
      </c>
      <c r="AT4823" s="28"/>
      <c r="AU4823" s="28" t="n">
        <f aca="false">AT4823*$M4823</f>
        <v>0</v>
      </c>
      <c r="AV4823" s="28"/>
      <c r="AW4823" s="28" t="n">
        <f aca="false">AV4823*$M4823</f>
        <v>0</v>
      </c>
      <c r="AX4823" s="28"/>
      <c r="AY4823" s="28" t="n">
        <f aca="false">AX4823*$M4823</f>
        <v>0</v>
      </c>
      <c r="AZ4823" s="30" t="n">
        <f aca="false">2584/100</f>
        <v>25.84</v>
      </c>
      <c r="BA4823" s="11" t="n">
        <v>1938</v>
      </c>
      <c r="BB4823" s="31" t="n">
        <f aca="false">SUM(Q4823,S4823,U4823,W4823,Y4823,AA4823,AC4823,AE4823,AG4823,AI4823,AK4823,AM4823,AO4823,AQ4823,AS4823,AU4823,AW4823,AY4823)</f>
        <v>1938</v>
      </c>
      <c r="BC4823" s="28" t="n">
        <f aca="false">BA4823-BB4823</f>
        <v>0</v>
      </c>
      <c r="BD4823" s="32" t="n">
        <f aca="false">SUM(P4823,R4823,T4823,V4823,X4823,Z4823,AB4823,AD4823,AF4823,AH4823,AJ4823,AL4823,AN4823,AP4823,AR4823,AT4823,AV4823,AX4823)</f>
        <v>25.84</v>
      </c>
      <c r="BE4823" s="33" t="n">
        <f aca="false">AZ4823-BD4823</f>
        <v>0</v>
      </c>
      <c r="BF4823" s="34" t="n">
        <f aca="false">BD4823*M4823</f>
        <v>1938</v>
      </c>
      <c r="BG4823" s="35" t="n">
        <f aca="false">BA4823-BF4823</f>
        <v>0</v>
      </c>
      <c r="BH4823" s="19" t="str">
        <f aca="false">IF(BG4823=0,"",IF(BG4823&lt;&gt;BA4823,"erreur de calcul",IF(BD4823&lt;&gt;0,"pas de prix",IF(M4823&lt;&gt; 0,"pas de quantité","pas de prix, ni de quantité"))))</f>
        <v/>
      </c>
      <c r="BI4823" s="19"/>
    </row>
    <row r="4824" customFormat="false" ht="15" hidden="false" customHeight="false" outlineLevel="0" collapsed="false">
      <c r="A4824" s="0" t="n">
        <v>13</v>
      </c>
      <c r="B4824" s="8" t="s">
        <v>24</v>
      </c>
      <c r="C4824" s="9" t="s">
        <v>25</v>
      </c>
      <c r="D4824" s="9" t="s">
        <v>26</v>
      </c>
      <c r="E4824" s="10" t="n">
        <v>1789</v>
      </c>
      <c r="F4824" s="9" t="s">
        <v>27</v>
      </c>
      <c r="G4824" s="9" t="s">
        <v>27</v>
      </c>
      <c r="H4824" s="11" t="n">
        <v>25</v>
      </c>
      <c r="I4824" s="11" t="s">
        <v>342</v>
      </c>
      <c r="J4824" s="14" t="n">
        <v>10</v>
      </c>
      <c r="K4824" s="14"/>
      <c r="L4824" s="16"/>
      <c r="M4824" s="27" t="n">
        <f aca="false">J4824+(K4824/20)+(L4824/240)</f>
        <v>10</v>
      </c>
      <c r="N4824" s="17" t="s">
        <v>66</v>
      </c>
      <c r="O4824" s="11"/>
      <c r="P4824" s="28"/>
      <c r="Q4824" s="28" t="n">
        <f aca="false">P4824*$M4824</f>
        <v>0</v>
      </c>
      <c r="R4824" s="28" t="n">
        <v>827</v>
      </c>
      <c r="S4824" s="28" t="n">
        <v>8270</v>
      </c>
      <c r="T4824" s="28"/>
      <c r="U4824" s="28" t="n">
        <f aca="false">T4824*$M4824</f>
        <v>0</v>
      </c>
      <c r="V4824" s="28"/>
      <c r="W4824" s="28" t="n">
        <f aca="false">V4824*$M4824</f>
        <v>0</v>
      </c>
      <c r="X4824" s="28"/>
      <c r="Y4824" s="28" t="n">
        <f aca="false">X4824*$M4824</f>
        <v>0</v>
      </c>
      <c r="Z4824" s="28"/>
      <c r="AA4824" s="28" t="n">
        <f aca="false">Z4824*$M4824</f>
        <v>0</v>
      </c>
      <c r="AB4824" s="28"/>
      <c r="AC4824" s="28" t="n">
        <f aca="false">AB4824*$M4824</f>
        <v>0</v>
      </c>
      <c r="AD4824" s="28"/>
      <c r="AE4824" s="28" t="n">
        <f aca="false">AD4824*$M4824</f>
        <v>0</v>
      </c>
      <c r="AF4824" s="28"/>
      <c r="AG4824" s="28" t="n">
        <f aca="false">AF4824*$M4824</f>
        <v>0</v>
      </c>
      <c r="AH4824" s="28"/>
      <c r="AI4824" s="28" t="n">
        <f aca="false">AH4824*$M4824</f>
        <v>0</v>
      </c>
      <c r="AJ4824" s="28"/>
      <c r="AK4824" s="28" t="n">
        <f aca="false">AJ4824*$M4824</f>
        <v>0</v>
      </c>
      <c r="AL4824" s="28"/>
      <c r="AM4824" s="28" t="n">
        <f aca="false">AL4824*$M4824</f>
        <v>0</v>
      </c>
      <c r="AN4824" s="28"/>
      <c r="AO4824" s="28" t="n">
        <f aca="false">AN4824*$M4824</f>
        <v>0</v>
      </c>
      <c r="AP4824" s="28"/>
      <c r="AQ4824" s="28" t="n">
        <f aca="false">AP4824*$M4824</f>
        <v>0</v>
      </c>
      <c r="AR4824" s="28"/>
      <c r="AS4824" s="28" t="n">
        <f aca="false">AR4824*$M4824</f>
        <v>0</v>
      </c>
      <c r="AT4824" s="28"/>
      <c r="AU4824" s="28" t="n">
        <f aca="false">AT4824*$M4824</f>
        <v>0</v>
      </c>
      <c r="AV4824" s="28"/>
      <c r="AW4824" s="28" t="n">
        <f aca="false">AV4824*$M4824</f>
        <v>0</v>
      </c>
      <c r="AX4824" s="28"/>
      <c r="AY4824" s="28" t="n">
        <f aca="false">AX4824*$M4824</f>
        <v>0</v>
      </c>
      <c r="AZ4824" s="30" t="n">
        <v>827</v>
      </c>
      <c r="BA4824" s="11" t="n">
        <v>8270</v>
      </c>
      <c r="BB4824" s="31" t="n">
        <f aca="false">SUM(Q4824,S4824,U4824,W4824,Y4824,AA4824,AC4824,AE4824,AG4824,AI4824,AK4824,AM4824,AO4824,AQ4824,AS4824,AU4824,AW4824,AY4824)</f>
        <v>8270</v>
      </c>
      <c r="BC4824" s="28" t="n">
        <f aca="false">BA4824-BB4824</f>
        <v>0</v>
      </c>
      <c r="BD4824" s="32" t="n">
        <f aca="false">SUM(P4824,R4824,T4824,V4824,X4824,Z4824,AB4824,AD4824,AF4824,AH4824,AJ4824,AL4824,AN4824,AP4824,AR4824,AT4824,AV4824,AX4824)</f>
        <v>827</v>
      </c>
      <c r="BE4824" s="33" t="n">
        <f aca="false">AZ4824-BD4824</f>
        <v>0</v>
      </c>
      <c r="BF4824" s="34" t="n">
        <f aca="false">BD4824*M4824</f>
        <v>8270</v>
      </c>
      <c r="BG4824" s="35" t="n">
        <f aca="false">BA4824-BF4824</f>
        <v>0</v>
      </c>
      <c r="BH4824" s="19" t="str">
        <f aca="false">IF(BG4824=0,"",IF(BG4824&lt;&gt;BA4824,"erreur de calcul",IF(BD4824&lt;&gt;0,"pas de prix",IF(M4824&lt;&gt; 0,"pas de quantité","pas de prix, ni de quantité"))))</f>
        <v/>
      </c>
      <c r="BI4824" s="19"/>
    </row>
    <row r="4825" customFormat="false" ht="15" hidden="false" customHeight="false" outlineLevel="0" collapsed="false">
      <c r="A4825" s="0" t="n">
        <v>14</v>
      </c>
      <c r="B4825" s="8" t="s">
        <v>24</v>
      </c>
      <c r="C4825" s="9" t="s">
        <v>25</v>
      </c>
      <c r="D4825" s="9" t="s">
        <v>26</v>
      </c>
      <c r="E4825" s="10" t="n">
        <v>1789</v>
      </c>
      <c r="F4825" s="9" t="s">
        <v>27</v>
      </c>
      <c r="G4825" s="9" t="s">
        <v>27</v>
      </c>
      <c r="H4825" s="11" t="n">
        <v>25</v>
      </c>
      <c r="I4825" s="11" t="s">
        <v>343</v>
      </c>
      <c r="J4825" s="14" t="n">
        <v>4</v>
      </c>
      <c r="K4825" s="14"/>
      <c r="L4825" s="16"/>
      <c r="M4825" s="27" t="n">
        <f aca="false">J4825+(K4825/20)+(L4825/240)</f>
        <v>4</v>
      </c>
      <c r="N4825" s="17" t="s">
        <v>69</v>
      </c>
      <c r="O4825" s="11"/>
      <c r="P4825" s="28"/>
      <c r="Q4825" s="28" t="n">
        <f aca="false">P4825*$M4825</f>
        <v>0</v>
      </c>
      <c r="R4825" s="28"/>
      <c r="S4825" s="28" t="n">
        <f aca="false">R4825*$M4825</f>
        <v>0</v>
      </c>
      <c r="T4825" s="28"/>
      <c r="U4825" s="28" t="n">
        <f aca="false">T4825*$M4825</f>
        <v>0</v>
      </c>
      <c r="V4825" s="28" t="n">
        <v>2198</v>
      </c>
      <c r="W4825" s="28" t="n">
        <v>8792</v>
      </c>
      <c r="X4825" s="28"/>
      <c r="Y4825" s="28" t="n">
        <f aca="false">X4825*$M4825</f>
        <v>0</v>
      </c>
      <c r="Z4825" s="28"/>
      <c r="AA4825" s="28" t="n">
        <f aca="false">Z4825*$M4825</f>
        <v>0</v>
      </c>
      <c r="AB4825" s="28"/>
      <c r="AC4825" s="28" t="n">
        <f aca="false">AB4825*$M4825</f>
        <v>0</v>
      </c>
      <c r="AD4825" s="28"/>
      <c r="AE4825" s="28" t="n">
        <f aca="false">AD4825*$M4825</f>
        <v>0</v>
      </c>
      <c r="AF4825" s="28"/>
      <c r="AG4825" s="28" t="n">
        <f aca="false">AF4825*$M4825</f>
        <v>0</v>
      </c>
      <c r="AH4825" s="28"/>
      <c r="AI4825" s="28" t="n">
        <f aca="false">AH4825*$M4825</f>
        <v>0</v>
      </c>
      <c r="AJ4825" s="28"/>
      <c r="AK4825" s="28" t="n">
        <f aca="false">AJ4825*$M4825</f>
        <v>0</v>
      </c>
      <c r="AL4825" s="28"/>
      <c r="AM4825" s="28" t="n">
        <f aca="false">AL4825*$M4825</f>
        <v>0</v>
      </c>
      <c r="AN4825" s="28"/>
      <c r="AO4825" s="28" t="n">
        <f aca="false">AN4825*$M4825</f>
        <v>0</v>
      </c>
      <c r="AP4825" s="28"/>
      <c r="AQ4825" s="28" t="n">
        <f aca="false">AP4825*$M4825</f>
        <v>0</v>
      </c>
      <c r="AR4825" s="28"/>
      <c r="AS4825" s="28" t="n">
        <f aca="false">AR4825*$M4825</f>
        <v>0</v>
      </c>
      <c r="AT4825" s="28"/>
      <c r="AU4825" s="28" t="n">
        <f aca="false">AT4825*$M4825</f>
        <v>0</v>
      </c>
      <c r="AV4825" s="28"/>
      <c r="AW4825" s="28" t="n">
        <f aca="false">AV4825*$M4825</f>
        <v>0</v>
      </c>
      <c r="AX4825" s="28"/>
      <c r="AY4825" s="28" t="n">
        <f aca="false">AX4825*$M4825</f>
        <v>0</v>
      </c>
      <c r="AZ4825" s="30" t="n">
        <v>2198</v>
      </c>
      <c r="BA4825" s="11" t="n">
        <v>8792</v>
      </c>
      <c r="BB4825" s="31" t="n">
        <f aca="false">SUM(Q4825,S4825,U4825,W4825,Y4825,AA4825,AC4825,AE4825,AG4825,AI4825,AK4825,AM4825,AO4825,AQ4825,AS4825,AU4825,AW4825,AY4825)</f>
        <v>8792</v>
      </c>
      <c r="BC4825" s="28" t="n">
        <f aca="false">BA4825-BB4825</f>
        <v>0</v>
      </c>
      <c r="BD4825" s="32" t="n">
        <f aca="false">SUM(P4825,R4825,T4825,V4825,X4825,Z4825,AB4825,AD4825,AF4825,AH4825,AJ4825,AL4825,AN4825,AP4825,AR4825,AT4825,AV4825,AX4825)</f>
        <v>2198</v>
      </c>
      <c r="BE4825" s="33" t="n">
        <f aca="false">AZ4825-BD4825</f>
        <v>0</v>
      </c>
      <c r="BF4825" s="34" t="n">
        <f aca="false">BD4825*M4825</f>
        <v>8792</v>
      </c>
      <c r="BG4825" s="35" t="n">
        <f aca="false">BA4825-BF4825</f>
        <v>0</v>
      </c>
      <c r="BH4825" s="19" t="str">
        <f aca="false">IF(BG4825=0,"",IF(BG4825&lt;&gt;BA4825,"erreur de calcul",IF(BD4825&lt;&gt;0,"pas de prix",IF(M4825&lt;&gt; 0,"pas de quantité","pas de prix, ni de quantité"))))</f>
        <v/>
      </c>
      <c r="BI4825" s="19"/>
    </row>
    <row r="4826" customFormat="false" ht="15" hidden="false" customHeight="false" outlineLevel="0" collapsed="false">
      <c r="A4826" s="0" t="n">
        <v>15</v>
      </c>
      <c r="B4826" s="8" t="s">
        <v>24</v>
      </c>
      <c r="C4826" s="9" t="s">
        <v>25</v>
      </c>
      <c r="D4826" s="9" t="s">
        <v>26</v>
      </c>
      <c r="E4826" s="10" t="n">
        <v>1789</v>
      </c>
      <c r="F4826" s="9" t="s">
        <v>27</v>
      </c>
      <c r="G4826" s="9" t="s">
        <v>27</v>
      </c>
      <c r="H4826" s="11" t="n">
        <v>25</v>
      </c>
      <c r="I4826" s="11" t="s">
        <v>344</v>
      </c>
      <c r="J4826" s="14" t="n">
        <v>2000</v>
      </c>
      <c r="K4826" s="14"/>
      <c r="L4826" s="16"/>
      <c r="M4826" s="27" t="n">
        <f aca="false">J4826+(K4826/20)+(L4826/240)</f>
        <v>2000</v>
      </c>
      <c r="N4826" s="17" t="s">
        <v>64</v>
      </c>
      <c r="O4826" s="11" t="s">
        <v>277</v>
      </c>
      <c r="P4826" s="28"/>
      <c r="Q4826" s="28" t="n">
        <f aca="false">P4826*$M4826</f>
        <v>0</v>
      </c>
      <c r="R4826" s="28"/>
      <c r="S4826" s="28" t="n">
        <f aca="false">R4826*$M4826</f>
        <v>0</v>
      </c>
      <c r="T4826" s="28"/>
      <c r="U4826" s="28" t="n">
        <f aca="false">T4826*$M4826</f>
        <v>0</v>
      </c>
      <c r="V4826" s="28"/>
      <c r="W4826" s="28" t="n">
        <f aca="false">V4826*$M4826</f>
        <v>0</v>
      </c>
      <c r="X4826" s="28"/>
      <c r="Y4826" s="28" t="n">
        <f aca="false">X4826*$M4826</f>
        <v>0</v>
      </c>
      <c r="Z4826" s="28"/>
      <c r="AA4826" s="28" t="n">
        <f aca="false">Z4826*$M4826</f>
        <v>0</v>
      </c>
      <c r="AB4826" s="28"/>
      <c r="AC4826" s="28" t="n">
        <f aca="false">AB4826*$M4826</f>
        <v>0</v>
      </c>
      <c r="AD4826" s="28"/>
      <c r="AE4826" s="28" t="n">
        <f aca="false">AD4826*$M4826</f>
        <v>0</v>
      </c>
      <c r="AF4826" s="28"/>
      <c r="AG4826" s="28" t="n">
        <f aca="false">AF4826*$M4826</f>
        <v>0</v>
      </c>
      <c r="AH4826" s="28"/>
      <c r="AI4826" s="28" t="n">
        <f aca="false">AH4826*$M4826</f>
        <v>0</v>
      </c>
      <c r="AJ4826" s="28"/>
      <c r="AK4826" s="28" t="n">
        <f aca="false">AJ4826*$M4826</f>
        <v>0</v>
      </c>
      <c r="AL4826" s="28"/>
      <c r="AM4826" s="28" t="n">
        <f aca="false">AL4826*$M4826</f>
        <v>0</v>
      </c>
      <c r="AN4826" s="28"/>
      <c r="AO4826" s="28" t="n">
        <f aca="false">AN4826*$M4826</f>
        <v>0</v>
      </c>
      <c r="AP4826" s="28"/>
      <c r="AQ4826" s="28" t="n">
        <f aca="false">AP4826*$M4826</f>
        <v>0</v>
      </c>
      <c r="AR4826" s="28"/>
      <c r="AS4826" s="28" t="n">
        <f aca="false">AR4826*$M4826</f>
        <v>0</v>
      </c>
      <c r="AT4826" s="28"/>
      <c r="AU4826" s="28" t="n">
        <f aca="false">AT4826*$M4826</f>
        <v>0</v>
      </c>
      <c r="AV4826" s="28"/>
      <c r="AW4826" s="28" t="n">
        <f aca="false">AV4826*$M4826</f>
        <v>0</v>
      </c>
      <c r="AX4826" s="28"/>
      <c r="AY4826" s="28" t="n">
        <f aca="false">AX4826*$M4826</f>
        <v>0</v>
      </c>
      <c r="AZ4826" s="30"/>
      <c r="BA4826" s="11"/>
      <c r="BB4826" s="31" t="n">
        <f aca="false">SUM(Q4826,S4826,U4826,W4826,Y4826,AA4826,AC4826,AE4826,AG4826,AI4826,AK4826,AM4826,AO4826,AQ4826,AS4826,AU4826,AW4826,AY4826)</f>
        <v>0</v>
      </c>
      <c r="BC4826" s="28" t="n">
        <f aca="false">BA4826-BB4826</f>
        <v>0</v>
      </c>
      <c r="BD4826" s="32" t="n">
        <f aca="false">SUM(P4826,R4826,T4826,V4826,X4826,Z4826,AB4826,AD4826,AF4826,AH4826,AJ4826,AL4826,AN4826,AP4826,AR4826,AT4826,AV4826,AX4826)</f>
        <v>0</v>
      </c>
      <c r="BE4826" s="33" t="n">
        <f aca="false">AZ4826-BD4826</f>
        <v>0</v>
      </c>
      <c r="BF4826" s="34" t="n">
        <f aca="false">BD4826*M4826</f>
        <v>0</v>
      </c>
      <c r="BG4826" s="35" t="n">
        <f aca="false">BA4826-BF4826</f>
        <v>0</v>
      </c>
      <c r="BH4826" s="19" t="str">
        <f aca="false">IF(BG4826=0,"",IF(BG4826&lt;&gt;BA4826,"erreur de calcul",IF(BD4826&lt;&gt;0,"pas de prix",IF(M4826&lt;&gt; 0,"pas de quantité","pas de prix, ni de quantité"))))</f>
        <v/>
      </c>
      <c r="BI4826" s="19"/>
    </row>
    <row r="4827" customFormat="false" ht="15" hidden="false" customHeight="false" outlineLevel="0" collapsed="false">
      <c r="A4827" s="0" t="n">
        <v>16</v>
      </c>
      <c r="B4827" s="8" t="s">
        <v>24</v>
      </c>
      <c r="C4827" s="9" t="s">
        <v>25</v>
      </c>
      <c r="D4827" s="9" t="s">
        <v>26</v>
      </c>
      <c r="E4827" s="10" t="n">
        <v>1789</v>
      </c>
      <c r="F4827" s="9" t="s">
        <v>27</v>
      </c>
      <c r="G4827" s="9" t="s">
        <v>27</v>
      </c>
      <c r="H4827" s="11" t="n">
        <v>25</v>
      </c>
      <c r="I4827" s="11" t="s">
        <v>344</v>
      </c>
      <c r="J4827" s="14" t="n">
        <v>2000</v>
      </c>
      <c r="K4827" s="14"/>
      <c r="L4827" s="16"/>
      <c r="M4827" s="27" t="n">
        <f aca="false">J4827+(K4827/20)+(L4827/240)</f>
        <v>2000</v>
      </c>
      <c r="N4827" s="17" t="s">
        <v>64</v>
      </c>
      <c r="O4827" s="11" t="s">
        <v>98</v>
      </c>
      <c r="P4827" s="28"/>
      <c r="Q4827" s="28" t="n">
        <f aca="false">P4827*$M4827</f>
        <v>0</v>
      </c>
      <c r="R4827" s="28"/>
      <c r="S4827" s="28" t="n">
        <f aca="false">R4827*$M4827</f>
        <v>0</v>
      </c>
      <c r="T4827" s="28"/>
      <c r="U4827" s="28" t="n">
        <f aca="false">T4827*$M4827</f>
        <v>0</v>
      </c>
      <c r="V4827" s="28"/>
      <c r="W4827" s="28" t="n">
        <f aca="false">V4827*$M4827</f>
        <v>0</v>
      </c>
      <c r="X4827" s="28" t="n">
        <f aca="false">607/100</f>
        <v>6.07</v>
      </c>
      <c r="Y4827" s="28" t="n">
        <f aca="false">X4827*$M4827</f>
        <v>12140</v>
      </c>
      <c r="Z4827" s="28"/>
      <c r="AA4827" s="28" t="n">
        <f aca="false">Z4827*$M4827</f>
        <v>0</v>
      </c>
      <c r="AB4827" s="28"/>
      <c r="AC4827" s="28" t="n">
        <f aca="false">AB4827*$M4827</f>
        <v>0</v>
      </c>
      <c r="AD4827" s="28"/>
      <c r="AE4827" s="28" t="n">
        <f aca="false">AD4827*$M4827</f>
        <v>0</v>
      </c>
      <c r="AF4827" s="28"/>
      <c r="AG4827" s="28" t="n">
        <f aca="false">AF4827*$M4827</f>
        <v>0</v>
      </c>
      <c r="AH4827" s="28"/>
      <c r="AI4827" s="28" t="n">
        <f aca="false">AH4827*$M4827</f>
        <v>0</v>
      </c>
      <c r="AJ4827" s="28"/>
      <c r="AK4827" s="28" t="n">
        <f aca="false">AJ4827*$M4827</f>
        <v>0</v>
      </c>
      <c r="AL4827" s="28" t="n">
        <f aca="false">145/100</f>
        <v>1.45</v>
      </c>
      <c r="AM4827" s="28" t="n">
        <f aca="false">AL4827*$M4827</f>
        <v>2900</v>
      </c>
      <c r="AN4827" s="28" t="n">
        <f aca="false">3865/100</f>
        <v>38.65</v>
      </c>
      <c r="AO4827" s="28" t="n">
        <v>77300</v>
      </c>
      <c r="AP4827" s="28"/>
      <c r="AQ4827" s="28" t="n">
        <f aca="false">AP4827*$M4827</f>
        <v>0</v>
      </c>
      <c r="AR4827" s="28"/>
      <c r="AS4827" s="28" t="n">
        <f aca="false">AR4827*$M4827</f>
        <v>0</v>
      </c>
      <c r="AT4827" s="28"/>
      <c r="AU4827" s="28" t="n">
        <f aca="false">AT4827*$M4827</f>
        <v>0</v>
      </c>
      <c r="AV4827" s="28"/>
      <c r="AW4827" s="28" t="n">
        <f aca="false">AV4827*$M4827</f>
        <v>0</v>
      </c>
      <c r="AX4827" s="28"/>
      <c r="AY4827" s="28" t="n">
        <f aca="false">AX4827*$M4827</f>
        <v>0</v>
      </c>
      <c r="AZ4827" s="30" t="n">
        <f aca="false">4617/100</f>
        <v>46.17</v>
      </c>
      <c r="BA4827" s="11" t="n">
        <v>92340</v>
      </c>
      <c r="BB4827" s="31" t="n">
        <f aca="false">SUM(Q4827,S4827,U4827,W4827,Y4827,AA4827,AC4827,AE4827,AG4827,AI4827,AK4827,AM4827,AO4827,AQ4827,AS4827,AU4827,AW4827,AY4827)</f>
        <v>92340</v>
      </c>
      <c r="BC4827" s="28" t="n">
        <f aca="false">BA4827-BB4827</f>
        <v>0</v>
      </c>
      <c r="BD4827" s="32" t="n">
        <f aca="false">SUM(P4827,R4827,T4827,V4827,X4827,Z4827,AB4827,AD4827,AF4827,AH4827,AJ4827,AL4827,AN4827,AP4827,AR4827,AT4827,AV4827,AX4827)</f>
        <v>46.17</v>
      </c>
      <c r="BE4827" s="33" t="n">
        <f aca="false">AZ4827-BD4827</f>
        <v>0</v>
      </c>
      <c r="BF4827" s="34" t="n">
        <f aca="false">BD4827*M4827</f>
        <v>92340</v>
      </c>
      <c r="BG4827" s="35" t="n">
        <f aca="false">BA4827-BF4827</f>
        <v>0</v>
      </c>
      <c r="BH4827" s="19" t="str">
        <f aca="false">IF(BG4827=0,"",IF(BG4827&lt;&gt;BA4827,"erreur de calcul",IF(BD4827&lt;&gt;0,"pas de prix",IF(M4827&lt;&gt; 0,"pas de quantité","pas de prix, ni de quantité"))))</f>
        <v/>
      </c>
      <c r="BI4827" s="19"/>
    </row>
    <row r="4828" customFormat="false" ht="15" hidden="false" customHeight="false" outlineLevel="0" collapsed="false">
      <c r="A4828" s="0" t="n">
        <v>17</v>
      </c>
      <c r="B4828" s="8" t="s">
        <v>24</v>
      </c>
      <c r="C4828" s="9" t="s">
        <v>25</v>
      </c>
      <c r="D4828" s="9" t="s">
        <v>26</v>
      </c>
      <c r="E4828" s="10" t="n">
        <v>1789</v>
      </c>
      <c r="F4828" s="9" t="s">
        <v>27</v>
      </c>
      <c r="G4828" s="9" t="s">
        <v>27</v>
      </c>
      <c r="H4828" s="11" t="n">
        <v>25</v>
      </c>
      <c r="I4828" s="11" t="s">
        <v>345</v>
      </c>
      <c r="J4828" s="14"/>
      <c r="K4828" s="14" t="n">
        <v>12</v>
      </c>
      <c r="L4828" s="16"/>
      <c r="M4828" s="27" t="n">
        <f aca="false">J4828+(K4828/20)+(L4828/240)</f>
        <v>0.6</v>
      </c>
      <c r="N4828" s="17" t="s">
        <v>66</v>
      </c>
      <c r="O4828" s="11"/>
      <c r="P4828" s="28"/>
      <c r="Q4828" s="28" t="n">
        <f aca="false">P4828*$M4828</f>
        <v>0</v>
      </c>
      <c r="R4828" s="28"/>
      <c r="S4828" s="28" t="n">
        <f aca="false">R4828*$M4828</f>
        <v>0</v>
      </c>
      <c r="T4828" s="28"/>
      <c r="U4828" s="28" t="n">
        <f aca="false">T4828*$M4828</f>
        <v>0</v>
      </c>
      <c r="V4828" s="28"/>
      <c r="W4828" s="28" t="n">
        <f aca="false">V4828*$M4828</f>
        <v>0</v>
      </c>
      <c r="X4828" s="28"/>
      <c r="Y4828" s="28" t="n">
        <f aca="false">X4828*$M4828</f>
        <v>0</v>
      </c>
      <c r="Z4828" s="28"/>
      <c r="AA4828" s="28" t="n">
        <f aca="false">Z4828*$M4828</f>
        <v>0</v>
      </c>
      <c r="AB4828" s="28"/>
      <c r="AC4828" s="28" t="n">
        <f aca="false">AB4828*$M4828</f>
        <v>0</v>
      </c>
      <c r="AD4828" s="28"/>
      <c r="AE4828" s="28" t="n">
        <f aca="false">AD4828*$M4828</f>
        <v>0</v>
      </c>
      <c r="AF4828" s="28"/>
      <c r="AG4828" s="28" t="n">
        <f aca="false">AF4828*$M4828</f>
        <v>0</v>
      </c>
      <c r="AH4828" s="28"/>
      <c r="AI4828" s="28" t="n">
        <f aca="false">AH4828*$M4828</f>
        <v>0</v>
      </c>
      <c r="AJ4828" s="28" t="n">
        <v>41194</v>
      </c>
      <c r="AK4828" s="28" t="n">
        <v>24716</v>
      </c>
      <c r="AL4828" s="28"/>
      <c r="AM4828" s="28" t="n">
        <f aca="false">AL4828*$M4828</f>
        <v>0</v>
      </c>
      <c r="AN4828" s="28"/>
      <c r="AO4828" s="28" t="n">
        <f aca="false">AN4828*$M4828</f>
        <v>0</v>
      </c>
      <c r="AP4828" s="28"/>
      <c r="AQ4828" s="28" t="n">
        <f aca="false">AP4828*$M4828</f>
        <v>0</v>
      </c>
      <c r="AR4828" s="28"/>
      <c r="AS4828" s="28" t="n">
        <f aca="false">AR4828*$M4828</f>
        <v>0</v>
      </c>
      <c r="AT4828" s="28"/>
      <c r="AU4828" s="28" t="n">
        <f aca="false">AT4828*$M4828</f>
        <v>0</v>
      </c>
      <c r="AV4828" s="28"/>
      <c r="AW4828" s="28" t="n">
        <f aca="false">AV4828*$M4828</f>
        <v>0</v>
      </c>
      <c r="AX4828" s="28"/>
      <c r="AY4828" s="28" t="n">
        <f aca="false">AX4828*$M4828</f>
        <v>0</v>
      </c>
      <c r="AZ4828" s="30" t="n">
        <v>41194</v>
      </c>
      <c r="BA4828" s="11" t="n">
        <v>24716</v>
      </c>
      <c r="BB4828" s="31" t="n">
        <f aca="false">SUM(Q4828,S4828,U4828,W4828,Y4828,AA4828,AC4828,AE4828,AG4828,AI4828,AK4828,AM4828,AO4828,AQ4828,AS4828,AU4828,AW4828,AY4828)</f>
        <v>24716</v>
      </c>
      <c r="BC4828" s="28" t="n">
        <f aca="false">BA4828-BB4828</f>
        <v>0</v>
      </c>
      <c r="BD4828" s="32" t="n">
        <f aca="false">SUM(P4828,R4828,T4828,V4828,X4828,Z4828,AB4828,AD4828,AF4828,AH4828,AJ4828,AL4828,AN4828,AP4828,AR4828,AT4828,AV4828,AX4828)</f>
        <v>41194</v>
      </c>
      <c r="BE4828" s="33" t="n">
        <f aca="false">AZ4828-BD4828</f>
        <v>0</v>
      </c>
      <c r="BF4828" s="34" t="n">
        <f aca="false">BD4828*M4828</f>
        <v>24716.4</v>
      </c>
      <c r="BG4828" s="35" t="n">
        <f aca="false">BA4828-BF4828</f>
        <v>-0.399999999997817</v>
      </c>
      <c r="BH4828" s="19" t="str">
        <f aca="false">IF(BG4828=0,"",IF(BG4828&lt;&gt;BA4828,"erreur de calcul",IF(BD4828&lt;&gt;0,"pas de prix",IF(M4828&lt;&gt; 0,"pas de quantité","pas de prix, ni de quantité"))))</f>
        <v>erreur de calcul</v>
      </c>
      <c r="BI4828" s="19"/>
    </row>
    <row r="4829" customFormat="false" ht="15" hidden="false" customHeight="false" outlineLevel="0" collapsed="false">
      <c r="A4829" s="0" t="n">
        <v>18</v>
      </c>
      <c r="B4829" s="8" t="s">
        <v>24</v>
      </c>
      <c r="C4829" s="9" t="s">
        <v>25</v>
      </c>
      <c r="D4829" s="9" t="s">
        <v>26</v>
      </c>
      <c r="E4829" s="10" t="n">
        <v>1789</v>
      </c>
      <c r="F4829" s="9" t="s">
        <v>27</v>
      </c>
      <c r="G4829" s="9" t="s">
        <v>27</v>
      </c>
      <c r="H4829" s="11" t="n">
        <v>25</v>
      </c>
      <c r="I4829" s="11" t="s">
        <v>346</v>
      </c>
      <c r="J4829" s="14"/>
      <c r="K4829" s="14" t="n">
        <v>50</v>
      </c>
      <c r="L4829" s="16"/>
      <c r="M4829" s="27" t="n">
        <f aca="false">J4829+(K4829/20)+(L4829/240)</f>
        <v>2.5</v>
      </c>
      <c r="N4829" s="17" t="s">
        <v>85</v>
      </c>
      <c r="O4829" s="11"/>
      <c r="P4829" s="28" t="n">
        <f aca="false">371167/100</f>
        <v>3711.67</v>
      </c>
      <c r="Q4829" s="28" t="n">
        <v>9279</v>
      </c>
      <c r="R4829" s="28"/>
      <c r="S4829" s="28" t="n">
        <f aca="false">R4829*$M4829</f>
        <v>0</v>
      </c>
      <c r="T4829" s="28"/>
      <c r="U4829" s="28" t="n">
        <f aca="false">T4829*$M4829</f>
        <v>0</v>
      </c>
      <c r="V4829" s="28"/>
      <c r="W4829" s="28" t="n">
        <f aca="false">V4829*$M4829</f>
        <v>0</v>
      </c>
      <c r="X4829" s="28"/>
      <c r="Y4829" s="28" t="n">
        <f aca="false">X4829*$M4829</f>
        <v>0</v>
      </c>
      <c r="Z4829" s="28"/>
      <c r="AA4829" s="28" t="n">
        <f aca="false">Z4829*$M4829</f>
        <v>0</v>
      </c>
      <c r="AB4829" s="28"/>
      <c r="AC4829" s="28" t="n">
        <f aca="false">AB4829*$M4829</f>
        <v>0</v>
      </c>
      <c r="AD4829" s="28"/>
      <c r="AE4829" s="28" t="n">
        <f aca="false">AD4829*$M4829</f>
        <v>0</v>
      </c>
      <c r="AF4829" s="28"/>
      <c r="AG4829" s="28" t="n">
        <f aca="false">AF4829*$M4829</f>
        <v>0</v>
      </c>
      <c r="AH4829" s="28"/>
      <c r="AI4829" s="28" t="n">
        <f aca="false">AH4829*$M4829</f>
        <v>0</v>
      </c>
      <c r="AJ4829" s="28"/>
      <c r="AK4829" s="28" t="n">
        <f aca="false">AJ4829*$M4829</f>
        <v>0</v>
      </c>
      <c r="AL4829" s="28"/>
      <c r="AM4829" s="28" t="n">
        <f aca="false">AL4829*$M4829</f>
        <v>0</v>
      </c>
      <c r="AN4829" s="28"/>
      <c r="AO4829" s="28" t="n">
        <f aca="false">AN4829*$M4829</f>
        <v>0</v>
      </c>
      <c r="AP4829" s="28"/>
      <c r="AQ4829" s="28" t="n">
        <f aca="false">AP4829*$M4829</f>
        <v>0</v>
      </c>
      <c r="AR4829" s="28"/>
      <c r="AS4829" s="28" t="n">
        <f aca="false">AR4829*$M4829</f>
        <v>0</v>
      </c>
      <c r="AT4829" s="28"/>
      <c r="AU4829" s="28" t="n">
        <f aca="false">AT4829*$M4829</f>
        <v>0</v>
      </c>
      <c r="AV4829" s="28"/>
      <c r="AW4829" s="28" t="n">
        <f aca="false">AV4829*$M4829</f>
        <v>0</v>
      </c>
      <c r="AX4829" s="28"/>
      <c r="AY4829" s="28" t="n">
        <f aca="false">AX4829*$M4829</f>
        <v>0</v>
      </c>
      <c r="AZ4829" s="30" t="n">
        <f aca="false">371167/100</f>
        <v>3711.67</v>
      </c>
      <c r="BA4829" s="11" t="n">
        <v>9279</v>
      </c>
      <c r="BB4829" s="31" t="n">
        <f aca="false">SUM(Q4829,S4829,U4829,W4829,Y4829,AA4829,AC4829,AE4829,AG4829,AI4829,AK4829,AM4829,AO4829,AQ4829,AS4829,AU4829,AW4829,AY4829)</f>
        <v>9279</v>
      </c>
      <c r="BC4829" s="28" t="n">
        <f aca="false">BA4829-BB4829</f>
        <v>0</v>
      </c>
      <c r="BD4829" s="32" t="n">
        <f aca="false">SUM(P4829,R4829,T4829,V4829,X4829,Z4829,AB4829,AD4829,AF4829,AH4829,AJ4829,AL4829,AN4829,AP4829,AR4829,AT4829,AV4829,AX4829)</f>
        <v>3711.67</v>
      </c>
      <c r="BE4829" s="33" t="n">
        <f aca="false">AZ4829-BD4829</f>
        <v>0</v>
      </c>
      <c r="BF4829" s="34" t="n">
        <f aca="false">BD4829*M4829</f>
        <v>9279.175</v>
      </c>
      <c r="BG4829" s="35" t="n">
        <f aca="false">BA4829-BF4829</f>
        <v>-0.174999999999272</v>
      </c>
      <c r="BH4829" s="19" t="str">
        <f aca="false">IF(BG4829=0,"",IF(BG4829&lt;&gt;BA4829,"erreur de calcul",IF(BD4829&lt;&gt;0,"pas de prix",IF(M4829&lt;&gt; 0,"pas de quantité","pas de prix, ni de quantité"))))</f>
        <v>erreur de calcul</v>
      </c>
      <c r="BI4829" s="19"/>
    </row>
    <row r="4830" customFormat="false" ht="16.65" hidden="false" customHeight="false" outlineLevel="0" collapsed="false">
      <c r="A4830" s="0" t="n">
        <v>19</v>
      </c>
      <c r="B4830" s="8" t="s">
        <v>24</v>
      </c>
      <c r="C4830" s="9" t="s">
        <v>25</v>
      </c>
      <c r="D4830" s="9" t="s">
        <v>26</v>
      </c>
      <c r="E4830" s="10" t="n">
        <v>1789</v>
      </c>
      <c r="F4830" s="9" t="s">
        <v>27</v>
      </c>
      <c r="G4830" s="9" t="s">
        <v>27</v>
      </c>
      <c r="H4830" s="11" t="n">
        <v>25</v>
      </c>
      <c r="I4830" s="11" t="s">
        <v>347</v>
      </c>
      <c r="J4830" s="14" t="n">
        <v>60</v>
      </c>
      <c r="K4830" s="14"/>
      <c r="L4830" s="16"/>
      <c r="M4830" s="27" t="n">
        <f aca="false">J4830+(K4830/20)+(L4830/240)</f>
        <v>60</v>
      </c>
      <c r="N4830" s="17" t="s">
        <v>64</v>
      </c>
      <c r="O4830" s="11"/>
      <c r="P4830" s="28"/>
      <c r="Q4830" s="28" t="n">
        <f aca="false">P4830*$M4830</f>
        <v>0</v>
      </c>
      <c r="R4830" s="28"/>
      <c r="S4830" s="28" t="n">
        <f aca="false">R4830*$M4830</f>
        <v>0</v>
      </c>
      <c r="T4830" s="28"/>
      <c r="U4830" s="28" t="n">
        <f aca="false">T4830*$M4830</f>
        <v>0</v>
      </c>
      <c r="V4830" s="28" t="n">
        <f aca="false">4151/100</f>
        <v>41.51</v>
      </c>
      <c r="W4830" s="28" t="n">
        <v>2491</v>
      </c>
      <c r="X4830" s="28" t="n">
        <f aca="false">13344/100</f>
        <v>133.44</v>
      </c>
      <c r="Y4830" s="28" t="n">
        <v>8006</v>
      </c>
      <c r="Z4830" s="28" t="n">
        <f aca="false">3323/100</f>
        <v>33.23</v>
      </c>
      <c r="AA4830" s="28" t="n">
        <v>1994</v>
      </c>
      <c r="AB4830" s="28"/>
      <c r="AC4830" s="28" t="n">
        <f aca="false">AB4830*$M4830</f>
        <v>0</v>
      </c>
      <c r="AD4830" s="28" t="n">
        <f aca="false">15268/100</f>
        <v>152.68</v>
      </c>
      <c r="AE4830" s="28" t="n">
        <v>9161</v>
      </c>
      <c r="AF4830" s="28"/>
      <c r="AG4830" s="28" t="n">
        <f aca="false">AF4830*$M4830</f>
        <v>0</v>
      </c>
      <c r="AH4830" s="28"/>
      <c r="AI4830" s="28" t="n">
        <f aca="false">AH4830*$M4830</f>
        <v>0</v>
      </c>
      <c r="AJ4830" s="28"/>
      <c r="AK4830" s="28" t="n">
        <f aca="false">AJ4830*$M4830</f>
        <v>0</v>
      </c>
      <c r="AL4830" s="28"/>
      <c r="AM4830" s="28" t="n">
        <f aca="false">AL4830*$M4830</f>
        <v>0</v>
      </c>
      <c r="AN4830" s="28"/>
      <c r="AO4830" s="28" t="n">
        <f aca="false">AN4830*$M4830</f>
        <v>0</v>
      </c>
      <c r="AP4830" s="28"/>
      <c r="AQ4830" s="28" t="n">
        <f aca="false">AP4830*$M4830</f>
        <v>0</v>
      </c>
      <c r="AR4830" s="28"/>
      <c r="AS4830" s="28" t="n">
        <f aca="false">AR4830*$M4830</f>
        <v>0</v>
      </c>
      <c r="AT4830" s="28"/>
      <c r="AU4830" s="28" t="n">
        <f aca="false">AT4830*$M4830</f>
        <v>0</v>
      </c>
      <c r="AV4830" s="28"/>
      <c r="AW4830" s="28" t="n">
        <f aca="false">AV4830*$M4830</f>
        <v>0</v>
      </c>
      <c r="AX4830" s="28"/>
      <c r="AY4830" s="28" t="n">
        <f aca="false">AX4830*$M4830</f>
        <v>0</v>
      </c>
      <c r="AZ4830" s="30" t="n">
        <f aca="false">32763/100</f>
        <v>327.63</v>
      </c>
      <c r="BA4830" s="11" t="n">
        <v>21652</v>
      </c>
      <c r="BB4830" s="31" t="n">
        <f aca="false">SUM(Q4830,S4830,U4830,W4830,Y4830,AA4830,AC4830,AE4830,AG4830,AI4830,AK4830,AM4830,AO4830,AQ4830,AS4830,AU4830,AW4830,AY4830)</f>
        <v>21652</v>
      </c>
      <c r="BC4830" s="28" t="n">
        <f aca="false">BA4830-BB4830</f>
        <v>0</v>
      </c>
      <c r="BD4830" s="32" t="n">
        <f aca="false">SUM(P4830,R4830,T4830,V4830,X4830,Z4830,AB4830,AD4830,AF4830,AH4830,AJ4830,AL4830,AN4830,AP4830,AR4830,AT4830,AV4830,AX4830)</f>
        <v>360.86</v>
      </c>
      <c r="BE4830" s="33" t="n">
        <f aca="false">AZ4830-BD4830</f>
        <v>-33.23</v>
      </c>
      <c r="BF4830" s="34" t="n">
        <f aca="false">BD4830*M4830</f>
        <v>21651.6</v>
      </c>
      <c r="BG4830" s="35" t="n">
        <f aca="false">BA4830-BF4830</f>
        <v>0.399999999997817</v>
      </c>
      <c r="BH4830" s="19" t="str">
        <f aca="false">IF(BG4830=0,"",IF(BG4830&lt;&gt;BA4830,"erreur de calcul",IF(BD4830&lt;&gt;0,"pas de prix",IF(M4830&lt;&gt; 0,"pas de quantité","pas de prix, ni de quantité"))))</f>
        <v>erreur de calcul</v>
      </c>
      <c r="BI4830" s="19"/>
    </row>
    <row r="4831" customFormat="false" ht="15" hidden="false" customHeight="false" outlineLevel="0" collapsed="false">
      <c r="A4831" s="0" t="n">
        <v>20</v>
      </c>
      <c r="B4831" s="8" t="s">
        <v>24</v>
      </c>
      <c r="C4831" s="9" t="s">
        <v>25</v>
      </c>
      <c r="D4831" s="9" t="s">
        <v>26</v>
      </c>
      <c r="E4831" s="10" t="n">
        <v>1789</v>
      </c>
      <c r="F4831" s="9" t="s">
        <v>27</v>
      </c>
      <c r="G4831" s="9" t="s">
        <v>27</v>
      </c>
      <c r="H4831" s="11" t="n">
        <v>25</v>
      </c>
      <c r="I4831" s="11" t="s">
        <v>348</v>
      </c>
      <c r="J4831" s="14" t="n">
        <v>9</v>
      </c>
      <c r="K4831" s="14"/>
      <c r="L4831" s="16"/>
      <c r="M4831" s="27" t="n">
        <f aca="false">J4831+(K4831/20)+(L4831/240)</f>
        <v>9</v>
      </c>
      <c r="N4831" s="17" t="s">
        <v>349</v>
      </c>
      <c r="O4831" s="11"/>
      <c r="P4831" s="28"/>
      <c r="Q4831" s="28" t="n">
        <f aca="false">P4831*$M4831</f>
        <v>0</v>
      </c>
      <c r="R4831" s="28"/>
      <c r="S4831" s="28" t="n">
        <f aca="false">R4831*$M4831</f>
        <v>0</v>
      </c>
      <c r="T4831" s="28"/>
      <c r="U4831" s="28" t="n">
        <f aca="false">T4831*$M4831</f>
        <v>0</v>
      </c>
      <c r="V4831" s="28" t="n">
        <v>545</v>
      </c>
      <c r="W4831" s="28" t="n">
        <v>4905</v>
      </c>
      <c r="X4831" s="28"/>
      <c r="Y4831" s="28" t="n">
        <f aca="false">X4831*$M4831</f>
        <v>0</v>
      </c>
      <c r="Z4831" s="28"/>
      <c r="AA4831" s="28" t="n">
        <f aca="false">Z4831*$M4831</f>
        <v>0</v>
      </c>
      <c r="AB4831" s="28"/>
      <c r="AC4831" s="28" t="n">
        <f aca="false">AB4831*$M4831</f>
        <v>0</v>
      </c>
      <c r="AD4831" s="28"/>
      <c r="AE4831" s="28" t="n">
        <f aca="false">AD4831*$M4831</f>
        <v>0</v>
      </c>
      <c r="AF4831" s="28"/>
      <c r="AG4831" s="28" t="n">
        <f aca="false">AF4831*$M4831</f>
        <v>0</v>
      </c>
      <c r="AH4831" s="28"/>
      <c r="AI4831" s="28" t="n">
        <f aca="false">AH4831*$M4831</f>
        <v>0</v>
      </c>
      <c r="AJ4831" s="28" t="n">
        <v>592</v>
      </c>
      <c r="AK4831" s="28" t="n">
        <v>5328</v>
      </c>
      <c r="AL4831" s="28"/>
      <c r="AM4831" s="28" t="n">
        <f aca="false">AL4831*$M4831</f>
        <v>0</v>
      </c>
      <c r="AN4831" s="28"/>
      <c r="AO4831" s="28" t="n">
        <f aca="false">AN4831*$M4831</f>
        <v>0</v>
      </c>
      <c r="AP4831" s="28"/>
      <c r="AQ4831" s="28" t="n">
        <f aca="false">AP4831*$M4831</f>
        <v>0</v>
      </c>
      <c r="AR4831" s="28"/>
      <c r="AS4831" s="28" t="n">
        <f aca="false">AR4831*$M4831</f>
        <v>0</v>
      </c>
      <c r="AT4831" s="28"/>
      <c r="AU4831" s="28" t="n">
        <f aca="false">AT4831*$M4831</f>
        <v>0</v>
      </c>
      <c r="AV4831" s="28"/>
      <c r="AW4831" s="28" t="n">
        <f aca="false">AV4831*$M4831</f>
        <v>0</v>
      </c>
      <c r="AX4831" s="28"/>
      <c r="AY4831" s="28" t="n">
        <f aca="false">AX4831*$M4831</f>
        <v>0</v>
      </c>
      <c r="AZ4831" s="30" t="n">
        <v>1137</v>
      </c>
      <c r="BA4831" s="11" t="n">
        <v>10233</v>
      </c>
      <c r="BB4831" s="31" t="n">
        <f aca="false">SUM(Q4831,S4831,U4831,W4831,Y4831,AA4831,AC4831,AE4831,AG4831,AI4831,AK4831,AM4831,AO4831,AQ4831,AS4831,AU4831,AW4831,AY4831)</f>
        <v>10233</v>
      </c>
      <c r="BC4831" s="28" t="n">
        <f aca="false">BA4831-BB4831</f>
        <v>0</v>
      </c>
      <c r="BD4831" s="32" t="n">
        <f aca="false">SUM(P4831,R4831,T4831,V4831,X4831,Z4831,AB4831,AD4831,AF4831,AH4831,AJ4831,AL4831,AN4831,AP4831,AR4831,AT4831,AV4831,AX4831)</f>
        <v>1137</v>
      </c>
      <c r="BE4831" s="33" t="n">
        <f aca="false">AZ4831-BD4831</f>
        <v>0</v>
      </c>
      <c r="BF4831" s="34" t="n">
        <f aca="false">BD4831*M4831</f>
        <v>10233</v>
      </c>
      <c r="BG4831" s="35" t="n">
        <f aca="false">BA4831-BF4831</f>
        <v>0</v>
      </c>
      <c r="BH4831" s="19" t="str">
        <f aca="false">IF(BG4831=0,"",IF(BG4831&lt;&gt;BA4831,"erreur de calcul",IF(BD4831&lt;&gt;0,"pas de prix",IF(M4831&lt;&gt; 0,"pas de quantité","pas de prix, ni de quantité"))))</f>
        <v/>
      </c>
      <c r="BI4831" s="19"/>
    </row>
    <row r="4832" customFormat="false" ht="15" hidden="false" customHeight="false" outlineLevel="0" collapsed="false">
      <c r="A4832" s="0" t="n">
        <v>21</v>
      </c>
      <c r="B4832" s="8" t="s">
        <v>24</v>
      </c>
      <c r="C4832" s="9" t="s">
        <v>25</v>
      </c>
      <c r="D4832" s="9" t="s">
        <v>26</v>
      </c>
      <c r="E4832" s="10" t="n">
        <v>1789</v>
      </c>
      <c r="F4832" s="9" t="s">
        <v>27</v>
      </c>
      <c r="G4832" s="9" t="s">
        <v>27</v>
      </c>
      <c r="H4832" s="11" t="n">
        <v>25</v>
      </c>
      <c r="I4832" s="11" t="s">
        <v>350</v>
      </c>
      <c r="J4832" s="14"/>
      <c r="K4832" s="14" t="n">
        <v>40</v>
      </c>
      <c r="L4832" s="16"/>
      <c r="M4832" s="27" t="n">
        <f aca="false">J4832+(K4832/20)+(L4832/240)</f>
        <v>2</v>
      </c>
      <c r="N4832" s="17" t="s">
        <v>349</v>
      </c>
      <c r="O4832" s="11"/>
      <c r="P4832" s="28"/>
      <c r="Q4832" s="28" t="n">
        <f aca="false">P4832*$M4832</f>
        <v>0</v>
      </c>
      <c r="R4832" s="28"/>
      <c r="S4832" s="28" t="n">
        <f aca="false">R4832*$M4832</f>
        <v>0</v>
      </c>
      <c r="T4832" s="28"/>
      <c r="U4832" s="28" t="n">
        <f aca="false">T4832*$M4832</f>
        <v>0</v>
      </c>
      <c r="V4832" s="28" t="n">
        <v>2688</v>
      </c>
      <c r="W4832" s="28" t="n">
        <v>5376</v>
      </c>
      <c r="X4832" s="28" t="n">
        <v>775</v>
      </c>
      <c r="Y4832" s="28" t="n">
        <v>1550</v>
      </c>
      <c r="Z4832" s="28"/>
      <c r="AA4832" s="28" t="n">
        <f aca="false">Z4832*$M4832</f>
        <v>0</v>
      </c>
      <c r="AB4832" s="28"/>
      <c r="AC4832" s="28" t="n">
        <f aca="false">AB4832*$M4832</f>
        <v>0</v>
      </c>
      <c r="AD4832" s="28"/>
      <c r="AE4832" s="28" t="n">
        <f aca="false">AD4832*$M4832</f>
        <v>0</v>
      </c>
      <c r="AF4832" s="28"/>
      <c r="AG4832" s="28" t="n">
        <f aca="false">AF4832*$M4832</f>
        <v>0</v>
      </c>
      <c r="AH4832" s="28"/>
      <c r="AI4832" s="28" t="n">
        <f aca="false">AH4832*$M4832</f>
        <v>0</v>
      </c>
      <c r="AJ4832" s="28"/>
      <c r="AK4832" s="28" t="n">
        <f aca="false">AJ4832*$M4832</f>
        <v>0</v>
      </c>
      <c r="AL4832" s="28"/>
      <c r="AM4832" s="28" t="n">
        <f aca="false">AL4832*$M4832</f>
        <v>0</v>
      </c>
      <c r="AN4832" s="28"/>
      <c r="AO4832" s="28" t="n">
        <f aca="false">AN4832*$M4832</f>
        <v>0</v>
      </c>
      <c r="AP4832" s="28"/>
      <c r="AQ4832" s="28" t="n">
        <f aca="false">AP4832*$M4832</f>
        <v>0</v>
      </c>
      <c r="AR4832" s="28"/>
      <c r="AS4832" s="28" t="n">
        <f aca="false">AR4832*$M4832</f>
        <v>0</v>
      </c>
      <c r="AT4832" s="28"/>
      <c r="AU4832" s="28" t="n">
        <f aca="false">AT4832*$M4832</f>
        <v>0</v>
      </c>
      <c r="AV4832" s="28"/>
      <c r="AW4832" s="28" t="n">
        <f aca="false">AV4832*$M4832</f>
        <v>0</v>
      </c>
      <c r="AX4832" s="28"/>
      <c r="AY4832" s="28" t="n">
        <f aca="false">AX4832*$M4832</f>
        <v>0</v>
      </c>
      <c r="AZ4832" s="30" t="n">
        <v>3463</v>
      </c>
      <c r="BA4832" s="11" t="n">
        <v>6926</v>
      </c>
      <c r="BB4832" s="31" t="n">
        <f aca="false">SUM(Q4832,S4832,U4832,W4832,Y4832,AA4832,AC4832,AE4832,AG4832,AI4832,AK4832,AM4832,AO4832,AQ4832,AS4832,AU4832,AW4832,AY4832)</f>
        <v>6926</v>
      </c>
      <c r="BC4832" s="28" t="n">
        <f aca="false">BA4832-BB4832</f>
        <v>0</v>
      </c>
      <c r="BD4832" s="32" t="n">
        <f aca="false">SUM(P4832,R4832,T4832,V4832,X4832,Z4832,AB4832,AD4832,AF4832,AH4832,AJ4832,AL4832,AN4832,AP4832,AR4832,AT4832,AV4832,AX4832)</f>
        <v>3463</v>
      </c>
      <c r="BE4832" s="33" t="n">
        <f aca="false">AZ4832-BD4832</f>
        <v>0</v>
      </c>
      <c r="BF4832" s="34" t="n">
        <f aca="false">BD4832*M4832</f>
        <v>6926</v>
      </c>
      <c r="BG4832" s="35" t="n">
        <f aca="false">BA4832-BF4832</f>
        <v>0</v>
      </c>
      <c r="BH4832" s="19" t="str">
        <f aca="false">IF(BG4832=0,"",IF(BG4832&lt;&gt;BA4832,"erreur de calcul",IF(BD4832&lt;&gt;0,"pas de prix",IF(M4832&lt;&gt; 0,"pas de quantité","pas de prix, ni de quantité"))))</f>
        <v/>
      </c>
      <c r="BI4832" s="19"/>
    </row>
    <row r="4833" customFormat="false" ht="15" hidden="false" customHeight="false" outlineLevel="0" collapsed="false">
      <c r="A4833" s="0" t="n">
        <v>22</v>
      </c>
      <c r="B4833" s="8" t="s">
        <v>24</v>
      </c>
      <c r="C4833" s="9" t="s">
        <v>25</v>
      </c>
      <c r="D4833" s="9" t="s">
        <v>26</v>
      </c>
      <c r="E4833" s="10" t="n">
        <v>1789</v>
      </c>
      <c r="F4833" s="9" t="s">
        <v>27</v>
      </c>
      <c r="G4833" s="9" t="s">
        <v>27</v>
      </c>
      <c r="H4833" s="11" t="n">
        <v>25</v>
      </c>
      <c r="I4833" s="11" t="s">
        <v>351</v>
      </c>
      <c r="J4833" s="14" t="n">
        <v>60</v>
      </c>
      <c r="K4833" s="14"/>
      <c r="L4833" s="16"/>
      <c r="M4833" s="27" t="n">
        <f aca="false">J4833+(K4833/20)+(L4833/240)</f>
        <v>60</v>
      </c>
      <c r="N4833" s="17" t="s">
        <v>69</v>
      </c>
      <c r="O4833" s="11"/>
      <c r="P4833" s="28"/>
      <c r="Q4833" s="28" t="n">
        <f aca="false">P4833*$M4833</f>
        <v>0</v>
      </c>
      <c r="R4833" s="28"/>
      <c r="S4833" s="28" t="n">
        <f aca="false">R4833*$M4833</f>
        <v>0</v>
      </c>
      <c r="T4833" s="28" t="n">
        <v>20</v>
      </c>
      <c r="U4833" s="28" t="n">
        <v>1200</v>
      </c>
      <c r="V4833" s="28" t="n">
        <v>82</v>
      </c>
      <c r="W4833" s="28" t="n">
        <v>4920</v>
      </c>
      <c r="X4833" s="28"/>
      <c r="Y4833" s="28" t="n">
        <f aca="false">X4833*$M4833</f>
        <v>0</v>
      </c>
      <c r="Z4833" s="28"/>
      <c r="AA4833" s="28" t="n">
        <f aca="false">Z4833*$M4833</f>
        <v>0</v>
      </c>
      <c r="AB4833" s="28"/>
      <c r="AC4833" s="28" t="n">
        <f aca="false">AB4833*$M4833</f>
        <v>0</v>
      </c>
      <c r="AD4833" s="28"/>
      <c r="AE4833" s="28" t="n">
        <f aca="false">AD4833*$M4833</f>
        <v>0</v>
      </c>
      <c r="AF4833" s="28"/>
      <c r="AG4833" s="28" t="n">
        <f aca="false">AF4833*$M4833</f>
        <v>0</v>
      </c>
      <c r="AH4833" s="28"/>
      <c r="AI4833" s="28" t="n">
        <f aca="false">AH4833*$M4833</f>
        <v>0</v>
      </c>
      <c r="AJ4833" s="28"/>
      <c r="AK4833" s="28" t="n">
        <f aca="false">AJ4833*$M4833</f>
        <v>0</v>
      </c>
      <c r="AL4833" s="28"/>
      <c r="AM4833" s="28" t="n">
        <f aca="false">AL4833*$M4833</f>
        <v>0</v>
      </c>
      <c r="AN4833" s="28"/>
      <c r="AO4833" s="28" t="n">
        <f aca="false">AN4833*$M4833</f>
        <v>0</v>
      </c>
      <c r="AP4833" s="28"/>
      <c r="AQ4833" s="28" t="n">
        <f aca="false">AP4833*$M4833</f>
        <v>0</v>
      </c>
      <c r="AR4833" s="28"/>
      <c r="AS4833" s="28" t="n">
        <f aca="false">AR4833*$M4833</f>
        <v>0</v>
      </c>
      <c r="AT4833" s="28"/>
      <c r="AU4833" s="28" t="n">
        <f aca="false">AT4833*$M4833</f>
        <v>0</v>
      </c>
      <c r="AV4833" s="28"/>
      <c r="AW4833" s="28" t="n">
        <f aca="false">AV4833*$M4833</f>
        <v>0</v>
      </c>
      <c r="AX4833" s="28"/>
      <c r="AY4833" s="28" t="n">
        <f aca="false">AX4833*$M4833</f>
        <v>0</v>
      </c>
      <c r="AZ4833" s="30" t="n">
        <v>102</v>
      </c>
      <c r="BA4833" s="11" t="n">
        <v>6120</v>
      </c>
      <c r="BB4833" s="31" t="n">
        <f aca="false">SUM(Q4833,S4833,U4833,W4833,Y4833,AA4833,AC4833,AE4833,AG4833,AI4833,AK4833,AM4833,AO4833,AQ4833,AS4833,AU4833,AW4833,AY4833)</f>
        <v>6120</v>
      </c>
      <c r="BC4833" s="28" t="n">
        <f aca="false">BA4833-BB4833</f>
        <v>0</v>
      </c>
      <c r="BD4833" s="32" t="n">
        <f aca="false">SUM(P4833,R4833,T4833,V4833,X4833,Z4833,AB4833,AD4833,AF4833,AH4833,AJ4833,AL4833,AN4833,AP4833,AR4833,AT4833,AV4833,AX4833)</f>
        <v>102</v>
      </c>
      <c r="BE4833" s="33" t="n">
        <f aca="false">AZ4833-BD4833</f>
        <v>0</v>
      </c>
      <c r="BF4833" s="34" t="n">
        <f aca="false">BD4833*M4833</f>
        <v>6120</v>
      </c>
      <c r="BG4833" s="35" t="n">
        <f aca="false">BA4833-BF4833</f>
        <v>0</v>
      </c>
      <c r="BH4833" s="19" t="str">
        <f aca="false">IF(BG4833=0,"",IF(BG4833&lt;&gt;BA4833,"erreur de calcul",IF(BD4833&lt;&gt;0,"pas de prix",IF(M4833&lt;&gt; 0,"pas de quantité","pas de prix, ni de quantité"))))</f>
        <v/>
      </c>
      <c r="BI4833" s="19"/>
    </row>
    <row r="4834" customFormat="false" ht="15" hidden="false" customHeight="false" outlineLevel="0" collapsed="false">
      <c r="A4834" s="0" t="n">
        <v>23</v>
      </c>
      <c r="B4834" s="8" t="s">
        <v>24</v>
      </c>
      <c r="C4834" s="9" t="s">
        <v>25</v>
      </c>
      <c r="D4834" s="9" t="s">
        <v>26</v>
      </c>
      <c r="E4834" s="10" t="n">
        <v>1789</v>
      </c>
      <c r="F4834" s="9" t="s">
        <v>27</v>
      </c>
      <c r="G4834" s="9" t="s">
        <v>27</v>
      </c>
      <c r="H4834" s="11" t="n">
        <v>25</v>
      </c>
      <c r="I4834" s="11" t="s">
        <v>352</v>
      </c>
      <c r="J4834" s="14" t="n">
        <v>150</v>
      </c>
      <c r="K4834" s="14"/>
      <c r="L4834" s="16"/>
      <c r="M4834" s="27" t="n">
        <f aca="false">J4834+(K4834/20)+(L4834/240)</f>
        <v>150</v>
      </c>
      <c r="N4834" s="17" t="s">
        <v>64</v>
      </c>
      <c r="O4834" s="11"/>
      <c r="P4834" s="28" t="n">
        <f aca="false">274/100</f>
        <v>2.74</v>
      </c>
      <c r="Q4834" s="28" t="n">
        <v>411</v>
      </c>
      <c r="R4834" s="28"/>
      <c r="S4834" s="28" t="n">
        <f aca="false">R4834*$M4834</f>
        <v>0</v>
      </c>
      <c r="T4834" s="28" t="n">
        <f aca="false">3042/100</f>
        <v>30.42</v>
      </c>
      <c r="U4834" s="28" t="n">
        <v>4563</v>
      </c>
      <c r="V4834" s="28"/>
      <c r="W4834" s="28" t="n">
        <f aca="false">V4834*$M4834</f>
        <v>0</v>
      </c>
      <c r="X4834" s="28"/>
      <c r="Y4834" s="28" t="n">
        <f aca="false">X4834*$M4834</f>
        <v>0</v>
      </c>
      <c r="Z4834" s="28"/>
      <c r="AA4834" s="28" t="n">
        <f aca="false">Z4834*$M4834</f>
        <v>0</v>
      </c>
      <c r="AB4834" s="28" t="n">
        <f aca="false">92/100</f>
        <v>0.92</v>
      </c>
      <c r="AC4834" s="28" t="n">
        <v>138</v>
      </c>
      <c r="AD4834" s="28"/>
      <c r="AE4834" s="28" t="n">
        <f aca="false">AD4834*$M4834</f>
        <v>0</v>
      </c>
      <c r="AF4834" s="28"/>
      <c r="AG4834" s="28" t="n">
        <f aca="false">AF4834*$M4834</f>
        <v>0</v>
      </c>
      <c r="AH4834" s="28"/>
      <c r="AI4834" s="28" t="n">
        <f aca="false">AH4834*$M4834</f>
        <v>0</v>
      </c>
      <c r="AJ4834" s="28"/>
      <c r="AK4834" s="28" t="n">
        <f aca="false">AJ4834*$M4834</f>
        <v>0</v>
      </c>
      <c r="AL4834" s="28"/>
      <c r="AM4834" s="28" t="n">
        <f aca="false">AL4834*$M4834</f>
        <v>0</v>
      </c>
      <c r="AN4834" s="28"/>
      <c r="AO4834" s="28" t="n">
        <f aca="false">AN4834*$M4834</f>
        <v>0</v>
      </c>
      <c r="AP4834" s="28"/>
      <c r="AQ4834" s="28" t="n">
        <f aca="false">AP4834*$M4834</f>
        <v>0</v>
      </c>
      <c r="AR4834" s="28"/>
      <c r="AS4834" s="28" t="n">
        <f aca="false">AR4834*$M4834</f>
        <v>0</v>
      </c>
      <c r="AT4834" s="28"/>
      <c r="AU4834" s="28" t="n">
        <f aca="false">AT4834*$M4834</f>
        <v>0</v>
      </c>
      <c r="AV4834" s="28"/>
      <c r="AW4834" s="28" t="n">
        <f aca="false">AV4834*$M4834</f>
        <v>0</v>
      </c>
      <c r="AX4834" s="28"/>
      <c r="AY4834" s="28" t="n">
        <f aca="false">AX4834*$M4834</f>
        <v>0</v>
      </c>
      <c r="AZ4834" s="30" t="n">
        <f aca="false">3408/100</f>
        <v>34.08</v>
      </c>
      <c r="BA4834" s="11" t="n">
        <v>5112</v>
      </c>
      <c r="BB4834" s="31" t="n">
        <f aca="false">SUM(Q4834,S4834,U4834,W4834,Y4834,AA4834,AC4834,AE4834,AG4834,AI4834,AK4834,AM4834,AO4834,AQ4834,AS4834,AU4834,AW4834,AY4834)</f>
        <v>5112</v>
      </c>
      <c r="BC4834" s="28" t="n">
        <f aca="false">BA4834-BB4834</f>
        <v>0</v>
      </c>
      <c r="BD4834" s="32" t="n">
        <f aca="false">SUM(P4834,R4834,T4834,V4834,X4834,Z4834,AB4834,AD4834,AF4834,AH4834,AJ4834,AL4834,AN4834,AP4834,AR4834,AT4834,AV4834,AX4834)</f>
        <v>34.08</v>
      </c>
      <c r="BE4834" s="33" t="n">
        <f aca="false">AZ4834-BD4834</f>
        <v>0</v>
      </c>
      <c r="BF4834" s="34" t="n">
        <f aca="false">BD4834*M4834</f>
        <v>5112</v>
      </c>
      <c r="BG4834" s="35" t="n">
        <f aca="false">BA4834-BF4834</f>
        <v>0</v>
      </c>
      <c r="BH4834" s="19" t="str">
        <f aca="false">IF(BG4834=0,"",IF(BG4834&lt;&gt;BA4834,"erreur de calcul",IF(BD4834&lt;&gt;0,"pas de prix",IF(M4834&lt;&gt; 0,"pas de quantité","pas de prix, ni de quantité"))))</f>
        <v/>
      </c>
      <c r="BI4834" s="19"/>
    </row>
    <row r="4835" customFormat="false" ht="15" hidden="false" customHeight="false" outlineLevel="0" collapsed="false">
      <c r="A4835" s="0" t="n">
        <v>24</v>
      </c>
      <c r="B4835" s="8" t="s">
        <v>24</v>
      </c>
      <c r="C4835" s="9" t="s">
        <v>25</v>
      </c>
      <c r="D4835" s="9" t="s">
        <v>26</v>
      </c>
      <c r="E4835" s="10" t="n">
        <v>1789</v>
      </c>
      <c r="F4835" s="9" t="s">
        <v>27</v>
      </c>
      <c r="G4835" s="9" t="s">
        <v>27</v>
      </c>
      <c r="H4835" s="11" t="n">
        <v>25</v>
      </c>
      <c r="I4835" s="11" t="s">
        <v>353</v>
      </c>
      <c r="J4835" s="14" t="n">
        <v>40</v>
      </c>
      <c r="K4835" s="14"/>
      <c r="L4835" s="16"/>
      <c r="M4835" s="27" t="n">
        <f aca="false">J4835+(K4835/20)+(L4835/240)</f>
        <v>40</v>
      </c>
      <c r="N4835" s="17" t="s">
        <v>64</v>
      </c>
      <c r="O4835" s="11"/>
      <c r="P4835" s="28"/>
      <c r="Q4835" s="28" t="n">
        <f aca="false">P4835*$M4835</f>
        <v>0</v>
      </c>
      <c r="R4835" s="28"/>
      <c r="S4835" s="28" t="n">
        <f aca="false">R4835*$M4835</f>
        <v>0</v>
      </c>
      <c r="T4835" s="28"/>
      <c r="U4835" s="28" t="n">
        <f aca="false">T4835*$M4835</f>
        <v>0</v>
      </c>
      <c r="V4835" s="28" t="n">
        <f aca="false">4960/100</f>
        <v>49.6</v>
      </c>
      <c r="W4835" s="28" t="n">
        <v>1984</v>
      </c>
      <c r="X4835" s="28" t="n">
        <f aca="false">394/100</f>
        <v>3.94</v>
      </c>
      <c r="Y4835" s="28" t="n">
        <v>158</v>
      </c>
      <c r="Z4835" s="28"/>
      <c r="AA4835" s="28" t="n">
        <f aca="false">Z4835*$M4835</f>
        <v>0</v>
      </c>
      <c r="AB4835" s="28"/>
      <c r="AC4835" s="28" t="n">
        <f aca="false">AB4835*$M4835</f>
        <v>0</v>
      </c>
      <c r="AD4835" s="28"/>
      <c r="AE4835" s="28" t="n">
        <f aca="false">AD4835*$M4835</f>
        <v>0</v>
      </c>
      <c r="AF4835" s="28"/>
      <c r="AG4835" s="28" t="n">
        <f aca="false">AF4835*$M4835</f>
        <v>0</v>
      </c>
      <c r="AH4835" s="28"/>
      <c r="AI4835" s="28" t="n">
        <f aca="false">AH4835*$M4835</f>
        <v>0</v>
      </c>
      <c r="AJ4835" s="28"/>
      <c r="AK4835" s="28" t="n">
        <f aca="false">AJ4835*$M4835</f>
        <v>0</v>
      </c>
      <c r="AL4835" s="28"/>
      <c r="AM4835" s="28" t="n">
        <f aca="false">AL4835*$M4835</f>
        <v>0</v>
      </c>
      <c r="AN4835" s="28"/>
      <c r="AO4835" s="28" t="n">
        <f aca="false">AN4835*$M4835</f>
        <v>0</v>
      </c>
      <c r="AP4835" s="28"/>
      <c r="AQ4835" s="28" t="n">
        <f aca="false">AP4835*$M4835</f>
        <v>0</v>
      </c>
      <c r="AR4835" s="28"/>
      <c r="AS4835" s="28" t="n">
        <f aca="false">AR4835*$M4835</f>
        <v>0</v>
      </c>
      <c r="AT4835" s="28"/>
      <c r="AU4835" s="28" t="n">
        <f aca="false">AT4835*$M4835</f>
        <v>0</v>
      </c>
      <c r="AV4835" s="28"/>
      <c r="AW4835" s="28" t="n">
        <f aca="false">AV4835*$M4835</f>
        <v>0</v>
      </c>
      <c r="AX4835" s="28"/>
      <c r="AY4835" s="28" t="n">
        <f aca="false">AX4835*$M4835</f>
        <v>0</v>
      </c>
      <c r="AZ4835" s="30" t="n">
        <f aca="false">5354/100</f>
        <v>53.54</v>
      </c>
      <c r="BA4835" s="11" t="n">
        <v>2142</v>
      </c>
      <c r="BB4835" s="31" t="n">
        <f aca="false">SUM(Q4835,S4835,U4835,W4835,Y4835,AA4835,AC4835,AE4835,AG4835,AI4835,AK4835,AM4835,AO4835,AQ4835,AS4835,AU4835,AW4835,AY4835)</f>
        <v>2142</v>
      </c>
      <c r="BC4835" s="28" t="n">
        <f aca="false">BA4835-BB4835</f>
        <v>0</v>
      </c>
      <c r="BD4835" s="32" t="n">
        <f aca="false">SUM(P4835,R4835,T4835,V4835,X4835,Z4835,AB4835,AD4835,AF4835,AH4835,AJ4835,AL4835,AN4835,AP4835,AR4835,AT4835,AV4835,AX4835)</f>
        <v>53.54</v>
      </c>
      <c r="BE4835" s="33" t="n">
        <f aca="false">AZ4835-BD4835</f>
        <v>0</v>
      </c>
      <c r="BF4835" s="34" t="n">
        <f aca="false">BD4835*M4835</f>
        <v>2141.6</v>
      </c>
      <c r="BG4835" s="35" t="n">
        <f aca="false">BA4835-BF4835</f>
        <v>0.400000000000091</v>
      </c>
      <c r="BH4835" s="19" t="str">
        <f aca="false">IF(BG4835=0,"",IF(BG4835&lt;&gt;BA4835,"erreur de calcul",IF(BD4835&lt;&gt;0,"pas de prix",IF(M4835&lt;&gt; 0,"pas de quantité","pas de prix, ni de quantité"))))</f>
        <v>erreur de calcul</v>
      </c>
      <c r="BI4835" s="19"/>
    </row>
    <row r="4836" customFormat="false" ht="15" hidden="false" customHeight="false" outlineLevel="0" collapsed="false">
      <c r="A4836" s="0" t="n">
        <v>25</v>
      </c>
      <c r="B4836" s="8" t="s">
        <v>24</v>
      </c>
      <c r="C4836" s="9" t="s">
        <v>25</v>
      </c>
      <c r="D4836" s="9" t="s">
        <v>26</v>
      </c>
      <c r="E4836" s="10" t="n">
        <v>1789</v>
      </c>
      <c r="F4836" s="9" t="s">
        <v>27</v>
      </c>
      <c r="G4836" s="9" t="s">
        <v>27</v>
      </c>
      <c r="H4836" s="11" t="n">
        <v>25</v>
      </c>
      <c r="I4836" s="11" t="s">
        <v>354</v>
      </c>
      <c r="J4836" s="14" t="n">
        <v>200</v>
      </c>
      <c r="K4836" s="14"/>
      <c r="L4836" s="16"/>
      <c r="M4836" s="27" t="n">
        <f aca="false">J4836+(K4836/20)+(L4836/240)</f>
        <v>200</v>
      </c>
      <c r="N4836" s="17" t="s">
        <v>64</v>
      </c>
      <c r="O4836" s="11"/>
      <c r="P4836" s="28"/>
      <c r="Q4836" s="28" t="n">
        <f aca="false">P4836*$M4836</f>
        <v>0</v>
      </c>
      <c r="R4836" s="28"/>
      <c r="S4836" s="28" t="n">
        <f aca="false">R4836*$M4836</f>
        <v>0</v>
      </c>
      <c r="T4836" s="28" t="n">
        <f aca="false">4367/100</f>
        <v>43.67</v>
      </c>
      <c r="U4836" s="28" t="n">
        <v>8734</v>
      </c>
      <c r="V4836" s="28" t="n">
        <f aca="false">346/100</f>
        <v>3.46</v>
      </c>
      <c r="W4836" s="28" t="n">
        <v>692</v>
      </c>
      <c r="X4836" s="28"/>
      <c r="Y4836" s="28" t="n">
        <f aca="false">X4836*$M4836</f>
        <v>0</v>
      </c>
      <c r="Z4836" s="28"/>
      <c r="AA4836" s="28" t="n">
        <f aca="false">Z4836*$M4836</f>
        <v>0</v>
      </c>
      <c r="AB4836" s="28"/>
      <c r="AC4836" s="28" t="n">
        <f aca="false">AB4836*$M4836</f>
        <v>0</v>
      </c>
      <c r="AD4836" s="28"/>
      <c r="AE4836" s="28" t="n">
        <f aca="false">AD4836*$M4836</f>
        <v>0</v>
      </c>
      <c r="AF4836" s="28"/>
      <c r="AG4836" s="28" t="n">
        <f aca="false">AF4836*$M4836</f>
        <v>0</v>
      </c>
      <c r="AH4836" s="28"/>
      <c r="AI4836" s="28" t="n">
        <f aca="false">AH4836*$M4836</f>
        <v>0</v>
      </c>
      <c r="AJ4836" s="28"/>
      <c r="AK4836" s="28" t="n">
        <f aca="false">AJ4836*$M4836</f>
        <v>0</v>
      </c>
      <c r="AL4836" s="28"/>
      <c r="AM4836" s="28" t="n">
        <f aca="false">AL4836*$M4836</f>
        <v>0</v>
      </c>
      <c r="AN4836" s="28"/>
      <c r="AO4836" s="28" t="n">
        <f aca="false">AN4836*$M4836</f>
        <v>0</v>
      </c>
      <c r="AP4836" s="28"/>
      <c r="AQ4836" s="28" t="n">
        <f aca="false">AP4836*$M4836</f>
        <v>0</v>
      </c>
      <c r="AR4836" s="28"/>
      <c r="AS4836" s="28" t="n">
        <f aca="false">AR4836*$M4836</f>
        <v>0</v>
      </c>
      <c r="AT4836" s="28"/>
      <c r="AU4836" s="28" t="n">
        <f aca="false">AT4836*$M4836</f>
        <v>0</v>
      </c>
      <c r="AV4836" s="28"/>
      <c r="AW4836" s="28" t="n">
        <f aca="false">AV4836*$M4836</f>
        <v>0</v>
      </c>
      <c r="AX4836" s="28"/>
      <c r="AY4836" s="28" t="n">
        <f aca="false">AX4836*$M4836</f>
        <v>0</v>
      </c>
      <c r="AZ4836" s="30" t="n">
        <f aca="false">4713/100</f>
        <v>47.13</v>
      </c>
      <c r="BA4836" s="11" t="n">
        <v>9426</v>
      </c>
      <c r="BB4836" s="31" t="n">
        <f aca="false">SUM(Q4836,S4836,U4836,W4836,Y4836,AA4836,AC4836,AE4836,AG4836,AI4836,AK4836,AM4836,AO4836,AQ4836,AS4836,AU4836,AW4836,AY4836)</f>
        <v>9426</v>
      </c>
      <c r="BC4836" s="28" t="n">
        <f aca="false">BA4836-BB4836</f>
        <v>0</v>
      </c>
      <c r="BD4836" s="32" t="n">
        <f aca="false">SUM(P4836,R4836,T4836,V4836,X4836,Z4836,AB4836,AD4836,AF4836,AH4836,AJ4836,AL4836,AN4836,AP4836,AR4836,AT4836,AV4836,AX4836)</f>
        <v>47.13</v>
      </c>
      <c r="BE4836" s="33" t="n">
        <f aca="false">AZ4836-BD4836</f>
        <v>0</v>
      </c>
      <c r="BF4836" s="34" t="n">
        <f aca="false">BD4836*M4836</f>
        <v>9426</v>
      </c>
      <c r="BG4836" s="35" t="n">
        <f aca="false">BA4836-BF4836</f>
        <v>0</v>
      </c>
      <c r="BH4836" s="19" t="str">
        <f aca="false">IF(BG4836=0,"",IF(BG4836&lt;&gt;BA4836,"erreur de calcul",IF(BD4836&lt;&gt;0,"pas de prix",IF(M4836&lt;&gt; 0,"pas de quantité","pas de prix, ni de quantité"))))</f>
        <v/>
      </c>
      <c r="BI4836" s="19"/>
    </row>
    <row r="4837" customFormat="false" ht="15" hidden="false" customHeight="false" outlineLevel="0" collapsed="false">
      <c r="A4837" s="0" t="n">
        <v>26</v>
      </c>
      <c r="B4837" s="8" t="s">
        <v>24</v>
      </c>
      <c r="C4837" s="9" t="s">
        <v>25</v>
      </c>
      <c r="D4837" s="9" t="s">
        <v>26</v>
      </c>
      <c r="E4837" s="10" t="n">
        <v>1789</v>
      </c>
      <c r="F4837" s="9" t="s">
        <v>27</v>
      </c>
      <c r="G4837" s="9" t="s">
        <v>27</v>
      </c>
      <c r="H4837" s="11" t="n">
        <v>25</v>
      </c>
      <c r="I4837" s="11" t="s">
        <v>355</v>
      </c>
      <c r="J4837" s="14" t="n">
        <v>200</v>
      </c>
      <c r="K4837" s="14"/>
      <c r="L4837" s="16"/>
      <c r="M4837" s="27" t="n">
        <f aca="false">J4837+(K4837/20)+(L4837/240)</f>
        <v>200</v>
      </c>
      <c r="N4837" s="17" t="s">
        <v>64</v>
      </c>
      <c r="O4837" s="11"/>
      <c r="P4837" s="28"/>
      <c r="Q4837" s="28" t="n">
        <f aca="false">P4837*$M4837</f>
        <v>0</v>
      </c>
      <c r="R4837" s="28"/>
      <c r="S4837" s="28" t="n">
        <f aca="false">R4837*$M4837</f>
        <v>0</v>
      </c>
      <c r="T4837" s="28" t="n">
        <f aca="false">2471/100</f>
        <v>24.71</v>
      </c>
      <c r="U4837" s="28" t="n">
        <v>4942</v>
      </c>
      <c r="V4837" s="28"/>
      <c r="W4837" s="28" t="n">
        <f aca="false">V4837*$M4837</f>
        <v>0</v>
      </c>
      <c r="X4837" s="28"/>
      <c r="Y4837" s="28" t="n">
        <f aca="false">X4837*$M4837</f>
        <v>0</v>
      </c>
      <c r="Z4837" s="28"/>
      <c r="AA4837" s="28" t="n">
        <f aca="false">Z4837*$M4837</f>
        <v>0</v>
      </c>
      <c r="AB4837" s="28"/>
      <c r="AC4837" s="28" t="n">
        <f aca="false">AB4837*$M4837</f>
        <v>0</v>
      </c>
      <c r="AD4837" s="28"/>
      <c r="AE4837" s="28" t="n">
        <f aca="false">AD4837*$M4837</f>
        <v>0</v>
      </c>
      <c r="AF4837" s="28"/>
      <c r="AG4837" s="28" t="n">
        <f aca="false">AF4837*$M4837</f>
        <v>0</v>
      </c>
      <c r="AH4837" s="28"/>
      <c r="AI4837" s="28" t="n">
        <f aca="false">AH4837*$M4837</f>
        <v>0</v>
      </c>
      <c r="AJ4837" s="28"/>
      <c r="AK4837" s="28" t="n">
        <f aca="false">AJ4837*$M4837</f>
        <v>0</v>
      </c>
      <c r="AL4837" s="28"/>
      <c r="AM4837" s="28" t="n">
        <f aca="false">AL4837*$M4837</f>
        <v>0</v>
      </c>
      <c r="AN4837" s="28"/>
      <c r="AO4837" s="28" t="n">
        <f aca="false">AN4837*$M4837</f>
        <v>0</v>
      </c>
      <c r="AP4837" s="28"/>
      <c r="AQ4837" s="28" t="n">
        <f aca="false">AP4837*$M4837</f>
        <v>0</v>
      </c>
      <c r="AR4837" s="28"/>
      <c r="AS4837" s="28" t="n">
        <f aca="false">AR4837*$M4837</f>
        <v>0</v>
      </c>
      <c r="AT4837" s="28"/>
      <c r="AU4837" s="28" t="n">
        <f aca="false">AT4837*$M4837</f>
        <v>0</v>
      </c>
      <c r="AV4837" s="28"/>
      <c r="AW4837" s="28" t="n">
        <f aca="false">AV4837*$M4837</f>
        <v>0</v>
      </c>
      <c r="AX4837" s="28"/>
      <c r="AY4837" s="28" t="n">
        <f aca="false">AX4837*$M4837</f>
        <v>0</v>
      </c>
      <c r="AZ4837" s="30" t="n">
        <f aca="false">2471/100</f>
        <v>24.71</v>
      </c>
      <c r="BA4837" s="11" t="n">
        <v>4942</v>
      </c>
      <c r="BB4837" s="31" t="n">
        <f aca="false">SUM(Q4837,S4837,U4837,W4837,Y4837,AA4837,AC4837,AE4837,AG4837,AI4837,AK4837,AM4837,AO4837,AQ4837,AS4837,AU4837,AW4837,AY4837)</f>
        <v>4942</v>
      </c>
      <c r="BC4837" s="28" t="n">
        <f aca="false">BA4837-BB4837</f>
        <v>0</v>
      </c>
      <c r="BD4837" s="32" t="n">
        <f aca="false">SUM(P4837,R4837,T4837,V4837,X4837,Z4837,AB4837,AD4837,AF4837,AH4837,AJ4837,AL4837,AN4837,AP4837,AR4837,AT4837,AV4837,AX4837)</f>
        <v>24.71</v>
      </c>
      <c r="BE4837" s="33" t="n">
        <f aca="false">AZ4837-BD4837</f>
        <v>0</v>
      </c>
      <c r="BF4837" s="34" t="n">
        <f aca="false">BD4837*M4837</f>
        <v>4942</v>
      </c>
      <c r="BG4837" s="35" t="n">
        <f aca="false">BA4837-BF4837</f>
        <v>0</v>
      </c>
      <c r="BH4837" s="19" t="str">
        <f aca="false">IF(BG4837=0,"",IF(BG4837&lt;&gt;BA4837,"erreur de calcul",IF(BD4837&lt;&gt;0,"pas de prix",IF(M4837&lt;&gt; 0,"pas de quantité","pas de prix, ni de quantité"))))</f>
        <v/>
      </c>
      <c r="BI4837" s="19"/>
    </row>
    <row r="4838" customFormat="false" ht="15" hidden="false" customHeight="false" outlineLevel="0" collapsed="false">
      <c r="A4838" s="0" t="n">
        <v>27</v>
      </c>
      <c r="B4838" s="8" t="s">
        <v>24</v>
      </c>
      <c r="C4838" s="9" t="s">
        <v>25</v>
      </c>
      <c r="D4838" s="9" t="s">
        <v>26</v>
      </c>
      <c r="E4838" s="10" t="n">
        <v>1789</v>
      </c>
      <c r="F4838" s="9" t="s">
        <v>27</v>
      </c>
      <c r="G4838" s="9" t="s">
        <v>27</v>
      </c>
      <c r="H4838" s="11" t="n">
        <v>25</v>
      </c>
      <c r="I4838" s="11" t="s">
        <v>356</v>
      </c>
      <c r="J4838" s="14" t="n">
        <v>120</v>
      </c>
      <c r="K4838" s="14"/>
      <c r="L4838" s="16"/>
      <c r="M4838" s="27" t="n">
        <f aca="false">J4838+(K4838/20)+(L4838/240)</f>
        <v>120</v>
      </c>
      <c r="N4838" s="17" t="s">
        <v>64</v>
      </c>
      <c r="O4838" s="11"/>
      <c r="P4838" s="28"/>
      <c r="Q4838" s="28" t="n">
        <f aca="false">P4838*$M4838</f>
        <v>0</v>
      </c>
      <c r="R4838" s="28"/>
      <c r="S4838" s="28" t="n">
        <f aca="false">R4838*$M4838</f>
        <v>0</v>
      </c>
      <c r="T4838" s="28"/>
      <c r="U4838" s="28" t="n">
        <f aca="false">T4838*$M4838</f>
        <v>0</v>
      </c>
      <c r="V4838" s="28"/>
      <c r="W4838" s="28" t="n">
        <f aca="false">V4838*$M4838</f>
        <v>0</v>
      </c>
      <c r="X4838" s="28"/>
      <c r="Y4838" s="28" t="n">
        <f aca="false">X4838*$M4838</f>
        <v>0</v>
      </c>
      <c r="Z4838" s="28"/>
      <c r="AA4838" s="28" t="n">
        <f aca="false">Z4838*$M4838</f>
        <v>0</v>
      </c>
      <c r="AB4838" s="28"/>
      <c r="AC4838" s="28" t="n">
        <f aca="false">AB4838*$M4838</f>
        <v>0</v>
      </c>
      <c r="AD4838" s="28"/>
      <c r="AE4838" s="28" t="n">
        <f aca="false">AD4838*$M4838</f>
        <v>0</v>
      </c>
      <c r="AF4838" s="28"/>
      <c r="AG4838" s="28" t="n">
        <f aca="false">AF4838*$M4838</f>
        <v>0</v>
      </c>
      <c r="AH4838" s="28"/>
      <c r="AI4838" s="28" t="n">
        <f aca="false">AH4838*$M4838</f>
        <v>0</v>
      </c>
      <c r="AJ4838" s="28"/>
      <c r="AK4838" s="28" t="n">
        <f aca="false">AJ4838*$M4838</f>
        <v>0</v>
      </c>
      <c r="AL4838" s="28"/>
      <c r="AM4838" s="28" t="n">
        <f aca="false">AL4838*$M4838</f>
        <v>0</v>
      </c>
      <c r="AN4838" s="28" t="n">
        <f aca="false">407/100</f>
        <v>4.07</v>
      </c>
      <c r="AO4838" s="28" t="n">
        <v>488</v>
      </c>
      <c r="AP4838" s="28"/>
      <c r="AQ4838" s="28" t="n">
        <f aca="false">AP4838*$M4838</f>
        <v>0</v>
      </c>
      <c r="AR4838" s="28"/>
      <c r="AS4838" s="28" t="n">
        <f aca="false">AR4838*$M4838</f>
        <v>0</v>
      </c>
      <c r="AT4838" s="28"/>
      <c r="AU4838" s="28" t="n">
        <f aca="false">AT4838*$M4838</f>
        <v>0</v>
      </c>
      <c r="AV4838" s="28"/>
      <c r="AW4838" s="28" t="n">
        <f aca="false">AV4838*$M4838</f>
        <v>0</v>
      </c>
      <c r="AX4838" s="28"/>
      <c r="AY4838" s="28" t="n">
        <f aca="false">AX4838*$M4838</f>
        <v>0</v>
      </c>
      <c r="AZ4838" s="30" t="n">
        <f aca="false">407/100</f>
        <v>4.07</v>
      </c>
      <c r="BA4838" s="11" t="n">
        <v>488</v>
      </c>
      <c r="BB4838" s="31" t="n">
        <f aca="false">SUM(Q4838,S4838,U4838,W4838,Y4838,AA4838,AC4838,AE4838,AG4838,AI4838,AK4838,AM4838,AO4838,AQ4838,AS4838,AU4838,AW4838,AY4838)</f>
        <v>488</v>
      </c>
      <c r="BC4838" s="28" t="n">
        <f aca="false">BA4838-BB4838</f>
        <v>0</v>
      </c>
      <c r="BD4838" s="32" t="n">
        <f aca="false">SUM(P4838,R4838,T4838,V4838,X4838,Z4838,AB4838,AD4838,AF4838,AH4838,AJ4838,AL4838,AN4838,AP4838,AR4838,AT4838,AV4838,AX4838)</f>
        <v>4.07</v>
      </c>
      <c r="BE4838" s="33" t="n">
        <f aca="false">AZ4838-BD4838</f>
        <v>0</v>
      </c>
      <c r="BF4838" s="34" t="n">
        <f aca="false">BD4838*M4838</f>
        <v>488.4</v>
      </c>
      <c r="BG4838" s="35" t="n">
        <f aca="false">BA4838-BF4838</f>
        <v>-0.400000000000034</v>
      </c>
      <c r="BH4838" s="19" t="str">
        <f aca="false">IF(BG4838=0,"",IF(BG4838&lt;&gt;BA4838,"erreur de calcul",IF(BD4838&lt;&gt;0,"pas de prix",IF(M4838&lt;&gt; 0,"pas de quantité","pas de prix, ni de quantité"))))</f>
        <v>erreur de calcul</v>
      </c>
      <c r="BI4838" s="19"/>
    </row>
    <row r="4839" customFormat="false" ht="15" hidden="false" customHeight="false" outlineLevel="0" collapsed="false">
      <c r="A4839" s="0" t="n">
        <v>28</v>
      </c>
      <c r="B4839" s="8" t="s">
        <v>24</v>
      </c>
      <c r="C4839" s="9" t="s">
        <v>25</v>
      </c>
      <c r="D4839" s="9" t="s">
        <v>26</v>
      </c>
      <c r="E4839" s="10" t="n">
        <v>1789</v>
      </c>
      <c r="F4839" s="9" t="s">
        <v>27</v>
      </c>
      <c r="G4839" s="9" t="s">
        <v>27</v>
      </c>
      <c r="H4839" s="11" t="n">
        <v>25</v>
      </c>
      <c r="I4839" s="11" t="s">
        <v>357</v>
      </c>
      <c r="J4839" s="14" t="n">
        <v>30</v>
      </c>
      <c r="K4839" s="14"/>
      <c r="L4839" s="16"/>
      <c r="M4839" s="27" t="n">
        <f aca="false">J4839+(K4839/20)+(L4839/240)</f>
        <v>30</v>
      </c>
      <c r="N4839" s="17" t="s">
        <v>64</v>
      </c>
      <c r="O4839" s="11"/>
      <c r="P4839" s="28"/>
      <c r="Q4839" s="28" t="n">
        <f aca="false">P4839*$M4839</f>
        <v>0</v>
      </c>
      <c r="R4839" s="28"/>
      <c r="S4839" s="28" t="n">
        <f aca="false">R4839*$M4839</f>
        <v>0</v>
      </c>
      <c r="T4839" s="28" t="n">
        <f aca="false">8903/100</f>
        <v>89.03</v>
      </c>
      <c r="U4839" s="28" t="n">
        <v>2671</v>
      </c>
      <c r="V4839" s="28" t="n">
        <f aca="false">2591/100</f>
        <v>25.91</v>
      </c>
      <c r="W4839" s="28" t="n">
        <v>777</v>
      </c>
      <c r="X4839" s="28"/>
      <c r="Y4839" s="28" t="n">
        <f aca="false">X4839*$M4839</f>
        <v>0</v>
      </c>
      <c r="Z4839" s="28" t="n">
        <f aca="false">17041/100</f>
        <v>170.41</v>
      </c>
      <c r="AA4839" s="28" t="n">
        <v>5112</v>
      </c>
      <c r="AB4839" s="28" t="n">
        <f aca="false">42963/100</f>
        <v>429.63</v>
      </c>
      <c r="AC4839" s="28" t="n">
        <v>12889</v>
      </c>
      <c r="AD4839" s="28"/>
      <c r="AE4839" s="28" t="n">
        <f aca="false">AD4839*$M4839</f>
        <v>0</v>
      </c>
      <c r="AF4839" s="28" t="n">
        <f aca="false">138369/100</f>
        <v>1383.69</v>
      </c>
      <c r="AG4839" s="28" t="n">
        <v>41511</v>
      </c>
      <c r="AH4839" s="28"/>
      <c r="AI4839" s="28" t="n">
        <f aca="false">AH4839*$M4839</f>
        <v>0</v>
      </c>
      <c r="AJ4839" s="28"/>
      <c r="AK4839" s="28" t="n">
        <f aca="false">AJ4839*$M4839</f>
        <v>0</v>
      </c>
      <c r="AL4839" s="28"/>
      <c r="AM4839" s="28" t="n">
        <f aca="false">AL4839*$M4839</f>
        <v>0</v>
      </c>
      <c r="AN4839" s="28"/>
      <c r="AO4839" s="28" t="n">
        <f aca="false">AN4839*$M4839</f>
        <v>0</v>
      </c>
      <c r="AP4839" s="28"/>
      <c r="AQ4839" s="28" t="n">
        <f aca="false">AP4839*$M4839</f>
        <v>0</v>
      </c>
      <c r="AR4839" s="28"/>
      <c r="AS4839" s="28" t="n">
        <f aca="false">AR4839*$M4839</f>
        <v>0</v>
      </c>
      <c r="AT4839" s="28"/>
      <c r="AU4839" s="28" t="n">
        <f aca="false">AT4839*$M4839</f>
        <v>0</v>
      </c>
      <c r="AV4839" s="28"/>
      <c r="AW4839" s="28" t="n">
        <f aca="false">AV4839*$M4839</f>
        <v>0</v>
      </c>
      <c r="AX4839" s="28"/>
      <c r="AY4839" s="28" t="n">
        <f aca="false">AX4839*$M4839</f>
        <v>0</v>
      </c>
      <c r="AZ4839" s="30" t="n">
        <f aca="false">209867/100</f>
        <v>2098.67</v>
      </c>
      <c r="BA4839" s="11" t="n">
        <v>62960</v>
      </c>
      <c r="BB4839" s="31" t="n">
        <f aca="false">SUM(Q4839,S4839,U4839,W4839,Y4839,AA4839,AC4839,AE4839,AG4839,AI4839,AK4839,AM4839,AO4839,AQ4839,AS4839,AU4839,AW4839,AY4839)</f>
        <v>62960</v>
      </c>
      <c r="BC4839" s="28" t="n">
        <f aca="false">BA4839-BB4839</f>
        <v>0</v>
      </c>
      <c r="BD4839" s="32" t="n">
        <f aca="false">SUM(P4839,R4839,T4839,V4839,X4839,Z4839,AB4839,AD4839,AF4839,AH4839,AJ4839,AL4839,AN4839,AP4839,AR4839,AT4839,AV4839,AX4839)</f>
        <v>2098.67</v>
      </c>
      <c r="BE4839" s="33" t="n">
        <f aca="false">AZ4839-BD4839</f>
        <v>0</v>
      </c>
      <c r="BF4839" s="34" t="n">
        <f aca="false">BD4839*M4839</f>
        <v>62960.1</v>
      </c>
      <c r="BG4839" s="35" t="n">
        <f aca="false">BA4839-BF4839</f>
        <v>-0.100000000013097</v>
      </c>
      <c r="BH4839" s="19" t="str">
        <f aca="false">IF(BG4839=0,"",IF(BG4839&lt;&gt;BA4839,"erreur de calcul",IF(BD4839&lt;&gt;0,"pas de prix",IF(M4839&lt;&gt; 0,"pas de quantité","pas de prix, ni de quantité"))))</f>
        <v>erreur de calcul</v>
      </c>
      <c r="BI4839" s="19"/>
    </row>
    <row r="4840" customFormat="false" ht="15" hidden="false" customHeight="false" outlineLevel="0" collapsed="false">
      <c r="A4840" s="0" t="n">
        <v>29</v>
      </c>
      <c r="B4840" s="8" t="s">
        <v>24</v>
      </c>
      <c r="C4840" s="9" t="s">
        <v>25</v>
      </c>
      <c r="D4840" s="9" t="s">
        <v>26</v>
      </c>
      <c r="E4840" s="10" t="n">
        <v>1789</v>
      </c>
      <c r="F4840" s="9" t="s">
        <v>27</v>
      </c>
      <c r="G4840" s="9" t="s">
        <v>27</v>
      </c>
      <c r="H4840" s="11" t="n">
        <v>25</v>
      </c>
      <c r="I4840" s="11" t="s">
        <v>358</v>
      </c>
      <c r="J4840" s="14" t="n">
        <v>35</v>
      </c>
      <c r="K4840" s="14"/>
      <c r="L4840" s="16"/>
      <c r="M4840" s="27" t="n">
        <f aca="false">J4840+(K4840/20)+(L4840/240)</f>
        <v>35</v>
      </c>
      <c r="N4840" s="17" t="s">
        <v>64</v>
      </c>
      <c r="O4840" s="11"/>
      <c r="P4840" s="28"/>
      <c r="Q4840" s="28" t="n">
        <f aca="false">P4840*$M4840</f>
        <v>0</v>
      </c>
      <c r="R4840" s="28"/>
      <c r="S4840" s="28" t="n">
        <f aca="false">R4840*$M4840</f>
        <v>0</v>
      </c>
      <c r="T4840" s="28" t="n">
        <f aca="false">62095/100</f>
        <v>620.95</v>
      </c>
      <c r="U4840" s="28" t="n">
        <v>21733</v>
      </c>
      <c r="V4840" s="28" t="n">
        <f aca="false">257918/100</f>
        <v>2579.18</v>
      </c>
      <c r="W4840" s="28" t="n">
        <v>90271</v>
      </c>
      <c r="X4840" s="28" t="n">
        <f aca="false">10723/100</f>
        <v>107.23</v>
      </c>
      <c r="Y4840" s="28" t="n">
        <v>3753</v>
      </c>
      <c r="Z4840" s="28" t="n">
        <f aca="false">21191/100</f>
        <v>211.91</v>
      </c>
      <c r="AA4840" s="28" t="n">
        <v>7417</v>
      </c>
      <c r="AB4840" s="28" t="n">
        <f aca="false">308781/100</f>
        <v>3087.81</v>
      </c>
      <c r="AC4840" s="28" t="n">
        <v>108073</v>
      </c>
      <c r="AD4840" s="28"/>
      <c r="AE4840" s="28" t="n">
        <f aca="false">AD4840*$M4840</f>
        <v>0</v>
      </c>
      <c r="AF4840" s="28" t="n">
        <f aca="false">5225/100</f>
        <v>52.25</v>
      </c>
      <c r="AG4840" s="28" t="n">
        <v>1829</v>
      </c>
      <c r="AH4840" s="28"/>
      <c r="AI4840" s="28" t="n">
        <f aca="false">AH4840*$M4840</f>
        <v>0</v>
      </c>
      <c r="AJ4840" s="28"/>
      <c r="AK4840" s="28" t="n">
        <f aca="false">AJ4840*$M4840</f>
        <v>0</v>
      </c>
      <c r="AL4840" s="28"/>
      <c r="AM4840" s="28" t="n">
        <f aca="false">AL4840*$M4840</f>
        <v>0</v>
      </c>
      <c r="AN4840" s="28"/>
      <c r="AO4840" s="28" t="n">
        <f aca="false">AN4840*$M4840</f>
        <v>0</v>
      </c>
      <c r="AP4840" s="28"/>
      <c r="AQ4840" s="28" t="n">
        <f aca="false">AP4840*$M4840</f>
        <v>0</v>
      </c>
      <c r="AR4840" s="28"/>
      <c r="AS4840" s="28" t="n">
        <f aca="false">AR4840*$M4840</f>
        <v>0</v>
      </c>
      <c r="AT4840" s="28"/>
      <c r="AU4840" s="28" t="n">
        <f aca="false">AT4840*$M4840</f>
        <v>0</v>
      </c>
      <c r="AV4840" s="28"/>
      <c r="AW4840" s="28" t="n">
        <f aca="false">AV4840*$M4840</f>
        <v>0</v>
      </c>
      <c r="AX4840" s="28"/>
      <c r="AY4840" s="28" t="n">
        <f aca="false">AX4840*$M4840</f>
        <v>0</v>
      </c>
      <c r="AZ4840" s="30" t="n">
        <f aca="false">665933/100</f>
        <v>6659.33</v>
      </c>
      <c r="BA4840" s="11" t="n">
        <v>233076</v>
      </c>
      <c r="BB4840" s="31" t="n">
        <f aca="false">SUM(Q4840,S4840,U4840,W4840,Y4840,AA4840,AC4840,AE4840,AG4840,AI4840,AK4840,AM4840,AO4840,AQ4840,AS4840,AU4840,AW4840,AY4840)</f>
        <v>233076</v>
      </c>
      <c r="BC4840" s="28" t="n">
        <f aca="false">BA4840-BB4840</f>
        <v>0</v>
      </c>
      <c r="BD4840" s="32" t="n">
        <f aca="false">SUM(P4840,R4840,T4840,V4840,X4840,Z4840,AB4840,AD4840,AF4840,AH4840,AJ4840,AL4840,AN4840,AP4840,AR4840,AT4840,AV4840,AX4840)</f>
        <v>6659.33</v>
      </c>
      <c r="BE4840" s="33" t="n">
        <f aca="false">AZ4840-BD4840</f>
        <v>0</v>
      </c>
      <c r="BF4840" s="34" t="n">
        <f aca="false">BD4840*M4840</f>
        <v>233076.55</v>
      </c>
      <c r="BG4840" s="35" t="n">
        <f aca="false">BA4840-BF4840</f>
        <v>-0.549999999959255</v>
      </c>
      <c r="BH4840" s="19" t="str">
        <f aca="false">IF(BG4840=0,"",IF(BG4840&lt;&gt;BA4840,"erreur de calcul",IF(BD4840&lt;&gt;0,"pas de prix",IF(M4840&lt;&gt; 0,"pas de quantité","pas de prix, ni de quantité"))))</f>
        <v>erreur de calcul</v>
      </c>
      <c r="BI4840" s="19"/>
    </row>
    <row r="4841" customFormat="false" ht="15" hidden="false" customHeight="false" outlineLevel="0" collapsed="false">
      <c r="A4841" s="0" t="n">
        <v>30</v>
      </c>
      <c r="B4841" s="8" t="s">
        <v>24</v>
      </c>
      <c r="C4841" s="9" t="s">
        <v>25</v>
      </c>
      <c r="D4841" s="9" t="s">
        <v>26</v>
      </c>
      <c r="E4841" s="10" t="n">
        <v>1789</v>
      </c>
      <c r="F4841" s="9" t="s">
        <v>27</v>
      </c>
      <c r="G4841" s="9" t="s">
        <v>27</v>
      </c>
      <c r="H4841" s="11" t="n">
        <v>25</v>
      </c>
      <c r="I4841" s="11" t="s">
        <v>359</v>
      </c>
      <c r="J4841" s="14"/>
      <c r="K4841" s="14"/>
      <c r="L4841" s="16"/>
      <c r="M4841" s="27" t="n">
        <f aca="false">J4841+(K4841/20)+(L4841/240)</f>
        <v>0</v>
      </c>
      <c r="N4841" s="17"/>
      <c r="O4841" s="11" t="s">
        <v>109</v>
      </c>
      <c r="P4841" s="28"/>
      <c r="Q4841" s="28" t="n">
        <f aca="false">P4841*$M4841</f>
        <v>0</v>
      </c>
      <c r="R4841" s="28"/>
      <c r="S4841" s="28" t="n">
        <f aca="false">R4841*$M4841</f>
        <v>0</v>
      </c>
      <c r="T4841" s="28"/>
      <c r="U4841" s="28" t="n">
        <f aca="false">T4841*$M4841</f>
        <v>0</v>
      </c>
      <c r="V4841" s="28"/>
      <c r="W4841" s="28" t="n">
        <f aca="false">V4841*$M4841</f>
        <v>0</v>
      </c>
      <c r="X4841" s="28"/>
      <c r="Y4841" s="28" t="n">
        <f aca="false">X4841*$M4841</f>
        <v>0</v>
      </c>
      <c r="Z4841" s="28"/>
      <c r="AA4841" s="28" t="n">
        <f aca="false">Z4841*$M4841</f>
        <v>0</v>
      </c>
      <c r="AB4841" s="28"/>
      <c r="AC4841" s="28" t="n">
        <f aca="false">AB4841*$M4841</f>
        <v>0</v>
      </c>
      <c r="AD4841" s="28"/>
      <c r="AE4841" s="28" t="n">
        <f aca="false">AD4841*$M4841</f>
        <v>0</v>
      </c>
      <c r="AF4841" s="28"/>
      <c r="AG4841" s="28" t="n">
        <f aca="false">AF4841*$M4841</f>
        <v>0</v>
      </c>
      <c r="AH4841" s="28"/>
      <c r="AI4841" s="28" t="n">
        <f aca="false">AH4841*$M4841</f>
        <v>0</v>
      </c>
      <c r="AJ4841" s="28"/>
      <c r="AK4841" s="28" t="n">
        <f aca="false">AJ4841*$M4841</f>
        <v>0</v>
      </c>
      <c r="AL4841" s="28"/>
      <c r="AM4841" s="28" t="n">
        <f aca="false">AL4841*$M4841</f>
        <v>0</v>
      </c>
      <c r="AN4841" s="28"/>
      <c r="AO4841" s="28" t="n">
        <f aca="false">AN4841*$M4841</f>
        <v>0</v>
      </c>
      <c r="AP4841" s="28"/>
      <c r="AQ4841" s="28" t="n">
        <f aca="false">AP4841*$M4841</f>
        <v>0</v>
      </c>
      <c r="AR4841" s="28"/>
      <c r="AS4841" s="28" t="n">
        <f aca="false">AR4841*$M4841</f>
        <v>0</v>
      </c>
      <c r="AT4841" s="28"/>
      <c r="AU4841" s="28" t="n">
        <f aca="false">AT4841*$M4841</f>
        <v>0</v>
      </c>
      <c r="AV4841" s="28"/>
      <c r="AW4841" s="28" t="n">
        <f aca="false">AV4841*$M4841</f>
        <v>0</v>
      </c>
      <c r="AX4841" s="28"/>
      <c r="AY4841" s="28" t="n">
        <f aca="false">AX4841*$M4841</f>
        <v>0</v>
      </c>
      <c r="AZ4841" s="30"/>
      <c r="BA4841" s="11"/>
      <c r="BB4841" s="31" t="n">
        <f aca="false">SUM(Q4841,S4841,U4841,W4841,Y4841,AA4841,AC4841,AE4841,AG4841,AI4841,AK4841,AM4841,AO4841,AQ4841,AS4841,AU4841,AW4841,AY4841)</f>
        <v>0</v>
      </c>
      <c r="BC4841" s="28" t="n">
        <f aca="false">BA4841-BB4841</f>
        <v>0</v>
      </c>
      <c r="BD4841" s="32" t="n">
        <f aca="false">SUM(P4841,R4841,T4841,V4841,X4841,Z4841,AB4841,AD4841,AF4841,AH4841,AJ4841,AL4841,AN4841,AP4841,AR4841,AT4841,AV4841,AX4841)</f>
        <v>0</v>
      </c>
      <c r="BE4841" s="33" t="n">
        <f aca="false">AZ4841-BD4841</f>
        <v>0</v>
      </c>
      <c r="BF4841" s="34" t="n">
        <f aca="false">BD4841*M4841</f>
        <v>0</v>
      </c>
      <c r="BG4841" s="35" t="n">
        <f aca="false">BA4841-BF4841</f>
        <v>0</v>
      </c>
      <c r="BH4841" s="19" t="str">
        <f aca="false">IF(BG4841=0,"",IF(BG4841&lt;&gt;BA4841,"erreur de calcul",IF(BD4841&lt;&gt;0,"pas de prix",IF(M4841&lt;&gt; 0,"pas de quantité","pas de prix, ni de quantité"))))</f>
        <v/>
      </c>
      <c r="BI4841" s="19"/>
    </row>
    <row r="4842" customFormat="false" ht="15" hidden="false" customHeight="false" outlineLevel="0" collapsed="false">
      <c r="A4842" s="0" t="n">
        <v>31</v>
      </c>
      <c r="B4842" s="8" t="s">
        <v>24</v>
      </c>
      <c r="C4842" s="9" t="s">
        <v>25</v>
      </c>
      <c r="D4842" s="9" t="s">
        <v>26</v>
      </c>
      <c r="E4842" s="10" t="n">
        <v>1789</v>
      </c>
      <c r="F4842" s="9" t="s">
        <v>27</v>
      </c>
      <c r="G4842" s="9" t="s">
        <v>27</v>
      </c>
      <c r="H4842" s="11" t="n">
        <v>25</v>
      </c>
      <c r="I4842" s="11" t="s">
        <v>359</v>
      </c>
      <c r="J4842" s="14"/>
      <c r="K4842" s="14"/>
      <c r="L4842" s="16"/>
      <c r="M4842" s="27" t="n">
        <f aca="false">J4842+(K4842/20)+(L4842/240)</f>
        <v>0</v>
      </c>
      <c r="N4842" s="17"/>
      <c r="O4842" s="11" t="s">
        <v>277</v>
      </c>
      <c r="P4842" s="28"/>
      <c r="Q4842" s="28" t="n">
        <f aca="false">P4842*$M4842</f>
        <v>0</v>
      </c>
      <c r="R4842" s="28"/>
      <c r="S4842" s="28" t="n">
        <f aca="false">R4842*$M4842</f>
        <v>0</v>
      </c>
      <c r="T4842" s="28"/>
      <c r="U4842" s="28" t="n">
        <f aca="false">T4842*$M4842</f>
        <v>0</v>
      </c>
      <c r="V4842" s="28"/>
      <c r="W4842" s="28" t="n">
        <f aca="false">V4842*$M4842</f>
        <v>0</v>
      </c>
      <c r="X4842" s="28"/>
      <c r="Y4842" s="28" t="n">
        <v>1361</v>
      </c>
      <c r="Z4842" s="28"/>
      <c r="AA4842" s="28" t="n">
        <f aca="false">Z4842*$M4842</f>
        <v>0</v>
      </c>
      <c r="AB4842" s="28"/>
      <c r="AC4842" s="28" t="n">
        <v>1182</v>
      </c>
      <c r="AD4842" s="28"/>
      <c r="AE4842" s="28" t="n">
        <v>649</v>
      </c>
      <c r="AF4842" s="28"/>
      <c r="AG4842" s="28" t="n">
        <f aca="false">AF4842*$M4842</f>
        <v>0</v>
      </c>
      <c r="AH4842" s="28"/>
      <c r="AI4842" s="28" t="n">
        <v>862</v>
      </c>
      <c r="AJ4842" s="28"/>
      <c r="AK4842" s="28" t="n">
        <f aca="false">AJ4842*$M4842</f>
        <v>0</v>
      </c>
      <c r="AL4842" s="28"/>
      <c r="AM4842" s="28" t="n">
        <f aca="false">AL4842*$M4842</f>
        <v>0</v>
      </c>
      <c r="AN4842" s="28"/>
      <c r="AO4842" s="28" t="n">
        <f aca="false">AN4842*$M4842</f>
        <v>0</v>
      </c>
      <c r="AP4842" s="28"/>
      <c r="AQ4842" s="28" t="n">
        <f aca="false">AP4842*$M4842</f>
        <v>0</v>
      </c>
      <c r="AR4842" s="28"/>
      <c r="AS4842" s="28" t="n">
        <f aca="false">AR4842*$M4842</f>
        <v>0</v>
      </c>
      <c r="AT4842" s="28"/>
      <c r="AU4842" s="28" t="n">
        <f aca="false">AT4842*$M4842</f>
        <v>0</v>
      </c>
      <c r="AV4842" s="28"/>
      <c r="AW4842" s="28" t="n">
        <f aca="false">AV4842*$M4842</f>
        <v>0</v>
      </c>
      <c r="AX4842" s="28"/>
      <c r="AY4842" s="28" t="n">
        <f aca="false">AX4842*$M4842</f>
        <v>0</v>
      </c>
      <c r="AZ4842" s="30"/>
      <c r="BA4842" s="11" t="n">
        <v>4054</v>
      </c>
      <c r="BB4842" s="31" t="n">
        <f aca="false">SUM(Q4842,S4842,U4842,W4842,Y4842,AA4842,AC4842,AE4842,AG4842,AI4842,AK4842,AM4842,AO4842,AQ4842,AS4842,AU4842,AW4842,AY4842)</f>
        <v>4054</v>
      </c>
      <c r="BC4842" s="28" t="n">
        <f aca="false">BA4842-BB4842</f>
        <v>0</v>
      </c>
      <c r="BD4842" s="32" t="n">
        <f aca="false">SUM(P4842,R4842,T4842,V4842,X4842,Z4842,AB4842,AD4842,AF4842,AH4842,AJ4842,AL4842,AN4842,AP4842,AR4842,AT4842,AV4842,AX4842)</f>
        <v>0</v>
      </c>
      <c r="BE4842" s="33" t="n">
        <f aca="false">AZ4842-BD4842</f>
        <v>0</v>
      </c>
      <c r="BF4842" s="34" t="n">
        <f aca="false">BD4842*M4842</f>
        <v>0</v>
      </c>
      <c r="BG4842" s="35" t="n">
        <f aca="false">BA4842-BF4842</f>
        <v>4054</v>
      </c>
      <c r="BH4842" s="19" t="str">
        <f aca="false">IF(BG4842=0,"",IF(BG4842&lt;&gt;BA4842,"erreur de calcul",IF(BD4842&lt;&gt;0,"pas de prix",IF(M4842&lt;&gt; 0,"pas de quantité","pas de prix, ni de quantité"))))</f>
        <v>pas de prix, ni de quantité</v>
      </c>
      <c r="BI4842" s="19"/>
    </row>
    <row r="4843" customFormat="false" ht="15" hidden="false" customHeight="false" outlineLevel="0" collapsed="false">
      <c r="A4843" s="0" t="n">
        <v>32</v>
      </c>
      <c r="B4843" s="8" t="s">
        <v>24</v>
      </c>
      <c r="C4843" s="9" t="s">
        <v>25</v>
      </c>
      <c r="D4843" s="9" t="s">
        <v>26</v>
      </c>
      <c r="E4843" s="10" t="n">
        <v>1789</v>
      </c>
      <c r="F4843" s="9" t="s">
        <v>27</v>
      </c>
      <c r="G4843" s="9" t="s">
        <v>27</v>
      </c>
      <c r="H4843" s="11" t="n">
        <v>25</v>
      </c>
      <c r="I4843" s="11" t="s">
        <v>360</v>
      </c>
      <c r="J4843" s="14" t="n">
        <v>66</v>
      </c>
      <c r="K4843" s="14"/>
      <c r="L4843" s="16"/>
      <c r="M4843" s="27" t="n">
        <f aca="false">J4843+(K4843/20)+(L4843/240)</f>
        <v>66</v>
      </c>
      <c r="N4843" s="17" t="s">
        <v>64</v>
      </c>
      <c r="O4843" s="11"/>
      <c r="P4843" s="28"/>
      <c r="Q4843" s="28" t="n">
        <f aca="false">P4843*$M4843</f>
        <v>0</v>
      </c>
      <c r="R4843" s="28"/>
      <c r="S4843" s="28" t="n">
        <f aca="false">R4843*$M4843</f>
        <v>0</v>
      </c>
      <c r="T4843" s="28"/>
      <c r="U4843" s="28" t="n">
        <f aca="false">T4843*$M4843</f>
        <v>0</v>
      </c>
      <c r="V4843" s="28"/>
      <c r="W4843" s="28" t="n">
        <f aca="false">V4843*$M4843</f>
        <v>0</v>
      </c>
      <c r="X4843" s="28"/>
      <c r="Y4843" s="28" t="n">
        <f aca="false">X4843*$M4843</f>
        <v>0</v>
      </c>
      <c r="Z4843" s="28"/>
      <c r="AA4843" s="28" t="n">
        <f aca="false">Z4843*$M4843</f>
        <v>0</v>
      </c>
      <c r="AB4843" s="28"/>
      <c r="AC4843" s="28" t="n">
        <f aca="false">AB4843*$M4843</f>
        <v>0</v>
      </c>
      <c r="AD4843" s="28"/>
      <c r="AE4843" s="28" t="n">
        <f aca="false">AD4843*$M4843</f>
        <v>0</v>
      </c>
      <c r="AF4843" s="28"/>
      <c r="AG4843" s="28" t="n">
        <f aca="false">AF4843*$M4843</f>
        <v>0</v>
      </c>
      <c r="AH4843" s="28" t="n">
        <f aca="false">75475/100</f>
        <v>754.75</v>
      </c>
      <c r="AI4843" s="28" t="n">
        <v>49813</v>
      </c>
      <c r="AJ4843" s="28"/>
      <c r="AK4843" s="28" t="n">
        <f aca="false">AJ4843*$M4843</f>
        <v>0</v>
      </c>
      <c r="AL4843" s="28"/>
      <c r="AM4843" s="28" t="n">
        <f aca="false">AL4843*$M4843</f>
        <v>0</v>
      </c>
      <c r="AN4843" s="28"/>
      <c r="AO4843" s="28" t="n">
        <f aca="false">AN4843*$M4843</f>
        <v>0</v>
      </c>
      <c r="AP4843" s="28"/>
      <c r="AQ4843" s="28" t="n">
        <f aca="false">AP4843*$M4843</f>
        <v>0</v>
      </c>
      <c r="AR4843" s="28"/>
      <c r="AS4843" s="28" t="n">
        <f aca="false">AR4843*$M4843</f>
        <v>0</v>
      </c>
      <c r="AT4843" s="28"/>
      <c r="AU4843" s="28" t="n">
        <f aca="false">AT4843*$M4843</f>
        <v>0</v>
      </c>
      <c r="AV4843" s="28"/>
      <c r="AW4843" s="28" t="n">
        <f aca="false">AV4843*$M4843</f>
        <v>0</v>
      </c>
      <c r="AX4843" s="28"/>
      <c r="AY4843" s="28" t="n">
        <f aca="false">AX4843*$M4843</f>
        <v>0</v>
      </c>
      <c r="AZ4843" s="30" t="n">
        <f aca="false">75475/100</f>
        <v>754.75</v>
      </c>
      <c r="BA4843" s="11" t="n">
        <v>49813</v>
      </c>
      <c r="BB4843" s="31" t="n">
        <f aca="false">SUM(Q4843,S4843,U4843,W4843,Y4843,AA4843,AC4843,AE4843,AG4843,AI4843,AK4843,AM4843,AO4843,AQ4843,AS4843,AU4843,AW4843,AY4843)</f>
        <v>49813</v>
      </c>
      <c r="BC4843" s="28" t="n">
        <f aca="false">BA4843-BB4843</f>
        <v>0</v>
      </c>
      <c r="BD4843" s="32" t="n">
        <f aca="false">SUM(P4843,R4843,T4843,V4843,X4843,Z4843,AB4843,AD4843,AF4843,AH4843,AJ4843,AL4843,AN4843,AP4843,AR4843,AT4843,AV4843,AX4843)</f>
        <v>754.75</v>
      </c>
      <c r="BE4843" s="33" t="n">
        <f aca="false">AZ4843-BD4843</f>
        <v>0</v>
      </c>
      <c r="BF4843" s="34" t="n">
        <f aca="false">BD4843*M4843</f>
        <v>49813.5</v>
      </c>
      <c r="BG4843" s="35" t="n">
        <f aca="false">BA4843-BF4843</f>
        <v>-0.5</v>
      </c>
      <c r="BH4843" s="19" t="str">
        <f aca="false">IF(BG4843=0,"",IF(BG4843&lt;&gt;BA4843,"erreur de calcul",IF(BD4843&lt;&gt;0,"pas de prix",IF(M4843&lt;&gt; 0,"pas de quantité","pas de prix, ni de quantité"))))</f>
        <v>erreur de calcul</v>
      </c>
      <c r="BI4843" s="19"/>
    </row>
    <row r="4844" customFormat="false" ht="15" hidden="false" customHeight="false" outlineLevel="0" collapsed="false">
      <c r="A4844" s="0" t="n">
        <v>33</v>
      </c>
      <c r="B4844" s="8" t="s">
        <v>24</v>
      </c>
      <c r="C4844" s="9" t="s">
        <v>25</v>
      </c>
      <c r="D4844" s="9" t="s">
        <v>26</v>
      </c>
      <c r="E4844" s="10" t="n">
        <v>1789</v>
      </c>
      <c r="F4844" s="9" t="s">
        <v>27</v>
      </c>
      <c r="G4844" s="9" t="s">
        <v>27</v>
      </c>
      <c r="H4844" s="11" t="n">
        <v>25</v>
      </c>
      <c r="I4844" s="11" t="s">
        <v>361</v>
      </c>
      <c r="J4844" s="14" t="n">
        <v>175</v>
      </c>
      <c r="K4844" s="14"/>
      <c r="L4844" s="16"/>
      <c r="M4844" s="27" t="n">
        <f aca="false">J4844+(K4844/20)+(L4844/240)</f>
        <v>175</v>
      </c>
      <c r="N4844" s="17" t="s">
        <v>64</v>
      </c>
      <c r="O4844" s="11" t="s">
        <v>77</v>
      </c>
      <c r="P4844" s="28" t="n">
        <f aca="false">1514/100</f>
        <v>15.14</v>
      </c>
      <c r="Q4844" s="28" t="n">
        <v>2649</v>
      </c>
      <c r="R4844" s="28"/>
      <c r="S4844" s="28" t="n">
        <f aca="false">R4844*$M4844</f>
        <v>0</v>
      </c>
      <c r="T4844" s="28" t="n">
        <f aca="false">170926/100</f>
        <v>1709.26</v>
      </c>
      <c r="U4844" s="28" t="n">
        <v>299120</v>
      </c>
      <c r="V4844" s="28" t="n">
        <f aca="false">16985/100</f>
        <v>169.85</v>
      </c>
      <c r="W4844" s="28" t="n">
        <v>29724</v>
      </c>
      <c r="X4844" s="28" t="n">
        <f aca="false">4530/100</f>
        <v>45.3</v>
      </c>
      <c r="Y4844" s="28" t="n">
        <v>7927</v>
      </c>
      <c r="Z4844" s="28"/>
      <c r="AA4844" s="28" t="n">
        <f aca="false">Z4844*$M4844</f>
        <v>0</v>
      </c>
      <c r="AB4844" s="28" t="n">
        <f aca="false">33770/100</f>
        <v>337.7</v>
      </c>
      <c r="AC4844" s="28" t="n">
        <v>59097</v>
      </c>
      <c r="AD4844" s="28"/>
      <c r="AE4844" s="28" t="n">
        <f aca="false">AD4844*$M4844</f>
        <v>0</v>
      </c>
      <c r="AF4844" s="28" t="n">
        <f aca="false">4712/100</f>
        <v>47.12</v>
      </c>
      <c r="AG4844" s="28" t="n">
        <v>8246</v>
      </c>
      <c r="AH4844" s="28" t="n">
        <f aca="false">55822/100</f>
        <v>558.22</v>
      </c>
      <c r="AI4844" s="28" t="n">
        <v>97688</v>
      </c>
      <c r="AJ4844" s="28"/>
      <c r="AK4844" s="28" t="n">
        <f aca="false">AJ4844*$M4844</f>
        <v>0</v>
      </c>
      <c r="AL4844" s="28"/>
      <c r="AM4844" s="28" t="n">
        <f aca="false">AL4844*$M4844</f>
        <v>0</v>
      </c>
      <c r="AN4844" s="28"/>
      <c r="AO4844" s="28" t="n">
        <f aca="false">AN4844*$M4844</f>
        <v>0</v>
      </c>
      <c r="AP4844" s="28"/>
      <c r="AQ4844" s="28" t="n">
        <f aca="false">AP4844*$M4844</f>
        <v>0</v>
      </c>
      <c r="AR4844" s="28"/>
      <c r="AS4844" s="28" t="n">
        <f aca="false">AR4844*$M4844</f>
        <v>0</v>
      </c>
      <c r="AT4844" s="28"/>
      <c r="AU4844" s="28" t="n">
        <f aca="false">AT4844*$M4844</f>
        <v>0</v>
      </c>
      <c r="AV4844" s="28"/>
      <c r="AW4844" s="28" t="n">
        <f aca="false">AV4844*$M4844</f>
        <v>0</v>
      </c>
      <c r="AX4844" s="28"/>
      <c r="AY4844" s="28" t="n">
        <f aca="false">AX4844*$M4844</f>
        <v>0</v>
      </c>
      <c r="AZ4844" s="30" t="n">
        <f aca="false">288259/100</f>
        <v>2882.59</v>
      </c>
      <c r="BA4844" s="11" t="n">
        <v>504451</v>
      </c>
      <c r="BB4844" s="31" t="n">
        <f aca="false">SUM(Q4844,S4844,U4844,W4844,Y4844,AA4844,AC4844,AE4844,AG4844,AI4844,AK4844,AM4844,AO4844,AQ4844,AS4844,AU4844,AW4844,AY4844)</f>
        <v>504451</v>
      </c>
      <c r="BC4844" s="28" t="n">
        <f aca="false">BA4844-BB4844</f>
        <v>0</v>
      </c>
      <c r="BD4844" s="32" t="n">
        <f aca="false">SUM(P4844,R4844,T4844,V4844,X4844,Z4844,AB4844,AD4844,AF4844,AH4844,AJ4844,AL4844,AN4844,AP4844,AR4844,AT4844,AV4844,AX4844)</f>
        <v>2882.59</v>
      </c>
      <c r="BE4844" s="33" t="n">
        <f aca="false">AZ4844-BD4844</f>
        <v>0</v>
      </c>
      <c r="BF4844" s="34" t="n">
        <f aca="false">BD4844*M4844</f>
        <v>504453.25</v>
      </c>
      <c r="BG4844" s="35" t="n">
        <f aca="false">BA4844-BF4844</f>
        <v>-2.24999999994179</v>
      </c>
      <c r="BH4844" s="19" t="str">
        <f aca="false">IF(BG4844=0,"",IF(BG4844&lt;&gt;BA4844,"erreur de calcul",IF(BD4844&lt;&gt;0,"pas de prix",IF(M4844&lt;&gt; 0,"pas de quantité","pas de prix, ni de quantité"))))</f>
        <v>erreur de calcul</v>
      </c>
      <c r="BI4844" s="19"/>
    </row>
    <row r="4845" customFormat="false" ht="15" hidden="false" customHeight="false" outlineLevel="0" collapsed="false">
      <c r="A4845" s="0" t="n">
        <v>34</v>
      </c>
      <c r="B4845" s="8" t="s">
        <v>24</v>
      </c>
      <c r="C4845" s="9" t="s">
        <v>25</v>
      </c>
      <c r="D4845" s="9" t="s">
        <v>26</v>
      </c>
      <c r="E4845" s="10" t="n">
        <v>1789</v>
      </c>
      <c r="F4845" s="9" t="s">
        <v>27</v>
      </c>
      <c r="G4845" s="9" t="s">
        <v>27</v>
      </c>
      <c r="H4845" s="11" t="n">
        <v>25</v>
      </c>
      <c r="I4845" s="11" t="s">
        <v>362</v>
      </c>
      <c r="J4845" s="14" t="n">
        <v>150</v>
      </c>
      <c r="K4845" s="14"/>
      <c r="L4845" s="16"/>
      <c r="M4845" s="27" t="n">
        <f aca="false">J4845+(K4845/20)+(L4845/240)</f>
        <v>150</v>
      </c>
      <c r="N4845" s="17" t="s">
        <v>64</v>
      </c>
      <c r="O4845" s="11"/>
      <c r="P4845" s="28"/>
      <c r="Q4845" s="28" t="n">
        <f aca="false">P4845*$M4845</f>
        <v>0</v>
      </c>
      <c r="R4845" s="28"/>
      <c r="S4845" s="28" t="n">
        <f aca="false">R4845*$M4845</f>
        <v>0</v>
      </c>
      <c r="T4845" s="28" t="n">
        <f aca="false">1842/100</f>
        <v>18.42</v>
      </c>
      <c r="U4845" s="28" t="n">
        <v>2763</v>
      </c>
      <c r="V4845" s="28" t="n">
        <f aca="false">684/100</f>
        <v>6.84</v>
      </c>
      <c r="W4845" s="28" t="n">
        <v>1026</v>
      </c>
      <c r="X4845" s="28"/>
      <c r="Y4845" s="28" t="n">
        <f aca="false">X4845*$M4845</f>
        <v>0</v>
      </c>
      <c r="Z4845" s="28"/>
      <c r="AA4845" s="28" t="n">
        <f aca="false">Z4845*$M4845</f>
        <v>0</v>
      </c>
      <c r="AB4845" s="28"/>
      <c r="AC4845" s="28" t="n">
        <f aca="false">AB4845*$M4845</f>
        <v>0</v>
      </c>
      <c r="AD4845" s="28"/>
      <c r="AE4845" s="28" t="n">
        <f aca="false">AD4845*$M4845</f>
        <v>0</v>
      </c>
      <c r="AF4845" s="28"/>
      <c r="AG4845" s="28" t="n">
        <f aca="false">AF4845*$M4845</f>
        <v>0</v>
      </c>
      <c r="AH4845" s="28"/>
      <c r="AI4845" s="28" t="n">
        <f aca="false">AH4845*$M4845</f>
        <v>0</v>
      </c>
      <c r="AJ4845" s="28"/>
      <c r="AK4845" s="28" t="n">
        <f aca="false">AJ4845*$M4845</f>
        <v>0</v>
      </c>
      <c r="AL4845" s="28"/>
      <c r="AM4845" s="28" t="n">
        <f aca="false">AL4845*$M4845</f>
        <v>0</v>
      </c>
      <c r="AN4845" s="28"/>
      <c r="AO4845" s="28" t="n">
        <f aca="false">AN4845*$M4845</f>
        <v>0</v>
      </c>
      <c r="AP4845" s="28"/>
      <c r="AQ4845" s="28" t="n">
        <f aca="false">AP4845*$M4845</f>
        <v>0</v>
      </c>
      <c r="AR4845" s="28"/>
      <c r="AS4845" s="28" t="n">
        <f aca="false">AR4845*$M4845</f>
        <v>0</v>
      </c>
      <c r="AT4845" s="28"/>
      <c r="AU4845" s="28" t="n">
        <f aca="false">AT4845*$M4845</f>
        <v>0</v>
      </c>
      <c r="AV4845" s="28"/>
      <c r="AW4845" s="28" t="n">
        <f aca="false">AV4845*$M4845</f>
        <v>0</v>
      </c>
      <c r="AX4845" s="28"/>
      <c r="AY4845" s="28" t="n">
        <f aca="false">AX4845*$M4845</f>
        <v>0</v>
      </c>
      <c r="AZ4845" s="30" t="n">
        <f aca="false">2526/100</f>
        <v>25.26</v>
      </c>
      <c r="BA4845" s="11" t="n">
        <v>3789</v>
      </c>
      <c r="BB4845" s="31" t="n">
        <f aca="false">SUM(Q4845,S4845,U4845,W4845,Y4845,AA4845,AC4845,AE4845,AG4845,AI4845,AK4845,AM4845,AO4845,AQ4845,AS4845,AU4845,AW4845,AY4845)</f>
        <v>3789</v>
      </c>
      <c r="BC4845" s="28" t="n">
        <f aca="false">BA4845-BB4845</f>
        <v>0</v>
      </c>
      <c r="BD4845" s="32" t="n">
        <f aca="false">SUM(P4845,R4845,T4845,V4845,X4845,Z4845,AB4845,AD4845,AF4845,AH4845,AJ4845,AL4845,AN4845,AP4845,AR4845,AT4845,AV4845,AX4845)</f>
        <v>25.26</v>
      </c>
      <c r="BE4845" s="33" t="n">
        <f aca="false">AZ4845-BD4845</f>
        <v>0</v>
      </c>
      <c r="BF4845" s="34" t="n">
        <f aca="false">BD4845*M4845</f>
        <v>3789</v>
      </c>
      <c r="BG4845" s="35" t="n">
        <f aca="false">BA4845-BF4845</f>
        <v>0</v>
      </c>
      <c r="BH4845" s="19" t="str">
        <f aca="false">IF(BG4845=0,"",IF(BG4845&lt;&gt;BA4845,"erreur de calcul",IF(BD4845&lt;&gt;0,"pas de prix",IF(M4845&lt;&gt; 0,"pas de quantité","pas de prix, ni de quantité"))))</f>
        <v/>
      </c>
      <c r="BI4845" s="19"/>
    </row>
    <row r="4846" customFormat="false" ht="15" hidden="false" customHeight="false" outlineLevel="0" collapsed="false">
      <c r="A4846" s="0" t="n">
        <v>35</v>
      </c>
      <c r="B4846" s="8" t="s">
        <v>24</v>
      </c>
      <c r="C4846" s="9" t="s">
        <v>25</v>
      </c>
      <c r="D4846" s="9" t="s">
        <v>26</v>
      </c>
      <c r="E4846" s="10" t="n">
        <v>1789</v>
      </c>
      <c r="F4846" s="9" t="s">
        <v>27</v>
      </c>
      <c r="G4846" s="9" t="s">
        <v>27</v>
      </c>
      <c r="H4846" s="11" t="n">
        <v>25</v>
      </c>
      <c r="I4846" s="11" t="s">
        <v>363</v>
      </c>
      <c r="J4846" s="14" t="n">
        <v>150</v>
      </c>
      <c r="K4846" s="14"/>
      <c r="L4846" s="16"/>
      <c r="M4846" s="27" t="n">
        <f aca="false">J4846+(K4846/20)+(L4846/240)</f>
        <v>150</v>
      </c>
      <c r="N4846" s="17" t="s">
        <v>64</v>
      </c>
      <c r="O4846" s="11" t="s">
        <v>77</v>
      </c>
      <c r="P4846" s="28"/>
      <c r="Q4846" s="28" t="n">
        <f aca="false">P4846*$M4846</f>
        <v>0</v>
      </c>
      <c r="R4846" s="28"/>
      <c r="S4846" s="28" t="n">
        <f aca="false">R4846*$M4846</f>
        <v>0</v>
      </c>
      <c r="T4846" s="28"/>
      <c r="U4846" s="28" t="n">
        <f aca="false">T4846*$M4846</f>
        <v>0</v>
      </c>
      <c r="V4846" s="28" t="n">
        <f aca="false">1501/100</f>
        <v>15.01</v>
      </c>
      <c r="W4846" s="28" t="n">
        <v>2251</v>
      </c>
      <c r="X4846" s="28"/>
      <c r="Y4846" s="28" t="n">
        <f aca="false">X4846*$M4846</f>
        <v>0</v>
      </c>
      <c r="Z4846" s="28" t="n">
        <f aca="false">6420/100</f>
        <v>64.2</v>
      </c>
      <c r="AA4846" s="28" t="n">
        <v>9630</v>
      </c>
      <c r="AB4846" s="28"/>
      <c r="AC4846" s="28" t="n">
        <f aca="false">AB4846*$M4846</f>
        <v>0</v>
      </c>
      <c r="AD4846" s="28"/>
      <c r="AE4846" s="28" t="n">
        <f aca="false">AD4846*$M4846</f>
        <v>0</v>
      </c>
      <c r="AF4846" s="28"/>
      <c r="AG4846" s="28" t="n">
        <f aca="false">AF4846*$M4846</f>
        <v>0</v>
      </c>
      <c r="AH4846" s="28" t="n">
        <f aca="false">138039/100</f>
        <v>1380.39</v>
      </c>
      <c r="AI4846" s="28" t="n">
        <v>207058</v>
      </c>
      <c r="AJ4846" s="28"/>
      <c r="AK4846" s="28" t="n">
        <f aca="false">AJ4846*$M4846</f>
        <v>0</v>
      </c>
      <c r="AL4846" s="28" t="n">
        <f aca="false">917/100</f>
        <v>9.17</v>
      </c>
      <c r="AM4846" s="28" t="n">
        <v>1375</v>
      </c>
      <c r="AN4846" s="28"/>
      <c r="AO4846" s="28" t="n">
        <f aca="false">AN4846*$M4846</f>
        <v>0</v>
      </c>
      <c r="AP4846" s="28"/>
      <c r="AQ4846" s="28" t="n">
        <f aca="false">AP4846*$M4846</f>
        <v>0</v>
      </c>
      <c r="AR4846" s="28"/>
      <c r="AS4846" s="28" t="n">
        <f aca="false">AR4846*$M4846</f>
        <v>0</v>
      </c>
      <c r="AT4846" s="28"/>
      <c r="AU4846" s="28" t="n">
        <f aca="false">AT4846*$M4846</f>
        <v>0</v>
      </c>
      <c r="AV4846" s="28"/>
      <c r="AW4846" s="28" t="n">
        <f aca="false">AV4846*$M4846</f>
        <v>0</v>
      </c>
      <c r="AX4846" s="28"/>
      <c r="AY4846" s="28" t="n">
        <f aca="false">AX4846*$M4846</f>
        <v>0</v>
      </c>
      <c r="AZ4846" s="30" t="n">
        <f aca="false">146877/100</f>
        <v>1468.77</v>
      </c>
      <c r="BA4846" s="11" t="n">
        <v>220314</v>
      </c>
      <c r="BB4846" s="31" t="n">
        <f aca="false">SUM(Q4846,S4846,U4846,W4846,Y4846,AA4846,AC4846,AE4846,AG4846,AI4846,AK4846,AM4846,AO4846,AQ4846,AS4846,AU4846,AW4846,AY4846)</f>
        <v>220314</v>
      </c>
      <c r="BC4846" s="28" t="n">
        <f aca="false">BA4846-BB4846</f>
        <v>0</v>
      </c>
      <c r="BD4846" s="32" t="n">
        <f aca="false">SUM(P4846,R4846,T4846,V4846,X4846,Z4846,AB4846,AD4846,AF4846,AH4846,AJ4846,AL4846,AN4846,AP4846,AR4846,AT4846,AV4846,AX4846)</f>
        <v>1468.77</v>
      </c>
      <c r="BE4846" s="33" t="n">
        <f aca="false">AZ4846-BD4846</f>
        <v>0</v>
      </c>
      <c r="BF4846" s="34" t="n">
        <f aca="false">BD4846*M4846</f>
        <v>220315.5</v>
      </c>
      <c r="BG4846" s="35" t="n">
        <f aca="false">BA4846-BF4846</f>
        <v>-1.5000000000291</v>
      </c>
      <c r="BH4846" s="19" t="str">
        <f aca="false">IF(BG4846=0,"",IF(BG4846&lt;&gt;BA4846,"erreur de calcul",IF(BD4846&lt;&gt;0,"pas de prix",IF(M4846&lt;&gt; 0,"pas de quantité","pas de prix, ni de quantité"))))</f>
        <v>erreur de calcul</v>
      </c>
      <c r="BI4846" s="19"/>
    </row>
    <row r="4847" customFormat="false" ht="15" hidden="false" customHeight="false" outlineLevel="0" collapsed="false">
      <c r="A4847" s="0" t="n">
        <v>36</v>
      </c>
      <c r="B4847" s="8" t="s">
        <v>24</v>
      </c>
      <c r="C4847" s="9" t="s">
        <v>25</v>
      </c>
      <c r="D4847" s="9" t="s">
        <v>26</v>
      </c>
      <c r="E4847" s="10" t="n">
        <v>1789</v>
      </c>
      <c r="F4847" s="9" t="s">
        <v>27</v>
      </c>
      <c r="G4847" s="9" t="s">
        <v>27</v>
      </c>
      <c r="H4847" s="11" t="n">
        <v>25</v>
      </c>
      <c r="I4847" s="11" t="s">
        <v>364</v>
      </c>
      <c r="J4847" s="14" t="n">
        <v>122</v>
      </c>
      <c r="K4847" s="14"/>
      <c r="L4847" s="16"/>
      <c r="M4847" s="27" t="n">
        <f aca="false">J4847+(K4847/20)+(L4847/240)</f>
        <v>122</v>
      </c>
      <c r="N4847" s="17" t="s">
        <v>64</v>
      </c>
      <c r="O4847" s="11" t="s">
        <v>77</v>
      </c>
      <c r="P4847" s="28" t="n">
        <f aca="false">2402/100</f>
        <v>24.02</v>
      </c>
      <c r="Q4847" s="28" t="n">
        <v>2930</v>
      </c>
      <c r="R4847" s="28"/>
      <c r="S4847" s="28" t="n">
        <f aca="false">R4847*$M4847</f>
        <v>0</v>
      </c>
      <c r="T4847" s="28" t="n">
        <f aca="false">3566/100</f>
        <v>35.66</v>
      </c>
      <c r="U4847" s="36" t="n">
        <v>4550</v>
      </c>
      <c r="V4847" s="28" t="n">
        <f aca="false">917/100</f>
        <v>9.17</v>
      </c>
      <c r="W4847" s="28" t="n">
        <v>1119</v>
      </c>
      <c r="X4847" s="28"/>
      <c r="Y4847" s="28" t="n">
        <f aca="false">X4847*$M4847</f>
        <v>0</v>
      </c>
      <c r="Z4847" s="28"/>
      <c r="AA4847" s="28" t="n">
        <f aca="false">Z4847*$M4847</f>
        <v>0</v>
      </c>
      <c r="AB4847" s="28" t="n">
        <f aca="false">28087/100</f>
        <v>280.87</v>
      </c>
      <c r="AC4847" s="28" t="n">
        <v>34266</v>
      </c>
      <c r="AD4847" s="28" t="n">
        <f aca="false">1505/100</f>
        <v>15.05</v>
      </c>
      <c r="AE4847" s="28" t="n">
        <v>1836</v>
      </c>
      <c r="AF4847" s="28"/>
      <c r="AG4847" s="28" t="n">
        <f aca="false">AF4847*$M4847</f>
        <v>0</v>
      </c>
      <c r="AH4847" s="28" t="n">
        <f aca="false">15314/100</f>
        <v>153.14</v>
      </c>
      <c r="AI4847" s="28" t="n">
        <v>18683</v>
      </c>
      <c r="AJ4847" s="28"/>
      <c r="AK4847" s="28" t="n">
        <f aca="false">AJ4847*$M4847</f>
        <v>0</v>
      </c>
      <c r="AL4847" s="28"/>
      <c r="AM4847" s="28" t="n">
        <f aca="false">AL4847*$M4847</f>
        <v>0</v>
      </c>
      <c r="AN4847" s="28"/>
      <c r="AO4847" s="28" t="n">
        <f aca="false">AN4847*$M4847</f>
        <v>0</v>
      </c>
      <c r="AP4847" s="28"/>
      <c r="AQ4847" s="28" t="n">
        <f aca="false">AP4847*$M4847</f>
        <v>0</v>
      </c>
      <c r="AR4847" s="28"/>
      <c r="AS4847" s="28" t="n">
        <f aca="false">AR4847*$M4847</f>
        <v>0</v>
      </c>
      <c r="AT4847" s="28"/>
      <c r="AU4847" s="28" t="n">
        <f aca="false">AT4847*$M4847</f>
        <v>0</v>
      </c>
      <c r="AV4847" s="28"/>
      <c r="AW4847" s="28" t="n">
        <f aca="false">AV4847*$M4847</f>
        <v>0</v>
      </c>
      <c r="AX4847" s="28"/>
      <c r="AY4847" s="28" t="n">
        <f aca="false">AX4847*$M4847</f>
        <v>0</v>
      </c>
      <c r="AZ4847" s="30" t="n">
        <f aca="false">51791/100</f>
        <v>517.91</v>
      </c>
      <c r="BA4847" s="11" t="n">
        <v>63384</v>
      </c>
      <c r="BB4847" s="31" t="n">
        <f aca="false">SUM(Q4847,S4847,U4847,W4847,Y4847,AA4847,AC4847,AE4847,AG4847,AI4847,AK4847,AM4847,AO4847,AQ4847,AS4847,AU4847,AW4847,AY4847)</f>
        <v>63384</v>
      </c>
      <c r="BC4847" s="28" t="n">
        <f aca="false">BA4847-BB4847</f>
        <v>0</v>
      </c>
      <c r="BD4847" s="32" t="n">
        <f aca="false">SUM(P4847,R4847,T4847,V4847,X4847,Z4847,AB4847,AD4847,AF4847,AH4847,AJ4847,AL4847,AN4847,AP4847,AR4847,AT4847,AV4847,AX4847)</f>
        <v>517.91</v>
      </c>
      <c r="BE4847" s="33" t="n">
        <f aca="false">AZ4847-BD4847</f>
        <v>0</v>
      </c>
      <c r="BF4847" s="34" t="n">
        <f aca="false">BD4847*M4847</f>
        <v>63185.02</v>
      </c>
      <c r="BG4847" s="35" t="n">
        <f aca="false">BA4847-BF4847</f>
        <v>198.980000000003</v>
      </c>
      <c r="BH4847" s="19" t="str">
        <f aca="false">IF(BG4847=0,"",IF(BG4847&lt;&gt;BA4847,"erreur de calcul",IF(BD4847&lt;&gt;0,"pas de prix",IF(M4847&lt;&gt; 0,"pas de quantité","pas de prix, ni de quantité"))))</f>
        <v>erreur de calcul</v>
      </c>
      <c r="BI4847" s="19"/>
    </row>
    <row r="4848" customFormat="false" ht="15" hidden="false" customHeight="false" outlineLevel="0" collapsed="false">
      <c r="A4848" s="0" t="n">
        <v>37</v>
      </c>
      <c r="B4848" s="8" t="s">
        <v>24</v>
      </c>
      <c r="C4848" s="9" t="s">
        <v>25</v>
      </c>
      <c r="D4848" s="9" t="s">
        <v>26</v>
      </c>
      <c r="E4848" s="10" t="n">
        <v>1789</v>
      </c>
      <c r="F4848" s="9" t="s">
        <v>27</v>
      </c>
      <c r="G4848" s="9" t="s">
        <v>27</v>
      </c>
      <c r="H4848" s="11" t="n">
        <v>25</v>
      </c>
      <c r="I4848" s="11" t="s">
        <v>365</v>
      </c>
      <c r="J4848" s="14" t="n">
        <v>107</v>
      </c>
      <c r="K4848" s="14"/>
      <c r="L4848" s="16"/>
      <c r="M4848" s="27" t="n">
        <f aca="false">J4848+(K4848/20)+(L4848/240)</f>
        <v>107</v>
      </c>
      <c r="N4848" s="17" t="s">
        <v>64</v>
      </c>
      <c r="O4848" s="11" t="s">
        <v>77</v>
      </c>
      <c r="P4848" s="28"/>
      <c r="Q4848" s="28" t="n">
        <f aca="false">P4848*$M4848</f>
        <v>0</v>
      </c>
      <c r="R4848" s="28"/>
      <c r="S4848" s="28" t="n">
        <f aca="false">R4848*$M4848</f>
        <v>0</v>
      </c>
      <c r="T4848" s="28" t="n">
        <f aca="false">1834/100</f>
        <v>18.34</v>
      </c>
      <c r="U4848" s="28" t="n">
        <v>1962</v>
      </c>
      <c r="V4848" s="28"/>
      <c r="W4848" s="28" t="n">
        <f aca="false">V4848*$M4848</f>
        <v>0</v>
      </c>
      <c r="X4848" s="28"/>
      <c r="Y4848" s="28" t="n">
        <f aca="false">X4848*$M4848</f>
        <v>0</v>
      </c>
      <c r="Z4848" s="28"/>
      <c r="AA4848" s="28" t="n">
        <f aca="false">Z4848*$M4848</f>
        <v>0</v>
      </c>
      <c r="AB4848" s="28"/>
      <c r="AC4848" s="28" t="n">
        <f aca="false">AB4848*$M4848</f>
        <v>0</v>
      </c>
      <c r="AD4848" s="28"/>
      <c r="AE4848" s="28" t="n">
        <f aca="false">AD4848*$M4848</f>
        <v>0</v>
      </c>
      <c r="AF4848" s="28" t="n">
        <f aca="false">5202/100</f>
        <v>52.02</v>
      </c>
      <c r="AG4848" s="28" t="n">
        <v>5566</v>
      </c>
      <c r="AH4848" s="28"/>
      <c r="AI4848" s="28" t="n">
        <f aca="false">AH4848*$M4848</f>
        <v>0</v>
      </c>
      <c r="AJ4848" s="28" t="n">
        <f aca="false">3209/100</f>
        <v>32.09</v>
      </c>
      <c r="AK4848" s="28" t="n">
        <v>3434</v>
      </c>
      <c r="AL4848" s="28" t="n">
        <f aca="false">80682/100</f>
        <v>806.82</v>
      </c>
      <c r="AM4848" s="28" t="n">
        <v>86329</v>
      </c>
      <c r="AN4848" s="28"/>
      <c r="AO4848" s="28" t="n">
        <f aca="false">AN4848*$M4848</f>
        <v>0</v>
      </c>
      <c r="AP4848" s="28"/>
      <c r="AQ4848" s="28" t="n">
        <f aca="false">AP4848*$M4848</f>
        <v>0</v>
      </c>
      <c r="AR4848" s="28"/>
      <c r="AS4848" s="28" t="n">
        <f aca="false">AR4848*$M4848</f>
        <v>0</v>
      </c>
      <c r="AT4848" s="28"/>
      <c r="AU4848" s="28" t="n">
        <f aca="false">AT4848*$M4848</f>
        <v>0</v>
      </c>
      <c r="AV4848" s="28"/>
      <c r="AW4848" s="28" t="n">
        <f aca="false">AV4848*$M4848</f>
        <v>0</v>
      </c>
      <c r="AX4848" s="28"/>
      <c r="AY4848" s="28" t="n">
        <f aca="false">AX4848*$M4848</f>
        <v>0</v>
      </c>
      <c r="AZ4848" s="30" t="n">
        <f aca="false">90927/100</f>
        <v>909.27</v>
      </c>
      <c r="BA4848" s="11" t="n">
        <v>97291</v>
      </c>
      <c r="BB4848" s="31" t="n">
        <f aca="false">SUM(Q4848,S4848,U4848,W4848,Y4848,AA4848,AC4848,AE4848,AG4848,AI4848,AK4848,AM4848,AO4848,AQ4848,AS4848,AU4848,AW4848,AY4848)</f>
        <v>97291</v>
      </c>
      <c r="BC4848" s="28" t="n">
        <f aca="false">BA4848-BB4848</f>
        <v>0</v>
      </c>
      <c r="BD4848" s="32" t="n">
        <f aca="false">SUM(P4848,R4848,T4848,V4848,X4848,Z4848,AB4848,AD4848,AF4848,AH4848,AJ4848,AL4848,AN4848,AP4848,AR4848,AT4848,AV4848,AX4848)</f>
        <v>909.27</v>
      </c>
      <c r="BE4848" s="33" t="n">
        <f aca="false">AZ4848-BD4848</f>
        <v>0</v>
      </c>
      <c r="BF4848" s="34" t="n">
        <f aca="false">BD4848*M4848</f>
        <v>97291.89</v>
      </c>
      <c r="BG4848" s="35" t="n">
        <f aca="false">BA4848-BF4848</f>
        <v>-0.89000000001397</v>
      </c>
      <c r="BH4848" s="19" t="str">
        <f aca="false">IF(BG4848=0,"",IF(BG4848&lt;&gt;BA4848,"erreur de calcul",IF(BD4848&lt;&gt;0,"pas de prix",IF(M4848&lt;&gt; 0,"pas de quantité","pas de prix, ni de quantité"))))</f>
        <v>erreur de calcul</v>
      </c>
      <c r="BI4848" s="19"/>
    </row>
    <row r="4849" customFormat="false" ht="15" hidden="false" customHeight="false" outlineLevel="0" collapsed="false">
      <c r="A4849" s="0" t="n">
        <v>38</v>
      </c>
      <c r="B4849" s="8" t="s">
        <v>24</v>
      </c>
      <c r="C4849" s="9" t="s">
        <v>25</v>
      </c>
      <c r="D4849" s="9" t="s">
        <v>26</v>
      </c>
      <c r="E4849" s="10" t="n">
        <v>1789</v>
      </c>
      <c r="F4849" s="9" t="s">
        <v>27</v>
      </c>
      <c r="G4849" s="9" t="s">
        <v>27</v>
      </c>
      <c r="H4849" s="11" t="n">
        <v>25</v>
      </c>
      <c r="I4849" s="11" t="s">
        <v>366</v>
      </c>
      <c r="J4849" s="14"/>
      <c r="K4849" s="14"/>
      <c r="L4849" s="16"/>
      <c r="M4849" s="27" t="n">
        <f aca="false">J4849+(K4849/20)+(L4849/240)</f>
        <v>0</v>
      </c>
      <c r="N4849" s="17" t="s">
        <v>66</v>
      </c>
      <c r="O4849" s="11"/>
      <c r="P4849" s="28"/>
      <c r="Q4849" s="28" t="n">
        <f aca="false">P4849*$M4849</f>
        <v>0</v>
      </c>
      <c r="R4849" s="28"/>
      <c r="S4849" s="28" t="n">
        <f aca="false">R4849*$M4849</f>
        <v>0</v>
      </c>
      <c r="T4849" s="28"/>
      <c r="U4849" s="28" t="n">
        <f aca="false">T4849*$M4849</f>
        <v>0</v>
      </c>
      <c r="V4849" s="28" t="n">
        <v>797</v>
      </c>
      <c r="W4849" s="28" t="n">
        <v>720</v>
      </c>
      <c r="X4849" s="28"/>
      <c r="Y4849" s="28" t="n">
        <f aca="false">X4849*$M4849</f>
        <v>0</v>
      </c>
      <c r="Z4849" s="28"/>
      <c r="AA4849" s="28" t="n">
        <f aca="false">Z4849*$M4849</f>
        <v>0</v>
      </c>
      <c r="AB4849" s="28"/>
      <c r="AC4849" s="28" t="n">
        <f aca="false">AB4849*$M4849</f>
        <v>0</v>
      </c>
      <c r="AD4849" s="28"/>
      <c r="AE4849" s="28" t="n">
        <f aca="false">AD4849*$M4849</f>
        <v>0</v>
      </c>
      <c r="AF4849" s="28"/>
      <c r="AG4849" s="28" t="n">
        <f aca="false">AF4849*$M4849</f>
        <v>0</v>
      </c>
      <c r="AH4849" s="28"/>
      <c r="AI4849" s="28" t="n">
        <f aca="false">AH4849*$M4849</f>
        <v>0</v>
      </c>
      <c r="AJ4849" s="28"/>
      <c r="AK4849" s="28" t="n">
        <f aca="false">AJ4849*$M4849</f>
        <v>0</v>
      </c>
      <c r="AL4849" s="28"/>
      <c r="AM4849" s="28" t="n">
        <f aca="false">AL4849*$M4849</f>
        <v>0</v>
      </c>
      <c r="AN4849" s="28"/>
      <c r="AO4849" s="28" t="n">
        <f aca="false">AN4849*$M4849</f>
        <v>0</v>
      </c>
      <c r="AP4849" s="28"/>
      <c r="AQ4849" s="28" t="n">
        <f aca="false">AP4849*$M4849</f>
        <v>0</v>
      </c>
      <c r="AR4849" s="28"/>
      <c r="AS4849" s="28" t="n">
        <f aca="false">AR4849*$M4849</f>
        <v>0</v>
      </c>
      <c r="AT4849" s="28"/>
      <c r="AU4849" s="28" t="n">
        <f aca="false">AT4849*$M4849</f>
        <v>0</v>
      </c>
      <c r="AV4849" s="28"/>
      <c r="AW4849" s="28" t="n">
        <f aca="false">AV4849*$M4849</f>
        <v>0</v>
      </c>
      <c r="AX4849" s="28"/>
      <c r="AY4849" s="28" t="n">
        <f aca="false">AX4849*$M4849</f>
        <v>0</v>
      </c>
      <c r="AZ4849" s="30" t="n">
        <v>797</v>
      </c>
      <c r="BA4849" s="11" t="n">
        <v>720</v>
      </c>
      <c r="BB4849" s="31" t="n">
        <f aca="false">SUM(Q4849,S4849,U4849,W4849,Y4849,AA4849,AC4849,AE4849,AG4849,AI4849,AK4849,AM4849,AO4849,AQ4849,AS4849,AU4849,AW4849,AY4849)</f>
        <v>720</v>
      </c>
      <c r="BC4849" s="28" t="n">
        <f aca="false">BA4849-BB4849</f>
        <v>0</v>
      </c>
      <c r="BD4849" s="32" t="n">
        <f aca="false">SUM(P4849,R4849,T4849,V4849,X4849,Z4849,AB4849,AD4849,AF4849,AH4849,AJ4849,AL4849,AN4849,AP4849,AR4849,AT4849,AV4849,AX4849)</f>
        <v>797</v>
      </c>
      <c r="BE4849" s="33" t="n">
        <f aca="false">AZ4849-BD4849</f>
        <v>0</v>
      </c>
      <c r="BF4849" s="34" t="n">
        <f aca="false">BD4849*M4849</f>
        <v>0</v>
      </c>
      <c r="BG4849" s="35" t="n">
        <f aca="false">BA4849-BF4849</f>
        <v>720</v>
      </c>
      <c r="BH4849" s="19" t="str">
        <f aca="false">IF(BG4849=0,"",IF(BG4849&lt;&gt;BA4849,"erreur de calcul",IF(BD4849&lt;&gt;0,"pas de prix",IF(M4849&lt;&gt; 0,"pas de quantité","pas de prix, ni de quantité"))))</f>
        <v>pas de prix</v>
      </c>
      <c r="BI4849" s="19" t="s">
        <v>367</v>
      </c>
    </row>
    <row r="4850" customFormat="false" ht="15" hidden="false" customHeight="false" outlineLevel="0" collapsed="false">
      <c r="A4850" s="0" t="n">
        <v>39</v>
      </c>
      <c r="B4850" s="8" t="s">
        <v>24</v>
      </c>
      <c r="C4850" s="9" t="s">
        <v>25</v>
      </c>
      <c r="D4850" s="9" t="s">
        <v>26</v>
      </c>
      <c r="E4850" s="10" t="n">
        <v>1789</v>
      </c>
      <c r="F4850" s="9" t="s">
        <v>27</v>
      </c>
      <c r="G4850" s="9" t="s">
        <v>27</v>
      </c>
      <c r="H4850" s="11" t="n">
        <v>25</v>
      </c>
      <c r="I4850" s="11" t="s">
        <v>368</v>
      </c>
      <c r="J4850" s="14" t="n">
        <v>4</v>
      </c>
      <c r="K4850" s="14"/>
      <c r="L4850" s="16"/>
      <c r="M4850" s="27" t="n">
        <f aca="false">J4850+(K4850/20)+(L4850/240)</f>
        <v>4</v>
      </c>
      <c r="N4850" s="17" t="s">
        <v>64</v>
      </c>
      <c r="O4850" s="11"/>
      <c r="P4850" s="28"/>
      <c r="Q4850" s="28" t="n">
        <f aca="false">P4850*$M4850</f>
        <v>0</v>
      </c>
      <c r="R4850" s="28"/>
      <c r="S4850" s="28" t="n">
        <f aca="false">R4850*$M4850</f>
        <v>0</v>
      </c>
      <c r="T4850" s="28"/>
      <c r="U4850" s="28" t="n">
        <f aca="false">T4850*$M4850</f>
        <v>0</v>
      </c>
      <c r="V4850" s="28" t="n">
        <f aca="false">23693/100</f>
        <v>236.93</v>
      </c>
      <c r="W4850" s="28" t="n">
        <v>948</v>
      </c>
      <c r="X4850" s="28"/>
      <c r="Y4850" s="28" t="n">
        <f aca="false">X4850*$M4850</f>
        <v>0</v>
      </c>
      <c r="Z4850" s="28"/>
      <c r="AA4850" s="28" t="n">
        <f aca="false">Z4850*$M4850</f>
        <v>0</v>
      </c>
      <c r="AB4850" s="28"/>
      <c r="AC4850" s="28" t="n">
        <f aca="false">AB4850*$M4850</f>
        <v>0</v>
      </c>
      <c r="AD4850" s="28"/>
      <c r="AE4850" s="28" t="n">
        <f aca="false">AD4850*$M4850</f>
        <v>0</v>
      </c>
      <c r="AF4850" s="28"/>
      <c r="AG4850" s="28" t="n">
        <f aca="false">AF4850*$M4850</f>
        <v>0</v>
      </c>
      <c r="AH4850" s="28"/>
      <c r="AI4850" s="28" t="n">
        <f aca="false">AH4850*$M4850</f>
        <v>0</v>
      </c>
      <c r="AJ4850" s="28"/>
      <c r="AK4850" s="28" t="n">
        <f aca="false">AJ4850*$M4850</f>
        <v>0</v>
      </c>
      <c r="AL4850" s="28"/>
      <c r="AM4850" s="28" t="n">
        <f aca="false">AL4850*$M4850</f>
        <v>0</v>
      </c>
      <c r="AN4850" s="28"/>
      <c r="AO4850" s="28" t="n">
        <f aca="false">AN4850*$M4850</f>
        <v>0</v>
      </c>
      <c r="AP4850" s="28"/>
      <c r="AQ4850" s="28" t="n">
        <f aca="false">AP4850*$M4850</f>
        <v>0</v>
      </c>
      <c r="AR4850" s="28"/>
      <c r="AS4850" s="28" t="n">
        <f aca="false">AR4850*$M4850</f>
        <v>0</v>
      </c>
      <c r="AT4850" s="28"/>
      <c r="AU4850" s="28" t="n">
        <f aca="false">AT4850*$M4850</f>
        <v>0</v>
      </c>
      <c r="AV4850" s="28"/>
      <c r="AW4850" s="28" t="n">
        <f aca="false">AV4850*$M4850</f>
        <v>0</v>
      </c>
      <c r="AX4850" s="28"/>
      <c r="AY4850" s="28" t="n">
        <f aca="false">AX4850*$M4850</f>
        <v>0</v>
      </c>
      <c r="AZ4850" s="30" t="n">
        <f aca="false">23693/100</f>
        <v>236.93</v>
      </c>
      <c r="BA4850" s="11" t="n">
        <v>948</v>
      </c>
      <c r="BB4850" s="31" t="n">
        <f aca="false">SUM(Q4850,S4850,U4850,W4850,Y4850,AA4850,AC4850,AE4850,AG4850,AI4850,AK4850,AM4850,AO4850,AQ4850,AS4850,AU4850,AW4850,AY4850)</f>
        <v>948</v>
      </c>
      <c r="BC4850" s="28" t="n">
        <f aca="false">BA4850-BB4850</f>
        <v>0</v>
      </c>
      <c r="BD4850" s="32" t="n">
        <f aca="false">SUM(P4850,R4850,T4850,V4850,X4850,Z4850,AB4850,AD4850,AF4850,AH4850,AJ4850,AL4850,AN4850,AP4850,AR4850,AT4850,AV4850,AX4850)</f>
        <v>236.93</v>
      </c>
      <c r="BE4850" s="33" t="n">
        <f aca="false">AZ4850-BD4850</f>
        <v>0</v>
      </c>
      <c r="BF4850" s="34" t="n">
        <f aca="false">BD4850*M4850</f>
        <v>947.72</v>
      </c>
      <c r="BG4850" s="35" t="n">
        <f aca="false">BA4850-BF4850</f>
        <v>0.279999999999973</v>
      </c>
      <c r="BH4850" s="19" t="str">
        <f aca="false">IF(BG4850=0,"",IF(BG4850&lt;&gt;BA4850,"erreur de calcul",IF(BD4850&lt;&gt;0,"pas de prix",IF(M4850&lt;&gt; 0,"pas de quantité","pas de prix, ni de quantité"))))</f>
        <v>erreur de calcul</v>
      </c>
      <c r="BI4850" s="19"/>
    </row>
    <row r="4851" customFormat="false" ht="15" hidden="false" customHeight="false" outlineLevel="0" collapsed="false">
      <c r="A4851" s="0" t="n">
        <v>40</v>
      </c>
      <c r="B4851" s="8" t="s">
        <v>24</v>
      </c>
      <c r="C4851" s="9" t="s">
        <v>25</v>
      </c>
      <c r="D4851" s="9" t="s">
        <v>26</v>
      </c>
      <c r="E4851" s="10" t="n">
        <v>1789</v>
      </c>
      <c r="F4851" s="9" t="s">
        <v>27</v>
      </c>
      <c r="G4851" s="9" t="s">
        <v>27</v>
      </c>
      <c r="H4851" s="11" t="n">
        <v>25</v>
      </c>
      <c r="I4851" s="11" t="s">
        <v>369</v>
      </c>
      <c r="J4851" s="14" t="n">
        <v>92</v>
      </c>
      <c r="K4851" s="14"/>
      <c r="L4851" s="16"/>
      <c r="M4851" s="27" t="n">
        <f aca="false">J4851+(K4851/20)+(L4851/240)</f>
        <v>92</v>
      </c>
      <c r="N4851" s="17" t="s">
        <v>64</v>
      </c>
      <c r="O4851" s="11"/>
      <c r="P4851" s="28"/>
      <c r="Q4851" s="28" t="n">
        <f aca="false">P4851*$M4851</f>
        <v>0</v>
      </c>
      <c r="R4851" s="28"/>
      <c r="S4851" s="28" t="n">
        <f aca="false">R4851*$M4851</f>
        <v>0</v>
      </c>
      <c r="T4851" s="28"/>
      <c r="U4851" s="28" t="n">
        <f aca="false">T4851*$M4851</f>
        <v>0</v>
      </c>
      <c r="V4851" s="28" t="n">
        <f aca="false">82878/100</f>
        <v>828.78</v>
      </c>
      <c r="W4851" s="28" t="n">
        <v>76248</v>
      </c>
      <c r="X4851" s="28" t="n">
        <f aca="false">44264/100</f>
        <v>442.64</v>
      </c>
      <c r="Y4851" s="36" t="n">
        <v>41023</v>
      </c>
      <c r="Z4851" s="28"/>
      <c r="AA4851" s="28" t="n">
        <f aca="false">Z4851*$M4851</f>
        <v>0</v>
      </c>
      <c r="AB4851" s="28"/>
      <c r="AC4851" s="28" t="n">
        <f aca="false">AB4851*$M4851</f>
        <v>0</v>
      </c>
      <c r="AD4851" s="28"/>
      <c r="AE4851" s="28" t="n">
        <f aca="false">AD4851*$M4851</f>
        <v>0</v>
      </c>
      <c r="AF4851" s="28"/>
      <c r="AG4851" s="28" t="n">
        <f aca="false">AF4851*$M4851</f>
        <v>0</v>
      </c>
      <c r="AH4851" s="28"/>
      <c r="AI4851" s="28" t="n">
        <f aca="false">AH4851*$M4851</f>
        <v>0</v>
      </c>
      <c r="AJ4851" s="28"/>
      <c r="AK4851" s="28" t="n">
        <f aca="false">AJ4851*$M4851</f>
        <v>0</v>
      </c>
      <c r="AL4851" s="28"/>
      <c r="AM4851" s="28" t="n">
        <f aca="false">AL4851*$M4851</f>
        <v>0</v>
      </c>
      <c r="AN4851" s="28"/>
      <c r="AO4851" s="28" t="n">
        <f aca="false">AN4851*$M4851</f>
        <v>0</v>
      </c>
      <c r="AP4851" s="28"/>
      <c r="AQ4851" s="28" t="n">
        <f aca="false">AP4851*$M4851</f>
        <v>0</v>
      </c>
      <c r="AR4851" s="28"/>
      <c r="AS4851" s="28" t="n">
        <f aca="false">AR4851*$M4851</f>
        <v>0</v>
      </c>
      <c r="AT4851" s="28"/>
      <c r="AU4851" s="28" t="n">
        <f aca="false">AT4851*$M4851</f>
        <v>0</v>
      </c>
      <c r="AV4851" s="28"/>
      <c r="AW4851" s="28" t="n">
        <f aca="false">AV4851*$M4851</f>
        <v>0</v>
      </c>
      <c r="AX4851" s="28"/>
      <c r="AY4851" s="28" t="n">
        <f aca="false">AX4851*$M4851</f>
        <v>0</v>
      </c>
      <c r="AZ4851" s="30" t="n">
        <f aca="false">127142/100</f>
        <v>1271.42</v>
      </c>
      <c r="BA4851" s="11" t="n">
        <v>117271</v>
      </c>
      <c r="BB4851" s="31" t="n">
        <f aca="false">SUM(Q4851,S4851,U4851,W4851,Y4851,AA4851,AC4851,AE4851,AG4851,AI4851,AK4851,AM4851,AO4851,AQ4851,AS4851,AU4851,AW4851,AY4851)</f>
        <v>117271</v>
      </c>
      <c r="BC4851" s="28" t="n">
        <f aca="false">BA4851-BB4851</f>
        <v>0</v>
      </c>
      <c r="BD4851" s="32" t="n">
        <f aca="false">SUM(P4851,R4851,T4851,V4851,X4851,Z4851,AB4851,AD4851,AF4851,AH4851,AJ4851,AL4851,AN4851,AP4851,AR4851,AT4851,AV4851,AX4851)</f>
        <v>1271.42</v>
      </c>
      <c r="BE4851" s="33" t="n">
        <f aca="false">AZ4851-BD4851</f>
        <v>0</v>
      </c>
      <c r="BF4851" s="34" t="n">
        <f aca="false">BD4851*M4851</f>
        <v>116970.64</v>
      </c>
      <c r="BG4851" s="35" t="n">
        <f aca="false">BA4851-BF4851</f>
        <v>300.359999999986</v>
      </c>
      <c r="BH4851" s="19" t="str">
        <f aca="false">IF(BG4851=0,"",IF(BG4851&lt;&gt;BA4851,"erreur de calcul",IF(BD4851&lt;&gt;0,"pas de prix",IF(M4851&lt;&gt; 0,"pas de quantité","pas de prix, ni de quantité"))))</f>
        <v>erreur de calcul</v>
      </c>
      <c r="BI4851" s="19"/>
    </row>
    <row r="4852" customFormat="false" ht="15" hidden="false" customHeight="false" outlineLevel="0" collapsed="false">
      <c r="A4852" s="0" t="n">
        <v>41</v>
      </c>
      <c r="B4852" s="8" t="s">
        <v>24</v>
      </c>
      <c r="C4852" s="9" t="s">
        <v>25</v>
      </c>
      <c r="D4852" s="9" t="s">
        <v>26</v>
      </c>
      <c r="E4852" s="10" t="n">
        <v>1789</v>
      </c>
      <c r="F4852" s="9" t="s">
        <v>27</v>
      </c>
      <c r="G4852" s="9" t="s">
        <v>27</v>
      </c>
      <c r="H4852" s="11" t="n">
        <v>25</v>
      </c>
      <c r="I4852" s="11" t="s">
        <v>370</v>
      </c>
      <c r="J4852" s="14" t="n">
        <v>12</v>
      </c>
      <c r="K4852" s="14"/>
      <c r="L4852" s="16"/>
      <c r="M4852" s="27" t="n">
        <f aca="false">J4852+(K4852/20)+(L4852/240)</f>
        <v>12</v>
      </c>
      <c r="N4852" s="17" t="s">
        <v>64</v>
      </c>
      <c r="O4852" s="11"/>
      <c r="P4852" s="28"/>
      <c r="Q4852" s="28" t="n">
        <f aca="false">P4852*$M4852</f>
        <v>0</v>
      </c>
      <c r="R4852" s="28"/>
      <c r="S4852" s="28" t="n">
        <f aca="false">R4852*$M4852</f>
        <v>0</v>
      </c>
      <c r="T4852" s="28"/>
      <c r="U4852" s="28" t="n">
        <f aca="false">T4852*$M4852</f>
        <v>0</v>
      </c>
      <c r="V4852" s="28"/>
      <c r="W4852" s="28" t="n">
        <f aca="false">V4852*$M4852</f>
        <v>0</v>
      </c>
      <c r="X4852" s="28"/>
      <c r="Y4852" s="28" t="n">
        <f aca="false">X4852*$M4852</f>
        <v>0</v>
      </c>
      <c r="Z4852" s="28"/>
      <c r="AA4852" s="28" t="n">
        <f aca="false">Z4852*$M4852</f>
        <v>0</v>
      </c>
      <c r="AB4852" s="28"/>
      <c r="AC4852" s="28" t="n">
        <f aca="false">AB4852*$M4852</f>
        <v>0</v>
      </c>
      <c r="AD4852" s="28"/>
      <c r="AE4852" s="28" t="n">
        <f aca="false">AD4852*$M4852</f>
        <v>0</v>
      </c>
      <c r="AF4852" s="28"/>
      <c r="AG4852" s="28" t="n">
        <f aca="false">AF4852*$M4852</f>
        <v>0</v>
      </c>
      <c r="AH4852" s="28" t="n">
        <f aca="false">12168/100</f>
        <v>121.68</v>
      </c>
      <c r="AI4852" s="28" t="n">
        <v>1460</v>
      </c>
      <c r="AJ4852" s="28"/>
      <c r="AK4852" s="28" t="n">
        <f aca="false">AJ4852*$M4852</f>
        <v>0</v>
      </c>
      <c r="AL4852" s="28"/>
      <c r="AM4852" s="28" t="n">
        <f aca="false">AL4852*$M4852</f>
        <v>0</v>
      </c>
      <c r="AN4852" s="28"/>
      <c r="AO4852" s="28" t="n">
        <f aca="false">AN4852*$M4852</f>
        <v>0</v>
      </c>
      <c r="AP4852" s="28"/>
      <c r="AQ4852" s="28" t="n">
        <f aca="false">AP4852*$M4852</f>
        <v>0</v>
      </c>
      <c r="AR4852" s="28"/>
      <c r="AS4852" s="28" t="n">
        <f aca="false">AR4852*$M4852</f>
        <v>0</v>
      </c>
      <c r="AT4852" s="28"/>
      <c r="AU4852" s="28" t="n">
        <f aca="false">AT4852*$M4852</f>
        <v>0</v>
      </c>
      <c r="AV4852" s="28"/>
      <c r="AW4852" s="28" t="n">
        <f aca="false">AV4852*$M4852</f>
        <v>0</v>
      </c>
      <c r="AX4852" s="28"/>
      <c r="AY4852" s="28" t="n">
        <f aca="false">AX4852*$M4852</f>
        <v>0</v>
      </c>
      <c r="AZ4852" s="30" t="n">
        <f aca="false">12168/100</f>
        <v>121.68</v>
      </c>
      <c r="BA4852" s="11" t="n">
        <v>1460</v>
      </c>
      <c r="BB4852" s="31" t="n">
        <f aca="false">SUM(Q4852,S4852,U4852,W4852,Y4852,AA4852,AC4852,AE4852,AG4852,AI4852,AK4852,AM4852,AO4852,AQ4852,AS4852,AU4852,AW4852,AY4852)</f>
        <v>1460</v>
      </c>
      <c r="BC4852" s="28" t="n">
        <f aca="false">BA4852-BB4852</f>
        <v>0</v>
      </c>
      <c r="BD4852" s="32" t="n">
        <f aca="false">SUM(P4852,R4852,T4852,V4852,X4852,Z4852,AB4852,AD4852,AF4852,AH4852,AJ4852,AL4852,AN4852,AP4852,AR4852,AT4852,AV4852,AX4852)</f>
        <v>121.68</v>
      </c>
      <c r="BE4852" s="33" t="n">
        <f aca="false">AZ4852-BD4852</f>
        <v>0</v>
      </c>
      <c r="BF4852" s="34" t="n">
        <f aca="false">BD4852*M4852</f>
        <v>1460.16</v>
      </c>
      <c r="BG4852" s="35" t="n">
        <f aca="false">BA4852-BF4852</f>
        <v>-0.160000000000082</v>
      </c>
      <c r="BH4852" s="19" t="str">
        <f aca="false">IF(BG4852=0,"",IF(BG4852&lt;&gt;BA4852,"erreur de calcul",IF(BD4852&lt;&gt;0,"pas de prix",IF(M4852&lt;&gt; 0,"pas de quantité","pas de prix, ni de quantité"))))</f>
        <v>erreur de calcul</v>
      </c>
      <c r="BI4852" s="19"/>
    </row>
    <row r="4853" customFormat="false" ht="15" hidden="false" customHeight="false" outlineLevel="0" collapsed="false">
      <c r="A4853" s="0" t="n">
        <v>42</v>
      </c>
      <c r="B4853" s="8" t="s">
        <v>24</v>
      </c>
      <c r="C4853" s="9" t="s">
        <v>25</v>
      </c>
      <c r="D4853" s="9" t="s">
        <v>26</v>
      </c>
      <c r="E4853" s="10" t="n">
        <v>1789</v>
      </c>
      <c r="F4853" s="9" t="s">
        <v>27</v>
      </c>
      <c r="G4853" s="9" t="s">
        <v>27</v>
      </c>
      <c r="H4853" s="11" t="n">
        <v>25</v>
      </c>
      <c r="I4853" s="11" t="s">
        <v>371</v>
      </c>
      <c r="J4853" s="14" t="n">
        <v>7</v>
      </c>
      <c r="K4853" s="14"/>
      <c r="L4853" s="16"/>
      <c r="M4853" s="27" t="n">
        <f aca="false">J4853+(K4853/20)+(L4853/240)</f>
        <v>7</v>
      </c>
      <c r="N4853" s="17" t="s">
        <v>64</v>
      </c>
      <c r="O4853" s="11"/>
      <c r="P4853" s="28"/>
      <c r="Q4853" s="28" t="n">
        <f aca="false">P4853*$M4853</f>
        <v>0</v>
      </c>
      <c r="R4853" s="28"/>
      <c r="S4853" s="28" t="n">
        <f aca="false">R4853*$M4853</f>
        <v>0</v>
      </c>
      <c r="T4853" s="28"/>
      <c r="U4853" s="28" t="n">
        <f aca="false">T4853*$M4853</f>
        <v>0</v>
      </c>
      <c r="V4853" s="28"/>
      <c r="W4853" s="28" t="n">
        <f aca="false">V4853*$M4853</f>
        <v>0</v>
      </c>
      <c r="X4853" s="28"/>
      <c r="Y4853" s="28" t="n">
        <f aca="false">X4853*$M4853</f>
        <v>0</v>
      </c>
      <c r="Z4853" s="28"/>
      <c r="AA4853" s="28" t="n">
        <f aca="false">Z4853*$M4853</f>
        <v>0</v>
      </c>
      <c r="AB4853" s="28" t="n">
        <f aca="false">58003/100</f>
        <v>580.03</v>
      </c>
      <c r="AC4853" s="28" t="n">
        <v>4060</v>
      </c>
      <c r="AD4853" s="28"/>
      <c r="AE4853" s="28" t="n">
        <f aca="false">AD4853*$M4853</f>
        <v>0</v>
      </c>
      <c r="AF4853" s="28"/>
      <c r="AG4853" s="28" t="n">
        <f aca="false">AF4853*$M4853</f>
        <v>0</v>
      </c>
      <c r="AH4853" s="28"/>
      <c r="AI4853" s="28" t="n">
        <f aca="false">AH4853*$M4853</f>
        <v>0</v>
      </c>
      <c r="AJ4853" s="28"/>
      <c r="AK4853" s="28" t="n">
        <f aca="false">AJ4853*$M4853</f>
        <v>0</v>
      </c>
      <c r="AL4853" s="28"/>
      <c r="AM4853" s="28" t="n">
        <f aca="false">AL4853*$M4853</f>
        <v>0</v>
      </c>
      <c r="AN4853" s="28"/>
      <c r="AO4853" s="28" t="n">
        <f aca="false">AN4853*$M4853</f>
        <v>0</v>
      </c>
      <c r="AP4853" s="28"/>
      <c r="AQ4853" s="28" t="n">
        <f aca="false">AP4853*$M4853</f>
        <v>0</v>
      </c>
      <c r="AR4853" s="28"/>
      <c r="AS4853" s="28" t="n">
        <f aca="false">AR4853*$M4853</f>
        <v>0</v>
      </c>
      <c r="AT4853" s="28"/>
      <c r="AU4853" s="28" t="n">
        <f aca="false">AT4853*$M4853</f>
        <v>0</v>
      </c>
      <c r="AV4853" s="28"/>
      <c r="AW4853" s="28" t="n">
        <f aca="false">AV4853*$M4853</f>
        <v>0</v>
      </c>
      <c r="AX4853" s="28"/>
      <c r="AY4853" s="28" t="n">
        <f aca="false">AX4853*$M4853</f>
        <v>0</v>
      </c>
      <c r="AZ4853" s="30" t="n">
        <f aca="false">58003/100</f>
        <v>580.03</v>
      </c>
      <c r="BA4853" s="11" t="n">
        <v>4060</v>
      </c>
      <c r="BB4853" s="31" t="n">
        <f aca="false">SUM(Q4853,S4853,U4853,W4853,Y4853,AA4853,AC4853,AE4853,AG4853,AI4853,AK4853,AM4853,AO4853,AQ4853,AS4853,AU4853,AW4853,AY4853)</f>
        <v>4060</v>
      </c>
      <c r="BC4853" s="28" t="n">
        <f aca="false">BA4853-BB4853</f>
        <v>0</v>
      </c>
      <c r="BD4853" s="32" t="n">
        <f aca="false">SUM(P4853,R4853,T4853,V4853,X4853,Z4853,AB4853,AD4853,AF4853,AH4853,AJ4853,AL4853,AN4853,AP4853,AR4853,AT4853,AV4853,AX4853)</f>
        <v>580.03</v>
      </c>
      <c r="BE4853" s="33" t="n">
        <f aca="false">AZ4853-BD4853</f>
        <v>0</v>
      </c>
      <c r="BF4853" s="34" t="n">
        <f aca="false">BD4853*M4853</f>
        <v>4060.21</v>
      </c>
      <c r="BG4853" s="35" t="n">
        <f aca="false">BA4853-BF4853</f>
        <v>-0.210000000000036</v>
      </c>
      <c r="BH4853" s="19" t="str">
        <f aca="false">IF(BG4853=0,"",IF(BG4853&lt;&gt;BA4853,"erreur de calcul",IF(BD4853&lt;&gt;0,"pas de prix",IF(M4853&lt;&gt; 0,"pas de quantité","pas de prix, ni de quantité"))))</f>
        <v>erreur de calcul</v>
      </c>
      <c r="BI4853" s="19"/>
    </row>
    <row r="4854" customFormat="false" ht="15" hidden="false" customHeight="false" outlineLevel="0" collapsed="false">
      <c r="A4854" s="0" t="n">
        <v>1</v>
      </c>
      <c r="B4854" s="8" t="s">
        <v>24</v>
      </c>
      <c r="C4854" s="9" t="s">
        <v>25</v>
      </c>
      <c r="D4854" s="9" t="s">
        <v>26</v>
      </c>
      <c r="E4854" s="10" t="n">
        <v>1789</v>
      </c>
      <c r="F4854" s="9" t="s">
        <v>27</v>
      </c>
      <c r="G4854" s="9" t="s">
        <v>27</v>
      </c>
      <c r="H4854" s="11" t="n">
        <v>26</v>
      </c>
      <c r="I4854" s="11" t="s">
        <v>372</v>
      </c>
      <c r="J4854" s="14" t="n">
        <v>30</v>
      </c>
      <c r="K4854" s="14"/>
      <c r="L4854" s="16"/>
      <c r="M4854" s="27" t="n">
        <f aca="false">J4854+(K4854/20)+(L4854/240)</f>
        <v>30</v>
      </c>
      <c r="N4854" s="17" t="s">
        <v>64</v>
      </c>
      <c r="O4854" s="11"/>
      <c r="P4854" s="28"/>
      <c r="Q4854" s="28" t="n">
        <f aca="false">P4854*$M4854</f>
        <v>0</v>
      </c>
      <c r="R4854" s="28"/>
      <c r="S4854" s="28" t="n">
        <f aca="false">R4854*$M4854</f>
        <v>0</v>
      </c>
      <c r="T4854" s="28"/>
      <c r="U4854" s="28" t="n">
        <f aca="false">T4854*$M4854</f>
        <v>0</v>
      </c>
      <c r="V4854" s="28" t="n">
        <f aca="false">1500/100</f>
        <v>15</v>
      </c>
      <c r="W4854" s="28" t="n">
        <v>450</v>
      </c>
      <c r="X4854" s="28"/>
      <c r="Y4854" s="28" t="n">
        <f aca="false">X4854*$M4854</f>
        <v>0</v>
      </c>
      <c r="Z4854" s="28"/>
      <c r="AA4854" s="28" t="n">
        <f aca="false">Z4854*$M4854</f>
        <v>0</v>
      </c>
      <c r="AB4854" s="28"/>
      <c r="AC4854" s="28" t="n">
        <f aca="false">AB4854*$M4854</f>
        <v>0</v>
      </c>
      <c r="AD4854" s="28"/>
      <c r="AE4854" s="28" t="n">
        <f aca="false">AD4854*$M4854</f>
        <v>0</v>
      </c>
      <c r="AF4854" s="28"/>
      <c r="AG4854" s="28" t="n">
        <f aca="false">AF4854*$M4854</f>
        <v>0</v>
      </c>
      <c r="AH4854" s="28"/>
      <c r="AI4854" s="28" t="n">
        <f aca="false">AH4854*$M4854</f>
        <v>0</v>
      </c>
      <c r="AJ4854" s="28"/>
      <c r="AK4854" s="28" t="n">
        <f aca="false">AJ4854*$M4854</f>
        <v>0</v>
      </c>
      <c r="AL4854" s="28"/>
      <c r="AM4854" s="28" t="n">
        <f aca="false">AL4854*$M4854</f>
        <v>0</v>
      </c>
      <c r="AN4854" s="28"/>
      <c r="AO4854" s="28" t="n">
        <f aca="false">AN4854*$M4854</f>
        <v>0</v>
      </c>
      <c r="AP4854" s="28"/>
      <c r="AQ4854" s="28" t="n">
        <f aca="false">AP4854*$M4854</f>
        <v>0</v>
      </c>
      <c r="AR4854" s="28"/>
      <c r="AS4854" s="28" t="n">
        <f aca="false">AR4854*$M4854</f>
        <v>0</v>
      </c>
      <c r="AT4854" s="28"/>
      <c r="AU4854" s="28" t="n">
        <f aca="false">AT4854*$M4854</f>
        <v>0</v>
      </c>
      <c r="AV4854" s="28"/>
      <c r="AW4854" s="28" t="n">
        <f aca="false">AV4854*$M4854</f>
        <v>0</v>
      </c>
      <c r="AX4854" s="28"/>
      <c r="AY4854" s="28" t="n">
        <f aca="false">AX4854*$M4854</f>
        <v>0</v>
      </c>
      <c r="AZ4854" s="30" t="n">
        <f aca="false">1500/100</f>
        <v>15</v>
      </c>
      <c r="BA4854" s="11" t="n">
        <v>450</v>
      </c>
      <c r="BB4854" s="31" t="n">
        <f aca="false">SUM(Q4854,S4854,U4854,W4854,Y4854,AA4854,AC4854,AE4854,AG4854,AI4854,AK4854,AM4854,AO4854,AQ4854,AS4854,AU4854,AW4854,AY4854)</f>
        <v>450</v>
      </c>
      <c r="BC4854" s="28" t="n">
        <f aca="false">BA4854-BB4854</f>
        <v>0</v>
      </c>
      <c r="BD4854" s="32" t="n">
        <f aca="false">SUM(P4854,R4854,T4854,V4854,X4854,Z4854,AB4854,AD4854,AF4854,AH4854,AJ4854,AL4854,AN4854,AP4854,AR4854,AT4854,AV4854,AX4854)</f>
        <v>15</v>
      </c>
      <c r="BE4854" s="33" t="n">
        <f aca="false">AZ4854-BD4854</f>
        <v>0</v>
      </c>
      <c r="BF4854" s="34" t="n">
        <f aca="false">BD4854*M4854</f>
        <v>450</v>
      </c>
      <c r="BG4854" s="35" t="n">
        <f aca="false">BA4854-BF4854</f>
        <v>0</v>
      </c>
      <c r="BH4854" s="19" t="str">
        <f aca="false">IF(BG4854=0,"",IF(BG4854&lt;&gt;BA4854,"erreur de calcul",IF(BD4854&lt;&gt;0,"pas de prix",IF(M4854&lt;&gt; 0,"pas de quantité","pas de prix, ni de quantité"))))</f>
        <v/>
      </c>
      <c r="BI4854" s="19"/>
    </row>
    <row r="4855" customFormat="false" ht="15" hidden="false" customHeight="false" outlineLevel="0" collapsed="false">
      <c r="A4855" s="0" t="n">
        <v>2</v>
      </c>
      <c r="B4855" s="8" t="s">
        <v>24</v>
      </c>
      <c r="C4855" s="9" t="s">
        <v>25</v>
      </c>
      <c r="D4855" s="9" t="s">
        <v>26</v>
      </c>
      <c r="E4855" s="10" t="n">
        <v>1789</v>
      </c>
      <c r="F4855" s="9" t="s">
        <v>27</v>
      </c>
      <c r="G4855" s="9" t="s">
        <v>27</v>
      </c>
      <c r="H4855" s="11" t="n">
        <v>26</v>
      </c>
      <c r="I4855" s="11" t="s">
        <v>373</v>
      </c>
      <c r="J4855" s="14" t="n">
        <v>25</v>
      </c>
      <c r="K4855" s="14"/>
      <c r="L4855" s="16"/>
      <c r="M4855" s="27" t="n">
        <f aca="false">J4855+(K4855/20)+(L4855/240)</f>
        <v>25</v>
      </c>
      <c r="N4855" s="17" t="s">
        <v>64</v>
      </c>
      <c r="O4855" s="11"/>
      <c r="P4855" s="28"/>
      <c r="Q4855" s="28" t="n">
        <f aca="false">P4855*$M4855</f>
        <v>0</v>
      </c>
      <c r="R4855" s="28"/>
      <c r="S4855" s="28" t="n">
        <f aca="false">R4855*$M4855</f>
        <v>0</v>
      </c>
      <c r="T4855" s="28" t="n">
        <f aca="false">34168/100</f>
        <v>341.68</v>
      </c>
      <c r="U4855" s="28" t="n">
        <v>8542</v>
      </c>
      <c r="V4855" s="28" t="n">
        <f aca="false">128249/100</f>
        <v>1282.49</v>
      </c>
      <c r="W4855" s="28" t="n">
        <v>32062</v>
      </c>
      <c r="X4855" s="28" t="n">
        <f aca="false">21365/100</f>
        <v>213.65</v>
      </c>
      <c r="Y4855" s="28" t="n">
        <v>5341</v>
      </c>
      <c r="Z4855" s="28"/>
      <c r="AA4855" s="28" t="n">
        <f aca="false">Z4855*$M4855</f>
        <v>0</v>
      </c>
      <c r="AB4855" s="28"/>
      <c r="AC4855" s="28" t="n">
        <f aca="false">AB4855*$M4855</f>
        <v>0</v>
      </c>
      <c r="AD4855" s="28"/>
      <c r="AE4855" s="28" t="n">
        <f aca="false">AD4855*$M4855</f>
        <v>0</v>
      </c>
      <c r="AF4855" s="28"/>
      <c r="AG4855" s="28" t="n">
        <f aca="false">AF4855*$M4855</f>
        <v>0</v>
      </c>
      <c r="AH4855" s="28"/>
      <c r="AI4855" s="28" t="n">
        <f aca="false">AH4855*$M4855</f>
        <v>0</v>
      </c>
      <c r="AJ4855" s="28" t="n">
        <f aca="false">155251/100</f>
        <v>1552.51</v>
      </c>
      <c r="AK4855" s="28" t="n">
        <v>38813</v>
      </c>
      <c r="AL4855" s="28" t="n">
        <f aca="false">185000/100</f>
        <v>1850</v>
      </c>
      <c r="AM4855" s="28" t="n">
        <v>46250</v>
      </c>
      <c r="AN4855" s="28"/>
      <c r="AO4855" s="28" t="n">
        <f aca="false">AN4855*$M4855</f>
        <v>0</v>
      </c>
      <c r="AP4855" s="28"/>
      <c r="AQ4855" s="28" t="n">
        <f aca="false">AP4855*$M4855</f>
        <v>0</v>
      </c>
      <c r="AR4855" s="28"/>
      <c r="AS4855" s="28" t="n">
        <f aca="false">AR4855*$M4855</f>
        <v>0</v>
      </c>
      <c r="AT4855" s="28"/>
      <c r="AU4855" s="28" t="n">
        <f aca="false">AT4855*$M4855</f>
        <v>0</v>
      </c>
      <c r="AV4855" s="28"/>
      <c r="AW4855" s="28" t="n">
        <f aca="false">AV4855*$M4855</f>
        <v>0</v>
      </c>
      <c r="AX4855" s="28"/>
      <c r="AY4855" s="28" t="n">
        <f aca="false">AX4855*$M4855</f>
        <v>0</v>
      </c>
      <c r="AZ4855" s="30" t="n">
        <f aca="false">524033/100</f>
        <v>5240.33</v>
      </c>
      <c r="BA4855" s="11" t="n">
        <v>131008</v>
      </c>
      <c r="BB4855" s="31" t="n">
        <f aca="false">SUM(Q4855,S4855,U4855,W4855,Y4855,AA4855,AC4855,AE4855,AG4855,AI4855,AK4855,AM4855,AO4855,AQ4855,AS4855,AU4855,AW4855,AY4855)</f>
        <v>131008</v>
      </c>
      <c r="BC4855" s="28" t="n">
        <f aca="false">BA4855-BB4855</f>
        <v>0</v>
      </c>
      <c r="BD4855" s="32" t="n">
        <f aca="false">SUM(P4855,R4855,T4855,V4855,X4855,Z4855,AB4855,AD4855,AF4855,AH4855,AJ4855,AL4855,AN4855,AP4855,AR4855,AT4855,AV4855,AX4855)</f>
        <v>5240.33</v>
      </c>
      <c r="BE4855" s="33" t="n">
        <f aca="false">AZ4855-BD4855</f>
        <v>0</v>
      </c>
      <c r="BF4855" s="34" t="n">
        <f aca="false">BD4855*M4855</f>
        <v>131008.25</v>
      </c>
      <c r="BG4855" s="35" t="n">
        <f aca="false">BA4855-BF4855</f>
        <v>-0.250000000014552</v>
      </c>
      <c r="BH4855" s="19" t="str">
        <f aca="false">IF(BG4855=0,"",IF(BG4855&lt;&gt;BA4855,"erreur de calcul",IF(BD4855&lt;&gt;0,"pas de prix",IF(M4855&lt;&gt; 0,"pas de quantité","pas de prix, ni de quantité"))))</f>
        <v>erreur de calcul</v>
      </c>
      <c r="BI4855" s="19"/>
    </row>
    <row r="4856" customFormat="false" ht="15" hidden="false" customHeight="false" outlineLevel="0" collapsed="false">
      <c r="A4856" s="0" t="n">
        <v>3</v>
      </c>
      <c r="B4856" s="8" t="s">
        <v>24</v>
      </c>
      <c r="C4856" s="9" t="s">
        <v>25</v>
      </c>
      <c r="D4856" s="9" t="s">
        <v>26</v>
      </c>
      <c r="E4856" s="10" t="n">
        <v>1789</v>
      </c>
      <c r="F4856" s="9" t="s">
        <v>27</v>
      </c>
      <c r="G4856" s="9" t="s">
        <v>27</v>
      </c>
      <c r="H4856" s="11" t="n">
        <v>26</v>
      </c>
      <c r="I4856" s="11" t="s">
        <v>374</v>
      </c>
      <c r="J4856" s="14" t="n">
        <v>70</v>
      </c>
      <c r="K4856" s="14"/>
      <c r="L4856" s="16"/>
      <c r="M4856" s="27" t="n">
        <f aca="false">J4856+(K4856/20)+(L4856/240)</f>
        <v>70</v>
      </c>
      <c r="N4856" s="17" t="s">
        <v>64</v>
      </c>
      <c r="O4856" s="11"/>
      <c r="P4856" s="28"/>
      <c r="Q4856" s="28" t="n">
        <f aca="false">P4856*$M4856</f>
        <v>0</v>
      </c>
      <c r="R4856" s="28"/>
      <c r="S4856" s="28" t="n">
        <f aca="false">R4856*$M4856</f>
        <v>0</v>
      </c>
      <c r="T4856" s="28"/>
      <c r="U4856" s="28" t="n">
        <f aca="false">T4856*$M4856</f>
        <v>0</v>
      </c>
      <c r="V4856" s="28" t="n">
        <f aca="false">4560/100</f>
        <v>45.6</v>
      </c>
      <c r="W4856" s="28" t="n">
        <v>3192</v>
      </c>
      <c r="X4856" s="28" t="n">
        <f aca="false">1115/100</f>
        <v>11.15</v>
      </c>
      <c r="Y4856" s="28" t="n">
        <v>780</v>
      </c>
      <c r="Z4856" s="28"/>
      <c r="AA4856" s="28" t="n">
        <f aca="false">Z4856*$M4856</f>
        <v>0</v>
      </c>
      <c r="AB4856" s="28" t="n">
        <f aca="false">9431/100</f>
        <v>94.31</v>
      </c>
      <c r="AC4856" s="28" t="n">
        <v>6602</v>
      </c>
      <c r="AD4856" s="28"/>
      <c r="AE4856" s="28" t="n">
        <f aca="false">AD4856*$M4856</f>
        <v>0</v>
      </c>
      <c r="AF4856" s="28"/>
      <c r="AG4856" s="28" t="n">
        <f aca="false">AF4856*$M4856</f>
        <v>0</v>
      </c>
      <c r="AH4856" s="28"/>
      <c r="AI4856" s="28" t="n">
        <f aca="false">AH4856*$M4856</f>
        <v>0</v>
      </c>
      <c r="AJ4856" s="28"/>
      <c r="AK4856" s="28" t="n">
        <f aca="false">AJ4856*$M4856</f>
        <v>0</v>
      </c>
      <c r="AL4856" s="28"/>
      <c r="AM4856" s="28" t="n">
        <f aca="false">AL4856*$M4856</f>
        <v>0</v>
      </c>
      <c r="AN4856" s="28"/>
      <c r="AO4856" s="28" t="n">
        <f aca="false">AN4856*$M4856</f>
        <v>0</v>
      </c>
      <c r="AP4856" s="28"/>
      <c r="AQ4856" s="28" t="n">
        <f aca="false">AP4856*$M4856</f>
        <v>0</v>
      </c>
      <c r="AR4856" s="28"/>
      <c r="AS4856" s="28" t="n">
        <f aca="false">AR4856*$M4856</f>
        <v>0</v>
      </c>
      <c r="AT4856" s="28"/>
      <c r="AU4856" s="28" t="n">
        <f aca="false">AT4856*$M4856</f>
        <v>0</v>
      </c>
      <c r="AV4856" s="28"/>
      <c r="AW4856" s="28" t="n">
        <f aca="false">AV4856*$M4856</f>
        <v>0</v>
      </c>
      <c r="AX4856" s="28"/>
      <c r="AY4856" s="28" t="n">
        <f aca="false">AX4856*$M4856</f>
        <v>0</v>
      </c>
      <c r="AZ4856" s="30" t="n">
        <f aca="false">15106/100</f>
        <v>151.06</v>
      </c>
      <c r="BA4856" s="11" t="n">
        <v>10574</v>
      </c>
      <c r="BB4856" s="31" t="n">
        <f aca="false">SUM(Q4856,S4856,U4856,W4856,Y4856,AA4856,AC4856,AE4856,AG4856,AI4856,AK4856,AM4856,AO4856,AQ4856,AS4856,AU4856,AW4856,AY4856)</f>
        <v>10574</v>
      </c>
      <c r="BC4856" s="28" t="n">
        <f aca="false">BA4856-BB4856</f>
        <v>0</v>
      </c>
      <c r="BD4856" s="32" t="n">
        <f aca="false">SUM(P4856,R4856,T4856,V4856,X4856,Z4856,AB4856,AD4856,AF4856,AH4856,AJ4856,AL4856,AN4856,AP4856,AR4856,AT4856,AV4856,AX4856)</f>
        <v>151.06</v>
      </c>
      <c r="BE4856" s="33" t="n">
        <f aca="false">AZ4856-BD4856</f>
        <v>0</v>
      </c>
      <c r="BF4856" s="34" t="n">
        <f aca="false">BD4856*M4856</f>
        <v>10574.2</v>
      </c>
      <c r="BG4856" s="35" t="n">
        <f aca="false">BA4856-BF4856</f>
        <v>-0.200000000000728</v>
      </c>
      <c r="BH4856" s="19" t="str">
        <f aca="false">IF(BG4856=0,"",IF(BG4856&lt;&gt;BA4856,"erreur de calcul",IF(BD4856&lt;&gt;0,"pas de prix",IF(M4856&lt;&gt; 0,"pas de quantité","pas de prix, ni de quantité"))))</f>
        <v>erreur de calcul</v>
      </c>
      <c r="BI4856" s="19"/>
    </row>
    <row r="4857" customFormat="false" ht="15" hidden="false" customHeight="false" outlineLevel="0" collapsed="false">
      <c r="A4857" s="0" t="n">
        <v>4</v>
      </c>
      <c r="B4857" s="8" t="s">
        <v>24</v>
      </c>
      <c r="C4857" s="9" t="s">
        <v>25</v>
      </c>
      <c r="D4857" s="9" t="s">
        <v>26</v>
      </c>
      <c r="E4857" s="10" t="n">
        <v>1789</v>
      </c>
      <c r="F4857" s="9" t="s">
        <v>27</v>
      </c>
      <c r="G4857" s="9" t="s">
        <v>27</v>
      </c>
      <c r="H4857" s="11" t="n">
        <v>26</v>
      </c>
      <c r="I4857" s="11" t="s">
        <v>375</v>
      </c>
      <c r="J4857" s="14" t="n">
        <v>245</v>
      </c>
      <c r="K4857" s="14"/>
      <c r="L4857" s="16"/>
      <c r="M4857" s="27" t="n">
        <f aca="false">J4857+(K4857/20)+(L4857/240)</f>
        <v>245</v>
      </c>
      <c r="N4857" s="17" t="s">
        <v>64</v>
      </c>
      <c r="O4857" s="11"/>
      <c r="P4857" s="28"/>
      <c r="Q4857" s="28" t="n">
        <f aca="false">P4857*$M4857</f>
        <v>0</v>
      </c>
      <c r="R4857" s="28"/>
      <c r="S4857" s="28" t="n">
        <f aca="false">R4857*$M4857</f>
        <v>0</v>
      </c>
      <c r="T4857" s="28"/>
      <c r="U4857" s="28" t="n">
        <f aca="false">T4857*$M4857</f>
        <v>0</v>
      </c>
      <c r="V4857" s="28"/>
      <c r="W4857" s="28" t="n">
        <f aca="false">V4857*$M4857</f>
        <v>0</v>
      </c>
      <c r="X4857" s="28"/>
      <c r="Y4857" s="28" t="n">
        <f aca="false">X4857*$M4857</f>
        <v>0</v>
      </c>
      <c r="Z4857" s="28"/>
      <c r="AA4857" s="28" t="n">
        <f aca="false">Z4857*$M4857</f>
        <v>0</v>
      </c>
      <c r="AB4857" s="28"/>
      <c r="AC4857" s="28" t="n">
        <f aca="false">AB4857*$M4857</f>
        <v>0</v>
      </c>
      <c r="AD4857" s="28"/>
      <c r="AE4857" s="28" t="n">
        <f aca="false">AD4857*$M4857</f>
        <v>0</v>
      </c>
      <c r="AF4857" s="28"/>
      <c r="AG4857" s="28" t="n">
        <f aca="false">AF4857*$M4857</f>
        <v>0</v>
      </c>
      <c r="AH4857" s="28" t="n">
        <f aca="false">751/100</f>
        <v>7.51</v>
      </c>
      <c r="AI4857" s="28" t="n">
        <v>1840</v>
      </c>
      <c r="AJ4857" s="28"/>
      <c r="AK4857" s="28" t="n">
        <f aca="false">AJ4857*$M4857</f>
        <v>0</v>
      </c>
      <c r="AL4857" s="28"/>
      <c r="AM4857" s="28" t="n">
        <f aca="false">AL4857*$M4857</f>
        <v>0</v>
      </c>
      <c r="AN4857" s="28"/>
      <c r="AO4857" s="28" t="n">
        <f aca="false">AN4857*$M4857</f>
        <v>0</v>
      </c>
      <c r="AP4857" s="28"/>
      <c r="AQ4857" s="28" t="n">
        <f aca="false">AP4857*$M4857</f>
        <v>0</v>
      </c>
      <c r="AR4857" s="28"/>
      <c r="AS4857" s="28" t="n">
        <f aca="false">AR4857*$M4857</f>
        <v>0</v>
      </c>
      <c r="AT4857" s="28"/>
      <c r="AU4857" s="28" t="n">
        <f aca="false">AT4857*$M4857</f>
        <v>0</v>
      </c>
      <c r="AV4857" s="28"/>
      <c r="AW4857" s="28" t="n">
        <f aca="false">AV4857*$M4857</f>
        <v>0</v>
      </c>
      <c r="AX4857" s="28"/>
      <c r="AY4857" s="28" t="n">
        <f aca="false">AX4857*$M4857</f>
        <v>0</v>
      </c>
      <c r="AZ4857" s="30" t="n">
        <f aca="false">751/100</f>
        <v>7.51</v>
      </c>
      <c r="BA4857" s="11" t="n">
        <v>1840</v>
      </c>
      <c r="BB4857" s="31" t="n">
        <f aca="false">SUM(Q4857,S4857,U4857,W4857,Y4857,AA4857,AC4857,AE4857,AG4857,AI4857,AK4857,AM4857,AO4857,AQ4857,AS4857,AU4857,AW4857,AY4857)</f>
        <v>1840</v>
      </c>
      <c r="BC4857" s="28" t="n">
        <f aca="false">BA4857-BB4857</f>
        <v>0</v>
      </c>
      <c r="BD4857" s="32" t="n">
        <f aca="false">SUM(P4857,R4857,T4857,V4857,X4857,Z4857,AB4857,AD4857,AF4857,AH4857,AJ4857,AL4857,AN4857,AP4857,AR4857,AT4857,AV4857,AX4857)</f>
        <v>7.51</v>
      </c>
      <c r="BE4857" s="33" t="n">
        <f aca="false">AZ4857-BD4857</f>
        <v>0</v>
      </c>
      <c r="BF4857" s="34" t="n">
        <f aca="false">BD4857*M4857</f>
        <v>1839.95</v>
      </c>
      <c r="BG4857" s="35" t="n">
        <f aca="false">BA4857-BF4857</f>
        <v>0.0499999999999545</v>
      </c>
      <c r="BH4857" s="19" t="str">
        <f aca="false">IF(BG4857=0,"",IF(BG4857&lt;&gt;BA4857,"erreur de calcul",IF(BD4857&lt;&gt;0,"pas de prix",IF(M4857&lt;&gt; 0,"pas de quantité","pas de prix, ni de quantité"))))</f>
        <v>erreur de calcul</v>
      </c>
      <c r="BI4857" s="19"/>
    </row>
    <row r="4858" customFormat="false" ht="15" hidden="false" customHeight="false" outlineLevel="0" collapsed="false">
      <c r="A4858" s="0" t="n">
        <v>5</v>
      </c>
      <c r="B4858" s="8" t="s">
        <v>24</v>
      </c>
      <c r="C4858" s="9" t="s">
        <v>25</v>
      </c>
      <c r="D4858" s="9" t="s">
        <v>26</v>
      </c>
      <c r="E4858" s="10" t="n">
        <v>1789</v>
      </c>
      <c r="F4858" s="9" t="s">
        <v>27</v>
      </c>
      <c r="G4858" s="9" t="s">
        <v>27</v>
      </c>
      <c r="H4858" s="11" t="n">
        <v>26</v>
      </c>
      <c r="I4858" s="11" t="s">
        <v>376</v>
      </c>
      <c r="J4858" s="14" t="n">
        <v>550</v>
      </c>
      <c r="K4858" s="14"/>
      <c r="L4858" s="16"/>
      <c r="M4858" s="27" t="n">
        <f aca="false">J4858+(K4858/20)+(L4858/240)</f>
        <v>550</v>
      </c>
      <c r="N4858" s="17" t="s">
        <v>64</v>
      </c>
      <c r="O4858" s="11"/>
      <c r="P4858" s="28"/>
      <c r="Q4858" s="28" t="n">
        <f aca="false">P4858*$M4858</f>
        <v>0</v>
      </c>
      <c r="R4858" s="28"/>
      <c r="S4858" s="28" t="n">
        <f aca="false">R4858*$M4858</f>
        <v>0</v>
      </c>
      <c r="T4858" s="28"/>
      <c r="U4858" s="28" t="n">
        <f aca="false">T4858*$M4858</f>
        <v>0</v>
      </c>
      <c r="V4858" s="28"/>
      <c r="W4858" s="28" t="n">
        <f aca="false">V4858*$M4858</f>
        <v>0</v>
      </c>
      <c r="X4858" s="28"/>
      <c r="Y4858" s="28" t="n">
        <f aca="false">X4858*$M4858</f>
        <v>0</v>
      </c>
      <c r="Z4858" s="28"/>
      <c r="AA4858" s="28" t="n">
        <f aca="false">Z4858*$M4858</f>
        <v>0</v>
      </c>
      <c r="AB4858" s="28"/>
      <c r="AC4858" s="28" t="n">
        <f aca="false">AB4858*$M4858</f>
        <v>0</v>
      </c>
      <c r="AD4858" s="28"/>
      <c r="AE4858" s="28" t="n">
        <f aca="false">AD4858*$M4858</f>
        <v>0</v>
      </c>
      <c r="AF4858" s="28"/>
      <c r="AG4858" s="28" t="n">
        <f aca="false">AF4858*$M4858</f>
        <v>0</v>
      </c>
      <c r="AH4858" s="28" t="n">
        <f aca="false">215551/100</f>
        <v>2155.51</v>
      </c>
      <c r="AI4858" s="28" t="n">
        <v>1185530</v>
      </c>
      <c r="AJ4858" s="28"/>
      <c r="AK4858" s="28" t="n">
        <f aca="false">AJ4858*$M4858</f>
        <v>0</v>
      </c>
      <c r="AL4858" s="28"/>
      <c r="AM4858" s="28" t="n">
        <f aca="false">AL4858*$M4858</f>
        <v>0</v>
      </c>
      <c r="AN4858" s="28"/>
      <c r="AO4858" s="28" t="n">
        <f aca="false">AN4858*$M4858</f>
        <v>0</v>
      </c>
      <c r="AP4858" s="28"/>
      <c r="AQ4858" s="28" t="n">
        <f aca="false">AP4858*$M4858</f>
        <v>0</v>
      </c>
      <c r="AR4858" s="28"/>
      <c r="AS4858" s="28" t="n">
        <f aca="false">AR4858*$M4858</f>
        <v>0</v>
      </c>
      <c r="AT4858" s="28"/>
      <c r="AU4858" s="28" t="n">
        <f aca="false">AT4858*$M4858</f>
        <v>0</v>
      </c>
      <c r="AV4858" s="28"/>
      <c r="AW4858" s="28" t="n">
        <f aca="false">AV4858*$M4858</f>
        <v>0</v>
      </c>
      <c r="AX4858" s="28"/>
      <c r="AY4858" s="28" t="n">
        <f aca="false">AX4858*$M4858</f>
        <v>0</v>
      </c>
      <c r="AZ4858" s="30" t="n">
        <f aca="false">215551/100</f>
        <v>2155.51</v>
      </c>
      <c r="BA4858" s="11" t="n">
        <v>1185530</v>
      </c>
      <c r="BB4858" s="31" t="n">
        <f aca="false">SUM(Q4858,S4858,U4858,W4858,Y4858,AA4858,AC4858,AE4858,AG4858,AI4858,AK4858,AM4858,AO4858,AQ4858,AS4858,AU4858,AW4858,AY4858)</f>
        <v>1185530</v>
      </c>
      <c r="BC4858" s="28" t="n">
        <f aca="false">BA4858-BB4858</f>
        <v>0</v>
      </c>
      <c r="BD4858" s="32" t="n">
        <f aca="false">SUM(P4858,R4858,T4858,V4858,X4858,Z4858,AB4858,AD4858,AF4858,AH4858,AJ4858,AL4858,AN4858,AP4858,AR4858,AT4858,AV4858,AX4858)</f>
        <v>2155.51</v>
      </c>
      <c r="BE4858" s="33" t="n">
        <f aca="false">AZ4858-BD4858</f>
        <v>0</v>
      </c>
      <c r="BF4858" s="34" t="n">
        <f aca="false">BD4858*M4858</f>
        <v>1185530.5</v>
      </c>
      <c r="BG4858" s="35" t="n">
        <f aca="false">BA4858-BF4858</f>
        <v>-0.500000000232831</v>
      </c>
      <c r="BH4858" s="19" t="str">
        <f aca="false">IF(BG4858=0,"",IF(BG4858&lt;&gt;BA4858,"erreur de calcul",IF(BD4858&lt;&gt;0,"pas de prix",IF(M4858&lt;&gt; 0,"pas de quantité","pas de prix, ni de quantité"))))</f>
        <v>erreur de calcul</v>
      </c>
      <c r="BI4858" s="19"/>
    </row>
    <row r="4859" customFormat="false" ht="15" hidden="false" customHeight="false" outlineLevel="0" collapsed="false">
      <c r="A4859" s="0" t="n">
        <v>6</v>
      </c>
      <c r="B4859" s="8" t="s">
        <v>24</v>
      </c>
      <c r="C4859" s="9" t="s">
        <v>25</v>
      </c>
      <c r="D4859" s="9" t="s">
        <v>26</v>
      </c>
      <c r="E4859" s="10" t="n">
        <v>1789</v>
      </c>
      <c r="F4859" s="9" t="s">
        <v>27</v>
      </c>
      <c r="G4859" s="9" t="s">
        <v>27</v>
      </c>
      <c r="H4859" s="11" t="n">
        <v>26</v>
      </c>
      <c r="I4859" s="11" t="s">
        <v>377</v>
      </c>
      <c r="J4859" s="14"/>
      <c r="K4859" s="14"/>
      <c r="L4859" s="16"/>
      <c r="M4859" s="27" t="n">
        <f aca="false">J4859+(K4859/20)+(L4859/240)</f>
        <v>0</v>
      </c>
      <c r="N4859" s="17"/>
      <c r="O4859" s="11"/>
      <c r="P4859" s="28"/>
      <c r="Q4859" s="28" t="n">
        <f aca="false">P4859*$M4859</f>
        <v>0</v>
      </c>
      <c r="R4859" s="28"/>
      <c r="S4859" s="28" t="n">
        <f aca="false">R4859*$M4859</f>
        <v>0</v>
      </c>
      <c r="T4859" s="28"/>
      <c r="U4859" s="28" t="n">
        <v>517</v>
      </c>
      <c r="V4859" s="28"/>
      <c r="W4859" s="28" t="n">
        <v>1243</v>
      </c>
      <c r="X4859" s="28"/>
      <c r="Y4859" s="28" t="n">
        <f aca="false">X4859*$M4859</f>
        <v>0</v>
      </c>
      <c r="Z4859" s="28"/>
      <c r="AA4859" s="28" t="n">
        <f aca="false">Z4859*$M4859</f>
        <v>0</v>
      </c>
      <c r="AB4859" s="28"/>
      <c r="AC4859" s="28" t="n">
        <v>694</v>
      </c>
      <c r="AD4859" s="28"/>
      <c r="AE4859" s="28" t="n">
        <f aca="false">AD4859*$M4859</f>
        <v>0</v>
      </c>
      <c r="AF4859" s="28"/>
      <c r="AG4859" s="28" t="n">
        <f aca="false">AF4859*$M4859</f>
        <v>0</v>
      </c>
      <c r="AH4859" s="28"/>
      <c r="AI4859" s="28" t="n">
        <f aca="false">AH4859*$M4859</f>
        <v>0</v>
      </c>
      <c r="AJ4859" s="28"/>
      <c r="AK4859" s="28" t="n">
        <v>664</v>
      </c>
      <c r="AL4859" s="28"/>
      <c r="AM4859" s="28" t="n">
        <v>161</v>
      </c>
      <c r="AN4859" s="28"/>
      <c r="AO4859" s="28" t="n">
        <f aca="false">AN4859*$M4859</f>
        <v>0</v>
      </c>
      <c r="AP4859" s="28"/>
      <c r="AQ4859" s="28" t="n">
        <f aca="false">AP4859*$M4859</f>
        <v>0</v>
      </c>
      <c r="AR4859" s="28"/>
      <c r="AS4859" s="28" t="n">
        <f aca="false">AR4859*$M4859</f>
        <v>0</v>
      </c>
      <c r="AT4859" s="28"/>
      <c r="AU4859" s="28" t="n">
        <f aca="false">AT4859*$M4859</f>
        <v>0</v>
      </c>
      <c r="AV4859" s="28"/>
      <c r="AW4859" s="28" t="n">
        <f aca="false">AV4859*$M4859</f>
        <v>0</v>
      </c>
      <c r="AX4859" s="28"/>
      <c r="AY4859" s="28" t="n">
        <f aca="false">AX4859*$M4859</f>
        <v>0</v>
      </c>
      <c r="AZ4859" s="30"/>
      <c r="BA4859" s="11" t="n">
        <v>3279</v>
      </c>
      <c r="BB4859" s="31" t="n">
        <f aca="false">SUM(Q4859,S4859,U4859,W4859,Y4859,AA4859,AC4859,AE4859,AG4859,AI4859,AK4859,AM4859,AO4859,AQ4859,AS4859,AU4859,AW4859,AY4859)</f>
        <v>3279</v>
      </c>
      <c r="BC4859" s="28" t="n">
        <f aca="false">BA4859-BB4859</f>
        <v>0</v>
      </c>
      <c r="BD4859" s="32" t="n">
        <f aca="false">SUM(P4859,R4859,T4859,V4859,X4859,Z4859,AB4859,AD4859,AF4859,AH4859,AJ4859,AL4859,AN4859,AP4859,AR4859,AT4859,AV4859,AX4859)</f>
        <v>0</v>
      </c>
      <c r="BE4859" s="33" t="n">
        <f aca="false">AZ4859-BD4859</f>
        <v>0</v>
      </c>
      <c r="BF4859" s="34" t="n">
        <f aca="false">BD4859*M4859</f>
        <v>0</v>
      </c>
      <c r="BG4859" s="35" t="n">
        <f aca="false">BA4859-BF4859</f>
        <v>3279</v>
      </c>
      <c r="BH4859" s="19" t="str">
        <f aca="false">IF(BG4859=0,"",IF(BG4859&lt;&gt;BA4859,"erreur de calcul",IF(BD4859&lt;&gt;0,"pas de prix",IF(M4859&lt;&gt; 0,"pas de quantité","pas de prix, ni de quantité"))))</f>
        <v>pas de prix, ni de quantité</v>
      </c>
      <c r="BI4859" s="19"/>
    </row>
    <row r="4860" customFormat="false" ht="15" hidden="false" customHeight="false" outlineLevel="0" collapsed="false">
      <c r="A4860" s="0" t="n">
        <v>7</v>
      </c>
      <c r="B4860" s="8" t="s">
        <v>24</v>
      </c>
      <c r="C4860" s="9" t="s">
        <v>25</v>
      </c>
      <c r="D4860" s="9" t="s">
        <v>26</v>
      </c>
      <c r="E4860" s="10" t="n">
        <v>1789</v>
      </c>
      <c r="F4860" s="9" t="s">
        <v>27</v>
      </c>
      <c r="G4860" s="9" t="s">
        <v>27</v>
      </c>
      <c r="H4860" s="11" t="n">
        <v>26</v>
      </c>
      <c r="I4860" s="11" t="s">
        <v>378</v>
      </c>
      <c r="J4860" s="14" t="n">
        <v>27</v>
      </c>
      <c r="K4860" s="14"/>
      <c r="L4860" s="16"/>
      <c r="M4860" s="27" t="n">
        <f aca="false">J4860+(K4860/20)+(L4860/240)</f>
        <v>27</v>
      </c>
      <c r="N4860" s="17" t="s">
        <v>379</v>
      </c>
      <c r="O4860" s="11" t="s">
        <v>98</v>
      </c>
      <c r="P4860" s="28"/>
      <c r="Q4860" s="28" t="n">
        <f aca="false">P4860*$M4860</f>
        <v>0</v>
      </c>
      <c r="R4860" s="28"/>
      <c r="S4860" s="28" t="n">
        <f aca="false">R4860*$M4860</f>
        <v>0</v>
      </c>
      <c r="T4860" s="28"/>
      <c r="U4860" s="28" t="n">
        <f aca="false">T4860*$M4860</f>
        <v>0</v>
      </c>
      <c r="V4860" s="28"/>
      <c r="W4860" s="28" t="n">
        <f aca="false">V4860*$M4860</f>
        <v>0</v>
      </c>
      <c r="X4860" s="28"/>
      <c r="Y4860" s="28" t="n">
        <f aca="false">X4860*$M4860</f>
        <v>0</v>
      </c>
      <c r="Z4860" s="28"/>
      <c r="AA4860" s="28" t="n">
        <f aca="false">Z4860*$M4860</f>
        <v>0</v>
      </c>
      <c r="AB4860" s="28"/>
      <c r="AC4860" s="28" t="n">
        <f aca="false">AB4860*$M4860</f>
        <v>0</v>
      </c>
      <c r="AD4860" s="28"/>
      <c r="AE4860" s="28" t="n">
        <f aca="false">AD4860*$M4860</f>
        <v>0</v>
      </c>
      <c r="AF4860" s="28"/>
      <c r="AG4860" s="28" t="n">
        <f aca="false">AF4860*$M4860</f>
        <v>0</v>
      </c>
      <c r="AH4860" s="28"/>
      <c r="AI4860" s="28" t="n">
        <f aca="false">AH4860*$M4860</f>
        <v>0</v>
      </c>
      <c r="AJ4860" s="28"/>
      <c r="AK4860" s="28" t="n">
        <f aca="false">AJ4860*$M4860</f>
        <v>0</v>
      </c>
      <c r="AL4860" s="28"/>
      <c r="AM4860" s="28" t="n">
        <f aca="false">AL4860*$M4860</f>
        <v>0</v>
      </c>
      <c r="AN4860" s="28"/>
      <c r="AO4860" s="28" t="n">
        <f aca="false">AN4860*$M4860</f>
        <v>0</v>
      </c>
      <c r="AP4860" s="28"/>
      <c r="AQ4860" s="28" t="n">
        <f aca="false">AP4860*$M4860</f>
        <v>0</v>
      </c>
      <c r="AR4860" s="28"/>
      <c r="AS4860" s="28" t="n">
        <f aca="false">AR4860*$M4860</f>
        <v>0</v>
      </c>
      <c r="AT4860" s="28"/>
      <c r="AU4860" s="28" t="n">
        <f aca="false">AT4860*$M4860</f>
        <v>0</v>
      </c>
      <c r="AV4860" s="28"/>
      <c r="AW4860" s="28" t="n">
        <f aca="false">AV4860*$M4860</f>
        <v>0</v>
      </c>
      <c r="AX4860" s="28"/>
      <c r="AY4860" s="28" t="n">
        <f aca="false">AX4860*$M4860</f>
        <v>0</v>
      </c>
      <c r="AZ4860" s="30"/>
      <c r="BA4860" s="11"/>
      <c r="BB4860" s="31" t="n">
        <f aca="false">SUM(Q4860,S4860,U4860,W4860,Y4860,AA4860,AC4860,AE4860,AG4860,AI4860,AK4860,AM4860,AO4860,AQ4860,AS4860,AU4860,AW4860,AY4860)</f>
        <v>0</v>
      </c>
      <c r="BC4860" s="28" t="n">
        <f aca="false">BA4860-BB4860</f>
        <v>0</v>
      </c>
      <c r="BD4860" s="32" t="n">
        <f aca="false">SUM(P4860,R4860,T4860,V4860,X4860,Z4860,AB4860,AD4860,AF4860,AH4860,AJ4860,AL4860,AN4860,AP4860,AR4860,AT4860,AV4860,AX4860)</f>
        <v>0</v>
      </c>
      <c r="BE4860" s="33" t="n">
        <f aca="false">AZ4860-BD4860</f>
        <v>0</v>
      </c>
      <c r="BF4860" s="34" t="n">
        <f aca="false">BD4860*M4860</f>
        <v>0</v>
      </c>
      <c r="BG4860" s="35" t="n">
        <f aca="false">BA4860-BF4860</f>
        <v>0</v>
      </c>
      <c r="BH4860" s="19" t="str">
        <f aca="false">IF(BG4860=0,"",IF(BG4860&lt;&gt;BA4860,"erreur de calcul",IF(BD4860&lt;&gt;0,"pas de prix",IF(M4860&lt;&gt; 0,"pas de quantité","pas de prix, ni de quantité"))))</f>
        <v/>
      </c>
      <c r="BI4860" s="19"/>
    </row>
    <row r="4861" customFormat="false" ht="15" hidden="false" customHeight="false" outlineLevel="0" collapsed="false">
      <c r="A4861" s="0" t="n">
        <v>8</v>
      </c>
      <c r="B4861" s="8" t="s">
        <v>24</v>
      </c>
      <c r="C4861" s="9" t="s">
        <v>25</v>
      </c>
      <c r="D4861" s="9" t="s">
        <v>26</v>
      </c>
      <c r="E4861" s="10" t="n">
        <v>1789</v>
      </c>
      <c r="F4861" s="9" t="s">
        <v>27</v>
      </c>
      <c r="G4861" s="9" t="s">
        <v>27</v>
      </c>
      <c r="H4861" s="11" t="n">
        <v>26</v>
      </c>
      <c r="I4861" s="11" t="s">
        <v>380</v>
      </c>
      <c r="J4861" s="14" t="n">
        <v>30</v>
      </c>
      <c r="K4861" s="14"/>
      <c r="L4861" s="16"/>
      <c r="M4861" s="27" t="n">
        <f aca="false">J4861+(K4861/20)+(L4861/240)</f>
        <v>30</v>
      </c>
      <c r="N4861" s="17" t="s">
        <v>64</v>
      </c>
      <c r="O4861" s="11"/>
      <c r="P4861" s="28"/>
      <c r="Q4861" s="28" t="n">
        <f aca="false">P4861*$M4861</f>
        <v>0</v>
      </c>
      <c r="R4861" s="28"/>
      <c r="S4861" s="28" t="n">
        <f aca="false">R4861*$M4861</f>
        <v>0</v>
      </c>
      <c r="T4861" s="28"/>
      <c r="U4861" s="28" t="n">
        <f aca="false">T4861*$M4861</f>
        <v>0</v>
      </c>
      <c r="V4861" s="28"/>
      <c r="W4861" s="28" t="n">
        <f aca="false">V4861*$M4861</f>
        <v>0</v>
      </c>
      <c r="X4861" s="28"/>
      <c r="Y4861" s="28" t="n">
        <f aca="false">X4861*$M4861</f>
        <v>0</v>
      </c>
      <c r="Z4861" s="28"/>
      <c r="AA4861" s="28" t="n">
        <f aca="false">Z4861*$M4861</f>
        <v>0</v>
      </c>
      <c r="AB4861" s="28"/>
      <c r="AC4861" s="28" t="n">
        <f aca="false">AB4861*$M4861</f>
        <v>0</v>
      </c>
      <c r="AD4861" s="28"/>
      <c r="AE4861" s="28" t="n">
        <f aca="false">AD4861*$M4861</f>
        <v>0</v>
      </c>
      <c r="AF4861" s="28"/>
      <c r="AG4861" s="28" t="n">
        <f aca="false">AF4861*$M4861</f>
        <v>0</v>
      </c>
      <c r="AH4861" s="28"/>
      <c r="AI4861" s="28" t="n">
        <f aca="false">AH4861*$M4861</f>
        <v>0</v>
      </c>
      <c r="AJ4861" s="28"/>
      <c r="AK4861" s="28" t="n">
        <f aca="false">AJ4861*$M4861</f>
        <v>0</v>
      </c>
      <c r="AL4861" s="28"/>
      <c r="AM4861" s="28" t="n">
        <f aca="false">AL4861*$M4861</f>
        <v>0</v>
      </c>
      <c r="AN4861" s="28"/>
      <c r="AO4861" s="28" t="n">
        <f aca="false">AN4861*$M4861</f>
        <v>0</v>
      </c>
      <c r="AP4861" s="28"/>
      <c r="AQ4861" s="28" t="n">
        <f aca="false">AP4861*$M4861</f>
        <v>0</v>
      </c>
      <c r="AR4861" s="28"/>
      <c r="AS4861" s="28" t="n">
        <f aca="false">AR4861*$M4861</f>
        <v>0</v>
      </c>
      <c r="AT4861" s="28"/>
      <c r="AU4861" s="28" t="n">
        <f aca="false">AT4861*$M4861</f>
        <v>0</v>
      </c>
      <c r="AV4861" s="28" t="n">
        <f aca="false">5417/100</f>
        <v>54.17</v>
      </c>
      <c r="AW4861" s="28" t="n">
        <v>1625</v>
      </c>
      <c r="AX4861" s="28"/>
      <c r="AY4861" s="28" t="n">
        <f aca="false">AX4861*$M4861</f>
        <v>0</v>
      </c>
      <c r="AZ4861" s="30"/>
      <c r="BA4861" s="11" t="n">
        <v>1625</v>
      </c>
      <c r="BB4861" s="31" t="n">
        <f aca="false">SUM(Q4861,S4861,U4861,W4861,Y4861,AA4861,AC4861,AE4861,AG4861,AI4861,AK4861,AM4861,AO4861,AQ4861,AS4861,AU4861,AW4861,AY4861)</f>
        <v>1625</v>
      </c>
      <c r="BC4861" s="28" t="n">
        <f aca="false">BA4861-BB4861</f>
        <v>0</v>
      </c>
      <c r="BD4861" s="32" t="n">
        <f aca="false">SUM(P4861,R4861,T4861,V4861,X4861,Z4861,AB4861,AD4861,AF4861,AH4861,AJ4861,AL4861,AN4861,AP4861,AR4861,AT4861,AV4861,AX4861)</f>
        <v>54.17</v>
      </c>
      <c r="BE4861" s="33" t="n">
        <f aca="false">AZ4861-BD4861</f>
        <v>-54.17</v>
      </c>
      <c r="BF4861" s="34" t="n">
        <f aca="false">BD4861*M4861</f>
        <v>1625.1</v>
      </c>
      <c r="BG4861" s="35" t="n">
        <f aca="false">BA4861-BF4861</f>
        <v>-0.100000000000136</v>
      </c>
      <c r="BH4861" s="19" t="str">
        <f aca="false">IF(BG4861=0,"",IF(BG4861&lt;&gt;BA4861,"erreur de calcul",IF(BD4861&lt;&gt;0,"pas de prix",IF(M4861&lt;&gt; 0,"pas de quantité","pas de prix, ni de quantité"))))</f>
        <v>erreur de calcul</v>
      </c>
      <c r="BI4861" s="19"/>
    </row>
    <row r="4862" customFormat="false" ht="15" hidden="false" customHeight="false" outlineLevel="0" collapsed="false">
      <c r="A4862" s="0" t="n">
        <v>9</v>
      </c>
      <c r="B4862" s="8" t="s">
        <v>24</v>
      </c>
      <c r="C4862" s="9" t="s">
        <v>25</v>
      </c>
      <c r="D4862" s="9" t="s">
        <v>26</v>
      </c>
      <c r="E4862" s="10" t="n">
        <v>1789</v>
      </c>
      <c r="F4862" s="9" t="s">
        <v>27</v>
      </c>
      <c r="G4862" s="9" t="s">
        <v>27</v>
      </c>
      <c r="H4862" s="11" t="n">
        <v>26</v>
      </c>
      <c r="I4862" s="11" t="s">
        <v>381</v>
      </c>
      <c r="J4862" s="14" t="n">
        <v>6</v>
      </c>
      <c r="K4862" s="14"/>
      <c r="L4862" s="16"/>
      <c r="M4862" s="27" t="n">
        <f aca="false">J4862+(K4862/20)+(L4862/240)</f>
        <v>6</v>
      </c>
      <c r="N4862" s="17" t="s">
        <v>379</v>
      </c>
      <c r="O4862" s="11" t="s">
        <v>98</v>
      </c>
      <c r="P4862" s="28"/>
      <c r="Q4862" s="28" t="n">
        <f aca="false">P4862*$M4862</f>
        <v>0</v>
      </c>
      <c r="R4862" s="28"/>
      <c r="S4862" s="28" t="n">
        <f aca="false">R4862*$M4862</f>
        <v>0</v>
      </c>
      <c r="T4862" s="28"/>
      <c r="U4862" s="28" t="n">
        <f aca="false">T4862*$M4862</f>
        <v>0</v>
      </c>
      <c r="V4862" s="28"/>
      <c r="W4862" s="28" t="n">
        <f aca="false">V4862*$M4862</f>
        <v>0</v>
      </c>
      <c r="X4862" s="28"/>
      <c r="Y4862" s="28" t="n">
        <f aca="false">X4862*$M4862</f>
        <v>0</v>
      </c>
      <c r="Z4862" s="28"/>
      <c r="AA4862" s="28" t="n">
        <f aca="false">Z4862*$M4862</f>
        <v>0</v>
      </c>
      <c r="AB4862" s="28"/>
      <c r="AC4862" s="28" t="n">
        <f aca="false">AB4862*$M4862</f>
        <v>0</v>
      </c>
      <c r="AD4862" s="28"/>
      <c r="AE4862" s="28" t="n">
        <f aca="false">AD4862*$M4862</f>
        <v>0</v>
      </c>
      <c r="AF4862" s="28"/>
      <c r="AG4862" s="28" t="n">
        <f aca="false">AF4862*$M4862</f>
        <v>0</v>
      </c>
      <c r="AH4862" s="28"/>
      <c r="AI4862" s="28" t="n">
        <f aca="false">AH4862*$M4862</f>
        <v>0</v>
      </c>
      <c r="AJ4862" s="28"/>
      <c r="AK4862" s="28" t="n">
        <f aca="false">AJ4862*$M4862</f>
        <v>0</v>
      </c>
      <c r="AL4862" s="28"/>
      <c r="AM4862" s="28" t="n">
        <f aca="false">AL4862*$M4862</f>
        <v>0</v>
      </c>
      <c r="AN4862" s="28"/>
      <c r="AO4862" s="28" t="n">
        <f aca="false">AN4862*$M4862</f>
        <v>0</v>
      </c>
      <c r="AP4862" s="28"/>
      <c r="AQ4862" s="28" t="n">
        <f aca="false">AP4862*$M4862</f>
        <v>0</v>
      </c>
      <c r="AR4862" s="28"/>
      <c r="AS4862" s="28" t="n">
        <f aca="false">AR4862*$M4862</f>
        <v>0</v>
      </c>
      <c r="AT4862" s="28"/>
      <c r="AU4862" s="28" t="n">
        <f aca="false">AT4862*$M4862</f>
        <v>0</v>
      </c>
      <c r="AV4862" s="28"/>
      <c r="AW4862" s="28" t="n">
        <f aca="false">AV4862*$M4862</f>
        <v>0</v>
      </c>
      <c r="AX4862" s="28"/>
      <c r="AY4862" s="28" t="n">
        <f aca="false">AX4862*$M4862</f>
        <v>0</v>
      </c>
      <c r="AZ4862" s="30"/>
      <c r="BA4862" s="11"/>
      <c r="BB4862" s="31" t="n">
        <f aca="false">SUM(Q4862,S4862,U4862,W4862,Y4862,AA4862,AC4862,AE4862,AG4862,AI4862,AK4862,AM4862,AO4862,AQ4862,AS4862,AU4862,AW4862,AY4862)</f>
        <v>0</v>
      </c>
      <c r="BC4862" s="28" t="n">
        <f aca="false">BA4862-BB4862</f>
        <v>0</v>
      </c>
      <c r="BD4862" s="32" t="n">
        <f aca="false">SUM(P4862,R4862,T4862,V4862,X4862,Z4862,AB4862,AD4862,AF4862,AH4862,AJ4862,AL4862,AN4862,AP4862,AR4862,AT4862,AV4862,AX4862)</f>
        <v>0</v>
      </c>
      <c r="BE4862" s="33" t="n">
        <f aca="false">AZ4862-BD4862</f>
        <v>0</v>
      </c>
      <c r="BF4862" s="34" t="n">
        <f aca="false">BD4862*M4862</f>
        <v>0</v>
      </c>
      <c r="BG4862" s="35" t="n">
        <f aca="false">BA4862-BF4862</f>
        <v>0</v>
      </c>
      <c r="BH4862" s="19" t="str">
        <f aca="false">IF(BG4862=0,"",IF(BG4862&lt;&gt;BA4862,"erreur de calcul",IF(BD4862&lt;&gt;0,"pas de prix",IF(M4862&lt;&gt; 0,"pas de quantité","pas de prix, ni de quantité"))))</f>
        <v/>
      </c>
      <c r="BI4862" s="19"/>
    </row>
    <row r="4863" customFormat="false" ht="15" hidden="false" customHeight="false" outlineLevel="0" collapsed="false">
      <c r="A4863" s="0" t="n">
        <v>10</v>
      </c>
      <c r="B4863" s="8" t="s">
        <v>24</v>
      </c>
      <c r="C4863" s="9" t="s">
        <v>25</v>
      </c>
      <c r="D4863" s="9" t="s">
        <v>26</v>
      </c>
      <c r="E4863" s="10" t="n">
        <v>1789</v>
      </c>
      <c r="F4863" s="9" t="s">
        <v>27</v>
      </c>
      <c r="G4863" s="9" t="s">
        <v>27</v>
      </c>
      <c r="H4863" s="11" t="n">
        <v>26</v>
      </c>
      <c r="I4863" s="11" t="s">
        <v>381</v>
      </c>
      <c r="J4863" s="14" t="n">
        <v>40</v>
      </c>
      <c r="K4863" s="14"/>
      <c r="L4863" s="16"/>
      <c r="M4863" s="27" t="n">
        <f aca="false">J4863+(K4863/20)+(L4863/240)</f>
        <v>40</v>
      </c>
      <c r="N4863" s="17" t="s">
        <v>382</v>
      </c>
      <c r="O4863" s="11" t="s">
        <v>98</v>
      </c>
      <c r="P4863" s="28"/>
      <c r="Q4863" s="28" t="n">
        <f aca="false">P4863*$M4863</f>
        <v>0</v>
      </c>
      <c r="R4863" s="28"/>
      <c r="S4863" s="28" t="n">
        <f aca="false">R4863*$M4863</f>
        <v>0</v>
      </c>
      <c r="T4863" s="28"/>
      <c r="U4863" s="28" t="n">
        <f aca="false">T4863*$M4863</f>
        <v>0</v>
      </c>
      <c r="V4863" s="28"/>
      <c r="W4863" s="28" t="n">
        <f aca="false">V4863*$M4863</f>
        <v>0</v>
      </c>
      <c r="X4863" s="28"/>
      <c r="Y4863" s="28" t="n">
        <f aca="false">X4863*$M4863</f>
        <v>0</v>
      </c>
      <c r="Z4863" s="28"/>
      <c r="AA4863" s="28" t="n">
        <f aca="false">Z4863*$M4863</f>
        <v>0</v>
      </c>
      <c r="AB4863" s="28"/>
      <c r="AC4863" s="28" t="n">
        <f aca="false">AB4863*$M4863</f>
        <v>0</v>
      </c>
      <c r="AD4863" s="28"/>
      <c r="AE4863" s="28" t="n">
        <f aca="false">AD4863*$M4863</f>
        <v>0</v>
      </c>
      <c r="AF4863" s="28"/>
      <c r="AG4863" s="28" t="n">
        <f aca="false">AF4863*$M4863</f>
        <v>0</v>
      </c>
      <c r="AH4863" s="28"/>
      <c r="AI4863" s="28" t="n">
        <f aca="false">AH4863*$M4863</f>
        <v>0</v>
      </c>
      <c r="AJ4863" s="28"/>
      <c r="AK4863" s="28" t="n">
        <f aca="false">AJ4863*$M4863</f>
        <v>0</v>
      </c>
      <c r="AL4863" s="28"/>
      <c r="AM4863" s="28" t="n">
        <f aca="false">AL4863*$M4863</f>
        <v>0</v>
      </c>
      <c r="AN4863" s="28"/>
      <c r="AO4863" s="28" t="n">
        <f aca="false">AN4863*$M4863</f>
        <v>0</v>
      </c>
      <c r="AP4863" s="28"/>
      <c r="AQ4863" s="28" t="n">
        <f aca="false">AP4863*$M4863</f>
        <v>0</v>
      </c>
      <c r="AR4863" s="28"/>
      <c r="AS4863" s="28" t="n">
        <f aca="false">AR4863*$M4863</f>
        <v>0</v>
      </c>
      <c r="AT4863" s="28"/>
      <c r="AU4863" s="28" t="n">
        <f aca="false">AT4863*$M4863</f>
        <v>0</v>
      </c>
      <c r="AV4863" s="28"/>
      <c r="AW4863" s="28" t="n">
        <f aca="false">AV4863*$M4863</f>
        <v>0</v>
      </c>
      <c r="AX4863" s="28"/>
      <c r="AY4863" s="28" t="n">
        <f aca="false">AX4863*$M4863</f>
        <v>0</v>
      </c>
      <c r="AZ4863" s="30"/>
      <c r="BA4863" s="11"/>
      <c r="BB4863" s="31" t="n">
        <f aca="false">SUM(Q4863,S4863,U4863,W4863,Y4863,AA4863,AC4863,AE4863,AG4863,AI4863,AK4863,AM4863,AO4863,AQ4863,AS4863,AU4863,AW4863,AY4863)</f>
        <v>0</v>
      </c>
      <c r="BC4863" s="28" t="n">
        <f aca="false">BA4863-BB4863</f>
        <v>0</v>
      </c>
      <c r="BD4863" s="32" t="n">
        <f aca="false">SUM(P4863,R4863,T4863,V4863,X4863,Z4863,AB4863,AD4863,AF4863,AH4863,AJ4863,AL4863,AN4863,AP4863,AR4863,AT4863,AV4863,AX4863)</f>
        <v>0</v>
      </c>
      <c r="BE4863" s="33" t="n">
        <f aca="false">AZ4863-BD4863</f>
        <v>0</v>
      </c>
      <c r="BF4863" s="34" t="n">
        <f aca="false">BD4863*M4863</f>
        <v>0</v>
      </c>
      <c r="BG4863" s="35" t="n">
        <f aca="false">BA4863-BF4863</f>
        <v>0</v>
      </c>
      <c r="BH4863" s="19" t="str">
        <f aca="false">IF(BG4863=0,"",IF(BG4863&lt;&gt;BA4863,"erreur de calcul",IF(BD4863&lt;&gt;0,"pas de prix",IF(M4863&lt;&gt; 0,"pas de quantité","pas de prix, ni de quantité"))))</f>
        <v/>
      </c>
      <c r="BI4863" s="19"/>
    </row>
    <row r="4864" customFormat="false" ht="15" hidden="false" customHeight="false" outlineLevel="0" collapsed="false">
      <c r="A4864" s="0" t="n">
        <v>11</v>
      </c>
      <c r="B4864" s="8" t="s">
        <v>24</v>
      </c>
      <c r="C4864" s="9" t="s">
        <v>25</v>
      </c>
      <c r="D4864" s="9" t="s">
        <v>26</v>
      </c>
      <c r="E4864" s="10" t="n">
        <v>1789</v>
      </c>
      <c r="F4864" s="9" t="s">
        <v>27</v>
      </c>
      <c r="G4864" s="9" t="s">
        <v>27</v>
      </c>
      <c r="H4864" s="11" t="n">
        <v>26</v>
      </c>
      <c r="I4864" s="11" t="s">
        <v>383</v>
      </c>
      <c r="J4864" s="14" t="n">
        <v>50</v>
      </c>
      <c r="K4864" s="14"/>
      <c r="L4864" s="16"/>
      <c r="M4864" s="27" t="n">
        <f aca="false">J4864+(K4864/20)+(L4864/240)</f>
        <v>50</v>
      </c>
      <c r="N4864" s="17" t="s">
        <v>64</v>
      </c>
      <c r="O4864" s="11"/>
      <c r="P4864" s="28" t="n">
        <f aca="false">54967/100</f>
        <v>549.67</v>
      </c>
      <c r="Q4864" s="28" t="n">
        <v>27483</v>
      </c>
      <c r="R4864" s="28"/>
      <c r="S4864" s="28" t="n">
        <f aca="false">R4864*$M4864</f>
        <v>0</v>
      </c>
      <c r="T4864" s="28" t="n">
        <f aca="false">74693/100</f>
        <v>746.93</v>
      </c>
      <c r="U4864" s="28" t="n">
        <v>37346</v>
      </c>
      <c r="V4864" s="28" t="n">
        <f aca="false">161729/100</f>
        <v>1617.29</v>
      </c>
      <c r="W4864" s="28" t="n">
        <v>80864</v>
      </c>
      <c r="X4864" s="28" t="n">
        <f aca="false">106689/100</f>
        <v>1066.89</v>
      </c>
      <c r="Y4864" s="28" t="n">
        <v>53344</v>
      </c>
      <c r="Z4864" s="28"/>
      <c r="AA4864" s="28" t="n">
        <f aca="false">Z4864*$M4864</f>
        <v>0</v>
      </c>
      <c r="AB4864" s="28"/>
      <c r="AC4864" s="28" t="n">
        <f aca="false">AB4864*$M4864</f>
        <v>0</v>
      </c>
      <c r="AD4864" s="28"/>
      <c r="AE4864" s="28" t="n">
        <f aca="false">AD4864*$M4864</f>
        <v>0</v>
      </c>
      <c r="AF4864" s="28"/>
      <c r="AG4864" s="28" t="n">
        <f aca="false">AF4864*$M4864</f>
        <v>0</v>
      </c>
      <c r="AH4864" s="28"/>
      <c r="AI4864" s="28" t="n">
        <f aca="false">AH4864*$M4864</f>
        <v>0</v>
      </c>
      <c r="AJ4864" s="28"/>
      <c r="AK4864" s="28" t="n">
        <f aca="false">AJ4864*$M4864</f>
        <v>0</v>
      </c>
      <c r="AL4864" s="28"/>
      <c r="AM4864" s="28" t="n">
        <f aca="false">AL4864*$M4864</f>
        <v>0</v>
      </c>
      <c r="AN4864" s="28"/>
      <c r="AO4864" s="28" t="n">
        <f aca="false">AN4864*$M4864</f>
        <v>0</v>
      </c>
      <c r="AP4864" s="28"/>
      <c r="AQ4864" s="28" t="n">
        <f aca="false">AP4864*$M4864</f>
        <v>0</v>
      </c>
      <c r="AR4864" s="28"/>
      <c r="AS4864" s="28" t="n">
        <f aca="false">AR4864*$M4864</f>
        <v>0</v>
      </c>
      <c r="AT4864" s="28"/>
      <c r="AU4864" s="28" t="n">
        <f aca="false">AT4864*$M4864</f>
        <v>0</v>
      </c>
      <c r="AV4864" s="28"/>
      <c r="AW4864" s="28" t="n">
        <f aca="false">AV4864*$M4864</f>
        <v>0</v>
      </c>
      <c r="AX4864" s="28"/>
      <c r="AY4864" s="28" t="n">
        <f aca="false">AX4864*$M4864</f>
        <v>0</v>
      </c>
      <c r="AZ4864" s="30" t="n">
        <f aca="false">398078/100</f>
        <v>3980.78</v>
      </c>
      <c r="BA4864" s="11" t="n">
        <v>199037</v>
      </c>
      <c r="BB4864" s="31" t="n">
        <f aca="false">SUM(Q4864,S4864,U4864,W4864,Y4864,AA4864,AC4864,AE4864,AG4864,AI4864,AK4864,AM4864,AO4864,AQ4864,AS4864,AU4864,AW4864,AY4864)</f>
        <v>199037</v>
      </c>
      <c r="BC4864" s="28" t="n">
        <f aca="false">BA4864-BB4864</f>
        <v>0</v>
      </c>
      <c r="BD4864" s="32" t="n">
        <f aca="false">SUM(P4864,R4864,T4864,V4864,X4864,Z4864,AB4864,AD4864,AF4864,AH4864,AJ4864,AL4864,AN4864,AP4864,AR4864,AT4864,AV4864,AX4864)</f>
        <v>3980.78</v>
      </c>
      <c r="BE4864" s="33" t="n">
        <f aca="false">AZ4864-BD4864</f>
        <v>0</v>
      </c>
      <c r="BF4864" s="34" t="n">
        <f aca="false">BD4864*M4864</f>
        <v>199039</v>
      </c>
      <c r="BG4864" s="35" t="n">
        <f aca="false">BA4864-BF4864</f>
        <v>-2</v>
      </c>
      <c r="BH4864" s="19" t="str">
        <f aca="false">IF(BG4864=0,"",IF(BG4864&lt;&gt;BA4864,"erreur de calcul",IF(BD4864&lt;&gt;0,"pas de prix",IF(M4864&lt;&gt; 0,"pas de quantité","pas de prix, ni de quantité"))))</f>
        <v>erreur de calcul</v>
      </c>
      <c r="BI4864" s="19"/>
    </row>
    <row r="4865" customFormat="false" ht="15" hidden="false" customHeight="false" outlineLevel="0" collapsed="false">
      <c r="A4865" s="0" t="n">
        <v>12</v>
      </c>
      <c r="B4865" s="8" t="s">
        <v>24</v>
      </c>
      <c r="C4865" s="9" t="s">
        <v>25</v>
      </c>
      <c r="D4865" s="9" t="s">
        <v>26</v>
      </c>
      <c r="E4865" s="10" t="n">
        <v>1789</v>
      </c>
      <c r="F4865" s="9" t="s">
        <v>27</v>
      </c>
      <c r="G4865" s="9" t="s">
        <v>27</v>
      </c>
      <c r="H4865" s="11" t="n">
        <v>26</v>
      </c>
      <c r="I4865" s="11" t="s">
        <v>384</v>
      </c>
      <c r="J4865" s="14" t="n">
        <v>27</v>
      </c>
      <c r="K4865" s="14"/>
      <c r="L4865" s="16"/>
      <c r="M4865" s="27" t="n">
        <f aca="false">J4865+(K4865/20)+(L4865/240)</f>
        <v>27</v>
      </c>
      <c r="N4865" s="17" t="s">
        <v>64</v>
      </c>
      <c r="O4865" s="11"/>
      <c r="P4865" s="28"/>
      <c r="Q4865" s="28" t="n">
        <f aca="false">P4865*$M4865</f>
        <v>0</v>
      </c>
      <c r="R4865" s="28"/>
      <c r="S4865" s="28" t="n">
        <f aca="false">R4865*$M4865</f>
        <v>0</v>
      </c>
      <c r="T4865" s="28"/>
      <c r="U4865" s="28" t="n">
        <f aca="false">T4865*$M4865</f>
        <v>0</v>
      </c>
      <c r="V4865" s="28"/>
      <c r="W4865" s="28" t="n">
        <f aca="false">V4865*$M4865</f>
        <v>0</v>
      </c>
      <c r="X4865" s="28" t="n">
        <f aca="false">13334/100</f>
        <v>133.34</v>
      </c>
      <c r="Y4865" s="28" t="n">
        <v>3600</v>
      </c>
      <c r="Z4865" s="28"/>
      <c r="AA4865" s="28" t="n">
        <f aca="false">Z4865*$M4865</f>
        <v>0</v>
      </c>
      <c r="AB4865" s="28"/>
      <c r="AC4865" s="28" t="n">
        <f aca="false">AB4865*$M4865</f>
        <v>0</v>
      </c>
      <c r="AD4865" s="28"/>
      <c r="AE4865" s="28" t="n">
        <f aca="false">AD4865*$M4865</f>
        <v>0</v>
      </c>
      <c r="AF4865" s="28"/>
      <c r="AG4865" s="28" t="n">
        <f aca="false">AF4865*$M4865</f>
        <v>0</v>
      </c>
      <c r="AH4865" s="28"/>
      <c r="AI4865" s="28" t="n">
        <f aca="false">AH4865*$M4865</f>
        <v>0</v>
      </c>
      <c r="AJ4865" s="28"/>
      <c r="AK4865" s="28" t="n">
        <f aca="false">AJ4865*$M4865</f>
        <v>0</v>
      </c>
      <c r="AL4865" s="28"/>
      <c r="AM4865" s="28" t="n">
        <f aca="false">AL4865*$M4865</f>
        <v>0</v>
      </c>
      <c r="AN4865" s="28"/>
      <c r="AO4865" s="28" t="n">
        <f aca="false">AN4865*$M4865</f>
        <v>0</v>
      </c>
      <c r="AP4865" s="28"/>
      <c r="AQ4865" s="28" t="n">
        <f aca="false">AP4865*$M4865</f>
        <v>0</v>
      </c>
      <c r="AR4865" s="28"/>
      <c r="AS4865" s="28" t="n">
        <f aca="false">AR4865*$M4865</f>
        <v>0</v>
      </c>
      <c r="AT4865" s="28"/>
      <c r="AU4865" s="28" t="n">
        <f aca="false">AT4865*$M4865</f>
        <v>0</v>
      </c>
      <c r="AV4865" s="28"/>
      <c r="AW4865" s="28" t="n">
        <f aca="false">AV4865*$M4865</f>
        <v>0</v>
      </c>
      <c r="AX4865" s="28"/>
      <c r="AY4865" s="28" t="n">
        <f aca="false">AX4865*$M4865</f>
        <v>0</v>
      </c>
      <c r="AZ4865" s="30" t="n">
        <f aca="false">13334/100</f>
        <v>133.34</v>
      </c>
      <c r="BA4865" s="11" t="n">
        <v>3600</v>
      </c>
      <c r="BB4865" s="31" t="n">
        <f aca="false">SUM(Q4865,S4865,U4865,W4865,Y4865,AA4865,AC4865,AE4865,AG4865,AI4865,AK4865,AM4865,AO4865,AQ4865,AS4865,AU4865,AW4865,AY4865)</f>
        <v>3600</v>
      </c>
      <c r="BC4865" s="28" t="n">
        <f aca="false">BA4865-BB4865</f>
        <v>0</v>
      </c>
      <c r="BD4865" s="32" t="n">
        <f aca="false">SUM(P4865,R4865,T4865,V4865,X4865,Z4865,AB4865,AD4865,AF4865,AH4865,AJ4865,AL4865,AN4865,AP4865,AR4865,AT4865,AV4865,AX4865)</f>
        <v>133.34</v>
      </c>
      <c r="BE4865" s="33" t="n">
        <f aca="false">AZ4865-BD4865</f>
        <v>0</v>
      </c>
      <c r="BF4865" s="34" t="n">
        <f aca="false">BD4865*M4865</f>
        <v>3600.18</v>
      </c>
      <c r="BG4865" s="35" t="n">
        <f aca="false">BA4865-BF4865</f>
        <v>-0.180000000000291</v>
      </c>
      <c r="BH4865" s="19" t="str">
        <f aca="false">IF(BG4865=0,"",IF(BG4865&lt;&gt;BA4865,"erreur de calcul",IF(BD4865&lt;&gt;0,"pas de prix",IF(M4865&lt;&gt; 0,"pas de quantité","pas de prix, ni de quantité"))))</f>
        <v>erreur de calcul</v>
      </c>
      <c r="BI4865" s="19"/>
    </row>
    <row r="4866" customFormat="false" ht="15" hidden="false" customHeight="false" outlineLevel="0" collapsed="false">
      <c r="A4866" s="0" t="n">
        <v>13</v>
      </c>
      <c r="B4866" s="8" t="s">
        <v>24</v>
      </c>
      <c r="C4866" s="9" t="s">
        <v>25</v>
      </c>
      <c r="D4866" s="9" t="s">
        <v>26</v>
      </c>
      <c r="E4866" s="10" t="n">
        <v>1789</v>
      </c>
      <c r="F4866" s="9" t="s">
        <v>27</v>
      </c>
      <c r="G4866" s="9" t="s">
        <v>27</v>
      </c>
      <c r="H4866" s="11" t="n">
        <v>26</v>
      </c>
      <c r="I4866" s="11" t="s">
        <v>385</v>
      </c>
      <c r="J4866" s="14" t="n">
        <v>40</v>
      </c>
      <c r="K4866" s="14"/>
      <c r="L4866" s="16"/>
      <c r="M4866" s="27" t="n">
        <f aca="false">J4866+(K4866/20)+(L4866/240)</f>
        <v>40</v>
      </c>
      <c r="N4866" s="17" t="s">
        <v>64</v>
      </c>
      <c r="O4866" s="11"/>
      <c r="P4866" s="28"/>
      <c r="Q4866" s="28" t="n">
        <f aca="false">P4866*$M4866</f>
        <v>0</v>
      </c>
      <c r="R4866" s="28"/>
      <c r="S4866" s="28" t="n">
        <f aca="false">R4866*$M4866</f>
        <v>0</v>
      </c>
      <c r="T4866" s="28" t="n">
        <f aca="false">13801/100</f>
        <v>138.01</v>
      </c>
      <c r="U4866" s="28" t="n">
        <v>5520</v>
      </c>
      <c r="V4866" s="28"/>
      <c r="W4866" s="28" t="n">
        <f aca="false">V4866*$M4866</f>
        <v>0</v>
      </c>
      <c r="X4866" s="28"/>
      <c r="Y4866" s="28" t="n">
        <f aca="false">X4866*$M4866</f>
        <v>0</v>
      </c>
      <c r="Z4866" s="28"/>
      <c r="AA4866" s="28" t="n">
        <f aca="false">Z4866*$M4866</f>
        <v>0</v>
      </c>
      <c r="AB4866" s="28"/>
      <c r="AC4866" s="28" t="n">
        <f aca="false">AB4866*$M4866</f>
        <v>0</v>
      </c>
      <c r="AD4866" s="28"/>
      <c r="AE4866" s="28" t="n">
        <f aca="false">AD4866*$M4866</f>
        <v>0</v>
      </c>
      <c r="AF4866" s="28"/>
      <c r="AG4866" s="28" t="n">
        <f aca="false">AF4866*$M4866</f>
        <v>0</v>
      </c>
      <c r="AH4866" s="28"/>
      <c r="AI4866" s="28" t="n">
        <f aca="false">AH4866*$M4866</f>
        <v>0</v>
      </c>
      <c r="AJ4866" s="28"/>
      <c r="AK4866" s="28" t="n">
        <f aca="false">AJ4866*$M4866</f>
        <v>0</v>
      </c>
      <c r="AL4866" s="28"/>
      <c r="AM4866" s="28" t="n">
        <f aca="false">AL4866*$M4866</f>
        <v>0</v>
      </c>
      <c r="AN4866" s="28"/>
      <c r="AO4866" s="28" t="n">
        <f aca="false">AN4866*$M4866</f>
        <v>0</v>
      </c>
      <c r="AP4866" s="28"/>
      <c r="AQ4866" s="28" t="n">
        <f aca="false">AP4866*$M4866</f>
        <v>0</v>
      </c>
      <c r="AR4866" s="28"/>
      <c r="AS4866" s="28" t="n">
        <f aca="false">AR4866*$M4866</f>
        <v>0</v>
      </c>
      <c r="AT4866" s="28"/>
      <c r="AU4866" s="28" t="n">
        <f aca="false">AT4866*$M4866</f>
        <v>0</v>
      </c>
      <c r="AV4866" s="28"/>
      <c r="AW4866" s="28" t="n">
        <f aca="false">AV4866*$M4866</f>
        <v>0</v>
      </c>
      <c r="AX4866" s="28"/>
      <c r="AY4866" s="28" t="n">
        <f aca="false">AX4866*$M4866</f>
        <v>0</v>
      </c>
      <c r="AZ4866" s="30" t="n">
        <f aca="false">13801/100</f>
        <v>138.01</v>
      </c>
      <c r="BA4866" s="11" t="n">
        <v>5520</v>
      </c>
      <c r="BB4866" s="31" t="n">
        <f aca="false">SUM(Q4866,S4866,U4866,W4866,Y4866,AA4866,AC4866,AE4866,AG4866,AI4866,AK4866,AM4866,AO4866,AQ4866,AS4866,AU4866,AW4866,AY4866)</f>
        <v>5520</v>
      </c>
      <c r="BC4866" s="28" t="n">
        <f aca="false">BA4866-BB4866</f>
        <v>0</v>
      </c>
      <c r="BD4866" s="32" t="n">
        <f aca="false">SUM(P4866,R4866,T4866,V4866,X4866,Z4866,AB4866,AD4866,AF4866,AH4866,AJ4866,AL4866,AN4866,AP4866,AR4866,AT4866,AV4866,AX4866)</f>
        <v>138.01</v>
      </c>
      <c r="BE4866" s="33" t="n">
        <f aca="false">AZ4866-BD4866</f>
        <v>0</v>
      </c>
      <c r="BF4866" s="34" t="n">
        <f aca="false">BD4866*M4866</f>
        <v>5520.4</v>
      </c>
      <c r="BG4866" s="35" t="n">
        <f aca="false">BA4866-BF4866</f>
        <v>-0.399999999999636</v>
      </c>
      <c r="BH4866" s="19" t="str">
        <f aca="false">IF(BG4866=0,"",IF(BG4866&lt;&gt;BA4866,"erreur de calcul",IF(BD4866&lt;&gt;0,"pas de prix",IF(M4866&lt;&gt; 0,"pas de quantité","pas de prix, ni de quantité"))))</f>
        <v>erreur de calcul</v>
      </c>
      <c r="BI4866" s="19"/>
    </row>
    <row r="4867" customFormat="false" ht="15" hidden="false" customHeight="false" outlineLevel="0" collapsed="false">
      <c r="A4867" s="0" t="n">
        <v>14</v>
      </c>
      <c r="B4867" s="8" t="s">
        <v>24</v>
      </c>
      <c r="C4867" s="9" t="s">
        <v>25</v>
      </c>
      <c r="D4867" s="9" t="s">
        <v>26</v>
      </c>
      <c r="E4867" s="10" t="n">
        <v>1789</v>
      </c>
      <c r="F4867" s="9" t="s">
        <v>27</v>
      </c>
      <c r="G4867" s="9" t="s">
        <v>27</v>
      </c>
      <c r="H4867" s="11" t="n">
        <v>26</v>
      </c>
      <c r="I4867" s="11" t="s">
        <v>386</v>
      </c>
      <c r="J4867" s="14" t="n">
        <v>10</v>
      </c>
      <c r="K4867" s="14"/>
      <c r="L4867" s="16"/>
      <c r="M4867" s="27" t="n">
        <f aca="false">J4867+(K4867/20)+(L4867/240)</f>
        <v>10</v>
      </c>
      <c r="N4867" s="17" t="s">
        <v>387</v>
      </c>
      <c r="O4867" s="11" t="s">
        <v>77</v>
      </c>
      <c r="P4867" s="28" t="n">
        <v>30740</v>
      </c>
      <c r="Q4867" s="28" t="n">
        <v>307400</v>
      </c>
      <c r="R4867" s="28"/>
      <c r="S4867" s="28" t="n">
        <f aca="false">R4867*$M4867</f>
        <v>0</v>
      </c>
      <c r="T4867" s="28" t="n">
        <v>1357</v>
      </c>
      <c r="U4867" s="28" t="n">
        <v>13570</v>
      </c>
      <c r="V4867" s="28" t="n">
        <v>115</v>
      </c>
      <c r="W4867" s="28" t="n">
        <v>1150</v>
      </c>
      <c r="X4867" s="28"/>
      <c r="Y4867" s="28" t="n">
        <f aca="false">X4867*$M4867</f>
        <v>0</v>
      </c>
      <c r="Z4867" s="28"/>
      <c r="AA4867" s="28" t="n">
        <f aca="false">Z4867*$M4867</f>
        <v>0</v>
      </c>
      <c r="AB4867" s="28"/>
      <c r="AC4867" s="28" t="n">
        <f aca="false">AB4867*$M4867</f>
        <v>0</v>
      </c>
      <c r="AD4867" s="28"/>
      <c r="AE4867" s="28" t="n">
        <f aca="false">AD4867*$M4867</f>
        <v>0</v>
      </c>
      <c r="AF4867" s="28"/>
      <c r="AG4867" s="28" t="n">
        <f aca="false">AF4867*$M4867</f>
        <v>0</v>
      </c>
      <c r="AH4867" s="28"/>
      <c r="AI4867" s="28" t="n">
        <f aca="false">AH4867*$M4867</f>
        <v>0</v>
      </c>
      <c r="AJ4867" s="28"/>
      <c r="AK4867" s="28" t="n">
        <f aca="false">AJ4867*$M4867</f>
        <v>0</v>
      </c>
      <c r="AL4867" s="28"/>
      <c r="AM4867" s="28" t="n">
        <f aca="false">AL4867*$M4867</f>
        <v>0</v>
      </c>
      <c r="AN4867" s="28"/>
      <c r="AO4867" s="28" t="n">
        <f aca="false">AN4867*$M4867</f>
        <v>0</v>
      </c>
      <c r="AP4867" s="28"/>
      <c r="AQ4867" s="28" t="n">
        <f aca="false">AP4867*$M4867</f>
        <v>0</v>
      </c>
      <c r="AR4867" s="28"/>
      <c r="AS4867" s="28" t="n">
        <f aca="false">AR4867*$M4867</f>
        <v>0</v>
      </c>
      <c r="AT4867" s="28"/>
      <c r="AU4867" s="28" t="n">
        <f aca="false">AT4867*$M4867</f>
        <v>0</v>
      </c>
      <c r="AV4867" s="28"/>
      <c r="AW4867" s="28" t="n">
        <f aca="false">AV4867*$M4867</f>
        <v>0</v>
      </c>
      <c r="AX4867" s="28"/>
      <c r="AY4867" s="28" t="n">
        <f aca="false">AX4867*$M4867</f>
        <v>0</v>
      </c>
      <c r="AZ4867" s="30" t="n">
        <f aca="false">32212/100</f>
        <v>322.12</v>
      </c>
      <c r="BA4867" s="11" t="n">
        <v>322120</v>
      </c>
      <c r="BB4867" s="31" t="n">
        <f aca="false">SUM(Q4867,S4867,U4867,W4867,Y4867,AA4867,AC4867,AE4867,AG4867,AI4867,AK4867,AM4867,AO4867,AQ4867,AS4867,AU4867,AW4867,AY4867)</f>
        <v>322120</v>
      </c>
      <c r="BC4867" s="28" t="n">
        <f aca="false">BA4867-BB4867</f>
        <v>0</v>
      </c>
      <c r="BD4867" s="32" t="n">
        <f aca="false">SUM(P4867,R4867,T4867,V4867,X4867,Z4867,AB4867,AD4867,AF4867,AH4867,AJ4867,AL4867,AN4867,AP4867,AR4867,AT4867,AV4867,AX4867)</f>
        <v>32212</v>
      </c>
      <c r="BE4867" s="33" t="n">
        <f aca="false">AZ4867-BD4867</f>
        <v>-31889.88</v>
      </c>
      <c r="BF4867" s="34" t="n">
        <f aca="false">BD4867*M4867</f>
        <v>322120</v>
      </c>
      <c r="BG4867" s="35" t="n">
        <f aca="false">BA4867-BF4867</f>
        <v>0</v>
      </c>
      <c r="BH4867" s="19" t="str">
        <f aca="false">IF(BG4867=0,"",IF(BG4867&lt;&gt;BA4867,"erreur de calcul",IF(BD4867&lt;&gt;0,"pas de prix",IF(M4867&lt;&gt; 0,"pas de quantité","pas de prix, ni de quantité"))))</f>
        <v/>
      </c>
      <c r="BI4867" s="19"/>
    </row>
    <row r="4868" customFormat="false" ht="15" hidden="false" customHeight="false" outlineLevel="0" collapsed="false">
      <c r="A4868" s="0" t="n">
        <v>15</v>
      </c>
      <c r="B4868" s="8" t="s">
        <v>24</v>
      </c>
      <c r="C4868" s="9" t="s">
        <v>25</v>
      </c>
      <c r="D4868" s="9" t="s">
        <v>26</v>
      </c>
      <c r="E4868" s="10" t="n">
        <v>1789</v>
      </c>
      <c r="F4868" s="9" t="s">
        <v>27</v>
      </c>
      <c r="G4868" s="9" t="s">
        <v>27</v>
      </c>
      <c r="H4868" s="11" t="n">
        <v>26</v>
      </c>
      <c r="I4868" s="11" t="s">
        <v>385</v>
      </c>
      <c r="J4868" s="14" t="n">
        <v>60</v>
      </c>
      <c r="K4868" s="14"/>
      <c r="L4868" s="16"/>
      <c r="M4868" s="27" t="n">
        <f aca="false">J4868+(K4868/20)+(L4868/240)</f>
        <v>60</v>
      </c>
      <c r="N4868" s="17" t="s">
        <v>64</v>
      </c>
      <c r="O4868" s="11"/>
      <c r="P4868" s="28"/>
      <c r="Q4868" s="28" t="n">
        <f aca="false">P4868*$M4868</f>
        <v>0</v>
      </c>
      <c r="R4868" s="28"/>
      <c r="S4868" s="28" t="n">
        <f aca="false">R4868*$M4868</f>
        <v>0</v>
      </c>
      <c r="T4868" s="28" t="n">
        <f aca="false">204759/100</f>
        <v>2047.59</v>
      </c>
      <c r="U4868" s="28" t="n">
        <v>122855</v>
      </c>
      <c r="V4868" s="28"/>
      <c r="W4868" s="28" t="n">
        <f aca="false">V4868*$M4868</f>
        <v>0</v>
      </c>
      <c r="X4868" s="28"/>
      <c r="Y4868" s="28" t="n">
        <f aca="false">X4868*$M4868</f>
        <v>0</v>
      </c>
      <c r="Z4868" s="28"/>
      <c r="AA4868" s="28" t="n">
        <f aca="false">Z4868*$M4868</f>
        <v>0</v>
      </c>
      <c r="AB4868" s="28"/>
      <c r="AC4868" s="28" t="n">
        <f aca="false">AB4868*$M4868</f>
        <v>0</v>
      </c>
      <c r="AD4868" s="28"/>
      <c r="AE4868" s="28" t="n">
        <f aca="false">AD4868*$M4868</f>
        <v>0</v>
      </c>
      <c r="AF4868" s="28"/>
      <c r="AG4868" s="28" t="n">
        <f aca="false">AF4868*$M4868</f>
        <v>0</v>
      </c>
      <c r="AH4868" s="28"/>
      <c r="AI4868" s="28" t="n">
        <f aca="false">AH4868*$M4868</f>
        <v>0</v>
      </c>
      <c r="AJ4868" s="28"/>
      <c r="AK4868" s="28" t="n">
        <f aca="false">AJ4868*$M4868</f>
        <v>0</v>
      </c>
      <c r="AL4868" s="28"/>
      <c r="AM4868" s="28" t="n">
        <f aca="false">AL4868*$M4868</f>
        <v>0</v>
      </c>
      <c r="AN4868" s="28"/>
      <c r="AO4868" s="28" t="n">
        <f aca="false">AN4868*$M4868</f>
        <v>0</v>
      </c>
      <c r="AP4868" s="28"/>
      <c r="AQ4868" s="28" t="n">
        <f aca="false">AP4868*$M4868</f>
        <v>0</v>
      </c>
      <c r="AR4868" s="28"/>
      <c r="AS4868" s="28" t="n">
        <f aca="false">AR4868*$M4868</f>
        <v>0</v>
      </c>
      <c r="AT4868" s="28"/>
      <c r="AU4868" s="28" t="n">
        <f aca="false">AT4868*$M4868</f>
        <v>0</v>
      </c>
      <c r="AV4868" s="28"/>
      <c r="AW4868" s="28" t="n">
        <f aca="false">AV4868*$M4868</f>
        <v>0</v>
      </c>
      <c r="AX4868" s="28"/>
      <c r="AY4868" s="28" t="n">
        <f aca="false">AX4868*$M4868</f>
        <v>0</v>
      </c>
      <c r="AZ4868" s="30" t="n">
        <f aca="false">204759/100</f>
        <v>2047.59</v>
      </c>
      <c r="BA4868" s="11" t="n">
        <v>122855</v>
      </c>
      <c r="BB4868" s="31" t="n">
        <f aca="false">SUM(Q4868,S4868,U4868,W4868,Y4868,AA4868,AC4868,AE4868,AG4868,AI4868,AK4868,AM4868,AO4868,AQ4868,AS4868,AU4868,AW4868,AY4868)</f>
        <v>122855</v>
      </c>
      <c r="BC4868" s="28" t="n">
        <f aca="false">BA4868-BB4868</f>
        <v>0</v>
      </c>
      <c r="BD4868" s="32" t="n">
        <f aca="false">SUM(P4868,R4868,T4868,V4868,X4868,Z4868,AB4868,AD4868,AF4868,AH4868,AJ4868,AL4868,AN4868,AP4868,AR4868,AT4868,AV4868,AX4868)</f>
        <v>2047.59</v>
      </c>
      <c r="BE4868" s="33" t="n">
        <f aca="false">AZ4868-BD4868</f>
        <v>0</v>
      </c>
      <c r="BF4868" s="34" t="n">
        <f aca="false">BD4868*M4868</f>
        <v>122855.4</v>
      </c>
      <c r="BG4868" s="35" t="n">
        <f aca="false">BA4868-BF4868</f>
        <v>-0.399999999994179</v>
      </c>
      <c r="BH4868" s="19" t="str">
        <f aca="false">IF(BG4868=0,"",IF(BG4868&lt;&gt;BA4868,"erreur de calcul",IF(BD4868&lt;&gt;0,"pas de prix",IF(M4868&lt;&gt; 0,"pas de quantité","pas de prix, ni de quantité"))))</f>
        <v>erreur de calcul</v>
      </c>
      <c r="BI4868" s="19"/>
    </row>
    <row r="4869" customFormat="false" ht="15" hidden="false" customHeight="false" outlineLevel="0" collapsed="false">
      <c r="A4869" s="0" t="n">
        <v>16</v>
      </c>
      <c r="B4869" s="8" t="s">
        <v>24</v>
      </c>
      <c r="C4869" s="9" t="s">
        <v>25</v>
      </c>
      <c r="D4869" s="9" t="s">
        <v>26</v>
      </c>
      <c r="E4869" s="10" t="n">
        <v>1789</v>
      </c>
      <c r="F4869" s="9" t="s">
        <v>27</v>
      </c>
      <c r="G4869" s="9" t="s">
        <v>27</v>
      </c>
      <c r="H4869" s="11" t="n">
        <v>26</v>
      </c>
      <c r="I4869" s="11" t="s">
        <v>388</v>
      </c>
      <c r="J4869" s="14" t="n">
        <v>4</v>
      </c>
      <c r="K4869" s="14" t="n">
        <v>10</v>
      </c>
      <c r="L4869" s="16"/>
      <c r="M4869" s="27" t="n">
        <f aca="false">J4869+(K4869/20)+(L4869/240)</f>
        <v>4.5</v>
      </c>
      <c r="N4869" s="17" t="s">
        <v>66</v>
      </c>
      <c r="O4869" s="11"/>
      <c r="P4869" s="28" t="n">
        <v>20973</v>
      </c>
      <c r="Q4869" s="28" t="n">
        <v>94378</v>
      </c>
      <c r="R4869" s="28"/>
      <c r="S4869" s="28" t="n">
        <f aca="false">R4869*$M4869</f>
        <v>0</v>
      </c>
      <c r="T4869" s="28"/>
      <c r="U4869" s="28" t="n">
        <f aca="false">T4869*$M4869</f>
        <v>0</v>
      </c>
      <c r="V4869" s="28"/>
      <c r="W4869" s="28" t="n">
        <f aca="false">V4869*$M4869</f>
        <v>0</v>
      </c>
      <c r="X4869" s="28"/>
      <c r="Y4869" s="28" t="n">
        <f aca="false">X4869*$M4869</f>
        <v>0</v>
      </c>
      <c r="Z4869" s="28"/>
      <c r="AA4869" s="28" t="n">
        <f aca="false">Z4869*$M4869</f>
        <v>0</v>
      </c>
      <c r="AB4869" s="28"/>
      <c r="AC4869" s="28" t="n">
        <f aca="false">AB4869*$M4869</f>
        <v>0</v>
      </c>
      <c r="AD4869" s="28"/>
      <c r="AE4869" s="28" t="n">
        <f aca="false">AD4869*$M4869</f>
        <v>0</v>
      </c>
      <c r="AF4869" s="28"/>
      <c r="AG4869" s="28" t="n">
        <f aca="false">AF4869*$M4869</f>
        <v>0</v>
      </c>
      <c r="AH4869" s="28"/>
      <c r="AI4869" s="28" t="n">
        <f aca="false">AH4869*$M4869</f>
        <v>0</v>
      </c>
      <c r="AJ4869" s="28"/>
      <c r="AK4869" s="28" t="n">
        <f aca="false">AJ4869*$M4869</f>
        <v>0</v>
      </c>
      <c r="AL4869" s="28"/>
      <c r="AM4869" s="28" t="n">
        <f aca="false">AL4869*$M4869</f>
        <v>0</v>
      </c>
      <c r="AN4869" s="28"/>
      <c r="AO4869" s="28" t="n">
        <f aca="false">AN4869*$M4869</f>
        <v>0</v>
      </c>
      <c r="AP4869" s="28"/>
      <c r="AQ4869" s="28" t="n">
        <f aca="false">AP4869*$M4869</f>
        <v>0</v>
      </c>
      <c r="AR4869" s="28"/>
      <c r="AS4869" s="28" t="n">
        <f aca="false">AR4869*$M4869</f>
        <v>0</v>
      </c>
      <c r="AT4869" s="28"/>
      <c r="AU4869" s="28" t="n">
        <f aca="false">AT4869*$M4869</f>
        <v>0</v>
      </c>
      <c r="AV4869" s="28"/>
      <c r="AW4869" s="28" t="n">
        <f aca="false">AV4869*$M4869</f>
        <v>0</v>
      </c>
      <c r="AX4869" s="28"/>
      <c r="AY4869" s="28" t="n">
        <f aca="false">AX4869*$M4869</f>
        <v>0</v>
      </c>
      <c r="AZ4869" s="30" t="n">
        <v>20973</v>
      </c>
      <c r="BA4869" s="11" t="n">
        <v>94378</v>
      </c>
      <c r="BB4869" s="31" t="n">
        <f aca="false">SUM(Q4869,S4869,U4869,W4869,Y4869,AA4869,AC4869,AE4869,AG4869,AI4869,AK4869,AM4869,AO4869,AQ4869,AS4869,AU4869,AW4869,AY4869)</f>
        <v>94378</v>
      </c>
      <c r="BC4869" s="28" t="n">
        <f aca="false">BA4869-BB4869</f>
        <v>0</v>
      </c>
      <c r="BD4869" s="32" t="n">
        <f aca="false">SUM(P4869,R4869,T4869,V4869,X4869,Z4869,AB4869,AD4869,AF4869,AH4869,AJ4869,AL4869,AN4869,AP4869,AR4869,AT4869,AV4869,AX4869)</f>
        <v>20973</v>
      </c>
      <c r="BE4869" s="33" t="n">
        <f aca="false">AZ4869-BD4869</f>
        <v>0</v>
      </c>
      <c r="BF4869" s="34" t="n">
        <f aca="false">BD4869*M4869</f>
        <v>94378.5</v>
      </c>
      <c r="BG4869" s="35" t="n">
        <f aca="false">BA4869-BF4869</f>
        <v>-0.5</v>
      </c>
      <c r="BH4869" s="19" t="str">
        <f aca="false">IF(BG4869=0,"",IF(BG4869&lt;&gt;BA4869,"erreur de calcul",IF(BD4869&lt;&gt;0,"pas de prix",IF(M4869&lt;&gt; 0,"pas de quantité","pas de prix, ni de quantité"))))</f>
        <v>erreur de calcul</v>
      </c>
      <c r="BI4869" s="19"/>
    </row>
    <row r="4870" customFormat="false" ht="15" hidden="false" customHeight="false" outlineLevel="0" collapsed="false">
      <c r="A4870" s="0" t="n">
        <v>17</v>
      </c>
      <c r="B4870" s="8" t="s">
        <v>24</v>
      </c>
      <c r="C4870" s="9" t="s">
        <v>25</v>
      </c>
      <c r="D4870" s="9" t="s">
        <v>26</v>
      </c>
      <c r="E4870" s="10" t="n">
        <v>1789</v>
      </c>
      <c r="F4870" s="9" t="s">
        <v>27</v>
      </c>
      <c r="G4870" s="9" t="s">
        <v>27</v>
      </c>
      <c r="H4870" s="11" t="n">
        <v>26</v>
      </c>
      <c r="I4870" s="11" t="s">
        <v>389</v>
      </c>
      <c r="J4870" s="14"/>
      <c r="K4870" s="14"/>
      <c r="L4870" s="16"/>
      <c r="M4870" s="27" t="n">
        <f aca="false">J4870+(K4870/20)+(L4870/240)</f>
        <v>0</v>
      </c>
      <c r="N4870" s="17"/>
      <c r="O4870" s="11" t="s">
        <v>277</v>
      </c>
      <c r="P4870" s="28"/>
      <c r="Q4870" s="28" t="n">
        <f aca="false">P4870*$M4870</f>
        <v>0</v>
      </c>
      <c r="R4870" s="28"/>
      <c r="S4870" s="28" t="n">
        <f aca="false">R4870*$M4870</f>
        <v>0</v>
      </c>
      <c r="T4870" s="28"/>
      <c r="U4870" s="28" t="n">
        <v>189</v>
      </c>
      <c r="V4870" s="28"/>
      <c r="W4870" s="28" t="n">
        <v>540</v>
      </c>
      <c r="X4870" s="28"/>
      <c r="Y4870" s="28" t="n">
        <f aca="false">X4870*$M4870</f>
        <v>0</v>
      </c>
      <c r="Z4870" s="28"/>
      <c r="AA4870" s="28" t="n">
        <f aca="false">Z4870*$M4870</f>
        <v>0</v>
      </c>
      <c r="AB4870" s="28"/>
      <c r="AC4870" s="28" t="n">
        <f aca="false">AB4870*$M4870</f>
        <v>0</v>
      </c>
      <c r="AD4870" s="28"/>
      <c r="AE4870" s="28" t="n">
        <f aca="false">AD4870*$M4870</f>
        <v>0</v>
      </c>
      <c r="AF4870" s="28"/>
      <c r="AG4870" s="28" t="n">
        <f aca="false">AF4870*$M4870</f>
        <v>0</v>
      </c>
      <c r="AH4870" s="28"/>
      <c r="AI4870" s="28" t="n">
        <f aca="false">AH4870*$M4870</f>
        <v>0</v>
      </c>
      <c r="AJ4870" s="28"/>
      <c r="AK4870" s="28" t="n">
        <v>317</v>
      </c>
      <c r="AL4870" s="28"/>
      <c r="AM4870" s="28" t="n">
        <f aca="false">AL4870*$M4870</f>
        <v>0</v>
      </c>
      <c r="AN4870" s="28"/>
      <c r="AO4870" s="28" t="n">
        <f aca="false">AN4870*$M4870</f>
        <v>0</v>
      </c>
      <c r="AP4870" s="28"/>
      <c r="AQ4870" s="28" t="n">
        <f aca="false">AP4870*$M4870</f>
        <v>0</v>
      </c>
      <c r="AR4870" s="28"/>
      <c r="AS4870" s="28" t="n">
        <f aca="false">AR4870*$M4870</f>
        <v>0</v>
      </c>
      <c r="AT4870" s="28"/>
      <c r="AU4870" s="28" t="n">
        <f aca="false">AT4870*$M4870</f>
        <v>0</v>
      </c>
      <c r="AV4870" s="28"/>
      <c r="AW4870" s="28" t="n">
        <f aca="false">AV4870*$M4870</f>
        <v>0</v>
      </c>
      <c r="AX4870" s="28"/>
      <c r="AY4870" s="28" t="n">
        <f aca="false">AX4870*$M4870</f>
        <v>0</v>
      </c>
      <c r="AZ4870" s="30"/>
      <c r="BA4870" s="11" t="n">
        <v>1046</v>
      </c>
      <c r="BB4870" s="31" t="n">
        <f aca="false">SUM(Q4870,S4870,U4870,W4870,Y4870,AA4870,AC4870,AE4870,AG4870,AI4870,AK4870,AM4870,AO4870,AQ4870,AS4870,AU4870,AW4870,AY4870)</f>
        <v>1046</v>
      </c>
      <c r="BC4870" s="28" t="n">
        <f aca="false">BA4870-BB4870</f>
        <v>0</v>
      </c>
      <c r="BD4870" s="32" t="n">
        <f aca="false">SUM(P4870,R4870,T4870,V4870,X4870,Z4870,AB4870,AD4870,AF4870,AH4870,AJ4870,AL4870,AN4870,AP4870,AR4870,AT4870,AV4870,AX4870)</f>
        <v>0</v>
      </c>
      <c r="BE4870" s="33" t="n">
        <f aca="false">AZ4870-BD4870</f>
        <v>0</v>
      </c>
      <c r="BF4870" s="34" t="n">
        <f aca="false">BD4870*M4870</f>
        <v>0</v>
      </c>
      <c r="BG4870" s="35" t="n">
        <f aca="false">BA4870-BF4870</f>
        <v>1046</v>
      </c>
      <c r="BH4870" s="19" t="str">
        <f aca="false">IF(BG4870=0,"",IF(BG4870&lt;&gt;BA4870,"erreur de calcul",IF(BD4870&lt;&gt;0,"pas de prix",IF(M4870&lt;&gt; 0,"pas de quantité","pas de prix, ni de quantité"))))</f>
        <v>pas de prix, ni de quantité</v>
      </c>
      <c r="BI4870" s="19"/>
    </row>
    <row r="4871" customFormat="false" ht="15" hidden="false" customHeight="false" outlineLevel="0" collapsed="false">
      <c r="A4871" s="0" t="n">
        <v>18</v>
      </c>
      <c r="B4871" s="8" t="s">
        <v>24</v>
      </c>
      <c r="C4871" s="9" t="s">
        <v>25</v>
      </c>
      <c r="D4871" s="9" t="s">
        <v>26</v>
      </c>
      <c r="E4871" s="10" t="n">
        <v>1789</v>
      </c>
      <c r="F4871" s="9" t="s">
        <v>27</v>
      </c>
      <c r="G4871" s="9" t="s">
        <v>27</v>
      </c>
      <c r="H4871" s="11" t="n">
        <v>26</v>
      </c>
      <c r="I4871" s="11" t="s">
        <v>389</v>
      </c>
      <c r="J4871" s="14" t="n">
        <v>90</v>
      </c>
      <c r="K4871" s="14"/>
      <c r="L4871" s="16"/>
      <c r="M4871" s="27" t="n">
        <f aca="false">J4871+(K4871/20)+(L4871/240)</f>
        <v>90</v>
      </c>
      <c r="N4871" s="17" t="s">
        <v>64</v>
      </c>
      <c r="O4871" s="11"/>
      <c r="P4871" s="28"/>
      <c r="Q4871" s="28" t="n">
        <f aca="false">P4871*$M4871</f>
        <v>0</v>
      </c>
      <c r="R4871" s="28"/>
      <c r="S4871" s="28" t="n">
        <f aca="false">R4871*$M4871</f>
        <v>0</v>
      </c>
      <c r="T4871" s="28"/>
      <c r="U4871" s="28" t="n">
        <f aca="false">T4871*$M4871</f>
        <v>0</v>
      </c>
      <c r="V4871" s="28" t="n">
        <f aca="false">6341/100</f>
        <v>63.41</v>
      </c>
      <c r="W4871" s="28" t="n">
        <v>5707</v>
      </c>
      <c r="X4871" s="28" t="n">
        <f aca="false">10903/100</f>
        <v>109.03</v>
      </c>
      <c r="Y4871" s="28" t="n">
        <v>9813</v>
      </c>
      <c r="Z4871" s="28"/>
      <c r="AA4871" s="28" t="n">
        <f aca="false">Z4871*$M4871</f>
        <v>0</v>
      </c>
      <c r="AB4871" s="28"/>
      <c r="AC4871" s="28" t="n">
        <f aca="false">AB4871*$M4871</f>
        <v>0</v>
      </c>
      <c r="AD4871" s="28"/>
      <c r="AE4871" s="28" t="n">
        <f aca="false">AD4871*$M4871</f>
        <v>0</v>
      </c>
      <c r="AF4871" s="28"/>
      <c r="AG4871" s="28" t="n">
        <f aca="false">AF4871*$M4871</f>
        <v>0</v>
      </c>
      <c r="AH4871" s="28"/>
      <c r="AI4871" s="28" t="n">
        <f aca="false">AH4871*$M4871</f>
        <v>0</v>
      </c>
      <c r="AJ4871" s="28" t="n">
        <f aca="false">127232/100</f>
        <v>1272.32</v>
      </c>
      <c r="AK4871" s="28" t="n">
        <v>114509</v>
      </c>
      <c r="AL4871" s="28" t="n">
        <f aca="false">1835/100</f>
        <v>18.35</v>
      </c>
      <c r="AM4871" s="28" t="n">
        <v>1651</v>
      </c>
      <c r="AN4871" s="28"/>
      <c r="AO4871" s="28" t="n">
        <f aca="false">AN4871*$M4871</f>
        <v>0</v>
      </c>
      <c r="AP4871" s="28"/>
      <c r="AQ4871" s="28" t="n">
        <f aca="false">AP4871*$M4871</f>
        <v>0</v>
      </c>
      <c r="AR4871" s="28"/>
      <c r="AS4871" s="28" t="n">
        <f aca="false">AR4871*$M4871</f>
        <v>0</v>
      </c>
      <c r="AT4871" s="28"/>
      <c r="AU4871" s="28" t="n">
        <f aca="false">AT4871*$M4871</f>
        <v>0</v>
      </c>
      <c r="AV4871" s="28"/>
      <c r="AW4871" s="28" t="n">
        <f aca="false">AV4871*$M4871</f>
        <v>0</v>
      </c>
      <c r="AX4871" s="28"/>
      <c r="AY4871" s="28" t="n">
        <f aca="false">AX4871*$M4871</f>
        <v>0</v>
      </c>
      <c r="AZ4871" s="30" t="n">
        <f aca="false">146311/100</f>
        <v>1463.11</v>
      </c>
      <c r="BA4871" s="11" t="n">
        <v>131680</v>
      </c>
      <c r="BB4871" s="31" t="n">
        <f aca="false">SUM(Q4871,S4871,U4871,W4871,Y4871,AA4871,AC4871,AE4871,AG4871,AI4871,AK4871,AM4871,AO4871,AQ4871,AS4871,AU4871,AW4871,AY4871)</f>
        <v>131680</v>
      </c>
      <c r="BC4871" s="28" t="n">
        <f aca="false">BA4871-BB4871</f>
        <v>0</v>
      </c>
      <c r="BD4871" s="32" t="n">
        <f aca="false">SUM(P4871,R4871,T4871,V4871,X4871,Z4871,AB4871,AD4871,AF4871,AH4871,AJ4871,AL4871,AN4871,AP4871,AR4871,AT4871,AV4871,AX4871)</f>
        <v>1463.11</v>
      </c>
      <c r="BE4871" s="33" t="n">
        <f aca="false">AZ4871-BD4871</f>
        <v>0</v>
      </c>
      <c r="BF4871" s="34" t="n">
        <f aca="false">BD4871*M4871</f>
        <v>131679.9</v>
      </c>
      <c r="BG4871" s="35" t="n">
        <f aca="false">BA4871-BF4871</f>
        <v>0.100000000005821</v>
      </c>
      <c r="BH4871" s="19" t="str">
        <f aca="false">IF(BG4871=0,"",IF(BG4871&lt;&gt;BA4871,"erreur de calcul",IF(BD4871&lt;&gt;0,"pas de prix",IF(M4871&lt;&gt; 0,"pas de quantité","pas de prix, ni de quantité"))))</f>
        <v>erreur de calcul</v>
      </c>
      <c r="BI4871" s="19"/>
    </row>
    <row r="4872" customFormat="false" ht="15" hidden="false" customHeight="false" outlineLevel="0" collapsed="false">
      <c r="A4872" s="0" t="n">
        <v>19</v>
      </c>
      <c r="B4872" s="8" t="s">
        <v>24</v>
      </c>
      <c r="C4872" s="9" t="s">
        <v>25</v>
      </c>
      <c r="D4872" s="9" t="s">
        <v>26</v>
      </c>
      <c r="E4872" s="10" t="n">
        <v>1789</v>
      </c>
      <c r="F4872" s="9" t="s">
        <v>27</v>
      </c>
      <c r="G4872" s="9" t="s">
        <v>27</v>
      </c>
      <c r="H4872" s="11" t="n">
        <v>26</v>
      </c>
      <c r="I4872" s="11" t="s">
        <v>390</v>
      </c>
      <c r="J4872" s="14" t="n">
        <v>25</v>
      </c>
      <c r="K4872" s="14"/>
      <c r="L4872" s="16"/>
      <c r="M4872" s="27" t="n">
        <f aca="false">J4872+(K4872/20)+(L4872/240)</f>
        <v>25</v>
      </c>
      <c r="N4872" s="17" t="s">
        <v>64</v>
      </c>
      <c r="O4872" s="11" t="s">
        <v>277</v>
      </c>
      <c r="P4872" s="28"/>
      <c r="Q4872" s="28" t="n">
        <f aca="false">P4872*$M4872</f>
        <v>0</v>
      </c>
      <c r="R4872" s="28"/>
      <c r="S4872" s="28" t="n">
        <f aca="false">R4872*$M4872</f>
        <v>0</v>
      </c>
      <c r="T4872" s="28"/>
      <c r="U4872" s="28" t="n">
        <f aca="false">T4872*$M4872</f>
        <v>0</v>
      </c>
      <c r="V4872" s="28"/>
      <c r="W4872" s="28" t="n">
        <f aca="false">V4872*$M4872</f>
        <v>0</v>
      </c>
      <c r="X4872" s="28"/>
      <c r="Y4872" s="28" t="n">
        <f aca="false">X4872*$M4872</f>
        <v>0</v>
      </c>
      <c r="Z4872" s="28"/>
      <c r="AA4872" s="28" t="n">
        <f aca="false">Z4872*$M4872</f>
        <v>0</v>
      </c>
      <c r="AB4872" s="28"/>
      <c r="AC4872" s="28" t="n">
        <f aca="false">AB4872*$M4872</f>
        <v>0</v>
      </c>
      <c r="AD4872" s="28"/>
      <c r="AE4872" s="28" t="n">
        <f aca="false">AD4872*$M4872</f>
        <v>0</v>
      </c>
      <c r="AF4872" s="28"/>
      <c r="AG4872" s="28" t="n">
        <f aca="false">AF4872*$M4872</f>
        <v>0</v>
      </c>
      <c r="AH4872" s="28"/>
      <c r="AI4872" s="28" t="n">
        <f aca="false">AH4872*$M4872</f>
        <v>0</v>
      </c>
      <c r="AJ4872" s="28"/>
      <c r="AK4872" s="28" t="n">
        <f aca="false">AJ4872*$M4872</f>
        <v>0</v>
      </c>
      <c r="AL4872" s="28"/>
      <c r="AM4872" s="28" t="n">
        <f aca="false">AL4872*$M4872</f>
        <v>0</v>
      </c>
      <c r="AN4872" s="28"/>
      <c r="AO4872" s="28" t="n">
        <f aca="false">AN4872*$M4872</f>
        <v>0</v>
      </c>
      <c r="AP4872" s="28"/>
      <c r="AQ4872" s="28" t="n">
        <f aca="false">AP4872*$M4872</f>
        <v>0</v>
      </c>
      <c r="AR4872" s="28"/>
      <c r="AS4872" s="28" t="n">
        <f aca="false">AR4872*$M4872</f>
        <v>0</v>
      </c>
      <c r="AT4872" s="28"/>
      <c r="AU4872" s="28" t="n">
        <f aca="false">AT4872*$M4872</f>
        <v>0</v>
      </c>
      <c r="AV4872" s="28"/>
      <c r="AW4872" s="28" t="n">
        <f aca="false">AV4872*$M4872</f>
        <v>0</v>
      </c>
      <c r="AX4872" s="28"/>
      <c r="AY4872" s="28" t="n">
        <f aca="false">AX4872*$M4872</f>
        <v>0</v>
      </c>
      <c r="AZ4872" s="30"/>
      <c r="BA4872" s="11"/>
      <c r="BB4872" s="31" t="n">
        <f aca="false">SUM(Q4872,S4872,U4872,W4872,Y4872,AA4872,AC4872,AE4872,AG4872,AI4872,AK4872,AM4872,AO4872,AQ4872,AS4872,AU4872,AW4872,AY4872)</f>
        <v>0</v>
      </c>
      <c r="BC4872" s="28" t="n">
        <f aca="false">BA4872-BB4872</f>
        <v>0</v>
      </c>
      <c r="BD4872" s="32" t="n">
        <f aca="false">SUM(P4872,R4872,T4872,V4872,X4872,Z4872,AB4872,AD4872,AF4872,AH4872,AJ4872,AL4872,AN4872,AP4872,AR4872,AT4872,AV4872,AX4872)</f>
        <v>0</v>
      </c>
      <c r="BE4872" s="33" t="n">
        <f aca="false">AZ4872-BD4872</f>
        <v>0</v>
      </c>
      <c r="BF4872" s="34" t="n">
        <f aca="false">BD4872*M4872</f>
        <v>0</v>
      </c>
      <c r="BG4872" s="35" t="n">
        <f aca="false">BA4872-BF4872</f>
        <v>0</v>
      </c>
      <c r="BH4872" s="19" t="str">
        <f aca="false">IF(BG4872=0,"",IF(BG4872&lt;&gt;BA4872,"erreur de calcul",IF(BD4872&lt;&gt;0,"pas de prix",IF(M4872&lt;&gt; 0,"pas de quantité","pas de prix, ni de quantité"))))</f>
        <v/>
      </c>
      <c r="BI4872" s="19"/>
    </row>
    <row r="4873" customFormat="false" ht="15" hidden="false" customHeight="false" outlineLevel="0" collapsed="false">
      <c r="A4873" s="0" t="n">
        <v>20</v>
      </c>
      <c r="B4873" s="8" t="s">
        <v>24</v>
      </c>
      <c r="C4873" s="9" t="s">
        <v>25</v>
      </c>
      <c r="D4873" s="9" t="s">
        <v>26</v>
      </c>
      <c r="E4873" s="10" t="n">
        <v>1789</v>
      </c>
      <c r="F4873" s="9" t="s">
        <v>27</v>
      </c>
      <c r="G4873" s="9" t="s">
        <v>27</v>
      </c>
      <c r="H4873" s="11" t="n">
        <v>26</v>
      </c>
      <c r="I4873" s="11" t="s">
        <v>391</v>
      </c>
      <c r="J4873" s="14" t="n">
        <v>35</v>
      </c>
      <c r="K4873" s="14"/>
      <c r="L4873" s="16"/>
      <c r="M4873" s="27" t="n">
        <f aca="false">J4873+(K4873/20)+(L4873/240)</f>
        <v>35</v>
      </c>
      <c r="N4873" s="17" t="s">
        <v>64</v>
      </c>
      <c r="O4873" s="11"/>
      <c r="P4873" s="28"/>
      <c r="Q4873" s="28" t="n">
        <f aca="false">P4873*$M4873</f>
        <v>0</v>
      </c>
      <c r="R4873" s="28"/>
      <c r="S4873" s="28" t="n">
        <f aca="false">R4873*$M4873</f>
        <v>0</v>
      </c>
      <c r="T4873" s="28"/>
      <c r="U4873" s="28" t="n">
        <f aca="false">T4873*$M4873</f>
        <v>0</v>
      </c>
      <c r="V4873" s="28"/>
      <c r="W4873" s="28" t="n">
        <f aca="false">V4873*$M4873</f>
        <v>0</v>
      </c>
      <c r="X4873" s="28"/>
      <c r="Y4873" s="28" t="n">
        <f aca="false">X4873*$M4873</f>
        <v>0</v>
      </c>
      <c r="Z4873" s="28"/>
      <c r="AA4873" s="28" t="n">
        <f aca="false">Z4873*$M4873</f>
        <v>0</v>
      </c>
      <c r="AB4873" s="28"/>
      <c r="AC4873" s="28" t="n">
        <f aca="false">AB4873*$M4873</f>
        <v>0</v>
      </c>
      <c r="AD4873" s="28"/>
      <c r="AE4873" s="28" t="n">
        <f aca="false">AD4873*$M4873</f>
        <v>0</v>
      </c>
      <c r="AF4873" s="28"/>
      <c r="AG4873" s="28" t="n">
        <f aca="false">AF4873*$M4873</f>
        <v>0</v>
      </c>
      <c r="AH4873" s="28"/>
      <c r="AI4873" s="28" t="n">
        <f aca="false">AH4873*$M4873</f>
        <v>0</v>
      </c>
      <c r="AJ4873" s="28" t="n">
        <f aca="false">3950/100</f>
        <v>39.5</v>
      </c>
      <c r="AK4873" s="28" t="n">
        <v>1382</v>
      </c>
      <c r="AL4873" s="28"/>
      <c r="AM4873" s="28" t="n">
        <f aca="false">AL4873*$M4873</f>
        <v>0</v>
      </c>
      <c r="AN4873" s="28"/>
      <c r="AO4873" s="28" t="n">
        <f aca="false">AN4873*$M4873</f>
        <v>0</v>
      </c>
      <c r="AP4873" s="28"/>
      <c r="AQ4873" s="28" t="n">
        <f aca="false">AP4873*$M4873</f>
        <v>0</v>
      </c>
      <c r="AR4873" s="28"/>
      <c r="AS4873" s="28" t="n">
        <f aca="false">AR4873*$M4873</f>
        <v>0</v>
      </c>
      <c r="AT4873" s="28"/>
      <c r="AU4873" s="28" t="n">
        <f aca="false">AT4873*$M4873</f>
        <v>0</v>
      </c>
      <c r="AV4873" s="28"/>
      <c r="AW4873" s="28" t="n">
        <f aca="false">AV4873*$M4873</f>
        <v>0</v>
      </c>
      <c r="AX4873" s="28"/>
      <c r="AY4873" s="28" t="n">
        <f aca="false">AX4873*$M4873</f>
        <v>0</v>
      </c>
      <c r="AZ4873" s="30" t="n">
        <f aca="false">3950/100</f>
        <v>39.5</v>
      </c>
      <c r="BA4873" s="11" t="n">
        <v>1382</v>
      </c>
      <c r="BB4873" s="31" t="n">
        <f aca="false">SUM(Q4873,S4873,U4873,W4873,Y4873,AA4873,AC4873,AE4873,AG4873,AI4873,AK4873,AM4873,AO4873,AQ4873,AS4873,AU4873,AW4873,AY4873)</f>
        <v>1382</v>
      </c>
      <c r="BC4873" s="28" t="n">
        <f aca="false">BA4873-BB4873</f>
        <v>0</v>
      </c>
      <c r="BD4873" s="32" t="n">
        <f aca="false">SUM(P4873,R4873,T4873,V4873,X4873,Z4873,AB4873,AD4873,AF4873,AH4873,AJ4873,AL4873,AN4873,AP4873,AR4873,AT4873,AV4873,AX4873)</f>
        <v>39.5</v>
      </c>
      <c r="BE4873" s="33" t="n">
        <f aca="false">AZ4873-BD4873</f>
        <v>0</v>
      </c>
      <c r="BF4873" s="34" t="n">
        <f aca="false">BD4873*M4873</f>
        <v>1382.5</v>
      </c>
      <c r="BG4873" s="35" t="n">
        <f aca="false">BA4873-BF4873</f>
        <v>-0.5</v>
      </c>
      <c r="BH4873" s="19" t="str">
        <f aca="false">IF(BG4873=0,"",IF(BG4873&lt;&gt;BA4873,"erreur de calcul",IF(BD4873&lt;&gt;0,"pas de prix",IF(M4873&lt;&gt; 0,"pas de quantité","pas de prix, ni de quantité"))))</f>
        <v>erreur de calcul</v>
      </c>
      <c r="BI4873" s="19"/>
    </row>
    <row r="4874" customFormat="false" ht="15" hidden="false" customHeight="false" outlineLevel="0" collapsed="false">
      <c r="A4874" s="0" t="n">
        <v>21</v>
      </c>
      <c r="B4874" s="8" t="s">
        <v>24</v>
      </c>
      <c r="C4874" s="9" t="s">
        <v>25</v>
      </c>
      <c r="D4874" s="9" t="s">
        <v>26</v>
      </c>
      <c r="E4874" s="10" t="n">
        <v>1789</v>
      </c>
      <c r="F4874" s="9" t="s">
        <v>27</v>
      </c>
      <c r="G4874" s="9" t="s">
        <v>27</v>
      </c>
      <c r="H4874" s="11" t="n">
        <v>26</v>
      </c>
      <c r="I4874" s="11" t="s">
        <v>392</v>
      </c>
      <c r="J4874" s="14" t="n">
        <v>60</v>
      </c>
      <c r="K4874" s="14"/>
      <c r="L4874" s="16"/>
      <c r="M4874" s="27" t="n">
        <f aca="false">J4874+(K4874/20)+(L4874/240)</f>
        <v>60</v>
      </c>
      <c r="N4874" s="17" t="s">
        <v>64</v>
      </c>
      <c r="O4874" s="11"/>
      <c r="P4874" s="28"/>
      <c r="Q4874" s="28" t="n">
        <f aca="false">P4874*$M4874</f>
        <v>0</v>
      </c>
      <c r="R4874" s="28"/>
      <c r="S4874" s="28" t="n">
        <f aca="false">R4874*$M4874</f>
        <v>0</v>
      </c>
      <c r="T4874" s="28"/>
      <c r="U4874" s="28" t="n">
        <f aca="false">T4874*$M4874</f>
        <v>0</v>
      </c>
      <c r="V4874" s="28"/>
      <c r="W4874" s="28" t="n">
        <f aca="false">V4874*$M4874</f>
        <v>0</v>
      </c>
      <c r="X4874" s="28" t="n">
        <f aca="false">12306/100</f>
        <v>123.06</v>
      </c>
      <c r="Y4874" s="28" t="n">
        <v>7384</v>
      </c>
      <c r="Z4874" s="28"/>
      <c r="AA4874" s="28" t="n">
        <f aca="false">Z4874*$M4874</f>
        <v>0</v>
      </c>
      <c r="AB4874" s="28"/>
      <c r="AC4874" s="28" t="n">
        <f aca="false">AB4874*$M4874</f>
        <v>0</v>
      </c>
      <c r="AD4874" s="28"/>
      <c r="AE4874" s="28" t="n">
        <f aca="false">AD4874*$M4874</f>
        <v>0</v>
      </c>
      <c r="AF4874" s="28"/>
      <c r="AG4874" s="28" t="n">
        <f aca="false">AF4874*$M4874</f>
        <v>0</v>
      </c>
      <c r="AH4874" s="28"/>
      <c r="AI4874" s="28" t="n">
        <f aca="false">AH4874*$M4874</f>
        <v>0</v>
      </c>
      <c r="AJ4874" s="28" t="n">
        <f aca="false">2557/100</f>
        <v>25.57</v>
      </c>
      <c r="AK4874" s="28" t="n">
        <v>1534</v>
      </c>
      <c r="AL4874" s="28"/>
      <c r="AM4874" s="28" t="n">
        <f aca="false">AL4874*$M4874</f>
        <v>0</v>
      </c>
      <c r="AN4874" s="28"/>
      <c r="AO4874" s="28" t="n">
        <f aca="false">AN4874*$M4874</f>
        <v>0</v>
      </c>
      <c r="AP4874" s="28"/>
      <c r="AQ4874" s="28" t="n">
        <f aca="false">AP4874*$M4874</f>
        <v>0</v>
      </c>
      <c r="AR4874" s="28" t="n">
        <f aca="false">7204/100</f>
        <v>72.04</v>
      </c>
      <c r="AS4874" s="28" t="n">
        <v>4322</v>
      </c>
      <c r="AT4874" s="28"/>
      <c r="AU4874" s="28" t="n">
        <f aca="false">AT4874*$M4874</f>
        <v>0</v>
      </c>
      <c r="AV4874" s="28"/>
      <c r="AW4874" s="28" t="n">
        <f aca="false">AV4874*$M4874</f>
        <v>0</v>
      </c>
      <c r="AX4874" s="28"/>
      <c r="AY4874" s="28" t="n">
        <f aca="false">AX4874*$M4874</f>
        <v>0</v>
      </c>
      <c r="AZ4874" s="30" t="n">
        <f aca="false">22067/100</f>
        <v>220.67</v>
      </c>
      <c r="BA4874" s="11" t="n">
        <v>13240</v>
      </c>
      <c r="BB4874" s="31" t="n">
        <f aca="false">SUM(Q4874,S4874,U4874,W4874,Y4874,AA4874,AC4874,AE4874,AG4874,AI4874,AK4874,AM4874,AO4874,AQ4874,AS4874,AU4874,AW4874,AY4874)</f>
        <v>13240</v>
      </c>
      <c r="BC4874" s="28" t="n">
        <f aca="false">BA4874-BB4874</f>
        <v>0</v>
      </c>
      <c r="BD4874" s="32" t="n">
        <f aca="false">SUM(P4874,R4874,T4874,V4874,X4874,Z4874,AB4874,AD4874,AF4874,AH4874,AJ4874,AL4874,AN4874,AP4874,AR4874,AT4874,AV4874,AX4874)</f>
        <v>220.67</v>
      </c>
      <c r="BE4874" s="33" t="n">
        <f aca="false">AZ4874-BD4874</f>
        <v>0</v>
      </c>
      <c r="BF4874" s="34" t="n">
        <f aca="false">BD4874*M4874</f>
        <v>13240.2</v>
      </c>
      <c r="BG4874" s="35" t="n">
        <f aca="false">BA4874-BF4874</f>
        <v>-0.200000000000728</v>
      </c>
      <c r="BH4874" s="19" t="str">
        <f aca="false">IF(BG4874=0,"",IF(BG4874&lt;&gt;BA4874,"erreur de calcul",IF(BD4874&lt;&gt;0,"pas de prix",IF(M4874&lt;&gt; 0,"pas de quantité","pas de prix, ni de quantité"))))</f>
        <v>erreur de calcul</v>
      </c>
      <c r="BI4874" s="19"/>
    </row>
    <row r="4875" customFormat="false" ht="15" hidden="false" customHeight="false" outlineLevel="0" collapsed="false">
      <c r="A4875" s="0" t="n">
        <v>22</v>
      </c>
      <c r="B4875" s="8" t="s">
        <v>24</v>
      </c>
      <c r="C4875" s="9" t="s">
        <v>25</v>
      </c>
      <c r="D4875" s="9" t="s">
        <v>26</v>
      </c>
      <c r="E4875" s="10" t="n">
        <v>1789</v>
      </c>
      <c r="F4875" s="9" t="s">
        <v>27</v>
      </c>
      <c r="G4875" s="9" t="s">
        <v>27</v>
      </c>
      <c r="H4875" s="11" t="n">
        <v>26</v>
      </c>
      <c r="I4875" s="11" t="s">
        <v>393</v>
      </c>
      <c r="J4875" s="14" t="n">
        <v>120</v>
      </c>
      <c r="K4875" s="14"/>
      <c r="L4875" s="16"/>
      <c r="M4875" s="27" t="n">
        <f aca="false">J4875+(K4875/20)+(L4875/240)</f>
        <v>120</v>
      </c>
      <c r="N4875" s="17" t="s">
        <v>64</v>
      </c>
      <c r="O4875" s="11"/>
      <c r="P4875" s="28"/>
      <c r="Q4875" s="28" t="n">
        <f aca="false">P4875*$M4875</f>
        <v>0</v>
      </c>
      <c r="R4875" s="28"/>
      <c r="S4875" s="28" t="n">
        <f aca="false">R4875*$M4875</f>
        <v>0</v>
      </c>
      <c r="T4875" s="28"/>
      <c r="U4875" s="28" t="n">
        <f aca="false">T4875*$M4875</f>
        <v>0</v>
      </c>
      <c r="V4875" s="28"/>
      <c r="W4875" s="28" t="n">
        <f aca="false">V4875*$M4875</f>
        <v>0</v>
      </c>
      <c r="X4875" s="28"/>
      <c r="Y4875" s="28" t="n">
        <f aca="false">X4875*$M4875</f>
        <v>0</v>
      </c>
      <c r="Z4875" s="28"/>
      <c r="AA4875" s="28" t="n">
        <f aca="false">Z4875*$M4875</f>
        <v>0</v>
      </c>
      <c r="AB4875" s="28"/>
      <c r="AC4875" s="28" t="n">
        <f aca="false">AB4875*$M4875</f>
        <v>0</v>
      </c>
      <c r="AD4875" s="28"/>
      <c r="AE4875" s="28" t="n">
        <f aca="false">AD4875*$M4875</f>
        <v>0</v>
      </c>
      <c r="AF4875" s="28"/>
      <c r="AG4875" s="28" t="n">
        <f aca="false">AF4875*$M4875</f>
        <v>0</v>
      </c>
      <c r="AH4875" s="28" t="n">
        <f aca="false">1810/100</f>
        <v>18.1</v>
      </c>
      <c r="AI4875" s="28" t="n">
        <v>2172</v>
      </c>
      <c r="AJ4875" s="28"/>
      <c r="AK4875" s="28" t="n">
        <f aca="false">AJ4875*$M4875</f>
        <v>0</v>
      </c>
      <c r="AL4875" s="28"/>
      <c r="AM4875" s="28" t="n">
        <f aca="false">AL4875*$M4875</f>
        <v>0</v>
      </c>
      <c r="AN4875" s="28"/>
      <c r="AO4875" s="28" t="n">
        <f aca="false">AN4875*$M4875</f>
        <v>0</v>
      </c>
      <c r="AP4875" s="28"/>
      <c r="AQ4875" s="28" t="n">
        <f aca="false">AP4875*$M4875</f>
        <v>0</v>
      </c>
      <c r="AR4875" s="28"/>
      <c r="AS4875" s="28" t="n">
        <f aca="false">AR4875*$M4875</f>
        <v>0</v>
      </c>
      <c r="AT4875" s="28"/>
      <c r="AU4875" s="28" t="n">
        <f aca="false">AT4875*$M4875</f>
        <v>0</v>
      </c>
      <c r="AV4875" s="28"/>
      <c r="AW4875" s="28" t="n">
        <f aca="false">AV4875*$M4875</f>
        <v>0</v>
      </c>
      <c r="AX4875" s="28"/>
      <c r="AY4875" s="28" t="n">
        <f aca="false">AX4875*$M4875</f>
        <v>0</v>
      </c>
      <c r="AZ4875" s="30" t="n">
        <f aca="false">1810/100</f>
        <v>18.1</v>
      </c>
      <c r="BA4875" s="11" t="n">
        <v>2172</v>
      </c>
      <c r="BB4875" s="31" t="n">
        <f aca="false">SUM(Q4875,S4875,U4875,W4875,Y4875,AA4875,AC4875,AE4875,AG4875,AI4875,AK4875,AM4875,AO4875,AQ4875,AS4875,AU4875,AW4875,AY4875)</f>
        <v>2172</v>
      </c>
      <c r="BC4875" s="28" t="n">
        <f aca="false">BA4875-BB4875</f>
        <v>0</v>
      </c>
      <c r="BD4875" s="32" t="n">
        <f aca="false">SUM(P4875,R4875,T4875,V4875,X4875,Z4875,AB4875,AD4875,AF4875,AH4875,AJ4875,AL4875,AN4875,AP4875,AR4875,AT4875,AV4875,AX4875)</f>
        <v>18.1</v>
      </c>
      <c r="BE4875" s="33" t="n">
        <f aca="false">AZ4875-BD4875</f>
        <v>0</v>
      </c>
      <c r="BF4875" s="34" t="n">
        <f aca="false">BD4875*M4875</f>
        <v>2172</v>
      </c>
      <c r="BG4875" s="35" t="n">
        <f aca="false">BA4875-BF4875</f>
        <v>0</v>
      </c>
      <c r="BH4875" s="19" t="str">
        <f aca="false">IF(BG4875=0,"",IF(BG4875&lt;&gt;BA4875,"erreur de calcul",IF(BD4875&lt;&gt;0,"pas de prix",IF(M4875&lt;&gt; 0,"pas de quantité","pas de prix, ni de quantité"))))</f>
        <v/>
      </c>
      <c r="BI4875" s="19"/>
    </row>
    <row r="4876" customFormat="false" ht="15" hidden="false" customHeight="false" outlineLevel="0" collapsed="false">
      <c r="A4876" s="0" t="n">
        <v>23</v>
      </c>
      <c r="B4876" s="8" t="s">
        <v>24</v>
      </c>
      <c r="C4876" s="9" t="s">
        <v>25</v>
      </c>
      <c r="D4876" s="9" t="s">
        <v>26</v>
      </c>
      <c r="E4876" s="10" t="n">
        <v>1789</v>
      </c>
      <c r="F4876" s="9" t="s">
        <v>27</v>
      </c>
      <c r="G4876" s="9" t="s">
        <v>27</v>
      </c>
      <c r="H4876" s="11" t="n">
        <v>26</v>
      </c>
      <c r="I4876" s="41" t="s">
        <v>394</v>
      </c>
      <c r="J4876" s="14" t="n">
        <v>7</v>
      </c>
      <c r="K4876" s="14"/>
      <c r="L4876" s="16"/>
      <c r="M4876" s="27" t="n">
        <f aca="false">J4876+(K4876/20)+(L4876/240)</f>
        <v>7</v>
      </c>
      <c r="N4876" s="17" t="s">
        <v>64</v>
      </c>
      <c r="O4876" s="11"/>
      <c r="P4876" s="28" t="n">
        <f aca="false">11428/100</f>
        <v>114.28</v>
      </c>
      <c r="Q4876" s="28" t="n">
        <v>800</v>
      </c>
      <c r="R4876" s="28"/>
      <c r="S4876" s="28" t="n">
        <f aca="false">R4876*$M4876</f>
        <v>0</v>
      </c>
      <c r="T4876" s="28" t="n">
        <f aca="false">2084/100</f>
        <v>20.84</v>
      </c>
      <c r="U4876" s="36" t="n">
        <v>246</v>
      </c>
      <c r="V4876" s="28"/>
      <c r="W4876" s="28" t="n">
        <f aca="false">V4876*$M4876</f>
        <v>0</v>
      </c>
      <c r="X4876" s="28"/>
      <c r="Y4876" s="28" t="n">
        <f aca="false">X4876*$M4876</f>
        <v>0</v>
      </c>
      <c r="Z4876" s="28"/>
      <c r="AA4876" s="28" t="n">
        <f aca="false">Z4876*$M4876</f>
        <v>0</v>
      </c>
      <c r="AB4876" s="28"/>
      <c r="AC4876" s="28" t="n">
        <f aca="false">AB4876*$M4876</f>
        <v>0</v>
      </c>
      <c r="AD4876" s="28"/>
      <c r="AE4876" s="28" t="n">
        <f aca="false">AD4876*$M4876</f>
        <v>0</v>
      </c>
      <c r="AF4876" s="28" t="n">
        <f aca="false">6709/100</f>
        <v>67.09</v>
      </c>
      <c r="AG4876" s="28" t="n">
        <v>470</v>
      </c>
      <c r="AH4876" s="28"/>
      <c r="AI4876" s="28" t="n">
        <f aca="false">AH4876*$M4876</f>
        <v>0</v>
      </c>
      <c r="AJ4876" s="28"/>
      <c r="AK4876" s="28" t="n">
        <f aca="false">AJ4876*$M4876</f>
        <v>0</v>
      </c>
      <c r="AL4876" s="28"/>
      <c r="AM4876" s="28" t="n">
        <f aca="false">AL4876*$M4876</f>
        <v>0</v>
      </c>
      <c r="AN4876" s="28"/>
      <c r="AO4876" s="28" t="n">
        <f aca="false">AN4876*$M4876</f>
        <v>0</v>
      </c>
      <c r="AP4876" s="28"/>
      <c r="AQ4876" s="28" t="n">
        <f aca="false">AP4876*$M4876</f>
        <v>0</v>
      </c>
      <c r="AR4876" s="28"/>
      <c r="AS4876" s="28" t="n">
        <f aca="false">AR4876*$M4876</f>
        <v>0</v>
      </c>
      <c r="AT4876" s="28"/>
      <c r="AU4876" s="28" t="n">
        <f aca="false">AT4876*$M4876</f>
        <v>0</v>
      </c>
      <c r="AV4876" s="28"/>
      <c r="AW4876" s="28" t="n">
        <f aca="false">AV4876*$M4876</f>
        <v>0</v>
      </c>
      <c r="AX4876" s="28"/>
      <c r="AY4876" s="28" t="n">
        <f aca="false">AX4876*$M4876</f>
        <v>0</v>
      </c>
      <c r="AZ4876" s="30" t="n">
        <f aca="false">20221/100</f>
        <v>202.21</v>
      </c>
      <c r="BA4876" s="11" t="n">
        <v>1516</v>
      </c>
      <c r="BB4876" s="31" t="n">
        <f aca="false">SUM(Q4876,S4876,U4876,W4876,Y4876,AA4876,AC4876,AE4876,AG4876,AI4876,AK4876,AM4876,AO4876,AQ4876,AS4876,AU4876,AW4876,AY4876)</f>
        <v>1516</v>
      </c>
      <c r="BC4876" s="28" t="n">
        <f aca="false">BA4876-BB4876</f>
        <v>0</v>
      </c>
      <c r="BD4876" s="32" t="n">
        <f aca="false">SUM(P4876,R4876,T4876,V4876,X4876,Z4876,AB4876,AD4876,AF4876,AH4876,AJ4876,AL4876,AN4876,AP4876,AR4876,AT4876,AV4876,AX4876)</f>
        <v>202.21</v>
      </c>
      <c r="BE4876" s="33" t="n">
        <f aca="false">AZ4876-BD4876</f>
        <v>0</v>
      </c>
      <c r="BF4876" s="34" t="n">
        <f aca="false">BD4876*M4876</f>
        <v>1415.47</v>
      </c>
      <c r="BG4876" s="35" t="n">
        <f aca="false">BA4876-BF4876</f>
        <v>100.53</v>
      </c>
      <c r="BH4876" s="19" t="str">
        <f aca="false">IF(BG4876=0,"",IF(BG4876&lt;&gt;BA4876,"erreur de calcul",IF(BD4876&lt;&gt;0,"pas de prix",IF(M4876&lt;&gt; 0,"pas de quantité","pas de prix, ni de quantité"))))</f>
        <v>erreur de calcul</v>
      </c>
      <c r="BI4876" s="19"/>
    </row>
    <row r="4877" customFormat="false" ht="15" hidden="false" customHeight="false" outlineLevel="0" collapsed="false">
      <c r="A4877" s="0" t="n">
        <v>24</v>
      </c>
      <c r="B4877" s="8" t="s">
        <v>24</v>
      </c>
      <c r="C4877" s="9" t="s">
        <v>25</v>
      </c>
      <c r="D4877" s="9" t="s">
        <v>26</v>
      </c>
      <c r="E4877" s="10" t="n">
        <v>1789</v>
      </c>
      <c r="F4877" s="9" t="s">
        <v>27</v>
      </c>
      <c r="G4877" s="9" t="s">
        <v>27</v>
      </c>
      <c r="H4877" s="11" t="n">
        <v>26</v>
      </c>
      <c r="I4877" s="11" t="s">
        <v>395</v>
      </c>
      <c r="J4877" s="14" t="n">
        <v>40</v>
      </c>
      <c r="K4877" s="14"/>
      <c r="L4877" s="16"/>
      <c r="M4877" s="27" t="n">
        <f aca="false">J4877+(K4877/20)+(L4877/240)</f>
        <v>40</v>
      </c>
      <c r="N4877" s="17" t="s">
        <v>66</v>
      </c>
      <c r="O4877" s="11"/>
      <c r="P4877" s="28"/>
      <c r="Q4877" s="28" t="n">
        <f aca="false">P4877*$M4877</f>
        <v>0</v>
      </c>
      <c r="R4877" s="28"/>
      <c r="S4877" s="28" t="n">
        <f aca="false">R4877*$M4877</f>
        <v>0</v>
      </c>
      <c r="T4877" s="28" t="n">
        <v>2339</v>
      </c>
      <c r="U4877" s="28" t="n">
        <v>93560</v>
      </c>
      <c r="V4877" s="28" t="n">
        <v>38</v>
      </c>
      <c r="W4877" s="28" t="n">
        <v>1520</v>
      </c>
      <c r="X4877" s="28"/>
      <c r="Y4877" s="28" t="n">
        <f aca="false">X4877*$M4877</f>
        <v>0</v>
      </c>
      <c r="Z4877" s="28"/>
      <c r="AA4877" s="28" t="n">
        <f aca="false">Z4877*$M4877</f>
        <v>0</v>
      </c>
      <c r="AB4877" s="28"/>
      <c r="AC4877" s="28" t="n">
        <f aca="false">AB4877*$M4877</f>
        <v>0</v>
      </c>
      <c r="AD4877" s="28"/>
      <c r="AE4877" s="28" t="n">
        <f aca="false">AD4877*$M4877</f>
        <v>0</v>
      </c>
      <c r="AF4877" s="28"/>
      <c r="AG4877" s="28" t="n">
        <f aca="false">AF4877*$M4877</f>
        <v>0</v>
      </c>
      <c r="AH4877" s="28"/>
      <c r="AI4877" s="28" t="n">
        <f aca="false">AH4877*$M4877</f>
        <v>0</v>
      </c>
      <c r="AJ4877" s="28"/>
      <c r="AK4877" s="28" t="n">
        <f aca="false">AJ4877*$M4877</f>
        <v>0</v>
      </c>
      <c r="AL4877" s="28"/>
      <c r="AM4877" s="28" t="n">
        <f aca="false">AL4877*$M4877</f>
        <v>0</v>
      </c>
      <c r="AN4877" s="28"/>
      <c r="AO4877" s="28" t="n">
        <f aca="false">AN4877*$M4877</f>
        <v>0</v>
      </c>
      <c r="AP4877" s="28"/>
      <c r="AQ4877" s="28" t="n">
        <f aca="false">AP4877*$M4877</f>
        <v>0</v>
      </c>
      <c r="AR4877" s="28"/>
      <c r="AS4877" s="28" t="n">
        <f aca="false">AR4877*$M4877</f>
        <v>0</v>
      </c>
      <c r="AT4877" s="28"/>
      <c r="AU4877" s="28" t="n">
        <f aca="false">AT4877*$M4877</f>
        <v>0</v>
      </c>
      <c r="AV4877" s="28"/>
      <c r="AW4877" s="28" t="n">
        <f aca="false">AV4877*$M4877</f>
        <v>0</v>
      </c>
      <c r="AX4877" s="28"/>
      <c r="AY4877" s="28" t="n">
        <f aca="false">AX4877*$M4877</f>
        <v>0</v>
      </c>
      <c r="AZ4877" s="30" t="n">
        <v>2377</v>
      </c>
      <c r="BA4877" s="11" t="n">
        <v>95080</v>
      </c>
      <c r="BB4877" s="31" t="n">
        <f aca="false">SUM(Q4877,S4877,U4877,W4877,Y4877,AA4877,AC4877,AE4877,AG4877,AI4877,AK4877,AM4877,AO4877,AQ4877,AS4877,AU4877,AW4877,AY4877)</f>
        <v>95080</v>
      </c>
      <c r="BC4877" s="28" t="n">
        <f aca="false">BA4877-BB4877</f>
        <v>0</v>
      </c>
      <c r="BD4877" s="32" t="n">
        <f aca="false">SUM(P4877,R4877,T4877,V4877,X4877,Z4877,AB4877,AD4877,AF4877,AH4877,AJ4877,AL4877,AN4877,AP4877,AR4877,AT4877,AV4877,AX4877)</f>
        <v>2377</v>
      </c>
      <c r="BE4877" s="33" t="n">
        <f aca="false">AZ4877-BD4877</f>
        <v>0</v>
      </c>
      <c r="BF4877" s="34" t="n">
        <f aca="false">BD4877*M4877</f>
        <v>95080</v>
      </c>
      <c r="BG4877" s="35" t="n">
        <f aca="false">BA4877-BF4877</f>
        <v>0</v>
      </c>
      <c r="BH4877" s="19" t="str">
        <f aca="false">IF(BG4877=0,"",IF(BG4877&lt;&gt;BA4877,"erreur de calcul",IF(BD4877&lt;&gt;0,"pas de prix",IF(M4877&lt;&gt; 0,"pas de quantité","pas de prix, ni de quantité"))))</f>
        <v/>
      </c>
      <c r="BI4877" s="19"/>
    </row>
    <row r="4878" customFormat="false" ht="15" hidden="false" customHeight="false" outlineLevel="0" collapsed="false">
      <c r="A4878" s="0" t="n">
        <v>25</v>
      </c>
      <c r="B4878" s="8" t="s">
        <v>24</v>
      </c>
      <c r="C4878" s="9" t="s">
        <v>25</v>
      </c>
      <c r="D4878" s="9" t="s">
        <v>26</v>
      </c>
      <c r="E4878" s="10" t="n">
        <v>1789</v>
      </c>
      <c r="F4878" s="9" t="s">
        <v>27</v>
      </c>
      <c r="G4878" s="9" t="s">
        <v>27</v>
      </c>
      <c r="H4878" s="11" t="n">
        <v>26</v>
      </c>
      <c r="I4878" s="11" t="s">
        <v>396</v>
      </c>
      <c r="J4878" s="14" t="n">
        <v>2</v>
      </c>
      <c r="K4878" s="14" t="n">
        <v>10</v>
      </c>
      <c r="L4878" s="16"/>
      <c r="M4878" s="27" t="n">
        <f aca="false">J4878+(K4878/20)+(L4878/240)</f>
        <v>2.5</v>
      </c>
      <c r="N4878" s="17" t="s">
        <v>66</v>
      </c>
      <c r="O4878" s="11"/>
      <c r="P4878" s="28"/>
      <c r="Q4878" s="28" t="n">
        <f aca="false">P4878*$M4878</f>
        <v>0</v>
      </c>
      <c r="R4878" s="28"/>
      <c r="S4878" s="28" t="n">
        <f aca="false">R4878*$M4878</f>
        <v>0</v>
      </c>
      <c r="T4878" s="28"/>
      <c r="U4878" s="28" t="n">
        <f aca="false">T4878*$M4878</f>
        <v>0</v>
      </c>
      <c r="V4878" s="28"/>
      <c r="W4878" s="28" t="n">
        <f aca="false">V4878*$M4878</f>
        <v>0</v>
      </c>
      <c r="X4878" s="28"/>
      <c r="Y4878" s="28" t="n">
        <f aca="false">X4878*$M4878</f>
        <v>0</v>
      </c>
      <c r="Z4878" s="28"/>
      <c r="AA4878" s="28" t="n">
        <f aca="false">Z4878*$M4878</f>
        <v>0</v>
      </c>
      <c r="AB4878" s="28"/>
      <c r="AC4878" s="28" t="n">
        <f aca="false">AB4878*$M4878</f>
        <v>0</v>
      </c>
      <c r="AD4878" s="28"/>
      <c r="AE4878" s="28" t="n">
        <f aca="false">AD4878*$M4878</f>
        <v>0</v>
      </c>
      <c r="AF4878" s="28"/>
      <c r="AG4878" s="28" t="n">
        <f aca="false">AF4878*$M4878</f>
        <v>0</v>
      </c>
      <c r="AH4878" s="28"/>
      <c r="AI4878" s="28" t="n">
        <f aca="false">AH4878*$M4878</f>
        <v>0</v>
      </c>
      <c r="AJ4878" s="28" t="n">
        <v>7127</v>
      </c>
      <c r="AK4878" s="28" t="n">
        <v>17817</v>
      </c>
      <c r="AL4878" s="28"/>
      <c r="AM4878" s="28" t="n">
        <f aca="false">AL4878*$M4878</f>
        <v>0</v>
      </c>
      <c r="AN4878" s="28"/>
      <c r="AO4878" s="28" t="n">
        <f aca="false">AN4878*$M4878</f>
        <v>0</v>
      </c>
      <c r="AP4878" s="28"/>
      <c r="AQ4878" s="28" t="n">
        <f aca="false">AP4878*$M4878</f>
        <v>0</v>
      </c>
      <c r="AR4878" s="28"/>
      <c r="AS4878" s="28" t="n">
        <f aca="false">AR4878*$M4878</f>
        <v>0</v>
      </c>
      <c r="AT4878" s="28"/>
      <c r="AU4878" s="28" t="n">
        <f aca="false">AT4878*$M4878</f>
        <v>0</v>
      </c>
      <c r="AV4878" s="28"/>
      <c r="AW4878" s="28" t="n">
        <f aca="false">AV4878*$M4878</f>
        <v>0</v>
      </c>
      <c r="AX4878" s="28"/>
      <c r="AY4878" s="28" t="n">
        <f aca="false">AX4878*$M4878</f>
        <v>0</v>
      </c>
      <c r="AZ4878" s="30" t="n">
        <v>7127</v>
      </c>
      <c r="BA4878" s="11" t="n">
        <v>17817</v>
      </c>
      <c r="BB4878" s="31" t="n">
        <f aca="false">SUM(Q4878,S4878,U4878,W4878,Y4878,AA4878,AC4878,AE4878,AG4878,AI4878,AK4878,AM4878,AO4878,AQ4878,AS4878,AU4878,AW4878,AY4878)</f>
        <v>17817</v>
      </c>
      <c r="BC4878" s="28" t="n">
        <f aca="false">BA4878-BB4878</f>
        <v>0</v>
      </c>
      <c r="BD4878" s="32" t="n">
        <f aca="false">SUM(P4878,R4878,T4878,V4878,X4878,Z4878,AB4878,AD4878,AF4878,AH4878,AJ4878,AL4878,AN4878,AP4878,AR4878,AT4878,AV4878,AX4878)</f>
        <v>7127</v>
      </c>
      <c r="BE4878" s="33" t="n">
        <f aca="false">AZ4878-BD4878</f>
        <v>0</v>
      </c>
      <c r="BF4878" s="34" t="n">
        <f aca="false">BD4878*M4878</f>
        <v>17817.5</v>
      </c>
      <c r="BG4878" s="35" t="n">
        <f aca="false">BA4878-BF4878</f>
        <v>-0.5</v>
      </c>
      <c r="BH4878" s="19" t="str">
        <f aca="false">IF(BG4878=0,"",IF(BG4878&lt;&gt;BA4878,"erreur de calcul",IF(BD4878&lt;&gt;0,"pas de prix",IF(M4878&lt;&gt; 0,"pas de quantité","pas de prix, ni de quantité"))))</f>
        <v>erreur de calcul</v>
      </c>
      <c r="BI4878" s="19"/>
    </row>
    <row r="4879" customFormat="false" ht="15" hidden="false" customHeight="false" outlineLevel="0" collapsed="false">
      <c r="A4879" s="0" t="n">
        <v>26</v>
      </c>
      <c r="B4879" s="8" t="s">
        <v>24</v>
      </c>
      <c r="C4879" s="9" t="s">
        <v>25</v>
      </c>
      <c r="D4879" s="9" t="s">
        <v>26</v>
      </c>
      <c r="E4879" s="10" t="n">
        <v>1789</v>
      </c>
      <c r="F4879" s="9" t="s">
        <v>27</v>
      </c>
      <c r="G4879" s="9" t="s">
        <v>27</v>
      </c>
      <c r="H4879" s="11" t="n">
        <v>26</v>
      </c>
      <c r="I4879" s="11" t="s">
        <v>397</v>
      </c>
      <c r="J4879" s="14" t="n">
        <v>6</v>
      </c>
      <c r="K4879" s="14" t="n">
        <v>10</v>
      </c>
      <c r="L4879" s="16"/>
      <c r="M4879" s="27" t="n">
        <f aca="false">J4879+(K4879/20)+(L4879/240)</f>
        <v>6.5</v>
      </c>
      <c r="N4879" s="17" t="s">
        <v>64</v>
      </c>
      <c r="O4879" s="11"/>
      <c r="P4879" s="28"/>
      <c r="Q4879" s="28" t="n">
        <f aca="false">P4879*$M4879</f>
        <v>0</v>
      </c>
      <c r="R4879" s="28"/>
      <c r="S4879" s="28" t="n">
        <f aca="false">R4879*$M4879</f>
        <v>0</v>
      </c>
      <c r="T4879" s="28"/>
      <c r="U4879" s="28" t="n">
        <f aca="false">T4879*$M4879</f>
        <v>0</v>
      </c>
      <c r="V4879" s="28"/>
      <c r="W4879" s="28" t="n">
        <f aca="false">V4879*$M4879</f>
        <v>0</v>
      </c>
      <c r="X4879" s="28" t="n">
        <f aca="false">22000/100</f>
        <v>220</v>
      </c>
      <c r="Y4879" s="28" t="n">
        <v>1430</v>
      </c>
      <c r="Z4879" s="28"/>
      <c r="AA4879" s="28" t="n">
        <f aca="false">Z4879*$M4879</f>
        <v>0</v>
      </c>
      <c r="AB4879" s="28" t="n">
        <f aca="false">3575715/100</f>
        <v>35757.15</v>
      </c>
      <c r="AC4879" s="36" t="n">
        <v>214543</v>
      </c>
      <c r="AD4879" s="28"/>
      <c r="AE4879" s="28" t="n">
        <f aca="false">AD4879*$M4879</f>
        <v>0</v>
      </c>
      <c r="AF4879" s="28"/>
      <c r="AG4879" s="28" t="n">
        <f aca="false">AF4879*$M4879</f>
        <v>0</v>
      </c>
      <c r="AH4879" s="28"/>
      <c r="AI4879" s="28" t="n">
        <f aca="false">AH4879*$M4879</f>
        <v>0</v>
      </c>
      <c r="AJ4879" s="28"/>
      <c r="AK4879" s="28" t="n">
        <f aca="false">AJ4879*$M4879</f>
        <v>0</v>
      </c>
      <c r="AL4879" s="28"/>
      <c r="AM4879" s="28" t="n">
        <f aca="false">AL4879*$M4879</f>
        <v>0</v>
      </c>
      <c r="AN4879" s="28"/>
      <c r="AO4879" s="28" t="n">
        <f aca="false">AN4879*$M4879</f>
        <v>0</v>
      </c>
      <c r="AP4879" s="28"/>
      <c r="AQ4879" s="28" t="n">
        <f aca="false">AP4879*$M4879</f>
        <v>0</v>
      </c>
      <c r="AR4879" s="28"/>
      <c r="AS4879" s="28" t="n">
        <f aca="false">AR4879*$M4879</f>
        <v>0</v>
      </c>
      <c r="AT4879" s="28"/>
      <c r="AU4879" s="28" t="n">
        <f aca="false">AT4879*$M4879</f>
        <v>0</v>
      </c>
      <c r="AV4879" s="28"/>
      <c r="AW4879" s="28" t="n">
        <f aca="false">AV4879*$M4879</f>
        <v>0</v>
      </c>
      <c r="AX4879" s="28"/>
      <c r="AY4879" s="28" t="n">
        <f aca="false">AX4879*$M4879</f>
        <v>0</v>
      </c>
      <c r="AZ4879" s="30" t="n">
        <f aca="false">3597715/100</f>
        <v>35977.15</v>
      </c>
      <c r="BA4879" s="11" t="n">
        <v>215973</v>
      </c>
      <c r="BB4879" s="31" t="n">
        <f aca="false">SUM(Q4879,S4879,U4879,W4879,Y4879,AA4879,AC4879,AE4879,AG4879,AI4879,AK4879,AM4879,AO4879,AQ4879,AS4879,AU4879,AW4879,AY4879)</f>
        <v>215973</v>
      </c>
      <c r="BC4879" s="28" t="n">
        <f aca="false">BA4879-BB4879</f>
        <v>0</v>
      </c>
      <c r="BD4879" s="32" t="n">
        <f aca="false">SUM(P4879,R4879,T4879,V4879,X4879,Z4879,AB4879,AD4879,AF4879,AH4879,AJ4879,AL4879,AN4879,AP4879,AR4879,AT4879,AV4879,AX4879)</f>
        <v>35977.15</v>
      </c>
      <c r="BE4879" s="33" t="n">
        <f aca="false">AZ4879-BD4879</f>
        <v>0</v>
      </c>
      <c r="BF4879" s="34" t="n">
        <f aca="false">BD4879*M4879</f>
        <v>233851.475</v>
      </c>
      <c r="BG4879" s="35" t="n">
        <f aca="false">BA4879-BF4879</f>
        <v>-17878.475</v>
      </c>
      <c r="BH4879" s="19" t="str">
        <f aca="false">IF(BG4879=0,"",IF(BG4879&lt;&gt;BA4879,"erreur de calcul",IF(BD4879&lt;&gt;0,"pas de prix",IF(M4879&lt;&gt; 0,"pas de quantité","pas de prix, ni de quantité"))))</f>
        <v>erreur de calcul</v>
      </c>
      <c r="BI4879" s="19"/>
    </row>
    <row r="4880" customFormat="false" ht="15" hidden="false" customHeight="false" outlineLevel="0" collapsed="false">
      <c r="A4880" s="0" t="n">
        <v>27</v>
      </c>
      <c r="B4880" s="8" t="s">
        <v>24</v>
      </c>
      <c r="C4880" s="9" t="s">
        <v>25</v>
      </c>
      <c r="D4880" s="9" t="s">
        <v>26</v>
      </c>
      <c r="E4880" s="10" t="n">
        <v>1789</v>
      </c>
      <c r="F4880" s="9" t="s">
        <v>27</v>
      </c>
      <c r="G4880" s="9" t="s">
        <v>27</v>
      </c>
      <c r="H4880" s="11" t="n">
        <v>26</v>
      </c>
      <c r="I4880" s="11" t="s">
        <v>398</v>
      </c>
      <c r="J4880" s="14" t="n">
        <v>11</v>
      </c>
      <c r="K4880" s="14"/>
      <c r="L4880" s="16"/>
      <c r="M4880" s="27" t="n">
        <f aca="false">J4880+(K4880/20)+(L4880/240)</f>
        <v>11</v>
      </c>
      <c r="N4880" s="17" t="s">
        <v>64</v>
      </c>
      <c r="O4880" s="11"/>
      <c r="P4880" s="28" t="n">
        <f aca="false">166667/100</f>
        <v>1666.67</v>
      </c>
      <c r="Q4880" s="28" t="n">
        <v>18333</v>
      </c>
      <c r="R4880" s="28"/>
      <c r="S4880" s="28" t="n">
        <f aca="false">R4880*$M4880</f>
        <v>0</v>
      </c>
      <c r="T4880" s="28"/>
      <c r="U4880" s="28" t="n">
        <f aca="false">T4880*$M4880</f>
        <v>0</v>
      </c>
      <c r="V4880" s="28"/>
      <c r="W4880" s="28" t="n">
        <f aca="false">V4880*$M4880</f>
        <v>0</v>
      </c>
      <c r="X4880" s="28"/>
      <c r="Y4880" s="28" t="n">
        <f aca="false">X4880*$M4880</f>
        <v>0</v>
      </c>
      <c r="Z4880" s="28"/>
      <c r="AA4880" s="28" t="n">
        <f aca="false">Z4880*$M4880</f>
        <v>0</v>
      </c>
      <c r="AB4880" s="28" t="n">
        <f aca="false">3312/100</f>
        <v>33.12</v>
      </c>
      <c r="AC4880" s="28" t="n">
        <v>364</v>
      </c>
      <c r="AD4880" s="28"/>
      <c r="AE4880" s="28" t="n">
        <f aca="false">AD4880*$M4880</f>
        <v>0</v>
      </c>
      <c r="AF4880" s="28"/>
      <c r="AG4880" s="28" t="n">
        <f aca="false">AF4880*$M4880</f>
        <v>0</v>
      </c>
      <c r="AH4880" s="28"/>
      <c r="AI4880" s="28" t="n">
        <f aca="false">AH4880*$M4880</f>
        <v>0</v>
      </c>
      <c r="AJ4880" s="28"/>
      <c r="AK4880" s="28" t="n">
        <f aca="false">AJ4880*$M4880</f>
        <v>0</v>
      </c>
      <c r="AL4880" s="28"/>
      <c r="AM4880" s="28" t="n">
        <f aca="false">AL4880*$M4880</f>
        <v>0</v>
      </c>
      <c r="AN4880" s="28"/>
      <c r="AO4880" s="28" t="n">
        <f aca="false">AN4880*$M4880</f>
        <v>0</v>
      </c>
      <c r="AP4880" s="28"/>
      <c r="AQ4880" s="28" t="n">
        <f aca="false">AP4880*$M4880</f>
        <v>0</v>
      </c>
      <c r="AR4880" s="28"/>
      <c r="AS4880" s="28" t="n">
        <f aca="false">AR4880*$M4880</f>
        <v>0</v>
      </c>
      <c r="AT4880" s="28"/>
      <c r="AU4880" s="28" t="n">
        <f aca="false">AT4880*$M4880</f>
        <v>0</v>
      </c>
      <c r="AV4880" s="28"/>
      <c r="AW4880" s="28" t="n">
        <f aca="false">AV4880*$M4880</f>
        <v>0</v>
      </c>
      <c r="AX4880" s="28"/>
      <c r="AY4880" s="28" t="n">
        <f aca="false">AX4880*$M4880</f>
        <v>0</v>
      </c>
      <c r="AZ4880" s="30" t="n">
        <f aca="false">169979/100</f>
        <v>1699.79</v>
      </c>
      <c r="BA4880" s="11" t="n">
        <v>18697</v>
      </c>
      <c r="BB4880" s="31" t="n">
        <f aca="false">SUM(Q4880,S4880,U4880,W4880,Y4880,AA4880,AC4880,AE4880,AG4880,AI4880,AK4880,AM4880,AO4880,AQ4880,AS4880,AU4880,AW4880,AY4880)</f>
        <v>18697</v>
      </c>
      <c r="BC4880" s="28" t="n">
        <f aca="false">BA4880-BB4880</f>
        <v>0</v>
      </c>
      <c r="BD4880" s="32" t="n">
        <f aca="false">SUM(P4880,R4880,T4880,V4880,X4880,Z4880,AB4880,AD4880,AF4880,AH4880,AJ4880,AL4880,AN4880,AP4880,AR4880,AT4880,AV4880,AX4880)</f>
        <v>1699.79</v>
      </c>
      <c r="BE4880" s="33" t="n">
        <f aca="false">AZ4880-BD4880</f>
        <v>0</v>
      </c>
      <c r="BF4880" s="34" t="n">
        <f aca="false">BD4880*M4880</f>
        <v>18697.69</v>
      </c>
      <c r="BG4880" s="35" t="n">
        <f aca="false">BA4880-BF4880</f>
        <v>-0.68999999999869</v>
      </c>
      <c r="BH4880" s="19" t="str">
        <f aca="false">IF(BG4880=0,"",IF(BG4880&lt;&gt;BA4880,"erreur de calcul",IF(BD4880&lt;&gt;0,"pas de prix",IF(M4880&lt;&gt; 0,"pas de quantité","pas de prix, ni de quantité"))))</f>
        <v>erreur de calcul</v>
      </c>
      <c r="BI4880" s="19"/>
    </row>
    <row r="4881" customFormat="false" ht="15" hidden="false" customHeight="false" outlineLevel="0" collapsed="false">
      <c r="A4881" s="0" t="n">
        <v>28</v>
      </c>
      <c r="B4881" s="8" t="s">
        <v>24</v>
      </c>
      <c r="C4881" s="9" t="s">
        <v>25</v>
      </c>
      <c r="D4881" s="9" t="s">
        <v>26</v>
      </c>
      <c r="E4881" s="10" t="n">
        <v>1789</v>
      </c>
      <c r="F4881" s="9" t="s">
        <v>27</v>
      </c>
      <c r="G4881" s="9" t="s">
        <v>27</v>
      </c>
      <c r="H4881" s="11" t="n">
        <v>26</v>
      </c>
      <c r="I4881" s="11" t="s">
        <v>399</v>
      </c>
      <c r="J4881" s="14" t="n">
        <v>18</v>
      </c>
      <c r="K4881" s="14"/>
      <c r="L4881" s="16"/>
      <c r="M4881" s="27" t="n">
        <f aca="false">J4881+(K4881/20)+(L4881/240)</f>
        <v>18</v>
      </c>
      <c r="N4881" s="17" t="s">
        <v>66</v>
      </c>
      <c r="O4881" s="11"/>
      <c r="P4881" s="28"/>
      <c r="Q4881" s="28" t="n">
        <f aca="false">P4881*$M4881</f>
        <v>0</v>
      </c>
      <c r="R4881" s="28"/>
      <c r="S4881" s="28" t="n">
        <f aca="false">R4881*$M4881</f>
        <v>0</v>
      </c>
      <c r="T4881" s="28"/>
      <c r="U4881" s="28" t="n">
        <f aca="false">T4881*$M4881</f>
        <v>0</v>
      </c>
      <c r="V4881" s="28"/>
      <c r="W4881" s="28" t="n">
        <f aca="false">V4881*$M4881</f>
        <v>0</v>
      </c>
      <c r="X4881" s="28"/>
      <c r="Y4881" s="28" t="n">
        <f aca="false">X4881*$M4881</f>
        <v>0</v>
      </c>
      <c r="Z4881" s="28"/>
      <c r="AA4881" s="28" t="n">
        <f aca="false">Z4881*$M4881</f>
        <v>0</v>
      </c>
      <c r="AB4881" s="28"/>
      <c r="AC4881" s="28" t="n">
        <f aca="false">AB4881*$M4881</f>
        <v>0</v>
      </c>
      <c r="AD4881" s="28"/>
      <c r="AE4881" s="28" t="n">
        <f aca="false">AD4881*$M4881</f>
        <v>0</v>
      </c>
      <c r="AF4881" s="28"/>
      <c r="AG4881" s="28" t="n">
        <f aca="false">AF4881*$M4881</f>
        <v>0</v>
      </c>
      <c r="AH4881" s="28" t="n">
        <v>72036</v>
      </c>
      <c r="AI4881" s="28" t="n">
        <v>1296648</v>
      </c>
      <c r="AJ4881" s="28"/>
      <c r="AK4881" s="28" t="n">
        <f aca="false">AJ4881*$M4881</f>
        <v>0</v>
      </c>
      <c r="AL4881" s="28"/>
      <c r="AM4881" s="28" t="n">
        <f aca="false">AL4881*$M4881</f>
        <v>0</v>
      </c>
      <c r="AN4881" s="28"/>
      <c r="AO4881" s="28" t="n">
        <f aca="false">AN4881*$M4881</f>
        <v>0</v>
      </c>
      <c r="AP4881" s="28"/>
      <c r="AQ4881" s="28" t="n">
        <f aca="false">AP4881*$M4881</f>
        <v>0</v>
      </c>
      <c r="AR4881" s="28"/>
      <c r="AS4881" s="28" t="n">
        <f aca="false">AR4881*$M4881</f>
        <v>0</v>
      </c>
      <c r="AT4881" s="28"/>
      <c r="AU4881" s="28" t="n">
        <f aca="false">AT4881*$M4881</f>
        <v>0</v>
      </c>
      <c r="AV4881" s="28"/>
      <c r="AW4881" s="28" t="n">
        <f aca="false">AV4881*$M4881</f>
        <v>0</v>
      </c>
      <c r="AX4881" s="28"/>
      <c r="AY4881" s="28" t="n">
        <f aca="false">AX4881*$M4881</f>
        <v>0</v>
      </c>
      <c r="AZ4881" s="30" t="n">
        <v>72036</v>
      </c>
      <c r="BA4881" s="11" t="n">
        <v>1296648</v>
      </c>
      <c r="BB4881" s="31" t="n">
        <f aca="false">SUM(Q4881,S4881,U4881,W4881,Y4881,AA4881,AC4881,AE4881,AG4881,AI4881,AK4881,AM4881,AO4881,AQ4881,AS4881,AU4881,AW4881,AY4881)</f>
        <v>1296648</v>
      </c>
      <c r="BC4881" s="28" t="n">
        <f aca="false">BA4881-BB4881</f>
        <v>0</v>
      </c>
      <c r="BD4881" s="32" t="n">
        <f aca="false">SUM(P4881,R4881,T4881,V4881,X4881,Z4881,AB4881,AD4881,AF4881,AH4881,AJ4881,AL4881,AN4881,AP4881,AR4881,AT4881,AV4881,AX4881)</f>
        <v>72036</v>
      </c>
      <c r="BE4881" s="33" t="n">
        <f aca="false">AZ4881-BD4881</f>
        <v>0</v>
      </c>
      <c r="BF4881" s="34" t="n">
        <f aca="false">BD4881*M4881</f>
        <v>1296648</v>
      </c>
      <c r="BG4881" s="35" t="n">
        <f aca="false">BA4881-BF4881</f>
        <v>0</v>
      </c>
      <c r="BH4881" s="19" t="str">
        <f aca="false">IF(BG4881=0,"",IF(BG4881&lt;&gt;BA4881,"erreur de calcul",IF(BD4881&lt;&gt;0,"pas de prix",IF(M4881&lt;&gt; 0,"pas de quantité","pas de prix, ni de quantité"))))</f>
        <v/>
      </c>
      <c r="BI4881" s="19"/>
    </row>
    <row r="4882" customFormat="false" ht="15" hidden="false" customHeight="false" outlineLevel="0" collapsed="false">
      <c r="A4882" s="0" t="n">
        <v>29</v>
      </c>
      <c r="B4882" s="8" t="s">
        <v>24</v>
      </c>
      <c r="C4882" s="9" t="s">
        <v>25</v>
      </c>
      <c r="D4882" s="9" t="s">
        <v>26</v>
      </c>
      <c r="E4882" s="10" t="n">
        <v>1789</v>
      </c>
      <c r="F4882" s="9" t="s">
        <v>27</v>
      </c>
      <c r="G4882" s="9" t="s">
        <v>27</v>
      </c>
      <c r="H4882" s="11" t="n">
        <v>26</v>
      </c>
      <c r="I4882" s="11" t="s">
        <v>400</v>
      </c>
      <c r="J4882" s="14" t="n">
        <v>19</v>
      </c>
      <c r="K4882" s="14"/>
      <c r="L4882" s="16"/>
      <c r="M4882" s="27" t="n">
        <f aca="false">J4882+(K4882/20)+(L4882/240)</f>
        <v>19</v>
      </c>
      <c r="N4882" s="17" t="s">
        <v>66</v>
      </c>
      <c r="O4882" s="11"/>
      <c r="P4882" s="28"/>
      <c r="Q4882" s="28" t="n">
        <f aca="false">P4882*$M4882</f>
        <v>0</v>
      </c>
      <c r="R4882" s="28"/>
      <c r="S4882" s="28" t="n">
        <f aca="false">R4882*$M4882</f>
        <v>0</v>
      </c>
      <c r="T4882" s="28"/>
      <c r="U4882" s="28" t="n">
        <f aca="false">T4882*$M4882</f>
        <v>0</v>
      </c>
      <c r="V4882" s="28"/>
      <c r="W4882" s="28" t="n">
        <f aca="false">V4882*$M4882</f>
        <v>0</v>
      </c>
      <c r="X4882" s="28"/>
      <c r="Y4882" s="28" t="n">
        <f aca="false">X4882*$M4882</f>
        <v>0</v>
      </c>
      <c r="Z4882" s="28"/>
      <c r="AA4882" s="28" t="n">
        <f aca="false">Z4882*$M4882</f>
        <v>0</v>
      </c>
      <c r="AB4882" s="28" t="n">
        <v>1176</v>
      </c>
      <c r="AC4882" s="28" t="n">
        <v>22344</v>
      </c>
      <c r="AD4882" s="28"/>
      <c r="AE4882" s="28" t="n">
        <f aca="false">AD4882*$M4882</f>
        <v>0</v>
      </c>
      <c r="AF4882" s="28"/>
      <c r="AG4882" s="28" t="n">
        <f aca="false">AF4882*$M4882</f>
        <v>0</v>
      </c>
      <c r="AH4882" s="28"/>
      <c r="AI4882" s="28" t="n">
        <f aca="false">AH4882*$M4882</f>
        <v>0</v>
      </c>
      <c r="AJ4882" s="28"/>
      <c r="AK4882" s="28" t="n">
        <f aca="false">AJ4882*$M4882</f>
        <v>0</v>
      </c>
      <c r="AL4882" s="28"/>
      <c r="AM4882" s="28" t="n">
        <f aca="false">AL4882*$M4882</f>
        <v>0</v>
      </c>
      <c r="AN4882" s="28"/>
      <c r="AO4882" s="28" t="n">
        <f aca="false">AN4882*$M4882</f>
        <v>0</v>
      </c>
      <c r="AP4882" s="28"/>
      <c r="AQ4882" s="28" t="n">
        <f aca="false">AP4882*$M4882</f>
        <v>0</v>
      </c>
      <c r="AR4882" s="28"/>
      <c r="AS4882" s="28" t="n">
        <f aca="false">AR4882*$M4882</f>
        <v>0</v>
      </c>
      <c r="AT4882" s="28"/>
      <c r="AU4882" s="28" t="n">
        <f aca="false">AT4882*$M4882</f>
        <v>0</v>
      </c>
      <c r="AV4882" s="28"/>
      <c r="AW4882" s="28" t="n">
        <f aca="false">AV4882*$M4882</f>
        <v>0</v>
      </c>
      <c r="AX4882" s="28"/>
      <c r="AY4882" s="28" t="n">
        <f aca="false">AX4882*$M4882</f>
        <v>0</v>
      </c>
      <c r="AZ4882" s="30" t="n">
        <v>1176</v>
      </c>
      <c r="BA4882" s="11" t="n">
        <v>22344</v>
      </c>
      <c r="BB4882" s="31" t="n">
        <f aca="false">SUM(Q4882,S4882,U4882,W4882,Y4882,AA4882,AC4882,AE4882,AG4882,AI4882,AK4882,AM4882,AO4882,AQ4882,AS4882,AU4882,AW4882,AY4882)</f>
        <v>22344</v>
      </c>
      <c r="BC4882" s="28" t="n">
        <f aca="false">BA4882-BB4882</f>
        <v>0</v>
      </c>
      <c r="BD4882" s="32" t="n">
        <f aca="false">SUM(P4882,R4882,T4882,V4882,X4882,Z4882,AB4882,AD4882,AF4882,AH4882,AJ4882,AL4882,AN4882,AP4882,AR4882,AT4882,AV4882,AX4882)</f>
        <v>1176</v>
      </c>
      <c r="BE4882" s="33" t="n">
        <f aca="false">AZ4882-BD4882</f>
        <v>0</v>
      </c>
      <c r="BF4882" s="34" t="n">
        <f aca="false">BD4882*M4882</f>
        <v>22344</v>
      </c>
      <c r="BG4882" s="35" t="n">
        <f aca="false">BA4882-BF4882</f>
        <v>0</v>
      </c>
      <c r="BH4882" s="19" t="str">
        <f aca="false">IF(BG4882=0,"",IF(BG4882&lt;&gt;BA4882,"erreur de calcul",IF(BD4882&lt;&gt;0,"pas de prix",IF(M4882&lt;&gt; 0,"pas de quantité","pas de prix, ni de quantité"))))</f>
        <v/>
      </c>
      <c r="BI4882" s="19"/>
    </row>
    <row r="4883" customFormat="false" ht="15" hidden="false" customHeight="false" outlineLevel="0" collapsed="false">
      <c r="A4883" s="0" t="n">
        <v>30</v>
      </c>
      <c r="B4883" s="8" t="s">
        <v>24</v>
      </c>
      <c r="C4883" s="9" t="s">
        <v>25</v>
      </c>
      <c r="D4883" s="9" t="s">
        <v>26</v>
      </c>
      <c r="E4883" s="10" t="n">
        <v>1789</v>
      </c>
      <c r="F4883" s="9" t="s">
        <v>27</v>
      </c>
      <c r="G4883" s="9" t="s">
        <v>27</v>
      </c>
      <c r="H4883" s="11" t="n">
        <v>26</v>
      </c>
      <c r="I4883" s="11" t="s">
        <v>401</v>
      </c>
      <c r="J4883" s="14" t="n">
        <v>20</v>
      </c>
      <c r="K4883" s="14"/>
      <c r="L4883" s="16"/>
      <c r="M4883" s="27" t="n">
        <f aca="false">J4883+(K4883/20)+(L4883/240)</f>
        <v>20</v>
      </c>
      <c r="N4883" s="17" t="s">
        <v>66</v>
      </c>
      <c r="O4883" s="11"/>
      <c r="P4883" s="28"/>
      <c r="Q4883" s="28" t="n">
        <f aca="false">P4883*$M4883</f>
        <v>0</v>
      </c>
      <c r="R4883" s="28"/>
      <c r="S4883" s="28" t="n">
        <f aca="false">R4883*$M4883</f>
        <v>0</v>
      </c>
      <c r="T4883" s="28" t="n">
        <v>7478</v>
      </c>
      <c r="U4883" s="28" t="n">
        <v>149560</v>
      </c>
      <c r="V4883" s="28" t="n">
        <v>3386</v>
      </c>
      <c r="W4883" s="36" t="n">
        <v>66720</v>
      </c>
      <c r="X4883" s="28" t="n">
        <v>2233</v>
      </c>
      <c r="Y4883" s="28" t="n">
        <v>44660</v>
      </c>
      <c r="Z4883" s="28" t="n">
        <v>867</v>
      </c>
      <c r="AA4883" s="28" t="n">
        <v>17340</v>
      </c>
      <c r="AB4883" s="28" t="n">
        <v>32380</v>
      </c>
      <c r="AC4883" s="28" t="n">
        <v>647600</v>
      </c>
      <c r="AD4883" s="28"/>
      <c r="AE4883" s="28" t="n">
        <f aca="false">AD4883*$M4883</f>
        <v>0</v>
      </c>
      <c r="AF4883" s="28"/>
      <c r="AG4883" s="28" t="n">
        <f aca="false">AF4883*$M4883</f>
        <v>0</v>
      </c>
      <c r="AH4883" s="28" t="n">
        <v>12038</v>
      </c>
      <c r="AI4883" s="28" t="n">
        <v>240760</v>
      </c>
      <c r="AJ4883" s="28"/>
      <c r="AK4883" s="28" t="n">
        <f aca="false">AJ4883*$M4883</f>
        <v>0</v>
      </c>
      <c r="AL4883" s="28"/>
      <c r="AM4883" s="28" t="n">
        <f aca="false">AL4883*$M4883</f>
        <v>0</v>
      </c>
      <c r="AN4883" s="28"/>
      <c r="AO4883" s="28" t="n">
        <f aca="false">AN4883*$M4883</f>
        <v>0</v>
      </c>
      <c r="AP4883" s="28"/>
      <c r="AQ4883" s="28" t="n">
        <f aca="false">AP4883*$M4883</f>
        <v>0</v>
      </c>
      <c r="AR4883" s="28"/>
      <c r="AS4883" s="28" t="n">
        <f aca="false">AR4883*$M4883</f>
        <v>0</v>
      </c>
      <c r="AT4883" s="28"/>
      <c r="AU4883" s="28" t="n">
        <f aca="false">AT4883*$M4883</f>
        <v>0</v>
      </c>
      <c r="AV4883" s="28"/>
      <c r="AW4883" s="28" t="n">
        <f aca="false">AV4883*$M4883</f>
        <v>0</v>
      </c>
      <c r="AX4883" s="28"/>
      <c r="AY4883" s="28" t="n">
        <f aca="false">AX4883*$M4883</f>
        <v>0</v>
      </c>
      <c r="AZ4883" s="30" t="n">
        <v>58382</v>
      </c>
      <c r="BA4883" s="11" t="n">
        <v>1166640</v>
      </c>
      <c r="BB4883" s="31" t="n">
        <f aca="false">SUM(Q4883,S4883,U4883,W4883,Y4883,AA4883,AC4883,AE4883,AG4883,AI4883,AK4883,AM4883,AO4883,AQ4883,AS4883,AU4883,AW4883,AY4883)</f>
        <v>1166640</v>
      </c>
      <c r="BC4883" s="28" t="n">
        <f aca="false">BA4883-BB4883</f>
        <v>0</v>
      </c>
      <c r="BD4883" s="32" t="n">
        <f aca="false">SUM(P4883,R4883,T4883,V4883,X4883,Z4883,AB4883,AD4883,AF4883,AH4883,AJ4883,AL4883,AN4883,AP4883,AR4883,AT4883,AV4883,AX4883)</f>
        <v>58382</v>
      </c>
      <c r="BE4883" s="33" t="n">
        <f aca="false">AZ4883-BD4883</f>
        <v>0</v>
      </c>
      <c r="BF4883" s="34" t="n">
        <f aca="false">BD4883*M4883</f>
        <v>1167640</v>
      </c>
      <c r="BG4883" s="35" t="n">
        <f aca="false">BA4883-BF4883</f>
        <v>-1000</v>
      </c>
      <c r="BH4883" s="19" t="str">
        <f aca="false">IF(BG4883=0,"",IF(BG4883&lt;&gt;BA4883,"erreur de calcul",IF(BD4883&lt;&gt;0,"pas de prix",IF(M4883&lt;&gt; 0,"pas de quantité","pas de prix, ni de quantité"))))</f>
        <v>erreur de calcul</v>
      </c>
      <c r="BI4883" s="19"/>
    </row>
    <row r="4884" customFormat="false" ht="15" hidden="false" customHeight="false" outlineLevel="0" collapsed="false">
      <c r="A4884" s="0" t="n">
        <v>31</v>
      </c>
      <c r="B4884" s="8" t="s">
        <v>24</v>
      </c>
      <c r="C4884" s="9" t="s">
        <v>25</v>
      </c>
      <c r="D4884" s="9" t="s">
        <v>26</v>
      </c>
      <c r="E4884" s="10" t="n">
        <v>1789</v>
      </c>
      <c r="F4884" s="9" t="s">
        <v>27</v>
      </c>
      <c r="G4884" s="9" t="s">
        <v>27</v>
      </c>
      <c r="H4884" s="11" t="n">
        <v>26</v>
      </c>
      <c r="I4884" s="11" t="s">
        <v>402</v>
      </c>
      <c r="J4884" s="14" t="n">
        <v>17</v>
      </c>
      <c r="K4884" s="14"/>
      <c r="L4884" s="16"/>
      <c r="M4884" s="27" t="n">
        <f aca="false">J4884+(K4884/20)+(L4884/240)</f>
        <v>17</v>
      </c>
      <c r="N4884" s="17" t="s">
        <v>66</v>
      </c>
      <c r="O4884" s="11"/>
      <c r="P4884" s="28"/>
      <c r="Q4884" s="28" t="n">
        <f aca="false">P4884*$M4884</f>
        <v>0</v>
      </c>
      <c r="R4884" s="28"/>
      <c r="S4884" s="28" t="n">
        <f aca="false">R4884*$M4884</f>
        <v>0</v>
      </c>
      <c r="T4884" s="28" t="n">
        <v>126481</v>
      </c>
      <c r="U4884" s="28" t="n">
        <v>2150177</v>
      </c>
      <c r="V4884" s="28"/>
      <c r="W4884" s="28" t="n">
        <f aca="false">V4884*$M4884</f>
        <v>0</v>
      </c>
      <c r="X4884" s="28"/>
      <c r="Y4884" s="28" t="n">
        <f aca="false">X4884*$M4884</f>
        <v>0</v>
      </c>
      <c r="Z4884" s="28"/>
      <c r="AA4884" s="28" t="n">
        <f aca="false">Z4884*$M4884</f>
        <v>0</v>
      </c>
      <c r="AB4884" s="28"/>
      <c r="AC4884" s="28" t="n">
        <f aca="false">AB4884*$M4884</f>
        <v>0</v>
      </c>
      <c r="AD4884" s="28"/>
      <c r="AE4884" s="28" t="n">
        <f aca="false">AD4884*$M4884</f>
        <v>0</v>
      </c>
      <c r="AF4884" s="28"/>
      <c r="AG4884" s="28" t="n">
        <f aca="false">AF4884*$M4884</f>
        <v>0</v>
      </c>
      <c r="AH4884" s="28"/>
      <c r="AI4884" s="28" t="n">
        <f aca="false">AH4884*$M4884</f>
        <v>0</v>
      </c>
      <c r="AJ4884" s="28"/>
      <c r="AK4884" s="28" t="n">
        <f aca="false">AJ4884*$M4884</f>
        <v>0</v>
      </c>
      <c r="AL4884" s="28"/>
      <c r="AM4884" s="28" t="n">
        <f aca="false">AL4884*$M4884</f>
        <v>0</v>
      </c>
      <c r="AN4884" s="28"/>
      <c r="AO4884" s="28" t="n">
        <f aca="false">AN4884*$M4884</f>
        <v>0</v>
      </c>
      <c r="AP4884" s="28"/>
      <c r="AQ4884" s="28" t="n">
        <f aca="false">AP4884*$M4884</f>
        <v>0</v>
      </c>
      <c r="AR4884" s="28"/>
      <c r="AS4884" s="28" t="n">
        <f aca="false">AR4884*$M4884</f>
        <v>0</v>
      </c>
      <c r="AT4884" s="28"/>
      <c r="AU4884" s="28" t="n">
        <f aca="false">AT4884*$M4884</f>
        <v>0</v>
      </c>
      <c r="AV4884" s="28"/>
      <c r="AW4884" s="28" t="n">
        <f aca="false">AV4884*$M4884</f>
        <v>0</v>
      </c>
      <c r="AX4884" s="28"/>
      <c r="AY4884" s="28" t="n">
        <f aca="false">AX4884*$M4884</f>
        <v>0</v>
      </c>
      <c r="AZ4884" s="30" t="n">
        <v>126481</v>
      </c>
      <c r="BA4884" s="11" t="n">
        <v>2150177</v>
      </c>
      <c r="BB4884" s="31" t="n">
        <f aca="false">SUM(Q4884,S4884,U4884,W4884,Y4884,AA4884,AC4884,AE4884,AG4884,AI4884,AK4884,AM4884,AO4884,AQ4884,AS4884,AU4884,AW4884,AY4884)</f>
        <v>2150177</v>
      </c>
      <c r="BC4884" s="28" t="n">
        <f aca="false">BA4884-BB4884</f>
        <v>0</v>
      </c>
      <c r="BD4884" s="32" t="n">
        <f aca="false">SUM(P4884,R4884,T4884,V4884,X4884,Z4884,AB4884,AD4884,AF4884,AH4884,AJ4884,AL4884,AN4884,AP4884,AR4884,AT4884,AV4884,AX4884)</f>
        <v>126481</v>
      </c>
      <c r="BE4884" s="33" t="n">
        <f aca="false">AZ4884-BD4884</f>
        <v>0</v>
      </c>
      <c r="BF4884" s="34" t="n">
        <f aca="false">BD4884*M4884</f>
        <v>2150177</v>
      </c>
      <c r="BG4884" s="35" t="n">
        <f aca="false">BA4884-BF4884</f>
        <v>0</v>
      </c>
      <c r="BH4884" s="19" t="str">
        <f aca="false">IF(BG4884=0,"",IF(BG4884&lt;&gt;BA4884,"erreur de calcul",IF(BD4884&lt;&gt;0,"pas de prix",IF(M4884&lt;&gt; 0,"pas de quantité","pas de prix, ni de quantité"))))</f>
        <v/>
      </c>
      <c r="BI4884" s="19"/>
    </row>
    <row r="4885" customFormat="false" ht="15" hidden="false" customHeight="false" outlineLevel="0" collapsed="false">
      <c r="A4885" s="0" t="n">
        <v>32</v>
      </c>
      <c r="B4885" s="8" t="s">
        <v>24</v>
      </c>
      <c r="C4885" s="9" t="s">
        <v>25</v>
      </c>
      <c r="D4885" s="9" t="s">
        <v>26</v>
      </c>
      <c r="E4885" s="10" t="n">
        <v>1789</v>
      </c>
      <c r="F4885" s="9" t="s">
        <v>27</v>
      </c>
      <c r="G4885" s="9" t="s">
        <v>27</v>
      </c>
      <c r="H4885" s="11" t="n">
        <v>26</v>
      </c>
      <c r="I4885" s="11" t="s">
        <v>403</v>
      </c>
      <c r="J4885" s="14" t="n">
        <v>28</v>
      </c>
      <c r="K4885" s="14"/>
      <c r="L4885" s="16"/>
      <c r="M4885" s="27" t="n">
        <f aca="false">J4885+(K4885/20)+(L4885/240)</f>
        <v>28</v>
      </c>
      <c r="N4885" s="17" t="s">
        <v>66</v>
      </c>
      <c r="O4885" s="11"/>
      <c r="P4885" s="28"/>
      <c r="Q4885" s="28" t="n">
        <f aca="false">P4885*$M4885</f>
        <v>0</v>
      </c>
      <c r="R4885" s="28"/>
      <c r="S4885" s="28" t="n">
        <f aca="false">R4885*$M4885</f>
        <v>0</v>
      </c>
      <c r="T4885" s="28"/>
      <c r="U4885" s="28" t="n">
        <f aca="false">T4885*$M4885</f>
        <v>0</v>
      </c>
      <c r="V4885" s="28" t="n">
        <v>1923</v>
      </c>
      <c r="W4885" s="28" t="n">
        <v>53844</v>
      </c>
      <c r="X4885" s="28" t="n">
        <v>7280</v>
      </c>
      <c r="Y4885" s="36" t="n">
        <v>203860</v>
      </c>
      <c r="Z4885" s="28"/>
      <c r="AA4885" s="28" t="n">
        <f aca="false">Z4885*$M4885</f>
        <v>0</v>
      </c>
      <c r="AB4885" s="28" t="n">
        <v>128803</v>
      </c>
      <c r="AC4885" s="28" t="n">
        <v>3606484</v>
      </c>
      <c r="AD4885" s="28"/>
      <c r="AE4885" s="28" t="n">
        <f aca="false">AD4885*$M4885</f>
        <v>0</v>
      </c>
      <c r="AF4885" s="28"/>
      <c r="AG4885" s="28" t="n">
        <f aca="false">AF4885*$M4885</f>
        <v>0</v>
      </c>
      <c r="AH4885" s="28"/>
      <c r="AI4885" s="28" t="n">
        <f aca="false">AH4885*$M4885</f>
        <v>0</v>
      </c>
      <c r="AJ4885" s="28"/>
      <c r="AK4885" s="28" t="n">
        <f aca="false">AJ4885*$M4885</f>
        <v>0</v>
      </c>
      <c r="AL4885" s="28"/>
      <c r="AM4885" s="28" t="n">
        <f aca="false">AL4885*$M4885</f>
        <v>0</v>
      </c>
      <c r="AN4885" s="28"/>
      <c r="AO4885" s="28" t="n">
        <f aca="false">AN4885*$M4885</f>
        <v>0</v>
      </c>
      <c r="AP4885" s="28"/>
      <c r="AQ4885" s="28" t="n">
        <f aca="false">AP4885*$M4885</f>
        <v>0</v>
      </c>
      <c r="AR4885" s="28"/>
      <c r="AS4885" s="28" t="n">
        <f aca="false">AR4885*$M4885</f>
        <v>0</v>
      </c>
      <c r="AT4885" s="28"/>
      <c r="AU4885" s="28" t="n">
        <f aca="false">AT4885*$M4885</f>
        <v>0</v>
      </c>
      <c r="AV4885" s="28"/>
      <c r="AW4885" s="28" t="n">
        <f aca="false">AV4885*$M4885</f>
        <v>0</v>
      </c>
      <c r="AX4885" s="28"/>
      <c r="AY4885" s="28" t="n">
        <f aca="false">AX4885*$M4885</f>
        <v>0</v>
      </c>
      <c r="AZ4885" s="30" t="n">
        <v>138006</v>
      </c>
      <c r="BA4885" s="11" t="n">
        <v>3864188</v>
      </c>
      <c r="BB4885" s="31" t="n">
        <f aca="false">SUM(Q4885,S4885,U4885,W4885,Y4885,AA4885,AC4885,AE4885,AG4885,AI4885,AK4885,AM4885,AO4885,AQ4885,AS4885,AU4885,AW4885,AY4885)</f>
        <v>3864188</v>
      </c>
      <c r="BC4885" s="28" t="n">
        <f aca="false">BA4885-BB4885</f>
        <v>0</v>
      </c>
      <c r="BD4885" s="32" t="n">
        <f aca="false">SUM(P4885,R4885,T4885,V4885,X4885,Z4885,AB4885,AD4885,AF4885,AH4885,AJ4885,AL4885,AN4885,AP4885,AR4885,AT4885,AV4885,AX4885)</f>
        <v>138006</v>
      </c>
      <c r="BE4885" s="33" t="n">
        <f aca="false">AZ4885-BD4885</f>
        <v>0</v>
      </c>
      <c r="BF4885" s="34" t="n">
        <f aca="false">BD4885*M4885</f>
        <v>3864168</v>
      </c>
      <c r="BG4885" s="35" t="n">
        <f aca="false">BA4885-BF4885</f>
        <v>20</v>
      </c>
      <c r="BH4885" s="19" t="str">
        <f aca="false">IF(BG4885=0,"",IF(BG4885&lt;&gt;BA4885,"erreur de calcul",IF(BD4885&lt;&gt;0,"pas de prix",IF(M4885&lt;&gt; 0,"pas de quantité","pas de prix, ni de quantité"))))</f>
        <v>erreur de calcul</v>
      </c>
      <c r="BI4885" s="19"/>
    </row>
    <row r="4886" customFormat="false" ht="15" hidden="false" customHeight="false" outlineLevel="0" collapsed="false">
      <c r="A4886" s="0" t="n">
        <v>33</v>
      </c>
      <c r="B4886" s="8" t="s">
        <v>24</v>
      </c>
      <c r="C4886" s="9" t="s">
        <v>25</v>
      </c>
      <c r="D4886" s="9" t="s">
        <v>26</v>
      </c>
      <c r="E4886" s="10" t="n">
        <v>1789</v>
      </c>
      <c r="F4886" s="9" t="s">
        <v>27</v>
      </c>
      <c r="G4886" s="9" t="s">
        <v>27</v>
      </c>
      <c r="H4886" s="11" t="n">
        <v>26</v>
      </c>
      <c r="I4886" s="11" t="s">
        <v>404</v>
      </c>
      <c r="J4886" s="14"/>
      <c r="K4886" s="14" t="n">
        <v>30</v>
      </c>
      <c r="L4886" s="16"/>
      <c r="M4886" s="27" t="n">
        <f aca="false">J4886+(K4886/20)+(L4886/240)</f>
        <v>1.5</v>
      </c>
      <c r="N4886" s="17" t="s">
        <v>66</v>
      </c>
      <c r="O4886" s="11"/>
      <c r="P4886" s="28"/>
      <c r="Q4886" s="28" t="n">
        <f aca="false">P4886*$M4886</f>
        <v>0</v>
      </c>
      <c r="R4886" s="28"/>
      <c r="S4886" s="28" t="n">
        <f aca="false">R4886*$M4886</f>
        <v>0</v>
      </c>
      <c r="T4886" s="28" t="n">
        <v>11245</v>
      </c>
      <c r="U4886" s="28" t="n">
        <v>16867</v>
      </c>
      <c r="V4886" s="28"/>
      <c r="W4886" s="28" t="n">
        <f aca="false">V4886*$M4886</f>
        <v>0</v>
      </c>
      <c r="X4886" s="28"/>
      <c r="Y4886" s="28" t="n">
        <f aca="false">X4886*$M4886</f>
        <v>0</v>
      </c>
      <c r="Z4886" s="28"/>
      <c r="AA4886" s="28" t="n">
        <f aca="false">Z4886*$M4886</f>
        <v>0</v>
      </c>
      <c r="AB4886" s="28"/>
      <c r="AC4886" s="28" t="n">
        <f aca="false">AB4886*$M4886</f>
        <v>0</v>
      </c>
      <c r="AD4886" s="28"/>
      <c r="AE4886" s="28" t="n">
        <f aca="false">AD4886*$M4886</f>
        <v>0</v>
      </c>
      <c r="AF4886" s="28"/>
      <c r="AG4886" s="28" t="n">
        <f aca="false">AF4886*$M4886</f>
        <v>0</v>
      </c>
      <c r="AH4886" s="28"/>
      <c r="AI4886" s="28" t="n">
        <f aca="false">AH4886*$M4886</f>
        <v>0</v>
      </c>
      <c r="AJ4886" s="28"/>
      <c r="AK4886" s="28" t="n">
        <f aca="false">AJ4886*$M4886</f>
        <v>0</v>
      </c>
      <c r="AL4886" s="28"/>
      <c r="AM4886" s="28" t="n">
        <f aca="false">AL4886*$M4886</f>
        <v>0</v>
      </c>
      <c r="AN4886" s="28"/>
      <c r="AO4886" s="28" t="n">
        <f aca="false">AN4886*$M4886</f>
        <v>0</v>
      </c>
      <c r="AP4886" s="28"/>
      <c r="AQ4886" s="28" t="n">
        <f aca="false">AP4886*$M4886</f>
        <v>0</v>
      </c>
      <c r="AR4886" s="28"/>
      <c r="AS4886" s="28" t="n">
        <f aca="false">AR4886*$M4886</f>
        <v>0</v>
      </c>
      <c r="AT4886" s="28"/>
      <c r="AU4886" s="28" t="n">
        <f aca="false">AT4886*$M4886</f>
        <v>0</v>
      </c>
      <c r="AV4886" s="28"/>
      <c r="AW4886" s="28" t="n">
        <f aca="false">AV4886*$M4886</f>
        <v>0</v>
      </c>
      <c r="AX4886" s="28"/>
      <c r="AY4886" s="28" t="n">
        <f aca="false">AX4886*$M4886</f>
        <v>0</v>
      </c>
      <c r="AZ4886" s="30" t="n">
        <v>11245</v>
      </c>
      <c r="BA4886" s="11" t="n">
        <v>16867</v>
      </c>
      <c r="BB4886" s="31" t="n">
        <f aca="false">SUM(Q4886,S4886,U4886,W4886,Y4886,AA4886,AC4886,AE4886,AG4886,AI4886,AK4886,AM4886,AO4886,AQ4886,AS4886,AU4886,AW4886,AY4886)</f>
        <v>16867</v>
      </c>
      <c r="BC4886" s="28" t="n">
        <f aca="false">BA4886-BB4886</f>
        <v>0</v>
      </c>
      <c r="BD4886" s="32" t="n">
        <f aca="false">SUM(P4886,R4886,T4886,V4886,X4886,Z4886,AB4886,AD4886,AF4886,AH4886,AJ4886,AL4886,AN4886,AP4886,AR4886,AT4886,AV4886,AX4886)</f>
        <v>11245</v>
      </c>
      <c r="BE4886" s="33" t="n">
        <f aca="false">AZ4886-BD4886</f>
        <v>0</v>
      </c>
      <c r="BF4886" s="34" t="n">
        <f aca="false">BD4886*M4886</f>
        <v>16867.5</v>
      </c>
      <c r="BG4886" s="35" t="n">
        <f aca="false">BA4886-BF4886</f>
        <v>-0.5</v>
      </c>
      <c r="BH4886" s="19" t="str">
        <f aca="false">IF(BG4886=0,"",IF(BG4886&lt;&gt;BA4886,"erreur de calcul",IF(BD4886&lt;&gt;0,"pas de prix",IF(M4886&lt;&gt; 0,"pas de quantité","pas de prix, ni de quantité"))))</f>
        <v>erreur de calcul</v>
      </c>
      <c r="BI4886" s="19"/>
    </row>
    <row r="4887" customFormat="false" ht="15" hidden="false" customHeight="false" outlineLevel="0" collapsed="false">
      <c r="A4887" s="0" t="n">
        <v>34</v>
      </c>
      <c r="B4887" s="8" t="s">
        <v>24</v>
      </c>
      <c r="C4887" s="9" t="s">
        <v>25</v>
      </c>
      <c r="D4887" s="9" t="s">
        <v>26</v>
      </c>
      <c r="E4887" s="10" t="n">
        <v>1789</v>
      </c>
      <c r="F4887" s="9" t="s">
        <v>27</v>
      </c>
      <c r="G4887" s="9" t="s">
        <v>27</v>
      </c>
      <c r="H4887" s="11" t="n">
        <v>26</v>
      </c>
      <c r="I4887" s="11" t="s">
        <v>405</v>
      </c>
      <c r="J4887" s="14"/>
      <c r="K4887" s="14" t="n">
        <v>40</v>
      </c>
      <c r="L4887" s="16"/>
      <c r="M4887" s="27" t="n">
        <f aca="false">J4887+(K4887/20)+(L4887/240)</f>
        <v>2</v>
      </c>
      <c r="N4887" s="17" t="s">
        <v>66</v>
      </c>
      <c r="O4887" s="11"/>
      <c r="P4887" s="28"/>
      <c r="Q4887" s="28" t="n">
        <f aca="false">P4887*$M4887</f>
        <v>0</v>
      </c>
      <c r="R4887" s="28"/>
      <c r="S4887" s="28" t="n">
        <f aca="false">R4887*$M4887</f>
        <v>0</v>
      </c>
      <c r="T4887" s="28"/>
      <c r="U4887" s="28" t="n">
        <f aca="false">T4887*$M4887</f>
        <v>0</v>
      </c>
      <c r="V4887" s="28"/>
      <c r="W4887" s="28" t="n">
        <f aca="false">V4887*$M4887</f>
        <v>0</v>
      </c>
      <c r="X4887" s="28"/>
      <c r="Y4887" s="28" t="n">
        <f aca="false">X4887*$M4887</f>
        <v>0</v>
      </c>
      <c r="Z4887" s="28"/>
      <c r="AA4887" s="28" t="n">
        <f aca="false">Z4887*$M4887</f>
        <v>0</v>
      </c>
      <c r="AB4887" s="28"/>
      <c r="AC4887" s="28" t="n">
        <f aca="false">AB4887*$M4887</f>
        <v>0</v>
      </c>
      <c r="AD4887" s="28"/>
      <c r="AE4887" s="28" t="n">
        <f aca="false">AD4887*$M4887</f>
        <v>0</v>
      </c>
      <c r="AF4887" s="28"/>
      <c r="AG4887" s="28" t="n">
        <f aca="false">AF4887*$M4887</f>
        <v>0</v>
      </c>
      <c r="AH4887" s="28" t="n">
        <v>9380</v>
      </c>
      <c r="AI4887" s="28" t="n">
        <v>18760</v>
      </c>
      <c r="AJ4887" s="28"/>
      <c r="AK4887" s="28" t="n">
        <f aca="false">AJ4887*$M4887</f>
        <v>0</v>
      </c>
      <c r="AL4887" s="28"/>
      <c r="AM4887" s="28" t="n">
        <f aca="false">AL4887*$M4887</f>
        <v>0</v>
      </c>
      <c r="AN4887" s="28"/>
      <c r="AO4887" s="28" t="n">
        <f aca="false">AN4887*$M4887</f>
        <v>0</v>
      </c>
      <c r="AP4887" s="28"/>
      <c r="AQ4887" s="28" t="n">
        <f aca="false">AP4887*$M4887</f>
        <v>0</v>
      </c>
      <c r="AR4887" s="28"/>
      <c r="AS4887" s="28" t="n">
        <f aca="false">AR4887*$M4887</f>
        <v>0</v>
      </c>
      <c r="AT4887" s="28"/>
      <c r="AU4887" s="28" t="n">
        <f aca="false">AT4887*$M4887</f>
        <v>0</v>
      </c>
      <c r="AV4887" s="28"/>
      <c r="AW4887" s="28" t="n">
        <f aca="false">AV4887*$M4887</f>
        <v>0</v>
      </c>
      <c r="AX4887" s="28"/>
      <c r="AY4887" s="28" t="n">
        <f aca="false">AX4887*$M4887</f>
        <v>0</v>
      </c>
      <c r="AZ4887" s="30" t="n">
        <v>9380</v>
      </c>
      <c r="BA4887" s="11" t="n">
        <v>18760</v>
      </c>
      <c r="BB4887" s="31" t="n">
        <f aca="false">SUM(Q4887,S4887,U4887,W4887,Y4887,AA4887,AC4887,AE4887,AG4887,AI4887,AK4887,AM4887,AO4887,AQ4887,AS4887,AU4887,AW4887,AY4887)</f>
        <v>18760</v>
      </c>
      <c r="BC4887" s="28" t="n">
        <f aca="false">BA4887-BB4887</f>
        <v>0</v>
      </c>
      <c r="BD4887" s="32" t="n">
        <f aca="false">SUM(P4887,R4887,T4887,V4887,X4887,Z4887,AB4887,AD4887,AF4887,AH4887,AJ4887,AL4887,AN4887,AP4887,AR4887,AT4887,AV4887,AX4887)</f>
        <v>9380</v>
      </c>
      <c r="BE4887" s="33" t="n">
        <f aca="false">AZ4887-BD4887</f>
        <v>0</v>
      </c>
      <c r="BF4887" s="34" t="n">
        <f aca="false">BD4887*M4887</f>
        <v>18760</v>
      </c>
      <c r="BG4887" s="35" t="n">
        <f aca="false">BA4887-BF4887</f>
        <v>0</v>
      </c>
      <c r="BH4887" s="19" t="str">
        <f aca="false">IF(BG4887=0,"",IF(BG4887&lt;&gt;BA4887,"erreur de calcul",IF(BD4887&lt;&gt;0,"pas de prix",IF(M4887&lt;&gt; 0,"pas de quantité","pas de prix, ni de quantité"))))</f>
        <v/>
      </c>
      <c r="BI4887" s="19"/>
    </row>
    <row r="4888" customFormat="false" ht="15" hidden="false" customHeight="false" outlineLevel="0" collapsed="false">
      <c r="A4888" s="0" t="n">
        <v>35</v>
      </c>
      <c r="B4888" s="8" t="s">
        <v>24</v>
      </c>
      <c r="C4888" s="9" t="s">
        <v>25</v>
      </c>
      <c r="D4888" s="9" t="s">
        <v>26</v>
      </c>
      <c r="E4888" s="10" t="n">
        <v>1789</v>
      </c>
      <c r="F4888" s="9" t="s">
        <v>27</v>
      </c>
      <c r="G4888" s="9" t="s">
        <v>27</v>
      </c>
      <c r="H4888" s="11" t="n">
        <v>26</v>
      </c>
      <c r="I4888" s="11" t="s">
        <v>406</v>
      </c>
      <c r="J4888" s="14" t="n">
        <v>55</v>
      </c>
      <c r="K4888" s="14"/>
      <c r="L4888" s="16"/>
      <c r="M4888" s="27" t="n">
        <f aca="false">J4888+(K4888/20)+(L4888/240)</f>
        <v>55</v>
      </c>
      <c r="N4888" s="17" t="s">
        <v>64</v>
      </c>
      <c r="O4888" s="11"/>
      <c r="P4888" s="28" t="n">
        <f aca="false">634/100</f>
        <v>6.34</v>
      </c>
      <c r="Q4888" s="28" t="n">
        <v>349</v>
      </c>
      <c r="R4888" s="28"/>
      <c r="S4888" s="28" t="n">
        <f aca="false">R4888*$M4888</f>
        <v>0</v>
      </c>
      <c r="T4888" s="28" t="n">
        <f aca="false">2450/100</f>
        <v>24.5</v>
      </c>
      <c r="U4888" s="28" t="n">
        <v>1347</v>
      </c>
      <c r="V4888" s="28" t="n">
        <f aca="false">9685/100</f>
        <v>96.85</v>
      </c>
      <c r="W4888" s="28" t="n">
        <v>5327</v>
      </c>
      <c r="X4888" s="28"/>
      <c r="Y4888" s="28" t="n">
        <f aca="false">X4888*$M4888</f>
        <v>0</v>
      </c>
      <c r="Z4888" s="28"/>
      <c r="AA4888" s="28" t="n">
        <f aca="false">Z4888*$M4888</f>
        <v>0</v>
      </c>
      <c r="AB4888" s="28"/>
      <c r="AC4888" s="28" t="n">
        <f aca="false">AB4888*$M4888</f>
        <v>0</v>
      </c>
      <c r="AD4888" s="28"/>
      <c r="AE4888" s="28" t="n">
        <f aca="false">AD4888*$M4888</f>
        <v>0</v>
      </c>
      <c r="AF4888" s="28"/>
      <c r="AG4888" s="28" t="n">
        <f aca="false">AF4888*$M4888</f>
        <v>0</v>
      </c>
      <c r="AH4888" s="28"/>
      <c r="AI4888" s="28" t="n">
        <f aca="false">AH4888*$M4888</f>
        <v>0</v>
      </c>
      <c r="AJ4888" s="28"/>
      <c r="AK4888" s="28" t="n">
        <f aca="false">AJ4888*$M4888</f>
        <v>0</v>
      </c>
      <c r="AL4888" s="28"/>
      <c r="AM4888" s="28" t="n">
        <f aca="false">AL4888*$M4888</f>
        <v>0</v>
      </c>
      <c r="AN4888" s="28"/>
      <c r="AO4888" s="28" t="n">
        <f aca="false">AN4888*$M4888</f>
        <v>0</v>
      </c>
      <c r="AP4888" s="28"/>
      <c r="AQ4888" s="28" t="n">
        <f aca="false">AP4888*$M4888</f>
        <v>0</v>
      </c>
      <c r="AR4888" s="28"/>
      <c r="AS4888" s="28" t="n">
        <f aca="false">AR4888*$M4888</f>
        <v>0</v>
      </c>
      <c r="AT4888" s="28"/>
      <c r="AU4888" s="28" t="n">
        <f aca="false">AT4888*$M4888</f>
        <v>0</v>
      </c>
      <c r="AV4888" s="28"/>
      <c r="AW4888" s="28" t="n">
        <f aca="false">AV4888*$M4888</f>
        <v>0</v>
      </c>
      <c r="AX4888" s="28"/>
      <c r="AY4888" s="28" t="n">
        <f aca="false">AX4888*$M4888</f>
        <v>0</v>
      </c>
      <c r="AZ4888" s="30" t="n">
        <f aca="false">12769/100</f>
        <v>127.69</v>
      </c>
      <c r="BA4888" s="11" t="n">
        <v>7023</v>
      </c>
      <c r="BB4888" s="31" t="n">
        <f aca="false">SUM(Q4888,S4888,U4888,W4888,Y4888,AA4888,AC4888,AE4888,AG4888,AI4888,AK4888,AM4888,AO4888,AQ4888,AS4888,AU4888,AW4888,AY4888)</f>
        <v>7023</v>
      </c>
      <c r="BC4888" s="28" t="n">
        <f aca="false">BA4888-BB4888</f>
        <v>0</v>
      </c>
      <c r="BD4888" s="32" t="n">
        <f aca="false">SUM(P4888,R4888,T4888,V4888,X4888,Z4888,AB4888,AD4888,AF4888,AH4888,AJ4888,AL4888,AN4888,AP4888,AR4888,AT4888,AV4888,AX4888)</f>
        <v>127.69</v>
      </c>
      <c r="BE4888" s="33" t="n">
        <f aca="false">AZ4888-BD4888</f>
        <v>0</v>
      </c>
      <c r="BF4888" s="34" t="n">
        <f aca="false">BD4888*M4888</f>
        <v>7022.95</v>
      </c>
      <c r="BG4888" s="35" t="n">
        <f aca="false">BA4888-BF4888</f>
        <v>0.0500000000001819</v>
      </c>
      <c r="BH4888" s="19" t="str">
        <f aca="false">IF(BG4888=0,"",IF(BG4888&lt;&gt;BA4888,"erreur de calcul",IF(BD4888&lt;&gt;0,"pas de prix",IF(M4888&lt;&gt; 0,"pas de quantité","pas de prix, ni de quantité"))))</f>
        <v>erreur de calcul</v>
      </c>
      <c r="BI4888" s="19"/>
    </row>
    <row r="4889" customFormat="false" ht="15" hidden="false" customHeight="false" outlineLevel="0" collapsed="false">
      <c r="A4889" s="0" t="n">
        <v>36</v>
      </c>
      <c r="B4889" s="8" t="s">
        <v>24</v>
      </c>
      <c r="C4889" s="9" t="s">
        <v>25</v>
      </c>
      <c r="D4889" s="9" t="s">
        <v>26</v>
      </c>
      <c r="E4889" s="10" t="n">
        <v>1789</v>
      </c>
      <c r="F4889" s="9" t="s">
        <v>27</v>
      </c>
      <c r="G4889" s="9" t="s">
        <v>27</v>
      </c>
      <c r="H4889" s="11" t="n">
        <v>26</v>
      </c>
      <c r="I4889" s="11" t="s">
        <v>407</v>
      </c>
      <c r="J4889" s="14" t="n">
        <v>44</v>
      </c>
      <c r="K4889" s="14"/>
      <c r="L4889" s="16"/>
      <c r="M4889" s="27" t="n">
        <f aca="false">J4889+(K4889/20)+(L4889/240)</f>
        <v>44</v>
      </c>
      <c r="N4889" s="17" t="s">
        <v>64</v>
      </c>
      <c r="O4889" s="11" t="s">
        <v>77</v>
      </c>
      <c r="P4889" s="28" t="n">
        <f aca="false">68669/100</f>
        <v>686.69</v>
      </c>
      <c r="Q4889" s="28" t="n">
        <v>30214</v>
      </c>
      <c r="R4889" s="28"/>
      <c r="S4889" s="28" t="n">
        <f aca="false">R4889*$M4889</f>
        <v>0</v>
      </c>
      <c r="T4889" s="28" t="n">
        <f aca="false">7101/100</f>
        <v>71.01</v>
      </c>
      <c r="U4889" s="28" t="n">
        <v>3124</v>
      </c>
      <c r="V4889" s="28" t="n">
        <f aca="false">27549/100</f>
        <v>275.49</v>
      </c>
      <c r="W4889" s="28" t="n">
        <v>12121</v>
      </c>
      <c r="X4889" s="28" t="n">
        <f aca="false">947914/100</f>
        <v>9479.14</v>
      </c>
      <c r="Y4889" s="28" t="n">
        <v>417082</v>
      </c>
      <c r="Z4889" s="28" t="n">
        <f aca="false">183606/100</f>
        <v>1836.06</v>
      </c>
      <c r="AA4889" s="28" t="n">
        <v>80787</v>
      </c>
      <c r="AB4889" s="28" t="n">
        <f aca="false">36047/100</f>
        <v>360.47</v>
      </c>
      <c r="AC4889" s="28" t="n">
        <v>15861</v>
      </c>
      <c r="AD4889" s="28" t="n">
        <f aca="false">12322/100</f>
        <v>123.22</v>
      </c>
      <c r="AE4889" s="28" t="n">
        <v>5422</v>
      </c>
      <c r="AF4889" s="28"/>
      <c r="AG4889" s="28" t="n">
        <f aca="false">AF4889*$M4889</f>
        <v>0</v>
      </c>
      <c r="AH4889" s="28" t="n">
        <f aca="false">3318/100</f>
        <v>33.18</v>
      </c>
      <c r="AI4889" s="28" t="n">
        <v>1460</v>
      </c>
      <c r="AJ4889" s="28"/>
      <c r="AK4889" s="28" t="n">
        <f aca="false">AJ4889*$M4889</f>
        <v>0</v>
      </c>
      <c r="AL4889" s="28" t="n">
        <f aca="false">28260/100</f>
        <v>282.6</v>
      </c>
      <c r="AM4889" s="28" t="n">
        <v>12434</v>
      </c>
      <c r="AN4889" s="28"/>
      <c r="AO4889" s="28" t="n">
        <f aca="false">AN4889*$M4889</f>
        <v>0</v>
      </c>
      <c r="AP4889" s="28"/>
      <c r="AQ4889" s="28" t="n">
        <f aca="false">AP4889*$M4889</f>
        <v>0</v>
      </c>
      <c r="AR4889" s="28"/>
      <c r="AS4889" s="28" t="n">
        <f aca="false">AR4889*$M4889</f>
        <v>0</v>
      </c>
      <c r="AT4889" s="28"/>
      <c r="AU4889" s="28" t="n">
        <f aca="false">AT4889*$M4889</f>
        <v>0</v>
      </c>
      <c r="AV4889" s="28"/>
      <c r="AW4889" s="28" t="n">
        <f aca="false">AV4889*$M4889</f>
        <v>0</v>
      </c>
      <c r="AX4889" s="28"/>
      <c r="AY4889" s="28" t="n">
        <f aca="false">AX4889*$M4889</f>
        <v>0</v>
      </c>
      <c r="AZ4889" s="30" t="n">
        <f aca="false">1314786/100</f>
        <v>13147.86</v>
      </c>
      <c r="BA4889" s="11" t="n">
        <v>578505</v>
      </c>
      <c r="BB4889" s="31" t="n">
        <f aca="false">SUM(Q4889,S4889,U4889,W4889,Y4889,AA4889,AC4889,AE4889,AG4889,AI4889,AK4889,AM4889,AO4889,AQ4889,AS4889,AU4889,AW4889,AY4889)</f>
        <v>578505</v>
      </c>
      <c r="BC4889" s="28" t="n">
        <f aca="false">BA4889-BB4889</f>
        <v>0</v>
      </c>
      <c r="BD4889" s="32" t="n">
        <f aca="false">SUM(P4889,R4889,T4889,V4889,X4889,Z4889,AB4889,AD4889,AF4889,AH4889,AJ4889,AL4889,AN4889,AP4889,AR4889,AT4889,AV4889,AX4889)</f>
        <v>13147.86</v>
      </c>
      <c r="BE4889" s="33" t="n">
        <f aca="false">AZ4889-BD4889</f>
        <v>0</v>
      </c>
      <c r="BF4889" s="34" t="n">
        <f aca="false">BD4889*M4889</f>
        <v>578505.84</v>
      </c>
      <c r="BG4889" s="35" t="n">
        <f aca="false">BA4889-BF4889</f>
        <v>-0.839999999967404</v>
      </c>
      <c r="BH4889" s="19" t="str">
        <f aca="false">IF(BG4889=0,"",IF(BG4889&lt;&gt;BA4889,"erreur de calcul",IF(BD4889&lt;&gt;0,"pas de prix",IF(M4889&lt;&gt; 0,"pas de quantité","pas de prix, ni de quantité"))))</f>
        <v>erreur de calcul</v>
      </c>
      <c r="BI4889" s="19"/>
    </row>
    <row r="4890" customFormat="false" ht="15" hidden="false" customHeight="false" outlineLevel="0" collapsed="false">
      <c r="A4890" s="0" t="n">
        <v>37</v>
      </c>
      <c r="B4890" s="8" t="s">
        <v>24</v>
      </c>
      <c r="C4890" s="9" t="s">
        <v>25</v>
      </c>
      <c r="D4890" s="9" t="s">
        <v>26</v>
      </c>
      <c r="E4890" s="10" t="n">
        <v>1789</v>
      </c>
      <c r="F4890" s="9" t="s">
        <v>27</v>
      </c>
      <c r="G4890" s="9" t="s">
        <v>27</v>
      </c>
      <c r="H4890" s="11" t="n">
        <v>26</v>
      </c>
      <c r="I4890" s="11" t="s">
        <v>408</v>
      </c>
      <c r="J4890" s="14" t="n">
        <v>40</v>
      </c>
      <c r="K4890" s="14"/>
      <c r="L4890" s="16"/>
      <c r="M4890" s="27" t="n">
        <f aca="false">J4890+(K4890/20)+(L4890/240)</f>
        <v>40</v>
      </c>
      <c r="N4890" s="17" t="s">
        <v>64</v>
      </c>
      <c r="O4890" s="11"/>
      <c r="P4890" s="28"/>
      <c r="Q4890" s="28" t="n">
        <f aca="false">P4890*$M4890</f>
        <v>0</v>
      </c>
      <c r="R4890" s="28"/>
      <c r="S4890" s="28" t="n">
        <f aca="false">R4890*$M4890</f>
        <v>0</v>
      </c>
      <c r="T4890" s="28"/>
      <c r="U4890" s="28" t="n">
        <f aca="false">T4890*$M4890</f>
        <v>0</v>
      </c>
      <c r="V4890" s="28" t="n">
        <f aca="false">4827/100</f>
        <v>48.27</v>
      </c>
      <c r="W4890" s="28" t="n">
        <v>1931</v>
      </c>
      <c r="X4890" s="28"/>
      <c r="Y4890" s="28" t="n">
        <f aca="false">X4890*$M4890</f>
        <v>0</v>
      </c>
      <c r="Z4890" s="28"/>
      <c r="AA4890" s="28" t="n">
        <f aca="false">Z4890*$M4890</f>
        <v>0</v>
      </c>
      <c r="AB4890" s="28"/>
      <c r="AC4890" s="28" t="n">
        <f aca="false">AB4890*$M4890</f>
        <v>0</v>
      </c>
      <c r="AD4890" s="28"/>
      <c r="AE4890" s="28" t="n">
        <f aca="false">AD4890*$M4890</f>
        <v>0</v>
      </c>
      <c r="AF4890" s="28"/>
      <c r="AG4890" s="28" t="n">
        <f aca="false">AF4890*$M4890</f>
        <v>0</v>
      </c>
      <c r="AH4890" s="28"/>
      <c r="AI4890" s="28" t="n">
        <f aca="false">AH4890*$M4890</f>
        <v>0</v>
      </c>
      <c r="AJ4890" s="28"/>
      <c r="AK4890" s="28" t="n">
        <f aca="false">AJ4890*$M4890</f>
        <v>0</v>
      </c>
      <c r="AL4890" s="28"/>
      <c r="AM4890" s="28" t="n">
        <f aca="false">AL4890*$M4890</f>
        <v>0</v>
      </c>
      <c r="AN4890" s="28"/>
      <c r="AO4890" s="28" t="n">
        <f aca="false">AN4890*$M4890</f>
        <v>0</v>
      </c>
      <c r="AP4890" s="28"/>
      <c r="AQ4890" s="28" t="n">
        <f aca="false">AP4890*$M4890</f>
        <v>0</v>
      </c>
      <c r="AR4890" s="28"/>
      <c r="AS4890" s="28" t="n">
        <f aca="false">AR4890*$M4890</f>
        <v>0</v>
      </c>
      <c r="AT4890" s="28"/>
      <c r="AU4890" s="28" t="n">
        <f aca="false">AT4890*$M4890</f>
        <v>0</v>
      </c>
      <c r="AV4890" s="28"/>
      <c r="AW4890" s="28" t="n">
        <f aca="false">AV4890*$M4890</f>
        <v>0</v>
      </c>
      <c r="AX4890" s="28" t="n">
        <f aca="false">835109/100</f>
        <v>8351.09</v>
      </c>
      <c r="AY4890" s="28" t="n">
        <v>334044</v>
      </c>
      <c r="AZ4890" s="30" t="n">
        <f aca="false">839936/100</f>
        <v>8399.36</v>
      </c>
      <c r="BA4890" s="11" t="n">
        <v>335975</v>
      </c>
      <c r="BB4890" s="31" t="n">
        <f aca="false">SUM(Q4890,S4890,U4890,W4890,Y4890,AA4890,AC4890,AE4890,AG4890,AI4890,AK4890,AM4890,AO4890,AQ4890,AS4890,AU4890,AW4890,AY4890)</f>
        <v>335975</v>
      </c>
      <c r="BC4890" s="28" t="n">
        <f aca="false">BA4890-BB4890</f>
        <v>0</v>
      </c>
      <c r="BD4890" s="32" t="n">
        <f aca="false">SUM(P4890,R4890,T4890,V4890,X4890,Z4890,AB4890,AD4890,AF4890,AH4890,AJ4890,AL4890,AN4890,AP4890,AR4890,AT4890,AV4890,AX4890)</f>
        <v>8399.36</v>
      </c>
      <c r="BE4890" s="33" t="n">
        <f aca="false">AZ4890-BD4890</f>
        <v>0</v>
      </c>
      <c r="BF4890" s="34" t="n">
        <f aca="false">BD4890*M4890</f>
        <v>335974.4</v>
      </c>
      <c r="BG4890" s="35" t="n">
        <f aca="false">BA4890-BF4890</f>
        <v>0.599999999976717</v>
      </c>
      <c r="BH4890" s="19" t="str">
        <f aca="false">IF(BG4890=0,"",IF(BG4890&lt;&gt;BA4890,"erreur de calcul",IF(BD4890&lt;&gt;0,"pas de prix",IF(M4890&lt;&gt; 0,"pas de quantité","pas de prix, ni de quantité"))))</f>
        <v>erreur de calcul</v>
      </c>
      <c r="BI4890" s="19"/>
    </row>
    <row r="4891" customFormat="false" ht="16.65" hidden="false" customHeight="false" outlineLevel="0" collapsed="false">
      <c r="A4891" s="0" t="n">
        <v>38</v>
      </c>
      <c r="B4891" s="8" t="s">
        <v>24</v>
      </c>
      <c r="C4891" s="9" t="s">
        <v>25</v>
      </c>
      <c r="D4891" s="9" t="s">
        <v>26</v>
      </c>
      <c r="E4891" s="10" t="n">
        <v>1789</v>
      </c>
      <c r="F4891" s="9" t="s">
        <v>27</v>
      </c>
      <c r="G4891" s="9" t="s">
        <v>27</v>
      </c>
      <c r="H4891" s="11" t="n">
        <v>26</v>
      </c>
      <c r="I4891" s="11" t="s">
        <v>409</v>
      </c>
      <c r="J4891" s="14"/>
      <c r="K4891" s="14" t="n">
        <v>13</v>
      </c>
      <c r="L4891" s="16"/>
      <c r="M4891" s="27" t="n">
        <f aca="false">J4891+(K4891/20)+(L4891/240)</f>
        <v>0.65</v>
      </c>
      <c r="N4891" s="17" t="s">
        <v>64</v>
      </c>
      <c r="O4891" s="11"/>
      <c r="P4891" s="28"/>
      <c r="Q4891" s="28" t="n">
        <f aca="false">P4891*$M4891</f>
        <v>0</v>
      </c>
      <c r="R4891" s="28"/>
      <c r="S4891" s="28" t="n">
        <f aca="false">R4891*$M4891</f>
        <v>0</v>
      </c>
      <c r="T4891" s="28"/>
      <c r="U4891" s="28" t="n">
        <f aca="false">T4891*$M4891</f>
        <v>0</v>
      </c>
      <c r="V4891" s="28"/>
      <c r="W4891" s="28" t="n">
        <f aca="false">V4891*$M4891</f>
        <v>0</v>
      </c>
      <c r="X4891" s="28"/>
      <c r="Y4891" s="28" t="n">
        <f aca="false">X4891*$M4891</f>
        <v>0</v>
      </c>
      <c r="Z4891" s="28" t="n">
        <f aca="false">2471002/100</f>
        <v>24710.02</v>
      </c>
      <c r="AA4891" s="28" t="n">
        <v>16061</v>
      </c>
      <c r="AB4891" s="28"/>
      <c r="AC4891" s="28" t="n">
        <f aca="false">AB4891*$M4891</f>
        <v>0</v>
      </c>
      <c r="AD4891" s="28"/>
      <c r="AE4891" s="28" t="n">
        <f aca="false">AD4891*$M4891</f>
        <v>0</v>
      </c>
      <c r="AF4891" s="28"/>
      <c r="AG4891" s="28" t="n">
        <f aca="false">AF4891*$M4891</f>
        <v>0</v>
      </c>
      <c r="AH4891" s="28"/>
      <c r="AI4891" s="28" t="n">
        <f aca="false">AH4891*$M4891</f>
        <v>0</v>
      </c>
      <c r="AJ4891" s="28"/>
      <c r="AK4891" s="28" t="n">
        <f aca="false">AJ4891*$M4891</f>
        <v>0</v>
      </c>
      <c r="AL4891" s="28"/>
      <c r="AM4891" s="28" t="n">
        <f aca="false">AL4891*$M4891</f>
        <v>0</v>
      </c>
      <c r="AN4891" s="28"/>
      <c r="AO4891" s="28" t="n">
        <f aca="false">AN4891*$M4891</f>
        <v>0</v>
      </c>
      <c r="AP4891" s="28"/>
      <c r="AQ4891" s="28" t="n">
        <f aca="false">AP4891*$M4891</f>
        <v>0</v>
      </c>
      <c r="AR4891" s="28"/>
      <c r="AS4891" s="28" t="n">
        <f aca="false">AR4891*$M4891</f>
        <v>0</v>
      </c>
      <c r="AT4891" s="28"/>
      <c r="AU4891" s="28" t="n">
        <f aca="false">AT4891*$M4891</f>
        <v>0</v>
      </c>
      <c r="AV4891" s="28"/>
      <c r="AW4891" s="28" t="n">
        <f aca="false">AV4891*$M4891</f>
        <v>0</v>
      </c>
      <c r="AX4891" s="28"/>
      <c r="AY4891" s="28" t="n">
        <f aca="false">AX4891*$M4891</f>
        <v>0</v>
      </c>
      <c r="AZ4891" s="30" t="n">
        <f aca="false">2471002</f>
        <v>2471002</v>
      </c>
      <c r="BA4891" s="11" t="n">
        <v>16061</v>
      </c>
      <c r="BB4891" s="31" t="n">
        <f aca="false">SUM(Q4891,S4891,U4891,W4891,Y4891,AA4891,AC4891,AE4891,AG4891,AI4891,AK4891,AM4891,AO4891,AQ4891,AS4891,AU4891,AW4891,AY4891)</f>
        <v>16061</v>
      </c>
      <c r="BC4891" s="28" t="n">
        <f aca="false">BA4891-BB4891</f>
        <v>0</v>
      </c>
      <c r="BD4891" s="32" t="n">
        <f aca="false">SUM(P4891,R4891,T4891,V4891,X4891,Z4891,AB4891,AD4891,AF4891,AH4891,AJ4891,AL4891,AN4891,AP4891,AR4891,AT4891,AV4891,AX4891)</f>
        <v>24710.02</v>
      </c>
      <c r="BE4891" s="33" t="n">
        <f aca="false">AZ4891-BD4891</f>
        <v>2446291.98</v>
      </c>
      <c r="BF4891" s="34" t="n">
        <f aca="false">BD4891*M4891</f>
        <v>16061.513</v>
      </c>
      <c r="BG4891" s="35" t="n">
        <f aca="false">BA4891-BF4891</f>
        <v>-0.513000000000829</v>
      </c>
      <c r="BH4891" s="19" t="str">
        <f aca="false">IF(BG4891=0,"",IF(BG4891&lt;&gt;BA4891,"erreur de calcul",IF(BD4891&lt;&gt;0,"pas de prix",IF(M4891&lt;&gt; 0,"pas de quantité","pas de prix, ni de quantité"))))</f>
        <v>erreur de calcul</v>
      </c>
      <c r="BI4891" s="19"/>
    </row>
    <row r="4892" customFormat="false" ht="15" hidden="false" customHeight="false" outlineLevel="0" collapsed="false">
      <c r="A4892" s="0" t="n">
        <v>39</v>
      </c>
      <c r="B4892" s="8" t="s">
        <v>24</v>
      </c>
      <c r="C4892" s="9" t="s">
        <v>25</v>
      </c>
      <c r="D4892" s="9" t="s">
        <v>26</v>
      </c>
      <c r="E4892" s="10" t="n">
        <v>1789</v>
      </c>
      <c r="F4892" s="9" t="s">
        <v>27</v>
      </c>
      <c r="G4892" s="9" t="s">
        <v>27</v>
      </c>
      <c r="H4892" s="11" t="n">
        <v>26</v>
      </c>
      <c r="I4892" s="11" t="s">
        <v>410</v>
      </c>
      <c r="J4892" s="14" t="n">
        <v>10</v>
      </c>
      <c r="K4892" s="14"/>
      <c r="L4892" s="16"/>
      <c r="M4892" s="27" t="n">
        <f aca="false">J4892+(K4892/20)+(L4892/240)</f>
        <v>10</v>
      </c>
      <c r="N4892" s="17" t="s">
        <v>64</v>
      </c>
      <c r="O4892" s="11"/>
      <c r="P4892" s="28"/>
      <c r="Q4892" s="28" t="n">
        <f aca="false">P4892*$M4892</f>
        <v>0</v>
      </c>
      <c r="R4892" s="28"/>
      <c r="S4892" s="28" t="n">
        <f aca="false">R4892*$M4892</f>
        <v>0</v>
      </c>
      <c r="T4892" s="28"/>
      <c r="U4892" s="28" t="n">
        <f aca="false">T4892*$M4892</f>
        <v>0</v>
      </c>
      <c r="V4892" s="28"/>
      <c r="W4892" s="28" t="n">
        <f aca="false">V4892*$M4892</f>
        <v>0</v>
      </c>
      <c r="X4892" s="28" t="n">
        <f aca="false">2481/100</f>
        <v>24.81</v>
      </c>
      <c r="Y4892" s="28" t="n">
        <v>248</v>
      </c>
      <c r="Z4892" s="28"/>
      <c r="AA4892" s="28" t="n">
        <f aca="false">Z4892*$M4892</f>
        <v>0</v>
      </c>
      <c r="AB4892" s="28"/>
      <c r="AC4892" s="28" t="n">
        <f aca="false">AB4892*$M4892</f>
        <v>0</v>
      </c>
      <c r="AD4892" s="28"/>
      <c r="AE4892" s="28" t="n">
        <f aca="false">AD4892*$M4892</f>
        <v>0</v>
      </c>
      <c r="AF4892" s="28"/>
      <c r="AG4892" s="28" t="n">
        <f aca="false">AF4892*$M4892</f>
        <v>0</v>
      </c>
      <c r="AH4892" s="28"/>
      <c r="AI4892" s="28" t="n">
        <f aca="false">AH4892*$M4892</f>
        <v>0</v>
      </c>
      <c r="AJ4892" s="28"/>
      <c r="AK4892" s="28" t="n">
        <f aca="false">AJ4892*$M4892</f>
        <v>0</v>
      </c>
      <c r="AL4892" s="28"/>
      <c r="AM4892" s="28" t="n">
        <f aca="false">AL4892*$M4892</f>
        <v>0</v>
      </c>
      <c r="AN4892" s="28"/>
      <c r="AO4892" s="28" t="n">
        <f aca="false">AN4892*$M4892</f>
        <v>0</v>
      </c>
      <c r="AP4892" s="28"/>
      <c r="AQ4892" s="28" t="n">
        <f aca="false">AP4892*$M4892</f>
        <v>0</v>
      </c>
      <c r="AR4892" s="28"/>
      <c r="AS4892" s="28" t="n">
        <f aca="false">AR4892*$M4892</f>
        <v>0</v>
      </c>
      <c r="AT4892" s="28"/>
      <c r="AU4892" s="28" t="n">
        <f aca="false">AT4892*$M4892</f>
        <v>0</v>
      </c>
      <c r="AV4892" s="28"/>
      <c r="AW4892" s="28" t="n">
        <f aca="false">AV4892*$M4892</f>
        <v>0</v>
      </c>
      <c r="AX4892" s="28"/>
      <c r="AY4892" s="28" t="n">
        <f aca="false">AX4892*$M4892</f>
        <v>0</v>
      </c>
      <c r="AZ4892" s="30" t="n">
        <f aca="false">2481/100</f>
        <v>24.81</v>
      </c>
      <c r="BA4892" s="11" t="n">
        <v>248</v>
      </c>
      <c r="BB4892" s="31" t="n">
        <f aca="false">SUM(Q4892,S4892,U4892,W4892,Y4892,AA4892,AC4892,AE4892,AG4892,AI4892,AK4892,AM4892,AO4892,AQ4892,AS4892,AU4892,AW4892,AY4892)</f>
        <v>248</v>
      </c>
      <c r="BC4892" s="28" t="n">
        <f aca="false">BA4892-BB4892</f>
        <v>0</v>
      </c>
      <c r="BD4892" s="32" t="n">
        <f aca="false">SUM(P4892,R4892,T4892,V4892,X4892,Z4892,AB4892,AD4892,AF4892,AH4892,AJ4892,AL4892,AN4892,AP4892,AR4892,AT4892,AV4892,AX4892)</f>
        <v>24.81</v>
      </c>
      <c r="BE4892" s="33" t="n">
        <f aca="false">AZ4892-BD4892</f>
        <v>0</v>
      </c>
      <c r="BF4892" s="34" t="n">
        <f aca="false">BD4892*M4892</f>
        <v>248.1</v>
      </c>
      <c r="BG4892" s="35" t="n">
        <f aca="false">BA4892-BF4892</f>
        <v>-0.0999999999999943</v>
      </c>
      <c r="BH4892" s="19" t="str">
        <f aca="false">IF(BG4892=0,"",IF(BG4892&lt;&gt;BA4892,"erreur de calcul",IF(BD4892&lt;&gt;0,"pas de prix",IF(M4892&lt;&gt; 0,"pas de quantité","pas de prix, ni de quantité"))))</f>
        <v>erreur de calcul</v>
      </c>
      <c r="BI4892" s="19"/>
    </row>
    <row r="4893" customFormat="false" ht="15" hidden="false" customHeight="false" outlineLevel="0" collapsed="false">
      <c r="A4893" s="0" t="n">
        <v>40</v>
      </c>
      <c r="B4893" s="8" t="s">
        <v>24</v>
      </c>
      <c r="C4893" s="9" t="s">
        <v>25</v>
      </c>
      <c r="D4893" s="9" t="s">
        <v>26</v>
      </c>
      <c r="E4893" s="10" t="n">
        <v>1789</v>
      </c>
      <c r="F4893" s="9" t="s">
        <v>27</v>
      </c>
      <c r="G4893" s="9" t="s">
        <v>27</v>
      </c>
      <c r="H4893" s="11" t="n">
        <v>26</v>
      </c>
      <c r="I4893" s="11" t="s">
        <v>411</v>
      </c>
      <c r="J4893" s="14" t="n">
        <v>5</v>
      </c>
      <c r="K4893" s="14"/>
      <c r="L4893" s="16"/>
      <c r="M4893" s="27" t="n">
        <f aca="false">J4893+(K4893/20)+(L4893/240)</f>
        <v>5</v>
      </c>
      <c r="N4893" s="17" t="s">
        <v>66</v>
      </c>
      <c r="O4893" s="11" t="s">
        <v>98</v>
      </c>
      <c r="P4893" s="28"/>
      <c r="Q4893" s="28" t="n">
        <f aca="false">P4893*$M4893</f>
        <v>0</v>
      </c>
      <c r="R4893" s="28"/>
      <c r="S4893" s="28" t="n">
        <f aca="false">R4893*$M4893</f>
        <v>0</v>
      </c>
      <c r="T4893" s="28"/>
      <c r="U4893" s="28" t="n">
        <f aca="false">T4893*$M4893</f>
        <v>0</v>
      </c>
      <c r="V4893" s="28"/>
      <c r="W4893" s="28" t="n">
        <f aca="false">V4893*$M4893</f>
        <v>0</v>
      </c>
      <c r="X4893" s="28"/>
      <c r="Y4893" s="28" t="n">
        <f aca="false">X4893*$M4893</f>
        <v>0</v>
      </c>
      <c r="Z4893" s="28"/>
      <c r="AA4893" s="28" t="n">
        <f aca="false">Z4893*$M4893</f>
        <v>0</v>
      </c>
      <c r="AB4893" s="28"/>
      <c r="AC4893" s="28" t="n">
        <f aca="false">AB4893*$M4893</f>
        <v>0</v>
      </c>
      <c r="AD4893" s="28"/>
      <c r="AE4893" s="28" t="n">
        <f aca="false">AD4893*$M4893</f>
        <v>0</v>
      </c>
      <c r="AF4893" s="28" t="n">
        <v>22</v>
      </c>
      <c r="AG4893" s="28" t="n">
        <v>110</v>
      </c>
      <c r="AH4893" s="28" t="n">
        <v>2657</v>
      </c>
      <c r="AI4893" s="28" t="n">
        <v>13285</v>
      </c>
      <c r="AJ4893" s="28"/>
      <c r="AK4893" s="28" t="n">
        <f aca="false">AJ4893*$M4893</f>
        <v>0</v>
      </c>
      <c r="AL4893" s="28"/>
      <c r="AM4893" s="28" t="n">
        <f aca="false">AL4893*$M4893</f>
        <v>0</v>
      </c>
      <c r="AN4893" s="28"/>
      <c r="AO4893" s="28" t="n">
        <f aca="false">AN4893*$M4893</f>
        <v>0</v>
      </c>
      <c r="AP4893" s="28"/>
      <c r="AQ4893" s="28" t="n">
        <f aca="false">AP4893*$M4893</f>
        <v>0</v>
      </c>
      <c r="AR4893" s="28"/>
      <c r="AS4893" s="28" t="n">
        <f aca="false">AR4893*$M4893</f>
        <v>0</v>
      </c>
      <c r="AT4893" s="28"/>
      <c r="AU4893" s="28" t="n">
        <f aca="false">AT4893*$M4893</f>
        <v>0</v>
      </c>
      <c r="AV4893" s="28"/>
      <c r="AW4893" s="28" t="n">
        <f aca="false">AV4893*$M4893</f>
        <v>0</v>
      </c>
      <c r="AX4893" s="28"/>
      <c r="AY4893" s="28" t="n">
        <f aca="false">AX4893*$M4893</f>
        <v>0</v>
      </c>
      <c r="AZ4893" s="30" t="n">
        <v>2679</v>
      </c>
      <c r="BA4893" s="11" t="n">
        <v>13395</v>
      </c>
      <c r="BB4893" s="31" t="n">
        <f aca="false">SUM(Q4893,S4893,U4893,W4893,Y4893,AA4893,AC4893,AE4893,AG4893,AI4893,AK4893,AM4893,AO4893,AQ4893,AS4893,AU4893,AW4893,AY4893)</f>
        <v>13395</v>
      </c>
      <c r="BC4893" s="28" t="n">
        <f aca="false">BA4893-BB4893</f>
        <v>0</v>
      </c>
      <c r="BD4893" s="32" t="n">
        <f aca="false">SUM(P4893,R4893,T4893,V4893,X4893,Z4893,AB4893,AD4893,AF4893,AH4893,AJ4893,AL4893,AN4893,AP4893,AR4893,AT4893,AV4893,AX4893)</f>
        <v>2679</v>
      </c>
      <c r="BE4893" s="33" t="n">
        <f aca="false">AZ4893-BD4893</f>
        <v>0</v>
      </c>
      <c r="BF4893" s="34" t="n">
        <f aca="false">BD4893*M4893</f>
        <v>13395</v>
      </c>
      <c r="BG4893" s="35" t="n">
        <f aca="false">BA4893-BF4893</f>
        <v>0</v>
      </c>
      <c r="BH4893" s="19" t="str">
        <f aca="false">IF(BG4893=0,"",IF(BG4893&lt;&gt;BA4893,"erreur de calcul",IF(BD4893&lt;&gt;0,"pas de prix",IF(M4893&lt;&gt; 0,"pas de quantité","pas de prix, ni de quantité"))))</f>
        <v/>
      </c>
      <c r="BI4893" s="19"/>
    </row>
    <row r="4894" customFormat="false" ht="15" hidden="false" customHeight="false" outlineLevel="0" collapsed="false">
      <c r="A4894" s="0" t="n">
        <v>1</v>
      </c>
      <c r="B4894" s="8" t="s">
        <v>24</v>
      </c>
      <c r="C4894" s="9" t="s">
        <v>25</v>
      </c>
      <c r="D4894" s="9" t="s">
        <v>26</v>
      </c>
      <c r="E4894" s="10" t="n">
        <v>1789</v>
      </c>
      <c r="F4894" s="9" t="s">
        <v>27</v>
      </c>
      <c r="G4894" s="9" t="s">
        <v>27</v>
      </c>
      <c r="H4894" s="11" t="n">
        <v>27</v>
      </c>
      <c r="I4894" s="11" t="s">
        <v>412</v>
      </c>
      <c r="J4894" s="14" t="n">
        <v>7</v>
      </c>
      <c r="K4894" s="14" t="n">
        <v>10</v>
      </c>
      <c r="L4894" s="16"/>
      <c r="M4894" s="27" t="n">
        <f aca="false">J4894+(K4894/20)+(L4894/240)</f>
        <v>7.5</v>
      </c>
      <c r="N4894" s="17" t="s">
        <v>64</v>
      </c>
      <c r="O4894" s="11"/>
      <c r="P4894" s="28" t="n">
        <f aca="false">16667/100</f>
        <v>166.67</v>
      </c>
      <c r="Q4894" s="28" t="n">
        <v>1250</v>
      </c>
      <c r="R4894" s="28"/>
      <c r="S4894" s="28" t="n">
        <f aca="false">R4894*$M4894</f>
        <v>0</v>
      </c>
      <c r="T4894" s="28"/>
      <c r="U4894" s="28" t="n">
        <f aca="false">T4894*$M4894</f>
        <v>0</v>
      </c>
      <c r="V4894" s="28" t="n">
        <f aca="false">407887/100</f>
        <v>4078.87</v>
      </c>
      <c r="W4894" s="28" t="n">
        <v>30591</v>
      </c>
      <c r="X4894" s="28" t="n">
        <f aca="false">4444/100</f>
        <v>44.44</v>
      </c>
      <c r="Y4894" s="28" t="n">
        <v>333</v>
      </c>
      <c r="Z4894" s="28" t="n">
        <f aca="false">16084/100</f>
        <v>160.84</v>
      </c>
      <c r="AA4894" s="28" t="n">
        <v>1206</v>
      </c>
      <c r="AB4894" s="28" t="n">
        <f aca="false">20834/100</f>
        <v>208.34</v>
      </c>
      <c r="AC4894" s="28" t="n">
        <v>1562</v>
      </c>
      <c r="AD4894" s="28"/>
      <c r="AE4894" s="28" t="n">
        <f aca="false">AD4894*$M4894</f>
        <v>0</v>
      </c>
      <c r="AF4894" s="28"/>
      <c r="AG4894" s="28" t="n">
        <f aca="false">AF4894*$M4894</f>
        <v>0</v>
      </c>
      <c r="AH4894" s="28"/>
      <c r="AI4894" s="28" t="n">
        <f aca="false">AH4894*$M4894</f>
        <v>0</v>
      </c>
      <c r="AJ4894" s="28"/>
      <c r="AK4894" s="28" t="n">
        <f aca="false">AJ4894*$M4894</f>
        <v>0</v>
      </c>
      <c r="AL4894" s="28"/>
      <c r="AM4894" s="28" t="n">
        <f aca="false">AL4894*$M4894</f>
        <v>0</v>
      </c>
      <c r="AN4894" s="28"/>
      <c r="AO4894" s="28" t="n">
        <f aca="false">AN4894*$M4894</f>
        <v>0</v>
      </c>
      <c r="AP4894" s="28"/>
      <c r="AQ4894" s="28" t="n">
        <f aca="false">AP4894*$M4894</f>
        <v>0</v>
      </c>
      <c r="AR4894" s="28"/>
      <c r="AS4894" s="28" t="n">
        <f aca="false">AR4894*$M4894</f>
        <v>0</v>
      </c>
      <c r="AT4894" s="28"/>
      <c r="AU4894" s="28" t="n">
        <f aca="false">AT4894*$M4894</f>
        <v>0</v>
      </c>
      <c r="AV4894" s="28"/>
      <c r="AW4894" s="28" t="n">
        <f aca="false">AV4894*$M4894</f>
        <v>0</v>
      </c>
      <c r="AX4894" s="28"/>
      <c r="AY4894" s="28" t="n">
        <f aca="false">AX4894*$M4894</f>
        <v>0</v>
      </c>
      <c r="AZ4894" s="30" t="n">
        <f aca="false">465916/100</f>
        <v>4659.16</v>
      </c>
      <c r="BA4894" s="11" t="n">
        <v>34942</v>
      </c>
      <c r="BB4894" s="31" t="n">
        <f aca="false">SUM(Q4894,S4894,U4894,W4894,Y4894,AA4894,AC4894,AE4894,AG4894,AI4894,AK4894,AM4894,AO4894,AQ4894,AS4894,AU4894,AW4894,AY4894)</f>
        <v>34942</v>
      </c>
      <c r="BC4894" s="28" t="n">
        <f aca="false">BA4894-BB4894</f>
        <v>0</v>
      </c>
      <c r="BD4894" s="32" t="n">
        <f aca="false">SUM(P4894,R4894,T4894,V4894,X4894,Z4894,AB4894,AD4894,AF4894,AH4894,AJ4894,AL4894,AN4894,AP4894,AR4894,AT4894,AV4894,AX4894)</f>
        <v>4659.16</v>
      </c>
      <c r="BE4894" s="33" t="n">
        <f aca="false">AZ4894-BD4894</f>
        <v>0</v>
      </c>
      <c r="BF4894" s="34" t="n">
        <f aca="false">BD4894*M4894</f>
        <v>34943.7</v>
      </c>
      <c r="BG4894" s="35" t="n">
        <f aca="false">BA4894-BF4894</f>
        <v>-1.69999999999709</v>
      </c>
      <c r="BH4894" s="19" t="str">
        <f aca="false">IF(BG4894=0,"",IF(BG4894&lt;&gt;BA4894,"erreur de calcul",IF(BD4894&lt;&gt;0,"pas de prix",IF(M4894&lt;&gt; 0,"pas de quantité","pas de prix, ni de quantité"))))</f>
        <v>erreur de calcul</v>
      </c>
      <c r="BI4894" s="19"/>
    </row>
    <row r="4895" customFormat="false" ht="15" hidden="false" customHeight="false" outlineLevel="0" collapsed="false">
      <c r="A4895" s="0" t="n">
        <v>2</v>
      </c>
      <c r="B4895" s="8" t="s">
        <v>24</v>
      </c>
      <c r="C4895" s="9" t="s">
        <v>25</v>
      </c>
      <c r="D4895" s="9" t="s">
        <v>26</v>
      </c>
      <c r="E4895" s="10" t="n">
        <v>1789</v>
      </c>
      <c r="F4895" s="9" t="s">
        <v>27</v>
      </c>
      <c r="G4895" s="9" t="s">
        <v>27</v>
      </c>
      <c r="H4895" s="11" t="n">
        <v>27</v>
      </c>
      <c r="I4895" s="11" t="s">
        <v>413</v>
      </c>
      <c r="J4895" s="14" t="n">
        <v>3</v>
      </c>
      <c r="K4895" s="14"/>
      <c r="L4895" s="16"/>
      <c r="M4895" s="27" t="n">
        <f aca="false">J4895+(K4895/20)+(L4895/240)</f>
        <v>3</v>
      </c>
      <c r="N4895" s="17" t="s">
        <v>66</v>
      </c>
      <c r="O4895" s="11"/>
      <c r="P4895" s="28"/>
      <c r="Q4895" s="28" t="n">
        <f aca="false">P4895*$M4895</f>
        <v>0</v>
      </c>
      <c r="R4895" s="28"/>
      <c r="S4895" s="28" t="n">
        <f aca="false">R4895*$M4895</f>
        <v>0</v>
      </c>
      <c r="T4895" s="28"/>
      <c r="U4895" s="28" t="n">
        <f aca="false">T4895*$M4895</f>
        <v>0</v>
      </c>
      <c r="V4895" s="28"/>
      <c r="W4895" s="28" t="n">
        <f aca="false">V4895*$M4895</f>
        <v>0</v>
      </c>
      <c r="X4895" s="28"/>
      <c r="Y4895" s="28" t="n">
        <f aca="false">X4895*$M4895</f>
        <v>0</v>
      </c>
      <c r="Z4895" s="28"/>
      <c r="AA4895" s="28" t="n">
        <f aca="false">Z4895*$M4895</f>
        <v>0</v>
      </c>
      <c r="AB4895" s="28"/>
      <c r="AC4895" s="28" t="n">
        <f aca="false">AB4895*$M4895</f>
        <v>0</v>
      </c>
      <c r="AD4895" s="28"/>
      <c r="AE4895" s="28" t="n">
        <f aca="false">AD4895*$M4895</f>
        <v>0</v>
      </c>
      <c r="AF4895" s="28"/>
      <c r="AG4895" s="28" t="n">
        <f aca="false">AF4895*$M4895</f>
        <v>0</v>
      </c>
      <c r="AH4895" s="28" t="n">
        <v>58272</v>
      </c>
      <c r="AI4895" s="28" t="n">
        <v>174816</v>
      </c>
      <c r="AJ4895" s="28"/>
      <c r="AK4895" s="28" t="n">
        <f aca="false">AJ4895*$M4895</f>
        <v>0</v>
      </c>
      <c r="AL4895" s="28"/>
      <c r="AM4895" s="28" t="n">
        <f aca="false">AL4895*$M4895</f>
        <v>0</v>
      </c>
      <c r="AN4895" s="28"/>
      <c r="AO4895" s="28" t="n">
        <f aca="false">AN4895*$M4895</f>
        <v>0</v>
      </c>
      <c r="AP4895" s="28"/>
      <c r="AQ4895" s="28" t="n">
        <f aca="false">AP4895*$M4895</f>
        <v>0</v>
      </c>
      <c r="AR4895" s="28"/>
      <c r="AS4895" s="28" t="n">
        <f aca="false">AR4895*$M4895</f>
        <v>0</v>
      </c>
      <c r="AT4895" s="28"/>
      <c r="AU4895" s="28" t="n">
        <f aca="false">AT4895*$M4895</f>
        <v>0</v>
      </c>
      <c r="AV4895" s="28"/>
      <c r="AW4895" s="28" t="n">
        <f aca="false">AV4895*$M4895</f>
        <v>0</v>
      </c>
      <c r="AX4895" s="28"/>
      <c r="AY4895" s="28" t="n">
        <f aca="false">AX4895*$M4895</f>
        <v>0</v>
      </c>
      <c r="AZ4895" s="30" t="n">
        <f aca="false">58272</f>
        <v>58272</v>
      </c>
      <c r="BA4895" s="11" t="n">
        <v>174816</v>
      </c>
      <c r="BB4895" s="31" t="n">
        <f aca="false">SUM(Q4895,S4895,U4895,W4895,Y4895,AA4895,AC4895,AE4895,AG4895,AI4895,AK4895,AM4895,AO4895,AQ4895,AS4895,AU4895,AW4895,AY4895)</f>
        <v>174816</v>
      </c>
      <c r="BC4895" s="28" t="n">
        <f aca="false">BA4895-BB4895</f>
        <v>0</v>
      </c>
      <c r="BD4895" s="32" t="n">
        <f aca="false">SUM(P4895,R4895,T4895,V4895,X4895,Z4895,AB4895,AD4895,AF4895,AH4895,AJ4895,AL4895,AN4895,AP4895,AR4895,AT4895,AV4895,AX4895)</f>
        <v>58272</v>
      </c>
      <c r="BE4895" s="33" t="n">
        <f aca="false">AZ4895-BD4895</f>
        <v>0</v>
      </c>
      <c r="BF4895" s="34" t="n">
        <f aca="false">BD4895*M4895</f>
        <v>174816</v>
      </c>
      <c r="BG4895" s="35" t="n">
        <f aca="false">BA4895-BF4895</f>
        <v>0</v>
      </c>
      <c r="BH4895" s="19" t="str">
        <f aca="false">IF(BG4895=0,"",IF(BG4895&lt;&gt;BA4895,"erreur de calcul",IF(BD4895&lt;&gt;0,"pas de prix",IF(M4895&lt;&gt; 0,"pas de quantité","pas de prix, ni de quantité"))))</f>
        <v/>
      </c>
      <c r="BI4895" s="19"/>
    </row>
    <row r="4896" customFormat="false" ht="15" hidden="false" customHeight="false" outlineLevel="0" collapsed="false">
      <c r="A4896" s="0" t="n">
        <v>3</v>
      </c>
      <c r="B4896" s="8" t="s">
        <v>24</v>
      </c>
      <c r="C4896" s="9" t="s">
        <v>25</v>
      </c>
      <c r="D4896" s="9" t="s">
        <v>26</v>
      </c>
      <c r="E4896" s="10" t="n">
        <v>1789</v>
      </c>
      <c r="F4896" s="9" t="s">
        <v>27</v>
      </c>
      <c r="G4896" s="9" t="s">
        <v>27</v>
      </c>
      <c r="H4896" s="11" t="n">
        <v>27</v>
      </c>
      <c r="I4896" s="11" t="s">
        <v>414</v>
      </c>
      <c r="J4896" s="14" t="n">
        <v>3</v>
      </c>
      <c r="K4896" s="14"/>
      <c r="L4896" s="16"/>
      <c r="M4896" s="27" t="n">
        <f aca="false">J4896+(K4896/20)+(L4896/240)</f>
        <v>3</v>
      </c>
      <c r="N4896" s="17" t="s">
        <v>66</v>
      </c>
      <c r="O4896" s="11" t="s">
        <v>98</v>
      </c>
      <c r="P4896" s="28"/>
      <c r="Q4896" s="28" t="n">
        <f aca="false">P4896*$M4896</f>
        <v>0</v>
      </c>
      <c r="R4896" s="28"/>
      <c r="S4896" s="28" t="n">
        <f aca="false">R4896*$M4896</f>
        <v>0</v>
      </c>
      <c r="T4896" s="28"/>
      <c r="U4896" s="28" t="n">
        <f aca="false">T4896*$M4896</f>
        <v>0</v>
      </c>
      <c r="V4896" s="28"/>
      <c r="W4896" s="28" t="n">
        <f aca="false">V4896*$M4896</f>
        <v>0</v>
      </c>
      <c r="X4896" s="28"/>
      <c r="Y4896" s="28" t="n">
        <f aca="false">X4896*$M4896</f>
        <v>0</v>
      </c>
      <c r="Z4896" s="28"/>
      <c r="AA4896" s="28" t="n">
        <f aca="false">Z4896*$M4896</f>
        <v>0</v>
      </c>
      <c r="AB4896" s="28"/>
      <c r="AC4896" s="28" t="n">
        <f aca="false">AB4896*$M4896</f>
        <v>0</v>
      </c>
      <c r="AD4896" s="28"/>
      <c r="AE4896" s="28" t="n">
        <f aca="false">AD4896*$M4896</f>
        <v>0</v>
      </c>
      <c r="AF4896" s="28"/>
      <c r="AG4896" s="28" t="n">
        <f aca="false">AF4896*$M4896</f>
        <v>0</v>
      </c>
      <c r="AH4896" s="28" t="n">
        <v>110560</v>
      </c>
      <c r="AI4896" s="28" t="n">
        <v>331680</v>
      </c>
      <c r="AJ4896" s="28"/>
      <c r="AK4896" s="28" t="n">
        <f aca="false">AJ4896*$M4896</f>
        <v>0</v>
      </c>
      <c r="AL4896" s="28"/>
      <c r="AM4896" s="28" t="n">
        <f aca="false">AL4896*$M4896</f>
        <v>0</v>
      </c>
      <c r="AN4896" s="28"/>
      <c r="AO4896" s="28" t="n">
        <f aca="false">AN4896*$M4896</f>
        <v>0</v>
      </c>
      <c r="AP4896" s="28"/>
      <c r="AQ4896" s="28" t="n">
        <f aca="false">AP4896*$M4896</f>
        <v>0</v>
      </c>
      <c r="AR4896" s="28"/>
      <c r="AS4896" s="28" t="n">
        <f aca="false">AR4896*$M4896</f>
        <v>0</v>
      </c>
      <c r="AT4896" s="28"/>
      <c r="AU4896" s="28" t="n">
        <f aca="false">AT4896*$M4896</f>
        <v>0</v>
      </c>
      <c r="AV4896" s="28"/>
      <c r="AW4896" s="28" t="n">
        <f aca="false">AV4896*$M4896</f>
        <v>0</v>
      </c>
      <c r="AX4896" s="28"/>
      <c r="AY4896" s="28" t="n">
        <f aca="false">AX4896*$M4896</f>
        <v>0</v>
      </c>
      <c r="AZ4896" s="30" t="n">
        <v>110560</v>
      </c>
      <c r="BA4896" s="11" t="n">
        <v>331680</v>
      </c>
      <c r="BB4896" s="31" t="n">
        <f aca="false">SUM(Q4896,S4896,U4896,W4896,Y4896,AA4896,AC4896,AE4896,AG4896,AI4896,AK4896,AM4896,AO4896,AQ4896,AS4896,AU4896,AW4896,AY4896)</f>
        <v>331680</v>
      </c>
      <c r="BC4896" s="28" t="n">
        <f aca="false">BA4896-BB4896</f>
        <v>0</v>
      </c>
      <c r="BD4896" s="32" t="n">
        <f aca="false">SUM(P4896,R4896,T4896,V4896,X4896,Z4896,AB4896,AD4896,AF4896,AH4896,AJ4896,AL4896,AN4896,AP4896,AR4896,AT4896,AV4896,AX4896)</f>
        <v>110560</v>
      </c>
      <c r="BE4896" s="33" t="n">
        <f aca="false">AZ4896-BD4896</f>
        <v>0</v>
      </c>
      <c r="BF4896" s="34" t="n">
        <f aca="false">BD4896*M4896</f>
        <v>331680</v>
      </c>
      <c r="BG4896" s="35" t="n">
        <f aca="false">BA4896-BF4896</f>
        <v>0</v>
      </c>
      <c r="BH4896" s="19" t="str">
        <f aca="false">IF(BG4896=0,"",IF(BG4896&lt;&gt;BA4896,"erreur de calcul",IF(BD4896&lt;&gt;0,"pas de prix",IF(M4896&lt;&gt; 0,"pas de quantité","pas de prix, ni de quantité"))))</f>
        <v/>
      </c>
      <c r="BI4896" s="19"/>
    </row>
    <row r="4897" customFormat="false" ht="15" hidden="false" customHeight="false" outlineLevel="0" collapsed="false">
      <c r="A4897" s="0" t="n">
        <v>4</v>
      </c>
      <c r="B4897" s="8" t="s">
        <v>24</v>
      </c>
      <c r="C4897" s="9" t="s">
        <v>25</v>
      </c>
      <c r="D4897" s="9" t="s">
        <v>26</v>
      </c>
      <c r="E4897" s="10" t="n">
        <v>1789</v>
      </c>
      <c r="F4897" s="9" t="s">
        <v>27</v>
      </c>
      <c r="G4897" s="9" t="s">
        <v>27</v>
      </c>
      <c r="H4897" s="11" t="n">
        <v>27</v>
      </c>
      <c r="I4897" s="11" t="s">
        <v>415</v>
      </c>
      <c r="J4897" s="14" t="n">
        <v>3</v>
      </c>
      <c r="K4897" s="14" t="n">
        <v>10</v>
      </c>
      <c r="L4897" s="16"/>
      <c r="M4897" s="27" t="n">
        <f aca="false">J4897+(K4897/20)+(L4897/240)</f>
        <v>3.5</v>
      </c>
      <c r="N4897" s="17" t="s">
        <v>66</v>
      </c>
      <c r="O4897" s="11" t="s">
        <v>98</v>
      </c>
      <c r="P4897" s="28"/>
      <c r="Q4897" s="28" t="n">
        <f aca="false">P4897*$M4897</f>
        <v>0</v>
      </c>
      <c r="R4897" s="28"/>
      <c r="S4897" s="28" t="n">
        <f aca="false">R4897*$M4897</f>
        <v>0</v>
      </c>
      <c r="T4897" s="28"/>
      <c r="U4897" s="28" t="n">
        <f aca="false">T4897*$M4897</f>
        <v>0</v>
      </c>
      <c r="V4897" s="28"/>
      <c r="W4897" s="28" t="n">
        <f aca="false">V4897*$M4897</f>
        <v>0</v>
      </c>
      <c r="X4897" s="28" t="n">
        <v>218</v>
      </c>
      <c r="Y4897" s="28" t="n">
        <v>763</v>
      </c>
      <c r="Z4897" s="28"/>
      <c r="AA4897" s="28" t="n">
        <f aca="false">Z4897*$M4897</f>
        <v>0</v>
      </c>
      <c r="AB4897" s="28"/>
      <c r="AC4897" s="28" t="n">
        <f aca="false">AB4897*$M4897</f>
        <v>0</v>
      </c>
      <c r="AD4897" s="28"/>
      <c r="AE4897" s="28" t="n">
        <f aca="false">AD4897*$M4897</f>
        <v>0</v>
      </c>
      <c r="AF4897" s="28"/>
      <c r="AG4897" s="28" t="n">
        <f aca="false">AF4897*$M4897</f>
        <v>0</v>
      </c>
      <c r="AH4897" s="28" t="n">
        <v>25905</v>
      </c>
      <c r="AI4897" s="28" t="n">
        <v>90667</v>
      </c>
      <c r="AJ4897" s="28"/>
      <c r="AK4897" s="28" t="n">
        <f aca="false">AJ4897*$M4897</f>
        <v>0</v>
      </c>
      <c r="AL4897" s="28"/>
      <c r="AM4897" s="28" t="n">
        <f aca="false">AL4897*$M4897</f>
        <v>0</v>
      </c>
      <c r="AN4897" s="28"/>
      <c r="AO4897" s="28" t="n">
        <f aca="false">AN4897*$M4897</f>
        <v>0</v>
      </c>
      <c r="AP4897" s="28"/>
      <c r="AQ4897" s="28" t="n">
        <f aca="false">AP4897*$M4897</f>
        <v>0</v>
      </c>
      <c r="AR4897" s="28"/>
      <c r="AS4897" s="28" t="n">
        <f aca="false">AR4897*$M4897</f>
        <v>0</v>
      </c>
      <c r="AT4897" s="28"/>
      <c r="AU4897" s="28" t="n">
        <f aca="false">AT4897*$M4897</f>
        <v>0</v>
      </c>
      <c r="AV4897" s="28"/>
      <c r="AW4897" s="28" t="n">
        <f aca="false">AV4897*$M4897</f>
        <v>0</v>
      </c>
      <c r="AX4897" s="28"/>
      <c r="AY4897" s="28" t="n">
        <f aca="false">AX4897*$M4897</f>
        <v>0</v>
      </c>
      <c r="AZ4897" s="30" t="n">
        <v>26123</v>
      </c>
      <c r="BA4897" s="11" t="n">
        <v>91430</v>
      </c>
      <c r="BB4897" s="31" t="n">
        <f aca="false">SUM(Q4897,S4897,U4897,W4897,Y4897,AA4897,AC4897,AE4897,AG4897,AI4897,AK4897,AM4897,AO4897,AQ4897,AS4897,AU4897,AW4897,AY4897)</f>
        <v>91430</v>
      </c>
      <c r="BC4897" s="28" t="n">
        <f aca="false">BA4897-BB4897</f>
        <v>0</v>
      </c>
      <c r="BD4897" s="32" t="n">
        <f aca="false">SUM(P4897,R4897,T4897,V4897,X4897,Z4897,AB4897,AD4897,AF4897,AH4897,AJ4897,AL4897,AN4897,AP4897,AR4897,AT4897,AV4897,AX4897)</f>
        <v>26123</v>
      </c>
      <c r="BE4897" s="33" t="n">
        <f aca="false">AZ4897-BD4897</f>
        <v>0</v>
      </c>
      <c r="BF4897" s="34" t="n">
        <f aca="false">BD4897*M4897</f>
        <v>91430.5</v>
      </c>
      <c r="BG4897" s="35" t="n">
        <f aca="false">BA4897-BF4897</f>
        <v>-0.5</v>
      </c>
      <c r="BH4897" s="19" t="str">
        <f aca="false">IF(BG4897=0,"",IF(BG4897&lt;&gt;BA4897,"erreur de calcul",IF(BD4897&lt;&gt;0,"pas de prix",IF(M4897&lt;&gt; 0,"pas de quantité","pas de prix, ni de quantité"))))</f>
        <v>erreur de calcul</v>
      </c>
      <c r="BI4897" s="19"/>
    </row>
    <row r="4898" customFormat="false" ht="15" hidden="false" customHeight="false" outlineLevel="0" collapsed="false">
      <c r="A4898" s="0" t="n">
        <v>5</v>
      </c>
      <c r="B4898" s="8" t="s">
        <v>24</v>
      </c>
      <c r="C4898" s="9" t="s">
        <v>25</v>
      </c>
      <c r="D4898" s="9" t="s">
        <v>26</v>
      </c>
      <c r="E4898" s="10" t="n">
        <v>1789</v>
      </c>
      <c r="F4898" s="9" t="s">
        <v>27</v>
      </c>
      <c r="G4898" s="9" t="s">
        <v>27</v>
      </c>
      <c r="H4898" s="11" t="n">
        <v>27</v>
      </c>
      <c r="I4898" s="11" t="s">
        <v>416</v>
      </c>
      <c r="J4898" s="14"/>
      <c r="K4898" s="14" t="n">
        <v>30</v>
      </c>
      <c r="L4898" s="16"/>
      <c r="M4898" s="27" t="n">
        <f aca="false">J4898+(K4898/20)+(L4898/240)</f>
        <v>1.5</v>
      </c>
      <c r="N4898" s="17" t="s">
        <v>66</v>
      </c>
      <c r="O4898" s="11"/>
      <c r="P4898" s="28"/>
      <c r="Q4898" s="28" t="n">
        <f aca="false">P4898*$M4898</f>
        <v>0</v>
      </c>
      <c r="R4898" s="28"/>
      <c r="S4898" s="28" t="n">
        <f aca="false">R4898*$M4898</f>
        <v>0</v>
      </c>
      <c r="T4898" s="28"/>
      <c r="U4898" s="28" t="n">
        <f aca="false">T4898*$M4898</f>
        <v>0</v>
      </c>
      <c r="V4898" s="28"/>
      <c r="W4898" s="28" t="n">
        <f aca="false">V4898*$M4898</f>
        <v>0</v>
      </c>
      <c r="X4898" s="28"/>
      <c r="Y4898" s="28" t="n">
        <f aca="false">X4898*$M4898</f>
        <v>0</v>
      </c>
      <c r="Z4898" s="28"/>
      <c r="AA4898" s="28" t="n">
        <f aca="false">Z4898*$M4898</f>
        <v>0</v>
      </c>
      <c r="AB4898" s="28"/>
      <c r="AC4898" s="28" t="n">
        <f aca="false">AB4898*$M4898</f>
        <v>0</v>
      </c>
      <c r="AD4898" s="28"/>
      <c r="AE4898" s="28" t="n">
        <f aca="false">AD4898*$M4898</f>
        <v>0</v>
      </c>
      <c r="AF4898" s="28"/>
      <c r="AG4898" s="28" t="n">
        <f aca="false">AF4898*$M4898</f>
        <v>0</v>
      </c>
      <c r="AH4898" s="28" t="n">
        <v>75870</v>
      </c>
      <c r="AI4898" s="28" t="n">
        <v>113805</v>
      </c>
      <c r="AJ4898" s="28"/>
      <c r="AK4898" s="28" t="n">
        <f aca="false">AJ4898*$M4898</f>
        <v>0</v>
      </c>
      <c r="AL4898" s="28"/>
      <c r="AM4898" s="28" t="n">
        <f aca="false">AL4898*$M4898</f>
        <v>0</v>
      </c>
      <c r="AN4898" s="28"/>
      <c r="AO4898" s="28" t="n">
        <f aca="false">AN4898*$M4898</f>
        <v>0</v>
      </c>
      <c r="AP4898" s="28"/>
      <c r="AQ4898" s="28" t="n">
        <f aca="false">AP4898*$M4898</f>
        <v>0</v>
      </c>
      <c r="AR4898" s="28"/>
      <c r="AS4898" s="28" t="n">
        <f aca="false">AR4898*$M4898</f>
        <v>0</v>
      </c>
      <c r="AT4898" s="28"/>
      <c r="AU4898" s="28" t="n">
        <f aca="false">AT4898*$M4898</f>
        <v>0</v>
      </c>
      <c r="AV4898" s="28"/>
      <c r="AW4898" s="28" t="n">
        <f aca="false">AV4898*$M4898</f>
        <v>0</v>
      </c>
      <c r="AX4898" s="28"/>
      <c r="AY4898" s="28" t="n">
        <f aca="false">AX4898*$M4898</f>
        <v>0</v>
      </c>
      <c r="AZ4898" s="30" t="n">
        <v>75870</v>
      </c>
      <c r="BA4898" s="11" t="n">
        <v>113805</v>
      </c>
      <c r="BB4898" s="31" t="n">
        <f aca="false">SUM(Q4898,S4898,U4898,W4898,Y4898,AA4898,AC4898,AE4898,AG4898,AI4898,AK4898,AM4898,AO4898,AQ4898,AS4898,AU4898,AW4898,AY4898)</f>
        <v>113805</v>
      </c>
      <c r="BC4898" s="28" t="n">
        <f aca="false">BA4898-BB4898</f>
        <v>0</v>
      </c>
      <c r="BD4898" s="32" t="n">
        <f aca="false">SUM(P4898,R4898,T4898,V4898,X4898,Z4898,AB4898,AD4898,AF4898,AH4898,AJ4898,AL4898,AN4898,AP4898,AR4898,AT4898,AV4898,AX4898)</f>
        <v>75870</v>
      </c>
      <c r="BE4898" s="33" t="n">
        <f aca="false">AZ4898-BD4898</f>
        <v>0</v>
      </c>
      <c r="BF4898" s="34" t="n">
        <f aca="false">BD4898*M4898</f>
        <v>113805</v>
      </c>
      <c r="BG4898" s="35" t="n">
        <f aca="false">BA4898-BF4898</f>
        <v>0</v>
      </c>
      <c r="BH4898" s="19" t="str">
        <f aca="false">IF(BG4898=0,"",IF(BG4898&lt;&gt;BA4898,"erreur de calcul",IF(BD4898&lt;&gt;0,"pas de prix",IF(M4898&lt;&gt; 0,"pas de quantité","pas de prix, ni de quantité"))))</f>
        <v/>
      </c>
      <c r="BI4898" s="19"/>
    </row>
    <row r="4899" customFormat="false" ht="15" hidden="false" customHeight="false" outlineLevel="0" collapsed="false">
      <c r="A4899" s="0" t="n">
        <v>6</v>
      </c>
      <c r="B4899" s="8" t="s">
        <v>24</v>
      </c>
      <c r="C4899" s="9" t="s">
        <v>25</v>
      </c>
      <c r="D4899" s="9" t="s">
        <v>26</v>
      </c>
      <c r="E4899" s="10" t="n">
        <v>1789</v>
      </c>
      <c r="F4899" s="9" t="s">
        <v>27</v>
      </c>
      <c r="G4899" s="9" t="s">
        <v>27</v>
      </c>
      <c r="H4899" s="11" t="n">
        <v>27</v>
      </c>
      <c r="I4899" s="11" t="s">
        <v>417</v>
      </c>
      <c r="J4899" s="14" t="n">
        <v>3</v>
      </c>
      <c r="K4899" s="14"/>
      <c r="L4899" s="16"/>
      <c r="M4899" s="27" t="n">
        <f aca="false">J4899+(K4899/20)+(L4899/240)</f>
        <v>3</v>
      </c>
      <c r="N4899" s="17" t="s">
        <v>66</v>
      </c>
      <c r="O4899" s="11"/>
      <c r="P4899" s="28"/>
      <c r="Q4899" s="28" t="n">
        <f aca="false">P4899*$M4899</f>
        <v>0</v>
      </c>
      <c r="R4899" s="28"/>
      <c r="S4899" s="28" t="n">
        <f aca="false">R4899*$M4899</f>
        <v>0</v>
      </c>
      <c r="T4899" s="28"/>
      <c r="U4899" s="28" t="n">
        <f aca="false">T4899*$M4899</f>
        <v>0</v>
      </c>
      <c r="V4899" s="28"/>
      <c r="W4899" s="28" t="n">
        <f aca="false">V4899*$M4899</f>
        <v>0</v>
      </c>
      <c r="X4899" s="28"/>
      <c r="Y4899" s="28" t="n">
        <f aca="false">X4899*$M4899</f>
        <v>0</v>
      </c>
      <c r="Z4899" s="28"/>
      <c r="AA4899" s="28" t="n">
        <f aca="false">Z4899*$M4899</f>
        <v>0</v>
      </c>
      <c r="AB4899" s="28"/>
      <c r="AC4899" s="28" t="n">
        <f aca="false">AB4899*$M4899</f>
        <v>0</v>
      </c>
      <c r="AD4899" s="28"/>
      <c r="AE4899" s="28" t="n">
        <f aca="false">AD4899*$M4899</f>
        <v>0</v>
      </c>
      <c r="AF4899" s="28"/>
      <c r="AG4899" s="28" t="n">
        <f aca="false">AF4899*$M4899</f>
        <v>0</v>
      </c>
      <c r="AH4899" s="28" t="n">
        <v>121588</v>
      </c>
      <c r="AI4899" s="28" t="n">
        <v>364764</v>
      </c>
      <c r="AJ4899" s="28"/>
      <c r="AK4899" s="28" t="n">
        <f aca="false">AJ4899*$M4899</f>
        <v>0</v>
      </c>
      <c r="AL4899" s="28"/>
      <c r="AM4899" s="28" t="n">
        <f aca="false">AL4899*$M4899</f>
        <v>0</v>
      </c>
      <c r="AN4899" s="28"/>
      <c r="AO4899" s="28" t="n">
        <f aca="false">AN4899*$M4899</f>
        <v>0</v>
      </c>
      <c r="AP4899" s="28"/>
      <c r="AQ4899" s="28" t="n">
        <f aca="false">AP4899*$M4899</f>
        <v>0</v>
      </c>
      <c r="AR4899" s="28"/>
      <c r="AS4899" s="28" t="n">
        <f aca="false">AR4899*$M4899</f>
        <v>0</v>
      </c>
      <c r="AT4899" s="28"/>
      <c r="AU4899" s="28" t="n">
        <f aca="false">AT4899*$M4899</f>
        <v>0</v>
      </c>
      <c r="AV4899" s="28"/>
      <c r="AW4899" s="28" t="n">
        <f aca="false">AV4899*$M4899</f>
        <v>0</v>
      </c>
      <c r="AX4899" s="28"/>
      <c r="AY4899" s="28" t="n">
        <f aca="false">AX4899*$M4899</f>
        <v>0</v>
      </c>
      <c r="AZ4899" s="30" t="n">
        <v>121588</v>
      </c>
      <c r="BA4899" s="11" t="n">
        <v>364764</v>
      </c>
      <c r="BB4899" s="31" t="n">
        <f aca="false">SUM(Q4899,S4899,U4899,W4899,Y4899,AA4899,AC4899,AE4899,AG4899,AI4899,AK4899,AM4899,AO4899,AQ4899,AS4899,AU4899,AW4899,AY4899)</f>
        <v>364764</v>
      </c>
      <c r="BC4899" s="28" t="n">
        <f aca="false">BA4899-BB4899</f>
        <v>0</v>
      </c>
      <c r="BD4899" s="32" t="n">
        <f aca="false">SUM(P4899,R4899,T4899,V4899,X4899,Z4899,AB4899,AD4899,AF4899,AH4899,AJ4899,AL4899,AN4899,AP4899,AR4899,AT4899,AV4899,AX4899)</f>
        <v>121588</v>
      </c>
      <c r="BE4899" s="33" t="n">
        <f aca="false">AZ4899-BD4899</f>
        <v>0</v>
      </c>
      <c r="BF4899" s="34" t="n">
        <f aca="false">BD4899*M4899</f>
        <v>364764</v>
      </c>
      <c r="BG4899" s="35" t="n">
        <f aca="false">BA4899-BF4899</f>
        <v>0</v>
      </c>
      <c r="BH4899" s="19" t="str">
        <f aca="false">IF(BG4899=0,"",IF(BG4899&lt;&gt;BA4899,"erreur de calcul",IF(BD4899&lt;&gt;0,"pas de prix",IF(M4899&lt;&gt; 0,"pas de quantité","pas de prix, ni de quantité"))))</f>
        <v/>
      </c>
      <c r="BI4899" s="19"/>
    </row>
    <row r="4900" customFormat="false" ht="15" hidden="false" customHeight="false" outlineLevel="0" collapsed="false">
      <c r="A4900" s="0" t="n">
        <v>7</v>
      </c>
      <c r="B4900" s="8" t="s">
        <v>24</v>
      </c>
      <c r="C4900" s="9" t="s">
        <v>25</v>
      </c>
      <c r="D4900" s="9" t="s">
        <v>26</v>
      </c>
      <c r="E4900" s="10" t="n">
        <v>1789</v>
      </c>
      <c r="F4900" s="9" t="s">
        <v>27</v>
      </c>
      <c r="G4900" s="9" t="s">
        <v>27</v>
      </c>
      <c r="H4900" s="11" t="n">
        <v>27</v>
      </c>
      <c r="I4900" s="11" t="s">
        <v>418</v>
      </c>
      <c r="J4900" s="14"/>
      <c r="K4900" s="14" t="n">
        <v>24</v>
      </c>
      <c r="L4900" s="16"/>
      <c r="M4900" s="27" t="n">
        <f aca="false">J4900+(K4900/20)+(L4900/240)</f>
        <v>1.2</v>
      </c>
      <c r="N4900" s="17" t="s">
        <v>66</v>
      </c>
      <c r="O4900" s="11"/>
      <c r="P4900" s="28"/>
      <c r="Q4900" s="28" t="n">
        <f aca="false">P4900*$M4900</f>
        <v>0</v>
      </c>
      <c r="R4900" s="28"/>
      <c r="S4900" s="28" t="n">
        <f aca="false">R4900*$M4900</f>
        <v>0</v>
      </c>
      <c r="T4900" s="28"/>
      <c r="U4900" s="28" t="n">
        <f aca="false">T4900*$M4900</f>
        <v>0</v>
      </c>
      <c r="V4900" s="28"/>
      <c r="W4900" s="28" t="n">
        <f aca="false">V4900*$M4900</f>
        <v>0</v>
      </c>
      <c r="X4900" s="28"/>
      <c r="Y4900" s="28" t="n">
        <f aca="false">X4900*$M4900</f>
        <v>0</v>
      </c>
      <c r="Z4900" s="28"/>
      <c r="AA4900" s="28" t="n">
        <f aca="false">Z4900*$M4900</f>
        <v>0</v>
      </c>
      <c r="AB4900" s="28"/>
      <c r="AC4900" s="28" t="n">
        <f aca="false">AB4900*$M4900</f>
        <v>0</v>
      </c>
      <c r="AD4900" s="28"/>
      <c r="AE4900" s="28" t="n">
        <f aca="false">AD4900*$M4900</f>
        <v>0</v>
      </c>
      <c r="AF4900" s="28"/>
      <c r="AG4900" s="28" t="n">
        <f aca="false">AF4900*$M4900</f>
        <v>0</v>
      </c>
      <c r="AH4900" s="28" t="n">
        <v>50204</v>
      </c>
      <c r="AI4900" s="28" t="n">
        <v>60245</v>
      </c>
      <c r="AJ4900" s="28"/>
      <c r="AK4900" s="28" t="n">
        <f aca="false">AJ4900*$M4900</f>
        <v>0</v>
      </c>
      <c r="AL4900" s="28"/>
      <c r="AM4900" s="28" t="n">
        <f aca="false">AL4900*$M4900</f>
        <v>0</v>
      </c>
      <c r="AN4900" s="28"/>
      <c r="AO4900" s="28" t="n">
        <f aca="false">AN4900*$M4900</f>
        <v>0</v>
      </c>
      <c r="AP4900" s="28"/>
      <c r="AQ4900" s="28" t="n">
        <f aca="false">AP4900*$M4900</f>
        <v>0</v>
      </c>
      <c r="AR4900" s="28"/>
      <c r="AS4900" s="28" t="n">
        <f aca="false">AR4900*$M4900</f>
        <v>0</v>
      </c>
      <c r="AT4900" s="28"/>
      <c r="AU4900" s="28" t="n">
        <f aca="false">AT4900*$M4900</f>
        <v>0</v>
      </c>
      <c r="AV4900" s="28"/>
      <c r="AW4900" s="28" t="n">
        <f aca="false">AV4900*$M4900</f>
        <v>0</v>
      </c>
      <c r="AX4900" s="28"/>
      <c r="AY4900" s="28" t="n">
        <f aca="false">AX4900*$M4900</f>
        <v>0</v>
      </c>
      <c r="AZ4900" s="30" t="n">
        <v>50204</v>
      </c>
      <c r="BA4900" s="11" t="n">
        <v>60245</v>
      </c>
      <c r="BB4900" s="31" t="n">
        <f aca="false">SUM(Q4900,S4900,U4900,W4900,Y4900,AA4900,AC4900,AE4900,AG4900,AI4900,AK4900,AM4900,AO4900,AQ4900,AS4900,AU4900,AW4900,AY4900)</f>
        <v>60245</v>
      </c>
      <c r="BC4900" s="28" t="n">
        <f aca="false">BA4900-BB4900</f>
        <v>0</v>
      </c>
      <c r="BD4900" s="32" t="n">
        <f aca="false">SUM(P4900,R4900,T4900,V4900,X4900,Z4900,AB4900,AD4900,AF4900,AH4900,AJ4900,AL4900,AN4900,AP4900,AR4900,AT4900,AV4900,AX4900)</f>
        <v>50204</v>
      </c>
      <c r="BE4900" s="33" t="n">
        <f aca="false">AZ4900-BD4900</f>
        <v>0</v>
      </c>
      <c r="BF4900" s="34" t="n">
        <f aca="false">BD4900*M4900</f>
        <v>60244.8</v>
      </c>
      <c r="BG4900" s="35" t="n">
        <f aca="false">BA4900-BF4900</f>
        <v>0.200000000004366</v>
      </c>
      <c r="BH4900" s="19" t="str">
        <f aca="false">IF(BG4900=0,"",IF(BG4900&lt;&gt;BA4900,"erreur de calcul",IF(BD4900&lt;&gt;0,"pas de prix",IF(M4900&lt;&gt; 0,"pas de quantité","pas de prix, ni de quantité"))))</f>
        <v>erreur de calcul</v>
      </c>
      <c r="BI4900" s="19"/>
    </row>
    <row r="4901" customFormat="false" ht="15" hidden="false" customHeight="false" outlineLevel="0" collapsed="false">
      <c r="A4901" s="0" t="n">
        <v>8</v>
      </c>
      <c r="B4901" s="8" t="s">
        <v>24</v>
      </c>
      <c r="C4901" s="9" t="s">
        <v>25</v>
      </c>
      <c r="D4901" s="9" t="s">
        <v>26</v>
      </c>
      <c r="E4901" s="10" t="n">
        <v>1789</v>
      </c>
      <c r="F4901" s="9" t="s">
        <v>27</v>
      </c>
      <c r="G4901" s="9" t="s">
        <v>27</v>
      </c>
      <c r="H4901" s="11" t="n">
        <v>27</v>
      </c>
      <c r="I4901" s="11" t="s">
        <v>419</v>
      </c>
      <c r="J4901" s="14" t="n">
        <v>40</v>
      </c>
      <c r="K4901" s="14"/>
      <c r="L4901" s="16"/>
      <c r="M4901" s="27" t="n">
        <f aca="false">J4901+(K4901/20)+(L4901/240)</f>
        <v>40</v>
      </c>
      <c r="N4901" s="17" t="s">
        <v>66</v>
      </c>
      <c r="O4901" s="11" t="s">
        <v>98</v>
      </c>
      <c r="P4901" s="28"/>
      <c r="Q4901" s="28" t="n">
        <f aca="false">P4901*$M4901</f>
        <v>0</v>
      </c>
      <c r="R4901" s="28"/>
      <c r="S4901" s="28" t="n">
        <f aca="false">R4901*$M4901</f>
        <v>0</v>
      </c>
      <c r="T4901" s="28"/>
      <c r="U4901" s="28" t="n">
        <f aca="false">T4901*$M4901</f>
        <v>0</v>
      </c>
      <c r="V4901" s="28"/>
      <c r="W4901" s="28" t="n">
        <f aca="false">V4901*$M4901</f>
        <v>0</v>
      </c>
      <c r="X4901" s="28"/>
      <c r="Y4901" s="28" t="n">
        <f aca="false">X4901*$M4901</f>
        <v>0</v>
      </c>
      <c r="Z4901" s="28"/>
      <c r="AA4901" s="28" t="n">
        <f aca="false">Z4901*$M4901</f>
        <v>0</v>
      </c>
      <c r="AB4901" s="28"/>
      <c r="AC4901" s="28" t="n">
        <f aca="false">AB4901*$M4901</f>
        <v>0</v>
      </c>
      <c r="AD4901" s="28"/>
      <c r="AE4901" s="28" t="n">
        <f aca="false">AD4901*$M4901</f>
        <v>0</v>
      </c>
      <c r="AF4901" s="28"/>
      <c r="AG4901" s="28" t="n">
        <f aca="false">AF4901*$M4901</f>
        <v>0</v>
      </c>
      <c r="AH4901" s="28"/>
      <c r="AI4901" s="28" t="n">
        <f aca="false">AH4901*$M4901</f>
        <v>0</v>
      </c>
      <c r="AJ4901" s="28"/>
      <c r="AK4901" s="28" t="n">
        <f aca="false">AJ4901*$M4901</f>
        <v>0</v>
      </c>
      <c r="AL4901" s="28"/>
      <c r="AM4901" s="28" t="n">
        <f aca="false">AL4901*$M4901</f>
        <v>0</v>
      </c>
      <c r="AN4901" s="28"/>
      <c r="AO4901" s="28" t="n">
        <f aca="false">AN4901*$M4901</f>
        <v>0</v>
      </c>
      <c r="AP4901" s="28"/>
      <c r="AQ4901" s="28" t="n">
        <f aca="false">AP4901*$M4901</f>
        <v>0</v>
      </c>
      <c r="AR4901" s="28"/>
      <c r="AS4901" s="28" t="n">
        <f aca="false">AR4901*$M4901</f>
        <v>0</v>
      </c>
      <c r="AT4901" s="28"/>
      <c r="AU4901" s="28" t="n">
        <f aca="false">AT4901*$M4901</f>
        <v>0</v>
      </c>
      <c r="AV4901" s="28"/>
      <c r="AW4901" s="28" t="n">
        <f aca="false">AV4901*$M4901</f>
        <v>0</v>
      </c>
      <c r="AX4901" s="28"/>
      <c r="AY4901" s="28" t="n">
        <f aca="false">AX4901*$M4901</f>
        <v>0</v>
      </c>
      <c r="AZ4901" s="30"/>
      <c r="BA4901" s="11"/>
      <c r="BB4901" s="31" t="n">
        <f aca="false">SUM(Q4901,S4901,U4901,W4901,Y4901,AA4901,AC4901,AE4901,AG4901,AI4901,AK4901,AM4901,AO4901,AQ4901,AS4901,AU4901,AW4901,AY4901)</f>
        <v>0</v>
      </c>
      <c r="BC4901" s="28" t="n">
        <f aca="false">BA4901-BB4901</f>
        <v>0</v>
      </c>
      <c r="BD4901" s="32" t="n">
        <f aca="false">SUM(P4901,R4901,T4901,V4901,X4901,Z4901,AB4901,AD4901,AF4901,AH4901,AJ4901,AL4901,AN4901,AP4901,AR4901,AT4901,AV4901,AX4901)</f>
        <v>0</v>
      </c>
      <c r="BE4901" s="33" t="n">
        <f aca="false">AZ4901-BD4901</f>
        <v>0</v>
      </c>
      <c r="BF4901" s="34" t="n">
        <f aca="false">BD4901*M4901</f>
        <v>0</v>
      </c>
      <c r="BG4901" s="35" t="n">
        <f aca="false">BA4901-BF4901</f>
        <v>0</v>
      </c>
      <c r="BH4901" s="19" t="str">
        <f aca="false">IF(BG4901=0,"",IF(BG4901&lt;&gt;BA4901,"erreur de calcul",IF(BD4901&lt;&gt;0,"pas de prix",IF(M4901&lt;&gt; 0,"pas de quantité","pas de prix, ni de quantité"))))</f>
        <v/>
      </c>
      <c r="BI4901" s="19"/>
    </row>
    <row r="4902" customFormat="false" ht="15" hidden="false" customHeight="false" outlineLevel="0" collapsed="false">
      <c r="A4902" s="0" t="n">
        <v>9</v>
      </c>
      <c r="B4902" s="8" t="s">
        <v>24</v>
      </c>
      <c r="C4902" s="9" t="s">
        <v>25</v>
      </c>
      <c r="D4902" s="9" t="s">
        <v>26</v>
      </c>
      <c r="E4902" s="10" t="n">
        <v>1789</v>
      </c>
      <c r="F4902" s="9" t="s">
        <v>27</v>
      </c>
      <c r="G4902" s="9" t="s">
        <v>27</v>
      </c>
      <c r="H4902" s="11" t="n">
        <v>27</v>
      </c>
      <c r="I4902" s="11" t="s">
        <v>420</v>
      </c>
      <c r="J4902" s="14" t="n">
        <v>9</v>
      </c>
      <c r="K4902" s="14"/>
      <c r="L4902" s="16"/>
      <c r="M4902" s="27" t="n">
        <f aca="false">J4902+(K4902/20)+(L4902/240)</f>
        <v>9</v>
      </c>
      <c r="N4902" s="17" t="s">
        <v>81</v>
      </c>
      <c r="O4902" s="11" t="s">
        <v>98</v>
      </c>
      <c r="P4902" s="28"/>
      <c r="Q4902" s="28" t="n">
        <f aca="false">P4902*$M4902</f>
        <v>0</v>
      </c>
      <c r="R4902" s="28"/>
      <c r="S4902" s="28" t="n">
        <f aca="false">R4902*$M4902</f>
        <v>0</v>
      </c>
      <c r="T4902" s="28"/>
      <c r="U4902" s="28" t="n">
        <f aca="false">T4902*$M4902</f>
        <v>0</v>
      </c>
      <c r="V4902" s="28"/>
      <c r="W4902" s="28" t="n">
        <f aca="false">V4902*$M4902</f>
        <v>0</v>
      </c>
      <c r="X4902" s="28"/>
      <c r="Y4902" s="28" t="n">
        <f aca="false">X4902*$M4902</f>
        <v>0</v>
      </c>
      <c r="Z4902" s="28"/>
      <c r="AA4902" s="28" t="n">
        <f aca="false">Z4902*$M4902</f>
        <v>0</v>
      </c>
      <c r="AB4902" s="28"/>
      <c r="AC4902" s="28" t="n">
        <f aca="false">AB4902*$M4902</f>
        <v>0</v>
      </c>
      <c r="AD4902" s="28"/>
      <c r="AE4902" s="28" t="n">
        <f aca="false">AD4902*$M4902</f>
        <v>0</v>
      </c>
      <c r="AF4902" s="28"/>
      <c r="AG4902" s="28" t="n">
        <f aca="false">AF4902*$M4902</f>
        <v>0</v>
      </c>
      <c r="AH4902" s="28"/>
      <c r="AI4902" s="28" t="n">
        <f aca="false">AH4902*$M4902</f>
        <v>0</v>
      </c>
      <c r="AJ4902" s="28"/>
      <c r="AK4902" s="28" t="n">
        <f aca="false">AJ4902*$M4902</f>
        <v>0</v>
      </c>
      <c r="AL4902" s="28"/>
      <c r="AM4902" s="28" t="n">
        <f aca="false">AL4902*$M4902</f>
        <v>0</v>
      </c>
      <c r="AN4902" s="28"/>
      <c r="AO4902" s="28" t="n">
        <f aca="false">AN4902*$M4902</f>
        <v>0</v>
      </c>
      <c r="AP4902" s="28"/>
      <c r="AQ4902" s="28" t="n">
        <f aca="false">AP4902*$M4902</f>
        <v>0</v>
      </c>
      <c r="AR4902" s="28"/>
      <c r="AS4902" s="28" t="n">
        <f aca="false">AR4902*$M4902</f>
        <v>0</v>
      </c>
      <c r="AT4902" s="28"/>
      <c r="AU4902" s="28" t="n">
        <f aca="false">AT4902*$M4902</f>
        <v>0</v>
      </c>
      <c r="AV4902" s="28"/>
      <c r="AW4902" s="28" t="n">
        <f aca="false">AV4902*$M4902</f>
        <v>0</v>
      </c>
      <c r="AX4902" s="28"/>
      <c r="AY4902" s="28" t="n">
        <f aca="false">AX4902*$M4902</f>
        <v>0</v>
      </c>
      <c r="AZ4902" s="30"/>
      <c r="BA4902" s="11"/>
      <c r="BB4902" s="31" t="n">
        <f aca="false">SUM(Q4902,S4902,U4902,W4902,Y4902,AA4902,AC4902,AE4902,AG4902,AI4902,AK4902,AM4902,AO4902,AQ4902,AS4902,AU4902,AW4902,AY4902)</f>
        <v>0</v>
      </c>
      <c r="BC4902" s="28" t="n">
        <f aca="false">BA4902-BB4902</f>
        <v>0</v>
      </c>
      <c r="BD4902" s="32" t="n">
        <f aca="false">SUM(P4902,R4902,T4902,V4902,X4902,Z4902,AB4902,AD4902,AF4902,AH4902,AJ4902,AL4902,AN4902,AP4902,AR4902,AT4902,AV4902,AX4902)</f>
        <v>0</v>
      </c>
      <c r="BE4902" s="33" t="n">
        <f aca="false">AZ4902-BD4902</f>
        <v>0</v>
      </c>
      <c r="BF4902" s="34" t="n">
        <f aca="false">BD4902*M4902</f>
        <v>0</v>
      </c>
      <c r="BG4902" s="35" t="n">
        <f aca="false">BA4902-BF4902</f>
        <v>0</v>
      </c>
      <c r="BH4902" s="19" t="str">
        <f aca="false">IF(BG4902=0,"",IF(BG4902&lt;&gt;BA4902,"erreur de calcul",IF(BD4902&lt;&gt;0,"pas de prix",IF(M4902&lt;&gt; 0,"pas de quantité","pas de prix, ni de quantité"))))</f>
        <v/>
      </c>
      <c r="BI4902" s="19"/>
    </row>
    <row r="4903" customFormat="false" ht="15" hidden="false" customHeight="false" outlineLevel="0" collapsed="false">
      <c r="A4903" s="0" t="n">
        <v>10</v>
      </c>
      <c r="B4903" s="8" t="s">
        <v>24</v>
      </c>
      <c r="C4903" s="9" t="s">
        <v>25</v>
      </c>
      <c r="D4903" s="9" t="s">
        <v>26</v>
      </c>
      <c r="E4903" s="10" t="n">
        <v>1789</v>
      </c>
      <c r="F4903" s="9" t="s">
        <v>27</v>
      </c>
      <c r="G4903" s="9" t="s">
        <v>27</v>
      </c>
      <c r="H4903" s="11" t="n">
        <v>27</v>
      </c>
      <c r="I4903" s="11" t="s">
        <v>421</v>
      </c>
      <c r="J4903" s="14" t="n">
        <v>220</v>
      </c>
      <c r="K4903" s="14"/>
      <c r="L4903" s="16"/>
      <c r="M4903" s="27" t="n">
        <f aca="false">J4903+(K4903/20)+(L4903/240)</f>
        <v>220</v>
      </c>
      <c r="N4903" s="17" t="s">
        <v>64</v>
      </c>
      <c r="O4903" s="11" t="s">
        <v>277</v>
      </c>
      <c r="P4903" s="28" t="n">
        <f aca="false">245/100</f>
        <v>2.45</v>
      </c>
      <c r="Q4903" s="28" t="n">
        <v>539</v>
      </c>
      <c r="R4903" s="28"/>
      <c r="S4903" s="28" t="n">
        <f aca="false">R4903*$M4903</f>
        <v>0</v>
      </c>
      <c r="T4903" s="28" t="n">
        <f aca="false">40119/100</f>
        <v>401.19</v>
      </c>
      <c r="U4903" s="28" t="n">
        <v>88262</v>
      </c>
      <c r="V4903" s="28" t="n">
        <f aca="false">14285/100</f>
        <v>142.85</v>
      </c>
      <c r="W4903" s="28" t="n">
        <v>31427</v>
      </c>
      <c r="X4903" s="28" t="n">
        <f aca="false">62608/100</f>
        <v>626.08</v>
      </c>
      <c r="Y4903" s="28" t="n">
        <v>137738</v>
      </c>
      <c r="Z4903" s="28" t="n">
        <f aca="false">523/100</f>
        <v>5.23</v>
      </c>
      <c r="AA4903" s="28" t="n">
        <v>1151</v>
      </c>
      <c r="AB4903" s="28" t="n">
        <f aca="false">56/100</f>
        <v>0.56</v>
      </c>
      <c r="AC4903" s="28" t="n">
        <v>123</v>
      </c>
      <c r="AD4903" s="28"/>
      <c r="AE4903" s="28" t="n">
        <f aca="false">AD4903*$M4903</f>
        <v>0</v>
      </c>
      <c r="AF4903" s="28"/>
      <c r="AG4903" s="28" t="n">
        <f aca="false">AF4903*$M4903</f>
        <v>0</v>
      </c>
      <c r="AH4903" s="28"/>
      <c r="AI4903" s="28" t="n">
        <f aca="false">AH4903*$M4903</f>
        <v>0</v>
      </c>
      <c r="AJ4903" s="28" t="n">
        <f aca="false">3845/100</f>
        <v>38.45</v>
      </c>
      <c r="AK4903" s="28" t="n">
        <v>8459</v>
      </c>
      <c r="AL4903" s="28" t="n">
        <f aca="false">26510/100</f>
        <v>265.1</v>
      </c>
      <c r="AM4903" s="28" t="n">
        <v>58322</v>
      </c>
      <c r="AN4903" s="28" t="n">
        <f aca="false">330/100</f>
        <v>3.3</v>
      </c>
      <c r="AO4903" s="28" t="n">
        <v>726</v>
      </c>
      <c r="AP4903" s="28"/>
      <c r="AQ4903" s="28" t="n">
        <f aca="false">AP4903*$M4903</f>
        <v>0</v>
      </c>
      <c r="AR4903" s="28"/>
      <c r="AS4903" s="28" t="n">
        <f aca="false">AR4903*$M4903</f>
        <v>0</v>
      </c>
      <c r="AT4903" s="28"/>
      <c r="AU4903" s="28" t="n">
        <f aca="false">AT4903*$M4903</f>
        <v>0</v>
      </c>
      <c r="AV4903" s="28" t="n">
        <f aca="false">1487/100</f>
        <v>14.87</v>
      </c>
      <c r="AW4903" s="28" t="n">
        <v>3271</v>
      </c>
      <c r="AX4903" s="28"/>
      <c r="AY4903" s="28" t="n">
        <f aca="false">AX4903*$M4903</f>
        <v>0</v>
      </c>
      <c r="AZ4903" s="30" t="n">
        <f aca="false">150008/100</f>
        <v>1500.08</v>
      </c>
      <c r="BA4903" s="11" t="n">
        <v>330018</v>
      </c>
      <c r="BB4903" s="31" t="n">
        <f aca="false">SUM(Q4903,S4903,U4903,W4903,Y4903,AA4903,AC4903,AE4903,AG4903,AI4903,AK4903,AM4903,AO4903,AQ4903,AS4903,AU4903,AW4903,AY4903)</f>
        <v>330018</v>
      </c>
      <c r="BC4903" s="28" t="n">
        <f aca="false">BA4903-BB4903</f>
        <v>0</v>
      </c>
      <c r="BD4903" s="32" t="n">
        <f aca="false">SUM(P4903,R4903,T4903,V4903,X4903,Z4903,AB4903,AD4903,AF4903,AH4903,AJ4903,AL4903,AN4903,AP4903,AR4903,AT4903,AV4903,AX4903)</f>
        <v>1500.08</v>
      </c>
      <c r="BE4903" s="33" t="n">
        <f aca="false">AZ4903-BD4903</f>
        <v>0</v>
      </c>
      <c r="BF4903" s="34" t="n">
        <f aca="false">BD4903*M4903</f>
        <v>330017.6</v>
      </c>
      <c r="BG4903" s="35" t="n">
        <f aca="false">BA4903-BF4903</f>
        <v>0.399999999965075</v>
      </c>
      <c r="BH4903" s="19" t="str">
        <f aca="false">IF(BG4903=0,"",IF(BG4903&lt;&gt;BA4903,"erreur de calcul",IF(BD4903&lt;&gt;0,"pas de prix",IF(M4903&lt;&gt; 0,"pas de quantité","pas de prix, ni de quantité"))))</f>
        <v>erreur de calcul</v>
      </c>
      <c r="BI4903" s="19"/>
    </row>
    <row r="4904" customFormat="false" ht="15" hidden="false" customHeight="false" outlineLevel="0" collapsed="false">
      <c r="A4904" s="0" t="n">
        <v>11</v>
      </c>
      <c r="B4904" s="8" t="s">
        <v>24</v>
      </c>
      <c r="C4904" s="9" t="s">
        <v>25</v>
      </c>
      <c r="D4904" s="9" t="s">
        <v>26</v>
      </c>
      <c r="E4904" s="10" t="n">
        <v>1789</v>
      </c>
      <c r="F4904" s="9" t="s">
        <v>27</v>
      </c>
      <c r="G4904" s="9" t="s">
        <v>27</v>
      </c>
      <c r="H4904" s="11" t="n">
        <v>27</v>
      </c>
      <c r="I4904" s="11" t="s">
        <v>422</v>
      </c>
      <c r="J4904" s="14" t="n">
        <v>35</v>
      </c>
      <c r="K4904" s="14"/>
      <c r="L4904" s="16"/>
      <c r="M4904" s="27" t="n">
        <f aca="false">J4904+(K4904/20)+(L4904/240)</f>
        <v>35</v>
      </c>
      <c r="N4904" s="17" t="s">
        <v>64</v>
      </c>
      <c r="O4904" s="11"/>
      <c r="P4904" s="28"/>
      <c r="Q4904" s="28" t="n">
        <f aca="false">P4904*$M4904</f>
        <v>0</v>
      </c>
      <c r="R4904" s="28"/>
      <c r="S4904" s="28" t="n">
        <f aca="false">R4904*$M4904</f>
        <v>0</v>
      </c>
      <c r="T4904" s="28"/>
      <c r="U4904" s="28" t="n">
        <f aca="false">T4904*$M4904</f>
        <v>0</v>
      </c>
      <c r="V4904" s="28"/>
      <c r="W4904" s="28" t="n">
        <f aca="false">V4904*$M4904</f>
        <v>0</v>
      </c>
      <c r="X4904" s="28" t="n">
        <f aca="false">9982/100</f>
        <v>99.82</v>
      </c>
      <c r="Y4904" s="28" t="n">
        <v>3494</v>
      </c>
      <c r="Z4904" s="28"/>
      <c r="AA4904" s="28" t="n">
        <f aca="false">Z4904*$M4904</f>
        <v>0</v>
      </c>
      <c r="AB4904" s="28"/>
      <c r="AC4904" s="28" t="n">
        <f aca="false">AB4904*$M4904</f>
        <v>0</v>
      </c>
      <c r="AD4904" s="28"/>
      <c r="AE4904" s="28" t="n">
        <f aca="false">AD4904*$M4904</f>
        <v>0</v>
      </c>
      <c r="AF4904" s="28"/>
      <c r="AG4904" s="28" t="n">
        <f aca="false">AF4904*$M4904</f>
        <v>0</v>
      </c>
      <c r="AH4904" s="28"/>
      <c r="AI4904" s="28" t="n">
        <f aca="false">AH4904*$M4904</f>
        <v>0</v>
      </c>
      <c r="AJ4904" s="28" t="n">
        <f aca="false">28200/100</f>
        <v>282</v>
      </c>
      <c r="AK4904" s="28" t="n">
        <v>9870</v>
      </c>
      <c r="AL4904" s="28" t="n">
        <f aca="false">163472/100</f>
        <v>1634.72</v>
      </c>
      <c r="AM4904" s="28" t="n">
        <v>57215</v>
      </c>
      <c r="AN4904" s="28"/>
      <c r="AO4904" s="28" t="n">
        <f aca="false">AN4904*$M4904</f>
        <v>0</v>
      </c>
      <c r="AP4904" s="28"/>
      <c r="AQ4904" s="28" t="n">
        <f aca="false">AP4904*$M4904</f>
        <v>0</v>
      </c>
      <c r="AR4904" s="28"/>
      <c r="AS4904" s="28" t="n">
        <f aca="false">AR4904*$M4904</f>
        <v>0</v>
      </c>
      <c r="AT4904" s="28"/>
      <c r="AU4904" s="28" t="n">
        <f aca="false">AT4904*$M4904</f>
        <v>0</v>
      </c>
      <c r="AV4904" s="28" t="n">
        <f aca="false">49250/100</f>
        <v>492.5</v>
      </c>
      <c r="AW4904" s="28" t="n">
        <v>17237</v>
      </c>
      <c r="AX4904" s="28"/>
      <c r="AY4904" s="28" t="n">
        <f aca="false">AX4904*$M4904</f>
        <v>0</v>
      </c>
      <c r="AZ4904" s="30" t="n">
        <f aca="false">250904/100</f>
        <v>2509.04</v>
      </c>
      <c r="BA4904" s="11" t="n">
        <v>87816</v>
      </c>
      <c r="BB4904" s="31" t="n">
        <f aca="false">SUM(Q4904,S4904,U4904,W4904,Y4904,AA4904,AC4904,AE4904,AG4904,AI4904,AK4904,AM4904,AO4904,AQ4904,AS4904,AU4904,AW4904,AY4904)</f>
        <v>87816</v>
      </c>
      <c r="BC4904" s="28" t="n">
        <f aca="false">BA4904-BB4904</f>
        <v>0</v>
      </c>
      <c r="BD4904" s="32" t="n">
        <f aca="false">SUM(P4904,R4904,T4904,V4904,X4904,Z4904,AB4904,AD4904,AF4904,AH4904,AJ4904,AL4904,AN4904,AP4904,AR4904,AT4904,AV4904,AX4904)</f>
        <v>2509.04</v>
      </c>
      <c r="BE4904" s="33" t="n">
        <f aca="false">AZ4904-BD4904</f>
        <v>0</v>
      </c>
      <c r="BF4904" s="34" t="n">
        <f aca="false">BD4904*M4904</f>
        <v>87816.4</v>
      </c>
      <c r="BG4904" s="35" t="n">
        <f aca="false">BA4904-BF4904</f>
        <v>-0.400000000008731</v>
      </c>
      <c r="BH4904" s="19" t="str">
        <f aca="false">IF(BG4904=0,"",IF(BG4904&lt;&gt;BA4904,"erreur de calcul",IF(BD4904&lt;&gt;0,"pas de prix",IF(M4904&lt;&gt; 0,"pas de quantité","pas de prix, ni de quantité"))))</f>
        <v>erreur de calcul</v>
      </c>
      <c r="BI4904" s="19"/>
    </row>
    <row r="4905" customFormat="false" ht="15" hidden="false" customHeight="false" outlineLevel="0" collapsed="false">
      <c r="A4905" s="0" t="n">
        <v>12</v>
      </c>
      <c r="B4905" s="8" t="s">
        <v>24</v>
      </c>
      <c r="C4905" s="9" t="s">
        <v>25</v>
      </c>
      <c r="D4905" s="9" t="s">
        <v>26</v>
      </c>
      <c r="E4905" s="10" t="n">
        <v>1789</v>
      </c>
      <c r="F4905" s="9" t="s">
        <v>27</v>
      </c>
      <c r="G4905" s="9" t="s">
        <v>27</v>
      </c>
      <c r="H4905" s="11" t="n">
        <v>27</v>
      </c>
      <c r="I4905" s="11" t="s">
        <v>423</v>
      </c>
      <c r="J4905" s="14" t="n">
        <v>75</v>
      </c>
      <c r="K4905" s="14"/>
      <c r="L4905" s="16"/>
      <c r="M4905" s="27" t="n">
        <f aca="false">J4905+(K4905/20)+(L4905/240)</f>
        <v>75</v>
      </c>
      <c r="N4905" s="17" t="s">
        <v>64</v>
      </c>
      <c r="O4905" s="11"/>
      <c r="P4905" s="28"/>
      <c r="Q4905" s="28" t="n">
        <f aca="false">P4905*$M4905</f>
        <v>0</v>
      </c>
      <c r="R4905" s="28"/>
      <c r="S4905" s="28" t="n">
        <f aca="false">R4905*$M4905</f>
        <v>0</v>
      </c>
      <c r="T4905" s="28"/>
      <c r="U4905" s="28" t="n">
        <f aca="false">T4905*$M4905</f>
        <v>0</v>
      </c>
      <c r="V4905" s="28" t="n">
        <f aca="false">1030/100</f>
        <v>10.3</v>
      </c>
      <c r="W4905" s="28" t="n">
        <v>772</v>
      </c>
      <c r="X4905" s="28"/>
      <c r="Y4905" s="28" t="n">
        <f aca="false">X4905*$M4905</f>
        <v>0</v>
      </c>
      <c r="Z4905" s="28"/>
      <c r="AA4905" s="28" t="n">
        <f aca="false">Z4905*$M4905</f>
        <v>0</v>
      </c>
      <c r="AB4905" s="28"/>
      <c r="AC4905" s="28" t="n">
        <f aca="false">AB4905*$M4905</f>
        <v>0</v>
      </c>
      <c r="AD4905" s="28"/>
      <c r="AE4905" s="28" t="n">
        <f aca="false">AD4905*$M4905</f>
        <v>0</v>
      </c>
      <c r="AF4905" s="28"/>
      <c r="AG4905" s="28" t="n">
        <f aca="false">AF4905*$M4905</f>
        <v>0</v>
      </c>
      <c r="AH4905" s="28"/>
      <c r="AI4905" s="28" t="n">
        <f aca="false">AH4905*$M4905</f>
        <v>0</v>
      </c>
      <c r="AJ4905" s="28"/>
      <c r="AK4905" s="28" t="n">
        <f aca="false">AJ4905*$M4905</f>
        <v>0</v>
      </c>
      <c r="AL4905" s="28"/>
      <c r="AM4905" s="28" t="n">
        <f aca="false">AL4905*$M4905</f>
        <v>0</v>
      </c>
      <c r="AN4905" s="28"/>
      <c r="AO4905" s="28" t="n">
        <f aca="false">AN4905*$M4905</f>
        <v>0</v>
      </c>
      <c r="AP4905" s="28"/>
      <c r="AQ4905" s="28" t="n">
        <f aca="false">AP4905*$M4905</f>
        <v>0</v>
      </c>
      <c r="AR4905" s="28"/>
      <c r="AS4905" s="28" t="n">
        <f aca="false">AR4905*$M4905</f>
        <v>0</v>
      </c>
      <c r="AT4905" s="28"/>
      <c r="AU4905" s="28" t="n">
        <f aca="false">AT4905*$M4905</f>
        <v>0</v>
      </c>
      <c r="AV4905" s="28"/>
      <c r="AW4905" s="28" t="n">
        <f aca="false">AV4905*$M4905</f>
        <v>0</v>
      </c>
      <c r="AX4905" s="28"/>
      <c r="AY4905" s="28" t="n">
        <f aca="false">AX4905*$M4905</f>
        <v>0</v>
      </c>
      <c r="AZ4905" s="30" t="n">
        <f aca="false">1030/100</f>
        <v>10.3</v>
      </c>
      <c r="BA4905" s="11" t="n">
        <v>772</v>
      </c>
      <c r="BB4905" s="31" t="n">
        <f aca="false">SUM(Q4905,S4905,U4905,W4905,Y4905,AA4905,AC4905,AE4905,AG4905,AI4905,AK4905,AM4905,AO4905,AQ4905,AS4905,AU4905,AW4905,AY4905)</f>
        <v>772</v>
      </c>
      <c r="BC4905" s="28" t="n">
        <f aca="false">BA4905-BB4905</f>
        <v>0</v>
      </c>
      <c r="BD4905" s="32" t="n">
        <f aca="false">SUM(P4905,R4905,T4905,V4905,X4905,Z4905,AB4905,AD4905,AF4905,AH4905,AJ4905,AL4905,AN4905,AP4905,AR4905,AT4905,AV4905,AX4905)</f>
        <v>10.3</v>
      </c>
      <c r="BE4905" s="33" t="n">
        <f aca="false">AZ4905-BD4905</f>
        <v>0</v>
      </c>
      <c r="BF4905" s="34" t="n">
        <f aca="false">BD4905*M4905</f>
        <v>772.5</v>
      </c>
      <c r="BG4905" s="35" t="n">
        <f aca="false">BA4905-BF4905</f>
        <v>-0.5</v>
      </c>
      <c r="BH4905" s="19" t="str">
        <f aca="false">IF(BG4905=0,"",IF(BG4905&lt;&gt;BA4905,"erreur de calcul",IF(BD4905&lt;&gt;0,"pas de prix",IF(M4905&lt;&gt; 0,"pas de quantité","pas de prix, ni de quantité"))))</f>
        <v>erreur de calcul</v>
      </c>
      <c r="BI4905" s="19"/>
    </row>
    <row r="4906" customFormat="false" ht="15" hidden="false" customHeight="false" outlineLevel="0" collapsed="false">
      <c r="A4906" s="0" t="n">
        <v>13</v>
      </c>
      <c r="B4906" s="8" t="s">
        <v>24</v>
      </c>
      <c r="C4906" s="9" t="s">
        <v>25</v>
      </c>
      <c r="D4906" s="9" t="s">
        <v>26</v>
      </c>
      <c r="E4906" s="10" t="n">
        <v>1789</v>
      </c>
      <c r="F4906" s="9" t="s">
        <v>27</v>
      </c>
      <c r="G4906" s="9" t="s">
        <v>27</v>
      </c>
      <c r="H4906" s="11" t="n">
        <v>27</v>
      </c>
      <c r="I4906" s="11" t="s">
        <v>424</v>
      </c>
      <c r="J4906" s="14" t="n">
        <v>6</v>
      </c>
      <c r="K4906" s="14"/>
      <c r="L4906" s="16"/>
      <c r="M4906" s="27" t="n">
        <f aca="false">J4906+(K4906/20)+(L4906/240)</f>
        <v>6</v>
      </c>
      <c r="N4906" s="17" t="s">
        <v>64</v>
      </c>
      <c r="O4906" s="11" t="s">
        <v>277</v>
      </c>
      <c r="P4906" s="28"/>
      <c r="Q4906" s="28" t="n">
        <f aca="false">P4906*$M4906</f>
        <v>0</v>
      </c>
      <c r="R4906" s="28"/>
      <c r="S4906" s="28" t="n">
        <f aca="false">R4906*$M4906</f>
        <v>0</v>
      </c>
      <c r="T4906" s="28"/>
      <c r="U4906" s="28" t="n">
        <f aca="false">T4906*$M4906</f>
        <v>0</v>
      </c>
      <c r="V4906" s="28"/>
      <c r="W4906" s="28" t="n">
        <f aca="false">V4906*$M4906</f>
        <v>0</v>
      </c>
      <c r="X4906" s="28"/>
      <c r="Y4906" s="28" t="n">
        <f aca="false">X4906*$M4906</f>
        <v>0</v>
      </c>
      <c r="Z4906" s="28"/>
      <c r="AA4906" s="28" t="n">
        <f aca="false">Z4906*$M4906</f>
        <v>0</v>
      </c>
      <c r="AB4906" s="28"/>
      <c r="AC4906" s="28" t="n">
        <f aca="false">AB4906*$M4906</f>
        <v>0</v>
      </c>
      <c r="AD4906" s="28"/>
      <c r="AE4906" s="28" t="n">
        <f aca="false">AD4906*$M4906</f>
        <v>0</v>
      </c>
      <c r="AF4906" s="28"/>
      <c r="AG4906" s="28" t="n">
        <f aca="false">AF4906*$M4906</f>
        <v>0</v>
      </c>
      <c r="AH4906" s="28" t="n">
        <f aca="false">9050/100</f>
        <v>90.5</v>
      </c>
      <c r="AI4906" s="28" t="n">
        <v>543</v>
      </c>
      <c r="AJ4906" s="28"/>
      <c r="AK4906" s="28" t="n">
        <f aca="false">AJ4906*$M4906</f>
        <v>0</v>
      </c>
      <c r="AL4906" s="28" t="n">
        <f aca="false">48717/100</f>
        <v>487.17</v>
      </c>
      <c r="AM4906" s="28" t="n">
        <v>2923</v>
      </c>
      <c r="AN4906" s="28"/>
      <c r="AO4906" s="28" t="n">
        <f aca="false">AN4906*$M4906</f>
        <v>0</v>
      </c>
      <c r="AP4906" s="28"/>
      <c r="AQ4906" s="28" t="n">
        <f aca="false">AP4906*$M4906</f>
        <v>0</v>
      </c>
      <c r="AR4906" s="28"/>
      <c r="AS4906" s="28" t="n">
        <f aca="false">AR4906*$M4906</f>
        <v>0</v>
      </c>
      <c r="AT4906" s="28"/>
      <c r="AU4906" s="28" t="n">
        <f aca="false">AT4906*$M4906</f>
        <v>0</v>
      </c>
      <c r="AV4906" s="28"/>
      <c r="AW4906" s="28" t="n">
        <f aca="false">AV4906*$M4906</f>
        <v>0</v>
      </c>
      <c r="AX4906" s="28"/>
      <c r="AY4906" s="28" t="n">
        <f aca="false">AX4906*$M4906</f>
        <v>0</v>
      </c>
      <c r="AZ4906" s="30" t="n">
        <f aca="false">57767/100</f>
        <v>577.67</v>
      </c>
      <c r="BA4906" s="11" t="n">
        <v>3466</v>
      </c>
      <c r="BB4906" s="31" t="n">
        <f aca="false">SUM(Q4906,S4906,U4906,W4906,Y4906,AA4906,AC4906,AE4906,AG4906,AI4906,AK4906,AM4906,AO4906,AQ4906,AS4906,AU4906,AW4906,AY4906)</f>
        <v>3466</v>
      </c>
      <c r="BC4906" s="28" t="n">
        <f aca="false">BA4906-BB4906</f>
        <v>0</v>
      </c>
      <c r="BD4906" s="32" t="n">
        <f aca="false">SUM(P4906,R4906,T4906,V4906,X4906,Z4906,AB4906,AD4906,AF4906,AH4906,AJ4906,AL4906,AN4906,AP4906,AR4906,AT4906,AV4906,AX4906)</f>
        <v>577.67</v>
      </c>
      <c r="BE4906" s="33" t="n">
        <f aca="false">AZ4906-BD4906</f>
        <v>0</v>
      </c>
      <c r="BF4906" s="34" t="n">
        <f aca="false">BD4906*M4906</f>
        <v>3466.02</v>
      </c>
      <c r="BG4906" s="35" t="n">
        <f aca="false">BA4906-BF4906</f>
        <v>-0.0200000000004366</v>
      </c>
      <c r="BH4906" s="19" t="str">
        <f aca="false">IF(BG4906=0,"",IF(BG4906&lt;&gt;BA4906,"erreur de calcul",IF(BD4906&lt;&gt;0,"pas de prix",IF(M4906&lt;&gt; 0,"pas de quantité","pas de prix, ni de quantité"))))</f>
        <v>erreur de calcul</v>
      </c>
      <c r="BI4906" s="19"/>
    </row>
    <row r="4907" customFormat="false" ht="15" hidden="false" customHeight="false" outlineLevel="0" collapsed="false">
      <c r="A4907" s="0" t="n">
        <v>14</v>
      </c>
      <c r="B4907" s="8" t="s">
        <v>24</v>
      </c>
      <c r="C4907" s="9" t="s">
        <v>25</v>
      </c>
      <c r="D4907" s="9" t="s">
        <v>26</v>
      </c>
      <c r="E4907" s="10" t="n">
        <v>1789</v>
      </c>
      <c r="F4907" s="9" t="s">
        <v>27</v>
      </c>
      <c r="G4907" s="9" t="s">
        <v>27</v>
      </c>
      <c r="H4907" s="11" t="n">
        <v>27</v>
      </c>
      <c r="I4907" s="11" t="s">
        <v>425</v>
      </c>
      <c r="J4907" s="14" t="n">
        <v>25</v>
      </c>
      <c r="K4907" s="14"/>
      <c r="L4907" s="16"/>
      <c r="M4907" s="27" t="n">
        <f aca="false">J4907+(K4907/20)+(L4907/240)</f>
        <v>25</v>
      </c>
      <c r="N4907" s="17" t="s">
        <v>64</v>
      </c>
      <c r="O4907" s="11"/>
      <c r="P4907" s="28"/>
      <c r="Q4907" s="28" t="n">
        <f aca="false">P4907*$M4907</f>
        <v>0</v>
      </c>
      <c r="R4907" s="28"/>
      <c r="S4907" s="28" t="n">
        <f aca="false">R4907*$M4907</f>
        <v>0</v>
      </c>
      <c r="T4907" s="28" t="n">
        <f aca="false">10*288*0.02+114*0.02</f>
        <v>59.88</v>
      </c>
      <c r="U4907" s="28" t="n">
        <v>1497</v>
      </c>
      <c r="V4907" s="28"/>
      <c r="W4907" s="28" t="n">
        <f aca="false">V4907*$M4907</f>
        <v>0</v>
      </c>
      <c r="X4907" s="28"/>
      <c r="Y4907" s="28" t="n">
        <f aca="false">X4907*$M4907</f>
        <v>0</v>
      </c>
      <c r="Z4907" s="28"/>
      <c r="AA4907" s="28" t="n">
        <f aca="false">Z4907*$M4907</f>
        <v>0</v>
      </c>
      <c r="AB4907" s="28"/>
      <c r="AC4907" s="28" t="n">
        <f aca="false">AB4907*$M4907</f>
        <v>0</v>
      </c>
      <c r="AD4907" s="28"/>
      <c r="AE4907" s="28" t="n">
        <f aca="false">AD4907*$M4907</f>
        <v>0</v>
      </c>
      <c r="AF4907" s="28"/>
      <c r="AG4907" s="28" t="n">
        <f aca="false">AF4907*$M4907</f>
        <v>0</v>
      </c>
      <c r="AH4907" s="28"/>
      <c r="AI4907" s="28" t="n">
        <f aca="false">AH4907*$M4907</f>
        <v>0</v>
      </c>
      <c r="AJ4907" s="28"/>
      <c r="AK4907" s="28" t="n">
        <f aca="false">AJ4907*$M4907</f>
        <v>0</v>
      </c>
      <c r="AL4907" s="28"/>
      <c r="AM4907" s="28" t="n">
        <f aca="false">AL4907*$M4907</f>
        <v>0</v>
      </c>
      <c r="AN4907" s="28"/>
      <c r="AO4907" s="28" t="n">
        <f aca="false">AN4907*$M4907</f>
        <v>0</v>
      </c>
      <c r="AP4907" s="28"/>
      <c r="AQ4907" s="28" t="n">
        <f aca="false">AP4907*$M4907</f>
        <v>0</v>
      </c>
      <c r="AR4907" s="28"/>
      <c r="AS4907" s="28" t="n">
        <f aca="false">AR4907*$M4907</f>
        <v>0</v>
      </c>
      <c r="AT4907" s="28"/>
      <c r="AU4907" s="28" t="n">
        <f aca="false">AT4907*$M4907</f>
        <v>0</v>
      </c>
      <c r="AV4907" s="28"/>
      <c r="AW4907" s="28" t="n">
        <f aca="false">AV4907*$M4907</f>
        <v>0</v>
      </c>
      <c r="AX4907" s="28"/>
      <c r="AY4907" s="28" t="n">
        <f aca="false">AX4907*$M4907</f>
        <v>0</v>
      </c>
      <c r="AZ4907" s="30" t="n">
        <f aca="false">10*288*0.02+114*0.02</f>
        <v>59.88</v>
      </c>
      <c r="BA4907" s="11" t="n">
        <v>1497</v>
      </c>
      <c r="BB4907" s="31" t="n">
        <f aca="false">SUM(Q4907,S4907,U4907,W4907,Y4907,AA4907,AC4907,AE4907,AG4907,AI4907,AK4907,AM4907,AO4907,AQ4907,AS4907,AU4907,AW4907,AY4907)</f>
        <v>1497</v>
      </c>
      <c r="BC4907" s="28" t="n">
        <f aca="false">BA4907-BB4907</f>
        <v>0</v>
      </c>
      <c r="BD4907" s="32" t="n">
        <f aca="false">SUM(P4907,R4907,T4907,V4907,X4907,Z4907,AB4907,AD4907,AF4907,AH4907,AJ4907,AL4907,AN4907,AP4907,AR4907,AT4907,AV4907,AX4907)</f>
        <v>59.88</v>
      </c>
      <c r="BE4907" s="33" t="n">
        <f aca="false">AZ4907-BD4907</f>
        <v>0</v>
      </c>
      <c r="BF4907" s="34" t="n">
        <f aca="false">BD4907*M4907</f>
        <v>1497</v>
      </c>
      <c r="BG4907" s="35" t="n">
        <f aca="false">BA4907-BF4907</f>
        <v>0</v>
      </c>
      <c r="BH4907" s="19" t="str">
        <f aca="false">IF(BG4907=0,"",IF(BG4907&lt;&gt;BA4907,"erreur de calcul",IF(BD4907&lt;&gt;0,"pas de prix",IF(M4907&lt;&gt; 0,"pas de quantité","pas de prix, ni de quantité"))))</f>
        <v/>
      </c>
      <c r="BI4907" s="19"/>
    </row>
    <row r="4908" customFormat="false" ht="15" hidden="false" customHeight="false" outlineLevel="0" collapsed="false">
      <c r="A4908" s="0" t="n">
        <v>15</v>
      </c>
      <c r="B4908" s="8" t="s">
        <v>24</v>
      </c>
      <c r="C4908" s="9" t="s">
        <v>25</v>
      </c>
      <c r="D4908" s="9" t="s">
        <v>26</v>
      </c>
      <c r="E4908" s="10" t="n">
        <v>1789</v>
      </c>
      <c r="F4908" s="9" t="s">
        <v>27</v>
      </c>
      <c r="G4908" s="9" t="s">
        <v>27</v>
      </c>
      <c r="H4908" s="11" t="n">
        <v>27</v>
      </c>
      <c r="I4908" s="11" t="s">
        <v>426</v>
      </c>
      <c r="J4908" s="14" t="n">
        <v>40</v>
      </c>
      <c r="K4908" s="14"/>
      <c r="L4908" s="16"/>
      <c r="M4908" s="27" t="n">
        <f aca="false">J4908+(K4908/20)+(L4908/240)</f>
        <v>40</v>
      </c>
      <c r="N4908" s="17" t="s">
        <v>64</v>
      </c>
      <c r="O4908" s="11"/>
      <c r="P4908" s="28"/>
      <c r="Q4908" s="28" t="n">
        <f aca="false">P4908*$M4908</f>
        <v>0</v>
      </c>
      <c r="R4908" s="28"/>
      <c r="S4908" s="28" t="n">
        <f aca="false">R4908*$M4908</f>
        <v>0</v>
      </c>
      <c r="T4908" s="28"/>
      <c r="U4908" s="28" t="n">
        <f aca="false">T4908*$M4908</f>
        <v>0</v>
      </c>
      <c r="V4908" s="28"/>
      <c r="W4908" s="28" t="n">
        <f aca="false">V4908*$M4908</f>
        <v>0</v>
      </c>
      <c r="X4908" s="28"/>
      <c r="Y4908" s="28" t="n">
        <f aca="false">X4908*$M4908</f>
        <v>0</v>
      </c>
      <c r="Z4908" s="28"/>
      <c r="AA4908" s="28" t="n">
        <f aca="false">Z4908*$M4908</f>
        <v>0</v>
      </c>
      <c r="AB4908" s="28"/>
      <c r="AC4908" s="28" t="n">
        <f aca="false">AB4908*$M4908</f>
        <v>0</v>
      </c>
      <c r="AD4908" s="28"/>
      <c r="AE4908" s="28" t="n">
        <f aca="false">AD4908*$M4908</f>
        <v>0</v>
      </c>
      <c r="AF4908" s="28"/>
      <c r="AG4908" s="28" t="n">
        <f aca="false">AF4908*$M4908</f>
        <v>0</v>
      </c>
      <c r="AH4908" s="28" t="n">
        <f aca="false">1*288*0.02+59*0.02</f>
        <v>6.94</v>
      </c>
      <c r="AI4908" s="28" t="n">
        <v>278</v>
      </c>
      <c r="AJ4908" s="28"/>
      <c r="AK4908" s="28" t="n">
        <f aca="false">AJ4908*$M4908</f>
        <v>0</v>
      </c>
      <c r="AL4908" s="28"/>
      <c r="AM4908" s="28" t="n">
        <f aca="false">AL4908*$M4908</f>
        <v>0</v>
      </c>
      <c r="AN4908" s="28"/>
      <c r="AO4908" s="28" t="n">
        <f aca="false">AN4908*$M4908</f>
        <v>0</v>
      </c>
      <c r="AP4908" s="28"/>
      <c r="AQ4908" s="28" t="n">
        <f aca="false">AP4908*$M4908</f>
        <v>0</v>
      </c>
      <c r="AR4908" s="28"/>
      <c r="AS4908" s="28" t="n">
        <f aca="false">AR4908*$M4908</f>
        <v>0</v>
      </c>
      <c r="AT4908" s="28"/>
      <c r="AU4908" s="28" t="n">
        <f aca="false">AT4908*$M4908</f>
        <v>0</v>
      </c>
      <c r="AV4908" s="28"/>
      <c r="AW4908" s="28" t="n">
        <f aca="false">AV4908*$M4908</f>
        <v>0</v>
      </c>
      <c r="AX4908" s="28"/>
      <c r="AY4908" s="28" t="n">
        <f aca="false">AX4908*$M4908</f>
        <v>0</v>
      </c>
      <c r="AZ4908" s="30" t="n">
        <f aca="false">1*288*0.02+59*0.02</f>
        <v>6.94</v>
      </c>
      <c r="BA4908" s="11" t="n">
        <v>278</v>
      </c>
      <c r="BB4908" s="31" t="n">
        <f aca="false">SUM(Q4908,S4908,U4908,W4908,Y4908,AA4908,AC4908,AE4908,AG4908,AI4908,AK4908,AM4908,AO4908,AQ4908,AS4908,AU4908,AW4908,AY4908)</f>
        <v>278</v>
      </c>
      <c r="BC4908" s="28" t="n">
        <f aca="false">BA4908-BB4908</f>
        <v>0</v>
      </c>
      <c r="BD4908" s="32" t="n">
        <f aca="false">SUM(P4908,R4908,T4908,V4908,X4908,Z4908,AB4908,AD4908,AF4908,AH4908,AJ4908,AL4908,AN4908,AP4908,AR4908,AT4908,AV4908,AX4908)</f>
        <v>6.94</v>
      </c>
      <c r="BE4908" s="33" t="n">
        <f aca="false">AZ4908-BD4908</f>
        <v>0</v>
      </c>
      <c r="BF4908" s="34" t="n">
        <f aca="false">BD4908*M4908</f>
        <v>277.6</v>
      </c>
      <c r="BG4908" s="35" t="n">
        <f aca="false">BA4908-BF4908</f>
        <v>0.400000000000034</v>
      </c>
      <c r="BH4908" s="19" t="str">
        <f aca="false">IF(BG4908=0,"",IF(BG4908&lt;&gt;BA4908,"erreur de calcul",IF(BD4908&lt;&gt;0,"pas de prix",IF(M4908&lt;&gt; 0,"pas de quantité","pas de prix, ni de quantité"))))</f>
        <v>erreur de calcul</v>
      </c>
      <c r="BI4908" s="19"/>
    </row>
    <row r="4909" customFormat="false" ht="15" hidden="false" customHeight="false" outlineLevel="0" collapsed="false">
      <c r="A4909" s="0" t="n">
        <v>16</v>
      </c>
      <c r="B4909" s="8" t="s">
        <v>24</v>
      </c>
      <c r="C4909" s="9" t="s">
        <v>25</v>
      </c>
      <c r="D4909" s="9" t="s">
        <v>26</v>
      </c>
      <c r="E4909" s="10" t="n">
        <v>1789</v>
      </c>
      <c r="F4909" s="9" t="s">
        <v>27</v>
      </c>
      <c r="G4909" s="9" t="s">
        <v>27</v>
      </c>
      <c r="H4909" s="11" t="n">
        <v>27</v>
      </c>
      <c r="I4909" s="11" t="s">
        <v>427</v>
      </c>
      <c r="J4909" s="14" t="n">
        <v>32</v>
      </c>
      <c r="K4909" s="14"/>
      <c r="L4909" s="16"/>
      <c r="M4909" s="27" t="n">
        <f aca="false">J4909+(K4909/20)+(L4909/240)</f>
        <v>32</v>
      </c>
      <c r="N4909" s="17" t="s">
        <v>64</v>
      </c>
      <c r="O4909" s="11"/>
      <c r="P4909" s="28" t="n">
        <f aca="false">33*288*0.02+179*0.02</f>
        <v>193.66</v>
      </c>
      <c r="Q4909" s="28" t="n">
        <v>6197</v>
      </c>
      <c r="R4909" s="28"/>
      <c r="S4909" s="28" t="n">
        <f aca="false">R4909*$M4909</f>
        <v>0</v>
      </c>
      <c r="T4909" s="28"/>
      <c r="U4909" s="28" t="n">
        <f aca="false">T4909*$M4909</f>
        <v>0</v>
      </c>
      <c r="V4909" s="28"/>
      <c r="W4909" s="28" t="n">
        <f aca="false">V4909*$M4909</f>
        <v>0</v>
      </c>
      <c r="X4909" s="28"/>
      <c r="Y4909" s="28" t="n">
        <f aca="false">X4909*$M4909</f>
        <v>0</v>
      </c>
      <c r="Z4909" s="28"/>
      <c r="AA4909" s="28" t="n">
        <f aca="false">Z4909*$M4909</f>
        <v>0</v>
      </c>
      <c r="AB4909" s="28"/>
      <c r="AC4909" s="28" t="n">
        <f aca="false">AB4909*$M4909</f>
        <v>0</v>
      </c>
      <c r="AD4909" s="28"/>
      <c r="AE4909" s="28" t="n">
        <f aca="false">AD4909*$M4909</f>
        <v>0</v>
      </c>
      <c r="AF4909" s="28"/>
      <c r="AG4909" s="28" t="n">
        <f aca="false">AF4909*$M4909</f>
        <v>0</v>
      </c>
      <c r="AH4909" s="28"/>
      <c r="AI4909" s="28" t="n">
        <f aca="false">AH4909*$M4909</f>
        <v>0</v>
      </c>
      <c r="AJ4909" s="28"/>
      <c r="AK4909" s="28" t="n">
        <f aca="false">AJ4909*$M4909</f>
        <v>0</v>
      </c>
      <c r="AL4909" s="28"/>
      <c r="AM4909" s="28" t="n">
        <f aca="false">AL4909*$M4909</f>
        <v>0</v>
      </c>
      <c r="AN4909" s="28"/>
      <c r="AO4909" s="28" t="n">
        <f aca="false">AN4909*$M4909</f>
        <v>0</v>
      </c>
      <c r="AP4909" s="28"/>
      <c r="AQ4909" s="28" t="n">
        <f aca="false">AP4909*$M4909</f>
        <v>0</v>
      </c>
      <c r="AR4909" s="28"/>
      <c r="AS4909" s="28" t="n">
        <f aca="false">AR4909*$M4909</f>
        <v>0</v>
      </c>
      <c r="AT4909" s="28"/>
      <c r="AU4909" s="28" t="n">
        <f aca="false">AT4909*$M4909</f>
        <v>0</v>
      </c>
      <c r="AV4909" s="28"/>
      <c r="AW4909" s="28" t="n">
        <f aca="false">AV4909*$M4909</f>
        <v>0</v>
      </c>
      <c r="AX4909" s="28"/>
      <c r="AY4909" s="28" t="n">
        <f aca="false">AX4909*$M4909</f>
        <v>0</v>
      </c>
      <c r="AZ4909" s="30" t="n">
        <f aca="false">33*288*0.02+179*0.02</f>
        <v>193.66</v>
      </c>
      <c r="BA4909" s="11" t="n">
        <v>6197</v>
      </c>
      <c r="BB4909" s="31" t="n">
        <f aca="false">SUM(Q4909,S4909,U4909,W4909,Y4909,AA4909,AC4909,AE4909,AG4909,AI4909,AK4909,AM4909,AO4909,AQ4909,AS4909,AU4909,AW4909,AY4909)</f>
        <v>6197</v>
      </c>
      <c r="BC4909" s="28" t="n">
        <f aca="false">BA4909-BB4909</f>
        <v>0</v>
      </c>
      <c r="BD4909" s="32" t="n">
        <f aca="false">SUM(P4909,R4909,T4909,V4909,X4909,Z4909,AB4909,AD4909,AF4909,AH4909,AJ4909,AL4909,AN4909,AP4909,AR4909,AT4909,AV4909,AX4909)</f>
        <v>193.66</v>
      </c>
      <c r="BE4909" s="33" t="n">
        <f aca="false">AZ4909-BD4909</f>
        <v>0</v>
      </c>
      <c r="BF4909" s="34" t="n">
        <f aca="false">BD4909*M4909</f>
        <v>6197.12</v>
      </c>
      <c r="BG4909" s="35" t="n">
        <f aca="false">BA4909-BF4909</f>
        <v>-0.1200000000008</v>
      </c>
      <c r="BH4909" s="19" t="str">
        <f aca="false">IF(BG4909=0,"",IF(BG4909&lt;&gt;BA4909,"erreur de calcul",IF(BD4909&lt;&gt;0,"pas de prix",IF(M4909&lt;&gt; 0,"pas de quantité","pas de prix, ni de quantité"))))</f>
        <v>erreur de calcul</v>
      </c>
      <c r="BI4909" s="19"/>
    </row>
    <row r="4910" customFormat="false" ht="15" hidden="false" customHeight="false" outlineLevel="0" collapsed="false">
      <c r="A4910" s="0" t="n">
        <v>17</v>
      </c>
      <c r="B4910" s="8" t="s">
        <v>24</v>
      </c>
      <c r="C4910" s="9" t="s">
        <v>25</v>
      </c>
      <c r="D4910" s="9" t="s">
        <v>26</v>
      </c>
      <c r="E4910" s="10" t="n">
        <v>1789</v>
      </c>
      <c r="F4910" s="9" t="s">
        <v>27</v>
      </c>
      <c r="G4910" s="9" t="s">
        <v>27</v>
      </c>
      <c r="H4910" s="11" t="n">
        <v>27</v>
      </c>
      <c r="I4910" s="11" t="s">
        <v>428</v>
      </c>
      <c r="J4910" s="14"/>
      <c r="K4910" s="14" t="n">
        <v>12</v>
      </c>
      <c r="L4910" s="16"/>
      <c r="M4910" s="27" t="n">
        <f aca="false">J4910+(K4910/20)+(L4910/240)</f>
        <v>0.6</v>
      </c>
      <c r="N4910" s="17" t="s">
        <v>429</v>
      </c>
      <c r="O4910" s="11"/>
      <c r="P4910" s="28" t="n">
        <f aca="false">620*288+173</f>
        <v>178733</v>
      </c>
      <c r="Q4910" s="28" t="n">
        <v>107240</v>
      </c>
      <c r="R4910" s="28"/>
      <c r="S4910" s="28" t="n">
        <f aca="false">R4910*$M4910</f>
        <v>0</v>
      </c>
      <c r="T4910" s="28"/>
      <c r="U4910" s="28" t="n">
        <f aca="false">T4910*$M4910</f>
        <v>0</v>
      </c>
      <c r="V4910" s="28" t="n">
        <f aca="false">4*288+179</f>
        <v>1331</v>
      </c>
      <c r="W4910" s="28" t="n">
        <v>799</v>
      </c>
      <c r="X4910" s="28"/>
      <c r="Y4910" s="28" t="n">
        <f aca="false">X4910*$M4910</f>
        <v>0</v>
      </c>
      <c r="Z4910" s="28"/>
      <c r="AA4910" s="28" t="n">
        <f aca="false">Z4910*$M4910</f>
        <v>0</v>
      </c>
      <c r="AB4910" s="28"/>
      <c r="AC4910" s="28" t="n">
        <f aca="false">AB4910*$M4910</f>
        <v>0</v>
      </c>
      <c r="AD4910" s="28"/>
      <c r="AE4910" s="28" t="n">
        <f aca="false">AD4910*$M4910</f>
        <v>0</v>
      </c>
      <c r="AF4910" s="28"/>
      <c r="AG4910" s="28" t="n">
        <f aca="false">AF4910*$M4910</f>
        <v>0</v>
      </c>
      <c r="AH4910" s="28" t="n">
        <f aca="false">12*288+227</f>
        <v>3683</v>
      </c>
      <c r="AI4910" s="28" t="n">
        <v>2210</v>
      </c>
      <c r="AJ4910" s="28"/>
      <c r="AK4910" s="28" t="n">
        <f aca="false">AJ4910*$M4910</f>
        <v>0</v>
      </c>
      <c r="AL4910" s="28"/>
      <c r="AM4910" s="28" t="n">
        <f aca="false">AL4910*$M4910</f>
        <v>0</v>
      </c>
      <c r="AN4910" s="28"/>
      <c r="AO4910" s="28" t="n">
        <f aca="false">AN4910*$M4910</f>
        <v>0</v>
      </c>
      <c r="AP4910" s="28"/>
      <c r="AQ4910" s="28" t="n">
        <f aca="false">AP4910*$M4910</f>
        <v>0</v>
      </c>
      <c r="AR4910" s="28"/>
      <c r="AS4910" s="28" t="n">
        <f aca="false">AR4910*$M4910</f>
        <v>0</v>
      </c>
      <c r="AT4910" s="28"/>
      <c r="AU4910" s="28" t="n">
        <f aca="false">AT4910*$M4910</f>
        <v>0</v>
      </c>
      <c r="AV4910" s="28"/>
      <c r="AW4910" s="28" t="n">
        <f aca="false">AV4910*$M4910</f>
        <v>0</v>
      </c>
      <c r="AX4910" s="28"/>
      <c r="AY4910" s="28" t="n">
        <f aca="false">AX4910*$M4910</f>
        <v>0</v>
      </c>
      <c r="AZ4910" s="30" t="n">
        <f aca="false">638*288+3</f>
        <v>183747</v>
      </c>
      <c r="BA4910" s="11" t="n">
        <v>110249</v>
      </c>
      <c r="BB4910" s="31" t="n">
        <f aca="false">SUM(Q4910,S4910,U4910,W4910,Y4910,AA4910,AC4910,AE4910,AG4910,AI4910,AK4910,AM4910,AO4910,AQ4910,AS4910,AU4910,AW4910,AY4910)</f>
        <v>110249</v>
      </c>
      <c r="BC4910" s="28" t="n">
        <f aca="false">BA4910-BB4910</f>
        <v>0</v>
      </c>
      <c r="BD4910" s="32" t="n">
        <f aca="false">SUM(P4910,R4910,T4910,V4910,X4910,Z4910,AB4910,AD4910,AF4910,AH4910,AJ4910,AL4910,AN4910,AP4910,AR4910,AT4910,AV4910,AX4910)</f>
        <v>183747</v>
      </c>
      <c r="BE4910" s="33" t="n">
        <f aca="false">AZ4910-BD4910</f>
        <v>0</v>
      </c>
      <c r="BF4910" s="34" t="n">
        <f aca="false">BD4910*M4910</f>
        <v>110248.2</v>
      </c>
      <c r="BG4910" s="35" t="n">
        <f aca="false">BA4910-BF4910</f>
        <v>0.80000000000291</v>
      </c>
      <c r="BH4910" s="19" t="str">
        <f aca="false">IF(BG4910=0,"",IF(BG4910&lt;&gt;BA4910,"erreur de calcul",IF(BD4910&lt;&gt;0,"pas de prix",IF(M4910&lt;&gt; 0,"pas de quantité","pas de prix, ni de quantité"))))</f>
        <v>erreur de calcul</v>
      </c>
      <c r="BI4910" s="19"/>
    </row>
    <row r="4911" customFormat="false" ht="15" hidden="false" customHeight="false" outlineLevel="0" collapsed="false">
      <c r="A4911" s="0" t="n">
        <v>18</v>
      </c>
      <c r="B4911" s="8" t="s">
        <v>24</v>
      </c>
      <c r="C4911" s="9" t="s">
        <v>25</v>
      </c>
      <c r="D4911" s="9" t="s">
        <v>26</v>
      </c>
      <c r="E4911" s="10" t="n">
        <v>1789</v>
      </c>
      <c r="F4911" s="9" t="s">
        <v>27</v>
      </c>
      <c r="G4911" s="9" t="s">
        <v>27</v>
      </c>
      <c r="H4911" s="11" t="n">
        <v>27</v>
      </c>
      <c r="I4911" s="11" t="s">
        <v>430</v>
      </c>
      <c r="J4911" s="14" t="n">
        <v>30</v>
      </c>
      <c r="K4911" s="14"/>
      <c r="L4911" s="16"/>
      <c r="M4911" s="27" t="n">
        <f aca="false">J4911+(K4911/20)+(L4911/240)</f>
        <v>30</v>
      </c>
      <c r="N4911" s="17" t="s">
        <v>64</v>
      </c>
      <c r="O4911" s="11" t="s">
        <v>77</v>
      </c>
      <c r="P4911" s="28"/>
      <c r="Q4911" s="28" t="n">
        <f aca="false">P4911*$M4911</f>
        <v>0</v>
      </c>
      <c r="R4911" s="28"/>
      <c r="S4911" s="28" t="n">
        <f aca="false">R4911*$M4911</f>
        <v>0</v>
      </c>
      <c r="T4911" s="28" t="n">
        <f aca="false">3*288*0.02+162*0.02</f>
        <v>20.52</v>
      </c>
      <c r="U4911" s="28" t="n">
        <v>616</v>
      </c>
      <c r="V4911" s="28"/>
      <c r="W4911" s="28" t="n">
        <f aca="false">V4911*$M4911</f>
        <v>0</v>
      </c>
      <c r="X4911" s="28" t="n">
        <f aca="false">4*288*0.02+17*0.02</f>
        <v>23.38</v>
      </c>
      <c r="Y4911" s="28" t="n">
        <v>702</v>
      </c>
      <c r="Z4911" s="28" t="n">
        <f aca="false">3*288*0.02+169*0.02</f>
        <v>20.66</v>
      </c>
      <c r="AA4911" s="28" t="n">
        <v>620</v>
      </c>
      <c r="AB4911" s="28" t="n">
        <f aca="false">10*288*0.02+224*0.02</f>
        <v>62.08</v>
      </c>
      <c r="AC4911" s="28" t="n">
        <v>1863</v>
      </c>
      <c r="AD4911" s="28"/>
      <c r="AE4911" s="28" t="n">
        <f aca="false">AD4911*$M4911</f>
        <v>0</v>
      </c>
      <c r="AF4911" s="28"/>
      <c r="AG4911" s="28" t="n">
        <f aca="false">AF4911*$M4911</f>
        <v>0</v>
      </c>
      <c r="AH4911" s="28" t="n">
        <f aca="false">200*0.02</f>
        <v>4</v>
      </c>
      <c r="AI4911" s="28" t="n">
        <v>120</v>
      </c>
      <c r="AJ4911" s="28"/>
      <c r="AK4911" s="28" t="n">
        <f aca="false">AJ4911*$M4911</f>
        <v>0</v>
      </c>
      <c r="AL4911" s="28"/>
      <c r="AM4911" s="28" t="n">
        <f aca="false">AL4911*$M4911</f>
        <v>0</v>
      </c>
      <c r="AN4911" s="28"/>
      <c r="AO4911" s="28" t="n">
        <f aca="false">AN4911*$M4911</f>
        <v>0</v>
      </c>
      <c r="AP4911" s="28"/>
      <c r="AQ4911" s="28" t="n">
        <f aca="false">AP4911*$M4911</f>
        <v>0</v>
      </c>
      <c r="AR4911" s="28"/>
      <c r="AS4911" s="28" t="n">
        <f aca="false">AR4911*$M4911</f>
        <v>0</v>
      </c>
      <c r="AT4911" s="28"/>
      <c r="AU4911" s="28" t="n">
        <f aca="false">AT4911*$M4911</f>
        <v>0</v>
      </c>
      <c r="AV4911" s="28"/>
      <c r="AW4911" s="28" t="n">
        <f aca="false">AV4911*$M4911</f>
        <v>0</v>
      </c>
      <c r="AX4911" s="28"/>
      <c r="AY4911" s="28" t="n">
        <f aca="false">AX4911*$M4911</f>
        <v>0</v>
      </c>
      <c r="AZ4911" s="30" t="n">
        <f aca="false">22*288*0.02+196*0.02</f>
        <v>130.64</v>
      </c>
      <c r="BA4911" s="11" t="n">
        <v>3921</v>
      </c>
      <c r="BB4911" s="31" t="n">
        <f aca="false">SUM(Q4911,S4911,U4911,W4911,Y4911,AA4911,AC4911,AE4911,AG4911,AI4911,AK4911,AM4911,AO4911,AQ4911,AS4911,AU4911,AW4911,AY4911)</f>
        <v>3921</v>
      </c>
      <c r="BC4911" s="28" t="n">
        <f aca="false">BA4911-BB4911</f>
        <v>0</v>
      </c>
      <c r="BD4911" s="32" t="n">
        <f aca="false">SUM(P4911,R4911,T4911,V4911,X4911,Z4911,AB4911,AD4911,AF4911,AH4911,AJ4911,AL4911,AN4911,AP4911,AR4911,AT4911,AV4911,AX4911)</f>
        <v>130.64</v>
      </c>
      <c r="BE4911" s="33" t="n">
        <f aca="false">AZ4911-BD4911</f>
        <v>0</v>
      </c>
      <c r="BF4911" s="34" t="n">
        <f aca="false">BD4911*M4911</f>
        <v>3919.2</v>
      </c>
      <c r="BG4911" s="35" t="n">
        <f aca="false">BA4911-BF4911</f>
        <v>1.80000000000018</v>
      </c>
      <c r="BH4911" s="19" t="str">
        <f aca="false">IF(BG4911=0,"",IF(BG4911&lt;&gt;BA4911,"erreur de calcul",IF(BD4911&lt;&gt;0,"pas de prix",IF(M4911&lt;&gt; 0,"pas de quantité","pas de prix, ni de quantité"))))</f>
        <v>erreur de calcul</v>
      </c>
      <c r="BI4911" s="19"/>
    </row>
    <row r="4912" customFormat="false" ht="15" hidden="false" customHeight="false" outlineLevel="0" collapsed="false">
      <c r="A4912" s="0" t="n">
        <v>19</v>
      </c>
      <c r="B4912" s="8" t="s">
        <v>24</v>
      </c>
      <c r="C4912" s="9" t="s">
        <v>25</v>
      </c>
      <c r="D4912" s="9" t="s">
        <v>26</v>
      </c>
      <c r="E4912" s="10" t="n">
        <v>1789</v>
      </c>
      <c r="F4912" s="9" t="s">
        <v>27</v>
      </c>
      <c r="G4912" s="9" t="s">
        <v>27</v>
      </c>
      <c r="H4912" s="11" t="n">
        <v>27</v>
      </c>
      <c r="I4912" s="11" t="s">
        <v>431</v>
      </c>
      <c r="J4912" s="14" t="n">
        <v>10</v>
      </c>
      <c r="K4912" s="14"/>
      <c r="L4912" s="16"/>
      <c r="M4912" s="27" t="n">
        <f aca="false">J4912+(K4912/20)+(L4912/240)</f>
        <v>10</v>
      </c>
      <c r="N4912" s="17" t="s">
        <v>432</v>
      </c>
      <c r="O4912" s="11" t="s">
        <v>109</v>
      </c>
      <c r="P4912" s="28" t="n">
        <f aca="false">105*(288/62.5)+135/62.5</f>
        <v>486</v>
      </c>
      <c r="Q4912" s="28" t="n">
        <v>4860</v>
      </c>
      <c r="R4912" s="28"/>
      <c r="S4912" s="28" t="n">
        <f aca="false">R4912*$M4912</f>
        <v>0</v>
      </c>
      <c r="T4912" s="28" t="n">
        <f aca="false">8*(288/62.5)+196/62.5</f>
        <v>40</v>
      </c>
      <c r="U4912" s="28" t="n">
        <v>400</v>
      </c>
      <c r="V4912" s="28"/>
      <c r="W4912" s="28" t="n">
        <f aca="false">V4912*$M4912</f>
        <v>0</v>
      </c>
      <c r="X4912" s="28"/>
      <c r="Y4912" s="28" t="n">
        <f aca="false">X4912*$M4912</f>
        <v>0</v>
      </c>
      <c r="Z4912" s="28"/>
      <c r="AA4912" s="28" t="n">
        <f aca="false">Z4912*$M4912</f>
        <v>0</v>
      </c>
      <c r="AB4912" s="28"/>
      <c r="AC4912" s="28" t="n">
        <f aca="false">AB4912*$M4912</f>
        <v>0</v>
      </c>
      <c r="AD4912" s="28"/>
      <c r="AE4912" s="28" t="n">
        <f aca="false">AD4912*$M4912</f>
        <v>0</v>
      </c>
      <c r="AF4912" s="28"/>
      <c r="AG4912" s="28" t="n">
        <f aca="false">AF4912*$M4912</f>
        <v>0</v>
      </c>
      <c r="AH4912" s="28"/>
      <c r="AI4912" s="28" t="n">
        <f aca="false">AH4912*$M4912</f>
        <v>0</v>
      </c>
      <c r="AJ4912" s="28"/>
      <c r="AK4912" s="28" t="n">
        <f aca="false">AJ4912*$M4912</f>
        <v>0</v>
      </c>
      <c r="AL4912" s="28"/>
      <c r="AM4912" s="28" t="n">
        <f aca="false">AL4912*$M4912</f>
        <v>0</v>
      </c>
      <c r="AN4912" s="28"/>
      <c r="AO4912" s="28" t="n">
        <f aca="false">AN4912*$M4912</f>
        <v>0</v>
      </c>
      <c r="AP4912" s="28"/>
      <c r="AQ4912" s="28" t="n">
        <f aca="false">AP4912*$M4912</f>
        <v>0</v>
      </c>
      <c r="AR4912" s="28"/>
      <c r="AS4912" s="28" t="n">
        <f aca="false">AR4912*$M4912</f>
        <v>0</v>
      </c>
      <c r="AT4912" s="28"/>
      <c r="AU4912" s="28" t="n">
        <f aca="false">AT4912*$M4912</f>
        <v>0</v>
      </c>
      <c r="AV4912" s="28"/>
      <c r="AW4912" s="28" t="n">
        <f aca="false">AV4912*$M4912</f>
        <v>0</v>
      </c>
      <c r="AX4912" s="28"/>
      <c r="AY4912" s="28" t="n">
        <f aca="false">AX4912*$M4912</f>
        <v>0</v>
      </c>
      <c r="AZ4912" s="30" t="n">
        <f aca="false">114*(288/62.5)+43/62.5</f>
        <v>526</v>
      </c>
      <c r="BA4912" s="11" t="n">
        <v>5260</v>
      </c>
      <c r="BB4912" s="31" t="n">
        <f aca="false">SUM(Q4912,S4912,U4912,W4912,Y4912,AA4912,AC4912,AE4912,AG4912,AI4912,AK4912,AM4912,AO4912,AQ4912,AS4912,AU4912,AW4912,AY4912)</f>
        <v>5260</v>
      </c>
      <c r="BC4912" s="28" t="n">
        <f aca="false">BA4912-BB4912</f>
        <v>0</v>
      </c>
      <c r="BD4912" s="32" t="n">
        <f aca="false">SUM(P4912,R4912,T4912,V4912,X4912,Z4912,AB4912,AD4912,AF4912,AH4912,AJ4912,AL4912,AN4912,AP4912,AR4912,AT4912,AV4912,AX4912)</f>
        <v>526</v>
      </c>
      <c r="BE4912" s="33" t="n">
        <f aca="false">AZ4912-BD4912</f>
        <v>0</v>
      </c>
      <c r="BF4912" s="34" t="n">
        <f aca="false">BD4912*M4912</f>
        <v>5260</v>
      </c>
      <c r="BG4912" s="35" t="n">
        <f aca="false">BA4912-BF4912</f>
        <v>0</v>
      </c>
      <c r="BH4912" s="19" t="str">
        <f aca="false">IF(BG4912=0,"",IF(BG4912&lt;&gt;BA4912,"erreur de calcul",IF(BD4912&lt;&gt;0,"pas de prix",IF(M4912&lt;&gt; 0,"pas de quantité","pas de prix, ni de quantité"))))</f>
        <v/>
      </c>
      <c r="BI4912" s="19"/>
    </row>
    <row r="4913" customFormat="false" ht="15" hidden="false" customHeight="false" outlineLevel="0" collapsed="false">
      <c r="A4913" s="0" t="n">
        <v>20</v>
      </c>
      <c r="B4913" s="8" t="s">
        <v>24</v>
      </c>
      <c r="C4913" s="9" t="s">
        <v>25</v>
      </c>
      <c r="D4913" s="9" t="s">
        <v>26</v>
      </c>
      <c r="E4913" s="10" t="n">
        <v>1789</v>
      </c>
      <c r="F4913" s="9" t="s">
        <v>27</v>
      </c>
      <c r="G4913" s="9" t="s">
        <v>27</v>
      </c>
      <c r="H4913" s="11" t="n">
        <v>27</v>
      </c>
      <c r="I4913" s="11" t="s">
        <v>433</v>
      </c>
      <c r="J4913" s="14"/>
      <c r="K4913" s="14" t="n">
        <v>14</v>
      </c>
      <c r="L4913" s="16"/>
      <c r="M4913" s="27" t="n">
        <f aca="false">J4913+(K4913/20)+(L4913/240)</f>
        <v>0.7</v>
      </c>
      <c r="N4913" s="17" t="s">
        <v>429</v>
      </c>
      <c r="O4913" s="11"/>
      <c r="P4913" s="28" t="n">
        <f aca="false">103*288+190</f>
        <v>29854</v>
      </c>
      <c r="Q4913" s="28" t="n">
        <v>20898</v>
      </c>
      <c r="R4913" s="28"/>
      <c r="S4913" s="28" t="n">
        <f aca="false">R4913*$M4913</f>
        <v>0</v>
      </c>
      <c r="T4913" s="28"/>
      <c r="U4913" s="28" t="n">
        <f aca="false">T4913*$M4913</f>
        <v>0</v>
      </c>
      <c r="V4913" s="28"/>
      <c r="W4913" s="28" t="n">
        <f aca="false">V4913*$M4913</f>
        <v>0</v>
      </c>
      <c r="X4913" s="28"/>
      <c r="Y4913" s="28" t="n">
        <f aca="false">X4913*$M4913</f>
        <v>0</v>
      </c>
      <c r="Z4913" s="28"/>
      <c r="AA4913" s="28" t="n">
        <f aca="false">Z4913*$M4913</f>
        <v>0</v>
      </c>
      <c r="AB4913" s="28"/>
      <c r="AC4913" s="28" t="n">
        <f aca="false">AB4913*$M4913</f>
        <v>0</v>
      </c>
      <c r="AD4913" s="28"/>
      <c r="AE4913" s="28" t="n">
        <f aca="false">AD4913*$M4913</f>
        <v>0</v>
      </c>
      <c r="AF4913" s="28"/>
      <c r="AG4913" s="28" t="n">
        <f aca="false">AF4913*$M4913</f>
        <v>0</v>
      </c>
      <c r="AH4913" s="28"/>
      <c r="AI4913" s="28" t="n">
        <f aca="false">AH4913*$M4913</f>
        <v>0</v>
      </c>
      <c r="AJ4913" s="28"/>
      <c r="AK4913" s="28" t="n">
        <f aca="false">AJ4913*$M4913</f>
        <v>0</v>
      </c>
      <c r="AL4913" s="28"/>
      <c r="AM4913" s="28" t="n">
        <f aca="false">AL4913*$M4913</f>
        <v>0</v>
      </c>
      <c r="AN4913" s="28"/>
      <c r="AO4913" s="28" t="n">
        <f aca="false">AN4913*$M4913</f>
        <v>0</v>
      </c>
      <c r="AP4913" s="28"/>
      <c r="AQ4913" s="28" t="n">
        <f aca="false">AP4913*$M4913</f>
        <v>0</v>
      </c>
      <c r="AR4913" s="28"/>
      <c r="AS4913" s="28" t="n">
        <f aca="false">AR4913*$M4913</f>
        <v>0</v>
      </c>
      <c r="AT4913" s="28"/>
      <c r="AU4913" s="28" t="n">
        <f aca="false">AT4913*$M4913</f>
        <v>0</v>
      </c>
      <c r="AV4913" s="28"/>
      <c r="AW4913" s="28" t="n">
        <f aca="false">AV4913*$M4913</f>
        <v>0</v>
      </c>
      <c r="AX4913" s="28"/>
      <c r="AY4913" s="28" t="n">
        <f aca="false">AX4913*$M4913</f>
        <v>0</v>
      </c>
      <c r="AZ4913" s="30" t="n">
        <f aca="false">103*288+190</f>
        <v>29854</v>
      </c>
      <c r="BA4913" s="11" t="n">
        <v>20898</v>
      </c>
      <c r="BB4913" s="31" t="n">
        <f aca="false">SUM(Q4913,S4913,U4913,W4913,Y4913,AA4913,AC4913,AE4913,AG4913,AI4913,AK4913,AM4913,AO4913,AQ4913,AS4913,AU4913,AW4913,AY4913)</f>
        <v>20898</v>
      </c>
      <c r="BC4913" s="28" t="n">
        <f aca="false">BA4913-BB4913</f>
        <v>0</v>
      </c>
      <c r="BD4913" s="32" t="n">
        <f aca="false">SUM(P4913,R4913,T4913,V4913,X4913,Z4913,AB4913,AD4913,AF4913,AH4913,AJ4913,AL4913,AN4913,AP4913,AR4913,AT4913,AV4913,AX4913)</f>
        <v>29854</v>
      </c>
      <c r="BE4913" s="33" t="n">
        <f aca="false">AZ4913-BD4913</f>
        <v>0</v>
      </c>
      <c r="BF4913" s="34" t="n">
        <f aca="false">BD4913*M4913</f>
        <v>20897.8</v>
      </c>
      <c r="BG4913" s="35" t="n">
        <f aca="false">BA4913-BF4913</f>
        <v>0.200000000000728</v>
      </c>
      <c r="BH4913" s="19" t="str">
        <f aca="false">IF(BG4913=0,"",IF(BG4913&lt;&gt;BA4913,"erreur de calcul",IF(BD4913&lt;&gt;0,"pas de prix",IF(M4913&lt;&gt; 0,"pas de quantité","pas de prix, ni de quantité"))))</f>
        <v>erreur de calcul</v>
      </c>
      <c r="BI4913" s="19"/>
    </row>
    <row r="4914" customFormat="false" ht="15" hidden="false" customHeight="false" outlineLevel="0" collapsed="false">
      <c r="A4914" s="0" t="n">
        <v>21</v>
      </c>
      <c r="B4914" s="8" t="s">
        <v>24</v>
      </c>
      <c r="C4914" s="9" t="s">
        <v>25</v>
      </c>
      <c r="D4914" s="9" t="s">
        <v>26</v>
      </c>
      <c r="E4914" s="10" t="n">
        <v>1789</v>
      </c>
      <c r="F4914" s="9" t="s">
        <v>27</v>
      </c>
      <c r="G4914" s="9" t="s">
        <v>27</v>
      </c>
      <c r="H4914" s="11" t="n">
        <v>27</v>
      </c>
      <c r="I4914" s="11" t="s">
        <v>434</v>
      </c>
      <c r="J4914" s="14"/>
      <c r="K4914" s="14" t="n">
        <v>5</v>
      </c>
      <c r="L4914" s="16"/>
      <c r="M4914" s="27" t="n">
        <f aca="false">J4914+(K4914/20)+(L4914/240)</f>
        <v>0.25</v>
      </c>
      <c r="N4914" s="17" t="s">
        <v>79</v>
      </c>
      <c r="O4914" s="11"/>
      <c r="P4914" s="28" t="n">
        <v>300402</v>
      </c>
      <c r="Q4914" s="28" t="n">
        <v>75100</v>
      </c>
      <c r="R4914" s="28"/>
      <c r="S4914" s="28" t="n">
        <f aca="false">R4914*$M4914</f>
        <v>0</v>
      </c>
      <c r="T4914" s="28"/>
      <c r="U4914" s="28" t="n">
        <f aca="false">T4914*$M4914</f>
        <v>0</v>
      </c>
      <c r="V4914" s="28" t="n">
        <v>448</v>
      </c>
      <c r="W4914" s="28" t="n">
        <v>112</v>
      </c>
      <c r="X4914" s="28"/>
      <c r="Y4914" s="28" t="n">
        <f aca="false">X4914*$M4914</f>
        <v>0</v>
      </c>
      <c r="Z4914" s="28"/>
      <c r="AA4914" s="28" t="n">
        <f aca="false">Z4914*$M4914</f>
        <v>0</v>
      </c>
      <c r="AB4914" s="28"/>
      <c r="AC4914" s="28" t="n">
        <f aca="false">AB4914*$M4914</f>
        <v>0</v>
      </c>
      <c r="AD4914" s="28"/>
      <c r="AE4914" s="28" t="n">
        <f aca="false">AD4914*$M4914</f>
        <v>0</v>
      </c>
      <c r="AF4914" s="28"/>
      <c r="AG4914" s="28" t="n">
        <f aca="false">AF4914*$M4914</f>
        <v>0</v>
      </c>
      <c r="AH4914" s="28"/>
      <c r="AI4914" s="28" t="n">
        <f aca="false">AH4914*$M4914</f>
        <v>0</v>
      </c>
      <c r="AJ4914" s="28"/>
      <c r="AK4914" s="28" t="n">
        <f aca="false">AJ4914*$M4914</f>
        <v>0</v>
      </c>
      <c r="AL4914" s="28"/>
      <c r="AM4914" s="28" t="n">
        <f aca="false">AL4914*$M4914</f>
        <v>0</v>
      </c>
      <c r="AN4914" s="28"/>
      <c r="AO4914" s="28" t="n">
        <f aca="false">AN4914*$M4914</f>
        <v>0</v>
      </c>
      <c r="AP4914" s="28"/>
      <c r="AQ4914" s="28" t="n">
        <f aca="false">AP4914*$M4914</f>
        <v>0</v>
      </c>
      <c r="AR4914" s="28"/>
      <c r="AS4914" s="28" t="n">
        <f aca="false">AR4914*$M4914</f>
        <v>0</v>
      </c>
      <c r="AT4914" s="28"/>
      <c r="AU4914" s="28" t="n">
        <f aca="false">AT4914*$M4914</f>
        <v>0</v>
      </c>
      <c r="AV4914" s="28"/>
      <c r="AW4914" s="28" t="n">
        <f aca="false">AV4914*$M4914</f>
        <v>0</v>
      </c>
      <c r="AX4914" s="28"/>
      <c r="AY4914" s="28" t="n">
        <f aca="false">AX4914*$M4914</f>
        <v>0</v>
      </c>
      <c r="AZ4914" s="30" t="n">
        <v>300850</v>
      </c>
      <c r="BA4914" s="11" t="n">
        <v>75212</v>
      </c>
      <c r="BB4914" s="31" t="n">
        <f aca="false">SUM(Q4914,S4914,U4914,W4914,Y4914,AA4914,AC4914,AE4914,AG4914,AI4914,AK4914,AM4914,AO4914,AQ4914,AS4914,AU4914,AW4914,AY4914)</f>
        <v>75212</v>
      </c>
      <c r="BC4914" s="28" t="n">
        <f aca="false">BA4914-BB4914</f>
        <v>0</v>
      </c>
      <c r="BD4914" s="32" t="n">
        <f aca="false">SUM(P4914,R4914,T4914,V4914,X4914,Z4914,AB4914,AD4914,AF4914,AH4914,AJ4914,AL4914,AN4914,AP4914,AR4914,AT4914,AV4914,AX4914)</f>
        <v>300850</v>
      </c>
      <c r="BE4914" s="33" t="n">
        <f aca="false">AZ4914-BD4914</f>
        <v>0</v>
      </c>
      <c r="BF4914" s="34" t="n">
        <f aca="false">BD4914*M4914</f>
        <v>75212.5</v>
      </c>
      <c r="BG4914" s="35" t="n">
        <f aca="false">BA4914-BF4914</f>
        <v>-0.5</v>
      </c>
      <c r="BH4914" s="19" t="str">
        <f aca="false">IF(BG4914=0,"",IF(BG4914&lt;&gt;BA4914,"erreur de calcul",IF(BD4914&lt;&gt;0,"pas de prix",IF(M4914&lt;&gt; 0,"pas de quantité","pas de prix, ni de quantité"))))</f>
        <v>erreur de calcul</v>
      </c>
      <c r="BI4914" s="19"/>
    </row>
    <row r="4915" customFormat="false" ht="78.4" hidden="false" customHeight="true" outlineLevel="0" collapsed="false">
      <c r="A4915" s="0" t="s">
        <v>31</v>
      </c>
      <c r="B4915" s="2" t="s">
        <v>0</v>
      </c>
      <c r="C4915" s="2" t="s">
        <v>1</v>
      </c>
      <c r="D4915" s="2" t="s">
        <v>2</v>
      </c>
      <c r="E4915" s="2" t="s">
        <v>3</v>
      </c>
      <c r="F4915" s="2" t="s">
        <v>4</v>
      </c>
      <c r="G4915" s="2" t="s">
        <v>5</v>
      </c>
      <c r="H4915" s="2" t="s">
        <v>6</v>
      </c>
      <c r="I4915" s="3" t="s">
        <v>7</v>
      </c>
      <c r="J4915" s="5" t="s">
        <v>12</v>
      </c>
      <c r="K4915" s="5" t="s">
        <v>13</v>
      </c>
      <c r="L4915" s="5" t="s">
        <v>14</v>
      </c>
      <c r="M4915" s="7" t="s">
        <v>15</v>
      </c>
      <c r="N4915" s="6" t="s">
        <v>32</v>
      </c>
      <c r="O4915" s="6" t="s">
        <v>33</v>
      </c>
      <c r="P4915" s="6" t="s">
        <v>34</v>
      </c>
      <c r="Q4915" s="6"/>
      <c r="R4915" s="6" t="s">
        <v>35</v>
      </c>
      <c r="S4915" s="6"/>
      <c r="T4915" s="6" t="s">
        <v>36</v>
      </c>
      <c r="U4915" s="6"/>
      <c r="V4915" s="6" t="s">
        <v>37</v>
      </c>
      <c r="W4915" s="6"/>
      <c r="X4915" s="6" t="s">
        <v>38</v>
      </c>
      <c r="Y4915" s="6"/>
      <c r="Z4915" s="6" t="s">
        <v>39</v>
      </c>
      <c r="AA4915" s="6"/>
      <c r="AB4915" s="6" t="s">
        <v>40</v>
      </c>
      <c r="AC4915" s="6"/>
      <c r="AD4915" s="6" t="s">
        <v>41</v>
      </c>
      <c r="AE4915" s="6"/>
      <c r="AF4915" s="6" t="s">
        <v>42</v>
      </c>
      <c r="AG4915" s="6"/>
      <c r="AH4915" s="6" t="s">
        <v>43</v>
      </c>
      <c r="AI4915" s="6"/>
      <c r="AJ4915" s="6" t="s">
        <v>44</v>
      </c>
      <c r="AK4915" s="6"/>
      <c r="AL4915" s="6" t="s">
        <v>45</v>
      </c>
      <c r="AM4915" s="6"/>
      <c r="AN4915" s="6" t="s">
        <v>46</v>
      </c>
      <c r="AO4915" s="6"/>
      <c r="AP4915" s="6" t="s">
        <v>47</v>
      </c>
      <c r="AQ4915" s="6"/>
      <c r="AR4915" s="6" t="s">
        <v>48</v>
      </c>
      <c r="AS4915" s="6"/>
      <c r="AT4915" s="6" t="s">
        <v>49</v>
      </c>
      <c r="AU4915" s="6"/>
      <c r="AV4915" s="6" t="s">
        <v>50</v>
      </c>
      <c r="AW4915" s="6"/>
      <c r="AX4915" s="6" t="s">
        <v>51</v>
      </c>
      <c r="AY4915" s="6"/>
      <c r="AZ4915" s="6" t="s">
        <v>52</v>
      </c>
      <c r="BA4915" s="6"/>
      <c r="BB4915" s="6"/>
      <c r="BC4915" s="6"/>
      <c r="BD4915" s="6" t="s">
        <v>53</v>
      </c>
      <c r="BE4915" s="6" t="s">
        <v>54</v>
      </c>
      <c r="BF4915" s="6" t="s">
        <v>55</v>
      </c>
      <c r="BG4915" s="6" t="s">
        <v>56</v>
      </c>
      <c r="BH4915" s="6" t="s">
        <v>57</v>
      </c>
      <c r="BI4915" s="6" t="s">
        <v>23</v>
      </c>
    </row>
    <row r="4916" customFormat="false" ht="15" hidden="false" customHeight="false" outlineLevel="0" collapsed="false">
      <c r="B4916" s="20"/>
      <c r="C4916" s="20"/>
      <c r="D4916" s="20"/>
      <c r="E4916" s="21"/>
      <c r="F4916" s="20"/>
      <c r="G4916" s="20"/>
      <c r="H4916" s="20"/>
      <c r="I4916" s="22"/>
      <c r="J4916" s="23"/>
      <c r="K4916" s="23"/>
      <c r="L4916" s="24"/>
      <c r="M4916" s="25"/>
      <c r="N4916" s="25"/>
      <c r="O4916" s="26" t="s">
        <v>58</v>
      </c>
      <c r="P4916" s="25" t="s">
        <v>59</v>
      </c>
      <c r="Q4916" s="25" t="s">
        <v>60</v>
      </c>
      <c r="R4916" s="25" t="s">
        <v>59</v>
      </c>
      <c r="S4916" s="25" t="s">
        <v>60</v>
      </c>
      <c r="T4916" s="25" t="s">
        <v>59</v>
      </c>
      <c r="U4916" s="25" t="s">
        <v>60</v>
      </c>
      <c r="V4916" s="25" t="s">
        <v>59</v>
      </c>
      <c r="W4916" s="25" t="s">
        <v>60</v>
      </c>
      <c r="X4916" s="25" t="s">
        <v>59</v>
      </c>
      <c r="Y4916" s="25" t="s">
        <v>60</v>
      </c>
      <c r="Z4916" s="25" t="s">
        <v>59</v>
      </c>
      <c r="AA4916" s="25" t="s">
        <v>60</v>
      </c>
      <c r="AB4916" s="25" t="s">
        <v>59</v>
      </c>
      <c r="AC4916" s="25" t="s">
        <v>60</v>
      </c>
      <c r="AD4916" s="25" t="s">
        <v>59</v>
      </c>
      <c r="AE4916" s="25" t="s">
        <v>60</v>
      </c>
      <c r="AF4916" s="25" t="s">
        <v>59</v>
      </c>
      <c r="AG4916" s="25" t="s">
        <v>60</v>
      </c>
      <c r="AH4916" s="25" t="s">
        <v>59</v>
      </c>
      <c r="AI4916" s="25" t="s">
        <v>60</v>
      </c>
      <c r="AJ4916" s="25" t="s">
        <v>59</v>
      </c>
      <c r="AK4916" s="25" t="s">
        <v>60</v>
      </c>
      <c r="AL4916" s="25" t="s">
        <v>59</v>
      </c>
      <c r="AM4916" s="25" t="s">
        <v>60</v>
      </c>
      <c r="AN4916" s="25" t="s">
        <v>59</v>
      </c>
      <c r="AO4916" s="25" t="s">
        <v>60</v>
      </c>
      <c r="AP4916" s="25" t="s">
        <v>59</v>
      </c>
      <c r="AQ4916" s="25" t="s">
        <v>60</v>
      </c>
      <c r="AR4916" s="25" t="s">
        <v>59</v>
      </c>
      <c r="AS4916" s="25" t="s">
        <v>60</v>
      </c>
      <c r="AT4916" s="25" t="s">
        <v>59</v>
      </c>
      <c r="AU4916" s="25" t="s">
        <v>60</v>
      </c>
      <c r="AV4916" s="25" t="s">
        <v>59</v>
      </c>
      <c r="AW4916" s="25" t="s">
        <v>60</v>
      </c>
      <c r="AX4916" s="25" t="s">
        <v>59</v>
      </c>
      <c r="AY4916" s="25" t="s">
        <v>60</v>
      </c>
      <c r="AZ4916" s="25" t="s">
        <v>59</v>
      </c>
      <c r="BA4916" s="25" t="s">
        <v>60</v>
      </c>
      <c r="BB4916" s="25" t="s">
        <v>61</v>
      </c>
      <c r="BC4916" s="25" t="s">
        <v>62</v>
      </c>
      <c r="BD4916" s="20"/>
      <c r="BE4916" s="20"/>
      <c r="BF4916" s="20"/>
      <c r="BG4916" s="20"/>
      <c r="BH4916" s="20"/>
      <c r="BI4916" s="20"/>
    </row>
    <row r="4917" customFormat="false" ht="15" hidden="false" customHeight="false" outlineLevel="0" collapsed="false">
      <c r="A4917" s="0" t="n">
        <v>1</v>
      </c>
      <c r="B4917" s="8" t="s">
        <v>24</v>
      </c>
      <c r="C4917" s="9" t="s">
        <v>25</v>
      </c>
      <c r="D4917" s="9" t="s">
        <v>26</v>
      </c>
      <c r="E4917" s="10" t="n">
        <v>1789</v>
      </c>
      <c r="F4917" s="9" t="s">
        <v>27</v>
      </c>
      <c r="G4917" s="9" t="s">
        <v>27</v>
      </c>
      <c r="H4917" s="11" t="n">
        <v>18</v>
      </c>
      <c r="I4917" s="11" t="s">
        <v>63</v>
      </c>
      <c r="J4917" s="14" t="n">
        <v>27</v>
      </c>
      <c r="K4917" s="14"/>
      <c r="L4917" s="16"/>
      <c r="M4917" s="27" t="n">
        <f aca="false">J4917+(K4917/20)+(L4917/240)</f>
        <v>27</v>
      </c>
      <c r="N4917" s="17" t="s">
        <v>64</v>
      </c>
      <c r="O4917" s="11"/>
      <c r="P4917" s="28"/>
      <c r="Q4917" s="28" t="n">
        <f aca="false">P4917*$M4917</f>
        <v>0</v>
      </c>
      <c r="R4917" s="28"/>
      <c r="S4917" s="28" t="n">
        <f aca="false">R4917*$M4917</f>
        <v>0</v>
      </c>
      <c r="T4917" s="28"/>
      <c r="U4917" s="28" t="n">
        <f aca="false">T4917*$M4917</f>
        <v>0</v>
      </c>
      <c r="V4917" s="28" t="n">
        <f aca="false">700/100</f>
        <v>7</v>
      </c>
      <c r="W4917" s="28" t="n">
        <v>189</v>
      </c>
      <c r="X4917" s="29"/>
      <c r="Y4917" s="28" t="n">
        <v>9506</v>
      </c>
      <c r="Z4917" s="28"/>
      <c r="AA4917" s="28" t="n">
        <f aca="false">Z4917*$M4917</f>
        <v>0</v>
      </c>
      <c r="AB4917" s="28"/>
      <c r="AC4917" s="28" t="n">
        <f aca="false">AB4917*$M4917</f>
        <v>0</v>
      </c>
      <c r="AD4917" s="28"/>
      <c r="AE4917" s="28" t="n">
        <f aca="false">AD4917*$M4917</f>
        <v>0</v>
      </c>
      <c r="AF4917" s="28"/>
      <c r="AG4917" s="28" t="n">
        <f aca="false">AF4917*$M4917</f>
        <v>0</v>
      </c>
      <c r="AH4917" s="28"/>
      <c r="AI4917" s="28" t="n">
        <f aca="false">AH4917*$M4917</f>
        <v>0</v>
      </c>
      <c r="AJ4917" s="28" t="n">
        <f aca="false">72509/100</f>
        <v>725.09</v>
      </c>
      <c r="AK4917" s="28" t="n">
        <v>19577</v>
      </c>
      <c r="AL4917" s="28"/>
      <c r="AM4917" s="28" t="n">
        <f aca="false">AL4917*$M4917</f>
        <v>0</v>
      </c>
      <c r="AN4917" s="28"/>
      <c r="AO4917" s="28" t="n">
        <f aca="false">AN4917*$M4917</f>
        <v>0</v>
      </c>
      <c r="AP4917" s="28"/>
      <c r="AQ4917" s="28" t="n">
        <f aca="false">AP4917*$M4917</f>
        <v>0</v>
      </c>
      <c r="AR4917" s="28" t="n">
        <f aca="false">36750/100</f>
        <v>367.5</v>
      </c>
      <c r="AS4917" s="28" t="n">
        <v>9922</v>
      </c>
      <c r="AT4917" s="28"/>
      <c r="AU4917" s="28" t="n">
        <f aca="false">AT4917*$M4917</f>
        <v>0</v>
      </c>
      <c r="AV4917" s="28"/>
      <c r="AW4917" s="28" t="n">
        <f aca="false">AV4917*$M4917</f>
        <v>0</v>
      </c>
      <c r="AX4917" s="28"/>
      <c r="AY4917" s="28" t="n">
        <f aca="false">AX4917*$M4917</f>
        <v>0</v>
      </c>
      <c r="AZ4917" s="30" t="n">
        <f aca="false">145166/100</f>
        <v>1451.66</v>
      </c>
      <c r="BA4917" s="11" t="n">
        <v>39194</v>
      </c>
      <c r="BB4917" s="31" t="n">
        <f aca="false">SUM(Q4917,S4917,U4917,W4917,Y4917,AA4917,AC4917,AE4917,AG4917,AI4917,AK4917,AM4917,AO4917,AQ4917,AS4917,AU4917,AW4917,AY4917)</f>
        <v>39194</v>
      </c>
      <c r="BC4917" s="28" t="n">
        <f aca="false">BA4917-BB4917</f>
        <v>0</v>
      </c>
      <c r="BD4917" s="32" t="n">
        <f aca="false">SUM(P4917,R4917,T4917,V4917,X4917,Z4917,AB4917,AD4917,AF4917,AH4917,AJ4917,AL4917,AN4917,AP4917,AR4917,AT4917,AV4917,AX4917)</f>
        <v>1099.59</v>
      </c>
      <c r="BE4917" s="33" t="n">
        <f aca="false">AZ4917-BD4917</f>
        <v>352.07</v>
      </c>
      <c r="BF4917" s="34" t="n">
        <f aca="false">BD4917*M4917</f>
        <v>29688.93</v>
      </c>
      <c r="BG4917" s="35" t="n">
        <f aca="false">BA4917-BF4917</f>
        <v>9505.07</v>
      </c>
      <c r="BH4917" s="19" t="str">
        <f aca="false">IF(BG4917=0,"",IF(BG4917&lt;&gt;BA4917,"erreur de calcul",IF(BD4917&lt;&gt;0,"pas de prix",IF(M4917&lt;&gt; 0,"pas de quantité","pas de prix, ni de quantité"))))</f>
        <v>erreur de calcul</v>
      </c>
      <c r="BI4917" s="19"/>
    </row>
    <row r="4918" customFormat="false" ht="15" hidden="false" customHeight="false" outlineLevel="0" collapsed="false">
      <c r="A4918" s="0" t="n">
        <v>2</v>
      </c>
      <c r="B4918" s="8" t="s">
        <v>24</v>
      </c>
      <c r="C4918" s="9" t="s">
        <v>25</v>
      </c>
      <c r="D4918" s="9" t="s">
        <v>26</v>
      </c>
      <c r="E4918" s="10" t="n">
        <v>1789</v>
      </c>
      <c r="F4918" s="9" t="s">
        <v>27</v>
      </c>
      <c r="G4918" s="9" t="s">
        <v>27</v>
      </c>
      <c r="H4918" s="11" t="n">
        <v>18</v>
      </c>
      <c r="I4918" s="11" t="s">
        <v>65</v>
      </c>
      <c r="J4918" s="14"/>
      <c r="K4918" s="14" t="n">
        <v>20</v>
      </c>
      <c r="L4918" s="16"/>
      <c r="M4918" s="27" t="n">
        <f aca="false">J4918+(K4918/20)+(L4918/240)</f>
        <v>1</v>
      </c>
      <c r="N4918" s="17" t="s">
        <v>66</v>
      </c>
      <c r="O4918" s="11"/>
      <c r="P4918" s="28"/>
      <c r="Q4918" s="28" t="n">
        <f aca="false">P4918*$M4918</f>
        <v>0</v>
      </c>
      <c r="R4918" s="28"/>
      <c r="S4918" s="28" t="n">
        <f aca="false">R4918*$M4918</f>
        <v>0</v>
      </c>
      <c r="T4918" s="28"/>
      <c r="U4918" s="28" t="n">
        <f aca="false">T4918*$M4918</f>
        <v>0</v>
      </c>
      <c r="V4918" s="28" t="n">
        <v>2365</v>
      </c>
      <c r="W4918" s="28" t="n">
        <v>2365</v>
      </c>
      <c r="X4918" s="29" t="n">
        <v>234</v>
      </c>
      <c r="Y4918" s="28" t="n">
        <v>234</v>
      </c>
      <c r="Z4918" s="28"/>
      <c r="AA4918" s="28" t="n">
        <f aca="false">Z4918*$M4918</f>
        <v>0</v>
      </c>
      <c r="AB4918" s="28" t="n">
        <v>17776</v>
      </c>
      <c r="AC4918" s="28" t="n">
        <v>17776</v>
      </c>
      <c r="AD4918" s="28"/>
      <c r="AE4918" s="28" t="n">
        <f aca="false">AD4918*$M4918</f>
        <v>0</v>
      </c>
      <c r="AF4918" s="28"/>
      <c r="AG4918" s="28" t="n">
        <f aca="false">AF4918*$M4918</f>
        <v>0</v>
      </c>
      <c r="AH4918" s="28"/>
      <c r="AI4918" s="28" t="n">
        <f aca="false">AH4918*$M4918</f>
        <v>0</v>
      </c>
      <c r="AJ4918" s="28"/>
      <c r="AK4918" s="28" t="n">
        <f aca="false">AJ4918*$M4918</f>
        <v>0</v>
      </c>
      <c r="AL4918" s="28"/>
      <c r="AM4918" s="28" t="n">
        <f aca="false">AL4918*$M4918</f>
        <v>0</v>
      </c>
      <c r="AN4918" s="28"/>
      <c r="AO4918" s="28" t="n">
        <f aca="false">AN4918*$M4918</f>
        <v>0</v>
      </c>
      <c r="AP4918" s="28"/>
      <c r="AQ4918" s="28" t="n">
        <f aca="false">AP4918*$M4918</f>
        <v>0</v>
      </c>
      <c r="AR4918" s="28"/>
      <c r="AS4918" s="28" t="n">
        <f aca="false">AR4918*$M4918</f>
        <v>0</v>
      </c>
      <c r="AT4918" s="28"/>
      <c r="AU4918" s="28" t="n">
        <f aca="false">AT4918*$M4918</f>
        <v>0</v>
      </c>
      <c r="AV4918" s="28"/>
      <c r="AW4918" s="28" t="n">
        <f aca="false">AV4918*$M4918</f>
        <v>0</v>
      </c>
      <c r="AX4918" s="28"/>
      <c r="AY4918" s="28" t="n">
        <f aca="false">AX4918*$M4918</f>
        <v>0</v>
      </c>
      <c r="AZ4918" s="30" t="n">
        <v>20375</v>
      </c>
      <c r="BA4918" s="11" t="n">
        <v>20375</v>
      </c>
      <c r="BB4918" s="31" t="n">
        <f aca="false">SUM(Q4918,S4918,U4918,W4918,Y4918,AA4918,AC4918,AE4918,AG4918,AI4918,AK4918,AM4918,AO4918,AQ4918,AS4918,AU4918,AW4918,AY4918)</f>
        <v>20375</v>
      </c>
      <c r="BC4918" s="28" t="n">
        <f aca="false">BA4918-BB4918</f>
        <v>0</v>
      </c>
      <c r="BD4918" s="32" t="n">
        <f aca="false">SUM(P4918,R4918,T4918,V4918,X4918,Z4918,AB4918,AD4918,AF4918,AH4918,AJ4918,AL4918,AN4918,AP4918,AR4918,AT4918,AV4918,AX4918)</f>
        <v>20375</v>
      </c>
      <c r="BE4918" s="33" t="n">
        <f aca="false">AZ4918-BD4918</f>
        <v>0</v>
      </c>
      <c r="BF4918" s="34" t="n">
        <f aca="false">BD4918*M4918</f>
        <v>20375</v>
      </c>
      <c r="BG4918" s="35" t="n">
        <f aca="false">BA4918-BF4918</f>
        <v>0</v>
      </c>
      <c r="BH4918" s="19" t="str">
        <f aca="false">IF(BG4918=0,"",IF(BG4918&lt;&gt;BA4918,"erreur de calcul",IF(BD4918&lt;&gt;0,"pas de prix",IF(M4918&lt;&gt; 0,"pas de quantité","pas de prix, ni de quantité"))))</f>
        <v/>
      </c>
      <c r="BI4918" s="19"/>
    </row>
    <row r="4919" customFormat="false" ht="15" hidden="false" customHeight="false" outlineLevel="0" collapsed="false">
      <c r="A4919" s="0" t="n">
        <v>3</v>
      </c>
      <c r="B4919" s="8" t="s">
        <v>24</v>
      </c>
      <c r="C4919" s="9" t="s">
        <v>25</v>
      </c>
      <c r="D4919" s="9" t="s">
        <v>26</v>
      </c>
      <c r="E4919" s="10" t="n">
        <v>1789</v>
      </c>
      <c r="F4919" s="9" t="s">
        <v>27</v>
      </c>
      <c r="G4919" s="9" t="s">
        <v>27</v>
      </c>
      <c r="H4919" s="11" t="n">
        <v>18</v>
      </c>
      <c r="I4919" s="11" t="s">
        <v>67</v>
      </c>
      <c r="J4919" s="14" t="n">
        <v>56</v>
      </c>
      <c r="K4919" s="14"/>
      <c r="L4919" s="16"/>
      <c r="M4919" s="27" t="n">
        <f aca="false">J4919+(K4919/20)+(L4919/240)</f>
        <v>56</v>
      </c>
      <c r="N4919" s="17" t="s">
        <v>64</v>
      </c>
      <c r="O4919" s="11"/>
      <c r="P4919" s="28" t="n">
        <f aca="false">27159/100</f>
        <v>271.59</v>
      </c>
      <c r="Q4919" s="28" t="n">
        <v>15209</v>
      </c>
      <c r="R4919" s="28"/>
      <c r="S4919" s="28" t="n">
        <f aca="false">R4919*$M4919</f>
        <v>0</v>
      </c>
      <c r="T4919" s="28" t="n">
        <f aca="false">1044/100</f>
        <v>10.44</v>
      </c>
      <c r="U4919" s="28" t="n">
        <v>585</v>
      </c>
      <c r="V4919" s="28" t="n">
        <f aca="false">1838/100</f>
        <v>18.38</v>
      </c>
      <c r="W4919" s="36" t="n">
        <v>4557</v>
      </c>
      <c r="X4919" s="29"/>
      <c r="Y4919" s="28" t="n">
        <v>2566</v>
      </c>
      <c r="Z4919" s="28"/>
      <c r="AA4919" s="28" t="n">
        <f aca="false">Z4919*$M4919</f>
        <v>0</v>
      </c>
      <c r="AB4919" s="28" t="n">
        <f aca="false">17833/100</f>
        <v>178.33</v>
      </c>
      <c r="AC4919" s="28" t="n">
        <v>9986</v>
      </c>
      <c r="AD4919" s="28"/>
      <c r="AE4919" s="28" t="n">
        <f aca="false">AD4919*$M4919</f>
        <v>0</v>
      </c>
      <c r="AF4919" s="28" t="n">
        <f aca="false">30595/100</f>
        <v>305.95</v>
      </c>
      <c r="AG4919" s="28" t="n">
        <v>17133</v>
      </c>
      <c r="AH4919" s="28"/>
      <c r="AI4919" s="28" t="n">
        <f aca="false">AH4919*$M4919</f>
        <v>0</v>
      </c>
      <c r="AJ4919" s="28"/>
      <c r="AK4919" s="28" t="n">
        <f aca="false">AJ4919*$M4919</f>
        <v>0</v>
      </c>
      <c r="AL4919" s="28"/>
      <c r="AM4919" s="28" t="n">
        <f aca="false">AL4919*$M4919</f>
        <v>0</v>
      </c>
      <c r="AN4919" s="28"/>
      <c r="AO4919" s="28" t="n">
        <f aca="false">AN4919*$M4919</f>
        <v>0</v>
      </c>
      <c r="AP4919" s="28"/>
      <c r="AQ4919" s="28" t="n">
        <f aca="false">AP4919*$M4919</f>
        <v>0</v>
      </c>
      <c r="AR4919" s="28"/>
      <c r="AS4919" s="28" t="n">
        <f aca="false">AR4919*$M4919</f>
        <v>0</v>
      </c>
      <c r="AT4919" s="28"/>
      <c r="AU4919" s="28" t="n">
        <f aca="false">AT4919*$M4919</f>
        <v>0</v>
      </c>
      <c r="AV4919" s="28"/>
      <c r="AW4919" s="28" t="n">
        <f aca="false">AV4919*$M4919</f>
        <v>0</v>
      </c>
      <c r="AX4919" s="28"/>
      <c r="AY4919" s="28" t="n">
        <f aca="false">AX4919*$M4919</f>
        <v>0</v>
      </c>
      <c r="AZ4919" s="30" t="n">
        <f aca="false">83051/100</f>
        <v>830.51</v>
      </c>
      <c r="BA4919" s="11" t="n">
        <v>50036</v>
      </c>
      <c r="BB4919" s="31" t="n">
        <f aca="false">SUM(Q4919,S4919,U4919,W4919,Y4919,AA4919,AC4919,AE4919,AG4919,AI4919,AK4919,AM4919,AO4919,AQ4919,AS4919,AU4919,AW4919,AY4919)</f>
        <v>50036</v>
      </c>
      <c r="BC4919" s="28" t="n">
        <f aca="false">BA4919-BB4919</f>
        <v>0</v>
      </c>
      <c r="BD4919" s="32" t="n">
        <f aca="false">SUM(P4919,R4919,T4919,V4919,X4919,Z4919,AB4919,AD4919,AF4919,AH4919,AJ4919,AL4919,AN4919,AP4919,AR4919,AT4919,AV4919,AX4919)</f>
        <v>784.69</v>
      </c>
      <c r="BE4919" s="33" t="n">
        <f aca="false">AZ4919-BD4919</f>
        <v>45.8199999999999</v>
      </c>
      <c r="BF4919" s="34" t="n">
        <f aca="false">BD4919*M4919</f>
        <v>43942.64</v>
      </c>
      <c r="BG4919" s="35" t="n">
        <f aca="false">BA4919-BF4919</f>
        <v>6093.36</v>
      </c>
      <c r="BH4919" s="19" t="str">
        <f aca="false">IF(BG4919=0,"",IF(BG4919&lt;&gt;BA4919,"erreur de calcul",IF(BD4919&lt;&gt;0,"pas de prix",IF(M4919&lt;&gt; 0,"pas de quantité","pas de prix, ni de quantité"))))</f>
        <v>erreur de calcul</v>
      </c>
      <c r="BI4919" s="19"/>
    </row>
    <row r="4920" customFormat="false" ht="15" hidden="false" customHeight="false" outlineLevel="0" collapsed="false">
      <c r="A4920" s="0" t="n">
        <v>4</v>
      </c>
      <c r="B4920" s="8" t="s">
        <v>24</v>
      </c>
      <c r="C4920" s="9" t="s">
        <v>25</v>
      </c>
      <c r="D4920" s="9" t="s">
        <v>26</v>
      </c>
      <c r="E4920" s="10" t="n">
        <v>1789</v>
      </c>
      <c r="F4920" s="9" t="s">
        <v>27</v>
      </c>
      <c r="G4920" s="9" t="s">
        <v>27</v>
      </c>
      <c r="H4920" s="11" t="n">
        <v>18</v>
      </c>
      <c r="I4920" s="11" t="s">
        <v>68</v>
      </c>
      <c r="J4920" s="14"/>
      <c r="K4920" s="14" t="n">
        <v>30</v>
      </c>
      <c r="L4920" s="16"/>
      <c r="M4920" s="27" t="n">
        <f aca="false">J4920+(K4920/20)+(L4920/240)</f>
        <v>1.5</v>
      </c>
      <c r="N4920" s="17" t="s">
        <v>69</v>
      </c>
      <c r="O4920" s="11"/>
      <c r="P4920" s="28" t="n">
        <v>5460</v>
      </c>
      <c r="Q4920" s="28" t="n">
        <v>8190</v>
      </c>
      <c r="R4920" s="28"/>
      <c r="S4920" s="28" t="n">
        <f aca="false">R4920*$M4920</f>
        <v>0</v>
      </c>
      <c r="T4920" s="28"/>
      <c r="U4920" s="28" t="n">
        <f aca="false">T4920*$M4920</f>
        <v>0</v>
      </c>
      <c r="V4920" s="28" t="n">
        <v>1061</v>
      </c>
      <c r="W4920" s="28" t="n">
        <v>1591</v>
      </c>
      <c r="X4920" s="29"/>
      <c r="Y4920" s="28" t="n">
        <v>5766</v>
      </c>
      <c r="Z4920" s="28"/>
      <c r="AA4920" s="28" t="n">
        <f aca="false">Z4920*$M4920</f>
        <v>0</v>
      </c>
      <c r="AB4920" s="28"/>
      <c r="AC4920" s="28" t="n">
        <f aca="false">AB4920*$M4920</f>
        <v>0</v>
      </c>
      <c r="AD4920" s="28"/>
      <c r="AE4920" s="28" t="n">
        <f aca="false">AD4920*$M4920</f>
        <v>0</v>
      </c>
      <c r="AF4920" s="28"/>
      <c r="AG4920" s="28" t="n">
        <f aca="false">AF4920*$M4920</f>
        <v>0</v>
      </c>
      <c r="AH4920" s="28"/>
      <c r="AI4920" s="28" t="n">
        <f aca="false">AH4920*$M4920</f>
        <v>0</v>
      </c>
      <c r="AJ4920" s="28"/>
      <c r="AK4920" s="28" t="n">
        <f aca="false">AJ4920*$M4920</f>
        <v>0</v>
      </c>
      <c r="AL4920" s="28"/>
      <c r="AM4920" s="28" t="n">
        <f aca="false">AL4920*$M4920</f>
        <v>0</v>
      </c>
      <c r="AN4920" s="28"/>
      <c r="AO4920" s="28" t="n">
        <f aca="false">AN4920*$M4920</f>
        <v>0</v>
      </c>
      <c r="AP4920" s="28"/>
      <c r="AQ4920" s="28" t="n">
        <f aca="false">AP4920*$M4920</f>
        <v>0</v>
      </c>
      <c r="AR4920" s="28"/>
      <c r="AS4920" s="28" t="n">
        <f aca="false">AR4920*$M4920</f>
        <v>0</v>
      </c>
      <c r="AT4920" s="28"/>
      <c r="AU4920" s="28" t="n">
        <f aca="false">AT4920*$M4920</f>
        <v>0</v>
      </c>
      <c r="AV4920" s="28"/>
      <c r="AW4920" s="28" t="n">
        <f aca="false">AV4920*$M4920</f>
        <v>0</v>
      </c>
      <c r="AX4920" s="28"/>
      <c r="AY4920" s="28" t="n">
        <f aca="false">AX4920*$M4920</f>
        <v>0</v>
      </c>
      <c r="AZ4920" s="30" t="n">
        <v>10365</v>
      </c>
      <c r="BA4920" s="11" t="n">
        <v>15547</v>
      </c>
      <c r="BB4920" s="31" t="n">
        <f aca="false">SUM(Q4920,S4920,U4920,W4920,Y4920,AA4920,AC4920,AE4920,AG4920,AI4920,AK4920,AM4920,AO4920,AQ4920,AS4920,AU4920,AW4920,AY4920)</f>
        <v>15547</v>
      </c>
      <c r="BC4920" s="28" t="n">
        <f aca="false">BA4920-BB4920</f>
        <v>0</v>
      </c>
      <c r="BD4920" s="32" t="n">
        <f aca="false">SUM(P4920,R4920,T4920,V4920,X4920,Z4920,AB4920,AD4920,AF4920,AH4920,AJ4920,AL4920,AN4920,AP4920,AR4920,AT4920,AV4920,AX4920)</f>
        <v>6521</v>
      </c>
      <c r="BE4920" s="33" t="n">
        <f aca="false">AZ4920-BD4920</f>
        <v>3844</v>
      </c>
      <c r="BF4920" s="34" t="n">
        <f aca="false">BD4920*M4920</f>
        <v>9781.5</v>
      </c>
      <c r="BG4920" s="35" t="n">
        <f aca="false">BA4920-BF4920</f>
        <v>5765.5</v>
      </c>
      <c r="BH4920" s="19" t="str">
        <f aca="false">IF(BG4920=0,"",IF(BG4920&lt;&gt;BA4920,"erreur de calcul",IF(BD4920&lt;&gt;0,"pas de prix",IF(M4920&lt;&gt; 0,"pas de quantité","pas de prix, ni de quantité"))))</f>
        <v>erreur de calcul</v>
      </c>
      <c r="BI4920" s="19"/>
    </row>
    <row r="4921" customFormat="false" ht="15" hidden="false" customHeight="false" outlineLevel="0" collapsed="false">
      <c r="A4921" s="0" t="n">
        <v>5</v>
      </c>
      <c r="B4921" s="8" t="s">
        <v>24</v>
      </c>
      <c r="C4921" s="9" t="s">
        <v>25</v>
      </c>
      <c r="D4921" s="9" t="s">
        <v>26</v>
      </c>
      <c r="E4921" s="10" t="n">
        <v>1789</v>
      </c>
      <c r="F4921" s="9" t="s">
        <v>27</v>
      </c>
      <c r="G4921" s="9" t="s">
        <v>27</v>
      </c>
      <c r="H4921" s="11" t="n">
        <v>18</v>
      </c>
      <c r="I4921" s="11" t="s">
        <v>70</v>
      </c>
      <c r="J4921" s="14" t="n">
        <v>190</v>
      </c>
      <c r="K4921" s="14"/>
      <c r="L4921" s="16"/>
      <c r="M4921" s="27" t="n">
        <f aca="false">J4921+(K4921/20)+(L4921/240)</f>
        <v>190</v>
      </c>
      <c r="N4921" s="17" t="s">
        <v>64</v>
      </c>
      <c r="O4921" s="11"/>
      <c r="P4921" s="28"/>
      <c r="Q4921" s="28" t="n">
        <f aca="false">P4921*$M4921</f>
        <v>0</v>
      </c>
      <c r="R4921" s="28" t="n">
        <f aca="false">22283/100</f>
        <v>222.83</v>
      </c>
      <c r="S4921" s="28" t="n">
        <v>42338</v>
      </c>
      <c r="T4921" s="28" t="n">
        <f aca="false">1289/100</f>
        <v>12.89</v>
      </c>
      <c r="U4921" s="28" t="n">
        <v>2449</v>
      </c>
      <c r="V4921" s="28"/>
      <c r="W4921" s="28" t="n">
        <f aca="false">V4921*$M4921</f>
        <v>0</v>
      </c>
      <c r="X4921" s="29"/>
      <c r="Y4921" s="28" t="n">
        <f aca="false">X4921*$M4921</f>
        <v>0</v>
      </c>
      <c r="Z4921" s="28"/>
      <c r="AA4921" s="28" t="n">
        <f aca="false">Z4921*$M4921</f>
        <v>0</v>
      </c>
      <c r="AB4921" s="28"/>
      <c r="AC4921" s="28" t="n">
        <f aca="false">AB4921*$M4921</f>
        <v>0</v>
      </c>
      <c r="AD4921" s="28"/>
      <c r="AE4921" s="28" t="n">
        <f aca="false">AD4921*$M4921</f>
        <v>0</v>
      </c>
      <c r="AF4921" s="28"/>
      <c r="AG4921" s="28" t="n">
        <f aca="false">AF4921*$M4921</f>
        <v>0</v>
      </c>
      <c r="AH4921" s="28"/>
      <c r="AI4921" s="28" t="n">
        <f aca="false">AH4921*$M4921</f>
        <v>0</v>
      </c>
      <c r="AJ4921" s="28"/>
      <c r="AK4921" s="28" t="n">
        <f aca="false">AJ4921*$M4921</f>
        <v>0</v>
      </c>
      <c r="AL4921" s="28"/>
      <c r="AM4921" s="28" t="n">
        <f aca="false">AL4921*$M4921</f>
        <v>0</v>
      </c>
      <c r="AN4921" s="28"/>
      <c r="AO4921" s="28" t="n">
        <f aca="false">AN4921*$M4921</f>
        <v>0</v>
      </c>
      <c r="AP4921" s="28"/>
      <c r="AQ4921" s="28" t="n">
        <f aca="false">AP4921*$M4921</f>
        <v>0</v>
      </c>
      <c r="AR4921" s="28"/>
      <c r="AS4921" s="28" t="n">
        <f aca="false">AR4921*$M4921</f>
        <v>0</v>
      </c>
      <c r="AT4921" s="28"/>
      <c r="AU4921" s="28" t="n">
        <f aca="false">AT4921*$M4921</f>
        <v>0</v>
      </c>
      <c r="AV4921" s="28"/>
      <c r="AW4921" s="28" t="n">
        <f aca="false">AV4921*$M4921</f>
        <v>0</v>
      </c>
      <c r="AX4921" s="28"/>
      <c r="AY4921" s="28" t="n">
        <f aca="false">AX4921*$M4921</f>
        <v>0</v>
      </c>
      <c r="AZ4921" s="30" t="n">
        <f aca="false">23572/100</f>
        <v>235.72</v>
      </c>
      <c r="BA4921" s="11" t="n">
        <v>44787</v>
      </c>
      <c r="BB4921" s="31" t="n">
        <f aca="false">SUM(Q4921,S4921,U4921,W4921,Y4921,AA4921,AC4921,AE4921,AG4921,AI4921,AK4921,AM4921,AO4921,AQ4921,AS4921,AU4921,AW4921,AY4921)</f>
        <v>44787</v>
      </c>
      <c r="BC4921" s="28" t="n">
        <f aca="false">BA4921-BB4921</f>
        <v>0</v>
      </c>
      <c r="BD4921" s="32" t="n">
        <f aca="false">SUM(P4921,R4921,T4921,V4921,X4921,Z4921,AB4921,AD4921,AF4921,AH4921,AJ4921,AL4921,AN4921,AP4921,AR4921,AT4921,AV4921,AX4921)</f>
        <v>235.72</v>
      </c>
      <c r="BE4921" s="33" t="n">
        <f aca="false">AZ4921-BD4921</f>
        <v>0</v>
      </c>
      <c r="BF4921" s="34" t="n">
        <f aca="false">BD4921*M4921</f>
        <v>44786.8</v>
      </c>
      <c r="BG4921" s="35" t="n">
        <f aca="false">BA4921-BF4921</f>
        <v>0.19999999999709</v>
      </c>
      <c r="BH4921" s="19" t="str">
        <f aca="false">IF(BG4921=0,"",IF(BG4921&lt;&gt;BA4921,"erreur de calcul",IF(BD4921&lt;&gt;0,"pas de prix",IF(M4921&lt;&gt; 0,"pas de quantité","pas de prix, ni de quantité"))))</f>
        <v>erreur de calcul</v>
      </c>
      <c r="BI4921" s="19"/>
    </row>
    <row r="4922" customFormat="false" ht="15" hidden="false" customHeight="false" outlineLevel="0" collapsed="false">
      <c r="A4922" s="0" t="n">
        <v>6</v>
      </c>
      <c r="B4922" s="8" t="s">
        <v>24</v>
      </c>
      <c r="C4922" s="9" t="s">
        <v>25</v>
      </c>
      <c r="D4922" s="9" t="s">
        <v>26</v>
      </c>
      <c r="E4922" s="10" t="n">
        <v>1789</v>
      </c>
      <c r="F4922" s="9" t="s">
        <v>27</v>
      </c>
      <c r="G4922" s="9" t="s">
        <v>27</v>
      </c>
      <c r="H4922" s="11" t="n">
        <v>18</v>
      </c>
      <c r="I4922" s="11" t="s">
        <v>71</v>
      </c>
      <c r="J4922" s="14" t="n">
        <v>60</v>
      </c>
      <c r="K4922" s="14"/>
      <c r="L4922" s="16"/>
      <c r="M4922" s="27" t="n">
        <f aca="false">J4922+(K4922/20)+(L4922/240)</f>
        <v>60</v>
      </c>
      <c r="N4922" s="17" t="s">
        <v>64</v>
      </c>
      <c r="O4922" s="11"/>
      <c r="P4922" s="28" t="n">
        <f aca="false">674/100</f>
        <v>6.74</v>
      </c>
      <c r="Q4922" s="28" t="n">
        <v>404</v>
      </c>
      <c r="R4922" s="28"/>
      <c r="S4922" s="28" t="n">
        <f aca="false">R4922*$M4922</f>
        <v>0</v>
      </c>
      <c r="T4922" s="28"/>
      <c r="U4922" s="28" t="n">
        <f aca="false">T4922*$M4922</f>
        <v>0</v>
      </c>
      <c r="V4922" s="28"/>
      <c r="W4922" s="28" t="n">
        <f aca="false">V4922*$M4922</f>
        <v>0</v>
      </c>
      <c r="X4922" s="29"/>
      <c r="Y4922" s="28" t="n">
        <f aca="false">X4922*$M4922</f>
        <v>0</v>
      </c>
      <c r="Z4922" s="28"/>
      <c r="AA4922" s="28" t="n">
        <f aca="false">Z4922*$M4922</f>
        <v>0</v>
      </c>
      <c r="AB4922" s="28"/>
      <c r="AC4922" s="28" t="n">
        <f aca="false">AB4922*$M4922</f>
        <v>0</v>
      </c>
      <c r="AD4922" s="28"/>
      <c r="AE4922" s="28" t="n">
        <f aca="false">AD4922*$M4922</f>
        <v>0</v>
      </c>
      <c r="AF4922" s="28"/>
      <c r="AG4922" s="28" t="n">
        <f aca="false">AF4922*$M4922</f>
        <v>0</v>
      </c>
      <c r="AH4922" s="28"/>
      <c r="AI4922" s="28" t="n">
        <f aca="false">AH4922*$M4922</f>
        <v>0</v>
      </c>
      <c r="AJ4922" s="28" t="n">
        <f aca="false">1133/100</f>
        <v>11.33</v>
      </c>
      <c r="AK4922" s="28" t="n">
        <v>680</v>
      </c>
      <c r="AL4922" s="28" t="n">
        <f aca="false">3140/100</f>
        <v>31.4</v>
      </c>
      <c r="AM4922" s="28" t="n">
        <v>1884</v>
      </c>
      <c r="AN4922" s="28"/>
      <c r="AO4922" s="28" t="n">
        <f aca="false">AN4922*$M4922</f>
        <v>0</v>
      </c>
      <c r="AP4922" s="28"/>
      <c r="AQ4922" s="28" t="n">
        <f aca="false">AP4922*$M4922</f>
        <v>0</v>
      </c>
      <c r="AR4922" s="28"/>
      <c r="AS4922" s="28" t="n">
        <f aca="false">AR4922*$M4922</f>
        <v>0</v>
      </c>
      <c r="AT4922" s="28"/>
      <c r="AU4922" s="28" t="n">
        <f aca="false">AT4922*$M4922</f>
        <v>0</v>
      </c>
      <c r="AV4922" s="28"/>
      <c r="AW4922" s="28" t="n">
        <f aca="false">AV4922*$M4922</f>
        <v>0</v>
      </c>
      <c r="AX4922" s="28"/>
      <c r="AY4922" s="28" t="n">
        <f aca="false">AX4922*$M4922</f>
        <v>0</v>
      </c>
      <c r="AZ4922" s="30" t="n">
        <f aca="false">4947/100</f>
        <v>49.47</v>
      </c>
      <c r="BA4922" s="11" t="n">
        <v>2968</v>
      </c>
      <c r="BB4922" s="31" t="n">
        <f aca="false">SUM(Q4922,S4922,U4922,W4922,Y4922,AA4922,AC4922,AE4922,AG4922,AI4922,AK4922,AM4922,AO4922,AQ4922,AS4922,AU4922,AW4922,AY4922)</f>
        <v>2968</v>
      </c>
      <c r="BC4922" s="28" t="n">
        <f aca="false">BA4922-BB4922</f>
        <v>0</v>
      </c>
      <c r="BD4922" s="32" t="n">
        <f aca="false">SUM(P4922,R4922,T4922,V4922,X4922,Z4922,AB4922,AD4922,AF4922,AH4922,AJ4922,AL4922,AN4922,AP4922,AR4922,AT4922,AV4922,AX4922)</f>
        <v>49.47</v>
      </c>
      <c r="BE4922" s="33" t="n">
        <f aca="false">AZ4922-BD4922</f>
        <v>0</v>
      </c>
      <c r="BF4922" s="34" t="n">
        <f aca="false">BD4922*M4922</f>
        <v>2968.2</v>
      </c>
      <c r="BG4922" s="35" t="n">
        <f aca="false">BA4922-BF4922</f>
        <v>-0.199999999999818</v>
      </c>
      <c r="BH4922" s="19" t="str">
        <f aca="false">IF(BG4922=0,"",IF(BG4922&lt;&gt;BA4922,"erreur de calcul",IF(BD4922&lt;&gt;0,"pas de prix",IF(M4922&lt;&gt; 0,"pas de quantité","pas de prix, ni de quantité"))))</f>
        <v>erreur de calcul</v>
      </c>
      <c r="BI4922" s="19"/>
    </row>
    <row r="4923" customFormat="false" ht="15" hidden="false" customHeight="false" outlineLevel="0" collapsed="false">
      <c r="A4923" s="0" t="n">
        <v>7</v>
      </c>
      <c r="B4923" s="8" t="s">
        <v>24</v>
      </c>
      <c r="C4923" s="9" t="s">
        <v>25</v>
      </c>
      <c r="D4923" s="9" t="s">
        <v>26</v>
      </c>
      <c r="E4923" s="10" t="n">
        <v>1789</v>
      </c>
      <c r="F4923" s="9" t="s">
        <v>27</v>
      </c>
      <c r="G4923" s="9" t="s">
        <v>27</v>
      </c>
      <c r="H4923" s="11" t="n">
        <v>18</v>
      </c>
      <c r="I4923" s="11" t="s">
        <v>72</v>
      </c>
      <c r="J4923" s="14" t="n">
        <v>15</v>
      </c>
      <c r="K4923" s="14"/>
      <c r="L4923" s="16"/>
      <c r="M4923" s="27" t="n">
        <f aca="false">J4923+(K4923/20)+(L4923/240)</f>
        <v>15</v>
      </c>
      <c r="N4923" s="17" t="s">
        <v>64</v>
      </c>
      <c r="O4923" s="11"/>
      <c r="P4923" s="28"/>
      <c r="Q4923" s="28" t="n">
        <f aca="false">P4923*$M4923</f>
        <v>0</v>
      </c>
      <c r="R4923" s="28"/>
      <c r="S4923" s="28" t="n">
        <f aca="false">R4923*$M4923</f>
        <v>0</v>
      </c>
      <c r="T4923" s="28"/>
      <c r="U4923" s="28" t="n">
        <f aca="false">T4923*$M4923</f>
        <v>0</v>
      </c>
      <c r="V4923" s="28"/>
      <c r="W4923" s="28" t="n">
        <f aca="false">V4923*$M4923</f>
        <v>0</v>
      </c>
      <c r="X4923" s="29"/>
      <c r="Y4923" s="28" t="n">
        <f aca="false">X4923*$M4923</f>
        <v>0</v>
      </c>
      <c r="Z4923" s="28"/>
      <c r="AA4923" s="28" t="n">
        <f aca="false">Z4923*$M4923</f>
        <v>0</v>
      </c>
      <c r="AB4923" s="28"/>
      <c r="AC4923" s="28" t="n">
        <f aca="false">AB4923*$M4923</f>
        <v>0</v>
      </c>
      <c r="AD4923" s="28"/>
      <c r="AE4923" s="28" t="n">
        <f aca="false">AD4923*$M4923</f>
        <v>0</v>
      </c>
      <c r="AF4923" s="28"/>
      <c r="AG4923" s="28" t="n">
        <f aca="false">AF4923*$M4923</f>
        <v>0</v>
      </c>
      <c r="AH4923" s="28"/>
      <c r="AI4923" s="28" t="n">
        <f aca="false">AH4923*$M4923</f>
        <v>0</v>
      </c>
      <c r="AJ4923" s="28" t="n">
        <f aca="false">119*288*0.02+88*0.02</f>
        <v>687.2</v>
      </c>
      <c r="AK4923" s="28" t="n">
        <v>10308</v>
      </c>
      <c r="AL4923" s="28"/>
      <c r="AM4923" s="28" t="n">
        <f aca="false">AL4923*$M4923</f>
        <v>0</v>
      </c>
      <c r="AN4923" s="28"/>
      <c r="AO4923" s="28" t="n">
        <f aca="false">AN4923*$M4923</f>
        <v>0</v>
      </c>
      <c r="AP4923" s="28"/>
      <c r="AQ4923" s="28" t="n">
        <f aca="false">AP4923*$M4923</f>
        <v>0</v>
      </c>
      <c r="AR4923" s="28"/>
      <c r="AS4923" s="28" t="n">
        <f aca="false">AR4923*$M4923</f>
        <v>0</v>
      </c>
      <c r="AT4923" s="28"/>
      <c r="AU4923" s="28" t="n">
        <f aca="false">AT4923*$M4923</f>
        <v>0</v>
      </c>
      <c r="AV4923" s="28"/>
      <c r="AW4923" s="28" t="n">
        <f aca="false">AV4923*$M4923</f>
        <v>0</v>
      </c>
      <c r="AX4923" s="28"/>
      <c r="AY4923" s="28" t="n">
        <f aca="false">AX4923*$M4923</f>
        <v>0</v>
      </c>
      <c r="AZ4923" s="30" t="n">
        <f aca="false">119*288*0.02+88*0.02</f>
        <v>687.2</v>
      </c>
      <c r="BA4923" s="11" t="n">
        <v>10308</v>
      </c>
      <c r="BB4923" s="31" t="n">
        <f aca="false">SUM(Q4923,S4923,U4923,W4923,Y4923,AA4923,AC4923,AE4923,AG4923,AI4923,AK4923,AM4923,AO4923,AQ4923,AS4923,AU4923,AW4923,AY4923)</f>
        <v>10308</v>
      </c>
      <c r="BC4923" s="28" t="n">
        <f aca="false">BA4923-BB4923</f>
        <v>0</v>
      </c>
      <c r="BD4923" s="32" t="n">
        <f aca="false">SUM(P4923,R4923,T4923,V4923,X4923,Z4923,AB4923,AD4923,AF4923,AH4923,AJ4923,AL4923,AN4923,AP4923,AR4923,AT4923,AV4923,AX4923)</f>
        <v>687.2</v>
      </c>
      <c r="BE4923" s="33" t="n">
        <f aca="false">AZ4923-BD4923</f>
        <v>0</v>
      </c>
      <c r="BF4923" s="34" t="n">
        <f aca="false">BD4923*M4923</f>
        <v>10308</v>
      </c>
      <c r="BG4923" s="35" t="n">
        <f aca="false">BA4923-BF4923</f>
        <v>0</v>
      </c>
      <c r="BH4923" s="19" t="str">
        <f aca="false">IF(BG4923=0,"",IF(BG4923&lt;&gt;BA4923,"erreur de calcul",IF(BD4923&lt;&gt;0,"pas de prix",IF(M4923&lt;&gt; 0,"pas de quantité","pas de prix, ni de quantité"))))</f>
        <v/>
      </c>
      <c r="BI4923" s="19"/>
    </row>
    <row r="4924" customFormat="false" ht="15" hidden="false" customHeight="false" outlineLevel="0" collapsed="false">
      <c r="A4924" s="0" t="n">
        <v>8</v>
      </c>
      <c r="B4924" s="8" t="s">
        <v>24</v>
      </c>
      <c r="C4924" s="9" t="s">
        <v>25</v>
      </c>
      <c r="D4924" s="9" t="s">
        <v>26</v>
      </c>
      <c r="E4924" s="10" t="n">
        <v>1789</v>
      </c>
      <c r="F4924" s="9" t="s">
        <v>27</v>
      </c>
      <c r="G4924" s="9" t="s">
        <v>27</v>
      </c>
      <c r="H4924" s="11" t="n">
        <v>18</v>
      </c>
      <c r="I4924" s="11" t="s">
        <v>73</v>
      </c>
      <c r="J4924" s="14"/>
      <c r="K4924" s="14"/>
      <c r="L4924" s="16"/>
      <c r="M4924" s="27" t="n">
        <f aca="false">J4924+(K4924/20)+(L4924/240)</f>
        <v>0</v>
      </c>
      <c r="N4924" s="17"/>
      <c r="O4924" s="11"/>
      <c r="P4924" s="28"/>
      <c r="Q4924" s="28" t="n">
        <f aca="false">P4924*$M4924</f>
        <v>0</v>
      </c>
      <c r="R4924" s="28"/>
      <c r="S4924" s="28" t="n">
        <f aca="false">R4924*$M4924</f>
        <v>0</v>
      </c>
      <c r="T4924" s="28"/>
      <c r="U4924" s="28" t="n">
        <v>3356</v>
      </c>
      <c r="V4924" s="28"/>
      <c r="W4924" s="28" t="n">
        <v>1444</v>
      </c>
      <c r="X4924" s="29"/>
      <c r="Y4924" s="28" t="n">
        <f aca="false">X4924*$M4924</f>
        <v>0</v>
      </c>
      <c r="Z4924" s="28"/>
      <c r="AA4924" s="28" t="n">
        <f aca="false">Z4924*$M4924</f>
        <v>0</v>
      </c>
      <c r="AB4924" s="28"/>
      <c r="AC4924" s="28" t="n">
        <f aca="false">AB4924*$M4924</f>
        <v>0</v>
      </c>
      <c r="AD4924" s="28"/>
      <c r="AE4924" s="28" t="n">
        <f aca="false">AD4924*$M4924</f>
        <v>0</v>
      </c>
      <c r="AF4924" s="28"/>
      <c r="AG4924" s="28" t="n">
        <f aca="false">AF4924*$M4924</f>
        <v>0</v>
      </c>
      <c r="AH4924" s="28"/>
      <c r="AI4924" s="28" t="n">
        <f aca="false">AH4924*$M4924</f>
        <v>0</v>
      </c>
      <c r="AJ4924" s="28"/>
      <c r="AK4924" s="28" t="n">
        <f aca="false">AJ4924*$M4924</f>
        <v>0</v>
      </c>
      <c r="AL4924" s="28"/>
      <c r="AM4924" s="28" t="n">
        <f aca="false">AL4924*$M4924</f>
        <v>0</v>
      </c>
      <c r="AN4924" s="28"/>
      <c r="AO4924" s="28" t="n">
        <f aca="false">AN4924*$M4924</f>
        <v>0</v>
      </c>
      <c r="AP4924" s="28"/>
      <c r="AQ4924" s="28" t="n">
        <f aca="false">AP4924*$M4924</f>
        <v>0</v>
      </c>
      <c r="AR4924" s="28"/>
      <c r="AS4924" s="28" t="n">
        <f aca="false">AR4924*$M4924</f>
        <v>0</v>
      </c>
      <c r="AT4924" s="28"/>
      <c r="AU4924" s="28" t="n">
        <f aca="false">AT4924*$M4924</f>
        <v>0</v>
      </c>
      <c r="AV4924" s="28"/>
      <c r="AW4924" s="28" t="n">
        <f aca="false">AV4924*$M4924</f>
        <v>0</v>
      </c>
      <c r="AX4924" s="28"/>
      <c r="AY4924" s="28" t="n">
        <f aca="false">AX4924*$M4924</f>
        <v>0</v>
      </c>
      <c r="AZ4924" s="30"/>
      <c r="BA4924" s="11" t="n">
        <v>4800</v>
      </c>
      <c r="BB4924" s="31" t="n">
        <f aca="false">SUM(Q4924,S4924,U4924,W4924,Y4924,AA4924,AC4924,AE4924,AG4924,AI4924,AK4924,AM4924,AO4924,AQ4924,AS4924,AU4924,AW4924,AY4924)</f>
        <v>4800</v>
      </c>
      <c r="BC4924" s="28" t="n">
        <f aca="false">BA4924-BB4924</f>
        <v>0</v>
      </c>
      <c r="BD4924" s="32" t="n">
        <f aca="false">SUM(P4924,R4924,T4924,V4924,X4924,Z4924,AB4924,AD4924,AF4924,AH4924,AJ4924,AL4924,AN4924,AP4924,AR4924,AT4924,AV4924,AX4924)</f>
        <v>0</v>
      </c>
      <c r="BE4924" s="33" t="n">
        <f aca="false">AZ4924-BD4924</f>
        <v>0</v>
      </c>
      <c r="BF4924" s="34" t="n">
        <f aca="false">BD4924*M4924</f>
        <v>0</v>
      </c>
      <c r="BG4924" s="35" t="n">
        <f aca="false">BA4924-BF4924</f>
        <v>4800</v>
      </c>
      <c r="BH4924" s="19" t="str">
        <f aca="false">IF(BG4924=0,"",IF(BG4924&lt;&gt;BA4924,"erreur de calcul",IF(BD4924&lt;&gt;0,"pas de prix",IF(M4924&lt;&gt; 0,"pas de quantité","pas de prix, ni de quantité"))))</f>
        <v>pas de prix, ni de quantité</v>
      </c>
      <c r="BI4924" s="19"/>
    </row>
    <row r="4925" customFormat="false" ht="15" hidden="false" customHeight="false" outlineLevel="0" collapsed="false">
      <c r="A4925" s="0" t="n">
        <v>9</v>
      </c>
      <c r="B4925" s="8" t="s">
        <v>24</v>
      </c>
      <c r="C4925" s="9" t="s">
        <v>25</v>
      </c>
      <c r="D4925" s="9" t="s">
        <v>26</v>
      </c>
      <c r="E4925" s="10" t="n">
        <v>1789</v>
      </c>
      <c r="F4925" s="9" t="s">
        <v>27</v>
      </c>
      <c r="G4925" s="9" t="s">
        <v>27</v>
      </c>
      <c r="H4925" s="11" t="n">
        <v>18</v>
      </c>
      <c r="I4925" s="11" t="s">
        <v>74</v>
      </c>
      <c r="J4925" s="14"/>
      <c r="K4925" s="14"/>
      <c r="L4925" s="16"/>
      <c r="M4925" s="27" t="n">
        <f aca="false">J4925+(K4925/20)+(L4925/240)</f>
        <v>0</v>
      </c>
      <c r="N4925" s="17" t="s">
        <v>66</v>
      </c>
      <c r="O4925" s="11"/>
      <c r="P4925" s="28"/>
      <c r="Q4925" s="28" t="n">
        <f aca="false">P4925*$M4925</f>
        <v>0</v>
      </c>
      <c r="R4925" s="28"/>
      <c r="S4925" s="28" t="n">
        <f aca="false">R4925*$M4925</f>
        <v>0</v>
      </c>
      <c r="T4925" s="28"/>
      <c r="U4925" s="28" t="n">
        <f aca="false">T4925*$M4925</f>
        <v>0</v>
      </c>
      <c r="V4925" s="28"/>
      <c r="W4925" s="28" t="n">
        <f aca="false">V4925*$M4925</f>
        <v>0</v>
      </c>
      <c r="X4925" s="29"/>
      <c r="Y4925" s="28"/>
      <c r="Z4925" s="28"/>
      <c r="AA4925" s="28" t="n">
        <f aca="false">Z4925*$M4925</f>
        <v>0</v>
      </c>
      <c r="AB4925" s="28"/>
      <c r="AC4925" s="28" t="n">
        <f aca="false">AB4925*$M4925</f>
        <v>0</v>
      </c>
      <c r="AD4925" s="28"/>
      <c r="AE4925" s="28" t="n">
        <f aca="false">AD4925*$M4925</f>
        <v>0</v>
      </c>
      <c r="AF4925" s="28"/>
      <c r="AG4925" s="28" t="n">
        <f aca="false">AF4925*$M4925</f>
        <v>0</v>
      </c>
      <c r="AH4925" s="28" t="n">
        <v>45346</v>
      </c>
      <c r="AI4925" s="28" t="n">
        <v>3174</v>
      </c>
      <c r="AJ4925" s="28"/>
      <c r="AK4925" s="28" t="n">
        <f aca="false">AJ4925*$M4925</f>
        <v>0</v>
      </c>
      <c r="AL4925" s="28"/>
      <c r="AM4925" s="28" t="n">
        <f aca="false">AL4925*$M4925</f>
        <v>0</v>
      </c>
      <c r="AN4925" s="28"/>
      <c r="AO4925" s="28" t="n">
        <f aca="false">AN4925*$M4925</f>
        <v>0</v>
      </c>
      <c r="AP4925" s="28"/>
      <c r="AQ4925" s="28" t="n">
        <f aca="false">AP4925*$M4925</f>
        <v>0</v>
      </c>
      <c r="AR4925" s="28"/>
      <c r="AS4925" s="28" t="n">
        <f aca="false">AR4925*$M4925</f>
        <v>0</v>
      </c>
      <c r="AT4925" s="28"/>
      <c r="AU4925" s="28" t="n">
        <f aca="false">AT4925*$M4925</f>
        <v>0</v>
      </c>
      <c r="AV4925" s="28"/>
      <c r="AW4925" s="28" t="n">
        <f aca="false">AV4925*$M4925</f>
        <v>0</v>
      </c>
      <c r="AX4925" s="28"/>
      <c r="AY4925" s="28" t="n">
        <f aca="false">AX4925*$M4925</f>
        <v>0</v>
      </c>
      <c r="AZ4925" s="30" t="n">
        <v>45346</v>
      </c>
      <c r="BA4925" s="11" t="n">
        <v>3174</v>
      </c>
      <c r="BB4925" s="31" t="n">
        <f aca="false">SUM(Q4925,S4925,U4925,W4925,Y4925,AA4925,AC4925,AE4925,AG4925,AI4925,AK4925,AM4925,AO4925,AQ4925,AS4925,AU4925,AW4925,AY4925)</f>
        <v>3174</v>
      </c>
      <c r="BC4925" s="28" t="n">
        <f aca="false">BA4925-BB4925</f>
        <v>0</v>
      </c>
      <c r="BD4925" s="32" t="n">
        <f aca="false">SUM(P4925,R4925,T4925,V4925,X4925,Z4925,AB4925,AD4925,AF4925,AH4925,AJ4925,AL4925,AN4925,AP4925,AR4925,AT4925,AV4925,AX4925)</f>
        <v>45346</v>
      </c>
      <c r="BE4925" s="33" t="n">
        <f aca="false">AZ4925-BD4925</f>
        <v>0</v>
      </c>
      <c r="BF4925" s="34" t="n">
        <f aca="false">BD4925*M4925</f>
        <v>0</v>
      </c>
      <c r="BG4925" s="35" t="n">
        <f aca="false">BA4925-BF4925</f>
        <v>3174</v>
      </c>
      <c r="BH4925" s="19" t="str">
        <f aca="false">IF(BG4925=0,"",IF(BG4925&lt;&gt;BA4925,"erreur de calcul",IF(BD4925&lt;&gt;0,"pas de prix",IF(M4925&lt;&gt; 0,"pas de quantité","pas de prix, ni de quantité"))))</f>
        <v>pas de prix</v>
      </c>
      <c r="BI4925" s="19" t="s">
        <v>75</v>
      </c>
    </row>
    <row r="4926" customFormat="false" ht="15" hidden="false" customHeight="false" outlineLevel="0" collapsed="false">
      <c r="A4926" s="0" t="n">
        <v>10</v>
      </c>
      <c r="B4926" s="8" t="s">
        <v>24</v>
      </c>
      <c r="C4926" s="9" t="s">
        <v>25</v>
      </c>
      <c r="D4926" s="9" t="s">
        <v>26</v>
      </c>
      <c r="E4926" s="10" t="n">
        <v>1789</v>
      </c>
      <c r="F4926" s="9" t="s">
        <v>27</v>
      </c>
      <c r="G4926" s="9" t="s">
        <v>27</v>
      </c>
      <c r="H4926" s="11" t="n">
        <v>18</v>
      </c>
      <c r="I4926" s="11" t="s">
        <v>76</v>
      </c>
      <c r="J4926" s="14"/>
      <c r="K4926" s="14" t="n">
        <v>20</v>
      </c>
      <c r="L4926" s="16"/>
      <c r="M4926" s="27" t="n">
        <f aca="false">J4926+(K4926/20)+(L4926/240)</f>
        <v>1</v>
      </c>
      <c r="N4926" s="17" t="s">
        <v>64</v>
      </c>
      <c r="O4926" s="11" t="s">
        <v>77</v>
      </c>
      <c r="P4926" s="28" t="n">
        <f aca="false">66667/100</f>
        <v>666.67</v>
      </c>
      <c r="Q4926" s="28" t="n">
        <v>667</v>
      </c>
      <c r="R4926" s="28"/>
      <c r="S4926" s="28" t="n">
        <f aca="false">R4926*$M4926</f>
        <v>0</v>
      </c>
      <c r="T4926" s="28"/>
      <c r="U4926" s="28" t="n">
        <f aca="false">T4926*$M4926</f>
        <v>0</v>
      </c>
      <c r="V4926" s="28" t="n">
        <f aca="false">281532/100</f>
        <v>2815.32</v>
      </c>
      <c r="W4926" s="28" t="n">
        <v>2815</v>
      </c>
      <c r="X4926" s="29" t="n">
        <f aca="false">366667/100</f>
        <v>3666.67</v>
      </c>
      <c r="Y4926" s="28" t="n">
        <v>3666</v>
      </c>
      <c r="Z4926" s="28" t="n">
        <f aca="false">33334/100</f>
        <v>333.34</v>
      </c>
      <c r="AA4926" s="28" t="n">
        <v>333</v>
      </c>
      <c r="AB4926" s="28"/>
      <c r="AC4926" s="28" t="n">
        <f aca="false">AB4926*$M4926</f>
        <v>0</v>
      </c>
      <c r="AD4926" s="28"/>
      <c r="AE4926" s="28" t="n">
        <f aca="false">AD4926*$M4926</f>
        <v>0</v>
      </c>
      <c r="AF4926" s="28"/>
      <c r="AG4926" s="28" t="n">
        <f aca="false">AF4926*$M4926</f>
        <v>0</v>
      </c>
      <c r="AH4926" s="28"/>
      <c r="AI4926" s="28" t="n">
        <f aca="false">AH4926*$M4926</f>
        <v>0</v>
      </c>
      <c r="AJ4926" s="28"/>
      <c r="AK4926" s="28" t="n">
        <f aca="false">AJ4926*$M4926</f>
        <v>0</v>
      </c>
      <c r="AL4926" s="28"/>
      <c r="AM4926" s="28" t="n">
        <f aca="false">AL4926*$M4926</f>
        <v>0</v>
      </c>
      <c r="AN4926" s="28"/>
      <c r="AO4926" s="28" t="n">
        <f aca="false">AN4926*$M4926</f>
        <v>0</v>
      </c>
      <c r="AP4926" s="28"/>
      <c r="AQ4926" s="28" t="n">
        <f aca="false">AP4926*$M4926</f>
        <v>0</v>
      </c>
      <c r="AR4926" s="28"/>
      <c r="AS4926" s="28" t="n">
        <f aca="false">AR4926*$M4926</f>
        <v>0</v>
      </c>
      <c r="AT4926" s="28"/>
      <c r="AU4926" s="28" t="n">
        <f aca="false">AT4926*$M4926</f>
        <v>0</v>
      </c>
      <c r="AV4926" s="28"/>
      <c r="AW4926" s="28" t="n">
        <f aca="false">AV4926*$M4926</f>
        <v>0</v>
      </c>
      <c r="AX4926" s="28"/>
      <c r="AY4926" s="28" t="n">
        <f aca="false">AX4926*$M4926</f>
        <v>0</v>
      </c>
      <c r="AZ4926" s="30" t="n">
        <f aca="false">748200/100</f>
        <v>7482</v>
      </c>
      <c r="BA4926" s="11" t="n">
        <v>7481</v>
      </c>
      <c r="BB4926" s="31" t="n">
        <f aca="false">SUM(Q4926,S4926,U4926,W4926,Y4926,AA4926,AC4926,AE4926,AG4926,AI4926,AK4926,AM4926,AO4926,AQ4926,AS4926,AU4926,AW4926,AY4926)</f>
        <v>7481</v>
      </c>
      <c r="BC4926" s="28" t="n">
        <f aca="false">BA4926-BB4926</f>
        <v>0</v>
      </c>
      <c r="BD4926" s="32" t="n">
        <f aca="false">SUM(P4926,R4926,T4926,V4926,X4926,Z4926,AB4926,AD4926,AF4926,AH4926,AJ4926,AL4926,AN4926,AP4926,AR4926,AT4926,AV4926,AX4926)</f>
        <v>7482</v>
      </c>
      <c r="BE4926" s="33" t="n">
        <f aca="false">AZ4926-BD4926</f>
        <v>0</v>
      </c>
      <c r="BF4926" s="34" t="n">
        <f aca="false">BD4926*M4926</f>
        <v>7482</v>
      </c>
      <c r="BG4926" s="35" t="n">
        <f aca="false">BA4926-BF4926</f>
        <v>-1</v>
      </c>
      <c r="BH4926" s="19" t="str">
        <f aca="false">IF(BG4926=0,"",IF(BG4926&lt;&gt;BA4926,"erreur de calcul",IF(BD4926&lt;&gt;0,"pas de prix",IF(M4926&lt;&gt; 0,"pas de quantité","pas de prix, ni de quantité"))))</f>
        <v>erreur de calcul</v>
      </c>
      <c r="BI4926" s="19"/>
    </row>
    <row r="4927" customFormat="false" ht="15" hidden="false" customHeight="false" outlineLevel="0" collapsed="false">
      <c r="A4927" s="0" t="n">
        <v>11</v>
      </c>
      <c r="B4927" s="8" t="s">
        <v>24</v>
      </c>
      <c r="C4927" s="9" t="s">
        <v>25</v>
      </c>
      <c r="D4927" s="9" t="s">
        <v>26</v>
      </c>
      <c r="E4927" s="10" t="n">
        <v>1789</v>
      </c>
      <c r="F4927" s="9" t="s">
        <v>27</v>
      </c>
      <c r="G4927" s="9" t="s">
        <v>27</v>
      </c>
      <c r="H4927" s="11" t="n">
        <v>18</v>
      </c>
      <c r="I4927" s="11" t="s">
        <v>78</v>
      </c>
      <c r="J4927" s="14"/>
      <c r="K4927" s="14" t="n">
        <v>50</v>
      </c>
      <c r="L4927" s="16"/>
      <c r="M4927" s="27" t="n">
        <f aca="false">J4927+(K4927/20)+(L4927/240)</f>
        <v>2.5</v>
      </c>
      <c r="N4927" s="17" t="s">
        <v>79</v>
      </c>
      <c r="O4927" s="11"/>
      <c r="P4927" s="28"/>
      <c r="Q4927" s="28" t="n">
        <f aca="false">P4927*$M4927</f>
        <v>0</v>
      </c>
      <c r="R4927" s="28"/>
      <c r="S4927" s="28" t="n">
        <f aca="false">R4927*$M4927</f>
        <v>0</v>
      </c>
      <c r="T4927" s="28"/>
      <c r="U4927" s="28" t="n">
        <f aca="false">T4927*$M4927</f>
        <v>0</v>
      </c>
      <c r="V4927" s="28" t="n">
        <v>61807</v>
      </c>
      <c r="W4927" s="28" t="n">
        <v>154517</v>
      </c>
      <c r="X4927" s="29"/>
      <c r="Y4927" s="28" t="n">
        <f aca="false">X4927*$M4927</f>
        <v>0</v>
      </c>
      <c r="Z4927" s="28"/>
      <c r="AA4927" s="28" t="n">
        <f aca="false">Z4927*$M4927</f>
        <v>0</v>
      </c>
      <c r="AB4927" s="28" t="n">
        <v>43640</v>
      </c>
      <c r="AC4927" s="28" t="n">
        <v>109100</v>
      </c>
      <c r="AD4927" s="28"/>
      <c r="AE4927" s="28" t="n">
        <f aca="false">AD4927*$M4927</f>
        <v>0</v>
      </c>
      <c r="AF4927" s="28"/>
      <c r="AG4927" s="28" t="n">
        <f aca="false">AF4927*$M4927</f>
        <v>0</v>
      </c>
      <c r="AH4927" s="28"/>
      <c r="AI4927" s="28" t="n">
        <f aca="false">AH4927*$M4927</f>
        <v>0</v>
      </c>
      <c r="AJ4927" s="28"/>
      <c r="AK4927" s="28" t="n">
        <f aca="false">AJ4927*$M4927</f>
        <v>0</v>
      </c>
      <c r="AL4927" s="28"/>
      <c r="AM4927" s="28" t="n">
        <f aca="false">AL4927*$M4927</f>
        <v>0</v>
      </c>
      <c r="AN4927" s="28"/>
      <c r="AO4927" s="28" t="n">
        <f aca="false">AN4927*$M4927</f>
        <v>0</v>
      </c>
      <c r="AP4927" s="28"/>
      <c r="AQ4927" s="28" t="n">
        <f aca="false">AP4927*$M4927</f>
        <v>0</v>
      </c>
      <c r="AR4927" s="28"/>
      <c r="AS4927" s="28" t="n">
        <f aca="false">AR4927*$M4927</f>
        <v>0</v>
      </c>
      <c r="AT4927" s="28"/>
      <c r="AU4927" s="28" t="n">
        <f aca="false">AT4927*$M4927</f>
        <v>0</v>
      </c>
      <c r="AV4927" s="28"/>
      <c r="AW4927" s="28" t="n">
        <f aca="false">AV4927*$M4927</f>
        <v>0</v>
      </c>
      <c r="AX4927" s="28"/>
      <c r="AY4927" s="28" t="n">
        <f aca="false">AX4927*$M4927</f>
        <v>0</v>
      </c>
      <c r="AZ4927" s="30" t="n">
        <v>105447</v>
      </c>
      <c r="BA4927" s="11" t="n">
        <v>263617</v>
      </c>
      <c r="BB4927" s="31" t="n">
        <f aca="false">SUM(Q4927,S4927,U4927,W4927,Y4927,AA4927,AC4927,AE4927,AG4927,AI4927,AK4927,AM4927,AO4927,AQ4927,AS4927,AU4927,AW4927,AY4927)</f>
        <v>263617</v>
      </c>
      <c r="BC4927" s="28" t="n">
        <f aca="false">BA4927-BB4927</f>
        <v>0</v>
      </c>
      <c r="BD4927" s="32" t="n">
        <f aca="false">SUM(P4927,R4927,T4927,V4927,X4927,Z4927,AB4927,AD4927,AF4927,AH4927,AJ4927,AL4927,AN4927,AP4927,AR4927,AT4927,AV4927,AX4927)</f>
        <v>105447</v>
      </c>
      <c r="BE4927" s="33" t="n">
        <f aca="false">AZ4927-BD4927</f>
        <v>0</v>
      </c>
      <c r="BF4927" s="34" t="n">
        <f aca="false">BD4927*M4927</f>
        <v>263617.5</v>
      </c>
      <c r="BG4927" s="35" t="n">
        <f aca="false">BA4927-BF4927</f>
        <v>-0.5</v>
      </c>
      <c r="BH4927" s="19" t="str">
        <f aca="false">IF(BG4927=0,"",IF(BG4927&lt;&gt;BA4927,"erreur de calcul",IF(BD4927&lt;&gt;0,"pas de prix",IF(M4927&lt;&gt; 0,"pas de quantité","pas de prix, ni de quantité"))))</f>
        <v>erreur de calcul</v>
      </c>
      <c r="BI4927" s="19"/>
    </row>
    <row r="4928" customFormat="false" ht="15" hidden="false" customHeight="false" outlineLevel="0" collapsed="false">
      <c r="A4928" s="0" t="n">
        <v>12</v>
      </c>
      <c r="B4928" s="8" t="s">
        <v>24</v>
      </c>
      <c r="C4928" s="9" t="s">
        <v>25</v>
      </c>
      <c r="D4928" s="9" t="s">
        <v>26</v>
      </c>
      <c r="E4928" s="10" t="n">
        <v>1789</v>
      </c>
      <c r="F4928" s="9" t="s">
        <v>27</v>
      </c>
      <c r="G4928" s="9" t="s">
        <v>27</v>
      </c>
      <c r="H4928" s="11" t="n">
        <v>18</v>
      </c>
      <c r="I4928" s="11" t="s">
        <v>80</v>
      </c>
      <c r="J4928" s="14"/>
      <c r="K4928" s="14" t="n">
        <v>4</v>
      </c>
      <c r="L4928" s="16"/>
      <c r="M4928" s="27" t="n">
        <f aca="false">J4928+(K4928/20)+(L4928/240)</f>
        <v>0.2</v>
      </c>
      <c r="N4928" s="17" t="s">
        <v>81</v>
      </c>
      <c r="O4928" s="11"/>
      <c r="P4928" s="28"/>
      <c r="Q4928" s="28" t="n">
        <f aca="false">P4928*$M4928</f>
        <v>0</v>
      </c>
      <c r="R4928" s="28"/>
      <c r="S4928" s="28" t="n">
        <f aca="false">R4928*$M4928</f>
        <v>0</v>
      </c>
      <c r="T4928" s="28"/>
      <c r="U4928" s="28" t="n">
        <f aca="false">T4928*$M4928</f>
        <v>0</v>
      </c>
      <c r="V4928" s="28" t="n">
        <v>5800</v>
      </c>
      <c r="W4928" s="28" t="n">
        <v>1160</v>
      </c>
      <c r="X4928" s="29"/>
      <c r="Y4928" s="28" t="n">
        <v>1069</v>
      </c>
      <c r="Z4928" s="28"/>
      <c r="AA4928" s="28" t="n">
        <f aca="false">Z4928*$M4928</f>
        <v>0</v>
      </c>
      <c r="AB4928" s="28"/>
      <c r="AC4928" s="28" t="n">
        <f aca="false">AB4928*$M4928</f>
        <v>0</v>
      </c>
      <c r="AD4928" s="28"/>
      <c r="AE4928" s="28" t="n">
        <f aca="false">AD4928*$M4928</f>
        <v>0</v>
      </c>
      <c r="AF4928" s="28"/>
      <c r="AG4928" s="28" t="n">
        <f aca="false">AF4928*$M4928</f>
        <v>0</v>
      </c>
      <c r="AH4928" s="28"/>
      <c r="AI4928" s="28" t="n">
        <f aca="false">AH4928*$M4928</f>
        <v>0</v>
      </c>
      <c r="AJ4928" s="28"/>
      <c r="AK4928" s="28" t="n">
        <f aca="false">AJ4928*$M4928</f>
        <v>0</v>
      </c>
      <c r="AL4928" s="28"/>
      <c r="AM4928" s="28" t="n">
        <f aca="false">AL4928*$M4928</f>
        <v>0</v>
      </c>
      <c r="AN4928" s="28"/>
      <c r="AO4928" s="28" t="n">
        <f aca="false">AN4928*$M4928</f>
        <v>0</v>
      </c>
      <c r="AP4928" s="28"/>
      <c r="AQ4928" s="28" t="n">
        <f aca="false">AP4928*$M4928</f>
        <v>0</v>
      </c>
      <c r="AR4928" s="28"/>
      <c r="AS4928" s="28" t="n">
        <f aca="false">AR4928*$M4928</f>
        <v>0</v>
      </c>
      <c r="AT4928" s="28"/>
      <c r="AU4928" s="28" t="n">
        <f aca="false">AT4928*$M4928</f>
        <v>0</v>
      </c>
      <c r="AV4928" s="28"/>
      <c r="AW4928" s="28" t="n">
        <f aca="false">AV4928*$M4928</f>
        <v>0</v>
      </c>
      <c r="AX4928" s="28"/>
      <c r="AY4928" s="28" t="n">
        <f aca="false">AX4928*$M4928</f>
        <v>0</v>
      </c>
      <c r="AZ4928" s="30" t="n">
        <v>11144</v>
      </c>
      <c r="BA4928" s="11" t="n">
        <v>2229</v>
      </c>
      <c r="BB4928" s="31" t="n">
        <f aca="false">SUM(Q4928,S4928,U4928,W4928,Y4928,AA4928,AC4928,AE4928,AG4928,AI4928,AK4928,AM4928,AO4928,AQ4928,AS4928,AU4928,AW4928,AY4928)</f>
        <v>2229</v>
      </c>
      <c r="BC4928" s="28" t="n">
        <f aca="false">BA4928-BB4928</f>
        <v>0</v>
      </c>
      <c r="BD4928" s="32" t="n">
        <f aca="false">SUM(P4928,R4928,T4928,V4928,X4928,Z4928,AB4928,AD4928,AF4928,AH4928,AJ4928,AL4928,AN4928,AP4928,AR4928,AT4928,AV4928,AX4928)</f>
        <v>5800</v>
      </c>
      <c r="BE4928" s="33" t="n">
        <f aca="false">AZ4928-BD4928</f>
        <v>5344</v>
      </c>
      <c r="BF4928" s="34" t="n">
        <f aca="false">BD4928*M4928</f>
        <v>1160</v>
      </c>
      <c r="BG4928" s="35" t="n">
        <f aca="false">BA4928-BF4928</f>
        <v>1069</v>
      </c>
      <c r="BH4928" s="19" t="str">
        <f aca="false">IF(BG4928=0,"",IF(BG4928&lt;&gt;BA4928,"erreur de calcul",IF(BD4928&lt;&gt;0,"pas de prix",IF(M4928&lt;&gt; 0,"pas de quantité","pas de prix, ni de quantité"))))</f>
        <v>erreur de calcul</v>
      </c>
      <c r="BI4928" s="19"/>
    </row>
    <row r="4929" customFormat="false" ht="15" hidden="false" customHeight="false" outlineLevel="0" collapsed="false">
      <c r="A4929" s="0" t="n">
        <v>13</v>
      </c>
      <c r="B4929" s="8" t="s">
        <v>24</v>
      </c>
      <c r="C4929" s="9" t="s">
        <v>25</v>
      </c>
      <c r="D4929" s="9" t="s">
        <v>26</v>
      </c>
      <c r="E4929" s="10" t="n">
        <v>1789</v>
      </c>
      <c r="F4929" s="9" t="s">
        <v>27</v>
      </c>
      <c r="G4929" s="9" t="s">
        <v>27</v>
      </c>
      <c r="H4929" s="11" t="n">
        <v>18</v>
      </c>
      <c r="I4929" s="11" t="s">
        <v>82</v>
      </c>
      <c r="J4929" s="14" t="n">
        <v>17</v>
      </c>
      <c r="K4929" s="14"/>
      <c r="L4929" s="16"/>
      <c r="M4929" s="27" t="n">
        <f aca="false">J4929+(K4929/20)+(L4929/240)</f>
        <v>17</v>
      </c>
      <c r="N4929" s="17" t="s">
        <v>69</v>
      </c>
      <c r="O4929" s="11"/>
      <c r="P4929" s="28"/>
      <c r="Q4929" s="28" t="n">
        <f aca="false">P4929*$M4929</f>
        <v>0</v>
      </c>
      <c r="R4929" s="28"/>
      <c r="S4929" s="28" t="n">
        <f aca="false">R4929*$M4929</f>
        <v>0</v>
      </c>
      <c r="T4929" s="28"/>
      <c r="U4929" s="28" t="n">
        <f aca="false">T4929*$M4929</f>
        <v>0</v>
      </c>
      <c r="V4929" s="28" t="n">
        <v>600</v>
      </c>
      <c r="W4929" s="28" t="n">
        <v>10200</v>
      </c>
      <c r="X4929" s="29"/>
      <c r="Y4929" s="28" t="n">
        <f aca="false">X4929*$M4929</f>
        <v>0</v>
      </c>
      <c r="Z4929" s="28"/>
      <c r="AA4929" s="28" t="n">
        <f aca="false">Z4929*$M4929</f>
        <v>0</v>
      </c>
      <c r="AB4929" s="28"/>
      <c r="AC4929" s="28" t="n">
        <f aca="false">AB4929*$M4929</f>
        <v>0</v>
      </c>
      <c r="AD4929" s="28"/>
      <c r="AE4929" s="28" t="n">
        <f aca="false">AD4929*$M4929</f>
        <v>0</v>
      </c>
      <c r="AF4929" s="28"/>
      <c r="AG4929" s="28" t="n">
        <f aca="false">AF4929*$M4929</f>
        <v>0</v>
      </c>
      <c r="AH4929" s="28"/>
      <c r="AI4929" s="28" t="n">
        <f aca="false">AH4929*$M4929</f>
        <v>0</v>
      </c>
      <c r="AJ4929" s="28"/>
      <c r="AK4929" s="28" t="n">
        <f aca="false">AJ4929*$M4929</f>
        <v>0</v>
      </c>
      <c r="AL4929" s="28"/>
      <c r="AM4929" s="28" t="n">
        <f aca="false">AL4929*$M4929</f>
        <v>0</v>
      </c>
      <c r="AN4929" s="28"/>
      <c r="AO4929" s="28" t="n">
        <f aca="false">AN4929*$M4929</f>
        <v>0</v>
      </c>
      <c r="AP4929" s="28"/>
      <c r="AQ4929" s="28" t="n">
        <f aca="false">AP4929*$M4929</f>
        <v>0</v>
      </c>
      <c r="AR4929" s="28"/>
      <c r="AS4929" s="28" t="n">
        <f aca="false">AR4929*$M4929</f>
        <v>0</v>
      </c>
      <c r="AT4929" s="28"/>
      <c r="AU4929" s="28" t="n">
        <f aca="false">AT4929*$M4929</f>
        <v>0</v>
      </c>
      <c r="AV4929" s="28"/>
      <c r="AW4929" s="28" t="n">
        <f aca="false">AV4929*$M4929</f>
        <v>0</v>
      </c>
      <c r="AX4929" s="28"/>
      <c r="AY4929" s="28" t="n">
        <f aca="false">AX4929*$M4929</f>
        <v>0</v>
      </c>
      <c r="AZ4929" s="30" t="n">
        <v>600</v>
      </c>
      <c r="BA4929" s="11" t="n">
        <v>10200</v>
      </c>
      <c r="BB4929" s="31" t="n">
        <f aca="false">SUM(Q4929,S4929,U4929,W4929,Y4929,AA4929,AC4929,AE4929,AG4929,AI4929,AK4929,AM4929,AO4929,AQ4929,AS4929,AU4929,AW4929,AY4929)</f>
        <v>10200</v>
      </c>
      <c r="BC4929" s="28" t="n">
        <f aca="false">BA4929-BB4929</f>
        <v>0</v>
      </c>
      <c r="BD4929" s="32" t="n">
        <f aca="false">SUM(P4929,R4929,T4929,V4929,X4929,Z4929,AB4929,AD4929,AF4929,AH4929,AJ4929,AL4929,AN4929,AP4929,AR4929,AT4929,AV4929,AX4929)</f>
        <v>600</v>
      </c>
      <c r="BE4929" s="33" t="n">
        <f aca="false">AZ4929-BD4929</f>
        <v>0</v>
      </c>
      <c r="BF4929" s="34" t="n">
        <f aca="false">BD4929*M4929</f>
        <v>10200</v>
      </c>
      <c r="BG4929" s="35" t="n">
        <f aca="false">BA4929-BF4929</f>
        <v>0</v>
      </c>
      <c r="BH4929" s="19" t="str">
        <f aca="false">IF(BG4929=0,"",IF(BG4929&lt;&gt;BA4929,"erreur de calcul",IF(BD4929&lt;&gt;0,"pas de prix",IF(M4929&lt;&gt; 0,"pas de quantité","pas de prix, ni de quantité"))))</f>
        <v/>
      </c>
      <c r="BI4929" s="19"/>
    </row>
    <row r="4930" customFormat="false" ht="15" hidden="false" customHeight="false" outlineLevel="0" collapsed="false">
      <c r="A4930" s="0" t="n">
        <v>14</v>
      </c>
      <c r="B4930" s="8" t="s">
        <v>24</v>
      </c>
      <c r="C4930" s="9" t="s">
        <v>25</v>
      </c>
      <c r="D4930" s="9" t="s">
        <v>26</v>
      </c>
      <c r="E4930" s="10" t="n">
        <v>1789</v>
      </c>
      <c r="F4930" s="9" t="s">
        <v>27</v>
      </c>
      <c r="G4930" s="9" t="s">
        <v>27</v>
      </c>
      <c r="H4930" s="11" t="n">
        <v>18</v>
      </c>
      <c r="I4930" s="11" t="s">
        <v>83</v>
      </c>
      <c r="J4930" s="14" t="n">
        <v>20</v>
      </c>
      <c r="K4930" s="14"/>
      <c r="L4930" s="16"/>
      <c r="M4930" s="27" t="n">
        <f aca="false">J4930+(K4930/20)+(L4930/240)</f>
        <v>20</v>
      </c>
      <c r="N4930" s="17" t="s">
        <v>81</v>
      </c>
      <c r="O4930" s="11"/>
      <c r="P4930" s="28"/>
      <c r="Q4930" s="28" t="n">
        <f aca="false">P4930*$M4930</f>
        <v>0</v>
      </c>
      <c r="R4930" s="28"/>
      <c r="S4930" s="28" t="n">
        <f aca="false">R4930*$M4930</f>
        <v>0</v>
      </c>
      <c r="T4930" s="28"/>
      <c r="U4930" s="28" t="n">
        <f aca="false">T4930*$M4930</f>
        <v>0</v>
      </c>
      <c r="V4930" s="28"/>
      <c r="W4930" s="28" t="n">
        <f aca="false">V4930*$M4930</f>
        <v>0</v>
      </c>
      <c r="X4930" s="29"/>
      <c r="Y4930" s="28" t="n">
        <f aca="false">X4930*$M4930</f>
        <v>0</v>
      </c>
      <c r="Z4930" s="28" t="n">
        <v>460</v>
      </c>
      <c r="AA4930" s="28" t="n">
        <v>9200</v>
      </c>
      <c r="AB4930" s="28"/>
      <c r="AC4930" s="28" t="n">
        <f aca="false">AB4930*$M4930</f>
        <v>0</v>
      </c>
      <c r="AD4930" s="28"/>
      <c r="AE4930" s="28" t="n">
        <f aca="false">AD4930*$M4930</f>
        <v>0</v>
      </c>
      <c r="AF4930" s="28"/>
      <c r="AG4930" s="28" t="n">
        <f aca="false">AF4930*$M4930</f>
        <v>0</v>
      </c>
      <c r="AH4930" s="28"/>
      <c r="AI4930" s="28" t="n">
        <f aca="false">AH4930*$M4930</f>
        <v>0</v>
      </c>
      <c r="AJ4930" s="28"/>
      <c r="AK4930" s="28" t="n">
        <f aca="false">AJ4930*$M4930</f>
        <v>0</v>
      </c>
      <c r="AL4930" s="28"/>
      <c r="AM4930" s="28" t="n">
        <f aca="false">AL4930*$M4930</f>
        <v>0</v>
      </c>
      <c r="AN4930" s="28"/>
      <c r="AO4930" s="28" t="n">
        <f aca="false">AN4930*$M4930</f>
        <v>0</v>
      </c>
      <c r="AP4930" s="28"/>
      <c r="AQ4930" s="28" t="n">
        <f aca="false">AP4930*$M4930</f>
        <v>0</v>
      </c>
      <c r="AR4930" s="28"/>
      <c r="AS4930" s="28" t="n">
        <f aca="false">AR4930*$M4930</f>
        <v>0</v>
      </c>
      <c r="AT4930" s="28"/>
      <c r="AU4930" s="28" t="n">
        <f aca="false">AT4930*$M4930</f>
        <v>0</v>
      </c>
      <c r="AV4930" s="28"/>
      <c r="AW4930" s="28" t="n">
        <f aca="false">AV4930*$M4930</f>
        <v>0</v>
      </c>
      <c r="AX4930" s="28"/>
      <c r="AY4930" s="28" t="n">
        <f aca="false">AX4930*$M4930</f>
        <v>0</v>
      </c>
      <c r="AZ4930" s="30" t="n">
        <v>460</v>
      </c>
      <c r="BA4930" s="11" t="n">
        <v>9200</v>
      </c>
      <c r="BB4930" s="31" t="n">
        <f aca="false">SUM(Q4930,S4930,U4930,W4930,Y4930,AA4930,AC4930,AE4930,AG4930,AI4930,AK4930,AM4930,AO4930,AQ4930,AS4930,AU4930,AW4930,AY4930)</f>
        <v>9200</v>
      </c>
      <c r="BC4930" s="28" t="n">
        <f aca="false">BA4930-BB4930</f>
        <v>0</v>
      </c>
      <c r="BD4930" s="32" t="n">
        <f aca="false">SUM(P4930,R4930,T4930,V4930,X4930,Z4930,AB4930,AD4930,AF4930,AH4930,AJ4930,AL4930,AN4930,AP4930,AR4930,AT4930,AV4930,AX4930)</f>
        <v>460</v>
      </c>
      <c r="BE4930" s="33" t="n">
        <f aca="false">AZ4930-BD4930</f>
        <v>0</v>
      </c>
      <c r="BF4930" s="34" t="n">
        <f aca="false">BD4930*M4930</f>
        <v>9200</v>
      </c>
      <c r="BG4930" s="35" t="n">
        <f aca="false">BA4930-BF4930</f>
        <v>0</v>
      </c>
      <c r="BH4930" s="19" t="str">
        <f aca="false">IF(BG4930=0,"",IF(BG4930&lt;&gt;BA4930,"erreur de calcul",IF(BD4930&lt;&gt;0,"pas de prix",IF(M4930&lt;&gt; 0,"pas de quantité","pas de prix, ni de quantité"))))</f>
        <v/>
      </c>
      <c r="BI4930" s="19"/>
    </row>
    <row r="4931" customFormat="false" ht="15" hidden="false" customHeight="false" outlineLevel="0" collapsed="false">
      <c r="A4931" s="0" t="n">
        <v>15</v>
      </c>
      <c r="B4931" s="8" t="s">
        <v>24</v>
      </c>
      <c r="C4931" s="9" t="s">
        <v>25</v>
      </c>
      <c r="D4931" s="9" t="s">
        <v>26</v>
      </c>
      <c r="E4931" s="10" t="n">
        <v>1789</v>
      </c>
      <c r="F4931" s="9" t="s">
        <v>27</v>
      </c>
      <c r="G4931" s="9" t="s">
        <v>27</v>
      </c>
      <c r="H4931" s="11" t="n">
        <v>18</v>
      </c>
      <c r="I4931" s="11" t="s">
        <v>84</v>
      </c>
      <c r="J4931" s="14" t="n">
        <v>16</v>
      </c>
      <c r="K4931" s="14"/>
      <c r="L4931" s="16"/>
      <c r="M4931" s="27" t="n">
        <f aca="false">J4931+(K4931/20)+(L4931/240)</f>
        <v>16</v>
      </c>
      <c r="N4931" s="17" t="s">
        <v>85</v>
      </c>
      <c r="O4931" s="11"/>
      <c r="P4931" s="28"/>
      <c r="Q4931" s="28" t="n">
        <f aca="false">P4931*$M4931</f>
        <v>0</v>
      </c>
      <c r="R4931" s="28"/>
      <c r="S4931" s="28" t="n">
        <f aca="false">R4931*$M4931</f>
        <v>0</v>
      </c>
      <c r="T4931" s="28" t="n">
        <f aca="false">1600/100</f>
        <v>16</v>
      </c>
      <c r="U4931" s="28" t="n">
        <v>256</v>
      </c>
      <c r="V4931" s="28" t="n">
        <f aca="false">227136/100</f>
        <v>2271.36</v>
      </c>
      <c r="W4931" s="28" t="n">
        <v>36342</v>
      </c>
      <c r="X4931" s="29"/>
      <c r="Y4931" s="28" t="n">
        <v>304</v>
      </c>
      <c r="Z4931" s="28" t="n">
        <f aca="false">6850/100</f>
        <v>68.5</v>
      </c>
      <c r="AA4931" s="28" t="n">
        <v>1096</v>
      </c>
      <c r="AB4931" s="28" t="n">
        <f aca="false">204300/100</f>
        <v>2043</v>
      </c>
      <c r="AC4931" s="28" t="n">
        <v>32688</v>
      </c>
      <c r="AD4931" s="28" t="n">
        <f aca="false">9750/100</f>
        <v>97.5</v>
      </c>
      <c r="AE4931" s="28" t="n">
        <v>1560</v>
      </c>
      <c r="AF4931" s="28"/>
      <c r="AG4931" s="28" t="n">
        <f aca="false">AF4931*$M4931</f>
        <v>0</v>
      </c>
      <c r="AH4931" s="28"/>
      <c r="AI4931" s="28" t="n">
        <f aca="false">AH4931*$M4931</f>
        <v>0</v>
      </c>
      <c r="AJ4931" s="28" t="n">
        <f aca="false">1414/100</f>
        <v>14.14</v>
      </c>
      <c r="AK4931" s="28" t="n">
        <v>226</v>
      </c>
      <c r="AL4931" s="28" t="n">
        <f aca="false">29500/100</f>
        <v>295</v>
      </c>
      <c r="AM4931" s="28" t="n">
        <v>4720</v>
      </c>
      <c r="AN4931" s="28"/>
      <c r="AO4931" s="28" t="n">
        <f aca="false">AN4931*$M4931</f>
        <v>0</v>
      </c>
      <c r="AP4931" s="28" t="n">
        <f aca="false">1520/100</f>
        <v>15.2</v>
      </c>
      <c r="AQ4931" s="28" t="n">
        <v>243</v>
      </c>
      <c r="AR4931" s="28"/>
      <c r="AS4931" s="28" t="n">
        <f aca="false">AR4931*$M4931</f>
        <v>0</v>
      </c>
      <c r="AT4931" s="28" t="n">
        <f aca="false">2100/100</f>
        <v>21</v>
      </c>
      <c r="AU4931" s="28" t="n">
        <v>336</v>
      </c>
      <c r="AV4931" s="28" t="n">
        <f aca="false">1320/100</f>
        <v>13.2</v>
      </c>
      <c r="AW4931" s="28" t="n">
        <v>211</v>
      </c>
      <c r="AX4931" s="28" t="n">
        <f aca="false">177746/100</f>
        <v>1777.46</v>
      </c>
      <c r="AY4931" s="28" t="n">
        <v>28439</v>
      </c>
      <c r="AZ4931" s="30" t="n">
        <f aca="false">665136/100</f>
        <v>6651.36</v>
      </c>
      <c r="BA4931" s="11" t="n">
        <v>106421</v>
      </c>
      <c r="BB4931" s="31" t="n">
        <f aca="false">SUM(Q4931,S4931,U4931,W4931,Y4931,AA4931,AC4931,AE4931,AG4931,AI4931,AK4931,AM4931,AO4931,AQ4931,AS4931,AU4931,AW4931,AY4931)</f>
        <v>106421</v>
      </c>
      <c r="BC4931" s="28" t="n">
        <f aca="false">BA4931-BB4931</f>
        <v>0</v>
      </c>
      <c r="BD4931" s="32" t="n">
        <f aca="false">SUM(P4931,R4931,T4931,V4931,X4931,Z4931,AB4931,AD4931,AF4931,AH4931,AJ4931,AL4931,AN4931,AP4931,AR4931,AT4931,AV4931,AX4931)</f>
        <v>6632.36</v>
      </c>
      <c r="BE4931" s="33" t="n">
        <f aca="false">AZ4931-BD4931</f>
        <v>18.9999999999991</v>
      </c>
      <c r="BF4931" s="34" t="n">
        <f aca="false">BD4931*M4931</f>
        <v>106117.76</v>
      </c>
      <c r="BG4931" s="35" t="n">
        <f aca="false">BA4931-BF4931</f>
        <v>303.239999999991</v>
      </c>
      <c r="BH4931" s="19" t="str">
        <f aca="false">IF(BG4931=0,"",IF(BG4931&lt;&gt;BA4931,"erreur de calcul",IF(BD4931&lt;&gt;0,"pas de prix",IF(M4931&lt;&gt; 0,"pas de quantité","pas de prix, ni de quantité"))))</f>
        <v>erreur de calcul</v>
      </c>
      <c r="BI4931" s="19"/>
    </row>
    <row r="4932" customFormat="false" ht="15" hidden="false" customHeight="false" outlineLevel="0" collapsed="false">
      <c r="A4932" s="0" t="n">
        <v>16</v>
      </c>
      <c r="B4932" s="8" t="s">
        <v>24</v>
      </c>
      <c r="C4932" s="9" t="s">
        <v>25</v>
      </c>
      <c r="D4932" s="9" t="s">
        <v>26</v>
      </c>
      <c r="E4932" s="10" t="n">
        <v>1789</v>
      </c>
      <c r="F4932" s="9" t="s">
        <v>27</v>
      </c>
      <c r="G4932" s="9" t="s">
        <v>27</v>
      </c>
      <c r="H4932" s="11" t="n">
        <v>18</v>
      </c>
      <c r="I4932" s="11" t="s">
        <v>86</v>
      </c>
      <c r="J4932" s="14" t="n">
        <v>55</v>
      </c>
      <c r="K4932" s="14"/>
      <c r="L4932" s="16"/>
      <c r="M4932" s="27" t="n">
        <f aca="false">J4932+(K4932/20)+(L4932/240)</f>
        <v>55</v>
      </c>
      <c r="N4932" s="17" t="s">
        <v>81</v>
      </c>
      <c r="O4932" s="11"/>
      <c r="P4932" s="28"/>
      <c r="Q4932" s="28" t="n">
        <f aca="false">P4932*$M4932</f>
        <v>0</v>
      </c>
      <c r="R4932" s="28"/>
      <c r="S4932" s="28" t="n">
        <f aca="false">R4932*$M4932</f>
        <v>0</v>
      </c>
      <c r="T4932" s="28"/>
      <c r="U4932" s="28" t="n">
        <f aca="false">T4932*$M4932</f>
        <v>0</v>
      </c>
      <c r="V4932" s="28"/>
      <c r="W4932" s="28" t="n">
        <f aca="false">V4932*$M4932</f>
        <v>0</v>
      </c>
      <c r="X4932" s="29"/>
      <c r="Y4932" s="28" t="n">
        <f aca="false">X4932*$M4932</f>
        <v>0</v>
      </c>
      <c r="Z4932" s="28"/>
      <c r="AA4932" s="28" t="n">
        <f aca="false">Z4932*$M4932</f>
        <v>0</v>
      </c>
      <c r="AB4932" s="28"/>
      <c r="AC4932" s="28" t="n">
        <f aca="false">AB4932*$M4932</f>
        <v>0</v>
      </c>
      <c r="AD4932" s="28"/>
      <c r="AE4932" s="28" t="n">
        <f aca="false">AD4932*$M4932</f>
        <v>0</v>
      </c>
      <c r="AF4932" s="28"/>
      <c r="AG4932" s="28" t="n">
        <f aca="false">AF4932*$M4932</f>
        <v>0</v>
      </c>
      <c r="AH4932" s="28"/>
      <c r="AI4932" s="28" t="n">
        <f aca="false">AH4932*$M4932</f>
        <v>0</v>
      </c>
      <c r="AJ4932" s="28"/>
      <c r="AK4932" s="28" t="n">
        <f aca="false">AJ4932*$M4932</f>
        <v>0</v>
      </c>
      <c r="AL4932" s="28"/>
      <c r="AM4932" s="28" t="n">
        <f aca="false">AL4932*$M4932</f>
        <v>0</v>
      </c>
      <c r="AN4932" s="28"/>
      <c r="AO4932" s="28" t="n">
        <f aca="false">AN4932*$M4932</f>
        <v>0</v>
      </c>
      <c r="AP4932" s="28"/>
      <c r="AQ4932" s="28" t="n">
        <f aca="false">AP4932*$M4932</f>
        <v>0</v>
      </c>
      <c r="AR4932" s="28"/>
      <c r="AS4932" s="28" t="n">
        <f aca="false">AR4932*$M4932</f>
        <v>0</v>
      </c>
      <c r="AT4932" s="28" t="n">
        <v>319</v>
      </c>
      <c r="AU4932" s="28" t="n">
        <v>17545</v>
      </c>
      <c r="AV4932" s="28"/>
      <c r="AW4932" s="28" t="n">
        <f aca="false">AV4932*$M4932</f>
        <v>0</v>
      </c>
      <c r="AX4932" s="28"/>
      <c r="AY4932" s="28" t="n">
        <f aca="false">AX4932*$M4932</f>
        <v>0</v>
      </c>
      <c r="AZ4932" s="30" t="n">
        <v>319</v>
      </c>
      <c r="BA4932" s="11" t="n">
        <v>17545</v>
      </c>
      <c r="BB4932" s="31" t="n">
        <f aca="false">SUM(Q4932,S4932,U4932,W4932,Y4932,AA4932,AC4932,AE4932,AG4932,AI4932,AK4932,AM4932,AO4932,AQ4932,AS4932,AU4932,AW4932,AY4932)</f>
        <v>17545</v>
      </c>
      <c r="BC4932" s="28" t="n">
        <f aca="false">BA4932-BB4932</f>
        <v>0</v>
      </c>
      <c r="BD4932" s="32" t="n">
        <f aca="false">SUM(P4932,R4932,T4932,V4932,X4932,Z4932,AB4932,AD4932,AF4932,AH4932,AJ4932,AL4932,AN4932,AP4932,AR4932,AT4932,AV4932,AX4932)</f>
        <v>319</v>
      </c>
      <c r="BE4932" s="33" t="n">
        <f aca="false">AZ4932-BD4932</f>
        <v>0</v>
      </c>
      <c r="BF4932" s="34" t="n">
        <f aca="false">BD4932*M4932</f>
        <v>17545</v>
      </c>
      <c r="BG4932" s="35" t="n">
        <f aca="false">BA4932-BF4932</f>
        <v>0</v>
      </c>
      <c r="BH4932" s="19" t="str">
        <f aca="false">IF(BG4932=0,"",IF(BG4932&lt;&gt;BA4932,"erreur de calcul",IF(BD4932&lt;&gt;0,"pas de prix",IF(M4932&lt;&gt; 0,"pas de quantité","pas de prix, ni de quantité"))))</f>
        <v/>
      </c>
      <c r="BI4932" s="19"/>
    </row>
    <row r="4933" customFormat="false" ht="15" hidden="false" customHeight="false" outlineLevel="0" collapsed="false">
      <c r="A4933" s="0" t="n">
        <v>17</v>
      </c>
      <c r="B4933" s="8" t="s">
        <v>24</v>
      </c>
      <c r="C4933" s="9" t="s">
        <v>25</v>
      </c>
      <c r="D4933" s="9" t="s">
        <v>26</v>
      </c>
      <c r="E4933" s="10" t="n">
        <v>1789</v>
      </c>
      <c r="F4933" s="9" t="s">
        <v>27</v>
      </c>
      <c r="G4933" s="9" t="s">
        <v>27</v>
      </c>
      <c r="H4933" s="11" t="n">
        <v>18</v>
      </c>
      <c r="I4933" s="11" t="s">
        <v>87</v>
      </c>
      <c r="J4933" s="14" t="n">
        <v>6</v>
      </c>
      <c r="K4933" s="14"/>
      <c r="L4933" s="16"/>
      <c r="M4933" s="27" t="n">
        <f aca="false">J4933+(K4933/20)+(L4933/240)</f>
        <v>6</v>
      </c>
      <c r="N4933" s="17" t="s">
        <v>69</v>
      </c>
      <c r="O4933" s="11" t="s">
        <v>77</v>
      </c>
      <c r="P4933" s="28"/>
      <c r="Q4933" s="28" t="n">
        <f aca="false">P4933*$M4933</f>
        <v>0</v>
      </c>
      <c r="R4933" s="28" t="n">
        <v>63</v>
      </c>
      <c r="S4933" s="28" t="n">
        <v>378</v>
      </c>
      <c r="T4933" s="28" t="n">
        <v>2406</v>
      </c>
      <c r="U4933" s="28" t="n">
        <v>14436</v>
      </c>
      <c r="V4933" s="28" t="n">
        <v>222</v>
      </c>
      <c r="W4933" s="28" t="n">
        <v>1332</v>
      </c>
      <c r="X4933" s="29"/>
      <c r="Y4933" s="28" t="n">
        <f aca="false">X4933*$M4933</f>
        <v>0</v>
      </c>
      <c r="Z4933" s="28"/>
      <c r="AA4933" s="28" t="n">
        <f aca="false">Z4933*$M4933</f>
        <v>0</v>
      </c>
      <c r="AB4933" s="28"/>
      <c r="AC4933" s="28" t="n">
        <f aca="false">AB4933*$M4933</f>
        <v>0</v>
      </c>
      <c r="AD4933" s="28" t="n">
        <v>330</v>
      </c>
      <c r="AE4933" s="28" t="n">
        <v>1980</v>
      </c>
      <c r="AF4933" s="28"/>
      <c r="AG4933" s="28" t="n">
        <f aca="false">AF4933*$M4933</f>
        <v>0</v>
      </c>
      <c r="AH4933" s="28"/>
      <c r="AI4933" s="28" t="n">
        <f aca="false">AH4933*$M4933</f>
        <v>0</v>
      </c>
      <c r="AJ4933" s="28"/>
      <c r="AK4933" s="28" t="n">
        <f aca="false">AJ4933*$M4933</f>
        <v>0</v>
      </c>
      <c r="AL4933" s="28"/>
      <c r="AM4933" s="28" t="n">
        <f aca="false">AL4933*$M4933</f>
        <v>0</v>
      </c>
      <c r="AN4933" s="28"/>
      <c r="AO4933" s="28" t="n">
        <f aca="false">AN4933*$M4933</f>
        <v>0</v>
      </c>
      <c r="AP4933" s="28"/>
      <c r="AQ4933" s="28" t="n">
        <f aca="false">AP4933*$M4933</f>
        <v>0</v>
      </c>
      <c r="AR4933" s="28"/>
      <c r="AS4933" s="28" t="n">
        <f aca="false">AR4933*$M4933</f>
        <v>0</v>
      </c>
      <c r="AT4933" s="28"/>
      <c r="AU4933" s="28" t="n">
        <f aca="false">AT4933*$M4933</f>
        <v>0</v>
      </c>
      <c r="AV4933" s="28"/>
      <c r="AW4933" s="28" t="n">
        <f aca="false">AV4933*$M4933</f>
        <v>0</v>
      </c>
      <c r="AX4933" s="28"/>
      <c r="AY4933" s="28" t="n">
        <f aca="false">AX4933*$M4933</f>
        <v>0</v>
      </c>
      <c r="AZ4933" s="30" t="n">
        <v>3021</v>
      </c>
      <c r="BA4933" s="11" t="n">
        <v>18126</v>
      </c>
      <c r="BB4933" s="31" t="n">
        <f aca="false">SUM(Q4933,S4933,U4933,W4933,Y4933,AA4933,AC4933,AE4933,AG4933,AI4933,AK4933,AM4933,AO4933,AQ4933,AS4933,AU4933,AW4933,AY4933)</f>
        <v>18126</v>
      </c>
      <c r="BC4933" s="28" t="n">
        <f aca="false">BA4933-BB4933</f>
        <v>0</v>
      </c>
      <c r="BD4933" s="32" t="n">
        <f aca="false">SUM(P4933,R4933,T4933,V4933,X4933,Z4933,AB4933,AD4933,AF4933,AH4933,AJ4933,AL4933,AN4933,AP4933,AR4933,AT4933,AV4933,AX4933)</f>
        <v>3021</v>
      </c>
      <c r="BE4933" s="33" t="n">
        <f aca="false">AZ4933-BD4933</f>
        <v>0</v>
      </c>
      <c r="BF4933" s="34" t="n">
        <f aca="false">BD4933*M4933</f>
        <v>18126</v>
      </c>
      <c r="BG4933" s="35" t="n">
        <f aca="false">BA4933-BF4933</f>
        <v>0</v>
      </c>
      <c r="BH4933" s="19" t="str">
        <f aca="false">IF(BG4933=0,"",IF(BG4933&lt;&gt;BA4933,"erreur de calcul",IF(BD4933&lt;&gt;0,"pas de prix",IF(M4933&lt;&gt; 0,"pas de quantité","pas de prix, ni de quantité"))))</f>
        <v/>
      </c>
      <c r="BI4933" s="19"/>
    </row>
    <row r="4934" customFormat="false" ht="15" hidden="false" customHeight="false" outlineLevel="0" collapsed="false">
      <c r="A4934" s="0" t="n">
        <v>18</v>
      </c>
      <c r="B4934" s="8" t="s">
        <v>24</v>
      </c>
      <c r="C4934" s="9" t="s">
        <v>25</v>
      </c>
      <c r="D4934" s="9" t="s">
        <v>26</v>
      </c>
      <c r="E4934" s="10" t="n">
        <v>1789</v>
      </c>
      <c r="F4934" s="9" t="s">
        <v>27</v>
      </c>
      <c r="G4934" s="9" t="s">
        <v>27</v>
      </c>
      <c r="H4934" s="11" t="n">
        <v>18</v>
      </c>
      <c r="I4934" s="11" t="s">
        <v>88</v>
      </c>
      <c r="J4934" s="14" t="n">
        <v>26</v>
      </c>
      <c r="K4934" s="14"/>
      <c r="L4934" s="16"/>
      <c r="M4934" s="27" t="n">
        <f aca="false">J4934+(K4934/20)+(L4934/240)</f>
        <v>26</v>
      </c>
      <c r="N4934" s="17" t="s">
        <v>69</v>
      </c>
      <c r="O4934" s="11"/>
      <c r="P4934" s="28"/>
      <c r="Q4934" s="28" t="n">
        <f aca="false">P4934*$M4934</f>
        <v>0</v>
      </c>
      <c r="R4934" s="28"/>
      <c r="S4934" s="28" t="n">
        <f aca="false">R4934*$M4934</f>
        <v>0</v>
      </c>
      <c r="T4934" s="28"/>
      <c r="U4934" s="28" t="n">
        <f aca="false">T4934*$M4934</f>
        <v>0</v>
      </c>
      <c r="V4934" s="28"/>
      <c r="W4934" s="28" t="n">
        <f aca="false">V4934*$M4934</f>
        <v>0</v>
      </c>
      <c r="X4934" s="29"/>
      <c r="Y4934" s="28" t="n">
        <f aca="false">X4934*$M4934</f>
        <v>0</v>
      </c>
      <c r="Z4934" s="28"/>
      <c r="AA4934" s="28" t="n">
        <f aca="false">Z4934*$M4934</f>
        <v>0</v>
      </c>
      <c r="AB4934" s="28"/>
      <c r="AC4934" s="28" t="n">
        <f aca="false">AB4934*$M4934</f>
        <v>0</v>
      </c>
      <c r="AD4934" s="28"/>
      <c r="AE4934" s="28" t="n">
        <f aca="false">AD4934*$M4934</f>
        <v>0</v>
      </c>
      <c r="AF4934" s="28"/>
      <c r="AG4934" s="28" t="n">
        <f aca="false">AF4934*$M4934</f>
        <v>0</v>
      </c>
      <c r="AH4934" s="28"/>
      <c r="AI4934" s="28" t="n">
        <f aca="false">AH4934*$M4934</f>
        <v>0</v>
      </c>
      <c r="AJ4934" s="28"/>
      <c r="AK4934" s="28" t="n">
        <f aca="false">AJ4934*$M4934</f>
        <v>0</v>
      </c>
      <c r="AL4934" s="28" t="n">
        <v>150</v>
      </c>
      <c r="AM4934" s="28" t="n">
        <v>3900</v>
      </c>
      <c r="AN4934" s="28"/>
      <c r="AO4934" s="28" t="n">
        <f aca="false">AN4934*$M4934</f>
        <v>0</v>
      </c>
      <c r="AP4934" s="28" t="n">
        <v>4140</v>
      </c>
      <c r="AQ4934" s="28" t="n">
        <v>107640</v>
      </c>
      <c r="AR4934" s="28" t="n">
        <v>6957</v>
      </c>
      <c r="AS4934" s="28" t="n">
        <v>180882</v>
      </c>
      <c r="AT4934" s="28" t="n">
        <v>171</v>
      </c>
      <c r="AU4934" s="28" t="n">
        <v>4446</v>
      </c>
      <c r="AV4934" s="28" t="n">
        <v>838</v>
      </c>
      <c r="AW4934" s="28" t="n">
        <v>21788</v>
      </c>
      <c r="AX4934" s="28" t="n">
        <v>35</v>
      </c>
      <c r="AY4934" s="28" t="n">
        <v>910</v>
      </c>
      <c r="AZ4934" s="30" t="n">
        <v>12291</v>
      </c>
      <c r="BA4934" s="11" t="n">
        <v>319566</v>
      </c>
      <c r="BB4934" s="31" t="n">
        <f aca="false">SUM(Q4934,S4934,U4934,W4934,Y4934,AA4934,AC4934,AE4934,AG4934,AI4934,AK4934,AM4934,AO4934,AQ4934,AS4934,AU4934,AW4934,AY4934)</f>
        <v>319566</v>
      </c>
      <c r="BC4934" s="28" t="n">
        <f aca="false">BA4934-BB4934</f>
        <v>0</v>
      </c>
      <c r="BD4934" s="32" t="n">
        <f aca="false">SUM(P4934,R4934,T4934,V4934,X4934,Z4934,AB4934,AD4934,AF4934,AH4934,AJ4934,AL4934,AN4934,AP4934,AR4934,AT4934,AV4934,AX4934)</f>
        <v>12291</v>
      </c>
      <c r="BE4934" s="33" t="n">
        <f aca="false">AZ4934-BD4934</f>
        <v>0</v>
      </c>
      <c r="BF4934" s="34" t="n">
        <f aca="false">BD4934*M4934</f>
        <v>319566</v>
      </c>
      <c r="BG4934" s="35" t="n">
        <f aca="false">BA4934-BF4934</f>
        <v>0</v>
      </c>
      <c r="BH4934" s="19" t="str">
        <f aca="false">IF(BG4934=0,"",IF(BG4934&lt;&gt;BA4934,"erreur de calcul",IF(BD4934&lt;&gt;0,"pas de prix",IF(M4934&lt;&gt; 0,"pas de quantité","pas de prix, ni de quantité"))))</f>
        <v/>
      </c>
      <c r="BI4934" s="19"/>
    </row>
    <row r="4935" customFormat="false" ht="15" hidden="false" customHeight="false" outlineLevel="0" collapsed="false">
      <c r="A4935" s="0" t="n">
        <v>19</v>
      </c>
      <c r="B4935" s="8" t="s">
        <v>24</v>
      </c>
      <c r="C4935" s="9" t="s">
        <v>25</v>
      </c>
      <c r="D4935" s="9" t="s">
        <v>26</v>
      </c>
      <c r="E4935" s="10" t="n">
        <v>1789</v>
      </c>
      <c r="F4935" s="9" t="s">
        <v>27</v>
      </c>
      <c r="G4935" s="9" t="s">
        <v>27</v>
      </c>
      <c r="H4935" s="11" t="n">
        <v>18</v>
      </c>
      <c r="I4935" s="11" t="s">
        <v>89</v>
      </c>
      <c r="J4935" s="14" t="n">
        <v>7</v>
      </c>
      <c r="K4935" s="14"/>
      <c r="L4935" s="16"/>
      <c r="M4935" s="27" t="n">
        <f aca="false">J4935+(K4935/20)+(L4935/240)</f>
        <v>7</v>
      </c>
      <c r="N4935" s="17" t="s">
        <v>81</v>
      </c>
      <c r="O4935" s="11" t="s">
        <v>77</v>
      </c>
      <c r="P4935" s="28"/>
      <c r="Q4935" s="28" t="n">
        <f aca="false">P4935*$M4935</f>
        <v>0</v>
      </c>
      <c r="R4935" s="28"/>
      <c r="S4935" s="28" t="n">
        <f aca="false">R4935*$M4935</f>
        <v>0</v>
      </c>
      <c r="T4935" s="28"/>
      <c r="U4935" s="28" t="n">
        <f aca="false">T4935*$M4935</f>
        <v>0</v>
      </c>
      <c r="V4935" s="28"/>
      <c r="W4935" s="28" t="n">
        <f aca="false">V4935*$M4935</f>
        <v>0</v>
      </c>
      <c r="X4935" s="29"/>
      <c r="Y4935" s="28" t="n">
        <f aca="false">X4935*$M4935</f>
        <v>0</v>
      </c>
      <c r="Z4935" s="28"/>
      <c r="AA4935" s="28" t="n">
        <f aca="false">Z4935*$M4935</f>
        <v>0</v>
      </c>
      <c r="AB4935" s="28"/>
      <c r="AC4935" s="28" t="n">
        <f aca="false">AB4935*$M4935</f>
        <v>0</v>
      </c>
      <c r="AD4935" s="28"/>
      <c r="AE4935" s="28" t="n">
        <f aca="false">AD4935*$M4935</f>
        <v>0</v>
      </c>
      <c r="AF4935" s="28"/>
      <c r="AG4935" s="28" t="n">
        <f aca="false">AF4935*$M4935</f>
        <v>0</v>
      </c>
      <c r="AH4935" s="28"/>
      <c r="AI4935" s="28" t="n">
        <f aca="false">AH4935*$M4935</f>
        <v>0</v>
      </c>
      <c r="AJ4935" s="28"/>
      <c r="AK4935" s="28" t="n">
        <f aca="false">AJ4935*$M4935</f>
        <v>0</v>
      </c>
      <c r="AL4935" s="28"/>
      <c r="AM4935" s="28" t="n">
        <f aca="false">AL4935*$M4935</f>
        <v>0</v>
      </c>
      <c r="AN4935" s="28"/>
      <c r="AO4935" s="28" t="n">
        <f aca="false">AN4935*$M4935</f>
        <v>0</v>
      </c>
      <c r="AP4935" s="38" t="n">
        <v>1763</v>
      </c>
      <c r="AQ4935" s="28" t="n">
        <v>42312</v>
      </c>
      <c r="AR4935" s="28"/>
      <c r="AS4935" s="28" t="n">
        <f aca="false">AR4935*$M4935</f>
        <v>0</v>
      </c>
      <c r="AT4935" s="28"/>
      <c r="AU4935" s="28" t="n">
        <f aca="false">AT4935*$M4935</f>
        <v>0</v>
      </c>
      <c r="AV4935" s="38" t="n">
        <v>377</v>
      </c>
      <c r="AW4935" s="28" t="n">
        <v>9425</v>
      </c>
      <c r="AX4935" s="28"/>
      <c r="AY4935" s="28" t="n">
        <f aca="false">AX4935*$M4935</f>
        <v>0</v>
      </c>
      <c r="AZ4935" s="30" t="n">
        <v>2140</v>
      </c>
      <c r="BA4935" s="11" t="n">
        <v>51737</v>
      </c>
      <c r="BB4935" s="31" t="n">
        <f aca="false">SUM(Q4935,S4935,U4935,W4935,Y4935,AA4935,AC4935,AE4935,AG4935,AI4935,AK4935,AM4935,AO4935,AQ4935,AS4935,AU4935,AW4935,AY4935)</f>
        <v>51737</v>
      </c>
      <c r="BC4935" s="28" t="n">
        <f aca="false">BA4935-BB4935</f>
        <v>0</v>
      </c>
      <c r="BD4935" s="32" t="n">
        <f aca="false">SUM(P4935,R4935,T4935,V4935,X4935,Z4935,AB4935,AD4935,AF4935,AH4935,AJ4935,AL4935,AN4935,AP4935,AR4935,AT4935,AV4935,AX4935)</f>
        <v>2140</v>
      </c>
      <c r="BE4935" s="33" t="n">
        <f aca="false">AZ4935-BD4935</f>
        <v>0</v>
      </c>
      <c r="BF4935" s="34" t="n">
        <f aca="false">BD4935*M4935</f>
        <v>14980</v>
      </c>
      <c r="BG4935" s="35" t="n">
        <f aca="false">BA4935-BF4935</f>
        <v>36757</v>
      </c>
      <c r="BH4935" s="19" t="str">
        <f aca="false">IF(BG4935=0,"",IF(BG4935&lt;&gt;BA4935,"erreur de calcul",IF(BD4935&lt;&gt;0,"pas de prix",IF(M4935&lt;&gt; 0,"pas de quantité","pas de prix, ni de quantité"))))</f>
        <v>erreur de calcul</v>
      </c>
      <c r="BI4935" s="19" t="s">
        <v>90</v>
      </c>
    </row>
    <row r="4936" customFormat="false" ht="15" hidden="false" customHeight="false" outlineLevel="0" collapsed="false">
      <c r="A4936" s="0" t="n">
        <v>20</v>
      </c>
      <c r="B4936" s="8" t="s">
        <v>24</v>
      </c>
      <c r="C4936" s="9" t="s">
        <v>25</v>
      </c>
      <c r="D4936" s="9" t="s">
        <v>26</v>
      </c>
      <c r="E4936" s="10" t="n">
        <v>1789</v>
      </c>
      <c r="F4936" s="9" t="s">
        <v>27</v>
      </c>
      <c r="G4936" s="9" t="s">
        <v>27</v>
      </c>
      <c r="H4936" s="11" t="n">
        <v>18</v>
      </c>
      <c r="I4936" s="11" t="s">
        <v>91</v>
      </c>
      <c r="J4936" s="14" t="n">
        <v>30</v>
      </c>
      <c r="K4936" s="14"/>
      <c r="L4936" s="16"/>
      <c r="M4936" s="27" t="n">
        <f aca="false">J4936+(K4936/20)+(L4936/240)</f>
        <v>30</v>
      </c>
      <c r="N4936" s="17" t="s">
        <v>64</v>
      </c>
      <c r="O4936" s="11"/>
      <c r="P4936" s="28"/>
      <c r="Q4936" s="28" t="n">
        <f aca="false">P4936*$M4936</f>
        <v>0</v>
      </c>
      <c r="R4936" s="28"/>
      <c r="S4936" s="28" t="n">
        <f aca="false">R4936*$M4936</f>
        <v>0</v>
      </c>
      <c r="T4936" s="28"/>
      <c r="U4936" s="28" t="n">
        <f aca="false">T4936*$M4936</f>
        <v>0</v>
      </c>
      <c r="V4936" s="28" t="n">
        <f aca="false">12300/100</f>
        <v>123</v>
      </c>
      <c r="W4936" s="28" t="n">
        <v>3690</v>
      </c>
      <c r="X4936" s="29"/>
      <c r="Y4936" s="28" t="n">
        <f aca="false">X4936*$M4936</f>
        <v>0</v>
      </c>
      <c r="Z4936" s="28"/>
      <c r="AA4936" s="28" t="n">
        <f aca="false">Z4936*$M4936</f>
        <v>0</v>
      </c>
      <c r="AB4936" s="28" t="n">
        <f aca="false">16277/100</f>
        <v>162.77</v>
      </c>
      <c r="AC4936" s="28" t="n">
        <v>4883</v>
      </c>
      <c r="AD4936" s="28"/>
      <c r="AE4936" s="28" t="n">
        <f aca="false">AD4936*$M4936</f>
        <v>0</v>
      </c>
      <c r="AF4936" s="28"/>
      <c r="AG4936" s="28" t="n">
        <f aca="false">AF4936*$M4936</f>
        <v>0</v>
      </c>
      <c r="AH4936" s="28"/>
      <c r="AI4936" s="28" t="n">
        <f aca="false">AH4936*$M4936</f>
        <v>0</v>
      </c>
      <c r="AJ4936" s="28"/>
      <c r="AK4936" s="28" t="n">
        <f aca="false">AJ4936*$M4936</f>
        <v>0</v>
      </c>
      <c r="AL4936" s="28"/>
      <c r="AM4936" s="28" t="n">
        <f aca="false">AL4936*$M4936</f>
        <v>0</v>
      </c>
      <c r="AN4936" s="28"/>
      <c r="AO4936" s="28" t="n">
        <f aca="false">AN4936*$M4936</f>
        <v>0</v>
      </c>
      <c r="AP4936" s="28"/>
      <c r="AQ4936" s="28" t="n">
        <f aca="false">AP4936*$M4936</f>
        <v>0</v>
      </c>
      <c r="AR4936" s="28"/>
      <c r="AS4936" s="28" t="n">
        <f aca="false">AR4936*$M4936</f>
        <v>0</v>
      </c>
      <c r="AT4936" s="28"/>
      <c r="AU4936" s="28" t="n">
        <f aca="false">AT4936*$M4936</f>
        <v>0</v>
      </c>
      <c r="AV4936" s="28"/>
      <c r="AW4936" s="28" t="n">
        <f aca="false">AV4936*$M4936</f>
        <v>0</v>
      </c>
      <c r="AX4936" s="28"/>
      <c r="AY4936" s="28" t="n">
        <f aca="false">AX4936*$M4936</f>
        <v>0</v>
      </c>
      <c r="AZ4936" s="30" t="n">
        <f aca="false">28577/100</f>
        <v>285.77</v>
      </c>
      <c r="BA4936" s="11" t="n">
        <v>8573</v>
      </c>
      <c r="BB4936" s="31" t="n">
        <f aca="false">SUM(Q4936,S4936,U4936,W4936,Y4936,AA4936,AC4936,AE4936,AG4936,AI4936,AK4936,AM4936,AO4936,AQ4936,AS4936,AU4936,AW4936,AY4936)</f>
        <v>8573</v>
      </c>
      <c r="BC4936" s="28" t="n">
        <f aca="false">BA4936-BB4936</f>
        <v>0</v>
      </c>
      <c r="BD4936" s="32" t="n">
        <f aca="false">SUM(P4936,R4936,T4936,V4936,X4936,Z4936,AB4936,AD4936,AF4936,AH4936,AJ4936,AL4936,AN4936,AP4936,AR4936,AT4936,AV4936,AX4936)</f>
        <v>285.77</v>
      </c>
      <c r="BE4936" s="33" t="n">
        <f aca="false">AZ4936-BD4936</f>
        <v>0</v>
      </c>
      <c r="BF4936" s="34" t="n">
        <f aca="false">BD4936*M4936</f>
        <v>8573.1</v>
      </c>
      <c r="BG4936" s="35" t="n">
        <f aca="false">BA4936-BF4936</f>
        <v>-0.0999999999985448</v>
      </c>
      <c r="BH4936" s="19" t="str">
        <f aca="false">IF(BG4936=0,"",IF(BG4936&lt;&gt;BA4936,"erreur de calcul",IF(BD4936&lt;&gt;0,"pas de prix",IF(M4936&lt;&gt; 0,"pas de quantité","pas de prix, ni de quantité"))))</f>
        <v>erreur de calcul</v>
      </c>
      <c r="BI4936" s="19"/>
    </row>
    <row r="4937" customFormat="false" ht="15" hidden="false" customHeight="false" outlineLevel="0" collapsed="false">
      <c r="A4937" s="0" t="n">
        <v>21</v>
      </c>
      <c r="B4937" s="8" t="s">
        <v>24</v>
      </c>
      <c r="C4937" s="9" t="s">
        <v>25</v>
      </c>
      <c r="D4937" s="9" t="s">
        <v>26</v>
      </c>
      <c r="E4937" s="10" t="n">
        <v>1789</v>
      </c>
      <c r="F4937" s="9" t="s">
        <v>27</v>
      </c>
      <c r="G4937" s="9" t="s">
        <v>27</v>
      </c>
      <c r="H4937" s="11" t="n">
        <v>18</v>
      </c>
      <c r="I4937" s="11" t="s">
        <v>92</v>
      </c>
      <c r="J4937" s="14"/>
      <c r="K4937" s="14" t="n">
        <v>25</v>
      </c>
      <c r="L4937" s="16"/>
      <c r="M4937" s="27" t="n">
        <f aca="false">J4937+(K4937/20)+(L4937/240)</f>
        <v>1.25</v>
      </c>
      <c r="N4937" s="17" t="s">
        <v>81</v>
      </c>
      <c r="O4937" s="11"/>
      <c r="P4937" s="28"/>
      <c r="Q4937" s="28" t="n">
        <f aca="false">P4937*$M4937</f>
        <v>0</v>
      </c>
      <c r="R4937" s="28"/>
      <c r="S4937" s="28" t="n">
        <f aca="false">R4937*$M4937</f>
        <v>0</v>
      </c>
      <c r="T4937" s="28"/>
      <c r="U4937" s="28" t="n">
        <f aca="false">T4937*$M4937</f>
        <v>0</v>
      </c>
      <c r="V4937" s="28" t="n">
        <v>17192</v>
      </c>
      <c r="W4937" s="28" t="n">
        <v>21490</v>
      </c>
      <c r="X4937" s="29"/>
      <c r="Y4937" s="28" t="n">
        <f aca="false">X4937*$M4937</f>
        <v>0</v>
      </c>
      <c r="Z4937" s="28"/>
      <c r="AA4937" s="28" t="n">
        <f aca="false">Z4937*$M4937</f>
        <v>0</v>
      </c>
      <c r="AB4937" s="28"/>
      <c r="AC4937" s="28" t="n">
        <f aca="false">AB4937*$M4937</f>
        <v>0</v>
      </c>
      <c r="AD4937" s="28"/>
      <c r="AE4937" s="28" t="n">
        <f aca="false">AD4937*$M4937</f>
        <v>0</v>
      </c>
      <c r="AF4937" s="28"/>
      <c r="AG4937" s="28" t="n">
        <f aca="false">AF4937*$M4937</f>
        <v>0</v>
      </c>
      <c r="AH4937" s="28"/>
      <c r="AI4937" s="28" t="n">
        <f aca="false">AH4937*$M4937</f>
        <v>0</v>
      </c>
      <c r="AJ4937" s="28"/>
      <c r="AK4937" s="28" t="n">
        <f aca="false">AJ4937*$M4937</f>
        <v>0</v>
      </c>
      <c r="AL4937" s="28"/>
      <c r="AM4937" s="28" t="n">
        <f aca="false">AL4937*$M4937</f>
        <v>0</v>
      </c>
      <c r="AN4937" s="28"/>
      <c r="AO4937" s="28" t="n">
        <f aca="false">AN4937*$M4937</f>
        <v>0</v>
      </c>
      <c r="AP4937" s="28"/>
      <c r="AQ4937" s="28" t="n">
        <f aca="false">AP4937*$M4937</f>
        <v>0</v>
      </c>
      <c r="AR4937" s="28"/>
      <c r="AS4937" s="28" t="n">
        <f aca="false">AR4937*$M4937</f>
        <v>0</v>
      </c>
      <c r="AT4937" s="28"/>
      <c r="AU4937" s="28" t="n">
        <f aca="false">AT4937*$M4937</f>
        <v>0</v>
      </c>
      <c r="AV4937" s="28"/>
      <c r="AW4937" s="28" t="n">
        <f aca="false">AV4937*$M4937</f>
        <v>0</v>
      </c>
      <c r="AX4937" s="28"/>
      <c r="AY4937" s="28" t="n">
        <f aca="false">AX4937*$M4937</f>
        <v>0</v>
      </c>
      <c r="AZ4937" s="30" t="n">
        <v>17192</v>
      </c>
      <c r="BA4937" s="11" t="n">
        <v>21490</v>
      </c>
      <c r="BB4937" s="31" t="n">
        <f aca="false">SUM(Q4937,S4937,U4937,W4937,Y4937,AA4937,AC4937,AE4937,AG4937,AI4937,AK4937,AM4937,AO4937,AQ4937,AS4937,AU4937,AW4937,AY4937)</f>
        <v>21490</v>
      </c>
      <c r="BC4937" s="28" t="n">
        <f aca="false">BA4937-BB4937</f>
        <v>0</v>
      </c>
      <c r="BD4937" s="32" t="n">
        <f aca="false">SUM(P4937,R4937,T4937,V4937,X4937,Z4937,AB4937,AD4937,AF4937,AH4937,AJ4937,AL4937,AN4937,AP4937,AR4937,AT4937,AV4937,AX4937)</f>
        <v>17192</v>
      </c>
      <c r="BE4937" s="33" t="n">
        <f aca="false">AZ4937-BD4937</f>
        <v>0</v>
      </c>
      <c r="BF4937" s="34" t="n">
        <f aca="false">BD4937*M4937</f>
        <v>21490</v>
      </c>
      <c r="BG4937" s="35" t="n">
        <f aca="false">BA4937-BF4937</f>
        <v>0</v>
      </c>
      <c r="BH4937" s="19" t="str">
        <f aca="false">IF(BG4937=0,"",IF(BG4937&lt;&gt;BA4937,"erreur de calcul",IF(BD4937&lt;&gt;0,"pas de prix",IF(M4937&lt;&gt; 0,"pas de quantité","pas de prix, ni de quantité"))))</f>
        <v/>
      </c>
      <c r="BI4937" s="19"/>
    </row>
    <row r="4938" customFormat="false" ht="15" hidden="false" customHeight="false" outlineLevel="0" collapsed="false">
      <c r="A4938" s="0" t="n">
        <v>22</v>
      </c>
      <c r="B4938" s="8" t="s">
        <v>24</v>
      </c>
      <c r="C4938" s="9" t="s">
        <v>25</v>
      </c>
      <c r="D4938" s="9" t="s">
        <v>26</v>
      </c>
      <c r="E4938" s="10" t="n">
        <v>1789</v>
      </c>
      <c r="F4938" s="9" t="s">
        <v>27</v>
      </c>
      <c r="G4938" s="9" t="s">
        <v>27</v>
      </c>
      <c r="H4938" s="11" t="n">
        <v>18</v>
      </c>
      <c r="I4938" s="11" t="s">
        <v>93</v>
      </c>
      <c r="J4938" s="14" t="n">
        <v>4</v>
      </c>
      <c r="K4938" s="14"/>
      <c r="L4938" s="16"/>
      <c r="M4938" s="27" t="n">
        <f aca="false">J4938+(K4938/20)+(L4938/240)</f>
        <v>4</v>
      </c>
      <c r="N4938" s="17" t="s">
        <v>94</v>
      </c>
      <c r="O4938" s="11"/>
      <c r="P4938" s="28"/>
      <c r="Q4938" s="28" t="n">
        <f aca="false">P4938*$M4938</f>
        <v>0</v>
      </c>
      <c r="R4938" s="28"/>
      <c r="S4938" s="28" t="n">
        <f aca="false">R4938*$M4938</f>
        <v>0</v>
      </c>
      <c r="T4938" s="28"/>
      <c r="U4938" s="28" t="n">
        <f aca="false">T4938*$M4938</f>
        <v>0</v>
      </c>
      <c r="V4938" s="28"/>
      <c r="W4938" s="28" t="n">
        <f aca="false">V4938*$M4938</f>
        <v>0</v>
      </c>
      <c r="X4938" s="29"/>
      <c r="Y4938" s="28" t="n">
        <f aca="false">X4938*$M4938</f>
        <v>0</v>
      </c>
      <c r="Z4938" s="28"/>
      <c r="AA4938" s="28" t="n">
        <f aca="false">Z4938*$M4938</f>
        <v>0</v>
      </c>
      <c r="AB4938" s="28"/>
      <c r="AC4938" s="28" t="n">
        <f aca="false">AB4938*$M4938</f>
        <v>0</v>
      </c>
      <c r="AD4938" s="28" t="n">
        <v>900</v>
      </c>
      <c r="AE4938" s="28" t="n">
        <v>3600</v>
      </c>
      <c r="AF4938" s="28"/>
      <c r="AG4938" s="28" t="n">
        <f aca="false">AF4938*$M4938</f>
        <v>0</v>
      </c>
      <c r="AH4938" s="28"/>
      <c r="AI4938" s="28" t="n">
        <f aca="false">AH4938*$M4938</f>
        <v>0</v>
      </c>
      <c r="AJ4938" s="28"/>
      <c r="AK4938" s="28" t="n">
        <f aca="false">AJ4938*$M4938</f>
        <v>0</v>
      </c>
      <c r="AL4938" s="28"/>
      <c r="AM4938" s="28" t="n">
        <f aca="false">AL4938*$M4938</f>
        <v>0</v>
      </c>
      <c r="AN4938" s="28"/>
      <c r="AO4938" s="28" t="n">
        <f aca="false">AN4938*$M4938</f>
        <v>0</v>
      </c>
      <c r="AP4938" s="28" t="n">
        <v>36</v>
      </c>
      <c r="AQ4938" s="28" t="n">
        <v>144</v>
      </c>
      <c r="AR4938" s="28"/>
      <c r="AS4938" s="28" t="n">
        <f aca="false">AR4938*$M4938</f>
        <v>0</v>
      </c>
      <c r="AT4938" s="28"/>
      <c r="AU4938" s="28" t="n">
        <f aca="false">AT4938*$M4938</f>
        <v>0</v>
      </c>
      <c r="AV4938" s="28"/>
      <c r="AW4938" s="28" t="n">
        <f aca="false">AV4938*$M4938</f>
        <v>0</v>
      </c>
      <c r="AX4938" s="28"/>
      <c r="AY4938" s="28" t="n">
        <f aca="false">AX4938*$M4938</f>
        <v>0</v>
      </c>
      <c r="AZ4938" s="30" t="n">
        <v>936</v>
      </c>
      <c r="BA4938" s="11" t="n">
        <v>3744</v>
      </c>
      <c r="BB4938" s="31" t="n">
        <f aca="false">SUM(Q4938,S4938,U4938,W4938,Y4938,AA4938,AC4938,AE4938,AG4938,AI4938,AK4938,AM4938,AO4938,AQ4938,AS4938,AU4938,AW4938,AY4938)</f>
        <v>3744</v>
      </c>
      <c r="BC4938" s="28" t="n">
        <f aca="false">BA4938-BB4938</f>
        <v>0</v>
      </c>
      <c r="BD4938" s="32" t="n">
        <f aca="false">SUM(P4938,R4938,T4938,V4938,X4938,Z4938,AB4938,AD4938,AF4938,AH4938,AJ4938,AL4938,AN4938,AP4938,AR4938,AT4938,AV4938,AX4938)</f>
        <v>936</v>
      </c>
      <c r="BE4938" s="33" t="n">
        <f aca="false">AZ4938-BD4938</f>
        <v>0</v>
      </c>
      <c r="BF4938" s="34" t="n">
        <f aca="false">BD4938*M4938</f>
        <v>3744</v>
      </c>
      <c r="BG4938" s="35" t="n">
        <f aca="false">BA4938-BF4938</f>
        <v>0</v>
      </c>
      <c r="BH4938" s="19" t="str">
        <f aca="false">IF(BG4938=0,"",IF(BG4938&lt;&gt;BA4938,"erreur de calcul",IF(BD4938&lt;&gt;0,"pas de prix",IF(M4938&lt;&gt; 0,"pas de quantité","pas de prix, ni de quantité"))))</f>
        <v/>
      </c>
      <c r="BI4938" s="19"/>
    </row>
    <row r="4939" customFormat="false" ht="15" hidden="false" customHeight="false" outlineLevel="0" collapsed="false">
      <c r="A4939" s="0" t="n">
        <v>23</v>
      </c>
      <c r="B4939" s="8" t="s">
        <v>24</v>
      </c>
      <c r="C4939" s="9" t="s">
        <v>25</v>
      </c>
      <c r="D4939" s="9" t="s">
        <v>26</v>
      </c>
      <c r="E4939" s="10" t="n">
        <v>1789</v>
      </c>
      <c r="F4939" s="9" t="s">
        <v>27</v>
      </c>
      <c r="G4939" s="9" t="s">
        <v>27</v>
      </c>
      <c r="H4939" s="11" t="n">
        <v>18</v>
      </c>
      <c r="I4939" s="11" t="s">
        <v>95</v>
      </c>
      <c r="J4939" s="14" t="n">
        <v>40</v>
      </c>
      <c r="K4939" s="14"/>
      <c r="L4939" s="16"/>
      <c r="M4939" s="27" t="n">
        <f aca="false">J4939+(K4939/20)+(L4939/240)</f>
        <v>40</v>
      </c>
      <c r="N4939" s="17" t="s">
        <v>64</v>
      </c>
      <c r="O4939" s="11"/>
      <c r="P4939" s="28" t="n">
        <f aca="false">16000/100</f>
        <v>160</v>
      </c>
      <c r="Q4939" s="28" t="n">
        <v>6400</v>
      </c>
      <c r="R4939" s="28"/>
      <c r="S4939" s="28" t="n">
        <f aca="false">R4939*$M4939</f>
        <v>0</v>
      </c>
      <c r="T4939" s="28"/>
      <c r="U4939" s="28" t="n">
        <f aca="false">T4939*$M4939</f>
        <v>0</v>
      </c>
      <c r="V4939" s="28"/>
      <c r="W4939" s="28" t="n">
        <f aca="false">V4939*$M4939</f>
        <v>0</v>
      </c>
      <c r="X4939" s="29"/>
      <c r="Y4939" s="28" t="n">
        <f aca="false">X4939*$M4939</f>
        <v>0</v>
      </c>
      <c r="Z4939" s="28"/>
      <c r="AA4939" s="28" t="n">
        <f aca="false">Z4939*$M4939</f>
        <v>0</v>
      </c>
      <c r="AB4939" s="28"/>
      <c r="AC4939" s="28" t="n">
        <f aca="false">AB4939*$M4939</f>
        <v>0</v>
      </c>
      <c r="AD4939" s="28"/>
      <c r="AE4939" s="28" t="n">
        <f aca="false">AD4939*$M4939</f>
        <v>0</v>
      </c>
      <c r="AF4939" s="28"/>
      <c r="AG4939" s="28" t="n">
        <f aca="false">AF4939*$M4939</f>
        <v>0</v>
      </c>
      <c r="AH4939" s="28"/>
      <c r="AI4939" s="28" t="n">
        <f aca="false">AH4939*$M4939</f>
        <v>0</v>
      </c>
      <c r="AJ4939" s="28"/>
      <c r="AK4939" s="28" t="n">
        <f aca="false">AJ4939*$M4939</f>
        <v>0</v>
      </c>
      <c r="AL4939" s="28"/>
      <c r="AM4939" s="28" t="n">
        <f aca="false">AL4939*$M4939</f>
        <v>0</v>
      </c>
      <c r="AN4939" s="28"/>
      <c r="AO4939" s="28" t="n">
        <f aca="false">AN4939*$M4939</f>
        <v>0</v>
      </c>
      <c r="AP4939" s="28"/>
      <c r="AQ4939" s="28" t="n">
        <f aca="false">AP4939*$M4939</f>
        <v>0</v>
      </c>
      <c r="AR4939" s="28"/>
      <c r="AS4939" s="28" t="n">
        <f aca="false">AR4939*$M4939</f>
        <v>0</v>
      </c>
      <c r="AT4939" s="28"/>
      <c r="AU4939" s="28" t="n">
        <f aca="false">AT4939*$M4939</f>
        <v>0</v>
      </c>
      <c r="AV4939" s="28"/>
      <c r="AW4939" s="28" t="n">
        <f aca="false">AV4939*$M4939</f>
        <v>0</v>
      </c>
      <c r="AX4939" s="28"/>
      <c r="AY4939" s="28" t="n">
        <f aca="false">AX4939*$M4939</f>
        <v>0</v>
      </c>
      <c r="AZ4939" s="30" t="n">
        <f aca="false">16000/100</f>
        <v>160</v>
      </c>
      <c r="BA4939" s="11" t="n">
        <v>6400</v>
      </c>
      <c r="BB4939" s="31" t="n">
        <f aca="false">SUM(Q4939,S4939,U4939,W4939,Y4939,AA4939,AC4939,AE4939,AG4939,AI4939,AK4939,AM4939,AO4939,AQ4939,AS4939,AU4939,AW4939,AY4939)</f>
        <v>6400</v>
      </c>
      <c r="BC4939" s="28" t="n">
        <f aca="false">BA4939-BB4939</f>
        <v>0</v>
      </c>
      <c r="BD4939" s="32" t="n">
        <f aca="false">SUM(P4939,R4939,T4939,V4939,X4939,Z4939,AB4939,AD4939,AF4939,AH4939,AJ4939,AL4939,AN4939,AP4939,AR4939,AT4939,AV4939,AX4939)</f>
        <v>160</v>
      </c>
      <c r="BE4939" s="33" t="n">
        <f aca="false">AZ4939-BD4939</f>
        <v>0</v>
      </c>
      <c r="BF4939" s="34" t="n">
        <f aca="false">BD4939*M4939</f>
        <v>6400</v>
      </c>
      <c r="BG4939" s="35" t="n">
        <f aca="false">BA4939-BF4939</f>
        <v>0</v>
      </c>
      <c r="BH4939" s="19" t="str">
        <f aca="false">IF(BG4939=0,"",IF(BG4939&lt;&gt;BA4939,"erreur de calcul",IF(BD4939&lt;&gt;0,"pas de prix",IF(M4939&lt;&gt; 0,"pas de quantité","pas de prix, ni de quantité"))))</f>
        <v/>
      </c>
      <c r="BI4939" s="19"/>
    </row>
    <row r="4940" customFormat="false" ht="15" hidden="false" customHeight="false" outlineLevel="0" collapsed="false">
      <c r="A4940" s="0" t="n">
        <v>24</v>
      </c>
      <c r="B4940" s="8" t="s">
        <v>24</v>
      </c>
      <c r="C4940" s="9" t="s">
        <v>25</v>
      </c>
      <c r="D4940" s="9" t="s">
        <v>26</v>
      </c>
      <c r="E4940" s="10" t="n">
        <v>1789</v>
      </c>
      <c r="F4940" s="9" t="s">
        <v>27</v>
      </c>
      <c r="G4940" s="9" t="s">
        <v>27</v>
      </c>
      <c r="H4940" s="11" t="n">
        <v>18</v>
      </c>
      <c r="I4940" s="11" t="s">
        <v>96</v>
      </c>
      <c r="J4940" s="14" t="n">
        <v>25</v>
      </c>
      <c r="K4940" s="14"/>
      <c r="L4940" s="16"/>
      <c r="M4940" s="27" t="n">
        <f aca="false">J4940+(K4940/20)+(L4940/240)</f>
        <v>25</v>
      </c>
      <c r="N4940" s="17" t="s">
        <v>64</v>
      </c>
      <c r="O4940" s="11"/>
      <c r="P4940" s="28" t="n">
        <f aca="false">968306/100</f>
        <v>9683.06</v>
      </c>
      <c r="Q4940" s="28" t="n">
        <v>242076</v>
      </c>
      <c r="R4940" s="28"/>
      <c r="S4940" s="28" t="n">
        <f aca="false">R4940*$M4940</f>
        <v>0</v>
      </c>
      <c r="T4940" s="28"/>
      <c r="U4940" s="28" t="n">
        <f aca="false">T4940*$M4940</f>
        <v>0</v>
      </c>
      <c r="V4940" s="28" t="n">
        <f aca="false">39234/100</f>
        <v>392.34</v>
      </c>
      <c r="W4940" s="28" t="n">
        <v>9808</v>
      </c>
      <c r="X4940" s="29"/>
      <c r="Y4940" s="28" t="n">
        <v>3410</v>
      </c>
      <c r="Z4940" s="28"/>
      <c r="AA4940" s="28" t="n">
        <f aca="false">Z4940*$M4940</f>
        <v>0</v>
      </c>
      <c r="AB4940" s="28"/>
      <c r="AC4940" s="28" t="n">
        <f aca="false">AB4940*$M4940</f>
        <v>0</v>
      </c>
      <c r="AD4940" s="28"/>
      <c r="AE4940" s="28" t="n">
        <f aca="false">AD4940*$M4940</f>
        <v>0</v>
      </c>
      <c r="AF4940" s="28"/>
      <c r="AG4940" s="28" t="n">
        <f aca="false">AF4940*$M4940</f>
        <v>0</v>
      </c>
      <c r="AH4940" s="28"/>
      <c r="AI4940" s="28" t="n">
        <f aca="false">AH4940*$M4940</f>
        <v>0</v>
      </c>
      <c r="AJ4940" s="28" t="n">
        <f aca="false">2665/100</f>
        <v>26.65</v>
      </c>
      <c r="AK4940" s="28" t="n">
        <v>666</v>
      </c>
      <c r="AL4940" s="28"/>
      <c r="AM4940" s="28" t="n">
        <f aca="false">AL4940*$M4940</f>
        <v>0</v>
      </c>
      <c r="AN4940" s="28"/>
      <c r="AO4940" s="28" t="n">
        <f aca="false">AN4940*$M4940</f>
        <v>0</v>
      </c>
      <c r="AP4940" s="28"/>
      <c r="AQ4940" s="28" t="n">
        <f aca="false">AP4940*$M4940</f>
        <v>0</v>
      </c>
      <c r="AR4940" s="28"/>
      <c r="AS4940" s="28" t="n">
        <f aca="false">AR4940*$M4940</f>
        <v>0</v>
      </c>
      <c r="AT4940" s="28"/>
      <c r="AU4940" s="28" t="n">
        <f aca="false">AT4940*$M4940</f>
        <v>0</v>
      </c>
      <c r="AV4940" s="28"/>
      <c r="AW4940" s="28" t="n">
        <f aca="false">AV4940*$M4940</f>
        <v>0</v>
      </c>
      <c r="AX4940" s="28" t="n">
        <f aca="false">118115/100</f>
        <v>1181.15</v>
      </c>
      <c r="AY4940" s="28" t="n">
        <v>29529</v>
      </c>
      <c r="AZ4940" s="30" t="n">
        <f aca="false">1141960/100</f>
        <v>11419.6</v>
      </c>
      <c r="BA4940" s="11" t="n">
        <v>285489</v>
      </c>
      <c r="BB4940" s="31" t="n">
        <f aca="false">SUM(Q4940,S4940,U4940,W4940,Y4940,AA4940,AC4940,AE4940,AG4940,AI4940,AK4940,AM4940,AO4940,AQ4940,AS4940,AU4940,AW4940,AY4940)</f>
        <v>285489</v>
      </c>
      <c r="BC4940" s="28" t="n">
        <f aca="false">BA4940-BB4940</f>
        <v>0</v>
      </c>
      <c r="BD4940" s="32" t="n">
        <f aca="false">SUM(P4940,R4940,T4940,V4940,X4940,Z4940,AB4940,AD4940,AF4940,AH4940,AJ4940,AL4940,AN4940,AP4940,AR4940,AT4940,AV4940,AX4940)</f>
        <v>11283.2</v>
      </c>
      <c r="BE4940" s="33" t="n">
        <f aca="false">AZ4940-BD4940</f>
        <v>136.400000000001</v>
      </c>
      <c r="BF4940" s="34" t="n">
        <f aca="false">BD4940*M4940</f>
        <v>282080</v>
      </c>
      <c r="BG4940" s="35" t="n">
        <f aca="false">BA4940-BF4940</f>
        <v>3409</v>
      </c>
      <c r="BH4940" s="19" t="str">
        <f aca="false">IF(BG4940=0,"",IF(BG4940&lt;&gt;BA4940,"erreur de calcul",IF(BD4940&lt;&gt;0,"pas de prix",IF(M4940&lt;&gt; 0,"pas de quantité","pas de prix, ni de quantité"))))</f>
        <v>erreur de calcul</v>
      </c>
      <c r="BI4940" s="19"/>
    </row>
    <row r="4941" customFormat="false" ht="15" hidden="false" customHeight="false" outlineLevel="0" collapsed="false">
      <c r="A4941" s="0" t="n">
        <v>25</v>
      </c>
      <c r="B4941" s="8" t="s">
        <v>24</v>
      </c>
      <c r="C4941" s="9" t="s">
        <v>25</v>
      </c>
      <c r="D4941" s="9" t="s">
        <v>26</v>
      </c>
      <c r="E4941" s="10" t="n">
        <v>1789</v>
      </c>
      <c r="F4941" s="9" t="s">
        <v>27</v>
      </c>
      <c r="G4941" s="9" t="s">
        <v>27</v>
      </c>
      <c r="H4941" s="11" t="n">
        <v>18</v>
      </c>
      <c r="I4941" s="11" t="s">
        <v>97</v>
      </c>
      <c r="J4941" s="14" t="n">
        <v>30</v>
      </c>
      <c r="K4941" s="14"/>
      <c r="L4941" s="16"/>
      <c r="M4941" s="27" t="n">
        <f aca="false">J4941+(K4941/20)+(L4941/240)</f>
        <v>30</v>
      </c>
      <c r="N4941" s="17" t="s">
        <v>64</v>
      </c>
      <c r="O4941" s="11" t="s">
        <v>98</v>
      </c>
      <c r="P4941" s="28"/>
      <c r="Q4941" s="28" t="n">
        <f aca="false">P4941*$M4941</f>
        <v>0</v>
      </c>
      <c r="R4941" s="28"/>
      <c r="S4941" s="28" t="n">
        <f aca="false">R4941*$M4941</f>
        <v>0</v>
      </c>
      <c r="T4941" s="28"/>
      <c r="U4941" s="28" t="n">
        <f aca="false">T4941*$M4941</f>
        <v>0</v>
      </c>
      <c r="V4941" s="28"/>
      <c r="W4941" s="28" t="n">
        <f aca="false">V4941*$M4941</f>
        <v>0</v>
      </c>
      <c r="X4941" s="29"/>
      <c r="Y4941" s="28" t="n">
        <f aca="false">X4941*$M4941</f>
        <v>0</v>
      </c>
      <c r="Z4941" s="28"/>
      <c r="AA4941" s="28" t="n">
        <f aca="false">Z4941*$M4941</f>
        <v>0</v>
      </c>
      <c r="AB4941" s="28"/>
      <c r="AC4941" s="28" t="n">
        <f aca="false">AB4941*$M4941</f>
        <v>0</v>
      </c>
      <c r="AD4941" s="28"/>
      <c r="AE4941" s="28" t="n">
        <f aca="false">AD4941*$M4941</f>
        <v>0</v>
      </c>
      <c r="AF4941" s="28"/>
      <c r="AG4941" s="28" t="n">
        <f aca="false">AF4941*$M4941</f>
        <v>0</v>
      </c>
      <c r="AH4941" s="28"/>
      <c r="AI4941" s="28" t="n">
        <f aca="false">AH4941*$M4941</f>
        <v>0</v>
      </c>
      <c r="AJ4941" s="28"/>
      <c r="AK4941" s="28" t="n">
        <f aca="false">AJ4941*$M4941</f>
        <v>0</v>
      </c>
      <c r="AL4941" s="28"/>
      <c r="AM4941" s="28" t="n">
        <f aca="false">AL4941*$M4941</f>
        <v>0</v>
      </c>
      <c r="AN4941" s="28"/>
      <c r="AO4941" s="28" t="n">
        <f aca="false">AN4941*$M4941</f>
        <v>0</v>
      </c>
      <c r="AP4941" s="28"/>
      <c r="AQ4941" s="28" t="n">
        <f aca="false">AP4941*$M4941</f>
        <v>0</v>
      </c>
      <c r="AR4941" s="28"/>
      <c r="AS4941" s="28" t="n">
        <f aca="false">AR4941*$M4941</f>
        <v>0</v>
      </c>
      <c r="AT4941" s="28"/>
      <c r="AU4941" s="28" t="n">
        <f aca="false">AT4941*$M4941</f>
        <v>0</v>
      </c>
      <c r="AV4941" s="28"/>
      <c r="AW4941" s="28" t="n">
        <f aca="false">AV4941*$M4941</f>
        <v>0</v>
      </c>
      <c r="AX4941" s="28"/>
      <c r="AY4941" s="28" t="n">
        <f aca="false">AX4941*$M4941</f>
        <v>0</v>
      </c>
      <c r="AZ4941" s="30"/>
      <c r="BA4941" s="11"/>
      <c r="BB4941" s="31" t="n">
        <f aca="false">SUM(Q4941,S4941,U4941,W4941,Y4941,AA4941,AC4941,AE4941,AG4941,AI4941,AK4941,AM4941,AO4941,AQ4941,AS4941,AU4941,AW4941,AY4941)</f>
        <v>0</v>
      </c>
      <c r="BC4941" s="28" t="n">
        <f aca="false">BA4941-BB4941</f>
        <v>0</v>
      </c>
      <c r="BD4941" s="32" t="n">
        <f aca="false">SUM(P4941,R4941,T4941,V4941,X4941,Z4941,AB4941,AD4941,AF4941,AH4941,AJ4941,AL4941,AN4941,AP4941,AR4941,AT4941,AV4941,AX4941)</f>
        <v>0</v>
      </c>
      <c r="BE4941" s="33" t="n">
        <f aca="false">AZ4941-BD4941</f>
        <v>0</v>
      </c>
      <c r="BF4941" s="34" t="n">
        <f aca="false">BD4941*M4941</f>
        <v>0</v>
      </c>
      <c r="BG4941" s="35" t="n">
        <f aca="false">BA4941-BF4941</f>
        <v>0</v>
      </c>
      <c r="BH4941" s="19" t="str">
        <f aca="false">IF(BG4941=0,"",IF(BG4941&lt;&gt;BA4941,"erreur de calcul",IF(BD4941&lt;&gt;0,"pas de prix",IF(M4941&lt;&gt; 0,"pas de quantité","pas de prix, ni de quantité"))))</f>
        <v/>
      </c>
      <c r="BI4941" s="19"/>
    </row>
    <row r="4942" customFormat="false" ht="15" hidden="false" customHeight="false" outlineLevel="0" collapsed="false">
      <c r="A4942" s="0" t="n">
        <v>26</v>
      </c>
      <c r="B4942" s="8" t="s">
        <v>24</v>
      </c>
      <c r="C4942" s="9" t="s">
        <v>25</v>
      </c>
      <c r="D4942" s="9" t="s">
        <v>26</v>
      </c>
      <c r="E4942" s="10" t="n">
        <v>1789</v>
      </c>
      <c r="F4942" s="9" t="s">
        <v>27</v>
      </c>
      <c r="G4942" s="9" t="s">
        <v>27</v>
      </c>
      <c r="H4942" s="11" t="n">
        <v>18</v>
      </c>
      <c r="I4942" s="11" t="s">
        <v>99</v>
      </c>
      <c r="J4942" s="14" t="n">
        <v>12</v>
      </c>
      <c r="K4942" s="14"/>
      <c r="L4942" s="16"/>
      <c r="M4942" s="27" t="n">
        <f aca="false">J4942+(K4942/20)+(L4942/240)</f>
        <v>12</v>
      </c>
      <c r="N4942" s="17" t="s">
        <v>64</v>
      </c>
      <c r="O4942" s="11"/>
      <c r="P4942" s="28" t="n">
        <f aca="false">7077/100</f>
        <v>70.77</v>
      </c>
      <c r="Q4942" s="28" t="n">
        <v>849</v>
      </c>
      <c r="R4942" s="28"/>
      <c r="S4942" s="28" t="n">
        <f aca="false">R4942*$M4942</f>
        <v>0</v>
      </c>
      <c r="T4942" s="28"/>
      <c r="U4942" s="28" t="n">
        <f aca="false">T4942*$M4942</f>
        <v>0</v>
      </c>
      <c r="V4942" s="28"/>
      <c r="W4942" s="28" t="n">
        <f aca="false">V4942*$M4942</f>
        <v>0</v>
      </c>
      <c r="X4942" s="29"/>
      <c r="Y4942" s="28" t="n">
        <v>866</v>
      </c>
      <c r="Z4942" s="28"/>
      <c r="AA4942" s="28" t="n">
        <f aca="false">Z4942*$M4942</f>
        <v>0</v>
      </c>
      <c r="AB4942" s="28"/>
      <c r="AC4942" s="28" t="n">
        <f aca="false">AB4942*$M4942</f>
        <v>0</v>
      </c>
      <c r="AD4942" s="28"/>
      <c r="AE4942" s="28" t="n">
        <f aca="false">AD4942*$M4942</f>
        <v>0</v>
      </c>
      <c r="AF4942" s="28"/>
      <c r="AG4942" s="28" t="n">
        <f aca="false">AF4942*$M4942</f>
        <v>0</v>
      </c>
      <c r="AH4942" s="28"/>
      <c r="AI4942" s="28" t="n">
        <f aca="false">AH4942*$M4942</f>
        <v>0</v>
      </c>
      <c r="AJ4942" s="28"/>
      <c r="AK4942" s="28" t="n">
        <f aca="false">AJ4942*$M4942</f>
        <v>0</v>
      </c>
      <c r="AL4942" s="28"/>
      <c r="AM4942" s="28" t="n">
        <f aca="false">AL4942*$M4942</f>
        <v>0</v>
      </c>
      <c r="AN4942" s="28"/>
      <c r="AO4942" s="28" t="n">
        <f aca="false">AN4942*$M4942</f>
        <v>0</v>
      </c>
      <c r="AP4942" s="28"/>
      <c r="AQ4942" s="28" t="n">
        <f aca="false">AP4942*$M4942</f>
        <v>0</v>
      </c>
      <c r="AR4942" s="28"/>
      <c r="AS4942" s="28" t="n">
        <f aca="false">AR4942*$M4942</f>
        <v>0</v>
      </c>
      <c r="AT4942" s="28"/>
      <c r="AU4942" s="28" t="n">
        <f aca="false">AT4942*$M4942</f>
        <v>0</v>
      </c>
      <c r="AV4942" s="28"/>
      <c r="AW4942" s="28" t="n">
        <f aca="false">AV4942*$M4942</f>
        <v>0</v>
      </c>
      <c r="AX4942" s="28"/>
      <c r="AY4942" s="28" t="n">
        <f aca="false">AX4942*$M4942</f>
        <v>0</v>
      </c>
      <c r="AZ4942" s="30" t="n">
        <f aca="false">14294/100</f>
        <v>142.94</v>
      </c>
      <c r="BA4942" s="11" t="n">
        <v>1715</v>
      </c>
      <c r="BB4942" s="31" t="n">
        <f aca="false">SUM(Q4942,S4942,U4942,W4942,Y4942,AA4942,AC4942,AE4942,AG4942,AI4942,AK4942,AM4942,AO4942,AQ4942,AS4942,AU4942,AW4942,AY4942)</f>
        <v>1715</v>
      </c>
      <c r="BC4942" s="28" t="n">
        <f aca="false">BA4942-BB4942</f>
        <v>0</v>
      </c>
      <c r="BD4942" s="32" t="n">
        <f aca="false">SUM(P4942,R4942,T4942,V4942,X4942,Z4942,AB4942,AD4942,AF4942,AH4942,AJ4942,AL4942,AN4942,AP4942,AR4942,AT4942,AV4942,AX4942)</f>
        <v>70.77</v>
      </c>
      <c r="BE4942" s="33" t="n">
        <f aca="false">AZ4942-BD4942</f>
        <v>72.17</v>
      </c>
      <c r="BF4942" s="34" t="n">
        <f aca="false">BD4942*M4942</f>
        <v>849.24</v>
      </c>
      <c r="BG4942" s="35" t="n">
        <f aca="false">BA4942-BF4942</f>
        <v>865.76</v>
      </c>
      <c r="BH4942" s="19" t="str">
        <f aca="false">IF(BG4942=0,"",IF(BG4942&lt;&gt;BA4942,"erreur de calcul",IF(BD4942&lt;&gt;0,"pas de prix",IF(M4942&lt;&gt; 0,"pas de quantité","pas de prix, ni de quantité"))))</f>
        <v>erreur de calcul</v>
      </c>
      <c r="BI4942" s="19"/>
    </row>
    <row r="4943" customFormat="false" ht="15" hidden="false" customHeight="false" outlineLevel="0" collapsed="false">
      <c r="A4943" s="0" t="n">
        <v>27</v>
      </c>
      <c r="B4943" s="8" t="s">
        <v>24</v>
      </c>
      <c r="C4943" s="9" t="s">
        <v>25</v>
      </c>
      <c r="D4943" s="9" t="s">
        <v>26</v>
      </c>
      <c r="E4943" s="10" t="n">
        <v>1789</v>
      </c>
      <c r="F4943" s="9" t="s">
        <v>27</v>
      </c>
      <c r="G4943" s="9" t="s">
        <v>27</v>
      </c>
      <c r="H4943" s="11" t="n">
        <v>18</v>
      </c>
      <c r="I4943" s="11" t="s">
        <v>100</v>
      </c>
      <c r="J4943" s="14" t="n">
        <v>13</v>
      </c>
      <c r="K4943" s="14"/>
      <c r="L4943" s="16"/>
      <c r="M4943" s="27" t="n">
        <f aca="false">J4943+(K4943/20)+(L4943/240)</f>
        <v>13</v>
      </c>
      <c r="N4943" s="17" t="s">
        <v>64</v>
      </c>
      <c r="O4943" s="11"/>
      <c r="P4943" s="28"/>
      <c r="Q4943" s="28" t="n">
        <f aca="false">P4943*$M4943</f>
        <v>0</v>
      </c>
      <c r="R4943" s="28"/>
      <c r="S4943" s="28" t="n">
        <f aca="false">R4943*$M4943</f>
        <v>0</v>
      </c>
      <c r="T4943" s="28"/>
      <c r="U4943" s="28" t="n">
        <f aca="false">T4943*$M4943</f>
        <v>0</v>
      </c>
      <c r="V4943" s="28"/>
      <c r="W4943" s="28" t="n">
        <f aca="false">V4943*$M4943</f>
        <v>0</v>
      </c>
      <c r="X4943" s="29"/>
      <c r="Y4943" s="28" t="n">
        <f aca="false">X4943*$M4943</f>
        <v>0</v>
      </c>
      <c r="Z4943" s="28"/>
      <c r="AA4943" s="28" t="n">
        <f aca="false">Z4943*$M4943</f>
        <v>0</v>
      </c>
      <c r="AB4943" s="28"/>
      <c r="AC4943" s="28" t="n">
        <f aca="false">AB4943*$M4943</f>
        <v>0</v>
      </c>
      <c r="AD4943" s="28"/>
      <c r="AE4943" s="28" t="n">
        <f aca="false">AD4943*$M4943</f>
        <v>0</v>
      </c>
      <c r="AF4943" s="28"/>
      <c r="AG4943" s="28" t="n">
        <f aca="false">AF4943*$M4943</f>
        <v>0</v>
      </c>
      <c r="AH4943" s="28" t="n">
        <f aca="false">7819/100</f>
        <v>78.19</v>
      </c>
      <c r="AI4943" s="28" t="n">
        <v>1016</v>
      </c>
      <c r="AJ4943" s="28" t="n">
        <f aca="false">10382/100</f>
        <v>103.82</v>
      </c>
      <c r="AK4943" s="28" t="n">
        <v>1350</v>
      </c>
      <c r="AL4943" s="28"/>
      <c r="AM4943" s="28" t="n">
        <f aca="false">AL4943*$M4943</f>
        <v>0</v>
      </c>
      <c r="AN4943" s="28"/>
      <c r="AO4943" s="28" t="n">
        <f aca="false">AN4943*$M4943</f>
        <v>0</v>
      </c>
      <c r="AP4943" s="28"/>
      <c r="AQ4943" s="28" t="n">
        <f aca="false">AP4943*$M4943</f>
        <v>0</v>
      </c>
      <c r="AR4943" s="28"/>
      <c r="AS4943" s="28" t="n">
        <f aca="false">AR4943*$M4943</f>
        <v>0</v>
      </c>
      <c r="AT4943" s="28"/>
      <c r="AU4943" s="28" t="n">
        <f aca="false">AT4943*$M4943</f>
        <v>0</v>
      </c>
      <c r="AV4943" s="28"/>
      <c r="AW4943" s="28" t="n">
        <f aca="false">AV4943*$M4943</f>
        <v>0</v>
      </c>
      <c r="AX4943" s="28"/>
      <c r="AY4943" s="28" t="n">
        <f aca="false">AX4943*$M4943</f>
        <v>0</v>
      </c>
      <c r="AZ4943" s="30" t="n">
        <f aca="false">18201/100</f>
        <v>182.01</v>
      </c>
      <c r="BA4943" s="11" t="n">
        <v>2366</v>
      </c>
      <c r="BB4943" s="31" t="n">
        <f aca="false">SUM(Q4943,S4943,U4943,W4943,Y4943,AA4943,AC4943,AE4943,AG4943,AI4943,AK4943,AM4943,AO4943,AQ4943,AS4943,AU4943,AW4943,AY4943)</f>
        <v>2366</v>
      </c>
      <c r="BC4943" s="28" t="n">
        <f aca="false">BA4943-BB4943</f>
        <v>0</v>
      </c>
      <c r="BD4943" s="32" t="n">
        <f aca="false">SUM(P4943,R4943,T4943,V4943,X4943,Z4943,AB4943,AD4943,AF4943,AH4943,AJ4943,AL4943,AN4943,AP4943,AR4943,AT4943,AV4943,AX4943)</f>
        <v>182.01</v>
      </c>
      <c r="BE4943" s="33" t="n">
        <f aca="false">AZ4943-BD4943</f>
        <v>0</v>
      </c>
      <c r="BF4943" s="34" t="n">
        <f aca="false">BD4943*M4943</f>
        <v>2366.13</v>
      </c>
      <c r="BG4943" s="35" t="n">
        <f aca="false">BA4943-BF4943</f>
        <v>-0.130000000000109</v>
      </c>
      <c r="BH4943" s="19" t="str">
        <f aca="false">IF(BG4943=0,"",IF(BG4943&lt;&gt;BA4943,"erreur de calcul",IF(BD4943&lt;&gt;0,"pas de prix",IF(M4943&lt;&gt; 0,"pas de quantité","pas de prix, ni de quantité"))))</f>
        <v>erreur de calcul</v>
      </c>
      <c r="BI4943" s="19"/>
    </row>
    <row r="4944" customFormat="false" ht="15" hidden="false" customHeight="false" outlineLevel="0" collapsed="false">
      <c r="A4944" s="0" t="n">
        <v>28</v>
      </c>
      <c r="B4944" s="8" t="s">
        <v>24</v>
      </c>
      <c r="C4944" s="9" t="s">
        <v>25</v>
      </c>
      <c r="D4944" s="9" t="s">
        <v>26</v>
      </c>
      <c r="E4944" s="10" t="n">
        <v>1789</v>
      </c>
      <c r="F4944" s="9" t="s">
        <v>27</v>
      </c>
      <c r="G4944" s="9" t="s">
        <v>27</v>
      </c>
      <c r="H4944" s="11" t="n">
        <v>18</v>
      </c>
      <c r="I4944" s="11" t="s">
        <v>101</v>
      </c>
      <c r="J4944" s="14" t="n">
        <v>35</v>
      </c>
      <c r="K4944" s="14"/>
      <c r="L4944" s="16"/>
      <c r="M4944" s="27" t="n">
        <f aca="false">J4944+(K4944/20)+(L4944/240)</f>
        <v>35</v>
      </c>
      <c r="N4944" s="17" t="s">
        <v>64</v>
      </c>
      <c r="O4944" s="11"/>
      <c r="P4944" s="28"/>
      <c r="Q4944" s="28" t="n">
        <f aca="false">P4944*$M4944</f>
        <v>0</v>
      </c>
      <c r="R4944" s="28"/>
      <c r="S4944" s="28" t="n">
        <f aca="false">R4944*$M4944</f>
        <v>0</v>
      </c>
      <c r="T4944" s="28"/>
      <c r="U4944" s="28" t="n">
        <f aca="false">T4944*$M4944</f>
        <v>0</v>
      </c>
      <c r="V4944" s="28"/>
      <c r="W4944" s="28" t="n">
        <f aca="false">V4944*$M4944</f>
        <v>0</v>
      </c>
      <c r="X4944" s="29"/>
      <c r="Y4944" s="28" t="n">
        <f aca="false">X4944*$M4944</f>
        <v>0</v>
      </c>
      <c r="Z4944" s="28"/>
      <c r="AA4944" s="28" t="n">
        <f aca="false">Z4944*$M4944</f>
        <v>0</v>
      </c>
      <c r="AB4944" s="28"/>
      <c r="AC4944" s="28" t="n">
        <f aca="false">AB4944*$M4944</f>
        <v>0</v>
      </c>
      <c r="AD4944" s="28"/>
      <c r="AE4944" s="28" t="n">
        <f aca="false">AD4944*$M4944</f>
        <v>0</v>
      </c>
      <c r="AF4944" s="28"/>
      <c r="AG4944" s="28" t="n">
        <f aca="false">AF4944*$M4944</f>
        <v>0</v>
      </c>
      <c r="AH4944" s="28"/>
      <c r="AI4944" s="28" t="n">
        <f aca="false">AH4944*$M4944</f>
        <v>0</v>
      </c>
      <c r="AJ4944" s="28" t="n">
        <f aca="false">65277/100</f>
        <v>652.77</v>
      </c>
      <c r="AK4944" s="28" t="n">
        <v>22847</v>
      </c>
      <c r="AL4944" s="28"/>
      <c r="AM4944" s="28" t="n">
        <f aca="false">AL4944*$M4944</f>
        <v>0</v>
      </c>
      <c r="AN4944" s="28"/>
      <c r="AO4944" s="28" t="n">
        <f aca="false">AN4944*$M4944</f>
        <v>0</v>
      </c>
      <c r="AP4944" s="28"/>
      <c r="AQ4944" s="28" t="n">
        <f aca="false">AP4944*$M4944</f>
        <v>0</v>
      </c>
      <c r="AR4944" s="28"/>
      <c r="AS4944" s="28" t="n">
        <f aca="false">AR4944*$M4944</f>
        <v>0</v>
      </c>
      <c r="AT4944" s="28"/>
      <c r="AU4944" s="28" t="n">
        <f aca="false">AT4944*$M4944</f>
        <v>0</v>
      </c>
      <c r="AV4944" s="28"/>
      <c r="AW4944" s="28" t="n">
        <f aca="false">AV4944*$M4944</f>
        <v>0</v>
      </c>
      <c r="AX4944" s="28"/>
      <c r="AY4944" s="28" t="n">
        <f aca="false">AX4944*$M4944</f>
        <v>0</v>
      </c>
      <c r="AZ4944" s="30" t="n">
        <f aca="false">65277/100</f>
        <v>652.77</v>
      </c>
      <c r="BA4944" s="11" t="n">
        <v>22847</v>
      </c>
      <c r="BB4944" s="31" t="n">
        <f aca="false">SUM(Q4944,S4944,U4944,W4944,Y4944,AA4944,AC4944,AE4944,AG4944,AI4944,AK4944,AM4944,AO4944,AQ4944,AS4944,AU4944,AW4944,AY4944)</f>
        <v>22847</v>
      </c>
      <c r="BC4944" s="28" t="n">
        <f aca="false">BA4944-BB4944</f>
        <v>0</v>
      </c>
      <c r="BD4944" s="32" t="n">
        <f aca="false">SUM(P4944,R4944,T4944,V4944,X4944,Z4944,AB4944,AD4944,AF4944,AH4944,AJ4944,AL4944,AN4944,AP4944,AR4944,AT4944,AV4944,AX4944)</f>
        <v>652.77</v>
      </c>
      <c r="BE4944" s="33" t="n">
        <f aca="false">AZ4944-BD4944</f>
        <v>0</v>
      </c>
      <c r="BF4944" s="34" t="n">
        <f aca="false">BD4944*M4944</f>
        <v>22846.95</v>
      </c>
      <c r="BG4944" s="35" t="n">
        <f aca="false">BA4944-BF4944</f>
        <v>0.0499999999992724</v>
      </c>
      <c r="BH4944" s="19" t="str">
        <f aca="false">IF(BG4944=0,"",IF(BG4944&lt;&gt;BA4944,"erreur de calcul",IF(BD4944&lt;&gt;0,"pas de prix",IF(M4944&lt;&gt; 0,"pas de quantité","pas de prix, ni de quantité"))))</f>
        <v>erreur de calcul</v>
      </c>
      <c r="BI4944" s="19"/>
    </row>
    <row r="4945" customFormat="false" ht="16.65" hidden="false" customHeight="false" outlineLevel="0" collapsed="false">
      <c r="A4945" s="0" t="n">
        <v>29</v>
      </c>
      <c r="B4945" s="8" t="s">
        <v>24</v>
      </c>
      <c r="C4945" s="9" t="s">
        <v>25</v>
      </c>
      <c r="D4945" s="9" t="s">
        <v>26</v>
      </c>
      <c r="E4945" s="10" t="n">
        <v>1789</v>
      </c>
      <c r="F4945" s="9" t="s">
        <v>27</v>
      </c>
      <c r="G4945" s="9" t="s">
        <v>27</v>
      </c>
      <c r="H4945" s="11" t="n">
        <v>18</v>
      </c>
      <c r="I4945" s="11" t="s">
        <v>102</v>
      </c>
      <c r="J4945" s="14" t="n">
        <v>47</v>
      </c>
      <c r="K4945" s="14"/>
      <c r="L4945" s="16"/>
      <c r="M4945" s="27" t="n">
        <f aca="false">J4945+(K4945/20)+(L4945/240)</f>
        <v>47</v>
      </c>
      <c r="N4945" s="17" t="s">
        <v>64</v>
      </c>
      <c r="O4945" s="11"/>
      <c r="P4945" s="28" t="n">
        <f aca="false">8467/100</f>
        <v>84.67</v>
      </c>
      <c r="Q4945" s="28" t="n">
        <v>3979</v>
      </c>
      <c r="R4945" s="28"/>
      <c r="S4945" s="28" t="n">
        <f aca="false">R4945*$M4945</f>
        <v>0</v>
      </c>
      <c r="T4945" s="28"/>
      <c r="U4945" s="28" t="n">
        <f aca="false">T4945*$M4945</f>
        <v>0</v>
      </c>
      <c r="V4945" s="28"/>
      <c r="W4945" s="28" t="n">
        <f aca="false">V4945*$M4945</f>
        <v>0</v>
      </c>
      <c r="X4945" s="29"/>
      <c r="Y4945" s="28" t="n">
        <f aca="false">X4945*$M4945</f>
        <v>0</v>
      </c>
      <c r="Z4945" s="28"/>
      <c r="AA4945" s="28" t="n">
        <f aca="false">Z4945*$M4945</f>
        <v>0</v>
      </c>
      <c r="AB4945" s="28"/>
      <c r="AC4945" s="28" t="n">
        <f aca="false">AB4945*$M4945</f>
        <v>0</v>
      </c>
      <c r="AD4945" s="28"/>
      <c r="AE4945" s="28" t="n">
        <f aca="false">AD4945*$M4945</f>
        <v>0</v>
      </c>
      <c r="AF4945" s="28"/>
      <c r="AG4945" s="28" t="n">
        <f aca="false">AF4945*$M4945</f>
        <v>0</v>
      </c>
      <c r="AH4945" s="28"/>
      <c r="AI4945" s="28" t="n">
        <f aca="false">AH4945*$M4945</f>
        <v>0</v>
      </c>
      <c r="AJ4945" s="28"/>
      <c r="AK4945" s="28" t="n">
        <f aca="false">AJ4945*$M4945</f>
        <v>0</v>
      </c>
      <c r="AL4945" s="28"/>
      <c r="AM4945" s="28" t="n">
        <f aca="false">AL4945*$M4945</f>
        <v>0</v>
      </c>
      <c r="AN4945" s="28"/>
      <c r="AO4945" s="28" t="n">
        <f aca="false">AN4945*$M4945</f>
        <v>0</v>
      </c>
      <c r="AP4945" s="28"/>
      <c r="AQ4945" s="28" t="n">
        <f aca="false">AP4945*$M4945</f>
        <v>0</v>
      </c>
      <c r="AR4945" s="28"/>
      <c r="AS4945" s="28" t="n">
        <f aca="false">AR4945*$M4945</f>
        <v>0</v>
      </c>
      <c r="AT4945" s="28"/>
      <c r="AU4945" s="28" t="n">
        <f aca="false">AT4945*$M4945</f>
        <v>0</v>
      </c>
      <c r="AV4945" s="28"/>
      <c r="AW4945" s="28" t="n">
        <f aca="false">AV4945*$M4945</f>
        <v>0</v>
      </c>
      <c r="AX4945" s="28"/>
      <c r="AY4945" s="28" t="n">
        <f aca="false">AX4945*$M4945</f>
        <v>0</v>
      </c>
      <c r="AZ4945" s="30" t="n">
        <f aca="false">8467/100</f>
        <v>84.67</v>
      </c>
      <c r="BA4945" s="11" t="n">
        <v>3979</v>
      </c>
      <c r="BB4945" s="31" t="n">
        <f aca="false">SUM(Q4945,S4945,U4945,W4945,Y4945,AA4945,AC4945,AE4945,AG4945,AI4945,AK4945,AM4945,AO4945,AQ4945,AS4945,AU4945,AW4945,AY4945)</f>
        <v>3979</v>
      </c>
      <c r="BC4945" s="28" t="n">
        <f aca="false">BA4945-BB4945</f>
        <v>0</v>
      </c>
      <c r="BD4945" s="32" t="n">
        <f aca="false">SUM(P4945,R4945,T4945,V4945,X4945,Z4945,AB4945,AD4945,AF4945,AH4945,AJ4945,AL4945,AN4945,AP4945,AR4945,AT4945,AV4945,AX4945)</f>
        <v>84.67</v>
      </c>
      <c r="BE4945" s="33" t="n">
        <f aca="false">AZ4945-BD4945</f>
        <v>0</v>
      </c>
      <c r="BF4945" s="34" t="n">
        <f aca="false">BD4945*M4945</f>
        <v>3979.49</v>
      </c>
      <c r="BG4945" s="35" t="n">
        <f aca="false">BA4945-BF4945</f>
        <v>-0.490000000000237</v>
      </c>
      <c r="BH4945" s="19" t="str">
        <f aca="false">IF(BG4945=0,"",IF(BG4945&lt;&gt;BA4945,"erreur de calcul",IF(BD4945&lt;&gt;0,"pas de prix",IF(M4945&lt;&gt; 0,"pas de quantité","pas de prix, ni de quantité"))))</f>
        <v>erreur de calcul</v>
      </c>
      <c r="BI4945" s="19"/>
    </row>
    <row r="4946" customFormat="false" ht="15" hidden="false" customHeight="false" outlineLevel="0" collapsed="false">
      <c r="A4946" s="0" t="n">
        <v>30</v>
      </c>
      <c r="B4946" s="8" t="s">
        <v>24</v>
      </c>
      <c r="C4946" s="9" t="s">
        <v>25</v>
      </c>
      <c r="D4946" s="9" t="s">
        <v>26</v>
      </c>
      <c r="E4946" s="10" t="n">
        <v>1789</v>
      </c>
      <c r="F4946" s="9" t="s">
        <v>27</v>
      </c>
      <c r="G4946" s="9" t="s">
        <v>27</v>
      </c>
      <c r="H4946" s="11" t="n">
        <v>18</v>
      </c>
      <c r="I4946" s="11" t="s">
        <v>103</v>
      </c>
      <c r="J4946" s="14" t="n">
        <v>475</v>
      </c>
      <c r="K4946" s="14"/>
      <c r="L4946" s="16"/>
      <c r="M4946" s="27" t="n">
        <f aca="false">J4946+(K4946/20)+(L4946/240)</f>
        <v>475</v>
      </c>
      <c r="N4946" s="17" t="s">
        <v>64</v>
      </c>
      <c r="O4946" s="11"/>
      <c r="P4946" s="28"/>
      <c r="Q4946" s="28" t="n">
        <f aca="false">P4946*$M4946</f>
        <v>0</v>
      </c>
      <c r="R4946" s="28"/>
      <c r="S4946" s="28" t="n">
        <f aca="false">R4946*$M4946</f>
        <v>0</v>
      </c>
      <c r="T4946" s="28" t="n">
        <f aca="false">1746/100</f>
        <v>17.46</v>
      </c>
      <c r="U4946" s="28" t="n">
        <v>8293</v>
      </c>
      <c r="V4946" s="28"/>
      <c r="W4946" s="28" t="n">
        <f aca="false">V4946*$M4946</f>
        <v>0</v>
      </c>
      <c r="X4946" s="29"/>
      <c r="Y4946" s="28" t="n">
        <f aca="false">X4946*$M4946</f>
        <v>0</v>
      </c>
      <c r="Z4946" s="28"/>
      <c r="AA4946" s="28" t="n">
        <f aca="false">Z4946*$M4946</f>
        <v>0</v>
      </c>
      <c r="AB4946" s="28"/>
      <c r="AC4946" s="28" t="n">
        <f aca="false">AB4946*$M4946</f>
        <v>0</v>
      </c>
      <c r="AD4946" s="28"/>
      <c r="AE4946" s="28" t="n">
        <f aca="false">AD4946*$M4946</f>
        <v>0</v>
      </c>
      <c r="AF4946" s="28"/>
      <c r="AG4946" s="28" t="n">
        <f aca="false">AF4946*$M4946</f>
        <v>0</v>
      </c>
      <c r="AH4946" s="28" t="n">
        <f aca="false">1667/100</f>
        <v>16.67</v>
      </c>
      <c r="AI4946" s="28" t="n">
        <v>7918</v>
      </c>
      <c r="AJ4946" s="28"/>
      <c r="AK4946" s="28" t="n">
        <f aca="false">AJ4946*$M4946</f>
        <v>0</v>
      </c>
      <c r="AL4946" s="28"/>
      <c r="AM4946" s="28" t="n">
        <f aca="false">AL4946*$M4946</f>
        <v>0</v>
      </c>
      <c r="AN4946" s="28"/>
      <c r="AO4946" s="28" t="n">
        <f aca="false">AN4946*$M4946</f>
        <v>0</v>
      </c>
      <c r="AP4946" s="28"/>
      <c r="AQ4946" s="28" t="n">
        <f aca="false">AP4946*$M4946</f>
        <v>0</v>
      </c>
      <c r="AR4946" s="28"/>
      <c r="AS4946" s="28" t="n">
        <f aca="false">AR4946*$M4946</f>
        <v>0</v>
      </c>
      <c r="AT4946" s="28"/>
      <c r="AU4946" s="28" t="n">
        <f aca="false">AT4946*$M4946</f>
        <v>0</v>
      </c>
      <c r="AV4946" s="28"/>
      <c r="AW4946" s="28" t="n">
        <f aca="false">AV4946*$M4946</f>
        <v>0</v>
      </c>
      <c r="AX4946" s="28"/>
      <c r="AY4946" s="28" t="n">
        <f aca="false">AX4946*$M4946</f>
        <v>0</v>
      </c>
      <c r="AZ4946" s="30" t="n">
        <f aca="false">3413/100</f>
        <v>34.13</v>
      </c>
      <c r="BA4946" s="11" t="n">
        <v>16211</v>
      </c>
      <c r="BB4946" s="31" t="n">
        <f aca="false">SUM(Q4946,S4946,U4946,W4946,Y4946,AA4946,AC4946,AE4946,AG4946,AI4946,AK4946,AM4946,AO4946,AQ4946,AS4946,AU4946,AW4946,AY4946)</f>
        <v>16211</v>
      </c>
      <c r="BC4946" s="28" t="n">
        <f aca="false">BA4946-BB4946</f>
        <v>0</v>
      </c>
      <c r="BD4946" s="32" t="n">
        <f aca="false">SUM(P4946,R4946,T4946,V4946,X4946,Z4946,AB4946,AD4946,AF4946,AH4946,AJ4946,AL4946,AN4946,AP4946,AR4946,AT4946,AV4946,AX4946)</f>
        <v>34.13</v>
      </c>
      <c r="BE4946" s="33" t="n">
        <f aca="false">AZ4946-BD4946</f>
        <v>0</v>
      </c>
      <c r="BF4946" s="34" t="n">
        <f aca="false">BD4946*M4946</f>
        <v>16211.75</v>
      </c>
      <c r="BG4946" s="35" t="n">
        <f aca="false">BA4946-BF4946</f>
        <v>-0.750000000001819</v>
      </c>
      <c r="BH4946" s="19" t="str">
        <f aca="false">IF(BG4946=0,"",IF(BG4946&lt;&gt;BA4946,"erreur de calcul",IF(BD4946&lt;&gt;0,"pas de prix",IF(M4946&lt;&gt; 0,"pas de quantité","pas de prix, ni de quantité"))))</f>
        <v>erreur de calcul</v>
      </c>
      <c r="BI4946" s="19"/>
    </row>
    <row r="4947" customFormat="false" ht="15" hidden="false" customHeight="false" outlineLevel="0" collapsed="false">
      <c r="A4947" s="0" t="n">
        <v>31</v>
      </c>
      <c r="B4947" s="8" t="s">
        <v>24</v>
      </c>
      <c r="C4947" s="9" t="s">
        <v>25</v>
      </c>
      <c r="D4947" s="9" t="s">
        <v>26</v>
      </c>
      <c r="E4947" s="10" t="n">
        <v>1789</v>
      </c>
      <c r="F4947" s="9" t="s">
        <v>27</v>
      </c>
      <c r="G4947" s="9" t="s">
        <v>27</v>
      </c>
      <c r="H4947" s="11" t="n">
        <v>18</v>
      </c>
      <c r="I4947" s="11" t="s">
        <v>104</v>
      </c>
      <c r="J4947" s="14" t="n">
        <v>310</v>
      </c>
      <c r="K4947" s="14"/>
      <c r="L4947" s="16"/>
      <c r="M4947" s="27" t="n">
        <f aca="false">J4947+(K4947/20)+(L4947/240)</f>
        <v>310</v>
      </c>
      <c r="N4947" s="17" t="s">
        <v>64</v>
      </c>
      <c r="O4947" s="11"/>
      <c r="P4947" s="28"/>
      <c r="Q4947" s="28" t="n">
        <f aca="false">P4947*$M4947</f>
        <v>0</v>
      </c>
      <c r="R4947" s="28"/>
      <c r="S4947" s="28" t="n">
        <f aca="false">R4947*$M4947</f>
        <v>0</v>
      </c>
      <c r="T4947" s="28" t="n">
        <f aca="false">1087/100</f>
        <v>10.87</v>
      </c>
      <c r="U4947" s="28" t="n">
        <v>3370</v>
      </c>
      <c r="V4947" s="28" t="n">
        <f aca="false">285/100</f>
        <v>2.85</v>
      </c>
      <c r="W4947" s="28" t="n">
        <v>883</v>
      </c>
      <c r="X4947" s="29"/>
      <c r="Y4947" s="28" t="n">
        <f aca="false">X4947*$M4947</f>
        <v>0</v>
      </c>
      <c r="Z4947" s="28"/>
      <c r="AA4947" s="28" t="n">
        <f aca="false">Z4947*$M4947</f>
        <v>0</v>
      </c>
      <c r="AB4947" s="28"/>
      <c r="AC4947" s="28" t="n">
        <f aca="false">AB4947*$M4947</f>
        <v>0</v>
      </c>
      <c r="AD4947" s="28"/>
      <c r="AE4947" s="28" t="n">
        <f aca="false">AD4947*$M4947</f>
        <v>0</v>
      </c>
      <c r="AF4947" s="28"/>
      <c r="AG4947" s="28" t="n">
        <f aca="false">AF4947*$M4947</f>
        <v>0</v>
      </c>
      <c r="AH4947" s="28"/>
      <c r="AI4947" s="28" t="n">
        <f aca="false">AH4947*$M4947</f>
        <v>0</v>
      </c>
      <c r="AJ4947" s="28"/>
      <c r="AK4947" s="28" t="n">
        <f aca="false">AJ4947*$M4947</f>
        <v>0</v>
      </c>
      <c r="AL4947" s="28"/>
      <c r="AM4947" s="28" t="n">
        <f aca="false">AL4947*$M4947</f>
        <v>0</v>
      </c>
      <c r="AN4947" s="28"/>
      <c r="AO4947" s="28" t="n">
        <f aca="false">AN4947*$M4947</f>
        <v>0</v>
      </c>
      <c r="AP4947" s="28"/>
      <c r="AQ4947" s="28" t="n">
        <f aca="false">AP4947*$M4947</f>
        <v>0</v>
      </c>
      <c r="AR4947" s="28"/>
      <c r="AS4947" s="28" t="n">
        <f aca="false">AR4947*$M4947</f>
        <v>0</v>
      </c>
      <c r="AT4947" s="28"/>
      <c r="AU4947" s="28" t="n">
        <f aca="false">AT4947*$M4947</f>
        <v>0</v>
      </c>
      <c r="AV4947" s="28"/>
      <c r="AW4947" s="28" t="n">
        <f aca="false">AV4947*$M4947</f>
        <v>0</v>
      </c>
      <c r="AX4947" s="28"/>
      <c r="AY4947" s="28" t="n">
        <f aca="false">AX4947*$M4947</f>
        <v>0</v>
      </c>
      <c r="AZ4947" s="30" t="n">
        <f aca="false">1372/100</f>
        <v>13.72</v>
      </c>
      <c r="BA4947" s="11" t="n">
        <v>4253</v>
      </c>
      <c r="BB4947" s="31" t="n">
        <f aca="false">SUM(Q4947,S4947,U4947,W4947,Y4947,AA4947,AC4947,AE4947,AG4947,AI4947,AK4947,AM4947,AO4947,AQ4947,AS4947,AU4947,AW4947,AY4947)</f>
        <v>4253</v>
      </c>
      <c r="BC4947" s="28" t="n">
        <f aca="false">BA4947-BB4947</f>
        <v>0</v>
      </c>
      <c r="BD4947" s="32" t="n">
        <f aca="false">SUM(P4947,R4947,T4947,V4947,X4947,Z4947,AB4947,AD4947,AF4947,AH4947,AJ4947,AL4947,AN4947,AP4947,AR4947,AT4947,AV4947,AX4947)</f>
        <v>13.72</v>
      </c>
      <c r="BE4947" s="33" t="n">
        <f aca="false">AZ4947-BD4947</f>
        <v>0</v>
      </c>
      <c r="BF4947" s="34" t="n">
        <f aca="false">BD4947*M4947</f>
        <v>4253.2</v>
      </c>
      <c r="BG4947" s="35" t="n">
        <f aca="false">BA4947-BF4947</f>
        <v>-0.199999999999818</v>
      </c>
      <c r="BH4947" s="19" t="str">
        <f aca="false">IF(BG4947=0,"",IF(BG4947&lt;&gt;BA4947,"erreur de calcul",IF(BD4947&lt;&gt;0,"pas de prix",IF(M4947&lt;&gt; 0,"pas de quantité","pas de prix, ni de quantité"))))</f>
        <v>erreur de calcul</v>
      </c>
      <c r="BI4947" s="19"/>
    </row>
    <row r="4948" customFormat="false" ht="15" hidden="false" customHeight="false" outlineLevel="0" collapsed="false">
      <c r="A4948" s="0" t="n">
        <v>32</v>
      </c>
      <c r="B4948" s="8" t="s">
        <v>24</v>
      </c>
      <c r="C4948" s="9" t="s">
        <v>25</v>
      </c>
      <c r="D4948" s="9" t="s">
        <v>26</v>
      </c>
      <c r="E4948" s="10" t="n">
        <v>1789</v>
      </c>
      <c r="F4948" s="9" t="s">
        <v>27</v>
      </c>
      <c r="G4948" s="9" t="s">
        <v>27</v>
      </c>
      <c r="H4948" s="11" t="n">
        <v>18</v>
      </c>
      <c r="I4948" s="11" t="s">
        <v>105</v>
      </c>
      <c r="J4948" s="14" t="n">
        <v>570</v>
      </c>
      <c r="K4948" s="14"/>
      <c r="L4948" s="16"/>
      <c r="M4948" s="27" t="n">
        <f aca="false">J4948+(K4948/20)+(L4948/240)</f>
        <v>570</v>
      </c>
      <c r="N4948" s="17" t="s">
        <v>64</v>
      </c>
      <c r="O4948" s="11"/>
      <c r="P4948" s="28"/>
      <c r="Q4948" s="28" t="n">
        <f aca="false">P4948*$M4948</f>
        <v>0</v>
      </c>
      <c r="R4948" s="28"/>
      <c r="S4948" s="28" t="n">
        <f aca="false">R4948*$M4948</f>
        <v>0</v>
      </c>
      <c r="T4948" s="28" t="n">
        <f aca="false">7423/100</f>
        <v>74.23</v>
      </c>
      <c r="U4948" s="28" t="n">
        <v>42311</v>
      </c>
      <c r="V4948" s="28" t="n">
        <f aca="false">798/100</f>
        <v>7.98</v>
      </c>
      <c r="W4948" s="28" t="n">
        <v>4549</v>
      </c>
      <c r="X4948" s="29" t="n">
        <f aca="false">2068/100</f>
        <v>20.68</v>
      </c>
      <c r="Y4948" s="28" t="n">
        <v>8368</v>
      </c>
      <c r="Z4948" s="28"/>
      <c r="AA4948" s="28" t="n">
        <f aca="false">Z4948*$M4948</f>
        <v>0</v>
      </c>
      <c r="AB4948" s="28" t="n">
        <f aca="false">226/100</f>
        <v>2.26</v>
      </c>
      <c r="AC4948" s="28" t="n">
        <v>1288</v>
      </c>
      <c r="AD4948" s="28"/>
      <c r="AE4948" s="28" t="n">
        <f aca="false">AD4948*$M4948</f>
        <v>0</v>
      </c>
      <c r="AF4948" s="28"/>
      <c r="AG4948" s="28" t="n">
        <f aca="false">AF4948*$M4948</f>
        <v>0</v>
      </c>
      <c r="AH4948" s="28"/>
      <c r="AI4948" s="28" t="n">
        <f aca="false">AH4948*$M4948</f>
        <v>0</v>
      </c>
      <c r="AJ4948" s="28"/>
      <c r="AK4948" s="28" t="n">
        <f aca="false">AJ4948*$M4948</f>
        <v>0</v>
      </c>
      <c r="AL4948" s="28"/>
      <c r="AM4948" s="28" t="n">
        <f aca="false">AL4948*$M4948</f>
        <v>0</v>
      </c>
      <c r="AN4948" s="28"/>
      <c r="AO4948" s="28" t="n">
        <f aca="false">AN4948*$M4948</f>
        <v>0</v>
      </c>
      <c r="AP4948" s="28"/>
      <c r="AQ4948" s="28" t="n">
        <f aca="false">AP4948*$M4948</f>
        <v>0</v>
      </c>
      <c r="AR4948" s="28"/>
      <c r="AS4948" s="28" t="n">
        <f aca="false">AR4948*$M4948</f>
        <v>0</v>
      </c>
      <c r="AT4948" s="28"/>
      <c r="AU4948" s="28" t="n">
        <f aca="false">AT4948*$M4948</f>
        <v>0</v>
      </c>
      <c r="AV4948" s="28"/>
      <c r="AW4948" s="28" t="n">
        <f aca="false">AV4948*$M4948</f>
        <v>0</v>
      </c>
      <c r="AX4948" s="28"/>
      <c r="AY4948" s="28" t="n">
        <f aca="false">AX4948*$M4948</f>
        <v>0</v>
      </c>
      <c r="AZ4948" s="30" t="n">
        <f aca="false">10515/100</f>
        <v>105.15</v>
      </c>
      <c r="BA4948" s="11" t="n">
        <v>56516</v>
      </c>
      <c r="BB4948" s="31" t="n">
        <f aca="false">SUM(Q4948,S4948,U4948,W4948,Y4948,AA4948,AC4948,AE4948,AG4948,AI4948,AK4948,AM4948,AO4948,AQ4948,AS4948,AU4948,AW4948,AY4948)</f>
        <v>56516</v>
      </c>
      <c r="BC4948" s="28" t="n">
        <f aca="false">BA4948-BB4948</f>
        <v>0</v>
      </c>
      <c r="BD4948" s="32" t="n">
        <f aca="false">SUM(P4948,R4948,T4948,V4948,X4948,Z4948,AB4948,AD4948,AF4948,AH4948,AJ4948,AL4948,AN4948,AP4948,AR4948,AT4948,AV4948,AX4948)</f>
        <v>105.15</v>
      </c>
      <c r="BE4948" s="33" t="n">
        <f aca="false">AZ4948-BD4948</f>
        <v>0</v>
      </c>
      <c r="BF4948" s="34" t="n">
        <f aca="false">BD4948*M4948</f>
        <v>59935.5</v>
      </c>
      <c r="BG4948" s="35" t="n">
        <f aca="false">BA4948-BF4948</f>
        <v>-3419.5</v>
      </c>
      <c r="BH4948" s="19" t="str">
        <f aca="false">IF(BG4948=0,"",IF(BG4948&lt;&gt;BA4948,"erreur de calcul",IF(BD4948&lt;&gt;0,"pas de prix",IF(M4948&lt;&gt; 0,"pas de quantité","pas de prix, ni de quantité"))))</f>
        <v>erreur de calcul</v>
      </c>
      <c r="BI4948" s="19"/>
    </row>
    <row r="4949" customFormat="false" ht="15" hidden="false" customHeight="false" outlineLevel="0" collapsed="false">
      <c r="A4949" s="0" t="n">
        <v>33</v>
      </c>
      <c r="B4949" s="8" t="s">
        <v>24</v>
      </c>
      <c r="C4949" s="9" t="s">
        <v>25</v>
      </c>
      <c r="D4949" s="9" t="s">
        <v>26</v>
      </c>
      <c r="E4949" s="10" t="n">
        <v>1789</v>
      </c>
      <c r="F4949" s="9" t="s">
        <v>27</v>
      </c>
      <c r="G4949" s="9" t="s">
        <v>27</v>
      </c>
      <c r="H4949" s="11" t="n">
        <v>18</v>
      </c>
      <c r="I4949" s="11" t="s">
        <v>106</v>
      </c>
      <c r="J4949" s="14"/>
      <c r="K4949" s="14" t="n">
        <v>40</v>
      </c>
      <c r="L4949" s="16"/>
      <c r="M4949" s="27" t="n">
        <f aca="false">J4949+(K4949/20)+(L4949/240)</f>
        <v>2</v>
      </c>
      <c r="N4949" s="17" t="s">
        <v>66</v>
      </c>
      <c r="O4949" s="11"/>
      <c r="P4949" s="28"/>
      <c r="Q4949" s="28" t="n">
        <f aca="false">P4949*$M4949</f>
        <v>0</v>
      </c>
      <c r="R4949" s="28"/>
      <c r="S4949" s="28" t="n">
        <f aca="false">R4949*$M4949</f>
        <v>0</v>
      </c>
      <c r="T4949" s="28"/>
      <c r="U4949" s="28" t="n">
        <f aca="false">T4949*$M4949</f>
        <v>0</v>
      </c>
      <c r="V4949" s="28" t="n">
        <v>892</v>
      </c>
      <c r="W4949" s="28" t="n">
        <v>1784</v>
      </c>
      <c r="X4949" s="29"/>
      <c r="Y4949" s="28" t="n">
        <f aca="false">X4949*$M4949</f>
        <v>0</v>
      </c>
      <c r="Z4949" s="28"/>
      <c r="AA4949" s="28" t="n">
        <f aca="false">Z4949*$M4949</f>
        <v>0</v>
      </c>
      <c r="AB4949" s="28"/>
      <c r="AC4949" s="28" t="n">
        <f aca="false">AB4949*$M4949</f>
        <v>0</v>
      </c>
      <c r="AD4949" s="28"/>
      <c r="AE4949" s="28" t="n">
        <f aca="false">AD4949*$M4949</f>
        <v>0</v>
      </c>
      <c r="AF4949" s="28"/>
      <c r="AG4949" s="28" t="n">
        <f aca="false">AF4949*$M4949</f>
        <v>0</v>
      </c>
      <c r="AH4949" s="28" t="n">
        <v>1961</v>
      </c>
      <c r="AI4949" s="28" t="n">
        <v>3922</v>
      </c>
      <c r="AJ4949" s="28"/>
      <c r="AK4949" s="28" t="n">
        <f aca="false">AJ4949*$M4949</f>
        <v>0</v>
      </c>
      <c r="AL4949" s="28"/>
      <c r="AM4949" s="28" t="n">
        <f aca="false">AL4949*$M4949</f>
        <v>0</v>
      </c>
      <c r="AN4949" s="28"/>
      <c r="AO4949" s="28" t="n">
        <f aca="false">AN4949*$M4949</f>
        <v>0</v>
      </c>
      <c r="AP4949" s="28"/>
      <c r="AQ4949" s="28" t="n">
        <f aca="false">AP4949*$M4949</f>
        <v>0</v>
      </c>
      <c r="AR4949" s="28"/>
      <c r="AS4949" s="28" t="n">
        <f aca="false">AR4949*$M4949</f>
        <v>0</v>
      </c>
      <c r="AT4949" s="28"/>
      <c r="AU4949" s="28" t="n">
        <f aca="false">AT4949*$M4949</f>
        <v>0</v>
      </c>
      <c r="AV4949" s="28"/>
      <c r="AW4949" s="28" t="n">
        <f aca="false">AV4949*$M4949</f>
        <v>0</v>
      </c>
      <c r="AX4949" s="28"/>
      <c r="AY4949" s="28" t="n">
        <f aca="false">AX4949*$M4949</f>
        <v>0</v>
      </c>
      <c r="AZ4949" s="30" t="n">
        <v>2853</v>
      </c>
      <c r="BA4949" s="11" t="n">
        <v>5706</v>
      </c>
      <c r="BB4949" s="31" t="n">
        <f aca="false">SUM(Q4949,S4949,U4949,W4949,Y4949,AA4949,AC4949,AE4949,AG4949,AI4949,AK4949,AM4949,AO4949,AQ4949,AS4949,AU4949,AW4949,AY4949)</f>
        <v>5706</v>
      </c>
      <c r="BC4949" s="28" t="n">
        <f aca="false">BA4949-BB4949</f>
        <v>0</v>
      </c>
      <c r="BD4949" s="32" t="n">
        <f aca="false">SUM(P4949,R4949,T4949,V4949,X4949,Z4949,AB4949,AD4949,AF4949,AH4949,AJ4949,AL4949,AN4949,AP4949,AR4949,AT4949,AV4949,AX4949)</f>
        <v>2853</v>
      </c>
      <c r="BE4949" s="33" t="n">
        <f aca="false">AZ4949-BD4949</f>
        <v>0</v>
      </c>
      <c r="BF4949" s="34" t="n">
        <f aca="false">BD4949*M4949</f>
        <v>5706</v>
      </c>
      <c r="BG4949" s="35" t="n">
        <f aca="false">BA4949-BF4949</f>
        <v>0</v>
      </c>
      <c r="BH4949" s="19" t="str">
        <f aca="false">IF(BG4949=0,"",IF(BG4949&lt;&gt;BA4949,"erreur de calcul",IF(BD4949&lt;&gt;0,"pas de prix",IF(M4949&lt;&gt; 0,"pas de quantité","pas de prix, ni de quantité"))))</f>
        <v/>
      </c>
      <c r="BI4949" s="19"/>
    </row>
    <row r="4950" customFormat="false" ht="15" hidden="false" customHeight="false" outlineLevel="0" collapsed="false">
      <c r="A4950" s="0" t="n">
        <v>34</v>
      </c>
      <c r="B4950" s="8" t="s">
        <v>24</v>
      </c>
      <c r="C4950" s="9" t="s">
        <v>25</v>
      </c>
      <c r="D4950" s="9" t="s">
        <v>26</v>
      </c>
      <c r="E4950" s="10" t="n">
        <v>1789</v>
      </c>
      <c r="F4950" s="9" t="s">
        <v>27</v>
      </c>
      <c r="G4950" s="9" t="s">
        <v>27</v>
      </c>
      <c r="H4950" s="11" t="n">
        <v>18</v>
      </c>
      <c r="I4950" s="11" t="s">
        <v>107</v>
      </c>
      <c r="J4950" s="14" t="n">
        <v>180</v>
      </c>
      <c r="K4950" s="14"/>
      <c r="L4950" s="16"/>
      <c r="M4950" s="27" t="n">
        <f aca="false">J4950+(K4950/20)+(L4950/240)</f>
        <v>180</v>
      </c>
      <c r="N4950" s="17" t="s">
        <v>64</v>
      </c>
      <c r="O4950" s="11"/>
      <c r="P4950" s="28"/>
      <c r="Q4950" s="28" t="n">
        <f aca="false">P4950*$M4950</f>
        <v>0</v>
      </c>
      <c r="R4950" s="28"/>
      <c r="S4950" s="28" t="n">
        <f aca="false">R4950*$M4950</f>
        <v>0</v>
      </c>
      <c r="T4950" s="28"/>
      <c r="U4950" s="28" t="n">
        <f aca="false">T4950*$M4950</f>
        <v>0</v>
      </c>
      <c r="V4950" s="28"/>
      <c r="W4950" s="28" t="n">
        <f aca="false">V4950*$M4950</f>
        <v>0</v>
      </c>
      <c r="X4950" s="29"/>
      <c r="Y4950" s="28" t="n">
        <f aca="false">X4950*$M4950</f>
        <v>0</v>
      </c>
      <c r="Z4950" s="28"/>
      <c r="AA4950" s="28" t="n">
        <f aca="false">Z4950*$M4950</f>
        <v>0</v>
      </c>
      <c r="AB4950" s="28"/>
      <c r="AC4950" s="28" t="n">
        <f aca="false">AB4950*$M4950</f>
        <v>0</v>
      </c>
      <c r="AD4950" s="28"/>
      <c r="AE4950" s="28" t="n">
        <f aca="false">AD4950*$M4950</f>
        <v>0</v>
      </c>
      <c r="AF4950" s="28"/>
      <c r="AG4950" s="28" t="n">
        <f aca="false">AF4950*$M4950</f>
        <v>0</v>
      </c>
      <c r="AH4950" s="28" t="n">
        <f aca="false">28680/100</f>
        <v>286.8</v>
      </c>
      <c r="AI4950" s="28" t="n">
        <v>51624</v>
      </c>
      <c r="AJ4950" s="28"/>
      <c r="AK4950" s="28" t="n">
        <f aca="false">AJ4950*$M4950</f>
        <v>0</v>
      </c>
      <c r="AL4950" s="28"/>
      <c r="AM4950" s="28" t="n">
        <f aca="false">AL4950*$M4950</f>
        <v>0</v>
      </c>
      <c r="AN4950" s="28"/>
      <c r="AO4950" s="28" t="n">
        <f aca="false">AN4950*$M4950</f>
        <v>0</v>
      </c>
      <c r="AP4950" s="28"/>
      <c r="AQ4950" s="28" t="n">
        <f aca="false">AP4950*$M4950</f>
        <v>0</v>
      </c>
      <c r="AR4950" s="28"/>
      <c r="AS4950" s="28" t="n">
        <f aca="false">AR4950*$M4950</f>
        <v>0</v>
      </c>
      <c r="AT4950" s="28"/>
      <c r="AU4950" s="28" t="n">
        <f aca="false">AT4950*$M4950</f>
        <v>0</v>
      </c>
      <c r="AV4950" s="28"/>
      <c r="AW4950" s="28" t="n">
        <f aca="false">AV4950*$M4950</f>
        <v>0</v>
      </c>
      <c r="AX4950" s="28"/>
      <c r="AY4950" s="28" t="n">
        <f aca="false">AX4950*$M4950</f>
        <v>0</v>
      </c>
      <c r="AZ4950" s="30" t="n">
        <f aca="false">28680/100</f>
        <v>286.8</v>
      </c>
      <c r="BA4950" s="11" t="n">
        <v>51624</v>
      </c>
      <c r="BB4950" s="31" t="n">
        <f aca="false">SUM(Q4950,S4950,U4950,W4950,Y4950,AA4950,AC4950,AE4950,AG4950,AI4950,AK4950,AM4950,AO4950,AQ4950,AS4950,AU4950,AW4950,AY4950)</f>
        <v>51624</v>
      </c>
      <c r="BC4950" s="28" t="n">
        <f aca="false">BA4950-BB4950</f>
        <v>0</v>
      </c>
      <c r="BD4950" s="32" t="n">
        <f aca="false">SUM(P4950,R4950,T4950,V4950,X4950,Z4950,AB4950,AD4950,AF4950,AH4950,AJ4950,AL4950,AN4950,AP4950,AR4950,AT4950,AV4950,AX4950)</f>
        <v>286.8</v>
      </c>
      <c r="BE4950" s="33" t="n">
        <f aca="false">AZ4950-BD4950</f>
        <v>0</v>
      </c>
      <c r="BF4950" s="34" t="n">
        <f aca="false">BD4950*M4950</f>
        <v>51624</v>
      </c>
      <c r="BG4950" s="35" t="n">
        <f aca="false">BA4950-BF4950</f>
        <v>0</v>
      </c>
      <c r="BH4950" s="19" t="str">
        <f aca="false">IF(BG4950=0,"",IF(BG4950&lt;&gt;BA4950,"erreur de calcul",IF(BD4950&lt;&gt;0,"pas de prix",IF(M4950&lt;&gt; 0,"pas de quantité","pas de prix, ni de quantité"))))</f>
        <v/>
      </c>
      <c r="BI4950" s="19"/>
    </row>
    <row r="4951" customFormat="false" ht="15" hidden="false" customHeight="false" outlineLevel="0" collapsed="false">
      <c r="A4951" s="0" t="n">
        <v>35</v>
      </c>
      <c r="B4951" s="8" t="s">
        <v>24</v>
      </c>
      <c r="C4951" s="9" t="s">
        <v>25</v>
      </c>
      <c r="D4951" s="9" t="s">
        <v>26</v>
      </c>
      <c r="E4951" s="10" t="n">
        <v>1789</v>
      </c>
      <c r="F4951" s="9" t="s">
        <v>27</v>
      </c>
      <c r="G4951" s="9" t="s">
        <v>27</v>
      </c>
      <c r="H4951" s="11" t="n">
        <v>18</v>
      </c>
      <c r="I4951" s="11" t="s">
        <v>108</v>
      </c>
      <c r="J4951" s="14" t="n">
        <v>11</v>
      </c>
      <c r="K4951" s="14"/>
      <c r="L4951" s="16"/>
      <c r="M4951" s="27" t="n">
        <f aca="false">J4951+(K4951/20)+(L4951/240)</f>
        <v>11</v>
      </c>
      <c r="N4951" s="17" t="s">
        <v>64</v>
      </c>
      <c r="O4951" s="11" t="s">
        <v>109</v>
      </c>
      <c r="P4951" s="28"/>
      <c r="Q4951" s="28" t="n">
        <f aca="false">P4951*$M4951</f>
        <v>0</v>
      </c>
      <c r="R4951" s="28"/>
      <c r="S4951" s="28" t="n">
        <f aca="false">R4951*$M4951</f>
        <v>0</v>
      </c>
      <c r="T4951" s="28"/>
      <c r="U4951" s="28" t="n">
        <f aca="false">T4951*$M4951</f>
        <v>0</v>
      </c>
      <c r="V4951" s="28"/>
      <c r="W4951" s="28" t="n">
        <f aca="false">V4951*$M4951</f>
        <v>0</v>
      </c>
      <c r="X4951" s="29"/>
      <c r="Y4951" s="28" t="n">
        <f aca="false">X4951*$M4951</f>
        <v>0</v>
      </c>
      <c r="Z4951" s="28"/>
      <c r="AA4951" s="28" t="n">
        <f aca="false">Z4951*$M4951</f>
        <v>0</v>
      </c>
      <c r="AB4951" s="28"/>
      <c r="AC4951" s="28" t="n">
        <f aca="false">AB4951*$M4951</f>
        <v>0</v>
      </c>
      <c r="AD4951" s="28"/>
      <c r="AE4951" s="28" t="n">
        <f aca="false">AD4951*$M4951</f>
        <v>0</v>
      </c>
      <c r="AF4951" s="28"/>
      <c r="AG4951" s="28" t="n">
        <f aca="false">AF4951*$M4951</f>
        <v>0</v>
      </c>
      <c r="AH4951" s="28"/>
      <c r="AI4951" s="28" t="n">
        <f aca="false">AH4951*$M4951</f>
        <v>0</v>
      </c>
      <c r="AJ4951" s="28" t="n">
        <f aca="false">1784/100</f>
        <v>17.84</v>
      </c>
      <c r="AK4951" s="28" t="n">
        <v>196</v>
      </c>
      <c r="AL4951" s="28" t="n">
        <f aca="false">7942/100</f>
        <v>79.42</v>
      </c>
      <c r="AM4951" s="28" t="n">
        <v>874</v>
      </c>
      <c r="AN4951" s="28"/>
      <c r="AO4951" s="28" t="n">
        <f aca="false">AN4951*$M4951</f>
        <v>0</v>
      </c>
      <c r="AP4951" s="28" t="n">
        <f aca="false">13980/100</f>
        <v>139.8</v>
      </c>
      <c r="AQ4951" s="28" t="n">
        <v>1538</v>
      </c>
      <c r="AR4951" s="28" t="n">
        <f aca="false">96390/100</f>
        <v>963.9</v>
      </c>
      <c r="AS4951" s="28" t="n">
        <v>10603</v>
      </c>
      <c r="AT4951" s="28"/>
      <c r="AU4951" s="28" t="n">
        <f aca="false">AT4951*$M4951</f>
        <v>0</v>
      </c>
      <c r="AV4951" s="28"/>
      <c r="AW4951" s="28" t="n">
        <f aca="false">AV4951*$M4951</f>
        <v>0</v>
      </c>
      <c r="AX4951" s="28"/>
      <c r="AY4951" s="28" t="n">
        <f aca="false">AX4951*$M4951</f>
        <v>0</v>
      </c>
      <c r="AZ4951" s="30" t="n">
        <f aca="false">120096/100</f>
        <v>1200.96</v>
      </c>
      <c r="BA4951" s="11" t="n">
        <v>13211</v>
      </c>
      <c r="BB4951" s="31" t="n">
        <f aca="false">SUM(Q4951,S4951,U4951,W4951,Y4951,AA4951,AC4951,AE4951,AG4951,AI4951,AK4951,AM4951,AO4951,AQ4951,AS4951,AU4951,AW4951,AY4951)</f>
        <v>13211</v>
      </c>
      <c r="BC4951" s="28" t="n">
        <f aca="false">BA4951-BB4951</f>
        <v>0</v>
      </c>
      <c r="BD4951" s="32" t="n">
        <f aca="false">SUM(P4951,R4951,T4951,V4951,X4951,Z4951,AB4951,AD4951,AF4951,AH4951,AJ4951,AL4951,AN4951,AP4951,AR4951,AT4951,AV4951,AX4951)</f>
        <v>1200.96</v>
      </c>
      <c r="BE4951" s="33" t="n">
        <f aca="false">AZ4951-BD4951</f>
        <v>0</v>
      </c>
      <c r="BF4951" s="34" t="n">
        <f aca="false">BD4951*M4951</f>
        <v>13210.56</v>
      </c>
      <c r="BG4951" s="35" t="n">
        <f aca="false">BA4951-BF4951</f>
        <v>0.43999999999869</v>
      </c>
      <c r="BH4951" s="19" t="str">
        <f aca="false">IF(BG4951=0,"",IF(BG4951&lt;&gt;BA4951,"erreur de calcul",IF(BD4951&lt;&gt;0,"pas de prix",IF(M4951&lt;&gt; 0,"pas de quantité","pas de prix, ni de quantité"))))</f>
        <v>erreur de calcul</v>
      </c>
      <c r="BI4951" s="19"/>
    </row>
    <row r="4952" customFormat="false" ht="15" hidden="false" customHeight="false" outlineLevel="0" collapsed="false">
      <c r="A4952" s="0" t="n">
        <v>36</v>
      </c>
      <c r="B4952" s="8" t="s">
        <v>24</v>
      </c>
      <c r="C4952" s="9" t="s">
        <v>25</v>
      </c>
      <c r="D4952" s="9" t="s">
        <v>26</v>
      </c>
      <c r="E4952" s="10" t="n">
        <v>1789</v>
      </c>
      <c r="F4952" s="9" t="s">
        <v>27</v>
      </c>
      <c r="G4952" s="9" t="s">
        <v>27</v>
      </c>
      <c r="H4952" s="11" t="n">
        <v>18</v>
      </c>
      <c r="I4952" s="11" t="s">
        <v>110</v>
      </c>
      <c r="J4952" s="14" t="n">
        <v>12</v>
      </c>
      <c r="K4952" s="14"/>
      <c r="L4952" s="16"/>
      <c r="M4952" s="27" t="n">
        <f aca="false">J4952+(K4952/20)+(L4952/240)</f>
        <v>12</v>
      </c>
      <c r="N4952" s="17" t="s">
        <v>64</v>
      </c>
      <c r="O4952" s="11" t="s">
        <v>109</v>
      </c>
      <c r="P4952" s="28" t="n">
        <f aca="false">30663/100</f>
        <v>306.63</v>
      </c>
      <c r="Q4952" s="28" t="n">
        <v>3679</v>
      </c>
      <c r="R4952" s="28"/>
      <c r="S4952" s="28" t="n">
        <f aca="false">R4952*$M4952</f>
        <v>0</v>
      </c>
      <c r="T4952" s="28"/>
      <c r="U4952" s="28" t="n">
        <f aca="false">T4952*$M4952</f>
        <v>0</v>
      </c>
      <c r="V4952" s="28"/>
      <c r="W4952" s="28" t="n">
        <f aca="false">V4952*$M4952</f>
        <v>0</v>
      </c>
      <c r="X4952" s="29"/>
      <c r="Y4952" s="28" t="n">
        <f aca="false">X4952*$M4952</f>
        <v>0</v>
      </c>
      <c r="Z4952" s="28"/>
      <c r="AA4952" s="28" t="n">
        <f aca="false">Z4952*$M4952</f>
        <v>0</v>
      </c>
      <c r="AB4952" s="28"/>
      <c r="AC4952" s="28" t="n">
        <f aca="false">AB4952*$M4952</f>
        <v>0</v>
      </c>
      <c r="AD4952" s="28"/>
      <c r="AE4952" s="28" t="n">
        <f aca="false">AD4952*$M4952</f>
        <v>0</v>
      </c>
      <c r="AF4952" s="28"/>
      <c r="AG4952" s="28" t="n">
        <f aca="false">AF4952*$M4952</f>
        <v>0</v>
      </c>
      <c r="AH4952" s="28"/>
      <c r="AI4952" s="28" t="n">
        <f aca="false">AH4952*$M4952</f>
        <v>0</v>
      </c>
      <c r="AJ4952" s="28"/>
      <c r="AK4952" s="28" t="n">
        <f aca="false">AJ4952*$M4952</f>
        <v>0</v>
      </c>
      <c r="AL4952" s="28" t="n">
        <f aca="false">114207/100</f>
        <v>1142.07</v>
      </c>
      <c r="AM4952" s="28" t="n">
        <v>13705</v>
      </c>
      <c r="AN4952" s="28" t="n">
        <f aca="false">2100/100</f>
        <v>21</v>
      </c>
      <c r="AO4952" s="28" t="n">
        <v>252</v>
      </c>
      <c r="AP4952" s="28" t="n">
        <f aca="false">16107/100</f>
        <v>161.07</v>
      </c>
      <c r="AQ4952" s="28" t="n">
        <v>1933</v>
      </c>
      <c r="AR4952" s="28" t="n">
        <f aca="false">553069/100</f>
        <v>5530.69</v>
      </c>
      <c r="AS4952" s="28" t="n">
        <v>66368</v>
      </c>
      <c r="AT4952" s="28" t="n">
        <f aca="false">6160/100</f>
        <v>61.6</v>
      </c>
      <c r="AU4952" s="28" t="n">
        <v>739</v>
      </c>
      <c r="AV4952" s="28" t="n">
        <f aca="false">2640/100</f>
        <v>26.4</v>
      </c>
      <c r="AW4952" s="28" t="n">
        <v>317</v>
      </c>
      <c r="AX4952" s="28" t="n">
        <f aca="false">8767/100</f>
        <v>87.67</v>
      </c>
      <c r="AY4952" s="36" t="n">
        <v>1085</v>
      </c>
      <c r="AZ4952" s="30" t="n">
        <f aca="false">733753/100</f>
        <v>7337.53</v>
      </c>
      <c r="BA4952" s="11" t="n">
        <v>88078</v>
      </c>
      <c r="BB4952" s="31" t="n">
        <f aca="false">SUM(Q4952,S4952,U4952,W4952,Y4952,AA4952,AC4952,AE4952,AG4952,AI4952,AK4952,AM4952,AO4952,AQ4952,AS4952,AU4952,AW4952,AY4952)</f>
        <v>88078</v>
      </c>
      <c r="BC4952" s="28" t="n">
        <f aca="false">BA4952-BB4952</f>
        <v>0</v>
      </c>
      <c r="BD4952" s="32" t="n">
        <f aca="false">SUM(P4952,R4952,T4952,V4952,X4952,Z4952,AB4952,AD4952,AF4952,AH4952,AJ4952,AL4952,AN4952,AP4952,AR4952,AT4952,AV4952,AX4952)</f>
        <v>7337.13</v>
      </c>
      <c r="BE4952" s="33" t="n">
        <f aca="false">AZ4952-BD4952</f>
        <v>0.400000000000546</v>
      </c>
      <c r="BF4952" s="34" t="n">
        <f aca="false">BD4952*M4952</f>
        <v>88045.56</v>
      </c>
      <c r="BG4952" s="35" t="n">
        <f aca="false">BA4952-BF4952</f>
        <v>32.4400000000023</v>
      </c>
      <c r="BH4952" s="19" t="str">
        <f aca="false">IF(BG4952=0,"",IF(BG4952&lt;&gt;BA4952,"erreur de calcul",IF(BD4952&lt;&gt;0,"pas de prix",IF(M4952&lt;&gt; 0,"pas de quantité","pas de prix, ni de quantité"))))</f>
        <v>erreur de calcul</v>
      </c>
      <c r="BI4952" s="19"/>
    </row>
    <row r="4953" customFormat="false" ht="15" hidden="false" customHeight="false" outlineLevel="0" collapsed="false">
      <c r="A4953" s="0" t="n">
        <v>37</v>
      </c>
      <c r="B4953" s="8" t="s">
        <v>24</v>
      </c>
      <c r="C4953" s="9" t="s">
        <v>25</v>
      </c>
      <c r="D4953" s="9" t="s">
        <v>26</v>
      </c>
      <c r="E4953" s="10" t="n">
        <v>1789</v>
      </c>
      <c r="F4953" s="9" t="s">
        <v>27</v>
      </c>
      <c r="G4953" s="9" t="s">
        <v>27</v>
      </c>
      <c r="H4953" s="11" t="n">
        <v>18</v>
      </c>
      <c r="I4953" s="11" t="s">
        <v>111</v>
      </c>
      <c r="J4953" s="14" t="n">
        <v>10</v>
      </c>
      <c r="K4953" s="14"/>
      <c r="L4953" s="16"/>
      <c r="M4953" s="27" t="n">
        <f aca="false">J4953+(K4953/20)+(L4953/240)</f>
        <v>10</v>
      </c>
      <c r="N4953" s="17" t="s">
        <v>64</v>
      </c>
      <c r="O4953" s="11"/>
      <c r="P4953" s="28"/>
      <c r="Q4953" s="28" t="n">
        <f aca="false">P4953*$M4953</f>
        <v>0</v>
      </c>
      <c r="R4953" s="28"/>
      <c r="S4953" s="28" t="n">
        <f aca="false">R4953*$M4953</f>
        <v>0</v>
      </c>
      <c r="T4953" s="28"/>
      <c r="U4953" s="28" t="n">
        <f aca="false">T4953*$M4953</f>
        <v>0</v>
      </c>
      <c r="V4953" s="28"/>
      <c r="W4953" s="28" t="n">
        <f aca="false">V4953*$M4953</f>
        <v>0</v>
      </c>
      <c r="X4953" s="29"/>
      <c r="Y4953" s="28" t="n">
        <f aca="false">X4953*$M4953</f>
        <v>0</v>
      </c>
      <c r="Z4953" s="28"/>
      <c r="AA4953" s="28" t="n">
        <f aca="false">Z4953*$M4953</f>
        <v>0</v>
      </c>
      <c r="AB4953" s="28"/>
      <c r="AC4953" s="28" t="n">
        <f aca="false">AB4953*$M4953</f>
        <v>0</v>
      </c>
      <c r="AD4953" s="28"/>
      <c r="AE4953" s="28" t="n">
        <f aca="false">AD4953*$M4953</f>
        <v>0</v>
      </c>
      <c r="AF4953" s="28"/>
      <c r="AG4953" s="28" t="n">
        <f aca="false">AF4953*$M4953</f>
        <v>0</v>
      </c>
      <c r="AH4953" s="28"/>
      <c r="AI4953" s="28" t="n">
        <f aca="false">AH4953*$M4953</f>
        <v>0</v>
      </c>
      <c r="AJ4953" s="28"/>
      <c r="AK4953" s="28" t="n">
        <f aca="false">AJ4953*$M4953</f>
        <v>0</v>
      </c>
      <c r="AL4953" s="28"/>
      <c r="AM4953" s="28" t="n">
        <f aca="false">AL4953*$M4953</f>
        <v>0</v>
      </c>
      <c r="AN4953" s="28"/>
      <c r="AO4953" s="28" t="n">
        <f aca="false">AN4953*$M4953</f>
        <v>0</v>
      </c>
      <c r="AP4953" s="28"/>
      <c r="AQ4953" s="28" t="n">
        <f aca="false">AP4953*$M4953</f>
        <v>0</v>
      </c>
      <c r="AR4953" s="28"/>
      <c r="AS4953" s="28" t="n">
        <f aca="false">AR4953*$M4953</f>
        <v>0</v>
      </c>
      <c r="AT4953" s="28"/>
      <c r="AU4953" s="28" t="n">
        <f aca="false">AT4953*$M4953</f>
        <v>0</v>
      </c>
      <c r="AV4953" s="28"/>
      <c r="AW4953" s="28" t="n">
        <f aca="false">AV4953*$M4953</f>
        <v>0</v>
      </c>
      <c r="AX4953" s="28" t="n">
        <f aca="false">16133/100</f>
        <v>161.33</v>
      </c>
      <c r="AY4953" s="28" t="n">
        <v>1613</v>
      </c>
      <c r="AZ4953" s="30"/>
      <c r="BA4953" s="11" t="n">
        <v>1613</v>
      </c>
      <c r="BB4953" s="31" t="n">
        <f aca="false">SUM(Q4953,S4953,U4953,W4953,Y4953,AA4953,AC4953,AE4953,AG4953,AI4953,AK4953,AM4953,AO4953,AQ4953,AS4953,AU4953,AW4953,AY4953)</f>
        <v>1613</v>
      </c>
      <c r="BC4953" s="28" t="n">
        <f aca="false">BA4953-BB4953</f>
        <v>0</v>
      </c>
      <c r="BD4953" s="32" t="n">
        <f aca="false">SUM(P4953,R4953,T4953,V4953,X4953,Z4953,AB4953,AD4953,AF4953,AH4953,AJ4953,AL4953,AN4953,AP4953,AR4953,AT4953,AV4953,AX4953)</f>
        <v>161.33</v>
      </c>
      <c r="BE4953" s="33" t="n">
        <f aca="false">AZ4953-BD4953</f>
        <v>-161.33</v>
      </c>
      <c r="BF4953" s="34" t="n">
        <f aca="false">BD4953*M4953</f>
        <v>1613.3</v>
      </c>
      <c r="BG4953" s="35" t="n">
        <f aca="false">BA4953-BF4953</f>
        <v>-0.300000000000182</v>
      </c>
      <c r="BH4953" s="19" t="str">
        <f aca="false">IF(BG4953=0,"",IF(BG4953&lt;&gt;BA4953,"erreur de calcul",IF(BD4953&lt;&gt;0,"pas de prix",IF(M4953&lt;&gt; 0,"pas de quantité","pas de prix, ni de quantité"))))</f>
        <v>erreur de calcul</v>
      </c>
      <c r="BI4953" s="19"/>
    </row>
    <row r="4954" customFormat="false" ht="15" hidden="false" customHeight="false" outlineLevel="0" collapsed="false">
      <c r="A4954" s="0" t="n">
        <v>38</v>
      </c>
      <c r="B4954" s="8" t="s">
        <v>24</v>
      </c>
      <c r="C4954" s="9" t="s">
        <v>25</v>
      </c>
      <c r="D4954" s="9" t="s">
        <v>26</v>
      </c>
      <c r="E4954" s="10" t="n">
        <v>1789</v>
      </c>
      <c r="F4954" s="9" t="s">
        <v>27</v>
      </c>
      <c r="G4954" s="9" t="s">
        <v>27</v>
      </c>
      <c r="H4954" s="11" t="n">
        <v>18</v>
      </c>
      <c r="I4954" s="11" t="s">
        <v>112</v>
      </c>
      <c r="J4954" s="14" t="n">
        <v>100</v>
      </c>
      <c r="K4954" s="14"/>
      <c r="L4954" s="16"/>
      <c r="M4954" s="27" t="n">
        <f aca="false">J4954+(K4954/20)+(L4954/240)</f>
        <v>100</v>
      </c>
      <c r="N4954" s="17" t="s">
        <v>64</v>
      </c>
      <c r="O4954" s="11"/>
      <c r="P4954" s="28" t="n">
        <f aca="false">69730/100</f>
        <v>697.3</v>
      </c>
      <c r="Q4954" s="28" t="n">
        <v>69730</v>
      </c>
      <c r="R4954" s="28"/>
      <c r="S4954" s="28" t="n">
        <f aca="false">R4954*$M4954</f>
        <v>0</v>
      </c>
      <c r="T4954" s="28"/>
      <c r="U4954" s="28" t="n">
        <f aca="false">T4954*$M4954</f>
        <v>0</v>
      </c>
      <c r="V4954" s="28"/>
      <c r="W4954" s="28" t="n">
        <f aca="false">V4954*$M4954</f>
        <v>0</v>
      </c>
      <c r="X4954" s="29"/>
      <c r="Y4954" s="28" t="n">
        <f aca="false">X4954*$M4954</f>
        <v>0</v>
      </c>
      <c r="Z4954" s="28"/>
      <c r="AA4954" s="28" t="n">
        <f aca="false">Z4954*$M4954</f>
        <v>0</v>
      </c>
      <c r="AB4954" s="28"/>
      <c r="AC4954" s="28" t="n">
        <f aca="false">AB4954*$M4954</f>
        <v>0</v>
      </c>
      <c r="AD4954" s="28"/>
      <c r="AE4954" s="28" t="n">
        <f aca="false">AD4954*$M4954</f>
        <v>0</v>
      </c>
      <c r="AF4954" s="28"/>
      <c r="AG4954" s="28" t="n">
        <f aca="false">AF4954*$M4954</f>
        <v>0</v>
      </c>
      <c r="AH4954" s="28"/>
      <c r="AI4954" s="28" t="n">
        <f aca="false">AH4954*$M4954</f>
        <v>0</v>
      </c>
      <c r="AJ4954" s="28"/>
      <c r="AK4954" s="28" t="n">
        <f aca="false">AJ4954*$M4954</f>
        <v>0</v>
      </c>
      <c r="AL4954" s="28"/>
      <c r="AM4954" s="28" t="n">
        <f aca="false">AL4954*$M4954</f>
        <v>0</v>
      </c>
      <c r="AN4954" s="28"/>
      <c r="AO4954" s="28" t="n">
        <f aca="false">AN4954*$M4954</f>
        <v>0</v>
      </c>
      <c r="AP4954" s="28"/>
      <c r="AQ4954" s="28" t="n">
        <f aca="false">AP4954*$M4954</f>
        <v>0</v>
      </c>
      <c r="AR4954" s="28"/>
      <c r="AS4954" s="28" t="n">
        <f aca="false">AR4954*$M4954</f>
        <v>0</v>
      </c>
      <c r="AT4954" s="28"/>
      <c r="AU4954" s="28" t="n">
        <f aca="false">AT4954*$M4954</f>
        <v>0</v>
      </c>
      <c r="AV4954" s="28"/>
      <c r="AW4954" s="28" t="n">
        <f aca="false">AV4954*$M4954</f>
        <v>0</v>
      </c>
      <c r="AX4954" s="28"/>
      <c r="AY4954" s="28" t="n">
        <f aca="false">AX4954*$M4954</f>
        <v>0</v>
      </c>
      <c r="AZ4954" s="30" t="n">
        <f aca="false">69730/100</f>
        <v>697.3</v>
      </c>
      <c r="BA4954" s="11" t="n">
        <v>69730</v>
      </c>
      <c r="BB4954" s="31" t="n">
        <f aca="false">SUM(Q4954,S4954,U4954,W4954,Y4954,AA4954,AC4954,AE4954,AG4954,AI4954,AK4954,AM4954,AO4954,AQ4954,AS4954,AU4954,AW4954,AY4954)</f>
        <v>69730</v>
      </c>
      <c r="BC4954" s="28" t="n">
        <f aca="false">BA4954-BB4954</f>
        <v>0</v>
      </c>
      <c r="BD4954" s="32" t="n">
        <f aca="false">SUM(P4954,R4954,T4954,V4954,X4954,Z4954,AB4954,AD4954,AF4954,AH4954,AJ4954,AL4954,AN4954,AP4954,AR4954,AT4954,AV4954,AX4954)</f>
        <v>697.3</v>
      </c>
      <c r="BE4954" s="33" t="n">
        <f aca="false">AZ4954-BD4954</f>
        <v>0</v>
      </c>
      <c r="BF4954" s="34" t="n">
        <f aca="false">BD4954*M4954</f>
        <v>69730</v>
      </c>
      <c r="BG4954" s="35" t="n">
        <f aca="false">BA4954-BF4954</f>
        <v>0</v>
      </c>
      <c r="BH4954" s="19" t="str">
        <f aca="false">IF(BG4954=0,"",IF(BG4954&lt;&gt;BA4954,"erreur de calcul",IF(BD4954&lt;&gt;0,"pas de prix",IF(M4954&lt;&gt; 0,"pas de quantité","pas de prix, ni de quantité"))))</f>
        <v/>
      </c>
      <c r="BI4954" s="19" t="s">
        <v>113</v>
      </c>
    </row>
    <row r="4955" customFormat="false" ht="15" hidden="false" customHeight="false" outlineLevel="0" collapsed="false">
      <c r="A4955" s="0" t="n">
        <v>39</v>
      </c>
      <c r="B4955" s="8" t="s">
        <v>24</v>
      </c>
      <c r="C4955" s="9" t="s">
        <v>25</v>
      </c>
      <c r="D4955" s="9" t="s">
        <v>26</v>
      </c>
      <c r="E4955" s="10" t="n">
        <v>1789</v>
      </c>
      <c r="F4955" s="9" t="s">
        <v>27</v>
      </c>
      <c r="G4955" s="9" t="s">
        <v>27</v>
      </c>
      <c r="H4955" s="11" t="n">
        <v>18</v>
      </c>
      <c r="I4955" s="11" t="s">
        <v>112</v>
      </c>
      <c r="J4955" s="14" t="n">
        <v>50</v>
      </c>
      <c r="K4955" s="14"/>
      <c r="L4955" s="16"/>
      <c r="M4955" s="27" t="n">
        <f aca="false">J4955+(K4955/20)+(L4955/240)</f>
        <v>50</v>
      </c>
      <c r="N4955" s="17" t="s">
        <v>64</v>
      </c>
      <c r="O4955" s="11"/>
      <c r="P4955" s="28"/>
      <c r="Q4955" s="28" t="n">
        <f aca="false">P4955*$M4955</f>
        <v>0</v>
      </c>
      <c r="R4955" s="28"/>
      <c r="S4955" s="28" t="n">
        <f aca="false">R4955*$M4955</f>
        <v>0</v>
      </c>
      <c r="T4955" s="28"/>
      <c r="U4955" s="28" t="n">
        <f aca="false">T4955*$M4955</f>
        <v>0</v>
      </c>
      <c r="V4955" s="28" t="n">
        <f aca="false">38043/100</f>
        <v>380.43</v>
      </c>
      <c r="W4955" s="28" t="n">
        <v>19021</v>
      </c>
      <c r="X4955" s="29" t="n">
        <f aca="false">10658/100</f>
        <v>106.58</v>
      </c>
      <c r="Y4955" s="28" t="n">
        <v>5329</v>
      </c>
      <c r="Z4955" s="28"/>
      <c r="AA4955" s="28" t="n">
        <f aca="false">Z4955*$M4955</f>
        <v>0</v>
      </c>
      <c r="AB4955" s="28"/>
      <c r="AC4955" s="28" t="n">
        <f aca="false">AB4955*$M4955</f>
        <v>0</v>
      </c>
      <c r="AD4955" s="28"/>
      <c r="AE4955" s="28" t="n">
        <f aca="false">AD4955*$M4955</f>
        <v>0</v>
      </c>
      <c r="AF4955" s="28"/>
      <c r="AG4955" s="28" t="n">
        <f aca="false">AF4955*$M4955</f>
        <v>0</v>
      </c>
      <c r="AH4955" s="28"/>
      <c r="AI4955" s="28" t="n">
        <f aca="false">AH4955*$M4955</f>
        <v>0</v>
      </c>
      <c r="AJ4955" s="28" t="n">
        <f aca="false">39321/100</f>
        <v>393.21</v>
      </c>
      <c r="AK4955" s="28" t="n">
        <v>19660</v>
      </c>
      <c r="AL4955" s="28"/>
      <c r="AM4955" s="28" t="n">
        <f aca="false">AL4955*$M4955</f>
        <v>0</v>
      </c>
      <c r="AN4955" s="28"/>
      <c r="AO4955" s="28" t="n">
        <f aca="false">AN4955*$M4955</f>
        <v>0</v>
      </c>
      <c r="AP4955" s="28"/>
      <c r="AQ4955" s="28" t="n">
        <f aca="false">AP4955*$M4955</f>
        <v>0</v>
      </c>
      <c r="AR4955" s="28"/>
      <c r="AS4955" s="28" t="n">
        <f aca="false">AR4955*$M4955</f>
        <v>0</v>
      </c>
      <c r="AT4955" s="28"/>
      <c r="AU4955" s="28" t="n">
        <f aca="false">AT4955*$M4955</f>
        <v>0</v>
      </c>
      <c r="AV4955" s="28"/>
      <c r="AW4955" s="28" t="n">
        <f aca="false">AV4955*$M4955</f>
        <v>0</v>
      </c>
      <c r="AX4955" s="28"/>
      <c r="AY4955" s="28" t="n">
        <f aca="false">AX4955*$M4955</f>
        <v>0</v>
      </c>
      <c r="AZ4955" s="30" t="n">
        <f aca="false">88022/100</f>
        <v>880.22</v>
      </c>
      <c r="BA4955" s="11" t="n">
        <v>44010</v>
      </c>
      <c r="BB4955" s="31" t="n">
        <f aca="false">SUM(Q4955,S4955,U4955,W4955,Y4955,AA4955,AC4955,AE4955,AG4955,AI4955,AK4955,AM4955,AO4955,AQ4955,AS4955,AU4955,AW4955,AY4955)</f>
        <v>44010</v>
      </c>
      <c r="BC4955" s="28" t="n">
        <f aca="false">BA4955-BB4955</f>
        <v>0</v>
      </c>
      <c r="BD4955" s="32" t="n">
        <f aca="false">SUM(P4955,R4955,T4955,V4955,X4955,Z4955,AB4955,AD4955,AF4955,AH4955,AJ4955,AL4955,AN4955,AP4955,AR4955,AT4955,AV4955,AX4955)</f>
        <v>880.22</v>
      </c>
      <c r="BE4955" s="33" t="n">
        <f aca="false">AZ4955-BD4955</f>
        <v>0</v>
      </c>
      <c r="BF4955" s="34" t="n">
        <f aca="false">BD4955*M4955</f>
        <v>44011</v>
      </c>
      <c r="BG4955" s="35" t="n">
        <f aca="false">BA4955-BF4955</f>
        <v>-1</v>
      </c>
      <c r="BH4955" s="19" t="str">
        <f aca="false">IF(BG4955=0,"",IF(BG4955&lt;&gt;BA4955,"erreur de calcul",IF(BD4955&lt;&gt;0,"pas de prix",IF(M4955&lt;&gt; 0,"pas de quantité","pas de prix, ni de quantité"))))</f>
        <v>erreur de calcul</v>
      </c>
      <c r="BI4955" s="19" t="s">
        <v>114</v>
      </c>
    </row>
    <row r="4956" customFormat="false" ht="15" hidden="false" customHeight="false" outlineLevel="0" collapsed="false">
      <c r="A4956" s="0" t="n">
        <v>40</v>
      </c>
      <c r="B4956" s="8" t="s">
        <v>24</v>
      </c>
      <c r="C4956" s="9" t="s">
        <v>25</v>
      </c>
      <c r="D4956" s="9" t="s">
        <v>26</v>
      </c>
      <c r="E4956" s="10" t="n">
        <v>1789</v>
      </c>
      <c r="F4956" s="9" t="s">
        <v>27</v>
      </c>
      <c r="G4956" s="9" t="s">
        <v>27</v>
      </c>
      <c r="H4956" s="11" t="n">
        <v>18</v>
      </c>
      <c r="I4956" s="11" t="s">
        <v>115</v>
      </c>
      <c r="J4956" s="14"/>
      <c r="K4956" s="14" t="n">
        <v>28</v>
      </c>
      <c r="L4956" s="16"/>
      <c r="M4956" s="27" t="n">
        <f aca="false">J4956+(K4956/20)+(L4956/240)</f>
        <v>1.4</v>
      </c>
      <c r="N4956" s="17" t="s">
        <v>66</v>
      </c>
      <c r="O4956" s="11" t="s">
        <v>98</v>
      </c>
      <c r="P4956" s="28"/>
      <c r="Q4956" s="28" t="n">
        <f aca="false">P4956*$M4956</f>
        <v>0</v>
      </c>
      <c r="R4956" s="28"/>
      <c r="S4956" s="28" t="n">
        <f aca="false">R4956*$M4956</f>
        <v>0</v>
      </c>
      <c r="T4956" s="28" t="n">
        <v>426</v>
      </c>
      <c r="U4956" s="28" t="n">
        <v>596</v>
      </c>
      <c r="V4956" s="28"/>
      <c r="W4956" s="28" t="n">
        <f aca="false">V4956*$M4956</f>
        <v>0</v>
      </c>
      <c r="X4956" s="29"/>
      <c r="Y4956" s="28" t="n">
        <f aca="false">X4956*$M4956</f>
        <v>0</v>
      </c>
      <c r="Z4956" s="28"/>
      <c r="AA4956" s="28" t="n">
        <f aca="false">Z4956*$M4956</f>
        <v>0</v>
      </c>
      <c r="AB4956" s="28"/>
      <c r="AC4956" s="28" t="n">
        <f aca="false">AB4956*$M4956</f>
        <v>0</v>
      </c>
      <c r="AD4956" s="28"/>
      <c r="AE4956" s="28" t="n">
        <f aca="false">AD4956*$M4956</f>
        <v>0</v>
      </c>
      <c r="AF4956" s="28"/>
      <c r="AG4956" s="28" t="n">
        <f aca="false">AF4956*$M4956</f>
        <v>0</v>
      </c>
      <c r="AH4956" s="28"/>
      <c r="AI4956" s="28" t="n">
        <f aca="false">AH4956*$M4956</f>
        <v>0</v>
      </c>
      <c r="AJ4956" s="28" t="n">
        <v>142</v>
      </c>
      <c r="AK4956" s="28" t="n">
        <v>199</v>
      </c>
      <c r="AL4956" s="28"/>
      <c r="AM4956" s="28" t="n">
        <f aca="false">AL4956*$M4956</f>
        <v>0</v>
      </c>
      <c r="AN4956" s="28"/>
      <c r="AO4956" s="28" t="n">
        <f aca="false">AN4956*$M4956</f>
        <v>0</v>
      </c>
      <c r="AP4956" s="28"/>
      <c r="AQ4956" s="28" t="n">
        <f aca="false">AP4956*$M4956</f>
        <v>0</v>
      </c>
      <c r="AR4956" s="28"/>
      <c r="AS4956" s="28" t="n">
        <f aca="false">AR4956*$M4956</f>
        <v>0</v>
      </c>
      <c r="AT4956" s="28"/>
      <c r="AU4956" s="28" t="n">
        <f aca="false">AT4956*$M4956</f>
        <v>0</v>
      </c>
      <c r="AV4956" s="28"/>
      <c r="AW4956" s="28" t="n">
        <f aca="false">AV4956*$M4956</f>
        <v>0</v>
      </c>
      <c r="AX4956" s="28"/>
      <c r="AY4956" s="28" t="n">
        <f aca="false">AX4956*$M4956</f>
        <v>0</v>
      </c>
      <c r="AZ4956" s="30" t="n">
        <v>568</v>
      </c>
      <c r="BA4956" s="11" t="n">
        <v>795</v>
      </c>
      <c r="BB4956" s="31" t="n">
        <f aca="false">SUM(Q4956,S4956,U4956,W4956,Y4956,AA4956,AC4956,AE4956,AG4956,AI4956,AK4956,AM4956,AO4956,AQ4956,AS4956,AU4956,AW4956,AY4956)</f>
        <v>795</v>
      </c>
      <c r="BC4956" s="28" t="n">
        <f aca="false">BA4956-BB4956</f>
        <v>0</v>
      </c>
      <c r="BD4956" s="32" t="n">
        <f aca="false">SUM(P4956,R4956,T4956,V4956,X4956,Z4956,AB4956,AD4956,AF4956,AH4956,AJ4956,AL4956,AN4956,AP4956,AR4956,AT4956,AV4956,AX4956)</f>
        <v>568</v>
      </c>
      <c r="BE4956" s="33" t="n">
        <f aca="false">AZ4956-BD4956</f>
        <v>0</v>
      </c>
      <c r="BF4956" s="34" t="n">
        <f aca="false">BD4956*M4956</f>
        <v>795.2</v>
      </c>
      <c r="BG4956" s="35" t="n">
        <f aca="false">BA4956-BF4956</f>
        <v>-0.199999999999932</v>
      </c>
      <c r="BH4956" s="19" t="str">
        <f aca="false">IF(BG4956=0,"",IF(BG4956&lt;&gt;BA4956,"erreur de calcul",IF(BD4956&lt;&gt;0,"pas de prix",IF(M4956&lt;&gt; 0,"pas de quantité","pas de prix, ni de quantité"))))</f>
        <v>erreur de calcul</v>
      </c>
      <c r="BI4956" s="19"/>
    </row>
    <row r="4957" customFormat="false" ht="15" hidden="false" customHeight="false" outlineLevel="0" collapsed="false">
      <c r="A4957" s="0" t="n">
        <v>41</v>
      </c>
      <c r="B4957" s="8" t="s">
        <v>24</v>
      </c>
      <c r="C4957" s="9" t="s">
        <v>25</v>
      </c>
      <c r="D4957" s="9" t="s">
        <v>26</v>
      </c>
      <c r="E4957" s="10" t="n">
        <v>1789</v>
      </c>
      <c r="F4957" s="9" t="s">
        <v>27</v>
      </c>
      <c r="G4957" s="9" t="s">
        <v>27</v>
      </c>
      <c r="H4957" s="11" t="n">
        <v>18</v>
      </c>
      <c r="I4957" s="11" t="s">
        <v>116</v>
      </c>
      <c r="J4957" s="14"/>
      <c r="K4957" s="14" t="n">
        <v>40</v>
      </c>
      <c r="L4957" s="16"/>
      <c r="M4957" s="27" t="n">
        <f aca="false">J4957+(K4957/20)+(L4957/240)</f>
        <v>2</v>
      </c>
      <c r="N4957" s="17" t="s">
        <v>66</v>
      </c>
      <c r="O4957" s="11"/>
      <c r="P4957" s="28"/>
      <c r="Q4957" s="28" t="n">
        <f aca="false">P4957*$M4957</f>
        <v>0</v>
      </c>
      <c r="R4957" s="28"/>
      <c r="S4957" s="28" t="n">
        <f aca="false">R4957*$M4957</f>
        <v>0</v>
      </c>
      <c r="T4957" s="28"/>
      <c r="U4957" s="28" t="n">
        <f aca="false">T4957*$M4957</f>
        <v>0</v>
      </c>
      <c r="V4957" s="28"/>
      <c r="W4957" s="28" t="n">
        <f aca="false">V4957*$M4957</f>
        <v>0</v>
      </c>
      <c r="X4957" s="29"/>
      <c r="Y4957" s="28" t="n">
        <f aca="false">X4957*$M4957</f>
        <v>0</v>
      </c>
      <c r="Z4957" s="28"/>
      <c r="AA4957" s="28" t="n">
        <f aca="false">Z4957*$M4957</f>
        <v>0</v>
      </c>
      <c r="AB4957" s="28"/>
      <c r="AC4957" s="28" t="n">
        <f aca="false">AB4957*$M4957</f>
        <v>0</v>
      </c>
      <c r="AD4957" s="28"/>
      <c r="AE4957" s="28" t="n">
        <f aca="false">AD4957*$M4957</f>
        <v>0</v>
      </c>
      <c r="AF4957" s="28"/>
      <c r="AG4957" s="28" t="n">
        <f aca="false">AF4957*$M4957</f>
        <v>0</v>
      </c>
      <c r="AH4957" s="28" t="n">
        <v>232710</v>
      </c>
      <c r="AI4957" s="28" t="n">
        <v>465420</v>
      </c>
      <c r="AJ4957" s="28"/>
      <c r="AK4957" s="28" t="n">
        <f aca="false">AJ4957*$M4957</f>
        <v>0</v>
      </c>
      <c r="AL4957" s="28"/>
      <c r="AM4957" s="28" t="n">
        <f aca="false">AL4957*$M4957</f>
        <v>0</v>
      </c>
      <c r="AN4957" s="28"/>
      <c r="AO4957" s="28" t="n">
        <f aca="false">AN4957*$M4957</f>
        <v>0</v>
      </c>
      <c r="AP4957" s="28"/>
      <c r="AQ4957" s="28" t="n">
        <f aca="false">AP4957*$M4957</f>
        <v>0</v>
      </c>
      <c r="AR4957" s="28"/>
      <c r="AS4957" s="28" t="n">
        <f aca="false">AR4957*$M4957</f>
        <v>0</v>
      </c>
      <c r="AT4957" s="28"/>
      <c r="AU4957" s="28" t="n">
        <f aca="false">AT4957*$M4957</f>
        <v>0</v>
      </c>
      <c r="AV4957" s="28"/>
      <c r="AW4957" s="28" t="n">
        <f aca="false">AV4957*$M4957</f>
        <v>0</v>
      </c>
      <c r="AX4957" s="28"/>
      <c r="AY4957" s="28" t="n">
        <f aca="false">AX4957*$M4957</f>
        <v>0</v>
      </c>
      <c r="AZ4957" s="30" t="n">
        <v>232710</v>
      </c>
      <c r="BA4957" s="11" t="n">
        <v>465420</v>
      </c>
      <c r="BB4957" s="31" t="n">
        <f aca="false">SUM(Q4957,S4957,U4957,W4957,Y4957,AA4957,AC4957,AE4957,AG4957,AI4957,AK4957,AM4957,AO4957,AQ4957,AS4957,AU4957,AW4957,AY4957)</f>
        <v>465420</v>
      </c>
      <c r="BC4957" s="28" t="n">
        <f aca="false">BA4957-BB4957</f>
        <v>0</v>
      </c>
      <c r="BD4957" s="32" t="n">
        <f aca="false">SUM(P4957,R4957,T4957,V4957,X4957,Z4957,AB4957,AD4957,AF4957,AH4957,AJ4957,AL4957,AN4957,AP4957,AR4957,AT4957,AV4957,AX4957)</f>
        <v>232710</v>
      </c>
      <c r="BE4957" s="33" t="n">
        <f aca="false">AZ4957-BD4957</f>
        <v>0</v>
      </c>
      <c r="BF4957" s="34" t="n">
        <f aca="false">BD4957*M4957</f>
        <v>465420</v>
      </c>
      <c r="BG4957" s="35" t="n">
        <f aca="false">BA4957-BF4957</f>
        <v>0</v>
      </c>
      <c r="BH4957" s="19" t="str">
        <f aca="false">IF(BG4957=0,"",IF(BG4957&lt;&gt;BA4957,"erreur de calcul",IF(BD4957&lt;&gt;0,"pas de prix",IF(M4957&lt;&gt; 0,"pas de quantité","pas de prix, ni de quantité"))))</f>
        <v/>
      </c>
      <c r="BI4957" s="19"/>
    </row>
    <row r="4958" customFormat="false" ht="15" hidden="false" customHeight="false" outlineLevel="0" collapsed="false">
      <c r="A4958" s="0" t="n">
        <v>1</v>
      </c>
      <c r="B4958" s="8" t="s">
        <v>24</v>
      </c>
      <c r="C4958" s="9" t="s">
        <v>25</v>
      </c>
      <c r="D4958" s="9" t="s">
        <v>26</v>
      </c>
      <c r="E4958" s="10" t="n">
        <v>1789</v>
      </c>
      <c r="F4958" s="9" t="s">
        <v>27</v>
      </c>
      <c r="G4958" s="9" t="s">
        <v>27</v>
      </c>
      <c r="H4958" s="11" t="n">
        <v>20</v>
      </c>
      <c r="I4958" s="11" t="s">
        <v>117</v>
      </c>
      <c r="J4958" s="14" t="n">
        <v>10</v>
      </c>
      <c r="K4958" s="14"/>
      <c r="L4958" s="16"/>
      <c r="M4958" s="27" t="n">
        <f aca="false">J4958+(K4958/20)+(L4958/240)</f>
        <v>10</v>
      </c>
      <c r="N4958" s="17" t="s">
        <v>64</v>
      </c>
      <c r="O4958" s="11"/>
      <c r="P4958" s="28" t="n">
        <f aca="false">2120/100</f>
        <v>21.2</v>
      </c>
      <c r="Q4958" s="28" t="n">
        <v>212</v>
      </c>
      <c r="R4958" s="28"/>
      <c r="S4958" s="28" t="n">
        <f aca="false">R4958*$M4958</f>
        <v>0</v>
      </c>
      <c r="T4958" s="28" t="n">
        <f aca="false">4184/100</f>
        <v>41.84</v>
      </c>
      <c r="U4958" s="28" t="n">
        <v>418</v>
      </c>
      <c r="V4958" s="28"/>
      <c r="W4958" s="28" t="n">
        <f aca="false">V4958*$M4958</f>
        <v>0</v>
      </c>
      <c r="X4958" s="28"/>
      <c r="Y4958" s="28" t="n">
        <f aca="false">X4958*$M4958</f>
        <v>0</v>
      </c>
      <c r="Z4958" s="28" t="n">
        <f aca="false">4467/100</f>
        <v>44.67</v>
      </c>
      <c r="AA4958" s="28" t="n">
        <v>447</v>
      </c>
      <c r="AB4958" s="28"/>
      <c r="AC4958" s="28" t="n">
        <f aca="false">AB4958*$M4958</f>
        <v>0</v>
      </c>
      <c r="AD4958" s="28"/>
      <c r="AE4958" s="28" t="n">
        <f aca="false">AD4958*$M4958</f>
        <v>0</v>
      </c>
      <c r="AF4958" s="28"/>
      <c r="AG4958" s="28" t="n">
        <f aca="false">AF4958*$M4958</f>
        <v>0</v>
      </c>
      <c r="AH4958" s="28" t="n">
        <f aca="false">37604/100</f>
        <v>376.04</v>
      </c>
      <c r="AI4958" s="28" t="n">
        <v>3760</v>
      </c>
      <c r="AJ4958" s="28"/>
      <c r="AK4958" s="28" t="n">
        <f aca="false">AJ4958*$M4958</f>
        <v>0</v>
      </c>
      <c r="AL4958" s="28"/>
      <c r="AM4958" s="28" t="n">
        <f aca="false">AL4958*$M4958</f>
        <v>0</v>
      </c>
      <c r="AN4958" s="28"/>
      <c r="AO4958" s="28" t="n">
        <f aca="false">AN4958*$M4958</f>
        <v>0</v>
      </c>
      <c r="AP4958" s="28"/>
      <c r="AQ4958" s="28" t="n">
        <f aca="false">AP4958*$M4958</f>
        <v>0</v>
      </c>
      <c r="AR4958" s="28"/>
      <c r="AS4958" s="28" t="n">
        <f aca="false">AR4958*$M4958</f>
        <v>0</v>
      </c>
      <c r="AT4958" s="28"/>
      <c r="AU4958" s="28" t="n">
        <f aca="false">AT4958*$M4958</f>
        <v>0</v>
      </c>
      <c r="AV4958" s="28"/>
      <c r="AW4958" s="28" t="n">
        <f aca="false">AV4958*$M4958</f>
        <v>0</v>
      </c>
      <c r="AX4958" s="28"/>
      <c r="AY4958" s="28" t="n">
        <f aca="false">AX4958*$M4958</f>
        <v>0</v>
      </c>
      <c r="AZ4958" s="30" t="n">
        <f aca="false">46255/100</f>
        <v>462.55</v>
      </c>
      <c r="BA4958" s="11" t="n">
        <v>4837</v>
      </c>
      <c r="BB4958" s="31" t="n">
        <f aca="false">SUM(Q4958,S4958,U4958,W4958,Y4958,AA4958,AC4958,AE4958,AG4958,AI4958,AK4958,AM4958,AO4958,AQ4958,AS4958,AU4958,AW4958,AY4958)</f>
        <v>4837</v>
      </c>
      <c r="BC4958" s="28" t="n">
        <f aca="false">BA4958-BB4958</f>
        <v>0</v>
      </c>
      <c r="BD4958" s="32" t="n">
        <f aca="false">SUM(P4958,R4958,T4958,V4958,X4958,Z4958,AB4958,AD4958,AF4958,AH4958,AJ4958,AL4958,AN4958,AP4958,AR4958,AT4958,AV4958,AX4958)</f>
        <v>483.75</v>
      </c>
      <c r="BE4958" s="33" t="n">
        <f aca="false">AZ4958-BD4958</f>
        <v>-21.2</v>
      </c>
      <c r="BF4958" s="34" t="n">
        <f aca="false">BD4958*M4958</f>
        <v>4837.5</v>
      </c>
      <c r="BG4958" s="35" t="n">
        <f aca="false">BA4958-BF4958</f>
        <v>-0.50000000000091</v>
      </c>
      <c r="BH4958" s="19" t="str">
        <f aca="false">IF(BG4958=0,"",IF(BG4958&lt;&gt;BA4958,"erreur de calcul",IF(BD4958&lt;&gt;0,"pas de prix",IF(M4958&lt;&gt; 0,"pas de quantité","pas de prix, ni de quantité"))))</f>
        <v>erreur de calcul</v>
      </c>
      <c r="BI4958" s="19"/>
    </row>
    <row r="4959" customFormat="false" ht="15" hidden="false" customHeight="false" outlineLevel="0" collapsed="false">
      <c r="A4959" s="0" t="n">
        <v>2</v>
      </c>
      <c r="B4959" s="8" t="s">
        <v>24</v>
      </c>
      <c r="C4959" s="9" t="s">
        <v>25</v>
      </c>
      <c r="D4959" s="9" t="s">
        <v>26</v>
      </c>
      <c r="E4959" s="10" t="n">
        <v>1789</v>
      </c>
      <c r="F4959" s="9" t="s">
        <v>27</v>
      </c>
      <c r="G4959" s="9" t="s">
        <v>27</v>
      </c>
      <c r="H4959" s="11" t="n">
        <v>20</v>
      </c>
      <c r="I4959" s="11" t="s">
        <v>118</v>
      </c>
      <c r="J4959" s="14" t="n">
        <v>10</v>
      </c>
      <c r="K4959" s="14"/>
      <c r="L4959" s="16"/>
      <c r="M4959" s="27" t="n">
        <f aca="false">J4959+(K4959/20)+(L4959/240)</f>
        <v>10</v>
      </c>
      <c r="N4959" s="17" t="s">
        <v>64</v>
      </c>
      <c r="O4959" s="11"/>
      <c r="P4959" s="28" t="n">
        <f aca="false">6450193/100</f>
        <v>64501.93</v>
      </c>
      <c r="Q4959" s="28" t="n">
        <v>645019</v>
      </c>
      <c r="R4959" s="28"/>
      <c r="S4959" s="28" t="n">
        <f aca="false">R4959*$M4959</f>
        <v>0</v>
      </c>
      <c r="T4959" s="28"/>
      <c r="U4959" s="28" t="n">
        <f aca="false">T4959*$M4959</f>
        <v>0</v>
      </c>
      <c r="V4959" s="28"/>
      <c r="W4959" s="28" t="n">
        <f aca="false">V4959*$M4959</f>
        <v>0</v>
      </c>
      <c r="X4959" s="28"/>
      <c r="Y4959" s="28" t="n">
        <f aca="false">X4959*$M4959</f>
        <v>0</v>
      </c>
      <c r="Z4959" s="28"/>
      <c r="AA4959" s="28" t="n">
        <f aca="false">Z4959*$M4959</f>
        <v>0</v>
      </c>
      <c r="AB4959" s="28" t="n">
        <f aca="false">601547/100</f>
        <v>6015.47</v>
      </c>
      <c r="AC4959" s="28" t="n">
        <v>60155</v>
      </c>
      <c r="AD4959" s="28"/>
      <c r="AE4959" s="28" t="n">
        <f aca="false">AD4959*$M4959</f>
        <v>0</v>
      </c>
      <c r="AF4959" s="28" t="n">
        <f aca="false">727551/100</f>
        <v>7275.51</v>
      </c>
      <c r="AG4959" s="28" t="n">
        <v>72755</v>
      </c>
      <c r="AH4959" s="28" t="n">
        <f aca="false">52982/100</f>
        <v>529.82</v>
      </c>
      <c r="AI4959" s="28" t="n">
        <v>5299</v>
      </c>
      <c r="AJ4959" s="28"/>
      <c r="AK4959" s="28" t="n">
        <f aca="false">AJ4959*$M4959</f>
        <v>0</v>
      </c>
      <c r="AL4959" s="28"/>
      <c r="AM4959" s="28" t="n">
        <f aca="false">AL4959*$M4959</f>
        <v>0</v>
      </c>
      <c r="AN4959" s="28"/>
      <c r="AO4959" s="28" t="n">
        <f aca="false">AN4959*$M4959</f>
        <v>0</v>
      </c>
      <c r="AP4959" s="28"/>
      <c r="AQ4959" s="28" t="n">
        <f aca="false">AP4959*$M4959</f>
        <v>0</v>
      </c>
      <c r="AR4959" s="28"/>
      <c r="AS4959" s="28" t="n">
        <f aca="false">AR4959*$M4959</f>
        <v>0</v>
      </c>
      <c r="AT4959" s="28"/>
      <c r="AU4959" s="28" t="n">
        <f aca="false">AT4959*$M4959</f>
        <v>0</v>
      </c>
      <c r="AV4959" s="28"/>
      <c r="AW4959" s="28" t="n">
        <f aca="false">AV4959*$M4959</f>
        <v>0</v>
      </c>
      <c r="AX4959" s="28"/>
      <c r="AY4959" s="28" t="n">
        <f aca="false">AX4959*$M4959</f>
        <v>0</v>
      </c>
      <c r="AZ4959" s="30" t="n">
        <f aca="false">7832273/100</f>
        <v>78322.73</v>
      </c>
      <c r="BA4959" s="11" t="n">
        <v>783228</v>
      </c>
      <c r="BB4959" s="31" t="n">
        <f aca="false">SUM(Q4959,S4959,U4959,W4959,Y4959,AA4959,AC4959,AE4959,AG4959,AI4959,AK4959,AM4959,AO4959,AQ4959,AS4959,AU4959,AW4959,AY4959)</f>
        <v>783228</v>
      </c>
      <c r="BC4959" s="28" t="n">
        <f aca="false">BA4959-BB4959</f>
        <v>0</v>
      </c>
      <c r="BD4959" s="32" t="n">
        <f aca="false">SUM(P4959,R4959,T4959,V4959,X4959,Z4959,AB4959,AD4959,AF4959,AH4959,AJ4959,AL4959,AN4959,AP4959,AR4959,AT4959,AV4959,AX4959)</f>
        <v>78322.73</v>
      </c>
      <c r="BE4959" s="33" t="n">
        <f aca="false">AZ4959-BD4959</f>
        <v>0</v>
      </c>
      <c r="BF4959" s="34" t="n">
        <f aca="false">BD4959*M4959</f>
        <v>783227.3</v>
      </c>
      <c r="BG4959" s="35" t="n">
        <f aca="false">BA4959-BF4959</f>
        <v>0.700000000069849</v>
      </c>
      <c r="BH4959" s="19" t="str">
        <f aca="false">IF(BG4959=0,"",IF(BG4959&lt;&gt;BA4959,"erreur de calcul",IF(BD4959&lt;&gt;0,"pas de prix",IF(M4959&lt;&gt; 0,"pas de quantité","pas de prix, ni de quantité"))))</f>
        <v>erreur de calcul</v>
      </c>
      <c r="BI4959" s="19"/>
    </row>
    <row r="4960" customFormat="false" ht="15" hidden="false" customHeight="false" outlineLevel="0" collapsed="false">
      <c r="A4960" s="0" t="n">
        <v>3</v>
      </c>
      <c r="B4960" s="8" t="s">
        <v>24</v>
      </c>
      <c r="C4960" s="9" t="s">
        <v>25</v>
      </c>
      <c r="D4960" s="9" t="s">
        <v>26</v>
      </c>
      <c r="E4960" s="10" t="n">
        <v>1789</v>
      </c>
      <c r="F4960" s="9" t="s">
        <v>27</v>
      </c>
      <c r="G4960" s="9" t="s">
        <v>27</v>
      </c>
      <c r="H4960" s="11" t="n">
        <v>20</v>
      </c>
      <c r="I4960" s="11" t="s">
        <v>119</v>
      </c>
      <c r="J4960" s="14" t="n">
        <v>10</v>
      </c>
      <c r="K4960" s="14"/>
      <c r="L4960" s="16"/>
      <c r="M4960" s="27" t="n">
        <f aca="false">J4960+(K4960/20)+(L4960/240)</f>
        <v>10</v>
      </c>
      <c r="N4960" s="17" t="s">
        <v>64</v>
      </c>
      <c r="O4960" s="11"/>
      <c r="P4960" s="28" t="n">
        <f aca="false">2617064/100</f>
        <v>26170.64</v>
      </c>
      <c r="Q4960" s="28" t="n">
        <v>261706</v>
      </c>
      <c r="R4960" s="28"/>
      <c r="S4960" s="28" t="n">
        <f aca="false">R4960*$M4960</f>
        <v>0</v>
      </c>
      <c r="T4960" s="28" t="n">
        <f aca="false">251959/100</f>
        <v>2519.59</v>
      </c>
      <c r="U4960" s="28" t="n">
        <v>25196</v>
      </c>
      <c r="V4960" s="28"/>
      <c r="W4960" s="28" t="n">
        <f aca="false">V4960*$M4960</f>
        <v>0</v>
      </c>
      <c r="X4960" s="28"/>
      <c r="Y4960" s="28" t="n">
        <f aca="false">X4960*$M4960</f>
        <v>0</v>
      </c>
      <c r="Z4960" s="28"/>
      <c r="AA4960" s="28" t="n">
        <f aca="false">Z4960*$M4960</f>
        <v>0</v>
      </c>
      <c r="AB4960" s="28"/>
      <c r="AC4960" s="28" t="n">
        <f aca="false">AB4960*$M4960</f>
        <v>0</v>
      </c>
      <c r="AD4960" s="28"/>
      <c r="AE4960" s="28" t="n">
        <f aca="false">AD4960*$M4960</f>
        <v>0</v>
      </c>
      <c r="AF4960" s="28"/>
      <c r="AG4960" s="28" t="n">
        <f aca="false">AF4960*$M4960</f>
        <v>0</v>
      </c>
      <c r="AH4960" s="28"/>
      <c r="AI4960" s="28" t="n">
        <f aca="false">AH4960*$M4960</f>
        <v>0</v>
      </c>
      <c r="AJ4960" s="28"/>
      <c r="AK4960" s="28" t="n">
        <f aca="false">AJ4960*$M4960</f>
        <v>0</v>
      </c>
      <c r="AL4960" s="28"/>
      <c r="AM4960" s="28" t="n">
        <f aca="false">AL4960*$M4960</f>
        <v>0</v>
      </c>
      <c r="AN4960" s="28"/>
      <c r="AO4960" s="28" t="n">
        <f aca="false">AN4960*$M4960</f>
        <v>0</v>
      </c>
      <c r="AP4960" s="28"/>
      <c r="AQ4960" s="28" t="n">
        <f aca="false">AP4960*$M4960</f>
        <v>0</v>
      </c>
      <c r="AR4960" s="28"/>
      <c r="AS4960" s="28" t="n">
        <f aca="false">AR4960*$M4960</f>
        <v>0</v>
      </c>
      <c r="AT4960" s="28"/>
      <c r="AU4960" s="28" t="n">
        <f aca="false">AT4960*$M4960</f>
        <v>0</v>
      </c>
      <c r="AV4960" s="28"/>
      <c r="AW4960" s="28" t="n">
        <f aca="false">AV4960*$M4960</f>
        <v>0</v>
      </c>
      <c r="AX4960" s="28"/>
      <c r="AY4960" s="28" t="n">
        <f aca="false">AX4960*$M4960</f>
        <v>0</v>
      </c>
      <c r="AZ4960" s="30" t="n">
        <f aca="false">2869023/100</f>
        <v>28690.23</v>
      </c>
      <c r="BA4960" s="11" t="n">
        <v>286902</v>
      </c>
      <c r="BB4960" s="31" t="n">
        <f aca="false">SUM(Q4960,S4960,U4960,W4960,Y4960,AA4960,AC4960,AE4960,AG4960,AI4960,AK4960,AM4960,AO4960,AQ4960,AS4960,AU4960,AW4960,AY4960)</f>
        <v>286902</v>
      </c>
      <c r="BC4960" s="28" t="n">
        <f aca="false">BA4960-BB4960</f>
        <v>0</v>
      </c>
      <c r="BD4960" s="32" t="n">
        <f aca="false">SUM(P4960,R4960,T4960,V4960,X4960,Z4960,AB4960,AD4960,AF4960,AH4960,AJ4960,AL4960,AN4960,AP4960,AR4960,AT4960,AV4960,AX4960)</f>
        <v>28690.23</v>
      </c>
      <c r="BE4960" s="33" t="n">
        <f aca="false">AZ4960-BD4960</f>
        <v>0</v>
      </c>
      <c r="BF4960" s="34" t="n">
        <f aca="false">BD4960*M4960</f>
        <v>286902.3</v>
      </c>
      <c r="BG4960" s="35" t="n">
        <f aca="false">BA4960-BF4960</f>
        <v>-0.299999999988358</v>
      </c>
      <c r="BH4960" s="19" t="str">
        <f aca="false">IF(BG4960=0,"",IF(BG4960&lt;&gt;BA4960,"erreur de calcul",IF(BD4960&lt;&gt;0,"pas de prix",IF(M4960&lt;&gt; 0,"pas de quantité","pas de prix, ni de quantité"))))</f>
        <v>erreur de calcul</v>
      </c>
      <c r="BI4960" s="19"/>
    </row>
    <row r="4961" customFormat="false" ht="16.65" hidden="false" customHeight="false" outlineLevel="0" collapsed="false">
      <c r="A4961" s="0" t="n">
        <v>4</v>
      </c>
      <c r="B4961" s="8" t="s">
        <v>24</v>
      </c>
      <c r="C4961" s="9" t="s">
        <v>25</v>
      </c>
      <c r="D4961" s="9" t="s">
        <v>26</v>
      </c>
      <c r="E4961" s="10" t="n">
        <v>1789</v>
      </c>
      <c r="F4961" s="9" t="s">
        <v>27</v>
      </c>
      <c r="G4961" s="9" t="s">
        <v>27</v>
      </c>
      <c r="H4961" s="11" t="n">
        <v>20</v>
      </c>
      <c r="I4961" s="11" t="s">
        <v>120</v>
      </c>
      <c r="J4961" s="14" t="n">
        <v>12</v>
      </c>
      <c r="K4961" s="14"/>
      <c r="L4961" s="16"/>
      <c r="M4961" s="27" t="n">
        <f aca="false">J4961+(K4961/20)+(L4961/240)</f>
        <v>12</v>
      </c>
      <c r="N4961" s="17" t="s">
        <v>64</v>
      </c>
      <c r="O4961" s="11" t="s">
        <v>77</v>
      </c>
      <c r="P4961" s="28"/>
      <c r="Q4961" s="28" t="n">
        <f aca="false">P4961*$M4961</f>
        <v>0</v>
      </c>
      <c r="R4961" s="28"/>
      <c r="S4961" s="28" t="n">
        <f aca="false">R4961*$M4961</f>
        <v>0</v>
      </c>
      <c r="T4961" s="28"/>
      <c r="U4961" s="28" t="n">
        <f aca="false">T4961*$M4961</f>
        <v>0</v>
      </c>
      <c r="V4961" s="28" t="n">
        <f aca="false">15268/100</f>
        <v>152.68</v>
      </c>
      <c r="W4961" s="28" t="n">
        <v>1832</v>
      </c>
      <c r="X4961" s="28"/>
      <c r="Y4961" s="28" t="n">
        <f aca="false">X4961*$M4961</f>
        <v>0</v>
      </c>
      <c r="Z4961" s="28"/>
      <c r="AA4961" s="28" t="n">
        <f aca="false">Z4961*$M4961</f>
        <v>0</v>
      </c>
      <c r="AB4961" s="28"/>
      <c r="AC4961" s="28" t="n">
        <f aca="false">AB4961*$M4961</f>
        <v>0</v>
      </c>
      <c r="AD4961" s="28"/>
      <c r="AE4961" s="28" t="n">
        <f aca="false">AD4961*$M4961</f>
        <v>0</v>
      </c>
      <c r="AF4961" s="28"/>
      <c r="AG4961" s="28" t="n">
        <f aca="false">AF4961*$M4961</f>
        <v>0</v>
      </c>
      <c r="AH4961" s="28" t="n">
        <f aca="false">26667/100</f>
        <v>266.67</v>
      </c>
      <c r="AI4961" s="28" t="n">
        <v>3200</v>
      </c>
      <c r="AJ4961" s="28"/>
      <c r="AK4961" s="28" t="n">
        <f aca="false">AJ4961*$M4961</f>
        <v>0</v>
      </c>
      <c r="AL4961" s="28"/>
      <c r="AM4961" s="28" t="n">
        <f aca="false">AL4961*$M4961</f>
        <v>0</v>
      </c>
      <c r="AN4961" s="28"/>
      <c r="AO4961" s="28" t="n">
        <f aca="false">AN4961*$M4961</f>
        <v>0</v>
      </c>
      <c r="AP4961" s="28"/>
      <c r="AQ4961" s="28" t="n">
        <f aca="false">AP4961*$M4961</f>
        <v>0</v>
      </c>
      <c r="AR4961" s="28"/>
      <c r="AS4961" s="28" t="n">
        <f aca="false">AR4961*$M4961</f>
        <v>0</v>
      </c>
      <c r="AT4961" s="28"/>
      <c r="AU4961" s="28" t="n">
        <f aca="false">AT4961*$M4961</f>
        <v>0</v>
      </c>
      <c r="AV4961" s="28"/>
      <c r="AW4961" s="28" t="n">
        <f aca="false">AV4961*$M4961</f>
        <v>0</v>
      </c>
      <c r="AX4961" s="28"/>
      <c r="AY4961" s="28" t="n">
        <f aca="false">AX4961*$M4961</f>
        <v>0</v>
      </c>
      <c r="AZ4961" s="30" t="n">
        <f aca="false">41935/100</f>
        <v>419.35</v>
      </c>
      <c r="BA4961" s="11" t="n">
        <v>5032</v>
      </c>
      <c r="BB4961" s="31" t="n">
        <f aca="false">SUM(Q4961,S4961,U4961,W4961,Y4961,AA4961,AC4961,AE4961,AG4961,AI4961,AK4961,AM4961,AO4961,AQ4961,AS4961,AU4961,AW4961,AY4961)</f>
        <v>5032</v>
      </c>
      <c r="BC4961" s="28" t="n">
        <f aca="false">BA4961-BB4961</f>
        <v>0</v>
      </c>
      <c r="BD4961" s="32" t="n">
        <f aca="false">SUM(P4961,R4961,T4961,V4961,X4961,Z4961,AB4961,AD4961,AF4961,AH4961,AJ4961,AL4961,AN4961,AP4961,AR4961,AT4961,AV4961,AX4961)</f>
        <v>419.35</v>
      </c>
      <c r="BE4961" s="33" t="n">
        <f aca="false">AZ4961-BD4961</f>
        <v>0</v>
      </c>
      <c r="BF4961" s="34" t="n">
        <f aca="false">BD4961*M4961</f>
        <v>5032.2</v>
      </c>
      <c r="BG4961" s="35" t="n">
        <f aca="false">BA4961-BF4961</f>
        <v>-0.200000000000728</v>
      </c>
      <c r="BH4961" s="19" t="str">
        <f aca="false">IF(BG4961=0,"",IF(BG4961&lt;&gt;BA4961,"erreur de calcul",IF(BD4961&lt;&gt;0,"pas de prix",IF(M4961&lt;&gt; 0,"pas de quantité","pas de prix, ni de quantité"))))</f>
        <v>erreur de calcul</v>
      </c>
      <c r="BI4961" s="19"/>
    </row>
    <row r="4962" customFormat="false" ht="15" hidden="false" customHeight="false" outlineLevel="0" collapsed="false">
      <c r="A4962" s="0" t="n">
        <v>5</v>
      </c>
      <c r="B4962" s="8" t="s">
        <v>24</v>
      </c>
      <c r="C4962" s="9" t="s">
        <v>25</v>
      </c>
      <c r="D4962" s="9" t="s">
        <v>26</v>
      </c>
      <c r="E4962" s="10" t="n">
        <v>1789</v>
      </c>
      <c r="F4962" s="9" t="s">
        <v>27</v>
      </c>
      <c r="G4962" s="9" t="s">
        <v>27</v>
      </c>
      <c r="H4962" s="11" t="n">
        <v>20</v>
      </c>
      <c r="I4962" s="11" t="s">
        <v>121</v>
      </c>
      <c r="J4962" s="14" t="n">
        <v>28</v>
      </c>
      <c r="K4962" s="14"/>
      <c r="L4962" s="16"/>
      <c r="M4962" s="27" t="n">
        <f aca="false">J4962+(K4962/20)+(L4962/240)</f>
        <v>28</v>
      </c>
      <c r="N4962" s="17" t="s">
        <v>64</v>
      </c>
      <c r="O4962" s="11"/>
      <c r="P4962" s="28"/>
      <c r="Q4962" s="28" t="n">
        <f aca="false">P4962*$M4962</f>
        <v>0</v>
      </c>
      <c r="R4962" s="28"/>
      <c r="S4962" s="28" t="n">
        <f aca="false">R4962*$M4962</f>
        <v>0</v>
      </c>
      <c r="T4962" s="28"/>
      <c r="U4962" s="28" t="n">
        <f aca="false">T4962*$M4962</f>
        <v>0</v>
      </c>
      <c r="V4962" s="28"/>
      <c r="W4962" s="28" t="n">
        <f aca="false">V4962*$M4962</f>
        <v>0</v>
      </c>
      <c r="X4962" s="28" t="n">
        <f aca="false">187504/100</f>
        <v>1875.04</v>
      </c>
      <c r="Y4962" s="28" t="n">
        <v>52501</v>
      </c>
      <c r="Z4962" s="28" t="n">
        <f aca="false">1041667/100</f>
        <v>10416.67</v>
      </c>
      <c r="AA4962" s="28" t="n">
        <v>291667</v>
      </c>
      <c r="AB4962" s="28"/>
      <c r="AC4962" s="28" t="n">
        <f aca="false">AB4962*$M4962</f>
        <v>0</v>
      </c>
      <c r="AD4962" s="28"/>
      <c r="AE4962" s="28" t="n">
        <f aca="false">AD4962*$M4962</f>
        <v>0</v>
      </c>
      <c r="AF4962" s="28"/>
      <c r="AG4962" s="28" t="n">
        <f aca="false">AF4962*$M4962</f>
        <v>0</v>
      </c>
      <c r="AH4962" s="28"/>
      <c r="AI4962" s="28" t="n">
        <f aca="false">AH4962*$M4962</f>
        <v>0</v>
      </c>
      <c r="AJ4962" s="28"/>
      <c r="AK4962" s="28" t="n">
        <f aca="false">AJ4962*$M4962</f>
        <v>0</v>
      </c>
      <c r="AL4962" s="28"/>
      <c r="AM4962" s="28" t="n">
        <f aca="false">AL4962*$M4962</f>
        <v>0</v>
      </c>
      <c r="AN4962" s="28"/>
      <c r="AO4962" s="28" t="n">
        <f aca="false">AN4962*$M4962</f>
        <v>0</v>
      </c>
      <c r="AP4962" s="28"/>
      <c r="AQ4962" s="28" t="n">
        <f aca="false">AP4962*$M4962</f>
        <v>0</v>
      </c>
      <c r="AR4962" s="28"/>
      <c r="AS4962" s="28" t="n">
        <f aca="false">AR4962*$M4962</f>
        <v>0</v>
      </c>
      <c r="AT4962" s="28"/>
      <c r="AU4962" s="28" t="n">
        <f aca="false">AT4962*$M4962</f>
        <v>0</v>
      </c>
      <c r="AV4962" s="28"/>
      <c r="AW4962" s="28" t="n">
        <f aca="false">AV4962*$M4962</f>
        <v>0</v>
      </c>
      <c r="AX4962" s="28"/>
      <c r="AY4962" s="28" t="n">
        <f aca="false">AX4962*$M4962</f>
        <v>0</v>
      </c>
      <c r="AZ4962" s="30" t="n">
        <f aca="false">1229171/100</f>
        <v>12291.71</v>
      </c>
      <c r="BA4962" s="11" t="n">
        <v>344168</v>
      </c>
      <c r="BB4962" s="31" t="n">
        <f aca="false">SUM(Q4962,S4962,U4962,W4962,Y4962,AA4962,AC4962,AE4962,AG4962,AI4962,AK4962,AM4962,AO4962,AQ4962,AS4962,AU4962,AW4962,AY4962)</f>
        <v>344168</v>
      </c>
      <c r="BC4962" s="28" t="n">
        <f aca="false">BA4962-BB4962</f>
        <v>0</v>
      </c>
      <c r="BD4962" s="32" t="n">
        <f aca="false">SUM(P4962,R4962,T4962,V4962,X4962,Z4962,AB4962,AD4962,AF4962,AH4962,AJ4962,AL4962,AN4962,AP4962,AR4962,AT4962,AV4962,AX4962)</f>
        <v>12291.71</v>
      </c>
      <c r="BE4962" s="33" t="n">
        <f aca="false">AZ4962-BD4962</f>
        <v>0</v>
      </c>
      <c r="BF4962" s="34" t="n">
        <f aca="false">BD4962*M4962</f>
        <v>344167.88</v>
      </c>
      <c r="BG4962" s="35" t="n">
        <f aca="false">BA4962-BF4962</f>
        <v>0.119999999995343</v>
      </c>
      <c r="BH4962" s="19" t="str">
        <f aca="false">IF(BG4962=0,"",IF(BG4962&lt;&gt;BA4962,"erreur de calcul",IF(BD4962&lt;&gt;0,"pas de prix",IF(M4962&lt;&gt; 0,"pas de quantité","pas de prix, ni de quantité"))))</f>
        <v>erreur de calcul</v>
      </c>
      <c r="BI4962" s="19"/>
    </row>
    <row r="4963" customFormat="false" ht="15" hidden="false" customHeight="false" outlineLevel="0" collapsed="false">
      <c r="A4963" s="0" t="n">
        <v>6</v>
      </c>
      <c r="B4963" s="8" t="s">
        <v>24</v>
      </c>
      <c r="C4963" s="9" t="s">
        <v>25</v>
      </c>
      <c r="D4963" s="9" t="s">
        <v>26</v>
      </c>
      <c r="E4963" s="10" t="n">
        <v>1789</v>
      </c>
      <c r="F4963" s="9" t="s">
        <v>27</v>
      </c>
      <c r="G4963" s="9" t="s">
        <v>27</v>
      </c>
      <c r="H4963" s="11" t="n">
        <v>20</v>
      </c>
      <c r="I4963" s="11" t="s">
        <v>122</v>
      </c>
      <c r="J4963" s="14" t="n">
        <v>16</v>
      </c>
      <c r="K4963" s="14"/>
      <c r="L4963" s="16"/>
      <c r="M4963" s="27" t="n">
        <f aca="false">J4963+(K4963/20)+(L4963/240)</f>
        <v>16</v>
      </c>
      <c r="N4963" s="17" t="s">
        <v>64</v>
      </c>
      <c r="O4963" s="11"/>
      <c r="P4963" s="28" t="n">
        <f aca="false">1774951/100</f>
        <v>17749.51</v>
      </c>
      <c r="Q4963" s="28" t="n">
        <v>283992</v>
      </c>
      <c r="R4963" s="28"/>
      <c r="S4963" s="28" t="n">
        <f aca="false">R4963*$M4963</f>
        <v>0</v>
      </c>
      <c r="T4963" s="28"/>
      <c r="U4963" s="28" t="n">
        <f aca="false">T4963*$M4963</f>
        <v>0</v>
      </c>
      <c r="V4963" s="28" t="n">
        <f aca="false">20834/100</f>
        <v>208.34</v>
      </c>
      <c r="W4963" s="28" t="n">
        <v>3333</v>
      </c>
      <c r="X4963" s="28" t="n">
        <f aca="false">85901/100</f>
        <v>859.01</v>
      </c>
      <c r="Y4963" s="28" t="n">
        <v>13744</v>
      </c>
      <c r="Z4963" s="28"/>
      <c r="AA4963" s="28" t="n">
        <f aca="false">Z4963*$M4963</f>
        <v>0</v>
      </c>
      <c r="AB4963" s="28" t="n">
        <f aca="false">6847841/100</f>
        <v>68478.41</v>
      </c>
      <c r="AC4963" s="28" t="n">
        <v>1095654</v>
      </c>
      <c r="AD4963" s="28"/>
      <c r="AE4963" s="28" t="n">
        <f aca="false">AD4963*$M4963</f>
        <v>0</v>
      </c>
      <c r="AF4963" s="28"/>
      <c r="AG4963" s="28" t="n">
        <f aca="false">AF4963*$M4963</f>
        <v>0</v>
      </c>
      <c r="AH4963" s="28" t="n">
        <f aca="false">50417/100</f>
        <v>504.17</v>
      </c>
      <c r="AI4963" s="28" t="n">
        <v>8067</v>
      </c>
      <c r="AJ4963" s="28"/>
      <c r="AK4963" s="28" t="n">
        <f aca="false">AJ4963*$M4963</f>
        <v>0</v>
      </c>
      <c r="AL4963" s="28"/>
      <c r="AM4963" s="28" t="n">
        <f aca="false">AL4963*$M4963</f>
        <v>0</v>
      </c>
      <c r="AN4963" s="28"/>
      <c r="AO4963" s="28" t="n">
        <f aca="false">AN4963*$M4963</f>
        <v>0</v>
      </c>
      <c r="AP4963" s="28"/>
      <c r="AQ4963" s="28" t="n">
        <f aca="false">AP4963*$M4963</f>
        <v>0</v>
      </c>
      <c r="AR4963" s="28"/>
      <c r="AS4963" s="28" t="n">
        <f aca="false">AR4963*$M4963</f>
        <v>0</v>
      </c>
      <c r="AT4963" s="28"/>
      <c r="AU4963" s="28" t="n">
        <f aca="false">AT4963*$M4963</f>
        <v>0</v>
      </c>
      <c r="AV4963" s="28"/>
      <c r="AW4963" s="28" t="n">
        <f aca="false">AV4963*$M4963</f>
        <v>0</v>
      </c>
      <c r="AX4963" s="28"/>
      <c r="AY4963" s="28" t="n">
        <f aca="false">AX4963*$M4963</f>
        <v>0</v>
      </c>
      <c r="AZ4963" s="30" t="n">
        <f aca="false">8779944/100</f>
        <v>87799.44</v>
      </c>
      <c r="BA4963" s="11" t="n">
        <v>1404790</v>
      </c>
      <c r="BB4963" s="31" t="n">
        <f aca="false">SUM(Q4963,S4963,U4963,W4963,Y4963,AA4963,AC4963,AE4963,AG4963,AI4963,AK4963,AM4963,AO4963,AQ4963,AS4963,AU4963,AW4963,AY4963)</f>
        <v>1404790</v>
      </c>
      <c r="BC4963" s="28" t="n">
        <f aca="false">BA4963-BB4963</f>
        <v>0</v>
      </c>
      <c r="BD4963" s="32" t="n">
        <f aca="false">SUM(P4963,R4963,T4963,V4963,X4963,Z4963,AB4963,AD4963,AF4963,AH4963,AJ4963,AL4963,AN4963,AP4963,AR4963,AT4963,AV4963,AX4963)</f>
        <v>87799.44</v>
      </c>
      <c r="BE4963" s="33" t="n">
        <f aca="false">AZ4963-BD4963</f>
        <v>0</v>
      </c>
      <c r="BF4963" s="34" t="n">
        <f aca="false">BD4963*M4963</f>
        <v>1404791.04</v>
      </c>
      <c r="BG4963" s="35" t="n">
        <f aca="false">BA4963-BF4963</f>
        <v>-1.03999999980442</v>
      </c>
      <c r="BH4963" s="19" t="str">
        <f aca="false">IF(BG4963=0,"",IF(BG4963&lt;&gt;BA4963,"erreur de calcul",IF(BD4963&lt;&gt;0,"pas de prix",IF(M4963&lt;&gt; 0,"pas de quantité","pas de prix, ni de quantité"))))</f>
        <v>erreur de calcul</v>
      </c>
      <c r="BI4963" s="19"/>
    </row>
    <row r="4964" customFormat="false" ht="15" hidden="false" customHeight="false" outlineLevel="0" collapsed="false">
      <c r="A4964" s="0" t="n">
        <v>7</v>
      </c>
      <c r="B4964" s="8" t="s">
        <v>24</v>
      </c>
      <c r="C4964" s="9" t="s">
        <v>25</v>
      </c>
      <c r="D4964" s="9" t="s">
        <v>26</v>
      </c>
      <c r="E4964" s="10" t="n">
        <v>1789</v>
      </c>
      <c r="F4964" s="9" t="s">
        <v>27</v>
      </c>
      <c r="G4964" s="9" t="s">
        <v>27</v>
      </c>
      <c r="H4964" s="11" t="n">
        <v>20</v>
      </c>
      <c r="I4964" s="11" t="s">
        <v>123</v>
      </c>
      <c r="J4964" s="14" t="n">
        <v>12</v>
      </c>
      <c r="K4964" s="14"/>
      <c r="L4964" s="16"/>
      <c r="M4964" s="27" t="n">
        <f aca="false">J4964+(K4964/20)+(L4964/240)</f>
        <v>12</v>
      </c>
      <c r="N4964" s="17" t="s">
        <v>64</v>
      </c>
      <c r="O4964" s="11"/>
      <c r="P4964" s="28"/>
      <c r="Q4964" s="28" t="n">
        <f aca="false">P4964*$M4964</f>
        <v>0</v>
      </c>
      <c r="R4964" s="28"/>
      <c r="S4964" s="28" t="n">
        <f aca="false">R4964*$M4964</f>
        <v>0</v>
      </c>
      <c r="T4964" s="28"/>
      <c r="U4964" s="28" t="n">
        <f aca="false">T4964*$M4964</f>
        <v>0</v>
      </c>
      <c r="V4964" s="28"/>
      <c r="W4964" s="28" t="n">
        <f aca="false">V4964*$M4964</f>
        <v>0</v>
      </c>
      <c r="X4964" s="28"/>
      <c r="Y4964" s="28" t="n">
        <f aca="false">X4964*$M4964</f>
        <v>0</v>
      </c>
      <c r="Z4964" s="28"/>
      <c r="AA4964" s="28" t="n">
        <f aca="false">Z4964*$M4964</f>
        <v>0</v>
      </c>
      <c r="AB4964" s="28"/>
      <c r="AC4964" s="28" t="n">
        <f aca="false">AB4964*$M4964</f>
        <v>0</v>
      </c>
      <c r="AD4964" s="28"/>
      <c r="AE4964" s="28" t="n">
        <f aca="false">AD4964*$M4964</f>
        <v>0</v>
      </c>
      <c r="AF4964" s="28"/>
      <c r="AG4964" s="28" t="n">
        <f aca="false">AF4964*$M4964</f>
        <v>0</v>
      </c>
      <c r="AH4964" s="28" t="n">
        <f aca="false">5697511/100</f>
        <v>56975.11</v>
      </c>
      <c r="AI4964" s="28" t="n">
        <v>683701</v>
      </c>
      <c r="AJ4964" s="28"/>
      <c r="AK4964" s="28" t="n">
        <f aca="false">AJ4964*$M4964</f>
        <v>0</v>
      </c>
      <c r="AL4964" s="28"/>
      <c r="AM4964" s="28" t="n">
        <f aca="false">AL4964*$M4964</f>
        <v>0</v>
      </c>
      <c r="AN4964" s="28"/>
      <c r="AO4964" s="28" t="n">
        <f aca="false">AN4964*$M4964</f>
        <v>0</v>
      </c>
      <c r="AP4964" s="28"/>
      <c r="AQ4964" s="28" t="n">
        <f aca="false">AP4964*$M4964</f>
        <v>0</v>
      </c>
      <c r="AR4964" s="28"/>
      <c r="AS4964" s="28" t="n">
        <f aca="false">AR4964*$M4964</f>
        <v>0</v>
      </c>
      <c r="AT4964" s="28"/>
      <c r="AU4964" s="28" t="n">
        <f aca="false">AT4964*$M4964</f>
        <v>0</v>
      </c>
      <c r="AV4964" s="28"/>
      <c r="AW4964" s="28" t="n">
        <f aca="false">AV4964*$M4964</f>
        <v>0</v>
      </c>
      <c r="AX4964" s="28"/>
      <c r="AY4964" s="28" t="n">
        <f aca="false">AX4964*$M4964</f>
        <v>0</v>
      </c>
      <c r="AZ4964" s="30" t="n">
        <f aca="false">5697511/100</f>
        <v>56975.11</v>
      </c>
      <c r="BA4964" s="11" t="n">
        <v>683701</v>
      </c>
      <c r="BB4964" s="31" t="n">
        <f aca="false">SUM(Q4964,S4964,U4964,W4964,Y4964,AA4964,AC4964,AE4964,AG4964,AI4964,AK4964,AM4964,AO4964,AQ4964,AS4964,AU4964,AW4964,AY4964)</f>
        <v>683701</v>
      </c>
      <c r="BC4964" s="28" t="n">
        <f aca="false">BA4964-BB4964</f>
        <v>0</v>
      </c>
      <c r="BD4964" s="32" t="n">
        <f aca="false">SUM(P4964,R4964,T4964,V4964,X4964,Z4964,AB4964,AD4964,AF4964,AH4964,AJ4964,AL4964,AN4964,AP4964,AR4964,AT4964,AV4964,AX4964)</f>
        <v>56975.11</v>
      </c>
      <c r="BE4964" s="33" t="n">
        <f aca="false">AZ4964-BD4964</f>
        <v>0</v>
      </c>
      <c r="BF4964" s="34" t="n">
        <f aca="false">BD4964*M4964</f>
        <v>683701.32</v>
      </c>
      <c r="BG4964" s="35" t="n">
        <f aca="false">BA4964-BF4964</f>
        <v>-0.320000000065193</v>
      </c>
      <c r="BH4964" s="19" t="str">
        <f aca="false">IF(BG4964=0,"",IF(BG4964&lt;&gt;BA4964,"erreur de calcul",IF(BD4964&lt;&gt;0,"pas de prix",IF(M4964&lt;&gt; 0,"pas de quantité","pas de prix, ni de quantité"))))</f>
        <v>erreur de calcul</v>
      </c>
      <c r="BI4964" s="19"/>
    </row>
    <row r="4965" customFormat="false" ht="15" hidden="false" customHeight="false" outlineLevel="0" collapsed="false">
      <c r="A4965" s="0" t="n">
        <v>8</v>
      </c>
      <c r="B4965" s="8" t="s">
        <v>24</v>
      </c>
      <c r="C4965" s="9" t="s">
        <v>25</v>
      </c>
      <c r="D4965" s="9" t="s">
        <v>26</v>
      </c>
      <c r="E4965" s="10" t="n">
        <v>1789</v>
      </c>
      <c r="F4965" s="9" t="s">
        <v>27</v>
      </c>
      <c r="G4965" s="9" t="s">
        <v>27</v>
      </c>
      <c r="H4965" s="11" t="n">
        <v>20</v>
      </c>
      <c r="I4965" s="11" t="s">
        <v>124</v>
      </c>
      <c r="J4965" s="14" t="n">
        <v>34</v>
      </c>
      <c r="K4965" s="14"/>
      <c r="L4965" s="16"/>
      <c r="M4965" s="27" t="n">
        <f aca="false">J4965+(K4965/20)+(L4965/240)</f>
        <v>34</v>
      </c>
      <c r="N4965" s="17" t="s">
        <v>64</v>
      </c>
      <c r="O4965" s="11"/>
      <c r="P4965" s="28"/>
      <c r="Q4965" s="28" t="n">
        <f aca="false">P4965*$M4965</f>
        <v>0</v>
      </c>
      <c r="R4965" s="28"/>
      <c r="S4965" s="28" t="n">
        <f aca="false">R4965*$M4965</f>
        <v>0</v>
      </c>
      <c r="T4965" s="28" t="n">
        <f aca="false">528/100</f>
        <v>5.28</v>
      </c>
      <c r="U4965" s="28" t="n">
        <v>179</v>
      </c>
      <c r="V4965" s="28"/>
      <c r="W4965" s="28" t="n">
        <f aca="false">V4965*$M4965</f>
        <v>0</v>
      </c>
      <c r="X4965" s="28" t="n">
        <f aca="false">1014/100</f>
        <v>10.14</v>
      </c>
      <c r="Y4965" s="36" t="n">
        <v>243</v>
      </c>
      <c r="Z4965" s="28"/>
      <c r="AA4965" s="28" t="n">
        <f aca="false">Z4965*$M4965</f>
        <v>0</v>
      </c>
      <c r="AB4965" s="28"/>
      <c r="AC4965" s="28" t="n">
        <f aca="false">AB4965*$M4965</f>
        <v>0</v>
      </c>
      <c r="AD4965" s="28"/>
      <c r="AE4965" s="28" t="n">
        <f aca="false">AD4965*$M4965</f>
        <v>0</v>
      </c>
      <c r="AF4965" s="28"/>
      <c r="AG4965" s="28" t="n">
        <f aca="false">AF4965*$M4965</f>
        <v>0</v>
      </c>
      <c r="AH4965" s="28"/>
      <c r="AI4965" s="28" t="n">
        <f aca="false">AH4965*$M4965</f>
        <v>0</v>
      </c>
      <c r="AJ4965" s="28" t="n">
        <f aca="false">1917/100</f>
        <v>19.17</v>
      </c>
      <c r="AK4965" s="28" t="n">
        <v>652</v>
      </c>
      <c r="AL4965" s="28"/>
      <c r="AM4965" s="28" t="n">
        <f aca="false">AL4965*$M4965</f>
        <v>0</v>
      </c>
      <c r="AN4965" s="28"/>
      <c r="AO4965" s="28" t="n">
        <f aca="false">AN4965*$M4965</f>
        <v>0</v>
      </c>
      <c r="AP4965" s="28"/>
      <c r="AQ4965" s="28" t="n">
        <f aca="false">AP4965*$M4965</f>
        <v>0</v>
      </c>
      <c r="AR4965" s="28"/>
      <c r="AS4965" s="28" t="n">
        <f aca="false">AR4965*$M4965</f>
        <v>0</v>
      </c>
      <c r="AT4965" s="28"/>
      <c r="AU4965" s="28" t="n">
        <f aca="false">AT4965*$M4965</f>
        <v>0</v>
      </c>
      <c r="AV4965" s="28"/>
      <c r="AW4965" s="28" t="n">
        <f aca="false">AV4965*$M4965</f>
        <v>0</v>
      </c>
      <c r="AX4965" s="28"/>
      <c r="AY4965" s="28" t="n">
        <f aca="false">AX4965*$M4965</f>
        <v>0</v>
      </c>
      <c r="AZ4965" s="30" t="n">
        <f aca="false">3459/100</f>
        <v>34.59</v>
      </c>
      <c r="BA4965" s="11" t="n">
        <v>1074</v>
      </c>
      <c r="BB4965" s="31" t="n">
        <f aca="false">SUM(Q4965,S4965,U4965,W4965,Y4965,AA4965,AC4965,AE4965,AG4965,AI4965,AK4965,AM4965,AO4965,AQ4965,AS4965,AU4965,AW4965,AY4965)</f>
        <v>1074</v>
      </c>
      <c r="BC4965" s="28" t="n">
        <f aca="false">BA4965-BB4965</f>
        <v>0</v>
      </c>
      <c r="BD4965" s="32" t="n">
        <f aca="false">SUM(P4965,R4965,T4965,V4965,X4965,Z4965,AB4965,AD4965,AF4965,AH4965,AJ4965,AL4965,AN4965,AP4965,AR4965,AT4965,AV4965,AX4965)</f>
        <v>34.59</v>
      </c>
      <c r="BE4965" s="33" t="n">
        <f aca="false">AZ4965-BD4965</f>
        <v>0</v>
      </c>
      <c r="BF4965" s="34" t="n">
        <f aca="false">BD4965*M4965</f>
        <v>1176.06</v>
      </c>
      <c r="BG4965" s="35" t="n">
        <f aca="false">BA4965-BF4965</f>
        <v>-102.06</v>
      </c>
      <c r="BH4965" s="19" t="str">
        <f aca="false">IF(BG4965=0,"",IF(BG4965&lt;&gt;BA4965,"erreur de calcul",IF(BD4965&lt;&gt;0,"pas de prix",IF(M4965&lt;&gt; 0,"pas de quantité","pas de prix, ni de quantité"))))</f>
        <v>erreur de calcul</v>
      </c>
      <c r="BI4965" s="19"/>
    </row>
    <row r="4966" customFormat="false" ht="15" hidden="false" customHeight="false" outlineLevel="0" collapsed="false">
      <c r="A4966" s="0" t="n">
        <v>9</v>
      </c>
      <c r="B4966" s="8" t="s">
        <v>24</v>
      </c>
      <c r="C4966" s="9" t="s">
        <v>25</v>
      </c>
      <c r="D4966" s="9" t="s">
        <v>26</v>
      </c>
      <c r="E4966" s="10" t="n">
        <v>1789</v>
      </c>
      <c r="F4966" s="9" t="s">
        <v>27</v>
      </c>
      <c r="G4966" s="9" t="s">
        <v>27</v>
      </c>
      <c r="H4966" s="11" t="n">
        <v>20</v>
      </c>
      <c r="I4966" s="11" t="s">
        <v>125</v>
      </c>
      <c r="J4966" s="14" t="n">
        <v>30</v>
      </c>
      <c r="K4966" s="14"/>
      <c r="L4966" s="16"/>
      <c r="M4966" s="27" t="n">
        <f aca="false">J4966+(K4966/20)+(L4966/240)</f>
        <v>30</v>
      </c>
      <c r="N4966" s="17" t="s">
        <v>64</v>
      </c>
      <c r="O4966" s="11"/>
      <c r="P4966" s="28" t="n">
        <f aca="false">31476/100</f>
        <v>314.76</v>
      </c>
      <c r="Q4966" s="28" t="n">
        <v>9443</v>
      </c>
      <c r="R4966" s="28"/>
      <c r="S4966" s="28" t="n">
        <f aca="false">R4966*$M4966</f>
        <v>0</v>
      </c>
      <c r="T4966" s="28"/>
      <c r="U4966" s="28" t="n">
        <f aca="false">T4966*$M4966</f>
        <v>0</v>
      </c>
      <c r="V4966" s="28"/>
      <c r="W4966" s="28" t="n">
        <f aca="false">V4966*$M4966</f>
        <v>0</v>
      </c>
      <c r="X4966" s="28" t="n">
        <f aca="false">2320/100</f>
        <v>23.2</v>
      </c>
      <c r="Y4966" s="28" t="n">
        <v>696</v>
      </c>
      <c r="Z4966" s="28"/>
      <c r="AA4966" s="28" t="n">
        <f aca="false">Z4966*$M4966</f>
        <v>0</v>
      </c>
      <c r="AB4966" s="28"/>
      <c r="AC4966" s="28" t="n">
        <f aca="false">AB4966*$M4966</f>
        <v>0</v>
      </c>
      <c r="AD4966" s="28"/>
      <c r="AE4966" s="28" t="n">
        <f aca="false">AD4966*$M4966</f>
        <v>0</v>
      </c>
      <c r="AF4966" s="28"/>
      <c r="AG4966" s="28" t="n">
        <f aca="false">AF4966*$M4966</f>
        <v>0</v>
      </c>
      <c r="AH4966" s="28"/>
      <c r="AI4966" s="28" t="n">
        <f aca="false">AH4966*$M4966</f>
        <v>0</v>
      </c>
      <c r="AJ4966" s="28"/>
      <c r="AK4966" s="28" t="n">
        <f aca="false">AJ4966*$M4966</f>
        <v>0</v>
      </c>
      <c r="AL4966" s="28"/>
      <c r="AM4966" s="28" t="n">
        <f aca="false">AL4966*$M4966</f>
        <v>0</v>
      </c>
      <c r="AN4966" s="28"/>
      <c r="AO4966" s="28" t="n">
        <f aca="false">AN4966*$M4966</f>
        <v>0</v>
      </c>
      <c r="AP4966" s="28" t="n">
        <f aca="false">5100/100</f>
        <v>51</v>
      </c>
      <c r="AQ4966" s="28" t="n">
        <v>1530</v>
      </c>
      <c r="AR4966" s="28"/>
      <c r="AS4966" s="28" t="n">
        <f aca="false">AR4966*$M4966</f>
        <v>0</v>
      </c>
      <c r="AT4966" s="28"/>
      <c r="AU4966" s="28" t="n">
        <f aca="false">AT4966*$M4966</f>
        <v>0</v>
      </c>
      <c r="AV4966" s="28"/>
      <c r="AW4966" s="28" t="n">
        <f aca="false">AV4966*$M4966</f>
        <v>0</v>
      </c>
      <c r="AX4966" s="28" t="n">
        <f aca="false">26345/100</f>
        <v>263.45</v>
      </c>
      <c r="AY4966" s="28" t="n">
        <v>7903</v>
      </c>
      <c r="AZ4966" s="30" t="n">
        <f aca="false">65241/100</f>
        <v>652.41</v>
      </c>
      <c r="BA4966" s="11" t="n">
        <v>19572</v>
      </c>
      <c r="BB4966" s="31" t="n">
        <f aca="false">SUM(Q4966,S4966,U4966,W4966,Y4966,AA4966,AC4966,AE4966,AG4966,AI4966,AK4966,AM4966,AO4966,AQ4966,AS4966,AU4966,AW4966,AY4966)</f>
        <v>19572</v>
      </c>
      <c r="BC4966" s="28" t="n">
        <f aca="false">BA4966-BB4966</f>
        <v>0</v>
      </c>
      <c r="BD4966" s="32" t="n">
        <f aca="false">SUM(P4966,R4966,T4966,V4966,X4966,Z4966,AB4966,AD4966,AF4966,AH4966,AJ4966,AL4966,AN4966,AP4966,AR4966,AT4966,AV4966,AX4966)</f>
        <v>652.41</v>
      </c>
      <c r="BE4966" s="33" t="n">
        <f aca="false">AZ4966-BD4966</f>
        <v>0</v>
      </c>
      <c r="BF4966" s="34" t="n">
        <f aca="false">BD4966*M4966</f>
        <v>19572.3</v>
      </c>
      <c r="BG4966" s="35" t="n">
        <f aca="false">BA4966-BF4966</f>
        <v>-0.299999999999272</v>
      </c>
      <c r="BH4966" s="19" t="str">
        <f aca="false">IF(BG4966=0,"",IF(BG4966&lt;&gt;BA4966,"erreur de calcul",IF(BD4966&lt;&gt;0,"pas de prix",IF(M4966&lt;&gt; 0,"pas de quantité","pas de prix, ni de quantité"))))</f>
        <v>erreur de calcul</v>
      </c>
      <c r="BI4966" s="19"/>
    </row>
    <row r="4967" customFormat="false" ht="15" hidden="false" customHeight="false" outlineLevel="0" collapsed="false">
      <c r="A4967" s="0" t="n">
        <v>10</v>
      </c>
      <c r="B4967" s="8" t="s">
        <v>24</v>
      </c>
      <c r="C4967" s="9" t="s">
        <v>25</v>
      </c>
      <c r="D4967" s="9" t="s">
        <v>26</v>
      </c>
      <c r="E4967" s="10" t="n">
        <v>1789</v>
      </c>
      <c r="F4967" s="9" t="s">
        <v>27</v>
      </c>
      <c r="G4967" s="9" t="s">
        <v>27</v>
      </c>
      <c r="H4967" s="11" t="n">
        <v>20</v>
      </c>
      <c r="I4967" s="11" t="s">
        <v>126</v>
      </c>
      <c r="J4967" s="14" t="n">
        <v>75</v>
      </c>
      <c r="K4967" s="14"/>
      <c r="L4967" s="16"/>
      <c r="M4967" s="27" t="n">
        <f aca="false">J4967+(K4967/20)+(L4967/240)</f>
        <v>75</v>
      </c>
      <c r="N4967" s="17" t="s">
        <v>64</v>
      </c>
      <c r="O4967" s="11"/>
      <c r="P4967" s="28"/>
      <c r="Q4967" s="28" t="n">
        <f aca="false">P4967*$M4967</f>
        <v>0</v>
      </c>
      <c r="R4967" s="28"/>
      <c r="S4967" s="28" t="n">
        <f aca="false">R4967*$M4967</f>
        <v>0</v>
      </c>
      <c r="T4967" s="28"/>
      <c r="U4967" s="28" t="n">
        <f aca="false">T4967*$M4967</f>
        <v>0</v>
      </c>
      <c r="V4967" s="28" t="n">
        <f aca="false">223/100</f>
        <v>2.23</v>
      </c>
      <c r="W4967" s="28" t="n">
        <v>167</v>
      </c>
      <c r="X4967" s="28" t="n">
        <f aca="false">2897/100</f>
        <v>28.97</v>
      </c>
      <c r="Y4967" s="28" t="n">
        <v>2173</v>
      </c>
      <c r="Z4967" s="28"/>
      <c r="AA4967" s="28" t="n">
        <f aca="false">Z4967*$M4967</f>
        <v>0</v>
      </c>
      <c r="AB4967" s="28"/>
      <c r="AC4967" s="28" t="n">
        <f aca="false">AB4967*$M4967</f>
        <v>0</v>
      </c>
      <c r="AD4967" s="28"/>
      <c r="AE4967" s="28" t="n">
        <f aca="false">AD4967*$M4967</f>
        <v>0</v>
      </c>
      <c r="AF4967" s="28"/>
      <c r="AG4967" s="28" t="n">
        <f aca="false">AF4967*$M4967</f>
        <v>0</v>
      </c>
      <c r="AH4967" s="28"/>
      <c r="AI4967" s="28" t="n">
        <f aca="false">AH4967*$M4967</f>
        <v>0</v>
      </c>
      <c r="AJ4967" s="28"/>
      <c r="AK4967" s="28" t="n">
        <f aca="false">AJ4967*$M4967</f>
        <v>0</v>
      </c>
      <c r="AL4967" s="28"/>
      <c r="AM4967" s="28" t="n">
        <f aca="false">AL4967*$M4967</f>
        <v>0</v>
      </c>
      <c r="AN4967" s="28"/>
      <c r="AO4967" s="28" t="n">
        <f aca="false">AN4967*$M4967</f>
        <v>0</v>
      </c>
      <c r="AP4967" s="28"/>
      <c r="AQ4967" s="28" t="n">
        <f aca="false">AP4967*$M4967</f>
        <v>0</v>
      </c>
      <c r="AR4967" s="28"/>
      <c r="AS4967" s="28" t="n">
        <f aca="false">AR4967*$M4967</f>
        <v>0</v>
      </c>
      <c r="AT4967" s="28"/>
      <c r="AU4967" s="28" t="n">
        <f aca="false">AT4967*$M4967</f>
        <v>0</v>
      </c>
      <c r="AV4967" s="28"/>
      <c r="AW4967" s="28" t="n">
        <f aca="false">AV4967*$M4967</f>
        <v>0</v>
      </c>
      <c r="AX4967" s="28"/>
      <c r="AY4967" s="28" t="n">
        <f aca="false">AX4967*$M4967</f>
        <v>0</v>
      </c>
      <c r="AZ4967" s="30" t="n">
        <f aca="false">3120/100</f>
        <v>31.2</v>
      </c>
      <c r="BA4967" s="11" t="n">
        <v>2340</v>
      </c>
      <c r="BB4967" s="31" t="n">
        <f aca="false">SUM(Q4967,S4967,U4967,W4967,Y4967,AA4967,AC4967,AE4967,AG4967,AI4967,AK4967,AM4967,AO4967,AQ4967,AS4967,AU4967,AW4967,AY4967)</f>
        <v>2340</v>
      </c>
      <c r="BC4967" s="28" t="n">
        <f aca="false">BA4967-BB4967</f>
        <v>0</v>
      </c>
      <c r="BD4967" s="32" t="n">
        <f aca="false">SUM(P4967,R4967,T4967,V4967,X4967,Z4967,AB4967,AD4967,AF4967,AH4967,AJ4967,AL4967,AN4967,AP4967,AR4967,AT4967,AV4967,AX4967)</f>
        <v>31.2</v>
      </c>
      <c r="BE4967" s="33" t="n">
        <f aca="false">AZ4967-BD4967</f>
        <v>0</v>
      </c>
      <c r="BF4967" s="34" t="n">
        <f aca="false">BD4967*M4967</f>
        <v>2340</v>
      </c>
      <c r="BG4967" s="35" t="n">
        <f aca="false">BA4967-BF4967</f>
        <v>0</v>
      </c>
      <c r="BH4967" s="19" t="str">
        <f aca="false">IF(BG4967=0,"",IF(BG4967&lt;&gt;BA4967,"erreur de calcul",IF(BD4967&lt;&gt;0,"pas de prix",IF(M4967&lt;&gt; 0,"pas de quantité","pas de prix, ni de quantité"))))</f>
        <v/>
      </c>
      <c r="BI4967" s="19"/>
    </row>
    <row r="4968" customFormat="false" ht="15" hidden="false" customHeight="false" outlineLevel="0" collapsed="false">
      <c r="A4968" s="0" t="n">
        <v>11</v>
      </c>
      <c r="B4968" s="8" t="s">
        <v>24</v>
      </c>
      <c r="C4968" s="9" t="s">
        <v>25</v>
      </c>
      <c r="D4968" s="9" t="s">
        <v>26</v>
      </c>
      <c r="E4968" s="10" t="n">
        <v>1789</v>
      </c>
      <c r="F4968" s="9" t="s">
        <v>27</v>
      </c>
      <c r="G4968" s="9" t="s">
        <v>27</v>
      </c>
      <c r="H4968" s="11" t="n">
        <v>20</v>
      </c>
      <c r="I4968" s="11" t="s">
        <v>127</v>
      </c>
      <c r="J4968" s="14" t="n">
        <v>75</v>
      </c>
      <c r="K4968" s="14"/>
      <c r="L4968" s="16"/>
      <c r="M4968" s="27" t="n">
        <f aca="false">J4968+(K4968/20)+(L4968/240)</f>
        <v>75</v>
      </c>
      <c r="N4968" s="17" t="s">
        <v>64</v>
      </c>
      <c r="O4968" s="11"/>
      <c r="P4968" s="28"/>
      <c r="Q4968" s="28" t="n">
        <f aca="false">P4968*$M4968</f>
        <v>0</v>
      </c>
      <c r="R4968" s="28"/>
      <c r="S4968" s="28" t="n">
        <f aca="false">R4968*$M4968</f>
        <v>0</v>
      </c>
      <c r="T4968" s="28" t="n">
        <f aca="false">5807/100</f>
        <v>58.07</v>
      </c>
      <c r="U4968" s="28" t="n">
        <v>4355</v>
      </c>
      <c r="V4968" s="28"/>
      <c r="W4968" s="28" t="n">
        <f aca="false">V4968*$M4968</f>
        <v>0</v>
      </c>
      <c r="X4968" s="28"/>
      <c r="Y4968" s="28" t="n">
        <f aca="false">X4968*$M4968</f>
        <v>0</v>
      </c>
      <c r="Z4968" s="28"/>
      <c r="AA4968" s="28" t="n">
        <f aca="false">Z4968*$M4968</f>
        <v>0</v>
      </c>
      <c r="AB4968" s="28"/>
      <c r="AC4968" s="28" t="n">
        <f aca="false">AB4968*$M4968</f>
        <v>0</v>
      </c>
      <c r="AD4968" s="28"/>
      <c r="AE4968" s="28" t="n">
        <f aca="false">AD4968*$M4968</f>
        <v>0</v>
      </c>
      <c r="AF4968" s="28"/>
      <c r="AG4968" s="28" t="n">
        <f aca="false">AF4968*$M4968</f>
        <v>0</v>
      </c>
      <c r="AH4968" s="28"/>
      <c r="AI4968" s="28" t="n">
        <f aca="false">AH4968*$M4968</f>
        <v>0</v>
      </c>
      <c r="AJ4968" s="28"/>
      <c r="AK4968" s="28" t="n">
        <f aca="false">AJ4968*$M4968</f>
        <v>0</v>
      </c>
      <c r="AL4968" s="28"/>
      <c r="AM4968" s="28" t="n">
        <f aca="false">AL4968*$M4968</f>
        <v>0</v>
      </c>
      <c r="AN4968" s="28"/>
      <c r="AO4968" s="28" t="n">
        <f aca="false">AN4968*$M4968</f>
        <v>0</v>
      </c>
      <c r="AP4968" s="28"/>
      <c r="AQ4968" s="28" t="n">
        <f aca="false">AP4968*$M4968</f>
        <v>0</v>
      </c>
      <c r="AR4968" s="28"/>
      <c r="AS4968" s="28" t="n">
        <f aca="false">AR4968*$M4968</f>
        <v>0</v>
      </c>
      <c r="AT4968" s="28"/>
      <c r="AU4968" s="28" t="n">
        <f aca="false">AT4968*$M4968</f>
        <v>0</v>
      </c>
      <c r="AV4968" s="28"/>
      <c r="AW4968" s="28" t="n">
        <f aca="false">AV4968*$M4968</f>
        <v>0</v>
      </c>
      <c r="AX4968" s="28"/>
      <c r="AY4968" s="28" t="n">
        <f aca="false">AX4968*$M4968</f>
        <v>0</v>
      </c>
      <c r="AZ4968" s="30" t="n">
        <f aca="false">5807/100</f>
        <v>58.07</v>
      </c>
      <c r="BA4968" s="11" t="n">
        <v>4355</v>
      </c>
      <c r="BB4968" s="31" t="n">
        <f aca="false">SUM(Q4968,S4968,U4968,W4968,Y4968,AA4968,AC4968,AE4968,AG4968,AI4968,AK4968,AM4968,AO4968,AQ4968,AS4968,AU4968,AW4968,AY4968)</f>
        <v>4355</v>
      </c>
      <c r="BC4968" s="28" t="n">
        <f aca="false">BA4968-BB4968</f>
        <v>0</v>
      </c>
      <c r="BD4968" s="32" t="n">
        <f aca="false">SUM(P4968,R4968,T4968,V4968,X4968,Z4968,AB4968,AD4968,AF4968,AH4968,AJ4968,AL4968,AN4968,AP4968,AR4968,AT4968,AV4968,AX4968)</f>
        <v>58.07</v>
      </c>
      <c r="BE4968" s="33" t="n">
        <f aca="false">AZ4968-BD4968</f>
        <v>0</v>
      </c>
      <c r="BF4968" s="34" t="n">
        <f aca="false">BD4968*M4968</f>
        <v>4355.25</v>
      </c>
      <c r="BG4968" s="35" t="n">
        <f aca="false">BA4968-BF4968</f>
        <v>-0.25</v>
      </c>
      <c r="BH4968" s="19" t="str">
        <f aca="false">IF(BG4968=0,"",IF(BG4968&lt;&gt;BA4968,"erreur de calcul",IF(BD4968&lt;&gt;0,"pas de prix",IF(M4968&lt;&gt; 0,"pas de quantité","pas de prix, ni de quantité"))))</f>
        <v>erreur de calcul</v>
      </c>
      <c r="BI4968" s="19"/>
    </row>
    <row r="4969" customFormat="false" ht="15" hidden="false" customHeight="false" outlineLevel="0" collapsed="false">
      <c r="A4969" s="0" t="n">
        <v>12</v>
      </c>
      <c r="B4969" s="8" t="s">
        <v>24</v>
      </c>
      <c r="C4969" s="9" t="s">
        <v>25</v>
      </c>
      <c r="D4969" s="9" t="s">
        <v>26</v>
      </c>
      <c r="E4969" s="10" t="n">
        <v>1789</v>
      </c>
      <c r="F4969" s="9" t="s">
        <v>27</v>
      </c>
      <c r="G4969" s="9" t="s">
        <v>27</v>
      </c>
      <c r="H4969" s="11" t="n">
        <v>20</v>
      </c>
      <c r="I4969" s="11" t="s">
        <v>128</v>
      </c>
      <c r="J4969" s="14" t="n">
        <v>42</v>
      </c>
      <c r="K4969" s="14"/>
      <c r="L4969" s="16"/>
      <c r="M4969" s="27" t="n">
        <f aca="false">J4969+(K4969/20)+(L4969/240)</f>
        <v>42</v>
      </c>
      <c r="N4969" s="17" t="s">
        <v>64</v>
      </c>
      <c r="O4969" s="11"/>
      <c r="P4969" s="28"/>
      <c r="Q4969" s="28" t="n">
        <f aca="false">P4969*$M4969</f>
        <v>0</v>
      </c>
      <c r="R4969" s="28"/>
      <c r="S4969" s="28" t="n">
        <f aca="false">R4969*$M4969</f>
        <v>0</v>
      </c>
      <c r="T4969" s="28" t="n">
        <f aca="false">347073/100</f>
        <v>3470.73</v>
      </c>
      <c r="U4969" s="28" t="n">
        <v>145771</v>
      </c>
      <c r="V4969" s="28" t="n">
        <f aca="false">188616/100</f>
        <v>1886.16</v>
      </c>
      <c r="W4969" s="28" t="n">
        <v>79219</v>
      </c>
      <c r="X4969" s="28" t="n">
        <f aca="false">518894/100</f>
        <v>5188.94</v>
      </c>
      <c r="Y4969" s="28" t="n">
        <v>217935</v>
      </c>
      <c r="Z4969" s="28" t="n">
        <f aca="false">965148/100</f>
        <v>9651.48</v>
      </c>
      <c r="AA4969" s="28" t="n">
        <v>405362</v>
      </c>
      <c r="AB4969" s="28" t="n">
        <f aca="false">759238/100</f>
        <v>7592.38</v>
      </c>
      <c r="AC4969" s="28" t="n">
        <v>318880</v>
      </c>
      <c r="AD4969" s="28" t="n">
        <f aca="false">254167/100</f>
        <v>2541.67</v>
      </c>
      <c r="AE4969" s="28" t="n">
        <v>106750</v>
      </c>
      <c r="AF4969" s="28"/>
      <c r="AG4969" s="28" t="n">
        <f aca="false">AF4969*$M4969</f>
        <v>0</v>
      </c>
      <c r="AH4969" s="28"/>
      <c r="AI4969" s="28" t="n">
        <f aca="false">AH4969*$M4969</f>
        <v>0</v>
      </c>
      <c r="AJ4969" s="28"/>
      <c r="AK4969" s="28" t="n">
        <f aca="false">AJ4969*$M4969</f>
        <v>0</v>
      </c>
      <c r="AL4969" s="28" t="n">
        <f aca="false">73551/100</f>
        <v>735.51</v>
      </c>
      <c r="AM4969" s="28" t="n">
        <v>30891</v>
      </c>
      <c r="AN4969" s="28"/>
      <c r="AO4969" s="28" t="n">
        <f aca="false">AN4969*$M4969</f>
        <v>0</v>
      </c>
      <c r="AP4969" s="28" t="n">
        <f aca="false">45836/100</f>
        <v>458.36</v>
      </c>
      <c r="AQ4969" s="28" t="n">
        <v>19251</v>
      </c>
      <c r="AR4969" s="28"/>
      <c r="AS4969" s="28" t="n">
        <f aca="false">AR4969*$M4969</f>
        <v>0</v>
      </c>
      <c r="AT4969" s="28"/>
      <c r="AU4969" s="28" t="n">
        <f aca="false">AT4969*$M4969</f>
        <v>0</v>
      </c>
      <c r="AV4969" s="28" t="n">
        <f aca="false">566574/100</f>
        <v>5665.74</v>
      </c>
      <c r="AW4969" s="28" t="n">
        <v>237961</v>
      </c>
      <c r="AX4969" s="28"/>
      <c r="AY4969" s="28" t="n">
        <f aca="false">AX4969*$M4969</f>
        <v>0</v>
      </c>
      <c r="AZ4969" s="30" t="n">
        <f aca="false">3719097/100</f>
        <v>37190.97</v>
      </c>
      <c r="BA4969" s="11" t="n">
        <v>1562020</v>
      </c>
      <c r="BB4969" s="31" t="n">
        <f aca="false">SUM(Q4969,S4969,U4969,W4969,Y4969,AA4969,AC4969,AE4969,AG4969,AI4969,AK4969,AM4969,AO4969,AQ4969,AS4969,AU4969,AW4969,AY4969)</f>
        <v>1562020</v>
      </c>
      <c r="BC4969" s="28" t="n">
        <f aca="false">BA4969-BB4969</f>
        <v>0</v>
      </c>
      <c r="BD4969" s="32" t="n">
        <f aca="false">SUM(P4969,R4969,T4969,V4969,X4969,Z4969,AB4969,AD4969,AF4969,AH4969,AJ4969,AL4969,AN4969,AP4969,AR4969,AT4969,AV4969,AX4969)</f>
        <v>37190.97</v>
      </c>
      <c r="BE4969" s="33" t="n">
        <f aca="false">AZ4969-BD4969</f>
        <v>0</v>
      </c>
      <c r="BF4969" s="34" t="n">
        <f aca="false">BD4969*M4969</f>
        <v>1562020.74</v>
      </c>
      <c r="BG4969" s="35" t="n">
        <f aca="false">BA4969-BF4969</f>
        <v>-0.739999999990687</v>
      </c>
      <c r="BH4969" s="19" t="str">
        <f aca="false">IF(BG4969=0,"",IF(BG4969&lt;&gt;BA4969,"erreur de calcul",IF(BD4969&lt;&gt;0,"pas de prix",IF(M4969&lt;&gt; 0,"pas de quantité","pas de prix, ni de quantité"))))</f>
        <v>erreur de calcul</v>
      </c>
      <c r="BI4969" s="19"/>
    </row>
    <row r="4970" customFormat="false" ht="15" hidden="false" customHeight="false" outlineLevel="0" collapsed="false">
      <c r="A4970" s="0" t="n">
        <v>13</v>
      </c>
      <c r="B4970" s="8" t="s">
        <v>24</v>
      </c>
      <c r="C4970" s="9" t="s">
        <v>25</v>
      </c>
      <c r="D4970" s="9" t="s">
        <v>26</v>
      </c>
      <c r="E4970" s="10" t="n">
        <v>1789</v>
      </c>
      <c r="F4970" s="9" t="s">
        <v>27</v>
      </c>
      <c r="G4970" s="9" t="s">
        <v>27</v>
      </c>
      <c r="H4970" s="11" t="n">
        <v>20</v>
      </c>
      <c r="I4970" s="11" t="s">
        <v>129</v>
      </c>
      <c r="J4970" s="14" t="n">
        <v>75</v>
      </c>
      <c r="K4970" s="14"/>
      <c r="L4970" s="16"/>
      <c r="M4970" s="27" t="n">
        <f aca="false">J4970+(K4970/20)+(L4970/240)</f>
        <v>75</v>
      </c>
      <c r="N4970" s="17" t="s">
        <v>64</v>
      </c>
      <c r="O4970" s="11"/>
      <c r="P4970" s="28"/>
      <c r="Q4970" s="28" t="n">
        <f aca="false">P4970*$M4970</f>
        <v>0</v>
      </c>
      <c r="R4970" s="28"/>
      <c r="S4970" s="28" t="n">
        <f aca="false">R4970*$M4970</f>
        <v>0</v>
      </c>
      <c r="T4970" s="28"/>
      <c r="U4970" s="28" t="n">
        <f aca="false">T4970*$M4970</f>
        <v>0</v>
      </c>
      <c r="V4970" s="28" t="n">
        <f aca="false">3418/100</f>
        <v>34.18</v>
      </c>
      <c r="W4970" s="28" t="n">
        <v>2563</v>
      </c>
      <c r="X4970" s="28" t="n">
        <f aca="false">3755/100</f>
        <v>37.55</v>
      </c>
      <c r="Y4970" s="28" t="n">
        <v>2817</v>
      </c>
      <c r="Z4970" s="28"/>
      <c r="AA4970" s="28" t="n">
        <f aca="false">Z4970*$M4970</f>
        <v>0</v>
      </c>
      <c r="AB4970" s="28" t="n">
        <f aca="false">75529/100</f>
        <v>755.29</v>
      </c>
      <c r="AC4970" s="28" t="n">
        <v>56647</v>
      </c>
      <c r="AD4970" s="28"/>
      <c r="AE4970" s="28" t="n">
        <f aca="false">AD4970*$M4970</f>
        <v>0</v>
      </c>
      <c r="AF4970" s="28"/>
      <c r="AG4970" s="28" t="n">
        <f aca="false">AF4970*$M4970</f>
        <v>0</v>
      </c>
      <c r="AH4970" s="28"/>
      <c r="AI4970" s="28" t="n">
        <f aca="false">AH4970*$M4970</f>
        <v>0</v>
      </c>
      <c r="AJ4970" s="28"/>
      <c r="AK4970" s="28" t="n">
        <f aca="false">AJ4970*$M4970</f>
        <v>0</v>
      </c>
      <c r="AL4970" s="28"/>
      <c r="AM4970" s="28" t="n">
        <f aca="false">AL4970*$M4970</f>
        <v>0</v>
      </c>
      <c r="AN4970" s="28"/>
      <c r="AO4970" s="28" t="n">
        <f aca="false">AN4970*$M4970</f>
        <v>0</v>
      </c>
      <c r="AP4970" s="28"/>
      <c r="AQ4970" s="28" t="n">
        <f aca="false">AP4970*$M4970</f>
        <v>0</v>
      </c>
      <c r="AR4970" s="28"/>
      <c r="AS4970" s="28" t="n">
        <f aca="false">AR4970*$M4970</f>
        <v>0</v>
      </c>
      <c r="AT4970" s="28"/>
      <c r="AU4970" s="28" t="n">
        <f aca="false">AT4970*$M4970</f>
        <v>0</v>
      </c>
      <c r="AV4970" s="28"/>
      <c r="AW4970" s="28" t="n">
        <f aca="false">AV4970*$M4970</f>
        <v>0</v>
      </c>
      <c r="AX4970" s="28"/>
      <c r="AY4970" s="28" t="n">
        <f aca="false">AX4970*$M4970</f>
        <v>0</v>
      </c>
      <c r="AZ4970" s="30" t="n">
        <f aca="false">82702/100</f>
        <v>827.02</v>
      </c>
      <c r="BA4970" s="11" t="n">
        <v>62027</v>
      </c>
      <c r="BB4970" s="31" t="n">
        <f aca="false">SUM(Q4970,S4970,U4970,W4970,Y4970,AA4970,AC4970,AE4970,AG4970,AI4970,AK4970,AM4970,AO4970,AQ4970,AS4970,AU4970,AW4970,AY4970)</f>
        <v>62027</v>
      </c>
      <c r="BC4970" s="28" t="n">
        <f aca="false">BA4970-BB4970</f>
        <v>0</v>
      </c>
      <c r="BD4970" s="32" t="n">
        <f aca="false">SUM(P4970,R4970,T4970,V4970,X4970,Z4970,AB4970,AD4970,AF4970,AH4970,AJ4970,AL4970,AN4970,AP4970,AR4970,AT4970,AV4970,AX4970)</f>
        <v>827.02</v>
      </c>
      <c r="BE4970" s="33" t="n">
        <f aca="false">AZ4970-BD4970</f>
        <v>0</v>
      </c>
      <c r="BF4970" s="34" t="n">
        <f aca="false">BD4970*M4970</f>
        <v>62026.5</v>
      </c>
      <c r="BG4970" s="35" t="n">
        <f aca="false">BA4970-BF4970</f>
        <v>0.500000000007276</v>
      </c>
      <c r="BH4970" s="19" t="str">
        <f aca="false">IF(BG4970=0,"",IF(BG4970&lt;&gt;BA4970,"erreur de calcul",IF(BD4970&lt;&gt;0,"pas de prix",IF(M4970&lt;&gt; 0,"pas de quantité","pas de prix, ni de quantité"))))</f>
        <v>erreur de calcul</v>
      </c>
      <c r="BI4970" s="19"/>
    </row>
    <row r="4971" customFormat="false" ht="15" hidden="false" customHeight="false" outlineLevel="0" collapsed="false">
      <c r="A4971" s="0" t="n">
        <v>14</v>
      </c>
      <c r="B4971" s="8" t="s">
        <v>24</v>
      </c>
      <c r="C4971" s="9" t="s">
        <v>25</v>
      </c>
      <c r="D4971" s="9" t="s">
        <v>26</v>
      </c>
      <c r="E4971" s="10" t="n">
        <v>1789</v>
      </c>
      <c r="F4971" s="9" t="s">
        <v>27</v>
      </c>
      <c r="G4971" s="9" t="s">
        <v>27</v>
      </c>
      <c r="H4971" s="11" t="n">
        <v>20</v>
      </c>
      <c r="I4971" s="11" t="s">
        <v>130</v>
      </c>
      <c r="J4971" s="14" t="n">
        <v>170</v>
      </c>
      <c r="K4971" s="14"/>
      <c r="L4971" s="16"/>
      <c r="M4971" s="27" t="n">
        <f aca="false">J4971+(K4971/20)+(L4971/240)</f>
        <v>170</v>
      </c>
      <c r="N4971" s="17" t="s">
        <v>64</v>
      </c>
      <c r="O4971" s="11"/>
      <c r="P4971" s="28"/>
      <c r="Q4971" s="28" t="n">
        <f aca="false">P4971*$M4971</f>
        <v>0</v>
      </c>
      <c r="R4971" s="28"/>
      <c r="S4971" s="28" t="n">
        <f aca="false">R4971*$M4971</f>
        <v>0</v>
      </c>
      <c r="T4971" s="28" t="n">
        <f aca="false">488/100</f>
        <v>4.88</v>
      </c>
      <c r="U4971" s="28" t="n">
        <v>830</v>
      </c>
      <c r="V4971" s="28"/>
      <c r="W4971" s="28" t="n">
        <f aca="false">V4971*$M4971</f>
        <v>0</v>
      </c>
      <c r="X4971" s="28" t="n">
        <f aca="false">8480/100</f>
        <v>84.8</v>
      </c>
      <c r="Y4971" s="28" t="n">
        <v>14416</v>
      </c>
      <c r="Z4971" s="28"/>
      <c r="AA4971" s="28" t="n">
        <f aca="false">Z4971*$M4971</f>
        <v>0</v>
      </c>
      <c r="AB4971" s="28" t="n">
        <f aca="false">291/100</f>
        <v>2.91</v>
      </c>
      <c r="AC4971" s="28" t="n">
        <v>495</v>
      </c>
      <c r="AD4971" s="28"/>
      <c r="AE4971" s="28" t="n">
        <f aca="false">AD4971*$M4971</f>
        <v>0</v>
      </c>
      <c r="AF4971" s="28"/>
      <c r="AG4971" s="28" t="n">
        <f aca="false">AF4971*$M4971</f>
        <v>0</v>
      </c>
      <c r="AH4971" s="28"/>
      <c r="AI4971" s="28" t="n">
        <f aca="false">AH4971*$M4971</f>
        <v>0</v>
      </c>
      <c r="AJ4971" s="28"/>
      <c r="AK4971" s="28" t="n">
        <f aca="false">AJ4971*$M4971</f>
        <v>0</v>
      </c>
      <c r="AL4971" s="28"/>
      <c r="AM4971" s="28" t="n">
        <f aca="false">AL4971*$M4971</f>
        <v>0</v>
      </c>
      <c r="AN4971" s="28"/>
      <c r="AO4971" s="28" t="n">
        <f aca="false">AN4971*$M4971</f>
        <v>0</v>
      </c>
      <c r="AP4971" s="28"/>
      <c r="AQ4971" s="28" t="n">
        <f aca="false">AP4971*$M4971</f>
        <v>0</v>
      </c>
      <c r="AR4971" s="28"/>
      <c r="AS4971" s="28" t="n">
        <f aca="false">AR4971*$M4971</f>
        <v>0</v>
      </c>
      <c r="AT4971" s="28"/>
      <c r="AU4971" s="28" t="n">
        <f aca="false">AT4971*$M4971</f>
        <v>0</v>
      </c>
      <c r="AV4971" s="28"/>
      <c r="AW4971" s="28" t="n">
        <f aca="false">AV4971*$M4971</f>
        <v>0</v>
      </c>
      <c r="AX4971" s="28"/>
      <c r="AY4971" s="28" t="n">
        <f aca="false">AX4971*$M4971</f>
        <v>0</v>
      </c>
      <c r="AZ4971" s="30" t="n">
        <f aca="false">9259/100</f>
        <v>92.59</v>
      </c>
      <c r="BA4971" s="11" t="n">
        <v>15741</v>
      </c>
      <c r="BB4971" s="31" t="n">
        <f aca="false">SUM(Q4971,S4971,U4971,W4971,Y4971,AA4971,AC4971,AE4971,AG4971,AI4971,AK4971,AM4971,AO4971,AQ4971,AS4971,AU4971,AW4971,AY4971)</f>
        <v>15741</v>
      </c>
      <c r="BC4971" s="28" t="n">
        <f aca="false">BA4971-BB4971</f>
        <v>0</v>
      </c>
      <c r="BD4971" s="32" t="n">
        <f aca="false">SUM(P4971,R4971,T4971,V4971,X4971,Z4971,AB4971,AD4971,AF4971,AH4971,AJ4971,AL4971,AN4971,AP4971,AR4971,AT4971,AV4971,AX4971)</f>
        <v>92.59</v>
      </c>
      <c r="BE4971" s="33" t="n">
        <f aca="false">AZ4971-BD4971</f>
        <v>0</v>
      </c>
      <c r="BF4971" s="34" t="n">
        <f aca="false">BD4971*M4971</f>
        <v>15740.3</v>
      </c>
      <c r="BG4971" s="35" t="n">
        <f aca="false">BA4971-BF4971</f>
        <v>0.700000000002547</v>
      </c>
      <c r="BH4971" s="19" t="str">
        <f aca="false">IF(BG4971=0,"",IF(BG4971&lt;&gt;BA4971,"erreur de calcul",IF(BD4971&lt;&gt;0,"pas de prix",IF(M4971&lt;&gt; 0,"pas de quantité","pas de prix, ni de quantité"))))</f>
        <v>erreur de calcul</v>
      </c>
      <c r="BI4971" s="19"/>
    </row>
    <row r="4972" customFormat="false" ht="15" hidden="false" customHeight="false" outlineLevel="0" collapsed="false">
      <c r="A4972" s="0" t="n">
        <v>15</v>
      </c>
      <c r="B4972" s="8" t="s">
        <v>24</v>
      </c>
      <c r="C4972" s="9" t="s">
        <v>25</v>
      </c>
      <c r="D4972" s="9" t="s">
        <v>26</v>
      </c>
      <c r="E4972" s="10" t="n">
        <v>1789</v>
      </c>
      <c r="F4972" s="9" t="s">
        <v>27</v>
      </c>
      <c r="G4972" s="9" t="s">
        <v>27</v>
      </c>
      <c r="H4972" s="11" t="n">
        <v>20</v>
      </c>
      <c r="I4972" s="11" t="s">
        <v>131</v>
      </c>
      <c r="J4972" s="14"/>
      <c r="K4972" s="14" t="n">
        <v>55</v>
      </c>
      <c r="L4972" s="16"/>
      <c r="M4972" s="27" t="n">
        <f aca="false">J4972+(K4972/20)+(L4972/240)</f>
        <v>2.75</v>
      </c>
      <c r="N4972" s="17" t="s">
        <v>64</v>
      </c>
      <c r="O4972" s="11"/>
      <c r="P4972" s="28"/>
      <c r="Q4972" s="28" t="n">
        <f aca="false">P4972*$M4972</f>
        <v>0</v>
      </c>
      <c r="R4972" s="28"/>
      <c r="S4972" s="28" t="n">
        <f aca="false">R4972*$M4972</f>
        <v>0</v>
      </c>
      <c r="T4972" s="28"/>
      <c r="U4972" s="28" t="n">
        <f aca="false">T4972*$M4972</f>
        <v>0</v>
      </c>
      <c r="V4972" s="28"/>
      <c r="W4972" s="28" t="n">
        <f aca="false">V4972*$M4972</f>
        <v>0</v>
      </c>
      <c r="X4972" s="28" t="n">
        <f aca="false">3875617/100</f>
        <v>38756.17</v>
      </c>
      <c r="Y4972" s="28" t="n">
        <v>106579</v>
      </c>
      <c r="Z4972" s="28" t="n">
        <f aca="false">62500/100</f>
        <v>625</v>
      </c>
      <c r="AA4972" s="28" t="n">
        <v>1719</v>
      </c>
      <c r="AB4972" s="28" t="n">
        <f aca="false">360000/100</f>
        <v>3600</v>
      </c>
      <c r="AC4972" s="28" t="n">
        <v>9900</v>
      </c>
      <c r="AD4972" s="28"/>
      <c r="AE4972" s="28" t="n">
        <f aca="false">AD4972*$M4972</f>
        <v>0</v>
      </c>
      <c r="AF4972" s="28"/>
      <c r="AG4972" s="28" t="n">
        <f aca="false">AF4972*$M4972</f>
        <v>0</v>
      </c>
      <c r="AH4972" s="28"/>
      <c r="AI4972" s="28" t="n">
        <f aca="false">AH4972*$M4972</f>
        <v>0</v>
      </c>
      <c r="AJ4972" s="28"/>
      <c r="AK4972" s="28" t="n">
        <f aca="false">AJ4972*$M4972</f>
        <v>0</v>
      </c>
      <c r="AL4972" s="28"/>
      <c r="AM4972" s="28" t="n">
        <f aca="false">AL4972*$M4972</f>
        <v>0</v>
      </c>
      <c r="AN4972" s="28"/>
      <c r="AO4972" s="28" t="n">
        <f aca="false">AN4972*$M4972</f>
        <v>0</v>
      </c>
      <c r="AP4972" s="28"/>
      <c r="AQ4972" s="28" t="n">
        <f aca="false">AP4972*$M4972</f>
        <v>0</v>
      </c>
      <c r="AR4972" s="28"/>
      <c r="AS4972" s="28" t="n">
        <f aca="false">AR4972*$M4972</f>
        <v>0</v>
      </c>
      <c r="AT4972" s="28"/>
      <c r="AU4972" s="28" t="n">
        <f aca="false">AT4972*$M4972</f>
        <v>0</v>
      </c>
      <c r="AV4972" s="28"/>
      <c r="AW4972" s="28" t="n">
        <f aca="false">AV4972*$M4972</f>
        <v>0</v>
      </c>
      <c r="AX4972" s="28"/>
      <c r="AY4972" s="28" t="n">
        <f aca="false">AX4972*$M4972</f>
        <v>0</v>
      </c>
      <c r="AZ4972" s="30" t="n">
        <f aca="false">4298117/100</f>
        <v>42981.17</v>
      </c>
      <c r="BA4972" s="11" t="n">
        <v>118198</v>
      </c>
      <c r="BB4972" s="31" t="n">
        <f aca="false">SUM(Q4972,S4972,U4972,W4972,Y4972,AA4972,AC4972,AE4972,AG4972,AI4972,AK4972,AM4972,AO4972,AQ4972,AS4972,AU4972,AW4972,AY4972)</f>
        <v>118198</v>
      </c>
      <c r="BC4972" s="28" t="n">
        <f aca="false">BA4972-BB4972</f>
        <v>0</v>
      </c>
      <c r="BD4972" s="32" t="n">
        <f aca="false">SUM(P4972,R4972,T4972,V4972,X4972,Z4972,AB4972,AD4972,AF4972,AH4972,AJ4972,AL4972,AN4972,AP4972,AR4972,AT4972,AV4972,AX4972)</f>
        <v>42981.17</v>
      </c>
      <c r="BE4972" s="33" t="n">
        <f aca="false">AZ4972-BD4972</f>
        <v>0</v>
      </c>
      <c r="BF4972" s="34" t="n">
        <f aca="false">BD4972*M4972</f>
        <v>118198.2175</v>
      </c>
      <c r="BG4972" s="35" t="n">
        <f aca="false">BA4972-BF4972</f>
        <v>-0.217499999998836</v>
      </c>
      <c r="BH4972" s="19" t="str">
        <f aca="false">IF(BG4972=0,"",IF(BG4972&lt;&gt;BA4972,"erreur de calcul",IF(BD4972&lt;&gt;0,"pas de prix",IF(M4972&lt;&gt; 0,"pas de quantité","pas de prix, ni de quantité"))))</f>
        <v>erreur de calcul</v>
      </c>
      <c r="BI4972" s="19"/>
    </row>
    <row r="4973" customFormat="false" ht="15" hidden="false" customHeight="false" outlineLevel="0" collapsed="false">
      <c r="A4973" s="0" t="n">
        <v>16</v>
      </c>
      <c r="B4973" s="8" t="s">
        <v>24</v>
      </c>
      <c r="C4973" s="9" t="s">
        <v>25</v>
      </c>
      <c r="D4973" s="9" t="s">
        <v>26</v>
      </c>
      <c r="E4973" s="10" t="n">
        <v>1789</v>
      </c>
      <c r="F4973" s="9" t="s">
        <v>27</v>
      </c>
      <c r="G4973" s="9" t="s">
        <v>27</v>
      </c>
      <c r="H4973" s="11" t="n">
        <v>20</v>
      </c>
      <c r="I4973" s="11" t="s">
        <v>132</v>
      </c>
      <c r="J4973" s="14"/>
      <c r="K4973" s="14" t="n">
        <v>50</v>
      </c>
      <c r="L4973" s="16"/>
      <c r="M4973" s="27" t="n">
        <f aca="false">J4973+(K4973/20)+(L4973/240)</f>
        <v>2.5</v>
      </c>
      <c r="N4973" s="17" t="s">
        <v>64</v>
      </c>
      <c r="O4973" s="11"/>
      <c r="P4973" s="28"/>
      <c r="Q4973" s="28" t="n">
        <f aca="false">P4973*$M4973</f>
        <v>0</v>
      </c>
      <c r="R4973" s="28"/>
      <c r="S4973" s="28" t="n">
        <f aca="false">R4973*$M4973</f>
        <v>0</v>
      </c>
      <c r="T4973" s="28"/>
      <c r="U4973" s="28" t="n">
        <f aca="false">T4973*$M4973</f>
        <v>0</v>
      </c>
      <c r="V4973" s="28" t="n">
        <f aca="false">25000/100</f>
        <v>250</v>
      </c>
      <c r="W4973" s="28" t="n">
        <v>625</v>
      </c>
      <c r="X4973" s="28" t="n">
        <f aca="false">9335/100</f>
        <v>93.35</v>
      </c>
      <c r="Y4973" s="28" t="n">
        <v>233</v>
      </c>
      <c r="Z4973" s="28"/>
      <c r="AA4973" s="28" t="n">
        <f aca="false">Z4973*$M4973</f>
        <v>0</v>
      </c>
      <c r="AB4973" s="28"/>
      <c r="AC4973" s="28" t="n">
        <f aca="false">AB4973*$M4973</f>
        <v>0</v>
      </c>
      <c r="AD4973" s="28"/>
      <c r="AE4973" s="28" t="n">
        <f aca="false">AD4973*$M4973</f>
        <v>0</v>
      </c>
      <c r="AF4973" s="28"/>
      <c r="AG4973" s="28" t="n">
        <f aca="false">AF4973*$M4973</f>
        <v>0</v>
      </c>
      <c r="AH4973" s="28"/>
      <c r="AI4973" s="28" t="n">
        <f aca="false">AH4973*$M4973</f>
        <v>0</v>
      </c>
      <c r="AJ4973" s="28"/>
      <c r="AK4973" s="28" t="n">
        <f aca="false">AJ4973*$M4973</f>
        <v>0</v>
      </c>
      <c r="AL4973" s="28"/>
      <c r="AM4973" s="28" t="n">
        <f aca="false">AL4973*$M4973</f>
        <v>0</v>
      </c>
      <c r="AN4973" s="28"/>
      <c r="AO4973" s="28" t="n">
        <f aca="false">AN4973*$M4973</f>
        <v>0</v>
      </c>
      <c r="AP4973" s="28"/>
      <c r="AQ4973" s="28" t="n">
        <f aca="false">AP4973*$M4973</f>
        <v>0</v>
      </c>
      <c r="AR4973" s="28"/>
      <c r="AS4973" s="28" t="n">
        <f aca="false">AR4973*$M4973</f>
        <v>0</v>
      </c>
      <c r="AT4973" s="28"/>
      <c r="AU4973" s="28" t="n">
        <f aca="false">AT4973*$M4973</f>
        <v>0</v>
      </c>
      <c r="AV4973" s="28"/>
      <c r="AW4973" s="28" t="n">
        <f aca="false">AV4973*$M4973</f>
        <v>0</v>
      </c>
      <c r="AX4973" s="28"/>
      <c r="AY4973" s="28" t="n">
        <f aca="false">AX4973*$M4973</f>
        <v>0</v>
      </c>
      <c r="AZ4973" s="30" t="n">
        <f aca="false">34335/100</f>
        <v>343.35</v>
      </c>
      <c r="BA4973" s="11" t="n">
        <v>858</v>
      </c>
      <c r="BB4973" s="31" t="n">
        <f aca="false">SUM(Q4973,S4973,U4973,W4973,Y4973,AA4973,AC4973,AE4973,AG4973,AI4973,AK4973,AM4973,AO4973,AQ4973,AS4973,AU4973,AW4973,AY4973)</f>
        <v>858</v>
      </c>
      <c r="BC4973" s="28" t="n">
        <f aca="false">BA4973-BB4973</f>
        <v>0</v>
      </c>
      <c r="BD4973" s="32" t="n">
        <f aca="false">SUM(P4973,R4973,T4973,V4973,X4973,Z4973,AB4973,AD4973,AF4973,AH4973,AJ4973,AL4973,AN4973,AP4973,AR4973,AT4973,AV4973,AX4973)</f>
        <v>343.35</v>
      </c>
      <c r="BE4973" s="33" t="n">
        <f aca="false">AZ4973-BD4973</f>
        <v>0</v>
      </c>
      <c r="BF4973" s="34" t="n">
        <f aca="false">BD4973*M4973</f>
        <v>858.375</v>
      </c>
      <c r="BG4973" s="35" t="n">
        <f aca="false">BA4973-BF4973</f>
        <v>-0.375</v>
      </c>
      <c r="BH4973" s="19" t="str">
        <f aca="false">IF(BG4973=0,"",IF(BG4973&lt;&gt;BA4973,"erreur de calcul",IF(BD4973&lt;&gt;0,"pas de prix",IF(M4973&lt;&gt; 0,"pas de quantité","pas de prix, ni de quantité"))))</f>
        <v>erreur de calcul</v>
      </c>
      <c r="BI4973" s="19"/>
    </row>
    <row r="4974" customFormat="false" ht="15" hidden="false" customHeight="false" outlineLevel="0" collapsed="false">
      <c r="A4974" s="0" t="n">
        <v>17</v>
      </c>
      <c r="B4974" s="8" t="s">
        <v>24</v>
      </c>
      <c r="C4974" s="9" t="s">
        <v>25</v>
      </c>
      <c r="D4974" s="9" t="s">
        <v>26</v>
      </c>
      <c r="E4974" s="10" t="n">
        <v>1789</v>
      </c>
      <c r="F4974" s="9" t="s">
        <v>27</v>
      </c>
      <c r="G4974" s="9" t="s">
        <v>27</v>
      </c>
      <c r="H4974" s="11" t="n">
        <v>20</v>
      </c>
      <c r="I4974" s="11" t="s">
        <v>133</v>
      </c>
      <c r="J4974" s="14" t="n">
        <v>175</v>
      </c>
      <c r="K4974" s="14"/>
      <c r="L4974" s="16"/>
      <c r="M4974" s="27" t="n">
        <f aca="false">J4974+(K4974/20)+(L4974/240)</f>
        <v>175</v>
      </c>
      <c r="N4974" s="17" t="s">
        <v>64</v>
      </c>
      <c r="O4974" s="11"/>
      <c r="P4974" s="28" t="n">
        <f aca="false">84/100</f>
        <v>0.84</v>
      </c>
      <c r="Q4974" s="28" t="n">
        <v>147</v>
      </c>
      <c r="R4974" s="28"/>
      <c r="S4974" s="28" t="n">
        <f aca="false">R4974*$M4974</f>
        <v>0</v>
      </c>
      <c r="T4974" s="28"/>
      <c r="U4974" s="28" t="n">
        <f aca="false">T4974*$M4974</f>
        <v>0</v>
      </c>
      <c r="V4974" s="28" t="n">
        <f aca="false">124/100</f>
        <v>1.24</v>
      </c>
      <c r="W4974" s="28" t="n">
        <v>217</v>
      </c>
      <c r="X4974" s="28" t="n">
        <f aca="false">6034/100</f>
        <v>60.34</v>
      </c>
      <c r="Y4974" s="28" t="n">
        <v>10559</v>
      </c>
      <c r="Z4974" s="28" t="n">
        <f aca="false">147/100</f>
        <v>1.47</v>
      </c>
      <c r="AA4974" s="28" t="n">
        <v>257</v>
      </c>
      <c r="AB4974" s="28" t="n">
        <f aca="false">195/100</f>
        <v>1.95</v>
      </c>
      <c r="AC4974" s="28" t="n">
        <v>341</v>
      </c>
      <c r="AD4974" s="28"/>
      <c r="AE4974" s="28" t="n">
        <f aca="false">AD4974*$M4974</f>
        <v>0</v>
      </c>
      <c r="AF4974" s="28"/>
      <c r="AG4974" s="28" t="n">
        <f aca="false">AF4974*$M4974</f>
        <v>0</v>
      </c>
      <c r="AH4974" s="28"/>
      <c r="AI4974" s="28" t="n">
        <f aca="false">AH4974*$M4974</f>
        <v>0</v>
      </c>
      <c r="AJ4974" s="28"/>
      <c r="AK4974" s="28" t="n">
        <f aca="false">AJ4974*$M4974</f>
        <v>0</v>
      </c>
      <c r="AL4974" s="28"/>
      <c r="AM4974" s="28" t="n">
        <f aca="false">AL4974*$M4974</f>
        <v>0</v>
      </c>
      <c r="AN4974" s="28"/>
      <c r="AO4974" s="28" t="n">
        <f aca="false">AN4974*$M4974</f>
        <v>0</v>
      </c>
      <c r="AP4974" s="28"/>
      <c r="AQ4974" s="28" t="n">
        <f aca="false">AP4974*$M4974</f>
        <v>0</v>
      </c>
      <c r="AR4974" s="28"/>
      <c r="AS4974" s="28" t="n">
        <f aca="false">AR4974*$M4974</f>
        <v>0</v>
      </c>
      <c r="AT4974" s="28"/>
      <c r="AU4974" s="28" t="n">
        <f aca="false">AT4974*$M4974</f>
        <v>0</v>
      </c>
      <c r="AV4974" s="28"/>
      <c r="AW4974" s="28" t="n">
        <f aca="false">AV4974*$M4974</f>
        <v>0</v>
      </c>
      <c r="AX4974" s="28"/>
      <c r="AY4974" s="28" t="n">
        <f aca="false">AX4974*$M4974</f>
        <v>0</v>
      </c>
      <c r="AZ4974" s="30" t="n">
        <f aca="false">6584/100</f>
        <v>65.84</v>
      </c>
      <c r="BA4974" s="11" t="n">
        <v>11521</v>
      </c>
      <c r="BB4974" s="31" t="n">
        <f aca="false">SUM(Q4974,S4974,U4974,W4974,Y4974,AA4974,AC4974,AE4974,AG4974,AI4974,AK4974,AM4974,AO4974,AQ4974,AS4974,AU4974,AW4974,AY4974)</f>
        <v>11521</v>
      </c>
      <c r="BC4974" s="28" t="n">
        <f aca="false">BA4974-BB4974</f>
        <v>0</v>
      </c>
      <c r="BD4974" s="32" t="n">
        <f aca="false">SUM(P4974,R4974,T4974,V4974,X4974,Z4974,AB4974,AD4974,AF4974,AH4974,AJ4974,AL4974,AN4974,AP4974,AR4974,AT4974,AV4974,AX4974)</f>
        <v>65.84</v>
      </c>
      <c r="BE4974" s="33" t="n">
        <f aca="false">AZ4974-BD4974</f>
        <v>0</v>
      </c>
      <c r="BF4974" s="34" t="n">
        <f aca="false">BD4974*M4974</f>
        <v>11522</v>
      </c>
      <c r="BG4974" s="35" t="n">
        <f aca="false">BA4974-BF4974</f>
        <v>-1</v>
      </c>
      <c r="BH4974" s="19" t="str">
        <f aca="false">IF(BG4974=0,"",IF(BG4974&lt;&gt;BA4974,"erreur de calcul",IF(BD4974&lt;&gt;0,"pas de prix",IF(M4974&lt;&gt; 0,"pas de quantité","pas de prix, ni de quantité"))))</f>
        <v>erreur de calcul</v>
      </c>
      <c r="BI4974" s="19"/>
    </row>
    <row r="4975" customFormat="false" ht="15" hidden="false" customHeight="false" outlineLevel="0" collapsed="false">
      <c r="A4975" s="0" t="n">
        <v>18</v>
      </c>
      <c r="B4975" s="8" t="s">
        <v>24</v>
      </c>
      <c r="C4975" s="9" t="s">
        <v>25</v>
      </c>
      <c r="D4975" s="9" t="s">
        <v>26</v>
      </c>
      <c r="E4975" s="10" t="n">
        <v>1789</v>
      </c>
      <c r="F4975" s="9" t="s">
        <v>27</v>
      </c>
      <c r="G4975" s="9" t="s">
        <v>27</v>
      </c>
      <c r="H4975" s="11" t="n">
        <v>20</v>
      </c>
      <c r="I4975" s="11" t="s">
        <v>134</v>
      </c>
      <c r="J4975" s="14" t="n">
        <v>210</v>
      </c>
      <c r="K4975" s="14"/>
      <c r="L4975" s="16"/>
      <c r="M4975" s="27" t="n">
        <f aca="false">J4975+(K4975/20)+(L4975/240)</f>
        <v>210</v>
      </c>
      <c r="N4975" s="17" t="s">
        <v>64</v>
      </c>
      <c r="O4975" s="11"/>
      <c r="P4975" s="28"/>
      <c r="Q4975" s="28" t="n">
        <f aca="false">P4975*$M4975</f>
        <v>0</v>
      </c>
      <c r="R4975" s="28"/>
      <c r="S4975" s="28" t="n">
        <f aca="false">R4975*$M4975</f>
        <v>0</v>
      </c>
      <c r="T4975" s="28"/>
      <c r="U4975" s="28" t="n">
        <f aca="false">T4975*$M4975</f>
        <v>0</v>
      </c>
      <c r="V4975" s="28" t="n">
        <f aca="false">869/100</f>
        <v>8.69</v>
      </c>
      <c r="W4975" s="28" t="n">
        <v>1825</v>
      </c>
      <c r="X4975" s="28"/>
      <c r="Y4975" s="28" t="n">
        <f aca="false">X4975*$M4975</f>
        <v>0</v>
      </c>
      <c r="Z4975" s="28"/>
      <c r="AA4975" s="28" t="n">
        <f aca="false">Z4975*$M4975</f>
        <v>0</v>
      </c>
      <c r="AB4975" s="28"/>
      <c r="AC4975" s="28" t="n">
        <f aca="false">AB4975*$M4975</f>
        <v>0</v>
      </c>
      <c r="AD4975" s="28"/>
      <c r="AE4975" s="28" t="n">
        <f aca="false">AD4975*$M4975</f>
        <v>0</v>
      </c>
      <c r="AF4975" s="28"/>
      <c r="AG4975" s="28" t="n">
        <f aca="false">AF4975*$M4975</f>
        <v>0</v>
      </c>
      <c r="AH4975" s="28"/>
      <c r="AI4975" s="28" t="n">
        <f aca="false">AH4975*$M4975</f>
        <v>0</v>
      </c>
      <c r="AJ4975" s="28"/>
      <c r="AK4975" s="28" t="n">
        <f aca="false">AJ4975*$M4975</f>
        <v>0</v>
      </c>
      <c r="AL4975" s="28"/>
      <c r="AM4975" s="28" t="n">
        <f aca="false">AL4975*$M4975</f>
        <v>0</v>
      </c>
      <c r="AN4975" s="28"/>
      <c r="AO4975" s="28" t="n">
        <f aca="false">AN4975*$M4975</f>
        <v>0</v>
      </c>
      <c r="AP4975" s="28"/>
      <c r="AQ4975" s="28" t="n">
        <f aca="false">AP4975*$M4975</f>
        <v>0</v>
      </c>
      <c r="AR4975" s="28"/>
      <c r="AS4975" s="28" t="n">
        <f aca="false">AR4975*$M4975</f>
        <v>0</v>
      </c>
      <c r="AT4975" s="28"/>
      <c r="AU4975" s="28" t="n">
        <f aca="false">AT4975*$M4975</f>
        <v>0</v>
      </c>
      <c r="AV4975" s="28"/>
      <c r="AW4975" s="28" t="n">
        <f aca="false">AV4975*$M4975</f>
        <v>0</v>
      </c>
      <c r="AX4975" s="28"/>
      <c r="AY4975" s="28" t="n">
        <f aca="false">AX4975*$M4975</f>
        <v>0</v>
      </c>
      <c r="AZ4975" s="30" t="n">
        <f aca="false">869/100</f>
        <v>8.69</v>
      </c>
      <c r="BA4975" s="11" t="n">
        <v>1825</v>
      </c>
      <c r="BB4975" s="31" t="n">
        <f aca="false">SUM(Q4975,S4975,U4975,W4975,Y4975,AA4975,AC4975,AE4975,AG4975,AI4975,AK4975,AM4975,AO4975,AQ4975,AS4975,AU4975,AW4975,AY4975)</f>
        <v>1825</v>
      </c>
      <c r="BC4975" s="28" t="n">
        <f aca="false">BA4975-BB4975</f>
        <v>0</v>
      </c>
      <c r="BD4975" s="32" t="n">
        <f aca="false">SUM(P4975,R4975,T4975,V4975,X4975,Z4975,AB4975,AD4975,AF4975,AH4975,AJ4975,AL4975,AN4975,AP4975,AR4975,AT4975,AV4975,AX4975)</f>
        <v>8.69</v>
      </c>
      <c r="BE4975" s="33" t="n">
        <f aca="false">AZ4975-BD4975</f>
        <v>0</v>
      </c>
      <c r="BF4975" s="34" t="n">
        <f aca="false">BD4975*M4975</f>
        <v>1824.9</v>
      </c>
      <c r="BG4975" s="35" t="n">
        <f aca="false">BA4975-BF4975</f>
        <v>0.100000000000136</v>
      </c>
      <c r="BH4975" s="19" t="str">
        <f aca="false">IF(BG4975=0,"",IF(BG4975&lt;&gt;BA4975,"erreur de calcul",IF(BD4975&lt;&gt;0,"pas de prix",IF(M4975&lt;&gt; 0,"pas de quantité","pas de prix, ni de quantité"))))</f>
        <v>erreur de calcul</v>
      </c>
      <c r="BI4975" s="19"/>
    </row>
    <row r="4976" customFormat="false" ht="15" hidden="false" customHeight="false" outlineLevel="0" collapsed="false">
      <c r="A4976" s="0" t="n">
        <v>19</v>
      </c>
      <c r="B4976" s="8" t="s">
        <v>24</v>
      </c>
      <c r="C4976" s="9" t="s">
        <v>25</v>
      </c>
      <c r="D4976" s="9" t="s">
        <v>26</v>
      </c>
      <c r="E4976" s="10" t="n">
        <v>1789</v>
      </c>
      <c r="F4976" s="9" t="s">
        <v>27</v>
      </c>
      <c r="G4976" s="9" t="s">
        <v>27</v>
      </c>
      <c r="H4976" s="11" t="n">
        <v>20</v>
      </c>
      <c r="I4976" s="11" t="s">
        <v>135</v>
      </c>
      <c r="J4976" s="14" t="n">
        <v>170</v>
      </c>
      <c r="K4976" s="14"/>
      <c r="L4976" s="16"/>
      <c r="M4976" s="27" t="n">
        <f aca="false">J4976+(K4976/20)+(L4976/240)</f>
        <v>170</v>
      </c>
      <c r="N4976" s="17" t="s">
        <v>64</v>
      </c>
      <c r="O4976" s="11" t="s">
        <v>77</v>
      </c>
      <c r="P4976" s="28"/>
      <c r="Q4976" s="28" t="n">
        <f aca="false">P4976*$M4976</f>
        <v>0</v>
      </c>
      <c r="R4976" s="28"/>
      <c r="S4976" s="28" t="n">
        <f aca="false">R4976*$M4976</f>
        <v>0</v>
      </c>
      <c r="T4976" s="28"/>
      <c r="U4976" s="28" t="n">
        <f aca="false">T4976*$M4976</f>
        <v>0</v>
      </c>
      <c r="V4976" s="28"/>
      <c r="W4976" s="28" t="n">
        <f aca="false">V4976*$M4976</f>
        <v>0</v>
      </c>
      <c r="X4976" s="28"/>
      <c r="Y4976" s="28" t="n">
        <f aca="false">X4976*$M4976</f>
        <v>0</v>
      </c>
      <c r="Z4976" s="28"/>
      <c r="AA4976" s="28" t="n">
        <f aca="false">Z4976*$M4976</f>
        <v>0</v>
      </c>
      <c r="AB4976" s="28"/>
      <c r="AC4976" s="28" t="n">
        <f aca="false">AB4976*$M4976</f>
        <v>0</v>
      </c>
      <c r="AD4976" s="28"/>
      <c r="AE4976" s="28" t="n">
        <f aca="false">AD4976*$M4976</f>
        <v>0</v>
      </c>
      <c r="AF4976" s="28" t="n">
        <f aca="false">229459/100</f>
        <v>2294.59</v>
      </c>
      <c r="AG4976" s="28" t="n">
        <v>390080</v>
      </c>
      <c r="AH4976" s="28" t="n">
        <f aca="false">202301/100</f>
        <v>2023.01</v>
      </c>
      <c r="AI4976" s="28" t="n">
        <v>343912</v>
      </c>
      <c r="AJ4976" s="28"/>
      <c r="AK4976" s="28" t="n">
        <f aca="false">AJ4976*$M4976</f>
        <v>0</v>
      </c>
      <c r="AL4976" s="28"/>
      <c r="AM4976" s="28" t="n">
        <f aca="false">AL4976*$M4976</f>
        <v>0</v>
      </c>
      <c r="AN4976" s="28"/>
      <c r="AO4976" s="28" t="n">
        <f aca="false">AN4976*$M4976</f>
        <v>0</v>
      </c>
      <c r="AP4976" s="28"/>
      <c r="AQ4976" s="28" t="n">
        <f aca="false">AP4976*$M4976</f>
        <v>0</v>
      </c>
      <c r="AR4976" s="28"/>
      <c r="AS4976" s="28" t="n">
        <f aca="false">AR4976*$M4976</f>
        <v>0</v>
      </c>
      <c r="AT4976" s="28"/>
      <c r="AU4976" s="28" t="n">
        <f aca="false">AT4976*$M4976</f>
        <v>0</v>
      </c>
      <c r="AV4976" s="28"/>
      <c r="AW4976" s="28" t="n">
        <f aca="false">AV4976*$M4976</f>
        <v>0</v>
      </c>
      <c r="AX4976" s="28" t="n">
        <f aca="false">2736/100</f>
        <v>27.36</v>
      </c>
      <c r="AY4976" s="28" t="n">
        <v>4651</v>
      </c>
      <c r="AZ4976" s="30" t="n">
        <f aca="false">434496/100</f>
        <v>4344.96</v>
      </c>
      <c r="BA4976" s="11" t="n">
        <v>738643</v>
      </c>
      <c r="BB4976" s="31" t="n">
        <f aca="false">SUM(Q4976,S4976,U4976,W4976,Y4976,AA4976,AC4976,AE4976,AG4976,AI4976,AK4976,AM4976,AO4976,AQ4976,AS4976,AU4976,AW4976,AY4976)</f>
        <v>738643</v>
      </c>
      <c r="BC4976" s="28" t="n">
        <f aca="false">BA4976-BB4976</f>
        <v>0</v>
      </c>
      <c r="BD4976" s="32" t="n">
        <f aca="false">SUM(P4976,R4976,T4976,V4976,X4976,Z4976,AB4976,AD4976,AF4976,AH4976,AJ4976,AL4976,AN4976,AP4976,AR4976,AT4976,AV4976,AX4976)</f>
        <v>4344.96</v>
      </c>
      <c r="BE4976" s="33" t="n">
        <f aca="false">AZ4976-BD4976</f>
        <v>0</v>
      </c>
      <c r="BF4976" s="34" t="n">
        <f aca="false">BD4976*M4976</f>
        <v>738643.2</v>
      </c>
      <c r="BG4976" s="35" t="n">
        <f aca="false">BA4976-BF4976</f>
        <v>-0.199999999953434</v>
      </c>
      <c r="BH4976" s="19" t="str">
        <f aca="false">IF(BG4976=0,"",IF(BG4976&lt;&gt;BA4976,"erreur de calcul",IF(BD4976&lt;&gt;0,"pas de prix",IF(M4976&lt;&gt; 0,"pas de quantité","pas de prix, ni de quantité"))))</f>
        <v>erreur de calcul</v>
      </c>
      <c r="BI4976" s="19"/>
    </row>
    <row r="4977" customFormat="false" ht="15" hidden="false" customHeight="false" outlineLevel="0" collapsed="false">
      <c r="A4977" s="0" t="n">
        <v>20</v>
      </c>
      <c r="B4977" s="8" t="s">
        <v>24</v>
      </c>
      <c r="C4977" s="9" t="s">
        <v>25</v>
      </c>
      <c r="D4977" s="9" t="s">
        <v>26</v>
      </c>
      <c r="E4977" s="10" t="n">
        <v>1789</v>
      </c>
      <c r="F4977" s="9" t="s">
        <v>27</v>
      </c>
      <c r="G4977" s="9" t="s">
        <v>27</v>
      </c>
      <c r="H4977" s="11" t="n">
        <v>20</v>
      </c>
      <c r="I4977" s="11" t="s">
        <v>136</v>
      </c>
      <c r="J4977" s="14" t="n">
        <v>41</v>
      </c>
      <c r="K4977" s="14"/>
      <c r="L4977" s="16"/>
      <c r="M4977" s="27" t="n">
        <f aca="false">J4977+(K4977/20)+(L4977/240)</f>
        <v>41</v>
      </c>
      <c r="N4977" s="17" t="s">
        <v>64</v>
      </c>
      <c r="O4977" s="11"/>
      <c r="P4977" s="28" t="n">
        <f aca="false">1210/100</f>
        <v>12.1</v>
      </c>
      <c r="Q4977" s="28" t="n">
        <v>496</v>
      </c>
      <c r="R4977" s="28"/>
      <c r="S4977" s="28" t="n">
        <f aca="false">R4977*$M4977</f>
        <v>0</v>
      </c>
      <c r="T4977" s="28"/>
      <c r="U4977" s="28" t="n">
        <f aca="false">T4977*$M4977</f>
        <v>0</v>
      </c>
      <c r="V4977" s="28"/>
      <c r="W4977" s="28" t="n">
        <f aca="false">V4977*$M4977</f>
        <v>0</v>
      </c>
      <c r="X4977" s="28"/>
      <c r="Y4977" s="28" t="n">
        <f aca="false">X4977*$M4977</f>
        <v>0</v>
      </c>
      <c r="Z4977" s="28"/>
      <c r="AA4977" s="28" t="n">
        <f aca="false">Z4977*$M4977</f>
        <v>0</v>
      </c>
      <c r="AB4977" s="28"/>
      <c r="AC4977" s="28" t="n">
        <f aca="false">AB4977*$M4977</f>
        <v>0</v>
      </c>
      <c r="AD4977" s="28"/>
      <c r="AE4977" s="28" t="n">
        <f aca="false">AD4977*$M4977</f>
        <v>0</v>
      </c>
      <c r="AF4977" s="28"/>
      <c r="AG4977" s="28" t="n">
        <f aca="false">AF4977*$M4977</f>
        <v>0</v>
      </c>
      <c r="AH4977" s="28"/>
      <c r="AI4977" s="28" t="n">
        <f aca="false">AH4977*$M4977</f>
        <v>0</v>
      </c>
      <c r="AJ4977" s="28" t="n">
        <f aca="false">85034/100</f>
        <v>850.34</v>
      </c>
      <c r="AK4977" s="28" t="n">
        <v>34864</v>
      </c>
      <c r="AL4977" s="28" t="n">
        <f aca="false">1024/100</f>
        <v>10.24</v>
      </c>
      <c r="AM4977" s="28" t="n">
        <v>420</v>
      </c>
      <c r="AN4977" s="28"/>
      <c r="AO4977" s="28" t="n">
        <f aca="false">AN4977*$M4977</f>
        <v>0</v>
      </c>
      <c r="AP4977" s="28"/>
      <c r="AQ4977" s="28" t="n">
        <f aca="false">AP4977*$M4977</f>
        <v>0</v>
      </c>
      <c r="AR4977" s="28"/>
      <c r="AS4977" s="28" t="n">
        <f aca="false">AR4977*$M4977</f>
        <v>0</v>
      </c>
      <c r="AT4977" s="28"/>
      <c r="AU4977" s="28" t="n">
        <f aca="false">AT4977*$M4977</f>
        <v>0</v>
      </c>
      <c r="AV4977" s="28"/>
      <c r="AW4977" s="28" t="n">
        <f aca="false">AV4977*$M4977</f>
        <v>0</v>
      </c>
      <c r="AX4977" s="28"/>
      <c r="AY4977" s="28" t="n">
        <f aca="false">AX4977*$M4977</f>
        <v>0</v>
      </c>
      <c r="AZ4977" s="30" t="n">
        <f aca="false">87268/100</f>
        <v>872.68</v>
      </c>
      <c r="BA4977" s="11" t="n">
        <v>35780</v>
      </c>
      <c r="BB4977" s="31" t="n">
        <f aca="false">SUM(Q4977,S4977,U4977,W4977,Y4977,AA4977,AC4977,AE4977,AG4977,AI4977,AK4977,AM4977,AO4977,AQ4977,AS4977,AU4977,AW4977,AY4977)</f>
        <v>35780</v>
      </c>
      <c r="BC4977" s="28" t="n">
        <f aca="false">BA4977-BB4977</f>
        <v>0</v>
      </c>
      <c r="BD4977" s="32" t="n">
        <f aca="false">SUM(P4977,R4977,T4977,V4977,X4977,Z4977,AB4977,AD4977,AF4977,AH4977,AJ4977,AL4977,AN4977,AP4977,AR4977,AT4977,AV4977,AX4977)</f>
        <v>872.68</v>
      </c>
      <c r="BE4977" s="33" t="n">
        <f aca="false">AZ4977-BD4977</f>
        <v>0</v>
      </c>
      <c r="BF4977" s="34" t="n">
        <f aca="false">BD4977*M4977</f>
        <v>35779.88</v>
      </c>
      <c r="BG4977" s="35" t="n">
        <f aca="false">BA4977-BF4977</f>
        <v>0.119999999995343</v>
      </c>
      <c r="BH4977" s="19" t="str">
        <f aca="false">IF(BG4977=0,"",IF(BG4977&lt;&gt;BA4977,"erreur de calcul",IF(BD4977&lt;&gt;0,"pas de prix",IF(M4977&lt;&gt; 0,"pas de quantité","pas de prix, ni de quantité"))))</f>
        <v>erreur de calcul</v>
      </c>
      <c r="BI4977" s="19"/>
    </row>
    <row r="4978" customFormat="false" ht="15" hidden="false" customHeight="false" outlineLevel="0" collapsed="false">
      <c r="A4978" s="0" t="n">
        <v>21</v>
      </c>
      <c r="B4978" s="8" t="s">
        <v>24</v>
      </c>
      <c r="C4978" s="9" t="s">
        <v>25</v>
      </c>
      <c r="D4978" s="9" t="s">
        <v>26</v>
      </c>
      <c r="E4978" s="10" t="n">
        <v>1789</v>
      </c>
      <c r="F4978" s="9" t="s">
        <v>27</v>
      </c>
      <c r="G4978" s="9" t="s">
        <v>27</v>
      </c>
      <c r="H4978" s="11" t="n">
        <v>20</v>
      </c>
      <c r="I4978" s="11" t="s">
        <v>137</v>
      </c>
      <c r="J4978" s="14"/>
      <c r="K4978" s="14"/>
      <c r="L4978" s="16"/>
      <c r="M4978" s="27" t="n">
        <f aca="false">J4978+(K4978/20)+(L4978/240)</f>
        <v>0</v>
      </c>
      <c r="N4978" s="39" t="s">
        <v>138</v>
      </c>
      <c r="O4978" s="11"/>
      <c r="P4978" s="28" t="n">
        <v>337</v>
      </c>
      <c r="Q4978" s="28" t="n">
        <v>6250</v>
      </c>
      <c r="R4978" s="28"/>
      <c r="S4978" s="28" t="n">
        <f aca="false">R4978*$M4978</f>
        <v>0</v>
      </c>
      <c r="T4978" s="28"/>
      <c r="U4978" s="28" t="n">
        <f aca="false">T4978*$M4978</f>
        <v>0</v>
      </c>
      <c r="V4978" s="28" t="n">
        <v>760</v>
      </c>
      <c r="W4978" s="28" t="n">
        <v>18259</v>
      </c>
      <c r="X4978" s="28"/>
      <c r="Y4978" s="28" t="n">
        <f aca="false">X4978*$M4978</f>
        <v>0</v>
      </c>
      <c r="Z4978" s="28"/>
      <c r="AA4978" s="28" t="n">
        <f aca="false">Z4978*$M4978</f>
        <v>0</v>
      </c>
      <c r="AB4978" s="28"/>
      <c r="AC4978" s="28" t="n">
        <f aca="false">AB4978*$M4978</f>
        <v>0</v>
      </c>
      <c r="AD4978" s="28"/>
      <c r="AE4978" s="28" t="n">
        <f aca="false">AD4978*$M4978</f>
        <v>0</v>
      </c>
      <c r="AF4978" s="28"/>
      <c r="AG4978" s="28" t="n">
        <f aca="false">AF4978*$M4978</f>
        <v>0</v>
      </c>
      <c r="AH4978" s="28"/>
      <c r="AI4978" s="28" t="n">
        <f aca="false">AH4978*$M4978</f>
        <v>0</v>
      </c>
      <c r="AJ4978" s="28"/>
      <c r="AK4978" s="28" t="n">
        <f aca="false">AJ4978*$M4978</f>
        <v>0</v>
      </c>
      <c r="AL4978" s="28"/>
      <c r="AM4978" s="28" t="n">
        <f aca="false">AL4978*$M4978</f>
        <v>0</v>
      </c>
      <c r="AN4978" s="28"/>
      <c r="AO4978" s="28" t="n">
        <f aca="false">AN4978*$M4978</f>
        <v>0</v>
      </c>
      <c r="AP4978" s="28"/>
      <c r="AQ4978" s="28" t="n">
        <f aca="false">AP4978*$M4978</f>
        <v>0</v>
      </c>
      <c r="AR4978" s="28"/>
      <c r="AS4978" s="28" t="n">
        <f aca="false">AR4978*$M4978</f>
        <v>0</v>
      </c>
      <c r="AT4978" s="28"/>
      <c r="AU4978" s="28" t="n">
        <f aca="false">AT4978*$M4978</f>
        <v>0</v>
      </c>
      <c r="AV4978" s="28"/>
      <c r="AW4978" s="28" t="n">
        <f aca="false">AV4978*$M4978</f>
        <v>0</v>
      </c>
      <c r="AX4978" s="28"/>
      <c r="AY4978" s="28" t="n">
        <f aca="false">AX4978*$M4978</f>
        <v>0</v>
      </c>
      <c r="AZ4978" s="30" t="n">
        <f aca="false">1097</f>
        <v>1097</v>
      </c>
      <c r="BA4978" s="11" t="n">
        <v>24509</v>
      </c>
      <c r="BB4978" s="31" t="n">
        <f aca="false">SUM(Q4978,S4978,U4978,W4978,Y4978,AA4978,AC4978,AE4978,AG4978,AI4978,AK4978,AM4978,AO4978,AQ4978,AS4978,AU4978,AW4978,AY4978)</f>
        <v>24509</v>
      </c>
      <c r="BC4978" s="28" t="n">
        <f aca="false">BA4978-BB4978</f>
        <v>0</v>
      </c>
      <c r="BD4978" s="32" t="n">
        <f aca="false">SUM(P4978,R4978,T4978,V4978,X4978,Z4978,AB4978,AD4978,AF4978,AH4978,AJ4978,AL4978,AN4978,AP4978,AR4978,AT4978,AV4978,AX4978)</f>
        <v>1097</v>
      </c>
      <c r="BE4978" s="33" t="n">
        <f aca="false">AZ4978-BD4978</f>
        <v>0</v>
      </c>
      <c r="BF4978" s="34" t="n">
        <f aca="false">BD4978*M4978</f>
        <v>0</v>
      </c>
      <c r="BG4978" s="35" t="n">
        <f aca="false">BA4978-BF4978</f>
        <v>24509</v>
      </c>
      <c r="BH4978" s="19" t="str">
        <f aca="false">IF(BG4978=0,"",IF(BG4978&lt;&gt;BA4978,"erreur de calcul",IF(BD4978&lt;&gt;0,"pas de prix",IF(M4978&lt;&gt; 0,"pas de quantité","pas de prix, ni de quantité"))))</f>
        <v>pas de prix</v>
      </c>
      <c r="BI4978" s="19" t="s">
        <v>139</v>
      </c>
    </row>
    <row r="4979" customFormat="false" ht="15" hidden="false" customHeight="false" outlineLevel="0" collapsed="false">
      <c r="A4979" s="0" t="n">
        <v>22</v>
      </c>
      <c r="B4979" s="8" t="s">
        <v>24</v>
      </c>
      <c r="C4979" s="9" t="s">
        <v>25</v>
      </c>
      <c r="D4979" s="9" t="s">
        <v>26</v>
      </c>
      <c r="E4979" s="10" t="n">
        <v>1789</v>
      </c>
      <c r="F4979" s="9" t="s">
        <v>27</v>
      </c>
      <c r="G4979" s="9" t="s">
        <v>27</v>
      </c>
      <c r="H4979" s="11" t="n">
        <v>20</v>
      </c>
      <c r="I4979" s="11" t="s">
        <v>140</v>
      </c>
      <c r="J4979" s="14" t="n">
        <v>28</v>
      </c>
      <c r="K4979" s="14"/>
      <c r="L4979" s="16"/>
      <c r="M4979" s="27" t="n">
        <f aca="false">J4979+(K4979/20)+(L4979/240)</f>
        <v>28</v>
      </c>
      <c r="N4979" s="17" t="s">
        <v>64</v>
      </c>
      <c r="O4979" s="11"/>
      <c r="P4979" s="28"/>
      <c r="Q4979" s="28" t="n">
        <f aca="false">P4979*$M4979</f>
        <v>0</v>
      </c>
      <c r="R4979" s="28"/>
      <c r="S4979" s="28" t="n">
        <f aca="false">R4979*$M4979</f>
        <v>0</v>
      </c>
      <c r="T4979" s="28"/>
      <c r="U4979" s="28" t="n">
        <f aca="false">T4979*$M4979</f>
        <v>0</v>
      </c>
      <c r="V4979" s="28"/>
      <c r="W4979" s="28" t="n">
        <f aca="false">V4979*$M4979</f>
        <v>0</v>
      </c>
      <c r="X4979" s="28" t="n">
        <f aca="false">2572/100</f>
        <v>25.72</v>
      </c>
      <c r="Y4979" s="28" t="n">
        <v>720</v>
      </c>
      <c r="Z4979" s="28"/>
      <c r="AA4979" s="28" t="n">
        <f aca="false">Z4979*$M4979</f>
        <v>0</v>
      </c>
      <c r="AB4979" s="28"/>
      <c r="AC4979" s="28" t="n">
        <f aca="false">AB4979*$M4979</f>
        <v>0</v>
      </c>
      <c r="AD4979" s="28"/>
      <c r="AE4979" s="28" t="n">
        <f aca="false">AD4979*$M4979</f>
        <v>0</v>
      </c>
      <c r="AF4979" s="28" t="n">
        <f aca="false">3367/100</f>
        <v>33.67</v>
      </c>
      <c r="AG4979" s="36" t="n">
        <v>915</v>
      </c>
      <c r="AH4979" s="28"/>
      <c r="AI4979" s="28" t="n">
        <f aca="false">AH4979*$M4979</f>
        <v>0</v>
      </c>
      <c r="AJ4979" s="28"/>
      <c r="AK4979" s="28" t="n">
        <f aca="false">AJ4979*$M4979</f>
        <v>0</v>
      </c>
      <c r="AL4979" s="28"/>
      <c r="AM4979" s="28" t="n">
        <f aca="false">AL4979*$M4979</f>
        <v>0</v>
      </c>
      <c r="AN4979" s="28"/>
      <c r="AO4979" s="28" t="n">
        <f aca="false">AN4979*$M4979</f>
        <v>0</v>
      </c>
      <c r="AP4979" s="28"/>
      <c r="AQ4979" s="28" t="n">
        <f aca="false">AP4979*$M4979</f>
        <v>0</v>
      </c>
      <c r="AR4979" s="28"/>
      <c r="AS4979" s="28" t="n">
        <f aca="false">AR4979*$M4979</f>
        <v>0</v>
      </c>
      <c r="AT4979" s="28"/>
      <c r="AU4979" s="28" t="n">
        <f aca="false">AT4979*$M4979</f>
        <v>0</v>
      </c>
      <c r="AV4979" s="28"/>
      <c r="AW4979" s="28" t="n">
        <f aca="false">AV4979*$M4979</f>
        <v>0</v>
      </c>
      <c r="AX4979" s="28"/>
      <c r="AY4979" s="28" t="n">
        <f aca="false">AX4979*$M4979</f>
        <v>0</v>
      </c>
      <c r="AZ4979" s="30" t="n">
        <f aca="false">5939/100</f>
        <v>59.39</v>
      </c>
      <c r="BA4979" s="11" t="n">
        <v>1635</v>
      </c>
      <c r="BB4979" s="31" t="n">
        <f aca="false">SUM(Q4979,S4979,U4979,W4979,Y4979,AA4979,AC4979,AE4979,AG4979,AI4979,AK4979,AM4979,AO4979,AQ4979,AS4979,AU4979,AW4979,AY4979)</f>
        <v>1635</v>
      </c>
      <c r="BC4979" s="28" t="n">
        <f aca="false">BA4979-BB4979</f>
        <v>0</v>
      </c>
      <c r="BD4979" s="32" t="n">
        <f aca="false">SUM(P4979,R4979,T4979,V4979,X4979,Z4979,AB4979,AD4979,AF4979,AH4979,AJ4979,AL4979,AN4979,AP4979,AR4979,AT4979,AV4979,AX4979)</f>
        <v>59.39</v>
      </c>
      <c r="BE4979" s="33" t="n">
        <f aca="false">AZ4979-BD4979</f>
        <v>0</v>
      </c>
      <c r="BF4979" s="34" t="n">
        <f aca="false">BD4979*M4979</f>
        <v>1662.92</v>
      </c>
      <c r="BG4979" s="35" t="n">
        <f aca="false">BA4979-BF4979</f>
        <v>-27.9200000000001</v>
      </c>
      <c r="BH4979" s="19" t="str">
        <f aca="false">IF(BG4979=0,"",IF(BG4979&lt;&gt;BA4979,"erreur de calcul",IF(BD4979&lt;&gt;0,"pas de prix",IF(M4979&lt;&gt; 0,"pas de quantité","pas de prix, ni de quantité"))))</f>
        <v>erreur de calcul</v>
      </c>
      <c r="BI4979" s="19"/>
    </row>
    <row r="4980" customFormat="false" ht="15" hidden="false" customHeight="false" outlineLevel="0" collapsed="false">
      <c r="A4980" s="0" t="n">
        <v>23</v>
      </c>
      <c r="B4980" s="8" t="s">
        <v>24</v>
      </c>
      <c r="C4980" s="9" t="s">
        <v>25</v>
      </c>
      <c r="D4980" s="9" t="s">
        <v>26</v>
      </c>
      <c r="E4980" s="10" t="n">
        <v>1789</v>
      </c>
      <c r="F4980" s="9" t="s">
        <v>27</v>
      </c>
      <c r="G4980" s="9" t="s">
        <v>27</v>
      </c>
      <c r="H4980" s="11" t="n">
        <v>20</v>
      </c>
      <c r="I4980" s="11" t="s">
        <v>141</v>
      </c>
      <c r="J4980" s="14" t="n">
        <v>50</v>
      </c>
      <c r="K4980" s="14"/>
      <c r="L4980" s="16"/>
      <c r="M4980" s="27" t="n">
        <f aca="false">J4980+(K4980/20)+(L4980/240)</f>
        <v>50</v>
      </c>
      <c r="N4980" s="17" t="s">
        <v>64</v>
      </c>
      <c r="O4980" s="11"/>
      <c r="P4980" s="28" t="n">
        <f aca="false">79168/100</f>
        <v>791.68</v>
      </c>
      <c r="Q4980" s="28" t="n">
        <v>39584</v>
      </c>
      <c r="R4980" s="28"/>
      <c r="S4980" s="28" t="n">
        <f aca="false">R4980*$M4980</f>
        <v>0</v>
      </c>
      <c r="T4980" s="28" t="n">
        <f aca="false">18545/100</f>
        <v>185.45</v>
      </c>
      <c r="U4980" s="28" t="n">
        <v>9272</v>
      </c>
      <c r="V4980" s="28" t="n">
        <f aca="false">10784/100</f>
        <v>107.84</v>
      </c>
      <c r="W4980" s="28" t="n">
        <v>5392</v>
      </c>
      <c r="X4980" s="28" t="n">
        <f aca="false">22033/100</f>
        <v>220.33</v>
      </c>
      <c r="Y4980" s="28" t="n">
        <v>11016</v>
      </c>
      <c r="Z4980" s="28" t="n">
        <f aca="false">4478/100</f>
        <v>44.78</v>
      </c>
      <c r="AA4980" s="28" t="n">
        <v>2239</v>
      </c>
      <c r="AB4980" s="28" t="n">
        <f aca="false">8901/100</f>
        <v>89.01</v>
      </c>
      <c r="AC4980" s="28" t="n">
        <v>4450</v>
      </c>
      <c r="AD4980" s="28"/>
      <c r="AE4980" s="28" t="n">
        <f aca="false">AD4980*$M4980</f>
        <v>0</v>
      </c>
      <c r="AF4980" s="28"/>
      <c r="AG4980" s="28" t="n">
        <f aca="false">AF4980*$M4980</f>
        <v>0</v>
      </c>
      <c r="AH4980" s="28"/>
      <c r="AI4980" s="28" t="n">
        <f aca="false">AH4980*$M4980</f>
        <v>0</v>
      </c>
      <c r="AJ4980" s="28" t="n">
        <f aca="false">2917/100</f>
        <v>29.17</v>
      </c>
      <c r="AK4980" s="28" t="n">
        <v>1458</v>
      </c>
      <c r="AL4980" s="28"/>
      <c r="AM4980" s="28" t="n">
        <f aca="false">AL4980*$M4980</f>
        <v>0</v>
      </c>
      <c r="AN4980" s="28"/>
      <c r="AO4980" s="28" t="n">
        <f aca="false">AN4980*$M4980</f>
        <v>0</v>
      </c>
      <c r="AP4980" s="28"/>
      <c r="AQ4980" s="28" t="n">
        <f aca="false">AP4980*$M4980</f>
        <v>0</v>
      </c>
      <c r="AR4980" s="28"/>
      <c r="AS4980" s="28" t="n">
        <f aca="false">AR4980*$M4980</f>
        <v>0</v>
      </c>
      <c r="AT4980" s="28"/>
      <c r="AU4980" s="28" t="n">
        <f aca="false">AT4980*$M4980</f>
        <v>0</v>
      </c>
      <c r="AV4980" s="28" t="n">
        <f aca="false">6667/100</f>
        <v>66.67</v>
      </c>
      <c r="AW4980" s="28" t="n">
        <v>3333</v>
      </c>
      <c r="AX4980" s="28"/>
      <c r="AY4980" s="28" t="n">
        <f aca="false">AX4980*$M4980</f>
        <v>0</v>
      </c>
      <c r="AZ4980" s="30" t="n">
        <f aca="false">153493/100</f>
        <v>1534.93</v>
      </c>
      <c r="BA4980" s="11" t="n">
        <v>76744</v>
      </c>
      <c r="BB4980" s="31" t="n">
        <f aca="false">SUM(Q4980,S4980,U4980,W4980,Y4980,AA4980,AC4980,AE4980,AG4980,AI4980,AK4980,AM4980,AO4980,AQ4980,AS4980,AU4980,AW4980,AY4980)</f>
        <v>76744</v>
      </c>
      <c r="BC4980" s="28" t="n">
        <f aca="false">BA4980-BB4980</f>
        <v>0</v>
      </c>
      <c r="BD4980" s="32" t="n">
        <f aca="false">SUM(P4980,R4980,T4980,V4980,X4980,Z4980,AB4980,AD4980,AF4980,AH4980,AJ4980,AL4980,AN4980,AP4980,AR4980,AT4980,AV4980,AX4980)</f>
        <v>1534.93</v>
      </c>
      <c r="BE4980" s="33" t="n">
        <f aca="false">AZ4980-BD4980</f>
        <v>0</v>
      </c>
      <c r="BF4980" s="34" t="n">
        <f aca="false">BD4980*M4980</f>
        <v>76746.5</v>
      </c>
      <c r="BG4980" s="35" t="n">
        <f aca="false">BA4980-BF4980</f>
        <v>-2.49999999998545</v>
      </c>
      <c r="BH4980" s="19" t="str">
        <f aca="false">IF(BG4980=0,"",IF(BG4980&lt;&gt;BA4980,"erreur de calcul",IF(BD4980&lt;&gt;0,"pas de prix",IF(M4980&lt;&gt; 0,"pas de quantité","pas de prix, ni de quantité"))))</f>
        <v>erreur de calcul</v>
      </c>
      <c r="BI4980" s="19"/>
    </row>
    <row r="4981" customFormat="false" ht="15" hidden="false" customHeight="false" outlineLevel="0" collapsed="false">
      <c r="A4981" s="0" t="n">
        <v>24</v>
      </c>
      <c r="B4981" s="8" t="s">
        <v>24</v>
      </c>
      <c r="C4981" s="9" t="s">
        <v>25</v>
      </c>
      <c r="D4981" s="9" t="s">
        <v>26</v>
      </c>
      <c r="E4981" s="10" t="n">
        <v>1789</v>
      </c>
      <c r="F4981" s="9" t="s">
        <v>27</v>
      </c>
      <c r="G4981" s="9" t="s">
        <v>27</v>
      </c>
      <c r="H4981" s="11" t="n">
        <v>20</v>
      </c>
      <c r="I4981" s="11" t="s">
        <v>142</v>
      </c>
      <c r="J4981" s="14" t="n">
        <v>12</v>
      </c>
      <c r="K4981" s="14"/>
      <c r="L4981" s="16"/>
      <c r="M4981" s="27" t="n">
        <f aca="false">J4981+(K4981/20)+(L4981/240)</f>
        <v>12</v>
      </c>
      <c r="N4981" s="17" t="s">
        <v>66</v>
      </c>
      <c r="O4981" s="11"/>
      <c r="P4981" s="28"/>
      <c r="Q4981" s="28" t="n">
        <f aca="false">P4981*$M4981</f>
        <v>0</v>
      </c>
      <c r="R4981" s="28"/>
      <c r="S4981" s="28" t="n">
        <f aca="false">R4981*$M4981</f>
        <v>0</v>
      </c>
      <c r="T4981" s="28"/>
      <c r="U4981" s="28" t="n">
        <f aca="false">T4981*$M4981</f>
        <v>0</v>
      </c>
      <c r="V4981" s="28"/>
      <c r="W4981" s="28" t="n">
        <f aca="false">V4981*$M4981</f>
        <v>0</v>
      </c>
      <c r="X4981" s="28"/>
      <c r="Y4981" s="28" t="n">
        <f aca="false">X4981*$M4981</f>
        <v>0</v>
      </c>
      <c r="Z4981" s="28" t="n">
        <v>21</v>
      </c>
      <c r="AA4981" s="28" t="n">
        <v>252</v>
      </c>
      <c r="AB4981" s="28" t="n">
        <v>672</v>
      </c>
      <c r="AC4981" s="28" t="n">
        <v>8064</v>
      </c>
      <c r="AD4981" s="28"/>
      <c r="AE4981" s="28" t="n">
        <f aca="false">AD4981*$M4981</f>
        <v>0</v>
      </c>
      <c r="AF4981" s="28"/>
      <c r="AG4981" s="28" t="n">
        <f aca="false">AF4981*$M4981</f>
        <v>0</v>
      </c>
      <c r="AH4981" s="28"/>
      <c r="AI4981" s="28" t="n">
        <f aca="false">AH4981*$M4981</f>
        <v>0</v>
      </c>
      <c r="AJ4981" s="28"/>
      <c r="AK4981" s="28" t="n">
        <f aca="false">AJ4981*$M4981</f>
        <v>0</v>
      </c>
      <c r="AL4981" s="28"/>
      <c r="AM4981" s="28" t="n">
        <f aca="false">AL4981*$M4981</f>
        <v>0</v>
      </c>
      <c r="AN4981" s="28"/>
      <c r="AO4981" s="28" t="n">
        <f aca="false">AN4981*$M4981</f>
        <v>0</v>
      </c>
      <c r="AP4981" s="28"/>
      <c r="AQ4981" s="28" t="n">
        <f aca="false">AP4981*$M4981</f>
        <v>0</v>
      </c>
      <c r="AR4981" s="28"/>
      <c r="AS4981" s="28" t="n">
        <f aca="false">AR4981*$M4981</f>
        <v>0</v>
      </c>
      <c r="AT4981" s="28"/>
      <c r="AU4981" s="28" t="n">
        <f aca="false">AT4981*$M4981</f>
        <v>0</v>
      </c>
      <c r="AV4981" s="28"/>
      <c r="AW4981" s="28" t="n">
        <f aca="false">AV4981*$M4981</f>
        <v>0</v>
      </c>
      <c r="AX4981" s="28"/>
      <c r="AY4981" s="28" t="n">
        <f aca="false">AX4981*$M4981</f>
        <v>0</v>
      </c>
      <c r="AZ4981" s="30" t="n">
        <v>693</v>
      </c>
      <c r="BA4981" s="11" t="n">
        <v>8316</v>
      </c>
      <c r="BB4981" s="31" t="n">
        <f aca="false">SUM(Q4981,S4981,U4981,W4981,Y4981,AA4981,AC4981,AE4981,AG4981,AI4981,AK4981,AM4981,AO4981,AQ4981,AS4981,AU4981,AW4981,AY4981)</f>
        <v>8316</v>
      </c>
      <c r="BC4981" s="28" t="n">
        <f aca="false">BA4981-BB4981</f>
        <v>0</v>
      </c>
      <c r="BD4981" s="32" t="n">
        <f aca="false">SUM(P4981,R4981,T4981,V4981,X4981,Z4981,AB4981,AD4981,AF4981,AH4981,AJ4981,AL4981,AN4981,AP4981,AR4981,AT4981,AV4981,AX4981)</f>
        <v>693</v>
      </c>
      <c r="BE4981" s="33" t="n">
        <f aca="false">AZ4981-BD4981</f>
        <v>0</v>
      </c>
      <c r="BF4981" s="34" t="n">
        <f aca="false">BD4981*M4981</f>
        <v>8316</v>
      </c>
      <c r="BG4981" s="35" t="n">
        <f aca="false">BA4981-BF4981</f>
        <v>0</v>
      </c>
      <c r="BH4981" s="19" t="str">
        <f aca="false">IF(BG4981=0,"",IF(BG4981&lt;&gt;BA4981,"erreur de calcul",IF(BD4981&lt;&gt;0,"pas de prix",IF(M4981&lt;&gt; 0,"pas de quantité","pas de prix, ni de quantité"))))</f>
        <v/>
      </c>
      <c r="BI4981" s="19"/>
    </row>
    <row r="4982" customFormat="false" ht="15" hidden="false" customHeight="false" outlineLevel="0" collapsed="false">
      <c r="A4982" s="0" t="n">
        <v>25</v>
      </c>
      <c r="B4982" s="8" t="s">
        <v>24</v>
      </c>
      <c r="C4982" s="9" t="s">
        <v>25</v>
      </c>
      <c r="D4982" s="9" t="s">
        <v>26</v>
      </c>
      <c r="E4982" s="10" t="n">
        <v>1789</v>
      </c>
      <c r="F4982" s="9" t="s">
        <v>27</v>
      </c>
      <c r="G4982" s="9" t="s">
        <v>27</v>
      </c>
      <c r="H4982" s="11" t="n">
        <v>20</v>
      </c>
      <c r="I4982" s="11" t="s">
        <v>143</v>
      </c>
      <c r="J4982" s="14" t="n">
        <v>8</v>
      </c>
      <c r="K4982" s="14"/>
      <c r="L4982" s="16"/>
      <c r="M4982" s="27" t="n">
        <f aca="false">J4982+(K4982/20)+(L4982/240)</f>
        <v>8</v>
      </c>
      <c r="N4982" s="17" t="s">
        <v>85</v>
      </c>
      <c r="O4982" s="11"/>
      <c r="P4982" s="28" t="n">
        <f aca="false">74969/100</f>
        <v>749.69</v>
      </c>
      <c r="Q4982" s="28" t="n">
        <v>5997</v>
      </c>
      <c r="R4982" s="28"/>
      <c r="S4982" s="28" t="n">
        <f aca="false">R4982*$M4982</f>
        <v>0</v>
      </c>
      <c r="T4982" s="28" t="n">
        <f aca="false">58256/100</f>
        <v>582.56</v>
      </c>
      <c r="U4982" s="28" t="n">
        <v>4660</v>
      </c>
      <c r="V4982" s="28" t="n">
        <f aca="false">14450/100</f>
        <v>144.5</v>
      </c>
      <c r="W4982" s="28" t="n">
        <v>1156</v>
      </c>
      <c r="X4982" s="28" t="n">
        <f aca="false">4397/100</f>
        <v>43.97</v>
      </c>
      <c r="Y4982" s="28" t="n">
        <v>352</v>
      </c>
      <c r="Z4982" s="28"/>
      <c r="AA4982" s="28" t="n">
        <f aca="false">Z4982*$M4982</f>
        <v>0</v>
      </c>
      <c r="AB4982" s="28" t="n">
        <f aca="false">6400/100</f>
        <v>64</v>
      </c>
      <c r="AC4982" s="28" t="n">
        <v>512</v>
      </c>
      <c r="AD4982" s="28" t="n">
        <f aca="false">19450/100</f>
        <v>194.5</v>
      </c>
      <c r="AE4982" s="28" t="n">
        <v>1556</v>
      </c>
      <c r="AF4982" s="28" t="n">
        <f aca="false">2496/100</f>
        <v>24.96</v>
      </c>
      <c r="AG4982" s="28" t="n">
        <v>200</v>
      </c>
      <c r="AH4982" s="28"/>
      <c r="AI4982" s="28" t="n">
        <f aca="false">AH4982*$M4982</f>
        <v>0</v>
      </c>
      <c r="AJ4982" s="28"/>
      <c r="AK4982" s="28" t="n">
        <f aca="false">AJ4982*$M4982</f>
        <v>0</v>
      </c>
      <c r="AL4982" s="28"/>
      <c r="AM4982" s="28" t="n">
        <f aca="false">AL4982*$M4982</f>
        <v>0</v>
      </c>
      <c r="AN4982" s="28"/>
      <c r="AO4982" s="28" t="n">
        <f aca="false">AN4982*$M4982</f>
        <v>0</v>
      </c>
      <c r="AP4982" s="28"/>
      <c r="AQ4982" s="28" t="n">
        <f aca="false">AP4982*$M4982</f>
        <v>0</v>
      </c>
      <c r="AR4982" s="28"/>
      <c r="AS4982" s="28" t="n">
        <f aca="false">AR4982*$M4982</f>
        <v>0</v>
      </c>
      <c r="AT4982" s="28"/>
      <c r="AU4982" s="28" t="n">
        <f aca="false">AT4982*$M4982</f>
        <v>0</v>
      </c>
      <c r="AV4982" s="28"/>
      <c r="AW4982" s="28" t="n">
        <f aca="false">AV4982*$M4982</f>
        <v>0</v>
      </c>
      <c r="AX4982" s="28"/>
      <c r="AY4982" s="28" t="n">
        <f aca="false">AX4982*$M4982</f>
        <v>0</v>
      </c>
      <c r="AZ4982" s="30" t="n">
        <f aca="false">180418/100</f>
        <v>1804.18</v>
      </c>
      <c r="BA4982" s="11" t="n">
        <v>14433</v>
      </c>
      <c r="BB4982" s="31" t="n">
        <f aca="false">SUM(Q4982,S4982,U4982,W4982,Y4982,AA4982,AC4982,AE4982,AG4982,AI4982,AK4982,AM4982,AO4982,AQ4982,AS4982,AU4982,AW4982,AY4982)</f>
        <v>14433</v>
      </c>
      <c r="BC4982" s="28" t="n">
        <f aca="false">BA4982-BB4982</f>
        <v>0</v>
      </c>
      <c r="BD4982" s="32" t="n">
        <f aca="false">SUM(P4982,R4982,T4982,V4982,X4982,Z4982,AB4982,AD4982,AF4982,AH4982,AJ4982,AL4982,AN4982,AP4982,AR4982,AT4982,AV4982,AX4982)</f>
        <v>1804.18</v>
      </c>
      <c r="BE4982" s="33" t="n">
        <f aca="false">AZ4982-BD4982</f>
        <v>0</v>
      </c>
      <c r="BF4982" s="34" t="n">
        <f aca="false">BD4982*M4982</f>
        <v>14433.44</v>
      </c>
      <c r="BG4982" s="35" t="n">
        <f aca="false">BA4982-BF4982</f>
        <v>-0.440000000000509</v>
      </c>
      <c r="BH4982" s="19" t="str">
        <f aca="false">IF(BG4982=0,"",IF(BG4982&lt;&gt;BA4982,"erreur de calcul",IF(BD4982&lt;&gt;0,"pas de prix",IF(M4982&lt;&gt; 0,"pas de quantité","pas de prix, ni de quantité"))))</f>
        <v>erreur de calcul</v>
      </c>
      <c r="BI4982" s="19"/>
    </row>
    <row r="4983" customFormat="false" ht="15" hidden="false" customHeight="false" outlineLevel="0" collapsed="false">
      <c r="A4983" s="0" t="n">
        <v>26</v>
      </c>
      <c r="B4983" s="8" t="s">
        <v>24</v>
      </c>
      <c r="C4983" s="9" t="s">
        <v>25</v>
      </c>
      <c r="D4983" s="9" t="s">
        <v>26</v>
      </c>
      <c r="E4983" s="10" t="n">
        <v>1789</v>
      </c>
      <c r="F4983" s="9" t="s">
        <v>27</v>
      </c>
      <c r="G4983" s="9" t="s">
        <v>27</v>
      </c>
      <c r="H4983" s="11" t="n">
        <v>20</v>
      </c>
      <c r="I4983" s="11" t="s">
        <v>144</v>
      </c>
      <c r="J4983" s="14" t="n">
        <v>3</v>
      </c>
      <c r="K4983" s="14"/>
      <c r="L4983" s="16"/>
      <c r="M4983" s="27" t="n">
        <f aca="false">J4983+(K4983/20)+(L4983/240)</f>
        <v>3</v>
      </c>
      <c r="N4983" s="17" t="s">
        <v>66</v>
      </c>
      <c r="O4983" s="11"/>
      <c r="P4983" s="28"/>
      <c r="Q4983" s="28" t="n">
        <f aca="false">P4983*$M4983</f>
        <v>0</v>
      </c>
      <c r="R4983" s="28"/>
      <c r="S4983" s="28" t="n">
        <f aca="false">R4983*$M4983</f>
        <v>0</v>
      </c>
      <c r="T4983" s="28" t="n">
        <v>24347</v>
      </c>
      <c r="U4983" s="28" t="n">
        <v>73041</v>
      </c>
      <c r="V4983" s="28" t="n">
        <v>2300</v>
      </c>
      <c r="W4983" s="28" t="n">
        <v>6900</v>
      </c>
      <c r="X4983" s="28" t="n">
        <v>152</v>
      </c>
      <c r="Y4983" s="28" t="n">
        <v>456</v>
      </c>
      <c r="Z4983" s="28"/>
      <c r="AA4983" s="28" t="n">
        <f aca="false">Z4983*$M4983</f>
        <v>0</v>
      </c>
      <c r="AB4983" s="28" t="n">
        <v>53940</v>
      </c>
      <c r="AC4983" s="28" t="n">
        <v>161820</v>
      </c>
      <c r="AD4983" s="28"/>
      <c r="AE4983" s="28" t="n">
        <f aca="false">AD4983*$M4983</f>
        <v>0</v>
      </c>
      <c r="AF4983" s="28"/>
      <c r="AG4983" s="28" t="n">
        <f aca="false">AF4983*$M4983</f>
        <v>0</v>
      </c>
      <c r="AH4983" s="28" t="n">
        <v>1668909</v>
      </c>
      <c r="AI4983" s="28" t="n">
        <v>5006727</v>
      </c>
      <c r="AJ4983" s="28"/>
      <c r="AK4983" s="28" t="n">
        <f aca="false">AJ4983*$M4983</f>
        <v>0</v>
      </c>
      <c r="AL4983" s="28"/>
      <c r="AM4983" s="28" t="n">
        <f aca="false">AL4983*$M4983</f>
        <v>0</v>
      </c>
      <c r="AN4983" s="28" t="n">
        <v>165</v>
      </c>
      <c r="AO4983" s="28" t="n">
        <v>495</v>
      </c>
      <c r="AP4983" s="28"/>
      <c r="AQ4983" s="28" t="n">
        <f aca="false">AP4983*$M4983</f>
        <v>0</v>
      </c>
      <c r="AR4983" s="28"/>
      <c r="AS4983" s="28" t="n">
        <f aca="false">AR4983*$M4983</f>
        <v>0</v>
      </c>
      <c r="AT4983" s="28"/>
      <c r="AU4983" s="28" t="n">
        <f aca="false">AT4983*$M4983</f>
        <v>0</v>
      </c>
      <c r="AV4983" s="28"/>
      <c r="AW4983" s="28" t="n">
        <f aca="false">AV4983*$M4983</f>
        <v>0</v>
      </c>
      <c r="AX4983" s="28"/>
      <c r="AY4983" s="28" t="n">
        <f aca="false">AX4983*$M4983</f>
        <v>0</v>
      </c>
      <c r="AZ4983" s="30" t="n">
        <v>1736540</v>
      </c>
      <c r="BA4983" s="11" t="n">
        <v>5249439</v>
      </c>
      <c r="BB4983" s="31" t="n">
        <f aca="false">SUM(Q4983,S4983,U4983,W4983,Y4983,AA4983,AC4983,AE4983,AG4983,AI4983,AK4983,AM4983,AO4983,AQ4983,AS4983,AU4983,AW4983,AY4983)</f>
        <v>5249439</v>
      </c>
      <c r="BC4983" s="28" t="n">
        <f aca="false">BA4983-BB4983</f>
        <v>0</v>
      </c>
      <c r="BD4983" s="32" t="n">
        <f aca="false">SUM(P4983,R4983,T4983,V4983,X4983,Z4983,AB4983,AD4983,AF4983,AH4983,AJ4983,AL4983,AN4983,AP4983,AR4983,AT4983,AV4983,AX4983)</f>
        <v>1749813</v>
      </c>
      <c r="BE4983" s="33" t="n">
        <f aca="false">AZ4983-BD4983</f>
        <v>-13273</v>
      </c>
      <c r="BF4983" s="34" t="n">
        <f aca="false">BD4983*M4983</f>
        <v>5249439</v>
      </c>
      <c r="BG4983" s="35" t="n">
        <f aca="false">BA4983-BF4983</f>
        <v>0</v>
      </c>
      <c r="BH4983" s="19" t="str">
        <f aca="false">IF(BG4983=0,"",IF(BG4983&lt;&gt;BA4983,"erreur de calcul",IF(BD4983&lt;&gt;0,"pas de prix",IF(M4983&lt;&gt; 0,"pas de quantité","pas de prix, ni de quantité"))))</f>
        <v/>
      </c>
      <c r="BI4983" s="19"/>
    </row>
    <row r="4984" customFormat="false" ht="15" hidden="false" customHeight="false" outlineLevel="0" collapsed="false">
      <c r="A4984" s="0" t="n">
        <v>27</v>
      </c>
      <c r="B4984" s="8" t="s">
        <v>24</v>
      </c>
      <c r="C4984" s="9" t="s">
        <v>25</v>
      </c>
      <c r="D4984" s="9" t="s">
        <v>26</v>
      </c>
      <c r="E4984" s="10" t="n">
        <v>1789</v>
      </c>
      <c r="F4984" s="9" t="s">
        <v>27</v>
      </c>
      <c r="G4984" s="9" t="s">
        <v>27</v>
      </c>
      <c r="H4984" s="11" t="n">
        <v>20</v>
      </c>
      <c r="I4984" s="11" t="s">
        <v>145</v>
      </c>
      <c r="J4984" s="14" t="n">
        <v>4</v>
      </c>
      <c r="K4984" s="14" t="n">
        <v>18</v>
      </c>
      <c r="L4984" s="16"/>
      <c r="M4984" s="27" t="n">
        <f aca="false">J4984+(K4984/20)+(L4984/240)</f>
        <v>4.9</v>
      </c>
      <c r="N4984" s="17" t="s">
        <v>66</v>
      </c>
      <c r="O4984" s="11"/>
      <c r="P4984" s="28"/>
      <c r="Q4984" s="28" t="n">
        <f aca="false">P4984*$M4984</f>
        <v>0</v>
      </c>
      <c r="R4984" s="28"/>
      <c r="S4984" s="28" t="n">
        <f aca="false">R4984*$M4984</f>
        <v>0</v>
      </c>
      <c r="T4984" s="28"/>
      <c r="U4984" s="28" t="n">
        <f aca="false">T4984*$M4984</f>
        <v>0</v>
      </c>
      <c r="V4984" s="28"/>
      <c r="W4984" s="28" t="n">
        <f aca="false">V4984*$M4984</f>
        <v>0</v>
      </c>
      <c r="X4984" s="28"/>
      <c r="Y4984" s="28" t="n">
        <f aca="false">X4984*$M4984</f>
        <v>0</v>
      </c>
      <c r="Z4984" s="28"/>
      <c r="AA4984" s="28" t="n">
        <f aca="false">Z4984*$M4984</f>
        <v>0</v>
      </c>
      <c r="AB4984" s="28"/>
      <c r="AC4984" s="28" t="n">
        <f aca="false">AB4984*$M4984</f>
        <v>0</v>
      </c>
      <c r="AD4984" s="28"/>
      <c r="AE4984" s="28" t="n">
        <f aca="false">AD4984*$M4984</f>
        <v>0</v>
      </c>
      <c r="AF4984" s="28"/>
      <c r="AG4984" s="28" t="n">
        <f aca="false">AF4984*$M4984</f>
        <v>0</v>
      </c>
      <c r="AH4984" s="28" t="n">
        <v>14916</v>
      </c>
      <c r="AI4984" s="28" t="n">
        <v>73088</v>
      </c>
      <c r="AJ4984" s="28"/>
      <c r="AK4984" s="28" t="n">
        <f aca="false">AJ4984*$M4984</f>
        <v>0</v>
      </c>
      <c r="AL4984" s="28"/>
      <c r="AM4984" s="28" t="n">
        <f aca="false">AL4984*$M4984</f>
        <v>0</v>
      </c>
      <c r="AN4984" s="28"/>
      <c r="AO4984" s="28" t="n">
        <f aca="false">AN4984*$M4984</f>
        <v>0</v>
      </c>
      <c r="AP4984" s="28"/>
      <c r="AQ4984" s="28" t="n">
        <f aca="false">AP4984*$M4984</f>
        <v>0</v>
      </c>
      <c r="AR4984" s="28"/>
      <c r="AS4984" s="28" t="n">
        <f aca="false">AR4984*$M4984</f>
        <v>0</v>
      </c>
      <c r="AT4984" s="28"/>
      <c r="AU4984" s="28" t="n">
        <f aca="false">AT4984*$M4984</f>
        <v>0</v>
      </c>
      <c r="AV4984" s="28"/>
      <c r="AW4984" s="28" t="n">
        <f aca="false">AV4984*$M4984</f>
        <v>0</v>
      </c>
      <c r="AX4984" s="28"/>
      <c r="AY4984" s="28" t="n">
        <f aca="false">AX4984*$M4984</f>
        <v>0</v>
      </c>
      <c r="AZ4984" s="30" t="n">
        <v>14916</v>
      </c>
      <c r="BA4984" s="11" t="n">
        <v>73088</v>
      </c>
      <c r="BB4984" s="31" t="n">
        <f aca="false">SUM(Q4984,S4984,U4984,W4984,Y4984,AA4984,AC4984,AE4984,AG4984,AI4984,AK4984,AM4984,AO4984,AQ4984,AS4984,AU4984,AW4984,AY4984)</f>
        <v>73088</v>
      </c>
      <c r="BC4984" s="28" t="n">
        <f aca="false">BA4984-BB4984</f>
        <v>0</v>
      </c>
      <c r="BD4984" s="32" t="n">
        <f aca="false">SUM(P4984,R4984,T4984,V4984,X4984,Z4984,AB4984,AD4984,AF4984,AH4984,AJ4984,AL4984,AN4984,AP4984,AR4984,AT4984,AV4984,AX4984)</f>
        <v>14916</v>
      </c>
      <c r="BE4984" s="33" t="n">
        <f aca="false">AZ4984-BD4984</f>
        <v>0</v>
      </c>
      <c r="BF4984" s="34" t="n">
        <f aca="false">BD4984*M4984</f>
        <v>73088.4</v>
      </c>
      <c r="BG4984" s="35" t="n">
        <f aca="false">BA4984-BF4984</f>
        <v>-0.400000000008731</v>
      </c>
      <c r="BH4984" s="19" t="str">
        <f aca="false">IF(BG4984=0,"",IF(BG4984&lt;&gt;BA4984,"erreur de calcul",IF(BD4984&lt;&gt;0,"pas de prix",IF(M4984&lt;&gt; 0,"pas de quantité","pas de prix, ni de quantité"))))</f>
        <v>erreur de calcul</v>
      </c>
      <c r="BI4984" s="19"/>
    </row>
    <row r="4985" customFormat="false" ht="15" hidden="false" customHeight="false" outlineLevel="0" collapsed="false">
      <c r="A4985" s="0" t="n">
        <v>28</v>
      </c>
      <c r="B4985" s="8" t="s">
        <v>24</v>
      </c>
      <c r="C4985" s="9" t="s">
        <v>25</v>
      </c>
      <c r="D4985" s="9" t="s">
        <v>26</v>
      </c>
      <c r="E4985" s="10" t="n">
        <v>1789</v>
      </c>
      <c r="F4985" s="9" t="s">
        <v>27</v>
      </c>
      <c r="G4985" s="9" t="s">
        <v>27</v>
      </c>
      <c r="H4985" s="11" t="n">
        <v>20</v>
      </c>
      <c r="I4985" s="11" t="s">
        <v>146</v>
      </c>
      <c r="J4985" s="14" t="n">
        <v>126</v>
      </c>
      <c r="K4985" s="14"/>
      <c r="L4985" s="16"/>
      <c r="M4985" s="27"/>
      <c r="N4985" s="17" t="s">
        <v>66</v>
      </c>
      <c r="O4985" s="11" t="s">
        <v>98</v>
      </c>
      <c r="P4985" s="28"/>
      <c r="Q4985" s="28" t="n">
        <f aca="false">P4985*$M4985</f>
        <v>0</v>
      </c>
      <c r="R4985" s="28" t="n">
        <v>82676</v>
      </c>
      <c r="S4985" s="28" t="n">
        <v>28572</v>
      </c>
      <c r="T4985" s="28"/>
      <c r="U4985" s="28" t="n">
        <f aca="false">T4985*$M4985</f>
        <v>0</v>
      </c>
      <c r="V4985" s="28"/>
      <c r="W4985" s="28" t="n">
        <f aca="false">V4985*$M4985</f>
        <v>0</v>
      </c>
      <c r="X4985" s="28"/>
      <c r="Y4985" s="28" t="n">
        <f aca="false">X4985*$M4985</f>
        <v>0</v>
      </c>
      <c r="Z4985" s="28"/>
      <c r="AA4985" s="28" t="n">
        <f aca="false">Z4985*$M4985</f>
        <v>0</v>
      </c>
      <c r="AB4985" s="28"/>
      <c r="AC4985" s="28" t="n">
        <f aca="false">AB4985*$M4985</f>
        <v>0</v>
      </c>
      <c r="AD4985" s="28"/>
      <c r="AE4985" s="28" t="n">
        <f aca="false">AD4985*$M4985</f>
        <v>0</v>
      </c>
      <c r="AF4985" s="28"/>
      <c r="AG4985" s="28" t="n">
        <f aca="false">AF4985*$M4985</f>
        <v>0</v>
      </c>
      <c r="AH4985" s="28" t="n">
        <v>6408925</v>
      </c>
      <c r="AI4985" s="28" t="n">
        <v>8075245</v>
      </c>
      <c r="AJ4985" s="28"/>
      <c r="AK4985" s="28" t="n">
        <f aca="false">AJ4985*$M4985</f>
        <v>0</v>
      </c>
      <c r="AL4985" s="28"/>
      <c r="AM4985" s="28" t="n">
        <f aca="false">AL4985*$M4985</f>
        <v>0</v>
      </c>
      <c r="AN4985" s="28"/>
      <c r="AO4985" s="28" t="n">
        <f aca="false">AN4985*$M4985</f>
        <v>0</v>
      </c>
      <c r="AP4985" s="28"/>
      <c r="AQ4985" s="28" t="n">
        <f aca="false">AP4985*$M4985</f>
        <v>0</v>
      </c>
      <c r="AR4985" s="28"/>
      <c r="AS4985" s="28" t="n">
        <f aca="false">AR4985*$M4985</f>
        <v>0</v>
      </c>
      <c r="AT4985" s="28"/>
      <c r="AU4985" s="28" t="n">
        <f aca="false">AT4985*$M4985</f>
        <v>0</v>
      </c>
      <c r="AV4985" s="28"/>
      <c r="AW4985" s="28" t="n">
        <f aca="false">AV4985*$M4985</f>
        <v>0</v>
      </c>
      <c r="AX4985" s="28"/>
      <c r="AY4985" s="28" t="n">
        <f aca="false">AX4985*$M4985</f>
        <v>0</v>
      </c>
      <c r="AZ4985" s="11" t="n">
        <v>6431601</v>
      </c>
      <c r="BA4985" s="11" t="n">
        <v>8103817</v>
      </c>
      <c r="BB4985" s="31" t="n">
        <f aca="false">SUM(Q4985,S4985,U4985,W4985,Y4985,AA4985,AC4985,AE4985,AG4985,AI4985,AK4985,AM4985,AO4985,AQ4985,AS4985,AU4985,AW4985,AY4985)</f>
        <v>8103817</v>
      </c>
      <c r="BC4985" s="28" t="n">
        <f aca="false">BA4985-BB4985</f>
        <v>0</v>
      </c>
      <c r="BD4985" s="32" t="n">
        <f aca="false">SUM(P4985,R4985,T4985,V4985,X4985,Z4985,AB4985,AD4985,AF4985,AH4985,AJ4985,AL4985,AN4985,AP4985,AR4985,AT4985,AV4985,AX4985)</f>
        <v>6491601</v>
      </c>
      <c r="BE4985" s="33" t="n">
        <f aca="false">AZ4985-BD4985</f>
        <v>-60000</v>
      </c>
      <c r="BF4985" s="34" t="n">
        <f aca="false">BD4985*M4985</f>
        <v>0</v>
      </c>
      <c r="BG4985" s="35" t="n">
        <f aca="false">BA4985-BF4985</f>
        <v>8103817</v>
      </c>
      <c r="BH4985" s="19" t="str">
        <f aca="false">IF(BG4985=0,"",IF(BG4985&lt;&gt;BA4985,"erreur de calcul",IF(BD4985&lt;&gt;0,"pas de prix",IF(M4985&lt;&gt; 0,"pas de quantité","pas de prix, ni de quantité"))))</f>
        <v>pas de prix</v>
      </c>
      <c r="BI4985" s="19" t="s">
        <v>147</v>
      </c>
    </row>
    <row r="4986" customFormat="false" ht="15" hidden="false" customHeight="false" outlineLevel="0" collapsed="false">
      <c r="A4986" s="0" t="n">
        <v>29</v>
      </c>
      <c r="B4986" s="8" t="s">
        <v>24</v>
      </c>
      <c r="C4986" s="9" t="s">
        <v>25</v>
      </c>
      <c r="D4986" s="9" t="s">
        <v>26</v>
      </c>
      <c r="E4986" s="10" t="n">
        <v>1789</v>
      </c>
      <c r="F4986" s="9" t="s">
        <v>27</v>
      </c>
      <c r="G4986" s="9" t="s">
        <v>27</v>
      </c>
      <c r="H4986" s="11" t="n">
        <v>20</v>
      </c>
      <c r="I4986" s="11" t="s">
        <v>148</v>
      </c>
      <c r="J4986" s="14"/>
      <c r="K4986" s="14" t="n">
        <v>20</v>
      </c>
      <c r="L4986" s="16"/>
      <c r="M4986" s="27" t="n">
        <f aca="false">J4986+(K4986/20)+(L4986/240)</f>
        <v>1</v>
      </c>
      <c r="N4986" s="17" t="s">
        <v>66</v>
      </c>
      <c r="O4986" s="11"/>
      <c r="P4986" s="28"/>
      <c r="Q4986" s="28" t="n">
        <f aca="false">P4986*$M4986</f>
        <v>0</v>
      </c>
      <c r="R4986" s="28"/>
      <c r="S4986" s="28" t="n">
        <f aca="false">R4986*$M4986</f>
        <v>0</v>
      </c>
      <c r="T4986" s="28" t="n">
        <v>392</v>
      </c>
      <c r="U4986" s="28" t="n">
        <v>392</v>
      </c>
      <c r="V4986" s="28"/>
      <c r="W4986" s="28" t="n">
        <f aca="false">V4986*$M4986</f>
        <v>0</v>
      </c>
      <c r="X4986" s="28"/>
      <c r="Y4986" s="28" t="n">
        <f aca="false">X4986*$M4986</f>
        <v>0</v>
      </c>
      <c r="Z4986" s="28"/>
      <c r="AA4986" s="28" t="n">
        <f aca="false">Z4986*$M4986</f>
        <v>0</v>
      </c>
      <c r="AB4986" s="28" t="n">
        <v>7596</v>
      </c>
      <c r="AC4986" s="28" t="n">
        <v>7596</v>
      </c>
      <c r="AD4986" s="28"/>
      <c r="AE4986" s="28" t="n">
        <f aca="false">AD4986*$M4986</f>
        <v>0</v>
      </c>
      <c r="AF4986" s="28"/>
      <c r="AG4986" s="28" t="n">
        <f aca="false">AF4986*$M4986</f>
        <v>0</v>
      </c>
      <c r="AH4986" s="28"/>
      <c r="AI4986" s="28" t="n">
        <f aca="false">AH4986*$M4986</f>
        <v>0</v>
      </c>
      <c r="AJ4986" s="28"/>
      <c r="AK4986" s="28" t="n">
        <f aca="false">AJ4986*$M4986</f>
        <v>0</v>
      </c>
      <c r="AL4986" s="28"/>
      <c r="AM4986" s="28" t="n">
        <f aca="false">AL4986*$M4986</f>
        <v>0</v>
      </c>
      <c r="AN4986" s="28"/>
      <c r="AO4986" s="28" t="n">
        <f aca="false">AN4986*$M4986</f>
        <v>0</v>
      </c>
      <c r="AP4986" s="28"/>
      <c r="AQ4986" s="28" t="n">
        <f aca="false">AP4986*$M4986</f>
        <v>0</v>
      </c>
      <c r="AR4986" s="28"/>
      <c r="AS4986" s="28" t="n">
        <f aca="false">AR4986*$M4986</f>
        <v>0</v>
      </c>
      <c r="AT4986" s="28"/>
      <c r="AU4986" s="28" t="n">
        <f aca="false">AT4986*$M4986</f>
        <v>0</v>
      </c>
      <c r="AV4986" s="28"/>
      <c r="AW4986" s="28" t="n">
        <f aca="false">AV4986*$M4986</f>
        <v>0</v>
      </c>
      <c r="AX4986" s="28"/>
      <c r="AY4986" s="28" t="n">
        <f aca="false">AX4986*$M4986</f>
        <v>0</v>
      </c>
      <c r="AZ4986" s="30" t="n">
        <v>7988</v>
      </c>
      <c r="BA4986" s="11" t="n">
        <v>7988</v>
      </c>
      <c r="BB4986" s="31" t="n">
        <f aca="false">SUM(Q4986,S4986,U4986,W4986,Y4986,AA4986,AC4986,AE4986,AG4986,AI4986,AK4986,AM4986,AO4986,AQ4986,AS4986,AU4986,AW4986,AY4986)</f>
        <v>7988</v>
      </c>
      <c r="BC4986" s="28" t="n">
        <f aca="false">BA4986-BB4986</f>
        <v>0</v>
      </c>
      <c r="BD4986" s="32" t="n">
        <f aca="false">SUM(P4986,R4986,T4986,V4986,X4986,Z4986,AB4986,AD4986,AF4986,AH4986,AJ4986,AL4986,AN4986,AP4986,AR4986,AT4986,AV4986,AX4986)</f>
        <v>7988</v>
      </c>
      <c r="BE4986" s="33" t="n">
        <f aca="false">AZ4986-BD4986</f>
        <v>0</v>
      </c>
      <c r="BF4986" s="34" t="n">
        <f aca="false">BD4986*M4986</f>
        <v>7988</v>
      </c>
      <c r="BG4986" s="35" t="n">
        <f aca="false">BA4986-BF4986</f>
        <v>0</v>
      </c>
      <c r="BH4986" s="19" t="str">
        <f aca="false">IF(BG4986=0,"",IF(BG4986&lt;&gt;BA4986,"erreur de calcul",IF(BD4986&lt;&gt;0,"pas de prix",IF(M4986&lt;&gt; 0,"pas de quantité","pas de prix, ni de quantité"))))</f>
        <v/>
      </c>
      <c r="BI4986" s="19"/>
    </row>
    <row r="4987" customFormat="false" ht="15" hidden="false" customHeight="false" outlineLevel="0" collapsed="false">
      <c r="A4987" s="0" t="n">
        <v>30</v>
      </c>
      <c r="B4987" s="8" t="s">
        <v>24</v>
      </c>
      <c r="C4987" s="9" t="s">
        <v>25</v>
      </c>
      <c r="D4987" s="9" t="s">
        <v>26</v>
      </c>
      <c r="E4987" s="10" t="n">
        <v>1789</v>
      </c>
      <c r="F4987" s="9" t="s">
        <v>27</v>
      </c>
      <c r="G4987" s="9" t="s">
        <v>27</v>
      </c>
      <c r="H4987" s="11" t="n">
        <v>20</v>
      </c>
      <c r="I4987" s="11" t="s">
        <v>149</v>
      </c>
      <c r="J4987" s="14" t="n">
        <v>70</v>
      </c>
      <c r="K4987" s="14"/>
      <c r="L4987" s="16"/>
      <c r="M4987" s="27" t="n">
        <f aca="false">J4987+(K4987/20)+(L4987/240)</f>
        <v>70</v>
      </c>
      <c r="N4987" s="17" t="s">
        <v>64</v>
      </c>
      <c r="O4987" s="11"/>
      <c r="P4987" s="28"/>
      <c r="Q4987" s="28" t="n">
        <f aca="false">P4987*$M4987</f>
        <v>0</v>
      </c>
      <c r="R4987" s="28"/>
      <c r="S4987" s="28" t="n">
        <f aca="false">R4987*$M4987</f>
        <v>0</v>
      </c>
      <c r="T4987" s="28"/>
      <c r="U4987" s="28" t="n">
        <f aca="false">T4987*$M4987</f>
        <v>0</v>
      </c>
      <c r="V4987" s="28"/>
      <c r="W4987" s="28" t="n">
        <f aca="false">V4987*$M4987</f>
        <v>0</v>
      </c>
      <c r="X4987" s="28" t="n">
        <f aca="false">1904/100</f>
        <v>19.04</v>
      </c>
      <c r="Y4987" s="28" t="n">
        <v>1333</v>
      </c>
      <c r="Z4987" s="28"/>
      <c r="AA4987" s="28" t="n">
        <f aca="false">Z4987*$M4987</f>
        <v>0</v>
      </c>
      <c r="AB4987" s="28" t="n">
        <f aca="false">51370/100</f>
        <v>513.7</v>
      </c>
      <c r="AC4987" s="28" t="n">
        <v>35959</v>
      </c>
      <c r="AD4987" s="28"/>
      <c r="AE4987" s="28" t="n">
        <f aca="false">AD4987*$M4987</f>
        <v>0</v>
      </c>
      <c r="AF4987" s="28" t="n">
        <f aca="false">8872/100</f>
        <v>88.72</v>
      </c>
      <c r="AG4987" s="28" t="n">
        <v>6210</v>
      </c>
      <c r="AH4987" s="28" t="n">
        <f aca="false">14751/100</f>
        <v>147.51</v>
      </c>
      <c r="AI4987" s="28" t="n">
        <v>10326</v>
      </c>
      <c r="AJ4987" s="28"/>
      <c r="AK4987" s="28" t="n">
        <f aca="false">AJ4987*$M4987</f>
        <v>0</v>
      </c>
      <c r="AL4987" s="28"/>
      <c r="AM4987" s="28" t="n">
        <f aca="false">AL4987*$M4987</f>
        <v>0</v>
      </c>
      <c r="AN4987" s="28"/>
      <c r="AO4987" s="28" t="n">
        <f aca="false">AN4987*$M4987</f>
        <v>0</v>
      </c>
      <c r="AP4987" s="28"/>
      <c r="AQ4987" s="28" t="n">
        <f aca="false">AP4987*$M4987</f>
        <v>0</v>
      </c>
      <c r="AR4987" s="28"/>
      <c r="AS4987" s="28" t="n">
        <f aca="false">AR4987*$M4987</f>
        <v>0</v>
      </c>
      <c r="AT4987" s="28"/>
      <c r="AU4987" s="28" t="n">
        <f aca="false">AT4987*$M4987</f>
        <v>0</v>
      </c>
      <c r="AV4987" s="28"/>
      <c r="AW4987" s="28" t="n">
        <f aca="false">AV4987*$M4987</f>
        <v>0</v>
      </c>
      <c r="AX4987" s="28"/>
      <c r="AY4987" s="28" t="n">
        <f aca="false">AX4987*$M4987</f>
        <v>0</v>
      </c>
      <c r="AZ4987" s="30" t="n">
        <f aca="false">76897/100</f>
        <v>768.97</v>
      </c>
      <c r="BA4987" s="11" t="n">
        <v>53828</v>
      </c>
      <c r="BB4987" s="31" t="n">
        <f aca="false">SUM(Q4987,S4987,U4987,W4987,Y4987,AA4987,AC4987,AE4987,AG4987,AI4987,AK4987,AM4987,AO4987,AQ4987,AS4987,AU4987,AW4987,AY4987)</f>
        <v>53828</v>
      </c>
      <c r="BC4987" s="28" t="n">
        <f aca="false">BA4987-BB4987</f>
        <v>0</v>
      </c>
      <c r="BD4987" s="32" t="n">
        <f aca="false">SUM(P4987,R4987,T4987,V4987,X4987,Z4987,AB4987,AD4987,AF4987,AH4987,AJ4987,AL4987,AN4987,AP4987,AR4987,AT4987,AV4987,AX4987)</f>
        <v>768.97</v>
      </c>
      <c r="BE4987" s="33" t="n">
        <f aca="false">AZ4987-BD4987</f>
        <v>0</v>
      </c>
      <c r="BF4987" s="34" t="n">
        <f aca="false">BD4987*M4987</f>
        <v>53827.9</v>
      </c>
      <c r="BG4987" s="35" t="n">
        <f aca="false">BA4987-BF4987</f>
        <v>0.0999999999985448</v>
      </c>
      <c r="BH4987" s="19" t="str">
        <f aca="false">IF(BG4987=0,"",IF(BG4987&lt;&gt;BA4987,"erreur de calcul",IF(BD4987&lt;&gt;0,"pas de prix",IF(M4987&lt;&gt; 0,"pas de quantité","pas de prix, ni de quantité"))))</f>
        <v>erreur de calcul</v>
      </c>
      <c r="BI4987" s="19"/>
    </row>
    <row r="4988" customFormat="false" ht="15" hidden="false" customHeight="false" outlineLevel="0" collapsed="false">
      <c r="A4988" s="0" t="n">
        <v>31</v>
      </c>
      <c r="B4988" s="8" t="s">
        <v>24</v>
      </c>
      <c r="C4988" s="9" t="s">
        <v>25</v>
      </c>
      <c r="D4988" s="9" t="s">
        <v>26</v>
      </c>
      <c r="E4988" s="10" t="n">
        <v>1789</v>
      </c>
      <c r="F4988" s="9" t="s">
        <v>27</v>
      </c>
      <c r="G4988" s="9" t="s">
        <v>27</v>
      </c>
      <c r="H4988" s="11" t="n">
        <v>20</v>
      </c>
      <c r="I4988" s="11" t="s">
        <v>150</v>
      </c>
      <c r="J4988" s="14" t="n">
        <v>70</v>
      </c>
      <c r="K4988" s="14"/>
      <c r="L4988" s="16"/>
      <c r="M4988" s="27" t="n">
        <f aca="false">J4988+(K4988/20)+(L4988/240)</f>
        <v>70</v>
      </c>
      <c r="N4988" s="17" t="s">
        <v>64</v>
      </c>
      <c r="O4988" s="11" t="s">
        <v>77</v>
      </c>
      <c r="P4988" s="28"/>
      <c r="Q4988" s="28" t="n">
        <f aca="false">P4988*$M4988</f>
        <v>0</v>
      </c>
      <c r="R4988" s="28"/>
      <c r="S4988" s="28" t="n">
        <f aca="false">R4988*$M4988</f>
        <v>0</v>
      </c>
      <c r="T4988" s="28"/>
      <c r="U4988" s="28" t="n">
        <f aca="false">T4988*$M4988</f>
        <v>0</v>
      </c>
      <c r="V4988" s="28"/>
      <c r="W4988" s="28" t="n">
        <f aca="false">V4988*$M4988</f>
        <v>0</v>
      </c>
      <c r="X4988" s="28"/>
      <c r="Y4988" s="28" t="n">
        <f aca="false">X4988*$M4988</f>
        <v>0</v>
      </c>
      <c r="Z4988" s="28"/>
      <c r="AA4988" s="28" t="n">
        <f aca="false">Z4988*$M4988</f>
        <v>0</v>
      </c>
      <c r="AB4988" s="28"/>
      <c r="AC4988" s="28" t="n">
        <f aca="false">AB4988*$M4988</f>
        <v>0</v>
      </c>
      <c r="AD4988" s="28"/>
      <c r="AE4988" s="28" t="n">
        <f aca="false">AD4988*$M4988</f>
        <v>0</v>
      </c>
      <c r="AF4988" s="28"/>
      <c r="AG4988" s="28" t="n">
        <f aca="false">AF4988*$M4988</f>
        <v>0</v>
      </c>
      <c r="AH4988" s="28"/>
      <c r="AI4988" s="28" t="n">
        <f aca="false">AH4988*$M4988</f>
        <v>0</v>
      </c>
      <c r="AJ4988" s="28"/>
      <c r="AK4988" s="28" t="n">
        <f aca="false">AJ4988*$M4988</f>
        <v>0</v>
      </c>
      <c r="AL4988" s="28"/>
      <c r="AM4988" s="28" t="n">
        <f aca="false">AL4988*$M4988</f>
        <v>0</v>
      </c>
      <c r="AN4988" s="28"/>
      <c r="AO4988" s="28" t="n">
        <f aca="false">AN4988*$M4988</f>
        <v>0</v>
      </c>
      <c r="AP4988" s="28"/>
      <c r="AQ4988" s="28" t="n">
        <f aca="false">AP4988*$M4988</f>
        <v>0</v>
      </c>
      <c r="AR4988" s="28"/>
      <c r="AS4988" s="28" t="n">
        <f aca="false">AR4988*$M4988</f>
        <v>0</v>
      </c>
      <c r="AT4988" s="28"/>
      <c r="AU4988" s="28" t="n">
        <f aca="false">AT4988*$M4988</f>
        <v>0</v>
      </c>
      <c r="AV4988" s="28"/>
      <c r="AW4988" s="28" t="n">
        <f aca="false">AV4988*$M4988</f>
        <v>0</v>
      </c>
      <c r="AX4988" s="28"/>
      <c r="AY4988" s="28" t="n">
        <f aca="false">AX4988*$M4988</f>
        <v>0</v>
      </c>
      <c r="AZ4988" s="30"/>
      <c r="BA4988" s="11"/>
      <c r="BB4988" s="31" t="n">
        <f aca="false">SUM(Q4988,S4988,U4988,W4988,Y4988,AA4988,AC4988,AE4988,AG4988,AI4988,AK4988,AM4988,AO4988,AQ4988,AS4988,AU4988,AW4988,AY4988)</f>
        <v>0</v>
      </c>
      <c r="BC4988" s="28" t="n">
        <f aca="false">BA4988-BB4988</f>
        <v>0</v>
      </c>
      <c r="BD4988" s="32" t="n">
        <f aca="false">SUM(P4988,R4988,T4988,V4988,X4988,Z4988,AB4988,AD4988,AF4988,AH4988,AJ4988,AL4988,AN4988,AP4988,AR4988,AT4988,AV4988,AX4988)</f>
        <v>0</v>
      </c>
      <c r="BE4988" s="33" t="n">
        <f aca="false">AZ4988-BD4988</f>
        <v>0</v>
      </c>
      <c r="BF4988" s="34" t="n">
        <f aca="false">BD4988*M4988</f>
        <v>0</v>
      </c>
      <c r="BG4988" s="35" t="n">
        <f aca="false">BA4988-BF4988</f>
        <v>0</v>
      </c>
      <c r="BH4988" s="19" t="str">
        <f aca="false">IF(BG4988=0,"",IF(BG4988&lt;&gt;BA4988,"erreur de calcul",IF(BD4988&lt;&gt;0,"pas de prix",IF(M4988&lt;&gt; 0,"pas de quantité","pas de prix, ni de quantité"))))</f>
        <v/>
      </c>
      <c r="BI4988" s="19"/>
    </row>
    <row r="4989" customFormat="false" ht="15" hidden="false" customHeight="false" outlineLevel="0" collapsed="false">
      <c r="A4989" s="0" t="n">
        <v>32</v>
      </c>
      <c r="B4989" s="8" t="s">
        <v>24</v>
      </c>
      <c r="C4989" s="9" t="s">
        <v>25</v>
      </c>
      <c r="D4989" s="9" t="s">
        <v>26</v>
      </c>
      <c r="E4989" s="10" t="n">
        <v>1789</v>
      </c>
      <c r="F4989" s="9" t="s">
        <v>27</v>
      </c>
      <c r="G4989" s="9" t="s">
        <v>27</v>
      </c>
      <c r="H4989" s="11" t="n">
        <v>20</v>
      </c>
      <c r="I4989" s="11" t="s">
        <v>150</v>
      </c>
      <c r="J4989" s="14" t="n">
        <v>70</v>
      </c>
      <c r="K4989" s="14"/>
      <c r="L4989" s="16"/>
      <c r="M4989" s="27" t="n">
        <f aca="false">J4989+(K4989/20)+(L4989/240)</f>
        <v>70</v>
      </c>
      <c r="N4989" s="17" t="s">
        <v>64</v>
      </c>
      <c r="O4989" s="11" t="s">
        <v>98</v>
      </c>
      <c r="P4989" s="28" t="n">
        <f aca="false">382028/100</f>
        <v>3820.28</v>
      </c>
      <c r="Q4989" s="28" t="n">
        <v>267420</v>
      </c>
      <c r="R4989" s="28" t="n">
        <f aca="false">131361/100</f>
        <v>1313.61</v>
      </c>
      <c r="S4989" s="28" t="n">
        <v>91953</v>
      </c>
      <c r="T4989" s="28" t="n">
        <f aca="false">8856/100</f>
        <v>88.56</v>
      </c>
      <c r="U4989" s="28" t="n">
        <v>6199</v>
      </c>
      <c r="V4989" s="28" t="n">
        <f aca="false">171125/100</f>
        <v>1711.25</v>
      </c>
      <c r="W4989" s="28" t="n">
        <v>119787</v>
      </c>
      <c r="X4989" s="28" t="n">
        <f aca="false">24259/100</f>
        <v>242.59</v>
      </c>
      <c r="Y4989" s="28" t="n">
        <v>16981</v>
      </c>
      <c r="Z4989" s="28"/>
      <c r="AA4989" s="28" t="n">
        <f aca="false">Z4989*$M4989</f>
        <v>0</v>
      </c>
      <c r="AB4989" s="28" t="n">
        <f aca="false">33694/100</f>
        <v>336.94</v>
      </c>
      <c r="AC4989" s="28" t="n">
        <v>23586</v>
      </c>
      <c r="AD4989" s="28" t="n">
        <f aca="false">89734/100</f>
        <v>897.34</v>
      </c>
      <c r="AE4989" s="28" t="n">
        <v>62814</v>
      </c>
      <c r="AF4989" s="28" t="n">
        <f aca="false">1955727/100</f>
        <v>19557.27</v>
      </c>
      <c r="AG4989" s="28" t="n">
        <v>1369009</v>
      </c>
      <c r="AH4989" s="28" t="n">
        <f aca="false">11740/100</f>
        <v>117.4</v>
      </c>
      <c r="AI4989" s="28" t="n">
        <v>8218</v>
      </c>
      <c r="AJ4989" s="28"/>
      <c r="AK4989" s="28" t="n">
        <f aca="false">AJ4989*$M4989</f>
        <v>0</v>
      </c>
      <c r="AL4989" s="28"/>
      <c r="AM4989" s="28" t="n">
        <f aca="false">AL4989*$M4989</f>
        <v>0</v>
      </c>
      <c r="AN4989" s="28"/>
      <c r="AO4989" s="28" t="n">
        <f aca="false">AN4989*$M4989</f>
        <v>0</v>
      </c>
      <c r="AP4989" s="28"/>
      <c r="AQ4989" s="28" t="n">
        <f aca="false">AP4989*$M4989</f>
        <v>0</v>
      </c>
      <c r="AR4989" s="28"/>
      <c r="AS4989" s="28" t="n">
        <f aca="false">AR4989*$M4989</f>
        <v>0</v>
      </c>
      <c r="AT4989" s="28"/>
      <c r="AU4989" s="28" t="n">
        <f aca="false">AT4989*$M4989</f>
        <v>0</v>
      </c>
      <c r="AV4989" s="28" t="n">
        <f aca="false">15000/100</f>
        <v>150</v>
      </c>
      <c r="AW4989" s="28" t="n">
        <v>10500</v>
      </c>
      <c r="AX4989" s="28"/>
      <c r="AY4989" s="28" t="n">
        <f aca="false">AX4989*$M4989</f>
        <v>0</v>
      </c>
      <c r="AZ4989" s="30" t="n">
        <f aca="false">2823524/100</f>
        <v>28235.24</v>
      </c>
      <c r="BA4989" s="11" t="n">
        <v>1976467</v>
      </c>
      <c r="BB4989" s="31" t="n">
        <f aca="false">SUM(Q4989,S4989,U4989,W4989,Y4989,AA4989,AC4989,AE4989,AG4989,AI4989,AK4989,AM4989,AO4989,AQ4989,AS4989,AU4989,AW4989,AY4989)</f>
        <v>1976467</v>
      </c>
      <c r="BC4989" s="28" t="n">
        <f aca="false">BA4989-BB4989</f>
        <v>0</v>
      </c>
      <c r="BD4989" s="32" t="n">
        <f aca="false">SUM(P4989,R4989,T4989,V4989,X4989,Z4989,AB4989,AD4989,AF4989,AH4989,AJ4989,AL4989,AN4989,AP4989,AR4989,AT4989,AV4989,AX4989)</f>
        <v>28235.24</v>
      </c>
      <c r="BE4989" s="33" t="n">
        <f aca="false">AZ4989-BD4989</f>
        <v>0</v>
      </c>
      <c r="BF4989" s="34" t="n">
        <f aca="false">BD4989*M4989</f>
        <v>1976466.8</v>
      </c>
      <c r="BG4989" s="35" t="n">
        <f aca="false">BA4989-BF4989</f>
        <v>0.199999999953434</v>
      </c>
      <c r="BH4989" s="19" t="str">
        <f aca="false">IF(BG4989=0,"",IF(BG4989&lt;&gt;BA4989,"erreur de calcul",IF(BD4989&lt;&gt;0,"pas de prix",IF(M4989&lt;&gt; 0,"pas de quantité","pas de prix, ni de quantité"))))</f>
        <v>erreur de calcul</v>
      </c>
      <c r="BI4989" s="19"/>
    </row>
    <row r="4990" customFormat="false" ht="15" hidden="false" customHeight="false" outlineLevel="0" collapsed="false">
      <c r="A4990" s="0" t="n">
        <v>33</v>
      </c>
      <c r="B4990" s="8" t="s">
        <v>24</v>
      </c>
      <c r="C4990" s="9" t="s">
        <v>25</v>
      </c>
      <c r="D4990" s="9" t="s">
        <v>26</v>
      </c>
      <c r="E4990" s="10" t="n">
        <v>1789</v>
      </c>
      <c r="F4990" s="9" t="s">
        <v>27</v>
      </c>
      <c r="G4990" s="9" t="s">
        <v>27</v>
      </c>
      <c r="H4990" s="11" t="n">
        <v>20</v>
      </c>
      <c r="I4990" s="11" t="s">
        <v>151</v>
      </c>
      <c r="J4990" s="14" t="n">
        <v>150</v>
      </c>
      <c r="K4990" s="14"/>
      <c r="L4990" s="16"/>
      <c r="M4990" s="27" t="n">
        <f aca="false">J4990+(K4990/20)+(L4990/240)</f>
        <v>150</v>
      </c>
      <c r="N4990" s="17" t="s">
        <v>64</v>
      </c>
      <c r="O4990" s="11"/>
      <c r="P4990" s="28"/>
      <c r="Q4990" s="28" t="n">
        <f aca="false">P4990*$M4990</f>
        <v>0</v>
      </c>
      <c r="R4990" s="28"/>
      <c r="S4990" s="28" t="n">
        <f aca="false">R4990*$M4990</f>
        <v>0</v>
      </c>
      <c r="T4990" s="28"/>
      <c r="U4990" s="28" t="n">
        <f aca="false">T4990*$M4990</f>
        <v>0</v>
      </c>
      <c r="V4990" s="28"/>
      <c r="W4990" s="28" t="n">
        <f aca="false">V4990*$M4990</f>
        <v>0</v>
      </c>
      <c r="X4990" s="28"/>
      <c r="Y4990" s="28" t="n">
        <f aca="false">X4990*$M4990</f>
        <v>0</v>
      </c>
      <c r="Z4990" s="28"/>
      <c r="AA4990" s="28" t="n">
        <f aca="false">Z4990*$M4990</f>
        <v>0</v>
      </c>
      <c r="AB4990" s="28"/>
      <c r="AC4990" s="28" t="n">
        <f aca="false">AB4990*$M4990</f>
        <v>0</v>
      </c>
      <c r="AD4990" s="28"/>
      <c r="AE4990" s="28" t="n">
        <f aca="false">AD4990*$M4990</f>
        <v>0</v>
      </c>
      <c r="AF4990" s="28"/>
      <c r="AG4990" s="28" t="n">
        <f aca="false">AF4990*$M4990</f>
        <v>0</v>
      </c>
      <c r="AH4990" s="28"/>
      <c r="AI4990" s="28" t="n">
        <f aca="false">AH4990*$M4990</f>
        <v>0</v>
      </c>
      <c r="AJ4990" s="28"/>
      <c r="AK4990" s="28" t="n">
        <f aca="false">AJ4990*$M4990</f>
        <v>0</v>
      </c>
      <c r="AL4990" s="28" t="n">
        <f aca="false">118785/100</f>
        <v>1187.85</v>
      </c>
      <c r="AM4990" s="28" t="n">
        <v>178177</v>
      </c>
      <c r="AN4990" s="28"/>
      <c r="AO4990" s="28" t="n">
        <f aca="false">AN4990*$M4990</f>
        <v>0</v>
      </c>
      <c r="AP4990" s="28"/>
      <c r="AQ4990" s="28" t="n">
        <f aca="false">AP4990*$M4990</f>
        <v>0</v>
      </c>
      <c r="AR4990" s="28"/>
      <c r="AS4990" s="28" t="n">
        <f aca="false">AR4990*$M4990</f>
        <v>0</v>
      </c>
      <c r="AT4990" s="28"/>
      <c r="AU4990" s="28" t="n">
        <f aca="false">AT4990*$M4990</f>
        <v>0</v>
      </c>
      <c r="AV4990" s="28"/>
      <c r="AW4990" s="28" t="n">
        <f aca="false">AV4990*$M4990</f>
        <v>0</v>
      </c>
      <c r="AX4990" s="28"/>
      <c r="AY4990" s="28" t="n">
        <f aca="false">AX4990*$M4990</f>
        <v>0</v>
      </c>
      <c r="AZ4990" s="30" t="n">
        <f aca="false">118785/100</f>
        <v>1187.85</v>
      </c>
      <c r="BA4990" s="11" t="n">
        <v>178177</v>
      </c>
      <c r="BB4990" s="31" t="n">
        <f aca="false">SUM(Q4990,S4990,U4990,W4990,Y4990,AA4990,AC4990,AE4990,AG4990,AI4990,AK4990,AM4990,AO4990,AQ4990,AS4990,AU4990,AW4990,AY4990)</f>
        <v>178177</v>
      </c>
      <c r="BC4990" s="28" t="n">
        <f aca="false">BA4990-BB4990</f>
        <v>0</v>
      </c>
      <c r="BD4990" s="32" t="n">
        <f aca="false">SUM(P4990,R4990,T4990,V4990,X4990,Z4990,AB4990,AD4990,AF4990,AH4990,AJ4990,AL4990,AN4990,AP4990,AR4990,AT4990,AV4990,AX4990)</f>
        <v>1187.85</v>
      </c>
      <c r="BE4990" s="33" t="n">
        <f aca="false">AZ4990-BD4990</f>
        <v>0</v>
      </c>
      <c r="BF4990" s="34" t="n">
        <f aca="false">BD4990*M4990</f>
        <v>178177.5</v>
      </c>
      <c r="BG4990" s="35" t="n">
        <f aca="false">BA4990-BF4990</f>
        <v>-0.5</v>
      </c>
      <c r="BH4990" s="19" t="str">
        <f aca="false">IF(BG4990=0,"",IF(BG4990&lt;&gt;BA4990,"erreur de calcul",IF(BD4990&lt;&gt;0,"pas de prix",IF(M4990&lt;&gt; 0,"pas de quantité","pas de prix, ni de quantité"))))</f>
        <v>erreur de calcul</v>
      </c>
      <c r="BI4990" s="19"/>
    </row>
    <row r="4991" customFormat="false" ht="15" hidden="false" customHeight="false" outlineLevel="0" collapsed="false">
      <c r="A4991" s="0" t="n">
        <v>34</v>
      </c>
      <c r="B4991" s="8" t="s">
        <v>24</v>
      </c>
      <c r="C4991" s="9" t="s">
        <v>25</v>
      </c>
      <c r="D4991" s="9" t="s">
        <v>26</v>
      </c>
      <c r="E4991" s="10" t="n">
        <v>1789</v>
      </c>
      <c r="F4991" s="9" t="s">
        <v>27</v>
      </c>
      <c r="G4991" s="9" t="s">
        <v>27</v>
      </c>
      <c r="H4991" s="11" t="n">
        <v>20</v>
      </c>
      <c r="I4991" s="11" t="s">
        <v>152</v>
      </c>
      <c r="J4991" s="14" t="n">
        <v>80</v>
      </c>
      <c r="K4991" s="14"/>
      <c r="L4991" s="16"/>
      <c r="M4991" s="27" t="n">
        <f aca="false">J4991+(K4991/20)+(L4991/240)</f>
        <v>80</v>
      </c>
      <c r="N4991" s="17" t="s">
        <v>64</v>
      </c>
      <c r="O4991" s="11"/>
      <c r="P4991" s="28"/>
      <c r="Q4991" s="28" t="n">
        <f aca="false">P4991*$M4991</f>
        <v>0</v>
      </c>
      <c r="R4991" s="28"/>
      <c r="S4991" s="28" t="n">
        <f aca="false">R4991*$M4991</f>
        <v>0</v>
      </c>
      <c r="T4991" s="28"/>
      <c r="U4991" s="28" t="n">
        <f aca="false">T4991*$M4991</f>
        <v>0</v>
      </c>
      <c r="V4991" s="28"/>
      <c r="W4991" s="28" t="n">
        <f aca="false">V4991*$M4991</f>
        <v>0</v>
      </c>
      <c r="X4991" s="28"/>
      <c r="Y4991" s="28" t="n">
        <f aca="false">X4991*$M4991</f>
        <v>0</v>
      </c>
      <c r="Z4991" s="28"/>
      <c r="AA4991" s="28" t="n">
        <f aca="false">Z4991*$M4991</f>
        <v>0</v>
      </c>
      <c r="AB4991" s="28" t="n">
        <f aca="false">3142/100</f>
        <v>31.42</v>
      </c>
      <c r="AC4991" s="28" t="n">
        <v>2514</v>
      </c>
      <c r="AD4991" s="28"/>
      <c r="AE4991" s="28" t="n">
        <f aca="false">AD4991*$M4991</f>
        <v>0</v>
      </c>
      <c r="AF4991" s="28" t="n">
        <f aca="false">4868/100</f>
        <v>48.68</v>
      </c>
      <c r="AG4991" s="36" t="n">
        <v>3874</v>
      </c>
      <c r="AH4991" s="28" t="n">
        <f aca="false">1541601/100</f>
        <v>15416.01</v>
      </c>
      <c r="AI4991" s="28" t="n">
        <v>1233281</v>
      </c>
      <c r="AJ4991" s="28"/>
      <c r="AK4991" s="28" t="n">
        <f aca="false">AJ4991*$M4991</f>
        <v>0</v>
      </c>
      <c r="AL4991" s="28"/>
      <c r="AM4991" s="28" t="n">
        <f aca="false">AL4991*$M4991</f>
        <v>0</v>
      </c>
      <c r="AN4991" s="28"/>
      <c r="AO4991" s="28" t="n">
        <f aca="false">AN4991*$M4991</f>
        <v>0</v>
      </c>
      <c r="AP4991" s="28"/>
      <c r="AQ4991" s="28" t="n">
        <f aca="false">AP4991*$M4991</f>
        <v>0</v>
      </c>
      <c r="AR4991" s="28"/>
      <c r="AS4991" s="28" t="n">
        <f aca="false">AR4991*$M4991</f>
        <v>0</v>
      </c>
      <c r="AT4991" s="28"/>
      <c r="AU4991" s="28" t="n">
        <f aca="false">AT4991*$M4991</f>
        <v>0</v>
      </c>
      <c r="AV4991" s="28"/>
      <c r="AW4991" s="28" t="n">
        <f aca="false">AV4991*$M4991</f>
        <v>0</v>
      </c>
      <c r="AX4991" s="28"/>
      <c r="AY4991" s="28" t="n">
        <f aca="false">AX4991*$M4991</f>
        <v>0</v>
      </c>
      <c r="AZ4991" s="30" t="n">
        <f aca="false">1549611/100</f>
        <v>15496.11</v>
      </c>
      <c r="BA4991" s="11" t="n">
        <v>1239669</v>
      </c>
      <c r="BB4991" s="31" t="n">
        <f aca="false">SUM(Q4991,S4991,U4991,W4991,Y4991,AA4991,AC4991,AE4991,AG4991,AI4991,AK4991,AM4991,AO4991,AQ4991,AS4991,AU4991,AW4991,AY4991)</f>
        <v>1239669</v>
      </c>
      <c r="BC4991" s="28" t="n">
        <f aca="false">BA4991-BB4991</f>
        <v>0</v>
      </c>
      <c r="BD4991" s="32" t="n">
        <f aca="false">SUM(P4991,R4991,T4991,V4991,X4991,Z4991,AB4991,AD4991,AF4991,AH4991,AJ4991,AL4991,AN4991,AP4991,AR4991,AT4991,AV4991,AX4991)</f>
        <v>15496.11</v>
      </c>
      <c r="BE4991" s="33" t="n">
        <f aca="false">AZ4991-BD4991</f>
        <v>0</v>
      </c>
      <c r="BF4991" s="34" t="n">
        <f aca="false">BD4991*M4991</f>
        <v>1239688.8</v>
      </c>
      <c r="BG4991" s="35" t="n">
        <f aca="false">BA4991-BF4991</f>
        <v>-19.8000000000466</v>
      </c>
      <c r="BH4991" s="19" t="str">
        <f aca="false">IF(BG4991=0,"",IF(BG4991&lt;&gt;BA4991,"erreur de calcul",IF(BD4991&lt;&gt;0,"pas de prix",IF(M4991&lt;&gt; 0,"pas de quantité","pas de prix, ni de quantité"))))</f>
        <v>erreur de calcul</v>
      </c>
      <c r="BI4991" s="19"/>
    </row>
    <row r="4992" customFormat="false" ht="15" hidden="false" customHeight="false" outlineLevel="0" collapsed="false">
      <c r="A4992" s="0" t="n">
        <v>35</v>
      </c>
      <c r="B4992" s="8" t="s">
        <v>24</v>
      </c>
      <c r="C4992" s="9" t="s">
        <v>25</v>
      </c>
      <c r="D4992" s="9" t="s">
        <v>26</v>
      </c>
      <c r="E4992" s="10" t="n">
        <v>1789</v>
      </c>
      <c r="F4992" s="9" t="s">
        <v>27</v>
      </c>
      <c r="G4992" s="9" t="s">
        <v>27</v>
      </c>
      <c r="H4992" s="11" t="n">
        <v>20</v>
      </c>
      <c r="I4992" s="11" t="s">
        <v>153</v>
      </c>
      <c r="J4992" s="14" t="n">
        <v>148</v>
      </c>
      <c r="K4992" s="14"/>
      <c r="L4992" s="16"/>
      <c r="M4992" s="27" t="n">
        <f aca="false">J4992+(K4992/20)+(L4992/240)</f>
        <v>148</v>
      </c>
      <c r="N4992" s="17" t="s">
        <v>64</v>
      </c>
      <c r="O4992" s="11"/>
      <c r="P4992" s="28"/>
      <c r="Q4992" s="28" t="n">
        <f aca="false">P4992*$M4992</f>
        <v>0</v>
      </c>
      <c r="R4992" s="28"/>
      <c r="S4992" s="28" t="n">
        <f aca="false">R4992*$M4992</f>
        <v>0</v>
      </c>
      <c r="T4992" s="28"/>
      <c r="U4992" s="28" t="n">
        <f aca="false">T4992*$M4992</f>
        <v>0</v>
      </c>
      <c r="V4992" s="28"/>
      <c r="W4992" s="28" t="n">
        <f aca="false">V4992*$M4992</f>
        <v>0</v>
      </c>
      <c r="X4992" s="28"/>
      <c r="Y4992" s="28" t="n">
        <f aca="false">X4992*$M4992</f>
        <v>0</v>
      </c>
      <c r="Z4992" s="28"/>
      <c r="AA4992" s="28" t="n">
        <f aca="false">Z4992*$M4992</f>
        <v>0</v>
      </c>
      <c r="AB4992" s="28"/>
      <c r="AC4992" s="28" t="n">
        <f aca="false">AB4992*$M4992</f>
        <v>0</v>
      </c>
      <c r="AD4992" s="28"/>
      <c r="AE4992" s="28" t="n">
        <f aca="false">AD4992*$M4992</f>
        <v>0</v>
      </c>
      <c r="AF4992" s="28"/>
      <c r="AG4992" s="28" t="n">
        <f aca="false">AF4992*$M4992</f>
        <v>0</v>
      </c>
      <c r="AH4992" s="28"/>
      <c r="AI4992" s="28" t="n">
        <f aca="false">AH4992*$M4992</f>
        <v>0</v>
      </c>
      <c r="AJ4992" s="28" t="n">
        <f aca="false">1472/100</f>
        <v>14.72</v>
      </c>
      <c r="AK4992" s="28" t="n">
        <v>2178</v>
      </c>
      <c r="AL4992" s="28"/>
      <c r="AM4992" s="28" t="n">
        <f aca="false">AL4992*$M4992</f>
        <v>0</v>
      </c>
      <c r="AN4992" s="28"/>
      <c r="AO4992" s="28" t="n">
        <f aca="false">AN4992*$M4992</f>
        <v>0</v>
      </c>
      <c r="AP4992" s="28"/>
      <c r="AQ4992" s="28" t="n">
        <f aca="false">AP4992*$M4992</f>
        <v>0</v>
      </c>
      <c r="AR4992" s="28"/>
      <c r="AS4992" s="28" t="n">
        <f aca="false">AR4992*$M4992</f>
        <v>0</v>
      </c>
      <c r="AT4992" s="28"/>
      <c r="AU4992" s="28" t="n">
        <f aca="false">AT4992*$M4992</f>
        <v>0</v>
      </c>
      <c r="AV4992" s="28"/>
      <c r="AW4992" s="28" t="n">
        <f aca="false">AV4992*$M4992</f>
        <v>0</v>
      </c>
      <c r="AX4992" s="28"/>
      <c r="AY4992" s="28" t="n">
        <f aca="false">AX4992*$M4992</f>
        <v>0</v>
      </c>
      <c r="AZ4992" s="30" t="n">
        <f aca="false">1472/100</f>
        <v>14.72</v>
      </c>
      <c r="BA4992" s="11" t="n">
        <v>2178</v>
      </c>
      <c r="BB4992" s="31" t="n">
        <f aca="false">SUM(Q4992,S4992,U4992,W4992,Y4992,AA4992,AC4992,AE4992,AG4992,AI4992,AK4992,AM4992,AO4992,AQ4992,AS4992,AU4992,AW4992,AY4992)</f>
        <v>2178</v>
      </c>
      <c r="BC4992" s="28" t="n">
        <f aca="false">BA4992-BB4992</f>
        <v>0</v>
      </c>
      <c r="BD4992" s="32" t="n">
        <f aca="false">SUM(P4992,R4992,T4992,V4992,X4992,Z4992,AB4992,AD4992,AF4992,AH4992,AJ4992,AL4992,AN4992,AP4992,AR4992,AT4992,AV4992,AX4992)</f>
        <v>14.72</v>
      </c>
      <c r="BE4992" s="33" t="n">
        <f aca="false">AZ4992-BD4992</f>
        <v>0</v>
      </c>
      <c r="BF4992" s="34" t="n">
        <f aca="false">BD4992*M4992</f>
        <v>2178.56</v>
      </c>
      <c r="BG4992" s="35" t="n">
        <f aca="false">BA4992-BF4992</f>
        <v>-0.559999999999945</v>
      </c>
      <c r="BH4992" s="19" t="str">
        <f aca="false">IF(BG4992=0,"",IF(BG4992&lt;&gt;BA4992,"erreur de calcul",IF(BD4992&lt;&gt;0,"pas de prix",IF(M4992&lt;&gt; 0,"pas de quantité","pas de prix, ni de quantité"))))</f>
        <v>erreur de calcul</v>
      </c>
      <c r="BI4992" s="19"/>
    </row>
    <row r="4993" customFormat="false" ht="15" hidden="false" customHeight="false" outlineLevel="0" collapsed="false">
      <c r="A4993" s="0" t="n">
        <v>36</v>
      </c>
      <c r="B4993" s="8" t="s">
        <v>24</v>
      </c>
      <c r="C4993" s="9" t="s">
        <v>25</v>
      </c>
      <c r="D4993" s="9" t="s">
        <v>26</v>
      </c>
      <c r="E4993" s="10" t="n">
        <v>1789</v>
      </c>
      <c r="F4993" s="9" t="s">
        <v>27</v>
      </c>
      <c r="G4993" s="9" t="s">
        <v>27</v>
      </c>
      <c r="H4993" s="11" t="n">
        <v>20</v>
      </c>
      <c r="I4993" s="11" t="s">
        <v>154</v>
      </c>
      <c r="J4993" s="14" t="n">
        <v>75</v>
      </c>
      <c r="K4993" s="14"/>
      <c r="L4993" s="16"/>
      <c r="M4993" s="27" t="n">
        <f aca="false">J4993+(K4993/20)+(L4993/240)</f>
        <v>75</v>
      </c>
      <c r="N4993" s="17" t="s">
        <v>64</v>
      </c>
      <c r="O4993" s="11"/>
      <c r="P4993" s="28"/>
      <c r="Q4993" s="28" t="n">
        <f aca="false">P4993*$M4993</f>
        <v>0</v>
      </c>
      <c r="R4993" s="28"/>
      <c r="S4993" s="28" t="n">
        <f aca="false">R4993*$M4993</f>
        <v>0</v>
      </c>
      <c r="T4993" s="28" t="n">
        <f aca="false">627/100</f>
        <v>6.27</v>
      </c>
      <c r="U4993" s="28" t="n">
        <v>470</v>
      </c>
      <c r="V4993" s="28"/>
      <c r="W4993" s="28" t="n">
        <f aca="false">V4993*$M4993</f>
        <v>0</v>
      </c>
      <c r="X4993" s="28"/>
      <c r="Y4993" s="28" t="n">
        <f aca="false">X4993*$M4993</f>
        <v>0</v>
      </c>
      <c r="Z4993" s="28"/>
      <c r="AA4993" s="28" t="n">
        <f aca="false">Z4993*$M4993</f>
        <v>0</v>
      </c>
      <c r="AB4993" s="28"/>
      <c r="AC4993" s="28" t="n">
        <f aca="false">AB4993*$M4993</f>
        <v>0</v>
      </c>
      <c r="AD4993" s="28"/>
      <c r="AE4993" s="28" t="n">
        <f aca="false">AD4993*$M4993</f>
        <v>0</v>
      </c>
      <c r="AF4993" s="28"/>
      <c r="AG4993" s="28" t="n">
        <f aca="false">AF4993*$M4993</f>
        <v>0</v>
      </c>
      <c r="AH4993" s="28"/>
      <c r="AI4993" s="28" t="n">
        <f aca="false">AH4993*$M4993</f>
        <v>0</v>
      </c>
      <c r="AJ4993" s="28"/>
      <c r="AK4993" s="28" t="n">
        <f aca="false">AJ4993*$M4993</f>
        <v>0</v>
      </c>
      <c r="AL4993" s="28"/>
      <c r="AM4993" s="28" t="n">
        <f aca="false">AL4993*$M4993</f>
        <v>0</v>
      </c>
      <c r="AN4993" s="28"/>
      <c r="AO4993" s="28" t="n">
        <f aca="false">AN4993*$M4993</f>
        <v>0</v>
      </c>
      <c r="AP4993" s="28"/>
      <c r="AQ4993" s="28" t="n">
        <f aca="false">AP4993*$M4993</f>
        <v>0</v>
      </c>
      <c r="AR4993" s="28"/>
      <c r="AS4993" s="28" t="n">
        <f aca="false">AR4993*$M4993</f>
        <v>0</v>
      </c>
      <c r="AT4993" s="28"/>
      <c r="AU4993" s="28" t="n">
        <f aca="false">AT4993*$M4993</f>
        <v>0</v>
      </c>
      <c r="AV4993" s="28"/>
      <c r="AW4993" s="28" t="n">
        <f aca="false">AV4993*$M4993</f>
        <v>0</v>
      </c>
      <c r="AX4993" s="28"/>
      <c r="AY4993" s="28" t="n">
        <f aca="false">AX4993*$M4993</f>
        <v>0</v>
      </c>
      <c r="AZ4993" s="30" t="n">
        <f aca="false">627/100</f>
        <v>6.27</v>
      </c>
      <c r="BA4993" s="11" t="n">
        <v>470</v>
      </c>
      <c r="BB4993" s="31" t="n">
        <f aca="false">SUM(Q4993,S4993,U4993,W4993,Y4993,AA4993,AC4993,AE4993,AG4993,AI4993,AK4993,AM4993,AO4993,AQ4993,AS4993,AU4993,AW4993,AY4993)</f>
        <v>470</v>
      </c>
      <c r="BC4993" s="28" t="n">
        <f aca="false">BA4993-BB4993</f>
        <v>0</v>
      </c>
      <c r="BD4993" s="32" t="n">
        <f aca="false">SUM(P4993,R4993,T4993,V4993,X4993,Z4993,AB4993,AD4993,AF4993,AH4993,AJ4993,AL4993,AN4993,AP4993,AR4993,AT4993,AV4993,AX4993)</f>
        <v>6.27</v>
      </c>
      <c r="BE4993" s="33" t="n">
        <f aca="false">AZ4993-BD4993</f>
        <v>0</v>
      </c>
      <c r="BF4993" s="34" t="n">
        <f aca="false">BD4993*M4993</f>
        <v>470.25</v>
      </c>
      <c r="BG4993" s="35" t="n">
        <f aca="false">BA4993-BF4993</f>
        <v>-0.249999999999943</v>
      </c>
      <c r="BH4993" s="19" t="str">
        <f aca="false">IF(BG4993=0,"",IF(BG4993&lt;&gt;BA4993,"erreur de calcul",IF(BD4993&lt;&gt;0,"pas de prix",IF(M4993&lt;&gt; 0,"pas de quantité","pas de prix, ni de quantité"))))</f>
        <v>erreur de calcul</v>
      </c>
      <c r="BI4993" s="19"/>
    </row>
    <row r="4994" customFormat="false" ht="15" hidden="false" customHeight="false" outlineLevel="0" collapsed="false">
      <c r="A4994" s="0" t="n">
        <v>1</v>
      </c>
      <c r="B4994" s="8" t="s">
        <v>24</v>
      </c>
      <c r="C4994" s="9" t="s">
        <v>25</v>
      </c>
      <c r="D4994" s="9" t="s">
        <v>26</v>
      </c>
      <c r="E4994" s="10" t="n">
        <v>1789</v>
      </c>
      <c r="F4994" s="9" t="s">
        <v>27</v>
      </c>
      <c r="G4994" s="9" t="s">
        <v>27</v>
      </c>
      <c r="H4994" s="11" t="n">
        <v>21</v>
      </c>
      <c r="I4994" s="11" t="s">
        <v>155</v>
      </c>
      <c r="J4994" s="14" t="n">
        <v>60</v>
      </c>
      <c r="K4994" s="14"/>
      <c r="L4994" s="16"/>
      <c r="M4994" s="27" t="n">
        <f aca="false">J4994+(K4994/20)+(L4994/240)</f>
        <v>60</v>
      </c>
      <c r="N4994" s="17" t="s">
        <v>66</v>
      </c>
      <c r="O4994" s="11"/>
      <c r="P4994" s="28"/>
      <c r="Q4994" s="28" t="n">
        <f aca="false">P4994*$M4994</f>
        <v>0</v>
      </c>
      <c r="R4994" s="28"/>
      <c r="S4994" s="28" t="n">
        <f aca="false">R4994*$M4994</f>
        <v>0</v>
      </c>
      <c r="T4994" s="28"/>
      <c r="U4994" s="28" t="n">
        <f aca="false">T4994*$M4994</f>
        <v>0</v>
      </c>
      <c r="V4994" s="28" t="n">
        <v>10</v>
      </c>
      <c r="W4994" s="28" t="n">
        <v>600</v>
      </c>
      <c r="X4994" s="28"/>
      <c r="Y4994" s="28" t="n">
        <f aca="false">X4994*$M4994</f>
        <v>0</v>
      </c>
      <c r="Z4994" s="28"/>
      <c r="AA4994" s="28" t="n">
        <f aca="false">Z4994*$M4994</f>
        <v>0</v>
      </c>
      <c r="AB4994" s="28"/>
      <c r="AC4994" s="28" t="n">
        <f aca="false">AB4994*$M4994</f>
        <v>0</v>
      </c>
      <c r="AD4994" s="28"/>
      <c r="AE4994" s="28" t="n">
        <f aca="false">AD4994*$M4994</f>
        <v>0</v>
      </c>
      <c r="AF4994" s="28"/>
      <c r="AG4994" s="28" t="n">
        <f aca="false">AF4994*$M4994</f>
        <v>0</v>
      </c>
      <c r="AH4994" s="28"/>
      <c r="AI4994" s="28" t="n">
        <f aca="false">AH4994*$M4994</f>
        <v>0</v>
      </c>
      <c r="AJ4994" s="28"/>
      <c r="AK4994" s="28" t="n">
        <f aca="false">AJ4994*$M4994</f>
        <v>0</v>
      </c>
      <c r="AL4994" s="28"/>
      <c r="AM4994" s="28" t="n">
        <f aca="false">AL4994*$M4994</f>
        <v>0</v>
      </c>
      <c r="AN4994" s="28"/>
      <c r="AO4994" s="28" t="n">
        <f aca="false">AN4994*$M4994</f>
        <v>0</v>
      </c>
      <c r="AP4994" s="28"/>
      <c r="AQ4994" s="28" t="n">
        <f aca="false">AP4994*$M4994</f>
        <v>0</v>
      </c>
      <c r="AR4994" s="28"/>
      <c r="AS4994" s="28" t="n">
        <f aca="false">AR4994*$M4994</f>
        <v>0</v>
      </c>
      <c r="AT4994" s="28"/>
      <c r="AU4994" s="28" t="n">
        <f aca="false">AT4994*$M4994</f>
        <v>0</v>
      </c>
      <c r="AV4994" s="28"/>
      <c r="AW4994" s="28" t="n">
        <f aca="false">AV4994*$M4994</f>
        <v>0</v>
      </c>
      <c r="AX4994" s="28"/>
      <c r="AY4994" s="28" t="n">
        <f aca="false">AX4994*$M4994</f>
        <v>0</v>
      </c>
      <c r="AZ4994" s="30" t="n">
        <v>10</v>
      </c>
      <c r="BA4994" s="11" t="n">
        <v>600</v>
      </c>
      <c r="BB4994" s="31" t="n">
        <f aca="false">SUM(Q4994,S4994,U4994,W4994,Y4994,AA4994,AC4994,AE4994,AG4994,AI4994,AK4994,AM4994,AO4994,AQ4994,AS4994,AU4994,AW4994,AY4994)</f>
        <v>600</v>
      </c>
      <c r="BC4994" s="28" t="n">
        <f aca="false">BA4994-BB4994</f>
        <v>0</v>
      </c>
      <c r="BD4994" s="32" t="n">
        <f aca="false">SUM(P4994,R4994,T4994,V4994,X4994,Z4994,AB4994,AD4994,AF4994,AH4994,AJ4994,AL4994,AN4994,AP4994,AR4994,AT4994,AV4994,AX4994)</f>
        <v>10</v>
      </c>
      <c r="BE4994" s="33" t="n">
        <f aca="false">AZ4994-BD4994</f>
        <v>0</v>
      </c>
      <c r="BF4994" s="34" t="n">
        <f aca="false">BD4994*M4994</f>
        <v>600</v>
      </c>
      <c r="BG4994" s="35" t="n">
        <f aca="false">BA4994-BF4994</f>
        <v>0</v>
      </c>
      <c r="BH4994" s="19" t="str">
        <f aca="false">IF(BG4994=0,"",IF(BG4994&lt;&gt;BA4994,"erreur de calcul",IF(BD4994&lt;&gt;0,"pas de prix",IF(M4994&lt;&gt; 0,"pas de quantité","pas de prix, ni de quantité"))))</f>
        <v/>
      </c>
      <c r="BI4994" s="19"/>
    </row>
    <row r="4995" customFormat="false" ht="15" hidden="false" customHeight="false" outlineLevel="0" collapsed="false">
      <c r="A4995" s="0" t="n">
        <v>2</v>
      </c>
      <c r="B4995" s="8" t="s">
        <v>24</v>
      </c>
      <c r="C4995" s="9" t="s">
        <v>25</v>
      </c>
      <c r="D4995" s="9" t="s">
        <v>26</v>
      </c>
      <c r="E4995" s="10" t="n">
        <v>1789</v>
      </c>
      <c r="F4995" s="9" t="s">
        <v>27</v>
      </c>
      <c r="G4995" s="9" t="s">
        <v>27</v>
      </c>
      <c r="H4995" s="11" t="n">
        <v>21</v>
      </c>
      <c r="I4995" s="11" t="s">
        <v>156</v>
      </c>
      <c r="J4995" s="14"/>
      <c r="K4995" s="14"/>
      <c r="L4995" s="16"/>
      <c r="M4995" s="27" t="n">
        <f aca="false">J4995+(K4995/20)+(L4995/240)</f>
        <v>0</v>
      </c>
      <c r="N4995" s="17"/>
      <c r="O4995" s="11"/>
      <c r="P4995" s="28"/>
      <c r="Q4995" s="28" t="n">
        <v>304</v>
      </c>
      <c r="R4995" s="28"/>
      <c r="S4995" s="28" t="n">
        <f aca="false">R4995*$M4995</f>
        <v>0</v>
      </c>
      <c r="T4995" s="28"/>
      <c r="U4995" s="28" t="n">
        <f aca="false">T4995*$M4995</f>
        <v>0</v>
      </c>
      <c r="V4995" s="28"/>
      <c r="W4995" s="28" t="n">
        <f aca="false">V4995*$M4995</f>
        <v>0</v>
      </c>
      <c r="X4995" s="28"/>
      <c r="Y4995" s="28" t="n">
        <v>270</v>
      </c>
      <c r="Z4995" s="28"/>
      <c r="AA4995" s="28" t="n">
        <f aca="false">Z4995*$M4995</f>
        <v>0</v>
      </c>
      <c r="AB4995" s="28"/>
      <c r="AC4995" s="28" t="n">
        <f aca="false">AB4995*$M4995</f>
        <v>0</v>
      </c>
      <c r="AD4995" s="28"/>
      <c r="AE4995" s="28" t="n">
        <v>175</v>
      </c>
      <c r="AF4995" s="28"/>
      <c r="AG4995" s="28" t="n">
        <f aca="false">AF4995*$M4995</f>
        <v>0</v>
      </c>
      <c r="AH4995" s="28"/>
      <c r="AI4995" s="28" t="n">
        <f aca="false">AH4995*$M4995</f>
        <v>0</v>
      </c>
      <c r="AJ4995" s="28"/>
      <c r="AK4995" s="28" t="n">
        <v>240</v>
      </c>
      <c r="AL4995" s="28"/>
      <c r="AM4995" s="28" t="n">
        <v>808</v>
      </c>
      <c r="AN4995" s="28"/>
      <c r="AO4995" s="28" t="n">
        <f aca="false">AN4995*$M4995</f>
        <v>0</v>
      </c>
      <c r="AP4995" s="28"/>
      <c r="AQ4995" s="28" t="n">
        <f aca="false">AP4995*$M4995</f>
        <v>0</v>
      </c>
      <c r="AR4995" s="28"/>
      <c r="AS4995" s="28" t="n">
        <f aca="false">AR4995*$M4995</f>
        <v>0</v>
      </c>
      <c r="AT4995" s="28"/>
      <c r="AU4995" s="28" t="n">
        <f aca="false">AT4995*$M4995</f>
        <v>0</v>
      </c>
      <c r="AV4995" s="28"/>
      <c r="AW4995" s="28" t="n">
        <f aca="false">AV4995*$M4995</f>
        <v>0</v>
      </c>
      <c r="AX4995" s="28"/>
      <c r="AY4995" s="28" t="n">
        <f aca="false">AX4995*$M4995</f>
        <v>0</v>
      </c>
      <c r="AZ4995" s="30"/>
      <c r="BA4995" s="11" t="n">
        <v>1797</v>
      </c>
      <c r="BB4995" s="31" t="n">
        <f aca="false">SUM(Q4995,S4995,U4995,W4995,Y4995,AA4995,AC4995,AE4995,AG4995,AI4995,AK4995,AM4995,AO4995,AQ4995,AS4995,AU4995,AW4995,AY4995)</f>
        <v>1797</v>
      </c>
      <c r="BC4995" s="28" t="n">
        <f aca="false">BA4995-BB4995</f>
        <v>0</v>
      </c>
      <c r="BD4995" s="32" t="n">
        <f aca="false">SUM(P4995,R4995,T4995,V4995,X4995,Z4995,AB4995,AD4995,AF4995,AH4995,AJ4995,AL4995,AN4995,AP4995,AR4995,AT4995,AV4995,AX4995)</f>
        <v>0</v>
      </c>
      <c r="BE4995" s="33" t="n">
        <f aca="false">AZ4995-BD4995</f>
        <v>0</v>
      </c>
      <c r="BF4995" s="34" t="n">
        <f aca="false">BD4995*M4995</f>
        <v>0</v>
      </c>
      <c r="BG4995" s="35" t="n">
        <f aca="false">BA4995-BF4995</f>
        <v>1797</v>
      </c>
      <c r="BH4995" s="19" t="str">
        <f aca="false">IF(BG4995=0,"",IF(BG4995&lt;&gt;BA4995,"erreur de calcul",IF(BD4995&lt;&gt;0,"pas de prix",IF(M4995&lt;&gt; 0,"pas de quantité","pas de prix, ni de quantité"))))</f>
        <v>pas de prix, ni de quantité</v>
      </c>
      <c r="BI4995" s="19"/>
    </row>
    <row r="4996" customFormat="false" ht="15" hidden="false" customHeight="false" outlineLevel="0" collapsed="false">
      <c r="A4996" s="0" t="n">
        <v>3</v>
      </c>
      <c r="B4996" s="8" t="s">
        <v>24</v>
      </c>
      <c r="C4996" s="9" t="s">
        <v>25</v>
      </c>
      <c r="D4996" s="9" t="s">
        <v>26</v>
      </c>
      <c r="E4996" s="10" t="n">
        <v>1789</v>
      </c>
      <c r="F4996" s="9" t="s">
        <v>27</v>
      </c>
      <c r="G4996" s="9" t="s">
        <v>27</v>
      </c>
      <c r="H4996" s="11" t="n">
        <v>21</v>
      </c>
      <c r="I4996" s="11" t="s">
        <v>156</v>
      </c>
      <c r="J4996" s="14" t="n">
        <v>175</v>
      </c>
      <c r="K4996" s="14"/>
      <c r="L4996" s="16"/>
      <c r="M4996" s="27" t="n">
        <f aca="false">J4996+(K4996/20)+(L4996/240)</f>
        <v>175</v>
      </c>
      <c r="N4996" s="17" t="s">
        <v>64</v>
      </c>
      <c r="O4996" s="11" t="s">
        <v>98</v>
      </c>
      <c r="P4996" s="28" t="n">
        <f aca="false">3429/100</f>
        <v>34.29</v>
      </c>
      <c r="Q4996" s="28" t="n">
        <v>6001</v>
      </c>
      <c r="R4996" s="28"/>
      <c r="S4996" s="28" t="n">
        <f aca="false">R4996*$M4996</f>
        <v>0</v>
      </c>
      <c r="T4996" s="28" t="n">
        <f aca="false">5135/100</f>
        <v>51.35</v>
      </c>
      <c r="U4996" s="28" t="n">
        <v>8986</v>
      </c>
      <c r="V4996" s="28" t="n">
        <f aca="false">33716/100</f>
        <v>337.16</v>
      </c>
      <c r="W4996" s="28" t="n">
        <v>59003</v>
      </c>
      <c r="X4996" s="28" t="n">
        <f aca="false">14982/100</f>
        <v>149.82</v>
      </c>
      <c r="Y4996" s="28" t="n">
        <v>26218</v>
      </c>
      <c r="Z4996" s="28"/>
      <c r="AA4996" s="28" t="n">
        <f aca="false">Z4996*$M4996</f>
        <v>0</v>
      </c>
      <c r="AB4996" s="28"/>
      <c r="AC4996" s="28" t="n">
        <f aca="false">AB4996*$M4996</f>
        <v>0</v>
      </c>
      <c r="AD4996" s="28"/>
      <c r="AE4996" s="28" t="n">
        <f aca="false">AD4996*$M4996</f>
        <v>0</v>
      </c>
      <c r="AF4996" s="28" t="n">
        <f aca="false">439/100</f>
        <v>4.39</v>
      </c>
      <c r="AG4996" s="28" t="n">
        <v>768</v>
      </c>
      <c r="AH4996" s="28" t="n">
        <f aca="false">163722/100</f>
        <v>1637.22</v>
      </c>
      <c r="AI4996" s="28" t="n">
        <v>286513</v>
      </c>
      <c r="AJ4996" s="28" t="n">
        <f aca="false">17649/100</f>
        <v>176.49</v>
      </c>
      <c r="AK4996" s="28" t="n">
        <v>30886</v>
      </c>
      <c r="AL4996" s="28" t="n">
        <f aca="false">6852/100</f>
        <v>68.52</v>
      </c>
      <c r="AM4996" s="28" t="n">
        <v>11991</v>
      </c>
      <c r="AN4996" s="28"/>
      <c r="AO4996" s="28" t="n">
        <f aca="false">AN4996*$M4996</f>
        <v>0</v>
      </c>
      <c r="AP4996" s="28"/>
      <c r="AQ4996" s="28" t="n">
        <f aca="false">AP4996*$M4996</f>
        <v>0</v>
      </c>
      <c r="AR4996" s="28"/>
      <c r="AS4996" s="28" t="n">
        <f aca="false">AR4996*$M4996</f>
        <v>0</v>
      </c>
      <c r="AT4996" s="28"/>
      <c r="AU4996" s="28" t="n">
        <f aca="false">AT4996*$M4996</f>
        <v>0</v>
      </c>
      <c r="AV4996" s="28"/>
      <c r="AW4996" s="28" t="n">
        <f aca="false">AV4996*$M4996</f>
        <v>0</v>
      </c>
      <c r="AX4996" s="28"/>
      <c r="AY4996" s="28" t="n">
        <f aca="false">AX4996*$M4996</f>
        <v>0</v>
      </c>
      <c r="AZ4996" s="30" t="n">
        <f aca="false">245924/100</f>
        <v>2459.24</v>
      </c>
      <c r="BA4996" s="11" t="n">
        <v>430366</v>
      </c>
      <c r="BB4996" s="31" t="n">
        <f aca="false">SUM(Q4996,S4996,U4996,W4996,Y4996,AA4996,AC4996,AE4996,AG4996,AI4996,AK4996,AM4996,AO4996,AQ4996,AS4996,AU4996,AW4996,AY4996)</f>
        <v>430366</v>
      </c>
      <c r="BC4996" s="28" t="n">
        <f aca="false">BA4996-BB4996</f>
        <v>0</v>
      </c>
      <c r="BD4996" s="32" t="n">
        <f aca="false">SUM(P4996,R4996,T4996,V4996,X4996,Z4996,AB4996,AD4996,AF4996,AH4996,AJ4996,AL4996,AN4996,AP4996,AR4996,AT4996,AV4996,AX4996)</f>
        <v>2459.24</v>
      </c>
      <c r="BE4996" s="33" t="n">
        <f aca="false">AZ4996-BD4996</f>
        <v>0</v>
      </c>
      <c r="BF4996" s="34" t="n">
        <f aca="false">BD4996*M4996</f>
        <v>430367</v>
      </c>
      <c r="BG4996" s="35" t="n">
        <f aca="false">BA4996-BF4996</f>
        <v>-0.999999999941792</v>
      </c>
      <c r="BH4996" s="19" t="str">
        <f aca="false">IF(BG4996=0,"",IF(BG4996&lt;&gt;BA4996,"erreur de calcul",IF(BD4996&lt;&gt;0,"pas de prix",IF(M4996&lt;&gt; 0,"pas de quantité","pas de prix, ni de quantité"))))</f>
        <v>erreur de calcul</v>
      </c>
      <c r="BI4996" s="19"/>
    </row>
    <row r="4997" customFormat="false" ht="15" hidden="false" customHeight="false" outlineLevel="0" collapsed="false">
      <c r="A4997" s="0" t="n">
        <v>4</v>
      </c>
      <c r="B4997" s="8" t="s">
        <v>24</v>
      </c>
      <c r="C4997" s="9" t="s">
        <v>25</v>
      </c>
      <c r="D4997" s="9" t="s">
        <v>26</v>
      </c>
      <c r="E4997" s="10" t="n">
        <v>1789</v>
      </c>
      <c r="F4997" s="9" t="s">
        <v>27</v>
      </c>
      <c r="G4997" s="9" t="s">
        <v>27</v>
      </c>
      <c r="H4997" s="11" t="n">
        <v>21</v>
      </c>
      <c r="I4997" s="11" t="s">
        <v>157</v>
      </c>
      <c r="J4997" s="14" t="n">
        <v>240</v>
      </c>
      <c r="K4997" s="14"/>
      <c r="L4997" s="16"/>
      <c r="M4997" s="27" t="n">
        <f aca="false">J4997+(K4997/20)+(L4997/240)</f>
        <v>240</v>
      </c>
      <c r="N4997" s="17" t="s">
        <v>64</v>
      </c>
      <c r="O4997" s="11"/>
      <c r="P4997" s="28"/>
      <c r="Q4997" s="28" t="n">
        <f aca="false">P4997*$M4997</f>
        <v>0</v>
      </c>
      <c r="R4997" s="28"/>
      <c r="S4997" s="28" t="n">
        <f aca="false">R4997*$M4997</f>
        <v>0</v>
      </c>
      <c r="T4997" s="28"/>
      <c r="U4997" s="28" t="n">
        <f aca="false">T4997*$M4997</f>
        <v>0</v>
      </c>
      <c r="V4997" s="28"/>
      <c r="W4997" s="28" t="n">
        <f aca="false">V4997*$M4997</f>
        <v>0</v>
      </c>
      <c r="X4997" s="28"/>
      <c r="Y4997" s="28" t="n">
        <f aca="false">X4997*$M4997</f>
        <v>0</v>
      </c>
      <c r="Z4997" s="28"/>
      <c r="AA4997" s="28" t="n">
        <f aca="false">Z4997*$M4997</f>
        <v>0</v>
      </c>
      <c r="AB4997" s="28"/>
      <c r="AC4997" s="28" t="n">
        <f aca="false">AB4997*$M4997</f>
        <v>0</v>
      </c>
      <c r="AD4997" s="28"/>
      <c r="AE4997" s="28" t="n">
        <f aca="false">AD4997*$M4997</f>
        <v>0</v>
      </c>
      <c r="AF4997" s="28"/>
      <c r="AG4997" s="28" t="n">
        <f aca="false">AF4997*$M4997</f>
        <v>0</v>
      </c>
      <c r="AH4997" s="28"/>
      <c r="AI4997" s="28" t="n">
        <f aca="false">AH4997*$M4997</f>
        <v>0</v>
      </c>
      <c r="AJ4997" s="28" t="n">
        <f aca="false">290/100</f>
        <v>2.9</v>
      </c>
      <c r="AK4997" s="36" t="n">
        <v>2208</v>
      </c>
      <c r="AL4997" s="28"/>
      <c r="AM4997" s="28" t="n">
        <f aca="false">AL4997*$M4997</f>
        <v>0</v>
      </c>
      <c r="AN4997" s="28"/>
      <c r="AO4997" s="28" t="n">
        <f aca="false">AN4997*$M4997</f>
        <v>0</v>
      </c>
      <c r="AP4997" s="28"/>
      <c r="AQ4997" s="28" t="n">
        <f aca="false">AP4997*$M4997</f>
        <v>0</v>
      </c>
      <c r="AR4997" s="28"/>
      <c r="AS4997" s="28" t="n">
        <f aca="false">AR4997*$M4997</f>
        <v>0</v>
      </c>
      <c r="AT4997" s="28"/>
      <c r="AU4997" s="28" t="n">
        <f aca="false">AT4997*$M4997</f>
        <v>0</v>
      </c>
      <c r="AV4997" s="28"/>
      <c r="AW4997" s="28" t="n">
        <f aca="false">AV4997*$M4997</f>
        <v>0</v>
      </c>
      <c r="AX4997" s="28"/>
      <c r="AY4997" s="28" t="n">
        <f aca="false">AX4997*$M4997</f>
        <v>0</v>
      </c>
      <c r="AZ4997" s="30" t="n">
        <f aca="false">290/100</f>
        <v>2.9</v>
      </c>
      <c r="BA4997" s="11" t="n">
        <v>2208</v>
      </c>
      <c r="BB4997" s="31" t="n">
        <f aca="false">SUM(Q4997,S4997,U4997,W4997,Y4997,AA4997,AC4997,AE4997,AG4997,AI4997,AK4997,AM4997,AO4997,AQ4997,AS4997,AU4997,AW4997,AY4997)</f>
        <v>2208</v>
      </c>
      <c r="BC4997" s="28" t="n">
        <f aca="false">BA4997-BB4997</f>
        <v>0</v>
      </c>
      <c r="BD4997" s="32" t="n">
        <f aca="false">SUM(P4997,R4997,T4997,V4997,X4997,Z4997,AB4997,AD4997,AF4997,AH4997,AJ4997,AL4997,AN4997,AP4997,AR4997,AT4997,AV4997,AX4997)</f>
        <v>2.9</v>
      </c>
      <c r="BE4997" s="33" t="n">
        <f aca="false">AZ4997-BD4997</f>
        <v>0</v>
      </c>
      <c r="BF4997" s="34" t="n">
        <f aca="false">BD4997*M4997</f>
        <v>696</v>
      </c>
      <c r="BG4997" s="35" t="n">
        <f aca="false">BA4997-BF4997</f>
        <v>1512</v>
      </c>
      <c r="BH4997" s="19" t="str">
        <f aca="false">IF(BG4997=0,"",IF(BG4997&lt;&gt;BA4997,"erreur de calcul",IF(BD4997&lt;&gt;0,"pas de prix",IF(M4997&lt;&gt; 0,"pas de quantité","pas de prix, ni de quantité"))))</f>
        <v>erreur de calcul</v>
      </c>
      <c r="BI4997" s="19"/>
    </row>
    <row r="4998" customFormat="false" ht="15" hidden="false" customHeight="false" outlineLevel="0" collapsed="false">
      <c r="A4998" s="0" t="n">
        <v>5</v>
      </c>
      <c r="B4998" s="8" t="s">
        <v>24</v>
      </c>
      <c r="C4998" s="9" t="s">
        <v>25</v>
      </c>
      <c r="D4998" s="9" t="s">
        <v>26</v>
      </c>
      <c r="E4998" s="10" t="n">
        <v>1789</v>
      </c>
      <c r="F4998" s="9" t="s">
        <v>27</v>
      </c>
      <c r="G4998" s="9" t="s">
        <v>27</v>
      </c>
      <c r="H4998" s="11" t="n">
        <v>21</v>
      </c>
      <c r="I4998" s="11" t="s">
        <v>158</v>
      </c>
      <c r="J4998" s="14" t="n">
        <v>115</v>
      </c>
      <c r="K4998" s="14"/>
      <c r="L4998" s="16"/>
      <c r="M4998" s="27" t="n">
        <f aca="false">J4998+(K4998/20)+(L4998/240)</f>
        <v>115</v>
      </c>
      <c r="N4998" s="17" t="s">
        <v>64</v>
      </c>
      <c r="O4998" s="11"/>
      <c r="P4998" s="28"/>
      <c r="Q4998" s="28" t="n">
        <f aca="false">P4998*$M4998</f>
        <v>0</v>
      </c>
      <c r="R4998" s="28"/>
      <c r="S4998" s="28" t="n">
        <f aca="false">R4998*$M4998</f>
        <v>0</v>
      </c>
      <c r="T4998" s="28"/>
      <c r="U4998" s="28" t="n">
        <f aca="false">T4998*$M4998</f>
        <v>0</v>
      </c>
      <c r="V4998" s="28"/>
      <c r="W4998" s="28" t="n">
        <f aca="false">V4998*$M4998</f>
        <v>0</v>
      </c>
      <c r="X4998" s="28"/>
      <c r="Y4998" s="28" t="n">
        <f aca="false">X4998*$M4998</f>
        <v>0</v>
      </c>
      <c r="Z4998" s="28"/>
      <c r="AA4998" s="28" t="n">
        <f aca="false">Z4998*$M4998</f>
        <v>0</v>
      </c>
      <c r="AB4998" s="28"/>
      <c r="AC4998" s="28" t="n">
        <f aca="false">AB4998*$M4998</f>
        <v>0</v>
      </c>
      <c r="AD4998" s="28"/>
      <c r="AE4998" s="28" t="n">
        <f aca="false">AD4998*$M4998</f>
        <v>0</v>
      </c>
      <c r="AF4998" s="28"/>
      <c r="AG4998" s="28" t="n">
        <f aca="false">AF4998*$M4998</f>
        <v>0</v>
      </c>
      <c r="AH4998" s="28" t="n">
        <f aca="false">491552/100</f>
        <v>4915.52</v>
      </c>
      <c r="AI4998" s="28" t="n">
        <v>565285</v>
      </c>
      <c r="AJ4998" s="28"/>
      <c r="AK4998" s="28" t="n">
        <f aca="false">AJ4998*$M4998</f>
        <v>0</v>
      </c>
      <c r="AL4998" s="28"/>
      <c r="AM4998" s="28" t="n">
        <f aca="false">AL4998*$M4998</f>
        <v>0</v>
      </c>
      <c r="AN4998" s="28"/>
      <c r="AO4998" s="28" t="n">
        <f aca="false">AN4998*$M4998</f>
        <v>0</v>
      </c>
      <c r="AP4998" s="28"/>
      <c r="AQ4998" s="28" t="n">
        <f aca="false">AP4998*$M4998</f>
        <v>0</v>
      </c>
      <c r="AR4998" s="28"/>
      <c r="AS4998" s="28" t="n">
        <f aca="false">AR4998*$M4998</f>
        <v>0</v>
      </c>
      <c r="AT4998" s="28"/>
      <c r="AU4998" s="28" t="n">
        <f aca="false">AT4998*$M4998</f>
        <v>0</v>
      </c>
      <c r="AV4998" s="28"/>
      <c r="AW4998" s="28" t="n">
        <f aca="false">AV4998*$M4998</f>
        <v>0</v>
      </c>
      <c r="AX4998" s="28"/>
      <c r="AY4998" s="28" t="n">
        <f aca="false">AX4998*$M4998</f>
        <v>0</v>
      </c>
      <c r="AZ4998" s="30" t="n">
        <f aca="false">491552/100</f>
        <v>4915.52</v>
      </c>
      <c r="BA4998" s="11" t="n">
        <v>565285</v>
      </c>
      <c r="BB4998" s="31" t="n">
        <f aca="false">SUM(Q4998,S4998,U4998,W4998,Y4998,AA4998,AC4998,AE4998,AG4998,AI4998,AK4998,AM4998,AO4998,AQ4998,AS4998,AU4998,AW4998,AY4998)</f>
        <v>565285</v>
      </c>
      <c r="BC4998" s="28" t="n">
        <f aca="false">BA4998-BB4998</f>
        <v>0</v>
      </c>
      <c r="BD4998" s="32" t="n">
        <f aca="false">SUM(P4998,R4998,T4998,V4998,X4998,Z4998,AB4998,AD4998,AF4998,AH4998,AJ4998,AL4998,AN4998,AP4998,AR4998,AT4998,AV4998,AX4998)</f>
        <v>4915.52</v>
      </c>
      <c r="BE4998" s="33" t="n">
        <f aca="false">AZ4998-BD4998</f>
        <v>0</v>
      </c>
      <c r="BF4998" s="34" t="n">
        <f aca="false">BD4998*M4998</f>
        <v>565284.8</v>
      </c>
      <c r="BG4998" s="35" t="n">
        <f aca="false">BA4998-BF4998</f>
        <v>0.199999999953434</v>
      </c>
      <c r="BH4998" s="19" t="str">
        <f aca="false">IF(BG4998=0,"",IF(BG4998&lt;&gt;BA4998,"erreur de calcul",IF(BD4998&lt;&gt;0,"pas de prix",IF(M4998&lt;&gt; 0,"pas de quantité","pas de prix, ni de quantité"))))</f>
        <v>erreur de calcul</v>
      </c>
      <c r="BI4998" s="19"/>
    </row>
    <row r="4999" customFormat="false" ht="15" hidden="false" customHeight="false" outlineLevel="0" collapsed="false">
      <c r="A4999" s="0" t="n">
        <v>6</v>
      </c>
      <c r="B4999" s="8" t="s">
        <v>24</v>
      </c>
      <c r="C4999" s="9" t="s">
        <v>25</v>
      </c>
      <c r="D4999" s="9" t="s">
        <v>26</v>
      </c>
      <c r="E4999" s="10" t="n">
        <v>1789</v>
      </c>
      <c r="F4999" s="9" t="s">
        <v>27</v>
      </c>
      <c r="G4999" s="9" t="s">
        <v>27</v>
      </c>
      <c r="H4999" s="11" t="n">
        <v>21</v>
      </c>
      <c r="I4999" s="11" t="s">
        <v>159</v>
      </c>
      <c r="J4999" s="14" t="n">
        <v>240</v>
      </c>
      <c r="K4999" s="14"/>
      <c r="L4999" s="16"/>
      <c r="M4999" s="27" t="n">
        <f aca="false">J4999+(K4999/20)+(L4999/240)</f>
        <v>240</v>
      </c>
      <c r="N4999" s="17" t="s">
        <v>64</v>
      </c>
      <c r="O4999" s="11"/>
      <c r="P4999" s="28"/>
      <c r="Q4999" s="28" t="n">
        <f aca="false">P4999*$M4999</f>
        <v>0</v>
      </c>
      <c r="R4999" s="28"/>
      <c r="S4999" s="28" t="n">
        <f aca="false">R4999*$M4999</f>
        <v>0</v>
      </c>
      <c r="T4999" s="28"/>
      <c r="U4999" s="28" t="n">
        <f aca="false">T4999*$M4999</f>
        <v>0</v>
      </c>
      <c r="V4999" s="28"/>
      <c r="W4999" s="28" t="n">
        <f aca="false">V4999*$M4999</f>
        <v>0</v>
      </c>
      <c r="X4999" s="28"/>
      <c r="Y4999" s="28" t="n">
        <f aca="false">X4999*$M4999</f>
        <v>0</v>
      </c>
      <c r="Z4999" s="28"/>
      <c r="AA4999" s="28" t="n">
        <f aca="false">Z4999*$M4999</f>
        <v>0</v>
      </c>
      <c r="AB4999" s="28"/>
      <c r="AC4999" s="28" t="n">
        <f aca="false">AB4999*$M4999</f>
        <v>0</v>
      </c>
      <c r="AD4999" s="28"/>
      <c r="AE4999" s="28" t="n">
        <f aca="false">AD4999*$M4999</f>
        <v>0</v>
      </c>
      <c r="AF4999" s="28"/>
      <c r="AG4999" s="28" t="n">
        <f aca="false">AF4999*$M4999</f>
        <v>0</v>
      </c>
      <c r="AH4999" s="28" t="n">
        <f aca="false">46293/100</f>
        <v>462.93</v>
      </c>
      <c r="AI4999" s="28" t="n">
        <v>111103</v>
      </c>
      <c r="AJ4999" s="28"/>
      <c r="AK4999" s="28" t="n">
        <f aca="false">AJ4999*$M4999</f>
        <v>0</v>
      </c>
      <c r="AL4999" s="28"/>
      <c r="AM4999" s="28" t="n">
        <f aca="false">AL4999*$M4999</f>
        <v>0</v>
      </c>
      <c r="AN4999" s="28"/>
      <c r="AO4999" s="28" t="n">
        <f aca="false">AN4999*$M4999</f>
        <v>0</v>
      </c>
      <c r="AP4999" s="28"/>
      <c r="AQ4999" s="28" t="n">
        <f aca="false">AP4999*$M4999</f>
        <v>0</v>
      </c>
      <c r="AR4999" s="28"/>
      <c r="AS4999" s="28" t="n">
        <f aca="false">AR4999*$M4999</f>
        <v>0</v>
      </c>
      <c r="AT4999" s="28"/>
      <c r="AU4999" s="28" t="n">
        <f aca="false">AT4999*$M4999</f>
        <v>0</v>
      </c>
      <c r="AV4999" s="28"/>
      <c r="AW4999" s="28" t="n">
        <f aca="false">AV4999*$M4999</f>
        <v>0</v>
      </c>
      <c r="AX4999" s="28"/>
      <c r="AY4999" s="28" t="n">
        <f aca="false">AX4999*$M4999</f>
        <v>0</v>
      </c>
      <c r="AZ4999" s="30" t="n">
        <f aca="false">46293/100</f>
        <v>462.93</v>
      </c>
      <c r="BA4999" s="11" t="n">
        <v>111103</v>
      </c>
      <c r="BB4999" s="31" t="n">
        <f aca="false">SUM(Q4999,S4999,U4999,W4999,Y4999,AA4999,AC4999,AE4999,AG4999,AI4999,AK4999,AM4999,AO4999,AQ4999,AS4999,AU4999,AW4999,AY4999)</f>
        <v>111103</v>
      </c>
      <c r="BC4999" s="28" t="n">
        <f aca="false">BA4999-BB4999</f>
        <v>0</v>
      </c>
      <c r="BD4999" s="32" t="n">
        <f aca="false">SUM(P4999,R4999,T4999,V4999,X4999,Z4999,AB4999,AD4999,AF4999,AH4999,AJ4999,AL4999,AN4999,AP4999,AR4999,AT4999,AV4999,AX4999)</f>
        <v>462.93</v>
      </c>
      <c r="BE4999" s="33" t="n">
        <f aca="false">AZ4999-BD4999</f>
        <v>0</v>
      </c>
      <c r="BF4999" s="34" t="n">
        <f aca="false">BD4999*M4999</f>
        <v>111103.2</v>
      </c>
      <c r="BG4999" s="35" t="n">
        <f aca="false">BA4999-BF4999</f>
        <v>-0.19999999999709</v>
      </c>
      <c r="BH4999" s="19" t="str">
        <f aca="false">IF(BG4999=0,"",IF(BG4999&lt;&gt;BA4999,"erreur de calcul",IF(BD4999&lt;&gt;0,"pas de prix",IF(M4999&lt;&gt; 0,"pas de quantité","pas de prix, ni de quantité"))))</f>
        <v>erreur de calcul</v>
      </c>
      <c r="BI4999" s="19"/>
    </row>
    <row r="5000" customFormat="false" ht="15" hidden="false" customHeight="false" outlineLevel="0" collapsed="false">
      <c r="A5000" s="0" t="n">
        <v>7</v>
      </c>
      <c r="B5000" s="8" t="s">
        <v>24</v>
      </c>
      <c r="C5000" s="9" t="s">
        <v>25</v>
      </c>
      <c r="D5000" s="9" t="s">
        <v>26</v>
      </c>
      <c r="E5000" s="10" t="n">
        <v>1789</v>
      </c>
      <c r="F5000" s="9" t="s">
        <v>27</v>
      </c>
      <c r="G5000" s="9" t="s">
        <v>27</v>
      </c>
      <c r="H5000" s="11" t="n">
        <v>21</v>
      </c>
      <c r="I5000" s="11" t="s">
        <v>160</v>
      </c>
      <c r="J5000" s="14" t="n">
        <v>70</v>
      </c>
      <c r="K5000" s="14"/>
      <c r="L5000" s="16"/>
      <c r="M5000" s="27" t="n">
        <f aca="false">J5000+(K5000/20)+(L5000/240)</f>
        <v>70</v>
      </c>
      <c r="N5000" s="17" t="s">
        <v>64</v>
      </c>
      <c r="O5000" s="11"/>
      <c r="P5000" s="28"/>
      <c r="Q5000" s="28" t="n">
        <f aca="false">P5000*$M5000</f>
        <v>0</v>
      </c>
      <c r="R5000" s="28"/>
      <c r="S5000" s="28" t="n">
        <f aca="false">R5000*$M5000</f>
        <v>0</v>
      </c>
      <c r="T5000" s="28"/>
      <c r="U5000" s="28" t="n">
        <f aca="false">T5000*$M5000</f>
        <v>0</v>
      </c>
      <c r="V5000" s="28"/>
      <c r="W5000" s="28" t="n">
        <f aca="false">V5000*$M5000</f>
        <v>0</v>
      </c>
      <c r="X5000" s="28"/>
      <c r="Y5000" s="28" t="n">
        <f aca="false">X5000*$M5000</f>
        <v>0</v>
      </c>
      <c r="Z5000" s="28"/>
      <c r="AA5000" s="28" t="n">
        <f aca="false">Z5000*$M5000</f>
        <v>0</v>
      </c>
      <c r="AB5000" s="28"/>
      <c r="AC5000" s="28" t="n">
        <f aca="false">AB5000*$M5000</f>
        <v>0</v>
      </c>
      <c r="AD5000" s="28"/>
      <c r="AE5000" s="28" t="n">
        <f aca="false">AD5000*$M5000</f>
        <v>0</v>
      </c>
      <c r="AF5000" s="28" t="n">
        <f aca="false">125849/100</f>
        <v>1258.49</v>
      </c>
      <c r="AG5000" s="28" t="n">
        <v>88094</v>
      </c>
      <c r="AH5000" s="28"/>
      <c r="AI5000" s="28" t="n">
        <f aca="false">AH5000*$M5000</f>
        <v>0</v>
      </c>
      <c r="AJ5000" s="28"/>
      <c r="AK5000" s="28" t="n">
        <f aca="false">AJ5000*$M5000</f>
        <v>0</v>
      </c>
      <c r="AL5000" s="28"/>
      <c r="AM5000" s="28" t="n">
        <f aca="false">AL5000*$M5000</f>
        <v>0</v>
      </c>
      <c r="AN5000" s="28"/>
      <c r="AO5000" s="28" t="n">
        <f aca="false">AN5000*$M5000</f>
        <v>0</v>
      </c>
      <c r="AP5000" s="28"/>
      <c r="AQ5000" s="28" t="n">
        <f aca="false">AP5000*$M5000</f>
        <v>0</v>
      </c>
      <c r="AR5000" s="28"/>
      <c r="AS5000" s="28" t="n">
        <f aca="false">AR5000*$M5000</f>
        <v>0</v>
      </c>
      <c r="AT5000" s="28"/>
      <c r="AU5000" s="28" t="n">
        <f aca="false">AT5000*$M5000</f>
        <v>0</v>
      </c>
      <c r="AV5000" s="28"/>
      <c r="AW5000" s="28" t="n">
        <f aca="false">AV5000*$M5000</f>
        <v>0</v>
      </c>
      <c r="AX5000" s="28"/>
      <c r="AY5000" s="28" t="n">
        <f aca="false">AX5000*$M5000</f>
        <v>0</v>
      </c>
      <c r="AZ5000" s="30" t="n">
        <f aca="false">125849/100</f>
        <v>1258.49</v>
      </c>
      <c r="BA5000" s="11" t="n">
        <v>88094</v>
      </c>
      <c r="BB5000" s="31" t="n">
        <f aca="false">SUM(Q5000,S5000,U5000,W5000,Y5000,AA5000,AC5000,AE5000,AG5000,AI5000,AK5000,AM5000,AO5000,AQ5000,AS5000,AU5000,AW5000,AY5000)</f>
        <v>88094</v>
      </c>
      <c r="BC5000" s="28" t="n">
        <f aca="false">BA5000-BB5000</f>
        <v>0</v>
      </c>
      <c r="BD5000" s="32" t="n">
        <f aca="false">SUM(P5000,R5000,T5000,V5000,X5000,Z5000,AB5000,AD5000,AF5000,AH5000,AJ5000,AL5000,AN5000,AP5000,AR5000,AT5000,AV5000,AX5000)</f>
        <v>1258.49</v>
      </c>
      <c r="BE5000" s="33" t="n">
        <f aca="false">AZ5000-BD5000</f>
        <v>0</v>
      </c>
      <c r="BF5000" s="34" t="n">
        <f aca="false">BD5000*M5000</f>
        <v>88094.3</v>
      </c>
      <c r="BG5000" s="35" t="n">
        <f aca="false">BA5000-BF5000</f>
        <v>-0.30000000000291</v>
      </c>
      <c r="BH5000" s="19" t="str">
        <f aca="false">IF(BG5000=0,"",IF(BG5000&lt;&gt;BA5000,"erreur de calcul",IF(BD5000&lt;&gt;0,"pas de prix",IF(M5000&lt;&gt; 0,"pas de quantité","pas de prix, ni de quantité"))))</f>
        <v>erreur de calcul</v>
      </c>
      <c r="BI5000" s="19"/>
    </row>
    <row r="5001" customFormat="false" ht="15" hidden="false" customHeight="false" outlineLevel="0" collapsed="false">
      <c r="A5001" s="0" t="n">
        <v>8</v>
      </c>
      <c r="B5001" s="8" t="s">
        <v>24</v>
      </c>
      <c r="C5001" s="9" t="s">
        <v>25</v>
      </c>
      <c r="D5001" s="9" t="s">
        <v>26</v>
      </c>
      <c r="E5001" s="10" t="n">
        <v>1789</v>
      </c>
      <c r="F5001" s="9" t="s">
        <v>27</v>
      </c>
      <c r="G5001" s="9" t="s">
        <v>27</v>
      </c>
      <c r="H5001" s="11" t="n">
        <v>21</v>
      </c>
      <c r="I5001" s="11" t="s">
        <v>161</v>
      </c>
      <c r="J5001" s="14" t="n">
        <v>50</v>
      </c>
      <c r="K5001" s="14"/>
      <c r="L5001" s="16"/>
      <c r="M5001" s="27" t="n">
        <f aca="false">J5001+(K5001/20)+(L5001/240)</f>
        <v>50</v>
      </c>
      <c r="N5001" s="17" t="s">
        <v>64</v>
      </c>
      <c r="O5001" s="11"/>
      <c r="P5001" s="28"/>
      <c r="Q5001" s="28" t="n">
        <f aca="false">P5001*$M5001</f>
        <v>0</v>
      </c>
      <c r="R5001" s="28"/>
      <c r="S5001" s="28" t="n">
        <f aca="false">R5001*$M5001</f>
        <v>0</v>
      </c>
      <c r="T5001" s="28"/>
      <c r="U5001" s="28" t="n">
        <f aca="false">T5001*$M5001</f>
        <v>0</v>
      </c>
      <c r="V5001" s="28" t="n">
        <f aca="false">18055/100</f>
        <v>180.55</v>
      </c>
      <c r="W5001" s="28" t="n">
        <v>9027</v>
      </c>
      <c r="X5001" s="28" t="n">
        <f aca="false">17880/100</f>
        <v>178.8</v>
      </c>
      <c r="Y5001" s="28" t="n">
        <v>8940</v>
      </c>
      <c r="Z5001" s="28"/>
      <c r="AA5001" s="28" t="n">
        <f aca="false">Z5001*$M5001</f>
        <v>0</v>
      </c>
      <c r="AB5001" s="28" t="n">
        <f aca="false">104483/100</f>
        <v>1044.83</v>
      </c>
      <c r="AC5001" s="28" t="n">
        <v>52241</v>
      </c>
      <c r="AD5001" s="28"/>
      <c r="AE5001" s="28" t="n">
        <f aca="false">AD5001*$M5001</f>
        <v>0</v>
      </c>
      <c r="AF5001" s="28"/>
      <c r="AG5001" s="28" t="n">
        <f aca="false">AF5001*$M5001</f>
        <v>0</v>
      </c>
      <c r="AH5001" s="28"/>
      <c r="AI5001" s="28" t="n">
        <f aca="false">AH5001*$M5001</f>
        <v>0</v>
      </c>
      <c r="AJ5001" s="28"/>
      <c r="AK5001" s="28" t="n">
        <f aca="false">AJ5001*$M5001</f>
        <v>0</v>
      </c>
      <c r="AL5001" s="28"/>
      <c r="AM5001" s="28" t="n">
        <f aca="false">AL5001*$M5001</f>
        <v>0</v>
      </c>
      <c r="AN5001" s="28"/>
      <c r="AO5001" s="28" t="n">
        <f aca="false">AN5001*$M5001</f>
        <v>0</v>
      </c>
      <c r="AP5001" s="28"/>
      <c r="AQ5001" s="28" t="n">
        <f aca="false">AP5001*$M5001</f>
        <v>0</v>
      </c>
      <c r="AR5001" s="28"/>
      <c r="AS5001" s="28" t="n">
        <f aca="false">AR5001*$M5001</f>
        <v>0</v>
      </c>
      <c r="AT5001" s="28"/>
      <c r="AU5001" s="28" t="n">
        <f aca="false">AT5001*$M5001</f>
        <v>0</v>
      </c>
      <c r="AV5001" s="28"/>
      <c r="AW5001" s="28" t="n">
        <f aca="false">AV5001*$M5001</f>
        <v>0</v>
      </c>
      <c r="AX5001" s="28"/>
      <c r="AY5001" s="28" t="n">
        <f aca="false">AX5001*$M5001</f>
        <v>0</v>
      </c>
      <c r="AZ5001" s="30" t="n">
        <f aca="false">140418/100</f>
        <v>1404.18</v>
      </c>
      <c r="BA5001" s="11" t="n">
        <v>70208</v>
      </c>
      <c r="BB5001" s="31" t="n">
        <f aca="false">SUM(Q5001,S5001,U5001,W5001,Y5001,AA5001,AC5001,AE5001,AG5001,AI5001,AK5001,AM5001,AO5001,AQ5001,AS5001,AU5001,AW5001,AY5001)</f>
        <v>70208</v>
      </c>
      <c r="BC5001" s="28" t="n">
        <f aca="false">BA5001-BB5001</f>
        <v>0</v>
      </c>
      <c r="BD5001" s="32" t="n">
        <f aca="false">SUM(P5001,R5001,T5001,V5001,X5001,Z5001,AB5001,AD5001,AF5001,AH5001,AJ5001,AL5001,AN5001,AP5001,AR5001,AT5001,AV5001,AX5001)</f>
        <v>1404.18</v>
      </c>
      <c r="BE5001" s="33" t="n">
        <f aca="false">AZ5001-BD5001</f>
        <v>0</v>
      </c>
      <c r="BF5001" s="34" t="n">
        <f aca="false">BD5001*M5001</f>
        <v>70209</v>
      </c>
      <c r="BG5001" s="35" t="n">
        <f aca="false">BA5001-BF5001</f>
        <v>-0.999999999985448</v>
      </c>
      <c r="BH5001" s="19" t="str">
        <f aca="false">IF(BG5001=0,"",IF(BG5001&lt;&gt;BA5001,"erreur de calcul",IF(BD5001&lt;&gt;0,"pas de prix",IF(M5001&lt;&gt; 0,"pas de quantité","pas de prix, ni de quantité"))))</f>
        <v>erreur de calcul</v>
      </c>
      <c r="BI5001" s="19"/>
    </row>
    <row r="5002" customFormat="false" ht="15" hidden="false" customHeight="false" outlineLevel="0" collapsed="false">
      <c r="A5002" s="0" t="n">
        <v>9</v>
      </c>
      <c r="B5002" s="8" t="s">
        <v>24</v>
      </c>
      <c r="C5002" s="9" t="s">
        <v>25</v>
      </c>
      <c r="D5002" s="9" t="s">
        <v>26</v>
      </c>
      <c r="E5002" s="10" t="n">
        <v>1789</v>
      </c>
      <c r="F5002" s="9" t="s">
        <v>27</v>
      </c>
      <c r="G5002" s="9" t="s">
        <v>27</v>
      </c>
      <c r="H5002" s="11" t="n">
        <v>21</v>
      </c>
      <c r="I5002" s="11" t="s">
        <v>162</v>
      </c>
      <c r="J5002" s="14" t="n">
        <v>250</v>
      </c>
      <c r="K5002" s="14"/>
      <c r="L5002" s="16"/>
      <c r="M5002" s="27" t="n">
        <f aca="false">J5002+(K5002/20)+(L5002/240)</f>
        <v>250</v>
      </c>
      <c r="N5002" s="17" t="s">
        <v>64</v>
      </c>
      <c r="O5002" s="11"/>
      <c r="P5002" s="28"/>
      <c r="Q5002" s="28" t="n">
        <f aca="false">P5002*$M5002</f>
        <v>0</v>
      </c>
      <c r="R5002" s="28"/>
      <c r="S5002" s="28" t="n">
        <f aca="false">R5002*$M5002</f>
        <v>0</v>
      </c>
      <c r="T5002" s="28"/>
      <c r="U5002" s="28" t="n">
        <f aca="false">T5002*$M5002</f>
        <v>0</v>
      </c>
      <c r="V5002" s="28"/>
      <c r="W5002" s="28" t="n">
        <f aca="false">V5002*$M5002</f>
        <v>0</v>
      </c>
      <c r="X5002" s="28"/>
      <c r="Y5002" s="28" t="n">
        <f aca="false">X5002*$M5002</f>
        <v>0</v>
      </c>
      <c r="Z5002" s="28"/>
      <c r="AA5002" s="28" t="n">
        <f aca="false">Z5002*$M5002</f>
        <v>0</v>
      </c>
      <c r="AB5002" s="28"/>
      <c r="AC5002" s="28" t="n">
        <f aca="false">AB5002*$M5002</f>
        <v>0</v>
      </c>
      <c r="AD5002" s="28"/>
      <c r="AE5002" s="28" t="n">
        <f aca="false">AD5002*$M5002</f>
        <v>0</v>
      </c>
      <c r="AF5002" s="28"/>
      <c r="AG5002" s="28" t="n">
        <f aca="false">AF5002*$M5002</f>
        <v>0</v>
      </c>
      <c r="AH5002" s="28" t="n">
        <f aca="false">2306/100</f>
        <v>23.06</v>
      </c>
      <c r="AI5002" s="36" t="n">
        <v>5073</v>
      </c>
      <c r="AJ5002" s="28"/>
      <c r="AK5002" s="28" t="n">
        <f aca="false">AJ5002*$M5002</f>
        <v>0</v>
      </c>
      <c r="AL5002" s="28"/>
      <c r="AM5002" s="28" t="n">
        <f aca="false">AL5002*$M5002</f>
        <v>0</v>
      </c>
      <c r="AN5002" s="28"/>
      <c r="AO5002" s="28" t="n">
        <f aca="false">AN5002*$M5002</f>
        <v>0</v>
      </c>
      <c r="AP5002" s="28"/>
      <c r="AQ5002" s="28" t="n">
        <f aca="false">AP5002*$M5002</f>
        <v>0</v>
      </c>
      <c r="AR5002" s="28"/>
      <c r="AS5002" s="28" t="n">
        <f aca="false">AR5002*$M5002</f>
        <v>0</v>
      </c>
      <c r="AT5002" s="28"/>
      <c r="AU5002" s="28" t="n">
        <f aca="false">AT5002*$M5002</f>
        <v>0</v>
      </c>
      <c r="AV5002" s="28"/>
      <c r="AW5002" s="28" t="n">
        <f aca="false">AV5002*$M5002</f>
        <v>0</v>
      </c>
      <c r="AX5002" s="28"/>
      <c r="AY5002" s="28" t="n">
        <f aca="false">AX5002*$M5002</f>
        <v>0</v>
      </c>
      <c r="AZ5002" s="30" t="n">
        <f aca="false">2306/100</f>
        <v>23.06</v>
      </c>
      <c r="BA5002" s="11" t="n">
        <v>5073</v>
      </c>
      <c r="BB5002" s="31" t="n">
        <f aca="false">SUM(Q5002,S5002,U5002,W5002,Y5002,AA5002,AC5002,AE5002,AG5002,AI5002,AK5002,AM5002,AO5002,AQ5002,AS5002,AU5002,AW5002,AY5002)</f>
        <v>5073</v>
      </c>
      <c r="BC5002" s="28" t="n">
        <f aca="false">BA5002-BB5002</f>
        <v>0</v>
      </c>
      <c r="BD5002" s="32" t="n">
        <f aca="false">SUM(P5002,R5002,T5002,V5002,X5002,Z5002,AB5002,AD5002,AF5002,AH5002,AJ5002,AL5002,AN5002,AP5002,AR5002,AT5002,AV5002,AX5002)</f>
        <v>23.06</v>
      </c>
      <c r="BE5002" s="33" t="n">
        <f aca="false">AZ5002-BD5002</f>
        <v>0</v>
      </c>
      <c r="BF5002" s="34" t="n">
        <f aca="false">BD5002*M5002</f>
        <v>5765</v>
      </c>
      <c r="BG5002" s="35" t="n">
        <f aca="false">BA5002-BF5002</f>
        <v>-692</v>
      </c>
      <c r="BH5002" s="19" t="str">
        <f aca="false">IF(BG5002=0,"",IF(BG5002&lt;&gt;BA5002,"erreur de calcul",IF(BD5002&lt;&gt;0,"pas de prix",IF(M5002&lt;&gt; 0,"pas de quantité","pas de prix, ni de quantité"))))</f>
        <v>erreur de calcul</v>
      </c>
      <c r="BI5002" s="19"/>
    </row>
    <row r="5003" customFormat="false" ht="15" hidden="false" customHeight="false" outlineLevel="0" collapsed="false">
      <c r="A5003" s="0" t="n">
        <v>10</v>
      </c>
      <c r="B5003" s="8" t="s">
        <v>24</v>
      </c>
      <c r="C5003" s="9" t="s">
        <v>25</v>
      </c>
      <c r="D5003" s="9" t="s">
        <v>26</v>
      </c>
      <c r="E5003" s="10" t="n">
        <v>1789</v>
      </c>
      <c r="F5003" s="9" t="s">
        <v>27</v>
      </c>
      <c r="G5003" s="9" t="s">
        <v>27</v>
      </c>
      <c r="H5003" s="11" t="n">
        <v>21</v>
      </c>
      <c r="I5003" s="11" t="s">
        <v>163</v>
      </c>
      <c r="J5003" s="14"/>
      <c r="K5003" s="14"/>
      <c r="L5003" s="16"/>
      <c r="M5003" s="27" t="n">
        <f aca="false">J5003+(K5003/20)+(L5003/240)</f>
        <v>0</v>
      </c>
      <c r="N5003" s="17"/>
      <c r="O5003" s="11"/>
      <c r="P5003" s="28"/>
      <c r="Q5003" s="28" t="n">
        <v>1571</v>
      </c>
      <c r="R5003" s="28"/>
      <c r="S5003" s="28" t="n">
        <f aca="false">R5003*$M5003</f>
        <v>0</v>
      </c>
      <c r="T5003" s="28"/>
      <c r="U5003" s="28" t="n">
        <v>182</v>
      </c>
      <c r="V5003" s="28"/>
      <c r="W5003" s="28" t="n">
        <v>1801</v>
      </c>
      <c r="X5003" s="28"/>
      <c r="Y5003" s="28" t="n">
        <v>214</v>
      </c>
      <c r="Z5003" s="28"/>
      <c r="AA5003" s="28" t="n">
        <f aca="false">Z5003*$M5003</f>
        <v>0</v>
      </c>
      <c r="AB5003" s="28"/>
      <c r="AC5003" s="28" t="n">
        <v>401</v>
      </c>
      <c r="AD5003" s="28"/>
      <c r="AE5003" s="28" t="n">
        <f aca="false">AD5003*$M5003</f>
        <v>0</v>
      </c>
      <c r="AF5003" s="28"/>
      <c r="AG5003" s="28" t="n">
        <f aca="false">AF5003*$M5003</f>
        <v>0</v>
      </c>
      <c r="AH5003" s="28"/>
      <c r="AI5003" s="28" t="n">
        <f aca="false">AH5003*$M5003</f>
        <v>0</v>
      </c>
      <c r="AJ5003" s="28"/>
      <c r="AK5003" s="28" t="n">
        <v>760</v>
      </c>
      <c r="AL5003" s="28"/>
      <c r="AM5003" s="28" t="n">
        <f aca="false">AL5003*$M5003</f>
        <v>0</v>
      </c>
      <c r="AN5003" s="28"/>
      <c r="AO5003" s="28" t="n">
        <f aca="false">AN5003*$M5003</f>
        <v>0</v>
      </c>
      <c r="AP5003" s="28"/>
      <c r="AQ5003" s="28" t="n">
        <f aca="false">AP5003*$M5003</f>
        <v>0</v>
      </c>
      <c r="AR5003" s="28"/>
      <c r="AS5003" s="28" t="n">
        <f aca="false">AR5003*$M5003</f>
        <v>0</v>
      </c>
      <c r="AT5003" s="28"/>
      <c r="AU5003" s="28" t="n">
        <f aca="false">AT5003*$M5003</f>
        <v>0</v>
      </c>
      <c r="AV5003" s="28"/>
      <c r="AW5003" s="28" t="n">
        <f aca="false">AV5003*$M5003</f>
        <v>0</v>
      </c>
      <c r="AX5003" s="28"/>
      <c r="AY5003" s="28" t="n">
        <f aca="false">AX5003*$M5003</f>
        <v>0</v>
      </c>
      <c r="AZ5003" s="30"/>
      <c r="BA5003" s="11" t="n">
        <v>4929</v>
      </c>
      <c r="BB5003" s="31" t="n">
        <f aca="false">SUM(Q5003,S5003,U5003,W5003,Y5003,AA5003,AC5003,AE5003,AG5003,AI5003,AK5003,AM5003,AO5003,AQ5003,AS5003,AU5003,AW5003,AY5003)</f>
        <v>4929</v>
      </c>
      <c r="BC5003" s="28" t="n">
        <f aca="false">BA5003-BB5003</f>
        <v>0</v>
      </c>
      <c r="BD5003" s="32" t="n">
        <f aca="false">SUM(P5003,R5003,T5003,V5003,X5003,Z5003,AB5003,AD5003,AF5003,AH5003,AJ5003,AL5003,AN5003,AP5003,AR5003,AT5003,AV5003,AX5003)</f>
        <v>0</v>
      </c>
      <c r="BE5003" s="33" t="n">
        <f aca="false">AZ5003-BD5003</f>
        <v>0</v>
      </c>
      <c r="BF5003" s="34" t="n">
        <f aca="false">BD5003*M5003</f>
        <v>0</v>
      </c>
      <c r="BG5003" s="35" t="n">
        <f aca="false">BA5003-BF5003</f>
        <v>4929</v>
      </c>
      <c r="BH5003" s="19" t="str">
        <f aca="false">IF(BG5003=0,"",IF(BG5003&lt;&gt;BA5003,"erreur de calcul",IF(BD5003&lt;&gt;0,"pas de prix",IF(M5003&lt;&gt; 0,"pas de quantité","pas de prix, ni de quantité"))))</f>
        <v>pas de prix, ni de quantité</v>
      </c>
      <c r="BI5003" s="19"/>
    </row>
    <row r="5004" customFormat="false" ht="15" hidden="false" customHeight="false" outlineLevel="0" collapsed="false">
      <c r="A5004" s="0" t="n">
        <v>11</v>
      </c>
      <c r="B5004" s="8" t="s">
        <v>24</v>
      </c>
      <c r="C5004" s="9" t="s">
        <v>25</v>
      </c>
      <c r="D5004" s="9" t="s">
        <v>26</v>
      </c>
      <c r="E5004" s="10" t="n">
        <v>1789</v>
      </c>
      <c r="F5004" s="9" t="s">
        <v>27</v>
      </c>
      <c r="G5004" s="9" t="s">
        <v>27</v>
      </c>
      <c r="H5004" s="11" t="n">
        <v>21</v>
      </c>
      <c r="I5004" s="11" t="s">
        <v>164</v>
      </c>
      <c r="J5004" s="14" t="n">
        <v>580</v>
      </c>
      <c r="K5004" s="14"/>
      <c r="L5004" s="16"/>
      <c r="M5004" s="27" t="n">
        <f aca="false">J5004+(K5004/20)+(L5004/240)</f>
        <v>580</v>
      </c>
      <c r="N5004" s="17" t="s">
        <v>64</v>
      </c>
      <c r="O5004" s="11"/>
      <c r="P5004" s="28" t="n">
        <f aca="false">294/100</f>
        <v>2.94</v>
      </c>
      <c r="Q5004" s="28" t="n">
        <v>1705</v>
      </c>
      <c r="R5004" s="28"/>
      <c r="S5004" s="28" t="n">
        <f aca="false">R5004*$M5004</f>
        <v>0</v>
      </c>
      <c r="T5004" s="28"/>
      <c r="U5004" s="28" t="n">
        <f aca="false">T5004*$M5004</f>
        <v>0</v>
      </c>
      <c r="V5004" s="28"/>
      <c r="W5004" s="28" t="n">
        <f aca="false">V5004*$M5004</f>
        <v>0</v>
      </c>
      <c r="X5004" s="28"/>
      <c r="Y5004" s="28" t="n">
        <f aca="false">X5004*$M5004</f>
        <v>0</v>
      </c>
      <c r="Z5004" s="28"/>
      <c r="AA5004" s="28" t="n">
        <f aca="false">Z5004*$M5004</f>
        <v>0</v>
      </c>
      <c r="AB5004" s="28"/>
      <c r="AC5004" s="28" t="n">
        <f aca="false">AB5004*$M5004</f>
        <v>0</v>
      </c>
      <c r="AD5004" s="28"/>
      <c r="AE5004" s="28" t="n">
        <f aca="false">AD5004*$M5004</f>
        <v>0</v>
      </c>
      <c r="AF5004" s="28"/>
      <c r="AG5004" s="28" t="n">
        <f aca="false">AF5004*$M5004</f>
        <v>0</v>
      </c>
      <c r="AH5004" s="28"/>
      <c r="AI5004" s="28" t="n">
        <f aca="false">AH5004*$M5004</f>
        <v>0</v>
      </c>
      <c r="AJ5004" s="28"/>
      <c r="AK5004" s="28" t="n">
        <f aca="false">AJ5004*$M5004</f>
        <v>0</v>
      </c>
      <c r="AL5004" s="28"/>
      <c r="AM5004" s="28" t="n">
        <f aca="false">AL5004*$M5004</f>
        <v>0</v>
      </c>
      <c r="AN5004" s="28"/>
      <c r="AO5004" s="28" t="n">
        <f aca="false">AN5004*$M5004</f>
        <v>0</v>
      </c>
      <c r="AP5004" s="28"/>
      <c r="AQ5004" s="28" t="n">
        <f aca="false">AP5004*$M5004</f>
        <v>0</v>
      </c>
      <c r="AR5004" s="28"/>
      <c r="AS5004" s="28" t="n">
        <f aca="false">AR5004*$M5004</f>
        <v>0</v>
      </c>
      <c r="AT5004" s="28"/>
      <c r="AU5004" s="28" t="n">
        <f aca="false">AT5004*$M5004</f>
        <v>0</v>
      </c>
      <c r="AV5004" s="28"/>
      <c r="AW5004" s="28" t="n">
        <f aca="false">AV5004*$M5004</f>
        <v>0</v>
      </c>
      <c r="AX5004" s="28"/>
      <c r="AY5004" s="28" t="n">
        <f aca="false">AX5004*$M5004</f>
        <v>0</v>
      </c>
      <c r="AZ5004" s="30" t="n">
        <f aca="false">294/100</f>
        <v>2.94</v>
      </c>
      <c r="BA5004" s="11" t="n">
        <v>1705</v>
      </c>
      <c r="BB5004" s="31" t="n">
        <f aca="false">SUM(Q5004,S5004,U5004,W5004,Y5004,AA5004,AC5004,AE5004,AG5004,AI5004,AK5004,AM5004,AO5004,AQ5004,AS5004,AU5004,AW5004,AY5004)</f>
        <v>1705</v>
      </c>
      <c r="BC5004" s="28" t="n">
        <f aca="false">BA5004-BB5004</f>
        <v>0</v>
      </c>
      <c r="BD5004" s="32" t="n">
        <f aca="false">SUM(P5004,R5004,T5004,V5004,X5004,Z5004,AB5004,AD5004,AF5004,AH5004,AJ5004,AL5004,AN5004,AP5004,AR5004,AT5004,AV5004,AX5004)</f>
        <v>2.94</v>
      </c>
      <c r="BE5004" s="33" t="n">
        <f aca="false">AZ5004-BD5004</f>
        <v>0</v>
      </c>
      <c r="BF5004" s="34" t="n">
        <f aca="false">BD5004*M5004</f>
        <v>1705.2</v>
      </c>
      <c r="BG5004" s="35" t="n">
        <f aca="false">BA5004-BF5004</f>
        <v>-0.200000000000045</v>
      </c>
      <c r="BH5004" s="19" t="str">
        <f aca="false">IF(BG5004=0,"",IF(BG5004&lt;&gt;BA5004,"erreur de calcul",IF(BD5004&lt;&gt;0,"pas de prix",IF(M5004&lt;&gt; 0,"pas de quantité","pas de prix, ni de quantité"))))</f>
        <v>erreur de calcul</v>
      </c>
      <c r="BI5004" s="19"/>
    </row>
    <row r="5005" customFormat="false" ht="15" hidden="false" customHeight="false" outlineLevel="0" collapsed="false">
      <c r="A5005" s="0" t="n">
        <v>12</v>
      </c>
      <c r="B5005" s="8" t="s">
        <v>24</v>
      </c>
      <c r="C5005" s="9" t="s">
        <v>25</v>
      </c>
      <c r="D5005" s="9" t="s">
        <v>26</v>
      </c>
      <c r="E5005" s="10" t="n">
        <v>1789</v>
      </c>
      <c r="F5005" s="9" t="s">
        <v>27</v>
      </c>
      <c r="G5005" s="9" t="s">
        <v>27</v>
      </c>
      <c r="H5005" s="11" t="n">
        <v>21</v>
      </c>
      <c r="I5005" s="11" t="s">
        <v>165</v>
      </c>
      <c r="J5005" s="14" t="n">
        <v>180</v>
      </c>
      <c r="K5005" s="14"/>
      <c r="L5005" s="16"/>
      <c r="M5005" s="27" t="n">
        <f aca="false">J5005+(K5005/20)+(L5005/240)</f>
        <v>180</v>
      </c>
      <c r="N5005" s="17" t="s">
        <v>64</v>
      </c>
      <c r="O5005" s="11"/>
      <c r="P5005" s="28"/>
      <c r="Q5005" s="28" t="n">
        <f aca="false">P5005*$M5005</f>
        <v>0</v>
      </c>
      <c r="R5005" s="28"/>
      <c r="S5005" s="28" t="n">
        <f aca="false">R5005*$M5005</f>
        <v>0</v>
      </c>
      <c r="T5005" s="28"/>
      <c r="U5005" s="28" t="n">
        <f aca="false">T5005*$M5005</f>
        <v>0</v>
      </c>
      <c r="V5005" s="28"/>
      <c r="W5005" s="28" t="n">
        <f aca="false">V5005*$M5005</f>
        <v>0</v>
      </c>
      <c r="X5005" s="28"/>
      <c r="Y5005" s="28" t="n">
        <f aca="false">X5005*$M5005</f>
        <v>0</v>
      </c>
      <c r="Z5005" s="28"/>
      <c r="AA5005" s="28" t="n">
        <f aca="false">Z5005*$M5005</f>
        <v>0</v>
      </c>
      <c r="AB5005" s="28"/>
      <c r="AC5005" s="28" t="n">
        <f aca="false">AB5005*$M5005</f>
        <v>0</v>
      </c>
      <c r="AD5005" s="28"/>
      <c r="AE5005" s="28" t="n">
        <f aca="false">AD5005*$M5005</f>
        <v>0</v>
      </c>
      <c r="AF5005" s="28"/>
      <c r="AG5005" s="28" t="n">
        <f aca="false">AF5005*$M5005</f>
        <v>0</v>
      </c>
      <c r="AH5005" s="28"/>
      <c r="AI5005" s="28" t="n">
        <f aca="false">AH5005*$M5005</f>
        <v>0</v>
      </c>
      <c r="AJ5005" s="28"/>
      <c r="AK5005" s="28" t="n">
        <f aca="false">AJ5005*$M5005</f>
        <v>0</v>
      </c>
      <c r="AL5005" s="28"/>
      <c r="AM5005" s="28" t="n">
        <f aca="false">AL5005*$M5005</f>
        <v>0</v>
      </c>
      <c r="AN5005" s="28" t="n">
        <f aca="false">13754/100</f>
        <v>137.54</v>
      </c>
      <c r="AO5005" s="28" t="n">
        <v>24757</v>
      </c>
      <c r="AP5005" s="28"/>
      <c r="AQ5005" s="28" t="n">
        <f aca="false">AP5005*$M5005</f>
        <v>0</v>
      </c>
      <c r="AR5005" s="28"/>
      <c r="AS5005" s="28" t="n">
        <f aca="false">AR5005*$M5005</f>
        <v>0</v>
      </c>
      <c r="AT5005" s="28"/>
      <c r="AU5005" s="28" t="n">
        <f aca="false">AT5005*$M5005</f>
        <v>0</v>
      </c>
      <c r="AV5005" s="28"/>
      <c r="AW5005" s="28" t="n">
        <f aca="false">AV5005*$M5005</f>
        <v>0</v>
      </c>
      <c r="AX5005" s="28"/>
      <c r="AY5005" s="28" t="n">
        <f aca="false">AX5005*$M5005</f>
        <v>0</v>
      </c>
      <c r="AZ5005" s="30" t="n">
        <f aca="false">17360/100</f>
        <v>173.6</v>
      </c>
      <c r="BA5005" s="11" t="n">
        <v>24757</v>
      </c>
      <c r="BB5005" s="31" t="n">
        <f aca="false">SUM(Q5005,S5005,U5005,W5005,Y5005,AA5005,AC5005,AE5005,AG5005,AI5005,AK5005,AM5005,AO5005,AQ5005,AS5005,AU5005,AW5005,AY5005)</f>
        <v>24757</v>
      </c>
      <c r="BC5005" s="28" t="n">
        <f aca="false">BA5005-BB5005</f>
        <v>0</v>
      </c>
      <c r="BD5005" s="32" t="n">
        <f aca="false">SUM(P5005,R5005,T5005,V5005,X5005,Z5005,AB5005,AD5005,AF5005,AH5005,AJ5005,AL5005,AN5005,AP5005,AR5005,AT5005,AV5005,AX5005)</f>
        <v>137.54</v>
      </c>
      <c r="BE5005" s="33" t="n">
        <f aca="false">AZ5005-BD5005</f>
        <v>36.06</v>
      </c>
      <c r="BF5005" s="34" t="n">
        <f aca="false">BD5005*M5005</f>
        <v>24757.2</v>
      </c>
      <c r="BG5005" s="35" t="n">
        <f aca="false">BA5005-BF5005</f>
        <v>-0.19999999999709</v>
      </c>
      <c r="BH5005" s="19" t="str">
        <f aca="false">IF(BG5005=0,"",IF(BG5005&lt;&gt;BA5005,"erreur de calcul",IF(BD5005&lt;&gt;0,"pas de prix",IF(M5005&lt;&gt; 0,"pas de quantité","pas de prix, ni de quantité"))))</f>
        <v>erreur de calcul</v>
      </c>
      <c r="BI5005" s="19"/>
    </row>
    <row r="5006" customFormat="false" ht="15" hidden="false" customHeight="false" outlineLevel="0" collapsed="false">
      <c r="A5006" s="0" t="n">
        <v>13</v>
      </c>
      <c r="B5006" s="8" t="s">
        <v>24</v>
      </c>
      <c r="C5006" s="9" t="s">
        <v>25</v>
      </c>
      <c r="D5006" s="9" t="s">
        <v>26</v>
      </c>
      <c r="E5006" s="10" t="n">
        <v>1789</v>
      </c>
      <c r="F5006" s="9" t="s">
        <v>27</v>
      </c>
      <c r="G5006" s="9" t="s">
        <v>27</v>
      </c>
      <c r="H5006" s="11" t="n">
        <v>21</v>
      </c>
      <c r="I5006" s="11" t="s">
        <v>166</v>
      </c>
      <c r="J5006" s="14" t="n">
        <v>90</v>
      </c>
      <c r="K5006" s="14"/>
      <c r="L5006" s="16"/>
      <c r="M5006" s="27" t="n">
        <f aca="false">J5006+(K5006/20)+(L5006/240)</f>
        <v>90</v>
      </c>
      <c r="N5006" s="17" t="s">
        <v>64</v>
      </c>
      <c r="O5006" s="11"/>
      <c r="P5006" s="28" t="n">
        <f aca="false">3606/100</f>
        <v>36.06</v>
      </c>
      <c r="Q5006" s="28" t="n">
        <v>3245</v>
      </c>
      <c r="R5006" s="28"/>
      <c r="S5006" s="28" t="n">
        <f aca="false">R5006*$M5006</f>
        <v>0</v>
      </c>
      <c r="T5006" s="28"/>
      <c r="U5006" s="28" t="n">
        <f aca="false">T5006*$M5006</f>
        <v>0</v>
      </c>
      <c r="V5006" s="28"/>
      <c r="W5006" s="28" t="n">
        <f aca="false">V5006*$M5006</f>
        <v>0</v>
      </c>
      <c r="X5006" s="28"/>
      <c r="Y5006" s="28" t="n">
        <f aca="false">X5006*$M5006</f>
        <v>0</v>
      </c>
      <c r="Z5006" s="28"/>
      <c r="AA5006" s="28" t="n">
        <f aca="false">Z5006*$M5006</f>
        <v>0</v>
      </c>
      <c r="AB5006" s="28"/>
      <c r="AC5006" s="28" t="n">
        <f aca="false">AB5006*$M5006</f>
        <v>0</v>
      </c>
      <c r="AD5006" s="28"/>
      <c r="AE5006" s="28" t="n">
        <f aca="false">AD5006*$M5006</f>
        <v>0</v>
      </c>
      <c r="AF5006" s="28"/>
      <c r="AG5006" s="28" t="n">
        <f aca="false">AF5006*$M5006</f>
        <v>0</v>
      </c>
      <c r="AH5006" s="28"/>
      <c r="AI5006" s="28" t="n">
        <f aca="false">AH5006*$M5006</f>
        <v>0</v>
      </c>
      <c r="AJ5006" s="28"/>
      <c r="AK5006" s="28" t="n">
        <f aca="false">AJ5006*$M5006</f>
        <v>0</v>
      </c>
      <c r="AL5006" s="28"/>
      <c r="AM5006" s="28" t="n">
        <f aca="false">AL5006*$M5006</f>
        <v>0</v>
      </c>
      <c r="AN5006" s="28"/>
      <c r="AO5006" s="28" t="n">
        <f aca="false">AN5006*$M5006</f>
        <v>0</v>
      </c>
      <c r="AP5006" s="28"/>
      <c r="AQ5006" s="28" t="n">
        <f aca="false">AP5006*$M5006</f>
        <v>0</v>
      </c>
      <c r="AR5006" s="28"/>
      <c r="AS5006" s="28" t="n">
        <f aca="false">AR5006*$M5006</f>
        <v>0</v>
      </c>
      <c r="AT5006" s="28"/>
      <c r="AU5006" s="28" t="n">
        <f aca="false">AT5006*$M5006</f>
        <v>0</v>
      </c>
      <c r="AV5006" s="28"/>
      <c r="AW5006" s="28" t="n">
        <f aca="false">AV5006*$M5006</f>
        <v>0</v>
      </c>
      <c r="AX5006" s="28"/>
      <c r="AY5006" s="28" t="n">
        <f aca="false">AX5006*$M5006</f>
        <v>0</v>
      </c>
      <c r="AZ5006" s="30" t="n">
        <f aca="false">3606/100</f>
        <v>36.06</v>
      </c>
      <c r="BA5006" s="11" t="n">
        <v>3245</v>
      </c>
      <c r="BB5006" s="31" t="n">
        <f aca="false">SUM(Q5006,S5006,U5006,W5006,Y5006,AA5006,AC5006,AE5006,AG5006,AI5006,AK5006,AM5006,AO5006,AQ5006,AS5006,AU5006,AW5006,AY5006)</f>
        <v>3245</v>
      </c>
      <c r="BC5006" s="28" t="n">
        <f aca="false">BA5006-BB5006</f>
        <v>0</v>
      </c>
      <c r="BD5006" s="32" t="n">
        <f aca="false">SUM(P5006,R5006,T5006,V5006,X5006,Z5006,AB5006,AD5006,AF5006,AH5006,AJ5006,AL5006,AN5006,AP5006,AR5006,AT5006,AV5006,AX5006)</f>
        <v>36.06</v>
      </c>
      <c r="BE5006" s="33" t="n">
        <f aca="false">AZ5006-BD5006</f>
        <v>0</v>
      </c>
      <c r="BF5006" s="34" t="n">
        <f aca="false">BD5006*M5006</f>
        <v>3245.4</v>
      </c>
      <c r="BG5006" s="35" t="n">
        <f aca="false">BA5006-BF5006</f>
        <v>-0.400000000000091</v>
      </c>
      <c r="BH5006" s="19" t="str">
        <f aca="false">IF(BG5006=0,"",IF(BG5006&lt;&gt;BA5006,"erreur de calcul",IF(BD5006&lt;&gt;0,"pas de prix",IF(M5006&lt;&gt; 0,"pas de quantité","pas de prix, ni de quantité"))))</f>
        <v>erreur de calcul</v>
      </c>
      <c r="BI5006" s="19"/>
    </row>
    <row r="5007" customFormat="false" ht="15" hidden="false" customHeight="false" outlineLevel="0" collapsed="false">
      <c r="A5007" s="0" t="n">
        <v>14</v>
      </c>
      <c r="B5007" s="8" t="s">
        <v>24</v>
      </c>
      <c r="C5007" s="9" t="s">
        <v>25</v>
      </c>
      <c r="D5007" s="9" t="s">
        <v>26</v>
      </c>
      <c r="E5007" s="10" t="n">
        <v>1789</v>
      </c>
      <c r="F5007" s="9" t="s">
        <v>27</v>
      </c>
      <c r="G5007" s="9" t="s">
        <v>27</v>
      </c>
      <c r="H5007" s="11" t="n">
        <v>21</v>
      </c>
      <c r="I5007" s="11" t="s">
        <v>167</v>
      </c>
      <c r="J5007" s="14" t="n">
        <v>60</v>
      </c>
      <c r="K5007" s="14"/>
      <c r="L5007" s="16"/>
      <c r="M5007" s="27" t="n">
        <f aca="false">J5007+(K5007/20)+(L5007/240)</f>
        <v>60</v>
      </c>
      <c r="N5007" s="17" t="s">
        <v>64</v>
      </c>
      <c r="O5007" s="11"/>
      <c r="P5007" s="28" t="n">
        <f aca="false">19377/100</f>
        <v>193.77</v>
      </c>
      <c r="Q5007" s="28" t="n">
        <v>11626</v>
      </c>
      <c r="R5007" s="28"/>
      <c r="S5007" s="28" t="n">
        <f aca="false">R5007*$M5007</f>
        <v>0</v>
      </c>
      <c r="T5007" s="28"/>
      <c r="U5007" s="28" t="n">
        <f aca="false">T5007*$M5007</f>
        <v>0</v>
      </c>
      <c r="V5007" s="28"/>
      <c r="W5007" s="28" t="n">
        <f aca="false">V5007*$M5007</f>
        <v>0</v>
      </c>
      <c r="X5007" s="28"/>
      <c r="Y5007" s="28" t="n">
        <f aca="false">X5007*$M5007</f>
        <v>0</v>
      </c>
      <c r="Z5007" s="28"/>
      <c r="AA5007" s="28" t="n">
        <f aca="false">Z5007*$M5007</f>
        <v>0</v>
      </c>
      <c r="AB5007" s="28"/>
      <c r="AC5007" s="28" t="n">
        <f aca="false">AB5007*$M5007</f>
        <v>0</v>
      </c>
      <c r="AD5007" s="28"/>
      <c r="AE5007" s="28" t="n">
        <f aca="false">AD5007*$M5007</f>
        <v>0</v>
      </c>
      <c r="AF5007" s="28"/>
      <c r="AG5007" s="28" t="n">
        <f aca="false">AF5007*$M5007</f>
        <v>0</v>
      </c>
      <c r="AH5007" s="28"/>
      <c r="AI5007" s="28" t="n">
        <f aca="false">AH5007*$M5007</f>
        <v>0</v>
      </c>
      <c r="AJ5007" s="28"/>
      <c r="AK5007" s="28" t="n">
        <f aca="false">AJ5007*$M5007</f>
        <v>0</v>
      </c>
      <c r="AL5007" s="28"/>
      <c r="AM5007" s="28" t="n">
        <f aca="false">AL5007*$M5007</f>
        <v>0</v>
      </c>
      <c r="AN5007" s="28"/>
      <c r="AO5007" s="28" t="n">
        <f aca="false">AN5007*$M5007</f>
        <v>0</v>
      </c>
      <c r="AP5007" s="28"/>
      <c r="AQ5007" s="28" t="n">
        <f aca="false">AP5007*$M5007</f>
        <v>0</v>
      </c>
      <c r="AR5007" s="28"/>
      <c r="AS5007" s="28" t="n">
        <f aca="false">AR5007*$M5007</f>
        <v>0</v>
      </c>
      <c r="AT5007" s="28"/>
      <c r="AU5007" s="28" t="n">
        <f aca="false">AT5007*$M5007</f>
        <v>0</v>
      </c>
      <c r="AV5007" s="28"/>
      <c r="AW5007" s="28" t="n">
        <f aca="false">AV5007*$M5007</f>
        <v>0</v>
      </c>
      <c r="AX5007" s="28"/>
      <c r="AY5007" s="28" t="n">
        <f aca="false">AX5007*$M5007</f>
        <v>0</v>
      </c>
      <c r="AZ5007" s="30" t="n">
        <f aca="false">19377/100</f>
        <v>193.77</v>
      </c>
      <c r="BA5007" s="11" t="n">
        <v>11626</v>
      </c>
      <c r="BB5007" s="31" t="n">
        <f aca="false">SUM(Q5007,S5007,U5007,W5007,Y5007,AA5007,AC5007,AE5007,AG5007,AI5007,AK5007,AM5007,AO5007,AQ5007,AS5007,AU5007,AW5007,AY5007)</f>
        <v>11626</v>
      </c>
      <c r="BC5007" s="28" t="n">
        <f aca="false">BA5007-BB5007</f>
        <v>0</v>
      </c>
      <c r="BD5007" s="32" t="n">
        <f aca="false">SUM(P5007,R5007,T5007,V5007,X5007,Z5007,AB5007,AD5007,AF5007,AH5007,AJ5007,AL5007,AN5007,AP5007,AR5007,AT5007,AV5007,AX5007)</f>
        <v>193.77</v>
      </c>
      <c r="BE5007" s="33" t="n">
        <f aca="false">AZ5007-BD5007</f>
        <v>0</v>
      </c>
      <c r="BF5007" s="34" t="n">
        <f aca="false">BD5007*M5007</f>
        <v>11626.2</v>
      </c>
      <c r="BG5007" s="35" t="n">
        <f aca="false">BA5007-BF5007</f>
        <v>-0.200000000000728</v>
      </c>
      <c r="BH5007" s="19" t="str">
        <f aca="false">IF(BG5007=0,"",IF(BG5007&lt;&gt;BA5007,"erreur de calcul",IF(BD5007&lt;&gt;0,"pas de prix",IF(M5007&lt;&gt; 0,"pas de quantité","pas de prix, ni de quantité"))))</f>
        <v>erreur de calcul</v>
      </c>
      <c r="BI5007" s="19"/>
    </row>
    <row r="5008" customFormat="false" ht="15" hidden="false" customHeight="false" outlineLevel="0" collapsed="false">
      <c r="A5008" s="0" t="n">
        <v>15</v>
      </c>
      <c r="B5008" s="8" t="s">
        <v>24</v>
      </c>
      <c r="C5008" s="9" t="s">
        <v>25</v>
      </c>
      <c r="D5008" s="9" t="s">
        <v>26</v>
      </c>
      <c r="E5008" s="10" t="n">
        <v>1789</v>
      </c>
      <c r="F5008" s="9" t="s">
        <v>27</v>
      </c>
      <c r="G5008" s="9" t="s">
        <v>27</v>
      </c>
      <c r="H5008" s="11" t="n">
        <v>21</v>
      </c>
      <c r="I5008" s="11" t="s">
        <v>168</v>
      </c>
      <c r="J5008" s="14" t="n">
        <v>345</v>
      </c>
      <c r="K5008" s="14"/>
      <c r="L5008" s="16"/>
      <c r="M5008" s="27" t="n">
        <f aca="false">J5008+(K5008/20)+(L5008/240)</f>
        <v>345</v>
      </c>
      <c r="N5008" s="17" t="s">
        <v>64</v>
      </c>
      <c r="O5008" s="11"/>
      <c r="P5008" s="28" t="n">
        <f aca="false">617/100</f>
        <v>6.17</v>
      </c>
      <c r="Q5008" s="28" t="n">
        <v>2129</v>
      </c>
      <c r="R5008" s="28"/>
      <c r="S5008" s="28" t="n">
        <f aca="false">R5008*$M5008</f>
        <v>0</v>
      </c>
      <c r="T5008" s="28"/>
      <c r="U5008" s="28" t="n">
        <f aca="false">T5008*$M5008</f>
        <v>0</v>
      </c>
      <c r="V5008" s="28"/>
      <c r="W5008" s="28" t="n">
        <f aca="false">V5008*$M5008</f>
        <v>0</v>
      </c>
      <c r="X5008" s="28"/>
      <c r="Y5008" s="28" t="n">
        <f aca="false">X5008*$M5008</f>
        <v>0</v>
      </c>
      <c r="Z5008" s="28"/>
      <c r="AA5008" s="28" t="n">
        <f aca="false">Z5008*$M5008</f>
        <v>0</v>
      </c>
      <c r="AB5008" s="28" t="n">
        <f aca="false">1270/100</f>
        <v>12.7</v>
      </c>
      <c r="AC5008" s="28" t="n">
        <v>4381</v>
      </c>
      <c r="AD5008" s="28"/>
      <c r="AE5008" s="28" t="n">
        <f aca="false">AD5008*$M5008</f>
        <v>0</v>
      </c>
      <c r="AF5008" s="28"/>
      <c r="AG5008" s="28" t="n">
        <f aca="false">AF5008*$M5008</f>
        <v>0</v>
      </c>
      <c r="AH5008" s="28"/>
      <c r="AI5008" s="28" t="n">
        <f aca="false">AH5008*$M5008</f>
        <v>0</v>
      </c>
      <c r="AJ5008" s="28"/>
      <c r="AK5008" s="28" t="n">
        <f aca="false">AJ5008*$M5008</f>
        <v>0</v>
      </c>
      <c r="AL5008" s="28"/>
      <c r="AM5008" s="28" t="n">
        <f aca="false">AL5008*$M5008</f>
        <v>0</v>
      </c>
      <c r="AN5008" s="28"/>
      <c r="AO5008" s="28" t="n">
        <f aca="false">AN5008*$M5008</f>
        <v>0</v>
      </c>
      <c r="AP5008" s="28"/>
      <c r="AQ5008" s="28" t="n">
        <f aca="false">AP5008*$M5008</f>
        <v>0</v>
      </c>
      <c r="AR5008" s="28"/>
      <c r="AS5008" s="28" t="n">
        <f aca="false">AR5008*$M5008</f>
        <v>0</v>
      </c>
      <c r="AT5008" s="28"/>
      <c r="AU5008" s="28" t="n">
        <f aca="false">AT5008*$M5008</f>
        <v>0</v>
      </c>
      <c r="AV5008" s="28"/>
      <c r="AW5008" s="28" t="n">
        <f aca="false">AV5008*$M5008</f>
        <v>0</v>
      </c>
      <c r="AX5008" s="28"/>
      <c r="AY5008" s="28" t="n">
        <f aca="false">AX5008*$M5008</f>
        <v>0</v>
      </c>
      <c r="AZ5008" s="30" t="n">
        <f aca="false">1887/100</f>
        <v>18.87</v>
      </c>
      <c r="BA5008" s="11" t="n">
        <v>6510</v>
      </c>
      <c r="BB5008" s="31" t="n">
        <f aca="false">SUM(Q5008,S5008,U5008,W5008,Y5008,AA5008,AC5008,AE5008,AG5008,AI5008,AK5008,AM5008,AO5008,AQ5008,AS5008,AU5008,AW5008,AY5008)</f>
        <v>6510</v>
      </c>
      <c r="BC5008" s="28" t="n">
        <f aca="false">BA5008-BB5008</f>
        <v>0</v>
      </c>
      <c r="BD5008" s="32" t="n">
        <f aca="false">SUM(P5008,R5008,T5008,V5008,X5008,Z5008,AB5008,AD5008,AF5008,AH5008,AJ5008,AL5008,AN5008,AP5008,AR5008,AT5008,AV5008,AX5008)</f>
        <v>18.87</v>
      </c>
      <c r="BE5008" s="33" t="n">
        <f aca="false">AZ5008-BD5008</f>
        <v>0</v>
      </c>
      <c r="BF5008" s="34" t="n">
        <f aca="false">BD5008*M5008</f>
        <v>6510.15</v>
      </c>
      <c r="BG5008" s="35" t="n">
        <f aca="false">BA5008-BF5008</f>
        <v>-0.149999999998727</v>
      </c>
      <c r="BH5008" s="19" t="str">
        <f aca="false">IF(BG5008=0,"",IF(BG5008&lt;&gt;BA5008,"erreur de calcul",IF(BD5008&lt;&gt;0,"pas de prix",IF(M5008&lt;&gt; 0,"pas de quantité","pas de prix, ni de quantité"))))</f>
        <v>erreur de calcul</v>
      </c>
      <c r="BI5008" s="19"/>
    </row>
    <row r="5009" customFormat="false" ht="15" hidden="false" customHeight="false" outlineLevel="0" collapsed="false">
      <c r="A5009" s="0" t="n">
        <v>16</v>
      </c>
      <c r="B5009" s="8" t="s">
        <v>24</v>
      </c>
      <c r="C5009" s="9" t="s">
        <v>25</v>
      </c>
      <c r="D5009" s="9" t="s">
        <v>26</v>
      </c>
      <c r="E5009" s="10" t="n">
        <v>1789</v>
      </c>
      <c r="F5009" s="9" t="s">
        <v>27</v>
      </c>
      <c r="G5009" s="9" t="s">
        <v>27</v>
      </c>
      <c r="H5009" s="11" t="n">
        <v>21</v>
      </c>
      <c r="I5009" s="11" t="s">
        <v>169</v>
      </c>
      <c r="J5009" s="14" t="n">
        <v>6</v>
      </c>
      <c r="K5009" s="14"/>
      <c r="L5009" s="16"/>
      <c r="M5009" s="27" t="n">
        <f aca="false">J5009+(K5009/20)+(L5009/240)</f>
        <v>6</v>
      </c>
      <c r="N5009" s="17" t="s">
        <v>64</v>
      </c>
      <c r="O5009" s="11"/>
      <c r="P5009" s="28"/>
      <c r="Q5009" s="28" t="n">
        <f aca="false">P5009*$M5009</f>
        <v>0</v>
      </c>
      <c r="R5009" s="28"/>
      <c r="S5009" s="28" t="n">
        <f aca="false">R5009*$M5009</f>
        <v>0</v>
      </c>
      <c r="T5009" s="28"/>
      <c r="U5009" s="28" t="n">
        <f aca="false">T5009*$M5009</f>
        <v>0</v>
      </c>
      <c r="V5009" s="28" t="n">
        <f aca="false">39752/100</f>
        <v>397.52</v>
      </c>
      <c r="W5009" s="28" t="n">
        <v>2385</v>
      </c>
      <c r="X5009" s="28"/>
      <c r="Y5009" s="28" t="n">
        <f aca="false">X5009*$M5009</f>
        <v>0</v>
      </c>
      <c r="Z5009" s="28"/>
      <c r="AA5009" s="28" t="n">
        <f aca="false">Z5009*$M5009</f>
        <v>0</v>
      </c>
      <c r="AB5009" s="28"/>
      <c r="AC5009" s="28" t="n">
        <f aca="false">AB5009*$M5009</f>
        <v>0</v>
      </c>
      <c r="AD5009" s="28"/>
      <c r="AE5009" s="28" t="n">
        <f aca="false">AD5009*$M5009</f>
        <v>0</v>
      </c>
      <c r="AF5009" s="28"/>
      <c r="AG5009" s="28" t="n">
        <f aca="false">AF5009*$M5009</f>
        <v>0</v>
      </c>
      <c r="AH5009" s="28"/>
      <c r="AI5009" s="28" t="n">
        <f aca="false">AH5009*$M5009</f>
        <v>0</v>
      </c>
      <c r="AJ5009" s="28"/>
      <c r="AK5009" s="28" t="n">
        <f aca="false">AJ5009*$M5009</f>
        <v>0</v>
      </c>
      <c r="AL5009" s="28"/>
      <c r="AM5009" s="28" t="n">
        <f aca="false">AL5009*$M5009</f>
        <v>0</v>
      </c>
      <c r="AN5009" s="28"/>
      <c r="AO5009" s="28" t="n">
        <f aca="false">AN5009*$M5009</f>
        <v>0</v>
      </c>
      <c r="AP5009" s="28"/>
      <c r="AQ5009" s="28" t="n">
        <f aca="false">AP5009*$M5009</f>
        <v>0</v>
      </c>
      <c r="AR5009" s="28"/>
      <c r="AS5009" s="28" t="n">
        <f aca="false">AR5009*$M5009</f>
        <v>0</v>
      </c>
      <c r="AT5009" s="28"/>
      <c r="AU5009" s="28" t="n">
        <f aca="false">AT5009*$M5009</f>
        <v>0</v>
      </c>
      <c r="AV5009" s="28"/>
      <c r="AW5009" s="28" t="n">
        <f aca="false">AV5009*$M5009</f>
        <v>0</v>
      </c>
      <c r="AX5009" s="28"/>
      <c r="AY5009" s="28" t="n">
        <f aca="false">AX5009*$M5009</f>
        <v>0</v>
      </c>
      <c r="AZ5009" s="30" t="n">
        <f aca="false">39752/100</f>
        <v>397.52</v>
      </c>
      <c r="BA5009" s="11" t="n">
        <v>2385</v>
      </c>
      <c r="BB5009" s="31" t="n">
        <f aca="false">SUM(Q5009,S5009,U5009,W5009,Y5009,AA5009,AC5009,AE5009,AG5009,AI5009,AK5009,AM5009,AO5009,AQ5009,AS5009,AU5009,AW5009,AY5009)</f>
        <v>2385</v>
      </c>
      <c r="BC5009" s="28" t="n">
        <f aca="false">BA5009-BB5009</f>
        <v>0</v>
      </c>
      <c r="BD5009" s="32" t="n">
        <f aca="false">SUM(P5009,R5009,T5009,V5009,X5009,Z5009,AB5009,AD5009,AF5009,AH5009,AJ5009,AL5009,AN5009,AP5009,AR5009,AT5009,AV5009,AX5009)</f>
        <v>397.52</v>
      </c>
      <c r="BE5009" s="33" t="n">
        <f aca="false">AZ5009-BD5009</f>
        <v>0</v>
      </c>
      <c r="BF5009" s="34" t="n">
        <f aca="false">BD5009*M5009</f>
        <v>2385.12</v>
      </c>
      <c r="BG5009" s="35" t="n">
        <f aca="false">BA5009-BF5009</f>
        <v>-0.119999999999891</v>
      </c>
      <c r="BH5009" s="19" t="str">
        <f aca="false">IF(BG5009=0,"",IF(BG5009&lt;&gt;BA5009,"erreur de calcul",IF(BD5009&lt;&gt;0,"pas de prix",IF(M5009&lt;&gt; 0,"pas de quantité","pas de prix, ni de quantité"))))</f>
        <v>erreur de calcul</v>
      </c>
      <c r="BI5009" s="19"/>
    </row>
    <row r="5010" customFormat="false" ht="15" hidden="false" customHeight="false" outlineLevel="0" collapsed="false">
      <c r="A5010" s="0" t="n">
        <v>17</v>
      </c>
      <c r="B5010" s="8" t="s">
        <v>24</v>
      </c>
      <c r="C5010" s="9" t="s">
        <v>25</v>
      </c>
      <c r="D5010" s="9" t="s">
        <v>26</v>
      </c>
      <c r="E5010" s="10" t="n">
        <v>1789</v>
      </c>
      <c r="F5010" s="9" t="s">
        <v>27</v>
      </c>
      <c r="G5010" s="9" t="s">
        <v>27</v>
      </c>
      <c r="H5010" s="11" t="n">
        <v>21</v>
      </c>
      <c r="I5010" s="11" t="s">
        <v>170</v>
      </c>
      <c r="J5010" s="14" t="n">
        <v>90</v>
      </c>
      <c r="K5010" s="14"/>
      <c r="L5010" s="16"/>
      <c r="M5010" s="27" t="n">
        <f aca="false">J5010+(K5010/20)+(L5010/240)</f>
        <v>90</v>
      </c>
      <c r="N5010" s="17" t="s">
        <v>64</v>
      </c>
      <c r="O5010" s="11"/>
      <c r="P5010" s="28"/>
      <c r="Q5010" s="28" t="n">
        <f aca="false">P5010*$M5010</f>
        <v>0</v>
      </c>
      <c r="R5010" s="28"/>
      <c r="S5010" s="28" t="n">
        <f aca="false">R5010*$M5010</f>
        <v>0</v>
      </c>
      <c r="T5010" s="28"/>
      <c r="U5010" s="28" t="n">
        <f aca="false">T5010*$M5010</f>
        <v>0</v>
      </c>
      <c r="V5010" s="28"/>
      <c r="W5010" s="28" t="n">
        <f aca="false">V5010*$M5010</f>
        <v>0</v>
      </c>
      <c r="X5010" s="28" t="n">
        <f aca="false">3136/100</f>
        <v>31.36</v>
      </c>
      <c r="Y5010" s="28" t="n">
        <v>2822</v>
      </c>
      <c r="Z5010" s="28"/>
      <c r="AA5010" s="28" t="n">
        <f aca="false">Z5010*$M5010</f>
        <v>0</v>
      </c>
      <c r="AB5010" s="28"/>
      <c r="AC5010" s="28" t="n">
        <f aca="false">AB5010*$M5010</f>
        <v>0</v>
      </c>
      <c r="AD5010" s="28"/>
      <c r="AE5010" s="28" t="n">
        <f aca="false">AD5010*$M5010</f>
        <v>0</v>
      </c>
      <c r="AF5010" s="28"/>
      <c r="AG5010" s="28" t="n">
        <f aca="false">AF5010*$M5010</f>
        <v>0</v>
      </c>
      <c r="AH5010" s="28"/>
      <c r="AI5010" s="28" t="n">
        <f aca="false">AH5010*$M5010</f>
        <v>0</v>
      </c>
      <c r="AJ5010" s="28"/>
      <c r="AK5010" s="28" t="n">
        <f aca="false">AJ5010*$M5010</f>
        <v>0</v>
      </c>
      <c r="AL5010" s="28"/>
      <c r="AM5010" s="28" t="n">
        <f aca="false">AL5010*$M5010</f>
        <v>0</v>
      </c>
      <c r="AN5010" s="28"/>
      <c r="AO5010" s="28" t="n">
        <f aca="false">AN5010*$M5010</f>
        <v>0</v>
      </c>
      <c r="AP5010" s="28"/>
      <c r="AQ5010" s="28" t="n">
        <f aca="false">AP5010*$M5010</f>
        <v>0</v>
      </c>
      <c r="AR5010" s="28"/>
      <c r="AS5010" s="28" t="n">
        <f aca="false">AR5010*$M5010</f>
        <v>0</v>
      </c>
      <c r="AT5010" s="28"/>
      <c r="AU5010" s="28" t="n">
        <f aca="false">AT5010*$M5010</f>
        <v>0</v>
      </c>
      <c r="AV5010" s="28"/>
      <c r="AW5010" s="28" t="n">
        <f aca="false">AV5010*$M5010</f>
        <v>0</v>
      </c>
      <c r="AX5010" s="28"/>
      <c r="AY5010" s="28" t="n">
        <f aca="false">AX5010*$M5010</f>
        <v>0</v>
      </c>
      <c r="AZ5010" s="30" t="n">
        <f aca="false">3136/100</f>
        <v>31.36</v>
      </c>
      <c r="BA5010" s="11" t="n">
        <v>2822</v>
      </c>
      <c r="BB5010" s="31" t="n">
        <f aca="false">SUM(Q5010,S5010,U5010,W5010,Y5010,AA5010,AC5010,AE5010,AG5010,AI5010,AK5010,AM5010,AO5010,AQ5010,AS5010,AU5010,AW5010,AY5010)</f>
        <v>2822</v>
      </c>
      <c r="BC5010" s="28" t="n">
        <f aca="false">BA5010-BB5010</f>
        <v>0</v>
      </c>
      <c r="BD5010" s="32" t="n">
        <f aca="false">SUM(P5010,R5010,T5010,V5010,X5010,Z5010,AB5010,AD5010,AF5010,AH5010,AJ5010,AL5010,AN5010,AP5010,AR5010,AT5010,AV5010,AX5010)</f>
        <v>31.36</v>
      </c>
      <c r="BE5010" s="33" t="n">
        <f aca="false">AZ5010-BD5010</f>
        <v>0</v>
      </c>
      <c r="BF5010" s="34" t="n">
        <f aca="false">BD5010*M5010</f>
        <v>2822.4</v>
      </c>
      <c r="BG5010" s="35" t="n">
        <f aca="false">BA5010-BF5010</f>
        <v>-0.400000000000091</v>
      </c>
      <c r="BH5010" s="19" t="str">
        <f aca="false">IF(BG5010=0,"",IF(BG5010&lt;&gt;BA5010,"erreur de calcul",IF(BD5010&lt;&gt;0,"pas de prix",IF(M5010&lt;&gt; 0,"pas de quantité","pas de prix, ni de quantité"))))</f>
        <v>erreur de calcul</v>
      </c>
      <c r="BI5010" s="19"/>
    </row>
    <row r="5011" customFormat="false" ht="15" hidden="false" customHeight="false" outlineLevel="0" collapsed="false">
      <c r="A5011" s="0" t="n">
        <v>18</v>
      </c>
      <c r="B5011" s="8" t="s">
        <v>24</v>
      </c>
      <c r="C5011" s="9" t="s">
        <v>25</v>
      </c>
      <c r="D5011" s="9" t="s">
        <v>26</v>
      </c>
      <c r="E5011" s="10" t="n">
        <v>1789</v>
      </c>
      <c r="F5011" s="9" t="s">
        <v>27</v>
      </c>
      <c r="G5011" s="9" t="s">
        <v>27</v>
      </c>
      <c r="H5011" s="11" t="n">
        <v>21</v>
      </c>
      <c r="I5011" s="11" t="s">
        <v>171</v>
      </c>
      <c r="J5011" s="14" t="n">
        <v>90</v>
      </c>
      <c r="K5011" s="14"/>
      <c r="L5011" s="16"/>
      <c r="M5011" s="27" t="n">
        <f aca="false">J5011+(K5011/20)+(L5011/240)</f>
        <v>90</v>
      </c>
      <c r="N5011" s="17" t="s">
        <v>64</v>
      </c>
      <c r="O5011" s="11"/>
      <c r="P5011" s="28"/>
      <c r="Q5011" s="28" t="n">
        <f aca="false">P5011*$M5011</f>
        <v>0</v>
      </c>
      <c r="R5011" s="28"/>
      <c r="S5011" s="28" t="n">
        <f aca="false">R5011*$M5011</f>
        <v>0</v>
      </c>
      <c r="T5011" s="28"/>
      <c r="U5011" s="28" t="n">
        <f aca="false">T5011*$M5011</f>
        <v>0</v>
      </c>
      <c r="V5011" s="28"/>
      <c r="W5011" s="28" t="n">
        <f aca="false">V5011*$M5011</f>
        <v>0</v>
      </c>
      <c r="X5011" s="28"/>
      <c r="Y5011" s="28" t="n">
        <f aca="false">X5011*$M5011</f>
        <v>0</v>
      </c>
      <c r="Z5011" s="28"/>
      <c r="AA5011" s="28" t="n">
        <f aca="false">Z5011*$M5011</f>
        <v>0</v>
      </c>
      <c r="AB5011" s="28"/>
      <c r="AC5011" s="28" t="n">
        <f aca="false">AB5011*$M5011</f>
        <v>0</v>
      </c>
      <c r="AD5011" s="28"/>
      <c r="AE5011" s="28" t="n">
        <f aca="false">AD5011*$M5011</f>
        <v>0</v>
      </c>
      <c r="AF5011" s="28"/>
      <c r="AG5011" s="28" t="n">
        <f aca="false">AF5011*$M5011</f>
        <v>0</v>
      </c>
      <c r="AH5011" s="28" t="n">
        <f aca="false">5337/100</f>
        <v>53.37</v>
      </c>
      <c r="AI5011" s="28" t="n">
        <v>4803</v>
      </c>
      <c r="AJ5011" s="28"/>
      <c r="AK5011" s="28" t="n">
        <f aca="false">AJ5011*$M5011</f>
        <v>0</v>
      </c>
      <c r="AL5011" s="28"/>
      <c r="AM5011" s="28" t="n">
        <f aca="false">AL5011*$M5011</f>
        <v>0</v>
      </c>
      <c r="AN5011" s="28"/>
      <c r="AO5011" s="28" t="n">
        <f aca="false">AN5011*$M5011</f>
        <v>0</v>
      </c>
      <c r="AP5011" s="28"/>
      <c r="AQ5011" s="28" t="n">
        <f aca="false">AP5011*$M5011</f>
        <v>0</v>
      </c>
      <c r="AR5011" s="28"/>
      <c r="AS5011" s="28" t="n">
        <f aca="false">AR5011*$M5011</f>
        <v>0</v>
      </c>
      <c r="AT5011" s="28"/>
      <c r="AU5011" s="28" t="n">
        <f aca="false">AT5011*$M5011</f>
        <v>0</v>
      </c>
      <c r="AV5011" s="28"/>
      <c r="AW5011" s="28" t="n">
        <f aca="false">AV5011*$M5011</f>
        <v>0</v>
      </c>
      <c r="AX5011" s="28"/>
      <c r="AY5011" s="28" t="n">
        <f aca="false">AX5011*$M5011</f>
        <v>0</v>
      </c>
      <c r="AZ5011" s="30" t="n">
        <f aca="false">5337/100</f>
        <v>53.37</v>
      </c>
      <c r="BA5011" s="11" t="n">
        <v>4803</v>
      </c>
      <c r="BB5011" s="31" t="n">
        <f aca="false">SUM(Q5011,S5011,U5011,W5011,Y5011,AA5011,AC5011,AE5011,AG5011,AI5011,AK5011,AM5011,AO5011,AQ5011,AS5011,AU5011,AW5011,AY5011)</f>
        <v>4803</v>
      </c>
      <c r="BC5011" s="28" t="n">
        <f aca="false">BA5011-BB5011</f>
        <v>0</v>
      </c>
      <c r="BD5011" s="32" t="n">
        <f aca="false">SUM(P5011,R5011,T5011,V5011,X5011,Z5011,AB5011,AD5011,AF5011,AH5011,AJ5011,AL5011,AN5011,AP5011,AR5011,AT5011,AV5011,AX5011)</f>
        <v>53.37</v>
      </c>
      <c r="BE5011" s="33" t="n">
        <f aca="false">AZ5011-BD5011</f>
        <v>0</v>
      </c>
      <c r="BF5011" s="34" t="n">
        <f aca="false">BD5011*M5011</f>
        <v>4803.3</v>
      </c>
      <c r="BG5011" s="35" t="n">
        <f aca="false">BA5011-BF5011</f>
        <v>-0.300000000000182</v>
      </c>
      <c r="BH5011" s="19" t="str">
        <f aca="false">IF(BG5011=0,"",IF(BG5011&lt;&gt;BA5011,"erreur de calcul",IF(BD5011&lt;&gt;0,"pas de prix",IF(M5011&lt;&gt; 0,"pas de quantité","pas de prix, ni de quantité"))))</f>
        <v>erreur de calcul</v>
      </c>
      <c r="BI5011" s="19"/>
    </row>
    <row r="5012" customFormat="false" ht="15" hidden="false" customHeight="false" outlineLevel="0" collapsed="false">
      <c r="A5012" s="0" t="n">
        <v>19</v>
      </c>
      <c r="B5012" s="8" t="s">
        <v>24</v>
      </c>
      <c r="C5012" s="9" t="s">
        <v>25</v>
      </c>
      <c r="D5012" s="9" t="s">
        <v>26</v>
      </c>
      <c r="E5012" s="10" t="n">
        <v>1789</v>
      </c>
      <c r="F5012" s="9" t="s">
        <v>27</v>
      </c>
      <c r="G5012" s="9" t="s">
        <v>27</v>
      </c>
      <c r="H5012" s="11" t="n">
        <v>21</v>
      </c>
      <c r="I5012" s="11" t="s">
        <v>172</v>
      </c>
      <c r="J5012" s="14" t="n">
        <v>15</v>
      </c>
      <c r="K5012" s="14"/>
      <c r="L5012" s="16"/>
      <c r="M5012" s="27" t="n">
        <f aca="false">J5012+(K5012/20)+(L5012/240)</f>
        <v>15</v>
      </c>
      <c r="N5012" s="17" t="s">
        <v>64</v>
      </c>
      <c r="O5012" s="11" t="s">
        <v>77</v>
      </c>
      <c r="P5012" s="28"/>
      <c r="Q5012" s="28" t="n">
        <f aca="false">P5012*$M5012</f>
        <v>0</v>
      </c>
      <c r="R5012" s="28"/>
      <c r="S5012" s="28" t="n">
        <f aca="false">R5012*$M5012</f>
        <v>0</v>
      </c>
      <c r="T5012" s="28"/>
      <c r="U5012" s="28" t="n">
        <f aca="false">T5012*$M5012</f>
        <v>0</v>
      </c>
      <c r="V5012" s="28"/>
      <c r="W5012" s="28" t="n">
        <f aca="false">V5012*$M5012</f>
        <v>0</v>
      </c>
      <c r="X5012" s="28"/>
      <c r="Y5012" s="28" t="n">
        <f aca="false">X5012*$M5012</f>
        <v>0</v>
      </c>
      <c r="Z5012" s="28"/>
      <c r="AA5012" s="28" t="n">
        <f aca="false">Z5012*$M5012</f>
        <v>0</v>
      </c>
      <c r="AB5012" s="28"/>
      <c r="AC5012" s="28" t="n">
        <f aca="false">AB5012*$M5012</f>
        <v>0</v>
      </c>
      <c r="AD5012" s="28"/>
      <c r="AE5012" s="28" t="n">
        <f aca="false">AD5012*$M5012</f>
        <v>0</v>
      </c>
      <c r="AF5012" s="28"/>
      <c r="AG5012" s="28" t="n">
        <f aca="false">AF5012*$M5012</f>
        <v>0</v>
      </c>
      <c r="AH5012" s="28"/>
      <c r="AI5012" s="28" t="n">
        <f aca="false">AH5012*$M5012</f>
        <v>0</v>
      </c>
      <c r="AJ5012" s="28"/>
      <c r="AK5012" s="28" t="n">
        <f aca="false">AJ5012*$M5012</f>
        <v>0</v>
      </c>
      <c r="AL5012" s="28"/>
      <c r="AM5012" s="28" t="n">
        <f aca="false">AL5012*$M5012</f>
        <v>0</v>
      </c>
      <c r="AN5012" s="28"/>
      <c r="AO5012" s="28" t="n">
        <f aca="false">AN5012*$M5012</f>
        <v>0</v>
      </c>
      <c r="AP5012" s="28"/>
      <c r="AQ5012" s="28" t="n">
        <f aca="false">AP5012*$M5012</f>
        <v>0</v>
      </c>
      <c r="AR5012" s="28"/>
      <c r="AS5012" s="28" t="n">
        <f aca="false">AR5012*$M5012</f>
        <v>0</v>
      </c>
      <c r="AT5012" s="28"/>
      <c r="AU5012" s="28" t="n">
        <f aca="false">AT5012*$M5012</f>
        <v>0</v>
      </c>
      <c r="AV5012" s="28"/>
      <c r="AW5012" s="28" t="n">
        <f aca="false">AV5012*$M5012</f>
        <v>0</v>
      </c>
      <c r="AX5012" s="28"/>
      <c r="AY5012" s="28" t="n">
        <f aca="false">AX5012*$M5012</f>
        <v>0</v>
      </c>
      <c r="AZ5012" s="30"/>
      <c r="BA5012" s="11"/>
      <c r="BB5012" s="31" t="n">
        <f aca="false">SUM(Q5012,S5012,U5012,W5012,Y5012,AA5012,AC5012,AE5012,AG5012,AI5012,AK5012,AM5012,AO5012,AQ5012,AS5012,AU5012,AW5012,AY5012)</f>
        <v>0</v>
      </c>
      <c r="BC5012" s="28" t="n">
        <f aca="false">BA5012-BB5012</f>
        <v>0</v>
      </c>
      <c r="BD5012" s="32" t="n">
        <f aca="false">SUM(P5012,R5012,T5012,V5012,X5012,Z5012,AB5012,AD5012,AF5012,AH5012,AJ5012,AL5012,AN5012,AP5012,AR5012,AT5012,AV5012,AX5012)</f>
        <v>0</v>
      </c>
      <c r="BE5012" s="33" t="n">
        <f aca="false">AZ5012-BD5012</f>
        <v>0</v>
      </c>
      <c r="BF5012" s="34" t="n">
        <f aca="false">BD5012*M5012</f>
        <v>0</v>
      </c>
      <c r="BG5012" s="35" t="n">
        <f aca="false">BA5012-BF5012</f>
        <v>0</v>
      </c>
      <c r="BH5012" s="19" t="str">
        <f aca="false">IF(BG5012=0,"",IF(BG5012&lt;&gt;BA5012,"erreur de calcul",IF(BD5012&lt;&gt;0,"pas de prix",IF(M5012&lt;&gt; 0,"pas de quantité","pas de prix, ni de quantité"))))</f>
        <v/>
      </c>
      <c r="BI5012" s="19"/>
    </row>
    <row r="5013" customFormat="false" ht="15" hidden="false" customHeight="false" outlineLevel="0" collapsed="false">
      <c r="A5013" s="0" t="n">
        <v>20</v>
      </c>
      <c r="B5013" s="8" t="s">
        <v>24</v>
      </c>
      <c r="C5013" s="9" t="s">
        <v>25</v>
      </c>
      <c r="D5013" s="9" t="s">
        <v>26</v>
      </c>
      <c r="E5013" s="10" t="n">
        <v>1789</v>
      </c>
      <c r="F5013" s="9" t="s">
        <v>27</v>
      </c>
      <c r="G5013" s="9" t="s">
        <v>27</v>
      </c>
      <c r="H5013" s="11" t="n">
        <v>21</v>
      </c>
      <c r="I5013" s="11" t="s">
        <v>173</v>
      </c>
      <c r="J5013" s="14" t="n">
        <v>36</v>
      </c>
      <c r="K5013" s="14"/>
      <c r="L5013" s="16"/>
      <c r="M5013" s="27" t="n">
        <f aca="false">J5013+(K5013/20)+(L5013/240)</f>
        <v>36</v>
      </c>
      <c r="N5013" s="17" t="s">
        <v>64</v>
      </c>
      <c r="O5013" s="11"/>
      <c r="P5013" s="28"/>
      <c r="Q5013" s="28" t="n">
        <f aca="false">P5013*$M5013</f>
        <v>0</v>
      </c>
      <c r="R5013" s="28"/>
      <c r="S5013" s="28" t="n">
        <f aca="false">R5013*$M5013</f>
        <v>0</v>
      </c>
      <c r="T5013" s="28"/>
      <c r="U5013" s="28" t="n">
        <f aca="false">T5013*$M5013</f>
        <v>0</v>
      </c>
      <c r="V5013" s="28"/>
      <c r="W5013" s="28" t="n">
        <f aca="false">V5013*$M5013</f>
        <v>0</v>
      </c>
      <c r="X5013" s="28"/>
      <c r="Y5013" s="28" t="n">
        <f aca="false">X5013*$M5013</f>
        <v>0</v>
      </c>
      <c r="Z5013" s="28"/>
      <c r="AA5013" s="28" t="n">
        <f aca="false">Z5013*$M5013</f>
        <v>0</v>
      </c>
      <c r="AB5013" s="28" t="n">
        <f aca="false">80722/100</f>
        <v>807.22</v>
      </c>
      <c r="AC5013" s="28" t="n">
        <v>29060</v>
      </c>
      <c r="AD5013" s="28"/>
      <c r="AE5013" s="28" t="n">
        <f aca="false">AD5013*$M5013</f>
        <v>0</v>
      </c>
      <c r="AF5013" s="28"/>
      <c r="AG5013" s="28" t="n">
        <f aca="false">AF5013*$M5013</f>
        <v>0</v>
      </c>
      <c r="AH5013" s="28"/>
      <c r="AI5013" s="28" t="n">
        <f aca="false">AH5013*$M5013</f>
        <v>0</v>
      </c>
      <c r="AJ5013" s="28"/>
      <c r="AK5013" s="28" t="n">
        <f aca="false">AJ5013*$M5013</f>
        <v>0</v>
      </c>
      <c r="AL5013" s="28"/>
      <c r="AM5013" s="28" t="n">
        <f aca="false">AL5013*$M5013</f>
        <v>0</v>
      </c>
      <c r="AN5013" s="28"/>
      <c r="AO5013" s="28" t="n">
        <f aca="false">AN5013*$M5013</f>
        <v>0</v>
      </c>
      <c r="AP5013" s="28"/>
      <c r="AQ5013" s="28" t="n">
        <f aca="false">AP5013*$M5013</f>
        <v>0</v>
      </c>
      <c r="AR5013" s="28"/>
      <c r="AS5013" s="28" t="n">
        <f aca="false">AR5013*$M5013</f>
        <v>0</v>
      </c>
      <c r="AT5013" s="28"/>
      <c r="AU5013" s="28" t="n">
        <f aca="false">AT5013*$M5013</f>
        <v>0</v>
      </c>
      <c r="AV5013" s="28"/>
      <c r="AW5013" s="28" t="n">
        <f aca="false">AV5013*$M5013</f>
        <v>0</v>
      </c>
      <c r="AX5013" s="28"/>
      <c r="AY5013" s="28" t="n">
        <f aca="false">AX5013*$M5013</f>
        <v>0</v>
      </c>
      <c r="AZ5013" s="30" t="n">
        <f aca="false">80722/100</f>
        <v>807.22</v>
      </c>
      <c r="BA5013" s="11" t="n">
        <v>29060</v>
      </c>
      <c r="BB5013" s="31" t="n">
        <f aca="false">SUM(Q5013,S5013,U5013,W5013,Y5013,AA5013,AC5013,AE5013,AG5013,AI5013,AK5013,AM5013,AO5013,AQ5013,AS5013,AU5013,AW5013,AY5013)</f>
        <v>29060</v>
      </c>
      <c r="BC5013" s="28" t="n">
        <f aca="false">BA5013-BB5013</f>
        <v>0</v>
      </c>
      <c r="BD5013" s="32" t="n">
        <f aca="false">SUM(P5013,R5013,T5013,V5013,X5013,Z5013,AB5013,AD5013,AF5013,AH5013,AJ5013,AL5013,AN5013,AP5013,AR5013,AT5013,AV5013,AX5013)</f>
        <v>807.22</v>
      </c>
      <c r="BE5013" s="33" t="n">
        <f aca="false">AZ5013-BD5013</f>
        <v>0</v>
      </c>
      <c r="BF5013" s="34" t="n">
        <f aca="false">BD5013*M5013</f>
        <v>29059.92</v>
      </c>
      <c r="BG5013" s="35" t="n">
        <f aca="false">BA5013-BF5013</f>
        <v>0.0799999999981083</v>
      </c>
      <c r="BH5013" s="19" t="str">
        <f aca="false">IF(BG5013=0,"",IF(BG5013&lt;&gt;BA5013,"erreur de calcul",IF(BD5013&lt;&gt;0,"pas de prix",IF(M5013&lt;&gt; 0,"pas de quantité","pas de prix, ni de quantité"))))</f>
        <v>erreur de calcul</v>
      </c>
      <c r="BI5013" s="19"/>
    </row>
    <row r="5014" customFormat="false" ht="15" hidden="false" customHeight="false" outlineLevel="0" collapsed="false">
      <c r="A5014" s="0" t="n">
        <v>21</v>
      </c>
      <c r="B5014" s="8" t="s">
        <v>24</v>
      </c>
      <c r="C5014" s="9" t="s">
        <v>25</v>
      </c>
      <c r="D5014" s="9" t="s">
        <v>26</v>
      </c>
      <c r="E5014" s="10" t="n">
        <v>1789</v>
      </c>
      <c r="F5014" s="9" t="s">
        <v>27</v>
      </c>
      <c r="G5014" s="9" t="s">
        <v>27</v>
      </c>
      <c r="H5014" s="11" t="n">
        <v>21</v>
      </c>
      <c r="I5014" s="11" t="s">
        <v>174</v>
      </c>
      <c r="J5014" s="14" t="n">
        <v>31</v>
      </c>
      <c r="K5014" s="14"/>
      <c r="L5014" s="16"/>
      <c r="M5014" s="27" t="n">
        <f aca="false">J5014+(K5014/20)+(L5014/240)</f>
        <v>31</v>
      </c>
      <c r="N5014" s="17" t="s">
        <v>64</v>
      </c>
      <c r="O5014" s="11"/>
      <c r="P5014" s="28"/>
      <c r="Q5014" s="28" t="n">
        <f aca="false">P5014*$M5014</f>
        <v>0</v>
      </c>
      <c r="R5014" s="28"/>
      <c r="S5014" s="28" t="n">
        <f aca="false">R5014*$M5014</f>
        <v>0</v>
      </c>
      <c r="T5014" s="28"/>
      <c r="U5014" s="28" t="n">
        <f aca="false">T5014*$M5014</f>
        <v>0</v>
      </c>
      <c r="V5014" s="28"/>
      <c r="W5014" s="28" t="n">
        <f aca="false">V5014*$M5014</f>
        <v>0</v>
      </c>
      <c r="X5014" s="28"/>
      <c r="Y5014" s="28" t="n">
        <f aca="false">X5014*$M5014</f>
        <v>0</v>
      </c>
      <c r="Z5014" s="28"/>
      <c r="AA5014" s="28" t="n">
        <f aca="false">Z5014*$M5014</f>
        <v>0</v>
      </c>
      <c r="AB5014" s="28"/>
      <c r="AC5014" s="28" t="n">
        <f aca="false">AB5014*$M5014</f>
        <v>0</v>
      </c>
      <c r="AD5014" s="28"/>
      <c r="AE5014" s="28" t="n">
        <f aca="false">AD5014*$M5014</f>
        <v>0</v>
      </c>
      <c r="AF5014" s="28" t="n">
        <f aca="false">4599/100</f>
        <v>45.99</v>
      </c>
      <c r="AG5014" s="28" t="n">
        <v>1426</v>
      </c>
      <c r="AH5014" s="28" t="n">
        <f aca="false">12691/100</f>
        <v>126.91</v>
      </c>
      <c r="AI5014" s="28" t="n">
        <v>3934</v>
      </c>
      <c r="AJ5014" s="28"/>
      <c r="AK5014" s="28" t="n">
        <f aca="false">AJ5014*$M5014</f>
        <v>0</v>
      </c>
      <c r="AL5014" s="28"/>
      <c r="AM5014" s="28" t="n">
        <f aca="false">AL5014*$M5014</f>
        <v>0</v>
      </c>
      <c r="AN5014" s="28"/>
      <c r="AO5014" s="28" t="n">
        <f aca="false">AN5014*$M5014</f>
        <v>0</v>
      </c>
      <c r="AP5014" s="28"/>
      <c r="AQ5014" s="28" t="n">
        <f aca="false">AP5014*$M5014</f>
        <v>0</v>
      </c>
      <c r="AR5014" s="28"/>
      <c r="AS5014" s="28" t="n">
        <f aca="false">AR5014*$M5014</f>
        <v>0</v>
      </c>
      <c r="AT5014" s="28"/>
      <c r="AU5014" s="28" t="n">
        <f aca="false">AT5014*$M5014</f>
        <v>0</v>
      </c>
      <c r="AV5014" s="28"/>
      <c r="AW5014" s="28" t="n">
        <f aca="false">AV5014*$M5014</f>
        <v>0</v>
      </c>
      <c r="AX5014" s="28"/>
      <c r="AY5014" s="28" t="n">
        <f aca="false">AX5014*$M5014</f>
        <v>0</v>
      </c>
      <c r="AZ5014" s="30" t="n">
        <f aca="false">17290/100</f>
        <v>172.9</v>
      </c>
      <c r="BA5014" s="11" t="n">
        <v>5360</v>
      </c>
      <c r="BB5014" s="31" t="n">
        <f aca="false">SUM(Q5014,S5014,U5014,W5014,Y5014,AA5014,AC5014,AE5014,AG5014,AI5014,AK5014,AM5014,AO5014,AQ5014,AS5014,AU5014,AW5014,AY5014)</f>
        <v>5360</v>
      </c>
      <c r="BC5014" s="28" t="n">
        <f aca="false">BA5014-BB5014</f>
        <v>0</v>
      </c>
      <c r="BD5014" s="32" t="n">
        <f aca="false">SUM(P5014,R5014,T5014,V5014,X5014,Z5014,AB5014,AD5014,AF5014,AH5014,AJ5014,AL5014,AN5014,AP5014,AR5014,AT5014,AV5014,AX5014)</f>
        <v>172.9</v>
      </c>
      <c r="BE5014" s="33" t="n">
        <f aca="false">AZ5014-BD5014</f>
        <v>0</v>
      </c>
      <c r="BF5014" s="34" t="n">
        <f aca="false">BD5014*M5014</f>
        <v>5359.9</v>
      </c>
      <c r="BG5014" s="35" t="n">
        <f aca="false">BA5014-BF5014</f>
        <v>0.0999999999994543</v>
      </c>
      <c r="BH5014" s="19" t="str">
        <f aca="false">IF(BG5014=0,"",IF(BG5014&lt;&gt;BA5014,"erreur de calcul",IF(BD5014&lt;&gt;0,"pas de prix",IF(M5014&lt;&gt; 0,"pas de quantité","pas de prix, ni de quantité"))))</f>
        <v>erreur de calcul</v>
      </c>
      <c r="BI5014" s="19"/>
    </row>
    <row r="5015" customFormat="false" ht="15" hidden="false" customHeight="false" outlineLevel="0" collapsed="false">
      <c r="A5015" s="0" t="n">
        <v>22</v>
      </c>
      <c r="B5015" s="8" t="s">
        <v>24</v>
      </c>
      <c r="C5015" s="9" t="s">
        <v>25</v>
      </c>
      <c r="D5015" s="9" t="s">
        <v>26</v>
      </c>
      <c r="E5015" s="10" t="n">
        <v>1789</v>
      </c>
      <c r="F5015" s="9" t="s">
        <v>27</v>
      </c>
      <c r="G5015" s="9" t="s">
        <v>27</v>
      </c>
      <c r="H5015" s="11" t="n">
        <v>21</v>
      </c>
      <c r="I5015" s="11" t="s">
        <v>175</v>
      </c>
      <c r="J5015" s="14" t="n">
        <v>120</v>
      </c>
      <c r="K5015" s="14"/>
      <c r="L5015" s="16"/>
      <c r="M5015" s="27" t="n">
        <f aca="false">J5015+(K5015/20)+(L5015/240)</f>
        <v>120</v>
      </c>
      <c r="N5015" s="17" t="s">
        <v>64</v>
      </c>
      <c r="O5015" s="11"/>
      <c r="P5015" s="28"/>
      <c r="Q5015" s="28" t="n">
        <f aca="false">P5015*$M5015</f>
        <v>0</v>
      </c>
      <c r="R5015" s="28"/>
      <c r="S5015" s="28" t="n">
        <f aca="false">R5015*$M5015</f>
        <v>0</v>
      </c>
      <c r="T5015" s="28"/>
      <c r="U5015" s="28" t="n">
        <f aca="false">T5015*$M5015</f>
        <v>0</v>
      </c>
      <c r="V5015" s="28" t="n">
        <f aca="false">2364/100</f>
        <v>23.64</v>
      </c>
      <c r="W5015" s="28" t="n">
        <v>2837</v>
      </c>
      <c r="X5015" s="28"/>
      <c r="Y5015" s="28" t="n">
        <f aca="false">X5015*$M5015</f>
        <v>0</v>
      </c>
      <c r="Z5015" s="28"/>
      <c r="AA5015" s="28" t="n">
        <f aca="false">Z5015*$M5015</f>
        <v>0</v>
      </c>
      <c r="AB5015" s="28"/>
      <c r="AC5015" s="28" t="n">
        <f aca="false">AB5015*$M5015</f>
        <v>0</v>
      </c>
      <c r="AD5015" s="28"/>
      <c r="AE5015" s="28" t="n">
        <f aca="false">AD5015*$M5015</f>
        <v>0</v>
      </c>
      <c r="AF5015" s="28"/>
      <c r="AG5015" s="28" t="n">
        <f aca="false">AF5015*$M5015</f>
        <v>0</v>
      </c>
      <c r="AH5015" s="28"/>
      <c r="AI5015" s="28" t="n">
        <f aca="false">AH5015*$M5015</f>
        <v>0</v>
      </c>
      <c r="AJ5015" s="28"/>
      <c r="AK5015" s="28" t="n">
        <f aca="false">AJ5015*$M5015</f>
        <v>0</v>
      </c>
      <c r="AL5015" s="28"/>
      <c r="AM5015" s="28" t="n">
        <f aca="false">AL5015*$M5015</f>
        <v>0</v>
      </c>
      <c r="AN5015" s="28"/>
      <c r="AO5015" s="28" t="n">
        <f aca="false">AN5015*$M5015</f>
        <v>0</v>
      </c>
      <c r="AP5015" s="28"/>
      <c r="AQ5015" s="28" t="n">
        <f aca="false">AP5015*$M5015</f>
        <v>0</v>
      </c>
      <c r="AR5015" s="28"/>
      <c r="AS5015" s="28" t="n">
        <f aca="false">AR5015*$M5015</f>
        <v>0</v>
      </c>
      <c r="AT5015" s="28"/>
      <c r="AU5015" s="28" t="n">
        <f aca="false">AT5015*$M5015</f>
        <v>0</v>
      </c>
      <c r="AV5015" s="28"/>
      <c r="AW5015" s="28" t="n">
        <f aca="false">AV5015*$M5015</f>
        <v>0</v>
      </c>
      <c r="AX5015" s="28"/>
      <c r="AY5015" s="28" t="n">
        <f aca="false">AX5015*$M5015</f>
        <v>0</v>
      </c>
      <c r="AZ5015" s="30" t="n">
        <f aca="false">2364/100</f>
        <v>23.64</v>
      </c>
      <c r="BA5015" s="11" t="n">
        <v>2837</v>
      </c>
      <c r="BB5015" s="31" t="n">
        <f aca="false">SUM(Q5015,S5015,U5015,W5015,Y5015,AA5015,AC5015,AE5015,AG5015,AI5015,AK5015,AM5015,AO5015,AQ5015,AS5015,AU5015,AW5015,AY5015)</f>
        <v>2837</v>
      </c>
      <c r="BC5015" s="28" t="n">
        <f aca="false">BA5015-BB5015</f>
        <v>0</v>
      </c>
      <c r="BD5015" s="32" t="n">
        <f aca="false">SUM(P5015,R5015,T5015,V5015,X5015,Z5015,AB5015,AD5015,AF5015,AH5015,AJ5015,AL5015,AN5015,AP5015,AR5015,AT5015,AV5015,AX5015)</f>
        <v>23.64</v>
      </c>
      <c r="BE5015" s="33" t="n">
        <f aca="false">AZ5015-BD5015</f>
        <v>0</v>
      </c>
      <c r="BF5015" s="34" t="n">
        <f aca="false">BD5015*M5015</f>
        <v>2836.8</v>
      </c>
      <c r="BG5015" s="35" t="n">
        <f aca="false">BA5015-BF5015</f>
        <v>0.199999999999818</v>
      </c>
      <c r="BH5015" s="19" t="str">
        <f aca="false">IF(BG5015=0,"",IF(BG5015&lt;&gt;BA5015,"erreur de calcul",IF(BD5015&lt;&gt;0,"pas de prix",IF(M5015&lt;&gt; 0,"pas de quantité","pas de prix, ni de quantité"))))</f>
        <v>erreur de calcul</v>
      </c>
      <c r="BI5015" s="19"/>
    </row>
    <row r="5016" customFormat="false" ht="15" hidden="false" customHeight="false" outlineLevel="0" collapsed="false">
      <c r="A5016" s="0" t="n">
        <v>23</v>
      </c>
      <c r="B5016" s="8" t="s">
        <v>24</v>
      </c>
      <c r="C5016" s="9" t="s">
        <v>25</v>
      </c>
      <c r="D5016" s="9" t="s">
        <v>26</v>
      </c>
      <c r="E5016" s="10" t="n">
        <v>1789</v>
      </c>
      <c r="F5016" s="9" t="s">
        <v>27</v>
      </c>
      <c r="G5016" s="9" t="s">
        <v>27</v>
      </c>
      <c r="H5016" s="11" t="n">
        <v>21</v>
      </c>
      <c r="I5016" s="11" t="s">
        <v>176</v>
      </c>
      <c r="J5016" s="14" t="n">
        <v>170</v>
      </c>
      <c r="K5016" s="14"/>
      <c r="L5016" s="16"/>
      <c r="M5016" s="27" t="n">
        <f aca="false">J5016+(K5016/20)+(L5016/240)</f>
        <v>170</v>
      </c>
      <c r="N5016" s="17" t="s">
        <v>64</v>
      </c>
      <c r="O5016" s="11"/>
      <c r="P5016" s="28" t="n">
        <f aca="false">9760/100</f>
        <v>97.6</v>
      </c>
      <c r="Q5016" s="28" t="n">
        <v>16592</v>
      </c>
      <c r="R5016" s="28"/>
      <c r="S5016" s="28" t="n">
        <f aca="false">R5016*$M5016</f>
        <v>0</v>
      </c>
      <c r="T5016" s="28"/>
      <c r="U5016" s="28" t="n">
        <f aca="false">T5016*$M5016</f>
        <v>0</v>
      </c>
      <c r="V5016" s="28"/>
      <c r="W5016" s="28" t="n">
        <f aca="false">V5016*$M5016</f>
        <v>0</v>
      </c>
      <c r="X5016" s="28" t="n">
        <f aca="false">1589/100</f>
        <v>15.89</v>
      </c>
      <c r="Y5016" s="28" t="n">
        <v>2701</v>
      </c>
      <c r="Z5016" s="28"/>
      <c r="AA5016" s="28" t="n">
        <f aca="false">Z5016*$M5016</f>
        <v>0</v>
      </c>
      <c r="AB5016" s="28"/>
      <c r="AC5016" s="28" t="n">
        <f aca="false">AB5016*$M5016</f>
        <v>0</v>
      </c>
      <c r="AD5016" s="28"/>
      <c r="AE5016" s="28" t="n">
        <f aca="false">AD5016*$M5016</f>
        <v>0</v>
      </c>
      <c r="AF5016" s="28"/>
      <c r="AG5016" s="28" t="n">
        <f aca="false">AF5016*$M5016</f>
        <v>0</v>
      </c>
      <c r="AH5016" s="28"/>
      <c r="AI5016" s="28" t="n">
        <f aca="false">AH5016*$M5016</f>
        <v>0</v>
      </c>
      <c r="AJ5016" s="28"/>
      <c r="AK5016" s="28" t="n">
        <f aca="false">AJ5016*$M5016</f>
        <v>0</v>
      </c>
      <c r="AL5016" s="28"/>
      <c r="AM5016" s="28" t="n">
        <f aca="false">AL5016*$M5016</f>
        <v>0</v>
      </c>
      <c r="AN5016" s="28"/>
      <c r="AO5016" s="28" t="n">
        <f aca="false">AN5016*$M5016</f>
        <v>0</v>
      </c>
      <c r="AP5016" s="28"/>
      <c r="AQ5016" s="28" t="n">
        <f aca="false">AP5016*$M5016</f>
        <v>0</v>
      </c>
      <c r="AR5016" s="28"/>
      <c r="AS5016" s="28" t="n">
        <f aca="false">AR5016*$M5016</f>
        <v>0</v>
      </c>
      <c r="AT5016" s="28"/>
      <c r="AU5016" s="28" t="n">
        <f aca="false">AT5016*$M5016</f>
        <v>0</v>
      </c>
      <c r="AV5016" s="28"/>
      <c r="AW5016" s="28" t="n">
        <f aca="false">AV5016*$M5016</f>
        <v>0</v>
      </c>
      <c r="AX5016" s="28"/>
      <c r="AY5016" s="28" t="n">
        <f aca="false">AX5016*$M5016</f>
        <v>0</v>
      </c>
      <c r="AZ5016" s="30" t="n">
        <f aca="false">11349/100</f>
        <v>113.49</v>
      </c>
      <c r="BA5016" s="11" t="n">
        <v>19293</v>
      </c>
      <c r="BB5016" s="31" t="n">
        <f aca="false">SUM(Q5016,S5016,U5016,W5016,Y5016,AA5016,AC5016,AE5016,AG5016,AI5016,AK5016,AM5016,AO5016,AQ5016,AS5016,AU5016,AW5016,AY5016)</f>
        <v>19293</v>
      </c>
      <c r="BC5016" s="28" t="n">
        <f aca="false">BA5016-BB5016</f>
        <v>0</v>
      </c>
      <c r="BD5016" s="32" t="n">
        <f aca="false">SUM(P5016,R5016,T5016,V5016,X5016,Z5016,AB5016,AD5016,AF5016,AH5016,AJ5016,AL5016,AN5016,AP5016,AR5016,AT5016,AV5016,AX5016)</f>
        <v>113.49</v>
      </c>
      <c r="BE5016" s="33" t="n">
        <f aca="false">AZ5016-BD5016</f>
        <v>0</v>
      </c>
      <c r="BF5016" s="34" t="n">
        <f aca="false">BD5016*M5016</f>
        <v>19293.3</v>
      </c>
      <c r="BG5016" s="35" t="n">
        <f aca="false">BA5016-BF5016</f>
        <v>-0.299999999999272</v>
      </c>
      <c r="BH5016" s="19" t="str">
        <f aca="false">IF(BG5016=0,"",IF(BG5016&lt;&gt;BA5016,"erreur de calcul",IF(BD5016&lt;&gt;0,"pas de prix",IF(M5016&lt;&gt; 0,"pas de quantité","pas de prix, ni de quantité"))))</f>
        <v>erreur de calcul</v>
      </c>
      <c r="BI5016" s="19"/>
    </row>
    <row r="5017" customFormat="false" ht="15" hidden="false" customHeight="false" outlineLevel="0" collapsed="false">
      <c r="A5017" s="0" t="n">
        <v>24</v>
      </c>
      <c r="B5017" s="8" t="s">
        <v>24</v>
      </c>
      <c r="C5017" s="9" t="s">
        <v>25</v>
      </c>
      <c r="D5017" s="9" t="s">
        <v>26</v>
      </c>
      <c r="E5017" s="10" t="n">
        <v>1789</v>
      </c>
      <c r="F5017" s="9" t="s">
        <v>27</v>
      </c>
      <c r="G5017" s="9" t="s">
        <v>27</v>
      </c>
      <c r="H5017" s="11" t="n">
        <v>21</v>
      </c>
      <c r="I5017" s="11" t="s">
        <v>177</v>
      </c>
      <c r="J5017" s="14" t="n">
        <v>9</v>
      </c>
      <c r="K5017" s="14"/>
      <c r="L5017" s="16"/>
      <c r="M5017" s="27" t="n">
        <f aca="false">J5017+(K5017/20)+(L5017/240)</f>
        <v>9</v>
      </c>
      <c r="N5017" s="17" t="s">
        <v>66</v>
      </c>
      <c r="O5017" s="11"/>
      <c r="P5017" s="28"/>
      <c r="Q5017" s="28" t="n">
        <f aca="false">P5017*$M5017</f>
        <v>0</v>
      </c>
      <c r="R5017" s="28" t="n">
        <v>349</v>
      </c>
      <c r="S5017" s="28" t="n">
        <v>3141</v>
      </c>
      <c r="T5017" s="28"/>
      <c r="U5017" s="28" t="n">
        <f aca="false">T5017*$M5017</f>
        <v>0</v>
      </c>
      <c r="V5017" s="28" t="n">
        <v>315</v>
      </c>
      <c r="W5017" s="28" t="n">
        <v>2835</v>
      </c>
      <c r="X5017" s="28" t="n">
        <v>733</v>
      </c>
      <c r="Y5017" s="28" t="n">
        <v>6597</v>
      </c>
      <c r="Z5017" s="28"/>
      <c r="AA5017" s="28" t="n">
        <f aca="false">Z5017*$M5017</f>
        <v>0</v>
      </c>
      <c r="AB5017" s="28" t="n">
        <v>162</v>
      </c>
      <c r="AC5017" s="28" t="n">
        <v>1458</v>
      </c>
      <c r="AD5017" s="28"/>
      <c r="AE5017" s="28" t="n">
        <f aca="false">AD5017*$M5017</f>
        <v>0</v>
      </c>
      <c r="AF5017" s="28"/>
      <c r="AG5017" s="28" t="n">
        <f aca="false">AF5017*$M5017</f>
        <v>0</v>
      </c>
      <c r="AH5017" s="28"/>
      <c r="AI5017" s="28" t="n">
        <f aca="false">AH5017*$M5017</f>
        <v>0</v>
      </c>
      <c r="AJ5017" s="28"/>
      <c r="AK5017" s="28" t="n">
        <f aca="false">AJ5017*$M5017</f>
        <v>0</v>
      </c>
      <c r="AL5017" s="28"/>
      <c r="AM5017" s="28" t="n">
        <f aca="false">AL5017*$M5017</f>
        <v>0</v>
      </c>
      <c r="AN5017" s="28"/>
      <c r="AO5017" s="28" t="n">
        <f aca="false">AN5017*$M5017</f>
        <v>0</v>
      </c>
      <c r="AP5017" s="28"/>
      <c r="AQ5017" s="28" t="n">
        <f aca="false">AP5017*$M5017</f>
        <v>0</v>
      </c>
      <c r="AR5017" s="28"/>
      <c r="AS5017" s="28" t="n">
        <f aca="false">AR5017*$M5017</f>
        <v>0</v>
      </c>
      <c r="AT5017" s="28"/>
      <c r="AU5017" s="28" t="n">
        <f aca="false">AT5017*$M5017</f>
        <v>0</v>
      </c>
      <c r="AV5017" s="28"/>
      <c r="AW5017" s="28" t="n">
        <f aca="false">AV5017*$M5017</f>
        <v>0</v>
      </c>
      <c r="AX5017" s="28"/>
      <c r="AY5017" s="28" t="n">
        <f aca="false">AX5017*$M5017</f>
        <v>0</v>
      </c>
      <c r="AZ5017" s="30" t="n">
        <f aca="false">1559</f>
        <v>1559</v>
      </c>
      <c r="BA5017" s="11" t="n">
        <v>14031</v>
      </c>
      <c r="BB5017" s="31" t="n">
        <f aca="false">SUM(Q5017,S5017,U5017,W5017,Y5017,AA5017,AC5017,AE5017,AG5017,AI5017,AK5017,AM5017,AO5017,AQ5017,AS5017,AU5017,AW5017,AY5017)</f>
        <v>14031</v>
      </c>
      <c r="BC5017" s="28" t="n">
        <f aca="false">BA5017-BB5017</f>
        <v>0</v>
      </c>
      <c r="BD5017" s="32" t="n">
        <f aca="false">SUM(P5017,R5017,T5017,V5017,X5017,Z5017,AB5017,AD5017,AF5017,AH5017,AJ5017,AL5017,AN5017,AP5017,AR5017,AT5017,AV5017,AX5017)</f>
        <v>1559</v>
      </c>
      <c r="BE5017" s="33" t="n">
        <f aca="false">AZ5017-BD5017</f>
        <v>0</v>
      </c>
      <c r="BF5017" s="34" t="n">
        <f aca="false">BD5017*M5017</f>
        <v>14031</v>
      </c>
      <c r="BG5017" s="35" t="n">
        <f aca="false">BA5017-BF5017</f>
        <v>0</v>
      </c>
      <c r="BH5017" s="19" t="str">
        <f aca="false">IF(BG5017=0,"",IF(BG5017&lt;&gt;BA5017,"erreur de calcul",IF(BD5017&lt;&gt;0,"pas de prix",IF(M5017&lt;&gt; 0,"pas de quantité","pas de prix, ni de quantité"))))</f>
        <v/>
      </c>
      <c r="BI5017" s="19"/>
    </row>
    <row r="5018" customFormat="false" ht="15" hidden="false" customHeight="false" outlineLevel="0" collapsed="false">
      <c r="A5018" s="0" t="n">
        <v>25</v>
      </c>
      <c r="B5018" s="8" t="s">
        <v>24</v>
      </c>
      <c r="C5018" s="9" t="s">
        <v>25</v>
      </c>
      <c r="D5018" s="9" t="s">
        <v>26</v>
      </c>
      <c r="E5018" s="10" t="n">
        <v>1789</v>
      </c>
      <c r="F5018" s="9" t="s">
        <v>27</v>
      </c>
      <c r="G5018" s="9" t="s">
        <v>27</v>
      </c>
      <c r="H5018" s="11" t="n">
        <v>21</v>
      </c>
      <c r="I5018" s="11" t="s">
        <v>178</v>
      </c>
      <c r="J5018" s="14" t="n">
        <v>125</v>
      </c>
      <c r="K5018" s="14"/>
      <c r="L5018" s="16"/>
      <c r="M5018" s="27" t="n">
        <f aca="false">J5018+(K5018/20)+(L5018/240)</f>
        <v>125</v>
      </c>
      <c r="N5018" s="17" t="s">
        <v>64</v>
      </c>
      <c r="O5018" s="11"/>
      <c r="P5018" s="28"/>
      <c r="Q5018" s="28" t="n">
        <f aca="false">P5018*$M5018</f>
        <v>0</v>
      </c>
      <c r="R5018" s="28"/>
      <c r="S5018" s="28" t="n">
        <f aca="false">R5018*$M5018</f>
        <v>0</v>
      </c>
      <c r="T5018" s="28"/>
      <c r="U5018" s="28" t="n">
        <f aca="false">T5018*$M5018</f>
        <v>0</v>
      </c>
      <c r="V5018" s="28" t="n">
        <f aca="false">10764/100</f>
        <v>107.64</v>
      </c>
      <c r="W5018" s="28" t="n">
        <v>13455</v>
      </c>
      <c r="X5018" s="28" t="n">
        <f aca="false">13215/100</f>
        <v>132.15</v>
      </c>
      <c r="Y5018" s="28" t="n">
        <v>16519</v>
      </c>
      <c r="Z5018" s="28"/>
      <c r="AA5018" s="28" t="n">
        <f aca="false">Z5018*$M5018</f>
        <v>0</v>
      </c>
      <c r="AB5018" s="28" t="n">
        <f aca="false">188461/100</f>
        <v>1884.61</v>
      </c>
      <c r="AC5018" s="28" t="n">
        <v>235576</v>
      </c>
      <c r="AD5018" s="28"/>
      <c r="AE5018" s="28" t="n">
        <f aca="false">AD5018*$M5018</f>
        <v>0</v>
      </c>
      <c r="AF5018" s="28"/>
      <c r="AG5018" s="28" t="n">
        <f aca="false">AF5018*$M5018</f>
        <v>0</v>
      </c>
      <c r="AH5018" s="28"/>
      <c r="AI5018" s="28" t="n">
        <f aca="false">AH5018*$M5018</f>
        <v>0</v>
      </c>
      <c r="AJ5018" s="28"/>
      <c r="AK5018" s="28" t="n">
        <f aca="false">AJ5018*$M5018</f>
        <v>0</v>
      </c>
      <c r="AL5018" s="28"/>
      <c r="AM5018" s="28" t="n">
        <f aca="false">AL5018*$M5018</f>
        <v>0</v>
      </c>
      <c r="AN5018" s="28"/>
      <c r="AO5018" s="28" t="n">
        <f aca="false">AN5018*$M5018</f>
        <v>0</v>
      </c>
      <c r="AP5018" s="28"/>
      <c r="AQ5018" s="28" t="n">
        <f aca="false">AP5018*$M5018</f>
        <v>0</v>
      </c>
      <c r="AR5018" s="28"/>
      <c r="AS5018" s="28" t="n">
        <f aca="false">AR5018*$M5018</f>
        <v>0</v>
      </c>
      <c r="AT5018" s="28"/>
      <c r="AU5018" s="28" t="n">
        <f aca="false">AT5018*$M5018</f>
        <v>0</v>
      </c>
      <c r="AV5018" s="28"/>
      <c r="AW5018" s="28" t="n">
        <f aca="false">AV5018*$M5018</f>
        <v>0</v>
      </c>
      <c r="AX5018" s="28"/>
      <c r="AY5018" s="28" t="n">
        <f aca="false">AX5018*$M5018</f>
        <v>0</v>
      </c>
      <c r="AZ5018" s="30" t="n">
        <f aca="false">212440/100</f>
        <v>2124.4</v>
      </c>
      <c r="BA5018" s="11" t="n">
        <v>265550</v>
      </c>
      <c r="BB5018" s="31" t="n">
        <f aca="false">SUM(Q5018,S5018,U5018,W5018,Y5018,AA5018,AC5018,AE5018,AG5018,AI5018,AK5018,AM5018,AO5018,AQ5018,AS5018,AU5018,AW5018,AY5018)</f>
        <v>265550</v>
      </c>
      <c r="BC5018" s="28" t="n">
        <f aca="false">BA5018-BB5018</f>
        <v>0</v>
      </c>
      <c r="BD5018" s="32" t="n">
        <f aca="false">SUM(P5018,R5018,T5018,V5018,X5018,Z5018,AB5018,AD5018,AF5018,AH5018,AJ5018,AL5018,AN5018,AP5018,AR5018,AT5018,AV5018,AX5018)</f>
        <v>2124.4</v>
      </c>
      <c r="BE5018" s="33" t="n">
        <f aca="false">AZ5018-BD5018</f>
        <v>0</v>
      </c>
      <c r="BF5018" s="34" t="n">
        <f aca="false">BD5018*M5018</f>
        <v>265550</v>
      </c>
      <c r="BG5018" s="35" t="n">
        <f aca="false">BA5018-BF5018</f>
        <v>0</v>
      </c>
      <c r="BH5018" s="19" t="str">
        <f aca="false">IF(BG5018=0,"",IF(BG5018&lt;&gt;BA5018,"erreur de calcul",IF(BD5018&lt;&gt;0,"pas de prix",IF(M5018&lt;&gt; 0,"pas de quantité","pas de prix, ni de quantité"))))</f>
        <v/>
      </c>
      <c r="BI5018" s="19"/>
    </row>
    <row r="5019" customFormat="false" ht="15" hidden="false" customHeight="false" outlineLevel="0" collapsed="false">
      <c r="A5019" s="0" t="n">
        <v>26</v>
      </c>
      <c r="B5019" s="8" t="s">
        <v>24</v>
      </c>
      <c r="C5019" s="9" t="s">
        <v>25</v>
      </c>
      <c r="D5019" s="9" t="s">
        <v>26</v>
      </c>
      <c r="E5019" s="10" t="n">
        <v>1789</v>
      </c>
      <c r="F5019" s="9" t="s">
        <v>27</v>
      </c>
      <c r="G5019" s="9" t="s">
        <v>27</v>
      </c>
      <c r="H5019" s="11" t="n">
        <v>21</v>
      </c>
      <c r="I5019" s="11" t="s">
        <v>179</v>
      </c>
      <c r="J5019" s="14" t="n">
        <v>7</v>
      </c>
      <c r="K5019" s="14"/>
      <c r="L5019" s="16"/>
      <c r="M5019" s="27" t="n">
        <f aca="false">J5019+(K5019/20)+(L5019/240)</f>
        <v>7</v>
      </c>
      <c r="N5019" s="17" t="s">
        <v>66</v>
      </c>
      <c r="O5019" s="11"/>
      <c r="P5019" s="28" t="n">
        <v>8441</v>
      </c>
      <c r="Q5019" s="28" t="n">
        <v>59087</v>
      </c>
      <c r="R5019" s="28"/>
      <c r="S5019" s="28" t="n">
        <f aca="false">R5019*$M5019</f>
        <v>0</v>
      </c>
      <c r="T5019" s="28"/>
      <c r="U5019" s="28" t="n">
        <f aca="false">T5019*$M5019</f>
        <v>0</v>
      </c>
      <c r="V5019" s="28"/>
      <c r="W5019" s="28" t="n">
        <f aca="false">V5019*$M5019</f>
        <v>0</v>
      </c>
      <c r="X5019" s="28"/>
      <c r="Y5019" s="28" t="n">
        <f aca="false">X5019*$M5019</f>
        <v>0</v>
      </c>
      <c r="Z5019" s="28" t="n">
        <v>357</v>
      </c>
      <c r="AA5019" s="28" t="n">
        <v>2499</v>
      </c>
      <c r="AB5019" s="28"/>
      <c r="AC5019" s="28" t="n">
        <f aca="false">AB5019*$M5019</f>
        <v>0</v>
      </c>
      <c r="AD5019" s="28"/>
      <c r="AE5019" s="28" t="n">
        <f aca="false">AD5019*$M5019</f>
        <v>0</v>
      </c>
      <c r="AF5019" s="28"/>
      <c r="AG5019" s="28" t="n">
        <f aca="false">AF5019*$M5019</f>
        <v>0</v>
      </c>
      <c r="AH5019" s="28"/>
      <c r="AI5019" s="28" t="n">
        <f aca="false">AH5019*$M5019</f>
        <v>0</v>
      </c>
      <c r="AJ5019" s="28"/>
      <c r="AK5019" s="28" t="n">
        <f aca="false">AJ5019*$M5019</f>
        <v>0</v>
      </c>
      <c r="AL5019" s="28"/>
      <c r="AM5019" s="28" t="n">
        <f aca="false">AL5019*$M5019</f>
        <v>0</v>
      </c>
      <c r="AN5019" s="28"/>
      <c r="AO5019" s="28" t="n">
        <f aca="false">AN5019*$M5019</f>
        <v>0</v>
      </c>
      <c r="AP5019" s="28"/>
      <c r="AQ5019" s="28" t="n">
        <f aca="false">AP5019*$M5019</f>
        <v>0</v>
      </c>
      <c r="AR5019" s="28"/>
      <c r="AS5019" s="28" t="n">
        <f aca="false">AR5019*$M5019</f>
        <v>0</v>
      </c>
      <c r="AT5019" s="28"/>
      <c r="AU5019" s="28" t="n">
        <f aca="false">AT5019*$M5019</f>
        <v>0</v>
      </c>
      <c r="AV5019" s="28"/>
      <c r="AW5019" s="28" t="n">
        <f aca="false">AV5019*$M5019</f>
        <v>0</v>
      </c>
      <c r="AX5019" s="28"/>
      <c r="AY5019" s="28" t="n">
        <f aca="false">AX5019*$M5019</f>
        <v>0</v>
      </c>
      <c r="AZ5019" s="30" t="n">
        <v>8798</v>
      </c>
      <c r="BA5019" s="11" t="n">
        <v>61586</v>
      </c>
      <c r="BB5019" s="31" t="n">
        <f aca="false">SUM(Q5019,S5019,U5019,W5019,Y5019,AA5019,AC5019,AE5019,AG5019,AI5019,AK5019,AM5019,AO5019,AQ5019,AS5019,AU5019,AW5019,AY5019)</f>
        <v>61586</v>
      </c>
      <c r="BC5019" s="28" t="n">
        <f aca="false">BA5019-BB5019</f>
        <v>0</v>
      </c>
      <c r="BD5019" s="32" t="n">
        <f aca="false">SUM(P5019,R5019,T5019,V5019,X5019,Z5019,AB5019,AD5019,AF5019,AH5019,AJ5019,AL5019,AN5019,AP5019,AR5019,AT5019,AV5019,AX5019)</f>
        <v>8798</v>
      </c>
      <c r="BE5019" s="33" t="n">
        <f aca="false">AZ5019-BD5019</f>
        <v>0</v>
      </c>
      <c r="BF5019" s="34" t="n">
        <f aca="false">BD5019*M5019</f>
        <v>61586</v>
      </c>
      <c r="BG5019" s="35" t="n">
        <f aca="false">BA5019-BF5019</f>
        <v>0</v>
      </c>
      <c r="BH5019" s="19" t="str">
        <f aca="false">IF(BG5019=0,"",IF(BG5019&lt;&gt;BA5019,"erreur de calcul",IF(BD5019&lt;&gt;0,"pas de prix",IF(M5019&lt;&gt; 0,"pas de quantité","pas de prix, ni de quantité"))))</f>
        <v/>
      </c>
      <c r="BI5019" s="19"/>
    </row>
    <row r="5020" customFormat="false" ht="15" hidden="false" customHeight="false" outlineLevel="0" collapsed="false">
      <c r="A5020" s="0" t="n">
        <v>27</v>
      </c>
      <c r="B5020" s="8" t="s">
        <v>24</v>
      </c>
      <c r="C5020" s="9" t="s">
        <v>25</v>
      </c>
      <c r="D5020" s="9" t="s">
        <v>26</v>
      </c>
      <c r="E5020" s="10" t="n">
        <v>1789</v>
      </c>
      <c r="F5020" s="9" t="s">
        <v>27</v>
      </c>
      <c r="G5020" s="9" t="s">
        <v>27</v>
      </c>
      <c r="H5020" s="11" t="n">
        <v>21</v>
      </c>
      <c r="I5020" s="11" t="s">
        <v>180</v>
      </c>
      <c r="J5020" s="14" t="n">
        <v>9</v>
      </c>
      <c r="K5020" s="14"/>
      <c r="L5020" s="16"/>
      <c r="M5020" s="27" t="n">
        <f aca="false">J5020+(K5020/20)+(L5020/240)</f>
        <v>9</v>
      </c>
      <c r="N5020" s="17" t="s">
        <v>64</v>
      </c>
      <c r="O5020" s="11"/>
      <c r="P5020" s="28" t="n">
        <f aca="false">22662/100</f>
        <v>226.62</v>
      </c>
      <c r="Q5020" s="28" t="n">
        <v>2039</v>
      </c>
      <c r="R5020" s="28"/>
      <c r="S5020" s="28" t="n">
        <f aca="false">R5020*$M5020</f>
        <v>0</v>
      </c>
      <c r="T5020" s="28"/>
      <c r="U5020" s="28" t="n">
        <f aca="false">T5020*$M5020</f>
        <v>0</v>
      </c>
      <c r="V5020" s="28"/>
      <c r="W5020" s="28" t="n">
        <f aca="false">V5020*$M5020</f>
        <v>0</v>
      </c>
      <c r="X5020" s="28"/>
      <c r="Y5020" s="28" t="n">
        <f aca="false">X5020*$M5020</f>
        <v>0</v>
      </c>
      <c r="Z5020" s="28"/>
      <c r="AA5020" s="28" t="n">
        <f aca="false">Z5020*$M5020</f>
        <v>0</v>
      </c>
      <c r="AB5020" s="28"/>
      <c r="AC5020" s="28" t="n">
        <f aca="false">AB5020*$M5020</f>
        <v>0</v>
      </c>
      <c r="AD5020" s="28"/>
      <c r="AE5020" s="28" t="n">
        <f aca="false">AD5020*$M5020</f>
        <v>0</v>
      </c>
      <c r="AF5020" s="28"/>
      <c r="AG5020" s="28" t="n">
        <f aca="false">AF5020*$M5020</f>
        <v>0</v>
      </c>
      <c r="AH5020" s="28"/>
      <c r="AI5020" s="28" t="n">
        <f aca="false">AH5020*$M5020</f>
        <v>0</v>
      </c>
      <c r="AJ5020" s="28"/>
      <c r="AK5020" s="28" t="n">
        <f aca="false">AJ5020*$M5020</f>
        <v>0</v>
      </c>
      <c r="AL5020" s="28"/>
      <c r="AM5020" s="28" t="n">
        <f aca="false">AL5020*$M5020</f>
        <v>0</v>
      </c>
      <c r="AN5020" s="28"/>
      <c r="AO5020" s="28" t="n">
        <f aca="false">AN5020*$M5020</f>
        <v>0</v>
      </c>
      <c r="AP5020" s="28"/>
      <c r="AQ5020" s="28" t="n">
        <f aca="false">AP5020*$M5020</f>
        <v>0</v>
      </c>
      <c r="AR5020" s="28"/>
      <c r="AS5020" s="28" t="n">
        <f aca="false">AR5020*$M5020</f>
        <v>0</v>
      </c>
      <c r="AT5020" s="28"/>
      <c r="AU5020" s="28" t="n">
        <f aca="false">AT5020*$M5020</f>
        <v>0</v>
      </c>
      <c r="AV5020" s="28"/>
      <c r="AW5020" s="28" t="n">
        <f aca="false">AV5020*$M5020</f>
        <v>0</v>
      </c>
      <c r="AX5020" s="28"/>
      <c r="AY5020" s="28" t="n">
        <f aca="false">AX5020*$M5020</f>
        <v>0</v>
      </c>
      <c r="AZ5020" s="30" t="n">
        <f aca="false">22662/100</f>
        <v>226.62</v>
      </c>
      <c r="BA5020" s="11" t="n">
        <v>2039</v>
      </c>
      <c r="BB5020" s="31" t="n">
        <f aca="false">SUM(Q5020,S5020,U5020,W5020,Y5020,AA5020,AC5020,AE5020,AG5020,AI5020,AK5020,AM5020,AO5020,AQ5020,AS5020,AU5020,AW5020,AY5020)</f>
        <v>2039</v>
      </c>
      <c r="BC5020" s="28" t="n">
        <f aca="false">BA5020-BB5020</f>
        <v>0</v>
      </c>
      <c r="BD5020" s="32" t="n">
        <f aca="false">SUM(P5020,R5020,T5020,V5020,X5020,Z5020,AB5020,AD5020,AF5020,AH5020,AJ5020,AL5020,AN5020,AP5020,AR5020,AT5020,AV5020,AX5020)</f>
        <v>226.62</v>
      </c>
      <c r="BE5020" s="33" t="n">
        <f aca="false">AZ5020-BD5020</f>
        <v>0</v>
      </c>
      <c r="BF5020" s="34" t="n">
        <f aca="false">BD5020*M5020</f>
        <v>2039.58</v>
      </c>
      <c r="BG5020" s="35" t="n">
        <f aca="false">BA5020-BF5020</f>
        <v>-0.579999999999927</v>
      </c>
      <c r="BH5020" s="19" t="str">
        <f aca="false">IF(BG5020=0,"",IF(BG5020&lt;&gt;BA5020,"erreur de calcul",IF(BD5020&lt;&gt;0,"pas de prix",IF(M5020&lt;&gt; 0,"pas de quantité","pas de prix, ni de quantité"))))</f>
        <v>erreur de calcul</v>
      </c>
      <c r="BI5020" s="19"/>
    </row>
    <row r="5021" customFormat="false" ht="15" hidden="false" customHeight="false" outlineLevel="0" collapsed="false">
      <c r="A5021" s="0" t="n">
        <v>28</v>
      </c>
      <c r="B5021" s="8" t="s">
        <v>24</v>
      </c>
      <c r="C5021" s="9" t="s">
        <v>25</v>
      </c>
      <c r="D5021" s="9" t="s">
        <v>26</v>
      </c>
      <c r="E5021" s="10" t="n">
        <v>1789</v>
      </c>
      <c r="F5021" s="9" t="s">
        <v>27</v>
      </c>
      <c r="G5021" s="9" t="s">
        <v>27</v>
      </c>
      <c r="H5021" s="11" t="n">
        <v>21</v>
      </c>
      <c r="I5021" s="11" t="s">
        <v>181</v>
      </c>
      <c r="J5021" s="14" t="n">
        <v>8</v>
      </c>
      <c r="K5021" s="14" t="n">
        <v>10</v>
      </c>
      <c r="L5021" s="16"/>
      <c r="M5021" s="27" t="n">
        <f aca="false">J5021+(K5021/20)+(L5021/240)</f>
        <v>8.5</v>
      </c>
      <c r="N5021" s="17" t="s">
        <v>66</v>
      </c>
      <c r="O5021" s="11"/>
      <c r="P5021" s="28" t="n">
        <v>1770</v>
      </c>
      <c r="Q5021" s="28" t="n">
        <v>15045</v>
      </c>
      <c r="R5021" s="28"/>
      <c r="S5021" s="28" t="n">
        <f aca="false">R5021*$M5021</f>
        <v>0</v>
      </c>
      <c r="T5021" s="28"/>
      <c r="U5021" s="28" t="n">
        <f aca="false">T5021*$M5021</f>
        <v>0</v>
      </c>
      <c r="V5021" s="28"/>
      <c r="W5021" s="28" t="n">
        <f aca="false">V5021*$M5021</f>
        <v>0</v>
      </c>
      <c r="X5021" s="28"/>
      <c r="Y5021" s="28" t="n">
        <f aca="false">X5021*$M5021</f>
        <v>0</v>
      </c>
      <c r="Z5021" s="28"/>
      <c r="AA5021" s="28" t="n">
        <f aca="false">Z5021*$M5021</f>
        <v>0</v>
      </c>
      <c r="AB5021" s="28"/>
      <c r="AC5021" s="28" t="n">
        <f aca="false">AB5021*$M5021</f>
        <v>0</v>
      </c>
      <c r="AD5021" s="28"/>
      <c r="AE5021" s="28" t="n">
        <f aca="false">AD5021*$M5021</f>
        <v>0</v>
      </c>
      <c r="AF5021" s="28"/>
      <c r="AG5021" s="28" t="n">
        <f aca="false">AF5021*$M5021</f>
        <v>0</v>
      </c>
      <c r="AH5021" s="28" t="n">
        <v>323</v>
      </c>
      <c r="AI5021" s="28" t="n">
        <v>2745</v>
      </c>
      <c r="AJ5021" s="28"/>
      <c r="AK5021" s="28" t="n">
        <f aca="false">AJ5021*$M5021</f>
        <v>0</v>
      </c>
      <c r="AL5021" s="28"/>
      <c r="AM5021" s="28" t="n">
        <f aca="false">AL5021*$M5021</f>
        <v>0</v>
      </c>
      <c r="AN5021" s="28"/>
      <c r="AO5021" s="28" t="n">
        <f aca="false">AN5021*$M5021</f>
        <v>0</v>
      </c>
      <c r="AP5021" s="28"/>
      <c r="AQ5021" s="28" t="n">
        <f aca="false">AP5021*$M5021</f>
        <v>0</v>
      </c>
      <c r="AR5021" s="28"/>
      <c r="AS5021" s="28" t="n">
        <f aca="false">AR5021*$M5021</f>
        <v>0</v>
      </c>
      <c r="AT5021" s="28"/>
      <c r="AU5021" s="28" t="n">
        <f aca="false">AT5021*$M5021</f>
        <v>0</v>
      </c>
      <c r="AV5021" s="28"/>
      <c r="AW5021" s="28" t="n">
        <f aca="false">AV5021*$M5021</f>
        <v>0</v>
      </c>
      <c r="AX5021" s="28"/>
      <c r="AY5021" s="28" t="n">
        <f aca="false">AX5021*$M5021</f>
        <v>0</v>
      </c>
      <c r="AZ5021" s="30" t="n">
        <v>2093</v>
      </c>
      <c r="BA5021" s="11" t="n">
        <v>17790</v>
      </c>
      <c r="BB5021" s="31" t="n">
        <f aca="false">SUM(Q5021,S5021,U5021,W5021,Y5021,AA5021,AC5021,AE5021,AG5021,AI5021,AK5021,AM5021,AO5021,AQ5021,AS5021,AU5021,AW5021,AY5021)</f>
        <v>17790</v>
      </c>
      <c r="BC5021" s="28" t="n">
        <f aca="false">BA5021-BB5021</f>
        <v>0</v>
      </c>
      <c r="BD5021" s="32" t="n">
        <f aca="false">SUM(P5021,R5021,T5021,V5021,X5021,Z5021,AB5021,AD5021,AF5021,AH5021,AJ5021,AL5021,AN5021,AP5021,AR5021,AT5021,AV5021,AX5021)</f>
        <v>2093</v>
      </c>
      <c r="BE5021" s="33" t="n">
        <f aca="false">AZ5021-BD5021</f>
        <v>0</v>
      </c>
      <c r="BF5021" s="34" t="n">
        <f aca="false">BD5021*M5021</f>
        <v>17790.5</v>
      </c>
      <c r="BG5021" s="35" t="n">
        <f aca="false">BA5021-BF5021</f>
        <v>-0.5</v>
      </c>
      <c r="BH5021" s="19" t="str">
        <f aca="false">IF(BG5021=0,"",IF(BG5021&lt;&gt;BA5021,"erreur de calcul",IF(BD5021&lt;&gt;0,"pas de prix",IF(M5021&lt;&gt; 0,"pas de quantité","pas de prix, ni de quantité"))))</f>
        <v>erreur de calcul</v>
      </c>
      <c r="BI5021" s="19"/>
    </row>
    <row r="5022" customFormat="false" ht="15" hidden="false" customHeight="false" outlineLevel="0" collapsed="false">
      <c r="A5022" s="0" t="n">
        <v>29</v>
      </c>
      <c r="B5022" s="8" t="s">
        <v>24</v>
      </c>
      <c r="C5022" s="9" t="s">
        <v>25</v>
      </c>
      <c r="D5022" s="9" t="s">
        <v>26</v>
      </c>
      <c r="E5022" s="10" t="n">
        <v>1789</v>
      </c>
      <c r="F5022" s="9" t="s">
        <v>27</v>
      </c>
      <c r="G5022" s="9" t="s">
        <v>27</v>
      </c>
      <c r="H5022" s="11" t="n">
        <v>21</v>
      </c>
      <c r="I5022" s="11" t="s">
        <v>182</v>
      </c>
      <c r="J5022" s="14" t="n">
        <v>24</v>
      </c>
      <c r="K5022" s="14"/>
      <c r="L5022" s="16"/>
      <c r="M5022" s="27" t="n">
        <f aca="false">J5022+(K5022/20)+(L5022/240)</f>
        <v>24</v>
      </c>
      <c r="N5022" s="17" t="s">
        <v>66</v>
      </c>
      <c r="O5022" s="11"/>
      <c r="P5022" s="28" t="n">
        <v>478</v>
      </c>
      <c r="Q5022" s="28" t="n">
        <v>11472</v>
      </c>
      <c r="R5022" s="28"/>
      <c r="S5022" s="28" t="n">
        <f aca="false">R5022*$M5022</f>
        <v>0</v>
      </c>
      <c r="T5022" s="28" t="n">
        <v>38</v>
      </c>
      <c r="U5022" s="28" t="n">
        <v>912</v>
      </c>
      <c r="V5022" s="28"/>
      <c r="W5022" s="28" t="n">
        <f aca="false">V5022*$M5022</f>
        <v>0</v>
      </c>
      <c r="X5022" s="28"/>
      <c r="Y5022" s="28" t="n">
        <f aca="false">X5022*$M5022</f>
        <v>0</v>
      </c>
      <c r="Z5022" s="28"/>
      <c r="AA5022" s="28" t="n">
        <f aca="false">Z5022*$M5022</f>
        <v>0</v>
      </c>
      <c r="AB5022" s="28"/>
      <c r="AC5022" s="28" t="n">
        <f aca="false">AB5022*$M5022</f>
        <v>0</v>
      </c>
      <c r="AD5022" s="28"/>
      <c r="AE5022" s="28" t="n">
        <f aca="false">AD5022*$M5022</f>
        <v>0</v>
      </c>
      <c r="AF5022" s="28"/>
      <c r="AG5022" s="28" t="n">
        <f aca="false">AF5022*$M5022</f>
        <v>0</v>
      </c>
      <c r="AH5022" s="28"/>
      <c r="AI5022" s="28" t="n">
        <f aca="false">AH5022*$M5022</f>
        <v>0</v>
      </c>
      <c r="AJ5022" s="28"/>
      <c r="AK5022" s="28" t="n">
        <f aca="false">AJ5022*$M5022</f>
        <v>0</v>
      </c>
      <c r="AL5022" s="28"/>
      <c r="AM5022" s="28" t="n">
        <f aca="false">AL5022*$M5022</f>
        <v>0</v>
      </c>
      <c r="AN5022" s="28"/>
      <c r="AO5022" s="28" t="n">
        <f aca="false">AN5022*$M5022</f>
        <v>0</v>
      </c>
      <c r="AP5022" s="28"/>
      <c r="AQ5022" s="28" t="n">
        <f aca="false">AP5022*$M5022</f>
        <v>0</v>
      </c>
      <c r="AR5022" s="28"/>
      <c r="AS5022" s="28" t="n">
        <f aca="false">AR5022*$M5022</f>
        <v>0</v>
      </c>
      <c r="AT5022" s="28"/>
      <c r="AU5022" s="28" t="n">
        <f aca="false">AT5022*$M5022</f>
        <v>0</v>
      </c>
      <c r="AV5022" s="28"/>
      <c r="AW5022" s="28" t="n">
        <f aca="false">AV5022*$M5022</f>
        <v>0</v>
      </c>
      <c r="AX5022" s="28"/>
      <c r="AY5022" s="28" t="n">
        <f aca="false">AX5022*$M5022</f>
        <v>0</v>
      </c>
      <c r="AZ5022" s="30" t="n">
        <v>516</v>
      </c>
      <c r="BA5022" s="11" t="n">
        <v>12384</v>
      </c>
      <c r="BB5022" s="31" t="n">
        <f aca="false">SUM(Q5022,S5022,U5022,W5022,Y5022,AA5022,AC5022,AE5022,AG5022,AI5022,AK5022,AM5022,AO5022,AQ5022,AS5022,AU5022,AW5022,AY5022)</f>
        <v>12384</v>
      </c>
      <c r="BC5022" s="28" t="n">
        <f aca="false">BA5022-BB5022</f>
        <v>0</v>
      </c>
      <c r="BD5022" s="32" t="n">
        <f aca="false">SUM(P5022,R5022,T5022,V5022,X5022,Z5022,AB5022,AD5022,AF5022,AH5022,AJ5022,AL5022,AN5022,AP5022,AR5022,AT5022,AV5022,AX5022)</f>
        <v>516</v>
      </c>
      <c r="BE5022" s="33" t="n">
        <f aca="false">AZ5022-BD5022</f>
        <v>0</v>
      </c>
      <c r="BF5022" s="34" t="n">
        <f aca="false">BD5022*M5022</f>
        <v>12384</v>
      </c>
      <c r="BG5022" s="35" t="n">
        <f aca="false">BA5022-BF5022</f>
        <v>0</v>
      </c>
      <c r="BH5022" s="19" t="str">
        <f aca="false">IF(BG5022=0,"",IF(BG5022&lt;&gt;BA5022,"erreur de calcul",IF(BD5022&lt;&gt;0,"pas de prix",IF(M5022&lt;&gt; 0,"pas de quantité","pas de prix, ni de quantité"))))</f>
        <v/>
      </c>
      <c r="BI5022" s="19"/>
    </row>
    <row r="5023" customFormat="false" ht="15" hidden="false" customHeight="false" outlineLevel="0" collapsed="false">
      <c r="A5023" s="0" t="n">
        <v>30</v>
      </c>
      <c r="B5023" s="8" t="s">
        <v>24</v>
      </c>
      <c r="C5023" s="9" t="s">
        <v>25</v>
      </c>
      <c r="D5023" s="9" t="s">
        <v>26</v>
      </c>
      <c r="E5023" s="10" t="n">
        <v>1789</v>
      </c>
      <c r="F5023" s="9" t="s">
        <v>27</v>
      </c>
      <c r="G5023" s="9" t="s">
        <v>27</v>
      </c>
      <c r="H5023" s="11" t="n">
        <v>21</v>
      </c>
      <c r="I5023" s="11" t="s">
        <v>183</v>
      </c>
      <c r="J5023" s="14" t="n">
        <v>240</v>
      </c>
      <c r="K5023" s="14"/>
      <c r="L5023" s="16"/>
      <c r="M5023" s="27" t="n">
        <f aca="false">J5023+(K5023/20)+(L5023/240)</f>
        <v>240</v>
      </c>
      <c r="N5023" s="17" t="s">
        <v>64</v>
      </c>
      <c r="O5023" s="11"/>
      <c r="P5023" s="28" t="n">
        <f aca="false">52196/100</f>
        <v>521.96</v>
      </c>
      <c r="Q5023" s="28" t="n">
        <v>125270</v>
      </c>
      <c r="R5023" s="28" t="n">
        <f aca="false">29767/100</f>
        <v>297.67</v>
      </c>
      <c r="S5023" s="28" t="n">
        <v>71441</v>
      </c>
      <c r="T5023" s="28"/>
      <c r="U5023" s="28" t="n">
        <f aca="false">T5023*$M5023</f>
        <v>0</v>
      </c>
      <c r="V5023" s="28"/>
      <c r="W5023" s="28" t="n">
        <f aca="false">V5023*$M5023</f>
        <v>0</v>
      </c>
      <c r="X5023" s="28"/>
      <c r="Y5023" s="28" t="n">
        <f aca="false">X5023*$M5023</f>
        <v>0</v>
      </c>
      <c r="Z5023" s="28"/>
      <c r="AA5023" s="28" t="n">
        <f aca="false">Z5023*$M5023</f>
        <v>0</v>
      </c>
      <c r="AB5023" s="28"/>
      <c r="AC5023" s="28" t="n">
        <f aca="false">AB5023*$M5023</f>
        <v>0</v>
      </c>
      <c r="AD5023" s="28"/>
      <c r="AE5023" s="28" t="n">
        <f aca="false">AD5023*$M5023</f>
        <v>0</v>
      </c>
      <c r="AF5023" s="28"/>
      <c r="AG5023" s="28" t="n">
        <f aca="false">AF5023*$M5023</f>
        <v>0</v>
      </c>
      <c r="AH5023" s="28"/>
      <c r="AI5023" s="28" t="n">
        <f aca="false">AH5023*$M5023</f>
        <v>0</v>
      </c>
      <c r="AJ5023" s="28"/>
      <c r="AK5023" s="28" t="n">
        <f aca="false">AJ5023*$M5023</f>
        <v>0</v>
      </c>
      <c r="AL5023" s="28"/>
      <c r="AM5023" s="28" t="n">
        <f aca="false">AL5023*$M5023</f>
        <v>0</v>
      </c>
      <c r="AN5023" s="28"/>
      <c r="AO5023" s="28" t="n">
        <f aca="false">AN5023*$M5023</f>
        <v>0</v>
      </c>
      <c r="AP5023" s="28"/>
      <c r="AQ5023" s="28" t="n">
        <f aca="false">AP5023*$M5023</f>
        <v>0</v>
      </c>
      <c r="AR5023" s="28"/>
      <c r="AS5023" s="28" t="n">
        <f aca="false">AR5023*$M5023</f>
        <v>0</v>
      </c>
      <c r="AT5023" s="28"/>
      <c r="AU5023" s="28" t="n">
        <f aca="false">AT5023*$M5023</f>
        <v>0</v>
      </c>
      <c r="AV5023" s="28"/>
      <c r="AW5023" s="28" t="n">
        <f aca="false">AV5023*$M5023</f>
        <v>0</v>
      </c>
      <c r="AX5023" s="28"/>
      <c r="AY5023" s="28" t="n">
        <f aca="false">AX5023*$M5023</f>
        <v>0</v>
      </c>
      <c r="AZ5023" s="30" t="n">
        <f aca="false">81963/100</f>
        <v>819.63</v>
      </c>
      <c r="BA5023" s="11" t="n">
        <v>196711</v>
      </c>
      <c r="BB5023" s="31" t="n">
        <f aca="false">SUM(Q5023,S5023,U5023,W5023,Y5023,AA5023,AC5023,AE5023,AG5023,AI5023,AK5023,AM5023,AO5023,AQ5023,AS5023,AU5023,AW5023,AY5023)</f>
        <v>196711</v>
      </c>
      <c r="BC5023" s="28" t="n">
        <f aca="false">BA5023-BB5023</f>
        <v>0</v>
      </c>
      <c r="BD5023" s="32" t="n">
        <f aca="false">SUM(P5023,R5023,T5023,V5023,X5023,Z5023,AB5023,AD5023,AF5023,AH5023,AJ5023,AL5023,AN5023,AP5023,AR5023,AT5023,AV5023,AX5023)</f>
        <v>819.63</v>
      </c>
      <c r="BE5023" s="33" t="n">
        <f aca="false">AZ5023-BD5023</f>
        <v>0</v>
      </c>
      <c r="BF5023" s="34" t="n">
        <f aca="false">BD5023*M5023</f>
        <v>196711.2</v>
      </c>
      <c r="BG5023" s="35" t="n">
        <f aca="false">BA5023-BF5023</f>
        <v>-0.200000000011642</v>
      </c>
      <c r="BH5023" s="19" t="str">
        <f aca="false">IF(BG5023=0,"",IF(BG5023&lt;&gt;BA5023,"erreur de calcul",IF(BD5023&lt;&gt;0,"pas de prix",IF(M5023&lt;&gt; 0,"pas de quantité","pas de prix, ni de quantité"))))</f>
        <v>erreur de calcul</v>
      </c>
      <c r="BI5023" s="19"/>
    </row>
    <row r="5024" customFormat="false" ht="15" hidden="false" customHeight="false" outlineLevel="0" collapsed="false">
      <c r="A5024" s="0" t="n">
        <v>31</v>
      </c>
      <c r="B5024" s="8" t="s">
        <v>24</v>
      </c>
      <c r="C5024" s="9" t="s">
        <v>25</v>
      </c>
      <c r="D5024" s="9" t="s">
        <v>26</v>
      </c>
      <c r="E5024" s="10" t="n">
        <v>1789</v>
      </c>
      <c r="F5024" s="9" t="s">
        <v>27</v>
      </c>
      <c r="G5024" s="9" t="s">
        <v>27</v>
      </c>
      <c r="H5024" s="11" t="n">
        <v>21</v>
      </c>
      <c r="I5024" s="11" t="s">
        <v>184</v>
      </c>
      <c r="J5024" s="14" t="n">
        <v>13</v>
      </c>
      <c r="K5024" s="14"/>
      <c r="L5024" s="16"/>
      <c r="M5024" s="27" t="n">
        <f aca="false">J5024+(K5024/20)+(L5024/240)</f>
        <v>13</v>
      </c>
      <c r="N5024" s="17" t="s">
        <v>66</v>
      </c>
      <c r="O5024" s="11"/>
      <c r="P5024" s="28"/>
      <c r="Q5024" s="28" t="n">
        <f aca="false">P5024*$M5024</f>
        <v>0</v>
      </c>
      <c r="R5024" s="28"/>
      <c r="S5024" s="28" t="n">
        <f aca="false">R5024*$M5024</f>
        <v>0</v>
      </c>
      <c r="T5024" s="28"/>
      <c r="U5024" s="28" t="n">
        <f aca="false">T5024*$M5024</f>
        <v>0</v>
      </c>
      <c r="V5024" s="28"/>
      <c r="W5024" s="28" t="n">
        <f aca="false">V5024*$M5024</f>
        <v>0</v>
      </c>
      <c r="X5024" s="28"/>
      <c r="Y5024" s="28" t="n">
        <f aca="false">X5024*$M5024</f>
        <v>0</v>
      </c>
      <c r="Z5024" s="28"/>
      <c r="AA5024" s="28" t="n">
        <f aca="false">Z5024*$M5024</f>
        <v>0</v>
      </c>
      <c r="AB5024" s="28"/>
      <c r="AC5024" s="28" t="n">
        <f aca="false">AB5024*$M5024</f>
        <v>0</v>
      </c>
      <c r="AD5024" s="28"/>
      <c r="AE5024" s="28" t="n">
        <f aca="false">AD5024*$M5024</f>
        <v>0</v>
      </c>
      <c r="AF5024" s="28"/>
      <c r="AG5024" s="28" t="n">
        <f aca="false">AF5024*$M5024</f>
        <v>0</v>
      </c>
      <c r="AH5024" s="28" t="n">
        <v>354</v>
      </c>
      <c r="AI5024" s="28" t="n">
        <v>4602</v>
      </c>
      <c r="AJ5024" s="28"/>
      <c r="AK5024" s="28" t="n">
        <f aca="false">AJ5024*$M5024</f>
        <v>0</v>
      </c>
      <c r="AL5024" s="28"/>
      <c r="AM5024" s="28" t="n">
        <f aca="false">AL5024*$M5024</f>
        <v>0</v>
      </c>
      <c r="AN5024" s="28"/>
      <c r="AO5024" s="28" t="n">
        <f aca="false">AN5024*$M5024</f>
        <v>0</v>
      </c>
      <c r="AP5024" s="28"/>
      <c r="AQ5024" s="28" t="n">
        <f aca="false">AP5024*$M5024</f>
        <v>0</v>
      </c>
      <c r="AR5024" s="28"/>
      <c r="AS5024" s="28" t="n">
        <f aca="false">AR5024*$M5024</f>
        <v>0</v>
      </c>
      <c r="AT5024" s="28"/>
      <c r="AU5024" s="28" t="n">
        <f aca="false">AT5024*$M5024</f>
        <v>0</v>
      </c>
      <c r="AV5024" s="28"/>
      <c r="AW5024" s="28" t="n">
        <f aca="false">AV5024*$M5024</f>
        <v>0</v>
      </c>
      <c r="AX5024" s="28"/>
      <c r="AY5024" s="28" t="n">
        <f aca="false">AX5024*$M5024</f>
        <v>0</v>
      </c>
      <c r="AZ5024" s="30" t="n">
        <v>354</v>
      </c>
      <c r="BA5024" s="11" t="n">
        <v>4602</v>
      </c>
      <c r="BB5024" s="31" t="n">
        <f aca="false">SUM(Q5024,S5024,U5024,W5024,Y5024,AA5024,AC5024,AE5024,AG5024,AI5024,AK5024,AM5024,AO5024,AQ5024,AS5024,AU5024,AW5024,AY5024)</f>
        <v>4602</v>
      </c>
      <c r="BC5024" s="28" t="n">
        <f aca="false">BA5024-BB5024</f>
        <v>0</v>
      </c>
      <c r="BD5024" s="32" t="n">
        <f aca="false">SUM(P5024,R5024,T5024,V5024,X5024,Z5024,AB5024,AD5024,AF5024,AH5024,AJ5024,AL5024,AN5024,AP5024,AR5024,AT5024,AV5024,AX5024)</f>
        <v>354</v>
      </c>
      <c r="BE5024" s="33" t="n">
        <f aca="false">AZ5024-BD5024</f>
        <v>0</v>
      </c>
      <c r="BF5024" s="34" t="n">
        <f aca="false">BD5024*M5024</f>
        <v>4602</v>
      </c>
      <c r="BG5024" s="35" t="n">
        <f aca="false">BA5024-BF5024</f>
        <v>0</v>
      </c>
      <c r="BH5024" s="19" t="str">
        <f aca="false">IF(BG5024=0,"",IF(BG5024&lt;&gt;BA5024,"erreur de calcul",IF(BD5024&lt;&gt;0,"pas de prix",IF(M5024&lt;&gt; 0,"pas de quantité","pas de prix, ni de quantité"))))</f>
        <v/>
      </c>
      <c r="BI5024" s="19"/>
    </row>
    <row r="5025" customFormat="false" ht="15" hidden="false" customHeight="false" outlineLevel="0" collapsed="false">
      <c r="A5025" s="0" t="n">
        <v>32</v>
      </c>
      <c r="B5025" s="8" t="s">
        <v>24</v>
      </c>
      <c r="C5025" s="9" t="s">
        <v>25</v>
      </c>
      <c r="D5025" s="9" t="s">
        <v>26</v>
      </c>
      <c r="E5025" s="10" t="n">
        <v>1789</v>
      </c>
      <c r="F5025" s="9" t="s">
        <v>27</v>
      </c>
      <c r="G5025" s="9" t="s">
        <v>27</v>
      </c>
      <c r="H5025" s="11" t="n">
        <v>21</v>
      </c>
      <c r="I5025" s="11" t="s">
        <v>185</v>
      </c>
      <c r="J5025" s="14" t="n">
        <v>245</v>
      </c>
      <c r="K5025" s="14"/>
      <c r="L5025" s="16"/>
      <c r="M5025" s="27" t="n">
        <f aca="false">J5025+(K5025/20)+(L5025/240)</f>
        <v>245</v>
      </c>
      <c r="N5025" s="17" t="s">
        <v>64</v>
      </c>
      <c r="O5025" s="11"/>
      <c r="P5025" s="28"/>
      <c r="Q5025" s="28" t="n">
        <f aca="false">P5025*$M5025</f>
        <v>0</v>
      </c>
      <c r="R5025" s="28"/>
      <c r="S5025" s="28" t="n">
        <f aca="false">R5025*$M5025</f>
        <v>0</v>
      </c>
      <c r="T5025" s="28"/>
      <c r="U5025" s="28" t="n">
        <f aca="false">T5025*$M5025</f>
        <v>0</v>
      </c>
      <c r="V5025" s="28" t="n">
        <f aca="false">720/100</f>
        <v>7.2</v>
      </c>
      <c r="W5025" s="28" t="n">
        <v>1764</v>
      </c>
      <c r="X5025" s="28" t="n">
        <f aca="false">40366/100</f>
        <v>403.66</v>
      </c>
      <c r="Y5025" s="28" t="n">
        <v>98897</v>
      </c>
      <c r="Z5025" s="28"/>
      <c r="AA5025" s="28" t="n">
        <f aca="false">Z5025*$M5025</f>
        <v>0</v>
      </c>
      <c r="AB5025" s="28"/>
      <c r="AC5025" s="28" t="n">
        <f aca="false">AB5025*$M5025</f>
        <v>0</v>
      </c>
      <c r="AD5025" s="28"/>
      <c r="AE5025" s="28" t="n">
        <f aca="false">AD5025*$M5025</f>
        <v>0</v>
      </c>
      <c r="AF5025" s="28"/>
      <c r="AG5025" s="28" t="n">
        <f aca="false">AF5025*$M5025</f>
        <v>0</v>
      </c>
      <c r="AH5025" s="28" t="n">
        <f aca="false">83243/100</f>
        <v>832.43</v>
      </c>
      <c r="AI5025" s="28" t="n">
        <v>203945</v>
      </c>
      <c r="AJ5025" s="28"/>
      <c r="AK5025" s="28" t="n">
        <f aca="false">AJ5025*$M5025</f>
        <v>0</v>
      </c>
      <c r="AL5025" s="28"/>
      <c r="AM5025" s="28" t="n">
        <f aca="false">AL5025*$M5025</f>
        <v>0</v>
      </c>
      <c r="AN5025" s="28"/>
      <c r="AO5025" s="28" t="n">
        <f aca="false">AN5025*$M5025</f>
        <v>0</v>
      </c>
      <c r="AP5025" s="28"/>
      <c r="AQ5025" s="28" t="n">
        <f aca="false">AP5025*$M5025</f>
        <v>0</v>
      </c>
      <c r="AR5025" s="28"/>
      <c r="AS5025" s="28" t="n">
        <f aca="false">AR5025*$M5025</f>
        <v>0</v>
      </c>
      <c r="AT5025" s="28"/>
      <c r="AU5025" s="28" t="n">
        <f aca="false">AT5025*$M5025</f>
        <v>0</v>
      </c>
      <c r="AV5025" s="28"/>
      <c r="AW5025" s="28" t="n">
        <f aca="false">AV5025*$M5025</f>
        <v>0</v>
      </c>
      <c r="AX5025" s="28"/>
      <c r="AY5025" s="28" t="n">
        <f aca="false">AX5025*$M5025</f>
        <v>0</v>
      </c>
      <c r="AZ5025" s="30" t="n">
        <f aca="false">124329/100</f>
        <v>1243.29</v>
      </c>
      <c r="BA5025" s="11" t="n">
        <v>304606</v>
      </c>
      <c r="BB5025" s="31" t="n">
        <f aca="false">SUM(Q5025,S5025,U5025,W5025,Y5025,AA5025,AC5025,AE5025,AG5025,AI5025,AK5025,AM5025,AO5025,AQ5025,AS5025,AU5025,AW5025,AY5025)</f>
        <v>304606</v>
      </c>
      <c r="BC5025" s="28" t="n">
        <f aca="false">BA5025-BB5025</f>
        <v>0</v>
      </c>
      <c r="BD5025" s="32" t="n">
        <f aca="false">SUM(P5025,R5025,T5025,V5025,X5025,Z5025,AB5025,AD5025,AF5025,AH5025,AJ5025,AL5025,AN5025,AP5025,AR5025,AT5025,AV5025,AX5025)</f>
        <v>1243.29</v>
      </c>
      <c r="BE5025" s="33" t="n">
        <f aca="false">AZ5025-BD5025</f>
        <v>0</v>
      </c>
      <c r="BF5025" s="34" t="n">
        <f aca="false">BD5025*M5025</f>
        <v>304606.05</v>
      </c>
      <c r="BG5025" s="35" t="n">
        <f aca="false">BA5025-BF5025</f>
        <v>-0.0499999999883585</v>
      </c>
      <c r="BH5025" s="19" t="str">
        <f aca="false">IF(BG5025=0,"",IF(BG5025&lt;&gt;BA5025,"erreur de calcul",IF(BD5025&lt;&gt;0,"pas de prix",IF(M5025&lt;&gt; 0,"pas de quantité","pas de prix, ni de quantité"))))</f>
        <v>erreur de calcul</v>
      </c>
      <c r="BI5025" s="19"/>
    </row>
    <row r="5026" customFormat="false" ht="15" hidden="false" customHeight="false" outlineLevel="0" collapsed="false">
      <c r="A5026" s="0" t="n">
        <v>33</v>
      </c>
      <c r="B5026" s="8" t="s">
        <v>24</v>
      </c>
      <c r="C5026" s="9" t="s">
        <v>25</v>
      </c>
      <c r="D5026" s="9" t="s">
        <v>26</v>
      </c>
      <c r="E5026" s="10" t="n">
        <v>1789</v>
      </c>
      <c r="F5026" s="9" t="s">
        <v>27</v>
      </c>
      <c r="G5026" s="9" t="s">
        <v>27</v>
      </c>
      <c r="H5026" s="11" t="n">
        <v>21</v>
      </c>
      <c r="I5026" s="11" t="s">
        <v>186</v>
      </c>
      <c r="J5026" s="14" t="n">
        <v>240</v>
      </c>
      <c r="K5026" s="14"/>
      <c r="L5026" s="16"/>
      <c r="M5026" s="27" t="n">
        <f aca="false">J5026+(K5026/20)+(L5026/240)</f>
        <v>240</v>
      </c>
      <c r="N5026" s="17" t="s">
        <v>64</v>
      </c>
      <c r="O5026" s="11"/>
      <c r="P5026" s="28"/>
      <c r="Q5026" s="28" t="n">
        <f aca="false">P5026*$M5026</f>
        <v>0</v>
      </c>
      <c r="R5026" s="28"/>
      <c r="S5026" s="28" t="n">
        <f aca="false">R5026*$M5026</f>
        <v>0</v>
      </c>
      <c r="T5026" s="28"/>
      <c r="U5026" s="28" t="n">
        <f aca="false">T5026*$M5026</f>
        <v>0</v>
      </c>
      <c r="V5026" s="28"/>
      <c r="W5026" s="28" t="n">
        <f aca="false">V5026*$M5026</f>
        <v>0</v>
      </c>
      <c r="X5026" s="28"/>
      <c r="Y5026" s="28" t="n">
        <f aca="false">X5026*$M5026</f>
        <v>0</v>
      </c>
      <c r="Z5026" s="28"/>
      <c r="AA5026" s="28" t="n">
        <f aca="false">Z5026*$M5026</f>
        <v>0</v>
      </c>
      <c r="AB5026" s="28"/>
      <c r="AC5026" s="28" t="n">
        <f aca="false">AB5026*$M5026</f>
        <v>0</v>
      </c>
      <c r="AD5026" s="28"/>
      <c r="AE5026" s="28" t="n">
        <f aca="false">AD5026*$M5026</f>
        <v>0</v>
      </c>
      <c r="AF5026" s="28"/>
      <c r="AG5026" s="28" t="n">
        <f aca="false">AF5026*$M5026</f>
        <v>0</v>
      </c>
      <c r="AH5026" s="28" t="n">
        <f aca="false">803/100</f>
        <v>8.03</v>
      </c>
      <c r="AI5026" s="28" t="n">
        <v>1927</v>
      </c>
      <c r="AJ5026" s="28"/>
      <c r="AK5026" s="28" t="n">
        <f aca="false">AJ5026*$M5026</f>
        <v>0</v>
      </c>
      <c r="AL5026" s="28"/>
      <c r="AM5026" s="28" t="n">
        <f aca="false">AL5026*$M5026</f>
        <v>0</v>
      </c>
      <c r="AN5026" s="28"/>
      <c r="AO5026" s="28" t="n">
        <f aca="false">AN5026*$M5026</f>
        <v>0</v>
      </c>
      <c r="AP5026" s="28"/>
      <c r="AQ5026" s="28" t="n">
        <f aca="false">AP5026*$M5026</f>
        <v>0</v>
      </c>
      <c r="AR5026" s="28"/>
      <c r="AS5026" s="28" t="n">
        <f aca="false">AR5026*$M5026</f>
        <v>0</v>
      </c>
      <c r="AT5026" s="28"/>
      <c r="AU5026" s="28" t="n">
        <f aca="false">AT5026*$M5026</f>
        <v>0</v>
      </c>
      <c r="AV5026" s="28"/>
      <c r="AW5026" s="28" t="n">
        <f aca="false">AV5026*$M5026</f>
        <v>0</v>
      </c>
      <c r="AX5026" s="28"/>
      <c r="AY5026" s="28" t="n">
        <f aca="false">AX5026*$M5026</f>
        <v>0</v>
      </c>
      <c r="AZ5026" s="30" t="n">
        <f aca="false">803/100</f>
        <v>8.03</v>
      </c>
      <c r="BA5026" s="11" t="n">
        <v>1927</v>
      </c>
      <c r="BB5026" s="31" t="n">
        <f aca="false">SUM(Q5026,S5026,U5026,W5026,Y5026,AA5026,AC5026,AE5026,AG5026,AI5026,AK5026,AM5026,AO5026,AQ5026,AS5026,AU5026,AW5026,AY5026)</f>
        <v>1927</v>
      </c>
      <c r="BC5026" s="28" t="n">
        <f aca="false">BA5026-BB5026</f>
        <v>0</v>
      </c>
      <c r="BD5026" s="32" t="n">
        <f aca="false">SUM(P5026,R5026,T5026,V5026,X5026,Z5026,AB5026,AD5026,AF5026,AH5026,AJ5026,AL5026,AN5026,AP5026,AR5026,AT5026,AV5026,AX5026)</f>
        <v>8.03</v>
      </c>
      <c r="BE5026" s="33" t="n">
        <f aca="false">AZ5026-BD5026</f>
        <v>0</v>
      </c>
      <c r="BF5026" s="34" t="n">
        <f aca="false">BD5026*M5026</f>
        <v>1927.2</v>
      </c>
      <c r="BG5026" s="35" t="n">
        <f aca="false">BA5026-BF5026</f>
        <v>-0.199999999999818</v>
      </c>
      <c r="BH5026" s="19" t="str">
        <f aca="false">IF(BG5026=0,"",IF(BG5026&lt;&gt;BA5026,"erreur de calcul",IF(BD5026&lt;&gt;0,"pas de prix",IF(M5026&lt;&gt; 0,"pas de quantité","pas de prix, ni de quantité"))))</f>
        <v>erreur de calcul</v>
      </c>
      <c r="BI5026" s="19"/>
    </row>
    <row r="5027" customFormat="false" ht="15" hidden="false" customHeight="false" outlineLevel="0" collapsed="false">
      <c r="A5027" s="0" t="n">
        <v>34</v>
      </c>
      <c r="B5027" s="8" t="s">
        <v>24</v>
      </c>
      <c r="C5027" s="9" t="s">
        <v>25</v>
      </c>
      <c r="D5027" s="9" t="s">
        <v>26</v>
      </c>
      <c r="E5027" s="10" t="n">
        <v>1789</v>
      </c>
      <c r="F5027" s="9" t="s">
        <v>27</v>
      </c>
      <c r="G5027" s="9" t="s">
        <v>27</v>
      </c>
      <c r="H5027" s="11" t="n">
        <v>21</v>
      </c>
      <c r="I5027" s="11" t="s">
        <v>187</v>
      </c>
      <c r="J5027" s="14" t="n">
        <v>45</v>
      </c>
      <c r="K5027" s="14"/>
      <c r="L5027" s="16"/>
      <c r="M5027" s="27" t="n">
        <f aca="false">J5027+(K5027/20)+(L5027/240)</f>
        <v>45</v>
      </c>
      <c r="N5027" s="17" t="s">
        <v>64</v>
      </c>
      <c r="O5027" s="11"/>
      <c r="P5027" s="28" t="n">
        <f aca="false">8827/100</f>
        <v>88.27</v>
      </c>
      <c r="Q5027" s="28" t="n">
        <v>3972</v>
      </c>
      <c r="R5027" s="28"/>
      <c r="S5027" s="28" t="n">
        <f aca="false">R5027*$M5027</f>
        <v>0</v>
      </c>
      <c r="T5027" s="28"/>
      <c r="U5027" s="28" t="n">
        <f aca="false">T5027*$M5027</f>
        <v>0</v>
      </c>
      <c r="V5027" s="28" t="n">
        <f aca="false">8951/100</f>
        <v>89.51</v>
      </c>
      <c r="W5027" s="28" t="n">
        <v>4028</v>
      </c>
      <c r="X5027" s="28" t="n">
        <f aca="false">49106/100</f>
        <v>491.06</v>
      </c>
      <c r="Y5027" s="28" t="n">
        <v>22098</v>
      </c>
      <c r="Z5027" s="28"/>
      <c r="AA5027" s="28" t="n">
        <f aca="false">Z5027*$M5027</f>
        <v>0</v>
      </c>
      <c r="AB5027" s="28" t="n">
        <f aca="false">313412/100</f>
        <v>3134.12</v>
      </c>
      <c r="AC5027" s="28" t="n">
        <v>141035</v>
      </c>
      <c r="AD5027" s="28"/>
      <c r="AE5027" s="28" t="n">
        <f aca="false">AD5027*$M5027</f>
        <v>0</v>
      </c>
      <c r="AF5027" s="28"/>
      <c r="AG5027" s="28" t="n">
        <f aca="false">AF5027*$M5027</f>
        <v>0</v>
      </c>
      <c r="AH5027" s="28"/>
      <c r="AI5027" s="28" t="n">
        <f aca="false">AH5027*$M5027</f>
        <v>0</v>
      </c>
      <c r="AJ5027" s="28"/>
      <c r="AK5027" s="28" t="n">
        <f aca="false">AJ5027*$M5027</f>
        <v>0</v>
      </c>
      <c r="AL5027" s="28"/>
      <c r="AM5027" s="28" t="n">
        <f aca="false">AL5027*$M5027</f>
        <v>0</v>
      </c>
      <c r="AN5027" s="28"/>
      <c r="AO5027" s="28" t="n">
        <f aca="false">AN5027*$M5027</f>
        <v>0</v>
      </c>
      <c r="AP5027" s="28"/>
      <c r="AQ5027" s="28" t="n">
        <f aca="false">AP5027*$M5027</f>
        <v>0</v>
      </c>
      <c r="AR5027" s="28"/>
      <c r="AS5027" s="28" t="n">
        <f aca="false">AR5027*$M5027</f>
        <v>0</v>
      </c>
      <c r="AT5027" s="28"/>
      <c r="AU5027" s="28" t="n">
        <f aca="false">AT5027*$M5027</f>
        <v>0</v>
      </c>
      <c r="AV5027" s="28"/>
      <c r="AW5027" s="28" t="n">
        <f aca="false">AV5027*$M5027</f>
        <v>0</v>
      </c>
      <c r="AX5027" s="28"/>
      <c r="AY5027" s="28" t="n">
        <f aca="false">AX5027*$M5027</f>
        <v>0</v>
      </c>
      <c r="AZ5027" s="30" t="n">
        <f aca="false">380296/100</f>
        <v>3802.96</v>
      </c>
      <c r="BA5027" s="11" t="n">
        <v>171133</v>
      </c>
      <c r="BB5027" s="31" t="n">
        <f aca="false">SUM(Q5027,S5027,U5027,W5027,Y5027,AA5027,AC5027,AE5027,AG5027,AI5027,AK5027,AM5027,AO5027,AQ5027,AS5027,AU5027,AW5027,AY5027)</f>
        <v>171133</v>
      </c>
      <c r="BC5027" s="28" t="n">
        <f aca="false">BA5027-BB5027</f>
        <v>0</v>
      </c>
      <c r="BD5027" s="32" t="n">
        <f aca="false">SUM(P5027,R5027,T5027,V5027,X5027,Z5027,AB5027,AD5027,AF5027,AH5027,AJ5027,AL5027,AN5027,AP5027,AR5027,AT5027,AV5027,AX5027)</f>
        <v>3802.96</v>
      </c>
      <c r="BE5027" s="33" t="n">
        <f aca="false">AZ5027-BD5027</f>
        <v>0</v>
      </c>
      <c r="BF5027" s="34" t="n">
        <f aca="false">BD5027*M5027</f>
        <v>171133.2</v>
      </c>
      <c r="BG5027" s="35" t="n">
        <f aca="false">BA5027-BF5027</f>
        <v>-0.200000000011642</v>
      </c>
      <c r="BH5027" s="19" t="str">
        <f aca="false">IF(BG5027=0,"",IF(BG5027&lt;&gt;BA5027,"erreur de calcul",IF(BD5027&lt;&gt;0,"pas de prix",IF(M5027&lt;&gt; 0,"pas de quantité","pas de prix, ni de quantité"))))</f>
        <v>erreur de calcul</v>
      </c>
      <c r="BI5027" s="19"/>
    </row>
    <row r="5028" customFormat="false" ht="15" hidden="false" customHeight="false" outlineLevel="0" collapsed="false">
      <c r="A5028" s="0" t="n">
        <v>35</v>
      </c>
      <c r="B5028" s="8" t="s">
        <v>24</v>
      </c>
      <c r="C5028" s="9" t="s">
        <v>25</v>
      </c>
      <c r="D5028" s="9" t="s">
        <v>26</v>
      </c>
      <c r="E5028" s="10" t="n">
        <v>1789</v>
      </c>
      <c r="F5028" s="9" t="s">
        <v>27</v>
      </c>
      <c r="G5028" s="9" t="s">
        <v>27</v>
      </c>
      <c r="H5028" s="11" t="n">
        <v>21</v>
      </c>
      <c r="I5028" s="11" t="s">
        <v>188</v>
      </c>
      <c r="J5028" s="14" t="n">
        <v>60</v>
      </c>
      <c r="K5028" s="14"/>
      <c r="L5028" s="16"/>
      <c r="M5028" s="27" t="n">
        <f aca="false">J5028+(K5028/20)+(L5028/240)</f>
        <v>60</v>
      </c>
      <c r="N5028" s="17" t="s">
        <v>64</v>
      </c>
      <c r="O5028" s="11"/>
      <c r="P5028" s="28"/>
      <c r="Q5028" s="28" t="n">
        <f aca="false">P5028*$M5028</f>
        <v>0</v>
      </c>
      <c r="R5028" s="28"/>
      <c r="S5028" s="28" t="n">
        <f aca="false">R5028*$M5028</f>
        <v>0</v>
      </c>
      <c r="T5028" s="28"/>
      <c r="U5028" s="28" t="n">
        <f aca="false">T5028*$M5028</f>
        <v>0</v>
      </c>
      <c r="V5028" s="28"/>
      <c r="W5028" s="28" t="n">
        <f aca="false">V5028*$M5028</f>
        <v>0</v>
      </c>
      <c r="X5028" s="28"/>
      <c r="Y5028" s="28" t="n">
        <f aca="false">X5028*$M5028</f>
        <v>0</v>
      </c>
      <c r="Z5028" s="28"/>
      <c r="AA5028" s="28" t="n">
        <f aca="false">Z5028*$M5028</f>
        <v>0</v>
      </c>
      <c r="AB5028" s="28"/>
      <c r="AC5028" s="28" t="n">
        <f aca="false">AB5028*$M5028</f>
        <v>0</v>
      </c>
      <c r="AD5028" s="28"/>
      <c r="AE5028" s="28" t="n">
        <f aca="false">AD5028*$M5028</f>
        <v>0</v>
      </c>
      <c r="AF5028" s="28"/>
      <c r="AG5028" s="28" t="n">
        <f aca="false">AF5028*$M5028</f>
        <v>0</v>
      </c>
      <c r="AH5028" s="28" t="n">
        <f aca="false">6391/100</f>
        <v>63.91</v>
      </c>
      <c r="AI5028" s="28" t="n">
        <v>3835</v>
      </c>
      <c r="AJ5028" s="28"/>
      <c r="AK5028" s="28" t="n">
        <f aca="false">AJ5028*$M5028</f>
        <v>0</v>
      </c>
      <c r="AL5028" s="28"/>
      <c r="AM5028" s="28" t="n">
        <f aca="false">AL5028*$M5028</f>
        <v>0</v>
      </c>
      <c r="AN5028" s="28"/>
      <c r="AO5028" s="28" t="n">
        <f aca="false">AN5028*$M5028</f>
        <v>0</v>
      </c>
      <c r="AP5028" s="28"/>
      <c r="AQ5028" s="28" t="n">
        <f aca="false">AP5028*$M5028</f>
        <v>0</v>
      </c>
      <c r="AR5028" s="28"/>
      <c r="AS5028" s="28" t="n">
        <f aca="false">AR5028*$M5028</f>
        <v>0</v>
      </c>
      <c r="AT5028" s="28"/>
      <c r="AU5028" s="28" t="n">
        <f aca="false">AT5028*$M5028</f>
        <v>0</v>
      </c>
      <c r="AV5028" s="28"/>
      <c r="AW5028" s="28" t="n">
        <f aca="false">AV5028*$M5028</f>
        <v>0</v>
      </c>
      <c r="AX5028" s="28"/>
      <c r="AY5028" s="28" t="n">
        <f aca="false">AX5028*$M5028</f>
        <v>0</v>
      </c>
      <c r="AZ5028" s="30" t="n">
        <f aca="false">6391/100</f>
        <v>63.91</v>
      </c>
      <c r="BA5028" s="11" t="n">
        <v>3835</v>
      </c>
      <c r="BB5028" s="31" t="n">
        <f aca="false">SUM(Q5028,S5028,U5028,W5028,Y5028,AA5028,AC5028,AE5028,AG5028,AI5028,AK5028,AM5028,AO5028,AQ5028,AS5028,AU5028,AW5028,AY5028)</f>
        <v>3835</v>
      </c>
      <c r="BC5028" s="28" t="n">
        <f aca="false">BA5028-BB5028</f>
        <v>0</v>
      </c>
      <c r="BD5028" s="32" t="n">
        <f aca="false">SUM(P5028,R5028,T5028,V5028,X5028,Z5028,AB5028,AD5028,AF5028,AH5028,AJ5028,AL5028,AN5028,AP5028,AR5028,AT5028,AV5028,AX5028)</f>
        <v>63.91</v>
      </c>
      <c r="BE5028" s="33" t="n">
        <f aca="false">AZ5028-BD5028</f>
        <v>0</v>
      </c>
      <c r="BF5028" s="34" t="n">
        <f aca="false">BD5028*M5028</f>
        <v>3834.6</v>
      </c>
      <c r="BG5028" s="35" t="n">
        <f aca="false">BA5028-BF5028</f>
        <v>0.400000000000091</v>
      </c>
      <c r="BH5028" s="19" t="str">
        <f aca="false">IF(BG5028=0,"",IF(BG5028&lt;&gt;BA5028,"erreur de calcul",IF(BD5028&lt;&gt;0,"pas de prix",IF(M5028&lt;&gt; 0,"pas de quantité","pas de prix, ni de quantité"))))</f>
        <v>erreur de calcul</v>
      </c>
      <c r="BI5028" s="19"/>
    </row>
    <row r="5029" customFormat="false" ht="15" hidden="false" customHeight="false" outlineLevel="0" collapsed="false">
      <c r="A5029" s="0" t="n">
        <v>36</v>
      </c>
      <c r="B5029" s="8" t="s">
        <v>24</v>
      </c>
      <c r="C5029" s="9" t="s">
        <v>25</v>
      </c>
      <c r="D5029" s="9" t="s">
        <v>26</v>
      </c>
      <c r="E5029" s="10" t="n">
        <v>1789</v>
      </c>
      <c r="F5029" s="9" t="s">
        <v>27</v>
      </c>
      <c r="G5029" s="9" t="s">
        <v>27</v>
      </c>
      <c r="H5029" s="11" t="n">
        <v>21</v>
      </c>
      <c r="I5029" s="11" t="s">
        <v>189</v>
      </c>
      <c r="J5029" s="14" t="n">
        <v>30</v>
      </c>
      <c r="K5029" s="14"/>
      <c r="L5029" s="16"/>
      <c r="M5029" s="27" t="n">
        <f aca="false">J5029+(K5029/20)+(L5029/240)</f>
        <v>30</v>
      </c>
      <c r="N5029" s="17" t="s">
        <v>66</v>
      </c>
      <c r="O5029" s="11"/>
      <c r="P5029" s="28"/>
      <c r="Q5029" s="28" t="n">
        <f aca="false">P5029*$M5029</f>
        <v>0</v>
      </c>
      <c r="R5029" s="28"/>
      <c r="S5029" s="28" t="n">
        <f aca="false">R5029*$M5029</f>
        <v>0</v>
      </c>
      <c r="T5029" s="28"/>
      <c r="U5029" s="28" t="n">
        <f aca="false">T5029*$M5029</f>
        <v>0</v>
      </c>
      <c r="V5029" s="28" t="n">
        <v>146</v>
      </c>
      <c r="W5029" s="28" t="n">
        <v>4380</v>
      </c>
      <c r="X5029" s="28"/>
      <c r="Y5029" s="28" t="n">
        <f aca="false">X5029*$M5029</f>
        <v>0</v>
      </c>
      <c r="Z5029" s="28"/>
      <c r="AA5029" s="28" t="n">
        <f aca="false">Z5029*$M5029</f>
        <v>0</v>
      </c>
      <c r="AB5029" s="28"/>
      <c r="AC5029" s="28" t="n">
        <f aca="false">AB5029*$M5029</f>
        <v>0</v>
      </c>
      <c r="AD5029" s="28"/>
      <c r="AE5029" s="28" t="n">
        <f aca="false">AD5029*$M5029</f>
        <v>0</v>
      </c>
      <c r="AF5029" s="28"/>
      <c r="AG5029" s="28" t="n">
        <f aca="false">AF5029*$M5029</f>
        <v>0</v>
      </c>
      <c r="AH5029" s="28"/>
      <c r="AI5029" s="28" t="n">
        <f aca="false">AH5029*$M5029</f>
        <v>0</v>
      </c>
      <c r="AJ5029" s="28"/>
      <c r="AK5029" s="28" t="n">
        <f aca="false">AJ5029*$M5029</f>
        <v>0</v>
      </c>
      <c r="AL5029" s="28"/>
      <c r="AM5029" s="28" t="n">
        <f aca="false">AL5029*$M5029</f>
        <v>0</v>
      </c>
      <c r="AN5029" s="28"/>
      <c r="AO5029" s="28" t="n">
        <f aca="false">AN5029*$M5029</f>
        <v>0</v>
      </c>
      <c r="AP5029" s="28"/>
      <c r="AQ5029" s="28" t="n">
        <f aca="false">AP5029*$M5029</f>
        <v>0</v>
      </c>
      <c r="AR5029" s="28"/>
      <c r="AS5029" s="28" t="n">
        <f aca="false">AR5029*$M5029</f>
        <v>0</v>
      </c>
      <c r="AT5029" s="28"/>
      <c r="AU5029" s="28" t="n">
        <f aca="false">AT5029*$M5029</f>
        <v>0</v>
      </c>
      <c r="AV5029" s="28"/>
      <c r="AW5029" s="28" t="n">
        <f aca="false">AV5029*$M5029</f>
        <v>0</v>
      </c>
      <c r="AX5029" s="28"/>
      <c r="AY5029" s="28" t="n">
        <f aca="false">AX5029*$M5029</f>
        <v>0</v>
      </c>
      <c r="AZ5029" s="30" t="n">
        <v>146</v>
      </c>
      <c r="BA5029" s="11" t="n">
        <v>4380</v>
      </c>
      <c r="BB5029" s="31" t="n">
        <f aca="false">SUM(Q5029,S5029,U5029,W5029,Y5029,AA5029,AC5029,AE5029,AG5029,AI5029,AK5029,AM5029,AO5029,AQ5029,AS5029,AU5029,AW5029,AY5029)</f>
        <v>4380</v>
      </c>
      <c r="BC5029" s="28" t="n">
        <f aca="false">BA5029-BB5029</f>
        <v>0</v>
      </c>
      <c r="BD5029" s="32" t="n">
        <f aca="false">SUM(P5029,R5029,T5029,V5029,X5029,Z5029,AB5029,AD5029,AF5029,AH5029,AJ5029,AL5029,AN5029,AP5029,AR5029,AT5029,AV5029,AX5029)</f>
        <v>146</v>
      </c>
      <c r="BE5029" s="33" t="n">
        <f aca="false">AZ5029-BD5029</f>
        <v>0</v>
      </c>
      <c r="BF5029" s="34" t="n">
        <f aca="false">BD5029*M5029</f>
        <v>4380</v>
      </c>
      <c r="BG5029" s="35" t="n">
        <f aca="false">BA5029-BF5029</f>
        <v>0</v>
      </c>
      <c r="BH5029" s="19" t="str">
        <f aca="false">IF(BG5029=0,"",IF(BG5029&lt;&gt;BA5029,"erreur de calcul",IF(BD5029&lt;&gt;0,"pas de prix",IF(M5029&lt;&gt; 0,"pas de quantité","pas de prix, ni de quantité"))))</f>
        <v/>
      </c>
      <c r="BI5029" s="19"/>
    </row>
    <row r="5030" customFormat="false" ht="15" hidden="false" customHeight="false" outlineLevel="0" collapsed="false">
      <c r="A5030" s="0" t="n">
        <v>37</v>
      </c>
      <c r="B5030" s="8" t="s">
        <v>24</v>
      </c>
      <c r="C5030" s="9" t="s">
        <v>25</v>
      </c>
      <c r="D5030" s="9" t="s">
        <v>26</v>
      </c>
      <c r="E5030" s="10" t="n">
        <v>1789</v>
      </c>
      <c r="F5030" s="9" t="s">
        <v>27</v>
      </c>
      <c r="G5030" s="9" t="s">
        <v>27</v>
      </c>
      <c r="H5030" s="11" t="n">
        <v>21</v>
      </c>
      <c r="I5030" s="11" t="s">
        <v>190</v>
      </c>
      <c r="J5030" s="14" t="n">
        <v>3</v>
      </c>
      <c r="K5030" s="14"/>
      <c r="L5030" s="16"/>
      <c r="M5030" s="27" t="n">
        <f aca="false">J5030+(K5030/20)+(L5030/240)</f>
        <v>3</v>
      </c>
      <c r="N5030" s="17" t="s">
        <v>66</v>
      </c>
      <c r="O5030" s="11"/>
      <c r="P5030" s="28"/>
      <c r="Q5030" s="28" t="n">
        <f aca="false">P5030*$M5030</f>
        <v>0</v>
      </c>
      <c r="R5030" s="28"/>
      <c r="S5030" s="28" t="n">
        <f aca="false">R5030*$M5030</f>
        <v>0</v>
      </c>
      <c r="T5030" s="28"/>
      <c r="U5030" s="28" t="n">
        <f aca="false">T5030*$M5030</f>
        <v>0</v>
      </c>
      <c r="V5030" s="28" t="n">
        <v>284</v>
      </c>
      <c r="W5030" s="28" t="n">
        <v>852</v>
      </c>
      <c r="X5030" s="28" t="n">
        <v>8028</v>
      </c>
      <c r="Y5030" s="28" t="n">
        <v>24084</v>
      </c>
      <c r="Z5030" s="28"/>
      <c r="AA5030" s="28" t="n">
        <f aca="false">Z5030*$M5030</f>
        <v>0</v>
      </c>
      <c r="AB5030" s="28"/>
      <c r="AC5030" s="28" t="n">
        <f aca="false">AB5030*$M5030</f>
        <v>0</v>
      </c>
      <c r="AD5030" s="28"/>
      <c r="AE5030" s="28" t="n">
        <f aca="false">AD5030*$M5030</f>
        <v>0</v>
      </c>
      <c r="AF5030" s="28"/>
      <c r="AG5030" s="28" t="n">
        <f aca="false">AF5030*$M5030</f>
        <v>0</v>
      </c>
      <c r="AH5030" s="28"/>
      <c r="AI5030" s="28" t="n">
        <f aca="false">AH5030*$M5030</f>
        <v>0</v>
      </c>
      <c r="AJ5030" s="28"/>
      <c r="AK5030" s="28" t="n">
        <f aca="false">AJ5030*$M5030</f>
        <v>0</v>
      </c>
      <c r="AL5030" s="28" t="n">
        <v>2127</v>
      </c>
      <c r="AM5030" s="28" t="n">
        <v>6381</v>
      </c>
      <c r="AN5030" s="28"/>
      <c r="AO5030" s="28" t="n">
        <f aca="false">AN5030*$M5030</f>
        <v>0</v>
      </c>
      <c r="AP5030" s="28"/>
      <c r="AQ5030" s="28" t="n">
        <f aca="false">AP5030*$M5030</f>
        <v>0</v>
      </c>
      <c r="AR5030" s="28"/>
      <c r="AS5030" s="28" t="n">
        <f aca="false">AR5030*$M5030</f>
        <v>0</v>
      </c>
      <c r="AT5030" s="28"/>
      <c r="AU5030" s="28" t="n">
        <f aca="false">AT5030*$M5030</f>
        <v>0</v>
      </c>
      <c r="AV5030" s="28"/>
      <c r="AW5030" s="28" t="n">
        <f aca="false">AV5030*$M5030</f>
        <v>0</v>
      </c>
      <c r="AX5030" s="28"/>
      <c r="AY5030" s="28" t="n">
        <f aca="false">AX5030*$M5030</f>
        <v>0</v>
      </c>
      <c r="AZ5030" s="30" t="n">
        <v>10439</v>
      </c>
      <c r="BA5030" s="11" t="n">
        <v>31317</v>
      </c>
      <c r="BB5030" s="31" t="n">
        <f aca="false">SUM(Q5030,S5030,U5030,W5030,Y5030,AA5030,AC5030,AE5030,AG5030,AI5030,AK5030,AM5030,AO5030,AQ5030,AS5030,AU5030,AW5030,AY5030)</f>
        <v>31317</v>
      </c>
      <c r="BC5030" s="28" t="n">
        <f aca="false">BA5030-BB5030</f>
        <v>0</v>
      </c>
      <c r="BD5030" s="32" t="n">
        <f aca="false">SUM(P5030,R5030,T5030,V5030,X5030,Z5030,AB5030,AD5030,AF5030,AH5030,AJ5030,AL5030,AN5030,AP5030,AR5030,AT5030,AV5030,AX5030)</f>
        <v>10439</v>
      </c>
      <c r="BE5030" s="33" t="n">
        <f aca="false">AZ5030-BD5030</f>
        <v>0</v>
      </c>
      <c r="BF5030" s="34" t="n">
        <f aca="false">BD5030*M5030</f>
        <v>31317</v>
      </c>
      <c r="BG5030" s="35" t="n">
        <f aca="false">BA5030-BF5030</f>
        <v>0</v>
      </c>
      <c r="BH5030" s="19" t="str">
        <f aca="false">IF(BG5030=0,"",IF(BG5030&lt;&gt;BA5030,"erreur de calcul",IF(BD5030&lt;&gt;0,"pas de prix",IF(M5030&lt;&gt; 0,"pas de quantité","pas de prix, ni de quantité"))))</f>
        <v/>
      </c>
      <c r="BI5030" s="19"/>
    </row>
    <row r="5031" customFormat="false" ht="15" hidden="false" customHeight="false" outlineLevel="0" collapsed="false">
      <c r="A5031" s="0" t="n">
        <v>38</v>
      </c>
      <c r="B5031" s="8" t="s">
        <v>24</v>
      </c>
      <c r="C5031" s="9" t="s">
        <v>25</v>
      </c>
      <c r="D5031" s="9" t="s">
        <v>26</v>
      </c>
      <c r="E5031" s="10" t="n">
        <v>1789</v>
      </c>
      <c r="F5031" s="9" t="s">
        <v>27</v>
      </c>
      <c r="G5031" s="9" t="s">
        <v>27</v>
      </c>
      <c r="H5031" s="11" t="n">
        <v>21</v>
      </c>
      <c r="I5031" s="11" t="s">
        <v>191</v>
      </c>
      <c r="J5031" s="14" t="n">
        <v>25</v>
      </c>
      <c r="K5031" s="14"/>
      <c r="L5031" s="16"/>
      <c r="M5031" s="27" t="n">
        <f aca="false">J5031+(K5031/20)+(L5031/240)</f>
        <v>25</v>
      </c>
      <c r="N5031" s="17" t="s">
        <v>64</v>
      </c>
      <c r="O5031" s="11"/>
      <c r="P5031" s="28"/>
      <c r="Q5031" s="28" t="n">
        <f aca="false">P5031*$M5031</f>
        <v>0</v>
      </c>
      <c r="R5031" s="28"/>
      <c r="S5031" s="28" t="n">
        <f aca="false">R5031*$M5031</f>
        <v>0</v>
      </c>
      <c r="T5031" s="28"/>
      <c r="U5031" s="28" t="n">
        <f aca="false">T5031*$M5031</f>
        <v>0</v>
      </c>
      <c r="V5031" s="28"/>
      <c r="W5031" s="28" t="n">
        <f aca="false">V5031*$M5031</f>
        <v>0</v>
      </c>
      <c r="X5031" s="28" t="n">
        <f aca="false">5034/100</f>
        <v>50.34</v>
      </c>
      <c r="Y5031" s="28" t="n">
        <v>1258</v>
      </c>
      <c r="Z5031" s="28"/>
      <c r="AA5031" s="28" t="n">
        <f aca="false">Z5031*$M5031</f>
        <v>0</v>
      </c>
      <c r="AB5031" s="28"/>
      <c r="AC5031" s="28" t="n">
        <f aca="false">AB5031*$M5031</f>
        <v>0</v>
      </c>
      <c r="AD5031" s="28"/>
      <c r="AE5031" s="28" t="n">
        <f aca="false">AD5031*$M5031</f>
        <v>0</v>
      </c>
      <c r="AF5031" s="28"/>
      <c r="AG5031" s="28" t="n">
        <f aca="false">AF5031*$M5031</f>
        <v>0</v>
      </c>
      <c r="AH5031" s="28"/>
      <c r="AI5031" s="28" t="n">
        <f aca="false">AH5031*$M5031</f>
        <v>0</v>
      </c>
      <c r="AJ5031" s="28" t="n">
        <f aca="false">1375/100</f>
        <v>13.75</v>
      </c>
      <c r="AK5031" s="28" t="n">
        <v>344</v>
      </c>
      <c r="AL5031" s="28" t="n">
        <f aca="false">6710/100</f>
        <v>67.1</v>
      </c>
      <c r="AM5031" s="28" t="n">
        <v>1677</v>
      </c>
      <c r="AN5031" s="28"/>
      <c r="AO5031" s="28" t="n">
        <f aca="false">AN5031*$M5031</f>
        <v>0</v>
      </c>
      <c r="AP5031" s="28"/>
      <c r="AQ5031" s="28" t="n">
        <f aca="false">AP5031*$M5031</f>
        <v>0</v>
      </c>
      <c r="AR5031" s="28"/>
      <c r="AS5031" s="28" t="n">
        <f aca="false">AR5031*$M5031</f>
        <v>0</v>
      </c>
      <c r="AT5031" s="28"/>
      <c r="AU5031" s="28" t="n">
        <f aca="false">AT5031*$M5031</f>
        <v>0</v>
      </c>
      <c r="AV5031" s="28"/>
      <c r="AW5031" s="28" t="n">
        <f aca="false">AV5031*$M5031</f>
        <v>0</v>
      </c>
      <c r="AX5031" s="28"/>
      <c r="AY5031" s="28" t="n">
        <f aca="false">AX5031*$M5031</f>
        <v>0</v>
      </c>
      <c r="AZ5031" s="30" t="n">
        <f aca="false">13119/100</f>
        <v>131.19</v>
      </c>
      <c r="BA5031" s="11" t="n">
        <v>3279</v>
      </c>
      <c r="BB5031" s="31" t="n">
        <f aca="false">SUM(Q5031,S5031,U5031,W5031,Y5031,AA5031,AC5031,AE5031,AG5031,AI5031,AK5031,AM5031,AO5031,AQ5031,AS5031,AU5031,AW5031,AY5031)</f>
        <v>3279</v>
      </c>
      <c r="BC5031" s="28" t="n">
        <f aca="false">BA5031-BB5031</f>
        <v>0</v>
      </c>
      <c r="BD5031" s="32" t="n">
        <f aca="false">SUM(P5031,R5031,T5031,V5031,X5031,Z5031,AB5031,AD5031,AF5031,AH5031,AJ5031,AL5031,AN5031,AP5031,AR5031,AT5031,AV5031,AX5031)</f>
        <v>131.19</v>
      </c>
      <c r="BE5031" s="33" t="n">
        <f aca="false">AZ5031-BD5031</f>
        <v>0</v>
      </c>
      <c r="BF5031" s="34" t="n">
        <f aca="false">BD5031*M5031</f>
        <v>3279.75</v>
      </c>
      <c r="BG5031" s="35" t="n">
        <f aca="false">BA5031-BF5031</f>
        <v>-0.75</v>
      </c>
      <c r="BH5031" s="19" t="str">
        <f aca="false">IF(BG5031=0,"",IF(BG5031&lt;&gt;BA5031,"erreur de calcul",IF(BD5031&lt;&gt;0,"pas de prix",IF(M5031&lt;&gt; 0,"pas de quantité","pas de prix, ni de quantité"))))</f>
        <v>erreur de calcul</v>
      </c>
      <c r="BI5031" s="19"/>
    </row>
    <row r="5032" customFormat="false" ht="15" hidden="false" customHeight="false" outlineLevel="0" collapsed="false">
      <c r="A5032" s="0" t="n">
        <v>39</v>
      </c>
      <c r="B5032" s="8" t="s">
        <v>24</v>
      </c>
      <c r="C5032" s="9" t="s">
        <v>25</v>
      </c>
      <c r="D5032" s="9" t="s">
        <v>26</v>
      </c>
      <c r="E5032" s="10" t="n">
        <v>1789</v>
      </c>
      <c r="F5032" s="9" t="s">
        <v>27</v>
      </c>
      <c r="G5032" s="9" t="s">
        <v>27</v>
      </c>
      <c r="H5032" s="11" t="n">
        <v>21</v>
      </c>
      <c r="I5032" s="11" t="s">
        <v>192</v>
      </c>
      <c r="J5032" s="14" t="n">
        <v>25</v>
      </c>
      <c r="K5032" s="14"/>
      <c r="L5032" s="16"/>
      <c r="M5032" s="27" t="n">
        <f aca="false">J5032+(K5032/20)+(L5032/240)</f>
        <v>25</v>
      </c>
      <c r="N5032" s="17" t="s">
        <v>64</v>
      </c>
      <c r="O5032" s="11"/>
      <c r="P5032" s="28"/>
      <c r="Q5032" s="28" t="n">
        <f aca="false">P5032*$M5032</f>
        <v>0</v>
      </c>
      <c r="R5032" s="28"/>
      <c r="S5032" s="28" t="n">
        <f aca="false">R5032*$M5032</f>
        <v>0</v>
      </c>
      <c r="T5032" s="28"/>
      <c r="U5032" s="28" t="n">
        <f aca="false">T5032*$M5032</f>
        <v>0</v>
      </c>
      <c r="V5032" s="28"/>
      <c r="W5032" s="28" t="n">
        <f aca="false">V5032*$M5032</f>
        <v>0</v>
      </c>
      <c r="X5032" s="28" t="n">
        <f aca="false">5561/100</f>
        <v>55.61</v>
      </c>
      <c r="Y5032" s="28" t="n">
        <v>1390</v>
      </c>
      <c r="Z5032" s="28"/>
      <c r="AA5032" s="28" t="n">
        <f aca="false">Z5032*$M5032</f>
        <v>0</v>
      </c>
      <c r="AB5032" s="28"/>
      <c r="AC5032" s="28" t="n">
        <f aca="false">AB5032*$M5032</f>
        <v>0</v>
      </c>
      <c r="AD5032" s="28"/>
      <c r="AE5032" s="28" t="n">
        <f aca="false">AD5032*$M5032</f>
        <v>0</v>
      </c>
      <c r="AF5032" s="28"/>
      <c r="AG5032" s="28" t="n">
        <f aca="false">AF5032*$M5032</f>
        <v>0</v>
      </c>
      <c r="AH5032" s="28"/>
      <c r="AI5032" s="28" t="n">
        <f aca="false">AH5032*$M5032</f>
        <v>0</v>
      </c>
      <c r="AJ5032" s="28"/>
      <c r="AK5032" s="28" t="n">
        <f aca="false">AJ5032*$M5032</f>
        <v>0</v>
      </c>
      <c r="AL5032" s="28"/>
      <c r="AM5032" s="28" t="n">
        <f aca="false">AL5032*$M5032</f>
        <v>0</v>
      </c>
      <c r="AN5032" s="28"/>
      <c r="AO5032" s="28" t="n">
        <f aca="false">AN5032*$M5032</f>
        <v>0</v>
      </c>
      <c r="AP5032" s="28"/>
      <c r="AQ5032" s="28" t="n">
        <f aca="false">AP5032*$M5032</f>
        <v>0</v>
      </c>
      <c r="AR5032" s="28"/>
      <c r="AS5032" s="28" t="n">
        <f aca="false">AR5032*$M5032</f>
        <v>0</v>
      </c>
      <c r="AT5032" s="28"/>
      <c r="AU5032" s="28" t="n">
        <f aca="false">AT5032*$M5032</f>
        <v>0</v>
      </c>
      <c r="AV5032" s="28"/>
      <c r="AW5032" s="28" t="n">
        <f aca="false">AV5032*$M5032</f>
        <v>0</v>
      </c>
      <c r="AX5032" s="28"/>
      <c r="AY5032" s="28" t="n">
        <f aca="false">AX5032*$M5032</f>
        <v>0</v>
      </c>
      <c r="AZ5032" s="30" t="n">
        <f aca="false">5561/100</f>
        <v>55.61</v>
      </c>
      <c r="BA5032" s="11" t="n">
        <v>1390</v>
      </c>
      <c r="BB5032" s="31" t="n">
        <f aca="false">SUM(Q5032,S5032,U5032,W5032,Y5032,AA5032,AC5032,AE5032,AG5032,AI5032,AK5032,AM5032,AO5032,AQ5032,AS5032,AU5032,AW5032,AY5032)</f>
        <v>1390</v>
      </c>
      <c r="BC5032" s="28" t="n">
        <f aca="false">BA5032-BB5032</f>
        <v>0</v>
      </c>
      <c r="BD5032" s="32" t="n">
        <f aca="false">SUM(P5032,R5032,T5032,V5032,X5032,Z5032,AB5032,AD5032,AF5032,AH5032,AJ5032,AL5032,AN5032,AP5032,AR5032,AT5032,AV5032,AX5032)</f>
        <v>55.61</v>
      </c>
      <c r="BE5032" s="33" t="n">
        <f aca="false">AZ5032-BD5032</f>
        <v>0</v>
      </c>
      <c r="BF5032" s="34" t="n">
        <f aca="false">BD5032*M5032</f>
        <v>1390.25</v>
      </c>
      <c r="BG5032" s="35" t="n">
        <f aca="false">BA5032-BF5032</f>
        <v>-0.25</v>
      </c>
      <c r="BH5032" s="19" t="str">
        <f aca="false">IF(BG5032=0,"",IF(BG5032&lt;&gt;BA5032,"erreur de calcul",IF(BD5032&lt;&gt;0,"pas de prix",IF(M5032&lt;&gt; 0,"pas de quantité","pas de prix, ni de quantité"))))</f>
        <v>erreur de calcul</v>
      </c>
      <c r="BI5032" s="19"/>
    </row>
    <row r="5033" customFormat="false" ht="15" hidden="false" customHeight="false" outlineLevel="0" collapsed="false">
      <c r="A5033" s="0" t="n">
        <v>40</v>
      </c>
      <c r="B5033" s="8" t="s">
        <v>24</v>
      </c>
      <c r="C5033" s="9" t="s">
        <v>25</v>
      </c>
      <c r="D5033" s="9" t="s">
        <v>26</v>
      </c>
      <c r="E5033" s="10" t="n">
        <v>1789</v>
      </c>
      <c r="F5033" s="9" t="s">
        <v>27</v>
      </c>
      <c r="G5033" s="9" t="s">
        <v>27</v>
      </c>
      <c r="H5033" s="11" t="n">
        <v>21</v>
      </c>
      <c r="I5033" s="11" t="s">
        <v>193</v>
      </c>
      <c r="J5033" s="14" t="n">
        <v>168</v>
      </c>
      <c r="K5033" s="14"/>
      <c r="L5033" s="16"/>
      <c r="M5033" s="27" t="n">
        <f aca="false">J5033+(K5033/20)+(L5033/240)</f>
        <v>168</v>
      </c>
      <c r="N5033" s="17" t="s">
        <v>64</v>
      </c>
      <c r="O5033" s="11"/>
      <c r="P5033" s="28"/>
      <c r="Q5033" s="28" t="n">
        <f aca="false">P5033*$M5033</f>
        <v>0</v>
      </c>
      <c r="R5033" s="28"/>
      <c r="S5033" s="28" t="n">
        <f aca="false">R5033*$M5033</f>
        <v>0</v>
      </c>
      <c r="T5033" s="28"/>
      <c r="U5033" s="28" t="n">
        <f aca="false">T5033*$M5033</f>
        <v>0</v>
      </c>
      <c r="V5033" s="28"/>
      <c r="W5033" s="28" t="n">
        <f aca="false">V5033*$M5033</f>
        <v>0</v>
      </c>
      <c r="X5033" s="28"/>
      <c r="Y5033" s="28" t="n">
        <f aca="false">X5033*$M5033</f>
        <v>0</v>
      </c>
      <c r="Z5033" s="28"/>
      <c r="AA5033" s="28" t="n">
        <f aca="false">Z5033*$M5033</f>
        <v>0</v>
      </c>
      <c r="AB5033" s="28"/>
      <c r="AC5033" s="28" t="n">
        <f aca="false">AB5033*$M5033</f>
        <v>0</v>
      </c>
      <c r="AD5033" s="28"/>
      <c r="AE5033" s="28" t="n">
        <f aca="false">AD5033*$M5033</f>
        <v>0</v>
      </c>
      <c r="AF5033" s="28"/>
      <c r="AG5033" s="28" t="n">
        <f aca="false">AF5033*$M5033</f>
        <v>0</v>
      </c>
      <c r="AH5033" s="28" t="n">
        <f aca="false">14590/100</f>
        <v>145.9</v>
      </c>
      <c r="AI5033" s="28" t="n">
        <v>24511</v>
      </c>
      <c r="AJ5033" s="28"/>
      <c r="AK5033" s="28" t="n">
        <f aca="false">AJ5033*$M5033</f>
        <v>0</v>
      </c>
      <c r="AL5033" s="28"/>
      <c r="AM5033" s="28" t="n">
        <f aca="false">AL5033*$M5033</f>
        <v>0</v>
      </c>
      <c r="AN5033" s="28"/>
      <c r="AO5033" s="28" t="n">
        <f aca="false">AN5033*$M5033</f>
        <v>0</v>
      </c>
      <c r="AP5033" s="28"/>
      <c r="AQ5033" s="28" t="n">
        <f aca="false">AP5033*$M5033</f>
        <v>0</v>
      </c>
      <c r="AR5033" s="28"/>
      <c r="AS5033" s="28" t="n">
        <f aca="false">AR5033*$M5033</f>
        <v>0</v>
      </c>
      <c r="AT5033" s="28"/>
      <c r="AU5033" s="28" t="n">
        <f aca="false">AT5033*$M5033</f>
        <v>0</v>
      </c>
      <c r="AV5033" s="28"/>
      <c r="AW5033" s="28" t="n">
        <f aca="false">AV5033*$M5033</f>
        <v>0</v>
      </c>
      <c r="AX5033" s="28"/>
      <c r="AY5033" s="28" t="n">
        <f aca="false">AX5033*$M5033</f>
        <v>0</v>
      </c>
      <c r="AZ5033" s="30" t="n">
        <f aca="false">14590/100</f>
        <v>145.9</v>
      </c>
      <c r="BA5033" s="11" t="n">
        <v>24511</v>
      </c>
      <c r="BB5033" s="31" t="n">
        <f aca="false">SUM(Q5033,S5033,U5033,W5033,Y5033,AA5033,AC5033,AE5033,AG5033,AI5033,AK5033,AM5033,AO5033,AQ5033,AS5033,AU5033,AW5033,AY5033)</f>
        <v>24511</v>
      </c>
      <c r="BC5033" s="28" t="n">
        <f aca="false">BA5033-BB5033</f>
        <v>0</v>
      </c>
      <c r="BD5033" s="32" t="n">
        <f aca="false">SUM(P5033,R5033,T5033,V5033,X5033,Z5033,AB5033,AD5033,AF5033,AH5033,AJ5033,AL5033,AN5033,AP5033,AR5033,AT5033,AV5033,AX5033)</f>
        <v>145.9</v>
      </c>
      <c r="BE5033" s="33" t="n">
        <f aca="false">AZ5033-BD5033</f>
        <v>0</v>
      </c>
      <c r="BF5033" s="34" t="n">
        <f aca="false">BD5033*M5033</f>
        <v>24511.2</v>
      </c>
      <c r="BG5033" s="35" t="n">
        <f aca="false">BA5033-BF5033</f>
        <v>-0.200000000000728</v>
      </c>
      <c r="BH5033" s="19" t="str">
        <f aca="false">IF(BG5033=0,"",IF(BG5033&lt;&gt;BA5033,"erreur de calcul",IF(BD5033&lt;&gt;0,"pas de prix",IF(M5033&lt;&gt; 0,"pas de quantité","pas de prix, ni de quantité"))))</f>
        <v>erreur de calcul</v>
      </c>
      <c r="BI5033" s="19"/>
    </row>
    <row r="5034" customFormat="false" ht="15" hidden="false" customHeight="false" outlineLevel="0" collapsed="false">
      <c r="A5034" s="0" t="n">
        <v>41</v>
      </c>
      <c r="B5034" s="8" t="s">
        <v>24</v>
      </c>
      <c r="C5034" s="9" t="s">
        <v>25</v>
      </c>
      <c r="D5034" s="9" t="s">
        <v>26</v>
      </c>
      <c r="E5034" s="10" t="n">
        <v>1789</v>
      </c>
      <c r="F5034" s="9" t="s">
        <v>27</v>
      </c>
      <c r="G5034" s="9" t="s">
        <v>27</v>
      </c>
      <c r="H5034" s="11" t="n">
        <v>21</v>
      </c>
      <c r="I5034" s="11" t="s">
        <v>194</v>
      </c>
      <c r="J5034" s="14" t="n">
        <v>120</v>
      </c>
      <c r="K5034" s="14"/>
      <c r="L5034" s="16"/>
      <c r="M5034" s="27" t="n">
        <f aca="false">J5034+(K5034/20)+(L5034/240)</f>
        <v>120</v>
      </c>
      <c r="N5034" s="17" t="s">
        <v>64</v>
      </c>
      <c r="O5034" s="11"/>
      <c r="P5034" s="28"/>
      <c r="Q5034" s="28" t="n">
        <f aca="false">P5034*$M5034</f>
        <v>0</v>
      </c>
      <c r="R5034" s="28"/>
      <c r="S5034" s="28" t="n">
        <f aca="false">R5034*$M5034</f>
        <v>0</v>
      </c>
      <c r="T5034" s="28"/>
      <c r="U5034" s="28" t="n">
        <f aca="false">T5034*$M5034</f>
        <v>0</v>
      </c>
      <c r="V5034" s="28"/>
      <c r="W5034" s="28" t="n">
        <f aca="false">V5034*$M5034</f>
        <v>0</v>
      </c>
      <c r="X5034" s="28"/>
      <c r="Y5034" s="28" t="n">
        <f aca="false">X5034*$M5034</f>
        <v>0</v>
      </c>
      <c r="Z5034" s="28"/>
      <c r="AA5034" s="28" t="n">
        <f aca="false">Z5034*$M5034</f>
        <v>0</v>
      </c>
      <c r="AB5034" s="28" t="n">
        <f aca="false">6930/100</f>
        <v>69.3</v>
      </c>
      <c r="AC5034" s="28" t="n">
        <v>8316</v>
      </c>
      <c r="AD5034" s="28"/>
      <c r="AE5034" s="28" t="n">
        <f aca="false">AD5034*$M5034</f>
        <v>0</v>
      </c>
      <c r="AF5034" s="28"/>
      <c r="AG5034" s="28" t="n">
        <f aca="false">AF5034*$M5034</f>
        <v>0</v>
      </c>
      <c r="AH5034" s="28"/>
      <c r="AI5034" s="28" t="n">
        <f aca="false">AH5034*$M5034</f>
        <v>0</v>
      </c>
      <c r="AJ5034" s="28"/>
      <c r="AK5034" s="28" t="n">
        <f aca="false">AJ5034*$M5034</f>
        <v>0</v>
      </c>
      <c r="AL5034" s="28"/>
      <c r="AM5034" s="28" t="n">
        <f aca="false">AL5034*$M5034</f>
        <v>0</v>
      </c>
      <c r="AN5034" s="28"/>
      <c r="AO5034" s="28" t="n">
        <f aca="false">AN5034*$M5034</f>
        <v>0</v>
      </c>
      <c r="AP5034" s="28"/>
      <c r="AQ5034" s="28" t="n">
        <f aca="false">AP5034*$M5034</f>
        <v>0</v>
      </c>
      <c r="AR5034" s="28"/>
      <c r="AS5034" s="28" t="n">
        <f aca="false">AR5034*$M5034</f>
        <v>0</v>
      </c>
      <c r="AT5034" s="28"/>
      <c r="AU5034" s="28" t="n">
        <f aca="false">AT5034*$M5034</f>
        <v>0</v>
      </c>
      <c r="AV5034" s="28"/>
      <c r="AW5034" s="28" t="n">
        <f aca="false">AV5034*$M5034</f>
        <v>0</v>
      </c>
      <c r="AX5034" s="28"/>
      <c r="AY5034" s="28" t="n">
        <f aca="false">AX5034*$M5034</f>
        <v>0</v>
      </c>
      <c r="AZ5034" s="30" t="n">
        <f aca="false">6930/100</f>
        <v>69.3</v>
      </c>
      <c r="BA5034" s="11" t="n">
        <v>8316</v>
      </c>
      <c r="BB5034" s="31" t="n">
        <f aca="false">SUM(Q5034,S5034,U5034,W5034,Y5034,AA5034,AC5034,AE5034,AG5034,AI5034,AK5034,AM5034,AO5034,AQ5034,AS5034,AU5034,AW5034,AY5034)</f>
        <v>8316</v>
      </c>
      <c r="BC5034" s="28" t="n">
        <f aca="false">BA5034-BB5034</f>
        <v>0</v>
      </c>
      <c r="BD5034" s="32" t="n">
        <f aca="false">SUM(P5034,R5034,T5034,V5034,X5034,Z5034,AB5034,AD5034,AF5034,AH5034,AJ5034,AL5034,AN5034,AP5034,AR5034,AT5034,AV5034,AX5034)</f>
        <v>69.3</v>
      </c>
      <c r="BE5034" s="33" t="n">
        <f aca="false">AZ5034-BD5034</f>
        <v>0</v>
      </c>
      <c r="BF5034" s="34" t="n">
        <f aca="false">BD5034*M5034</f>
        <v>8316</v>
      </c>
      <c r="BG5034" s="35" t="n">
        <f aca="false">BA5034-BF5034</f>
        <v>0</v>
      </c>
      <c r="BH5034" s="19" t="str">
        <f aca="false">IF(BG5034=0,"",IF(BG5034&lt;&gt;BA5034,"erreur de calcul",IF(BD5034&lt;&gt;0,"pas de prix",IF(M5034&lt;&gt; 0,"pas de quantité","pas de prix, ni de quantité"))))</f>
        <v/>
      </c>
      <c r="BI5034" s="19"/>
    </row>
    <row r="5035" customFormat="false" ht="16.65" hidden="false" customHeight="false" outlineLevel="0" collapsed="false">
      <c r="A5035" s="0" t="n">
        <v>42</v>
      </c>
      <c r="B5035" s="8" t="s">
        <v>24</v>
      </c>
      <c r="C5035" s="9" t="s">
        <v>25</v>
      </c>
      <c r="D5035" s="9" t="s">
        <v>26</v>
      </c>
      <c r="E5035" s="10" t="n">
        <v>1789</v>
      </c>
      <c r="F5035" s="9" t="s">
        <v>27</v>
      </c>
      <c r="G5035" s="9" t="s">
        <v>27</v>
      </c>
      <c r="H5035" s="11" t="n">
        <v>21</v>
      </c>
      <c r="I5035" s="11" t="s">
        <v>195</v>
      </c>
      <c r="J5035" s="14" t="n">
        <v>70</v>
      </c>
      <c r="K5035" s="14"/>
      <c r="L5035" s="16"/>
      <c r="M5035" s="27" t="n">
        <f aca="false">J5035+(K5035/20)+(L5035/240)</f>
        <v>70</v>
      </c>
      <c r="N5035" s="17" t="s">
        <v>64</v>
      </c>
      <c r="O5035" s="11"/>
      <c r="P5035" s="28"/>
      <c r="Q5035" s="28" t="n">
        <f aca="false">P5035*$M5035</f>
        <v>0</v>
      </c>
      <c r="R5035" s="28"/>
      <c r="S5035" s="28" t="n">
        <f aca="false">R5035*$M5035</f>
        <v>0</v>
      </c>
      <c r="T5035" s="28"/>
      <c r="U5035" s="28" t="n">
        <f aca="false">T5035*$M5035</f>
        <v>0</v>
      </c>
      <c r="V5035" s="28"/>
      <c r="W5035" s="28" t="n">
        <f aca="false">V5035*$M5035</f>
        <v>0</v>
      </c>
      <c r="X5035" s="28"/>
      <c r="Y5035" s="28" t="n">
        <f aca="false">X5035*$M5035</f>
        <v>0</v>
      </c>
      <c r="Z5035" s="28"/>
      <c r="AA5035" s="28" t="n">
        <f aca="false">Z5035*$M5035</f>
        <v>0</v>
      </c>
      <c r="AB5035" s="28"/>
      <c r="AC5035" s="28" t="n">
        <f aca="false">AB5035*$M5035</f>
        <v>0</v>
      </c>
      <c r="AD5035" s="28"/>
      <c r="AE5035" s="28" t="n">
        <f aca="false">AD5035*$M5035</f>
        <v>0</v>
      </c>
      <c r="AF5035" s="28"/>
      <c r="AG5035" s="28" t="n">
        <f aca="false">AF5035*$M5035</f>
        <v>0</v>
      </c>
      <c r="AH5035" s="28"/>
      <c r="AI5035" s="28" t="n">
        <f aca="false">AH5035*$M5035</f>
        <v>0</v>
      </c>
      <c r="AJ5035" s="28"/>
      <c r="AK5035" s="28" t="n">
        <f aca="false">AJ5035*$M5035</f>
        <v>0</v>
      </c>
      <c r="AL5035" s="28"/>
      <c r="AM5035" s="28" t="n">
        <f aca="false">AL5035*$M5035</f>
        <v>0</v>
      </c>
      <c r="AN5035" s="28" t="n">
        <f aca="false">13200/100</f>
        <v>132</v>
      </c>
      <c r="AO5035" s="28" t="n">
        <v>9240</v>
      </c>
      <c r="AP5035" s="28"/>
      <c r="AQ5035" s="28" t="n">
        <f aca="false">AP5035*$M5035</f>
        <v>0</v>
      </c>
      <c r="AR5035" s="28"/>
      <c r="AS5035" s="28" t="n">
        <f aca="false">AR5035*$M5035</f>
        <v>0</v>
      </c>
      <c r="AT5035" s="28"/>
      <c r="AU5035" s="28" t="n">
        <f aca="false">AT5035*$M5035</f>
        <v>0</v>
      </c>
      <c r="AV5035" s="28"/>
      <c r="AW5035" s="28" t="n">
        <f aca="false">AV5035*$M5035</f>
        <v>0</v>
      </c>
      <c r="AX5035" s="28"/>
      <c r="AY5035" s="28" t="n">
        <f aca="false">AX5035*$M5035</f>
        <v>0</v>
      </c>
      <c r="AZ5035" s="30" t="n">
        <f aca="false">13200/100</f>
        <v>132</v>
      </c>
      <c r="BA5035" s="11" t="n">
        <v>9240</v>
      </c>
      <c r="BB5035" s="31" t="n">
        <f aca="false">SUM(Q5035,S5035,U5035,W5035,Y5035,AA5035,AC5035,AE5035,AG5035,AI5035,AK5035,AM5035,AO5035,AQ5035,AS5035,AU5035,AW5035,AY5035)</f>
        <v>9240</v>
      </c>
      <c r="BC5035" s="28" t="n">
        <f aca="false">BA5035-BB5035</f>
        <v>0</v>
      </c>
      <c r="BD5035" s="32" t="n">
        <f aca="false">SUM(P5035,R5035,T5035,V5035,X5035,Z5035,AB5035,AD5035,AF5035,AH5035,AJ5035,AL5035,AN5035,AP5035,AR5035,AT5035,AV5035,AX5035)</f>
        <v>132</v>
      </c>
      <c r="BE5035" s="33" t="n">
        <f aca="false">AZ5035-BD5035</f>
        <v>0</v>
      </c>
      <c r="BF5035" s="34" t="n">
        <f aca="false">BD5035*M5035</f>
        <v>9240</v>
      </c>
      <c r="BG5035" s="35" t="n">
        <f aca="false">BA5035-BF5035</f>
        <v>0</v>
      </c>
      <c r="BH5035" s="19" t="str">
        <f aca="false">IF(BG5035=0,"",IF(BG5035&lt;&gt;BA5035,"erreur de calcul",IF(BD5035&lt;&gt;0,"pas de prix",IF(M5035&lt;&gt; 0,"pas de quantité","pas de prix, ni de quantité"))))</f>
        <v/>
      </c>
      <c r="BI5035" s="19"/>
    </row>
    <row r="5036" customFormat="false" ht="15" hidden="false" customHeight="false" outlineLevel="0" collapsed="false">
      <c r="A5036" s="0" t="n">
        <v>43</v>
      </c>
      <c r="B5036" s="8" t="s">
        <v>24</v>
      </c>
      <c r="C5036" s="9" t="s">
        <v>25</v>
      </c>
      <c r="D5036" s="9" t="s">
        <v>26</v>
      </c>
      <c r="E5036" s="10" t="n">
        <v>1789</v>
      </c>
      <c r="F5036" s="9" t="s">
        <v>27</v>
      </c>
      <c r="G5036" s="9" t="s">
        <v>27</v>
      </c>
      <c r="H5036" s="11" t="n">
        <v>21</v>
      </c>
      <c r="I5036" s="11" t="s">
        <v>196</v>
      </c>
      <c r="J5036" s="14" t="n">
        <v>65</v>
      </c>
      <c r="K5036" s="14"/>
      <c r="L5036" s="16"/>
      <c r="M5036" s="27" t="n">
        <f aca="false">J5036+(K5036/20)+(L5036/240)</f>
        <v>65</v>
      </c>
      <c r="N5036" s="17" t="s">
        <v>64</v>
      </c>
      <c r="O5036" s="11"/>
      <c r="P5036" s="28"/>
      <c r="Q5036" s="28" t="n">
        <f aca="false">P5036*$M5036</f>
        <v>0</v>
      </c>
      <c r="R5036" s="28"/>
      <c r="S5036" s="28" t="n">
        <f aca="false">R5036*$M5036</f>
        <v>0</v>
      </c>
      <c r="T5036" s="28"/>
      <c r="U5036" s="28" t="n">
        <f aca="false">T5036*$M5036</f>
        <v>0</v>
      </c>
      <c r="V5036" s="28"/>
      <c r="W5036" s="28" t="n">
        <f aca="false">V5036*$M5036</f>
        <v>0</v>
      </c>
      <c r="X5036" s="28" t="n">
        <f aca="false">44247/100</f>
        <v>442.47</v>
      </c>
      <c r="Y5036" s="28" t="n">
        <v>28760</v>
      </c>
      <c r="Z5036" s="28" t="n">
        <f aca="false">1906/100</f>
        <v>19.06</v>
      </c>
      <c r="AA5036" s="28" t="n">
        <v>1239</v>
      </c>
      <c r="AB5036" s="28"/>
      <c r="AC5036" s="28" t="n">
        <f aca="false">AB5036*$M5036</f>
        <v>0</v>
      </c>
      <c r="AD5036" s="28"/>
      <c r="AE5036" s="28" t="n">
        <f aca="false">AD5036*$M5036</f>
        <v>0</v>
      </c>
      <c r="AF5036" s="28"/>
      <c r="AG5036" s="28" t="n">
        <f aca="false">AF5036*$M5036</f>
        <v>0</v>
      </c>
      <c r="AH5036" s="28"/>
      <c r="AI5036" s="28" t="n">
        <f aca="false">AH5036*$M5036</f>
        <v>0</v>
      </c>
      <c r="AJ5036" s="28" t="n">
        <f aca="false">625/100</f>
        <v>6.25</v>
      </c>
      <c r="AK5036" s="28" t="n">
        <v>406</v>
      </c>
      <c r="AL5036" s="28"/>
      <c r="AM5036" s="28" t="n">
        <f aca="false">AL5036*$M5036</f>
        <v>0</v>
      </c>
      <c r="AN5036" s="28"/>
      <c r="AO5036" s="28" t="n">
        <f aca="false">AN5036*$M5036</f>
        <v>0</v>
      </c>
      <c r="AP5036" s="28"/>
      <c r="AQ5036" s="28" t="n">
        <f aca="false">AP5036*$M5036</f>
        <v>0</v>
      </c>
      <c r="AR5036" s="28"/>
      <c r="AS5036" s="28" t="n">
        <f aca="false">AR5036*$M5036</f>
        <v>0</v>
      </c>
      <c r="AT5036" s="28"/>
      <c r="AU5036" s="28" t="n">
        <f aca="false">AT5036*$M5036</f>
        <v>0</v>
      </c>
      <c r="AV5036" s="28"/>
      <c r="AW5036" s="28" t="n">
        <f aca="false">AV5036*$M5036</f>
        <v>0</v>
      </c>
      <c r="AX5036" s="28"/>
      <c r="AY5036" s="28" t="n">
        <f aca="false">AX5036*$M5036</f>
        <v>0</v>
      </c>
      <c r="AZ5036" s="30" t="n">
        <f aca="false">46778/100</f>
        <v>467.78</v>
      </c>
      <c r="BA5036" s="11" t="n">
        <v>30405</v>
      </c>
      <c r="BB5036" s="31" t="n">
        <f aca="false">SUM(Q5036,S5036,U5036,W5036,Y5036,AA5036,AC5036,AE5036,AG5036,AI5036,AK5036,AM5036,AO5036,AQ5036,AS5036,AU5036,AW5036,AY5036)</f>
        <v>30405</v>
      </c>
      <c r="BC5036" s="28" t="n">
        <f aca="false">BA5036-BB5036</f>
        <v>0</v>
      </c>
      <c r="BD5036" s="32" t="n">
        <f aca="false">SUM(P5036,R5036,T5036,V5036,X5036,Z5036,AB5036,AD5036,AF5036,AH5036,AJ5036,AL5036,AN5036,AP5036,AR5036,AT5036,AV5036,AX5036)</f>
        <v>467.78</v>
      </c>
      <c r="BE5036" s="33" t="n">
        <f aca="false">AZ5036-BD5036</f>
        <v>0</v>
      </c>
      <c r="BF5036" s="34" t="n">
        <f aca="false">BD5036*M5036</f>
        <v>30405.7</v>
      </c>
      <c r="BG5036" s="35" t="n">
        <f aca="false">BA5036-BF5036</f>
        <v>-0.700000000000728</v>
      </c>
      <c r="BH5036" s="19" t="str">
        <f aca="false">IF(BG5036=0,"",IF(BG5036&lt;&gt;BA5036,"erreur de calcul",IF(BD5036&lt;&gt;0,"pas de prix",IF(M5036&lt;&gt; 0,"pas de quantité","pas de prix, ni de quantité"))))</f>
        <v>erreur de calcul</v>
      </c>
      <c r="BI5036" s="19"/>
    </row>
    <row r="5037" customFormat="false" ht="15" hidden="false" customHeight="false" outlineLevel="0" collapsed="false">
      <c r="A5037" s="0" t="n">
        <v>44</v>
      </c>
      <c r="B5037" s="8" t="s">
        <v>24</v>
      </c>
      <c r="C5037" s="9" t="s">
        <v>25</v>
      </c>
      <c r="D5037" s="9" t="s">
        <v>26</v>
      </c>
      <c r="E5037" s="10" t="n">
        <v>1789</v>
      </c>
      <c r="F5037" s="9" t="s">
        <v>27</v>
      </c>
      <c r="G5037" s="9" t="s">
        <v>27</v>
      </c>
      <c r="H5037" s="11" t="n">
        <v>21</v>
      </c>
      <c r="I5037" s="11" t="s">
        <v>197</v>
      </c>
      <c r="J5037" s="14" t="n">
        <v>70</v>
      </c>
      <c r="K5037" s="14"/>
      <c r="L5037" s="16"/>
      <c r="M5037" s="27" t="n">
        <f aca="false">J5037+(K5037/20)+(L5037/240)</f>
        <v>70</v>
      </c>
      <c r="N5037" s="17" t="s">
        <v>64</v>
      </c>
      <c r="O5037" s="11"/>
      <c r="P5037" s="28"/>
      <c r="Q5037" s="28" t="n">
        <f aca="false">P5037*$M5037</f>
        <v>0</v>
      </c>
      <c r="R5037" s="28"/>
      <c r="S5037" s="28" t="n">
        <f aca="false">R5037*$M5037</f>
        <v>0</v>
      </c>
      <c r="T5037" s="28"/>
      <c r="U5037" s="28" t="n">
        <f aca="false">T5037*$M5037</f>
        <v>0</v>
      </c>
      <c r="V5037" s="28"/>
      <c r="W5037" s="28" t="n">
        <f aca="false">V5037*$M5037</f>
        <v>0</v>
      </c>
      <c r="X5037" s="28"/>
      <c r="Y5037" s="28" t="n">
        <f aca="false">X5037*$M5037</f>
        <v>0</v>
      </c>
      <c r="Z5037" s="28"/>
      <c r="AA5037" s="28" t="n">
        <f aca="false">Z5037*$M5037</f>
        <v>0</v>
      </c>
      <c r="AB5037" s="28"/>
      <c r="AC5037" s="28" t="n">
        <f aca="false">AB5037*$M5037</f>
        <v>0</v>
      </c>
      <c r="AD5037" s="28"/>
      <c r="AE5037" s="28" t="n">
        <f aca="false">AD5037*$M5037</f>
        <v>0</v>
      </c>
      <c r="AF5037" s="28"/>
      <c r="AG5037" s="28" t="n">
        <f aca="false">AF5037*$M5037</f>
        <v>0</v>
      </c>
      <c r="AH5037" s="28" t="n">
        <f aca="false">156436/100</f>
        <v>1564.36</v>
      </c>
      <c r="AI5037" s="28" t="n">
        <v>109505</v>
      </c>
      <c r="AJ5037" s="28"/>
      <c r="AK5037" s="28" t="n">
        <f aca="false">AJ5037*$M5037</f>
        <v>0</v>
      </c>
      <c r="AL5037" s="28"/>
      <c r="AM5037" s="28" t="n">
        <f aca="false">AL5037*$M5037</f>
        <v>0</v>
      </c>
      <c r="AN5037" s="28"/>
      <c r="AO5037" s="28" t="n">
        <f aca="false">AN5037*$M5037</f>
        <v>0</v>
      </c>
      <c r="AP5037" s="28"/>
      <c r="AQ5037" s="28" t="n">
        <f aca="false">AP5037*$M5037</f>
        <v>0</v>
      </c>
      <c r="AR5037" s="28"/>
      <c r="AS5037" s="28" t="n">
        <f aca="false">AR5037*$M5037</f>
        <v>0</v>
      </c>
      <c r="AT5037" s="28"/>
      <c r="AU5037" s="28" t="n">
        <f aca="false">AT5037*$M5037</f>
        <v>0</v>
      </c>
      <c r="AV5037" s="28"/>
      <c r="AW5037" s="28" t="n">
        <f aca="false">AV5037*$M5037</f>
        <v>0</v>
      </c>
      <c r="AX5037" s="28"/>
      <c r="AY5037" s="28" t="n">
        <f aca="false">AX5037*$M5037</f>
        <v>0</v>
      </c>
      <c r="AZ5037" s="30" t="n">
        <f aca="false">156436/100</f>
        <v>1564.36</v>
      </c>
      <c r="BA5037" s="11" t="n">
        <v>109505</v>
      </c>
      <c r="BB5037" s="31" t="n">
        <f aca="false">SUM(Q5037,S5037,U5037,W5037,Y5037,AA5037,AC5037,AE5037,AG5037,AI5037,AK5037,AM5037,AO5037,AQ5037,AS5037,AU5037,AW5037,AY5037)</f>
        <v>109505</v>
      </c>
      <c r="BC5037" s="28" t="n">
        <f aca="false">BA5037-BB5037</f>
        <v>0</v>
      </c>
      <c r="BD5037" s="32" t="n">
        <f aca="false">SUM(P5037,R5037,T5037,V5037,X5037,Z5037,AB5037,AD5037,AF5037,AH5037,AJ5037,AL5037,AN5037,AP5037,AR5037,AT5037,AV5037,AX5037)</f>
        <v>1564.36</v>
      </c>
      <c r="BE5037" s="33" t="n">
        <f aca="false">AZ5037-BD5037</f>
        <v>0</v>
      </c>
      <c r="BF5037" s="34" t="n">
        <f aca="false">BD5037*M5037</f>
        <v>109505.2</v>
      </c>
      <c r="BG5037" s="35" t="n">
        <f aca="false">BA5037-BF5037</f>
        <v>-0.19999999999709</v>
      </c>
      <c r="BH5037" s="19" t="str">
        <f aca="false">IF(BG5037=0,"",IF(BG5037&lt;&gt;BA5037,"erreur de calcul",IF(BD5037&lt;&gt;0,"pas de prix",IF(M5037&lt;&gt; 0,"pas de quantité","pas de prix, ni de quantité"))))</f>
        <v>erreur de calcul</v>
      </c>
      <c r="BI5037" s="19"/>
    </row>
    <row r="5038" customFormat="false" ht="15" hidden="false" customHeight="false" outlineLevel="0" collapsed="false">
      <c r="A5038" s="0" t="n">
        <v>45</v>
      </c>
      <c r="B5038" s="8" t="s">
        <v>24</v>
      </c>
      <c r="C5038" s="9" t="s">
        <v>25</v>
      </c>
      <c r="D5038" s="9" t="s">
        <v>26</v>
      </c>
      <c r="E5038" s="10" t="n">
        <v>1789</v>
      </c>
      <c r="F5038" s="9" t="s">
        <v>27</v>
      </c>
      <c r="G5038" s="9" t="s">
        <v>27</v>
      </c>
      <c r="H5038" s="11" t="n">
        <v>21</v>
      </c>
      <c r="I5038" s="11" t="s">
        <v>198</v>
      </c>
      <c r="J5038" s="14"/>
      <c r="K5038" s="14"/>
      <c r="L5038" s="16"/>
      <c r="M5038" s="27" t="n">
        <f aca="false">J5038+(K5038/20)+(L5038/240)</f>
        <v>0</v>
      </c>
      <c r="N5038" s="17"/>
      <c r="O5038" s="11" t="s">
        <v>98</v>
      </c>
      <c r="P5038" s="28"/>
      <c r="Q5038" s="28" t="n">
        <v>387</v>
      </c>
      <c r="R5038" s="28"/>
      <c r="S5038" s="28" t="n">
        <f aca="false">R5038*$M5038</f>
        <v>0</v>
      </c>
      <c r="T5038" s="28"/>
      <c r="U5038" s="28" t="n">
        <v>2349</v>
      </c>
      <c r="V5038" s="28"/>
      <c r="W5038" s="28" t="n">
        <v>978</v>
      </c>
      <c r="X5038" s="28"/>
      <c r="Y5038" s="28" t="n">
        <f aca="false">X5038*$M5038</f>
        <v>0</v>
      </c>
      <c r="Z5038" s="28"/>
      <c r="AA5038" s="28" t="n">
        <f aca="false">Z5038*$M5038</f>
        <v>0</v>
      </c>
      <c r="AB5038" s="28"/>
      <c r="AC5038" s="28" t="n">
        <v>328</v>
      </c>
      <c r="AD5038" s="28"/>
      <c r="AE5038" s="28" t="n">
        <f aca="false">AD5038*$M5038</f>
        <v>0</v>
      </c>
      <c r="AF5038" s="28"/>
      <c r="AG5038" s="28" t="n">
        <f aca="false">AF5038*$M5038</f>
        <v>0</v>
      </c>
      <c r="AH5038" s="28"/>
      <c r="AI5038" s="28" t="n">
        <v>878</v>
      </c>
      <c r="AJ5038" s="28"/>
      <c r="AK5038" s="28" t="n">
        <v>1546</v>
      </c>
      <c r="AL5038" s="28"/>
      <c r="AM5038" s="28" t="n">
        <f aca="false">AL5038*$M5038</f>
        <v>0</v>
      </c>
      <c r="AN5038" s="28"/>
      <c r="AO5038" s="28" t="n">
        <f aca="false">AN5038*$M5038</f>
        <v>0</v>
      </c>
      <c r="AP5038" s="28"/>
      <c r="AQ5038" s="28" t="n">
        <f aca="false">AP5038*$M5038</f>
        <v>0</v>
      </c>
      <c r="AR5038" s="28"/>
      <c r="AS5038" s="28" t="n">
        <f aca="false">AR5038*$M5038</f>
        <v>0</v>
      </c>
      <c r="AT5038" s="28"/>
      <c r="AU5038" s="28" t="n">
        <f aca="false">AT5038*$M5038</f>
        <v>0</v>
      </c>
      <c r="AV5038" s="28"/>
      <c r="AW5038" s="28" t="n">
        <f aca="false">AV5038*$M5038</f>
        <v>0</v>
      </c>
      <c r="AX5038" s="28"/>
      <c r="AY5038" s="28" t="n">
        <f aca="false">AX5038*$M5038</f>
        <v>0</v>
      </c>
      <c r="AZ5038" s="30"/>
      <c r="BA5038" s="11" t="n">
        <v>6466</v>
      </c>
      <c r="BB5038" s="31" t="n">
        <f aca="false">SUM(Q5038,S5038,U5038,W5038,Y5038,AA5038,AC5038,AE5038,AG5038,AI5038,AK5038,AM5038,AO5038,AQ5038,AS5038,AU5038,AW5038,AY5038)</f>
        <v>6466</v>
      </c>
      <c r="BC5038" s="28" t="n">
        <f aca="false">BA5038-BB5038</f>
        <v>0</v>
      </c>
      <c r="BD5038" s="32" t="n">
        <f aca="false">SUM(P5038,R5038,T5038,V5038,X5038,Z5038,AB5038,AD5038,AF5038,AH5038,AJ5038,AL5038,AN5038,AP5038,AR5038,AT5038,AV5038,AX5038)</f>
        <v>0</v>
      </c>
      <c r="BE5038" s="33" t="n">
        <f aca="false">AZ5038-BD5038</f>
        <v>0</v>
      </c>
      <c r="BF5038" s="34" t="n">
        <f aca="false">BD5038*M5038</f>
        <v>0</v>
      </c>
      <c r="BG5038" s="35" t="n">
        <f aca="false">BA5038-BF5038</f>
        <v>6466</v>
      </c>
      <c r="BH5038" s="19" t="str">
        <f aca="false">IF(BG5038=0,"",IF(BG5038&lt;&gt;BA5038,"erreur de calcul",IF(BD5038&lt;&gt;0,"pas de prix",IF(M5038&lt;&gt; 0,"pas de quantité","pas de prix, ni de quantité"))))</f>
        <v>pas de prix, ni de quantité</v>
      </c>
      <c r="BI5038" s="19"/>
    </row>
    <row r="5039" customFormat="false" ht="15" hidden="false" customHeight="false" outlineLevel="0" collapsed="false">
      <c r="A5039" s="0" t="n">
        <v>46</v>
      </c>
      <c r="B5039" s="8" t="s">
        <v>24</v>
      </c>
      <c r="C5039" s="9" t="s">
        <v>25</v>
      </c>
      <c r="D5039" s="9" t="s">
        <v>26</v>
      </c>
      <c r="E5039" s="10" t="n">
        <v>1789</v>
      </c>
      <c r="F5039" s="9" t="s">
        <v>27</v>
      </c>
      <c r="G5039" s="9" t="s">
        <v>27</v>
      </c>
      <c r="H5039" s="11" t="n">
        <v>21</v>
      </c>
      <c r="I5039" s="11" t="s">
        <v>199</v>
      </c>
      <c r="J5039" s="14" t="n">
        <v>27</v>
      </c>
      <c r="K5039" s="14"/>
      <c r="L5039" s="16"/>
      <c r="M5039" s="27" t="n">
        <f aca="false">J5039+(K5039/20)+(L5039/240)</f>
        <v>27</v>
      </c>
      <c r="N5039" s="17" t="s">
        <v>64</v>
      </c>
      <c r="O5039" s="11"/>
      <c r="P5039" s="28" t="n">
        <f aca="false">108627/100</f>
        <v>1086.27</v>
      </c>
      <c r="Q5039" s="28" t="n">
        <v>29329</v>
      </c>
      <c r="R5039" s="28"/>
      <c r="S5039" s="28" t="n">
        <f aca="false">R5039*$M5039</f>
        <v>0</v>
      </c>
      <c r="T5039" s="28"/>
      <c r="U5039" s="28" t="n">
        <f aca="false">T5039*$M5039</f>
        <v>0</v>
      </c>
      <c r="V5039" s="28"/>
      <c r="W5039" s="28" t="n">
        <f aca="false">V5039*$M5039</f>
        <v>0</v>
      </c>
      <c r="X5039" s="28"/>
      <c r="Y5039" s="28" t="n">
        <f aca="false">X5039*$M5039</f>
        <v>0</v>
      </c>
      <c r="Z5039" s="28" t="n">
        <f aca="false">535243/100</f>
        <v>5352.43</v>
      </c>
      <c r="AA5039" s="28" t="n">
        <v>144516</v>
      </c>
      <c r="AB5039" s="28"/>
      <c r="AC5039" s="28" t="n">
        <f aca="false">AB5039*$M5039</f>
        <v>0</v>
      </c>
      <c r="AD5039" s="28" t="n">
        <f aca="false">75759/100</f>
        <v>757.59</v>
      </c>
      <c r="AE5039" s="28" t="n">
        <v>20455</v>
      </c>
      <c r="AF5039" s="28"/>
      <c r="AG5039" s="28" t="n">
        <f aca="false">AF5039*$M5039</f>
        <v>0</v>
      </c>
      <c r="AH5039" s="28" t="n">
        <f aca="false">77800/100</f>
        <v>778</v>
      </c>
      <c r="AI5039" s="36" t="n">
        <v>21016</v>
      </c>
      <c r="AJ5039" s="28" t="n">
        <f aca="false">28078/100</f>
        <v>280.78</v>
      </c>
      <c r="AK5039" s="28" t="n">
        <v>7581</v>
      </c>
      <c r="AL5039" s="28" t="n">
        <f aca="false">15417/100</f>
        <v>154.17</v>
      </c>
      <c r="AM5039" s="28" t="n">
        <v>4162</v>
      </c>
      <c r="AN5039" s="28"/>
      <c r="AO5039" s="28" t="n">
        <f aca="false">AN5039*$M5039</f>
        <v>0</v>
      </c>
      <c r="AP5039" s="28"/>
      <c r="AQ5039" s="28" t="n">
        <f aca="false">AP5039*$M5039</f>
        <v>0</v>
      </c>
      <c r="AR5039" s="28"/>
      <c r="AS5039" s="28" t="n">
        <f aca="false">AR5039*$M5039</f>
        <v>0</v>
      </c>
      <c r="AT5039" s="28"/>
      <c r="AU5039" s="28" t="n">
        <f aca="false">AT5039*$M5039</f>
        <v>0</v>
      </c>
      <c r="AV5039" s="28"/>
      <c r="AW5039" s="28" t="n">
        <f aca="false">AV5039*$M5039</f>
        <v>0</v>
      </c>
      <c r="AX5039" s="28"/>
      <c r="AY5039" s="28" t="n">
        <f aca="false">AX5039*$M5039</f>
        <v>0</v>
      </c>
      <c r="AZ5039" s="30" t="n">
        <f aca="false">840924/100</f>
        <v>8409.24</v>
      </c>
      <c r="BA5039" s="11" t="n">
        <v>227059</v>
      </c>
      <c r="BB5039" s="31" t="n">
        <f aca="false">SUM(Q5039,S5039,U5039,W5039,Y5039,AA5039,AC5039,AE5039,AG5039,AI5039,AK5039,AM5039,AO5039,AQ5039,AS5039,AU5039,AW5039,AY5039)</f>
        <v>227059</v>
      </c>
      <c r="BC5039" s="28" t="n">
        <f aca="false">BA5039-BB5039</f>
        <v>0</v>
      </c>
      <c r="BD5039" s="32" t="n">
        <f aca="false">SUM(P5039,R5039,T5039,V5039,X5039,Z5039,AB5039,AD5039,AF5039,AH5039,AJ5039,AL5039,AN5039,AP5039,AR5039,AT5039,AV5039,AX5039)</f>
        <v>8409.24</v>
      </c>
      <c r="BE5039" s="33" t="n">
        <f aca="false">AZ5039-BD5039</f>
        <v>0</v>
      </c>
      <c r="BF5039" s="34" t="n">
        <f aca="false">BD5039*M5039</f>
        <v>227049.48</v>
      </c>
      <c r="BG5039" s="35" t="n">
        <f aca="false">BA5039-BF5039</f>
        <v>9.52000000001863</v>
      </c>
      <c r="BH5039" s="19" t="str">
        <f aca="false">IF(BG5039=0,"",IF(BG5039&lt;&gt;BA5039,"erreur de calcul",IF(BD5039&lt;&gt;0,"pas de prix",IF(M5039&lt;&gt; 0,"pas de quantité","pas de prix, ni de quantité"))))</f>
        <v>erreur de calcul</v>
      </c>
      <c r="BI5039" s="19"/>
    </row>
    <row r="5040" customFormat="false" ht="15" hidden="false" customHeight="false" outlineLevel="0" collapsed="false">
      <c r="A5040" s="0" t="n">
        <v>47</v>
      </c>
      <c r="B5040" s="8" t="s">
        <v>24</v>
      </c>
      <c r="C5040" s="9" t="s">
        <v>25</v>
      </c>
      <c r="D5040" s="9" t="s">
        <v>26</v>
      </c>
      <c r="E5040" s="10" t="n">
        <v>1789</v>
      </c>
      <c r="F5040" s="9" t="s">
        <v>27</v>
      </c>
      <c r="G5040" s="9" t="s">
        <v>27</v>
      </c>
      <c r="H5040" s="11" t="n">
        <v>21</v>
      </c>
      <c r="I5040" s="11" t="s">
        <v>200</v>
      </c>
      <c r="J5040" s="14" t="n">
        <v>25</v>
      </c>
      <c r="K5040" s="14"/>
      <c r="L5040" s="16"/>
      <c r="M5040" s="27" t="n">
        <f aca="false">J5040+(K5040/20)+(L5040/240)</f>
        <v>25</v>
      </c>
      <c r="N5040" s="17" t="s">
        <v>64</v>
      </c>
      <c r="O5040" s="11"/>
      <c r="P5040" s="28"/>
      <c r="Q5040" s="28" t="n">
        <f aca="false">P5040*$M5040</f>
        <v>0</v>
      </c>
      <c r="R5040" s="28"/>
      <c r="S5040" s="28" t="n">
        <f aca="false">R5040*$M5040</f>
        <v>0</v>
      </c>
      <c r="T5040" s="28" t="n">
        <f aca="false">56427/100</f>
        <v>564.27</v>
      </c>
      <c r="U5040" s="28" t="n">
        <v>14107</v>
      </c>
      <c r="V5040" s="28"/>
      <c r="W5040" s="28" t="n">
        <f aca="false">V5040*$M5040</f>
        <v>0</v>
      </c>
      <c r="X5040" s="28" t="n">
        <f aca="false">98758/100</f>
        <v>987.58</v>
      </c>
      <c r="Y5040" s="28" t="n">
        <v>24689</v>
      </c>
      <c r="Z5040" s="28"/>
      <c r="AA5040" s="28" t="n">
        <f aca="false">Z5040*$M5040</f>
        <v>0</v>
      </c>
      <c r="AB5040" s="28"/>
      <c r="AC5040" s="28" t="n">
        <f aca="false">AB5040*$M5040</f>
        <v>0</v>
      </c>
      <c r="AD5040" s="28"/>
      <c r="AE5040" s="28" t="n">
        <f aca="false">AD5040*$M5040</f>
        <v>0</v>
      </c>
      <c r="AF5040" s="28"/>
      <c r="AG5040" s="28" t="n">
        <f aca="false">AF5040*$M5040</f>
        <v>0</v>
      </c>
      <c r="AH5040" s="28"/>
      <c r="AI5040" s="28" t="n">
        <f aca="false">AH5040*$M5040</f>
        <v>0</v>
      </c>
      <c r="AJ5040" s="28"/>
      <c r="AK5040" s="28" t="n">
        <f aca="false">AJ5040*$M5040</f>
        <v>0</v>
      </c>
      <c r="AL5040" s="28"/>
      <c r="AM5040" s="28" t="n">
        <f aca="false">AL5040*$M5040</f>
        <v>0</v>
      </c>
      <c r="AN5040" s="28"/>
      <c r="AO5040" s="28" t="n">
        <f aca="false">AN5040*$M5040</f>
        <v>0</v>
      </c>
      <c r="AP5040" s="28"/>
      <c r="AQ5040" s="28" t="n">
        <f aca="false">AP5040*$M5040</f>
        <v>0</v>
      </c>
      <c r="AR5040" s="28"/>
      <c r="AS5040" s="28" t="n">
        <f aca="false">AR5040*$M5040</f>
        <v>0</v>
      </c>
      <c r="AT5040" s="28"/>
      <c r="AU5040" s="28" t="n">
        <f aca="false">AT5040*$M5040</f>
        <v>0</v>
      </c>
      <c r="AV5040" s="28"/>
      <c r="AW5040" s="28" t="n">
        <f aca="false">AV5040*$M5040</f>
        <v>0</v>
      </c>
      <c r="AX5040" s="28"/>
      <c r="AY5040" s="28" t="n">
        <f aca="false">AX5040*$M5040</f>
        <v>0</v>
      </c>
      <c r="AZ5040" s="30" t="n">
        <f aca="false">155115/100</f>
        <v>1551.15</v>
      </c>
      <c r="BA5040" s="11" t="n">
        <v>38796</v>
      </c>
      <c r="BB5040" s="31" t="n">
        <f aca="false">SUM(Q5040,S5040,U5040,W5040,Y5040,AA5040,AC5040,AE5040,AG5040,AI5040,AK5040,AM5040,AO5040,AQ5040,AS5040,AU5040,AW5040,AY5040)</f>
        <v>38796</v>
      </c>
      <c r="BC5040" s="28" t="n">
        <f aca="false">BA5040-BB5040</f>
        <v>0</v>
      </c>
      <c r="BD5040" s="32" t="n">
        <f aca="false">SUM(P5040,R5040,T5040,V5040,X5040,Z5040,AB5040,AD5040,AF5040,AH5040,AJ5040,AL5040,AN5040,AP5040,AR5040,AT5040,AV5040,AX5040)</f>
        <v>1551.85</v>
      </c>
      <c r="BE5040" s="33" t="n">
        <f aca="false">AZ5040-BD5040</f>
        <v>-0.699999999999818</v>
      </c>
      <c r="BF5040" s="34" t="n">
        <f aca="false">BD5040*M5040</f>
        <v>38796.25</v>
      </c>
      <c r="BG5040" s="35" t="n">
        <f aca="false">BA5040-BF5040</f>
        <v>-0.25</v>
      </c>
      <c r="BH5040" s="19" t="str">
        <f aca="false">IF(BG5040=0,"",IF(BG5040&lt;&gt;BA5040,"erreur de calcul",IF(BD5040&lt;&gt;0,"pas de prix",IF(M5040&lt;&gt; 0,"pas de quantité","pas de prix, ni de quantité"))))</f>
        <v>erreur de calcul</v>
      </c>
      <c r="BI5040" s="19"/>
    </row>
    <row r="5041" customFormat="false" ht="15" hidden="false" customHeight="false" outlineLevel="0" collapsed="false">
      <c r="A5041" s="0" t="n">
        <v>48</v>
      </c>
      <c r="B5041" s="8" t="s">
        <v>24</v>
      </c>
      <c r="C5041" s="9" t="s">
        <v>25</v>
      </c>
      <c r="D5041" s="9" t="s">
        <v>26</v>
      </c>
      <c r="E5041" s="10" t="n">
        <v>1789</v>
      </c>
      <c r="F5041" s="9" t="s">
        <v>27</v>
      </c>
      <c r="G5041" s="9" t="s">
        <v>27</v>
      </c>
      <c r="H5041" s="11" t="n">
        <v>21</v>
      </c>
      <c r="I5041" s="11" t="s">
        <v>201</v>
      </c>
      <c r="J5041" s="14"/>
      <c r="K5041" s="14" t="n">
        <v>15</v>
      </c>
      <c r="L5041" s="16"/>
      <c r="M5041" s="27" t="n">
        <f aca="false">J5041+(K5041/20)+(L5041/240)</f>
        <v>0.75</v>
      </c>
      <c r="N5041" s="17" t="s">
        <v>66</v>
      </c>
      <c r="O5041" s="11"/>
      <c r="P5041" s="28"/>
      <c r="Q5041" s="28" t="n">
        <f aca="false">P5041*$M5041</f>
        <v>0</v>
      </c>
      <c r="R5041" s="28"/>
      <c r="S5041" s="28" t="n">
        <f aca="false">R5041*$M5041</f>
        <v>0</v>
      </c>
      <c r="T5041" s="28"/>
      <c r="U5041" s="28" t="n">
        <f aca="false">T5041*$M5041</f>
        <v>0</v>
      </c>
      <c r="V5041" s="28"/>
      <c r="W5041" s="28" t="n">
        <f aca="false">V5041*$M5041</f>
        <v>0</v>
      </c>
      <c r="X5041" s="28"/>
      <c r="Y5041" s="28" t="n">
        <f aca="false">X5041*$M5041</f>
        <v>0</v>
      </c>
      <c r="Z5041" s="28"/>
      <c r="AA5041" s="28" t="n">
        <f aca="false">Z5041*$M5041</f>
        <v>0</v>
      </c>
      <c r="AB5041" s="28"/>
      <c r="AC5041" s="28" t="n">
        <f aca="false">AB5041*$M5041</f>
        <v>0</v>
      </c>
      <c r="AD5041" s="28"/>
      <c r="AE5041" s="28" t="n">
        <f aca="false">AD5041*$M5041</f>
        <v>0</v>
      </c>
      <c r="AF5041" s="28"/>
      <c r="AG5041" s="28" t="n">
        <f aca="false">AF5041*$M5041</f>
        <v>0</v>
      </c>
      <c r="AH5041" s="28"/>
      <c r="AI5041" s="28" t="n">
        <f aca="false">AH5041*$M5041</f>
        <v>0</v>
      </c>
      <c r="AJ5041" s="28" t="n">
        <v>6171</v>
      </c>
      <c r="AK5041" s="28" t="n">
        <v>4628</v>
      </c>
      <c r="AL5041" s="28"/>
      <c r="AM5041" s="28" t="n">
        <f aca="false">AL5041*$M5041</f>
        <v>0</v>
      </c>
      <c r="AN5041" s="28"/>
      <c r="AO5041" s="28" t="n">
        <f aca="false">AN5041*$M5041</f>
        <v>0</v>
      </c>
      <c r="AP5041" s="28"/>
      <c r="AQ5041" s="28" t="n">
        <f aca="false">AP5041*$M5041</f>
        <v>0</v>
      </c>
      <c r="AR5041" s="28"/>
      <c r="AS5041" s="28" t="n">
        <f aca="false">AR5041*$M5041</f>
        <v>0</v>
      </c>
      <c r="AT5041" s="28"/>
      <c r="AU5041" s="28" t="n">
        <f aca="false">AT5041*$M5041</f>
        <v>0</v>
      </c>
      <c r="AV5041" s="28"/>
      <c r="AW5041" s="28" t="n">
        <f aca="false">AV5041*$M5041</f>
        <v>0</v>
      </c>
      <c r="AX5041" s="28"/>
      <c r="AY5041" s="28" t="n">
        <f aca="false">AX5041*$M5041</f>
        <v>0</v>
      </c>
      <c r="AZ5041" s="30" t="n">
        <v>6171</v>
      </c>
      <c r="BA5041" s="11" t="n">
        <v>4628</v>
      </c>
      <c r="BB5041" s="31" t="n">
        <f aca="false">SUM(Q5041,S5041,U5041,W5041,Y5041,AA5041,AC5041,AE5041,AG5041,AI5041,AK5041,AM5041,AO5041,AQ5041,AS5041,AU5041,AW5041,AY5041)</f>
        <v>4628</v>
      </c>
      <c r="BC5041" s="28" t="n">
        <f aca="false">BA5041-BB5041</f>
        <v>0</v>
      </c>
      <c r="BD5041" s="32" t="n">
        <f aca="false">SUM(P5041,R5041,T5041,V5041,X5041,Z5041,AB5041,AD5041,AF5041,AH5041,AJ5041,AL5041,AN5041,AP5041,AR5041,AT5041,AV5041,AX5041)</f>
        <v>6171</v>
      </c>
      <c r="BE5041" s="33" t="n">
        <f aca="false">AZ5041-BD5041</f>
        <v>0</v>
      </c>
      <c r="BF5041" s="34" t="n">
        <f aca="false">BD5041*M5041</f>
        <v>4628.25</v>
      </c>
      <c r="BG5041" s="35" t="n">
        <f aca="false">BA5041-BF5041</f>
        <v>-0.25</v>
      </c>
      <c r="BH5041" s="19" t="str">
        <f aca="false">IF(BG5041=0,"",IF(BG5041&lt;&gt;BA5041,"erreur de calcul",IF(BD5041&lt;&gt;0,"pas de prix",IF(M5041&lt;&gt; 0,"pas de quantité","pas de prix, ni de quantité"))))</f>
        <v>erreur de calcul</v>
      </c>
      <c r="BI5041" s="19"/>
    </row>
    <row r="5042" customFormat="false" ht="15" hidden="false" customHeight="false" outlineLevel="0" collapsed="false">
      <c r="A5042" s="0" t="n">
        <v>1</v>
      </c>
      <c r="B5042" s="8" t="s">
        <v>24</v>
      </c>
      <c r="C5042" s="9" t="s">
        <v>25</v>
      </c>
      <c r="D5042" s="9" t="s">
        <v>26</v>
      </c>
      <c r="E5042" s="10" t="n">
        <v>1789</v>
      </c>
      <c r="F5042" s="9" t="s">
        <v>27</v>
      </c>
      <c r="G5042" s="9" t="s">
        <v>27</v>
      </c>
      <c r="H5042" s="11" t="n">
        <v>22</v>
      </c>
      <c r="I5042" s="11" t="s">
        <v>202</v>
      </c>
      <c r="J5042" s="14" t="n">
        <v>10</v>
      </c>
      <c r="K5042" s="14"/>
      <c r="L5042" s="16"/>
      <c r="M5042" s="27" t="n">
        <f aca="false">J5042+(K5042/20)+(L5042/240)</f>
        <v>10</v>
      </c>
      <c r="N5042" s="17" t="s">
        <v>64</v>
      </c>
      <c r="O5042" s="11"/>
      <c r="P5042" s="28" t="n">
        <f aca="false">36147/100</f>
        <v>361.47</v>
      </c>
      <c r="Q5042" s="28" t="n">
        <v>3615</v>
      </c>
      <c r="R5042" s="28"/>
      <c r="S5042" s="28" t="n">
        <f aca="false">R5042*$M5042</f>
        <v>0</v>
      </c>
      <c r="T5042" s="28"/>
      <c r="U5042" s="28" t="n">
        <f aca="false">T5042*$M5042</f>
        <v>0</v>
      </c>
      <c r="V5042" s="28"/>
      <c r="W5042" s="28" t="n">
        <f aca="false">V5042*$M5042</f>
        <v>0</v>
      </c>
      <c r="X5042" s="28"/>
      <c r="Y5042" s="28" t="n">
        <f aca="false">X5042*$M5042</f>
        <v>0</v>
      </c>
      <c r="Z5042" s="28"/>
      <c r="AA5042" s="28" t="n">
        <f aca="false">Z5042*$M5042</f>
        <v>0</v>
      </c>
      <c r="AB5042" s="28" t="n">
        <f aca="false">14437/100</f>
        <v>144.37</v>
      </c>
      <c r="AC5042" s="28" t="n">
        <v>1444</v>
      </c>
      <c r="AD5042" s="28"/>
      <c r="AE5042" s="28" t="n">
        <f aca="false">AD5042*$M5042</f>
        <v>0</v>
      </c>
      <c r="AF5042" s="28"/>
      <c r="AG5042" s="28" t="n">
        <f aca="false">AF5042*$M5042</f>
        <v>0</v>
      </c>
      <c r="AH5042" s="28"/>
      <c r="AI5042" s="28" t="n">
        <f aca="false">AH5042*$M5042</f>
        <v>0</v>
      </c>
      <c r="AJ5042" s="28" t="n">
        <f aca="false">36351/100</f>
        <v>363.51</v>
      </c>
      <c r="AK5042" s="28" t="n">
        <v>3635</v>
      </c>
      <c r="AL5042" s="28"/>
      <c r="AM5042" s="28" t="n">
        <f aca="false">AL5042*$M5042</f>
        <v>0</v>
      </c>
      <c r="AN5042" s="28"/>
      <c r="AO5042" s="28" t="n">
        <f aca="false">AN5042*$M5042</f>
        <v>0</v>
      </c>
      <c r="AP5042" s="28"/>
      <c r="AQ5042" s="28" t="n">
        <f aca="false">AP5042*$M5042</f>
        <v>0</v>
      </c>
      <c r="AR5042" s="28" t="n">
        <f aca="false">25120/100</f>
        <v>251.2</v>
      </c>
      <c r="AS5042" s="28" t="n">
        <v>2512</v>
      </c>
      <c r="AT5042" s="28"/>
      <c r="AU5042" s="28" t="n">
        <f aca="false">AT5042*$M5042</f>
        <v>0</v>
      </c>
      <c r="AV5042" s="28"/>
      <c r="AW5042" s="28" t="n">
        <f aca="false">AV5042*$M5042</f>
        <v>0</v>
      </c>
      <c r="AX5042" s="28"/>
      <c r="AY5042" s="28" t="n">
        <f aca="false">AX5042*$M5042</f>
        <v>0</v>
      </c>
      <c r="AZ5042" s="30" t="n">
        <f aca="false">112055/100</f>
        <v>1120.55</v>
      </c>
      <c r="BA5042" s="11" t="n">
        <v>11206</v>
      </c>
      <c r="BB5042" s="31" t="n">
        <f aca="false">SUM(Q5042,S5042,U5042,W5042,Y5042,AA5042,AC5042,AE5042,AG5042,AI5042,AK5042,AM5042,AO5042,AQ5042,AS5042,AU5042,AW5042,AY5042)</f>
        <v>11206</v>
      </c>
      <c r="BC5042" s="28" t="n">
        <f aca="false">BA5042-BB5042</f>
        <v>0</v>
      </c>
      <c r="BD5042" s="32" t="n">
        <f aca="false">SUM(P5042,R5042,T5042,V5042,X5042,Z5042,AB5042,AD5042,AF5042,AH5042,AJ5042,AL5042,AN5042,AP5042,AR5042,AT5042,AV5042,AX5042)</f>
        <v>1120.55</v>
      </c>
      <c r="BE5042" s="33" t="n">
        <f aca="false">AZ5042-BD5042</f>
        <v>0</v>
      </c>
      <c r="BF5042" s="34" t="n">
        <f aca="false">BD5042*M5042</f>
        <v>11205.5</v>
      </c>
      <c r="BG5042" s="35" t="n">
        <f aca="false">BA5042-BF5042</f>
        <v>0.499999999998181</v>
      </c>
      <c r="BH5042" s="19" t="str">
        <f aca="false">IF(BG5042=0,"",IF(BG5042&lt;&gt;BA5042,"erreur de calcul",IF(BD5042&lt;&gt;0,"pas de prix",IF(M5042&lt;&gt; 0,"pas de quantité","pas de prix, ni de quantité"))))</f>
        <v>erreur de calcul</v>
      </c>
      <c r="BI5042" s="19"/>
    </row>
    <row r="5043" customFormat="false" ht="15" hidden="false" customHeight="false" outlineLevel="0" collapsed="false">
      <c r="A5043" s="0" t="n">
        <v>2</v>
      </c>
      <c r="B5043" s="8" t="s">
        <v>24</v>
      </c>
      <c r="C5043" s="9" t="s">
        <v>25</v>
      </c>
      <c r="D5043" s="9" t="s">
        <v>26</v>
      </c>
      <c r="E5043" s="10" t="n">
        <v>1789</v>
      </c>
      <c r="F5043" s="9" t="s">
        <v>27</v>
      </c>
      <c r="G5043" s="9" t="s">
        <v>27</v>
      </c>
      <c r="H5043" s="11" t="n">
        <v>22</v>
      </c>
      <c r="I5043" s="11" t="s">
        <v>203</v>
      </c>
      <c r="J5043" s="14" t="n">
        <v>20</v>
      </c>
      <c r="K5043" s="14"/>
      <c r="L5043" s="16"/>
      <c r="M5043" s="27" t="n">
        <f aca="false">J5043+(K5043/20)+(L5043/240)</f>
        <v>20</v>
      </c>
      <c r="N5043" s="17" t="s">
        <v>64</v>
      </c>
      <c r="O5043" s="11"/>
      <c r="P5043" s="28"/>
      <c r="Q5043" s="28" t="n">
        <f aca="false">P5043*$M5043</f>
        <v>0</v>
      </c>
      <c r="R5043" s="28"/>
      <c r="S5043" s="28" t="n">
        <f aca="false">R5043*$M5043</f>
        <v>0</v>
      </c>
      <c r="T5043" s="28"/>
      <c r="U5043" s="28" t="n">
        <f aca="false">T5043*$M5043</f>
        <v>0</v>
      </c>
      <c r="V5043" s="28"/>
      <c r="W5043" s="28" t="n">
        <f aca="false">V5043*$M5043</f>
        <v>0</v>
      </c>
      <c r="X5043" s="28"/>
      <c r="Y5043" s="28" t="n">
        <f aca="false">X5043*$M5043</f>
        <v>0</v>
      </c>
      <c r="Z5043" s="28"/>
      <c r="AA5043" s="28" t="n">
        <f aca="false">Z5043*$M5043</f>
        <v>0</v>
      </c>
      <c r="AB5043" s="28"/>
      <c r="AC5043" s="28" t="n">
        <f aca="false">AB5043*$M5043</f>
        <v>0</v>
      </c>
      <c r="AD5043" s="28"/>
      <c r="AE5043" s="28" t="n">
        <f aca="false">AD5043*$M5043</f>
        <v>0</v>
      </c>
      <c r="AF5043" s="28"/>
      <c r="AG5043" s="28" t="n">
        <f aca="false">AF5043*$M5043</f>
        <v>0</v>
      </c>
      <c r="AH5043" s="28"/>
      <c r="AI5043" s="28" t="n">
        <f aca="false">AH5043*$M5043</f>
        <v>0</v>
      </c>
      <c r="AJ5043" s="28" t="n">
        <f aca="false">109254/100</f>
        <v>1092.54</v>
      </c>
      <c r="AK5043" s="28" t="n">
        <v>21851</v>
      </c>
      <c r="AL5043" s="28"/>
      <c r="AM5043" s="28" t="n">
        <f aca="false">AL5043*$M5043</f>
        <v>0</v>
      </c>
      <c r="AN5043" s="28"/>
      <c r="AO5043" s="28" t="n">
        <f aca="false">AN5043*$M5043</f>
        <v>0</v>
      </c>
      <c r="AP5043" s="28"/>
      <c r="AQ5043" s="28" t="n">
        <f aca="false">AP5043*$M5043</f>
        <v>0</v>
      </c>
      <c r="AR5043" s="28"/>
      <c r="AS5043" s="28" t="n">
        <f aca="false">AR5043*$M5043</f>
        <v>0</v>
      </c>
      <c r="AT5043" s="28"/>
      <c r="AU5043" s="28" t="n">
        <f aca="false">AT5043*$M5043</f>
        <v>0</v>
      </c>
      <c r="AV5043" s="28"/>
      <c r="AW5043" s="28" t="n">
        <f aca="false">AV5043*$M5043</f>
        <v>0</v>
      </c>
      <c r="AX5043" s="28"/>
      <c r="AY5043" s="28" t="n">
        <f aca="false">AX5043*$M5043</f>
        <v>0</v>
      </c>
      <c r="AZ5043" s="30" t="n">
        <f aca="false">109254/100</f>
        <v>1092.54</v>
      </c>
      <c r="BA5043" s="11" t="n">
        <v>21851</v>
      </c>
      <c r="BB5043" s="31" t="n">
        <f aca="false">SUM(Q5043,S5043,U5043,W5043,Y5043,AA5043,AC5043,AE5043,AG5043,AI5043,AK5043,AM5043,AO5043,AQ5043,AS5043,AU5043,AW5043,AY5043)</f>
        <v>21851</v>
      </c>
      <c r="BC5043" s="28" t="n">
        <f aca="false">BA5043-BB5043</f>
        <v>0</v>
      </c>
      <c r="BD5043" s="32" t="n">
        <f aca="false">SUM(P5043,R5043,T5043,V5043,X5043,Z5043,AB5043,AD5043,AF5043,AH5043,AJ5043,AL5043,AN5043,AP5043,AR5043,AT5043,AV5043,AX5043)</f>
        <v>1092.54</v>
      </c>
      <c r="BE5043" s="33" t="n">
        <f aca="false">AZ5043-BD5043</f>
        <v>0</v>
      </c>
      <c r="BF5043" s="34" t="n">
        <f aca="false">BD5043*M5043</f>
        <v>21850.8</v>
      </c>
      <c r="BG5043" s="35" t="n">
        <f aca="false">BA5043-BF5043</f>
        <v>0.200000000000728</v>
      </c>
      <c r="BH5043" s="19" t="str">
        <f aca="false">IF(BG5043=0,"",IF(BG5043&lt;&gt;BA5043,"erreur de calcul",IF(BD5043&lt;&gt;0,"pas de prix",IF(M5043&lt;&gt; 0,"pas de quantité","pas de prix, ni de quantité"))))</f>
        <v>erreur de calcul</v>
      </c>
      <c r="BI5043" s="19"/>
    </row>
    <row r="5044" customFormat="false" ht="15" hidden="false" customHeight="false" outlineLevel="0" collapsed="false">
      <c r="A5044" s="0" t="n">
        <v>3</v>
      </c>
      <c r="B5044" s="8" t="s">
        <v>24</v>
      </c>
      <c r="C5044" s="9" t="s">
        <v>25</v>
      </c>
      <c r="D5044" s="9" t="s">
        <v>26</v>
      </c>
      <c r="E5044" s="10" t="n">
        <v>1789</v>
      </c>
      <c r="F5044" s="9" t="s">
        <v>27</v>
      </c>
      <c r="G5044" s="9" t="s">
        <v>27</v>
      </c>
      <c r="H5044" s="11" t="n">
        <v>22</v>
      </c>
      <c r="I5044" s="11" t="s">
        <v>204</v>
      </c>
      <c r="J5044" s="14" t="n">
        <v>20</v>
      </c>
      <c r="K5044" s="14"/>
      <c r="L5044" s="16"/>
      <c r="M5044" s="27" t="n">
        <f aca="false">J5044+(K5044/20)+(L5044/240)</f>
        <v>20</v>
      </c>
      <c r="N5044" s="17" t="s">
        <v>66</v>
      </c>
      <c r="O5044" s="11"/>
      <c r="P5044" s="28" t="n">
        <v>106125</v>
      </c>
      <c r="Q5044" s="36" t="n">
        <v>2162500</v>
      </c>
      <c r="R5044" s="28"/>
      <c r="S5044" s="28" t="n">
        <f aca="false">R5044*$M5044</f>
        <v>0</v>
      </c>
      <c r="T5044" s="28"/>
      <c r="U5044" s="28" t="n">
        <f aca="false">T5044*$M5044</f>
        <v>0</v>
      </c>
      <c r="V5044" s="28"/>
      <c r="W5044" s="28" t="n">
        <f aca="false">V5044*$M5044</f>
        <v>0</v>
      </c>
      <c r="X5044" s="28"/>
      <c r="Y5044" s="28" t="n">
        <f aca="false">X5044*$M5044</f>
        <v>0</v>
      </c>
      <c r="Z5044" s="28"/>
      <c r="AA5044" s="28" t="n">
        <f aca="false">Z5044*$M5044</f>
        <v>0</v>
      </c>
      <c r="AB5044" s="28"/>
      <c r="AC5044" s="28" t="n">
        <f aca="false">AB5044*$M5044</f>
        <v>0</v>
      </c>
      <c r="AD5044" s="28"/>
      <c r="AE5044" s="28" t="n">
        <f aca="false">AD5044*$M5044</f>
        <v>0</v>
      </c>
      <c r="AF5044" s="28"/>
      <c r="AG5044" s="28" t="n">
        <f aca="false">AF5044*$M5044</f>
        <v>0</v>
      </c>
      <c r="AH5044" s="28"/>
      <c r="AI5044" s="28" t="n">
        <f aca="false">AH5044*$M5044</f>
        <v>0</v>
      </c>
      <c r="AJ5044" s="28"/>
      <c r="AK5044" s="28" t="n">
        <f aca="false">AJ5044*$M5044</f>
        <v>0</v>
      </c>
      <c r="AL5044" s="28"/>
      <c r="AM5044" s="28" t="n">
        <f aca="false">AL5044*$M5044</f>
        <v>0</v>
      </c>
      <c r="AN5044" s="28"/>
      <c r="AO5044" s="28" t="n">
        <f aca="false">AN5044*$M5044</f>
        <v>0</v>
      </c>
      <c r="AP5044" s="28"/>
      <c r="AQ5044" s="28" t="n">
        <f aca="false">AP5044*$M5044</f>
        <v>0</v>
      </c>
      <c r="AR5044" s="28"/>
      <c r="AS5044" s="28" t="n">
        <f aca="false">AR5044*$M5044</f>
        <v>0</v>
      </c>
      <c r="AT5044" s="28"/>
      <c r="AU5044" s="28" t="n">
        <f aca="false">AT5044*$M5044</f>
        <v>0</v>
      </c>
      <c r="AV5044" s="28"/>
      <c r="AW5044" s="28" t="n">
        <f aca="false">AV5044*$M5044</f>
        <v>0</v>
      </c>
      <c r="AX5044" s="28"/>
      <c r="AY5044" s="28" t="n">
        <f aca="false">AX5044*$M5044</f>
        <v>0</v>
      </c>
      <c r="AZ5044" s="30" t="n">
        <v>108125</v>
      </c>
      <c r="BA5044" s="11" t="n">
        <v>2162500</v>
      </c>
      <c r="BB5044" s="31" t="n">
        <f aca="false">SUM(Q5044,S5044,U5044,W5044,Y5044,AA5044,AC5044,AE5044,AG5044,AI5044,AK5044,AM5044,AO5044,AQ5044,AS5044,AU5044,AW5044,AY5044)</f>
        <v>2162500</v>
      </c>
      <c r="BC5044" s="28" t="n">
        <f aca="false">BA5044-BB5044</f>
        <v>0</v>
      </c>
      <c r="BD5044" s="32" t="n">
        <f aca="false">SUM(P5044,R5044,T5044,V5044,X5044,Z5044,AB5044,AD5044,AF5044,AH5044,AJ5044,AL5044,AN5044,AP5044,AR5044,AT5044,AV5044,AX5044)</f>
        <v>106125</v>
      </c>
      <c r="BE5044" s="33" t="n">
        <f aca="false">AZ5044-BD5044</f>
        <v>2000</v>
      </c>
      <c r="BF5044" s="34" t="n">
        <f aca="false">BD5044*M5044</f>
        <v>2122500</v>
      </c>
      <c r="BG5044" s="35" t="n">
        <f aca="false">BA5044-BF5044</f>
        <v>40000</v>
      </c>
      <c r="BH5044" s="19" t="str">
        <f aca="false">IF(BG5044=0,"",IF(BG5044&lt;&gt;BA5044,"erreur de calcul",IF(BD5044&lt;&gt;0,"pas de prix",IF(M5044&lt;&gt; 0,"pas de quantité","pas de prix, ni de quantité"))))</f>
        <v>erreur de calcul</v>
      </c>
      <c r="BI5044" s="19"/>
    </row>
    <row r="5045" customFormat="false" ht="15" hidden="false" customHeight="false" outlineLevel="0" collapsed="false">
      <c r="A5045" s="0" t="n">
        <v>4</v>
      </c>
      <c r="B5045" s="8" t="s">
        <v>24</v>
      </c>
      <c r="C5045" s="9" t="s">
        <v>25</v>
      </c>
      <c r="D5045" s="9" t="s">
        <v>26</v>
      </c>
      <c r="E5045" s="10" t="n">
        <v>1789</v>
      </c>
      <c r="F5045" s="9" t="s">
        <v>27</v>
      </c>
      <c r="G5045" s="9" t="s">
        <v>27</v>
      </c>
      <c r="H5045" s="11" t="n">
        <v>22</v>
      </c>
      <c r="I5045" s="11" t="s">
        <v>205</v>
      </c>
      <c r="J5045" s="14" t="n">
        <v>15</v>
      </c>
      <c r="K5045" s="14"/>
      <c r="L5045" s="16"/>
      <c r="M5045" s="27" t="n">
        <f aca="false">J5045+(K5045/20)+(L5045/240)</f>
        <v>15</v>
      </c>
      <c r="N5045" s="17" t="s">
        <v>64</v>
      </c>
      <c r="O5045" s="11"/>
      <c r="P5045" s="28"/>
      <c r="Q5045" s="28" t="n">
        <f aca="false">P5045*$M5045</f>
        <v>0</v>
      </c>
      <c r="R5045" s="28"/>
      <c r="S5045" s="28" t="n">
        <f aca="false">R5045*$M5045</f>
        <v>0</v>
      </c>
      <c r="T5045" s="28"/>
      <c r="U5045" s="28" t="n">
        <f aca="false">T5045*$M5045</f>
        <v>0</v>
      </c>
      <c r="V5045" s="28"/>
      <c r="W5045" s="28" t="n">
        <f aca="false">V5045*$M5045</f>
        <v>0</v>
      </c>
      <c r="X5045" s="28" t="n">
        <f aca="false">27897/100</f>
        <v>278.97</v>
      </c>
      <c r="Y5045" s="28" t="n">
        <v>4184</v>
      </c>
      <c r="Z5045" s="28"/>
      <c r="AA5045" s="28" t="n">
        <f aca="false">Z5045*$M5045</f>
        <v>0</v>
      </c>
      <c r="AB5045" s="28"/>
      <c r="AC5045" s="28" t="n">
        <f aca="false">AB5045*$M5045</f>
        <v>0</v>
      </c>
      <c r="AD5045" s="28"/>
      <c r="AE5045" s="28" t="n">
        <f aca="false">AD5045*$M5045</f>
        <v>0</v>
      </c>
      <c r="AF5045" s="28"/>
      <c r="AG5045" s="28" t="n">
        <f aca="false">AF5045*$M5045</f>
        <v>0</v>
      </c>
      <c r="AH5045" s="28"/>
      <c r="AI5045" s="28" t="n">
        <f aca="false">AH5045*$M5045</f>
        <v>0</v>
      </c>
      <c r="AJ5045" s="28" t="n">
        <f aca="false">63734/100</f>
        <v>637.34</v>
      </c>
      <c r="AK5045" s="28" t="n">
        <v>9560</v>
      </c>
      <c r="AL5045" s="28"/>
      <c r="AM5045" s="28" t="n">
        <f aca="false">AL5045*$M5045</f>
        <v>0</v>
      </c>
      <c r="AN5045" s="28"/>
      <c r="AO5045" s="28" t="n">
        <f aca="false">AN5045*$M5045</f>
        <v>0</v>
      </c>
      <c r="AP5045" s="28"/>
      <c r="AQ5045" s="28" t="n">
        <f aca="false">AP5045*$M5045</f>
        <v>0</v>
      </c>
      <c r="AR5045" s="28"/>
      <c r="AS5045" s="28" t="n">
        <f aca="false">AR5045*$M5045</f>
        <v>0</v>
      </c>
      <c r="AT5045" s="28"/>
      <c r="AU5045" s="28" t="n">
        <f aca="false">AT5045*$M5045</f>
        <v>0</v>
      </c>
      <c r="AV5045" s="28"/>
      <c r="AW5045" s="28" t="n">
        <f aca="false">AV5045*$M5045</f>
        <v>0</v>
      </c>
      <c r="AX5045" s="28"/>
      <c r="AY5045" s="28" t="n">
        <f aca="false">AX5045*$M5045</f>
        <v>0</v>
      </c>
      <c r="AZ5045" s="30" t="n">
        <f aca="false">91631/100</f>
        <v>916.31</v>
      </c>
      <c r="BA5045" s="11" t="n">
        <v>13744</v>
      </c>
      <c r="BB5045" s="31" t="n">
        <f aca="false">SUM(Q5045,S5045,U5045,W5045,Y5045,AA5045,AC5045,AE5045,AG5045,AI5045,AK5045,AM5045,AO5045,AQ5045,AS5045,AU5045,AW5045,AY5045)</f>
        <v>13744</v>
      </c>
      <c r="BC5045" s="28" t="n">
        <f aca="false">BA5045-BB5045</f>
        <v>0</v>
      </c>
      <c r="BD5045" s="32" t="n">
        <f aca="false">SUM(P5045,R5045,T5045,V5045,X5045,Z5045,AB5045,AD5045,AF5045,AH5045,AJ5045,AL5045,AN5045,AP5045,AR5045,AT5045,AV5045,AX5045)</f>
        <v>916.31</v>
      </c>
      <c r="BE5045" s="33" t="n">
        <f aca="false">AZ5045-BD5045</f>
        <v>0</v>
      </c>
      <c r="BF5045" s="34" t="n">
        <f aca="false">BD5045*M5045</f>
        <v>13744.65</v>
      </c>
      <c r="BG5045" s="35" t="n">
        <f aca="false">BA5045-BF5045</f>
        <v>-0.650000000001455</v>
      </c>
      <c r="BH5045" s="19" t="str">
        <f aca="false">IF(BG5045=0,"",IF(BG5045&lt;&gt;BA5045,"erreur de calcul",IF(BD5045&lt;&gt;0,"pas de prix",IF(M5045&lt;&gt; 0,"pas de quantité","pas de prix, ni de quantité"))))</f>
        <v>erreur de calcul</v>
      </c>
      <c r="BI5045" s="19"/>
    </row>
    <row r="5046" customFormat="false" ht="15" hidden="false" customHeight="false" outlineLevel="0" collapsed="false">
      <c r="A5046" s="0" t="n">
        <v>5</v>
      </c>
      <c r="B5046" s="8" t="s">
        <v>24</v>
      </c>
      <c r="C5046" s="9" t="s">
        <v>25</v>
      </c>
      <c r="D5046" s="9" t="s">
        <v>26</v>
      </c>
      <c r="E5046" s="10" t="n">
        <v>1789</v>
      </c>
      <c r="F5046" s="9" t="s">
        <v>27</v>
      </c>
      <c r="G5046" s="9" t="s">
        <v>27</v>
      </c>
      <c r="H5046" s="11" t="n">
        <v>22</v>
      </c>
      <c r="I5046" s="11" t="s">
        <v>206</v>
      </c>
      <c r="J5046" s="14" t="n">
        <v>30</v>
      </c>
      <c r="K5046" s="14"/>
      <c r="L5046" s="16"/>
      <c r="M5046" s="27" t="n">
        <f aca="false">J5046+(K5046/20)+(L5046/240)</f>
        <v>30</v>
      </c>
      <c r="N5046" s="17" t="s">
        <v>64</v>
      </c>
      <c r="O5046" s="11"/>
      <c r="P5046" s="28" t="n">
        <f aca="false">8334/100</f>
        <v>83.34</v>
      </c>
      <c r="Q5046" s="28" t="n">
        <v>2500</v>
      </c>
      <c r="R5046" s="28"/>
      <c r="S5046" s="28" t="n">
        <f aca="false">R5046*$M5046</f>
        <v>0</v>
      </c>
      <c r="T5046" s="28"/>
      <c r="U5046" s="28" t="n">
        <f aca="false">T5046*$M5046</f>
        <v>0</v>
      </c>
      <c r="V5046" s="28"/>
      <c r="W5046" s="28" t="n">
        <f aca="false">V5046*$M5046</f>
        <v>0</v>
      </c>
      <c r="X5046" s="28"/>
      <c r="Y5046" s="28" t="n">
        <f aca="false">X5046*$M5046</f>
        <v>0</v>
      </c>
      <c r="Z5046" s="28"/>
      <c r="AA5046" s="28" t="n">
        <f aca="false">Z5046*$M5046</f>
        <v>0</v>
      </c>
      <c r="AB5046" s="28"/>
      <c r="AC5046" s="28" t="n">
        <f aca="false">AB5046*$M5046</f>
        <v>0</v>
      </c>
      <c r="AD5046" s="28"/>
      <c r="AE5046" s="28" t="n">
        <f aca="false">AD5046*$M5046</f>
        <v>0</v>
      </c>
      <c r="AF5046" s="28"/>
      <c r="AG5046" s="28" t="n">
        <f aca="false">AF5046*$M5046</f>
        <v>0</v>
      </c>
      <c r="AH5046" s="28"/>
      <c r="AI5046" s="28" t="n">
        <f aca="false">AH5046*$M5046</f>
        <v>0</v>
      </c>
      <c r="AJ5046" s="28"/>
      <c r="AK5046" s="28" t="n">
        <f aca="false">AJ5046*$M5046</f>
        <v>0</v>
      </c>
      <c r="AL5046" s="28"/>
      <c r="AM5046" s="28" t="n">
        <f aca="false">AL5046*$M5046</f>
        <v>0</v>
      </c>
      <c r="AN5046" s="28"/>
      <c r="AO5046" s="28" t="n">
        <f aca="false">AN5046*$M5046</f>
        <v>0</v>
      </c>
      <c r="AP5046" s="28"/>
      <c r="AQ5046" s="28" t="n">
        <f aca="false">AP5046*$M5046</f>
        <v>0</v>
      </c>
      <c r="AR5046" s="28"/>
      <c r="AS5046" s="28" t="n">
        <f aca="false">AR5046*$M5046</f>
        <v>0</v>
      </c>
      <c r="AT5046" s="28"/>
      <c r="AU5046" s="28" t="n">
        <f aca="false">AT5046*$M5046</f>
        <v>0</v>
      </c>
      <c r="AV5046" s="28"/>
      <c r="AW5046" s="28" t="n">
        <f aca="false">AV5046*$M5046</f>
        <v>0</v>
      </c>
      <c r="AX5046" s="28"/>
      <c r="AY5046" s="28" t="n">
        <f aca="false">AX5046*$M5046</f>
        <v>0</v>
      </c>
      <c r="AZ5046" s="30" t="n">
        <f aca="false">8334/100</f>
        <v>83.34</v>
      </c>
      <c r="BA5046" s="11" t="n">
        <v>2500</v>
      </c>
      <c r="BB5046" s="31" t="n">
        <f aca="false">SUM(Q5046,S5046,U5046,W5046,Y5046,AA5046,AC5046,AE5046,AG5046,AI5046,AK5046,AM5046,AO5046,AQ5046,AS5046,AU5046,AW5046,AY5046)</f>
        <v>2500</v>
      </c>
      <c r="BC5046" s="28" t="n">
        <f aca="false">BA5046-BB5046</f>
        <v>0</v>
      </c>
      <c r="BD5046" s="32" t="n">
        <f aca="false">SUM(P5046,R5046,T5046,V5046,X5046,Z5046,AB5046,AD5046,AF5046,AH5046,AJ5046,AL5046,AN5046,AP5046,AR5046,AT5046,AV5046,AX5046)</f>
        <v>83.34</v>
      </c>
      <c r="BE5046" s="33" t="n">
        <f aca="false">AZ5046-BD5046</f>
        <v>0</v>
      </c>
      <c r="BF5046" s="34" t="n">
        <f aca="false">BD5046*M5046</f>
        <v>2500.2</v>
      </c>
      <c r="BG5046" s="35" t="n">
        <f aca="false">BA5046-BF5046</f>
        <v>-0.200000000000273</v>
      </c>
      <c r="BH5046" s="19" t="str">
        <f aca="false">IF(BG5046=0,"",IF(BG5046&lt;&gt;BA5046,"erreur de calcul",IF(BD5046&lt;&gt;0,"pas de prix",IF(M5046&lt;&gt; 0,"pas de quantité","pas de prix, ni de quantité"))))</f>
        <v>erreur de calcul</v>
      </c>
      <c r="BI5046" s="19"/>
    </row>
    <row r="5047" customFormat="false" ht="15" hidden="false" customHeight="false" outlineLevel="0" collapsed="false">
      <c r="A5047" s="0" t="n">
        <v>6</v>
      </c>
      <c r="B5047" s="8" t="s">
        <v>24</v>
      </c>
      <c r="C5047" s="9" t="s">
        <v>25</v>
      </c>
      <c r="D5047" s="9" t="s">
        <v>26</v>
      </c>
      <c r="E5047" s="10" t="n">
        <v>1789</v>
      </c>
      <c r="F5047" s="9" t="s">
        <v>27</v>
      </c>
      <c r="G5047" s="9" t="s">
        <v>27</v>
      </c>
      <c r="H5047" s="11" t="n">
        <v>22</v>
      </c>
      <c r="I5047" s="11" t="s">
        <v>207</v>
      </c>
      <c r="J5047" s="14"/>
      <c r="K5047" s="14" t="n">
        <v>20</v>
      </c>
      <c r="L5047" s="16"/>
      <c r="M5047" s="27" t="n">
        <f aca="false">J5047+(K5047/20)+(L5047/240)</f>
        <v>1</v>
      </c>
      <c r="N5047" s="17" t="s">
        <v>66</v>
      </c>
      <c r="O5047" s="11"/>
      <c r="P5047" s="28"/>
      <c r="Q5047" s="28" t="n">
        <f aca="false">P5047*$M5047</f>
        <v>0</v>
      </c>
      <c r="R5047" s="28"/>
      <c r="S5047" s="28" t="n">
        <f aca="false">R5047*$M5047</f>
        <v>0</v>
      </c>
      <c r="T5047" s="28"/>
      <c r="U5047" s="28" t="n">
        <f aca="false">T5047*$M5047</f>
        <v>0</v>
      </c>
      <c r="V5047" s="28" t="n">
        <v>33010</v>
      </c>
      <c r="W5047" s="28" t="n">
        <v>33010</v>
      </c>
      <c r="X5047" s="28" t="n">
        <v>292003</v>
      </c>
      <c r="Y5047" s="28" t="n">
        <v>292003</v>
      </c>
      <c r="Z5047" s="28" t="n">
        <v>15558</v>
      </c>
      <c r="AA5047" s="28" t="n">
        <v>15558</v>
      </c>
      <c r="AB5047" s="28" t="n">
        <v>80515</v>
      </c>
      <c r="AC5047" s="28" t="n">
        <v>80515</v>
      </c>
      <c r="AD5047" s="28"/>
      <c r="AE5047" s="28" t="n">
        <f aca="false">AD5047*$M5047</f>
        <v>0</v>
      </c>
      <c r="AF5047" s="28"/>
      <c r="AG5047" s="28" t="n">
        <f aca="false">AF5047*$M5047</f>
        <v>0</v>
      </c>
      <c r="AH5047" s="28" t="n">
        <v>515373</v>
      </c>
      <c r="AI5047" s="28" t="n">
        <v>515373</v>
      </c>
      <c r="AJ5047" s="28"/>
      <c r="AK5047" s="28" t="n">
        <f aca="false">AJ5047*$M5047</f>
        <v>0</v>
      </c>
      <c r="AL5047" s="28" t="n">
        <v>3480</v>
      </c>
      <c r="AM5047" s="28" t="n">
        <v>3480</v>
      </c>
      <c r="AN5047" s="28"/>
      <c r="AO5047" s="28" t="n">
        <f aca="false">AN5047*$M5047</f>
        <v>0</v>
      </c>
      <c r="AP5047" s="28"/>
      <c r="AQ5047" s="28" t="n">
        <f aca="false">AP5047*$M5047</f>
        <v>0</v>
      </c>
      <c r="AR5047" s="28"/>
      <c r="AS5047" s="28" t="n">
        <f aca="false">AR5047*$M5047</f>
        <v>0</v>
      </c>
      <c r="AT5047" s="28"/>
      <c r="AU5047" s="28" t="n">
        <f aca="false">AT5047*$M5047</f>
        <v>0</v>
      </c>
      <c r="AV5047" s="28"/>
      <c r="AW5047" s="28" t="n">
        <f aca="false">AV5047*$M5047</f>
        <v>0</v>
      </c>
      <c r="AX5047" s="28"/>
      <c r="AY5047" s="28" t="n">
        <f aca="false">AX5047*$M5047</f>
        <v>0</v>
      </c>
      <c r="AZ5047" s="30" t="n">
        <v>939939</v>
      </c>
      <c r="BA5047" s="11" t="n">
        <v>939939</v>
      </c>
      <c r="BB5047" s="31" t="n">
        <f aca="false">SUM(Q5047,S5047,U5047,W5047,Y5047,AA5047,AC5047,AE5047,AG5047,AI5047,AK5047,AM5047,AO5047,AQ5047,AS5047,AU5047,AW5047,AY5047)</f>
        <v>939939</v>
      </c>
      <c r="BC5047" s="28" t="n">
        <f aca="false">BA5047-BB5047</f>
        <v>0</v>
      </c>
      <c r="BD5047" s="32" t="n">
        <f aca="false">SUM(P5047,R5047,T5047,V5047,X5047,Z5047,AB5047,AD5047,AF5047,AH5047,AJ5047,AL5047,AN5047,AP5047,AR5047,AT5047,AV5047,AX5047)</f>
        <v>939939</v>
      </c>
      <c r="BE5047" s="33" t="n">
        <f aca="false">AZ5047-BD5047</f>
        <v>0</v>
      </c>
      <c r="BF5047" s="34" t="n">
        <f aca="false">BD5047*M5047</f>
        <v>939939</v>
      </c>
      <c r="BG5047" s="35" t="n">
        <f aca="false">BA5047-BF5047</f>
        <v>0</v>
      </c>
      <c r="BH5047" s="19" t="str">
        <f aca="false">IF(BG5047=0,"",IF(BG5047&lt;&gt;BA5047,"erreur de calcul",IF(BD5047&lt;&gt;0,"pas de prix",IF(M5047&lt;&gt; 0,"pas de quantité","pas de prix, ni de quantité"))))</f>
        <v/>
      </c>
      <c r="BI5047" s="19"/>
    </row>
    <row r="5048" customFormat="false" ht="15" hidden="false" customHeight="false" outlineLevel="0" collapsed="false">
      <c r="A5048" s="0" t="n">
        <v>7</v>
      </c>
      <c r="B5048" s="8" t="s">
        <v>24</v>
      </c>
      <c r="C5048" s="9" t="s">
        <v>25</v>
      </c>
      <c r="D5048" s="9" t="s">
        <v>26</v>
      </c>
      <c r="E5048" s="10" t="n">
        <v>1789</v>
      </c>
      <c r="F5048" s="9" t="s">
        <v>27</v>
      </c>
      <c r="G5048" s="9" t="s">
        <v>27</v>
      </c>
      <c r="H5048" s="11" t="n">
        <v>22</v>
      </c>
      <c r="I5048" s="11" t="s">
        <v>208</v>
      </c>
      <c r="J5048" s="14" t="n">
        <v>60</v>
      </c>
      <c r="K5048" s="14"/>
      <c r="L5048" s="16"/>
      <c r="M5048" s="27" t="n">
        <f aca="false">J5048+(K5048/20)+(L5048/240)</f>
        <v>60</v>
      </c>
      <c r="N5048" s="17" t="s">
        <v>64</v>
      </c>
      <c r="O5048" s="11"/>
      <c r="P5048" s="28"/>
      <c r="Q5048" s="28" t="n">
        <f aca="false">P5048*$M5048</f>
        <v>0</v>
      </c>
      <c r="R5048" s="28"/>
      <c r="S5048" s="28" t="n">
        <f aca="false">R5048*$M5048</f>
        <v>0</v>
      </c>
      <c r="T5048" s="28"/>
      <c r="U5048" s="28" t="n">
        <f aca="false">T5048*$M5048</f>
        <v>0</v>
      </c>
      <c r="V5048" s="28"/>
      <c r="W5048" s="28" t="n">
        <f aca="false">V5048*$M5048</f>
        <v>0</v>
      </c>
      <c r="X5048" s="28"/>
      <c r="Y5048" s="28" t="n">
        <f aca="false">X5048*$M5048</f>
        <v>0</v>
      </c>
      <c r="Z5048" s="28"/>
      <c r="AA5048" s="28" t="n">
        <f aca="false">Z5048*$M5048</f>
        <v>0</v>
      </c>
      <c r="AB5048" s="28"/>
      <c r="AC5048" s="28" t="n">
        <f aca="false">AB5048*$M5048</f>
        <v>0</v>
      </c>
      <c r="AD5048" s="28"/>
      <c r="AE5048" s="28" t="n">
        <f aca="false">AD5048*$M5048</f>
        <v>0</v>
      </c>
      <c r="AF5048" s="28"/>
      <c r="AG5048" s="28" t="n">
        <f aca="false">AF5048*$M5048</f>
        <v>0</v>
      </c>
      <c r="AH5048" s="28"/>
      <c r="AI5048" s="28" t="n">
        <f aca="false">AH5048*$M5048</f>
        <v>0</v>
      </c>
      <c r="AJ5048" s="28" t="n">
        <f aca="false">28692/100</f>
        <v>286.92</v>
      </c>
      <c r="AK5048" s="28" t="n">
        <v>17215</v>
      </c>
      <c r="AL5048" s="28"/>
      <c r="AM5048" s="28" t="n">
        <f aca="false">AL5048*$M5048</f>
        <v>0</v>
      </c>
      <c r="AN5048" s="28"/>
      <c r="AO5048" s="28" t="n">
        <f aca="false">AN5048*$M5048</f>
        <v>0</v>
      </c>
      <c r="AP5048" s="28"/>
      <c r="AQ5048" s="28" t="n">
        <f aca="false">AP5048*$M5048</f>
        <v>0</v>
      </c>
      <c r="AR5048" s="28"/>
      <c r="AS5048" s="28" t="n">
        <f aca="false">AR5048*$M5048</f>
        <v>0</v>
      </c>
      <c r="AT5048" s="28"/>
      <c r="AU5048" s="28" t="n">
        <f aca="false">AT5048*$M5048</f>
        <v>0</v>
      </c>
      <c r="AV5048" s="28"/>
      <c r="AW5048" s="28" t="n">
        <f aca="false">AV5048*$M5048</f>
        <v>0</v>
      </c>
      <c r="AX5048" s="28"/>
      <c r="AY5048" s="28" t="n">
        <f aca="false">AX5048*$M5048</f>
        <v>0</v>
      </c>
      <c r="AZ5048" s="30" t="n">
        <f aca="false">28692/100</f>
        <v>286.92</v>
      </c>
      <c r="BA5048" s="11" t="n">
        <v>17215</v>
      </c>
      <c r="BB5048" s="31" t="n">
        <f aca="false">SUM(Q5048,S5048,U5048,W5048,Y5048,AA5048,AC5048,AE5048,AG5048,AI5048,AK5048,AM5048,AO5048,AQ5048,AS5048,AU5048,AW5048,AY5048)</f>
        <v>17215</v>
      </c>
      <c r="BC5048" s="28" t="n">
        <f aca="false">BA5048-BB5048</f>
        <v>0</v>
      </c>
      <c r="BD5048" s="32" t="n">
        <f aca="false">SUM(P5048,R5048,T5048,V5048,X5048,Z5048,AB5048,AD5048,AF5048,AH5048,AJ5048,AL5048,AN5048,AP5048,AR5048,AT5048,AV5048,AX5048)</f>
        <v>286.92</v>
      </c>
      <c r="BE5048" s="33" t="n">
        <f aca="false">AZ5048-BD5048</f>
        <v>0</v>
      </c>
      <c r="BF5048" s="34" t="n">
        <f aca="false">BD5048*M5048</f>
        <v>17215.2</v>
      </c>
      <c r="BG5048" s="35" t="n">
        <f aca="false">BA5048-BF5048</f>
        <v>-0.200000000000728</v>
      </c>
      <c r="BH5048" s="19" t="str">
        <f aca="false">IF(BG5048=0,"",IF(BG5048&lt;&gt;BA5048,"erreur de calcul",IF(BD5048&lt;&gt;0,"pas de prix",IF(M5048&lt;&gt; 0,"pas de quantité","pas de prix, ni de quantité"))))</f>
        <v>erreur de calcul</v>
      </c>
      <c r="BI5048" s="19"/>
    </row>
    <row r="5049" customFormat="false" ht="15" hidden="false" customHeight="false" outlineLevel="0" collapsed="false">
      <c r="A5049" s="0" t="n">
        <v>8</v>
      </c>
      <c r="B5049" s="8" t="s">
        <v>24</v>
      </c>
      <c r="C5049" s="9" t="s">
        <v>25</v>
      </c>
      <c r="D5049" s="9" t="s">
        <v>26</v>
      </c>
      <c r="E5049" s="10" t="n">
        <v>1789</v>
      </c>
      <c r="F5049" s="9" t="s">
        <v>27</v>
      </c>
      <c r="G5049" s="9" t="s">
        <v>27</v>
      </c>
      <c r="H5049" s="11" t="n">
        <v>22</v>
      </c>
      <c r="I5049" s="11" t="s">
        <v>209</v>
      </c>
      <c r="J5049" s="14" t="n">
        <v>26</v>
      </c>
      <c r="K5049" s="14"/>
      <c r="L5049" s="16"/>
      <c r="M5049" s="27" t="n">
        <f aca="false">J5049+(K5049/20)+(L5049/240)</f>
        <v>26</v>
      </c>
      <c r="N5049" s="17" t="s">
        <v>64</v>
      </c>
      <c r="O5049" s="11"/>
      <c r="P5049" s="28" t="n">
        <f aca="false">9675/100</f>
        <v>96.75</v>
      </c>
      <c r="Q5049" s="28" t="n">
        <v>2515</v>
      </c>
      <c r="R5049" s="28"/>
      <c r="S5049" s="28" t="n">
        <f aca="false">R5049*$M5049</f>
        <v>0</v>
      </c>
      <c r="T5049" s="28"/>
      <c r="U5049" s="28" t="n">
        <f aca="false">T5049*$M5049</f>
        <v>0</v>
      </c>
      <c r="V5049" s="28"/>
      <c r="W5049" s="28" t="n">
        <f aca="false">V5049*$M5049</f>
        <v>0</v>
      </c>
      <c r="X5049" s="28"/>
      <c r="Y5049" s="28" t="n">
        <f aca="false">X5049*$M5049</f>
        <v>0</v>
      </c>
      <c r="Z5049" s="28"/>
      <c r="AA5049" s="28" t="n">
        <f aca="false">Z5049*$M5049</f>
        <v>0</v>
      </c>
      <c r="AB5049" s="28"/>
      <c r="AC5049" s="28" t="n">
        <f aca="false">AB5049*$M5049</f>
        <v>0</v>
      </c>
      <c r="AD5049" s="28"/>
      <c r="AE5049" s="28" t="n">
        <f aca="false">AD5049*$M5049</f>
        <v>0</v>
      </c>
      <c r="AF5049" s="28"/>
      <c r="AG5049" s="28" t="n">
        <f aca="false">AF5049*$M5049</f>
        <v>0</v>
      </c>
      <c r="AH5049" s="28"/>
      <c r="AI5049" s="28" t="n">
        <f aca="false">AH5049*$M5049</f>
        <v>0</v>
      </c>
      <c r="AJ5049" s="28"/>
      <c r="AK5049" s="28" t="n">
        <f aca="false">AJ5049*$M5049</f>
        <v>0</v>
      </c>
      <c r="AL5049" s="28"/>
      <c r="AM5049" s="28" t="n">
        <f aca="false">AL5049*$M5049</f>
        <v>0</v>
      </c>
      <c r="AN5049" s="28"/>
      <c r="AO5049" s="28" t="n">
        <f aca="false">AN5049*$M5049</f>
        <v>0</v>
      </c>
      <c r="AP5049" s="28"/>
      <c r="AQ5049" s="28" t="n">
        <f aca="false">AP5049*$M5049</f>
        <v>0</v>
      </c>
      <c r="AR5049" s="28"/>
      <c r="AS5049" s="28" t="n">
        <f aca="false">AR5049*$M5049</f>
        <v>0</v>
      </c>
      <c r="AT5049" s="28"/>
      <c r="AU5049" s="28" t="n">
        <f aca="false">AT5049*$M5049</f>
        <v>0</v>
      </c>
      <c r="AV5049" s="28"/>
      <c r="AW5049" s="28" t="n">
        <f aca="false">AV5049*$M5049</f>
        <v>0</v>
      </c>
      <c r="AX5049" s="28"/>
      <c r="AY5049" s="28" t="n">
        <f aca="false">AX5049*$M5049</f>
        <v>0</v>
      </c>
      <c r="AZ5049" s="30" t="n">
        <f aca="false">9675/100</f>
        <v>96.75</v>
      </c>
      <c r="BA5049" s="11" t="n">
        <v>2515</v>
      </c>
      <c r="BB5049" s="31" t="n">
        <f aca="false">SUM(Q5049,S5049,U5049,W5049,Y5049,AA5049,AC5049,AE5049,AG5049,AI5049,AK5049,AM5049,AO5049,AQ5049,AS5049,AU5049,AW5049,AY5049)</f>
        <v>2515</v>
      </c>
      <c r="BC5049" s="28" t="n">
        <f aca="false">BA5049-BB5049</f>
        <v>0</v>
      </c>
      <c r="BD5049" s="32" t="n">
        <f aca="false">SUM(P5049,R5049,T5049,V5049,X5049,Z5049,AB5049,AD5049,AF5049,AH5049,AJ5049,AL5049,AN5049,AP5049,AR5049,AT5049,AV5049,AX5049)</f>
        <v>96.75</v>
      </c>
      <c r="BE5049" s="33" t="n">
        <f aca="false">AZ5049-BD5049</f>
        <v>0</v>
      </c>
      <c r="BF5049" s="34" t="n">
        <f aca="false">BD5049*M5049</f>
        <v>2515.5</v>
      </c>
      <c r="BG5049" s="35" t="n">
        <f aca="false">BA5049-BF5049</f>
        <v>-0.5</v>
      </c>
      <c r="BH5049" s="19" t="str">
        <f aca="false">IF(BG5049=0,"",IF(BG5049&lt;&gt;BA5049,"erreur de calcul",IF(BD5049&lt;&gt;0,"pas de prix",IF(M5049&lt;&gt; 0,"pas de quantité","pas de prix, ni de quantité"))))</f>
        <v>erreur de calcul</v>
      </c>
      <c r="BI5049" s="19"/>
    </row>
    <row r="5050" customFormat="false" ht="15" hidden="false" customHeight="false" outlineLevel="0" collapsed="false">
      <c r="A5050" s="0" t="n">
        <v>9</v>
      </c>
      <c r="B5050" s="8" t="s">
        <v>24</v>
      </c>
      <c r="C5050" s="9" t="s">
        <v>25</v>
      </c>
      <c r="D5050" s="9" t="s">
        <v>26</v>
      </c>
      <c r="E5050" s="10" t="n">
        <v>1789</v>
      </c>
      <c r="F5050" s="9" t="s">
        <v>27</v>
      </c>
      <c r="G5050" s="9" t="s">
        <v>27</v>
      </c>
      <c r="H5050" s="11" t="n">
        <v>22</v>
      </c>
      <c r="I5050" s="11" t="s">
        <v>210</v>
      </c>
      <c r="J5050" s="14" t="n">
        <v>8</v>
      </c>
      <c r="K5050" s="14" t="n">
        <v>15</v>
      </c>
      <c r="L5050" s="16"/>
      <c r="M5050" s="27" t="n">
        <f aca="false">J5050+(K5050/20)+(L5050/240)</f>
        <v>8.75</v>
      </c>
      <c r="N5050" s="17" t="s">
        <v>66</v>
      </c>
      <c r="O5050" s="11"/>
      <c r="P5050" s="28"/>
      <c r="Q5050" s="28" t="n">
        <f aca="false">P5050*$M5050</f>
        <v>0</v>
      </c>
      <c r="R5050" s="28"/>
      <c r="S5050" s="28" t="n">
        <f aca="false">R5050*$M5050</f>
        <v>0</v>
      </c>
      <c r="T5050" s="28" t="n">
        <v>2562</v>
      </c>
      <c r="U5050" s="36" t="n">
        <v>21777</v>
      </c>
      <c r="V5050" s="28" t="n">
        <v>127</v>
      </c>
      <c r="W5050" s="28" t="n">
        <v>1111</v>
      </c>
      <c r="X5050" s="28" t="n">
        <v>1945</v>
      </c>
      <c r="Y5050" s="28" t="n">
        <v>17018</v>
      </c>
      <c r="Z5050" s="28"/>
      <c r="AA5050" s="28" t="n">
        <f aca="false">Z5050*$M5050</f>
        <v>0</v>
      </c>
      <c r="AB5050" s="28"/>
      <c r="AC5050" s="28" t="n">
        <f aca="false">AB5050*$M5050</f>
        <v>0</v>
      </c>
      <c r="AD5050" s="28"/>
      <c r="AE5050" s="28" t="n">
        <f aca="false">AD5050*$M5050</f>
        <v>0</v>
      </c>
      <c r="AF5050" s="28"/>
      <c r="AG5050" s="28" t="n">
        <f aca="false">AF5050*$M5050</f>
        <v>0</v>
      </c>
      <c r="AH5050" s="28"/>
      <c r="AI5050" s="28" t="n">
        <f aca="false">AH5050*$M5050</f>
        <v>0</v>
      </c>
      <c r="AJ5050" s="28" t="n">
        <v>3538</v>
      </c>
      <c r="AK5050" s="36" t="n">
        <v>30073</v>
      </c>
      <c r="AL5050" s="28"/>
      <c r="AM5050" s="28" t="n">
        <f aca="false">AL5050*$M5050</f>
        <v>0</v>
      </c>
      <c r="AN5050" s="28"/>
      <c r="AO5050" s="28" t="n">
        <f aca="false">AN5050*$M5050</f>
        <v>0</v>
      </c>
      <c r="AP5050" s="28"/>
      <c r="AQ5050" s="28" t="n">
        <f aca="false">AP5050*$M5050</f>
        <v>0</v>
      </c>
      <c r="AR5050" s="28"/>
      <c r="AS5050" s="28" t="n">
        <f aca="false">AR5050*$M5050</f>
        <v>0</v>
      </c>
      <c r="AT5050" s="28"/>
      <c r="AU5050" s="28" t="n">
        <f aca="false">AT5050*$M5050</f>
        <v>0</v>
      </c>
      <c r="AV5050" s="28"/>
      <c r="AW5050" s="28" t="n">
        <f aca="false">AV5050*$M5050</f>
        <v>0</v>
      </c>
      <c r="AX5050" s="28" t="n">
        <v>11559</v>
      </c>
      <c r="AY5050" s="28" t="n">
        <v>101141</v>
      </c>
      <c r="AZ5050" s="30" t="n">
        <v>19731</v>
      </c>
      <c r="BA5050" s="11" t="n">
        <v>171120</v>
      </c>
      <c r="BB5050" s="31" t="n">
        <f aca="false">SUM(Q5050,S5050,U5050,W5050,Y5050,AA5050,AC5050,AE5050,AG5050,AI5050,AK5050,AM5050,AO5050,AQ5050,AS5050,AU5050,AW5050,AY5050)</f>
        <v>171120</v>
      </c>
      <c r="BC5050" s="28" t="n">
        <f aca="false">BA5050-BB5050</f>
        <v>0</v>
      </c>
      <c r="BD5050" s="32" t="n">
        <f aca="false">SUM(P5050,R5050,T5050,V5050,X5050,Z5050,AB5050,AD5050,AF5050,AH5050,AJ5050,AL5050,AN5050,AP5050,AR5050,AT5050,AV5050,AX5050)</f>
        <v>19731</v>
      </c>
      <c r="BE5050" s="33" t="n">
        <f aca="false">AZ5050-BD5050</f>
        <v>0</v>
      </c>
      <c r="BF5050" s="34" t="n">
        <f aca="false">BD5050*M5050</f>
        <v>172646.25</v>
      </c>
      <c r="BG5050" s="35" t="n">
        <f aca="false">BA5050-BF5050</f>
        <v>-1526.25</v>
      </c>
      <c r="BH5050" s="19" t="str">
        <f aca="false">IF(BG5050=0,"",IF(BG5050&lt;&gt;BA5050,"erreur de calcul",IF(BD5050&lt;&gt;0,"pas de prix",IF(M5050&lt;&gt; 0,"pas de quantité","pas de prix, ni de quantité"))))</f>
        <v>erreur de calcul</v>
      </c>
      <c r="BI5050" s="19"/>
    </row>
    <row r="5051" customFormat="false" ht="15" hidden="false" customHeight="false" outlineLevel="0" collapsed="false">
      <c r="A5051" s="0" t="n">
        <v>10</v>
      </c>
      <c r="B5051" s="8" t="s">
        <v>24</v>
      </c>
      <c r="C5051" s="9" t="s">
        <v>25</v>
      </c>
      <c r="D5051" s="9" t="s">
        <v>26</v>
      </c>
      <c r="E5051" s="10" t="n">
        <v>1789</v>
      </c>
      <c r="F5051" s="9" t="s">
        <v>27</v>
      </c>
      <c r="G5051" s="9" t="s">
        <v>27</v>
      </c>
      <c r="H5051" s="11" t="n">
        <v>22</v>
      </c>
      <c r="I5051" s="11" t="s">
        <v>211</v>
      </c>
      <c r="J5051" s="14" t="n">
        <v>11</v>
      </c>
      <c r="K5051" s="14"/>
      <c r="L5051" s="16"/>
      <c r="M5051" s="27" t="n">
        <f aca="false">J5051+(K5051/20)+(L5051/240)</f>
        <v>11</v>
      </c>
      <c r="N5051" s="17" t="s">
        <v>66</v>
      </c>
      <c r="O5051" s="11"/>
      <c r="P5051" s="28" t="n">
        <v>95190</v>
      </c>
      <c r="Q5051" s="28" t="n">
        <v>1047090</v>
      </c>
      <c r="R5051" s="28"/>
      <c r="S5051" s="28" t="n">
        <f aca="false">R5051*$M5051</f>
        <v>0</v>
      </c>
      <c r="T5051" s="28"/>
      <c r="U5051" s="28" t="n">
        <f aca="false">T5051*$M5051</f>
        <v>0</v>
      </c>
      <c r="V5051" s="28"/>
      <c r="W5051" s="28" t="n">
        <f aca="false">V5051*$M5051</f>
        <v>0</v>
      </c>
      <c r="X5051" s="28"/>
      <c r="Y5051" s="28" t="n">
        <f aca="false">X5051*$M5051</f>
        <v>0</v>
      </c>
      <c r="Z5051" s="28"/>
      <c r="AA5051" s="28" t="n">
        <f aca="false">Z5051*$M5051</f>
        <v>0</v>
      </c>
      <c r="AB5051" s="28"/>
      <c r="AC5051" s="28" t="n">
        <f aca="false">AB5051*$M5051</f>
        <v>0</v>
      </c>
      <c r="AD5051" s="28"/>
      <c r="AE5051" s="28" t="n">
        <f aca="false">AD5051*$M5051</f>
        <v>0</v>
      </c>
      <c r="AF5051" s="28"/>
      <c r="AG5051" s="28" t="n">
        <f aca="false">AF5051*$M5051</f>
        <v>0</v>
      </c>
      <c r="AH5051" s="28"/>
      <c r="AI5051" s="28" t="n">
        <f aca="false">AH5051*$M5051</f>
        <v>0</v>
      </c>
      <c r="AJ5051" s="28"/>
      <c r="AK5051" s="28" t="n">
        <f aca="false">AJ5051*$M5051</f>
        <v>0</v>
      </c>
      <c r="AL5051" s="28"/>
      <c r="AM5051" s="28" t="n">
        <f aca="false">AL5051*$M5051</f>
        <v>0</v>
      </c>
      <c r="AN5051" s="28"/>
      <c r="AO5051" s="28" t="n">
        <f aca="false">AN5051*$M5051</f>
        <v>0</v>
      </c>
      <c r="AP5051" s="28"/>
      <c r="AQ5051" s="28" t="n">
        <f aca="false">AP5051*$M5051</f>
        <v>0</v>
      </c>
      <c r="AR5051" s="28"/>
      <c r="AS5051" s="28" t="n">
        <f aca="false">AR5051*$M5051</f>
        <v>0</v>
      </c>
      <c r="AT5051" s="28"/>
      <c r="AU5051" s="28" t="n">
        <f aca="false">AT5051*$M5051</f>
        <v>0</v>
      </c>
      <c r="AV5051" s="28"/>
      <c r="AW5051" s="28" t="n">
        <f aca="false">AV5051*$M5051</f>
        <v>0</v>
      </c>
      <c r="AX5051" s="28"/>
      <c r="AY5051" s="28" t="n">
        <f aca="false">AX5051*$M5051</f>
        <v>0</v>
      </c>
      <c r="AZ5051" s="30" t="n">
        <v>95190</v>
      </c>
      <c r="BA5051" s="11" t="n">
        <v>1047090</v>
      </c>
      <c r="BB5051" s="31" t="n">
        <f aca="false">SUM(Q5051,S5051,U5051,W5051,Y5051,AA5051,AC5051,AE5051,AG5051,AI5051,AK5051,AM5051,AO5051,AQ5051,AS5051,AU5051,AW5051,AY5051)</f>
        <v>1047090</v>
      </c>
      <c r="BC5051" s="28" t="n">
        <f aca="false">BA5051-BB5051</f>
        <v>0</v>
      </c>
      <c r="BD5051" s="32" t="n">
        <f aca="false">SUM(P5051,R5051,T5051,V5051,X5051,Z5051,AB5051,AD5051,AF5051,AH5051,AJ5051,AL5051,AN5051,AP5051,AR5051,AT5051,AV5051,AX5051)</f>
        <v>95190</v>
      </c>
      <c r="BE5051" s="33" t="n">
        <f aca="false">AZ5051-BD5051</f>
        <v>0</v>
      </c>
      <c r="BF5051" s="34" t="n">
        <f aca="false">BD5051*M5051</f>
        <v>1047090</v>
      </c>
      <c r="BG5051" s="35" t="n">
        <f aca="false">BA5051-BF5051</f>
        <v>0</v>
      </c>
      <c r="BH5051" s="19" t="str">
        <f aca="false">IF(BG5051=0,"",IF(BG5051&lt;&gt;BA5051,"erreur de calcul",IF(BD5051&lt;&gt;0,"pas de prix",IF(M5051&lt;&gt; 0,"pas de quantité","pas de prix, ni de quantité"))))</f>
        <v/>
      </c>
      <c r="BI5051" s="19"/>
    </row>
    <row r="5052" customFormat="false" ht="17.15" hidden="false" customHeight="false" outlineLevel="0" collapsed="false">
      <c r="A5052" s="0" t="n">
        <v>11</v>
      </c>
      <c r="B5052" s="8" t="s">
        <v>24</v>
      </c>
      <c r="C5052" s="9" t="s">
        <v>25</v>
      </c>
      <c r="D5052" s="9" t="s">
        <v>26</v>
      </c>
      <c r="E5052" s="10" t="n">
        <v>1789</v>
      </c>
      <c r="F5052" s="9" t="s">
        <v>27</v>
      </c>
      <c r="G5052" s="9" t="s">
        <v>27</v>
      </c>
      <c r="H5052" s="11" t="n">
        <v>22</v>
      </c>
      <c r="I5052" s="40" t="s">
        <v>212</v>
      </c>
      <c r="J5052" s="14" t="n">
        <v>75</v>
      </c>
      <c r="K5052" s="14"/>
      <c r="L5052" s="16"/>
      <c r="M5052" s="27" t="n">
        <f aca="false">J5052+(K5052/20)+(L5052/240)</f>
        <v>75</v>
      </c>
      <c r="N5052" s="17" t="s">
        <v>64</v>
      </c>
      <c r="O5052" s="11"/>
      <c r="P5052" s="28"/>
      <c r="Q5052" s="28" t="n">
        <f aca="false">P5052*$M5052</f>
        <v>0</v>
      </c>
      <c r="R5052" s="28"/>
      <c r="S5052" s="28" t="n">
        <f aca="false">R5052*$M5052</f>
        <v>0</v>
      </c>
      <c r="T5052" s="28"/>
      <c r="U5052" s="28" t="n">
        <f aca="false">T5052*$M5052</f>
        <v>0</v>
      </c>
      <c r="V5052" s="28"/>
      <c r="W5052" s="28" t="n">
        <f aca="false">V5052*$M5052</f>
        <v>0</v>
      </c>
      <c r="X5052" s="28"/>
      <c r="Y5052" s="28" t="n">
        <f aca="false">X5052*$M5052</f>
        <v>0</v>
      </c>
      <c r="Z5052" s="28"/>
      <c r="AA5052" s="28" t="n">
        <f aca="false">Z5052*$M5052</f>
        <v>0</v>
      </c>
      <c r="AB5052" s="28"/>
      <c r="AC5052" s="28" t="n">
        <f aca="false">AB5052*$M5052</f>
        <v>0</v>
      </c>
      <c r="AD5052" s="28"/>
      <c r="AE5052" s="28" t="n">
        <f aca="false">AD5052*$M5052</f>
        <v>0</v>
      </c>
      <c r="AF5052" s="28"/>
      <c r="AG5052" s="28" t="n">
        <f aca="false">AF5052*$M5052</f>
        <v>0</v>
      </c>
      <c r="AH5052" s="28"/>
      <c r="AI5052" s="28" t="n">
        <f aca="false">AH5052*$M5052</f>
        <v>0</v>
      </c>
      <c r="AJ5052" s="28" t="n">
        <f aca="false">2372/100</f>
        <v>23.72</v>
      </c>
      <c r="AK5052" s="28" t="n">
        <v>1779</v>
      </c>
      <c r="AL5052" s="28"/>
      <c r="AM5052" s="28" t="n">
        <f aca="false">AL5052*$M5052</f>
        <v>0</v>
      </c>
      <c r="AN5052" s="28"/>
      <c r="AO5052" s="28" t="n">
        <f aca="false">AN5052*$M5052</f>
        <v>0</v>
      </c>
      <c r="AP5052" s="28"/>
      <c r="AQ5052" s="28" t="n">
        <f aca="false">AP5052*$M5052</f>
        <v>0</v>
      </c>
      <c r="AR5052" s="28"/>
      <c r="AS5052" s="28" t="n">
        <f aca="false">AR5052*$M5052</f>
        <v>0</v>
      </c>
      <c r="AT5052" s="28"/>
      <c r="AU5052" s="28" t="n">
        <f aca="false">AT5052*$M5052</f>
        <v>0</v>
      </c>
      <c r="AV5052" s="28"/>
      <c r="AW5052" s="28" t="n">
        <f aca="false">AV5052*$M5052</f>
        <v>0</v>
      </c>
      <c r="AX5052" s="28"/>
      <c r="AY5052" s="28" t="n">
        <f aca="false">AX5052*$M5052</f>
        <v>0</v>
      </c>
      <c r="AZ5052" s="30" t="n">
        <f aca="false">2372/100</f>
        <v>23.72</v>
      </c>
      <c r="BA5052" s="11" t="n">
        <v>1779</v>
      </c>
      <c r="BB5052" s="31" t="n">
        <f aca="false">SUM(Q5052,S5052,U5052,W5052,Y5052,AA5052,AC5052,AE5052,AG5052,AI5052,AK5052,AM5052,AO5052,AQ5052,AS5052,AU5052,AW5052,AY5052)</f>
        <v>1779</v>
      </c>
      <c r="BC5052" s="28" t="n">
        <f aca="false">BA5052-BB5052</f>
        <v>0</v>
      </c>
      <c r="BD5052" s="32" t="n">
        <f aca="false">SUM(P5052,R5052,T5052,V5052,X5052,Z5052,AB5052,AD5052,AF5052,AH5052,AJ5052,AL5052,AN5052,AP5052,AR5052,AT5052,AV5052,AX5052)</f>
        <v>23.72</v>
      </c>
      <c r="BE5052" s="33" t="n">
        <f aca="false">AZ5052-BD5052</f>
        <v>0</v>
      </c>
      <c r="BF5052" s="34" t="n">
        <f aca="false">BD5052*M5052</f>
        <v>1779</v>
      </c>
      <c r="BG5052" s="35" t="n">
        <f aca="false">BA5052-BF5052</f>
        <v>0</v>
      </c>
      <c r="BH5052" s="19" t="str">
        <f aca="false">IF(BG5052=0,"",IF(BG5052&lt;&gt;BA5052,"erreur de calcul",IF(BD5052&lt;&gt;0,"pas de prix",IF(M5052&lt;&gt; 0,"pas de quantité","pas de prix, ni de quantité"))))</f>
        <v/>
      </c>
      <c r="BI5052" s="19"/>
    </row>
    <row r="5053" customFormat="false" ht="15" hidden="false" customHeight="false" outlineLevel="0" collapsed="false">
      <c r="A5053" s="0" t="n">
        <v>12</v>
      </c>
      <c r="B5053" s="8" t="s">
        <v>24</v>
      </c>
      <c r="C5053" s="9" t="s">
        <v>25</v>
      </c>
      <c r="D5053" s="9" t="s">
        <v>26</v>
      </c>
      <c r="E5053" s="10" t="n">
        <v>1789</v>
      </c>
      <c r="F5053" s="9" t="s">
        <v>27</v>
      </c>
      <c r="G5053" s="9" t="s">
        <v>27</v>
      </c>
      <c r="H5053" s="11" t="n">
        <v>22</v>
      </c>
      <c r="I5053" s="11" t="s">
        <v>213</v>
      </c>
      <c r="J5053" s="14" t="n">
        <v>31</v>
      </c>
      <c r="K5053" s="14"/>
      <c r="L5053" s="16"/>
      <c r="M5053" s="27" t="n">
        <f aca="false">J5053+(K5053/20)+(L5053/240)</f>
        <v>31</v>
      </c>
      <c r="N5053" s="17" t="s">
        <v>64</v>
      </c>
      <c r="O5053" s="11"/>
      <c r="P5053" s="28"/>
      <c r="Q5053" s="28" t="n">
        <f aca="false">P5053*$M5053</f>
        <v>0</v>
      </c>
      <c r="R5053" s="28"/>
      <c r="S5053" s="28" t="n">
        <f aca="false">R5053*$M5053</f>
        <v>0</v>
      </c>
      <c r="T5053" s="28"/>
      <c r="U5053" s="28" t="n">
        <f aca="false">T5053*$M5053</f>
        <v>0</v>
      </c>
      <c r="V5053" s="28"/>
      <c r="W5053" s="28" t="n">
        <f aca="false">V5053*$M5053</f>
        <v>0</v>
      </c>
      <c r="X5053" s="28" t="n">
        <f aca="false">18202/100</f>
        <v>182.02</v>
      </c>
      <c r="Y5053" s="28" t="n">
        <v>5643</v>
      </c>
      <c r="Z5053" s="28"/>
      <c r="AA5053" s="28" t="n">
        <f aca="false">Z5053*$M5053</f>
        <v>0</v>
      </c>
      <c r="AB5053" s="28"/>
      <c r="AC5053" s="28" t="n">
        <f aca="false">AB5053*$M5053</f>
        <v>0</v>
      </c>
      <c r="AD5053" s="28"/>
      <c r="AE5053" s="28" t="n">
        <f aca="false">AD5053*$M5053</f>
        <v>0</v>
      </c>
      <c r="AF5053" s="28"/>
      <c r="AG5053" s="28" t="n">
        <f aca="false">AF5053*$M5053</f>
        <v>0</v>
      </c>
      <c r="AH5053" s="28"/>
      <c r="AI5053" s="28" t="n">
        <f aca="false">AH5053*$M5053</f>
        <v>0</v>
      </c>
      <c r="AJ5053" s="28"/>
      <c r="AK5053" s="28" t="n">
        <f aca="false">AJ5053*$M5053</f>
        <v>0</v>
      </c>
      <c r="AL5053" s="28"/>
      <c r="AM5053" s="28" t="n">
        <f aca="false">AL5053*$M5053</f>
        <v>0</v>
      </c>
      <c r="AN5053" s="28"/>
      <c r="AO5053" s="28" t="n">
        <f aca="false">AN5053*$M5053</f>
        <v>0</v>
      </c>
      <c r="AP5053" s="28"/>
      <c r="AQ5053" s="28" t="n">
        <f aca="false">AP5053*$M5053</f>
        <v>0</v>
      </c>
      <c r="AR5053" s="28"/>
      <c r="AS5053" s="28" t="n">
        <f aca="false">AR5053*$M5053</f>
        <v>0</v>
      </c>
      <c r="AT5053" s="28"/>
      <c r="AU5053" s="28" t="n">
        <f aca="false">AT5053*$M5053</f>
        <v>0</v>
      </c>
      <c r="AV5053" s="28"/>
      <c r="AW5053" s="28" t="n">
        <f aca="false">AV5053*$M5053</f>
        <v>0</v>
      </c>
      <c r="AX5053" s="28"/>
      <c r="AY5053" s="28" t="n">
        <f aca="false">AX5053*$M5053</f>
        <v>0</v>
      </c>
      <c r="AZ5053" s="30" t="n">
        <f aca="false">18202/100</f>
        <v>182.02</v>
      </c>
      <c r="BA5053" s="11" t="n">
        <v>5643</v>
      </c>
      <c r="BB5053" s="31" t="n">
        <f aca="false">SUM(Q5053,S5053,U5053,W5053,Y5053,AA5053,AC5053,AE5053,AG5053,AI5053,AK5053,AM5053,AO5053,AQ5053,AS5053,AU5053,AW5053,AY5053)</f>
        <v>5643</v>
      </c>
      <c r="BC5053" s="28" t="n">
        <f aca="false">BA5053-BB5053</f>
        <v>0</v>
      </c>
      <c r="BD5053" s="32" t="n">
        <f aca="false">SUM(P5053,R5053,T5053,V5053,X5053,Z5053,AB5053,AD5053,AF5053,AH5053,AJ5053,AL5053,AN5053,AP5053,AR5053,AT5053,AV5053,AX5053)</f>
        <v>182.02</v>
      </c>
      <c r="BE5053" s="33" t="n">
        <f aca="false">AZ5053-BD5053</f>
        <v>0</v>
      </c>
      <c r="BF5053" s="34" t="n">
        <f aca="false">BD5053*M5053</f>
        <v>5642.62</v>
      </c>
      <c r="BG5053" s="35" t="n">
        <f aca="false">BA5053-BF5053</f>
        <v>0.380000000000109</v>
      </c>
      <c r="BH5053" s="19" t="str">
        <f aca="false">IF(BG5053=0,"",IF(BG5053&lt;&gt;BA5053,"erreur de calcul",IF(BD5053&lt;&gt;0,"pas de prix",IF(M5053&lt;&gt; 0,"pas de quantité","pas de prix, ni de quantité"))))</f>
        <v>erreur de calcul</v>
      </c>
      <c r="BI5053" s="19"/>
    </row>
    <row r="5054" customFormat="false" ht="15" hidden="false" customHeight="false" outlineLevel="0" collapsed="false">
      <c r="A5054" s="0" t="n">
        <v>13</v>
      </c>
      <c r="B5054" s="8" t="s">
        <v>24</v>
      </c>
      <c r="C5054" s="9" t="s">
        <v>25</v>
      </c>
      <c r="D5054" s="9" t="s">
        <v>26</v>
      </c>
      <c r="E5054" s="10" t="n">
        <v>1789</v>
      </c>
      <c r="F5054" s="9" t="s">
        <v>27</v>
      </c>
      <c r="G5054" s="9" t="s">
        <v>27</v>
      </c>
      <c r="H5054" s="11" t="n">
        <v>22</v>
      </c>
      <c r="I5054" s="11" t="s">
        <v>214</v>
      </c>
      <c r="J5054" s="14"/>
      <c r="K5054" s="14" t="n">
        <v>20</v>
      </c>
      <c r="L5054" s="16"/>
      <c r="M5054" s="27" t="n">
        <f aca="false">J5054+(K5054/20)+(L5054/240)</f>
        <v>1</v>
      </c>
      <c r="N5054" s="17" t="s">
        <v>66</v>
      </c>
      <c r="O5054" s="11"/>
      <c r="P5054" s="28"/>
      <c r="Q5054" s="28" t="n">
        <f aca="false">P5054*$M5054</f>
        <v>0</v>
      </c>
      <c r="R5054" s="28"/>
      <c r="S5054" s="28" t="n">
        <f aca="false">R5054*$M5054</f>
        <v>0</v>
      </c>
      <c r="T5054" s="28"/>
      <c r="U5054" s="28" t="n">
        <f aca="false">T5054*$M5054</f>
        <v>0</v>
      </c>
      <c r="V5054" s="28"/>
      <c r="W5054" s="28" t="n">
        <f aca="false">V5054*$M5054</f>
        <v>0</v>
      </c>
      <c r="X5054" s="28"/>
      <c r="Y5054" s="28" t="n">
        <f aca="false">X5054*$M5054</f>
        <v>0</v>
      </c>
      <c r="Z5054" s="28"/>
      <c r="AA5054" s="28" t="n">
        <f aca="false">Z5054*$M5054</f>
        <v>0</v>
      </c>
      <c r="AB5054" s="28"/>
      <c r="AC5054" s="28" t="n">
        <f aca="false">AB5054*$M5054</f>
        <v>0</v>
      </c>
      <c r="AD5054" s="28" t="n">
        <v>2831</v>
      </c>
      <c r="AE5054" s="28" t="n">
        <v>2831</v>
      </c>
      <c r="AF5054" s="28"/>
      <c r="AG5054" s="28" t="n">
        <f aca="false">AF5054*$M5054</f>
        <v>0</v>
      </c>
      <c r="AH5054" s="28"/>
      <c r="AI5054" s="28" t="n">
        <f aca="false">AH5054*$M5054</f>
        <v>0</v>
      </c>
      <c r="AJ5054" s="28"/>
      <c r="AK5054" s="28" t="n">
        <f aca="false">AJ5054*$M5054</f>
        <v>0</v>
      </c>
      <c r="AL5054" s="28"/>
      <c r="AM5054" s="28" t="n">
        <f aca="false">AL5054*$M5054</f>
        <v>0</v>
      </c>
      <c r="AN5054" s="28"/>
      <c r="AO5054" s="28" t="n">
        <f aca="false">AN5054*$M5054</f>
        <v>0</v>
      </c>
      <c r="AP5054" s="28"/>
      <c r="AQ5054" s="28" t="n">
        <f aca="false">AP5054*$M5054</f>
        <v>0</v>
      </c>
      <c r="AR5054" s="28"/>
      <c r="AS5054" s="28" t="n">
        <f aca="false">AR5054*$M5054</f>
        <v>0</v>
      </c>
      <c r="AT5054" s="28"/>
      <c r="AU5054" s="28" t="n">
        <f aca="false">AT5054*$M5054</f>
        <v>0</v>
      </c>
      <c r="AV5054" s="28"/>
      <c r="AW5054" s="28" t="n">
        <f aca="false">AV5054*$M5054</f>
        <v>0</v>
      </c>
      <c r="AX5054" s="28"/>
      <c r="AY5054" s="28" t="n">
        <f aca="false">AX5054*$M5054</f>
        <v>0</v>
      </c>
      <c r="AZ5054" s="30" t="n">
        <v>2831</v>
      </c>
      <c r="BA5054" s="11" t="n">
        <v>2831</v>
      </c>
      <c r="BB5054" s="31" t="n">
        <f aca="false">SUM(Q5054,S5054,U5054,W5054,Y5054,AA5054,AC5054,AE5054,AG5054,AI5054,AK5054,AM5054,AO5054,AQ5054,AS5054,AU5054,AW5054,AY5054)</f>
        <v>2831</v>
      </c>
      <c r="BC5054" s="28" t="n">
        <f aca="false">BA5054-BB5054</f>
        <v>0</v>
      </c>
      <c r="BD5054" s="32" t="n">
        <f aca="false">SUM(P5054,R5054,T5054,V5054,X5054,Z5054,AB5054,AD5054,AF5054,AH5054,AJ5054,AL5054,AN5054,AP5054,AR5054,AT5054,AV5054,AX5054)</f>
        <v>2831</v>
      </c>
      <c r="BE5054" s="33" t="n">
        <f aca="false">AZ5054-BD5054</f>
        <v>0</v>
      </c>
      <c r="BF5054" s="34" t="n">
        <f aca="false">BD5054*M5054</f>
        <v>2831</v>
      </c>
      <c r="BG5054" s="35" t="n">
        <f aca="false">BA5054-BF5054</f>
        <v>0</v>
      </c>
      <c r="BH5054" s="19" t="str">
        <f aca="false">IF(BG5054=0,"",IF(BG5054&lt;&gt;BA5054,"erreur de calcul",IF(BD5054&lt;&gt;0,"pas de prix",IF(M5054&lt;&gt; 0,"pas de quantité","pas de prix, ni de quantité"))))</f>
        <v/>
      </c>
      <c r="BI5054" s="19"/>
    </row>
    <row r="5055" customFormat="false" ht="15" hidden="false" customHeight="false" outlineLevel="0" collapsed="false">
      <c r="A5055" s="0" t="n">
        <v>14</v>
      </c>
      <c r="B5055" s="8" t="s">
        <v>24</v>
      </c>
      <c r="C5055" s="9" t="s">
        <v>25</v>
      </c>
      <c r="D5055" s="9" t="s">
        <v>26</v>
      </c>
      <c r="E5055" s="10" t="n">
        <v>1789</v>
      </c>
      <c r="F5055" s="9" t="s">
        <v>27</v>
      </c>
      <c r="G5055" s="9" t="s">
        <v>27</v>
      </c>
      <c r="H5055" s="11" t="n">
        <v>22</v>
      </c>
      <c r="I5055" s="11" t="s">
        <v>215</v>
      </c>
      <c r="J5055" s="14" t="n">
        <v>36</v>
      </c>
      <c r="K5055" s="14"/>
      <c r="L5055" s="16"/>
      <c r="M5055" s="27" t="n">
        <f aca="false">J5055+(K5055/20)+(L5055/240)</f>
        <v>36</v>
      </c>
      <c r="N5055" s="17" t="s">
        <v>64</v>
      </c>
      <c r="O5055" s="11"/>
      <c r="P5055" s="28"/>
      <c r="Q5055" s="28" t="n">
        <f aca="false">P5055*$M5055</f>
        <v>0</v>
      </c>
      <c r="R5055" s="28"/>
      <c r="S5055" s="28" t="n">
        <f aca="false">R5055*$M5055</f>
        <v>0</v>
      </c>
      <c r="T5055" s="28"/>
      <c r="U5055" s="28" t="n">
        <f aca="false">T5055*$M5055</f>
        <v>0</v>
      </c>
      <c r="V5055" s="28"/>
      <c r="W5055" s="28" t="n">
        <f aca="false">V5055*$M5055</f>
        <v>0</v>
      </c>
      <c r="X5055" s="28"/>
      <c r="Y5055" s="28" t="n">
        <f aca="false">X5055*$M5055</f>
        <v>0</v>
      </c>
      <c r="Z5055" s="28"/>
      <c r="AA5055" s="28" t="n">
        <f aca="false">Z5055*$M5055</f>
        <v>0</v>
      </c>
      <c r="AB5055" s="28"/>
      <c r="AC5055" s="28" t="n">
        <f aca="false">AB5055*$M5055</f>
        <v>0</v>
      </c>
      <c r="AD5055" s="28"/>
      <c r="AE5055" s="28" t="n">
        <f aca="false">AD5055*$M5055</f>
        <v>0</v>
      </c>
      <c r="AF5055" s="28" t="n">
        <f aca="false">92472/100</f>
        <v>924.72</v>
      </c>
      <c r="AG5055" s="28" t="n">
        <v>33290</v>
      </c>
      <c r="AH5055" s="28" t="n">
        <f aca="false">490633/100</f>
        <v>4906.33</v>
      </c>
      <c r="AI5055" s="28" t="n">
        <v>176628</v>
      </c>
      <c r="AJ5055" s="28"/>
      <c r="AK5055" s="28" t="n">
        <f aca="false">AJ5055*$M5055</f>
        <v>0</v>
      </c>
      <c r="AL5055" s="28"/>
      <c r="AM5055" s="28" t="n">
        <f aca="false">AL5055*$M5055</f>
        <v>0</v>
      </c>
      <c r="AN5055" s="28"/>
      <c r="AO5055" s="28" t="n">
        <f aca="false">AN5055*$M5055</f>
        <v>0</v>
      </c>
      <c r="AP5055" s="28"/>
      <c r="AQ5055" s="28" t="n">
        <f aca="false">AP5055*$M5055</f>
        <v>0</v>
      </c>
      <c r="AR5055" s="28"/>
      <c r="AS5055" s="28" t="n">
        <f aca="false">AR5055*$M5055</f>
        <v>0</v>
      </c>
      <c r="AT5055" s="28"/>
      <c r="AU5055" s="28" t="n">
        <f aca="false">AT5055*$M5055</f>
        <v>0</v>
      </c>
      <c r="AV5055" s="28"/>
      <c r="AW5055" s="28" t="n">
        <f aca="false">AV5055*$M5055</f>
        <v>0</v>
      </c>
      <c r="AX5055" s="28"/>
      <c r="AY5055" s="28" t="n">
        <f aca="false">AX5055*$M5055</f>
        <v>0</v>
      </c>
      <c r="AZ5055" s="30" t="n">
        <f aca="false">583105/100</f>
        <v>5831.05</v>
      </c>
      <c r="BA5055" s="11" t="n">
        <v>209918</v>
      </c>
      <c r="BB5055" s="31" t="n">
        <f aca="false">SUM(Q5055,S5055,U5055,W5055,Y5055,AA5055,AC5055,AE5055,AG5055,AI5055,AK5055,AM5055,AO5055,AQ5055,AS5055,AU5055,AW5055,AY5055)</f>
        <v>209918</v>
      </c>
      <c r="BC5055" s="28" t="n">
        <f aca="false">BA5055-BB5055</f>
        <v>0</v>
      </c>
      <c r="BD5055" s="32" t="n">
        <f aca="false">SUM(P5055,R5055,T5055,V5055,X5055,Z5055,AB5055,AD5055,AF5055,AH5055,AJ5055,AL5055,AN5055,AP5055,AR5055,AT5055,AV5055,AX5055)</f>
        <v>5831.05</v>
      </c>
      <c r="BE5055" s="33" t="n">
        <f aca="false">AZ5055-BD5055</f>
        <v>0</v>
      </c>
      <c r="BF5055" s="34" t="n">
        <f aca="false">BD5055*M5055</f>
        <v>209917.8</v>
      </c>
      <c r="BG5055" s="35" t="n">
        <f aca="false">BA5055-BF5055</f>
        <v>0.199999999982538</v>
      </c>
      <c r="BH5055" s="19" t="str">
        <f aca="false">IF(BG5055=0,"",IF(BG5055&lt;&gt;BA5055,"erreur de calcul",IF(BD5055&lt;&gt;0,"pas de prix",IF(M5055&lt;&gt; 0,"pas de quantité","pas de prix, ni de quantité"))))</f>
        <v>erreur de calcul</v>
      </c>
      <c r="BI5055" s="19"/>
    </row>
    <row r="5056" customFormat="false" ht="15" hidden="false" customHeight="false" outlineLevel="0" collapsed="false">
      <c r="A5056" s="0" t="n">
        <v>15</v>
      </c>
      <c r="B5056" s="8" t="s">
        <v>24</v>
      </c>
      <c r="C5056" s="9" t="s">
        <v>25</v>
      </c>
      <c r="D5056" s="9" t="s">
        <v>26</v>
      </c>
      <c r="E5056" s="10" t="n">
        <v>1789</v>
      </c>
      <c r="F5056" s="9" t="s">
        <v>27</v>
      </c>
      <c r="G5056" s="9" t="s">
        <v>27</v>
      </c>
      <c r="H5056" s="11" t="n">
        <v>22</v>
      </c>
      <c r="I5056" s="11" t="s">
        <v>216</v>
      </c>
      <c r="J5056" s="14"/>
      <c r="K5056" s="14" t="n">
        <v>22</v>
      </c>
      <c r="L5056" s="16"/>
      <c r="M5056" s="27" t="n">
        <f aca="false">J5056+(K5056/20)+(L5056/240)</f>
        <v>1.1</v>
      </c>
      <c r="N5056" s="17" t="s">
        <v>66</v>
      </c>
      <c r="O5056" s="11"/>
      <c r="P5056" s="28"/>
      <c r="Q5056" s="28" t="n">
        <f aca="false">P5056*$M5056</f>
        <v>0</v>
      </c>
      <c r="R5056" s="28"/>
      <c r="S5056" s="28" t="n">
        <f aca="false">R5056*$M5056</f>
        <v>0</v>
      </c>
      <c r="T5056" s="28" t="n">
        <v>2875</v>
      </c>
      <c r="U5056" s="28" t="n">
        <v>3162</v>
      </c>
      <c r="V5056" s="28"/>
      <c r="W5056" s="28" t="n">
        <f aca="false">V5056*$M5056</f>
        <v>0</v>
      </c>
      <c r="X5056" s="28"/>
      <c r="Y5056" s="28" t="n">
        <f aca="false">X5056*$M5056</f>
        <v>0</v>
      </c>
      <c r="Z5056" s="28"/>
      <c r="AA5056" s="28" t="n">
        <f aca="false">Z5056*$M5056</f>
        <v>0</v>
      </c>
      <c r="AB5056" s="28"/>
      <c r="AC5056" s="28" t="n">
        <f aca="false">AB5056*$M5056</f>
        <v>0</v>
      </c>
      <c r="AD5056" s="28"/>
      <c r="AE5056" s="28" t="n">
        <f aca="false">AD5056*$M5056</f>
        <v>0</v>
      </c>
      <c r="AF5056" s="28"/>
      <c r="AG5056" s="28" t="n">
        <f aca="false">AF5056*$M5056</f>
        <v>0</v>
      </c>
      <c r="AH5056" s="28"/>
      <c r="AI5056" s="28" t="n">
        <f aca="false">AH5056*$M5056</f>
        <v>0</v>
      </c>
      <c r="AJ5056" s="28"/>
      <c r="AK5056" s="28" t="n">
        <f aca="false">AJ5056*$M5056</f>
        <v>0</v>
      </c>
      <c r="AL5056" s="28"/>
      <c r="AM5056" s="28" t="n">
        <f aca="false">AL5056*$M5056</f>
        <v>0</v>
      </c>
      <c r="AN5056" s="28"/>
      <c r="AO5056" s="28" t="n">
        <f aca="false">AN5056*$M5056</f>
        <v>0</v>
      </c>
      <c r="AP5056" s="28"/>
      <c r="AQ5056" s="28" t="n">
        <f aca="false">AP5056*$M5056</f>
        <v>0</v>
      </c>
      <c r="AR5056" s="28"/>
      <c r="AS5056" s="28" t="n">
        <f aca="false">AR5056*$M5056</f>
        <v>0</v>
      </c>
      <c r="AT5056" s="28"/>
      <c r="AU5056" s="28" t="n">
        <f aca="false">AT5056*$M5056</f>
        <v>0</v>
      </c>
      <c r="AV5056" s="28"/>
      <c r="AW5056" s="28" t="n">
        <f aca="false">AV5056*$M5056</f>
        <v>0</v>
      </c>
      <c r="AX5056" s="28"/>
      <c r="AY5056" s="28" t="n">
        <f aca="false">AX5056*$M5056</f>
        <v>0</v>
      </c>
      <c r="AZ5056" s="30" t="n">
        <v>2875</v>
      </c>
      <c r="BA5056" s="11" t="n">
        <v>3162</v>
      </c>
      <c r="BB5056" s="31" t="n">
        <f aca="false">SUM(Q5056,S5056,U5056,W5056,Y5056,AA5056,AC5056,AE5056,AG5056,AI5056,AK5056,AM5056,AO5056,AQ5056,AS5056,AU5056,AW5056,AY5056)</f>
        <v>3162</v>
      </c>
      <c r="BC5056" s="28" t="n">
        <f aca="false">BA5056-BB5056</f>
        <v>0</v>
      </c>
      <c r="BD5056" s="32" t="n">
        <f aca="false">SUM(P5056,R5056,T5056,V5056,X5056,Z5056,AB5056,AD5056,AF5056,AH5056,AJ5056,AL5056,AN5056,AP5056,AR5056,AT5056,AV5056,AX5056)</f>
        <v>2875</v>
      </c>
      <c r="BE5056" s="33" t="n">
        <f aca="false">AZ5056-BD5056</f>
        <v>0</v>
      </c>
      <c r="BF5056" s="34" t="n">
        <f aca="false">BD5056*M5056</f>
        <v>3162.5</v>
      </c>
      <c r="BG5056" s="35" t="n">
        <f aca="false">BA5056-BF5056</f>
        <v>-0.500000000000455</v>
      </c>
      <c r="BH5056" s="19" t="str">
        <f aca="false">IF(BG5056=0,"",IF(BG5056&lt;&gt;BA5056,"erreur de calcul",IF(BD5056&lt;&gt;0,"pas de prix",IF(M5056&lt;&gt; 0,"pas de quantité","pas de prix, ni de quantité"))))</f>
        <v>erreur de calcul</v>
      </c>
      <c r="BI5056" s="19"/>
    </row>
    <row r="5057" customFormat="false" ht="15" hidden="false" customHeight="false" outlineLevel="0" collapsed="false">
      <c r="A5057" s="0" t="n">
        <v>16</v>
      </c>
      <c r="B5057" s="8" t="s">
        <v>24</v>
      </c>
      <c r="C5057" s="9" t="s">
        <v>25</v>
      </c>
      <c r="D5057" s="9" t="s">
        <v>26</v>
      </c>
      <c r="E5057" s="10" t="n">
        <v>1789</v>
      </c>
      <c r="F5057" s="9" t="s">
        <v>27</v>
      </c>
      <c r="G5057" s="9" t="s">
        <v>27</v>
      </c>
      <c r="H5057" s="11" t="n">
        <v>22</v>
      </c>
      <c r="I5057" s="11" t="s">
        <v>217</v>
      </c>
      <c r="J5057" s="14" t="n">
        <v>90</v>
      </c>
      <c r="K5057" s="14"/>
      <c r="L5057" s="16"/>
      <c r="M5057" s="27" t="n">
        <f aca="false">J5057+(K5057/20)+(L5057/240)</f>
        <v>90</v>
      </c>
      <c r="N5057" s="17" t="s">
        <v>64</v>
      </c>
      <c r="O5057" s="11"/>
      <c r="P5057" s="28"/>
      <c r="Q5057" s="28" t="n">
        <f aca="false">P5057*$M5057</f>
        <v>0</v>
      </c>
      <c r="R5057" s="28"/>
      <c r="S5057" s="28" t="n">
        <f aca="false">R5057*$M5057</f>
        <v>0</v>
      </c>
      <c r="T5057" s="28"/>
      <c r="U5057" s="28" t="n">
        <f aca="false">T5057*$M5057</f>
        <v>0</v>
      </c>
      <c r="V5057" s="28"/>
      <c r="W5057" s="28" t="n">
        <f aca="false">V5057*$M5057</f>
        <v>0</v>
      </c>
      <c r="X5057" s="28" t="n">
        <f aca="false">2440/100</f>
        <v>24.4</v>
      </c>
      <c r="Y5057" s="28" t="n">
        <v>2196</v>
      </c>
      <c r="Z5057" s="28"/>
      <c r="AA5057" s="28" t="n">
        <f aca="false">Z5057*$M5057</f>
        <v>0</v>
      </c>
      <c r="AB5057" s="28"/>
      <c r="AC5057" s="28" t="n">
        <f aca="false">AB5057*$M5057</f>
        <v>0</v>
      </c>
      <c r="AD5057" s="28"/>
      <c r="AE5057" s="28" t="n">
        <f aca="false">AD5057*$M5057</f>
        <v>0</v>
      </c>
      <c r="AF5057" s="28"/>
      <c r="AG5057" s="28" t="n">
        <f aca="false">AF5057*$M5057</f>
        <v>0</v>
      </c>
      <c r="AH5057" s="28" t="n">
        <f aca="false">524577/100</f>
        <v>5245.77</v>
      </c>
      <c r="AI5057" s="28" t="n">
        <v>472116</v>
      </c>
      <c r="AJ5057" s="28"/>
      <c r="AK5057" s="28" t="n">
        <f aca="false">AJ5057*$M5057</f>
        <v>0</v>
      </c>
      <c r="AL5057" s="28"/>
      <c r="AM5057" s="28" t="n">
        <f aca="false">AL5057*$M5057</f>
        <v>0</v>
      </c>
      <c r="AN5057" s="28"/>
      <c r="AO5057" s="28" t="n">
        <f aca="false">AN5057*$M5057</f>
        <v>0</v>
      </c>
      <c r="AP5057" s="28"/>
      <c r="AQ5057" s="28" t="n">
        <f aca="false">AP5057*$M5057</f>
        <v>0</v>
      </c>
      <c r="AR5057" s="28"/>
      <c r="AS5057" s="28" t="n">
        <f aca="false">AR5057*$M5057</f>
        <v>0</v>
      </c>
      <c r="AT5057" s="28"/>
      <c r="AU5057" s="28" t="n">
        <f aca="false">AT5057*$M5057</f>
        <v>0</v>
      </c>
      <c r="AV5057" s="28"/>
      <c r="AW5057" s="28" t="n">
        <f aca="false">AV5057*$M5057</f>
        <v>0</v>
      </c>
      <c r="AX5057" s="28"/>
      <c r="AY5057" s="28" t="n">
        <f aca="false">AX5057*$M5057</f>
        <v>0</v>
      </c>
      <c r="AZ5057" s="30" t="n">
        <f aca="false">526980/100</f>
        <v>5269.8</v>
      </c>
      <c r="BA5057" s="11" t="n">
        <v>474312</v>
      </c>
      <c r="BB5057" s="31" t="n">
        <f aca="false">SUM(Q5057,S5057,U5057,W5057,Y5057,AA5057,AC5057,AE5057,AG5057,AI5057,AK5057,AM5057,AO5057,AQ5057,AS5057,AU5057,AW5057,AY5057)</f>
        <v>474312</v>
      </c>
      <c r="BC5057" s="28" t="n">
        <f aca="false">BA5057-BB5057</f>
        <v>0</v>
      </c>
      <c r="BD5057" s="32" t="n">
        <f aca="false">SUM(P5057,R5057,T5057,V5057,X5057,Z5057,AB5057,AD5057,AF5057,AH5057,AJ5057,AL5057,AN5057,AP5057,AR5057,AT5057,AV5057,AX5057)</f>
        <v>5270.17</v>
      </c>
      <c r="BE5057" s="33" t="n">
        <f aca="false">AZ5057-BD5057</f>
        <v>-0.369999999999891</v>
      </c>
      <c r="BF5057" s="34" t="n">
        <f aca="false">BD5057*M5057</f>
        <v>474315.3</v>
      </c>
      <c r="BG5057" s="35" t="n">
        <f aca="false">BA5057-BF5057</f>
        <v>-3.29999999998836</v>
      </c>
      <c r="BH5057" s="19" t="str">
        <f aca="false">IF(BG5057=0,"",IF(BG5057&lt;&gt;BA5057,"erreur de calcul",IF(BD5057&lt;&gt;0,"pas de prix",IF(M5057&lt;&gt; 0,"pas de quantité","pas de prix, ni de quantité"))))</f>
        <v>erreur de calcul</v>
      </c>
      <c r="BI5057" s="19"/>
    </row>
    <row r="5058" customFormat="false" ht="15" hidden="false" customHeight="false" outlineLevel="0" collapsed="false">
      <c r="A5058" s="0" t="n">
        <v>17</v>
      </c>
      <c r="B5058" s="8" t="s">
        <v>24</v>
      </c>
      <c r="C5058" s="9" t="s">
        <v>25</v>
      </c>
      <c r="D5058" s="9" t="s">
        <v>26</v>
      </c>
      <c r="E5058" s="10" t="n">
        <v>1789</v>
      </c>
      <c r="F5058" s="9" t="s">
        <v>27</v>
      </c>
      <c r="G5058" s="9" t="s">
        <v>27</v>
      </c>
      <c r="H5058" s="11" t="n">
        <v>22</v>
      </c>
      <c r="I5058" s="11" t="s">
        <v>218</v>
      </c>
      <c r="J5058" s="14" t="n">
        <v>15</v>
      </c>
      <c r="K5058" s="14"/>
      <c r="L5058" s="16"/>
      <c r="M5058" s="27" t="n">
        <f aca="false">J5058+(K5058/20)+(L5058/240)</f>
        <v>15</v>
      </c>
      <c r="N5058" s="17" t="s">
        <v>64</v>
      </c>
      <c r="O5058" s="11"/>
      <c r="P5058" s="28" t="n">
        <f aca="false">12250/100</f>
        <v>122.5</v>
      </c>
      <c r="Q5058" s="28" t="n">
        <v>1837</v>
      </c>
      <c r="R5058" s="28"/>
      <c r="S5058" s="28" t="n">
        <f aca="false">R5058*$M5058</f>
        <v>0</v>
      </c>
      <c r="T5058" s="28"/>
      <c r="U5058" s="28" t="n">
        <f aca="false">T5058*$M5058</f>
        <v>0</v>
      </c>
      <c r="V5058" s="28" t="n">
        <f aca="false">118493/100</f>
        <v>1184.93</v>
      </c>
      <c r="W5058" s="28" t="n">
        <v>17774</v>
      </c>
      <c r="X5058" s="28" t="n">
        <f aca="false">16835/100</f>
        <v>168.35</v>
      </c>
      <c r="Y5058" s="28" t="n">
        <v>2525</v>
      </c>
      <c r="Z5058" s="28"/>
      <c r="AA5058" s="28" t="n">
        <f aca="false">Z5058*$M5058</f>
        <v>0</v>
      </c>
      <c r="AB5058" s="28" t="n">
        <f aca="false">268622/100</f>
        <v>2686.22</v>
      </c>
      <c r="AC5058" s="28" t="n">
        <v>40293</v>
      </c>
      <c r="AD5058" s="28"/>
      <c r="AE5058" s="28" t="n">
        <f aca="false">AD5058*$M5058</f>
        <v>0</v>
      </c>
      <c r="AF5058" s="28"/>
      <c r="AG5058" s="28" t="n">
        <f aca="false">AF5058*$M5058</f>
        <v>0</v>
      </c>
      <c r="AH5058" s="28" t="n">
        <f aca="false">70164/100</f>
        <v>701.64</v>
      </c>
      <c r="AI5058" s="28" t="n">
        <v>10524</v>
      </c>
      <c r="AJ5058" s="28"/>
      <c r="AK5058" s="28" t="n">
        <f aca="false">AJ5058*$M5058</f>
        <v>0</v>
      </c>
      <c r="AL5058" s="28"/>
      <c r="AM5058" s="28" t="n">
        <f aca="false">AL5058*$M5058</f>
        <v>0</v>
      </c>
      <c r="AN5058" s="28"/>
      <c r="AO5058" s="28" t="n">
        <f aca="false">AN5058*$M5058</f>
        <v>0</v>
      </c>
      <c r="AP5058" s="28"/>
      <c r="AQ5058" s="28" t="n">
        <f aca="false">AP5058*$M5058</f>
        <v>0</v>
      </c>
      <c r="AR5058" s="28"/>
      <c r="AS5058" s="28" t="n">
        <f aca="false">AR5058*$M5058</f>
        <v>0</v>
      </c>
      <c r="AT5058" s="28"/>
      <c r="AU5058" s="28" t="n">
        <f aca="false">AT5058*$M5058</f>
        <v>0</v>
      </c>
      <c r="AV5058" s="28"/>
      <c r="AW5058" s="28" t="n">
        <f aca="false">AV5058*$M5058</f>
        <v>0</v>
      </c>
      <c r="AX5058" s="28"/>
      <c r="AY5058" s="28" t="n">
        <f aca="false">AX5058*$M5058</f>
        <v>0</v>
      </c>
      <c r="AZ5058" s="30" t="n">
        <f aca="false">486364/100</f>
        <v>4863.64</v>
      </c>
      <c r="BA5058" s="11" t="n">
        <v>72953</v>
      </c>
      <c r="BB5058" s="31" t="n">
        <f aca="false">SUM(Q5058,S5058,U5058,W5058,Y5058,AA5058,AC5058,AE5058,AG5058,AI5058,AK5058,AM5058,AO5058,AQ5058,AS5058,AU5058,AW5058,AY5058)</f>
        <v>72953</v>
      </c>
      <c r="BC5058" s="28" t="n">
        <f aca="false">BA5058-BB5058</f>
        <v>0</v>
      </c>
      <c r="BD5058" s="32" t="n">
        <f aca="false">SUM(P5058,R5058,T5058,V5058,X5058,Z5058,AB5058,AD5058,AF5058,AH5058,AJ5058,AL5058,AN5058,AP5058,AR5058,AT5058,AV5058,AX5058)</f>
        <v>4863.64</v>
      </c>
      <c r="BE5058" s="33" t="n">
        <f aca="false">AZ5058-BD5058</f>
        <v>0</v>
      </c>
      <c r="BF5058" s="34" t="n">
        <f aca="false">BD5058*M5058</f>
        <v>72954.6</v>
      </c>
      <c r="BG5058" s="35" t="n">
        <f aca="false">BA5058-BF5058</f>
        <v>-1.59999999999127</v>
      </c>
      <c r="BH5058" s="19" t="str">
        <f aca="false">IF(BG5058=0,"",IF(BG5058&lt;&gt;BA5058,"erreur de calcul",IF(BD5058&lt;&gt;0,"pas de prix",IF(M5058&lt;&gt; 0,"pas de quantité","pas de prix, ni de quantité"))))</f>
        <v>erreur de calcul</v>
      </c>
      <c r="BI5058" s="19"/>
    </row>
    <row r="5059" customFormat="false" ht="15" hidden="false" customHeight="false" outlineLevel="0" collapsed="false">
      <c r="A5059" s="0" t="n">
        <v>18</v>
      </c>
      <c r="B5059" s="8" t="s">
        <v>24</v>
      </c>
      <c r="C5059" s="9" t="s">
        <v>25</v>
      </c>
      <c r="D5059" s="9" t="s">
        <v>26</v>
      </c>
      <c r="E5059" s="10" t="n">
        <v>1789</v>
      </c>
      <c r="F5059" s="9" t="s">
        <v>27</v>
      </c>
      <c r="G5059" s="9" t="s">
        <v>27</v>
      </c>
      <c r="H5059" s="11" t="n">
        <v>22</v>
      </c>
      <c r="I5059" s="11" t="s">
        <v>219</v>
      </c>
      <c r="J5059" s="14" t="n">
        <v>12</v>
      </c>
      <c r="K5059" s="14"/>
      <c r="L5059" s="16"/>
      <c r="M5059" s="27" t="n">
        <f aca="false">J5059+(K5059/20)+(L5059/240)</f>
        <v>12</v>
      </c>
      <c r="N5059" s="17" t="s">
        <v>64</v>
      </c>
      <c r="O5059" s="11"/>
      <c r="P5059" s="28"/>
      <c r="Q5059" s="28" t="n">
        <f aca="false">P5059*$M5059</f>
        <v>0</v>
      </c>
      <c r="R5059" s="28"/>
      <c r="S5059" s="28" t="n">
        <f aca="false">R5059*$M5059</f>
        <v>0</v>
      </c>
      <c r="T5059" s="28"/>
      <c r="U5059" s="28" t="n">
        <f aca="false">T5059*$M5059</f>
        <v>0</v>
      </c>
      <c r="V5059" s="28" t="n">
        <f aca="false">26072/100</f>
        <v>260.72</v>
      </c>
      <c r="W5059" s="28" t="n">
        <v>3129</v>
      </c>
      <c r="X5059" s="28" t="n">
        <f aca="false">16340/100</f>
        <v>163.4</v>
      </c>
      <c r="Y5059" s="28" t="n">
        <v>1961</v>
      </c>
      <c r="Z5059" s="28"/>
      <c r="AA5059" s="28" t="n">
        <f aca="false">Z5059*$M5059</f>
        <v>0</v>
      </c>
      <c r="AB5059" s="28" t="n">
        <f aca="false">76351/100</f>
        <v>763.51</v>
      </c>
      <c r="AC5059" s="28" t="n">
        <v>9162</v>
      </c>
      <c r="AD5059" s="28"/>
      <c r="AE5059" s="28" t="n">
        <f aca="false">AD5059*$M5059</f>
        <v>0</v>
      </c>
      <c r="AF5059" s="28"/>
      <c r="AG5059" s="28" t="n">
        <f aca="false">AF5059*$M5059</f>
        <v>0</v>
      </c>
      <c r="AH5059" s="28"/>
      <c r="AI5059" s="28" t="n">
        <f aca="false">AH5059*$M5059</f>
        <v>0</v>
      </c>
      <c r="AJ5059" s="28"/>
      <c r="AK5059" s="28" t="n">
        <f aca="false">AJ5059*$M5059</f>
        <v>0</v>
      </c>
      <c r="AL5059" s="28"/>
      <c r="AM5059" s="28" t="n">
        <f aca="false">AL5059*$M5059</f>
        <v>0</v>
      </c>
      <c r="AN5059" s="28"/>
      <c r="AO5059" s="28" t="n">
        <f aca="false">AN5059*$M5059</f>
        <v>0</v>
      </c>
      <c r="AP5059" s="28"/>
      <c r="AQ5059" s="28" t="n">
        <f aca="false">AP5059*$M5059</f>
        <v>0</v>
      </c>
      <c r="AR5059" s="28"/>
      <c r="AS5059" s="28" t="n">
        <f aca="false">AR5059*$M5059</f>
        <v>0</v>
      </c>
      <c r="AT5059" s="28"/>
      <c r="AU5059" s="28" t="n">
        <f aca="false">AT5059*$M5059</f>
        <v>0</v>
      </c>
      <c r="AV5059" s="28"/>
      <c r="AW5059" s="28" t="n">
        <f aca="false">AV5059*$M5059</f>
        <v>0</v>
      </c>
      <c r="AX5059" s="28"/>
      <c r="AY5059" s="28" t="n">
        <f aca="false">AX5059*$M5059</f>
        <v>0</v>
      </c>
      <c r="AZ5059" s="30" t="n">
        <f aca="false">118763/100</f>
        <v>1187.63</v>
      </c>
      <c r="BA5059" s="11" t="n">
        <v>14252</v>
      </c>
      <c r="BB5059" s="31" t="n">
        <f aca="false">SUM(Q5059,S5059,U5059,W5059,Y5059,AA5059,AC5059,AE5059,AG5059,AI5059,AK5059,AM5059,AO5059,AQ5059,AS5059,AU5059,AW5059,AY5059)</f>
        <v>14252</v>
      </c>
      <c r="BC5059" s="28" t="n">
        <f aca="false">BA5059-BB5059</f>
        <v>0</v>
      </c>
      <c r="BD5059" s="32" t="n">
        <f aca="false">SUM(P5059,R5059,T5059,V5059,X5059,Z5059,AB5059,AD5059,AF5059,AH5059,AJ5059,AL5059,AN5059,AP5059,AR5059,AT5059,AV5059,AX5059)</f>
        <v>1187.63</v>
      </c>
      <c r="BE5059" s="33" t="n">
        <f aca="false">AZ5059-BD5059</f>
        <v>0</v>
      </c>
      <c r="BF5059" s="34" t="n">
        <f aca="false">BD5059*M5059</f>
        <v>14251.56</v>
      </c>
      <c r="BG5059" s="35" t="n">
        <f aca="false">BA5059-BF5059</f>
        <v>0.43999999999869</v>
      </c>
      <c r="BH5059" s="19" t="str">
        <f aca="false">IF(BG5059=0,"",IF(BG5059&lt;&gt;BA5059,"erreur de calcul",IF(BD5059&lt;&gt;0,"pas de prix",IF(M5059&lt;&gt; 0,"pas de quantité","pas de prix, ni de quantité"))))</f>
        <v>erreur de calcul</v>
      </c>
      <c r="BI5059" s="19"/>
    </row>
    <row r="5060" customFormat="false" ht="15" hidden="false" customHeight="false" outlineLevel="0" collapsed="false">
      <c r="A5060" s="0" t="n">
        <v>19</v>
      </c>
      <c r="B5060" s="8" t="s">
        <v>24</v>
      </c>
      <c r="C5060" s="9" t="s">
        <v>25</v>
      </c>
      <c r="D5060" s="9" t="s">
        <v>26</v>
      </c>
      <c r="E5060" s="10" t="n">
        <v>1789</v>
      </c>
      <c r="F5060" s="9" t="s">
        <v>27</v>
      </c>
      <c r="G5060" s="9" t="s">
        <v>27</v>
      </c>
      <c r="H5060" s="11" t="n">
        <v>22</v>
      </c>
      <c r="I5060" s="11" t="s">
        <v>220</v>
      </c>
      <c r="J5060" s="14" t="n">
        <v>8</v>
      </c>
      <c r="K5060" s="14"/>
      <c r="L5060" s="16"/>
      <c r="M5060" s="27" t="n">
        <f aca="false">J5060+(K5060/20)+(L5060/240)</f>
        <v>8</v>
      </c>
      <c r="N5060" s="17" t="s">
        <v>66</v>
      </c>
      <c r="O5060" s="11"/>
      <c r="P5060" s="28" t="n">
        <v>3798</v>
      </c>
      <c r="Q5060" s="28" t="n">
        <v>30384</v>
      </c>
      <c r="R5060" s="28"/>
      <c r="S5060" s="28" t="n">
        <f aca="false">R5060*$M5060</f>
        <v>0</v>
      </c>
      <c r="T5060" s="28"/>
      <c r="U5060" s="28" t="n">
        <f aca="false">T5060*$M5060</f>
        <v>0</v>
      </c>
      <c r="V5060" s="28"/>
      <c r="W5060" s="28" t="n">
        <f aca="false">V5060*$M5060</f>
        <v>0</v>
      </c>
      <c r="X5060" s="28"/>
      <c r="Y5060" s="28" t="n">
        <f aca="false">X5060*$M5060</f>
        <v>0</v>
      </c>
      <c r="Z5060" s="28"/>
      <c r="AA5060" s="28" t="n">
        <f aca="false">Z5060*$M5060</f>
        <v>0</v>
      </c>
      <c r="AB5060" s="28"/>
      <c r="AC5060" s="28" t="n">
        <f aca="false">AB5060*$M5060</f>
        <v>0</v>
      </c>
      <c r="AD5060" s="28"/>
      <c r="AE5060" s="28" t="n">
        <f aca="false">AD5060*$M5060</f>
        <v>0</v>
      </c>
      <c r="AF5060" s="28"/>
      <c r="AG5060" s="28" t="n">
        <f aca="false">AF5060*$M5060</f>
        <v>0</v>
      </c>
      <c r="AH5060" s="28" t="n">
        <v>322</v>
      </c>
      <c r="AI5060" s="28" t="n">
        <v>2576</v>
      </c>
      <c r="AJ5060" s="28"/>
      <c r="AK5060" s="28" t="n">
        <f aca="false">AJ5060*$M5060</f>
        <v>0</v>
      </c>
      <c r="AL5060" s="28"/>
      <c r="AM5060" s="28" t="n">
        <f aca="false">AL5060*$M5060</f>
        <v>0</v>
      </c>
      <c r="AN5060" s="28"/>
      <c r="AO5060" s="28" t="n">
        <f aca="false">AN5060*$M5060</f>
        <v>0</v>
      </c>
      <c r="AP5060" s="28"/>
      <c r="AQ5060" s="28" t="n">
        <f aca="false">AP5060*$M5060</f>
        <v>0</v>
      </c>
      <c r="AR5060" s="28"/>
      <c r="AS5060" s="28" t="n">
        <f aca="false">AR5060*$M5060</f>
        <v>0</v>
      </c>
      <c r="AT5060" s="28"/>
      <c r="AU5060" s="28" t="n">
        <f aca="false">AT5060*$M5060</f>
        <v>0</v>
      </c>
      <c r="AV5060" s="28"/>
      <c r="AW5060" s="28" t="n">
        <f aca="false">AV5060*$M5060</f>
        <v>0</v>
      </c>
      <c r="AX5060" s="28"/>
      <c r="AY5060" s="28" t="n">
        <f aca="false">AX5060*$M5060</f>
        <v>0</v>
      </c>
      <c r="AZ5060" s="30" t="n">
        <v>4120</v>
      </c>
      <c r="BA5060" s="11" t="n">
        <v>32960</v>
      </c>
      <c r="BB5060" s="31" t="n">
        <f aca="false">SUM(Q5060,S5060,U5060,W5060,Y5060,AA5060,AC5060,AE5060,AG5060,AI5060,AK5060,AM5060,AO5060,AQ5060,AS5060,AU5060,AW5060,AY5060)</f>
        <v>32960</v>
      </c>
      <c r="BC5060" s="28" t="n">
        <f aca="false">BA5060-BB5060</f>
        <v>0</v>
      </c>
      <c r="BD5060" s="32" t="n">
        <f aca="false">SUM(P5060,R5060,T5060,V5060,X5060,Z5060,AB5060,AD5060,AF5060,AH5060,AJ5060,AL5060,AN5060,AP5060,AR5060,AT5060,AV5060,AX5060)</f>
        <v>4120</v>
      </c>
      <c r="BE5060" s="33" t="n">
        <f aca="false">AZ5060-BD5060</f>
        <v>0</v>
      </c>
      <c r="BF5060" s="34" t="n">
        <f aca="false">BD5060*M5060</f>
        <v>32960</v>
      </c>
      <c r="BG5060" s="35" t="n">
        <f aca="false">BA5060-BF5060</f>
        <v>0</v>
      </c>
      <c r="BH5060" s="19" t="str">
        <f aca="false">IF(BG5060=0,"",IF(BG5060&lt;&gt;BA5060,"erreur de calcul",IF(BD5060&lt;&gt;0,"pas de prix",IF(M5060&lt;&gt; 0,"pas de quantité","pas de prix, ni de quantité"))))</f>
        <v/>
      </c>
      <c r="BI5060" s="19"/>
    </row>
    <row r="5061" customFormat="false" ht="15" hidden="false" customHeight="false" outlineLevel="0" collapsed="false">
      <c r="A5061" s="0" t="n">
        <v>20</v>
      </c>
      <c r="B5061" s="8" t="s">
        <v>24</v>
      </c>
      <c r="C5061" s="9" t="s">
        <v>25</v>
      </c>
      <c r="D5061" s="9" t="s">
        <v>26</v>
      </c>
      <c r="E5061" s="10" t="n">
        <v>1789</v>
      </c>
      <c r="F5061" s="9" t="s">
        <v>27</v>
      </c>
      <c r="G5061" s="9" t="s">
        <v>27</v>
      </c>
      <c r="H5061" s="11" t="n">
        <v>22</v>
      </c>
      <c r="I5061" s="11" t="s">
        <v>221</v>
      </c>
      <c r="J5061" s="14"/>
      <c r="K5061" s="14" t="n">
        <v>20</v>
      </c>
      <c r="L5061" s="16"/>
      <c r="M5061" s="27" t="n">
        <f aca="false">J5061+(K5061/20)+(L5061/240)</f>
        <v>1</v>
      </c>
      <c r="N5061" s="17" t="s">
        <v>66</v>
      </c>
      <c r="O5061" s="11"/>
      <c r="P5061" s="28" t="n">
        <v>1353</v>
      </c>
      <c r="Q5061" s="28" t="n">
        <v>1353</v>
      </c>
      <c r="R5061" s="28"/>
      <c r="S5061" s="28" t="n">
        <f aca="false">R5061*$M5061</f>
        <v>0</v>
      </c>
      <c r="T5061" s="28"/>
      <c r="U5061" s="28" t="n">
        <f aca="false">T5061*$M5061</f>
        <v>0</v>
      </c>
      <c r="V5061" s="28"/>
      <c r="W5061" s="28" t="n">
        <f aca="false">V5061*$M5061</f>
        <v>0</v>
      </c>
      <c r="X5061" s="28"/>
      <c r="Y5061" s="28" t="n">
        <f aca="false">X5061*$M5061</f>
        <v>0</v>
      </c>
      <c r="Z5061" s="28"/>
      <c r="AA5061" s="28" t="n">
        <f aca="false">Z5061*$M5061</f>
        <v>0</v>
      </c>
      <c r="AB5061" s="28"/>
      <c r="AC5061" s="28" t="n">
        <f aca="false">AB5061*$M5061</f>
        <v>0</v>
      </c>
      <c r="AD5061" s="28"/>
      <c r="AE5061" s="28" t="n">
        <f aca="false">AD5061*$M5061</f>
        <v>0</v>
      </c>
      <c r="AF5061" s="28"/>
      <c r="AG5061" s="28" t="n">
        <f aca="false">AF5061*$M5061</f>
        <v>0</v>
      </c>
      <c r="AH5061" s="28"/>
      <c r="AI5061" s="28" t="n">
        <f aca="false">AH5061*$M5061</f>
        <v>0</v>
      </c>
      <c r="AJ5061" s="28"/>
      <c r="AK5061" s="28" t="n">
        <f aca="false">AJ5061*$M5061</f>
        <v>0</v>
      </c>
      <c r="AL5061" s="28"/>
      <c r="AM5061" s="28" t="n">
        <f aca="false">AL5061*$M5061</f>
        <v>0</v>
      </c>
      <c r="AN5061" s="28"/>
      <c r="AO5061" s="28" t="n">
        <f aca="false">AN5061*$M5061</f>
        <v>0</v>
      </c>
      <c r="AP5061" s="28"/>
      <c r="AQ5061" s="28" t="n">
        <f aca="false">AP5061*$M5061</f>
        <v>0</v>
      </c>
      <c r="AR5061" s="28"/>
      <c r="AS5061" s="28" t="n">
        <f aca="false">AR5061*$M5061</f>
        <v>0</v>
      </c>
      <c r="AT5061" s="28"/>
      <c r="AU5061" s="28" t="n">
        <f aca="false">AT5061*$M5061</f>
        <v>0</v>
      </c>
      <c r="AV5061" s="28"/>
      <c r="AW5061" s="28" t="n">
        <f aca="false">AV5061*$M5061</f>
        <v>0</v>
      </c>
      <c r="AX5061" s="28"/>
      <c r="AY5061" s="28" t="n">
        <f aca="false">AX5061*$M5061</f>
        <v>0</v>
      </c>
      <c r="AZ5061" s="30" t="n">
        <v>1353</v>
      </c>
      <c r="BA5061" s="11" t="n">
        <v>1353</v>
      </c>
      <c r="BB5061" s="31" t="n">
        <f aca="false">SUM(Q5061,S5061,U5061,W5061,Y5061,AA5061,AC5061,AE5061,AG5061,AI5061,AK5061,AM5061,AO5061,AQ5061,AS5061,AU5061,AW5061,AY5061)</f>
        <v>1353</v>
      </c>
      <c r="BC5061" s="28" t="n">
        <f aca="false">BA5061-BB5061</f>
        <v>0</v>
      </c>
      <c r="BD5061" s="32" t="n">
        <f aca="false">SUM(P5061,R5061,T5061,V5061,X5061,Z5061,AB5061,AD5061,AF5061,AH5061,AJ5061,AL5061,AN5061,AP5061,AR5061,AT5061,AV5061,AX5061)</f>
        <v>1353</v>
      </c>
      <c r="BE5061" s="33" t="n">
        <f aca="false">AZ5061-BD5061</f>
        <v>0</v>
      </c>
      <c r="BF5061" s="34" t="n">
        <f aca="false">BD5061*M5061</f>
        <v>1353</v>
      </c>
      <c r="BG5061" s="35" t="n">
        <f aca="false">BA5061-BF5061</f>
        <v>0</v>
      </c>
      <c r="BH5061" s="19" t="str">
        <f aca="false">IF(BG5061=0,"",IF(BG5061&lt;&gt;BA5061,"erreur de calcul",IF(BD5061&lt;&gt;0,"pas de prix",IF(M5061&lt;&gt; 0,"pas de quantité","pas de prix, ni de quantité"))))</f>
        <v/>
      </c>
      <c r="BI5061" s="19"/>
    </row>
    <row r="5062" customFormat="false" ht="15" hidden="false" customHeight="false" outlineLevel="0" collapsed="false">
      <c r="A5062" s="0" t="n">
        <v>21</v>
      </c>
      <c r="B5062" s="8" t="s">
        <v>24</v>
      </c>
      <c r="C5062" s="9" t="s">
        <v>25</v>
      </c>
      <c r="D5062" s="9" t="s">
        <v>26</v>
      </c>
      <c r="E5062" s="10" t="n">
        <v>1789</v>
      </c>
      <c r="F5062" s="9" t="s">
        <v>27</v>
      </c>
      <c r="G5062" s="9" t="s">
        <v>27</v>
      </c>
      <c r="H5062" s="11" t="n">
        <v>22</v>
      </c>
      <c r="I5062" s="11" t="s">
        <v>222</v>
      </c>
      <c r="J5062" s="14" t="n">
        <v>85</v>
      </c>
      <c r="K5062" s="14"/>
      <c r="L5062" s="16"/>
      <c r="M5062" s="27" t="n">
        <f aca="false">J5062+(K5062/20)+(L5062/240)</f>
        <v>85</v>
      </c>
      <c r="N5062" s="17" t="s">
        <v>64</v>
      </c>
      <c r="O5062" s="11"/>
      <c r="P5062" s="28"/>
      <c r="Q5062" s="28" t="n">
        <f aca="false">P5062*$M5062</f>
        <v>0</v>
      </c>
      <c r="R5062" s="28"/>
      <c r="S5062" s="28" t="n">
        <f aca="false">R5062*$M5062</f>
        <v>0</v>
      </c>
      <c r="T5062" s="28" t="n">
        <f aca="false">10813/100</f>
        <v>108.13</v>
      </c>
      <c r="U5062" s="28" t="n">
        <v>9191</v>
      </c>
      <c r="V5062" s="28" t="n">
        <f aca="false">43400/100</f>
        <v>434</v>
      </c>
      <c r="W5062" s="28" t="n">
        <v>36890</v>
      </c>
      <c r="X5062" s="28" t="n">
        <f aca="false">702/100</f>
        <v>7.02</v>
      </c>
      <c r="Y5062" s="28" t="n">
        <v>597</v>
      </c>
      <c r="Z5062" s="28"/>
      <c r="AA5062" s="28" t="n">
        <f aca="false">Z5062*$M5062</f>
        <v>0</v>
      </c>
      <c r="AB5062" s="28" t="n">
        <f aca="false">171/100</f>
        <v>1.71</v>
      </c>
      <c r="AC5062" s="28" t="n">
        <v>145</v>
      </c>
      <c r="AD5062" s="28"/>
      <c r="AE5062" s="28" t="n">
        <f aca="false">AD5062*$M5062</f>
        <v>0</v>
      </c>
      <c r="AF5062" s="28"/>
      <c r="AG5062" s="28" t="n">
        <f aca="false">AF5062*$M5062</f>
        <v>0</v>
      </c>
      <c r="AH5062" s="28" t="n">
        <f aca="false">17388/100</f>
        <v>173.88</v>
      </c>
      <c r="AI5062" s="28" t="n">
        <v>14780</v>
      </c>
      <c r="AJ5062" s="28"/>
      <c r="AK5062" s="28" t="n">
        <f aca="false">AJ5062*$M5062</f>
        <v>0</v>
      </c>
      <c r="AL5062" s="28"/>
      <c r="AM5062" s="28" t="n">
        <f aca="false">AL5062*$M5062</f>
        <v>0</v>
      </c>
      <c r="AN5062" s="28"/>
      <c r="AO5062" s="28" t="n">
        <f aca="false">AN5062*$M5062</f>
        <v>0</v>
      </c>
      <c r="AP5062" s="28"/>
      <c r="AQ5062" s="28" t="n">
        <f aca="false">AP5062*$M5062</f>
        <v>0</v>
      </c>
      <c r="AR5062" s="28"/>
      <c r="AS5062" s="28" t="n">
        <f aca="false">AR5062*$M5062</f>
        <v>0</v>
      </c>
      <c r="AT5062" s="28"/>
      <c r="AU5062" s="28" t="n">
        <f aca="false">AT5062*$M5062</f>
        <v>0</v>
      </c>
      <c r="AV5062" s="28"/>
      <c r="AW5062" s="28" t="n">
        <f aca="false">AV5062*$M5062</f>
        <v>0</v>
      </c>
      <c r="AX5062" s="28"/>
      <c r="AY5062" s="28" t="n">
        <f aca="false">AX5062*$M5062</f>
        <v>0</v>
      </c>
      <c r="AZ5062" s="30" t="n">
        <f aca="false">72474/100</f>
        <v>724.74</v>
      </c>
      <c r="BA5062" s="11" t="n">
        <v>61603</v>
      </c>
      <c r="BB5062" s="31" t="n">
        <f aca="false">SUM(Q5062,S5062,U5062,W5062,Y5062,AA5062,AC5062,AE5062,AG5062,AI5062,AK5062,AM5062,AO5062,AQ5062,AS5062,AU5062,AW5062,AY5062)</f>
        <v>61603</v>
      </c>
      <c r="BC5062" s="28" t="n">
        <f aca="false">BA5062-BB5062</f>
        <v>0</v>
      </c>
      <c r="BD5062" s="32" t="n">
        <f aca="false">SUM(P5062,R5062,T5062,V5062,X5062,Z5062,AB5062,AD5062,AF5062,AH5062,AJ5062,AL5062,AN5062,AP5062,AR5062,AT5062,AV5062,AX5062)</f>
        <v>724.74</v>
      </c>
      <c r="BE5062" s="33" t="n">
        <f aca="false">AZ5062-BD5062</f>
        <v>0</v>
      </c>
      <c r="BF5062" s="34" t="n">
        <f aca="false">BD5062*M5062</f>
        <v>61602.9</v>
      </c>
      <c r="BG5062" s="35" t="n">
        <f aca="false">BA5062-BF5062</f>
        <v>0.0999999999985448</v>
      </c>
      <c r="BH5062" s="19" t="str">
        <f aca="false">IF(BG5062=0,"",IF(BG5062&lt;&gt;BA5062,"erreur de calcul",IF(BD5062&lt;&gt;0,"pas de prix",IF(M5062&lt;&gt; 0,"pas de quantité","pas de prix, ni de quantité"))))</f>
        <v>erreur de calcul</v>
      </c>
      <c r="BI5062" s="19"/>
    </row>
    <row r="5063" customFormat="false" ht="15" hidden="false" customHeight="false" outlineLevel="0" collapsed="false">
      <c r="A5063" s="0" t="n">
        <v>22</v>
      </c>
      <c r="B5063" s="8" t="s">
        <v>24</v>
      </c>
      <c r="C5063" s="9" t="s">
        <v>25</v>
      </c>
      <c r="D5063" s="9" t="s">
        <v>26</v>
      </c>
      <c r="E5063" s="10" t="n">
        <v>1789</v>
      </c>
      <c r="F5063" s="9" t="s">
        <v>27</v>
      </c>
      <c r="G5063" s="9" t="s">
        <v>27</v>
      </c>
      <c r="H5063" s="11" t="n">
        <v>22</v>
      </c>
      <c r="I5063" s="11" t="s">
        <v>223</v>
      </c>
      <c r="J5063" s="14" t="n">
        <v>150</v>
      </c>
      <c r="K5063" s="14"/>
      <c r="L5063" s="16"/>
      <c r="M5063" s="27" t="n">
        <f aca="false">J5063+(K5063/20)+(L5063/240)</f>
        <v>150</v>
      </c>
      <c r="N5063" s="17" t="s">
        <v>64</v>
      </c>
      <c r="O5063" s="11"/>
      <c r="P5063" s="28"/>
      <c r="Q5063" s="28" t="n">
        <f aca="false">P5063*$M5063</f>
        <v>0</v>
      </c>
      <c r="R5063" s="28"/>
      <c r="S5063" s="28" t="n">
        <f aca="false">R5063*$M5063</f>
        <v>0</v>
      </c>
      <c r="T5063" s="28"/>
      <c r="U5063" s="28" t="n">
        <f aca="false">T5063*$M5063</f>
        <v>0</v>
      </c>
      <c r="V5063" s="28" t="n">
        <f aca="false">1415/100</f>
        <v>14.15</v>
      </c>
      <c r="W5063" s="28" t="n">
        <v>2122</v>
      </c>
      <c r="X5063" s="28"/>
      <c r="Y5063" s="28" t="n">
        <f aca="false">X5063*$M5063</f>
        <v>0</v>
      </c>
      <c r="Z5063" s="28"/>
      <c r="AA5063" s="28" t="n">
        <f aca="false">Z5063*$M5063</f>
        <v>0</v>
      </c>
      <c r="AB5063" s="28" t="n">
        <f aca="false">1806/100</f>
        <v>18.06</v>
      </c>
      <c r="AC5063" s="28" t="n">
        <v>2709</v>
      </c>
      <c r="AD5063" s="28"/>
      <c r="AE5063" s="28" t="n">
        <f aca="false">AD5063*$M5063</f>
        <v>0</v>
      </c>
      <c r="AF5063" s="28"/>
      <c r="AG5063" s="28" t="n">
        <f aca="false">AF5063*$M5063</f>
        <v>0</v>
      </c>
      <c r="AH5063" s="28"/>
      <c r="AI5063" s="28" t="n">
        <f aca="false">AH5063*$M5063</f>
        <v>0</v>
      </c>
      <c r="AJ5063" s="28"/>
      <c r="AK5063" s="28" t="n">
        <f aca="false">AJ5063*$M5063</f>
        <v>0</v>
      </c>
      <c r="AL5063" s="28"/>
      <c r="AM5063" s="28" t="n">
        <f aca="false">AL5063*$M5063</f>
        <v>0</v>
      </c>
      <c r="AN5063" s="28"/>
      <c r="AO5063" s="28" t="n">
        <f aca="false">AN5063*$M5063</f>
        <v>0</v>
      </c>
      <c r="AP5063" s="28"/>
      <c r="AQ5063" s="28" t="n">
        <f aca="false">AP5063*$M5063</f>
        <v>0</v>
      </c>
      <c r="AR5063" s="28"/>
      <c r="AS5063" s="28" t="n">
        <f aca="false">AR5063*$M5063</f>
        <v>0</v>
      </c>
      <c r="AT5063" s="28"/>
      <c r="AU5063" s="28" t="n">
        <f aca="false">AT5063*$M5063</f>
        <v>0</v>
      </c>
      <c r="AV5063" s="28"/>
      <c r="AW5063" s="28" t="n">
        <f aca="false">AV5063*$M5063</f>
        <v>0</v>
      </c>
      <c r="AX5063" s="28"/>
      <c r="AY5063" s="28" t="n">
        <f aca="false">AX5063*$M5063</f>
        <v>0</v>
      </c>
      <c r="AZ5063" s="30" t="n">
        <f aca="false">3221/100</f>
        <v>32.21</v>
      </c>
      <c r="BA5063" s="11" t="n">
        <v>4831</v>
      </c>
      <c r="BB5063" s="31" t="n">
        <f aca="false">SUM(Q5063,S5063,U5063,W5063,Y5063,AA5063,AC5063,AE5063,AG5063,AI5063,AK5063,AM5063,AO5063,AQ5063,AS5063,AU5063,AW5063,AY5063)</f>
        <v>4831</v>
      </c>
      <c r="BC5063" s="28" t="n">
        <f aca="false">BA5063-BB5063</f>
        <v>0</v>
      </c>
      <c r="BD5063" s="32" t="n">
        <f aca="false">SUM(P5063,R5063,T5063,V5063,X5063,Z5063,AB5063,AD5063,AF5063,AH5063,AJ5063,AL5063,AN5063,AP5063,AR5063,AT5063,AV5063,AX5063)</f>
        <v>32.21</v>
      </c>
      <c r="BE5063" s="33" t="n">
        <f aca="false">AZ5063-BD5063</f>
        <v>0</v>
      </c>
      <c r="BF5063" s="34" t="n">
        <f aca="false">BD5063*M5063</f>
        <v>4831.5</v>
      </c>
      <c r="BG5063" s="35" t="n">
        <f aca="false">BA5063-BF5063</f>
        <v>-0.5</v>
      </c>
      <c r="BH5063" s="19" t="str">
        <f aca="false">IF(BG5063=0,"",IF(BG5063&lt;&gt;BA5063,"erreur de calcul",IF(BD5063&lt;&gt;0,"pas de prix",IF(M5063&lt;&gt; 0,"pas de quantité","pas de prix, ni de quantité"))))</f>
        <v>erreur de calcul</v>
      </c>
      <c r="BI5063" s="19"/>
    </row>
    <row r="5064" customFormat="false" ht="15" hidden="false" customHeight="false" outlineLevel="0" collapsed="false">
      <c r="A5064" s="0" t="n">
        <v>23</v>
      </c>
      <c r="B5064" s="8" t="s">
        <v>24</v>
      </c>
      <c r="C5064" s="9" t="s">
        <v>25</v>
      </c>
      <c r="D5064" s="9" t="s">
        <v>26</v>
      </c>
      <c r="E5064" s="10" t="n">
        <v>1789</v>
      </c>
      <c r="F5064" s="9" t="s">
        <v>27</v>
      </c>
      <c r="G5064" s="9" t="s">
        <v>27</v>
      </c>
      <c r="H5064" s="11" t="n">
        <v>22</v>
      </c>
      <c r="I5064" s="11" t="s">
        <v>224</v>
      </c>
      <c r="J5064" s="14"/>
      <c r="K5064" s="14"/>
      <c r="L5064" s="16"/>
      <c r="M5064" s="27" t="n">
        <f aca="false">J5064+(K5064/20)+(L5064/240)</f>
        <v>0</v>
      </c>
      <c r="N5064" s="17" t="s">
        <v>225</v>
      </c>
      <c r="O5064" s="11"/>
      <c r="P5064" s="28" t="n">
        <f aca="false">2+121/288</f>
        <v>2.42013888888889</v>
      </c>
      <c r="Q5064" s="28" t="n">
        <v>275</v>
      </c>
      <c r="R5064" s="28"/>
      <c r="S5064" s="28" t="n">
        <f aca="false">R5064*$M5064</f>
        <v>0</v>
      </c>
      <c r="T5064" s="28"/>
      <c r="U5064" s="28" t="n">
        <f aca="false">T5064*$M5064</f>
        <v>0</v>
      </c>
      <c r="V5064" s="28"/>
      <c r="W5064" s="28" t="n">
        <f aca="false">V5064*$M5064</f>
        <v>0</v>
      </c>
      <c r="X5064" s="28"/>
      <c r="Y5064" s="28" t="n">
        <f aca="false">X5064*$M5064</f>
        <v>0</v>
      </c>
      <c r="Z5064" s="28"/>
      <c r="AA5064" s="28" t="n">
        <f aca="false">Z5064*$M5064</f>
        <v>0</v>
      </c>
      <c r="AB5064" s="28"/>
      <c r="AC5064" s="28" t="n">
        <f aca="false">AB5064*$M5064</f>
        <v>0</v>
      </c>
      <c r="AD5064" s="28"/>
      <c r="AE5064" s="28" t="n">
        <f aca="false">AD5064*$M5064</f>
        <v>0</v>
      </c>
      <c r="AF5064" s="28"/>
      <c r="AG5064" s="28" t="n">
        <f aca="false">AF5064*$M5064</f>
        <v>0</v>
      </c>
      <c r="AH5064" s="28"/>
      <c r="AI5064" s="28" t="n">
        <f aca="false">AH5064*$M5064</f>
        <v>0</v>
      </c>
      <c r="AJ5064" s="28"/>
      <c r="AK5064" s="28" t="n">
        <f aca="false">AJ5064*$M5064</f>
        <v>0</v>
      </c>
      <c r="AL5064" s="28"/>
      <c r="AM5064" s="28" t="n">
        <f aca="false">AL5064*$M5064</f>
        <v>0</v>
      </c>
      <c r="AN5064" s="28"/>
      <c r="AO5064" s="28" t="n">
        <f aca="false">AN5064*$M5064</f>
        <v>0</v>
      </c>
      <c r="AP5064" s="28"/>
      <c r="AQ5064" s="28" t="n">
        <f aca="false">AP5064*$M5064</f>
        <v>0</v>
      </c>
      <c r="AR5064" s="28"/>
      <c r="AS5064" s="28" t="n">
        <f aca="false">AR5064*$M5064</f>
        <v>0</v>
      </c>
      <c r="AT5064" s="28"/>
      <c r="AU5064" s="28" t="n">
        <f aca="false">AT5064*$M5064</f>
        <v>0</v>
      </c>
      <c r="AV5064" s="28"/>
      <c r="AW5064" s="28" t="n">
        <f aca="false">AV5064*$M5064</f>
        <v>0</v>
      </c>
      <c r="AX5064" s="28"/>
      <c r="AY5064" s="28" t="n">
        <f aca="false">AX5064*$M5064</f>
        <v>0</v>
      </c>
      <c r="AZ5064" s="30" t="n">
        <f aca="false">2+121/288</f>
        <v>2.42013888888889</v>
      </c>
      <c r="BA5064" s="11" t="n">
        <v>275</v>
      </c>
      <c r="BB5064" s="31" t="n">
        <f aca="false">SUM(Q5064,S5064,U5064,W5064,Y5064,AA5064,AC5064,AE5064,AG5064,AI5064,AK5064,AM5064,AO5064,AQ5064,AS5064,AU5064,AW5064,AY5064)</f>
        <v>275</v>
      </c>
      <c r="BC5064" s="28" t="n">
        <f aca="false">BA5064-BB5064</f>
        <v>0</v>
      </c>
      <c r="BD5064" s="32" t="n">
        <f aca="false">SUM(P5064,R5064,T5064,V5064,X5064,Z5064,AB5064,AD5064,AF5064,AH5064,AJ5064,AL5064,AN5064,AP5064,AR5064,AT5064,AV5064,AX5064)</f>
        <v>2.42013888888889</v>
      </c>
      <c r="BE5064" s="33" t="n">
        <f aca="false">AZ5064-BD5064</f>
        <v>0</v>
      </c>
      <c r="BF5064" s="34" t="n">
        <f aca="false">BD5064*M5064</f>
        <v>0</v>
      </c>
      <c r="BG5064" s="35" t="n">
        <f aca="false">BA5064-BF5064</f>
        <v>275</v>
      </c>
      <c r="BH5064" s="19" t="str">
        <f aca="false">IF(BG5064=0,"",IF(BG5064&lt;&gt;BA5064,"erreur de calcul",IF(BD5064&lt;&gt;0,"pas de prix",IF(M5064&lt;&gt; 0,"pas de quantité","pas de prix, ni de quantité"))))</f>
        <v>pas de prix</v>
      </c>
      <c r="BI5064" s="19" t="s">
        <v>226</v>
      </c>
    </row>
    <row r="5065" customFormat="false" ht="15" hidden="false" customHeight="false" outlineLevel="0" collapsed="false">
      <c r="A5065" s="0" t="n">
        <v>24</v>
      </c>
      <c r="B5065" s="8" t="s">
        <v>24</v>
      </c>
      <c r="C5065" s="9" t="s">
        <v>25</v>
      </c>
      <c r="D5065" s="9" t="s">
        <v>26</v>
      </c>
      <c r="E5065" s="10" t="n">
        <v>1789</v>
      </c>
      <c r="F5065" s="9" t="s">
        <v>27</v>
      </c>
      <c r="G5065" s="9" t="s">
        <v>27</v>
      </c>
      <c r="H5065" s="11" t="n">
        <v>22</v>
      </c>
      <c r="I5065" s="11" t="s">
        <v>227</v>
      </c>
      <c r="J5065" s="14" t="n">
        <v>8</v>
      </c>
      <c r="K5065" s="14"/>
      <c r="L5065" s="16"/>
      <c r="M5065" s="27" t="n">
        <f aca="false">J5065+(K5065/20)+(L5065/240)</f>
        <v>8</v>
      </c>
      <c r="N5065" s="17" t="s">
        <v>64</v>
      </c>
      <c r="O5065" s="11" t="s">
        <v>77</v>
      </c>
      <c r="P5065" s="28" t="n">
        <f aca="false">267216/100</f>
        <v>2672.16</v>
      </c>
      <c r="Q5065" s="28" t="n">
        <v>21377</v>
      </c>
      <c r="R5065" s="28"/>
      <c r="S5065" s="28" t="n">
        <f aca="false">R5065*$M5065</f>
        <v>0</v>
      </c>
      <c r="T5065" s="28"/>
      <c r="U5065" s="28" t="n">
        <f aca="false">T5065*$M5065</f>
        <v>0</v>
      </c>
      <c r="V5065" s="28"/>
      <c r="W5065" s="28" t="n">
        <f aca="false">V5065*$M5065</f>
        <v>0</v>
      </c>
      <c r="X5065" s="28"/>
      <c r="Y5065" s="28" t="n">
        <f aca="false">X5065*$M5065</f>
        <v>0</v>
      </c>
      <c r="Z5065" s="28"/>
      <c r="AA5065" s="28" t="n">
        <f aca="false">Z5065*$M5065</f>
        <v>0</v>
      </c>
      <c r="AB5065" s="28" t="n">
        <f aca="false">3334/100</f>
        <v>33.34</v>
      </c>
      <c r="AC5065" s="28" t="n">
        <v>267</v>
      </c>
      <c r="AD5065" s="28"/>
      <c r="AE5065" s="28" t="n">
        <f aca="false">AD5065*$M5065</f>
        <v>0</v>
      </c>
      <c r="AF5065" s="28"/>
      <c r="AG5065" s="28" t="n">
        <f aca="false">AF5065*$M5065</f>
        <v>0</v>
      </c>
      <c r="AH5065" s="28"/>
      <c r="AI5065" s="28" t="n">
        <f aca="false">AH5065*$M5065</f>
        <v>0</v>
      </c>
      <c r="AJ5065" s="28"/>
      <c r="AK5065" s="28" t="n">
        <f aca="false">AJ5065*$M5065</f>
        <v>0</v>
      </c>
      <c r="AL5065" s="28"/>
      <c r="AM5065" s="28" t="n">
        <f aca="false">AL5065*$M5065</f>
        <v>0</v>
      </c>
      <c r="AN5065" s="28"/>
      <c r="AO5065" s="28" t="n">
        <f aca="false">AN5065*$M5065</f>
        <v>0</v>
      </c>
      <c r="AP5065" s="28"/>
      <c r="AQ5065" s="28" t="n">
        <f aca="false">AP5065*$M5065</f>
        <v>0</v>
      </c>
      <c r="AR5065" s="28"/>
      <c r="AS5065" s="28" t="n">
        <f aca="false">AR5065*$M5065</f>
        <v>0</v>
      </c>
      <c r="AT5065" s="28"/>
      <c r="AU5065" s="28" t="n">
        <f aca="false">AT5065*$M5065</f>
        <v>0</v>
      </c>
      <c r="AV5065" s="28"/>
      <c r="AW5065" s="28" t="n">
        <f aca="false">AV5065*$M5065</f>
        <v>0</v>
      </c>
      <c r="AX5065" s="28"/>
      <c r="AY5065" s="28" t="n">
        <f aca="false">AX5065*$M5065</f>
        <v>0</v>
      </c>
      <c r="AZ5065" s="30" t="n">
        <f aca="false">270550/100</f>
        <v>2705.5</v>
      </c>
      <c r="BA5065" s="11" t="n">
        <v>21644</v>
      </c>
      <c r="BB5065" s="31" t="n">
        <f aca="false">SUM(Q5065,S5065,U5065,W5065,Y5065,AA5065,AC5065,AE5065,AG5065,AI5065,AK5065,AM5065,AO5065,AQ5065,AS5065,AU5065,AW5065,AY5065)</f>
        <v>21644</v>
      </c>
      <c r="BC5065" s="28" t="n">
        <f aca="false">BA5065-BB5065</f>
        <v>0</v>
      </c>
      <c r="BD5065" s="32" t="n">
        <f aca="false">SUM(P5065,R5065,T5065,V5065,X5065,Z5065,AB5065,AD5065,AF5065,AH5065,AJ5065,AL5065,AN5065,AP5065,AR5065,AT5065,AV5065,AX5065)</f>
        <v>2705.5</v>
      </c>
      <c r="BE5065" s="33" t="n">
        <f aca="false">AZ5065-BD5065</f>
        <v>0</v>
      </c>
      <c r="BF5065" s="34" t="n">
        <f aca="false">BD5065*M5065</f>
        <v>21644</v>
      </c>
      <c r="BG5065" s="35" t="n">
        <f aca="false">BA5065-BF5065</f>
        <v>0</v>
      </c>
      <c r="BH5065" s="19" t="str">
        <f aca="false">IF(BG5065=0,"",IF(BG5065&lt;&gt;BA5065,"erreur de calcul",IF(BD5065&lt;&gt;0,"pas de prix",IF(M5065&lt;&gt; 0,"pas de quantité","pas de prix, ni de quantité"))))</f>
        <v/>
      </c>
      <c r="BI5065" s="19"/>
    </row>
    <row r="5066" customFormat="false" ht="15" hidden="false" customHeight="false" outlineLevel="0" collapsed="false">
      <c r="A5066" s="0" t="n">
        <v>25</v>
      </c>
      <c r="B5066" s="8" t="s">
        <v>24</v>
      </c>
      <c r="C5066" s="9" t="s">
        <v>25</v>
      </c>
      <c r="D5066" s="9" t="s">
        <v>26</v>
      </c>
      <c r="E5066" s="10" t="n">
        <v>1789</v>
      </c>
      <c r="F5066" s="9" t="s">
        <v>27</v>
      </c>
      <c r="G5066" s="9" t="s">
        <v>27</v>
      </c>
      <c r="H5066" s="11" t="n">
        <v>22</v>
      </c>
      <c r="I5066" s="11" t="s">
        <v>228</v>
      </c>
      <c r="J5066" s="14" t="n">
        <v>11</v>
      </c>
      <c r="K5066" s="14"/>
      <c r="L5066" s="16"/>
      <c r="M5066" s="27" t="n">
        <f aca="false">J5066+(K5066/20)+(L5066/240)</f>
        <v>11</v>
      </c>
      <c r="N5066" s="17" t="s">
        <v>66</v>
      </c>
      <c r="O5066" s="11"/>
      <c r="P5066" s="28"/>
      <c r="Q5066" s="28" t="n">
        <f aca="false">P5066*$M5066</f>
        <v>0</v>
      </c>
      <c r="R5066" s="28" t="n">
        <v>2017</v>
      </c>
      <c r="S5066" s="28" t="n">
        <v>22187</v>
      </c>
      <c r="T5066" s="28"/>
      <c r="U5066" s="28" t="n">
        <f aca="false">T5066*$M5066</f>
        <v>0</v>
      </c>
      <c r="V5066" s="28"/>
      <c r="W5066" s="28" t="n">
        <f aca="false">V5066*$M5066</f>
        <v>0</v>
      </c>
      <c r="X5066" s="28" t="n">
        <v>3804</v>
      </c>
      <c r="Y5066" s="28" t="n">
        <v>41844</v>
      </c>
      <c r="Z5066" s="28"/>
      <c r="AA5066" s="28" t="n">
        <f aca="false">Z5066*$M5066</f>
        <v>0</v>
      </c>
      <c r="AB5066" s="28"/>
      <c r="AC5066" s="28" t="n">
        <f aca="false">AB5066*$M5066</f>
        <v>0</v>
      </c>
      <c r="AD5066" s="28"/>
      <c r="AE5066" s="28" t="n">
        <f aca="false">AD5066*$M5066</f>
        <v>0</v>
      </c>
      <c r="AF5066" s="28"/>
      <c r="AG5066" s="28" t="n">
        <f aca="false">AF5066*$M5066</f>
        <v>0</v>
      </c>
      <c r="AH5066" s="28" t="n">
        <v>117</v>
      </c>
      <c r="AI5066" s="28" t="n">
        <v>1287</v>
      </c>
      <c r="AJ5066" s="28" t="n">
        <v>8694</v>
      </c>
      <c r="AK5066" s="28" t="n">
        <v>95634</v>
      </c>
      <c r="AL5066" s="28"/>
      <c r="AM5066" s="28" t="n">
        <f aca="false">AL5066*$M5066</f>
        <v>0</v>
      </c>
      <c r="AN5066" s="28" t="n">
        <v>5697</v>
      </c>
      <c r="AO5066" s="28" t="n">
        <v>62667</v>
      </c>
      <c r="AP5066" s="28"/>
      <c r="AQ5066" s="28" t="n">
        <f aca="false">AP5066*$M5066</f>
        <v>0</v>
      </c>
      <c r="AR5066" s="28"/>
      <c r="AS5066" s="28" t="n">
        <f aca="false">AR5066*$M5066</f>
        <v>0</v>
      </c>
      <c r="AT5066" s="28"/>
      <c r="AU5066" s="28" t="n">
        <f aca="false">AT5066*$M5066</f>
        <v>0</v>
      </c>
      <c r="AV5066" s="28"/>
      <c r="AW5066" s="28" t="n">
        <f aca="false">AV5066*$M5066</f>
        <v>0</v>
      </c>
      <c r="AX5066" s="28"/>
      <c r="AY5066" s="28" t="n">
        <f aca="false">AX5066*$M5066</f>
        <v>0</v>
      </c>
      <c r="AZ5066" s="30" t="n">
        <v>20329</v>
      </c>
      <c r="BA5066" s="11" t="n">
        <v>223619</v>
      </c>
      <c r="BB5066" s="31" t="n">
        <f aca="false">SUM(Q5066,S5066,U5066,W5066,Y5066,AA5066,AC5066,AE5066,AG5066,AI5066,AK5066,AM5066,AO5066,AQ5066,AS5066,AU5066,AW5066,AY5066)</f>
        <v>223619</v>
      </c>
      <c r="BC5066" s="28" t="n">
        <f aca="false">BA5066-BB5066</f>
        <v>0</v>
      </c>
      <c r="BD5066" s="32" t="n">
        <f aca="false">SUM(P5066,R5066,T5066,V5066,X5066,Z5066,AB5066,AD5066,AF5066,AH5066,AJ5066,AL5066,AN5066,AP5066,AR5066,AT5066,AV5066,AX5066)</f>
        <v>20329</v>
      </c>
      <c r="BE5066" s="33" t="n">
        <f aca="false">AZ5066-BD5066</f>
        <v>0</v>
      </c>
      <c r="BF5066" s="34" t="n">
        <f aca="false">BD5066*M5066</f>
        <v>223619</v>
      </c>
      <c r="BG5066" s="35" t="n">
        <f aca="false">BA5066-BF5066</f>
        <v>0</v>
      </c>
      <c r="BH5066" s="19" t="str">
        <f aca="false">IF(BG5066=0,"",IF(BG5066&lt;&gt;BA5066,"erreur de calcul",IF(BD5066&lt;&gt;0,"pas de prix",IF(M5066&lt;&gt; 0,"pas de quantité","pas de prix, ni de quantité"))))</f>
        <v/>
      </c>
      <c r="BI5066" s="19"/>
    </row>
    <row r="5067" customFormat="false" ht="15" hidden="false" customHeight="false" outlineLevel="0" collapsed="false">
      <c r="A5067" s="0" t="n">
        <v>26</v>
      </c>
      <c r="B5067" s="8" t="s">
        <v>24</v>
      </c>
      <c r="C5067" s="9" t="s">
        <v>25</v>
      </c>
      <c r="D5067" s="9" t="s">
        <v>26</v>
      </c>
      <c r="E5067" s="10" t="n">
        <v>1789</v>
      </c>
      <c r="F5067" s="9" t="s">
        <v>27</v>
      </c>
      <c r="G5067" s="9" t="s">
        <v>27</v>
      </c>
      <c r="H5067" s="11" t="n">
        <v>22</v>
      </c>
      <c r="I5067" s="11" t="s">
        <v>229</v>
      </c>
      <c r="J5067" s="14" t="n">
        <v>5</v>
      </c>
      <c r="K5067" s="14"/>
      <c r="L5067" s="16"/>
      <c r="M5067" s="27" t="n">
        <f aca="false">J5067+(K5067/20)+(L5067/240)</f>
        <v>5</v>
      </c>
      <c r="N5067" s="17" t="s">
        <v>66</v>
      </c>
      <c r="O5067" s="11"/>
      <c r="P5067" s="28"/>
      <c r="Q5067" s="28" t="n">
        <f aca="false">P5067*$M5067</f>
        <v>0</v>
      </c>
      <c r="R5067" s="28" t="n">
        <v>4117</v>
      </c>
      <c r="S5067" s="28" t="n">
        <v>20585</v>
      </c>
      <c r="T5067" s="28"/>
      <c r="U5067" s="28" t="n">
        <f aca="false">T5067*$M5067</f>
        <v>0</v>
      </c>
      <c r="V5067" s="28"/>
      <c r="W5067" s="28" t="n">
        <f aca="false">V5067*$M5067</f>
        <v>0</v>
      </c>
      <c r="X5067" s="28"/>
      <c r="Y5067" s="28" t="n">
        <f aca="false">X5067*$M5067</f>
        <v>0</v>
      </c>
      <c r="Z5067" s="28"/>
      <c r="AA5067" s="28" t="n">
        <f aca="false">Z5067*$M5067</f>
        <v>0</v>
      </c>
      <c r="AB5067" s="28"/>
      <c r="AC5067" s="28" t="n">
        <f aca="false">AB5067*$M5067</f>
        <v>0</v>
      </c>
      <c r="AD5067" s="28"/>
      <c r="AE5067" s="28" t="n">
        <f aca="false">AD5067*$M5067</f>
        <v>0</v>
      </c>
      <c r="AF5067" s="28"/>
      <c r="AG5067" s="28" t="n">
        <f aca="false">AF5067*$M5067</f>
        <v>0</v>
      </c>
      <c r="AH5067" s="28"/>
      <c r="AI5067" s="28" t="n">
        <f aca="false">AH5067*$M5067</f>
        <v>0</v>
      </c>
      <c r="AJ5067" s="28"/>
      <c r="AK5067" s="28" t="n">
        <f aca="false">AJ5067*$M5067</f>
        <v>0</v>
      </c>
      <c r="AL5067" s="28"/>
      <c r="AM5067" s="28" t="n">
        <f aca="false">AL5067*$M5067</f>
        <v>0</v>
      </c>
      <c r="AN5067" s="28"/>
      <c r="AO5067" s="28" t="n">
        <f aca="false">AN5067*$M5067</f>
        <v>0</v>
      </c>
      <c r="AP5067" s="28"/>
      <c r="AQ5067" s="28" t="n">
        <f aca="false">AP5067*$M5067</f>
        <v>0</v>
      </c>
      <c r="AR5067" s="28"/>
      <c r="AS5067" s="28" t="n">
        <f aca="false">AR5067*$M5067</f>
        <v>0</v>
      </c>
      <c r="AT5067" s="28"/>
      <c r="AU5067" s="28" t="n">
        <f aca="false">AT5067*$M5067</f>
        <v>0</v>
      </c>
      <c r="AV5067" s="28"/>
      <c r="AW5067" s="28" t="n">
        <f aca="false">AV5067*$M5067</f>
        <v>0</v>
      </c>
      <c r="AX5067" s="28"/>
      <c r="AY5067" s="28" t="n">
        <f aca="false">AX5067*$M5067</f>
        <v>0</v>
      </c>
      <c r="AZ5067" s="30" t="n">
        <v>4117</v>
      </c>
      <c r="BA5067" s="11" t="n">
        <v>20585</v>
      </c>
      <c r="BB5067" s="31" t="n">
        <f aca="false">SUM(Q5067,S5067,U5067,W5067,Y5067,AA5067,AC5067,AE5067,AG5067,AI5067,AK5067,AM5067,AO5067,AQ5067,AS5067,AU5067,AW5067,AY5067)</f>
        <v>20585</v>
      </c>
      <c r="BC5067" s="28" t="n">
        <f aca="false">BA5067-BB5067</f>
        <v>0</v>
      </c>
      <c r="BD5067" s="32" t="n">
        <f aca="false">SUM(P5067,R5067,T5067,V5067,X5067,Z5067,AB5067,AD5067,AF5067,AH5067,AJ5067,AL5067,AN5067,AP5067,AR5067,AT5067,AV5067,AX5067)</f>
        <v>4117</v>
      </c>
      <c r="BE5067" s="33" t="n">
        <f aca="false">AZ5067-BD5067</f>
        <v>0</v>
      </c>
      <c r="BF5067" s="34" t="n">
        <f aca="false">BD5067*M5067</f>
        <v>20585</v>
      </c>
      <c r="BG5067" s="35" t="n">
        <f aca="false">BA5067-BF5067</f>
        <v>0</v>
      </c>
      <c r="BH5067" s="19" t="str">
        <f aca="false">IF(BG5067=0,"",IF(BG5067&lt;&gt;BA5067,"erreur de calcul",IF(BD5067&lt;&gt;0,"pas de prix",IF(M5067&lt;&gt; 0,"pas de quantité","pas de prix, ni de quantité"))))</f>
        <v/>
      </c>
      <c r="BI5067" s="19"/>
    </row>
    <row r="5068" customFormat="false" ht="15" hidden="false" customHeight="false" outlineLevel="0" collapsed="false">
      <c r="A5068" s="0" t="n">
        <v>27</v>
      </c>
      <c r="B5068" s="8" t="s">
        <v>24</v>
      </c>
      <c r="C5068" s="9" t="s">
        <v>25</v>
      </c>
      <c r="D5068" s="9" t="s">
        <v>26</v>
      </c>
      <c r="E5068" s="10" t="n">
        <v>1789</v>
      </c>
      <c r="F5068" s="9" t="s">
        <v>27</v>
      </c>
      <c r="G5068" s="9" t="s">
        <v>27</v>
      </c>
      <c r="H5068" s="11" t="n">
        <v>22</v>
      </c>
      <c r="I5068" s="11" t="s">
        <v>230</v>
      </c>
      <c r="J5068" s="14" t="n">
        <v>11</v>
      </c>
      <c r="K5068" s="14"/>
      <c r="L5068" s="16"/>
      <c r="M5068" s="27" t="n">
        <f aca="false">J5068+(K5068/20)+(L5068/240)</f>
        <v>11</v>
      </c>
      <c r="N5068" s="17" t="s">
        <v>66</v>
      </c>
      <c r="O5068" s="11"/>
      <c r="P5068" s="28"/>
      <c r="Q5068" s="28" t="n">
        <f aca="false">P5068*$M5068</f>
        <v>0</v>
      </c>
      <c r="R5068" s="28"/>
      <c r="S5068" s="28" t="n">
        <f aca="false">R5068*$M5068</f>
        <v>0</v>
      </c>
      <c r="T5068" s="28"/>
      <c r="U5068" s="28" t="n">
        <f aca="false">T5068*$M5068</f>
        <v>0</v>
      </c>
      <c r="V5068" s="28"/>
      <c r="W5068" s="28" t="n">
        <f aca="false">V5068*$M5068</f>
        <v>0</v>
      </c>
      <c r="X5068" s="28"/>
      <c r="Y5068" s="28" t="n">
        <f aca="false">X5068*$M5068</f>
        <v>0</v>
      </c>
      <c r="Z5068" s="28"/>
      <c r="AA5068" s="28" t="n">
        <f aca="false">Z5068*$M5068</f>
        <v>0</v>
      </c>
      <c r="AB5068" s="28"/>
      <c r="AC5068" s="28" t="n">
        <f aca="false">AB5068*$M5068</f>
        <v>0</v>
      </c>
      <c r="AD5068" s="28"/>
      <c r="AE5068" s="28" t="n">
        <f aca="false">AD5068*$M5068</f>
        <v>0</v>
      </c>
      <c r="AF5068" s="28"/>
      <c r="AG5068" s="28" t="n">
        <f aca="false">AF5068*$M5068</f>
        <v>0</v>
      </c>
      <c r="AH5068" s="28"/>
      <c r="AI5068" s="28" t="n">
        <f aca="false">AH5068*$M5068</f>
        <v>0</v>
      </c>
      <c r="AJ5068" s="28" t="n">
        <v>34854</v>
      </c>
      <c r="AK5068" s="28" t="n">
        <v>383394</v>
      </c>
      <c r="AL5068" s="28"/>
      <c r="AM5068" s="28" t="n">
        <f aca="false">AL5068*$M5068</f>
        <v>0</v>
      </c>
      <c r="AN5068" s="28"/>
      <c r="AO5068" s="28" t="n">
        <f aca="false">AN5068*$M5068</f>
        <v>0</v>
      </c>
      <c r="AP5068" s="28"/>
      <c r="AQ5068" s="28" t="n">
        <f aca="false">AP5068*$M5068</f>
        <v>0</v>
      </c>
      <c r="AR5068" s="28"/>
      <c r="AS5068" s="28" t="n">
        <f aca="false">AR5068*$M5068</f>
        <v>0</v>
      </c>
      <c r="AT5068" s="28"/>
      <c r="AU5068" s="28" t="n">
        <f aca="false">AT5068*$M5068</f>
        <v>0</v>
      </c>
      <c r="AV5068" s="28"/>
      <c r="AW5068" s="28" t="n">
        <f aca="false">AV5068*$M5068</f>
        <v>0</v>
      </c>
      <c r="AX5068" s="28"/>
      <c r="AY5068" s="28" t="n">
        <f aca="false">AX5068*$M5068</f>
        <v>0</v>
      </c>
      <c r="AZ5068" s="30" t="n">
        <v>34854</v>
      </c>
      <c r="BA5068" s="11" t="n">
        <v>383394</v>
      </c>
      <c r="BB5068" s="31" t="n">
        <f aca="false">SUM(Q5068,S5068,U5068,W5068,Y5068,AA5068,AC5068,AE5068,AG5068,AI5068,AK5068,AM5068,AO5068,AQ5068,AS5068,AU5068,AW5068,AY5068)</f>
        <v>383394</v>
      </c>
      <c r="BC5068" s="28" t="n">
        <f aca="false">BA5068-BB5068</f>
        <v>0</v>
      </c>
      <c r="BD5068" s="32" t="n">
        <f aca="false">SUM(P5068,R5068,T5068,V5068,X5068,Z5068,AB5068,AD5068,AF5068,AH5068,AJ5068,AL5068,AN5068,AP5068,AR5068,AT5068,AV5068,AX5068)</f>
        <v>34854</v>
      </c>
      <c r="BE5068" s="33" t="n">
        <f aca="false">AZ5068-BD5068</f>
        <v>0</v>
      </c>
      <c r="BF5068" s="34" t="n">
        <f aca="false">BD5068*M5068</f>
        <v>383394</v>
      </c>
      <c r="BG5068" s="35" t="n">
        <f aca="false">BA5068-BF5068</f>
        <v>0</v>
      </c>
      <c r="BH5068" s="19" t="str">
        <f aca="false">IF(BG5068=0,"",IF(BG5068&lt;&gt;BA5068,"erreur de calcul",IF(BD5068&lt;&gt;0,"pas de prix",IF(M5068&lt;&gt; 0,"pas de quantité","pas de prix, ni de quantité"))))</f>
        <v/>
      </c>
      <c r="BI5068" s="19"/>
    </row>
    <row r="5069" customFormat="false" ht="15" hidden="false" customHeight="false" outlineLevel="0" collapsed="false">
      <c r="A5069" s="0" t="n">
        <v>28</v>
      </c>
      <c r="B5069" s="8" t="s">
        <v>24</v>
      </c>
      <c r="C5069" s="9" t="s">
        <v>25</v>
      </c>
      <c r="D5069" s="9" t="s">
        <v>26</v>
      </c>
      <c r="E5069" s="10" t="n">
        <v>1789</v>
      </c>
      <c r="F5069" s="9" t="s">
        <v>27</v>
      </c>
      <c r="G5069" s="9" t="s">
        <v>27</v>
      </c>
      <c r="H5069" s="11" t="n">
        <v>22</v>
      </c>
      <c r="I5069" s="11" t="s">
        <v>231</v>
      </c>
      <c r="J5069" s="14" t="n">
        <v>18</v>
      </c>
      <c r="K5069" s="14"/>
      <c r="L5069" s="16"/>
      <c r="M5069" s="27" t="n">
        <f aca="false">J5069+(K5069/20)+(L5069/240)</f>
        <v>18</v>
      </c>
      <c r="N5069" s="17" t="s">
        <v>66</v>
      </c>
      <c r="O5069" s="11"/>
      <c r="P5069" s="28"/>
      <c r="Q5069" s="28" t="n">
        <f aca="false">P5069*$M5069</f>
        <v>0</v>
      </c>
      <c r="R5069" s="28"/>
      <c r="S5069" s="28" t="n">
        <f aca="false">R5069*$M5069</f>
        <v>0</v>
      </c>
      <c r="T5069" s="28"/>
      <c r="U5069" s="28" t="n">
        <f aca="false">T5069*$M5069</f>
        <v>0</v>
      </c>
      <c r="V5069" s="28"/>
      <c r="W5069" s="28" t="n">
        <f aca="false">V5069*$M5069</f>
        <v>0</v>
      </c>
      <c r="X5069" s="28"/>
      <c r="Y5069" s="28" t="n">
        <f aca="false">X5069*$M5069</f>
        <v>0</v>
      </c>
      <c r="Z5069" s="28"/>
      <c r="AA5069" s="28" t="n">
        <f aca="false">Z5069*$M5069</f>
        <v>0</v>
      </c>
      <c r="AB5069" s="28"/>
      <c r="AC5069" s="28" t="n">
        <f aca="false">AB5069*$M5069</f>
        <v>0</v>
      </c>
      <c r="AD5069" s="28"/>
      <c r="AE5069" s="28" t="n">
        <f aca="false">AD5069*$M5069</f>
        <v>0</v>
      </c>
      <c r="AF5069" s="28"/>
      <c r="AG5069" s="28" t="n">
        <f aca="false">AF5069*$M5069</f>
        <v>0</v>
      </c>
      <c r="AH5069" s="28"/>
      <c r="AI5069" s="28" t="n">
        <f aca="false">AH5069*$M5069</f>
        <v>0</v>
      </c>
      <c r="AJ5069" s="28" t="n">
        <v>623</v>
      </c>
      <c r="AK5069" s="28" t="n">
        <v>11214</v>
      </c>
      <c r="AL5069" s="28"/>
      <c r="AM5069" s="28" t="n">
        <f aca="false">AL5069*$M5069</f>
        <v>0</v>
      </c>
      <c r="AN5069" s="28"/>
      <c r="AO5069" s="28" t="n">
        <f aca="false">AN5069*$M5069</f>
        <v>0</v>
      </c>
      <c r="AP5069" s="28"/>
      <c r="AQ5069" s="28" t="n">
        <f aca="false">AP5069*$M5069</f>
        <v>0</v>
      </c>
      <c r="AR5069" s="28"/>
      <c r="AS5069" s="28" t="n">
        <f aca="false">AR5069*$M5069</f>
        <v>0</v>
      </c>
      <c r="AT5069" s="28"/>
      <c r="AU5069" s="28" t="n">
        <f aca="false">AT5069*$M5069</f>
        <v>0</v>
      </c>
      <c r="AV5069" s="28"/>
      <c r="AW5069" s="28" t="n">
        <f aca="false">AV5069*$M5069</f>
        <v>0</v>
      </c>
      <c r="AX5069" s="28"/>
      <c r="AY5069" s="28" t="n">
        <f aca="false">AX5069*$M5069</f>
        <v>0</v>
      </c>
      <c r="AZ5069" s="30" t="n">
        <v>623</v>
      </c>
      <c r="BA5069" s="11" t="n">
        <v>11214</v>
      </c>
      <c r="BB5069" s="31" t="n">
        <f aca="false">SUM(Q5069,S5069,U5069,W5069,Y5069,AA5069,AC5069,AE5069,AG5069,AI5069,AK5069,AM5069,AO5069,AQ5069,AS5069,AU5069,AW5069,AY5069)</f>
        <v>11214</v>
      </c>
      <c r="BC5069" s="28" t="n">
        <f aca="false">BA5069-BB5069</f>
        <v>0</v>
      </c>
      <c r="BD5069" s="32" t="n">
        <f aca="false">SUM(P5069,R5069,T5069,V5069,X5069,Z5069,AB5069,AD5069,AF5069,AH5069,AJ5069,AL5069,AN5069,AP5069,AR5069,AT5069,AV5069,AX5069)</f>
        <v>623</v>
      </c>
      <c r="BE5069" s="33" t="n">
        <f aca="false">AZ5069-BD5069</f>
        <v>0</v>
      </c>
      <c r="BF5069" s="34" t="n">
        <f aca="false">BD5069*M5069</f>
        <v>11214</v>
      </c>
      <c r="BG5069" s="35" t="n">
        <f aca="false">BA5069-BF5069</f>
        <v>0</v>
      </c>
      <c r="BH5069" s="19" t="str">
        <f aca="false">IF(BG5069=0,"",IF(BG5069&lt;&gt;BA5069,"erreur de calcul",IF(BD5069&lt;&gt;0,"pas de prix",IF(M5069&lt;&gt; 0,"pas de quantité","pas de prix, ni de quantité"))))</f>
        <v/>
      </c>
      <c r="BI5069" s="19"/>
    </row>
    <row r="5070" customFormat="false" ht="15" hidden="false" customHeight="false" outlineLevel="0" collapsed="false">
      <c r="A5070" s="0" t="n">
        <v>29</v>
      </c>
      <c r="B5070" s="8" t="s">
        <v>24</v>
      </c>
      <c r="C5070" s="9" t="s">
        <v>25</v>
      </c>
      <c r="D5070" s="9" t="s">
        <v>26</v>
      </c>
      <c r="E5070" s="10" t="n">
        <v>1789</v>
      </c>
      <c r="F5070" s="9" t="s">
        <v>27</v>
      </c>
      <c r="G5070" s="9" t="s">
        <v>27</v>
      </c>
      <c r="H5070" s="11" t="n">
        <v>22</v>
      </c>
      <c r="I5070" s="11" t="s">
        <v>232</v>
      </c>
      <c r="J5070" s="14" t="n">
        <v>66</v>
      </c>
      <c r="K5070" s="14"/>
      <c r="L5070" s="16"/>
      <c r="M5070" s="27" t="n">
        <f aca="false">J5070+(K5070/20)+(L5070/240)</f>
        <v>66</v>
      </c>
      <c r="N5070" s="17" t="s">
        <v>64</v>
      </c>
      <c r="O5070" s="11"/>
      <c r="P5070" s="28"/>
      <c r="Q5070" s="28" t="n">
        <f aca="false">P5070*$M5070</f>
        <v>0</v>
      </c>
      <c r="R5070" s="28" t="n">
        <f aca="false">4580/100</f>
        <v>45.8</v>
      </c>
      <c r="S5070" s="28" t="n">
        <v>3023</v>
      </c>
      <c r="T5070" s="28"/>
      <c r="U5070" s="28" t="n">
        <f aca="false">T5070*$M5070</f>
        <v>0</v>
      </c>
      <c r="V5070" s="28"/>
      <c r="W5070" s="28" t="n">
        <f aca="false">V5070*$M5070</f>
        <v>0</v>
      </c>
      <c r="X5070" s="28"/>
      <c r="Y5070" s="28" t="n">
        <f aca="false">X5070*$M5070</f>
        <v>0</v>
      </c>
      <c r="Z5070" s="28"/>
      <c r="AA5070" s="28" t="n">
        <f aca="false">Z5070*$M5070</f>
        <v>0</v>
      </c>
      <c r="AB5070" s="28"/>
      <c r="AC5070" s="28" t="n">
        <f aca="false">AB5070*$M5070</f>
        <v>0</v>
      </c>
      <c r="AD5070" s="28"/>
      <c r="AE5070" s="28" t="n">
        <f aca="false">AD5070*$M5070</f>
        <v>0</v>
      </c>
      <c r="AF5070" s="28"/>
      <c r="AG5070" s="28" t="n">
        <f aca="false">AF5070*$M5070</f>
        <v>0</v>
      </c>
      <c r="AH5070" s="28"/>
      <c r="AI5070" s="28" t="n">
        <f aca="false">AH5070*$M5070</f>
        <v>0</v>
      </c>
      <c r="AJ5070" s="28"/>
      <c r="AK5070" s="28" t="n">
        <f aca="false">AJ5070*$M5070</f>
        <v>0</v>
      </c>
      <c r="AL5070" s="28"/>
      <c r="AM5070" s="28" t="n">
        <f aca="false">AL5070*$M5070</f>
        <v>0</v>
      </c>
      <c r="AN5070" s="28"/>
      <c r="AO5070" s="28" t="n">
        <f aca="false">AN5070*$M5070</f>
        <v>0</v>
      </c>
      <c r="AP5070" s="28"/>
      <c r="AQ5070" s="28" t="n">
        <f aca="false">AP5070*$M5070</f>
        <v>0</v>
      </c>
      <c r="AR5070" s="28"/>
      <c r="AS5070" s="28" t="n">
        <f aca="false">AR5070*$M5070</f>
        <v>0</v>
      </c>
      <c r="AT5070" s="28"/>
      <c r="AU5070" s="28" t="n">
        <f aca="false">AT5070*$M5070</f>
        <v>0</v>
      </c>
      <c r="AV5070" s="28"/>
      <c r="AW5070" s="28" t="n">
        <f aca="false">AV5070*$M5070</f>
        <v>0</v>
      </c>
      <c r="AX5070" s="28"/>
      <c r="AY5070" s="28" t="n">
        <f aca="false">AX5070*$M5070</f>
        <v>0</v>
      </c>
      <c r="AZ5070" s="30" t="n">
        <f aca="false">4580/100</f>
        <v>45.8</v>
      </c>
      <c r="BA5070" s="11" t="n">
        <v>3023</v>
      </c>
      <c r="BB5070" s="31" t="n">
        <f aca="false">SUM(Q5070,S5070,U5070,W5070,Y5070,AA5070,AC5070,AE5070,AG5070,AI5070,AK5070,AM5070,AO5070,AQ5070,AS5070,AU5070,AW5070,AY5070)</f>
        <v>3023</v>
      </c>
      <c r="BC5070" s="28" t="n">
        <f aca="false">BA5070-BB5070</f>
        <v>0</v>
      </c>
      <c r="BD5070" s="32" t="n">
        <f aca="false">SUM(P5070,R5070,T5070,V5070,X5070,Z5070,AB5070,AD5070,AF5070,AH5070,AJ5070,AL5070,AN5070,AP5070,AR5070,AT5070,AV5070,AX5070)</f>
        <v>45.8</v>
      </c>
      <c r="BE5070" s="33" t="n">
        <f aca="false">AZ5070-BD5070</f>
        <v>0</v>
      </c>
      <c r="BF5070" s="34" t="n">
        <f aca="false">BD5070*M5070</f>
        <v>3022.8</v>
      </c>
      <c r="BG5070" s="35" t="n">
        <f aca="false">BA5070-BF5070</f>
        <v>0.200000000000273</v>
      </c>
      <c r="BH5070" s="19" t="str">
        <f aca="false">IF(BG5070=0,"",IF(BG5070&lt;&gt;BA5070,"erreur de calcul",IF(BD5070&lt;&gt;0,"pas de prix",IF(M5070&lt;&gt; 0,"pas de quantité","pas de prix, ni de quantité"))))</f>
        <v>erreur de calcul</v>
      </c>
      <c r="BI5070" s="19"/>
    </row>
    <row r="5071" customFormat="false" ht="15" hidden="false" customHeight="false" outlineLevel="0" collapsed="false">
      <c r="A5071" s="0" t="n">
        <v>30</v>
      </c>
      <c r="B5071" s="8" t="s">
        <v>24</v>
      </c>
      <c r="C5071" s="9" t="s">
        <v>25</v>
      </c>
      <c r="D5071" s="9" t="s">
        <v>26</v>
      </c>
      <c r="E5071" s="10" t="n">
        <v>1789</v>
      </c>
      <c r="F5071" s="9" t="s">
        <v>27</v>
      </c>
      <c r="G5071" s="9" t="s">
        <v>27</v>
      </c>
      <c r="H5071" s="11" t="n">
        <v>22</v>
      </c>
      <c r="I5071" s="11" t="s">
        <v>233</v>
      </c>
      <c r="J5071" s="14" t="n">
        <v>155</v>
      </c>
      <c r="K5071" s="14"/>
      <c r="L5071" s="16"/>
      <c r="M5071" s="27" t="n">
        <f aca="false">J5071+(K5071/20)+(L5071/240)</f>
        <v>155</v>
      </c>
      <c r="N5071" s="17" t="s">
        <v>64</v>
      </c>
      <c r="O5071" s="11"/>
      <c r="P5071" s="28" t="n">
        <f aca="false">27574/100</f>
        <v>275.74</v>
      </c>
      <c r="Q5071" s="28" t="n">
        <v>42740</v>
      </c>
      <c r="R5071" s="28" t="n">
        <f aca="false">7820/100</f>
        <v>78.2</v>
      </c>
      <c r="S5071" s="28" t="n">
        <v>12121</v>
      </c>
      <c r="T5071" s="28"/>
      <c r="U5071" s="28" t="n">
        <f aca="false">T5071*$M5071</f>
        <v>0</v>
      </c>
      <c r="V5071" s="28" t="n">
        <f aca="false">37316/100</f>
        <v>373.16</v>
      </c>
      <c r="W5071" s="28" t="n">
        <v>57840</v>
      </c>
      <c r="X5071" s="28" t="n">
        <f aca="false">1394/100</f>
        <v>13.94</v>
      </c>
      <c r="Y5071" s="28" t="n">
        <v>2161</v>
      </c>
      <c r="Z5071" s="28"/>
      <c r="AA5071" s="28" t="n">
        <f aca="false">Z5071*$M5071</f>
        <v>0</v>
      </c>
      <c r="AB5071" s="28"/>
      <c r="AC5071" s="28" t="n">
        <f aca="false">AB5071*$M5071</f>
        <v>0</v>
      </c>
      <c r="AD5071" s="28"/>
      <c r="AE5071" s="28" t="n">
        <f aca="false">AD5071*$M5071</f>
        <v>0</v>
      </c>
      <c r="AF5071" s="28"/>
      <c r="AG5071" s="28" t="n">
        <f aca="false">AF5071*$M5071</f>
        <v>0</v>
      </c>
      <c r="AH5071" s="28"/>
      <c r="AI5071" s="28" t="n">
        <f aca="false">AH5071*$M5071</f>
        <v>0</v>
      </c>
      <c r="AJ5071" s="28" t="n">
        <f aca="false">158255/100</f>
        <v>1582.55</v>
      </c>
      <c r="AK5071" s="28" t="n">
        <v>245295</v>
      </c>
      <c r="AL5071" s="28"/>
      <c r="AM5071" s="28" t="n">
        <f aca="false">AL5071*$M5071</f>
        <v>0</v>
      </c>
      <c r="AN5071" s="28" t="n">
        <f aca="false">417945/100</f>
        <v>4179.45</v>
      </c>
      <c r="AO5071" s="28" t="n">
        <v>647815</v>
      </c>
      <c r="AP5071" s="28"/>
      <c r="AQ5071" s="28" t="n">
        <f aca="false">AP5071*$M5071</f>
        <v>0</v>
      </c>
      <c r="AR5071" s="28"/>
      <c r="AS5071" s="28" t="n">
        <f aca="false">AR5071*$M5071</f>
        <v>0</v>
      </c>
      <c r="AT5071" s="28"/>
      <c r="AU5071" s="28" t="n">
        <f aca="false">AT5071*$M5071</f>
        <v>0</v>
      </c>
      <c r="AV5071" s="28"/>
      <c r="AW5071" s="28" t="n">
        <f aca="false">AV5071*$M5071</f>
        <v>0</v>
      </c>
      <c r="AX5071" s="28"/>
      <c r="AY5071" s="28" t="n">
        <f aca="false">AX5071*$M5071</f>
        <v>0</v>
      </c>
      <c r="AZ5071" s="30" t="n">
        <f aca="false">650304/100</f>
        <v>6503.04</v>
      </c>
      <c r="BA5071" s="11" t="n">
        <v>1007972</v>
      </c>
      <c r="BB5071" s="31" t="n">
        <f aca="false">SUM(Q5071,S5071,U5071,W5071,Y5071,AA5071,AC5071,AE5071,AG5071,AI5071,AK5071,AM5071,AO5071,AQ5071,AS5071,AU5071,AW5071,AY5071)</f>
        <v>1007972</v>
      </c>
      <c r="BC5071" s="28" t="n">
        <f aca="false">BA5071-BB5071</f>
        <v>0</v>
      </c>
      <c r="BD5071" s="32" t="n">
        <f aca="false">SUM(P5071,R5071,T5071,V5071,X5071,Z5071,AB5071,AD5071,AF5071,AH5071,AJ5071,AL5071,AN5071,AP5071,AR5071,AT5071,AV5071,AX5071)</f>
        <v>6503.04</v>
      </c>
      <c r="BE5071" s="33" t="n">
        <f aca="false">AZ5071-BD5071</f>
        <v>0</v>
      </c>
      <c r="BF5071" s="34" t="n">
        <f aca="false">BD5071*M5071</f>
        <v>1007971.2</v>
      </c>
      <c r="BG5071" s="35" t="n">
        <f aca="false">BA5071-BF5071</f>
        <v>0.800000000162981</v>
      </c>
      <c r="BH5071" s="19" t="str">
        <f aca="false">IF(BG5071=0,"",IF(BG5071&lt;&gt;BA5071,"erreur de calcul",IF(BD5071&lt;&gt;0,"pas de prix",IF(M5071&lt;&gt; 0,"pas de quantité","pas de prix, ni de quantité"))))</f>
        <v>erreur de calcul</v>
      </c>
      <c r="BI5071" s="19"/>
    </row>
    <row r="5072" customFormat="false" ht="15" hidden="false" customHeight="false" outlineLevel="0" collapsed="false">
      <c r="A5072" s="0" t="n">
        <v>31</v>
      </c>
      <c r="B5072" s="8" t="s">
        <v>24</v>
      </c>
      <c r="C5072" s="9" t="s">
        <v>25</v>
      </c>
      <c r="D5072" s="9" t="s">
        <v>26</v>
      </c>
      <c r="E5072" s="10" t="n">
        <v>1789</v>
      </c>
      <c r="F5072" s="9" t="s">
        <v>27</v>
      </c>
      <c r="G5072" s="9" t="s">
        <v>27</v>
      </c>
      <c r="H5072" s="11" t="n">
        <v>22</v>
      </c>
      <c r="I5072" s="11" t="s">
        <v>234</v>
      </c>
      <c r="J5072" s="14" t="n">
        <v>110</v>
      </c>
      <c r="K5072" s="14"/>
      <c r="L5072" s="16"/>
      <c r="M5072" s="27" t="n">
        <f aca="false">J5072+(K5072/20)+(L5072/240)</f>
        <v>110</v>
      </c>
      <c r="N5072" s="17" t="s">
        <v>64</v>
      </c>
      <c r="O5072" s="11"/>
      <c r="P5072" s="28" t="n">
        <f aca="false">73942/100</f>
        <v>739.42</v>
      </c>
      <c r="Q5072" s="28" t="n">
        <v>81336</v>
      </c>
      <c r="R5072" s="28"/>
      <c r="S5072" s="28" t="n">
        <f aca="false">R5072*$M5072</f>
        <v>0</v>
      </c>
      <c r="T5072" s="28"/>
      <c r="U5072" s="28" t="n">
        <f aca="false">T5072*$M5072</f>
        <v>0</v>
      </c>
      <c r="V5072" s="28"/>
      <c r="W5072" s="28" t="n">
        <f aca="false">V5072*$M5072</f>
        <v>0</v>
      </c>
      <c r="X5072" s="28"/>
      <c r="Y5072" s="28" t="n">
        <f aca="false">X5072*$M5072</f>
        <v>0</v>
      </c>
      <c r="Z5072" s="28"/>
      <c r="AA5072" s="28" t="n">
        <f aca="false">Z5072*$M5072</f>
        <v>0</v>
      </c>
      <c r="AB5072" s="28"/>
      <c r="AC5072" s="28" t="n">
        <f aca="false">AB5072*$M5072</f>
        <v>0</v>
      </c>
      <c r="AD5072" s="28"/>
      <c r="AE5072" s="28" t="n">
        <f aca="false">AD5072*$M5072</f>
        <v>0</v>
      </c>
      <c r="AF5072" s="28"/>
      <c r="AG5072" s="28" t="n">
        <f aca="false">AF5072*$M5072</f>
        <v>0</v>
      </c>
      <c r="AH5072" s="28"/>
      <c r="AI5072" s="28" t="n">
        <f aca="false">AH5072*$M5072</f>
        <v>0</v>
      </c>
      <c r="AJ5072" s="28"/>
      <c r="AK5072" s="28" t="n">
        <f aca="false">AJ5072*$M5072</f>
        <v>0</v>
      </c>
      <c r="AL5072" s="28"/>
      <c r="AM5072" s="28" t="n">
        <f aca="false">AL5072*$M5072</f>
        <v>0</v>
      </c>
      <c r="AN5072" s="28"/>
      <c r="AO5072" s="28" t="n">
        <f aca="false">AN5072*$M5072</f>
        <v>0</v>
      </c>
      <c r="AP5072" s="28"/>
      <c r="AQ5072" s="28" t="n">
        <f aca="false">AP5072*$M5072</f>
        <v>0</v>
      </c>
      <c r="AR5072" s="28"/>
      <c r="AS5072" s="28" t="n">
        <f aca="false">AR5072*$M5072</f>
        <v>0</v>
      </c>
      <c r="AT5072" s="28"/>
      <c r="AU5072" s="28" t="n">
        <f aca="false">AT5072*$M5072</f>
        <v>0</v>
      </c>
      <c r="AV5072" s="28"/>
      <c r="AW5072" s="28" t="n">
        <f aca="false">AV5072*$M5072</f>
        <v>0</v>
      </c>
      <c r="AX5072" s="28"/>
      <c r="AY5072" s="28" t="n">
        <f aca="false">AX5072*$M5072</f>
        <v>0</v>
      </c>
      <c r="AZ5072" s="30" t="n">
        <f aca="false">73942/100</f>
        <v>739.42</v>
      </c>
      <c r="BA5072" s="11" t="n">
        <v>81336</v>
      </c>
      <c r="BB5072" s="31" t="n">
        <f aca="false">SUM(Q5072,S5072,U5072,W5072,Y5072,AA5072,AC5072,AE5072,AG5072,AI5072,AK5072,AM5072,AO5072,AQ5072,AS5072,AU5072,AW5072,AY5072)</f>
        <v>81336</v>
      </c>
      <c r="BC5072" s="28" t="n">
        <f aca="false">BA5072-BB5072</f>
        <v>0</v>
      </c>
      <c r="BD5072" s="32" t="n">
        <f aca="false">SUM(P5072,R5072,T5072,V5072,X5072,Z5072,AB5072,AD5072,AF5072,AH5072,AJ5072,AL5072,AN5072,AP5072,AR5072,AT5072,AV5072,AX5072)</f>
        <v>739.42</v>
      </c>
      <c r="BE5072" s="33" t="n">
        <f aca="false">AZ5072-BD5072</f>
        <v>0</v>
      </c>
      <c r="BF5072" s="34" t="n">
        <f aca="false">BD5072*M5072</f>
        <v>81336.2</v>
      </c>
      <c r="BG5072" s="35" t="n">
        <f aca="false">BA5072-BF5072</f>
        <v>-0.19999999999709</v>
      </c>
      <c r="BH5072" s="19" t="str">
        <f aca="false">IF(BG5072=0,"",IF(BG5072&lt;&gt;BA5072,"erreur de calcul",IF(BD5072&lt;&gt;0,"pas de prix",IF(M5072&lt;&gt; 0,"pas de quantité","pas de prix, ni de quantité"))))</f>
        <v>erreur de calcul</v>
      </c>
      <c r="BI5072" s="19"/>
    </row>
    <row r="5073" customFormat="false" ht="15" hidden="false" customHeight="false" outlineLevel="0" collapsed="false">
      <c r="A5073" s="0" t="n">
        <v>32</v>
      </c>
      <c r="B5073" s="8" t="s">
        <v>24</v>
      </c>
      <c r="C5073" s="9" t="s">
        <v>25</v>
      </c>
      <c r="D5073" s="9" t="s">
        <v>26</v>
      </c>
      <c r="E5073" s="10" t="n">
        <v>1789</v>
      </c>
      <c r="F5073" s="9" t="s">
        <v>27</v>
      </c>
      <c r="G5073" s="9" t="s">
        <v>27</v>
      </c>
      <c r="H5073" s="11" t="n">
        <v>22</v>
      </c>
      <c r="I5073" s="11" t="s">
        <v>235</v>
      </c>
      <c r="J5073" s="14" t="n">
        <v>60</v>
      </c>
      <c r="K5073" s="14"/>
      <c r="L5073" s="16"/>
      <c r="M5073" s="27" t="n">
        <f aca="false">J5073+(K5073/20)+(L5073/240)</f>
        <v>60</v>
      </c>
      <c r="N5073" s="17" t="s">
        <v>64</v>
      </c>
      <c r="O5073" s="11"/>
      <c r="P5073" s="28"/>
      <c r="Q5073" s="28" t="n">
        <f aca="false">P5073*$M5073</f>
        <v>0</v>
      </c>
      <c r="R5073" s="28"/>
      <c r="S5073" s="28" t="n">
        <f aca="false">R5073*$M5073</f>
        <v>0</v>
      </c>
      <c r="T5073" s="28"/>
      <c r="U5073" s="28" t="n">
        <f aca="false">T5073*$M5073</f>
        <v>0</v>
      </c>
      <c r="V5073" s="28" t="n">
        <f aca="false">232/100</f>
        <v>2.32</v>
      </c>
      <c r="W5073" s="28" t="n">
        <v>139</v>
      </c>
      <c r="X5073" s="28" t="n">
        <f aca="false">5603/100</f>
        <v>56.03</v>
      </c>
      <c r="Y5073" s="28" t="n">
        <v>3362</v>
      </c>
      <c r="Z5073" s="28"/>
      <c r="AA5073" s="28" t="n">
        <f aca="false">Z5073*$M5073</f>
        <v>0</v>
      </c>
      <c r="AB5073" s="28" t="n">
        <f aca="false">1410/100</f>
        <v>14.1</v>
      </c>
      <c r="AC5073" s="28" t="n">
        <v>846</v>
      </c>
      <c r="AD5073" s="28"/>
      <c r="AE5073" s="28" t="n">
        <f aca="false">AD5073*$M5073</f>
        <v>0</v>
      </c>
      <c r="AF5073" s="28" t="n">
        <f aca="false">162899/100</f>
        <v>1628.99</v>
      </c>
      <c r="AG5073" s="28" t="n">
        <v>97739</v>
      </c>
      <c r="AH5073" s="28" t="n">
        <f aca="false">6506/100</f>
        <v>65.06</v>
      </c>
      <c r="AI5073" s="28" t="n">
        <v>3904</v>
      </c>
      <c r="AJ5073" s="28"/>
      <c r="AK5073" s="28" t="n">
        <f aca="false">AJ5073*$M5073</f>
        <v>0</v>
      </c>
      <c r="AL5073" s="28"/>
      <c r="AM5073" s="28" t="n">
        <f aca="false">AL5073*$M5073</f>
        <v>0</v>
      </c>
      <c r="AN5073" s="28"/>
      <c r="AO5073" s="28" t="n">
        <f aca="false">AN5073*$M5073</f>
        <v>0</v>
      </c>
      <c r="AP5073" s="28"/>
      <c r="AQ5073" s="28" t="n">
        <f aca="false">AP5073*$M5073</f>
        <v>0</v>
      </c>
      <c r="AR5073" s="28"/>
      <c r="AS5073" s="28" t="n">
        <f aca="false">AR5073*$M5073</f>
        <v>0</v>
      </c>
      <c r="AT5073" s="28"/>
      <c r="AU5073" s="28" t="n">
        <f aca="false">AT5073*$M5073</f>
        <v>0</v>
      </c>
      <c r="AV5073" s="28"/>
      <c r="AW5073" s="28" t="n">
        <f aca="false">AV5073*$M5073</f>
        <v>0</v>
      </c>
      <c r="AX5073" s="28"/>
      <c r="AY5073" s="28" t="n">
        <f aca="false">AX5073*$M5073</f>
        <v>0</v>
      </c>
      <c r="AZ5073" s="30" t="n">
        <f aca="false">176650/100</f>
        <v>1766.5</v>
      </c>
      <c r="BA5073" s="11" t="n">
        <v>105990</v>
      </c>
      <c r="BB5073" s="31" t="n">
        <f aca="false">SUM(Q5073,S5073,U5073,W5073,Y5073,AA5073,AC5073,AE5073,AG5073,AI5073,AK5073,AM5073,AO5073,AQ5073,AS5073,AU5073,AW5073,AY5073)</f>
        <v>105990</v>
      </c>
      <c r="BC5073" s="28" t="n">
        <f aca="false">BA5073-BB5073</f>
        <v>0</v>
      </c>
      <c r="BD5073" s="32" t="n">
        <f aca="false">SUM(P5073,R5073,T5073,V5073,X5073,Z5073,AB5073,AD5073,AF5073,AH5073,AJ5073,AL5073,AN5073,AP5073,AR5073,AT5073,AV5073,AX5073)</f>
        <v>1766.5</v>
      </c>
      <c r="BE5073" s="33" t="n">
        <f aca="false">AZ5073-BD5073</f>
        <v>0</v>
      </c>
      <c r="BF5073" s="34" t="n">
        <f aca="false">BD5073*M5073</f>
        <v>105990</v>
      </c>
      <c r="BG5073" s="35" t="n">
        <f aca="false">BA5073-BF5073</f>
        <v>0</v>
      </c>
      <c r="BH5073" s="19" t="str">
        <f aca="false">IF(BG5073=0,"",IF(BG5073&lt;&gt;BA5073,"erreur de calcul",IF(BD5073&lt;&gt;0,"pas de prix",IF(M5073&lt;&gt; 0,"pas de quantité","pas de prix, ni de quantité"))))</f>
        <v/>
      </c>
      <c r="BI5073" s="19"/>
    </row>
    <row r="5074" customFormat="false" ht="15" hidden="false" customHeight="false" outlineLevel="0" collapsed="false">
      <c r="A5074" s="0" t="n">
        <v>33</v>
      </c>
      <c r="B5074" s="8" t="s">
        <v>24</v>
      </c>
      <c r="C5074" s="9" t="s">
        <v>25</v>
      </c>
      <c r="D5074" s="9" t="s">
        <v>26</v>
      </c>
      <c r="E5074" s="10" t="n">
        <v>1789</v>
      </c>
      <c r="F5074" s="9" t="s">
        <v>27</v>
      </c>
      <c r="G5074" s="9" t="s">
        <v>27</v>
      </c>
      <c r="H5074" s="11" t="n">
        <v>22</v>
      </c>
      <c r="I5074" s="11" t="s">
        <v>236</v>
      </c>
      <c r="J5074" s="14" t="n">
        <v>710</v>
      </c>
      <c r="K5074" s="14"/>
      <c r="L5074" s="16"/>
      <c r="M5074" s="27" t="n">
        <f aca="false">J5074+(K5074/20)+(L5074/240)</f>
        <v>710</v>
      </c>
      <c r="N5074" s="17" t="s">
        <v>64</v>
      </c>
      <c r="O5074" s="11"/>
      <c r="P5074" s="28"/>
      <c r="Q5074" s="28" t="n">
        <f aca="false">P5074*$M5074</f>
        <v>0</v>
      </c>
      <c r="R5074" s="28"/>
      <c r="S5074" s="28" t="n">
        <f aca="false">R5074*$M5074</f>
        <v>0</v>
      </c>
      <c r="T5074" s="28" t="n">
        <f aca="false">108/100</f>
        <v>1.08</v>
      </c>
      <c r="U5074" s="28" t="n">
        <v>767</v>
      </c>
      <c r="V5074" s="28" t="n">
        <f aca="false">1190/100</f>
        <v>11.9</v>
      </c>
      <c r="W5074" s="28" t="n">
        <v>8449</v>
      </c>
      <c r="X5074" s="28" t="n">
        <f aca="false">487/100</f>
        <v>4.87</v>
      </c>
      <c r="Y5074" s="28" t="n">
        <v>3458</v>
      </c>
      <c r="Z5074" s="28"/>
      <c r="AA5074" s="28" t="n">
        <f aca="false">Z5074*$M5074</f>
        <v>0</v>
      </c>
      <c r="AB5074" s="28" t="n">
        <f aca="false">9170/100</f>
        <v>91.7</v>
      </c>
      <c r="AC5074" s="28" t="n">
        <v>65107</v>
      </c>
      <c r="AD5074" s="28" t="n">
        <f aca="false">531/100</f>
        <v>5.31</v>
      </c>
      <c r="AE5074" s="28" t="n">
        <v>3770</v>
      </c>
      <c r="AF5074" s="28"/>
      <c r="AG5074" s="28" t="n">
        <f aca="false">AF5074*$M5074</f>
        <v>0</v>
      </c>
      <c r="AH5074" s="28"/>
      <c r="AI5074" s="28" t="n">
        <f aca="false">AH5074*$M5074</f>
        <v>0</v>
      </c>
      <c r="AJ5074" s="28"/>
      <c r="AK5074" s="28" t="n">
        <f aca="false">AJ5074*$M5074</f>
        <v>0</v>
      </c>
      <c r="AL5074" s="28"/>
      <c r="AM5074" s="28" t="n">
        <f aca="false">AL5074*$M5074</f>
        <v>0</v>
      </c>
      <c r="AN5074" s="28"/>
      <c r="AO5074" s="28" t="n">
        <f aca="false">AN5074*$M5074</f>
        <v>0</v>
      </c>
      <c r="AP5074" s="28"/>
      <c r="AQ5074" s="28" t="n">
        <f aca="false">AP5074*$M5074</f>
        <v>0</v>
      </c>
      <c r="AR5074" s="28"/>
      <c r="AS5074" s="28" t="n">
        <f aca="false">AR5074*$M5074</f>
        <v>0</v>
      </c>
      <c r="AT5074" s="28"/>
      <c r="AU5074" s="28" t="n">
        <f aca="false">AT5074*$M5074</f>
        <v>0</v>
      </c>
      <c r="AV5074" s="28"/>
      <c r="AW5074" s="28" t="n">
        <f aca="false">AV5074*$M5074</f>
        <v>0</v>
      </c>
      <c r="AX5074" s="28"/>
      <c r="AY5074" s="28" t="n">
        <f aca="false">AX5074*$M5074</f>
        <v>0</v>
      </c>
      <c r="AZ5074" s="30" t="n">
        <f aca="false">11486/100</f>
        <v>114.86</v>
      </c>
      <c r="BA5074" s="11" t="n">
        <v>81551</v>
      </c>
      <c r="BB5074" s="31" t="n">
        <f aca="false">SUM(Q5074,S5074,U5074,W5074,Y5074,AA5074,AC5074,AE5074,AG5074,AI5074,AK5074,AM5074,AO5074,AQ5074,AS5074,AU5074,AW5074,AY5074)</f>
        <v>81551</v>
      </c>
      <c r="BC5074" s="28" t="n">
        <f aca="false">BA5074-BB5074</f>
        <v>0</v>
      </c>
      <c r="BD5074" s="32" t="n">
        <f aca="false">SUM(P5074,R5074,T5074,V5074,X5074,Z5074,AB5074,AD5074,AF5074,AH5074,AJ5074,AL5074,AN5074,AP5074,AR5074,AT5074,AV5074,AX5074)</f>
        <v>114.86</v>
      </c>
      <c r="BE5074" s="33" t="n">
        <f aca="false">AZ5074-BD5074</f>
        <v>0</v>
      </c>
      <c r="BF5074" s="34" t="n">
        <f aca="false">BD5074*M5074</f>
        <v>81550.6</v>
      </c>
      <c r="BG5074" s="35" t="n">
        <f aca="false">BA5074-BF5074</f>
        <v>0.399999999994179</v>
      </c>
      <c r="BH5074" s="19" t="str">
        <f aca="false">IF(BG5074=0,"",IF(BG5074&lt;&gt;BA5074,"erreur de calcul",IF(BD5074&lt;&gt;0,"pas de prix",IF(M5074&lt;&gt; 0,"pas de quantité","pas de prix, ni de quantité"))))</f>
        <v>erreur de calcul</v>
      </c>
      <c r="BI5074" s="19"/>
    </row>
    <row r="5075" customFormat="false" ht="15" hidden="false" customHeight="false" outlineLevel="0" collapsed="false">
      <c r="A5075" s="0" t="n">
        <v>34</v>
      </c>
      <c r="B5075" s="8" t="s">
        <v>24</v>
      </c>
      <c r="C5075" s="9" t="s">
        <v>25</v>
      </c>
      <c r="D5075" s="9" t="s">
        <v>26</v>
      </c>
      <c r="E5075" s="10" t="n">
        <v>1789</v>
      </c>
      <c r="F5075" s="9" t="s">
        <v>27</v>
      </c>
      <c r="G5075" s="9" t="s">
        <v>27</v>
      </c>
      <c r="H5075" s="11" t="n">
        <v>22</v>
      </c>
      <c r="I5075" s="11" t="s">
        <v>237</v>
      </c>
      <c r="J5075" s="14" t="n">
        <v>91</v>
      </c>
      <c r="K5075" s="14"/>
      <c r="L5075" s="16"/>
      <c r="M5075" s="27" t="n">
        <f aca="false">J5075+(K5075/20)+(L5075/240)</f>
        <v>91</v>
      </c>
      <c r="N5075" s="17" t="s">
        <v>64</v>
      </c>
      <c r="O5075" s="11"/>
      <c r="P5075" s="28"/>
      <c r="Q5075" s="28" t="n">
        <f aca="false">P5075*$M5075</f>
        <v>0</v>
      </c>
      <c r="R5075" s="28"/>
      <c r="S5075" s="28" t="n">
        <f aca="false">R5075*$M5075</f>
        <v>0</v>
      </c>
      <c r="T5075" s="28"/>
      <c r="U5075" s="28" t="n">
        <f aca="false">T5075*$M5075</f>
        <v>0</v>
      </c>
      <c r="V5075" s="28" t="n">
        <f aca="false">3384/100</f>
        <v>33.84</v>
      </c>
      <c r="W5075" s="28" t="n">
        <v>3079</v>
      </c>
      <c r="X5075" s="28" t="n">
        <f aca="false">18105/100</f>
        <v>181.05</v>
      </c>
      <c r="Y5075" s="28" t="n">
        <v>16475</v>
      </c>
      <c r="Z5075" s="28"/>
      <c r="AA5075" s="28" t="n">
        <f aca="false">Z5075*$M5075</f>
        <v>0</v>
      </c>
      <c r="AB5075" s="28"/>
      <c r="AC5075" s="28" t="n">
        <f aca="false">AB5075*$M5075</f>
        <v>0</v>
      </c>
      <c r="AD5075" s="28"/>
      <c r="AE5075" s="28" t="n">
        <f aca="false">AD5075*$M5075</f>
        <v>0</v>
      </c>
      <c r="AF5075" s="28"/>
      <c r="AG5075" s="28" t="n">
        <f aca="false">AF5075*$M5075</f>
        <v>0</v>
      </c>
      <c r="AH5075" s="28"/>
      <c r="AI5075" s="28" t="n">
        <f aca="false">AH5075*$M5075</f>
        <v>0</v>
      </c>
      <c r="AJ5075" s="28"/>
      <c r="AK5075" s="28" t="n">
        <f aca="false">AJ5075*$M5075</f>
        <v>0</v>
      </c>
      <c r="AL5075" s="28"/>
      <c r="AM5075" s="28" t="n">
        <f aca="false">AL5075*$M5075</f>
        <v>0</v>
      </c>
      <c r="AN5075" s="28"/>
      <c r="AO5075" s="28" t="n">
        <f aca="false">AN5075*$M5075</f>
        <v>0</v>
      </c>
      <c r="AP5075" s="28"/>
      <c r="AQ5075" s="28" t="n">
        <f aca="false">AP5075*$M5075</f>
        <v>0</v>
      </c>
      <c r="AR5075" s="28"/>
      <c r="AS5075" s="28" t="n">
        <f aca="false">AR5075*$M5075</f>
        <v>0</v>
      </c>
      <c r="AT5075" s="28"/>
      <c r="AU5075" s="28" t="n">
        <f aca="false">AT5075*$M5075</f>
        <v>0</v>
      </c>
      <c r="AV5075" s="28"/>
      <c r="AW5075" s="28" t="n">
        <f aca="false">AV5075*$M5075</f>
        <v>0</v>
      </c>
      <c r="AX5075" s="28"/>
      <c r="AY5075" s="28" t="n">
        <f aca="false">AX5075*$M5075</f>
        <v>0</v>
      </c>
      <c r="AZ5075" s="30" t="n">
        <f aca="false">21489/100</f>
        <v>214.89</v>
      </c>
      <c r="BA5075" s="11" t="n">
        <v>19554</v>
      </c>
      <c r="BB5075" s="31" t="n">
        <f aca="false">SUM(Q5075,S5075,U5075,W5075,Y5075,AA5075,AC5075,AE5075,AG5075,AI5075,AK5075,AM5075,AO5075,AQ5075,AS5075,AU5075,AW5075,AY5075)</f>
        <v>19554</v>
      </c>
      <c r="BC5075" s="28" t="n">
        <f aca="false">BA5075-BB5075</f>
        <v>0</v>
      </c>
      <c r="BD5075" s="32" t="n">
        <f aca="false">SUM(P5075,R5075,T5075,V5075,X5075,Z5075,AB5075,AD5075,AF5075,AH5075,AJ5075,AL5075,AN5075,AP5075,AR5075,AT5075,AV5075,AX5075)</f>
        <v>214.89</v>
      </c>
      <c r="BE5075" s="33" t="n">
        <f aca="false">AZ5075-BD5075</f>
        <v>0</v>
      </c>
      <c r="BF5075" s="34" t="n">
        <f aca="false">BD5075*M5075</f>
        <v>19554.99</v>
      </c>
      <c r="BG5075" s="35" t="n">
        <f aca="false">BA5075-BF5075</f>
        <v>-0.990000000001601</v>
      </c>
      <c r="BH5075" s="19" t="str">
        <f aca="false">IF(BG5075=0,"",IF(BG5075&lt;&gt;BA5075,"erreur de calcul",IF(BD5075&lt;&gt;0,"pas de prix",IF(M5075&lt;&gt; 0,"pas de quantité","pas de prix, ni de quantité"))))</f>
        <v>erreur de calcul</v>
      </c>
      <c r="BI5075" s="19"/>
    </row>
    <row r="5076" customFormat="false" ht="15" hidden="false" customHeight="false" outlineLevel="0" collapsed="false">
      <c r="A5076" s="0" t="n">
        <v>35</v>
      </c>
      <c r="B5076" s="8" t="s">
        <v>24</v>
      </c>
      <c r="C5076" s="9" t="s">
        <v>25</v>
      </c>
      <c r="D5076" s="9" t="s">
        <v>26</v>
      </c>
      <c r="E5076" s="10" t="n">
        <v>1789</v>
      </c>
      <c r="F5076" s="9" t="s">
        <v>27</v>
      </c>
      <c r="G5076" s="9" t="s">
        <v>27</v>
      </c>
      <c r="H5076" s="11" t="n">
        <v>22</v>
      </c>
      <c r="I5076" s="11" t="s">
        <v>238</v>
      </c>
      <c r="J5076" s="14" t="n">
        <v>40</v>
      </c>
      <c r="K5076" s="14"/>
      <c r="L5076" s="16"/>
      <c r="M5076" s="27" t="n">
        <f aca="false">J5076+(K5076/20)+(L5076/240)</f>
        <v>40</v>
      </c>
      <c r="N5076" s="17" t="s">
        <v>66</v>
      </c>
      <c r="O5076" s="11"/>
      <c r="P5076" s="28" t="n">
        <v>150</v>
      </c>
      <c r="Q5076" s="28" t="n">
        <v>6000</v>
      </c>
      <c r="R5076" s="28"/>
      <c r="S5076" s="28" t="n">
        <f aca="false">R5076*$M5076</f>
        <v>0</v>
      </c>
      <c r="T5076" s="28" t="n">
        <v>467</v>
      </c>
      <c r="U5076" s="28" t="n">
        <v>18680</v>
      </c>
      <c r="V5076" s="28" t="n">
        <v>1124</v>
      </c>
      <c r="W5076" s="28" t="n">
        <v>44960</v>
      </c>
      <c r="X5076" s="28" t="n">
        <v>591</v>
      </c>
      <c r="Y5076" s="28" t="n">
        <v>23640</v>
      </c>
      <c r="Z5076" s="28"/>
      <c r="AA5076" s="28" t="n">
        <f aca="false">Z5076*$M5076</f>
        <v>0</v>
      </c>
      <c r="AB5076" s="28" t="n">
        <v>554</v>
      </c>
      <c r="AC5076" s="28" t="n">
        <v>22160</v>
      </c>
      <c r="AD5076" s="28"/>
      <c r="AE5076" s="28" t="n">
        <f aca="false">AD5076*$M5076</f>
        <v>0</v>
      </c>
      <c r="AF5076" s="28"/>
      <c r="AG5076" s="28" t="n">
        <f aca="false">AF5076*$M5076</f>
        <v>0</v>
      </c>
      <c r="AH5076" s="28" t="n">
        <v>1109</v>
      </c>
      <c r="AI5076" s="28" t="n">
        <v>44360</v>
      </c>
      <c r="AJ5076" s="28"/>
      <c r="AK5076" s="28" t="n">
        <f aca="false">AJ5076*$M5076</f>
        <v>0</v>
      </c>
      <c r="AL5076" s="28"/>
      <c r="AM5076" s="28" t="n">
        <f aca="false">AL5076*$M5076</f>
        <v>0</v>
      </c>
      <c r="AN5076" s="28"/>
      <c r="AO5076" s="28" t="n">
        <f aca="false">AN5076*$M5076</f>
        <v>0</v>
      </c>
      <c r="AP5076" s="28"/>
      <c r="AQ5076" s="28" t="n">
        <f aca="false">AP5076*$M5076</f>
        <v>0</v>
      </c>
      <c r="AR5076" s="28"/>
      <c r="AS5076" s="28" t="n">
        <f aca="false">AR5076*$M5076</f>
        <v>0</v>
      </c>
      <c r="AT5076" s="28"/>
      <c r="AU5076" s="28" t="n">
        <f aca="false">AT5076*$M5076</f>
        <v>0</v>
      </c>
      <c r="AV5076" s="28"/>
      <c r="AW5076" s="28" t="n">
        <f aca="false">AV5076*$M5076</f>
        <v>0</v>
      </c>
      <c r="AX5076" s="28"/>
      <c r="AY5076" s="28" t="n">
        <f aca="false">AX5076*$M5076</f>
        <v>0</v>
      </c>
      <c r="AZ5076" s="30" t="n">
        <v>3995</v>
      </c>
      <c r="BA5076" s="11" t="n">
        <v>159800</v>
      </c>
      <c r="BB5076" s="31" t="n">
        <f aca="false">SUM(Q5076,S5076,U5076,W5076,Y5076,AA5076,AC5076,AE5076,AG5076,AI5076,AK5076,AM5076,AO5076,AQ5076,AS5076,AU5076,AW5076,AY5076)</f>
        <v>159800</v>
      </c>
      <c r="BC5076" s="28" t="n">
        <f aca="false">BA5076-BB5076</f>
        <v>0</v>
      </c>
      <c r="BD5076" s="32" t="n">
        <f aca="false">SUM(P5076,R5076,T5076,V5076,X5076,Z5076,AB5076,AD5076,AF5076,AH5076,AJ5076,AL5076,AN5076,AP5076,AR5076,AT5076,AV5076,AX5076)</f>
        <v>3995</v>
      </c>
      <c r="BE5076" s="33" t="n">
        <f aca="false">AZ5076-BD5076</f>
        <v>0</v>
      </c>
      <c r="BF5076" s="34" t="n">
        <f aca="false">BD5076*M5076</f>
        <v>159800</v>
      </c>
      <c r="BG5076" s="35" t="n">
        <f aca="false">BA5076-BF5076</f>
        <v>0</v>
      </c>
      <c r="BH5076" s="19" t="str">
        <f aca="false">IF(BG5076=0,"",IF(BG5076&lt;&gt;BA5076,"erreur de calcul",IF(BD5076&lt;&gt;0,"pas de prix",IF(M5076&lt;&gt; 0,"pas de quantité","pas de prix, ni de quantité"))))</f>
        <v/>
      </c>
      <c r="BI5076" s="19"/>
    </row>
    <row r="5077" customFormat="false" ht="15" hidden="false" customHeight="false" outlineLevel="0" collapsed="false">
      <c r="A5077" s="0" t="n">
        <v>36</v>
      </c>
      <c r="B5077" s="8" t="s">
        <v>24</v>
      </c>
      <c r="C5077" s="9" t="s">
        <v>25</v>
      </c>
      <c r="D5077" s="9" t="s">
        <v>26</v>
      </c>
      <c r="E5077" s="10" t="n">
        <v>1789</v>
      </c>
      <c r="F5077" s="9" t="s">
        <v>27</v>
      </c>
      <c r="G5077" s="9" t="s">
        <v>27</v>
      </c>
      <c r="H5077" s="11" t="n">
        <v>22</v>
      </c>
      <c r="I5077" s="11" t="s">
        <v>239</v>
      </c>
      <c r="J5077" s="14" t="n">
        <v>48</v>
      </c>
      <c r="K5077" s="14"/>
      <c r="L5077" s="16"/>
      <c r="M5077" s="27" t="n">
        <f aca="false">J5077+(K5077/20)+(L5077/240)</f>
        <v>48</v>
      </c>
      <c r="N5077" s="17" t="s">
        <v>66</v>
      </c>
      <c r="O5077" s="11"/>
      <c r="P5077" s="28"/>
      <c r="Q5077" s="28" t="n">
        <f aca="false">P5077*$M5077</f>
        <v>0</v>
      </c>
      <c r="R5077" s="28"/>
      <c r="S5077" s="28" t="n">
        <f aca="false">R5077*$M5077</f>
        <v>0</v>
      </c>
      <c r="T5077" s="28" t="n">
        <v>690</v>
      </c>
      <c r="U5077" s="28" t="n">
        <v>33120</v>
      </c>
      <c r="V5077" s="28" t="n">
        <v>3577</v>
      </c>
      <c r="W5077" s="28" t="n">
        <v>171696</v>
      </c>
      <c r="X5077" s="28"/>
      <c r="Y5077" s="28" t="n">
        <f aca="false">X5077*$M5077</f>
        <v>0</v>
      </c>
      <c r="Z5077" s="28"/>
      <c r="AA5077" s="28" t="n">
        <f aca="false">Z5077*$M5077</f>
        <v>0</v>
      </c>
      <c r="AB5077" s="28"/>
      <c r="AC5077" s="28" t="n">
        <f aca="false">AB5077*$M5077</f>
        <v>0</v>
      </c>
      <c r="AD5077" s="28"/>
      <c r="AE5077" s="28" t="n">
        <f aca="false">AD5077*$M5077</f>
        <v>0</v>
      </c>
      <c r="AF5077" s="28"/>
      <c r="AG5077" s="28" t="n">
        <f aca="false">AF5077*$M5077</f>
        <v>0</v>
      </c>
      <c r="AH5077" s="28"/>
      <c r="AI5077" s="28" t="n">
        <f aca="false">AH5077*$M5077</f>
        <v>0</v>
      </c>
      <c r="AJ5077" s="28"/>
      <c r="AK5077" s="28" t="n">
        <f aca="false">AJ5077*$M5077</f>
        <v>0</v>
      </c>
      <c r="AL5077" s="28"/>
      <c r="AM5077" s="28" t="n">
        <f aca="false">AL5077*$M5077</f>
        <v>0</v>
      </c>
      <c r="AN5077" s="28"/>
      <c r="AO5077" s="28" t="n">
        <f aca="false">AN5077*$M5077</f>
        <v>0</v>
      </c>
      <c r="AP5077" s="28"/>
      <c r="AQ5077" s="28" t="n">
        <f aca="false">AP5077*$M5077</f>
        <v>0</v>
      </c>
      <c r="AR5077" s="28"/>
      <c r="AS5077" s="28" t="n">
        <f aca="false">AR5077*$M5077</f>
        <v>0</v>
      </c>
      <c r="AT5077" s="28"/>
      <c r="AU5077" s="28" t="n">
        <f aca="false">AT5077*$M5077</f>
        <v>0</v>
      </c>
      <c r="AV5077" s="28"/>
      <c r="AW5077" s="28" t="n">
        <f aca="false">AV5077*$M5077</f>
        <v>0</v>
      </c>
      <c r="AX5077" s="28"/>
      <c r="AY5077" s="28" t="n">
        <f aca="false">AX5077*$M5077</f>
        <v>0</v>
      </c>
      <c r="AZ5077" s="30" t="n">
        <v>4267</v>
      </c>
      <c r="BA5077" s="11" t="n">
        <v>204816</v>
      </c>
      <c r="BB5077" s="31" t="n">
        <f aca="false">SUM(Q5077,S5077,U5077,W5077,Y5077,AA5077,AC5077,AE5077,AG5077,AI5077,AK5077,AM5077,AO5077,AQ5077,AS5077,AU5077,AW5077,AY5077)</f>
        <v>204816</v>
      </c>
      <c r="BC5077" s="28" t="n">
        <f aca="false">BA5077-BB5077</f>
        <v>0</v>
      </c>
      <c r="BD5077" s="32" t="n">
        <f aca="false">SUM(P5077,R5077,T5077,V5077,X5077,Z5077,AB5077,AD5077,AF5077,AH5077,AJ5077,AL5077,AN5077,AP5077,AR5077,AT5077,AV5077,AX5077)</f>
        <v>4267</v>
      </c>
      <c r="BE5077" s="33" t="n">
        <f aca="false">AZ5077-BD5077</f>
        <v>0</v>
      </c>
      <c r="BF5077" s="34" t="n">
        <f aca="false">BD5077*M5077</f>
        <v>204816</v>
      </c>
      <c r="BG5077" s="35" t="n">
        <f aca="false">BA5077-BF5077</f>
        <v>0</v>
      </c>
      <c r="BH5077" s="19" t="str">
        <f aca="false">IF(BG5077=0,"",IF(BG5077&lt;&gt;BA5077,"erreur de calcul",IF(BD5077&lt;&gt;0,"pas de prix",IF(M5077&lt;&gt; 0,"pas de quantité","pas de prix, ni de quantité"))))</f>
        <v/>
      </c>
      <c r="BI5077" s="19"/>
    </row>
    <row r="5078" customFormat="false" ht="15" hidden="false" customHeight="false" outlineLevel="0" collapsed="false">
      <c r="A5078" s="0" t="n">
        <v>37</v>
      </c>
      <c r="B5078" s="8" t="s">
        <v>24</v>
      </c>
      <c r="C5078" s="9" t="s">
        <v>25</v>
      </c>
      <c r="D5078" s="9" t="s">
        <v>26</v>
      </c>
      <c r="E5078" s="10" t="n">
        <v>1789</v>
      </c>
      <c r="F5078" s="9" t="s">
        <v>27</v>
      </c>
      <c r="G5078" s="9" t="s">
        <v>27</v>
      </c>
      <c r="H5078" s="11" t="n">
        <v>22</v>
      </c>
      <c r="I5078" s="11" t="s">
        <v>240</v>
      </c>
      <c r="J5078" s="14" t="n">
        <v>30</v>
      </c>
      <c r="K5078" s="14"/>
      <c r="L5078" s="16"/>
      <c r="M5078" s="27" t="n">
        <f aca="false">J5078+(K5078/20)+(L5078/240)</f>
        <v>30</v>
      </c>
      <c r="N5078" s="17" t="s">
        <v>66</v>
      </c>
      <c r="O5078" s="11"/>
      <c r="P5078" s="28"/>
      <c r="Q5078" s="28" t="n">
        <f aca="false">P5078*$M5078</f>
        <v>0</v>
      </c>
      <c r="R5078" s="28"/>
      <c r="S5078" s="28" t="n">
        <f aca="false">R5078*$M5078</f>
        <v>0</v>
      </c>
      <c r="T5078" s="28"/>
      <c r="U5078" s="28" t="n">
        <f aca="false">T5078*$M5078</f>
        <v>0</v>
      </c>
      <c r="V5078" s="28"/>
      <c r="W5078" s="28" t="n">
        <f aca="false">V5078*$M5078</f>
        <v>0</v>
      </c>
      <c r="X5078" s="28"/>
      <c r="Y5078" s="28" t="n">
        <f aca="false">X5078*$M5078</f>
        <v>0</v>
      </c>
      <c r="Z5078" s="28"/>
      <c r="AA5078" s="28" t="n">
        <f aca="false">Z5078*$M5078</f>
        <v>0</v>
      </c>
      <c r="AB5078" s="28"/>
      <c r="AC5078" s="28" t="n">
        <f aca="false">AB5078*$M5078</f>
        <v>0</v>
      </c>
      <c r="AD5078" s="28"/>
      <c r="AE5078" s="28" t="n">
        <f aca="false">AD5078*$M5078</f>
        <v>0</v>
      </c>
      <c r="AF5078" s="28"/>
      <c r="AG5078" s="28" t="n">
        <f aca="false">AF5078*$M5078</f>
        <v>0</v>
      </c>
      <c r="AH5078" s="28" t="n">
        <v>4770</v>
      </c>
      <c r="AI5078" s="28" t="n">
        <v>143100</v>
      </c>
      <c r="AJ5078" s="28"/>
      <c r="AK5078" s="28" t="n">
        <f aca="false">AJ5078*$M5078</f>
        <v>0</v>
      </c>
      <c r="AL5078" s="28"/>
      <c r="AM5078" s="28" t="n">
        <f aca="false">AL5078*$M5078</f>
        <v>0</v>
      </c>
      <c r="AN5078" s="28"/>
      <c r="AO5078" s="28" t="n">
        <f aca="false">AN5078*$M5078</f>
        <v>0</v>
      </c>
      <c r="AP5078" s="28"/>
      <c r="AQ5078" s="28" t="n">
        <f aca="false">AP5078*$M5078</f>
        <v>0</v>
      </c>
      <c r="AR5078" s="28"/>
      <c r="AS5078" s="28" t="n">
        <f aca="false">AR5078*$M5078</f>
        <v>0</v>
      </c>
      <c r="AT5078" s="28"/>
      <c r="AU5078" s="28" t="n">
        <f aca="false">AT5078*$M5078</f>
        <v>0</v>
      </c>
      <c r="AV5078" s="28"/>
      <c r="AW5078" s="28" t="n">
        <f aca="false">AV5078*$M5078</f>
        <v>0</v>
      </c>
      <c r="AX5078" s="28"/>
      <c r="AY5078" s="28" t="n">
        <f aca="false">AX5078*$M5078</f>
        <v>0</v>
      </c>
      <c r="AZ5078" s="30" t="n">
        <v>4770</v>
      </c>
      <c r="BA5078" s="11" t="n">
        <v>143100</v>
      </c>
      <c r="BB5078" s="31" t="n">
        <f aca="false">SUM(Q5078,S5078,U5078,W5078,Y5078,AA5078,AC5078,AE5078,AG5078,AI5078,AK5078,AM5078,AO5078,AQ5078,AS5078,AU5078,AW5078,AY5078)</f>
        <v>143100</v>
      </c>
      <c r="BC5078" s="28" t="n">
        <f aca="false">BA5078-BB5078</f>
        <v>0</v>
      </c>
      <c r="BD5078" s="32" t="n">
        <f aca="false">SUM(P5078,R5078,T5078,V5078,X5078,Z5078,AB5078,AD5078,AF5078,AH5078,AJ5078,AL5078,AN5078,AP5078,AR5078,AT5078,AV5078,AX5078)</f>
        <v>4770</v>
      </c>
      <c r="BE5078" s="33" t="n">
        <f aca="false">AZ5078-BD5078</f>
        <v>0</v>
      </c>
      <c r="BF5078" s="34" t="n">
        <f aca="false">BD5078*M5078</f>
        <v>143100</v>
      </c>
      <c r="BG5078" s="35" t="n">
        <f aca="false">BA5078-BF5078</f>
        <v>0</v>
      </c>
      <c r="BH5078" s="19" t="str">
        <f aca="false">IF(BG5078=0,"",IF(BG5078&lt;&gt;BA5078,"erreur de calcul",IF(BD5078&lt;&gt;0,"pas de prix",IF(M5078&lt;&gt; 0,"pas de quantité","pas de prix, ni de quantité"))))</f>
        <v/>
      </c>
      <c r="BI5078" s="19"/>
    </row>
    <row r="5079" customFormat="false" ht="15" hidden="false" customHeight="false" outlineLevel="0" collapsed="false">
      <c r="A5079" s="0" t="n">
        <v>38</v>
      </c>
      <c r="B5079" s="8" t="s">
        <v>24</v>
      </c>
      <c r="C5079" s="9" t="s">
        <v>25</v>
      </c>
      <c r="D5079" s="9" t="s">
        <v>26</v>
      </c>
      <c r="E5079" s="10" t="n">
        <v>1789</v>
      </c>
      <c r="F5079" s="9" t="s">
        <v>27</v>
      </c>
      <c r="G5079" s="9" t="s">
        <v>27</v>
      </c>
      <c r="H5079" s="11" t="n">
        <v>22</v>
      </c>
      <c r="I5079" s="11" t="s">
        <v>241</v>
      </c>
      <c r="J5079" s="14" t="n">
        <v>24</v>
      </c>
      <c r="K5079" s="14"/>
      <c r="L5079" s="16"/>
      <c r="M5079" s="27" t="n">
        <f aca="false">J5079+(K5079/20)+(L5079/240)</f>
        <v>24</v>
      </c>
      <c r="N5079" s="17" t="s">
        <v>64</v>
      </c>
      <c r="O5079" s="11"/>
      <c r="P5079" s="28" t="n">
        <f aca="false">188958/100</f>
        <v>1889.58</v>
      </c>
      <c r="Q5079" s="28" t="n">
        <v>45350</v>
      </c>
      <c r="R5079" s="28"/>
      <c r="S5079" s="28" t="n">
        <f aca="false">R5079*$M5079</f>
        <v>0</v>
      </c>
      <c r="T5079" s="28"/>
      <c r="U5079" s="28" t="n">
        <f aca="false">T5079*$M5079</f>
        <v>0</v>
      </c>
      <c r="V5079" s="28" t="n">
        <f aca="false">10567/100</f>
        <v>105.67</v>
      </c>
      <c r="W5079" s="28" t="n">
        <v>2536</v>
      </c>
      <c r="X5079" s="28" t="n">
        <f aca="false">9467/100</f>
        <v>94.67</v>
      </c>
      <c r="Y5079" s="28" t="n">
        <v>2272</v>
      </c>
      <c r="Z5079" s="28"/>
      <c r="AA5079" s="28" t="n">
        <f aca="false">Z5079*$M5079</f>
        <v>0</v>
      </c>
      <c r="AB5079" s="28"/>
      <c r="AC5079" s="28" t="n">
        <f aca="false">AB5079*$M5079</f>
        <v>0</v>
      </c>
      <c r="AD5079" s="28"/>
      <c r="AE5079" s="28" t="n">
        <f aca="false">AD5079*$M5079</f>
        <v>0</v>
      </c>
      <c r="AF5079" s="28"/>
      <c r="AG5079" s="28" t="n">
        <f aca="false">AF5079*$M5079</f>
        <v>0</v>
      </c>
      <c r="AH5079" s="28"/>
      <c r="AI5079" s="28" t="n">
        <f aca="false">AH5079*$M5079</f>
        <v>0</v>
      </c>
      <c r="AJ5079" s="28"/>
      <c r="AK5079" s="28" t="n">
        <f aca="false">AJ5079*$M5079</f>
        <v>0</v>
      </c>
      <c r="AL5079" s="28"/>
      <c r="AM5079" s="28" t="n">
        <f aca="false">AL5079*$M5079</f>
        <v>0</v>
      </c>
      <c r="AN5079" s="28"/>
      <c r="AO5079" s="28" t="n">
        <f aca="false">AN5079*$M5079</f>
        <v>0</v>
      </c>
      <c r="AP5079" s="28"/>
      <c r="AQ5079" s="28" t="n">
        <f aca="false">AP5079*$M5079</f>
        <v>0</v>
      </c>
      <c r="AR5079" s="28"/>
      <c r="AS5079" s="28" t="n">
        <f aca="false">AR5079*$M5079</f>
        <v>0</v>
      </c>
      <c r="AT5079" s="28"/>
      <c r="AU5079" s="28" t="n">
        <f aca="false">AT5079*$M5079</f>
        <v>0</v>
      </c>
      <c r="AV5079" s="28"/>
      <c r="AW5079" s="28" t="n">
        <f aca="false">AV5079*$M5079</f>
        <v>0</v>
      </c>
      <c r="AX5079" s="28" t="n">
        <f aca="false">328659/100</f>
        <v>3286.59</v>
      </c>
      <c r="AY5079" s="28" t="n">
        <v>78878</v>
      </c>
      <c r="AZ5079" s="30" t="n">
        <f aca="false">537651/100</f>
        <v>5376.51</v>
      </c>
      <c r="BA5079" s="11" t="n">
        <v>129036</v>
      </c>
      <c r="BB5079" s="31" t="n">
        <f aca="false">SUM(Q5079,S5079,U5079,W5079,Y5079,AA5079,AC5079,AE5079,AG5079,AI5079,AK5079,AM5079,AO5079,AQ5079,AS5079,AU5079,AW5079,AY5079)</f>
        <v>129036</v>
      </c>
      <c r="BC5079" s="28" t="n">
        <f aca="false">BA5079-BB5079</f>
        <v>0</v>
      </c>
      <c r="BD5079" s="32" t="n">
        <f aca="false">SUM(P5079,R5079,T5079,V5079,X5079,Z5079,AB5079,AD5079,AF5079,AH5079,AJ5079,AL5079,AN5079,AP5079,AR5079,AT5079,AV5079,AX5079)</f>
        <v>5376.51</v>
      </c>
      <c r="BE5079" s="33" t="n">
        <f aca="false">AZ5079-BD5079</f>
        <v>0</v>
      </c>
      <c r="BF5079" s="34" t="n">
        <f aca="false">BD5079*M5079</f>
        <v>129036.24</v>
      </c>
      <c r="BG5079" s="35" t="n">
        <f aca="false">BA5079-BF5079</f>
        <v>-0.240000000005239</v>
      </c>
      <c r="BH5079" s="19" t="str">
        <f aca="false">IF(BG5079=0,"",IF(BG5079&lt;&gt;BA5079,"erreur de calcul",IF(BD5079&lt;&gt;0,"pas de prix",IF(M5079&lt;&gt; 0,"pas de quantité","pas de prix, ni de quantité"))))</f>
        <v>erreur de calcul</v>
      </c>
      <c r="BI5079" s="19"/>
    </row>
    <row r="5080" customFormat="false" ht="15" hidden="false" customHeight="false" outlineLevel="0" collapsed="false">
      <c r="A5080" s="0" t="n">
        <v>39</v>
      </c>
      <c r="B5080" s="8" t="s">
        <v>24</v>
      </c>
      <c r="C5080" s="9" t="s">
        <v>25</v>
      </c>
      <c r="D5080" s="9" t="s">
        <v>26</v>
      </c>
      <c r="E5080" s="10" t="n">
        <v>1789</v>
      </c>
      <c r="F5080" s="9" t="s">
        <v>27</v>
      </c>
      <c r="G5080" s="9" t="s">
        <v>27</v>
      </c>
      <c r="H5080" s="11" t="n">
        <v>22</v>
      </c>
      <c r="I5080" s="11" t="s">
        <v>242</v>
      </c>
      <c r="J5080" s="14" t="n">
        <v>41</v>
      </c>
      <c r="K5080" s="14"/>
      <c r="L5080" s="16"/>
      <c r="M5080" s="27" t="n">
        <f aca="false">J5080+(K5080/20)+(L5080/240)</f>
        <v>41</v>
      </c>
      <c r="N5080" s="17" t="s">
        <v>64</v>
      </c>
      <c r="O5080" s="11"/>
      <c r="P5080" s="28"/>
      <c r="Q5080" s="28" t="n">
        <f aca="false">P5080*$M5080</f>
        <v>0</v>
      </c>
      <c r="R5080" s="28"/>
      <c r="S5080" s="28" t="n">
        <f aca="false">R5080*$M5080</f>
        <v>0</v>
      </c>
      <c r="T5080" s="28" t="n">
        <f aca="false">441/100</f>
        <v>4.41</v>
      </c>
      <c r="U5080" s="28" t="n">
        <v>181</v>
      </c>
      <c r="V5080" s="28"/>
      <c r="W5080" s="28" t="n">
        <f aca="false">V5080*$M5080</f>
        <v>0</v>
      </c>
      <c r="X5080" s="28"/>
      <c r="Y5080" s="28" t="n">
        <f aca="false">X5080*$M5080</f>
        <v>0</v>
      </c>
      <c r="Z5080" s="28"/>
      <c r="AA5080" s="28" t="n">
        <f aca="false">Z5080*$M5080</f>
        <v>0</v>
      </c>
      <c r="AB5080" s="28"/>
      <c r="AC5080" s="28" t="n">
        <f aca="false">AB5080*$M5080</f>
        <v>0</v>
      </c>
      <c r="AD5080" s="28"/>
      <c r="AE5080" s="28" t="n">
        <f aca="false">AD5080*$M5080</f>
        <v>0</v>
      </c>
      <c r="AF5080" s="28"/>
      <c r="AG5080" s="28" t="n">
        <f aca="false">AF5080*$M5080</f>
        <v>0</v>
      </c>
      <c r="AH5080" s="28"/>
      <c r="AI5080" s="28" t="n">
        <f aca="false">AH5080*$M5080</f>
        <v>0</v>
      </c>
      <c r="AJ5080" s="28"/>
      <c r="AK5080" s="28" t="n">
        <f aca="false">AJ5080*$M5080</f>
        <v>0</v>
      </c>
      <c r="AL5080" s="28"/>
      <c r="AM5080" s="28" t="n">
        <f aca="false">AL5080*$M5080</f>
        <v>0</v>
      </c>
      <c r="AN5080" s="28"/>
      <c r="AO5080" s="28" t="n">
        <f aca="false">AN5080*$M5080</f>
        <v>0</v>
      </c>
      <c r="AP5080" s="28"/>
      <c r="AQ5080" s="28" t="n">
        <f aca="false">AP5080*$M5080</f>
        <v>0</v>
      </c>
      <c r="AR5080" s="28"/>
      <c r="AS5080" s="28" t="n">
        <f aca="false">AR5080*$M5080</f>
        <v>0</v>
      </c>
      <c r="AT5080" s="28"/>
      <c r="AU5080" s="28" t="n">
        <f aca="false">AT5080*$M5080</f>
        <v>0</v>
      </c>
      <c r="AV5080" s="28"/>
      <c r="AW5080" s="28" t="n">
        <f aca="false">AV5080*$M5080</f>
        <v>0</v>
      </c>
      <c r="AX5080" s="28"/>
      <c r="AY5080" s="28" t="n">
        <f aca="false">AX5080*$M5080</f>
        <v>0</v>
      </c>
      <c r="AZ5080" s="30" t="n">
        <f aca="false">441/100</f>
        <v>4.41</v>
      </c>
      <c r="BA5080" s="11" t="n">
        <v>181</v>
      </c>
      <c r="BB5080" s="31" t="n">
        <f aca="false">SUM(Q5080,S5080,U5080,W5080,Y5080,AA5080,AC5080,AE5080,AG5080,AI5080,AK5080,AM5080,AO5080,AQ5080,AS5080,AU5080,AW5080,AY5080)</f>
        <v>181</v>
      </c>
      <c r="BC5080" s="28" t="n">
        <f aca="false">BA5080-BB5080</f>
        <v>0</v>
      </c>
      <c r="BD5080" s="32" t="n">
        <f aca="false">SUM(P5080,R5080,T5080,V5080,X5080,Z5080,AB5080,AD5080,AF5080,AH5080,AJ5080,AL5080,AN5080,AP5080,AR5080,AT5080,AV5080,AX5080)</f>
        <v>4.41</v>
      </c>
      <c r="BE5080" s="33" t="n">
        <f aca="false">AZ5080-BD5080</f>
        <v>0</v>
      </c>
      <c r="BF5080" s="34" t="n">
        <f aca="false">BD5080*M5080</f>
        <v>180.81</v>
      </c>
      <c r="BG5080" s="35" t="n">
        <f aca="false">BA5080-BF5080</f>
        <v>0.189999999999998</v>
      </c>
      <c r="BH5080" s="19" t="str">
        <f aca="false">IF(BG5080=0,"",IF(BG5080&lt;&gt;BA5080,"erreur de calcul",IF(BD5080&lt;&gt;0,"pas de prix",IF(M5080&lt;&gt; 0,"pas de quantité","pas de prix, ni de quantité"))))</f>
        <v>erreur de calcul</v>
      </c>
      <c r="BI5080" s="19"/>
    </row>
    <row r="5081" customFormat="false" ht="15" hidden="false" customHeight="false" outlineLevel="0" collapsed="false">
      <c r="A5081" s="0" t="n">
        <v>1</v>
      </c>
      <c r="B5081" s="8" t="s">
        <v>24</v>
      </c>
      <c r="C5081" s="9" t="s">
        <v>25</v>
      </c>
      <c r="D5081" s="9" t="s">
        <v>26</v>
      </c>
      <c r="E5081" s="10" t="n">
        <v>1789</v>
      </c>
      <c r="F5081" s="9" t="s">
        <v>27</v>
      </c>
      <c r="G5081" s="9" t="s">
        <v>27</v>
      </c>
      <c r="H5081" s="11" t="n">
        <v>23</v>
      </c>
      <c r="I5081" s="11" t="s">
        <v>243</v>
      </c>
      <c r="J5081" s="14"/>
      <c r="K5081" s="14"/>
      <c r="L5081" s="16"/>
      <c r="M5081" s="27" t="n">
        <f aca="false">J5081+(K5081/20)+(L5081/240)</f>
        <v>0</v>
      </c>
      <c r="N5081" s="17"/>
      <c r="O5081" s="11"/>
      <c r="P5081" s="28"/>
      <c r="Q5081" s="28" t="n">
        <f aca="false">P5081*$M5081</f>
        <v>0</v>
      </c>
      <c r="R5081" s="28"/>
      <c r="S5081" s="28" t="n">
        <f aca="false">R5081*$M5081</f>
        <v>0</v>
      </c>
      <c r="T5081" s="28"/>
      <c r="U5081" s="28" t="n">
        <f aca="false">T5081*$M5081</f>
        <v>0</v>
      </c>
      <c r="V5081" s="28"/>
      <c r="W5081" s="28" t="n">
        <v>100</v>
      </c>
      <c r="X5081" s="28"/>
      <c r="Y5081" s="28" t="n">
        <v>563</v>
      </c>
      <c r="Z5081" s="28"/>
      <c r="AA5081" s="28" t="n">
        <f aca="false">Z5081*$M5081</f>
        <v>0</v>
      </c>
      <c r="AB5081" s="28"/>
      <c r="AC5081" s="28" t="n">
        <f aca="false">AB5081*$M5081</f>
        <v>0</v>
      </c>
      <c r="AD5081" s="28"/>
      <c r="AE5081" s="28" t="n">
        <f aca="false">AD5081*$M5081</f>
        <v>0</v>
      </c>
      <c r="AF5081" s="28"/>
      <c r="AG5081" s="28" t="n">
        <f aca="false">AF5081*$M5081</f>
        <v>0</v>
      </c>
      <c r="AH5081" s="28"/>
      <c r="AI5081" s="28" t="n">
        <f aca="false">AH5081*$M5081</f>
        <v>0</v>
      </c>
      <c r="AJ5081" s="28"/>
      <c r="AK5081" s="28" t="n">
        <v>1015</v>
      </c>
      <c r="AL5081" s="28"/>
      <c r="AM5081" s="28" t="n">
        <f aca="false">AL5081*$M5081</f>
        <v>0</v>
      </c>
      <c r="AN5081" s="28"/>
      <c r="AO5081" s="28" t="n">
        <f aca="false">AN5081*$M5081</f>
        <v>0</v>
      </c>
      <c r="AP5081" s="28"/>
      <c r="AQ5081" s="28" t="n">
        <f aca="false">AP5081*$M5081</f>
        <v>0</v>
      </c>
      <c r="AR5081" s="28"/>
      <c r="AS5081" s="28" t="n">
        <f aca="false">AR5081*$M5081</f>
        <v>0</v>
      </c>
      <c r="AT5081" s="28"/>
      <c r="AU5081" s="28" t="n">
        <f aca="false">AT5081*$M5081</f>
        <v>0</v>
      </c>
      <c r="AV5081" s="28"/>
      <c r="AW5081" s="28" t="n">
        <f aca="false">AV5081*$M5081</f>
        <v>0</v>
      </c>
      <c r="AX5081" s="28"/>
      <c r="AY5081" s="28" t="n">
        <f aca="false">AX5081*$M5081</f>
        <v>0</v>
      </c>
      <c r="AZ5081" s="30"/>
      <c r="BA5081" s="11" t="n">
        <v>1678</v>
      </c>
      <c r="BB5081" s="31" t="n">
        <f aca="false">SUM(Q5081,S5081,U5081,W5081,Y5081,AA5081,AC5081,AE5081,AG5081,AI5081,AK5081,AM5081,AO5081,AQ5081,AS5081,AU5081,AW5081,AY5081)</f>
        <v>1678</v>
      </c>
      <c r="BC5081" s="28" t="n">
        <f aca="false">BA5081-BB5081</f>
        <v>0</v>
      </c>
      <c r="BD5081" s="32" t="n">
        <f aca="false">SUM(P5081,R5081,T5081,V5081,X5081,Z5081,AB5081,AD5081,AF5081,AH5081,AJ5081,AL5081,AN5081,AP5081,AR5081,AT5081,AV5081,AX5081)</f>
        <v>0</v>
      </c>
      <c r="BE5081" s="33" t="n">
        <f aca="false">AZ5081-BD5081</f>
        <v>0</v>
      </c>
      <c r="BF5081" s="34" t="n">
        <f aca="false">BD5081*M5081</f>
        <v>0</v>
      </c>
      <c r="BG5081" s="35" t="n">
        <f aca="false">BA5081-BF5081</f>
        <v>1678</v>
      </c>
      <c r="BH5081" s="19" t="str">
        <f aca="false">IF(BG5081=0,"",IF(BG5081&lt;&gt;BA5081,"erreur de calcul",IF(BD5081&lt;&gt;0,"pas de prix",IF(M5081&lt;&gt; 0,"pas de quantité","pas de prix, ni de quantité"))))</f>
        <v>pas de prix, ni de quantité</v>
      </c>
      <c r="BI5081" s="19"/>
    </row>
    <row r="5082" customFormat="false" ht="15" hidden="false" customHeight="false" outlineLevel="0" collapsed="false">
      <c r="A5082" s="0" t="n">
        <v>2</v>
      </c>
      <c r="B5082" s="8" t="s">
        <v>24</v>
      </c>
      <c r="C5082" s="9" t="s">
        <v>25</v>
      </c>
      <c r="D5082" s="9" t="s">
        <v>26</v>
      </c>
      <c r="E5082" s="10" t="n">
        <v>1789</v>
      </c>
      <c r="F5082" s="9" t="s">
        <v>27</v>
      </c>
      <c r="G5082" s="9" t="s">
        <v>27</v>
      </c>
      <c r="H5082" s="11" t="n">
        <v>23</v>
      </c>
      <c r="I5082" s="11" t="s">
        <v>244</v>
      </c>
      <c r="J5082" s="14" t="n">
        <v>22</v>
      </c>
      <c r="K5082" s="14"/>
      <c r="L5082" s="16"/>
      <c r="M5082" s="27" t="n">
        <f aca="false">J5082+(K5082/20)+(L5082/240)</f>
        <v>22</v>
      </c>
      <c r="N5082" s="17" t="s">
        <v>64</v>
      </c>
      <c r="O5082" s="11"/>
      <c r="P5082" s="28"/>
      <c r="Q5082" s="28" t="n">
        <f aca="false">P5082*$M5082</f>
        <v>0</v>
      </c>
      <c r="R5082" s="28"/>
      <c r="S5082" s="28" t="n">
        <f aca="false">R5082*$M5082</f>
        <v>0</v>
      </c>
      <c r="T5082" s="28"/>
      <c r="U5082" s="28" t="n">
        <f aca="false">T5082*$M5082</f>
        <v>0</v>
      </c>
      <c r="V5082" s="28" t="n">
        <f aca="false">15346/100</f>
        <v>153.46</v>
      </c>
      <c r="W5082" s="28" t="n">
        <v>3376</v>
      </c>
      <c r="X5082" s="28"/>
      <c r="Y5082" s="28" t="n">
        <f aca="false">X5082*$M5082</f>
        <v>0</v>
      </c>
      <c r="Z5082" s="28"/>
      <c r="AA5082" s="28" t="n">
        <f aca="false">Z5082*$M5082</f>
        <v>0</v>
      </c>
      <c r="AB5082" s="28"/>
      <c r="AC5082" s="28" t="n">
        <f aca="false">AB5082*$M5082</f>
        <v>0</v>
      </c>
      <c r="AD5082" s="28"/>
      <c r="AE5082" s="28" t="n">
        <f aca="false">AD5082*$M5082</f>
        <v>0</v>
      </c>
      <c r="AF5082" s="28"/>
      <c r="AG5082" s="28" t="n">
        <f aca="false">AF5082*$M5082</f>
        <v>0</v>
      </c>
      <c r="AH5082" s="28"/>
      <c r="AI5082" s="28" t="n">
        <f aca="false">AH5082*$M5082</f>
        <v>0</v>
      </c>
      <c r="AJ5082" s="28" t="n">
        <f aca="false">9084/100</f>
        <v>90.84</v>
      </c>
      <c r="AK5082" s="28" t="n">
        <v>1998</v>
      </c>
      <c r="AL5082" s="28" t="n">
        <f aca="false">8917/100</f>
        <v>89.17</v>
      </c>
      <c r="AM5082" s="28" t="n">
        <v>1962</v>
      </c>
      <c r="AN5082" s="28"/>
      <c r="AO5082" s="28" t="n">
        <f aca="false">AN5082*$M5082</f>
        <v>0</v>
      </c>
      <c r="AP5082" s="28"/>
      <c r="AQ5082" s="28" t="n">
        <f aca="false">AP5082*$M5082</f>
        <v>0</v>
      </c>
      <c r="AR5082" s="28"/>
      <c r="AS5082" s="28" t="n">
        <f aca="false">AR5082*$M5082</f>
        <v>0</v>
      </c>
      <c r="AT5082" s="28"/>
      <c r="AU5082" s="28" t="n">
        <f aca="false">AT5082*$M5082</f>
        <v>0</v>
      </c>
      <c r="AV5082" s="28"/>
      <c r="AW5082" s="28" t="n">
        <f aca="false">AV5082*$M5082</f>
        <v>0</v>
      </c>
      <c r="AX5082" s="28"/>
      <c r="AY5082" s="28" t="n">
        <f aca="false">AX5082*$M5082</f>
        <v>0</v>
      </c>
      <c r="AZ5082" s="30" t="n">
        <f aca="false">3347/100</f>
        <v>33.47</v>
      </c>
      <c r="BA5082" s="11" t="n">
        <v>7336</v>
      </c>
      <c r="BB5082" s="31" t="n">
        <f aca="false">SUM(Q5082,S5082,U5082,W5082,Y5082,AA5082,AC5082,AE5082,AG5082,AI5082,AK5082,AM5082,AO5082,AQ5082,AS5082,AU5082,AW5082,AY5082)</f>
        <v>7336</v>
      </c>
      <c r="BC5082" s="28" t="n">
        <f aca="false">BA5082-BB5082</f>
        <v>0</v>
      </c>
      <c r="BD5082" s="32" t="n">
        <f aca="false">SUM(P5082,R5082,T5082,V5082,X5082,Z5082,AB5082,AD5082,AF5082,AH5082,AJ5082,AL5082,AN5082,AP5082,AR5082,AT5082,AV5082,AX5082)</f>
        <v>333.47</v>
      </c>
      <c r="BE5082" s="33" t="n">
        <f aca="false">AZ5082-BD5082</f>
        <v>-300</v>
      </c>
      <c r="BF5082" s="34" t="n">
        <f aca="false">BD5082*M5082</f>
        <v>7336.34</v>
      </c>
      <c r="BG5082" s="35" t="n">
        <f aca="false">BA5082-BF5082</f>
        <v>-0.340000000000146</v>
      </c>
      <c r="BH5082" s="19" t="str">
        <f aca="false">IF(BG5082=0,"",IF(BG5082&lt;&gt;BA5082,"erreur de calcul",IF(BD5082&lt;&gt;0,"pas de prix",IF(M5082&lt;&gt; 0,"pas de quantité","pas de prix, ni de quantité"))))</f>
        <v>erreur de calcul</v>
      </c>
      <c r="BI5082" s="19"/>
    </row>
    <row r="5083" customFormat="false" ht="15" hidden="false" customHeight="false" outlineLevel="0" collapsed="false">
      <c r="A5083" s="0" t="n">
        <v>3</v>
      </c>
      <c r="B5083" s="8" t="s">
        <v>24</v>
      </c>
      <c r="C5083" s="9" t="s">
        <v>25</v>
      </c>
      <c r="D5083" s="9" t="s">
        <v>26</v>
      </c>
      <c r="E5083" s="10" t="n">
        <v>1789</v>
      </c>
      <c r="F5083" s="9" t="s">
        <v>27</v>
      </c>
      <c r="G5083" s="9" t="s">
        <v>27</v>
      </c>
      <c r="H5083" s="11" t="n">
        <v>23</v>
      </c>
      <c r="I5083" s="11" t="s">
        <v>245</v>
      </c>
      <c r="J5083" s="14" t="n">
        <v>28</v>
      </c>
      <c r="K5083" s="14"/>
      <c r="L5083" s="16"/>
      <c r="M5083" s="27" t="n">
        <f aca="false">J5083+(K5083/20)+(L5083/240)</f>
        <v>28</v>
      </c>
      <c r="N5083" s="17" t="s">
        <v>64</v>
      </c>
      <c r="O5083" s="11"/>
      <c r="P5083" s="28"/>
      <c r="Q5083" s="28" t="n">
        <f aca="false">P5083*$M5083</f>
        <v>0</v>
      </c>
      <c r="R5083" s="28"/>
      <c r="S5083" s="28" t="n">
        <f aca="false">R5083*$M5083</f>
        <v>0</v>
      </c>
      <c r="T5083" s="28"/>
      <c r="U5083" s="28" t="n">
        <f aca="false">T5083*$M5083</f>
        <v>0</v>
      </c>
      <c r="V5083" s="28" t="n">
        <f aca="false">61654/100</f>
        <v>616.54</v>
      </c>
      <c r="W5083" s="28" t="n">
        <v>17263</v>
      </c>
      <c r="X5083" s="28"/>
      <c r="Y5083" s="28" t="n">
        <f aca="false">X5083*$M5083</f>
        <v>0</v>
      </c>
      <c r="Z5083" s="28"/>
      <c r="AA5083" s="28" t="n">
        <f aca="false">Z5083*$M5083</f>
        <v>0</v>
      </c>
      <c r="AB5083" s="28"/>
      <c r="AC5083" s="28" t="n">
        <f aca="false">AB5083*$M5083</f>
        <v>0</v>
      </c>
      <c r="AD5083" s="28"/>
      <c r="AE5083" s="28" t="n">
        <f aca="false">AD5083*$M5083</f>
        <v>0</v>
      </c>
      <c r="AF5083" s="28"/>
      <c r="AG5083" s="28" t="n">
        <f aca="false">AF5083*$M5083</f>
        <v>0</v>
      </c>
      <c r="AH5083" s="28"/>
      <c r="AI5083" s="28" t="n">
        <f aca="false">AH5083*$M5083</f>
        <v>0</v>
      </c>
      <c r="AJ5083" s="28"/>
      <c r="AK5083" s="28" t="n">
        <f aca="false">AJ5083*$M5083</f>
        <v>0</v>
      </c>
      <c r="AL5083" s="28" t="n">
        <f aca="false">6250/100</f>
        <v>62.5</v>
      </c>
      <c r="AM5083" s="28" t="n">
        <v>1750</v>
      </c>
      <c r="AN5083" s="28"/>
      <c r="AO5083" s="28" t="n">
        <f aca="false">AN5083*$M5083</f>
        <v>0</v>
      </c>
      <c r="AP5083" s="28"/>
      <c r="AQ5083" s="28" t="n">
        <f aca="false">AP5083*$M5083</f>
        <v>0</v>
      </c>
      <c r="AR5083" s="28"/>
      <c r="AS5083" s="28" t="n">
        <f aca="false">AR5083*$M5083</f>
        <v>0</v>
      </c>
      <c r="AT5083" s="28"/>
      <c r="AU5083" s="28" t="n">
        <f aca="false">AT5083*$M5083</f>
        <v>0</v>
      </c>
      <c r="AV5083" s="28"/>
      <c r="AW5083" s="28" t="n">
        <f aca="false">AV5083*$M5083</f>
        <v>0</v>
      </c>
      <c r="AX5083" s="28"/>
      <c r="AY5083" s="28" t="n">
        <f aca="false">AX5083*$M5083</f>
        <v>0</v>
      </c>
      <c r="AZ5083" s="30" t="n">
        <f aca="false">67904/100</f>
        <v>679.04</v>
      </c>
      <c r="BA5083" s="11" t="n">
        <v>19013</v>
      </c>
      <c r="BB5083" s="31" t="n">
        <f aca="false">SUM(Q5083,S5083,U5083,W5083,Y5083,AA5083,AC5083,AE5083,AG5083,AI5083,AK5083,AM5083,AO5083,AQ5083,AS5083,AU5083,AW5083,AY5083)</f>
        <v>19013</v>
      </c>
      <c r="BC5083" s="28" t="n">
        <f aca="false">BA5083-BB5083</f>
        <v>0</v>
      </c>
      <c r="BD5083" s="32" t="n">
        <f aca="false">SUM(P5083,R5083,T5083,V5083,X5083,Z5083,AB5083,AD5083,AF5083,AH5083,AJ5083,AL5083,AN5083,AP5083,AR5083,AT5083,AV5083,AX5083)</f>
        <v>679.04</v>
      </c>
      <c r="BE5083" s="33" t="n">
        <f aca="false">AZ5083-BD5083</f>
        <v>0</v>
      </c>
      <c r="BF5083" s="34" t="n">
        <f aca="false">BD5083*M5083</f>
        <v>19013.12</v>
      </c>
      <c r="BG5083" s="35" t="n">
        <f aca="false">BA5083-BF5083</f>
        <v>-0.119999999998981</v>
      </c>
      <c r="BH5083" s="19" t="str">
        <f aca="false">IF(BG5083=0,"",IF(BG5083&lt;&gt;BA5083,"erreur de calcul",IF(BD5083&lt;&gt;0,"pas de prix",IF(M5083&lt;&gt; 0,"pas de quantité","pas de prix, ni de quantité"))))</f>
        <v>erreur de calcul</v>
      </c>
      <c r="BI5083" s="19"/>
    </row>
    <row r="5084" customFormat="false" ht="15" hidden="false" customHeight="false" outlineLevel="0" collapsed="false">
      <c r="A5084" s="0" t="n">
        <v>4</v>
      </c>
      <c r="B5084" s="8" t="s">
        <v>24</v>
      </c>
      <c r="C5084" s="9" t="s">
        <v>25</v>
      </c>
      <c r="D5084" s="9" t="s">
        <v>26</v>
      </c>
      <c r="E5084" s="10" t="n">
        <v>1789</v>
      </c>
      <c r="F5084" s="9" t="s">
        <v>27</v>
      </c>
      <c r="G5084" s="9" t="s">
        <v>27</v>
      </c>
      <c r="H5084" s="11" t="n">
        <v>23</v>
      </c>
      <c r="I5084" s="11" t="s">
        <v>246</v>
      </c>
      <c r="J5084" s="14" t="n">
        <v>17</v>
      </c>
      <c r="K5084" s="14"/>
      <c r="L5084" s="16"/>
      <c r="M5084" s="27" t="n">
        <f aca="false">J5084+(K5084/20)+(L5084/240)</f>
        <v>17</v>
      </c>
      <c r="N5084" s="17" t="s">
        <v>64</v>
      </c>
      <c r="O5084" s="11"/>
      <c r="P5084" s="28"/>
      <c r="Q5084" s="28" t="n">
        <f aca="false">P5084*$M5084</f>
        <v>0</v>
      </c>
      <c r="R5084" s="28"/>
      <c r="S5084" s="28" t="n">
        <f aca="false">R5084*$M5084</f>
        <v>0</v>
      </c>
      <c r="T5084" s="28" t="n">
        <f aca="false">25000/100</f>
        <v>250</v>
      </c>
      <c r="U5084" s="28" t="n">
        <v>4250</v>
      </c>
      <c r="V5084" s="28" t="n">
        <f aca="false">78153/100</f>
        <v>781.53</v>
      </c>
      <c r="W5084" s="28" t="n">
        <v>13286</v>
      </c>
      <c r="X5084" s="28"/>
      <c r="Y5084" s="28" t="n">
        <f aca="false">X5084*$M5084</f>
        <v>0</v>
      </c>
      <c r="Z5084" s="28"/>
      <c r="AA5084" s="28" t="n">
        <f aca="false">Z5084*$M5084</f>
        <v>0</v>
      </c>
      <c r="AB5084" s="28"/>
      <c r="AC5084" s="28" t="n">
        <f aca="false">AB5084*$M5084</f>
        <v>0</v>
      </c>
      <c r="AD5084" s="28"/>
      <c r="AE5084" s="28" t="n">
        <f aca="false">AD5084*$M5084</f>
        <v>0</v>
      </c>
      <c r="AF5084" s="28"/>
      <c r="AG5084" s="28" t="n">
        <f aca="false">AF5084*$M5084</f>
        <v>0</v>
      </c>
      <c r="AH5084" s="28"/>
      <c r="AI5084" s="28" t="n">
        <f aca="false">AH5084*$M5084</f>
        <v>0</v>
      </c>
      <c r="AJ5084" s="28" t="n">
        <f aca="false">113774/100</f>
        <v>1137.74</v>
      </c>
      <c r="AK5084" s="28" t="n">
        <v>19341</v>
      </c>
      <c r="AL5084" s="28" t="n">
        <f aca="false">749547/100</f>
        <v>7495.47</v>
      </c>
      <c r="AM5084" s="28" t="n">
        <v>127423</v>
      </c>
      <c r="AN5084" s="28"/>
      <c r="AO5084" s="28" t="n">
        <f aca="false">AN5084*$M5084</f>
        <v>0</v>
      </c>
      <c r="AP5084" s="28" t="n">
        <f aca="false">578251/100</f>
        <v>5782.51</v>
      </c>
      <c r="AQ5084" s="28" t="n">
        <v>98303</v>
      </c>
      <c r="AR5084" s="28" t="n">
        <f aca="false">9141217/100</f>
        <v>91412.17</v>
      </c>
      <c r="AS5084" s="28" t="n">
        <v>1554007</v>
      </c>
      <c r="AT5084" s="28"/>
      <c r="AU5084" s="28" t="n">
        <f aca="false">AT5084*$M5084</f>
        <v>0</v>
      </c>
      <c r="AV5084" s="28" t="n">
        <f aca="false">314570/100</f>
        <v>3145.7</v>
      </c>
      <c r="AW5084" s="28" t="n">
        <v>53477</v>
      </c>
      <c r="AX5084" s="28"/>
      <c r="AY5084" s="28" t="n">
        <f aca="false">AX5084*$M5084</f>
        <v>0</v>
      </c>
      <c r="AZ5084" s="30" t="n">
        <f aca="false">11004767/100</f>
        <v>110047.67</v>
      </c>
      <c r="BA5084" s="11" t="n">
        <v>1870087</v>
      </c>
      <c r="BB5084" s="31" t="n">
        <f aca="false">SUM(Q5084,S5084,U5084,W5084,Y5084,AA5084,AC5084,AE5084,AG5084,AI5084,AK5084,AM5084,AO5084,AQ5084,AS5084,AU5084,AW5084,AY5084)</f>
        <v>1870087</v>
      </c>
      <c r="BC5084" s="28" t="n">
        <f aca="false">BA5084-BB5084</f>
        <v>0</v>
      </c>
      <c r="BD5084" s="32" t="n">
        <f aca="false">SUM(P5084,R5084,T5084,V5084,X5084,Z5084,AB5084,AD5084,AF5084,AH5084,AJ5084,AL5084,AN5084,AP5084,AR5084,AT5084,AV5084,AX5084)</f>
        <v>110005.12</v>
      </c>
      <c r="BE5084" s="33" t="n">
        <f aca="false">AZ5084-BD5084</f>
        <v>42.5500000000029</v>
      </c>
      <c r="BF5084" s="34" t="n">
        <f aca="false">BD5084*M5084</f>
        <v>1870087.04</v>
      </c>
      <c r="BG5084" s="35" t="n">
        <f aca="false">BA5084-BF5084</f>
        <v>-0.0400000000372529</v>
      </c>
      <c r="BH5084" s="19" t="str">
        <f aca="false">IF(BG5084=0,"",IF(BG5084&lt;&gt;BA5084,"erreur de calcul",IF(BD5084&lt;&gt;0,"pas de prix",IF(M5084&lt;&gt; 0,"pas de quantité","pas de prix, ni de quantité"))))</f>
        <v>erreur de calcul</v>
      </c>
      <c r="BI5084" s="19"/>
    </row>
    <row r="5085" customFormat="false" ht="15" hidden="false" customHeight="false" outlineLevel="0" collapsed="false">
      <c r="A5085" s="0" t="n">
        <v>5</v>
      </c>
      <c r="B5085" s="8" t="s">
        <v>24</v>
      </c>
      <c r="C5085" s="9" t="s">
        <v>25</v>
      </c>
      <c r="D5085" s="9" t="s">
        <v>26</v>
      </c>
      <c r="E5085" s="10" t="n">
        <v>1789</v>
      </c>
      <c r="F5085" s="9" t="s">
        <v>27</v>
      </c>
      <c r="G5085" s="9" t="s">
        <v>27</v>
      </c>
      <c r="H5085" s="11" t="n">
        <v>23</v>
      </c>
      <c r="I5085" s="11" t="s">
        <v>247</v>
      </c>
      <c r="J5085" s="14" t="n">
        <v>60</v>
      </c>
      <c r="K5085" s="14"/>
      <c r="L5085" s="16"/>
      <c r="M5085" s="27" t="n">
        <f aca="false">J5085+(K5085/20)+(L5085/240)</f>
        <v>60</v>
      </c>
      <c r="N5085" s="17" t="s">
        <v>64</v>
      </c>
      <c r="O5085" s="11"/>
      <c r="P5085" s="28" t="n">
        <f aca="false">17500/100</f>
        <v>175</v>
      </c>
      <c r="Q5085" s="28" t="n">
        <v>10500</v>
      </c>
      <c r="R5085" s="28"/>
      <c r="S5085" s="28" t="n">
        <f aca="false">R5085*$M5085</f>
        <v>0</v>
      </c>
      <c r="T5085" s="28"/>
      <c r="U5085" s="28" t="n">
        <f aca="false">T5085*$M5085</f>
        <v>0</v>
      </c>
      <c r="V5085" s="28"/>
      <c r="W5085" s="28" t="n">
        <f aca="false">V5085*$M5085</f>
        <v>0</v>
      </c>
      <c r="X5085" s="28"/>
      <c r="Y5085" s="28" t="n">
        <f aca="false">X5085*$M5085</f>
        <v>0</v>
      </c>
      <c r="Z5085" s="28"/>
      <c r="AA5085" s="28" t="n">
        <f aca="false">Z5085*$M5085</f>
        <v>0</v>
      </c>
      <c r="AB5085" s="28"/>
      <c r="AC5085" s="28" t="n">
        <f aca="false">AB5085*$M5085</f>
        <v>0</v>
      </c>
      <c r="AD5085" s="28"/>
      <c r="AE5085" s="28" t="n">
        <f aca="false">AD5085*$M5085</f>
        <v>0</v>
      </c>
      <c r="AF5085" s="28"/>
      <c r="AG5085" s="28" t="n">
        <f aca="false">AF5085*$M5085</f>
        <v>0</v>
      </c>
      <c r="AH5085" s="28"/>
      <c r="AI5085" s="28" t="n">
        <f aca="false">AH5085*$M5085</f>
        <v>0</v>
      </c>
      <c r="AJ5085" s="28"/>
      <c r="AK5085" s="28" t="n">
        <f aca="false">AJ5085*$M5085</f>
        <v>0</v>
      </c>
      <c r="AL5085" s="28" t="n">
        <f aca="false">107571/100</f>
        <v>1075.71</v>
      </c>
      <c r="AM5085" s="28" t="n">
        <v>64543</v>
      </c>
      <c r="AN5085" s="28"/>
      <c r="AO5085" s="28" t="n">
        <f aca="false">AN5085*$M5085</f>
        <v>0</v>
      </c>
      <c r="AP5085" s="28"/>
      <c r="AQ5085" s="28" t="n">
        <f aca="false">AP5085*$M5085</f>
        <v>0</v>
      </c>
      <c r="AR5085" s="28"/>
      <c r="AS5085" s="28" t="n">
        <f aca="false">AR5085*$M5085</f>
        <v>0</v>
      </c>
      <c r="AT5085" s="28"/>
      <c r="AU5085" s="28" t="n">
        <f aca="false">AT5085*$M5085</f>
        <v>0</v>
      </c>
      <c r="AV5085" s="28"/>
      <c r="AW5085" s="28" t="n">
        <f aca="false">AV5085*$M5085</f>
        <v>0</v>
      </c>
      <c r="AX5085" s="28"/>
      <c r="AY5085" s="28" t="n">
        <f aca="false">AX5085*$M5085</f>
        <v>0</v>
      </c>
      <c r="AZ5085" s="30" t="n">
        <f aca="false">125071/100</f>
        <v>1250.71</v>
      </c>
      <c r="BA5085" s="11" t="n">
        <v>75043</v>
      </c>
      <c r="BB5085" s="31" t="n">
        <f aca="false">SUM(Q5085,S5085,U5085,W5085,Y5085,AA5085,AC5085,AE5085,AG5085,AI5085,AK5085,AM5085,AO5085,AQ5085,AS5085,AU5085,AW5085,AY5085)</f>
        <v>75043</v>
      </c>
      <c r="BC5085" s="28" t="n">
        <f aca="false">BA5085-BB5085</f>
        <v>0</v>
      </c>
      <c r="BD5085" s="32" t="n">
        <f aca="false">SUM(P5085,R5085,T5085,V5085,X5085,Z5085,AB5085,AD5085,AF5085,AH5085,AJ5085,AL5085,AN5085,AP5085,AR5085,AT5085,AV5085,AX5085)</f>
        <v>1250.71</v>
      </c>
      <c r="BE5085" s="33" t="n">
        <f aca="false">AZ5085-BD5085</f>
        <v>0</v>
      </c>
      <c r="BF5085" s="34" t="n">
        <f aca="false">BD5085*M5085</f>
        <v>75042.6</v>
      </c>
      <c r="BG5085" s="35" t="n">
        <f aca="false">BA5085-BF5085</f>
        <v>0.399999999994179</v>
      </c>
      <c r="BH5085" s="19" t="str">
        <f aca="false">IF(BG5085=0,"",IF(BG5085&lt;&gt;BA5085,"erreur de calcul",IF(BD5085&lt;&gt;0,"pas de prix",IF(M5085&lt;&gt; 0,"pas de quantité","pas de prix, ni de quantité"))))</f>
        <v>erreur de calcul</v>
      </c>
      <c r="BI5085" s="19"/>
    </row>
    <row r="5086" customFormat="false" ht="15" hidden="false" customHeight="false" outlineLevel="0" collapsed="false">
      <c r="A5086" s="0" t="n">
        <v>6</v>
      </c>
      <c r="B5086" s="8" t="s">
        <v>24</v>
      </c>
      <c r="C5086" s="9" t="s">
        <v>25</v>
      </c>
      <c r="D5086" s="9" t="s">
        <v>26</v>
      </c>
      <c r="E5086" s="10" t="n">
        <v>1789</v>
      </c>
      <c r="F5086" s="9" t="s">
        <v>27</v>
      </c>
      <c r="G5086" s="9" t="s">
        <v>27</v>
      </c>
      <c r="H5086" s="11" t="n">
        <v>23</v>
      </c>
      <c r="I5086" s="11" t="s">
        <v>248</v>
      </c>
      <c r="J5086" s="14" t="n">
        <v>30</v>
      </c>
      <c r="K5086" s="14"/>
      <c r="L5086" s="16"/>
      <c r="M5086" s="27" t="n">
        <f aca="false">J5086+(K5086/20)+(L5086/240)</f>
        <v>30</v>
      </c>
      <c r="N5086" s="17" t="s">
        <v>64</v>
      </c>
      <c r="O5086" s="11"/>
      <c r="P5086" s="28"/>
      <c r="Q5086" s="28" t="n">
        <f aca="false">P5086*$M5086</f>
        <v>0</v>
      </c>
      <c r="R5086" s="28"/>
      <c r="S5086" s="28" t="n">
        <f aca="false">R5086*$M5086</f>
        <v>0</v>
      </c>
      <c r="T5086" s="28"/>
      <c r="U5086" s="28" t="n">
        <f aca="false">T5086*$M5086</f>
        <v>0</v>
      </c>
      <c r="V5086" s="28" t="n">
        <f aca="false">8491/100</f>
        <v>84.91</v>
      </c>
      <c r="W5086" s="28" t="n">
        <v>2547</v>
      </c>
      <c r="X5086" s="28"/>
      <c r="Y5086" s="28" t="n">
        <f aca="false">X5086*$M5086</f>
        <v>0</v>
      </c>
      <c r="Z5086" s="28"/>
      <c r="AA5086" s="28" t="n">
        <f aca="false">Z5086*$M5086</f>
        <v>0</v>
      </c>
      <c r="AB5086" s="28"/>
      <c r="AC5086" s="28" t="n">
        <f aca="false">AB5086*$M5086</f>
        <v>0</v>
      </c>
      <c r="AD5086" s="28"/>
      <c r="AE5086" s="28" t="n">
        <f aca="false">AD5086*$M5086</f>
        <v>0</v>
      </c>
      <c r="AF5086" s="28"/>
      <c r="AG5086" s="28" t="n">
        <f aca="false">AF5086*$M5086</f>
        <v>0</v>
      </c>
      <c r="AH5086" s="28"/>
      <c r="AI5086" s="28" t="n">
        <f aca="false">AH5086*$M5086</f>
        <v>0</v>
      </c>
      <c r="AJ5086" s="28"/>
      <c r="AK5086" s="28" t="n">
        <f aca="false">AJ5086*$M5086</f>
        <v>0</v>
      </c>
      <c r="AL5086" s="28"/>
      <c r="AM5086" s="28" t="n">
        <f aca="false">AL5086*$M5086</f>
        <v>0</v>
      </c>
      <c r="AN5086" s="28"/>
      <c r="AO5086" s="28" t="n">
        <f aca="false">AN5086*$M5086</f>
        <v>0</v>
      </c>
      <c r="AP5086" s="28"/>
      <c r="AQ5086" s="28" t="n">
        <f aca="false">AP5086*$M5086</f>
        <v>0</v>
      </c>
      <c r="AR5086" s="28"/>
      <c r="AS5086" s="28" t="n">
        <f aca="false">AR5086*$M5086</f>
        <v>0</v>
      </c>
      <c r="AT5086" s="28"/>
      <c r="AU5086" s="28" t="n">
        <f aca="false">AT5086*$M5086</f>
        <v>0</v>
      </c>
      <c r="AV5086" s="28"/>
      <c r="AW5086" s="28" t="n">
        <f aca="false">AV5086*$M5086</f>
        <v>0</v>
      </c>
      <c r="AX5086" s="28"/>
      <c r="AY5086" s="28" t="n">
        <f aca="false">AX5086*$M5086</f>
        <v>0</v>
      </c>
      <c r="AZ5086" s="30" t="n">
        <f aca="false">8491/100</f>
        <v>84.91</v>
      </c>
      <c r="BA5086" s="11" t="n">
        <v>2547</v>
      </c>
      <c r="BB5086" s="31" t="n">
        <f aca="false">SUM(Q5086,S5086,U5086,W5086,Y5086,AA5086,AC5086,AE5086,AG5086,AI5086,AK5086,AM5086,AO5086,AQ5086,AS5086,AU5086,AW5086,AY5086)</f>
        <v>2547</v>
      </c>
      <c r="BC5086" s="28" t="n">
        <f aca="false">BA5086-BB5086</f>
        <v>0</v>
      </c>
      <c r="BD5086" s="32" t="n">
        <f aca="false">SUM(P5086,R5086,T5086,V5086,X5086,Z5086,AB5086,AD5086,AF5086,AH5086,AJ5086,AL5086,AN5086,AP5086,AR5086,AT5086,AV5086,AX5086)</f>
        <v>84.91</v>
      </c>
      <c r="BE5086" s="33" t="n">
        <f aca="false">AZ5086-BD5086</f>
        <v>0</v>
      </c>
      <c r="BF5086" s="34" t="n">
        <f aca="false">BD5086*M5086</f>
        <v>2547.3</v>
      </c>
      <c r="BG5086" s="35" t="n">
        <f aca="false">BA5086-BF5086</f>
        <v>-0.299999999999727</v>
      </c>
      <c r="BH5086" s="19" t="str">
        <f aca="false">IF(BG5086=0,"",IF(BG5086&lt;&gt;BA5086,"erreur de calcul",IF(BD5086&lt;&gt;0,"pas de prix",IF(M5086&lt;&gt; 0,"pas de quantité","pas de prix, ni de quantité"))))</f>
        <v>erreur de calcul</v>
      </c>
      <c r="BI5086" s="19"/>
    </row>
    <row r="5087" customFormat="false" ht="15" hidden="false" customHeight="false" outlineLevel="0" collapsed="false">
      <c r="A5087" s="0" t="n">
        <v>7</v>
      </c>
      <c r="B5087" s="8" t="s">
        <v>24</v>
      </c>
      <c r="C5087" s="9" t="s">
        <v>25</v>
      </c>
      <c r="D5087" s="9" t="s">
        <v>26</v>
      </c>
      <c r="E5087" s="10" t="n">
        <v>1789</v>
      </c>
      <c r="F5087" s="9" t="s">
        <v>27</v>
      </c>
      <c r="G5087" s="9" t="s">
        <v>27</v>
      </c>
      <c r="H5087" s="11" t="n">
        <v>23</v>
      </c>
      <c r="I5087" s="11" t="s">
        <v>249</v>
      </c>
      <c r="J5087" s="14" t="n">
        <v>27</v>
      </c>
      <c r="K5087" s="14"/>
      <c r="L5087" s="16"/>
      <c r="M5087" s="27" t="n">
        <f aca="false">J5087+(K5087/20)+(L5087/240)</f>
        <v>27</v>
      </c>
      <c r="N5087" s="17" t="s">
        <v>64</v>
      </c>
      <c r="O5087" s="11"/>
      <c r="P5087" s="28"/>
      <c r="Q5087" s="28" t="n">
        <f aca="false">P5087*$M5087</f>
        <v>0</v>
      </c>
      <c r="R5087" s="28"/>
      <c r="S5087" s="28" t="n">
        <f aca="false">R5087*$M5087</f>
        <v>0</v>
      </c>
      <c r="T5087" s="28"/>
      <c r="U5087" s="28" t="n">
        <f aca="false">T5087*$M5087</f>
        <v>0</v>
      </c>
      <c r="V5087" s="28"/>
      <c r="W5087" s="28" t="n">
        <f aca="false">V5087*$M5087</f>
        <v>0</v>
      </c>
      <c r="X5087" s="28"/>
      <c r="Y5087" s="28" t="n">
        <f aca="false">X5087*$M5087</f>
        <v>0</v>
      </c>
      <c r="Z5087" s="28"/>
      <c r="AA5087" s="28" t="n">
        <f aca="false">Z5087*$M5087</f>
        <v>0</v>
      </c>
      <c r="AB5087" s="28"/>
      <c r="AC5087" s="28" t="n">
        <f aca="false">AB5087*$M5087</f>
        <v>0</v>
      </c>
      <c r="AD5087" s="28"/>
      <c r="AE5087" s="28" t="n">
        <f aca="false">AD5087*$M5087</f>
        <v>0</v>
      </c>
      <c r="AF5087" s="28"/>
      <c r="AG5087" s="28" t="n">
        <f aca="false">AF5087*$M5087</f>
        <v>0</v>
      </c>
      <c r="AH5087" s="28"/>
      <c r="AI5087" s="28" t="n">
        <f aca="false">AH5087*$M5087</f>
        <v>0</v>
      </c>
      <c r="AJ5087" s="28" t="n">
        <f aca="false">168254/100</f>
        <v>1682.54</v>
      </c>
      <c r="AK5087" s="28" t="n">
        <v>45428</v>
      </c>
      <c r="AL5087" s="28"/>
      <c r="AM5087" s="28" t="n">
        <f aca="false">AL5087*$M5087</f>
        <v>0</v>
      </c>
      <c r="AN5087" s="28"/>
      <c r="AO5087" s="28" t="n">
        <f aca="false">AN5087*$M5087</f>
        <v>0</v>
      </c>
      <c r="AP5087" s="28"/>
      <c r="AQ5087" s="28" t="n">
        <f aca="false">AP5087*$M5087</f>
        <v>0</v>
      </c>
      <c r="AR5087" s="28"/>
      <c r="AS5087" s="28" t="n">
        <f aca="false">AR5087*$M5087</f>
        <v>0</v>
      </c>
      <c r="AT5087" s="28"/>
      <c r="AU5087" s="28" t="n">
        <f aca="false">AT5087*$M5087</f>
        <v>0</v>
      </c>
      <c r="AV5087" s="28"/>
      <c r="AW5087" s="28" t="n">
        <f aca="false">AV5087*$M5087</f>
        <v>0</v>
      </c>
      <c r="AX5087" s="28"/>
      <c r="AY5087" s="28" t="n">
        <f aca="false">AX5087*$M5087</f>
        <v>0</v>
      </c>
      <c r="AZ5087" s="30" t="n">
        <f aca="false">168254/100</f>
        <v>1682.54</v>
      </c>
      <c r="BA5087" s="11" t="n">
        <v>45428</v>
      </c>
      <c r="BB5087" s="31" t="n">
        <f aca="false">SUM(Q5087,S5087,U5087,W5087,Y5087,AA5087,AC5087,AE5087,AG5087,AI5087,AK5087,AM5087,AO5087,AQ5087,AS5087,AU5087,AW5087,AY5087)</f>
        <v>45428</v>
      </c>
      <c r="BC5087" s="28" t="n">
        <f aca="false">BA5087-BB5087</f>
        <v>0</v>
      </c>
      <c r="BD5087" s="32" t="n">
        <f aca="false">SUM(P5087,R5087,T5087,V5087,X5087,Z5087,AB5087,AD5087,AF5087,AH5087,AJ5087,AL5087,AN5087,AP5087,AR5087,AT5087,AV5087,AX5087)</f>
        <v>1682.54</v>
      </c>
      <c r="BE5087" s="33" t="n">
        <f aca="false">AZ5087-BD5087</f>
        <v>0</v>
      </c>
      <c r="BF5087" s="34" t="n">
        <f aca="false">BD5087*M5087</f>
        <v>45428.58</v>
      </c>
      <c r="BG5087" s="35" t="n">
        <f aca="false">BA5087-BF5087</f>
        <v>-0.580000000001746</v>
      </c>
      <c r="BH5087" s="19" t="str">
        <f aca="false">IF(BG5087=0,"",IF(BG5087&lt;&gt;BA5087,"erreur de calcul",IF(BD5087&lt;&gt;0,"pas de prix",IF(M5087&lt;&gt; 0,"pas de quantité","pas de prix, ni de quantité"))))</f>
        <v>erreur de calcul</v>
      </c>
      <c r="BI5087" s="19"/>
    </row>
    <row r="5088" customFormat="false" ht="15" hidden="false" customHeight="false" outlineLevel="0" collapsed="false">
      <c r="A5088" s="0" t="n">
        <v>8</v>
      </c>
      <c r="B5088" s="8" t="s">
        <v>24</v>
      </c>
      <c r="C5088" s="9" t="s">
        <v>25</v>
      </c>
      <c r="D5088" s="9" t="s">
        <v>26</v>
      </c>
      <c r="E5088" s="10" t="n">
        <v>1789</v>
      </c>
      <c r="F5088" s="9" t="s">
        <v>27</v>
      </c>
      <c r="G5088" s="9" t="s">
        <v>27</v>
      </c>
      <c r="H5088" s="11" t="n">
        <v>23</v>
      </c>
      <c r="I5088" s="11" t="s">
        <v>250</v>
      </c>
      <c r="J5088" s="14" t="n">
        <v>27</v>
      </c>
      <c r="K5088" s="14"/>
      <c r="L5088" s="16"/>
      <c r="M5088" s="27" t="n">
        <f aca="false">J5088+(K5088/20)+(L5088/240)</f>
        <v>27</v>
      </c>
      <c r="N5088" s="17" t="s">
        <v>64</v>
      </c>
      <c r="O5088" s="11"/>
      <c r="P5088" s="28"/>
      <c r="Q5088" s="28" t="n">
        <f aca="false">P5088*$M5088</f>
        <v>0</v>
      </c>
      <c r="R5088" s="28"/>
      <c r="S5088" s="28" t="n">
        <f aca="false">R5088*$M5088</f>
        <v>0</v>
      </c>
      <c r="T5088" s="28"/>
      <c r="U5088" s="28" t="n">
        <f aca="false">T5088*$M5088</f>
        <v>0</v>
      </c>
      <c r="V5088" s="28"/>
      <c r="W5088" s="28" t="n">
        <f aca="false">V5088*$M5088</f>
        <v>0</v>
      </c>
      <c r="X5088" s="28"/>
      <c r="Y5088" s="28" t="n">
        <f aca="false">X5088*$M5088</f>
        <v>0</v>
      </c>
      <c r="Z5088" s="28"/>
      <c r="AA5088" s="28" t="n">
        <f aca="false">Z5088*$M5088</f>
        <v>0</v>
      </c>
      <c r="AB5088" s="28"/>
      <c r="AC5088" s="28" t="n">
        <f aca="false">AB5088*$M5088</f>
        <v>0</v>
      </c>
      <c r="AD5088" s="28"/>
      <c r="AE5088" s="28" t="n">
        <f aca="false">AD5088*$M5088</f>
        <v>0</v>
      </c>
      <c r="AF5088" s="28"/>
      <c r="AG5088" s="28" t="n">
        <f aca="false">AF5088*$M5088</f>
        <v>0</v>
      </c>
      <c r="AH5088" s="28"/>
      <c r="AI5088" s="28" t="n">
        <f aca="false">AH5088*$M5088</f>
        <v>0</v>
      </c>
      <c r="AJ5088" s="28"/>
      <c r="AK5088" s="28" t="n">
        <f aca="false">AJ5088*$M5088</f>
        <v>0</v>
      </c>
      <c r="AL5088" s="28" t="n">
        <f aca="false">4108/100</f>
        <v>41.08</v>
      </c>
      <c r="AM5088" s="28" t="n">
        <v>1109</v>
      </c>
      <c r="AN5088" s="28"/>
      <c r="AO5088" s="28" t="n">
        <f aca="false">AN5088*$M5088</f>
        <v>0</v>
      </c>
      <c r="AP5088" s="28"/>
      <c r="AQ5088" s="28" t="n">
        <f aca="false">AP5088*$M5088</f>
        <v>0</v>
      </c>
      <c r="AR5088" s="28" t="n">
        <f aca="false">37084/100</f>
        <v>370.84</v>
      </c>
      <c r="AS5088" s="36" t="n">
        <v>9963</v>
      </c>
      <c r="AT5088" s="28"/>
      <c r="AU5088" s="28" t="n">
        <f aca="false">AT5088*$M5088</f>
        <v>0</v>
      </c>
      <c r="AV5088" s="28"/>
      <c r="AW5088" s="28" t="n">
        <f aca="false">AV5088*$M5088</f>
        <v>0</v>
      </c>
      <c r="AX5088" s="28"/>
      <c r="AY5088" s="28" t="n">
        <f aca="false">AX5088*$M5088</f>
        <v>0</v>
      </c>
      <c r="AZ5088" s="30" t="n">
        <f aca="false">41192/100</f>
        <v>411.92</v>
      </c>
      <c r="BA5088" s="11" t="n">
        <v>11072</v>
      </c>
      <c r="BB5088" s="31" t="n">
        <f aca="false">SUM(Q5088,S5088,U5088,W5088,Y5088,AA5088,AC5088,AE5088,AG5088,AI5088,AK5088,AM5088,AO5088,AQ5088,AS5088,AU5088,AW5088,AY5088)</f>
        <v>11072</v>
      </c>
      <c r="BC5088" s="28" t="n">
        <f aca="false">BA5088-BB5088</f>
        <v>0</v>
      </c>
      <c r="BD5088" s="32" t="n">
        <f aca="false">SUM(P5088,R5088,T5088,V5088,X5088,Z5088,AB5088,AD5088,AF5088,AH5088,AJ5088,AL5088,AN5088,AP5088,AR5088,AT5088,AV5088,AX5088)</f>
        <v>411.92</v>
      </c>
      <c r="BE5088" s="33" t="n">
        <f aca="false">AZ5088-BD5088</f>
        <v>0</v>
      </c>
      <c r="BF5088" s="34" t="n">
        <f aca="false">BD5088*M5088</f>
        <v>11121.84</v>
      </c>
      <c r="BG5088" s="35" t="n">
        <f aca="false">BA5088-BF5088</f>
        <v>-49.8399999999983</v>
      </c>
      <c r="BH5088" s="19" t="str">
        <f aca="false">IF(BG5088=0,"",IF(BG5088&lt;&gt;BA5088,"erreur de calcul",IF(BD5088&lt;&gt;0,"pas de prix",IF(M5088&lt;&gt; 0,"pas de quantité","pas de prix, ni de quantité"))))</f>
        <v>erreur de calcul</v>
      </c>
      <c r="BI5088" s="19"/>
    </row>
    <row r="5089" customFormat="false" ht="15" hidden="false" customHeight="false" outlineLevel="0" collapsed="false">
      <c r="A5089" s="0" t="n">
        <v>9</v>
      </c>
      <c r="B5089" s="8" t="s">
        <v>24</v>
      </c>
      <c r="C5089" s="9" t="s">
        <v>25</v>
      </c>
      <c r="D5089" s="9" t="s">
        <v>26</v>
      </c>
      <c r="E5089" s="10" t="n">
        <v>1789</v>
      </c>
      <c r="F5089" s="9" t="s">
        <v>27</v>
      </c>
      <c r="G5089" s="9" t="s">
        <v>27</v>
      </c>
      <c r="H5089" s="11" t="n">
        <v>23</v>
      </c>
      <c r="I5089" s="11" t="s">
        <v>251</v>
      </c>
      <c r="J5089" s="14" t="n">
        <v>6</v>
      </c>
      <c r="K5089" s="14"/>
      <c r="L5089" s="16"/>
      <c r="M5089" s="27" t="n">
        <f aca="false">J5089+(K5089/20)+(L5089/240)</f>
        <v>6</v>
      </c>
      <c r="N5089" s="17" t="s">
        <v>64</v>
      </c>
      <c r="O5089" s="11"/>
      <c r="P5089" s="28"/>
      <c r="Q5089" s="28" t="n">
        <f aca="false">P5089*$M5089</f>
        <v>0</v>
      </c>
      <c r="R5089" s="28"/>
      <c r="S5089" s="28" t="n">
        <f aca="false">R5089*$M5089</f>
        <v>0</v>
      </c>
      <c r="T5089" s="28"/>
      <c r="U5089" s="28" t="n">
        <f aca="false">T5089*$M5089</f>
        <v>0</v>
      </c>
      <c r="V5089" s="28"/>
      <c r="W5089" s="28" t="n">
        <f aca="false">V5089*$M5089</f>
        <v>0</v>
      </c>
      <c r="X5089" s="28"/>
      <c r="Y5089" s="28" t="n">
        <f aca="false">X5089*$M5089</f>
        <v>0</v>
      </c>
      <c r="Z5089" s="28"/>
      <c r="AA5089" s="28" t="n">
        <f aca="false">Z5089*$M5089</f>
        <v>0</v>
      </c>
      <c r="AB5089" s="28"/>
      <c r="AC5089" s="28" t="n">
        <f aca="false">AB5089*$M5089</f>
        <v>0</v>
      </c>
      <c r="AD5089" s="28"/>
      <c r="AE5089" s="28" t="n">
        <f aca="false">AD5089*$M5089</f>
        <v>0</v>
      </c>
      <c r="AF5089" s="28"/>
      <c r="AG5089" s="28" t="n">
        <f aca="false">AF5089*$M5089</f>
        <v>0</v>
      </c>
      <c r="AH5089" s="28"/>
      <c r="AI5089" s="28" t="n">
        <f aca="false">AH5089*$M5089</f>
        <v>0</v>
      </c>
      <c r="AJ5089" s="28"/>
      <c r="AK5089" s="28" t="n">
        <f aca="false">AJ5089*$M5089</f>
        <v>0</v>
      </c>
      <c r="AL5089" s="28"/>
      <c r="AM5089" s="28" t="n">
        <f aca="false">AL5089*$M5089</f>
        <v>0</v>
      </c>
      <c r="AN5089" s="28"/>
      <c r="AO5089" s="28" t="n">
        <f aca="false">AN5089*$M5089</f>
        <v>0</v>
      </c>
      <c r="AP5089" s="28"/>
      <c r="AQ5089" s="28" t="n">
        <f aca="false">AP5089*$M5089</f>
        <v>0</v>
      </c>
      <c r="AR5089" s="28"/>
      <c r="AS5089" s="28" t="n">
        <f aca="false">AR5089*$M5089</f>
        <v>0</v>
      </c>
      <c r="AT5089" s="28"/>
      <c r="AU5089" s="28" t="n">
        <f aca="false">AT5089*$M5089</f>
        <v>0</v>
      </c>
      <c r="AV5089" s="28"/>
      <c r="AW5089" s="28" t="n">
        <f aca="false">AV5089*$M5089</f>
        <v>0</v>
      </c>
      <c r="AX5089" s="28"/>
      <c r="AY5089" s="28" t="n">
        <f aca="false">AX5089*$M5089</f>
        <v>0</v>
      </c>
      <c r="AZ5089" s="30"/>
      <c r="BA5089" s="11"/>
      <c r="BB5089" s="31" t="n">
        <f aca="false">SUM(Q5089,S5089,U5089,W5089,Y5089,AA5089,AC5089,AE5089,AG5089,AI5089,AK5089,AM5089,AO5089,AQ5089,AS5089,AU5089,AW5089,AY5089)</f>
        <v>0</v>
      </c>
      <c r="BC5089" s="28" t="n">
        <f aca="false">BA5089-BB5089</f>
        <v>0</v>
      </c>
      <c r="BD5089" s="32" t="n">
        <f aca="false">SUM(P5089,R5089,T5089,V5089,X5089,Z5089,AB5089,AD5089,AF5089,AH5089,AJ5089,AL5089,AN5089,AP5089,AR5089,AT5089,AV5089,AX5089)</f>
        <v>0</v>
      </c>
      <c r="BE5089" s="33" t="n">
        <f aca="false">AZ5089-BD5089</f>
        <v>0</v>
      </c>
      <c r="BF5089" s="34" t="n">
        <f aca="false">BD5089*M5089</f>
        <v>0</v>
      </c>
      <c r="BG5089" s="35" t="n">
        <f aca="false">BA5089-BF5089</f>
        <v>0</v>
      </c>
      <c r="BH5089" s="19" t="str">
        <f aca="false">IF(BG5089=0,"",IF(BG5089&lt;&gt;BA5089,"erreur de calcul",IF(BD5089&lt;&gt;0,"pas de prix",IF(M5089&lt;&gt; 0,"pas de quantité","pas de prix, ni de quantité"))))</f>
        <v/>
      </c>
      <c r="BI5089" s="19"/>
    </row>
    <row r="5090" customFormat="false" ht="15" hidden="false" customHeight="false" outlineLevel="0" collapsed="false">
      <c r="A5090" s="0" t="n">
        <v>10</v>
      </c>
      <c r="B5090" s="8" t="s">
        <v>24</v>
      </c>
      <c r="C5090" s="9" t="s">
        <v>25</v>
      </c>
      <c r="D5090" s="9" t="s">
        <v>26</v>
      </c>
      <c r="E5090" s="10" t="n">
        <v>1789</v>
      </c>
      <c r="F5090" s="9" t="s">
        <v>27</v>
      </c>
      <c r="G5090" s="9" t="s">
        <v>27</v>
      </c>
      <c r="H5090" s="11" t="n">
        <v>23</v>
      </c>
      <c r="I5090" s="11" t="s">
        <v>252</v>
      </c>
      <c r="J5090" s="14" t="n">
        <v>240</v>
      </c>
      <c r="K5090" s="14"/>
      <c r="L5090" s="16"/>
      <c r="M5090" s="27" t="n">
        <f aca="false">J5090+(K5090/20)+(L5090/240)</f>
        <v>240</v>
      </c>
      <c r="N5090" s="17" t="s">
        <v>64</v>
      </c>
      <c r="O5090" s="11"/>
      <c r="P5090" s="28"/>
      <c r="Q5090" s="28" t="n">
        <f aca="false">P5090*$M5090</f>
        <v>0</v>
      </c>
      <c r="R5090" s="28"/>
      <c r="S5090" s="28" t="n">
        <f aca="false">R5090*$M5090</f>
        <v>0</v>
      </c>
      <c r="T5090" s="28" t="n">
        <f aca="false">4204/100</f>
        <v>42.04</v>
      </c>
      <c r="U5090" s="28" t="n">
        <v>10090</v>
      </c>
      <c r="V5090" s="28" t="n">
        <f aca="false">2799/100</f>
        <v>27.99</v>
      </c>
      <c r="W5090" s="28" t="n">
        <v>6718</v>
      </c>
      <c r="X5090" s="28" t="n">
        <f aca="false">2536/100</f>
        <v>25.36</v>
      </c>
      <c r="Y5090" s="28" t="n">
        <v>6086</v>
      </c>
      <c r="Z5090" s="28" t="n">
        <f aca="false">3393/100</f>
        <v>33.93</v>
      </c>
      <c r="AA5090" s="28" t="n">
        <v>8143</v>
      </c>
      <c r="AB5090" s="28" t="n">
        <f aca="false">242/100</f>
        <v>2.42</v>
      </c>
      <c r="AC5090" s="28" t="n">
        <v>581</v>
      </c>
      <c r="AD5090" s="28"/>
      <c r="AE5090" s="28" t="n">
        <f aca="false">AD5090*$M5090</f>
        <v>0</v>
      </c>
      <c r="AF5090" s="28"/>
      <c r="AG5090" s="28" t="n">
        <f aca="false">AF5090*$M5090</f>
        <v>0</v>
      </c>
      <c r="AH5090" s="28"/>
      <c r="AI5090" s="28" t="n">
        <f aca="false">AH5090*$M5090</f>
        <v>0</v>
      </c>
      <c r="AJ5090" s="28"/>
      <c r="AK5090" s="28" t="n">
        <f aca="false">AJ5090*$M5090</f>
        <v>0</v>
      </c>
      <c r="AL5090" s="28"/>
      <c r="AM5090" s="28" t="n">
        <f aca="false">AL5090*$M5090</f>
        <v>0</v>
      </c>
      <c r="AN5090" s="28"/>
      <c r="AO5090" s="28" t="n">
        <f aca="false">AN5090*$M5090</f>
        <v>0</v>
      </c>
      <c r="AP5090" s="28"/>
      <c r="AQ5090" s="28" t="n">
        <f aca="false">AP5090*$M5090</f>
        <v>0</v>
      </c>
      <c r="AR5090" s="28"/>
      <c r="AS5090" s="28" t="n">
        <f aca="false">AR5090*$M5090</f>
        <v>0</v>
      </c>
      <c r="AT5090" s="28"/>
      <c r="AU5090" s="28" t="n">
        <f aca="false">AT5090*$M5090</f>
        <v>0</v>
      </c>
      <c r="AV5090" s="28"/>
      <c r="AW5090" s="28" t="n">
        <f aca="false">AV5090*$M5090</f>
        <v>0</v>
      </c>
      <c r="AX5090" s="28"/>
      <c r="AY5090" s="28" t="n">
        <f aca="false">AX5090*$M5090</f>
        <v>0</v>
      </c>
      <c r="AZ5090" s="30" t="n">
        <f aca="false">13174/100</f>
        <v>131.74</v>
      </c>
      <c r="BA5090" s="11" t="n">
        <v>31618</v>
      </c>
      <c r="BB5090" s="31" t="n">
        <f aca="false">SUM(Q5090,S5090,U5090,W5090,Y5090,AA5090,AC5090,AE5090,AG5090,AI5090,AK5090,AM5090,AO5090,AQ5090,AS5090,AU5090,AW5090,AY5090)</f>
        <v>31618</v>
      </c>
      <c r="BC5090" s="28" t="n">
        <f aca="false">BA5090-BB5090</f>
        <v>0</v>
      </c>
      <c r="BD5090" s="32" t="n">
        <f aca="false">SUM(P5090,R5090,T5090,V5090,X5090,Z5090,AB5090,AD5090,AF5090,AH5090,AJ5090,AL5090,AN5090,AP5090,AR5090,AT5090,AV5090,AX5090)</f>
        <v>131.74</v>
      </c>
      <c r="BE5090" s="33" t="n">
        <f aca="false">AZ5090-BD5090</f>
        <v>0</v>
      </c>
      <c r="BF5090" s="34" t="n">
        <f aca="false">BD5090*M5090</f>
        <v>31617.6</v>
      </c>
      <c r="BG5090" s="35" t="n">
        <f aca="false">BA5090-BF5090</f>
        <v>0.399999999997817</v>
      </c>
      <c r="BH5090" s="19" t="str">
        <f aca="false">IF(BG5090=0,"",IF(BG5090&lt;&gt;BA5090,"erreur de calcul",IF(BD5090&lt;&gt;0,"pas de prix",IF(M5090&lt;&gt; 0,"pas de quantité","pas de prix, ni de quantité"))))</f>
        <v>erreur de calcul</v>
      </c>
      <c r="BI5090" s="19"/>
    </row>
    <row r="5091" customFormat="false" ht="15" hidden="false" customHeight="false" outlineLevel="0" collapsed="false">
      <c r="A5091" s="0" t="n">
        <v>11</v>
      </c>
      <c r="B5091" s="8" t="s">
        <v>24</v>
      </c>
      <c r="C5091" s="9" t="s">
        <v>25</v>
      </c>
      <c r="D5091" s="9" t="s">
        <v>26</v>
      </c>
      <c r="E5091" s="10" t="n">
        <v>1789</v>
      </c>
      <c r="F5091" s="9" t="s">
        <v>27</v>
      </c>
      <c r="G5091" s="9" t="s">
        <v>27</v>
      </c>
      <c r="H5091" s="11" t="n">
        <v>23</v>
      </c>
      <c r="I5091" s="11" t="s">
        <v>253</v>
      </c>
      <c r="J5091" s="14" t="n">
        <v>190</v>
      </c>
      <c r="K5091" s="14"/>
      <c r="L5091" s="16"/>
      <c r="M5091" s="27" t="n">
        <f aca="false">J5091+(K5091/20)+(L5091/240)</f>
        <v>190</v>
      </c>
      <c r="N5091" s="17" t="s">
        <v>64</v>
      </c>
      <c r="O5091" s="11"/>
      <c r="P5091" s="28"/>
      <c r="Q5091" s="28" t="n">
        <f aca="false">P5091*$M5091</f>
        <v>0</v>
      </c>
      <c r="R5091" s="28"/>
      <c r="S5091" s="28" t="n">
        <f aca="false">R5091*$M5091</f>
        <v>0</v>
      </c>
      <c r="T5091" s="28"/>
      <c r="U5091" s="28" t="n">
        <f aca="false">T5091*$M5091</f>
        <v>0</v>
      </c>
      <c r="V5091" s="28" t="n">
        <f aca="false">14963/100</f>
        <v>149.63</v>
      </c>
      <c r="W5091" s="36" t="n">
        <v>28420</v>
      </c>
      <c r="X5091" s="28"/>
      <c r="Y5091" s="28" t="n">
        <f aca="false">X5091*$M5091</f>
        <v>0</v>
      </c>
      <c r="Z5091" s="28"/>
      <c r="AA5091" s="28" t="n">
        <f aca="false">Z5091*$M5091</f>
        <v>0</v>
      </c>
      <c r="AB5091" s="28"/>
      <c r="AC5091" s="28" t="n">
        <f aca="false">AB5091*$M5091</f>
        <v>0</v>
      </c>
      <c r="AD5091" s="28"/>
      <c r="AE5091" s="28" t="n">
        <f aca="false">AD5091*$M5091</f>
        <v>0</v>
      </c>
      <c r="AF5091" s="28"/>
      <c r="AG5091" s="28" t="n">
        <f aca="false">AF5091*$M5091</f>
        <v>0</v>
      </c>
      <c r="AH5091" s="28"/>
      <c r="AI5091" s="28" t="n">
        <f aca="false">AH5091*$M5091</f>
        <v>0</v>
      </c>
      <c r="AJ5091" s="28"/>
      <c r="AK5091" s="28" t="n">
        <f aca="false">AJ5091*$M5091</f>
        <v>0</v>
      </c>
      <c r="AL5091" s="28"/>
      <c r="AM5091" s="28" t="n">
        <f aca="false">AL5091*$M5091</f>
        <v>0</v>
      </c>
      <c r="AN5091" s="28"/>
      <c r="AO5091" s="28" t="n">
        <f aca="false">AN5091*$M5091</f>
        <v>0</v>
      </c>
      <c r="AP5091" s="28"/>
      <c r="AQ5091" s="28" t="n">
        <f aca="false">AP5091*$M5091</f>
        <v>0</v>
      </c>
      <c r="AR5091" s="28"/>
      <c r="AS5091" s="28" t="n">
        <f aca="false">AR5091*$M5091</f>
        <v>0</v>
      </c>
      <c r="AT5091" s="28"/>
      <c r="AU5091" s="28" t="n">
        <f aca="false">AT5091*$M5091</f>
        <v>0</v>
      </c>
      <c r="AV5091" s="28"/>
      <c r="AW5091" s="28" t="n">
        <f aca="false">AV5091*$M5091</f>
        <v>0</v>
      </c>
      <c r="AX5091" s="28"/>
      <c r="AY5091" s="28" t="n">
        <f aca="false">AX5091*$M5091</f>
        <v>0</v>
      </c>
      <c r="AZ5091" s="30" t="n">
        <f aca="false">14963/100</f>
        <v>149.63</v>
      </c>
      <c r="BA5091" s="11" t="n">
        <v>28420</v>
      </c>
      <c r="BB5091" s="31" t="n">
        <f aca="false">SUM(Q5091,S5091,U5091,W5091,Y5091,AA5091,AC5091,AE5091,AG5091,AI5091,AK5091,AM5091,AO5091,AQ5091,AS5091,AU5091,AW5091,AY5091)</f>
        <v>28420</v>
      </c>
      <c r="BC5091" s="28" t="n">
        <f aca="false">BA5091-BB5091</f>
        <v>0</v>
      </c>
      <c r="BD5091" s="32" t="n">
        <f aca="false">SUM(P5091,R5091,T5091,V5091,X5091,Z5091,AB5091,AD5091,AF5091,AH5091,AJ5091,AL5091,AN5091,AP5091,AR5091,AT5091,AV5091,AX5091)</f>
        <v>149.63</v>
      </c>
      <c r="BE5091" s="33" t="n">
        <f aca="false">AZ5091-BD5091</f>
        <v>0</v>
      </c>
      <c r="BF5091" s="34" t="n">
        <f aca="false">BD5091*M5091</f>
        <v>28429.7</v>
      </c>
      <c r="BG5091" s="35" t="n">
        <f aca="false">BA5091-BF5091</f>
        <v>-9.70000000000073</v>
      </c>
      <c r="BH5091" s="19" t="str">
        <f aca="false">IF(BG5091=0,"",IF(BG5091&lt;&gt;BA5091,"erreur de calcul",IF(BD5091&lt;&gt;0,"pas de prix",IF(M5091&lt;&gt; 0,"pas de quantité","pas de prix, ni de quantité"))))</f>
        <v>erreur de calcul</v>
      </c>
      <c r="BI5091" s="19"/>
    </row>
    <row r="5092" customFormat="false" ht="15" hidden="false" customHeight="false" outlineLevel="0" collapsed="false">
      <c r="A5092" s="0" t="n">
        <v>12</v>
      </c>
      <c r="B5092" s="8" t="s">
        <v>24</v>
      </c>
      <c r="C5092" s="9" t="s">
        <v>25</v>
      </c>
      <c r="D5092" s="9" t="s">
        <v>26</v>
      </c>
      <c r="E5092" s="10" t="n">
        <v>1789</v>
      </c>
      <c r="F5092" s="9" t="s">
        <v>27</v>
      </c>
      <c r="G5092" s="9" t="s">
        <v>27</v>
      </c>
      <c r="H5092" s="11" t="n">
        <v>23</v>
      </c>
      <c r="I5092" s="11" t="s">
        <v>254</v>
      </c>
      <c r="J5092" s="14" t="n">
        <v>14</v>
      </c>
      <c r="K5092" s="14"/>
      <c r="L5092" s="16"/>
      <c r="M5092" s="27" t="n">
        <f aca="false">J5092+(K5092/20)+(L5092/240)</f>
        <v>14</v>
      </c>
      <c r="N5092" s="17" t="s">
        <v>64</v>
      </c>
      <c r="O5092" s="11"/>
      <c r="P5092" s="28"/>
      <c r="Q5092" s="28" t="n">
        <f aca="false">P5092*$M5092</f>
        <v>0</v>
      </c>
      <c r="R5092" s="28"/>
      <c r="S5092" s="28" t="n">
        <f aca="false">R5092*$M5092</f>
        <v>0</v>
      </c>
      <c r="T5092" s="28"/>
      <c r="U5092" s="28" t="n">
        <f aca="false">T5092*$M5092</f>
        <v>0</v>
      </c>
      <c r="V5092" s="28"/>
      <c r="W5092" s="28" t="n">
        <f aca="false">V5092*$M5092</f>
        <v>0</v>
      </c>
      <c r="X5092" s="28" t="n">
        <f aca="false">445483/100</f>
        <v>4454.83</v>
      </c>
      <c r="Y5092" s="28" t="n">
        <v>62368</v>
      </c>
      <c r="Z5092" s="28"/>
      <c r="AA5092" s="28" t="n">
        <f aca="false">Z5092*$M5092</f>
        <v>0</v>
      </c>
      <c r="AB5092" s="28"/>
      <c r="AC5092" s="28" t="n">
        <f aca="false">AB5092*$M5092</f>
        <v>0</v>
      </c>
      <c r="AD5092" s="28"/>
      <c r="AE5092" s="28" t="n">
        <f aca="false">AD5092*$M5092</f>
        <v>0</v>
      </c>
      <c r="AF5092" s="28"/>
      <c r="AG5092" s="28" t="n">
        <f aca="false">AF5092*$M5092</f>
        <v>0</v>
      </c>
      <c r="AH5092" s="28"/>
      <c r="AI5092" s="28" t="n">
        <f aca="false">AH5092*$M5092</f>
        <v>0</v>
      </c>
      <c r="AJ5092" s="28"/>
      <c r="AK5092" s="28" t="n">
        <f aca="false">AJ5092*$M5092</f>
        <v>0</v>
      </c>
      <c r="AL5092" s="28"/>
      <c r="AM5092" s="28" t="n">
        <f aca="false">AL5092*$M5092</f>
        <v>0</v>
      </c>
      <c r="AN5092" s="28"/>
      <c r="AO5092" s="28" t="n">
        <f aca="false">AN5092*$M5092</f>
        <v>0</v>
      </c>
      <c r="AP5092" s="28"/>
      <c r="AQ5092" s="28" t="n">
        <f aca="false">AP5092*$M5092</f>
        <v>0</v>
      </c>
      <c r="AR5092" s="28"/>
      <c r="AS5092" s="28" t="n">
        <f aca="false">AR5092*$M5092</f>
        <v>0</v>
      </c>
      <c r="AT5092" s="28"/>
      <c r="AU5092" s="28" t="n">
        <f aca="false">AT5092*$M5092</f>
        <v>0</v>
      </c>
      <c r="AV5092" s="28"/>
      <c r="AW5092" s="28" t="n">
        <f aca="false">AV5092*$M5092</f>
        <v>0</v>
      </c>
      <c r="AX5092" s="28"/>
      <c r="AY5092" s="28" t="n">
        <f aca="false">AX5092*$M5092</f>
        <v>0</v>
      </c>
      <c r="AZ5092" s="30" t="n">
        <f aca="false">445483/100</f>
        <v>4454.83</v>
      </c>
      <c r="BA5092" s="11" t="n">
        <v>62368</v>
      </c>
      <c r="BB5092" s="31" t="n">
        <f aca="false">SUM(Q5092,S5092,U5092,W5092,Y5092,AA5092,AC5092,AE5092,AG5092,AI5092,AK5092,AM5092,AO5092,AQ5092,AS5092,AU5092,AW5092,AY5092)</f>
        <v>62368</v>
      </c>
      <c r="BC5092" s="28" t="n">
        <f aca="false">BA5092-BB5092</f>
        <v>0</v>
      </c>
      <c r="BD5092" s="32" t="n">
        <f aca="false">SUM(P5092,R5092,T5092,V5092,X5092,Z5092,AB5092,AD5092,AF5092,AH5092,AJ5092,AL5092,AN5092,AP5092,AR5092,AT5092,AV5092,AX5092)</f>
        <v>4454.83</v>
      </c>
      <c r="BE5092" s="33" t="n">
        <f aca="false">AZ5092-BD5092</f>
        <v>0</v>
      </c>
      <c r="BF5092" s="34" t="n">
        <f aca="false">BD5092*M5092</f>
        <v>62367.62</v>
      </c>
      <c r="BG5092" s="35" t="n">
        <f aca="false">BA5092-BF5092</f>
        <v>0.380000000004657</v>
      </c>
      <c r="BH5092" s="19" t="str">
        <f aca="false">IF(BG5092=0,"",IF(BG5092&lt;&gt;BA5092,"erreur de calcul",IF(BD5092&lt;&gt;0,"pas de prix",IF(M5092&lt;&gt; 0,"pas de quantité","pas de prix, ni de quantité"))))</f>
        <v>erreur de calcul</v>
      </c>
      <c r="BI5092" s="19"/>
    </row>
    <row r="5093" customFormat="false" ht="15" hidden="false" customHeight="false" outlineLevel="0" collapsed="false">
      <c r="A5093" s="0" t="n">
        <v>13</v>
      </c>
      <c r="B5093" s="8" t="s">
        <v>24</v>
      </c>
      <c r="C5093" s="9" t="s">
        <v>25</v>
      </c>
      <c r="D5093" s="9" t="s">
        <v>26</v>
      </c>
      <c r="E5093" s="10" t="n">
        <v>1789</v>
      </c>
      <c r="F5093" s="9" t="s">
        <v>27</v>
      </c>
      <c r="G5093" s="9" t="s">
        <v>27</v>
      </c>
      <c r="H5093" s="11" t="n">
        <v>23</v>
      </c>
      <c r="I5093" s="11" t="s">
        <v>255</v>
      </c>
      <c r="J5093" s="14" t="n">
        <v>6</v>
      </c>
      <c r="K5093" s="14"/>
      <c r="L5093" s="16"/>
      <c r="M5093" s="27" t="n">
        <f aca="false">J5093+(K5093/20)+(L5093/240)</f>
        <v>6</v>
      </c>
      <c r="N5093" s="17" t="s">
        <v>64</v>
      </c>
      <c r="O5093" s="11"/>
      <c r="P5093" s="28"/>
      <c r="Q5093" s="28" t="n">
        <f aca="false">P5093*$M5093</f>
        <v>0</v>
      </c>
      <c r="R5093" s="28"/>
      <c r="S5093" s="28" t="n">
        <f aca="false">R5093*$M5093</f>
        <v>0</v>
      </c>
      <c r="T5093" s="28"/>
      <c r="U5093" s="28" t="n">
        <f aca="false">T5093*$M5093</f>
        <v>0</v>
      </c>
      <c r="V5093" s="28" t="n">
        <f aca="false">8263/100</f>
        <v>82.63</v>
      </c>
      <c r="W5093" s="28" t="n">
        <v>496</v>
      </c>
      <c r="X5093" s="28"/>
      <c r="Y5093" s="28" t="n">
        <f aca="false">X5093*$M5093</f>
        <v>0</v>
      </c>
      <c r="Z5093" s="28" t="n">
        <f aca="false">62695/100</f>
        <v>626.95</v>
      </c>
      <c r="AA5093" s="28" t="n">
        <v>3762</v>
      </c>
      <c r="AB5093" s="28"/>
      <c r="AC5093" s="28" t="n">
        <f aca="false">AB5093*$M5093</f>
        <v>0</v>
      </c>
      <c r="AD5093" s="28"/>
      <c r="AE5093" s="28" t="n">
        <f aca="false">AD5093*$M5093</f>
        <v>0</v>
      </c>
      <c r="AF5093" s="28"/>
      <c r="AG5093" s="28" t="n">
        <f aca="false">AF5093*$M5093</f>
        <v>0</v>
      </c>
      <c r="AH5093" s="28"/>
      <c r="AI5093" s="28" t="n">
        <f aca="false">AH5093*$M5093</f>
        <v>0</v>
      </c>
      <c r="AJ5093" s="28"/>
      <c r="AK5093" s="28" t="n">
        <f aca="false">AJ5093*$M5093</f>
        <v>0</v>
      </c>
      <c r="AL5093" s="28"/>
      <c r="AM5093" s="28" t="n">
        <f aca="false">AL5093*$M5093</f>
        <v>0</v>
      </c>
      <c r="AN5093" s="28"/>
      <c r="AO5093" s="28" t="n">
        <f aca="false">AN5093*$M5093</f>
        <v>0</v>
      </c>
      <c r="AP5093" s="28"/>
      <c r="AQ5093" s="28" t="n">
        <f aca="false">AP5093*$M5093</f>
        <v>0</v>
      </c>
      <c r="AR5093" s="28"/>
      <c r="AS5093" s="28" t="n">
        <f aca="false">AR5093*$M5093</f>
        <v>0</v>
      </c>
      <c r="AT5093" s="28"/>
      <c r="AU5093" s="28" t="n">
        <f aca="false">AT5093*$M5093</f>
        <v>0</v>
      </c>
      <c r="AV5093" s="28"/>
      <c r="AW5093" s="28" t="n">
        <f aca="false">AV5093*$M5093</f>
        <v>0</v>
      </c>
      <c r="AX5093" s="28"/>
      <c r="AY5093" s="28" t="n">
        <f aca="false">AX5093*$M5093</f>
        <v>0</v>
      </c>
      <c r="AZ5093" s="30" t="n">
        <f aca="false">70958/100</f>
        <v>709.58</v>
      </c>
      <c r="BA5093" s="11" t="n">
        <v>4258</v>
      </c>
      <c r="BB5093" s="31" t="n">
        <f aca="false">SUM(Q5093,S5093,U5093,W5093,Y5093,AA5093,AC5093,AE5093,AG5093,AI5093,AK5093,AM5093,AO5093,AQ5093,AS5093,AU5093,AW5093,AY5093)</f>
        <v>4258</v>
      </c>
      <c r="BC5093" s="28" t="n">
        <f aca="false">BA5093-BB5093</f>
        <v>0</v>
      </c>
      <c r="BD5093" s="32" t="n">
        <f aca="false">SUM(P5093,R5093,T5093,V5093,X5093,Z5093,AB5093,AD5093,AF5093,AH5093,AJ5093,AL5093,AN5093,AP5093,AR5093,AT5093,AV5093,AX5093)</f>
        <v>709.58</v>
      </c>
      <c r="BE5093" s="33" t="n">
        <f aca="false">AZ5093-BD5093</f>
        <v>0</v>
      </c>
      <c r="BF5093" s="34" t="n">
        <f aca="false">BD5093*M5093</f>
        <v>4257.48</v>
      </c>
      <c r="BG5093" s="35" t="n">
        <f aca="false">BA5093-BF5093</f>
        <v>0.519999999999527</v>
      </c>
      <c r="BH5093" s="19" t="str">
        <f aca="false">IF(BG5093=0,"",IF(BG5093&lt;&gt;BA5093,"erreur de calcul",IF(BD5093&lt;&gt;0,"pas de prix",IF(M5093&lt;&gt; 0,"pas de quantité","pas de prix, ni de quantité"))))</f>
        <v>erreur de calcul</v>
      </c>
      <c r="BI5093" s="19"/>
    </row>
    <row r="5094" customFormat="false" ht="15" hidden="false" customHeight="false" outlineLevel="0" collapsed="false">
      <c r="A5094" s="0" t="n">
        <v>14</v>
      </c>
      <c r="B5094" s="8" t="s">
        <v>24</v>
      </c>
      <c r="C5094" s="9" t="s">
        <v>25</v>
      </c>
      <c r="D5094" s="9" t="s">
        <v>26</v>
      </c>
      <c r="E5094" s="10" t="n">
        <v>1789</v>
      </c>
      <c r="F5094" s="9" t="s">
        <v>27</v>
      </c>
      <c r="G5094" s="9" t="s">
        <v>27</v>
      </c>
      <c r="H5094" s="11" t="n">
        <v>23</v>
      </c>
      <c r="I5094" s="11" t="s">
        <v>256</v>
      </c>
      <c r="J5094" s="14" t="n">
        <v>30</v>
      </c>
      <c r="K5094" s="14"/>
      <c r="L5094" s="16"/>
      <c r="M5094" s="27" t="n">
        <f aca="false">J5094+(K5094/20)+(L5094/240)</f>
        <v>30</v>
      </c>
      <c r="N5094" s="17" t="s">
        <v>64</v>
      </c>
      <c r="O5094" s="11"/>
      <c r="P5094" s="28" t="n">
        <f aca="false">1584/100</f>
        <v>15.84</v>
      </c>
      <c r="Q5094" s="28" t="n">
        <v>475</v>
      </c>
      <c r="R5094" s="28"/>
      <c r="S5094" s="28" t="n">
        <f aca="false">R5094*$M5094</f>
        <v>0</v>
      </c>
      <c r="T5094" s="28" t="n">
        <f aca="false">78834/100</f>
        <v>788.34</v>
      </c>
      <c r="U5094" s="28" t="n">
        <v>23650</v>
      </c>
      <c r="V5094" s="28"/>
      <c r="W5094" s="28" t="n">
        <f aca="false">V5094*$M5094</f>
        <v>0</v>
      </c>
      <c r="X5094" s="28"/>
      <c r="Y5094" s="28" t="n">
        <f aca="false">X5094*$M5094</f>
        <v>0</v>
      </c>
      <c r="Z5094" s="28"/>
      <c r="AA5094" s="28" t="n">
        <f aca="false">Z5094*$M5094</f>
        <v>0</v>
      </c>
      <c r="AB5094" s="28"/>
      <c r="AC5094" s="28" t="n">
        <f aca="false">AB5094*$M5094</f>
        <v>0</v>
      </c>
      <c r="AD5094" s="28"/>
      <c r="AE5094" s="28" t="n">
        <f aca="false">AD5094*$M5094</f>
        <v>0</v>
      </c>
      <c r="AF5094" s="28"/>
      <c r="AG5094" s="28" t="n">
        <f aca="false">AF5094*$M5094</f>
        <v>0</v>
      </c>
      <c r="AH5094" s="28"/>
      <c r="AI5094" s="28" t="n">
        <f aca="false">AH5094*$M5094</f>
        <v>0</v>
      </c>
      <c r="AJ5094" s="28"/>
      <c r="AK5094" s="28" t="n">
        <f aca="false">AJ5094*$M5094</f>
        <v>0</v>
      </c>
      <c r="AL5094" s="28"/>
      <c r="AM5094" s="28" t="n">
        <f aca="false">AL5094*$M5094</f>
        <v>0</v>
      </c>
      <c r="AN5094" s="28"/>
      <c r="AO5094" s="28" t="n">
        <f aca="false">AN5094*$M5094</f>
        <v>0</v>
      </c>
      <c r="AP5094" s="28"/>
      <c r="AQ5094" s="28" t="n">
        <f aca="false">AP5094*$M5094</f>
        <v>0</v>
      </c>
      <c r="AR5094" s="28"/>
      <c r="AS5094" s="28" t="n">
        <f aca="false">AR5094*$M5094</f>
        <v>0</v>
      </c>
      <c r="AT5094" s="28"/>
      <c r="AU5094" s="28" t="n">
        <f aca="false">AT5094*$M5094</f>
        <v>0</v>
      </c>
      <c r="AV5094" s="28"/>
      <c r="AW5094" s="28" t="n">
        <f aca="false">AV5094*$M5094</f>
        <v>0</v>
      </c>
      <c r="AX5094" s="28"/>
      <c r="AY5094" s="28" t="n">
        <f aca="false">AX5094*$M5094</f>
        <v>0</v>
      </c>
      <c r="AZ5094" s="30" t="n">
        <f aca="false">80418/100</f>
        <v>804.18</v>
      </c>
      <c r="BA5094" s="11" t="n">
        <v>24125</v>
      </c>
      <c r="BB5094" s="31" t="n">
        <f aca="false">SUM(Q5094,S5094,U5094,W5094,Y5094,AA5094,AC5094,AE5094,AG5094,AI5094,AK5094,AM5094,AO5094,AQ5094,AS5094,AU5094,AW5094,AY5094)</f>
        <v>24125</v>
      </c>
      <c r="BC5094" s="28" t="n">
        <f aca="false">BA5094-BB5094</f>
        <v>0</v>
      </c>
      <c r="BD5094" s="32" t="n">
        <f aca="false">SUM(P5094,R5094,T5094,V5094,X5094,Z5094,AB5094,AD5094,AF5094,AH5094,AJ5094,AL5094,AN5094,AP5094,AR5094,AT5094,AV5094,AX5094)</f>
        <v>804.18</v>
      </c>
      <c r="BE5094" s="33" t="n">
        <f aca="false">AZ5094-BD5094</f>
        <v>0</v>
      </c>
      <c r="BF5094" s="34" t="n">
        <f aca="false">BD5094*M5094</f>
        <v>24125.4</v>
      </c>
      <c r="BG5094" s="35" t="n">
        <f aca="false">BA5094-BF5094</f>
        <v>-0.400000000001455</v>
      </c>
      <c r="BH5094" s="19" t="str">
        <f aca="false">IF(BG5094=0,"",IF(BG5094&lt;&gt;BA5094,"erreur de calcul",IF(BD5094&lt;&gt;0,"pas de prix",IF(M5094&lt;&gt; 0,"pas de quantité","pas de prix, ni de quantité"))))</f>
        <v>erreur de calcul</v>
      </c>
      <c r="BI5094" s="19"/>
    </row>
    <row r="5095" customFormat="false" ht="15" hidden="false" customHeight="false" outlineLevel="0" collapsed="false">
      <c r="A5095" s="0" t="n">
        <v>15</v>
      </c>
      <c r="B5095" s="8" t="s">
        <v>24</v>
      </c>
      <c r="C5095" s="9" t="s">
        <v>25</v>
      </c>
      <c r="D5095" s="9" t="s">
        <v>26</v>
      </c>
      <c r="E5095" s="10" t="n">
        <v>1789</v>
      </c>
      <c r="F5095" s="9" t="s">
        <v>27</v>
      </c>
      <c r="G5095" s="9" t="s">
        <v>27</v>
      </c>
      <c r="H5095" s="11" t="n">
        <v>23</v>
      </c>
      <c r="I5095" s="11" t="s">
        <v>257</v>
      </c>
      <c r="J5095" s="14" t="n">
        <v>40</v>
      </c>
      <c r="K5095" s="14"/>
      <c r="L5095" s="16"/>
      <c r="M5095" s="27" t="n">
        <f aca="false">J5095+(K5095/20)+(L5095/240)</f>
        <v>40</v>
      </c>
      <c r="N5095" s="17" t="s">
        <v>64</v>
      </c>
      <c r="O5095" s="11"/>
      <c r="P5095" s="28"/>
      <c r="Q5095" s="28" t="n">
        <f aca="false">P5095*$M5095</f>
        <v>0</v>
      </c>
      <c r="R5095" s="28"/>
      <c r="S5095" s="28" t="n">
        <f aca="false">R5095*$M5095</f>
        <v>0</v>
      </c>
      <c r="T5095" s="28"/>
      <c r="U5095" s="28" t="n">
        <f aca="false">T5095*$M5095</f>
        <v>0</v>
      </c>
      <c r="V5095" s="28"/>
      <c r="W5095" s="28" t="n">
        <f aca="false">V5095*$M5095</f>
        <v>0</v>
      </c>
      <c r="X5095" s="28"/>
      <c r="Y5095" s="28" t="n">
        <f aca="false">X5095*$M5095</f>
        <v>0</v>
      </c>
      <c r="Z5095" s="28"/>
      <c r="AA5095" s="28" t="n">
        <f aca="false">Z5095*$M5095</f>
        <v>0</v>
      </c>
      <c r="AB5095" s="28"/>
      <c r="AC5095" s="28" t="n">
        <f aca="false">AB5095*$M5095</f>
        <v>0</v>
      </c>
      <c r="AD5095" s="28"/>
      <c r="AE5095" s="28" t="n">
        <f aca="false">AD5095*$M5095</f>
        <v>0</v>
      </c>
      <c r="AF5095" s="28"/>
      <c r="AG5095" s="28" t="n">
        <f aca="false">AF5095*$M5095</f>
        <v>0</v>
      </c>
      <c r="AH5095" s="28"/>
      <c r="AI5095" s="28" t="n">
        <f aca="false">AH5095*$M5095</f>
        <v>0</v>
      </c>
      <c r="AJ5095" s="28" t="n">
        <f aca="false">784564/100</f>
        <v>7845.64</v>
      </c>
      <c r="AK5095" s="28" t="n">
        <v>313826</v>
      </c>
      <c r="AL5095" s="28" t="n">
        <f aca="false">33500/100</f>
        <v>335</v>
      </c>
      <c r="AM5095" s="28" t="n">
        <v>13400</v>
      </c>
      <c r="AN5095" s="28"/>
      <c r="AO5095" s="28" t="n">
        <f aca="false">AN5095*$M5095</f>
        <v>0</v>
      </c>
      <c r="AP5095" s="28"/>
      <c r="AQ5095" s="28" t="n">
        <f aca="false">AP5095*$M5095</f>
        <v>0</v>
      </c>
      <c r="AR5095" s="28"/>
      <c r="AS5095" s="28" t="n">
        <f aca="false">AR5095*$M5095</f>
        <v>0</v>
      </c>
      <c r="AT5095" s="28"/>
      <c r="AU5095" s="28" t="n">
        <f aca="false">AT5095*$M5095</f>
        <v>0</v>
      </c>
      <c r="AV5095" s="28"/>
      <c r="AW5095" s="28" t="n">
        <f aca="false">AV5095*$M5095</f>
        <v>0</v>
      </c>
      <c r="AX5095" s="28"/>
      <c r="AY5095" s="28" t="n">
        <f aca="false">AX5095*$M5095</f>
        <v>0</v>
      </c>
      <c r="AZ5095" s="30" t="n">
        <f aca="false">818064/100</f>
        <v>8180.64</v>
      </c>
      <c r="BA5095" s="11" t="n">
        <v>327226</v>
      </c>
      <c r="BB5095" s="31" t="n">
        <f aca="false">SUM(Q5095,S5095,U5095,W5095,Y5095,AA5095,AC5095,AE5095,AG5095,AI5095,AK5095,AM5095,AO5095,AQ5095,AS5095,AU5095,AW5095,AY5095)</f>
        <v>327226</v>
      </c>
      <c r="BC5095" s="28" t="n">
        <f aca="false">BA5095-BB5095</f>
        <v>0</v>
      </c>
      <c r="BD5095" s="32" t="n">
        <f aca="false">SUM(P5095,R5095,T5095,V5095,X5095,Z5095,AB5095,AD5095,AF5095,AH5095,AJ5095,AL5095,AN5095,AP5095,AR5095,AT5095,AV5095,AX5095)</f>
        <v>8180.64</v>
      </c>
      <c r="BE5095" s="33" t="n">
        <f aca="false">AZ5095-BD5095</f>
        <v>0</v>
      </c>
      <c r="BF5095" s="34" t="n">
        <f aca="false">BD5095*M5095</f>
        <v>327225.6</v>
      </c>
      <c r="BG5095" s="35" t="n">
        <f aca="false">BA5095-BF5095</f>
        <v>0.399999999965075</v>
      </c>
      <c r="BH5095" s="19" t="str">
        <f aca="false">IF(BG5095=0,"",IF(BG5095&lt;&gt;BA5095,"erreur de calcul",IF(BD5095&lt;&gt;0,"pas de prix",IF(M5095&lt;&gt; 0,"pas de quantité","pas de prix, ni de quantité"))))</f>
        <v>erreur de calcul</v>
      </c>
      <c r="BI5095" s="19"/>
    </row>
    <row r="5096" customFormat="false" ht="15" hidden="false" customHeight="false" outlineLevel="0" collapsed="false">
      <c r="A5096" s="0" t="n">
        <v>16</v>
      </c>
      <c r="B5096" s="8" t="s">
        <v>24</v>
      </c>
      <c r="C5096" s="9" t="s">
        <v>25</v>
      </c>
      <c r="D5096" s="9" t="s">
        <v>26</v>
      </c>
      <c r="E5096" s="10" t="n">
        <v>1789</v>
      </c>
      <c r="F5096" s="9" t="s">
        <v>27</v>
      </c>
      <c r="G5096" s="9" t="s">
        <v>27</v>
      </c>
      <c r="H5096" s="11" t="n">
        <v>23</v>
      </c>
      <c r="I5096" s="11" t="s">
        <v>258</v>
      </c>
      <c r="J5096" s="14" t="n">
        <v>75</v>
      </c>
      <c r="K5096" s="14"/>
      <c r="L5096" s="16"/>
      <c r="M5096" s="27" t="n">
        <f aca="false">J5096+(K5096/20)+(L5096/240)</f>
        <v>75</v>
      </c>
      <c r="N5096" s="17" t="s">
        <v>64</v>
      </c>
      <c r="O5096" s="11"/>
      <c r="P5096" s="28"/>
      <c r="Q5096" s="28" t="n">
        <f aca="false">P5096*$M5096</f>
        <v>0</v>
      </c>
      <c r="R5096" s="28"/>
      <c r="S5096" s="28" t="n">
        <f aca="false">R5096*$M5096</f>
        <v>0</v>
      </c>
      <c r="T5096" s="28" t="n">
        <f aca="false">1000/100</f>
        <v>10</v>
      </c>
      <c r="U5096" s="28" t="n">
        <v>750</v>
      </c>
      <c r="V5096" s="28" t="n">
        <f aca="false">17232/100</f>
        <v>172.32</v>
      </c>
      <c r="W5096" s="28" t="n">
        <v>12924</v>
      </c>
      <c r="X5096" s="28" t="n">
        <f aca="false">942/100</f>
        <v>9.42</v>
      </c>
      <c r="Y5096" s="28" t="n">
        <v>706</v>
      </c>
      <c r="Z5096" s="28"/>
      <c r="AA5096" s="28" t="n">
        <f aca="false">Z5096*$M5096</f>
        <v>0</v>
      </c>
      <c r="AB5096" s="28" t="n">
        <f aca="false">415/100</f>
        <v>4.15</v>
      </c>
      <c r="AC5096" s="28" t="n">
        <v>311</v>
      </c>
      <c r="AD5096" s="28"/>
      <c r="AE5096" s="28" t="n">
        <f aca="false">AD5096*$M5096</f>
        <v>0</v>
      </c>
      <c r="AF5096" s="28"/>
      <c r="AG5096" s="28" t="n">
        <f aca="false">AF5096*$M5096</f>
        <v>0</v>
      </c>
      <c r="AH5096" s="28"/>
      <c r="AI5096" s="28" t="n">
        <f aca="false">AH5096*$M5096</f>
        <v>0</v>
      </c>
      <c r="AJ5096" s="28"/>
      <c r="AK5096" s="28" t="n">
        <f aca="false">AJ5096*$M5096</f>
        <v>0</v>
      </c>
      <c r="AL5096" s="28"/>
      <c r="AM5096" s="28" t="n">
        <f aca="false">AL5096*$M5096</f>
        <v>0</v>
      </c>
      <c r="AN5096" s="28"/>
      <c r="AO5096" s="28" t="n">
        <f aca="false">AN5096*$M5096</f>
        <v>0</v>
      </c>
      <c r="AP5096" s="28"/>
      <c r="AQ5096" s="28" t="n">
        <f aca="false">AP5096*$M5096</f>
        <v>0</v>
      </c>
      <c r="AR5096" s="28"/>
      <c r="AS5096" s="28" t="n">
        <f aca="false">AR5096*$M5096</f>
        <v>0</v>
      </c>
      <c r="AT5096" s="28"/>
      <c r="AU5096" s="28" t="n">
        <f aca="false">AT5096*$M5096</f>
        <v>0</v>
      </c>
      <c r="AV5096" s="28"/>
      <c r="AW5096" s="28" t="n">
        <f aca="false">AV5096*$M5096</f>
        <v>0</v>
      </c>
      <c r="AX5096" s="28"/>
      <c r="AY5096" s="28" t="n">
        <f aca="false">AX5096*$M5096</f>
        <v>0</v>
      </c>
      <c r="AZ5096" s="30" t="n">
        <f aca="false">19589/100</f>
        <v>195.89</v>
      </c>
      <c r="BA5096" s="11" t="n">
        <v>14691</v>
      </c>
      <c r="BB5096" s="31" t="n">
        <f aca="false">SUM(Q5096,S5096,U5096,W5096,Y5096,AA5096,AC5096,AE5096,AG5096,AI5096,AK5096,AM5096,AO5096,AQ5096,AS5096,AU5096,AW5096,AY5096)</f>
        <v>14691</v>
      </c>
      <c r="BC5096" s="28" t="n">
        <f aca="false">BA5096-BB5096</f>
        <v>0</v>
      </c>
      <c r="BD5096" s="32" t="n">
        <f aca="false">SUM(P5096,R5096,T5096,V5096,X5096,Z5096,AB5096,AD5096,AF5096,AH5096,AJ5096,AL5096,AN5096,AP5096,AR5096,AT5096,AV5096,AX5096)</f>
        <v>195.89</v>
      </c>
      <c r="BE5096" s="33" t="n">
        <f aca="false">AZ5096-BD5096</f>
        <v>0</v>
      </c>
      <c r="BF5096" s="34" t="n">
        <f aca="false">BD5096*M5096</f>
        <v>14691.75</v>
      </c>
      <c r="BG5096" s="35" t="n">
        <f aca="false">BA5096-BF5096</f>
        <v>-0.749999999998181</v>
      </c>
      <c r="BH5096" s="19" t="str">
        <f aca="false">IF(BG5096=0,"",IF(BG5096&lt;&gt;BA5096,"erreur de calcul",IF(BD5096&lt;&gt;0,"pas de prix",IF(M5096&lt;&gt; 0,"pas de quantité","pas de prix, ni de quantité"))))</f>
        <v>erreur de calcul</v>
      </c>
      <c r="BI5096" s="19"/>
    </row>
    <row r="5097" customFormat="false" ht="15" hidden="false" customHeight="false" outlineLevel="0" collapsed="false">
      <c r="A5097" s="0" t="n">
        <v>17</v>
      </c>
      <c r="B5097" s="8" t="s">
        <v>24</v>
      </c>
      <c r="C5097" s="9" t="s">
        <v>25</v>
      </c>
      <c r="D5097" s="9" t="s">
        <v>26</v>
      </c>
      <c r="E5097" s="10" t="n">
        <v>1789</v>
      </c>
      <c r="F5097" s="9" t="s">
        <v>27</v>
      </c>
      <c r="G5097" s="9" t="s">
        <v>27</v>
      </c>
      <c r="H5097" s="11" t="n">
        <v>23</v>
      </c>
      <c r="I5097" s="11" t="s">
        <v>259</v>
      </c>
      <c r="J5097" s="14"/>
      <c r="K5097" s="14"/>
      <c r="L5097" s="16"/>
      <c r="M5097" s="27" t="n">
        <f aca="false">J5097+(K5097/20)+(L5097/240)</f>
        <v>0</v>
      </c>
      <c r="N5097" s="17"/>
      <c r="O5097" s="11"/>
      <c r="P5097" s="28"/>
      <c r="Q5097" s="28" t="n">
        <v>957</v>
      </c>
      <c r="R5097" s="28"/>
      <c r="S5097" s="28" t="n">
        <f aca="false">R5097*$M5097</f>
        <v>0</v>
      </c>
      <c r="T5097" s="28"/>
      <c r="U5097" s="28" t="n">
        <v>354</v>
      </c>
      <c r="V5097" s="28"/>
      <c r="W5097" s="28" t="n">
        <v>398</v>
      </c>
      <c r="X5097" s="28"/>
      <c r="Y5097" s="28" t="n">
        <v>685</v>
      </c>
      <c r="Z5097" s="28"/>
      <c r="AA5097" s="28" t="n">
        <v>120</v>
      </c>
      <c r="AB5097" s="28"/>
      <c r="AC5097" s="28" t="n">
        <v>2994</v>
      </c>
      <c r="AD5097" s="28"/>
      <c r="AE5097" s="28" t="n">
        <f aca="false">AD5097*$M5097</f>
        <v>0</v>
      </c>
      <c r="AF5097" s="28"/>
      <c r="AG5097" s="28" t="n">
        <f aca="false">AF5097*$M5097</f>
        <v>0</v>
      </c>
      <c r="AH5097" s="28"/>
      <c r="AI5097" s="28" t="n">
        <v>144</v>
      </c>
      <c r="AJ5097" s="28"/>
      <c r="AK5097" s="28" t="n">
        <f aca="false">AJ5097*$M5097</f>
        <v>0</v>
      </c>
      <c r="AL5097" s="28"/>
      <c r="AM5097" s="28" t="n">
        <f aca="false">AL5097*$M5097</f>
        <v>0</v>
      </c>
      <c r="AN5097" s="28"/>
      <c r="AO5097" s="28" t="n">
        <f aca="false">AN5097*$M5097</f>
        <v>0</v>
      </c>
      <c r="AP5097" s="28"/>
      <c r="AQ5097" s="28" t="n">
        <f aca="false">AP5097*$M5097</f>
        <v>0</v>
      </c>
      <c r="AR5097" s="28"/>
      <c r="AS5097" s="28" t="n">
        <f aca="false">AR5097*$M5097</f>
        <v>0</v>
      </c>
      <c r="AT5097" s="28"/>
      <c r="AU5097" s="28" t="n">
        <f aca="false">AT5097*$M5097</f>
        <v>0</v>
      </c>
      <c r="AV5097" s="28"/>
      <c r="AW5097" s="28" t="n">
        <f aca="false">AV5097*$M5097</f>
        <v>0</v>
      </c>
      <c r="AX5097" s="28"/>
      <c r="AY5097" s="28" t="n">
        <f aca="false">AX5097*$M5097</f>
        <v>0</v>
      </c>
      <c r="AZ5097" s="30"/>
      <c r="BA5097" s="11" t="n">
        <v>5652</v>
      </c>
      <c r="BB5097" s="31" t="n">
        <f aca="false">SUM(Q5097,S5097,U5097,W5097,Y5097,AA5097,AC5097,AE5097,AG5097,AI5097,AK5097,AM5097,AO5097,AQ5097,AS5097,AU5097,AW5097,AY5097)</f>
        <v>5652</v>
      </c>
      <c r="BC5097" s="28" t="n">
        <f aca="false">BA5097-BB5097</f>
        <v>0</v>
      </c>
      <c r="BD5097" s="32" t="n">
        <f aca="false">SUM(P5097,R5097,T5097,V5097,X5097,Z5097,AB5097,AD5097,AF5097,AH5097,AJ5097,AL5097,AN5097,AP5097,AR5097,AT5097,AV5097,AX5097)</f>
        <v>0</v>
      </c>
      <c r="BE5097" s="33" t="n">
        <f aca="false">AZ5097-BD5097</f>
        <v>0</v>
      </c>
      <c r="BF5097" s="34" t="n">
        <f aca="false">BD5097*M5097</f>
        <v>0</v>
      </c>
      <c r="BG5097" s="35" t="n">
        <f aca="false">BA5097-BF5097</f>
        <v>5652</v>
      </c>
      <c r="BH5097" s="19" t="str">
        <f aca="false">IF(BG5097=0,"",IF(BG5097&lt;&gt;BA5097,"erreur de calcul",IF(BD5097&lt;&gt;0,"pas de prix",IF(M5097&lt;&gt; 0,"pas de quantité","pas de prix, ni de quantité"))))</f>
        <v>pas de prix, ni de quantité</v>
      </c>
      <c r="BI5097" s="19"/>
    </row>
    <row r="5098" customFormat="false" ht="15" hidden="false" customHeight="false" outlineLevel="0" collapsed="false">
      <c r="A5098" s="0" t="n">
        <v>18</v>
      </c>
      <c r="B5098" s="8" t="s">
        <v>24</v>
      </c>
      <c r="C5098" s="9" t="s">
        <v>25</v>
      </c>
      <c r="D5098" s="9" t="s">
        <v>26</v>
      </c>
      <c r="E5098" s="10" t="n">
        <v>1789</v>
      </c>
      <c r="F5098" s="9" t="s">
        <v>27</v>
      </c>
      <c r="G5098" s="9" t="s">
        <v>27</v>
      </c>
      <c r="H5098" s="11" t="n">
        <v>23</v>
      </c>
      <c r="I5098" s="11" t="s">
        <v>260</v>
      </c>
      <c r="J5098" s="14" t="n">
        <v>88</v>
      </c>
      <c r="K5098" s="14"/>
      <c r="L5098" s="16"/>
      <c r="M5098" s="27" t="n">
        <f aca="false">J5098+(K5098/20)+(L5098/240)</f>
        <v>88</v>
      </c>
      <c r="N5098" s="17" t="s">
        <v>64</v>
      </c>
      <c r="O5098" s="11"/>
      <c r="P5098" s="28"/>
      <c r="Q5098" s="28" t="n">
        <f aca="false">P5098*$M5098</f>
        <v>0</v>
      </c>
      <c r="R5098" s="28"/>
      <c r="S5098" s="28" t="n">
        <f aca="false">R5098*$M5098</f>
        <v>0</v>
      </c>
      <c r="T5098" s="28"/>
      <c r="U5098" s="28" t="n">
        <f aca="false">T5098*$M5098</f>
        <v>0</v>
      </c>
      <c r="V5098" s="28" t="n">
        <f aca="false">21004/100</f>
        <v>210.04</v>
      </c>
      <c r="W5098" s="28" t="n">
        <v>18483</v>
      </c>
      <c r="X5098" s="28"/>
      <c r="Y5098" s="28" t="n">
        <f aca="false">X5098*$M5098</f>
        <v>0</v>
      </c>
      <c r="Z5098" s="28"/>
      <c r="AA5098" s="28" t="n">
        <f aca="false">Z5098*$M5098</f>
        <v>0</v>
      </c>
      <c r="AB5098" s="28"/>
      <c r="AC5098" s="28" t="n">
        <f aca="false">AB5098*$M5098</f>
        <v>0</v>
      </c>
      <c r="AD5098" s="28"/>
      <c r="AE5098" s="28" t="n">
        <f aca="false">AD5098*$M5098</f>
        <v>0</v>
      </c>
      <c r="AF5098" s="28"/>
      <c r="AG5098" s="28" t="n">
        <f aca="false">AF5098*$M5098</f>
        <v>0</v>
      </c>
      <c r="AH5098" s="28"/>
      <c r="AI5098" s="28" t="n">
        <f aca="false">AH5098*$M5098</f>
        <v>0</v>
      </c>
      <c r="AJ5098" s="28"/>
      <c r="AK5098" s="28" t="n">
        <f aca="false">AJ5098*$M5098</f>
        <v>0</v>
      </c>
      <c r="AL5098" s="28"/>
      <c r="AM5098" s="28" t="n">
        <f aca="false">AL5098*$M5098</f>
        <v>0</v>
      </c>
      <c r="AN5098" s="28"/>
      <c r="AO5098" s="28" t="n">
        <f aca="false">AN5098*$M5098</f>
        <v>0</v>
      </c>
      <c r="AP5098" s="28"/>
      <c r="AQ5098" s="28" t="n">
        <f aca="false">AP5098*$M5098</f>
        <v>0</v>
      </c>
      <c r="AR5098" s="28"/>
      <c r="AS5098" s="28" t="n">
        <f aca="false">AR5098*$M5098</f>
        <v>0</v>
      </c>
      <c r="AT5098" s="28"/>
      <c r="AU5098" s="28" t="n">
        <f aca="false">AT5098*$M5098</f>
        <v>0</v>
      </c>
      <c r="AV5098" s="28"/>
      <c r="AW5098" s="28" t="n">
        <f aca="false">AV5098*$M5098</f>
        <v>0</v>
      </c>
      <c r="AX5098" s="28"/>
      <c r="AY5098" s="28" t="n">
        <f aca="false">AX5098*$M5098</f>
        <v>0</v>
      </c>
      <c r="AZ5098" s="30" t="n">
        <f aca="false">21004/100</f>
        <v>210.04</v>
      </c>
      <c r="BA5098" s="11" t="n">
        <v>18483</v>
      </c>
      <c r="BB5098" s="31" t="n">
        <f aca="false">SUM(Q5098,S5098,U5098,W5098,Y5098,AA5098,AC5098,AE5098,AG5098,AI5098,AK5098,AM5098,AO5098,AQ5098,AS5098,AU5098,AW5098,AY5098)</f>
        <v>18483</v>
      </c>
      <c r="BC5098" s="28" t="n">
        <f aca="false">BA5098-BB5098</f>
        <v>0</v>
      </c>
      <c r="BD5098" s="32" t="n">
        <f aca="false">SUM(P5098,R5098,T5098,V5098,X5098,Z5098,AB5098,AD5098,AF5098,AH5098,AJ5098,AL5098,AN5098,AP5098,AR5098,AT5098,AV5098,AX5098)</f>
        <v>210.04</v>
      </c>
      <c r="BE5098" s="33" t="n">
        <f aca="false">AZ5098-BD5098</f>
        <v>0</v>
      </c>
      <c r="BF5098" s="34" t="n">
        <f aca="false">BD5098*M5098</f>
        <v>18483.52</v>
      </c>
      <c r="BG5098" s="35" t="n">
        <f aca="false">BA5098-BF5098</f>
        <v>-0.520000000000437</v>
      </c>
      <c r="BH5098" s="19" t="str">
        <f aca="false">IF(BG5098=0,"",IF(BG5098&lt;&gt;BA5098,"erreur de calcul",IF(BD5098&lt;&gt;0,"pas de prix",IF(M5098&lt;&gt; 0,"pas de quantité","pas de prix, ni de quantité"))))</f>
        <v>erreur de calcul</v>
      </c>
      <c r="BI5098" s="19"/>
    </row>
    <row r="5099" customFormat="false" ht="15" hidden="false" customHeight="false" outlineLevel="0" collapsed="false">
      <c r="A5099" s="0" t="n">
        <v>19</v>
      </c>
      <c r="B5099" s="8" t="s">
        <v>24</v>
      </c>
      <c r="C5099" s="9" t="s">
        <v>25</v>
      </c>
      <c r="D5099" s="9" t="s">
        <v>26</v>
      </c>
      <c r="E5099" s="10" t="n">
        <v>1789</v>
      </c>
      <c r="F5099" s="9" t="s">
        <v>27</v>
      </c>
      <c r="G5099" s="9" t="s">
        <v>27</v>
      </c>
      <c r="H5099" s="11" t="n">
        <v>23</v>
      </c>
      <c r="I5099" s="11" t="s">
        <v>261</v>
      </c>
      <c r="J5099" s="14" t="n">
        <v>35</v>
      </c>
      <c r="K5099" s="14"/>
      <c r="L5099" s="16"/>
      <c r="M5099" s="27" t="n">
        <f aca="false">J5099+(K5099/20)+(L5099/240)</f>
        <v>35</v>
      </c>
      <c r="N5099" s="17" t="s">
        <v>64</v>
      </c>
      <c r="O5099" s="11"/>
      <c r="P5099" s="28" t="n">
        <f aca="false">2877/100</f>
        <v>28.77</v>
      </c>
      <c r="Q5099" s="28" t="n">
        <v>1007</v>
      </c>
      <c r="R5099" s="28"/>
      <c r="S5099" s="28" t="n">
        <f aca="false">R5099*$M5099</f>
        <v>0</v>
      </c>
      <c r="T5099" s="28"/>
      <c r="U5099" s="28" t="n">
        <f aca="false">T5099*$M5099</f>
        <v>0</v>
      </c>
      <c r="V5099" s="28"/>
      <c r="W5099" s="28" t="n">
        <f aca="false">V5099*$M5099</f>
        <v>0</v>
      </c>
      <c r="X5099" s="28"/>
      <c r="Y5099" s="28" t="n">
        <f aca="false">X5099*$M5099</f>
        <v>0</v>
      </c>
      <c r="Z5099" s="28"/>
      <c r="AA5099" s="28" t="n">
        <f aca="false">Z5099*$M5099</f>
        <v>0</v>
      </c>
      <c r="AB5099" s="28"/>
      <c r="AC5099" s="28" t="n">
        <f aca="false">AB5099*$M5099</f>
        <v>0</v>
      </c>
      <c r="AD5099" s="28"/>
      <c r="AE5099" s="28" t="n">
        <f aca="false">AD5099*$M5099</f>
        <v>0</v>
      </c>
      <c r="AF5099" s="28"/>
      <c r="AG5099" s="28" t="n">
        <f aca="false">AF5099*$M5099</f>
        <v>0</v>
      </c>
      <c r="AH5099" s="28"/>
      <c r="AI5099" s="28" t="n">
        <f aca="false">AH5099*$M5099</f>
        <v>0</v>
      </c>
      <c r="AJ5099" s="28"/>
      <c r="AK5099" s="28" t="n">
        <f aca="false">AJ5099*$M5099</f>
        <v>0</v>
      </c>
      <c r="AL5099" s="28"/>
      <c r="AM5099" s="28" t="n">
        <f aca="false">AL5099*$M5099</f>
        <v>0</v>
      </c>
      <c r="AN5099" s="28"/>
      <c r="AO5099" s="28" t="n">
        <f aca="false">AN5099*$M5099</f>
        <v>0</v>
      </c>
      <c r="AP5099" s="28"/>
      <c r="AQ5099" s="28" t="n">
        <f aca="false">AP5099*$M5099</f>
        <v>0</v>
      </c>
      <c r="AR5099" s="28"/>
      <c r="AS5099" s="28" t="n">
        <f aca="false">AR5099*$M5099</f>
        <v>0</v>
      </c>
      <c r="AT5099" s="28"/>
      <c r="AU5099" s="28" t="n">
        <f aca="false">AT5099*$M5099</f>
        <v>0</v>
      </c>
      <c r="AV5099" s="28"/>
      <c r="AW5099" s="28" t="n">
        <f aca="false">AV5099*$M5099</f>
        <v>0</v>
      </c>
      <c r="AX5099" s="28"/>
      <c r="AY5099" s="28" t="n">
        <f aca="false">AX5099*$M5099</f>
        <v>0</v>
      </c>
      <c r="AZ5099" s="30" t="n">
        <f aca="false">2877/100</f>
        <v>28.77</v>
      </c>
      <c r="BA5099" s="11" t="n">
        <v>1007</v>
      </c>
      <c r="BB5099" s="31" t="n">
        <f aca="false">SUM(Q5099,S5099,U5099,W5099,Y5099,AA5099,AC5099,AE5099,AG5099,AI5099,AK5099,AM5099,AO5099,AQ5099,AS5099,AU5099,AW5099,AY5099)</f>
        <v>1007</v>
      </c>
      <c r="BC5099" s="28" t="n">
        <f aca="false">BA5099-BB5099</f>
        <v>0</v>
      </c>
      <c r="BD5099" s="32" t="n">
        <f aca="false">SUM(P5099,R5099,T5099,V5099,X5099,Z5099,AB5099,AD5099,AF5099,AH5099,AJ5099,AL5099,AN5099,AP5099,AR5099,AT5099,AV5099,AX5099)</f>
        <v>28.77</v>
      </c>
      <c r="BE5099" s="33" t="n">
        <f aca="false">AZ5099-BD5099</f>
        <v>0</v>
      </c>
      <c r="BF5099" s="34" t="n">
        <f aca="false">BD5099*M5099</f>
        <v>1006.95</v>
      </c>
      <c r="BG5099" s="35" t="n">
        <f aca="false">BA5099-BF5099</f>
        <v>0.0500000000000682</v>
      </c>
      <c r="BH5099" s="19" t="str">
        <f aca="false">IF(BG5099=0,"",IF(BG5099&lt;&gt;BA5099,"erreur de calcul",IF(BD5099&lt;&gt;0,"pas de prix",IF(M5099&lt;&gt; 0,"pas de quantité","pas de prix, ni de quantité"))))</f>
        <v>erreur de calcul</v>
      </c>
      <c r="BI5099" s="19"/>
    </row>
    <row r="5100" customFormat="false" ht="15" hidden="false" customHeight="false" outlineLevel="0" collapsed="false">
      <c r="A5100" s="0" t="n">
        <v>20</v>
      </c>
      <c r="B5100" s="8" t="s">
        <v>24</v>
      </c>
      <c r="C5100" s="9" t="s">
        <v>25</v>
      </c>
      <c r="D5100" s="9" t="s">
        <v>26</v>
      </c>
      <c r="E5100" s="10" t="n">
        <v>1789</v>
      </c>
      <c r="F5100" s="9" t="s">
        <v>27</v>
      </c>
      <c r="G5100" s="9" t="s">
        <v>27</v>
      </c>
      <c r="H5100" s="11" t="n">
        <v>23</v>
      </c>
      <c r="I5100" s="11" t="s">
        <v>262</v>
      </c>
      <c r="J5100" s="14" t="n">
        <v>40</v>
      </c>
      <c r="K5100" s="14"/>
      <c r="L5100" s="16"/>
      <c r="M5100" s="27" t="n">
        <f aca="false">J5100+(K5100/20)+(L5100/240)</f>
        <v>40</v>
      </c>
      <c r="N5100" s="17" t="s">
        <v>64</v>
      </c>
      <c r="O5100" s="11"/>
      <c r="P5100" s="28"/>
      <c r="Q5100" s="28" t="n">
        <f aca="false">P5100*$M5100</f>
        <v>0</v>
      </c>
      <c r="R5100" s="28"/>
      <c r="S5100" s="28" t="n">
        <f aca="false">R5100*$M5100</f>
        <v>0</v>
      </c>
      <c r="T5100" s="28"/>
      <c r="U5100" s="28" t="n">
        <f aca="false">T5100*$M5100</f>
        <v>0</v>
      </c>
      <c r="V5100" s="28"/>
      <c r="W5100" s="28" t="n">
        <f aca="false">V5100*$M5100</f>
        <v>0</v>
      </c>
      <c r="X5100" s="28"/>
      <c r="Y5100" s="28" t="n">
        <f aca="false">X5100*$M5100</f>
        <v>0</v>
      </c>
      <c r="Z5100" s="28"/>
      <c r="AA5100" s="28" t="n">
        <f aca="false">Z5100*$M5100</f>
        <v>0</v>
      </c>
      <c r="AB5100" s="28"/>
      <c r="AC5100" s="28" t="n">
        <f aca="false">AB5100*$M5100</f>
        <v>0</v>
      </c>
      <c r="AD5100" s="28"/>
      <c r="AE5100" s="28" t="n">
        <f aca="false">AD5100*$M5100</f>
        <v>0</v>
      </c>
      <c r="AF5100" s="28" t="n">
        <f aca="false">108620/100</f>
        <v>1086.2</v>
      </c>
      <c r="AG5100" s="28" t="n">
        <v>43448</v>
      </c>
      <c r="AH5100" s="28"/>
      <c r="AI5100" s="28" t="n">
        <f aca="false">AH5100*$M5100</f>
        <v>0</v>
      </c>
      <c r="AJ5100" s="28"/>
      <c r="AK5100" s="28" t="n">
        <f aca="false">AJ5100*$M5100</f>
        <v>0</v>
      </c>
      <c r="AL5100" s="28"/>
      <c r="AM5100" s="28" t="n">
        <f aca="false">AL5100*$M5100</f>
        <v>0</v>
      </c>
      <c r="AN5100" s="28"/>
      <c r="AO5100" s="28" t="n">
        <f aca="false">AN5100*$M5100</f>
        <v>0</v>
      </c>
      <c r="AP5100" s="28"/>
      <c r="AQ5100" s="28" t="n">
        <f aca="false">AP5100*$M5100</f>
        <v>0</v>
      </c>
      <c r="AR5100" s="28"/>
      <c r="AS5100" s="28" t="n">
        <f aca="false">AR5100*$M5100</f>
        <v>0</v>
      </c>
      <c r="AT5100" s="28"/>
      <c r="AU5100" s="28" t="n">
        <f aca="false">AT5100*$M5100</f>
        <v>0</v>
      </c>
      <c r="AV5100" s="28"/>
      <c r="AW5100" s="28" t="n">
        <f aca="false">AV5100*$M5100</f>
        <v>0</v>
      </c>
      <c r="AX5100" s="28"/>
      <c r="AY5100" s="28" t="n">
        <f aca="false">AX5100*$M5100</f>
        <v>0</v>
      </c>
      <c r="AZ5100" s="30" t="n">
        <f aca="false">108620/100</f>
        <v>1086.2</v>
      </c>
      <c r="BA5100" s="11" t="n">
        <v>43448</v>
      </c>
      <c r="BB5100" s="31" t="n">
        <f aca="false">SUM(Q5100,S5100,U5100,W5100,Y5100,AA5100,AC5100,AE5100,AG5100,AI5100,AK5100,AM5100,AO5100,AQ5100,AS5100,AU5100,AW5100,AY5100)</f>
        <v>43448</v>
      </c>
      <c r="BC5100" s="28" t="n">
        <f aca="false">BA5100-BB5100</f>
        <v>0</v>
      </c>
      <c r="BD5100" s="32" t="n">
        <f aca="false">SUM(P5100,R5100,T5100,V5100,X5100,Z5100,AB5100,AD5100,AF5100,AH5100,AJ5100,AL5100,AN5100,AP5100,AR5100,AT5100,AV5100,AX5100)</f>
        <v>1086.2</v>
      </c>
      <c r="BE5100" s="33" t="n">
        <f aca="false">AZ5100-BD5100</f>
        <v>0</v>
      </c>
      <c r="BF5100" s="34" t="n">
        <f aca="false">BD5100*M5100</f>
        <v>43448</v>
      </c>
      <c r="BG5100" s="35" t="n">
        <f aca="false">BA5100-BF5100</f>
        <v>0</v>
      </c>
      <c r="BH5100" s="19" t="str">
        <f aca="false">IF(BG5100=0,"",IF(BG5100&lt;&gt;BA5100,"erreur de calcul",IF(BD5100&lt;&gt;0,"pas de prix",IF(M5100&lt;&gt; 0,"pas de quantité","pas de prix, ni de quantité"))))</f>
        <v/>
      </c>
      <c r="BI5100" s="19"/>
    </row>
    <row r="5101" customFormat="false" ht="15" hidden="false" customHeight="false" outlineLevel="0" collapsed="false">
      <c r="A5101" s="0" t="n">
        <v>21</v>
      </c>
      <c r="B5101" s="8" t="s">
        <v>24</v>
      </c>
      <c r="C5101" s="9" t="s">
        <v>25</v>
      </c>
      <c r="D5101" s="9" t="s">
        <v>26</v>
      </c>
      <c r="E5101" s="10" t="n">
        <v>1789</v>
      </c>
      <c r="F5101" s="9" t="s">
        <v>27</v>
      </c>
      <c r="G5101" s="9" t="s">
        <v>27</v>
      </c>
      <c r="H5101" s="11" t="n">
        <v>23</v>
      </c>
      <c r="I5101" s="11" t="s">
        <v>263</v>
      </c>
      <c r="J5101" s="14" t="n">
        <v>12</v>
      </c>
      <c r="K5101" s="14"/>
      <c r="L5101" s="16"/>
      <c r="M5101" s="27" t="n">
        <f aca="false">J5101+(K5101/20)+(L5101/240)</f>
        <v>12</v>
      </c>
      <c r="N5101" s="17" t="s">
        <v>64</v>
      </c>
      <c r="O5101" s="11"/>
      <c r="P5101" s="28"/>
      <c r="Q5101" s="28" t="n">
        <f aca="false">P5101*$M5101</f>
        <v>0</v>
      </c>
      <c r="R5101" s="28"/>
      <c r="S5101" s="28" t="n">
        <f aca="false">R5101*$M5101</f>
        <v>0</v>
      </c>
      <c r="T5101" s="28"/>
      <c r="U5101" s="28" t="n">
        <f aca="false">T5101*$M5101</f>
        <v>0</v>
      </c>
      <c r="V5101" s="28"/>
      <c r="W5101" s="28" t="n">
        <f aca="false">V5101*$M5101</f>
        <v>0</v>
      </c>
      <c r="X5101" s="28"/>
      <c r="Y5101" s="28" t="n">
        <f aca="false">X5101*$M5101</f>
        <v>0</v>
      </c>
      <c r="Z5101" s="28"/>
      <c r="AA5101" s="28" t="n">
        <f aca="false">Z5101*$M5101</f>
        <v>0</v>
      </c>
      <c r="AB5101" s="28" t="n">
        <f aca="false">485726/100</f>
        <v>4857.26</v>
      </c>
      <c r="AC5101" s="28" t="n">
        <v>58287</v>
      </c>
      <c r="AD5101" s="28"/>
      <c r="AE5101" s="28" t="n">
        <f aca="false">AD5101*$M5101</f>
        <v>0</v>
      </c>
      <c r="AF5101" s="28"/>
      <c r="AG5101" s="28" t="n">
        <f aca="false">AF5101*$M5101</f>
        <v>0</v>
      </c>
      <c r="AH5101" s="28" t="n">
        <f aca="false">259291/100</f>
        <v>2592.91</v>
      </c>
      <c r="AI5101" s="28" t="n">
        <v>31115</v>
      </c>
      <c r="AJ5101" s="28"/>
      <c r="AK5101" s="28" t="n">
        <f aca="false">AJ5101*$M5101</f>
        <v>0</v>
      </c>
      <c r="AL5101" s="28"/>
      <c r="AM5101" s="28" t="n">
        <f aca="false">AL5101*$M5101</f>
        <v>0</v>
      </c>
      <c r="AN5101" s="28"/>
      <c r="AO5101" s="28" t="n">
        <f aca="false">AN5101*$M5101</f>
        <v>0</v>
      </c>
      <c r="AP5101" s="28"/>
      <c r="AQ5101" s="28" t="n">
        <f aca="false">AP5101*$M5101</f>
        <v>0</v>
      </c>
      <c r="AR5101" s="28"/>
      <c r="AS5101" s="28" t="n">
        <f aca="false">AR5101*$M5101</f>
        <v>0</v>
      </c>
      <c r="AT5101" s="28"/>
      <c r="AU5101" s="28" t="n">
        <f aca="false">AT5101*$M5101</f>
        <v>0</v>
      </c>
      <c r="AV5101" s="28"/>
      <c r="AW5101" s="28" t="n">
        <f aca="false">AV5101*$M5101</f>
        <v>0</v>
      </c>
      <c r="AX5101" s="28"/>
      <c r="AY5101" s="28" t="n">
        <f aca="false">AX5101*$M5101</f>
        <v>0</v>
      </c>
      <c r="AZ5101" s="30" t="n">
        <f aca="false">745017/100</f>
        <v>7450.17</v>
      </c>
      <c r="BA5101" s="11" t="n">
        <v>89402</v>
      </c>
      <c r="BB5101" s="31" t="n">
        <f aca="false">SUM(Q5101,S5101,U5101,W5101,Y5101,AA5101,AC5101,AE5101,AG5101,AI5101,AK5101,AM5101,AO5101,AQ5101,AS5101,AU5101,AW5101,AY5101)</f>
        <v>89402</v>
      </c>
      <c r="BC5101" s="28" t="n">
        <f aca="false">BA5101-BB5101</f>
        <v>0</v>
      </c>
      <c r="BD5101" s="32" t="n">
        <f aca="false">SUM(P5101,R5101,T5101,V5101,X5101,Z5101,AB5101,AD5101,AF5101,AH5101,AJ5101,AL5101,AN5101,AP5101,AR5101,AT5101,AV5101,AX5101)</f>
        <v>7450.17</v>
      </c>
      <c r="BE5101" s="33" t="n">
        <f aca="false">AZ5101-BD5101</f>
        <v>0</v>
      </c>
      <c r="BF5101" s="34" t="n">
        <f aca="false">BD5101*M5101</f>
        <v>89402.04</v>
      </c>
      <c r="BG5101" s="35" t="n">
        <f aca="false">BA5101-BF5101</f>
        <v>-0.0400000000081491</v>
      </c>
      <c r="BH5101" s="19" t="str">
        <f aca="false">IF(BG5101=0,"",IF(BG5101&lt;&gt;BA5101,"erreur de calcul",IF(BD5101&lt;&gt;0,"pas de prix",IF(M5101&lt;&gt; 0,"pas de quantité","pas de prix, ni de quantité"))))</f>
        <v>erreur de calcul</v>
      </c>
      <c r="BI5101" s="19"/>
    </row>
    <row r="5102" customFormat="false" ht="15" hidden="false" customHeight="false" outlineLevel="0" collapsed="false">
      <c r="A5102" s="0" t="n">
        <v>22</v>
      </c>
      <c r="B5102" s="8" t="s">
        <v>24</v>
      </c>
      <c r="C5102" s="9" t="s">
        <v>25</v>
      </c>
      <c r="D5102" s="9" t="s">
        <v>26</v>
      </c>
      <c r="E5102" s="10" t="n">
        <v>1789</v>
      </c>
      <c r="F5102" s="9" t="s">
        <v>27</v>
      </c>
      <c r="G5102" s="9" t="s">
        <v>27</v>
      </c>
      <c r="H5102" s="11" t="n">
        <v>23</v>
      </c>
      <c r="I5102" s="11" t="s">
        <v>264</v>
      </c>
      <c r="J5102" s="14" t="n">
        <v>15</v>
      </c>
      <c r="K5102" s="14"/>
      <c r="L5102" s="16"/>
      <c r="M5102" s="27" t="n">
        <f aca="false">J5102+(K5102/20)+(L5102/240)</f>
        <v>15</v>
      </c>
      <c r="N5102" s="17" t="s">
        <v>64</v>
      </c>
      <c r="O5102" s="11"/>
      <c r="P5102" s="28"/>
      <c r="Q5102" s="28" t="n">
        <f aca="false">P5102*$M5102</f>
        <v>0</v>
      </c>
      <c r="R5102" s="28"/>
      <c r="S5102" s="28" t="n">
        <f aca="false">R5102*$M5102</f>
        <v>0</v>
      </c>
      <c r="T5102" s="28"/>
      <c r="U5102" s="28" t="n">
        <f aca="false">T5102*$M5102</f>
        <v>0</v>
      </c>
      <c r="V5102" s="28"/>
      <c r="W5102" s="28" t="n">
        <f aca="false">V5102*$M5102</f>
        <v>0</v>
      </c>
      <c r="X5102" s="28" t="n">
        <f aca="false">65502/100</f>
        <v>655.02</v>
      </c>
      <c r="Y5102" s="28" t="n">
        <v>9825</v>
      </c>
      <c r="Z5102" s="28"/>
      <c r="AA5102" s="28" t="n">
        <f aca="false">Z5102*$M5102</f>
        <v>0</v>
      </c>
      <c r="AB5102" s="28" t="n">
        <f aca="false">207046/100</f>
        <v>2070.46</v>
      </c>
      <c r="AC5102" s="28" t="n">
        <v>31057</v>
      </c>
      <c r="AD5102" s="28"/>
      <c r="AE5102" s="28" t="n">
        <f aca="false">AD5102*$M5102</f>
        <v>0</v>
      </c>
      <c r="AF5102" s="28"/>
      <c r="AG5102" s="28" t="n">
        <f aca="false">AF5102*$M5102</f>
        <v>0</v>
      </c>
      <c r="AH5102" s="28" t="n">
        <f aca="false">11048/100</f>
        <v>110.48</v>
      </c>
      <c r="AI5102" s="28" t="n">
        <v>1657</v>
      </c>
      <c r="AJ5102" s="28"/>
      <c r="AK5102" s="28" t="n">
        <f aca="false">AJ5102*$M5102</f>
        <v>0</v>
      </c>
      <c r="AL5102" s="28"/>
      <c r="AM5102" s="28" t="n">
        <f aca="false">AL5102*$M5102</f>
        <v>0</v>
      </c>
      <c r="AN5102" s="28"/>
      <c r="AO5102" s="28" t="n">
        <f aca="false">AN5102*$M5102</f>
        <v>0</v>
      </c>
      <c r="AP5102" s="28"/>
      <c r="AQ5102" s="28" t="n">
        <f aca="false">AP5102*$M5102</f>
        <v>0</v>
      </c>
      <c r="AR5102" s="28"/>
      <c r="AS5102" s="28" t="n">
        <f aca="false">AR5102*$M5102</f>
        <v>0</v>
      </c>
      <c r="AT5102" s="28"/>
      <c r="AU5102" s="28" t="n">
        <f aca="false">AT5102*$M5102</f>
        <v>0</v>
      </c>
      <c r="AV5102" s="28"/>
      <c r="AW5102" s="28" t="n">
        <f aca="false">AV5102*$M5102</f>
        <v>0</v>
      </c>
      <c r="AX5102" s="28"/>
      <c r="AY5102" s="28" t="n">
        <f aca="false">AX5102*$M5102</f>
        <v>0</v>
      </c>
      <c r="AZ5102" s="30" t="n">
        <f aca="false">283596/100</f>
        <v>2835.96</v>
      </c>
      <c r="BA5102" s="11" t="n">
        <v>42539</v>
      </c>
      <c r="BB5102" s="31" t="n">
        <f aca="false">SUM(Q5102,S5102,U5102,W5102,Y5102,AA5102,AC5102,AE5102,AG5102,AI5102,AK5102,AM5102,AO5102,AQ5102,AS5102,AU5102,AW5102,AY5102)</f>
        <v>42539</v>
      </c>
      <c r="BC5102" s="28" t="n">
        <f aca="false">BA5102-BB5102</f>
        <v>0</v>
      </c>
      <c r="BD5102" s="32" t="n">
        <f aca="false">SUM(P5102,R5102,T5102,V5102,X5102,Z5102,AB5102,AD5102,AF5102,AH5102,AJ5102,AL5102,AN5102,AP5102,AR5102,AT5102,AV5102,AX5102)</f>
        <v>2835.96</v>
      </c>
      <c r="BE5102" s="33" t="n">
        <f aca="false">AZ5102-BD5102</f>
        <v>0</v>
      </c>
      <c r="BF5102" s="34" t="n">
        <f aca="false">BD5102*M5102</f>
        <v>42539.4</v>
      </c>
      <c r="BG5102" s="35" t="n">
        <f aca="false">BA5102-BF5102</f>
        <v>-0.400000000001455</v>
      </c>
      <c r="BH5102" s="19" t="str">
        <f aca="false">IF(BG5102=0,"",IF(BG5102&lt;&gt;BA5102,"erreur de calcul",IF(BD5102&lt;&gt;0,"pas de prix",IF(M5102&lt;&gt; 0,"pas de quantité","pas de prix, ni de quantité"))))</f>
        <v>erreur de calcul</v>
      </c>
      <c r="BI5102" s="19"/>
    </row>
    <row r="5103" customFormat="false" ht="15" hidden="false" customHeight="false" outlineLevel="0" collapsed="false">
      <c r="A5103" s="0" t="n">
        <v>23</v>
      </c>
      <c r="B5103" s="8" t="s">
        <v>24</v>
      </c>
      <c r="C5103" s="9" t="s">
        <v>25</v>
      </c>
      <c r="D5103" s="9" t="s">
        <v>26</v>
      </c>
      <c r="E5103" s="10" t="n">
        <v>1789</v>
      </c>
      <c r="F5103" s="9" t="s">
        <v>27</v>
      </c>
      <c r="G5103" s="9" t="s">
        <v>27</v>
      </c>
      <c r="H5103" s="11" t="n">
        <v>23</v>
      </c>
      <c r="I5103" s="11" t="s">
        <v>265</v>
      </c>
      <c r="J5103" s="14"/>
      <c r="K5103" s="14" t="n">
        <v>40</v>
      </c>
      <c r="L5103" s="16"/>
      <c r="M5103" s="27" t="n">
        <f aca="false">J5103+(K5103/20)+(L5103/240)</f>
        <v>2</v>
      </c>
      <c r="N5103" s="17" t="s">
        <v>66</v>
      </c>
      <c r="O5103" s="11"/>
      <c r="P5103" s="28"/>
      <c r="Q5103" s="28" t="n">
        <f aca="false">P5103*$M5103</f>
        <v>0</v>
      </c>
      <c r="R5103" s="28"/>
      <c r="S5103" s="28" t="n">
        <f aca="false">R5103*$M5103</f>
        <v>0</v>
      </c>
      <c r="T5103" s="28"/>
      <c r="U5103" s="28" t="n">
        <f aca="false">T5103*$M5103</f>
        <v>0</v>
      </c>
      <c r="V5103" s="28" t="n">
        <v>6275</v>
      </c>
      <c r="W5103" s="28" t="n">
        <v>12550</v>
      </c>
      <c r="X5103" s="28" t="n">
        <v>8662</v>
      </c>
      <c r="Y5103" s="28" t="n">
        <v>17324</v>
      </c>
      <c r="Z5103" s="28"/>
      <c r="AA5103" s="28" t="n">
        <f aca="false">Z5103*$M5103</f>
        <v>0</v>
      </c>
      <c r="AB5103" s="28" t="n">
        <v>2196</v>
      </c>
      <c r="AC5103" s="28" t="n">
        <v>4392</v>
      </c>
      <c r="AD5103" s="28"/>
      <c r="AE5103" s="28" t="n">
        <f aca="false">AD5103*$M5103</f>
        <v>0</v>
      </c>
      <c r="AF5103" s="28"/>
      <c r="AG5103" s="28" t="n">
        <f aca="false">AF5103*$M5103</f>
        <v>0</v>
      </c>
      <c r="AH5103" s="28"/>
      <c r="AI5103" s="28" t="n">
        <f aca="false">AH5103*$M5103</f>
        <v>0</v>
      </c>
      <c r="AJ5103" s="28"/>
      <c r="AK5103" s="28" t="n">
        <f aca="false">AJ5103*$M5103</f>
        <v>0</v>
      </c>
      <c r="AL5103" s="28"/>
      <c r="AM5103" s="28" t="n">
        <f aca="false">AL5103*$M5103</f>
        <v>0</v>
      </c>
      <c r="AN5103" s="28"/>
      <c r="AO5103" s="28" t="n">
        <f aca="false">AN5103*$M5103</f>
        <v>0</v>
      </c>
      <c r="AP5103" s="28"/>
      <c r="AQ5103" s="28" t="n">
        <f aca="false">AP5103*$M5103</f>
        <v>0</v>
      </c>
      <c r="AR5103" s="28"/>
      <c r="AS5103" s="28" t="n">
        <f aca="false">AR5103*$M5103</f>
        <v>0</v>
      </c>
      <c r="AT5103" s="28"/>
      <c r="AU5103" s="28" t="n">
        <f aca="false">AT5103*$M5103</f>
        <v>0</v>
      </c>
      <c r="AV5103" s="28"/>
      <c r="AW5103" s="28" t="n">
        <f aca="false">AV5103*$M5103</f>
        <v>0</v>
      </c>
      <c r="AX5103" s="28"/>
      <c r="AY5103" s="28" t="n">
        <f aca="false">AX5103*$M5103</f>
        <v>0</v>
      </c>
      <c r="AZ5103" s="30" t="n">
        <v>17133</v>
      </c>
      <c r="BA5103" s="11" t="n">
        <v>34266</v>
      </c>
      <c r="BB5103" s="31" t="n">
        <f aca="false">SUM(Q5103,S5103,U5103,W5103,Y5103,AA5103,AC5103,AE5103,AG5103,AI5103,AK5103,AM5103,AO5103,AQ5103,AS5103,AU5103,AW5103,AY5103)</f>
        <v>34266</v>
      </c>
      <c r="BC5103" s="28" t="n">
        <f aca="false">BA5103-BB5103</f>
        <v>0</v>
      </c>
      <c r="BD5103" s="32" t="n">
        <f aca="false">SUM(P5103,R5103,T5103,V5103,X5103,Z5103,AB5103,AD5103,AF5103,AH5103,AJ5103,AL5103,AN5103,AP5103,AR5103,AT5103,AV5103,AX5103)</f>
        <v>17133</v>
      </c>
      <c r="BE5103" s="33" t="n">
        <f aca="false">AZ5103-BD5103</f>
        <v>0</v>
      </c>
      <c r="BF5103" s="34" t="n">
        <f aca="false">BD5103*M5103</f>
        <v>34266</v>
      </c>
      <c r="BG5103" s="35" t="n">
        <f aca="false">BA5103-BF5103</f>
        <v>0</v>
      </c>
      <c r="BH5103" s="19" t="str">
        <f aca="false">IF(BG5103=0,"",IF(BG5103&lt;&gt;BA5103,"erreur de calcul",IF(BD5103&lt;&gt;0,"pas de prix",IF(M5103&lt;&gt; 0,"pas de quantité","pas de prix, ni de quantité"))))</f>
        <v/>
      </c>
      <c r="BI5103" s="19"/>
    </row>
    <row r="5104" customFormat="false" ht="15" hidden="false" customHeight="false" outlineLevel="0" collapsed="false">
      <c r="A5104" s="0" t="n">
        <v>24</v>
      </c>
      <c r="B5104" s="8" t="s">
        <v>24</v>
      </c>
      <c r="C5104" s="9" t="s">
        <v>25</v>
      </c>
      <c r="D5104" s="9" t="s">
        <v>26</v>
      </c>
      <c r="E5104" s="10" t="n">
        <v>1789</v>
      </c>
      <c r="F5104" s="9" t="s">
        <v>27</v>
      </c>
      <c r="G5104" s="9" t="s">
        <v>27</v>
      </c>
      <c r="H5104" s="11" t="n">
        <v>23</v>
      </c>
      <c r="I5104" s="11" t="s">
        <v>266</v>
      </c>
      <c r="J5104" s="14" t="n">
        <v>17</v>
      </c>
      <c r="K5104" s="14" t="n">
        <v>10</v>
      </c>
      <c r="L5104" s="16"/>
      <c r="M5104" s="27" t="n">
        <f aca="false">J5104+(K5104/20)+(L5104/240)</f>
        <v>17.5</v>
      </c>
      <c r="N5104" s="17" t="s">
        <v>64</v>
      </c>
      <c r="O5104" s="11"/>
      <c r="P5104" s="28" t="n">
        <f aca="false">147621/100</f>
        <v>1476.21</v>
      </c>
      <c r="Q5104" s="28" t="n">
        <v>25834</v>
      </c>
      <c r="R5104" s="28"/>
      <c r="S5104" s="28" t="n">
        <f aca="false">R5104*$M5104</f>
        <v>0</v>
      </c>
      <c r="T5104" s="28"/>
      <c r="U5104" s="28" t="n">
        <f aca="false">T5104*$M5104</f>
        <v>0</v>
      </c>
      <c r="V5104" s="28"/>
      <c r="W5104" s="28" t="n">
        <f aca="false">V5104*$M5104</f>
        <v>0</v>
      </c>
      <c r="X5104" s="28" t="n">
        <f aca="false">7220/100</f>
        <v>72.2</v>
      </c>
      <c r="Y5104" s="28" t="n">
        <v>1263</v>
      </c>
      <c r="Z5104" s="28"/>
      <c r="AA5104" s="28" t="n">
        <f aca="false">Z5104*$M5104</f>
        <v>0</v>
      </c>
      <c r="AB5104" s="28" t="n">
        <f aca="false">524444/100</f>
        <v>5244.44</v>
      </c>
      <c r="AC5104" s="36" t="n">
        <v>91767</v>
      </c>
      <c r="AD5104" s="28"/>
      <c r="AE5104" s="28" t="n">
        <f aca="false">AD5104*$M5104</f>
        <v>0</v>
      </c>
      <c r="AF5104" s="28"/>
      <c r="AG5104" s="28" t="n">
        <f aca="false">AF5104*$M5104</f>
        <v>0</v>
      </c>
      <c r="AH5104" s="28" t="n">
        <f aca="false">124394/100</f>
        <v>1243.94</v>
      </c>
      <c r="AI5104" s="28" t="n">
        <v>21769</v>
      </c>
      <c r="AJ5104" s="28"/>
      <c r="AK5104" s="28" t="n">
        <f aca="false">AJ5104*$M5104</f>
        <v>0</v>
      </c>
      <c r="AL5104" s="28"/>
      <c r="AM5104" s="28" t="n">
        <f aca="false">AL5104*$M5104</f>
        <v>0</v>
      </c>
      <c r="AN5104" s="28"/>
      <c r="AO5104" s="28" t="n">
        <f aca="false">AN5104*$M5104</f>
        <v>0</v>
      </c>
      <c r="AP5104" s="28"/>
      <c r="AQ5104" s="28" t="n">
        <f aca="false">AP5104*$M5104</f>
        <v>0</v>
      </c>
      <c r="AR5104" s="28"/>
      <c r="AS5104" s="28" t="n">
        <f aca="false">AR5104*$M5104</f>
        <v>0</v>
      </c>
      <c r="AT5104" s="28"/>
      <c r="AU5104" s="28" t="n">
        <f aca="false">AT5104*$M5104</f>
        <v>0</v>
      </c>
      <c r="AV5104" s="28"/>
      <c r="AW5104" s="28" t="n">
        <f aca="false">AV5104*$M5104</f>
        <v>0</v>
      </c>
      <c r="AX5104" s="28"/>
      <c r="AY5104" s="28" t="n">
        <f aca="false">AX5104*$M5104</f>
        <v>0</v>
      </c>
      <c r="AZ5104" s="30" t="n">
        <f aca="false">803679/100</f>
        <v>8036.79</v>
      </c>
      <c r="BA5104" s="11" t="n">
        <v>140633</v>
      </c>
      <c r="BB5104" s="31" t="n">
        <f aca="false">SUM(Q5104,S5104,U5104,W5104,Y5104,AA5104,AC5104,AE5104,AG5104,AI5104,AK5104,AM5104,AO5104,AQ5104,AS5104,AU5104,AW5104,AY5104)</f>
        <v>140633</v>
      </c>
      <c r="BC5104" s="28" t="n">
        <f aca="false">BA5104-BB5104</f>
        <v>0</v>
      </c>
      <c r="BD5104" s="32" t="n">
        <f aca="false">SUM(P5104,R5104,T5104,V5104,X5104,Z5104,AB5104,AD5104,AF5104,AH5104,AJ5104,AL5104,AN5104,AP5104,AR5104,AT5104,AV5104,AX5104)</f>
        <v>8036.79</v>
      </c>
      <c r="BE5104" s="33" t="n">
        <f aca="false">AZ5104-BD5104</f>
        <v>0</v>
      </c>
      <c r="BF5104" s="34" t="n">
        <f aca="false">BD5104*M5104</f>
        <v>140643.825</v>
      </c>
      <c r="BG5104" s="35" t="n">
        <f aca="false">BA5104-BF5104</f>
        <v>-10.8249999999825</v>
      </c>
      <c r="BH5104" s="19" t="str">
        <f aca="false">IF(BG5104=0,"",IF(BG5104&lt;&gt;BA5104,"erreur de calcul",IF(BD5104&lt;&gt;0,"pas de prix",IF(M5104&lt;&gt; 0,"pas de quantité","pas de prix, ni de quantité"))))</f>
        <v>erreur de calcul</v>
      </c>
      <c r="BI5104" s="19"/>
    </row>
    <row r="5105" customFormat="false" ht="15" hidden="false" customHeight="false" outlineLevel="0" collapsed="false">
      <c r="A5105" s="0" t="n">
        <v>25</v>
      </c>
      <c r="B5105" s="8" t="s">
        <v>24</v>
      </c>
      <c r="C5105" s="9" t="s">
        <v>25</v>
      </c>
      <c r="D5105" s="9" t="s">
        <v>26</v>
      </c>
      <c r="E5105" s="10" t="n">
        <v>1789</v>
      </c>
      <c r="F5105" s="9" t="s">
        <v>27</v>
      </c>
      <c r="G5105" s="9" t="s">
        <v>27</v>
      </c>
      <c r="H5105" s="11" t="n">
        <v>23</v>
      </c>
      <c r="I5105" s="11" t="s">
        <v>267</v>
      </c>
      <c r="J5105" s="14" t="n">
        <v>25</v>
      </c>
      <c r="K5105" s="14"/>
      <c r="L5105" s="16"/>
      <c r="M5105" s="27" t="n">
        <f aca="false">J5105+(K5105/20)+(L5105/240)</f>
        <v>25</v>
      </c>
      <c r="N5105" s="17" t="s">
        <v>64</v>
      </c>
      <c r="O5105" s="11"/>
      <c r="P5105" s="28"/>
      <c r="Q5105" s="28" t="n">
        <f aca="false">P5105*$M5105</f>
        <v>0</v>
      </c>
      <c r="R5105" s="28"/>
      <c r="S5105" s="28" t="n">
        <f aca="false">R5105*$M5105</f>
        <v>0</v>
      </c>
      <c r="T5105" s="28"/>
      <c r="U5105" s="28" t="n">
        <f aca="false">T5105*$M5105</f>
        <v>0</v>
      </c>
      <c r="V5105" s="28"/>
      <c r="W5105" s="28" t="n">
        <f aca="false">V5105*$M5105</f>
        <v>0</v>
      </c>
      <c r="X5105" s="28"/>
      <c r="Y5105" s="28" t="n">
        <f aca="false">X5105*$M5105</f>
        <v>0</v>
      </c>
      <c r="Z5105" s="28"/>
      <c r="AA5105" s="28" t="n">
        <f aca="false">Z5105*$M5105</f>
        <v>0</v>
      </c>
      <c r="AB5105" s="28" t="n">
        <f aca="false">136004/100</f>
        <v>1360.04</v>
      </c>
      <c r="AC5105" s="28" t="n">
        <v>34001</v>
      </c>
      <c r="AD5105" s="28"/>
      <c r="AE5105" s="28" t="n">
        <f aca="false">AD5105*$M5105</f>
        <v>0</v>
      </c>
      <c r="AF5105" s="28"/>
      <c r="AG5105" s="28" t="n">
        <f aca="false">AF5105*$M5105</f>
        <v>0</v>
      </c>
      <c r="AH5105" s="28" t="n">
        <f aca="false">173052/100</f>
        <v>1730.52</v>
      </c>
      <c r="AI5105" s="28" t="n">
        <v>43263</v>
      </c>
      <c r="AJ5105" s="28"/>
      <c r="AK5105" s="28" t="n">
        <f aca="false">AJ5105*$M5105</f>
        <v>0</v>
      </c>
      <c r="AL5105" s="28"/>
      <c r="AM5105" s="28" t="n">
        <f aca="false">AL5105*$M5105</f>
        <v>0</v>
      </c>
      <c r="AN5105" s="28"/>
      <c r="AO5105" s="28" t="n">
        <f aca="false">AN5105*$M5105</f>
        <v>0</v>
      </c>
      <c r="AP5105" s="28"/>
      <c r="AQ5105" s="28" t="n">
        <f aca="false">AP5105*$M5105</f>
        <v>0</v>
      </c>
      <c r="AR5105" s="28"/>
      <c r="AS5105" s="28" t="n">
        <f aca="false">AR5105*$M5105</f>
        <v>0</v>
      </c>
      <c r="AT5105" s="28"/>
      <c r="AU5105" s="28" t="n">
        <f aca="false">AT5105*$M5105</f>
        <v>0</v>
      </c>
      <c r="AV5105" s="28"/>
      <c r="AW5105" s="28" t="n">
        <f aca="false">AV5105*$M5105</f>
        <v>0</v>
      </c>
      <c r="AX5105" s="28"/>
      <c r="AY5105" s="28" t="n">
        <f aca="false">AX5105*$M5105</f>
        <v>0</v>
      </c>
      <c r="AZ5105" s="30" t="n">
        <f aca="false">309056/100</f>
        <v>3090.56</v>
      </c>
      <c r="BA5105" s="11" t="n">
        <v>77264</v>
      </c>
      <c r="BB5105" s="31" t="n">
        <f aca="false">SUM(Q5105,S5105,U5105,W5105,Y5105,AA5105,AC5105,AE5105,AG5105,AI5105,AK5105,AM5105,AO5105,AQ5105,AS5105,AU5105,AW5105,AY5105)</f>
        <v>77264</v>
      </c>
      <c r="BC5105" s="28" t="n">
        <f aca="false">BA5105-BB5105</f>
        <v>0</v>
      </c>
      <c r="BD5105" s="32" t="n">
        <f aca="false">SUM(P5105,R5105,T5105,V5105,X5105,Z5105,AB5105,AD5105,AF5105,AH5105,AJ5105,AL5105,AN5105,AP5105,AR5105,AT5105,AV5105,AX5105)</f>
        <v>3090.56</v>
      </c>
      <c r="BE5105" s="33" t="n">
        <f aca="false">AZ5105-BD5105</f>
        <v>0</v>
      </c>
      <c r="BF5105" s="34" t="n">
        <f aca="false">BD5105*M5105</f>
        <v>77264</v>
      </c>
      <c r="BG5105" s="35" t="n">
        <f aca="false">BA5105-BF5105</f>
        <v>0</v>
      </c>
      <c r="BH5105" s="19" t="str">
        <f aca="false">IF(BG5105=0,"",IF(BG5105&lt;&gt;BA5105,"erreur de calcul",IF(BD5105&lt;&gt;0,"pas de prix",IF(M5105&lt;&gt; 0,"pas de quantité","pas de prix, ni de quantité"))))</f>
        <v/>
      </c>
      <c r="BI5105" s="19"/>
    </row>
    <row r="5106" customFormat="false" ht="15" hidden="false" customHeight="false" outlineLevel="0" collapsed="false">
      <c r="A5106" s="0" t="n">
        <v>26</v>
      </c>
      <c r="B5106" s="8" t="s">
        <v>24</v>
      </c>
      <c r="C5106" s="9" t="s">
        <v>25</v>
      </c>
      <c r="D5106" s="9" t="s">
        <v>26</v>
      </c>
      <c r="E5106" s="10" t="n">
        <v>1789</v>
      </c>
      <c r="F5106" s="9" t="s">
        <v>27</v>
      </c>
      <c r="G5106" s="9" t="s">
        <v>27</v>
      </c>
      <c r="H5106" s="11" t="n">
        <v>23</v>
      </c>
      <c r="I5106" s="11" t="s">
        <v>268</v>
      </c>
      <c r="J5106" s="14" t="n">
        <v>8</v>
      </c>
      <c r="K5106" s="14"/>
      <c r="L5106" s="16"/>
      <c r="M5106" s="27" t="n">
        <f aca="false">J5106+(K5106/20)+(L5106/240)</f>
        <v>8</v>
      </c>
      <c r="N5106" s="17" t="s">
        <v>64</v>
      </c>
      <c r="O5106" s="11"/>
      <c r="P5106" s="28"/>
      <c r="Q5106" s="28" t="n">
        <f aca="false">P5106*$M5106</f>
        <v>0</v>
      </c>
      <c r="R5106" s="28"/>
      <c r="S5106" s="28" t="n">
        <f aca="false">R5106*$M5106</f>
        <v>0</v>
      </c>
      <c r="T5106" s="28" t="n">
        <f aca="false">260752/100</f>
        <v>2607.52</v>
      </c>
      <c r="U5106" s="28" t="n">
        <v>20860</v>
      </c>
      <c r="V5106" s="28" t="n">
        <f aca="false">170453/100</f>
        <v>1704.53</v>
      </c>
      <c r="W5106" s="28" t="n">
        <v>13636</v>
      </c>
      <c r="X5106" s="28"/>
      <c r="Y5106" s="28" t="n">
        <f aca="false">X5106*$M5106</f>
        <v>0</v>
      </c>
      <c r="Z5106" s="28"/>
      <c r="AA5106" s="28" t="n">
        <f aca="false">Z5106*$M5106</f>
        <v>0</v>
      </c>
      <c r="AB5106" s="28"/>
      <c r="AC5106" s="28" t="n">
        <f aca="false">AB5106*$M5106</f>
        <v>0</v>
      </c>
      <c r="AD5106" s="28"/>
      <c r="AE5106" s="28" t="n">
        <f aca="false">AD5106*$M5106</f>
        <v>0</v>
      </c>
      <c r="AF5106" s="28"/>
      <c r="AG5106" s="28" t="n">
        <f aca="false">AF5106*$M5106</f>
        <v>0</v>
      </c>
      <c r="AH5106" s="28"/>
      <c r="AI5106" s="28" t="n">
        <f aca="false">AH5106*$M5106</f>
        <v>0</v>
      </c>
      <c r="AJ5106" s="28"/>
      <c r="AK5106" s="28" t="n">
        <f aca="false">AJ5106*$M5106</f>
        <v>0</v>
      </c>
      <c r="AL5106" s="28"/>
      <c r="AM5106" s="28" t="n">
        <f aca="false">AL5106*$M5106</f>
        <v>0</v>
      </c>
      <c r="AN5106" s="28"/>
      <c r="AO5106" s="28" t="n">
        <f aca="false">AN5106*$M5106</f>
        <v>0</v>
      </c>
      <c r="AP5106" s="28"/>
      <c r="AQ5106" s="28" t="n">
        <f aca="false">AP5106*$M5106</f>
        <v>0</v>
      </c>
      <c r="AR5106" s="28"/>
      <c r="AS5106" s="28" t="n">
        <f aca="false">AR5106*$M5106</f>
        <v>0</v>
      </c>
      <c r="AT5106" s="28"/>
      <c r="AU5106" s="28" t="n">
        <f aca="false">AT5106*$M5106</f>
        <v>0</v>
      </c>
      <c r="AV5106" s="28"/>
      <c r="AW5106" s="28" t="n">
        <f aca="false">AV5106*$M5106</f>
        <v>0</v>
      </c>
      <c r="AX5106" s="28"/>
      <c r="AY5106" s="28" t="n">
        <f aca="false">AX5106*$M5106</f>
        <v>0</v>
      </c>
      <c r="AZ5106" s="30" t="n">
        <f aca="false">431205/100</f>
        <v>4312.05</v>
      </c>
      <c r="BA5106" s="11" t="n">
        <v>34496</v>
      </c>
      <c r="BB5106" s="31" t="n">
        <f aca="false">SUM(Q5106,S5106,U5106,W5106,Y5106,AA5106,AC5106,AE5106,AG5106,AI5106,AK5106,AM5106,AO5106,AQ5106,AS5106,AU5106,AW5106,AY5106)</f>
        <v>34496</v>
      </c>
      <c r="BC5106" s="28" t="n">
        <f aca="false">BA5106-BB5106</f>
        <v>0</v>
      </c>
      <c r="BD5106" s="32" t="n">
        <f aca="false">SUM(P5106,R5106,T5106,V5106,X5106,Z5106,AB5106,AD5106,AF5106,AH5106,AJ5106,AL5106,AN5106,AP5106,AR5106,AT5106,AV5106,AX5106)</f>
        <v>4312.05</v>
      </c>
      <c r="BE5106" s="33" t="n">
        <f aca="false">AZ5106-BD5106</f>
        <v>0</v>
      </c>
      <c r="BF5106" s="34" t="n">
        <f aca="false">BD5106*M5106</f>
        <v>34496.4</v>
      </c>
      <c r="BG5106" s="35" t="n">
        <f aca="false">BA5106-BF5106</f>
        <v>-0.400000000001455</v>
      </c>
      <c r="BH5106" s="19" t="str">
        <f aca="false">IF(BG5106=0,"",IF(BG5106&lt;&gt;BA5106,"erreur de calcul",IF(BD5106&lt;&gt;0,"pas de prix",IF(M5106&lt;&gt; 0,"pas de quantité","pas de prix, ni de quantité"))))</f>
        <v>erreur de calcul</v>
      </c>
      <c r="BI5106" s="19"/>
    </row>
    <row r="5107" customFormat="false" ht="15" hidden="false" customHeight="false" outlineLevel="0" collapsed="false">
      <c r="A5107" s="0" t="n">
        <v>27</v>
      </c>
      <c r="B5107" s="8" t="s">
        <v>24</v>
      </c>
      <c r="C5107" s="9" t="s">
        <v>25</v>
      </c>
      <c r="D5107" s="9" t="s">
        <v>26</v>
      </c>
      <c r="E5107" s="10" t="n">
        <v>1789</v>
      </c>
      <c r="F5107" s="9" t="s">
        <v>27</v>
      </c>
      <c r="G5107" s="9" t="s">
        <v>27</v>
      </c>
      <c r="H5107" s="11" t="n">
        <v>23</v>
      </c>
      <c r="I5107" s="11" t="s">
        <v>269</v>
      </c>
      <c r="J5107" s="14"/>
      <c r="K5107" s="14" t="n">
        <v>50</v>
      </c>
      <c r="L5107" s="16"/>
      <c r="M5107" s="27" t="n">
        <f aca="false">J5107+(K5107/20)+(L5107/240)</f>
        <v>2.5</v>
      </c>
      <c r="N5107" s="17" t="s">
        <v>85</v>
      </c>
      <c r="O5107" s="11"/>
      <c r="P5107" s="28"/>
      <c r="Q5107" s="28" t="n">
        <f aca="false">P5107*$M5107</f>
        <v>0</v>
      </c>
      <c r="R5107" s="28"/>
      <c r="S5107" s="28" t="n">
        <f aca="false">R5107*$M5107</f>
        <v>0</v>
      </c>
      <c r="T5107" s="28" t="n">
        <f aca="false">221150/100</f>
        <v>2211.5</v>
      </c>
      <c r="U5107" s="28" t="n">
        <v>5529</v>
      </c>
      <c r="V5107" s="28" t="n">
        <f aca="false">3922156/100</f>
        <v>39221.56</v>
      </c>
      <c r="W5107" s="28" t="n">
        <v>98054</v>
      </c>
      <c r="X5107" s="28"/>
      <c r="Y5107" s="28" t="n">
        <f aca="false">X5107*$M5107</f>
        <v>0</v>
      </c>
      <c r="Z5107" s="28"/>
      <c r="AA5107" s="28" t="n">
        <f aca="false">Z5107*$M5107</f>
        <v>0</v>
      </c>
      <c r="AB5107" s="28" t="n">
        <f aca="false">297900/100</f>
        <v>2979</v>
      </c>
      <c r="AC5107" s="28" t="n">
        <v>7447</v>
      </c>
      <c r="AD5107" s="28"/>
      <c r="AE5107" s="28" t="n">
        <f aca="false">AD5107*$M5107</f>
        <v>0</v>
      </c>
      <c r="AF5107" s="28"/>
      <c r="AG5107" s="28" t="n">
        <f aca="false">AF5107*$M5107</f>
        <v>0</v>
      </c>
      <c r="AH5107" s="28"/>
      <c r="AI5107" s="28" t="n">
        <f aca="false">AH5107*$M5107</f>
        <v>0</v>
      </c>
      <c r="AJ5107" s="28"/>
      <c r="AK5107" s="28" t="n">
        <f aca="false">AJ5107*$M5107</f>
        <v>0</v>
      </c>
      <c r="AL5107" s="28"/>
      <c r="AM5107" s="28" t="n">
        <f aca="false">AL5107*$M5107</f>
        <v>0</v>
      </c>
      <c r="AN5107" s="28"/>
      <c r="AO5107" s="28" t="n">
        <f aca="false">AN5107*$M5107</f>
        <v>0</v>
      </c>
      <c r="AP5107" s="28"/>
      <c r="AQ5107" s="28" t="n">
        <f aca="false">AP5107*$M5107</f>
        <v>0</v>
      </c>
      <c r="AR5107" s="28"/>
      <c r="AS5107" s="28" t="n">
        <f aca="false">AR5107*$M5107</f>
        <v>0</v>
      </c>
      <c r="AT5107" s="28"/>
      <c r="AU5107" s="28" t="n">
        <f aca="false">AT5107*$M5107</f>
        <v>0</v>
      </c>
      <c r="AV5107" s="28"/>
      <c r="AW5107" s="28" t="n">
        <f aca="false">AV5107*$M5107</f>
        <v>0</v>
      </c>
      <c r="AX5107" s="28"/>
      <c r="AY5107" s="28" t="n">
        <f aca="false">AX5107*$M5107</f>
        <v>0</v>
      </c>
      <c r="AZ5107" s="30" t="n">
        <f aca="false">4441206/100</f>
        <v>44412.06</v>
      </c>
      <c r="BA5107" s="11" t="n">
        <v>111030</v>
      </c>
      <c r="BB5107" s="31" t="n">
        <f aca="false">SUM(Q5107,S5107,U5107,W5107,Y5107,AA5107,AC5107,AE5107,AG5107,AI5107,AK5107,AM5107,AO5107,AQ5107,AS5107,AU5107,AW5107,AY5107)</f>
        <v>111030</v>
      </c>
      <c r="BC5107" s="28" t="n">
        <f aca="false">BA5107-BB5107</f>
        <v>0</v>
      </c>
      <c r="BD5107" s="32" t="n">
        <f aca="false">SUM(P5107,R5107,T5107,V5107,X5107,Z5107,AB5107,AD5107,AF5107,AH5107,AJ5107,AL5107,AN5107,AP5107,AR5107,AT5107,AV5107,AX5107)</f>
        <v>44412.06</v>
      </c>
      <c r="BE5107" s="33" t="n">
        <f aca="false">AZ5107-BD5107</f>
        <v>0</v>
      </c>
      <c r="BF5107" s="34" t="n">
        <f aca="false">BD5107*M5107</f>
        <v>111030.15</v>
      </c>
      <c r="BG5107" s="35" t="n">
        <f aca="false">BA5107-BF5107</f>
        <v>-0.149999999994179</v>
      </c>
      <c r="BH5107" s="19" t="str">
        <f aca="false">IF(BG5107=0,"",IF(BG5107&lt;&gt;BA5107,"erreur de calcul",IF(BD5107&lt;&gt;0,"pas de prix",IF(M5107&lt;&gt; 0,"pas de quantité","pas de prix, ni de quantité"))))</f>
        <v>erreur de calcul</v>
      </c>
      <c r="BI5107" s="19"/>
    </row>
    <row r="5108" customFormat="false" ht="15" hidden="false" customHeight="false" outlineLevel="0" collapsed="false">
      <c r="A5108" s="0" t="n">
        <v>28</v>
      </c>
      <c r="B5108" s="8" t="s">
        <v>24</v>
      </c>
      <c r="C5108" s="9" t="s">
        <v>25</v>
      </c>
      <c r="D5108" s="9" t="s">
        <v>26</v>
      </c>
      <c r="E5108" s="10" t="n">
        <v>1789</v>
      </c>
      <c r="F5108" s="9" t="s">
        <v>27</v>
      </c>
      <c r="G5108" s="9" t="s">
        <v>27</v>
      </c>
      <c r="H5108" s="11" t="n">
        <v>23</v>
      </c>
      <c r="I5108" s="11" t="s">
        <v>270</v>
      </c>
      <c r="J5108" s="14" t="n">
        <v>5</v>
      </c>
      <c r="K5108" s="14"/>
      <c r="L5108" s="16"/>
      <c r="M5108" s="27" t="n">
        <f aca="false">J5108+(K5108/20)+(L5108/240)</f>
        <v>5</v>
      </c>
      <c r="N5108" s="17" t="s">
        <v>85</v>
      </c>
      <c r="O5108" s="11"/>
      <c r="P5108" s="28" t="n">
        <f aca="false">328200/100</f>
        <v>3282</v>
      </c>
      <c r="Q5108" s="28" t="n">
        <v>16410</v>
      </c>
      <c r="R5108" s="28"/>
      <c r="S5108" s="28" t="n">
        <f aca="false">R5108*$M5108</f>
        <v>0</v>
      </c>
      <c r="T5108" s="28" t="n">
        <f aca="false">667000/100</f>
        <v>6670</v>
      </c>
      <c r="U5108" s="36" t="n">
        <v>33360</v>
      </c>
      <c r="V5108" s="28" t="n">
        <f aca="false">506800/100</f>
        <v>5068</v>
      </c>
      <c r="W5108" s="28" t="n">
        <v>25340</v>
      </c>
      <c r="X5108" s="28"/>
      <c r="Y5108" s="28" t="n">
        <f aca="false">X5108*$M5108</f>
        <v>0</v>
      </c>
      <c r="Z5108" s="28"/>
      <c r="AA5108" s="28" t="n">
        <f aca="false">Z5108*$M5108</f>
        <v>0</v>
      </c>
      <c r="AB5108" s="28"/>
      <c r="AC5108" s="28" t="n">
        <f aca="false">AB5108*$M5108</f>
        <v>0</v>
      </c>
      <c r="AD5108" s="28"/>
      <c r="AE5108" s="28" t="n">
        <f aca="false">AD5108*$M5108</f>
        <v>0</v>
      </c>
      <c r="AF5108" s="28"/>
      <c r="AG5108" s="28" t="n">
        <f aca="false">AF5108*$M5108</f>
        <v>0</v>
      </c>
      <c r="AH5108" s="28" t="n">
        <f aca="false">320500/100</f>
        <v>3205</v>
      </c>
      <c r="AI5108" s="28" t="n">
        <v>16025</v>
      </c>
      <c r="AJ5108" s="28"/>
      <c r="AK5108" s="28" t="n">
        <f aca="false">AJ5108*$M5108</f>
        <v>0</v>
      </c>
      <c r="AL5108" s="28"/>
      <c r="AM5108" s="28" t="n">
        <f aca="false">AL5108*$M5108</f>
        <v>0</v>
      </c>
      <c r="AN5108" s="28"/>
      <c r="AO5108" s="28" t="n">
        <f aca="false">AN5108*$M5108</f>
        <v>0</v>
      </c>
      <c r="AP5108" s="28"/>
      <c r="AQ5108" s="28" t="n">
        <f aca="false">AP5108*$M5108</f>
        <v>0</v>
      </c>
      <c r="AR5108" s="28"/>
      <c r="AS5108" s="28" t="n">
        <f aca="false">AR5108*$M5108</f>
        <v>0</v>
      </c>
      <c r="AT5108" s="28"/>
      <c r="AU5108" s="28" t="n">
        <f aca="false">AT5108*$M5108</f>
        <v>0</v>
      </c>
      <c r="AV5108" s="28"/>
      <c r="AW5108" s="28" t="n">
        <f aca="false">AV5108*$M5108</f>
        <v>0</v>
      </c>
      <c r="AX5108" s="28"/>
      <c r="AY5108" s="28" t="n">
        <f aca="false">AX5108*$M5108</f>
        <v>0</v>
      </c>
      <c r="AZ5108" s="30" t="n">
        <f aca="false">1822500/100</f>
        <v>18225</v>
      </c>
      <c r="BA5108" s="11" t="n">
        <v>91135</v>
      </c>
      <c r="BB5108" s="31" t="n">
        <f aca="false">SUM(Q5108,S5108,U5108,W5108,Y5108,AA5108,AC5108,AE5108,AG5108,AI5108,AK5108,AM5108,AO5108,AQ5108,AS5108,AU5108,AW5108,AY5108)</f>
        <v>91135</v>
      </c>
      <c r="BC5108" s="28" t="n">
        <f aca="false">BA5108-BB5108</f>
        <v>0</v>
      </c>
      <c r="BD5108" s="32" t="n">
        <f aca="false">SUM(P5108,R5108,T5108,V5108,X5108,Z5108,AB5108,AD5108,AF5108,AH5108,AJ5108,AL5108,AN5108,AP5108,AR5108,AT5108,AV5108,AX5108)</f>
        <v>18225</v>
      </c>
      <c r="BE5108" s="33" t="n">
        <f aca="false">AZ5108-BD5108</f>
        <v>0</v>
      </c>
      <c r="BF5108" s="34" t="n">
        <f aca="false">BD5108*M5108</f>
        <v>91125</v>
      </c>
      <c r="BG5108" s="35" t="n">
        <f aca="false">BA5108-BF5108</f>
        <v>10</v>
      </c>
      <c r="BH5108" s="19" t="str">
        <f aca="false">IF(BG5108=0,"",IF(BG5108&lt;&gt;BA5108,"erreur de calcul",IF(BD5108&lt;&gt;0,"pas de prix",IF(M5108&lt;&gt; 0,"pas de quantité","pas de prix, ni de quantité"))))</f>
        <v>erreur de calcul</v>
      </c>
      <c r="BI5108" s="19"/>
    </row>
    <row r="5109" customFormat="false" ht="15" hidden="false" customHeight="false" outlineLevel="0" collapsed="false">
      <c r="A5109" s="0" t="n">
        <v>29</v>
      </c>
      <c r="B5109" s="8" t="s">
        <v>24</v>
      </c>
      <c r="C5109" s="9" t="s">
        <v>25</v>
      </c>
      <c r="D5109" s="9" t="s">
        <v>26</v>
      </c>
      <c r="E5109" s="10" t="n">
        <v>1789</v>
      </c>
      <c r="F5109" s="9" t="s">
        <v>27</v>
      </c>
      <c r="G5109" s="9" t="s">
        <v>27</v>
      </c>
      <c r="H5109" s="11" t="n">
        <v>23</v>
      </c>
      <c r="I5109" s="11" t="s">
        <v>271</v>
      </c>
      <c r="J5109" s="14" t="n">
        <v>7</v>
      </c>
      <c r="K5109" s="14" t="n">
        <v>10</v>
      </c>
      <c r="L5109" s="16"/>
      <c r="M5109" s="27" t="n">
        <f aca="false">J5109+(K5109/20)+(L5109/240)</f>
        <v>7.5</v>
      </c>
      <c r="N5109" s="17" t="s">
        <v>64</v>
      </c>
      <c r="O5109" s="11"/>
      <c r="P5109" s="28"/>
      <c r="Q5109" s="28" t="n">
        <f aca="false">P5109*$M5109</f>
        <v>0</v>
      </c>
      <c r="R5109" s="28"/>
      <c r="S5109" s="28" t="n">
        <f aca="false">R5109*$M5109</f>
        <v>0</v>
      </c>
      <c r="T5109" s="28"/>
      <c r="U5109" s="28" t="n">
        <f aca="false">T5109*$M5109</f>
        <v>0</v>
      </c>
      <c r="V5109" s="28" t="n">
        <f aca="false">191888/100</f>
        <v>1918.88</v>
      </c>
      <c r="W5109" s="28" t="n">
        <v>14392</v>
      </c>
      <c r="X5109" s="28"/>
      <c r="Y5109" s="28" t="n">
        <f aca="false">X5109*$M5109</f>
        <v>0</v>
      </c>
      <c r="Z5109" s="28"/>
      <c r="AA5109" s="28" t="n">
        <f aca="false">Z5109*$M5109</f>
        <v>0</v>
      </c>
      <c r="AB5109" s="28"/>
      <c r="AC5109" s="28" t="n">
        <f aca="false">AB5109*$M5109</f>
        <v>0</v>
      </c>
      <c r="AD5109" s="28"/>
      <c r="AE5109" s="28" t="n">
        <f aca="false">AD5109*$M5109</f>
        <v>0</v>
      </c>
      <c r="AF5109" s="28"/>
      <c r="AG5109" s="28" t="n">
        <f aca="false">AF5109*$M5109</f>
        <v>0</v>
      </c>
      <c r="AH5109" s="28"/>
      <c r="AI5109" s="28" t="n">
        <f aca="false">AH5109*$M5109</f>
        <v>0</v>
      </c>
      <c r="AJ5109" s="28"/>
      <c r="AK5109" s="28" t="n">
        <f aca="false">AJ5109*$M5109</f>
        <v>0</v>
      </c>
      <c r="AL5109" s="28"/>
      <c r="AM5109" s="28" t="n">
        <f aca="false">AL5109*$M5109</f>
        <v>0</v>
      </c>
      <c r="AN5109" s="28"/>
      <c r="AO5109" s="28" t="n">
        <f aca="false">AN5109*$M5109</f>
        <v>0</v>
      </c>
      <c r="AP5109" s="28"/>
      <c r="AQ5109" s="28" t="n">
        <f aca="false">AP5109*$M5109</f>
        <v>0</v>
      </c>
      <c r="AR5109" s="28"/>
      <c r="AS5109" s="28" t="n">
        <f aca="false">AR5109*$M5109</f>
        <v>0</v>
      </c>
      <c r="AT5109" s="28"/>
      <c r="AU5109" s="28" t="n">
        <f aca="false">AT5109*$M5109</f>
        <v>0</v>
      </c>
      <c r="AV5109" s="28"/>
      <c r="AW5109" s="28" t="n">
        <f aca="false">AV5109*$M5109</f>
        <v>0</v>
      </c>
      <c r="AX5109" s="28"/>
      <c r="AY5109" s="28" t="n">
        <f aca="false">AX5109*$M5109</f>
        <v>0</v>
      </c>
      <c r="AZ5109" s="30" t="n">
        <f aca="false">191888/100</f>
        <v>1918.88</v>
      </c>
      <c r="BA5109" s="11" t="n">
        <v>14392</v>
      </c>
      <c r="BB5109" s="31" t="n">
        <f aca="false">SUM(Q5109,S5109,U5109,W5109,Y5109,AA5109,AC5109,AE5109,AG5109,AI5109,AK5109,AM5109,AO5109,AQ5109,AS5109,AU5109,AW5109,AY5109)</f>
        <v>14392</v>
      </c>
      <c r="BC5109" s="28" t="n">
        <f aca="false">BA5109-BB5109</f>
        <v>0</v>
      </c>
      <c r="BD5109" s="32" t="n">
        <f aca="false">SUM(P5109,R5109,T5109,V5109,X5109,Z5109,AB5109,AD5109,AF5109,AH5109,AJ5109,AL5109,AN5109,AP5109,AR5109,AT5109,AV5109,AX5109)</f>
        <v>1918.88</v>
      </c>
      <c r="BE5109" s="33" t="n">
        <f aca="false">AZ5109-BD5109</f>
        <v>0</v>
      </c>
      <c r="BF5109" s="34" t="n">
        <f aca="false">BD5109*M5109</f>
        <v>14391.6</v>
      </c>
      <c r="BG5109" s="35" t="n">
        <f aca="false">BA5109-BF5109</f>
        <v>0.399999999999636</v>
      </c>
      <c r="BH5109" s="19" t="str">
        <f aca="false">IF(BG5109=0,"",IF(BG5109&lt;&gt;BA5109,"erreur de calcul",IF(BD5109&lt;&gt;0,"pas de prix",IF(M5109&lt;&gt; 0,"pas de quantité","pas de prix, ni de quantité"))))</f>
        <v>erreur de calcul</v>
      </c>
      <c r="BI5109" s="19"/>
    </row>
    <row r="5110" customFormat="false" ht="15" hidden="false" customHeight="false" outlineLevel="0" collapsed="false">
      <c r="A5110" s="0" t="n">
        <v>30</v>
      </c>
      <c r="B5110" s="8" t="s">
        <v>24</v>
      </c>
      <c r="C5110" s="9" t="s">
        <v>25</v>
      </c>
      <c r="D5110" s="9" t="s">
        <v>26</v>
      </c>
      <c r="E5110" s="10" t="n">
        <v>1789</v>
      </c>
      <c r="F5110" s="9" t="s">
        <v>27</v>
      </c>
      <c r="G5110" s="9" t="s">
        <v>27</v>
      </c>
      <c r="H5110" s="11" t="n">
        <v>23</v>
      </c>
      <c r="I5110" s="11" t="s">
        <v>272</v>
      </c>
      <c r="J5110" s="14" t="n">
        <v>6</v>
      </c>
      <c r="K5110" s="14"/>
      <c r="L5110" s="16"/>
      <c r="M5110" s="27" t="n">
        <f aca="false">J5110+(K5110/20)+(L5110/240)</f>
        <v>6</v>
      </c>
      <c r="N5110" s="17" t="s">
        <v>64</v>
      </c>
      <c r="O5110" s="11"/>
      <c r="P5110" s="28"/>
      <c r="Q5110" s="28" t="n">
        <f aca="false">P5110*$M5110</f>
        <v>0</v>
      </c>
      <c r="R5110" s="28"/>
      <c r="S5110" s="28" t="n">
        <f aca="false">R5110*$M5110</f>
        <v>0</v>
      </c>
      <c r="T5110" s="28" t="n">
        <f aca="false">26711/100</f>
        <v>267.11</v>
      </c>
      <c r="U5110" s="28" t="n">
        <v>1603</v>
      </c>
      <c r="V5110" s="28" t="n">
        <f aca="false">790699/100</f>
        <v>7906.99</v>
      </c>
      <c r="W5110" s="28" t="n">
        <v>47442</v>
      </c>
      <c r="X5110" s="28" t="n">
        <f aca="false">50169/100</f>
        <v>501.69</v>
      </c>
      <c r="Y5110" s="28" t="n">
        <v>3010</v>
      </c>
      <c r="Z5110" s="28"/>
      <c r="AA5110" s="28" t="n">
        <f aca="false">Z5110*$M5110</f>
        <v>0</v>
      </c>
      <c r="AB5110" s="28"/>
      <c r="AC5110" s="28" t="n">
        <f aca="false">AB5110*$M5110</f>
        <v>0</v>
      </c>
      <c r="AD5110" s="28"/>
      <c r="AE5110" s="28" t="n">
        <f aca="false">AD5110*$M5110</f>
        <v>0</v>
      </c>
      <c r="AF5110" s="28"/>
      <c r="AG5110" s="28" t="n">
        <f aca="false">AF5110*$M5110</f>
        <v>0</v>
      </c>
      <c r="AH5110" s="28"/>
      <c r="AI5110" s="28" t="n">
        <f aca="false">AH5110*$M5110</f>
        <v>0</v>
      </c>
      <c r="AJ5110" s="28"/>
      <c r="AK5110" s="28" t="n">
        <f aca="false">AJ5110*$M5110</f>
        <v>0</v>
      </c>
      <c r="AL5110" s="28"/>
      <c r="AM5110" s="28" t="n">
        <f aca="false">AL5110*$M5110</f>
        <v>0</v>
      </c>
      <c r="AN5110" s="28"/>
      <c r="AO5110" s="28" t="n">
        <f aca="false">AN5110*$M5110</f>
        <v>0</v>
      </c>
      <c r="AP5110" s="28"/>
      <c r="AQ5110" s="28" t="n">
        <f aca="false">AP5110*$M5110</f>
        <v>0</v>
      </c>
      <c r="AR5110" s="28"/>
      <c r="AS5110" s="28" t="n">
        <f aca="false">AR5110*$M5110</f>
        <v>0</v>
      </c>
      <c r="AT5110" s="28"/>
      <c r="AU5110" s="28" t="n">
        <f aca="false">AT5110*$M5110</f>
        <v>0</v>
      </c>
      <c r="AV5110" s="28"/>
      <c r="AW5110" s="28" t="n">
        <f aca="false">AV5110*$M5110</f>
        <v>0</v>
      </c>
      <c r="AX5110" s="28"/>
      <c r="AY5110" s="28" t="n">
        <f aca="false">AX5110*$M5110</f>
        <v>0</v>
      </c>
      <c r="AZ5110" s="30" t="n">
        <f aca="false">867559/100</f>
        <v>8675.59</v>
      </c>
      <c r="BA5110" s="11" t="n">
        <v>52055</v>
      </c>
      <c r="BB5110" s="31" t="n">
        <f aca="false">SUM(Q5110,S5110,U5110,W5110,Y5110,AA5110,AC5110,AE5110,AG5110,AI5110,AK5110,AM5110,AO5110,AQ5110,AS5110,AU5110,AW5110,AY5110)</f>
        <v>52055</v>
      </c>
      <c r="BC5110" s="28" t="n">
        <f aca="false">BA5110-BB5110</f>
        <v>0</v>
      </c>
      <c r="BD5110" s="32" t="n">
        <f aca="false">SUM(P5110,R5110,T5110,V5110,X5110,Z5110,AB5110,AD5110,AF5110,AH5110,AJ5110,AL5110,AN5110,AP5110,AR5110,AT5110,AV5110,AX5110)</f>
        <v>8675.79</v>
      </c>
      <c r="BE5110" s="33" t="n">
        <f aca="false">AZ5110-BD5110</f>
        <v>-0.200000000000728</v>
      </c>
      <c r="BF5110" s="34" t="n">
        <f aca="false">BD5110*M5110</f>
        <v>52054.74</v>
      </c>
      <c r="BG5110" s="35" t="n">
        <f aca="false">BA5110-BF5110</f>
        <v>0.259999999994761</v>
      </c>
      <c r="BH5110" s="19" t="str">
        <f aca="false">IF(BG5110=0,"",IF(BG5110&lt;&gt;BA5110,"erreur de calcul",IF(BD5110&lt;&gt;0,"pas de prix",IF(M5110&lt;&gt; 0,"pas de quantité","pas de prix, ni de quantité"))))</f>
        <v>erreur de calcul</v>
      </c>
      <c r="BI5110" s="19"/>
    </row>
    <row r="5111" customFormat="false" ht="15" hidden="false" customHeight="false" outlineLevel="0" collapsed="false">
      <c r="A5111" s="0" t="n">
        <v>31</v>
      </c>
      <c r="B5111" s="8" t="s">
        <v>24</v>
      </c>
      <c r="C5111" s="9" t="s">
        <v>25</v>
      </c>
      <c r="D5111" s="9" t="s">
        <v>26</v>
      </c>
      <c r="E5111" s="10" t="n">
        <v>1789</v>
      </c>
      <c r="F5111" s="9" t="s">
        <v>27</v>
      </c>
      <c r="G5111" s="9" t="s">
        <v>27</v>
      </c>
      <c r="H5111" s="11" t="n">
        <v>23</v>
      </c>
      <c r="I5111" s="11" t="s">
        <v>273</v>
      </c>
      <c r="J5111" s="14" t="n">
        <v>8</v>
      </c>
      <c r="K5111" s="14"/>
      <c r="L5111" s="16"/>
      <c r="M5111" s="27" t="n">
        <f aca="false">J5111+(K5111/20)+(L5111/240)</f>
        <v>8</v>
      </c>
      <c r="N5111" s="17" t="s">
        <v>81</v>
      </c>
      <c r="O5111" s="11"/>
      <c r="P5111" s="28" t="n">
        <v>27</v>
      </c>
      <c r="Q5111" s="28" t="n">
        <v>216</v>
      </c>
      <c r="R5111" s="28"/>
      <c r="S5111" s="28" t="n">
        <f aca="false">R5111*$M5111</f>
        <v>0</v>
      </c>
      <c r="T5111" s="28"/>
      <c r="U5111" s="28" t="n">
        <f aca="false">T5111*$M5111</f>
        <v>0</v>
      </c>
      <c r="V5111" s="28" t="n">
        <v>40</v>
      </c>
      <c r="W5111" s="28" t="n">
        <v>320</v>
      </c>
      <c r="X5111" s="28"/>
      <c r="Y5111" s="28" t="n">
        <f aca="false">X5111*$M5111</f>
        <v>0</v>
      </c>
      <c r="Z5111" s="28"/>
      <c r="AA5111" s="28" t="n">
        <f aca="false">Z5111*$M5111</f>
        <v>0</v>
      </c>
      <c r="AB5111" s="28" t="n">
        <v>164</v>
      </c>
      <c r="AC5111" s="28" t="n">
        <v>1312</v>
      </c>
      <c r="AD5111" s="28"/>
      <c r="AE5111" s="28" t="n">
        <f aca="false">AD5111*$M5111</f>
        <v>0</v>
      </c>
      <c r="AF5111" s="28" t="n">
        <v>263</v>
      </c>
      <c r="AG5111" s="28" t="n">
        <v>2104</v>
      </c>
      <c r="AH5111" s="28"/>
      <c r="AI5111" s="28" t="n">
        <f aca="false">AH5111*$M5111</f>
        <v>0</v>
      </c>
      <c r="AJ5111" s="28"/>
      <c r="AK5111" s="28" t="n">
        <f aca="false">AJ5111*$M5111</f>
        <v>0</v>
      </c>
      <c r="AL5111" s="28"/>
      <c r="AM5111" s="28" t="n">
        <f aca="false">AL5111*$M5111</f>
        <v>0</v>
      </c>
      <c r="AN5111" s="28"/>
      <c r="AO5111" s="28" t="n">
        <f aca="false">AN5111*$M5111</f>
        <v>0</v>
      </c>
      <c r="AP5111" s="28" t="n">
        <v>278</v>
      </c>
      <c r="AQ5111" s="28" t="n">
        <v>2224</v>
      </c>
      <c r="AR5111" s="28"/>
      <c r="AS5111" s="28" t="n">
        <f aca="false">AR5111*$M5111</f>
        <v>0</v>
      </c>
      <c r="AT5111" s="28"/>
      <c r="AU5111" s="28" t="n">
        <f aca="false">AT5111*$M5111</f>
        <v>0</v>
      </c>
      <c r="AV5111" s="28"/>
      <c r="AW5111" s="28" t="n">
        <f aca="false">AV5111*$M5111</f>
        <v>0</v>
      </c>
      <c r="AX5111" s="28"/>
      <c r="AY5111" s="28" t="n">
        <f aca="false">AX5111*$M5111</f>
        <v>0</v>
      </c>
      <c r="AZ5111" s="30" t="n">
        <v>772</v>
      </c>
      <c r="BA5111" s="11" t="n">
        <v>6176</v>
      </c>
      <c r="BB5111" s="31" t="n">
        <f aca="false">SUM(Q5111,S5111,U5111,W5111,Y5111,AA5111,AC5111,AE5111,AG5111,AI5111,AK5111,AM5111,AO5111,AQ5111,AS5111,AU5111,AW5111,AY5111)</f>
        <v>6176</v>
      </c>
      <c r="BC5111" s="28" t="n">
        <f aca="false">BA5111-BB5111</f>
        <v>0</v>
      </c>
      <c r="BD5111" s="32" t="n">
        <f aca="false">SUM(P5111,R5111,T5111,V5111,X5111,Z5111,AB5111,AD5111,AF5111,AH5111,AJ5111,AL5111,AN5111,AP5111,AR5111,AT5111,AV5111,AX5111)</f>
        <v>772</v>
      </c>
      <c r="BE5111" s="33" t="n">
        <f aca="false">AZ5111-BD5111</f>
        <v>0</v>
      </c>
      <c r="BF5111" s="34" t="n">
        <f aca="false">BD5111*M5111</f>
        <v>6176</v>
      </c>
      <c r="BG5111" s="35" t="n">
        <f aca="false">BA5111-BF5111</f>
        <v>0</v>
      </c>
      <c r="BH5111" s="19" t="str">
        <f aca="false">IF(BG5111=0,"",IF(BG5111&lt;&gt;BA5111,"erreur de calcul",IF(BD5111&lt;&gt;0,"pas de prix",IF(M5111&lt;&gt; 0,"pas de quantité","pas de prix, ni de quantité"))))</f>
        <v/>
      </c>
      <c r="BI5111" s="19"/>
    </row>
    <row r="5112" customFormat="false" ht="15" hidden="false" customHeight="false" outlineLevel="0" collapsed="false">
      <c r="A5112" s="0" t="n">
        <v>32</v>
      </c>
      <c r="B5112" s="8" t="s">
        <v>24</v>
      </c>
      <c r="C5112" s="9" t="s">
        <v>25</v>
      </c>
      <c r="D5112" s="9" t="s">
        <v>26</v>
      </c>
      <c r="E5112" s="10" t="n">
        <v>1789</v>
      </c>
      <c r="F5112" s="9" t="s">
        <v>27</v>
      </c>
      <c r="G5112" s="9" t="s">
        <v>27</v>
      </c>
      <c r="H5112" s="11" t="n">
        <v>23</v>
      </c>
      <c r="I5112" s="11" t="s">
        <v>274</v>
      </c>
      <c r="J5112" s="14" t="n">
        <v>17</v>
      </c>
      <c r="K5112" s="14"/>
      <c r="L5112" s="16"/>
      <c r="M5112" s="27" t="n">
        <f aca="false">J5112+(K5112/20)+(L5112/240)</f>
        <v>17</v>
      </c>
      <c r="N5112" s="17" t="s">
        <v>275</v>
      </c>
      <c r="O5112" s="11"/>
      <c r="P5112" s="28" t="n">
        <v>200</v>
      </c>
      <c r="Q5112" s="28" t="n">
        <v>3400</v>
      </c>
      <c r="R5112" s="28"/>
      <c r="S5112" s="28" t="n">
        <f aca="false">R5112*$M5112</f>
        <v>0</v>
      </c>
      <c r="T5112" s="28"/>
      <c r="U5112" s="28" t="n">
        <f aca="false">T5112*$M5112</f>
        <v>0</v>
      </c>
      <c r="V5112" s="28"/>
      <c r="W5112" s="28" t="n">
        <f aca="false">V5112*$M5112</f>
        <v>0</v>
      </c>
      <c r="X5112" s="28" t="n">
        <v>145</v>
      </c>
      <c r="Y5112" s="28" t="n">
        <v>2465</v>
      </c>
      <c r="Z5112" s="28"/>
      <c r="AA5112" s="28" t="n">
        <f aca="false">Z5112*$M5112</f>
        <v>0</v>
      </c>
      <c r="AB5112" s="28"/>
      <c r="AC5112" s="28" t="n">
        <f aca="false">AB5112*$M5112</f>
        <v>0</v>
      </c>
      <c r="AD5112" s="28"/>
      <c r="AE5112" s="28" t="n">
        <f aca="false">AD5112*$M5112</f>
        <v>0</v>
      </c>
      <c r="AF5112" s="28"/>
      <c r="AG5112" s="28" t="n">
        <f aca="false">AF5112*$M5112</f>
        <v>0</v>
      </c>
      <c r="AH5112" s="28"/>
      <c r="AI5112" s="28" t="n">
        <f aca="false">AH5112*$M5112</f>
        <v>0</v>
      </c>
      <c r="AJ5112" s="28"/>
      <c r="AK5112" s="28" t="n">
        <f aca="false">AJ5112*$M5112</f>
        <v>0</v>
      </c>
      <c r="AL5112" s="28" t="n">
        <v>12</v>
      </c>
      <c r="AM5112" s="28" t="n">
        <v>204</v>
      </c>
      <c r="AN5112" s="28"/>
      <c r="AO5112" s="28" t="n">
        <f aca="false">AN5112*$M5112</f>
        <v>0</v>
      </c>
      <c r="AP5112" s="28"/>
      <c r="AQ5112" s="28" t="n">
        <f aca="false">AP5112*$M5112</f>
        <v>0</v>
      </c>
      <c r="AR5112" s="28"/>
      <c r="AS5112" s="28" t="n">
        <f aca="false">AR5112*$M5112</f>
        <v>0</v>
      </c>
      <c r="AT5112" s="28"/>
      <c r="AU5112" s="28" t="n">
        <f aca="false">AT5112*$M5112</f>
        <v>0</v>
      </c>
      <c r="AV5112" s="28"/>
      <c r="AW5112" s="28" t="n">
        <f aca="false">AV5112*$M5112</f>
        <v>0</v>
      </c>
      <c r="AX5112" s="28"/>
      <c r="AY5112" s="28" t="n">
        <f aca="false">AX5112*$M5112</f>
        <v>0</v>
      </c>
      <c r="AZ5112" s="30" t="n">
        <v>357</v>
      </c>
      <c r="BA5112" s="11" t="n">
        <v>6069</v>
      </c>
      <c r="BB5112" s="31" t="n">
        <f aca="false">SUM(Q5112,S5112,U5112,W5112,Y5112,AA5112,AC5112,AE5112,AG5112,AI5112,AK5112,AM5112,AO5112,AQ5112,AS5112,AU5112,AW5112,AY5112)</f>
        <v>6069</v>
      </c>
      <c r="BC5112" s="28" t="n">
        <f aca="false">BA5112-BB5112</f>
        <v>0</v>
      </c>
      <c r="BD5112" s="32" t="n">
        <f aca="false">SUM(P5112,R5112,T5112,V5112,X5112,Z5112,AB5112,AD5112,AF5112,AH5112,AJ5112,AL5112,AN5112,AP5112,AR5112,AT5112,AV5112,AX5112)</f>
        <v>357</v>
      </c>
      <c r="BE5112" s="33" t="n">
        <f aca="false">AZ5112-BD5112</f>
        <v>0</v>
      </c>
      <c r="BF5112" s="34" t="n">
        <f aca="false">BD5112*M5112</f>
        <v>6069</v>
      </c>
      <c r="BG5112" s="35" t="n">
        <f aca="false">BA5112-BF5112</f>
        <v>0</v>
      </c>
      <c r="BH5112" s="19" t="str">
        <f aca="false">IF(BG5112=0,"",IF(BG5112&lt;&gt;BA5112,"erreur de calcul",IF(BD5112&lt;&gt;0,"pas de prix",IF(M5112&lt;&gt; 0,"pas de quantité","pas de prix, ni de quantité"))))</f>
        <v/>
      </c>
      <c r="BI5112" s="19" t="s">
        <v>275</v>
      </c>
    </row>
    <row r="5113" customFormat="false" ht="15" hidden="false" customHeight="false" outlineLevel="0" collapsed="false">
      <c r="A5113" s="0" t="n">
        <v>33</v>
      </c>
      <c r="B5113" s="8" t="s">
        <v>24</v>
      </c>
      <c r="C5113" s="9" t="s">
        <v>25</v>
      </c>
      <c r="D5113" s="9" t="s">
        <v>26</v>
      </c>
      <c r="E5113" s="10" t="n">
        <v>1789</v>
      </c>
      <c r="F5113" s="9" t="s">
        <v>27</v>
      </c>
      <c r="G5113" s="9" t="s">
        <v>27</v>
      </c>
      <c r="H5113" s="11" t="n">
        <v>23</v>
      </c>
      <c r="I5113" s="11" t="s">
        <v>276</v>
      </c>
      <c r="J5113" s="14" t="n">
        <v>36</v>
      </c>
      <c r="K5113" s="14"/>
      <c r="L5113" s="16"/>
      <c r="M5113" s="27" t="n">
        <f aca="false">J5113+(K5113/20)+(L5113/240)</f>
        <v>36</v>
      </c>
      <c r="N5113" s="17" t="s">
        <v>275</v>
      </c>
      <c r="O5113" s="11" t="s">
        <v>277</v>
      </c>
      <c r="P5113" s="28"/>
      <c r="Q5113" s="28" t="n">
        <f aca="false">P5113*$M5113</f>
        <v>0</v>
      </c>
      <c r="R5113" s="28"/>
      <c r="S5113" s="28" t="n">
        <f aca="false">R5113*$M5113</f>
        <v>0</v>
      </c>
      <c r="T5113" s="28"/>
      <c r="U5113" s="28" t="n">
        <f aca="false">T5113*$M5113</f>
        <v>0</v>
      </c>
      <c r="V5113" s="28"/>
      <c r="W5113" s="28" t="n">
        <f aca="false">V5113*$M5113</f>
        <v>0</v>
      </c>
      <c r="X5113" s="28"/>
      <c r="Y5113" s="28" t="n">
        <f aca="false">X5113*$M5113</f>
        <v>0</v>
      </c>
      <c r="Z5113" s="28"/>
      <c r="AA5113" s="28" t="n">
        <f aca="false">Z5113*$M5113</f>
        <v>0</v>
      </c>
      <c r="AB5113" s="28"/>
      <c r="AC5113" s="28" t="n">
        <f aca="false">AB5113*$M5113</f>
        <v>0</v>
      </c>
      <c r="AD5113" s="28"/>
      <c r="AE5113" s="28" t="n">
        <f aca="false">AD5113*$M5113</f>
        <v>0</v>
      </c>
      <c r="AF5113" s="28"/>
      <c r="AG5113" s="28" t="n">
        <f aca="false">AF5113*$M5113</f>
        <v>0</v>
      </c>
      <c r="AH5113" s="28"/>
      <c r="AI5113" s="28" t="n">
        <f aca="false">AH5113*$M5113</f>
        <v>0</v>
      </c>
      <c r="AJ5113" s="28"/>
      <c r="AK5113" s="28" t="n">
        <f aca="false">AJ5113*$M5113</f>
        <v>0</v>
      </c>
      <c r="AL5113" s="28"/>
      <c r="AM5113" s="28" t="n">
        <f aca="false">AL5113*$M5113</f>
        <v>0</v>
      </c>
      <c r="AN5113" s="28"/>
      <c r="AO5113" s="28" t="n">
        <f aca="false">AN5113*$M5113</f>
        <v>0</v>
      </c>
      <c r="AP5113" s="28"/>
      <c r="AQ5113" s="28" t="n">
        <f aca="false">AP5113*$M5113</f>
        <v>0</v>
      </c>
      <c r="AR5113" s="28"/>
      <c r="AS5113" s="28" t="n">
        <f aca="false">AR5113*$M5113</f>
        <v>0</v>
      </c>
      <c r="AT5113" s="28"/>
      <c r="AU5113" s="28" t="n">
        <f aca="false">AT5113*$M5113</f>
        <v>0</v>
      </c>
      <c r="AV5113" s="28"/>
      <c r="AW5113" s="28" t="n">
        <f aca="false">AV5113*$M5113</f>
        <v>0</v>
      </c>
      <c r="AX5113" s="28"/>
      <c r="AY5113" s="28" t="n">
        <f aca="false">AX5113*$M5113</f>
        <v>0</v>
      </c>
      <c r="AZ5113" s="30"/>
      <c r="BA5113" s="11"/>
      <c r="BB5113" s="31" t="n">
        <f aca="false">SUM(Q5113,S5113,U5113,W5113,Y5113,AA5113,AC5113,AE5113,AG5113,AI5113,AK5113,AM5113,AO5113,AQ5113,AS5113,AU5113,AW5113,AY5113)</f>
        <v>0</v>
      </c>
      <c r="BC5113" s="28" t="n">
        <f aca="false">BA5113-BB5113</f>
        <v>0</v>
      </c>
      <c r="BD5113" s="32" t="n">
        <f aca="false">SUM(P5113,R5113,T5113,V5113,X5113,Z5113,AB5113,AD5113,AF5113,AH5113,AJ5113,AL5113,AN5113,AP5113,AR5113,AT5113,AV5113,AX5113)</f>
        <v>0</v>
      </c>
      <c r="BE5113" s="33" t="n">
        <f aca="false">AZ5113-BD5113</f>
        <v>0</v>
      </c>
      <c r="BF5113" s="34" t="n">
        <f aca="false">BD5113*M5113</f>
        <v>0</v>
      </c>
      <c r="BG5113" s="35" t="n">
        <f aca="false">BA5113-BF5113</f>
        <v>0</v>
      </c>
      <c r="BH5113" s="19" t="str">
        <f aca="false">IF(BG5113=0,"",IF(BG5113&lt;&gt;BA5113,"erreur de calcul",IF(BD5113&lt;&gt;0,"pas de prix",IF(M5113&lt;&gt; 0,"pas de quantité","pas de prix, ni de quantité"))))</f>
        <v/>
      </c>
      <c r="BI5113" s="19" t="s">
        <v>275</v>
      </c>
    </row>
    <row r="5114" customFormat="false" ht="15" hidden="false" customHeight="false" outlineLevel="0" collapsed="false">
      <c r="A5114" s="0" t="n">
        <v>34</v>
      </c>
      <c r="B5114" s="8" t="s">
        <v>24</v>
      </c>
      <c r="C5114" s="9" t="s">
        <v>25</v>
      </c>
      <c r="D5114" s="9" t="s">
        <v>26</v>
      </c>
      <c r="E5114" s="10" t="n">
        <v>1789</v>
      </c>
      <c r="F5114" s="9" t="s">
        <v>27</v>
      </c>
      <c r="G5114" s="9" t="s">
        <v>27</v>
      </c>
      <c r="H5114" s="11" t="n">
        <v>23</v>
      </c>
      <c r="I5114" s="11" t="s">
        <v>276</v>
      </c>
      <c r="J5114" s="14" t="n">
        <v>36</v>
      </c>
      <c r="K5114" s="14"/>
      <c r="L5114" s="16"/>
      <c r="M5114" s="27" t="n">
        <f aca="false">J5114+(K5114/20)+(L5114/240)</f>
        <v>36</v>
      </c>
      <c r="N5114" s="17" t="s">
        <v>275</v>
      </c>
      <c r="O5114" s="11" t="s">
        <v>77</v>
      </c>
      <c r="P5114" s="28" t="n">
        <v>7250</v>
      </c>
      <c r="Q5114" s="28" t="n">
        <v>261000</v>
      </c>
      <c r="R5114" s="28"/>
      <c r="S5114" s="28" t="n">
        <f aca="false">R5114*$M5114</f>
        <v>0</v>
      </c>
      <c r="T5114" s="28" t="n">
        <v>38389</v>
      </c>
      <c r="U5114" s="28" t="n">
        <v>1382004</v>
      </c>
      <c r="V5114" s="28" t="n">
        <v>19350</v>
      </c>
      <c r="W5114" s="28" t="n">
        <v>696600</v>
      </c>
      <c r="X5114" s="28" t="n">
        <v>25392</v>
      </c>
      <c r="Y5114" s="28" t="n">
        <v>914112</v>
      </c>
      <c r="Z5114" s="28" t="n">
        <v>31863</v>
      </c>
      <c r="AA5114" s="28" t="n">
        <v>1147068</v>
      </c>
      <c r="AB5114" s="28" t="n">
        <v>149064</v>
      </c>
      <c r="AC5114" s="28" t="n">
        <v>5366304</v>
      </c>
      <c r="AD5114" s="28" t="n">
        <v>1270</v>
      </c>
      <c r="AE5114" s="28" t="n">
        <v>45720</v>
      </c>
      <c r="AF5114" s="28" t="n">
        <v>54784</v>
      </c>
      <c r="AG5114" s="28" t="n">
        <v>1972224</v>
      </c>
      <c r="AH5114" s="28" t="n">
        <v>1200</v>
      </c>
      <c r="AI5114" s="28" t="n">
        <v>43200</v>
      </c>
      <c r="AJ5114" s="28" t="n">
        <v>10055</v>
      </c>
      <c r="AK5114" s="28" t="n">
        <v>361980</v>
      </c>
      <c r="AL5114" s="28"/>
      <c r="AM5114" s="28" t="n">
        <f aca="false">AL5114*$M5114</f>
        <v>0</v>
      </c>
      <c r="AN5114" s="28"/>
      <c r="AO5114" s="28" t="n">
        <f aca="false">AN5114*$M5114</f>
        <v>0</v>
      </c>
      <c r="AP5114" s="28" t="n">
        <v>220</v>
      </c>
      <c r="AQ5114" s="28" t="n">
        <f aca="false">AP5114*$M5114</f>
        <v>7920</v>
      </c>
      <c r="AR5114" s="28"/>
      <c r="AS5114" s="28" t="n">
        <f aca="false">AR5114*$M5114</f>
        <v>0</v>
      </c>
      <c r="AT5114" s="28"/>
      <c r="AU5114" s="28" t="n">
        <f aca="false">AT5114*$M5114</f>
        <v>0</v>
      </c>
      <c r="AV5114" s="28" t="n">
        <v>100</v>
      </c>
      <c r="AW5114" s="28" t="n">
        <v>3600</v>
      </c>
      <c r="AX5114" s="28" t="n">
        <v>9241</v>
      </c>
      <c r="AY5114" s="28" t="n">
        <v>332676</v>
      </c>
      <c r="AZ5114" s="30" t="n">
        <v>348178</v>
      </c>
      <c r="BA5114" s="11" t="n">
        <v>12534408</v>
      </c>
      <c r="BB5114" s="31" t="n">
        <f aca="false">SUM(Q5114,S5114,U5114,W5114,Y5114,AA5114,AC5114,AE5114,AG5114,AI5114,AK5114,AM5114,AO5114,AQ5114,AS5114,AU5114,AW5114,AY5114)</f>
        <v>12534408</v>
      </c>
      <c r="BC5114" s="28" t="n">
        <f aca="false">BA5114-BB5114</f>
        <v>0</v>
      </c>
      <c r="BD5114" s="32" t="n">
        <f aca="false">SUM(P5114,R5114,T5114,V5114,X5114,Z5114,AB5114,AD5114,AF5114,AH5114,AJ5114,AL5114,AN5114,AP5114,AR5114,AT5114,AV5114,AX5114)</f>
        <v>348178</v>
      </c>
      <c r="BE5114" s="33" t="n">
        <f aca="false">AZ5114-BD5114</f>
        <v>0</v>
      </c>
      <c r="BF5114" s="34" t="n">
        <f aca="false">BD5114*M5114</f>
        <v>12534408</v>
      </c>
      <c r="BG5114" s="35" t="n">
        <f aca="false">BA5114-BF5114</f>
        <v>0</v>
      </c>
      <c r="BH5114" s="19" t="str">
        <f aca="false">IF(BG5114=0,"",IF(BG5114&lt;&gt;BA5114,"erreur de calcul",IF(BD5114&lt;&gt;0,"pas de prix",IF(M5114&lt;&gt; 0,"pas de quantité","pas de prix, ni de quantité"))))</f>
        <v/>
      </c>
      <c r="BI5114" s="19"/>
    </row>
    <row r="5115" customFormat="false" ht="15" hidden="false" customHeight="false" outlineLevel="0" collapsed="false">
      <c r="A5115" s="0" t="n">
        <v>35</v>
      </c>
      <c r="B5115" s="8" t="s">
        <v>24</v>
      </c>
      <c r="C5115" s="9" t="s">
        <v>25</v>
      </c>
      <c r="D5115" s="9" t="s">
        <v>26</v>
      </c>
      <c r="E5115" s="10" t="n">
        <v>1789</v>
      </c>
      <c r="F5115" s="9" t="s">
        <v>27</v>
      </c>
      <c r="G5115" s="9" t="s">
        <v>27</v>
      </c>
      <c r="H5115" s="11" t="n">
        <v>23</v>
      </c>
      <c r="I5115" s="11" t="s">
        <v>278</v>
      </c>
      <c r="J5115" s="14" t="n">
        <v>12</v>
      </c>
      <c r="K5115" s="14"/>
      <c r="L5115" s="16"/>
      <c r="M5115" s="27" t="n">
        <f aca="false">J5115+(K5115/20)+(L5115/240)</f>
        <v>12</v>
      </c>
      <c r="N5115" s="17" t="s">
        <v>64</v>
      </c>
      <c r="O5115" s="11" t="s">
        <v>77</v>
      </c>
      <c r="P5115" s="28" t="n">
        <f aca="false">351312/100</f>
        <v>3513.12</v>
      </c>
      <c r="Q5115" s="28" t="n">
        <v>42157</v>
      </c>
      <c r="R5115" s="28"/>
      <c r="S5115" s="28" t="n">
        <f aca="false">R5115*$M5115</f>
        <v>0</v>
      </c>
      <c r="T5115" s="28" t="n">
        <f aca="false">52251/100</f>
        <v>522.51</v>
      </c>
      <c r="U5115" s="28" t="n">
        <v>6270</v>
      </c>
      <c r="V5115" s="28" t="n">
        <f aca="false">2393/100</f>
        <v>23.93</v>
      </c>
      <c r="W5115" s="28" t="n">
        <v>287</v>
      </c>
      <c r="X5115" s="28" t="n">
        <f aca="false">44842/100</f>
        <v>448.42</v>
      </c>
      <c r="Y5115" s="28" t="n">
        <v>5381</v>
      </c>
      <c r="Z5115" s="28"/>
      <c r="AA5115" s="28" t="n">
        <f aca="false">Z5115*$M5115</f>
        <v>0</v>
      </c>
      <c r="AB5115" s="28"/>
      <c r="AC5115" s="28" t="n">
        <f aca="false">AB5115*$M5115</f>
        <v>0</v>
      </c>
      <c r="AD5115" s="28"/>
      <c r="AE5115" s="28" t="n">
        <f aca="false">AD5115*$M5115</f>
        <v>0</v>
      </c>
      <c r="AF5115" s="28" t="n">
        <f aca="false">164167/100</f>
        <v>1641.67</v>
      </c>
      <c r="AG5115" s="28" t="n">
        <v>19700</v>
      </c>
      <c r="AH5115" s="28"/>
      <c r="AI5115" s="28" t="n">
        <f aca="false">AH5115*$M5115</f>
        <v>0</v>
      </c>
      <c r="AJ5115" s="28"/>
      <c r="AK5115" s="28" t="n">
        <f aca="false">AJ5115*$M5115</f>
        <v>0</v>
      </c>
      <c r="AL5115" s="28"/>
      <c r="AM5115" s="28" t="n">
        <f aca="false">AL5115*$M5115</f>
        <v>0</v>
      </c>
      <c r="AN5115" s="28"/>
      <c r="AO5115" s="28" t="n">
        <f aca="false">AN5115*$M5115</f>
        <v>0</v>
      </c>
      <c r="AP5115" s="28"/>
      <c r="AQ5115" s="28" t="n">
        <f aca="false">AP5115*$M5115</f>
        <v>0</v>
      </c>
      <c r="AR5115" s="28"/>
      <c r="AS5115" s="28" t="n">
        <f aca="false">AR5115*$M5115</f>
        <v>0</v>
      </c>
      <c r="AT5115" s="28"/>
      <c r="AU5115" s="28" t="n">
        <f aca="false">AT5115*$M5115</f>
        <v>0</v>
      </c>
      <c r="AV5115" s="28"/>
      <c r="AW5115" s="28" t="n">
        <f aca="false">AV5115*$M5115</f>
        <v>0</v>
      </c>
      <c r="AX5115" s="28" t="n">
        <f aca="false">25000/100</f>
        <v>250</v>
      </c>
      <c r="AY5115" s="28" t="n">
        <v>3000</v>
      </c>
      <c r="AZ5115" s="30"/>
      <c r="BA5115" s="11" t="n">
        <v>76795</v>
      </c>
      <c r="BB5115" s="31" t="n">
        <f aca="false">SUM(Q5115,S5115,U5115,W5115,Y5115,AA5115,AC5115,AE5115,AG5115,AI5115,AK5115,AM5115,AO5115,AQ5115,AS5115,AU5115,AW5115,AY5115)</f>
        <v>76795</v>
      </c>
      <c r="BC5115" s="28" t="n">
        <f aca="false">BA5115-BB5115</f>
        <v>0</v>
      </c>
      <c r="BD5115" s="32" t="n">
        <f aca="false">SUM(P5115,R5115,T5115,V5115,X5115,Z5115,AB5115,AD5115,AF5115,AH5115,AJ5115,AL5115,AN5115,AP5115,AR5115,AT5115,AV5115,AX5115)</f>
        <v>6399.65</v>
      </c>
      <c r="BE5115" s="33" t="n">
        <f aca="false">AZ5115-BD5115</f>
        <v>-6399.65</v>
      </c>
      <c r="BF5115" s="34" t="n">
        <f aca="false">BD5115*M5115</f>
        <v>76795.8</v>
      </c>
      <c r="BG5115" s="35" t="n">
        <f aca="false">BA5115-BF5115</f>
        <v>-0.799999999988359</v>
      </c>
      <c r="BH5115" s="19" t="str">
        <f aca="false">IF(BG5115=0,"",IF(BG5115&lt;&gt;BA5115,"erreur de calcul",IF(BD5115&lt;&gt;0,"pas de prix",IF(M5115&lt;&gt; 0,"pas de quantité","pas de prix, ni de quantité"))))</f>
        <v>erreur de calcul</v>
      </c>
      <c r="BI5115" s="19"/>
    </row>
    <row r="5116" customFormat="false" ht="15" hidden="false" customHeight="false" outlineLevel="0" collapsed="false">
      <c r="A5116" s="0" t="n">
        <v>36</v>
      </c>
      <c r="B5116" s="8" t="s">
        <v>24</v>
      </c>
      <c r="C5116" s="9" t="s">
        <v>25</v>
      </c>
      <c r="D5116" s="9" t="s">
        <v>26</v>
      </c>
      <c r="E5116" s="10" t="n">
        <v>1789</v>
      </c>
      <c r="F5116" s="9" t="s">
        <v>27</v>
      </c>
      <c r="G5116" s="9" t="s">
        <v>27</v>
      </c>
      <c r="H5116" s="11" t="n">
        <v>23</v>
      </c>
      <c r="I5116" s="11" t="s">
        <v>279</v>
      </c>
      <c r="J5116" s="14" t="n">
        <v>18</v>
      </c>
      <c r="K5116" s="14"/>
      <c r="L5116" s="16"/>
      <c r="M5116" s="27" t="n">
        <f aca="false">J5116+(K5116/20)+(L5116/240)</f>
        <v>18</v>
      </c>
      <c r="N5116" s="17" t="s">
        <v>275</v>
      </c>
      <c r="O5116" s="11"/>
      <c r="P5116" s="28"/>
      <c r="Q5116" s="28" t="n">
        <f aca="false">P5116*$M5116</f>
        <v>0</v>
      </c>
      <c r="R5116" s="28"/>
      <c r="S5116" s="28" t="n">
        <f aca="false">R5116*$M5116</f>
        <v>0</v>
      </c>
      <c r="T5116" s="28" t="n">
        <v>100</v>
      </c>
      <c r="U5116" s="28" t="n">
        <v>1800</v>
      </c>
      <c r="V5116" s="28"/>
      <c r="W5116" s="28" t="n">
        <f aca="false">V5116*$M5116</f>
        <v>0</v>
      </c>
      <c r="X5116" s="28"/>
      <c r="Y5116" s="28" t="n">
        <f aca="false">X5116*$M5116</f>
        <v>0</v>
      </c>
      <c r="Z5116" s="28"/>
      <c r="AA5116" s="28" t="n">
        <f aca="false">Z5116*$M5116</f>
        <v>0</v>
      </c>
      <c r="AB5116" s="28" t="n">
        <v>1936</v>
      </c>
      <c r="AC5116" s="28" t="n">
        <v>34848</v>
      </c>
      <c r="AD5116" s="28"/>
      <c r="AE5116" s="28" t="n">
        <f aca="false">AD5116*$M5116</f>
        <v>0</v>
      </c>
      <c r="AF5116" s="28" t="n">
        <v>600</v>
      </c>
      <c r="AG5116" s="28" t="n">
        <v>10800</v>
      </c>
      <c r="AH5116" s="28"/>
      <c r="AI5116" s="28" t="n">
        <f aca="false">AH5116*$M5116</f>
        <v>0</v>
      </c>
      <c r="AJ5116" s="28"/>
      <c r="AK5116" s="28" t="n">
        <f aca="false">AJ5116*$M5116</f>
        <v>0</v>
      </c>
      <c r="AL5116" s="28" t="n">
        <v>12</v>
      </c>
      <c r="AM5116" s="28" t="n">
        <v>216</v>
      </c>
      <c r="AN5116" s="28"/>
      <c r="AO5116" s="28" t="n">
        <f aca="false">AN5116*$M5116</f>
        <v>0</v>
      </c>
      <c r="AP5116" s="28" t="n">
        <v>12</v>
      </c>
      <c r="AQ5116" s="28" t="n">
        <v>216</v>
      </c>
      <c r="AR5116" s="28"/>
      <c r="AS5116" s="28" t="n">
        <f aca="false">AR5116*$M5116</f>
        <v>0</v>
      </c>
      <c r="AT5116" s="28"/>
      <c r="AU5116" s="28" t="n">
        <f aca="false">AT5116*$M5116</f>
        <v>0</v>
      </c>
      <c r="AV5116" s="28"/>
      <c r="AW5116" s="28" t="n">
        <f aca="false">AV5116*$M5116</f>
        <v>0</v>
      </c>
      <c r="AX5116" s="28"/>
      <c r="AY5116" s="28" t="n">
        <f aca="false">AX5116*$M5116</f>
        <v>0</v>
      </c>
      <c r="AZ5116" s="30" t="n">
        <v>2660</v>
      </c>
      <c r="BA5116" s="11" t="n">
        <v>47880</v>
      </c>
      <c r="BB5116" s="31" t="n">
        <f aca="false">SUM(Q5116,S5116,U5116,W5116,Y5116,AA5116,AC5116,AE5116,AG5116,AI5116,AK5116,AM5116,AO5116,AQ5116,AS5116,AU5116,AW5116,AY5116)</f>
        <v>47880</v>
      </c>
      <c r="BC5116" s="28" t="n">
        <f aca="false">BA5116-BB5116</f>
        <v>0</v>
      </c>
      <c r="BD5116" s="32" t="n">
        <f aca="false">SUM(P5116,R5116,T5116,V5116,X5116,Z5116,AB5116,AD5116,AF5116,AH5116,AJ5116,AL5116,AN5116,AP5116,AR5116,AT5116,AV5116,AX5116)</f>
        <v>2660</v>
      </c>
      <c r="BE5116" s="33" t="n">
        <f aca="false">AZ5116-BD5116</f>
        <v>0</v>
      </c>
      <c r="BF5116" s="34" t="n">
        <f aca="false">BD5116*M5116</f>
        <v>47880</v>
      </c>
      <c r="BG5116" s="35" t="n">
        <f aca="false">BA5116-BF5116</f>
        <v>0</v>
      </c>
      <c r="BH5116" s="19" t="str">
        <f aca="false">IF(BG5116=0,"",IF(BG5116&lt;&gt;BA5116,"erreur de calcul",IF(BD5116&lt;&gt;0,"pas de prix",IF(M5116&lt;&gt; 0,"pas de quantité","pas de prix, ni de quantité"))))</f>
        <v/>
      </c>
      <c r="BI5116" s="19"/>
    </row>
    <row r="5117" customFormat="false" ht="15" hidden="false" customHeight="false" outlineLevel="0" collapsed="false">
      <c r="A5117" s="0" t="n">
        <v>37</v>
      </c>
      <c r="B5117" s="8" t="s">
        <v>24</v>
      </c>
      <c r="C5117" s="9" t="s">
        <v>25</v>
      </c>
      <c r="D5117" s="9" t="s">
        <v>26</v>
      </c>
      <c r="E5117" s="10" t="n">
        <v>1789</v>
      </c>
      <c r="F5117" s="9" t="s">
        <v>27</v>
      </c>
      <c r="G5117" s="9" t="s">
        <v>27</v>
      </c>
      <c r="H5117" s="11" t="n">
        <v>23</v>
      </c>
      <c r="I5117" s="11" t="s">
        <v>280</v>
      </c>
      <c r="J5117" s="14" t="n">
        <v>25</v>
      </c>
      <c r="K5117" s="14"/>
      <c r="L5117" s="16"/>
      <c r="M5117" s="27" t="n">
        <f aca="false">J5117+(K5117/20)+(L5117/240)</f>
        <v>25</v>
      </c>
      <c r="N5117" s="17" t="s">
        <v>64</v>
      </c>
      <c r="O5117" s="11"/>
      <c r="P5117" s="28"/>
      <c r="Q5117" s="28" t="n">
        <f aca="false">P5117*$M5117</f>
        <v>0</v>
      </c>
      <c r="R5117" s="28"/>
      <c r="S5117" s="28" t="n">
        <f aca="false">R5117*$M5117</f>
        <v>0</v>
      </c>
      <c r="T5117" s="28" t="n">
        <f aca="false">1664501/100</f>
        <v>16645.01</v>
      </c>
      <c r="U5117" s="28" t="n">
        <v>416125</v>
      </c>
      <c r="V5117" s="28" t="n">
        <f aca="false">2171980/100</f>
        <v>21719.8</v>
      </c>
      <c r="W5117" s="28" t="n">
        <v>542995</v>
      </c>
      <c r="X5117" s="28" t="n">
        <f aca="false">11567/100</f>
        <v>115.67</v>
      </c>
      <c r="Y5117" s="28" t="n">
        <v>2892</v>
      </c>
      <c r="Z5117" s="28" t="n">
        <f aca="false">985/100</f>
        <v>9.85</v>
      </c>
      <c r="AA5117" s="28" t="n">
        <v>246</v>
      </c>
      <c r="AB5117" s="28" t="n">
        <f aca="false">399494/100</f>
        <v>3994.94</v>
      </c>
      <c r="AC5117" s="28" t="n">
        <v>99873</v>
      </c>
      <c r="AD5117" s="28"/>
      <c r="AE5117" s="28" t="n">
        <f aca="false">AD5117*$M5117</f>
        <v>0</v>
      </c>
      <c r="AF5117" s="28"/>
      <c r="AG5117" s="28" t="n">
        <f aca="false">AF5117*$M5117</f>
        <v>0</v>
      </c>
      <c r="AH5117" s="28"/>
      <c r="AI5117" s="28" t="n">
        <f aca="false">AH5117*$M5117</f>
        <v>0</v>
      </c>
      <c r="AJ5117" s="28"/>
      <c r="AK5117" s="28" t="n">
        <f aca="false">AJ5117*$M5117</f>
        <v>0</v>
      </c>
      <c r="AL5117" s="28"/>
      <c r="AM5117" s="28" t="n">
        <f aca="false">AL5117*$M5117</f>
        <v>0</v>
      </c>
      <c r="AN5117" s="28"/>
      <c r="AO5117" s="28" t="n">
        <f aca="false">AN5117*$M5117</f>
        <v>0</v>
      </c>
      <c r="AP5117" s="28"/>
      <c r="AQ5117" s="28" t="n">
        <f aca="false">AP5117*$M5117</f>
        <v>0</v>
      </c>
      <c r="AR5117" s="28"/>
      <c r="AS5117" s="28" t="n">
        <f aca="false">AR5117*$M5117</f>
        <v>0</v>
      </c>
      <c r="AT5117" s="28"/>
      <c r="AU5117" s="28" t="n">
        <f aca="false">AT5117*$M5117</f>
        <v>0</v>
      </c>
      <c r="AV5117" s="28"/>
      <c r="AW5117" s="28" t="n">
        <f aca="false">AV5117*$M5117</f>
        <v>0</v>
      </c>
      <c r="AX5117" s="28" t="n">
        <f aca="false">57000/100</f>
        <v>570</v>
      </c>
      <c r="AY5117" s="28" t="n">
        <v>14250</v>
      </c>
      <c r="AZ5117" s="30" t="n">
        <f aca="false">4305527/100</f>
        <v>43055.27</v>
      </c>
      <c r="BA5117" s="11" t="n">
        <v>1076381</v>
      </c>
      <c r="BB5117" s="31" t="n">
        <f aca="false">SUM(Q5117,S5117,U5117,W5117,Y5117,AA5117,AC5117,AE5117,AG5117,AI5117,AK5117,AM5117,AO5117,AQ5117,AS5117,AU5117,AW5117,AY5117)</f>
        <v>1076381</v>
      </c>
      <c r="BC5117" s="28" t="n">
        <f aca="false">BA5117-BB5117</f>
        <v>0</v>
      </c>
      <c r="BD5117" s="32" t="n">
        <f aca="false">SUM(P5117,R5117,T5117,V5117,X5117,Z5117,AB5117,AD5117,AF5117,AH5117,AJ5117,AL5117,AN5117,AP5117,AR5117,AT5117,AV5117,AX5117)</f>
        <v>43055.27</v>
      </c>
      <c r="BE5117" s="33" t="n">
        <f aca="false">AZ5117-BD5117</f>
        <v>0</v>
      </c>
      <c r="BF5117" s="34" t="n">
        <f aca="false">BD5117*M5117</f>
        <v>1076381.75</v>
      </c>
      <c r="BG5117" s="35" t="n">
        <f aca="false">BA5117-BF5117</f>
        <v>-0.75</v>
      </c>
      <c r="BH5117" s="19" t="str">
        <f aca="false">IF(BG5117=0,"",IF(BG5117&lt;&gt;BA5117,"erreur de calcul",IF(BD5117&lt;&gt;0,"pas de prix",IF(M5117&lt;&gt; 0,"pas de quantité","pas de prix, ni de quantité"))))</f>
        <v>erreur de calcul</v>
      </c>
      <c r="BI5117" s="19"/>
    </row>
    <row r="5118" customFormat="false" ht="15" hidden="false" customHeight="false" outlineLevel="0" collapsed="false">
      <c r="A5118" s="0" t="n">
        <v>38</v>
      </c>
      <c r="B5118" s="8" t="s">
        <v>24</v>
      </c>
      <c r="C5118" s="9" t="s">
        <v>25</v>
      </c>
      <c r="D5118" s="9" t="s">
        <v>26</v>
      </c>
      <c r="E5118" s="10" t="n">
        <v>1789</v>
      </c>
      <c r="F5118" s="9" t="s">
        <v>27</v>
      </c>
      <c r="G5118" s="9" t="s">
        <v>27</v>
      </c>
      <c r="H5118" s="11" t="n">
        <v>23</v>
      </c>
      <c r="I5118" s="11" t="s">
        <v>281</v>
      </c>
      <c r="J5118" s="14" t="n">
        <v>18</v>
      </c>
      <c r="K5118" s="14"/>
      <c r="L5118" s="16"/>
      <c r="M5118" s="27" t="n">
        <f aca="false">J5118+(K5118/20)+(L5118/240)</f>
        <v>18</v>
      </c>
      <c r="N5118" s="17" t="s">
        <v>275</v>
      </c>
      <c r="O5118" s="11"/>
      <c r="P5118" s="28"/>
      <c r="Q5118" s="28" t="n">
        <f aca="false">P5118*$M5118</f>
        <v>0</v>
      </c>
      <c r="R5118" s="28"/>
      <c r="S5118" s="28" t="n">
        <f aca="false">R5118*$M5118</f>
        <v>0</v>
      </c>
      <c r="T5118" s="28" t="n">
        <v>537</v>
      </c>
      <c r="U5118" s="28" t="n">
        <v>9666</v>
      </c>
      <c r="V5118" s="28"/>
      <c r="W5118" s="28" t="n">
        <f aca="false">V5118*$M5118</f>
        <v>0</v>
      </c>
      <c r="X5118" s="28"/>
      <c r="Y5118" s="28" t="n">
        <f aca="false">X5118*$M5118</f>
        <v>0</v>
      </c>
      <c r="Z5118" s="28"/>
      <c r="AA5118" s="28" t="n">
        <f aca="false">Z5118*$M5118</f>
        <v>0</v>
      </c>
      <c r="AB5118" s="28"/>
      <c r="AC5118" s="28" t="n">
        <f aca="false">AB5118*$M5118</f>
        <v>0</v>
      </c>
      <c r="AD5118" s="28"/>
      <c r="AE5118" s="28" t="n">
        <f aca="false">AD5118*$M5118</f>
        <v>0</v>
      </c>
      <c r="AF5118" s="28"/>
      <c r="AG5118" s="28" t="n">
        <f aca="false">AF5118*$M5118</f>
        <v>0</v>
      </c>
      <c r="AH5118" s="28"/>
      <c r="AI5118" s="28" t="n">
        <f aca="false">AH5118*$M5118</f>
        <v>0</v>
      </c>
      <c r="AJ5118" s="28"/>
      <c r="AK5118" s="28" t="n">
        <f aca="false">AJ5118*$M5118</f>
        <v>0</v>
      </c>
      <c r="AL5118" s="28"/>
      <c r="AM5118" s="28" t="n">
        <f aca="false">AL5118*$M5118</f>
        <v>0</v>
      </c>
      <c r="AN5118" s="28"/>
      <c r="AO5118" s="28" t="n">
        <f aca="false">AN5118*$M5118</f>
        <v>0</v>
      </c>
      <c r="AP5118" s="28"/>
      <c r="AQ5118" s="28" t="n">
        <f aca="false">AP5118*$M5118</f>
        <v>0</v>
      </c>
      <c r="AR5118" s="28"/>
      <c r="AS5118" s="28" t="n">
        <f aca="false">AR5118*$M5118</f>
        <v>0</v>
      </c>
      <c r="AT5118" s="28"/>
      <c r="AU5118" s="28" t="n">
        <f aca="false">AT5118*$M5118</f>
        <v>0</v>
      </c>
      <c r="AV5118" s="28" t="n">
        <v>1700</v>
      </c>
      <c r="AW5118" s="36" t="n">
        <v>33600</v>
      </c>
      <c r="AX5118" s="28"/>
      <c r="AY5118" s="28" t="n">
        <f aca="false">AX5118*$M5118</f>
        <v>0</v>
      </c>
      <c r="AZ5118" s="30" t="n">
        <v>2237</v>
      </c>
      <c r="BA5118" s="11" t="n">
        <v>43266</v>
      </c>
      <c r="BB5118" s="31" t="n">
        <f aca="false">SUM(Q5118,S5118,U5118,W5118,Y5118,AA5118,AC5118,AE5118,AG5118,AI5118,AK5118,AM5118,AO5118,AQ5118,AS5118,AU5118,AW5118,AY5118)</f>
        <v>43266</v>
      </c>
      <c r="BC5118" s="28" t="n">
        <f aca="false">BA5118-BB5118</f>
        <v>0</v>
      </c>
      <c r="BD5118" s="32" t="n">
        <f aca="false">SUM(P5118,R5118,T5118,V5118,X5118,Z5118,AB5118,AD5118,AF5118,AH5118,AJ5118,AL5118,AN5118,AP5118,AR5118,AT5118,AV5118,AX5118)</f>
        <v>2237</v>
      </c>
      <c r="BE5118" s="33" t="n">
        <f aca="false">AZ5118-BD5118</f>
        <v>0</v>
      </c>
      <c r="BF5118" s="34" t="n">
        <f aca="false">BD5118*M5118</f>
        <v>40266</v>
      </c>
      <c r="BG5118" s="35" t="n">
        <f aca="false">BA5118-BF5118</f>
        <v>3000</v>
      </c>
      <c r="BH5118" s="19" t="str">
        <f aca="false">IF(BG5118=0,"",IF(BG5118&lt;&gt;BA5118,"erreur de calcul",IF(BD5118&lt;&gt;0,"pas de prix",IF(M5118&lt;&gt; 0,"pas de quantité","pas de prix, ni de quantité"))))</f>
        <v>erreur de calcul</v>
      </c>
      <c r="BI5118" s="19"/>
    </row>
    <row r="5119" customFormat="false" ht="15" hidden="false" customHeight="false" outlineLevel="0" collapsed="false">
      <c r="A5119" s="0" t="n">
        <v>39</v>
      </c>
      <c r="B5119" s="8" t="s">
        <v>24</v>
      </c>
      <c r="C5119" s="9" t="s">
        <v>25</v>
      </c>
      <c r="D5119" s="9" t="s">
        <v>26</v>
      </c>
      <c r="E5119" s="10" t="n">
        <v>1789</v>
      </c>
      <c r="F5119" s="9" t="s">
        <v>27</v>
      </c>
      <c r="G5119" s="9" t="s">
        <v>27</v>
      </c>
      <c r="H5119" s="11" t="n">
        <v>23</v>
      </c>
      <c r="I5119" s="11" t="s">
        <v>282</v>
      </c>
      <c r="J5119" s="14"/>
      <c r="K5119" s="14"/>
      <c r="L5119" s="16"/>
      <c r="M5119" s="27" t="n">
        <f aca="false">J5119+(K5119/20)+(L5119/240)</f>
        <v>0</v>
      </c>
      <c r="N5119" s="17"/>
      <c r="O5119" s="11"/>
      <c r="P5119" s="28"/>
      <c r="Q5119" s="28" t="n">
        <f aca="false">P5119*$M5119</f>
        <v>0</v>
      </c>
      <c r="R5119" s="28"/>
      <c r="S5119" s="28" t="n">
        <f aca="false">R5119*$M5119</f>
        <v>0</v>
      </c>
      <c r="T5119" s="28"/>
      <c r="U5119" s="28" t="n">
        <v>1962</v>
      </c>
      <c r="V5119" s="28"/>
      <c r="W5119" s="28" t="n">
        <v>148</v>
      </c>
      <c r="X5119" s="28"/>
      <c r="Y5119" s="28" t="n">
        <v>221</v>
      </c>
      <c r="Z5119" s="28"/>
      <c r="AA5119" s="28" t="n">
        <f aca="false">Z5119*$M5119</f>
        <v>0</v>
      </c>
      <c r="AB5119" s="28"/>
      <c r="AC5119" s="28" t="n">
        <v>725</v>
      </c>
      <c r="AD5119" s="28"/>
      <c r="AE5119" s="28" t="n">
        <f aca="false">AD5119*$M5119</f>
        <v>0</v>
      </c>
      <c r="AF5119" s="28"/>
      <c r="AG5119" s="28" t="n">
        <v>414</v>
      </c>
      <c r="AH5119" s="28"/>
      <c r="AI5119" s="28" t="n">
        <f aca="false">AH5119*$M5119</f>
        <v>0</v>
      </c>
      <c r="AJ5119" s="28"/>
      <c r="AK5119" s="28" t="n">
        <f aca="false">AJ5119*$M5119</f>
        <v>0</v>
      </c>
      <c r="AL5119" s="28"/>
      <c r="AM5119" s="28" t="n">
        <f aca="false">AL5119*$M5119</f>
        <v>0</v>
      </c>
      <c r="AN5119" s="28"/>
      <c r="AO5119" s="28" t="n">
        <f aca="false">AN5119*$M5119</f>
        <v>0</v>
      </c>
      <c r="AP5119" s="28"/>
      <c r="AQ5119" s="28" t="n">
        <f aca="false">AP5119*$M5119</f>
        <v>0</v>
      </c>
      <c r="AR5119" s="28"/>
      <c r="AS5119" s="28" t="n">
        <f aca="false">AR5119*$M5119</f>
        <v>0</v>
      </c>
      <c r="AT5119" s="28"/>
      <c r="AU5119" s="28" t="n">
        <v>276</v>
      </c>
      <c r="AV5119" s="28"/>
      <c r="AW5119" s="28" t="n">
        <f aca="false">AV5119*$M5119</f>
        <v>0</v>
      </c>
      <c r="AX5119" s="28"/>
      <c r="AY5119" s="28" t="n">
        <f aca="false">AX5119*$M5119</f>
        <v>0</v>
      </c>
      <c r="AZ5119" s="30"/>
      <c r="BA5119" s="11" t="n">
        <v>3746</v>
      </c>
      <c r="BB5119" s="31" t="n">
        <f aca="false">SUM(Q5119,S5119,U5119,W5119,Y5119,AA5119,AC5119,AE5119,AG5119,AI5119,AK5119,AM5119,AO5119,AQ5119,AS5119,AU5119,AW5119,AY5119)</f>
        <v>3746</v>
      </c>
      <c r="BC5119" s="28" t="n">
        <f aca="false">BA5119-BB5119</f>
        <v>0</v>
      </c>
      <c r="BD5119" s="32" t="n">
        <f aca="false">SUM(P5119,R5119,T5119,V5119,X5119,Z5119,AB5119,AD5119,AF5119,AH5119,AJ5119,AL5119,AN5119,AP5119,AR5119,AT5119,AV5119,AX5119)</f>
        <v>0</v>
      </c>
      <c r="BE5119" s="33" t="n">
        <f aca="false">AZ5119-BD5119</f>
        <v>0</v>
      </c>
      <c r="BF5119" s="34" t="n">
        <f aca="false">BD5119*M5119</f>
        <v>0</v>
      </c>
      <c r="BG5119" s="35" t="n">
        <f aca="false">BA5119-BF5119</f>
        <v>3746</v>
      </c>
      <c r="BH5119" s="19" t="str">
        <f aca="false">IF(BG5119=0,"",IF(BG5119&lt;&gt;BA5119,"erreur de calcul",IF(BD5119&lt;&gt;0,"pas de prix",IF(M5119&lt;&gt; 0,"pas de quantité","pas de prix, ni de quantité"))))</f>
        <v>pas de prix, ni de quantité</v>
      </c>
      <c r="BI5119" s="19"/>
    </row>
    <row r="5120" customFormat="false" ht="15" hidden="false" customHeight="false" outlineLevel="0" collapsed="false">
      <c r="A5120" s="0" t="n">
        <v>40</v>
      </c>
      <c r="B5120" s="8" t="s">
        <v>24</v>
      </c>
      <c r="C5120" s="9" t="s">
        <v>25</v>
      </c>
      <c r="D5120" s="9" t="s">
        <v>26</v>
      </c>
      <c r="E5120" s="10" t="n">
        <v>1789</v>
      </c>
      <c r="F5120" s="9" t="s">
        <v>27</v>
      </c>
      <c r="G5120" s="9" t="s">
        <v>27</v>
      </c>
      <c r="H5120" s="11" t="n">
        <v>23</v>
      </c>
      <c r="I5120" s="11" t="s">
        <v>283</v>
      </c>
      <c r="J5120" s="14" t="n">
        <v>25</v>
      </c>
      <c r="K5120" s="14"/>
      <c r="L5120" s="16"/>
      <c r="M5120" s="27" t="n">
        <f aca="false">J5120+(K5120/20)+(L5120/240)</f>
        <v>25</v>
      </c>
      <c r="N5120" s="17" t="s">
        <v>64</v>
      </c>
      <c r="O5120" s="11"/>
      <c r="P5120" s="28" t="n">
        <f aca="false">12568/100</f>
        <v>125.68</v>
      </c>
      <c r="Q5120" s="28" t="n">
        <v>3142</v>
      </c>
      <c r="R5120" s="28"/>
      <c r="S5120" s="28" t="n">
        <f aca="false">R5120*$M5120</f>
        <v>0</v>
      </c>
      <c r="T5120" s="28"/>
      <c r="U5120" s="28" t="n">
        <f aca="false">T5120*$M5120</f>
        <v>0</v>
      </c>
      <c r="V5120" s="28"/>
      <c r="W5120" s="28" t="n">
        <f aca="false">V5120*$M5120</f>
        <v>0</v>
      </c>
      <c r="X5120" s="28"/>
      <c r="Y5120" s="28" t="n">
        <f aca="false">X5120*$M5120</f>
        <v>0</v>
      </c>
      <c r="Z5120" s="28"/>
      <c r="AA5120" s="28" t="n">
        <f aca="false">Z5120*$M5120</f>
        <v>0</v>
      </c>
      <c r="AB5120" s="28"/>
      <c r="AC5120" s="28" t="n">
        <f aca="false">AB5120*$M5120</f>
        <v>0</v>
      </c>
      <c r="AD5120" s="28"/>
      <c r="AE5120" s="28" t="n">
        <f aca="false">AD5120*$M5120</f>
        <v>0</v>
      </c>
      <c r="AF5120" s="28"/>
      <c r="AG5120" s="28" t="n">
        <f aca="false">AF5120*$M5120</f>
        <v>0</v>
      </c>
      <c r="AH5120" s="28" t="n">
        <f aca="false">5355/100</f>
        <v>53.55</v>
      </c>
      <c r="AI5120" s="28" t="n">
        <v>1339</v>
      </c>
      <c r="AJ5120" s="28"/>
      <c r="AK5120" s="28" t="n">
        <f aca="false">AJ5120*$M5120</f>
        <v>0</v>
      </c>
      <c r="AL5120" s="28"/>
      <c r="AM5120" s="28" t="n">
        <f aca="false">AL5120*$M5120</f>
        <v>0</v>
      </c>
      <c r="AN5120" s="28"/>
      <c r="AO5120" s="28" t="n">
        <f aca="false">AN5120*$M5120</f>
        <v>0</v>
      </c>
      <c r="AP5120" s="28"/>
      <c r="AQ5120" s="28" t="n">
        <f aca="false">AP5120*$M5120</f>
        <v>0</v>
      </c>
      <c r="AR5120" s="28"/>
      <c r="AS5120" s="28" t="n">
        <f aca="false">AR5120*$M5120</f>
        <v>0</v>
      </c>
      <c r="AT5120" s="28"/>
      <c r="AU5120" s="28" t="n">
        <f aca="false">AT5120*$M5120</f>
        <v>0</v>
      </c>
      <c r="AV5120" s="28"/>
      <c r="AW5120" s="28" t="n">
        <f aca="false">AV5120*$M5120</f>
        <v>0</v>
      </c>
      <c r="AX5120" s="28"/>
      <c r="AY5120" s="28" t="n">
        <f aca="false">AX5120*$M5120</f>
        <v>0</v>
      </c>
      <c r="AZ5120" s="30" t="n">
        <f aca="false">17923/100</f>
        <v>179.23</v>
      </c>
      <c r="BA5120" s="11" t="n">
        <v>4481</v>
      </c>
      <c r="BB5120" s="31" t="n">
        <f aca="false">SUM(Q5120,S5120,U5120,W5120,Y5120,AA5120,AC5120,AE5120,AG5120,AI5120,AK5120,AM5120,AO5120,AQ5120,AS5120,AU5120,AW5120,AY5120)</f>
        <v>4481</v>
      </c>
      <c r="BC5120" s="28" t="n">
        <f aca="false">BA5120-BB5120</f>
        <v>0</v>
      </c>
      <c r="BD5120" s="32" t="n">
        <f aca="false">SUM(P5120,R5120,T5120,V5120,X5120,Z5120,AB5120,AD5120,AF5120,AH5120,AJ5120,AL5120,AN5120,AP5120,AR5120,AT5120,AV5120,AX5120)</f>
        <v>179.23</v>
      </c>
      <c r="BE5120" s="33" t="n">
        <f aca="false">AZ5120-BD5120</f>
        <v>0</v>
      </c>
      <c r="BF5120" s="34" t="n">
        <f aca="false">BD5120*M5120</f>
        <v>4480.75</v>
      </c>
      <c r="BG5120" s="35" t="n">
        <f aca="false">BA5120-BF5120</f>
        <v>0.25</v>
      </c>
      <c r="BH5120" s="19" t="str">
        <f aca="false">IF(BG5120=0,"",IF(BG5120&lt;&gt;BA5120,"erreur de calcul",IF(BD5120&lt;&gt;0,"pas de prix",IF(M5120&lt;&gt; 0,"pas de quantité","pas de prix, ni de quantité"))))</f>
        <v>erreur de calcul</v>
      </c>
      <c r="BI5120" s="19"/>
    </row>
    <row r="5121" customFormat="false" ht="15" hidden="false" customHeight="false" outlineLevel="0" collapsed="false">
      <c r="A5121" s="0" t="n">
        <v>41</v>
      </c>
      <c r="B5121" s="8" t="s">
        <v>24</v>
      </c>
      <c r="C5121" s="9" t="s">
        <v>25</v>
      </c>
      <c r="D5121" s="9" t="s">
        <v>26</v>
      </c>
      <c r="E5121" s="10" t="n">
        <v>1789</v>
      </c>
      <c r="F5121" s="9" t="s">
        <v>27</v>
      </c>
      <c r="G5121" s="9" t="s">
        <v>27</v>
      </c>
      <c r="H5121" s="11" t="n">
        <v>23</v>
      </c>
      <c r="I5121" s="11" t="s">
        <v>284</v>
      </c>
      <c r="J5121" s="14" t="n">
        <v>17</v>
      </c>
      <c r="K5121" s="14"/>
      <c r="L5121" s="16"/>
      <c r="M5121" s="27" t="n">
        <f aca="false">J5121+(K5121/20)+(L5121/240)</f>
        <v>17</v>
      </c>
      <c r="N5121" s="17" t="s">
        <v>64</v>
      </c>
      <c r="O5121" s="11"/>
      <c r="P5121" s="28" t="n">
        <f aca="false">56873/100</f>
        <v>568.73</v>
      </c>
      <c r="Q5121" s="36" t="n">
        <v>3981</v>
      </c>
      <c r="R5121" s="28"/>
      <c r="S5121" s="28" t="n">
        <f aca="false">R5121*$M5121</f>
        <v>0</v>
      </c>
      <c r="T5121" s="28"/>
      <c r="U5121" s="28" t="n">
        <f aca="false">T5121*$M5121</f>
        <v>0</v>
      </c>
      <c r="V5121" s="28"/>
      <c r="W5121" s="28" t="n">
        <f aca="false">V5121*$M5121</f>
        <v>0</v>
      </c>
      <c r="X5121" s="28"/>
      <c r="Y5121" s="28" t="n">
        <f aca="false">X5121*$M5121</f>
        <v>0</v>
      </c>
      <c r="Z5121" s="28"/>
      <c r="AA5121" s="28" t="n">
        <f aca="false">Z5121*$M5121</f>
        <v>0</v>
      </c>
      <c r="AB5121" s="28"/>
      <c r="AC5121" s="28" t="n">
        <f aca="false">AB5121*$M5121</f>
        <v>0</v>
      </c>
      <c r="AD5121" s="28"/>
      <c r="AE5121" s="28" t="n">
        <f aca="false">AD5121*$M5121</f>
        <v>0</v>
      </c>
      <c r="AF5121" s="28"/>
      <c r="AG5121" s="28" t="n">
        <f aca="false">AF5121*$M5121</f>
        <v>0</v>
      </c>
      <c r="AH5121" s="28"/>
      <c r="AI5121" s="28" t="n">
        <f aca="false">AH5121*$M5121</f>
        <v>0</v>
      </c>
      <c r="AJ5121" s="28" t="n">
        <f aca="false">19651/100</f>
        <v>196.51</v>
      </c>
      <c r="AK5121" s="28" t="n">
        <v>3341</v>
      </c>
      <c r="AL5121" s="28"/>
      <c r="AM5121" s="28" t="n">
        <f aca="false">AL5121*$M5121</f>
        <v>0</v>
      </c>
      <c r="AN5121" s="28"/>
      <c r="AO5121" s="28" t="n">
        <f aca="false">AN5121*$M5121</f>
        <v>0</v>
      </c>
      <c r="AP5121" s="28"/>
      <c r="AQ5121" s="28" t="n">
        <f aca="false">AP5121*$M5121</f>
        <v>0</v>
      </c>
      <c r="AR5121" s="28"/>
      <c r="AS5121" s="28" t="n">
        <f aca="false">AR5121*$M5121</f>
        <v>0</v>
      </c>
      <c r="AT5121" s="28"/>
      <c r="AU5121" s="28" t="n">
        <f aca="false">AT5121*$M5121</f>
        <v>0</v>
      </c>
      <c r="AV5121" s="28"/>
      <c r="AW5121" s="28" t="n">
        <f aca="false">AV5121*$M5121</f>
        <v>0</v>
      </c>
      <c r="AX5121" s="28"/>
      <c r="AY5121" s="28" t="n">
        <f aca="false">AX5121*$M5121</f>
        <v>0</v>
      </c>
      <c r="AZ5121" s="30" t="n">
        <f aca="false">76524/100</f>
        <v>765.24</v>
      </c>
      <c r="BA5121" s="11" t="n">
        <v>7322</v>
      </c>
      <c r="BB5121" s="31" t="n">
        <f aca="false">SUM(Q5121,S5121,U5121,W5121,Y5121,AA5121,AC5121,AE5121,AG5121,AI5121,AK5121,AM5121,AO5121,AQ5121,AS5121,AU5121,AW5121,AY5121)</f>
        <v>7322</v>
      </c>
      <c r="BC5121" s="28" t="n">
        <f aca="false">BA5121-BB5121</f>
        <v>0</v>
      </c>
      <c r="BD5121" s="32" t="n">
        <f aca="false">SUM(P5121,R5121,T5121,V5121,X5121,Z5121,AB5121,AD5121,AF5121,AH5121,AJ5121,AL5121,AN5121,AP5121,AR5121,AT5121,AV5121,AX5121)</f>
        <v>765.24</v>
      </c>
      <c r="BE5121" s="33" t="n">
        <f aca="false">AZ5121-BD5121</f>
        <v>0</v>
      </c>
      <c r="BF5121" s="34" t="n">
        <f aca="false">BD5121*M5121</f>
        <v>13009.08</v>
      </c>
      <c r="BG5121" s="35" t="n">
        <f aca="false">BA5121-BF5121</f>
        <v>-5687.08</v>
      </c>
      <c r="BH5121" s="19" t="str">
        <f aca="false">IF(BG5121=0,"",IF(BG5121&lt;&gt;BA5121,"erreur de calcul",IF(BD5121&lt;&gt;0,"pas de prix",IF(M5121&lt;&gt; 0,"pas de quantité","pas de prix, ni de quantité"))))</f>
        <v>erreur de calcul</v>
      </c>
      <c r="BI5121" s="19"/>
    </row>
    <row r="5122" customFormat="false" ht="15" hidden="false" customHeight="false" outlineLevel="0" collapsed="false">
      <c r="A5122" s="0" t="n">
        <v>42</v>
      </c>
      <c r="B5122" s="8" t="s">
        <v>24</v>
      </c>
      <c r="C5122" s="9" t="s">
        <v>25</v>
      </c>
      <c r="D5122" s="9" t="s">
        <v>26</v>
      </c>
      <c r="E5122" s="10" t="n">
        <v>1789</v>
      </c>
      <c r="F5122" s="9" t="s">
        <v>27</v>
      </c>
      <c r="G5122" s="9" t="s">
        <v>27</v>
      </c>
      <c r="H5122" s="11" t="n">
        <v>23</v>
      </c>
      <c r="I5122" s="11" t="s">
        <v>285</v>
      </c>
      <c r="J5122" s="14" t="n">
        <v>15</v>
      </c>
      <c r="K5122" s="14"/>
      <c r="L5122" s="16"/>
      <c r="M5122" s="27" t="n">
        <f aca="false">J5122+(K5122/20)+(L5122/240)</f>
        <v>15</v>
      </c>
      <c r="N5122" s="17" t="s">
        <v>64</v>
      </c>
      <c r="O5122" s="11"/>
      <c r="P5122" s="28" t="n">
        <f aca="false">10520/100</f>
        <v>105.2</v>
      </c>
      <c r="Q5122" s="28" t="n">
        <v>1578</v>
      </c>
      <c r="R5122" s="28"/>
      <c r="S5122" s="28" t="n">
        <f aca="false">R5122*$M5122</f>
        <v>0</v>
      </c>
      <c r="T5122" s="28"/>
      <c r="U5122" s="28" t="n">
        <f aca="false">T5122*$M5122</f>
        <v>0</v>
      </c>
      <c r="V5122" s="28"/>
      <c r="W5122" s="28" t="n">
        <f aca="false">V5122*$M5122</f>
        <v>0</v>
      </c>
      <c r="X5122" s="28" t="n">
        <f aca="false">39052/100</f>
        <v>390.52</v>
      </c>
      <c r="Y5122" s="28" t="n">
        <v>5858</v>
      </c>
      <c r="Z5122" s="28"/>
      <c r="AA5122" s="28" t="n">
        <f aca="false">Z5122*$M5122</f>
        <v>0</v>
      </c>
      <c r="AB5122" s="28" t="n">
        <f aca="false">101189/100</f>
        <v>1011.89</v>
      </c>
      <c r="AC5122" s="28" t="n">
        <v>15178</v>
      </c>
      <c r="AD5122" s="28"/>
      <c r="AE5122" s="28" t="n">
        <f aca="false">AD5122*$M5122</f>
        <v>0</v>
      </c>
      <c r="AF5122" s="28" t="n">
        <f aca="false">48408/100</f>
        <v>484.08</v>
      </c>
      <c r="AG5122" s="28" t="n">
        <v>7261</v>
      </c>
      <c r="AH5122" s="28" t="n">
        <f aca="false">17847/100</f>
        <v>178.47</v>
      </c>
      <c r="AI5122" s="28" t="n">
        <v>2677</v>
      </c>
      <c r="AJ5122" s="28"/>
      <c r="AK5122" s="28" t="n">
        <f aca="false">AJ5122*$M5122</f>
        <v>0</v>
      </c>
      <c r="AL5122" s="28"/>
      <c r="AM5122" s="28" t="n">
        <f aca="false">AL5122*$M5122</f>
        <v>0</v>
      </c>
      <c r="AN5122" s="28"/>
      <c r="AO5122" s="28" t="n">
        <f aca="false">AN5122*$M5122</f>
        <v>0</v>
      </c>
      <c r="AP5122" s="28"/>
      <c r="AQ5122" s="28" t="n">
        <f aca="false">AP5122*$M5122</f>
        <v>0</v>
      </c>
      <c r="AR5122" s="28"/>
      <c r="AS5122" s="28" t="n">
        <f aca="false">AR5122*$M5122</f>
        <v>0</v>
      </c>
      <c r="AT5122" s="28"/>
      <c r="AU5122" s="28" t="n">
        <f aca="false">AT5122*$M5122</f>
        <v>0</v>
      </c>
      <c r="AV5122" s="28"/>
      <c r="AW5122" s="28" t="n">
        <f aca="false">AV5122*$M5122</f>
        <v>0</v>
      </c>
      <c r="AX5122" s="28"/>
      <c r="AY5122" s="28" t="n">
        <f aca="false">AX5122*$M5122</f>
        <v>0</v>
      </c>
      <c r="AZ5122" s="30" t="n">
        <f aca="false">217016/100</f>
        <v>2170.16</v>
      </c>
      <c r="BA5122" s="11" t="n">
        <v>32552</v>
      </c>
      <c r="BB5122" s="31" t="n">
        <f aca="false">SUM(Q5122,S5122,U5122,W5122,Y5122,AA5122,AC5122,AE5122,AG5122,AI5122,AK5122,AM5122,AO5122,AQ5122,AS5122,AU5122,AW5122,AY5122)</f>
        <v>32552</v>
      </c>
      <c r="BC5122" s="28" t="n">
        <f aca="false">BA5122-BB5122</f>
        <v>0</v>
      </c>
      <c r="BD5122" s="32" t="n">
        <f aca="false">SUM(P5122,R5122,T5122,V5122,X5122,Z5122,AB5122,AD5122,AF5122,AH5122,AJ5122,AL5122,AN5122,AP5122,AR5122,AT5122,AV5122,AX5122)</f>
        <v>2170.16</v>
      </c>
      <c r="BE5122" s="33" t="n">
        <f aca="false">AZ5122-BD5122</f>
        <v>0</v>
      </c>
      <c r="BF5122" s="34" t="n">
        <f aca="false">BD5122*M5122</f>
        <v>32552.4</v>
      </c>
      <c r="BG5122" s="35" t="n">
        <f aca="false">BA5122-BF5122</f>
        <v>-0.399999999997817</v>
      </c>
      <c r="BH5122" s="19" t="str">
        <f aca="false">IF(BG5122=0,"",IF(BG5122&lt;&gt;BA5122,"erreur de calcul",IF(BD5122&lt;&gt;0,"pas de prix",IF(M5122&lt;&gt; 0,"pas de quantité","pas de prix, ni de quantité"))))</f>
        <v>erreur de calcul</v>
      </c>
      <c r="BI5122" s="19"/>
    </row>
    <row r="5123" customFormat="false" ht="15" hidden="false" customHeight="false" outlineLevel="0" collapsed="false">
      <c r="A5123" s="0" t="n">
        <v>43</v>
      </c>
      <c r="B5123" s="8" t="s">
        <v>24</v>
      </c>
      <c r="C5123" s="9" t="s">
        <v>25</v>
      </c>
      <c r="D5123" s="9" t="s">
        <v>26</v>
      </c>
      <c r="E5123" s="10" t="n">
        <v>1789</v>
      </c>
      <c r="F5123" s="9" t="s">
        <v>27</v>
      </c>
      <c r="G5123" s="9" t="s">
        <v>27</v>
      </c>
      <c r="H5123" s="11" t="n">
        <v>23</v>
      </c>
      <c r="I5123" s="11" t="s">
        <v>286</v>
      </c>
      <c r="J5123" s="14" t="n">
        <v>20</v>
      </c>
      <c r="K5123" s="14"/>
      <c r="L5123" s="16"/>
      <c r="M5123" s="27" t="n">
        <f aca="false">J5123+(K5123/20)+(L5123/240)</f>
        <v>20</v>
      </c>
      <c r="N5123" s="17" t="s">
        <v>64</v>
      </c>
      <c r="O5123" s="11"/>
      <c r="P5123" s="28"/>
      <c r="Q5123" s="28" t="n">
        <f aca="false">P5123*$M5123</f>
        <v>0</v>
      </c>
      <c r="R5123" s="28"/>
      <c r="S5123" s="28" t="n">
        <f aca="false">R5123*$M5123</f>
        <v>0</v>
      </c>
      <c r="T5123" s="28"/>
      <c r="U5123" s="28" t="n">
        <f aca="false">T5123*$M5123</f>
        <v>0</v>
      </c>
      <c r="V5123" s="28"/>
      <c r="W5123" s="28" t="n">
        <f aca="false">V5123*$M5123</f>
        <v>0</v>
      </c>
      <c r="X5123" s="28"/>
      <c r="Y5123" s="28" t="n">
        <f aca="false">X5123*$M5123</f>
        <v>0</v>
      </c>
      <c r="Z5123" s="28"/>
      <c r="AA5123" s="28" t="n">
        <f aca="false">Z5123*$M5123</f>
        <v>0</v>
      </c>
      <c r="AB5123" s="28" t="n">
        <f aca="false">8852/100</f>
        <v>88.52</v>
      </c>
      <c r="AC5123" s="28" t="n">
        <v>1770</v>
      </c>
      <c r="AD5123" s="28"/>
      <c r="AE5123" s="28" t="n">
        <f aca="false">AD5123*$M5123</f>
        <v>0</v>
      </c>
      <c r="AF5123" s="28"/>
      <c r="AG5123" s="28" t="n">
        <f aca="false">AF5123*$M5123</f>
        <v>0</v>
      </c>
      <c r="AH5123" s="28"/>
      <c r="AI5123" s="28" t="n">
        <f aca="false">AH5123*$M5123</f>
        <v>0</v>
      </c>
      <c r="AJ5123" s="28"/>
      <c r="AK5123" s="28" t="n">
        <f aca="false">AJ5123*$M5123</f>
        <v>0</v>
      </c>
      <c r="AL5123" s="28"/>
      <c r="AM5123" s="28" t="n">
        <f aca="false">AL5123*$M5123</f>
        <v>0</v>
      </c>
      <c r="AN5123" s="28"/>
      <c r="AO5123" s="28" t="n">
        <f aca="false">AN5123*$M5123</f>
        <v>0</v>
      </c>
      <c r="AP5123" s="28"/>
      <c r="AQ5123" s="28" t="n">
        <f aca="false">AP5123*$M5123</f>
        <v>0</v>
      </c>
      <c r="AR5123" s="28"/>
      <c r="AS5123" s="28" t="n">
        <f aca="false">AR5123*$M5123</f>
        <v>0</v>
      </c>
      <c r="AT5123" s="28"/>
      <c r="AU5123" s="28" t="n">
        <f aca="false">AT5123*$M5123</f>
        <v>0</v>
      </c>
      <c r="AV5123" s="28"/>
      <c r="AW5123" s="28" t="n">
        <f aca="false">AV5123*$M5123</f>
        <v>0</v>
      </c>
      <c r="AX5123" s="28"/>
      <c r="AY5123" s="28" t="n">
        <f aca="false">AX5123*$M5123</f>
        <v>0</v>
      </c>
      <c r="AZ5123" s="30" t="n">
        <f aca="false">8852/100</f>
        <v>88.52</v>
      </c>
      <c r="BA5123" s="11" t="n">
        <v>1770</v>
      </c>
      <c r="BB5123" s="31" t="n">
        <f aca="false">SUM(Q5123,S5123,U5123,W5123,Y5123,AA5123,AC5123,AE5123,AG5123,AI5123,AK5123,AM5123,AO5123,AQ5123,AS5123,AU5123,AW5123,AY5123)</f>
        <v>1770</v>
      </c>
      <c r="BC5123" s="28" t="n">
        <f aca="false">BA5123-BB5123</f>
        <v>0</v>
      </c>
      <c r="BD5123" s="32" t="n">
        <f aca="false">SUM(P5123,R5123,T5123,V5123,X5123,Z5123,AB5123,AD5123,AF5123,AH5123,AJ5123,AL5123,AN5123,AP5123,AR5123,AT5123,AV5123,AX5123)</f>
        <v>88.52</v>
      </c>
      <c r="BE5123" s="33" t="n">
        <f aca="false">AZ5123-BD5123</f>
        <v>0</v>
      </c>
      <c r="BF5123" s="34" t="n">
        <f aca="false">BD5123*M5123</f>
        <v>1770.4</v>
      </c>
      <c r="BG5123" s="35" t="n">
        <f aca="false">BA5123-BF5123</f>
        <v>-0.399999999999864</v>
      </c>
      <c r="BH5123" s="19" t="str">
        <f aca="false">IF(BG5123=0,"",IF(BG5123&lt;&gt;BA5123,"erreur de calcul",IF(BD5123&lt;&gt;0,"pas de prix",IF(M5123&lt;&gt; 0,"pas de quantité","pas de prix, ni de quantité"))))</f>
        <v>erreur de calcul</v>
      </c>
      <c r="BI5123" s="19"/>
    </row>
    <row r="5124" customFormat="false" ht="15" hidden="false" customHeight="false" outlineLevel="0" collapsed="false">
      <c r="A5124" s="0" t="n">
        <v>44</v>
      </c>
      <c r="B5124" s="8" t="s">
        <v>24</v>
      </c>
      <c r="C5124" s="9" t="s">
        <v>25</v>
      </c>
      <c r="D5124" s="9" t="s">
        <v>26</v>
      </c>
      <c r="E5124" s="10" t="n">
        <v>1789</v>
      </c>
      <c r="F5124" s="9" t="s">
        <v>27</v>
      </c>
      <c r="G5124" s="9" t="s">
        <v>27</v>
      </c>
      <c r="H5124" s="11" t="n">
        <v>23</v>
      </c>
      <c r="I5124" s="11" t="s">
        <v>287</v>
      </c>
      <c r="J5124" s="14" t="n">
        <v>25</v>
      </c>
      <c r="K5124" s="14"/>
      <c r="L5124" s="16"/>
      <c r="M5124" s="27" t="n">
        <f aca="false">J5124+(K5124/20)+(L5124/240)</f>
        <v>25</v>
      </c>
      <c r="N5124" s="17" t="s">
        <v>64</v>
      </c>
      <c r="O5124" s="11" t="s">
        <v>77</v>
      </c>
      <c r="P5124" s="28" t="n">
        <f aca="false">13782/100</f>
        <v>137.82</v>
      </c>
      <c r="Q5124" s="28" t="n">
        <v>3445</v>
      </c>
      <c r="R5124" s="28"/>
      <c r="S5124" s="28" t="n">
        <f aca="false">R5124*$M5124</f>
        <v>0</v>
      </c>
      <c r="T5124" s="28"/>
      <c r="U5124" s="28" t="n">
        <f aca="false">T5124*$M5124</f>
        <v>0</v>
      </c>
      <c r="V5124" s="28" t="n">
        <f aca="false">4293/100</f>
        <v>42.93</v>
      </c>
      <c r="W5124" s="28" t="n">
        <v>1073</v>
      </c>
      <c r="X5124" s="28"/>
      <c r="Y5124" s="28" t="n">
        <f aca="false">X5124*$M5124</f>
        <v>0</v>
      </c>
      <c r="Z5124" s="28"/>
      <c r="AA5124" s="28" t="n">
        <f aca="false">Z5124*$M5124</f>
        <v>0</v>
      </c>
      <c r="AB5124" s="28"/>
      <c r="AC5124" s="28" t="n">
        <f aca="false">AB5124*$M5124</f>
        <v>0</v>
      </c>
      <c r="AD5124" s="28"/>
      <c r="AE5124" s="28" t="n">
        <f aca="false">AD5124*$M5124</f>
        <v>0</v>
      </c>
      <c r="AF5124" s="28"/>
      <c r="AG5124" s="28" t="n">
        <f aca="false">AF5124*$M5124</f>
        <v>0</v>
      </c>
      <c r="AH5124" s="28"/>
      <c r="AI5124" s="28" t="n">
        <f aca="false">AH5124*$M5124</f>
        <v>0</v>
      </c>
      <c r="AJ5124" s="28"/>
      <c r="AK5124" s="28" t="n">
        <f aca="false">AJ5124*$M5124</f>
        <v>0</v>
      </c>
      <c r="AL5124" s="28"/>
      <c r="AM5124" s="28" t="n">
        <f aca="false">AL5124*$M5124</f>
        <v>0</v>
      </c>
      <c r="AN5124" s="28"/>
      <c r="AO5124" s="28" t="n">
        <f aca="false">AN5124*$M5124</f>
        <v>0</v>
      </c>
      <c r="AP5124" s="28"/>
      <c r="AQ5124" s="28" t="n">
        <f aca="false">AP5124*$M5124</f>
        <v>0</v>
      </c>
      <c r="AR5124" s="28"/>
      <c r="AS5124" s="28" t="n">
        <f aca="false">AR5124*$M5124</f>
        <v>0</v>
      </c>
      <c r="AT5124" s="28"/>
      <c r="AU5124" s="28" t="n">
        <f aca="false">AT5124*$M5124</f>
        <v>0</v>
      </c>
      <c r="AV5124" s="28"/>
      <c r="AW5124" s="28" t="n">
        <f aca="false">AV5124*$M5124</f>
        <v>0</v>
      </c>
      <c r="AX5124" s="28"/>
      <c r="AY5124" s="28" t="n">
        <f aca="false">AX5124*$M5124</f>
        <v>0</v>
      </c>
      <c r="AZ5124" s="30" t="n">
        <f aca="false">18075/100</f>
        <v>180.75</v>
      </c>
      <c r="BA5124" s="11" t="n">
        <v>4518</v>
      </c>
      <c r="BB5124" s="31" t="n">
        <f aca="false">SUM(Q5124,S5124,U5124,W5124,Y5124,AA5124,AC5124,AE5124,AG5124,AI5124,AK5124,AM5124,AO5124,AQ5124,AS5124,AU5124,AW5124,AY5124)</f>
        <v>4518</v>
      </c>
      <c r="BC5124" s="28" t="n">
        <f aca="false">BA5124-BB5124</f>
        <v>0</v>
      </c>
      <c r="BD5124" s="32" t="n">
        <f aca="false">SUM(P5124,R5124,T5124,V5124,X5124,Z5124,AB5124,AD5124,AF5124,AH5124,AJ5124,AL5124,AN5124,AP5124,AR5124,AT5124,AV5124,AX5124)</f>
        <v>180.75</v>
      </c>
      <c r="BE5124" s="33" t="n">
        <f aca="false">AZ5124-BD5124</f>
        <v>0</v>
      </c>
      <c r="BF5124" s="34" t="n">
        <f aca="false">BD5124*M5124</f>
        <v>4518.75</v>
      </c>
      <c r="BG5124" s="35" t="n">
        <f aca="false">BA5124-BF5124</f>
        <v>-0.75</v>
      </c>
      <c r="BH5124" s="19" t="str">
        <f aca="false">IF(BG5124=0,"",IF(BG5124&lt;&gt;BA5124,"erreur de calcul",IF(BD5124&lt;&gt;0,"pas de prix",IF(M5124&lt;&gt; 0,"pas de quantité","pas de prix, ni de quantité"))))</f>
        <v>erreur de calcul</v>
      </c>
      <c r="BI5124" s="19"/>
    </row>
    <row r="5125" customFormat="false" ht="15" hidden="false" customHeight="false" outlineLevel="0" collapsed="false">
      <c r="A5125" s="0" t="n">
        <v>1</v>
      </c>
      <c r="B5125" s="8" t="s">
        <v>24</v>
      </c>
      <c r="C5125" s="9" t="s">
        <v>25</v>
      </c>
      <c r="D5125" s="9" t="s">
        <v>26</v>
      </c>
      <c r="E5125" s="10" t="n">
        <v>1789</v>
      </c>
      <c r="F5125" s="9" t="s">
        <v>27</v>
      </c>
      <c r="G5125" s="9" t="s">
        <v>27</v>
      </c>
      <c r="H5125" s="11" t="n">
        <v>24</v>
      </c>
      <c r="I5125" s="11" t="s">
        <v>288</v>
      </c>
      <c r="J5125" s="14" t="n">
        <v>250</v>
      </c>
      <c r="K5125" s="14"/>
      <c r="L5125" s="16"/>
      <c r="M5125" s="27" t="n">
        <f aca="false">J5125+(K5125/20)+(L5125/240)</f>
        <v>250</v>
      </c>
      <c r="N5125" s="17" t="s">
        <v>64</v>
      </c>
      <c r="O5125" s="11"/>
      <c r="P5125" s="28"/>
      <c r="Q5125" s="28" t="n">
        <f aca="false">P5125*$M5125</f>
        <v>0</v>
      </c>
      <c r="R5125" s="28"/>
      <c r="S5125" s="28" t="n">
        <f aca="false">R5125*$M5125</f>
        <v>0</v>
      </c>
      <c r="T5125" s="28"/>
      <c r="U5125" s="28" t="n">
        <f aca="false">T5125*$M5125</f>
        <v>0</v>
      </c>
      <c r="V5125" s="28"/>
      <c r="W5125" s="28" t="n">
        <f aca="false">V5125*$M5125</f>
        <v>0</v>
      </c>
      <c r="X5125" s="28"/>
      <c r="Y5125" s="28" t="n">
        <f aca="false">X5125*$M5125</f>
        <v>0</v>
      </c>
      <c r="Z5125" s="28"/>
      <c r="AA5125" s="28" t="n">
        <f aca="false">Z5125*$M5125</f>
        <v>0</v>
      </c>
      <c r="AB5125" s="28"/>
      <c r="AC5125" s="28" t="n">
        <f aca="false">AB5125*$M5125</f>
        <v>0</v>
      </c>
      <c r="AD5125" s="28"/>
      <c r="AE5125" s="28" t="n">
        <f aca="false">AD5125*$M5125</f>
        <v>0</v>
      </c>
      <c r="AF5125" s="28"/>
      <c r="AG5125" s="28" t="n">
        <f aca="false">AF5125*$M5125</f>
        <v>0</v>
      </c>
      <c r="AH5125" s="28" t="n">
        <f aca="false">5374/100</f>
        <v>53.74</v>
      </c>
      <c r="AI5125" s="28" t="n">
        <v>13435</v>
      </c>
      <c r="AJ5125" s="28"/>
      <c r="AK5125" s="28" t="n">
        <f aca="false">AJ5125*$M5125</f>
        <v>0</v>
      </c>
      <c r="AL5125" s="28"/>
      <c r="AM5125" s="28" t="n">
        <f aca="false">AL5125*$M5125</f>
        <v>0</v>
      </c>
      <c r="AN5125" s="28"/>
      <c r="AO5125" s="28" t="n">
        <f aca="false">AN5125*$M5125</f>
        <v>0</v>
      </c>
      <c r="AP5125" s="28"/>
      <c r="AQ5125" s="28" t="n">
        <f aca="false">AP5125*$M5125</f>
        <v>0</v>
      </c>
      <c r="AR5125" s="28"/>
      <c r="AS5125" s="28" t="n">
        <f aca="false">AR5125*$M5125</f>
        <v>0</v>
      </c>
      <c r="AT5125" s="28"/>
      <c r="AU5125" s="28" t="n">
        <f aca="false">AT5125*$M5125</f>
        <v>0</v>
      </c>
      <c r="AV5125" s="28"/>
      <c r="AW5125" s="28" t="n">
        <f aca="false">AV5125*$M5125</f>
        <v>0</v>
      </c>
      <c r="AX5125" s="28"/>
      <c r="AY5125" s="28" t="n">
        <f aca="false">AX5125*$M5125</f>
        <v>0</v>
      </c>
      <c r="AZ5125" s="30" t="n">
        <f aca="false">5374/100</f>
        <v>53.74</v>
      </c>
      <c r="BA5125" s="11" t="n">
        <v>13435</v>
      </c>
      <c r="BB5125" s="31" t="n">
        <f aca="false">SUM(Q5125,S5125,U5125,W5125,Y5125,AA5125,AC5125,AE5125,AG5125,AI5125,AK5125,AM5125,AO5125,AQ5125,AS5125,AU5125,AW5125,AY5125)</f>
        <v>13435</v>
      </c>
      <c r="BC5125" s="28" t="n">
        <f aca="false">BA5125-BB5125</f>
        <v>0</v>
      </c>
      <c r="BD5125" s="32" t="n">
        <f aca="false">SUM(P5125,R5125,T5125,V5125,X5125,Z5125,AB5125,AD5125,AF5125,AH5125,AJ5125,AL5125,AN5125,AP5125,AR5125,AT5125,AV5125,AX5125)</f>
        <v>53.74</v>
      </c>
      <c r="BE5125" s="33" t="n">
        <f aca="false">AZ5125-BD5125</f>
        <v>0</v>
      </c>
      <c r="BF5125" s="34" t="n">
        <f aca="false">BD5125*M5125</f>
        <v>13435</v>
      </c>
      <c r="BG5125" s="35" t="n">
        <f aca="false">BA5125-BF5125</f>
        <v>0</v>
      </c>
      <c r="BH5125" s="19" t="str">
        <f aca="false">IF(BG5125=0,"",IF(BG5125&lt;&gt;BA5125,"erreur de calcul",IF(BD5125&lt;&gt;0,"pas de prix",IF(M5125&lt;&gt; 0,"pas de quantité","pas de prix, ni de quantité"))))</f>
        <v/>
      </c>
      <c r="BI5125" s="19"/>
    </row>
    <row r="5126" customFormat="false" ht="15" hidden="false" customHeight="false" outlineLevel="0" collapsed="false">
      <c r="A5126" s="0" t="n">
        <v>2</v>
      </c>
      <c r="B5126" s="8" t="s">
        <v>24</v>
      </c>
      <c r="C5126" s="9" t="s">
        <v>25</v>
      </c>
      <c r="D5126" s="9" t="s">
        <v>26</v>
      </c>
      <c r="E5126" s="10" t="n">
        <v>1789</v>
      </c>
      <c r="F5126" s="9" t="s">
        <v>27</v>
      </c>
      <c r="G5126" s="9" t="s">
        <v>27</v>
      </c>
      <c r="H5126" s="11" t="n">
        <v>24</v>
      </c>
      <c r="I5126" s="11" t="s">
        <v>289</v>
      </c>
      <c r="J5126" s="14" t="n">
        <v>3</v>
      </c>
      <c r="K5126" s="14"/>
      <c r="L5126" s="16"/>
      <c r="M5126" s="27" t="n">
        <f aca="false">J5126+(K5126/20)+(L5126/240)</f>
        <v>3</v>
      </c>
      <c r="N5126" s="17" t="s">
        <v>66</v>
      </c>
      <c r="O5126" s="11"/>
      <c r="P5126" s="28"/>
      <c r="Q5126" s="28" t="n">
        <f aca="false">P5126*$M5126</f>
        <v>0</v>
      </c>
      <c r="R5126" s="28"/>
      <c r="S5126" s="28" t="n">
        <f aca="false">R5126*$M5126</f>
        <v>0</v>
      </c>
      <c r="T5126" s="28"/>
      <c r="U5126" s="28" t="n">
        <f aca="false">T5126*$M5126</f>
        <v>0</v>
      </c>
      <c r="V5126" s="28"/>
      <c r="W5126" s="28" t="n">
        <f aca="false">V5126*$M5126</f>
        <v>0</v>
      </c>
      <c r="X5126" s="28"/>
      <c r="Y5126" s="28" t="n">
        <f aca="false">X5126*$M5126</f>
        <v>0</v>
      </c>
      <c r="Z5126" s="28"/>
      <c r="AA5126" s="28" t="n">
        <f aca="false">Z5126*$M5126</f>
        <v>0</v>
      </c>
      <c r="AB5126" s="28"/>
      <c r="AC5126" s="28" t="n">
        <f aca="false">AB5126*$M5126</f>
        <v>0</v>
      </c>
      <c r="AD5126" s="28"/>
      <c r="AE5126" s="28" t="n">
        <f aca="false">AD5126*$M5126</f>
        <v>0</v>
      </c>
      <c r="AF5126" s="28"/>
      <c r="AG5126" s="28" t="n">
        <f aca="false">AF5126*$M5126</f>
        <v>0</v>
      </c>
      <c r="AH5126" s="28" t="n">
        <v>261</v>
      </c>
      <c r="AI5126" s="28" t="n">
        <v>783</v>
      </c>
      <c r="AJ5126" s="28"/>
      <c r="AK5126" s="28" t="n">
        <f aca="false">AJ5126*$M5126</f>
        <v>0</v>
      </c>
      <c r="AL5126" s="28"/>
      <c r="AM5126" s="28" t="n">
        <f aca="false">AL5126*$M5126</f>
        <v>0</v>
      </c>
      <c r="AN5126" s="28"/>
      <c r="AO5126" s="28" t="n">
        <f aca="false">AN5126*$M5126</f>
        <v>0</v>
      </c>
      <c r="AP5126" s="28"/>
      <c r="AQ5126" s="28" t="n">
        <f aca="false">AP5126*$M5126</f>
        <v>0</v>
      </c>
      <c r="AR5126" s="28"/>
      <c r="AS5126" s="28" t="n">
        <f aca="false">AR5126*$M5126</f>
        <v>0</v>
      </c>
      <c r="AT5126" s="28"/>
      <c r="AU5126" s="28" t="n">
        <f aca="false">AT5126*$M5126</f>
        <v>0</v>
      </c>
      <c r="AV5126" s="28"/>
      <c r="AW5126" s="28" t="n">
        <f aca="false">AV5126*$M5126</f>
        <v>0</v>
      </c>
      <c r="AX5126" s="28"/>
      <c r="AY5126" s="28" t="n">
        <f aca="false">AX5126*$M5126</f>
        <v>0</v>
      </c>
      <c r="AZ5126" s="30" t="n">
        <v>261</v>
      </c>
      <c r="BA5126" s="11" t="n">
        <v>783</v>
      </c>
      <c r="BB5126" s="31" t="n">
        <f aca="false">SUM(Q5126,S5126,U5126,W5126,Y5126,AA5126,AC5126,AE5126,AG5126,AI5126,AK5126,AM5126,AO5126,AQ5126,AS5126,AU5126,AW5126,AY5126)</f>
        <v>783</v>
      </c>
      <c r="BC5126" s="28" t="n">
        <f aca="false">BA5126-BB5126</f>
        <v>0</v>
      </c>
      <c r="BD5126" s="32" t="n">
        <f aca="false">SUM(P5126,R5126,T5126,V5126,X5126,Z5126,AB5126,AD5126,AF5126,AH5126,AJ5126,AL5126,AN5126,AP5126,AR5126,AT5126,AV5126,AX5126)</f>
        <v>261</v>
      </c>
      <c r="BE5126" s="33" t="n">
        <f aca="false">AZ5126-BD5126</f>
        <v>0</v>
      </c>
      <c r="BF5126" s="34" t="n">
        <f aca="false">BD5126*M5126</f>
        <v>783</v>
      </c>
      <c r="BG5126" s="35" t="n">
        <f aca="false">BA5126-BF5126</f>
        <v>0</v>
      </c>
      <c r="BH5126" s="19" t="str">
        <f aca="false">IF(BG5126=0,"",IF(BG5126&lt;&gt;BA5126,"erreur de calcul",IF(BD5126&lt;&gt;0,"pas de prix",IF(M5126&lt;&gt; 0,"pas de quantité","pas de prix, ni de quantité"))))</f>
        <v/>
      </c>
      <c r="BI5126" s="19"/>
    </row>
    <row r="5127" customFormat="false" ht="15" hidden="false" customHeight="false" outlineLevel="0" collapsed="false">
      <c r="A5127" s="0" t="n">
        <v>3</v>
      </c>
      <c r="B5127" s="8" t="s">
        <v>24</v>
      </c>
      <c r="C5127" s="9" t="s">
        <v>25</v>
      </c>
      <c r="D5127" s="9" t="s">
        <v>26</v>
      </c>
      <c r="E5127" s="10" t="n">
        <v>1789</v>
      </c>
      <c r="F5127" s="9" t="s">
        <v>27</v>
      </c>
      <c r="G5127" s="9" t="s">
        <v>27</v>
      </c>
      <c r="H5127" s="11" t="n">
        <v>24</v>
      </c>
      <c r="I5127" s="11" t="s">
        <v>290</v>
      </c>
      <c r="J5127" s="14" t="n">
        <v>5</v>
      </c>
      <c r="K5127" s="14"/>
      <c r="L5127" s="16"/>
      <c r="M5127" s="27" t="n">
        <f aca="false">J5127+(K5127/20)+(L5127/240)</f>
        <v>5</v>
      </c>
      <c r="N5127" s="17" t="s">
        <v>66</v>
      </c>
      <c r="O5127" s="11"/>
      <c r="P5127" s="28"/>
      <c r="Q5127" s="28" t="n">
        <f aca="false">P5127*$M5127</f>
        <v>0</v>
      </c>
      <c r="R5127" s="28"/>
      <c r="S5127" s="28" t="n">
        <f aca="false">R5127*$M5127</f>
        <v>0</v>
      </c>
      <c r="T5127" s="28"/>
      <c r="U5127" s="28" t="n">
        <v>4765</v>
      </c>
      <c r="V5127" s="28"/>
      <c r="W5127" s="28" t="n">
        <f aca="false">V5127*$M5127</f>
        <v>0</v>
      </c>
      <c r="X5127" s="28"/>
      <c r="Y5127" s="28" t="n">
        <f aca="false">X5127*$M5127</f>
        <v>0</v>
      </c>
      <c r="Z5127" s="28"/>
      <c r="AA5127" s="28" t="n">
        <f aca="false">Z5127*$M5127</f>
        <v>0</v>
      </c>
      <c r="AB5127" s="28"/>
      <c r="AC5127" s="28" t="n">
        <f aca="false">AB5127*$M5127</f>
        <v>0</v>
      </c>
      <c r="AD5127" s="28"/>
      <c r="AE5127" s="28" t="n">
        <f aca="false">AD5127*$M5127</f>
        <v>0</v>
      </c>
      <c r="AF5127" s="28"/>
      <c r="AG5127" s="28" t="n">
        <f aca="false">AF5127*$M5127</f>
        <v>0</v>
      </c>
      <c r="AH5127" s="28"/>
      <c r="AI5127" s="28" t="n">
        <f aca="false">AH5127*$M5127</f>
        <v>0</v>
      </c>
      <c r="AJ5127" s="28"/>
      <c r="AK5127" s="28" t="n">
        <f aca="false">AJ5127*$M5127</f>
        <v>0</v>
      </c>
      <c r="AL5127" s="28"/>
      <c r="AM5127" s="28" t="n">
        <f aca="false">AL5127*$M5127</f>
        <v>0</v>
      </c>
      <c r="AN5127" s="28"/>
      <c r="AO5127" s="28" t="n">
        <f aca="false">AN5127*$M5127</f>
        <v>0</v>
      </c>
      <c r="AP5127" s="28"/>
      <c r="AQ5127" s="28" t="n">
        <f aca="false">AP5127*$M5127</f>
        <v>0</v>
      </c>
      <c r="AR5127" s="28"/>
      <c r="AS5127" s="28" t="n">
        <f aca="false">AR5127*$M5127</f>
        <v>0</v>
      </c>
      <c r="AT5127" s="28"/>
      <c r="AU5127" s="28" t="n">
        <f aca="false">AT5127*$M5127</f>
        <v>0</v>
      </c>
      <c r="AV5127" s="28"/>
      <c r="AW5127" s="28" t="n">
        <f aca="false">AV5127*$M5127</f>
        <v>0</v>
      </c>
      <c r="AX5127" s="28"/>
      <c r="AY5127" s="28" t="n">
        <f aca="false">AX5127*$M5127</f>
        <v>0</v>
      </c>
      <c r="AZ5127" s="30"/>
      <c r="BA5127" s="11" t="n">
        <v>4765</v>
      </c>
      <c r="BB5127" s="31" t="n">
        <f aca="false">SUM(Q5127,S5127,U5127,W5127,Y5127,AA5127,AC5127,AE5127,AG5127,AI5127,AK5127,AM5127,AO5127,AQ5127,AS5127,AU5127,AW5127,AY5127)</f>
        <v>4765</v>
      </c>
      <c r="BC5127" s="28" t="n">
        <f aca="false">BA5127-BB5127</f>
        <v>0</v>
      </c>
      <c r="BD5127" s="32" t="n">
        <f aca="false">SUM(P5127,R5127,T5127,V5127,X5127,Z5127,AB5127,AD5127,AF5127,AH5127,AJ5127,AL5127,AN5127,AP5127,AR5127,AT5127,AV5127,AX5127)</f>
        <v>0</v>
      </c>
      <c r="BE5127" s="33" t="n">
        <f aca="false">AZ5127-BD5127</f>
        <v>0</v>
      </c>
      <c r="BF5127" s="34" t="n">
        <f aca="false">BD5127*M5127</f>
        <v>0</v>
      </c>
      <c r="BG5127" s="35" t="n">
        <f aca="false">BA5127-BF5127</f>
        <v>4765</v>
      </c>
      <c r="BH5127" s="19" t="str">
        <f aca="false">IF(BG5127=0,"",IF(BG5127&lt;&gt;BA5127,"erreur de calcul",IF(BD5127&lt;&gt;0,"pas de prix",IF(M5127&lt;&gt; 0,"pas de quantité","pas de prix, ni de quantité"))))</f>
        <v>pas de quantité</v>
      </c>
      <c r="BI5127" s="19"/>
    </row>
    <row r="5128" customFormat="false" ht="15" hidden="false" customHeight="false" outlineLevel="0" collapsed="false">
      <c r="A5128" s="0" t="n">
        <v>4</v>
      </c>
      <c r="B5128" s="8" t="s">
        <v>24</v>
      </c>
      <c r="C5128" s="9" t="s">
        <v>25</v>
      </c>
      <c r="D5128" s="9" t="s">
        <v>26</v>
      </c>
      <c r="E5128" s="10" t="n">
        <v>1789</v>
      </c>
      <c r="F5128" s="9" t="s">
        <v>27</v>
      </c>
      <c r="G5128" s="9" t="s">
        <v>27</v>
      </c>
      <c r="H5128" s="11" t="n">
        <v>24</v>
      </c>
      <c r="I5128" s="11" t="s">
        <v>291</v>
      </c>
      <c r="J5128" s="14" t="n">
        <v>36</v>
      </c>
      <c r="K5128" s="14"/>
      <c r="L5128" s="16"/>
      <c r="M5128" s="27" t="n">
        <f aca="false">J5128+(K5128/20)+(L5128/240)</f>
        <v>36</v>
      </c>
      <c r="N5128" s="17" t="s">
        <v>66</v>
      </c>
      <c r="O5128" s="11"/>
      <c r="P5128" s="28"/>
      <c r="Q5128" s="28" t="n">
        <f aca="false">P5128*$M5128</f>
        <v>0</v>
      </c>
      <c r="R5128" s="28"/>
      <c r="S5128" s="28" t="n">
        <f aca="false">R5128*$M5128</f>
        <v>0</v>
      </c>
      <c r="T5128" s="28"/>
      <c r="U5128" s="28" t="n">
        <f aca="false">T5128*$M5128</f>
        <v>0</v>
      </c>
      <c r="V5128" s="28"/>
      <c r="W5128" s="28" t="n">
        <f aca="false">V5128*$M5128</f>
        <v>0</v>
      </c>
      <c r="X5128" s="28"/>
      <c r="Y5128" s="28" t="n">
        <f aca="false">X5128*$M5128</f>
        <v>0</v>
      </c>
      <c r="Z5128" s="28"/>
      <c r="AA5128" s="28" t="n">
        <f aca="false">Z5128*$M5128</f>
        <v>0</v>
      </c>
      <c r="AB5128" s="28"/>
      <c r="AC5128" s="28" t="n">
        <f aca="false">AB5128*$M5128</f>
        <v>0</v>
      </c>
      <c r="AD5128" s="28"/>
      <c r="AE5128" s="28" t="n">
        <f aca="false">AD5128*$M5128</f>
        <v>0</v>
      </c>
      <c r="AF5128" s="28"/>
      <c r="AG5128" s="28" t="n">
        <f aca="false">AF5128*$M5128</f>
        <v>0</v>
      </c>
      <c r="AH5128" s="28"/>
      <c r="AI5128" s="28" t="n">
        <f aca="false">AH5128*$M5128</f>
        <v>0</v>
      </c>
      <c r="AJ5128" s="28" t="n">
        <v>387</v>
      </c>
      <c r="AK5128" s="28" t="n">
        <v>13932</v>
      </c>
      <c r="AL5128" s="28"/>
      <c r="AM5128" s="28" t="n">
        <f aca="false">AL5128*$M5128</f>
        <v>0</v>
      </c>
      <c r="AN5128" s="28"/>
      <c r="AO5128" s="28" t="n">
        <f aca="false">AN5128*$M5128</f>
        <v>0</v>
      </c>
      <c r="AP5128" s="28"/>
      <c r="AQ5128" s="28" t="n">
        <f aca="false">AP5128*$M5128</f>
        <v>0</v>
      </c>
      <c r="AR5128" s="28"/>
      <c r="AS5128" s="28" t="n">
        <f aca="false">AR5128*$M5128</f>
        <v>0</v>
      </c>
      <c r="AT5128" s="28"/>
      <c r="AU5128" s="28" t="n">
        <f aca="false">AT5128*$M5128</f>
        <v>0</v>
      </c>
      <c r="AV5128" s="28"/>
      <c r="AW5128" s="28" t="n">
        <f aca="false">AV5128*$M5128</f>
        <v>0</v>
      </c>
      <c r="AX5128" s="28"/>
      <c r="AY5128" s="28" t="n">
        <f aca="false">AX5128*$M5128</f>
        <v>0</v>
      </c>
      <c r="AZ5128" s="30" t="n">
        <v>387</v>
      </c>
      <c r="BA5128" s="11" t="n">
        <v>13932</v>
      </c>
      <c r="BB5128" s="31" t="n">
        <f aca="false">SUM(Q5128,S5128,U5128,W5128,Y5128,AA5128,AC5128,AE5128,AG5128,AI5128,AK5128,AM5128,AO5128,AQ5128,AS5128,AU5128,AW5128,AY5128)</f>
        <v>13932</v>
      </c>
      <c r="BC5128" s="28" t="n">
        <f aca="false">BA5128-BB5128</f>
        <v>0</v>
      </c>
      <c r="BD5128" s="32" t="n">
        <f aca="false">SUM(P5128,R5128,T5128,V5128,X5128,Z5128,AB5128,AD5128,AF5128,AH5128,AJ5128,AL5128,AN5128,AP5128,AR5128,AT5128,AV5128,AX5128)</f>
        <v>387</v>
      </c>
      <c r="BE5128" s="33" t="n">
        <f aca="false">AZ5128-BD5128</f>
        <v>0</v>
      </c>
      <c r="BF5128" s="34" t="n">
        <f aca="false">BD5128*M5128</f>
        <v>13932</v>
      </c>
      <c r="BG5128" s="35" t="n">
        <f aca="false">BA5128-BF5128</f>
        <v>0</v>
      </c>
      <c r="BH5128" s="19" t="str">
        <f aca="false">IF(BG5128=0,"",IF(BG5128&lt;&gt;BA5128,"erreur de calcul",IF(BD5128&lt;&gt;0,"pas de prix",IF(M5128&lt;&gt; 0,"pas de quantité","pas de prix, ni de quantité"))))</f>
        <v/>
      </c>
      <c r="BI5128" s="19"/>
    </row>
    <row r="5129" customFormat="false" ht="15" hidden="false" customHeight="false" outlineLevel="0" collapsed="false">
      <c r="A5129" s="0" t="n">
        <v>5</v>
      </c>
      <c r="B5129" s="8" t="s">
        <v>24</v>
      </c>
      <c r="C5129" s="9" t="s">
        <v>25</v>
      </c>
      <c r="D5129" s="9" t="s">
        <v>26</v>
      </c>
      <c r="E5129" s="10" t="n">
        <v>1789</v>
      </c>
      <c r="F5129" s="9" t="s">
        <v>27</v>
      </c>
      <c r="G5129" s="9" t="s">
        <v>27</v>
      </c>
      <c r="H5129" s="11" t="n">
        <v>24</v>
      </c>
      <c r="I5129" s="11" t="s">
        <v>292</v>
      </c>
      <c r="J5129" s="14" t="n">
        <v>40</v>
      </c>
      <c r="K5129" s="14"/>
      <c r="L5129" s="16"/>
      <c r="M5129" s="27" t="n">
        <f aca="false">J5129+(K5129/20)+(L5129/240)</f>
        <v>40</v>
      </c>
      <c r="N5129" s="17" t="s">
        <v>64</v>
      </c>
      <c r="O5129" s="11" t="s">
        <v>277</v>
      </c>
      <c r="P5129" s="28"/>
      <c r="Q5129" s="28" t="n">
        <f aca="false">P5129*$M5129</f>
        <v>0</v>
      </c>
      <c r="R5129" s="28"/>
      <c r="S5129" s="28" t="n">
        <f aca="false">R5129*$M5129</f>
        <v>0</v>
      </c>
      <c r="T5129" s="28" t="n">
        <f aca="false">5917/100</f>
        <v>59.17</v>
      </c>
      <c r="U5129" s="28" t="n">
        <v>2367</v>
      </c>
      <c r="V5129" s="28" t="n">
        <f aca="false">12510/100</f>
        <v>125.1</v>
      </c>
      <c r="W5129" s="28" t="n">
        <f aca="false">V5129*$M5129</f>
        <v>5004</v>
      </c>
      <c r="X5129" s="28"/>
      <c r="Y5129" s="28" t="n">
        <f aca="false">X5129*$M5129</f>
        <v>0</v>
      </c>
      <c r="Z5129" s="28"/>
      <c r="AA5129" s="28" t="n">
        <f aca="false">Z5129*$M5129</f>
        <v>0</v>
      </c>
      <c r="AB5129" s="28" t="n">
        <f aca="false">50338/100</f>
        <v>503.38</v>
      </c>
      <c r="AC5129" s="28" t="n">
        <v>20135</v>
      </c>
      <c r="AD5129" s="28"/>
      <c r="AE5129" s="28" t="n">
        <f aca="false">AD5129*$M5129</f>
        <v>0</v>
      </c>
      <c r="AF5129" s="28"/>
      <c r="AG5129" s="28" t="n">
        <f aca="false">AF5129*$M5129</f>
        <v>0</v>
      </c>
      <c r="AH5129" s="28" t="n">
        <f aca="false">440/100</f>
        <v>4.4</v>
      </c>
      <c r="AI5129" s="28" t="n">
        <v>176</v>
      </c>
      <c r="AJ5129" s="28" t="n">
        <f aca="false">18094/100</f>
        <v>180.94</v>
      </c>
      <c r="AK5129" s="28" t="n">
        <v>7238</v>
      </c>
      <c r="AL5129" s="28"/>
      <c r="AM5129" s="28" t="n">
        <f aca="false">AL5129*$M5129</f>
        <v>0</v>
      </c>
      <c r="AN5129" s="28"/>
      <c r="AO5129" s="28" t="n">
        <f aca="false">AN5129*$M5129</f>
        <v>0</v>
      </c>
      <c r="AP5129" s="28"/>
      <c r="AQ5129" s="28" t="n">
        <f aca="false">AP5129*$M5129</f>
        <v>0</v>
      </c>
      <c r="AR5129" s="28"/>
      <c r="AS5129" s="28" t="n">
        <f aca="false">AR5129*$M5129</f>
        <v>0</v>
      </c>
      <c r="AT5129" s="28"/>
      <c r="AU5129" s="28" t="n">
        <f aca="false">AT5129*$M5129</f>
        <v>0</v>
      </c>
      <c r="AV5129" s="28"/>
      <c r="AW5129" s="28" t="n">
        <f aca="false">AV5129*$M5129</f>
        <v>0</v>
      </c>
      <c r="AX5129" s="28"/>
      <c r="AY5129" s="28" t="n">
        <f aca="false">AX5129*$M5129</f>
        <v>0</v>
      </c>
      <c r="AZ5129" s="30" t="n">
        <f aca="false">87279/100</f>
        <v>872.79</v>
      </c>
      <c r="BA5129" s="11" t="n">
        <v>34920</v>
      </c>
      <c r="BB5129" s="31" t="n">
        <f aca="false">SUM(Q5129,S5129,U5129,W5129,Y5129,AA5129,AC5129,AE5129,AG5129,AI5129,AK5129,AM5129,AO5129,AQ5129,AS5129,AU5129,AW5129,AY5129)</f>
        <v>34920</v>
      </c>
      <c r="BC5129" s="28" t="n">
        <f aca="false">BA5129-BB5129</f>
        <v>0</v>
      </c>
      <c r="BD5129" s="32" t="n">
        <f aca="false">SUM(P5129,R5129,T5129,V5129,X5129,Z5129,AB5129,AD5129,AF5129,AH5129,AJ5129,AL5129,AN5129,AP5129,AR5129,AT5129,AV5129,AX5129)</f>
        <v>872.99</v>
      </c>
      <c r="BE5129" s="33" t="n">
        <f aca="false">AZ5129-BD5129</f>
        <v>-0.200000000000045</v>
      </c>
      <c r="BF5129" s="34" t="n">
        <f aca="false">BD5129*M5129</f>
        <v>34919.6</v>
      </c>
      <c r="BG5129" s="35" t="n">
        <f aca="false">BA5129-BF5129</f>
        <v>0.400000000001455</v>
      </c>
      <c r="BH5129" s="19" t="str">
        <f aca="false">IF(BG5129=0,"",IF(BG5129&lt;&gt;BA5129,"erreur de calcul",IF(BD5129&lt;&gt;0,"pas de prix",IF(M5129&lt;&gt; 0,"pas de quantité","pas de prix, ni de quantité"))))</f>
        <v>erreur de calcul</v>
      </c>
      <c r="BI5129" s="19"/>
    </row>
    <row r="5130" customFormat="false" ht="15" hidden="false" customHeight="false" outlineLevel="0" collapsed="false">
      <c r="A5130" s="0" t="n">
        <v>6</v>
      </c>
      <c r="B5130" s="8" t="s">
        <v>24</v>
      </c>
      <c r="C5130" s="9" t="s">
        <v>25</v>
      </c>
      <c r="D5130" s="9" t="s">
        <v>26</v>
      </c>
      <c r="E5130" s="10" t="n">
        <v>1789</v>
      </c>
      <c r="F5130" s="9" t="s">
        <v>27</v>
      </c>
      <c r="G5130" s="9" t="s">
        <v>27</v>
      </c>
      <c r="H5130" s="11" t="n">
        <v>24</v>
      </c>
      <c r="I5130" s="11" t="s">
        <v>293</v>
      </c>
      <c r="J5130" s="14" t="n">
        <v>72</v>
      </c>
      <c r="K5130" s="14"/>
      <c r="L5130" s="16"/>
      <c r="M5130" s="27" t="n">
        <f aca="false">J5130+(K5130/20)+(L5130/240)</f>
        <v>72</v>
      </c>
      <c r="N5130" s="17" t="s">
        <v>294</v>
      </c>
      <c r="O5130" s="11"/>
      <c r="P5130" s="28" t="n">
        <v>16096</v>
      </c>
      <c r="Q5130" s="28" t="n">
        <v>1158912</v>
      </c>
      <c r="R5130" s="28"/>
      <c r="S5130" s="28" t="n">
        <f aca="false">R5130*$M5130</f>
        <v>0</v>
      </c>
      <c r="T5130" s="28" t="n">
        <v>6580</v>
      </c>
      <c r="U5130" s="28" t="n">
        <v>473760</v>
      </c>
      <c r="V5130" s="28" t="n">
        <v>21336</v>
      </c>
      <c r="W5130" s="28" t="n">
        <v>1536192</v>
      </c>
      <c r="X5130" s="28" t="n">
        <v>905</v>
      </c>
      <c r="Y5130" s="28" t="n">
        <v>65160</v>
      </c>
      <c r="Z5130" s="28" t="n">
        <v>250</v>
      </c>
      <c r="AA5130" s="28" t="n">
        <v>18000</v>
      </c>
      <c r="AB5130" s="28" t="n">
        <v>155034</v>
      </c>
      <c r="AC5130" s="28" t="n">
        <v>11162448</v>
      </c>
      <c r="AD5130" s="28"/>
      <c r="AE5130" s="28" t="n">
        <f aca="false">AD5130*$M5130</f>
        <v>0</v>
      </c>
      <c r="AF5130" s="28" t="n">
        <v>18739</v>
      </c>
      <c r="AG5130" s="28" t="n">
        <v>1349208</v>
      </c>
      <c r="AH5130" s="28" t="n">
        <v>44032</v>
      </c>
      <c r="AI5130" s="28" t="n">
        <v>3170304</v>
      </c>
      <c r="AJ5130" s="28"/>
      <c r="AK5130" s="28" t="n">
        <f aca="false">AJ5130*$M5130</f>
        <v>0</v>
      </c>
      <c r="AL5130" s="28"/>
      <c r="AM5130" s="28" t="n">
        <f aca="false">AL5130*$M5130</f>
        <v>0</v>
      </c>
      <c r="AN5130" s="28"/>
      <c r="AO5130" s="28" t="n">
        <f aca="false">AN5130*$M5130</f>
        <v>0</v>
      </c>
      <c r="AP5130" s="28"/>
      <c r="AQ5130" s="28" t="n">
        <f aca="false">AP5130*$M5130</f>
        <v>0</v>
      </c>
      <c r="AR5130" s="28"/>
      <c r="AS5130" s="28" t="n">
        <f aca="false">AR5130*$M5130</f>
        <v>0</v>
      </c>
      <c r="AT5130" s="28"/>
      <c r="AU5130" s="28" t="n">
        <f aca="false">AT5130*$M5130</f>
        <v>0</v>
      </c>
      <c r="AV5130" s="28"/>
      <c r="AW5130" s="28" t="n">
        <f aca="false">AV5130*$M5130</f>
        <v>0</v>
      </c>
      <c r="AX5130" s="28"/>
      <c r="AY5130" s="28" t="n">
        <f aca="false">AX5130*$M5130</f>
        <v>0</v>
      </c>
      <c r="AZ5130" s="30" t="n">
        <v>262972</v>
      </c>
      <c r="BA5130" s="11" t="n">
        <v>18933984</v>
      </c>
      <c r="BB5130" s="31" t="n">
        <f aca="false">SUM(Q5130,S5130,U5130,W5130,Y5130,AA5130,AC5130,AE5130,AG5130,AI5130,AK5130,AM5130,AO5130,AQ5130,AS5130,AU5130,AW5130,AY5130)</f>
        <v>18933984</v>
      </c>
      <c r="BC5130" s="28" t="n">
        <f aca="false">BA5130-BB5130</f>
        <v>0</v>
      </c>
      <c r="BD5130" s="32" t="n">
        <f aca="false">SUM(P5130,R5130,T5130,V5130,X5130,Z5130,AB5130,AD5130,AF5130,AH5130,AJ5130,AL5130,AN5130,AP5130,AR5130,AT5130,AV5130,AX5130)</f>
        <v>262972</v>
      </c>
      <c r="BE5130" s="33" t="n">
        <f aca="false">AZ5130-BD5130</f>
        <v>0</v>
      </c>
      <c r="BF5130" s="34" t="n">
        <f aca="false">BD5130*M5130</f>
        <v>18933984</v>
      </c>
      <c r="BG5130" s="35" t="n">
        <f aca="false">BA5130-BF5130</f>
        <v>0</v>
      </c>
      <c r="BH5130" s="19" t="str">
        <f aca="false">IF(BG5130=0,"",IF(BG5130&lt;&gt;BA5130,"erreur de calcul",IF(BD5130&lt;&gt;0,"pas de prix",IF(M5130&lt;&gt; 0,"pas de quantité","pas de prix, ni de quantité"))))</f>
        <v/>
      </c>
      <c r="BI5130" s="19" t="s">
        <v>295</v>
      </c>
    </row>
    <row r="5131" customFormat="false" ht="15" hidden="false" customHeight="false" outlineLevel="0" collapsed="false">
      <c r="A5131" s="0" t="n">
        <v>7</v>
      </c>
      <c r="B5131" s="8" t="s">
        <v>24</v>
      </c>
      <c r="C5131" s="9" t="s">
        <v>25</v>
      </c>
      <c r="D5131" s="9" t="s">
        <v>26</v>
      </c>
      <c r="E5131" s="10" t="n">
        <v>1789</v>
      </c>
      <c r="F5131" s="9" t="s">
        <v>27</v>
      </c>
      <c r="G5131" s="9" t="s">
        <v>27</v>
      </c>
      <c r="H5131" s="11" t="n">
        <v>24</v>
      </c>
      <c r="I5131" s="11" t="s">
        <v>296</v>
      </c>
      <c r="J5131" s="14" t="n">
        <v>35</v>
      </c>
      <c r="K5131" s="14"/>
      <c r="L5131" s="16"/>
      <c r="M5131" s="27" t="n">
        <f aca="false">J5131+(K5131/20)+(L5131/240)</f>
        <v>35</v>
      </c>
      <c r="N5131" s="17" t="s">
        <v>64</v>
      </c>
      <c r="O5131" s="11" t="s">
        <v>98</v>
      </c>
      <c r="P5131" s="28"/>
      <c r="Q5131" s="28" t="n">
        <f aca="false">P5131*$M5131</f>
        <v>0</v>
      </c>
      <c r="R5131" s="28"/>
      <c r="S5131" s="28" t="n">
        <f aca="false">R5131*$M5131</f>
        <v>0</v>
      </c>
      <c r="T5131" s="28"/>
      <c r="U5131" s="28" t="n">
        <f aca="false">T5131*$M5131</f>
        <v>0</v>
      </c>
      <c r="V5131" s="28"/>
      <c r="W5131" s="28" t="n">
        <f aca="false">V5131*$M5131</f>
        <v>0</v>
      </c>
      <c r="X5131" s="28"/>
      <c r="Y5131" s="28" t="n">
        <f aca="false">X5131*$M5131</f>
        <v>0</v>
      </c>
      <c r="Z5131" s="28"/>
      <c r="AA5131" s="28" t="n">
        <f aca="false">Z5131*$M5131</f>
        <v>0</v>
      </c>
      <c r="AB5131" s="28"/>
      <c r="AC5131" s="28" t="n">
        <f aca="false">AB5131*$M5131</f>
        <v>0</v>
      </c>
      <c r="AD5131" s="28"/>
      <c r="AE5131" s="28" t="n">
        <f aca="false">AD5131*$M5131</f>
        <v>0</v>
      </c>
      <c r="AF5131" s="28"/>
      <c r="AG5131" s="28" t="n">
        <f aca="false">AF5131*$M5131</f>
        <v>0</v>
      </c>
      <c r="AH5131" s="28"/>
      <c r="AI5131" s="28" t="n">
        <f aca="false">AH5131*$M5131</f>
        <v>0</v>
      </c>
      <c r="AJ5131" s="28"/>
      <c r="AK5131" s="28" t="n">
        <f aca="false">AJ5131*$M5131</f>
        <v>0</v>
      </c>
      <c r="AL5131" s="28"/>
      <c r="AM5131" s="28" t="n">
        <f aca="false">AL5131*$M5131</f>
        <v>0</v>
      </c>
      <c r="AN5131" s="28"/>
      <c r="AO5131" s="28" t="n">
        <f aca="false">AN5131*$M5131</f>
        <v>0</v>
      </c>
      <c r="AP5131" s="28"/>
      <c r="AQ5131" s="28" t="n">
        <f aca="false">AP5131*$M5131</f>
        <v>0</v>
      </c>
      <c r="AR5131" s="28"/>
      <c r="AS5131" s="28" t="n">
        <f aca="false">AR5131*$M5131</f>
        <v>0</v>
      </c>
      <c r="AT5131" s="28"/>
      <c r="AU5131" s="28" t="n">
        <f aca="false">AT5131*$M5131</f>
        <v>0</v>
      </c>
      <c r="AV5131" s="28"/>
      <c r="AW5131" s="28" t="n">
        <f aca="false">AV5131*$M5131</f>
        <v>0</v>
      </c>
      <c r="AX5131" s="28"/>
      <c r="AY5131" s="28" t="n">
        <f aca="false">AX5131*$M5131</f>
        <v>0</v>
      </c>
      <c r="AZ5131" s="30"/>
      <c r="BA5131" s="11"/>
      <c r="BB5131" s="31" t="n">
        <f aca="false">SUM(Q5131,S5131,U5131,W5131,Y5131,AA5131,AC5131,AE5131,AG5131,AI5131,AK5131,AM5131,AO5131,AQ5131,AS5131,AU5131,AW5131,AY5131)</f>
        <v>0</v>
      </c>
      <c r="BC5131" s="28" t="n">
        <f aca="false">BA5131-BB5131</f>
        <v>0</v>
      </c>
      <c r="BD5131" s="32" t="n">
        <f aca="false">SUM(P5131,R5131,T5131,V5131,X5131,Z5131,AB5131,AD5131,AF5131,AH5131,AJ5131,AL5131,AN5131,AP5131,AR5131,AT5131,AV5131,AX5131)</f>
        <v>0</v>
      </c>
      <c r="BE5131" s="33" t="n">
        <f aca="false">AZ5131-BD5131</f>
        <v>0</v>
      </c>
      <c r="BF5131" s="34" t="n">
        <f aca="false">BD5131*M5131</f>
        <v>0</v>
      </c>
      <c r="BG5131" s="35" t="n">
        <f aca="false">BA5131-BF5131</f>
        <v>0</v>
      </c>
      <c r="BH5131" s="19" t="str">
        <f aca="false">IF(BG5131=0,"",IF(BG5131&lt;&gt;BA5131,"erreur de calcul",IF(BD5131&lt;&gt;0,"pas de prix",IF(M5131&lt;&gt; 0,"pas de quantité","pas de prix, ni de quantité"))))</f>
        <v/>
      </c>
      <c r="BI5131" s="19"/>
    </row>
    <row r="5132" customFormat="false" ht="15" hidden="false" customHeight="false" outlineLevel="0" collapsed="false">
      <c r="A5132" s="0" t="n">
        <v>8</v>
      </c>
      <c r="B5132" s="8" t="s">
        <v>24</v>
      </c>
      <c r="C5132" s="9" t="s">
        <v>25</v>
      </c>
      <c r="D5132" s="9" t="s">
        <v>26</v>
      </c>
      <c r="E5132" s="10" t="n">
        <v>1789</v>
      </c>
      <c r="F5132" s="9" t="s">
        <v>27</v>
      </c>
      <c r="G5132" s="9" t="s">
        <v>27</v>
      </c>
      <c r="H5132" s="11" t="n">
        <v>24</v>
      </c>
      <c r="I5132" s="11" t="s">
        <v>297</v>
      </c>
      <c r="J5132" s="14" t="n">
        <v>45</v>
      </c>
      <c r="K5132" s="14"/>
      <c r="L5132" s="16"/>
      <c r="M5132" s="27" t="n">
        <f aca="false">J5132+(K5132/20)+(L5132/240)</f>
        <v>45</v>
      </c>
      <c r="N5132" s="17" t="s">
        <v>64</v>
      </c>
      <c r="O5132" s="11"/>
      <c r="P5132" s="28"/>
      <c r="Q5132" s="28" t="n">
        <f aca="false">P5132*$M5132</f>
        <v>0</v>
      </c>
      <c r="R5132" s="28"/>
      <c r="S5132" s="28" t="n">
        <f aca="false">R5132*$M5132</f>
        <v>0</v>
      </c>
      <c r="T5132" s="28"/>
      <c r="U5132" s="28" t="n">
        <f aca="false">T5132*$M5132</f>
        <v>0</v>
      </c>
      <c r="V5132" s="28"/>
      <c r="W5132" s="28" t="n">
        <f aca="false">V5132*$M5132</f>
        <v>0</v>
      </c>
      <c r="X5132" s="28"/>
      <c r="Y5132" s="28" t="n">
        <f aca="false">X5132*$M5132</f>
        <v>0</v>
      </c>
      <c r="Z5132" s="28"/>
      <c r="AA5132" s="28" t="n">
        <f aca="false">Z5132*$M5132</f>
        <v>0</v>
      </c>
      <c r="AB5132" s="28"/>
      <c r="AC5132" s="28" t="n">
        <f aca="false">AB5132*$M5132</f>
        <v>0</v>
      </c>
      <c r="AD5132" s="28"/>
      <c r="AE5132" s="28" t="n">
        <f aca="false">AD5132*$M5132</f>
        <v>0</v>
      </c>
      <c r="AF5132" s="28"/>
      <c r="AG5132" s="28" t="n">
        <f aca="false">AF5132*$M5132</f>
        <v>0</v>
      </c>
      <c r="AH5132" s="28"/>
      <c r="AI5132" s="28" t="n">
        <f aca="false">AH5132*$M5132</f>
        <v>0</v>
      </c>
      <c r="AJ5132" s="28"/>
      <c r="AK5132" s="28" t="n">
        <f aca="false">AJ5132*$M5132</f>
        <v>0</v>
      </c>
      <c r="AL5132" s="28"/>
      <c r="AM5132" s="28" t="n">
        <f aca="false">AL5132*$M5132</f>
        <v>0</v>
      </c>
      <c r="AN5132" s="28"/>
      <c r="AO5132" s="28" t="n">
        <f aca="false">AN5132*$M5132</f>
        <v>0</v>
      </c>
      <c r="AP5132" s="28"/>
      <c r="AQ5132" s="28" t="n">
        <f aca="false">AP5132*$M5132</f>
        <v>0</v>
      </c>
      <c r="AR5132" s="28"/>
      <c r="AS5132" s="28" t="n">
        <f aca="false">AR5132*$M5132</f>
        <v>0</v>
      </c>
      <c r="AT5132" s="28"/>
      <c r="AU5132" s="28" t="n">
        <f aca="false">AT5132*$M5132</f>
        <v>0</v>
      </c>
      <c r="AV5132" s="28"/>
      <c r="AW5132" s="28" t="n">
        <f aca="false">AV5132*$M5132</f>
        <v>0</v>
      </c>
      <c r="AX5132" s="28" t="n">
        <f aca="false">44459/100</f>
        <v>444.59</v>
      </c>
      <c r="AY5132" s="28" t="n">
        <v>20006</v>
      </c>
      <c r="AZ5132" s="30" t="n">
        <f aca="false">44459/100</f>
        <v>444.59</v>
      </c>
      <c r="BA5132" s="11" t="n">
        <v>20006</v>
      </c>
      <c r="BB5132" s="31" t="n">
        <f aca="false">SUM(Q5132,S5132,U5132,W5132,Y5132,AA5132,AC5132,AE5132,AG5132,AI5132,AK5132,AM5132,AO5132,AQ5132,AS5132,AU5132,AW5132,AY5132)</f>
        <v>20006</v>
      </c>
      <c r="BC5132" s="28" t="n">
        <f aca="false">BA5132-BB5132</f>
        <v>0</v>
      </c>
      <c r="BD5132" s="32" t="n">
        <f aca="false">SUM(P5132,R5132,T5132,V5132,X5132,Z5132,AB5132,AD5132,AF5132,AH5132,AJ5132,AL5132,AN5132,AP5132,AR5132,AT5132,AV5132,AX5132)</f>
        <v>444.59</v>
      </c>
      <c r="BE5132" s="33" t="n">
        <f aca="false">AZ5132-BD5132</f>
        <v>0</v>
      </c>
      <c r="BF5132" s="34" t="n">
        <f aca="false">BD5132*M5132</f>
        <v>20006.55</v>
      </c>
      <c r="BG5132" s="35" t="n">
        <f aca="false">BA5132-BF5132</f>
        <v>-0.549999999999272</v>
      </c>
      <c r="BH5132" s="19" t="str">
        <f aca="false">IF(BG5132=0,"",IF(BG5132&lt;&gt;BA5132,"erreur de calcul",IF(BD5132&lt;&gt;0,"pas de prix",IF(M5132&lt;&gt; 0,"pas de quantité","pas de prix, ni de quantité"))))</f>
        <v>erreur de calcul</v>
      </c>
      <c r="BI5132" s="19"/>
    </row>
    <row r="5133" customFormat="false" ht="15" hidden="false" customHeight="false" outlineLevel="0" collapsed="false">
      <c r="A5133" s="0" t="n">
        <v>9</v>
      </c>
      <c r="B5133" s="8" t="s">
        <v>24</v>
      </c>
      <c r="C5133" s="9" t="s">
        <v>25</v>
      </c>
      <c r="D5133" s="9" t="s">
        <v>26</v>
      </c>
      <c r="E5133" s="10" t="n">
        <v>1789</v>
      </c>
      <c r="F5133" s="9" t="s">
        <v>27</v>
      </c>
      <c r="G5133" s="9" t="s">
        <v>27</v>
      </c>
      <c r="H5133" s="11" t="n">
        <v>24</v>
      </c>
      <c r="I5133" s="11" t="s">
        <v>298</v>
      </c>
      <c r="J5133" s="14" t="n">
        <v>550</v>
      </c>
      <c r="K5133" s="14"/>
      <c r="L5133" s="16"/>
      <c r="M5133" s="27" t="n">
        <f aca="false">J5133+(K5133/20)+(L5133/240)</f>
        <v>550</v>
      </c>
      <c r="N5133" s="17" t="s">
        <v>64</v>
      </c>
      <c r="O5133" s="11"/>
      <c r="P5133" s="28"/>
      <c r="Q5133" s="28" t="n">
        <f aca="false">P5133*$M5133</f>
        <v>0</v>
      </c>
      <c r="R5133" s="28"/>
      <c r="S5133" s="28" t="n">
        <f aca="false">R5133*$M5133</f>
        <v>0</v>
      </c>
      <c r="T5133" s="28"/>
      <c r="U5133" s="28" t="n">
        <f aca="false">T5133*$M5133</f>
        <v>0</v>
      </c>
      <c r="V5133" s="28"/>
      <c r="W5133" s="28" t="n">
        <f aca="false">V5133*$M5133</f>
        <v>0</v>
      </c>
      <c r="X5133" s="28"/>
      <c r="Y5133" s="28" t="n">
        <f aca="false">X5133*$M5133</f>
        <v>0</v>
      </c>
      <c r="Z5133" s="28"/>
      <c r="AA5133" s="28" t="n">
        <f aca="false">Z5133*$M5133</f>
        <v>0</v>
      </c>
      <c r="AB5133" s="28"/>
      <c r="AC5133" s="28" t="n">
        <f aca="false">AB5133*$M5133</f>
        <v>0</v>
      </c>
      <c r="AD5133" s="28"/>
      <c r="AE5133" s="28" t="n">
        <f aca="false">AD5133*$M5133</f>
        <v>0</v>
      </c>
      <c r="AF5133" s="28" t="n">
        <f aca="false">200/100</f>
        <v>2</v>
      </c>
      <c r="AG5133" s="28" t="n">
        <v>1100</v>
      </c>
      <c r="AH5133" s="28"/>
      <c r="AI5133" s="28" t="n">
        <f aca="false">AH5133*$M5133</f>
        <v>0</v>
      </c>
      <c r="AJ5133" s="28"/>
      <c r="AK5133" s="28" t="n">
        <f aca="false">AJ5133*$M5133</f>
        <v>0</v>
      </c>
      <c r="AL5133" s="28"/>
      <c r="AM5133" s="28" t="n">
        <f aca="false">AL5133*$M5133</f>
        <v>0</v>
      </c>
      <c r="AN5133" s="28"/>
      <c r="AO5133" s="28" t="n">
        <f aca="false">AN5133*$M5133</f>
        <v>0</v>
      </c>
      <c r="AP5133" s="28"/>
      <c r="AQ5133" s="28" t="n">
        <f aca="false">AP5133*$M5133</f>
        <v>0</v>
      </c>
      <c r="AR5133" s="28"/>
      <c r="AS5133" s="28" t="n">
        <f aca="false">AR5133*$M5133</f>
        <v>0</v>
      </c>
      <c r="AT5133" s="28"/>
      <c r="AU5133" s="28" t="n">
        <f aca="false">AT5133*$M5133</f>
        <v>0</v>
      </c>
      <c r="AV5133" s="28"/>
      <c r="AW5133" s="28" t="n">
        <f aca="false">AV5133*$M5133</f>
        <v>0</v>
      </c>
      <c r="AX5133" s="28"/>
      <c r="AY5133" s="28" t="n">
        <f aca="false">AX5133*$M5133</f>
        <v>0</v>
      </c>
      <c r="AZ5133" s="30" t="n">
        <f aca="false">200/100</f>
        <v>2</v>
      </c>
      <c r="BA5133" s="11" t="n">
        <v>1100</v>
      </c>
      <c r="BB5133" s="31" t="n">
        <f aca="false">SUM(Q5133,S5133,U5133,W5133,Y5133,AA5133,AC5133,AE5133,AG5133,AI5133,AK5133,AM5133,AO5133,AQ5133,AS5133,AU5133,AW5133,AY5133)</f>
        <v>1100</v>
      </c>
      <c r="BC5133" s="28" t="n">
        <f aca="false">BA5133-BB5133</f>
        <v>0</v>
      </c>
      <c r="BD5133" s="32" t="n">
        <f aca="false">SUM(P5133,R5133,T5133,V5133,X5133,Z5133,AB5133,AD5133,AF5133,AH5133,AJ5133,AL5133,AN5133,AP5133,AR5133,AT5133,AV5133,AX5133)</f>
        <v>2</v>
      </c>
      <c r="BE5133" s="33" t="n">
        <f aca="false">AZ5133-BD5133</f>
        <v>0</v>
      </c>
      <c r="BF5133" s="34" t="n">
        <f aca="false">BD5133*M5133</f>
        <v>1100</v>
      </c>
      <c r="BG5133" s="35" t="n">
        <f aca="false">BA5133-BF5133</f>
        <v>0</v>
      </c>
      <c r="BH5133" s="19" t="str">
        <f aca="false">IF(BG5133=0,"",IF(BG5133&lt;&gt;BA5133,"erreur de calcul",IF(BD5133&lt;&gt;0,"pas de prix",IF(M5133&lt;&gt; 0,"pas de quantité","pas de prix, ni de quantité"))))</f>
        <v/>
      </c>
      <c r="BI5133" s="19"/>
    </row>
    <row r="5134" customFormat="false" ht="15" hidden="false" customHeight="false" outlineLevel="0" collapsed="false">
      <c r="A5134" s="0" t="n">
        <v>10</v>
      </c>
      <c r="B5134" s="8" t="s">
        <v>24</v>
      </c>
      <c r="C5134" s="9" t="s">
        <v>25</v>
      </c>
      <c r="D5134" s="9" t="s">
        <v>26</v>
      </c>
      <c r="E5134" s="10" t="n">
        <v>1789</v>
      </c>
      <c r="F5134" s="9" t="s">
        <v>27</v>
      </c>
      <c r="G5134" s="9" t="s">
        <v>27</v>
      </c>
      <c r="H5134" s="11" t="n">
        <v>24</v>
      </c>
      <c r="I5134" s="11" t="s">
        <v>299</v>
      </c>
      <c r="J5134" s="14" t="n">
        <v>16</v>
      </c>
      <c r="K5134" s="14"/>
      <c r="L5134" s="16"/>
      <c r="M5134" s="27" t="n">
        <f aca="false">J5134+(K5134/20)+(L5134/240)</f>
        <v>16</v>
      </c>
      <c r="N5134" s="17" t="s">
        <v>64</v>
      </c>
      <c r="O5134" s="11"/>
      <c r="P5134" s="28" t="n">
        <f aca="false">20*288*0.02+252*0.02</f>
        <v>120.24</v>
      </c>
      <c r="Q5134" s="28" t="n">
        <v>1924</v>
      </c>
      <c r="R5134" s="28"/>
      <c r="S5134" s="28" t="n">
        <f aca="false">R5134*$M5134</f>
        <v>0</v>
      </c>
      <c r="T5134" s="28"/>
      <c r="U5134" s="28" t="n">
        <f aca="false">T5134*$M5134</f>
        <v>0</v>
      </c>
      <c r="V5134" s="28" t="n">
        <f aca="false">16*288*0.02+15*0.02</f>
        <v>92.46</v>
      </c>
      <c r="W5134" s="28" t="n">
        <v>1479</v>
      </c>
      <c r="X5134" s="28" t="n">
        <f aca="false">25*288*0.02+152*0.02</f>
        <v>147.04</v>
      </c>
      <c r="Y5134" s="28" t="n">
        <v>2353</v>
      </c>
      <c r="Z5134" s="28"/>
      <c r="AA5134" s="28" t="n">
        <f aca="false">Z5134*$M5134</f>
        <v>0</v>
      </c>
      <c r="AB5134" s="28" t="n">
        <f aca="false">127*288*0.02+236*0.02</f>
        <v>736.24</v>
      </c>
      <c r="AC5134" s="28" t="n">
        <v>11780</v>
      </c>
      <c r="AD5134" s="28"/>
      <c r="AE5134" s="28" t="n">
        <f aca="false">AD5134*$M5134</f>
        <v>0</v>
      </c>
      <c r="AF5134" s="28"/>
      <c r="AG5134" s="28" t="n">
        <f aca="false">AF5134*$M5134</f>
        <v>0</v>
      </c>
      <c r="AH5134" s="28"/>
      <c r="AI5134" s="28" t="n">
        <f aca="false">AH5134*$M5134</f>
        <v>0</v>
      </c>
      <c r="AJ5134" s="28"/>
      <c r="AK5134" s="28" t="n">
        <f aca="false">AJ5134*$M5134</f>
        <v>0</v>
      </c>
      <c r="AL5134" s="28"/>
      <c r="AM5134" s="28" t="n">
        <f aca="false">AL5134*$M5134</f>
        <v>0</v>
      </c>
      <c r="AN5134" s="28"/>
      <c r="AO5134" s="28" t="n">
        <f aca="false">AN5134*$M5134</f>
        <v>0</v>
      </c>
      <c r="AP5134" s="28"/>
      <c r="AQ5134" s="28" t="n">
        <f aca="false">AP5134*$M5134</f>
        <v>0</v>
      </c>
      <c r="AR5134" s="28"/>
      <c r="AS5134" s="28" t="n">
        <f aca="false">AR5134*$M5134</f>
        <v>0</v>
      </c>
      <c r="AT5134" s="28"/>
      <c r="AU5134" s="28" t="n">
        <f aca="false">AT5134*$M5134</f>
        <v>0</v>
      </c>
      <c r="AV5134" s="28"/>
      <c r="AW5134" s="28" t="n">
        <f aca="false">AV5134*$M5134</f>
        <v>0</v>
      </c>
      <c r="AX5134" s="28"/>
      <c r="AY5134" s="28" t="n">
        <f aca="false">AX5134*$M5134</f>
        <v>0</v>
      </c>
      <c r="AZ5134" s="30" t="n">
        <f aca="false">190*288*0.02+82*0.02</f>
        <v>1096.04</v>
      </c>
      <c r="BA5134" s="11" t="n">
        <v>17536</v>
      </c>
      <c r="BB5134" s="31" t="n">
        <f aca="false">SUM(Q5134,S5134,U5134,W5134,Y5134,AA5134,AC5134,AE5134,AG5134,AI5134,AK5134,AM5134,AO5134,AQ5134,AS5134,AU5134,AW5134,AY5134)</f>
        <v>17536</v>
      </c>
      <c r="BC5134" s="28" t="n">
        <f aca="false">BA5134-BB5134</f>
        <v>0</v>
      </c>
      <c r="BD5134" s="32" t="n">
        <f aca="false">SUM(P5134,R5134,T5134,V5134,X5134,Z5134,AB5134,AD5134,AF5134,AH5134,AJ5134,AL5134,AN5134,AP5134,AR5134,AT5134,AV5134,AX5134)</f>
        <v>1095.98</v>
      </c>
      <c r="BE5134" s="33" t="n">
        <f aca="false">AZ5134-BD5134</f>
        <v>0.0600000000001728</v>
      </c>
      <c r="BF5134" s="34" t="n">
        <f aca="false">BD5134*M5134</f>
        <v>17535.68</v>
      </c>
      <c r="BG5134" s="35" t="n">
        <f aca="false">BA5134-BF5134</f>
        <v>0.319999999999709</v>
      </c>
      <c r="BH5134" s="19" t="str">
        <f aca="false">IF(BG5134=0,"",IF(BG5134&lt;&gt;BA5134,"erreur de calcul",IF(BD5134&lt;&gt;0,"pas de prix",IF(M5134&lt;&gt; 0,"pas de quantité","pas de prix, ni de quantité"))))</f>
        <v>erreur de calcul</v>
      </c>
      <c r="BI5134" s="19"/>
    </row>
    <row r="5135" customFormat="false" ht="15" hidden="false" customHeight="false" outlineLevel="0" collapsed="false">
      <c r="A5135" s="0" t="n">
        <v>11</v>
      </c>
      <c r="B5135" s="8" t="s">
        <v>24</v>
      </c>
      <c r="C5135" s="9" t="s">
        <v>25</v>
      </c>
      <c r="D5135" s="9" t="s">
        <v>26</v>
      </c>
      <c r="E5135" s="10" t="n">
        <v>1789</v>
      </c>
      <c r="F5135" s="9" t="s">
        <v>27</v>
      </c>
      <c r="G5135" s="9" t="s">
        <v>27</v>
      </c>
      <c r="H5135" s="11" t="n">
        <v>24</v>
      </c>
      <c r="I5135" s="11" t="s">
        <v>300</v>
      </c>
      <c r="J5135" s="14" t="n">
        <v>360</v>
      </c>
      <c r="K5135" s="14"/>
      <c r="L5135" s="16"/>
      <c r="M5135" s="27" t="n">
        <f aca="false">J5135+(K5135/20)+(L5135/240)</f>
        <v>360</v>
      </c>
      <c r="N5135" s="17" t="s">
        <v>64</v>
      </c>
      <c r="O5135" s="11"/>
      <c r="P5135" s="28"/>
      <c r="Q5135" s="28" t="n">
        <f aca="false">P5135*$M5135</f>
        <v>0</v>
      </c>
      <c r="R5135" s="28"/>
      <c r="S5135" s="28" t="n">
        <f aca="false">R5135*$M5135</f>
        <v>0</v>
      </c>
      <c r="T5135" s="28"/>
      <c r="U5135" s="28" t="n">
        <f aca="false">T5135*$M5135</f>
        <v>0</v>
      </c>
      <c r="V5135" s="28"/>
      <c r="W5135" s="28" t="n">
        <f aca="false">V5135*$M5135</f>
        <v>0</v>
      </c>
      <c r="X5135" s="28"/>
      <c r="Y5135" s="28" t="n">
        <f aca="false">X5135*$M5135</f>
        <v>0</v>
      </c>
      <c r="Z5135" s="28"/>
      <c r="AA5135" s="28" t="n">
        <f aca="false">Z5135*$M5135</f>
        <v>0</v>
      </c>
      <c r="AB5135" s="28"/>
      <c r="AC5135" s="28" t="n">
        <f aca="false">AB5135*$M5135</f>
        <v>0</v>
      </c>
      <c r="AD5135" s="28"/>
      <c r="AE5135" s="28" t="n">
        <f aca="false">AD5135*$M5135</f>
        <v>0</v>
      </c>
      <c r="AF5135" s="28"/>
      <c r="AG5135" s="28" t="n">
        <f aca="false">AF5135*$M5135</f>
        <v>0</v>
      </c>
      <c r="AH5135" s="28" t="n">
        <f aca="false">371073/100</f>
        <v>3710.73</v>
      </c>
      <c r="AI5135" s="28" t="n">
        <v>1335863</v>
      </c>
      <c r="AJ5135" s="28"/>
      <c r="AK5135" s="28" t="n">
        <f aca="false">AJ5135*$M5135</f>
        <v>0</v>
      </c>
      <c r="AL5135" s="28"/>
      <c r="AM5135" s="28" t="n">
        <f aca="false">AL5135*$M5135</f>
        <v>0</v>
      </c>
      <c r="AN5135" s="28"/>
      <c r="AO5135" s="28" t="n">
        <f aca="false">AN5135*$M5135</f>
        <v>0</v>
      </c>
      <c r="AP5135" s="28"/>
      <c r="AQ5135" s="28" t="n">
        <f aca="false">AP5135*$M5135</f>
        <v>0</v>
      </c>
      <c r="AR5135" s="28"/>
      <c r="AS5135" s="28" t="n">
        <f aca="false">AR5135*$M5135</f>
        <v>0</v>
      </c>
      <c r="AT5135" s="28"/>
      <c r="AU5135" s="28" t="n">
        <f aca="false">AT5135*$M5135</f>
        <v>0</v>
      </c>
      <c r="AV5135" s="28"/>
      <c r="AW5135" s="28" t="n">
        <f aca="false">AV5135*$M5135</f>
        <v>0</v>
      </c>
      <c r="AX5135" s="28"/>
      <c r="AY5135" s="28" t="n">
        <f aca="false">AX5135*$M5135</f>
        <v>0</v>
      </c>
      <c r="AZ5135" s="30" t="n">
        <f aca="false">371073/100</f>
        <v>3710.73</v>
      </c>
      <c r="BA5135" s="11" t="n">
        <v>1335863</v>
      </c>
      <c r="BB5135" s="31" t="n">
        <f aca="false">SUM(Q5135,S5135,U5135,W5135,Y5135,AA5135,AC5135,AE5135,AG5135,AI5135,AK5135,AM5135,AO5135,AQ5135,AS5135,AU5135,AW5135,AY5135)</f>
        <v>1335863</v>
      </c>
      <c r="BC5135" s="28" t="n">
        <f aca="false">BA5135-BB5135</f>
        <v>0</v>
      </c>
      <c r="BD5135" s="32" t="n">
        <f aca="false">SUM(P5135,R5135,T5135,V5135,X5135,Z5135,AB5135,AD5135,AF5135,AH5135,AJ5135,AL5135,AN5135,AP5135,AR5135,AT5135,AV5135,AX5135)</f>
        <v>3710.73</v>
      </c>
      <c r="BE5135" s="33" t="n">
        <f aca="false">AZ5135-BD5135</f>
        <v>0</v>
      </c>
      <c r="BF5135" s="34" t="n">
        <f aca="false">BD5135*M5135</f>
        <v>1335862.8</v>
      </c>
      <c r="BG5135" s="35" t="n">
        <f aca="false">BA5135-BF5135</f>
        <v>0.199999999953434</v>
      </c>
      <c r="BH5135" s="19" t="str">
        <f aca="false">IF(BG5135=0,"",IF(BG5135&lt;&gt;BA5135,"erreur de calcul",IF(BD5135&lt;&gt;0,"pas de prix",IF(M5135&lt;&gt; 0,"pas de quantité","pas de prix, ni de quantité"))))</f>
        <v>erreur de calcul</v>
      </c>
      <c r="BI5135" s="19"/>
    </row>
    <row r="5136" customFormat="false" ht="15" hidden="false" customHeight="false" outlineLevel="0" collapsed="false">
      <c r="A5136" s="0" t="n">
        <v>12</v>
      </c>
      <c r="B5136" s="8" t="s">
        <v>24</v>
      </c>
      <c r="C5136" s="9" t="s">
        <v>25</v>
      </c>
      <c r="D5136" s="9" t="s">
        <v>26</v>
      </c>
      <c r="E5136" s="10" t="n">
        <v>1789</v>
      </c>
      <c r="F5136" s="9" t="s">
        <v>27</v>
      </c>
      <c r="G5136" s="9" t="s">
        <v>27</v>
      </c>
      <c r="H5136" s="11" t="n">
        <v>24</v>
      </c>
      <c r="I5136" s="11" t="s">
        <v>301</v>
      </c>
      <c r="J5136" s="14" t="n">
        <v>3</v>
      </c>
      <c r="K5136" s="14"/>
      <c r="L5136" s="16"/>
      <c r="M5136" s="27" t="n">
        <f aca="false">J5136+(K5136/20)+(L5136/240)</f>
        <v>3</v>
      </c>
      <c r="N5136" s="17" t="s">
        <v>66</v>
      </c>
      <c r="O5136" s="11"/>
      <c r="P5136" s="28"/>
      <c r="Q5136" s="28" t="n">
        <f aca="false">P5136*$M5136</f>
        <v>0</v>
      </c>
      <c r="R5136" s="28"/>
      <c r="S5136" s="28" t="n">
        <f aca="false">R5136*$M5136</f>
        <v>0</v>
      </c>
      <c r="T5136" s="28"/>
      <c r="U5136" s="28" t="n">
        <f aca="false">T5136*$M5136</f>
        <v>0</v>
      </c>
      <c r="V5136" s="28"/>
      <c r="W5136" s="28" t="n">
        <f aca="false">V5136*$M5136</f>
        <v>0</v>
      </c>
      <c r="X5136" s="28"/>
      <c r="Y5136" s="28" t="n">
        <f aca="false">X5136*$M5136</f>
        <v>0</v>
      </c>
      <c r="Z5136" s="28"/>
      <c r="AA5136" s="28" t="n">
        <f aca="false">Z5136*$M5136</f>
        <v>0</v>
      </c>
      <c r="AB5136" s="28"/>
      <c r="AC5136" s="28" t="n">
        <f aca="false">AB5136*$M5136</f>
        <v>0</v>
      </c>
      <c r="AD5136" s="28"/>
      <c r="AE5136" s="28" t="n">
        <f aca="false">AD5136*$M5136</f>
        <v>0</v>
      </c>
      <c r="AF5136" s="28"/>
      <c r="AG5136" s="28" t="n">
        <f aca="false">AF5136*$M5136</f>
        <v>0</v>
      </c>
      <c r="AH5136" s="28" t="n">
        <v>19281</v>
      </c>
      <c r="AI5136" s="28" t="n">
        <v>57843</v>
      </c>
      <c r="AJ5136" s="28"/>
      <c r="AK5136" s="28" t="n">
        <f aca="false">AJ5136*$M5136</f>
        <v>0</v>
      </c>
      <c r="AL5136" s="28"/>
      <c r="AM5136" s="28" t="n">
        <f aca="false">AL5136*$M5136</f>
        <v>0</v>
      </c>
      <c r="AN5136" s="28"/>
      <c r="AO5136" s="28" t="n">
        <f aca="false">AN5136*$M5136</f>
        <v>0</v>
      </c>
      <c r="AP5136" s="28"/>
      <c r="AQ5136" s="28" t="n">
        <f aca="false">AP5136*$M5136</f>
        <v>0</v>
      </c>
      <c r="AR5136" s="28"/>
      <c r="AS5136" s="28" t="n">
        <f aca="false">AR5136*$M5136</f>
        <v>0</v>
      </c>
      <c r="AT5136" s="28"/>
      <c r="AU5136" s="28" t="n">
        <f aca="false">AT5136*$M5136</f>
        <v>0</v>
      </c>
      <c r="AV5136" s="28"/>
      <c r="AW5136" s="28" t="n">
        <f aca="false">AV5136*$M5136</f>
        <v>0</v>
      </c>
      <c r="AX5136" s="28"/>
      <c r="AY5136" s="28" t="n">
        <f aca="false">AX5136*$M5136</f>
        <v>0</v>
      </c>
      <c r="AZ5136" s="30" t="n">
        <v>19281</v>
      </c>
      <c r="BA5136" s="11" t="n">
        <v>57843</v>
      </c>
      <c r="BB5136" s="31" t="n">
        <f aca="false">SUM(Q5136,S5136,U5136,W5136,Y5136,AA5136,AC5136,AE5136,AG5136,AI5136,AK5136,AM5136,AO5136,AQ5136,AS5136,AU5136,AW5136,AY5136)</f>
        <v>57843</v>
      </c>
      <c r="BC5136" s="28" t="n">
        <f aca="false">BA5136-BB5136</f>
        <v>0</v>
      </c>
      <c r="BD5136" s="32" t="n">
        <f aca="false">SUM(P5136,R5136,T5136,V5136,X5136,Z5136,AB5136,AD5136,AF5136,AH5136,AJ5136,AL5136,AN5136,AP5136,AR5136,AT5136,AV5136,AX5136)</f>
        <v>19281</v>
      </c>
      <c r="BE5136" s="33" t="n">
        <f aca="false">AZ5136-BD5136</f>
        <v>0</v>
      </c>
      <c r="BF5136" s="34" t="n">
        <f aca="false">BD5136*M5136</f>
        <v>57843</v>
      </c>
      <c r="BG5136" s="35" t="n">
        <f aca="false">BA5136-BF5136</f>
        <v>0</v>
      </c>
      <c r="BH5136" s="19" t="str">
        <f aca="false">IF(BG5136=0,"",IF(BG5136&lt;&gt;BA5136,"erreur de calcul",IF(BD5136&lt;&gt;0,"pas de prix",IF(M5136&lt;&gt; 0,"pas de quantité","pas de prix, ni de quantité"))))</f>
        <v/>
      </c>
      <c r="BI5136" s="19"/>
    </row>
    <row r="5137" customFormat="false" ht="15" hidden="false" customHeight="false" outlineLevel="0" collapsed="false">
      <c r="A5137" s="0" t="n">
        <v>13</v>
      </c>
      <c r="B5137" s="8" t="s">
        <v>24</v>
      </c>
      <c r="C5137" s="9" t="s">
        <v>25</v>
      </c>
      <c r="D5137" s="9" t="s">
        <v>26</v>
      </c>
      <c r="E5137" s="10" t="n">
        <v>1789</v>
      </c>
      <c r="F5137" s="9" t="s">
        <v>27</v>
      </c>
      <c r="G5137" s="9" t="s">
        <v>27</v>
      </c>
      <c r="H5137" s="11" t="n">
        <v>24</v>
      </c>
      <c r="I5137" s="11" t="s">
        <v>302</v>
      </c>
      <c r="J5137" s="14" t="n">
        <v>112</v>
      </c>
      <c r="K5137" s="14"/>
      <c r="L5137" s="16"/>
      <c r="M5137" s="27" t="n">
        <f aca="false">J5137+(K5137/20)+(L5137/240)</f>
        <v>112</v>
      </c>
      <c r="N5137" s="17" t="s">
        <v>64</v>
      </c>
      <c r="O5137" s="11"/>
      <c r="P5137" s="28" t="n">
        <f aca="false">99503/100</f>
        <v>995.03</v>
      </c>
      <c r="Q5137" s="28" t="n">
        <v>111443</v>
      </c>
      <c r="R5137" s="28"/>
      <c r="S5137" s="28" t="n">
        <f aca="false">R5137*$M5137</f>
        <v>0</v>
      </c>
      <c r="T5137" s="28" t="n">
        <f aca="false">8445/100</f>
        <v>84.45</v>
      </c>
      <c r="U5137" s="28" t="n">
        <v>9458</v>
      </c>
      <c r="V5137" s="28" t="n">
        <f aca="false">2517/100</f>
        <v>25.17</v>
      </c>
      <c r="W5137" s="28" t="n">
        <v>2819</v>
      </c>
      <c r="X5137" s="28" t="n">
        <f aca="false">4729/100</f>
        <v>47.29</v>
      </c>
      <c r="Y5137" s="28" t="n">
        <v>5296</v>
      </c>
      <c r="Z5137" s="28" t="n">
        <f aca="false">198115/100</f>
        <v>1981.15</v>
      </c>
      <c r="AA5137" s="28" t="n">
        <v>221889</v>
      </c>
      <c r="AB5137" s="28"/>
      <c r="AC5137" s="28" t="n">
        <f aca="false">AB5137*$M5137</f>
        <v>0</v>
      </c>
      <c r="AD5137" s="28"/>
      <c r="AE5137" s="28" t="n">
        <f aca="false">AD5137*$M5137</f>
        <v>0</v>
      </c>
      <c r="AF5137" s="28" t="n">
        <f aca="false">67420/100</f>
        <v>674.2</v>
      </c>
      <c r="AG5137" s="28" t="n">
        <v>75510</v>
      </c>
      <c r="AH5137" s="28" t="n">
        <f aca="false">415806/100</f>
        <v>4158.06</v>
      </c>
      <c r="AI5137" s="28" t="n">
        <v>465703</v>
      </c>
      <c r="AJ5137" s="28"/>
      <c r="AK5137" s="28" t="n">
        <f aca="false">AJ5137*$M5137</f>
        <v>0</v>
      </c>
      <c r="AL5137" s="28" t="n">
        <f aca="false">324/100</f>
        <v>3.24</v>
      </c>
      <c r="AM5137" s="28" t="n">
        <v>363</v>
      </c>
      <c r="AN5137" s="28"/>
      <c r="AO5137" s="28" t="n">
        <f aca="false">AN5137*$M5137</f>
        <v>0</v>
      </c>
      <c r="AP5137" s="28"/>
      <c r="AQ5137" s="28" t="n">
        <f aca="false">AP5137*$M5137</f>
        <v>0</v>
      </c>
      <c r="AR5137" s="28"/>
      <c r="AS5137" s="28" t="n">
        <f aca="false">AR5137*$M5137</f>
        <v>0</v>
      </c>
      <c r="AT5137" s="28"/>
      <c r="AU5137" s="28" t="n">
        <f aca="false">AT5137*$M5137</f>
        <v>0</v>
      </c>
      <c r="AV5137" s="28"/>
      <c r="AW5137" s="28" t="n">
        <f aca="false">AV5137*$M5137</f>
        <v>0</v>
      </c>
      <c r="AX5137" s="28"/>
      <c r="AY5137" s="28" t="n">
        <f aca="false">AX5137*$M5137</f>
        <v>0</v>
      </c>
      <c r="AZ5137" s="30" t="n">
        <f aca="false">796859/100</f>
        <v>7968.59</v>
      </c>
      <c r="BA5137" s="11" t="n">
        <v>892481</v>
      </c>
      <c r="BB5137" s="31" t="n">
        <f aca="false">SUM(Q5137,S5137,U5137,W5137,Y5137,AA5137,AC5137,AE5137,AG5137,AI5137,AK5137,AM5137,AO5137,AQ5137,AS5137,AU5137,AW5137,AY5137)</f>
        <v>892481</v>
      </c>
      <c r="BC5137" s="28" t="n">
        <f aca="false">BA5137-BB5137</f>
        <v>0</v>
      </c>
      <c r="BD5137" s="32" t="n">
        <f aca="false">SUM(P5137,R5137,T5137,V5137,X5137,Z5137,AB5137,AD5137,AF5137,AH5137,AJ5137,AL5137,AN5137,AP5137,AR5137,AT5137,AV5137,AX5137)</f>
        <v>7968.59</v>
      </c>
      <c r="BE5137" s="33" t="n">
        <f aca="false">AZ5137-BD5137</f>
        <v>0</v>
      </c>
      <c r="BF5137" s="34" t="n">
        <f aca="false">BD5137*M5137</f>
        <v>892482.08</v>
      </c>
      <c r="BG5137" s="35" t="n">
        <f aca="false">BA5137-BF5137</f>
        <v>-1.07999999995809</v>
      </c>
      <c r="BH5137" s="19" t="str">
        <f aca="false">IF(BG5137=0,"",IF(BG5137&lt;&gt;BA5137,"erreur de calcul",IF(BD5137&lt;&gt;0,"pas de prix",IF(M5137&lt;&gt; 0,"pas de quantité","pas de prix, ni de quantité"))))</f>
        <v>erreur de calcul</v>
      </c>
      <c r="BI5137" s="19"/>
    </row>
    <row r="5138" customFormat="false" ht="15" hidden="false" customHeight="false" outlineLevel="0" collapsed="false">
      <c r="A5138" s="0" t="n">
        <v>14</v>
      </c>
      <c r="B5138" s="8" t="s">
        <v>24</v>
      </c>
      <c r="C5138" s="9" t="s">
        <v>25</v>
      </c>
      <c r="D5138" s="9" t="s">
        <v>26</v>
      </c>
      <c r="E5138" s="10" t="n">
        <v>1789</v>
      </c>
      <c r="F5138" s="9" t="s">
        <v>27</v>
      </c>
      <c r="G5138" s="9" t="s">
        <v>27</v>
      </c>
      <c r="H5138" s="11" t="n">
        <v>24</v>
      </c>
      <c r="I5138" s="11" t="s">
        <v>303</v>
      </c>
      <c r="J5138" s="14" t="n">
        <v>50</v>
      </c>
      <c r="K5138" s="14"/>
      <c r="L5138" s="16"/>
      <c r="M5138" s="27" t="n">
        <f aca="false">J5138+(K5138/20)+(L5138/240)</f>
        <v>50</v>
      </c>
      <c r="N5138" s="17" t="s">
        <v>64</v>
      </c>
      <c r="O5138" s="11"/>
      <c r="P5138" s="28"/>
      <c r="Q5138" s="28" t="n">
        <f aca="false">P5138*$M5138</f>
        <v>0</v>
      </c>
      <c r="R5138" s="28"/>
      <c r="S5138" s="28" t="n">
        <f aca="false">R5138*$M5138</f>
        <v>0</v>
      </c>
      <c r="T5138" s="28"/>
      <c r="U5138" s="28" t="n">
        <f aca="false">T5138*$M5138</f>
        <v>0</v>
      </c>
      <c r="V5138" s="28"/>
      <c r="W5138" s="28" t="n">
        <f aca="false">V5138*$M5138</f>
        <v>0</v>
      </c>
      <c r="X5138" s="28"/>
      <c r="Y5138" s="28" t="n">
        <f aca="false">X5138*$M5138</f>
        <v>0</v>
      </c>
      <c r="Z5138" s="28"/>
      <c r="AA5138" s="28" t="n">
        <f aca="false">Z5138*$M5138</f>
        <v>0</v>
      </c>
      <c r="AB5138" s="28"/>
      <c r="AC5138" s="28" t="n">
        <f aca="false">AB5138*$M5138</f>
        <v>0</v>
      </c>
      <c r="AD5138" s="28"/>
      <c r="AE5138" s="28" t="n">
        <f aca="false">AD5138*$M5138</f>
        <v>0</v>
      </c>
      <c r="AF5138" s="28" t="n">
        <f aca="false">208461/100</f>
        <v>2084.61</v>
      </c>
      <c r="AG5138" s="28" t="n">
        <v>104230</v>
      </c>
      <c r="AH5138" s="28" t="n">
        <f aca="false">757624/100</f>
        <v>7576.24</v>
      </c>
      <c r="AI5138" s="28" t="n">
        <v>378812</v>
      </c>
      <c r="AJ5138" s="28"/>
      <c r="AK5138" s="28" t="n">
        <f aca="false">AJ5138*$M5138</f>
        <v>0</v>
      </c>
      <c r="AL5138" s="28"/>
      <c r="AM5138" s="28" t="n">
        <f aca="false">AL5138*$M5138</f>
        <v>0</v>
      </c>
      <c r="AN5138" s="28"/>
      <c r="AO5138" s="28" t="n">
        <f aca="false">AN5138*$M5138</f>
        <v>0</v>
      </c>
      <c r="AP5138" s="28"/>
      <c r="AQ5138" s="28" t="n">
        <f aca="false">AP5138*$M5138</f>
        <v>0</v>
      </c>
      <c r="AR5138" s="28"/>
      <c r="AS5138" s="28" t="n">
        <f aca="false">AR5138*$M5138</f>
        <v>0</v>
      </c>
      <c r="AT5138" s="28"/>
      <c r="AU5138" s="28" t="n">
        <f aca="false">AT5138*$M5138</f>
        <v>0</v>
      </c>
      <c r="AV5138" s="28"/>
      <c r="AW5138" s="28" t="n">
        <f aca="false">AV5138*$M5138</f>
        <v>0</v>
      </c>
      <c r="AX5138" s="28"/>
      <c r="AY5138" s="28" t="n">
        <f aca="false">AX5138*$M5138</f>
        <v>0</v>
      </c>
      <c r="AZ5138" s="30" t="n">
        <f aca="false">966085/100</f>
        <v>9660.85</v>
      </c>
      <c r="BA5138" s="11" t="n">
        <v>483042</v>
      </c>
      <c r="BB5138" s="31" t="n">
        <f aca="false">SUM(Q5138,S5138,U5138,W5138,Y5138,AA5138,AC5138,AE5138,AG5138,AI5138,AK5138,AM5138,AO5138,AQ5138,AS5138,AU5138,AW5138,AY5138)</f>
        <v>483042</v>
      </c>
      <c r="BC5138" s="28" t="n">
        <f aca="false">BA5138-BB5138</f>
        <v>0</v>
      </c>
      <c r="BD5138" s="32" t="n">
        <f aca="false">SUM(P5138,R5138,T5138,V5138,X5138,Z5138,AB5138,AD5138,AF5138,AH5138,AJ5138,AL5138,AN5138,AP5138,AR5138,AT5138,AV5138,AX5138)</f>
        <v>9660.85</v>
      </c>
      <c r="BE5138" s="33" t="n">
        <f aca="false">AZ5138-BD5138</f>
        <v>0</v>
      </c>
      <c r="BF5138" s="34" t="n">
        <f aca="false">BD5138*M5138</f>
        <v>483042.5</v>
      </c>
      <c r="BG5138" s="35" t="n">
        <f aca="false">BA5138-BF5138</f>
        <v>-0.5</v>
      </c>
      <c r="BH5138" s="19" t="str">
        <f aca="false">IF(BG5138=0,"",IF(BG5138&lt;&gt;BA5138,"erreur de calcul",IF(BD5138&lt;&gt;0,"pas de prix",IF(M5138&lt;&gt; 0,"pas de quantité","pas de prix, ni de quantité"))))</f>
        <v>erreur de calcul</v>
      </c>
      <c r="BI5138" s="19"/>
    </row>
    <row r="5139" customFormat="false" ht="15" hidden="false" customHeight="false" outlineLevel="0" collapsed="false">
      <c r="A5139" s="0" t="n">
        <v>15</v>
      </c>
      <c r="B5139" s="8" t="s">
        <v>24</v>
      </c>
      <c r="C5139" s="9" t="s">
        <v>25</v>
      </c>
      <c r="D5139" s="9" t="s">
        <v>26</v>
      </c>
      <c r="E5139" s="10" t="n">
        <v>1789</v>
      </c>
      <c r="F5139" s="9" t="s">
        <v>27</v>
      </c>
      <c r="G5139" s="9" t="s">
        <v>27</v>
      </c>
      <c r="H5139" s="11" t="n">
        <v>24</v>
      </c>
      <c r="I5139" s="11" t="s">
        <v>304</v>
      </c>
      <c r="J5139" s="14" t="n">
        <v>340</v>
      </c>
      <c r="K5139" s="14"/>
      <c r="L5139" s="16"/>
      <c r="M5139" s="27" t="n">
        <f aca="false">J5139+(K5139/20)+(L5139/240)</f>
        <v>340</v>
      </c>
      <c r="N5139" s="17" t="s">
        <v>64</v>
      </c>
      <c r="O5139" s="11"/>
      <c r="P5139" s="28"/>
      <c r="Q5139" s="28" t="n">
        <f aca="false">P5139*$M5139</f>
        <v>0</v>
      </c>
      <c r="R5139" s="28"/>
      <c r="S5139" s="28" t="n">
        <f aca="false">R5139*$M5139</f>
        <v>0</v>
      </c>
      <c r="T5139" s="28"/>
      <c r="U5139" s="28" t="n">
        <f aca="false">T5139*$M5139</f>
        <v>0</v>
      </c>
      <c r="V5139" s="28"/>
      <c r="W5139" s="28" t="n">
        <f aca="false">V5139*$M5139</f>
        <v>0</v>
      </c>
      <c r="X5139" s="28"/>
      <c r="Y5139" s="28" t="n">
        <f aca="false">X5139*$M5139</f>
        <v>0</v>
      </c>
      <c r="Z5139" s="28"/>
      <c r="AA5139" s="28" t="n">
        <f aca="false">Z5139*$M5139</f>
        <v>0</v>
      </c>
      <c r="AB5139" s="28" t="n">
        <f aca="false">339883/100</f>
        <v>3398.83</v>
      </c>
      <c r="AC5139" s="28" t="n">
        <v>1155602</v>
      </c>
      <c r="AD5139" s="28"/>
      <c r="AE5139" s="28" t="n">
        <f aca="false">AD5139*$M5139</f>
        <v>0</v>
      </c>
      <c r="AF5139" s="28"/>
      <c r="AG5139" s="28" t="n">
        <f aca="false">AF5139*$M5139</f>
        <v>0</v>
      </c>
      <c r="AH5139" s="28"/>
      <c r="AI5139" s="28" t="n">
        <f aca="false">AH5139*$M5139</f>
        <v>0</v>
      </c>
      <c r="AJ5139" s="28"/>
      <c r="AK5139" s="28" t="n">
        <f aca="false">AJ5139*$M5139</f>
        <v>0</v>
      </c>
      <c r="AL5139" s="28"/>
      <c r="AM5139" s="28" t="n">
        <f aca="false">AL5139*$M5139</f>
        <v>0</v>
      </c>
      <c r="AN5139" s="28"/>
      <c r="AO5139" s="28" t="n">
        <f aca="false">AN5139*$M5139</f>
        <v>0</v>
      </c>
      <c r="AP5139" s="28"/>
      <c r="AQ5139" s="28" t="n">
        <f aca="false">AP5139*$M5139</f>
        <v>0</v>
      </c>
      <c r="AR5139" s="28"/>
      <c r="AS5139" s="28" t="n">
        <f aca="false">AR5139*$M5139</f>
        <v>0</v>
      </c>
      <c r="AT5139" s="28"/>
      <c r="AU5139" s="28" t="n">
        <f aca="false">AT5139*$M5139</f>
        <v>0</v>
      </c>
      <c r="AV5139" s="28"/>
      <c r="AW5139" s="28" t="n">
        <f aca="false">AV5139*$M5139</f>
        <v>0</v>
      </c>
      <c r="AX5139" s="28"/>
      <c r="AY5139" s="28" t="n">
        <f aca="false">AX5139*$M5139</f>
        <v>0</v>
      </c>
      <c r="AZ5139" s="30" t="n">
        <f aca="false">339883/100</f>
        <v>3398.83</v>
      </c>
      <c r="BA5139" s="11" t="n">
        <v>1155602</v>
      </c>
      <c r="BB5139" s="31" t="n">
        <f aca="false">SUM(Q5139,S5139,U5139,W5139,Y5139,AA5139,AC5139,AE5139,AG5139,AI5139,AK5139,AM5139,AO5139,AQ5139,AS5139,AU5139,AW5139,AY5139)</f>
        <v>1155602</v>
      </c>
      <c r="BC5139" s="28" t="n">
        <f aca="false">BA5139-BB5139</f>
        <v>0</v>
      </c>
      <c r="BD5139" s="32" t="n">
        <f aca="false">SUM(P5139,R5139,T5139,V5139,X5139,Z5139,AB5139,AD5139,AF5139,AH5139,AJ5139,AL5139,AN5139,AP5139,AR5139,AT5139,AV5139,AX5139)</f>
        <v>3398.83</v>
      </c>
      <c r="BE5139" s="33" t="n">
        <f aca="false">AZ5139-BD5139</f>
        <v>0</v>
      </c>
      <c r="BF5139" s="34" t="n">
        <f aca="false">BD5139*M5139</f>
        <v>1155602.2</v>
      </c>
      <c r="BG5139" s="35" t="n">
        <f aca="false">BA5139-BF5139</f>
        <v>-0.199999999953434</v>
      </c>
      <c r="BH5139" s="19" t="str">
        <f aca="false">IF(BG5139=0,"",IF(BG5139&lt;&gt;BA5139,"erreur de calcul",IF(BD5139&lt;&gt;0,"pas de prix",IF(M5139&lt;&gt; 0,"pas de quantité","pas de prix, ni de quantité"))))</f>
        <v>erreur de calcul</v>
      </c>
      <c r="BI5139" s="19"/>
    </row>
    <row r="5140" customFormat="false" ht="15" hidden="false" customHeight="false" outlineLevel="0" collapsed="false">
      <c r="A5140" s="0" t="n">
        <v>16</v>
      </c>
      <c r="B5140" s="8" t="s">
        <v>24</v>
      </c>
      <c r="C5140" s="9" t="s">
        <v>25</v>
      </c>
      <c r="D5140" s="9" t="s">
        <v>26</v>
      </c>
      <c r="E5140" s="10" t="n">
        <v>1789</v>
      </c>
      <c r="F5140" s="9" t="s">
        <v>27</v>
      </c>
      <c r="G5140" s="9" t="s">
        <v>27</v>
      </c>
      <c r="H5140" s="11" t="n">
        <v>24</v>
      </c>
      <c r="I5140" s="11" t="s">
        <v>305</v>
      </c>
      <c r="J5140" s="14" t="n">
        <v>235</v>
      </c>
      <c r="K5140" s="14"/>
      <c r="L5140" s="16"/>
      <c r="M5140" s="27" t="n">
        <f aca="false">J5140+(K5140/20)+(L5140/240)</f>
        <v>235</v>
      </c>
      <c r="N5140" s="17" t="s">
        <v>64</v>
      </c>
      <c r="O5140" s="11"/>
      <c r="P5140" s="28" t="n">
        <f aca="false">34642/100</f>
        <v>346.42</v>
      </c>
      <c r="Q5140" s="28" t="n">
        <v>81409</v>
      </c>
      <c r="R5140" s="28"/>
      <c r="S5140" s="28" t="n">
        <f aca="false">R5140*$M5140</f>
        <v>0</v>
      </c>
      <c r="T5140" s="28"/>
      <c r="U5140" s="28" t="n">
        <f aca="false">T5140*$M5140</f>
        <v>0</v>
      </c>
      <c r="V5140" s="28"/>
      <c r="W5140" s="28" t="n">
        <f aca="false">V5140*$M5140</f>
        <v>0</v>
      </c>
      <c r="X5140" s="28"/>
      <c r="Y5140" s="28" t="n">
        <f aca="false">X5140*$M5140</f>
        <v>0</v>
      </c>
      <c r="Z5140" s="28"/>
      <c r="AA5140" s="28" t="n">
        <f aca="false">Z5140*$M5140</f>
        <v>0</v>
      </c>
      <c r="AB5140" s="28"/>
      <c r="AC5140" s="28" t="n">
        <f aca="false">AB5140*$M5140</f>
        <v>0</v>
      </c>
      <c r="AD5140" s="28"/>
      <c r="AE5140" s="28" t="n">
        <f aca="false">AD5140*$M5140</f>
        <v>0</v>
      </c>
      <c r="AF5140" s="28"/>
      <c r="AG5140" s="28" t="n">
        <f aca="false">AF5140*$M5140</f>
        <v>0</v>
      </c>
      <c r="AH5140" s="28"/>
      <c r="AI5140" s="28" t="n">
        <f aca="false">AH5140*$M5140</f>
        <v>0</v>
      </c>
      <c r="AJ5140" s="28"/>
      <c r="AK5140" s="28" t="n">
        <f aca="false">AJ5140*$M5140</f>
        <v>0</v>
      </c>
      <c r="AL5140" s="28"/>
      <c r="AM5140" s="28" t="n">
        <f aca="false">AL5140*$M5140</f>
        <v>0</v>
      </c>
      <c r="AN5140" s="28"/>
      <c r="AO5140" s="28" t="n">
        <f aca="false">AN5140*$M5140</f>
        <v>0</v>
      </c>
      <c r="AP5140" s="28"/>
      <c r="AQ5140" s="28" t="n">
        <f aca="false">AP5140*$M5140</f>
        <v>0</v>
      </c>
      <c r="AR5140" s="28"/>
      <c r="AS5140" s="28" t="n">
        <f aca="false">AR5140*$M5140</f>
        <v>0</v>
      </c>
      <c r="AT5140" s="28"/>
      <c r="AU5140" s="28" t="n">
        <f aca="false">AT5140*$M5140</f>
        <v>0</v>
      </c>
      <c r="AV5140" s="28"/>
      <c r="AW5140" s="28" t="n">
        <f aca="false">AV5140*$M5140</f>
        <v>0</v>
      </c>
      <c r="AX5140" s="28"/>
      <c r="AY5140" s="28" t="n">
        <f aca="false">AX5140*$M5140</f>
        <v>0</v>
      </c>
      <c r="AZ5140" s="30" t="n">
        <f aca="false">34642/100</f>
        <v>346.42</v>
      </c>
      <c r="BA5140" s="11" t="n">
        <v>81409</v>
      </c>
      <c r="BB5140" s="31" t="n">
        <f aca="false">SUM(Q5140,S5140,U5140,W5140,Y5140,AA5140,AC5140,AE5140,AG5140,AI5140,AK5140,AM5140,AO5140,AQ5140,AS5140,AU5140,AW5140,AY5140)</f>
        <v>81409</v>
      </c>
      <c r="BC5140" s="28" t="n">
        <f aca="false">BA5140-BB5140</f>
        <v>0</v>
      </c>
      <c r="BD5140" s="32" t="n">
        <f aca="false">SUM(P5140,R5140,T5140,V5140,X5140,Z5140,AB5140,AD5140,AF5140,AH5140,AJ5140,AL5140,AN5140,AP5140,AR5140,AT5140,AV5140,AX5140)</f>
        <v>346.42</v>
      </c>
      <c r="BE5140" s="33" t="n">
        <f aca="false">AZ5140-BD5140</f>
        <v>0</v>
      </c>
      <c r="BF5140" s="34" t="n">
        <f aca="false">BD5140*M5140</f>
        <v>81408.7</v>
      </c>
      <c r="BG5140" s="35" t="n">
        <f aca="false">BA5140-BF5140</f>
        <v>0.30000000000291</v>
      </c>
      <c r="BH5140" s="19" t="str">
        <f aca="false">IF(BG5140=0,"",IF(BG5140&lt;&gt;BA5140,"erreur de calcul",IF(BD5140&lt;&gt;0,"pas de prix",IF(M5140&lt;&gt; 0,"pas de quantité","pas de prix, ni de quantité"))))</f>
        <v>erreur de calcul</v>
      </c>
      <c r="BI5140" s="19"/>
    </row>
    <row r="5141" customFormat="false" ht="15" hidden="false" customHeight="false" outlineLevel="0" collapsed="false">
      <c r="A5141" s="0" t="n">
        <v>17</v>
      </c>
      <c r="B5141" s="8" t="s">
        <v>24</v>
      </c>
      <c r="C5141" s="9" t="s">
        <v>25</v>
      </c>
      <c r="D5141" s="9" t="s">
        <v>26</v>
      </c>
      <c r="E5141" s="10" t="n">
        <v>1789</v>
      </c>
      <c r="F5141" s="9" t="s">
        <v>27</v>
      </c>
      <c r="G5141" s="9" t="s">
        <v>27</v>
      </c>
      <c r="H5141" s="11" t="n">
        <v>24</v>
      </c>
      <c r="I5141" s="11" t="s">
        <v>306</v>
      </c>
      <c r="J5141" s="14" t="n">
        <v>71</v>
      </c>
      <c r="K5141" s="14"/>
      <c r="L5141" s="16"/>
      <c r="M5141" s="27" t="n">
        <f aca="false">J5141+(K5141/20)+(L5141/240)</f>
        <v>71</v>
      </c>
      <c r="N5141" s="17" t="s">
        <v>64</v>
      </c>
      <c r="O5141" s="11"/>
      <c r="P5141" s="28"/>
      <c r="Q5141" s="28" t="n">
        <f aca="false">P5141*$M5141</f>
        <v>0</v>
      </c>
      <c r="R5141" s="28"/>
      <c r="S5141" s="28" t="n">
        <f aca="false">R5141*$M5141</f>
        <v>0</v>
      </c>
      <c r="T5141" s="28" t="n">
        <f aca="false">12674/100</f>
        <v>126.74</v>
      </c>
      <c r="U5141" s="28" t="n">
        <v>8998</v>
      </c>
      <c r="V5141" s="28"/>
      <c r="W5141" s="28" t="n">
        <f aca="false">V5141*$M5141</f>
        <v>0</v>
      </c>
      <c r="X5141" s="28"/>
      <c r="Y5141" s="28" t="n">
        <f aca="false">X5141*$M5141</f>
        <v>0</v>
      </c>
      <c r="Z5141" s="28"/>
      <c r="AA5141" s="28" t="n">
        <f aca="false">Z5141*$M5141</f>
        <v>0</v>
      </c>
      <c r="AB5141" s="28"/>
      <c r="AC5141" s="28" t="n">
        <f aca="false">AB5141*$M5141</f>
        <v>0</v>
      </c>
      <c r="AD5141" s="28" t="n">
        <f aca="false">4283/100</f>
        <v>42.83</v>
      </c>
      <c r="AE5141" s="28" t="n">
        <v>3041</v>
      </c>
      <c r="AF5141" s="28" t="n">
        <f aca="false">2978140/100</f>
        <v>29781.4</v>
      </c>
      <c r="AG5141" s="28" t="n">
        <v>2114479</v>
      </c>
      <c r="AH5141" s="28" t="n">
        <f aca="false">4119032/100</f>
        <v>41190.32</v>
      </c>
      <c r="AI5141" s="28" t="n">
        <v>2924512</v>
      </c>
      <c r="AJ5141" s="28"/>
      <c r="AK5141" s="28" t="n">
        <f aca="false">AJ5141*$M5141</f>
        <v>0</v>
      </c>
      <c r="AL5141" s="28"/>
      <c r="AM5141" s="28" t="n">
        <f aca="false">AL5141*$M5141</f>
        <v>0</v>
      </c>
      <c r="AN5141" s="28"/>
      <c r="AO5141" s="28" t="n">
        <f aca="false">AN5141*$M5141</f>
        <v>0</v>
      </c>
      <c r="AP5141" s="28"/>
      <c r="AQ5141" s="28" t="n">
        <f aca="false">AP5141*$M5141</f>
        <v>0</v>
      </c>
      <c r="AR5141" s="28"/>
      <c r="AS5141" s="28" t="n">
        <f aca="false">AR5141*$M5141</f>
        <v>0</v>
      </c>
      <c r="AT5141" s="28"/>
      <c r="AU5141" s="28" t="n">
        <f aca="false">AT5141*$M5141</f>
        <v>0</v>
      </c>
      <c r="AV5141" s="28"/>
      <c r="AW5141" s="28" t="n">
        <f aca="false">AV5141*$M5141</f>
        <v>0</v>
      </c>
      <c r="AX5141" s="28"/>
      <c r="AY5141" s="28" t="n">
        <f aca="false">AX5141*$M5141</f>
        <v>0</v>
      </c>
      <c r="AZ5141" s="30" t="n">
        <f aca="false">7114129/100</f>
        <v>71141.29</v>
      </c>
      <c r="BA5141" s="11" t="n">
        <v>5051030</v>
      </c>
      <c r="BB5141" s="31" t="n">
        <f aca="false">SUM(Q5141,S5141,U5141,W5141,Y5141,AA5141,AC5141,AE5141,AG5141,AI5141,AK5141,AM5141,AO5141,AQ5141,AS5141,AU5141,AW5141,AY5141)</f>
        <v>5051030</v>
      </c>
      <c r="BC5141" s="28" t="n">
        <f aca="false">BA5141-BB5141</f>
        <v>0</v>
      </c>
      <c r="BD5141" s="32" t="n">
        <f aca="false">SUM(P5141,R5141,T5141,V5141,X5141,Z5141,AB5141,AD5141,AF5141,AH5141,AJ5141,AL5141,AN5141,AP5141,AR5141,AT5141,AV5141,AX5141)</f>
        <v>71141.29</v>
      </c>
      <c r="BE5141" s="33" t="n">
        <f aca="false">AZ5141-BD5141</f>
        <v>0</v>
      </c>
      <c r="BF5141" s="34" t="n">
        <f aca="false">BD5141*M5141</f>
        <v>5051031.59</v>
      </c>
      <c r="BG5141" s="35" t="n">
        <f aca="false">BA5141-BF5141</f>
        <v>-1.59000000078231</v>
      </c>
      <c r="BH5141" s="19" t="str">
        <f aca="false">IF(BG5141=0,"",IF(BG5141&lt;&gt;BA5141,"erreur de calcul",IF(BD5141&lt;&gt;0,"pas de prix",IF(M5141&lt;&gt; 0,"pas de quantité","pas de prix, ni de quantité"))))</f>
        <v>erreur de calcul</v>
      </c>
      <c r="BI5141" s="19"/>
    </row>
    <row r="5142" customFormat="false" ht="15" hidden="false" customHeight="false" outlineLevel="0" collapsed="false">
      <c r="A5142" s="0" t="n">
        <v>18</v>
      </c>
      <c r="B5142" s="8" t="s">
        <v>24</v>
      </c>
      <c r="C5142" s="9" t="s">
        <v>25</v>
      </c>
      <c r="D5142" s="9" t="s">
        <v>26</v>
      </c>
      <c r="E5142" s="10" t="n">
        <v>1789</v>
      </c>
      <c r="F5142" s="9" t="s">
        <v>27</v>
      </c>
      <c r="G5142" s="9" t="s">
        <v>27</v>
      </c>
      <c r="H5142" s="11" t="n">
        <v>24</v>
      </c>
      <c r="I5142" s="11" t="s">
        <v>307</v>
      </c>
      <c r="J5142" s="14" t="n">
        <v>45</v>
      </c>
      <c r="K5142" s="14"/>
      <c r="L5142" s="16"/>
      <c r="M5142" s="27" t="n">
        <f aca="false">J5142+(K5142/20)+(L5142/240)</f>
        <v>45</v>
      </c>
      <c r="N5142" s="17" t="s">
        <v>64</v>
      </c>
      <c r="O5142" s="11"/>
      <c r="P5142" s="28"/>
      <c r="Q5142" s="28" t="n">
        <f aca="false">P5142*$M5142</f>
        <v>0</v>
      </c>
      <c r="R5142" s="28"/>
      <c r="S5142" s="28" t="n">
        <f aca="false">R5142*$M5142</f>
        <v>0</v>
      </c>
      <c r="T5142" s="28"/>
      <c r="U5142" s="28" t="n">
        <f aca="false">T5142*$M5142</f>
        <v>0</v>
      </c>
      <c r="V5142" s="28"/>
      <c r="W5142" s="28" t="n">
        <f aca="false">V5142*$M5142</f>
        <v>0</v>
      </c>
      <c r="X5142" s="28"/>
      <c r="Y5142" s="28" t="n">
        <f aca="false">X5142*$M5142</f>
        <v>0</v>
      </c>
      <c r="Z5142" s="28"/>
      <c r="AA5142" s="28" t="n">
        <f aca="false">Z5142*$M5142</f>
        <v>0</v>
      </c>
      <c r="AB5142" s="28"/>
      <c r="AC5142" s="28" t="n">
        <f aca="false">AB5142*$M5142</f>
        <v>0</v>
      </c>
      <c r="AD5142" s="28"/>
      <c r="AE5142" s="28" t="n">
        <f aca="false">AD5142*$M5142</f>
        <v>0</v>
      </c>
      <c r="AF5142" s="28"/>
      <c r="AG5142" s="28" t="n">
        <f aca="false">AF5142*$M5142</f>
        <v>0</v>
      </c>
      <c r="AH5142" s="28"/>
      <c r="AI5142" s="28" t="n">
        <f aca="false">AH5142*$M5142</f>
        <v>0</v>
      </c>
      <c r="AJ5142" s="28"/>
      <c r="AK5142" s="28" t="n">
        <f aca="false">AJ5142*$M5142</f>
        <v>0</v>
      </c>
      <c r="AL5142" s="28" t="n">
        <f aca="false">971/100</f>
        <v>9.71</v>
      </c>
      <c r="AM5142" s="28" t="n">
        <v>437</v>
      </c>
      <c r="AN5142" s="28"/>
      <c r="AO5142" s="28" t="n">
        <f aca="false">AN5142*$M5142</f>
        <v>0</v>
      </c>
      <c r="AP5142" s="28"/>
      <c r="AQ5142" s="28" t="n">
        <f aca="false">AP5142*$M5142</f>
        <v>0</v>
      </c>
      <c r="AR5142" s="28"/>
      <c r="AS5142" s="28" t="n">
        <f aca="false">AR5142*$M5142</f>
        <v>0</v>
      </c>
      <c r="AT5142" s="28"/>
      <c r="AU5142" s="28" t="n">
        <f aca="false">AT5142*$M5142</f>
        <v>0</v>
      </c>
      <c r="AV5142" s="28"/>
      <c r="AW5142" s="28" t="n">
        <f aca="false">AV5142*$M5142</f>
        <v>0</v>
      </c>
      <c r="AX5142" s="28"/>
      <c r="AY5142" s="28" t="n">
        <f aca="false">AX5142*$M5142</f>
        <v>0</v>
      </c>
      <c r="AZ5142" s="30" t="n">
        <f aca="false">971/100</f>
        <v>9.71</v>
      </c>
      <c r="BA5142" s="11" t="n">
        <v>437</v>
      </c>
      <c r="BB5142" s="31" t="n">
        <f aca="false">SUM(Q5142,S5142,U5142,W5142,Y5142,AA5142,AC5142,AE5142,AG5142,AI5142,AK5142,AM5142,AO5142,AQ5142,AS5142,AU5142,AW5142,AY5142)</f>
        <v>437</v>
      </c>
      <c r="BC5142" s="28" t="n">
        <f aca="false">BA5142-BB5142</f>
        <v>0</v>
      </c>
      <c r="BD5142" s="32" t="n">
        <f aca="false">SUM(P5142,R5142,T5142,V5142,X5142,Z5142,AB5142,AD5142,AF5142,AH5142,AJ5142,AL5142,AN5142,AP5142,AR5142,AT5142,AV5142,AX5142)</f>
        <v>9.71</v>
      </c>
      <c r="BE5142" s="33" t="n">
        <f aca="false">AZ5142-BD5142</f>
        <v>0</v>
      </c>
      <c r="BF5142" s="34" t="n">
        <f aca="false">BD5142*M5142</f>
        <v>436.95</v>
      </c>
      <c r="BG5142" s="35" t="n">
        <f aca="false">BA5142-BF5142</f>
        <v>0.0499999999999545</v>
      </c>
      <c r="BH5142" s="19" t="str">
        <f aca="false">IF(BG5142=0,"",IF(BG5142&lt;&gt;BA5142,"erreur de calcul",IF(BD5142&lt;&gt;0,"pas de prix",IF(M5142&lt;&gt; 0,"pas de quantité","pas de prix, ni de quantité"))))</f>
        <v>erreur de calcul</v>
      </c>
      <c r="BI5142" s="19"/>
    </row>
    <row r="5143" customFormat="false" ht="15" hidden="false" customHeight="false" outlineLevel="0" collapsed="false">
      <c r="A5143" s="0" t="n">
        <v>19</v>
      </c>
      <c r="B5143" s="8" t="s">
        <v>24</v>
      </c>
      <c r="C5143" s="9" t="s">
        <v>25</v>
      </c>
      <c r="D5143" s="9" t="s">
        <v>26</v>
      </c>
      <c r="E5143" s="10" t="n">
        <v>1789</v>
      </c>
      <c r="F5143" s="9" t="s">
        <v>27</v>
      </c>
      <c r="G5143" s="9" t="s">
        <v>27</v>
      </c>
      <c r="H5143" s="11" t="n">
        <v>24</v>
      </c>
      <c r="I5143" s="11" t="s">
        <v>308</v>
      </c>
      <c r="J5143" s="14" t="n">
        <v>240</v>
      </c>
      <c r="K5143" s="14"/>
      <c r="L5143" s="16"/>
      <c r="M5143" s="27" t="n">
        <f aca="false">J5143+(K5143/20)+(L5143/240)</f>
        <v>240</v>
      </c>
      <c r="N5143" s="17" t="s">
        <v>64</v>
      </c>
      <c r="O5143" s="11"/>
      <c r="P5143" s="28"/>
      <c r="Q5143" s="28" t="n">
        <f aca="false">P5143*$M5143</f>
        <v>0</v>
      </c>
      <c r="R5143" s="28"/>
      <c r="S5143" s="28" t="n">
        <f aca="false">R5143*$M5143</f>
        <v>0</v>
      </c>
      <c r="T5143" s="28"/>
      <c r="U5143" s="28" t="n">
        <f aca="false">T5143*$M5143</f>
        <v>0</v>
      </c>
      <c r="V5143" s="28"/>
      <c r="W5143" s="28" t="n">
        <f aca="false">V5143*$M5143</f>
        <v>0</v>
      </c>
      <c r="X5143" s="28"/>
      <c r="Y5143" s="28" t="n">
        <f aca="false">X5143*$M5143</f>
        <v>0</v>
      </c>
      <c r="Z5143" s="28"/>
      <c r="AA5143" s="28" t="n">
        <f aca="false">Z5143*$M5143</f>
        <v>0</v>
      </c>
      <c r="AB5143" s="28"/>
      <c r="AC5143" s="28" t="n">
        <f aca="false">AB5143*$M5143</f>
        <v>0</v>
      </c>
      <c r="AD5143" s="28"/>
      <c r="AE5143" s="28" t="n">
        <f aca="false">AD5143*$M5143</f>
        <v>0</v>
      </c>
      <c r="AF5143" s="28"/>
      <c r="AG5143" s="28" t="n">
        <f aca="false">AF5143*$M5143</f>
        <v>0</v>
      </c>
      <c r="AH5143" s="28"/>
      <c r="AI5143" s="28" t="n">
        <f aca="false">AH5143*$M5143</f>
        <v>0</v>
      </c>
      <c r="AJ5143" s="28" t="n">
        <f aca="false">2173/100</f>
        <v>21.73</v>
      </c>
      <c r="AK5143" s="28" t="n">
        <v>5215</v>
      </c>
      <c r="AL5143" s="28"/>
      <c r="AM5143" s="28" t="n">
        <f aca="false">AL5143*$M5143</f>
        <v>0</v>
      </c>
      <c r="AN5143" s="28"/>
      <c r="AO5143" s="28" t="n">
        <f aca="false">AN5143*$M5143</f>
        <v>0</v>
      </c>
      <c r="AP5143" s="28"/>
      <c r="AQ5143" s="28" t="n">
        <f aca="false">AP5143*$M5143</f>
        <v>0</v>
      </c>
      <c r="AR5143" s="28"/>
      <c r="AS5143" s="28" t="n">
        <f aca="false">AR5143*$M5143</f>
        <v>0</v>
      </c>
      <c r="AT5143" s="28"/>
      <c r="AU5143" s="28" t="n">
        <f aca="false">AT5143*$M5143</f>
        <v>0</v>
      </c>
      <c r="AV5143" s="28"/>
      <c r="AW5143" s="28" t="n">
        <f aca="false">AV5143*$M5143</f>
        <v>0</v>
      </c>
      <c r="AX5143" s="28"/>
      <c r="AY5143" s="28" t="n">
        <f aca="false">AX5143*$M5143</f>
        <v>0</v>
      </c>
      <c r="AZ5143" s="30" t="n">
        <f aca="false">2173/100</f>
        <v>21.73</v>
      </c>
      <c r="BA5143" s="11" t="n">
        <v>5215</v>
      </c>
      <c r="BB5143" s="31" t="n">
        <f aca="false">SUM(Q5143,S5143,U5143,W5143,Y5143,AA5143,AC5143,AE5143,AG5143,AI5143,AK5143,AM5143,AO5143,AQ5143,AS5143,AU5143,AW5143,AY5143)</f>
        <v>5215</v>
      </c>
      <c r="BC5143" s="28" t="n">
        <f aca="false">BA5143-BB5143</f>
        <v>0</v>
      </c>
      <c r="BD5143" s="32" t="n">
        <f aca="false">SUM(P5143,R5143,T5143,V5143,X5143,Z5143,AB5143,AD5143,AF5143,AH5143,AJ5143,AL5143,AN5143,AP5143,AR5143,AT5143,AV5143,AX5143)</f>
        <v>21.73</v>
      </c>
      <c r="BE5143" s="33" t="n">
        <f aca="false">AZ5143-BD5143</f>
        <v>0</v>
      </c>
      <c r="BF5143" s="34" t="n">
        <f aca="false">BD5143*M5143</f>
        <v>5215.2</v>
      </c>
      <c r="BG5143" s="35" t="n">
        <f aca="false">BA5143-BF5143</f>
        <v>-0.199999999999818</v>
      </c>
      <c r="BH5143" s="19" t="str">
        <f aca="false">IF(BG5143=0,"",IF(BG5143&lt;&gt;BA5143,"erreur de calcul",IF(BD5143&lt;&gt;0,"pas de prix",IF(M5143&lt;&gt; 0,"pas de quantité","pas de prix, ni de quantité"))))</f>
        <v>erreur de calcul</v>
      </c>
      <c r="BI5143" s="19"/>
    </row>
    <row r="5144" customFormat="false" ht="15" hidden="false" customHeight="false" outlineLevel="0" collapsed="false">
      <c r="A5144" s="0" t="n">
        <v>20</v>
      </c>
      <c r="B5144" s="8" t="s">
        <v>24</v>
      </c>
      <c r="C5144" s="9" t="s">
        <v>25</v>
      </c>
      <c r="D5144" s="9" t="s">
        <v>26</v>
      </c>
      <c r="E5144" s="10" t="n">
        <v>1789</v>
      </c>
      <c r="F5144" s="9" t="s">
        <v>27</v>
      </c>
      <c r="G5144" s="9" t="s">
        <v>27</v>
      </c>
      <c r="H5144" s="11" t="n">
        <v>24</v>
      </c>
      <c r="I5144" s="11" t="s">
        <v>309</v>
      </c>
      <c r="J5144" s="14"/>
      <c r="K5144" s="14"/>
      <c r="L5144" s="16"/>
      <c r="M5144" s="27" t="n">
        <f aca="false">J5144+(K5144/20)+(L5144/240)</f>
        <v>0</v>
      </c>
      <c r="N5144" s="17"/>
      <c r="O5144" s="11"/>
      <c r="P5144" s="28"/>
      <c r="Q5144" s="28" t="n">
        <f aca="false">P5144*$M5144</f>
        <v>0</v>
      </c>
      <c r="R5144" s="28"/>
      <c r="S5144" s="28" t="n">
        <f aca="false">R5144*$M5144</f>
        <v>0</v>
      </c>
      <c r="T5144" s="28"/>
      <c r="U5144" s="28" t="n">
        <v>195</v>
      </c>
      <c r="V5144" s="28"/>
      <c r="W5144" s="28" t="n">
        <v>640</v>
      </c>
      <c r="X5144" s="28"/>
      <c r="Y5144" s="28" t="n">
        <f aca="false">X5144*$M5144</f>
        <v>0</v>
      </c>
      <c r="Z5144" s="28"/>
      <c r="AA5144" s="28" t="n">
        <f aca="false">Z5144*$M5144</f>
        <v>0</v>
      </c>
      <c r="AB5144" s="28"/>
      <c r="AC5144" s="28" t="n">
        <f aca="false">AB5144*$M5144</f>
        <v>0</v>
      </c>
      <c r="AD5144" s="28"/>
      <c r="AE5144" s="28" t="n">
        <f aca="false">AD5144*$M5144</f>
        <v>0</v>
      </c>
      <c r="AF5144" s="28"/>
      <c r="AG5144" s="28" t="n">
        <f aca="false">AF5144*$M5144</f>
        <v>0</v>
      </c>
      <c r="AH5144" s="28"/>
      <c r="AI5144" s="28" t="n">
        <v>121</v>
      </c>
      <c r="AJ5144" s="28"/>
      <c r="AK5144" s="28" t="n">
        <v>412</v>
      </c>
      <c r="AL5144" s="28"/>
      <c r="AM5144" s="28" t="n">
        <f aca="false">AL5144*$M5144</f>
        <v>0</v>
      </c>
      <c r="AN5144" s="28"/>
      <c r="AO5144" s="28" t="n">
        <f aca="false">AN5144*$M5144</f>
        <v>0</v>
      </c>
      <c r="AP5144" s="28"/>
      <c r="AQ5144" s="28" t="n">
        <f aca="false">AP5144*$M5144</f>
        <v>0</v>
      </c>
      <c r="AR5144" s="28"/>
      <c r="AS5144" s="28" t="n">
        <f aca="false">AR5144*$M5144</f>
        <v>0</v>
      </c>
      <c r="AT5144" s="28"/>
      <c r="AU5144" s="28" t="n">
        <f aca="false">AT5144*$M5144</f>
        <v>0</v>
      </c>
      <c r="AV5144" s="28"/>
      <c r="AW5144" s="28" t="n">
        <f aca="false">AV5144*$M5144</f>
        <v>0</v>
      </c>
      <c r="AX5144" s="28"/>
      <c r="AY5144" s="28" t="n">
        <f aca="false">AX5144*$M5144</f>
        <v>0</v>
      </c>
      <c r="AZ5144" s="30"/>
      <c r="BA5144" s="11" t="n">
        <v>1368</v>
      </c>
      <c r="BB5144" s="31" t="n">
        <f aca="false">SUM(Q5144,S5144,U5144,W5144,Y5144,AA5144,AC5144,AE5144,AG5144,AI5144,AK5144,AM5144,AO5144,AQ5144,AS5144,AU5144,AW5144,AY5144)</f>
        <v>1368</v>
      </c>
      <c r="BC5144" s="28" t="n">
        <f aca="false">BA5144-BB5144</f>
        <v>0</v>
      </c>
      <c r="BD5144" s="32" t="n">
        <f aca="false">SUM(P5144,R5144,T5144,V5144,X5144,Z5144,AB5144,AD5144,AF5144,AH5144,AJ5144,AL5144,AN5144,AP5144,AR5144,AT5144,AV5144,AX5144)</f>
        <v>0</v>
      </c>
      <c r="BE5144" s="33" t="n">
        <f aca="false">AZ5144-BD5144</f>
        <v>0</v>
      </c>
      <c r="BF5144" s="34" t="n">
        <f aca="false">BD5144*M5144</f>
        <v>0</v>
      </c>
      <c r="BG5144" s="35" t="n">
        <f aca="false">BA5144-BF5144</f>
        <v>1368</v>
      </c>
      <c r="BH5144" s="19" t="str">
        <f aca="false">IF(BG5144=0,"",IF(BG5144&lt;&gt;BA5144,"erreur de calcul",IF(BD5144&lt;&gt;0,"pas de prix",IF(M5144&lt;&gt; 0,"pas de quantité","pas de prix, ni de quantité"))))</f>
        <v>pas de prix, ni de quantité</v>
      </c>
      <c r="BI5144" s="19"/>
    </row>
    <row r="5145" customFormat="false" ht="15" hidden="false" customHeight="false" outlineLevel="0" collapsed="false">
      <c r="A5145" s="0" t="n">
        <v>21</v>
      </c>
      <c r="B5145" s="8" t="s">
        <v>24</v>
      </c>
      <c r="C5145" s="9" t="s">
        <v>25</v>
      </c>
      <c r="D5145" s="9" t="s">
        <v>26</v>
      </c>
      <c r="E5145" s="10" t="n">
        <v>1789</v>
      </c>
      <c r="F5145" s="9" t="s">
        <v>27</v>
      </c>
      <c r="G5145" s="9" t="s">
        <v>27</v>
      </c>
      <c r="H5145" s="11" t="n">
        <v>24</v>
      </c>
      <c r="I5145" s="11" t="s">
        <v>310</v>
      </c>
      <c r="J5145" s="14"/>
      <c r="K5145" s="14" t="n">
        <v>3</v>
      </c>
      <c r="L5145" s="16"/>
      <c r="M5145" s="27" t="n">
        <f aca="false">J5145+(K5145/20)+(L5145/240)</f>
        <v>0.15</v>
      </c>
      <c r="N5145" s="17" t="s">
        <v>311</v>
      </c>
      <c r="O5145" s="11"/>
      <c r="P5145" s="28"/>
      <c r="Q5145" s="28" t="n">
        <f aca="false">P5145*$M5145</f>
        <v>0</v>
      </c>
      <c r="R5145" s="28"/>
      <c r="S5145" s="28" t="n">
        <f aca="false">R5145*$M5145</f>
        <v>0</v>
      </c>
      <c r="T5145" s="28"/>
      <c r="U5145" s="28" t="n">
        <f aca="false">T5145*$M5145</f>
        <v>0</v>
      </c>
      <c r="V5145" s="28" t="n">
        <v>32065</v>
      </c>
      <c r="W5145" s="28" t="n">
        <v>4810</v>
      </c>
      <c r="X5145" s="28" t="n">
        <v>20652</v>
      </c>
      <c r="Y5145" s="28" t="n">
        <v>3098</v>
      </c>
      <c r="Z5145" s="28"/>
      <c r="AA5145" s="28" t="n">
        <f aca="false">Z5145*$M5145</f>
        <v>0</v>
      </c>
      <c r="AB5145" s="28"/>
      <c r="AC5145" s="28" t="n">
        <f aca="false">AB5145*$M5145</f>
        <v>0</v>
      </c>
      <c r="AD5145" s="28"/>
      <c r="AE5145" s="28" t="n">
        <f aca="false">AD5145*$M5145</f>
        <v>0</v>
      </c>
      <c r="AF5145" s="28"/>
      <c r="AG5145" s="28" t="n">
        <f aca="false">AF5145*$M5145</f>
        <v>0</v>
      </c>
      <c r="AH5145" s="28"/>
      <c r="AI5145" s="28" t="n">
        <f aca="false">AH5145*$M5145</f>
        <v>0</v>
      </c>
      <c r="AJ5145" s="28"/>
      <c r="AK5145" s="28" t="n">
        <f aca="false">AJ5145*$M5145</f>
        <v>0</v>
      </c>
      <c r="AL5145" s="28"/>
      <c r="AM5145" s="28" t="n">
        <f aca="false">AL5145*$M5145</f>
        <v>0</v>
      </c>
      <c r="AN5145" s="28"/>
      <c r="AO5145" s="28" t="n">
        <f aca="false">AN5145*$M5145</f>
        <v>0</v>
      </c>
      <c r="AP5145" s="28"/>
      <c r="AQ5145" s="28" t="n">
        <f aca="false">AP5145*$M5145</f>
        <v>0</v>
      </c>
      <c r="AR5145" s="28"/>
      <c r="AS5145" s="28" t="n">
        <f aca="false">AR5145*$M5145</f>
        <v>0</v>
      </c>
      <c r="AT5145" s="28"/>
      <c r="AU5145" s="28" t="n">
        <f aca="false">AT5145*$M5145</f>
        <v>0</v>
      </c>
      <c r="AV5145" s="28"/>
      <c r="AW5145" s="28" t="n">
        <f aca="false">AV5145*$M5145</f>
        <v>0</v>
      </c>
      <c r="AX5145" s="28"/>
      <c r="AY5145" s="28" t="n">
        <f aca="false">AX5145*$M5145</f>
        <v>0</v>
      </c>
      <c r="AZ5145" s="30" t="n">
        <v>52717</v>
      </c>
      <c r="BA5145" s="11" t="n">
        <v>7908</v>
      </c>
      <c r="BB5145" s="31" t="n">
        <f aca="false">SUM(Q5145,S5145,U5145,W5145,Y5145,AA5145,AC5145,AE5145,AG5145,AI5145,AK5145,AM5145,AO5145,AQ5145,AS5145,AU5145,AW5145,AY5145)</f>
        <v>7908</v>
      </c>
      <c r="BC5145" s="28" t="n">
        <f aca="false">BA5145-BB5145</f>
        <v>0</v>
      </c>
      <c r="BD5145" s="32" t="n">
        <f aca="false">SUM(P5145,R5145,T5145,V5145,X5145,Z5145,AB5145,AD5145,AF5145,AH5145,AJ5145,AL5145,AN5145,AP5145,AR5145,AT5145,AV5145,AX5145)</f>
        <v>52717</v>
      </c>
      <c r="BE5145" s="33" t="n">
        <f aca="false">AZ5145-BD5145</f>
        <v>0</v>
      </c>
      <c r="BF5145" s="34" t="n">
        <f aca="false">BD5145*M5145</f>
        <v>7907.55</v>
      </c>
      <c r="BG5145" s="35" t="n">
        <f aca="false">BA5145-BF5145</f>
        <v>0.450000000000728</v>
      </c>
      <c r="BH5145" s="19" t="str">
        <f aca="false">IF(BG5145=0,"",IF(BG5145&lt;&gt;BA5145,"erreur de calcul",IF(BD5145&lt;&gt;0,"pas de prix",IF(M5145&lt;&gt; 0,"pas de quantité","pas de prix, ni de quantité"))))</f>
        <v>erreur de calcul</v>
      </c>
      <c r="BI5145" s="19"/>
    </row>
    <row r="5146" customFormat="false" ht="15" hidden="false" customHeight="false" outlineLevel="0" collapsed="false">
      <c r="A5146" s="0" t="n">
        <v>22</v>
      </c>
      <c r="B5146" s="8" t="s">
        <v>24</v>
      </c>
      <c r="C5146" s="9" t="s">
        <v>25</v>
      </c>
      <c r="D5146" s="9" t="s">
        <v>26</v>
      </c>
      <c r="E5146" s="10" t="n">
        <v>1789</v>
      </c>
      <c r="F5146" s="9" t="s">
        <v>27</v>
      </c>
      <c r="G5146" s="9" t="s">
        <v>27</v>
      </c>
      <c r="H5146" s="11" t="n">
        <v>24</v>
      </c>
      <c r="I5146" s="11" t="s">
        <v>312</v>
      </c>
      <c r="J5146" s="14" t="n">
        <v>15</v>
      </c>
      <c r="K5146" s="14"/>
      <c r="L5146" s="16"/>
      <c r="M5146" s="27" t="n">
        <f aca="false">J5146+(K5146/20)+(L5146/240)</f>
        <v>15</v>
      </c>
      <c r="N5146" s="17" t="s">
        <v>275</v>
      </c>
      <c r="O5146" s="11"/>
      <c r="P5146" s="28"/>
      <c r="Q5146" s="28" t="n">
        <f aca="false">P5146*$M5146</f>
        <v>0</v>
      </c>
      <c r="R5146" s="28"/>
      <c r="S5146" s="28" t="n">
        <f aca="false">R5146*$M5146</f>
        <v>0</v>
      </c>
      <c r="T5146" s="28" t="n">
        <v>1479</v>
      </c>
      <c r="U5146" s="28" t="n">
        <v>22185</v>
      </c>
      <c r="V5146" s="28" t="n">
        <v>1500</v>
      </c>
      <c r="W5146" s="28" t="n">
        <v>22500</v>
      </c>
      <c r="X5146" s="28" t="n">
        <v>300</v>
      </c>
      <c r="Y5146" s="28" t="n">
        <v>4500</v>
      </c>
      <c r="Z5146" s="28" t="n">
        <v>168</v>
      </c>
      <c r="AA5146" s="28" t="n">
        <v>2520</v>
      </c>
      <c r="AB5146" s="28" t="n">
        <v>14570</v>
      </c>
      <c r="AC5146" s="28" t="n">
        <v>218550</v>
      </c>
      <c r="AD5146" s="28"/>
      <c r="AE5146" s="28" t="n">
        <f aca="false">AD5146*$M5146</f>
        <v>0</v>
      </c>
      <c r="AF5146" s="28" t="n">
        <v>5748</v>
      </c>
      <c r="AG5146" s="28" t="n">
        <v>86220</v>
      </c>
      <c r="AH5146" s="28"/>
      <c r="AI5146" s="28" t="n">
        <f aca="false">AH5146*$M5146</f>
        <v>0</v>
      </c>
      <c r="AJ5146" s="28" t="n">
        <v>710</v>
      </c>
      <c r="AK5146" s="28" t="n">
        <v>10650</v>
      </c>
      <c r="AL5146" s="28" t="n">
        <v>600</v>
      </c>
      <c r="AM5146" s="28" t="n">
        <v>9000</v>
      </c>
      <c r="AN5146" s="28"/>
      <c r="AO5146" s="28" t="n">
        <f aca="false">AN5146*$M5146</f>
        <v>0</v>
      </c>
      <c r="AP5146" s="28" t="n">
        <v>1200</v>
      </c>
      <c r="AQ5146" s="28" t="n">
        <v>18000</v>
      </c>
      <c r="AR5146" s="28"/>
      <c r="AS5146" s="28" t="n">
        <f aca="false">AR5146*$M5146</f>
        <v>0</v>
      </c>
      <c r="AT5146" s="28"/>
      <c r="AU5146" s="28" t="n">
        <f aca="false">AT5146*$M5146</f>
        <v>0</v>
      </c>
      <c r="AV5146" s="28"/>
      <c r="AW5146" s="28" t="n">
        <f aca="false">AV5146*$M5146</f>
        <v>0</v>
      </c>
      <c r="AX5146" s="28"/>
      <c r="AY5146" s="28" t="n">
        <f aca="false">AX5146*$M5146</f>
        <v>0</v>
      </c>
      <c r="AZ5146" s="30" t="n">
        <v>26275</v>
      </c>
      <c r="BA5146" s="11" t="n">
        <v>394125</v>
      </c>
      <c r="BB5146" s="31" t="n">
        <f aca="false">SUM(Q5146,S5146,U5146,W5146,Y5146,AA5146,AC5146,AE5146,AG5146,AI5146,AK5146,AM5146,AO5146,AQ5146,AS5146,AU5146,AW5146,AY5146)</f>
        <v>394125</v>
      </c>
      <c r="BC5146" s="28" t="n">
        <f aca="false">BA5146-BB5146</f>
        <v>0</v>
      </c>
      <c r="BD5146" s="32" t="n">
        <f aca="false">SUM(P5146,R5146,T5146,V5146,X5146,Z5146,AB5146,AD5146,AF5146,AH5146,AJ5146,AL5146,AN5146,AP5146,AR5146,AT5146,AV5146,AX5146)</f>
        <v>26275</v>
      </c>
      <c r="BE5146" s="33" t="n">
        <f aca="false">AZ5146-BD5146</f>
        <v>0</v>
      </c>
      <c r="BF5146" s="34" t="n">
        <f aca="false">BD5146*M5146</f>
        <v>394125</v>
      </c>
      <c r="BG5146" s="35" t="n">
        <f aca="false">BA5146-BF5146</f>
        <v>0</v>
      </c>
      <c r="BH5146" s="19" t="str">
        <f aca="false">IF(BG5146=0,"",IF(BG5146&lt;&gt;BA5146,"erreur de calcul",IF(BD5146&lt;&gt;0,"pas de prix",IF(M5146&lt;&gt; 0,"pas de quantité","pas de prix, ni de quantité"))))</f>
        <v/>
      </c>
      <c r="BI5146" s="19"/>
    </row>
    <row r="5147" customFormat="false" ht="15" hidden="false" customHeight="false" outlineLevel="0" collapsed="false">
      <c r="A5147" s="0" t="n">
        <v>23</v>
      </c>
      <c r="B5147" s="8" t="s">
        <v>24</v>
      </c>
      <c r="C5147" s="9" t="s">
        <v>25</v>
      </c>
      <c r="D5147" s="9" t="s">
        <v>26</v>
      </c>
      <c r="E5147" s="10" t="n">
        <v>1789</v>
      </c>
      <c r="F5147" s="9" t="s">
        <v>27</v>
      </c>
      <c r="G5147" s="9" t="s">
        <v>27</v>
      </c>
      <c r="H5147" s="11" t="n">
        <v>24</v>
      </c>
      <c r="I5147" s="11" t="s">
        <v>313</v>
      </c>
      <c r="J5147" s="14" t="n">
        <v>9</v>
      </c>
      <c r="K5147" s="14"/>
      <c r="L5147" s="16"/>
      <c r="M5147" s="27" t="n">
        <f aca="false">J5147+(K5147/20)+(L5147/240)</f>
        <v>9</v>
      </c>
      <c r="N5147" s="17" t="s">
        <v>64</v>
      </c>
      <c r="O5147" s="11"/>
      <c r="P5147" s="28"/>
      <c r="Q5147" s="28" t="n">
        <f aca="false">P5147*$M5147</f>
        <v>0</v>
      </c>
      <c r="R5147" s="28"/>
      <c r="S5147" s="28" t="n">
        <f aca="false">R5147*$M5147</f>
        <v>0</v>
      </c>
      <c r="T5147" s="28"/>
      <c r="U5147" s="28" t="n">
        <f aca="false">T5147*$M5147</f>
        <v>0</v>
      </c>
      <c r="V5147" s="28" t="n">
        <f aca="false">145504/100</f>
        <v>1455.04</v>
      </c>
      <c r="W5147" s="28" t="n">
        <v>13095</v>
      </c>
      <c r="X5147" s="28" t="n">
        <f aca="false">58504/100</f>
        <v>585.04</v>
      </c>
      <c r="Y5147" s="28" t="n">
        <v>5265</v>
      </c>
      <c r="Z5147" s="28" t="n">
        <f aca="false">17027/100</f>
        <v>170.27</v>
      </c>
      <c r="AA5147" s="28" t="n">
        <v>1532</v>
      </c>
      <c r="AB5147" s="28" t="n">
        <f aca="false">84396/100</f>
        <v>843.96</v>
      </c>
      <c r="AC5147" s="28" t="n">
        <v>7596</v>
      </c>
      <c r="AD5147" s="28"/>
      <c r="AE5147" s="28" t="n">
        <f aca="false">AD5147*$M5147</f>
        <v>0</v>
      </c>
      <c r="AF5147" s="28" t="n">
        <f aca="false">14807/100</f>
        <v>148.07</v>
      </c>
      <c r="AG5147" s="28" t="n">
        <v>1333</v>
      </c>
      <c r="AH5147" s="28"/>
      <c r="AI5147" s="28" t="n">
        <f aca="false">AH5147*$M5147</f>
        <v>0</v>
      </c>
      <c r="AJ5147" s="28"/>
      <c r="AK5147" s="28" t="n">
        <f aca="false">AJ5147*$M5147</f>
        <v>0</v>
      </c>
      <c r="AL5147" s="28"/>
      <c r="AM5147" s="28" t="n">
        <f aca="false">AL5147*$M5147</f>
        <v>0</v>
      </c>
      <c r="AN5147" s="28"/>
      <c r="AO5147" s="28" t="n">
        <f aca="false">AN5147*$M5147</f>
        <v>0</v>
      </c>
      <c r="AP5147" s="28"/>
      <c r="AQ5147" s="28" t="n">
        <f aca="false">AP5147*$M5147</f>
        <v>0</v>
      </c>
      <c r="AR5147" s="28"/>
      <c r="AS5147" s="28" t="n">
        <f aca="false">AR5147*$M5147</f>
        <v>0</v>
      </c>
      <c r="AT5147" s="28"/>
      <c r="AU5147" s="28" t="n">
        <f aca="false">AT5147*$M5147</f>
        <v>0</v>
      </c>
      <c r="AV5147" s="28"/>
      <c r="AW5147" s="28" t="n">
        <f aca="false">AV5147*$M5147</f>
        <v>0</v>
      </c>
      <c r="AX5147" s="28"/>
      <c r="AY5147" s="28" t="n">
        <f aca="false">AX5147*$M5147</f>
        <v>0</v>
      </c>
      <c r="AZ5147" s="30" t="n">
        <f aca="false">320238/100</f>
        <v>3202.38</v>
      </c>
      <c r="BA5147" s="11" t="n">
        <v>28821</v>
      </c>
      <c r="BB5147" s="31" t="n">
        <f aca="false">SUM(Q5147,S5147,U5147,W5147,Y5147,AA5147,AC5147,AE5147,AG5147,AI5147,AK5147,AM5147,AO5147,AQ5147,AS5147,AU5147,AW5147,AY5147)</f>
        <v>28821</v>
      </c>
      <c r="BC5147" s="28" t="n">
        <f aca="false">BA5147-BB5147</f>
        <v>0</v>
      </c>
      <c r="BD5147" s="32" t="n">
        <f aca="false">SUM(P5147,R5147,T5147,V5147,X5147,Z5147,AB5147,AD5147,AF5147,AH5147,AJ5147,AL5147,AN5147,AP5147,AR5147,AT5147,AV5147,AX5147)</f>
        <v>3202.38</v>
      </c>
      <c r="BE5147" s="33" t="n">
        <f aca="false">AZ5147-BD5147</f>
        <v>0</v>
      </c>
      <c r="BF5147" s="34" t="n">
        <f aca="false">BD5147*M5147</f>
        <v>28821.42</v>
      </c>
      <c r="BG5147" s="35" t="n">
        <f aca="false">BA5147-BF5147</f>
        <v>-0.420000000001892</v>
      </c>
      <c r="BH5147" s="19" t="str">
        <f aca="false">IF(BG5147=0,"",IF(BG5147&lt;&gt;BA5147,"erreur de calcul",IF(BD5147&lt;&gt;0,"pas de prix",IF(M5147&lt;&gt; 0,"pas de quantité","pas de prix, ni de quantité"))))</f>
        <v>erreur de calcul</v>
      </c>
      <c r="BI5147" s="19"/>
    </row>
    <row r="5148" customFormat="false" ht="15" hidden="false" customHeight="false" outlineLevel="0" collapsed="false">
      <c r="A5148" s="0" t="n">
        <v>24</v>
      </c>
      <c r="B5148" s="8" t="s">
        <v>24</v>
      </c>
      <c r="C5148" s="9" t="s">
        <v>25</v>
      </c>
      <c r="D5148" s="9" t="s">
        <v>26</v>
      </c>
      <c r="E5148" s="10" t="n">
        <v>1789</v>
      </c>
      <c r="F5148" s="9" t="s">
        <v>27</v>
      </c>
      <c r="G5148" s="9" t="s">
        <v>27</v>
      </c>
      <c r="H5148" s="11" t="n">
        <v>24</v>
      </c>
      <c r="I5148" s="11" t="s">
        <v>314</v>
      </c>
      <c r="J5148" s="14"/>
      <c r="K5148" s="14" t="n">
        <v>4</v>
      </c>
      <c r="L5148" s="16"/>
      <c r="M5148" s="27" t="n">
        <f aca="false">J5148+(K5148/20)+(L5148/240)</f>
        <v>0.2</v>
      </c>
      <c r="N5148" s="17" t="s">
        <v>311</v>
      </c>
      <c r="O5148" s="11"/>
      <c r="P5148" s="28"/>
      <c r="Q5148" s="28" t="n">
        <f aca="false">P5148*$M5148</f>
        <v>0</v>
      </c>
      <c r="R5148" s="28"/>
      <c r="S5148" s="28" t="n">
        <f aca="false">R5148*$M5148</f>
        <v>0</v>
      </c>
      <c r="T5148" s="28"/>
      <c r="U5148" s="28" t="n">
        <f aca="false">T5148*$M5148</f>
        <v>0</v>
      </c>
      <c r="V5148" s="28" t="n">
        <v>5800</v>
      </c>
      <c r="W5148" s="28" t="n">
        <v>1160</v>
      </c>
      <c r="X5148" s="28"/>
      <c r="Y5148" s="28" t="n">
        <f aca="false">X5148*$M5148</f>
        <v>0</v>
      </c>
      <c r="Z5148" s="28"/>
      <c r="AA5148" s="28" t="n">
        <f aca="false">Z5148*$M5148</f>
        <v>0</v>
      </c>
      <c r="AB5148" s="28"/>
      <c r="AC5148" s="28" t="n">
        <f aca="false">AB5148*$M5148</f>
        <v>0</v>
      </c>
      <c r="AD5148" s="28"/>
      <c r="AE5148" s="28" t="n">
        <f aca="false">AD5148*$M5148</f>
        <v>0</v>
      </c>
      <c r="AF5148" s="28"/>
      <c r="AG5148" s="28" t="n">
        <f aca="false">AF5148*$M5148</f>
        <v>0</v>
      </c>
      <c r="AH5148" s="28"/>
      <c r="AI5148" s="28" t="n">
        <f aca="false">AH5148*$M5148</f>
        <v>0</v>
      </c>
      <c r="AJ5148" s="28"/>
      <c r="AK5148" s="28" t="n">
        <f aca="false">AJ5148*$M5148</f>
        <v>0</v>
      </c>
      <c r="AL5148" s="28"/>
      <c r="AM5148" s="28" t="n">
        <f aca="false">AL5148*$M5148</f>
        <v>0</v>
      </c>
      <c r="AN5148" s="28"/>
      <c r="AO5148" s="28" t="n">
        <f aca="false">AN5148*$M5148</f>
        <v>0</v>
      </c>
      <c r="AP5148" s="28"/>
      <c r="AQ5148" s="28" t="n">
        <f aca="false">AP5148*$M5148</f>
        <v>0</v>
      </c>
      <c r="AR5148" s="28"/>
      <c r="AS5148" s="28" t="n">
        <f aca="false">AR5148*$M5148</f>
        <v>0</v>
      </c>
      <c r="AT5148" s="28"/>
      <c r="AU5148" s="28" t="n">
        <f aca="false">AT5148*$M5148</f>
        <v>0</v>
      </c>
      <c r="AV5148" s="28"/>
      <c r="AW5148" s="28" t="n">
        <f aca="false">AV5148*$M5148</f>
        <v>0</v>
      </c>
      <c r="AX5148" s="28"/>
      <c r="AY5148" s="28" t="n">
        <f aca="false">AX5148*$M5148</f>
        <v>0</v>
      </c>
      <c r="AZ5148" s="30" t="n">
        <v>5800</v>
      </c>
      <c r="BA5148" s="11" t="n">
        <v>1160</v>
      </c>
      <c r="BB5148" s="31" t="n">
        <f aca="false">SUM(Q5148,S5148,U5148,W5148,Y5148,AA5148,AC5148,AE5148,AG5148,AI5148,AK5148,AM5148,AO5148,AQ5148,AS5148,AU5148,AW5148,AY5148)</f>
        <v>1160</v>
      </c>
      <c r="BC5148" s="28" t="n">
        <f aca="false">BA5148-BB5148</f>
        <v>0</v>
      </c>
      <c r="BD5148" s="32" t="n">
        <f aca="false">SUM(P5148,R5148,T5148,V5148,X5148,Z5148,AB5148,AD5148,AF5148,AH5148,AJ5148,AL5148,AN5148,AP5148,AR5148,AT5148,AV5148,AX5148)</f>
        <v>5800</v>
      </c>
      <c r="BE5148" s="33" t="n">
        <f aca="false">AZ5148-BD5148</f>
        <v>0</v>
      </c>
      <c r="BF5148" s="34" t="n">
        <f aca="false">BD5148*M5148</f>
        <v>1160</v>
      </c>
      <c r="BG5148" s="35" t="n">
        <f aca="false">BA5148-BF5148</f>
        <v>0</v>
      </c>
      <c r="BH5148" s="19" t="str">
        <f aca="false">IF(BG5148=0,"",IF(BG5148&lt;&gt;BA5148,"erreur de calcul",IF(BD5148&lt;&gt;0,"pas de prix",IF(M5148&lt;&gt; 0,"pas de quantité","pas de prix, ni de quantité"))))</f>
        <v/>
      </c>
      <c r="BI5148" s="19"/>
    </row>
    <row r="5149" customFormat="false" ht="15" hidden="false" customHeight="false" outlineLevel="0" collapsed="false">
      <c r="A5149" s="0" t="n">
        <v>25</v>
      </c>
      <c r="B5149" s="8" t="s">
        <v>24</v>
      </c>
      <c r="C5149" s="9" t="s">
        <v>25</v>
      </c>
      <c r="D5149" s="9" t="s">
        <v>26</v>
      </c>
      <c r="E5149" s="10" t="n">
        <v>1789</v>
      </c>
      <c r="F5149" s="9" t="s">
        <v>27</v>
      </c>
      <c r="G5149" s="9" t="s">
        <v>27</v>
      </c>
      <c r="H5149" s="11" t="n">
        <v>24</v>
      </c>
      <c r="I5149" s="11" t="s">
        <v>315</v>
      </c>
      <c r="J5149" s="14" t="n">
        <v>10</v>
      </c>
      <c r="K5149" s="14"/>
      <c r="L5149" s="16"/>
      <c r="M5149" s="27" t="n">
        <f aca="false">J5149+(K5149/20)+(L5149/240)</f>
        <v>10</v>
      </c>
      <c r="N5149" s="17" t="s">
        <v>64</v>
      </c>
      <c r="O5149" s="11"/>
      <c r="P5149" s="28"/>
      <c r="Q5149" s="28" t="n">
        <f aca="false">P5149*$M5149</f>
        <v>0</v>
      </c>
      <c r="R5149" s="28"/>
      <c r="S5149" s="28" t="n">
        <f aca="false">R5149*$M5149</f>
        <v>0</v>
      </c>
      <c r="T5149" s="28"/>
      <c r="U5149" s="28" t="n">
        <f aca="false">T5149*$M5149</f>
        <v>0</v>
      </c>
      <c r="V5149" s="28"/>
      <c r="W5149" s="28" t="n">
        <f aca="false">V5149*$M5149</f>
        <v>0</v>
      </c>
      <c r="X5149" s="28"/>
      <c r="Y5149" s="28" t="n">
        <f aca="false">X5149*$M5149</f>
        <v>0</v>
      </c>
      <c r="Z5149" s="28"/>
      <c r="AA5149" s="28" t="n">
        <f aca="false">Z5149*$M5149</f>
        <v>0</v>
      </c>
      <c r="AB5149" s="28"/>
      <c r="AC5149" s="28" t="n">
        <f aca="false">AB5149*$M5149</f>
        <v>0</v>
      </c>
      <c r="AD5149" s="28"/>
      <c r="AE5149" s="28" t="n">
        <f aca="false">AD5149*$M5149</f>
        <v>0</v>
      </c>
      <c r="AF5149" s="28"/>
      <c r="AG5149" s="28" t="n">
        <f aca="false">AF5149*$M5149</f>
        <v>0</v>
      </c>
      <c r="AH5149" s="28"/>
      <c r="AI5149" s="28" t="n">
        <f aca="false">AH5149*$M5149</f>
        <v>0</v>
      </c>
      <c r="AJ5149" s="28" t="n">
        <f aca="false">13584/100</f>
        <v>135.84</v>
      </c>
      <c r="AK5149" s="28" t="n">
        <v>1358</v>
      </c>
      <c r="AL5149" s="28"/>
      <c r="AM5149" s="28" t="n">
        <f aca="false">AL5149*$M5149</f>
        <v>0</v>
      </c>
      <c r="AN5149" s="28"/>
      <c r="AO5149" s="28" t="n">
        <f aca="false">AN5149*$M5149</f>
        <v>0</v>
      </c>
      <c r="AP5149" s="28"/>
      <c r="AQ5149" s="28" t="n">
        <f aca="false">AP5149*$M5149</f>
        <v>0</v>
      </c>
      <c r="AR5149" s="28"/>
      <c r="AS5149" s="28" t="n">
        <f aca="false">AR5149*$M5149</f>
        <v>0</v>
      </c>
      <c r="AT5149" s="28"/>
      <c r="AU5149" s="28" t="n">
        <f aca="false">AT5149*$M5149</f>
        <v>0</v>
      </c>
      <c r="AV5149" s="28"/>
      <c r="AW5149" s="28" t="n">
        <f aca="false">AV5149*$M5149</f>
        <v>0</v>
      </c>
      <c r="AX5149" s="28"/>
      <c r="AY5149" s="28" t="n">
        <f aca="false">AX5149*$M5149</f>
        <v>0</v>
      </c>
      <c r="AZ5149" s="30" t="n">
        <f aca="false">13584/100</f>
        <v>135.84</v>
      </c>
      <c r="BA5149" s="11" t="n">
        <v>1358</v>
      </c>
      <c r="BB5149" s="31" t="n">
        <f aca="false">SUM(Q5149,S5149,U5149,W5149,Y5149,AA5149,AC5149,AE5149,AG5149,AI5149,AK5149,AM5149,AO5149,AQ5149,AS5149,AU5149,AW5149,AY5149)</f>
        <v>1358</v>
      </c>
      <c r="BC5149" s="28" t="n">
        <f aca="false">BA5149-BB5149</f>
        <v>0</v>
      </c>
      <c r="BD5149" s="32" t="n">
        <f aca="false">SUM(P5149,R5149,T5149,V5149,X5149,Z5149,AB5149,AD5149,AF5149,AH5149,AJ5149,AL5149,AN5149,AP5149,AR5149,AT5149,AV5149,AX5149)</f>
        <v>135.84</v>
      </c>
      <c r="BE5149" s="33" t="n">
        <f aca="false">AZ5149-BD5149</f>
        <v>0</v>
      </c>
      <c r="BF5149" s="34" t="n">
        <f aca="false">BD5149*M5149</f>
        <v>1358.4</v>
      </c>
      <c r="BG5149" s="35" t="n">
        <f aca="false">BA5149-BF5149</f>
        <v>-0.400000000000091</v>
      </c>
      <c r="BH5149" s="19" t="str">
        <f aca="false">IF(BG5149=0,"",IF(BG5149&lt;&gt;BA5149,"erreur de calcul",IF(BD5149&lt;&gt;0,"pas de prix",IF(M5149&lt;&gt; 0,"pas de quantité","pas de prix, ni de quantité"))))</f>
        <v>erreur de calcul</v>
      </c>
      <c r="BI5149" s="19"/>
    </row>
    <row r="5150" customFormat="false" ht="15" hidden="false" customHeight="false" outlineLevel="0" collapsed="false">
      <c r="A5150" s="0" t="n">
        <v>26</v>
      </c>
      <c r="B5150" s="8" t="s">
        <v>24</v>
      </c>
      <c r="C5150" s="9" t="s">
        <v>25</v>
      </c>
      <c r="D5150" s="9" t="s">
        <v>26</v>
      </c>
      <c r="E5150" s="10" t="n">
        <v>1789</v>
      </c>
      <c r="F5150" s="9" t="s">
        <v>27</v>
      </c>
      <c r="G5150" s="9" t="s">
        <v>27</v>
      </c>
      <c r="H5150" s="11" t="n">
        <v>24</v>
      </c>
      <c r="I5150" s="11" t="s">
        <v>316</v>
      </c>
      <c r="J5150" s="14" t="n">
        <v>12</v>
      </c>
      <c r="K5150" s="14"/>
      <c r="L5150" s="16"/>
      <c r="M5150" s="27" t="n">
        <f aca="false">J5150+(K5150/20)+(L5150/240)</f>
        <v>12</v>
      </c>
      <c r="N5150" s="17" t="s">
        <v>64</v>
      </c>
      <c r="O5150" s="11"/>
      <c r="P5150" s="28" t="n">
        <f aca="false">8690/100</f>
        <v>86.9</v>
      </c>
      <c r="Q5150" s="28" t="n">
        <v>1043</v>
      </c>
      <c r="R5150" s="28"/>
      <c r="S5150" s="28" t="n">
        <f aca="false">R5150*$M5150</f>
        <v>0</v>
      </c>
      <c r="T5150" s="28"/>
      <c r="U5150" s="28" t="n">
        <f aca="false">T5150*$M5150</f>
        <v>0</v>
      </c>
      <c r="V5150" s="28"/>
      <c r="W5150" s="28" t="n">
        <f aca="false">V5150*$M5150</f>
        <v>0</v>
      </c>
      <c r="X5150" s="28" t="n">
        <f aca="false">10000/100</f>
        <v>100</v>
      </c>
      <c r="Y5150" s="28" t="n">
        <v>1200</v>
      </c>
      <c r="Z5150" s="28"/>
      <c r="AA5150" s="28" t="n">
        <f aca="false">Z5150*$M5150</f>
        <v>0</v>
      </c>
      <c r="AB5150" s="28"/>
      <c r="AC5150" s="28" t="n">
        <f aca="false">AB5150*$M5150</f>
        <v>0</v>
      </c>
      <c r="AD5150" s="28"/>
      <c r="AE5150" s="28" t="n">
        <f aca="false">AD5150*$M5150</f>
        <v>0</v>
      </c>
      <c r="AF5150" s="28"/>
      <c r="AG5150" s="28" t="n">
        <f aca="false">AF5150*$M5150</f>
        <v>0</v>
      </c>
      <c r="AH5150" s="28"/>
      <c r="AI5150" s="28" t="n">
        <f aca="false">AH5150*$M5150</f>
        <v>0</v>
      </c>
      <c r="AJ5150" s="28"/>
      <c r="AK5150" s="28" t="n">
        <f aca="false">AJ5150*$M5150</f>
        <v>0</v>
      </c>
      <c r="AL5150" s="28"/>
      <c r="AM5150" s="28" t="n">
        <f aca="false">AL5150*$M5150</f>
        <v>0</v>
      </c>
      <c r="AN5150" s="28"/>
      <c r="AO5150" s="28" t="n">
        <f aca="false">AN5150*$M5150</f>
        <v>0</v>
      </c>
      <c r="AP5150" s="28"/>
      <c r="AQ5150" s="28" t="n">
        <f aca="false">AP5150*$M5150</f>
        <v>0</v>
      </c>
      <c r="AR5150" s="28"/>
      <c r="AS5150" s="28" t="n">
        <f aca="false">AR5150*$M5150</f>
        <v>0</v>
      </c>
      <c r="AT5150" s="28"/>
      <c r="AU5150" s="28" t="n">
        <f aca="false">AT5150*$M5150</f>
        <v>0</v>
      </c>
      <c r="AV5150" s="28"/>
      <c r="AW5150" s="28" t="n">
        <f aca="false">AV5150*$M5150</f>
        <v>0</v>
      </c>
      <c r="AX5150" s="28"/>
      <c r="AY5150" s="28" t="n">
        <f aca="false">AX5150*$M5150</f>
        <v>0</v>
      </c>
      <c r="AZ5150" s="30" t="n">
        <f aca="false">18690/100</f>
        <v>186.9</v>
      </c>
      <c r="BA5150" s="11" t="n">
        <v>2243</v>
      </c>
      <c r="BB5150" s="31" t="n">
        <f aca="false">SUM(Q5150,S5150,U5150,W5150,Y5150,AA5150,AC5150,AE5150,AG5150,AI5150,AK5150,AM5150,AO5150,AQ5150,AS5150,AU5150,AW5150,AY5150)</f>
        <v>2243</v>
      </c>
      <c r="BC5150" s="28" t="n">
        <f aca="false">BA5150-BB5150</f>
        <v>0</v>
      </c>
      <c r="BD5150" s="32" t="n">
        <f aca="false">SUM(P5150,R5150,T5150,V5150,X5150,Z5150,AB5150,AD5150,AF5150,AH5150,AJ5150,AL5150,AN5150,AP5150,AR5150,AT5150,AV5150,AX5150)</f>
        <v>186.9</v>
      </c>
      <c r="BE5150" s="33" t="n">
        <f aca="false">AZ5150-BD5150</f>
        <v>0</v>
      </c>
      <c r="BF5150" s="34" t="n">
        <f aca="false">BD5150*M5150</f>
        <v>2242.8</v>
      </c>
      <c r="BG5150" s="35" t="n">
        <f aca="false">BA5150-BF5150</f>
        <v>0.199999999999818</v>
      </c>
      <c r="BH5150" s="19" t="str">
        <f aca="false">IF(BG5150=0,"",IF(BG5150&lt;&gt;BA5150,"erreur de calcul",IF(BD5150&lt;&gt;0,"pas de prix",IF(M5150&lt;&gt; 0,"pas de quantité","pas de prix, ni de quantité"))))</f>
        <v>erreur de calcul</v>
      </c>
      <c r="BI5150" s="19"/>
    </row>
    <row r="5151" customFormat="false" ht="15" hidden="false" customHeight="false" outlineLevel="0" collapsed="false">
      <c r="A5151" s="0" t="n">
        <v>27</v>
      </c>
      <c r="B5151" s="8" t="s">
        <v>24</v>
      </c>
      <c r="C5151" s="9" t="s">
        <v>25</v>
      </c>
      <c r="D5151" s="9" t="s">
        <v>26</v>
      </c>
      <c r="E5151" s="10" t="n">
        <v>1789</v>
      </c>
      <c r="F5151" s="9" t="s">
        <v>27</v>
      </c>
      <c r="G5151" s="9" t="s">
        <v>27</v>
      </c>
      <c r="H5151" s="11" t="n">
        <v>24</v>
      </c>
      <c r="I5151" s="11" t="s">
        <v>317</v>
      </c>
      <c r="J5151" s="14" t="n">
        <v>2</v>
      </c>
      <c r="K5151" s="14"/>
      <c r="L5151" s="16"/>
      <c r="M5151" s="27" t="n">
        <f aca="false">J5151+(K5151/20)+(L5151/240)</f>
        <v>2</v>
      </c>
      <c r="N5151" s="17" t="s">
        <v>64</v>
      </c>
      <c r="O5151" s="11"/>
      <c r="P5151" s="28"/>
      <c r="Q5151" s="28" t="n">
        <f aca="false">P5151*$M5151</f>
        <v>0</v>
      </c>
      <c r="R5151" s="28"/>
      <c r="S5151" s="28" t="n">
        <f aca="false">R5151*$M5151</f>
        <v>0</v>
      </c>
      <c r="T5151" s="28"/>
      <c r="U5151" s="28" t="n">
        <f aca="false">T5151*$M5151</f>
        <v>0</v>
      </c>
      <c r="V5151" s="28"/>
      <c r="W5151" s="28" t="n">
        <f aca="false">V5151*$M5151</f>
        <v>0</v>
      </c>
      <c r="X5151" s="28"/>
      <c r="Y5151" s="28" t="n">
        <f aca="false">X5151*$M5151</f>
        <v>0</v>
      </c>
      <c r="Z5151" s="28"/>
      <c r="AA5151" s="28" t="n">
        <f aca="false">Z5151*$M5151</f>
        <v>0</v>
      </c>
      <c r="AB5151" s="28" t="n">
        <f aca="false">15417/100</f>
        <v>154.17</v>
      </c>
      <c r="AC5151" s="28" t="n">
        <v>308</v>
      </c>
      <c r="AD5151" s="28"/>
      <c r="AE5151" s="28" t="n">
        <f aca="false">AD5151*$M5151</f>
        <v>0</v>
      </c>
      <c r="AF5151" s="28"/>
      <c r="AG5151" s="28" t="n">
        <f aca="false">AF5151*$M5151</f>
        <v>0</v>
      </c>
      <c r="AH5151" s="28"/>
      <c r="AI5151" s="28" t="n">
        <f aca="false">AH5151*$M5151</f>
        <v>0</v>
      </c>
      <c r="AJ5151" s="28"/>
      <c r="AK5151" s="28" t="n">
        <f aca="false">AJ5151*$M5151</f>
        <v>0</v>
      </c>
      <c r="AL5151" s="28"/>
      <c r="AM5151" s="28" t="n">
        <f aca="false">AL5151*$M5151</f>
        <v>0</v>
      </c>
      <c r="AN5151" s="28"/>
      <c r="AO5151" s="28" t="n">
        <f aca="false">AN5151*$M5151</f>
        <v>0</v>
      </c>
      <c r="AP5151" s="28"/>
      <c r="AQ5151" s="28" t="n">
        <f aca="false">AP5151*$M5151</f>
        <v>0</v>
      </c>
      <c r="AR5151" s="28"/>
      <c r="AS5151" s="28" t="n">
        <f aca="false">AR5151*$M5151</f>
        <v>0</v>
      </c>
      <c r="AT5151" s="28"/>
      <c r="AU5151" s="28" t="n">
        <f aca="false">AT5151*$M5151</f>
        <v>0</v>
      </c>
      <c r="AV5151" s="28"/>
      <c r="AW5151" s="28" t="n">
        <f aca="false">AV5151*$M5151</f>
        <v>0</v>
      </c>
      <c r="AX5151" s="28"/>
      <c r="AY5151" s="28" t="n">
        <f aca="false">AX5151*$M5151</f>
        <v>0</v>
      </c>
      <c r="AZ5151" s="30" t="n">
        <f aca="false">15417/100</f>
        <v>154.17</v>
      </c>
      <c r="BA5151" s="11" t="n">
        <v>308</v>
      </c>
      <c r="BB5151" s="31" t="n">
        <f aca="false">SUM(Q5151,S5151,U5151,W5151,Y5151,AA5151,AC5151,AE5151,AG5151,AI5151,AK5151,AM5151,AO5151,AQ5151,AS5151,AU5151,AW5151,AY5151)</f>
        <v>308</v>
      </c>
      <c r="BC5151" s="28" t="n">
        <f aca="false">BA5151-BB5151</f>
        <v>0</v>
      </c>
      <c r="BD5151" s="32" t="n">
        <f aca="false">SUM(P5151,R5151,T5151,V5151,X5151,Z5151,AB5151,AD5151,AF5151,AH5151,AJ5151,AL5151,AN5151,AP5151,AR5151,AT5151,AV5151,AX5151)</f>
        <v>154.17</v>
      </c>
      <c r="BE5151" s="33" t="n">
        <f aca="false">AZ5151-BD5151</f>
        <v>0</v>
      </c>
      <c r="BF5151" s="34" t="n">
        <f aca="false">BD5151*M5151</f>
        <v>308.34</v>
      </c>
      <c r="BG5151" s="35" t="n">
        <f aca="false">BA5151-BF5151</f>
        <v>-0.339999999999975</v>
      </c>
      <c r="BH5151" s="19" t="str">
        <f aca="false">IF(BG5151=0,"",IF(BG5151&lt;&gt;BA5151,"erreur de calcul",IF(BD5151&lt;&gt;0,"pas de prix",IF(M5151&lt;&gt; 0,"pas de quantité","pas de prix, ni de quantité"))))</f>
        <v>erreur de calcul</v>
      </c>
      <c r="BI5151" s="19"/>
    </row>
    <row r="5152" customFormat="false" ht="15" hidden="false" customHeight="false" outlineLevel="0" collapsed="false">
      <c r="A5152" s="0" t="n">
        <v>28</v>
      </c>
      <c r="B5152" s="8" t="s">
        <v>24</v>
      </c>
      <c r="C5152" s="9" t="s">
        <v>25</v>
      </c>
      <c r="D5152" s="9" t="s">
        <v>26</v>
      </c>
      <c r="E5152" s="10" t="n">
        <v>1789</v>
      </c>
      <c r="F5152" s="9" t="s">
        <v>27</v>
      </c>
      <c r="G5152" s="9" t="s">
        <v>27</v>
      </c>
      <c r="H5152" s="11" t="n">
        <v>24</v>
      </c>
      <c r="I5152" s="11" t="s">
        <v>318</v>
      </c>
      <c r="J5152" s="14" t="n">
        <v>30</v>
      </c>
      <c r="K5152" s="14"/>
      <c r="L5152" s="16"/>
      <c r="M5152" s="27" t="n">
        <f aca="false">J5152+(K5152/20)+(L5152/240)</f>
        <v>30</v>
      </c>
      <c r="N5152" s="17" t="s">
        <v>64</v>
      </c>
      <c r="O5152" s="11"/>
      <c r="P5152" s="28" t="n">
        <f aca="false">55459/100</f>
        <v>554.59</v>
      </c>
      <c r="Q5152" s="28" t="n">
        <v>16638</v>
      </c>
      <c r="R5152" s="28"/>
      <c r="S5152" s="28" t="n">
        <f aca="false">R5152*$M5152</f>
        <v>0</v>
      </c>
      <c r="T5152" s="28"/>
      <c r="U5152" s="28" t="n">
        <f aca="false">T5152*$M5152</f>
        <v>0</v>
      </c>
      <c r="V5152" s="28"/>
      <c r="W5152" s="28" t="n">
        <f aca="false">V5152*$M5152</f>
        <v>0</v>
      </c>
      <c r="X5152" s="28"/>
      <c r="Y5152" s="28" t="n">
        <f aca="false">X5152*$M5152</f>
        <v>0</v>
      </c>
      <c r="Z5152" s="28"/>
      <c r="AA5152" s="28" t="n">
        <f aca="false">Z5152*$M5152</f>
        <v>0</v>
      </c>
      <c r="AB5152" s="28"/>
      <c r="AC5152" s="28" t="n">
        <f aca="false">AB5152*$M5152</f>
        <v>0</v>
      </c>
      <c r="AD5152" s="28"/>
      <c r="AE5152" s="28" t="n">
        <f aca="false">AD5152*$M5152</f>
        <v>0</v>
      </c>
      <c r="AF5152" s="28"/>
      <c r="AG5152" s="28" t="n">
        <f aca="false">AF5152*$M5152</f>
        <v>0</v>
      </c>
      <c r="AH5152" s="28"/>
      <c r="AI5152" s="28" t="n">
        <f aca="false">AH5152*$M5152</f>
        <v>0</v>
      </c>
      <c r="AJ5152" s="28"/>
      <c r="AK5152" s="28" t="n">
        <f aca="false">AJ5152*$M5152</f>
        <v>0</v>
      </c>
      <c r="AL5152" s="28"/>
      <c r="AM5152" s="28" t="n">
        <f aca="false">AL5152*$M5152</f>
        <v>0</v>
      </c>
      <c r="AN5152" s="28"/>
      <c r="AO5152" s="28" t="n">
        <f aca="false">AN5152*$M5152</f>
        <v>0</v>
      </c>
      <c r="AP5152" s="28"/>
      <c r="AQ5152" s="28" t="n">
        <f aca="false">AP5152*$M5152</f>
        <v>0</v>
      </c>
      <c r="AR5152" s="28"/>
      <c r="AS5152" s="28" t="n">
        <f aca="false">AR5152*$M5152</f>
        <v>0</v>
      </c>
      <c r="AT5152" s="28"/>
      <c r="AU5152" s="28" t="n">
        <f aca="false">AT5152*$M5152</f>
        <v>0</v>
      </c>
      <c r="AV5152" s="28"/>
      <c r="AW5152" s="28" t="n">
        <f aca="false">AV5152*$M5152</f>
        <v>0</v>
      </c>
      <c r="AX5152" s="28"/>
      <c r="AY5152" s="28" t="n">
        <f aca="false">AX5152*$M5152</f>
        <v>0</v>
      </c>
      <c r="AZ5152" s="30" t="n">
        <f aca="false">55459/100</f>
        <v>554.59</v>
      </c>
      <c r="BA5152" s="11" t="n">
        <v>16638</v>
      </c>
      <c r="BB5152" s="31" t="n">
        <f aca="false">SUM(Q5152,S5152,U5152,W5152,Y5152,AA5152,AC5152,AE5152,AG5152,AI5152,AK5152,AM5152,AO5152,AQ5152,AS5152,AU5152,AW5152,AY5152)</f>
        <v>16638</v>
      </c>
      <c r="BC5152" s="28" t="n">
        <f aca="false">BA5152-BB5152</f>
        <v>0</v>
      </c>
      <c r="BD5152" s="32" t="n">
        <f aca="false">SUM(P5152,R5152,T5152,V5152,X5152,Z5152,AB5152,AD5152,AF5152,AH5152,AJ5152,AL5152,AN5152,AP5152,AR5152,AT5152,AV5152,AX5152)</f>
        <v>554.59</v>
      </c>
      <c r="BE5152" s="33" t="n">
        <f aca="false">AZ5152-BD5152</f>
        <v>0</v>
      </c>
      <c r="BF5152" s="34" t="n">
        <f aca="false">BD5152*M5152</f>
        <v>16637.7</v>
      </c>
      <c r="BG5152" s="35" t="n">
        <f aca="false">BA5152-BF5152</f>
        <v>0.299999999999272</v>
      </c>
      <c r="BH5152" s="19" t="str">
        <f aca="false">IF(BG5152=0,"",IF(BG5152&lt;&gt;BA5152,"erreur de calcul",IF(BD5152&lt;&gt;0,"pas de prix",IF(M5152&lt;&gt; 0,"pas de quantité","pas de prix, ni de quantité"))))</f>
        <v>erreur de calcul</v>
      </c>
      <c r="BI5152" s="19"/>
    </row>
    <row r="5153" customFormat="false" ht="15" hidden="false" customHeight="false" outlineLevel="0" collapsed="false">
      <c r="A5153" s="0" t="n">
        <v>29</v>
      </c>
      <c r="B5153" s="8" t="s">
        <v>24</v>
      </c>
      <c r="C5153" s="9" t="s">
        <v>25</v>
      </c>
      <c r="D5153" s="9" t="s">
        <v>26</v>
      </c>
      <c r="E5153" s="10" t="n">
        <v>1789</v>
      </c>
      <c r="F5153" s="9" t="s">
        <v>27</v>
      </c>
      <c r="G5153" s="9" t="s">
        <v>27</v>
      </c>
      <c r="H5153" s="11" t="n">
        <v>24</v>
      </c>
      <c r="I5153" s="11" t="s">
        <v>319</v>
      </c>
      <c r="J5153" s="14" t="n">
        <v>10</v>
      </c>
      <c r="K5153" s="14"/>
      <c r="L5153" s="16"/>
      <c r="M5153" s="27" t="n">
        <f aca="false">J5153+(K5153/20)+(L5153/240)</f>
        <v>10</v>
      </c>
      <c r="N5153" s="17" t="s">
        <v>64</v>
      </c>
      <c r="O5153" s="11"/>
      <c r="P5153" s="28" t="n">
        <f aca="false">48819/100</f>
        <v>488.19</v>
      </c>
      <c r="Q5153" s="28" t="n">
        <v>4882</v>
      </c>
      <c r="R5153" s="28"/>
      <c r="S5153" s="28" t="n">
        <f aca="false">R5153*$M5153</f>
        <v>0</v>
      </c>
      <c r="T5153" s="28" t="n">
        <f aca="false">2500/100</f>
        <v>25</v>
      </c>
      <c r="U5153" s="28" t="n">
        <v>250</v>
      </c>
      <c r="V5153" s="28"/>
      <c r="W5153" s="28" t="n">
        <f aca="false">V5153*$M5153</f>
        <v>0</v>
      </c>
      <c r="X5153" s="28" t="n">
        <f aca="false">6667/100</f>
        <v>66.67</v>
      </c>
      <c r="Y5153" s="28" t="n">
        <v>667</v>
      </c>
      <c r="Z5153" s="28"/>
      <c r="AA5153" s="28" t="n">
        <f aca="false">Z5153*$M5153</f>
        <v>0</v>
      </c>
      <c r="AB5153" s="28"/>
      <c r="AC5153" s="28" t="n">
        <f aca="false">AB5153*$M5153</f>
        <v>0</v>
      </c>
      <c r="AD5153" s="28"/>
      <c r="AE5153" s="28" t="n">
        <f aca="false">AD5153*$M5153</f>
        <v>0</v>
      </c>
      <c r="AF5153" s="28"/>
      <c r="AG5153" s="28" t="n">
        <f aca="false">AF5153*$M5153</f>
        <v>0</v>
      </c>
      <c r="AH5153" s="28"/>
      <c r="AI5153" s="28" t="n">
        <f aca="false">AH5153*$M5153</f>
        <v>0</v>
      </c>
      <c r="AJ5153" s="28"/>
      <c r="AK5153" s="28" t="n">
        <f aca="false">AJ5153*$M5153</f>
        <v>0</v>
      </c>
      <c r="AL5153" s="28"/>
      <c r="AM5153" s="28" t="n">
        <f aca="false">AL5153*$M5153</f>
        <v>0</v>
      </c>
      <c r="AN5153" s="28"/>
      <c r="AO5153" s="28" t="n">
        <f aca="false">AN5153*$M5153</f>
        <v>0</v>
      </c>
      <c r="AP5153" s="28"/>
      <c r="AQ5153" s="28" t="n">
        <f aca="false">AP5153*$M5153</f>
        <v>0</v>
      </c>
      <c r="AR5153" s="28"/>
      <c r="AS5153" s="28" t="n">
        <f aca="false">AR5153*$M5153</f>
        <v>0</v>
      </c>
      <c r="AT5153" s="28"/>
      <c r="AU5153" s="28" t="n">
        <f aca="false">AT5153*$M5153</f>
        <v>0</v>
      </c>
      <c r="AV5153" s="28"/>
      <c r="AW5153" s="28" t="n">
        <f aca="false">AV5153*$M5153</f>
        <v>0</v>
      </c>
      <c r="AX5153" s="28"/>
      <c r="AY5153" s="28" t="n">
        <f aca="false">AX5153*$M5153</f>
        <v>0</v>
      </c>
      <c r="AZ5153" s="30" t="n">
        <f aca="false">57986/100</f>
        <v>579.86</v>
      </c>
      <c r="BA5153" s="11" t="n">
        <v>5799</v>
      </c>
      <c r="BB5153" s="31" t="n">
        <f aca="false">SUM(Q5153,S5153,U5153,W5153,Y5153,AA5153,AC5153,AE5153,AG5153,AI5153,AK5153,AM5153,AO5153,AQ5153,AS5153,AU5153,AW5153,AY5153)</f>
        <v>5799</v>
      </c>
      <c r="BC5153" s="28" t="n">
        <f aca="false">BA5153-BB5153</f>
        <v>0</v>
      </c>
      <c r="BD5153" s="32" t="n">
        <f aca="false">SUM(P5153,R5153,T5153,V5153,X5153,Z5153,AB5153,AD5153,AF5153,AH5153,AJ5153,AL5153,AN5153,AP5153,AR5153,AT5153,AV5153,AX5153)</f>
        <v>579.86</v>
      </c>
      <c r="BE5153" s="33" t="n">
        <f aca="false">AZ5153-BD5153</f>
        <v>0</v>
      </c>
      <c r="BF5153" s="34" t="n">
        <f aca="false">BD5153*M5153</f>
        <v>5798.6</v>
      </c>
      <c r="BG5153" s="35" t="n">
        <f aca="false">BA5153-BF5153</f>
        <v>0.399999999999636</v>
      </c>
      <c r="BH5153" s="19" t="str">
        <f aca="false">IF(BG5153=0,"",IF(BG5153&lt;&gt;BA5153,"erreur de calcul",IF(BD5153&lt;&gt;0,"pas de prix",IF(M5153&lt;&gt; 0,"pas de quantité","pas de prix, ni de quantité"))))</f>
        <v>erreur de calcul</v>
      </c>
      <c r="BI5153" s="19"/>
    </row>
    <row r="5154" customFormat="false" ht="15" hidden="false" customHeight="false" outlineLevel="0" collapsed="false">
      <c r="A5154" s="0" t="n">
        <v>30</v>
      </c>
      <c r="B5154" s="8" t="s">
        <v>24</v>
      </c>
      <c r="C5154" s="9" t="s">
        <v>25</v>
      </c>
      <c r="D5154" s="9" t="s">
        <v>26</v>
      </c>
      <c r="E5154" s="10" t="n">
        <v>1789</v>
      </c>
      <c r="F5154" s="9" t="s">
        <v>27</v>
      </c>
      <c r="G5154" s="9" t="s">
        <v>27</v>
      </c>
      <c r="H5154" s="11" t="n">
        <v>24</v>
      </c>
      <c r="I5154" s="11" t="s">
        <v>320</v>
      </c>
      <c r="J5154" s="14" t="n">
        <v>90</v>
      </c>
      <c r="K5154" s="14"/>
      <c r="L5154" s="16"/>
      <c r="M5154" s="27" t="n">
        <f aca="false">J5154+(K5154/20)+(L5154/240)</f>
        <v>90</v>
      </c>
      <c r="N5154" s="17" t="s">
        <v>64</v>
      </c>
      <c r="O5154" s="11"/>
      <c r="P5154" s="28"/>
      <c r="Q5154" s="28" t="n">
        <f aca="false">P5154*$M5154</f>
        <v>0</v>
      </c>
      <c r="R5154" s="28"/>
      <c r="S5154" s="28" t="n">
        <f aca="false">R5154*$M5154</f>
        <v>0</v>
      </c>
      <c r="T5154" s="28"/>
      <c r="U5154" s="28" t="n">
        <f aca="false">T5154*$M5154</f>
        <v>0</v>
      </c>
      <c r="V5154" s="28"/>
      <c r="W5154" s="28" t="n">
        <f aca="false">V5154*$M5154</f>
        <v>0</v>
      </c>
      <c r="X5154" s="28"/>
      <c r="Y5154" s="28" t="n">
        <f aca="false">X5154*$M5154</f>
        <v>0</v>
      </c>
      <c r="Z5154" s="28"/>
      <c r="AA5154" s="28" t="n">
        <f aca="false">Z5154*$M5154</f>
        <v>0</v>
      </c>
      <c r="AB5154" s="28"/>
      <c r="AC5154" s="28" t="n">
        <f aca="false">AB5154*$M5154</f>
        <v>0</v>
      </c>
      <c r="AD5154" s="28"/>
      <c r="AE5154" s="28" t="n">
        <f aca="false">AD5154*$M5154</f>
        <v>0</v>
      </c>
      <c r="AF5154" s="28"/>
      <c r="AG5154" s="28" t="n">
        <f aca="false">AF5154*$M5154</f>
        <v>0</v>
      </c>
      <c r="AH5154" s="28"/>
      <c r="AI5154" s="28" t="n">
        <f aca="false">AH5154*$M5154</f>
        <v>0</v>
      </c>
      <c r="AJ5154" s="28"/>
      <c r="AK5154" s="28" t="n">
        <f aca="false">AJ5154*$M5154</f>
        <v>0</v>
      </c>
      <c r="AL5154" s="28" t="n">
        <f aca="false">2950/100</f>
        <v>29.5</v>
      </c>
      <c r="AM5154" s="28" t="n">
        <v>2655</v>
      </c>
      <c r="AN5154" s="28"/>
      <c r="AO5154" s="28" t="n">
        <f aca="false">AN5154*$M5154</f>
        <v>0</v>
      </c>
      <c r="AP5154" s="28"/>
      <c r="AQ5154" s="28" t="n">
        <f aca="false">AP5154*$M5154</f>
        <v>0</v>
      </c>
      <c r="AR5154" s="28"/>
      <c r="AS5154" s="28" t="n">
        <f aca="false">AR5154*$M5154</f>
        <v>0</v>
      </c>
      <c r="AT5154" s="28"/>
      <c r="AU5154" s="28" t="n">
        <f aca="false">AT5154*$M5154</f>
        <v>0</v>
      </c>
      <c r="AV5154" s="28"/>
      <c r="AW5154" s="28" t="n">
        <f aca="false">AV5154*$M5154</f>
        <v>0</v>
      </c>
      <c r="AX5154" s="28"/>
      <c r="AY5154" s="28" t="n">
        <f aca="false">AX5154*$M5154</f>
        <v>0</v>
      </c>
      <c r="AZ5154" s="30" t="n">
        <f aca="false">2950/100</f>
        <v>29.5</v>
      </c>
      <c r="BA5154" s="11" t="n">
        <v>2655</v>
      </c>
      <c r="BB5154" s="31" t="n">
        <f aca="false">SUM(Q5154,S5154,U5154,W5154,Y5154,AA5154,AC5154,AE5154,AG5154,AI5154,AK5154,AM5154,AO5154,AQ5154,AS5154,AU5154,AW5154,AY5154)</f>
        <v>2655</v>
      </c>
      <c r="BC5154" s="28" t="n">
        <f aca="false">BA5154-BB5154</f>
        <v>0</v>
      </c>
      <c r="BD5154" s="32" t="n">
        <f aca="false">SUM(P5154,R5154,T5154,V5154,X5154,Z5154,AB5154,AD5154,AF5154,AH5154,AJ5154,AL5154,AN5154,AP5154,AR5154,AT5154,AV5154,AX5154)</f>
        <v>29.5</v>
      </c>
      <c r="BE5154" s="33" t="n">
        <f aca="false">AZ5154-BD5154</f>
        <v>0</v>
      </c>
      <c r="BF5154" s="34" t="n">
        <f aca="false">BD5154*M5154</f>
        <v>2655</v>
      </c>
      <c r="BG5154" s="35" t="n">
        <f aca="false">BA5154-BF5154</f>
        <v>0</v>
      </c>
      <c r="BH5154" s="19" t="str">
        <f aca="false">IF(BG5154=0,"",IF(BG5154&lt;&gt;BA5154,"erreur de calcul",IF(BD5154&lt;&gt;0,"pas de prix",IF(M5154&lt;&gt; 0,"pas de quantité","pas de prix, ni de quantité"))))</f>
        <v/>
      </c>
      <c r="BI5154" s="19"/>
    </row>
    <row r="5155" customFormat="false" ht="15" hidden="false" customHeight="false" outlineLevel="0" collapsed="false">
      <c r="A5155" s="0" t="n">
        <v>31</v>
      </c>
      <c r="B5155" s="8" t="s">
        <v>24</v>
      </c>
      <c r="C5155" s="9" t="s">
        <v>25</v>
      </c>
      <c r="D5155" s="9" t="s">
        <v>26</v>
      </c>
      <c r="E5155" s="10" t="n">
        <v>1789</v>
      </c>
      <c r="F5155" s="9" t="s">
        <v>27</v>
      </c>
      <c r="G5155" s="9" t="s">
        <v>27</v>
      </c>
      <c r="H5155" s="11" t="n">
        <v>24</v>
      </c>
      <c r="I5155" s="11" t="s">
        <v>321</v>
      </c>
      <c r="J5155" s="14" t="n">
        <v>50</v>
      </c>
      <c r="K5155" s="14"/>
      <c r="L5155" s="16"/>
      <c r="M5155" s="27" t="n">
        <f aca="false">J5155+(K5155/20)+(L5155/240)</f>
        <v>50</v>
      </c>
      <c r="N5155" s="17" t="s">
        <v>64</v>
      </c>
      <c r="O5155" s="11" t="s">
        <v>277</v>
      </c>
      <c r="P5155" s="28"/>
      <c r="Q5155" s="28" t="n">
        <f aca="false">P5155*$M5155</f>
        <v>0</v>
      </c>
      <c r="R5155" s="28"/>
      <c r="S5155" s="28" t="n">
        <f aca="false">R5155*$M5155</f>
        <v>0</v>
      </c>
      <c r="T5155" s="28" t="n">
        <f aca="false">2*288*0.02+153*0.02</f>
        <v>14.58</v>
      </c>
      <c r="U5155" s="28" t="n">
        <v>729</v>
      </c>
      <c r="V5155" s="28" t="n">
        <f aca="false">2*288*0.02+118*0.02</f>
        <v>13.88</v>
      </c>
      <c r="W5155" s="28" t="n">
        <v>694</v>
      </c>
      <c r="X5155" s="28" t="n">
        <f aca="false">25*288*0.02+103*0.02</f>
        <v>146.06</v>
      </c>
      <c r="Y5155" s="28" t="n">
        <v>7303</v>
      </c>
      <c r="Z5155" s="28"/>
      <c r="AA5155" s="28" t="n">
        <f aca="false">Z5155*$M5155</f>
        <v>0</v>
      </c>
      <c r="AB5155" s="28" t="n">
        <f aca="false">1*288*0.02+74*0.02</f>
        <v>7.24</v>
      </c>
      <c r="AC5155" s="28" t="n">
        <v>362</v>
      </c>
      <c r="AD5155" s="28" t="n">
        <f aca="false">276*0.02</f>
        <v>5.52</v>
      </c>
      <c r="AE5155" s="28" t="n">
        <v>276</v>
      </c>
      <c r="AF5155" s="28"/>
      <c r="AG5155" s="28" t="n">
        <f aca="false">AF5155*$M5155</f>
        <v>0</v>
      </c>
      <c r="AH5155" s="28" t="n">
        <f aca="false">1*288*0.02+75*0.02</f>
        <v>7.26</v>
      </c>
      <c r="AI5155" s="28" t="n">
        <v>363</v>
      </c>
      <c r="AJ5155" s="28" t="n">
        <f aca="false">2*288*0.02+176*0.02</f>
        <v>15.04</v>
      </c>
      <c r="AK5155" s="28" t="n">
        <v>752</v>
      </c>
      <c r="AL5155" s="28"/>
      <c r="AM5155" s="28" t="n">
        <f aca="false">AL5155*$M5155</f>
        <v>0</v>
      </c>
      <c r="AN5155" s="28"/>
      <c r="AO5155" s="28" t="n">
        <f aca="false">AN5155*$M5155</f>
        <v>0</v>
      </c>
      <c r="AP5155" s="28"/>
      <c r="AQ5155" s="28" t="n">
        <f aca="false">AP5155*$M5155</f>
        <v>0</v>
      </c>
      <c r="AR5155" s="28"/>
      <c r="AS5155" s="28" t="n">
        <f aca="false">AR5155*$M5155</f>
        <v>0</v>
      </c>
      <c r="AT5155" s="28"/>
      <c r="AU5155" s="28" t="n">
        <f aca="false">AT5155*$M5155</f>
        <v>0</v>
      </c>
      <c r="AV5155" s="28"/>
      <c r="AW5155" s="28" t="n">
        <f aca="false">AV5155*$M5155</f>
        <v>0</v>
      </c>
      <c r="AX5155" s="28"/>
      <c r="AY5155" s="28" t="n">
        <f aca="false">AX5155*$M5155</f>
        <v>0</v>
      </c>
      <c r="AZ5155" s="30" t="n">
        <f aca="false">36*288*0.02+111*0.02</f>
        <v>209.58</v>
      </c>
      <c r="BA5155" s="11" t="n">
        <v>10479</v>
      </c>
      <c r="BB5155" s="31" t="n">
        <f aca="false">SUM(Q5155,S5155,U5155,W5155,Y5155,AA5155,AC5155,AE5155,AG5155,AI5155,AK5155,AM5155,AO5155,AQ5155,AS5155,AU5155,AW5155,AY5155)</f>
        <v>10479</v>
      </c>
      <c r="BC5155" s="28" t="n">
        <f aca="false">BA5155-BB5155</f>
        <v>0</v>
      </c>
      <c r="BD5155" s="32" t="n">
        <f aca="false">SUM(P5155,R5155,T5155,V5155,X5155,Z5155,AB5155,AD5155,AF5155,AH5155,AJ5155,AL5155,AN5155,AP5155,AR5155,AT5155,AV5155,AX5155)</f>
        <v>209.58</v>
      </c>
      <c r="BE5155" s="33" t="n">
        <f aca="false">AZ5155-BD5155</f>
        <v>0</v>
      </c>
      <c r="BF5155" s="34" t="n">
        <f aca="false">BD5155*M5155</f>
        <v>10479</v>
      </c>
      <c r="BG5155" s="35" t="n">
        <f aca="false">BA5155-BF5155</f>
        <v>0</v>
      </c>
      <c r="BH5155" s="19" t="str">
        <f aca="false">IF(BG5155=0,"",IF(BG5155&lt;&gt;BA5155,"erreur de calcul",IF(BD5155&lt;&gt;0,"pas de prix",IF(M5155&lt;&gt; 0,"pas de quantité","pas de prix, ni de quantité"))))</f>
        <v/>
      </c>
      <c r="BI5155" s="19"/>
    </row>
    <row r="5156" customFormat="false" ht="15" hidden="false" customHeight="false" outlineLevel="0" collapsed="false">
      <c r="A5156" s="0" t="n">
        <v>32</v>
      </c>
      <c r="B5156" s="8" t="s">
        <v>24</v>
      </c>
      <c r="C5156" s="9" t="s">
        <v>25</v>
      </c>
      <c r="D5156" s="9" t="s">
        <v>26</v>
      </c>
      <c r="E5156" s="10" t="n">
        <v>1789</v>
      </c>
      <c r="F5156" s="9" t="s">
        <v>27</v>
      </c>
      <c r="G5156" s="9" t="s">
        <v>27</v>
      </c>
      <c r="H5156" s="11" t="n">
        <v>24</v>
      </c>
      <c r="I5156" s="11" t="s">
        <v>322</v>
      </c>
      <c r="J5156" s="14" t="n">
        <v>70</v>
      </c>
      <c r="K5156" s="14"/>
      <c r="L5156" s="16"/>
      <c r="M5156" s="27" t="n">
        <f aca="false">J5156+(K5156/20)+(L5156/240)</f>
        <v>70</v>
      </c>
      <c r="N5156" s="17" t="s">
        <v>64</v>
      </c>
      <c r="O5156" s="11"/>
      <c r="P5156" s="28"/>
      <c r="Q5156" s="28" t="n">
        <f aca="false">P5156*$M5156</f>
        <v>0</v>
      </c>
      <c r="R5156" s="28"/>
      <c r="S5156" s="28" t="n">
        <f aca="false">R5156*$M5156</f>
        <v>0</v>
      </c>
      <c r="T5156" s="28"/>
      <c r="U5156" s="28" t="n">
        <f aca="false">T5156*$M5156</f>
        <v>0</v>
      </c>
      <c r="V5156" s="28"/>
      <c r="W5156" s="28" t="n">
        <f aca="false">V5156*$M5156</f>
        <v>0</v>
      </c>
      <c r="X5156" s="28" t="n">
        <f aca="false">2*288*0.02+217*0.02</f>
        <v>15.86</v>
      </c>
      <c r="Y5156" s="28" t="n">
        <v>1111</v>
      </c>
      <c r="Z5156" s="28"/>
      <c r="AA5156" s="28" t="n">
        <f aca="false">Z5156*$M5156</f>
        <v>0</v>
      </c>
      <c r="AB5156" s="28"/>
      <c r="AC5156" s="28" t="n">
        <f aca="false">AB5156*$M5156</f>
        <v>0</v>
      </c>
      <c r="AD5156" s="28"/>
      <c r="AE5156" s="28" t="n">
        <f aca="false">AD5156*$M5156</f>
        <v>0</v>
      </c>
      <c r="AF5156" s="28"/>
      <c r="AG5156" s="28" t="n">
        <f aca="false">AF5156*$M5156</f>
        <v>0</v>
      </c>
      <c r="AH5156" s="28"/>
      <c r="AI5156" s="28" t="n">
        <f aca="false">AH5156*$M5156</f>
        <v>0</v>
      </c>
      <c r="AJ5156" s="28"/>
      <c r="AK5156" s="28" t="n">
        <f aca="false">AJ5156*$M5156</f>
        <v>0</v>
      </c>
      <c r="AL5156" s="28"/>
      <c r="AM5156" s="28" t="n">
        <f aca="false">AL5156*$M5156</f>
        <v>0</v>
      </c>
      <c r="AN5156" s="28"/>
      <c r="AO5156" s="28" t="n">
        <f aca="false">AN5156*$M5156</f>
        <v>0</v>
      </c>
      <c r="AP5156" s="28"/>
      <c r="AQ5156" s="28" t="n">
        <f aca="false">AP5156*$M5156</f>
        <v>0</v>
      </c>
      <c r="AR5156" s="28"/>
      <c r="AS5156" s="28" t="n">
        <f aca="false">AR5156*$M5156</f>
        <v>0</v>
      </c>
      <c r="AT5156" s="28"/>
      <c r="AU5156" s="28" t="n">
        <f aca="false">AT5156*$M5156</f>
        <v>0</v>
      </c>
      <c r="AV5156" s="28"/>
      <c r="AW5156" s="28" t="n">
        <f aca="false">AV5156*$M5156</f>
        <v>0</v>
      </c>
      <c r="AX5156" s="28"/>
      <c r="AY5156" s="28" t="n">
        <f aca="false">AX5156*$M5156</f>
        <v>0</v>
      </c>
      <c r="AZ5156" s="30" t="n">
        <f aca="false">2*288*0.02+217*0.02</f>
        <v>15.86</v>
      </c>
      <c r="BA5156" s="11" t="n">
        <v>1111</v>
      </c>
      <c r="BB5156" s="31" t="n">
        <f aca="false">SUM(Q5156,S5156,U5156,W5156,Y5156,AA5156,AC5156,AE5156,AG5156,AI5156,AK5156,AM5156,AO5156,AQ5156,AS5156,AU5156,AW5156,AY5156)</f>
        <v>1111</v>
      </c>
      <c r="BC5156" s="28" t="n">
        <f aca="false">BA5156-BB5156</f>
        <v>0</v>
      </c>
      <c r="BD5156" s="32" t="n">
        <f aca="false">SUM(P5156,R5156,T5156,V5156,X5156,Z5156,AB5156,AD5156,AF5156,AH5156,AJ5156,AL5156,AN5156,AP5156,AR5156,AT5156,AV5156,AX5156)</f>
        <v>15.86</v>
      </c>
      <c r="BE5156" s="33" t="n">
        <f aca="false">AZ5156-BD5156</f>
        <v>0</v>
      </c>
      <c r="BF5156" s="34" t="n">
        <f aca="false">BD5156*M5156</f>
        <v>1110.2</v>
      </c>
      <c r="BG5156" s="35" t="n">
        <f aca="false">BA5156-BF5156</f>
        <v>0.799999999999955</v>
      </c>
      <c r="BH5156" s="19" t="str">
        <f aca="false">IF(BG5156=0,"",IF(BG5156&lt;&gt;BA5156,"erreur de calcul",IF(BD5156&lt;&gt;0,"pas de prix",IF(M5156&lt;&gt; 0,"pas de quantité","pas de prix, ni de quantité"))))</f>
        <v>erreur de calcul</v>
      </c>
      <c r="BI5156" s="19"/>
    </row>
    <row r="5157" customFormat="false" ht="15" hidden="false" customHeight="false" outlineLevel="0" collapsed="false">
      <c r="A5157" s="0" t="n">
        <v>33</v>
      </c>
      <c r="B5157" s="8" t="s">
        <v>24</v>
      </c>
      <c r="C5157" s="9" t="s">
        <v>25</v>
      </c>
      <c r="D5157" s="9" t="s">
        <v>26</v>
      </c>
      <c r="E5157" s="10" t="n">
        <v>1789</v>
      </c>
      <c r="F5157" s="9" t="s">
        <v>27</v>
      </c>
      <c r="G5157" s="9" t="s">
        <v>27</v>
      </c>
      <c r="H5157" s="11" t="n">
        <v>24</v>
      </c>
      <c r="I5157" s="11" t="s">
        <v>323</v>
      </c>
      <c r="J5157" s="14"/>
      <c r="K5157" s="14" t="n">
        <v>40</v>
      </c>
      <c r="L5157" s="16"/>
      <c r="M5157" s="27" t="n">
        <f aca="false">J5157+(K5157/20)+(L5157/240)</f>
        <v>2</v>
      </c>
      <c r="N5157" s="17" t="s">
        <v>66</v>
      </c>
      <c r="O5157" s="11"/>
      <c r="P5157" s="28" t="n">
        <v>780</v>
      </c>
      <c r="Q5157" s="28" t="n">
        <v>1560</v>
      </c>
      <c r="R5157" s="28"/>
      <c r="S5157" s="28" t="n">
        <f aca="false">R5157*$M5157</f>
        <v>0</v>
      </c>
      <c r="T5157" s="28" t="n">
        <v>1552</v>
      </c>
      <c r="U5157" s="28" t="n">
        <v>3104</v>
      </c>
      <c r="V5157" s="28" t="n">
        <v>1051</v>
      </c>
      <c r="W5157" s="28" t="n">
        <v>2102</v>
      </c>
      <c r="X5157" s="28" t="n">
        <v>1486</v>
      </c>
      <c r="Y5157" s="28" t="n">
        <v>2972</v>
      </c>
      <c r="Z5157" s="28" t="n">
        <v>847</v>
      </c>
      <c r="AA5157" s="28" t="n">
        <v>1694</v>
      </c>
      <c r="AB5157" s="28" t="n">
        <v>114</v>
      </c>
      <c r="AC5157" s="28" t="n">
        <v>228</v>
      </c>
      <c r="AD5157" s="28" t="n">
        <v>407</v>
      </c>
      <c r="AE5157" s="28" t="n">
        <v>814</v>
      </c>
      <c r="AF5157" s="28"/>
      <c r="AG5157" s="28" t="n">
        <f aca="false">AF5157*$M5157</f>
        <v>0</v>
      </c>
      <c r="AH5157" s="28"/>
      <c r="AI5157" s="28" t="n">
        <f aca="false">AH5157*$M5157</f>
        <v>0</v>
      </c>
      <c r="AJ5157" s="28" t="n">
        <v>1297</v>
      </c>
      <c r="AK5157" s="28" t="n">
        <v>2594</v>
      </c>
      <c r="AL5157" s="28"/>
      <c r="AM5157" s="28" t="n">
        <f aca="false">AL5157*$M5157</f>
        <v>0</v>
      </c>
      <c r="AN5157" s="28"/>
      <c r="AO5157" s="28" t="n">
        <f aca="false">AN5157*$M5157</f>
        <v>0</v>
      </c>
      <c r="AP5157" s="28"/>
      <c r="AQ5157" s="28" t="n">
        <f aca="false">AP5157*$M5157</f>
        <v>0</v>
      </c>
      <c r="AR5157" s="28"/>
      <c r="AS5157" s="28" t="n">
        <f aca="false">AR5157*$M5157</f>
        <v>0</v>
      </c>
      <c r="AT5157" s="28"/>
      <c r="AU5157" s="28" t="n">
        <f aca="false">AT5157*$M5157</f>
        <v>0</v>
      </c>
      <c r="AV5157" s="28"/>
      <c r="AW5157" s="28" t="n">
        <f aca="false">AV5157*$M5157</f>
        <v>0</v>
      </c>
      <c r="AX5157" s="28"/>
      <c r="AY5157" s="28" t="n">
        <f aca="false">AX5157*$M5157</f>
        <v>0</v>
      </c>
      <c r="AZ5157" s="30" t="n">
        <v>7534</v>
      </c>
      <c r="BA5157" s="11" t="n">
        <v>15068</v>
      </c>
      <c r="BB5157" s="31" t="n">
        <f aca="false">SUM(Q5157,S5157,U5157,W5157,Y5157,AA5157,AC5157,AE5157,AG5157,AI5157,AK5157,AM5157,AO5157,AQ5157,AS5157,AU5157,AW5157,AY5157)</f>
        <v>15068</v>
      </c>
      <c r="BC5157" s="28" t="n">
        <f aca="false">BA5157-BB5157</f>
        <v>0</v>
      </c>
      <c r="BD5157" s="32" t="n">
        <f aca="false">SUM(P5157,R5157,T5157,V5157,X5157,Z5157,AB5157,AD5157,AF5157,AH5157,AJ5157,AL5157,AN5157,AP5157,AR5157,AT5157,AV5157,AX5157)</f>
        <v>7534</v>
      </c>
      <c r="BE5157" s="33" t="n">
        <f aca="false">AZ5157-BD5157</f>
        <v>0</v>
      </c>
      <c r="BF5157" s="34" t="n">
        <f aca="false">BD5157*M5157</f>
        <v>15068</v>
      </c>
      <c r="BG5157" s="35" t="n">
        <f aca="false">BA5157-BF5157</f>
        <v>0</v>
      </c>
      <c r="BH5157" s="19" t="str">
        <f aca="false">IF(BG5157=0,"",IF(BG5157&lt;&gt;BA5157,"erreur de calcul",IF(BD5157&lt;&gt;0,"pas de prix",IF(M5157&lt;&gt; 0,"pas de quantité","pas de prix, ni de quantité"))))</f>
        <v/>
      </c>
      <c r="BI5157" s="19"/>
    </row>
    <row r="5158" customFormat="false" ht="15" hidden="false" customHeight="false" outlineLevel="0" collapsed="false">
      <c r="A5158" s="0" t="n">
        <v>34</v>
      </c>
      <c r="B5158" s="8" t="s">
        <v>24</v>
      </c>
      <c r="C5158" s="9" t="s">
        <v>25</v>
      </c>
      <c r="D5158" s="9" t="s">
        <v>26</v>
      </c>
      <c r="E5158" s="10" t="n">
        <v>1789</v>
      </c>
      <c r="F5158" s="9" t="s">
        <v>27</v>
      </c>
      <c r="G5158" s="9" t="s">
        <v>27</v>
      </c>
      <c r="H5158" s="11" t="n">
        <v>24</v>
      </c>
      <c r="I5158" s="11" t="s">
        <v>324</v>
      </c>
      <c r="J5158" s="14" t="n">
        <v>15</v>
      </c>
      <c r="K5158" s="14"/>
      <c r="L5158" s="16"/>
      <c r="M5158" s="27" t="n">
        <f aca="false">J5158+(K5158/20)+(L5158/240)</f>
        <v>15</v>
      </c>
      <c r="N5158" s="17" t="s">
        <v>64</v>
      </c>
      <c r="O5158" s="11"/>
      <c r="P5158" s="28" t="n">
        <f aca="false">6834/100</f>
        <v>68.34</v>
      </c>
      <c r="Q5158" s="28" t="n">
        <v>1025</v>
      </c>
      <c r="R5158" s="28"/>
      <c r="S5158" s="28" t="n">
        <f aca="false">R5158*$M5158</f>
        <v>0</v>
      </c>
      <c r="T5158" s="28" t="n">
        <f aca="false">834/100</f>
        <v>8.34</v>
      </c>
      <c r="U5158" s="28" t="n">
        <v>125</v>
      </c>
      <c r="V5158" s="28" t="n">
        <f aca="false">197372/100</f>
        <v>1973.72</v>
      </c>
      <c r="W5158" s="28" t="n">
        <v>29606</v>
      </c>
      <c r="X5158" s="28" t="n">
        <f aca="false">2334702/100</f>
        <v>23347.02</v>
      </c>
      <c r="Y5158" s="28" t="n">
        <v>350205</v>
      </c>
      <c r="Z5158" s="28"/>
      <c r="AA5158" s="28" t="n">
        <f aca="false">Z5158*$M5158</f>
        <v>0</v>
      </c>
      <c r="AB5158" s="28" t="n">
        <f aca="false">1417/100</f>
        <v>14.17</v>
      </c>
      <c r="AC5158" s="28" t="n">
        <v>212</v>
      </c>
      <c r="AD5158" s="28"/>
      <c r="AE5158" s="28" t="n">
        <f aca="false">AD5158*$M5158</f>
        <v>0</v>
      </c>
      <c r="AF5158" s="28"/>
      <c r="AG5158" s="28" t="n">
        <f aca="false">AF5158*$M5158</f>
        <v>0</v>
      </c>
      <c r="AH5158" s="28"/>
      <c r="AI5158" s="28" t="n">
        <f aca="false">AH5158*$M5158</f>
        <v>0</v>
      </c>
      <c r="AJ5158" s="28"/>
      <c r="AK5158" s="28" t="n">
        <f aca="false">AJ5158*$M5158</f>
        <v>0</v>
      </c>
      <c r="AL5158" s="28"/>
      <c r="AM5158" s="28" t="n">
        <f aca="false">AL5158*$M5158</f>
        <v>0</v>
      </c>
      <c r="AN5158" s="28"/>
      <c r="AO5158" s="28" t="n">
        <f aca="false">AN5158*$M5158</f>
        <v>0</v>
      </c>
      <c r="AP5158" s="28"/>
      <c r="AQ5158" s="28" t="n">
        <f aca="false">AP5158*$M5158</f>
        <v>0</v>
      </c>
      <c r="AR5158" s="28"/>
      <c r="AS5158" s="28" t="n">
        <f aca="false">AR5158*$M5158</f>
        <v>0</v>
      </c>
      <c r="AT5158" s="28"/>
      <c r="AU5158" s="28" t="n">
        <f aca="false">AT5158*$M5158</f>
        <v>0</v>
      </c>
      <c r="AV5158" s="28"/>
      <c r="AW5158" s="28" t="n">
        <f aca="false">AV5158*$M5158</f>
        <v>0</v>
      </c>
      <c r="AX5158" s="28"/>
      <c r="AY5158" s="28" t="n">
        <f aca="false">AX5158*$M5158</f>
        <v>0</v>
      </c>
      <c r="AZ5158" s="30" t="n">
        <f aca="false">2541159/100</f>
        <v>25411.59</v>
      </c>
      <c r="BA5158" s="11" t="n">
        <v>381173</v>
      </c>
      <c r="BB5158" s="31" t="n">
        <f aca="false">SUM(Q5158,S5158,U5158,W5158,Y5158,AA5158,AC5158,AE5158,AG5158,AI5158,AK5158,AM5158,AO5158,AQ5158,AS5158,AU5158,AW5158,AY5158)</f>
        <v>381173</v>
      </c>
      <c r="BC5158" s="28" t="n">
        <f aca="false">BA5158-BB5158</f>
        <v>0</v>
      </c>
      <c r="BD5158" s="32" t="n">
        <f aca="false">SUM(P5158,R5158,T5158,V5158,X5158,Z5158,AB5158,AD5158,AF5158,AH5158,AJ5158,AL5158,AN5158,AP5158,AR5158,AT5158,AV5158,AX5158)</f>
        <v>25411.59</v>
      </c>
      <c r="BE5158" s="33" t="n">
        <f aca="false">AZ5158-BD5158</f>
        <v>0</v>
      </c>
      <c r="BF5158" s="34" t="n">
        <f aca="false">BD5158*M5158</f>
        <v>381173.85</v>
      </c>
      <c r="BG5158" s="35" t="n">
        <f aca="false">BA5158-BF5158</f>
        <v>-0.849999999976717</v>
      </c>
      <c r="BH5158" s="19" t="str">
        <f aca="false">IF(BG5158=0,"",IF(BG5158&lt;&gt;BA5158,"erreur de calcul",IF(BD5158&lt;&gt;0,"pas de prix",IF(M5158&lt;&gt; 0,"pas de quantité","pas de prix, ni de quantité"))))</f>
        <v>erreur de calcul</v>
      </c>
      <c r="BI5158" s="19"/>
    </row>
    <row r="5159" customFormat="false" ht="15" hidden="false" customHeight="false" outlineLevel="0" collapsed="false">
      <c r="A5159" s="0" t="n">
        <v>35</v>
      </c>
      <c r="B5159" s="8" t="s">
        <v>24</v>
      </c>
      <c r="C5159" s="9" t="s">
        <v>25</v>
      </c>
      <c r="D5159" s="9" t="s">
        <v>26</v>
      </c>
      <c r="E5159" s="10" t="n">
        <v>1789</v>
      </c>
      <c r="F5159" s="9" t="s">
        <v>27</v>
      </c>
      <c r="G5159" s="9" t="s">
        <v>27</v>
      </c>
      <c r="H5159" s="11" t="n">
        <v>24</v>
      </c>
      <c r="I5159" s="11" t="s">
        <v>325</v>
      </c>
      <c r="J5159" s="14" t="n">
        <v>25</v>
      </c>
      <c r="K5159" s="14"/>
      <c r="L5159" s="16"/>
      <c r="M5159" s="27" t="n">
        <f aca="false">J5159+(K5159/20)+(L5159/240)</f>
        <v>25</v>
      </c>
      <c r="N5159" s="17" t="s">
        <v>64</v>
      </c>
      <c r="O5159" s="11"/>
      <c r="P5159" s="28"/>
      <c r="Q5159" s="28" t="n">
        <f aca="false">P5159*$M5159</f>
        <v>0</v>
      </c>
      <c r="R5159" s="28"/>
      <c r="S5159" s="28" t="n">
        <f aca="false">R5159*$M5159</f>
        <v>0</v>
      </c>
      <c r="T5159" s="28"/>
      <c r="U5159" s="28" t="n">
        <f aca="false">T5159*$M5159</f>
        <v>0</v>
      </c>
      <c r="V5159" s="28"/>
      <c r="W5159" s="28" t="n">
        <f aca="false">V5159*$M5159</f>
        <v>0</v>
      </c>
      <c r="X5159" s="28" t="n">
        <f aca="false">4971/100</f>
        <v>49.71</v>
      </c>
      <c r="Y5159" s="28" t="n">
        <v>1243</v>
      </c>
      <c r="Z5159" s="28" t="n">
        <f aca="false">14812/100</f>
        <v>148.12</v>
      </c>
      <c r="AA5159" s="28" t="n">
        <v>3703</v>
      </c>
      <c r="AB5159" s="28"/>
      <c r="AC5159" s="28" t="n">
        <f aca="false">AB5159*$M5159</f>
        <v>0</v>
      </c>
      <c r="AD5159" s="28"/>
      <c r="AE5159" s="28" t="n">
        <f aca="false">AD5159*$M5159</f>
        <v>0</v>
      </c>
      <c r="AF5159" s="28"/>
      <c r="AG5159" s="28" t="n">
        <f aca="false">AF5159*$M5159</f>
        <v>0</v>
      </c>
      <c r="AH5159" s="28"/>
      <c r="AI5159" s="28" t="n">
        <f aca="false">AH5159*$M5159</f>
        <v>0</v>
      </c>
      <c r="AJ5159" s="28"/>
      <c r="AK5159" s="28" t="n">
        <f aca="false">AJ5159*$M5159</f>
        <v>0</v>
      </c>
      <c r="AL5159" s="28"/>
      <c r="AM5159" s="28" t="n">
        <f aca="false">AL5159*$M5159</f>
        <v>0</v>
      </c>
      <c r="AN5159" s="28"/>
      <c r="AO5159" s="28" t="n">
        <f aca="false">AN5159*$M5159</f>
        <v>0</v>
      </c>
      <c r="AP5159" s="28"/>
      <c r="AQ5159" s="28" t="n">
        <f aca="false">AP5159*$M5159</f>
        <v>0</v>
      </c>
      <c r="AR5159" s="28"/>
      <c r="AS5159" s="28" t="n">
        <f aca="false">AR5159*$M5159</f>
        <v>0</v>
      </c>
      <c r="AT5159" s="28"/>
      <c r="AU5159" s="28" t="n">
        <f aca="false">AT5159*$M5159</f>
        <v>0</v>
      </c>
      <c r="AV5159" s="28"/>
      <c r="AW5159" s="28" t="n">
        <f aca="false">AV5159*$M5159</f>
        <v>0</v>
      </c>
      <c r="AX5159" s="28"/>
      <c r="AY5159" s="28" t="n">
        <f aca="false">AX5159*$M5159</f>
        <v>0</v>
      </c>
      <c r="AZ5159" s="30" t="n">
        <f aca="false">19783/100</f>
        <v>197.83</v>
      </c>
      <c r="BA5159" s="11" t="n">
        <v>4946</v>
      </c>
      <c r="BB5159" s="31" t="n">
        <f aca="false">SUM(Q5159,S5159,U5159,W5159,Y5159,AA5159,AC5159,AE5159,AG5159,AI5159,AK5159,AM5159,AO5159,AQ5159,AS5159,AU5159,AW5159,AY5159)</f>
        <v>4946</v>
      </c>
      <c r="BC5159" s="28" t="n">
        <f aca="false">BA5159-BB5159</f>
        <v>0</v>
      </c>
      <c r="BD5159" s="32" t="n">
        <f aca="false">SUM(P5159,R5159,T5159,V5159,X5159,Z5159,AB5159,AD5159,AF5159,AH5159,AJ5159,AL5159,AN5159,AP5159,AR5159,AT5159,AV5159,AX5159)</f>
        <v>197.83</v>
      </c>
      <c r="BE5159" s="33" t="n">
        <f aca="false">AZ5159-BD5159</f>
        <v>0</v>
      </c>
      <c r="BF5159" s="34" t="n">
        <f aca="false">BD5159*M5159</f>
        <v>4945.75</v>
      </c>
      <c r="BG5159" s="35" t="n">
        <f aca="false">BA5159-BF5159</f>
        <v>0.25</v>
      </c>
      <c r="BH5159" s="19" t="str">
        <f aca="false">IF(BG5159=0,"",IF(BG5159&lt;&gt;BA5159,"erreur de calcul",IF(BD5159&lt;&gt;0,"pas de prix",IF(M5159&lt;&gt; 0,"pas de quantité","pas de prix, ni de quantité"))))</f>
        <v>erreur de calcul</v>
      </c>
      <c r="BI5159" s="19"/>
    </row>
    <row r="5160" customFormat="false" ht="15" hidden="false" customHeight="false" outlineLevel="0" collapsed="false">
      <c r="A5160" s="0" t="n">
        <v>36</v>
      </c>
      <c r="B5160" s="8" t="s">
        <v>24</v>
      </c>
      <c r="C5160" s="9" t="s">
        <v>25</v>
      </c>
      <c r="D5160" s="9" t="s">
        <v>26</v>
      </c>
      <c r="E5160" s="10" t="n">
        <v>1789</v>
      </c>
      <c r="F5160" s="9" t="s">
        <v>27</v>
      </c>
      <c r="G5160" s="9" t="s">
        <v>27</v>
      </c>
      <c r="H5160" s="11" t="n">
        <v>24</v>
      </c>
      <c r="I5160" s="11" t="s">
        <v>326</v>
      </c>
      <c r="J5160" s="14"/>
      <c r="K5160" s="14"/>
      <c r="L5160" s="16"/>
      <c r="M5160" s="27" t="n">
        <f aca="false">J5160+(K5160/20)+(L5160/240)</f>
        <v>0</v>
      </c>
      <c r="N5160" s="17"/>
      <c r="O5160" s="11" t="s">
        <v>77</v>
      </c>
      <c r="P5160" s="28"/>
      <c r="Q5160" s="28" t="n">
        <v>84</v>
      </c>
      <c r="R5160" s="28"/>
      <c r="S5160" s="28" t="n">
        <v>80</v>
      </c>
      <c r="T5160" s="28"/>
      <c r="U5160" s="28" t="n">
        <v>115</v>
      </c>
      <c r="V5160" s="28"/>
      <c r="W5160" s="28" t="n">
        <f aca="false">V5160*$M5160</f>
        <v>0</v>
      </c>
      <c r="X5160" s="28"/>
      <c r="Y5160" s="28" t="n">
        <v>82</v>
      </c>
      <c r="Z5160" s="28"/>
      <c r="AA5160" s="28" t="n">
        <v>32</v>
      </c>
      <c r="AB5160" s="28"/>
      <c r="AC5160" s="28" t="n">
        <v>82</v>
      </c>
      <c r="AD5160" s="28"/>
      <c r="AE5160" s="28" t="n">
        <f aca="false">AD5160*$M5160</f>
        <v>0</v>
      </c>
      <c r="AF5160" s="28"/>
      <c r="AG5160" s="28" t="n">
        <v>129</v>
      </c>
      <c r="AH5160" s="28"/>
      <c r="AI5160" s="28" t="n">
        <f aca="false">AH5160*$M5160</f>
        <v>0</v>
      </c>
      <c r="AJ5160" s="28"/>
      <c r="AK5160" s="28" t="n">
        <v>79</v>
      </c>
      <c r="AL5160" s="28"/>
      <c r="AM5160" s="28" t="n">
        <v>106</v>
      </c>
      <c r="AN5160" s="28"/>
      <c r="AO5160" s="28" t="n">
        <f aca="false">AN5160*$M5160</f>
        <v>0</v>
      </c>
      <c r="AP5160" s="28"/>
      <c r="AQ5160" s="28" t="n">
        <f aca="false">AP5160*$M5160</f>
        <v>0</v>
      </c>
      <c r="AR5160" s="28"/>
      <c r="AS5160" s="28" t="n">
        <f aca="false">AR5160*$M5160</f>
        <v>0</v>
      </c>
      <c r="AT5160" s="28"/>
      <c r="AU5160" s="28" t="n">
        <f aca="false">AT5160*$M5160</f>
        <v>0</v>
      </c>
      <c r="AV5160" s="28"/>
      <c r="AW5160" s="28" t="n">
        <f aca="false">AV5160*$M5160</f>
        <v>0</v>
      </c>
      <c r="AX5160" s="28"/>
      <c r="AY5160" s="28" t="n">
        <f aca="false">AX5160*$M5160</f>
        <v>0</v>
      </c>
      <c r="AZ5160" s="30"/>
      <c r="BA5160" s="11" t="n">
        <v>789</v>
      </c>
      <c r="BB5160" s="31" t="n">
        <f aca="false">SUM(Q5160,S5160,U5160,W5160,Y5160,AA5160,AC5160,AE5160,AG5160,AI5160,AK5160,AM5160,AO5160,AQ5160,AS5160,AU5160,AW5160,AY5160)</f>
        <v>789</v>
      </c>
      <c r="BC5160" s="28" t="n">
        <f aca="false">BA5160-BB5160</f>
        <v>0</v>
      </c>
      <c r="BD5160" s="32" t="n">
        <f aca="false">SUM(P5160,R5160,T5160,V5160,X5160,Z5160,AB5160,AD5160,AF5160,AH5160,AJ5160,AL5160,AN5160,AP5160,AR5160,AT5160,AV5160,AX5160)</f>
        <v>0</v>
      </c>
      <c r="BE5160" s="33" t="n">
        <f aca="false">AZ5160-BD5160</f>
        <v>0</v>
      </c>
      <c r="BF5160" s="34" t="n">
        <f aca="false">BD5160*M5160</f>
        <v>0</v>
      </c>
      <c r="BG5160" s="35" t="n">
        <f aca="false">BA5160-BF5160</f>
        <v>789</v>
      </c>
      <c r="BH5160" s="19" t="str">
        <f aca="false">IF(BG5160=0,"",IF(BG5160&lt;&gt;BA5160,"erreur de calcul",IF(BD5160&lt;&gt;0,"pas de prix",IF(M5160&lt;&gt; 0,"pas de quantité","pas de prix, ni de quantité"))))</f>
        <v>pas de prix, ni de quantité</v>
      </c>
      <c r="BI5160" s="19"/>
    </row>
    <row r="5161" customFormat="false" ht="15" hidden="false" customHeight="false" outlineLevel="0" collapsed="false">
      <c r="A5161" s="0" t="n">
        <v>37</v>
      </c>
      <c r="B5161" s="8" t="s">
        <v>24</v>
      </c>
      <c r="C5161" s="9" t="s">
        <v>25</v>
      </c>
      <c r="D5161" s="9" t="s">
        <v>26</v>
      </c>
      <c r="E5161" s="10" t="n">
        <v>1789</v>
      </c>
      <c r="F5161" s="9" t="s">
        <v>27</v>
      </c>
      <c r="G5161" s="9" t="s">
        <v>27</v>
      </c>
      <c r="H5161" s="11" t="n">
        <v>24</v>
      </c>
      <c r="I5161" s="11" t="s">
        <v>327</v>
      </c>
      <c r="J5161" s="14"/>
      <c r="K5161" s="14" t="n">
        <v>20</v>
      </c>
      <c r="L5161" s="16"/>
      <c r="M5161" s="27" t="n">
        <f aca="false">J5161+(K5161/20)+(L5161/240)</f>
        <v>1</v>
      </c>
      <c r="N5161" s="17" t="s">
        <v>66</v>
      </c>
      <c r="O5161" s="11"/>
      <c r="P5161" s="28"/>
      <c r="Q5161" s="28" t="n">
        <f aca="false">P5161*$M5161</f>
        <v>0</v>
      </c>
      <c r="R5161" s="28"/>
      <c r="S5161" s="28" t="n">
        <f aca="false">R5161*$M5161</f>
        <v>0</v>
      </c>
      <c r="T5161" s="28"/>
      <c r="U5161" s="28" t="n">
        <f aca="false">T5161*$M5161</f>
        <v>0</v>
      </c>
      <c r="V5161" s="28" t="n">
        <v>1705</v>
      </c>
      <c r="W5161" s="28" t="n">
        <v>1705</v>
      </c>
      <c r="X5161" s="28"/>
      <c r="Y5161" s="28" t="n">
        <f aca="false">X5161*$M5161</f>
        <v>0</v>
      </c>
      <c r="Z5161" s="28"/>
      <c r="AA5161" s="28" t="n">
        <f aca="false">Z5161*$M5161</f>
        <v>0</v>
      </c>
      <c r="AB5161" s="28" t="n">
        <v>226</v>
      </c>
      <c r="AC5161" s="28" t="n">
        <v>226</v>
      </c>
      <c r="AD5161" s="28"/>
      <c r="AE5161" s="28" t="n">
        <f aca="false">AD5161*$M5161</f>
        <v>0</v>
      </c>
      <c r="AF5161" s="28"/>
      <c r="AG5161" s="28" t="n">
        <f aca="false">AF5161*$M5161</f>
        <v>0</v>
      </c>
      <c r="AH5161" s="28"/>
      <c r="AI5161" s="28" t="n">
        <f aca="false">AH5161*$M5161</f>
        <v>0</v>
      </c>
      <c r="AJ5161" s="28"/>
      <c r="AK5161" s="28" t="n">
        <f aca="false">AJ5161*$M5161</f>
        <v>0</v>
      </c>
      <c r="AL5161" s="28"/>
      <c r="AM5161" s="28" t="n">
        <f aca="false">AL5161*$M5161</f>
        <v>0</v>
      </c>
      <c r="AN5161" s="28"/>
      <c r="AO5161" s="28" t="n">
        <f aca="false">AN5161*$M5161</f>
        <v>0</v>
      </c>
      <c r="AP5161" s="28"/>
      <c r="AQ5161" s="28" t="n">
        <f aca="false">AP5161*$M5161</f>
        <v>0</v>
      </c>
      <c r="AR5161" s="28"/>
      <c r="AS5161" s="28" t="n">
        <f aca="false">AR5161*$M5161</f>
        <v>0</v>
      </c>
      <c r="AT5161" s="28"/>
      <c r="AU5161" s="28" t="n">
        <f aca="false">AT5161*$M5161</f>
        <v>0</v>
      </c>
      <c r="AV5161" s="28"/>
      <c r="AW5161" s="28" t="n">
        <f aca="false">AV5161*$M5161</f>
        <v>0</v>
      </c>
      <c r="AX5161" s="28"/>
      <c r="AY5161" s="28" t="n">
        <f aca="false">AX5161*$M5161</f>
        <v>0</v>
      </c>
      <c r="AZ5161" s="30" t="n">
        <v>1931</v>
      </c>
      <c r="BA5161" s="11" t="n">
        <v>1931</v>
      </c>
      <c r="BB5161" s="31" t="n">
        <f aca="false">SUM(Q5161,S5161,U5161,W5161,Y5161,AA5161,AC5161,AE5161,AG5161,AI5161,AK5161,AM5161,AO5161,AQ5161,AS5161,AU5161,AW5161,AY5161)</f>
        <v>1931</v>
      </c>
      <c r="BC5161" s="28" t="n">
        <f aca="false">BA5161-BB5161</f>
        <v>0</v>
      </c>
      <c r="BD5161" s="32" t="n">
        <f aca="false">SUM(P5161,R5161,T5161,V5161,X5161,Z5161,AB5161,AD5161,AF5161,AH5161,AJ5161,AL5161,AN5161,AP5161,AR5161,AT5161,AV5161,AX5161)</f>
        <v>1931</v>
      </c>
      <c r="BE5161" s="33" t="n">
        <f aca="false">AZ5161-BD5161</f>
        <v>0</v>
      </c>
      <c r="BF5161" s="34" t="n">
        <f aca="false">BD5161*M5161</f>
        <v>1931</v>
      </c>
      <c r="BG5161" s="35" t="n">
        <f aca="false">BA5161-BF5161</f>
        <v>0</v>
      </c>
      <c r="BH5161" s="19" t="str">
        <f aca="false">IF(BG5161=0,"",IF(BG5161&lt;&gt;BA5161,"erreur de calcul",IF(BD5161&lt;&gt;0,"pas de prix",IF(M5161&lt;&gt; 0,"pas de quantité","pas de prix, ni de quantité"))))</f>
        <v/>
      </c>
      <c r="BI5161" s="19"/>
    </row>
    <row r="5162" customFormat="false" ht="15" hidden="false" customHeight="false" outlineLevel="0" collapsed="false">
      <c r="A5162" s="0" t="n">
        <v>38</v>
      </c>
      <c r="B5162" s="8" t="s">
        <v>24</v>
      </c>
      <c r="C5162" s="9" t="s">
        <v>25</v>
      </c>
      <c r="D5162" s="9" t="s">
        <v>26</v>
      </c>
      <c r="E5162" s="10" t="n">
        <v>1789</v>
      </c>
      <c r="F5162" s="9" t="s">
        <v>27</v>
      </c>
      <c r="G5162" s="9" t="s">
        <v>27</v>
      </c>
      <c r="H5162" s="11" t="n">
        <v>24</v>
      </c>
      <c r="I5162" s="11" t="s">
        <v>328</v>
      </c>
      <c r="J5162" s="14" t="n">
        <v>208</v>
      </c>
      <c r="K5162" s="14"/>
      <c r="L5162" s="16"/>
      <c r="M5162" s="27" t="n">
        <f aca="false">J5162+(K5162/20)+(L5162/240)</f>
        <v>208</v>
      </c>
      <c r="N5162" s="17" t="s">
        <v>64</v>
      </c>
      <c r="O5162" s="11" t="s">
        <v>277</v>
      </c>
      <c r="P5162" s="28"/>
      <c r="Q5162" s="28" t="n">
        <f aca="false">P5162*$M5162</f>
        <v>0</v>
      </c>
      <c r="R5162" s="28"/>
      <c r="S5162" s="28" t="n">
        <f aca="false">R5162*$M5162</f>
        <v>0</v>
      </c>
      <c r="T5162" s="28" t="n">
        <f aca="false">536/100</f>
        <v>5.36</v>
      </c>
      <c r="U5162" s="28" t="n">
        <v>1115</v>
      </c>
      <c r="V5162" s="28" t="n">
        <f aca="false">1983/100</f>
        <v>19.83</v>
      </c>
      <c r="W5162" s="28" t="n">
        <v>4125</v>
      </c>
      <c r="X5162" s="28" t="n">
        <f aca="false">37641/100</f>
        <v>376.41</v>
      </c>
      <c r="Y5162" s="28" t="n">
        <v>78293</v>
      </c>
      <c r="Z5162" s="28" t="n">
        <f aca="false">1281/100</f>
        <v>12.81</v>
      </c>
      <c r="AA5162" s="28" t="n">
        <v>2664</v>
      </c>
      <c r="AB5162" s="28"/>
      <c r="AC5162" s="28" t="n">
        <f aca="false">AB5162*$M5162</f>
        <v>0</v>
      </c>
      <c r="AD5162" s="28"/>
      <c r="AE5162" s="28" t="n">
        <f aca="false">AD5162*$M5162</f>
        <v>0</v>
      </c>
      <c r="AF5162" s="28"/>
      <c r="AG5162" s="28" t="n">
        <f aca="false">AF5162*$M5162</f>
        <v>0</v>
      </c>
      <c r="AH5162" s="28"/>
      <c r="AI5162" s="28" t="n">
        <f aca="false">AH5162*$M5162</f>
        <v>0</v>
      </c>
      <c r="AJ5162" s="28" t="n">
        <f aca="false">20789/100</f>
        <v>207.89</v>
      </c>
      <c r="AK5162" s="28" t="n">
        <v>43241</v>
      </c>
      <c r="AL5162" s="28" t="n">
        <f aca="false">2470/100</f>
        <v>24.7</v>
      </c>
      <c r="AM5162" s="28" t="n">
        <v>5138</v>
      </c>
      <c r="AN5162" s="28"/>
      <c r="AO5162" s="28" t="n">
        <f aca="false">AN5162*$M5162</f>
        <v>0</v>
      </c>
      <c r="AP5162" s="28"/>
      <c r="AQ5162" s="28" t="n">
        <f aca="false">AP5162*$M5162</f>
        <v>0</v>
      </c>
      <c r="AR5162" s="28"/>
      <c r="AS5162" s="28" t="n">
        <f aca="false">AR5162*$M5162</f>
        <v>0</v>
      </c>
      <c r="AT5162" s="28"/>
      <c r="AU5162" s="28" t="n">
        <f aca="false">AT5162*$M5162</f>
        <v>0</v>
      </c>
      <c r="AV5162" s="28"/>
      <c r="AW5162" s="28" t="n">
        <f aca="false">AV5162*$M5162</f>
        <v>0</v>
      </c>
      <c r="AX5162" s="28"/>
      <c r="AY5162" s="28" t="n">
        <f aca="false">AX5162*$M5162</f>
        <v>0</v>
      </c>
      <c r="AZ5162" s="30" t="n">
        <f aca="false">64700/100</f>
        <v>647</v>
      </c>
      <c r="BA5162" s="11" t="n">
        <v>134576</v>
      </c>
      <c r="BB5162" s="31" t="n">
        <f aca="false">SUM(Q5162,S5162,U5162,W5162,Y5162,AA5162,AC5162,AE5162,AG5162,AI5162,AK5162,AM5162,AO5162,AQ5162,AS5162,AU5162,AW5162,AY5162)</f>
        <v>134576</v>
      </c>
      <c r="BC5162" s="28" t="n">
        <f aca="false">BA5162-BB5162</f>
        <v>0</v>
      </c>
      <c r="BD5162" s="32" t="n">
        <f aca="false">SUM(P5162,R5162,T5162,V5162,X5162,Z5162,AB5162,AD5162,AF5162,AH5162,AJ5162,AL5162,AN5162,AP5162,AR5162,AT5162,AV5162,AX5162)</f>
        <v>647</v>
      </c>
      <c r="BE5162" s="33" t="n">
        <f aca="false">AZ5162-BD5162</f>
        <v>0</v>
      </c>
      <c r="BF5162" s="34" t="n">
        <f aca="false">BD5162*M5162</f>
        <v>134576</v>
      </c>
      <c r="BG5162" s="35" t="n">
        <f aca="false">BA5162-BF5162</f>
        <v>0</v>
      </c>
      <c r="BH5162" s="19" t="str">
        <f aca="false">IF(BG5162=0,"",IF(BG5162&lt;&gt;BA5162,"erreur de calcul",IF(BD5162&lt;&gt;0,"pas de prix",IF(M5162&lt;&gt; 0,"pas de quantité","pas de prix, ni de quantité"))))</f>
        <v/>
      </c>
      <c r="BI5162" s="19"/>
    </row>
    <row r="5163" customFormat="false" ht="15" hidden="false" customHeight="false" outlineLevel="0" collapsed="false">
      <c r="A5163" s="0" t="n">
        <v>1</v>
      </c>
      <c r="B5163" s="8" t="s">
        <v>24</v>
      </c>
      <c r="C5163" s="9" t="s">
        <v>25</v>
      </c>
      <c r="D5163" s="9" t="s">
        <v>26</v>
      </c>
      <c r="E5163" s="10" t="n">
        <v>1789</v>
      </c>
      <c r="F5163" s="9" t="s">
        <v>27</v>
      </c>
      <c r="G5163" s="9" t="s">
        <v>27</v>
      </c>
      <c r="H5163" s="11" t="n">
        <v>25</v>
      </c>
      <c r="I5163" s="11" t="s">
        <v>329</v>
      </c>
      <c r="J5163" s="14" t="n">
        <v>30</v>
      </c>
      <c r="K5163" s="14"/>
      <c r="L5163" s="16"/>
      <c r="M5163" s="27" t="n">
        <f aca="false">J5163+(K5163/20)+(L5163/240)</f>
        <v>30</v>
      </c>
      <c r="N5163" s="17" t="s">
        <v>64</v>
      </c>
      <c r="O5163" s="11"/>
      <c r="P5163" s="28" t="n">
        <f aca="false">888/100</f>
        <v>8.88</v>
      </c>
      <c r="Q5163" s="28" t="n">
        <v>266</v>
      </c>
      <c r="R5163" s="28"/>
      <c r="S5163" s="28" t="n">
        <f aca="false">R5163*$M5163</f>
        <v>0</v>
      </c>
      <c r="T5163" s="28" t="n">
        <f aca="false">1151/100</f>
        <v>11.51</v>
      </c>
      <c r="U5163" s="28" t="n">
        <v>345</v>
      </c>
      <c r="V5163" s="28"/>
      <c r="W5163" s="28" t="n">
        <f aca="false">V5163*$M5163</f>
        <v>0</v>
      </c>
      <c r="X5163" s="28"/>
      <c r="Y5163" s="28" t="n">
        <f aca="false">X5163*$M5163</f>
        <v>0</v>
      </c>
      <c r="Z5163" s="28"/>
      <c r="AA5163" s="28" t="n">
        <f aca="false">Z5163*$M5163</f>
        <v>0</v>
      </c>
      <c r="AB5163" s="28"/>
      <c r="AC5163" s="28" t="n">
        <f aca="false">AB5163*$M5163</f>
        <v>0</v>
      </c>
      <c r="AD5163" s="28"/>
      <c r="AE5163" s="28" t="n">
        <f aca="false">AD5163*$M5163</f>
        <v>0</v>
      </c>
      <c r="AF5163" s="28"/>
      <c r="AG5163" s="28" t="n">
        <f aca="false">AF5163*$M5163</f>
        <v>0</v>
      </c>
      <c r="AH5163" s="28"/>
      <c r="AI5163" s="28" t="n">
        <f aca="false">AH5163*$M5163</f>
        <v>0</v>
      </c>
      <c r="AJ5163" s="28"/>
      <c r="AK5163" s="28" t="n">
        <f aca="false">AJ5163*$M5163</f>
        <v>0</v>
      </c>
      <c r="AL5163" s="28"/>
      <c r="AM5163" s="28" t="n">
        <f aca="false">AL5163*$M5163</f>
        <v>0</v>
      </c>
      <c r="AN5163" s="28"/>
      <c r="AO5163" s="28" t="n">
        <f aca="false">AN5163*$M5163</f>
        <v>0</v>
      </c>
      <c r="AP5163" s="28"/>
      <c r="AQ5163" s="28" t="n">
        <f aca="false">AP5163*$M5163</f>
        <v>0</v>
      </c>
      <c r="AR5163" s="28"/>
      <c r="AS5163" s="28" t="n">
        <f aca="false">AR5163*$M5163</f>
        <v>0</v>
      </c>
      <c r="AT5163" s="28"/>
      <c r="AU5163" s="28" t="n">
        <f aca="false">AT5163*$M5163</f>
        <v>0</v>
      </c>
      <c r="AV5163" s="28"/>
      <c r="AW5163" s="28" t="n">
        <f aca="false">AV5163*$M5163</f>
        <v>0</v>
      </c>
      <c r="AX5163" s="28"/>
      <c r="AY5163" s="28" t="n">
        <f aca="false">AX5163*$M5163</f>
        <v>0</v>
      </c>
      <c r="AZ5163" s="30" t="n">
        <f aca="false">2039/100</f>
        <v>20.39</v>
      </c>
      <c r="BA5163" s="11" t="n">
        <v>611</v>
      </c>
      <c r="BB5163" s="31" t="n">
        <f aca="false">SUM(Q5163,S5163,U5163,W5163,Y5163,AA5163,AC5163,AE5163,AG5163,AI5163,AK5163,AM5163,AO5163,AQ5163,AS5163,AU5163,AW5163,AY5163)</f>
        <v>611</v>
      </c>
      <c r="BC5163" s="28" t="n">
        <f aca="false">BA5163-BB5163</f>
        <v>0</v>
      </c>
      <c r="BD5163" s="32" t="n">
        <f aca="false">SUM(P5163,R5163,T5163,V5163,X5163,Z5163,AB5163,AD5163,AF5163,AH5163,AJ5163,AL5163,AN5163,AP5163,AR5163,AT5163,AV5163,AX5163)</f>
        <v>20.39</v>
      </c>
      <c r="BE5163" s="33" t="n">
        <f aca="false">AZ5163-BD5163</f>
        <v>0</v>
      </c>
      <c r="BF5163" s="34" t="n">
        <f aca="false">BD5163*M5163</f>
        <v>611.7</v>
      </c>
      <c r="BG5163" s="35" t="n">
        <f aca="false">BA5163-BF5163</f>
        <v>-0.700000000000046</v>
      </c>
      <c r="BH5163" s="19" t="str">
        <f aca="false">IF(BG5163=0,"",IF(BG5163&lt;&gt;BA5163,"erreur de calcul",IF(BD5163&lt;&gt;0,"pas de prix",IF(M5163&lt;&gt; 0,"pas de quantité","pas de prix, ni de quantité"))))</f>
        <v>erreur de calcul</v>
      </c>
      <c r="BI5163" s="19"/>
    </row>
    <row r="5164" customFormat="false" ht="15" hidden="false" customHeight="false" outlineLevel="0" collapsed="false">
      <c r="A5164" s="0" t="n">
        <v>2</v>
      </c>
      <c r="B5164" s="8" t="s">
        <v>24</v>
      </c>
      <c r="C5164" s="9" t="s">
        <v>25</v>
      </c>
      <c r="D5164" s="9" t="s">
        <v>26</v>
      </c>
      <c r="E5164" s="10" t="n">
        <v>1789</v>
      </c>
      <c r="F5164" s="9" t="s">
        <v>27</v>
      </c>
      <c r="G5164" s="9" t="s">
        <v>27</v>
      </c>
      <c r="H5164" s="11" t="n">
        <v>25</v>
      </c>
      <c r="I5164" s="11" t="s">
        <v>330</v>
      </c>
      <c r="J5164" s="14"/>
      <c r="K5164" s="14" t="n">
        <v>20</v>
      </c>
      <c r="L5164" s="16"/>
      <c r="M5164" s="27" t="n">
        <f aca="false">J5164+(K5164/20)+(L5164/240)</f>
        <v>1</v>
      </c>
      <c r="N5164" s="17" t="s">
        <v>66</v>
      </c>
      <c r="O5164" s="11"/>
      <c r="P5164" s="28"/>
      <c r="Q5164" s="28" t="n">
        <f aca="false">P5164*$M5164</f>
        <v>0</v>
      </c>
      <c r="R5164" s="28"/>
      <c r="S5164" s="28" t="n">
        <f aca="false">R5164*$M5164</f>
        <v>0</v>
      </c>
      <c r="T5164" s="28"/>
      <c r="U5164" s="28" t="n">
        <f aca="false">T5164*$M5164</f>
        <v>0</v>
      </c>
      <c r="V5164" s="28"/>
      <c r="W5164" s="28" t="n">
        <f aca="false">V5164*$M5164</f>
        <v>0</v>
      </c>
      <c r="X5164" s="28"/>
      <c r="Y5164" s="28" t="n">
        <f aca="false">X5164*$M5164</f>
        <v>0</v>
      </c>
      <c r="Z5164" s="28"/>
      <c r="AA5164" s="28" t="n">
        <f aca="false">Z5164*$M5164</f>
        <v>0</v>
      </c>
      <c r="AB5164" s="28"/>
      <c r="AC5164" s="28" t="n">
        <f aca="false">AB5164*$M5164</f>
        <v>0</v>
      </c>
      <c r="AD5164" s="28"/>
      <c r="AE5164" s="28" t="n">
        <f aca="false">AD5164*$M5164</f>
        <v>0</v>
      </c>
      <c r="AF5164" s="28"/>
      <c r="AG5164" s="28" t="n">
        <f aca="false">AF5164*$M5164</f>
        <v>0</v>
      </c>
      <c r="AH5164" s="28"/>
      <c r="AI5164" s="28" t="n">
        <f aca="false">AH5164*$M5164</f>
        <v>0</v>
      </c>
      <c r="AJ5164" s="28" t="n">
        <v>4241</v>
      </c>
      <c r="AK5164" s="28" t="n">
        <v>4241</v>
      </c>
      <c r="AL5164" s="28"/>
      <c r="AM5164" s="28" t="n">
        <f aca="false">AL5164*$M5164</f>
        <v>0</v>
      </c>
      <c r="AN5164" s="28"/>
      <c r="AO5164" s="28" t="n">
        <f aca="false">AN5164*$M5164</f>
        <v>0</v>
      </c>
      <c r="AP5164" s="28"/>
      <c r="AQ5164" s="28" t="n">
        <f aca="false">AP5164*$M5164</f>
        <v>0</v>
      </c>
      <c r="AR5164" s="28"/>
      <c r="AS5164" s="28" t="n">
        <f aca="false">AR5164*$M5164</f>
        <v>0</v>
      </c>
      <c r="AT5164" s="28"/>
      <c r="AU5164" s="28" t="n">
        <f aca="false">AT5164*$M5164</f>
        <v>0</v>
      </c>
      <c r="AV5164" s="28"/>
      <c r="AW5164" s="28" t="n">
        <f aca="false">AV5164*$M5164</f>
        <v>0</v>
      </c>
      <c r="AX5164" s="28"/>
      <c r="AY5164" s="28" t="n">
        <f aca="false">AX5164*$M5164</f>
        <v>0</v>
      </c>
      <c r="AZ5164" s="30" t="n">
        <v>4241</v>
      </c>
      <c r="BA5164" s="11" t="n">
        <v>4241</v>
      </c>
      <c r="BB5164" s="31" t="n">
        <f aca="false">SUM(Q5164,S5164,U5164,W5164,Y5164,AA5164,AC5164,AE5164,AG5164,AI5164,AK5164,AM5164,AO5164,AQ5164,AS5164,AU5164,AW5164,AY5164)</f>
        <v>4241</v>
      </c>
      <c r="BC5164" s="28" t="n">
        <f aca="false">BA5164-BB5164</f>
        <v>0</v>
      </c>
      <c r="BD5164" s="32" t="n">
        <f aca="false">SUM(P5164,R5164,T5164,V5164,X5164,Z5164,AB5164,AD5164,AF5164,AH5164,AJ5164,AL5164,AN5164,AP5164,AR5164,AT5164,AV5164,AX5164)</f>
        <v>4241</v>
      </c>
      <c r="BE5164" s="33" t="n">
        <f aca="false">AZ5164-BD5164</f>
        <v>0</v>
      </c>
      <c r="BF5164" s="34" t="n">
        <f aca="false">BD5164*M5164</f>
        <v>4241</v>
      </c>
      <c r="BG5164" s="35" t="n">
        <f aca="false">BA5164-BF5164</f>
        <v>0</v>
      </c>
      <c r="BH5164" s="19" t="str">
        <f aca="false">IF(BG5164=0,"",IF(BG5164&lt;&gt;BA5164,"erreur de calcul",IF(BD5164&lt;&gt;0,"pas de prix",IF(M5164&lt;&gt; 0,"pas de quantité","pas de prix, ni de quantité"))))</f>
        <v/>
      </c>
      <c r="BI5164" s="19"/>
    </row>
    <row r="5165" customFormat="false" ht="15" hidden="false" customHeight="false" outlineLevel="0" collapsed="false">
      <c r="A5165" s="0" t="n">
        <v>3</v>
      </c>
      <c r="B5165" s="8" t="s">
        <v>24</v>
      </c>
      <c r="C5165" s="9" t="s">
        <v>25</v>
      </c>
      <c r="D5165" s="9" t="s">
        <v>26</v>
      </c>
      <c r="E5165" s="10" t="n">
        <v>1789</v>
      </c>
      <c r="F5165" s="9" t="s">
        <v>27</v>
      </c>
      <c r="G5165" s="9" t="s">
        <v>27</v>
      </c>
      <c r="H5165" s="11" t="n">
        <v>25</v>
      </c>
      <c r="I5165" s="11" t="s">
        <v>331</v>
      </c>
      <c r="J5165" s="14" t="n">
        <v>18</v>
      </c>
      <c r="K5165" s="14"/>
      <c r="L5165" s="16"/>
      <c r="M5165" s="27" t="n">
        <f aca="false">J5165+(K5165/20)+(L5165/240)</f>
        <v>18</v>
      </c>
      <c r="N5165" s="17" t="s">
        <v>66</v>
      </c>
      <c r="O5165" s="11" t="s">
        <v>98</v>
      </c>
      <c r="P5165" s="28"/>
      <c r="Q5165" s="28" t="n">
        <f aca="false">P5165*$M5165</f>
        <v>0</v>
      </c>
      <c r="R5165" s="28"/>
      <c r="S5165" s="28" t="n">
        <f aca="false">R5165*$M5165</f>
        <v>0</v>
      </c>
      <c r="T5165" s="28"/>
      <c r="U5165" s="28" t="n">
        <f aca="false">T5165*$M5165</f>
        <v>0</v>
      </c>
      <c r="V5165" s="28"/>
      <c r="W5165" s="28" t="n">
        <f aca="false">V5165*$M5165</f>
        <v>0</v>
      </c>
      <c r="X5165" s="28"/>
      <c r="Y5165" s="28" t="n">
        <f aca="false">X5165*$M5165</f>
        <v>0</v>
      </c>
      <c r="Z5165" s="28"/>
      <c r="AA5165" s="28" t="n">
        <f aca="false">Z5165*$M5165</f>
        <v>0</v>
      </c>
      <c r="AB5165" s="28"/>
      <c r="AC5165" s="28" t="n">
        <f aca="false">AB5165*$M5165</f>
        <v>0</v>
      </c>
      <c r="AD5165" s="28"/>
      <c r="AE5165" s="28" t="n">
        <f aca="false">AD5165*$M5165</f>
        <v>0</v>
      </c>
      <c r="AF5165" s="28"/>
      <c r="AG5165" s="28" t="n">
        <f aca="false">AF5165*$M5165</f>
        <v>0</v>
      </c>
      <c r="AH5165" s="28"/>
      <c r="AI5165" s="28" t="n">
        <f aca="false">AH5165*$M5165</f>
        <v>0</v>
      </c>
      <c r="AJ5165" s="28"/>
      <c r="AK5165" s="28" t="n">
        <f aca="false">AJ5165*$M5165</f>
        <v>0</v>
      </c>
      <c r="AL5165" s="28"/>
      <c r="AM5165" s="28" t="n">
        <f aca="false">AL5165*$M5165</f>
        <v>0</v>
      </c>
      <c r="AN5165" s="28"/>
      <c r="AO5165" s="28" t="n">
        <f aca="false">AN5165*$M5165</f>
        <v>0</v>
      </c>
      <c r="AP5165" s="28"/>
      <c r="AQ5165" s="28" t="n">
        <f aca="false">AP5165*$M5165</f>
        <v>0</v>
      </c>
      <c r="AR5165" s="28"/>
      <c r="AS5165" s="28" t="n">
        <f aca="false">AR5165*$M5165</f>
        <v>0</v>
      </c>
      <c r="AT5165" s="28"/>
      <c r="AU5165" s="28" t="n">
        <f aca="false">AT5165*$M5165</f>
        <v>0</v>
      </c>
      <c r="AV5165" s="28"/>
      <c r="AW5165" s="28" t="n">
        <f aca="false">AV5165*$M5165</f>
        <v>0</v>
      </c>
      <c r="AX5165" s="28"/>
      <c r="AY5165" s="28" t="n">
        <f aca="false">AX5165*$M5165</f>
        <v>0</v>
      </c>
      <c r="AZ5165" s="30"/>
      <c r="BA5165" s="11"/>
      <c r="BB5165" s="31" t="n">
        <f aca="false">SUM(Q5165,S5165,U5165,W5165,Y5165,AA5165,AC5165,AE5165,AG5165,AI5165,AK5165,AM5165,AO5165,AQ5165,AS5165,AU5165,AW5165,AY5165)</f>
        <v>0</v>
      </c>
      <c r="BC5165" s="28" t="n">
        <f aca="false">BA5165-BB5165</f>
        <v>0</v>
      </c>
      <c r="BD5165" s="32" t="n">
        <f aca="false">SUM(P5165,R5165,T5165,V5165,X5165,Z5165,AB5165,AD5165,AF5165,AH5165,AJ5165,AL5165,AN5165,AP5165,AR5165,AT5165,AV5165,AX5165)</f>
        <v>0</v>
      </c>
      <c r="BE5165" s="33" t="n">
        <f aca="false">AZ5165-BD5165</f>
        <v>0</v>
      </c>
      <c r="BF5165" s="34" t="n">
        <f aca="false">BD5165*M5165</f>
        <v>0</v>
      </c>
      <c r="BG5165" s="35" t="n">
        <f aca="false">BA5165-BF5165</f>
        <v>0</v>
      </c>
      <c r="BH5165" s="19" t="str">
        <f aca="false">IF(BG5165=0,"",IF(BG5165&lt;&gt;BA5165,"erreur de calcul",IF(BD5165&lt;&gt;0,"pas de prix",IF(M5165&lt;&gt; 0,"pas de quantité","pas de prix, ni de quantité"))))</f>
        <v/>
      </c>
      <c r="BI5165" s="19"/>
    </row>
    <row r="5166" customFormat="false" ht="15" hidden="false" customHeight="false" outlineLevel="0" collapsed="false">
      <c r="A5166" s="0" t="n">
        <v>4</v>
      </c>
      <c r="B5166" s="8" t="s">
        <v>24</v>
      </c>
      <c r="C5166" s="9" t="s">
        <v>25</v>
      </c>
      <c r="D5166" s="9" t="s">
        <v>26</v>
      </c>
      <c r="E5166" s="10" t="n">
        <v>1789</v>
      </c>
      <c r="F5166" s="9" t="s">
        <v>27</v>
      </c>
      <c r="G5166" s="9" t="s">
        <v>27</v>
      </c>
      <c r="H5166" s="11" t="n">
        <v>25</v>
      </c>
      <c r="I5166" s="11" t="s">
        <v>332</v>
      </c>
      <c r="J5166" s="14" t="n">
        <v>18</v>
      </c>
      <c r="K5166" s="14"/>
      <c r="L5166" s="16"/>
      <c r="M5166" s="27" t="n">
        <f aca="false">J5166+(K5166/20)+(L5166/240)</f>
        <v>18</v>
      </c>
      <c r="N5166" s="17" t="s">
        <v>66</v>
      </c>
      <c r="O5166" s="11" t="s">
        <v>98</v>
      </c>
      <c r="P5166" s="28"/>
      <c r="Q5166" s="28" t="n">
        <f aca="false">P5166*$M5166</f>
        <v>0</v>
      </c>
      <c r="R5166" s="28"/>
      <c r="S5166" s="28" t="n">
        <f aca="false">R5166*$M5166</f>
        <v>0</v>
      </c>
      <c r="T5166" s="28"/>
      <c r="U5166" s="28" t="n">
        <f aca="false">T5166*$M5166</f>
        <v>0</v>
      </c>
      <c r="V5166" s="28"/>
      <c r="W5166" s="28" t="n">
        <f aca="false">V5166*$M5166</f>
        <v>0</v>
      </c>
      <c r="X5166" s="28"/>
      <c r="Y5166" s="28" t="n">
        <f aca="false">X5166*$M5166</f>
        <v>0</v>
      </c>
      <c r="Z5166" s="28"/>
      <c r="AA5166" s="28" t="n">
        <f aca="false">Z5166*$M5166</f>
        <v>0</v>
      </c>
      <c r="AB5166" s="28"/>
      <c r="AC5166" s="28" t="n">
        <f aca="false">AB5166*$M5166</f>
        <v>0</v>
      </c>
      <c r="AD5166" s="28"/>
      <c r="AE5166" s="28" t="n">
        <f aca="false">AD5166*$M5166</f>
        <v>0</v>
      </c>
      <c r="AF5166" s="28"/>
      <c r="AG5166" s="28" t="n">
        <f aca="false">AF5166*$M5166</f>
        <v>0</v>
      </c>
      <c r="AH5166" s="28"/>
      <c r="AI5166" s="28" t="n">
        <f aca="false">AH5166*$M5166</f>
        <v>0</v>
      </c>
      <c r="AJ5166" s="28"/>
      <c r="AK5166" s="28" t="n">
        <f aca="false">AJ5166*$M5166</f>
        <v>0</v>
      </c>
      <c r="AL5166" s="28"/>
      <c r="AM5166" s="28" t="n">
        <f aca="false">AL5166*$M5166</f>
        <v>0</v>
      </c>
      <c r="AN5166" s="28"/>
      <c r="AO5166" s="28" t="n">
        <f aca="false">AN5166*$M5166</f>
        <v>0</v>
      </c>
      <c r="AP5166" s="28"/>
      <c r="AQ5166" s="28" t="n">
        <f aca="false">AP5166*$M5166</f>
        <v>0</v>
      </c>
      <c r="AR5166" s="28"/>
      <c r="AS5166" s="28" t="n">
        <f aca="false">AR5166*$M5166</f>
        <v>0</v>
      </c>
      <c r="AT5166" s="28"/>
      <c r="AU5166" s="28" t="n">
        <f aca="false">AT5166*$M5166</f>
        <v>0</v>
      </c>
      <c r="AV5166" s="28"/>
      <c r="AW5166" s="28" t="n">
        <f aca="false">AV5166*$M5166</f>
        <v>0</v>
      </c>
      <c r="AX5166" s="28"/>
      <c r="AY5166" s="28" t="n">
        <f aca="false">AX5166*$M5166</f>
        <v>0</v>
      </c>
      <c r="AZ5166" s="30"/>
      <c r="BA5166" s="11"/>
      <c r="BB5166" s="31" t="n">
        <f aca="false">SUM(Q5166,S5166,U5166,W5166,Y5166,AA5166,AC5166,AE5166,AG5166,AI5166,AK5166,AM5166,AO5166,AQ5166,AS5166,AU5166,AW5166,AY5166)</f>
        <v>0</v>
      </c>
      <c r="BC5166" s="28" t="n">
        <f aca="false">BA5166-BB5166</f>
        <v>0</v>
      </c>
      <c r="BD5166" s="32" t="n">
        <f aca="false">SUM(P5166,R5166,T5166,V5166,X5166,Z5166,AB5166,AD5166,AF5166,AH5166,AJ5166,AL5166,AN5166,AP5166,AR5166,AT5166,AV5166,AX5166)</f>
        <v>0</v>
      </c>
      <c r="BE5166" s="33" t="n">
        <f aca="false">AZ5166-BD5166</f>
        <v>0</v>
      </c>
      <c r="BF5166" s="34" t="n">
        <f aca="false">BD5166*M5166</f>
        <v>0</v>
      </c>
      <c r="BG5166" s="35" t="n">
        <f aca="false">BA5166-BF5166</f>
        <v>0</v>
      </c>
      <c r="BH5166" s="19" t="str">
        <f aca="false">IF(BG5166=0,"",IF(BG5166&lt;&gt;BA5166,"erreur de calcul",IF(BD5166&lt;&gt;0,"pas de prix",IF(M5166&lt;&gt; 0,"pas de quantité","pas de prix, ni de quantité"))))</f>
        <v/>
      </c>
      <c r="BI5166" s="19"/>
    </row>
    <row r="5167" customFormat="false" ht="15" hidden="false" customHeight="false" outlineLevel="0" collapsed="false">
      <c r="A5167" s="0" t="n">
        <v>5</v>
      </c>
      <c r="B5167" s="8" t="s">
        <v>24</v>
      </c>
      <c r="C5167" s="9" t="s">
        <v>25</v>
      </c>
      <c r="D5167" s="9" t="s">
        <v>26</v>
      </c>
      <c r="E5167" s="10" t="n">
        <v>1789</v>
      </c>
      <c r="F5167" s="9" t="s">
        <v>27</v>
      </c>
      <c r="G5167" s="9" t="s">
        <v>27</v>
      </c>
      <c r="H5167" s="11" t="n">
        <v>25</v>
      </c>
      <c r="I5167" s="11" t="s">
        <v>333</v>
      </c>
      <c r="J5167" s="14" t="n">
        <v>44</v>
      </c>
      <c r="K5167" s="14"/>
      <c r="L5167" s="16"/>
      <c r="M5167" s="27" t="n">
        <f aca="false">J5167+(K5167/20)+(L5167/240)</f>
        <v>44</v>
      </c>
      <c r="N5167" s="17" t="s">
        <v>66</v>
      </c>
      <c r="O5167" s="11"/>
      <c r="P5167" s="28" t="n">
        <v>1391</v>
      </c>
      <c r="Q5167" s="28" t="n">
        <v>61204</v>
      </c>
      <c r="R5167" s="28"/>
      <c r="S5167" s="28" t="n">
        <f aca="false">R5167*$M5167</f>
        <v>0</v>
      </c>
      <c r="T5167" s="28"/>
      <c r="U5167" s="28" t="n">
        <f aca="false">T5167*$M5167</f>
        <v>0</v>
      </c>
      <c r="V5167" s="28"/>
      <c r="W5167" s="28" t="n">
        <f aca="false">V5167*$M5167</f>
        <v>0</v>
      </c>
      <c r="X5167" s="28"/>
      <c r="Y5167" s="28" t="n">
        <f aca="false">X5167*$M5167</f>
        <v>0</v>
      </c>
      <c r="Z5167" s="28"/>
      <c r="AA5167" s="28" t="n">
        <f aca="false">Z5167*$M5167</f>
        <v>0</v>
      </c>
      <c r="AB5167" s="28"/>
      <c r="AC5167" s="28" t="n">
        <f aca="false">AB5167*$M5167</f>
        <v>0</v>
      </c>
      <c r="AD5167" s="28"/>
      <c r="AE5167" s="28" t="n">
        <f aca="false">AD5167*$M5167</f>
        <v>0</v>
      </c>
      <c r="AF5167" s="28"/>
      <c r="AG5167" s="28" t="n">
        <f aca="false">AF5167*$M5167</f>
        <v>0</v>
      </c>
      <c r="AH5167" s="28"/>
      <c r="AI5167" s="28" t="n">
        <f aca="false">AH5167*$M5167</f>
        <v>0</v>
      </c>
      <c r="AJ5167" s="28"/>
      <c r="AK5167" s="28" t="n">
        <f aca="false">AJ5167*$M5167</f>
        <v>0</v>
      </c>
      <c r="AL5167" s="28"/>
      <c r="AM5167" s="28" t="n">
        <f aca="false">AL5167*$M5167</f>
        <v>0</v>
      </c>
      <c r="AN5167" s="28"/>
      <c r="AO5167" s="28" t="n">
        <f aca="false">AN5167*$M5167</f>
        <v>0</v>
      </c>
      <c r="AP5167" s="28"/>
      <c r="AQ5167" s="28" t="n">
        <f aca="false">AP5167*$M5167</f>
        <v>0</v>
      </c>
      <c r="AR5167" s="28"/>
      <c r="AS5167" s="28" t="n">
        <f aca="false">AR5167*$M5167</f>
        <v>0</v>
      </c>
      <c r="AT5167" s="28"/>
      <c r="AU5167" s="28" t="n">
        <f aca="false">AT5167*$M5167</f>
        <v>0</v>
      </c>
      <c r="AV5167" s="28"/>
      <c r="AW5167" s="28" t="n">
        <f aca="false">AV5167*$M5167</f>
        <v>0</v>
      </c>
      <c r="AX5167" s="28"/>
      <c r="AY5167" s="28" t="n">
        <f aca="false">AX5167*$M5167</f>
        <v>0</v>
      </c>
      <c r="AZ5167" s="30" t="n">
        <v>1391</v>
      </c>
      <c r="BA5167" s="11" t="n">
        <v>61204</v>
      </c>
      <c r="BB5167" s="31" t="n">
        <f aca="false">SUM(Q5167,S5167,U5167,W5167,Y5167,AA5167,AC5167,AE5167,AG5167,AI5167,AK5167,AM5167,AO5167,AQ5167,AS5167,AU5167,AW5167,AY5167)</f>
        <v>61204</v>
      </c>
      <c r="BC5167" s="28" t="n">
        <f aca="false">BA5167-BB5167</f>
        <v>0</v>
      </c>
      <c r="BD5167" s="32" t="n">
        <f aca="false">SUM(P5167,R5167,T5167,V5167,X5167,Z5167,AB5167,AD5167,AF5167,AH5167,AJ5167,AL5167,AN5167,AP5167,AR5167,AT5167,AV5167,AX5167)</f>
        <v>1391</v>
      </c>
      <c r="BE5167" s="33" t="n">
        <f aca="false">AZ5167-BD5167</f>
        <v>0</v>
      </c>
      <c r="BF5167" s="34" t="n">
        <f aca="false">BD5167*M5167</f>
        <v>61204</v>
      </c>
      <c r="BG5167" s="35" t="n">
        <f aca="false">BA5167-BF5167</f>
        <v>0</v>
      </c>
      <c r="BH5167" s="19" t="str">
        <f aca="false">IF(BG5167=0,"",IF(BG5167&lt;&gt;BA5167,"erreur de calcul",IF(BD5167&lt;&gt;0,"pas de prix",IF(M5167&lt;&gt; 0,"pas de quantité","pas de prix, ni de quantité"))))</f>
        <v/>
      </c>
      <c r="BI5167" s="19"/>
    </row>
    <row r="5168" customFormat="false" ht="15" hidden="false" customHeight="false" outlineLevel="0" collapsed="false">
      <c r="A5168" s="0" t="n">
        <v>6</v>
      </c>
      <c r="B5168" s="8" t="s">
        <v>24</v>
      </c>
      <c r="C5168" s="9" t="s">
        <v>25</v>
      </c>
      <c r="D5168" s="9" t="s">
        <v>26</v>
      </c>
      <c r="E5168" s="10" t="n">
        <v>1789</v>
      </c>
      <c r="F5168" s="9" t="s">
        <v>27</v>
      </c>
      <c r="G5168" s="9" t="s">
        <v>27</v>
      </c>
      <c r="H5168" s="11" t="n">
        <v>25</v>
      </c>
      <c r="I5168" s="11" t="s">
        <v>334</v>
      </c>
      <c r="J5168" s="14" t="n">
        <v>12</v>
      </c>
      <c r="K5168" s="14"/>
      <c r="L5168" s="16"/>
      <c r="M5168" s="27" t="n">
        <f aca="false">J5168+(K5168/20)+(L5168/240)</f>
        <v>12</v>
      </c>
      <c r="N5168" s="17" t="s">
        <v>64</v>
      </c>
      <c r="O5168" s="11"/>
      <c r="P5168" s="28"/>
      <c r="Q5168" s="28" t="n">
        <f aca="false">P5168*$M5168</f>
        <v>0</v>
      </c>
      <c r="R5168" s="28"/>
      <c r="S5168" s="28" t="n">
        <f aca="false">R5168*$M5168</f>
        <v>0</v>
      </c>
      <c r="T5168" s="28"/>
      <c r="U5168" s="28" t="n">
        <f aca="false">T5168*$M5168</f>
        <v>0</v>
      </c>
      <c r="V5168" s="28"/>
      <c r="W5168" s="28" t="n">
        <f aca="false">V5168*$M5168</f>
        <v>0</v>
      </c>
      <c r="X5168" s="28" t="n">
        <f aca="false">1111/100</f>
        <v>11.11</v>
      </c>
      <c r="Y5168" s="28" t="n">
        <v>133</v>
      </c>
      <c r="Z5168" s="28"/>
      <c r="AA5168" s="28" t="n">
        <f aca="false">Z5168*$M5168</f>
        <v>0</v>
      </c>
      <c r="AB5168" s="28"/>
      <c r="AC5168" s="28" t="n">
        <f aca="false">AB5168*$M5168</f>
        <v>0</v>
      </c>
      <c r="AD5168" s="28"/>
      <c r="AE5168" s="28" t="n">
        <f aca="false">AD5168*$M5168</f>
        <v>0</v>
      </c>
      <c r="AF5168" s="28"/>
      <c r="AG5168" s="28" t="n">
        <f aca="false">AF5168*$M5168</f>
        <v>0</v>
      </c>
      <c r="AH5168" s="28"/>
      <c r="AI5168" s="28" t="n">
        <f aca="false">AH5168*$M5168</f>
        <v>0</v>
      </c>
      <c r="AJ5168" s="28"/>
      <c r="AK5168" s="28" t="n">
        <f aca="false">AJ5168*$M5168</f>
        <v>0</v>
      </c>
      <c r="AL5168" s="28"/>
      <c r="AM5168" s="28" t="n">
        <f aca="false">AL5168*$M5168</f>
        <v>0</v>
      </c>
      <c r="AN5168" s="28"/>
      <c r="AO5168" s="28" t="n">
        <f aca="false">AN5168*$M5168</f>
        <v>0</v>
      </c>
      <c r="AP5168" s="28"/>
      <c r="AQ5168" s="28" t="n">
        <f aca="false">AP5168*$M5168</f>
        <v>0</v>
      </c>
      <c r="AR5168" s="28"/>
      <c r="AS5168" s="28" t="n">
        <f aca="false">AR5168*$M5168</f>
        <v>0</v>
      </c>
      <c r="AT5168" s="28"/>
      <c r="AU5168" s="28" t="n">
        <f aca="false">AT5168*$M5168</f>
        <v>0</v>
      </c>
      <c r="AV5168" s="28"/>
      <c r="AW5168" s="28" t="n">
        <f aca="false">AV5168*$M5168</f>
        <v>0</v>
      </c>
      <c r="AX5168" s="28"/>
      <c r="AY5168" s="28" t="n">
        <f aca="false">AX5168*$M5168</f>
        <v>0</v>
      </c>
      <c r="AZ5168" s="30" t="n">
        <f aca="false">1111/100</f>
        <v>11.11</v>
      </c>
      <c r="BA5168" s="11" t="n">
        <v>133</v>
      </c>
      <c r="BB5168" s="31" t="n">
        <f aca="false">SUM(Q5168,S5168,U5168,W5168,Y5168,AA5168,AC5168,AE5168,AG5168,AI5168,AK5168,AM5168,AO5168,AQ5168,AS5168,AU5168,AW5168,AY5168)</f>
        <v>133</v>
      </c>
      <c r="BC5168" s="28" t="n">
        <f aca="false">BA5168-BB5168</f>
        <v>0</v>
      </c>
      <c r="BD5168" s="32" t="n">
        <f aca="false">SUM(P5168,R5168,T5168,V5168,X5168,Z5168,AB5168,AD5168,AF5168,AH5168,AJ5168,AL5168,AN5168,AP5168,AR5168,AT5168,AV5168,AX5168)</f>
        <v>11.11</v>
      </c>
      <c r="BE5168" s="33" t="n">
        <f aca="false">AZ5168-BD5168</f>
        <v>0</v>
      </c>
      <c r="BF5168" s="34" t="n">
        <f aca="false">BD5168*M5168</f>
        <v>133.32</v>
      </c>
      <c r="BG5168" s="35" t="n">
        <f aca="false">BA5168-BF5168</f>
        <v>-0.319999999999993</v>
      </c>
      <c r="BH5168" s="19" t="str">
        <f aca="false">IF(BG5168=0,"",IF(BG5168&lt;&gt;BA5168,"erreur de calcul",IF(BD5168&lt;&gt;0,"pas de prix",IF(M5168&lt;&gt; 0,"pas de quantité","pas de prix, ni de quantité"))))</f>
        <v>erreur de calcul</v>
      </c>
      <c r="BI5168" s="19"/>
    </row>
    <row r="5169" customFormat="false" ht="16.65" hidden="false" customHeight="false" outlineLevel="0" collapsed="false">
      <c r="A5169" s="0" t="n">
        <v>7</v>
      </c>
      <c r="B5169" s="8" t="s">
        <v>24</v>
      </c>
      <c r="C5169" s="9" t="s">
        <v>25</v>
      </c>
      <c r="D5169" s="9" t="s">
        <v>26</v>
      </c>
      <c r="E5169" s="10" t="n">
        <v>1789</v>
      </c>
      <c r="F5169" s="9" t="s">
        <v>27</v>
      </c>
      <c r="G5169" s="9" t="s">
        <v>27</v>
      </c>
      <c r="H5169" s="11" t="n">
        <v>25</v>
      </c>
      <c r="I5169" s="11" t="s">
        <v>335</v>
      </c>
      <c r="J5169" s="14" t="n">
        <v>4</v>
      </c>
      <c r="K5169" s="14" t="n">
        <v>10</v>
      </c>
      <c r="L5169" s="16"/>
      <c r="M5169" s="27" t="n">
        <f aca="false">J5169+(K5169/20)+(L5169/240)</f>
        <v>4.5</v>
      </c>
      <c r="N5169" s="17" t="s">
        <v>64</v>
      </c>
      <c r="O5169" s="11" t="s">
        <v>77</v>
      </c>
      <c r="P5169" s="28" t="n">
        <f aca="false">8366/100</f>
        <v>83.66</v>
      </c>
      <c r="Q5169" s="28" t="n">
        <v>376</v>
      </c>
      <c r="R5169" s="28"/>
      <c r="S5169" s="28" t="n">
        <f aca="false">R5169*$M5169</f>
        <v>0</v>
      </c>
      <c r="T5169" s="28"/>
      <c r="U5169" s="28" t="n">
        <f aca="false">T5169*$M5169</f>
        <v>0</v>
      </c>
      <c r="V5169" s="28"/>
      <c r="W5169" s="28" t="n">
        <f aca="false">V5169*$M5169</f>
        <v>0</v>
      </c>
      <c r="X5169" s="28"/>
      <c r="Y5169" s="28" t="n">
        <f aca="false">X5169*$M5169</f>
        <v>0</v>
      </c>
      <c r="Z5169" s="28"/>
      <c r="AA5169" s="28" t="n">
        <f aca="false">Z5169*$M5169</f>
        <v>0</v>
      </c>
      <c r="AB5169" s="28"/>
      <c r="AC5169" s="28" t="n">
        <f aca="false">AB5169*$M5169</f>
        <v>0</v>
      </c>
      <c r="AD5169" s="28"/>
      <c r="AE5169" s="28" t="n">
        <f aca="false">AD5169*$M5169</f>
        <v>0</v>
      </c>
      <c r="AF5169" s="28"/>
      <c r="AG5169" s="28" t="n">
        <f aca="false">AF5169*$M5169</f>
        <v>0</v>
      </c>
      <c r="AH5169" s="28"/>
      <c r="AI5169" s="28" t="n">
        <f aca="false">AH5169*$M5169</f>
        <v>0</v>
      </c>
      <c r="AJ5169" s="28"/>
      <c r="AK5169" s="28" t="n">
        <f aca="false">AJ5169*$M5169</f>
        <v>0</v>
      </c>
      <c r="AL5169" s="28"/>
      <c r="AM5169" s="28" t="n">
        <f aca="false">AL5169*$M5169</f>
        <v>0</v>
      </c>
      <c r="AN5169" s="28"/>
      <c r="AO5169" s="28" t="n">
        <f aca="false">AN5169*$M5169</f>
        <v>0</v>
      </c>
      <c r="AP5169" s="28"/>
      <c r="AQ5169" s="28" t="n">
        <f aca="false">AP5169*$M5169</f>
        <v>0</v>
      </c>
      <c r="AR5169" s="28"/>
      <c r="AS5169" s="28" t="n">
        <f aca="false">AR5169*$M5169</f>
        <v>0</v>
      </c>
      <c r="AT5169" s="28"/>
      <c r="AU5169" s="28" t="n">
        <f aca="false">AT5169*$M5169</f>
        <v>0</v>
      </c>
      <c r="AV5169" s="28"/>
      <c r="AW5169" s="28" t="n">
        <f aca="false">AV5169*$M5169</f>
        <v>0</v>
      </c>
      <c r="AX5169" s="28"/>
      <c r="AY5169" s="28" t="n">
        <f aca="false">AX5169*$M5169</f>
        <v>0</v>
      </c>
      <c r="AZ5169" s="30" t="n">
        <f aca="false">8366/100</f>
        <v>83.66</v>
      </c>
      <c r="BA5169" s="11" t="n">
        <v>376</v>
      </c>
      <c r="BB5169" s="31" t="n">
        <f aca="false">SUM(Q5169,S5169,U5169,W5169,Y5169,AA5169,AC5169,AE5169,AG5169,AI5169,AK5169,AM5169,AO5169,AQ5169,AS5169,AU5169,AW5169,AY5169)</f>
        <v>376</v>
      </c>
      <c r="BC5169" s="28" t="n">
        <f aca="false">BA5169-BB5169</f>
        <v>0</v>
      </c>
      <c r="BD5169" s="32" t="n">
        <f aca="false">SUM(P5169,R5169,T5169,V5169,X5169,Z5169,AB5169,AD5169,AF5169,AH5169,AJ5169,AL5169,AN5169,AP5169,AR5169,AT5169,AV5169,AX5169)</f>
        <v>83.66</v>
      </c>
      <c r="BE5169" s="33" t="n">
        <f aca="false">AZ5169-BD5169</f>
        <v>0</v>
      </c>
      <c r="BF5169" s="34" t="n">
        <f aca="false">BD5169*M5169</f>
        <v>376.47</v>
      </c>
      <c r="BG5169" s="35" t="n">
        <f aca="false">BA5169-BF5169</f>
        <v>-0.46999999999997</v>
      </c>
      <c r="BH5169" s="19" t="str">
        <f aca="false">IF(BG5169=0,"",IF(BG5169&lt;&gt;BA5169,"erreur de calcul",IF(BD5169&lt;&gt;0,"pas de prix",IF(M5169&lt;&gt; 0,"pas de quantité","pas de prix, ni de quantité"))))</f>
        <v>erreur de calcul</v>
      </c>
      <c r="BI5169" s="19"/>
    </row>
    <row r="5170" customFormat="false" ht="15" hidden="false" customHeight="false" outlineLevel="0" collapsed="false">
      <c r="A5170" s="0" t="n">
        <v>8</v>
      </c>
      <c r="B5170" s="8" t="s">
        <v>24</v>
      </c>
      <c r="C5170" s="9" t="s">
        <v>25</v>
      </c>
      <c r="D5170" s="9" t="s">
        <v>26</v>
      </c>
      <c r="E5170" s="10" t="n">
        <v>1789</v>
      </c>
      <c r="F5170" s="9" t="s">
        <v>27</v>
      </c>
      <c r="G5170" s="9" t="s">
        <v>27</v>
      </c>
      <c r="H5170" s="11" t="n">
        <v>25</v>
      </c>
      <c r="I5170" s="11" t="s">
        <v>336</v>
      </c>
      <c r="J5170" s="14" t="n">
        <v>64</v>
      </c>
      <c r="K5170" s="14"/>
      <c r="L5170" s="16"/>
      <c r="M5170" s="27" t="n">
        <f aca="false">J5170+(K5170/20)+(L5170/240)</f>
        <v>64</v>
      </c>
      <c r="N5170" s="17" t="s">
        <v>337</v>
      </c>
      <c r="O5170" s="11"/>
      <c r="P5170" s="28"/>
      <c r="Q5170" s="28" t="n">
        <f aca="false">P5170*$M5170</f>
        <v>0</v>
      </c>
      <c r="R5170" s="28"/>
      <c r="S5170" s="28" t="n">
        <f aca="false">R5170*$M5170</f>
        <v>0</v>
      </c>
      <c r="T5170" s="28" t="n">
        <v>42</v>
      </c>
      <c r="U5170" s="28" t="n">
        <v>2688</v>
      </c>
      <c r="V5170" s="28"/>
      <c r="W5170" s="28" t="n">
        <f aca="false">V5170*$M5170</f>
        <v>0</v>
      </c>
      <c r="X5170" s="28"/>
      <c r="Y5170" s="28" t="n">
        <f aca="false">X5170*$M5170</f>
        <v>0</v>
      </c>
      <c r="Z5170" s="28"/>
      <c r="AA5170" s="28" t="n">
        <f aca="false">Z5170*$M5170</f>
        <v>0</v>
      </c>
      <c r="AB5170" s="28" t="n">
        <v>66</v>
      </c>
      <c r="AC5170" s="28" t="n">
        <v>4224</v>
      </c>
      <c r="AD5170" s="28"/>
      <c r="AE5170" s="28" t="n">
        <f aca="false">AD5170*$M5170</f>
        <v>0</v>
      </c>
      <c r="AF5170" s="28"/>
      <c r="AG5170" s="28" t="n">
        <f aca="false">AF5170*$M5170</f>
        <v>0</v>
      </c>
      <c r="AH5170" s="28"/>
      <c r="AI5170" s="28" t="n">
        <f aca="false">AH5170*$M5170</f>
        <v>0</v>
      </c>
      <c r="AJ5170" s="28"/>
      <c r="AK5170" s="28" t="n">
        <f aca="false">AJ5170*$M5170</f>
        <v>0</v>
      </c>
      <c r="AL5170" s="28"/>
      <c r="AM5170" s="28" t="n">
        <f aca="false">AL5170*$M5170</f>
        <v>0</v>
      </c>
      <c r="AN5170" s="28"/>
      <c r="AO5170" s="28" t="n">
        <f aca="false">AN5170*$M5170</f>
        <v>0</v>
      </c>
      <c r="AP5170" s="28"/>
      <c r="AQ5170" s="28" t="n">
        <f aca="false">AP5170*$M5170</f>
        <v>0</v>
      </c>
      <c r="AR5170" s="28"/>
      <c r="AS5170" s="28" t="n">
        <f aca="false">AR5170*$M5170</f>
        <v>0</v>
      </c>
      <c r="AT5170" s="28"/>
      <c r="AU5170" s="28" t="n">
        <f aca="false">AT5170*$M5170</f>
        <v>0</v>
      </c>
      <c r="AV5170" s="28"/>
      <c r="AW5170" s="28" t="n">
        <f aca="false">AV5170*$M5170</f>
        <v>0</v>
      </c>
      <c r="AX5170" s="28"/>
      <c r="AY5170" s="28" t="n">
        <f aca="false">AX5170*$M5170</f>
        <v>0</v>
      </c>
      <c r="AZ5170" s="30" t="n">
        <v>108</v>
      </c>
      <c r="BA5170" s="11" t="n">
        <v>6912</v>
      </c>
      <c r="BB5170" s="31" t="n">
        <f aca="false">SUM(Q5170,S5170,U5170,W5170,Y5170,AA5170,AC5170,AE5170,AG5170,AI5170,AK5170,AM5170,AO5170,AQ5170,AS5170,AU5170,AW5170,AY5170)</f>
        <v>6912</v>
      </c>
      <c r="BC5170" s="28" t="n">
        <f aca="false">BA5170-BB5170</f>
        <v>0</v>
      </c>
      <c r="BD5170" s="32" t="n">
        <f aca="false">SUM(P5170,R5170,T5170,V5170,X5170,Z5170,AB5170,AD5170,AF5170,AH5170,AJ5170,AL5170,AN5170,AP5170,AR5170,AT5170,AV5170,AX5170)</f>
        <v>108</v>
      </c>
      <c r="BE5170" s="33" t="n">
        <f aca="false">AZ5170-BD5170</f>
        <v>0</v>
      </c>
      <c r="BF5170" s="34" t="n">
        <f aca="false">BD5170*M5170</f>
        <v>6912</v>
      </c>
      <c r="BG5170" s="35" t="n">
        <f aca="false">BA5170-BF5170</f>
        <v>0</v>
      </c>
      <c r="BH5170" s="19" t="str">
        <f aca="false">IF(BG5170=0,"",IF(BG5170&lt;&gt;BA5170,"erreur de calcul",IF(BD5170&lt;&gt;0,"pas de prix",IF(M5170&lt;&gt; 0,"pas de quantité","pas de prix, ni de quantité"))))</f>
        <v/>
      </c>
      <c r="BI5170" s="19"/>
    </row>
    <row r="5171" customFormat="false" ht="15" hidden="false" customHeight="false" outlineLevel="0" collapsed="false">
      <c r="A5171" s="0" t="n">
        <v>9</v>
      </c>
      <c r="B5171" s="8" t="s">
        <v>24</v>
      </c>
      <c r="C5171" s="9" t="s">
        <v>25</v>
      </c>
      <c r="D5171" s="9" t="s">
        <v>26</v>
      </c>
      <c r="E5171" s="10" t="n">
        <v>1789</v>
      </c>
      <c r="F5171" s="9" t="s">
        <v>27</v>
      </c>
      <c r="G5171" s="9" t="s">
        <v>27</v>
      </c>
      <c r="H5171" s="11" t="n">
        <v>25</v>
      </c>
      <c r="I5171" s="11" t="s">
        <v>338</v>
      </c>
      <c r="J5171" s="14"/>
      <c r="K5171" s="14"/>
      <c r="L5171" s="16"/>
      <c r="M5171" s="27" t="n">
        <f aca="false">J5171+(K5171/20)+(L5171/240)</f>
        <v>0</v>
      </c>
      <c r="N5171" s="17"/>
      <c r="O5171" s="11"/>
      <c r="P5171" s="28"/>
      <c r="Q5171" s="28" t="n">
        <f aca="false">P5171*$M5171</f>
        <v>0</v>
      </c>
      <c r="R5171" s="28"/>
      <c r="S5171" s="28" t="n">
        <f aca="false">R5171*$M5171</f>
        <v>0</v>
      </c>
      <c r="T5171" s="28"/>
      <c r="U5171" s="28" t="n">
        <v>135</v>
      </c>
      <c r="V5171" s="28"/>
      <c r="W5171" s="28" t="n">
        <v>642</v>
      </c>
      <c r="X5171" s="28"/>
      <c r="Y5171" s="28" t="n">
        <f aca="false">X5171*$M5171</f>
        <v>0</v>
      </c>
      <c r="Z5171" s="28"/>
      <c r="AA5171" s="28" t="n">
        <f aca="false">Z5171*$M5171</f>
        <v>0</v>
      </c>
      <c r="AB5171" s="28"/>
      <c r="AC5171" s="28" t="n">
        <f aca="false">AB5171*$M5171</f>
        <v>0</v>
      </c>
      <c r="AD5171" s="28"/>
      <c r="AE5171" s="28" t="n">
        <f aca="false">AD5171*$M5171</f>
        <v>0</v>
      </c>
      <c r="AF5171" s="28"/>
      <c r="AG5171" s="28" t="n">
        <f aca="false">AF5171*$M5171</f>
        <v>0</v>
      </c>
      <c r="AH5171" s="28"/>
      <c r="AI5171" s="28" t="n">
        <f aca="false">AH5171*$M5171</f>
        <v>0</v>
      </c>
      <c r="AJ5171" s="28"/>
      <c r="AK5171" s="28" t="n">
        <v>375</v>
      </c>
      <c r="AL5171" s="28"/>
      <c r="AM5171" s="28" t="n">
        <f aca="false">AL5171*$M5171</f>
        <v>0</v>
      </c>
      <c r="AN5171" s="28"/>
      <c r="AO5171" s="28" t="n">
        <f aca="false">AN5171*$M5171</f>
        <v>0</v>
      </c>
      <c r="AP5171" s="28"/>
      <c r="AQ5171" s="28" t="n">
        <f aca="false">AP5171*$M5171</f>
        <v>0</v>
      </c>
      <c r="AR5171" s="28"/>
      <c r="AS5171" s="28" t="n">
        <f aca="false">AR5171*$M5171</f>
        <v>0</v>
      </c>
      <c r="AT5171" s="28"/>
      <c r="AU5171" s="28" t="n">
        <f aca="false">AT5171*$M5171</f>
        <v>0</v>
      </c>
      <c r="AV5171" s="28"/>
      <c r="AW5171" s="28" t="n">
        <v>765</v>
      </c>
      <c r="AX5171" s="28"/>
      <c r="AY5171" s="28" t="n">
        <f aca="false">AX5171*$M5171</f>
        <v>0</v>
      </c>
      <c r="AZ5171" s="30"/>
      <c r="BA5171" s="11" t="n">
        <v>1917</v>
      </c>
      <c r="BB5171" s="31" t="n">
        <f aca="false">SUM(Q5171,S5171,U5171,W5171,Y5171,AA5171,AC5171,AE5171,AG5171,AI5171,AK5171,AM5171,AO5171,AQ5171,AS5171,AU5171,AW5171,AY5171)</f>
        <v>1917</v>
      </c>
      <c r="BC5171" s="28" t="n">
        <f aca="false">BA5171-BB5171</f>
        <v>0</v>
      </c>
      <c r="BD5171" s="32" t="n">
        <f aca="false">SUM(P5171,R5171,T5171,V5171,X5171,Z5171,AB5171,AD5171,AF5171,AH5171,AJ5171,AL5171,AN5171,AP5171,AR5171,AT5171,AV5171,AX5171)</f>
        <v>0</v>
      </c>
      <c r="BE5171" s="33" t="n">
        <f aca="false">AZ5171-BD5171</f>
        <v>0</v>
      </c>
      <c r="BF5171" s="34" t="n">
        <f aca="false">BD5171*M5171</f>
        <v>0</v>
      </c>
      <c r="BG5171" s="35" t="n">
        <f aca="false">BA5171-BF5171</f>
        <v>1917</v>
      </c>
      <c r="BH5171" s="19" t="str">
        <f aca="false">IF(BG5171=0,"",IF(BG5171&lt;&gt;BA5171,"erreur de calcul",IF(BD5171&lt;&gt;0,"pas de prix",IF(M5171&lt;&gt; 0,"pas de quantité","pas de prix, ni de quantité"))))</f>
        <v>pas de prix, ni de quantité</v>
      </c>
      <c r="BI5171" s="19"/>
    </row>
    <row r="5172" customFormat="false" ht="15" hidden="false" customHeight="false" outlineLevel="0" collapsed="false">
      <c r="A5172" s="0" t="n">
        <v>10</v>
      </c>
      <c r="B5172" s="8" t="s">
        <v>24</v>
      </c>
      <c r="C5172" s="9" t="s">
        <v>25</v>
      </c>
      <c r="D5172" s="9" t="s">
        <v>26</v>
      </c>
      <c r="E5172" s="10" t="n">
        <v>1789</v>
      </c>
      <c r="F5172" s="9" t="s">
        <v>27</v>
      </c>
      <c r="G5172" s="9" t="s">
        <v>27</v>
      </c>
      <c r="H5172" s="11" t="n">
        <v>25</v>
      </c>
      <c r="I5172" s="11" t="s">
        <v>339</v>
      </c>
      <c r="J5172" s="14" t="n">
        <v>7</v>
      </c>
      <c r="K5172" s="14"/>
      <c r="L5172" s="16"/>
      <c r="M5172" s="27" t="n">
        <f aca="false">J5172+(K5172/20)+(L5172/240)</f>
        <v>7</v>
      </c>
      <c r="N5172" s="17" t="s">
        <v>69</v>
      </c>
      <c r="O5172" s="11"/>
      <c r="P5172" s="28"/>
      <c r="Q5172" s="28" t="n">
        <f aca="false">P5172*$M5172</f>
        <v>0</v>
      </c>
      <c r="R5172" s="28"/>
      <c r="S5172" s="28" t="n">
        <f aca="false">R5172*$M5172</f>
        <v>0</v>
      </c>
      <c r="T5172" s="28"/>
      <c r="U5172" s="28" t="n">
        <f aca="false">T5172*$M5172</f>
        <v>0</v>
      </c>
      <c r="V5172" s="28" t="n">
        <v>554</v>
      </c>
      <c r="W5172" s="28" t="n">
        <v>3878</v>
      </c>
      <c r="X5172" s="28"/>
      <c r="Y5172" s="28" t="n">
        <f aca="false">X5172*$M5172</f>
        <v>0</v>
      </c>
      <c r="Z5172" s="28"/>
      <c r="AA5172" s="28" t="n">
        <f aca="false">Z5172*$M5172</f>
        <v>0</v>
      </c>
      <c r="AB5172" s="28"/>
      <c r="AC5172" s="28" t="n">
        <f aca="false">AB5172*$M5172</f>
        <v>0</v>
      </c>
      <c r="AD5172" s="28"/>
      <c r="AE5172" s="28" t="n">
        <f aca="false">AD5172*$M5172</f>
        <v>0</v>
      </c>
      <c r="AF5172" s="28"/>
      <c r="AG5172" s="28" t="n">
        <f aca="false">AF5172*$M5172</f>
        <v>0</v>
      </c>
      <c r="AH5172" s="28"/>
      <c r="AI5172" s="28" t="n">
        <f aca="false">AH5172*$M5172</f>
        <v>0</v>
      </c>
      <c r="AJ5172" s="28"/>
      <c r="AK5172" s="28" t="n">
        <f aca="false">AJ5172*$M5172</f>
        <v>0</v>
      </c>
      <c r="AL5172" s="28"/>
      <c r="AM5172" s="28" t="n">
        <f aca="false">AL5172*$M5172</f>
        <v>0</v>
      </c>
      <c r="AN5172" s="28"/>
      <c r="AO5172" s="28" t="n">
        <f aca="false">AN5172*$M5172</f>
        <v>0</v>
      </c>
      <c r="AP5172" s="28"/>
      <c r="AQ5172" s="28" t="n">
        <f aca="false">AP5172*$M5172</f>
        <v>0</v>
      </c>
      <c r="AR5172" s="28"/>
      <c r="AS5172" s="28" t="n">
        <f aca="false">AR5172*$M5172</f>
        <v>0</v>
      </c>
      <c r="AT5172" s="28"/>
      <c r="AU5172" s="28" t="n">
        <f aca="false">AT5172*$M5172</f>
        <v>0</v>
      </c>
      <c r="AV5172" s="28"/>
      <c r="AW5172" s="28" t="n">
        <f aca="false">AV5172*$M5172</f>
        <v>0</v>
      </c>
      <c r="AX5172" s="28"/>
      <c r="AY5172" s="28" t="n">
        <f aca="false">AX5172*$M5172</f>
        <v>0</v>
      </c>
      <c r="AZ5172" s="30" t="n">
        <v>554</v>
      </c>
      <c r="BA5172" s="11" t="n">
        <v>3878</v>
      </c>
      <c r="BB5172" s="31" t="n">
        <f aca="false">SUM(Q5172,S5172,U5172,W5172,Y5172,AA5172,AC5172,AE5172,AG5172,AI5172,AK5172,AM5172,AO5172,AQ5172,AS5172,AU5172,AW5172,AY5172)</f>
        <v>3878</v>
      </c>
      <c r="BC5172" s="28" t="n">
        <f aca="false">BA5172-BB5172</f>
        <v>0</v>
      </c>
      <c r="BD5172" s="32" t="n">
        <f aca="false">SUM(P5172,R5172,T5172,V5172,X5172,Z5172,AB5172,AD5172,AF5172,AH5172,AJ5172,AL5172,AN5172,AP5172,AR5172,AT5172,AV5172,AX5172)</f>
        <v>554</v>
      </c>
      <c r="BE5172" s="33" t="n">
        <f aca="false">AZ5172-BD5172</f>
        <v>0</v>
      </c>
      <c r="BF5172" s="34" t="n">
        <f aca="false">BD5172*M5172</f>
        <v>3878</v>
      </c>
      <c r="BG5172" s="35" t="n">
        <f aca="false">BA5172-BF5172</f>
        <v>0</v>
      </c>
      <c r="BH5172" s="19" t="str">
        <f aca="false">IF(BG5172=0,"",IF(BG5172&lt;&gt;BA5172,"erreur de calcul",IF(BD5172&lt;&gt;0,"pas de prix",IF(M5172&lt;&gt; 0,"pas de quantité","pas de prix, ni de quantité"))))</f>
        <v/>
      </c>
      <c r="BI5172" s="19"/>
    </row>
    <row r="5173" customFormat="false" ht="15" hidden="false" customHeight="false" outlineLevel="0" collapsed="false">
      <c r="A5173" s="0" t="n">
        <v>11</v>
      </c>
      <c r="B5173" s="8" t="s">
        <v>24</v>
      </c>
      <c r="C5173" s="9" t="s">
        <v>25</v>
      </c>
      <c r="D5173" s="9" t="s">
        <v>26</v>
      </c>
      <c r="E5173" s="10" t="n">
        <v>1789</v>
      </c>
      <c r="F5173" s="9" t="s">
        <v>27</v>
      </c>
      <c r="G5173" s="9" t="s">
        <v>27</v>
      </c>
      <c r="H5173" s="11" t="n">
        <v>25</v>
      </c>
      <c r="I5173" s="11" t="s">
        <v>340</v>
      </c>
      <c r="J5173" s="14" t="n">
        <v>15</v>
      </c>
      <c r="K5173" s="14"/>
      <c r="L5173" s="16"/>
      <c r="M5173" s="27" t="n">
        <f aca="false">J5173+(K5173/20)+(L5173/240)</f>
        <v>15</v>
      </c>
      <c r="N5173" s="17" t="s">
        <v>64</v>
      </c>
      <c r="O5173" s="11"/>
      <c r="P5173" s="28" t="n">
        <f aca="false">470959/100</f>
        <v>4709.59</v>
      </c>
      <c r="Q5173" s="28" t="n">
        <v>70644</v>
      </c>
      <c r="R5173" s="28"/>
      <c r="S5173" s="28" t="n">
        <f aca="false">R5173*$M5173</f>
        <v>0</v>
      </c>
      <c r="T5173" s="28"/>
      <c r="U5173" s="28" t="n">
        <f aca="false">T5173*$M5173</f>
        <v>0</v>
      </c>
      <c r="V5173" s="28"/>
      <c r="W5173" s="28" t="n">
        <f aca="false">V5173*$M5173</f>
        <v>0</v>
      </c>
      <c r="X5173" s="28"/>
      <c r="Y5173" s="28" t="n">
        <f aca="false">X5173*$M5173</f>
        <v>0</v>
      </c>
      <c r="Z5173" s="28"/>
      <c r="AA5173" s="28" t="n">
        <f aca="false">Z5173*$M5173</f>
        <v>0</v>
      </c>
      <c r="AB5173" s="28" t="n">
        <f aca="false">50000/100</f>
        <v>500</v>
      </c>
      <c r="AC5173" s="28" t="n">
        <v>7500</v>
      </c>
      <c r="AD5173" s="28"/>
      <c r="AE5173" s="28" t="n">
        <f aca="false">AD5173*$M5173</f>
        <v>0</v>
      </c>
      <c r="AF5173" s="28" t="n">
        <f aca="false">15584/100</f>
        <v>155.84</v>
      </c>
      <c r="AG5173" s="28" t="n">
        <v>2338</v>
      </c>
      <c r="AH5173" s="28"/>
      <c r="AI5173" s="28" t="n">
        <f aca="false">AH5173*$M5173</f>
        <v>0</v>
      </c>
      <c r="AJ5173" s="28"/>
      <c r="AK5173" s="28" t="n">
        <f aca="false">AJ5173*$M5173</f>
        <v>0</v>
      </c>
      <c r="AL5173" s="28"/>
      <c r="AM5173" s="28" t="n">
        <f aca="false">AL5173*$M5173</f>
        <v>0</v>
      </c>
      <c r="AN5173" s="28"/>
      <c r="AO5173" s="28" t="n">
        <f aca="false">AN5173*$M5173</f>
        <v>0</v>
      </c>
      <c r="AP5173" s="28"/>
      <c r="AQ5173" s="28" t="n">
        <f aca="false">AP5173*$M5173</f>
        <v>0</v>
      </c>
      <c r="AR5173" s="28"/>
      <c r="AS5173" s="28" t="n">
        <f aca="false">AR5173*$M5173</f>
        <v>0</v>
      </c>
      <c r="AT5173" s="28"/>
      <c r="AU5173" s="28" t="n">
        <f aca="false">AT5173*$M5173</f>
        <v>0</v>
      </c>
      <c r="AV5173" s="28"/>
      <c r="AW5173" s="28" t="n">
        <f aca="false">AV5173*$M5173</f>
        <v>0</v>
      </c>
      <c r="AX5173" s="28"/>
      <c r="AY5173" s="28" t="n">
        <f aca="false">AX5173*$M5173</f>
        <v>0</v>
      </c>
      <c r="AZ5173" s="30" t="n">
        <f aca="false">535959/100</f>
        <v>5359.59</v>
      </c>
      <c r="BA5173" s="11" t="n">
        <v>80482</v>
      </c>
      <c r="BB5173" s="31" t="n">
        <f aca="false">SUM(Q5173,S5173,U5173,W5173,Y5173,AA5173,AC5173,AE5173,AG5173,AI5173,AK5173,AM5173,AO5173,AQ5173,AS5173,AU5173,AW5173,AY5173)</f>
        <v>80482</v>
      </c>
      <c r="BC5173" s="28" t="n">
        <f aca="false">BA5173-BB5173</f>
        <v>0</v>
      </c>
      <c r="BD5173" s="32" t="n">
        <f aca="false">SUM(P5173,R5173,T5173,V5173,X5173,Z5173,AB5173,AD5173,AF5173,AH5173,AJ5173,AL5173,AN5173,AP5173,AR5173,AT5173,AV5173,AX5173)</f>
        <v>5365.43</v>
      </c>
      <c r="BE5173" s="33" t="n">
        <f aca="false">AZ5173-BD5173</f>
        <v>-5.84000000000015</v>
      </c>
      <c r="BF5173" s="34" t="n">
        <f aca="false">BD5173*M5173</f>
        <v>80481.45</v>
      </c>
      <c r="BG5173" s="35" t="n">
        <f aca="false">BA5173-BF5173</f>
        <v>0.549999999988359</v>
      </c>
      <c r="BH5173" s="19" t="str">
        <f aca="false">IF(BG5173=0,"",IF(BG5173&lt;&gt;BA5173,"erreur de calcul",IF(BD5173&lt;&gt;0,"pas de prix",IF(M5173&lt;&gt; 0,"pas de quantité","pas de prix, ni de quantité"))))</f>
        <v>erreur de calcul</v>
      </c>
      <c r="BI5173" s="19"/>
    </row>
    <row r="5174" customFormat="false" ht="15" hidden="false" customHeight="false" outlineLevel="0" collapsed="false">
      <c r="A5174" s="0" t="n">
        <v>12</v>
      </c>
      <c r="B5174" s="8" t="s">
        <v>24</v>
      </c>
      <c r="C5174" s="9" t="s">
        <v>25</v>
      </c>
      <c r="D5174" s="9" t="s">
        <v>26</v>
      </c>
      <c r="E5174" s="10" t="n">
        <v>1789</v>
      </c>
      <c r="F5174" s="9" t="s">
        <v>27</v>
      </c>
      <c r="G5174" s="9" t="s">
        <v>27</v>
      </c>
      <c r="H5174" s="11" t="n">
        <v>25</v>
      </c>
      <c r="I5174" s="11" t="s">
        <v>341</v>
      </c>
      <c r="J5174" s="14" t="n">
        <v>75</v>
      </c>
      <c r="K5174" s="14"/>
      <c r="L5174" s="16"/>
      <c r="M5174" s="27" t="n">
        <f aca="false">J5174+(K5174/20)+(L5174/240)</f>
        <v>75</v>
      </c>
      <c r="N5174" s="17" t="s">
        <v>85</v>
      </c>
      <c r="O5174" s="11"/>
      <c r="P5174" s="28"/>
      <c r="Q5174" s="28" t="n">
        <f aca="false">P5174*$M5174</f>
        <v>0</v>
      </c>
      <c r="R5174" s="28"/>
      <c r="S5174" s="28" t="n">
        <f aca="false">R5174*$M5174</f>
        <v>0</v>
      </c>
      <c r="T5174" s="28"/>
      <c r="U5174" s="28" t="n">
        <f aca="false">T5174*$M5174</f>
        <v>0</v>
      </c>
      <c r="V5174" s="28"/>
      <c r="W5174" s="28" t="n">
        <f aca="false">V5174*$M5174</f>
        <v>0</v>
      </c>
      <c r="X5174" s="28"/>
      <c r="Y5174" s="28" t="n">
        <f aca="false">X5174*$M5174</f>
        <v>0</v>
      </c>
      <c r="Z5174" s="28"/>
      <c r="AA5174" s="28" t="n">
        <f aca="false">Z5174*$M5174</f>
        <v>0</v>
      </c>
      <c r="AB5174" s="28"/>
      <c r="AC5174" s="28" t="n">
        <f aca="false">AB5174*$M5174</f>
        <v>0</v>
      </c>
      <c r="AD5174" s="28"/>
      <c r="AE5174" s="28" t="n">
        <f aca="false">AD5174*$M5174</f>
        <v>0</v>
      </c>
      <c r="AF5174" s="28"/>
      <c r="AG5174" s="28" t="n">
        <f aca="false">AF5174*$M5174</f>
        <v>0</v>
      </c>
      <c r="AH5174" s="28"/>
      <c r="AI5174" s="28" t="n">
        <f aca="false">AH5174*$M5174</f>
        <v>0</v>
      </c>
      <c r="AJ5174" s="28"/>
      <c r="AK5174" s="28" t="n">
        <f aca="false">AJ5174*$M5174</f>
        <v>0</v>
      </c>
      <c r="AL5174" s="28" t="n">
        <f aca="false">2584/100</f>
        <v>25.84</v>
      </c>
      <c r="AM5174" s="28" t="n">
        <v>1938</v>
      </c>
      <c r="AN5174" s="28"/>
      <c r="AO5174" s="28" t="n">
        <f aca="false">AN5174*$M5174</f>
        <v>0</v>
      </c>
      <c r="AP5174" s="28"/>
      <c r="AQ5174" s="28" t="n">
        <f aca="false">AP5174*$M5174</f>
        <v>0</v>
      </c>
      <c r="AR5174" s="28"/>
      <c r="AS5174" s="28" t="n">
        <f aca="false">AR5174*$M5174</f>
        <v>0</v>
      </c>
      <c r="AT5174" s="28"/>
      <c r="AU5174" s="28" t="n">
        <f aca="false">AT5174*$M5174</f>
        <v>0</v>
      </c>
      <c r="AV5174" s="28"/>
      <c r="AW5174" s="28" t="n">
        <f aca="false">AV5174*$M5174</f>
        <v>0</v>
      </c>
      <c r="AX5174" s="28"/>
      <c r="AY5174" s="28" t="n">
        <f aca="false">AX5174*$M5174</f>
        <v>0</v>
      </c>
      <c r="AZ5174" s="30" t="n">
        <f aca="false">2584/100</f>
        <v>25.84</v>
      </c>
      <c r="BA5174" s="11" t="n">
        <v>1938</v>
      </c>
      <c r="BB5174" s="31" t="n">
        <f aca="false">SUM(Q5174,S5174,U5174,W5174,Y5174,AA5174,AC5174,AE5174,AG5174,AI5174,AK5174,AM5174,AO5174,AQ5174,AS5174,AU5174,AW5174,AY5174)</f>
        <v>1938</v>
      </c>
      <c r="BC5174" s="28" t="n">
        <f aca="false">BA5174-BB5174</f>
        <v>0</v>
      </c>
      <c r="BD5174" s="32" t="n">
        <f aca="false">SUM(P5174,R5174,T5174,V5174,X5174,Z5174,AB5174,AD5174,AF5174,AH5174,AJ5174,AL5174,AN5174,AP5174,AR5174,AT5174,AV5174,AX5174)</f>
        <v>25.84</v>
      </c>
      <c r="BE5174" s="33" t="n">
        <f aca="false">AZ5174-BD5174</f>
        <v>0</v>
      </c>
      <c r="BF5174" s="34" t="n">
        <f aca="false">BD5174*M5174</f>
        <v>1938</v>
      </c>
      <c r="BG5174" s="35" t="n">
        <f aca="false">BA5174-BF5174</f>
        <v>0</v>
      </c>
      <c r="BH5174" s="19" t="str">
        <f aca="false">IF(BG5174=0,"",IF(BG5174&lt;&gt;BA5174,"erreur de calcul",IF(BD5174&lt;&gt;0,"pas de prix",IF(M5174&lt;&gt; 0,"pas de quantité","pas de prix, ni de quantité"))))</f>
        <v/>
      </c>
      <c r="BI5174" s="19"/>
    </row>
    <row r="5175" customFormat="false" ht="15" hidden="false" customHeight="false" outlineLevel="0" collapsed="false">
      <c r="A5175" s="0" t="n">
        <v>13</v>
      </c>
      <c r="B5175" s="8" t="s">
        <v>24</v>
      </c>
      <c r="C5175" s="9" t="s">
        <v>25</v>
      </c>
      <c r="D5175" s="9" t="s">
        <v>26</v>
      </c>
      <c r="E5175" s="10" t="n">
        <v>1789</v>
      </c>
      <c r="F5175" s="9" t="s">
        <v>27</v>
      </c>
      <c r="G5175" s="9" t="s">
        <v>27</v>
      </c>
      <c r="H5175" s="11" t="n">
        <v>25</v>
      </c>
      <c r="I5175" s="11" t="s">
        <v>342</v>
      </c>
      <c r="J5175" s="14" t="n">
        <v>10</v>
      </c>
      <c r="K5175" s="14"/>
      <c r="L5175" s="16"/>
      <c r="M5175" s="27" t="n">
        <f aca="false">J5175+(K5175/20)+(L5175/240)</f>
        <v>10</v>
      </c>
      <c r="N5175" s="17" t="s">
        <v>66</v>
      </c>
      <c r="O5175" s="11"/>
      <c r="P5175" s="28"/>
      <c r="Q5175" s="28" t="n">
        <f aca="false">P5175*$M5175</f>
        <v>0</v>
      </c>
      <c r="R5175" s="28" t="n">
        <v>827</v>
      </c>
      <c r="S5175" s="28" t="n">
        <v>8270</v>
      </c>
      <c r="T5175" s="28"/>
      <c r="U5175" s="28" t="n">
        <f aca="false">T5175*$M5175</f>
        <v>0</v>
      </c>
      <c r="V5175" s="28"/>
      <c r="W5175" s="28" t="n">
        <f aca="false">V5175*$M5175</f>
        <v>0</v>
      </c>
      <c r="X5175" s="28"/>
      <c r="Y5175" s="28" t="n">
        <f aca="false">X5175*$M5175</f>
        <v>0</v>
      </c>
      <c r="Z5175" s="28"/>
      <c r="AA5175" s="28" t="n">
        <f aca="false">Z5175*$M5175</f>
        <v>0</v>
      </c>
      <c r="AB5175" s="28"/>
      <c r="AC5175" s="28" t="n">
        <f aca="false">AB5175*$M5175</f>
        <v>0</v>
      </c>
      <c r="AD5175" s="28"/>
      <c r="AE5175" s="28" t="n">
        <f aca="false">AD5175*$M5175</f>
        <v>0</v>
      </c>
      <c r="AF5175" s="28"/>
      <c r="AG5175" s="28" t="n">
        <f aca="false">AF5175*$M5175</f>
        <v>0</v>
      </c>
      <c r="AH5175" s="28"/>
      <c r="AI5175" s="28" t="n">
        <f aca="false">AH5175*$M5175</f>
        <v>0</v>
      </c>
      <c r="AJ5175" s="28"/>
      <c r="AK5175" s="28" t="n">
        <f aca="false">AJ5175*$M5175</f>
        <v>0</v>
      </c>
      <c r="AL5175" s="28"/>
      <c r="AM5175" s="28" t="n">
        <f aca="false">AL5175*$M5175</f>
        <v>0</v>
      </c>
      <c r="AN5175" s="28"/>
      <c r="AO5175" s="28" t="n">
        <f aca="false">AN5175*$M5175</f>
        <v>0</v>
      </c>
      <c r="AP5175" s="28"/>
      <c r="AQ5175" s="28" t="n">
        <f aca="false">AP5175*$M5175</f>
        <v>0</v>
      </c>
      <c r="AR5175" s="28"/>
      <c r="AS5175" s="28" t="n">
        <f aca="false">AR5175*$M5175</f>
        <v>0</v>
      </c>
      <c r="AT5175" s="28"/>
      <c r="AU5175" s="28" t="n">
        <f aca="false">AT5175*$M5175</f>
        <v>0</v>
      </c>
      <c r="AV5175" s="28"/>
      <c r="AW5175" s="28" t="n">
        <f aca="false">AV5175*$M5175</f>
        <v>0</v>
      </c>
      <c r="AX5175" s="28"/>
      <c r="AY5175" s="28" t="n">
        <f aca="false">AX5175*$M5175</f>
        <v>0</v>
      </c>
      <c r="AZ5175" s="30" t="n">
        <v>827</v>
      </c>
      <c r="BA5175" s="11" t="n">
        <v>8270</v>
      </c>
      <c r="BB5175" s="31" t="n">
        <f aca="false">SUM(Q5175,S5175,U5175,W5175,Y5175,AA5175,AC5175,AE5175,AG5175,AI5175,AK5175,AM5175,AO5175,AQ5175,AS5175,AU5175,AW5175,AY5175)</f>
        <v>8270</v>
      </c>
      <c r="BC5175" s="28" t="n">
        <f aca="false">BA5175-BB5175</f>
        <v>0</v>
      </c>
      <c r="BD5175" s="32" t="n">
        <f aca="false">SUM(P5175,R5175,T5175,V5175,X5175,Z5175,AB5175,AD5175,AF5175,AH5175,AJ5175,AL5175,AN5175,AP5175,AR5175,AT5175,AV5175,AX5175)</f>
        <v>827</v>
      </c>
      <c r="BE5175" s="33" t="n">
        <f aca="false">AZ5175-BD5175</f>
        <v>0</v>
      </c>
      <c r="BF5175" s="34" t="n">
        <f aca="false">BD5175*M5175</f>
        <v>8270</v>
      </c>
      <c r="BG5175" s="35" t="n">
        <f aca="false">BA5175-BF5175</f>
        <v>0</v>
      </c>
      <c r="BH5175" s="19" t="str">
        <f aca="false">IF(BG5175=0,"",IF(BG5175&lt;&gt;BA5175,"erreur de calcul",IF(BD5175&lt;&gt;0,"pas de prix",IF(M5175&lt;&gt; 0,"pas de quantité","pas de prix, ni de quantité"))))</f>
        <v/>
      </c>
      <c r="BI5175" s="19"/>
    </row>
    <row r="5176" customFormat="false" ht="15" hidden="false" customHeight="false" outlineLevel="0" collapsed="false">
      <c r="A5176" s="0" t="n">
        <v>14</v>
      </c>
      <c r="B5176" s="8" t="s">
        <v>24</v>
      </c>
      <c r="C5176" s="9" t="s">
        <v>25</v>
      </c>
      <c r="D5176" s="9" t="s">
        <v>26</v>
      </c>
      <c r="E5176" s="10" t="n">
        <v>1789</v>
      </c>
      <c r="F5176" s="9" t="s">
        <v>27</v>
      </c>
      <c r="G5176" s="9" t="s">
        <v>27</v>
      </c>
      <c r="H5176" s="11" t="n">
        <v>25</v>
      </c>
      <c r="I5176" s="11" t="s">
        <v>343</v>
      </c>
      <c r="J5176" s="14" t="n">
        <v>4</v>
      </c>
      <c r="K5176" s="14"/>
      <c r="L5176" s="16"/>
      <c r="M5176" s="27" t="n">
        <f aca="false">J5176+(K5176/20)+(L5176/240)</f>
        <v>4</v>
      </c>
      <c r="N5176" s="17" t="s">
        <v>69</v>
      </c>
      <c r="O5176" s="11"/>
      <c r="P5176" s="28"/>
      <c r="Q5176" s="28" t="n">
        <f aca="false">P5176*$M5176</f>
        <v>0</v>
      </c>
      <c r="R5176" s="28"/>
      <c r="S5176" s="28" t="n">
        <f aca="false">R5176*$M5176</f>
        <v>0</v>
      </c>
      <c r="T5176" s="28"/>
      <c r="U5176" s="28" t="n">
        <f aca="false">T5176*$M5176</f>
        <v>0</v>
      </c>
      <c r="V5176" s="28" t="n">
        <v>2198</v>
      </c>
      <c r="W5176" s="28" t="n">
        <v>8792</v>
      </c>
      <c r="X5176" s="28"/>
      <c r="Y5176" s="28" t="n">
        <f aca="false">X5176*$M5176</f>
        <v>0</v>
      </c>
      <c r="Z5176" s="28"/>
      <c r="AA5176" s="28" t="n">
        <f aca="false">Z5176*$M5176</f>
        <v>0</v>
      </c>
      <c r="AB5176" s="28"/>
      <c r="AC5176" s="28" t="n">
        <f aca="false">AB5176*$M5176</f>
        <v>0</v>
      </c>
      <c r="AD5176" s="28"/>
      <c r="AE5176" s="28" t="n">
        <f aca="false">AD5176*$M5176</f>
        <v>0</v>
      </c>
      <c r="AF5176" s="28"/>
      <c r="AG5176" s="28" t="n">
        <f aca="false">AF5176*$M5176</f>
        <v>0</v>
      </c>
      <c r="AH5176" s="28"/>
      <c r="AI5176" s="28" t="n">
        <f aca="false">AH5176*$M5176</f>
        <v>0</v>
      </c>
      <c r="AJ5176" s="28"/>
      <c r="AK5176" s="28" t="n">
        <f aca="false">AJ5176*$M5176</f>
        <v>0</v>
      </c>
      <c r="AL5176" s="28"/>
      <c r="AM5176" s="28" t="n">
        <f aca="false">AL5176*$M5176</f>
        <v>0</v>
      </c>
      <c r="AN5176" s="28"/>
      <c r="AO5176" s="28" t="n">
        <f aca="false">AN5176*$M5176</f>
        <v>0</v>
      </c>
      <c r="AP5176" s="28"/>
      <c r="AQ5176" s="28" t="n">
        <f aca="false">AP5176*$M5176</f>
        <v>0</v>
      </c>
      <c r="AR5176" s="28"/>
      <c r="AS5176" s="28" t="n">
        <f aca="false">AR5176*$M5176</f>
        <v>0</v>
      </c>
      <c r="AT5176" s="28"/>
      <c r="AU5176" s="28" t="n">
        <f aca="false">AT5176*$M5176</f>
        <v>0</v>
      </c>
      <c r="AV5176" s="28"/>
      <c r="AW5176" s="28" t="n">
        <f aca="false">AV5176*$M5176</f>
        <v>0</v>
      </c>
      <c r="AX5176" s="28"/>
      <c r="AY5176" s="28" t="n">
        <f aca="false">AX5176*$M5176</f>
        <v>0</v>
      </c>
      <c r="AZ5176" s="30" t="n">
        <v>2198</v>
      </c>
      <c r="BA5176" s="11" t="n">
        <v>8792</v>
      </c>
      <c r="BB5176" s="31" t="n">
        <f aca="false">SUM(Q5176,S5176,U5176,W5176,Y5176,AA5176,AC5176,AE5176,AG5176,AI5176,AK5176,AM5176,AO5176,AQ5176,AS5176,AU5176,AW5176,AY5176)</f>
        <v>8792</v>
      </c>
      <c r="BC5176" s="28" t="n">
        <f aca="false">BA5176-BB5176</f>
        <v>0</v>
      </c>
      <c r="BD5176" s="32" t="n">
        <f aca="false">SUM(P5176,R5176,T5176,V5176,X5176,Z5176,AB5176,AD5176,AF5176,AH5176,AJ5176,AL5176,AN5176,AP5176,AR5176,AT5176,AV5176,AX5176)</f>
        <v>2198</v>
      </c>
      <c r="BE5176" s="33" t="n">
        <f aca="false">AZ5176-BD5176</f>
        <v>0</v>
      </c>
      <c r="BF5176" s="34" t="n">
        <f aca="false">BD5176*M5176</f>
        <v>8792</v>
      </c>
      <c r="BG5176" s="35" t="n">
        <f aca="false">BA5176-BF5176</f>
        <v>0</v>
      </c>
      <c r="BH5176" s="19" t="str">
        <f aca="false">IF(BG5176=0,"",IF(BG5176&lt;&gt;BA5176,"erreur de calcul",IF(BD5176&lt;&gt;0,"pas de prix",IF(M5176&lt;&gt; 0,"pas de quantité","pas de prix, ni de quantité"))))</f>
        <v/>
      </c>
      <c r="BI5176" s="19"/>
    </row>
    <row r="5177" customFormat="false" ht="15" hidden="false" customHeight="false" outlineLevel="0" collapsed="false">
      <c r="A5177" s="0" t="n">
        <v>15</v>
      </c>
      <c r="B5177" s="8" t="s">
        <v>24</v>
      </c>
      <c r="C5177" s="9" t="s">
        <v>25</v>
      </c>
      <c r="D5177" s="9" t="s">
        <v>26</v>
      </c>
      <c r="E5177" s="10" t="n">
        <v>1789</v>
      </c>
      <c r="F5177" s="9" t="s">
        <v>27</v>
      </c>
      <c r="G5177" s="9" t="s">
        <v>27</v>
      </c>
      <c r="H5177" s="11" t="n">
        <v>25</v>
      </c>
      <c r="I5177" s="11" t="s">
        <v>344</v>
      </c>
      <c r="J5177" s="14" t="n">
        <v>2000</v>
      </c>
      <c r="K5177" s="14"/>
      <c r="L5177" s="16"/>
      <c r="M5177" s="27" t="n">
        <f aca="false">J5177+(K5177/20)+(L5177/240)</f>
        <v>2000</v>
      </c>
      <c r="N5177" s="17" t="s">
        <v>64</v>
      </c>
      <c r="O5177" s="11" t="s">
        <v>277</v>
      </c>
      <c r="P5177" s="28"/>
      <c r="Q5177" s="28" t="n">
        <f aca="false">P5177*$M5177</f>
        <v>0</v>
      </c>
      <c r="R5177" s="28"/>
      <c r="S5177" s="28" t="n">
        <f aca="false">R5177*$M5177</f>
        <v>0</v>
      </c>
      <c r="T5177" s="28"/>
      <c r="U5177" s="28" t="n">
        <f aca="false">T5177*$M5177</f>
        <v>0</v>
      </c>
      <c r="V5177" s="28"/>
      <c r="W5177" s="28" t="n">
        <f aca="false">V5177*$M5177</f>
        <v>0</v>
      </c>
      <c r="X5177" s="28"/>
      <c r="Y5177" s="28" t="n">
        <f aca="false">X5177*$M5177</f>
        <v>0</v>
      </c>
      <c r="Z5177" s="28"/>
      <c r="AA5177" s="28" t="n">
        <f aca="false">Z5177*$M5177</f>
        <v>0</v>
      </c>
      <c r="AB5177" s="28"/>
      <c r="AC5177" s="28" t="n">
        <f aca="false">AB5177*$M5177</f>
        <v>0</v>
      </c>
      <c r="AD5177" s="28"/>
      <c r="AE5177" s="28" t="n">
        <f aca="false">AD5177*$M5177</f>
        <v>0</v>
      </c>
      <c r="AF5177" s="28"/>
      <c r="AG5177" s="28" t="n">
        <f aca="false">AF5177*$M5177</f>
        <v>0</v>
      </c>
      <c r="AH5177" s="28"/>
      <c r="AI5177" s="28" t="n">
        <f aca="false">AH5177*$M5177</f>
        <v>0</v>
      </c>
      <c r="AJ5177" s="28"/>
      <c r="AK5177" s="28" t="n">
        <f aca="false">AJ5177*$M5177</f>
        <v>0</v>
      </c>
      <c r="AL5177" s="28"/>
      <c r="AM5177" s="28" t="n">
        <f aca="false">AL5177*$M5177</f>
        <v>0</v>
      </c>
      <c r="AN5177" s="28"/>
      <c r="AO5177" s="28" t="n">
        <f aca="false">AN5177*$M5177</f>
        <v>0</v>
      </c>
      <c r="AP5177" s="28"/>
      <c r="AQ5177" s="28" t="n">
        <f aca="false">AP5177*$M5177</f>
        <v>0</v>
      </c>
      <c r="AR5177" s="28"/>
      <c r="AS5177" s="28" t="n">
        <f aca="false">AR5177*$M5177</f>
        <v>0</v>
      </c>
      <c r="AT5177" s="28"/>
      <c r="AU5177" s="28" t="n">
        <f aca="false">AT5177*$M5177</f>
        <v>0</v>
      </c>
      <c r="AV5177" s="28"/>
      <c r="AW5177" s="28" t="n">
        <f aca="false">AV5177*$M5177</f>
        <v>0</v>
      </c>
      <c r="AX5177" s="28"/>
      <c r="AY5177" s="28" t="n">
        <f aca="false">AX5177*$M5177</f>
        <v>0</v>
      </c>
      <c r="AZ5177" s="30"/>
      <c r="BA5177" s="11"/>
      <c r="BB5177" s="31" t="n">
        <f aca="false">SUM(Q5177,S5177,U5177,W5177,Y5177,AA5177,AC5177,AE5177,AG5177,AI5177,AK5177,AM5177,AO5177,AQ5177,AS5177,AU5177,AW5177,AY5177)</f>
        <v>0</v>
      </c>
      <c r="BC5177" s="28" t="n">
        <f aca="false">BA5177-BB5177</f>
        <v>0</v>
      </c>
      <c r="BD5177" s="32" t="n">
        <f aca="false">SUM(P5177,R5177,T5177,V5177,X5177,Z5177,AB5177,AD5177,AF5177,AH5177,AJ5177,AL5177,AN5177,AP5177,AR5177,AT5177,AV5177,AX5177)</f>
        <v>0</v>
      </c>
      <c r="BE5177" s="33" t="n">
        <f aca="false">AZ5177-BD5177</f>
        <v>0</v>
      </c>
      <c r="BF5177" s="34" t="n">
        <f aca="false">BD5177*M5177</f>
        <v>0</v>
      </c>
      <c r="BG5177" s="35" t="n">
        <f aca="false">BA5177-BF5177</f>
        <v>0</v>
      </c>
      <c r="BH5177" s="19" t="str">
        <f aca="false">IF(BG5177=0,"",IF(BG5177&lt;&gt;BA5177,"erreur de calcul",IF(BD5177&lt;&gt;0,"pas de prix",IF(M5177&lt;&gt; 0,"pas de quantité","pas de prix, ni de quantité"))))</f>
        <v/>
      </c>
      <c r="BI5177" s="19"/>
    </row>
    <row r="5178" customFormat="false" ht="15" hidden="false" customHeight="false" outlineLevel="0" collapsed="false">
      <c r="A5178" s="0" t="n">
        <v>16</v>
      </c>
      <c r="B5178" s="8" t="s">
        <v>24</v>
      </c>
      <c r="C5178" s="9" t="s">
        <v>25</v>
      </c>
      <c r="D5178" s="9" t="s">
        <v>26</v>
      </c>
      <c r="E5178" s="10" t="n">
        <v>1789</v>
      </c>
      <c r="F5178" s="9" t="s">
        <v>27</v>
      </c>
      <c r="G5178" s="9" t="s">
        <v>27</v>
      </c>
      <c r="H5178" s="11" t="n">
        <v>25</v>
      </c>
      <c r="I5178" s="11" t="s">
        <v>344</v>
      </c>
      <c r="J5178" s="14" t="n">
        <v>2000</v>
      </c>
      <c r="K5178" s="14"/>
      <c r="L5178" s="16"/>
      <c r="M5178" s="27" t="n">
        <f aca="false">J5178+(K5178/20)+(L5178/240)</f>
        <v>2000</v>
      </c>
      <c r="N5178" s="17" t="s">
        <v>64</v>
      </c>
      <c r="O5178" s="11" t="s">
        <v>98</v>
      </c>
      <c r="P5178" s="28"/>
      <c r="Q5178" s="28" t="n">
        <f aca="false">P5178*$M5178</f>
        <v>0</v>
      </c>
      <c r="R5178" s="28"/>
      <c r="S5178" s="28" t="n">
        <f aca="false">R5178*$M5178</f>
        <v>0</v>
      </c>
      <c r="T5178" s="28"/>
      <c r="U5178" s="28" t="n">
        <f aca="false">T5178*$M5178</f>
        <v>0</v>
      </c>
      <c r="V5178" s="28"/>
      <c r="W5178" s="28" t="n">
        <f aca="false">V5178*$M5178</f>
        <v>0</v>
      </c>
      <c r="X5178" s="28" t="n">
        <f aca="false">607/100</f>
        <v>6.07</v>
      </c>
      <c r="Y5178" s="28" t="n">
        <f aca="false">X5178*$M5178</f>
        <v>12140</v>
      </c>
      <c r="Z5178" s="28"/>
      <c r="AA5178" s="28" t="n">
        <f aca="false">Z5178*$M5178</f>
        <v>0</v>
      </c>
      <c r="AB5178" s="28"/>
      <c r="AC5178" s="28" t="n">
        <f aca="false">AB5178*$M5178</f>
        <v>0</v>
      </c>
      <c r="AD5178" s="28"/>
      <c r="AE5178" s="28" t="n">
        <f aca="false">AD5178*$M5178</f>
        <v>0</v>
      </c>
      <c r="AF5178" s="28"/>
      <c r="AG5178" s="28" t="n">
        <f aca="false">AF5178*$M5178</f>
        <v>0</v>
      </c>
      <c r="AH5178" s="28"/>
      <c r="AI5178" s="28" t="n">
        <f aca="false">AH5178*$M5178</f>
        <v>0</v>
      </c>
      <c r="AJ5178" s="28"/>
      <c r="AK5178" s="28" t="n">
        <f aca="false">AJ5178*$M5178</f>
        <v>0</v>
      </c>
      <c r="AL5178" s="28" t="n">
        <f aca="false">145/100</f>
        <v>1.45</v>
      </c>
      <c r="AM5178" s="28" t="n">
        <f aca="false">AL5178*$M5178</f>
        <v>2900</v>
      </c>
      <c r="AN5178" s="28" t="n">
        <f aca="false">3865/100</f>
        <v>38.65</v>
      </c>
      <c r="AO5178" s="28" t="n">
        <v>77300</v>
      </c>
      <c r="AP5178" s="28"/>
      <c r="AQ5178" s="28" t="n">
        <f aca="false">AP5178*$M5178</f>
        <v>0</v>
      </c>
      <c r="AR5178" s="28"/>
      <c r="AS5178" s="28" t="n">
        <f aca="false">AR5178*$M5178</f>
        <v>0</v>
      </c>
      <c r="AT5178" s="28"/>
      <c r="AU5178" s="28" t="n">
        <f aca="false">AT5178*$M5178</f>
        <v>0</v>
      </c>
      <c r="AV5178" s="28"/>
      <c r="AW5178" s="28" t="n">
        <f aca="false">AV5178*$M5178</f>
        <v>0</v>
      </c>
      <c r="AX5178" s="28"/>
      <c r="AY5178" s="28" t="n">
        <f aca="false">AX5178*$M5178</f>
        <v>0</v>
      </c>
      <c r="AZ5178" s="30" t="n">
        <f aca="false">4617/100</f>
        <v>46.17</v>
      </c>
      <c r="BA5178" s="11" t="n">
        <v>92340</v>
      </c>
      <c r="BB5178" s="31" t="n">
        <f aca="false">SUM(Q5178,S5178,U5178,W5178,Y5178,AA5178,AC5178,AE5178,AG5178,AI5178,AK5178,AM5178,AO5178,AQ5178,AS5178,AU5178,AW5178,AY5178)</f>
        <v>92340</v>
      </c>
      <c r="BC5178" s="28" t="n">
        <f aca="false">BA5178-BB5178</f>
        <v>0</v>
      </c>
      <c r="BD5178" s="32" t="n">
        <f aca="false">SUM(P5178,R5178,T5178,V5178,X5178,Z5178,AB5178,AD5178,AF5178,AH5178,AJ5178,AL5178,AN5178,AP5178,AR5178,AT5178,AV5178,AX5178)</f>
        <v>46.17</v>
      </c>
      <c r="BE5178" s="33" t="n">
        <f aca="false">AZ5178-BD5178</f>
        <v>0</v>
      </c>
      <c r="BF5178" s="34" t="n">
        <f aca="false">BD5178*M5178</f>
        <v>92340</v>
      </c>
      <c r="BG5178" s="35" t="n">
        <f aca="false">BA5178-BF5178</f>
        <v>0</v>
      </c>
      <c r="BH5178" s="19" t="str">
        <f aca="false">IF(BG5178=0,"",IF(BG5178&lt;&gt;BA5178,"erreur de calcul",IF(BD5178&lt;&gt;0,"pas de prix",IF(M5178&lt;&gt; 0,"pas de quantité","pas de prix, ni de quantité"))))</f>
        <v/>
      </c>
      <c r="BI5178" s="19"/>
    </row>
    <row r="5179" customFormat="false" ht="15" hidden="false" customHeight="false" outlineLevel="0" collapsed="false">
      <c r="A5179" s="0" t="n">
        <v>17</v>
      </c>
      <c r="B5179" s="8" t="s">
        <v>24</v>
      </c>
      <c r="C5179" s="9" t="s">
        <v>25</v>
      </c>
      <c r="D5179" s="9" t="s">
        <v>26</v>
      </c>
      <c r="E5179" s="10" t="n">
        <v>1789</v>
      </c>
      <c r="F5179" s="9" t="s">
        <v>27</v>
      </c>
      <c r="G5179" s="9" t="s">
        <v>27</v>
      </c>
      <c r="H5179" s="11" t="n">
        <v>25</v>
      </c>
      <c r="I5179" s="11" t="s">
        <v>345</v>
      </c>
      <c r="J5179" s="14"/>
      <c r="K5179" s="14" t="n">
        <v>12</v>
      </c>
      <c r="L5179" s="16"/>
      <c r="M5179" s="27" t="n">
        <f aca="false">J5179+(K5179/20)+(L5179/240)</f>
        <v>0.6</v>
      </c>
      <c r="N5179" s="17" t="s">
        <v>66</v>
      </c>
      <c r="O5179" s="11"/>
      <c r="P5179" s="28"/>
      <c r="Q5179" s="28" t="n">
        <f aca="false">P5179*$M5179</f>
        <v>0</v>
      </c>
      <c r="R5179" s="28"/>
      <c r="S5179" s="28" t="n">
        <f aca="false">R5179*$M5179</f>
        <v>0</v>
      </c>
      <c r="T5179" s="28"/>
      <c r="U5179" s="28" t="n">
        <f aca="false">T5179*$M5179</f>
        <v>0</v>
      </c>
      <c r="V5179" s="28"/>
      <c r="W5179" s="28" t="n">
        <f aca="false">V5179*$M5179</f>
        <v>0</v>
      </c>
      <c r="X5179" s="28"/>
      <c r="Y5179" s="28" t="n">
        <f aca="false">X5179*$M5179</f>
        <v>0</v>
      </c>
      <c r="Z5179" s="28"/>
      <c r="AA5179" s="28" t="n">
        <f aca="false">Z5179*$M5179</f>
        <v>0</v>
      </c>
      <c r="AB5179" s="28"/>
      <c r="AC5179" s="28" t="n">
        <f aca="false">AB5179*$M5179</f>
        <v>0</v>
      </c>
      <c r="AD5179" s="28"/>
      <c r="AE5179" s="28" t="n">
        <f aca="false">AD5179*$M5179</f>
        <v>0</v>
      </c>
      <c r="AF5179" s="28"/>
      <c r="AG5179" s="28" t="n">
        <f aca="false">AF5179*$M5179</f>
        <v>0</v>
      </c>
      <c r="AH5179" s="28"/>
      <c r="AI5179" s="28" t="n">
        <f aca="false">AH5179*$M5179</f>
        <v>0</v>
      </c>
      <c r="AJ5179" s="28" t="n">
        <v>41194</v>
      </c>
      <c r="AK5179" s="28" t="n">
        <v>24716</v>
      </c>
      <c r="AL5179" s="28"/>
      <c r="AM5179" s="28" t="n">
        <f aca="false">AL5179*$M5179</f>
        <v>0</v>
      </c>
      <c r="AN5179" s="28"/>
      <c r="AO5179" s="28" t="n">
        <f aca="false">AN5179*$M5179</f>
        <v>0</v>
      </c>
      <c r="AP5179" s="28"/>
      <c r="AQ5179" s="28" t="n">
        <f aca="false">AP5179*$M5179</f>
        <v>0</v>
      </c>
      <c r="AR5179" s="28"/>
      <c r="AS5179" s="28" t="n">
        <f aca="false">AR5179*$M5179</f>
        <v>0</v>
      </c>
      <c r="AT5179" s="28"/>
      <c r="AU5179" s="28" t="n">
        <f aca="false">AT5179*$M5179</f>
        <v>0</v>
      </c>
      <c r="AV5179" s="28"/>
      <c r="AW5179" s="28" t="n">
        <f aca="false">AV5179*$M5179</f>
        <v>0</v>
      </c>
      <c r="AX5179" s="28"/>
      <c r="AY5179" s="28" t="n">
        <f aca="false">AX5179*$M5179</f>
        <v>0</v>
      </c>
      <c r="AZ5179" s="30" t="n">
        <v>41194</v>
      </c>
      <c r="BA5179" s="11" t="n">
        <v>24716</v>
      </c>
      <c r="BB5179" s="31" t="n">
        <f aca="false">SUM(Q5179,S5179,U5179,W5179,Y5179,AA5179,AC5179,AE5179,AG5179,AI5179,AK5179,AM5179,AO5179,AQ5179,AS5179,AU5179,AW5179,AY5179)</f>
        <v>24716</v>
      </c>
      <c r="BC5179" s="28" t="n">
        <f aca="false">BA5179-BB5179</f>
        <v>0</v>
      </c>
      <c r="BD5179" s="32" t="n">
        <f aca="false">SUM(P5179,R5179,T5179,V5179,X5179,Z5179,AB5179,AD5179,AF5179,AH5179,AJ5179,AL5179,AN5179,AP5179,AR5179,AT5179,AV5179,AX5179)</f>
        <v>41194</v>
      </c>
      <c r="BE5179" s="33" t="n">
        <f aca="false">AZ5179-BD5179</f>
        <v>0</v>
      </c>
      <c r="BF5179" s="34" t="n">
        <f aca="false">BD5179*M5179</f>
        <v>24716.4</v>
      </c>
      <c r="BG5179" s="35" t="n">
        <f aca="false">BA5179-BF5179</f>
        <v>-0.399999999997817</v>
      </c>
      <c r="BH5179" s="19" t="str">
        <f aca="false">IF(BG5179=0,"",IF(BG5179&lt;&gt;BA5179,"erreur de calcul",IF(BD5179&lt;&gt;0,"pas de prix",IF(M5179&lt;&gt; 0,"pas de quantité","pas de prix, ni de quantité"))))</f>
        <v>erreur de calcul</v>
      </c>
      <c r="BI5179" s="19"/>
    </row>
    <row r="5180" customFormat="false" ht="15" hidden="false" customHeight="false" outlineLevel="0" collapsed="false">
      <c r="A5180" s="0" t="n">
        <v>18</v>
      </c>
      <c r="B5180" s="8" t="s">
        <v>24</v>
      </c>
      <c r="C5180" s="9" t="s">
        <v>25</v>
      </c>
      <c r="D5180" s="9" t="s">
        <v>26</v>
      </c>
      <c r="E5180" s="10" t="n">
        <v>1789</v>
      </c>
      <c r="F5180" s="9" t="s">
        <v>27</v>
      </c>
      <c r="G5180" s="9" t="s">
        <v>27</v>
      </c>
      <c r="H5180" s="11" t="n">
        <v>25</v>
      </c>
      <c r="I5180" s="11" t="s">
        <v>346</v>
      </c>
      <c r="J5180" s="14"/>
      <c r="K5180" s="14" t="n">
        <v>50</v>
      </c>
      <c r="L5180" s="16"/>
      <c r="M5180" s="27" t="n">
        <f aca="false">J5180+(K5180/20)+(L5180/240)</f>
        <v>2.5</v>
      </c>
      <c r="N5180" s="17" t="s">
        <v>85</v>
      </c>
      <c r="O5180" s="11"/>
      <c r="P5180" s="28" t="n">
        <f aca="false">371167/100</f>
        <v>3711.67</v>
      </c>
      <c r="Q5180" s="28" t="n">
        <v>9279</v>
      </c>
      <c r="R5180" s="28"/>
      <c r="S5180" s="28" t="n">
        <f aca="false">R5180*$M5180</f>
        <v>0</v>
      </c>
      <c r="T5180" s="28"/>
      <c r="U5180" s="28" t="n">
        <f aca="false">T5180*$M5180</f>
        <v>0</v>
      </c>
      <c r="V5180" s="28"/>
      <c r="W5180" s="28" t="n">
        <f aca="false">V5180*$M5180</f>
        <v>0</v>
      </c>
      <c r="X5180" s="28"/>
      <c r="Y5180" s="28" t="n">
        <f aca="false">X5180*$M5180</f>
        <v>0</v>
      </c>
      <c r="Z5180" s="28"/>
      <c r="AA5180" s="28" t="n">
        <f aca="false">Z5180*$M5180</f>
        <v>0</v>
      </c>
      <c r="AB5180" s="28"/>
      <c r="AC5180" s="28" t="n">
        <f aca="false">AB5180*$M5180</f>
        <v>0</v>
      </c>
      <c r="AD5180" s="28"/>
      <c r="AE5180" s="28" t="n">
        <f aca="false">AD5180*$M5180</f>
        <v>0</v>
      </c>
      <c r="AF5180" s="28"/>
      <c r="AG5180" s="28" t="n">
        <f aca="false">AF5180*$M5180</f>
        <v>0</v>
      </c>
      <c r="AH5180" s="28"/>
      <c r="AI5180" s="28" t="n">
        <f aca="false">AH5180*$M5180</f>
        <v>0</v>
      </c>
      <c r="AJ5180" s="28"/>
      <c r="AK5180" s="28" t="n">
        <f aca="false">AJ5180*$M5180</f>
        <v>0</v>
      </c>
      <c r="AL5180" s="28"/>
      <c r="AM5180" s="28" t="n">
        <f aca="false">AL5180*$M5180</f>
        <v>0</v>
      </c>
      <c r="AN5180" s="28"/>
      <c r="AO5180" s="28" t="n">
        <f aca="false">AN5180*$M5180</f>
        <v>0</v>
      </c>
      <c r="AP5180" s="28"/>
      <c r="AQ5180" s="28" t="n">
        <f aca="false">AP5180*$M5180</f>
        <v>0</v>
      </c>
      <c r="AR5180" s="28"/>
      <c r="AS5180" s="28" t="n">
        <f aca="false">AR5180*$M5180</f>
        <v>0</v>
      </c>
      <c r="AT5180" s="28"/>
      <c r="AU5180" s="28" t="n">
        <f aca="false">AT5180*$M5180</f>
        <v>0</v>
      </c>
      <c r="AV5180" s="28"/>
      <c r="AW5180" s="28" t="n">
        <f aca="false">AV5180*$M5180</f>
        <v>0</v>
      </c>
      <c r="AX5180" s="28"/>
      <c r="AY5180" s="28" t="n">
        <f aca="false">AX5180*$M5180</f>
        <v>0</v>
      </c>
      <c r="AZ5180" s="30" t="n">
        <f aca="false">371167/100</f>
        <v>3711.67</v>
      </c>
      <c r="BA5180" s="11" t="n">
        <v>9279</v>
      </c>
      <c r="BB5180" s="31" t="n">
        <f aca="false">SUM(Q5180,S5180,U5180,W5180,Y5180,AA5180,AC5180,AE5180,AG5180,AI5180,AK5180,AM5180,AO5180,AQ5180,AS5180,AU5180,AW5180,AY5180)</f>
        <v>9279</v>
      </c>
      <c r="BC5180" s="28" t="n">
        <f aca="false">BA5180-BB5180</f>
        <v>0</v>
      </c>
      <c r="BD5180" s="32" t="n">
        <f aca="false">SUM(P5180,R5180,T5180,V5180,X5180,Z5180,AB5180,AD5180,AF5180,AH5180,AJ5180,AL5180,AN5180,AP5180,AR5180,AT5180,AV5180,AX5180)</f>
        <v>3711.67</v>
      </c>
      <c r="BE5180" s="33" t="n">
        <f aca="false">AZ5180-BD5180</f>
        <v>0</v>
      </c>
      <c r="BF5180" s="34" t="n">
        <f aca="false">BD5180*M5180</f>
        <v>9279.175</v>
      </c>
      <c r="BG5180" s="35" t="n">
        <f aca="false">BA5180-BF5180</f>
        <v>-0.174999999999272</v>
      </c>
      <c r="BH5180" s="19" t="str">
        <f aca="false">IF(BG5180=0,"",IF(BG5180&lt;&gt;BA5180,"erreur de calcul",IF(BD5180&lt;&gt;0,"pas de prix",IF(M5180&lt;&gt; 0,"pas de quantité","pas de prix, ni de quantité"))))</f>
        <v>erreur de calcul</v>
      </c>
      <c r="BI5180" s="19"/>
    </row>
    <row r="5181" customFormat="false" ht="16.65" hidden="false" customHeight="false" outlineLevel="0" collapsed="false">
      <c r="A5181" s="0" t="n">
        <v>19</v>
      </c>
      <c r="B5181" s="8" t="s">
        <v>24</v>
      </c>
      <c r="C5181" s="9" t="s">
        <v>25</v>
      </c>
      <c r="D5181" s="9" t="s">
        <v>26</v>
      </c>
      <c r="E5181" s="10" t="n">
        <v>1789</v>
      </c>
      <c r="F5181" s="9" t="s">
        <v>27</v>
      </c>
      <c r="G5181" s="9" t="s">
        <v>27</v>
      </c>
      <c r="H5181" s="11" t="n">
        <v>25</v>
      </c>
      <c r="I5181" s="11" t="s">
        <v>347</v>
      </c>
      <c r="J5181" s="14" t="n">
        <v>60</v>
      </c>
      <c r="K5181" s="14"/>
      <c r="L5181" s="16"/>
      <c r="M5181" s="27" t="n">
        <f aca="false">J5181+(K5181/20)+(L5181/240)</f>
        <v>60</v>
      </c>
      <c r="N5181" s="17" t="s">
        <v>64</v>
      </c>
      <c r="O5181" s="11"/>
      <c r="P5181" s="28"/>
      <c r="Q5181" s="28" t="n">
        <f aca="false">P5181*$M5181</f>
        <v>0</v>
      </c>
      <c r="R5181" s="28"/>
      <c r="S5181" s="28" t="n">
        <f aca="false">R5181*$M5181</f>
        <v>0</v>
      </c>
      <c r="T5181" s="28"/>
      <c r="U5181" s="28" t="n">
        <f aca="false">T5181*$M5181</f>
        <v>0</v>
      </c>
      <c r="V5181" s="28" t="n">
        <f aca="false">4151/100</f>
        <v>41.51</v>
      </c>
      <c r="W5181" s="28" t="n">
        <v>2491</v>
      </c>
      <c r="X5181" s="28" t="n">
        <f aca="false">13344/100</f>
        <v>133.44</v>
      </c>
      <c r="Y5181" s="28" t="n">
        <v>8006</v>
      </c>
      <c r="Z5181" s="28" t="n">
        <f aca="false">3323/100</f>
        <v>33.23</v>
      </c>
      <c r="AA5181" s="28" t="n">
        <v>1994</v>
      </c>
      <c r="AB5181" s="28"/>
      <c r="AC5181" s="28" t="n">
        <f aca="false">AB5181*$M5181</f>
        <v>0</v>
      </c>
      <c r="AD5181" s="28" t="n">
        <f aca="false">15268/100</f>
        <v>152.68</v>
      </c>
      <c r="AE5181" s="28" t="n">
        <v>9161</v>
      </c>
      <c r="AF5181" s="28"/>
      <c r="AG5181" s="28" t="n">
        <f aca="false">AF5181*$M5181</f>
        <v>0</v>
      </c>
      <c r="AH5181" s="28"/>
      <c r="AI5181" s="28" t="n">
        <f aca="false">AH5181*$M5181</f>
        <v>0</v>
      </c>
      <c r="AJ5181" s="28"/>
      <c r="AK5181" s="28" t="n">
        <f aca="false">AJ5181*$M5181</f>
        <v>0</v>
      </c>
      <c r="AL5181" s="28"/>
      <c r="AM5181" s="28" t="n">
        <f aca="false">AL5181*$M5181</f>
        <v>0</v>
      </c>
      <c r="AN5181" s="28"/>
      <c r="AO5181" s="28" t="n">
        <f aca="false">AN5181*$M5181</f>
        <v>0</v>
      </c>
      <c r="AP5181" s="28"/>
      <c r="AQ5181" s="28" t="n">
        <f aca="false">AP5181*$M5181</f>
        <v>0</v>
      </c>
      <c r="AR5181" s="28"/>
      <c r="AS5181" s="28" t="n">
        <f aca="false">AR5181*$M5181</f>
        <v>0</v>
      </c>
      <c r="AT5181" s="28"/>
      <c r="AU5181" s="28" t="n">
        <f aca="false">AT5181*$M5181</f>
        <v>0</v>
      </c>
      <c r="AV5181" s="28"/>
      <c r="AW5181" s="28" t="n">
        <f aca="false">AV5181*$M5181</f>
        <v>0</v>
      </c>
      <c r="AX5181" s="28"/>
      <c r="AY5181" s="28" t="n">
        <f aca="false">AX5181*$M5181</f>
        <v>0</v>
      </c>
      <c r="AZ5181" s="30" t="n">
        <f aca="false">32763/100</f>
        <v>327.63</v>
      </c>
      <c r="BA5181" s="11" t="n">
        <v>21652</v>
      </c>
      <c r="BB5181" s="31" t="n">
        <f aca="false">SUM(Q5181,S5181,U5181,W5181,Y5181,AA5181,AC5181,AE5181,AG5181,AI5181,AK5181,AM5181,AO5181,AQ5181,AS5181,AU5181,AW5181,AY5181)</f>
        <v>21652</v>
      </c>
      <c r="BC5181" s="28" t="n">
        <f aca="false">BA5181-BB5181</f>
        <v>0</v>
      </c>
      <c r="BD5181" s="32" t="n">
        <f aca="false">SUM(P5181,R5181,T5181,V5181,X5181,Z5181,AB5181,AD5181,AF5181,AH5181,AJ5181,AL5181,AN5181,AP5181,AR5181,AT5181,AV5181,AX5181)</f>
        <v>360.86</v>
      </c>
      <c r="BE5181" s="33" t="n">
        <f aca="false">AZ5181-BD5181</f>
        <v>-33.23</v>
      </c>
      <c r="BF5181" s="34" t="n">
        <f aca="false">BD5181*M5181</f>
        <v>21651.6</v>
      </c>
      <c r="BG5181" s="35" t="n">
        <f aca="false">BA5181-BF5181</f>
        <v>0.399999999997817</v>
      </c>
      <c r="BH5181" s="19" t="str">
        <f aca="false">IF(BG5181=0,"",IF(BG5181&lt;&gt;BA5181,"erreur de calcul",IF(BD5181&lt;&gt;0,"pas de prix",IF(M5181&lt;&gt; 0,"pas de quantité","pas de prix, ni de quantité"))))</f>
        <v>erreur de calcul</v>
      </c>
      <c r="BI5181" s="19"/>
    </row>
    <row r="5182" customFormat="false" ht="15" hidden="false" customHeight="false" outlineLevel="0" collapsed="false">
      <c r="A5182" s="0" t="n">
        <v>20</v>
      </c>
      <c r="B5182" s="8" t="s">
        <v>24</v>
      </c>
      <c r="C5182" s="9" t="s">
        <v>25</v>
      </c>
      <c r="D5182" s="9" t="s">
        <v>26</v>
      </c>
      <c r="E5182" s="10" t="n">
        <v>1789</v>
      </c>
      <c r="F5182" s="9" t="s">
        <v>27</v>
      </c>
      <c r="G5182" s="9" t="s">
        <v>27</v>
      </c>
      <c r="H5182" s="11" t="n">
        <v>25</v>
      </c>
      <c r="I5182" s="11" t="s">
        <v>348</v>
      </c>
      <c r="J5182" s="14" t="n">
        <v>9</v>
      </c>
      <c r="K5182" s="14"/>
      <c r="L5182" s="16"/>
      <c r="M5182" s="27" t="n">
        <f aca="false">J5182+(K5182/20)+(L5182/240)</f>
        <v>9</v>
      </c>
      <c r="N5182" s="17" t="s">
        <v>349</v>
      </c>
      <c r="O5182" s="11"/>
      <c r="P5182" s="28"/>
      <c r="Q5182" s="28" t="n">
        <f aca="false">P5182*$M5182</f>
        <v>0</v>
      </c>
      <c r="R5182" s="28"/>
      <c r="S5182" s="28" t="n">
        <f aca="false">R5182*$M5182</f>
        <v>0</v>
      </c>
      <c r="T5182" s="28"/>
      <c r="U5182" s="28" t="n">
        <f aca="false">T5182*$M5182</f>
        <v>0</v>
      </c>
      <c r="V5182" s="28" t="n">
        <v>545</v>
      </c>
      <c r="W5182" s="28" t="n">
        <v>4905</v>
      </c>
      <c r="X5182" s="28"/>
      <c r="Y5182" s="28" t="n">
        <f aca="false">X5182*$M5182</f>
        <v>0</v>
      </c>
      <c r="Z5182" s="28"/>
      <c r="AA5182" s="28" t="n">
        <f aca="false">Z5182*$M5182</f>
        <v>0</v>
      </c>
      <c r="AB5182" s="28"/>
      <c r="AC5182" s="28" t="n">
        <f aca="false">AB5182*$M5182</f>
        <v>0</v>
      </c>
      <c r="AD5182" s="28"/>
      <c r="AE5182" s="28" t="n">
        <f aca="false">AD5182*$M5182</f>
        <v>0</v>
      </c>
      <c r="AF5182" s="28"/>
      <c r="AG5182" s="28" t="n">
        <f aca="false">AF5182*$M5182</f>
        <v>0</v>
      </c>
      <c r="AH5182" s="28"/>
      <c r="AI5182" s="28" t="n">
        <f aca="false">AH5182*$M5182</f>
        <v>0</v>
      </c>
      <c r="AJ5182" s="28" t="n">
        <v>592</v>
      </c>
      <c r="AK5182" s="28" t="n">
        <v>5328</v>
      </c>
      <c r="AL5182" s="28"/>
      <c r="AM5182" s="28" t="n">
        <f aca="false">AL5182*$M5182</f>
        <v>0</v>
      </c>
      <c r="AN5182" s="28"/>
      <c r="AO5182" s="28" t="n">
        <f aca="false">AN5182*$M5182</f>
        <v>0</v>
      </c>
      <c r="AP5182" s="28"/>
      <c r="AQ5182" s="28" t="n">
        <f aca="false">AP5182*$M5182</f>
        <v>0</v>
      </c>
      <c r="AR5182" s="28"/>
      <c r="AS5182" s="28" t="n">
        <f aca="false">AR5182*$M5182</f>
        <v>0</v>
      </c>
      <c r="AT5182" s="28"/>
      <c r="AU5182" s="28" t="n">
        <f aca="false">AT5182*$M5182</f>
        <v>0</v>
      </c>
      <c r="AV5182" s="28"/>
      <c r="AW5182" s="28" t="n">
        <f aca="false">AV5182*$M5182</f>
        <v>0</v>
      </c>
      <c r="AX5182" s="28"/>
      <c r="AY5182" s="28" t="n">
        <f aca="false">AX5182*$M5182</f>
        <v>0</v>
      </c>
      <c r="AZ5182" s="30" t="n">
        <v>1137</v>
      </c>
      <c r="BA5182" s="11" t="n">
        <v>10233</v>
      </c>
      <c r="BB5182" s="31" t="n">
        <f aca="false">SUM(Q5182,S5182,U5182,W5182,Y5182,AA5182,AC5182,AE5182,AG5182,AI5182,AK5182,AM5182,AO5182,AQ5182,AS5182,AU5182,AW5182,AY5182)</f>
        <v>10233</v>
      </c>
      <c r="BC5182" s="28" t="n">
        <f aca="false">BA5182-BB5182</f>
        <v>0</v>
      </c>
      <c r="BD5182" s="32" t="n">
        <f aca="false">SUM(P5182,R5182,T5182,V5182,X5182,Z5182,AB5182,AD5182,AF5182,AH5182,AJ5182,AL5182,AN5182,AP5182,AR5182,AT5182,AV5182,AX5182)</f>
        <v>1137</v>
      </c>
      <c r="BE5182" s="33" t="n">
        <f aca="false">AZ5182-BD5182</f>
        <v>0</v>
      </c>
      <c r="BF5182" s="34" t="n">
        <f aca="false">BD5182*M5182</f>
        <v>10233</v>
      </c>
      <c r="BG5182" s="35" t="n">
        <f aca="false">BA5182-BF5182</f>
        <v>0</v>
      </c>
      <c r="BH5182" s="19" t="str">
        <f aca="false">IF(BG5182=0,"",IF(BG5182&lt;&gt;BA5182,"erreur de calcul",IF(BD5182&lt;&gt;0,"pas de prix",IF(M5182&lt;&gt; 0,"pas de quantité","pas de prix, ni de quantité"))))</f>
        <v/>
      </c>
      <c r="BI5182" s="19"/>
    </row>
    <row r="5183" customFormat="false" ht="15" hidden="false" customHeight="false" outlineLevel="0" collapsed="false">
      <c r="A5183" s="0" t="n">
        <v>21</v>
      </c>
      <c r="B5183" s="8" t="s">
        <v>24</v>
      </c>
      <c r="C5183" s="9" t="s">
        <v>25</v>
      </c>
      <c r="D5183" s="9" t="s">
        <v>26</v>
      </c>
      <c r="E5183" s="10" t="n">
        <v>1789</v>
      </c>
      <c r="F5183" s="9" t="s">
        <v>27</v>
      </c>
      <c r="G5183" s="9" t="s">
        <v>27</v>
      </c>
      <c r="H5183" s="11" t="n">
        <v>25</v>
      </c>
      <c r="I5183" s="11" t="s">
        <v>350</v>
      </c>
      <c r="J5183" s="14"/>
      <c r="K5183" s="14" t="n">
        <v>40</v>
      </c>
      <c r="L5183" s="16"/>
      <c r="M5183" s="27" t="n">
        <f aca="false">J5183+(K5183/20)+(L5183/240)</f>
        <v>2</v>
      </c>
      <c r="N5183" s="17" t="s">
        <v>349</v>
      </c>
      <c r="O5183" s="11"/>
      <c r="P5183" s="28"/>
      <c r="Q5183" s="28" t="n">
        <f aca="false">P5183*$M5183</f>
        <v>0</v>
      </c>
      <c r="R5183" s="28"/>
      <c r="S5183" s="28" t="n">
        <f aca="false">R5183*$M5183</f>
        <v>0</v>
      </c>
      <c r="T5183" s="28"/>
      <c r="U5183" s="28" t="n">
        <f aca="false">T5183*$M5183</f>
        <v>0</v>
      </c>
      <c r="V5183" s="28" t="n">
        <v>2688</v>
      </c>
      <c r="W5183" s="28" t="n">
        <v>5376</v>
      </c>
      <c r="X5183" s="28" t="n">
        <v>775</v>
      </c>
      <c r="Y5183" s="28" t="n">
        <v>1550</v>
      </c>
      <c r="Z5183" s="28"/>
      <c r="AA5183" s="28" t="n">
        <f aca="false">Z5183*$M5183</f>
        <v>0</v>
      </c>
      <c r="AB5183" s="28"/>
      <c r="AC5183" s="28" t="n">
        <f aca="false">AB5183*$M5183</f>
        <v>0</v>
      </c>
      <c r="AD5183" s="28"/>
      <c r="AE5183" s="28" t="n">
        <f aca="false">AD5183*$M5183</f>
        <v>0</v>
      </c>
      <c r="AF5183" s="28"/>
      <c r="AG5183" s="28" t="n">
        <f aca="false">AF5183*$M5183</f>
        <v>0</v>
      </c>
      <c r="AH5183" s="28"/>
      <c r="AI5183" s="28" t="n">
        <f aca="false">AH5183*$M5183</f>
        <v>0</v>
      </c>
      <c r="AJ5183" s="28"/>
      <c r="AK5183" s="28" t="n">
        <f aca="false">AJ5183*$M5183</f>
        <v>0</v>
      </c>
      <c r="AL5183" s="28"/>
      <c r="AM5183" s="28" t="n">
        <f aca="false">AL5183*$M5183</f>
        <v>0</v>
      </c>
      <c r="AN5183" s="28"/>
      <c r="AO5183" s="28" t="n">
        <f aca="false">AN5183*$M5183</f>
        <v>0</v>
      </c>
      <c r="AP5183" s="28"/>
      <c r="AQ5183" s="28" t="n">
        <f aca="false">AP5183*$M5183</f>
        <v>0</v>
      </c>
      <c r="AR5183" s="28"/>
      <c r="AS5183" s="28" t="n">
        <f aca="false">AR5183*$M5183</f>
        <v>0</v>
      </c>
      <c r="AT5183" s="28"/>
      <c r="AU5183" s="28" t="n">
        <f aca="false">AT5183*$M5183</f>
        <v>0</v>
      </c>
      <c r="AV5183" s="28"/>
      <c r="AW5183" s="28" t="n">
        <f aca="false">AV5183*$M5183</f>
        <v>0</v>
      </c>
      <c r="AX5183" s="28"/>
      <c r="AY5183" s="28" t="n">
        <f aca="false">AX5183*$M5183</f>
        <v>0</v>
      </c>
      <c r="AZ5183" s="30" t="n">
        <v>3463</v>
      </c>
      <c r="BA5183" s="11" t="n">
        <v>6926</v>
      </c>
      <c r="BB5183" s="31" t="n">
        <f aca="false">SUM(Q5183,S5183,U5183,W5183,Y5183,AA5183,AC5183,AE5183,AG5183,AI5183,AK5183,AM5183,AO5183,AQ5183,AS5183,AU5183,AW5183,AY5183)</f>
        <v>6926</v>
      </c>
      <c r="BC5183" s="28" t="n">
        <f aca="false">BA5183-BB5183</f>
        <v>0</v>
      </c>
      <c r="BD5183" s="32" t="n">
        <f aca="false">SUM(P5183,R5183,T5183,V5183,X5183,Z5183,AB5183,AD5183,AF5183,AH5183,AJ5183,AL5183,AN5183,AP5183,AR5183,AT5183,AV5183,AX5183)</f>
        <v>3463</v>
      </c>
      <c r="BE5183" s="33" t="n">
        <f aca="false">AZ5183-BD5183</f>
        <v>0</v>
      </c>
      <c r="BF5183" s="34" t="n">
        <f aca="false">BD5183*M5183</f>
        <v>6926</v>
      </c>
      <c r="BG5183" s="35" t="n">
        <f aca="false">BA5183-BF5183</f>
        <v>0</v>
      </c>
      <c r="BH5183" s="19" t="str">
        <f aca="false">IF(BG5183=0,"",IF(BG5183&lt;&gt;BA5183,"erreur de calcul",IF(BD5183&lt;&gt;0,"pas de prix",IF(M5183&lt;&gt; 0,"pas de quantité","pas de prix, ni de quantité"))))</f>
        <v/>
      </c>
      <c r="BI5183" s="19"/>
    </row>
    <row r="5184" customFormat="false" ht="15" hidden="false" customHeight="false" outlineLevel="0" collapsed="false">
      <c r="A5184" s="0" t="n">
        <v>22</v>
      </c>
      <c r="B5184" s="8" t="s">
        <v>24</v>
      </c>
      <c r="C5184" s="9" t="s">
        <v>25</v>
      </c>
      <c r="D5184" s="9" t="s">
        <v>26</v>
      </c>
      <c r="E5184" s="10" t="n">
        <v>1789</v>
      </c>
      <c r="F5184" s="9" t="s">
        <v>27</v>
      </c>
      <c r="G5184" s="9" t="s">
        <v>27</v>
      </c>
      <c r="H5184" s="11" t="n">
        <v>25</v>
      </c>
      <c r="I5184" s="11" t="s">
        <v>351</v>
      </c>
      <c r="J5184" s="14" t="n">
        <v>60</v>
      </c>
      <c r="K5184" s="14"/>
      <c r="L5184" s="16"/>
      <c r="M5184" s="27" t="n">
        <f aca="false">J5184+(K5184/20)+(L5184/240)</f>
        <v>60</v>
      </c>
      <c r="N5184" s="17" t="s">
        <v>69</v>
      </c>
      <c r="O5184" s="11"/>
      <c r="P5184" s="28"/>
      <c r="Q5184" s="28" t="n">
        <f aca="false">P5184*$M5184</f>
        <v>0</v>
      </c>
      <c r="R5184" s="28"/>
      <c r="S5184" s="28" t="n">
        <f aca="false">R5184*$M5184</f>
        <v>0</v>
      </c>
      <c r="T5184" s="28" t="n">
        <v>20</v>
      </c>
      <c r="U5184" s="28" t="n">
        <v>1200</v>
      </c>
      <c r="V5184" s="28" t="n">
        <v>82</v>
      </c>
      <c r="W5184" s="28" t="n">
        <v>4920</v>
      </c>
      <c r="X5184" s="28"/>
      <c r="Y5184" s="28" t="n">
        <f aca="false">X5184*$M5184</f>
        <v>0</v>
      </c>
      <c r="Z5184" s="28"/>
      <c r="AA5184" s="28" t="n">
        <f aca="false">Z5184*$M5184</f>
        <v>0</v>
      </c>
      <c r="AB5184" s="28"/>
      <c r="AC5184" s="28" t="n">
        <f aca="false">AB5184*$M5184</f>
        <v>0</v>
      </c>
      <c r="AD5184" s="28"/>
      <c r="AE5184" s="28" t="n">
        <f aca="false">AD5184*$M5184</f>
        <v>0</v>
      </c>
      <c r="AF5184" s="28"/>
      <c r="AG5184" s="28" t="n">
        <f aca="false">AF5184*$M5184</f>
        <v>0</v>
      </c>
      <c r="AH5184" s="28"/>
      <c r="AI5184" s="28" t="n">
        <f aca="false">AH5184*$M5184</f>
        <v>0</v>
      </c>
      <c r="AJ5184" s="28"/>
      <c r="AK5184" s="28" t="n">
        <f aca="false">AJ5184*$M5184</f>
        <v>0</v>
      </c>
      <c r="AL5184" s="28"/>
      <c r="AM5184" s="28" t="n">
        <f aca="false">AL5184*$M5184</f>
        <v>0</v>
      </c>
      <c r="AN5184" s="28"/>
      <c r="AO5184" s="28" t="n">
        <f aca="false">AN5184*$M5184</f>
        <v>0</v>
      </c>
      <c r="AP5184" s="28"/>
      <c r="AQ5184" s="28" t="n">
        <f aca="false">AP5184*$M5184</f>
        <v>0</v>
      </c>
      <c r="AR5184" s="28"/>
      <c r="AS5184" s="28" t="n">
        <f aca="false">AR5184*$M5184</f>
        <v>0</v>
      </c>
      <c r="AT5184" s="28"/>
      <c r="AU5184" s="28" t="n">
        <f aca="false">AT5184*$M5184</f>
        <v>0</v>
      </c>
      <c r="AV5184" s="28"/>
      <c r="AW5184" s="28" t="n">
        <f aca="false">AV5184*$M5184</f>
        <v>0</v>
      </c>
      <c r="AX5184" s="28"/>
      <c r="AY5184" s="28" t="n">
        <f aca="false">AX5184*$M5184</f>
        <v>0</v>
      </c>
      <c r="AZ5184" s="30" t="n">
        <v>102</v>
      </c>
      <c r="BA5184" s="11" t="n">
        <v>6120</v>
      </c>
      <c r="BB5184" s="31" t="n">
        <f aca="false">SUM(Q5184,S5184,U5184,W5184,Y5184,AA5184,AC5184,AE5184,AG5184,AI5184,AK5184,AM5184,AO5184,AQ5184,AS5184,AU5184,AW5184,AY5184)</f>
        <v>6120</v>
      </c>
      <c r="BC5184" s="28" t="n">
        <f aca="false">BA5184-BB5184</f>
        <v>0</v>
      </c>
      <c r="BD5184" s="32" t="n">
        <f aca="false">SUM(P5184,R5184,T5184,V5184,X5184,Z5184,AB5184,AD5184,AF5184,AH5184,AJ5184,AL5184,AN5184,AP5184,AR5184,AT5184,AV5184,AX5184)</f>
        <v>102</v>
      </c>
      <c r="BE5184" s="33" t="n">
        <f aca="false">AZ5184-BD5184</f>
        <v>0</v>
      </c>
      <c r="BF5184" s="34" t="n">
        <f aca="false">BD5184*M5184</f>
        <v>6120</v>
      </c>
      <c r="BG5184" s="35" t="n">
        <f aca="false">BA5184-BF5184</f>
        <v>0</v>
      </c>
      <c r="BH5184" s="19" t="str">
        <f aca="false">IF(BG5184=0,"",IF(BG5184&lt;&gt;BA5184,"erreur de calcul",IF(BD5184&lt;&gt;0,"pas de prix",IF(M5184&lt;&gt; 0,"pas de quantité","pas de prix, ni de quantité"))))</f>
        <v/>
      </c>
      <c r="BI5184" s="19"/>
    </row>
    <row r="5185" customFormat="false" ht="15" hidden="false" customHeight="false" outlineLevel="0" collapsed="false">
      <c r="A5185" s="0" t="n">
        <v>23</v>
      </c>
      <c r="B5185" s="8" t="s">
        <v>24</v>
      </c>
      <c r="C5185" s="9" t="s">
        <v>25</v>
      </c>
      <c r="D5185" s="9" t="s">
        <v>26</v>
      </c>
      <c r="E5185" s="10" t="n">
        <v>1789</v>
      </c>
      <c r="F5185" s="9" t="s">
        <v>27</v>
      </c>
      <c r="G5185" s="9" t="s">
        <v>27</v>
      </c>
      <c r="H5185" s="11" t="n">
        <v>25</v>
      </c>
      <c r="I5185" s="11" t="s">
        <v>352</v>
      </c>
      <c r="J5185" s="14" t="n">
        <v>150</v>
      </c>
      <c r="K5185" s="14"/>
      <c r="L5185" s="16"/>
      <c r="M5185" s="27" t="n">
        <f aca="false">J5185+(K5185/20)+(L5185/240)</f>
        <v>150</v>
      </c>
      <c r="N5185" s="17" t="s">
        <v>64</v>
      </c>
      <c r="O5185" s="11"/>
      <c r="P5185" s="28" t="n">
        <f aca="false">274/100</f>
        <v>2.74</v>
      </c>
      <c r="Q5185" s="28" t="n">
        <v>411</v>
      </c>
      <c r="R5185" s="28"/>
      <c r="S5185" s="28" t="n">
        <f aca="false">R5185*$M5185</f>
        <v>0</v>
      </c>
      <c r="T5185" s="28" t="n">
        <f aca="false">3042/100</f>
        <v>30.42</v>
      </c>
      <c r="U5185" s="28" t="n">
        <v>4563</v>
      </c>
      <c r="V5185" s="28"/>
      <c r="W5185" s="28" t="n">
        <f aca="false">V5185*$M5185</f>
        <v>0</v>
      </c>
      <c r="X5185" s="28"/>
      <c r="Y5185" s="28" t="n">
        <f aca="false">X5185*$M5185</f>
        <v>0</v>
      </c>
      <c r="Z5185" s="28"/>
      <c r="AA5185" s="28" t="n">
        <f aca="false">Z5185*$M5185</f>
        <v>0</v>
      </c>
      <c r="AB5185" s="28" t="n">
        <f aca="false">92/100</f>
        <v>0.92</v>
      </c>
      <c r="AC5185" s="28" t="n">
        <v>138</v>
      </c>
      <c r="AD5185" s="28"/>
      <c r="AE5185" s="28" t="n">
        <f aca="false">AD5185*$M5185</f>
        <v>0</v>
      </c>
      <c r="AF5185" s="28"/>
      <c r="AG5185" s="28" t="n">
        <f aca="false">AF5185*$M5185</f>
        <v>0</v>
      </c>
      <c r="AH5185" s="28"/>
      <c r="AI5185" s="28" t="n">
        <f aca="false">AH5185*$M5185</f>
        <v>0</v>
      </c>
      <c r="AJ5185" s="28"/>
      <c r="AK5185" s="28" t="n">
        <f aca="false">AJ5185*$M5185</f>
        <v>0</v>
      </c>
      <c r="AL5185" s="28"/>
      <c r="AM5185" s="28" t="n">
        <f aca="false">AL5185*$M5185</f>
        <v>0</v>
      </c>
      <c r="AN5185" s="28"/>
      <c r="AO5185" s="28" t="n">
        <f aca="false">AN5185*$M5185</f>
        <v>0</v>
      </c>
      <c r="AP5185" s="28"/>
      <c r="AQ5185" s="28" t="n">
        <f aca="false">AP5185*$M5185</f>
        <v>0</v>
      </c>
      <c r="AR5185" s="28"/>
      <c r="AS5185" s="28" t="n">
        <f aca="false">AR5185*$M5185</f>
        <v>0</v>
      </c>
      <c r="AT5185" s="28"/>
      <c r="AU5185" s="28" t="n">
        <f aca="false">AT5185*$M5185</f>
        <v>0</v>
      </c>
      <c r="AV5185" s="28"/>
      <c r="AW5185" s="28" t="n">
        <f aca="false">AV5185*$M5185</f>
        <v>0</v>
      </c>
      <c r="AX5185" s="28"/>
      <c r="AY5185" s="28" t="n">
        <f aca="false">AX5185*$M5185</f>
        <v>0</v>
      </c>
      <c r="AZ5185" s="30" t="n">
        <f aca="false">3408/100</f>
        <v>34.08</v>
      </c>
      <c r="BA5185" s="11" t="n">
        <v>5112</v>
      </c>
      <c r="BB5185" s="31" t="n">
        <f aca="false">SUM(Q5185,S5185,U5185,W5185,Y5185,AA5185,AC5185,AE5185,AG5185,AI5185,AK5185,AM5185,AO5185,AQ5185,AS5185,AU5185,AW5185,AY5185)</f>
        <v>5112</v>
      </c>
      <c r="BC5185" s="28" t="n">
        <f aca="false">BA5185-BB5185</f>
        <v>0</v>
      </c>
      <c r="BD5185" s="32" t="n">
        <f aca="false">SUM(P5185,R5185,T5185,V5185,X5185,Z5185,AB5185,AD5185,AF5185,AH5185,AJ5185,AL5185,AN5185,AP5185,AR5185,AT5185,AV5185,AX5185)</f>
        <v>34.08</v>
      </c>
      <c r="BE5185" s="33" t="n">
        <f aca="false">AZ5185-BD5185</f>
        <v>0</v>
      </c>
      <c r="BF5185" s="34" t="n">
        <f aca="false">BD5185*M5185</f>
        <v>5112</v>
      </c>
      <c r="BG5185" s="35" t="n">
        <f aca="false">BA5185-BF5185</f>
        <v>0</v>
      </c>
      <c r="BH5185" s="19" t="str">
        <f aca="false">IF(BG5185=0,"",IF(BG5185&lt;&gt;BA5185,"erreur de calcul",IF(BD5185&lt;&gt;0,"pas de prix",IF(M5185&lt;&gt; 0,"pas de quantité","pas de prix, ni de quantité"))))</f>
        <v/>
      </c>
      <c r="BI5185" s="19"/>
    </row>
    <row r="5186" customFormat="false" ht="15" hidden="false" customHeight="false" outlineLevel="0" collapsed="false">
      <c r="A5186" s="0" t="n">
        <v>24</v>
      </c>
      <c r="B5186" s="8" t="s">
        <v>24</v>
      </c>
      <c r="C5186" s="9" t="s">
        <v>25</v>
      </c>
      <c r="D5186" s="9" t="s">
        <v>26</v>
      </c>
      <c r="E5186" s="10" t="n">
        <v>1789</v>
      </c>
      <c r="F5186" s="9" t="s">
        <v>27</v>
      </c>
      <c r="G5186" s="9" t="s">
        <v>27</v>
      </c>
      <c r="H5186" s="11" t="n">
        <v>25</v>
      </c>
      <c r="I5186" s="11" t="s">
        <v>353</v>
      </c>
      <c r="J5186" s="14" t="n">
        <v>40</v>
      </c>
      <c r="K5186" s="14"/>
      <c r="L5186" s="16"/>
      <c r="M5186" s="27" t="n">
        <f aca="false">J5186+(K5186/20)+(L5186/240)</f>
        <v>40</v>
      </c>
      <c r="N5186" s="17" t="s">
        <v>64</v>
      </c>
      <c r="O5186" s="11"/>
      <c r="P5186" s="28"/>
      <c r="Q5186" s="28" t="n">
        <f aca="false">P5186*$M5186</f>
        <v>0</v>
      </c>
      <c r="R5186" s="28"/>
      <c r="S5186" s="28" t="n">
        <f aca="false">R5186*$M5186</f>
        <v>0</v>
      </c>
      <c r="T5186" s="28"/>
      <c r="U5186" s="28" t="n">
        <f aca="false">T5186*$M5186</f>
        <v>0</v>
      </c>
      <c r="V5186" s="28" t="n">
        <f aca="false">4960/100</f>
        <v>49.6</v>
      </c>
      <c r="W5186" s="28" t="n">
        <v>1984</v>
      </c>
      <c r="X5186" s="28" t="n">
        <f aca="false">394/100</f>
        <v>3.94</v>
      </c>
      <c r="Y5186" s="28" t="n">
        <v>158</v>
      </c>
      <c r="Z5186" s="28"/>
      <c r="AA5186" s="28" t="n">
        <f aca="false">Z5186*$M5186</f>
        <v>0</v>
      </c>
      <c r="AB5186" s="28"/>
      <c r="AC5186" s="28" t="n">
        <f aca="false">AB5186*$M5186</f>
        <v>0</v>
      </c>
      <c r="AD5186" s="28"/>
      <c r="AE5186" s="28" t="n">
        <f aca="false">AD5186*$M5186</f>
        <v>0</v>
      </c>
      <c r="AF5186" s="28"/>
      <c r="AG5186" s="28" t="n">
        <f aca="false">AF5186*$M5186</f>
        <v>0</v>
      </c>
      <c r="AH5186" s="28"/>
      <c r="AI5186" s="28" t="n">
        <f aca="false">AH5186*$M5186</f>
        <v>0</v>
      </c>
      <c r="AJ5186" s="28"/>
      <c r="AK5186" s="28" t="n">
        <f aca="false">AJ5186*$M5186</f>
        <v>0</v>
      </c>
      <c r="AL5186" s="28"/>
      <c r="AM5186" s="28" t="n">
        <f aca="false">AL5186*$M5186</f>
        <v>0</v>
      </c>
      <c r="AN5186" s="28"/>
      <c r="AO5186" s="28" t="n">
        <f aca="false">AN5186*$M5186</f>
        <v>0</v>
      </c>
      <c r="AP5186" s="28"/>
      <c r="AQ5186" s="28" t="n">
        <f aca="false">AP5186*$M5186</f>
        <v>0</v>
      </c>
      <c r="AR5186" s="28"/>
      <c r="AS5186" s="28" t="n">
        <f aca="false">AR5186*$M5186</f>
        <v>0</v>
      </c>
      <c r="AT5186" s="28"/>
      <c r="AU5186" s="28" t="n">
        <f aca="false">AT5186*$M5186</f>
        <v>0</v>
      </c>
      <c r="AV5186" s="28"/>
      <c r="AW5186" s="28" t="n">
        <f aca="false">AV5186*$M5186</f>
        <v>0</v>
      </c>
      <c r="AX5186" s="28"/>
      <c r="AY5186" s="28" t="n">
        <f aca="false">AX5186*$M5186</f>
        <v>0</v>
      </c>
      <c r="AZ5186" s="30" t="n">
        <f aca="false">5354/100</f>
        <v>53.54</v>
      </c>
      <c r="BA5186" s="11" t="n">
        <v>2142</v>
      </c>
      <c r="BB5186" s="31" t="n">
        <f aca="false">SUM(Q5186,S5186,U5186,W5186,Y5186,AA5186,AC5186,AE5186,AG5186,AI5186,AK5186,AM5186,AO5186,AQ5186,AS5186,AU5186,AW5186,AY5186)</f>
        <v>2142</v>
      </c>
      <c r="BC5186" s="28" t="n">
        <f aca="false">BA5186-BB5186</f>
        <v>0</v>
      </c>
      <c r="BD5186" s="32" t="n">
        <f aca="false">SUM(P5186,R5186,T5186,V5186,X5186,Z5186,AB5186,AD5186,AF5186,AH5186,AJ5186,AL5186,AN5186,AP5186,AR5186,AT5186,AV5186,AX5186)</f>
        <v>53.54</v>
      </c>
      <c r="BE5186" s="33" t="n">
        <f aca="false">AZ5186-BD5186</f>
        <v>0</v>
      </c>
      <c r="BF5186" s="34" t="n">
        <f aca="false">BD5186*M5186</f>
        <v>2141.6</v>
      </c>
      <c r="BG5186" s="35" t="n">
        <f aca="false">BA5186-BF5186</f>
        <v>0.400000000000091</v>
      </c>
      <c r="BH5186" s="19" t="str">
        <f aca="false">IF(BG5186=0,"",IF(BG5186&lt;&gt;BA5186,"erreur de calcul",IF(BD5186&lt;&gt;0,"pas de prix",IF(M5186&lt;&gt; 0,"pas de quantité","pas de prix, ni de quantité"))))</f>
        <v>erreur de calcul</v>
      </c>
      <c r="BI5186" s="19"/>
    </row>
    <row r="5187" customFormat="false" ht="15" hidden="false" customHeight="false" outlineLevel="0" collapsed="false">
      <c r="A5187" s="0" t="n">
        <v>25</v>
      </c>
      <c r="B5187" s="8" t="s">
        <v>24</v>
      </c>
      <c r="C5187" s="9" t="s">
        <v>25</v>
      </c>
      <c r="D5187" s="9" t="s">
        <v>26</v>
      </c>
      <c r="E5187" s="10" t="n">
        <v>1789</v>
      </c>
      <c r="F5187" s="9" t="s">
        <v>27</v>
      </c>
      <c r="G5187" s="9" t="s">
        <v>27</v>
      </c>
      <c r="H5187" s="11" t="n">
        <v>25</v>
      </c>
      <c r="I5187" s="11" t="s">
        <v>354</v>
      </c>
      <c r="J5187" s="14" t="n">
        <v>200</v>
      </c>
      <c r="K5187" s="14"/>
      <c r="L5187" s="16"/>
      <c r="M5187" s="27" t="n">
        <f aca="false">J5187+(K5187/20)+(L5187/240)</f>
        <v>200</v>
      </c>
      <c r="N5187" s="17" t="s">
        <v>64</v>
      </c>
      <c r="O5187" s="11"/>
      <c r="P5187" s="28"/>
      <c r="Q5187" s="28" t="n">
        <f aca="false">P5187*$M5187</f>
        <v>0</v>
      </c>
      <c r="R5187" s="28"/>
      <c r="S5187" s="28" t="n">
        <f aca="false">R5187*$M5187</f>
        <v>0</v>
      </c>
      <c r="T5187" s="28" t="n">
        <f aca="false">4367/100</f>
        <v>43.67</v>
      </c>
      <c r="U5187" s="28" t="n">
        <v>8734</v>
      </c>
      <c r="V5187" s="28" t="n">
        <f aca="false">346/100</f>
        <v>3.46</v>
      </c>
      <c r="W5187" s="28" t="n">
        <v>692</v>
      </c>
      <c r="X5187" s="28"/>
      <c r="Y5187" s="28" t="n">
        <f aca="false">X5187*$M5187</f>
        <v>0</v>
      </c>
      <c r="Z5187" s="28"/>
      <c r="AA5187" s="28" t="n">
        <f aca="false">Z5187*$M5187</f>
        <v>0</v>
      </c>
      <c r="AB5187" s="28"/>
      <c r="AC5187" s="28" t="n">
        <f aca="false">AB5187*$M5187</f>
        <v>0</v>
      </c>
      <c r="AD5187" s="28"/>
      <c r="AE5187" s="28" t="n">
        <f aca="false">AD5187*$M5187</f>
        <v>0</v>
      </c>
      <c r="AF5187" s="28"/>
      <c r="AG5187" s="28" t="n">
        <f aca="false">AF5187*$M5187</f>
        <v>0</v>
      </c>
      <c r="AH5187" s="28"/>
      <c r="AI5187" s="28" t="n">
        <f aca="false">AH5187*$M5187</f>
        <v>0</v>
      </c>
      <c r="AJ5187" s="28"/>
      <c r="AK5187" s="28" t="n">
        <f aca="false">AJ5187*$M5187</f>
        <v>0</v>
      </c>
      <c r="AL5187" s="28"/>
      <c r="AM5187" s="28" t="n">
        <f aca="false">AL5187*$M5187</f>
        <v>0</v>
      </c>
      <c r="AN5187" s="28"/>
      <c r="AO5187" s="28" t="n">
        <f aca="false">AN5187*$M5187</f>
        <v>0</v>
      </c>
      <c r="AP5187" s="28"/>
      <c r="AQ5187" s="28" t="n">
        <f aca="false">AP5187*$M5187</f>
        <v>0</v>
      </c>
      <c r="AR5187" s="28"/>
      <c r="AS5187" s="28" t="n">
        <f aca="false">AR5187*$M5187</f>
        <v>0</v>
      </c>
      <c r="AT5187" s="28"/>
      <c r="AU5187" s="28" t="n">
        <f aca="false">AT5187*$M5187</f>
        <v>0</v>
      </c>
      <c r="AV5187" s="28"/>
      <c r="AW5187" s="28" t="n">
        <f aca="false">AV5187*$M5187</f>
        <v>0</v>
      </c>
      <c r="AX5187" s="28"/>
      <c r="AY5187" s="28" t="n">
        <f aca="false">AX5187*$M5187</f>
        <v>0</v>
      </c>
      <c r="AZ5187" s="30" t="n">
        <f aca="false">4713/100</f>
        <v>47.13</v>
      </c>
      <c r="BA5187" s="11" t="n">
        <v>9426</v>
      </c>
      <c r="BB5187" s="31" t="n">
        <f aca="false">SUM(Q5187,S5187,U5187,W5187,Y5187,AA5187,AC5187,AE5187,AG5187,AI5187,AK5187,AM5187,AO5187,AQ5187,AS5187,AU5187,AW5187,AY5187)</f>
        <v>9426</v>
      </c>
      <c r="BC5187" s="28" t="n">
        <f aca="false">BA5187-BB5187</f>
        <v>0</v>
      </c>
      <c r="BD5187" s="32" t="n">
        <f aca="false">SUM(P5187,R5187,T5187,V5187,X5187,Z5187,AB5187,AD5187,AF5187,AH5187,AJ5187,AL5187,AN5187,AP5187,AR5187,AT5187,AV5187,AX5187)</f>
        <v>47.13</v>
      </c>
      <c r="BE5187" s="33" t="n">
        <f aca="false">AZ5187-BD5187</f>
        <v>0</v>
      </c>
      <c r="BF5187" s="34" t="n">
        <f aca="false">BD5187*M5187</f>
        <v>9426</v>
      </c>
      <c r="BG5187" s="35" t="n">
        <f aca="false">BA5187-BF5187</f>
        <v>0</v>
      </c>
      <c r="BH5187" s="19" t="str">
        <f aca="false">IF(BG5187=0,"",IF(BG5187&lt;&gt;BA5187,"erreur de calcul",IF(BD5187&lt;&gt;0,"pas de prix",IF(M5187&lt;&gt; 0,"pas de quantité","pas de prix, ni de quantité"))))</f>
        <v/>
      </c>
      <c r="BI5187" s="19"/>
    </row>
    <row r="5188" customFormat="false" ht="15" hidden="false" customHeight="false" outlineLevel="0" collapsed="false">
      <c r="A5188" s="0" t="n">
        <v>26</v>
      </c>
      <c r="B5188" s="8" t="s">
        <v>24</v>
      </c>
      <c r="C5188" s="9" t="s">
        <v>25</v>
      </c>
      <c r="D5188" s="9" t="s">
        <v>26</v>
      </c>
      <c r="E5188" s="10" t="n">
        <v>1789</v>
      </c>
      <c r="F5188" s="9" t="s">
        <v>27</v>
      </c>
      <c r="G5188" s="9" t="s">
        <v>27</v>
      </c>
      <c r="H5188" s="11" t="n">
        <v>25</v>
      </c>
      <c r="I5188" s="11" t="s">
        <v>355</v>
      </c>
      <c r="J5188" s="14" t="n">
        <v>200</v>
      </c>
      <c r="K5188" s="14"/>
      <c r="L5188" s="16"/>
      <c r="M5188" s="27" t="n">
        <f aca="false">J5188+(K5188/20)+(L5188/240)</f>
        <v>200</v>
      </c>
      <c r="N5188" s="17" t="s">
        <v>64</v>
      </c>
      <c r="O5188" s="11"/>
      <c r="P5188" s="28"/>
      <c r="Q5188" s="28" t="n">
        <f aca="false">P5188*$M5188</f>
        <v>0</v>
      </c>
      <c r="R5188" s="28"/>
      <c r="S5188" s="28" t="n">
        <f aca="false">R5188*$M5188</f>
        <v>0</v>
      </c>
      <c r="T5188" s="28" t="n">
        <f aca="false">2471/100</f>
        <v>24.71</v>
      </c>
      <c r="U5188" s="28" t="n">
        <v>4942</v>
      </c>
      <c r="V5188" s="28"/>
      <c r="W5188" s="28" t="n">
        <f aca="false">V5188*$M5188</f>
        <v>0</v>
      </c>
      <c r="X5188" s="28"/>
      <c r="Y5188" s="28" t="n">
        <f aca="false">X5188*$M5188</f>
        <v>0</v>
      </c>
      <c r="Z5188" s="28"/>
      <c r="AA5188" s="28" t="n">
        <f aca="false">Z5188*$M5188</f>
        <v>0</v>
      </c>
      <c r="AB5188" s="28"/>
      <c r="AC5188" s="28" t="n">
        <f aca="false">AB5188*$M5188</f>
        <v>0</v>
      </c>
      <c r="AD5188" s="28"/>
      <c r="AE5188" s="28" t="n">
        <f aca="false">AD5188*$M5188</f>
        <v>0</v>
      </c>
      <c r="AF5188" s="28"/>
      <c r="AG5188" s="28" t="n">
        <f aca="false">AF5188*$M5188</f>
        <v>0</v>
      </c>
      <c r="AH5188" s="28"/>
      <c r="AI5188" s="28" t="n">
        <f aca="false">AH5188*$M5188</f>
        <v>0</v>
      </c>
      <c r="AJ5188" s="28"/>
      <c r="AK5188" s="28" t="n">
        <f aca="false">AJ5188*$M5188</f>
        <v>0</v>
      </c>
      <c r="AL5188" s="28"/>
      <c r="AM5188" s="28" t="n">
        <f aca="false">AL5188*$M5188</f>
        <v>0</v>
      </c>
      <c r="AN5188" s="28"/>
      <c r="AO5188" s="28" t="n">
        <f aca="false">AN5188*$M5188</f>
        <v>0</v>
      </c>
      <c r="AP5188" s="28"/>
      <c r="AQ5188" s="28" t="n">
        <f aca="false">AP5188*$M5188</f>
        <v>0</v>
      </c>
      <c r="AR5188" s="28"/>
      <c r="AS5188" s="28" t="n">
        <f aca="false">AR5188*$M5188</f>
        <v>0</v>
      </c>
      <c r="AT5188" s="28"/>
      <c r="AU5188" s="28" t="n">
        <f aca="false">AT5188*$M5188</f>
        <v>0</v>
      </c>
      <c r="AV5188" s="28"/>
      <c r="AW5188" s="28" t="n">
        <f aca="false">AV5188*$M5188</f>
        <v>0</v>
      </c>
      <c r="AX5188" s="28"/>
      <c r="AY5188" s="28" t="n">
        <f aca="false">AX5188*$M5188</f>
        <v>0</v>
      </c>
      <c r="AZ5188" s="30" t="n">
        <f aca="false">2471/100</f>
        <v>24.71</v>
      </c>
      <c r="BA5188" s="11" t="n">
        <v>4942</v>
      </c>
      <c r="BB5188" s="31" t="n">
        <f aca="false">SUM(Q5188,S5188,U5188,W5188,Y5188,AA5188,AC5188,AE5188,AG5188,AI5188,AK5188,AM5188,AO5188,AQ5188,AS5188,AU5188,AW5188,AY5188)</f>
        <v>4942</v>
      </c>
      <c r="BC5188" s="28" t="n">
        <f aca="false">BA5188-BB5188</f>
        <v>0</v>
      </c>
      <c r="BD5188" s="32" t="n">
        <f aca="false">SUM(P5188,R5188,T5188,V5188,X5188,Z5188,AB5188,AD5188,AF5188,AH5188,AJ5188,AL5188,AN5188,AP5188,AR5188,AT5188,AV5188,AX5188)</f>
        <v>24.71</v>
      </c>
      <c r="BE5188" s="33" t="n">
        <f aca="false">AZ5188-BD5188</f>
        <v>0</v>
      </c>
      <c r="BF5188" s="34" t="n">
        <f aca="false">BD5188*M5188</f>
        <v>4942</v>
      </c>
      <c r="BG5188" s="35" t="n">
        <f aca="false">BA5188-BF5188</f>
        <v>0</v>
      </c>
      <c r="BH5188" s="19" t="str">
        <f aca="false">IF(BG5188=0,"",IF(BG5188&lt;&gt;BA5188,"erreur de calcul",IF(BD5188&lt;&gt;0,"pas de prix",IF(M5188&lt;&gt; 0,"pas de quantité","pas de prix, ni de quantité"))))</f>
        <v/>
      </c>
      <c r="BI5188" s="19"/>
    </row>
    <row r="5189" customFormat="false" ht="15" hidden="false" customHeight="false" outlineLevel="0" collapsed="false">
      <c r="A5189" s="0" t="n">
        <v>27</v>
      </c>
      <c r="B5189" s="8" t="s">
        <v>24</v>
      </c>
      <c r="C5189" s="9" t="s">
        <v>25</v>
      </c>
      <c r="D5189" s="9" t="s">
        <v>26</v>
      </c>
      <c r="E5189" s="10" t="n">
        <v>1789</v>
      </c>
      <c r="F5189" s="9" t="s">
        <v>27</v>
      </c>
      <c r="G5189" s="9" t="s">
        <v>27</v>
      </c>
      <c r="H5189" s="11" t="n">
        <v>25</v>
      </c>
      <c r="I5189" s="11" t="s">
        <v>356</v>
      </c>
      <c r="J5189" s="14" t="n">
        <v>120</v>
      </c>
      <c r="K5189" s="14"/>
      <c r="L5189" s="16"/>
      <c r="M5189" s="27" t="n">
        <f aca="false">J5189+(K5189/20)+(L5189/240)</f>
        <v>120</v>
      </c>
      <c r="N5189" s="17" t="s">
        <v>64</v>
      </c>
      <c r="O5189" s="11"/>
      <c r="P5189" s="28"/>
      <c r="Q5189" s="28" t="n">
        <f aca="false">P5189*$M5189</f>
        <v>0</v>
      </c>
      <c r="R5189" s="28"/>
      <c r="S5189" s="28" t="n">
        <f aca="false">R5189*$M5189</f>
        <v>0</v>
      </c>
      <c r="T5189" s="28"/>
      <c r="U5189" s="28" t="n">
        <f aca="false">T5189*$M5189</f>
        <v>0</v>
      </c>
      <c r="V5189" s="28"/>
      <c r="W5189" s="28" t="n">
        <f aca="false">V5189*$M5189</f>
        <v>0</v>
      </c>
      <c r="X5189" s="28"/>
      <c r="Y5189" s="28" t="n">
        <f aca="false">X5189*$M5189</f>
        <v>0</v>
      </c>
      <c r="Z5189" s="28"/>
      <c r="AA5189" s="28" t="n">
        <f aca="false">Z5189*$M5189</f>
        <v>0</v>
      </c>
      <c r="AB5189" s="28"/>
      <c r="AC5189" s="28" t="n">
        <f aca="false">AB5189*$M5189</f>
        <v>0</v>
      </c>
      <c r="AD5189" s="28"/>
      <c r="AE5189" s="28" t="n">
        <f aca="false">AD5189*$M5189</f>
        <v>0</v>
      </c>
      <c r="AF5189" s="28"/>
      <c r="AG5189" s="28" t="n">
        <f aca="false">AF5189*$M5189</f>
        <v>0</v>
      </c>
      <c r="AH5189" s="28"/>
      <c r="AI5189" s="28" t="n">
        <f aca="false">AH5189*$M5189</f>
        <v>0</v>
      </c>
      <c r="AJ5189" s="28"/>
      <c r="AK5189" s="28" t="n">
        <f aca="false">AJ5189*$M5189</f>
        <v>0</v>
      </c>
      <c r="AL5189" s="28"/>
      <c r="AM5189" s="28" t="n">
        <f aca="false">AL5189*$M5189</f>
        <v>0</v>
      </c>
      <c r="AN5189" s="28" t="n">
        <f aca="false">407/100</f>
        <v>4.07</v>
      </c>
      <c r="AO5189" s="28" t="n">
        <v>488</v>
      </c>
      <c r="AP5189" s="28"/>
      <c r="AQ5189" s="28" t="n">
        <f aca="false">AP5189*$M5189</f>
        <v>0</v>
      </c>
      <c r="AR5189" s="28"/>
      <c r="AS5189" s="28" t="n">
        <f aca="false">AR5189*$M5189</f>
        <v>0</v>
      </c>
      <c r="AT5189" s="28"/>
      <c r="AU5189" s="28" t="n">
        <f aca="false">AT5189*$M5189</f>
        <v>0</v>
      </c>
      <c r="AV5189" s="28"/>
      <c r="AW5189" s="28" t="n">
        <f aca="false">AV5189*$M5189</f>
        <v>0</v>
      </c>
      <c r="AX5189" s="28"/>
      <c r="AY5189" s="28" t="n">
        <f aca="false">AX5189*$M5189</f>
        <v>0</v>
      </c>
      <c r="AZ5189" s="30" t="n">
        <f aca="false">407/100</f>
        <v>4.07</v>
      </c>
      <c r="BA5189" s="11" t="n">
        <v>488</v>
      </c>
      <c r="BB5189" s="31" t="n">
        <f aca="false">SUM(Q5189,S5189,U5189,W5189,Y5189,AA5189,AC5189,AE5189,AG5189,AI5189,AK5189,AM5189,AO5189,AQ5189,AS5189,AU5189,AW5189,AY5189)</f>
        <v>488</v>
      </c>
      <c r="BC5189" s="28" t="n">
        <f aca="false">BA5189-BB5189</f>
        <v>0</v>
      </c>
      <c r="BD5189" s="32" t="n">
        <f aca="false">SUM(P5189,R5189,T5189,V5189,X5189,Z5189,AB5189,AD5189,AF5189,AH5189,AJ5189,AL5189,AN5189,AP5189,AR5189,AT5189,AV5189,AX5189)</f>
        <v>4.07</v>
      </c>
      <c r="BE5189" s="33" t="n">
        <f aca="false">AZ5189-BD5189</f>
        <v>0</v>
      </c>
      <c r="BF5189" s="34" t="n">
        <f aca="false">BD5189*M5189</f>
        <v>488.4</v>
      </c>
      <c r="BG5189" s="35" t="n">
        <f aca="false">BA5189-BF5189</f>
        <v>-0.400000000000034</v>
      </c>
      <c r="BH5189" s="19" t="str">
        <f aca="false">IF(BG5189=0,"",IF(BG5189&lt;&gt;BA5189,"erreur de calcul",IF(BD5189&lt;&gt;0,"pas de prix",IF(M5189&lt;&gt; 0,"pas de quantité","pas de prix, ni de quantité"))))</f>
        <v>erreur de calcul</v>
      </c>
      <c r="BI5189" s="19"/>
    </row>
    <row r="5190" customFormat="false" ht="15" hidden="false" customHeight="false" outlineLevel="0" collapsed="false">
      <c r="A5190" s="0" t="n">
        <v>28</v>
      </c>
      <c r="B5190" s="8" t="s">
        <v>24</v>
      </c>
      <c r="C5190" s="9" t="s">
        <v>25</v>
      </c>
      <c r="D5190" s="9" t="s">
        <v>26</v>
      </c>
      <c r="E5190" s="10" t="n">
        <v>1789</v>
      </c>
      <c r="F5190" s="9" t="s">
        <v>27</v>
      </c>
      <c r="G5190" s="9" t="s">
        <v>27</v>
      </c>
      <c r="H5190" s="11" t="n">
        <v>25</v>
      </c>
      <c r="I5190" s="11" t="s">
        <v>357</v>
      </c>
      <c r="J5190" s="14" t="n">
        <v>30</v>
      </c>
      <c r="K5190" s="14"/>
      <c r="L5190" s="16"/>
      <c r="M5190" s="27" t="n">
        <f aca="false">J5190+(K5190/20)+(L5190/240)</f>
        <v>30</v>
      </c>
      <c r="N5190" s="17" t="s">
        <v>64</v>
      </c>
      <c r="O5190" s="11"/>
      <c r="P5190" s="28"/>
      <c r="Q5190" s="28" t="n">
        <f aca="false">P5190*$M5190</f>
        <v>0</v>
      </c>
      <c r="R5190" s="28"/>
      <c r="S5190" s="28" t="n">
        <f aca="false">R5190*$M5190</f>
        <v>0</v>
      </c>
      <c r="T5190" s="28" t="n">
        <f aca="false">8903/100</f>
        <v>89.03</v>
      </c>
      <c r="U5190" s="28" t="n">
        <v>2671</v>
      </c>
      <c r="V5190" s="28" t="n">
        <f aca="false">2591/100</f>
        <v>25.91</v>
      </c>
      <c r="W5190" s="28" t="n">
        <v>777</v>
      </c>
      <c r="X5190" s="28"/>
      <c r="Y5190" s="28" t="n">
        <f aca="false">X5190*$M5190</f>
        <v>0</v>
      </c>
      <c r="Z5190" s="28" t="n">
        <f aca="false">17041/100</f>
        <v>170.41</v>
      </c>
      <c r="AA5190" s="28" t="n">
        <v>5112</v>
      </c>
      <c r="AB5190" s="28" t="n">
        <f aca="false">42963/100</f>
        <v>429.63</v>
      </c>
      <c r="AC5190" s="28" t="n">
        <v>12889</v>
      </c>
      <c r="AD5190" s="28"/>
      <c r="AE5190" s="28" t="n">
        <f aca="false">AD5190*$M5190</f>
        <v>0</v>
      </c>
      <c r="AF5190" s="28" t="n">
        <f aca="false">138369/100</f>
        <v>1383.69</v>
      </c>
      <c r="AG5190" s="28" t="n">
        <v>41511</v>
      </c>
      <c r="AH5190" s="28"/>
      <c r="AI5190" s="28" t="n">
        <f aca="false">AH5190*$M5190</f>
        <v>0</v>
      </c>
      <c r="AJ5190" s="28"/>
      <c r="AK5190" s="28" t="n">
        <f aca="false">AJ5190*$M5190</f>
        <v>0</v>
      </c>
      <c r="AL5190" s="28"/>
      <c r="AM5190" s="28" t="n">
        <f aca="false">AL5190*$M5190</f>
        <v>0</v>
      </c>
      <c r="AN5190" s="28"/>
      <c r="AO5190" s="28" t="n">
        <f aca="false">AN5190*$M5190</f>
        <v>0</v>
      </c>
      <c r="AP5190" s="28"/>
      <c r="AQ5190" s="28" t="n">
        <f aca="false">AP5190*$M5190</f>
        <v>0</v>
      </c>
      <c r="AR5190" s="28"/>
      <c r="AS5190" s="28" t="n">
        <f aca="false">AR5190*$M5190</f>
        <v>0</v>
      </c>
      <c r="AT5190" s="28"/>
      <c r="AU5190" s="28" t="n">
        <f aca="false">AT5190*$M5190</f>
        <v>0</v>
      </c>
      <c r="AV5190" s="28"/>
      <c r="AW5190" s="28" t="n">
        <f aca="false">AV5190*$M5190</f>
        <v>0</v>
      </c>
      <c r="AX5190" s="28"/>
      <c r="AY5190" s="28" t="n">
        <f aca="false">AX5190*$M5190</f>
        <v>0</v>
      </c>
      <c r="AZ5190" s="30" t="n">
        <f aca="false">209867/100</f>
        <v>2098.67</v>
      </c>
      <c r="BA5190" s="11" t="n">
        <v>62960</v>
      </c>
      <c r="BB5190" s="31" t="n">
        <f aca="false">SUM(Q5190,S5190,U5190,W5190,Y5190,AA5190,AC5190,AE5190,AG5190,AI5190,AK5190,AM5190,AO5190,AQ5190,AS5190,AU5190,AW5190,AY5190)</f>
        <v>62960</v>
      </c>
      <c r="BC5190" s="28" t="n">
        <f aca="false">BA5190-BB5190</f>
        <v>0</v>
      </c>
      <c r="BD5190" s="32" t="n">
        <f aca="false">SUM(P5190,R5190,T5190,V5190,X5190,Z5190,AB5190,AD5190,AF5190,AH5190,AJ5190,AL5190,AN5190,AP5190,AR5190,AT5190,AV5190,AX5190)</f>
        <v>2098.67</v>
      </c>
      <c r="BE5190" s="33" t="n">
        <f aca="false">AZ5190-BD5190</f>
        <v>0</v>
      </c>
      <c r="BF5190" s="34" t="n">
        <f aca="false">BD5190*M5190</f>
        <v>62960.1</v>
      </c>
      <c r="BG5190" s="35" t="n">
        <f aca="false">BA5190-BF5190</f>
        <v>-0.100000000013097</v>
      </c>
      <c r="BH5190" s="19" t="str">
        <f aca="false">IF(BG5190=0,"",IF(BG5190&lt;&gt;BA5190,"erreur de calcul",IF(BD5190&lt;&gt;0,"pas de prix",IF(M5190&lt;&gt; 0,"pas de quantité","pas de prix, ni de quantité"))))</f>
        <v>erreur de calcul</v>
      </c>
      <c r="BI5190" s="19"/>
    </row>
    <row r="5191" customFormat="false" ht="15" hidden="false" customHeight="false" outlineLevel="0" collapsed="false">
      <c r="A5191" s="0" t="n">
        <v>29</v>
      </c>
      <c r="B5191" s="8" t="s">
        <v>24</v>
      </c>
      <c r="C5191" s="9" t="s">
        <v>25</v>
      </c>
      <c r="D5191" s="9" t="s">
        <v>26</v>
      </c>
      <c r="E5191" s="10" t="n">
        <v>1789</v>
      </c>
      <c r="F5191" s="9" t="s">
        <v>27</v>
      </c>
      <c r="G5191" s="9" t="s">
        <v>27</v>
      </c>
      <c r="H5191" s="11" t="n">
        <v>25</v>
      </c>
      <c r="I5191" s="11" t="s">
        <v>358</v>
      </c>
      <c r="J5191" s="14" t="n">
        <v>35</v>
      </c>
      <c r="K5191" s="14"/>
      <c r="L5191" s="16"/>
      <c r="M5191" s="27" t="n">
        <f aca="false">J5191+(K5191/20)+(L5191/240)</f>
        <v>35</v>
      </c>
      <c r="N5191" s="17" t="s">
        <v>64</v>
      </c>
      <c r="O5191" s="11"/>
      <c r="P5191" s="28"/>
      <c r="Q5191" s="28" t="n">
        <f aca="false">P5191*$M5191</f>
        <v>0</v>
      </c>
      <c r="R5191" s="28"/>
      <c r="S5191" s="28" t="n">
        <f aca="false">R5191*$M5191</f>
        <v>0</v>
      </c>
      <c r="T5191" s="28" t="n">
        <f aca="false">62095/100</f>
        <v>620.95</v>
      </c>
      <c r="U5191" s="28" t="n">
        <v>21733</v>
      </c>
      <c r="V5191" s="28" t="n">
        <f aca="false">257918/100</f>
        <v>2579.18</v>
      </c>
      <c r="W5191" s="28" t="n">
        <v>90271</v>
      </c>
      <c r="X5191" s="28" t="n">
        <f aca="false">10723/100</f>
        <v>107.23</v>
      </c>
      <c r="Y5191" s="28" t="n">
        <v>3753</v>
      </c>
      <c r="Z5191" s="28" t="n">
        <f aca="false">21191/100</f>
        <v>211.91</v>
      </c>
      <c r="AA5191" s="28" t="n">
        <v>7417</v>
      </c>
      <c r="AB5191" s="28" t="n">
        <f aca="false">308781/100</f>
        <v>3087.81</v>
      </c>
      <c r="AC5191" s="28" t="n">
        <v>108073</v>
      </c>
      <c r="AD5191" s="28"/>
      <c r="AE5191" s="28" t="n">
        <f aca="false">AD5191*$M5191</f>
        <v>0</v>
      </c>
      <c r="AF5191" s="28" t="n">
        <f aca="false">5225/100</f>
        <v>52.25</v>
      </c>
      <c r="AG5191" s="28" t="n">
        <v>1829</v>
      </c>
      <c r="AH5191" s="28"/>
      <c r="AI5191" s="28" t="n">
        <f aca="false">AH5191*$M5191</f>
        <v>0</v>
      </c>
      <c r="AJ5191" s="28"/>
      <c r="AK5191" s="28" t="n">
        <f aca="false">AJ5191*$M5191</f>
        <v>0</v>
      </c>
      <c r="AL5191" s="28"/>
      <c r="AM5191" s="28" t="n">
        <f aca="false">AL5191*$M5191</f>
        <v>0</v>
      </c>
      <c r="AN5191" s="28"/>
      <c r="AO5191" s="28" t="n">
        <f aca="false">AN5191*$M5191</f>
        <v>0</v>
      </c>
      <c r="AP5191" s="28"/>
      <c r="AQ5191" s="28" t="n">
        <f aca="false">AP5191*$M5191</f>
        <v>0</v>
      </c>
      <c r="AR5191" s="28"/>
      <c r="AS5191" s="28" t="n">
        <f aca="false">AR5191*$M5191</f>
        <v>0</v>
      </c>
      <c r="AT5191" s="28"/>
      <c r="AU5191" s="28" t="n">
        <f aca="false">AT5191*$M5191</f>
        <v>0</v>
      </c>
      <c r="AV5191" s="28"/>
      <c r="AW5191" s="28" t="n">
        <f aca="false">AV5191*$M5191</f>
        <v>0</v>
      </c>
      <c r="AX5191" s="28"/>
      <c r="AY5191" s="28" t="n">
        <f aca="false">AX5191*$M5191</f>
        <v>0</v>
      </c>
      <c r="AZ5191" s="30" t="n">
        <f aca="false">665933/100</f>
        <v>6659.33</v>
      </c>
      <c r="BA5191" s="11" t="n">
        <v>233076</v>
      </c>
      <c r="BB5191" s="31" t="n">
        <f aca="false">SUM(Q5191,S5191,U5191,W5191,Y5191,AA5191,AC5191,AE5191,AG5191,AI5191,AK5191,AM5191,AO5191,AQ5191,AS5191,AU5191,AW5191,AY5191)</f>
        <v>233076</v>
      </c>
      <c r="BC5191" s="28" t="n">
        <f aca="false">BA5191-BB5191</f>
        <v>0</v>
      </c>
      <c r="BD5191" s="32" t="n">
        <f aca="false">SUM(P5191,R5191,T5191,V5191,X5191,Z5191,AB5191,AD5191,AF5191,AH5191,AJ5191,AL5191,AN5191,AP5191,AR5191,AT5191,AV5191,AX5191)</f>
        <v>6659.33</v>
      </c>
      <c r="BE5191" s="33" t="n">
        <f aca="false">AZ5191-BD5191</f>
        <v>0</v>
      </c>
      <c r="BF5191" s="34" t="n">
        <f aca="false">BD5191*M5191</f>
        <v>233076.55</v>
      </c>
      <c r="BG5191" s="35" t="n">
        <f aca="false">BA5191-BF5191</f>
        <v>-0.549999999959255</v>
      </c>
      <c r="BH5191" s="19" t="str">
        <f aca="false">IF(BG5191=0,"",IF(BG5191&lt;&gt;BA5191,"erreur de calcul",IF(BD5191&lt;&gt;0,"pas de prix",IF(M5191&lt;&gt; 0,"pas de quantité","pas de prix, ni de quantité"))))</f>
        <v>erreur de calcul</v>
      </c>
      <c r="BI5191" s="19"/>
    </row>
    <row r="5192" customFormat="false" ht="15" hidden="false" customHeight="false" outlineLevel="0" collapsed="false">
      <c r="A5192" s="0" t="n">
        <v>30</v>
      </c>
      <c r="B5192" s="8" t="s">
        <v>24</v>
      </c>
      <c r="C5192" s="9" t="s">
        <v>25</v>
      </c>
      <c r="D5192" s="9" t="s">
        <v>26</v>
      </c>
      <c r="E5192" s="10" t="n">
        <v>1789</v>
      </c>
      <c r="F5192" s="9" t="s">
        <v>27</v>
      </c>
      <c r="G5192" s="9" t="s">
        <v>27</v>
      </c>
      <c r="H5192" s="11" t="n">
        <v>25</v>
      </c>
      <c r="I5192" s="11" t="s">
        <v>359</v>
      </c>
      <c r="J5192" s="14"/>
      <c r="K5192" s="14"/>
      <c r="L5192" s="16"/>
      <c r="M5192" s="27" t="n">
        <f aca="false">J5192+(K5192/20)+(L5192/240)</f>
        <v>0</v>
      </c>
      <c r="N5192" s="17"/>
      <c r="O5192" s="11" t="s">
        <v>109</v>
      </c>
      <c r="P5192" s="28"/>
      <c r="Q5192" s="28" t="n">
        <f aca="false">P5192*$M5192</f>
        <v>0</v>
      </c>
      <c r="R5192" s="28"/>
      <c r="S5192" s="28" t="n">
        <f aca="false">R5192*$M5192</f>
        <v>0</v>
      </c>
      <c r="T5192" s="28"/>
      <c r="U5192" s="28" t="n">
        <f aca="false">T5192*$M5192</f>
        <v>0</v>
      </c>
      <c r="V5192" s="28"/>
      <c r="W5192" s="28" t="n">
        <f aca="false">V5192*$M5192</f>
        <v>0</v>
      </c>
      <c r="X5192" s="28"/>
      <c r="Y5192" s="28" t="n">
        <f aca="false">X5192*$M5192</f>
        <v>0</v>
      </c>
      <c r="Z5192" s="28"/>
      <c r="AA5192" s="28" t="n">
        <f aca="false">Z5192*$M5192</f>
        <v>0</v>
      </c>
      <c r="AB5192" s="28"/>
      <c r="AC5192" s="28" t="n">
        <f aca="false">AB5192*$M5192</f>
        <v>0</v>
      </c>
      <c r="AD5192" s="28"/>
      <c r="AE5192" s="28" t="n">
        <f aca="false">AD5192*$M5192</f>
        <v>0</v>
      </c>
      <c r="AF5192" s="28"/>
      <c r="AG5192" s="28" t="n">
        <f aca="false">AF5192*$M5192</f>
        <v>0</v>
      </c>
      <c r="AH5192" s="28"/>
      <c r="AI5192" s="28" t="n">
        <f aca="false">AH5192*$M5192</f>
        <v>0</v>
      </c>
      <c r="AJ5192" s="28"/>
      <c r="AK5192" s="28" t="n">
        <f aca="false">AJ5192*$M5192</f>
        <v>0</v>
      </c>
      <c r="AL5192" s="28"/>
      <c r="AM5192" s="28" t="n">
        <f aca="false">AL5192*$M5192</f>
        <v>0</v>
      </c>
      <c r="AN5192" s="28"/>
      <c r="AO5192" s="28" t="n">
        <f aca="false">AN5192*$M5192</f>
        <v>0</v>
      </c>
      <c r="AP5192" s="28"/>
      <c r="AQ5192" s="28" t="n">
        <f aca="false">AP5192*$M5192</f>
        <v>0</v>
      </c>
      <c r="AR5192" s="28"/>
      <c r="AS5192" s="28" t="n">
        <f aca="false">AR5192*$M5192</f>
        <v>0</v>
      </c>
      <c r="AT5192" s="28"/>
      <c r="AU5192" s="28" t="n">
        <f aca="false">AT5192*$M5192</f>
        <v>0</v>
      </c>
      <c r="AV5192" s="28"/>
      <c r="AW5192" s="28" t="n">
        <f aca="false">AV5192*$M5192</f>
        <v>0</v>
      </c>
      <c r="AX5192" s="28"/>
      <c r="AY5192" s="28" t="n">
        <f aca="false">AX5192*$M5192</f>
        <v>0</v>
      </c>
      <c r="AZ5192" s="30"/>
      <c r="BA5192" s="11"/>
      <c r="BB5192" s="31" t="n">
        <f aca="false">SUM(Q5192,S5192,U5192,W5192,Y5192,AA5192,AC5192,AE5192,AG5192,AI5192,AK5192,AM5192,AO5192,AQ5192,AS5192,AU5192,AW5192,AY5192)</f>
        <v>0</v>
      </c>
      <c r="BC5192" s="28" t="n">
        <f aca="false">BA5192-BB5192</f>
        <v>0</v>
      </c>
      <c r="BD5192" s="32" t="n">
        <f aca="false">SUM(P5192,R5192,T5192,V5192,X5192,Z5192,AB5192,AD5192,AF5192,AH5192,AJ5192,AL5192,AN5192,AP5192,AR5192,AT5192,AV5192,AX5192)</f>
        <v>0</v>
      </c>
      <c r="BE5192" s="33" t="n">
        <f aca="false">AZ5192-BD5192</f>
        <v>0</v>
      </c>
      <c r="BF5192" s="34" t="n">
        <f aca="false">BD5192*M5192</f>
        <v>0</v>
      </c>
      <c r="BG5192" s="35" t="n">
        <f aca="false">BA5192-BF5192</f>
        <v>0</v>
      </c>
      <c r="BH5192" s="19" t="str">
        <f aca="false">IF(BG5192=0,"",IF(BG5192&lt;&gt;BA5192,"erreur de calcul",IF(BD5192&lt;&gt;0,"pas de prix",IF(M5192&lt;&gt; 0,"pas de quantité","pas de prix, ni de quantité"))))</f>
        <v/>
      </c>
      <c r="BI5192" s="19"/>
    </row>
    <row r="5193" customFormat="false" ht="15" hidden="false" customHeight="false" outlineLevel="0" collapsed="false">
      <c r="A5193" s="0" t="n">
        <v>31</v>
      </c>
      <c r="B5193" s="8" t="s">
        <v>24</v>
      </c>
      <c r="C5193" s="9" t="s">
        <v>25</v>
      </c>
      <c r="D5193" s="9" t="s">
        <v>26</v>
      </c>
      <c r="E5193" s="10" t="n">
        <v>1789</v>
      </c>
      <c r="F5193" s="9" t="s">
        <v>27</v>
      </c>
      <c r="G5193" s="9" t="s">
        <v>27</v>
      </c>
      <c r="H5193" s="11" t="n">
        <v>25</v>
      </c>
      <c r="I5193" s="11" t="s">
        <v>359</v>
      </c>
      <c r="J5193" s="14"/>
      <c r="K5193" s="14"/>
      <c r="L5193" s="16"/>
      <c r="M5193" s="27" t="n">
        <f aca="false">J5193+(K5193/20)+(L5193/240)</f>
        <v>0</v>
      </c>
      <c r="N5193" s="17"/>
      <c r="O5193" s="11" t="s">
        <v>277</v>
      </c>
      <c r="P5193" s="28"/>
      <c r="Q5193" s="28" t="n">
        <f aca="false">P5193*$M5193</f>
        <v>0</v>
      </c>
      <c r="R5193" s="28"/>
      <c r="S5193" s="28" t="n">
        <f aca="false">R5193*$M5193</f>
        <v>0</v>
      </c>
      <c r="T5193" s="28"/>
      <c r="U5193" s="28" t="n">
        <f aca="false">T5193*$M5193</f>
        <v>0</v>
      </c>
      <c r="V5193" s="28"/>
      <c r="W5193" s="28" t="n">
        <f aca="false">V5193*$M5193</f>
        <v>0</v>
      </c>
      <c r="X5193" s="28"/>
      <c r="Y5193" s="28" t="n">
        <v>1361</v>
      </c>
      <c r="Z5193" s="28"/>
      <c r="AA5193" s="28" t="n">
        <f aca="false">Z5193*$M5193</f>
        <v>0</v>
      </c>
      <c r="AB5193" s="28"/>
      <c r="AC5193" s="28" t="n">
        <v>1182</v>
      </c>
      <c r="AD5193" s="28"/>
      <c r="AE5193" s="28" t="n">
        <v>649</v>
      </c>
      <c r="AF5193" s="28"/>
      <c r="AG5193" s="28" t="n">
        <f aca="false">AF5193*$M5193</f>
        <v>0</v>
      </c>
      <c r="AH5193" s="28"/>
      <c r="AI5193" s="28" t="n">
        <v>862</v>
      </c>
      <c r="AJ5193" s="28"/>
      <c r="AK5193" s="28" t="n">
        <f aca="false">AJ5193*$M5193</f>
        <v>0</v>
      </c>
      <c r="AL5193" s="28"/>
      <c r="AM5193" s="28" t="n">
        <f aca="false">AL5193*$M5193</f>
        <v>0</v>
      </c>
      <c r="AN5193" s="28"/>
      <c r="AO5193" s="28" t="n">
        <f aca="false">AN5193*$M5193</f>
        <v>0</v>
      </c>
      <c r="AP5193" s="28"/>
      <c r="AQ5193" s="28" t="n">
        <f aca="false">AP5193*$M5193</f>
        <v>0</v>
      </c>
      <c r="AR5193" s="28"/>
      <c r="AS5193" s="28" t="n">
        <f aca="false">AR5193*$M5193</f>
        <v>0</v>
      </c>
      <c r="AT5193" s="28"/>
      <c r="AU5193" s="28" t="n">
        <f aca="false">AT5193*$M5193</f>
        <v>0</v>
      </c>
      <c r="AV5193" s="28"/>
      <c r="AW5193" s="28" t="n">
        <f aca="false">AV5193*$M5193</f>
        <v>0</v>
      </c>
      <c r="AX5193" s="28"/>
      <c r="AY5193" s="28" t="n">
        <f aca="false">AX5193*$M5193</f>
        <v>0</v>
      </c>
      <c r="AZ5193" s="30"/>
      <c r="BA5193" s="11" t="n">
        <v>4054</v>
      </c>
      <c r="BB5193" s="31" t="n">
        <f aca="false">SUM(Q5193,S5193,U5193,W5193,Y5193,AA5193,AC5193,AE5193,AG5193,AI5193,AK5193,AM5193,AO5193,AQ5193,AS5193,AU5193,AW5193,AY5193)</f>
        <v>4054</v>
      </c>
      <c r="BC5193" s="28" t="n">
        <f aca="false">BA5193-BB5193</f>
        <v>0</v>
      </c>
      <c r="BD5193" s="32" t="n">
        <f aca="false">SUM(P5193,R5193,T5193,V5193,X5193,Z5193,AB5193,AD5193,AF5193,AH5193,AJ5193,AL5193,AN5193,AP5193,AR5193,AT5193,AV5193,AX5193)</f>
        <v>0</v>
      </c>
      <c r="BE5193" s="33" t="n">
        <f aca="false">AZ5193-BD5193</f>
        <v>0</v>
      </c>
      <c r="BF5193" s="34" t="n">
        <f aca="false">BD5193*M5193</f>
        <v>0</v>
      </c>
      <c r="BG5193" s="35" t="n">
        <f aca="false">BA5193-BF5193</f>
        <v>4054</v>
      </c>
      <c r="BH5193" s="19" t="str">
        <f aca="false">IF(BG5193=0,"",IF(BG5193&lt;&gt;BA5193,"erreur de calcul",IF(BD5193&lt;&gt;0,"pas de prix",IF(M5193&lt;&gt; 0,"pas de quantité","pas de prix, ni de quantité"))))</f>
        <v>pas de prix, ni de quantité</v>
      </c>
      <c r="BI5193" s="19"/>
    </row>
    <row r="5194" customFormat="false" ht="15" hidden="false" customHeight="false" outlineLevel="0" collapsed="false">
      <c r="A5194" s="0" t="n">
        <v>32</v>
      </c>
      <c r="B5194" s="8" t="s">
        <v>24</v>
      </c>
      <c r="C5194" s="9" t="s">
        <v>25</v>
      </c>
      <c r="D5194" s="9" t="s">
        <v>26</v>
      </c>
      <c r="E5194" s="10" t="n">
        <v>1789</v>
      </c>
      <c r="F5194" s="9" t="s">
        <v>27</v>
      </c>
      <c r="G5194" s="9" t="s">
        <v>27</v>
      </c>
      <c r="H5194" s="11" t="n">
        <v>25</v>
      </c>
      <c r="I5194" s="11" t="s">
        <v>360</v>
      </c>
      <c r="J5194" s="14" t="n">
        <v>66</v>
      </c>
      <c r="K5194" s="14"/>
      <c r="L5194" s="16"/>
      <c r="M5194" s="27" t="n">
        <f aca="false">J5194+(K5194/20)+(L5194/240)</f>
        <v>66</v>
      </c>
      <c r="N5194" s="17" t="s">
        <v>64</v>
      </c>
      <c r="O5194" s="11"/>
      <c r="P5194" s="28"/>
      <c r="Q5194" s="28" t="n">
        <f aca="false">P5194*$M5194</f>
        <v>0</v>
      </c>
      <c r="R5194" s="28"/>
      <c r="S5194" s="28" t="n">
        <f aca="false">R5194*$M5194</f>
        <v>0</v>
      </c>
      <c r="T5194" s="28"/>
      <c r="U5194" s="28" t="n">
        <f aca="false">T5194*$M5194</f>
        <v>0</v>
      </c>
      <c r="V5194" s="28"/>
      <c r="W5194" s="28" t="n">
        <f aca="false">V5194*$M5194</f>
        <v>0</v>
      </c>
      <c r="X5194" s="28"/>
      <c r="Y5194" s="28" t="n">
        <f aca="false">X5194*$M5194</f>
        <v>0</v>
      </c>
      <c r="Z5194" s="28"/>
      <c r="AA5194" s="28" t="n">
        <f aca="false">Z5194*$M5194</f>
        <v>0</v>
      </c>
      <c r="AB5194" s="28"/>
      <c r="AC5194" s="28" t="n">
        <f aca="false">AB5194*$M5194</f>
        <v>0</v>
      </c>
      <c r="AD5194" s="28"/>
      <c r="AE5194" s="28" t="n">
        <f aca="false">AD5194*$M5194</f>
        <v>0</v>
      </c>
      <c r="AF5194" s="28"/>
      <c r="AG5194" s="28" t="n">
        <f aca="false">AF5194*$M5194</f>
        <v>0</v>
      </c>
      <c r="AH5194" s="28" t="n">
        <f aca="false">75475/100</f>
        <v>754.75</v>
      </c>
      <c r="AI5194" s="28" t="n">
        <v>49813</v>
      </c>
      <c r="AJ5194" s="28"/>
      <c r="AK5194" s="28" t="n">
        <f aca="false">AJ5194*$M5194</f>
        <v>0</v>
      </c>
      <c r="AL5194" s="28"/>
      <c r="AM5194" s="28" t="n">
        <f aca="false">AL5194*$M5194</f>
        <v>0</v>
      </c>
      <c r="AN5194" s="28"/>
      <c r="AO5194" s="28" t="n">
        <f aca="false">AN5194*$M5194</f>
        <v>0</v>
      </c>
      <c r="AP5194" s="28"/>
      <c r="AQ5194" s="28" t="n">
        <f aca="false">AP5194*$M5194</f>
        <v>0</v>
      </c>
      <c r="AR5194" s="28"/>
      <c r="AS5194" s="28" t="n">
        <f aca="false">AR5194*$M5194</f>
        <v>0</v>
      </c>
      <c r="AT5194" s="28"/>
      <c r="AU5194" s="28" t="n">
        <f aca="false">AT5194*$M5194</f>
        <v>0</v>
      </c>
      <c r="AV5194" s="28"/>
      <c r="AW5194" s="28" t="n">
        <f aca="false">AV5194*$M5194</f>
        <v>0</v>
      </c>
      <c r="AX5194" s="28"/>
      <c r="AY5194" s="28" t="n">
        <f aca="false">AX5194*$M5194</f>
        <v>0</v>
      </c>
      <c r="AZ5194" s="30" t="n">
        <f aca="false">75475/100</f>
        <v>754.75</v>
      </c>
      <c r="BA5194" s="11" t="n">
        <v>49813</v>
      </c>
      <c r="BB5194" s="31" t="n">
        <f aca="false">SUM(Q5194,S5194,U5194,W5194,Y5194,AA5194,AC5194,AE5194,AG5194,AI5194,AK5194,AM5194,AO5194,AQ5194,AS5194,AU5194,AW5194,AY5194)</f>
        <v>49813</v>
      </c>
      <c r="BC5194" s="28" t="n">
        <f aca="false">BA5194-BB5194</f>
        <v>0</v>
      </c>
      <c r="BD5194" s="32" t="n">
        <f aca="false">SUM(P5194,R5194,T5194,V5194,X5194,Z5194,AB5194,AD5194,AF5194,AH5194,AJ5194,AL5194,AN5194,AP5194,AR5194,AT5194,AV5194,AX5194)</f>
        <v>754.75</v>
      </c>
      <c r="BE5194" s="33" t="n">
        <f aca="false">AZ5194-BD5194</f>
        <v>0</v>
      </c>
      <c r="BF5194" s="34" t="n">
        <f aca="false">BD5194*M5194</f>
        <v>49813.5</v>
      </c>
      <c r="BG5194" s="35" t="n">
        <f aca="false">BA5194-BF5194</f>
        <v>-0.5</v>
      </c>
      <c r="BH5194" s="19" t="str">
        <f aca="false">IF(BG5194=0,"",IF(BG5194&lt;&gt;BA5194,"erreur de calcul",IF(BD5194&lt;&gt;0,"pas de prix",IF(M5194&lt;&gt; 0,"pas de quantité","pas de prix, ni de quantité"))))</f>
        <v>erreur de calcul</v>
      </c>
      <c r="BI5194" s="19"/>
    </row>
    <row r="5195" customFormat="false" ht="15" hidden="false" customHeight="false" outlineLevel="0" collapsed="false">
      <c r="A5195" s="0" t="n">
        <v>33</v>
      </c>
      <c r="B5195" s="8" t="s">
        <v>24</v>
      </c>
      <c r="C5195" s="9" t="s">
        <v>25</v>
      </c>
      <c r="D5195" s="9" t="s">
        <v>26</v>
      </c>
      <c r="E5195" s="10" t="n">
        <v>1789</v>
      </c>
      <c r="F5195" s="9" t="s">
        <v>27</v>
      </c>
      <c r="G5195" s="9" t="s">
        <v>27</v>
      </c>
      <c r="H5195" s="11" t="n">
        <v>25</v>
      </c>
      <c r="I5195" s="11" t="s">
        <v>361</v>
      </c>
      <c r="J5195" s="14" t="n">
        <v>175</v>
      </c>
      <c r="K5195" s="14"/>
      <c r="L5195" s="16"/>
      <c r="M5195" s="27" t="n">
        <f aca="false">J5195+(K5195/20)+(L5195/240)</f>
        <v>175</v>
      </c>
      <c r="N5195" s="17" t="s">
        <v>64</v>
      </c>
      <c r="O5195" s="11" t="s">
        <v>77</v>
      </c>
      <c r="P5195" s="28" t="n">
        <f aca="false">1514/100</f>
        <v>15.14</v>
      </c>
      <c r="Q5195" s="28" t="n">
        <v>2649</v>
      </c>
      <c r="R5195" s="28"/>
      <c r="S5195" s="28" t="n">
        <f aca="false">R5195*$M5195</f>
        <v>0</v>
      </c>
      <c r="T5195" s="28" t="n">
        <f aca="false">170926/100</f>
        <v>1709.26</v>
      </c>
      <c r="U5195" s="28" t="n">
        <v>299120</v>
      </c>
      <c r="V5195" s="28" t="n">
        <f aca="false">16985/100</f>
        <v>169.85</v>
      </c>
      <c r="W5195" s="28" t="n">
        <v>29724</v>
      </c>
      <c r="X5195" s="28" t="n">
        <f aca="false">4530/100</f>
        <v>45.3</v>
      </c>
      <c r="Y5195" s="28" t="n">
        <v>7927</v>
      </c>
      <c r="Z5195" s="28"/>
      <c r="AA5195" s="28" t="n">
        <f aca="false">Z5195*$M5195</f>
        <v>0</v>
      </c>
      <c r="AB5195" s="28" t="n">
        <f aca="false">33770/100</f>
        <v>337.7</v>
      </c>
      <c r="AC5195" s="28" t="n">
        <v>59097</v>
      </c>
      <c r="AD5195" s="28"/>
      <c r="AE5195" s="28" t="n">
        <f aca="false">AD5195*$M5195</f>
        <v>0</v>
      </c>
      <c r="AF5195" s="28" t="n">
        <f aca="false">4712/100</f>
        <v>47.12</v>
      </c>
      <c r="AG5195" s="28" t="n">
        <v>8246</v>
      </c>
      <c r="AH5195" s="28" t="n">
        <f aca="false">55822/100</f>
        <v>558.22</v>
      </c>
      <c r="AI5195" s="28" t="n">
        <v>97688</v>
      </c>
      <c r="AJ5195" s="28"/>
      <c r="AK5195" s="28" t="n">
        <f aca="false">AJ5195*$M5195</f>
        <v>0</v>
      </c>
      <c r="AL5195" s="28"/>
      <c r="AM5195" s="28" t="n">
        <f aca="false">AL5195*$M5195</f>
        <v>0</v>
      </c>
      <c r="AN5195" s="28"/>
      <c r="AO5195" s="28" t="n">
        <f aca="false">AN5195*$M5195</f>
        <v>0</v>
      </c>
      <c r="AP5195" s="28"/>
      <c r="AQ5195" s="28" t="n">
        <f aca="false">AP5195*$M5195</f>
        <v>0</v>
      </c>
      <c r="AR5195" s="28"/>
      <c r="AS5195" s="28" t="n">
        <f aca="false">AR5195*$M5195</f>
        <v>0</v>
      </c>
      <c r="AT5195" s="28"/>
      <c r="AU5195" s="28" t="n">
        <f aca="false">AT5195*$M5195</f>
        <v>0</v>
      </c>
      <c r="AV5195" s="28"/>
      <c r="AW5195" s="28" t="n">
        <f aca="false">AV5195*$M5195</f>
        <v>0</v>
      </c>
      <c r="AX5195" s="28"/>
      <c r="AY5195" s="28" t="n">
        <f aca="false">AX5195*$M5195</f>
        <v>0</v>
      </c>
      <c r="AZ5195" s="30" t="n">
        <f aca="false">288259/100</f>
        <v>2882.59</v>
      </c>
      <c r="BA5195" s="11" t="n">
        <v>504451</v>
      </c>
      <c r="BB5195" s="31" t="n">
        <f aca="false">SUM(Q5195,S5195,U5195,W5195,Y5195,AA5195,AC5195,AE5195,AG5195,AI5195,AK5195,AM5195,AO5195,AQ5195,AS5195,AU5195,AW5195,AY5195)</f>
        <v>504451</v>
      </c>
      <c r="BC5195" s="28" t="n">
        <f aca="false">BA5195-BB5195</f>
        <v>0</v>
      </c>
      <c r="BD5195" s="32" t="n">
        <f aca="false">SUM(P5195,R5195,T5195,V5195,X5195,Z5195,AB5195,AD5195,AF5195,AH5195,AJ5195,AL5195,AN5195,AP5195,AR5195,AT5195,AV5195,AX5195)</f>
        <v>2882.59</v>
      </c>
      <c r="BE5195" s="33" t="n">
        <f aca="false">AZ5195-BD5195</f>
        <v>0</v>
      </c>
      <c r="BF5195" s="34" t="n">
        <f aca="false">BD5195*M5195</f>
        <v>504453.25</v>
      </c>
      <c r="BG5195" s="35" t="n">
        <f aca="false">BA5195-BF5195</f>
        <v>-2.24999999994179</v>
      </c>
      <c r="BH5195" s="19" t="str">
        <f aca="false">IF(BG5195=0,"",IF(BG5195&lt;&gt;BA5195,"erreur de calcul",IF(BD5195&lt;&gt;0,"pas de prix",IF(M5195&lt;&gt; 0,"pas de quantité","pas de prix, ni de quantité"))))</f>
        <v>erreur de calcul</v>
      </c>
      <c r="BI5195" s="19"/>
    </row>
    <row r="5196" customFormat="false" ht="15" hidden="false" customHeight="false" outlineLevel="0" collapsed="false">
      <c r="A5196" s="0" t="n">
        <v>34</v>
      </c>
      <c r="B5196" s="8" t="s">
        <v>24</v>
      </c>
      <c r="C5196" s="9" t="s">
        <v>25</v>
      </c>
      <c r="D5196" s="9" t="s">
        <v>26</v>
      </c>
      <c r="E5196" s="10" t="n">
        <v>1789</v>
      </c>
      <c r="F5196" s="9" t="s">
        <v>27</v>
      </c>
      <c r="G5196" s="9" t="s">
        <v>27</v>
      </c>
      <c r="H5196" s="11" t="n">
        <v>25</v>
      </c>
      <c r="I5196" s="11" t="s">
        <v>362</v>
      </c>
      <c r="J5196" s="14" t="n">
        <v>150</v>
      </c>
      <c r="K5196" s="14"/>
      <c r="L5196" s="16"/>
      <c r="M5196" s="27" t="n">
        <f aca="false">J5196+(K5196/20)+(L5196/240)</f>
        <v>150</v>
      </c>
      <c r="N5196" s="17" t="s">
        <v>64</v>
      </c>
      <c r="O5196" s="11"/>
      <c r="P5196" s="28"/>
      <c r="Q5196" s="28" t="n">
        <f aca="false">P5196*$M5196</f>
        <v>0</v>
      </c>
      <c r="R5196" s="28"/>
      <c r="S5196" s="28" t="n">
        <f aca="false">R5196*$M5196</f>
        <v>0</v>
      </c>
      <c r="T5196" s="28" t="n">
        <f aca="false">1842/100</f>
        <v>18.42</v>
      </c>
      <c r="U5196" s="28" t="n">
        <v>2763</v>
      </c>
      <c r="V5196" s="28" t="n">
        <f aca="false">684/100</f>
        <v>6.84</v>
      </c>
      <c r="W5196" s="28" t="n">
        <v>1026</v>
      </c>
      <c r="X5196" s="28"/>
      <c r="Y5196" s="28" t="n">
        <f aca="false">X5196*$M5196</f>
        <v>0</v>
      </c>
      <c r="Z5196" s="28"/>
      <c r="AA5196" s="28" t="n">
        <f aca="false">Z5196*$M5196</f>
        <v>0</v>
      </c>
      <c r="AB5196" s="28"/>
      <c r="AC5196" s="28" t="n">
        <f aca="false">AB5196*$M5196</f>
        <v>0</v>
      </c>
      <c r="AD5196" s="28"/>
      <c r="AE5196" s="28" t="n">
        <f aca="false">AD5196*$M5196</f>
        <v>0</v>
      </c>
      <c r="AF5196" s="28"/>
      <c r="AG5196" s="28" t="n">
        <f aca="false">AF5196*$M5196</f>
        <v>0</v>
      </c>
      <c r="AH5196" s="28"/>
      <c r="AI5196" s="28" t="n">
        <f aca="false">AH5196*$M5196</f>
        <v>0</v>
      </c>
      <c r="AJ5196" s="28"/>
      <c r="AK5196" s="28" t="n">
        <f aca="false">AJ5196*$M5196</f>
        <v>0</v>
      </c>
      <c r="AL5196" s="28"/>
      <c r="AM5196" s="28" t="n">
        <f aca="false">AL5196*$M5196</f>
        <v>0</v>
      </c>
      <c r="AN5196" s="28"/>
      <c r="AO5196" s="28" t="n">
        <f aca="false">AN5196*$M5196</f>
        <v>0</v>
      </c>
      <c r="AP5196" s="28"/>
      <c r="AQ5196" s="28" t="n">
        <f aca="false">AP5196*$M5196</f>
        <v>0</v>
      </c>
      <c r="AR5196" s="28"/>
      <c r="AS5196" s="28" t="n">
        <f aca="false">AR5196*$M5196</f>
        <v>0</v>
      </c>
      <c r="AT5196" s="28"/>
      <c r="AU5196" s="28" t="n">
        <f aca="false">AT5196*$M5196</f>
        <v>0</v>
      </c>
      <c r="AV5196" s="28"/>
      <c r="AW5196" s="28" t="n">
        <f aca="false">AV5196*$M5196</f>
        <v>0</v>
      </c>
      <c r="AX5196" s="28"/>
      <c r="AY5196" s="28" t="n">
        <f aca="false">AX5196*$M5196</f>
        <v>0</v>
      </c>
      <c r="AZ5196" s="30" t="n">
        <f aca="false">2526/100</f>
        <v>25.26</v>
      </c>
      <c r="BA5196" s="11" t="n">
        <v>3789</v>
      </c>
      <c r="BB5196" s="31" t="n">
        <f aca="false">SUM(Q5196,S5196,U5196,W5196,Y5196,AA5196,AC5196,AE5196,AG5196,AI5196,AK5196,AM5196,AO5196,AQ5196,AS5196,AU5196,AW5196,AY5196)</f>
        <v>3789</v>
      </c>
      <c r="BC5196" s="28" t="n">
        <f aca="false">BA5196-BB5196</f>
        <v>0</v>
      </c>
      <c r="BD5196" s="32" t="n">
        <f aca="false">SUM(P5196,R5196,T5196,V5196,X5196,Z5196,AB5196,AD5196,AF5196,AH5196,AJ5196,AL5196,AN5196,AP5196,AR5196,AT5196,AV5196,AX5196)</f>
        <v>25.26</v>
      </c>
      <c r="BE5196" s="33" t="n">
        <f aca="false">AZ5196-BD5196</f>
        <v>0</v>
      </c>
      <c r="BF5196" s="34" t="n">
        <f aca="false">BD5196*M5196</f>
        <v>3789</v>
      </c>
      <c r="BG5196" s="35" t="n">
        <f aca="false">BA5196-BF5196</f>
        <v>0</v>
      </c>
      <c r="BH5196" s="19" t="str">
        <f aca="false">IF(BG5196=0,"",IF(BG5196&lt;&gt;BA5196,"erreur de calcul",IF(BD5196&lt;&gt;0,"pas de prix",IF(M5196&lt;&gt; 0,"pas de quantité","pas de prix, ni de quantité"))))</f>
        <v/>
      </c>
      <c r="BI5196" s="19"/>
    </row>
    <row r="5197" customFormat="false" ht="15" hidden="false" customHeight="false" outlineLevel="0" collapsed="false">
      <c r="A5197" s="0" t="n">
        <v>35</v>
      </c>
      <c r="B5197" s="8" t="s">
        <v>24</v>
      </c>
      <c r="C5197" s="9" t="s">
        <v>25</v>
      </c>
      <c r="D5197" s="9" t="s">
        <v>26</v>
      </c>
      <c r="E5197" s="10" t="n">
        <v>1789</v>
      </c>
      <c r="F5197" s="9" t="s">
        <v>27</v>
      </c>
      <c r="G5197" s="9" t="s">
        <v>27</v>
      </c>
      <c r="H5197" s="11" t="n">
        <v>25</v>
      </c>
      <c r="I5197" s="11" t="s">
        <v>363</v>
      </c>
      <c r="J5197" s="14" t="n">
        <v>150</v>
      </c>
      <c r="K5197" s="14"/>
      <c r="L5197" s="16"/>
      <c r="M5197" s="27" t="n">
        <f aca="false">J5197+(K5197/20)+(L5197/240)</f>
        <v>150</v>
      </c>
      <c r="N5197" s="17" t="s">
        <v>64</v>
      </c>
      <c r="O5197" s="11" t="s">
        <v>77</v>
      </c>
      <c r="P5197" s="28"/>
      <c r="Q5197" s="28" t="n">
        <f aca="false">P5197*$M5197</f>
        <v>0</v>
      </c>
      <c r="R5197" s="28"/>
      <c r="S5197" s="28" t="n">
        <f aca="false">R5197*$M5197</f>
        <v>0</v>
      </c>
      <c r="T5197" s="28"/>
      <c r="U5197" s="28" t="n">
        <f aca="false">T5197*$M5197</f>
        <v>0</v>
      </c>
      <c r="V5197" s="28" t="n">
        <f aca="false">1501/100</f>
        <v>15.01</v>
      </c>
      <c r="W5197" s="28" t="n">
        <v>2251</v>
      </c>
      <c r="X5197" s="28"/>
      <c r="Y5197" s="28" t="n">
        <f aca="false">X5197*$M5197</f>
        <v>0</v>
      </c>
      <c r="Z5197" s="28" t="n">
        <f aca="false">6420/100</f>
        <v>64.2</v>
      </c>
      <c r="AA5197" s="28" t="n">
        <v>9630</v>
      </c>
      <c r="AB5197" s="28"/>
      <c r="AC5197" s="28" t="n">
        <f aca="false">AB5197*$M5197</f>
        <v>0</v>
      </c>
      <c r="AD5197" s="28"/>
      <c r="AE5197" s="28" t="n">
        <f aca="false">AD5197*$M5197</f>
        <v>0</v>
      </c>
      <c r="AF5197" s="28"/>
      <c r="AG5197" s="28" t="n">
        <f aca="false">AF5197*$M5197</f>
        <v>0</v>
      </c>
      <c r="AH5197" s="28" t="n">
        <f aca="false">138039/100</f>
        <v>1380.39</v>
      </c>
      <c r="AI5197" s="28" t="n">
        <v>207058</v>
      </c>
      <c r="AJ5197" s="28"/>
      <c r="AK5197" s="28" t="n">
        <f aca="false">AJ5197*$M5197</f>
        <v>0</v>
      </c>
      <c r="AL5197" s="28" t="n">
        <f aca="false">917/100</f>
        <v>9.17</v>
      </c>
      <c r="AM5197" s="28" t="n">
        <v>1375</v>
      </c>
      <c r="AN5197" s="28"/>
      <c r="AO5197" s="28" t="n">
        <f aca="false">AN5197*$M5197</f>
        <v>0</v>
      </c>
      <c r="AP5197" s="28"/>
      <c r="AQ5197" s="28" t="n">
        <f aca="false">AP5197*$M5197</f>
        <v>0</v>
      </c>
      <c r="AR5197" s="28"/>
      <c r="AS5197" s="28" t="n">
        <f aca="false">AR5197*$M5197</f>
        <v>0</v>
      </c>
      <c r="AT5197" s="28"/>
      <c r="AU5197" s="28" t="n">
        <f aca="false">AT5197*$M5197</f>
        <v>0</v>
      </c>
      <c r="AV5197" s="28"/>
      <c r="AW5197" s="28" t="n">
        <f aca="false">AV5197*$M5197</f>
        <v>0</v>
      </c>
      <c r="AX5197" s="28"/>
      <c r="AY5197" s="28" t="n">
        <f aca="false">AX5197*$M5197</f>
        <v>0</v>
      </c>
      <c r="AZ5197" s="30" t="n">
        <f aca="false">146877/100</f>
        <v>1468.77</v>
      </c>
      <c r="BA5197" s="11" t="n">
        <v>220314</v>
      </c>
      <c r="BB5197" s="31" t="n">
        <f aca="false">SUM(Q5197,S5197,U5197,W5197,Y5197,AA5197,AC5197,AE5197,AG5197,AI5197,AK5197,AM5197,AO5197,AQ5197,AS5197,AU5197,AW5197,AY5197)</f>
        <v>220314</v>
      </c>
      <c r="BC5197" s="28" t="n">
        <f aca="false">BA5197-BB5197</f>
        <v>0</v>
      </c>
      <c r="BD5197" s="32" t="n">
        <f aca="false">SUM(P5197,R5197,T5197,V5197,X5197,Z5197,AB5197,AD5197,AF5197,AH5197,AJ5197,AL5197,AN5197,AP5197,AR5197,AT5197,AV5197,AX5197)</f>
        <v>1468.77</v>
      </c>
      <c r="BE5197" s="33" t="n">
        <f aca="false">AZ5197-BD5197</f>
        <v>0</v>
      </c>
      <c r="BF5197" s="34" t="n">
        <f aca="false">BD5197*M5197</f>
        <v>220315.5</v>
      </c>
      <c r="BG5197" s="35" t="n">
        <f aca="false">BA5197-BF5197</f>
        <v>-1.5000000000291</v>
      </c>
      <c r="BH5197" s="19" t="str">
        <f aca="false">IF(BG5197=0,"",IF(BG5197&lt;&gt;BA5197,"erreur de calcul",IF(BD5197&lt;&gt;0,"pas de prix",IF(M5197&lt;&gt; 0,"pas de quantité","pas de prix, ni de quantité"))))</f>
        <v>erreur de calcul</v>
      </c>
      <c r="BI5197" s="19"/>
    </row>
    <row r="5198" customFormat="false" ht="15" hidden="false" customHeight="false" outlineLevel="0" collapsed="false">
      <c r="A5198" s="0" t="n">
        <v>36</v>
      </c>
      <c r="B5198" s="8" t="s">
        <v>24</v>
      </c>
      <c r="C5198" s="9" t="s">
        <v>25</v>
      </c>
      <c r="D5198" s="9" t="s">
        <v>26</v>
      </c>
      <c r="E5198" s="10" t="n">
        <v>1789</v>
      </c>
      <c r="F5198" s="9" t="s">
        <v>27</v>
      </c>
      <c r="G5198" s="9" t="s">
        <v>27</v>
      </c>
      <c r="H5198" s="11" t="n">
        <v>25</v>
      </c>
      <c r="I5198" s="11" t="s">
        <v>364</v>
      </c>
      <c r="J5198" s="14" t="n">
        <v>122</v>
      </c>
      <c r="K5198" s="14"/>
      <c r="L5198" s="16"/>
      <c r="M5198" s="27" t="n">
        <f aca="false">J5198+(K5198/20)+(L5198/240)</f>
        <v>122</v>
      </c>
      <c r="N5198" s="17" t="s">
        <v>64</v>
      </c>
      <c r="O5198" s="11" t="s">
        <v>77</v>
      </c>
      <c r="P5198" s="28" t="n">
        <f aca="false">2402/100</f>
        <v>24.02</v>
      </c>
      <c r="Q5198" s="28" t="n">
        <v>2930</v>
      </c>
      <c r="R5198" s="28"/>
      <c r="S5198" s="28" t="n">
        <f aca="false">R5198*$M5198</f>
        <v>0</v>
      </c>
      <c r="T5198" s="28" t="n">
        <f aca="false">3566/100</f>
        <v>35.66</v>
      </c>
      <c r="U5198" s="36" t="n">
        <v>4550</v>
      </c>
      <c r="V5198" s="28" t="n">
        <f aca="false">917/100</f>
        <v>9.17</v>
      </c>
      <c r="W5198" s="28" t="n">
        <v>1119</v>
      </c>
      <c r="X5198" s="28"/>
      <c r="Y5198" s="28" t="n">
        <f aca="false">X5198*$M5198</f>
        <v>0</v>
      </c>
      <c r="Z5198" s="28"/>
      <c r="AA5198" s="28" t="n">
        <f aca="false">Z5198*$M5198</f>
        <v>0</v>
      </c>
      <c r="AB5198" s="28" t="n">
        <f aca="false">28087/100</f>
        <v>280.87</v>
      </c>
      <c r="AC5198" s="28" t="n">
        <v>34266</v>
      </c>
      <c r="AD5198" s="28" t="n">
        <f aca="false">1505/100</f>
        <v>15.05</v>
      </c>
      <c r="AE5198" s="28" t="n">
        <v>1836</v>
      </c>
      <c r="AF5198" s="28"/>
      <c r="AG5198" s="28" t="n">
        <f aca="false">AF5198*$M5198</f>
        <v>0</v>
      </c>
      <c r="AH5198" s="28" t="n">
        <f aca="false">15314/100</f>
        <v>153.14</v>
      </c>
      <c r="AI5198" s="28" t="n">
        <v>18683</v>
      </c>
      <c r="AJ5198" s="28"/>
      <c r="AK5198" s="28" t="n">
        <f aca="false">AJ5198*$M5198</f>
        <v>0</v>
      </c>
      <c r="AL5198" s="28"/>
      <c r="AM5198" s="28" t="n">
        <f aca="false">AL5198*$M5198</f>
        <v>0</v>
      </c>
      <c r="AN5198" s="28"/>
      <c r="AO5198" s="28" t="n">
        <f aca="false">AN5198*$M5198</f>
        <v>0</v>
      </c>
      <c r="AP5198" s="28"/>
      <c r="AQ5198" s="28" t="n">
        <f aca="false">AP5198*$M5198</f>
        <v>0</v>
      </c>
      <c r="AR5198" s="28"/>
      <c r="AS5198" s="28" t="n">
        <f aca="false">AR5198*$M5198</f>
        <v>0</v>
      </c>
      <c r="AT5198" s="28"/>
      <c r="AU5198" s="28" t="n">
        <f aca="false">AT5198*$M5198</f>
        <v>0</v>
      </c>
      <c r="AV5198" s="28"/>
      <c r="AW5198" s="28" t="n">
        <f aca="false">AV5198*$M5198</f>
        <v>0</v>
      </c>
      <c r="AX5198" s="28"/>
      <c r="AY5198" s="28" t="n">
        <f aca="false">AX5198*$M5198</f>
        <v>0</v>
      </c>
      <c r="AZ5198" s="30" t="n">
        <f aca="false">51791/100</f>
        <v>517.91</v>
      </c>
      <c r="BA5198" s="11" t="n">
        <v>63384</v>
      </c>
      <c r="BB5198" s="31" t="n">
        <f aca="false">SUM(Q5198,S5198,U5198,W5198,Y5198,AA5198,AC5198,AE5198,AG5198,AI5198,AK5198,AM5198,AO5198,AQ5198,AS5198,AU5198,AW5198,AY5198)</f>
        <v>63384</v>
      </c>
      <c r="BC5198" s="28" t="n">
        <f aca="false">BA5198-BB5198</f>
        <v>0</v>
      </c>
      <c r="BD5198" s="32" t="n">
        <f aca="false">SUM(P5198,R5198,T5198,V5198,X5198,Z5198,AB5198,AD5198,AF5198,AH5198,AJ5198,AL5198,AN5198,AP5198,AR5198,AT5198,AV5198,AX5198)</f>
        <v>517.91</v>
      </c>
      <c r="BE5198" s="33" t="n">
        <f aca="false">AZ5198-BD5198</f>
        <v>0</v>
      </c>
      <c r="BF5198" s="34" t="n">
        <f aca="false">BD5198*M5198</f>
        <v>63185.02</v>
      </c>
      <c r="BG5198" s="35" t="n">
        <f aca="false">BA5198-BF5198</f>
        <v>198.980000000003</v>
      </c>
      <c r="BH5198" s="19" t="str">
        <f aca="false">IF(BG5198=0,"",IF(BG5198&lt;&gt;BA5198,"erreur de calcul",IF(BD5198&lt;&gt;0,"pas de prix",IF(M5198&lt;&gt; 0,"pas de quantité","pas de prix, ni de quantité"))))</f>
        <v>erreur de calcul</v>
      </c>
      <c r="BI5198" s="19"/>
    </row>
    <row r="5199" customFormat="false" ht="15" hidden="false" customHeight="false" outlineLevel="0" collapsed="false">
      <c r="A5199" s="0" t="n">
        <v>37</v>
      </c>
      <c r="B5199" s="8" t="s">
        <v>24</v>
      </c>
      <c r="C5199" s="9" t="s">
        <v>25</v>
      </c>
      <c r="D5199" s="9" t="s">
        <v>26</v>
      </c>
      <c r="E5199" s="10" t="n">
        <v>1789</v>
      </c>
      <c r="F5199" s="9" t="s">
        <v>27</v>
      </c>
      <c r="G5199" s="9" t="s">
        <v>27</v>
      </c>
      <c r="H5199" s="11" t="n">
        <v>25</v>
      </c>
      <c r="I5199" s="11" t="s">
        <v>365</v>
      </c>
      <c r="J5199" s="14" t="n">
        <v>107</v>
      </c>
      <c r="K5199" s="14"/>
      <c r="L5199" s="16"/>
      <c r="M5199" s="27" t="n">
        <f aca="false">J5199+(K5199/20)+(L5199/240)</f>
        <v>107</v>
      </c>
      <c r="N5199" s="17" t="s">
        <v>64</v>
      </c>
      <c r="O5199" s="11" t="s">
        <v>77</v>
      </c>
      <c r="P5199" s="28"/>
      <c r="Q5199" s="28" t="n">
        <f aca="false">P5199*$M5199</f>
        <v>0</v>
      </c>
      <c r="R5199" s="28"/>
      <c r="S5199" s="28" t="n">
        <f aca="false">R5199*$M5199</f>
        <v>0</v>
      </c>
      <c r="T5199" s="28" t="n">
        <f aca="false">1834/100</f>
        <v>18.34</v>
      </c>
      <c r="U5199" s="28" t="n">
        <v>1962</v>
      </c>
      <c r="V5199" s="28"/>
      <c r="W5199" s="28" t="n">
        <f aca="false">V5199*$M5199</f>
        <v>0</v>
      </c>
      <c r="X5199" s="28"/>
      <c r="Y5199" s="28" t="n">
        <f aca="false">X5199*$M5199</f>
        <v>0</v>
      </c>
      <c r="Z5199" s="28"/>
      <c r="AA5199" s="28" t="n">
        <f aca="false">Z5199*$M5199</f>
        <v>0</v>
      </c>
      <c r="AB5199" s="28"/>
      <c r="AC5199" s="28" t="n">
        <f aca="false">AB5199*$M5199</f>
        <v>0</v>
      </c>
      <c r="AD5199" s="28"/>
      <c r="AE5199" s="28" t="n">
        <f aca="false">AD5199*$M5199</f>
        <v>0</v>
      </c>
      <c r="AF5199" s="28" t="n">
        <f aca="false">5202/100</f>
        <v>52.02</v>
      </c>
      <c r="AG5199" s="28" t="n">
        <v>5566</v>
      </c>
      <c r="AH5199" s="28"/>
      <c r="AI5199" s="28" t="n">
        <f aca="false">AH5199*$M5199</f>
        <v>0</v>
      </c>
      <c r="AJ5199" s="28" t="n">
        <f aca="false">3209/100</f>
        <v>32.09</v>
      </c>
      <c r="AK5199" s="28" t="n">
        <v>3434</v>
      </c>
      <c r="AL5199" s="28" t="n">
        <f aca="false">80682/100</f>
        <v>806.82</v>
      </c>
      <c r="AM5199" s="28" t="n">
        <v>86329</v>
      </c>
      <c r="AN5199" s="28"/>
      <c r="AO5199" s="28" t="n">
        <f aca="false">AN5199*$M5199</f>
        <v>0</v>
      </c>
      <c r="AP5199" s="28"/>
      <c r="AQ5199" s="28" t="n">
        <f aca="false">AP5199*$M5199</f>
        <v>0</v>
      </c>
      <c r="AR5199" s="28"/>
      <c r="AS5199" s="28" t="n">
        <f aca="false">AR5199*$M5199</f>
        <v>0</v>
      </c>
      <c r="AT5199" s="28"/>
      <c r="AU5199" s="28" t="n">
        <f aca="false">AT5199*$M5199</f>
        <v>0</v>
      </c>
      <c r="AV5199" s="28"/>
      <c r="AW5199" s="28" t="n">
        <f aca="false">AV5199*$M5199</f>
        <v>0</v>
      </c>
      <c r="AX5199" s="28"/>
      <c r="AY5199" s="28" t="n">
        <f aca="false">AX5199*$M5199</f>
        <v>0</v>
      </c>
      <c r="AZ5199" s="30" t="n">
        <f aca="false">90927/100</f>
        <v>909.27</v>
      </c>
      <c r="BA5199" s="11" t="n">
        <v>97291</v>
      </c>
      <c r="BB5199" s="31" t="n">
        <f aca="false">SUM(Q5199,S5199,U5199,W5199,Y5199,AA5199,AC5199,AE5199,AG5199,AI5199,AK5199,AM5199,AO5199,AQ5199,AS5199,AU5199,AW5199,AY5199)</f>
        <v>97291</v>
      </c>
      <c r="BC5199" s="28" t="n">
        <f aca="false">BA5199-BB5199</f>
        <v>0</v>
      </c>
      <c r="BD5199" s="32" t="n">
        <f aca="false">SUM(P5199,R5199,T5199,V5199,X5199,Z5199,AB5199,AD5199,AF5199,AH5199,AJ5199,AL5199,AN5199,AP5199,AR5199,AT5199,AV5199,AX5199)</f>
        <v>909.27</v>
      </c>
      <c r="BE5199" s="33" t="n">
        <f aca="false">AZ5199-BD5199</f>
        <v>0</v>
      </c>
      <c r="BF5199" s="34" t="n">
        <f aca="false">BD5199*M5199</f>
        <v>97291.89</v>
      </c>
      <c r="BG5199" s="35" t="n">
        <f aca="false">BA5199-BF5199</f>
        <v>-0.89000000001397</v>
      </c>
      <c r="BH5199" s="19" t="str">
        <f aca="false">IF(BG5199=0,"",IF(BG5199&lt;&gt;BA5199,"erreur de calcul",IF(BD5199&lt;&gt;0,"pas de prix",IF(M5199&lt;&gt; 0,"pas de quantité","pas de prix, ni de quantité"))))</f>
        <v>erreur de calcul</v>
      </c>
      <c r="BI5199" s="19"/>
    </row>
    <row r="5200" customFormat="false" ht="15" hidden="false" customHeight="false" outlineLevel="0" collapsed="false">
      <c r="A5200" s="0" t="n">
        <v>38</v>
      </c>
      <c r="B5200" s="8" t="s">
        <v>24</v>
      </c>
      <c r="C5200" s="9" t="s">
        <v>25</v>
      </c>
      <c r="D5200" s="9" t="s">
        <v>26</v>
      </c>
      <c r="E5200" s="10" t="n">
        <v>1789</v>
      </c>
      <c r="F5200" s="9" t="s">
        <v>27</v>
      </c>
      <c r="G5200" s="9" t="s">
        <v>27</v>
      </c>
      <c r="H5200" s="11" t="n">
        <v>25</v>
      </c>
      <c r="I5200" s="11" t="s">
        <v>366</v>
      </c>
      <c r="J5200" s="14"/>
      <c r="K5200" s="14"/>
      <c r="L5200" s="16"/>
      <c r="M5200" s="27" t="n">
        <f aca="false">J5200+(K5200/20)+(L5200/240)</f>
        <v>0</v>
      </c>
      <c r="N5200" s="17" t="s">
        <v>66</v>
      </c>
      <c r="O5200" s="11"/>
      <c r="P5200" s="28"/>
      <c r="Q5200" s="28" t="n">
        <f aca="false">P5200*$M5200</f>
        <v>0</v>
      </c>
      <c r="R5200" s="28"/>
      <c r="S5200" s="28" t="n">
        <f aca="false">R5200*$M5200</f>
        <v>0</v>
      </c>
      <c r="T5200" s="28"/>
      <c r="U5200" s="28" t="n">
        <f aca="false">T5200*$M5200</f>
        <v>0</v>
      </c>
      <c r="V5200" s="28" t="n">
        <v>797</v>
      </c>
      <c r="W5200" s="28" t="n">
        <v>720</v>
      </c>
      <c r="X5200" s="28"/>
      <c r="Y5200" s="28" t="n">
        <f aca="false">X5200*$M5200</f>
        <v>0</v>
      </c>
      <c r="Z5200" s="28"/>
      <c r="AA5200" s="28" t="n">
        <f aca="false">Z5200*$M5200</f>
        <v>0</v>
      </c>
      <c r="AB5200" s="28"/>
      <c r="AC5200" s="28" t="n">
        <f aca="false">AB5200*$M5200</f>
        <v>0</v>
      </c>
      <c r="AD5200" s="28"/>
      <c r="AE5200" s="28" t="n">
        <f aca="false">AD5200*$M5200</f>
        <v>0</v>
      </c>
      <c r="AF5200" s="28"/>
      <c r="AG5200" s="28" t="n">
        <f aca="false">AF5200*$M5200</f>
        <v>0</v>
      </c>
      <c r="AH5200" s="28"/>
      <c r="AI5200" s="28" t="n">
        <f aca="false">AH5200*$M5200</f>
        <v>0</v>
      </c>
      <c r="AJ5200" s="28"/>
      <c r="AK5200" s="28" t="n">
        <f aca="false">AJ5200*$M5200</f>
        <v>0</v>
      </c>
      <c r="AL5200" s="28"/>
      <c r="AM5200" s="28" t="n">
        <f aca="false">AL5200*$M5200</f>
        <v>0</v>
      </c>
      <c r="AN5200" s="28"/>
      <c r="AO5200" s="28" t="n">
        <f aca="false">AN5200*$M5200</f>
        <v>0</v>
      </c>
      <c r="AP5200" s="28"/>
      <c r="AQ5200" s="28" t="n">
        <f aca="false">AP5200*$M5200</f>
        <v>0</v>
      </c>
      <c r="AR5200" s="28"/>
      <c r="AS5200" s="28" t="n">
        <f aca="false">AR5200*$M5200</f>
        <v>0</v>
      </c>
      <c r="AT5200" s="28"/>
      <c r="AU5200" s="28" t="n">
        <f aca="false">AT5200*$M5200</f>
        <v>0</v>
      </c>
      <c r="AV5200" s="28"/>
      <c r="AW5200" s="28" t="n">
        <f aca="false">AV5200*$M5200</f>
        <v>0</v>
      </c>
      <c r="AX5200" s="28"/>
      <c r="AY5200" s="28" t="n">
        <f aca="false">AX5200*$M5200</f>
        <v>0</v>
      </c>
      <c r="AZ5200" s="30" t="n">
        <v>797</v>
      </c>
      <c r="BA5200" s="11" t="n">
        <v>720</v>
      </c>
      <c r="BB5200" s="31" t="n">
        <f aca="false">SUM(Q5200,S5200,U5200,W5200,Y5200,AA5200,AC5200,AE5200,AG5200,AI5200,AK5200,AM5200,AO5200,AQ5200,AS5200,AU5200,AW5200,AY5200)</f>
        <v>720</v>
      </c>
      <c r="BC5200" s="28" t="n">
        <f aca="false">BA5200-BB5200</f>
        <v>0</v>
      </c>
      <c r="BD5200" s="32" t="n">
        <f aca="false">SUM(P5200,R5200,T5200,V5200,X5200,Z5200,AB5200,AD5200,AF5200,AH5200,AJ5200,AL5200,AN5200,AP5200,AR5200,AT5200,AV5200,AX5200)</f>
        <v>797</v>
      </c>
      <c r="BE5200" s="33" t="n">
        <f aca="false">AZ5200-BD5200</f>
        <v>0</v>
      </c>
      <c r="BF5200" s="34" t="n">
        <f aca="false">BD5200*M5200</f>
        <v>0</v>
      </c>
      <c r="BG5200" s="35" t="n">
        <f aca="false">BA5200-BF5200</f>
        <v>720</v>
      </c>
      <c r="BH5200" s="19" t="str">
        <f aca="false">IF(BG5200=0,"",IF(BG5200&lt;&gt;BA5200,"erreur de calcul",IF(BD5200&lt;&gt;0,"pas de prix",IF(M5200&lt;&gt; 0,"pas de quantité","pas de prix, ni de quantité"))))</f>
        <v>pas de prix</v>
      </c>
      <c r="BI5200" s="19" t="s">
        <v>367</v>
      </c>
    </row>
    <row r="5201" customFormat="false" ht="15" hidden="false" customHeight="false" outlineLevel="0" collapsed="false">
      <c r="A5201" s="0" t="n">
        <v>39</v>
      </c>
      <c r="B5201" s="8" t="s">
        <v>24</v>
      </c>
      <c r="C5201" s="9" t="s">
        <v>25</v>
      </c>
      <c r="D5201" s="9" t="s">
        <v>26</v>
      </c>
      <c r="E5201" s="10" t="n">
        <v>1789</v>
      </c>
      <c r="F5201" s="9" t="s">
        <v>27</v>
      </c>
      <c r="G5201" s="9" t="s">
        <v>27</v>
      </c>
      <c r="H5201" s="11" t="n">
        <v>25</v>
      </c>
      <c r="I5201" s="11" t="s">
        <v>368</v>
      </c>
      <c r="J5201" s="14" t="n">
        <v>4</v>
      </c>
      <c r="K5201" s="14"/>
      <c r="L5201" s="16"/>
      <c r="M5201" s="27" t="n">
        <f aca="false">J5201+(K5201/20)+(L5201/240)</f>
        <v>4</v>
      </c>
      <c r="N5201" s="17" t="s">
        <v>64</v>
      </c>
      <c r="O5201" s="11"/>
      <c r="P5201" s="28"/>
      <c r="Q5201" s="28" t="n">
        <f aca="false">P5201*$M5201</f>
        <v>0</v>
      </c>
      <c r="R5201" s="28"/>
      <c r="S5201" s="28" t="n">
        <f aca="false">R5201*$M5201</f>
        <v>0</v>
      </c>
      <c r="T5201" s="28"/>
      <c r="U5201" s="28" t="n">
        <f aca="false">T5201*$M5201</f>
        <v>0</v>
      </c>
      <c r="V5201" s="28" t="n">
        <f aca="false">23693/100</f>
        <v>236.93</v>
      </c>
      <c r="W5201" s="28" t="n">
        <v>948</v>
      </c>
      <c r="X5201" s="28"/>
      <c r="Y5201" s="28" t="n">
        <f aca="false">X5201*$M5201</f>
        <v>0</v>
      </c>
      <c r="Z5201" s="28"/>
      <c r="AA5201" s="28" t="n">
        <f aca="false">Z5201*$M5201</f>
        <v>0</v>
      </c>
      <c r="AB5201" s="28"/>
      <c r="AC5201" s="28" t="n">
        <f aca="false">AB5201*$M5201</f>
        <v>0</v>
      </c>
      <c r="AD5201" s="28"/>
      <c r="AE5201" s="28" t="n">
        <f aca="false">AD5201*$M5201</f>
        <v>0</v>
      </c>
      <c r="AF5201" s="28"/>
      <c r="AG5201" s="28" t="n">
        <f aca="false">AF5201*$M5201</f>
        <v>0</v>
      </c>
      <c r="AH5201" s="28"/>
      <c r="AI5201" s="28" t="n">
        <f aca="false">AH5201*$M5201</f>
        <v>0</v>
      </c>
      <c r="AJ5201" s="28"/>
      <c r="AK5201" s="28" t="n">
        <f aca="false">AJ5201*$M5201</f>
        <v>0</v>
      </c>
      <c r="AL5201" s="28"/>
      <c r="AM5201" s="28" t="n">
        <f aca="false">AL5201*$M5201</f>
        <v>0</v>
      </c>
      <c r="AN5201" s="28"/>
      <c r="AO5201" s="28" t="n">
        <f aca="false">AN5201*$M5201</f>
        <v>0</v>
      </c>
      <c r="AP5201" s="28"/>
      <c r="AQ5201" s="28" t="n">
        <f aca="false">AP5201*$M5201</f>
        <v>0</v>
      </c>
      <c r="AR5201" s="28"/>
      <c r="AS5201" s="28" t="n">
        <f aca="false">AR5201*$M5201</f>
        <v>0</v>
      </c>
      <c r="AT5201" s="28"/>
      <c r="AU5201" s="28" t="n">
        <f aca="false">AT5201*$M5201</f>
        <v>0</v>
      </c>
      <c r="AV5201" s="28"/>
      <c r="AW5201" s="28" t="n">
        <f aca="false">AV5201*$M5201</f>
        <v>0</v>
      </c>
      <c r="AX5201" s="28"/>
      <c r="AY5201" s="28" t="n">
        <f aca="false">AX5201*$M5201</f>
        <v>0</v>
      </c>
      <c r="AZ5201" s="30" t="n">
        <f aca="false">23693/100</f>
        <v>236.93</v>
      </c>
      <c r="BA5201" s="11" t="n">
        <v>948</v>
      </c>
      <c r="BB5201" s="31" t="n">
        <f aca="false">SUM(Q5201,S5201,U5201,W5201,Y5201,AA5201,AC5201,AE5201,AG5201,AI5201,AK5201,AM5201,AO5201,AQ5201,AS5201,AU5201,AW5201,AY5201)</f>
        <v>948</v>
      </c>
      <c r="BC5201" s="28" t="n">
        <f aca="false">BA5201-BB5201</f>
        <v>0</v>
      </c>
      <c r="BD5201" s="32" t="n">
        <f aca="false">SUM(P5201,R5201,T5201,V5201,X5201,Z5201,AB5201,AD5201,AF5201,AH5201,AJ5201,AL5201,AN5201,AP5201,AR5201,AT5201,AV5201,AX5201)</f>
        <v>236.93</v>
      </c>
      <c r="BE5201" s="33" t="n">
        <f aca="false">AZ5201-BD5201</f>
        <v>0</v>
      </c>
      <c r="BF5201" s="34" t="n">
        <f aca="false">BD5201*M5201</f>
        <v>947.72</v>
      </c>
      <c r="BG5201" s="35" t="n">
        <f aca="false">BA5201-BF5201</f>
        <v>0.279999999999973</v>
      </c>
      <c r="BH5201" s="19" t="str">
        <f aca="false">IF(BG5201=0,"",IF(BG5201&lt;&gt;BA5201,"erreur de calcul",IF(BD5201&lt;&gt;0,"pas de prix",IF(M5201&lt;&gt; 0,"pas de quantité","pas de prix, ni de quantité"))))</f>
        <v>erreur de calcul</v>
      </c>
      <c r="BI5201" s="19"/>
    </row>
    <row r="5202" customFormat="false" ht="15" hidden="false" customHeight="false" outlineLevel="0" collapsed="false">
      <c r="A5202" s="0" t="n">
        <v>40</v>
      </c>
      <c r="B5202" s="8" t="s">
        <v>24</v>
      </c>
      <c r="C5202" s="9" t="s">
        <v>25</v>
      </c>
      <c r="D5202" s="9" t="s">
        <v>26</v>
      </c>
      <c r="E5202" s="10" t="n">
        <v>1789</v>
      </c>
      <c r="F5202" s="9" t="s">
        <v>27</v>
      </c>
      <c r="G5202" s="9" t="s">
        <v>27</v>
      </c>
      <c r="H5202" s="11" t="n">
        <v>25</v>
      </c>
      <c r="I5202" s="11" t="s">
        <v>369</v>
      </c>
      <c r="J5202" s="14" t="n">
        <v>92</v>
      </c>
      <c r="K5202" s="14"/>
      <c r="L5202" s="16"/>
      <c r="M5202" s="27" t="n">
        <f aca="false">J5202+(K5202/20)+(L5202/240)</f>
        <v>92</v>
      </c>
      <c r="N5202" s="17" t="s">
        <v>64</v>
      </c>
      <c r="O5202" s="11"/>
      <c r="P5202" s="28"/>
      <c r="Q5202" s="28" t="n">
        <f aca="false">P5202*$M5202</f>
        <v>0</v>
      </c>
      <c r="R5202" s="28"/>
      <c r="S5202" s="28" t="n">
        <f aca="false">R5202*$M5202</f>
        <v>0</v>
      </c>
      <c r="T5202" s="28"/>
      <c r="U5202" s="28" t="n">
        <f aca="false">T5202*$M5202</f>
        <v>0</v>
      </c>
      <c r="V5202" s="28" t="n">
        <f aca="false">82878/100</f>
        <v>828.78</v>
      </c>
      <c r="W5202" s="28" t="n">
        <v>76248</v>
      </c>
      <c r="X5202" s="28" t="n">
        <f aca="false">44264/100</f>
        <v>442.64</v>
      </c>
      <c r="Y5202" s="36" t="n">
        <v>41023</v>
      </c>
      <c r="Z5202" s="28"/>
      <c r="AA5202" s="28" t="n">
        <f aca="false">Z5202*$M5202</f>
        <v>0</v>
      </c>
      <c r="AB5202" s="28"/>
      <c r="AC5202" s="28" t="n">
        <f aca="false">AB5202*$M5202</f>
        <v>0</v>
      </c>
      <c r="AD5202" s="28"/>
      <c r="AE5202" s="28" t="n">
        <f aca="false">AD5202*$M5202</f>
        <v>0</v>
      </c>
      <c r="AF5202" s="28"/>
      <c r="AG5202" s="28" t="n">
        <f aca="false">AF5202*$M5202</f>
        <v>0</v>
      </c>
      <c r="AH5202" s="28"/>
      <c r="AI5202" s="28" t="n">
        <f aca="false">AH5202*$M5202</f>
        <v>0</v>
      </c>
      <c r="AJ5202" s="28"/>
      <c r="AK5202" s="28" t="n">
        <f aca="false">AJ5202*$M5202</f>
        <v>0</v>
      </c>
      <c r="AL5202" s="28"/>
      <c r="AM5202" s="28" t="n">
        <f aca="false">AL5202*$M5202</f>
        <v>0</v>
      </c>
      <c r="AN5202" s="28"/>
      <c r="AO5202" s="28" t="n">
        <f aca="false">AN5202*$M5202</f>
        <v>0</v>
      </c>
      <c r="AP5202" s="28"/>
      <c r="AQ5202" s="28" t="n">
        <f aca="false">AP5202*$M5202</f>
        <v>0</v>
      </c>
      <c r="AR5202" s="28"/>
      <c r="AS5202" s="28" t="n">
        <f aca="false">AR5202*$M5202</f>
        <v>0</v>
      </c>
      <c r="AT5202" s="28"/>
      <c r="AU5202" s="28" t="n">
        <f aca="false">AT5202*$M5202</f>
        <v>0</v>
      </c>
      <c r="AV5202" s="28"/>
      <c r="AW5202" s="28" t="n">
        <f aca="false">AV5202*$M5202</f>
        <v>0</v>
      </c>
      <c r="AX5202" s="28"/>
      <c r="AY5202" s="28" t="n">
        <f aca="false">AX5202*$M5202</f>
        <v>0</v>
      </c>
      <c r="AZ5202" s="30" t="n">
        <f aca="false">127142/100</f>
        <v>1271.42</v>
      </c>
      <c r="BA5202" s="11" t="n">
        <v>117271</v>
      </c>
      <c r="BB5202" s="31" t="n">
        <f aca="false">SUM(Q5202,S5202,U5202,W5202,Y5202,AA5202,AC5202,AE5202,AG5202,AI5202,AK5202,AM5202,AO5202,AQ5202,AS5202,AU5202,AW5202,AY5202)</f>
        <v>117271</v>
      </c>
      <c r="BC5202" s="28" t="n">
        <f aca="false">BA5202-BB5202</f>
        <v>0</v>
      </c>
      <c r="BD5202" s="32" t="n">
        <f aca="false">SUM(P5202,R5202,T5202,V5202,X5202,Z5202,AB5202,AD5202,AF5202,AH5202,AJ5202,AL5202,AN5202,AP5202,AR5202,AT5202,AV5202,AX5202)</f>
        <v>1271.42</v>
      </c>
      <c r="BE5202" s="33" t="n">
        <f aca="false">AZ5202-BD5202</f>
        <v>0</v>
      </c>
      <c r="BF5202" s="34" t="n">
        <f aca="false">BD5202*M5202</f>
        <v>116970.64</v>
      </c>
      <c r="BG5202" s="35" t="n">
        <f aca="false">BA5202-BF5202</f>
        <v>300.359999999986</v>
      </c>
      <c r="BH5202" s="19" t="str">
        <f aca="false">IF(BG5202=0,"",IF(BG5202&lt;&gt;BA5202,"erreur de calcul",IF(BD5202&lt;&gt;0,"pas de prix",IF(M5202&lt;&gt; 0,"pas de quantité","pas de prix, ni de quantité"))))</f>
        <v>erreur de calcul</v>
      </c>
      <c r="BI5202" s="19"/>
    </row>
    <row r="5203" customFormat="false" ht="15" hidden="false" customHeight="false" outlineLevel="0" collapsed="false">
      <c r="A5203" s="0" t="n">
        <v>41</v>
      </c>
      <c r="B5203" s="8" t="s">
        <v>24</v>
      </c>
      <c r="C5203" s="9" t="s">
        <v>25</v>
      </c>
      <c r="D5203" s="9" t="s">
        <v>26</v>
      </c>
      <c r="E5203" s="10" t="n">
        <v>1789</v>
      </c>
      <c r="F5203" s="9" t="s">
        <v>27</v>
      </c>
      <c r="G5203" s="9" t="s">
        <v>27</v>
      </c>
      <c r="H5203" s="11" t="n">
        <v>25</v>
      </c>
      <c r="I5203" s="11" t="s">
        <v>370</v>
      </c>
      <c r="J5203" s="14" t="n">
        <v>12</v>
      </c>
      <c r="K5203" s="14"/>
      <c r="L5203" s="16"/>
      <c r="M5203" s="27" t="n">
        <f aca="false">J5203+(K5203/20)+(L5203/240)</f>
        <v>12</v>
      </c>
      <c r="N5203" s="17" t="s">
        <v>64</v>
      </c>
      <c r="O5203" s="11"/>
      <c r="P5203" s="28"/>
      <c r="Q5203" s="28" t="n">
        <f aca="false">P5203*$M5203</f>
        <v>0</v>
      </c>
      <c r="R5203" s="28"/>
      <c r="S5203" s="28" t="n">
        <f aca="false">R5203*$M5203</f>
        <v>0</v>
      </c>
      <c r="T5203" s="28"/>
      <c r="U5203" s="28" t="n">
        <f aca="false">T5203*$M5203</f>
        <v>0</v>
      </c>
      <c r="V5203" s="28"/>
      <c r="W5203" s="28" t="n">
        <f aca="false">V5203*$M5203</f>
        <v>0</v>
      </c>
      <c r="X5203" s="28"/>
      <c r="Y5203" s="28" t="n">
        <f aca="false">X5203*$M5203</f>
        <v>0</v>
      </c>
      <c r="Z5203" s="28"/>
      <c r="AA5203" s="28" t="n">
        <f aca="false">Z5203*$M5203</f>
        <v>0</v>
      </c>
      <c r="AB5203" s="28"/>
      <c r="AC5203" s="28" t="n">
        <f aca="false">AB5203*$M5203</f>
        <v>0</v>
      </c>
      <c r="AD5203" s="28"/>
      <c r="AE5203" s="28" t="n">
        <f aca="false">AD5203*$M5203</f>
        <v>0</v>
      </c>
      <c r="AF5203" s="28"/>
      <c r="AG5203" s="28" t="n">
        <f aca="false">AF5203*$M5203</f>
        <v>0</v>
      </c>
      <c r="AH5203" s="28" t="n">
        <f aca="false">12168/100</f>
        <v>121.68</v>
      </c>
      <c r="AI5203" s="28" t="n">
        <v>1460</v>
      </c>
      <c r="AJ5203" s="28"/>
      <c r="AK5203" s="28" t="n">
        <f aca="false">AJ5203*$M5203</f>
        <v>0</v>
      </c>
      <c r="AL5203" s="28"/>
      <c r="AM5203" s="28" t="n">
        <f aca="false">AL5203*$M5203</f>
        <v>0</v>
      </c>
      <c r="AN5203" s="28"/>
      <c r="AO5203" s="28" t="n">
        <f aca="false">AN5203*$M5203</f>
        <v>0</v>
      </c>
      <c r="AP5203" s="28"/>
      <c r="AQ5203" s="28" t="n">
        <f aca="false">AP5203*$M5203</f>
        <v>0</v>
      </c>
      <c r="AR5203" s="28"/>
      <c r="AS5203" s="28" t="n">
        <f aca="false">AR5203*$M5203</f>
        <v>0</v>
      </c>
      <c r="AT5203" s="28"/>
      <c r="AU5203" s="28" t="n">
        <f aca="false">AT5203*$M5203</f>
        <v>0</v>
      </c>
      <c r="AV5203" s="28"/>
      <c r="AW5203" s="28" t="n">
        <f aca="false">AV5203*$M5203</f>
        <v>0</v>
      </c>
      <c r="AX5203" s="28"/>
      <c r="AY5203" s="28" t="n">
        <f aca="false">AX5203*$M5203</f>
        <v>0</v>
      </c>
      <c r="AZ5203" s="30" t="n">
        <f aca="false">12168/100</f>
        <v>121.68</v>
      </c>
      <c r="BA5203" s="11" t="n">
        <v>1460</v>
      </c>
      <c r="BB5203" s="31" t="n">
        <f aca="false">SUM(Q5203,S5203,U5203,W5203,Y5203,AA5203,AC5203,AE5203,AG5203,AI5203,AK5203,AM5203,AO5203,AQ5203,AS5203,AU5203,AW5203,AY5203)</f>
        <v>1460</v>
      </c>
      <c r="BC5203" s="28" t="n">
        <f aca="false">BA5203-BB5203</f>
        <v>0</v>
      </c>
      <c r="BD5203" s="32" t="n">
        <f aca="false">SUM(P5203,R5203,T5203,V5203,X5203,Z5203,AB5203,AD5203,AF5203,AH5203,AJ5203,AL5203,AN5203,AP5203,AR5203,AT5203,AV5203,AX5203)</f>
        <v>121.68</v>
      </c>
      <c r="BE5203" s="33" t="n">
        <f aca="false">AZ5203-BD5203</f>
        <v>0</v>
      </c>
      <c r="BF5203" s="34" t="n">
        <f aca="false">BD5203*M5203</f>
        <v>1460.16</v>
      </c>
      <c r="BG5203" s="35" t="n">
        <f aca="false">BA5203-BF5203</f>
        <v>-0.160000000000082</v>
      </c>
      <c r="BH5203" s="19" t="str">
        <f aca="false">IF(BG5203=0,"",IF(BG5203&lt;&gt;BA5203,"erreur de calcul",IF(BD5203&lt;&gt;0,"pas de prix",IF(M5203&lt;&gt; 0,"pas de quantité","pas de prix, ni de quantité"))))</f>
        <v>erreur de calcul</v>
      </c>
      <c r="BI5203" s="19"/>
    </row>
    <row r="5204" customFormat="false" ht="15" hidden="false" customHeight="false" outlineLevel="0" collapsed="false">
      <c r="A5204" s="0" t="n">
        <v>42</v>
      </c>
      <c r="B5204" s="8" t="s">
        <v>24</v>
      </c>
      <c r="C5204" s="9" t="s">
        <v>25</v>
      </c>
      <c r="D5204" s="9" t="s">
        <v>26</v>
      </c>
      <c r="E5204" s="10" t="n">
        <v>1789</v>
      </c>
      <c r="F5204" s="9" t="s">
        <v>27</v>
      </c>
      <c r="G5204" s="9" t="s">
        <v>27</v>
      </c>
      <c r="H5204" s="11" t="n">
        <v>25</v>
      </c>
      <c r="I5204" s="11" t="s">
        <v>371</v>
      </c>
      <c r="J5204" s="14" t="n">
        <v>7</v>
      </c>
      <c r="K5204" s="14"/>
      <c r="L5204" s="16"/>
      <c r="M5204" s="27" t="n">
        <f aca="false">J5204+(K5204/20)+(L5204/240)</f>
        <v>7</v>
      </c>
      <c r="N5204" s="17" t="s">
        <v>64</v>
      </c>
      <c r="O5204" s="11"/>
      <c r="P5204" s="28"/>
      <c r="Q5204" s="28" t="n">
        <f aca="false">P5204*$M5204</f>
        <v>0</v>
      </c>
      <c r="R5204" s="28"/>
      <c r="S5204" s="28" t="n">
        <f aca="false">R5204*$M5204</f>
        <v>0</v>
      </c>
      <c r="T5204" s="28"/>
      <c r="U5204" s="28" t="n">
        <f aca="false">T5204*$M5204</f>
        <v>0</v>
      </c>
      <c r="V5204" s="28"/>
      <c r="W5204" s="28" t="n">
        <f aca="false">V5204*$M5204</f>
        <v>0</v>
      </c>
      <c r="X5204" s="28"/>
      <c r="Y5204" s="28" t="n">
        <f aca="false">X5204*$M5204</f>
        <v>0</v>
      </c>
      <c r="Z5204" s="28"/>
      <c r="AA5204" s="28" t="n">
        <f aca="false">Z5204*$M5204</f>
        <v>0</v>
      </c>
      <c r="AB5204" s="28" t="n">
        <f aca="false">58003/100</f>
        <v>580.03</v>
      </c>
      <c r="AC5204" s="28" t="n">
        <v>4060</v>
      </c>
      <c r="AD5204" s="28"/>
      <c r="AE5204" s="28" t="n">
        <f aca="false">AD5204*$M5204</f>
        <v>0</v>
      </c>
      <c r="AF5204" s="28"/>
      <c r="AG5204" s="28" t="n">
        <f aca="false">AF5204*$M5204</f>
        <v>0</v>
      </c>
      <c r="AH5204" s="28"/>
      <c r="AI5204" s="28" t="n">
        <f aca="false">AH5204*$M5204</f>
        <v>0</v>
      </c>
      <c r="AJ5204" s="28"/>
      <c r="AK5204" s="28" t="n">
        <f aca="false">AJ5204*$M5204</f>
        <v>0</v>
      </c>
      <c r="AL5204" s="28"/>
      <c r="AM5204" s="28" t="n">
        <f aca="false">AL5204*$M5204</f>
        <v>0</v>
      </c>
      <c r="AN5204" s="28"/>
      <c r="AO5204" s="28" t="n">
        <f aca="false">AN5204*$M5204</f>
        <v>0</v>
      </c>
      <c r="AP5204" s="28"/>
      <c r="AQ5204" s="28" t="n">
        <f aca="false">AP5204*$M5204</f>
        <v>0</v>
      </c>
      <c r="AR5204" s="28"/>
      <c r="AS5204" s="28" t="n">
        <f aca="false">AR5204*$M5204</f>
        <v>0</v>
      </c>
      <c r="AT5204" s="28"/>
      <c r="AU5204" s="28" t="n">
        <f aca="false">AT5204*$M5204</f>
        <v>0</v>
      </c>
      <c r="AV5204" s="28"/>
      <c r="AW5204" s="28" t="n">
        <f aca="false">AV5204*$M5204</f>
        <v>0</v>
      </c>
      <c r="AX5204" s="28"/>
      <c r="AY5204" s="28" t="n">
        <f aca="false">AX5204*$M5204</f>
        <v>0</v>
      </c>
      <c r="AZ5204" s="30" t="n">
        <f aca="false">58003/100</f>
        <v>580.03</v>
      </c>
      <c r="BA5204" s="11" t="n">
        <v>4060</v>
      </c>
      <c r="BB5204" s="31" t="n">
        <f aca="false">SUM(Q5204,S5204,U5204,W5204,Y5204,AA5204,AC5204,AE5204,AG5204,AI5204,AK5204,AM5204,AO5204,AQ5204,AS5204,AU5204,AW5204,AY5204)</f>
        <v>4060</v>
      </c>
      <c r="BC5204" s="28" t="n">
        <f aca="false">BA5204-BB5204</f>
        <v>0</v>
      </c>
      <c r="BD5204" s="32" t="n">
        <f aca="false">SUM(P5204,R5204,T5204,V5204,X5204,Z5204,AB5204,AD5204,AF5204,AH5204,AJ5204,AL5204,AN5204,AP5204,AR5204,AT5204,AV5204,AX5204)</f>
        <v>580.03</v>
      </c>
      <c r="BE5204" s="33" t="n">
        <f aca="false">AZ5204-BD5204</f>
        <v>0</v>
      </c>
      <c r="BF5204" s="34" t="n">
        <f aca="false">BD5204*M5204</f>
        <v>4060.21</v>
      </c>
      <c r="BG5204" s="35" t="n">
        <f aca="false">BA5204-BF5204</f>
        <v>-0.210000000000036</v>
      </c>
      <c r="BH5204" s="19" t="str">
        <f aca="false">IF(BG5204=0,"",IF(BG5204&lt;&gt;BA5204,"erreur de calcul",IF(BD5204&lt;&gt;0,"pas de prix",IF(M5204&lt;&gt; 0,"pas de quantité","pas de prix, ni de quantité"))))</f>
        <v>erreur de calcul</v>
      </c>
      <c r="BI5204" s="19"/>
    </row>
    <row r="5205" customFormat="false" ht="15" hidden="false" customHeight="false" outlineLevel="0" collapsed="false">
      <c r="A5205" s="0" t="n">
        <v>1</v>
      </c>
      <c r="B5205" s="8" t="s">
        <v>24</v>
      </c>
      <c r="C5205" s="9" t="s">
        <v>25</v>
      </c>
      <c r="D5205" s="9" t="s">
        <v>26</v>
      </c>
      <c r="E5205" s="10" t="n">
        <v>1789</v>
      </c>
      <c r="F5205" s="9" t="s">
        <v>27</v>
      </c>
      <c r="G5205" s="9" t="s">
        <v>27</v>
      </c>
      <c r="H5205" s="11" t="n">
        <v>26</v>
      </c>
      <c r="I5205" s="11" t="s">
        <v>372</v>
      </c>
      <c r="J5205" s="14" t="n">
        <v>30</v>
      </c>
      <c r="K5205" s="14"/>
      <c r="L5205" s="16"/>
      <c r="M5205" s="27" t="n">
        <f aca="false">J5205+(K5205/20)+(L5205/240)</f>
        <v>30</v>
      </c>
      <c r="N5205" s="17" t="s">
        <v>64</v>
      </c>
      <c r="O5205" s="11"/>
      <c r="P5205" s="28"/>
      <c r="Q5205" s="28" t="n">
        <f aca="false">P5205*$M5205</f>
        <v>0</v>
      </c>
      <c r="R5205" s="28"/>
      <c r="S5205" s="28" t="n">
        <f aca="false">R5205*$M5205</f>
        <v>0</v>
      </c>
      <c r="T5205" s="28"/>
      <c r="U5205" s="28" t="n">
        <f aca="false">T5205*$M5205</f>
        <v>0</v>
      </c>
      <c r="V5205" s="28" t="n">
        <f aca="false">1500/100</f>
        <v>15</v>
      </c>
      <c r="W5205" s="28" t="n">
        <v>450</v>
      </c>
      <c r="X5205" s="28"/>
      <c r="Y5205" s="28" t="n">
        <f aca="false">X5205*$M5205</f>
        <v>0</v>
      </c>
      <c r="Z5205" s="28"/>
      <c r="AA5205" s="28" t="n">
        <f aca="false">Z5205*$M5205</f>
        <v>0</v>
      </c>
      <c r="AB5205" s="28"/>
      <c r="AC5205" s="28" t="n">
        <f aca="false">AB5205*$M5205</f>
        <v>0</v>
      </c>
      <c r="AD5205" s="28"/>
      <c r="AE5205" s="28" t="n">
        <f aca="false">AD5205*$M5205</f>
        <v>0</v>
      </c>
      <c r="AF5205" s="28"/>
      <c r="AG5205" s="28" t="n">
        <f aca="false">AF5205*$M5205</f>
        <v>0</v>
      </c>
      <c r="AH5205" s="28"/>
      <c r="AI5205" s="28" t="n">
        <f aca="false">AH5205*$M5205</f>
        <v>0</v>
      </c>
      <c r="AJ5205" s="28"/>
      <c r="AK5205" s="28" t="n">
        <f aca="false">AJ5205*$M5205</f>
        <v>0</v>
      </c>
      <c r="AL5205" s="28"/>
      <c r="AM5205" s="28" t="n">
        <f aca="false">AL5205*$M5205</f>
        <v>0</v>
      </c>
      <c r="AN5205" s="28"/>
      <c r="AO5205" s="28" t="n">
        <f aca="false">AN5205*$M5205</f>
        <v>0</v>
      </c>
      <c r="AP5205" s="28"/>
      <c r="AQ5205" s="28" t="n">
        <f aca="false">AP5205*$M5205</f>
        <v>0</v>
      </c>
      <c r="AR5205" s="28"/>
      <c r="AS5205" s="28" t="n">
        <f aca="false">AR5205*$M5205</f>
        <v>0</v>
      </c>
      <c r="AT5205" s="28"/>
      <c r="AU5205" s="28" t="n">
        <f aca="false">AT5205*$M5205</f>
        <v>0</v>
      </c>
      <c r="AV5205" s="28"/>
      <c r="AW5205" s="28" t="n">
        <f aca="false">AV5205*$M5205</f>
        <v>0</v>
      </c>
      <c r="AX5205" s="28"/>
      <c r="AY5205" s="28" t="n">
        <f aca="false">AX5205*$M5205</f>
        <v>0</v>
      </c>
      <c r="AZ5205" s="30" t="n">
        <f aca="false">1500/100</f>
        <v>15</v>
      </c>
      <c r="BA5205" s="11" t="n">
        <v>450</v>
      </c>
      <c r="BB5205" s="31" t="n">
        <f aca="false">SUM(Q5205,S5205,U5205,W5205,Y5205,AA5205,AC5205,AE5205,AG5205,AI5205,AK5205,AM5205,AO5205,AQ5205,AS5205,AU5205,AW5205,AY5205)</f>
        <v>450</v>
      </c>
      <c r="BC5205" s="28" t="n">
        <f aca="false">BA5205-BB5205</f>
        <v>0</v>
      </c>
      <c r="BD5205" s="32" t="n">
        <f aca="false">SUM(P5205,R5205,T5205,V5205,X5205,Z5205,AB5205,AD5205,AF5205,AH5205,AJ5205,AL5205,AN5205,AP5205,AR5205,AT5205,AV5205,AX5205)</f>
        <v>15</v>
      </c>
      <c r="BE5205" s="33" t="n">
        <f aca="false">AZ5205-BD5205</f>
        <v>0</v>
      </c>
      <c r="BF5205" s="34" t="n">
        <f aca="false">BD5205*M5205</f>
        <v>450</v>
      </c>
      <c r="BG5205" s="35" t="n">
        <f aca="false">BA5205-BF5205</f>
        <v>0</v>
      </c>
      <c r="BH5205" s="19" t="str">
        <f aca="false">IF(BG5205=0,"",IF(BG5205&lt;&gt;BA5205,"erreur de calcul",IF(BD5205&lt;&gt;0,"pas de prix",IF(M5205&lt;&gt; 0,"pas de quantité","pas de prix, ni de quantité"))))</f>
        <v/>
      </c>
      <c r="BI5205" s="19"/>
    </row>
    <row r="5206" customFormat="false" ht="15" hidden="false" customHeight="false" outlineLevel="0" collapsed="false">
      <c r="A5206" s="0" t="n">
        <v>2</v>
      </c>
      <c r="B5206" s="8" t="s">
        <v>24</v>
      </c>
      <c r="C5206" s="9" t="s">
        <v>25</v>
      </c>
      <c r="D5206" s="9" t="s">
        <v>26</v>
      </c>
      <c r="E5206" s="10" t="n">
        <v>1789</v>
      </c>
      <c r="F5206" s="9" t="s">
        <v>27</v>
      </c>
      <c r="G5206" s="9" t="s">
        <v>27</v>
      </c>
      <c r="H5206" s="11" t="n">
        <v>26</v>
      </c>
      <c r="I5206" s="11" t="s">
        <v>373</v>
      </c>
      <c r="J5206" s="14" t="n">
        <v>25</v>
      </c>
      <c r="K5206" s="14"/>
      <c r="L5206" s="16"/>
      <c r="M5206" s="27" t="n">
        <f aca="false">J5206+(K5206/20)+(L5206/240)</f>
        <v>25</v>
      </c>
      <c r="N5206" s="17" t="s">
        <v>64</v>
      </c>
      <c r="O5206" s="11"/>
      <c r="P5206" s="28"/>
      <c r="Q5206" s="28" t="n">
        <f aca="false">P5206*$M5206</f>
        <v>0</v>
      </c>
      <c r="R5206" s="28"/>
      <c r="S5206" s="28" t="n">
        <f aca="false">R5206*$M5206</f>
        <v>0</v>
      </c>
      <c r="T5206" s="28" t="n">
        <f aca="false">34168/100</f>
        <v>341.68</v>
      </c>
      <c r="U5206" s="28" t="n">
        <v>8542</v>
      </c>
      <c r="V5206" s="28" t="n">
        <f aca="false">128249/100</f>
        <v>1282.49</v>
      </c>
      <c r="W5206" s="28" t="n">
        <v>32062</v>
      </c>
      <c r="X5206" s="28" t="n">
        <f aca="false">21365/100</f>
        <v>213.65</v>
      </c>
      <c r="Y5206" s="28" t="n">
        <v>5341</v>
      </c>
      <c r="Z5206" s="28"/>
      <c r="AA5206" s="28" t="n">
        <f aca="false">Z5206*$M5206</f>
        <v>0</v>
      </c>
      <c r="AB5206" s="28"/>
      <c r="AC5206" s="28" t="n">
        <f aca="false">AB5206*$M5206</f>
        <v>0</v>
      </c>
      <c r="AD5206" s="28"/>
      <c r="AE5206" s="28" t="n">
        <f aca="false">AD5206*$M5206</f>
        <v>0</v>
      </c>
      <c r="AF5206" s="28"/>
      <c r="AG5206" s="28" t="n">
        <f aca="false">AF5206*$M5206</f>
        <v>0</v>
      </c>
      <c r="AH5206" s="28"/>
      <c r="AI5206" s="28" t="n">
        <f aca="false">AH5206*$M5206</f>
        <v>0</v>
      </c>
      <c r="AJ5206" s="28" t="n">
        <f aca="false">155251/100</f>
        <v>1552.51</v>
      </c>
      <c r="AK5206" s="28" t="n">
        <v>38813</v>
      </c>
      <c r="AL5206" s="28" t="n">
        <f aca="false">185000/100</f>
        <v>1850</v>
      </c>
      <c r="AM5206" s="28" t="n">
        <v>46250</v>
      </c>
      <c r="AN5206" s="28"/>
      <c r="AO5206" s="28" t="n">
        <f aca="false">AN5206*$M5206</f>
        <v>0</v>
      </c>
      <c r="AP5206" s="28"/>
      <c r="AQ5206" s="28" t="n">
        <f aca="false">AP5206*$M5206</f>
        <v>0</v>
      </c>
      <c r="AR5206" s="28"/>
      <c r="AS5206" s="28" t="n">
        <f aca="false">AR5206*$M5206</f>
        <v>0</v>
      </c>
      <c r="AT5206" s="28"/>
      <c r="AU5206" s="28" t="n">
        <f aca="false">AT5206*$M5206</f>
        <v>0</v>
      </c>
      <c r="AV5206" s="28"/>
      <c r="AW5206" s="28" t="n">
        <f aca="false">AV5206*$M5206</f>
        <v>0</v>
      </c>
      <c r="AX5206" s="28"/>
      <c r="AY5206" s="28" t="n">
        <f aca="false">AX5206*$M5206</f>
        <v>0</v>
      </c>
      <c r="AZ5206" s="30" t="n">
        <f aca="false">524033/100</f>
        <v>5240.33</v>
      </c>
      <c r="BA5206" s="11" t="n">
        <v>131008</v>
      </c>
      <c r="BB5206" s="31" t="n">
        <f aca="false">SUM(Q5206,S5206,U5206,W5206,Y5206,AA5206,AC5206,AE5206,AG5206,AI5206,AK5206,AM5206,AO5206,AQ5206,AS5206,AU5206,AW5206,AY5206)</f>
        <v>131008</v>
      </c>
      <c r="BC5206" s="28" t="n">
        <f aca="false">BA5206-BB5206</f>
        <v>0</v>
      </c>
      <c r="BD5206" s="32" t="n">
        <f aca="false">SUM(P5206,R5206,T5206,V5206,X5206,Z5206,AB5206,AD5206,AF5206,AH5206,AJ5206,AL5206,AN5206,AP5206,AR5206,AT5206,AV5206,AX5206)</f>
        <v>5240.33</v>
      </c>
      <c r="BE5206" s="33" t="n">
        <f aca="false">AZ5206-BD5206</f>
        <v>0</v>
      </c>
      <c r="BF5206" s="34" t="n">
        <f aca="false">BD5206*M5206</f>
        <v>131008.25</v>
      </c>
      <c r="BG5206" s="35" t="n">
        <f aca="false">BA5206-BF5206</f>
        <v>-0.250000000014552</v>
      </c>
      <c r="BH5206" s="19" t="str">
        <f aca="false">IF(BG5206=0,"",IF(BG5206&lt;&gt;BA5206,"erreur de calcul",IF(BD5206&lt;&gt;0,"pas de prix",IF(M5206&lt;&gt; 0,"pas de quantité","pas de prix, ni de quantité"))))</f>
        <v>erreur de calcul</v>
      </c>
      <c r="BI5206" s="19"/>
    </row>
    <row r="5207" customFormat="false" ht="15" hidden="false" customHeight="false" outlineLevel="0" collapsed="false">
      <c r="A5207" s="0" t="n">
        <v>3</v>
      </c>
      <c r="B5207" s="8" t="s">
        <v>24</v>
      </c>
      <c r="C5207" s="9" t="s">
        <v>25</v>
      </c>
      <c r="D5207" s="9" t="s">
        <v>26</v>
      </c>
      <c r="E5207" s="10" t="n">
        <v>1789</v>
      </c>
      <c r="F5207" s="9" t="s">
        <v>27</v>
      </c>
      <c r="G5207" s="9" t="s">
        <v>27</v>
      </c>
      <c r="H5207" s="11" t="n">
        <v>26</v>
      </c>
      <c r="I5207" s="11" t="s">
        <v>374</v>
      </c>
      <c r="J5207" s="14" t="n">
        <v>70</v>
      </c>
      <c r="K5207" s="14"/>
      <c r="L5207" s="16"/>
      <c r="M5207" s="27" t="n">
        <f aca="false">J5207+(K5207/20)+(L5207/240)</f>
        <v>70</v>
      </c>
      <c r="N5207" s="17" t="s">
        <v>64</v>
      </c>
      <c r="O5207" s="11"/>
      <c r="P5207" s="28"/>
      <c r="Q5207" s="28" t="n">
        <f aca="false">P5207*$M5207</f>
        <v>0</v>
      </c>
      <c r="R5207" s="28"/>
      <c r="S5207" s="28" t="n">
        <f aca="false">R5207*$M5207</f>
        <v>0</v>
      </c>
      <c r="T5207" s="28"/>
      <c r="U5207" s="28" t="n">
        <f aca="false">T5207*$M5207</f>
        <v>0</v>
      </c>
      <c r="V5207" s="28" t="n">
        <f aca="false">4560/100</f>
        <v>45.6</v>
      </c>
      <c r="W5207" s="28" t="n">
        <v>3192</v>
      </c>
      <c r="X5207" s="28" t="n">
        <f aca="false">1115/100</f>
        <v>11.15</v>
      </c>
      <c r="Y5207" s="28" t="n">
        <v>780</v>
      </c>
      <c r="Z5207" s="28"/>
      <c r="AA5207" s="28" t="n">
        <f aca="false">Z5207*$M5207</f>
        <v>0</v>
      </c>
      <c r="AB5207" s="28" t="n">
        <f aca="false">9431/100</f>
        <v>94.31</v>
      </c>
      <c r="AC5207" s="28" t="n">
        <v>6602</v>
      </c>
      <c r="AD5207" s="28"/>
      <c r="AE5207" s="28" t="n">
        <f aca="false">AD5207*$M5207</f>
        <v>0</v>
      </c>
      <c r="AF5207" s="28"/>
      <c r="AG5207" s="28" t="n">
        <f aca="false">AF5207*$M5207</f>
        <v>0</v>
      </c>
      <c r="AH5207" s="28"/>
      <c r="AI5207" s="28" t="n">
        <f aca="false">AH5207*$M5207</f>
        <v>0</v>
      </c>
      <c r="AJ5207" s="28"/>
      <c r="AK5207" s="28" t="n">
        <f aca="false">AJ5207*$M5207</f>
        <v>0</v>
      </c>
      <c r="AL5207" s="28"/>
      <c r="AM5207" s="28" t="n">
        <f aca="false">AL5207*$M5207</f>
        <v>0</v>
      </c>
      <c r="AN5207" s="28"/>
      <c r="AO5207" s="28" t="n">
        <f aca="false">AN5207*$M5207</f>
        <v>0</v>
      </c>
      <c r="AP5207" s="28"/>
      <c r="AQ5207" s="28" t="n">
        <f aca="false">AP5207*$M5207</f>
        <v>0</v>
      </c>
      <c r="AR5207" s="28"/>
      <c r="AS5207" s="28" t="n">
        <f aca="false">AR5207*$M5207</f>
        <v>0</v>
      </c>
      <c r="AT5207" s="28"/>
      <c r="AU5207" s="28" t="n">
        <f aca="false">AT5207*$M5207</f>
        <v>0</v>
      </c>
      <c r="AV5207" s="28"/>
      <c r="AW5207" s="28" t="n">
        <f aca="false">AV5207*$M5207</f>
        <v>0</v>
      </c>
      <c r="AX5207" s="28"/>
      <c r="AY5207" s="28" t="n">
        <f aca="false">AX5207*$M5207</f>
        <v>0</v>
      </c>
      <c r="AZ5207" s="30" t="n">
        <f aca="false">15106/100</f>
        <v>151.06</v>
      </c>
      <c r="BA5207" s="11" t="n">
        <v>10574</v>
      </c>
      <c r="BB5207" s="31" t="n">
        <f aca="false">SUM(Q5207,S5207,U5207,W5207,Y5207,AA5207,AC5207,AE5207,AG5207,AI5207,AK5207,AM5207,AO5207,AQ5207,AS5207,AU5207,AW5207,AY5207)</f>
        <v>10574</v>
      </c>
      <c r="BC5207" s="28" t="n">
        <f aca="false">BA5207-BB5207</f>
        <v>0</v>
      </c>
      <c r="BD5207" s="32" t="n">
        <f aca="false">SUM(P5207,R5207,T5207,V5207,X5207,Z5207,AB5207,AD5207,AF5207,AH5207,AJ5207,AL5207,AN5207,AP5207,AR5207,AT5207,AV5207,AX5207)</f>
        <v>151.06</v>
      </c>
      <c r="BE5207" s="33" t="n">
        <f aca="false">AZ5207-BD5207</f>
        <v>0</v>
      </c>
      <c r="BF5207" s="34" t="n">
        <f aca="false">BD5207*M5207</f>
        <v>10574.2</v>
      </c>
      <c r="BG5207" s="35" t="n">
        <f aca="false">BA5207-BF5207</f>
        <v>-0.200000000000728</v>
      </c>
      <c r="BH5207" s="19" t="str">
        <f aca="false">IF(BG5207=0,"",IF(BG5207&lt;&gt;BA5207,"erreur de calcul",IF(BD5207&lt;&gt;0,"pas de prix",IF(M5207&lt;&gt; 0,"pas de quantité","pas de prix, ni de quantité"))))</f>
        <v>erreur de calcul</v>
      </c>
      <c r="BI5207" s="19"/>
    </row>
    <row r="5208" customFormat="false" ht="15" hidden="false" customHeight="false" outlineLevel="0" collapsed="false">
      <c r="A5208" s="0" t="n">
        <v>4</v>
      </c>
      <c r="B5208" s="8" t="s">
        <v>24</v>
      </c>
      <c r="C5208" s="9" t="s">
        <v>25</v>
      </c>
      <c r="D5208" s="9" t="s">
        <v>26</v>
      </c>
      <c r="E5208" s="10" t="n">
        <v>1789</v>
      </c>
      <c r="F5208" s="9" t="s">
        <v>27</v>
      </c>
      <c r="G5208" s="9" t="s">
        <v>27</v>
      </c>
      <c r="H5208" s="11" t="n">
        <v>26</v>
      </c>
      <c r="I5208" s="11" t="s">
        <v>375</v>
      </c>
      <c r="J5208" s="14" t="n">
        <v>245</v>
      </c>
      <c r="K5208" s="14"/>
      <c r="L5208" s="16"/>
      <c r="M5208" s="27" t="n">
        <f aca="false">J5208+(K5208/20)+(L5208/240)</f>
        <v>245</v>
      </c>
      <c r="N5208" s="17" t="s">
        <v>64</v>
      </c>
      <c r="O5208" s="11"/>
      <c r="P5208" s="28"/>
      <c r="Q5208" s="28" t="n">
        <f aca="false">P5208*$M5208</f>
        <v>0</v>
      </c>
      <c r="R5208" s="28"/>
      <c r="S5208" s="28" t="n">
        <f aca="false">R5208*$M5208</f>
        <v>0</v>
      </c>
      <c r="T5208" s="28"/>
      <c r="U5208" s="28" t="n">
        <f aca="false">T5208*$M5208</f>
        <v>0</v>
      </c>
      <c r="V5208" s="28"/>
      <c r="W5208" s="28" t="n">
        <f aca="false">V5208*$M5208</f>
        <v>0</v>
      </c>
      <c r="X5208" s="28"/>
      <c r="Y5208" s="28" t="n">
        <f aca="false">X5208*$M5208</f>
        <v>0</v>
      </c>
      <c r="Z5208" s="28"/>
      <c r="AA5208" s="28" t="n">
        <f aca="false">Z5208*$M5208</f>
        <v>0</v>
      </c>
      <c r="AB5208" s="28"/>
      <c r="AC5208" s="28" t="n">
        <f aca="false">AB5208*$M5208</f>
        <v>0</v>
      </c>
      <c r="AD5208" s="28"/>
      <c r="AE5208" s="28" t="n">
        <f aca="false">AD5208*$M5208</f>
        <v>0</v>
      </c>
      <c r="AF5208" s="28"/>
      <c r="AG5208" s="28" t="n">
        <f aca="false">AF5208*$M5208</f>
        <v>0</v>
      </c>
      <c r="AH5208" s="28" t="n">
        <f aca="false">751/100</f>
        <v>7.51</v>
      </c>
      <c r="AI5208" s="28" t="n">
        <v>1840</v>
      </c>
      <c r="AJ5208" s="28"/>
      <c r="AK5208" s="28" t="n">
        <f aca="false">AJ5208*$M5208</f>
        <v>0</v>
      </c>
      <c r="AL5208" s="28"/>
      <c r="AM5208" s="28" t="n">
        <f aca="false">AL5208*$M5208</f>
        <v>0</v>
      </c>
      <c r="AN5208" s="28"/>
      <c r="AO5208" s="28" t="n">
        <f aca="false">AN5208*$M5208</f>
        <v>0</v>
      </c>
      <c r="AP5208" s="28"/>
      <c r="AQ5208" s="28" t="n">
        <f aca="false">AP5208*$M5208</f>
        <v>0</v>
      </c>
      <c r="AR5208" s="28"/>
      <c r="AS5208" s="28" t="n">
        <f aca="false">AR5208*$M5208</f>
        <v>0</v>
      </c>
      <c r="AT5208" s="28"/>
      <c r="AU5208" s="28" t="n">
        <f aca="false">AT5208*$M5208</f>
        <v>0</v>
      </c>
      <c r="AV5208" s="28"/>
      <c r="AW5208" s="28" t="n">
        <f aca="false">AV5208*$M5208</f>
        <v>0</v>
      </c>
      <c r="AX5208" s="28"/>
      <c r="AY5208" s="28" t="n">
        <f aca="false">AX5208*$M5208</f>
        <v>0</v>
      </c>
      <c r="AZ5208" s="30" t="n">
        <f aca="false">751/100</f>
        <v>7.51</v>
      </c>
      <c r="BA5208" s="11" t="n">
        <v>1840</v>
      </c>
      <c r="BB5208" s="31" t="n">
        <f aca="false">SUM(Q5208,S5208,U5208,W5208,Y5208,AA5208,AC5208,AE5208,AG5208,AI5208,AK5208,AM5208,AO5208,AQ5208,AS5208,AU5208,AW5208,AY5208)</f>
        <v>1840</v>
      </c>
      <c r="BC5208" s="28" t="n">
        <f aca="false">BA5208-BB5208</f>
        <v>0</v>
      </c>
      <c r="BD5208" s="32" t="n">
        <f aca="false">SUM(P5208,R5208,T5208,V5208,X5208,Z5208,AB5208,AD5208,AF5208,AH5208,AJ5208,AL5208,AN5208,AP5208,AR5208,AT5208,AV5208,AX5208)</f>
        <v>7.51</v>
      </c>
      <c r="BE5208" s="33" t="n">
        <f aca="false">AZ5208-BD5208</f>
        <v>0</v>
      </c>
      <c r="BF5208" s="34" t="n">
        <f aca="false">BD5208*M5208</f>
        <v>1839.95</v>
      </c>
      <c r="BG5208" s="35" t="n">
        <f aca="false">BA5208-BF5208</f>
        <v>0.0499999999999545</v>
      </c>
      <c r="BH5208" s="19" t="str">
        <f aca="false">IF(BG5208=0,"",IF(BG5208&lt;&gt;BA5208,"erreur de calcul",IF(BD5208&lt;&gt;0,"pas de prix",IF(M5208&lt;&gt; 0,"pas de quantité","pas de prix, ni de quantité"))))</f>
        <v>erreur de calcul</v>
      </c>
      <c r="BI5208" s="19"/>
    </row>
    <row r="5209" customFormat="false" ht="15" hidden="false" customHeight="false" outlineLevel="0" collapsed="false">
      <c r="A5209" s="0" t="n">
        <v>5</v>
      </c>
      <c r="B5209" s="8" t="s">
        <v>24</v>
      </c>
      <c r="C5209" s="9" t="s">
        <v>25</v>
      </c>
      <c r="D5209" s="9" t="s">
        <v>26</v>
      </c>
      <c r="E5209" s="10" t="n">
        <v>1789</v>
      </c>
      <c r="F5209" s="9" t="s">
        <v>27</v>
      </c>
      <c r="G5209" s="9" t="s">
        <v>27</v>
      </c>
      <c r="H5209" s="11" t="n">
        <v>26</v>
      </c>
      <c r="I5209" s="11" t="s">
        <v>376</v>
      </c>
      <c r="J5209" s="14" t="n">
        <v>550</v>
      </c>
      <c r="K5209" s="14"/>
      <c r="L5209" s="16"/>
      <c r="M5209" s="27" t="n">
        <f aca="false">J5209+(K5209/20)+(L5209/240)</f>
        <v>550</v>
      </c>
      <c r="N5209" s="17" t="s">
        <v>64</v>
      </c>
      <c r="O5209" s="11"/>
      <c r="P5209" s="28"/>
      <c r="Q5209" s="28" t="n">
        <f aca="false">P5209*$M5209</f>
        <v>0</v>
      </c>
      <c r="R5209" s="28"/>
      <c r="S5209" s="28" t="n">
        <f aca="false">R5209*$M5209</f>
        <v>0</v>
      </c>
      <c r="T5209" s="28"/>
      <c r="U5209" s="28" t="n">
        <f aca="false">T5209*$M5209</f>
        <v>0</v>
      </c>
      <c r="V5209" s="28"/>
      <c r="W5209" s="28" t="n">
        <f aca="false">V5209*$M5209</f>
        <v>0</v>
      </c>
      <c r="X5209" s="28"/>
      <c r="Y5209" s="28" t="n">
        <f aca="false">X5209*$M5209</f>
        <v>0</v>
      </c>
      <c r="Z5209" s="28"/>
      <c r="AA5209" s="28" t="n">
        <f aca="false">Z5209*$M5209</f>
        <v>0</v>
      </c>
      <c r="AB5209" s="28"/>
      <c r="AC5209" s="28" t="n">
        <f aca="false">AB5209*$M5209</f>
        <v>0</v>
      </c>
      <c r="AD5209" s="28"/>
      <c r="AE5209" s="28" t="n">
        <f aca="false">AD5209*$M5209</f>
        <v>0</v>
      </c>
      <c r="AF5209" s="28"/>
      <c r="AG5209" s="28" t="n">
        <f aca="false">AF5209*$M5209</f>
        <v>0</v>
      </c>
      <c r="AH5209" s="28" t="n">
        <f aca="false">215551/100</f>
        <v>2155.51</v>
      </c>
      <c r="AI5209" s="28" t="n">
        <v>1185530</v>
      </c>
      <c r="AJ5209" s="28"/>
      <c r="AK5209" s="28" t="n">
        <f aca="false">AJ5209*$M5209</f>
        <v>0</v>
      </c>
      <c r="AL5209" s="28"/>
      <c r="AM5209" s="28" t="n">
        <f aca="false">AL5209*$M5209</f>
        <v>0</v>
      </c>
      <c r="AN5209" s="28"/>
      <c r="AO5209" s="28" t="n">
        <f aca="false">AN5209*$M5209</f>
        <v>0</v>
      </c>
      <c r="AP5209" s="28"/>
      <c r="AQ5209" s="28" t="n">
        <f aca="false">AP5209*$M5209</f>
        <v>0</v>
      </c>
      <c r="AR5209" s="28"/>
      <c r="AS5209" s="28" t="n">
        <f aca="false">AR5209*$M5209</f>
        <v>0</v>
      </c>
      <c r="AT5209" s="28"/>
      <c r="AU5209" s="28" t="n">
        <f aca="false">AT5209*$M5209</f>
        <v>0</v>
      </c>
      <c r="AV5209" s="28"/>
      <c r="AW5209" s="28" t="n">
        <f aca="false">AV5209*$M5209</f>
        <v>0</v>
      </c>
      <c r="AX5209" s="28"/>
      <c r="AY5209" s="28" t="n">
        <f aca="false">AX5209*$M5209</f>
        <v>0</v>
      </c>
      <c r="AZ5209" s="30" t="n">
        <f aca="false">215551/100</f>
        <v>2155.51</v>
      </c>
      <c r="BA5209" s="11" t="n">
        <v>1185530</v>
      </c>
      <c r="BB5209" s="31" t="n">
        <f aca="false">SUM(Q5209,S5209,U5209,W5209,Y5209,AA5209,AC5209,AE5209,AG5209,AI5209,AK5209,AM5209,AO5209,AQ5209,AS5209,AU5209,AW5209,AY5209)</f>
        <v>1185530</v>
      </c>
      <c r="BC5209" s="28" t="n">
        <f aca="false">BA5209-BB5209</f>
        <v>0</v>
      </c>
      <c r="BD5209" s="32" t="n">
        <f aca="false">SUM(P5209,R5209,T5209,V5209,X5209,Z5209,AB5209,AD5209,AF5209,AH5209,AJ5209,AL5209,AN5209,AP5209,AR5209,AT5209,AV5209,AX5209)</f>
        <v>2155.51</v>
      </c>
      <c r="BE5209" s="33" t="n">
        <f aca="false">AZ5209-BD5209</f>
        <v>0</v>
      </c>
      <c r="BF5209" s="34" t="n">
        <f aca="false">BD5209*M5209</f>
        <v>1185530.5</v>
      </c>
      <c r="BG5209" s="35" t="n">
        <f aca="false">BA5209-BF5209</f>
        <v>-0.500000000232831</v>
      </c>
      <c r="BH5209" s="19" t="str">
        <f aca="false">IF(BG5209=0,"",IF(BG5209&lt;&gt;BA5209,"erreur de calcul",IF(BD5209&lt;&gt;0,"pas de prix",IF(M5209&lt;&gt; 0,"pas de quantité","pas de prix, ni de quantité"))))</f>
        <v>erreur de calcul</v>
      </c>
      <c r="BI5209" s="19"/>
    </row>
    <row r="5210" customFormat="false" ht="15" hidden="false" customHeight="false" outlineLevel="0" collapsed="false">
      <c r="A5210" s="0" t="n">
        <v>6</v>
      </c>
      <c r="B5210" s="8" t="s">
        <v>24</v>
      </c>
      <c r="C5210" s="9" t="s">
        <v>25</v>
      </c>
      <c r="D5210" s="9" t="s">
        <v>26</v>
      </c>
      <c r="E5210" s="10" t="n">
        <v>1789</v>
      </c>
      <c r="F5210" s="9" t="s">
        <v>27</v>
      </c>
      <c r="G5210" s="9" t="s">
        <v>27</v>
      </c>
      <c r="H5210" s="11" t="n">
        <v>26</v>
      </c>
      <c r="I5210" s="11" t="s">
        <v>377</v>
      </c>
      <c r="J5210" s="14"/>
      <c r="K5210" s="14"/>
      <c r="L5210" s="16"/>
      <c r="M5210" s="27" t="n">
        <f aca="false">J5210+(K5210/20)+(L5210/240)</f>
        <v>0</v>
      </c>
      <c r="N5210" s="17"/>
      <c r="O5210" s="11"/>
      <c r="P5210" s="28"/>
      <c r="Q5210" s="28" t="n">
        <f aca="false">P5210*$M5210</f>
        <v>0</v>
      </c>
      <c r="R5210" s="28"/>
      <c r="S5210" s="28" t="n">
        <f aca="false">R5210*$M5210</f>
        <v>0</v>
      </c>
      <c r="T5210" s="28"/>
      <c r="U5210" s="28" t="n">
        <v>517</v>
      </c>
      <c r="V5210" s="28"/>
      <c r="W5210" s="28" t="n">
        <v>1243</v>
      </c>
      <c r="X5210" s="28"/>
      <c r="Y5210" s="28" t="n">
        <f aca="false">X5210*$M5210</f>
        <v>0</v>
      </c>
      <c r="Z5210" s="28"/>
      <c r="AA5210" s="28" t="n">
        <f aca="false">Z5210*$M5210</f>
        <v>0</v>
      </c>
      <c r="AB5210" s="28"/>
      <c r="AC5210" s="28" t="n">
        <v>694</v>
      </c>
      <c r="AD5210" s="28"/>
      <c r="AE5210" s="28" t="n">
        <f aca="false">AD5210*$M5210</f>
        <v>0</v>
      </c>
      <c r="AF5210" s="28"/>
      <c r="AG5210" s="28" t="n">
        <f aca="false">AF5210*$M5210</f>
        <v>0</v>
      </c>
      <c r="AH5210" s="28"/>
      <c r="AI5210" s="28" t="n">
        <f aca="false">AH5210*$M5210</f>
        <v>0</v>
      </c>
      <c r="AJ5210" s="28"/>
      <c r="AK5210" s="28" t="n">
        <v>664</v>
      </c>
      <c r="AL5210" s="28"/>
      <c r="AM5210" s="28" t="n">
        <v>161</v>
      </c>
      <c r="AN5210" s="28"/>
      <c r="AO5210" s="28" t="n">
        <f aca="false">AN5210*$M5210</f>
        <v>0</v>
      </c>
      <c r="AP5210" s="28"/>
      <c r="AQ5210" s="28" t="n">
        <f aca="false">AP5210*$M5210</f>
        <v>0</v>
      </c>
      <c r="AR5210" s="28"/>
      <c r="AS5210" s="28" t="n">
        <f aca="false">AR5210*$M5210</f>
        <v>0</v>
      </c>
      <c r="AT5210" s="28"/>
      <c r="AU5210" s="28" t="n">
        <f aca="false">AT5210*$M5210</f>
        <v>0</v>
      </c>
      <c r="AV5210" s="28"/>
      <c r="AW5210" s="28" t="n">
        <f aca="false">AV5210*$M5210</f>
        <v>0</v>
      </c>
      <c r="AX5210" s="28"/>
      <c r="AY5210" s="28" t="n">
        <f aca="false">AX5210*$M5210</f>
        <v>0</v>
      </c>
      <c r="AZ5210" s="30"/>
      <c r="BA5210" s="11" t="n">
        <v>3279</v>
      </c>
      <c r="BB5210" s="31" t="n">
        <f aca="false">SUM(Q5210,S5210,U5210,W5210,Y5210,AA5210,AC5210,AE5210,AG5210,AI5210,AK5210,AM5210,AO5210,AQ5210,AS5210,AU5210,AW5210,AY5210)</f>
        <v>3279</v>
      </c>
      <c r="BC5210" s="28" t="n">
        <f aca="false">BA5210-BB5210</f>
        <v>0</v>
      </c>
      <c r="BD5210" s="32" t="n">
        <f aca="false">SUM(P5210,R5210,T5210,V5210,X5210,Z5210,AB5210,AD5210,AF5210,AH5210,AJ5210,AL5210,AN5210,AP5210,AR5210,AT5210,AV5210,AX5210)</f>
        <v>0</v>
      </c>
      <c r="BE5210" s="33" t="n">
        <f aca="false">AZ5210-BD5210</f>
        <v>0</v>
      </c>
      <c r="BF5210" s="34" t="n">
        <f aca="false">BD5210*M5210</f>
        <v>0</v>
      </c>
      <c r="BG5210" s="35" t="n">
        <f aca="false">BA5210-BF5210</f>
        <v>3279</v>
      </c>
      <c r="BH5210" s="19" t="str">
        <f aca="false">IF(BG5210=0,"",IF(BG5210&lt;&gt;BA5210,"erreur de calcul",IF(BD5210&lt;&gt;0,"pas de prix",IF(M5210&lt;&gt; 0,"pas de quantité","pas de prix, ni de quantité"))))</f>
        <v>pas de prix, ni de quantité</v>
      </c>
      <c r="BI5210" s="19"/>
    </row>
    <row r="5211" customFormat="false" ht="15" hidden="false" customHeight="false" outlineLevel="0" collapsed="false">
      <c r="A5211" s="0" t="n">
        <v>7</v>
      </c>
      <c r="B5211" s="8" t="s">
        <v>24</v>
      </c>
      <c r="C5211" s="9" t="s">
        <v>25</v>
      </c>
      <c r="D5211" s="9" t="s">
        <v>26</v>
      </c>
      <c r="E5211" s="10" t="n">
        <v>1789</v>
      </c>
      <c r="F5211" s="9" t="s">
        <v>27</v>
      </c>
      <c r="G5211" s="9" t="s">
        <v>27</v>
      </c>
      <c r="H5211" s="11" t="n">
        <v>26</v>
      </c>
      <c r="I5211" s="11" t="s">
        <v>378</v>
      </c>
      <c r="J5211" s="14" t="n">
        <v>27</v>
      </c>
      <c r="K5211" s="14"/>
      <c r="L5211" s="16"/>
      <c r="M5211" s="27" t="n">
        <f aca="false">J5211+(K5211/20)+(L5211/240)</f>
        <v>27</v>
      </c>
      <c r="N5211" s="17" t="s">
        <v>379</v>
      </c>
      <c r="O5211" s="11" t="s">
        <v>98</v>
      </c>
      <c r="P5211" s="28"/>
      <c r="Q5211" s="28" t="n">
        <f aca="false">P5211*$M5211</f>
        <v>0</v>
      </c>
      <c r="R5211" s="28"/>
      <c r="S5211" s="28" t="n">
        <f aca="false">R5211*$M5211</f>
        <v>0</v>
      </c>
      <c r="T5211" s="28"/>
      <c r="U5211" s="28" t="n">
        <f aca="false">T5211*$M5211</f>
        <v>0</v>
      </c>
      <c r="V5211" s="28"/>
      <c r="W5211" s="28" t="n">
        <f aca="false">V5211*$M5211</f>
        <v>0</v>
      </c>
      <c r="X5211" s="28"/>
      <c r="Y5211" s="28" t="n">
        <f aca="false">X5211*$M5211</f>
        <v>0</v>
      </c>
      <c r="Z5211" s="28"/>
      <c r="AA5211" s="28" t="n">
        <f aca="false">Z5211*$M5211</f>
        <v>0</v>
      </c>
      <c r="AB5211" s="28"/>
      <c r="AC5211" s="28" t="n">
        <f aca="false">AB5211*$M5211</f>
        <v>0</v>
      </c>
      <c r="AD5211" s="28"/>
      <c r="AE5211" s="28" t="n">
        <f aca="false">AD5211*$M5211</f>
        <v>0</v>
      </c>
      <c r="AF5211" s="28"/>
      <c r="AG5211" s="28" t="n">
        <f aca="false">AF5211*$M5211</f>
        <v>0</v>
      </c>
      <c r="AH5211" s="28"/>
      <c r="AI5211" s="28" t="n">
        <f aca="false">AH5211*$M5211</f>
        <v>0</v>
      </c>
      <c r="AJ5211" s="28"/>
      <c r="AK5211" s="28" t="n">
        <f aca="false">AJ5211*$M5211</f>
        <v>0</v>
      </c>
      <c r="AL5211" s="28"/>
      <c r="AM5211" s="28" t="n">
        <f aca="false">AL5211*$M5211</f>
        <v>0</v>
      </c>
      <c r="AN5211" s="28"/>
      <c r="AO5211" s="28" t="n">
        <f aca="false">AN5211*$M5211</f>
        <v>0</v>
      </c>
      <c r="AP5211" s="28"/>
      <c r="AQ5211" s="28" t="n">
        <f aca="false">AP5211*$M5211</f>
        <v>0</v>
      </c>
      <c r="AR5211" s="28"/>
      <c r="AS5211" s="28" t="n">
        <f aca="false">AR5211*$M5211</f>
        <v>0</v>
      </c>
      <c r="AT5211" s="28"/>
      <c r="AU5211" s="28" t="n">
        <f aca="false">AT5211*$M5211</f>
        <v>0</v>
      </c>
      <c r="AV5211" s="28"/>
      <c r="AW5211" s="28" t="n">
        <f aca="false">AV5211*$M5211</f>
        <v>0</v>
      </c>
      <c r="AX5211" s="28"/>
      <c r="AY5211" s="28" t="n">
        <f aca="false">AX5211*$M5211</f>
        <v>0</v>
      </c>
      <c r="AZ5211" s="30"/>
      <c r="BA5211" s="11"/>
      <c r="BB5211" s="31" t="n">
        <f aca="false">SUM(Q5211,S5211,U5211,W5211,Y5211,AA5211,AC5211,AE5211,AG5211,AI5211,AK5211,AM5211,AO5211,AQ5211,AS5211,AU5211,AW5211,AY5211)</f>
        <v>0</v>
      </c>
      <c r="BC5211" s="28" t="n">
        <f aca="false">BA5211-BB5211</f>
        <v>0</v>
      </c>
      <c r="BD5211" s="32" t="n">
        <f aca="false">SUM(P5211,R5211,T5211,V5211,X5211,Z5211,AB5211,AD5211,AF5211,AH5211,AJ5211,AL5211,AN5211,AP5211,AR5211,AT5211,AV5211,AX5211)</f>
        <v>0</v>
      </c>
      <c r="BE5211" s="33" t="n">
        <f aca="false">AZ5211-BD5211</f>
        <v>0</v>
      </c>
      <c r="BF5211" s="34" t="n">
        <f aca="false">BD5211*M5211</f>
        <v>0</v>
      </c>
      <c r="BG5211" s="35" t="n">
        <f aca="false">BA5211-BF5211</f>
        <v>0</v>
      </c>
      <c r="BH5211" s="19" t="str">
        <f aca="false">IF(BG5211=0,"",IF(BG5211&lt;&gt;BA5211,"erreur de calcul",IF(BD5211&lt;&gt;0,"pas de prix",IF(M5211&lt;&gt; 0,"pas de quantité","pas de prix, ni de quantité"))))</f>
        <v/>
      </c>
      <c r="BI5211" s="19"/>
    </row>
    <row r="5212" customFormat="false" ht="15" hidden="false" customHeight="false" outlineLevel="0" collapsed="false">
      <c r="A5212" s="0" t="n">
        <v>8</v>
      </c>
      <c r="B5212" s="8" t="s">
        <v>24</v>
      </c>
      <c r="C5212" s="9" t="s">
        <v>25</v>
      </c>
      <c r="D5212" s="9" t="s">
        <v>26</v>
      </c>
      <c r="E5212" s="10" t="n">
        <v>1789</v>
      </c>
      <c r="F5212" s="9" t="s">
        <v>27</v>
      </c>
      <c r="G5212" s="9" t="s">
        <v>27</v>
      </c>
      <c r="H5212" s="11" t="n">
        <v>26</v>
      </c>
      <c r="I5212" s="11" t="s">
        <v>380</v>
      </c>
      <c r="J5212" s="14" t="n">
        <v>30</v>
      </c>
      <c r="K5212" s="14"/>
      <c r="L5212" s="16"/>
      <c r="M5212" s="27" t="n">
        <f aca="false">J5212+(K5212/20)+(L5212/240)</f>
        <v>30</v>
      </c>
      <c r="N5212" s="17" t="s">
        <v>64</v>
      </c>
      <c r="O5212" s="11"/>
      <c r="P5212" s="28"/>
      <c r="Q5212" s="28" t="n">
        <f aca="false">P5212*$M5212</f>
        <v>0</v>
      </c>
      <c r="R5212" s="28"/>
      <c r="S5212" s="28" t="n">
        <f aca="false">R5212*$M5212</f>
        <v>0</v>
      </c>
      <c r="T5212" s="28"/>
      <c r="U5212" s="28" t="n">
        <f aca="false">T5212*$M5212</f>
        <v>0</v>
      </c>
      <c r="V5212" s="28"/>
      <c r="W5212" s="28" t="n">
        <f aca="false">V5212*$M5212</f>
        <v>0</v>
      </c>
      <c r="X5212" s="28"/>
      <c r="Y5212" s="28" t="n">
        <f aca="false">X5212*$M5212</f>
        <v>0</v>
      </c>
      <c r="Z5212" s="28"/>
      <c r="AA5212" s="28" t="n">
        <f aca="false">Z5212*$M5212</f>
        <v>0</v>
      </c>
      <c r="AB5212" s="28"/>
      <c r="AC5212" s="28" t="n">
        <f aca="false">AB5212*$M5212</f>
        <v>0</v>
      </c>
      <c r="AD5212" s="28"/>
      <c r="AE5212" s="28" t="n">
        <f aca="false">AD5212*$M5212</f>
        <v>0</v>
      </c>
      <c r="AF5212" s="28"/>
      <c r="AG5212" s="28" t="n">
        <f aca="false">AF5212*$M5212</f>
        <v>0</v>
      </c>
      <c r="AH5212" s="28"/>
      <c r="AI5212" s="28" t="n">
        <f aca="false">AH5212*$M5212</f>
        <v>0</v>
      </c>
      <c r="AJ5212" s="28"/>
      <c r="AK5212" s="28" t="n">
        <f aca="false">AJ5212*$M5212</f>
        <v>0</v>
      </c>
      <c r="AL5212" s="28"/>
      <c r="AM5212" s="28" t="n">
        <f aca="false">AL5212*$M5212</f>
        <v>0</v>
      </c>
      <c r="AN5212" s="28"/>
      <c r="AO5212" s="28" t="n">
        <f aca="false">AN5212*$M5212</f>
        <v>0</v>
      </c>
      <c r="AP5212" s="28"/>
      <c r="AQ5212" s="28" t="n">
        <f aca="false">AP5212*$M5212</f>
        <v>0</v>
      </c>
      <c r="AR5212" s="28"/>
      <c r="AS5212" s="28" t="n">
        <f aca="false">AR5212*$M5212</f>
        <v>0</v>
      </c>
      <c r="AT5212" s="28"/>
      <c r="AU5212" s="28" t="n">
        <f aca="false">AT5212*$M5212</f>
        <v>0</v>
      </c>
      <c r="AV5212" s="28" t="n">
        <f aca="false">5417/100</f>
        <v>54.17</v>
      </c>
      <c r="AW5212" s="28" t="n">
        <v>1625</v>
      </c>
      <c r="AX5212" s="28"/>
      <c r="AY5212" s="28" t="n">
        <f aca="false">AX5212*$M5212</f>
        <v>0</v>
      </c>
      <c r="AZ5212" s="30"/>
      <c r="BA5212" s="11" t="n">
        <v>1625</v>
      </c>
      <c r="BB5212" s="31" t="n">
        <f aca="false">SUM(Q5212,S5212,U5212,W5212,Y5212,AA5212,AC5212,AE5212,AG5212,AI5212,AK5212,AM5212,AO5212,AQ5212,AS5212,AU5212,AW5212,AY5212)</f>
        <v>1625</v>
      </c>
      <c r="BC5212" s="28" t="n">
        <f aca="false">BA5212-BB5212</f>
        <v>0</v>
      </c>
      <c r="BD5212" s="32" t="n">
        <f aca="false">SUM(P5212,R5212,T5212,V5212,X5212,Z5212,AB5212,AD5212,AF5212,AH5212,AJ5212,AL5212,AN5212,AP5212,AR5212,AT5212,AV5212,AX5212)</f>
        <v>54.17</v>
      </c>
      <c r="BE5212" s="33" t="n">
        <f aca="false">AZ5212-BD5212</f>
        <v>-54.17</v>
      </c>
      <c r="BF5212" s="34" t="n">
        <f aca="false">BD5212*M5212</f>
        <v>1625.1</v>
      </c>
      <c r="BG5212" s="35" t="n">
        <f aca="false">BA5212-BF5212</f>
        <v>-0.100000000000136</v>
      </c>
      <c r="BH5212" s="19" t="str">
        <f aca="false">IF(BG5212=0,"",IF(BG5212&lt;&gt;BA5212,"erreur de calcul",IF(BD5212&lt;&gt;0,"pas de prix",IF(M5212&lt;&gt; 0,"pas de quantité","pas de prix, ni de quantité"))))</f>
        <v>erreur de calcul</v>
      </c>
      <c r="BI5212" s="19"/>
    </row>
    <row r="5213" customFormat="false" ht="15" hidden="false" customHeight="false" outlineLevel="0" collapsed="false">
      <c r="A5213" s="0" t="n">
        <v>9</v>
      </c>
      <c r="B5213" s="8" t="s">
        <v>24</v>
      </c>
      <c r="C5213" s="9" t="s">
        <v>25</v>
      </c>
      <c r="D5213" s="9" t="s">
        <v>26</v>
      </c>
      <c r="E5213" s="10" t="n">
        <v>1789</v>
      </c>
      <c r="F5213" s="9" t="s">
        <v>27</v>
      </c>
      <c r="G5213" s="9" t="s">
        <v>27</v>
      </c>
      <c r="H5213" s="11" t="n">
        <v>26</v>
      </c>
      <c r="I5213" s="11" t="s">
        <v>381</v>
      </c>
      <c r="J5213" s="14" t="n">
        <v>6</v>
      </c>
      <c r="K5213" s="14"/>
      <c r="L5213" s="16"/>
      <c r="M5213" s="27" t="n">
        <f aca="false">J5213+(K5213/20)+(L5213/240)</f>
        <v>6</v>
      </c>
      <c r="N5213" s="17" t="s">
        <v>379</v>
      </c>
      <c r="O5213" s="11" t="s">
        <v>98</v>
      </c>
      <c r="P5213" s="28"/>
      <c r="Q5213" s="28" t="n">
        <f aca="false">P5213*$M5213</f>
        <v>0</v>
      </c>
      <c r="R5213" s="28"/>
      <c r="S5213" s="28" t="n">
        <f aca="false">R5213*$M5213</f>
        <v>0</v>
      </c>
      <c r="T5213" s="28"/>
      <c r="U5213" s="28" t="n">
        <f aca="false">T5213*$M5213</f>
        <v>0</v>
      </c>
      <c r="V5213" s="28"/>
      <c r="W5213" s="28" t="n">
        <f aca="false">V5213*$M5213</f>
        <v>0</v>
      </c>
      <c r="X5213" s="28"/>
      <c r="Y5213" s="28" t="n">
        <f aca="false">X5213*$M5213</f>
        <v>0</v>
      </c>
      <c r="Z5213" s="28"/>
      <c r="AA5213" s="28" t="n">
        <f aca="false">Z5213*$M5213</f>
        <v>0</v>
      </c>
      <c r="AB5213" s="28"/>
      <c r="AC5213" s="28" t="n">
        <f aca="false">AB5213*$M5213</f>
        <v>0</v>
      </c>
      <c r="AD5213" s="28"/>
      <c r="AE5213" s="28" t="n">
        <f aca="false">AD5213*$M5213</f>
        <v>0</v>
      </c>
      <c r="AF5213" s="28"/>
      <c r="AG5213" s="28" t="n">
        <f aca="false">AF5213*$M5213</f>
        <v>0</v>
      </c>
      <c r="AH5213" s="28"/>
      <c r="AI5213" s="28" t="n">
        <f aca="false">AH5213*$M5213</f>
        <v>0</v>
      </c>
      <c r="AJ5213" s="28"/>
      <c r="AK5213" s="28" t="n">
        <f aca="false">AJ5213*$M5213</f>
        <v>0</v>
      </c>
      <c r="AL5213" s="28"/>
      <c r="AM5213" s="28" t="n">
        <f aca="false">AL5213*$M5213</f>
        <v>0</v>
      </c>
      <c r="AN5213" s="28"/>
      <c r="AO5213" s="28" t="n">
        <f aca="false">AN5213*$M5213</f>
        <v>0</v>
      </c>
      <c r="AP5213" s="28"/>
      <c r="AQ5213" s="28" t="n">
        <f aca="false">AP5213*$M5213</f>
        <v>0</v>
      </c>
      <c r="AR5213" s="28"/>
      <c r="AS5213" s="28" t="n">
        <f aca="false">AR5213*$M5213</f>
        <v>0</v>
      </c>
      <c r="AT5213" s="28"/>
      <c r="AU5213" s="28" t="n">
        <f aca="false">AT5213*$M5213</f>
        <v>0</v>
      </c>
      <c r="AV5213" s="28"/>
      <c r="AW5213" s="28" t="n">
        <f aca="false">AV5213*$M5213</f>
        <v>0</v>
      </c>
      <c r="AX5213" s="28"/>
      <c r="AY5213" s="28" t="n">
        <f aca="false">AX5213*$M5213</f>
        <v>0</v>
      </c>
      <c r="AZ5213" s="30"/>
      <c r="BA5213" s="11"/>
      <c r="BB5213" s="31" t="n">
        <f aca="false">SUM(Q5213,S5213,U5213,W5213,Y5213,AA5213,AC5213,AE5213,AG5213,AI5213,AK5213,AM5213,AO5213,AQ5213,AS5213,AU5213,AW5213,AY5213)</f>
        <v>0</v>
      </c>
      <c r="BC5213" s="28" t="n">
        <f aca="false">BA5213-BB5213</f>
        <v>0</v>
      </c>
      <c r="BD5213" s="32" t="n">
        <f aca="false">SUM(P5213,R5213,T5213,V5213,X5213,Z5213,AB5213,AD5213,AF5213,AH5213,AJ5213,AL5213,AN5213,AP5213,AR5213,AT5213,AV5213,AX5213)</f>
        <v>0</v>
      </c>
      <c r="BE5213" s="33" t="n">
        <f aca="false">AZ5213-BD5213</f>
        <v>0</v>
      </c>
      <c r="BF5213" s="34" t="n">
        <f aca="false">BD5213*M5213</f>
        <v>0</v>
      </c>
      <c r="BG5213" s="35" t="n">
        <f aca="false">BA5213-BF5213</f>
        <v>0</v>
      </c>
      <c r="BH5213" s="19" t="str">
        <f aca="false">IF(BG5213=0,"",IF(BG5213&lt;&gt;BA5213,"erreur de calcul",IF(BD5213&lt;&gt;0,"pas de prix",IF(M5213&lt;&gt; 0,"pas de quantité","pas de prix, ni de quantité"))))</f>
        <v/>
      </c>
      <c r="BI5213" s="19"/>
    </row>
    <row r="5214" customFormat="false" ht="15" hidden="false" customHeight="false" outlineLevel="0" collapsed="false">
      <c r="A5214" s="0" t="n">
        <v>10</v>
      </c>
      <c r="B5214" s="8" t="s">
        <v>24</v>
      </c>
      <c r="C5214" s="9" t="s">
        <v>25</v>
      </c>
      <c r="D5214" s="9" t="s">
        <v>26</v>
      </c>
      <c r="E5214" s="10" t="n">
        <v>1789</v>
      </c>
      <c r="F5214" s="9" t="s">
        <v>27</v>
      </c>
      <c r="G5214" s="9" t="s">
        <v>27</v>
      </c>
      <c r="H5214" s="11" t="n">
        <v>26</v>
      </c>
      <c r="I5214" s="11" t="s">
        <v>381</v>
      </c>
      <c r="J5214" s="14" t="n">
        <v>40</v>
      </c>
      <c r="K5214" s="14"/>
      <c r="L5214" s="16"/>
      <c r="M5214" s="27" t="n">
        <f aca="false">J5214+(K5214/20)+(L5214/240)</f>
        <v>40</v>
      </c>
      <c r="N5214" s="17" t="s">
        <v>382</v>
      </c>
      <c r="O5214" s="11" t="s">
        <v>98</v>
      </c>
      <c r="P5214" s="28"/>
      <c r="Q5214" s="28" t="n">
        <f aca="false">P5214*$M5214</f>
        <v>0</v>
      </c>
      <c r="R5214" s="28"/>
      <c r="S5214" s="28" t="n">
        <f aca="false">R5214*$M5214</f>
        <v>0</v>
      </c>
      <c r="T5214" s="28"/>
      <c r="U5214" s="28" t="n">
        <f aca="false">T5214*$M5214</f>
        <v>0</v>
      </c>
      <c r="V5214" s="28"/>
      <c r="W5214" s="28" t="n">
        <f aca="false">V5214*$M5214</f>
        <v>0</v>
      </c>
      <c r="X5214" s="28"/>
      <c r="Y5214" s="28" t="n">
        <f aca="false">X5214*$M5214</f>
        <v>0</v>
      </c>
      <c r="Z5214" s="28"/>
      <c r="AA5214" s="28" t="n">
        <f aca="false">Z5214*$M5214</f>
        <v>0</v>
      </c>
      <c r="AB5214" s="28"/>
      <c r="AC5214" s="28" t="n">
        <f aca="false">AB5214*$M5214</f>
        <v>0</v>
      </c>
      <c r="AD5214" s="28"/>
      <c r="AE5214" s="28" t="n">
        <f aca="false">AD5214*$M5214</f>
        <v>0</v>
      </c>
      <c r="AF5214" s="28"/>
      <c r="AG5214" s="28" t="n">
        <f aca="false">AF5214*$M5214</f>
        <v>0</v>
      </c>
      <c r="AH5214" s="28"/>
      <c r="AI5214" s="28" t="n">
        <f aca="false">AH5214*$M5214</f>
        <v>0</v>
      </c>
      <c r="AJ5214" s="28"/>
      <c r="AK5214" s="28" t="n">
        <f aca="false">AJ5214*$M5214</f>
        <v>0</v>
      </c>
      <c r="AL5214" s="28"/>
      <c r="AM5214" s="28" t="n">
        <f aca="false">AL5214*$M5214</f>
        <v>0</v>
      </c>
      <c r="AN5214" s="28"/>
      <c r="AO5214" s="28" t="n">
        <f aca="false">AN5214*$M5214</f>
        <v>0</v>
      </c>
      <c r="AP5214" s="28"/>
      <c r="AQ5214" s="28" t="n">
        <f aca="false">AP5214*$M5214</f>
        <v>0</v>
      </c>
      <c r="AR5214" s="28"/>
      <c r="AS5214" s="28" t="n">
        <f aca="false">AR5214*$M5214</f>
        <v>0</v>
      </c>
      <c r="AT5214" s="28"/>
      <c r="AU5214" s="28" t="n">
        <f aca="false">AT5214*$M5214</f>
        <v>0</v>
      </c>
      <c r="AV5214" s="28"/>
      <c r="AW5214" s="28" t="n">
        <f aca="false">AV5214*$M5214</f>
        <v>0</v>
      </c>
      <c r="AX5214" s="28"/>
      <c r="AY5214" s="28" t="n">
        <f aca="false">AX5214*$M5214</f>
        <v>0</v>
      </c>
      <c r="AZ5214" s="30"/>
      <c r="BA5214" s="11"/>
      <c r="BB5214" s="31" t="n">
        <f aca="false">SUM(Q5214,S5214,U5214,W5214,Y5214,AA5214,AC5214,AE5214,AG5214,AI5214,AK5214,AM5214,AO5214,AQ5214,AS5214,AU5214,AW5214,AY5214)</f>
        <v>0</v>
      </c>
      <c r="BC5214" s="28" t="n">
        <f aca="false">BA5214-BB5214</f>
        <v>0</v>
      </c>
      <c r="BD5214" s="32" t="n">
        <f aca="false">SUM(P5214,R5214,T5214,V5214,X5214,Z5214,AB5214,AD5214,AF5214,AH5214,AJ5214,AL5214,AN5214,AP5214,AR5214,AT5214,AV5214,AX5214)</f>
        <v>0</v>
      </c>
      <c r="BE5214" s="33" t="n">
        <f aca="false">AZ5214-BD5214</f>
        <v>0</v>
      </c>
      <c r="BF5214" s="34" t="n">
        <f aca="false">BD5214*M5214</f>
        <v>0</v>
      </c>
      <c r="BG5214" s="35" t="n">
        <f aca="false">BA5214-BF5214</f>
        <v>0</v>
      </c>
      <c r="BH5214" s="19" t="str">
        <f aca="false">IF(BG5214=0,"",IF(BG5214&lt;&gt;BA5214,"erreur de calcul",IF(BD5214&lt;&gt;0,"pas de prix",IF(M5214&lt;&gt; 0,"pas de quantité","pas de prix, ni de quantité"))))</f>
        <v/>
      </c>
      <c r="BI5214" s="19"/>
    </row>
    <row r="5215" customFormat="false" ht="15" hidden="false" customHeight="false" outlineLevel="0" collapsed="false">
      <c r="A5215" s="0" t="n">
        <v>11</v>
      </c>
      <c r="B5215" s="8" t="s">
        <v>24</v>
      </c>
      <c r="C5215" s="9" t="s">
        <v>25</v>
      </c>
      <c r="D5215" s="9" t="s">
        <v>26</v>
      </c>
      <c r="E5215" s="10" t="n">
        <v>1789</v>
      </c>
      <c r="F5215" s="9" t="s">
        <v>27</v>
      </c>
      <c r="G5215" s="9" t="s">
        <v>27</v>
      </c>
      <c r="H5215" s="11" t="n">
        <v>26</v>
      </c>
      <c r="I5215" s="11" t="s">
        <v>383</v>
      </c>
      <c r="J5215" s="14" t="n">
        <v>50</v>
      </c>
      <c r="K5215" s="14"/>
      <c r="L5215" s="16"/>
      <c r="M5215" s="27" t="n">
        <f aca="false">J5215+(K5215/20)+(L5215/240)</f>
        <v>50</v>
      </c>
      <c r="N5215" s="17" t="s">
        <v>64</v>
      </c>
      <c r="O5215" s="11"/>
      <c r="P5215" s="28" t="n">
        <f aca="false">54967/100</f>
        <v>549.67</v>
      </c>
      <c r="Q5215" s="28" t="n">
        <v>27483</v>
      </c>
      <c r="R5215" s="28"/>
      <c r="S5215" s="28" t="n">
        <f aca="false">R5215*$M5215</f>
        <v>0</v>
      </c>
      <c r="T5215" s="28" t="n">
        <f aca="false">74693/100</f>
        <v>746.93</v>
      </c>
      <c r="U5215" s="28" t="n">
        <v>37346</v>
      </c>
      <c r="V5215" s="28" t="n">
        <f aca="false">161729/100</f>
        <v>1617.29</v>
      </c>
      <c r="W5215" s="28" t="n">
        <v>80864</v>
      </c>
      <c r="X5215" s="28" t="n">
        <f aca="false">106689/100</f>
        <v>1066.89</v>
      </c>
      <c r="Y5215" s="28" t="n">
        <v>53344</v>
      </c>
      <c r="Z5215" s="28"/>
      <c r="AA5215" s="28" t="n">
        <f aca="false">Z5215*$M5215</f>
        <v>0</v>
      </c>
      <c r="AB5215" s="28"/>
      <c r="AC5215" s="28" t="n">
        <f aca="false">AB5215*$M5215</f>
        <v>0</v>
      </c>
      <c r="AD5215" s="28"/>
      <c r="AE5215" s="28" t="n">
        <f aca="false">AD5215*$M5215</f>
        <v>0</v>
      </c>
      <c r="AF5215" s="28"/>
      <c r="AG5215" s="28" t="n">
        <f aca="false">AF5215*$M5215</f>
        <v>0</v>
      </c>
      <c r="AH5215" s="28"/>
      <c r="AI5215" s="28" t="n">
        <f aca="false">AH5215*$M5215</f>
        <v>0</v>
      </c>
      <c r="AJ5215" s="28"/>
      <c r="AK5215" s="28" t="n">
        <f aca="false">AJ5215*$M5215</f>
        <v>0</v>
      </c>
      <c r="AL5215" s="28"/>
      <c r="AM5215" s="28" t="n">
        <f aca="false">AL5215*$M5215</f>
        <v>0</v>
      </c>
      <c r="AN5215" s="28"/>
      <c r="AO5215" s="28" t="n">
        <f aca="false">AN5215*$M5215</f>
        <v>0</v>
      </c>
      <c r="AP5215" s="28"/>
      <c r="AQ5215" s="28" t="n">
        <f aca="false">AP5215*$M5215</f>
        <v>0</v>
      </c>
      <c r="AR5215" s="28"/>
      <c r="AS5215" s="28" t="n">
        <f aca="false">AR5215*$M5215</f>
        <v>0</v>
      </c>
      <c r="AT5215" s="28"/>
      <c r="AU5215" s="28" t="n">
        <f aca="false">AT5215*$M5215</f>
        <v>0</v>
      </c>
      <c r="AV5215" s="28"/>
      <c r="AW5215" s="28" t="n">
        <f aca="false">AV5215*$M5215</f>
        <v>0</v>
      </c>
      <c r="AX5215" s="28"/>
      <c r="AY5215" s="28" t="n">
        <f aca="false">AX5215*$M5215</f>
        <v>0</v>
      </c>
      <c r="AZ5215" s="30" t="n">
        <f aca="false">398078/100</f>
        <v>3980.78</v>
      </c>
      <c r="BA5215" s="11" t="n">
        <v>199037</v>
      </c>
      <c r="BB5215" s="31" t="n">
        <f aca="false">SUM(Q5215,S5215,U5215,W5215,Y5215,AA5215,AC5215,AE5215,AG5215,AI5215,AK5215,AM5215,AO5215,AQ5215,AS5215,AU5215,AW5215,AY5215)</f>
        <v>199037</v>
      </c>
      <c r="BC5215" s="28" t="n">
        <f aca="false">BA5215-BB5215</f>
        <v>0</v>
      </c>
      <c r="BD5215" s="32" t="n">
        <f aca="false">SUM(P5215,R5215,T5215,V5215,X5215,Z5215,AB5215,AD5215,AF5215,AH5215,AJ5215,AL5215,AN5215,AP5215,AR5215,AT5215,AV5215,AX5215)</f>
        <v>3980.78</v>
      </c>
      <c r="BE5215" s="33" t="n">
        <f aca="false">AZ5215-BD5215</f>
        <v>0</v>
      </c>
      <c r="BF5215" s="34" t="n">
        <f aca="false">BD5215*M5215</f>
        <v>199039</v>
      </c>
      <c r="BG5215" s="35" t="n">
        <f aca="false">BA5215-BF5215</f>
        <v>-2</v>
      </c>
      <c r="BH5215" s="19" t="str">
        <f aca="false">IF(BG5215=0,"",IF(BG5215&lt;&gt;BA5215,"erreur de calcul",IF(BD5215&lt;&gt;0,"pas de prix",IF(M5215&lt;&gt; 0,"pas de quantité","pas de prix, ni de quantité"))))</f>
        <v>erreur de calcul</v>
      </c>
      <c r="BI5215" s="19"/>
    </row>
    <row r="5216" customFormat="false" ht="15" hidden="false" customHeight="false" outlineLevel="0" collapsed="false">
      <c r="A5216" s="0" t="n">
        <v>12</v>
      </c>
      <c r="B5216" s="8" t="s">
        <v>24</v>
      </c>
      <c r="C5216" s="9" t="s">
        <v>25</v>
      </c>
      <c r="D5216" s="9" t="s">
        <v>26</v>
      </c>
      <c r="E5216" s="10" t="n">
        <v>1789</v>
      </c>
      <c r="F5216" s="9" t="s">
        <v>27</v>
      </c>
      <c r="G5216" s="9" t="s">
        <v>27</v>
      </c>
      <c r="H5216" s="11" t="n">
        <v>26</v>
      </c>
      <c r="I5216" s="11" t="s">
        <v>384</v>
      </c>
      <c r="J5216" s="14" t="n">
        <v>27</v>
      </c>
      <c r="K5216" s="14"/>
      <c r="L5216" s="16"/>
      <c r="M5216" s="27" t="n">
        <f aca="false">J5216+(K5216/20)+(L5216/240)</f>
        <v>27</v>
      </c>
      <c r="N5216" s="17" t="s">
        <v>64</v>
      </c>
      <c r="O5216" s="11"/>
      <c r="P5216" s="28"/>
      <c r="Q5216" s="28" t="n">
        <f aca="false">P5216*$M5216</f>
        <v>0</v>
      </c>
      <c r="R5216" s="28"/>
      <c r="S5216" s="28" t="n">
        <f aca="false">R5216*$M5216</f>
        <v>0</v>
      </c>
      <c r="T5216" s="28"/>
      <c r="U5216" s="28" t="n">
        <f aca="false">T5216*$M5216</f>
        <v>0</v>
      </c>
      <c r="V5216" s="28"/>
      <c r="W5216" s="28" t="n">
        <f aca="false">V5216*$M5216</f>
        <v>0</v>
      </c>
      <c r="X5216" s="28" t="n">
        <f aca="false">13334/100</f>
        <v>133.34</v>
      </c>
      <c r="Y5216" s="28" t="n">
        <v>3600</v>
      </c>
      <c r="Z5216" s="28"/>
      <c r="AA5216" s="28" t="n">
        <f aca="false">Z5216*$M5216</f>
        <v>0</v>
      </c>
      <c r="AB5216" s="28"/>
      <c r="AC5216" s="28" t="n">
        <f aca="false">AB5216*$M5216</f>
        <v>0</v>
      </c>
      <c r="AD5216" s="28"/>
      <c r="AE5216" s="28" t="n">
        <f aca="false">AD5216*$M5216</f>
        <v>0</v>
      </c>
      <c r="AF5216" s="28"/>
      <c r="AG5216" s="28" t="n">
        <f aca="false">AF5216*$M5216</f>
        <v>0</v>
      </c>
      <c r="AH5216" s="28"/>
      <c r="AI5216" s="28" t="n">
        <f aca="false">AH5216*$M5216</f>
        <v>0</v>
      </c>
      <c r="AJ5216" s="28"/>
      <c r="AK5216" s="28" t="n">
        <f aca="false">AJ5216*$M5216</f>
        <v>0</v>
      </c>
      <c r="AL5216" s="28"/>
      <c r="AM5216" s="28" t="n">
        <f aca="false">AL5216*$M5216</f>
        <v>0</v>
      </c>
      <c r="AN5216" s="28"/>
      <c r="AO5216" s="28" t="n">
        <f aca="false">AN5216*$M5216</f>
        <v>0</v>
      </c>
      <c r="AP5216" s="28"/>
      <c r="AQ5216" s="28" t="n">
        <f aca="false">AP5216*$M5216</f>
        <v>0</v>
      </c>
      <c r="AR5216" s="28"/>
      <c r="AS5216" s="28" t="n">
        <f aca="false">AR5216*$M5216</f>
        <v>0</v>
      </c>
      <c r="AT5216" s="28"/>
      <c r="AU5216" s="28" t="n">
        <f aca="false">AT5216*$M5216</f>
        <v>0</v>
      </c>
      <c r="AV5216" s="28"/>
      <c r="AW5216" s="28" t="n">
        <f aca="false">AV5216*$M5216</f>
        <v>0</v>
      </c>
      <c r="AX5216" s="28"/>
      <c r="AY5216" s="28" t="n">
        <f aca="false">AX5216*$M5216</f>
        <v>0</v>
      </c>
      <c r="AZ5216" s="30" t="n">
        <f aca="false">13334/100</f>
        <v>133.34</v>
      </c>
      <c r="BA5216" s="11" t="n">
        <v>3600</v>
      </c>
      <c r="BB5216" s="31" t="n">
        <f aca="false">SUM(Q5216,S5216,U5216,W5216,Y5216,AA5216,AC5216,AE5216,AG5216,AI5216,AK5216,AM5216,AO5216,AQ5216,AS5216,AU5216,AW5216,AY5216)</f>
        <v>3600</v>
      </c>
      <c r="BC5216" s="28" t="n">
        <f aca="false">BA5216-BB5216</f>
        <v>0</v>
      </c>
      <c r="BD5216" s="32" t="n">
        <f aca="false">SUM(P5216,R5216,T5216,V5216,X5216,Z5216,AB5216,AD5216,AF5216,AH5216,AJ5216,AL5216,AN5216,AP5216,AR5216,AT5216,AV5216,AX5216)</f>
        <v>133.34</v>
      </c>
      <c r="BE5216" s="33" t="n">
        <f aca="false">AZ5216-BD5216</f>
        <v>0</v>
      </c>
      <c r="BF5216" s="34" t="n">
        <f aca="false">BD5216*M5216</f>
        <v>3600.18</v>
      </c>
      <c r="BG5216" s="35" t="n">
        <f aca="false">BA5216-BF5216</f>
        <v>-0.180000000000291</v>
      </c>
      <c r="BH5216" s="19" t="str">
        <f aca="false">IF(BG5216=0,"",IF(BG5216&lt;&gt;BA5216,"erreur de calcul",IF(BD5216&lt;&gt;0,"pas de prix",IF(M5216&lt;&gt; 0,"pas de quantité","pas de prix, ni de quantité"))))</f>
        <v>erreur de calcul</v>
      </c>
      <c r="BI5216" s="19"/>
    </row>
    <row r="5217" customFormat="false" ht="15" hidden="false" customHeight="false" outlineLevel="0" collapsed="false">
      <c r="A5217" s="0" t="n">
        <v>13</v>
      </c>
      <c r="B5217" s="8" t="s">
        <v>24</v>
      </c>
      <c r="C5217" s="9" t="s">
        <v>25</v>
      </c>
      <c r="D5217" s="9" t="s">
        <v>26</v>
      </c>
      <c r="E5217" s="10" t="n">
        <v>1789</v>
      </c>
      <c r="F5217" s="9" t="s">
        <v>27</v>
      </c>
      <c r="G5217" s="9" t="s">
        <v>27</v>
      </c>
      <c r="H5217" s="11" t="n">
        <v>26</v>
      </c>
      <c r="I5217" s="11" t="s">
        <v>385</v>
      </c>
      <c r="J5217" s="14" t="n">
        <v>40</v>
      </c>
      <c r="K5217" s="14"/>
      <c r="L5217" s="16"/>
      <c r="M5217" s="27" t="n">
        <f aca="false">J5217+(K5217/20)+(L5217/240)</f>
        <v>40</v>
      </c>
      <c r="N5217" s="17" t="s">
        <v>64</v>
      </c>
      <c r="O5217" s="11"/>
      <c r="P5217" s="28"/>
      <c r="Q5217" s="28" t="n">
        <f aca="false">P5217*$M5217</f>
        <v>0</v>
      </c>
      <c r="R5217" s="28"/>
      <c r="S5217" s="28" t="n">
        <f aca="false">R5217*$M5217</f>
        <v>0</v>
      </c>
      <c r="T5217" s="28" t="n">
        <f aca="false">13801/100</f>
        <v>138.01</v>
      </c>
      <c r="U5217" s="28" t="n">
        <v>5520</v>
      </c>
      <c r="V5217" s="28"/>
      <c r="W5217" s="28" t="n">
        <f aca="false">V5217*$M5217</f>
        <v>0</v>
      </c>
      <c r="X5217" s="28"/>
      <c r="Y5217" s="28" t="n">
        <f aca="false">X5217*$M5217</f>
        <v>0</v>
      </c>
      <c r="Z5217" s="28"/>
      <c r="AA5217" s="28" t="n">
        <f aca="false">Z5217*$M5217</f>
        <v>0</v>
      </c>
      <c r="AB5217" s="28"/>
      <c r="AC5217" s="28" t="n">
        <f aca="false">AB5217*$M5217</f>
        <v>0</v>
      </c>
      <c r="AD5217" s="28"/>
      <c r="AE5217" s="28" t="n">
        <f aca="false">AD5217*$M5217</f>
        <v>0</v>
      </c>
      <c r="AF5217" s="28"/>
      <c r="AG5217" s="28" t="n">
        <f aca="false">AF5217*$M5217</f>
        <v>0</v>
      </c>
      <c r="AH5217" s="28"/>
      <c r="AI5217" s="28" t="n">
        <f aca="false">AH5217*$M5217</f>
        <v>0</v>
      </c>
      <c r="AJ5217" s="28"/>
      <c r="AK5217" s="28" t="n">
        <f aca="false">AJ5217*$M5217</f>
        <v>0</v>
      </c>
      <c r="AL5217" s="28"/>
      <c r="AM5217" s="28" t="n">
        <f aca="false">AL5217*$M5217</f>
        <v>0</v>
      </c>
      <c r="AN5217" s="28"/>
      <c r="AO5217" s="28" t="n">
        <f aca="false">AN5217*$M5217</f>
        <v>0</v>
      </c>
      <c r="AP5217" s="28"/>
      <c r="AQ5217" s="28" t="n">
        <f aca="false">AP5217*$M5217</f>
        <v>0</v>
      </c>
      <c r="AR5217" s="28"/>
      <c r="AS5217" s="28" t="n">
        <f aca="false">AR5217*$M5217</f>
        <v>0</v>
      </c>
      <c r="AT5217" s="28"/>
      <c r="AU5217" s="28" t="n">
        <f aca="false">AT5217*$M5217</f>
        <v>0</v>
      </c>
      <c r="AV5217" s="28"/>
      <c r="AW5217" s="28" t="n">
        <f aca="false">AV5217*$M5217</f>
        <v>0</v>
      </c>
      <c r="AX5217" s="28"/>
      <c r="AY5217" s="28" t="n">
        <f aca="false">AX5217*$M5217</f>
        <v>0</v>
      </c>
      <c r="AZ5217" s="30" t="n">
        <f aca="false">13801/100</f>
        <v>138.01</v>
      </c>
      <c r="BA5217" s="11" t="n">
        <v>5520</v>
      </c>
      <c r="BB5217" s="31" t="n">
        <f aca="false">SUM(Q5217,S5217,U5217,W5217,Y5217,AA5217,AC5217,AE5217,AG5217,AI5217,AK5217,AM5217,AO5217,AQ5217,AS5217,AU5217,AW5217,AY5217)</f>
        <v>5520</v>
      </c>
      <c r="BC5217" s="28" t="n">
        <f aca="false">BA5217-BB5217</f>
        <v>0</v>
      </c>
      <c r="BD5217" s="32" t="n">
        <f aca="false">SUM(P5217,R5217,T5217,V5217,X5217,Z5217,AB5217,AD5217,AF5217,AH5217,AJ5217,AL5217,AN5217,AP5217,AR5217,AT5217,AV5217,AX5217)</f>
        <v>138.01</v>
      </c>
      <c r="BE5217" s="33" t="n">
        <f aca="false">AZ5217-BD5217</f>
        <v>0</v>
      </c>
      <c r="BF5217" s="34" t="n">
        <f aca="false">BD5217*M5217</f>
        <v>5520.4</v>
      </c>
      <c r="BG5217" s="35" t="n">
        <f aca="false">BA5217-BF5217</f>
        <v>-0.399999999999636</v>
      </c>
      <c r="BH5217" s="19" t="str">
        <f aca="false">IF(BG5217=0,"",IF(BG5217&lt;&gt;BA5217,"erreur de calcul",IF(BD5217&lt;&gt;0,"pas de prix",IF(M5217&lt;&gt; 0,"pas de quantité","pas de prix, ni de quantité"))))</f>
        <v>erreur de calcul</v>
      </c>
      <c r="BI5217" s="19"/>
    </row>
    <row r="5218" customFormat="false" ht="15" hidden="false" customHeight="false" outlineLevel="0" collapsed="false">
      <c r="A5218" s="0" t="n">
        <v>14</v>
      </c>
      <c r="B5218" s="8" t="s">
        <v>24</v>
      </c>
      <c r="C5218" s="9" t="s">
        <v>25</v>
      </c>
      <c r="D5218" s="9" t="s">
        <v>26</v>
      </c>
      <c r="E5218" s="10" t="n">
        <v>1789</v>
      </c>
      <c r="F5218" s="9" t="s">
        <v>27</v>
      </c>
      <c r="G5218" s="9" t="s">
        <v>27</v>
      </c>
      <c r="H5218" s="11" t="n">
        <v>26</v>
      </c>
      <c r="I5218" s="11" t="s">
        <v>386</v>
      </c>
      <c r="J5218" s="14" t="n">
        <v>10</v>
      </c>
      <c r="K5218" s="14"/>
      <c r="L5218" s="16"/>
      <c r="M5218" s="27" t="n">
        <f aca="false">J5218+(K5218/20)+(L5218/240)</f>
        <v>10</v>
      </c>
      <c r="N5218" s="17" t="s">
        <v>387</v>
      </c>
      <c r="O5218" s="11" t="s">
        <v>77</v>
      </c>
      <c r="P5218" s="28" t="n">
        <v>30740</v>
      </c>
      <c r="Q5218" s="28" t="n">
        <v>307400</v>
      </c>
      <c r="R5218" s="28"/>
      <c r="S5218" s="28" t="n">
        <f aca="false">R5218*$M5218</f>
        <v>0</v>
      </c>
      <c r="T5218" s="28" t="n">
        <v>1357</v>
      </c>
      <c r="U5218" s="28" t="n">
        <v>13570</v>
      </c>
      <c r="V5218" s="28" t="n">
        <v>115</v>
      </c>
      <c r="W5218" s="28" t="n">
        <v>1150</v>
      </c>
      <c r="X5218" s="28"/>
      <c r="Y5218" s="28" t="n">
        <f aca="false">X5218*$M5218</f>
        <v>0</v>
      </c>
      <c r="Z5218" s="28"/>
      <c r="AA5218" s="28" t="n">
        <f aca="false">Z5218*$M5218</f>
        <v>0</v>
      </c>
      <c r="AB5218" s="28"/>
      <c r="AC5218" s="28" t="n">
        <f aca="false">AB5218*$M5218</f>
        <v>0</v>
      </c>
      <c r="AD5218" s="28"/>
      <c r="AE5218" s="28" t="n">
        <f aca="false">AD5218*$M5218</f>
        <v>0</v>
      </c>
      <c r="AF5218" s="28"/>
      <c r="AG5218" s="28" t="n">
        <f aca="false">AF5218*$M5218</f>
        <v>0</v>
      </c>
      <c r="AH5218" s="28"/>
      <c r="AI5218" s="28" t="n">
        <f aca="false">AH5218*$M5218</f>
        <v>0</v>
      </c>
      <c r="AJ5218" s="28"/>
      <c r="AK5218" s="28" t="n">
        <f aca="false">AJ5218*$M5218</f>
        <v>0</v>
      </c>
      <c r="AL5218" s="28"/>
      <c r="AM5218" s="28" t="n">
        <f aca="false">AL5218*$M5218</f>
        <v>0</v>
      </c>
      <c r="AN5218" s="28"/>
      <c r="AO5218" s="28" t="n">
        <f aca="false">AN5218*$M5218</f>
        <v>0</v>
      </c>
      <c r="AP5218" s="28"/>
      <c r="AQ5218" s="28" t="n">
        <f aca="false">AP5218*$M5218</f>
        <v>0</v>
      </c>
      <c r="AR5218" s="28"/>
      <c r="AS5218" s="28" t="n">
        <f aca="false">AR5218*$M5218</f>
        <v>0</v>
      </c>
      <c r="AT5218" s="28"/>
      <c r="AU5218" s="28" t="n">
        <f aca="false">AT5218*$M5218</f>
        <v>0</v>
      </c>
      <c r="AV5218" s="28"/>
      <c r="AW5218" s="28" t="n">
        <f aca="false">AV5218*$M5218</f>
        <v>0</v>
      </c>
      <c r="AX5218" s="28"/>
      <c r="AY5218" s="28" t="n">
        <f aca="false">AX5218*$M5218</f>
        <v>0</v>
      </c>
      <c r="AZ5218" s="30" t="n">
        <f aca="false">32212/100</f>
        <v>322.12</v>
      </c>
      <c r="BA5218" s="11" t="n">
        <v>322120</v>
      </c>
      <c r="BB5218" s="31" t="n">
        <f aca="false">SUM(Q5218,S5218,U5218,W5218,Y5218,AA5218,AC5218,AE5218,AG5218,AI5218,AK5218,AM5218,AO5218,AQ5218,AS5218,AU5218,AW5218,AY5218)</f>
        <v>322120</v>
      </c>
      <c r="BC5218" s="28" t="n">
        <f aca="false">BA5218-BB5218</f>
        <v>0</v>
      </c>
      <c r="BD5218" s="32" t="n">
        <f aca="false">SUM(P5218,R5218,T5218,V5218,X5218,Z5218,AB5218,AD5218,AF5218,AH5218,AJ5218,AL5218,AN5218,AP5218,AR5218,AT5218,AV5218,AX5218)</f>
        <v>32212</v>
      </c>
      <c r="BE5218" s="33" t="n">
        <f aca="false">AZ5218-BD5218</f>
        <v>-31889.88</v>
      </c>
      <c r="BF5218" s="34" t="n">
        <f aca="false">BD5218*M5218</f>
        <v>322120</v>
      </c>
      <c r="BG5218" s="35" t="n">
        <f aca="false">BA5218-BF5218</f>
        <v>0</v>
      </c>
      <c r="BH5218" s="19" t="str">
        <f aca="false">IF(BG5218=0,"",IF(BG5218&lt;&gt;BA5218,"erreur de calcul",IF(BD5218&lt;&gt;0,"pas de prix",IF(M5218&lt;&gt; 0,"pas de quantité","pas de prix, ni de quantité"))))</f>
        <v/>
      </c>
      <c r="BI5218" s="19"/>
    </row>
    <row r="5219" customFormat="false" ht="15" hidden="false" customHeight="false" outlineLevel="0" collapsed="false">
      <c r="A5219" s="0" t="n">
        <v>15</v>
      </c>
      <c r="B5219" s="8" t="s">
        <v>24</v>
      </c>
      <c r="C5219" s="9" t="s">
        <v>25</v>
      </c>
      <c r="D5219" s="9" t="s">
        <v>26</v>
      </c>
      <c r="E5219" s="10" t="n">
        <v>1789</v>
      </c>
      <c r="F5219" s="9" t="s">
        <v>27</v>
      </c>
      <c r="G5219" s="9" t="s">
        <v>27</v>
      </c>
      <c r="H5219" s="11" t="n">
        <v>26</v>
      </c>
      <c r="I5219" s="11" t="s">
        <v>385</v>
      </c>
      <c r="J5219" s="14" t="n">
        <v>60</v>
      </c>
      <c r="K5219" s="14"/>
      <c r="L5219" s="16"/>
      <c r="M5219" s="27" t="n">
        <f aca="false">J5219+(K5219/20)+(L5219/240)</f>
        <v>60</v>
      </c>
      <c r="N5219" s="17" t="s">
        <v>64</v>
      </c>
      <c r="O5219" s="11"/>
      <c r="P5219" s="28"/>
      <c r="Q5219" s="28" t="n">
        <f aca="false">P5219*$M5219</f>
        <v>0</v>
      </c>
      <c r="R5219" s="28"/>
      <c r="S5219" s="28" t="n">
        <f aca="false">R5219*$M5219</f>
        <v>0</v>
      </c>
      <c r="T5219" s="28" t="n">
        <f aca="false">204759/100</f>
        <v>2047.59</v>
      </c>
      <c r="U5219" s="28" t="n">
        <v>122855</v>
      </c>
      <c r="V5219" s="28"/>
      <c r="W5219" s="28" t="n">
        <f aca="false">V5219*$M5219</f>
        <v>0</v>
      </c>
      <c r="X5219" s="28"/>
      <c r="Y5219" s="28" t="n">
        <f aca="false">X5219*$M5219</f>
        <v>0</v>
      </c>
      <c r="Z5219" s="28"/>
      <c r="AA5219" s="28" t="n">
        <f aca="false">Z5219*$M5219</f>
        <v>0</v>
      </c>
      <c r="AB5219" s="28"/>
      <c r="AC5219" s="28" t="n">
        <f aca="false">AB5219*$M5219</f>
        <v>0</v>
      </c>
      <c r="AD5219" s="28"/>
      <c r="AE5219" s="28" t="n">
        <f aca="false">AD5219*$M5219</f>
        <v>0</v>
      </c>
      <c r="AF5219" s="28"/>
      <c r="AG5219" s="28" t="n">
        <f aca="false">AF5219*$M5219</f>
        <v>0</v>
      </c>
      <c r="AH5219" s="28"/>
      <c r="AI5219" s="28" t="n">
        <f aca="false">AH5219*$M5219</f>
        <v>0</v>
      </c>
      <c r="AJ5219" s="28"/>
      <c r="AK5219" s="28" t="n">
        <f aca="false">AJ5219*$M5219</f>
        <v>0</v>
      </c>
      <c r="AL5219" s="28"/>
      <c r="AM5219" s="28" t="n">
        <f aca="false">AL5219*$M5219</f>
        <v>0</v>
      </c>
      <c r="AN5219" s="28"/>
      <c r="AO5219" s="28" t="n">
        <f aca="false">AN5219*$M5219</f>
        <v>0</v>
      </c>
      <c r="AP5219" s="28"/>
      <c r="AQ5219" s="28" t="n">
        <f aca="false">AP5219*$M5219</f>
        <v>0</v>
      </c>
      <c r="AR5219" s="28"/>
      <c r="AS5219" s="28" t="n">
        <f aca="false">AR5219*$M5219</f>
        <v>0</v>
      </c>
      <c r="AT5219" s="28"/>
      <c r="AU5219" s="28" t="n">
        <f aca="false">AT5219*$M5219</f>
        <v>0</v>
      </c>
      <c r="AV5219" s="28"/>
      <c r="AW5219" s="28" t="n">
        <f aca="false">AV5219*$M5219</f>
        <v>0</v>
      </c>
      <c r="AX5219" s="28"/>
      <c r="AY5219" s="28" t="n">
        <f aca="false">AX5219*$M5219</f>
        <v>0</v>
      </c>
      <c r="AZ5219" s="30" t="n">
        <f aca="false">204759/100</f>
        <v>2047.59</v>
      </c>
      <c r="BA5219" s="11" t="n">
        <v>122855</v>
      </c>
      <c r="BB5219" s="31" t="n">
        <f aca="false">SUM(Q5219,S5219,U5219,W5219,Y5219,AA5219,AC5219,AE5219,AG5219,AI5219,AK5219,AM5219,AO5219,AQ5219,AS5219,AU5219,AW5219,AY5219)</f>
        <v>122855</v>
      </c>
      <c r="BC5219" s="28" t="n">
        <f aca="false">BA5219-BB5219</f>
        <v>0</v>
      </c>
      <c r="BD5219" s="32" t="n">
        <f aca="false">SUM(P5219,R5219,T5219,V5219,X5219,Z5219,AB5219,AD5219,AF5219,AH5219,AJ5219,AL5219,AN5219,AP5219,AR5219,AT5219,AV5219,AX5219)</f>
        <v>2047.59</v>
      </c>
      <c r="BE5219" s="33" t="n">
        <f aca="false">AZ5219-BD5219</f>
        <v>0</v>
      </c>
      <c r="BF5219" s="34" t="n">
        <f aca="false">BD5219*M5219</f>
        <v>122855.4</v>
      </c>
      <c r="BG5219" s="35" t="n">
        <f aca="false">BA5219-BF5219</f>
        <v>-0.399999999994179</v>
      </c>
      <c r="BH5219" s="19" t="str">
        <f aca="false">IF(BG5219=0,"",IF(BG5219&lt;&gt;BA5219,"erreur de calcul",IF(BD5219&lt;&gt;0,"pas de prix",IF(M5219&lt;&gt; 0,"pas de quantité","pas de prix, ni de quantité"))))</f>
        <v>erreur de calcul</v>
      </c>
      <c r="BI5219" s="19"/>
    </row>
    <row r="5220" customFormat="false" ht="15" hidden="false" customHeight="false" outlineLevel="0" collapsed="false">
      <c r="A5220" s="0" t="n">
        <v>16</v>
      </c>
      <c r="B5220" s="8" t="s">
        <v>24</v>
      </c>
      <c r="C5220" s="9" t="s">
        <v>25</v>
      </c>
      <c r="D5220" s="9" t="s">
        <v>26</v>
      </c>
      <c r="E5220" s="10" t="n">
        <v>1789</v>
      </c>
      <c r="F5220" s="9" t="s">
        <v>27</v>
      </c>
      <c r="G5220" s="9" t="s">
        <v>27</v>
      </c>
      <c r="H5220" s="11" t="n">
        <v>26</v>
      </c>
      <c r="I5220" s="11" t="s">
        <v>388</v>
      </c>
      <c r="J5220" s="14" t="n">
        <v>4</v>
      </c>
      <c r="K5220" s="14" t="n">
        <v>10</v>
      </c>
      <c r="L5220" s="16"/>
      <c r="M5220" s="27" t="n">
        <f aca="false">J5220+(K5220/20)+(L5220/240)</f>
        <v>4.5</v>
      </c>
      <c r="N5220" s="17" t="s">
        <v>66</v>
      </c>
      <c r="O5220" s="11"/>
      <c r="P5220" s="28" t="n">
        <v>20973</v>
      </c>
      <c r="Q5220" s="28" t="n">
        <v>94378</v>
      </c>
      <c r="R5220" s="28"/>
      <c r="S5220" s="28" t="n">
        <f aca="false">R5220*$M5220</f>
        <v>0</v>
      </c>
      <c r="T5220" s="28"/>
      <c r="U5220" s="28" t="n">
        <f aca="false">T5220*$M5220</f>
        <v>0</v>
      </c>
      <c r="V5220" s="28"/>
      <c r="W5220" s="28" t="n">
        <f aca="false">V5220*$M5220</f>
        <v>0</v>
      </c>
      <c r="X5220" s="28"/>
      <c r="Y5220" s="28" t="n">
        <f aca="false">X5220*$M5220</f>
        <v>0</v>
      </c>
      <c r="Z5220" s="28"/>
      <c r="AA5220" s="28" t="n">
        <f aca="false">Z5220*$M5220</f>
        <v>0</v>
      </c>
      <c r="AB5220" s="28"/>
      <c r="AC5220" s="28" t="n">
        <f aca="false">AB5220*$M5220</f>
        <v>0</v>
      </c>
      <c r="AD5220" s="28"/>
      <c r="AE5220" s="28" t="n">
        <f aca="false">AD5220*$M5220</f>
        <v>0</v>
      </c>
      <c r="AF5220" s="28"/>
      <c r="AG5220" s="28" t="n">
        <f aca="false">AF5220*$M5220</f>
        <v>0</v>
      </c>
      <c r="AH5220" s="28"/>
      <c r="AI5220" s="28" t="n">
        <f aca="false">AH5220*$M5220</f>
        <v>0</v>
      </c>
      <c r="AJ5220" s="28"/>
      <c r="AK5220" s="28" t="n">
        <f aca="false">AJ5220*$M5220</f>
        <v>0</v>
      </c>
      <c r="AL5220" s="28"/>
      <c r="AM5220" s="28" t="n">
        <f aca="false">AL5220*$M5220</f>
        <v>0</v>
      </c>
      <c r="AN5220" s="28"/>
      <c r="AO5220" s="28" t="n">
        <f aca="false">AN5220*$M5220</f>
        <v>0</v>
      </c>
      <c r="AP5220" s="28"/>
      <c r="AQ5220" s="28" t="n">
        <f aca="false">AP5220*$M5220</f>
        <v>0</v>
      </c>
      <c r="AR5220" s="28"/>
      <c r="AS5220" s="28" t="n">
        <f aca="false">AR5220*$M5220</f>
        <v>0</v>
      </c>
      <c r="AT5220" s="28"/>
      <c r="AU5220" s="28" t="n">
        <f aca="false">AT5220*$M5220</f>
        <v>0</v>
      </c>
      <c r="AV5220" s="28"/>
      <c r="AW5220" s="28" t="n">
        <f aca="false">AV5220*$M5220</f>
        <v>0</v>
      </c>
      <c r="AX5220" s="28"/>
      <c r="AY5220" s="28" t="n">
        <f aca="false">AX5220*$M5220</f>
        <v>0</v>
      </c>
      <c r="AZ5220" s="30" t="n">
        <v>20973</v>
      </c>
      <c r="BA5220" s="11" t="n">
        <v>94378</v>
      </c>
      <c r="BB5220" s="31" t="n">
        <f aca="false">SUM(Q5220,S5220,U5220,W5220,Y5220,AA5220,AC5220,AE5220,AG5220,AI5220,AK5220,AM5220,AO5220,AQ5220,AS5220,AU5220,AW5220,AY5220)</f>
        <v>94378</v>
      </c>
      <c r="BC5220" s="28" t="n">
        <f aca="false">BA5220-BB5220</f>
        <v>0</v>
      </c>
      <c r="BD5220" s="32" t="n">
        <f aca="false">SUM(P5220,R5220,T5220,V5220,X5220,Z5220,AB5220,AD5220,AF5220,AH5220,AJ5220,AL5220,AN5220,AP5220,AR5220,AT5220,AV5220,AX5220)</f>
        <v>20973</v>
      </c>
      <c r="BE5220" s="33" t="n">
        <f aca="false">AZ5220-BD5220</f>
        <v>0</v>
      </c>
      <c r="BF5220" s="34" t="n">
        <f aca="false">BD5220*M5220</f>
        <v>94378.5</v>
      </c>
      <c r="BG5220" s="35" t="n">
        <f aca="false">BA5220-BF5220</f>
        <v>-0.5</v>
      </c>
      <c r="BH5220" s="19" t="str">
        <f aca="false">IF(BG5220=0,"",IF(BG5220&lt;&gt;BA5220,"erreur de calcul",IF(BD5220&lt;&gt;0,"pas de prix",IF(M5220&lt;&gt; 0,"pas de quantité","pas de prix, ni de quantité"))))</f>
        <v>erreur de calcul</v>
      </c>
      <c r="BI5220" s="19"/>
    </row>
    <row r="5221" customFormat="false" ht="15" hidden="false" customHeight="false" outlineLevel="0" collapsed="false">
      <c r="A5221" s="0" t="n">
        <v>17</v>
      </c>
      <c r="B5221" s="8" t="s">
        <v>24</v>
      </c>
      <c r="C5221" s="9" t="s">
        <v>25</v>
      </c>
      <c r="D5221" s="9" t="s">
        <v>26</v>
      </c>
      <c r="E5221" s="10" t="n">
        <v>1789</v>
      </c>
      <c r="F5221" s="9" t="s">
        <v>27</v>
      </c>
      <c r="G5221" s="9" t="s">
        <v>27</v>
      </c>
      <c r="H5221" s="11" t="n">
        <v>26</v>
      </c>
      <c r="I5221" s="11" t="s">
        <v>389</v>
      </c>
      <c r="J5221" s="14"/>
      <c r="K5221" s="14"/>
      <c r="L5221" s="16"/>
      <c r="M5221" s="27" t="n">
        <f aca="false">J5221+(K5221/20)+(L5221/240)</f>
        <v>0</v>
      </c>
      <c r="N5221" s="17"/>
      <c r="O5221" s="11" t="s">
        <v>277</v>
      </c>
      <c r="P5221" s="28"/>
      <c r="Q5221" s="28" t="n">
        <f aca="false">P5221*$M5221</f>
        <v>0</v>
      </c>
      <c r="R5221" s="28"/>
      <c r="S5221" s="28" t="n">
        <f aca="false">R5221*$M5221</f>
        <v>0</v>
      </c>
      <c r="T5221" s="28"/>
      <c r="U5221" s="28" t="n">
        <v>189</v>
      </c>
      <c r="V5221" s="28"/>
      <c r="W5221" s="28" t="n">
        <v>540</v>
      </c>
      <c r="X5221" s="28"/>
      <c r="Y5221" s="28" t="n">
        <f aca="false">X5221*$M5221</f>
        <v>0</v>
      </c>
      <c r="Z5221" s="28"/>
      <c r="AA5221" s="28" t="n">
        <f aca="false">Z5221*$M5221</f>
        <v>0</v>
      </c>
      <c r="AB5221" s="28"/>
      <c r="AC5221" s="28" t="n">
        <f aca="false">AB5221*$M5221</f>
        <v>0</v>
      </c>
      <c r="AD5221" s="28"/>
      <c r="AE5221" s="28" t="n">
        <f aca="false">AD5221*$M5221</f>
        <v>0</v>
      </c>
      <c r="AF5221" s="28"/>
      <c r="AG5221" s="28" t="n">
        <f aca="false">AF5221*$M5221</f>
        <v>0</v>
      </c>
      <c r="AH5221" s="28"/>
      <c r="AI5221" s="28" t="n">
        <f aca="false">AH5221*$M5221</f>
        <v>0</v>
      </c>
      <c r="AJ5221" s="28"/>
      <c r="AK5221" s="28" t="n">
        <v>317</v>
      </c>
      <c r="AL5221" s="28"/>
      <c r="AM5221" s="28" t="n">
        <f aca="false">AL5221*$M5221</f>
        <v>0</v>
      </c>
      <c r="AN5221" s="28"/>
      <c r="AO5221" s="28" t="n">
        <f aca="false">AN5221*$M5221</f>
        <v>0</v>
      </c>
      <c r="AP5221" s="28"/>
      <c r="AQ5221" s="28" t="n">
        <f aca="false">AP5221*$M5221</f>
        <v>0</v>
      </c>
      <c r="AR5221" s="28"/>
      <c r="AS5221" s="28" t="n">
        <f aca="false">AR5221*$M5221</f>
        <v>0</v>
      </c>
      <c r="AT5221" s="28"/>
      <c r="AU5221" s="28" t="n">
        <f aca="false">AT5221*$M5221</f>
        <v>0</v>
      </c>
      <c r="AV5221" s="28"/>
      <c r="AW5221" s="28" t="n">
        <f aca="false">AV5221*$M5221</f>
        <v>0</v>
      </c>
      <c r="AX5221" s="28"/>
      <c r="AY5221" s="28" t="n">
        <f aca="false">AX5221*$M5221</f>
        <v>0</v>
      </c>
      <c r="AZ5221" s="30"/>
      <c r="BA5221" s="11" t="n">
        <v>1046</v>
      </c>
      <c r="BB5221" s="31" t="n">
        <f aca="false">SUM(Q5221,S5221,U5221,W5221,Y5221,AA5221,AC5221,AE5221,AG5221,AI5221,AK5221,AM5221,AO5221,AQ5221,AS5221,AU5221,AW5221,AY5221)</f>
        <v>1046</v>
      </c>
      <c r="BC5221" s="28" t="n">
        <f aca="false">BA5221-BB5221</f>
        <v>0</v>
      </c>
      <c r="BD5221" s="32" t="n">
        <f aca="false">SUM(P5221,R5221,T5221,V5221,X5221,Z5221,AB5221,AD5221,AF5221,AH5221,AJ5221,AL5221,AN5221,AP5221,AR5221,AT5221,AV5221,AX5221)</f>
        <v>0</v>
      </c>
      <c r="BE5221" s="33" t="n">
        <f aca="false">AZ5221-BD5221</f>
        <v>0</v>
      </c>
      <c r="BF5221" s="34" t="n">
        <f aca="false">BD5221*M5221</f>
        <v>0</v>
      </c>
      <c r="BG5221" s="35" t="n">
        <f aca="false">BA5221-BF5221</f>
        <v>1046</v>
      </c>
      <c r="BH5221" s="19" t="str">
        <f aca="false">IF(BG5221=0,"",IF(BG5221&lt;&gt;BA5221,"erreur de calcul",IF(BD5221&lt;&gt;0,"pas de prix",IF(M5221&lt;&gt; 0,"pas de quantité","pas de prix, ni de quantité"))))</f>
        <v>pas de prix, ni de quantité</v>
      </c>
      <c r="BI5221" s="19"/>
    </row>
    <row r="5222" customFormat="false" ht="15" hidden="false" customHeight="false" outlineLevel="0" collapsed="false">
      <c r="A5222" s="0" t="n">
        <v>18</v>
      </c>
      <c r="B5222" s="8" t="s">
        <v>24</v>
      </c>
      <c r="C5222" s="9" t="s">
        <v>25</v>
      </c>
      <c r="D5222" s="9" t="s">
        <v>26</v>
      </c>
      <c r="E5222" s="10" t="n">
        <v>1789</v>
      </c>
      <c r="F5222" s="9" t="s">
        <v>27</v>
      </c>
      <c r="G5222" s="9" t="s">
        <v>27</v>
      </c>
      <c r="H5222" s="11" t="n">
        <v>26</v>
      </c>
      <c r="I5222" s="11" t="s">
        <v>389</v>
      </c>
      <c r="J5222" s="14" t="n">
        <v>90</v>
      </c>
      <c r="K5222" s="14"/>
      <c r="L5222" s="16"/>
      <c r="M5222" s="27" t="n">
        <f aca="false">J5222+(K5222/20)+(L5222/240)</f>
        <v>90</v>
      </c>
      <c r="N5222" s="17" t="s">
        <v>64</v>
      </c>
      <c r="O5222" s="11"/>
      <c r="P5222" s="28"/>
      <c r="Q5222" s="28" t="n">
        <f aca="false">P5222*$M5222</f>
        <v>0</v>
      </c>
      <c r="R5222" s="28"/>
      <c r="S5222" s="28" t="n">
        <f aca="false">R5222*$M5222</f>
        <v>0</v>
      </c>
      <c r="T5222" s="28"/>
      <c r="U5222" s="28" t="n">
        <f aca="false">T5222*$M5222</f>
        <v>0</v>
      </c>
      <c r="V5222" s="28" t="n">
        <f aca="false">6341/100</f>
        <v>63.41</v>
      </c>
      <c r="W5222" s="28" t="n">
        <v>5707</v>
      </c>
      <c r="X5222" s="28" t="n">
        <f aca="false">10903/100</f>
        <v>109.03</v>
      </c>
      <c r="Y5222" s="28" t="n">
        <v>9813</v>
      </c>
      <c r="Z5222" s="28"/>
      <c r="AA5222" s="28" t="n">
        <f aca="false">Z5222*$M5222</f>
        <v>0</v>
      </c>
      <c r="AB5222" s="28"/>
      <c r="AC5222" s="28" t="n">
        <f aca="false">AB5222*$M5222</f>
        <v>0</v>
      </c>
      <c r="AD5222" s="28"/>
      <c r="AE5222" s="28" t="n">
        <f aca="false">AD5222*$M5222</f>
        <v>0</v>
      </c>
      <c r="AF5222" s="28"/>
      <c r="AG5222" s="28" t="n">
        <f aca="false">AF5222*$M5222</f>
        <v>0</v>
      </c>
      <c r="AH5222" s="28"/>
      <c r="AI5222" s="28" t="n">
        <f aca="false">AH5222*$M5222</f>
        <v>0</v>
      </c>
      <c r="AJ5222" s="28" t="n">
        <f aca="false">127232/100</f>
        <v>1272.32</v>
      </c>
      <c r="AK5222" s="28" t="n">
        <v>114509</v>
      </c>
      <c r="AL5222" s="28" t="n">
        <f aca="false">1835/100</f>
        <v>18.35</v>
      </c>
      <c r="AM5222" s="28" t="n">
        <v>1651</v>
      </c>
      <c r="AN5222" s="28"/>
      <c r="AO5222" s="28" t="n">
        <f aca="false">AN5222*$M5222</f>
        <v>0</v>
      </c>
      <c r="AP5222" s="28"/>
      <c r="AQ5222" s="28" t="n">
        <f aca="false">AP5222*$M5222</f>
        <v>0</v>
      </c>
      <c r="AR5222" s="28"/>
      <c r="AS5222" s="28" t="n">
        <f aca="false">AR5222*$M5222</f>
        <v>0</v>
      </c>
      <c r="AT5222" s="28"/>
      <c r="AU5222" s="28" t="n">
        <f aca="false">AT5222*$M5222</f>
        <v>0</v>
      </c>
      <c r="AV5222" s="28"/>
      <c r="AW5222" s="28" t="n">
        <f aca="false">AV5222*$M5222</f>
        <v>0</v>
      </c>
      <c r="AX5222" s="28"/>
      <c r="AY5222" s="28" t="n">
        <f aca="false">AX5222*$M5222</f>
        <v>0</v>
      </c>
      <c r="AZ5222" s="30" t="n">
        <f aca="false">146311/100</f>
        <v>1463.11</v>
      </c>
      <c r="BA5222" s="11" t="n">
        <v>131680</v>
      </c>
      <c r="BB5222" s="31" t="n">
        <f aca="false">SUM(Q5222,S5222,U5222,W5222,Y5222,AA5222,AC5222,AE5222,AG5222,AI5222,AK5222,AM5222,AO5222,AQ5222,AS5222,AU5222,AW5222,AY5222)</f>
        <v>131680</v>
      </c>
      <c r="BC5222" s="28" t="n">
        <f aca="false">BA5222-BB5222</f>
        <v>0</v>
      </c>
      <c r="BD5222" s="32" t="n">
        <f aca="false">SUM(P5222,R5222,T5222,V5222,X5222,Z5222,AB5222,AD5222,AF5222,AH5222,AJ5222,AL5222,AN5222,AP5222,AR5222,AT5222,AV5222,AX5222)</f>
        <v>1463.11</v>
      </c>
      <c r="BE5222" s="33" t="n">
        <f aca="false">AZ5222-BD5222</f>
        <v>0</v>
      </c>
      <c r="BF5222" s="34" t="n">
        <f aca="false">BD5222*M5222</f>
        <v>131679.9</v>
      </c>
      <c r="BG5222" s="35" t="n">
        <f aca="false">BA5222-BF5222</f>
        <v>0.100000000005821</v>
      </c>
      <c r="BH5222" s="19" t="str">
        <f aca="false">IF(BG5222=0,"",IF(BG5222&lt;&gt;BA5222,"erreur de calcul",IF(BD5222&lt;&gt;0,"pas de prix",IF(M5222&lt;&gt; 0,"pas de quantité","pas de prix, ni de quantité"))))</f>
        <v>erreur de calcul</v>
      </c>
      <c r="BI5222" s="19"/>
    </row>
    <row r="5223" customFormat="false" ht="15" hidden="false" customHeight="false" outlineLevel="0" collapsed="false">
      <c r="A5223" s="0" t="n">
        <v>19</v>
      </c>
      <c r="B5223" s="8" t="s">
        <v>24</v>
      </c>
      <c r="C5223" s="9" t="s">
        <v>25</v>
      </c>
      <c r="D5223" s="9" t="s">
        <v>26</v>
      </c>
      <c r="E5223" s="10" t="n">
        <v>1789</v>
      </c>
      <c r="F5223" s="9" t="s">
        <v>27</v>
      </c>
      <c r="G5223" s="9" t="s">
        <v>27</v>
      </c>
      <c r="H5223" s="11" t="n">
        <v>26</v>
      </c>
      <c r="I5223" s="11" t="s">
        <v>390</v>
      </c>
      <c r="J5223" s="14" t="n">
        <v>25</v>
      </c>
      <c r="K5223" s="14"/>
      <c r="L5223" s="16"/>
      <c r="M5223" s="27" t="n">
        <f aca="false">J5223+(K5223/20)+(L5223/240)</f>
        <v>25</v>
      </c>
      <c r="N5223" s="17" t="s">
        <v>64</v>
      </c>
      <c r="O5223" s="11" t="s">
        <v>277</v>
      </c>
      <c r="P5223" s="28"/>
      <c r="Q5223" s="28" t="n">
        <f aca="false">P5223*$M5223</f>
        <v>0</v>
      </c>
      <c r="R5223" s="28"/>
      <c r="S5223" s="28" t="n">
        <f aca="false">R5223*$M5223</f>
        <v>0</v>
      </c>
      <c r="T5223" s="28"/>
      <c r="U5223" s="28" t="n">
        <f aca="false">T5223*$M5223</f>
        <v>0</v>
      </c>
      <c r="V5223" s="28"/>
      <c r="W5223" s="28" t="n">
        <f aca="false">V5223*$M5223</f>
        <v>0</v>
      </c>
      <c r="X5223" s="28"/>
      <c r="Y5223" s="28" t="n">
        <f aca="false">X5223*$M5223</f>
        <v>0</v>
      </c>
      <c r="Z5223" s="28"/>
      <c r="AA5223" s="28" t="n">
        <f aca="false">Z5223*$M5223</f>
        <v>0</v>
      </c>
      <c r="AB5223" s="28"/>
      <c r="AC5223" s="28" t="n">
        <f aca="false">AB5223*$M5223</f>
        <v>0</v>
      </c>
      <c r="AD5223" s="28"/>
      <c r="AE5223" s="28" t="n">
        <f aca="false">AD5223*$M5223</f>
        <v>0</v>
      </c>
      <c r="AF5223" s="28"/>
      <c r="AG5223" s="28" t="n">
        <f aca="false">AF5223*$M5223</f>
        <v>0</v>
      </c>
      <c r="AH5223" s="28"/>
      <c r="AI5223" s="28" t="n">
        <f aca="false">AH5223*$M5223</f>
        <v>0</v>
      </c>
      <c r="AJ5223" s="28"/>
      <c r="AK5223" s="28" t="n">
        <f aca="false">AJ5223*$M5223</f>
        <v>0</v>
      </c>
      <c r="AL5223" s="28"/>
      <c r="AM5223" s="28" t="n">
        <f aca="false">AL5223*$M5223</f>
        <v>0</v>
      </c>
      <c r="AN5223" s="28"/>
      <c r="AO5223" s="28" t="n">
        <f aca="false">AN5223*$M5223</f>
        <v>0</v>
      </c>
      <c r="AP5223" s="28"/>
      <c r="AQ5223" s="28" t="n">
        <f aca="false">AP5223*$M5223</f>
        <v>0</v>
      </c>
      <c r="AR5223" s="28"/>
      <c r="AS5223" s="28" t="n">
        <f aca="false">AR5223*$M5223</f>
        <v>0</v>
      </c>
      <c r="AT5223" s="28"/>
      <c r="AU5223" s="28" t="n">
        <f aca="false">AT5223*$M5223</f>
        <v>0</v>
      </c>
      <c r="AV5223" s="28"/>
      <c r="AW5223" s="28" t="n">
        <f aca="false">AV5223*$M5223</f>
        <v>0</v>
      </c>
      <c r="AX5223" s="28"/>
      <c r="AY5223" s="28" t="n">
        <f aca="false">AX5223*$M5223</f>
        <v>0</v>
      </c>
      <c r="AZ5223" s="30"/>
      <c r="BA5223" s="11"/>
      <c r="BB5223" s="31" t="n">
        <f aca="false">SUM(Q5223,S5223,U5223,W5223,Y5223,AA5223,AC5223,AE5223,AG5223,AI5223,AK5223,AM5223,AO5223,AQ5223,AS5223,AU5223,AW5223,AY5223)</f>
        <v>0</v>
      </c>
      <c r="BC5223" s="28" t="n">
        <f aca="false">BA5223-BB5223</f>
        <v>0</v>
      </c>
      <c r="BD5223" s="32" t="n">
        <f aca="false">SUM(P5223,R5223,T5223,V5223,X5223,Z5223,AB5223,AD5223,AF5223,AH5223,AJ5223,AL5223,AN5223,AP5223,AR5223,AT5223,AV5223,AX5223)</f>
        <v>0</v>
      </c>
      <c r="BE5223" s="33" t="n">
        <f aca="false">AZ5223-BD5223</f>
        <v>0</v>
      </c>
      <c r="BF5223" s="34" t="n">
        <f aca="false">BD5223*M5223</f>
        <v>0</v>
      </c>
      <c r="BG5223" s="35" t="n">
        <f aca="false">BA5223-BF5223</f>
        <v>0</v>
      </c>
      <c r="BH5223" s="19" t="str">
        <f aca="false">IF(BG5223=0,"",IF(BG5223&lt;&gt;BA5223,"erreur de calcul",IF(BD5223&lt;&gt;0,"pas de prix",IF(M5223&lt;&gt; 0,"pas de quantité","pas de prix, ni de quantité"))))</f>
        <v/>
      </c>
      <c r="BI5223" s="19"/>
    </row>
    <row r="5224" customFormat="false" ht="15" hidden="false" customHeight="false" outlineLevel="0" collapsed="false">
      <c r="A5224" s="0" t="n">
        <v>20</v>
      </c>
      <c r="B5224" s="8" t="s">
        <v>24</v>
      </c>
      <c r="C5224" s="9" t="s">
        <v>25</v>
      </c>
      <c r="D5224" s="9" t="s">
        <v>26</v>
      </c>
      <c r="E5224" s="10" t="n">
        <v>1789</v>
      </c>
      <c r="F5224" s="9" t="s">
        <v>27</v>
      </c>
      <c r="G5224" s="9" t="s">
        <v>27</v>
      </c>
      <c r="H5224" s="11" t="n">
        <v>26</v>
      </c>
      <c r="I5224" s="11" t="s">
        <v>391</v>
      </c>
      <c r="J5224" s="14" t="n">
        <v>35</v>
      </c>
      <c r="K5224" s="14"/>
      <c r="L5224" s="16"/>
      <c r="M5224" s="27" t="n">
        <f aca="false">J5224+(K5224/20)+(L5224/240)</f>
        <v>35</v>
      </c>
      <c r="N5224" s="17" t="s">
        <v>64</v>
      </c>
      <c r="O5224" s="11"/>
      <c r="P5224" s="28"/>
      <c r="Q5224" s="28" t="n">
        <f aca="false">P5224*$M5224</f>
        <v>0</v>
      </c>
      <c r="R5224" s="28"/>
      <c r="S5224" s="28" t="n">
        <f aca="false">R5224*$M5224</f>
        <v>0</v>
      </c>
      <c r="T5224" s="28"/>
      <c r="U5224" s="28" t="n">
        <f aca="false">T5224*$M5224</f>
        <v>0</v>
      </c>
      <c r="V5224" s="28"/>
      <c r="W5224" s="28" t="n">
        <f aca="false">V5224*$M5224</f>
        <v>0</v>
      </c>
      <c r="X5224" s="28"/>
      <c r="Y5224" s="28" t="n">
        <f aca="false">X5224*$M5224</f>
        <v>0</v>
      </c>
      <c r="Z5224" s="28"/>
      <c r="AA5224" s="28" t="n">
        <f aca="false">Z5224*$M5224</f>
        <v>0</v>
      </c>
      <c r="AB5224" s="28"/>
      <c r="AC5224" s="28" t="n">
        <f aca="false">AB5224*$M5224</f>
        <v>0</v>
      </c>
      <c r="AD5224" s="28"/>
      <c r="AE5224" s="28" t="n">
        <f aca="false">AD5224*$M5224</f>
        <v>0</v>
      </c>
      <c r="AF5224" s="28"/>
      <c r="AG5224" s="28" t="n">
        <f aca="false">AF5224*$M5224</f>
        <v>0</v>
      </c>
      <c r="AH5224" s="28"/>
      <c r="AI5224" s="28" t="n">
        <f aca="false">AH5224*$M5224</f>
        <v>0</v>
      </c>
      <c r="AJ5224" s="28" t="n">
        <f aca="false">3950/100</f>
        <v>39.5</v>
      </c>
      <c r="AK5224" s="28" t="n">
        <v>1382</v>
      </c>
      <c r="AL5224" s="28"/>
      <c r="AM5224" s="28" t="n">
        <f aca="false">AL5224*$M5224</f>
        <v>0</v>
      </c>
      <c r="AN5224" s="28"/>
      <c r="AO5224" s="28" t="n">
        <f aca="false">AN5224*$M5224</f>
        <v>0</v>
      </c>
      <c r="AP5224" s="28"/>
      <c r="AQ5224" s="28" t="n">
        <f aca="false">AP5224*$M5224</f>
        <v>0</v>
      </c>
      <c r="AR5224" s="28"/>
      <c r="AS5224" s="28" t="n">
        <f aca="false">AR5224*$M5224</f>
        <v>0</v>
      </c>
      <c r="AT5224" s="28"/>
      <c r="AU5224" s="28" t="n">
        <f aca="false">AT5224*$M5224</f>
        <v>0</v>
      </c>
      <c r="AV5224" s="28"/>
      <c r="AW5224" s="28" t="n">
        <f aca="false">AV5224*$M5224</f>
        <v>0</v>
      </c>
      <c r="AX5224" s="28"/>
      <c r="AY5224" s="28" t="n">
        <f aca="false">AX5224*$M5224</f>
        <v>0</v>
      </c>
      <c r="AZ5224" s="30" t="n">
        <f aca="false">3950/100</f>
        <v>39.5</v>
      </c>
      <c r="BA5224" s="11" t="n">
        <v>1382</v>
      </c>
      <c r="BB5224" s="31" t="n">
        <f aca="false">SUM(Q5224,S5224,U5224,W5224,Y5224,AA5224,AC5224,AE5224,AG5224,AI5224,AK5224,AM5224,AO5224,AQ5224,AS5224,AU5224,AW5224,AY5224)</f>
        <v>1382</v>
      </c>
      <c r="BC5224" s="28" t="n">
        <f aca="false">BA5224-BB5224</f>
        <v>0</v>
      </c>
      <c r="BD5224" s="32" t="n">
        <f aca="false">SUM(P5224,R5224,T5224,V5224,X5224,Z5224,AB5224,AD5224,AF5224,AH5224,AJ5224,AL5224,AN5224,AP5224,AR5224,AT5224,AV5224,AX5224)</f>
        <v>39.5</v>
      </c>
      <c r="BE5224" s="33" t="n">
        <f aca="false">AZ5224-BD5224</f>
        <v>0</v>
      </c>
      <c r="BF5224" s="34" t="n">
        <f aca="false">BD5224*M5224</f>
        <v>1382.5</v>
      </c>
      <c r="BG5224" s="35" t="n">
        <f aca="false">BA5224-BF5224</f>
        <v>-0.5</v>
      </c>
      <c r="BH5224" s="19" t="str">
        <f aca="false">IF(BG5224=0,"",IF(BG5224&lt;&gt;BA5224,"erreur de calcul",IF(BD5224&lt;&gt;0,"pas de prix",IF(M5224&lt;&gt; 0,"pas de quantité","pas de prix, ni de quantité"))))</f>
        <v>erreur de calcul</v>
      </c>
      <c r="BI5224" s="19"/>
    </row>
    <row r="5225" customFormat="false" ht="15" hidden="false" customHeight="false" outlineLevel="0" collapsed="false">
      <c r="A5225" s="0" t="n">
        <v>21</v>
      </c>
      <c r="B5225" s="8" t="s">
        <v>24</v>
      </c>
      <c r="C5225" s="9" t="s">
        <v>25</v>
      </c>
      <c r="D5225" s="9" t="s">
        <v>26</v>
      </c>
      <c r="E5225" s="10" t="n">
        <v>1789</v>
      </c>
      <c r="F5225" s="9" t="s">
        <v>27</v>
      </c>
      <c r="G5225" s="9" t="s">
        <v>27</v>
      </c>
      <c r="H5225" s="11" t="n">
        <v>26</v>
      </c>
      <c r="I5225" s="11" t="s">
        <v>392</v>
      </c>
      <c r="J5225" s="14" t="n">
        <v>60</v>
      </c>
      <c r="K5225" s="14"/>
      <c r="L5225" s="16"/>
      <c r="M5225" s="27" t="n">
        <f aca="false">J5225+(K5225/20)+(L5225/240)</f>
        <v>60</v>
      </c>
      <c r="N5225" s="17" t="s">
        <v>64</v>
      </c>
      <c r="O5225" s="11"/>
      <c r="P5225" s="28"/>
      <c r="Q5225" s="28" t="n">
        <f aca="false">P5225*$M5225</f>
        <v>0</v>
      </c>
      <c r="R5225" s="28"/>
      <c r="S5225" s="28" t="n">
        <f aca="false">R5225*$M5225</f>
        <v>0</v>
      </c>
      <c r="T5225" s="28"/>
      <c r="U5225" s="28" t="n">
        <f aca="false">T5225*$M5225</f>
        <v>0</v>
      </c>
      <c r="V5225" s="28"/>
      <c r="W5225" s="28" t="n">
        <f aca="false">V5225*$M5225</f>
        <v>0</v>
      </c>
      <c r="X5225" s="28" t="n">
        <f aca="false">12306/100</f>
        <v>123.06</v>
      </c>
      <c r="Y5225" s="28" t="n">
        <v>7384</v>
      </c>
      <c r="Z5225" s="28"/>
      <c r="AA5225" s="28" t="n">
        <f aca="false">Z5225*$M5225</f>
        <v>0</v>
      </c>
      <c r="AB5225" s="28"/>
      <c r="AC5225" s="28" t="n">
        <f aca="false">AB5225*$M5225</f>
        <v>0</v>
      </c>
      <c r="AD5225" s="28"/>
      <c r="AE5225" s="28" t="n">
        <f aca="false">AD5225*$M5225</f>
        <v>0</v>
      </c>
      <c r="AF5225" s="28"/>
      <c r="AG5225" s="28" t="n">
        <f aca="false">AF5225*$M5225</f>
        <v>0</v>
      </c>
      <c r="AH5225" s="28"/>
      <c r="AI5225" s="28" t="n">
        <f aca="false">AH5225*$M5225</f>
        <v>0</v>
      </c>
      <c r="AJ5225" s="28" t="n">
        <f aca="false">2557/100</f>
        <v>25.57</v>
      </c>
      <c r="AK5225" s="28" t="n">
        <v>1534</v>
      </c>
      <c r="AL5225" s="28"/>
      <c r="AM5225" s="28" t="n">
        <f aca="false">AL5225*$M5225</f>
        <v>0</v>
      </c>
      <c r="AN5225" s="28"/>
      <c r="AO5225" s="28" t="n">
        <f aca="false">AN5225*$M5225</f>
        <v>0</v>
      </c>
      <c r="AP5225" s="28"/>
      <c r="AQ5225" s="28" t="n">
        <f aca="false">AP5225*$M5225</f>
        <v>0</v>
      </c>
      <c r="AR5225" s="28" t="n">
        <f aca="false">7204/100</f>
        <v>72.04</v>
      </c>
      <c r="AS5225" s="28" t="n">
        <v>4322</v>
      </c>
      <c r="AT5225" s="28"/>
      <c r="AU5225" s="28" t="n">
        <f aca="false">AT5225*$M5225</f>
        <v>0</v>
      </c>
      <c r="AV5225" s="28"/>
      <c r="AW5225" s="28" t="n">
        <f aca="false">AV5225*$M5225</f>
        <v>0</v>
      </c>
      <c r="AX5225" s="28"/>
      <c r="AY5225" s="28" t="n">
        <f aca="false">AX5225*$M5225</f>
        <v>0</v>
      </c>
      <c r="AZ5225" s="30" t="n">
        <f aca="false">22067/100</f>
        <v>220.67</v>
      </c>
      <c r="BA5225" s="11" t="n">
        <v>13240</v>
      </c>
      <c r="BB5225" s="31" t="n">
        <f aca="false">SUM(Q5225,S5225,U5225,W5225,Y5225,AA5225,AC5225,AE5225,AG5225,AI5225,AK5225,AM5225,AO5225,AQ5225,AS5225,AU5225,AW5225,AY5225)</f>
        <v>13240</v>
      </c>
      <c r="BC5225" s="28" t="n">
        <f aca="false">BA5225-BB5225</f>
        <v>0</v>
      </c>
      <c r="BD5225" s="32" t="n">
        <f aca="false">SUM(P5225,R5225,T5225,V5225,X5225,Z5225,AB5225,AD5225,AF5225,AH5225,AJ5225,AL5225,AN5225,AP5225,AR5225,AT5225,AV5225,AX5225)</f>
        <v>220.67</v>
      </c>
      <c r="BE5225" s="33" t="n">
        <f aca="false">AZ5225-BD5225</f>
        <v>0</v>
      </c>
      <c r="BF5225" s="34" t="n">
        <f aca="false">BD5225*M5225</f>
        <v>13240.2</v>
      </c>
      <c r="BG5225" s="35" t="n">
        <f aca="false">BA5225-BF5225</f>
        <v>-0.200000000000728</v>
      </c>
      <c r="BH5225" s="19" t="str">
        <f aca="false">IF(BG5225=0,"",IF(BG5225&lt;&gt;BA5225,"erreur de calcul",IF(BD5225&lt;&gt;0,"pas de prix",IF(M5225&lt;&gt; 0,"pas de quantité","pas de prix, ni de quantité"))))</f>
        <v>erreur de calcul</v>
      </c>
      <c r="BI5225" s="19"/>
    </row>
    <row r="5226" customFormat="false" ht="15" hidden="false" customHeight="false" outlineLevel="0" collapsed="false">
      <c r="A5226" s="0" t="n">
        <v>22</v>
      </c>
      <c r="B5226" s="8" t="s">
        <v>24</v>
      </c>
      <c r="C5226" s="9" t="s">
        <v>25</v>
      </c>
      <c r="D5226" s="9" t="s">
        <v>26</v>
      </c>
      <c r="E5226" s="10" t="n">
        <v>1789</v>
      </c>
      <c r="F5226" s="9" t="s">
        <v>27</v>
      </c>
      <c r="G5226" s="9" t="s">
        <v>27</v>
      </c>
      <c r="H5226" s="11" t="n">
        <v>26</v>
      </c>
      <c r="I5226" s="11" t="s">
        <v>393</v>
      </c>
      <c r="J5226" s="14" t="n">
        <v>120</v>
      </c>
      <c r="K5226" s="14"/>
      <c r="L5226" s="16"/>
      <c r="M5226" s="27" t="n">
        <f aca="false">J5226+(K5226/20)+(L5226/240)</f>
        <v>120</v>
      </c>
      <c r="N5226" s="17" t="s">
        <v>64</v>
      </c>
      <c r="O5226" s="11"/>
      <c r="P5226" s="28"/>
      <c r="Q5226" s="28" t="n">
        <f aca="false">P5226*$M5226</f>
        <v>0</v>
      </c>
      <c r="R5226" s="28"/>
      <c r="S5226" s="28" t="n">
        <f aca="false">R5226*$M5226</f>
        <v>0</v>
      </c>
      <c r="T5226" s="28"/>
      <c r="U5226" s="28" t="n">
        <f aca="false">T5226*$M5226</f>
        <v>0</v>
      </c>
      <c r="V5226" s="28"/>
      <c r="W5226" s="28" t="n">
        <f aca="false">V5226*$M5226</f>
        <v>0</v>
      </c>
      <c r="X5226" s="28"/>
      <c r="Y5226" s="28" t="n">
        <f aca="false">X5226*$M5226</f>
        <v>0</v>
      </c>
      <c r="Z5226" s="28"/>
      <c r="AA5226" s="28" t="n">
        <f aca="false">Z5226*$M5226</f>
        <v>0</v>
      </c>
      <c r="AB5226" s="28"/>
      <c r="AC5226" s="28" t="n">
        <f aca="false">AB5226*$M5226</f>
        <v>0</v>
      </c>
      <c r="AD5226" s="28"/>
      <c r="AE5226" s="28" t="n">
        <f aca="false">AD5226*$M5226</f>
        <v>0</v>
      </c>
      <c r="AF5226" s="28"/>
      <c r="AG5226" s="28" t="n">
        <f aca="false">AF5226*$M5226</f>
        <v>0</v>
      </c>
      <c r="AH5226" s="28" t="n">
        <f aca="false">1810/100</f>
        <v>18.1</v>
      </c>
      <c r="AI5226" s="28" t="n">
        <v>2172</v>
      </c>
      <c r="AJ5226" s="28"/>
      <c r="AK5226" s="28" t="n">
        <f aca="false">AJ5226*$M5226</f>
        <v>0</v>
      </c>
      <c r="AL5226" s="28"/>
      <c r="AM5226" s="28" t="n">
        <f aca="false">AL5226*$M5226</f>
        <v>0</v>
      </c>
      <c r="AN5226" s="28"/>
      <c r="AO5226" s="28" t="n">
        <f aca="false">AN5226*$M5226</f>
        <v>0</v>
      </c>
      <c r="AP5226" s="28"/>
      <c r="AQ5226" s="28" t="n">
        <f aca="false">AP5226*$M5226</f>
        <v>0</v>
      </c>
      <c r="AR5226" s="28"/>
      <c r="AS5226" s="28" t="n">
        <f aca="false">AR5226*$M5226</f>
        <v>0</v>
      </c>
      <c r="AT5226" s="28"/>
      <c r="AU5226" s="28" t="n">
        <f aca="false">AT5226*$M5226</f>
        <v>0</v>
      </c>
      <c r="AV5226" s="28"/>
      <c r="AW5226" s="28" t="n">
        <f aca="false">AV5226*$M5226</f>
        <v>0</v>
      </c>
      <c r="AX5226" s="28"/>
      <c r="AY5226" s="28" t="n">
        <f aca="false">AX5226*$M5226</f>
        <v>0</v>
      </c>
      <c r="AZ5226" s="30" t="n">
        <f aca="false">1810/100</f>
        <v>18.1</v>
      </c>
      <c r="BA5226" s="11" t="n">
        <v>2172</v>
      </c>
      <c r="BB5226" s="31" t="n">
        <f aca="false">SUM(Q5226,S5226,U5226,W5226,Y5226,AA5226,AC5226,AE5226,AG5226,AI5226,AK5226,AM5226,AO5226,AQ5226,AS5226,AU5226,AW5226,AY5226)</f>
        <v>2172</v>
      </c>
      <c r="BC5226" s="28" t="n">
        <f aca="false">BA5226-BB5226</f>
        <v>0</v>
      </c>
      <c r="BD5226" s="32" t="n">
        <f aca="false">SUM(P5226,R5226,T5226,V5226,X5226,Z5226,AB5226,AD5226,AF5226,AH5226,AJ5226,AL5226,AN5226,AP5226,AR5226,AT5226,AV5226,AX5226)</f>
        <v>18.1</v>
      </c>
      <c r="BE5226" s="33" t="n">
        <f aca="false">AZ5226-BD5226</f>
        <v>0</v>
      </c>
      <c r="BF5226" s="34" t="n">
        <f aca="false">BD5226*M5226</f>
        <v>2172</v>
      </c>
      <c r="BG5226" s="35" t="n">
        <f aca="false">BA5226-BF5226</f>
        <v>0</v>
      </c>
      <c r="BH5226" s="19" t="str">
        <f aca="false">IF(BG5226=0,"",IF(BG5226&lt;&gt;BA5226,"erreur de calcul",IF(BD5226&lt;&gt;0,"pas de prix",IF(M5226&lt;&gt; 0,"pas de quantité","pas de prix, ni de quantité"))))</f>
        <v/>
      </c>
      <c r="BI5226" s="19"/>
    </row>
    <row r="5227" customFormat="false" ht="15" hidden="false" customHeight="false" outlineLevel="0" collapsed="false">
      <c r="A5227" s="0" t="n">
        <v>23</v>
      </c>
      <c r="B5227" s="8" t="s">
        <v>24</v>
      </c>
      <c r="C5227" s="9" t="s">
        <v>25</v>
      </c>
      <c r="D5227" s="9" t="s">
        <v>26</v>
      </c>
      <c r="E5227" s="10" t="n">
        <v>1789</v>
      </c>
      <c r="F5227" s="9" t="s">
        <v>27</v>
      </c>
      <c r="G5227" s="9" t="s">
        <v>27</v>
      </c>
      <c r="H5227" s="11" t="n">
        <v>26</v>
      </c>
      <c r="I5227" s="41" t="s">
        <v>394</v>
      </c>
      <c r="J5227" s="14" t="n">
        <v>7</v>
      </c>
      <c r="K5227" s="14"/>
      <c r="L5227" s="16"/>
      <c r="M5227" s="27" t="n">
        <f aca="false">J5227+(K5227/20)+(L5227/240)</f>
        <v>7</v>
      </c>
      <c r="N5227" s="17" t="s">
        <v>64</v>
      </c>
      <c r="O5227" s="11"/>
      <c r="P5227" s="28" t="n">
        <f aca="false">11428/100</f>
        <v>114.28</v>
      </c>
      <c r="Q5227" s="28" t="n">
        <v>800</v>
      </c>
      <c r="R5227" s="28"/>
      <c r="S5227" s="28" t="n">
        <f aca="false">R5227*$M5227</f>
        <v>0</v>
      </c>
      <c r="T5227" s="28" t="n">
        <f aca="false">2084/100</f>
        <v>20.84</v>
      </c>
      <c r="U5227" s="36" t="n">
        <v>246</v>
      </c>
      <c r="V5227" s="28"/>
      <c r="W5227" s="28" t="n">
        <f aca="false">V5227*$M5227</f>
        <v>0</v>
      </c>
      <c r="X5227" s="28"/>
      <c r="Y5227" s="28" t="n">
        <f aca="false">X5227*$M5227</f>
        <v>0</v>
      </c>
      <c r="Z5227" s="28"/>
      <c r="AA5227" s="28" t="n">
        <f aca="false">Z5227*$M5227</f>
        <v>0</v>
      </c>
      <c r="AB5227" s="28"/>
      <c r="AC5227" s="28" t="n">
        <f aca="false">AB5227*$M5227</f>
        <v>0</v>
      </c>
      <c r="AD5227" s="28"/>
      <c r="AE5227" s="28" t="n">
        <f aca="false">AD5227*$M5227</f>
        <v>0</v>
      </c>
      <c r="AF5227" s="28" t="n">
        <f aca="false">6709/100</f>
        <v>67.09</v>
      </c>
      <c r="AG5227" s="28" t="n">
        <v>470</v>
      </c>
      <c r="AH5227" s="28"/>
      <c r="AI5227" s="28" t="n">
        <f aca="false">AH5227*$M5227</f>
        <v>0</v>
      </c>
      <c r="AJ5227" s="28"/>
      <c r="AK5227" s="28" t="n">
        <f aca="false">AJ5227*$M5227</f>
        <v>0</v>
      </c>
      <c r="AL5227" s="28"/>
      <c r="AM5227" s="28" t="n">
        <f aca="false">AL5227*$M5227</f>
        <v>0</v>
      </c>
      <c r="AN5227" s="28"/>
      <c r="AO5227" s="28" t="n">
        <f aca="false">AN5227*$M5227</f>
        <v>0</v>
      </c>
      <c r="AP5227" s="28"/>
      <c r="AQ5227" s="28" t="n">
        <f aca="false">AP5227*$M5227</f>
        <v>0</v>
      </c>
      <c r="AR5227" s="28"/>
      <c r="AS5227" s="28" t="n">
        <f aca="false">AR5227*$M5227</f>
        <v>0</v>
      </c>
      <c r="AT5227" s="28"/>
      <c r="AU5227" s="28" t="n">
        <f aca="false">AT5227*$M5227</f>
        <v>0</v>
      </c>
      <c r="AV5227" s="28"/>
      <c r="AW5227" s="28" t="n">
        <f aca="false">AV5227*$M5227</f>
        <v>0</v>
      </c>
      <c r="AX5227" s="28"/>
      <c r="AY5227" s="28" t="n">
        <f aca="false">AX5227*$M5227</f>
        <v>0</v>
      </c>
      <c r="AZ5227" s="30" t="n">
        <f aca="false">20221/100</f>
        <v>202.21</v>
      </c>
      <c r="BA5227" s="11" t="n">
        <v>1516</v>
      </c>
      <c r="BB5227" s="31" t="n">
        <f aca="false">SUM(Q5227,S5227,U5227,W5227,Y5227,AA5227,AC5227,AE5227,AG5227,AI5227,AK5227,AM5227,AO5227,AQ5227,AS5227,AU5227,AW5227,AY5227)</f>
        <v>1516</v>
      </c>
      <c r="BC5227" s="28" t="n">
        <f aca="false">BA5227-BB5227</f>
        <v>0</v>
      </c>
      <c r="BD5227" s="32" t="n">
        <f aca="false">SUM(P5227,R5227,T5227,V5227,X5227,Z5227,AB5227,AD5227,AF5227,AH5227,AJ5227,AL5227,AN5227,AP5227,AR5227,AT5227,AV5227,AX5227)</f>
        <v>202.21</v>
      </c>
      <c r="BE5227" s="33" t="n">
        <f aca="false">AZ5227-BD5227</f>
        <v>0</v>
      </c>
      <c r="BF5227" s="34" t="n">
        <f aca="false">BD5227*M5227</f>
        <v>1415.47</v>
      </c>
      <c r="BG5227" s="35" t="n">
        <f aca="false">BA5227-BF5227</f>
        <v>100.53</v>
      </c>
      <c r="BH5227" s="19" t="str">
        <f aca="false">IF(BG5227=0,"",IF(BG5227&lt;&gt;BA5227,"erreur de calcul",IF(BD5227&lt;&gt;0,"pas de prix",IF(M5227&lt;&gt; 0,"pas de quantité","pas de prix, ni de quantité"))))</f>
        <v>erreur de calcul</v>
      </c>
      <c r="BI5227" s="19"/>
    </row>
    <row r="5228" customFormat="false" ht="15" hidden="false" customHeight="false" outlineLevel="0" collapsed="false">
      <c r="A5228" s="0" t="n">
        <v>24</v>
      </c>
      <c r="B5228" s="8" t="s">
        <v>24</v>
      </c>
      <c r="C5228" s="9" t="s">
        <v>25</v>
      </c>
      <c r="D5228" s="9" t="s">
        <v>26</v>
      </c>
      <c r="E5228" s="10" t="n">
        <v>1789</v>
      </c>
      <c r="F5228" s="9" t="s">
        <v>27</v>
      </c>
      <c r="G5228" s="9" t="s">
        <v>27</v>
      </c>
      <c r="H5228" s="11" t="n">
        <v>26</v>
      </c>
      <c r="I5228" s="11" t="s">
        <v>395</v>
      </c>
      <c r="J5228" s="14" t="n">
        <v>40</v>
      </c>
      <c r="K5228" s="14"/>
      <c r="L5228" s="16"/>
      <c r="M5228" s="27" t="n">
        <f aca="false">J5228+(K5228/20)+(L5228/240)</f>
        <v>40</v>
      </c>
      <c r="N5228" s="17" t="s">
        <v>66</v>
      </c>
      <c r="O5228" s="11"/>
      <c r="P5228" s="28"/>
      <c r="Q5228" s="28" t="n">
        <f aca="false">P5228*$M5228</f>
        <v>0</v>
      </c>
      <c r="R5228" s="28"/>
      <c r="S5228" s="28" t="n">
        <f aca="false">R5228*$M5228</f>
        <v>0</v>
      </c>
      <c r="T5228" s="28" t="n">
        <v>2339</v>
      </c>
      <c r="U5228" s="28" t="n">
        <v>93560</v>
      </c>
      <c r="V5228" s="28" t="n">
        <v>38</v>
      </c>
      <c r="W5228" s="28" t="n">
        <v>1520</v>
      </c>
      <c r="X5228" s="28"/>
      <c r="Y5228" s="28" t="n">
        <f aca="false">X5228*$M5228</f>
        <v>0</v>
      </c>
      <c r="Z5228" s="28"/>
      <c r="AA5228" s="28" t="n">
        <f aca="false">Z5228*$M5228</f>
        <v>0</v>
      </c>
      <c r="AB5228" s="28"/>
      <c r="AC5228" s="28" t="n">
        <f aca="false">AB5228*$M5228</f>
        <v>0</v>
      </c>
      <c r="AD5228" s="28"/>
      <c r="AE5228" s="28" t="n">
        <f aca="false">AD5228*$M5228</f>
        <v>0</v>
      </c>
      <c r="AF5228" s="28"/>
      <c r="AG5228" s="28" t="n">
        <f aca="false">AF5228*$M5228</f>
        <v>0</v>
      </c>
      <c r="AH5228" s="28"/>
      <c r="AI5228" s="28" t="n">
        <f aca="false">AH5228*$M5228</f>
        <v>0</v>
      </c>
      <c r="AJ5228" s="28"/>
      <c r="AK5228" s="28" t="n">
        <f aca="false">AJ5228*$M5228</f>
        <v>0</v>
      </c>
      <c r="AL5228" s="28"/>
      <c r="AM5228" s="28" t="n">
        <f aca="false">AL5228*$M5228</f>
        <v>0</v>
      </c>
      <c r="AN5228" s="28"/>
      <c r="AO5228" s="28" t="n">
        <f aca="false">AN5228*$M5228</f>
        <v>0</v>
      </c>
      <c r="AP5228" s="28"/>
      <c r="AQ5228" s="28" t="n">
        <f aca="false">AP5228*$M5228</f>
        <v>0</v>
      </c>
      <c r="AR5228" s="28"/>
      <c r="AS5228" s="28" t="n">
        <f aca="false">AR5228*$M5228</f>
        <v>0</v>
      </c>
      <c r="AT5228" s="28"/>
      <c r="AU5228" s="28" t="n">
        <f aca="false">AT5228*$M5228</f>
        <v>0</v>
      </c>
      <c r="AV5228" s="28"/>
      <c r="AW5228" s="28" t="n">
        <f aca="false">AV5228*$M5228</f>
        <v>0</v>
      </c>
      <c r="AX5228" s="28"/>
      <c r="AY5228" s="28" t="n">
        <f aca="false">AX5228*$M5228</f>
        <v>0</v>
      </c>
      <c r="AZ5228" s="30" t="n">
        <v>2377</v>
      </c>
      <c r="BA5228" s="11" t="n">
        <v>95080</v>
      </c>
      <c r="BB5228" s="31" t="n">
        <f aca="false">SUM(Q5228,S5228,U5228,W5228,Y5228,AA5228,AC5228,AE5228,AG5228,AI5228,AK5228,AM5228,AO5228,AQ5228,AS5228,AU5228,AW5228,AY5228)</f>
        <v>95080</v>
      </c>
      <c r="BC5228" s="28" t="n">
        <f aca="false">BA5228-BB5228</f>
        <v>0</v>
      </c>
      <c r="BD5228" s="32" t="n">
        <f aca="false">SUM(P5228,R5228,T5228,V5228,X5228,Z5228,AB5228,AD5228,AF5228,AH5228,AJ5228,AL5228,AN5228,AP5228,AR5228,AT5228,AV5228,AX5228)</f>
        <v>2377</v>
      </c>
      <c r="BE5228" s="33" t="n">
        <f aca="false">AZ5228-BD5228</f>
        <v>0</v>
      </c>
      <c r="BF5228" s="34" t="n">
        <f aca="false">BD5228*M5228</f>
        <v>95080</v>
      </c>
      <c r="BG5228" s="35" t="n">
        <f aca="false">BA5228-BF5228</f>
        <v>0</v>
      </c>
      <c r="BH5228" s="19" t="str">
        <f aca="false">IF(BG5228=0,"",IF(BG5228&lt;&gt;BA5228,"erreur de calcul",IF(BD5228&lt;&gt;0,"pas de prix",IF(M5228&lt;&gt; 0,"pas de quantité","pas de prix, ni de quantité"))))</f>
        <v/>
      </c>
      <c r="BI5228" s="19"/>
    </row>
    <row r="5229" customFormat="false" ht="15" hidden="false" customHeight="false" outlineLevel="0" collapsed="false">
      <c r="A5229" s="0" t="n">
        <v>25</v>
      </c>
      <c r="B5229" s="8" t="s">
        <v>24</v>
      </c>
      <c r="C5229" s="9" t="s">
        <v>25</v>
      </c>
      <c r="D5229" s="9" t="s">
        <v>26</v>
      </c>
      <c r="E5229" s="10" t="n">
        <v>1789</v>
      </c>
      <c r="F5229" s="9" t="s">
        <v>27</v>
      </c>
      <c r="G5229" s="9" t="s">
        <v>27</v>
      </c>
      <c r="H5229" s="11" t="n">
        <v>26</v>
      </c>
      <c r="I5229" s="11" t="s">
        <v>396</v>
      </c>
      <c r="J5229" s="14" t="n">
        <v>2</v>
      </c>
      <c r="K5229" s="14" t="n">
        <v>10</v>
      </c>
      <c r="L5229" s="16"/>
      <c r="M5229" s="27" t="n">
        <f aca="false">J5229+(K5229/20)+(L5229/240)</f>
        <v>2.5</v>
      </c>
      <c r="N5229" s="17" t="s">
        <v>66</v>
      </c>
      <c r="O5229" s="11"/>
      <c r="P5229" s="28"/>
      <c r="Q5229" s="28" t="n">
        <f aca="false">P5229*$M5229</f>
        <v>0</v>
      </c>
      <c r="R5229" s="28"/>
      <c r="S5229" s="28" t="n">
        <f aca="false">R5229*$M5229</f>
        <v>0</v>
      </c>
      <c r="T5229" s="28"/>
      <c r="U5229" s="28" t="n">
        <f aca="false">T5229*$M5229</f>
        <v>0</v>
      </c>
      <c r="V5229" s="28"/>
      <c r="W5229" s="28" t="n">
        <f aca="false">V5229*$M5229</f>
        <v>0</v>
      </c>
      <c r="X5229" s="28"/>
      <c r="Y5229" s="28" t="n">
        <f aca="false">X5229*$M5229</f>
        <v>0</v>
      </c>
      <c r="Z5229" s="28"/>
      <c r="AA5229" s="28" t="n">
        <f aca="false">Z5229*$M5229</f>
        <v>0</v>
      </c>
      <c r="AB5229" s="28"/>
      <c r="AC5229" s="28" t="n">
        <f aca="false">AB5229*$M5229</f>
        <v>0</v>
      </c>
      <c r="AD5229" s="28"/>
      <c r="AE5229" s="28" t="n">
        <f aca="false">AD5229*$M5229</f>
        <v>0</v>
      </c>
      <c r="AF5229" s="28"/>
      <c r="AG5229" s="28" t="n">
        <f aca="false">AF5229*$M5229</f>
        <v>0</v>
      </c>
      <c r="AH5229" s="28"/>
      <c r="AI5229" s="28" t="n">
        <f aca="false">AH5229*$M5229</f>
        <v>0</v>
      </c>
      <c r="AJ5229" s="28" t="n">
        <v>7127</v>
      </c>
      <c r="AK5229" s="28" t="n">
        <v>17817</v>
      </c>
      <c r="AL5229" s="28"/>
      <c r="AM5229" s="28" t="n">
        <f aca="false">AL5229*$M5229</f>
        <v>0</v>
      </c>
      <c r="AN5229" s="28"/>
      <c r="AO5229" s="28" t="n">
        <f aca="false">AN5229*$M5229</f>
        <v>0</v>
      </c>
      <c r="AP5229" s="28"/>
      <c r="AQ5229" s="28" t="n">
        <f aca="false">AP5229*$M5229</f>
        <v>0</v>
      </c>
      <c r="AR5229" s="28"/>
      <c r="AS5229" s="28" t="n">
        <f aca="false">AR5229*$M5229</f>
        <v>0</v>
      </c>
      <c r="AT5229" s="28"/>
      <c r="AU5229" s="28" t="n">
        <f aca="false">AT5229*$M5229</f>
        <v>0</v>
      </c>
      <c r="AV5229" s="28"/>
      <c r="AW5229" s="28" t="n">
        <f aca="false">AV5229*$M5229</f>
        <v>0</v>
      </c>
      <c r="AX5229" s="28"/>
      <c r="AY5229" s="28" t="n">
        <f aca="false">AX5229*$M5229</f>
        <v>0</v>
      </c>
      <c r="AZ5229" s="30" t="n">
        <v>7127</v>
      </c>
      <c r="BA5229" s="11" t="n">
        <v>17817</v>
      </c>
      <c r="BB5229" s="31" t="n">
        <f aca="false">SUM(Q5229,S5229,U5229,W5229,Y5229,AA5229,AC5229,AE5229,AG5229,AI5229,AK5229,AM5229,AO5229,AQ5229,AS5229,AU5229,AW5229,AY5229)</f>
        <v>17817</v>
      </c>
      <c r="BC5229" s="28" t="n">
        <f aca="false">BA5229-BB5229</f>
        <v>0</v>
      </c>
      <c r="BD5229" s="32" t="n">
        <f aca="false">SUM(P5229,R5229,T5229,V5229,X5229,Z5229,AB5229,AD5229,AF5229,AH5229,AJ5229,AL5229,AN5229,AP5229,AR5229,AT5229,AV5229,AX5229)</f>
        <v>7127</v>
      </c>
      <c r="BE5229" s="33" t="n">
        <f aca="false">AZ5229-BD5229</f>
        <v>0</v>
      </c>
      <c r="BF5229" s="34" t="n">
        <f aca="false">BD5229*M5229</f>
        <v>17817.5</v>
      </c>
      <c r="BG5229" s="35" t="n">
        <f aca="false">BA5229-BF5229</f>
        <v>-0.5</v>
      </c>
      <c r="BH5229" s="19" t="str">
        <f aca="false">IF(BG5229=0,"",IF(BG5229&lt;&gt;BA5229,"erreur de calcul",IF(BD5229&lt;&gt;0,"pas de prix",IF(M5229&lt;&gt; 0,"pas de quantité","pas de prix, ni de quantité"))))</f>
        <v>erreur de calcul</v>
      </c>
      <c r="BI5229" s="19"/>
    </row>
    <row r="5230" customFormat="false" ht="15" hidden="false" customHeight="false" outlineLevel="0" collapsed="false">
      <c r="A5230" s="0" t="n">
        <v>26</v>
      </c>
      <c r="B5230" s="8" t="s">
        <v>24</v>
      </c>
      <c r="C5230" s="9" t="s">
        <v>25</v>
      </c>
      <c r="D5230" s="9" t="s">
        <v>26</v>
      </c>
      <c r="E5230" s="10" t="n">
        <v>1789</v>
      </c>
      <c r="F5230" s="9" t="s">
        <v>27</v>
      </c>
      <c r="G5230" s="9" t="s">
        <v>27</v>
      </c>
      <c r="H5230" s="11" t="n">
        <v>26</v>
      </c>
      <c r="I5230" s="11" t="s">
        <v>397</v>
      </c>
      <c r="J5230" s="14" t="n">
        <v>6</v>
      </c>
      <c r="K5230" s="14" t="n">
        <v>10</v>
      </c>
      <c r="L5230" s="16"/>
      <c r="M5230" s="27" t="n">
        <f aca="false">J5230+(K5230/20)+(L5230/240)</f>
        <v>6.5</v>
      </c>
      <c r="N5230" s="17" t="s">
        <v>64</v>
      </c>
      <c r="O5230" s="11"/>
      <c r="P5230" s="28"/>
      <c r="Q5230" s="28" t="n">
        <f aca="false">P5230*$M5230</f>
        <v>0</v>
      </c>
      <c r="R5230" s="28"/>
      <c r="S5230" s="28" t="n">
        <f aca="false">R5230*$M5230</f>
        <v>0</v>
      </c>
      <c r="T5230" s="28"/>
      <c r="U5230" s="28" t="n">
        <f aca="false">T5230*$M5230</f>
        <v>0</v>
      </c>
      <c r="V5230" s="28"/>
      <c r="W5230" s="28" t="n">
        <f aca="false">V5230*$M5230</f>
        <v>0</v>
      </c>
      <c r="X5230" s="28" t="n">
        <f aca="false">22000/100</f>
        <v>220</v>
      </c>
      <c r="Y5230" s="28" t="n">
        <v>1430</v>
      </c>
      <c r="Z5230" s="28"/>
      <c r="AA5230" s="28" t="n">
        <f aca="false">Z5230*$M5230</f>
        <v>0</v>
      </c>
      <c r="AB5230" s="28" t="n">
        <f aca="false">3575715/100</f>
        <v>35757.15</v>
      </c>
      <c r="AC5230" s="36" t="n">
        <v>214543</v>
      </c>
      <c r="AD5230" s="28"/>
      <c r="AE5230" s="28" t="n">
        <f aca="false">AD5230*$M5230</f>
        <v>0</v>
      </c>
      <c r="AF5230" s="28"/>
      <c r="AG5230" s="28" t="n">
        <f aca="false">AF5230*$M5230</f>
        <v>0</v>
      </c>
      <c r="AH5230" s="28"/>
      <c r="AI5230" s="28" t="n">
        <f aca="false">AH5230*$M5230</f>
        <v>0</v>
      </c>
      <c r="AJ5230" s="28"/>
      <c r="AK5230" s="28" t="n">
        <f aca="false">AJ5230*$M5230</f>
        <v>0</v>
      </c>
      <c r="AL5230" s="28"/>
      <c r="AM5230" s="28" t="n">
        <f aca="false">AL5230*$M5230</f>
        <v>0</v>
      </c>
      <c r="AN5230" s="28"/>
      <c r="AO5230" s="28" t="n">
        <f aca="false">AN5230*$M5230</f>
        <v>0</v>
      </c>
      <c r="AP5230" s="28"/>
      <c r="AQ5230" s="28" t="n">
        <f aca="false">AP5230*$M5230</f>
        <v>0</v>
      </c>
      <c r="AR5230" s="28"/>
      <c r="AS5230" s="28" t="n">
        <f aca="false">AR5230*$M5230</f>
        <v>0</v>
      </c>
      <c r="AT5230" s="28"/>
      <c r="AU5230" s="28" t="n">
        <f aca="false">AT5230*$M5230</f>
        <v>0</v>
      </c>
      <c r="AV5230" s="28"/>
      <c r="AW5230" s="28" t="n">
        <f aca="false">AV5230*$M5230</f>
        <v>0</v>
      </c>
      <c r="AX5230" s="28"/>
      <c r="AY5230" s="28" t="n">
        <f aca="false">AX5230*$M5230</f>
        <v>0</v>
      </c>
      <c r="AZ5230" s="30" t="n">
        <f aca="false">3597715/100</f>
        <v>35977.15</v>
      </c>
      <c r="BA5230" s="11" t="n">
        <v>215973</v>
      </c>
      <c r="BB5230" s="31" t="n">
        <f aca="false">SUM(Q5230,S5230,U5230,W5230,Y5230,AA5230,AC5230,AE5230,AG5230,AI5230,AK5230,AM5230,AO5230,AQ5230,AS5230,AU5230,AW5230,AY5230)</f>
        <v>215973</v>
      </c>
      <c r="BC5230" s="28" t="n">
        <f aca="false">BA5230-BB5230</f>
        <v>0</v>
      </c>
      <c r="BD5230" s="32" t="n">
        <f aca="false">SUM(P5230,R5230,T5230,V5230,X5230,Z5230,AB5230,AD5230,AF5230,AH5230,AJ5230,AL5230,AN5230,AP5230,AR5230,AT5230,AV5230,AX5230)</f>
        <v>35977.15</v>
      </c>
      <c r="BE5230" s="33" t="n">
        <f aca="false">AZ5230-BD5230</f>
        <v>0</v>
      </c>
      <c r="BF5230" s="34" t="n">
        <f aca="false">BD5230*M5230</f>
        <v>233851.475</v>
      </c>
      <c r="BG5230" s="35" t="n">
        <f aca="false">BA5230-BF5230</f>
        <v>-17878.475</v>
      </c>
      <c r="BH5230" s="19" t="str">
        <f aca="false">IF(BG5230=0,"",IF(BG5230&lt;&gt;BA5230,"erreur de calcul",IF(BD5230&lt;&gt;0,"pas de prix",IF(M5230&lt;&gt; 0,"pas de quantité","pas de prix, ni de quantité"))))</f>
        <v>erreur de calcul</v>
      </c>
      <c r="BI5230" s="19"/>
    </row>
    <row r="5231" customFormat="false" ht="15" hidden="false" customHeight="false" outlineLevel="0" collapsed="false">
      <c r="A5231" s="0" t="n">
        <v>27</v>
      </c>
      <c r="B5231" s="8" t="s">
        <v>24</v>
      </c>
      <c r="C5231" s="9" t="s">
        <v>25</v>
      </c>
      <c r="D5231" s="9" t="s">
        <v>26</v>
      </c>
      <c r="E5231" s="10" t="n">
        <v>1789</v>
      </c>
      <c r="F5231" s="9" t="s">
        <v>27</v>
      </c>
      <c r="G5231" s="9" t="s">
        <v>27</v>
      </c>
      <c r="H5231" s="11" t="n">
        <v>26</v>
      </c>
      <c r="I5231" s="11" t="s">
        <v>398</v>
      </c>
      <c r="J5231" s="14" t="n">
        <v>11</v>
      </c>
      <c r="K5231" s="14"/>
      <c r="L5231" s="16"/>
      <c r="M5231" s="27" t="n">
        <f aca="false">J5231+(K5231/20)+(L5231/240)</f>
        <v>11</v>
      </c>
      <c r="N5231" s="17" t="s">
        <v>64</v>
      </c>
      <c r="O5231" s="11"/>
      <c r="P5231" s="28" t="n">
        <f aca="false">166667/100</f>
        <v>1666.67</v>
      </c>
      <c r="Q5231" s="28" t="n">
        <v>18333</v>
      </c>
      <c r="R5231" s="28"/>
      <c r="S5231" s="28" t="n">
        <f aca="false">R5231*$M5231</f>
        <v>0</v>
      </c>
      <c r="T5231" s="28"/>
      <c r="U5231" s="28" t="n">
        <f aca="false">T5231*$M5231</f>
        <v>0</v>
      </c>
      <c r="V5231" s="28"/>
      <c r="W5231" s="28" t="n">
        <f aca="false">V5231*$M5231</f>
        <v>0</v>
      </c>
      <c r="X5231" s="28"/>
      <c r="Y5231" s="28" t="n">
        <f aca="false">X5231*$M5231</f>
        <v>0</v>
      </c>
      <c r="Z5231" s="28"/>
      <c r="AA5231" s="28" t="n">
        <f aca="false">Z5231*$M5231</f>
        <v>0</v>
      </c>
      <c r="AB5231" s="28" t="n">
        <f aca="false">3312/100</f>
        <v>33.12</v>
      </c>
      <c r="AC5231" s="28" t="n">
        <v>364</v>
      </c>
      <c r="AD5231" s="28"/>
      <c r="AE5231" s="28" t="n">
        <f aca="false">AD5231*$M5231</f>
        <v>0</v>
      </c>
      <c r="AF5231" s="28"/>
      <c r="AG5231" s="28" t="n">
        <f aca="false">AF5231*$M5231</f>
        <v>0</v>
      </c>
      <c r="AH5231" s="28"/>
      <c r="AI5231" s="28" t="n">
        <f aca="false">AH5231*$M5231</f>
        <v>0</v>
      </c>
      <c r="AJ5231" s="28"/>
      <c r="AK5231" s="28" t="n">
        <f aca="false">AJ5231*$M5231</f>
        <v>0</v>
      </c>
      <c r="AL5231" s="28"/>
      <c r="AM5231" s="28" t="n">
        <f aca="false">AL5231*$M5231</f>
        <v>0</v>
      </c>
      <c r="AN5231" s="28"/>
      <c r="AO5231" s="28" t="n">
        <f aca="false">AN5231*$M5231</f>
        <v>0</v>
      </c>
      <c r="AP5231" s="28"/>
      <c r="AQ5231" s="28" t="n">
        <f aca="false">AP5231*$M5231</f>
        <v>0</v>
      </c>
      <c r="AR5231" s="28"/>
      <c r="AS5231" s="28" t="n">
        <f aca="false">AR5231*$M5231</f>
        <v>0</v>
      </c>
      <c r="AT5231" s="28"/>
      <c r="AU5231" s="28" t="n">
        <f aca="false">AT5231*$M5231</f>
        <v>0</v>
      </c>
      <c r="AV5231" s="28"/>
      <c r="AW5231" s="28" t="n">
        <f aca="false">AV5231*$M5231</f>
        <v>0</v>
      </c>
      <c r="AX5231" s="28"/>
      <c r="AY5231" s="28" t="n">
        <f aca="false">AX5231*$M5231</f>
        <v>0</v>
      </c>
      <c r="AZ5231" s="30" t="n">
        <f aca="false">169979/100</f>
        <v>1699.79</v>
      </c>
      <c r="BA5231" s="11" t="n">
        <v>18697</v>
      </c>
      <c r="BB5231" s="31" t="n">
        <f aca="false">SUM(Q5231,S5231,U5231,W5231,Y5231,AA5231,AC5231,AE5231,AG5231,AI5231,AK5231,AM5231,AO5231,AQ5231,AS5231,AU5231,AW5231,AY5231)</f>
        <v>18697</v>
      </c>
      <c r="BC5231" s="28" t="n">
        <f aca="false">BA5231-BB5231</f>
        <v>0</v>
      </c>
      <c r="BD5231" s="32" t="n">
        <f aca="false">SUM(P5231,R5231,T5231,V5231,X5231,Z5231,AB5231,AD5231,AF5231,AH5231,AJ5231,AL5231,AN5231,AP5231,AR5231,AT5231,AV5231,AX5231)</f>
        <v>1699.79</v>
      </c>
      <c r="BE5231" s="33" t="n">
        <f aca="false">AZ5231-BD5231</f>
        <v>0</v>
      </c>
      <c r="BF5231" s="34" t="n">
        <f aca="false">BD5231*M5231</f>
        <v>18697.69</v>
      </c>
      <c r="BG5231" s="35" t="n">
        <f aca="false">BA5231-BF5231</f>
        <v>-0.68999999999869</v>
      </c>
      <c r="BH5231" s="19" t="str">
        <f aca="false">IF(BG5231=0,"",IF(BG5231&lt;&gt;BA5231,"erreur de calcul",IF(BD5231&lt;&gt;0,"pas de prix",IF(M5231&lt;&gt; 0,"pas de quantité","pas de prix, ni de quantité"))))</f>
        <v>erreur de calcul</v>
      </c>
      <c r="BI5231" s="19"/>
    </row>
    <row r="5232" customFormat="false" ht="15" hidden="false" customHeight="false" outlineLevel="0" collapsed="false">
      <c r="A5232" s="0" t="n">
        <v>28</v>
      </c>
      <c r="B5232" s="8" t="s">
        <v>24</v>
      </c>
      <c r="C5232" s="9" t="s">
        <v>25</v>
      </c>
      <c r="D5232" s="9" t="s">
        <v>26</v>
      </c>
      <c r="E5232" s="10" t="n">
        <v>1789</v>
      </c>
      <c r="F5232" s="9" t="s">
        <v>27</v>
      </c>
      <c r="G5232" s="9" t="s">
        <v>27</v>
      </c>
      <c r="H5232" s="11" t="n">
        <v>26</v>
      </c>
      <c r="I5232" s="11" t="s">
        <v>399</v>
      </c>
      <c r="J5232" s="14" t="n">
        <v>18</v>
      </c>
      <c r="K5232" s="14"/>
      <c r="L5232" s="16"/>
      <c r="M5232" s="27" t="n">
        <f aca="false">J5232+(K5232/20)+(L5232/240)</f>
        <v>18</v>
      </c>
      <c r="N5232" s="17" t="s">
        <v>66</v>
      </c>
      <c r="O5232" s="11"/>
      <c r="P5232" s="28"/>
      <c r="Q5232" s="28" t="n">
        <f aca="false">P5232*$M5232</f>
        <v>0</v>
      </c>
      <c r="R5232" s="28"/>
      <c r="S5232" s="28" t="n">
        <f aca="false">R5232*$M5232</f>
        <v>0</v>
      </c>
      <c r="T5232" s="28"/>
      <c r="U5232" s="28" t="n">
        <f aca="false">T5232*$M5232</f>
        <v>0</v>
      </c>
      <c r="V5232" s="28"/>
      <c r="W5232" s="28" t="n">
        <f aca="false">V5232*$M5232</f>
        <v>0</v>
      </c>
      <c r="X5232" s="28"/>
      <c r="Y5232" s="28" t="n">
        <f aca="false">X5232*$M5232</f>
        <v>0</v>
      </c>
      <c r="Z5232" s="28"/>
      <c r="AA5232" s="28" t="n">
        <f aca="false">Z5232*$M5232</f>
        <v>0</v>
      </c>
      <c r="AB5232" s="28"/>
      <c r="AC5232" s="28" t="n">
        <f aca="false">AB5232*$M5232</f>
        <v>0</v>
      </c>
      <c r="AD5232" s="28"/>
      <c r="AE5232" s="28" t="n">
        <f aca="false">AD5232*$M5232</f>
        <v>0</v>
      </c>
      <c r="AF5232" s="28"/>
      <c r="AG5232" s="28" t="n">
        <f aca="false">AF5232*$M5232</f>
        <v>0</v>
      </c>
      <c r="AH5232" s="28" t="n">
        <v>72036</v>
      </c>
      <c r="AI5232" s="28" t="n">
        <v>1296648</v>
      </c>
      <c r="AJ5232" s="28"/>
      <c r="AK5232" s="28" t="n">
        <f aca="false">AJ5232*$M5232</f>
        <v>0</v>
      </c>
      <c r="AL5232" s="28"/>
      <c r="AM5232" s="28" t="n">
        <f aca="false">AL5232*$M5232</f>
        <v>0</v>
      </c>
      <c r="AN5232" s="28"/>
      <c r="AO5232" s="28" t="n">
        <f aca="false">AN5232*$M5232</f>
        <v>0</v>
      </c>
      <c r="AP5232" s="28"/>
      <c r="AQ5232" s="28" t="n">
        <f aca="false">AP5232*$M5232</f>
        <v>0</v>
      </c>
      <c r="AR5232" s="28"/>
      <c r="AS5232" s="28" t="n">
        <f aca="false">AR5232*$M5232</f>
        <v>0</v>
      </c>
      <c r="AT5232" s="28"/>
      <c r="AU5232" s="28" t="n">
        <f aca="false">AT5232*$M5232</f>
        <v>0</v>
      </c>
      <c r="AV5232" s="28"/>
      <c r="AW5232" s="28" t="n">
        <f aca="false">AV5232*$M5232</f>
        <v>0</v>
      </c>
      <c r="AX5232" s="28"/>
      <c r="AY5232" s="28" t="n">
        <f aca="false">AX5232*$M5232</f>
        <v>0</v>
      </c>
      <c r="AZ5232" s="30" t="n">
        <v>72036</v>
      </c>
      <c r="BA5232" s="11" t="n">
        <v>1296648</v>
      </c>
      <c r="BB5232" s="31" t="n">
        <f aca="false">SUM(Q5232,S5232,U5232,W5232,Y5232,AA5232,AC5232,AE5232,AG5232,AI5232,AK5232,AM5232,AO5232,AQ5232,AS5232,AU5232,AW5232,AY5232)</f>
        <v>1296648</v>
      </c>
      <c r="BC5232" s="28" t="n">
        <f aca="false">BA5232-BB5232</f>
        <v>0</v>
      </c>
      <c r="BD5232" s="32" t="n">
        <f aca="false">SUM(P5232,R5232,T5232,V5232,X5232,Z5232,AB5232,AD5232,AF5232,AH5232,AJ5232,AL5232,AN5232,AP5232,AR5232,AT5232,AV5232,AX5232)</f>
        <v>72036</v>
      </c>
      <c r="BE5232" s="33" t="n">
        <f aca="false">AZ5232-BD5232</f>
        <v>0</v>
      </c>
      <c r="BF5232" s="34" t="n">
        <f aca="false">BD5232*M5232</f>
        <v>1296648</v>
      </c>
      <c r="BG5232" s="35" t="n">
        <f aca="false">BA5232-BF5232</f>
        <v>0</v>
      </c>
      <c r="BH5232" s="19" t="str">
        <f aca="false">IF(BG5232=0,"",IF(BG5232&lt;&gt;BA5232,"erreur de calcul",IF(BD5232&lt;&gt;0,"pas de prix",IF(M5232&lt;&gt; 0,"pas de quantité","pas de prix, ni de quantité"))))</f>
        <v/>
      </c>
      <c r="BI5232" s="19"/>
    </row>
    <row r="5233" customFormat="false" ht="15" hidden="false" customHeight="false" outlineLevel="0" collapsed="false">
      <c r="A5233" s="0" t="n">
        <v>29</v>
      </c>
      <c r="B5233" s="8" t="s">
        <v>24</v>
      </c>
      <c r="C5233" s="9" t="s">
        <v>25</v>
      </c>
      <c r="D5233" s="9" t="s">
        <v>26</v>
      </c>
      <c r="E5233" s="10" t="n">
        <v>1789</v>
      </c>
      <c r="F5233" s="9" t="s">
        <v>27</v>
      </c>
      <c r="G5233" s="9" t="s">
        <v>27</v>
      </c>
      <c r="H5233" s="11" t="n">
        <v>26</v>
      </c>
      <c r="I5233" s="11" t="s">
        <v>400</v>
      </c>
      <c r="J5233" s="14" t="n">
        <v>19</v>
      </c>
      <c r="K5233" s="14"/>
      <c r="L5233" s="16"/>
      <c r="M5233" s="27" t="n">
        <f aca="false">J5233+(K5233/20)+(L5233/240)</f>
        <v>19</v>
      </c>
      <c r="N5233" s="17" t="s">
        <v>66</v>
      </c>
      <c r="O5233" s="11"/>
      <c r="P5233" s="28"/>
      <c r="Q5233" s="28" t="n">
        <f aca="false">P5233*$M5233</f>
        <v>0</v>
      </c>
      <c r="R5233" s="28"/>
      <c r="S5233" s="28" t="n">
        <f aca="false">R5233*$M5233</f>
        <v>0</v>
      </c>
      <c r="T5233" s="28"/>
      <c r="U5233" s="28" t="n">
        <f aca="false">T5233*$M5233</f>
        <v>0</v>
      </c>
      <c r="V5233" s="28"/>
      <c r="W5233" s="28" t="n">
        <f aca="false">V5233*$M5233</f>
        <v>0</v>
      </c>
      <c r="X5233" s="28"/>
      <c r="Y5233" s="28" t="n">
        <f aca="false">X5233*$M5233</f>
        <v>0</v>
      </c>
      <c r="Z5233" s="28"/>
      <c r="AA5233" s="28" t="n">
        <f aca="false">Z5233*$M5233</f>
        <v>0</v>
      </c>
      <c r="AB5233" s="28" t="n">
        <v>1176</v>
      </c>
      <c r="AC5233" s="28" t="n">
        <v>22344</v>
      </c>
      <c r="AD5233" s="28"/>
      <c r="AE5233" s="28" t="n">
        <f aca="false">AD5233*$M5233</f>
        <v>0</v>
      </c>
      <c r="AF5233" s="28"/>
      <c r="AG5233" s="28" t="n">
        <f aca="false">AF5233*$M5233</f>
        <v>0</v>
      </c>
      <c r="AH5233" s="28"/>
      <c r="AI5233" s="28" t="n">
        <f aca="false">AH5233*$M5233</f>
        <v>0</v>
      </c>
      <c r="AJ5233" s="28"/>
      <c r="AK5233" s="28" t="n">
        <f aca="false">AJ5233*$M5233</f>
        <v>0</v>
      </c>
      <c r="AL5233" s="28"/>
      <c r="AM5233" s="28" t="n">
        <f aca="false">AL5233*$M5233</f>
        <v>0</v>
      </c>
      <c r="AN5233" s="28"/>
      <c r="AO5233" s="28" t="n">
        <f aca="false">AN5233*$M5233</f>
        <v>0</v>
      </c>
      <c r="AP5233" s="28"/>
      <c r="AQ5233" s="28" t="n">
        <f aca="false">AP5233*$M5233</f>
        <v>0</v>
      </c>
      <c r="AR5233" s="28"/>
      <c r="AS5233" s="28" t="n">
        <f aca="false">AR5233*$M5233</f>
        <v>0</v>
      </c>
      <c r="AT5233" s="28"/>
      <c r="AU5233" s="28" t="n">
        <f aca="false">AT5233*$M5233</f>
        <v>0</v>
      </c>
      <c r="AV5233" s="28"/>
      <c r="AW5233" s="28" t="n">
        <f aca="false">AV5233*$M5233</f>
        <v>0</v>
      </c>
      <c r="AX5233" s="28"/>
      <c r="AY5233" s="28" t="n">
        <f aca="false">AX5233*$M5233</f>
        <v>0</v>
      </c>
      <c r="AZ5233" s="30" t="n">
        <v>1176</v>
      </c>
      <c r="BA5233" s="11" t="n">
        <v>22344</v>
      </c>
      <c r="BB5233" s="31" t="n">
        <f aca="false">SUM(Q5233,S5233,U5233,W5233,Y5233,AA5233,AC5233,AE5233,AG5233,AI5233,AK5233,AM5233,AO5233,AQ5233,AS5233,AU5233,AW5233,AY5233)</f>
        <v>22344</v>
      </c>
      <c r="BC5233" s="28" t="n">
        <f aca="false">BA5233-BB5233</f>
        <v>0</v>
      </c>
      <c r="BD5233" s="32" t="n">
        <f aca="false">SUM(P5233,R5233,T5233,V5233,X5233,Z5233,AB5233,AD5233,AF5233,AH5233,AJ5233,AL5233,AN5233,AP5233,AR5233,AT5233,AV5233,AX5233)</f>
        <v>1176</v>
      </c>
      <c r="BE5233" s="33" t="n">
        <f aca="false">AZ5233-BD5233</f>
        <v>0</v>
      </c>
      <c r="BF5233" s="34" t="n">
        <f aca="false">BD5233*M5233</f>
        <v>22344</v>
      </c>
      <c r="BG5233" s="35" t="n">
        <f aca="false">BA5233-BF5233</f>
        <v>0</v>
      </c>
      <c r="BH5233" s="19" t="str">
        <f aca="false">IF(BG5233=0,"",IF(BG5233&lt;&gt;BA5233,"erreur de calcul",IF(BD5233&lt;&gt;0,"pas de prix",IF(M5233&lt;&gt; 0,"pas de quantité","pas de prix, ni de quantité"))))</f>
        <v/>
      </c>
      <c r="BI5233" s="19"/>
    </row>
    <row r="5234" customFormat="false" ht="15" hidden="false" customHeight="false" outlineLevel="0" collapsed="false">
      <c r="A5234" s="0" t="n">
        <v>30</v>
      </c>
      <c r="B5234" s="8" t="s">
        <v>24</v>
      </c>
      <c r="C5234" s="9" t="s">
        <v>25</v>
      </c>
      <c r="D5234" s="9" t="s">
        <v>26</v>
      </c>
      <c r="E5234" s="10" t="n">
        <v>1789</v>
      </c>
      <c r="F5234" s="9" t="s">
        <v>27</v>
      </c>
      <c r="G5234" s="9" t="s">
        <v>27</v>
      </c>
      <c r="H5234" s="11" t="n">
        <v>26</v>
      </c>
      <c r="I5234" s="11" t="s">
        <v>401</v>
      </c>
      <c r="J5234" s="14" t="n">
        <v>20</v>
      </c>
      <c r="K5234" s="14"/>
      <c r="L5234" s="16"/>
      <c r="M5234" s="27" t="n">
        <f aca="false">J5234+(K5234/20)+(L5234/240)</f>
        <v>20</v>
      </c>
      <c r="N5234" s="17" t="s">
        <v>66</v>
      </c>
      <c r="O5234" s="11"/>
      <c r="P5234" s="28"/>
      <c r="Q5234" s="28" t="n">
        <f aca="false">P5234*$M5234</f>
        <v>0</v>
      </c>
      <c r="R5234" s="28"/>
      <c r="S5234" s="28" t="n">
        <f aca="false">R5234*$M5234</f>
        <v>0</v>
      </c>
      <c r="T5234" s="28" t="n">
        <v>7478</v>
      </c>
      <c r="U5234" s="28" t="n">
        <v>149560</v>
      </c>
      <c r="V5234" s="28" t="n">
        <v>3386</v>
      </c>
      <c r="W5234" s="36" t="n">
        <v>66720</v>
      </c>
      <c r="X5234" s="28" t="n">
        <v>2233</v>
      </c>
      <c r="Y5234" s="28" t="n">
        <v>44660</v>
      </c>
      <c r="Z5234" s="28" t="n">
        <v>867</v>
      </c>
      <c r="AA5234" s="28" t="n">
        <v>17340</v>
      </c>
      <c r="AB5234" s="28" t="n">
        <v>32380</v>
      </c>
      <c r="AC5234" s="28" t="n">
        <v>647600</v>
      </c>
      <c r="AD5234" s="28"/>
      <c r="AE5234" s="28" t="n">
        <f aca="false">AD5234*$M5234</f>
        <v>0</v>
      </c>
      <c r="AF5234" s="28"/>
      <c r="AG5234" s="28" t="n">
        <f aca="false">AF5234*$M5234</f>
        <v>0</v>
      </c>
      <c r="AH5234" s="28" t="n">
        <v>12038</v>
      </c>
      <c r="AI5234" s="28" t="n">
        <v>240760</v>
      </c>
      <c r="AJ5234" s="28"/>
      <c r="AK5234" s="28" t="n">
        <f aca="false">AJ5234*$M5234</f>
        <v>0</v>
      </c>
      <c r="AL5234" s="28"/>
      <c r="AM5234" s="28" t="n">
        <f aca="false">AL5234*$M5234</f>
        <v>0</v>
      </c>
      <c r="AN5234" s="28"/>
      <c r="AO5234" s="28" t="n">
        <f aca="false">AN5234*$M5234</f>
        <v>0</v>
      </c>
      <c r="AP5234" s="28"/>
      <c r="AQ5234" s="28" t="n">
        <f aca="false">AP5234*$M5234</f>
        <v>0</v>
      </c>
      <c r="AR5234" s="28"/>
      <c r="AS5234" s="28" t="n">
        <f aca="false">AR5234*$M5234</f>
        <v>0</v>
      </c>
      <c r="AT5234" s="28"/>
      <c r="AU5234" s="28" t="n">
        <f aca="false">AT5234*$M5234</f>
        <v>0</v>
      </c>
      <c r="AV5234" s="28"/>
      <c r="AW5234" s="28" t="n">
        <f aca="false">AV5234*$M5234</f>
        <v>0</v>
      </c>
      <c r="AX5234" s="28"/>
      <c r="AY5234" s="28" t="n">
        <f aca="false">AX5234*$M5234</f>
        <v>0</v>
      </c>
      <c r="AZ5234" s="30" t="n">
        <v>58382</v>
      </c>
      <c r="BA5234" s="11" t="n">
        <v>1166640</v>
      </c>
      <c r="BB5234" s="31" t="n">
        <f aca="false">SUM(Q5234,S5234,U5234,W5234,Y5234,AA5234,AC5234,AE5234,AG5234,AI5234,AK5234,AM5234,AO5234,AQ5234,AS5234,AU5234,AW5234,AY5234)</f>
        <v>1166640</v>
      </c>
      <c r="BC5234" s="28" t="n">
        <f aca="false">BA5234-BB5234</f>
        <v>0</v>
      </c>
      <c r="BD5234" s="32" t="n">
        <f aca="false">SUM(P5234,R5234,T5234,V5234,X5234,Z5234,AB5234,AD5234,AF5234,AH5234,AJ5234,AL5234,AN5234,AP5234,AR5234,AT5234,AV5234,AX5234)</f>
        <v>58382</v>
      </c>
      <c r="BE5234" s="33" t="n">
        <f aca="false">AZ5234-BD5234</f>
        <v>0</v>
      </c>
      <c r="BF5234" s="34" t="n">
        <f aca="false">BD5234*M5234</f>
        <v>1167640</v>
      </c>
      <c r="BG5234" s="35" t="n">
        <f aca="false">BA5234-BF5234</f>
        <v>-1000</v>
      </c>
      <c r="BH5234" s="19" t="str">
        <f aca="false">IF(BG5234=0,"",IF(BG5234&lt;&gt;BA5234,"erreur de calcul",IF(BD5234&lt;&gt;0,"pas de prix",IF(M5234&lt;&gt; 0,"pas de quantité","pas de prix, ni de quantité"))))</f>
        <v>erreur de calcul</v>
      </c>
      <c r="BI5234" s="19"/>
    </row>
    <row r="5235" customFormat="false" ht="15" hidden="false" customHeight="false" outlineLevel="0" collapsed="false">
      <c r="A5235" s="0" t="n">
        <v>31</v>
      </c>
      <c r="B5235" s="8" t="s">
        <v>24</v>
      </c>
      <c r="C5235" s="9" t="s">
        <v>25</v>
      </c>
      <c r="D5235" s="9" t="s">
        <v>26</v>
      </c>
      <c r="E5235" s="10" t="n">
        <v>1789</v>
      </c>
      <c r="F5235" s="9" t="s">
        <v>27</v>
      </c>
      <c r="G5235" s="9" t="s">
        <v>27</v>
      </c>
      <c r="H5235" s="11" t="n">
        <v>26</v>
      </c>
      <c r="I5235" s="11" t="s">
        <v>402</v>
      </c>
      <c r="J5235" s="14" t="n">
        <v>17</v>
      </c>
      <c r="K5235" s="14"/>
      <c r="L5235" s="16"/>
      <c r="M5235" s="27" t="n">
        <f aca="false">J5235+(K5235/20)+(L5235/240)</f>
        <v>17</v>
      </c>
      <c r="N5235" s="17" t="s">
        <v>66</v>
      </c>
      <c r="O5235" s="11"/>
      <c r="P5235" s="28"/>
      <c r="Q5235" s="28" t="n">
        <f aca="false">P5235*$M5235</f>
        <v>0</v>
      </c>
      <c r="R5235" s="28"/>
      <c r="S5235" s="28" t="n">
        <f aca="false">R5235*$M5235</f>
        <v>0</v>
      </c>
      <c r="T5235" s="28" t="n">
        <v>126481</v>
      </c>
      <c r="U5235" s="28" t="n">
        <v>2150177</v>
      </c>
      <c r="V5235" s="28"/>
      <c r="W5235" s="28" t="n">
        <f aca="false">V5235*$M5235</f>
        <v>0</v>
      </c>
      <c r="X5235" s="28"/>
      <c r="Y5235" s="28" t="n">
        <f aca="false">X5235*$M5235</f>
        <v>0</v>
      </c>
      <c r="Z5235" s="28"/>
      <c r="AA5235" s="28" t="n">
        <f aca="false">Z5235*$M5235</f>
        <v>0</v>
      </c>
      <c r="AB5235" s="28"/>
      <c r="AC5235" s="28" t="n">
        <f aca="false">AB5235*$M5235</f>
        <v>0</v>
      </c>
      <c r="AD5235" s="28"/>
      <c r="AE5235" s="28" t="n">
        <f aca="false">AD5235*$M5235</f>
        <v>0</v>
      </c>
      <c r="AF5235" s="28"/>
      <c r="AG5235" s="28" t="n">
        <f aca="false">AF5235*$M5235</f>
        <v>0</v>
      </c>
      <c r="AH5235" s="28"/>
      <c r="AI5235" s="28" t="n">
        <f aca="false">AH5235*$M5235</f>
        <v>0</v>
      </c>
      <c r="AJ5235" s="28"/>
      <c r="AK5235" s="28" t="n">
        <f aca="false">AJ5235*$M5235</f>
        <v>0</v>
      </c>
      <c r="AL5235" s="28"/>
      <c r="AM5235" s="28" t="n">
        <f aca="false">AL5235*$M5235</f>
        <v>0</v>
      </c>
      <c r="AN5235" s="28"/>
      <c r="AO5235" s="28" t="n">
        <f aca="false">AN5235*$M5235</f>
        <v>0</v>
      </c>
      <c r="AP5235" s="28"/>
      <c r="AQ5235" s="28" t="n">
        <f aca="false">AP5235*$M5235</f>
        <v>0</v>
      </c>
      <c r="AR5235" s="28"/>
      <c r="AS5235" s="28" t="n">
        <f aca="false">AR5235*$M5235</f>
        <v>0</v>
      </c>
      <c r="AT5235" s="28"/>
      <c r="AU5235" s="28" t="n">
        <f aca="false">AT5235*$M5235</f>
        <v>0</v>
      </c>
      <c r="AV5235" s="28"/>
      <c r="AW5235" s="28" t="n">
        <f aca="false">AV5235*$M5235</f>
        <v>0</v>
      </c>
      <c r="AX5235" s="28"/>
      <c r="AY5235" s="28" t="n">
        <f aca="false">AX5235*$M5235</f>
        <v>0</v>
      </c>
      <c r="AZ5235" s="30" t="n">
        <v>126481</v>
      </c>
      <c r="BA5235" s="11" t="n">
        <v>2150177</v>
      </c>
      <c r="BB5235" s="31" t="n">
        <f aca="false">SUM(Q5235,S5235,U5235,W5235,Y5235,AA5235,AC5235,AE5235,AG5235,AI5235,AK5235,AM5235,AO5235,AQ5235,AS5235,AU5235,AW5235,AY5235)</f>
        <v>2150177</v>
      </c>
      <c r="BC5235" s="28" t="n">
        <f aca="false">BA5235-BB5235</f>
        <v>0</v>
      </c>
      <c r="BD5235" s="32" t="n">
        <f aca="false">SUM(P5235,R5235,T5235,V5235,X5235,Z5235,AB5235,AD5235,AF5235,AH5235,AJ5235,AL5235,AN5235,AP5235,AR5235,AT5235,AV5235,AX5235)</f>
        <v>126481</v>
      </c>
      <c r="BE5235" s="33" t="n">
        <f aca="false">AZ5235-BD5235</f>
        <v>0</v>
      </c>
      <c r="BF5235" s="34" t="n">
        <f aca="false">BD5235*M5235</f>
        <v>2150177</v>
      </c>
      <c r="BG5235" s="35" t="n">
        <f aca="false">BA5235-BF5235</f>
        <v>0</v>
      </c>
      <c r="BH5235" s="19" t="str">
        <f aca="false">IF(BG5235=0,"",IF(BG5235&lt;&gt;BA5235,"erreur de calcul",IF(BD5235&lt;&gt;0,"pas de prix",IF(M5235&lt;&gt; 0,"pas de quantité","pas de prix, ni de quantité"))))</f>
        <v/>
      </c>
      <c r="BI5235" s="19"/>
    </row>
    <row r="5236" customFormat="false" ht="15" hidden="false" customHeight="false" outlineLevel="0" collapsed="false">
      <c r="A5236" s="0" t="n">
        <v>32</v>
      </c>
      <c r="B5236" s="8" t="s">
        <v>24</v>
      </c>
      <c r="C5236" s="9" t="s">
        <v>25</v>
      </c>
      <c r="D5236" s="9" t="s">
        <v>26</v>
      </c>
      <c r="E5236" s="10" t="n">
        <v>1789</v>
      </c>
      <c r="F5236" s="9" t="s">
        <v>27</v>
      </c>
      <c r="G5236" s="9" t="s">
        <v>27</v>
      </c>
      <c r="H5236" s="11" t="n">
        <v>26</v>
      </c>
      <c r="I5236" s="11" t="s">
        <v>403</v>
      </c>
      <c r="J5236" s="14" t="n">
        <v>28</v>
      </c>
      <c r="K5236" s="14"/>
      <c r="L5236" s="16"/>
      <c r="M5236" s="27" t="n">
        <f aca="false">J5236+(K5236/20)+(L5236/240)</f>
        <v>28</v>
      </c>
      <c r="N5236" s="17" t="s">
        <v>66</v>
      </c>
      <c r="O5236" s="11"/>
      <c r="P5236" s="28"/>
      <c r="Q5236" s="28" t="n">
        <f aca="false">P5236*$M5236</f>
        <v>0</v>
      </c>
      <c r="R5236" s="28"/>
      <c r="S5236" s="28" t="n">
        <f aca="false">R5236*$M5236</f>
        <v>0</v>
      </c>
      <c r="T5236" s="28"/>
      <c r="U5236" s="28" t="n">
        <f aca="false">T5236*$M5236</f>
        <v>0</v>
      </c>
      <c r="V5236" s="28" t="n">
        <v>1923</v>
      </c>
      <c r="W5236" s="28" t="n">
        <v>53844</v>
      </c>
      <c r="X5236" s="28" t="n">
        <v>7280</v>
      </c>
      <c r="Y5236" s="36" t="n">
        <v>203860</v>
      </c>
      <c r="Z5236" s="28"/>
      <c r="AA5236" s="28" t="n">
        <f aca="false">Z5236*$M5236</f>
        <v>0</v>
      </c>
      <c r="AB5236" s="28" t="n">
        <v>128803</v>
      </c>
      <c r="AC5236" s="28" t="n">
        <v>3606484</v>
      </c>
      <c r="AD5236" s="28"/>
      <c r="AE5236" s="28" t="n">
        <f aca="false">AD5236*$M5236</f>
        <v>0</v>
      </c>
      <c r="AF5236" s="28"/>
      <c r="AG5236" s="28" t="n">
        <f aca="false">AF5236*$M5236</f>
        <v>0</v>
      </c>
      <c r="AH5236" s="28"/>
      <c r="AI5236" s="28" t="n">
        <f aca="false">AH5236*$M5236</f>
        <v>0</v>
      </c>
      <c r="AJ5236" s="28"/>
      <c r="AK5236" s="28" t="n">
        <f aca="false">AJ5236*$M5236</f>
        <v>0</v>
      </c>
      <c r="AL5236" s="28"/>
      <c r="AM5236" s="28" t="n">
        <f aca="false">AL5236*$M5236</f>
        <v>0</v>
      </c>
      <c r="AN5236" s="28"/>
      <c r="AO5236" s="28" t="n">
        <f aca="false">AN5236*$M5236</f>
        <v>0</v>
      </c>
      <c r="AP5236" s="28"/>
      <c r="AQ5236" s="28" t="n">
        <f aca="false">AP5236*$M5236</f>
        <v>0</v>
      </c>
      <c r="AR5236" s="28"/>
      <c r="AS5236" s="28" t="n">
        <f aca="false">AR5236*$M5236</f>
        <v>0</v>
      </c>
      <c r="AT5236" s="28"/>
      <c r="AU5236" s="28" t="n">
        <f aca="false">AT5236*$M5236</f>
        <v>0</v>
      </c>
      <c r="AV5236" s="28"/>
      <c r="AW5236" s="28" t="n">
        <f aca="false">AV5236*$M5236</f>
        <v>0</v>
      </c>
      <c r="AX5236" s="28"/>
      <c r="AY5236" s="28" t="n">
        <f aca="false">AX5236*$M5236</f>
        <v>0</v>
      </c>
      <c r="AZ5236" s="30" t="n">
        <v>138006</v>
      </c>
      <c r="BA5236" s="11" t="n">
        <v>3864188</v>
      </c>
      <c r="BB5236" s="31" t="n">
        <f aca="false">SUM(Q5236,S5236,U5236,W5236,Y5236,AA5236,AC5236,AE5236,AG5236,AI5236,AK5236,AM5236,AO5236,AQ5236,AS5236,AU5236,AW5236,AY5236)</f>
        <v>3864188</v>
      </c>
      <c r="BC5236" s="28" t="n">
        <f aca="false">BA5236-BB5236</f>
        <v>0</v>
      </c>
      <c r="BD5236" s="32" t="n">
        <f aca="false">SUM(P5236,R5236,T5236,V5236,X5236,Z5236,AB5236,AD5236,AF5236,AH5236,AJ5236,AL5236,AN5236,AP5236,AR5236,AT5236,AV5236,AX5236)</f>
        <v>138006</v>
      </c>
      <c r="BE5236" s="33" t="n">
        <f aca="false">AZ5236-BD5236</f>
        <v>0</v>
      </c>
      <c r="BF5236" s="34" t="n">
        <f aca="false">BD5236*M5236</f>
        <v>3864168</v>
      </c>
      <c r="BG5236" s="35" t="n">
        <f aca="false">BA5236-BF5236</f>
        <v>20</v>
      </c>
      <c r="BH5236" s="19" t="str">
        <f aca="false">IF(BG5236=0,"",IF(BG5236&lt;&gt;BA5236,"erreur de calcul",IF(BD5236&lt;&gt;0,"pas de prix",IF(M5236&lt;&gt; 0,"pas de quantité","pas de prix, ni de quantité"))))</f>
        <v>erreur de calcul</v>
      </c>
      <c r="BI5236" s="19"/>
    </row>
    <row r="5237" customFormat="false" ht="15" hidden="false" customHeight="false" outlineLevel="0" collapsed="false">
      <c r="A5237" s="0" t="n">
        <v>33</v>
      </c>
      <c r="B5237" s="8" t="s">
        <v>24</v>
      </c>
      <c r="C5237" s="9" t="s">
        <v>25</v>
      </c>
      <c r="D5237" s="9" t="s">
        <v>26</v>
      </c>
      <c r="E5237" s="10" t="n">
        <v>1789</v>
      </c>
      <c r="F5237" s="9" t="s">
        <v>27</v>
      </c>
      <c r="G5237" s="9" t="s">
        <v>27</v>
      </c>
      <c r="H5237" s="11" t="n">
        <v>26</v>
      </c>
      <c r="I5237" s="11" t="s">
        <v>404</v>
      </c>
      <c r="J5237" s="14"/>
      <c r="K5237" s="14" t="n">
        <v>30</v>
      </c>
      <c r="L5237" s="16"/>
      <c r="M5237" s="27" t="n">
        <f aca="false">J5237+(K5237/20)+(L5237/240)</f>
        <v>1.5</v>
      </c>
      <c r="N5237" s="17" t="s">
        <v>66</v>
      </c>
      <c r="O5237" s="11"/>
      <c r="P5237" s="28"/>
      <c r="Q5237" s="28" t="n">
        <f aca="false">P5237*$M5237</f>
        <v>0</v>
      </c>
      <c r="R5237" s="28"/>
      <c r="S5237" s="28" t="n">
        <f aca="false">R5237*$M5237</f>
        <v>0</v>
      </c>
      <c r="T5237" s="28" t="n">
        <v>11245</v>
      </c>
      <c r="U5237" s="28" t="n">
        <v>16867</v>
      </c>
      <c r="V5237" s="28"/>
      <c r="W5237" s="28" t="n">
        <f aca="false">V5237*$M5237</f>
        <v>0</v>
      </c>
      <c r="X5237" s="28"/>
      <c r="Y5237" s="28" t="n">
        <f aca="false">X5237*$M5237</f>
        <v>0</v>
      </c>
      <c r="Z5237" s="28"/>
      <c r="AA5237" s="28" t="n">
        <f aca="false">Z5237*$M5237</f>
        <v>0</v>
      </c>
      <c r="AB5237" s="28"/>
      <c r="AC5237" s="28" t="n">
        <f aca="false">AB5237*$M5237</f>
        <v>0</v>
      </c>
      <c r="AD5237" s="28"/>
      <c r="AE5237" s="28" t="n">
        <f aca="false">AD5237*$M5237</f>
        <v>0</v>
      </c>
      <c r="AF5237" s="28"/>
      <c r="AG5237" s="28" t="n">
        <f aca="false">AF5237*$M5237</f>
        <v>0</v>
      </c>
      <c r="AH5237" s="28"/>
      <c r="AI5237" s="28" t="n">
        <f aca="false">AH5237*$M5237</f>
        <v>0</v>
      </c>
      <c r="AJ5237" s="28"/>
      <c r="AK5237" s="28" t="n">
        <f aca="false">AJ5237*$M5237</f>
        <v>0</v>
      </c>
      <c r="AL5237" s="28"/>
      <c r="AM5237" s="28" t="n">
        <f aca="false">AL5237*$M5237</f>
        <v>0</v>
      </c>
      <c r="AN5237" s="28"/>
      <c r="AO5237" s="28" t="n">
        <f aca="false">AN5237*$M5237</f>
        <v>0</v>
      </c>
      <c r="AP5237" s="28"/>
      <c r="AQ5237" s="28" t="n">
        <f aca="false">AP5237*$M5237</f>
        <v>0</v>
      </c>
      <c r="AR5237" s="28"/>
      <c r="AS5237" s="28" t="n">
        <f aca="false">AR5237*$M5237</f>
        <v>0</v>
      </c>
      <c r="AT5237" s="28"/>
      <c r="AU5237" s="28" t="n">
        <f aca="false">AT5237*$M5237</f>
        <v>0</v>
      </c>
      <c r="AV5237" s="28"/>
      <c r="AW5237" s="28" t="n">
        <f aca="false">AV5237*$M5237</f>
        <v>0</v>
      </c>
      <c r="AX5237" s="28"/>
      <c r="AY5237" s="28" t="n">
        <f aca="false">AX5237*$M5237</f>
        <v>0</v>
      </c>
      <c r="AZ5237" s="30" t="n">
        <v>11245</v>
      </c>
      <c r="BA5237" s="11" t="n">
        <v>16867</v>
      </c>
      <c r="BB5237" s="31" t="n">
        <f aca="false">SUM(Q5237,S5237,U5237,W5237,Y5237,AA5237,AC5237,AE5237,AG5237,AI5237,AK5237,AM5237,AO5237,AQ5237,AS5237,AU5237,AW5237,AY5237)</f>
        <v>16867</v>
      </c>
      <c r="BC5237" s="28" t="n">
        <f aca="false">BA5237-BB5237</f>
        <v>0</v>
      </c>
      <c r="BD5237" s="32" t="n">
        <f aca="false">SUM(P5237,R5237,T5237,V5237,X5237,Z5237,AB5237,AD5237,AF5237,AH5237,AJ5237,AL5237,AN5237,AP5237,AR5237,AT5237,AV5237,AX5237)</f>
        <v>11245</v>
      </c>
      <c r="BE5237" s="33" t="n">
        <f aca="false">AZ5237-BD5237</f>
        <v>0</v>
      </c>
      <c r="BF5237" s="34" t="n">
        <f aca="false">BD5237*M5237</f>
        <v>16867.5</v>
      </c>
      <c r="BG5237" s="35" t="n">
        <f aca="false">BA5237-BF5237</f>
        <v>-0.5</v>
      </c>
      <c r="BH5237" s="19" t="str">
        <f aca="false">IF(BG5237=0,"",IF(BG5237&lt;&gt;BA5237,"erreur de calcul",IF(BD5237&lt;&gt;0,"pas de prix",IF(M5237&lt;&gt; 0,"pas de quantité","pas de prix, ni de quantité"))))</f>
        <v>erreur de calcul</v>
      </c>
      <c r="BI5237" s="19"/>
    </row>
    <row r="5238" customFormat="false" ht="15" hidden="false" customHeight="false" outlineLevel="0" collapsed="false">
      <c r="A5238" s="0" t="n">
        <v>34</v>
      </c>
      <c r="B5238" s="8" t="s">
        <v>24</v>
      </c>
      <c r="C5238" s="9" t="s">
        <v>25</v>
      </c>
      <c r="D5238" s="9" t="s">
        <v>26</v>
      </c>
      <c r="E5238" s="10" t="n">
        <v>1789</v>
      </c>
      <c r="F5238" s="9" t="s">
        <v>27</v>
      </c>
      <c r="G5238" s="9" t="s">
        <v>27</v>
      </c>
      <c r="H5238" s="11" t="n">
        <v>26</v>
      </c>
      <c r="I5238" s="11" t="s">
        <v>405</v>
      </c>
      <c r="J5238" s="14"/>
      <c r="K5238" s="14" t="n">
        <v>40</v>
      </c>
      <c r="L5238" s="16"/>
      <c r="M5238" s="27" t="n">
        <f aca="false">J5238+(K5238/20)+(L5238/240)</f>
        <v>2</v>
      </c>
      <c r="N5238" s="17" t="s">
        <v>66</v>
      </c>
      <c r="O5238" s="11"/>
      <c r="P5238" s="28"/>
      <c r="Q5238" s="28" t="n">
        <f aca="false">P5238*$M5238</f>
        <v>0</v>
      </c>
      <c r="R5238" s="28"/>
      <c r="S5238" s="28" t="n">
        <f aca="false">R5238*$M5238</f>
        <v>0</v>
      </c>
      <c r="T5238" s="28"/>
      <c r="U5238" s="28" t="n">
        <f aca="false">T5238*$M5238</f>
        <v>0</v>
      </c>
      <c r="V5238" s="28"/>
      <c r="W5238" s="28" t="n">
        <f aca="false">V5238*$M5238</f>
        <v>0</v>
      </c>
      <c r="X5238" s="28"/>
      <c r="Y5238" s="28" t="n">
        <f aca="false">X5238*$M5238</f>
        <v>0</v>
      </c>
      <c r="Z5238" s="28"/>
      <c r="AA5238" s="28" t="n">
        <f aca="false">Z5238*$M5238</f>
        <v>0</v>
      </c>
      <c r="AB5238" s="28"/>
      <c r="AC5238" s="28" t="n">
        <f aca="false">AB5238*$M5238</f>
        <v>0</v>
      </c>
      <c r="AD5238" s="28"/>
      <c r="AE5238" s="28" t="n">
        <f aca="false">AD5238*$M5238</f>
        <v>0</v>
      </c>
      <c r="AF5238" s="28"/>
      <c r="AG5238" s="28" t="n">
        <f aca="false">AF5238*$M5238</f>
        <v>0</v>
      </c>
      <c r="AH5238" s="28" t="n">
        <v>9380</v>
      </c>
      <c r="AI5238" s="28" t="n">
        <v>18760</v>
      </c>
      <c r="AJ5238" s="28"/>
      <c r="AK5238" s="28" t="n">
        <f aca="false">AJ5238*$M5238</f>
        <v>0</v>
      </c>
      <c r="AL5238" s="28"/>
      <c r="AM5238" s="28" t="n">
        <f aca="false">AL5238*$M5238</f>
        <v>0</v>
      </c>
      <c r="AN5238" s="28"/>
      <c r="AO5238" s="28" t="n">
        <f aca="false">AN5238*$M5238</f>
        <v>0</v>
      </c>
      <c r="AP5238" s="28"/>
      <c r="AQ5238" s="28" t="n">
        <f aca="false">AP5238*$M5238</f>
        <v>0</v>
      </c>
      <c r="AR5238" s="28"/>
      <c r="AS5238" s="28" t="n">
        <f aca="false">AR5238*$M5238</f>
        <v>0</v>
      </c>
      <c r="AT5238" s="28"/>
      <c r="AU5238" s="28" t="n">
        <f aca="false">AT5238*$M5238</f>
        <v>0</v>
      </c>
      <c r="AV5238" s="28"/>
      <c r="AW5238" s="28" t="n">
        <f aca="false">AV5238*$M5238</f>
        <v>0</v>
      </c>
      <c r="AX5238" s="28"/>
      <c r="AY5238" s="28" t="n">
        <f aca="false">AX5238*$M5238</f>
        <v>0</v>
      </c>
      <c r="AZ5238" s="30" t="n">
        <v>9380</v>
      </c>
      <c r="BA5238" s="11" t="n">
        <v>18760</v>
      </c>
      <c r="BB5238" s="31" t="n">
        <f aca="false">SUM(Q5238,S5238,U5238,W5238,Y5238,AA5238,AC5238,AE5238,AG5238,AI5238,AK5238,AM5238,AO5238,AQ5238,AS5238,AU5238,AW5238,AY5238)</f>
        <v>18760</v>
      </c>
      <c r="BC5238" s="28" t="n">
        <f aca="false">BA5238-BB5238</f>
        <v>0</v>
      </c>
      <c r="BD5238" s="32" t="n">
        <f aca="false">SUM(P5238,R5238,T5238,V5238,X5238,Z5238,AB5238,AD5238,AF5238,AH5238,AJ5238,AL5238,AN5238,AP5238,AR5238,AT5238,AV5238,AX5238)</f>
        <v>9380</v>
      </c>
      <c r="BE5238" s="33" t="n">
        <f aca="false">AZ5238-BD5238</f>
        <v>0</v>
      </c>
      <c r="BF5238" s="34" t="n">
        <f aca="false">BD5238*M5238</f>
        <v>18760</v>
      </c>
      <c r="BG5238" s="35" t="n">
        <f aca="false">BA5238-BF5238</f>
        <v>0</v>
      </c>
      <c r="BH5238" s="19" t="str">
        <f aca="false">IF(BG5238=0,"",IF(BG5238&lt;&gt;BA5238,"erreur de calcul",IF(BD5238&lt;&gt;0,"pas de prix",IF(M5238&lt;&gt; 0,"pas de quantité","pas de prix, ni de quantité"))))</f>
        <v/>
      </c>
      <c r="BI5238" s="19"/>
    </row>
    <row r="5239" customFormat="false" ht="15" hidden="false" customHeight="false" outlineLevel="0" collapsed="false">
      <c r="A5239" s="0" t="n">
        <v>35</v>
      </c>
      <c r="B5239" s="8" t="s">
        <v>24</v>
      </c>
      <c r="C5239" s="9" t="s">
        <v>25</v>
      </c>
      <c r="D5239" s="9" t="s">
        <v>26</v>
      </c>
      <c r="E5239" s="10" t="n">
        <v>1789</v>
      </c>
      <c r="F5239" s="9" t="s">
        <v>27</v>
      </c>
      <c r="G5239" s="9" t="s">
        <v>27</v>
      </c>
      <c r="H5239" s="11" t="n">
        <v>26</v>
      </c>
      <c r="I5239" s="11" t="s">
        <v>406</v>
      </c>
      <c r="J5239" s="14" t="n">
        <v>55</v>
      </c>
      <c r="K5239" s="14"/>
      <c r="L5239" s="16"/>
      <c r="M5239" s="27" t="n">
        <f aca="false">J5239+(K5239/20)+(L5239/240)</f>
        <v>55</v>
      </c>
      <c r="N5239" s="17" t="s">
        <v>64</v>
      </c>
      <c r="O5239" s="11"/>
      <c r="P5239" s="28" t="n">
        <f aca="false">634/100</f>
        <v>6.34</v>
      </c>
      <c r="Q5239" s="28" t="n">
        <v>349</v>
      </c>
      <c r="R5239" s="28"/>
      <c r="S5239" s="28" t="n">
        <f aca="false">R5239*$M5239</f>
        <v>0</v>
      </c>
      <c r="T5239" s="28" t="n">
        <f aca="false">2450/100</f>
        <v>24.5</v>
      </c>
      <c r="U5239" s="28" t="n">
        <v>1347</v>
      </c>
      <c r="V5239" s="28" t="n">
        <f aca="false">9685/100</f>
        <v>96.85</v>
      </c>
      <c r="W5239" s="28" t="n">
        <v>5327</v>
      </c>
      <c r="X5239" s="28"/>
      <c r="Y5239" s="28" t="n">
        <f aca="false">X5239*$M5239</f>
        <v>0</v>
      </c>
      <c r="Z5239" s="28"/>
      <c r="AA5239" s="28" t="n">
        <f aca="false">Z5239*$M5239</f>
        <v>0</v>
      </c>
      <c r="AB5239" s="28"/>
      <c r="AC5239" s="28" t="n">
        <f aca="false">AB5239*$M5239</f>
        <v>0</v>
      </c>
      <c r="AD5239" s="28"/>
      <c r="AE5239" s="28" t="n">
        <f aca="false">AD5239*$M5239</f>
        <v>0</v>
      </c>
      <c r="AF5239" s="28"/>
      <c r="AG5239" s="28" t="n">
        <f aca="false">AF5239*$M5239</f>
        <v>0</v>
      </c>
      <c r="AH5239" s="28"/>
      <c r="AI5239" s="28" t="n">
        <f aca="false">AH5239*$M5239</f>
        <v>0</v>
      </c>
      <c r="AJ5239" s="28"/>
      <c r="AK5239" s="28" t="n">
        <f aca="false">AJ5239*$M5239</f>
        <v>0</v>
      </c>
      <c r="AL5239" s="28"/>
      <c r="AM5239" s="28" t="n">
        <f aca="false">AL5239*$M5239</f>
        <v>0</v>
      </c>
      <c r="AN5239" s="28"/>
      <c r="AO5239" s="28" t="n">
        <f aca="false">AN5239*$M5239</f>
        <v>0</v>
      </c>
      <c r="AP5239" s="28"/>
      <c r="AQ5239" s="28" t="n">
        <f aca="false">AP5239*$M5239</f>
        <v>0</v>
      </c>
      <c r="AR5239" s="28"/>
      <c r="AS5239" s="28" t="n">
        <f aca="false">AR5239*$M5239</f>
        <v>0</v>
      </c>
      <c r="AT5239" s="28"/>
      <c r="AU5239" s="28" t="n">
        <f aca="false">AT5239*$M5239</f>
        <v>0</v>
      </c>
      <c r="AV5239" s="28"/>
      <c r="AW5239" s="28" t="n">
        <f aca="false">AV5239*$M5239</f>
        <v>0</v>
      </c>
      <c r="AX5239" s="28"/>
      <c r="AY5239" s="28" t="n">
        <f aca="false">AX5239*$M5239</f>
        <v>0</v>
      </c>
      <c r="AZ5239" s="30" t="n">
        <f aca="false">12769/100</f>
        <v>127.69</v>
      </c>
      <c r="BA5239" s="11" t="n">
        <v>7023</v>
      </c>
      <c r="BB5239" s="31" t="n">
        <f aca="false">SUM(Q5239,S5239,U5239,W5239,Y5239,AA5239,AC5239,AE5239,AG5239,AI5239,AK5239,AM5239,AO5239,AQ5239,AS5239,AU5239,AW5239,AY5239)</f>
        <v>7023</v>
      </c>
      <c r="BC5239" s="28" t="n">
        <f aca="false">BA5239-BB5239</f>
        <v>0</v>
      </c>
      <c r="BD5239" s="32" t="n">
        <f aca="false">SUM(P5239,R5239,T5239,V5239,X5239,Z5239,AB5239,AD5239,AF5239,AH5239,AJ5239,AL5239,AN5239,AP5239,AR5239,AT5239,AV5239,AX5239)</f>
        <v>127.69</v>
      </c>
      <c r="BE5239" s="33" t="n">
        <f aca="false">AZ5239-BD5239</f>
        <v>0</v>
      </c>
      <c r="BF5239" s="34" t="n">
        <f aca="false">BD5239*M5239</f>
        <v>7022.95</v>
      </c>
      <c r="BG5239" s="35" t="n">
        <f aca="false">BA5239-BF5239</f>
        <v>0.0500000000001819</v>
      </c>
      <c r="BH5239" s="19" t="str">
        <f aca="false">IF(BG5239=0,"",IF(BG5239&lt;&gt;BA5239,"erreur de calcul",IF(BD5239&lt;&gt;0,"pas de prix",IF(M5239&lt;&gt; 0,"pas de quantité","pas de prix, ni de quantité"))))</f>
        <v>erreur de calcul</v>
      </c>
      <c r="BI5239" s="19"/>
    </row>
    <row r="5240" customFormat="false" ht="15" hidden="false" customHeight="false" outlineLevel="0" collapsed="false">
      <c r="A5240" s="0" t="n">
        <v>36</v>
      </c>
      <c r="B5240" s="8" t="s">
        <v>24</v>
      </c>
      <c r="C5240" s="9" t="s">
        <v>25</v>
      </c>
      <c r="D5240" s="9" t="s">
        <v>26</v>
      </c>
      <c r="E5240" s="10" t="n">
        <v>1789</v>
      </c>
      <c r="F5240" s="9" t="s">
        <v>27</v>
      </c>
      <c r="G5240" s="9" t="s">
        <v>27</v>
      </c>
      <c r="H5240" s="11" t="n">
        <v>26</v>
      </c>
      <c r="I5240" s="11" t="s">
        <v>407</v>
      </c>
      <c r="J5240" s="14" t="n">
        <v>44</v>
      </c>
      <c r="K5240" s="14"/>
      <c r="L5240" s="16"/>
      <c r="M5240" s="27" t="n">
        <f aca="false">J5240+(K5240/20)+(L5240/240)</f>
        <v>44</v>
      </c>
      <c r="N5240" s="17" t="s">
        <v>64</v>
      </c>
      <c r="O5240" s="11" t="s">
        <v>77</v>
      </c>
      <c r="P5240" s="28" t="n">
        <f aca="false">68669/100</f>
        <v>686.69</v>
      </c>
      <c r="Q5240" s="28" t="n">
        <v>30214</v>
      </c>
      <c r="R5240" s="28"/>
      <c r="S5240" s="28" t="n">
        <f aca="false">R5240*$M5240</f>
        <v>0</v>
      </c>
      <c r="T5240" s="28" t="n">
        <f aca="false">7101/100</f>
        <v>71.01</v>
      </c>
      <c r="U5240" s="28" t="n">
        <v>3124</v>
      </c>
      <c r="V5240" s="28" t="n">
        <f aca="false">27549/100</f>
        <v>275.49</v>
      </c>
      <c r="W5240" s="28" t="n">
        <v>12121</v>
      </c>
      <c r="X5240" s="28" t="n">
        <f aca="false">947914/100</f>
        <v>9479.14</v>
      </c>
      <c r="Y5240" s="28" t="n">
        <v>417082</v>
      </c>
      <c r="Z5240" s="28" t="n">
        <f aca="false">183606/100</f>
        <v>1836.06</v>
      </c>
      <c r="AA5240" s="28" t="n">
        <v>80787</v>
      </c>
      <c r="AB5240" s="28" t="n">
        <f aca="false">36047/100</f>
        <v>360.47</v>
      </c>
      <c r="AC5240" s="28" t="n">
        <v>15861</v>
      </c>
      <c r="AD5240" s="28" t="n">
        <f aca="false">12322/100</f>
        <v>123.22</v>
      </c>
      <c r="AE5240" s="28" t="n">
        <v>5422</v>
      </c>
      <c r="AF5240" s="28"/>
      <c r="AG5240" s="28" t="n">
        <f aca="false">AF5240*$M5240</f>
        <v>0</v>
      </c>
      <c r="AH5240" s="28" t="n">
        <f aca="false">3318/100</f>
        <v>33.18</v>
      </c>
      <c r="AI5240" s="28" t="n">
        <v>1460</v>
      </c>
      <c r="AJ5240" s="28"/>
      <c r="AK5240" s="28" t="n">
        <f aca="false">AJ5240*$M5240</f>
        <v>0</v>
      </c>
      <c r="AL5240" s="28" t="n">
        <f aca="false">28260/100</f>
        <v>282.6</v>
      </c>
      <c r="AM5240" s="28" t="n">
        <v>12434</v>
      </c>
      <c r="AN5240" s="28"/>
      <c r="AO5240" s="28" t="n">
        <f aca="false">AN5240*$M5240</f>
        <v>0</v>
      </c>
      <c r="AP5240" s="28"/>
      <c r="AQ5240" s="28" t="n">
        <f aca="false">AP5240*$M5240</f>
        <v>0</v>
      </c>
      <c r="AR5240" s="28"/>
      <c r="AS5240" s="28" t="n">
        <f aca="false">AR5240*$M5240</f>
        <v>0</v>
      </c>
      <c r="AT5240" s="28"/>
      <c r="AU5240" s="28" t="n">
        <f aca="false">AT5240*$M5240</f>
        <v>0</v>
      </c>
      <c r="AV5240" s="28"/>
      <c r="AW5240" s="28" t="n">
        <f aca="false">AV5240*$M5240</f>
        <v>0</v>
      </c>
      <c r="AX5240" s="28"/>
      <c r="AY5240" s="28" t="n">
        <f aca="false">AX5240*$M5240</f>
        <v>0</v>
      </c>
      <c r="AZ5240" s="30" t="n">
        <f aca="false">1314786/100</f>
        <v>13147.86</v>
      </c>
      <c r="BA5240" s="11" t="n">
        <v>578505</v>
      </c>
      <c r="BB5240" s="31" t="n">
        <f aca="false">SUM(Q5240,S5240,U5240,W5240,Y5240,AA5240,AC5240,AE5240,AG5240,AI5240,AK5240,AM5240,AO5240,AQ5240,AS5240,AU5240,AW5240,AY5240)</f>
        <v>578505</v>
      </c>
      <c r="BC5240" s="28" t="n">
        <f aca="false">BA5240-BB5240</f>
        <v>0</v>
      </c>
      <c r="BD5240" s="32" t="n">
        <f aca="false">SUM(P5240,R5240,T5240,V5240,X5240,Z5240,AB5240,AD5240,AF5240,AH5240,AJ5240,AL5240,AN5240,AP5240,AR5240,AT5240,AV5240,AX5240)</f>
        <v>13147.86</v>
      </c>
      <c r="BE5240" s="33" t="n">
        <f aca="false">AZ5240-BD5240</f>
        <v>0</v>
      </c>
      <c r="BF5240" s="34" t="n">
        <f aca="false">BD5240*M5240</f>
        <v>578505.84</v>
      </c>
      <c r="BG5240" s="35" t="n">
        <f aca="false">BA5240-BF5240</f>
        <v>-0.839999999967404</v>
      </c>
      <c r="BH5240" s="19" t="str">
        <f aca="false">IF(BG5240=0,"",IF(BG5240&lt;&gt;BA5240,"erreur de calcul",IF(BD5240&lt;&gt;0,"pas de prix",IF(M5240&lt;&gt; 0,"pas de quantité","pas de prix, ni de quantité"))))</f>
        <v>erreur de calcul</v>
      </c>
      <c r="BI5240" s="19"/>
    </row>
    <row r="5241" customFormat="false" ht="15" hidden="false" customHeight="false" outlineLevel="0" collapsed="false">
      <c r="A5241" s="0" t="n">
        <v>37</v>
      </c>
      <c r="B5241" s="8" t="s">
        <v>24</v>
      </c>
      <c r="C5241" s="9" t="s">
        <v>25</v>
      </c>
      <c r="D5241" s="9" t="s">
        <v>26</v>
      </c>
      <c r="E5241" s="10" t="n">
        <v>1789</v>
      </c>
      <c r="F5241" s="9" t="s">
        <v>27</v>
      </c>
      <c r="G5241" s="9" t="s">
        <v>27</v>
      </c>
      <c r="H5241" s="11" t="n">
        <v>26</v>
      </c>
      <c r="I5241" s="11" t="s">
        <v>408</v>
      </c>
      <c r="J5241" s="14" t="n">
        <v>40</v>
      </c>
      <c r="K5241" s="14"/>
      <c r="L5241" s="16"/>
      <c r="M5241" s="27" t="n">
        <f aca="false">J5241+(K5241/20)+(L5241/240)</f>
        <v>40</v>
      </c>
      <c r="N5241" s="17" t="s">
        <v>64</v>
      </c>
      <c r="O5241" s="11"/>
      <c r="P5241" s="28"/>
      <c r="Q5241" s="28" t="n">
        <f aca="false">P5241*$M5241</f>
        <v>0</v>
      </c>
      <c r="R5241" s="28"/>
      <c r="S5241" s="28" t="n">
        <f aca="false">R5241*$M5241</f>
        <v>0</v>
      </c>
      <c r="T5241" s="28"/>
      <c r="U5241" s="28" t="n">
        <f aca="false">T5241*$M5241</f>
        <v>0</v>
      </c>
      <c r="V5241" s="28" t="n">
        <f aca="false">4827/100</f>
        <v>48.27</v>
      </c>
      <c r="W5241" s="28" t="n">
        <v>1931</v>
      </c>
      <c r="X5241" s="28"/>
      <c r="Y5241" s="28" t="n">
        <f aca="false">X5241*$M5241</f>
        <v>0</v>
      </c>
      <c r="Z5241" s="28"/>
      <c r="AA5241" s="28" t="n">
        <f aca="false">Z5241*$M5241</f>
        <v>0</v>
      </c>
      <c r="AB5241" s="28"/>
      <c r="AC5241" s="28" t="n">
        <f aca="false">AB5241*$M5241</f>
        <v>0</v>
      </c>
      <c r="AD5241" s="28"/>
      <c r="AE5241" s="28" t="n">
        <f aca="false">AD5241*$M5241</f>
        <v>0</v>
      </c>
      <c r="AF5241" s="28"/>
      <c r="AG5241" s="28" t="n">
        <f aca="false">AF5241*$M5241</f>
        <v>0</v>
      </c>
      <c r="AH5241" s="28"/>
      <c r="AI5241" s="28" t="n">
        <f aca="false">AH5241*$M5241</f>
        <v>0</v>
      </c>
      <c r="AJ5241" s="28"/>
      <c r="AK5241" s="28" t="n">
        <f aca="false">AJ5241*$M5241</f>
        <v>0</v>
      </c>
      <c r="AL5241" s="28"/>
      <c r="AM5241" s="28" t="n">
        <f aca="false">AL5241*$M5241</f>
        <v>0</v>
      </c>
      <c r="AN5241" s="28"/>
      <c r="AO5241" s="28" t="n">
        <f aca="false">AN5241*$M5241</f>
        <v>0</v>
      </c>
      <c r="AP5241" s="28"/>
      <c r="AQ5241" s="28" t="n">
        <f aca="false">AP5241*$M5241</f>
        <v>0</v>
      </c>
      <c r="AR5241" s="28"/>
      <c r="AS5241" s="28" t="n">
        <f aca="false">AR5241*$M5241</f>
        <v>0</v>
      </c>
      <c r="AT5241" s="28"/>
      <c r="AU5241" s="28" t="n">
        <f aca="false">AT5241*$M5241</f>
        <v>0</v>
      </c>
      <c r="AV5241" s="28"/>
      <c r="AW5241" s="28" t="n">
        <f aca="false">AV5241*$M5241</f>
        <v>0</v>
      </c>
      <c r="AX5241" s="28" t="n">
        <f aca="false">835109/100</f>
        <v>8351.09</v>
      </c>
      <c r="AY5241" s="28" t="n">
        <v>334044</v>
      </c>
      <c r="AZ5241" s="30" t="n">
        <f aca="false">839936/100</f>
        <v>8399.36</v>
      </c>
      <c r="BA5241" s="11" t="n">
        <v>335975</v>
      </c>
      <c r="BB5241" s="31" t="n">
        <f aca="false">SUM(Q5241,S5241,U5241,W5241,Y5241,AA5241,AC5241,AE5241,AG5241,AI5241,AK5241,AM5241,AO5241,AQ5241,AS5241,AU5241,AW5241,AY5241)</f>
        <v>335975</v>
      </c>
      <c r="BC5241" s="28" t="n">
        <f aca="false">BA5241-BB5241</f>
        <v>0</v>
      </c>
      <c r="BD5241" s="32" t="n">
        <f aca="false">SUM(P5241,R5241,T5241,V5241,X5241,Z5241,AB5241,AD5241,AF5241,AH5241,AJ5241,AL5241,AN5241,AP5241,AR5241,AT5241,AV5241,AX5241)</f>
        <v>8399.36</v>
      </c>
      <c r="BE5241" s="33" t="n">
        <f aca="false">AZ5241-BD5241</f>
        <v>0</v>
      </c>
      <c r="BF5241" s="34" t="n">
        <f aca="false">BD5241*M5241</f>
        <v>335974.4</v>
      </c>
      <c r="BG5241" s="35" t="n">
        <f aca="false">BA5241-BF5241</f>
        <v>0.599999999976717</v>
      </c>
      <c r="BH5241" s="19" t="str">
        <f aca="false">IF(BG5241=0,"",IF(BG5241&lt;&gt;BA5241,"erreur de calcul",IF(BD5241&lt;&gt;0,"pas de prix",IF(M5241&lt;&gt; 0,"pas de quantité","pas de prix, ni de quantité"))))</f>
        <v>erreur de calcul</v>
      </c>
      <c r="BI5241" s="19"/>
    </row>
    <row r="5242" customFormat="false" ht="16.65" hidden="false" customHeight="false" outlineLevel="0" collapsed="false">
      <c r="A5242" s="0" t="n">
        <v>38</v>
      </c>
      <c r="B5242" s="8" t="s">
        <v>24</v>
      </c>
      <c r="C5242" s="9" t="s">
        <v>25</v>
      </c>
      <c r="D5242" s="9" t="s">
        <v>26</v>
      </c>
      <c r="E5242" s="10" t="n">
        <v>1789</v>
      </c>
      <c r="F5242" s="9" t="s">
        <v>27</v>
      </c>
      <c r="G5242" s="9" t="s">
        <v>27</v>
      </c>
      <c r="H5242" s="11" t="n">
        <v>26</v>
      </c>
      <c r="I5242" s="11" t="s">
        <v>409</v>
      </c>
      <c r="J5242" s="14"/>
      <c r="K5242" s="14" t="n">
        <v>13</v>
      </c>
      <c r="L5242" s="16"/>
      <c r="M5242" s="27" t="n">
        <f aca="false">J5242+(K5242/20)+(L5242/240)</f>
        <v>0.65</v>
      </c>
      <c r="N5242" s="17" t="s">
        <v>64</v>
      </c>
      <c r="O5242" s="11"/>
      <c r="P5242" s="28"/>
      <c r="Q5242" s="28" t="n">
        <f aca="false">P5242*$M5242</f>
        <v>0</v>
      </c>
      <c r="R5242" s="28"/>
      <c r="S5242" s="28" t="n">
        <f aca="false">R5242*$M5242</f>
        <v>0</v>
      </c>
      <c r="T5242" s="28"/>
      <c r="U5242" s="28" t="n">
        <f aca="false">T5242*$M5242</f>
        <v>0</v>
      </c>
      <c r="V5242" s="28"/>
      <c r="W5242" s="28" t="n">
        <f aca="false">V5242*$M5242</f>
        <v>0</v>
      </c>
      <c r="X5242" s="28"/>
      <c r="Y5242" s="28" t="n">
        <f aca="false">X5242*$M5242</f>
        <v>0</v>
      </c>
      <c r="Z5242" s="28" t="n">
        <f aca="false">2471002/100</f>
        <v>24710.02</v>
      </c>
      <c r="AA5242" s="28" t="n">
        <v>16061</v>
      </c>
      <c r="AB5242" s="28"/>
      <c r="AC5242" s="28" t="n">
        <f aca="false">AB5242*$M5242</f>
        <v>0</v>
      </c>
      <c r="AD5242" s="28"/>
      <c r="AE5242" s="28" t="n">
        <f aca="false">AD5242*$M5242</f>
        <v>0</v>
      </c>
      <c r="AF5242" s="28"/>
      <c r="AG5242" s="28" t="n">
        <f aca="false">AF5242*$M5242</f>
        <v>0</v>
      </c>
      <c r="AH5242" s="28"/>
      <c r="AI5242" s="28" t="n">
        <f aca="false">AH5242*$M5242</f>
        <v>0</v>
      </c>
      <c r="AJ5242" s="28"/>
      <c r="AK5242" s="28" t="n">
        <f aca="false">AJ5242*$M5242</f>
        <v>0</v>
      </c>
      <c r="AL5242" s="28"/>
      <c r="AM5242" s="28" t="n">
        <f aca="false">AL5242*$M5242</f>
        <v>0</v>
      </c>
      <c r="AN5242" s="28"/>
      <c r="AO5242" s="28" t="n">
        <f aca="false">AN5242*$M5242</f>
        <v>0</v>
      </c>
      <c r="AP5242" s="28"/>
      <c r="AQ5242" s="28" t="n">
        <f aca="false">AP5242*$M5242</f>
        <v>0</v>
      </c>
      <c r="AR5242" s="28"/>
      <c r="AS5242" s="28" t="n">
        <f aca="false">AR5242*$M5242</f>
        <v>0</v>
      </c>
      <c r="AT5242" s="28"/>
      <c r="AU5242" s="28" t="n">
        <f aca="false">AT5242*$M5242</f>
        <v>0</v>
      </c>
      <c r="AV5242" s="28"/>
      <c r="AW5242" s="28" t="n">
        <f aca="false">AV5242*$M5242</f>
        <v>0</v>
      </c>
      <c r="AX5242" s="28"/>
      <c r="AY5242" s="28" t="n">
        <f aca="false">AX5242*$M5242</f>
        <v>0</v>
      </c>
      <c r="AZ5242" s="30" t="n">
        <f aca="false">2471002</f>
        <v>2471002</v>
      </c>
      <c r="BA5242" s="11" t="n">
        <v>16061</v>
      </c>
      <c r="BB5242" s="31" t="n">
        <f aca="false">SUM(Q5242,S5242,U5242,W5242,Y5242,AA5242,AC5242,AE5242,AG5242,AI5242,AK5242,AM5242,AO5242,AQ5242,AS5242,AU5242,AW5242,AY5242)</f>
        <v>16061</v>
      </c>
      <c r="BC5242" s="28" t="n">
        <f aca="false">BA5242-BB5242</f>
        <v>0</v>
      </c>
      <c r="BD5242" s="32" t="n">
        <f aca="false">SUM(P5242,R5242,T5242,V5242,X5242,Z5242,AB5242,AD5242,AF5242,AH5242,AJ5242,AL5242,AN5242,AP5242,AR5242,AT5242,AV5242,AX5242)</f>
        <v>24710.02</v>
      </c>
      <c r="BE5242" s="33" t="n">
        <f aca="false">AZ5242-BD5242</f>
        <v>2446291.98</v>
      </c>
      <c r="BF5242" s="34" t="n">
        <f aca="false">BD5242*M5242</f>
        <v>16061.513</v>
      </c>
      <c r="BG5242" s="35" t="n">
        <f aca="false">BA5242-BF5242</f>
        <v>-0.513000000000829</v>
      </c>
      <c r="BH5242" s="19" t="str">
        <f aca="false">IF(BG5242=0,"",IF(BG5242&lt;&gt;BA5242,"erreur de calcul",IF(BD5242&lt;&gt;0,"pas de prix",IF(M5242&lt;&gt; 0,"pas de quantité","pas de prix, ni de quantité"))))</f>
        <v>erreur de calcul</v>
      </c>
      <c r="BI5242" s="19"/>
    </row>
    <row r="5243" customFormat="false" ht="15" hidden="false" customHeight="false" outlineLevel="0" collapsed="false">
      <c r="A5243" s="0" t="n">
        <v>39</v>
      </c>
      <c r="B5243" s="8" t="s">
        <v>24</v>
      </c>
      <c r="C5243" s="9" t="s">
        <v>25</v>
      </c>
      <c r="D5243" s="9" t="s">
        <v>26</v>
      </c>
      <c r="E5243" s="10" t="n">
        <v>1789</v>
      </c>
      <c r="F5243" s="9" t="s">
        <v>27</v>
      </c>
      <c r="G5243" s="9" t="s">
        <v>27</v>
      </c>
      <c r="H5243" s="11" t="n">
        <v>26</v>
      </c>
      <c r="I5243" s="11" t="s">
        <v>410</v>
      </c>
      <c r="J5243" s="14" t="n">
        <v>10</v>
      </c>
      <c r="K5243" s="14"/>
      <c r="L5243" s="16"/>
      <c r="M5243" s="27" t="n">
        <f aca="false">J5243+(K5243/20)+(L5243/240)</f>
        <v>10</v>
      </c>
      <c r="N5243" s="17" t="s">
        <v>64</v>
      </c>
      <c r="O5243" s="11"/>
      <c r="P5243" s="28"/>
      <c r="Q5243" s="28" t="n">
        <f aca="false">P5243*$M5243</f>
        <v>0</v>
      </c>
      <c r="R5243" s="28"/>
      <c r="S5243" s="28" t="n">
        <f aca="false">R5243*$M5243</f>
        <v>0</v>
      </c>
      <c r="T5243" s="28"/>
      <c r="U5243" s="28" t="n">
        <f aca="false">T5243*$M5243</f>
        <v>0</v>
      </c>
      <c r="V5243" s="28"/>
      <c r="W5243" s="28" t="n">
        <f aca="false">V5243*$M5243</f>
        <v>0</v>
      </c>
      <c r="X5243" s="28" t="n">
        <f aca="false">2481/100</f>
        <v>24.81</v>
      </c>
      <c r="Y5243" s="28" t="n">
        <v>248</v>
      </c>
      <c r="Z5243" s="28"/>
      <c r="AA5243" s="28" t="n">
        <f aca="false">Z5243*$M5243</f>
        <v>0</v>
      </c>
      <c r="AB5243" s="28"/>
      <c r="AC5243" s="28" t="n">
        <f aca="false">AB5243*$M5243</f>
        <v>0</v>
      </c>
      <c r="AD5243" s="28"/>
      <c r="AE5243" s="28" t="n">
        <f aca="false">AD5243*$M5243</f>
        <v>0</v>
      </c>
      <c r="AF5243" s="28"/>
      <c r="AG5243" s="28" t="n">
        <f aca="false">AF5243*$M5243</f>
        <v>0</v>
      </c>
      <c r="AH5243" s="28"/>
      <c r="AI5243" s="28" t="n">
        <f aca="false">AH5243*$M5243</f>
        <v>0</v>
      </c>
      <c r="AJ5243" s="28"/>
      <c r="AK5243" s="28" t="n">
        <f aca="false">AJ5243*$M5243</f>
        <v>0</v>
      </c>
      <c r="AL5243" s="28"/>
      <c r="AM5243" s="28" t="n">
        <f aca="false">AL5243*$M5243</f>
        <v>0</v>
      </c>
      <c r="AN5243" s="28"/>
      <c r="AO5243" s="28" t="n">
        <f aca="false">AN5243*$M5243</f>
        <v>0</v>
      </c>
      <c r="AP5243" s="28"/>
      <c r="AQ5243" s="28" t="n">
        <f aca="false">AP5243*$M5243</f>
        <v>0</v>
      </c>
      <c r="AR5243" s="28"/>
      <c r="AS5243" s="28" t="n">
        <f aca="false">AR5243*$M5243</f>
        <v>0</v>
      </c>
      <c r="AT5243" s="28"/>
      <c r="AU5243" s="28" t="n">
        <f aca="false">AT5243*$M5243</f>
        <v>0</v>
      </c>
      <c r="AV5243" s="28"/>
      <c r="AW5243" s="28" t="n">
        <f aca="false">AV5243*$M5243</f>
        <v>0</v>
      </c>
      <c r="AX5243" s="28"/>
      <c r="AY5243" s="28" t="n">
        <f aca="false">AX5243*$M5243</f>
        <v>0</v>
      </c>
      <c r="AZ5243" s="30" t="n">
        <f aca="false">2481/100</f>
        <v>24.81</v>
      </c>
      <c r="BA5243" s="11" t="n">
        <v>248</v>
      </c>
      <c r="BB5243" s="31" t="n">
        <f aca="false">SUM(Q5243,S5243,U5243,W5243,Y5243,AA5243,AC5243,AE5243,AG5243,AI5243,AK5243,AM5243,AO5243,AQ5243,AS5243,AU5243,AW5243,AY5243)</f>
        <v>248</v>
      </c>
      <c r="BC5243" s="28" t="n">
        <f aca="false">BA5243-BB5243</f>
        <v>0</v>
      </c>
      <c r="BD5243" s="32" t="n">
        <f aca="false">SUM(P5243,R5243,T5243,V5243,X5243,Z5243,AB5243,AD5243,AF5243,AH5243,AJ5243,AL5243,AN5243,AP5243,AR5243,AT5243,AV5243,AX5243)</f>
        <v>24.81</v>
      </c>
      <c r="BE5243" s="33" t="n">
        <f aca="false">AZ5243-BD5243</f>
        <v>0</v>
      </c>
      <c r="BF5243" s="34" t="n">
        <f aca="false">BD5243*M5243</f>
        <v>248.1</v>
      </c>
      <c r="BG5243" s="35" t="n">
        <f aca="false">BA5243-BF5243</f>
        <v>-0.0999999999999943</v>
      </c>
      <c r="BH5243" s="19" t="str">
        <f aca="false">IF(BG5243=0,"",IF(BG5243&lt;&gt;BA5243,"erreur de calcul",IF(BD5243&lt;&gt;0,"pas de prix",IF(M5243&lt;&gt; 0,"pas de quantité","pas de prix, ni de quantité"))))</f>
        <v>erreur de calcul</v>
      </c>
      <c r="BI5243" s="19"/>
    </row>
    <row r="5244" customFormat="false" ht="15" hidden="false" customHeight="false" outlineLevel="0" collapsed="false">
      <c r="A5244" s="0" t="n">
        <v>40</v>
      </c>
      <c r="B5244" s="8" t="s">
        <v>24</v>
      </c>
      <c r="C5244" s="9" t="s">
        <v>25</v>
      </c>
      <c r="D5244" s="9" t="s">
        <v>26</v>
      </c>
      <c r="E5244" s="10" t="n">
        <v>1789</v>
      </c>
      <c r="F5244" s="9" t="s">
        <v>27</v>
      </c>
      <c r="G5244" s="9" t="s">
        <v>27</v>
      </c>
      <c r="H5244" s="11" t="n">
        <v>26</v>
      </c>
      <c r="I5244" s="11" t="s">
        <v>411</v>
      </c>
      <c r="J5244" s="14" t="n">
        <v>5</v>
      </c>
      <c r="K5244" s="14"/>
      <c r="L5244" s="16"/>
      <c r="M5244" s="27" t="n">
        <f aca="false">J5244+(K5244/20)+(L5244/240)</f>
        <v>5</v>
      </c>
      <c r="N5244" s="17" t="s">
        <v>66</v>
      </c>
      <c r="O5244" s="11" t="s">
        <v>98</v>
      </c>
      <c r="P5244" s="28"/>
      <c r="Q5244" s="28" t="n">
        <f aca="false">P5244*$M5244</f>
        <v>0</v>
      </c>
      <c r="R5244" s="28"/>
      <c r="S5244" s="28" t="n">
        <f aca="false">R5244*$M5244</f>
        <v>0</v>
      </c>
      <c r="T5244" s="28"/>
      <c r="U5244" s="28" t="n">
        <f aca="false">T5244*$M5244</f>
        <v>0</v>
      </c>
      <c r="V5244" s="28"/>
      <c r="W5244" s="28" t="n">
        <f aca="false">V5244*$M5244</f>
        <v>0</v>
      </c>
      <c r="X5244" s="28"/>
      <c r="Y5244" s="28" t="n">
        <f aca="false">X5244*$M5244</f>
        <v>0</v>
      </c>
      <c r="Z5244" s="28"/>
      <c r="AA5244" s="28" t="n">
        <f aca="false">Z5244*$M5244</f>
        <v>0</v>
      </c>
      <c r="AB5244" s="28"/>
      <c r="AC5244" s="28" t="n">
        <f aca="false">AB5244*$M5244</f>
        <v>0</v>
      </c>
      <c r="AD5244" s="28"/>
      <c r="AE5244" s="28" t="n">
        <f aca="false">AD5244*$M5244</f>
        <v>0</v>
      </c>
      <c r="AF5244" s="28" t="n">
        <v>22</v>
      </c>
      <c r="AG5244" s="28" t="n">
        <v>110</v>
      </c>
      <c r="AH5244" s="28" t="n">
        <v>2657</v>
      </c>
      <c r="AI5244" s="28" t="n">
        <v>13285</v>
      </c>
      <c r="AJ5244" s="28"/>
      <c r="AK5244" s="28" t="n">
        <f aca="false">AJ5244*$M5244</f>
        <v>0</v>
      </c>
      <c r="AL5244" s="28"/>
      <c r="AM5244" s="28" t="n">
        <f aca="false">AL5244*$M5244</f>
        <v>0</v>
      </c>
      <c r="AN5244" s="28"/>
      <c r="AO5244" s="28" t="n">
        <f aca="false">AN5244*$M5244</f>
        <v>0</v>
      </c>
      <c r="AP5244" s="28"/>
      <c r="AQ5244" s="28" t="n">
        <f aca="false">AP5244*$M5244</f>
        <v>0</v>
      </c>
      <c r="AR5244" s="28"/>
      <c r="AS5244" s="28" t="n">
        <f aca="false">AR5244*$M5244</f>
        <v>0</v>
      </c>
      <c r="AT5244" s="28"/>
      <c r="AU5244" s="28" t="n">
        <f aca="false">AT5244*$M5244</f>
        <v>0</v>
      </c>
      <c r="AV5244" s="28"/>
      <c r="AW5244" s="28" t="n">
        <f aca="false">AV5244*$M5244</f>
        <v>0</v>
      </c>
      <c r="AX5244" s="28"/>
      <c r="AY5244" s="28" t="n">
        <f aca="false">AX5244*$M5244</f>
        <v>0</v>
      </c>
      <c r="AZ5244" s="30" t="n">
        <v>2679</v>
      </c>
      <c r="BA5244" s="11" t="n">
        <v>13395</v>
      </c>
      <c r="BB5244" s="31" t="n">
        <f aca="false">SUM(Q5244,S5244,U5244,W5244,Y5244,AA5244,AC5244,AE5244,AG5244,AI5244,AK5244,AM5244,AO5244,AQ5244,AS5244,AU5244,AW5244,AY5244)</f>
        <v>13395</v>
      </c>
      <c r="BC5244" s="28" t="n">
        <f aca="false">BA5244-BB5244</f>
        <v>0</v>
      </c>
      <c r="BD5244" s="32" t="n">
        <f aca="false">SUM(P5244,R5244,T5244,V5244,X5244,Z5244,AB5244,AD5244,AF5244,AH5244,AJ5244,AL5244,AN5244,AP5244,AR5244,AT5244,AV5244,AX5244)</f>
        <v>2679</v>
      </c>
      <c r="BE5244" s="33" t="n">
        <f aca="false">AZ5244-BD5244</f>
        <v>0</v>
      </c>
      <c r="BF5244" s="34" t="n">
        <f aca="false">BD5244*M5244</f>
        <v>13395</v>
      </c>
      <c r="BG5244" s="35" t="n">
        <f aca="false">BA5244-BF5244</f>
        <v>0</v>
      </c>
      <c r="BH5244" s="19" t="str">
        <f aca="false">IF(BG5244=0,"",IF(BG5244&lt;&gt;BA5244,"erreur de calcul",IF(BD5244&lt;&gt;0,"pas de prix",IF(M5244&lt;&gt; 0,"pas de quantité","pas de prix, ni de quantité"))))</f>
        <v/>
      </c>
      <c r="BI5244" s="19"/>
    </row>
    <row r="5245" customFormat="false" ht="15" hidden="false" customHeight="false" outlineLevel="0" collapsed="false">
      <c r="A5245" s="0" t="n">
        <v>1</v>
      </c>
      <c r="B5245" s="8" t="s">
        <v>24</v>
      </c>
      <c r="C5245" s="9" t="s">
        <v>25</v>
      </c>
      <c r="D5245" s="9" t="s">
        <v>26</v>
      </c>
      <c r="E5245" s="10" t="n">
        <v>1789</v>
      </c>
      <c r="F5245" s="9" t="s">
        <v>27</v>
      </c>
      <c r="G5245" s="9" t="s">
        <v>27</v>
      </c>
      <c r="H5245" s="11" t="n">
        <v>27</v>
      </c>
      <c r="I5245" s="11" t="s">
        <v>412</v>
      </c>
      <c r="J5245" s="14" t="n">
        <v>7</v>
      </c>
      <c r="K5245" s="14" t="n">
        <v>10</v>
      </c>
      <c r="L5245" s="16"/>
      <c r="M5245" s="27" t="n">
        <f aca="false">J5245+(K5245/20)+(L5245/240)</f>
        <v>7.5</v>
      </c>
      <c r="N5245" s="17" t="s">
        <v>64</v>
      </c>
      <c r="O5245" s="11"/>
      <c r="P5245" s="28" t="n">
        <f aca="false">16667/100</f>
        <v>166.67</v>
      </c>
      <c r="Q5245" s="28" t="n">
        <v>1250</v>
      </c>
      <c r="R5245" s="28"/>
      <c r="S5245" s="28" t="n">
        <f aca="false">R5245*$M5245</f>
        <v>0</v>
      </c>
      <c r="T5245" s="28"/>
      <c r="U5245" s="28" t="n">
        <f aca="false">T5245*$M5245</f>
        <v>0</v>
      </c>
      <c r="V5245" s="28" t="n">
        <f aca="false">407887/100</f>
        <v>4078.87</v>
      </c>
      <c r="W5245" s="28" t="n">
        <v>30591</v>
      </c>
      <c r="X5245" s="28" t="n">
        <f aca="false">4444/100</f>
        <v>44.44</v>
      </c>
      <c r="Y5245" s="28" t="n">
        <v>333</v>
      </c>
      <c r="Z5245" s="28" t="n">
        <f aca="false">16084/100</f>
        <v>160.84</v>
      </c>
      <c r="AA5245" s="28" t="n">
        <v>1206</v>
      </c>
      <c r="AB5245" s="28" t="n">
        <f aca="false">20834/100</f>
        <v>208.34</v>
      </c>
      <c r="AC5245" s="28" t="n">
        <v>1562</v>
      </c>
      <c r="AD5245" s="28"/>
      <c r="AE5245" s="28" t="n">
        <f aca="false">AD5245*$M5245</f>
        <v>0</v>
      </c>
      <c r="AF5245" s="28"/>
      <c r="AG5245" s="28" t="n">
        <f aca="false">AF5245*$M5245</f>
        <v>0</v>
      </c>
      <c r="AH5245" s="28"/>
      <c r="AI5245" s="28" t="n">
        <f aca="false">AH5245*$M5245</f>
        <v>0</v>
      </c>
      <c r="AJ5245" s="28"/>
      <c r="AK5245" s="28" t="n">
        <f aca="false">AJ5245*$M5245</f>
        <v>0</v>
      </c>
      <c r="AL5245" s="28"/>
      <c r="AM5245" s="28" t="n">
        <f aca="false">AL5245*$M5245</f>
        <v>0</v>
      </c>
      <c r="AN5245" s="28"/>
      <c r="AO5245" s="28" t="n">
        <f aca="false">AN5245*$M5245</f>
        <v>0</v>
      </c>
      <c r="AP5245" s="28"/>
      <c r="AQ5245" s="28" t="n">
        <f aca="false">AP5245*$M5245</f>
        <v>0</v>
      </c>
      <c r="AR5245" s="28"/>
      <c r="AS5245" s="28" t="n">
        <f aca="false">AR5245*$M5245</f>
        <v>0</v>
      </c>
      <c r="AT5245" s="28"/>
      <c r="AU5245" s="28" t="n">
        <f aca="false">AT5245*$M5245</f>
        <v>0</v>
      </c>
      <c r="AV5245" s="28"/>
      <c r="AW5245" s="28" t="n">
        <f aca="false">AV5245*$M5245</f>
        <v>0</v>
      </c>
      <c r="AX5245" s="28"/>
      <c r="AY5245" s="28" t="n">
        <f aca="false">AX5245*$M5245</f>
        <v>0</v>
      </c>
      <c r="AZ5245" s="30" t="n">
        <f aca="false">465916/100</f>
        <v>4659.16</v>
      </c>
      <c r="BA5245" s="11" t="n">
        <v>34942</v>
      </c>
      <c r="BB5245" s="31" t="n">
        <f aca="false">SUM(Q5245,S5245,U5245,W5245,Y5245,AA5245,AC5245,AE5245,AG5245,AI5245,AK5245,AM5245,AO5245,AQ5245,AS5245,AU5245,AW5245,AY5245)</f>
        <v>34942</v>
      </c>
      <c r="BC5245" s="28" t="n">
        <f aca="false">BA5245-BB5245</f>
        <v>0</v>
      </c>
      <c r="BD5245" s="32" t="n">
        <f aca="false">SUM(P5245,R5245,T5245,V5245,X5245,Z5245,AB5245,AD5245,AF5245,AH5245,AJ5245,AL5245,AN5245,AP5245,AR5245,AT5245,AV5245,AX5245)</f>
        <v>4659.16</v>
      </c>
      <c r="BE5245" s="33" t="n">
        <f aca="false">AZ5245-BD5245</f>
        <v>0</v>
      </c>
      <c r="BF5245" s="34" t="n">
        <f aca="false">BD5245*M5245</f>
        <v>34943.7</v>
      </c>
      <c r="BG5245" s="35" t="n">
        <f aca="false">BA5245-BF5245</f>
        <v>-1.69999999999709</v>
      </c>
      <c r="BH5245" s="19" t="str">
        <f aca="false">IF(BG5245=0,"",IF(BG5245&lt;&gt;BA5245,"erreur de calcul",IF(BD5245&lt;&gt;0,"pas de prix",IF(M5245&lt;&gt; 0,"pas de quantité","pas de prix, ni de quantité"))))</f>
        <v>erreur de calcul</v>
      </c>
      <c r="BI5245" s="19"/>
    </row>
    <row r="5246" customFormat="false" ht="15" hidden="false" customHeight="false" outlineLevel="0" collapsed="false">
      <c r="A5246" s="0" t="n">
        <v>2</v>
      </c>
      <c r="B5246" s="8" t="s">
        <v>24</v>
      </c>
      <c r="C5246" s="9" t="s">
        <v>25</v>
      </c>
      <c r="D5246" s="9" t="s">
        <v>26</v>
      </c>
      <c r="E5246" s="10" t="n">
        <v>1789</v>
      </c>
      <c r="F5246" s="9" t="s">
        <v>27</v>
      </c>
      <c r="G5246" s="9" t="s">
        <v>27</v>
      </c>
      <c r="H5246" s="11" t="n">
        <v>27</v>
      </c>
      <c r="I5246" s="11" t="s">
        <v>413</v>
      </c>
      <c r="J5246" s="14" t="n">
        <v>3</v>
      </c>
      <c r="K5246" s="14"/>
      <c r="L5246" s="16"/>
      <c r="M5246" s="27" t="n">
        <f aca="false">J5246+(K5246/20)+(L5246/240)</f>
        <v>3</v>
      </c>
      <c r="N5246" s="17" t="s">
        <v>66</v>
      </c>
      <c r="O5246" s="11"/>
      <c r="P5246" s="28"/>
      <c r="Q5246" s="28" t="n">
        <f aca="false">P5246*$M5246</f>
        <v>0</v>
      </c>
      <c r="R5246" s="28"/>
      <c r="S5246" s="28" t="n">
        <f aca="false">R5246*$M5246</f>
        <v>0</v>
      </c>
      <c r="T5246" s="28"/>
      <c r="U5246" s="28" t="n">
        <f aca="false">T5246*$M5246</f>
        <v>0</v>
      </c>
      <c r="V5246" s="28"/>
      <c r="W5246" s="28" t="n">
        <f aca="false">V5246*$M5246</f>
        <v>0</v>
      </c>
      <c r="X5246" s="28"/>
      <c r="Y5246" s="28" t="n">
        <f aca="false">X5246*$M5246</f>
        <v>0</v>
      </c>
      <c r="Z5246" s="28"/>
      <c r="AA5246" s="28" t="n">
        <f aca="false">Z5246*$M5246</f>
        <v>0</v>
      </c>
      <c r="AB5246" s="28"/>
      <c r="AC5246" s="28" t="n">
        <f aca="false">AB5246*$M5246</f>
        <v>0</v>
      </c>
      <c r="AD5246" s="28"/>
      <c r="AE5246" s="28" t="n">
        <f aca="false">AD5246*$M5246</f>
        <v>0</v>
      </c>
      <c r="AF5246" s="28"/>
      <c r="AG5246" s="28" t="n">
        <f aca="false">AF5246*$M5246</f>
        <v>0</v>
      </c>
      <c r="AH5246" s="28" t="n">
        <v>58272</v>
      </c>
      <c r="AI5246" s="28" t="n">
        <v>174816</v>
      </c>
      <c r="AJ5246" s="28"/>
      <c r="AK5246" s="28" t="n">
        <f aca="false">AJ5246*$M5246</f>
        <v>0</v>
      </c>
      <c r="AL5246" s="28"/>
      <c r="AM5246" s="28" t="n">
        <f aca="false">AL5246*$M5246</f>
        <v>0</v>
      </c>
      <c r="AN5246" s="28"/>
      <c r="AO5246" s="28" t="n">
        <f aca="false">AN5246*$M5246</f>
        <v>0</v>
      </c>
      <c r="AP5246" s="28"/>
      <c r="AQ5246" s="28" t="n">
        <f aca="false">AP5246*$M5246</f>
        <v>0</v>
      </c>
      <c r="AR5246" s="28"/>
      <c r="AS5246" s="28" t="n">
        <f aca="false">AR5246*$M5246</f>
        <v>0</v>
      </c>
      <c r="AT5246" s="28"/>
      <c r="AU5246" s="28" t="n">
        <f aca="false">AT5246*$M5246</f>
        <v>0</v>
      </c>
      <c r="AV5246" s="28"/>
      <c r="AW5246" s="28" t="n">
        <f aca="false">AV5246*$M5246</f>
        <v>0</v>
      </c>
      <c r="AX5246" s="28"/>
      <c r="AY5246" s="28" t="n">
        <f aca="false">AX5246*$M5246</f>
        <v>0</v>
      </c>
      <c r="AZ5246" s="30" t="n">
        <f aca="false">58272</f>
        <v>58272</v>
      </c>
      <c r="BA5246" s="11" t="n">
        <v>174816</v>
      </c>
      <c r="BB5246" s="31" t="n">
        <f aca="false">SUM(Q5246,S5246,U5246,W5246,Y5246,AA5246,AC5246,AE5246,AG5246,AI5246,AK5246,AM5246,AO5246,AQ5246,AS5246,AU5246,AW5246,AY5246)</f>
        <v>174816</v>
      </c>
      <c r="BC5246" s="28" t="n">
        <f aca="false">BA5246-BB5246</f>
        <v>0</v>
      </c>
      <c r="BD5246" s="32" t="n">
        <f aca="false">SUM(P5246,R5246,T5246,V5246,X5246,Z5246,AB5246,AD5246,AF5246,AH5246,AJ5246,AL5246,AN5246,AP5246,AR5246,AT5246,AV5246,AX5246)</f>
        <v>58272</v>
      </c>
      <c r="BE5246" s="33" t="n">
        <f aca="false">AZ5246-BD5246</f>
        <v>0</v>
      </c>
      <c r="BF5246" s="34" t="n">
        <f aca="false">BD5246*M5246</f>
        <v>174816</v>
      </c>
      <c r="BG5246" s="35" t="n">
        <f aca="false">BA5246-BF5246</f>
        <v>0</v>
      </c>
      <c r="BH5246" s="19" t="str">
        <f aca="false">IF(BG5246=0,"",IF(BG5246&lt;&gt;BA5246,"erreur de calcul",IF(BD5246&lt;&gt;0,"pas de prix",IF(M5246&lt;&gt; 0,"pas de quantité","pas de prix, ni de quantité"))))</f>
        <v/>
      </c>
      <c r="BI5246" s="19"/>
    </row>
    <row r="5247" customFormat="false" ht="15" hidden="false" customHeight="false" outlineLevel="0" collapsed="false">
      <c r="A5247" s="0" t="n">
        <v>3</v>
      </c>
      <c r="B5247" s="8" t="s">
        <v>24</v>
      </c>
      <c r="C5247" s="9" t="s">
        <v>25</v>
      </c>
      <c r="D5247" s="9" t="s">
        <v>26</v>
      </c>
      <c r="E5247" s="10" t="n">
        <v>1789</v>
      </c>
      <c r="F5247" s="9" t="s">
        <v>27</v>
      </c>
      <c r="G5247" s="9" t="s">
        <v>27</v>
      </c>
      <c r="H5247" s="11" t="n">
        <v>27</v>
      </c>
      <c r="I5247" s="11" t="s">
        <v>414</v>
      </c>
      <c r="J5247" s="14" t="n">
        <v>3</v>
      </c>
      <c r="K5247" s="14"/>
      <c r="L5247" s="16"/>
      <c r="M5247" s="27" t="n">
        <f aca="false">J5247+(K5247/20)+(L5247/240)</f>
        <v>3</v>
      </c>
      <c r="N5247" s="17" t="s">
        <v>66</v>
      </c>
      <c r="O5247" s="11" t="s">
        <v>98</v>
      </c>
      <c r="P5247" s="28"/>
      <c r="Q5247" s="28" t="n">
        <f aca="false">P5247*$M5247</f>
        <v>0</v>
      </c>
      <c r="R5247" s="28"/>
      <c r="S5247" s="28" t="n">
        <f aca="false">R5247*$M5247</f>
        <v>0</v>
      </c>
      <c r="T5247" s="28"/>
      <c r="U5247" s="28" t="n">
        <f aca="false">T5247*$M5247</f>
        <v>0</v>
      </c>
      <c r="V5247" s="28"/>
      <c r="W5247" s="28" t="n">
        <f aca="false">V5247*$M5247</f>
        <v>0</v>
      </c>
      <c r="X5247" s="28"/>
      <c r="Y5247" s="28" t="n">
        <f aca="false">X5247*$M5247</f>
        <v>0</v>
      </c>
      <c r="Z5247" s="28"/>
      <c r="AA5247" s="28" t="n">
        <f aca="false">Z5247*$M5247</f>
        <v>0</v>
      </c>
      <c r="AB5247" s="28"/>
      <c r="AC5247" s="28" t="n">
        <f aca="false">AB5247*$M5247</f>
        <v>0</v>
      </c>
      <c r="AD5247" s="28"/>
      <c r="AE5247" s="28" t="n">
        <f aca="false">AD5247*$M5247</f>
        <v>0</v>
      </c>
      <c r="AF5247" s="28"/>
      <c r="AG5247" s="28" t="n">
        <f aca="false">AF5247*$M5247</f>
        <v>0</v>
      </c>
      <c r="AH5247" s="28" t="n">
        <v>110560</v>
      </c>
      <c r="AI5247" s="28" t="n">
        <v>331680</v>
      </c>
      <c r="AJ5247" s="28"/>
      <c r="AK5247" s="28" t="n">
        <f aca="false">AJ5247*$M5247</f>
        <v>0</v>
      </c>
      <c r="AL5247" s="28"/>
      <c r="AM5247" s="28" t="n">
        <f aca="false">AL5247*$M5247</f>
        <v>0</v>
      </c>
      <c r="AN5247" s="28"/>
      <c r="AO5247" s="28" t="n">
        <f aca="false">AN5247*$M5247</f>
        <v>0</v>
      </c>
      <c r="AP5247" s="28"/>
      <c r="AQ5247" s="28" t="n">
        <f aca="false">AP5247*$M5247</f>
        <v>0</v>
      </c>
      <c r="AR5247" s="28"/>
      <c r="AS5247" s="28" t="n">
        <f aca="false">AR5247*$M5247</f>
        <v>0</v>
      </c>
      <c r="AT5247" s="28"/>
      <c r="AU5247" s="28" t="n">
        <f aca="false">AT5247*$M5247</f>
        <v>0</v>
      </c>
      <c r="AV5247" s="28"/>
      <c r="AW5247" s="28" t="n">
        <f aca="false">AV5247*$M5247</f>
        <v>0</v>
      </c>
      <c r="AX5247" s="28"/>
      <c r="AY5247" s="28" t="n">
        <f aca="false">AX5247*$M5247</f>
        <v>0</v>
      </c>
      <c r="AZ5247" s="30" t="n">
        <v>110560</v>
      </c>
      <c r="BA5247" s="11" t="n">
        <v>331680</v>
      </c>
      <c r="BB5247" s="31" t="n">
        <f aca="false">SUM(Q5247,S5247,U5247,W5247,Y5247,AA5247,AC5247,AE5247,AG5247,AI5247,AK5247,AM5247,AO5247,AQ5247,AS5247,AU5247,AW5247,AY5247)</f>
        <v>331680</v>
      </c>
      <c r="BC5247" s="28" t="n">
        <f aca="false">BA5247-BB5247</f>
        <v>0</v>
      </c>
      <c r="BD5247" s="32" t="n">
        <f aca="false">SUM(P5247,R5247,T5247,V5247,X5247,Z5247,AB5247,AD5247,AF5247,AH5247,AJ5247,AL5247,AN5247,AP5247,AR5247,AT5247,AV5247,AX5247)</f>
        <v>110560</v>
      </c>
      <c r="BE5247" s="33" t="n">
        <f aca="false">AZ5247-BD5247</f>
        <v>0</v>
      </c>
      <c r="BF5247" s="34" t="n">
        <f aca="false">BD5247*M5247</f>
        <v>331680</v>
      </c>
      <c r="BG5247" s="35" t="n">
        <f aca="false">BA5247-BF5247</f>
        <v>0</v>
      </c>
      <c r="BH5247" s="19" t="str">
        <f aca="false">IF(BG5247=0,"",IF(BG5247&lt;&gt;BA5247,"erreur de calcul",IF(BD5247&lt;&gt;0,"pas de prix",IF(M5247&lt;&gt; 0,"pas de quantité","pas de prix, ni de quantité"))))</f>
        <v/>
      </c>
      <c r="BI5247" s="19"/>
    </row>
    <row r="5248" customFormat="false" ht="15" hidden="false" customHeight="false" outlineLevel="0" collapsed="false">
      <c r="A5248" s="0" t="n">
        <v>4</v>
      </c>
      <c r="B5248" s="8" t="s">
        <v>24</v>
      </c>
      <c r="C5248" s="9" t="s">
        <v>25</v>
      </c>
      <c r="D5248" s="9" t="s">
        <v>26</v>
      </c>
      <c r="E5248" s="10" t="n">
        <v>1789</v>
      </c>
      <c r="F5248" s="9" t="s">
        <v>27</v>
      </c>
      <c r="G5248" s="9" t="s">
        <v>27</v>
      </c>
      <c r="H5248" s="11" t="n">
        <v>27</v>
      </c>
      <c r="I5248" s="11" t="s">
        <v>415</v>
      </c>
      <c r="J5248" s="14" t="n">
        <v>3</v>
      </c>
      <c r="K5248" s="14" t="n">
        <v>10</v>
      </c>
      <c r="L5248" s="16"/>
      <c r="M5248" s="27" t="n">
        <f aca="false">J5248+(K5248/20)+(L5248/240)</f>
        <v>3.5</v>
      </c>
      <c r="N5248" s="17" t="s">
        <v>66</v>
      </c>
      <c r="O5248" s="11" t="s">
        <v>98</v>
      </c>
      <c r="P5248" s="28"/>
      <c r="Q5248" s="28" t="n">
        <f aca="false">P5248*$M5248</f>
        <v>0</v>
      </c>
      <c r="R5248" s="28"/>
      <c r="S5248" s="28" t="n">
        <f aca="false">R5248*$M5248</f>
        <v>0</v>
      </c>
      <c r="T5248" s="28"/>
      <c r="U5248" s="28" t="n">
        <f aca="false">T5248*$M5248</f>
        <v>0</v>
      </c>
      <c r="V5248" s="28"/>
      <c r="W5248" s="28" t="n">
        <f aca="false">V5248*$M5248</f>
        <v>0</v>
      </c>
      <c r="X5248" s="28" t="n">
        <v>218</v>
      </c>
      <c r="Y5248" s="28" t="n">
        <v>763</v>
      </c>
      <c r="Z5248" s="28"/>
      <c r="AA5248" s="28" t="n">
        <f aca="false">Z5248*$M5248</f>
        <v>0</v>
      </c>
      <c r="AB5248" s="28"/>
      <c r="AC5248" s="28" t="n">
        <f aca="false">AB5248*$M5248</f>
        <v>0</v>
      </c>
      <c r="AD5248" s="28"/>
      <c r="AE5248" s="28" t="n">
        <f aca="false">AD5248*$M5248</f>
        <v>0</v>
      </c>
      <c r="AF5248" s="28"/>
      <c r="AG5248" s="28" t="n">
        <f aca="false">AF5248*$M5248</f>
        <v>0</v>
      </c>
      <c r="AH5248" s="28" t="n">
        <v>25905</v>
      </c>
      <c r="AI5248" s="28" t="n">
        <v>90667</v>
      </c>
      <c r="AJ5248" s="28"/>
      <c r="AK5248" s="28" t="n">
        <f aca="false">AJ5248*$M5248</f>
        <v>0</v>
      </c>
      <c r="AL5248" s="28"/>
      <c r="AM5248" s="28" t="n">
        <f aca="false">AL5248*$M5248</f>
        <v>0</v>
      </c>
      <c r="AN5248" s="28"/>
      <c r="AO5248" s="28" t="n">
        <f aca="false">AN5248*$M5248</f>
        <v>0</v>
      </c>
      <c r="AP5248" s="28"/>
      <c r="AQ5248" s="28" t="n">
        <f aca="false">AP5248*$M5248</f>
        <v>0</v>
      </c>
      <c r="AR5248" s="28"/>
      <c r="AS5248" s="28" t="n">
        <f aca="false">AR5248*$M5248</f>
        <v>0</v>
      </c>
      <c r="AT5248" s="28"/>
      <c r="AU5248" s="28" t="n">
        <f aca="false">AT5248*$M5248</f>
        <v>0</v>
      </c>
      <c r="AV5248" s="28"/>
      <c r="AW5248" s="28" t="n">
        <f aca="false">AV5248*$M5248</f>
        <v>0</v>
      </c>
      <c r="AX5248" s="28"/>
      <c r="AY5248" s="28" t="n">
        <f aca="false">AX5248*$M5248</f>
        <v>0</v>
      </c>
      <c r="AZ5248" s="30" t="n">
        <v>26123</v>
      </c>
      <c r="BA5248" s="11" t="n">
        <v>91430</v>
      </c>
      <c r="BB5248" s="31" t="n">
        <f aca="false">SUM(Q5248,S5248,U5248,W5248,Y5248,AA5248,AC5248,AE5248,AG5248,AI5248,AK5248,AM5248,AO5248,AQ5248,AS5248,AU5248,AW5248,AY5248)</f>
        <v>91430</v>
      </c>
      <c r="BC5248" s="28" t="n">
        <f aca="false">BA5248-BB5248</f>
        <v>0</v>
      </c>
      <c r="BD5248" s="32" t="n">
        <f aca="false">SUM(P5248,R5248,T5248,V5248,X5248,Z5248,AB5248,AD5248,AF5248,AH5248,AJ5248,AL5248,AN5248,AP5248,AR5248,AT5248,AV5248,AX5248)</f>
        <v>26123</v>
      </c>
      <c r="BE5248" s="33" t="n">
        <f aca="false">AZ5248-BD5248</f>
        <v>0</v>
      </c>
      <c r="BF5248" s="34" t="n">
        <f aca="false">BD5248*M5248</f>
        <v>91430.5</v>
      </c>
      <c r="BG5248" s="35" t="n">
        <f aca="false">BA5248-BF5248</f>
        <v>-0.5</v>
      </c>
      <c r="BH5248" s="19" t="str">
        <f aca="false">IF(BG5248=0,"",IF(BG5248&lt;&gt;BA5248,"erreur de calcul",IF(BD5248&lt;&gt;0,"pas de prix",IF(M5248&lt;&gt; 0,"pas de quantité","pas de prix, ni de quantité"))))</f>
        <v>erreur de calcul</v>
      </c>
      <c r="BI5248" s="19"/>
    </row>
    <row r="5249" customFormat="false" ht="15" hidden="false" customHeight="false" outlineLevel="0" collapsed="false">
      <c r="A5249" s="0" t="n">
        <v>5</v>
      </c>
      <c r="B5249" s="8" t="s">
        <v>24</v>
      </c>
      <c r="C5249" s="9" t="s">
        <v>25</v>
      </c>
      <c r="D5249" s="9" t="s">
        <v>26</v>
      </c>
      <c r="E5249" s="10" t="n">
        <v>1789</v>
      </c>
      <c r="F5249" s="9" t="s">
        <v>27</v>
      </c>
      <c r="G5249" s="9" t="s">
        <v>27</v>
      </c>
      <c r="H5249" s="11" t="n">
        <v>27</v>
      </c>
      <c r="I5249" s="11" t="s">
        <v>416</v>
      </c>
      <c r="J5249" s="14"/>
      <c r="K5249" s="14" t="n">
        <v>30</v>
      </c>
      <c r="L5249" s="16"/>
      <c r="M5249" s="27" t="n">
        <f aca="false">J5249+(K5249/20)+(L5249/240)</f>
        <v>1.5</v>
      </c>
      <c r="N5249" s="17" t="s">
        <v>66</v>
      </c>
      <c r="O5249" s="11"/>
      <c r="P5249" s="28"/>
      <c r="Q5249" s="28" t="n">
        <f aca="false">P5249*$M5249</f>
        <v>0</v>
      </c>
      <c r="R5249" s="28"/>
      <c r="S5249" s="28" t="n">
        <f aca="false">R5249*$M5249</f>
        <v>0</v>
      </c>
      <c r="T5249" s="28"/>
      <c r="U5249" s="28" t="n">
        <f aca="false">T5249*$M5249</f>
        <v>0</v>
      </c>
      <c r="V5249" s="28"/>
      <c r="W5249" s="28" t="n">
        <f aca="false">V5249*$M5249</f>
        <v>0</v>
      </c>
      <c r="X5249" s="28"/>
      <c r="Y5249" s="28" t="n">
        <f aca="false">X5249*$M5249</f>
        <v>0</v>
      </c>
      <c r="Z5249" s="28"/>
      <c r="AA5249" s="28" t="n">
        <f aca="false">Z5249*$M5249</f>
        <v>0</v>
      </c>
      <c r="AB5249" s="28"/>
      <c r="AC5249" s="28" t="n">
        <f aca="false">AB5249*$M5249</f>
        <v>0</v>
      </c>
      <c r="AD5249" s="28"/>
      <c r="AE5249" s="28" t="n">
        <f aca="false">AD5249*$M5249</f>
        <v>0</v>
      </c>
      <c r="AF5249" s="28"/>
      <c r="AG5249" s="28" t="n">
        <f aca="false">AF5249*$M5249</f>
        <v>0</v>
      </c>
      <c r="AH5249" s="28" t="n">
        <v>75870</v>
      </c>
      <c r="AI5249" s="28" t="n">
        <v>113805</v>
      </c>
      <c r="AJ5249" s="28"/>
      <c r="AK5249" s="28" t="n">
        <f aca="false">AJ5249*$M5249</f>
        <v>0</v>
      </c>
      <c r="AL5249" s="28"/>
      <c r="AM5249" s="28" t="n">
        <f aca="false">AL5249*$M5249</f>
        <v>0</v>
      </c>
      <c r="AN5249" s="28"/>
      <c r="AO5249" s="28" t="n">
        <f aca="false">AN5249*$M5249</f>
        <v>0</v>
      </c>
      <c r="AP5249" s="28"/>
      <c r="AQ5249" s="28" t="n">
        <f aca="false">AP5249*$M5249</f>
        <v>0</v>
      </c>
      <c r="AR5249" s="28"/>
      <c r="AS5249" s="28" t="n">
        <f aca="false">AR5249*$M5249</f>
        <v>0</v>
      </c>
      <c r="AT5249" s="28"/>
      <c r="AU5249" s="28" t="n">
        <f aca="false">AT5249*$M5249</f>
        <v>0</v>
      </c>
      <c r="AV5249" s="28"/>
      <c r="AW5249" s="28" t="n">
        <f aca="false">AV5249*$M5249</f>
        <v>0</v>
      </c>
      <c r="AX5249" s="28"/>
      <c r="AY5249" s="28" t="n">
        <f aca="false">AX5249*$M5249</f>
        <v>0</v>
      </c>
      <c r="AZ5249" s="30" t="n">
        <v>75870</v>
      </c>
      <c r="BA5249" s="11" t="n">
        <v>113805</v>
      </c>
      <c r="BB5249" s="31" t="n">
        <f aca="false">SUM(Q5249,S5249,U5249,W5249,Y5249,AA5249,AC5249,AE5249,AG5249,AI5249,AK5249,AM5249,AO5249,AQ5249,AS5249,AU5249,AW5249,AY5249)</f>
        <v>113805</v>
      </c>
      <c r="BC5249" s="28" t="n">
        <f aca="false">BA5249-BB5249</f>
        <v>0</v>
      </c>
      <c r="BD5249" s="32" t="n">
        <f aca="false">SUM(P5249,R5249,T5249,V5249,X5249,Z5249,AB5249,AD5249,AF5249,AH5249,AJ5249,AL5249,AN5249,AP5249,AR5249,AT5249,AV5249,AX5249)</f>
        <v>75870</v>
      </c>
      <c r="BE5249" s="33" t="n">
        <f aca="false">AZ5249-BD5249</f>
        <v>0</v>
      </c>
      <c r="BF5249" s="34" t="n">
        <f aca="false">BD5249*M5249</f>
        <v>113805</v>
      </c>
      <c r="BG5249" s="35" t="n">
        <f aca="false">BA5249-BF5249</f>
        <v>0</v>
      </c>
      <c r="BH5249" s="19" t="str">
        <f aca="false">IF(BG5249=0,"",IF(BG5249&lt;&gt;BA5249,"erreur de calcul",IF(BD5249&lt;&gt;0,"pas de prix",IF(M5249&lt;&gt; 0,"pas de quantité","pas de prix, ni de quantité"))))</f>
        <v/>
      </c>
      <c r="BI5249" s="19"/>
    </row>
    <row r="5250" customFormat="false" ht="15" hidden="false" customHeight="false" outlineLevel="0" collapsed="false">
      <c r="A5250" s="0" t="n">
        <v>6</v>
      </c>
      <c r="B5250" s="8" t="s">
        <v>24</v>
      </c>
      <c r="C5250" s="9" t="s">
        <v>25</v>
      </c>
      <c r="D5250" s="9" t="s">
        <v>26</v>
      </c>
      <c r="E5250" s="10" t="n">
        <v>1789</v>
      </c>
      <c r="F5250" s="9" t="s">
        <v>27</v>
      </c>
      <c r="G5250" s="9" t="s">
        <v>27</v>
      </c>
      <c r="H5250" s="11" t="n">
        <v>27</v>
      </c>
      <c r="I5250" s="11" t="s">
        <v>417</v>
      </c>
      <c r="J5250" s="14" t="n">
        <v>3</v>
      </c>
      <c r="K5250" s="14"/>
      <c r="L5250" s="16"/>
      <c r="M5250" s="27" t="n">
        <f aca="false">J5250+(K5250/20)+(L5250/240)</f>
        <v>3</v>
      </c>
      <c r="N5250" s="17" t="s">
        <v>66</v>
      </c>
      <c r="O5250" s="11"/>
      <c r="P5250" s="28"/>
      <c r="Q5250" s="28" t="n">
        <f aca="false">P5250*$M5250</f>
        <v>0</v>
      </c>
      <c r="R5250" s="28"/>
      <c r="S5250" s="28" t="n">
        <f aca="false">R5250*$M5250</f>
        <v>0</v>
      </c>
      <c r="T5250" s="28"/>
      <c r="U5250" s="28" t="n">
        <f aca="false">T5250*$M5250</f>
        <v>0</v>
      </c>
      <c r="V5250" s="28"/>
      <c r="W5250" s="28" t="n">
        <f aca="false">V5250*$M5250</f>
        <v>0</v>
      </c>
      <c r="X5250" s="28"/>
      <c r="Y5250" s="28" t="n">
        <f aca="false">X5250*$M5250</f>
        <v>0</v>
      </c>
      <c r="Z5250" s="28"/>
      <c r="AA5250" s="28" t="n">
        <f aca="false">Z5250*$M5250</f>
        <v>0</v>
      </c>
      <c r="AB5250" s="28"/>
      <c r="AC5250" s="28" t="n">
        <f aca="false">AB5250*$M5250</f>
        <v>0</v>
      </c>
      <c r="AD5250" s="28"/>
      <c r="AE5250" s="28" t="n">
        <f aca="false">AD5250*$M5250</f>
        <v>0</v>
      </c>
      <c r="AF5250" s="28"/>
      <c r="AG5250" s="28" t="n">
        <f aca="false">AF5250*$M5250</f>
        <v>0</v>
      </c>
      <c r="AH5250" s="28" t="n">
        <v>121588</v>
      </c>
      <c r="AI5250" s="28" t="n">
        <v>364764</v>
      </c>
      <c r="AJ5250" s="28"/>
      <c r="AK5250" s="28" t="n">
        <f aca="false">AJ5250*$M5250</f>
        <v>0</v>
      </c>
      <c r="AL5250" s="28"/>
      <c r="AM5250" s="28" t="n">
        <f aca="false">AL5250*$M5250</f>
        <v>0</v>
      </c>
      <c r="AN5250" s="28"/>
      <c r="AO5250" s="28" t="n">
        <f aca="false">AN5250*$M5250</f>
        <v>0</v>
      </c>
      <c r="AP5250" s="28"/>
      <c r="AQ5250" s="28" t="n">
        <f aca="false">AP5250*$M5250</f>
        <v>0</v>
      </c>
      <c r="AR5250" s="28"/>
      <c r="AS5250" s="28" t="n">
        <f aca="false">AR5250*$M5250</f>
        <v>0</v>
      </c>
      <c r="AT5250" s="28"/>
      <c r="AU5250" s="28" t="n">
        <f aca="false">AT5250*$M5250</f>
        <v>0</v>
      </c>
      <c r="AV5250" s="28"/>
      <c r="AW5250" s="28" t="n">
        <f aca="false">AV5250*$M5250</f>
        <v>0</v>
      </c>
      <c r="AX5250" s="28"/>
      <c r="AY5250" s="28" t="n">
        <f aca="false">AX5250*$M5250</f>
        <v>0</v>
      </c>
      <c r="AZ5250" s="30" t="n">
        <v>121588</v>
      </c>
      <c r="BA5250" s="11" t="n">
        <v>364764</v>
      </c>
      <c r="BB5250" s="31" t="n">
        <f aca="false">SUM(Q5250,S5250,U5250,W5250,Y5250,AA5250,AC5250,AE5250,AG5250,AI5250,AK5250,AM5250,AO5250,AQ5250,AS5250,AU5250,AW5250,AY5250)</f>
        <v>364764</v>
      </c>
      <c r="BC5250" s="28" t="n">
        <f aca="false">BA5250-BB5250</f>
        <v>0</v>
      </c>
      <c r="BD5250" s="32" t="n">
        <f aca="false">SUM(P5250,R5250,T5250,V5250,X5250,Z5250,AB5250,AD5250,AF5250,AH5250,AJ5250,AL5250,AN5250,AP5250,AR5250,AT5250,AV5250,AX5250)</f>
        <v>121588</v>
      </c>
      <c r="BE5250" s="33" t="n">
        <f aca="false">AZ5250-BD5250</f>
        <v>0</v>
      </c>
      <c r="BF5250" s="34" t="n">
        <f aca="false">BD5250*M5250</f>
        <v>364764</v>
      </c>
      <c r="BG5250" s="35" t="n">
        <f aca="false">BA5250-BF5250</f>
        <v>0</v>
      </c>
      <c r="BH5250" s="19" t="str">
        <f aca="false">IF(BG5250=0,"",IF(BG5250&lt;&gt;BA5250,"erreur de calcul",IF(BD5250&lt;&gt;0,"pas de prix",IF(M5250&lt;&gt; 0,"pas de quantité","pas de prix, ni de quantité"))))</f>
        <v/>
      </c>
      <c r="BI5250" s="19"/>
    </row>
    <row r="5251" customFormat="false" ht="15" hidden="false" customHeight="false" outlineLevel="0" collapsed="false">
      <c r="A5251" s="0" t="n">
        <v>7</v>
      </c>
      <c r="B5251" s="8" t="s">
        <v>24</v>
      </c>
      <c r="C5251" s="9" t="s">
        <v>25</v>
      </c>
      <c r="D5251" s="9" t="s">
        <v>26</v>
      </c>
      <c r="E5251" s="10" t="n">
        <v>1789</v>
      </c>
      <c r="F5251" s="9" t="s">
        <v>27</v>
      </c>
      <c r="G5251" s="9" t="s">
        <v>27</v>
      </c>
      <c r="H5251" s="11" t="n">
        <v>27</v>
      </c>
      <c r="I5251" s="11" t="s">
        <v>418</v>
      </c>
      <c r="J5251" s="14"/>
      <c r="K5251" s="14" t="n">
        <v>24</v>
      </c>
      <c r="L5251" s="16"/>
      <c r="M5251" s="27" t="n">
        <f aca="false">J5251+(K5251/20)+(L5251/240)</f>
        <v>1.2</v>
      </c>
      <c r="N5251" s="17" t="s">
        <v>66</v>
      </c>
      <c r="O5251" s="11"/>
      <c r="P5251" s="28"/>
      <c r="Q5251" s="28" t="n">
        <f aca="false">P5251*$M5251</f>
        <v>0</v>
      </c>
      <c r="R5251" s="28"/>
      <c r="S5251" s="28" t="n">
        <f aca="false">R5251*$M5251</f>
        <v>0</v>
      </c>
      <c r="T5251" s="28"/>
      <c r="U5251" s="28" t="n">
        <f aca="false">T5251*$M5251</f>
        <v>0</v>
      </c>
      <c r="V5251" s="28"/>
      <c r="W5251" s="28" t="n">
        <f aca="false">V5251*$M5251</f>
        <v>0</v>
      </c>
      <c r="X5251" s="28"/>
      <c r="Y5251" s="28" t="n">
        <f aca="false">X5251*$M5251</f>
        <v>0</v>
      </c>
      <c r="Z5251" s="28"/>
      <c r="AA5251" s="28" t="n">
        <f aca="false">Z5251*$M5251</f>
        <v>0</v>
      </c>
      <c r="AB5251" s="28"/>
      <c r="AC5251" s="28" t="n">
        <f aca="false">AB5251*$M5251</f>
        <v>0</v>
      </c>
      <c r="AD5251" s="28"/>
      <c r="AE5251" s="28" t="n">
        <f aca="false">AD5251*$M5251</f>
        <v>0</v>
      </c>
      <c r="AF5251" s="28"/>
      <c r="AG5251" s="28" t="n">
        <f aca="false">AF5251*$M5251</f>
        <v>0</v>
      </c>
      <c r="AH5251" s="28" t="n">
        <v>50204</v>
      </c>
      <c r="AI5251" s="28" t="n">
        <v>60245</v>
      </c>
      <c r="AJ5251" s="28"/>
      <c r="AK5251" s="28" t="n">
        <f aca="false">AJ5251*$M5251</f>
        <v>0</v>
      </c>
      <c r="AL5251" s="28"/>
      <c r="AM5251" s="28" t="n">
        <f aca="false">AL5251*$M5251</f>
        <v>0</v>
      </c>
      <c r="AN5251" s="28"/>
      <c r="AO5251" s="28" t="n">
        <f aca="false">AN5251*$M5251</f>
        <v>0</v>
      </c>
      <c r="AP5251" s="28"/>
      <c r="AQ5251" s="28" t="n">
        <f aca="false">AP5251*$M5251</f>
        <v>0</v>
      </c>
      <c r="AR5251" s="28"/>
      <c r="AS5251" s="28" t="n">
        <f aca="false">AR5251*$M5251</f>
        <v>0</v>
      </c>
      <c r="AT5251" s="28"/>
      <c r="AU5251" s="28" t="n">
        <f aca="false">AT5251*$M5251</f>
        <v>0</v>
      </c>
      <c r="AV5251" s="28"/>
      <c r="AW5251" s="28" t="n">
        <f aca="false">AV5251*$M5251</f>
        <v>0</v>
      </c>
      <c r="AX5251" s="28"/>
      <c r="AY5251" s="28" t="n">
        <f aca="false">AX5251*$M5251</f>
        <v>0</v>
      </c>
      <c r="AZ5251" s="30" t="n">
        <v>50204</v>
      </c>
      <c r="BA5251" s="11" t="n">
        <v>60245</v>
      </c>
      <c r="BB5251" s="31" t="n">
        <f aca="false">SUM(Q5251,S5251,U5251,W5251,Y5251,AA5251,AC5251,AE5251,AG5251,AI5251,AK5251,AM5251,AO5251,AQ5251,AS5251,AU5251,AW5251,AY5251)</f>
        <v>60245</v>
      </c>
      <c r="BC5251" s="28" t="n">
        <f aca="false">BA5251-BB5251</f>
        <v>0</v>
      </c>
      <c r="BD5251" s="32" t="n">
        <f aca="false">SUM(P5251,R5251,T5251,V5251,X5251,Z5251,AB5251,AD5251,AF5251,AH5251,AJ5251,AL5251,AN5251,AP5251,AR5251,AT5251,AV5251,AX5251)</f>
        <v>50204</v>
      </c>
      <c r="BE5251" s="33" t="n">
        <f aca="false">AZ5251-BD5251</f>
        <v>0</v>
      </c>
      <c r="BF5251" s="34" t="n">
        <f aca="false">BD5251*M5251</f>
        <v>60244.8</v>
      </c>
      <c r="BG5251" s="35" t="n">
        <f aca="false">BA5251-BF5251</f>
        <v>0.200000000004366</v>
      </c>
      <c r="BH5251" s="19" t="str">
        <f aca="false">IF(BG5251=0,"",IF(BG5251&lt;&gt;BA5251,"erreur de calcul",IF(BD5251&lt;&gt;0,"pas de prix",IF(M5251&lt;&gt; 0,"pas de quantité","pas de prix, ni de quantité"))))</f>
        <v>erreur de calcul</v>
      </c>
      <c r="BI5251" s="19"/>
    </row>
    <row r="5252" customFormat="false" ht="15" hidden="false" customHeight="false" outlineLevel="0" collapsed="false">
      <c r="A5252" s="0" t="n">
        <v>8</v>
      </c>
      <c r="B5252" s="8" t="s">
        <v>24</v>
      </c>
      <c r="C5252" s="9" t="s">
        <v>25</v>
      </c>
      <c r="D5252" s="9" t="s">
        <v>26</v>
      </c>
      <c r="E5252" s="10" t="n">
        <v>1789</v>
      </c>
      <c r="F5252" s="9" t="s">
        <v>27</v>
      </c>
      <c r="G5252" s="9" t="s">
        <v>27</v>
      </c>
      <c r="H5252" s="11" t="n">
        <v>27</v>
      </c>
      <c r="I5252" s="11" t="s">
        <v>419</v>
      </c>
      <c r="J5252" s="14" t="n">
        <v>40</v>
      </c>
      <c r="K5252" s="14"/>
      <c r="L5252" s="16"/>
      <c r="M5252" s="27" t="n">
        <f aca="false">J5252+(K5252/20)+(L5252/240)</f>
        <v>40</v>
      </c>
      <c r="N5252" s="17" t="s">
        <v>66</v>
      </c>
      <c r="O5252" s="11" t="s">
        <v>98</v>
      </c>
      <c r="P5252" s="28"/>
      <c r="Q5252" s="28" t="n">
        <f aca="false">P5252*$M5252</f>
        <v>0</v>
      </c>
      <c r="R5252" s="28"/>
      <c r="S5252" s="28" t="n">
        <f aca="false">R5252*$M5252</f>
        <v>0</v>
      </c>
      <c r="T5252" s="28"/>
      <c r="U5252" s="28" t="n">
        <f aca="false">T5252*$M5252</f>
        <v>0</v>
      </c>
      <c r="V5252" s="28"/>
      <c r="W5252" s="28" t="n">
        <f aca="false">V5252*$M5252</f>
        <v>0</v>
      </c>
      <c r="X5252" s="28"/>
      <c r="Y5252" s="28" t="n">
        <f aca="false">X5252*$M5252</f>
        <v>0</v>
      </c>
      <c r="Z5252" s="28"/>
      <c r="AA5252" s="28" t="n">
        <f aca="false">Z5252*$M5252</f>
        <v>0</v>
      </c>
      <c r="AB5252" s="28"/>
      <c r="AC5252" s="28" t="n">
        <f aca="false">AB5252*$M5252</f>
        <v>0</v>
      </c>
      <c r="AD5252" s="28"/>
      <c r="AE5252" s="28" t="n">
        <f aca="false">AD5252*$M5252</f>
        <v>0</v>
      </c>
      <c r="AF5252" s="28"/>
      <c r="AG5252" s="28" t="n">
        <f aca="false">AF5252*$M5252</f>
        <v>0</v>
      </c>
      <c r="AH5252" s="28"/>
      <c r="AI5252" s="28" t="n">
        <f aca="false">AH5252*$M5252</f>
        <v>0</v>
      </c>
      <c r="AJ5252" s="28"/>
      <c r="AK5252" s="28" t="n">
        <f aca="false">AJ5252*$M5252</f>
        <v>0</v>
      </c>
      <c r="AL5252" s="28"/>
      <c r="AM5252" s="28" t="n">
        <f aca="false">AL5252*$M5252</f>
        <v>0</v>
      </c>
      <c r="AN5252" s="28"/>
      <c r="AO5252" s="28" t="n">
        <f aca="false">AN5252*$M5252</f>
        <v>0</v>
      </c>
      <c r="AP5252" s="28"/>
      <c r="AQ5252" s="28" t="n">
        <f aca="false">AP5252*$M5252</f>
        <v>0</v>
      </c>
      <c r="AR5252" s="28"/>
      <c r="AS5252" s="28" t="n">
        <f aca="false">AR5252*$M5252</f>
        <v>0</v>
      </c>
      <c r="AT5252" s="28"/>
      <c r="AU5252" s="28" t="n">
        <f aca="false">AT5252*$M5252</f>
        <v>0</v>
      </c>
      <c r="AV5252" s="28"/>
      <c r="AW5252" s="28" t="n">
        <f aca="false">AV5252*$M5252</f>
        <v>0</v>
      </c>
      <c r="AX5252" s="28"/>
      <c r="AY5252" s="28" t="n">
        <f aca="false">AX5252*$M5252</f>
        <v>0</v>
      </c>
      <c r="AZ5252" s="30"/>
      <c r="BA5252" s="11"/>
      <c r="BB5252" s="31" t="n">
        <f aca="false">SUM(Q5252,S5252,U5252,W5252,Y5252,AA5252,AC5252,AE5252,AG5252,AI5252,AK5252,AM5252,AO5252,AQ5252,AS5252,AU5252,AW5252,AY5252)</f>
        <v>0</v>
      </c>
      <c r="BC5252" s="28" t="n">
        <f aca="false">BA5252-BB5252</f>
        <v>0</v>
      </c>
      <c r="BD5252" s="32" t="n">
        <f aca="false">SUM(P5252,R5252,T5252,V5252,X5252,Z5252,AB5252,AD5252,AF5252,AH5252,AJ5252,AL5252,AN5252,AP5252,AR5252,AT5252,AV5252,AX5252)</f>
        <v>0</v>
      </c>
      <c r="BE5252" s="33" t="n">
        <f aca="false">AZ5252-BD5252</f>
        <v>0</v>
      </c>
      <c r="BF5252" s="34" t="n">
        <f aca="false">BD5252*M5252</f>
        <v>0</v>
      </c>
      <c r="BG5252" s="35" t="n">
        <f aca="false">BA5252-BF5252</f>
        <v>0</v>
      </c>
      <c r="BH5252" s="19" t="str">
        <f aca="false">IF(BG5252=0,"",IF(BG5252&lt;&gt;BA5252,"erreur de calcul",IF(BD5252&lt;&gt;0,"pas de prix",IF(M5252&lt;&gt; 0,"pas de quantité","pas de prix, ni de quantité"))))</f>
        <v/>
      </c>
      <c r="BI5252" s="19"/>
    </row>
    <row r="5253" customFormat="false" ht="15" hidden="false" customHeight="false" outlineLevel="0" collapsed="false">
      <c r="A5253" s="0" t="n">
        <v>9</v>
      </c>
      <c r="B5253" s="8" t="s">
        <v>24</v>
      </c>
      <c r="C5253" s="9" t="s">
        <v>25</v>
      </c>
      <c r="D5253" s="9" t="s">
        <v>26</v>
      </c>
      <c r="E5253" s="10" t="n">
        <v>1789</v>
      </c>
      <c r="F5253" s="9" t="s">
        <v>27</v>
      </c>
      <c r="G5253" s="9" t="s">
        <v>27</v>
      </c>
      <c r="H5253" s="11" t="n">
        <v>27</v>
      </c>
      <c r="I5253" s="11" t="s">
        <v>420</v>
      </c>
      <c r="J5253" s="14" t="n">
        <v>9</v>
      </c>
      <c r="K5253" s="14"/>
      <c r="L5253" s="16"/>
      <c r="M5253" s="27" t="n">
        <f aca="false">J5253+(K5253/20)+(L5253/240)</f>
        <v>9</v>
      </c>
      <c r="N5253" s="17" t="s">
        <v>81</v>
      </c>
      <c r="O5253" s="11" t="s">
        <v>98</v>
      </c>
      <c r="P5253" s="28"/>
      <c r="Q5253" s="28" t="n">
        <f aca="false">P5253*$M5253</f>
        <v>0</v>
      </c>
      <c r="R5253" s="28"/>
      <c r="S5253" s="28" t="n">
        <f aca="false">R5253*$M5253</f>
        <v>0</v>
      </c>
      <c r="T5253" s="28"/>
      <c r="U5253" s="28" t="n">
        <f aca="false">T5253*$M5253</f>
        <v>0</v>
      </c>
      <c r="V5253" s="28"/>
      <c r="W5253" s="28" t="n">
        <f aca="false">V5253*$M5253</f>
        <v>0</v>
      </c>
      <c r="X5253" s="28"/>
      <c r="Y5253" s="28" t="n">
        <f aca="false">X5253*$M5253</f>
        <v>0</v>
      </c>
      <c r="Z5253" s="28"/>
      <c r="AA5253" s="28" t="n">
        <f aca="false">Z5253*$M5253</f>
        <v>0</v>
      </c>
      <c r="AB5253" s="28"/>
      <c r="AC5253" s="28" t="n">
        <f aca="false">AB5253*$M5253</f>
        <v>0</v>
      </c>
      <c r="AD5253" s="28"/>
      <c r="AE5253" s="28" t="n">
        <f aca="false">AD5253*$M5253</f>
        <v>0</v>
      </c>
      <c r="AF5253" s="28"/>
      <c r="AG5253" s="28" t="n">
        <f aca="false">AF5253*$M5253</f>
        <v>0</v>
      </c>
      <c r="AH5253" s="28"/>
      <c r="AI5253" s="28" t="n">
        <f aca="false">AH5253*$M5253</f>
        <v>0</v>
      </c>
      <c r="AJ5253" s="28"/>
      <c r="AK5253" s="28" t="n">
        <f aca="false">AJ5253*$M5253</f>
        <v>0</v>
      </c>
      <c r="AL5253" s="28"/>
      <c r="AM5253" s="28" t="n">
        <f aca="false">AL5253*$M5253</f>
        <v>0</v>
      </c>
      <c r="AN5253" s="28"/>
      <c r="AO5253" s="28" t="n">
        <f aca="false">AN5253*$M5253</f>
        <v>0</v>
      </c>
      <c r="AP5253" s="28"/>
      <c r="AQ5253" s="28" t="n">
        <f aca="false">AP5253*$M5253</f>
        <v>0</v>
      </c>
      <c r="AR5253" s="28"/>
      <c r="AS5253" s="28" t="n">
        <f aca="false">AR5253*$M5253</f>
        <v>0</v>
      </c>
      <c r="AT5253" s="28"/>
      <c r="AU5253" s="28" t="n">
        <f aca="false">AT5253*$M5253</f>
        <v>0</v>
      </c>
      <c r="AV5253" s="28"/>
      <c r="AW5253" s="28" t="n">
        <f aca="false">AV5253*$M5253</f>
        <v>0</v>
      </c>
      <c r="AX5253" s="28"/>
      <c r="AY5253" s="28" t="n">
        <f aca="false">AX5253*$M5253</f>
        <v>0</v>
      </c>
      <c r="AZ5253" s="30"/>
      <c r="BA5253" s="11"/>
      <c r="BB5253" s="31" t="n">
        <f aca="false">SUM(Q5253,S5253,U5253,W5253,Y5253,AA5253,AC5253,AE5253,AG5253,AI5253,AK5253,AM5253,AO5253,AQ5253,AS5253,AU5253,AW5253,AY5253)</f>
        <v>0</v>
      </c>
      <c r="BC5253" s="28" t="n">
        <f aca="false">BA5253-BB5253</f>
        <v>0</v>
      </c>
      <c r="BD5253" s="32" t="n">
        <f aca="false">SUM(P5253,R5253,T5253,V5253,X5253,Z5253,AB5253,AD5253,AF5253,AH5253,AJ5253,AL5253,AN5253,AP5253,AR5253,AT5253,AV5253,AX5253)</f>
        <v>0</v>
      </c>
      <c r="BE5253" s="33" t="n">
        <f aca="false">AZ5253-BD5253</f>
        <v>0</v>
      </c>
      <c r="BF5253" s="34" t="n">
        <f aca="false">BD5253*M5253</f>
        <v>0</v>
      </c>
      <c r="BG5253" s="35" t="n">
        <f aca="false">BA5253-BF5253</f>
        <v>0</v>
      </c>
      <c r="BH5253" s="19" t="str">
        <f aca="false">IF(BG5253=0,"",IF(BG5253&lt;&gt;BA5253,"erreur de calcul",IF(BD5253&lt;&gt;0,"pas de prix",IF(M5253&lt;&gt; 0,"pas de quantité","pas de prix, ni de quantité"))))</f>
        <v/>
      </c>
      <c r="BI5253" s="19"/>
    </row>
    <row r="5254" customFormat="false" ht="15" hidden="false" customHeight="false" outlineLevel="0" collapsed="false">
      <c r="A5254" s="0" t="n">
        <v>10</v>
      </c>
      <c r="B5254" s="8" t="s">
        <v>24</v>
      </c>
      <c r="C5254" s="9" t="s">
        <v>25</v>
      </c>
      <c r="D5254" s="9" t="s">
        <v>26</v>
      </c>
      <c r="E5254" s="10" t="n">
        <v>1789</v>
      </c>
      <c r="F5254" s="9" t="s">
        <v>27</v>
      </c>
      <c r="G5254" s="9" t="s">
        <v>27</v>
      </c>
      <c r="H5254" s="11" t="n">
        <v>27</v>
      </c>
      <c r="I5254" s="11" t="s">
        <v>421</v>
      </c>
      <c r="J5254" s="14" t="n">
        <v>220</v>
      </c>
      <c r="K5254" s="14"/>
      <c r="L5254" s="16"/>
      <c r="M5254" s="27" t="n">
        <f aca="false">J5254+(K5254/20)+(L5254/240)</f>
        <v>220</v>
      </c>
      <c r="N5254" s="17" t="s">
        <v>64</v>
      </c>
      <c r="O5254" s="11" t="s">
        <v>277</v>
      </c>
      <c r="P5254" s="28" t="n">
        <f aca="false">245/100</f>
        <v>2.45</v>
      </c>
      <c r="Q5254" s="28" t="n">
        <v>539</v>
      </c>
      <c r="R5254" s="28"/>
      <c r="S5254" s="28" t="n">
        <f aca="false">R5254*$M5254</f>
        <v>0</v>
      </c>
      <c r="T5254" s="28" t="n">
        <f aca="false">40119/100</f>
        <v>401.19</v>
      </c>
      <c r="U5254" s="28" t="n">
        <v>88262</v>
      </c>
      <c r="V5254" s="28" t="n">
        <f aca="false">14285/100</f>
        <v>142.85</v>
      </c>
      <c r="W5254" s="28" t="n">
        <v>31427</v>
      </c>
      <c r="X5254" s="28" t="n">
        <f aca="false">62608/100</f>
        <v>626.08</v>
      </c>
      <c r="Y5254" s="28" t="n">
        <v>137738</v>
      </c>
      <c r="Z5254" s="28" t="n">
        <f aca="false">523/100</f>
        <v>5.23</v>
      </c>
      <c r="AA5254" s="28" t="n">
        <v>1151</v>
      </c>
      <c r="AB5254" s="28" t="n">
        <f aca="false">56/100</f>
        <v>0.56</v>
      </c>
      <c r="AC5254" s="28" t="n">
        <v>123</v>
      </c>
      <c r="AD5254" s="28"/>
      <c r="AE5254" s="28" t="n">
        <f aca="false">AD5254*$M5254</f>
        <v>0</v>
      </c>
      <c r="AF5254" s="28"/>
      <c r="AG5254" s="28" t="n">
        <f aca="false">AF5254*$M5254</f>
        <v>0</v>
      </c>
      <c r="AH5254" s="28"/>
      <c r="AI5254" s="28" t="n">
        <f aca="false">AH5254*$M5254</f>
        <v>0</v>
      </c>
      <c r="AJ5254" s="28" t="n">
        <f aca="false">3845/100</f>
        <v>38.45</v>
      </c>
      <c r="AK5254" s="28" t="n">
        <v>8459</v>
      </c>
      <c r="AL5254" s="28" t="n">
        <f aca="false">26510/100</f>
        <v>265.1</v>
      </c>
      <c r="AM5254" s="28" t="n">
        <v>58322</v>
      </c>
      <c r="AN5254" s="28" t="n">
        <f aca="false">330/100</f>
        <v>3.3</v>
      </c>
      <c r="AO5254" s="28" t="n">
        <v>726</v>
      </c>
      <c r="AP5254" s="28"/>
      <c r="AQ5254" s="28" t="n">
        <f aca="false">AP5254*$M5254</f>
        <v>0</v>
      </c>
      <c r="AR5254" s="28"/>
      <c r="AS5254" s="28" t="n">
        <f aca="false">AR5254*$M5254</f>
        <v>0</v>
      </c>
      <c r="AT5254" s="28"/>
      <c r="AU5254" s="28" t="n">
        <f aca="false">AT5254*$M5254</f>
        <v>0</v>
      </c>
      <c r="AV5254" s="28" t="n">
        <f aca="false">1487/100</f>
        <v>14.87</v>
      </c>
      <c r="AW5254" s="28" t="n">
        <v>3271</v>
      </c>
      <c r="AX5254" s="28"/>
      <c r="AY5254" s="28" t="n">
        <f aca="false">AX5254*$M5254</f>
        <v>0</v>
      </c>
      <c r="AZ5254" s="30" t="n">
        <f aca="false">150008/100</f>
        <v>1500.08</v>
      </c>
      <c r="BA5254" s="11" t="n">
        <v>330018</v>
      </c>
      <c r="BB5254" s="31" t="n">
        <f aca="false">SUM(Q5254,S5254,U5254,W5254,Y5254,AA5254,AC5254,AE5254,AG5254,AI5254,AK5254,AM5254,AO5254,AQ5254,AS5254,AU5254,AW5254,AY5254)</f>
        <v>330018</v>
      </c>
      <c r="BC5254" s="28" t="n">
        <f aca="false">BA5254-BB5254</f>
        <v>0</v>
      </c>
      <c r="BD5254" s="32" t="n">
        <f aca="false">SUM(P5254,R5254,T5254,V5254,X5254,Z5254,AB5254,AD5254,AF5254,AH5254,AJ5254,AL5254,AN5254,AP5254,AR5254,AT5254,AV5254,AX5254)</f>
        <v>1500.08</v>
      </c>
      <c r="BE5254" s="33" t="n">
        <f aca="false">AZ5254-BD5254</f>
        <v>0</v>
      </c>
      <c r="BF5254" s="34" t="n">
        <f aca="false">BD5254*M5254</f>
        <v>330017.6</v>
      </c>
      <c r="BG5254" s="35" t="n">
        <f aca="false">BA5254-BF5254</f>
        <v>0.399999999965075</v>
      </c>
      <c r="BH5254" s="19" t="str">
        <f aca="false">IF(BG5254=0,"",IF(BG5254&lt;&gt;BA5254,"erreur de calcul",IF(BD5254&lt;&gt;0,"pas de prix",IF(M5254&lt;&gt; 0,"pas de quantité","pas de prix, ni de quantité"))))</f>
        <v>erreur de calcul</v>
      </c>
      <c r="BI5254" s="19"/>
    </row>
    <row r="5255" customFormat="false" ht="15" hidden="false" customHeight="false" outlineLevel="0" collapsed="false">
      <c r="A5255" s="0" t="n">
        <v>11</v>
      </c>
      <c r="B5255" s="8" t="s">
        <v>24</v>
      </c>
      <c r="C5255" s="9" t="s">
        <v>25</v>
      </c>
      <c r="D5255" s="9" t="s">
        <v>26</v>
      </c>
      <c r="E5255" s="10" t="n">
        <v>1789</v>
      </c>
      <c r="F5255" s="9" t="s">
        <v>27</v>
      </c>
      <c r="G5255" s="9" t="s">
        <v>27</v>
      </c>
      <c r="H5255" s="11" t="n">
        <v>27</v>
      </c>
      <c r="I5255" s="11" t="s">
        <v>422</v>
      </c>
      <c r="J5255" s="14" t="n">
        <v>35</v>
      </c>
      <c r="K5255" s="14"/>
      <c r="L5255" s="16"/>
      <c r="M5255" s="27" t="n">
        <f aca="false">J5255+(K5255/20)+(L5255/240)</f>
        <v>35</v>
      </c>
      <c r="N5255" s="17" t="s">
        <v>64</v>
      </c>
      <c r="O5255" s="11"/>
      <c r="P5255" s="28"/>
      <c r="Q5255" s="28" t="n">
        <f aca="false">P5255*$M5255</f>
        <v>0</v>
      </c>
      <c r="R5255" s="28"/>
      <c r="S5255" s="28" t="n">
        <f aca="false">R5255*$M5255</f>
        <v>0</v>
      </c>
      <c r="T5255" s="28"/>
      <c r="U5255" s="28" t="n">
        <f aca="false">T5255*$M5255</f>
        <v>0</v>
      </c>
      <c r="V5255" s="28"/>
      <c r="W5255" s="28" t="n">
        <f aca="false">V5255*$M5255</f>
        <v>0</v>
      </c>
      <c r="X5255" s="28" t="n">
        <f aca="false">9982/100</f>
        <v>99.82</v>
      </c>
      <c r="Y5255" s="28" t="n">
        <v>3494</v>
      </c>
      <c r="Z5255" s="28"/>
      <c r="AA5255" s="28" t="n">
        <f aca="false">Z5255*$M5255</f>
        <v>0</v>
      </c>
      <c r="AB5255" s="28"/>
      <c r="AC5255" s="28" t="n">
        <f aca="false">AB5255*$M5255</f>
        <v>0</v>
      </c>
      <c r="AD5255" s="28"/>
      <c r="AE5255" s="28" t="n">
        <f aca="false">AD5255*$M5255</f>
        <v>0</v>
      </c>
      <c r="AF5255" s="28"/>
      <c r="AG5255" s="28" t="n">
        <f aca="false">AF5255*$M5255</f>
        <v>0</v>
      </c>
      <c r="AH5255" s="28"/>
      <c r="AI5255" s="28" t="n">
        <f aca="false">AH5255*$M5255</f>
        <v>0</v>
      </c>
      <c r="AJ5255" s="28" t="n">
        <f aca="false">28200/100</f>
        <v>282</v>
      </c>
      <c r="AK5255" s="28" t="n">
        <v>9870</v>
      </c>
      <c r="AL5255" s="28" t="n">
        <f aca="false">163472/100</f>
        <v>1634.72</v>
      </c>
      <c r="AM5255" s="28" t="n">
        <v>57215</v>
      </c>
      <c r="AN5255" s="28"/>
      <c r="AO5255" s="28" t="n">
        <f aca="false">AN5255*$M5255</f>
        <v>0</v>
      </c>
      <c r="AP5255" s="28"/>
      <c r="AQ5255" s="28" t="n">
        <f aca="false">AP5255*$M5255</f>
        <v>0</v>
      </c>
      <c r="AR5255" s="28"/>
      <c r="AS5255" s="28" t="n">
        <f aca="false">AR5255*$M5255</f>
        <v>0</v>
      </c>
      <c r="AT5255" s="28"/>
      <c r="AU5255" s="28" t="n">
        <f aca="false">AT5255*$M5255</f>
        <v>0</v>
      </c>
      <c r="AV5255" s="28" t="n">
        <f aca="false">49250/100</f>
        <v>492.5</v>
      </c>
      <c r="AW5255" s="28" t="n">
        <v>17237</v>
      </c>
      <c r="AX5255" s="28"/>
      <c r="AY5255" s="28" t="n">
        <f aca="false">AX5255*$M5255</f>
        <v>0</v>
      </c>
      <c r="AZ5255" s="30" t="n">
        <f aca="false">250904/100</f>
        <v>2509.04</v>
      </c>
      <c r="BA5255" s="11" t="n">
        <v>87816</v>
      </c>
      <c r="BB5255" s="31" t="n">
        <f aca="false">SUM(Q5255,S5255,U5255,W5255,Y5255,AA5255,AC5255,AE5255,AG5255,AI5255,AK5255,AM5255,AO5255,AQ5255,AS5255,AU5255,AW5255,AY5255)</f>
        <v>87816</v>
      </c>
      <c r="BC5255" s="28" t="n">
        <f aca="false">BA5255-BB5255</f>
        <v>0</v>
      </c>
      <c r="BD5255" s="32" t="n">
        <f aca="false">SUM(P5255,R5255,T5255,V5255,X5255,Z5255,AB5255,AD5255,AF5255,AH5255,AJ5255,AL5255,AN5255,AP5255,AR5255,AT5255,AV5255,AX5255)</f>
        <v>2509.04</v>
      </c>
      <c r="BE5255" s="33" t="n">
        <f aca="false">AZ5255-BD5255</f>
        <v>0</v>
      </c>
      <c r="BF5255" s="34" t="n">
        <f aca="false">BD5255*M5255</f>
        <v>87816.4</v>
      </c>
      <c r="BG5255" s="35" t="n">
        <f aca="false">BA5255-BF5255</f>
        <v>-0.400000000008731</v>
      </c>
      <c r="BH5255" s="19" t="str">
        <f aca="false">IF(BG5255=0,"",IF(BG5255&lt;&gt;BA5255,"erreur de calcul",IF(BD5255&lt;&gt;0,"pas de prix",IF(M5255&lt;&gt; 0,"pas de quantité","pas de prix, ni de quantité"))))</f>
        <v>erreur de calcul</v>
      </c>
      <c r="BI5255" s="19"/>
    </row>
    <row r="5256" customFormat="false" ht="15" hidden="false" customHeight="false" outlineLevel="0" collapsed="false">
      <c r="A5256" s="0" t="n">
        <v>12</v>
      </c>
      <c r="B5256" s="8" t="s">
        <v>24</v>
      </c>
      <c r="C5256" s="9" t="s">
        <v>25</v>
      </c>
      <c r="D5256" s="9" t="s">
        <v>26</v>
      </c>
      <c r="E5256" s="10" t="n">
        <v>1789</v>
      </c>
      <c r="F5256" s="9" t="s">
        <v>27</v>
      </c>
      <c r="G5256" s="9" t="s">
        <v>27</v>
      </c>
      <c r="H5256" s="11" t="n">
        <v>27</v>
      </c>
      <c r="I5256" s="11" t="s">
        <v>423</v>
      </c>
      <c r="J5256" s="14" t="n">
        <v>75</v>
      </c>
      <c r="K5256" s="14"/>
      <c r="L5256" s="16"/>
      <c r="M5256" s="27" t="n">
        <f aca="false">J5256+(K5256/20)+(L5256/240)</f>
        <v>75</v>
      </c>
      <c r="N5256" s="17" t="s">
        <v>64</v>
      </c>
      <c r="O5256" s="11"/>
      <c r="P5256" s="28"/>
      <c r="Q5256" s="28" t="n">
        <f aca="false">P5256*$M5256</f>
        <v>0</v>
      </c>
      <c r="R5256" s="28"/>
      <c r="S5256" s="28" t="n">
        <f aca="false">R5256*$M5256</f>
        <v>0</v>
      </c>
      <c r="T5256" s="28"/>
      <c r="U5256" s="28" t="n">
        <f aca="false">T5256*$M5256</f>
        <v>0</v>
      </c>
      <c r="V5256" s="28" t="n">
        <f aca="false">1030/100</f>
        <v>10.3</v>
      </c>
      <c r="W5256" s="28" t="n">
        <v>772</v>
      </c>
      <c r="X5256" s="28"/>
      <c r="Y5256" s="28" t="n">
        <f aca="false">X5256*$M5256</f>
        <v>0</v>
      </c>
      <c r="Z5256" s="28"/>
      <c r="AA5256" s="28" t="n">
        <f aca="false">Z5256*$M5256</f>
        <v>0</v>
      </c>
      <c r="AB5256" s="28"/>
      <c r="AC5256" s="28" t="n">
        <f aca="false">AB5256*$M5256</f>
        <v>0</v>
      </c>
      <c r="AD5256" s="28"/>
      <c r="AE5256" s="28" t="n">
        <f aca="false">AD5256*$M5256</f>
        <v>0</v>
      </c>
      <c r="AF5256" s="28"/>
      <c r="AG5256" s="28" t="n">
        <f aca="false">AF5256*$M5256</f>
        <v>0</v>
      </c>
      <c r="AH5256" s="28"/>
      <c r="AI5256" s="28" t="n">
        <f aca="false">AH5256*$M5256</f>
        <v>0</v>
      </c>
      <c r="AJ5256" s="28"/>
      <c r="AK5256" s="28" t="n">
        <f aca="false">AJ5256*$M5256</f>
        <v>0</v>
      </c>
      <c r="AL5256" s="28"/>
      <c r="AM5256" s="28" t="n">
        <f aca="false">AL5256*$M5256</f>
        <v>0</v>
      </c>
      <c r="AN5256" s="28"/>
      <c r="AO5256" s="28" t="n">
        <f aca="false">AN5256*$M5256</f>
        <v>0</v>
      </c>
      <c r="AP5256" s="28"/>
      <c r="AQ5256" s="28" t="n">
        <f aca="false">AP5256*$M5256</f>
        <v>0</v>
      </c>
      <c r="AR5256" s="28"/>
      <c r="AS5256" s="28" t="n">
        <f aca="false">AR5256*$M5256</f>
        <v>0</v>
      </c>
      <c r="AT5256" s="28"/>
      <c r="AU5256" s="28" t="n">
        <f aca="false">AT5256*$M5256</f>
        <v>0</v>
      </c>
      <c r="AV5256" s="28"/>
      <c r="AW5256" s="28" t="n">
        <f aca="false">AV5256*$M5256</f>
        <v>0</v>
      </c>
      <c r="AX5256" s="28"/>
      <c r="AY5256" s="28" t="n">
        <f aca="false">AX5256*$M5256</f>
        <v>0</v>
      </c>
      <c r="AZ5256" s="30" t="n">
        <f aca="false">1030/100</f>
        <v>10.3</v>
      </c>
      <c r="BA5256" s="11" t="n">
        <v>772</v>
      </c>
      <c r="BB5256" s="31" t="n">
        <f aca="false">SUM(Q5256,S5256,U5256,W5256,Y5256,AA5256,AC5256,AE5256,AG5256,AI5256,AK5256,AM5256,AO5256,AQ5256,AS5256,AU5256,AW5256,AY5256)</f>
        <v>772</v>
      </c>
      <c r="BC5256" s="28" t="n">
        <f aca="false">BA5256-BB5256</f>
        <v>0</v>
      </c>
      <c r="BD5256" s="32" t="n">
        <f aca="false">SUM(P5256,R5256,T5256,V5256,X5256,Z5256,AB5256,AD5256,AF5256,AH5256,AJ5256,AL5256,AN5256,AP5256,AR5256,AT5256,AV5256,AX5256)</f>
        <v>10.3</v>
      </c>
      <c r="BE5256" s="33" t="n">
        <f aca="false">AZ5256-BD5256</f>
        <v>0</v>
      </c>
      <c r="BF5256" s="34" t="n">
        <f aca="false">BD5256*M5256</f>
        <v>772.5</v>
      </c>
      <c r="BG5256" s="35" t="n">
        <f aca="false">BA5256-BF5256</f>
        <v>-0.5</v>
      </c>
      <c r="BH5256" s="19" t="str">
        <f aca="false">IF(BG5256=0,"",IF(BG5256&lt;&gt;BA5256,"erreur de calcul",IF(BD5256&lt;&gt;0,"pas de prix",IF(M5256&lt;&gt; 0,"pas de quantité","pas de prix, ni de quantité"))))</f>
        <v>erreur de calcul</v>
      </c>
      <c r="BI5256" s="19"/>
    </row>
    <row r="5257" customFormat="false" ht="15" hidden="false" customHeight="false" outlineLevel="0" collapsed="false">
      <c r="A5257" s="0" t="n">
        <v>13</v>
      </c>
      <c r="B5257" s="8" t="s">
        <v>24</v>
      </c>
      <c r="C5257" s="9" t="s">
        <v>25</v>
      </c>
      <c r="D5257" s="9" t="s">
        <v>26</v>
      </c>
      <c r="E5257" s="10" t="n">
        <v>1789</v>
      </c>
      <c r="F5257" s="9" t="s">
        <v>27</v>
      </c>
      <c r="G5257" s="9" t="s">
        <v>27</v>
      </c>
      <c r="H5257" s="11" t="n">
        <v>27</v>
      </c>
      <c r="I5257" s="11" t="s">
        <v>424</v>
      </c>
      <c r="J5257" s="14" t="n">
        <v>6</v>
      </c>
      <c r="K5257" s="14"/>
      <c r="L5257" s="16"/>
      <c r="M5257" s="27" t="n">
        <f aca="false">J5257+(K5257/20)+(L5257/240)</f>
        <v>6</v>
      </c>
      <c r="N5257" s="17" t="s">
        <v>64</v>
      </c>
      <c r="O5257" s="11" t="s">
        <v>277</v>
      </c>
      <c r="P5257" s="28"/>
      <c r="Q5257" s="28" t="n">
        <f aca="false">P5257*$M5257</f>
        <v>0</v>
      </c>
      <c r="R5257" s="28"/>
      <c r="S5257" s="28" t="n">
        <f aca="false">R5257*$M5257</f>
        <v>0</v>
      </c>
      <c r="T5257" s="28"/>
      <c r="U5257" s="28" t="n">
        <f aca="false">T5257*$M5257</f>
        <v>0</v>
      </c>
      <c r="V5257" s="28"/>
      <c r="W5257" s="28" t="n">
        <f aca="false">V5257*$M5257</f>
        <v>0</v>
      </c>
      <c r="X5257" s="28"/>
      <c r="Y5257" s="28" t="n">
        <f aca="false">X5257*$M5257</f>
        <v>0</v>
      </c>
      <c r="Z5257" s="28"/>
      <c r="AA5257" s="28" t="n">
        <f aca="false">Z5257*$M5257</f>
        <v>0</v>
      </c>
      <c r="AB5257" s="28"/>
      <c r="AC5257" s="28" t="n">
        <f aca="false">AB5257*$M5257</f>
        <v>0</v>
      </c>
      <c r="AD5257" s="28"/>
      <c r="AE5257" s="28" t="n">
        <f aca="false">AD5257*$M5257</f>
        <v>0</v>
      </c>
      <c r="AF5257" s="28"/>
      <c r="AG5257" s="28" t="n">
        <f aca="false">AF5257*$M5257</f>
        <v>0</v>
      </c>
      <c r="AH5257" s="28" t="n">
        <f aca="false">9050/100</f>
        <v>90.5</v>
      </c>
      <c r="AI5257" s="28" t="n">
        <v>543</v>
      </c>
      <c r="AJ5257" s="28"/>
      <c r="AK5257" s="28" t="n">
        <f aca="false">AJ5257*$M5257</f>
        <v>0</v>
      </c>
      <c r="AL5257" s="28" t="n">
        <f aca="false">48717/100</f>
        <v>487.17</v>
      </c>
      <c r="AM5257" s="28" t="n">
        <v>2923</v>
      </c>
      <c r="AN5257" s="28"/>
      <c r="AO5257" s="28" t="n">
        <f aca="false">AN5257*$M5257</f>
        <v>0</v>
      </c>
      <c r="AP5257" s="28"/>
      <c r="AQ5257" s="28" t="n">
        <f aca="false">AP5257*$M5257</f>
        <v>0</v>
      </c>
      <c r="AR5257" s="28"/>
      <c r="AS5257" s="28" t="n">
        <f aca="false">AR5257*$M5257</f>
        <v>0</v>
      </c>
      <c r="AT5257" s="28"/>
      <c r="AU5257" s="28" t="n">
        <f aca="false">AT5257*$M5257</f>
        <v>0</v>
      </c>
      <c r="AV5257" s="28"/>
      <c r="AW5257" s="28" t="n">
        <f aca="false">AV5257*$M5257</f>
        <v>0</v>
      </c>
      <c r="AX5257" s="28"/>
      <c r="AY5257" s="28" t="n">
        <f aca="false">AX5257*$M5257</f>
        <v>0</v>
      </c>
      <c r="AZ5257" s="30" t="n">
        <f aca="false">57767/100</f>
        <v>577.67</v>
      </c>
      <c r="BA5257" s="11" t="n">
        <v>3466</v>
      </c>
      <c r="BB5257" s="31" t="n">
        <f aca="false">SUM(Q5257,S5257,U5257,W5257,Y5257,AA5257,AC5257,AE5257,AG5257,AI5257,AK5257,AM5257,AO5257,AQ5257,AS5257,AU5257,AW5257,AY5257)</f>
        <v>3466</v>
      </c>
      <c r="BC5257" s="28" t="n">
        <f aca="false">BA5257-BB5257</f>
        <v>0</v>
      </c>
      <c r="BD5257" s="32" t="n">
        <f aca="false">SUM(P5257,R5257,T5257,V5257,X5257,Z5257,AB5257,AD5257,AF5257,AH5257,AJ5257,AL5257,AN5257,AP5257,AR5257,AT5257,AV5257,AX5257)</f>
        <v>577.67</v>
      </c>
      <c r="BE5257" s="33" t="n">
        <f aca="false">AZ5257-BD5257</f>
        <v>0</v>
      </c>
      <c r="BF5257" s="34" t="n">
        <f aca="false">BD5257*M5257</f>
        <v>3466.02</v>
      </c>
      <c r="BG5257" s="35" t="n">
        <f aca="false">BA5257-BF5257</f>
        <v>-0.0200000000004366</v>
      </c>
      <c r="BH5257" s="19" t="str">
        <f aca="false">IF(BG5257=0,"",IF(BG5257&lt;&gt;BA5257,"erreur de calcul",IF(BD5257&lt;&gt;0,"pas de prix",IF(M5257&lt;&gt; 0,"pas de quantité","pas de prix, ni de quantité"))))</f>
        <v>erreur de calcul</v>
      </c>
      <c r="BI5257" s="19"/>
    </row>
    <row r="5258" customFormat="false" ht="15" hidden="false" customHeight="false" outlineLevel="0" collapsed="false">
      <c r="A5258" s="0" t="n">
        <v>14</v>
      </c>
      <c r="B5258" s="8" t="s">
        <v>24</v>
      </c>
      <c r="C5258" s="9" t="s">
        <v>25</v>
      </c>
      <c r="D5258" s="9" t="s">
        <v>26</v>
      </c>
      <c r="E5258" s="10" t="n">
        <v>1789</v>
      </c>
      <c r="F5258" s="9" t="s">
        <v>27</v>
      </c>
      <c r="G5258" s="9" t="s">
        <v>27</v>
      </c>
      <c r="H5258" s="11" t="n">
        <v>27</v>
      </c>
      <c r="I5258" s="11" t="s">
        <v>425</v>
      </c>
      <c r="J5258" s="14" t="n">
        <v>25</v>
      </c>
      <c r="K5258" s="14"/>
      <c r="L5258" s="16"/>
      <c r="M5258" s="27" t="n">
        <f aca="false">J5258+(K5258/20)+(L5258/240)</f>
        <v>25</v>
      </c>
      <c r="N5258" s="17" t="s">
        <v>64</v>
      </c>
      <c r="O5258" s="11"/>
      <c r="P5258" s="28"/>
      <c r="Q5258" s="28" t="n">
        <f aca="false">P5258*$M5258</f>
        <v>0</v>
      </c>
      <c r="R5258" s="28"/>
      <c r="S5258" s="28" t="n">
        <f aca="false">R5258*$M5258</f>
        <v>0</v>
      </c>
      <c r="T5258" s="28" t="n">
        <f aca="false">10*288*0.02+114*0.02</f>
        <v>59.88</v>
      </c>
      <c r="U5258" s="28" t="n">
        <v>1497</v>
      </c>
      <c r="V5258" s="28"/>
      <c r="W5258" s="28" t="n">
        <f aca="false">V5258*$M5258</f>
        <v>0</v>
      </c>
      <c r="X5258" s="28"/>
      <c r="Y5258" s="28" t="n">
        <f aca="false">X5258*$M5258</f>
        <v>0</v>
      </c>
      <c r="Z5258" s="28"/>
      <c r="AA5258" s="28" t="n">
        <f aca="false">Z5258*$M5258</f>
        <v>0</v>
      </c>
      <c r="AB5258" s="28"/>
      <c r="AC5258" s="28" t="n">
        <f aca="false">AB5258*$M5258</f>
        <v>0</v>
      </c>
      <c r="AD5258" s="28"/>
      <c r="AE5258" s="28" t="n">
        <f aca="false">AD5258*$M5258</f>
        <v>0</v>
      </c>
      <c r="AF5258" s="28"/>
      <c r="AG5258" s="28" t="n">
        <f aca="false">AF5258*$M5258</f>
        <v>0</v>
      </c>
      <c r="AH5258" s="28"/>
      <c r="AI5258" s="28" t="n">
        <f aca="false">AH5258*$M5258</f>
        <v>0</v>
      </c>
      <c r="AJ5258" s="28"/>
      <c r="AK5258" s="28" t="n">
        <f aca="false">AJ5258*$M5258</f>
        <v>0</v>
      </c>
      <c r="AL5258" s="28"/>
      <c r="AM5258" s="28" t="n">
        <f aca="false">AL5258*$M5258</f>
        <v>0</v>
      </c>
      <c r="AN5258" s="28"/>
      <c r="AO5258" s="28" t="n">
        <f aca="false">AN5258*$M5258</f>
        <v>0</v>
      </c>
      <c r="AP5258" s="28"/>
      <c r="AQ5258" s="28" t="n">
        <f aca="false">AP5258*$M5258</f>
        <v>0</v>
      </c>
      <c r="AR5258" s="28"/>
      <c r="AS5258" s="28" t="n">
        <f aca="false">AR5258*$M5258</f>
        <v>0</v>
      </c>
      <c r="AT5258" s="28"/>
      <c r="AU5258" s="28" t="n">
        <f aca="false">AT5258*$M5258</f>
        <v>0</v>
      </c>
      <c r="AV5258" s="28"/>
      <c r="AW5258" s="28" t="n">
        <f aca="false">AV5258*$M5258</f>
        <v>0</v>
      </c>
      <c r="AX5258" s="28"/>
      <c r="AY5258" s="28" t="n">
        <f aca="false">AX5258*$M5258</f>
        <v>0</v>
      </c>
      <c r="AZ5258" s="30" t="n">
        <f aca="false">10*288*0.02+114*0.02</f>
        <v>59.88</v>
      </c>
      <c r="BA5258" s="11" t="n">
        <v>1497</v>
      </c>
      <c r="BB5258" s="31" t="n">
        <f aca="false">SUM(Q5258,S5258,U5258,W5258,Y5258,AA5258,AC5258,AE5258,AG5258,AI5258,AK5258,AM5258,AO5258,AQ5258,AS5258,AU5258,AW5258,AY5258)</f>
        <v>1497</v>
      </c>
      <c r="BC5258" s="28" t="n">
        <f aca="false">BA5258-BB5258</f>
        <v>0</v>
      </c>
      <c r="BD5258" s="32" t="n">
        <f aca="false">SUM(P5258,R5258,T5258,V5258,X5258,Z5258,AB5258,AD5258,AF5258,AH5258,AJ5258,AL5258,AN5258,AP5258,AR5258,AT5258,AV5258,AX5258)</f>
        <v>59.88</v>
      </c>
      <c r="BE5258" s="33" t="n">
        <f aca="false">AZ5258-BD5258</f>
        <v>0</v>
      </c>
      <c r="BF5258" s="34" t="n">
        <f aca="false">BD5258*M5258</f>
        <v>1497</v>
      </c>
      <c r="BG5258" s="35" t="n">
        <f aca="false">BA5258-BF5258</f>
        <v>0</v>
      </c>
      <c r="BH5258" s="19" t="str">
        <f aca="false">IF(BG5258=0,"",IF(BG5258&lt;&gt;BA5258,"erreur de calcul",IF(BD5258&lt;&gt;0,"pas de prix",IF(M5258&lt;&gt; 0,"pas de quantité","pas de prix, ni de quantité"))))</f>
        <v/>
      </c>
      <c r="BI5258" s="19"/>
    </row>
    <row r="5259" customFormat="false" ht="15" hidden="false" customHeight="false" outlineLevel="0" collapsed="false">
      <c r="A5259" s="0" t="n">
        <v>15</v>
      </c>
      <c r="B5259" s="8" t="s">
        <v>24</v>
      </c>
      <c r="C5259" s="9" t="s">
        <v>25</v>
      </c>
      <c r="D5259" s="9" t="s">
        <v>26</v>
      </c>
      <c r="E5259" s="10" t="n">
        <v>1789</v>
      </c>
      <c r="F5259" s="9" t="s">
        <v>27</v>
      </c>
      <c r="G5259" s="9" t="s">
        <v>27</v>
      </c>
      <c r="H5259" s="11" t="n">
        <v>27</v>
      </c>
      <c r="I5259" s="11" t="s">
        <v>426</v>
      </c>
      <c r="J5259" s="14" t="n">
        <v>40</v>
      </c>
      <c r="K5259" s="14"/>
      <c r="L5259" s="16"/>
      <c r="M5259" s="27" t="n">
        <f aca="false">J5259+(K5259/20)+(L5259/240)</f>
        <v>40</v>
      </c>
      <c r="N5259" s="17" t="s">
        <v>64</v>
      </c>
      <c r="O5259" s="11"/>
      <c r="P5259" s="28"/>
      <c r="Q5259" s="28" t="n">
        <f aca="false">P5259*$M5259</f>
        <v>0</v>
      </c>
      <c r="R5259" s="28"/>
      <c r="S5259" s="28" t="n">
        <f aca="false">R5259*$M5259</f>
        <v>0</v>
      </c>
      <c r="T5259" s="28"/>
      <c r="U5259" s="28" t="n">
        <f aca="false">T5259*$M5259</f>
        <v>0</v>
      </c>
      <c r="V5259" s="28"/>
      <c r="W5259" s="28" t="n">
        <f aca="false">V5259*$M5259</f>
        <v>0</v>
      </c>
      <c r="X5259" s="28"/>
      <c r="Y5259" s="28" t="n">
        <f aca="false">X5259*$M5259</f>
        <v>0</v>
      </c>
      <c r="Z5259" s="28"/>
      <c r="AA5259" s="28" t="n">
        <f aca="false">Z5259*$M5259</f>
        <v>0</v>
      </c>
      <c r="AB5259" s="28"/>
      <c r="AC5259" s="28" t="n">
        <f aca="false">AB5259*$M5259</f>
        <v>0</v>
      </c>
      <c r="AD5259" s="28"/>
      <c r="AE5259" s="28" t="n">
        <f aca="false">AD5259*$M5259</f>
        <v>0</v>
      </c>
      <c r="AF5259" s="28"/>
      <c r="AG5259" s="28" t="n">
        <f aca="false">AF5259*$M5259</f>
        <v>0</v>
      </c>
      <c r="AH5259" s="28" t="n">
        <f aca="false">1*288*0.02+59*0.02</f>
        <v>6.94</v>
      </c>
      <c r="AI5259" s="28" t="n">
        <v>278</v>
      </c>
      <c r="AJ5259" s="28"/>
      <c r="AK5259" s="28" t="n">
        <f aca="false">AJ5259*$M5259</f>
        <v>0</v>
      </c>
      <c r="AL5259" s="28"/>
      <c r="AM5259" s="28" t="n">
        <f aca="false">AL5259*$M5259</f>
        <v>0</v>
      </c>
      <c r="AN5259" s="28"/>
      <c r="AO5259" s="28" t="n">
        <f aca="false">AN5259*$M5259</f>
        <v>0</v>
      </c>
      <c r="AP5259" s="28"/>
      <c r="AQ5259" s="28" t="n">
        <f aca="false">AP5259*$M5259</f>
        <v>0</v>
      </c>
      <c r="AR5259" s="28"/>
      <c r="AS5259" s="28" t="n">
        <f aca="false">AR5259*$M5259</f>
        <v>0</v>
      </c>
      <c r="AT5259" s="28"/>
      <c r="AU5259" s="28" t="n">
        <f aca="false">AT5259*$M5259</f>
        <v>0</v>
      </c>
      <c r="AV5259" s="28"/>
      <c r="AW5259" s="28" t="n">
        <f aca="false">AV5259*$M5259</f>
        <v>0</v>
      </c>
      <c r="AX5259" s="28"/>
      <c r="AY5259" s="28" t="n">
        <f aca="false">AX5259*$M5259</f>
        <v>0</v>
      </c>
      <c r="AZ5259" s="30" t="n">
        <f aca="false">1*288*0.02+59*0.02</f>
        <v>6.94</v>
      </c>
      <c r="BA5259" s="11" t="n">
        <v>278</v>
      </c>
      <c r="BB5259" s="31" t="n">
        <f aca="false">SUM(Q5259,S5259,U5259,W5259,Y5259,AA5259,AC5259,AE5259,AG5259,AI5259,AK5259,AM5259,AO5259,AQ5259,AS5259,AU5259,AW5259,AY5259)</f>
        <v>278</v>
      </c>
      <c r="BC5259" s="28" t="n">
        <f aca="false">BA5259-BB5259</f>
        <v>0</v>
      </c>
      <c r="BD5259" s="32" t="n">
        <f aca="false">SUM(P5259,R5259,T5259,V5259,X5259,Z5259,AB5259,AD5259,AF5259,AH5259,AJ5259,AL5259,AN5259,AP5259,AR5259,AT5259,AV5259,AX5259)</f>
        <v>6.94</v>
      </c>
      <c r="BE5259" s="33" t="n">
        <f aca="false">AZ5259-BD5259</f>
        <v>0</v>
      </c>
      <c r="BF5259" s="34" t="n">
        <f aca="false">BD5259*M5259</f>
        <v>277.6</v>
      </c>
      <c r="BG5259" s="35" t="n">
        <f aca="false">BA5259-BF5259</f>
        <v>0.400000000000034</v>
      </c>
      <c r="BH5259" s="19" t="str">
        <f aca="false">IF(BG5259=0,"",IF(BG5259&lt;&gt;BA5259,"erreur de calcul",IF(BD5259&lt;&gt;0,"pas de prix",IF(M5259&lt;&gt; 0,"pas de quantité","pas de prix, ni de quantité"))))</f>
        <v>erreur de calcul</v>
      </c>
      <c r="BI5259" s="19"/>
    </row>
    <row r="5260" customFormat="false" ht="15" hidden="false" customHeight="false" outlineLevel="0" collapsed="false">
      <c r="A5260" s="0" t="n">
        <v>16</v>
      </c>
      <c r="B5260" s="8" t="s">
        <v>24</v>
      </c>
      <c r="C5260" s="9" t="s">
        <v>25</v>
      </c>
      <c r="D5260" s="9" t="s">
        <v>26</v>
      </c>
      <c r="E5260" s="10" t="n">
        <v>1789</v>
      </c>
      <c r="F5260" s="9" t="s">
        <v>27</v>
      </c>
      <c r="G5260" s="9" t="s">
        <v>27</v>
      </c>
      <c r="H5260" s="11" t="n">
        <v>27</v>
      </c>
      <c r="I5260" s="11" t="s">
        <v>427</v>
      </c>
      <c r="J5260" s="14" t="n">
        <v>32</v>
      </c>
      <c r="K5260" s="14"/>
      <c r="L5260" s="16"/>
      <c r="M5260" s="27" t="n">
        <f aca="false">J5260+(K5260/20)+(L5260/240)</f>
        <v>32</v>
      </c>
      <c r="N5260" s="17" t="s">
        <v>64</v>
      </c>
      <c r="O5260" s="11"/>
      <c r="P5260" s="28" t="n">
        <f aca="false">33*288*0.02+179*0.02</f>
        <v>193.66</v>
      </c>
      <c r="Q5260" s="28" t="n">
        <v>6197</v>
      </c>
      <c r="R5260" s="28"/>
      <c r="S5260" s="28" t="n">
        <f aca="false">R5260*$M5260</f>
        <v>0</v>
      </c>
      <c r="T5260" s="28"/>
      <c r="U5260" s="28" t="n">
        <f aca="false">T5260*$M5260</f>
        <v>0</v>
      </c>
      <c r="V5260" s="28"/>
      <c r="W5260" s="28" t="n">
        <f aca="false">V5260*$M5260</f>
        <v>0</v>
      </c>
      <c r="X5260" s="28"/>
      <c r="Y5260" s="28" t="n">
        <f aca="false">X5260*$M5260</f>
        <v>0</v>
      </c>
      <c r="Z5260" s="28"/>
      <c r="AA5260" s="28" t="n">
        <f aca="false">Z5260*$M5260</f>
        <v>0</v>
      </c>
      <c r="AB5260" s="28"/>
      <c r="AC5260" s="28" t="n">
        <f aca="false">AB5260*$M5260</f>
        <v>0</v>
      </c>
      <c r="AD5260" s="28"/>
      <c r="AE5260" s="28" t="n">
        <f aca="false">AD5260*$M5260</f>
        <v>0</v>
      </c>
      <c r="AF5260" s="28"/>
      <c r="AG5260" s="28" t="n">
        <f aca="false">AF5260*$M5260</f>
        <v>0</v>
      </c>
      <c r="AH5260" s="28"/>
      <c r="AI5260" s="28" t="n">
        <f aca="false">AH5260*$M5260</f>
        <v>0</v>
      </c>
      <c r="AJ5260" s="28"/>
      <c r="AK5260" s="28" t="n">
        <f aca="false">AJ5260*$M5260</f>
        <v>0</v>
      </c>
      <c r="AL5260" s="28"/>
      <c r="AM5260" s="28" t="n">
        <f aca="false">AL5260*$M5260</f>
        <v>0</v>
      </c>
      <c r="AN5260" s="28"/>
      <c r="AO5260" s="28" t="n">
        <f aca="false">AN5260*$M5260</f>
        <v>0</v>
      </c>
      <c r="AP5260" s="28"/>
      <c r="AQ5260" s="28" t="n">
        <f aca="false">AP5260*$M5260</f>
        <v>0</v>
      </c>
      <c r="AR5260" s="28"/>
      <c r="AS5260" s="28" t="n">
        <f aca="false">AR5260*$M5260</f>
        <v>0</v>
      </c>
      <c r="AT5260" s="28"/>
      <c r="AU5260" s="28" t="n">
        <f aca="false">AT5260*$M5260</f>
        <v>0</v>
      </c>
      <c r="AV5260" s="28"/>
      <c r="AW5260" s="28" t="n">
        <f aca="false">AV5260*$M5260</f>
        <v>0</v>
      </c>
      <c r="AX5260" s="28"/>
      <c r="AY5260" s="28" t="n">
        <f aca="false">AX5260*$M5260</f>
        <v>0</v>
      </c>
      <c r="AZ5260" s="30" t="n">
        <f aca="false">33*288*0.02+179*0.02</f>
        <v>193.66</v>
      </c>
      <c r="BA5260" s="11" t="n">
        <v>6197</v>
      </c>
      <c r="BB5260" s="31" t="n">
        <f aca="false">SUM(Q5260,S5260,U5260,W5260,Y5260,AA5260,AC5260,AE5260,AG5260,AI5260,AK5260,AM5260,AO5260,AQ5260,AS5260,AU5260,AW5260,AY5260)</f>
        <v>6197</v>
      </c>
      <c r="BC5260" s="28" t="n">
        <f aca="false">BA5260-BB5260</f>
        <v>0</v>
      </c>
      <c r="BD5260" s="32" t="n">
        <f aca="false">SUM(P5260,R5260,T5260,V5260,X5260,Z5260,AB5260,AD5260,AF5260,AH5260,AJ5260,AL5260,AN5260,AP5260,AR5260,AT5260,AV5260,AX5260)</f>
        <v>193.66</v>
      </c>
      <c r="BE5260" s="33" t="n">
        <f aca="false">AZ5260-BD5260</f>
        <v>0</v>
      </c>
      <c r="BF5260" s="34" t="n">
        <f aca="false">BD5260*M5260</f>
        <v>6197.12</v>
      </c>
      <c r="BG5260" s="35" t="n">
        <f aca="false">BA5260-BF5260</f>
        <v>-0.1200000000008</v>
      </c>
      <c r="BH5260" s="19" t="str">
        <f aca="false">IF(BG5260=0,"",IF(BG5260&lt;&gt;BA5260,"erreur de calcul",IF(BD5260&lt;&gt;0,"pas de prix",IF(M5260&lt;&gt; 0,"pas de quantité","pas de prix, ni de quantité"))))</f>
        <v>erreur de calcul</v>
      </c>
      <c r="BI5260" s="19"/>
    </row>
    <row r="5261" customFormat="false" ht="15" hidden="false" customHeight="false" outlineLevel="0" collapsed="false">
      <c r="A5261" s="0" t="n">
        <v>17</v>
      </c>
      <c r="B5261" s="8" t="s">
        <v>24</v>
      </c>
      <c r="C5261" s="9" t="s">
        <v>25</v>
      </c>
      <c r="D5261" s="9" t="s">
        <v>26</v>
      </c>
      <c r="E5261" s="10" t="n">
        <v>1789</v>
      </c>
      <c r="F5261" s="9" t="s">
        <v>27</v>
      </c>
      <c r="G5261" s="9" t="s">
        <v>27</v>
      </c>
      <c r="H5261" s="11" t="n">
        <v>27</v>
      </c>
      <c r="I5261" s="11" t="s">
        <v>428</v>
      </c>
      <c r="J5261" s="14"/>
      <c r="K5261" s="14" t="n">
        <v>12</v>
      </c>
      <c r="L5261" s="16"/>
      <c r="M5261" s="27" t="n">
        <f aca="false">J5261+(K5261/20)+(L5261/240)</f>
        <v>0.6</v>
      </c>
      <c r="N5261" s="17" t="s">
        <v>429</v>
      </c>
      <c r="O5261" s="11"/>
      <c r="P5261" s="28" t="n">
        <f aca="false">620*288+173</f>
        <v>178733</v>
      </c>
      <c r="Q5261" s="28" t="n">
        <v>107240</v>
      </c>
      <c r="R5261" s="28"/>
      <c r="S5261" s="28" t="n">
        <f aca="false">R5261*$M5261</f>
        <v>0</v>
      </c>
      <c r="T5261" s="28"/>
      <c r="U5261" s="28" t="n">
        <f aca="false">T5261*$M5261</f>
        <v>0</v>
      </c>
      <c r="V5261" s="28" t="n">
        <f aca="false">4*288+179</f>
        <v>1331</v>
      </c>
      <c r="W5261" s="28" t="n">
        <v>799</v>
      </c>
      <c r="X5261" s="28"/>
      <c r="Y5261" s="28" t="n">
        <f aca="false">X5261*$M5261</f>
        <v>0</v>
      </c>
      <c r="Z5261" s="28"/>
      <c r="AA5261" s="28" t="n">
        <f aca="false">Z5261*$M5261</f>
        <v>0</v>
      </c>
      <c r="AB5261" s="28"/>
      <c r="AC5261" s="28" t="n">
        <f aca="false">AB5261*$M5261</f>
        <v>0</v>
      </c>
      <c r="AD5261" s="28"/>
      <c r="AE5261" s="28" t="n">
        <f aca="false">AD5261*$M5261</f>
        <v>0</v>
      </c>
      <c r="AF5261" s="28"/>
      <c r="AG5261" s="28" t="n">
        <f aca="false">AF5261*$M5261</f>
        <v>0</v>
      </c>
      <c r="AH5261" s="28" t="n">
        <f aca="false">12*288+227</f>
        <v>3683</v>
      </c>
      <c r="AI5261" s="28" t="n">
        <v>2210</v>
      </c>
      <c r="AJ5261" s="28"/>
      <c r="AK5261" s="28" t="n">
        <f aca="false">AJ5261*$M5261</f>
        <v>0</v>
      </c>
      <c r="AL5261" s="28"/>
      <c r="AM5261" s="28" t="n">
        <f aca="false">AL5261*$M5261</f>
        <v>0</v>
      </c>
      <c r="AN5261" s="28"/>
      <c r="AO5261" s="28" t="n">
        <f aca="false">AN5261*$M5261</f>
        <v>0</v>
      </c>
      <c r="AP5261" s="28"/>
      <c r="AQ5261" s="28" t="n">
        <f aca="false">AP5261*$M5261</f>
        <v>0</v>
      </c>
      <c r="AR5261" s="28"/>
      <c r="AS5261" s="28" t="n">
        <f aca="false">AR5261*$M5261</f>
        <v>0</v>
      </c>
      <c r="AT5261" s="28"/>
      <c r="AU5261" s="28" t="n">
        <f aca="false">AT5261*$M5261</f>
        <v>0</v>
      </c>
      <c r="AV5261" s="28"/>
      <c r="AW5261" s="28" t="n">
        <f aca="false">AV5261*$M5261</f>
        <v>0</v>
      </c>
      <c r="AX5261" s="28"/>
      <c r="AY5261" s="28" t="n">
        <f aca="false">AX5261*$M5261</f>
        <v>0</v>
      </c>
      <c r="AZ5261" s="30" t="n">
        <f aca="false">638*288+3</f>
        <v>183747</v>
      </c>
      <c r="BA5261" s="11" t="n">
        <v>110249</v>
      </c>
      <c r="BB5261" s="31" t="n">
        <f aca="false">SUM(Q5261,S5261,U5261,W5261,Y5261,AA5261,AC5261,AE5261,AG5261,AI5261,AK5261,AM5261,AO5261,AQ5261,AS5261,AU5261,AW5261,AY5261)</f>
        <v>110249</v>
      </c>
      <c r="BC5261" s="28" t="n">
        <f aca="false">BA5261-BB5261</f>
        <v>0</v>
      </c>
      <c r="BD5261" s="32" t="n">
        <f aca="false">SUM(P5261,R5261,T5261,V5261,X5261,Z5261,AB5261,AD5261,AF5261,AH5261,AJ5261,AL5261,AN5261,AP5261,AR5261,AT5261,AV5261,AX5261)</f>
        <v>183747</v>
      </c>
      <c r="BE5261" s="33" t="n">
        <f aca="false">AZ5261-BD5261</f>
        <v>0</v>
      </c>
      <c r="BF5261" s="34" t="n">
        <f aca="false">BD5261*M5261</f>
        <v>110248.2</v>
      </c>
      <c r="BG5261" s="35" t="n">
        <f aca="false">BA5261-BF5261</f>
        <v>0.80000000000291</v>
      </c>
      <c r="BH5261" s="19" t="str">
        <f aca="false">IF(BG5261=0,"",IF(BG5261&lt;&gt;BA5261,"erreur de calcul",IF(BD5261&lt;&gt;0,"pas de prix",IF(M5261&lt;&gt; 0,"pas de quantité","pas de prix, ni de quantité"))))</f>
        <v>erreur de calcul</v>
      </c>
      <c r="BI5261" s="19"/>
    </row>
    <row r="5262" customFormat="false" ht="15" hidden="false" customHeight="false" outlineLevel="0" collapsed="false">
      <c r="A5262" s="0" t="n">
        <v>18</v>
      </c>
      <c r="B5262" s="8" t="s">
        <v>24</v>
      </c>
      <c r="C5262" s="9" t="s">
        <v>25</v>
      </c>
      <c r="D5262" s="9" t="s">
        <v>26</v>
      </c>
      <c r="E5262" s="10" t="n">
        <v>1789</v>
      </c>
      <c r="F5262" s="9" t="s">
        <v>27</v>
      </c>
      <c r="G5262" s="9" t="s">
        <v>27</v>
      </c>
      <c r="H5262" s="11" t="n">
        <v>27</v>
      </c>
      <c r="I5262" s="11" t="s">
        <v>430</v>
      </c>
      <c r="J5262" s="14" t="n">
        <v>30</v>
      </c>
      <c r="K5262" s="14"/>
      <c r="L5262" s="16"/>
      <c r="M5262" s="27" t="n">
        <f aca="false">J5262+(K5262/20)+(L5262/240)</f>
        <v>30</v>
      </c>
      <c r="N5262" s="17" t="s">
        <v>64</v>
      </c>
      <c r="O5262" s="11" t="s">
        <v>77</v>
      </c>
      <c r="P5262" s="28"/>
      <c r="Q5262" s="28" t="n">
        <f aca="false">P5262*$M5262</f>
        <v>0</v>
      </c>
      <c r="R5262" s="28"/>
      <c r="S5262" s="28" t="n">
        <f aca="false">R5262*$M5262</f>
        <v>0</v>
      </c>
      <c r="T5262" s="28" t="n">
        <f aca="false">3*288*0.02+162*0.02</f>
        <v>20.52</v>
      </c>
      <c r="U5262" s="28" t="n">
        <v>616</v>
      </c>
      <c r="V5262" s="28"/>
      <c r="W5262" s="28" t="n">
        <f aca="false">V5262*$M5262</f>
        <v>0</v>
      </c>
      <c r="X5262" s="28" t="n">
        <f aca="false">4*288*0.02+17*0.02</f>
        <v>23.38</v>
      </c>
      <c r="Y5262" s="28" t="n">
        <v>702</v>
      </c>
      <c r="Z5262" s="28" t="n">
        <f aca="false">3*288*0.02+169*0.02</f>
        <v>20.66</v>
      </c>
      <c r="AA5262" s="28" t="n">
        <v>620</v>
      </c>
      <c r="AB5262" s="28" t="n">
        <f aca="false">10*288*0.02+224*0.02</f>
        <v>62.08</v>
      </c>
      <c r="AC5262" s="28" t="n">
        <v>1863</v>
      </c>
      <c r="AD5262" s="28"/>
      <c r="AE5262" s="28" t="n">
        <f aca="false">AD5262*$M5262</f>
        <v>0</v>
      </c>
      <c r="AF5262" s="28"/>
      <c r="AG5262" s="28" t="n">
        <f aca="false">AF5262*$M5262</f>
        <v>0</v>
      </c>
      <c r="AH5262" s="28" t="n">
        <f aca="false">200*0.02</f>
        <v>4</v>
      </c>
      <c r="AI5262" s="28" t="n">
        <v>120</v>
      </c>
      <c r="AJ5262" s="28"/>
      <c r="AK5262" s="28" t="n">
        <f aca="false">AJ5262*$M5262</f>
        <v>0</v>
      </c>
      <c r="AL5262" s="28"/>
      <c r="AM5262" s="28" t="n">
        <f aca="false">AL5262*$M5262</f>
        <v>0</v>
      </c>
      <c r="AN5262" s="28"/>
      <c r="AO5262" s="28" t="n">
        <f aca="false">AN5262*$M5262</f>
        <v>0</v>
      </c>
      <c r="AP5262" s="28"/>
      <c r="AQ5262" s="28" t="n">
        <f aca="false">AP5262*$M5262</f>
        <v>0</v>
      </c>
      <c r="AR5262" s="28"/>
      <c r="AS5262" s="28" t="n">
        <f aca="false">AR5262*$M5262</f>
        <v>0</v>
      </c>
      <c r="AT5262" s="28"/>
      <c r="AU5262" s="28" t="n">
        <f aca="false">AT5262*$M5262</f>
        <v>0</v>
      </c>
      <c r="AV5262" s="28"/>
      <c r="AW5262" s="28" t="n">
        <f aca="false">AV5262*$M5262</f>
        <v>0</v>
      </c>
      <c r="AX5262" s="28"/>
      <c r="AY5262" s="28" t="n">
        <f aca="false">AX5262*$M5262</f>
        <v>0</v>
      </c>
      <c r="AZ5262" s="30" t="n">
        <f aca="false">22*288*0.02+196*0.02</f>
        <v>130.64</v>
      </c>
      <c r="BA5262" s="11" t="n">
        <v>3921</v>
      </c>
      <c r="BB5262" s="31" t="n">
        <f aca="false">SUM(Q5262,S5262,U5262,W5262,Y5262,AA5262,AC5262,AE5262,AG5262,AI5262,AK5262,AM5262,AO5262,AQ5262,AS5262,AU5262,AW5262,AY5262)</f>
        <v>3921</v>
      </c>
      <c r="BC5262" s="28" t="n">
        <f aca="false">BA5262-BB5262</f>
        <v>0</v>
      </c>
      <c r="BD5262" s="32" t="n">
        <f aca="false">SUM(P5262,R5262,T5262,V5262,X5262,Z5262,AB5262,AD5262,AF5262,AH5262,AJ5262,AL5262,AN5262,AP5262,AR5262,AT5262,AV5262,AX5262)</f>
        <v>130.64</v>
      </c>
      <c r="BE5262" s="33" t="n">
        <f aca="false">AZ5262-BD5262</f>
        <v>0</v>
      </c>
      <c r="BF5262" s="34" t="n">
        <f aca="false">BD5262*M5262</f>
        <v>3919.2</v>
      </c>
      <c r="BG5262" s="35" t="n">
        <f aca="false">BA5262-BF5262</f>
        <v>1.80000000000018</v>
      </c>
      <c r="BH5262" s="19" t="str">
        <f aca="false">IF(BG5262=0,"",IF(BG5262&lt;&gt;BA5262,"erreur de calcul",IF(BD5262&lt;&gt;0,"pas de prix",IF(M5262&lt;&gt; 0,"pas de quantité","pas de prix, ni de quantité"))))</f>
        <v>erreur de calcul</v>
      </c>
      <c r="BI5262" s="19"/>
    </row>
    <row r="5263" customFormat="false" ht="15" hidden="false" customHeight="false" outlineLevel="0" collapsed="false">
      <c r="A5263" s="0" t="n">
        <v>19</v>
      </c>
      <c r="B5263" s="8" t="s">
        <v>24</v>
      </c>
      <c r="C5263" s="9" t="s">
        <v>25</v>
      </c>
      <c r="D5263" s="9" t="s">
        <v>26</v>
      </c>
      <c r="E5263" s="10" t="n">
        <v>1789</v>
      </c>
      <c r="F5263" s="9" t="s">
        <v>27</v>
      </c>
      <c r="G5263" s="9" t="s">
        <v>27</v>
      </c>
      <c r="H5263" s="11" t="n">
        <v>27</v>
      </c>
      <c r="I5263" s="11" t="s">
        <v>431</v>
      </c>
      <c r="J5263" s="14" t="n">
        <v>10</v>
      </c>
      <c r="K5263" s="14"/>
      <c r="L5263" s="16"/>
      <c r="M5263" s="27" t="n">
        <f aca="false">J5263+(K5263/20)+(L5263/240)</f>
        <v>10</v>
      </c>
      <c r="N5263" s="17" t="s">
        <v>432</v>
      </c>
      <c r="O5263" s="11" t="s">
        <v>109</v>
      </c>
      <c r="P5263" s="28" t="n">
        <f aca="false">105*(288/62.5)+135/62.5</f>
        <v>486</v>
      </c>
      <c r="Q5263" s="28" t="n">
        <v>4860</v>
      </c>
      <c r="R5263" s="28"/>
      <c r="S5263" s="28" t="n">
        <f aca="false">R5263*$M5263</f>
        <v>0</v>
      </c>
      <c r="T5263" s="28" t="n">
        <f aca="false">8*(288/62.5)+196/62.5</f>
        <v>40</v>
      </c>
      <c r="U5263" s="28" t="n">
        <v>400</v>
      </c>
      <c r="V5263" s="28"/>
      <c r="W5263" s="28" t="n">
        <f aca="false">V5263*$M5263</f>
        <v>0</v>
      </c>
      <c r="X5263" s="28"/>
      <c r="Y5263" s="28" t="n">
        <f aca="false">X5263*$M5263</f>
        <v>0</v>
      </c>
      <c r="Z5263" s="28"/>
      <c r="AA5263" s="28" t="n">
        <f aca="false">Z5263*$M5263</f>
        <v>0</v>
      </c>
      <c r="AB5263" s="28"/>
      <c r="AC5263" s="28" t="n">
        <f aca="false">AB5263*$M5263</f>
        <v>0</v>
      </c>
      <c r="AD5263" s="28"/>
      <c r="AE5263" s="28" t="n">
        <f aca="false">AD5263*$M5263</f>
        <v>0</v>
      </c>
      <c r="AF5263" s="28"/>
      <c r="AG5263" s="28" t="n">
        <f aca="false">AF5263*$M5263</f>
        <v>0</v>
      </c>
      <c r="AH5263" s="28"/>
      <c r="AI5263" s="28" t="n">
        <f aca="false">AH5263*$M5263</f>
        <v>0</v>
      </c>
      <c r="AJ5263" s="28"/>
      <c r="AK5263" s="28" t="n">
        <f aca="false">AJ5263*$M5263</f>
        <v>0</v>
      </c>
      <c r="AL5263" s="28"/>
      <c r="AM5263" s="28" t="n">
        <f aca="false">AL5263*$M5263</f>
        <v>0</v>
      </c>
      <c r="AN5263" s="28"/>
      <c r="AO5263" s="28" t="n">
        <f aca="false">AN5263*$M5263</f>
        <v>0</v>
      </c>
      <c r="AP5263" s="28"/>
      <c r="AQ5263" s="28" t="n">
        <f aca="false">AP5263*$M5263</f>
        <v>0</v>
      </c>
      <c r="AR5263" s="28"/>
      <c r="AS5263" s="28" t="n">
        <f aca="false">AR5263*$M5263</f>
        <v>0</v>
      </c>
      <c r="AT5263" s="28"/>
      <c r="AU5263" s="28" t="n">
        <f aca="false">AT5263*$M5263</f>
        <v>0</v>
      </c>
      <c r="AV5263" s="28"/>
      <c r="AW5263" s="28" t="n">
        <f aca="false">AV5263*$M5263</f>
        <v>0</v>
      </c>
      <c r="AX5263" s="28"/>
      <c r="AY5263" s="28" t="n">
        <f aca="false">AX5263*$M5263</f>
        <v>0</v>
      </c>
      <c r="AZ5263" s="30" t="n">
        <f aca="false">114*(288/62.5)+43/62.5</f>
        <v>526</v>
      </c>
      <c r="BA5263" s="11" t="n">
        <v>5260</v>
      </c>
      <c r="BB5263" s="31" t="n">
        <f aca="false">SUM(Q5263,S5263,U5263,W5263,Y5263,AA5263,AC5263,AE5263,AG5263,AI5263,AK5263,AM5263,AO5263,AQ5263,AS5263,AU5263,AW5263,AY5263)</f>
        <v>5260</v>
      </c>
      <c r="BC5263" s="28" t="n">
        <f aca="false">BA5263-BB5263</f>
        <v>0</v>
      </c>
      <c r="BD5263" s="32" t="n">
        <f aca="false">SUM(P5263,R5263,T5263,V5263,X5263,Z5263,AB5263,AD5263,AF5263,AH5263,AJ5263,AL5263,AN5263,AP5263,AR5263,AT5263,AV5263,AX5263)</f>
        <v>526</v>
      </c>
      <c r="BE5263" s="33" t="n">
        <f aca="false">AZ5263-BD5263</f>
        <v>0</v>
      </c>
      <c r="BF5263" s="34" t="n">
        <f aca="false">BD5263*M5263</f>
        <v>5260</v>
      </c>
      <c r="BG5263" s="35" t="n">
        <f aca="false">BA5263-BF5263</f>
        <v>0</v>
      </c>
      <c r="BH5263" s="19" t="str">
        <f aca="false">IF(BG5263=0,"",IF(BG5263&lt;&gt;BA5263,"erreur de calcul",IF(BD5263&lt;&gt;0,"pas de prix",IF(M5263&lt;&gt; 0,"pas de quantité","pas de prix, ni de quantité"))))</f>
        <v/>
      </c>
      <c r="BI5263" s="19"/>
    </row>
    <row r="5264" customFormat="false" ht="15" hidden="false" customHeight="false" outlineLevel="0" collapsed="false">
      <c r="A5264" s="0" t="n">
        <v>20</v>
      </c>
      <c r="B5264" s="8" t="s">
        <v>24</v>
      </c>
      <c r="C5264" s="9" t="s">
        <v>25</v>
      </c>
      <c r="D5264" s="9" t="s">
        <v>26</v>
      </c>
      <c r="E5264" s="10" t="n">
        <v>1789</v>
      </c>
      <c r="F5264" s="9" t="s">
        <v>27</v>
      </c>
      <c r="G5264" s="9" t="s">
        <v>27</v>
      </c>
      <c r="H5264" s="11" t="n">
        <v>27</v>
      </c>
      <c r="I5264" s="11" t="s">
        <v>433</v>
      </c>
      <c r="J5264" s="14"/>
      <c r="K5264" s="14" t="n">
        <v>14</v>
      </c>
      <c r="L5264" s="16"/>
      <c r="M5264" s="27" t="n">
        <f aca="false">J5264+(K5264/20)+(L5264/240)</f>
        <v>0.7</v>
      </c>
      <c r="N5264" s="17" t="s">
        <v>429</v>
      </c>
      <c r="O5264" s="11"/>
      <c r="P5264" s="28" t="n">
        <f aca="false">103*288+190</f>
        <v>29854</v>
      </c>
      <c r="Q5264" s="28" t="n">
        <v>20898</v>
      </c>
      <c r="R5264" s="28"/>
      <c r="S5264" s="28" t="n">
        <f aca="false">R5264*$M5264</f>
        <v>0</v>
      </c>
      <c r="T5264" s="28"/>
      <c r="U5264" s="28" t="n">
        <f aca="false">T5264*$M5264</f>
        <v>0</v>
      </c>
      <c r="V5264" s="28"/>
      <c r="W5264" s="28" t="n">
        <f aca="false">V5264*$M5264</f>
        <v>0</v>
      </c>
      <c r="X5264" s="28"/>
      <c r="Y5264" s="28" t="n">
        <f aca="false">X5264*$M5264</f>
        <v>0</v>
      </c>
      <c r="Z5264" s="28"/>
      <c r="AA5264" s="28" t="n">
        <f aca="false">Z5264*$M5264</f>
        <v>0</v>
      </c>
      <c r="AB5264" s="28"/>
      <c r="AC5264" s="28" t="n">
        <f aca="false">AB5264*$M5264</f>
        <v>0</v>
      </c>
      <c r="AD5264" s="28"/>
      <c r="AE5264" s="28" t="n">
        <f aca="false">AD5264*$M5264</f>
        <v>0</v>
      </c>
      <c r="AF5264" s="28"/>
      <c r="AG5264" s="28" t="n">
        <f aca="false">AF5264*$M5264</f>
        <v>0</v>
      </c>
      <c r="AH5264" s="28"/>
      <c r="AI5264" s="28" t="n">
        <f aca="false">AH5264*$M5264</f>
        <v>0</v>
      </c>
      <c r="AJ5264" s="28"/>
      <c r="AK5264" s="28" t="n">
        <f aca="false">AJ5264*$M5264</f>
        <v>0</v>
      </c>
      <c r="AL5264" s="28"/>
      <c r="AM5264" s="28" t="n">
        <f aca="false">AL5264*$M5264</f>
        <v>0</v>
      </c>
      <c r="AN5264" s="28"/>
      <c r="AO5264" s="28" t="n">
        <f aca="false">AN5264*$M5264</f>
        <v>0</v>
      </c>
      <c r="AP5264" s="28"/>
      <c r="AQ5264" s="28" t="n">
        <f aca="false">AP5264*$M5264</f>
        <v>0</v>
      </c>
      <c r="AR5264" s="28"/>
      <c r="AS5264" s="28" t="n">
        <f aca="false">AR5264*$M5264</f>
        <v>0</v>
      </c>
      <c r="AT5264" s="28"/>
      <c r="AU5264" s="28" t="n">
        <f aca="false">AT5264*$M5264</f>
        <v>0</v>
      </c>
      <c r="AV5264" s="28"/>
      <c r="AW5264" s="28" t="n">
        <f aca="false">AV5264*$M5264</f>
        <v>0</v>
      </c>
      <c r="AX5264" s="28"/>
      <c r="AY5264" s="28" t="n">
        <f aca="false">AX5264*$M5264</f>
        <v>0</v>
      </c>
      <c r="AZ5264" s="30" t="n">
        <f aca="false">103*288+190</f>
        <v>29854</v>
      </c>
      <c r="BA5264" s="11" t="n">
        <v>20898</v>
      </c>
      <c r="BB5264" s="31" t="n">
        <f aca="false">SUM(Q5264,S5264,U5264,W5264,Y5264,AA5264,AC5264,AE5264,AG5264,AI5264,AK5264,AM5264,AO5264,AQ5264,AS5264,AU5264,AW5264,AY5264)</f>
        <v>20898</v>
      </c>
      <c r="BC5264" s="28" t="n">
        <f aca="false">BA5264-BB5264</f>
        <v>0</v>
      </c>
      <c r="BD5264" s="32" t="n">
        <f aca="false">SUM(P5264,R5264,T5264,V5264,X5264,Z5264,AB5264,AD5264,AF5264,AH5264,AJ5264,AL5264,AN5264,AP5264,AR5264,AT5264,AV5264,AX5264)</f>
        <v>29854</v>
      </c>
      <c r="BE5264" s="33" t="n">
        <f aca="false">AZ5264-BD5264</f>
        <v>0</v>
      </c>
      <c r="BF5264" s="34" t="n">
        <f aca="false">BD5264*M5264</f>
        <v>20897.8</v>
      </c>
      <c r="BG5264" s="35" t="n">
        <f aca="false">BA5264-BF5264</f>
        <v>0.200000000000728</v>
      </c>
      <c r="BH5264" s="19" t="str">
        <f aca="false">IF(BG5264=0,"",IF(BG5264&lt;&gt;BA5264,"erreur de calcul",IF(BD5264&lt;&gt;0,"pas de prix",IF(M5264&lt;&gt; 0,"pas de quantité","pas de prix, ni de quantité"))))</f>
        <v>erreur de calcul</v>
      </c>
      <c r="BI5264" s="19"/>
    </row>
    <row r="5265" customFormat="false" ht="15" hidden="false" customHeight="false" outlineLevel="0" collapsed="false">
      <c r="A5265" s="0" t="n">
        <v>21</v>
      </c>
      <c r="B5265" s="8" t="s">
        <v>24</v>
      </c>
      <c r="C5265" s="9" t="s">
        <v>25</v>
      </c>
      <c r="D5265" s="9" t="s">
        <v>26</v>
      </c>
      <c r="E5265" s="10" t="n">
        <v>1789</v>
      </c>
      <c r="F5265" s="9" t="s">
        <v>27</v>
      </c>
      <c r="G5265" s="9" t="s">
        <v>27</v>
      </c>
      <c r="H5265" s="11" t="n">
        <v>27</v>
      </c>
      <c r="I5265" s="11" t="s">
        <v>434</v>
      </c>
      <c r="J5265" s="14"/>
      <c r="K5265" s="14" t="n">
        <v>5</v>
      </c>
      <c r="L5265" s="16"/>
      <c r="M5265" s="27" t="n">
        <f aca="false">J5265+(K5265/20)+(L5265/240)</f>
        <v>0.25</v>
      </c>
      <c r="N5265" s="17" t="s">
        <v>79</v>
      </c>
      <c r="O5265" s="11"/>
      <c r="P5265" s="28" t="n">
        <v>300402</v>
      </c>
      <c r="Q5265" s="28" t="n">
        <v>75100</v>
      </c>
      <c r="R5265" s="28"/>
      <c r="S5265" s="28" t="n">
        <f aca="false">R5265*$M5265</f>
        <v>0</v>
      </c>
      <c r="T5265" s="28"/>
      <c r="U5265" s="28" t="n">
        <f aca="false">T5265*$M5265</f>
        <v>0</v>
      </c>
      <c r="V5265" s="28" t="n">
        <v>448</v>
      </c>
      <c r="W5265" s="28" t="n">
        <v>112</v>
      </c>
      <c r="X5265" s="28"/>
      <c r="Y5265" s="28" t="n">
        <f aca="false">X5265*$M5265</f>
        <v>0</v>
      </c>
      <c r="Z5265" s="28"/>
      <c r="AA5265" s="28" t="n">
        <f aca="false">Z5265*$M5265</f>
        <v>0</v>
      </c>
      <c r="AB5265" s="28"/>
      <c r="AC5265" s="28" t="n">
        <f aca="false">AB5265*$M5265</f>
        <v>0</v>
      </c>
      <c r="AD5265" s="28"/>
      <c r="AE5265" s="28" t="n">
        <f aca="false">AD5265*$M5265</f>
        <v>0</v>
      </c>
      <c r="AF5265" s="28"/>
      <c r="AG5265" s="28" t="n">
        <f aca="false">AF5265*$M5265</f>
        <v>0</v>
      </c>
      <c r="AH5265" s="28"/>
      <c r="AI5265" s="28" t="n">
        <f aca="false">AH5265*$M5265</f>
        <v>0</v>
      </c>
      <c r="AJ5265" s="28"/>
      <c r="AK5265" s="28" t="n">
        <f aca="false">AJ5265*$M5265</f>
        <v>0</v>
      </c>
      <c r="AL5265" s="28"/>
      <c r="AM5265" s="28" t="n">
        <f aca="false">AL5265*$M5265</f>
        <v>0</v>
      </c>
      <c r="AN5265" s="28"/>
      <c r="AO5265" s="28" t="n">
        <f aca="false">AN5265*$M5265</f>
        <v>0</v>
      </c>
      <c r="AP5265" s="28"/>
      <c r="AQ5265" s="28" t="n">
        <f aca="false">AP5265*$M5265</f>
        <v>0</v>
      </c>
      <c r="AR5265" s="28"/>
      <c r="AS5265" s="28" t="n">
        <f aca="false">AR5265*$M5265</f>
        <v>0</v>
      </c>
      <c r="AT5265" s="28"/>
      <c r="AU5265" s="28" t="n">
        <f aca="false">AT5265*$M5265</f>
        <v>0</v>
      </c>
      <c r="AV5265" s="28"/>
      <c r="AW5265" s="28" t="n">
        <f aca="false">AV5265*$M5265</f>
        <v>0</v>
      </c>
      <c r="AX5265" s="28"/>
      <c r="AY5265" s="28" t="n">
        <f aca="false">AX5265*$M5265</f>
        <v>0</v>
      </c>
      <c r="AZ5265" s="30" t="n">
        <v>300850</v>
      </c>
      <c r="BA5265" s="11" t="n">
        <v>75212</v>
      </c>
      <c r="BB5265" s="31" t="n">
        <f aca="false">SUM(Q5265,S5265,U5265,W5265,Y5265,AA5265,AC5265,AE5265,AG5265,AI5265,AK5265,AM5265,AO5265,AQ5265,AS5265,AU5265,AW5265,AY5265)</f>
        <v>75212</v>
      </c>
      <c r="BC5265" s="28" t="n">
        <f aca="false">BA5265-BB5265</f>
        <v>0</v>
      </c>
      <c r="BD5265" s="32" t="n">
        <f aca="false">SUM(P5265,R5265,T5265,V5265,X5265,Z5265,AB5265,AD5265,AF5265,AH5265,AJ5265,AL5265,AN5265,AP5265,AR5265,AT5265,AV5265,AX5265)</f>
        <v>300850</v>
      </c>
      <c r="BE5265" s="33" t="n">
        <f aca="false">AZ5265-BD5265</f>
        <v>0</v>
      </c>
      <c r="BF5265" s="34" t="n">
        <f aca="false">BD5265*M5265</f>
        <v>75212.5</v>
      </c>
      <c r="BG5265" s="35" t="n">
        <f aca="false">BA5265-BF5265</f>
        <v>-0.5</v>
      </c>
      <c r="BH5265" s="19" t="str">
        <f aca="false">IF(BG5265=0,"",IF(BG5265&lt;&gt;BA5265,"erreur de calcul",IF(BD5265&lt;&gt;0,"pas de prix",IF(M5265&lt;&gt; 0,"pas de quantité","pas de prix, ni de quantité"))))</f>
        <v>erreur de calcul</v>
      </c>
      <c r="BI5265" s="19"/>
    </row>
    <row r="5266" customFormat="false" ht="78.4" hidden="false" customHeight="true" outlineLevel="0" collapsed="false">
      <c r="A5266" s="0" t="s">
        <v>31</v>
      </c>
      <c r="B5266" s="2" t="s">
        <v>0</v>
      </c>
      <c r="C5266" s="2" t="s">
        <v>1</v>
      </c>
      <c r="D5266" s="2" t="s">
        <v>2</v>
      </c>
      <c r="E5266" s="2" t="s">
        <v>3</v>
      </c>
      <c r="F5266" s="2" t="s">
        <v>4</v>
      </c>
      <c r="G5266" s="2" t="s">
        <v>5</v>
      </c>
      <c r="H5266" s="2" t="s">
        <v>6</v>
      </c>
      <c r="I5266" s="3" t="s">
        <v>7</v>
      </c>
      <c r="J5266" s="5" t="s">
        <v>12</v>
      </c>
      <c r="K5266" s="5" t="s">
        <v>13</v>
      </c>
      <c r="L5266" s="5" t="s">
        <v>14</v>
      </c>
      <c r="M5266" s="7" t="s">
        <v>15</v>
      </c>
      <c r="N5266" s="6" t="s">
        <v>32</v>
      </c>
      <c r="O5266" s="6" t="s">
        <v>33</v>
      </c>
      <c r="P5266" s="6" t="s">
        <v>34</v>
      </c>
      <c r="Q5266" s="6"/>
      <c r="R5266" s="6" t="s">
        <v>35</v>
      </c>
      <c r="S5266" s="6"/>
      <c r="T5266" s="6" t="s">
        <v>36</v>
      </c>
      <c r="U5266" s="6"/>
      <c r="V5266" s="6" t="s">
        <v>37</v>
      </c>
      <c r="W5266" s="6"/>
      <c r="X5266" s="6" t="s">
        <v>38</v>
      </c>
      <c r="Y5266" s="6"/>
      <c r="Z5266" s="6" t="s">
        <v>39</v>
      </c>
      <c r="AA5266" s="6"/>
      <c r="AB5266" s="6" t="s">
        <v>40</v>
      </c>
      <c r="AC5266" s="6"/>
      <c r="AD5266" s="6" t="s">
        <v>41</v>
      </c>
      <c r="AE5266" s="6"/>
      <c r="AF5266" s="6" t="s">
        <v>42</v>
      </c>
      <c r="AG5266" s="6"/>
      <c r="AH5266" s="6" t="s">
        <v>43</v>
      </c>
      <c r="AI5266" s="6"/>
      <c r="AJ5266" s="6" t="s">
        <v>44</v>
      </c>
      <c r="AK5266" s="6"/>
      <c r="AL5266" s="6" t="s">
        <v>45</v>
      </c>
      <c r="AM5266" s="6"/>
      <c r="AN5266" s="6" t="s">
        <v>46</v>
      </c>
      <c r="AO5266" s="6"/>
      <c r="AP5266" s="6" t="s">
        <v>47</v>
      </c>
      <c r="AQ5266" s="6"/>
      <c r="AR5266" s="6" t="s">
        <v>48</v>
      </c>
      <c r="AS5266" s="6"/>
      <c r="AT5266" s="6" t="s">
        <v>49</v>
      </c>
      <c r="AU5266" s="6"/>
      <c r="AV5266" s="6" t="s">
        <v>50</v>
      </c>
      <c r="AW5266" s="6"/>
      <c r="AX5266" s="6" t="s">
        <v>51</v>
      </c>
      <c r="AY5266" s="6"/>
      <c r="AZ5266" s="6" t="s">
        <v>52</v>
      </c>
      <c r="BA5266" s="6"/>
      <c r="BB5266" s="6"/>
      <c r="BC5266" s="6"/>
      <c r="BD5266" s="6" t="s">
        <v>53</v>
      </c>
      <c r="BE5266" s="6" t="s">
        <v>54</v>
      </c>
      <c r="BF5266" s="6" t="s">
        <v>55</v>
      </c>
      <c r="BG5266" s="6" t="s">
        <v>56</v>
      </c>
      <c r="BH5266" s="6" t="s">
        <v>57</v>
      </c>
      <c r="BI5266" s="6" t="s">
        <v>23</v>
      </c>
    </row>
    <row r="5267" customFormat="false" ht="15" hidden="false" customHeight="false" outlineLevel="0" collapsed="false">
      <c r="B5267" s="20"/>
      <c r="C5267" s="20"/>
      <c r="D5267" s="20"/>
      <c r="E5267" s="21"/>
      <c r="F5267" s="20"/>
      <c r="G5267" s="20"/>
      <c r="H5267" s="20"/>
      <c r="I5267" s="22"/>
      <c r="J5267" s="23"/>
      <c r="K5267" s="23"/>
      <c r="L5267" s="24"/>
      <c r="M5267" s="25"/>
      <c r="N5267" s="25"/>
      <c r="O5267" s="26" t="s">
        <v>58</v>
      </c>
      <c r="P5267" s="25" t="s">
        <v>59</v>
      </c>
      <c r="Q5267" s="25" t="s">
        <v>60</v>
      </c>
      <c r="R5267" s="25" t="s">
        <v>59</v>
      </c>
      <c r="S5267" s="25" t="s">
        <v>60</v>
      </c>
      <c r="T5267" s="25" t="s">
        <v>59</v>
      </c>
      <c r="U5267" s="25" t="s">
        <v>60</v>
      </c>
      <c r="V5267" s="25" t="s">
        <v>59</v>
      </c>
      <c r="W5267" s="25" t="s">
        <v>60</v>
      </c>
      <c r="X5267" s="25" t="s">
        <v>59</v>
      </c>
      <c r="Y5267" s="25" t="s">
        <v>60</v>
      </c>
      <c r="Z5267" s="25" t="s">
        <v>59</v>
      </c>
      <c r="AA5267" s="25" t="s">
        <v>60</v>
      </c>
      <c r="AB5267" s="25" t="s">
        <v>59</v>
      </c>
      <c r="AC5267" s="25" t="s">
        <v>60</v>
      </c>
      <c r="AD5267" s="25" t="s">
        <v>59</v>
      </c>
      <c r="AE5267" s="25" t="s">
        <v>60</v>
      </c>
      <c r="AF5267" s="25" t="s">
        <v>59</v>
      </c>
      <c r="AG5267" s="25" t="s">
        <v>60</v>
      </c>
      <c r="AH5267" s="25" t="s">
        <v>59</v>
      </c>
      <c r="AI5267" s="25" t="s">
        <v>60</v>
      </c>
      <c r="AJ5267" s="25" t="s">
        <v>59</v>
      </c>
      <c r="AK5267" s="25" t="s">
        <v>60</v>
      </c>
      <c r="AL5267" s="25" t="s">
        <v>59</v>
      </c>
      <c r="AM5267" s="25" t="s">
        <v>60</v>
      </c>
      <c r="AN5267" s="25" t="s">
        <v>59</v>
      </c>
      <c r="AO5267" s="25" t="s">
        <v>60</v>
      </c>
      <c r="AP5267" s="25" t="s">
        <v>59</v>
      </c>
      <c r="AQ5267" s="25" t="s">
        <v>60</v>
      </c>
      <c r="AR5267" s="25" t="s">
        <v>59</v>
      </c>
      <c r="AS5267" s="25" t="s">
        <v>60</v>
      </c>
      <c r="AT5267" s="25" t="s">
        <v>59</v>
      </c>
      <c r="AU5267" s="25" t="s">
        <v>60</v>
      </c>
      <c r="AV5267" s="25" t="s">
        <v>59</v>
      </c>
      <c r="AW5267" s="25" t="s">
        <v>60</v>
      </c>
      <c r="AX5267" s="25" t="s">
        <v>59</v>
      </c>
      <c r="AY5267" s="25" t="s">
        <v>60</v>
      </c>
      <c r="AZ5267" s="25" t="s">
        <v>59</v>
      </c>
      <c r="BA5267" s="25" t="s">
        <v>60</v>
      </c>
      <c r="BB5267" s="25" t="s">
        <v>61</v>
      </c>
      <c r="BC5267" s="25" t="s">
        <v>62</v>
      </c>
      <c r="BD5267" s="20"/>
      <c r="BE5267" s="20"/>
      <c r="BF5267" s="20"/>
      <c r="BG5267" s="20"/>
      <c r="BH5267" s="20"/>
      <c r="BI5267" s="20"/>
    </row>
    <row r="5268" customFormat="false" ht="15" hidden="false" customHeight="false" outlineLevel="0" collapsed="false">
      <c r="A5268" s="0" t="n">
        <v>1</v>
      </c>
      <c r="B5268" s="8" t="s">
        <v>24</v>
      </c>
      <c r="C5268" s="9" t="s">
        <v>25</v>
      </c>
      <c r="D5268" s="9" t="s">
        <v>26</v>
      </c>
      <c r="E5268" s="10" t="n">
        <v>1789</v>
      </c>
      <c r="F5268" s="9" t="s">
        <v>27</v>
      </c>
      <c r="G5268" s="9" t="s">
        <v>27</v>
      </c>
      <c r="H5268" s="11" t="n">
        <v>18</v>
      </c>
      <c r="I5268" s="11" t="s">
        <v>63</v>
      </c>
      <c r="J5268" s="14" t="n">
        <v>27</v>
      </c>
      <c r="K5268" s="14"/>
      <c r="L5268" s="16"/>
      <c r="M5268" s="27" t="n">
        <f aca="false">J5268+(K5268/20)+(L5268/240)</f>
        <v>27</v>
      </c>
      <c r="N5268" s="17" t="s">
        <v>64</v>
      </c>
      <c r="O5268" s="11"/>
      <c r="P5268" s="28"/>
      <c r="Q5268" s="28" t="n">
        <f aca="false">P5268*$M5268</f>
        <v>0</v>
      </c>
      <c r="R5268" s="28"/>
      <c r="S5268" s="28" t="n">
        <f aca="false">R5268*$M5268</f>
        <v>0</v>
      </c>
      <c r="T5268" s="28"/>
      <c r="U5268" s="28" t="n">
        <f aca="false">T5268*$M5268</f>
        <v>0</v>
      </c>
      <c r="V5268" s="28" t="n">
        <f aca="false">700/100</f>
        <v>7</v>
      </c>
      <c r="W5268" s="28" t="n">
        <v>189</v>
      </c>
      <c r="X5268" s="29"/>
      <c r="Y5268" s="28" t="n">
        <v>9506</v>
      </c>
      <c r="Z5268" s="28"/>
      <c r="AA5268" s="28" t="n">
        <f aca="false">Z5268*$M5268</f>
        <v>0</v>
      </c>
      <c r="AB5268" s="28"/>
      <c r="AC5268" s="28" t="n">
        <f aca="false">AB5268*$M5268</f>
        <v>0</v>
      </c>
      <c r="AD5268" s="28"/>
      <c r="AE5268" s="28" t="n">
        <f aca="false">AD5268*$M5268</f>
        <v>0</v>
      </c>
      <c r="AF5268" s="28"/>
      <c r="AG5268" s="28" t="n">
        <f aca="false">AF5268*$M5268</f>
        <v>0</v>
      </c>
      <c r="AH5268" s="28"/>
      <c r="AI5268" s="28" t="n">
        <f aca="false">AH5268*$M5268</f>
        <v>0</v>
      </c>
      <c r="AJ5268" s="28" t="n">
        <f aca="false">72509/100</f>
        <v>725.09</v>
      </c>
      <c r="AK5268" s="28" t="n">
        <v>19577</v>
      </c>
      <c r="AL5268" s="28"/>
      <c r="AM5268" s="28" t="n">
        <f aca="false">AL5268*$M5268</f>
        <v>0</v>
      </c>
      <c r="AN5268" s="28"/>
      <c r="AO5268" s="28" t="n">
        <f aca="false">AN5268*$M5268</f>
        <v>0</v>
      </c>
      <c r="AP5268" s="28"/>
      <c r="AQ5268" s="28" t="n">
        <f aca="false">AP5268*$M5268</f>
        <v>0</v>
      </c>
      <c r="AR5268" s="28" t="n">
        <f aca="false">36750/100</f>
        <v>367.5</v>
      </c>
      <c r="AS5268" s="28" t="n">
        <v>9922</v>
      </c>
      <c r="AT5268" s="28"/>
      <c r="AU5268" s="28" t="n">
        <f aca="false">AT5268*$M5268</f>
        <v>0</v>
      </c>
      <c r="AV5268" s="28"/>
      <c r="AW5268" s="28" t="n">
        <f aca="false">AV5268*$M5268</f>
        <v>0</v>
      </c>
      <c r="AX5268" s="28"/>
      <c r="AY5268" s="28" t="n">
        <f aca="false">AX5268*$M5268</f>
        <v>0</v>
      </c>
      <c r="AZ5268" s="30" t="n">
        <f aca="false">145166/100</f>
        <v>1451.66</v>
      </c>
      <c r="BA5268" s="11" t="n">
        <v>39194</v>
      </c>
      <c r="BB5268" s="31" t="n">
        <f aca="false">SUM(Q5268,S5268,U5268,W5268,Y5268,AA5268,AC5268,AE5268,AG5268,AI5268,AK5268,AM5268,AO5268,AQ5268,AS5268,AU5268,AW5268,AY5268)</f>
        <v>39194</v>
      </c>
      <c r="BC5268" s="28" t="n">
        <f aca="false">BA5268-BB5268</f>
        <v>0</v>
      </c>
      <c r="BD5268" s="32" t="n">
        <f aca="false">SUM(P5268,R5268,T5268,V5268,X5268,Z5268,AB5268,AD5268,AF5268,AH5268,AJ5268,AL5268,AN5268,AP5268,AR5268,AT5268,AV5268,AX5268)</f>
        <v>1099.59</v>
      </c>
      <c r="BE5268" s="33" t="n">
        <f aca="false">AZ5268-BD5268</f>
        <v>352.07</v>
      </c>
      <c r="BF5268" s="34" t="n">
        <f aca="false">BD5268*M5268</f>
        <v>29688.93</v>
      </c>
      <c r="BG5268" s="35" t="n">
        <f aca="false">BA5268-BF5268</f>
        <v>9505.07</v>
      </c>
      <c r="BH5268" s="19" t="str">
        <f aca="false">IF(BG5268=0,"",IF(BG5268&lt;&gt;BA5268,"erreur de calcul",IF(BD5268&lt;&gt;0,"pas de prix",IF(M5268&lt;&gt; 0,"pas de quantité","pas de prix, ni de quantité"))))</f>
        <v>erreur de calcul</v>
      </c>
      <c r="BI5268" s="19"/>
    </row>
    <row r="5269" customFormat="false" ht="15" hidden="false" customHeight="false" outlineLevel="0" collapsed="false">
      <c r="A5269" s="0" t="n">
        <v>2</v>
      </c>
      <c r="B5269" s="8" t="s">
        <v>24</v>
      </c>
      <c r="C5269" s="9" t="s">
        <v>25</v>
      </c>
      <c r="D5269" s="9" t="s">
        <v>26</v>
      </c>
      <c r="E5269" s="10" t="n">
        <v>1789</v>
      </c>
      <c r="F5269" s="9" t="s">
        <v>27</v>
      </c>
      <c r="G5269" s="9" t="s">
        <v>27</v>
      </c>
      <c r="H5269" s="11" t="n">
        <v>18</v>
      </c>
      <c r="I5269" s="11" t="s">
        <v>65</v>
      </c>
      <c r="J5269" s="14"/>
      <c r="K5269" s="14" t="n">
        <v>20</v>
      </c>
      <c r="L5269" s="16"/>
      <c r="M5269" s="27" t="n">
        <f aca="false">J5269+(K5269/20)+(L5269/240)</f>
        <v>1</v>
      </c>
      <c r="N5269" s="17" t="s">
        <v>66</v>
      </c>
      <c r="O5269" s="11"/>
      <c r="P5269" s="28"/>
      <c r="Q5269" s="28" t="n">
        <f aca="false">P5269*$M5269</f>
        <v>0</v>
      </c>
      <c r="R5269" s="28"/>
      <c r="S5269" s="28" t="n">
        <f aca="false">R5269*$M5269</f>
        <v>0</v>
      </c>
      <c r="T5269" s="28"/>
      <c r="U5269" s="28" t="n">
        <f aca="false">T5269*$M5269</f>
        <v>0</v>
      </c>
      <c r="V5269" s="28" t="n">
        <v>2365</v>
      </c>
      <c r="W5269" s="28" t="n">
        <v>2365</v>
      </c>
      <c r="X5269" s="29" t="n">
        <v>234</v>
      </c>
      <c r="Y5269" s="28" t="n">
        <v>234</v>
      </c>
      <c r="Z5269" s="28"/>
      <c r="AA5269" s="28" t="n">
        <f aca="false">Z5269*$M5269</f>
        <v>0</v>
      </c>
      <c r="AB5269" s="28" t="n">
        <v>17776</v>
      </c>
      <c r="AC5269" s="28" t="n">
        <v>17776</v>
      </c>
      <c r="AD5269" s="28"/>
      <c r="AE5269" s="28" t="n">
        <f aca="false">AD5269*$M5269</f>
        <v>0</v>
      </c>
      <c r="AF5269" s="28"/>
      <c r="AG5269" s="28" t="n">
        <f aca="false">AF5269*$M5269</f>
        <v>0</v>
      </c>
      <c r="AH5269" s="28"/>
      <c r="AI5269" s="28" t="n">
        <f aca="false">AH5269*$M5269</f>
        <v>0</v>
      </c>
      <c r="AJ5269" s="28"/>
      <c r="AK5269" s="28" t="n">
        <f aca="false">AJ5269*$M5269</f>
        <v>0</v>
      </c>
      <c r="AL5269" s="28"/>
      <c r="AM5269" s="28" t="n">
        <f aca="false">AL5269*$M5269</f>
        <v>0</v>
      </c>
      <c r="AN5269" s="28"/>
      <c r="AO5269" s="28" t="n">
        <f aca="false">AN5269*$M5269</f>
        <v>0</v>
      </c>
      <c r="AP5269" s="28"/>
      <c r="AQ5269" s="28" t="n">
        <f aca="false">AP5269*$M5269</f>
        <v>0</v>
      </c>
      <c r="AR5269" s="28"/>
      <c r="AS5269" s="28" t="n">
        <f aca="false">AR5269*$M5269</f>
        <v>0</v>
      </c>
      <c r="AT5269" s="28"/>
      <c r="AU5269" s="28" t="n">
        <f aca="false">AT5269*$M5269</f>
        <v>0</v>
      </c>
      <c r="AV5269" s="28"/>
      <c r="AW5269" s="28" t="n">
        <f aca="false">AV5269*$M5269</f>
        <v>0</v>
      </c>
      <c r="AX5269" s="28"/>
      <c r="AY5269" s="28" t="n">
        <f aca="false">AX5269*$M5269</f>
        <v>0</v>
      </c>
      <c r="AZ5269" s="30" t="n">
        <v>20375</v>
      </c>
      <c r="BA5269" s="11" t="n">
        <v>20375</v>
      </c>
      <c r="BB5269" s="31" t="n">
        <f aca="false">SUM(Q5269,S5269,U5269,W5269,Y5269,AA5269,AC5269,AE5269,AG5269,AI5269,AK5269,AM5269,AO5269,AQ5269,AS5269,AU5269,AW5269,AY5269)</f>
        <v>20375</v>
      </c>
      <c r="BC5269" s="28" t="n">
        <f aca="false">BA5269-BB5269</f>
        <v>0</v>
      </c>
      <c r="BD5269" s="32" t="n">
        <f aca="false">SUM(P5269,R5269,T5269,V5269,X5269,Z5269,AB5269,AD5269,AF5269,AH5269,AJ5269,AL5269,AN5269,AP5269,AR5269,AT5269,AV5269,AX5269)</f>
        <v>20375</v>
      </c>
      <c r="BE5269" s="33" t="n">
        <f aca="false">AZ5269-BD5269</f>
        <v>0</v>
      </c>
      <c r="BF5269" s="34" t="n">
        <f aca="false">BD5269*M5269</f>
        <v>20375</v>
      </c>
      <c r="BG5269" s="35" t="n">
        <f aca="false">BA5269-BF5269</f>
        <v>0</v>
      </c>
      <c r="BH5269" s="19" t="str">
        <f aca="false">IF(BG5269=0,"",IF(BG5269&lt;&gt;BA5269,"erreur de calcul",IF(BD5269&lt;&gt;0,"pas de prix",IF(M5269&lt;&gt; 0,"pas de quantité","pas de prix, ni de quantité"))))</f>
        <v/>
      </c>
      <c r="BI5269" s="19"/>
    </row>
    <row r="5270" customFormat="false" ht="15" hidden="false" customHeight="false" outlineLevel="0" collapsed="false">
      <c r="A5270" s="0" t="n">
        <v>3</v>
      </c>
      <c r="B5270" s="8" t="s">
        <v>24</v>
      </c>
      <c r="C5270" s="9" t="s">
        <v>25</v>
      </c>
      <c r="D5270" s="9" t="s">
        <v>26</v>
      </c>
      <c r="E5270" s="10" t="n">
        <v>1789</v>
      </c>
      <c r="F5270" s="9" t="s">
        <v>27</v>
      </c>
      <c r="G5270" s="9" t="s">
        <v>27</v>
      </c>
      <c r="H5270" s="11" t="n">
        <v>18</v>
      </c>
      <c r="I5270" s="11" t="s">
        <v>67</v>
      </c>
      <c r="J5270" s="14" t="n">
        <v>56</v>
      </c>
      <c r="K5270" s="14"/>
      <c r="L5270" s="16"/>
      <c r="M5270" s="27" t="n">
        <f aca="false">J5270+(K5270/20)+(L5270/240)</f>
        <v>56</v>
      </c>
      <c r="N5270" s="17" t="s">
        <v>64</v>
      </c>
      <c r="O5270" s="11"/>
      <c r="P5270" s="28" t="n">
        <f aca="false">27159/100</f>
        <v>271.59</v>
      </c>
      <c r="Q5270" s="28" t="n">
        <v>15209</v>
      </c>
      <c r="R5270" s="28"/>
      <c r="S5270" s="28" t="n">
        <f aca="false">R5270*$M5270</f>
        <v>0</v>
      </c>
      <c r="T5270" s="28" t="n">
        <f aca="false">1044/100</f>
        <v>10.44</v>
      </c>
      <c r="U5270" s="28" t="n">
        <v>585</v>
      </c>
      <c r="V5270" s="28" t="n">
        <f aca="false">1838/100</f>
        <v>18.38</v>
      </c>
      <c r="W5270" s="36" t="n">
        <v>4557</v>
      </c>
      <c r="X5270" s="29"/>
      <c r="Y5270" s="28" t="n">
        <v>2566</v>
      </c>
      <c r="Z5270" s="28"/>
      <c r="AA5270" s="28" t="n">
        <f aca="false">Z5270*$M5270</f>
        <v>0</v>
      </c>
      <c r="AB5270" s="28" t="n">
        <f aca="false">17833/100</f>
        <v>178.33</v>
      </c>
      <c r="AC5270" s="28" t="n">
        <v>9986</v>
      </c>
      <c r="AD5270" s="28"/>
      <c r="AE5270" s="28" t="n">
        <f aca="false">AD5270*$M5270</f>
        <v>0</v>
      </c>
      <c r="AF5270" s="28" t="n">
        <f aca="false">30595/100</f>
        <v>305.95</v>
      </c>
      <c r="AG5270" s="28" t="n">
        <v>17133</v>
      </c>
      <c r="AH5270" s="28"/>
      <c r="AI5270" s="28" t="n">
        <f aca="false">AH5270*$M5270</f>
        <v>0</v>
      </c>
      <c r="AJ5270" s="28"/>
      <c r="AK5270" s="28" t="n">
        <f aca="false">AJ5270*$M5270</f>
        <v>0</v>
      </c>
      <c r="AL5270" s="28"/>
      <c r="AM5270" s="28" t="n">
        <f aca="false">AL5270*$M5270</f>
        <v>0</v>
      </c>
      <c r="AN5270" s="28"/>
      <c r="AO5270" s="28" t="n">
        <f aca="false">AN5270*$M5270</f>
        <v>0</v>
      </c>
      <c r="AP5270" s="28"/>
      <c r="AQ5270" s="28" t="n">
        <f aca="false">AP5270*$M5270</f>
        <v>0</v>
      </c>
      <c r="AR5270" s="28"/>
      <c r="AS5270" s="28" t="n">
        <f aca="false">AR5270*$M5270</f>
        <v>0</v>
      </c>
      <c r="AT5270" s="28"/>
      <c r="AU5270" s="28" t="n">
        <f aca="false">AT5270*$M5270</f>
        <v>0</v>
      </c>
      <c r="AV5270" s="28"/>
      <c r="AW5270" s="28" t="n">
        <f aca="false">AV5270*$M5270</f>
        <v>0</v>
      </c>
      <c r="AX5270" s="28"/>
      <c r="AY5270" s="28" t="n">
        <f aca="false">AX5270*$M5270</f>
        <v>0</v>
      </c>
      <c r="AZ5270" s="30" t="n">
        <f aca="false">83051/100</f>
        <v>830.51</v>
      </c>
      <c r="BA5270" s="11" t="n">
        <v>50036</v>
      </c>
      <c r="BB5270" s="31" t="n">
        <f aca="false">SUM(Q5270,S5270,U5270,W5270,Y5270,AA5270,AC5270,AE5270,AG5270,AI5270,AK5270,AM5270,AO5270,AQ5270,AS5270,AU5270,AW5270,AY5270)</f>
        <v>50036</v>
      </c>
      <c r="BC5270" s="28" t="n">
        <f aca="false">BA5270-BB5270</f>
        <v>0</v>
      </c>
      <c r="BD5270" s="32" t="n">
        <f aca="false">SUM(P5270,R5270,T5270,V5270,X5270,Z5270,AB5270,AD5270,AF5270,AH5270,AJ5270,AL5270,AN5270,AP5270,AR5270,AT5270,AV5270,AX5270)</f>
        <v>784.69</v>
      </c>
      <c r="BE5270" s="33" t="n">
        <f aca="false">AZ5270-BD5270</f>
        <v>45.8199999999999</v>
      </c>
      <c r="BF5270" s="34" t="n">
        <f aca="false">BD5270*M5270</f>
        <v>43942.64</v>
      </c>
      <c r="BG5270" s="35" t="n">
        <f aca="false">BA5270-BF5270</f>
        <v>6093.36</v>
      </c>
      <c r="BH5270" s="19" t="str">
        <f aca="false">IF(BG5270=0,"",IF(BG5270&lt;&gt;BA5270,"erreur de calcul",IF(BD5270&lt;&gt;0,"pas de prix",IF(M5270&lt;&gt; 0,"pas de quantité","pas de prix, ni de quantité"))))</f>
        <v>erreur de calcul</v>
      </c>
      <c r="BI5270" s="19"/>
    </row>
    <row r="5271" customFormat="false" ht="15" hidden="false" customHeight="false" outlineLevel="0" collapsed="false">
      <c r="A5271" s="0" t="n">
        <v>4</v>
      </c>
      <c r="B5271" s="8" t="s">
        <v>24</v>
      </c>
      <c r="C5271" s="9" t="s">
        <v>25</v>
      </c>
      <c r="D5271" s="9" t="s">
        <v>26</v>
      </c>
      <c r="E5271" s="10" t="n">
        <v>1789</v>
      </c>
      <c r="F5271" s="9" t="s">
        <v>27</v>
      </c>
      <c r="G5271" s="9" t="s">
        <v>27</v>
      </c>
      <c r="H5271" s="11" t="n">
        <v>18</v>
      </c>
      <c r="I5271" s="11" t="s">
        <v>68</v>
      </c>
      <c r="J5271" s="14"/>
      <c r="K5271" s="14" t="n">
        <v>30</v>
      </c>
      <c r="L5271" s="16"/>
      <c r="M5271" s="27" t="n">
        <f aca="false">J5271+(K5271/20)+(L5271/240)</f>
        <v>1.5</v>
      </c>
      <c r="N5271" s="17" t="s">
        <v>69</v>
      </c>
      <c r="O5271" s="11"/>
      <c r="P5271" s="28" t="n">
        <v>5460</v>
      </c>
      <c r="Q5271" s="28" t="n">
        <v>8190</v>
      </c>
      <c r="R5271" s="28"/>
      <c r="S5271" s="28" t="n">
        <f aca="false">R5271*$M5271</f>
        <v>0</v>
      </c>
      <c r="T5271" s="28"/>
      <c r="U5271" s="28" t="n">
        <f aca="false">T5271*$M5271</f>
        <v>0</v>
      </c>
      <c r="V5271" s="28" t="n">
        <v>1061</v>
      </c>
      <c r="W5271" s="28" t="n">
        <v>1591</v>
      </c>
      <c r="X5271" s="29"/>
      <c r="Y5271" s="28" t="n">
        <v>5766</v>
      </c>
      <c r="Z5271" s="28"/>
      <c r="AA5271" s="28" t="n">
        <f aca="false">Z5271*$M5271</f>
        <v>0</v>
      </c>
      <c r="AB5271" s="28"/>
      <c r="AC5271" s="28" t="n">
        <f aca="false">AB5271*$M5271</f>
        <v>0</v>
      </c>
      <c r="AD5271" s="28"/>
      <c r="AE5271" s="28" t="n">
        <f aca="false">AD5271*$M5271</f>
        <v>0</v>
      </c>
      <c r="AF5271" s="28"/>
      <c r="AG5271" s="28" t="n">
        <f aca="false">AF5271*$M5271</f>
        <v>0</v>
      </c>
      <c r="AH5271" s="28"/>
      <c r="AI5271" s="28" t="n">
        <f aca="false">AH5271*$M5271</f>
        <v>0</v>
      </c>
      <c r="AJ5271" s="28"/>
      <c r="AK5271" s="28" t="n">
        <f aca="false">AJ5271*$M5271</f>
        <v>0</v>
      </c>
      <c r="AL5271" s="28"/>
      <c r="AM5271" s="28" t="n">
        <f aca="false">AL5271*$M5271</f>
        <v>0</v>
      </c>
      <c r="AN5271" s="28"/>
      <c r="AO5271" s="28" t="n">
        <f aca="false">AN5271*$M5271</f>
        <v>0</v>
      </c>
      <c r="AP5271" s="28"/>
      <c r="AQ5271" s="28" t="n">
        <f aca="false">AP5271*$M5271</f>
        <v>0</v>
      </c>
      <c r="AR5271" s="28"/>
      <c r="AS5271" s="28" t="n">
        <f aca="false">AR5271*$M5271</f>
        <v>0</v>
      </c>
      <c r="AT5271" s="28"/>
      <c r="AU5271" s="28" t="n">
        <f aca="false">AT5271*$M5271</f>
        <v>0</v>
      </c>
      <c r="AV5271" s="28"/>
      <c r="AW5271" s="28" t="n">
        <f aca="false">AV5271*$M5271</f>
        <v>0</v>
      </c>
      <c r="AX5271" s="28"/>
      <c r="AY5271" s="28" t="n">
        <f aca="false">AX5271*$M5271</f>
        <v>0</v>
      </c>
      <c r="AZ5271" s="30" t="n">
        <v>10365</v>
      </c>
      <c r="BA5271" s="11" t="n">
        <v>15547</v>
      </c>
      <c r="BB5271" s="31" t="n">
        <f aca="false">SUM(Q5271,S5271,U5271,W5271,Y5271,AA5271,AC5271,AE5271,AG5271,AI5271,AK5271,AM5271,AO5271,AQ5271,AS5271,AU5271,AW5271,AY5271)</f>
        <v>15547</v>
      </c>
      <c r="BC5271" s="28" t="n">
        <f aca="false">BA5271-BB5271</f>
        <v>0</v>
      </c>
      <c r="BD5271" s="32" t="n">
        <f aca="false">SUM(P5271,R5271,T5271,V5271,X5271,Z5271,AB5271,AD5271,AF5271,AH5271,AJ5271,AL5271,AN5271,AP5271,AR5271,AT5271,AV5271,AX5271)</f>
        <v>6521</v>
      </c>
      <c r="BE5271" s="33" t="n">
        <f aca="false">AZ5271-BD5271</f>
        <v>3844</v>
      </c>
      <c r="BF5271" s="34" t="n">
        <f aca="false">BD5271*M5271</f>
        <v>9781.5</v>
      </c>
      <c r="BG5271" s="35" t="n">
        <f aca="false">BA5271-BF5271</f>
        <v>5765.5</v>
      </c>
      <c r="BH5271" s="19" t="str">
        <f aca="false">IF(BG5271=0,"",IF(BG5271&lt;&gt;BA5271,"erreur de calcul",IF(BD5271&lt;&gt;0,"pas de prix",IF(M5271&lt;&gt; 0,"pas de quantité","pas de prix, ni de quantité"))))</f>
        <v>erreur de calcul</v>
      </c>
      <c r="BI5271" s="19"/>
    </row>
    <row r="5272" customFormat="false" ht="15" hidden="false" customHeight="false" outlineLevel="0" collapsed="false">
      <c r="A5272" s="0" t="n">
        <v>5</v>
      </c>
      <c r="B5272" s="8" t="s">
        <v>24</v>
      </c>
      <c r="C5272" s="9" t="s">
        <v>25</v>
      </c>
      <c r="D5272" s="9" t="s">
        <v>26</v>
      </c>
      <c r="E5272" s="10" t="n">
        <v>1789</v>
      </c>
      <c r="F5272" s="9" t="s">
        <v>27</v>
      </c>
      <c r="G5272" s="9" t="s">
        <v>27</v>
      </c>
      <c r="H5272" s="11" t="n">
        <v>18</v>
      </c>
      <c r="I5272" s="11" t="s">
        <v>70</v>
      </c>
      <c r="J5272" s="14" t="n">
        <v>190</v>
      </c>
      <c r="K5272" s="14"/>
      <c r="L5272" s="16"/>
      <c r="M5272" s="27" t="n">
        <f aca="false">J5272+(K5272/20)+(L5272/240)</f>
        <v>190</v>
      </c>
      <c r="N5272" s="17" t="s">
        <v>64</v>
      </c>
      <c r="O5272" s="11"/>
      <c r="P5272" s="28"/>
      <c r="Q5272" s="28" t="n">
        <f aca="false">P5272*$M5272</f>
        <v>0</v>
      </c>
      <c r="R5272" s="28" t="n">
        <f aca="false">22283/100</f>
        <v>222.83</v>
      </c>
      <c r="S5272" s="28" t="n">
        <v>42338</v>
      </c>
      <c r="T5272" s="28" t="n">
        <f aca="false">1289/100</f>
        <v>12.89</v>
      </c>
      <c r="U5272" s="28" t="n">
        <v>2449</v>
      </c>
      <c r="V5272" s="28"/>
      <c r="W5272" s="28" t="n">
        <f aca="false">V5272*$M5272</f>
        <v>0</v>
      </c>
      <c r="X5272" s="29"/>
      <c r="Y5272" s="28" t="n">
        <f aca="false">X5272*$M5272</f>
        <v>0</v>
      </c>
      <c r="Z5272" s="28"/>
      <c r="AA5272" s="28" t="n">
        <f aca="false">Z5272*$M5272</f>
        <v>0</v>
      </c>
      <c r="AB5272" s="28"/>
      <c r="AC5272" s="28" t="n">
        <f aca="false">AB5272*$M5272</f>
        <v>0</v>
      </c>
      <c r="AD5272" s="28"/>
      <c r="AE5272" s="28" t="n">
        <f aca="false">AD5272*$M5272</f>
        <v>0</v>
      </c>
      <c r="AF5272" s="28"/>
      <c r="AG5272" s="28" t="n">
        <f aca="false">AF5272*$M5272</f>
        <v>0</v>
      </c>
      <c r="AH5272" s="28"/>
      <c r="AI5272" s="28" t="n">
        <f aca="false">AH5272*$M5272</f>
        <v>0</v>
      </c>
      <c r="AJ5272" s="28"/>
      <c r="AK5272" s="28" t="n">
        <f aca="false">AJ5272*$M5272</f>
        <v>0</v>
      </c>
      <c r="AL5272" s="28"/>
      <c r="AM5272" s="28" t="n">
        <f aca="false">AL5272*$M5272</f>
        <v>0</v>
      </c>
      <c r="AN5272" s="28"/>
      <c r="AO5272" s="28" t="n">
        <f aca="false">AN5272*$M5272</f>
        <v>0</v>
      </c>
      <c r="AP5272" s="28"/>
      <c r="AQ5272" s="28" t="n">
        <f aca="false">AP5272*$M5272</f>
        <v>0</v>
      </c>
      <c r="AR5272" s="28"/>
      <c r="AS5272" s="28" t="n">
        <f aca="false">AR5272*$M5272</f>
        <v>0</v>
      </c>
      <c r="AT5272" s="28"/>
      <c r="AU5272" s="28" t="n">
        <f aca="false">AT5272*$M5272</f>
        <v>0</v>
      </c>
      <c r="AV5272" s="28"/>
      <c r="AW5272" s="28" t="n">
        <f aca="false">AV5272*$M5272</f>
        <v>0</v>
      </c>
      <c r="AX5272" s="28"/>
      <c r="AY5272" s="28" t="n">
        <f aca="false">AX5272*$M5272</f>
        <v>0</v>
      </c>
      <c r="AZ5272" s="30" t="n">
        <f aca="false">23572/100</f>
        <v>235.72</v>
      </c>
      <c r="BA5272" s="11" t="n">
        <v>44787</v>
      </c>
      <c r="BB5272" s="31" t="n">
        <f aca="false">SUM(Q5272,S5272,U5272,W5272,Y5272,AA5272,AC5272,AE5272,AG5272,AI5272,AK5272,AM5272,AO5272,AQ5272,AS5272,AU5272,AW5272,AY5272)</f>
        <v>44787</v>
      </c>
      <c r="BC5272" s="28" t="n">
        <f aca="false">BA5272-BB5272</f>
        <v>0</v>
      </c>
      <c r="BD5272" s="32" t="n">
        <f aca="false">SUM(P5272,R5272,T5272,V5272,X5272,Z5272,AB5272,AD5272,AF5272,AH5272,AJ5272,AL5272,AN5272,AP5272,AR5272,AT5272,AV5272,AX5272)</f>
        <v>235.72</v>
      </c>
      <c r="BE5272" s="33" t="n">
        <f aca="false">AZ5272-BD5272</f>
        <v>0</v>
      </c>
      <c r="BF5272" s="34" t="n">
        <f aca="false">BD5272*M5272</f>
        <v>44786.8</v>
      </c>
      <c r="BG5272" s="35" t="n">
        <f aca="false">BA5272-BF5272</f>
        <v>0.19999999999709</v>
      </c>
      <c r="BH5272" s="19" t="str">
        <f aca="false">IF(BG5272=0,"",IF(BG5272&lt;&gt;BA5272,"erreur de calcul",IF(BD5272&lt;&gt;0,"pas de prix",IF(M5272&lt;&gt; 0,"pas de quantité","pas de prix, ni de quantité"))))</f>
        <v>erreur de calcul</v>
      </c>
      <c r="BI5272" s="19"/>
    </row>
    <row r="5273" customFormat="false" ht="15" hidden="false" customHeight="false" outlineLevel="0" collapsed="false">
      <c r="A5273" s="0" t="n">
        <v>6</v>
      </c>
      <c r="B5273" s="8" t="s">
        <v>24</v>
      </c>
      <c r="C5273" s="9" t="s">
        <v>25</v>
      </c>
      <c r="D5273" s="9" t="s">
        <v>26</v>
      </c>
      <c r="E5273" s="10" t="n">
        <v>1789</v>
      </c>
      <c r="F5273" s="9" t="s">
        <v>27</v>
      </c>
      <c r="G5273" s="9" t="s">
        <v>27</v>
      </c>
      <c r="H5273" s="11" t="n">
        <v>18</v>
      </c>
      <c r="I5273" s="11" t="s">
        <v>71</v>
      </c>
      <c r="J5273" s="14" t="n">
        <v>60</v>
      </c>
      <c r="K5273" s="14"/>
      <c r="L5273" s="16"/>
      <c r="M5273" s="27" t="n">
        <f aca="false">J5273+(K5273/20)+(L5273/240)</f>
        <v>60</v>
      </c>
      <c r="N5273" s="17" t="s">
        <v>64</v>
      </c>
      <c r="O5273" s="11"/>
      <c r="P5273" s="28" t="n">
        <f aca="false">674/100</f>
        <v>6.74</v>
      </c>
      <c r="Q5273" s="28" t="n">
        <v>404</v>
      </c>
      <c r="R5273" s="28"/>
      <c r="S5273" s="28" t="n">
        <f aca="false">R5273*$M5273</f>
        <v>0</v>
      </c>
      <c r="T5273" s="28"/>
      <c r="U5273" s="28" t="n">
        <f aca="false">T5273*$M5273</f>
        <v>0</v>
      </c>
      <c r="V5273" s="28"/>
      <c r="W5273" s="28" t="n">
        <f aca="false">V5273*$M5273</f>
        <v>0</v>
      </c>
      <c r="X5273" s="29"/>
      <c r="Y5273" s="28" t="n">
        <f aca="false">X5273*$M5273</f>
        <v>0</v>
      </c>
      <c r="Z5273" s="28"/>
      <c r="AA5273" s="28" t="n">
        <f aca="false">Z5273*$M5273</f>
        <v>0</v>
      </c>
      <c r="AB5273" s="28"/>
      <c r="AC5273" s="28" t="n">
        <f aca="false">AB5273*$M5273</f>
        <v>0</v>
      </c>
      <c r="AD5273" s="28"/>
      <c r="AE5273" s="28" t="n">
        <f aca="false">AD5273*$M5273</f>
        <v>0</v>
      </c>
      <c r="AF5273" s="28"/>
      <c r="AG5273" s="28" t="n">
        <f aca="false">AF5273*$M5273</f>
        <v>0</v>
      </c>
      <c r="AH5273" s="28"/>
      <c r="AI5273" s="28" t="n">
        <f aca="false">AH5273*$M5273</f>
        <v>0</v>
      </c>
      <c r="AJ5273" s="28" t="n">
        <f aca="false">1133/100</f>
        <v>11.33</v>
      </c>
      <c r="AK5273" s="28" t="n">
        <v>680</v>
      </c>
      <c r="AL5273" s="28" t="n">
        <f aca="false">3140/100</f>
        <v>31.4</v>
      </c>
      <c r="AM5273" s="28" t="n">
        <v>1884</v>
      </c>
      <c r="AN5273" s="28"/>
      <c r="AO5273" s="28" t="n">
        <f aca="false">AN5273*$M5273</f>
        <v>0</v>
      </c>
      <c r="AP5273" s="28"/>
      <c r="AQ5273" s="28" t="n">
        <f aca="false">AP5273*$M5273</f>
        <v>0</v>
      </c>
      <c r="AR5273" s="28"/>
      <c r="AS5273" s="28" t="n">
        <f aca="false">AR5273*$M5273</f>
        <v>0</v>
      </c>
      <c r="AT5273" s="28"/>
      <c r="AU5273" s="28" t="n">
        <f aca="false">AT5273*$M5273</f>
        <v>0</v>
      </c>
      <c r="AV5273" s="28"/>
      <c r="AW5273" s="28" t="n">
        <f aca="false">AV5273*$M5273</f>
        <v>0</v>
      </c>
      <c r="AX5273" s="28"/>
      <c r="AY5273" s="28" t="n">
        <f aca="false">AX5273*$M5273</f>
        <v>0</v>
      </c>
      <c r="AZ5273" s="30" t="n">
        <f aca="false">4947/100</f>
        <v>49.47</v>
      </c>
      <c r="BA5273" s="11" t="n">
        <v>2968</v>
      </c>
      <c r="BB5273" s="31" t="n">
        <f aca="false">SUM(Q5273,S5273,U5273,W5273,Y5273,AA5273,AC5273,AE5273,AG5273,AI5273,AK5273,AM5273,AO5273,AQ5273,AS5273,AU5273,AW5273,AY5273)</f>
        <v>2968</v>
      </c>
      <c r="BC5273" s="28" t="n">
        <f aca="false">BA5273-BB5273</f>
        <v>0</v>
      </c>
      <c r="BD5273" s="32" t="n">
        <f aca="false">SUM(P5273,R5273,T5273,V5273,X5273,Z5273,AB5273,AD5273,AF5273,AH5273,AJ5273,AL5273,AN5273,AP5273,AR5273,AT5273,AV5273,AX5273)</f>
        <v>49.47</v>
      </c>
      <c r="BE5273" s="33" t="n">
        <f aca="false">AZ5273-BD5273</f>
        <v>0</v>
      </c>
      <c r="BF5273" s="34" t="n">
        <f aca="false">BD5273*M5273</f>
        <v>2968.2</v>
      </c>
      <c r="BG5273" s="35" t="n">
        <f aca="false">BA5273-BF5273</f>
        <v>-0.199999999999818</v>
      </c>
      <c r="BH5273" s="19" t="str">
        <f aca="false">IF(BG5273=0,"",IF(BG5273&lt;&gt;BA5273,"erreur de calcul",IF(BD5273&lt;&gt;0,"pas de prix",IF(M5273&lt;&gt; 0,"pas de quantité","pas de prix, ni de quantité"))))</f>
        <v>erreur de calcul</v>
      </c>
      <c r="BI5273" s="19"/>
    </row>
    <row r="5274" customFormat="false" ht="15" hidden="false" customHeight="false" outlineLevel="0" collapsed="false">
      <c r="A5274" s="0" t="n">
        <v>7</v>
      </c>
      <c r="B5274" s="8" t="s">
        <v>24</v>
      </c>
      <c r="C5274" s="9" t="s">
        <v>25</v>
      </c>
      <c r="D5274" s="9" t="s">
        <v>26</v>
      </c>
      <c r="E5274" s="10" t="n">
        <v>1789</v>
      </c>
      <c r="F5274" s="9" t="s">
        <v>27</v>
      </c>
      <c r="G5274" s="9" t="s">
        <v>27</v>
      </c>
      <c r="H5274" s="11" t="n">
        <v>18</v>
      </c>
      <c r="I5274" s="11" t="s">
        <v>72</v>
      </c>
      <c r="J5274" s="14" t="n">
        <v>15</v>
      </c>
      <c r="K5274" s="14"/>
      <c r="L5274" s="16"/>
      <c r="M5274" s="27" t="n">
        <f aca="false">J5274+(K5274/20)+(L5274/240)</f>
        <v>15</v>
      </c>
      <c r="N5274" s="17" t="s">
        <v>64</v>
      </c>
      <c r="O5274" s="11"/>
      <c r="P5274" s="28"/>
      <c r="Q5274" s="28" t="n">
        <f aca="false">P5274*$M5274</f>
        <v>0</v>
      </c>
      <c r="R5274" s="28"/>
      <c r="S5274" s="28" t="n">
        <f aca="false">R5274*$M5274</f>
        <v>0</v>
      </c>
      <c r="T5274" s="28"/>
      <c r="U5274" s="28" t="n">
        <f aca="false">T5274*$M5274</f>
        <v>0</v>
      </c>
      <c r="V5274" s="28"/>
      <c r="W5274" s="28" t="n">
        <f aca="false">V5274*$M5274</f>
        <v>0</v>
      </c>
      <c r="X5274" s="29"/>
      <c r="Y5274" s="28" t="n">
        <f aca="false">X5274*$M5274</f>
        <v>0</v>
      </c>
      <c r="Z5274" s="28"/>
      <c r="AA5274" s="28" t="n">
        <f aca="false">Z5274*$M5274</f>
        <v>0</v>
      </c>
      <c r="AB5274" s="28"/>
      <c r="AC5274" s="28" t="n">
        <f aca="false">AB5274*$M5274</f>
        <v>0</v>
      </c>
      <c r="AD5274" s="28"/>
      <c r="AE5274" s="28" t="n">
        <f aca="false">AD5274*$M5274</f>
        <v>0</v>
      </c>
      <c r="AF5274" s="28"/>
      <c r="AG5274" s="28" t="n">
        <f aca="false">AF5274*$M5274</f>
        <v>0</v>
      </c>
      <c r="AH5274" s="28"/>
      <c r="AI5274" s="28" t="n">
        <f aca="false">AH5274*$M5274</f>
        <v>0</v>
      </c>
      <c r="AJ5274" s="28" t="n">
        <f aca="false">119*288*0.02+88*0.02</f>
        <v>687.2</v>
      </c>
      <c r="AK5274" s="28" t="n">
        <v>10308</v>
      </c>
      <c r="AL5274" s="28"/>
      <c r="AM5274" s="28" t="n">
        <f aca="false">AL5274*$M5274</f>
        <v>0</v>
      </c>
      <c r="AN5274" s="28"/>
      <c r="AO5274" s="28" t="n">
        <f aca="false">AN5274*$M5274</f>
        <v>0</v>
      </c>
      <c r="AP5274" s="28"/>
      <c r="AQ5274" s="28" t="n">
        <f aca="false">AP5274*$M5274</f>
        <v>0</v>
      </c>
      <c r="AR5274" s="28"/>
      <c r="AS5274" s="28" t="n">
        <f aca="false">AR5274*$M5274</f>
        <v>0</v>
      </c>
      <c r="AT5274" s="28"/>
      <c r="AU5274" s="28" t="n">
        <f aca="false">AT5274*$M5274</f>
        <v>0</v>
      </c>
      <c r="AV5274" s="28"/>
      <c r="AW5274" s="28" t="n">
        <f aca="false">AV5274*$M5274</f>
        <v>0</v>
      </c>
      <c r="AX5274" s="28"/>
      <c r="AY5274" s="28" t="n">
        <f aca="false">AX5274*$M5274</f>
        <v>0</v>
      </c>
      <c r="AZ5274" s="30" t="n">
        <f aca="false">119*288*0.02+88*0.02</f>
        <v>687.2</v>
      </c>
      <c r="BA5274" s="11" t="n">
        <v>10308</v>
      </c>
      <c r="BB5274" s="31" t="n">
        <f aca="false">SUM(Q5274,S5274,U5274,W5274,Y5274,AA5274,AC5274,AE5274,AG5274,AI5274,AK5274,AM5274,AO5274,AQ5274,AS5274,AU5274,AW5274,AY5274)</f>
        <v>10308</v>
      </c>
      <c r="BC5274" s="28" t="n">
        <f aca="false">BA5274-BB5274</f>
        <v>0</v>
      </c>
      <c r="BD5274" s="32" t="n">
        <f aca="false">SUM(P5274,R5274,T5274,V5274,X5274,Z5274,AB5274,AD5274,AF5274,AH5274,AJ5274,AL5274,AN5274,AP5274,AR5274,AT5274,AV5274,AX5274)</f>
        <v>687.2</v>
      </c>
      <c r="BE5274" s="33" t="n">
        <f aca="false">AZ5274-BD5274</f>
        <v>0</v>
      </c>
      <c r="BF5274" s="34" t="n">
        <f aca="false">BD5274*M5274</f>
        <v>10308</v>
      </c>
      <c r="BG5274" s="35" t="n">
        <f aca="false">BA5274-BF5274</f>
        <v>0</v>
      </c>
      <c r="BH5274" s="19" t="str">
        <f aca="false">IF(BG5274=0,"",IF(BG5274&lt;&gt;BA5274,"erreur de calcul",IF(BD5274&lt;&gt;0,"pas de prix",IF(M5274&lt;&gt; 0,"pas de quantité","pas de prix, ni de quantité"))))</f>
        <v/>
      </c>
      <c r="BI5274" s="19"/>
    </row>
    <row r="5275" customFormat="false" ht="15" hidden="false" customHeight="false" outlineLevel="0" collapsed="false">
      <c r="A5275" s="0" t="n">
        <v>8</v>
      </c>
      <c r="B5275" s="8" t="s">
        <v>24</v>
      </c>
      <c r="C5275" s="9" t="s">
        <v>25</v>
      </c>
      <c r="D5275" s="9" t="s">
        <v>26</v>
      </c>
      <c r="E5275" s="10" t="n">
        <v>1789</v>
      </c>
      <c r="F5275" s="9" t="s">
        <v>27</v>
      </c>
      <c r="G5275" s="9" t="s">
        <v>27</v>
      </c>
      <c r="H5275" s="11" t="n">
        <v>18</v>
      </c>
      <c r="I5275" s="11" t="s">
        <v>73</v>
      </c>
      <c r="J5275" s="14"/>
      <c r="K5275" s="14"/>
      <c r="L5275" s="16"/>
      <c r="M5275" s="27" t="n">
        <f aca="false">J5275+(K5275/20)+(L5275/240)</f>
        <v>0</v>
      </c>
      <c r="N5275" s="17"/>
      <c r="O5275" s="11"/>
      <c r="P5275" s="28"/>
      <c r="Q5275" s="28" t="n">
        <f aca="false">P5275*$M5275</f>
        <v>0</v>
      </c>
      <c r="R5275" s="28"/>
      <c r="S5275" s="28" t="n">
        <f aca="false">R5275*$M5275</f>
        <v>0</v>
      </c>
      <c r="T5275" s="28"/>
      <c r="U5275" s="28" t="n">
        <v>3356</v>
      </c>
      <c r="V5275" s="28"/>
      <c r="W5275" s="28" t="n">
        <v>1444</v>
      </c>
      <c r="X5275" s="29"/>
      <c r="Y5275" s="28" t="n">
        <f aca="false">X5275*$M5275</f>
        <v>0</v>
      </c>
      <c r="Z5275" s="28"/>
      <c r="AA5275" s="28" t="n">
        <f aca="false">Z5275*$M5275</f>
        <v>0</v>
      </c>
      <c r="AB5275" s="28"/>
      <c r="AC5275" s="28" t="n">
        <f aca="false">AB5275*$M5275</f>
        <v>0</v>
      </c>
      <c r="AD5275" s="28"/>
      <c r="AE5275" s="28" t="n">
        <f aca="false">AD5275*$M5275</f>
        <v>0</v>
      </c>
      <c r="AF5275" s="28"/>
      <c r="AG5275" s="28" t="n">
        <f aca="false">AF5275*$M5275</f>
        <v>0</v>
      </c>
      <c r="AH5275" s="28"/>
      <c r="AI5275" s="28" t="n">
        <f aca="false">AH5275*$M5275</f>
        <v>0</v>
      </c>
      <c r="AJ5275" s="28"/>
      <c r="AK5275" s="28" t="n">
        <f aca="false">AJ5275*$M5275</f>
        <v>0</v>
      </c>
      <c r="AL5275" s="28"/>
      <c r="AM5275" s="28" t="n">
        <f aca="false">AL5275*$M5275</f>
        <v>0</v>
      </c>
      <c r="AN5275" s="28"/>
      <c r="AO5275" s="28" t="n">
        <f aca="false">AN5275*$M5275</f>
        <v>0</v>
      </c>
      <c r="AP5275" s="28"/>
      <c r="AQ5275" s="28" t="n">
        <f aca="false">AP5275*$M5275</f>
        <v>0</v>
      </c>
      <c r="AR5275" s="28"/>
      <c r="AS5275" s="28" t="n">
        <f aca="false">AR5275*$M5275</f>
        <v>0</v>
      </c>
      <c r="AT5275" s="28"/>
      <c r="AU5275" s="28" t="n">
        <f aca="false">AT5275*$M5275</f>
        <v>0</v>
      </c>
      <c r="AV5275" s="28"/>
      <c r="AW5275" s="28" t="n">
        <f aca="false">AV5275*$M5275</f>
        <v>0</v>
      </c>
      <c r="AX5275" s="28"/>
      <c r="AY5275" s="28" t="n">
        <f aca="false">AX5275*$M5275</f>
        <v>0</v>
      </c>
      <c r="AZ5275" s="30"/>
      <c r="BA5275" s="11" t="n">
        <v>4800</v>
      </c>
      <c r="BB5275" s="31" t="n">
        <f aca="false">SUM(Q5275,S5275,U5275,W5275,Y5275,AA5275,AC5275,AE5275,AG5275,AI5275,AK5275,AM5275,AO5275,AQ5275,AS5275,AU5275,AW5275,AY5275)</f>
        <v>4800</v>
      </c>
      <c r="BC5275" s="28" t="n">
        <f aca="false">BA5275-BB5275</f>
        <v>0</v>
      </c>
      <c r="BD5275" s="32" t="n">
        <f aca="false">SUM(P5275,R5275,T5275,V5275,X5275,Z5275,AB5275,AD5275,AF5275,AH5275,AJ5275,AL5275,AN5275,AP5275,AR5275,AT5275,AV5275,AX5275)</f>
        <v>0</v>
      </c>
      <c r="BE5275" s="33" t="n">
        <f aca="false">AZ5275-BD5275</f>
        <v>0</v>
      </c>
      <c r="BF5275" s="34" t="n">
        <f aca="false">BD5275*M5275</f>
        <v>0</v>
      </c>
      <c r="BG5275" s="35" t="n">
        <f aca="false">BA5275-BF5275</f>
        <v>4800</v>
      </c>
      <c r="BH5275" s="19" t="str">
        <f aca="false">IF(BG5275=0,"",IF(BG5275&lt;&gt;BA5275,"erreur de calcul",IF(BD5275&lt;&gt;0,"pas de prix",IF(M5275&lt;&gt; 0,"pas de quantité","pas de prix, ni de quantité"))))</f>
        <v>pas de prix, ni de quantité</v>
      </c>
      <c r="BI5275" s="19"/>
    </row>
    <row r="5276" customFormat="false" ht="15" hidden="false" customHeight="false" outlineLevel="0" collapsed="false">
      <c r="A5276" s="0" t="n">
        <v>9</v>
      </c>
      <c r="B5276" s="8" t="s">
        <v>24</v>
      </c>
      <c r="C5276" s="9" t="s">
        <v>25</v>
      </c>
      <c r="D5276" s="9" t="s">
        <v>26</v>
      </c>
      <c r="E5276" s="10" t="n">
        <v>1789</v>
      </c>
      <c r="F5276" s="9" t="s">
        <v>27</v>
      </c>
      <c r="G5276" s="9" t="s">
        <v>27</v>
      </c>
      <c r="H5276" s="11" t="n">
        <v>18</v>
      </c>
      <c r="I5276" s="11" t="s">
        <v>74</v>
      </c>
      <c r="J5276" s="14"/>
      <c r="K5276" s="14"/>
      <c r="L5276" s="16"/>
      <c r="M5276" s="27" t="n">
        <f aca="false">J5276+(K5276/20)+(L5276/240)</f>
        <v>0</v>
      </c>
      <c r="N5276" s="17" t="s">
        <v>66</v>
      </c>
      <c r="O5276" s="11"/>
      <c r="P5276" s="28"/>
      <c r="Q5276" s="28" t="n">
        <f aca="false">P5276*$M5276</f>
        <v>0</v>
      </c>
      <c r="R5276" s="28"/>
      <c r="S5276" s="28" t="n">
        <f aca="false">R5276*$M5276</f>
        <v>0</v>
      </c>
      <c r="T5276" s="28"/>
      <c r="U5276" s="28" t="n">
        <f aca="false">T5276*$M5276</f>
        <v>0</v>
      </c>
      <c r="V5276" s="28"/>
      <c r="W5276" s="28" t="n">
        <f aca="false">V5276*$M5276</f>
        <v>0</v>
      </c>
      <c r="X5276" s="29"/>
      <c r="Y5276" s="28"/>
      <c r="Z5276" s="28"/>
      <c r="AA5276" s="28" t="n">
        <f aca="false">Z5276*$M5276</f>
        <v>0</v>
      </c>
      <c r="AB5276" s="28"/>
      <c r="AC5276" s="28" t="n">
        <f aca="false">AB5276*$M5276</f>
        <v>0</v>
      </c>
      <c r="AD5276" s="28"/>
      <c r="AE5276" s="28" t="n">
        <f aca="false">AD5276*$M5276</f>
        <v>0</v>
      </c>
      <c r="AF5276" s="28"/>
      <c r="AG5276" s="28" t="n">
        <f aca="false">AF5276*$M5276</f>
        <v>0</v>
      </c>
      <c r="AH5276" s="28" t="n">
        <v>45346</v>
      </c>
      <c r="AI5276" s="28" t="n">
        <v>3174</v>
      </c>
      <c r="AJ5276" s="28"/>
      <c r="AK5276" s="28" t="n">
        <f aca="false">AJ5276*$M5276</f>
        <v>0</v>
      </c>
      <c r="AL5276" s="28"/>
      <c r="AM5276" s="28" t="n">
        <f aca="false">AL5276*$M5276</f>
        <v>0</v>
      </c>
      <c r="AN5276" s="28"/>
      <c r="AO5276" s="28" t="n">
        <f aca="false">AN5276*$M5276</f>
        <v>0</v>
      </c>
      <c r="AP5276" s="28"/>
      <c r="AQ5276" s="28" t="n">
        <f aca="false">AP5276*$M5276</f>
        <v>0</v>
      </c>
      <c r="AR5276" s="28"/>
      <c r="AS5276" s="28" t="n">
        <f aca="false">AR5276*$M5276</f>
        <v>0</v>
      </c>
      <c r="AT5276" s="28"/>
      <c r="AU5276" s="28" t="n">
        <f aca="false">AT5276*$M5276</f>
        <v>0</v>
      </c>
      <c r="AV5276" s="28"/>
      <c r="AW5276" s="28" t="n">
        <f aca="false">AV5276*$M5276</f>
        <v>0</v>
      </c>
      <c r="AX5276" s="28"/>
      <c r="AY5276" s="28" t="n">
        <f aca="false">AX5276*$M5276</f>
        <v>0</v>
      </c>
      <c r="AZ5276" s="30" t="n">
        <v>45346</v>
      </c>
      <c r="BA5276" s="11" t="n">
        <v>3174</v>
      </c>
      <c r="BB5276" s="31" t="n">
        <f aca="false">SUM(Q5276,S5276,U5276,W5276,Y5276,AA5276,AC5276,AE5276,AG5276,AI5276,AK5276,AM5276,AO5276,AQ5276,AS5276,AU5276,AW5276,AY5276)</f>
        <v>3174</v>
      </c>
      <c r="BC5276" s="28" t="n">
        <f aca="false">BA5276-BB5276</f>
        <v>0</v>
      </c>
      <c r="BD5276" s="32" t="n">
        <f aca="false">SUM(P5276,R5276,T5276,V5276,X5276,Z5276,AB5276,AD5276,AF5276,AH5276,AJ5276,AL5276,AN5276,AP5276,AR5276,AT5276,AV5276,AX5276)</f>
        <v>45346</v>
      </c>
      <c r="BE5276" s="33" t="n">
        <f aca="false">AZ5276-BD5276</f>
        <v>0</v>
      </c>
      <c r="BF5276" s="34" t="n">
        <f aca="false">BD5276*M5276</f>
        <v>0</v>
      </c>
      <c r="BG5276" s="35" t="n">
        <f aca="false">BA5276-BF5276</f>
        <v>3174</v>
      </c>
      <c r="BH5276" s="19" t="str">
        <f aca="false">IF(BG5276=0,"",IF(BG5276&lt;&gt;BA5276,"erreur de calcul",IF(BD5276&lt;&gt;0,"pas de prix",IF(M5276&lt;&gt; 0,"pas de quantité","pas de prix, ni de quantité"))))</f>
        <v>pas de prix</v>
      </c>
      <c r="BI5276" s="19" t="s">
        <v>75</v>
      </c>
    </row>
    <row r="5277" customFormat="false" ht="15" hidden="false" customHeight="false" outlineLevel="0" collapsed="false">
      <c r="A5277" s="0" t="n">
        <v>10</v>
      </c>
      <c r="B5277" s="8" t="s">
        <v>24</v>
      </c>
      <c r="C5277" s="9" t="s">
        <v>25</v>
      </c>
      <c r="D5277" s="9" t="s">
        <v>26</v>
      </c>
      <c r="E5277" s="10" t="n">
        <v>1789</v>
      </c>
      <c r="F5277" s="9" t="s">
        <v>27</v>
      </c>
      <c r="G5277" s="9" t="s">
        <v>27</v>
      </c>
      <c r="H5277" s="11" t="n">
        <v>18</v>
      </c>
      <c r="I5277" s="11" t="s">
        <v>76</v>
      </c>
      <c r="J5277" s="14"/>
      <c r="K5277" s="14" t="n">
        <v>20</v>
      </c>
      <c r="L5277" s="16"/>
      <c r="M5277" s="27" t="n">
        <f aca="false">J5277+(K5277/20)+(L5277/240)</f>
        <v>1</v>
      </c>
      <c r="N5277" s="17" t="s">
        <v>64</v>
      </c>
      <c r="O5277" s="11" t="s">
        <v>77</v>
      </c>
      <c r="P5277" s="28" t="n">
        <f aca="false">66667/100</f>
        <v>666.67</v>
      </c>
      <c r="Q5277" s="28" t="n">
        <v>667</v>
      </c>
      <c r="R5277" s="28"/>
      <c r="S5277" s="28" t="n">
        <f aca="false">R5277*$M5277</f>
        <v>0</v>
      </c>
      <c r="T5277" s="28"/>
      <c r="U5277" s="28" t="n">
        <f aca="false">T5277*$M5277</f>
        <v>0</v>
      </c>
      <c r="V5277" s="28" t="n">
        <f aca="false">281532/100</f>
        <v>2815.32</v>
      </c>
      <c r="W5277" s="28" t="n">
        <v>2815</v>
      </c>
      <c r="X5277" s="29" t="n">
        <f aca="false">366667/100</f>
        <v>3666.67</v>
      </c>
      <c r="Y5277" s="28" t="n">
        <v>3666</v>
      </c>
      <c r="Z5277" s="28" t="n">
        <f aca="false">33334/100</f>
        <v>333.34</v>
      </c>
      <c r="AA5277" s="28" t="n">
        <v>333</v>
      </c>
      <c r="AB5277" s="28"/>
      <c r="AC5277" s="28" t="n">
        <f aca="false">AB5277*$M5277</f>
        <v>0</v>
      </c>
      <c r="AD5277" s="28"/>
      <c r="AE5277" s="28" t="n">
        <f aca="false">AD5277*$M5277</f>
        <v>0</v>
      </c>
      <c r="AF5277" s="28"/>
      <c r="AG5277" s="28" t="n">
        <f aca="false">AF5277*$M5277</f>
        <v>0</v>
      </c>
      <c r="AH5277" s="28"/>
      <c r="AI5277" s="28" t="n">
        <f aca="false">AH5277*$M5277</f>
        <v>0</v>
      </c>
      <c r="AJ5277" s="28"/>
      <c r="AK5277" s="28" t="n">
        <f aca="false">AJ5277*$M5277</f>
        <v>0</v>
      </c>
      <c r="AL5277" s="28"/>
      <c r="AM5277" s="28" t="n">
        <f aca="false">AL5277*$M5277</f>
        <v>0</v>
      </c>
      <c r="AN5277" s="28"/>
      <c r="AO5277" s="28" t="n">
        <f aca="false">AN5277*$M5277</f>
        <v>0</v>
      </c>
      <c r="AP5277" s="28"/>
      <c r="AQ5277" s="28" t="n">
        <f aca="false">AP5277*$M5277</f>
        <v>0</v>
      </c>
      <c r="AR5277" s="28"/>
      <c r="AS5277" s="28" t="n">
        <f aca="false">AR5277*$M5277</f>
        <v>0</v>
      </c>
      <c r="AT5277" s="28"/>
      <c r="AU5277" s="28" t="n">
        <f aca="false">AT5277*$M5277</f>
        <v>0</v>
      </c>
      <c r="AV5277" s="28"/>
      <c r="AW5277" s="28" t="n">
        <f aca="false">AV5277*$M5277</f>
        <v>0</v>
      </c>
      <c r="AX5277" s="28"/>
      <c r="AY5277" s="28" t="n">
        <f aca="false">AX5277*$M5277</f>
        <v>0</v>
      </c>
      <c r="AZ5277" s="30" t="n">
        <f aca="false">748200/100</f>
        <v>7482</v>
      </c>
      <c r="BA5277" s="11" t="n">
        <v>7481</v>
      </c>
      <c r="BB5277" s="31" t="n">
        <f aca="false">SUM(Q5277,S5277,U5277,W5277,Y5277,AA5277,AC5277,AE5277,AG5277,AI5277,AK5277,AM5277,AO5277,AQ5277,AS5277,AU5277,AW5277,AY5277)</f>
        <v>7481</v>
      </c>
      <c r="BC5277" s="28" t="n">
        <f aca="false">BA5277-BB5277</f>
        <v>0</v>
      </c>
      <c r="BD5277" s="32" t="n">
        <f aca="false">SUM(P5277,R5277,T5277,V5277,X5277,Z5277,AB5277,AD5277,AF5277,AH5277,AJ5277,AL5277,AN5277,AP5277,AR5277,AT5277,AV5277,AX5277)</f>
        <v>7482</v>
      </c>
      <c r="BE5277" s="33" t="n">
        <f aca="false">AZ5277-BD5277</f>
        <v>0</v>
      </c>
      <c r="BF5277" s="34" t="n">
        <f aca="false">BD5277*M5277</f>
        <v>7482</v>
      </c>
      <c r="BG5277" s="35" t="n">
        <f aca="false">BA5277-BF5277</f>
        <v>-1</v>
      </c>
      <c r="BH5277" s="19" t="str">
        <f aca="false">IF(BG5277=0,"",IF(BG5277&lt;&gt;BA5277,"erreur de calcul",IF(BD5277&lt;&gt;0,"pas de prix",IF(M5277&lt;&gt; 0,"pas de quantité","pas de prix, ni de quantité"))))</f>
        <v>erreur de calcul</v>
      </c>
      <c r="BI5277" s="19"/>
    </row>
    <row r="5278" customFormat="false" ht="15" hidden="false" customHeight="false" outlineLevel="0" collapsed="false">
      <c r="A5278" s="0" t="n">
        <v>11</v>
      </c>
      <c r="B5278" s="8" t="s">
        <v>24</v>
      </c>
      <c r="C5278" s="9" t="s">
        <v>25</v>
      </c>
      <c r="D5278" s="9" t="s">
        <v>26</v>
      </c>
      <c r="E5278" s="10" t="n">
        <v>1789</v>
      </c>
      <c r="F5278" s="9" t="s">
        <v>27</v>
      </c>
      <c r="G5278" s="9" t="s">
        <v>27</v>
      </c>
      <c r="H5278" s="11" t="n">
        <v>18</v>
      </c>
      <c r="I5278" s="11" t="s">
        <v>78</v>
      </c>
      <c r="J5278" s="14"/>
      <c r="K5278" s="14" t="n">
        <v>50</v>
      </c>
      <c r="L5278" s="16"/>
      <c r="M5278" s="27" t="n">
        <f aca="false">J5278+(K5278/20)+(L5278/240)</f>
        <v>2.5</v>
      </c>
      <c r="N5278" s="17" t="s">
        <v>79</v>
      </c>
      <c r="O5278" s="11"/>
      <c r="P5278" s="28"/>
      <c r="Q5278" s="28" t="n">
        <f aca="false">P5278*$M5278</f>
        <v>0</v>
      </c>
      <c r="R5278" s="28"/>
      <c r="S5278" s="28" t="n">
        <f aca="false">R5278*$M5278</f>
        <v>0</v>
      </c>
      <c r="T5278" s="28"/>
      <c r="U5278" s="28" t="n">
        <f aca="false">T5278*$M5278</f>
        <v>0</v>
      </c>
      <c r="V5278" s="28" t="n">
        <v>61807</v>
      </c>
      <c r="W5278" s="28" t="n">
        <v>154517</v>
      </c>
      <c r="X5278" s="29"/>
      <c r="Y5278" s="28" t="n">
        <f aca="false">X5278*$M5278</f>
        <v>0</v>
      </c>
      <c r="Z5278" s="28"/>
      <c r="AA5278" s="28" t="n">
        <f aca="false">Z5278*$M5278</f>
        <v>0</v>
      </c>
      <c r="AB5278" s="28" t="n">
        <v>43640</v>
      </c>
      <c r="AC5278" s="28" t="n">
        <v>109100</v>
      </c>
      <c r="AD5278" s="28"/>
      <c r="AE5278" s="28" t="n">
        <f aca="false">AD5278*$M5278</f>
        <v>0</v>
      </c>
      <c r="AF5278" s="28"/>
      <c r="AG5278" s="28" t="n">
        <f aca="false">AF5278*$M5278</f>
        <v>0</v>
      </c>
      <c r="AH5278" s="28"/>
      <c r="AI5278" s="28" t="n">
        <f aca="false">AH5278*$M5278</f>
        <v>0</v>
      </c>
      <c r="AJ5278" s="28"/>
      <c r="AK5278" s="28" t="n">
        <f aca="false">AJ5278*$M5278</f>
        <v>0</v>
      </c>
      <c r="AL5278" s="28"/>
      <c r="AM5278" s="28" t="n">
        <f aca="false">AL5278*$M5278</f>
        <v>0</v>
      </c>
      <c r="AN5278" s="28"/>
      <c r="AO5278" s="28" t="n">
        <f aca="false">AN5278*$M5278</f>
        <v>0</v>
      </c>
      <c r="AP5278" s="28"/>
      <c r="AQ5278" s="28" t="n">
        <f aca="false">AP5278*$M5278</f>
        <v>0</v>
      </c>
      <c r="AR5278" s="28"/>
      <c r="AS5278" s="28" t="n">
        <f aca="false">AR5278*$M5278</f>
        <v>0</v>
      </c>
      <c r="AT5278" s="28"/>
      <c r="AU5278" s="28" t="n">
        <f aca="false">AT5278*$M5278</f>
        <v>0</v>
      </c>
      <c r="AV5278" s="28"/>
      <c r="AW5278" s="28" t="n">
        <f aca="false">AV5278*$M5278</f>
        <v>0</v>
      </c>
      <c r="AX5278" s="28"/>
      <c r="AY5278" s="28" t="n">
        <f aca="false">AX5278*$M5278</f>
        <v>0</v>
      </c>
      <c r="AZ5278" s="30" t="n">
        <v>105447</v>
      </c>
      <c r="BA5278" s="11" t="n">
        <v>263617</v>
      </c>
      <c r="BB5278" s="31" t="n">
        <f aca="false">SUM(Q5278,S5278,U5278,W5278,Y5278,AA5278,AC5278,AE5278,AG5278,AI5278,AK5278,AM5278,AO5278,AQ5278,AS5278,AU5278,AW5278,AY5278)</f>
        <v>263617</v>
      </c>
      <c r="BC5278" s="28" t="n">
        <f aca="false">BA5278-BB5278</f>
        <v>0</v>
      </c>
      <c r="BD5278" s="32" t="n">
        <f aca="false">SUM(P5278,R5278,T5278,V5278,X5278,Z5278,AB5278,AD5278,AF5278,AH5278,AJ5278,AL5278,AN5278,AP5278,AR5278,AT5278,AV5278,AX5278)</f>
        <v>105447</v>
      </c>
      <c r="BE5278" s="33" t="n">
        <f aca="false">AZ5278-BD5278</f>
        <v>0</v>
      </c>
      <c r="BF5278" s="34" t="n">
        <f aca="false">BD5278*M5278</f>
        <v>263617.5</v>
      </c>
      <c r="BG5278" s="35" t="n">
        <f aca="false">BA5278-BF5278</f>
        <v>-0.5</v>
      </c>
      <c r="BH5278" s="19" t="str">
        <f aca="false">IF(BG5278=0,"",IF(BG5278&lt;&gt;BA5278,"erreur de calcul",IF(BD5278&lt;&gt;0,"pas de prix",IF(M5278&lt;&gt; 0,"pas de quantité","pas de prix, ni de quantité"))))</f>
        <v>erreur de calcul</v>
      </c>
      <c r="BI5278" s="19"/>
    </row>
    <row r="5279" customFormat="false" ht="15" hidden="false" customHeight="false" outlineLevel="0" collapsed="false">
      <c r="A5279" s="0" t="n">
        <v>12</v>
      </c>
      <c r="B5279" s="8" t="s">
        <v>24</v>
      </c>
      <c r="C5279" s="9" t="s">
        <v>25</v>
      </c>
      <c r="D5279" s="9" t="s">
        <v>26</v>
      </c>
      <c r="E5279" s="10" t="n">
        <v>1789</v>
      </c>
      <c r="F5279" s="9" t="s">
        <v>27</v>
      </c>
      <c r="G5279" s="9" t="s">
        <v>27</v>
      </c>
      <c r="H5279" s="11" t="n">
        <v>18</v>
      </c>
      <c r="I5279" s="11" t="s">
        <v>80</v>
      </c>
      <c r="J5279" s="14"/>
      <c r="K5279" s="14" t="n">
        <v>4</v>
      </c>
      <c r="L5279" s="16"/>
      <c r="M5279" s="27" t="n">
        <f aca="false">J5279+(K5279/20)+(L5279/240)</f>
        <v>0.2</v>
      </c>
      <c r="N5279" s="17" t="s">
        <v>81</v>
      </c>
      <c r="O5279" s="11"/>
      <c r="P5279" s="28"/>
      <c r="Q5279" s="28" t="n">
        <f aca="false">P5279*$M5279</f>
        <v>0</v>
      </c>
      <c r="R5279" s="28"/>
      <c r="S5279" s="28" t="n">
        <f aca="false">R5279*$M5279</f>
        <v>0</v>
      </c>
      <c r="T5279" s="28"/>
      <c r="U5279" s="28" t="n">
        <f aca="false">T5279*$M5279</f>
        <v>0</v>
      </c>
      <c r="V5279" s="28" t="n">
        <v>5800</v>
      </c>
      <c r="W5279" s="28" t="n">
        <v>1160</v>
      </c>
      <c r="X5279" s="29"/>
      <c r="Y5279" s="28" t="n">
        <v>1069</v>
      </c>
      <c r="Z5279" s="28"/>
      <c r="AA5279" s="28" t="n">
        <f aca="false">Z5279*$M5279</f>
        <v>0</v>
      </c>
      <c r="AB5279" s="28"/>
      <c r="AC5279" s="28" t="n">
        <f aca="false">AB5279*$M5279</f>
        <v>0</v>
      </c>
      <c r="AD5279" s="28"/>
      <c r="AE5279" s="28" t="n">
        <f aca="false">AD5279*$M5279</f>
        <v>0</v>
      </c>
      <c r="AF5279" s="28"/>
      <c r="AG5279" s="28" t="n">
        <f aca="false">AF5279*$M5279</f>
        <v>0</v>
      </c>
      <c r="AH5279" s="28"/>
      <c r="AI5279" s="28" t="n">
        <f aca="false">AH5279*$M5279</f>
        <v>0</v>
      </c>
      <c r="AJ5279" s="28"/>
      <c r="AK5279" s="28" t="n">
        <f aca="false">AJ5279*$M5279</f>
        <v>0</v>
      </c>
      <c r="AL5279" s="28"/>
      <c r="AM5279" s="28" t="n">
        <f aca="false">AL5279*$M5279</f>
        <v>0</v>
      </c>
      <c r="AN5279" s="28"/>
      <c r="AO5279" s="28" t="n">
        <f aca="false">AN5279*$M5279</f>
        <v>0</v>
      </c>
      <c r="AP5279" s="28"/>
      <c r="AQ5279" s="28" t="n">
        <f aca="false">AP5279*$M5279</f>
        <v>0</v>
      </c>
      <c r="AR5279" s="28"/>
      <c r="AS5279" s="28" t="n">
        <f aca="false">AR5279*$M5279</f>
        <v>0</v>
      </c>
      <c r="AT5279" s="28"/>
      <c r="AU5279" s="28" t="n">
        <f aca="false">AT5279*$M5279</f>
        <v>0</v>
      </c>
      <c r="AV5279" s="28"/>
      <c r="AW5279" s="28" t="n">
        <f aca="false">AV5279*$M5279</f>
        <v>0</v>
      </c>
      <c r="AX5279" s="28"/>
      <c r="AY5279" s="28" t="n">
        <f aca="false">AX5279*$M5279</f>
        <v>0</v>
      </c>
      <c r="AZ5279" s="30" t="n">
        <v>11144</v>
      </c>
      <c r="BA5279" s="11" t="n">
        <v>2229</v>
      </c>
      <c r="BB5279" s="31" t="n">
        <f aca="false">SUM(Q5279,S5279,U5279,W5279,Y5279,AA5279,AC5279,AE5279,AG5279,AI5279,AK5279,AM5279,AO5279,AQ5279,AS5279,AU5279,AW5279,AY5279)</f>
        <v>2229</v>
      </c>
      <c r="BC5279" s="28" t="n">
        <f aca="false">BA5279-BB5279</f>
        <v>0</v>
      </c>
      <c r="BD5279" s="32" t="n">
        <f aca="false">SUM(P5279,R5279,T5279,V5279,X5279,Z5279,AB5279,AD5279,AF5279,AH5279,AJ5279,AL5279,AN5279,AP5279,AR5279,AT5279,AV5279,AX5279)</f>
        <v>5800</v>
      </c>
      <c r="BE5279" s="33" t="n">
        <f aca="false">AZ5279-BD5279</f>
        <v>5344</v>
      </c>
      <c r="BF5279" s="34" t="n">
        <f aca="false">BD5279*M5279</f>
        <v>1160</v>
      </c>
      <c r="BG5279" s="35" t="n">
        <f aca="false">BA5279-BF5279</f>
        <v>1069</v>
      </c>
      <c r="BH5279" s="19" t="str">
        <f aca="false">IF(BG5279=0,"",IF(BG5279&lt;&gt;BA5279,"erreur de calcul",IF(BD5279&lt;&gt;0,"pas de prix",IF(M5279&lt;&gt; 0,"pas de quantité","pas de prix, ni de quantité"))))</f>
        <v>erreur de calcul</v>
      </c>
      <c r="BI5279" s="19"/>
    </row>
    <row r="5280" customFormat="false" ht="15" hidden="false" customHeight="false" outlineLevel="0" collapsed="false">
      <c r="A5280" s="0" t="n">
        <v>13</v>
      </c>
      <c r="B5280" s="8" t="s">
        <v>24</v>
      </c>
      <c r="C5280" s="9" t="s">
        <v>25</v>
      </c>
      <c r="D5280" s="9" t="s">
        <v>26</v>
      </c>
      <c r="E5280" s="10" t="n">
        <v>1789</v>
      </c>
      <c r="F5280" s="9" t="s">
        <v>27</v>
      </c>
      <c r="G5280" s="9" t="s">
        <v>27</v>
      </c>
      <c r="H5280" s="11" t="n">
        <v>18</v>
      </c>
      <c r="I5280" s="11" t="s">
        <v>82</v>
      </c>
      <c r="J5280" s="14" t="n">
        <v>17</v>
      </c>
      <c r="K5280" s="14"/>
      <c r="L5280" s="16"/>
      <c r="M5280" s="27" t="n">
        <f aca="false">J5280+(K5280/20)+(L5280/240)</f>
        <v>17</v>
      </c>
      <c r="N5280" s="17" t="s">
        <v>69</v>
      </c>
      <c r="O5280" s="11"/>
      <c r="P5280" s="28"/>
      <c r="Q5280" s="28" t="n">
        <f aca="false">P5280*$M5280</f>
        <v>0</v>
      </c>
      <c r="R5280" s="28"/>
      <c r="S5280" s="28" t="n">
        <f aca="false">R5280*$M5280</f>
        <v>0</v>
      </c>
      <c r="T5280" s="28"/>
      <c r="U5280" s="28" t="n">
        <f aca="false">T5280*$M5280</f>
        <v>0</v>
      </c>
      <c r="V5280" s="28" t="n">
        <v>600</v>
      </c>
      <c r="W5280" s="28" t="n">
        <v>10200</v>
      </c>
      <c r="X5280" s="29"/>
      <c r="Y5280" s="28" t="n">
        <f aca="false">X5280*$M5280</f>
        <v>0</v>
      </c>
      <c r="Z5280" s="28"/>
      <c r="AA5280" s="28" t="n">
        <f aca="false">Z5280*$M5280</f>
        <v>0</v>
      </c>
      <c r="AB5280" s="28"/>
      <c r="AC5280" s="28" t="n">
        <f aca="false">AB5280*$M5280</f>
        <v>0</v>
      </c>
      <c r="AD5280" s="28"/>
      <c r="AE5280" s="28" t="n">
        <f aca="false">AD5280*$M5280</f>
        <v>0</v>
      </c>
      <c r="AF5280" s="28"/>
      <c r="AG5280" s="28" t="n">
        <f aca="false">AF5280*$M5280</f>
        <v>0</v>
      </c>
      <c r="AH5280" s="28"/>
      <c r="AI5280" s="28" t="n">
        <f aca="false">AH5280*$M5280</f>
        <v>0</v>
      </c>
      <c r="AJ5280" s="28"/>
      <c r="AK5280" s="28" t="n">
        <f aca="false">AJ5280*$M5280</f>
        <v>0</v>
      </c>
      <c r="AL5280" s="28"/>
      <c r="AM5280" s="28" t="n">
        <f aca="false">AL5280*$M5280</f>
        <v>0</v>
      </c>
      <c r="AN5280" s="28"/>
      <c r="AO5280" s="28" t="n">
        <f aca="false">AN5280*$M5280</f>
        <v>0</v>
      </c>
      <c r="AP5280" s="28"/>
      <c r="AQ5280" s="28" t="n">
        <f aca="false">AP5280*$M5280</f>
        <v>0</v>
      </c>
      <c r="AR5280" s="28"/>
      <c r="AS5280" s="28" t="n">
        <f aca="false">AR5280*$M5280</f>
        <v>0</v>
      </c>
      <c r="AT5280" s="28"/>
      <c r="AU5280" s="28" t="n">
        <f aca="false">AT5280*$M5280</f>
        <v>0</v>
      </c>
      <c r="AV5280" s="28"/>
      <c r="AW5280" s="28" t="n">
        <f aca="false">AV5280*$M5280</f>
        <v>0</v>
      </c>
      <c r="AX5280" s="28"/>
      <c r="AY5280" s="28" t="n">
        <f aca="false">AX5280*$M5280</f>
        <v>0</v>
      </c>
      <c r="AZ5280" s="30" t="n">
        <v>600</v>
      </c>
      <c r="BA5280" s="11" t="n">
        <v>10200</v>
      </c>
      <c r="BB5280" s="31" t="n">
        <f aca="false">SUM(Q5280,S5280,U5280,W5280,Y5280,AA5280,AC5280,AE5280,AG5280,AI5280,AK5280,AM5280,AO5280,AQ5280,AS5280,AU5280,AW5280,AY5280)</f>
        <v>10200</v>
      </c>
      <c r="BC5280" s="28" t="n">
        <f aca="false">BA5280-BB5280</f>
        <v>0</v>
      </c>
      <c r="BD5280" s="32" t="n">
        <f aca="false">SUM(P5280,R5280,T5280,V5280,X5280,Z5280,AB5280,AD5280,AF5280,AH5280,AJ5280,AL5280,AN5280,AP5280,AR5280,AT5280,AV5280,AX5280)</f>
        <v>600</v>
      </c>
      <c r="BE5280" s="33" t="n">
        <f aca="false">AZ5280-BD5280</f>
        <v>0</v>
      </c>
      <c r="BF5280" s="34" t="n">
        <f aca="false">BD5280*M5280</f>
        <v>10200</v>
      </c>
      <c r="BG5280" s="35" t="n">
        <f aca="false">BA5280-BF5280</f>
        <v>0</v>
      </c>
      <c r="BH5280" s="19" t="str">
        <f aca="false">IF(BG5280=0,"",IF(BG5280&lt;&gt;BA5280,"erreur de calcul",IF(BD5280&lt;&gt;0,"pas de prix",IF(M5280&lt;&gt; 0,"pas de quantité","pas de prix, ni de quantité"))))</f>
        <v/>
      </c>
      <c r="BI5280" s="19"/>
    </row>
    <row r="5281" customFormat="false" ht="15" hidden="false" customHeight="false" outlineLevel="0" collapsed="false">
      <c r="A5281" s="0" t="n">
        <v>14</v>
      </c>
      <c r="B5281" s="8" t="s">
        <v>24</v>
      </c>
      <c r="C5281" s="9" t="s">
        <v>25</v>
      </c>
      <c r="D5281" s="9" t="s">
        <v>26</v>
      </c>
      <c r="E5281" s="10" t="n">
        <v>1789</v>
      </c>
      <c r="F5281" s="9" t="s">
        <v>27</v>
      </c>
      <c r="G5281" s="9" t="s">
        <v>27</v>
      </c>
      <c r="H5281" s="11" t="n">
        <v>18</v>
      </c>
      <c r="I5281" s="11" t="s">
        <v>83</v>
      </c>
      <c r="J5281" s="14" t="n">
        <v>20</v>
      </c>
      <c r="K5281" s="14"/>
      <c r="L5281" s="16"/>
      <c r="M5281" s="27" t="n">
        <f aca="false">J5281+(K5281/20)+(L5281/240)</f>
        <v>20</v>
      </c>
      <c r="N5281" s="17" t="s">
        <v>81</v>
      </c>
      <c r="O5281" s="11"/>
      <c r="P5281" s="28"/>
      <c r="Q5281" s="28" t="n">
        <f aca="false">P5281*$M5281</f>
        <v>0</v>
      </c>
      <c r="R5281" s="28"/>
      <c r="S5281" s="28" t="n">
        <f aca="false">R5281*$M5281</f>
        <v>0</v>
      </c>
      <c r="T5281" s="28"/>
      <c r="U5281" s="28" t="n">
        <f aca="false">T5281*$M5281</f>
        <v>0</v>
      </c>
      <c r="V5281" s="28"/>
      <c r="W5281" s="28" t="n">
        <f aca="false">V5281*$M5281</f>
        <v>0</v>
      </c>
      <c r="X5281" s="29"/>
      <c r="Y5281" s="28" t="n">
        <f aca="false">X5281*$M5281</f>
        <v>0</v>
      </c>
      <c r="Z5281" s="28" t="n">
        <v>460</v>
      </c>
      <c r="AA5281" s="28" t="n">
        <v>9200</v>
      </c>
      <c r="AB5281" s="28"/>
      <c r="AC5281" s="28" t="n">
        <f aca="false">AB5281*$M5281</f>
        <v>0</v>
      </c>
      <c r="AD5281" s="28"/>
      <c r="AE5281" s="28" t="n">
        <f aca="false">AD5281*$M5281</f>
        <v>0</v>
      </c>
      <c r="AF5281" s="28"/>
      <c r="AG5281" s="28" t="n">
        <f aca="false">AF5281*$M5281</f>
        <v>0</v>
      </c>
      <c r="AH5281" s="28"/>
      <c r="AI5281" s="28" t="n">
        <f aca="false">AH5281*$M5281</f>
        <v>0</v>
      </c>
      <c r="AJ5281" s="28"/>
      <c r="AK5281" s="28" t="n">
        <f aca="false">AJ5281*$M5281</f>
        <v>0</v>
      </c>
      <c r="AL5281" s="28"/>
      <c r="AM5281" s="28" t="n">
        <f aca="false">AL5281*$M5281</f>
        <v>0</v>
      </c>
      <c r="AN5281" s="28"/>
      <c r="AO5281" s="28" t="n">
        <f aca="false">AN5281*$M5281</f>
        <v>0</v>
      </c>
      <c r="AP5281" s="28"/>
      <c r="AQ5281" s="28" t="n">
        <f aca="false">AP5281*$M5281</f>
        <v>0</v>
      </c>
      <c r="AR5281" s="28"/>
      <c r="AS5281" s="28" t="n">
        <f aca="false">AR5281*$M5281</f>
        <v>0</v>
      </c>
      <c r="AT5281" s="28"/>
      <c r="AU5281" s="28" t="n">
        <f aca="false">AT5281*$M5281</f>
        <v>0</v>
      </c>
      <c r="AV5281" s="28"/>
      <c r="AW5281" s="28" t="n">
        <f aca="false">AV5281*$M5281</f>
        <v>0</v>
      </c>
      <c r="AX5281" s="28"/>
      <c r="AY5281" s="28" t="n">
        <f aca="false">AX5281*$M5281</f>
        <v>0</v>
      </c>
      <c r="AZ5281" s="30" t="n">
        <v>460</v>
      </c>
      <c r="BA5281" s="11" t="n">
        <v>9200</v>
      </c>
      <c r="BB5281" s="31" t="n">
        <f aca="false">SUM(Q5281,S5281,U5281,W5281,Y5281,AA5281,AC5281,AE5281,AG5281,AI5281,AK5281,AM5281,AO5281,AQ5281,AS5281,AU5281,AW5281,AY5281)</f>
        <v>9200</v>
      </c>
      <c r="BC5281" s="28" t="n">
        <f aca="false">BA5281-BB5281</f>
        <v>0</v>
      </c>
      <c r="BD5281" s="32" t="n">
        <f aca="false">SUM(P5281,R5281,T5281,V5281,X5281,Z5281,AB5281,AD5281,AF5281,AH5281,AJ5281,AL5281,AN5281,AP5281,AR5281,AT5281,AV5281,AX5281)</f>
        <v>460</v>
      </c>
      <c r="BE5281" s="33" t="n">
        <f aca="false">AZ5281-BD5281</f>
        <v>0</v>
      </c>
      <c r="BF5281" s="34" t="n">
        <f aca="false">BD5281*M5281</f>
        <v>9200</v>
      </c>
      <c r="BG5281" s="35" t="n">
        <f aca="false">BA5281-BF5281</f>
        <v>0</v>
      </c>
      <c r="BH5281" s="19" t="str">
        <f aca="false">IF(BG5281=0,"",IF(BG5281&lt;&gt;BA5281,"erreur de calcul",IF(BD5281&lt;&gt;0,"pas de prix",IF(M5281&lt;&gt; 0,"pas de quantité","pas de prix, ni de quantité"))))</f>
        <v/>
      </c>
      <c r="BI5281" s="19"/>
    </row>
    <row r="5282" customFormat="false" ht="15" hidden="false" customHeight="false" outlineLevel="0" collapsed="false">
      <c r="A5282" s="0" t="n">
        <v>15</v>
      </c>
      <c r="B5282" s="8" t="s">
        <v>24</v>
      </c>
      <c r="C5282" s="9" t="s">
        <v>25</v>
      </c>
      <c r="D5282" s="9" t="s">
        <v>26</v>
      </c>
      <c r="E5282" s="10" t="n">
        <v>1789</v>
      </c>
      <c r="F5282" s="9" t="s">
        <v>27</v>
      </c>
      <c r="G5282" s="9" t="s">
        <v>27</v>
      </c>
      <c r="H5282" s="11" t="n">
        <v>18</v>
      </c>
      <c r="I5282" s="11" t="s">
        <v>84</v>
      </c>
      <c r="J5282" s="14" t="n">
        <v>16</v>
      </c>
      <c r="K5282" s="14"/>
      <c r="L5282" s="16"/>
      <c r="M5282" s="27" t="n">
        <f aca="false">J5282+(K5282/20)+(L5282/240)</f>
        <v>16</v>
      </c>
      <c r="N5282" s="17" t="s">
        <v>85</v>
      </c>
      <c r="O5282" s="11"/>
      <c r="P5282" s="28"/>
      <c r="Q5282" s="28" t="n">
        <f aca="false">P5282*$M5282</f>
        <v>0</v>
      </c>
      <c r="R5282" s="28"/>
      <c r="S5282" s="28" t="n">
        <f aca="false">R5282*$M5282</f>
        <v>0</v>
      </c>
      <c r="T5282" s="28" t="n">
        <f aca="false">1600/100</f>
        <v>16</v>
      </c>
      <c r="U5282" s="28" t="n">
        <v>256</v>
      </c>
      <c r="V5282" s="28" t="n">
        <f aca="false">227136/100</f>
        <v>2271.36</v>
      </c>
      <c r="W5282" s="28" t="n">
        <v>36342</v>
      </c>
      <c r="X5282" s="29"/>
      <c r="Y5282" s="28" t="n">
        <v>304</v>
      </c>
      <c r="Z5282" s="28" t="n">
        <f aca="false">6850/100</f>
        <v>68.5</v>
      </c>
      <c r="AA5282" s="28" t="n">
        <v>1096</v>
      </c>
      <c r="AB5282" s="28" t="n">
        <f aca="false">204300/100</f>
        <v>2043</v>
      </c>
      <c r="AC5282" s="28" t="n">
        <v>32688</v>
      </c>
      <c r="AD5282" s="28" t="n">
        <f aca="false">9750/100</f>
        <v>97.5</v>
      </c>
      <c r="AE5282" s="28" t="n">
        <v>1560</v>
      </c>
      <c r="AF5282" s="28"/>
      <c r="AG5282" s="28" t="n">
        <f aca="false">AF5282*$M5282</f>
        <v>0</v>
      </c>
      <c r="AH5282" s="28"/>
      <c r="AI5282" s="28" t="n">
        <f aca="false">AH5282*$M5282</f>
        <v>0</v>
      </c>
      <c r="AJ5282" s="28" t="n">
        <f aca="false">1414/100</f>
        <v>14.14</v>
      </c>
      <c r="AK5282" s="28" t="n">
        <v>226</v>
      </c>
      <c r="AL5282" s="28" t="n">
        <f aca="false">29500/100</f>
        <v>295</v>
      </c>
      <c r="AM5282" s="28" t="n">
        <v>4720</v>
      </c>
      <c r="AN5282" s="28"/>
      <c r="AO5282" s="28" t="n">
        <f aca="false">AN5282*$M5282</f>
        <v>0</v>
      </c>
      <c r="AP5282" s="28" t="n">
        <f aca="false">1520/100</f>
        <v>15.2</v>
      </c>
      <c r="AQ5282" s="28" t="n">
        <v>243</v>
      </c>
      <c r="AR5282" s="28"/>
      <c r="AS5282" s="28" t="n">
        <f aca="false">AR5282*$M5282</f>
        <v>0</v>
      </c>
      <c r="AT5282" s="28" t="n">
        <f aca="false">2100/100</f>
        <v>21</v>
      </c>
      <c r="AU5282" s="28" t="n">
        <v>336</v>
      </c>
      <c r="AV5282" s="28" t="n">
        <f aca="false">1320/100</f>
        <v>13.2</v>
      </c>
      <c r="AW5282" s="28" t="n">
        <v>211</v>
      </c>
      <c r="AX5282" s="28" t="n">
        <f aca="false">177746/100</f>
        <v>1777.46</v>
      </c>
      <c r="AY5282" s="28" t="n">
        <v>28439</v>
      </c>
      <c r="AZ5282" s="30" t="n">
        <f aca="false">665136/100</f>
        <v>6651.36</v>
      </c>
      <c r="BA5282" s="11" t="n">
        <v>106421</v>
      </c>
      <c r="BB5282" s="31" t="n">
        <f aca="false">SUM(Q5282,S5282,U5282,W5282,Y5282,AA5282,AC5282,AE5282,AG5282,AI5282,AK5282,AM5282,AO5282,AQ5282,AS5282,AU5282,AW5282,AY5282)</f>
        <v>106421</v>
      </c>
      <c r="BC5282" s="28" t="n">
        <f aca="false">BA5282-BB5282</f>
        <v>0</v>
      </c>
      <c r="BD5282" s="32" t="n">
        <f aca="false">SUM(P5282,R5282,T5282,V5282,X5282,Z5282,AB5282,AD5282,AF5282,AH5282,AJ5282,AL5282,AN5282,AP5282,AR5282,AT5282,AV5282,AX5282)</f>
        <v>6632.36</v>
      </c>
      <c r="BE5282" s="33" t="n">
        <f aca="false">AZ5282-BD5282</f>
        <v>18.9999999999991</v>
      </c>
      <c r="BF5282" s="34" t="n">
        <f aca="false">BD5282*M5282</f>
        <v>106117.76</v>
      </c>
      <c r="BG5282" s="35" t="n">
        <f aca="false">BA5282-BF5282</f>
        <v>303.239999999991</v>
      </c>
      <c r="BH5282" s="19" t="str">
        <f aca="false">IF(BG5282=0,"",IF(BG5282&lt;&gt;BA5282,"erreur de calcul",IF(BD5282&lt;&gt;0,"pas de prix",IF(M5282&lt;&gt; 0,"pas de quantité","pas de prix, ni de quantité"))))</f>
        <v>erreur de calcul</v>
      </c>
      <c r="BI5282" s="19"/>
    </row>
    <row r="5283" customFormat="false" ht="15" hidden="false" customHeight="false" outlineLevel="0" collapsed="false">
      <c r="A5283" s="0" t="n">
        <v>16</v>
      </c>
      <c r="B5283" s="8" t="s">
        <v>24</v>
      </c>
      <c r="C5283" s="9" t="s">
        <v>25</v>
      </c>
      <c r="D5283" s="9" t="s">
        <v>26</v>
      </c>
      <c r="E5283" s="10" t="n">
        <v>1789</v>
      </c>
      <c r="F5283" s="9" t="s">
        <v>27</v>
      </c>
      <c r="G5283" s="9" t="s">
        <v>27</v>
      </c>
      <c r="H5283" s="11" t="n">
        <v>18</v>
      </c>
      <c r="I5283" s="11" t="s">
        <v>86</v>
      </c>
      <c r="J5283" s="14" t="n">
        <v>55</v>
      </c>
      <c r="K5283" s="14"/>
      <c r="L5283" s="16"/>
      <c r="M5283" s="27" t="n">
        <f aca="false">J5283+(K5283/20)+(L5283/240)</f>
        <v>55</v>
      </c>
      <c r="N5283" s="17" t="s">
        <v>81</v>
      </c>
      <c r="O5283" s="11"/>
      <c r="P5283" s="28"/>
      <c r="Q5283" s="28" t="n">
        <f aca="false">P5283*$M5283</f>
        <v>0</v>
      </c>
      <c r="R5283" s="28"/>
      <c r="S5283" s="28" t="n">
        <f aca="false">R5283*$M5283</f>
        <v>0</v>
      </c>
      <c r="T5283" s="28"/>
      <c r="U5283" s="28" t="n">
        <f aca="false">T5283*$M5283</f>
        <v>0</v>
      </c>
      <c r="V5283" s="28"/>
      <c r="W5283" s="28" t="n">
        <f aca="false">V5283*$M5283</f>
        <v>0</v>
      </c>
      <c r="X5283" s="29"/>
      <c r="Y5283" s="28" t="n">
        <f aca="false">X5283*$M5283</f>
        <v>0</v>
      </c>
      <c r="Z5283" s="28"/>
      <c r="AA5283" s="28" t="n">
        <f aca="false">Z5283*$M5283</f>
        <v>0</v>
      </c>
      <c r="AB5283" s="28"/>
      <c r="AC5283" s="28" t="n">
        <f aca="false">AB5283*$M5283</f>
        <v>0</v>
      </c>
      <c r="AD5283" s="28"/>
      <c r="AE5283" s="28" t="n">
        <f aca="false">AD5283*$M5283</f>
        <v>0</v>
      </c>
      <c r="AF5283" s="28"/>
      <c r="AG5283" s="28" t="n">
        <f aca="false">AF5283*$M5283</f>
        <v>0</v>
      </c>
      <c r="AH5283" s="28"/>
      <c r="AI5283" s="28" t="n">
        <f aca="false">AH5283*$M5283</f>
        <v>0</v>
      </c>
      <c r="AJ5283" s="28"/>
      <c r="AK5283" s="28" t="n">
        <f aca="false">AJ5283*$M5283</f>
        <v>0</v>
      </c>
      <c r="AL5283" s="28"/>
      <c r="AM5283" s="28" t="n">
        <f aca="false">AL5283*$M5283</f>
        <v>0</v>
      </c>
      <c r="AN5283" s="28"/>
      <c r="AO5283" s="28" t="n">
        <f aca="false">AN5283*$M5283</f>
        <v>0</v>
      </c>
      <c r="AP5283" s="28"/>
      <c r="AQ5283" s="28" t="n">
        <f aca="false">AP5283*$M5283</f>
        <v>0</v>
      </c>
      <c r="AR5283" s="28"/>
      <c r="AS5283" s="28" t="n">
        <f aca="false">AR5283*$M5283</f>
        <v>0</v>
      </c>
      <c r="AT5283" s="28" t="n">
        <v>319</v>
      </c>
      <c r="AU5283" s="28" t="n">
        <v>17545</v>
      </c>
      <c r="AV5283" s="28"/>
      <c r="AW5283" s="28" t="n">
        <f aca="false">AV5283*$M5283</f>
        <v>0</v>
      </c>
      <c r="AX5283" s="28"/>
      <c r="AY5283" s="28" t="n">
        <f aca="false">AX5283*$M5283</f>
        <v>0</v>
      </c>
      <c r="AZ5283" s="30" t="n">
        <v>319</v>
      </c>
      <c r="BA5283" s="11" t="n">
        <v>17545</v>
      </c>
      <c r="BB5283" s="31" t="n">
        <f aca="false">SUM(Q5283,S5283,U5283,W5283,Y5283,AA5283,AC5283,AE5283,AG5283,AI5283,AK5283,AM5283,AO5283,AQ5283,AS5283,AU5283,AW5283,AY5283)</f>
        <v>17545</v>
      </c>
      <c r="BC5283" s="28" t="n">
        <f aca="false">BA5283-BB5283</f>
        <v>0</v>
      </c>
      <c r="BD5283" s="32" t="n">
        <f aca="false">SUM(P5283,R5283,T5283,V5283,X5283,Z5283,AB5283,AD5283,AF5283,AH5283,AJ5283,AL5283,AN5283,AP5283,AR5283,AT5283,AV5283,AX5283)</f>
        <v>319</v>
      </c>
      <c r="BE5283" s="33" t="n">
        <f aca="false">AZ5283-BD5283</f>
        <v>0</v>
      </c>
      <c r="BF5283" s="34" t="n">
        <f aca="false">BD5283*M5283</f>
        <v>17545</v>
      </c>
      <c r="BG5283" s="35" t="n">
        <f aca="false">BA5283-BF5283</f>
        <v>0</v>
      </c>
      <c r="BH5283" s="19" t="str">
        <f aca="false">IF(BG5283=0,"",IF(BG5283&lt;&gt;BA5283,"erreur de calcul",IF(BD5283&lt;&gt;0,"pas de prix",IF(M5283&lt;&gt; 0,"pas de quantité","pas de prix, ni de quantité"))))</f>
        <v/>
      </c>
      <c r="BI5283" s="19"/>
    </row>
    <row r="5284" customFormat="false" ht="15" hidden="false" customHeight="false" outlineLevel="0" collapsed="false">
      <c r="A5284" s="0" t="n">
        <v>17</v>
      </c>
      <c r="B5284" s="8" t="s">
        <v>24</v>
      </c>
      <c r="C5284" s="9" t="s">
        <v>25</v>
      </c>
      <c r="D5284" s="9" t="s">
        <v>26</v>
      </c>
      <c r="E5284" s="10" t="n">
        <v>1789</v>
      </c>
      <c r="F5284" s="9" t="s">
        <v>27</v>
      </c>
      <c r="G5284" s="9" t="s">
        <v>27</v>
      </c>
      <c r="H5284" s="11" t="n">
        <v>18</v>
      </c>
      <c r="I5284" s="11" t="s">
        <v>87</v>
      </c>
      <c r="J5284" s="14" t="n">
        <v>6</v>
      </c>
      <c r="K5284" s="14"/>
      <c r="L5284" s="16"/>
      <c r="M5284" s="27" t="n">
        <f aca="false">J5284+(K5284/20)+(L5284/240)</f>
        <v>6</v>
      </c>
      <c r="N5284" s="17" t="s">
        <v>69</v>
      </c>
      <c r="O5284" s="11" t="s">
        <v>77</v>
      </c>
      <c r="P5284" s="28"/>
      <c r="Q5284" s="28" t="n">
        <f aca="false">P5284*$M5284</f>
        <v>0</v>
      </c>
      <c r="R5284" s="28" t="n">
        <v>63</v>
      </c>
      <c r="S5284" s="28" t="n">
        <v>378</v>
      </c>
      <c r="T5284" s="28" t="n">
        <v>2406</v>
      </c>
      <c r="U5284" s="28" t="n">
        <v>14436</v>
      </c>
      <c r="V5284" s="28" t="n">
        <v>222</v>
      </c>
      <c r="W5284" s="28" t="n">
        <v>1332</v>
      </c>
      <c r="X5284" s="29"/>
      <c r="Y5284" s="28" t="n">
        <f aca="false">X5284*$M5284</f>
        <v>0</v>
      </c>
      <c r="Z5284" s="28"/>
      <c r="AA5284" s="28" t="n">
        <f aca="false">Z5284*$M5284</f>
        <v>0</v>
      </c>
      <c r="AB5284" s="28"/>
      <c r="AC5284" s="28" t="n">
        <f aca="false">AB5284*$M5284</f>
        <v>0</v>
      </c>
      <c r="AD5284" s="28" t="n">
        <v>330</v>
      </c>
      <c r="AE5284" s="28" t="n">
        <v>1980</v>
      </c>
      <c r="AF5284" s="28"/>
      <c r="AG5284" s="28" t="n">
        <f aca="false">AF5284*$M5284</f>
        <v>0</v>
      </c>
      <c r="AH5284" s="28"/>
      <c r="AI5284" s="28" t="n">
        <f aca="false">AH5284*$M5284</f>
        <v>0</v>
      </c>
      <c r="AJ5284" s="28"/>
      <c r="AK5284" s="28" t="n">
        <f aca="false">AJ5284*$M5284</f>
        <v>0</v>
      </c>
      <c r="AL5284" s="28"/>
      <c r="AM5284" s="28" t="n">
        <f aca="false">AL5284*$M5284</f>
        <v>0</v>
      </c>
      <c r="AN5284" s="28"/>
      <c r="AO5284" s="28" t="n">
        <f aca="false">AN5284*$M5284</f>
        <v>0</v>
      </c>
      <c r="AP5284" s="28"/>
      <c r="AQ5284" s="28" t="n">
        <f aca="false">AP5284*$M5284</f>
        <v>0</v>
      </c>
      <c r="AR5284" s="28"/>
      <c r="AS5284" s="28" t="n">
        <f aca="false">AR5284*$M5284</f>
        <v>0</v>
      </c>
      <c r="AT5284" s="28"/>
      <c r="AU5284" s="28" t="n">
        <f aca="false">AT5284*$M5284</f>
        <v>0</v>
      </c>
      <c r="AV5284" s="28"/>
      <c r="AW5284" s="28" t="n">
        <f aca="false">AV5284*$M5284</f>
        <v>0</v>
      </c>
      <c r="AX5284" s="28"/>
      <c r="AY5284" s="28" t="n">
        <f aca="false">AX5284*$M5284</f>
        <v>0</v>
      </c>
      <c r="AZ5284" s="30" t="n">
        <v>3021</v>
      </c>
      <c r="BA5284" s="11" t="n">
        <v>18126</v>
      </c>
      <c r="BB5284" s="31" t="n">
        <f aca="false">SUM(Q5284,S5284,U5284,W5284,Y5284,AA5284,AC5284,AE5284,AG5284,AI5284,AK5284,AM5284,AO5284,AQ5284,AS5284,AU5284,AW5284,AY5284)</f>
        <v>18126</v>
      </c>
      <c r="BC5284" s="28" t="n">
        <f aca="false">BA5284-BB5284</f>
        <v>0</v>
      </c>
      <c r="BD5284" s="32" t="n">
        <f aca="false">SUM(P5284,R5284,T5284,V5284,X5284,Z5284,AB5284,AD5284,AF5284,AH5284,AJ5284,AL5284,AN5284,AP5284,AR5284,AT5284,AV5284,AX5284)</f>
        <v>3021</v>
      </c>
      <c r="BE5284" s="33" t="n">
        <f aca="false">AZ5284-BD5284</f>
        <v>0</v>
      </c>
      <c r="BF5284" s="34" t="n">
        <f aca="false">BD5284*M5284</f>
        <v>18126</v>
      </c>
      <c r="BG5284" s="35" t="n">
        <f aca="false">BA5284-BF5284</f>
        <v>0</v>
      </c>
      <c r="BH5284" s="19" t="str">
        <f aca="false">IF(BG5284=0,"",IF(BG5284&lt;&gt;BA5284,"erreur de calcul",IF(BD5284&lt;&gt;0,"pas de prix",IF(M5284&lt;&gt; 0,"pas de quantité","pas de prix, ni de quantité"))))</f>
        <v/>
      </c>
      <c r="BI5284" s="19"/>
    </row>
    <row r="5285" customFormat="false" ht="15" hidden="false" customHeight="false" outlineLevel="0" collapsed="false">
      <c r="A5285" s="0" t="n">
        <v>18</v>
      </c>
      <c r="B5285" s="8" t="s">
        <v>24</v>
      </c>
      <c r="C5285" s="9" t="s">
        <v>25</v>
      </c>
      <c r="D5285" s="9" t="s">
        <v>26</v>
      </c>
      <c r="E5285" s="10" t="n">
        <v>1789</v>
      </c>
      <c r="F5285" s="9" t="s">
        <v>27</v>
      </c>
      <c r="G5285" s="9" t="s">
        <v>27</v>
      </c>
      <c r="H5285" s="11" t="n">
        <v>18</v>
      </c>
      <c r="I5285" s="11" t="s">
        <v>88</v>
      </c>
      <c r="J5285" s="14" t="n">
        <v>26</v>
      </c>
      <c r="K5285" s="14"/>
      <c r="L5285" s="16"/>
      <c r="M5285" s="27" t="n">
        <f aca="false">J5285+(K5285/20)+(L5285/240)</f>
        <v>26</v>
      </c>
      <c r="N5285" s="17" t="s">
        <v>69</v>
      </c>
      <c r="O5285" s="11"/>
      <c r="P5285" s="28"/>
      <c r="Q5285" s="28" t="n">
        <f aca="false">P5285*$M5285</f>
        <v>0</v>
      </c>
      <c r="R5285" s="28"/>
      <c r="S5285" s="28" t="n">
        <f aca="false">R5285*$M5285</f>
        <v>0</v>
      </c>
      <c r="T5285" s="28"/>
      <c r="U5285" s="28" t="n">
        <f aca="false">T5285*$M5285</f>
        <v>0</v>
      </c>
      <c r="V5285" s="28"/>
      <c r="W5285" s="28" t="n">
        <f aca="false">V5285*$M5285</f>
        <v>0</v>
      </c>
      <c r="X5285" s="29"/>
      <c r="Y5285" s="28" t="n">
        <f aca="false">X5285*$M5285</f>
        <v>0</v>
      </c>
      <c r="Z5285" s="28"/>
      <c r="AA5285" s="28" t="n">
        <f aca="false">Z5285*$M5285</f>
        <v>0</v>
      </c>
      <c r="AB5285" s="28"/>
      <c r="AC5285" s="28" t="n">
        <f aca="false">AB5285*$M5285</f>
        <v>0</v>
      </c>
      <c r="AD5285" s="28"/>
      <c r="AE5285" s="28" t="n">
        <f aca="false">AD5285*$M5285</f>
        <v>0</v>
      </c>
      <c r="AF5285" s="28"/>
      <c r="AG5285" s="28" t="n">
        <f aca="false">AF5285*$M5285</f>
        <v>0</v>
      </c>
      <c r="AH5285" s="28"/>
      <c r="AI5285" s="28" t="n">
        <f aca="false">AH5285*$M5285</f>
        <v>0</v>
      </c>
      <c r="AJ5285" s="28"/>
      <c r="AK5285" s="28" t="n">
        <f aca="false">AJ5285*$M5285</f>
        <v>0</v>
      </c>
      <c r="AL5285" s="28" t="n">
        <v>150</v>
      </c>
      <c r="AM5285" s="28" t="n">
        <v>3900</v>
      </c>
      <c r="AN5285" s="28"/>
      <c r="AO5285" s="28" t="n">
        <f aca="false">AN5285*$M5285</f>
        <v>0</v>
      </c>
      <c r="AP5285" s="28" t="n">
        <v>4140</v>
      </c>
      <c r="AQ5285" s="28" t="n">
        <v>107640</v>
      </c>
      <c r="AR5285" s="28" t="n">
        <v>6957</v>
      </c>
      <c r="AS5285" s="28" t="n">
        <v>180882</v>
      </c>
      <c r="AT5285" s="28" t="n">
        <v>171</v>
      </c>
      <c r="AU5285" s="28" t="n">
        <v>4446</v>
      </c>
      <c r="AV5285" s="28" t="n">
        <v>838</v>
      </c>
      <c r="AW5285" s="28" t="n">
        <v>21788</v>
      </c>
      <c r="AX5285" s="28" t="n">
        <v>35</v>
      </c>
      <c r="AY5285" s="28" t="n">
        <v>910</v>
      </c>
      <c r="AZ5285" s="30" t="n">
        <v>12291</v>
      </c>
      <c r="BA5285" s="11" t="n">
        <v>319566</v>
      </c>
      <c r="BB5285" s="31" t="n">
        <f aca="false">SUM(Q5285,S5285,U5285,W5285,Y5285,AA5285,AC5285,AE5285,AG5285,AI5285,AK5285,AM5285,AO5285,AQ5285,AS5285,AU5285,AW5285,AY5285)</f>
        <v>319566</v>
      </c>
      <c r="BC5285" s="28" t="n">
        <f aca="false">BA5285-BB5285</f>
        <v>0</v>
      </c>
      <c r="BD5285" s="32" t="n">
        <f aca="false">SUM(P5285,R5285,T5285,V5285,X5285,Z5285,AB5285,AD5285,AF5285,AH5285,AJ5285,AL5285,AN5285,AP5285,AR5285,AT5285,AV5285,AX5285)</f>
        <v>12291</v>
      </c>
      <c r="BE5285" s="33" t="n">
        <f aca="false">AZ5285-BD5285</f>
        <v>0</v>
      </c>
      <c r="BF5285" s="34" t="n">
        <f aca="false">BD5285*M5285</f>
        <v>319566</v>
      </c>
      <c r="BG5285" s="35" t="n">
        <f aca="false">BA5285-BF5285</f>
        <v>0</v>
      </c>
      <c r="BH5285" s="19" t="str">
        <f aca="false">IF(BG5285=0,"",IF(BG5285&lt;&gt;BA5285,"erreur de calcul",IF(BD5285&lt;&gt;0,"pas de prix",IF(M5285&lt;&gt; 0,"pas de quantité","pas de prix, ni de quantité"))))</f>
        <v/>
      </c>
      <c r="BI5285" s="19"/>
    </row>
    <row r="5286" customFormat="false" ht="15" hidden="false" customHeight="false" outlineLevel="0" collapsed="false">
      <c r="A5286" s="0" t="n">
        <v>19</v>
      </c>
      <c r="B5286" s="8" t="s">
        <v>24</v>
      </c>
      <c r="C5286" s="9" t="s">
        <v>25</v>
      </c>
      <c r="D5286" s="9" t="s">
        <v>26</v>
      </c>
      <c r="E5286" s="10" t="n">
        <v>1789</v>
      </c>
      <c r="F5286" s="9" t="s">
        <v>27</v>
      </c>
      <c r="G5286" s="9" t="s">
        <v>27</v>
      </c>
      <c r="H5286" s="11" t="n">
        <v>18</v>
      </c>
      <c r="I5286" s="11" t="s">
        <v>89</v>
      </c>
      <c r="J5286" s="14" t="n">
        <v>7</v>
      </c>
      <c r="K5286" s="14"/>
      <c r="L5286" s="16"/>
      <c r="M5286" s="27" t="n">
        <f aca="false">J5286+(K5286/20)+(L5286/240)</f>
        <v>7</v>
      </c>
      <c r="N5286" s="17" t="s">
        <v>81</v>
      </c>
      <c r="O5286" s="11" t="s">
        <v>77</v>
      </c>
      <c r="P5286" s="28"/>
      <c r="Q5286" s="28" t="n">
        <f aca="false">P5286*$M5286</f>
        <v>0</v>
      </c>
      <c r="R5286" s="28"/>
      <c r="S5286" s="28" t="n">
        <f aca="false">R5286*$M5286</f>
        <v>0</v>
      </c>
      <c r="T5286" s="28"/>
      <c r="U5286" s="28" t="n">
        <f aca="false">T5286*$M5286</f>
        <v>0</v>
      </c>
      <c r="V5286" s="28"/>
      <c r="W5286" s="28" t="n">
        <f aca="false">V5286*$M5286</f>
        <v>0</v>
      </c>
      <c r="X5286" s="29"/>
      <c r="Y5286" s="28" t="n">
        <f aca="false">X5286*$M5286</f>
        <v>0</v>
      </c>
      <c r="Z5286" s="28"/>
      <c r="AA5286" s="28" t="n">
        <f aca="false">Z5286*$M5286</f>
        <v>0</v>
      </c>
      <c r="AB5286" s="28"/>
      <c r="AC5286" s="28" t="n">
        <f aca="false">AB5286*$M5286</f>
        <v>0</v>
      </c>
      <c r="AD5286" s="28"/>
      <c r="AE5286" s="28" t="n">
        <f aca="false">AD5286*$M5286</f>
        <v>0</v>
      </c>
      <c r="AF5286" s="28"/>
      <c r="AG5286" s="28" t="n">
        <f aca="false">AF5286*$M5286</f>
        <v>0</v>
      </c>
      <c r="AH5286" s="28"/>
      <c r="AI5286" s="28" t="n">
        <f aca="false">AH5286*$M5286</f>
        <v>0</v>
      </c>
      <c r="AJ5286" s="28"/>
      <c r="AK5286" s="28" t="n">
        <f aca="false">AJ5286*$M5286</f>
        <v>0</v>
      </c>
      <c r="AL5286" s="28"/>
      <c r="AM5286" s="28" t="n">
        <f aca="false">AL5286*$M5286</f>
        <v>0</v>
      </c>
      <c r="AN5286" s="28"/>
      <c r="AO5286" s="28" t="n">
        <f aca="false">AN5286*$M5286</f>
        <v>0</v>
      </c>
      <c r="AP5286" s="38" t="n">
        <v>1763</v>
      </c>
      <c r="AQ5286" s="28" t="n">
        <v>42312</v>
      </c>
      <c r="AR5286" s="28"/>
      <c r="AS5286" s="28" t="n">
        <f aca="false">AR5286*$M5286</f>
        <v>0</v>
      </c>
      <c r="AT5286" s="28"/>
      <c r="AU5286" s="28" t="n">
        <f aca="false">AT5286*$M5286</f>
        <v>0</v>
      </c>
      <c r="AV5286" s="38" t="n">
        <v>377</v>
      </c>
      <c r="AW5286" s="28" t="n">
        <v>9425</v>
      </c>
      <c r="AX5286" s="28"/>
      <c r="AY5286" s="28" t="n">
        <f aca="false">AX5286*$M5286</f>
        <v>0</v>
      </c>
      <c r="AZ5286" s="30" t="n">
        <v>2140</v>
      </c>
      <c r="BA5286" s="11" t="n">
        <v>51737</v>
      </c>
      <c r="BB5286" s="31" t="n">
        <f aca="false">SUM(Q5286,S5286,U5286,W5286,Y5286,AA5286,AC5286,AE5286,AG5286,AI5286,AK5286,AM5286,AO5286,AQ5286,AS5286,AU5286,AW5286,AY5286)</f>
        <v>51737</v>
      </c>
      <c r="BC5286" s="28" t="n">
        <f aca="false">BA5286-BB5286</f>
        <v>0</v>
      </c>
      <c r="BD5286" s="32" t="n">
        <f aca="false">SUM(P5286,R5286,T5286,V5286,X5286,Z5286,AB5286,AD5286,AF5286,AH5286,AJ5286,AL5286,AN5286,AP5286,AR5286,AT5286,AV5286,AX5286)</f>
        <v>2140</v>
      </c>
      <c r="BE5286" s="33" t="n">
        <f aca="false">AZ5286-BD5286</f>
        <v>0</v>
      </c>
      <c r="BF5286" s="34" t="n">
        <f aca="false">BD5286*M5286</f>
        <v>14980</v>
      </c>
      <c r="BG5286" s="35" t="n">
        <f aca="false">BA5286-BF5286</f>
        <v>36757</v>
      </c>
      <c r="BH5286" s="19" t="str">
        <f aca="false">IF(BG5286=0,"",IF(BG5286&lt;&gt;BA5286,"erreur de calcul",IF(BD5286&lt;&gt;0,"pas de prix",IF(M5286&lt;&gt; 0,"pas de quantité","pas de prix, ni de quantité"))))</f>
        <v>erreur de calcul</v>
      </c>
      <c r="BI5286" s="19" t="s">
        <v>90</v>
      </c>
    </row>
    <row r="5287" customFormat="false" ht="15" hidden="false" customHeight="false" outlineLevel="0" collapsed="false">
      <c r="A5287" s="0" t="n">
        <v>20</v>
      </c>
      <c r="B5287" s="8" t="s">
        <v>24</v>
      </c>
      <c r="C5287" s="9" t="s">
        <v>25</v>
      </c>
      <c r="D5287" s="9" t="s">
        <v>26</v>
      </c>
      <c r="E5287" s="10" t="n">
        <v>1789</v>
      </c>
      <c r="F5287" s="9" t="s">
        <v>27</v>
      </c>
      <c r="G5287" s="9" t="s">
        <v>27</v>
      </c>
      <c r="H5287" s="11" t="n">
        <v>18</v>
      </c>
      <c r="I5287" s="11" t="s">
        <v>91</v>
      </c>
      <c r="J5287" s="14" t="n">
        <v>30</v>
      </c>
      <c r="K5287" s="14"/>
      <c r="L5287" s="16"/>
      <c r="M5287" s="27" t="n">
        <f aca="false">J5287+(K5287/20)+(L5287/240)</f>
        <v>30</v>
      </c>
      <c r="N5287" s="17" t="s">
        <v>64</v>
      </c>
      <c r="O5287" s="11"/>
      <c r="P5287" s="28"/>
      <c r="Q5287" s="28" t="n">
        <f aca="false">P5287*$M5287</f>
        <v>0</v>
      </c>
      <c r="R5287" s="28"/>
      <c r="S5287" s="28" t="n">
        <f aca="false">R5287*$M5287</f>
        <v>0</v>
      </c>
      <c r="T5287" s="28"/>
      <c r="U5287" s="28" t="n">
        <f aca="false">T5287*$M5287</f>
        <v>0</v>
      </c>
      <c r="V5287" s="28" t="n">
        <f aca="false">12300/100</f>
        <v>123</v>
      </c>
      <c r="W5287" s="28" t="n">
        <v>3690</v>
      </c>
      <c r="X5287" s="29"/>
      <c r="Y5287" s="28" t="n">
        <f aca="false">X5287*$M5287</f>
        <v>0</v>
      </c>
      <c r="Z5287" s="28"/>
      <c r="AA5287" s="28" t="n">
        <f aca="false">Z5287*$M5287</f>
        <v>0</v>
      </c>
      <c r="AB5287" s="28" t="n">
        <f aca="false">16277/100</f>
        <v>162.77</v>
      </c>
      <c r="AC5287" s="28" t="n">
        <v>4883</v>
      </c>
      <c r="AD5287" s="28"/>
      <c r="AE5287" s="28" t="n">
        <f aca="false">AD5287*$M5287</f>
        <v>0</v>
      </c>
      <c r="AF5287" s="28"/>
      <c r="AG5287" s="28" t="n">
        <f aca="false">AF5287*$M5287</f>
        <v>0</v>
      </c>
      <c r="AH5287" s="28"/>
      <c r="AI5287" s="28" t="n">
        <f aca="false">AH5287*$M5287</f>
        <v>0</v>
      </c>
      <c r="AJ5287" s="28"/>
      <c r="AK5287" s="28" t="n">
        <f aca="false">AJ5287*$M5287</f>
        <v>0</v>
      </c>
      <c r="AL5287" s="28"/>
      <c r="AM5287" s="28" t="n">
        <f aca="false">AL5287*$M5287</f>
        <v>0</v>
      </c>
      <c r="AN5287" s="28"/>
      <c r="AO5287" s="28" t="n">
        <f aca="false">AN5287*$M5287</f>
        <v>0</v>
      </c>
      <c r="AP5287" s="28"/>
      <c r="AQ5287" s="28" t="n">
        <f aca="false">AP5287*$M5287</f>
        <v>0</v>
      </c>
      <c r="AR5287" s="28"/>
      <c r="AS5287" s="28" t="n">
        <f aca="false">AR5287*$M5287</f>
        <v>0</v>
      </c>
      <c r="AT5287" s="28"/>
      <c r="AU5287" s="28" t="n">
        <f aca="false">AT5287*$M5287</f>
        <v>0</v>
      </c>
      <c r="AV5287" s="28"/>
      <c r="AW5287" s="28" t="n">
        <f aca="false">AV5287*$M5287</f>
        <v>0</v>
      </c>
      <c r="AX5287" s="28"/>
      <c r="AY5287" s="28" t="n">
        <f aca="false">AX5287*$M5287</f>
        <v>0</v>
      </c>
      <c r="AZ5287" s="30" t="n">
        <f aca="false">28577/100</f>
        <v>285.77</v>
      </c>
      <c r="BA5287" s="11" t="n">
        <v>8573</v>
      </c>
      <c r="BB5287" s="31" t="n">
        <f aca="false">SUM(Q5287,S5287,U5287,W5287,Y5287,AA5287,AC5287,AE5287,AG5287,AI5287,AK5287,AM5287,AO5287,AQ5287,AS5287,AU5287,AW5287,AY5287)</f>
        <v>8573</v>
      </c>
      <c r="BC5287" s="28" t="n">
        <f aca="false">BA5287-BB5287</f>
        <v>0</v>
      </c>
      <c r="BD5287" s="32" t="n">
        <f aca="false">SUM(P5287,R5287,T5287,V5287,X5287,Z5287,AB5287,AD5287,AF5287,AH5287,AJ5287,AL5287,AN5287,AP5287,AR5287,AT5287,AV5287,AX5287)</f>
        <v>285.77</v>
      </c>
      <c r="BE5287" s="33" t="n">
        <f aca="false">AZ5287-BD5287</f>
        <v>0</v>
      </c>
      <c r="BF5287" s="34" t="n">
        <f aca="false">BD5287*M5287</f>
        <v>8573.1</v>
      </c>
      <c r="BG5287" s="35" t="n">
        <f aca="false">BA5287-BF5287</f>
        <v>-0.0999999999985448</v>
      </c>
      <c r="BH5287" s="19" t="str">
        <f aca="false">IF(BG5287=0,"",IF(BG5287&lt;&gt;BA5287,"erreur de calcul",IF(BD5287&lt;&gt;0,"pas de prix",IF(M5287&lt;&gt; 0,"pas de quantité","pas de prix, ni de quantité"))))</f>
        <v>erreur de calcul</v>
      </c>
      <c r="BI5287" s="19"/>
    </row>
    <row r="5288" customFormat="false" ht="15" hidden="false" customHeight="false" outlineLevel="0" collapsed="false">
      <c r="A5288" s="0" t="n">
        <v>21</v>
      </c>
      <c r="B5288" s="8" t="s">
        <v>24</v>
      </c>
      <c r="C5288" s="9" t="s">
        <v>25</v>
      </c>
      <c r="D5288" s="9" t="s">
        <v>26</v>
      </c>
      <c r="E5288" s="10" t="n">
        <v>1789</v>
      </c>
      <c r="F5288" s="9" t="s">
        <v>27</v>
      </c>
      <c r="G5288" s="9" t="s">
        <v>27</v>
      </c>
      <c r="H5288" s="11" t="n">
        <v>18</v>
      </c>
      <c r="I5288" s="11" t="s">
        <v>92</v>
      </c>
      <c r="J5288" s="14"/>
      <c r="K5288" s="14" t="n">
        <v>25</v>
      </c>
      <c r="L5288" s="16"/>
      <c r="M5288" s="27" t="n">
        <f aca="false">J5288+(K5288/20)+(L5288/240)</f>
        <v>1.25</v>
      </c>
      <c r="N5288" s="17" t="s">
        <v>81</v>
      </c>
      <c r="O5288" s="11"/>
      <c r="P5288" s="28"/>
      <c r="Q5288" s="28" t="n">
        <f aca="false">P5288*$M5288</f>
        <v>0</v>
      </c>
      <c r="R5288" s="28"/>
      <c r="S5288" s="28" t="n">
        <f aca="false">R5288*$M5288</f>
        <v>0</v>
      </c>
      <c r="T5288" s="28"/>
      <c r="U5288" s="28" t="n">
        <f aca="false">T5288*$M5288</f>
        <v>0</v>
      </c>
      <c r="V5288" s="28" t="n">
        <v>17192</v>
      </c>
      <c r="W5288" s="28" t="n">
        <v>21490</v>
      </c>
      <c r="X5288" s="29"/>
      <c r="Y5288" s="28" t="n">
        <f aca="false">X5288*$M5288</f>
        <v>0</v>
      </c>
      <c r="Z5288" s="28"/>
      <c r="AA5288" s="28" t="n">
        <f aca="false">Z5288*$M5288</f>
        <v>0</v>
      </c>
      <c r="AB5288" s="28"/>
      <c r="AC5288" s="28" t="n">
        <f aca="false">AB5288*$M5288</f>
        <v>0</v>
      </c>
      <c r="AD5288" s="28"/>
      <c r="AE5288" s="28" t="n">
        <f aca="false">AD5288*$M5288</f>
        <v>0</v>
      </c>
      <c r="AF5288" s="28"/>
      <c r="AG5288" s="28" t="n">
        <f aca="false">AF5288*$M5288</f>
        <v>0</v>
      </c>
      <c r="AH5288" s="28"/>
      <c r="AI5288" s="28" t="n">
        <f aca="false">AH5288*$M5288</f>
        <v>0</v>
      </c>
      <c r="AJ5288" s="28"/>
      <c r="AK5288" s="28" t="n">
        <f aca="false">AJ5288*$M5288</f>
        <v>0</v>
      </c>
      <c r="AL5288" s="28"/>
      <c r="AM5288" s="28" t="n">
        <f aca="false">AL5288*$M5288</f>
        <v>0</v>
      </c>
      <c r="AN5288" s="28"/>
      <c r="AO5288" s="28" t="n">
        <f aca="false">AN5288*$M5288</f>
        <v>0</v>
      </c>
      <c r="AP5288" s="28"/>
      <c r="AQ5288" s="28" t="n">
        <f aca="false">AP5288*$M5288</f>
        <v>0</v>
      </c>
      <c r="AR5288" s="28"/>
      <c r="AS5288" s="28" t="n">
        <f aca="false">AR5288*$M5288</f>
        <v>0</v>
      </c>
      <c r="AT5288" s="28"/>
      <c r="AU5288" s="28" t="n">
        <f aca="false">AT5288*$M5288</f>
        <v>0</v>
      </c>
      <c r="AV5288" s="28"/>
      <c r="AW5288" s="28" t="n">
        <f aca="false">AV5288*$M5288</f>
        <v>0</v>
      </c>
      <c r="AX5288" s="28"/>
      <c r="AY5288" s="28" t="n">
        <f aca="false">AX5288*$M5288</f>
        <v>0</v>
      </c>
      <c r="AZ5288" s="30" t="n">
        <v>17192</v>
      </c>
      <c r="BA5288" s="11" t="n">
        <v>21490</v>
      </c>
      <c r="BB5288" s="31" t="n">
        <f aca="false">SUM(Q5288,S5288,U5288,W5288,Y5288,AA5288,AC5288,AE5288,AG5288,AI5288,AK5288,AM5288,AO5288,AQ5288,AS5288,AU5288,AW5288,AY5288)</f>
        <v>21490</v>
      </c>
      <c r="BC5288" s="28" t="n">
        <f aca="false">BA5288-BB5288</f>
        <v>0</v>
      </c>
      <c r="BD5288" s="32" t="n">
        <f aca="false">SUM(P5288,R5288,T5288,V5288,X5288,Z5288,AB5288,AD5288,AF5288,AH5288,AJ5288,AL5288,AN5288,AP5288,AR5288,AT5288,AV5288,AX5288)</f>
        <v>17192</v>
      </c>
      <c r="BE5288" s="33" t="n">
        <f aca="false">AZ5288-BD5288</f>
        <v>0</v>
      </c>
      <c r="BF5288" s="34" t="n">
        <f aca="false">BD5288*M5288</f>
        <v>21490</v>
      </c>
      <c r="BG5288" s="35" t="n">
        <f aca="false">BA5288-BF5288</f>
        <v>0</v>
      </c>
      <c r="BH5288" s="19" t="str">
        <f aca="false">IF(BG5288=0,"",IF(BG5288&lt;&gt;BA5288,"erreur de calcul",IF(BD5288&lt;&gt;0,"pas de prix",IF(M5288&lt;&gt; 0,"pas de quantité","pas de prix, ni de quantité"))))</f>
        <v/>
      </c>
      <c r="BI5288" s="19"/>
    </row>
    <row r="5289" customFormat="false" ht="15" hidden="false" customHeight="false" outlineLevel="0" collapsed="false">
      <c r="A5289" s="0" t="n">
        <v>22</v>
      </c>
      <c r="B5289" s="8" t="s">
        <v>24</v>
      </c>
      <c r="C5289" s="9" t="s">
        <v>25</v>
      </c>
      <c r="D5289" s="9" t="s">
        <v>26</v>
      </c>
      <c r="E5289" s="10" t="n">
        <v>1789</v>
      </c>
      <c r="F5289" s="9" t="s">
        <v>27</v>
      </c>
      <c r="G5289" s="9" t="s">
        <v>27</v>
      </c>
      <c r="H5289" s="11" t="n">
        <v>18</v>
      </c>
      <c r="I5289" s="11" t="s">
        <v>93</v>
      </c>
      <c r="J5289" s="14" t="n">
        <v>4</v>
      </c>
      <c r="K5289" s="14"/>
      <c r="L5289" s="16"/>
      <c r="M5289" s="27" t="n">
        <f aca="false">J5289+(K5289/20)+(L5289/240)</f>
        <v>4</v>
      </c>
      <c r="N5289" s="17" t="s">
        <v>94</v>
      </c>
      <c r="O5289" s="11"/>
      <c r="P5289" s="28"/>
      <c r="Q5289" s="28" t="n">
        <f aca="false">P5289*$M5289</f>
        <v>0</v>
      </c>
      <c r="R5289" s="28"/>
      <c r="S5289" s="28" t="n">
        <f aca="false">R5289*$M5289</f>
        <v>0</v>
      </c>
      <c r="T5289" s="28"/>
      <c r="U5289" s="28" t="n">
        <f aca="false">T5289*$M5289</f>
        <v>0</v>
      </c>
      <c r="V5289" s="28"/>
      <c r="W5289" s="28" t="n">
        <f aca="false">V5289*$M5289</f>
        <v>0</v>
      </c>
      <c r="X5289" s="29"/>
      <c r="Y5289" s="28" t="n">
        <f aca="false">X5289*$M5289</f>
        <v>0</v>
      </c>
      <c r="Z5289" s="28"/>
      <c r="AA5289" s="28" t="n">
        <f aca="false">Z5289*$M5289</f>
        <v>0</v>
      </c>
      <c r="AB5289" s="28"/>
      <c r="AC5289" s="28" t="n">
        <f aca="false">AB5289*$M5289</f>
        <v>0</v>
      </c>
      <c r="AD5289" s="28" t="n">
        <v>900</v>
      </c>
      <c r="AE5289" s="28" t="n">
        <v>3600</v>
      </c>
      <c r="AF5289" s="28"/>
      <c r="AG5289" s="28" t="n">
        <f aca="false">AF5289*$M5289</f>
        <v>0</v>
      </c>
      <c r="AH5289" s="28"/>
      <c r="AI5289" s="28" t="n">
        <f aca="false">AH5289*$M5289</f>
        <v>0</v>
      </c>
      <c r="AJ5289" s="28"/>
      <c r="AK5289" s="28" t="n">
        <f aca="false">AJ5289*$M5289</f>
        <v>0</v>
      </c>
      <c r="AL5289" s="28"/>
      <c r="AM5289" s="28" t="n">
        <f aca="false">AL5289*$M5289</f>
        <v>0</v>
      </c>
      <c r="AN5289" s="28"/>
      <c r="AO5289" s="28" t="n">
        <f aca="false">AN5289*$M5289</f>
        <v>0</v>
      </c>
      <c r="AP5289" s="28" t="n">
        <v>36</v>
      </c>
      <c r="AQ5289" s="28" t="n">
        <v>144</v>
      </c>
      <c r="AR5289" s="28"/>
      <c r="AS5289" s="28" t="n">
        <f aca="false">AR5289*$M5289</f>
        <v>0</v>
      </c>
      <c r="AT5289" s="28"/>
      <c r="AU5289" s="28" t="n">
        <f aca="false">AT5289*$M5289</f>
        <v>0</v>
      </c>
      <c r="AV5289" s="28"/>
      <c r="AW5289" s="28" t="n">
        <f aca="false">AV5289*$M5289</f>
        <v>0</v>
      </c>
      <c r="AX5289" s="28"/>
      <c r="AY5289" s="28" t="n">
        <f aca="false">AX5289*$M5289</f>
        <v>0</v>
      </c>
      <c r="AZ5289" s="30" t="n">
        <v>936</v>
      </c>
      <c r="BA5289" s="11" t="n">
        <v>3744</v>
      </c>
      <c r="BB5289" s="31" t="n">
        <f aca="false">SUM(Q5289,S5289,U5289,W5289,Y5289,AA5289,AC5289,AE5289,AG5289,AI5289,AK5289,AM5289,AO5289,AQ5289,AS5289,AU5289,AW5289,AY5289)</f>
        <v>3744</v>
      </c>
      <c r="BC5289" s="28" t="n">
        <f aca="false">BA5289-BB5289</f>
        <v>0</v>
      </c>
      <c r="BD5289" s="32" t="n">
        <f aca="false">SUM(P5289,R5289,T5289,V5289,X5289,Z5289,AB5289,AD5289,AF5289,AH5289,AJ5289,AL5289,AN5289,AP5289,AR5289,AT5289,AV5289,AX5289)</f>
        <v>936</v>
      </c>
      <c r="BE5289" s="33" t="n">
        <f aca="false">AZ5289-BD5289</f>
        <v>0</v>
      </c>
      <c r="BF5289" s="34" t="n">
        <f aca="false">BD5289*M5289</f>
        <v>3744</v>
      </c>
      <c r="BG5289" s="35" t="n">
        <f aca="false">BA5289-BF5289</f>
        <v>0</v>
      </c>
      <c r="BH5289" s="19" t="str">
        <f aca="false">IF(BG5289=0,"",IF(BG5289&lt;&gt;BA5289,"erreur de calcul",IF(BD5289&lt;&gt;0,"pas de prix",IF(M5289&lt;&gt; 0,"pas de quantité","pas de prix, ni de quantité"))))</f>
        <v/>
      </c>
      <c r="BI5289" s="19"/>
    </row>
    <row r="5290" customFormat="false" ht="15" hidden="false" customHeight="false" outlineLevel="0" collapsed="false">
      <c r="A5290" s="0" t="n">
        <v>23</v>
      </c>
      <c r="B5290" s="8" t="s">
        <v>24</v>
      </c>
      <c r="C5290" s="9" t="s">
        <v>25</v>
      </c>
      <c r="D5290" s="9" t="s">
        <v>26</v>
      </c>
      <c r="E5290" s="10" t="n">
        <v>1789</v>
      </c>
      <c r="F5290" s="9" t="s">
        <v>27</v>
      </c>
      <c r="G5290" s="9" t="s">
        <v>27</v>
      </c>
      <c r="H5290" s="11" t="n">
        <v>18</v>
      </c>
      <c r="I5290" s="11" t="s">
        <v>95</v>
      </c>
      <c r="J5290" s="14" t="n">
        <v>40</v>
      </c>
      <c r="K5290" s="14"/>
      <c r="L5290" s="16"/>
      <c r="M5290" s="27" t="n">
        <f aca="false">J5290+(K5290/20)+(L5290/240)</f>
        <v>40</v>
      </c>
      <c r="N5290" s="17" t="s">
        <v>64</v>
      </c>
      <c r="O5290" s="11"/>
      <c r="P5290" s="28" t="n">
        <f aca="false">16000/100</f>
        <v>160</v>
      </c>
      <c r="Q5290" s="28" t="n">
        <v>6400</v>
      </c>
      <c r="R5290" s="28"/>
      <c r="S5290" s="28" t="n">
        <f aca="false">R5290*$M5290</f>
        <v>0</v>
      </c>
      <c r="T5290" s="28"/>
      <c r="U5290" s="28" t="n">
        <f aca="false">T5290*$M5290</f>
        <v>0</v>
      </c>
      <c r="V5290" s="28"/>
      <c r="W5290" s="28" t="n">
        <f aca="false">V5290*$M5290</f>
        <v>0</v>
      </c>
      <c r="X5290" s="29"/>
      <c r="Y5290" s="28" t="n">
        <f aca="false">X5290*$M5290</f>
        <v>0</v>
      </c>
      <c r="Z5290" s="28"/>
      <c r="AA5290" s="28" t="n">
        <f aca="false">Z5290*$M5290</f>
        <v>0</v>
      </c>
      <c r="AB5290" s="28"/>
      <c r="AC5290" s="28" t="n">
        <f aca="false">AB5290*$M5290</f>
        <v>0</v>
      </c>
      <c r="AD5290" s="28"/>
      <c r="AE5290" s="28" t="n">
        <f aca="false">AD5290*$M5290</f>
        <v>0</v>
      </c>
      <c r="AF5290" s="28"/>
      <c r="AG5290" s="28" t="n">
        <f aca="false">AF5290*$M5290</f>
        <v>0</v>
      </c>
      <c r="AH5290" s="28"/>
      <c r="AI5290" s="28" t="n">
        <f aca="false">AH5290*$M5290</f>
        <v>0</v>
      </c>
      <c r="AJ5290" s="28"/>
      <c r="AK5290" s="28" t="n">
        <f aca="false">AJ5290*$M5290</f>
        <v>0</v>
      </c>
      <c r="AL5290" s="28"/>
      <c r="AM5290" s="28" t="n">
        <f aca="false">AL5290*$M5290</f>
        <v>0</v>
      </c>
      <c r="AN5290" s="28"/>
      <c r="AO5290" s="28" t="n">
        <f aca="false">AN5290*$M5290</f>
        <v>0</v>
      </c>
      <c r="AP5290" s="28"/>
      <c r="AQ5290" s="28" t="n">
        <f aca="false">AP5290*$M5290</f>
        <v>0</v>
      </c>
      <c r="AR5290" s="28"/>
      <c r="AS5290" s="28" t="n">
        <f aca="false">AR5290*$M5290</f>
        <v>0</v>
      </c>
      <c r="AT5290" s="28"/>
      <c r="AU5290" s="28" t="n">
        <f aca="false">AT5290*$M5290</f>
        <v>0</v>
      </c>
      <c r="AV5290" s="28"/>
      <c r="AW5290" s="28" t="n">
        <f aca="false">AV5290*$M5290</f>
        <v>0</v>
      </c>
      <c r="AX5290" s="28"/>
      <c r="AY5290" s="28" t="n">
        <f aca="false">AX5290*$M5290</f>
        <v>0</v>
      </c>
      <c r="AZ5290" s="30" t="n">
        <f aca="false">16000/100</f>
        <v>160</v>
      </c>
      <c r="BA5290" s="11" t="n">
        <v>6400</v>
      </c>
      <c r="BB5290" s="31" t="n">
        <f aca="false">SUM(Q5290,S5290,U5290,W5290,Y5290,AA5290,AC5290,AE5290,AG5290,AI5290,AK5290,AM5290,AO5290,AQ5290,AS5290,AU5290,AW5290,AY5290)</f>
        <v>6400</v>
      </c>
      <c r="BC5290" s="28" t="n">
        <f aca="false">BA5290-BB5290</f>
        <v>0</v>
      </c>
      <c r="BD5290" s="32" t="n">
        <f aca="false">SUM(P5290,R5290,T5290,V5290,X5290,Z5290,AB5290,AD5290,AF5290,AH5290,AJ5290,AL5290,AN5290,AP5290,AR5290,AT5290,AV5290,AX5290)</f>
        <v>160</v>
      </c>
      <c r="BE5290" s="33" t="n">
        <f aca="false">AZ5290-BD5290</f>
        <v>0</v>
      </c>
      <c r="BF5290" s="34" t="n">
        <f aca="false">BD5290*M5290</f>
        <v>6400</v>
      </c>
      <c r="BG5290" s="35" t="n">
        <f aca="false">BA5290-BF5290</f>
        <v>0</v>
      </c>
      <c r="BH5290" s="19" t="str">
        <f aca="false">IF(BG5290=0,"",IF(BG5290&lt;&gt;BA5290,"erreur de calcul",IF(BD5290&lt;&gt;0,"pas de prix",IF(M5290&lt;&gt; 0,"pas de quantité","pas de prix, ni de quantité"))))</f>
        <v/>
      </c>
      <c r="BI5290" s="19"/>
    </row>
    <row r="5291" customFormat="false" ht="15" hidden="false" customHeight="false" outlineLevel="0" collapsed="false">
      <c r="A5291" s="0" t="n">
        <v>24</v>
      </c>
      <c r="B5291" s="8" t="s">
        <v>24</v>
      </c>
      <c r="C5291" s="9" t="s">
        <v>25</v>
      </c>
      <c r="D5291" s="9" t="s">
        <v>26</v>
      </c>
      <c r="E5291" s="10" t="n">
        <v>1789</v>
      </c>
      <c r="F5291" s="9" t="s">
        <v>27</v>
      </c>
      <c r="G5291" s="9" t="s">
        <v>27</v>
      </c>
      <c r="H5291" s="11" t="n">
        <v>18</v>
      </c>
      <c r="I5291" s="11" t="s">
        <v>96</v>
      </c>
      <c r="J5291" s="14" t="n">
        <v>25</v>
      </c>
      <c r="K5291" s="14"/>
      <c r="L5291" s="16"/>
      <c r="M5291" s="27" t="n">
        <f aca="false">J5291+(K5291/20)+(L5291/240)</f>
        <v>25</v>
      </c>
      <c r="N5291" s="17" t="s">
        <v>64</v>
      </c>
      <c r="O5291" s="11"/>
      <c r="P5291" s="28" t="n">
        <f aca="false">968306/100</f>
        <v>9683.06</v>
      </c>
      <c r="Q5291" s="28" t="n">
        <v>242076</v>
      </c>
      <c r="R5291" s="28"/>
      <c r="S5291" s="28" t="n">
        <f aca="false">R5291*$M5291</f>
        <v>0</v>
      </c>
      <c r="T5291" s="28"/>
      <c r="U5291" s="28" t="n">
        <f aca="false">T5291*$M5291</f>
        <v>0</v>
      </c>
      <c r="V5291" s="28" t="n">
        <f aca="false">39234/100</f>
        <v>392.34</v>
      </c>
      <c r="W5291" s="28" t="n">
        <v>9808</v>
      </c>
      <c r="X5291" s="29"/>
      <c r="Y5291" s="28" t="n">
        <v>3410</v>
      </c>
      <c r="Z5291" s="28"/>
      <c r="AA5291" s="28" t="n">
        <f aca="false">Z5291*$M5291</f>
        <v>0</v>
      </c>
      <c r="AB5291" s="28"/>
      <c r="AC5291" s="28" t="n">
        <f aca="false">AB5291*$M5291</f>
        <v>0</v>
      </c>
      <c r="AD5291" s="28"/>
      <c r="AE5291" s="28" t="n">
        <f aca="false">AD5291*$M5291</f>
        <v>0</v>
      </c>
      <c r="AF5291" s="28"/>
      <c r="AG5291" s="28" t="n">
        <f aca="false">AF5291*$M5291</f>
        <v>0</v>
      </c>
      <c r="AH5291" s="28"/>
      <c r="AI5291" s="28" t="n">
        <f aca="false">AH5291*$M5291</f>
        <v>0</v>
      </c>
      <c r="AJ5291" s="28" t="n">
        <f aca="false">2665/100</f>
        <v>26.65</v>
      </c>
      <c r="AK5291" s="28" t="n">
        <v>666</v>
      </c>
      <c r="AL5291" s="28"/>
      <c r="AM5291" s="28" t="n">
        <f aca="false">AL5291*$M5291</f>
        <v>0</v>
      </c>
      <c r="AN5291" s="28"/>
      <c r="AO5291" s="28" t="n">
        <f aca="false">AN5291*$M5291</f>
        <v>0</v>
      </c>
      <c r="AP5291" s="28"/>
      <c r="AQ5291" s="28" t="n">
        <f aca="false">AP5291*$M5291</f>
        <v>0</v>
      </c>
      <c r="AR5291" s="28"/>
      <c r="AS5291" s="28" t="n">
        <f aca="false">AR5291*$M5291</f>
        <v>0</v>
      </c>
      <c r="AT5291" s="28"/>
      <c r="AU5291" s="28" t="n">
        <f aca="false">AT5291*$M5291</f>
        <v>0</v>
      </c>
      <c r="AV5291" s="28"/>
      <c r="AW5291" s="28" t="n">
        <f aca="false">AV5291*$M5291</f>
        <v>0</v>
      </c>
      <c r="AX5291" s="28" t="n">
        <f aca="false">118115/100</f>
        <v>1181.15</v>
      </c>
      <c r="AY5291" s="28" t="n">
        <v>29529</v>
      </c>
      <c r="AZ5291" s="30" t="n">
        <f aca="false">1141960/100</f>
        <v>11419.6</v>
      </c>
      <c r="BA5291" s="11" t="n">
        <v>285489</v>
      </c>
      <c r="BB5291" s="31" t="n">
        <f aca="false">SUM(Q5291,S5291,U5291,W5291,Y5291,AA5291,AC5291,AE5291,AG5291,AI5291,AK5291,AM5291,AO5291,AQ5291,AS5291,AU5291,AW5291,AY5291)</f>
        <v>285489</v>
      </c>
      <c r="BC5291" s="28" t="n">
        <f aca="false">BA5291-BB5291</f>
        <v>0</v>
      </c>
      <c r="BD5291" s="32" t="n">
        <f aca="false">SUM(P5291,R5291,T5291,V5291,X5291,Z5291,AB5291,AD5291,AF5291,AH5291,AJ5291,AL5291,AN5291,AP5291,AR5291,AT5291,AV5291,AX5291)</f>
        <v>11283.2</v>
      </c>
      <c r="BE5291" s="33" t="n">
        <f aca="false">AZ5291-BD5291</f>
        <v>136.400000000001</v>
      </c>
      <c r="BF5291" s="34" t="n">
        <f aca="false">BD5291*M5291</f>
        <v>282080</v>
      </c>
      <c r="BG5291" s="35" t="n">
        <f aca="false">BA5291-BF5291</f>
        <v>3409</v>
      </c>
      <c r="BH5291" s="19" t="str">
        <f aca="false">IF(BG5291=0,"",IF(BG5291&lt;&gt;BA5291,"erreur de calcul",IF(BD5291&lt;&gt;0,"pas de prix",IF(M5291&lt;&gt; 0,"pas de quantité","pas de prix, ni de quantité"))))</f>
        <v>erreur de calcul</v>
      </c>
      <c r="BI5291" s="19"/>
    </row>
    <row r="5292" customFormat="false" ht="15" hidden="false" customHeight="false" outlineLevel="0" collapsed="false">
      <c r="A5292" s="0" t="n">
        <v>25</v>
      </c>
      <c r="B5292" s="8" t="s">
        <v>24</v>
      </c>
      <c r="C5292" s="9" t="s">
        <v>25</v>
      </c>
      <c r="D5292" s="9" t="s">
        <v>26</v>
      </c>
      <c r="E5292" s="10" t="n">
        <v>1789</v>
      </c>
      <c r="F5292" s="9" t="s">
        <v>27</v>
      </c>
      <c r="G5292" s="9" t="s">
        <v>27</v>
      </c>
      <c r="H5292" s="11" t="n">
        <v>18</v>
      </c>
      <c r="I5292" s="11" t="s">
        <v>97</v>
      </c>
      <c r="J5292" s="14" t="n">
        <v>30</v>
      </c>
      <c r="K5292" s="14"/>
      <c r="L5292" s="16"/>
      <c r="M5292" s="27" t="n">
        <f aca="false">J5292+(K5292/20)+(L5292/240)</f>
        <v>30</v>
      </c>
      <c r="N5292" s="17" t="s">
        <v>64</v>
      </c>
      <c r="O5292" s="11" t="s">
        <v>98</v>
      </c>
      <c r="P5292" s="28"/>
      <c r="Q5292" s="28" t="n">
        <f aca="false">P5292*$M5292</f>
        <v>0</v>
      </c>
      <c r="R5292" s="28"/>
      <c r="S5292" s="28" t="n">
        <f aca="false">R5292*$M5292</f>
        <v>0</v>
      </c>
      <c r="T5292" s="28"/>
      <c r="U5292" s="28" t="n">
        <f aca="false">T5292*$M5292</f>
        <v>0</v>
      </c>
      <c r="V5292" s="28"/>
      <c r="W5292" s="28" t="n">
        <f aca="false">V5292*$M5292</f>
        <v>0</v>
      </c>
      <c r="X5292" s="29"/>
      <c r="Y5292" s="28" t="n">
        <f aca="false">X5292*$M5292</f>
        <v>0</v>
      </c>
      <c r="Z5292" s="28"/>
      <c r="AA5292" s="28" t="n">
        <f aca="false">Z5292*$M5292</f>
        <v>0</v>
      </c>
      <c r="AB5292" s="28"/>
      <c r="AC5292" s="28" t="n">
        <f aca="false">AB5292*$M5292</f>
        <v>0</v>
      </c>
      <c r="AD5292" s="28"/>
      <c r="AE5292" s="28" t="n">
        <f aca="false">AD5292*$M5292</f>
        <v>0</v>
      </c>
      <c r="AF5292" s="28"/>
      <c r="AG5292" s="28" t="n">
        <f aca="false">AF5292*$M5292</f>
        <v>0</v>
      </c>
      <c r="AH5292" s="28"/>
      <c r="AI5292" s="28" t="n">
        <f aca="false">AH5292*$M5292</f>
        <v>0</v>
      </c>
      <c r="AJ5292" s="28"/>
      <c r="AK5292" s="28" t="n">
        <f aca="false">AJ5292*$M5292</f>
        <v>0</v>
      </c>
      <c r="AL5292" s="28"/>
      <c r="AM5292" s="28" t="n">
        <f aca="false">AL5292*$M5292</f>
        <v>0</v>
      </c>
      <c r="AN5292" s="28"/>
      <c r="AO5292" s="28" t="n">
        <f aca="false">AN5292*$M5292</f>
        <v>0</v>
      </c>
      <c r="AP5292" s="28"/>
      <c r="AQ5292" s="28" t="n">
        <f aca="false">AP5292*$M5292</f>
        <v>0</v>
      </c>
      <c r="AR5292" s="28"/>
      <c r="AS5292" s="28" t="n">
        <f aca="false">AR5292*$M5292</f>
        <v>0</v>
      </c>
      <c r="AT5292" s="28"/>
      <c r="AU5292" s="28" t="n">
        <f aca="false">AT5292*$M5292</f>
        <v>0</v>
      </c>
      <c r="AV5292" s="28"/>
      <c r="AW5292" s="28" t="n">
        <f aca="false">AV5292*$M5292</f>
        <v>0</v>
      </c>
      <c r="AX5292" s="28"/>
      <c r="AY5292" s="28" t="n">
        <f aca="false">AX5292*$M5292</f>
        <v>0</v>
      </c>
      <c r="AZ5292" s="30"/>
      <c r="BA5292" s="11"/>
      <c r="BB5292" s="31" t="n">
        <f aca="false">SUM(Q5292,S5292,U5292,W5292,Y5292,AA5292,AC5292,AE5292,AG5292,AI5292,AK5292,AM5292,AO5292,AQ5292,AS5292,AU5292,AW5292,AY5292)</f>
        <v>0</v>
      </c>
      <c r="BC5292" s="28" t="n">
        <f aca="false">BA5292-BB5292</f>
        <v>0</v>
      </c>
      <c r="BD5292" s="32" t="n">
        <f aca="false">SUM(P5292,R5292,T5292,V5292,X5292,Z5292,AB5292,AD5292,AF5292,AH5292,AJ5292,AL5292,AN5292,AP5292,AR5292,AT5292,AV5292,AX5292)</f>
        <v>0</v>
      </c>
      <c r="BE5292" s="33" t="n">
        <f aca="false">AZ5292-BD5292</f>
        <v>0</v>
      </c>
      <c r="BF5292" s="34" t="n">
        <f aca="false">BD5292*M5292</f>
        <v>0</v>
      </c>
      <c r="BG5292" s="35" t="n">
        <f aca="false">BA5292-BF5292</f>
        <v>0</v>
      </c>
      <c r="BH5292" s="19" t="str">
        <f aca="false">IF(BG5292=0,"",IF(BG5292&lt;&gt;BA5292,"erreur de calcul",IF(BD5292&lt;&gt;0,"pas de prix",IF(M5292&lt;&gt; 0,"pas de quantité","pas de prix, ni de quantité"))))</f>
        <v/>
      </c>
      <c r="BI5292" s="19"/>
    </row>
    <row r="5293" customFormat="false" ht="15" hidden="false" customHeight="false" outlineLevel="0" collapsed="false">
      <c r="A5293" s="0" t="n">
        <v>26</v>
      </c>
      <c r="B5293" s="8" t="s">
        <v>24</v>
      </c>
      <c r="C5293" s="9" t="s">
        <v>25</v>
      </c>
      <c r="D5293" s="9" t="s">
        <v>26</v>
      </c>
      <c r="E5293" s="10" t="n">
        <v>1789</v>
      </c>
      <c r="F5293" s="9" t="s">
        <v>27</v>
      </c>
      <c r="G5293" s="9" t="s">
        <v>27</v>
      </c>
      <c r="H5293" s="11" t="n">
        <v>18</v>
      </c>
      <c r="I5293" s="11" t="s">
        <v>99</v>
      </c>
      <c r="J5293" s="14" t="n">
        <v>12</v>
      </c>
      <c r="K5293" s="14"/>
      <c r="L5293" s="16"/>
      <c r="M5293" s="27" t="n">
        <f aca="false">J5293+(K5293/20)+(L5293/240)</f>
        <v>12</v>
      </c>
      <c r="N5293" s="17" t="s">
        <v>64</v>
      </c>
      <c r="O5293" s="11"/>
      <c r="P5293" s="28" t="n">
        <f aca="false">7077/100</f>
        <v>70.77</v>
      </c>
      <c r="Q5293" s="28" t="n">
        <v>849</v>
      </c>
      <c r="R5293" s="28"/>
      <c r="S5293" s="28" t="n">
        <f aca="false">R5293*$M5293</f>
        <v>0</v>
      </c>
      <c r="T5293" s="28"/>
      <c r="U5293" s="28" t="n">
        <f aca="false">T5293*$M5293</f>
        <v>0</v>
      </c>
      <c r="V5293" s="28"/>
      <c r="W5293" s="28" t="n">
        <f aca="false">V5293*$M5293</f>
        <v>0</v>
      </c>
      <c r="X5293" s="29"/>
      <c r="Y5293" s="28" t="n">
        <v>866</v>
      </c>
      <c r="Z5293" s="28"/>
      <c r="AA5293" s="28" t="n">
        <f aca="false">Z5293*$M5293</f>
        <v>0</v>
      </c>
      <c r="AB5293" s="28"/>
      <c r="AC5293" s="28" t="n">
        <f aca="false">AB5293*$M5293</f>
        <v>0</v>
      </c>
      <c r="AD5293" s="28"/>
      <c r="AE5293" s="28" t="n">
        <f aca="false">AD5293*$M5293</f>
        <v>0</v>
      </c>
      <c r="AF5293" s="28"/>
      <c r="AG5293" s="28" t="n">
        <f aca="false">AF5293*$M5293</f>
        <v>0</v>
      </c>
      <c r="AH5293" s="28"/>
      <c r="AI5293" s="28" t="n">
        <f aca="false">AH5293*$M5293</f>
        <v>0</v>
      </c>
      <c r="AJ5293" s="28"/>
      <c r="AK5293" s="28" t="n">
        <f aca="false">AJ5293*$M5293</f>
        <v>0</v>
      </c>
      <c r="AL5293" s="28"/>
      <c r="AM5293" s="28" t="n">
        <f aca="false">AL5293*$M5293</f>
        <v>0</v>
      </c>
      <c r="AN5293" s="28"/>
      <c r="AO5293" s="28" t="n">
        <f aca="false">AN5293*$M5293</f>
        <v>0</v>
      </c>
      <c r="AP5293" s="28"/>
      <c r="AQ5293" s="28" t="n">
        <f aca="false">AP5293*$M5293</f>
        <v>0</v>
      </c>
      <c r="AR5293" s="28"/>
      <c r="AS5293" s="28" t="n">
        <f aca="false">AR5293*$M5293</f>
        <v>0</v>
      </c>
      <c r="AT5293" s="28"/>
      <c r="AU5293" s="28" t="n">
        <f aca="false">AT5293*$M5293</f>
        <v>0</v>
      </c>
      <c r="AV5293" s="28"/>
      <c r="AW5293" s="28" t="n">
        <f aca="false">AV5293*$M5293</f>
        <v>0</v>
      </c>
      <c r="AX5293" s="28"/>
      <c r="AY5293" s="28" t="n">
        <f aca="false">AX5293*$M5293</f>
        <v>0</v>
      </c>
      <c r="AZ5293" s="30" t="n">
        <f aca="false">14294/100</f>
        <v>142.94</v>
      </c>
      <c r="BA5293" s="11" t="n">
        <v>1715</v>
      </c>
      <c r="BB5293" s="31" t="n">
        <f aca="false">SUM(Q5293,S5293,U5293,W5293,Y5293,AA5293,AC5293,AE5293,AG5293,AI5293,AK5293,AM5293,AO5293,AQ5293,AS5293,AU5293,AW5293,AY5293)</f>
        <v>1715</v>
      </c>
      <c r="BC5293" s="28" t="n">
        <f aca="false">BA5293-BB5293</f>
        <v>0</v>
      </c>
      <c r="BD5293" s="32" t="n">
        <f aca="false">SUM(P5293,R5293,T5293,V5293,X5293,Z5293,AB5293,AD5293,AF5293,AH5293,AJ5293,AL5293,AN5293,AP5293,AR5293,AT5293,AV5293,AX5293)</f>
        <v>70.77</v>
      </c>
      <c r="BE5293" s="33" t="n">
        <f aca="false">AZ5293-BD5293</f>
        <v>72.17</v>
      </c>
      <c r="BF5293" s="34" t="n">
        <f aca="false">BD5293*M5293</f>
        <v>849.24</v>
      </c>
      <c r="BG5293" s="35" t="n">
        <f aca="false">BA5293-BF5293</f>
        <v>865.76</v>
      </c>
      <c r="BH5293" s="19" t="str">
        <f aca="false">IF(BG5293=0,"",IF(BG5293&lt;&gt;BA5293,"erreur de calcul",IF(BD5293&lt;&gt;0,"pas de prix",IF(M5293&lt;&gt; 0,"pas de quantité","pas de prix, ni de quantité"))))</f>
        <v>erreur de calcul</v>
      </c>
      <c r="BI5293" s="19"/>
    </row>
    <row r="5294" customFormat="false" ht="15" hidden="false" customHeight="false" outlineLevel="0" collapsed="false">
      <c r="A5294" s="0" t="n">
        <v>27</v>
      </c>
      <c r="B5294" s="8" t="s">
        <v>24</v>
      </c>
      <c r="C5294" s="9" t="s">
        <v>25</v>
      </c>
      <c r="D5294" s="9" t="s">
        <v>26</v>
      </c>
      <c r="E5294" s="10" t="n">
        <v>1789</v>
      </c>
      <c r="F5294" s="9" t="s">
        <v>27</v>
      </c>
      <c r="G5294" s="9" t="s">
        <v>27</v>
      </c>
      <c r="H5294" s="11" t="n">
        <v>18</v>
      </c>
      <c r="I5294" s="11" t="s">
        <v>100</v>
      </c>
      <c r="J5294" s="14" t="n">
        <v>13</v>
      </c>
      <c r="K5294" s="14"/>
      <c r="L5294" s="16"/>
      <c r="M5294" s="27" t="n">
        <f aca="false">J5294+(K5294/20)+(L5294/240)</f>
        <v>13</v>
      </c>
      <c r="N5294" s="17" t="s">
        <v>64</v>
      </c>
      <c r="O5294" s="11"/>
      <c r="P5294" s="28"/>
      <c r="Q5294" s="28" t="n">
        <f aca="false">P5294*$M5294</f>
        <v>0</v>
      </c>
      <c r="R5294" s="28"/>
      <c r="S5294" s="28" t="n">
        <f aca="false">R5294*$M5294</f>
        <v>0</v>
      </c>
      <c r="T5294" s="28"/>
      <c r="U5294" s="28" t="n">
        <f aca="false">T5294*$M5294</f>
        <v>0</v>
      </c>
      <c r="V5294" s="28"/>
      <c r="W5294" s="28" t="n">
        <f aca="false">V5294*$M5294</f>
        <v>0</v>
      </c>
      <c r="X5294" s="29"/>
      <c r="Y5294" s="28" t="n">
        <f aca="false">X5294*$M5294</f>
        <v>0</v>
      </c>
      <c r="Z5294" s="28"/>
      <c r="AA5294" s="28" t="n">
        <f aca="false">Z5294*$M5294</f>
        <v>0</v>
      </c>
      <c r="AB5294" s="28"/>
      <c r="AC5294" s="28" t="n">
        <f aca="false">AB5294*$M5294</f>
        <v>0</v>
      </c>
      <c r="AD5294" s="28"/>
      <c r="AE5294" s="28" t="n">
        <f aca="false">AD5294*$M5294</f>
        <v>0</v>
      </c>
      <c r="AF5294" s="28"/>
      <c r="AG5294" s="28" t="n">
        <f aca="false">AF5294*$M5294</f>
        <v>0</v>
      </c>
      <c r="AH5294" s="28" t="n">
        <f aca="false">7819/100</f>
        <v>78.19</v>
      </c>
      <c r="AI5294" s="28" t="n">
        <v>1016</v>
      </c>
      <c r="AJ5294" s="28" t="n">
        <f aca="false">10382/100</f>
        <v>103.82</v>
      </c>
      <c r="AK5294" s="28" t="n">
        <v>1350</v>
      </c>
      <c r="AL5294" s="28"/>
      <c r="AM5294" s="28" t="n">
        <f aca="false">AL5294*$M5294</f>
        <v>0</v>
      </c>
      <c r="AN5294" s="28"/>
      <c r="AO5294" s="28" t="n">
        <f aca="false">AN5294*$M5294</f>
        <v>0</v>
      </c>
      <c r="AP5294" s="28"/>
      <c r="AQ5294" s="28" t="n">
        <f aca="false">AP5294*$M5294</f>
        <v>0</v>
      </c>
      <c r="AR5294" s="28"/>
      <c r="AS5294" s="28" t="n">
        <f aca="false">AR5294*$M5294</f>
        <v>0</v>
      </c>
      <c r="AT5294" s="28"/>
      <c r="AU5294" s="28" t="n">
        <f aca="false">AT5294*$M5294</f>
        <v>0</v>
      </c>
      <c r="AV5294" s="28"/>
      <c r="AW5294" s="28" t="n">
        <f aca="false">AV5294*$M5294</f>
        <v>0</v>
      </c>
      <c r="AX5294" s="28"/>
      <c r="AY5294" s="28" t="n">
        <f aca="false">AX5294*$M5294</f>
        <v>0</v>
      </c>
      <c r="AZ5294" s="30" t="n">
        <f aca="false">18201/100</f>
        <v>182.01</v>
      </c>
      <c r="BA5294" s="11" t="n">
        <v>2366</v>
      </c>
      <c r="BB5294" s="31" t="n">
        <f aca="false">SUM(Q5294,S5294,U5294,W5294,Y5294,AA5294,AC5294,AE5294,AG5294,AI5294,AK5294,AM5294,AO5294,AQ5294,AS5294,AU5294,AW5294,AY5294)</f>
        <v>2366</v>
      </c>
      <c r="BC5294" s="28" t="n">
        <f aca="false">BA5294-BB5294</f>
        <v>0</v>
      </c>
      <c r="BD5294" s="32" t="n">
        <f aca="false">SUM(P5294,R5294,T5294,V5294,X5294,Z5294,AB5294,AD5294,AF5294,AH5294,AJ5294,AL5294,AN5294,AP5294,AR5294,AT5294,AV5294,AX5294)</f>
        <v>182.01</v>
      </c>
      <c r="BE5294" s="33" t="n">
        <f aca="false">AZ5294-BD5294</f>
        <v>0</v>
      </c>
      <c r="BF5294" s="34" t="n">
        <f aca="false">BD5294*M5294</f>
        <v>2366.13</v>
      </c>
      <c r="BG5294" s="35" t="n">
        <f aca="false">BA5294-BF5294</f>
        <v>-0.130000000000109</v>
      </c>
      <c r="BH5294" s="19" t="str">
        <f aca="false">IF(BG5294=0,"",IF(BG5294&lt;&gt;BA5294,"erreur de calcul",IF(BD5294&lt;&gt;0,"pas de prix",IF(M5294&lt;&gt; 0,"pas de quantité","pas de prix, ni de quantité"))))</f>
        <v>erreur de calcul</v>
      </c>
      <c r="BI5294" s="19"/>
    </row>
    <row r="5295" customFormat="false" ht="15" hidden="false" customHeight="false" outlineLevel="0" collapsed="false">
      <c r="A5295" s="0" t="n">
        <v>28</v>
      </c>
      <c r="B5295" s="8" t="s">
        <v>24</v>
      </c>
      <c r="C5295" s="9" t="s">
        <v>25</v>
      </c>
      <c r="D5295" s="9" t="s">
        <v>26</v>
      </c>
      <c r="E5295" s="10" t="n">
        <v>1789</v>
      </c>
      <c r="F5295" s="9" t="s">
        <v>27</v>
      </c>
      <c r="G5295" s="9" t="s">
        <v>27</v>
      </c>
      <c r="H5295" s="11" t="n">
        <v>18</v>
      </c>
      <c r="I5295" s="11" t="s">
        <v>101</v>
      </c>
      <c r="J5295" s="14" t="n">
        <v>35</v>
      </c>
      <c r="K5295" s="14"/>
      <c r="L5295" s="16"/>
      <c r="M5295" s="27" t="n">
        <f aca="false">J5295+(K5295/20)+(L5295/240)</f>
        <v>35</v>
      </c>
      <c r="N5295" s="17" t="s">
        <v>64</v>
      </c>
      <c r="O5295" s="11"/>
      <c r="P5295" s="28"/>
      <c r="Q5295" s="28" t="n">
        <f aca="false">P5295*$M5295</f>
        <v>0</v>
      </c>
      <c r="R5295" s="28"/>
      <c r="S5295" s="28" t="n">
        <f aca="false">R5295*$M5295</f>
        <v>0</v>
      </c>
      <c r="T5295" s="28"/>
      <c r="U5295" s="28" t="n">
        <f aca="false">T5295*$M5295</f>
        <v>0</v>
      </c>
      <c r="V5295" s="28"/>
      <c r="W5295" s="28" t="n">
        <f aca="false">V5295*$M5295</f>
        <v>0</v>
      </c>
      <c r="X5295" s="29"/>
      <c r="Y5295" s="28" t="n">
        <f aca="false">X5295*$M5295</f>
        <v>0</v>
      </c>
      <c r="Z5295" s="28"/>
      <c r="AA5295" s="28" t="n">
        <f aca="false">Z5295*$M5295</f>
        <v>0</v>
      </c>
      <c r="AB5295" s="28"/>
      <c r="AC5295" s="28" t="n">
        <f aca="false">AB5295*$M5295</f>
        <v>0</v>
      </c>
      <c r="AD5295" s="28"/>
      <c r="AE5295" s="28" t="n">
        <f aca="false">AD5295*$M5295</f>
        <v>0</v>
      </c>
      <c r="AF5295" s="28"/>
      <c r="AG5295" s="28" t="n">
        <f aca="false">AF5295*$M5295</f>
        <v>0</v>
      </c>
      <c r="AH5295" s="28"/>
      <c r="AI5295" s="28" t="n">
        <f aca="false">AH5295*$M5295</f>
        <v>0</v>
      </c>
      <c r="AJ5295" s="28" t="n">
        <f aca="false">65277/100</f>
        <v>652.77</v>
      </c>
      <c r="AK5295" s="28" t="n">
        <v>22847</v>
      </c>
      <c r="AL5295" s="28"/>
      <c r="AM5295" s="28" t="n">
        <f aca="false">AL5295*$M5295</f>
        <v>0</v>
      </c>
      <c r="AN5295" s="28"/>
      <c r="AO5295" s="28" t="n">
        <f aca="false">AN5295*$M5295</f>
        <v>0</v>
      </c>
      <c r="AP5295" s="28"/>
      <c r="AQ5295" s="28" t="n">
        <f aca="false">AP5295*$M5295</f>
        <v>0</v>
      </c>
      <c r="AR5295" s="28"/>
      <c r="AS5295" s="28" t="n">
        <f aca="false">AR5295*$M5295</f>
        <v>0</v>
      </c>
      <c r="AT5295" s="28"/>
      <c r="AU5295" s="28" t="n">
        <f aca="false">AT5295*$M5295</f>
        <v>0</v>
      </c>
      <c r="AV5295" s="28"/>
      <c r="AW5295" s="28" t="n">
        <f aca="false">AV5295*$M5295</f>
        <v>0</v>
      </c>
      <c r="AX5295" s="28"/>
      <c r="AY5295" s="28" t="n">
        <f aca="false">AX5295*$M5295</f>
        <v>0</v>
      </c>
      <c r="AZ5295" s="30" t="n">
        <f aca="false">65277/100</f>
        <v>652.77</v>
      </c>
      <c r="BA5295" s="11" t="n">
        <v>22847</v>
      </c>
      <c r="BB5295" s="31" t="n">
        <f aca="false">SUM(Q5295,S5295,U5295,W5295,Y5295,AA5295,AC5295,AE5295,AG5295,AI5295,AK5295,AM5295,AO5295,AQ5295,AS5295,AU5295,AW5295,AY5295)</f>
        <v>22847</v>
      </c>
      <c r="BC5295" s="28" t="n">
        <f aca="false">BA5295-BB5295</f>
        <v>0</v>
      </c>
      <c r="BD5295" s="32" t="n">
        <f aca="false">SUM(P5295,R5295,T5295,V5295,X5295,Z5295,AB5295,AD5295,AF5295,AH5295,AJ5295,AL5295,AN5295,AP5295,AR5295,AT5295,AV5295,AX5295)</f>
        <v>652.77</v>
      </c>
      <c r="BE5295" s="33" t="n">
        <f aca="false">AZ5295-BD5295</f>
        <v>0</v>
      </c>
      <c r="BF5295" s="34" t="n">
        <f aca="false">BD5295*M5295</f>
        <v>22846.95</v>
      </c>
      <c r="BG5295" s="35" t="n">
        <f aca="false">BA5295-BF5295</f>
        <v>0.0499999999992724</v>
      </c>
      <c r="BH5295" s="19" t="str">
        <f aca="false">IF(BG5295=0,"",IF(BG5295&lt;&gt;BA5295,"erreur de calcul",IF(BD5295&lt;&gt;0,"pas de prix",IF(M5295&lt;&gt; 0,"pas de quantité","pas de prix, ni de quantité"))))</f>
        <v>erreur de calcul</v>
      </c>
      <c r="BI5295" s="19"/>
    </row>
    <row r="5296" customFormat="false" ht="16.65" hidden="false" customHeight="false" outlineLevel="0" collapsed="false">
      <c r="A5296" s="0" t="n">
        <v>29</v>
      </c>
      <c r="B5296" s="8" t="s">
        <v>24</v>
      </c>
      <c r="C5296" s="9" t="s">
        <v>25</v>
      </c>
      <c r="D5296" s="9" t="s">
        <v>26</v>
      </c>
      <c r="E5296" s="10" t="n">
        <v>1789</v>
      </c>
      <c r="F5296" s="9" t="s">
        <v>27</v>
      </c>
      <c r="G5296" s="9" t="s">
        <v>27</v>
      </c>
      <c r="H5296" s="11" t="n">
        <v>18</v>
      </c>
      <c r="I5296" s="11" t="s">
        <v>102</v>
      </c>
      <c r="J5296" s="14" t="n">
        <v>47</v>
      </c>
      <c r="K5296" s="14"/>
      <c r="L5296" s="16"/>
      <c r="M5296" s="27" t="n">
        <f aca="false">J5296+(K5296/20)+(L5296/240)</f>
        <v>47</v>
      </c>
      <c r="N5296" s="17" t="s">
        <v>64</v>
      </c>
      <c r="O5296" s="11"/>
      <c r="P5296" s="28" t="n">
        <f aca="false">8467/100</f>
        <v>84.67</v>
      </c>
      <c r="Q5296" s="28" t="n">
        <v>3979</v>
      </c>
      <c r="R5296" s="28"/>
      <c r="S5296" s="28" t="n">
        <f aca="false">R5296*$M5296</f>
        <v>0</v>
      </c>
      <c r="T5296" s="28"/>
      <c r="U5296" s="28" t="n">
        <f aca="false">T5296*$M5296</f>
        <v>0</v>
      </c>
      <c r="V5296" s="28"/>
      <c r="W5296" s="28" t="n">
        <f aca="false">V5296*$M5296</f>
        <v>0</v>
      </c>
      <c r="X5296" s="29"/>
      <c r="Y5296" s="28" t="n">
        <f aca="false">X5296*$M5296</f>
        <v>0</v>
      </c>
      <c r="Z5296" s="28"/>
      <c r="AA5296" s="28" t="n">
        <f aca="false">Z5296*$M5296</f>
        <v>0</v>
      </c>
      <c r="AB5296" s="28"/>
      <c r="AC5296" s="28" t="n">
        <f aca="false">AB5296*$M5296</f>
        <v>0</v>
      </c>
      <c r="AD5296" s="28"/>
      <c r="AE5296" s="28" t="n">
        <f aca="false">AD5296*$M5296</f>
        <v>0</v>
      </c>
      <c r="AF5296" s="28"/>
      <c r="AG5296" s="28" t="n">
        <f aca="false">AF5296*$M5296</f>
        <v>0</v>
      </c>
      <c r="AH5296" s="28"/>
      <c r="AI5296" s="28" t="n">
        <f aca="false">AH5296*$M5296</f>
        <v>0</v>
      </c>
      <c r="AJ5296" s="28"/>
      <c r="AK5296" s="28" t="n">
        <f aca="false">AJ5296*$M5296</f>
        <v>0</v>
      </c>
      <c r="AL5296" s="28"/>
      <c r="AM5296" s="28" t="n">
        <f aca="false">AL5296*$M5296</f>
        <v>0</v>
      </c>
      <c r="AN5296" s="28"/>
      <c r="AO5296" s="28" t="n">
        <f aca="false">AN5296*$M5296</f>
        <v>0</v>
      </c>
      <c r="AP5296" s="28"/>
      <c r="AQ5296" s="28" t="n">
        <f aca="false">AP5296*$M5296</f>
        <v>0</v>
      </c>
      <c r="AR5296" s="28"/>
      <c r="AS5296" s="28" t="n">
        <f aca="false">AR5296*$M5296</f>
        <v>0</v>
      </c>
      <c r="AT5296" s="28"/>
      <c r="AU5296" s="28" t="n">
        <f aca="false">AT5296*$M5296</f>
        <v>0</v>
      </c>
      <c r="AV5296" s="28"/>
      <c r="AW5296" s="28" t="n">
        <f aca="false">AV5296*$M5296</f>
        <v>0</v>
      </c>
      <c r="AX5296" s="28"/>
      <c r="AY5296" s="28" t="n">
        <f aca="false">AX5296*$M5296</f>
        <v>0</v>
      </c>
      <c r="AZ5296" s="30" t="n">
        <f aca="false">8467/100</f>
        <v>84.67</v>
      </c>
      <c r="BA5296" s="11" t="n">
        <v>3979</v>
      </c>
      <c r="BB5296" s="31" t="n">
        <f aca="false">SUM(Q5296,S5296,U5296,W5296,Y5296,AA5296,AC5296,AE5296,AG5296,AI5296,AK5296,AM5296,AO5296,AQ5296,AS5296,AU5296,AW5296,AY5296)</f>
        <v>3979</v>
      </c>
      <c r="BC5296" s="28" t="n">
        <f aca="false">BA5296-BB5296</f>
        <v>0</v>
      </c>
      <c r="BD5296" s="32" t="n">
        <f aca="false">SUM(P5296,R5296,T5296,V5296,X5296,Z5296,AB5296,AD5296,AF5296,AH5296,AJ5296,AL5296,AN5296,AP5296,AR5296,AT5296,AV5296,AX5296)</f>
        <v>84.67</v>
      </c>
      <c r="BE5296" s="33" t="n">
        <f aca="false">AZ5296-BD5296</f>
        <v>0</v>
      </c>
      <c r="BF5296" s="34" t="n">
        <f aca="false">BD5296*M5296</f>
        <v>3979.49</v>
      </c>
      <c r="BG5296" s="35" t="n">
        <f aca="false">BA5296-BF5296</f>
        <v>-0.490000000000237</v>
      </c>
      <c r="BH5296" s="19" t="str">
        <f aca="false">IF(BG5296=0,"",IF(BG5296&lt;&gt;BA5296,"erreur de calcul",IF(BD5296&lt;&gt;0,"pas de prix",IF(M5296&lt;&gt; 0,"pas de quantité","pas de prix, ni de quantité"))))</f>
        <v>erreur de calcul</v>
      </c>
      <c r="BI5296" s="19"/>
    </row>
    <row r="5297" customFormat="false" ht="15" hidden="false" customHeight="false" outlineLevel="0" collapsed="false">
      <c r="A5297" s="0" t="n">
        <v>30</v>
      </c>
      <c r="B5297" s="8" t="s">
        <v>24</v>
      </c>
      <c r="C5297" s="9" t="s">
        <v>25</v>
      </c>
      <c r="D5297" s="9" t="s">
        <v>26</v>
      </c>
      <c r="E5297" s="10" t="n">
        <v>1789</v>
      </c>
      <c r="F5297" s="9" t="s">
        <v>27</v>
      </c>
      <c r="G5297" s="9" t="s">
        <v>27</v>
      </c>
      <c r="H5297" s="11" t="n">
        <v>18</v>
      </c>
      <c r="I5297" s="11" t="s">
        <v>103</v>
      </c>
      <c r="J5297" s="14" t="n">
        <v>475</v>
      </c>
      <c r="K5297" s="14"/>
      <c r="L5297" s="16"/>
      <c r="M5297" s="27" t="n">
        <f aca="false">J5297+(K5297/20)+(L5297/240)</f>
        <v>475</v>
      </c>
      <c r="N5297" s="17" t="s">
        <v>64</v>
      </c>
      <c r="O5297" s="11"/>
      <c r="P5297" s="28"/>
      <c r="Q5297" s="28" t="n">
        <f aca="false">P5297*$M5297</f>
        <v>0</v>
      </c>
      <c r="R5297" s="28"/>
      <c r="S5297" s="28" t="n">
        <f aca="false">R5297*$M5297</f>
        <v>0</v>
      </c>
      <c r="T5297" s="28" t="n">
        <f aca="false">1746/100</f>
        <v>17.46</v>
      </c>
      <c r="U5297" s="28" t="n">
        <v>8293</v>
      </c>
      <c r="V5297" s="28"/>
      <c r="W5297" s="28" t="n">
        <f aca="false">V5297*$M5297</f>
        <v>0</v>
      </c>
      <c r="X5297" s="29"/>
      <c r="Y5297" s="28" t="n">
        <f aca="false">X5297*$M5297</f>
        <v>0</v>
      </c>
      <c r="Z5297" s="28"/>
      <c r="AA5297" s="28" t="n">
        <f aca="false">Z5297*$M5297</f>
        <v>0</v>
      </c>
      <c r="AB5297" s="28"/>
      <c r="AC5297" s="28" t="n">
        <f aca="false">AB5297*$M5297</f>
        <v>0</v>
      </c>
      <c r="AD5297" s="28"/>
      <c r="AE5297" s="28" t="n">
        <f aca="false">AD5297*$M5297</f>
        <v>0</v>
      </c>
      <c r="AF5297" s="28"/>
      <c r="AG5297" s="28" t="n">
        <f aca="false">AF5297*$M5297</f>
        <v>0</v>
      </c>
      <c r="AH5297" s="28" t="n">
        <f aca="false">1667/100</f>
        <v>16.67</v>
      </c>
      <c r="AI5297" s="28" t="n">
        <v>7918</v>
      </c>
      <c r="AJ5297" s="28"/>
      <c r="AK5297" s="28" t="n">
        <f aca="false">AJ5297*$M5297</f>
        <v>0</v>
      </c>
      <c r="AL5297" s="28"/>
      <c r="AM5297" s="28" t="n">
        <f aca="false">AL5297*$M5297</f>
        <v>0</v>
      </c>
      <c r="AN5297" s="28"/>
      <c r="AO5297" s="28" t="n">
        <f aca="false">AN5297*$M5297</f>
        <v>0</v>
      </c>
      <c r="AP5297" s="28"/>
      <c r="AQ5297" s="28" t="n">
        <f aca="false">AP5297*$M5297</f>
        <v>0</v>
      </c>
      <c r="AR5297" s="28"/>
      <c r="AS5297" s="28" t="n">
        <f aca="false">AR5297*$M5297</f>
        <v>0</v>
      </c>
      <c r="AT5297" s="28"/>
      <c r="AU5297" s="28" t="n">
        <f aca="false">AT5297*$M5297</f>
        <v>0</v>
      </c>
      <c r="AV5297" s="28"/>
      <c r="AW5297" s="28" t="n">
        <f aca="false">AV5297*$M5297</f>
        <v>0</v>
      </c>
      <c r="AX5297" s="28"/>
      <c r="AY5297" s="28" t="n">
        <f aca="false">AX5297*$M5297</f>
        <v>0</v>
      </c>
      <c r="AZ5297" s="30" t="n">
        <f aca="false">3413/100</f>
        <v>34.13</v>
      </c>
      <c r="BA5297" s="11" t="n">
        <v>16211</v>
      </c>
      <c r="BB5297" s="31" t="n">
        <f aca="false">SUM(Q5297,S5297,U5297,W5297,Y5297,AA5297,AC5297,AE5297,AG5297,AI5297,AK5297,AM5297,AO5297,AQ5297,AS5297,AU5297,AW5297,AY5297)</f>
        <v>16211</v>
      </c>
      <c r="BC5297" s="28" t="n">
        <f aca="false">BA5297-BB5297</f>
        <v>0</v>
      </c>
      <c r="BD5297" s="32" t="n">
        <f aca="false">SUM(P5297,R5297,T5297,V5297,X5297,Z5297,AB5297,AD5297,AF5297,AH5297,AJ5297,AL5297,AN5297,AP5297,AR5297,AT5297,AV5297,AX5297)</f>
        <v>34.13</v>
      </c>
      <c r="BE5297" s="33" t="n">
        <f aca="false">AZ5297-BD5297</f>
        <v>0</v>
      </c>
      <c r="BF5297" s="34" t="n">
        <f aca="false">BD5297*M5297</f>
        <v>16211.75</v>
      </c>
      <c r="BG5297" s="35" t="n">
        <f aca="false">BA5297-BF5297</f>
        <v>-0.750000000001819</v>
      </c>
      <c r="BH5297" s="19" t="str">
        <f aca="false">IF(BG5297=0,"",IF(BG5297&lt;&gt;BA5297,"erreur de calcul",IF(BD5297&lt;&gt;0,"pas de prix",IF(M5297&lt;&gt; 0,"pas de quantité","pas de prix, ni de quantité"))))</f>
        <v>erreur de calcul</v>
      </c>
      <c r="BI5297" s="19"/>
    </row>
    <row r="5298" customFormat="false" ht="15" hidden="false" customHeight="false" outlineLevel="0" collapsed="false">
      <c r="A5298" s="0" t="n">
        <v>31</v>
      </c>
      <c r="B5298" s="8" t="s">
        <v>24</v>
      </c>
      <c r="C5298" s="9" t="s">
        <v>25</v>
      </c>
      <c r="D5298" s="9" t="s">
        <v>26</v>
      </c>
      <c r="E5298" s="10" t="n">
        <v>1789</v>
      </c>
      <c r="F5298" s="9" t="s">
        <v>27</v>
      </c>
      <c r="G5298" s="9" t="s">
        <v>27</v>
      </c>
      <c r="H5298" s="11" t="n">
        <v>18</v>
      </c>
      <c r="I5298" s="11" t="s">
        <v>104</v>
      </c>
      <c r="J5298" s="14" t="n">
        <v>310</v>
      </c>
      <c r="K5298" s="14"/>
      <c r="L5298" s="16"/>
      <c r="M5298" s="27" t="n">
        <f aca="false">J5298+(K5298/20)+(L5298/240)</f>
        <v>310</v>
      </c>
      <c r="N5298" s="17" t="s">
        <v>64</v>
      </c>
      <c r="O5298" s="11"/>
      <c r="P5298" s="28"/>
      <c r="Q5298" s="28" t="n">
        <f aca="false">P5298*$M5298</f>
        <v>0</v>
      </c>
      <c r="R5298" s="28"/>
      <c r="S5298" s="28" t="n">
        <f aca="false">R5298*$M5298</f>
        <v>0</v>
      </c>
      <c r="T5298" s="28" t="n">
        <f aca="false">1087/100</f>
        <v>10.87</v>
      </c>
      <c r="U5298" s="28" t="n">
        <v>3370</v>
      </c>
      <c r="V5298" s="28" t="n">
        <f aca="false">285/100</f>
        <v>2.85</v>
      </c>
      <c r="W5298" s="28" t="n">
        <v>883</v>
      </c>
      <c r="X5298" s="29"/>
      <c r="Y5298" s="28" t="n">
        <f aca="false">X5298*$M5298</f>
        <v>0</v>
      </c>
      <c r="Z5298" s="28"/>
      <c r="AA5298" s="28" t="n">
        <f aca="false">Z5298*$M5298</f>
        <v>0</v>
      </c>
      <c r="AB5298" s="28"/>
      <c r="AC5298" s="28" t="n">
        <f aca="false">AB5298*$M5298</f>
        <v>0</v>
      </c>
      <c r="AD5298" s="28"/>
      <c r="AE5298" s="28" t="n">
        <f aca="false">AD5298*$M5298</f>
        <v>0</v>
      </c>
      <c r="AF5298" s="28"/>
      <c r="AG5298" s="28" t="n">
        <f aca="false">AF5298*$M5298</f>
        <v>0</v>
      </c>
      <c r="AH5298" s="28"/>
      <c r="AI5298" s="28" t="n">
        <f aca="false">AH5298*$M5298</f>
        <v>0</v>
      </c>
      <c r="AJ5298" s="28"/>
      <c r="AK5298" s="28" t="n">
        <f aca="false">AJ5298*$M5298</f>
        <v>0</v>
      </c>
      <c r="AL5298" s="28"/>
      <c r="AM5298" s="28" t="n">
        <f aca="false">AL5298*$M5298</f>
        <v>0</v>
      </c>
      <c r="AN5298" s="28"/>
      <c r="AO5298" s="28" t="n">
        <f aca="false">AN5298*$M5298</f>
        <v>0</v>
      </c>
      <c r="AP5298" s="28"/>
      <c r="AQ5298" s="28" t="n">
        <f aca="false">AP5298*$M5298</f>
        <v>0</v>
      </c>
      <c r="AR5298" s="28"/>
      <c r="AS5298" s="28" t="n">
        <f aca="false">AR5298*$M5298</f>
        <v>0</v>
      </c>
      <c r="AT5298" s="28"/>
      <c r="AU5298" s="28" t="n">
        <f aca="false">AT5298*$M5298</f>
        <v>0</v>
      </c>
      <c r="AV5298" s="28"/>
      <c r="AW5298" s="28" t="n">
        <f aca="false">AV5298*$M5298</f>
        <v>0</v>
      </c>
      <c r="AX5298" s="28"/>
      <c r="AY5298" s="28" t="n">
        <f aca="false">AX5298*$M5298</f>
        <v>0</v>
      </c>
      <c r="AZ5298" s="30" t="n">
        <f aca="false">1372/100</f>
        <v>13.72</v>
      </c>
      <c r="BA5298" s="11" t="n">
        <v>4253</v>
      </c>
      <c r="BB5298" s="31" t="n">
        <f aca="false">SUM(Q5298,S5298,U5298,W5298,Y5298,AA5298,AC5298,AE5298,AG5298,AI5298,AK5298,AM5298,AO5298,AQ5298,AS5298,AU5298,AW5298,AY5298)</f>
        <v>4253</v>
      </c>
      <c r="BC5298" s="28" t="n">
        <f aca="false">BA5298-BB5298</f>
        <v>0</v>
      </c>
      <c r="BD5298" s="32" t="n">
        <f aca="false">SUM(P5298,R5298,T5298,V5298,X5298,Z5298,AB5298,AD5298,AF5298,AH5298,AJ5298,AL5298,AN5298,AP5298,AR5298,AT5298,AV5298,AX5298)</f>
        <v>13.72</v>
      </c>
      <c r="BE5298" s="33" t="n">
        <f aca="false">AZ5298-BD5298</f>
        <v>0</v>
      </c>
      <c r="BF5298" s="34" t="n">
        <f aca="false">BD5298*M5298</f>
        <v>4253.2</v>
      </c>
      <c r="BG5298" s="35" t="n">
        <f aca="false">BA5298-BF5298</f>
        <v>-0.199999999999818</v>
      </c>
      <c r="BH5298" s="19" t="str">
        <f aca="false">IF(BG5298=0,"",IF(BG5298&lt;&gt;BA5298,"erreur de calcul",IF(BD5298&lt;&gt;0,"pas de prix",IF(M5298&lt;&gt; 0,"pas de quantité","pas de prix, ni de quantité"))))</f>
        <v>erreur de calcul</v>
      </c>
      <c r="BI5298" s="19"/>
    </row>
    <row r="5299" customFormat="false" ht="15" hidden="false" customHeight="false" outlineLevel="0" collapsed="false">
      <c r="A5299" s="0" t="n">
        <v>32</v>
      </c>
      <c r="B5299" s="8" t="s">
        <v>24</v>
      </c>
      <c r="C5299" s="9" t="s">
        <v>25</v>
      </c>
      <c r="D5299" s="9" t="s">
        <v>26</v>
      </c>
      <c r="E5299" s="10" t="n">
        <v>1789</v>
      </c>
      <c r="F5299" s="9" t="s">
        <v>27</v>
      </c>
      <c r="G5299" s="9" t="s">
        <v>27</v>
      </c>
      <c r="H5299" s="11" t="n">
        <v>18</v>
      </c>
      <c r="I5299" s="11" t="s">
        <v>105</v>
      </c>
      <c r="J5299" s="14" t="n">
        <v>570</v>
      </c>
      <c r="K5299" s="14"/>
      <c r="L5299" s="16"/>
      <c r="M5299" s="27" t="n">
        <f aca="false">J5299+(K5299/20)+(L5299/240)</f>
        <v>570</v>
      </c>
      <c r="N5299" s="17" t="s">
        <v>64</v>
      </c>
      <c r="O5299" s="11"/>
      <c r="P5299" s="28"/>
      <c r="Q5299" s="28" t="n">
        <f aca="false">P5299*$M5299</f>
        <v>0</v>
      </c>
      <c r="R5299" s="28"/>
      <c r="S5299" s="28" t="n">
        <f aca="false">R5299*$M5299</f>
        <v>0</v>
      </c>
      <c r="T5299" s="28" t="n">
        <f aca="false">7423/100</f>
        <v>74.23</v>
      </c>
      <c r="U5299" s="28" t="n">
        <v>42311</v>
      </c>
      <c r="V5299" s="28" t="n">
        <f aca="false">798/100</f>
        <v>7.98</v>
      </c>
      <c r="W5299" s="28" t="n">
        <v>4549</v>
      </c>
      <c r="X5299" s="29" t="n">
        <f aca="false">2068/100</f>
        <v>20.68</v>
      </c>
      <c r="Y5299" s="28" t="n">
        <v>8368</v>
      </c>
      <c r="Z5299" s="28"/>
      <c r="AA5299" s="28" t="n">
        <f aca="false">Z5299*$M5299</f>
        <v>0</v>
      </c>
      <c r="AB5299" s="28" t="n">
        <f aca="false">226/100</f>
        <v>2.26</v>
      </c>
      <c r="AC5299" s="28" t="n">
        <v>1288</v>
      </c>
      <c r="AD5299" s="28"/>
      <c r="AE5299" s="28" t="n">
        <f aca="false">AD5299*$M5299</f>
        <v>0</v>
      </c>
      <c r="AF5299" s="28"/>
      <c r="AG5299" s="28" t="n">
        <f aca="false">AF5299*$M5299</f>
        <v>0</v>
      </c>
      <c r="AH5299" s="28"/>
      <c r="AI5299" s="28" t="n">
        <f aca="false">AH5299*$M5299</f>
        <v>0</v>
      </c>
      <c r="AJ5299" s="28"/>
      <c r="AK5299" s="28" t="n">
        <f aca="false">AJ5299*$M5299</f>
        <v>0</v>
      </c>
      <c r="AL5299" s="28"/>
      <c r="AM5299" s="28" t="n">
        <f aca="false">AL5299*$M5299</f>
        <v>0</v>
      </c>
      <c r="AN5299" s="28"/>
      <c r="AO5299" s="28" t="n">
        <f aca="false">AN5299*$M5299</f>
        <v>0</v>
      </c>
      <c r="AP5299" s="28"/>
      <c r="AQ5299" s="28" t="n">
        <f aca="false">AP5299*$M5299</f>
        <v>0</v>
      </c>
      <c r="AR5299" s="28"/>
      <c r="AS5299" s="28" t="n">
        <f aca="false">AR5299*$M5299</f>
        <v>0</v>
      </c>
      <c r="AT5299" s="28"/>
      <c r="AU5299" s="28" t="n">
        <f aca="false">AT5299*$M5299</f>
        <v>0</v>
      </c>
      <c r="AV5299" s="28"/>
      <c r="AW5299" s="28" t="n">
        <f aca="false">AV5299*$M5299</f>
        <v>0</v>
      </c>
      <c r="AX5299" s="28"/>
      <c r="AY5299" s="28" t="n">
        <f aca="false">AX5299*$M5299</f>
        <v>0</v>
      </c>
      <c r="AZ5299" s="30" t="n">
        <f aca="false">10515/100</f>
        <v>105.15</v>
      </c>
      <c r="BA5299" s="11" t="n">
        <v>56516</v>
      </c>
      <c r="BB5299" s="31" t="n">
        <f aca="false">SUM(Q5299,S5299,U5299,W5299,Y5299,AA5299,AC5299,AE5299,AG5299,AI5299,AK5299,AM5299,AO5299,AQ5299,AS5299,AU5299,AW5299,AY5299)</f>
        <v>56516</v>
      </c>
      <c r="BC5299" s="28" t="n">
        <f aca="false">BA5299-BB5299</f>
        <v>0</v>
      </c>
      <c r="BD5299" s="32" t="n">
        <f aca="false">SUM(P5299,R5299,T5299,V5299,X5299,Z5299,AB5299,AD5299,AF5299,AH5299,AJ5299,AL5299,AN5299,AP5299,AR5299,AT5299,AV5299,AX5299)</f>
        <v>105.15</v>
      </c>
      <c r="BE5299" s="33" t="n">
        <f aca="false">AZ5299-BD5299</f>
        <v>0</v>
      </c>
      <c r="BF5299" s="34" t="n">
        <f aca="false">BD5299*M5299</f>
        <v>59935.5</v>
      </c>
      <c r="BG5299" s="35" t="n">
        <f aca="false">BA5299-BF5299</f>
        <v>-3419.5</v>
      </c>
      <c r="BH5299" s="19" t="str">
        <f aca="false">IF(BG5299=0,"",IF(BG5299&lt;&gt;BA5299,"erreur de calcul",IF(BD5299&lt;&gt;0,"pas de prix",IF(M5299&lt;&gt; 0,"pas de quantité","pas de prix, ni de quantité"))))</f>
        <v>erreur de calcul</v>
      </c>
      <c r="BI5299" s="19"/>
    </row>
    <row r="5300" customFormat="false" ht="15" hidden="false" customHeight="false" outlineLevel="0" collapsed="false">
      <c r="A5300" s="0" t="n">
        <v>33</v>
      </c>
      <c r="B5300" s="8" t="s">
        <v>24</v>
      </c>
      <c r="C5300" s="9" t="s">
        <v>25</v>
      </c>
      <c r="D5300" s="9" t="s">
        <v>26</v>
      </c>
      <c r="E5300" s="10" t="n">
        <v>1789</v>
      </c>
      <c r="F5300" s="9" t="s">
        <v>27</v>
      </c>
      <c r="G5300" s="9" t="s">
        <v>27</v>
      </c>
      <c r="H5300" s="11" t="n">
        <v>18</v>
      </c>
      <c r="I5300" s="11" t="s">
        <v>106</v>
      </c>
      <c r="J5300" s="14"/>
      <c r="K5300" s="14" t="n">
        <v>40</v>
      </c>
      <c r="L5300" s="16"/>
      <c r="M5300" s="27" t="n">
        <f aca="false">J5300+(K5300/20)+(L5300/240)</f>
        <v>2</v>
      </c>
      <c r="N5300" s="17" t="s">
        <v>66</v>
      </c>
      <c r="O5300" s="11"/>
      <c r="P5300" s="28"/>
      <c r="Q5300" s="28" t="n">
        <f aca="false">P5300*$M5300</f>
        <v>0</v>
      </c>
      <c r="R5300" s="28"/>
      <c r="S5300" s="28" t="n">
        <f aca="false">R5300*$M5300</f>
        <v>0</v>
      </c>
      <c r="T5300" s="28"/>
      <c r="U5300" s="28" t="n">
        <f aca="false">T5300*$M5300</f>
        <v>0</v>
      </c>
      <c r="V5300" s="28" t="n">
        <v>892</v>
      </c>
      <c r="W5300" s="28" t="n">
        <v>1784</v>
      </c>
      <c r="X5300" s="29"/>
      <c r="Y5300" s="28" t="n">
        <f aca="false">X5300*$M5300</f>
        <v>0</v>
      </c>
      <c r="Z5300" s="28"/>
      <c r="AA5300" s="28" t="n">
        <f aca="false">Z5300*$M5300</f>
        <v>0</v>
      </c>
      <c r="AB5300" s="28"/>
      <c r="AC5300" s="28" t="n">
        <f aca="false">AB5300*$M5300</f>
        <v>0</v>
      </c>
      <c r="AD5300" s="28"/>
      <c r="AE5300" s="28" t="n">
        <f aca="false">AD5300*$M5300</f>
        <v>0</v>
      </c>
      <c r="AF5300" s="28"/>
      <c r="AG5300" s="28" t="n">
        <f aca="false">AF5300*$M5300</f>
        <v>0</v>
      </c>
      <c r="AH5300" s="28" t="n">
        <v>1961</v>
      </c>
      <c r="AI5300" s="28" t="n">
        <v>3922</v>
      </c>
      <c r="AJ5300" s="28"/>
      <c r="AK5300" s="28" t="n">
        <f aca="false">AJ5300*$M5300</f>
        <v>0</v>
      </c>
      <c r="AL5300" s="28"/>
      <c r="AM5300" s="28" t="n">
        <f aca="false">AL5300*$M5300</f>
        <v>0</v>
      </c>
      <c r="AN5300" s="28"/>
      <c r="AO5300" s="28" t="n">
        <f aca="false">AN5300*$M5300</f>
        <v>0</v>
      </c>
      <c r="AP5300" s="28"/>
      <c r="AQ5300" s="28" t="n">
        <f aca="false">AP5300*$M5300</f>
        <v>0</v>
      </c>
      <c r="AR5300" s="28"/>
      <c r="AS5300" s="28" t="n">
        <f aca="false">AR5300*$M5300</f>
        <v>0</v>
      </c>
      <c r="AT5300" s="28"/>
      <c r="AU5300" s="28" t="n">
        <f aca="false">AT5300*$M5300</f>
        <v>0</v>
      </c>
      <c r="AV5300" s="28"/>
      <c r="AW5300" s="28" t="n">
        <f aca="false">AV5300*$M5300</f>
        <v>0</v>
      </c>
      <c r="AX5300" s="28"/>
      <c r="AY5300" s="28" t="n">
        <f aca="false">AX5300*$M5300</f>
        <v>0</v>
      </c>
      <c r="AZ5300" s="30" t="n">
        <v>2853</v>
      </c>
      <c r="BA5300" s="11" t="n">
        <v>5706</v>
      </c>
      <c r="BB5300" s="31" t="n">
        <f aca="false">SUM(Q5300,S5300,U5300,W5300,Y5300,AA5300,AC5300,AE5300,AG5300,AI5300,AK5300,AM5300,AO5300,AQ5300,AS5300,AU5300,AW5300,AY5300)</f>
        <v>5706</v>
      </c>
      <c r="BC5300" s="28" t="n">
        <f aca="false">BA5300-BB5300</f>
        <v>0</v>
      </c>
      <c r="BD5300" s="32" t="n">
        <f aca="false">SUM(P5300,R5300,T5300,V5300,X5300,Z5300,AB5300,AD5300,AF5300,AH5300,AJ5300,AL5300,AN5300,AP5300,AR5300,AT5300,AV5300,AX5300)</f>
        <v>2853</v>
      </c>
      <c r="BE5300" s="33" t="n">
        <f aca="false">AZ5300-BD5300</f>
        <v>0</v>
      </c>
      <c r="BF5300" s="34" t="n">
        <f aca="false">BD5300*M5300</f>
        <v>5706</v>
      </c>
      <c r="BG5300" s="35" t="n">
        <f aca="false">BA5300-BF5300</f>
        <v>0</v>
      </c>
      <c r="BH5300" s="19" t="str">
        <f aca="false">IF(BG5300=0,"",IF(BG5300&lt;&gt;BA5300,"erreur de calcul",IF(BD5300&lt;&gt;0,"pas de prix",IF(M5300&lt;&gt; 0,"pas de quantité","pas de prix, ni de quantité"))))</f>
        <v/>
      </c>
      <c r="BI5300" s="19"/>
    </row>
    <row r="5301" customFormat="false" ht="15" hidden="false" customHeight="false" outlineLevel="0" collapsed="false">
      <c r="A5301" s="0" t="n">
        <v>34</v>
      </c>
      <c r="B5301" s="8" t="s">
        <v>24</v>
      </c>
      <c r="C5301" s="9" t="s">
        <v>25</v>
      </c>
      <c r="D5301" s="9" t="s">
        <v>26</v>
      </c>
      <c r="E5301" s="10" t="n">
        <v>1789</v>
      </c>
      <c r="F5301" s="9" t="s">
        <v>27</v>
      </c>
      <c r="G5301" s="9" t="s">
        <v>27</v>
      </c>
      <c r="H5301" s="11" t="n">
        <v>18</v>
      </c>
      <c r="I5301" s="11" t="s">
        <v>107</v>
      </c>
      <c r="J5301" s="14" t="n">
        <v>180</v>
      </c>
      <c r="K5301" s="14"/>
      <c r="L5301" s="16"/>
      <c r="M5301" s="27" t="n">
        <f aca="false">J5301+(K5301/20)+(L5301/240)</f>
        <v>180</v>
      </c>
      <c r="N5301" s="17" t="s">
        <v>64</v>
      </c>
      <c r="O5301" s="11"/>
      <c r="P5301" s="28"/>
      <c r="Q5301" s="28" t="n">
        <f aca="false">P5301*$M5301</f>
        <v>0</v>
      </c>
      <c r="R5301" s="28"/>
      <c r="S5301" s="28" t="n">
        <f aca="false">R5301*$M5301</f>
        <v>0</v>
      </c>
      <c r="T5301" s="28"/>
      <c r="U5301" s="28" t="n">
        <f aca="false">T5301*$M5301</f>
        <v>0</v>
      </c>
      <c r="V5301" s="28"/>
      <c r="W5301" s="28" t="n">
        <f aca="false">V5301*$M5301</f>
        <v>0</v>
      </c>
      <c r="X5301" s="29"/>
      <c r="Y5301" s="28" t="n">
        <f aca="false">X5301*$M5301</f>
        <v>0</v>
      </c>
      <c r="Z5301" s="28"/>
      <c r="AA5301" s="28" t="n">
        <f aca="false">Z5301*$M5301</f>
        <v>0</v>
      </c>
      <c r="AB5301" s="28"/>
      <c r="AC5301" s="28" t="n">
        <f aca="false">AB5301*$M5301</f>
        <v>0</v>
      </c>
      <c r="AD5301" s="28"/>
      <c r="AE5301" s="28" t="n">
        <f aca="false">AD5301*$M5301</f>
        <v>0</v>
      </c>
      <c r="AF5301" s="28"/>
      <c r="AG5301" s="28" t="n">
        <f aca="false">AF5301*$M5301</f>
        <v>0</v>
      </c>
      <c r="AH5301" s="28" t="n">
        <f aca="false">28680/100</f>
        <v>286.8</v>
      </c>
      <c r="AI5301" s="28" t="n">
        <v>51624</v>
      </c>
      <c r="AJ5301" s="28"/>
      <c r="AK5301" s="28" t="n">
        <f aca="false">AJ5301*$M5301</f>
        <v>0</v>
      </c>
      <c r="AL5301" s="28"/>
      <c r="AM5301" s="28" t="n">
        <f aca="false">AL5301*$M5301</f>
        <v>0</v>
      </c>
      <c r="AN5301" s="28"/>
      <c r="AO5301" s="28" t="n">
        <f aca="false">AN5301*$M5301</f>
        <v>0</v>
      </c>
      <c r="AP5301" s="28"/>
      <c r="AQ5301" s="28" t="n">
        <f aca="false">AP5301*$M5301</f>
        <v>0</v>
      </c>
      <c r="AR5301" s="28"/>
      <c r="AS5301" s="28" t="n">
        <f aca="false">AR5301*$M5301</f>
        <v>0</v>
      </c>
      <c r="AT5301" s="28"/>
      <c r="AU5301" s="28" t="n">
        <f aca="false">AT5301*$M5301</f>
        <v>0</v>
      </c>
      <c r="AV5301" s="28"/>
      <c r="AW5301" s="28" t="n">
        <f aca="false">AV5301*$M5301</f>
        <v>0</v>
      </c>
      <c r="AX5301" s="28"/>
      <c r="AY5301" s="28" t="n">
        <f aca="false">AX5301*$M5301</f>
        <v>0</v>
      </c>
      <c r="AZ5301" s="30" t="n">
        <f aca="false">28680/100</f>
        <v>286.8</v>
      </c>
      <c r="BA5301" s="11" t="n">
        <v>51624</v>
      </c>
      <c r="BB5301" s="31" t="n">
        <f aca="false">SUM(Q5301,S5301,U5301,W5301,Y5301,AA5301,AC5301,AE5301,AG5301,AI5301,AK5301,AM5301,AO5301,AQ5301,AS5301,AU5301,AW5301,AY5301)</f>
        <v>51624</v>
      </c>
      <c r="BC5301" s="28" t="n">
        <f aca="false">BA5301-BB5301</f>
        <v>0</v>
      </c>
      <c r="BD5301" s="32" t="n">
        <f aca="false">SUM(P5301,R5301,T5301,V5301,X5301,Z5301,AB5301,AD5301,AF5301,AH5301,AJ5301,AL5301,AN5301,AP5301,AR5301,AT5301,AV5301,AX5301)</f>
        <v>286.8</v>
      </c>
      <c r="BE5301" s="33" t="n">
        <f aca="false">AZ5301-BD5301</f>
        <v>0</v>
      </c>
      <c r="BF5301" s="34" t="n">
        <f aca="false">BD5301*M5301</f>
        <v>51624</v>
      </c>
      <c r="BG5301" s="35" t="n">
        <f aca="false">BA5301-BF5301</f>
        <v>0</v>
      </c>
      <c r="BH5301" s="19" t="str">
        <f aca="false">IF(BG5301=0,"",IF(BG5301&lt;&gt;BA5301,"erreur de calcul",IF(BD5301&lt;&gt;0,"pas de prix",IF(M5301&lt;&gt; 0,"pas de quantité","pas de prix, ni de quantité"))))</f>
        <v/>
      </c>
      <c r="BI5301" s="19"/>
    </row>
    <row r="5302" customFormat="false" ht="15" hidden="false" customHeight="false" outlineLevel="0" collapsed="false">
      <c r="A5302" s="0" t="n">
        <v>35</v>
      </c>
      <c r="B5302" s="8" t="s">
        <v>24</v>
      </c>
      <c r="C5302" s="9" t="s">
        <v>25</v>
      </c>
      <c r="D5302" s="9" t="s">
        <v>26</v>
      </c>
      <c r="E5302" s="10" t="n">
        <v>1789</v>
      </c>
      <c r="F5302" s="9" t="s">
        <v>27</v>
      </c>
      <c r="G5302" s="9" t="s">
        <v>27</v>
      </c>
      <c r="H5302" s="11" t="n">
        <v>18</v>
      </c>
      <c r="I5302" s="11" t="s">
        <v>108</v>
      </c>
      <c r="J5302" s="14" t="n">
        <v>11</v>
      </c>
      <c r="K5302" s="14"/>
      <c r="L5302" s="16"/>
      <c r="M5302" s="27" t="n">
        <f aca="false">J5302+(K5302/20)+(L5302/240)</f>
        <v>11</v>
      </c>
      <c r="N5302" s="17" t="s">
        <v>64</v>
      </c>
      <c r="O5302" s="11" t="s">
        <v>109</v>
      </c>
      <c r="P5302" s="28"/>
      <c r="Q5302" s="28" t="n">
        <f aca="false">P5302*$M5302</f>
        <v>0</v>
      </c>
      <c r="R5302" s="28"/>
      <c r="S5302" s="28" t="n">
        <f aca="false">R5302*$M5302</f>
        <v>0</v>
      </c>
      <c r="T5302" s="28"/>
      <c r="U5302" s="28" t="n">
        <f aca="false">T5302*$M5302</f>
        <v>0</v>
      </c>
      <c r="V5302" s="28"/>
      <c r="W5302" s="28" t="n">
        <f aca="false">V5302*$M5302</f>
        <v>0</v>
      </c>
      <c r="X5302" s="29"/>
      <c r="Y5302" s="28" t="n">
        <f aca="false">X5302*$M5302</f>
        <v>0</v>
      </c>
      <c r="Z5302" s="28"/>
      <c r="AA5302" s="28" t="n">
        <f aca="false">Z5302*$M5302</f>
        <v>0</v>
      </c>
      <c r="AB5302" s="28"/>
      <c r="AC5302" s="28" t="n">
        <f aca="false">AB5302*$M5302</f>
        <v>0</v>
      </c>
      <c r="AD5302" s="28"/>
      <c r="AE5302" s="28" t="n">
        <f aca="false">AD5302*$M5302</f>
        <v>0</v>
      </c>
      <c r="AF5302" s="28"/>
      <c r="AG5302" s="28" t="n">
        <f aca="false">AF5302*$M5302</f>
        <v>0</v>
      </c>
      <c r="AH5302" s="28"/>
      <c r="AI5302" s="28" t="n">
        <f aca="false">AH5302*$M5302</f>
        <v>0</v>
      </c>
      <c r="AJ5302" s="28" t="n">
        <f aca="false">1784/100</f>
        <v>17.84</v>
      </c>
      <c r="AK5302" s="28" t="n">
        <v>196</v>
      </c>
      <c r="AL5302" s="28" t="n">
        <f aca="false">7942/100</f>
        <v>79.42</v>
      </c>
      <c r="AM5302" s="28" t="n">
        <v>874</v>
      </c>
      <c r="AN5302" s="28"/>
      <c r="AO5302" s="28" t="n">
        <f aca="false">AN5302*$M5302</f>
        <v>0</v>
      </c>
      <c r="AP5302" s="28" t="n">
        <f aca="false">13980/100</f>
        <v>139.8</v>
      </c>
      <c r="AQ5302" s="28" t="n">
        <v>1538</v>
      </c>
      <c r="AR5302" s="28" t="n">
        <f aca="false">96390/100</f>
        <v>963.9</v>
      </c>
      <c r="AS5302" s="28" t="n">
        <v>10603</v>
      </c>
      <c r="AT5302" s="28"/>
      <c r="AU5302" s="28" t="n">
        <f aca="false">AT5302*$M5302</f>
        <v>0</v>
      </c>
      <c r="AV5302" s="28"/>
      <c r="AW5302" s="28" t="n">
        <f aca="false">AV5302*$M5302</f>
        <v>0</v>
      </c>
      <c r="AX5302" s="28"/>
      <c r="AY5302" s="28" t="n">
        <f aca="false">AX5302*$M5302</f>
        <v>0</v>
      </c>
      <c r="AZ5302" s="30" t="n">
        <f aca="false">120096/100</f>
        <v>1200.96</v>
      </c>
      <c r="BA5302" s="11" t="n">
        <v>13211</v>
      </c>
      <c r="BB5302" s="31" t="n">
        <f aca="false">SUM(Q5302,S5302,U5302,W5302,Y5302,AA5302,AC5302,AE5302,AG5302,AI5302,AK5302,AM5302,AO5302,AQ5302,AS5302,AU5302,AW5302,AY5302)</f>
        <v>13211</v>
      </c>
      <c r="BC5302" s="28" t="n">
        <f aca="false">BA5302-BB5302</f>
        <v>0</v>
      </c>
      <c r="BD5302" s="32" t="n">
        <f aca="false">SUM(P5302,R5302,T5302,V5302,X5302,Z5302,AB5302,AD5302,AF5302,AH5302,AJ5302,AL5302,AN5302,AP5302,AR5302,AT5302,AV5302,AX5302)</f>
        <v>1200.96</v>
      </c>
      <c r="BE5302" s="33" t="n">
        <f aca="false">AZ5302-BD5302</f>
        <v>0</v>
      </c>
      <c r="BF5302" s="34" t="n">
        <f aca="false">BD5302*M5302</f>
        <v>13210.56</v>
      </c>
      <c r="BG5302" s="35" t="n">
        <f aca="false">BA5302-BF5302</f>
        <v>0.43999999999869</v>
      </c>
      <c r="BH5302" s="19" t="str">
        <f aca="false">IF(BG5302=0,"",IF(BG5302&lt;&gt;BA5302,"erreur de calcul",IF(BD5302&lt;&gt;0,"pas de prix",IF(M5302&lt;&gt; 0,"pas de quantité","pas de prix, ni de quantité"))))</f>
        <v>erreur de calcul</v>
      </c>
      <c r="BI5302" s="19"/>
    </row>
    <row r="5303" customFormat="false" ht="15" hidden="false" customHeight="false" outlineLevel="0" collapsed="false">
      <c r="A5303" s="0" t="n">
        <v>36</v>
      </c>
      <c r="B5303" s="8" t="s">
        <v>24</v>
      </c>
      <c r="C5303" s="9" t="s">
        <v>25</v>
      </c>
      <c r="D5303" s="9" t="s">
        <v>26</v>
      </c>
      <c r="E5303" s="10" t="n">
        <v>1789</v>
      </c>
      <c r="F5303" s="9" t="s">
        <v>27</v>
      </c>
      <c r="G5303" s="9" t="s">
        <v>27</v>
      </c>
      <c r="H5303" s="11" t="n">
        <v>18</v>
      </c>
      <c r="I5303" s="11" t="s">
        <v>110</v>
      </c>
      <c r="J5303" s="14" t="n">
        <v>12</v>
      </c>
      <c r="K5303" s="14"/>
      <c r="L5303" s="16"/>
      <c r="M5303" s="27" t="n">
        <f aca="false">J5303+(K5303/20)+(L5303/240)</f>
        <v>12</v>
      </c>
      <c r="N5303" s="17" t="s">
        <v>64</v>
      </c>
      <c r="O5303" s="11" t="s">
        <v>109</v>
      </c>
      <c r="P5303" s="28" t="n">
        <f aca="false">30663/100</f>
        <v>306.63</v>
      </c>
      <c r="Q5303" s="28" t="n">
        <v>3679</v>
      </c>
      <c r="R5303" s="28"/>
      <c r="S5303" s="28" t="n">
        <f aca="false">R5303*$M5303</f>
        <v>0</v>
      </c>
      <c r="T5303" s="28"/>
      <c r="U5303" s="28" t="n">
        <f aca="false">T5303*$M5303</f>
        <v>0</v>
      </c>
      <c r="V5303" s="28"/>
      <c r="W5303" s="28" t="n">
        <f aca="false">V5303*$M5303</f>
        <v>0</v>
      </c>
      <c r="X5303" s="29"/>
      <c r="Y5303" s="28" t="n">
        <f aca="false">X5303*$M5303</f>
        <v>0</v>
      </c>
      <c r="Z5303" s="28"/>
      <c r="AA5303" s="28" t="n">
        <f aca="false">Z5303*$M5303</f>
        <v>0</v>
      </c>
      <c r="AB5303" s="28"/>
      <c r="AC5303" s="28" t="n">
        <f aca="false">AB5303*$M5303</f>
        <v>0</v>
      </c>
      <c r="AD5303" s="28"/>
      <c r="AE5303" s="28" t="n">
        <f aca="false">AD5303*$M5303</f>
        <v>0</v>
      </c>
      <c r="AF5303" s="28"/>
      <c r="AG5303" s="28" t="n">
        <f aca="false">AF5303*$M5303</f>
        <v>0</v>
      </c>
      <c r="AH5303" s="28"/>
      <c r="AI5303" s="28" t="n">
        <f aca="false">AH5303*$M5303</f>
        <v>0</v>
      </c>
      <c r="AJ5303" s="28"/>
      <c r="AK5303" s="28" t="n">
        <f aca="false">AJ5303*$M5303</f>
        <v>0</v>
      </c>
      <c r="AL5303" s="28" t="n">
        <f aca="false">114207/100</f>
        <v>1142.07</v>
      </c>
      <c r="AM5303" s="28" t="n">
        <v>13705</v>
      </c>
      <c r="AN5303" s="28" t="n">
        <f aca="false">2100/100</f>
        <v>21</v>
      </c>
      <c r="AO5303" s="28" t="n">
        <v>252</v>
      </c>
      <c r="AP5303" s="28" t="n">
        <f aca="false">16107/100</f>
        <v>161.07</v>
      </c>
      <c r="AQ5303" s="28" t="n">
        <v>1933</v>
      </c>
      <c r="AR5303" s="28" t="n">
        <f aca="false">553069/100</f>
        <v>5530.69</v>
      </c>
      <c r="AS5303" s="28" t="n">
        <v>66368</v>
      </c>
      <c r="AT5303" s="28" t="n">
        <f aca="false">6160/100</f>
        <v>61.6</v>
      </c>
      <c r="AU5303" s="28" t="n">
        <v>739</v>
      </c>
      <c r="AV5303" s="28" t="n">
        <f aca="false">2640/100</f>
        <v>26.4</v>
      </c>
      <c r="AW5303" s="28" t="n">
        <v>317</v>
      </c>
      <c r="AX5303" s="28" t="n">
        <f aca="false">8767/100</f>
        <v>87.67</v>
      </c>
      <c r="AY5303" s="36" t="n">
        <v>1085</v>
      </c>
      <c r="AZ5303" s="30" t="n">
        <f aca="false">733753/100</f>
        <v>7337.53</v>
      </c>
      <c r="BA5303" s="11" t="n">
        <v>88078</v>
      </c>
      <c r="BB5303" s="31" t="n">
        <f aca="false">SUM(Q5303,S5303,U5303,W5303,Y5303,AA5303,AC5303,AE5303,AG5303,AI5303,AK5303,AM5303,AO5303,AQ5303,AS5303,AU5303,AW5303,AY5303)</f>
        <v>88078</v>
      </c>
      <c r="BC5303" s="28" t="n">
        <f aca="false">BA5303-BB5303</f>
        <v>0</v>
      </c>
      <c r="BD5303" s="32" t="n">
        <f aca="false">SUM(P5303,R5303,T5303,V5303,X5303,Z5303,AB5303,AD5303,AF5303,AH5303,AJ5303,AL5303,AN5303,AP5303,AR5303,AT5303,AV5303,AX5303)</f>
        <v>7337.13</v>
      </c>
      <c r="BE5303" s="33" t="n">
        <f aca="false">AZ5303-BD5303</f>
        <v>0.400000000000546</v>
      </c>
      <c r="BF5303" s="34" t="n">
        <f aca="false">BD5303*M5303</f>
        <v>88045.56</v>
      </c>
      <c r="BG5303" s="35" t="n">
        <f aca="false">BA5303-BF5303</f>
        <v>32.4400000000023</v>
      </c>
      <c r="BH5303" s="19" t="str">
        <f aca="false">IF(BG5303=0,"",IF(BG5303&lt;&gt;BA5303,"erreur de calcul",IF(BD5303&lt;&gt;0,"pas de prix",IF(M5303&lt;&gt; 0,"pas de quantité","pas de prix, ni de quantité"))))</f>
        <v>erreur de calcul</v>
      </c>
      <c r="BI5303" s="19"/>
    </row>
    <row r="5304" customFormat="false" ht="15" hidden="false" customHeight="false" outlineLevel="0" collapsed="false">
      <c r="A5304" s="0" t="n">
        <v>37</v>
      </c>
      <c r="B5304" s="8" t="s">
        <v>24</v>
      </c>
      <c r="C5304" s="9" t="s">
        <v>25</v>
      </c>
      <c r="D5304" s="9" t="s">
        <v>26</v>
      </c>
      <c r="E5304" s="10" t="n">
        <v>1789</v>
      </c>
      <c r="F5304" s="9" t="s">
        <v>27</v>
      </c>
      <c r="G5304" s="9" t="s">
        <v>27</v>
      </c>
      <c r="H5304" s="11" t="n">
        <v>18</v>
      </c>
      <c r="I5304" s="11" t="s">
        <v>111</v>
      </c>
      <c r="J5304" s="14" t="n">
        <v>10</v>
      </c>
      <c r="K5304" s="14"/>
      <c r="L5304" s="16"/>
      <c r="M5304" s="27" t="n">
        <f aca="false">J5304+(K5304/20)+(L5304/240)</f>
        <v>10</v>
      </c>
      <c r="N5304" s="17" t="s">
        <v>64</v>
      </c>
      <c r="O5304" s="11"/>
      <c r="P5304" s="28"/>
      <c r="Q5304" s="28" t="n">
        <f aca="false">P5304*$M5304</f>
        <v>0</v>
      </c>
      <c r="R5304" s="28"/>
      <c r="S5304" s="28" t="n">
        <f aca="false">R5304*$M5304</f>
        <v>0</v>
      </c>
      <c r="T5304" s="28"/>
      <c r="U5304" s="28" t="n">
        <f aca="false">T5304*$M5304</f>
        <v>0</v>
      </c>
      <c r="V5304" s="28"/>
      <c r="W5304" s="28" t="n">
        <f aca="false">V5304*$M5304</f>
        <v>0</v>
      </c>
      <c r="X5304" s="29"/>
      <c r="Y5304" s="28" t="n">
        <f aca="false">X5304*$M5304</f>
        <v>0</v>
      </c>
      <c r="Z5304" s="28"/>
      <c r="AA5304" s="28" t="n">
        <f aca="false">Z5304*$M5304</f>
        <v>0</v>
      </c>
      <c r="AB5304" s="28"/>
      <c r="AC5304" s="28" t="n">
        <f aca="false">AB5304*$M5304</f>
        <v>0</v>
      </c>
      <c r="AD5304" s="28"/>
      <c r="AE5304" s="28" t="n">
        <f aca="false">AD5304*$M5304</f>
        <v>0</v>
      </c>
      <c r="AF5304" s="28"/>
      <c r="AG5304" s="28" t="n">
        <f aca="false">AF5304*$M5304</f>
        <v>0</v>
      </c>
      <c r="AH5304" s="28"/>
      <c r="AI5304" s="28" t="n">
        <f aca="false">AH5304*$M5304</f>
        <v>0</v>
      </c>
      <c r="AJ5304" s="28"/>
      <c r="AK5304" s="28" t="n">
        <f aca="false">AJ5304*$M5304</f>
        <v>0</v>
      </c>
      <c r="AL5304" s="28"/>
      <c r="AM5304" s="28" t="n">
        <f aca="false">AL5304*$M5304</f>
        <v>0</v>
      </c>
      <c r="AN5304" s="28"/>
      <c r="AO5304" s="28" t="n">
        <f aca="false">AN5304*$M5304</f>
        <v>0</v>
      </c>
      <c r="AP5304" s="28"/>
      <c r="AQ5304" s="28" t="n">
        <f aca="false">AP5304*$M5304</f>
        <v>0</v>
      </c>
      <c r="AR5304" s="28"/>
      <c r="AS5304" s="28" t="n">
        <f aca="false">AR5304*$M5304</f>
        <v>0</v>
      </c>
      <c r="AT5304" s="28"/>
      <c r="AU5304" s="28" t="n">
        <f aca="false">AT5304*$M5304</f>
        <v>0</v>
      </c>
      <c r="AV5304" s="28"/>
      <c r="AW5304" s="28" t="n">
        <f aca="false">AV5304*$M5304</f>
        <v>0</v>
      </c>
      <c r="AX5304" s="28" t="n">
        <f aca="false">16133/100</f>
        <v>161.33</v>
      </c>
      <c r="AY5304" s="28" t="n">
        <v>1613</v>
      </c>
      <c r="AZ5304" s="30"/>
      <c r="BA5304" s="11" t="n">
        <v>1613</v>
      </c>
      <c r="BB5304" s="31" t="n">
        <f aca="false">SUM(Q5304,S5304,U5304,W5304,Y5304,AA5304,AC5304,AE5304,AG5304,AI5304,AK5304,AM5304,AO5304,AQ5304,AS5304,AU5304,AW5304,AY5304)</f>
        <v>1613</v>
      </c>
      <c r="BC5304" s="28" t="n">
        <f aca="false">BA5304-BB5304</f>
        <v>0</v>
      </c>
      <c r="BD5304" s="32" t="n">
        <f aca="false">SUM(P5304,R5304,T5304,V5304,X5304,Z5304,AB5304,AD5304,AF5304,AH5304,AJ5304,AL5304,AN5304,AP5304,AR5304,AT5304,AV5304,AX5304)</f>
        <v>161.33</v>
      </c>
      <c r="BE5304" s="33" t="n">
        <f aca="false">AZ5304-BD5304</f>
        <v>-161.33</v>
      </c>
      <c r="BF5304" s="34" t="n">
        <f aca="false">BD5304*M5304</f>
        <v>1613.3</v>
      </c>
      <c r="BG5304" s="35" t="n">
        <f aca="false">BA5304-BF5304</f>
        <v>-0.300000000000182</v>
      </c>
      <c r="BH5304" s="19" t="str">
        <f aca="false">IF(BG5304=0,"",IF(BG5304&lt;&gt;BA5304,"erreur de calcul",IF(BD5304&lt;&gt;0,"pas de prix",IF(M5304&lt;&gt; 0,"pas de quantité","pas de prix, ni de quantité"))))</f>
        <v>erreur de calcul</v>
      </c>
      <c r="BI5304" s="19"/>
    </row>
    <row r="5305" customFormat="false" ht="15" hidden="false" customHeight="false" outlineLevel="0" collapsed="false">
      <c r="A5305" s="0" t="n">
        <v>38</v>
      </c>
      <c r="B5305" s="8" t="s">
        <v>24</v>
      </c>
      <c r="C5305" s="9" t="s">
        <v>25</v>
      </c>
      <c r="D5305" s="9" t="s">
        <v>26</v>
      </c>
      <c r="E5305" s="10" t="n">
        <v>1789</v>
      </c>
      <c r="F5305" s="9" t="s">
        <v>27</v>
      </c>
      <c r="G5305" s="9" t="s">
        <v>27</v>
      </c>
      <c r="H5305" s="11" t="n">
        <v>18</v>
      </c>
      <c r="I5305" s="11" t="s">
        <v>112</v>
      </c>
      <c r="J5305" s="14" t="n">
        <v>100</v>
      </c>
      <c r="K5305" s="14"/>
      <c r="L5305" s="16"/>
      <c r="M5305" s="27" t="n">
        <f aca="false">J5305+(K5305/20)+(L5305/240)</f>
        <v>100</v>
      </c>
      <c r="N5305" s="17" t="s">
        <v>64</v>
      </c>
      <c r="O5305" s="11"/>
      <c r="P5305" s="28" t="n">
        <f aca="false">69730/100</f>
        <v>697.3</v>
      </c>
      <c r="Q5305" s="28" t="n">
        <v>69730</v>
      </c>
      <c r="R5305" s="28"/>
      <c r="S5305" s="28" t="n">
        <f aca="false">R5305*$M5305</f>
        <v>0</v>
      </c>
      <c r="T5305" s="28"/>
      <c r="U5305" s="28" t="n">
        <f aca="false">T5305*$M5305</f>
        <v>0</v>
      </c>
      <c r="V5305" s="28"/>
      <c r="W5305" s="28" t="n">
        <f aca="false">V5305*$M5305</f>
        <v>0</v>
      </c>
      <c r="X5305" s="29"/>
      <c r="Y5305" s="28" t="n">
        <f aca="false">X5305*$M5305</f>
        <v>0</v>
      </c>
      <c r="Z5305" s="28"/>
      <c r="AA5305" s="28" t="n">
        <f aca="false">Z5305*$M5305</f>
        <v>0</v>
      </c>
      <c r="AB5305" s="28"/>
      <c r="AC5305" s="28" t="n">
        <f aca="false">AB5305*$M5305</f>
        <v>0</v>
      </c>
      <c r="AD5305" s="28"/>
      <c r="AE5305" s="28" t="n">
        <f aca="false">AD5305*$M5305</f>
        <v>0</v>
      </c>
      <c r="AF5305" s="28"/>
      <c r="AG5305" s="28" t="n">
        <f aca="false">AF5305*$M5305</f>
        <v>0</v>
      </c>
      <c r="AH5305" s="28"/>
      <c r="AI5305" s="28" t="n">
        <f aca="false">AH5305*$M5305</f>
        <v>0</v>
      </c>
      <c r="AJ5305" s="28"/>
      <c r="AK5305" s="28" t="n">
        <f aca="false">AJ5305*$M5305</f>
        <v>0</v>
      </c>
      <c r="AL5305" s="28"/>
      <c r="AM5305" s="28" t="n">
        <f aca="false">AL5305*$M5305</f>
        <v>0</v>
      </c>
      <c r="AN5305" s="28"/>
      <c r="AO5305" s="28" t="n">
        <f aca="false">AN5305*$M5305</f>
        <v>0</v>
      </c>
      <c r="AP5305" s="28"/>
      <c r="AQ5305" s="28" t="n">
        <f aca="false">AP5305*$M5305</f>
        <v>0</v>
      </c>
      <c r="AR5305" s="28"/>
      <c r="AS5305" s="28" t="n">
        <f aca="false">AR5305*$M5305</f>
        <v>0</v>
      </c>
      <c r="AT5305" s="28"/>
      <c r="AU5305" s="28" t="n">
        <f aca="false">AT5305*$M5305</f>
        <v>0</v>
      </c>
      <c r="AV5305" s="28"/>
      <c r="AW5305" s="28" t="n">
        <f aca="false">AV5305*$M5305</f>
        <v>0</v>
      </c>
      <c r="AX5305" s="28"/>
      <c r="AY5305" s="28" t="n">
        <f aca="false">AX5305*$M5305</f>
        <v>0</v>
      </c>
      <c r="AZ5305" s="30" t="n">
        <f aca="false">69730/100</f>
        <v>697.3</v>
      </c>
      <c r="BA5305" s="11" t="n">
        <v>69730</v>
      </c>
      <c r="BB5305" s="31" t="n">
        <f aca="false">SUM(Q5305,S5305,U5305,W5305,Y5305,AA5305,AC5305,AE5305,AG5305,AI5305,AK5305,AM5305,AO5305,AQ5305,AS5305,AU5305,AW5305,AY5305)</f>
        <v>69730</v>
      </c>
      <c r="BC5305" s="28" t="n">
        <f aca="false">BA5305-BB5305</f>
        <v>0</v>
      </c>
      <c r="BD5305" s="32" t="n">
        <f aca="false">SUM(P5305,R5305,T5305,V5305,X5305,Z5305,AB5305,AD5305,AF5305,AH5305,AJ5305,AL5305,AN5305,AP5305,AR5305,AT5305,AV5305,AX5305)</f>
        <v>697.3</v>
      </c>
      <c r="BE5305" s="33" t="n">
        <f aca="false">AZ5305-BD5305</f>
        <v>0</v>
      </c>
      <c r="BF5305" s="34" t="n">
        <f aca="false">BD5305*M5305</f>
        <v>69730</v>
      </c>
      <c r="BG5305" s="35" t="n">
        <f aca="false">BA5305-BF5305</f>
        <v>0</v>
      </c>
      <c r="BH5305" s="19" t="str">
        <f aca="false">IF(BG5305=0,"",IF(BG5305&lt;&gt;BA5305,"erreur de calcul",IF(BD5305&lt;&gt;0,"pas de prix",IF(M5305&lt;&gt; 0,"pas de quantité","pas de prix, ni de quantité"))))</f>
        <v/>
      </c>
      <c r="BI5305" s="19" t="s">
        <v>113</v>
      </c>
    </row>
    <row r="5306" customFormat="false" ht="15" hidden="false" customHeight="false" outlineLevel="0" collapsed="false">
      <c r="A5306" s="0" t="n">
        <v>39</v>
      </c>
      <c r="B5306" s="8" t="s">
        <v>24</v>
      </c>
      <c r="C5306" s="9" t="s">
        <v>25</v>
      </c>
      <c r="D5306" s="9" t="s">
        <v>26</v>
      </c>
      <c r="E5306" s="10" t="n">
        <v>1789</v>
      </c>
      <c r="F5306" s="9" t="s">
        <v>27</v>
      </c>
      <c r="G5306" s="9" t="s">
        <v>27</v>
      </c>
      <c r="H5306" s="11" t="n">
        <v>18</v>
      </c>
      <c r="I5306" s="11" t="s">
        <v>112</v>
      </c>
      <c r="J5306" s="14" t="n">
        <v>50</v>
      </c>
      <c r="K5306" s="14"/>
      <c r="L5306" s="16"/>
      <c r="M5306" s="27" t="n">
        <f aca="false">J5306+(K5306/20)+(L5306/240)</f>
        <v>50</v>
      </c>
      <c r="N5306" s="17" t="s">
        <v>64</v>
      </c>
      <c r="O5306" s="11"/>
      <c r="P5306" s="28"/>
      <c r="Q5306" s="28" t="n">
        <f aca="false">P5306*$M5306</f>
        <v>0</v>
      </c>
      <c r="R5306" s="28"/>
      <c r="S5306" s="28" t="n">
        <f aca="false">R5306*$M5306</f>
        <v>0</v>
      </c>
      <c r="T5306" s="28"/>
      <c r="U5306" s="28" t="n">
        <f aca="false">T5306*$M5306</f>
        <v>0</v>
      </c>
      <c r="V5306" s="28" t="n">
        <f aca="false">38043/100</f>
        <v>380.43</v>
      </c>
      <c r="W5306" s="28" t="n">
        <v>19021</v>
      </c>
      <c r="X5306" s="29" t="n">
        <f aca="false">10658/100</f>
        <v>106.58</v>
      </c>
      <c r="Y5306" s="28" t="n">
        <v>5329</v>
      </c>
      <c r="Z5306" s="28"/>
      <c r="AA5306" s="28" t="n">
        <f aca="false">Z5306*$M5306</f>
        <v>0</v>
      </c>
      <c r="AB5306" s="28"/>
      <c r="AC5306" s="28" t="n">
        <f aca="false">AB5306*$M5306</f>
        <v>0</v>
      </c>
      <c r="AD5306" s="28"/>
      <c r="AE5306" s="28" t="n">
        <f aca="false">AD5306*$M5306</f>
        <v>0</v>
      </c>
      <c r="AF5306" s="28"/>
      <c r="AG5306" s="28" t="n">
        <f aca="false">AF5306*$M5306</f>
        <v>0</v>
      </c>
      <c r="AH5306" s="28"/>
      <c r="AI5306" s="28" t="n">
        <f aca="false">AH5306*$M5306</f>
        <v>0</v>
      </c>
      <c r="AJ5306" s="28" t="n">
        <f aca="false">39321/100</f>
        <v>393.21</v>
      </c>
      <c r="AK5306" s="28" t="n">
        <v>19660</v>
      </c>
      <c r="AL5306" s="28"/>
      <c r="AM5306" s="28" t="n">
        <f aca="false">AL5306*$M5306</f>
        <v>0</v>
      </c>
      <c r="AN5306" s="28"/>
      <c r="AO5306" s="28" t="n">
        <f aca="false">AN5306*$M5306</f>
        <v>0</v>
      </c>
      <c r="AP5306" s="28"/>
      <c r="AQ5306" s="28" t="n">
        <f aca="false">AP5306*$M5306</f>
        <v>0</v>
      </c>
      <c r="AR5306" s="28"/>
      <c r="AS5306" s="28" t="n">
        <f aca="false">AR5306*$M5306</f>
        <v>0</v>
      </c>
      <c r="AT5306" s="28"/>
      <c r="AU5306" s="28" t="n">
        <f aca="false">AT5306*$M5306</f>
        <v>0</v>
      </c>
      <c r="AV5306" s="28"/>
      <c r="AW5306" s="28" t="n">
        <f aca="false">AV5306*$M5306</f>
        <v>0</v>
      </c>
      <c r="AX5306" s="28"/>
      <c r="AY5306" s="28" t="n">
        <f aca="false">AX5306*$M5306</f>
        <v>0</v>
      </c>
      <c r="AZ5306" s="30" t="n">
        <f aca="false">88022/100</f>
        <v>880.22</v>
      </c>
      <c r="BA5306" s="11" t="n">
        <v>44010</v>
      </c>
      <c r="BB5306" s="31" t="n">
        <f aca="false">SUM(Q5306,S5306,U5306,W5306,Y5306,AA5306,AC5306,AE5306,AG5306,AI5306,AK5306,AM5306,AO5306,AQ5306,AS5306,AU5306,AW5306,AY5306)</f>
        <v>44010</v>
      </c>
      <c r="BC5306" s="28" t="n">
        <f aca="false">BA5306-BB5306</f>
        <v>0</v>
      </c>
      <c r="BD5306" s="32" t="n">
        <f aca="false">SUM(P5306,R5306,T5306,V5306,X5306,Z5306,AB5306,AD5306,AF5306,AH5306,AJ5306,AL5306,AN5306,AP5306,AR5306,AT5306,AV5306,AX5306)</f>
        <v>880.22</v>
      </c>
      <c r="BE5306" s="33" t="n">
        <f aca="false">AZ5306-BD5306</f>
        <v>0</v>
      </c>
      <c r="BF5306" s="34" t="n">
        <f aca="false">BD5306*M5306</f>
        <v>44011</v>
      </c>
      <c r="BG5306" s="35" t="n">
        <f aca="false">BA5306-BF5306</f>
        <v>-1</v>
      </c>
      <c r="BH5306" s="19" t="str">
        <f aca="false">IF(BG5306=0,"",IF(BG5306&lt;&gt;BA5306,"erreur de calcul",IF(BD5306&lt;&gt;0,"pas de prix",IF(M5306&lt;&gt; 0,"pas de quantité","pas de prix, ni de quantité"))))</f>
        <v>erreur de calcul</v>
      </c>
      <c r="BI5306" s="19" t="s">
        <v>114</v>
      </c>
    </row>
    <row r="5307" customFormat="false" ht="15" hidden="false" customHeight="false" outlineLevel="0" collapsed="false">
      <c r="A5307" s="0" t="n">
        <v>40</v>
      </c>
      <c r="B5307" s="8" t="s">
        <v>24</v>
      </c>
      <c r="C5307" s="9" t="s">
        <v>25</v>
      </c>
      <c r="D5307" s="9" t="s">
        <v>26</v>
      </c>
      <c r="E5307" s="10" t="n">
        <v>1789</v>
      </c>
      <c r="F5307" s="9" t="s">
        <v>27</v>
      </c>
      <c r="G5307" s="9" t="s">
        <v>27</v>
      </c>
      <c r="H5307" s="11" t="n">
        <v>18</v>
      </c>
      <c r="I5307" s="11" t="s">
        <v>115</v>
      </c>
      <c r="J5307" s="14"/>
      <c r="K5307" s="14" t="n">
        <v>28</v>
      </c>
      <c r="L5307" s="16"/>
      <c r="M5307" s="27" t="n">
        <f aca="false">J5307+(K5307/20)+(L5307/240)</f>
        <v>1.4</v>
      </c>
      <c r="N5307" s="17" t="s">
        <v>66</v>
      </c>
      <c r="O5307" s="11" t="s">
        <v>98</v>
      </c>
      <c r="P5307" s="28"/>
      <c r="Q5307" s="28" t="n">
        <f aca="false">P5307*$M5307</f>
        <v>0</v>
      </c>
      <c r="R5307" s="28"/>
      <c r="S5307" s="28" t="n">
        <f aca="false">R5307*$M5307</f>
        <v>0</v>
      </c>
      <c r="T5307" s="28" t="n">
        <v>426</v>
      </c>
      <c r="U5307" s="28" t="n">
        <v>596</v>
      </c>
      <c r="V5307" s="28"/>
      <c r="W5307" s="28" t="n">
        <f aca="false">V5307*$M5307</f>
        <v>0</v>
      </c>
      <c r="X5307" s="29"/>
      <c r="Y5307" s="28" t="n">
        <f aca="false">X5307*$M5307</f>
        <v>0</v>
      </c>
      <c r="Z5307" s="28"/>
      <c r="AA5307" s="28" t="n">
        <f aca="false">Z5307*$M5307</f>
        <v>0</v>
      </c>
      <c r="AB5307" s="28"/>
      <c r="AC5307" s="28" t="n">
        <f aca="false">AB5307*$M5307</f>
        <v>0</v>
      </c>
      <c r="AD5307" s="28"/>
      <c r="AE5307" s="28" t="n">
        <f aca="false">AD5307*$M5307</f>
        <v>0</v>
      </c>
      <c r="AF5307" s="28"/>
      <c r="AG5307" s="28" t="n">
        <f aca="false">AF5307*$M5307</f>
        <v>0</v>
      </c>
      <c r="AH5307" s="28"/>
      <c r="AI5307" s="28" t="n">
        <f aca="false">AH5307*$M5307</f>
        <v>0</v>
      </c>
      <c r="AJ5307" s="28" t="n">
        <v>142</v>
      </c>
      <c r="AK5307" s="28" t="n">
        <v>199</v>
      </c>
      <c r="AL5307" s="28"/>
      <c r="AM5307" s="28" t="n">
        <f aca="false">AL5307*$M5307</f>
        <v>0</v>
      </c>
      <c r="AN5307" s="28"/>
      <c r="AO5307" s="28" t="n">
        <f aca="false">AN5307*$M5307</f>
        <v>0</v>
      </c>
      <c r="AP5307" s="28"/>
      <c r="AQ5307" s="28" t="n">
        <f aca="false">AP5307*$M5307</f>
        <v>0</v>
      </c>
      <c r="AR5307" s="28"/>
      <c r="AS5307" s="28" t="n">
        <f aca="false">AR5307*$M5307</f>
        <v>0</v>
      </c>
      <c r="AT5307" s="28"/>
      <c r="AU5307" s="28" t="n">
        <f aca="false">AT5307*$M5307</f>
        <v>0</v>
      </c>
      <c r="AV5307" s="28"/>
      <c r="AW5307" s="28" t="n">
        <f aca="false">AV5307*$M5307</f>
        <v>0</v>
      </c>
      <c r="AX5307" s="28"/>
      <c r="AY5307" s="28" t="n">
        <f aca="false">AX5307*$M5307</f>
        <v>0</v>
      </c>
      <c r="AZ5307" s="30" t="n">
        <v>568</v>
      </c>
      <c r="BA5307" s="11" t="n">
        <v>795</v>
      </c>
      <c r="BB5307" s="31" t="n">
        <f aca="false">SUM(Q5307,S5307,U5307,W5307,Y5307,AA5307,AC5307,AE5307,AG5307,AI5307,AK5307,AM5307,AO5307,AQ5307,AS5307,AU5307,AW5307,AY5307)</f>
        <v>795</v>
      </c>
      <c r="BC5307" s="28" t="n">
        <f aca="false">BA5307-BB5307</f>
        <v>0</v>
      </c>
      <c r="BD5307" s="32" t="n">
        <f aca="false">SUM(P5307,R5307,T5307,V5307,X5307,Z5307,AB5307,AD5307,AF5307,AH5307,AJ5307,AL5307,AN5307,AP5307,AR5307,AT5307,AV5307,AX5307)</f>
        <v>568</v>
      </c>
      <c r="BE5307" s="33" t="n">
        <f aca="false">AZ5307-BD5307</f>
        <v>0</v>
      </c>
      <c r="BF5307" s="34" t="n">
        <f aca="false">BD5307*M5307</f>
        <v>795.2</v>
      </c>
      <c r="BG5307" s="35" t="n">
        <f aca="false">BA5307-BF5307</f>
        <v>-0.199999999999932</v>
      </c>
      <c r="BH5307" s="19" t="str">
        <f aca="false">IF(BG5307=0,"",IF(BG5307&lt;&gt;BA5307,"erreur de calcul",IF(BD5307&lt;&gt;0,"pas de prix",IF(M5307&lt;&gt; 0,"pas de quantité","pas de prix, ni de quantité"))))</f>
        <v>erreur de calcul</v>
      </c>
      <c r="BI5307" s="19"/>
    </row>
    <row r="5308" customFormat="false" ht="15" hidden="false" customHeight="false" outlineLevel="0" collapsed="false">
      <c r="A5308" s="0" t="n">
        <v>41</v>
      </c>
      <c r="B5308" s="8" t="s">
        <v>24</v>
      </c>
      <c r="C5308" s="9" t="s">
        <v>25</v>
      </c>
      <c r="D5308" s="9" t="s">
        <v>26</v>
      </c>
      <c r="E5308" s="10" t="n">
        <v>1789</v>
      </c>
      <c r="F5308" s="9" t="s">
        <v>27</v>
      </c>
      <c r="G5308" s="9" t="s">
        <v>27</v>
      </c>
      <c r="H5308" s="11" t="n">
        <v>18</v>
      </c>
      <c r="I5308" s="11" t="s">
        <v>116</v>
      </c>
      <c r="J5308" s="14"/>
      <c r="K5308" s="14" t="n">
        <v>40</v>
      </c>
      <c r="L5308" s="16"/>
      <c r="M5308" s="27" t="n">
        <f aca="false">J5308+(K5308/20)+(L5308/240)</f>
        <v>2</v>
      </c>
      <c r="N5308" s="17" t="s">
        <v>66</v>
      </c>
      <c r="O5308" s="11"/>
      <c r="P5308" s="28"/>
      <c r="Q5308" s="28" t="n">
        <f aca="false">P5308*$M5308</f>
        <v>0</v>
      </c>
      <c r="R5308" s="28"/>
      <c r="S5308" s="28" t="n">
        <f aca="false">R5308*$M5308</f>
        <v>0</v>
      </c>
      <c r="T5308" s="28"/>
      <c r="U5308" s="28" t="n">
        <f aca="false">T5308*$M5308</f>
        <v>0</v>
      </c>
      <c r="V5308" s="28"/>
      <c r="W5308" s="28" t="n">
        <f aca="false">V5308*$M5308</f>
        <v>0</v>
      </c>
      <c r="X5308" s="29"/>
      <c r="Y5308" s="28" t="n">
        <f aca="false">X5308*$M5308</f>
        <v>0</v>
      </c>
      <c r="Z5308" s="28"/>
      <c r="AA5308" s="28" t="n">
        <f aca="false">Z5308*$M5308</f>
        <v>0</v>
      </c>
      <c r="AB5308" s="28"/>
      <c r="AC5308" s="28" t="n">
        <f aca="false">AB5308*$M5308</f>
        <v>0</v>
      </c>
      <c r="AD5308" s="28"/>
      <c r="AE5308" s="28" t="n">
        <f aca="false">AD5308*$M5308</f>
        <v>0</v>
      </c>
      <c r="AF5308" s="28"/>
      <c r="AG5308" s="28" t="n">
        <f aca="false">AF5308*$M5308</f>
        <v>0</v>
      </c>
      <c r="AH5308" s="28" t="n">
        <v>232710</v>
      </c>
      <c r="AI5308" s="28" t="n">
        <v>465420</v>
      </c>
      <c r="AJ5308" s="28"/>
      <c r="AK5308" s="28" t="n">
        <f aca="false">AJ5308*$M5308</f>
        <v>0</v>
      </c>
      <c r="AL5308" s="28"/>
      <c r="AM5308" s="28" t="n">
        <f aca="false">AL5308*$M5308</f>
        <v>0</v>
      </c>
      <c r="AN5308" s="28"/>
      <c r="AO5308" s="28" t="n">
        <f aca="false">AN5308*$M5308</f>
        <v>0</v>
      </c>
      <c r="AP5308" s="28"/>
      <c r="AQ5308" s="28" t="n">
        <f aca="false">AP5308*$M5308</f>
        <v>0</v>
      </c>
      <c r="AR5308" s="28"/>
      <c r="AS5308" s="28" t="n">
        <f aca="false">AR5308*$M5308</f>
        <v>0</v>
      </c>
      <c r="AT5308" s="28"/>
      <c r="AU5308" s="28" t="n">
        <f aca="false">AT5308*$M5308</f>
        <v>0</v>
      </c>
      <c r="AV5308" s="28"/>
      <c r="AW5308" s="28" t="n">
        <f aca="false">AV5308*$M5308</f>
        <v>0</v>
      </c>
      <c r="AX5308" s="28"/>
      <c r="AY5308" s="28" t="n">
        <f aca="false">AX5308*$M5308</f>
        <v>0</v>
      </c>
      <c r="AZ5308" s="30" t="n">
        <v>232710</v>
      </c>
      <c r="BA5308" s="11" t="n">
        <v>465420</v>
      </c>
      <c r="BB5308" s="31" t="n">
        <f aca="false">SUM(Q5308,S5308,U5308,W5308,Y5308,AA5308,AC5308,AE5308,AG5308,AI5308,AK5308,AM5308,AO5308,AQ5308,AS5308,AU5308,AW5308,AY5308)</f>
        <v>465420</v>
      </c>
      <c r="BC5308" s="28" t="n">
        <f aca="false">BA5308-BB5308</f>
        <v>0</v>
      </c>
      <c r="BD5308" s="32" t="n">
        <f aca="false">SUM(P5308,R5308,T5308,V5308,X5308,Z5308,AB5308,AD5308,AF5308,AH5308,AJ5308,AL5308,AN5308,AP5308,AR5308,AT5308,AV5308,AX5308)</f>
        <v>232710</v>
      </c>
      <c r="BE5308" s="33" t="n">
        <f aca="false">AZ5308-BD5308</f>
        <v>0</v>
      </c>
      <c r="BF5308" s="34" t="n">
        <f aca="false">BD5308*M5308</f>
        <v>465420</v>
      </c>
      <c r="BG5308" s="35" t="n">
        <f aca="false">BA5308-BF5308</f>
        <v>0</v>
      </c>
      <c r="BH5308" s="19" t="str">
        <f aca="false">IF(BG5308=0,"",IF(BG5308&lt;&gt;BA5308,"erreur de calcul",IF(BD5308&lt;&gt;0,"pas de prix",IF(M5308&lt;&gt; 0,"pas de quantité","pas de prix, ni de quantité"))))</f>
        <v/>
      </c>
      <c r="BI5308" s="19"/>
    </row>
    <row r="5309" customFormat="false" ht="15" hidden="false" customHeight="false" outlineLevel="0" collapsed="false">
      <c r="A5309" s="0" t="n">
        <v>1</v>
      </c>
      <c r="B5309" s="8" t="s">
        <v>24</v>
      </c>
      <c r="C5309" s="9" t="s">
        <v>25</v>
      </c>
      <c r="D5309" s="9" t="s">
        <v>26</v>
      </c>
      <c r="E5309" s="10" t="n">
        <v>1789</v>
      </c>
      <c r="F5309" s="9" t="s">
        <v>27</v>
      </c>
      <c r="G5309" s="9" t="s">
        <v>27</v>
      </c>
      <c r="H5309" s="11" t="n">
        <v>20</v>
      </c>
      <c r="I5309" s="11" t="s">
        <v>117</v>
      </c>
      <c r="J5309" s="14" t="n">
        <v>10</v>
      </c>
      <c r="K5309" s="14"/>
      <c r="L5309" s="16"/>
      <c r="M5309" s="27" t="n">
        <f aca="false">J5309+(K5309/20)+(L5309/240)</f>
        <v>10</v>
      </c>
      <c r="N5309" s="17" t="s">
        <v>64</v>
      </c>
      <c r="O5309" s="11"/>
      <c r="P5309" s="28" t="n">
        <f aca="false">2120/100</f>
        <v>21.2</v>
      </c>
      <c r="Q5309" s="28" t="n">
        <v>212</v>
      </c>
      <c r="R5309" s="28"/>
      <c r="S5309" s="28" t="n">
        <f aca="false">R5309*$M5309</f>
        <v>0</v>
      </c>
      <c r="T5309" s="28" t="n">
        <f aca="false">4184/100</f>
        <v>41.84</v>
      </c>
      <c r="U5309" s="28" t="n">
        <v>418</v>
      </c>
      <c r="V5309" s="28"/>
      <c r="W5309" s="28" t="n">
        <f aca="false">V5309*$M5309</f>
        <v>0</v>
      </c>
      <c r="X5309" s="28"/>
      <c r="Y5309" s="28" t="n">
        <f aca="false">X5309*$M5309</f>
        <v>0</v>
      </c>
      <c r="Z5309" s="28" t="n">
        <f aca="false">4467/100</f>
        <v>44.67</v>
      </c>
      <c r="AA5309" s="28" t="n">
        <v>447</v>
      </c>
      <c r="AB5309" s="28"/>
      <c r="AC5309" s="28" t="n">
        <f aca="false">AB5309*$M5309</f>
        <v>0</v>
      </c>
      <c r="AD5309" s="28"/>
      <c r="AE5309" s="28" t="n">
        <f aca="false">AD5309*$M5309</f>
        <v>0</v>
      </c>
      <c r="AF5309" s="28"/>
      <c r="AG5309" s="28" t="n">
        <f aca="false">AF5309*$M5309</f>
        <v>0</v>
      </c>
      <c r="AH5309" s="28" t="n">
        <f aca="false">37604/100</f>
        <v>376.04</v>
      </c>
      <c r="AI5309" s="28" t="n">
        <v>3760</v>
      </c>
      <c r="AJ5309" s="28"/>
      <c r="AK5309" s="28" t="n">
        <f aca="false">AJ5309*$M5309</f>
        <v>0</v>
      </c>
      <c r="AL5309" s="28"/>
      <c r="AM5309" s="28" t="n">
        <f aca="false">AL5309*$M5309</f>
        <v>0</v>
      </c>
      <c r="AN5309" s="28"/>
      <c r="AO5309" s="28" t="n">
        <f aca="false">AN5309*$M5309</f>
        <v>0</v>
      </c>
      <c r="AP5309" s="28"/>
      <c r="AQ5309" s="28" t="n">
        <f aca="false">AP5309*$M5309</f>
        <v>0</v>
      </c>
      <c r="AR5309" s="28"/>
      <c r="AS5309" s="28" t="n">
        <f aca="false">AR5309*$M5309</f>
        <v>0</v>
      </c>
      <c r="AT5309" s="28"/>
      <c r="AU5309" s="28" t="n">
        <f aca="false">AT5309*$M5309</f>
        <v>0</v>
      </c>
      <c r="AV5309" s="28"/>
      <c r="AW5309" s="28" t="n">
        <f aca="false">AV5309*$M5309</f>
        <v>0</v>
      </c>
      <c r="AX5309" s="28"/>
      <c r="AY5309" s="28" t="n">
        <f aca="false">AX5309*$M5309</f>
        <v>0</v>
      </c>
      <c r="AZ5309" s="30" t="n">
        <f aca="false">46255/100</f>
        <v>462.55</v>
      </c>
      <c r="BA5309" s="11" t="n">
        <v>4837</v>
      </c>
      <c r="BB5309" s="31" t="n">
        <f aca="false">SUM(Q5309,S5309,U5309,W5309,Y5309,AA5309,AC5309,AE5309,AG5309,AI5309,AK5309,AM5309,AO5309,AQ5309,AS5309,AU5309,AW5309,AY5309)</f>
        <v>4837</v>
      </c>
      <c r="BC5309" s="28" t="n">
        <f aca="false">BA5309-BB5309</f>
        <v>0</v>
      </c>
      <c r="BD5309" s="32" t="n">
        <f aca="false">SUM(P5309,R5309,T5309,V5309,X5309,Z5309,AB5309,AD5309,AF5309,AH5309,AJ5309,AL5309,AN5309,AP5309,AR5309,AT5309,AV5309,AX5309)</f>
        <v>483.75</v>
      </c>
      <c r="BE5309" s="33" t="n">
        <f aca="false">AZ5309-BD5309</f>
        <v>-21.2</v>
      </c>
      <c r="BF5309" s="34" t="n">
        <f aca="false">BD5309*M5309</f>
        <v>4837.5</v>
      </c>
      <c r="BG5309" s="35" t="n">
        <f aca="false">BA5309-BF5309</f>
        <v>-0.50000000000091</v>
      </c>
      <c r="BH5309" s="19" t="str">
        <f aca="false">IF(BG5309=0,"",IF(BG5309&lt;&gt;BA5309,"erreur de calcul",IF(BD5309&lt;&gt;0,"pas de prix",IF(M5309&lt;&gt; 0,"pas de quantité","pas de prix, ni de quantité"))))</f>
        <v>erreur de calcul</v>
      </c>
      <c r="BI5309" s="19"/>
    </row>
    <row r="5310" customFormat="false" ht="15" hidden="false" customHeight="false" outlineLevel="0" collapsed="false">
      <c r="A5310" s="0" t="n">
        <v>2</v>
      </c>
      <c r="B5310" s="8" t="s">
        <v>24</v>
      </c>
      <c r="C5310" s="9" t="s">
        <v>25</v>
      </c>
      <c r="D5310" s="9" t="s">
        <v>26</v>
      </c>
      <c r="E5310" s="10" t="n">
        <v>1789</v>
      </c>
      <c r="F5310" s="9" t="s">
        <v>27</v>
      </c>
      <c r="G5310" s="9" t="s">
        <v>27</v>
      </c>
      <c r="H5310" s="11" t="n">
        <v>20</v>
      </c>
      <c r="I5310" s="11" t="s">
        <v>118</v>
      </c>
      <c r="J5310" s="14" t="n">
        <v>10</v>
      </c>
      <c r="K5310" s="14"/>
      <c r="L5310" s="16"/>
      <c r="M5310" s="27" t="n">
        <f aca="false">J5310+(K5310/20)+(L5310/240)</f>
        <v>10</v>
      </c>
      <c r="N5310" s="17" t="s">
        <v>64</v>
      </c>
      <c r="O5310" s="11"/>
      <c r="P5310" s="28" t="n">
        <f aca="false">6450193/100</f>
        <v>64501.93</v>
      </c>
      <c r="Q5310" s="28" t="n">
        <v>645019</v>
      </c>
      <c r="R5310" s="28"/>
      <c r="S5310" s="28" t="n">
        <f aca="false">R5310*$M5310</f>
        <v>0</v>
      </c>
      <c r="T5310" s="28"/>
      <c r="U5310" s="28" t="n">
        <f aca="false">T5310*$M5310</f>
        <v>0</v>
      </c>
      <c r="V5310" s="28"/>
      <c r="W5310" s="28" t="n">
        <f aca="false">V5310*$M5310</f>
        <v>0</v>
      </c>
      <c r="X5310" s="28"/>
      <c r="Y5310" s="28" t="n">
        <f aca="false">X5310*$M5310</f>
        <v>0</v>
      </c>
      <c r="Z5310" s="28"/>
      <c r="AA5310" s="28" t="n">
        <f aca="false">Z5310*$M5310</f>
        <v>0</v>
      </c>
      <c r="AB5310" s="28" t="n">
        <f aca="false">601547/100</f>
        <v>6015.47</v>
      </c>
      <c r="AC5310" s="28" t="n">
        <v>60155</v>
      </c>
      <c r="AD5310" s="28"/>
      <c r="AE5310" s="28" t="n">
        <f aca="false">AD5310*$M5310</f>
        <v>0</v>
      </c>
      <c r="AF5310" s="28" t="n">
        <f aca="false">727551/100</f>
        <v>7275.51</v>
      </c>
      <c r="AG5310" s="28" t="n">
        <v>72755</v>
      </c>
      <c r="AH5310" s="28" t="n">
        <f aca="false">52982/100</f>
        <v>529.82</v>
      </c>
      <c r="AI5310" s="28" t="n">
        <v>5299</v>
      </c>
      <c r="AJ5310" s="28"/>
      <c r="AK5310" s="28" t="n">
        <f aca="false">AJ5310*$M5310</f>
        <v>0</v>
      </c>
      <c r="AL5310" s="28"/>
      <c r="AM5310" s="28" t="n">
        <f aca="false">AL5310*$M5310</f>
        <v>0</v>
      </c>
      <c r="AN5310" s="28"/>
      <c r="AO5310" s="28" t="n">
        <f aca="false">AN5310*$M5310</f>
        <v>0</v>
      </c>
      <c r="AP5310" s="28"/>
      <c r="AQ5310" s="28" t="n">
        <f aca="false">AP5310*$M5310</f>
        <v>0</v>
      </c>
      <c r="AR5310" s="28"/>
      <c r="AS5310" s="28" t="n">
        <f aca="false">AR5310*$M5310</f>
        <v>0</v>
      </c>
      <c r="AT5310" s="28"/>
      <c r="AU5310" s="28" t="n">
        <f aca="false">AT5310*$M5310</f>
        <v>0</v>
      </c>
      <c r="AV5310" s="28"/>
      <c r="AW5310" s="28" t="n">
        <f aca="false">AV5310*$M5310</f>
        <v>0</v>
      </c>
      <c r="AX5310" s="28"/>
      <c r="AY5310" s="28" t="n">
        <f aca="false">AX5310*$M5310</f>
        <v>0</v>
      </c>
      <c r="AZ5310" s="30" t="n">
        <f aca="false">7832273/100</f>
        <v>78322.73</v>
      </c>
      <c r="BA5310" s="11" t="n">
        <v>783228</v>
      </c>
      <c r="BB5310" s="31" t="n">
        <f aca="false">SUM(Q5310,S5310,U5310,W5310,Y5310,AA5310,AC5310,AE5310,AG5310,AI5310,AK5310,AM5310,AO5310,AQ5310,AS5310,AU5310,AW5310,AY5310)</f>
        <v>783228</v>
      </c>
      <c r="BC5310" s="28" t="n">
        <f aca="false">BA5310-BB5310</f>
        <v>0</v>
      </c>
      <c r="BD5310" s="32" t="n">
        <f aca="false">SUM(P5310,R5310,T5310,V5310,X5310,Z5310,AB5310,AD5310,AF5310,AH5310,AJ5310,AL5310,AN5310,AP5310,AR5310,AT5310,AV5310,AX5310)</f>
        <v>78322.73</v>
      </c>
      <c r="BE5310" s="33" t="n">
        <f aca="false">AZ5310-BD5310</f>
        <v>0</v>
      </c>
      <c r="BF5310" s="34" t="n">
        <f aca="false">BD5310*M5310</f>
        <v>783227.3</v>
      </c>
      <c r="BG5310" s="35" t="n">
        <f aca="false">BA5310-BF5310</f>
        <v>0.700000000069849</v>
      </c>
      <c r="BH5310" s="19" t="str">
        <f aca="false">IF(BG5310=0,"",IF(BG5310&lt;&gt;BA5310,"erreur de calcul",IF(BD5310&lt;&gt;0,"pas de prix",IF(M5310&lt;&gt; 0,"pas de quantité","pas de prix, ni de quantité"))))</f>
        <v>erreur de calcul</v>
      </c>
      <c r="BI5310" s="19"/>
    </row>
    <row r="5311" customFormat="false" ht="15" hidden="false" customHeight="false" outlineLevel="0" collapsed="false">
      <c r="A5311" s="0" t="n">
        <v>3</v>
      </c>
      <c r="B5311" s="8" t="s">
        <v>24</v>
      </c>
      <c r="C5311" s="9" t="s">
        <v>25</v>
      </c>
      <c r="D5311" s="9" t="s">
        <v>26</v>
      </c>
      <c r="E5311" s="10" t="n">
        <v>1789</v>
      </c>
      <c r="F5311" s="9" t="s">
        <v>27</v>
      </c>
      <c r="G5311" s="9" t="s">
        <v>27</v>
      </c>
      <c r="H5311" s="11" t="n">
        <v>20</v>
      </c>
      <c r="I5311" s="11" t="s">
        <v>119</v>
      </c>
      <c r="J5311" s="14" t="n">
        <v>10</v>
      </c>
      <c r="K5311" s="14"/>
      <c r="L5311" s="16"/>
      <c r="M5311" s="27" t="n">
        <f aca="false">J5311+(K5311/20)+(L5311/240)</f>
        <v>10</v>
      </c>
      <c r="N5311" s="17" t="s">
        <v>64</v>
      </c>
      <c r="O5311" s="11"/>
      <c r="P5311" s="28" t="n">
        <f aca="false">2617064/100</f>
        <v>26170.64</v>
      </c>
      <c r="Q5311" s="28" t="n">
        <v>261706</v>
      </c>
      <c r="R5311" s="28"/>
      <c r="S5311" s="28" t="n">
        <f aca="false">R5311*$M5311</f>
        <v>0</v>
      </c>
      <c r="T5311" s="28" t="n">
        <f aca="false">251959/100</f>
        <v>2519.59</v>
      </c>
      <c r="U5311" s="28" t="n">
        <v>25196</v>
      </c>
      <c r="V5311" s="28"/>
      <c r="W5311" s="28" t="n">
        <f aca="false">V5311*$M5311</f>
        <v>0</v>
      </c>
      <c r="X5311" s="28"/>
      <c r="Y5311" s="28" t="n">
        <f aca="false">X5311*$M5311</f>
        <v>0</v>
      </c>
      <c r="Z5311" s="28"/>
      <c r="AA5311" s="28" t="n">
        <f aca="false">Z5311*$M5311</f>
        <v>0</v>
      </c>
      <c r="AB5311" s="28"/>
      <c r="AC5311" s="28" t="n">
        <f aca="false">AB5311*$M5311</f>
        <v>0</v>
      </c>
      <c r="AD5311" s="28"/>
      <c r="AE5311" s="28" t="n">
        <f aca="false">AD5311*$M5311</f>
        <v>0</v>
      </c>
      <c r="AF5311" s="28"/>
      <c r="AG5311" s="28" t="n">
        <f aca="false">AF5311*$M5311</f>
        <v>0</v>
      </c>
      <c r="AH5311" s="28"/>
      <c r="AI5311" s="28" t="n">
        <f aca="false">AH5311*$M5311</f>
        <v>0</v>
      </c>
      <c r="AJ5311" s="28"/>
      <c r="AK5311" s="28" t="n">
        <f aca="false">AJ5311*$M5311</f>
        <v>0</v>
      </c>
      <c r="AL5311" s="28"/>
      <c r="AM5311" s="28" t="n">
        <f aca="false">AL5311*$M5311</f>
        <v>0</v>
      </c>
      <c r="AN5311" s="28"/>
      <c r="AO5311" s="28" t="n">
        <f aca="false">AN5311*$M5311</f>
        <v>0</v>
      </c>
      <c r="AP5311" s="28"/>
      <c r="AQ5311" s="28" t="n">
        <f aca="false">AP5311*$M5311</f>
        <v>0</v>
      </c>
      <c r="AR5311" s="28"/>
      <c r="AS5311" s="28" t="n">
        <f aca="false">AR5311*$M5311</f>
        <v>0</v>
      </c>
      <c r="AT5311" s="28"/>
      <c r="AU5311" s="28" t="n">
        <f aca="false">AT5311*$M5311</f>
        <v>0</v>
      </c>
      <c r="AV5311" s="28"/>
      <c r="AW5311" s="28" t="n">
        <f aca="false">AV5311*$M5311</f>
        <v>0</v>
      </c>
      <c r="AX5311" s="28"/>
      <c r="AY5311" s="28" t="n">
        <f aca="false">AX5311*$M5311</f>
        <v>0</v>
      </c>
      <c r="AZ5311" s="30" t="n">
        <f aca="false">2869023/100</f>
        <v>28690.23</v>
      </c>
      <c r="BA5311" s="11" t="n">
        <v>286902</v>
      </c>
      <c r="BB5311" s="31" t="n">
        <f aca="false">SUM(Q5311,S5311,U5311,W5311,Y5311,AA5311,AC5311,AE5311,AG5311,AI5311,AK5311,AM5311,AO5311,AQ5311,AS5311,AU5311,AW5311,AY5311)</f>
        <v>286902</v>
      </c>
      <c r="BC5311" s="28" t="n">
        <f aca="false">BA5311-BB5311</f>
        <v>0</v>
      </c>
      <c r="BD5311" s="32" t="n">
        <f aca="false">SUM(P5311,R5311,T5311,V5311,X5311,Z5311,AB5311,AD5311,AF5311,AH5311,AJ5311,AL5311,AN5311,AP5311,AR5311,AT5311,AV5311,AX5311)</f>
        <v>28690.23</v>
      </c>
      <c r="BE5311" s="33" t="n">
        <f aca="false">AZ5311-BD5311</f>
        <v>0</v>
      </c>
      <c r="BF5311" s="34" t="n">
        <f aca="false">BD5311*M5311</f>
        <v>286902.3</v>
      </c>
      <c r="BG5311" s="35" t="n">
        <f aca="false">BA5311-BF5311</f>
        <v>-0.299999999988358</v>
      </c>
      <c r="BH5311" s="19" t="str">
        <f aca="false">IF(BG5311=0,"",IF(BG5311&lt;&gt;BA5311,"erreur de calcul",IF(BD5311&lt;&gt;0,"pas de prix",IF(M5311&lt;&gt; 0,"pas de quantité","pas de prix, ni de quantité"))))</f>
        <v>erreur de calcul</v>
      </c>
      <c r="BI5311" s="19"/>
    </row>
    <row r="5312" customFormat="false" ht="16.65" hidden="false" customHeight="false" outlineLevel="0" collapsed="false">
      <c r="A5312" s="0" t="n">
        <v>4</v>
      </c>
      <c r="B5312" s="8" t="s">
        <v>24</v>
      </c>
      <c r="C5312" s="9" t="s">
        <v>25</v>
      </c>
      <c r="D5312" s="9" t="s">
        <v>26</v>
      </c>
      <c r="E5312" s="10" t="n">
        <v>1789</v>
      </c>
      <c r="F5312" s="9" t="s">
        <v>27</v>
      </c>
      <c r="G5312" s="9" t="s">
        <v>27</v>
      </c>
      <c r="H5312" s="11" t="n">
        <v>20</v>
      </c>
      <c r="I5312" s="11" t="s">
        <v>120</v>
      </c>
      <c r="J5312" s="14" t="n">
        <v>12</v>
      </c>
      <c r="K5312" s="14"/>
      <c r="L5312" s="16"/>
      <c r="M5312" s="27" t="n">
        <f aca="false">J5312+(K5312/20)+(L5312/240)</f>
        <v>12</v>
      </c>
      <c r="N5312" s="17" t="s">
        <v>64</v>
      </c>
      <c r="O5312" s="11" t="s">
        <v>77</v>
      </c>
      <c r="P5312" s="28"/>
      <c r="Q5312" s="28" t="n">
        <f aca="false">P5312*$M5312</f>
        <v>0</v>
      </c>
      <c r="R5312" s="28"/>
      <c r="S5312" s="28" t="n">
        <f aca="false">R5312*$M5312</f>
        <v>0</v>
      </c>
      <c r="T5312" s="28"/>
      <c r="U5312" s="28" t="n">
        <f aca="false">T5312*$M5312</f>
        <v>0</v>
      </c>
      <c r="V5312" s="28" t="n">
        <f aca="false">15268/100</f>
        <v>152.68</v>
      </c>
      <c r="W5312" s="28" t="n">
        <v>1832</v>
      </c>
      <c r="X5312" s="28"/>
      <c r="Y5312" s="28" t="n">
        <f aca="false">X5312*$M5312</f>
        <v>0</v>
      </c>
      <c r="Z5312" s="28"/>
      <c r="AA5312" s="28" t="n">
        <f aca="false">Z5312*$M5312</f>
        <v>0</v>
      </c>
      <c r="AB5312" s="28"/>
      <c r="AC5312" s="28" t="n">
        <f aca="false">AB5312*$M5312</f>
        <v>0</v>
      </c>
      <c r="AD5312" s="28"/>
      <c r="AE5312" s="28" t="n">
        <f aca="false">AD5312*$M5312</f>
        <v>0</v>
      </c>
      <c r="AF5312" s="28"/>
      <c r="AG5312" s="28" t="n">
        <f aca="false">AF5312*$M5312</f>
        <v>0</v>
      </c>
      <c r="AH5312" s="28" t="n">
        <f aca="false">26667/100</f>
        <v>266.67</v>
      </c>
      <c r="AI5312" s="28" t="n">
        <v>3200</v>
      </c>
      <c r="AJ5312" s="28"/>
      <c r="AK5312" s="28" t="n">
        <f aca="false">AJ5312*$M5312</f>
        <v>0</v>
      </c>
      <c r="AL5312" s="28"/>
      <c r="AM5312" s="28" t="n">
        <f aca="false">AL5312*$M5312</f>
        <v>0</v>
      </c>
      <c r="AN5312" s="28"/>
      <c r="AO5312" s="28" t="n">
        <f aca="false">AN5312*$M5312</f>
        <v>0</v>
      </c>
      <c r="AP5312" s="28"/>
      <c r="AQ5312" s="28" t="n">
        <f aca="false">AP5312*$M5312</f>
        <v>0</v>
      </c>
      <c r="AR5312" s="28"/>
      <c r="AS5312" s="28" t="n">
        <f aca="false">AR5312*$M5312</f>
        <v>0</v>
      </c>
      <c r="AT5312" s="28"/>
      <c r="AU5312" s="28" t="n">
        <f aca="false">AT5312*$M5312</f>
        <v>0</v>
      </c>
      <c r="AV5312" s="28"/>
      <c r="AW5312" s="28" t="n">
        <f aca="false">AV5312*$M5312</f>
        <v>0</v>
      </c>
      <c r="AX5312" s="28"/>
      <c r="AY5312" s="28" t="n">
        <f aca="false">AX5312*$M5312</f>
        <v>0</v>
      </c>
      <c r="AZ5312" s="30" t="n">
        <f aca="false">41935/100</f>
        <v>419.35</v>
      </c>
      <c r="BA5312" s="11" t="n">
        <v>5032</v>
      </c>
      <c r="BB5312" s="31" t="n">
        <f aca="false">SUM(Q5312,S5312,U5312,W5312,Y5312,AA5312,AC5312,AE5312,AG5312,AI5312,AK5312,AM5312,AO5312,AQ5312,AS5312,AU5312,AW5312,AY5312)</f>
        <v>5032</v>
      </c>
      <c r="BC5312" s="28" t="n">
        <f aca="false">BA5312-BB5312</f>
        <v>0</v>
      </c>
      <c r="BD5312" s="32" t="n">
        <f aca="false">SUM(P5312,R5312,T5312,V5312,X5312,Z5312,AB5312,AD5312,AF5312,AH5312,AJ5312,AL5312,AN5312,AP5312,AR5312,AT5312,AV5312,AX5312)</f>
        <v>419.35</v>
      </c>
      <c r="BE5312" s="33" t="n">
        <f aca="false">AZ5312-BD5312</f>
        <v>0</v>
      </c>
      <c r="BF5312" s="34" t="n">
        <f aca="false">BD5312*M5312</f>
        <v>5032.2</v>
      </c>
      <c r="BG5312" s="35" t="n">
        <f aca="false">BA5312-BF5312</f>
        <v>-0.200000000000728</v>
      </c>
      <c r="BH5312" s="19" t="str">
        <f aca="false">IF(BG5312=0,"",IF(BG5312&lt;&gt;BA5312,"erreur de calcul",IF(BD5312&lt;&gt;0,"pas de prix",IF(M5312&lt;&gt; 0,"pas de quantité","pas de prix, ni de quantité"))))</f>
        <v>erreur de calcul</v>
      </c>
      <c r="BI5312" s="19"/>
    </row>
    <row r="5313" customFormat="false" ht="15" hidden="false" customHeight="false" outlineLevel="0" collapsed="false">
      <c r="A5313" s="0" t="n">
        <v>5</v>
      </c>
      <c r="B5313" s="8" t="s">
        <v>24</v>
      </c>
      <c r="C5313" s="9" t="s">
        <v>25</v>
      </c>
      <c r="D5313" s="9" t="s">
        <v>26</v>
      </c>
      <c r="E5313" s="10" t="n">
        <v>1789</v>
      </c>
      <c r="F5313" s="9" t="s">
        <v>27</v>
      </c>
      <c r="G5313" s="9" t="s">
        <v>27</v>
      </c>
      <c r="H5313" s="11" t="n">
        <v>20</v>
      </c>
      <c r="I5313" s="11" t="s">
        <v>121</v>
      </c>
      <c r="J5313" s="14" t="n">
        <v>28</v>
      </c>
      <c r="K5313" s="14"/>
      <c r="L5313" s="16"/>
      <c r="M5313" s="27" t="n">
        <f aca="false">J5313+(K5313/20)+(L5313/240)</f>
        <v>28</v>
      </c>
      <c r="N5313" s="17" t="s">
        <v>64</v>
      </c>
      <c r="O5313" s="11"/>
      <c r="P5313" s="28"/>
      <c r="Q5313" s="28" t="n">
        <f aca="false">P5313*$M5313</f>
        <v>0</v>
      </c>
      <c r="R5313" s="28"/>
      <c r="S5313" s="28" t="n">
        <f aca="false">R5313*$M5313</f>
        <v>0</v>
      </c>
      <c r="T5313" s="28"/>
      <c r="U5313" s="28" t="n">
        <f aca="false">T5313*$M5313</f>
        <v>0</v>
      </c>
      <c r="V5313" s="28"/>
      <c r="W5313" s="28" t="n">
        <f aca="false">V5313*$M5313</f>
        <v>0</v>
      </c>
      <c r="X5313" s="28" t="n">
        <f aca="false">187504/100</f>
        <v>1875.04</v>
      </c>
      <c r="Y5313" s="28" t="n">
        <v>52501</v>
      </c>
      <c r="Z5313" s="28" t="n">
        <f aca="false">1041667/100</f>
        <v>10416.67</v>
      </c>
      <c r="AA5313" s="28" t="n">
        <v>291667</v>
      </c>
      <c r="AB5313" s="28"/>
      <c r="AC5313" s="28" t="n">
        <f aca="false">AB5313*$M5313</f>
        <v>0</v>
      </c>
      <c r="AD5313" s="28"/>
      <c r="AE5313" s="28" t="n">
        <f aca="false">AD5313*$M5313</f>
        <v>0</v>
      </c>
      <c r="AF5313" s="28"/>
      <c r="AG5313" s="28" t="n">
        <f aca="false">AF5313*$M5313</f>
        <v>0</v>
      </c>
      <c r="AH5313" s="28"/>
      <c r="AI5313" s="28" t="n">
        <f aca="false">AH5313*$M5313</f>
        <v>0</v>
      </c>
      <c r="AJ5313" s="28"/>
      <c r="AK5313" s="28" t="n">
        <f aca="false">AJ5313*$M5313</f>
        <v>0</v>
      </c>
      <c r="AL5313" s="28"/>
      <c r="AM5313" s="28" t="n">
        <f aca="false">AL5313*$M5313</f>
        <v>0</v>
      </c>
      <c r="AN5313" s="28"/>
      <c r="AO5313" s="28" t="n">
        <f aca="false">AN5313*$M5313</f>
        <v>0</v>
      </c>
      <c r="AP5313" s="28"/>
      <c r="AQ5313" s="28" t="n">
        <f aca="false">AP5313*$M5313</f>
        <v>0</v>
      </c>
      <c r="AR5313" s="28"/>
      <c r="AS5313" s="28" t="n">
        <f aca="false">AR5313*$M5313</f>
        <v>0</v>
      </c>
      <c r="AT5313" s="28"/>
      <c r="AU5313" s="28" t="n">
        <f aca="false">AT5313*$M5313</f>
        <v>0</v>
      </c>
      <c r="AV5313" s="28"/>
      <c r="AW5313" s="28" t="n">
        <f aca="false">AV5313*$M5313</f>
        <v>0</v>
      </c>
      <c r="AX5313" s="28"/>
      <c r="AY5313" s="28" t="n">
        <f aca="false">AX5313*$M5313</f>
        <v>0</v>
      </c>
      <c r="AZ5313" s="30" t="n">
        <f aca="false">1229171/100</f>
        <v>12291.71</v>
      </c>
      <c r="BA5313" s="11" t="n">
        <v>344168</v>
      </c>
      <c r="BB5313" s="31" t="n">
        <f aca="false">SUM(Q5313,S5313,U5313,W5313,Y5313,AA5313,AC5313,AE5313,AG5313,AI5313,AK5313,AM5313,AO5313,AQ5313,AS5313,AU5313,AW5313,AY5313)</f>
        <v>344168</v>
      </c>
      <c r="BC5313" s="28" t="n">
        <f aca="false">BA5313-BB5313</f>
        <v>0</v>
      </c>
      <c r="BD5313" s="32" t="n">
        <f aca="false">SUM(P5313,R5313,T5313,V5313,X5313,Z5313,AB5313,AD5313,AF5313,AH5313,AJ5313,AL5313,AN5313,AP5313,AR5313,AT5313,AV5313,AX5313)</f>
        <v>12291.71</v>
      </c>
      <c r="BE5313" s="33" t="n">
        <f aca="false">AZ5313-BD5313</f>
        <v>0</v>
      </c>
      <c r="BF5313" s="34" t="n">
        <f aca="false">BD5313*M5313</f>
        <v>344167.88</v>
      </c>
      <c r="BG5313" s="35" t="n">
        <f aca="false">BA5313-BF5313</f>
        <v>0.119999999995343</v>
      </c>
      <c r="BH5313" s="19" t="str">
        <f aca="false">IF(BG5313=0,"",IF(BG5313&lt;&gt;BA5313,"erreur de calcul",IF(BD5313&lt;&gt;0,"pas de prix",IF(M5313&lt;&gt; 0,"pas de quantité","pas de prix, ni de quantité"))))</f>
        <v>erreur de calcul</v>
      </c>
      <c r="BI5313" s="19"/>
    </row>
    <row r="5314" customFormat="false" ht="15" hidden="false" customHeight="false" outlineLevel="0" collapsed="false">
      <c r="A5314" s="0" t="n">
        <v>6</v>
      </c>
      <c r="B5314" s="8" t="s">
        <v>24</v>
      </c>
      <c r="C5314" s="9" t="s">
        <v>25</v>
      </c>
      <c r="D5314" s="9" t="s">
        <v>26</v>
      </c>
      <c r="E5314" s="10" t="n">
        <v>1789</v>
      </c>
      <c r="F5314" s="9" t="s">
        <v>27</v>
      </c>
      <c r="G5314" s="9" t="s">
        <v>27</v>
      </c>
      <c r="H5314" s="11" t="n">
        <v>20</v>
      </c>
      <c r="I5314" s="11" t="s">
        <v>122</v>
      </c>
      <c r="J5314" s="14" t="n">
        <v>16</v>
      </c>
      <c r="K5314" s="14"/>
      <c r="L5314" s="16"/>
      <c r="M5314" s="27" t="n">
        <f aca="false">J5314+(K5314/20)+(L5314/240)</f>
        <v>16</v>
      </c>
      <c r="N5314" s="17" t="s">
        <v>64</v>
      </c>
      <c r="O5314" s="11"/>
      <c r="P5314" s="28" t="n">
        <f aca="false">1774951/100</f>
        <v>17749.51</v>
      </c>
      <c r="Q5314" s="28" t="n">
        <v>283992</v>
      </c>
      <c r="R5314" s="28"/>
      <c r="S5314" s="28" t="n">
        <f aca="false">R5314*$M5314</f>
        <v>0</v>
      </c>
      <c r="T5314" s="28"/>
      <c r="U5314" s="28" t="n">
        <f aca="false">T5314*$M5314</f>
        <v>0</v>
      </c>
      <c r="V5314" s="28" t="n">
        <f aca="false">20834/100</f>
        <v>208.34</v>
      </c>
      <c r="W5314" s="28" t="n">
        <v>3333</v>
      </c>
      <c r="X5314" s="28" t="n">
        <f aca="false">85901/100</f>
        <v>859.01</v>
      </c>
      <c r="Y5314" s="28" t="n">
        <v>13744</v>
      </c>
      <c r="Z5314" s="28"/>
      <c r="AA5314" s="28" t="n">
        <f aca="false">Z5314*$M5314</f>
        <v>0</v>
      </c>
      <c r="AB5314" s="28" t="n">
        <f aca="false">6847841/100</f>
        <v>68478.41</v>
      </c>
      <c r="AC5314" s="28" t="n">
        <v>1095654</v>
      </c>
      <c r="AD5314" s="28"/>
      <c r="AE5314" s="28" t="n">
        <f aca="false">AD5314*$M5314</f>
        <v>0</v>
      </c>
      <c r="AF5314" s="28"/>
      <c r="AG5314" s="28" t="n">
        <f aca="false">AF5314*$M5314</f>
        <v>0</v>
      </c>
      <c r="AH5314" s="28" t="n">
        <f aca="false">50417/100</f>
        <v>504.17</v>
      </c>
      <c r="AI5314" s="28" t="n">
        <v>8067</v>
      </c>
      <c r="AJ5314" s="28"/>
      <c r="AK5314" s="28" t="n">
        <f aca="false">AJ5314*$M5314</f>
        <v>0</v>
      </c>
      <c r="AL5314" s="28"/>
      <c r="AM5314" s="28" t="n">
        <f aca="false">AL5314*$M5314</f>
        <v>0</v>
      </c>
      <c r="AN5314" s="28"/>
      <c r="AO5314" s="28" t="n">
        <f aca="false">AN5314*$M5314</f>
        <v>0</v>
      </c>
      <c r="AP5314" s="28"/>
      <c r="AQ5314" s="28" t="n">
        <f aca="false">AP5314*$M5314</f>
        <v>0</v>
      </c>
      <c r="AR5314" s="28"/>
      <c r="AS5314" s="28" t="n">
        <f aca="false">AR5314*$M5314</f>
        <v>0</v>
      </c>
      <c r="AT5314" s="28"/>
      <c r="AU5314" s="28" t="n">
        <f aca="false">AT5314*$M5314</f>
        <v>0</v>
      </c>
      <c r="AV5314" s="28"/>
      <c r="AW5314" s="28" t="n">
        <f aca="false">AV5314*$M5314</f>
        <v>0</v>
      </c>
      <c r="AX5314" s="28"/>
      <c r="AY5314" s="28" t="n">
        <f aca="false">AX5314*$M5314</f>
        <v>0</v>
      </c>
      <c r="AZ5314" s="30" t="n">
        <f aca="false">8779944/100</f>
        <v>87799.44</v>
      </c>
      <c r="BA5314" s="11" t="n">
        <v>1404790</v>
      </c>
      <c r="BB5314" s="31" t="n">
        <f aca="false">SUM(Q5314,S5314,U5314,W5314,Y5314,AA5314,AC5314,AE5314,AG5314,AI5314,AK5314,AM5314,AO5314,AQ5314,AS5314,AU5314,AW5314,AY5314)</f>
        <v>1404790</v>
      </c>
      <c r="BC5314" s="28" t="n">
        <f aca="false">BA5314-BB5314</f>
        <v>0</v>
      </c>
      <c r="BD5314" s="32" t="n">
        <f aca="false">SUM(P5314,R5314,T5314,V5314,X5314,Z5314,AB5314,AD5314,AF5314,AH5314,AJ5314,AL5314,AN5314,AP5314,AR5314,AT5314,AV5314,AX5314)</f>
        <v>87799.44</v>
      </c>
      <c r="BE5314" s="33" t="n">
        <f aca="false">AZ5314-BD5314</f>
        <v>0</v>
      </c>
      <c r="BF5314" s="34" t="n">
        <f aca="false">BD5314*M5314</f>
        <v>1404791.04</v>
      </c>
      <c r="BG5314" s="35" t="n">
        <f aca="false">BA5314-BF5314</f>
        <v>-1.03999999980442</v>
      </c>
      <c r="BH5314" s="19" t="str">
        <f aca="false">IF(BG5314=0,"",IF(BG5314&lt;&gt;BA5314,"erreur de calcul",IF(BD5314&lt;&gt;0,"pas de prix",IF(M5314&lt;&gt; 0,"pas de quantité","pas de prix, ni de quantité"))))</f>
        <v>erreur de calcul</v>
      </c>
      <c r="BI5314" s="19"/>
    </row>
    <row r="5315" customFormat="false" ht="15" hidden="false" customHeight="false" outlineLevel="0" collapsed="false">
      <c r="A5315" s="0" t="n">
        <v>7</v>
      </c>
      <c r="B5315" s="8" t="s">
        <v>24</v>
      </c>
      <c r="C5315" s="9" t="s">
        <v>25</v>
      </c>
      <c r="D5315" s="9" t="s">
        <v>26</v>
      </c>
      <c r="E5315" s="10" t="n">
        <v>1789</v>
      </c>
      <c r="F5315" s="9" t="s">
        <v>27</v>
      </c>
      <c r="G5315" s="9" t="s">
        <v>27</v>
      </c>
      <c r="H5315" s="11" t="n">
        <v>20</v>
      </c>
      <c r="I5315" s="11" t="s">
        <v>123</v>
      </c>
      <c r="J5315" s="14" t="n">
        <v>12</v>
      </c>
      <c r="K5315" s="14"/>
      <c r="L5315" s="16"/>
      <c r="M5315" s="27" t="n">
        <f aca="false">J5315+(K5315/20)+(L5315/240)</f>
        <v>12</v>
      </c>
      <c r="N5315" s="17" t="s">
        <v>64</v>
      </c>
      <c r="O5315" s="11"/>
      <c r="P5315" s="28"/>
      <c r="Q5315" s="28" t="n">
        <f aca="false">P5315*$M5315</f>
        <v>0</v>
      </c>
      <c r="R5315" s="28"/>
      <c r="S5315" s="28" t="n">
        <f aca="false">R5315*$M5315</f>
        <v>0</v>
      </c>
      <c r="T5315" s="28"/>
      <c r="U5315" s="28" t="n">
        <f aca="false">T5315*$M5315</f>
        <v>0</v>
      </c>
      <c r="V5315" s="28"/>
      <c r="W5315" s="28" t="n">
        <f aca="false">V5315*$M5315</f>
        <v>0</v>
      </c>
      <c r="X5315" s="28"/>
      <c r="Y5315" s="28" t="n">
        <f aca="false">X5315*$M5315</f>
        <v>0</v>
      </c>
      <c r="Z5315" s="28"/>
      <c r="AA5315" s="28" t="n">
        <f aca="false">Z5315*$M5315</f>
        <v>0</v>
      </c>
      <c r="AB5315" s="28"/>
      <c r="AC5315" s="28" t="n">
        <f aca="false">AB5315*$M5315</f>
        <v>0</v>
      </c>
      <c r="AD5315" s="28"/>
      <c r="AE5315" s="28" t="n">
        <f aca="false">AD5315*$M5315</f>
        <v>0</v>
      </c>
      <c r="AF5315" s="28"/>
      <c r="AG5315" s="28" t="n">
        <f aca="false">AF5315*$M5315</f>
        <v>0</v>
      </c>
      <c r="AH5315" s="28" t="n">
        <f aca="false">5697511/100</f>
        <v>56975.11</v>
      </c>
      <c r="AI5315" s="28" t="n">
        <v>683701</v>
      </c>
      <c r="AJ5315" s="28"/>
      <c r="AK5315" s="28" t="n">
        <f aca="false">AJ5315*$M5315</f>
        <v>0</v>
      </c>
      <c r="AL5315" s="28"/>
      <c r="AM5315" s="28" t="n">
        <f aca="false">AL5315*$M5315</f>
        <v>0</v>
      </c>
      <c r="AN5315" s="28"/>
      <c r="AO5315" s="28" t="n">
        <f aca="false">AN5315*$M5315</f>
        <v>0</v>
      </c>
      <c r="AP5315" s="28"/>
      <c r="AQ5315" s="28" t="n">
        <f aca="false">AP5315*$M5315</f>
        <v>0</v>
      </c>
      <c r="AR5315" s="28"/>
      <c r="AS5315" s="28" t="n">
        <f aca="false">AR5315*$M5315</f>
        <v>0</v>
      </c>
      <c r="AT5315" s="28"/>
      <c r="AU5315" s="28" t="n">
        <f aca="false">AT5315*$M5315</f>
        <v>0</v>
      </c>
      <c r="AV5315" s="28"/>
      <c r="AW5315" s="28" t="n">
        <f aca="false">AV5315*$M5315</f>
        <v>0</v>
      </c>
      <c r="AX5315" s="28"/>
      <c r="AY5315" s="28" t="n">
        <f aca="false">AX5315*$M5315</f>
        <v>0</v>
      </c>
      <c r="AZ5315" s="30" t="n">
        <f aca="false">5697511/100</f>
        <v>56975.11</v>
      </c>
      <c r="BA5315" s="11" t="n">
        <v>683701</v>
      </c>
      <c r="BB5315" s="31" t="n">
        <f aca="false">SUM(Q5315,S5315,U5315,W5315,Y5315,AA5315,AC5315,AE5315,AG5315,AI5315,AK5315,AM5315,AO5315,AQ5315,AS5315,AU5315,AW5315,AY5315)</f>
        <v>683701</v>
      </c>
      <c r="BC5315" s="28" t="n">
        <f aca="false">BA5315-BB5315</f>
        <v>0</v>
      </c>
      <c r="BD5315" s="32" t="n">
        <f aca="false">SUM(P5315,R5315,T5315,V5315,X5315,Z5315,AB5315,AD5315,AF5315,AH5315,AJ5315,AL5315,AN5315,AP5315,AR5315,AT5315,AV5315,AX5315)</f>
        <v>56975.11</v>
      </c>
      <c r="BE5315" s="33" t="n">
        <f aca="false">AZ5315-BD5315</f>
        <v>0</v>
      </c>
      <c r="BF5315" s="34" t="n">
        <f aca="false">BD5315*M5315</f>
        <v>683701.32</v>
      </c>
      <c r="BG5315" s="35" t="n">
        <f aca="false">BA5315-BF5315</f>
        <v>-0.320000000065193</v>
      </c>
      <c r="BH5315" s="19" t="str">
        <f aca="false">IF(BG5315=0,"",IF(BG5315&lt;&gt;BA5315,"erreur de calcul",IF(BD5315&lt;&gt;0,"pas de prix",IF(M5315&lt;&gt; 0,"pas de quantité","pas de prix, ni de quantité"))))</f>
        <v>erreur de calcul</v>
      </c>
      <c r="BI5315" s="19"/>
    </row>
    <row r="5316" customFormat="false" ht="15" hidden="false" customHeight="false" outlineLevel="0" collapsed="false">
      <c r="A5316" s="0" t="n">
        <v>8</v>
      </c>
      <c r="B5316" s="8" t="s">
        <v>24</v>
      </c>
      <c r="C5316" s="9" t="s">
        <v>25</v>
      </c>
      <c r="D5316" s="9" t="s">
        <v>26</v>
      </c>
      <c r="E5316" s="10" t="n">
        <v>1789</v>
      </c>
      <c r="F5316" s="9" t="s">
        <v>27</v>
      </c>
      <c r="G5316" s="9" t="s">
        <v>27</v>
      </c>
      <c r="H5316" s="11" t="n">
        <v>20</v>
      </c>
      <c r="I5316" s="11" t="s">
        <v>124</v>
      </c>
      <c r="J5316" s="14" t="n">
        <v>34</v>
      </c>
      <c r="K5316" s="14"/>
      <c r="L5316" s="16"/>
      <c r="M5316" s="27" t="n">
        <f aca="false">J5316+(K5316/20)+(L5316/240)</f>
        <v>34</v>
      </c>
      <c r="N5316" s="17" t="s">
        <v>64</v>
      </c>
      <c r="O5316" s="11"/>
      <c r="P5316" s="28"/>
      <c r="Q5316" s="28" t="n">
        <f aca="false">P5316*$M5316</f>
        <v>0</v>
      </c>
      <c r="R5316" s="28"/>
      <c r="S5316" s="28" t="n">
        <f aca="false">R5316*$M5316</f>
        <v>0</v>
      </c>
      <c r="T5316" s="28" t="n">
        <f aca="false">528/100</f>
        <v>5.28</v>
      </c>
      <c r="U5316" s="28" t="n">
        <v>179</v>
      </c>
      <c r="V5316" s="28"/>
      <c r="W5316" s="28" t="n">
        <f aca="false">V5316*$M5316</f>
        <v>0</v>
      </c>
      <c r="X5316" s="28" t="n">
        <f aca="false">1014/100</f>
        <v>10.14</v>
      </c>
      <c r="Y5316" s="36" t="n">
        <v>243</v>
      </c>
      <c r="Z5316" s="28"/>
      <c r="AA5316" s="28" t="n">
        <f aca="false">Z5316*$M5316</f>
        <v>0</v>
      </c>
      <c r="AB5316" s="28"/>
      <c r="AC5316" s="28" t="n">
        <f aca="false">AB5316*$M5316</f>
        <v>0</v>
      </c>
      <c r="AD5316" s="28"/>
      <c r="AE5316" s="28" t="n">
        <f aca="false">AD5316*$M5316</f>
        <v>0</v>
      </c>
      <c r="AF5316" s="28"/>
      <c r="AG5316" s="28" t="n">
        <f aca="false">AF5316*$M5316</f>
        <v>0</v>
      </c>
      <c r="AH5316" s="28"/>
      <c r="AI5316" s="28" t="n">
        <f aca="false">AH5316*$M5316</f>
        <v>0</v>
      </c>
      <c r="AJ5316" s="28" t="n">
        <f aca="false">1917/100</f>
        <v>19.17</v>
      </c>
      <c r="AK5316" s="28" t="n">
        <v>652</v>
      </c>
      <c r="AL5316" s="28"/>
      <c r="AM5316" s="28" t="n">
        <f aca="false">AL5316*$M5316</f>
        <v>0</v>
      </c>
      <c r="AN5316" s="28"/>
      <c r="AO5316" s="28" t="n">
        <f aca="false">AN5316*$M5316</f>
        <v>0</v>
      </c>
      <c r="AP5316" s="28"/>
      <c r="AQ5316" s="28" t="n">
        <f aca="false">AP5316*$M5316</f>
        <v>0</v>
      </c>
      <c r="AR5316" s="28"/>
      <c r="AS5316" s="28" t="n">
        <f aca="false">AR5316*$M5316</f>
        <v>0</v>
      </c>
      <c r="AT5316" s="28"/>
      <c r="AU5316" s="28" t="n">
        <f aca="false">AT5316*$M5316</f>
        <v>0</v>
      </c>
      <c r="AV5316" s="28"/>
      <c r="AW5316" s="28" t="n">
        <f aca="false">AV5316*$M5316</f>
        <v>0</v>
      </c>
      <c r="AX5316" s="28"/>
      <c r="AY5316" s="28" t="n">
        <f aca="false">AX5316*$M5316</f>
        <v>0</v>
      </c>
      <c r="AZ5316" s="30" t="n">
        <f aca="false">3459/100</f>
        <v>34.59</v>
      </c>
      <c r="BA5316" s="11" t="n">
        <v>1074</v>
      </c>
      <c r="BB5316" s="31" t="n">
        <f aca="false">SUM(Q5316,S5316,U5316,W5316,Y5316,AA5316,AC5316,AE5316,AG5316,AI5316,AK5316,AM5316,AO5316,AQ5316,AS5316,AU5316,AW5316,AY5316)</f>
        <v>1074</v>
      </c>
      <c r="BC5316" s="28" t="n">
        <f aca="false">BA5316-BB5316</f>
        <v>0</v>
      </c>
      <c r="BD5316" s="32" t="n">
        <f aca="false">SUM(P5316,R5316,T5316,V5316,X5316,Z5316,AB5316,AD5316,AF5316,AH5316,AJ5316,AL5316,AN5316,AP5316,AR5316,AT5316,AV5316,AX5316)</f>
        <v>34.59</v>
      </c>
      <c r="BE5316" s="33" t="n">
        <f aca="false">AZ5316-BD5316</f>
        <v>0</v>
      </c>
      <c r="BF5316" s="34" t="n">
        <f aca="false">BD5316*M5316</f>
        <v>1176.06</v>
      </c>
      <c r="BG5316" s="35" t="n">
        <f aca="false">BA5316-BF5316</f>
        <v>-102.06</v>
      </c>
      <c r="BH5316" s="19" t="str">
        <f aca="false">IF(BG5316=0,"",IF(BG5316&lt;&gt;BA5316,"erreur de calcul",IF(BD5316&lt;&gt;0,"pas de prix",IF(M5316&lt;&gt; 0,"pas de quantité","pas de prix, ni de quantité"))))</f>
        <v>erreur de calcul</v>
      </c>
      <c r="BI5316" s="19"/>
    </row>
    <row r="5317" customFormat="false" ht="15" hidden="false" customHeight="false" outlineLevel="0" collapsed="false">
      <c r="A5317" s="0" t="n">
        <v>9</v>
      </c>
      <c r="B5317" s="8" t="s">
        <v>24</v>
      </c>
      <c r="C5317" s="9" t="s">
        <v>25</v>
      </c>
      <c r="D5317" s="9" t="s">
        <v>26</v>
      </c>
      <c r="E5317" s="10" t="n">
        <v>1789</v>
      </c>
      <c r="F5317" s="9" t="s">
        <v>27</v>
      </c>
      <c r="G5317" s="9" t="s">
        <v>27</v>
      </c>
      <c r="H5317" s="11" t="n">
        <v>20</v>
      </c>
      <c r="I5317" s="11" t="s">
        <v>125</v>
      </c>
      <c r="J5317" s="14" t="n">
        <v>30</v>
      </c>
      <c r="K5317" s="14"/>
      <c r="L5317" s="16"/>
      <c r="M5317" s="27" t="n">
        <f aca="false">J5317+(K5317/20)+(L5317/240)</f>
        <v>30</v>
      </c>
      <c r="N5317" s="17" t="s">
        <v>64</v>
      </c>
      <c r="O5317" s="11"/>
      <c r="P5317" s="28" t="n">
        <f aca="false">31476/100</f>
        <v>314.76</v>
      </c>
      <c r="Q5317" s="28" t="n">
        <v>9443</v>
      </c>
      <c r="R5317" s="28"/>
      <c r="S5317" s="28" t="n">
        <f aca="false">R5317*$M5317</f>
        <v>0</v>
      </c>
      <c r="T5317" s="28"/>
      <c r="U5317" s="28" t="n">
        <f aca="false">T5317*$M5317</f>
        <v>0</v>
      </c>
      <c r="V5317" s="28"/>
      <c r="W5317" s="28" t="n">
        <f aca="false">V5317*$M5317</f>
        <v>0</v>
      </c>
      <c r="X5317" s="28" t="n">
        <f aca="false">2320/100</f>
        <v>23.2</v>
      </c>
      <c r="Y5317" s="28" t="n">
        <v>696</v>
      </c>
      <c r="Z5317" s="28"/>
      <c r="AA5317" s="28" t="n">
        <f aca="false">Z5317*$M5317</f>
        <v>0</v>
      </c>
      <c r="AB5317" s="28"/>
      <c r="AC5317" s="28" t="n">
        <f aca="false">AB5317*$M5317</f>
        <v>0</v>
      </c>
      <c r="AD5317" s="28"/>
      <c r="AE5317" s="28" t="n">
        <f aca="false">AD5317*$M5317</f>
        <v>0</v>
      </c>
      <c r="AF5317" s="28"/>
      <c r="AG5317" s="28" t="n">
        <f aca="false">AF5317*$M5317</f>
        <v>0</v>
      </c>
      <c r="AH5317" s="28"/>
      <c r="AI5317" s="28" t="n">
        <f aca="false">AH5317*$M5317</f>
        <v>0</v>
      </c>
      <c r="AJ5317" s="28"/>
      <c r="AK5317" s="28" t="n">
        <f aca="false">AJ5317*$M5317</f>
        <v>0</v>
      </c>
      <c r="AL5317" s="28"/>
      <c r="AM5317" s="28" t="n">
        <f aca="false">AL5317*$M5317</f>
        <v>0</v>
      </c>
      <c r="AN5317" s="28"/>
      <c r="AO5317" s="28" t="n">
        <f aca="false">AN5317*$M5317</f>
        <v>0</v>
      </c>
      <c r="AP5317" s="28" t="n">
        <f aca="false">5100/100</f>
        <v>51</v>
      </c>
      <c r="AQ5317" s="28" t="n">
        <v>1530</v>
      </c>
      <c r="AR5317" s="28"/>
      <c r="AS5317" s="28" t="n">
        <f aca="false">AR5317*$M5317</f>
        <v>0</v>
      </c>
      <c r="AT5317" s="28"/>
      <c r="AU5317" s="28" t="n">
        <f aca="false">AT5317*$M5317</f>
        <v>0</v>
      </c>
      <c r="AV5317" s="28"/>
      <c r="AW5317" s="28" t="n">
        <f aca="false">AV5317*$M5317</f>
        <v>0</v>
      </c>
      <c r="AX5317" s="28" t="n">
        <f aca="false">26345/100</f>
        <v>263.45</v>
      </c>
      <c r="AY5317" s="28" t="n">
        <v>7903</v>
      </c>
      <c r="AZ5317" s="30" t="n">
        <f aca="false">65241/100</f>
        <v>652.41</v>
      </c>
      <c r="BA5317" s="11" t="n">
        <v>19572</v>
      </c>
      <c r="BB5317" s="31" t="n">
        <f aca="false">SUM(Q5317,S5317,U5317,W5317,Y5317,AA5317,AC5317,AE5317,AG5317,AI5317,AK5317,AM5317,AO5317,AQ5317,AS5317,AU5317,AW5317,AY5317)</f>
        <v>19572</v>
      </c>
      <c r="BC5317" s="28" t="n">
        <f aca="false">BA5317-BB5317</f>
        <v>0</v>
      </c>
      <c r="BD5317" s="32" t="n">
        <f aca="false">SUM(P5317,R5317,T5317,V5317,X5317,Z5317,AB5317,AD5317,AF5317,AH5317,AJ5317,AL5317,AN5317,AP5317,AR5317,AT5317,AV5317,AX5317)</f>
        <v>652.41</v>
      </c>
      <c r="BE5317" s="33" t="n">
        <f aca="false">AZ5317-BD5317</f>
        <v>0</v>
      </c>
      <c r="BF5317" s="34" t="n">
        <f aca="false">BD5317*M5317</f>
        <v>19572.3</v>
      </c>
      <c r="BG5317" s="35" t="n">
        <f aca="false">BA5317-BF5317</f>
        <v>-0.299999999999272</v>
      </c>
      <c r="BH5317" s="19" t="str">
        <f aca="false">IF(BG5317=0,"",IF(BG5317&lt;&gt;BA5317,"erreur de calcul",IF(BD5317&lt;&gt;0,"pas de prix",IF(M5317&lt;&gt; 0,"pas de quantité","pas de prix, ni de quantité"))))</f>
        <v>erreur de calcul</v>
      </c>
      <c r="BI5317" s="19"/>
    </row>
    <row r="5318" customFormat="false" ht="15" hidden="false" customHeight="false" outlineLevel="0" collapsed="false">
      <c r="A5318" s="0" t="n">
        <v>10</v>
      </c>
      <c r="B5318" s="8" t="s">
        <v>24</v>
      </c>
      <c r="C5318" s="9" t="s">
        <v>25</v>
      </c>
      <c r="D5318" s="9" t="s">
        <v>26</v>
      </c>
      <c r="E5318" s="10" t="n">
        <v>1789</v>
      </c>
      <c r="F5318" s="9" t="s">
        <v>27</v>
      </c>
      <c r="G5318" s="9" t="s">
        <v>27</v>
      </c>
      <c r="H5318" s="11" t="n">
        <v>20</v>
      </c>
      <c r="I5318" s="11" t="s">
        <v>126</v>
      </c>
      <c r="J5318" s="14" t="n">
        <v>75</v>
      </c>
      <c r="K5318" s="14"/>
      <c r="L5318" s="16"/>
      <c r="M5318" s="27" t="n">
        <f aca="false">J5318+(K5318/20)+(L5318/240)</f>
        <v>75</v>
      </c>
      <c r="N5318" s="17" t="s">
        <v>64</v>
      </c>
      <c r="O5318" s="11"/>
      <c r="P5318" s="28"/>
      <c r="Q5318" s="28" t="n">
        <f aca="false">P5318*$M5318</f>
        <v>0</v>
      </c>
      <c r="R5318" s="28"/>
      <c r="S5318" s="28" t="n">
        <f aca="false">R5318*$M5318</f>
        <v>0</v>
      </c>
      <c r="T5318" s="28"/>
      <c r="U5318" s="28" t="n">
        <f aca="false">T5318*$M5318</f>
        <v>0</v>
      </c>
      <c r="V5318" s="28" t="n">
        <f aca="false">223/100</f>
        <v>2.23</v>
      </c>
      <c r="W5318" s="28" t="n">
        <v>167</v>
      </c>
      <c r="X5318" s="28" t="n">
        <f aca="false">2897/100</f>
        <v>28.97</v>
      </c>
      <c r="Y5318" s="28" t="n">
        <v>2173</v>
      </c>
      <c r="Z5318" s="28"/>
      <c r="AA5318" s="28" t="n">
        <f aca="false">Z5318*$M5318</f>
        <v>0</v>
      </c>
      <c r="AB5318" s="28"/>
      <c r="AC5318" s="28" t="n">
        <f aca="false">AB5318*$M5318</f>
        <v>0</v>
      </c>
      <c r="AD5318" s="28"/>
      <c r="AE5318" s="28" t="n">
        <f aca="false">AD5318*$M5318</f>
        <v>0</v>
      </c>
      <c r="AF5318" s="28"/>
      <c r="AG5318" s="28" t="n">
        <f aca="false">AF5318*$M5318</f>
        <v>0</v>
      </c>
      <c r="AH5318" s="28"/>
      <c r="AI5318" s="28" t="n">
        <f aca="false">AH5318*$M5318</f>
        <v>0</v>
      </c>
      <c r="AJ5318" s="28"/>
      <c r="AK5318" s="28" t="n">
        <f aca="false">AJ5318*$M5318</f>
        <v>0</v>
      </c>
      <c r="AL5318" s="28"/>
      <c r="AM5318" s="28" t="n">
        <f aca="false">AL5318*$M5318</f>
        <v>0</v>
      </c>
      <c r="AN5318" s="28"/>
      <c r="AO5318" s="28" t="n">
        <f aca="false">AN5318*$M5318</f>
        <v>0</v>
      </c>
      <c r="AP5318" s="28"/>
      <c r="AQ5318" s="28" t="n">
        <f aca="false">AP5318*$M5318</f>
        <v>0</v>
      </c>
      <c r="AR5318" s="28"/>
      <c r="AS5318" s="28" t="n">
        <f aca="false">AR5318*$M5318</f>
        <v>0</v>
      </c>
      <c r="AT5318" s="28"/>
      <c r="AU5318" s="28" t="n">
        <f aca="false">AT5318*$M5318</f>
        <v>0</v>
      </c>
      <c r="AV5318" s="28"/>
      <c r="AW5318" s="28" t="n">
        <f aca="false">AV5318*$M5318</f>
        <v>0</v>
      </c>
      <c r="AX5318" s="28"/>
      <c r="AY5318" s="28" t="n">
        <f aca="false">AX5318*$M5318</f>
        <v>0</v>
      </c>
      <c r="AZ5318" s="30" t="n">
        <f aca="false">3120/100</f>
        <v>31.2</v>
      </c>
      <c r="BA5318" s="11" t="n">
        <v>2340</v>
      </c>
      <c r="BB5318" s="31" t="n">
        <f aca="false">SUM(Q5318,S5318,U5318,W5318,Y5318,AA5318,AC5318,AE5318,AG5318,AI5318,AK5318,AM5318,AO5318,AQ5318,AS5318,AU5318,AW5318,AY5318)</f>
        <v>2340</v>
      </c>
      <c r="BC5318" s="28" t="n">
        <f aca="false">BA5318-BB5318</f>
        <v>0</v>
      </c>
      <c r="BD5318" s="32" t="n">
        <f aca="false">SUM(P5318,R5318,T5318,V5318,X5318,Z5318,AB5318,AD5318,AF5318,AH5318,AJ5318,AL5318,AN5318,AP5318,AR5318,AT5318,AV5318,AX5318)</f>
        <v>31.2</v>
      </c>
      <c r="BE5318" s="33" t="n">
        <f aca="false">AZ5318-BD5318</f>
        <v>0</v>
      </c>
      <c r="BF5318" s="34" t="n">
        <f aca="false">BD5318*M5318</f>
        <v>2340</v>
      </c>
      <c r="BG5318" s="35" t="n">
        <f aca="false">BA5318-BF5318</f>
        <v>0</v>
      </c>
      <c r="BH5318" s="19" t="str">
        <f aca="false">IF(BG5318=0,"",IF(BG5318&lt;&gt;BA5318,"erreur de calcul",IF(BD5318&lt;&gt;0,"pas de prix",IF(M5318&lt;&gt; 0,"pas de quantité","pas de prix, ni de quantité"))))</f>
        <v/>
      </c>
      <c r="BI5318" s="19"/>
    </row>
    <row r="5319" customFormat="false" ht="15" hidden="false" customHeight="false" outlineLevel="0" collapsed="false">
      <c r="A5319" s="0" t="n">
        <v>11</v>
      </c>
      <c r="B5319" s="8" t="s">
        <v>24</v>
      </c>
      <c r="C5319" s="9" t="s">
        <v>25</v>
      </c>
      <c r="D5319" s="9" t="s">
        <v>26</v>
      </c>
      <c r="E5319" s="10" t="n">
        <v>1789</v>
      </c>
      <c r="F5319" s="9" t="s">
        <v>27</v>
      </c>
      <c r="G5319" s="9" t="s">
        <v>27</v>
      </c>
      <c r="H5319" s="11" t="n">
        <v>20</v>
      </c>
      <c r="I5319" s="11" t="s">
        <v>127</v>
      </c>
      <c r="J5319" s="14" t="n">
        <v>75</v>
      </c>
      <c r="K5319" s="14"/>
      <c r="L5319" s="16"/>
      <c r="M5319" s="27" t="n">
        <f aca="false">J5319+(K5319/20)+(L5319/240)</f>
        <v>75</v>
      </c>
      <c r="N5319" s="17" t="s">
        <v>64</v>
      </c>
      <c r="O5319" s="11"/>
      <c r="P5319" s="28"/>
      <c r="Q5319" s="28" t="n">
        <f aca="false">P5319*$M5319</f>
        <v>0</v>
      </c>
      <c r="R5319" s="28"/>
      <c r="S5319" s="28" t="n">
        <f aca="false">R5319*$M5319</f>
        <v>0</v>
      </c>
      <c r="T5319" s="28" t="n">
        <f aca="false">5807/100</f>
        <v>58.07</v>
      </c>
      <c r="U5319" s="28" t="n">
        <v>4355</v>
      </c>
      <c r="V5319" s="28"/>
      <c r="W5319" s="28" t="n">
        <f aca="false">V5319*$M5319</f>
        <v>0</v>
      </c>
      <c r="X5319" s="28"/>
      <c r="Y5319" s="28" t="n">
        <f aca="false">X5319*$M5319</f>
        <v>0</v>
      </c>
      <c r="Z5319" s="28"/>
      <c r="AA5319" s="28" t="n">
        <f aca="false">Z5319*$M5319</f>
        <v>0</v>
      </c>
      <c r="AB5319" s="28"/>
      <c r="AC5319" s="28" t="n">
        <f aca="false">AB5319*$M5319</f>
        <v>0</v>
      </c>
      <c r="AD5319" s="28"/>
      <c r="AE5319" s="28" t="n">
        <f aca="false">AD5319*$M5319</f>
        <v>0</v>
      </c>
      <c r="AF5319" s="28"/>
      <c r="AG5319" s="28" t="n">
        <f aca="false">AF5319*$M5319</f>
        <v>0</v>
      </c>
      <c r="AH5319" s="28"/>
      <c r="AI5319" s="28" t="n">
        <f aca="false">AH5319*$M5319</f>
        <v>0</v>
      </c>
      <c r="AJ5319" s="28"/>
      <c r="AK5319" s="28" t="n">
        <f aca="false">AJ5319*$M5319</f>
        <v>0</v>
      </c>
      <c r="AL5319" s="28"/>
      <c r="AM5319" s="28" t="n">
        <f aca="false">AL5319*$M5319</f>
        <v>0</v>
      </c>
      <c r="AN5319" s="28"/>
      <c r="AO5319" s="28" t="n">
        <f aca="false">AN5319*$M5319</f>
        <v>0</v>
      </c>
      <c r="AP5319" s="28"/>
      <c r="AQ5319" s="28" t="n">
        <f aca="false">AP5319*$M5319</f>
        <v>0</v>
      </c>
      <c r="AR5319" s="28"/>
      <c r="AS5319" s="28" t="n">
        <f aca="false">AR5319*$M5319</f>
        <v>0</v>
      </c>
      <c r="AT5319" s="28"/>
      <c r="AU5319" s="28" t="n">
        <f aca="false">AT5319*$M5319</f>
        <v>0</v>
      </c>
      <c r="AV5319" s="28"/>
      <c r="AW5319" s="28" t="n">
        <f aca="false">AV5319*$M5319</f>
        <v>0</v>
      </c>
      <c r="AX5319" s="28"/>
      <c r="AY5319" s="28" t="n">
        <f aca="false">AX5319*$M5319</f>
        <v>0</v>
      </c>
      <c r="AZ5319" s="30" t="n">
        <f aca="false">5807/100</f>
        <v>58.07</v>
      </c>
      <c r="BA5319" s="11" t="n">
        <v>4355</v>
      </c>
      <c r="BB5319" s="31" t="n">
        <f aca="false">SUM(Q5319,S5319,U5319,W5319,Y5319,AA5319,AC5319,AE5319,AG5319,AI5319,AK5319,AM5319,AO5319,AQ5319,AS5319,AU5319,AW5319,AY5319)</f>
        <v>4355</v>
      </c>
      <c r="BC5319" s="28" t="n">
        <f aca="false">BA5319-BB5319</f>
        <v>0</v>
      </c>
      <c r="BD5319" s="32" t="n">
        <f aca="false">SUM(P5319,R5319,T5319,V5319,X5319,Z5319,AB5319,AD5319,AF5319,AH5319,AJ5319,AL5319,AN5319,AP5319,AR5319,AT5319,AV5319,AX5319)</f>
        <v>58.07</v>
      </c>
      <c r="BE5319" s="33" t="n">
        <f aca="false">AZ5319-BD5319</f>
        <v>0</v>
      </c>
      <c r="BF5319" s="34" t="n">
        <f aca="false">BD5319*M5319</f>
        <v>4355.25</v>
      </c>
      <c r="BG5319" s="35" t="n">
        <f aca="false">BA5319-BF5319</f>
        <v>-0.25</v>
      </c>
      <c r="BH5319" s="19" t="str">
        <f aca="false">IF(BG5319=0,"",IF(BG5319&lt;&gt;BA5319,"erreur de calcul",IF(BD5319&lt;&gt;0,"pas de prix",IF(M5319&lt;&gt; 0,"pas de quantité","pas de prix, ni de quantité"))))</f>
        <v>erreur de calcul</v>
      </c>
      <c r="BI5319" s="19"/>
    </row>
    <row r="5320" customFormat="false" ht="15" hidden="false" customHeight="false" outlineLevel="0" collapsed="false">
      <c r="A5320" s="0" t="n">
        <v>12</v>
      </c>
      <c r="B5320" s="8" t="s">
        <v>24</v>
      </c>
      <c r="C5320" s="9" t="s">
        <v>25</v>
      </c>
      <c r="D5320" s="9" t="s">
        <v>26</v>
      </c>
      <c r="E5320" s="10" t="n">
        <v>1789</v>
      </c>
      <c r="F5320" s="9" t="s">
        <v>27</v>
      </c>
      <c r="G5320" s="9" t="s">
        <v>27</v>
      </c>
      <c r="H5320" s="11" t="n">
        <v>20</v>
      </c>
      <c r="I5320" s="11" t="s">
        <v>128</v>
      </c>
      <c r="J5320" s="14" t="n">
        <v>42</v>
      </c>
      <c r="K5320" s="14"/>
      <c r="L5320" s="16"/>
      <c r="M5320" s="27" t="n">
        <f aca="false">J5320+(K5320/20)+(L5320/240)</f>
        <v>42</v>
      </c>
      <c r="N5320" s="17" t="s">
        <v>64</v>
      </c>
      <c r="O5320" s="11"/>
      <c r="P5320" s="28"/>
      <c r="Q5320" s="28" t="n">
        <f aca="false">P5320*$M5320</f>
        <v>0</v>
      </c>
      <c r="R5320" s="28"/>
      <c r="S5320" s="28" t="n">
        <f aca="false">R5320*$M5320</f>
        <v>0</v>
      </c>
      <c r="T5320" s="28" t="n">
        <f aca="false">347073/100</f>
        <v>3470.73</v>
      </c>
      <c r="U5320" s="28" t="n">
        <v>145771</v>
      </c>
      <c r="V5320" s="28" t="n">
        <f aca="false">188616/100</f>
        <v>1886.16</v>
      </c>
      <c r="W5320" s="28" t="n">
        <v>79219</v>
      </c>
      <c r="X5320" s="28" t="n">
        <f aca="false">518894/100</f>
        <v>5188.94</v>
      </c>
      <c r="Y5320" s="28" t="n">
        <v>217935</v>
      </c>
      <c r="Z5320" s="28" t="n">
        <f aca="false">965148/100</f>
        <v>9651.48</v>
      </c>
      <c r="AA5320" s="28" t="n">
        <v>405362</v>
      </c>
      <c r="AB5320" s="28" t="n">
        <f aca="false">759238/100</f>
        <v>7592.38</v>
      </c>
      <c r="AC5320" s="28" t="n">
        <v>318880</v>
      </c>
      <c r="AD5320" s="28" t="n">
        <f aca="false">254167/100</f>
        <v>2541.67</v>
      </c>
      <c r="AE5320" s="28" t="n">
        <v>106750</v>
      </c>
      <c r="AF5320" s="28"/>
      <c r="AG5320" s="28" t="n">
        <f aca="false">AF5320*$M5320</f>
        <v>0</v>
      </c>
      <c r="AH5320" s="28"/>
      <c r="AI5320" s="28" t="n">
        <f aca="false">AH5320*$M5320</f>
        <v>0</v>
      </c>
      <c r="AJ5320" s="28"/>
      <c r="AK5320" s="28" t="n">
        <f aca="false">AJ5320*$M5320</f>
        <v>0</v>
      </c>
      <c r="AL5320" s="28" t="n">
        <f aca="false">73551/100</f>
        <v>735.51</v>
      </c>
      <c r="AM5320" s="28" t="n">
        <v>30891</v>
      </c>
      <c r="AN5320" s="28"/>
      <c r="AO5320" s="28" t="n">
        <f aca="false">AN5320*$M5320</f>
        <v>0</v>
      </c>
      <c r="AP5320" s="28" t="n">
        <f aca="false">45836/100</f>
        <v>458.36</v>
      </c>
      <c r="AQ5320" s="28" t="n">
        <v>19251</v>
      </c>
      <c r="AR5320" s="28"/>
      <c r="AS5320" s="28" t="n">
        <f aca="false">AR5320*$M5320</f>
        <v>0</v>
      </c>
      <c r="AT5320" s="28"/>
      <c r="AU5320" s="28" t="n">
        <f aca="false">AT5320*$M5320</f>
        <v>0</v>
      </c>
      <c r="AV5320" s="28" t="n">
        <f aca="false">566574/100</f>
        <v>5665.74</v>
      </c>
      <c r="AW5320" s="28" t="n">
        <v>237961</v>
      </c>
      <c r="AX5320" s="28"/>
      <c r="AY5320" s="28" t="n">
        <f aca="false">AX5320*$M5320</f>
        <v>0</v>
      </c>
      <c r="AZ5320" s="30" t="n">
        <f aca="false">3719097/100</f>
        <v>37190.97</v>
      </c>
      <c r="BA5320" s="11" t="n">
        <v>1562020</v>
      </c>
      <c r="BB5320" s="31" t="n">
        <f aca="false">SUM(Q5320,S5320,U5320,W5320,Y5320,AA5320,AC5320,AE5320,AG5320,AI5320,AK5320,AM5320,AO5320,AQ5320,AS5320,AU5320,AW5320,AY5320)</f>
        <v>1562020</v>
      </c>
      <c r="BC5320" s="28" t="n">
        <f aca="false">BA5320-BB5320</f>
        <v>0</v>
      </c>
      <c r="BD5320" s="32" t="n">
        <f aca="false">SUM(P5320,R5320,T5320,V5320,X5320,Z5320,AB5320,AD5320,AF5320,AH5320,AJ5320,AL5320,AN5320,AP5320,AR5320,AT5320,AV5320,AX5320)</f>
        <v>37190.97</v>
      </c>
      <c r="BE5320" s="33" t="n">
        <f aca="false">AZ5320-BD5320</f>
        <v>0</v>
      </c>
      <c r="BF5320" s="34" t="n">
        <f aca="false">BD5320*M5320</f>
        <v>1562020.74</v>
      </c>
      <c r="BG5320" s="35" t="n">
        <f aca="false">BA5320-BF5320</f>
        <v>-0.739999999990687</v>
      </c>
      <c r="BH5320" s="19" t="str">
        <f aca="false">IF(BG5320=0,"",IF(BG5320&lt;&gt;BA5320,"erreur de calcul",IF(BD5320&lt;&gt;0,"pas de prix",IF(M5320&lt;&gt; 0,"pas de quantité","pas de prix, ni de quantité"))))</f>
        <v>erreur de calcul</v>
      </c>
      <c r="BI5320" s="19"/>
    </row>
    <row r="5321" customFormat="false" ht="15" hidden="false" customHeight="false" outlineLevel="0" collapsed="false">
      <c r="A5321" s="0" t="n">
        <v>13</v>
      </c>
      <c r="B5321" s="8" t="s">
        <v>24</v>
      </c>
      <c r="C5321" s="9" t="s">
        <v>25</v>
      </c>
      <c r="D5321" s="9" t="s">
        <v>26</v>
      </c>
      <c r="E5321" s="10" t="n">
        <v>1789</v>
      </c>
      <c r="F5321" s="9" t="s">
        <v>27</v>
      </c>
      <c r="G5321" s="9" t="s">
        <v>27</v>
      </c>
      <c r="H5321" s="11" t="n">
        <v>20</v>
      </c>
      <c r="I5321" s="11" t="s">
        <v>129</v>
      </c>
      <c r="J5321" s="14" t="n">
        <v>75</v>
      </c>
      <c r="K5321" s="14"/>
      <c r="L5321" s="16"/>
      <c r="M5321" s="27" t="n">
        <f aca="false">J5321+(K5321/20)+(L5321/240)</f>
        <v>75</v>
      </c>
      <c r="N5321" s="17" t="s">
        <v>64</v>
      </c>
      <c r="O5321" s="11"/>
      <c r="P5321" s="28"/>
      <c r="Q5321" s="28" t="n">
        <f aca="false">P5321*$M5321</f>
        <v>0</v>
      </c>
      <c r="R5321" s="28"/>
      <c r="S5321" s="28" t="n">
        <f aca="false">R5321*$M5321</f>
        <v>0</v>
      </c>
      <c r="T5321" s="28"/>
      <c r="U5321" s="28" t="n">
        <f aca="false">T5321*$M5321</f>
        <v>0</v>
      </c>
      <c r="V5321" s="28" t="n">
        <f aca="false">3418/100</f>
        <v>34.18</v>
      </c>
      <c r="W5321" s="28" t="n">
        <v>2563</v>
      </c>
      <c r="X5321" s="28" t="n">
        <f aca="false">3755/100</f>
        <v>37.55</v>
      </c>
      <c r="Y5321" s="28" t="n">
        <v>2817</v>
      </c>
      <c r="Z5321" s="28"/>
      <c r="AA5321" s="28" t="n">
        <f aca="false">Z5321*$M5321</f>
        <v>0</v>
      </c>
      <c r="AB5321" s="28" t="n">
        <f aca="false">75529/100</f>
        <v>755.29</v>
      </c>
      <c r="AC5321" s="28" t="n">
        <v>56647</v>
      </c>
      <c r="AD5321" s="28"/>
      <c r="AE5321" s="28" t="n">
        <f aca="false">AD5321*$M5321</f>
        <v>0</v>
      </c>
      <c r="AF5321" s="28"/>
      <c r="AG5321" s="28" t="n">
        <f aca="false">AF5321*$M5321</f>
        <v>0</v>
      </c>
      <c r="AH5321" s="28"/>
      <c r="AI5321" s="28" t="n">
        <f aca="false">AH5321*$M5321</f>
        <v>0</v>
      </c>
      <c r="AJ5321" s="28"/>
      <c r="AK5321" s="28" t="n">
        <f aca="false">AJ5321*$M5321</f>
        <v>0</v>
      </c>
      <c r="AL5321" s="28"/>
      <c r="AM5321" s="28" t="n">
        <f aca="false">AL5321*$M5321</f>
        <v>0</v>
      </c>
      <c r="AN5321" s="28"/>
      <c r="AO5321" s="28" t="n">
        <f aca="false">AN5321*$M5321</f>
        <v>0</v>
      </c>
      <c r="AP5321" s="28"/>
      <c r="AQ5321" s="28" t="n">
        <f aca="false">AP5321*$M5321</f>
        <v>0</v>
      </c>
      <c r="AR5321" s="28"/>
      <c r="AS5321" s="28" t="n">
        <f aca="false">AR5321*$M5321</f>
        <v>0</v>
      </c>
      <c r="AT5321" s="28"/>
      <c r="AU5321" s="28" t="n">
        <f aca="false">AT5321*$M5321</f>
        <v>0</v>
      </c>
      <c r="AV5321" s="28"/>
      <c r="AW5321" s="28" t="n">
        <f aca="false">AV5321*$M5321</f>
        <v>0</v>
      </c>
      <c r="AX5321" s="28"/>
      <c r="AY5321" s="28" t="n">
        <f aca="false">AX5321*$M5321</f>
        <v>0</v>
      </c>
      <c r="AZ5321" s="30" t="n">
        <f aca="false">82702/100</f>
        <v>827.02</v>
      </c>
      <c r="BA5321" s="11" t="n">
        <v>62027</v>
      </c>
      <c r="BB5321" s="31" t="n">
        <f aca="false">SUM(Q5321,S5321,U5321,W5321,Y5321,AA5321,AC5321,AE5321,AG5321,AI5321,AK5321,AM5321,AO5321,AQ5321,AS5321,AU5321,AW5321,AY5321)</f>
        <v>62027</v>
      </c>
      <c r="BC5321" s="28" t="n">
        <f aca="false">BA5321-BB5321</f>
        <v>0</v>
      </c>
      <c r="BD5321" s="32" t="n">
        <f aca="false">SUM(P5321,R5321,T5321,V5321,X5321,Z5321,AB5321,AD5321,AF5321,AH5321,AJ5321,AL5321,AN5321,AP5321,AR5321,AT5321,AV5321,AX5321)</f>
        <v>827.02</v>
      </c>
      <c r="BE5321" s="33" t="n">
        <f aca="false">AZ5321-BD5321</f>
        <v>0</v>
      </c>
      <c r="BF5321" s="34" t="n">
        <f aca="false">BD5321*M5321</f>
        <v>62026.5</v>
      </c>
      <c r="BG5321" s="35" t="n">
        <f aca="false">BA5321-BF5321</f>
        <v>0.500000000007276</v>
      </c>
      <c r="BH5321" s="19" t="str">
        <f aca="false">IF(BG5321=0,"",IF(BG5321&lt;&gt;BA5321,"erreur de calcul",IF(BD5321&lt;&gt;0,"pas de prix",IF(M5321&lt;&gt; 0,"pas de quantité","pas de prix, ni de quantité"))))</f>
        <v>erreur de calcul</v>
      </c>
      <c r="BI5321" s="19"/>
    </row>
    <row r="5322" customFormat="false" ht="15" hidden="false" customHeight="false" outlineLevel="0" collapsed="false">
      <c r="A5322" s="0" t="n">
        <v>14</v>
      </c>
      <c r="B5322" s="8" t="s">
        <v>24</v>
      </c>
      <c r="C5322" s="9" t="s">
        <v>25</v>
      </c>
      <c r="D5322" s="9" t="s">
        <v>26</v>
      </c>
      <c r="E5322" s="10" t="n">
        <v>1789</v>
      </c>
      <c r="F5322" s="9" t="s">
        <v>27</v>
      </c>
      <c r="G5322" s="9" t="s">
        <v>27</v>
      </c>
      <c r="H5322" s="11" t="n">
        <v>20</v>
      </c>
      <c r="I5322" s="11" t="s">
        <v>130</v>
      </c>
      <c r="J5322" s="14" t="n">
        <v>170</v>
      </c>
      <c r="K5322" s="14"/>
      <c r="L5322" s="16"/>
      <c r="M5322" s="27" t="n">
        <f aca="false">J5322+(K5322/20)+(L5322/240)</f>
        <v>170</v>
      </c>
      <c r="N5322" s="17" t="s">
        <v>64</v>
      </c>
      <c r="O5322" s="11"/>
      <c r="P5322" s="28"/>
      <c r="Q5322" s="28" t="n">
        <f aca="false">P5322*$M5322</f>
        <v>0</v>
      </c>
      <c r="R5322" s="28"/>
      <c r="S5322" s="28" t="n">
        <f aca="false">R5322*$M5322</f>
        <v>0</v>
      </c>
      <c r="T5322" s="28" t="n">
        <f aca="false">488/100</f>
        <v>4.88</v>
      </c>
      <c r="U5322" s="28" t="n">
        <v>830</v>
      </c>
      <c r="V5322" s="28"/>
      <c r="W5322" s="28" t="n">
        <f aca="false">V5322*$M5322</f>
        <v>0</v>
      </c>
      <c r="X5322" s="28" t="n">
        <f aca="false">8480/100</f>
        <v>84.8</v>
      </c>
      <c r="Y5322" s="28" t="n">
        <v>14416</v>
      </c>
      <c r="Z5322" s="28"/>
      <c r="AA5322" s="28" t="n">
        <f aca="false">Z5322*$M5322</f>
        <v>0</v>
      </c>
      <c r="AB5322" s="28" t="n">
        <f aca="false">291/100</f>
        <v>2.91</v>
      </c>
      <c r="AC5322" s="28" t="n">
        <v>495</v>
      </c>
      <c r="AD5322" s="28"/>
      <c r="AE5322" s="28" t="n">
        <f aca="false">AD5322*$M5322</f>
        <v>0</v>
      </c>
      <c r="AF5322" s="28"/>
      <c r="AG5322" s="28" t="n">
        <f aca="false">AF5322*$M5322</f>
        <v>0</v>
      </c>
      <c r="AH5322" s="28"/>
      <c r="AI5322" s="28" t="n">
        <f aca="false">AH5322*$M5322</f>
        <v>0</v>
      </c>
      <c r="AJ5322" s="28"/>
      <c r="AK5322" s="28" t="n">
        <f aca="false">AJ5322*$M5322</f>
        <v>0</v>
      </c>
      <c r="AL5322" s="28"/>
      <c r="AM5322" s="28" t="n">
        <f aca="false">AL5322*$M5322</f>
        <v>0</v>
      </c>
      <c r="AN5322" s="28"/>
      <c r="AO5322" s="28" t="n">
        <f aca="false">AN5322*$M5322</f>
        <v>0</v>
      </c>
      <c r="AP5322" s="28"/>
      <c r="AQ5322" s="28" t="n">
        <f aca="false">AP5322*$M5322</f>
        <v>0</v>
      </c>
      <c r="AR5322" s="28"/>
      <c r="AS5322" s="28" t="n">
        <f aca="false">AR5322*$M5322</f>
        <v>0</v>
      </c>
      <c r="AT5322" s="28"/>
      <c r="AU5322" s="28" t="n">
        <f aca="false">AT5322*$M5322</f>
        <v>0</v>
      </c>
      <c r="AV5322" s="28"/>
      <c r="AW5322" s="28" t="n">
        <f aca="false">AV5322*$M5322</f>
        <v>0</v>
      </c>
      <c r="AX5322" s="28"/>
      <c r="AY5322" s="28" t="n">
        <f aca="false">AX5322*$M5322</f>
        <v>0</v>
      </c>
      <c r="AZ5322" s="30" t="n">
        <f aca="false">9259/100</f>
        <v>92.59</v>
      </c>
      <c r="BA5322" s="11" t="n">
        <v>15741</v>
      </c>
      <c r="BB5322" s="31" t="n">
        <f aca="false">SUM(Q5322,S5322,U5322,W5322,Y5322,AA5322,AC5322,AE5322,AG5322,AI5322,AK5322,AM5322,AO5322,AQ5322,AS5322,AU5322,AW5322,AY5322)</f>
        <v>15741</v>
      </c>
      <c r="BC5322" s="28" t="n">
        <f aca="false">BA5322-BB5322</f>
        <v>0</v>
      </c>
      <c r="BD5322" s="32" t="n">
        <f aca="false">SUM(P5322,R5322,T5322,V5322,X5322,Z5322,AB5322,AD5322,AF5322,AH5322,AJ5322,AL5322,AN5322,AP5322,AR5322,AT5322,AV5322,AX5322)</f>
        <v>92.59</v>
      </c>
      <c r="BE5322" s="33" t="n">
        <f aca="false">AZ5322-BD5322</f>
        <v>0</v>
      </c>
      <c r="BF5322" s="34" t="n">
        <f aca="false">BD5322*M5322</f>
        <v>15740.3</v>
      </c>
      <c r="BG5322" s="35" t="n">
        <f aca="false">BA5322-BF5322</f>
        <v>0.700000000002547</v>
      </c>
      <c r="BH5322" s="19" t="str">
        <f aca="false">IF(BG5322=0,"",IF(BG5322&lt;&gt;BA5322,"erreur de calcul",IF(BD5322&lt;&gt;0,"pas de prix",IF(M5322&lt;&gt; 0,"pas de quantité","pas de prix, ni de quantité"))))</f>
        <v>erreur de calcul</v>
      </c>
      <c r="BI5322" s="19"/>
    </row>
    <row r="5323" customFormat="false" ht="15" hidden="false" customHeight="false" outlineLevel="0" collapsed="false">
      <c r="A5323" s="0" t="n">
        <v>15</v>
      </c>
      <c r="B5323" s="8" t="s">
        <v>24</v>
      </c>
      <c r="C5323" s="9" t="s">
        <v>25</v>
      </c>
      <c r="D5323" s="9" t="s">
        <v>26</v>
      </c>
      <c r="E5323" s="10" t="n">
        <v>1789</v>
      </c>
      <c r="F5323" s="9" t="s">
        <v>27</v>
      </c>
      <c r="G5323" s="9" t="s">
        <v>27</v>
      </c>
      <c r="H5323" s="11" t="n">
        <v>20</v>
      </c>
      <c r="I5323" s="11" t="s">
        <v>131</v>
      </c>
      <c r="J5323" s="14"/>
      <c r="K5323" s="14" t="n">
        <v>55</v>
      </c>
      <c r="L5323" s="16"/>
      <c r="M5323" s="27" t="n">
        <f aca="false">J5323+(K5323/20)+(L5323/240)</f>
        <v>2.75</v>
      </c>
      <c r="N5323" s="17" t="s">
        <v>64</v>
      </c>
      <c r="O5323" s="11"/>
      <c r="P5323" s="28"/>
      <c r="Q5323" s="28" t="n">
        <f aca="false">P5323*$M5323</f>
        <v>0</v>
      </c>
      <c r="R5323" s="28"/>
      <c r="S5323" s="28" t="n">
        <f aca="false">R5323*$M5323</f>
        <v>0</v>
      </c>
      <c r="T5323" s="28"/>
      <c r="U5323" s="28" t="n">
        <f aca="false">T5323*$M5323</f>
        <v>0</v>
      </c>
      <c r="V5323" s="28"/>
      <c r="W5323" s="28" t="n">
        <f aca="false">V5323*$M5323</f>
        <v>0</v>
      </c>
      <c r="X5323" s="28" t="n">
        <f aca="false">3875617/100</f>
        <v>38756.17</v>
      </c>
      <c r="Y5323" s="28" t="n">
        <v>106579</v>
      </c>
      <c r="Z5323" s="28" t="n">
        <f aca="false">62500/100</f>
        <v>625</v>
      </c>
      <c r="AA5323" s="28" t="n">
        <v>1719</v>
      </c>
      <c r="AB5323" s="28" t="n">
        <f aca="false">360000/100</f>
        <v>3600</v>
      </c>
      <c r="AC5323" s="28" t="n">
        <v>9900</v>
      </c>
      <c r="AD5323" s="28"/>
      <c r="AE5323" s="28" t="n">
        <f aca="false">AD5323*$M5323</f>
        <v>0</v>
      </c>
      <c r="AF5323" s="28"/>
      <c r="AG5323" s="28" t="n">
        <f aca="false">AF5323*$M5323</f>
        <v>0</v>
      </c>
      <c r="AH5323" s="28"/>
      <c r="AI5323" s="28" t="n">
        <f aca="false">AH5323*$M5323</f>
        <v>0</v>
      </c>
      <c r="AJ5323" s="28"/>
      <c r="AK5323" s="28" t="n">
        <f aca="false">AJ5323*$M5323</f>
        <v>0</v>
      </c>
      <c r="AL5323" s="28"/>
      <c r="AM5323" s="28" t="n">
        <f aca="false">AL5323*$M5323</f>
        <v>0</v>
      </c>
      <c r="AN5323" s="28"/>
      <c r="AO5323" s="28" t="n">
        <f aca="false">AN5323*$M5323</f>
        <v>0</v>
      </c>
      <c r="AP5323" s="28"/>
      <c r="AQ5323" s="28" t="n">
        <f aca="false">AP5323*$M5323</f>
        <v>0</v>
      </c>
      <c r="AR5323" s="28"/>
      <c r="AS5323" s="28" t="n">
        <f aca="false">AR5323*$M5323</f>
        <v>0</v>
      </c>
      <c r="AT5323" s="28"/>
      <c r="AU5323" s="28" t="n">
        <f aca="false">AT5323*$M5323</f>
        <v>0</v>
      </c>
      <c r="AV5323" s="28"/>
      <c r="AW5323" s="28" t="n">
        <f aca="false">AV5323*$M5323</f>
        <v>0</v>
      </c>
      <c r="AX5323" s="28"/>
      <c r="AY5323" s="28" t="n">
        <f aca="false">AX5323*$M5323</f>
        <v>0</v>
      </c>
      <c r="AZ5323" s="30" t="n">
        <f aca="false">4298117/100</f>
        <v>42981.17</v>
      </c>
      <c r="BA5323" s="11" t="n">
        <v>118198</v>
      </c>
      <c r="BB5323" s="31" t="n">
        <f aca="false">SUM(Q5323,S5323,U5323,W5323,Y5323,AA5323,AC5323,AE5323,AG5323,AI5323,AK5323,AM5323,AO5323,AQ5323,AS5323,AU5323,AW5323,AY5323)</f>
        <v>118198</v>
      </c>
      <c r="BC5323" s="28" t="n">
        <f aca="false">BA5323-BB5323</f>
        <v>0</v>
      </c>
      <c r="BD5323" s="32" t="n">
        <f aca="false">SUM(P5323,R5323,T5323,V5323,X5323,Z5323,AB5323,AD5323,AF5323,AH5323,AJ5323,AL5323,AN5323,AP5323,AR5323,AT5323,AV5323,AX5323)</f>
        <v>42981.17</v>
      </c>
      <c r="BE5323" s="33" t="n">
        <f aca="false">AZ5323-BD5323</f>
        <v>0</v>
      </c>
      <c r="BF5323" s="34" t="n">
        <f aca="false">BD5323*M5323</f>
        <v>118198.2175</v>
      </c>
      <c r="BG5323" s="35" t="n">
        <f aca="false">BA5323-BF5323</f>
        <v>-0.217499999998836</v>
      </c>
      <c r="BH5323" s="19" t="str">
        <f aca="false">IF(BG5323=0,"",IF(BG5323&lt;&gt;BA5323,"erreur de calcul",IF(BD5323&lt;&gt;0,"pas de prix",IF(M5323&lt;&gt; 0,"pas de quantité","pas de prix, ni de quantité"))))</f>
        <v>erreur de calcul</v>
      </c>
      <c r="BI5323" s="19"/>
    </row>
    <row r="5324" customFormat="false" ht="15" hidden="false" customHeight="false" outlineLevel="0" collapsed="false">
      <c r="A5324" s="0" t="n">
        <v>16</v>
      </c>
      <c r="B5324" s="8" t="s">
        <v>24</v>
      </c>
      <c r="C5324" s="9" t="s">
        <v>25</v>
      </c>
      <c r="D5324" s="9" t="s">
        <v>26</v>
      </c>
      <c r="E5324" s="10" t="n">
        <v>1789</v>
      </c>
      <c r="F5324" s="9" t="s">
        <v>27</v>
      </c>
      <c r="G5324" s="9" t="s">
        <v>27</v>
      </c>
      <c r="H5324" s="11" t="n">
        <v>20</v>
      </c>
      <c r="I5324" s="11" t="s">
        <v>132</v>
      </c>
      <c r="J5324" s="14"/>
      <c r="K5324" s="14" t="n">
        <v>50</v>
      </c>
      <c r="L5324" s="16"/>
      <c r="M5324" s="27" t="n">
        <f aca="false">J5324+(K5324/20)+(L5324/240)</f>
        <v>2.5</v>
      </c>
      <c r="N5324" s="17" t="s">
        <v>64</v>
      </c>
      <c r="O5324" s="11"/>
      <c r="P5324" s="28"/>
      <c r="Q5324" s="28" t="n">
        <f aca="false">P5324*$M5324</f>
        <v>0</v>
      </c>
      <c r="R5324" s="28"/>
      <c r="S5324" s="28" t="n">
        <f aca="false">R5324*$M5324</f>
        <v>0</v>
      </c>
      <c r="T5324" s="28"/>
      <c r="U5324" s="28" t="n">
        <f aca="false">T5324*$M5324</f>
        <v>0</v>
      </c>
      <c r="V5324" s="28" t="n">
        <f aca="false">25000/100</f>
        <v>250</v>
      </c>
      <c r="W5324" s="28" t="n">
        <v>625</v>
      </c>
      <c r="X5324" s="28" t="n">
        <f aca="false">9335/100</f>
        <v>93.35</v>
      </c>
      <c r="Y5324" s="28" t="n">
        <v>233</v>
      </c>
      <c r="Z5324" s="28"/>
      <c r="AA5324" s="28" t="n">
        <f aca="false">Z5324*$M5324</f>
        <v>0</v>
      </c>
      <c r="AB5324" s="28"/>
      <c r="AC5324" s="28" t="n">
        <f aca="false">AB5324*$M5324</f>
        <v>0</v>
      </c>
      <c r="AD5324" s="28"/>
      <c r="AE5324" s="28" t="n">
        <f aca="false">AD5324*$M5324</f>
        <v>0</v>
      </c>
      <c r="AF5324" s="28"/>
      <c r="AG5324" s="28" t="n">
        <f aca="false">AF5324*$M5324</f>
        <v>0</v>
      </c>
      <c r="AH5324" s="28"/>
      <c r="AI5324" s="28" t="n">
        <f aca="false">AH5324*$M5324</f>
        <v>0</v>
      </c>
      <c r="AJ5324" s="28"/>
      <c r="AK5324" s="28" t="n">
        <f aca="false">AJ5324*$M5324</f>
        <v>0</v>
      </c>
      <c r="AL5324" s="28"/>
      <c r="AM5324" s="28" t="n">
        <f aca="false">AL5324*$M5324</f>
        <v>0</v>
      </c>
      <c r="AN5324" s="28"/>
      <c r="AO5324" s="28" t="n">
        <f aca="false">AN5324*$M5324</f>
        <v>0</v>
      </c>
      <c r="AP5324" s="28"/>
      <c r="AQ5324" s="28" t="n">
        <f aca="false">AP5324*$M5324</f>
        <v>0</v>
      </c>
      <c r="AR5324" s="28"/>
      <c r="AS5324" s="28" t="n">
        <f aca="false">AR5324*$M5324</f>
        <v>0</v>
      </c>
      <c r="AT5324" s="28"/>
      <c r="AU5324" s="28" t="n">
        <f aca="false">AT5324*$M5324</f>
        <v>0</v>
      </c>
      <c r="AV5324" s="28"/>
      <c r="AW5324" s="28" t="n">
        <f aca="false">AV5324*$M5324</f>
        <v>0</v>
      </c>
      <c r="AX5324" s="28"/>
      <c r="AY5324" s="28" t="n">
        <f aca="false">AX5324*$M5324</f>
        <v>0</v>
      </c>
      <c r="AZ5324" s="30" t="n">
        <f aca="false">34335/100</f>
        <v>343.35</v>
      </c>
      <c r="BA5324" s="11" t="n">
        <v>858</v>
      </c>
      <c r="BB5324" s="31" t="n">
        <f aca="false">SUM(Q5324,S5324,U5324,W5324,Y5324,AA5324,AC5324,AE5324,AG5324,AI5324,AK5324,AM5324,AO5324,AQ5324,AS5324,AU5324,AW5324,AY5324)</f>
        <v>858</v>
      </c>
      <c r="BC5324" s="28" t="n">
        <f aca="false">BA5324-BB5324</f>
        <v>0</v>
      </c>
      <c r="BD5324" s="32" t="n">
        <f aca="false">SUM(P5324,R5324,T5324,V5324,X5324,Z5324,AB5324,AD5324,AF5324,AH5324,AJ5324,AL5324,AN5324,AP5324,AR5324,AT5324,AV5324,AX5324)</f>
        <v>343.35</v>
      </c>
      <c r="BE5324" s="33" t="n">
        <f aca="false">AZ5324-BD5324</f>
        <v>0</v>
      </c>
      <c r="BF5324" s="34" t="n">
        <f aca="false">BD5324*M5324</f>
        <v>858.375</v>
      </c>
      <c r="BG5324" s="35" t="n">
        <f aca="false">BA5324-BF5324</f>
        <v>-0.375</v>
      </c>
      <c r="BH5324" s="19" t="str">
        <f aca="false">IF(BG5324=0,"",IF(BG5324&lt;&gt;BA5324,"erreur de calcul",IF(BD5324&lt;&gt;0,"pas de prix",IF(M5324&lt;&gt; 0,"pas de quantité","pas de prix, ni de quantité"))))</f>
        <v>erreur de calcul</v>
      </c>
      <c r="BI5324" s="19"/>
    </row>
    <row r="5325" customFormat="false" ht="15" hidden="false" customHeight="false" outlineLevel="0" collapsed="false">
      <c r="A5325" s="0" t="n">
        <v>17</v>
      </c>
      <c r="B5325" s="8" t="s">
        <v>24</v>
      </c>
      <c r="C5325" s="9" t="s">
        <v>25</v>
      </c>
      <c r="D5325" s="9" t="s">
        <v>26</v>
      </c>
      <c r="E5325" s="10" t="n">
        <v>1789</v>
      </c>
      <c r="F5325" s="9" t="s">
        <v>27</v>
      </c>
      <c r="G5325" s="9" t="s">
        <v>27</v>
      </c>
      <c r="H5325" s="11" t="n">
        <v>20</v>
      </c>
      <c r="I5325" s="11" t="s">
        <v>133</v>
      </c>
      <c r="J5325" s="14" t="n">
        <v>175</v>
      </c>
      <c r="K5325" s="14"/>
      <c r="L5325" s="16"/>
      <c r="M5325" s="27" t="n">
        <f aca="false">J5325+(K5325/20)+(L5325/240)</f>
        <v>175</v>
      </c>
      <c r="N5325" s="17" t="s">
        <v>64</v>
      </c>
      <c r="O5325" s="11"/>
      <c r="P5325" s="28" t="n">
        <f aca="false">84/100</f>
        <v>0.84</v>
      </c>
      <c r="Q5325" s="28" t="n">
        <v>147</v>
      </c>
      <c r="R5325" s="28"/>
      <c r="S5325" s="28" t="n">
        <f aca="false">R5325*$M5325</f>
        <v>0</v>
      </c>
      <c r="T5325" s="28"/>
      <c r="U5325" s="28" t="n">
        <f aca="false">T5325*$M5325</f>
        <v>0</v>
      </c>
      <c r="V5325" s="28" t="n">
        <f aca="false">124/100</f>
        <v>1.24</v>
      </c>
      <c r="W5325" s="28" t="n">
        <v>217</v>
      </c>
      <c r="X5325" s="28" t="n">
        <f aca="false">6034/100</f>
        <v>60.34</v>
      </c>
      <c r="Y5325" s="28" t="n">
        <v>10559</v>
      </c>
      <c r="Z5325" s="28" t="n">
        <f aca="false">147/100</f>
        <v>1.47</v>
      </c>
      <c r="AA5325" s="28" t="n">
        <v>257</v>
      </c>
      <c r="AB5325" s="28" t="n">
        <f aca="false">195/100</f>
        <v>1.95</v>
      </c>
      <c r="AC5325" s="28" t="n">
        <v>341</v>
      </c>
      <c r="AD5325" s="28"/>
      <c r="AE5325" s="28" t="n">
        <f aca="false">AD5325*$M5325</f>
        <v>0</v>
      </c>
      <c r="AF5325" s="28"/>
      <c r="AG5325" s="28" t="n">
        <f aca="false">AF5325*$M5325</f>
        <v>0</v>
      </c>
      <c r="AH5325" s="28"/>
      <c r="AI5325" s="28" t="n">
        <f aca="false">AH5325*$M5325</f>
        <v>0</v>
      </c>
      <c r="AJ5325" s="28"/>
      <c r="AK5325" s="28" t="n">
        <f aca="false">AJ5325*$M5325</f>
        <v>0</v>
      </c>
      <c r="AL5325" s="28"/>
      <c r="AM5325" s="28" t="n">
        <f aca="false">AL5325*$M5325</f>
        <v>0</v>
      </c>
      <c r="AN5325" s="28"/>
      <c r="AO5325" s="28" t="n">
        <f aca="false">AN5325*$M5325</f>
        <v>0</v>
      </c>
      <c r="AP5325" s="28"/>
      <c r="AQ5325" s="28" t="n">
        <f aca="false">AP5325*$M5325</f>
        <v>0</v>
      </c>
      <c r="AR5325" s="28"/>
      <c r="AS5325" s="28" t="n">
        <f aca="false">AR5325*$M5325</f>
        <v>0</v>
      </c>
      <c r="AT5325" s="28"/>
      <c r="AU5325" s="28" t="n">
        <f aca="false">AT5325*$M5325</f>
        <v>0</v>
      </c>
      <c r="AV5325" s="28"/>
      <c r="AW5325" s="28" t="n">
        <f aca="false">AV5325*$M5325</f>
        <v>0</v>
      </c>
      <c r="AX5325" s="28"/>
      <c r="AY5325" s="28" t="n">
        <f aca="false">AX5325*$M5325</f>
        <v>0</v>
      </c>
      <c r="AZ5325" s="30" t="n">
        <f aca="false">6584/100</f>
        <v>65.84</v>
      </c>
      <c r="BA5325" s="11" t="n">
        <v>11521</v>
      </c>
      <c r="BB5325" s="31" t="n">
        <f aca="false">SUM(Q5325,S5325,U5325,W5325,Y5325,AA5325,AC5325,AE5325,AG5325,AI5325,AK5325,AM5325,AO5325,AQ5325,AS5325,AU5325,AW5325,AY5325)</f>
        <v>11521</v>
      </c>
      <c r="BC5325" s="28" t="n">
        <f aca="false">BA5325-BB5325</f>
        <v>0</v>
      </c>
      <c r="BD5325" s="32" t="n">
        <f aca="false">SUM(P5325,R5325,T5325,V5325,X5325,Z5325,AB5325,AD5325,AF5325,AH5325,AJ5325,AL5325,AN5325,AP5325,AR5325,AT5325,AV5325,AX5325)</f>
        <v>65.84</v>
      </c>
      <c r="BE5325" s="33" t="n">
        <f aca="false">AZ5325-BD5325</f>
        <v>0</v>
      </c>
      <c r="BF5325" s="34" t="n">
        <f aca="false">BD5325*M5325</f>
        <v>11522</v>
      </c>
      <c r="BG5325" s="35" t="n">
        <f aca="false">BA5325-BF5325</f>
        <v>-1</v>
      </c>
      <c r="BH5325" s="19" t="str">
        <f aca="false">IF(BG5325=0,"",IF(BG5325&lt;&gt;BA5325,"erreur de calcul",IF(BD5325&lt;&gt;0,"pas de prix",IF(M5325&lt;&gt; 0,"pas de quantité","pas de prix, ni de quantité"))))</f>
        <v>erreur de calcul</v>
      </c>
      <c r="BI5325" s="19"/>
    </row>
    <row r="5326" customFormat="false" ht="15" hidden="false" customHeight="false" outlineLevel="0" collapsed="false">
      <c r="A5326" s="0" t="n">
        <v>18</v>
      </c>
      <c r="B5326" s="8" t="s">
        <v>24</v>
      </c>
      <c r="C5326" s="9" t="s">
        <v>25</v>
      </c>
      <c r="D5326" s="9" t="s">
        <v>26</v>
      </c>
      <c r="E5326" s="10" t="n">
        <v>1789</v>
      </c>
      <c r="F5326" s="9" t="s">
        <v>27</v>
      </c>
      <c r="G5326" s="9" t="s">
        <v>27</v>
      </c>
      <c r="H5326" s="11" t="n">
        <v>20</v>
      </c>
      <c r="I5326" s="11" t="s">
        <v>134</v>
      </c>
      <c r="J5326" s="14" t="n">
        <v>210</v>
      </c>
      <c r="K5326" s="14"/>
      <c r="L5326" s="16"/>
      <c r="M5326" s="27" t="n">
        <f aca="false">J5326+(K5326/20)+(L5326/240)</f>
        <v>210</v>
      </c>
      <c r="N5326" s="17" t="s">
        <v>64</v>
      </c>
      <c r="O5326" s="11"/>
      <c r="P5326" s="28"/>
      <c r="Q5326" s="28" t="n">
        <f aca="false">P5326*$M5326</f>
        <v>0</v>
      </c>
      <c r="R5326" s="28"/>
      <c r="S5326" s="28" t="n">
        <f aca="false">R5326*$M5326</f>
        <v>0</v>
      </c>
      <c r="T5326" s="28"/>
      <c r="U5326" s="28" t="n">
        <f aca="false">T5326*$M5326</f>
        <v>0</v>
      </c>
      <c r="V5326" s="28" t="n">
        <f aca="false">869/100</f>
        <v>8.69</v>
      </c>
      <c r="W5326" s="28" t="n">
        <v>1825</v>
      </c>
      <c r="X5326" s="28"/>
      <c r="Y5326" s="28" t="n">
        <f aca="false">X5326*$M5326</f>
        <v>0</v>
      </c>
      <c r="Z5326" s="28"/>
      <c r="AA5326" s="28" t="n">
        <f aca="false">Z5326*$M5326</f>
        <v>0</v>
      </c>
      <c r="AB5326" s="28"/>
      <c r="AC5326" s="28" t="n">
        <f aca="false">AB5326*$M5326</f>
        <v>0</v>
      </c>
      <c r="AD5326" s="28"/>
      <c r="AE5326" s="28" t="n">
        <f aca="false">AD5326*$M5326</f>
        <v>0</v>
      </c>
      <c r="AF5326" s="28"/>
      <c r="AG5326" s="28" t="n">
        <f aca="false">AF5326*$M5326</f>
        <v>0</v>
      </c>
      <c r="AH5326" s="28"/>
      <c r="AI5326" s="28" t="n">
        <f aca="false">AH5326*$M5326</f>
        <v>0</v>
      </c>
      <c r="AJ5326" s="28"/>
      <c r="AK5326" s="28" t="n">
        <f aca="false">AJ5326*$M5326</f>
        <v>0</v>
      </c>
      <c r="AL5326" s="28"/>
      <c r="AM5326" s="28" t="n">
        <f aca="false">AL5326*$M5326</f>
        <v>0</v>
      </c>
      <c r="AN5326" s="28"/>
      <c r="AO5326" s="28" t="n">
        <f aca="false">AN5326*$M5326</f>
        <v>0</v>
      </c>
      <c r="AP5326" s="28"/>
      <c r="AQ5326" s="28" t="n">
        <f aca="false">AP5326*$M5326</f>
        <v>0</v>
      </c>
      <c r="AR5326" s="28"/>
      <c r="AS5326" s="28" t="n">
        <f aca="false">AR5326*$M5326</f>
        <v>0</v>
      </c>
      <c r="AT5326" s="28"/>
      <c r="AU5326" s="28" t="n">
        <f aca="false">AT5326*$M5326</f>
        <v>0</v>
      </c>
      <c r="AV5326" s="28"/>
      <c r="AW5326" s="28" t="n">
        <f aca="false">AV5326*$M5326</f>
        <v>0</v>
      </c>
      <c r="AX5326" s="28"/>
      <c r="AY5326" s="28" t="n">
        <f aca="false">AX5326*$M5326</f>
        <v>0</v>
      </c>
      <c r="AZ5326" s="30" t="n">
        <f aca="false">869/100</f>
        <v>8.69</v>
      </c>
      <c r="BA5326" s="11" t="n">
        <v>1825</v>
      </c>
      <c r="BB5326" s="31" t="n">
        <f aca="false">SUM(Q5326,S5326,U5326,W5326,Y5326,AA5326,AC5326,AE5326,AG5326,AI5326,AK5326,AM5326,AO5326,AQ5326,AS5326,AU5326,AW5326,AY5326)</f>
        <v>1825</v>
      </c>
      <c r="BC5326" s="28" t="n">
        <f aca="false">BA5326-BB5326</f>
        <v>0</v>
      </c>
      <c r="BD5326" s="32" t="n">
        <f aca="false">SUM(P5326,R5326,T5326,V5326,X5326,Z5326,AB5326,AD5326,AF5326,AH5326,AJ5326,AL5326,AN5326,AP5326,AR5326,AT5326,AV5326,AX5326)</f>
        <v>8.69</v>
      </c>
      <c r="BE5326" s="33" t="n">
        <f aca="false">AZ5326-BD5326</f>
        <v>0</v>
      </c>
      <c r="BF5326" s="34" t="n">
        <f aca="false">BD5326*M5326</f>
        <v>1824.9</v>
      </c>
      <c r="BG5326" s="35" t="n">
        <f aca="false">BA5326-BF5326</f>
        <v>0.100000000000136</v>
      </c>
      <c r="BH5326" s="19" t="str">
        <f aca="false">IF(BG5326=0,"",IF(BG5326&lt;&gt;BA5326,"erreur de calcul",IF(BD5326&lt;&gt;0,"pas de prix",IF(M5326&lt;&gt; 0,"pas de quantité","pas de prix, ni de quantité"))))</f>
        <v>erreur de calcul</v>
      </c>
      <c r="BI5326" s="19"/>
    </row>
    <row r="5327" customFormat="false" ht="15" hidden="false" customHeight="false" outlineLevel="0" collapsed="false">
      <c r="A5327" s="0" t="n">
        <v>19</v>
      </c>
      <c r="B5327" s="8" t="s">
        <v>24</v>
      </c>
      <c r="C5327" s="9" t="s">
        <v>25</v>
      </c>
      <c r="D5327" s="9" t="s">
        <v>26</v>
      </c>
      <c r="E5327" s="10" t="n">
        <v>1789</v>
      </c>
      <c r="F5327" s="9" t="s">
        <v>27</v>
      </c>
      <c r="G5327" s="9" t="s">
        <v>27</v>
      </c>
      <c r="H5327" s="11" t="n">
        <v>20</v>
      </c>
      <c r="I5327" s="11" t="s">
        <v>135</v>
      </c>
      <c r="J5327" s="14" t="n">
        <v>170</v>
      </c>
      <c r="K5327" s="14"/>
      <c r="L5327" s="16"/>
      <c r="M5327" s="27" t="n">
        <f aca="false">J5327+(K5327/20)+(L5327/240)</f>
        <v>170</v>
      </c>
      <c r="N5327" s="17" t="s">
        <v>64</v>
      </c>
      <c r="O5327" s="11" t="s">
        <v>77</v>
      </c>
      <c r="P5327" s="28"/>
      <c r="Q5327" s="28" t="n">
        <f aca="false">P5327*$M5327</f>
        <v>0</v>
      </c>
      <c r="R5327" s="28"/>
      <c r="S5327" s="28" t="n">
        <f aca="false">R5327*$M5327</f>
        <v>0</v>
      </c>
      <c r="T5327" s="28"/>
      <c r="U5327" s="28" t="n">
        <f aca="false">T5327*$M5327</f>
        <v>0</v>
      </c>
      <c r="V5327" s="28"/>
      <c r="W5327" s="28" t="n">
        <f aca="false">V5327*$M5327</f>
        <v>0</v>
      </c>
      <c r="X5327" s="28"/>
      <c r="Y5327" s="28" t="n">
        <f aca="false">X5327*$M5327</f>
        <v>0</v>
      </c>
      <c r="Z5327" s="28"/>
      <c r="AA5327" s="28" t="n">
        <f aca="false">Z5327*$M5327</f>
        <v>0</v>
      </c>
      <c r="AB5327" s="28"/>
      <c r="AC5327" s="28" t="n">
        <f aca="false">AB5327*$M5327</f>
        <v>0</v>
      </c>
      <c r="AD5327" s="28"/>
      <c r="AE5327" s="28" t="n">
        <f aca="false">AD5327*$M5327</f>
        <v>0</v>
      </c>
      <c r="AF5327" s="28" t="n">
        <f aca="false">229459/100</f>
        <v>2294.59</v>
      </c>
      <c r="AG5327" s="28" t="n">
        <v>390080</v>
      </c>
      <c r="AH5327" s="28" t="n">
        <f aca="false">202301/100</f>
        <v>2023.01</v>
      </c>
      <c r="AI5327" s="28" t="n">
        <v>343912</v>
      </c>
      <c r="AJ5327" s="28"/>
      <c r="AK5327" s="28" t="n">
        <f aca="false">AJ5327*$M5327</f>
        <v>0</v>
      </c>
      <c r="AL5327" s="28"/>
      <c r="AM5327" s="28" t="n">
        <f aca="false">AL5327*$M5327</f>
        <v>0</v>
      </c>
      <c r="AN5327" s="28"/>
      <c r="AO5327" s="28" t="n">
        <f aca="false">AN5327*$M5327</f>
        <v>0</v>
      </c>
      <c r="AP5327" s="28"/>
      <c r="AQ5327" s="28" t="n">
        <f aca="false">AP5327*$M5327</f>
        <v>0</v>
      </c>
      <c r="AR5327" s="28"/>
      <c r="AS5327" s="28" t="n">
        <f aca="false">AR5327*$M5327</f>
        <v>0</v>
      </c>
      <c r="AT5327" s="28"/>
      <c r="AU5327" s="28" t="n">
        <f aca="false">AT5327*$M5327</f>
        <v>0</v>
      </c>
      <c r="AV5327" s="28"/>
      <c r="AW5327" s="28" t="n">
        <f aca="false">AV5327*$M5327</f>
        <v>0</v>
      </c>
      <c r="AX5327" s="28" t="n">
        <f aca="false">2736/100</f>
        <v>27.36</v>
      </c>
      <c r="AY5327" s="28" t="n">
        <v>4651</v>
      </c>
      <c r="AZ5327" s="30" t="n">
        <f aca="false">434496/100</f>
        <v>4344.96</v>
      </c>
      <c r="BA5327" s="11" t="n">
        <v>738643</v>
      </c>
      <c r="BB5327" s="31" t="n">
        <f aca="false">SUM(Q5327,S5327,U5327,W5327,Y5327,AA5327,AC5327,AE5327,AG5327,AI5327,AK5327,AM5327,AO5327,AQ5327,AS5327,AU5327,AW5327,AY5327)</f>
        <v>738643</v>
      </c>
      <c r="BC5327" s="28" t="n">
        <f aca="false">BA5327-BB5327</f>
        <v>0</v>
      </c>
      <c r="BD5327" s="32" t="n">
        <f aca="false">SUM(P5327,R5327,T5327,V5327,X5327,Z5327,AB5327,AD5327,AF5327,AH5327,AJ5327,AL5327,AN5327,AP5327,AR5327,AT5327,AV5327,AX5327)</f>
        <v>4344.96</v>
      </c>
      <c r="BE5327" s="33" t="n">
        <f aca="false">AZ5327-BD5327</f>
        <v>0</v>
      </c>
      <c r="BF5327" s="34" t="n">
        <f aca="false">BD5327*M5327</f>
        <v>738643.2</v>
      </c>
      <c r="BG5327" s="35" t="n">
        <f aca="false">BA5327-BF5327</f>
        <v>-0.199999999953434</v>
      </c>
      <c r="BH5327" s="19" t="str">
        <f aca="false">IF(BG5327=0,"",IF(BG5327&lt;&gt;BA5327,"erreur de calcul",IF(BD5327&lt;&gt;0,"pas de prix",IF(M5327&lt;&gt; 0,"pas de quantité","pas de prix, ni de quantité"))))</f>
        <v>erreur de calcul</v>
      </c>
      <c r="BI5327" s="19"/>
    </row>
    <row r="5328" customFormat="false" ht="15" hidden="false" customHeight="false" outlineLevel="0" collapsed="false">
      <c r="A5328" s="0" t="n">
        <v>20</v>
      </c>
      <c r="B5328" s="8" t="s">
        <v>24</v>
      </c>
      <c r="C5328" s="9" t="s">
        <v>25</v>
      </c>
      <c r="D5328" s="9" t="s">
        <v>26</v>
      </c>
      <c r="E5328" s="10" t="n">
        <v>1789</v>
      </c>
      <c r="F5328" s="9" t="s">
        <v>27</v>
      </c>
      <c r="G5328" s="9" t="s">
        <v>27</v>
      </c>
      <c r="H5328" s="11" t="n">
        <v>20</v>
      </c>
      <c r="I5328" s="11" t="s">
        <v>136</v>
      </c>
      <c r="J5328" s="14" t="n">
        <v>41</v>
      </c>
      <c r="K5328" s="14"/>
      <c r="L5328" s="16"/>
      <c r="M5328" s="27" t="n">
        <f aca="false">J5328+(K5328/20)+(L5328/240)</f>
        <v>41</v>
      </c>
      <c r="N5328" s="17" t="s">
        <v>64</v>
      </c>
      <c r="O5328" s="11"/>
      <c r="P5328" s="28" t="n">
        <f aca="false">1210/100</f>
        <v>12.1</v>
      </c>
      <c r="Q5328" s="28" t="n">
        <v>496</v>
      </c>
      <c r="R5328" s="28"/>
      <c r="S5328" s="28" t="n">
        <f aca="false">R5328*$M5328</f>
        <v>0</v>
      </c>
      <c r="T5328" s="28"/>
      <c r="U5328" s="28" t="n">
        <f aca="false">T5328*$M5328</f>
        <v>0</v>
      </c>
      <c r="V5328" s="28"/>
      <c r="W5328" s="28" t="n">
        <f aca="false">V5328*$M5328</f>
        <v>0</v>
      </c>
      <c r="X5328" s="28"/>
      <c r="Y5328" s="28" t="n">
        <f aca="false">X5328*$M5328</f>
        <v>0</v>
      </c>
      <c r="Z5328" s="28"/>
      <c r="AA5328" s="28" t="n">
        <f aca="false">Z5328*$M5328</f>
        <v>0</v>
      </c>
      <c r="AB5328" s="28"/>
      <c r="AC5328" s="28" t="n">
        <f aca="false">AB5328*$M5328</f>
        <v>0</v>
      </c>
      <c r="AD5328" s="28"/>
      <c r="AE5328" s="28" t="n">
        <f aca="false">AD5328*$M5328</f>
        <v>0</v>
      </c>
      <c r="AF5328" s="28"/>
      <c r="AG5328" s="28" t="n">
        <f aca="false">AF5328*$M5328</f>
        <v>0</v>
      </c>
      <c r="AH5328" s="28"/>
      <c r="AI5328" s="28" t="n">
        <f aca="false">AH5328*$M5328</f>
        <v>0</v>
      </c>
      <c r="AJ5328" s="28" t="n">
        <f aca="false">85034/100</f>
        <v>850.34</v>
      </c>
      <c r="AK5328" s="28" t="n">
        <v>34864</v>
      </c>
      <c r="AL5328" s="28" t="n">
        <f aca="false">1024/100</f>
        <v>10.24</v>
      </c>
      <c r="AM5328" s="28" t="n">
        <v>420</v>
      </c>
      <c r="AN5328" s="28"/>
      <c r="AO5328" s="28" t="n">
        <f aca="false">AN5328*$M5328</f>
        <v>0</v>
      </c>
      <c r="AP5328" s="28"/>
      <c r="AQ5328" s="28" t="n">
        <f aca="false">AP5328*$M5328</f>
        <v>0</v>
      </c>
      <c r="AR5328" s="28"/>
      <c r="AS5328" s="28" t="n">
        <f aca="false">AR5328*$M5328</f>
        <v>0</v>
      </c>
      <c r="AT5328" s="28"/>
      <c r="AU5328" s="28" t="n">
        <f aca="false">AT5328*$M5328</f>
        <v>0</v>
      </c>
      <c r="AV5328" s="28"/>
      <c r="AW5328" s="28" t="n">
        <f aca="false">AV5328*$M5328</f>
        <v>0</v>
      </c>
      <c r="AX5328" s="28"/>
      <c r="AY5328" s="28" t="n">
        <f aca="false">AX5328*$M5328</f>
        <v>0</v>
      </c>
      <c r="AZ5328" s="30" t="n">
        <f aca="false">87268/100</f>
        <v>872.68</v>
      </c>
      <c r="BA5328" s="11" t="n">
        <v>35780</v>
      </c>
      <c r="BB5328" s="31" t="n">
        <f aca="false">SUM(Q5328,S5328,U5328,W5328,Y5328,AA5328,AC5328,AE5328,AG5328,AI5328,AK5328,AM5328,AO5328,AQ5328,AS5328,AU5328,AW5328,AY5328)</f>
        <v>35780</v>
      </c>
      <c r="BC5328" s="28" t="n">
        <f aca="false">BA5328-BB5328</f>
        <v>0</v>
      </c>
      <c r="BD5328" s="32" t="n">
        <f aca="false">SUM(P5328,R5328,T5328,V5328,X5328,Z5328,AB5328,AD5328,AF5328,AH5328,AJ5328,AL5328,AN5328,AP5328,AR5328,AT5328,AV5328,AX5328)</f>
        <v>872.68</v>
      </c>
      <c r="BE5328" s="33" t="n">
        <f aca="false">AZ5328-BD5328</f>
        <v>0</v>
      </c>
      <c r="BF5328" s="34" t="n">
        <f aca="false">BD5328*M5328</f>
        <v>35779.88</v>
      </c>
      <c r="BG5328" s="35" t="n">
        <f aca="false">BA5328-BF5328</f>
        <v>0.119999999995343</v>
      </c>
      <c r="BH5328" s="19" t="str">
        <f aca="false">IF(BG5328=0,"",IF(BG5328&lt;&gt;BA5328,"erreur de calcul",IF(BD5328&lt;&gt;0,"pas de prix",IF(M5328&lt;&gt; 0,"pas de quantité","pas de prix, ni de quantité"))))</f>
        <v>erreur de calcul</v>
      </c>
      <c r="BI5328" s="19"/>
    </row>
    <row r="5329" customFormat="false" ht="15" hidden="false" customHeight="false" outlineLevel="0" collapsed="false">
      <c r="A5329" s="0" t="n">
        <v>21</v>
      </c>
      <c r="B5329" s="8" t="s">
        <v>24</v>
      </c>
      <c r="C5329" s="9" t="s">
        <v>25</v>
      </c>
      <c r="D5329" s="9" t="s">
        <v>26</v>
      </c>
      <c r="E5329" s="10" t="n">
        <v>1789</v>
      </c>
      <c r="F5329" s="9" t="s">
        <v>27</v>
      </c>
      <c r="G5329" s="9" t="s">
        <v>27</v>
      </c>
      <c r="H5329" s="11" t="n">
        <v>20</v>
      </c>
      <c r="I5329" s="11" t="s">
        <v>137</v>
      </c>
      <c r="J5329" s="14"/>
      <c r="K5329" s="14"/>
      <c r="L5329" s="16"/>
      <c r="M5329" s="27" t="n">
        <f aca="false">J5329+(K5329/20)+(L5329/240)</f>
        <v>0</v>
      </c>
      <c r="N5329" s="39" t="s">
        <v>138</v>
      </c>
      <c r="O5329" s="11"/>
      <c r="P5329" s="28" t="n">
        <v>337</v>
      </c>
      <c r="Q5329" s="28" t="n">
        <v>6250</v>
      </c>
      <c r="R5329" s="28"/>
      <c r="S5329" s="28" t="n">
        <f aca="false">R5329*$M5329</f>
        <v>0</v>
      </c>
      <c r="T5329" s="28"/>
      <c r="U5329" s="28" t="n">
        <f aca="false">T5329*$M5329</f>
        <v>0</v>
      </c>
      <c r="V5329" s="28" t="n">
        <v>760</v>
      </c>
      <c r="W5329" s="28" t="n">
        <v>18259</v>
      </c>
      <c r="X5329" s="28"/>
      <c r="Y5329" s="28" t="n">
        <f aca="false">X5329*$M5329</f>
        <v>0</v>
      </c>
      <c r="Z5329" s="28"/>
      <c r="AA5329" s="28" t="n">
        <f aca="false">Z5329*$M5329</f>
        <v>0</v>
      </c>
      <c r="AB5329" s="28"/>
      <c r="AC5329" s="28" t="n">
        <f aca="false">AB5329*$M5329</f>
        <v>0</v>
      </c>
      <c r="AD5329" s="28"/>
      <c r="AE5329" s="28" t="n">
        <f aca="false">AD5329*$M5329</f>
        <v>0</v>
      </c>
      <c r="AF5329" s="28"/>
      <c r="AG5329" s="28" t="n">
        <f aca="false">AF5329*$M5329</f>
        <v>0</v>
      </c>
      <c r="AH5329" s="28"/>
      <c r="AI5329" s="28" t="n">
        <f aca="false">AH5329*$M5329</f>
        <v>0</v>
      </c>
      <c r="AJ5329" s="28"/>
      <c r="AK5329" s="28" t="n">
        <f aca="false">AJ5329*$M5329</f>
        <v>0</v>
      </c>
      <c r="AL5329" s="28"/>
      <c r="AM5329" s="28" t="n">
        <f aca="false">AL5329*$M5329</f>
        <v>0</v>
      </c>
      <c r="AN5329" s="28"/>
      <c r="AO5329" s="28" t="n">
        <f aca="false">AN5329*$M5329</f>
        <v>0</v>
      </c>
      <c r="AP5329" s="28"/>
      <c r="AQ5329" s="28" t="n">
        <f aca="false">AP5329*$M5329</f>
        <v>0</v>
      </c>
      <c r="AR5329" s="28"/>
      <c r="AS5329" s="28" t="n">
        <f aca="false">AR5329*$M5329</f>
        <v>0</v>
      </c>
      <c r="AT5329" s="28"/>
      <c r="AU5329" s="28" t="n">
        <f aca="false">AT5329*$M5329</f>
        <v>0</v>
      </c>
      <c r="AV5329" s="28"/>
      <c r="AW5329" s="28" t="n">
        <f aca="false">AV5329*$M5329</f>
        <v>0</v>
      </c>
      <c r="AX5329" s="28"/>
      <c r="AY5329" s="28" t="n">
        <f aca="false">AX5329*$M5329</f>
        <v>0</v>
      </c>
      <c r="AZ5329" s="30" t="n">
        <f aca="false">1097</f>
        <v>1097</v>
      </c>
      <c r="BA5329" s="11" t="n">
        <v>24509</v>
      </c>
      <c r="BB5329" s="31" t="n">
        <f aca="false">SUM(Q5329,S5329,U5329,W5329,Y5329,AA5329,AC5329,AE5329,AG5329,AI5329,AK5329,AM5329,AO5329,AQ5329,AS5329,AU5329,AW5329,AY5329)</f>
        <v>24509</v>
      </c>
      <c r="BC5329" s="28" t="n">
        <f aca="false">BA5329-BB5329</f>
        <v>0</v>
      </c>
      <c r="BD5329" s="32" t="n">
        <f aca="false">SUM(P5329,R5329,T5329,V5329,X5329,Z5329,AB5329,AD5329,AF5329,AH5329,AJ5329,AL5329,AN5329,AP5329,AR5329,AT5329,AV5329,AX5329)</f>
        <v>1097</v>
      </c>
      <c r="BE5329" s="33" t="n">
        <f aca="false">AZ5329-BD5329</f>
        <v>0</v>
      </c>
      <c r="BF5329" s="34" t="n">
        <f aca="false">BD5329*M5329</f>
        <v>0</v>
      </c>
      <c r="BG5329" s="35" t="n">
        <f aca="false">BA5329-BF5329</f>
        <v>24509</v>
      </c>
      <c r="BH5329" s="19" t="str">
        <f aca="false">IF(BG5329=0,"",IF(BG5329&lt;&gt;BA5329,"erreur de calcul",IF(BD5329&lt;&gt;0,"pas de prix",IF(M5329&lt;&gt; 0,"pas de quantité","pas de prix, ni de quantité"))))</f>
        <v>pas de prix</v>
      </c>
      <c r="BI5329" s="19" t="s">
        <v>139</v>
      </c>
    </row>
    <row r="5330" customFormat="false" ht="15" hidden="false" customHeight="false" outlineLevel="0" collapsed="false">
      <c r="A5330" s="0" t="n">
        <v>22</v>
      </c>
      <c r="B5330" s="8" t="s">
        <v>24</v>
      </c>
      <c r="C5330" s="9" t="s">
        <v>25</v>
      </c>
      <c r="D5330" s="9" t="s">
        <v>26</v>
      </c>
      <c r="E5330" s="10" t="n">
        <v>1789</v>
      </c>
      <c r="F5330" s="9" t="s">
        <v>27</v>
      </c>
      <c r="G5330" s="9" t="s">
        <v>27</v>
      </c>
      <c r="H5330" s="11" t="n">
        <v>20</v>
      </c>
      <c r="I5330" s="11" t="s">
        <v>140</v>
      </c>
      <c r="J5330" s="14" t="n">
        <v>28</v>
      </c>
      <c r="K5330" s="14"/>
      <c r="L5330" s="16"/>
      <c r="M5330" s="27" t="n">
        <f aca="false">J5330+(K5330/20)+(L5330/240)</f>
        <v>28</v>
      </c>
      <c r="N5330" s="17" t="s">
        <v>64</v>
      </c>
      <c r="O5330" s="11"/>
      <c r="P5330" s="28"/>
      <c r="Q5330" s="28" t="n">
        <f aca="false">P5330*$M5330</f>
        <v>0</v>
      </c>
      <c r="R5330" s="28"/>
      <c r="S5330" s="28" t="n">
        <f aca="false">R5330*$M5330</f>
        <v>0</v>
      </c>
      <c r="T5330" s="28"/>
      <c r="U5330" s="28" t="n">
        <f aca="false">T5330*$M5330</f>
        <v>0</v>
      </c>
      <c r="V5330" s="28"/>
      <c r="W5330" s="28" t="n">
        <f aca="false">V5330*$M5330</f>
        <v>0</v>
      </c>
      <c r="X5330" s="28" t="n">
        <f aca="false">2572/100</f>
        <v>25.72</v>
      </c>
      <c r="Y5330" s="28" t="n">
        <v>720</v>
      </c>
      <c r="Z5330" s="28"/>
      <c r="AA5330" s="28" t="n">
        <f aca="false">Z5330*$M5330</f>
        <v>0</v>
      </c>
      <c r="AB5330" s="28"/>
      <c r="AC5330" s="28" t="n">
        <f aca="false">AB5330*$M5330</f>
        <v>0</v>
      </c>
      <c r="AD5330" s="28"/>
      <c r="AE5330" s="28" t="n">
        <f aca="false">AD5330*$M5330</f>
        <v>0</v>
      </c>
      <c r="AF5330" s="28" t="n">
        <f aca="false">3367/100</f>
        <v>33.67</v>
      </c>
      <c r="AG5330" s="36" t="n">
        <v>915</v>
      </c>
      <c r="AH5330" s="28"/>
      <c r="AI5330" s="28" t="n">
        <f aca="false">AH5330*$M5330</f>
        <v>0</v>
      </c>
      <c r="AJ5330" s="28"/>
      <c r="AK5330" s="28" t="n">
        <f aca="false">AJ5330*$M5330</f>
        <v>0</v>
      </c>
      <c r="AL5330" s="28"/>
      <c r="AM5330" s="28" t="n">
        <f aca="false">AL5330*$M5330</f>
        <v>0</v>
      </c>
      <c r="AN5330" s="28"/>
      <c r="AO5330" s="28" t="n">
        <f aca="false">AN5330*$M5330</f>
        <v>0</v>
      </c>
      <c r="AP5330" s="28"/>
      <c r="AQ5330" s="28" t="n">
        <f aca="false">AP5330*$M5330</f>
        <v>0</v>
      </c>
      <c r="AR5330" s="28"/>
      <c r="AS5330" s="28" t="n">
        <f aca="false">AR5330*$M5330</f>
        <v>0</v>
      </c>
      <c r="AT5330" s="28"/>
      <c r="AU5330" s="28" t="n">
        <f aca="false">AT5330*$M5330</f>
        <v>0</v>
      </c>
      <c r="AV5330" s="28"/>
      <c r="AW5330" s="28" t="n">
        <f aca="false">AV5330*$M5330</f>
        <v>0</v>
      </c>
      <c r="AX5330" s="28"/>
      <c r="AY5330" s="28" t="n">
        <f aca="false">AX5330*$M5330</f>
        <v>0</v>
      </c>
      <c r="AZ5330" s="30" t="n">
        <f aca="false">5939/100</f>
        <v>59.39</v>
      </c>
      <c r="BA5330" s="11" t="n">
        <v>1635</v>
      </c>
      <c r="BB5330" s="31" t="n">
        <f aca="false">SUM(Q5330,S5330,U5330,W5330,Y5330,AA5330,AC5330,AE5330,AG5330,AI5330,AK5330,AM5330,AO5330,AQ5330,AS5330,AU5330,AW5330,AY5330)</f>
        <v>1635</v>
      </c>
      <c r="BC5330" s="28" t="n">
        <f aca="false">BA5330-BB5330</f>
        <v>0</v>
      </c>
      <c r="BD5330" s="32" t="n">
        <f aca="false">SUM(P5330,R5330,T5330,V5330,X5330,Z5330,AB5330,AD5330,AF5330,AH5330,AJ5330,AL5330,AN5330,AP5330,AR5330,AT5330,AV5330,AX5330)</f>
        <v>59.39</v>
      </c>
      <c r="BE5330" s="33" t="n">
        <f aca="false">AZ5330-BD5330</f>
        <v>0</v>
      </c>
      <c r="BF5330" s="34" t="n">
        <f aca="false">BD5330*M5330</f>
        <v>1662.92</v>
      </c>
      <c r="BG5330" s="35" t="n">
        <f aca="false">BA5330-BF5330</f>
        <v>-27.9200000000001</v>
      </c>
      <c r="BH5330" s="19" t="str">
        <f aca="false">IF(BG5330=0,"",IF(BG5330&lt;&gt;BA5330,"erreur de calcul",IF(BD5330&lt;&gt;0,"pas de prix",IF(M5330&lt;&gt; 0,"pas de quantité","pas de prix, ni de quantité"))))</f>
        <v>erreur de calcul</v>
      </c>
      <c r="BI5330" s="19"/>
    </row>
    <row r="5331" customFormat="false" ht="15" hidden="false" customHeight="false" outlineLevel="0" collapsed="false">
      <c r="A5331" s="0" t="n">
        <v>23</v>
      </c>
      <c r="B5331" s="8" t="s">
        <v>24</v>
      </c>
      <c r="C5331" s="9" t="s">
        <v>25</v>
      </c>
      <c r="D5331" s="9" t="s">
        <v>26</v>
      </c>
      <c r="E5331" s="10" t="n">
        <v>1789</v>
      </c>
      <c r="F5331" s="9" t="s">
        <v>27</v>
      </c>
      <c r="G5331" s="9" t="s">
        <v>27</v>
      </c>
      <c r="H5331" s="11" t="n">
        <v>20</v>
      </c>
      <c r="I5331" s="11" t="s">
        <v>141</v>
      </c>
      <c r="J5331" s="14" t="n">
        <v>50</v>
      </c>
      <c r="K5331" s="14"/>
      <c r="L5331" s="16"/>
      <c r="M5331" s="27" t="n">
        <f aca="false">J5331+(K5331/20)+(L5331/240)</f>
        <v>50</v>
      </c>
      <c r="N5331" s="17" t="s">
        <v>64</v>
      </c>
      <c r="O5331" s="11"/>
      <c r="P5331" s="28" t="n">
        <f aca="false">79168/100</f>
        <v>791.68</v>
      </c>
      <c r="Q5331" s="28" t="n">
        <v>39584</v>
      </c>
      <c r="R5331" s="28"/>
      <c r="S5331" s="28" t="n">
        <f aca="false">R5331*$M5331</f>
        <v>0</v>
      </c>
      <c r="T5331" s="28" t="n">
        <f aca="false">18545/100</f>
        <v>185.45</v>
      </c>
      <c r="U5331" s="28" t="n">
        <v>9272</v>
      </c>
      <c r="V5331" s="28" t="n">
        <f aca="false">10784/100</f>
        <v>107.84</v>
      </c>
      <c r="W5331" s="28" t="n">
        <v>5392</v>
      </c>
      <c r="X5331" s="28" t="n">
        <f aca="false">22033/100</f>
        <v>220.33</v>
      </c>
      <c r="Y5331" s="28" t="n">
        <v>11016</v>
      </c>
      <c r="Z5331" s="28" t="n">
        <f aca="false">4478/100</f>
        <v>44.78</v>
      </c>
      <c r="AA5331" s="28" t="n">
        <v>2239</v>
      </c>
      <c r="AB5331" s="28" t="n">
        <f aca="false">8901/100</f>
        <v>89.01</v>
      </c>
      <c r="AC5331" s="28" t="n">
        <v>4450</v>
      </c>
      <c r="AD5331" s="28"/>
      <c r="AE5331" s="28" t="n">
        <f aca="false">AD5331*$M5331</f>
        <v>0</v>
      </c>
      <c r="AF5331" s="28"/>
      <c r="AG5331" s="28" t="n">
        <f aca="false">AF5331*$M5331</f>
        <v>0</v>
      </c>
      <c r="AH5331" s="28"/>
      <c r="AI5331" s="28" t="n">
        <f aca="false">AH5331*$M5331</f>
        <v>0</v>
      </c>
      <c r="AJ5331" s="28" t="n">
        <f aca="false">2917/100</f>
        <v>29.17</v>
      </c>
      <c r="AK5331" s="28" t="n">
        <v>1458</v>
      </c>
      <c r="AL5331" s="28"/>
      <c r="AM5331" s="28" t="n">
        <f aca="false">AL5331*$M5331</f>
        <v>0</v>
      </c>
      <c r="AN5331" s="28"/>
      <c r="AO5331" s="28" t="n">
        <f aca="false">AN5331*$M5331</f>
        <v>0</v>
      </c>
      <c r="AP5331" s="28"/>
      <c r="AQ5331" s="28" t="n">
        <f aca="false">AP5331*$M5331</f>
        <v>0</v>
      </c>
      <c r="AR5331" s="28"/>
      <c r="AS5331" s="28" t="n">
        <f aca="false">AR5331*$M5331</f>
        <v>0</v>
      </c>
      <c r="AT5331" s="28"/>
      <c r="AU5331" s="28" t="n">
        <f aca="false">AT5331*$M5331</f>
        <v>0</v>
      </c>
      <c r="AV5331" s="28" t="n">
        <f aca="false">6667/100</f>
        <v>66.67</v>
      </c>
      <c r="AW5331" s="28" t="n">
        <v>3333</v>
      </c>
      <c r="AX5331" s="28"/>
      <c r="AY5331" s="28" t="n">
        <f aca="false">AX5331*$M5331</f>
        <v>0</v>
      </c>
      <c r="AZ5331" s="30" t="n">
        <f aca="false">153493/100</f>
        <v>1534.93</v>
      </c>
      <c r="BA5331" s="11" t="n">
        <v>76744</v>
      </c>
      <c r="BB5331" s="31" t="n">
        <f aca="false">SUM(Q5331,S5331,U5331,W5331,Y5331,AA5331,AC5331,AE5331,AG5331,AI5331,AK5331,AM5331,AO5331,AQ5331,AS5331,AU5331,AW5331,AY5331)</f>
        <v>76744</v>
      </c>
      <c r="BC5331" s="28" t="n">
        <f aca="false">BA5331-BB5331</f>
        <v>0</v>
      </c>
      <c r="BD5331" s="32" t="n">
        <f aca="false">SUM(P5331,R5331,T5331,V5331,X5331,Z5331,AB5331,AD5331,AF5331,AH5331,AJ5331,AL5331,AN5331,AP5331,AR5331,AT5331,AV5331,AX5331)</f>
        <v>1534.93</v>
      </c>
      <c r="BE5331" s="33" t="n">
        <f aca="false">AZ5331-BD5331</f>
        <v>0</v>
      </c>
      <c r="BF5331" s="34" t="n">
        <f aca="false">BD5331*M5331</f>
        <v>76746.5</v>
      </c>
      <c r="BG5331" s="35" t="n">
        <f aca="false">BA5331-BF5331</f>
        <v>-2.49999999998545</v>
      </c>
      <c r="BH5331" s="19" t="str">
        <f aca="false">IF(BG5331=0,"",IF(BG5331&lt;&gt;BA5331,"erreur de calcul",IF(BD5331&lt;&gt;0,"pas de prix",IF(M5331&lt;&gt; 0,"pas de quantité","pas de prix, ni de quantité"))))</f>
        <v>erreur de calcul</v>
      </c>
      <c r="BI5331" s="19"/>
    </row>
    <row r="5332" customFormat="false" ht="15" hidden="false" customHeight="false" outlineLevel="0" collapsed="false">
      <c r="A5332" s="0" t="n">
        <v>24</v>
      </c>
      <c r="B5332" s="8" t="s">
        <v>24</v>
      </c>
      <c r="C5332" s="9" t="s">
        <v>25</v>
      </c>
      <c r="D5332" s="9" t="s">
        <v>26</v>
      </c>
      <c r="E5332" s="10" t="n">
        <v>1789</v>
      </c>
      <c r="F5332" s="9" t="s">
        <v>27</v>
      </c>
      <c r="G5332" s="9" t="s">
        <v>27</v>
      </c>
      <c r="H5332" s="11" t="n">
        <v>20</v>
      </c>
      <c r="I5332" s="11" t="s">
        <v>142</v>
      </c>
      <c r="J5332" s="14" t="n">
        <v>12</v>
      </c>
      <c r="K5332" s="14"/>
      <c r="L5332" s="16"/>
      <c r="M5332" s="27" t="n">
        <f aca="false">J5332+(K5332/20)+(L5332/240)</f>
        <v>12</v>
      </c>
      <c r="N5332" s="17" t="s">
        <v>66</v>
      </c>
      <c r="O5332" s="11"/>
      <c r="P5332" s="28"/>
      <c r="Q5332" s="28" t="n">
        <f aca="false">P5332*$M5332</f>
        <v>0</v>
      </c>
      <c r="R5332" s="28"/>
      <c r="S5332" s="28" t="n">
        <f aca="false">R5332*$M5332</f>
        <v>0</v>
      </c>
      <c r="T5332" s="28"/>
      <c r="U5332" s="28" t="n">
        <f aca="false">T5332*$M5332</f>
        <v>0</v>
      </c>
      <c r="V5332" s="28"/>
      <c r="W5332" s="28" t="n">
        <f aca="false">V5332*$M5332</f>
        <v>0</v>
      </c>
      <c r="X5332" s="28"/>
      <c r="Y5332" s="28" t="n">
        <f aca="false">X5332*$M5332</f>
        <v>0</v>
      </c>
      <c r="Z5332" s="28" t="n">
        <v>21</v>
      </c>
      <c r="AA5332" s="28" t="n">
        <v>252</v>
      </c>
      <c r="AB5332" s="28" t="n">
        <v>672</v>
      </c>
      <c r="AC5332" s="28" t="n">
        <v>8064</v>
      </c>
      <c r="AD5332" s="28"/>
      <c r="AE5332" s="28" t="n">
        <f aca="false">AD5332*$M5332</f>
        <v>0</v>
      </c>
      <c r="AF5332" s="28"/>
      <c r="AG5332" s="28" t="n">
        <f aca="false">AF5332*$M5332</f>
        <v>0</v>
      </c>
      <c r="AH5332" s="28"/>
      <c r="AI5332" s="28" t="n">
        <f aca="false">AH5332*$M5332</f>
        <v>0</v>
      </c>
      <c r="AJ5332" s="28"/>
      <c r="AK5332" s="28" t="n">
        <f aca="false">AJ5332*$M5332</f>
        <v>0</v>
      </c>
      <c r="AL5332" s="28"/>
      <c r="AM5332" s="28" t="n">
        <f aca="false">AL5332*$M5332</f>
        <v>0</v>
      </c>
      <c r="AN5332" s="28"/>
      <c r="AO5332" s="28" t="n">
        <f aca="false">AN5332*$M5332</f>
        <v>0</v>
      </c>
      <c r="AP5332" s="28"/>
      <c r="AQ5332" s="28" t="n">
        <f aca="false">AP5332*$M5332</f>
        <v>0</v>
      </c>
      <c r="AR5332" s="28"/>
      <c r="AS5332" s="28" t="n">
        <f aca="false">AR5332*$M5332</f>
        <v>0</v>
      </c>
      <c r="AT5332" s="28"/>
      <c r="AU5332" s="28" t="n">
        <f aca="false">AT5332*$M5332</f>
        <v>0</v>
      </c>
      <c r="AV5332" s="28"/>
      <c r="AW5332" s="28" t="n">
        <f aca="false">AV5332*$M5332</f>
        <v>0</v>
      </c>
      <c r="AX5332" s="28"/>
      <c r="AY5332" s="28" t="n">
        <f aca="false">AX5332*$M5332</f>
        <v>0</v>
      </c>
      <c r="AZ5332" s="30" t="n">
        <v>693</v>
      </c>
      <c r="BA5332" s="11" t="n">
        <v>8316</v>
      </c>
      <c r="BB5332" s="31" t="n">
        <f aca="false">SUM(Q5332,S5332,U5332,W5332,Y5332,AA5332,AC5332,AE5332,AG5332,AI5332,AK5332,AM5332,AO5332,AQ5332,AS5332,AU5332,AW5332,AY5332)</f>
        <v>8316</v>
      </c>
      <c r="BC5332" s="28" t="n">
        <f aca="false">BA5332-BB5332</f>
        <v>0</v>
      </c>
      <c r="BD5332" s="32" t="n">
        <f aca="false">SUM(P5332,R5332,T5332,V5332,X5332,Z5332,AB5332,AD5332,AF5332,AH5332,AJ5332,AL5332,AN5332,AP5332,AR5332,AT5332,AV5332,AX5332)</f>
        <v>693</v>
      </c>
      <c r="BE5332" s="33" t="n">
        <f aca="false">AZ5332-BD5332</f>
        <v>0</v>
      </c>
      <c r="BF5332" s="34" t="n">
        <f aca="false">BD5332*M5332</f>
        <v>8316</v>
      </c>
      <c r="BG5332" s="35" t="n">
        <f aca="false">BA5332-BF5332</f>
        <v>0</v>
      </c>
      <c r="BH5332" s="19" t="str">
        <f aca="false">IF(BG5332=0,"",IF(BG5332&lt;&gt;BA5332,"erreur de calcul",IF(BD5332&lt;&gt;0,"pas de prix",IF(M5332&lt;&gt; 0,"pas de quantité","pas de prix, ni de quantité"))))</f>
        <v/>
      </c>
      <c r="BI5332" s="19"/>
    </row>
    <row r="5333" customFormat="false" ht="15" hidden="false" customHeight="false" outlineLevel="0" collapsed="false">
      <c r="A5333" s="0" t="n">
        <v>25</v>
      </c>
      <c r="B5333" s="8" t="s">
        <v>24</v>
      </c>
      <c r="C5333" s="9" t="s">
        <v>25</v>
      </c>
      <c r="D5333" s="9" t="s">
        <v>26</v>
      </c>
      <c r="E5333" s="10" t="n">
        <v>1789</v>
      </c>
      <c r="F5333" s="9" t="s">
        <v>27</v>
      </c>
      <c r="G5333" s="9" t="s">
        <v>27</v>
      </c>
      <c r="H5333" s="11" t="n">
        <v>20</v>
      </c>
      <c r="I5333" s="11" t="s">
        <v>143</v>
      </c>
      <c r="J5333" s="14" t="n">
        <v>8</v>
      </c>
      <c r="K5333" s="14"/>
      <c r="L5333" s="16"/>
      <c r="M5333" s="27" t="n">
        <f aca="false">J5333+(K5333/20)+(L5333/240)</f>
        <v>8</v>
      </c>
      <c r="N5333" s="17" t="s">
        <v>85</v>
      </c>
      <c r="O5333" s="11"/>
      <c r="P5333" s="28" t="n">
        <f aca="false">74969/100</f>
        <v>749.69</v>
      </c>
      <c r="Q5333" s="28" t="n">
        <v>5997</v>
      </c>
      <c r="R5333" s="28"/>
      <c r="S5333" s="28" t="n">
        <f aca="false">R5333*$M5333</f>
        <v>0</v>
      </c>
      <c r="T5333" s="28" t="n">
        <f aca="false">58256/100</f>
        <v>582.56</v>
      </c>
      <c r="U5333" s="28" t="n">
        <v>4660</v>
      </c>
      <c r="V5333" s="28" t="n">
        <f aca="false">14450/100</f>
        <v>144.5</v>
      </c>
      <c r="W5333" s="28" t="n">
        <v>1156</v>
      </c>
      <c r="X5333" s="28" t="n">
        <f aca="false">4397/100</f>
        <v>43.97</v>
      </c>
      <c r="Y5333" s="28" t="n">
        <v>352</v>
      </c>
      <c r="Z5333" s="28"/>
      <c r="AA5333" s="28" t="n">
        <f aca="false">Z5333*$M5333</f>
        <v>0</v>
      </c>
      <c r="AB5333" s="28" t="n">
        <f aca="false">6400/100</f>
        <v>64</v>
      </c>
      <c r="AC5333" s="28" t="n">
        <v>512</v>
      </c>
      <c r="AD5333" s="28" t="n">
        <f aca="false">19450/100</f>
        <v>194.5</v>
      </c>
      <c r="AE5333" s="28" t="n">
        <v>1556</v>
      </c>
      <c r="AF5333" s="28" t="n">
        <f aca="false">2496/100</f>
        <v>24.96</v>
      </c>
      <c r="AG5333" s="28" t="n">
        <v>200</v>
      </c>
      <c r="AH5333" s="28"/>
      <c r="AI5333" s="28" t="n">
        <f aca="false">AH5333*$M5333</f>
        <v>0</v>
      </c>
      <c r="AJ5333" s="28"/>
      <c r="AK5333" s="28" t="n">
        <f aca="false">AJ5333*$M5333</f>
        <v>0</v>
      </c>
      <c r="AL5333" s="28"/>
      <c r="AM5333" s="28" t="n">
        <f aca="false">AL5333*$M5333</f>
        <v>0</v>
      </c>
      <c r="AN5333" s="28"/>
      <c r="AO5333" s="28" t="n">
        <f aca="false">AN5333*$M5333</f>
        <v>0</v>
      </c>
      <c r="AP5333" s="28"/>
      <c r="AQ5333" s="28" t="n">
        <f aca="false">AP5333*$M5333</f>
        <v>0</v>
      </c>
      <c r="AR5333" s="28"/>
      <c r="AS5333" s="28" t="n">
        <f aca="false">AR5333*$M5333</f>
        <v>0</v>
      </c>
      <c r="AT5333" s="28"/>
      <c r="AU5333" s="28" t="n">
        <f aca="false">AT5333*$M5333</f>
        <v>0</v>
      </c>
      <c r="AV5333" s="28"/>
      <c r="AW5333" s="28" t="n">
        <f aca="false">AV5333*$M5333</f>
        <v>0</v>
      </c>
      <c r="AX5333" s="28"/>
      <c r="AY5333" s="28" t="n">
        <f aca="false">AX5333*$M5333</f>
        <v>0</v>
      </c>
      <c r="AZ5333" s="30" t="n">
        <f aca="false">180418/100</f>
        <v>1804.18</v>
      </c>
      <c r="BA5333" s="11" t="n">
        <v>14433</v>
      </c>
      <c r="BB5333" s="31" t="n">
        <f aca="false">SUM(Q5333,S5333,U5333,W5333,Y5333,AA5333,AC5333,AE5333,AG5333,AI5333,AK5333,AM5333,AO5333,AQ5333,AS5333,AU5333,AW5333,AY5333)</f>
        <v>14433</v>
      </c>
      <c r="BC5333" s="28" t="n">
        <f aca="false">BA5333-BB5333</f>
        <v>0</v>
      </c>
      <c r="BD5333" s="32" t="n">
        <f aca="false">SUM(P5333,R5333,T5333,V5333,X5333,Z5333,AB5333,AD5333,AF5333,AH5333,AJ5333,AL5333,AN5333,AP5333,AR5333,AT5333,AV5333,AX5333)</f>
        <v>1804.18</v>
      </c>
      <c r="BE5333" s="33" t="n">
        <f aca="false">AZ5333-BD5333</f>
        <v>0</v>
      </c>
      <c r="BF5333" s="34" t="n">
        <f aca="false">BD5333*M5333</f>
        <v>14433.44</v>
      </c>
      <c r="BG5333" s="35" t="n">
        <f aca="false">BA5333-BF5333</f>
        <v>-0.440000000000509</v>
      </c>
      <c r="BH5333" s="19" t="str">
        <f aca="false">IF(BG5333=0,"",IF(BG5333&lt;&gt;BA5333,"erreur de calcul",IF(BD5333&lt;&gt;0,"pas de prix",IF(M5333&lt;&gt; 0,"pas de quantité","pas de prix, ni de quantité"))))</f>
        <v>erreur de calcul</v>
      </c>
      <c r="BI5333" s="19"/>
    </row>
    <row r="5334" customFormat="false" ht="15" hidden="false" customHeight="false" outlineLevel="0" collapsed="false">
      <c r="A5334" s="0" t="n">
        <v>26</v>
      </c>
      <c r="B5334" s="8" t="s">
        <v>24</v>
      </c>
      <c r="C5334" s="9" t="s">
        <v>25</v>
      </c>
      <c r="D5334" s="9" t="s">
        <v>26</v>
      </c>
      <c r="E5334" s="10" t="n">
        <v>1789</v>
      </c>
      <c r="F5334" s="9" t="s">
        <v>27</v>
      </c>
      <c r="G5334" s="9" t="s">
        <v>27</v>
      </c>
      <c r="H5334" s="11" t="n">
        <v>20</v>
      </c>
      <c r="I5334" s="11" t="s">
        <v>144</v>
      </c>
      <c r="J5334" s="14" t="n">
        <v>3</v>
      </c>
      <c r="K5334" s="14"/>
      <c r="L5334" s="16"/>
      <c r="M5334" s="27" t="n">
        <f aca="false">J5334+(K5334/20)+(L5334/240)</f>
        <v>3</v>
      </c>
      <c r="N5334" s="17" t="s">
        <v>66</v>
      </c>
      <c r="O5334" s="11"/>
      <c r="P5334" s="28"/>
      <c r="Q5334" s="28" t="n">
        <f aca="false">P5334*$M5334</f>
        <v>0</v>
      </c>
      <c r="R5334" s="28"/>
      <c r="S5334" s="28" t="n">
        <f aca="false">R5334*$M5334</f>
        <v>0</v>
      </c>
      <c r="T5334" s="28" t="n">
        <v>24347</v>
      </c>
      <c r="U5334" s="28" t="n">
        <v>73041</v>
      </c>
      <c r="V5334" s="28" t="n">
        <v>2300</v>
      </c>
      <c r="W5334" s="28" t="n">
        <v>6900</v>
      </c>
      <c r="X5334" s="28" t="n">
        <v>152</v>
      </c>
      <c r="Y5334" s="28" t="n">
        <v>456</v>
      </c>
      <c r="Z5334" s="28"/>
      <c r="AA5334" s="28" t="n">
        <f aca="false">Z5334*$M5334</f>
        <v>0</v>
      </c>
      <c r="AB5334" s="28" t="n">
        <v>53940</v>
      </c>
      <c r="AC5334" s="28" t="n">
        <v>161820</v>
      </c>
      <c r="AD5334" s="28"/>
      <c r="AE5334" s="28" t="n">
        <f aca="false">AD5334*$M5334</f>
        <v>0</v>
      </c>
      <c r="AF5334" s="28"/>
      <c r="AG5334" s="28" t="n">
        <f aca="false">AF5334*$M5334</f>
        <v>0</v>
      </c>
      <c r="AH5334" s="28" t="n">
        <v>1668909</v>
      </c>
      <c r="AI5334" s="28" t="n">
        <v>5006727</v>
      </c>
      <c r="AJ5334" s="28"/>
      <c r="AK5334" s="28" t="n">
        <f aca="false">AJ5334*$M5334</f>
        <v>0</v>
      </c>
      <c r="AL5334" s="28"/>
      <c r="AM5334" s="28" t="n">
        <f aca="false">AL5334*$M5334</f>
        <v>0</v>
      </c>
      <c r="AN5334" s="28" t="n">
        <v>165</v>
      </c>
      <c r="AO5334" s="28" t="n">
        <v>495</v>
      </c>
      <c r="AP5334" s="28"/>
      <c r="AQ5334" s="28" t="n">
        <f aca="false">AP5334*$M5334</f>
        <v>0</v>
      </c>
      <c r="AR5334" s="28"/>
      <c r="AS5334" s="28" t="n">
        <f aca="false">AR5334*$M5334</f>
        <v>0</v>
      </c>
      <c r="AT5334" s="28"/>
      <c r="AU5334" s="28" t="n">
        <f aca="false">AT5334*$M5334</f>
        <v>0</v>
      </c>
      <c r="AV5334" s="28"/>
      <c r="AW5334" s="28" t="n">
        <f aca="false">AV5334*$M5334</f>
        <v>0</v>
      </c>
      <c r="AX5334" s="28"/>
      <c r="AY5334" s="28" t="n">
        <f aca="false">AX5334*$M5334</f>
        <v>0</v>
      </c>
      <c r="AZ5334" s="30" t="n">
        <v>1736540</v>
      </c>
      <c r="BA5334" s="11" t="n">
        <v>5249439</v>
      </c>
      <c r="BB5334" s="31" t="n">
        <f aca="false">SUM(Q5334,S5334,U5334,W5334,Y5334,AA5334,AC5334,AE5334,AG5334,AI5334,AK5334,AM5334,AO5334,AQ5334,AS5334,AU5334,AW5334,AY5334)</f>
        <v>5249439</v>
      </c>
      <c r="BC5334" s="28" t="n">
        <f aca="false">BA5334-BB5334</f>
        <v>0</v>
      </c>
      <c r="BD5334" s="32" t="n">
        <f aca="false">SUM(P5334,R5334,T5334,V5334,X5334,Z5334,AB5334,AD5334,AF5334,AH5334,AJ5334,AL5334,AN5334,AP5334,AR5334,AT5334,AV5334,AX5334)</f>
        <v>1749813</v>
      </c>
      <c r="BE5334" s="33" t="n">
        <f aca="false">AZ5334-BD5334</f>
        <v>-13273</v>
      </c>
      <c r="BF5334" s="34" t="n">
        <f aca="false">BD5334*M5334</f>
        <v>5249439</v>
      </c>
      <c r="BG5334" s="35" t="n">
        <f aca="false">BA5334-BF5334</f>
        <v>0</v>
      </c>
      <c r="BH5334" s="19" t="str">
        <f aca="false">IF(BG5334=0,"",IF(BG5334&lt;&gt;BA5334,"erreur de calcul",IF(BD5334&lt;&gt;0,"pas de prix",IF(M5334&lt;&gt; 0,"pas de quantité","pas de prix, ni de quantité"))))</f>
        <v/>
      </c>
      <c r="BI5334" s="19"/>
    </row>
    <row r="5335" customFormat="false" ht="15" hidden="false" customHeight="false" outlineLevel="0" collapsed="false">
      <c r="A5335" s="0" t="n">
        <v>27</v>
      </c>
      <c r="B5335" s="8" t="s">
        <v>24</v>
      </c>
      <c r="C5335" s="9" t="s">
        <v>25</v>
      </c>
      <c r="D5335" s="9" t="s">
        <v>26</v>
      </c>
      <c r="E5335" s="10" t="n">
        <v>1789</v>
      </c>
      <c r="F5335" s="9" t="s">
        <v>27</v>
      </c>
      <c r="G5335" s="9" t="s">
        <v>27</v>
      </c>
      <c r="H5335" s="11" t="n">
        <v>20</v>
      </c>
      <c r="I5335" s="11" t="s">
        <v>145</v>
      </c>
      <c r="J5335" s="14" t="n">
        <v>4</v>
      </c>
      <c r="K5335" s="14" t="n">
        <v>18</v>
      </c>
      <c r="L5335" s="16"/>
      <c r="M5335" s="27" t="n">
        <f aca="false">J5335+(K5335/20)+(L5335/240)</f>
        <v>4.9</v>
      </c>
      <c r="N5335" s="17" t="s">
        <v>66</v>
      </c>
      <c r="O5335" s="11"/>
      <c r="P5335" s="28"/>
      <c r="Q5335" s="28" t="n">
        <f aca="false">P5335*$M5335</f>
        <v>0</v>
      </c>
      <c r="R5335" s="28"/>
      <c r="S5335" s="28" t="n">
        <f aca="false">R5335*$M5335</f>
        <v>0</v>
      </c>
      <c r="T5335" s="28"/>
      <c r="U5335" s="28" t="n">
        <f aca="false">T5335*$M5335</f>
        <v>0</v>
      </c>
      <c r="V5335" s="28"/>
      <c r="W5335" s="28" t="n">
        <f aca="false">V5335*$M5335</f>
        <v>0</v>
      </c>
      <c r="X5335" s="28"/>
      <c r="Y5335" s="28" t="n">
        <f aca="false">X5335*$M5335</f>
        <v>0</v>
      </c>
      <c r="Z5335" s="28"/>
      <c r="AA5335" s="28" t="n">
        <f aca="false">Z5335*$M5335</f>
        <v>0</v>
      </c>
      <c r="AB5335" s="28"/>
      <c r="AC5335" s="28" t="n">
        <f aca="false">AB5335*$M5335</f>
        <v>0</v>
      </c>
      <c r="AD5335" s="28"/>
      <c r="AE5335" s="28" t="n">
        <f aca="false">AD5335*$M5335</f>
        <v>0</v>
      </c>
      <c r="AF5335" s="28"/>
      <c r="AG5335" s="28" t="n">
        <f aca="false">AF5335*$M5335</f>
        <v>0</v>
      </c>
      <c r="AH5335" s="28" t="n">
        <v>14916</v>
      </c>
      <c r="AI5335" s="28" t="n">
        <v>73088</v>
      </c>
      <c r="AJ5335" s="28"/>
      <c r="AK5335" s="28" t="n">
        <f aca="false">AJ5335*$M5335</f>
        <v>0</v>
      </c>
      <c r="AL5335" s="28"/>
      <c r="AM5335" s="28" t="n">
        <f aca="false">AL5335*$M5335</f>
        <v>0</v>
      </c>
      <c r="AN5335" s="28"/>
      <c r="AO5335" s="28" t="n">
        <f aca="false">AN5335*$M5335</f>
        <v>0</v>
      </c>
      <c r="AP5335" s="28"/>
      <c r="AQ5335" s="28" t="n">
        <f aca="false">AP5335*$M5335</f>
        <v>0</v>
      </c>
      <c r="AR5335" s="28"/>
      <c r="AS5335" s="28" t="n">
        <f aca="false">AR5335*$M5335</f>
        <v>0</v>
      </c>
      <c r="AT5335" s="28"/>
      <c r="AU5335" s="28" t="n">
        <f aca="false">AT5335*$M5335</f>
        <v>0</v>
      </c>
      <c r="AV5335" s="28"/>
      <c r="AW5335" s="28" t="n">
        <f aca="false">AV5335*$M5335</f>
        <v>0</v>
      </c>
      <c r="AX5335" s="28"/>
      <c r="AY5335" s="28" t="n">
        <f aca="false">AX5335*$M5335</f>
        <v>0</v>
      </c>
      <c r="AZ5335" s="30" t="n">
        <v>14916</v>
      </c>
      <c r="BA5335" s="11" t="n">
        <v>73088</v>
      </c>
      <c r="BB5335" s="31" t="n">
        <f aca="false">SUM(Q5335,S5335,U5335,W5335,Y5335,AA5335,AC5335,AE5335,AG5335,AI5335,AK5335,AM5335,AO5335,AQ5335,AS5335,AU5335,AW5335,AY5335)</f>
        <v>73088</v>
      </c>
      <c r="BC5335" s="28" t="n">
        <f aca="false">BA5335-BB5335</f>
        <v>0</v>
      </c>
      <c r="BD5335" s="32" t="n">
        <f aca="false">SUM(P5335,R5335,T5335,V5335,X5335,Z5335,AB5335,AD5335,AF5335,AH5335,AJ5335,AL5335,AN5335,AP5335,AR5335,AT5335,AV5335,AX5335)</f>
        <v>14916</v>
      </c>
      <c r="BE5335" s="33" t="n">
        <f aca="false">AZ5335-BD5335</f>
        <v>0</v>
      </c>
      <c r="BF5335" s="34" t="n">
        <f aca="false">BD5335*M5335</f>
        <v>73088.4</v>
      </c>
      <c r="BG5335" s="35" t="n">
        <f aca="false">BA5335-BF5335</f>
        <v>-0.400000000008731</v>
      </c>
      <c r="BH5335" s="19" t="str">
        <f aca="false">IF(BG5335=0,"",IF(BG5335&lt;&gt;BA5335,"erreur de calcul",IF(BD5335&lt;&gt;0,"pas de prix",IF(M5335&lt;&gt; 0,"pas de quantité","pas de prix, ni de quantité"))))</f>
        <v>erreur de calcul</v>
      </c>
      <c r="BI5335" s="19"/>
    </row>
    <row r="5336" customFormat="false" ht="15" hidden="false" customHeight="false" outlineLevel="0" collapsed="false">
      <c r="A5336" s="0" t="n">
        <v>28</v>
      </c>
      <c r="B5336" s="8" t="s">
        <v>24</v>
      </c>
      <c r="C5336" s="9" t="s">
        <v>25</v>
      </c>
      <c r="D5336" s="9" t="s">
        <v>26</v>
      </c>
      <c r="E5336" s="10" t="n">
        <v>1789</v>
      </c>
      <c r="F5336" s="9" t="s">
        <v>27</v>
      </c>
      <c r="G5336" s="9" t="s">
        <v>27</v>
      </c>
      <c r="H5336" s="11" t="n">
        <v>20</v>
      </c>
      <c r="I5336" s="11" t="s">
        <v>146</v>
      </c>
      <c r="J5336" s="14" t="n">
        <v>126</v>
      </c>
      <c r="K5336" s="14"/>
      <c r="L5336" s="16"/>
      <c r="M5336" s="27"/>
      <c r="N5336" s="17" t="s">
        <v>66</v>
      </c>
      <c r="O5336" s="11" t="s">
        <v>98</v>
      </c>
      <c r="P5336" s="28"/>
      <c r="Q5336" s="28" t="n">
        <f aca="false">P5336*$M5336</f>
        <v>0</v>
      </c>
      <c r="R5336" s="28" t="n">
        <v>82676</v>
      </c>
      <c r="S5336" s="28" t="n">
        <v>28572</v>
      </c>
      <c r="T5336" s="28"/>
      <c r="U5336" s="28" t="n">
        <f aca="false">T5336*$M5336</f>
        <v>0</v>
      </c>
      <c r="V5336" s="28"/>
      <c r="W5336" s="28" t="n">
        <f aca="false">V5336*$M5336</f>
        <v>0</v>
      </c>
      <c r="X5336" s="28"/>
      <c r="Y5336" s="28" t="n">
        <f aca="false">X5336*$M5336</f>
        <v>0</v>
      </c>
      <c r="Z5336" s="28"/>
      <c r="AA5336" s="28" t="n">
        <f aca="false">Z5336*$M5336</f>
        <v>0</v>
      </c>
      <c r="AB5336" s="28"/>
      <c r="AC5336" s="28" t="n">
        <f aca="false">AB5336*$M5336</f>
        <v>0</v>
      </c>
      <c r="AD5336" s="28"/>
      <c r="AE5336" s="28" t="n">
        <f aca="false">AD5336*$M5336</f>
        <v>0</v>
      </c>
      <c r="AF5336" s="28"/>
      <c r="AG5336" s="28" t="n">
        <f aca="false">AF5336*$M5336</f>
        <v>0</v>
      </c>
      <c r="AH5336" s="28" t="n">
        <v>6408925</v>
      </c>
      <c r="AI5336" s="28" t="n">
        <v>8075245</v>
      </c>
      <c r="AJ5336" s="28"/>
      <c r="AK5336" s="28" t="n">
        <f aca="false">AJ5336*$M5336</f>
        <v>0</v>
      </c>
      <c r="AL5336" s="28"/>
      <c r="AM5336" s="28" t="n">
        <f aca="false">AL5336*$M5336</f>
        <v>0</v>
      </c>
      <c r="AN5336" s="28"/>
      <c r="AO5336" s="28" t="n">
        <f aca="false">AN5336*$M5336</f>
        <v>0</v>
      </c>
      <c r="AP5336" s="28"/>
      <c r="AQ5336" s="28" t="n">
        <f aca="false">AP5336*$M5336</f>
        <v>0</v>
      </c>
      <c r="AR5336" s="28"/>
      <c r="AS5336" s="28" t="n">
        <f aca="false">AR5336*$M5336</f>
        <v>0</v>
      </c>
      <c r="AT5336" s="28"/>
      <c r="AU5336" s="28" t="n">
        <f aca="false">AT5336*$M5336</f>
        <v>0</v>
      </c>
      <c r="AV5336" s="28"/>
      <c r="AW5336" s="28" t="n">
        <f aca="false">AV5336*$M5336</f>
        <v>0</v>
      </c>
      <c r="AX5336" s="28"/>
      <c r="AY5336" s="28" t="n">
        <f aca="false">AX5336*$M5336</f>
        <v>0</v>
      </c>
      <c r="AZ5336" s="11" t="n">
        <v>6431601</v>
      </c>
      <c r="BA5336" s="11" t="n">
        <v>8103817</v>
      </c>
      <c r="BB5336" s="31" t="n">
        <f aca="false">SUM(Q5336,S5336,U5336,W5336,Y5336,AA5336,AC5336,AE5336,AG5336,AI5336,AK5336,AM5336,AO5336,AQ5336,AS5336,AU5336,AW5336,AY5336)</f>
        <v>8103817</v>
      </c>
      <c r="BC5336" s="28" t="n">
        <f aca="false">BA5336-BB5336</f>
        <v>0</v>
      </c>
      <c r="BD5336" s="32" t="n">
        <f aca="false">SUM(P5336,R5336,T5336,V5336,X5336,Z5336,AB5336,AD5336,AF5336,AH5336,AJ5336,AL5336,AN5336,AP5336,AR5336,AT5336,AV5336,AX5336)</f>
        <v>6491601</v>
      </c>
      <c r="BE5336" s="33" t="n">
        <f aca="false">AZ5336-BD5336</f>
        <v>-60000</v>
      </c>
      <c r="BF5336" s="34" t="n">
        <f aca="false">BD5336*M5336</f>
        <v>0</v>
      </c>
      <c r="BG5336" s="35" t="n">
        <f aca="false">BA5336-BF5336</f>
        <v>8103817</v>
      </c>
      <c r="BH5336" s="19" t="str">
        <f aca="false">IF(BG5336=0,"",IF(BG5336&lt;&gt;BA5336,"erreur de calcul",IF(BD5336&lt;&gt;0,"pas de prix",IF(M5336&lt;&gt; 0,"pas de quantité","pas de prix, ni de quantité"))))</f>
        <v>pas de prix</v>
      </c>
      <c r="BI5336" s="19" t="s">
        <v>147</v>
      </c>
    </row>
    <row r="5337" customFormat="false" ht="15" hidden="false" customHeight="false" outlineLevel="0" collapsed="false">
      <c r="A5337" s="0" t="n">
        <v>29</v>
      </c>
      <c r="B5337" s="8" t="s">
        <v>24</v>
      </c>
      <c r="C5337" s="9" t="s">
        <v>25</v>
      </c>
      <c r="D5337" s="9" t="s">
        <v>26</v>
      </c>
      <c r="E5337" s="10" t="n">
        <v>1789</v>
      </c>
      <c r="F5337" s="9" t="s">
        <v>27</v>
      </c>
      <c r="G5337" s="9" t="s">
        <v>27</v>
      </c>
      <c r="H5337" s="11" t="n">
        <v>20</v>
      </c>
      <c r="I5337" s="11" t="s">
        <v>148</v>
      </c>
      <c r="J5337" s="14"/>
      <c r="K5337" s="14" t="n">
        <v>20</v>
      </c>
      <c r="L5337" s="16"/>
      <c r="M5337" s="27" t="n">
        <f aca="false">J5337+(K5337/20)+(L5337/240)</f>
        <v>1</v>
      </c>
      <c r="N5337" s="17" t="s">
        <v>66</v>
      </c>
      <c r="O5337" s="11"/>
      <c r="P5337" s="28"/>
      <c r="Q5337" s="28" t="n">
        <f aca="false">P5337*$M5337</f>
        <v>0</v>
      </c>
      <c r="R5337" s="28"/>
      <c r="S5337" s="28" t="n">
        <f aca="false">R5337*$M5337</f>
        <v>0</v>
      </c>
      <c r="T5337" s="28" t="n">
        <v>392</v>
      </c>
      <c r="U5337" s="28" t="n">
        <v>392</v>
      </c>
      <c r="V5337" s="28"/>
      <c r="W5337" s="28" t="n">
        <f aca="false">V5337*$M5337</f>
        <v>0</v>
      </c>
      <c r="X5337" s="28"/>
      <c r="Y5337" s="28" t="n">
        <f aca="false">X5337*$M5337</f>
        <v>0</v>
      </c>
      <c r="Z5337" s="28"/>
      <c r="AA5337" s="28" t="n">
        <f aca="false">Z5337*$M5337</f>
        <v>0</v>
      </c>
      <c r="AB5337" s="28" t="n">
        <v>7596</v>
      </c>
      <c r="AC5337" s="28" t="n">
        <v>7596</v>
      </c>
      <c r="AD5337" s="28"/>
      <c r="AE5337" s="28" t="n">
        <f aca="false">AD5337*$M5337</f>
        <v>0</v>
      </c>
      <c r="AF5337" s="28"/>
      <c r="AG5337" s="28" t="n">
        <f aca="false">AF5337*$M5337</f>
        <v>0</v>
      </c>
      <c r="AH5337" s="28"/>
      <c r="AI5337" s="28" t="n">
        <f aca="false">AH5337*$M5337</f>
        <v>0</v>
      </c>
      <c r="AJ5337" s="28"/>
      <c r="AK5337" s="28" t="n">
        <f aca="false">AJ5337*$M5337</f>
        <v>0</v>
      </c>
      <c r="AL5337" s="28"/>
      <c r="AM5337" s="28" t="n">
        <f aca="false">AL5337*$M5337</f>
        <v>0</v>
      </c>
      <c r="AN5337" s="28"/>
      <c r="AO5337" s="28" t="n">
        <f aca="false">AN5337*$M5337</f>
        <v>0</v>
      </c>
      <c r="AP5337" s="28"/>
      <c r="AQ5337" s="28" t="n">
        <f aca="false">AP5337*$M5337</f>
        <v>0</v>
      </c>
      <c r="AR5337" s="28"/>
      <c r="AS5337" s="28" t="n">
        <f aca="false">AR5337*$M5337</f>
        <v>0</v>
      </c>
      <c r="AT5337" s="28"/>
      <c r="AU5337" s="28" t="n">
        <f aca="false">AT5337*$M5337</f>
        <v>0</v>
      </c>
      <c r="AV5337" s="28"/>
      <c r="AW5337" s="28" t="n">
        <f aca="false">AV5337*$M5337</f>
        <v>0</v>
      </c>
      <c r="AX5337" s="28"/>
      <c r="AY5337" s="28" t="n">
        <f aca="false">AX5337*$M5337</f>
        <v>0</v>
      </c>
      <c r="AZ5337" s="30" t="n">
        <v>7988</v>
      </c>
      <c r="BA5337" s="11" t="n">
        <v>7988</v>
      </c>
      <c r="BB5337" s="31" t="n">
        <f aca="false">SUM(Q5337,S5337,U5337,W5337,Y5337,AA5337,AC5337,AE5337,AG5337,AI5337,AK5337,AM5337,AO5337,AQ5337,AS5337,AU5337,AW5337,AY5337)</f>
        <v>7988</v>
      </c>
      <c r="BC5337" s="28" t="n">
        <f aca="false">BA5337-BB5337</f>
        <v>0</v>
      </c>
      <c r="BD5337" s="32" t="n">
        <f aca="false">SUM(P5337,R5337,T5337,V5337,X5337,Z5337,AB5337,AD5337,AF5337,AH5337,AJ5337,AL5337,AN5337,AP5337,AR5337,AT5337,AV5337,AX5337)</f>
        <v>7988</v>
      </c>
      <c r="BE5337" s="33" t="n">
        <f aca="false">AZ5337-BD5337</f>
        <v>0</v>
      </c>
      <c r="BF5337" s="34" t="n">
        <f aca="false">BD5337*M5337</f>
        <v>7988</v>
      </c>
      <c r="BG5337" s="35" t="n">
        <f aca="false">BA5337-BF5337</f>
        <v>0</v>
      </c>
      <c r="BH5337" s="19" t="str">
        <f aca="false">IF(BG5337=0,"",IF(BG5337&lt;&gt;BA5337,"erreur de calcul",IF(BD5337&lt;&gt;0,"pas de prix",IF(M5337&lt;&gt; 0,"pas de quantité","pas de prix, ni de quantité"))))</f>
        <v/>
      </c>
      <c r="BI5337" s="19"/>
    </row>
    <row r="5338" customFormat="false" ht="15" hidden="false" customHeight="false" outlineLevel="0" collapsed="false">
      <c r="A5338" s="0" t="n">
        <v>30</v>
      </c>
      <c r="B5338" s="8" t="s">
        <v>24</v>
      </c>
      <c r="C5338" s="9" t="s">
        <v>25</v>
      </c>
      <c r="D5338" s="9" t="s">
        <v>26</v>
      </c>
      <c r="E5338" s="10" t="n">
        <v>1789</v>
      </c>
      <c r="F5338" s="9" t="s">
        <v>27</v>
      </c>
      <c r="G5338" s="9" t="s">
        <v>27</v>
      </c>
      <c r="H5338" s="11" t="n">
        <v>20</v>
      </c>
      <c r="I5338" s="11" t="s">
        <v>149</v>
      </c>
      <c r="J5338" s="14" t="n">
        <v>70</v>
      </c>
      <c r="K5338" s="14"/>
      <c r="L5338" s="16"/>
      <c r="M5338" s="27" t="n">
        <f aca="false">J5338+(K5338/20)+(L5338/240)</f>
        <v>70</v>
      </c>
      <c r="N5338" s="17" t="s">
        <v>64</v>
      </c>
      <c r="O5338" s="11"/>
      <c r="P5338" s="28"/>
      <c r="Q5338" s="28" t="n">
        <f aca="false">P5338*$M5338</f>
        <v>0</v>
      </c>
      <c r="R5338" s="28"/>
      <c r="S5338" s="28" t="n">
        <f aca="false">R5338*$M5338</f>
        <v>0</v>
      </c>
      <c r="T5338" s="28"/>
      <c r="U5338" s="28" t="n">
        <f aca="false">T5338*$M5338</f>
        <v>0</v>
      </c>
      <c r="V5338" s="28"/>
      <c r="W5338" s="28" t="n">
        <f aca="false">V5338*$M5338</f>
        <v>0</v>
      </c>
      <c r="X5338" s="28" t="n">
        <f aca="false">1904/100</f>
        <v>19.04</v>
      </c>
      <c r="Y5338" s="28" t="n">
        <v>1333</v>
      </c>
      <c r="Z5338" s="28"/>
      <c r="AA5338" s="28" t="n">
        <f aca="false">Z5338*$M5338</f>
        <v>0</v>
      </c>
      <c r="AB5338" s="28" t="n">
        <f aca="false">51370/100</f>
        <v>513.7</v>
      </c>
      <c r="AC5338" s="28" t="n">
        <v>35959</v>
      </c>
      <c r="AD5338" s="28"/>
      <c r="AE5338" s="28" t="n">
        <f aca="false">AD5338*$M5338</f>
        <v>0</v>
      </c>
      <c r="AF5338" s="28" t="n">
        <f aca="false">8872/100</f>
        <v>88.72</v>
      </c>
      <c r="AG5338" s="28" t="n">
        <v>6210</v>
      </c>
      <c r="AH5338" s="28" t="n">
        <f aca="false">14751/100</f>
        <v>147.51</v>
      </c>
      <c r="AI5338" s="28" t="n">
        <v>10326</v>
      </c>
      <c r="AJ5338" s="28"/>
      <c r="AK5338" s="28" t="n">
        <f aca="false">AJ5338*$M5338</f>
        <v>0</v>
      </c>
      <c r="AL5338" s="28"/>
      <c r="AM5338" s="28" t="n">
        <f aca="false">AL5338*$M5338</f>
        <v>0</v>
      </c>
      <c r="AN5338" s="28"/>
      <c r="AO5338" s="28" t="n">
        <f aca="false">AN5338*$M5338</f>
        <v>0</v>
      </c>
      <c r="AP5338" s="28"/>
      <c r="AQ5338" s="28" t="n">
        <f aca="false">AP5338*$M5338</f>
        <v>0</v>
      </c>
      <c r="AR5338" s="28"/>
      <c r="AS5338" s="28" t="n">
        <f aca="false">AR5338*$M5338</f>
        <v>0</v>
      </c>
      <c r="AT5338" s="28"/>
      <c r="AU5338" s="28" t="n">
        <f aca="false">AT5338*$M5338</f>
        <v>0</v>
      </c>
      <c r="AV5338" s="28"/>
      <c r="AW5338" s="28" t="n">
        <f aca="false">AV5338*$M5338</f>
        <v>0</v>
      </c>
      <c r="AX5338" s="28"/>
      <c r="AY5338" s="28" t="n">
        <f aca="false">AX5338*$M5338</f>
        <v>0</v>
      </c>
      <c r="AZ5338" s="30" t="n">
        <f aca="false">76897/100</f>
        <v>768.97</v>
      </c>
      <c r="BA5338" s="11" t="n">
        <v>53828</v>
      </c>
      <c r="BB5338" s="31" t="n">
        <f aca="false">SUM(Q5338,S5338,U5338,W5338,Y5338,AA5338,AC5338,AE5338,AG5338,AI5338,AK5338,AM5338,AO5338,AQ5338,AS5338,AU5338,AW5338,AY5338)</f>
        <v>53828</v>
      </c>
      <c r="BC5338" s="28" t="n">
        <f aca="false">BA5338-BB5338</f>
        <v>0</v>
      </c>
      <c r="BD5338" s="32" t="n">
        <f aca="false">SUM(P5338,R5338,T5338,V5338,X5338,Z5338,AB5338,AD5338,AF5338,AH5338,AJ5338,AL5338,AN5338,AP5338,AR5338,AT5338,AV5338,AX5338)</f>
        <v>768.97</v>
      </c>
      <c r="BE5338" s="33" t="n">
        <f aca="false">AZ5338-BD5338</f>
        <v>0</v>
      </c>
      <c r="BF5338" s="34" t="n">
        <f aca="false">BD5338*M5338</f>
        <v>53827.9</v>
      </c>
      <c r="BG5338" s="35" t="n">
        <f aca="false">BA5338-BF5338</f>
        <v>0.0999999999985448</v>
      </c>
      <c r="BH5338" s="19" t="str">
        <f aca="false">IF(BG5338=0,"",IF(BG5338&lt;&gt;BA5338,"erreur de calcul",IF(BD5338&lt;&gt;0,"pas de prix",IF(M5338&lt;&gt; 0,"pas de quantité","pas de prix, ni de quantité"))))</f>
        <v>erreur de calcul</v>
      </c>
      <c r="BI5338" s="19"/>
    </row>
    <row r="5339" customFormat="false" ht="15" hidden="false" customHeight="false" outlineLevel="0" collapsed="false">
      <c r="A5339" s="0" t="n">
        <v>31</v>
      </c>
      <c r="B5339" s="8" t="s">
        <v>24</v>
      </c>
      <c r="C5339" s="9" t="s">
        <v>25</v>
      </c>
      <c r="D5339" s="9" t="s">
        <v>26</v>
      </c>
      <c r="E5339" s="10" t="n">
        <v>1789</v>
      </c>
      <c r="F5339" s="9" t="s">
        <v>27</v>
      </c>
      <c r="G5339" s="9" t="s">
        <v>27</v>
      </c>
      <c r="H5339" s="11" t="n">
        <v>20</v>
      </c>
      <c r="I5339" s="11" t="s">
        <v>150</v>
      </c>
      <c r="J5339" s="14" t="n">
        <v>70</v>
      </c>
      <c r="K5339" s="14"/>
      <c r="L5339" s="16"/>
      <c r="M5339" s="27" t="n">
        <f aca="false">J5339+(K5339/20)+(L5339/240)</f>
        <v>70</v>
      </c>
      <c r="N5339" s="17" t="s">
        <v>64</v>
      </c>
      <c r="O5339" s="11" t="s">
        <v>77</v>
      </c>
      <c r="P5339" s="28"/>
      <c r="Q5339" s="28" t="n">
        <f aca="false">P5339*$M5339</f>
        <v>0</v>
      </c>
      <c r="R5339" s="28"/>
      <c r="S5339" s="28" t="n">
        <f aca="false">R5339*$M5339</f>
        <v>0</v>
      </c>
      <c r="T5339" s="28"/>
      <c r="U5339" s="28" t="n">
        <f aca="false">T5339*$M5339</f>
        <v>0</v>
      </c>
      <c r="V5339" s="28"/>
      <c r="W5339" s="28" t="n">
        <f aca="false">V5339*$M5339</f>
        <v>0</v>
      </c>
      <c r="X5339" s="28"/>
      <c r="Y5339" s="28" t="n">
        <f aca="false">X5339*$M5339</f>
        <v>0</v>
      </c>
      <c r="Z5339" s="28"/>
      <c r="AA5339" s="28" t="n">
        <f aca="false">Z5339*$M5339</f>
        <v>0</v>
      </c>
      <c r="AB5339" s="28"/>
      <c r="AC5339" s="28" t="n">
        <f aca="false">AB5339*$M5339</f>
        <v>0</v>
      </c>
      <c r="AD5339" s="28"/>
      <c r="AE5339" s="28" t="n">
        <f aca="false">AD5339*$M5339</f>
        <v>0</v>
      </c>
      <c r="AF5339" s="28"/>
      <c r="AG5339" s="28" t="n">
        <f aca="false">AF5339*$M5339</f>
        <v>0</v>
      </c>
      <c r="AH5339" s="28"/>
      <c r="AI5339" s="28" t="n">
        <f aca="false">AH5339*$M5339</f>
        <v>0</v>
      </c>
      <c r="AJ5339" s="28"/>
      <c r="AK5339" s="28" t="n">
        <f aca="false">AJ5339*$M5339</f>
        <v>0</v>
      </c>
      <c r="AL5339" s="28"/>
      <c r="AM5339" s="28" t="n">
        <f aca="false">AL5339*$M5339</f>
        <v>0</v>
      </c>
      <c r="AN5339" s="28"/>
      <c r="AO5339" s="28" t="n">
        <f aca="false">AN5339*$M5339</f>
        <v>0</v>
      </c>
      <c r="AP5339" s="28"/>
      <c r="AQ5339" s="28" t="n">
        <f aca="false">AP5339*$M5339</f>
        <v>0</v>
      </c>
      <c r="AR5339" s="28"/>
      <c r="AS5339" s="28" t="n">
        <f aca="false">AR5339*$M5339</f>
        <v>0</v>
      </c>
      <c r="AT5339" s="28"/>
      <c r="AU5339" s="28" t="n">
        <f aca="false">AT5339*$M5339</f>
        <v>0</v>
      </c>
      <c r="AV5339" s="28"/>
      <c r="AW5339" s="28" t="n">
        <f aca="false">AV5339*$M5339</f>
        <v>0</v>
      </c>
      <c r="AX5339" s="28"/>
      <c r="AY5339" s="28" t="n">
        <f aca="false">AX5339*$M5339</f>
        <v>0</v>
      </c>
      <c r="AZ5339" s="30"/>
      <c r="BA5339" s="11"/>
      <c r="BB5339" s="31" t="n">
        <f aca="false">SUM(Q5339,S5339,U5339,W5339,Y5339,AA5339,AC5339,AE5339,AG5339,AI5339,AK5339,AM5339,AO5339,AQ5339,AS5339,AU5339,AW5339,AY5339)</f>
        <v>0</v>
      </c>
      <c r="BC5339" s="28" t="n">
        <f aca="false">BA5339-BB5339</f>
        <v>0</v>
      </c>
      <c r="BD5339" s="32" t="n">
        <f aca="false">SUM(P5339,R5339,T5339,V5339,X5339,Z5339,AB5339,AD5339,AF5339,AH5339,AJ5339,AL5339,AN5339,AP5339,AR5339,AT5339,AV5339,AX5339)</f>
        <v>0</v>
      </c>
      <c r="BE5339" s="33" t="n">
        <f aca="false">AZ5339-BD5339</f>
        <v>0</v>
      </c>
      <c r="BF5339" s="34" t="n">
        <f aca="false">BD5339*M5339</f>
        <v>0</v>
      </c>
      <c r="BG5339" s="35" t="n">
        <f aca="false">BA5339-BF5339</f>
        <v>0</v>
      </c>
      <c r="BH5339" s="19" t="str">
        <f aca="false">IF(BG5339=0,"",IF(BG5339&lt;&gt;BA5339,"erreur de calcul",IF(BD5339&lt;&gt;0,"pas de prix",IF(M5339&lt;&gt; 0,"pas de quantité","pas de prix, ni de quantité"))))</f>
        <v/>
      </c>
      <c r="BI5339" s="19"/>
    </row>
    <row r="5340" customFormat="false" ht="15" hidden="false" customHeight="false" outlineLevel="0" collapsed="false">
      <c r="A5340" s="0" t="n">
        <v>32</v>
      </c>
      <c r="B5340" s="8" t="s">
        <v>24</v>
      </c>
      <c r="C5340" s="9" t="s">
        <v>25</v>
      </c>
      <c r="D5340" s="9" t="s">
        <v>26</v>
      </c>
      <c r="E5340" s="10" t="n">
        <v>1789</v>
      </c>
      <c r="F5340" s="9" t="s">
        <v>27</v>
      </c>
      <c r="G5340" s="9" t="s">
        <v>27</v>
      </c>
      <c r="H5340" s="11" t="n">
        <v>20</v>
      </c>
      <c r="I5340" s="11" t="s">
        <v>150</v>
      </c>
      <c r="J5340" s="14" t="n">
        <v>70</v>
      </c>
      <c r="K5340" s="14"/>
      <c r="L5340" s="16"/>
      <c r="M5340" s="27" t="n">
        <f aca="false">J5340+(K5340/20)+(L5340/240)</f>
        <v>70</v>
      </c>
      <c r="N5340" s="17" t="s">
        <v>64</v>
      </c>
      <c r="O5340" s="11" t="s">
        <v>98</v>
      </c>
      <c r="P5340" s="28" t="n">
        <f aca="false">382028/100</f>
        <v>3820.28</v>
      </c>
      <c r="Q5340" s="28" t="n">
        <v>267420</v>
      </c>
      <c r="R5340" s="28" t="n">
        <f aca="false">131361/100</f>
        <v>1313.61</v>
      </c>
      <c r="S5340" s="28" t="n">
        <v>91953</v>
      </c>
      <c r="T5340" s="28" t="n">
        <f aca="false">8856/100</f>
        <v>88.56</v>
      </c>
      <c r="U5340" s="28" t="n">
        <v>6199</v>
      </c>
      <c r="V5340" s="28" t="n">
        <f aca="false">171125/100</f>
        <v>1711.25</v>
      </c>
      <c r="W5340" s="28" t="n">
        <v>119787</v>
      </c>
      <c r="X5340" s="28" t="n">
        <f aca="false">24259/100</f>
        <v>242.59</v>
      </c>
      <c r="Y5340" s="28" t="n">
        <v>16981</v>
      </c>
      <c r="Z5340" s="28"/>
      <c r="AA5340" s="28" t="n">
        <f aca="false">Z5340*$M5340</f>
        <v>0</v>
      </c>
      <c r="AB5340" s="28" t="n">
        <f aca="false">33694/100</f>
        <v>336.94</v>
      </c>
      <c r="AC5340" s="28" t="n">
        <v>23586</v>
      </c>
      <c r="AD5340" s="28" t="n">
        <f aca="false">89734/100</f>
        <v>897.34</v>
      </c>
      <c r="AE5340" s="28" t="n">
        <v>62814</v>
      </c>
      <c r="AF5340" s="28" t="n">
        <f aca="false">1955727/100</f>
        <v>19557.27</v>
      </c>
      <c r="AG5340" s="28" t="n">
        <v>1369009</v>
      </c>
      <c r="AH5340" s="28" t="n">
        <f aca="false">11740/100</f>
        <v>117.4</v>
      </c>
      <c r="AI5340" s="28" t="n">
        <v>8218</v>
      </c>
      <c r="AJ5340" s="28"/>
      <c r="AK5340" s="28" t="n">
        <f aca="false">AJ5340*$M5340</f>
        <v>0</v>
      </c>
      <c r="AL5340" s="28"/>
      <c r="AM5340" s="28" t="n">
        <f aca="false">AL5340*$M5340</f>
        <v>0</v>
      </c>
      <c r="AN5340" s="28"/>
      <c r="AO5340" s="28" t="n">
        <f aca="false">AN5340*$M5340</f>
        <v>0</v>
      </c>
      <c r="AP5340" s="28"/>
      <c r="AQ5340" s="28" t="n">
        <f aca="false">AP5340*$M5340</f>
        <v>0</v>
      </c>
      <c r="AR5340" s="28"/>
      <c r="AS5340" s="28" t="n">
        <f aca="false">AR5340*$M5340</f>
        <v>0</v>
      </c>
      <c r="AT5340" s="28"/>
      <c r="AU5340" s="28" t="n">
        <f aca="false">AT5340*$M5340</f>
        <v>0</v>
      </c>
      <c r="AV5340" s="28" t="n">
        <f aca="false">15000/100</f>
        <v>150</v>
      </c>
      <c r="AW5340" s="28" t="n">
        <v>10500</v>
      </c>
      <c r="AX5340" s="28"/>
      <c r="AY5340" s="28" t="n">
        <f aca="false">AX5340*$M5340</f>
        <v>0</v>
      </c>
      <c r="AZ5340" s="30" t="n">
        <f aca="false">2823524/100</f>
        <v>28235.24</v>
      </c>
      <c r="BA5340" s="11" t="n">
        <v>1976467</v>
      </c>
      <c r="BB5340" s="31" t="n">
        <f aca="false">SUM(Q5340,S5340,U5340,W5340,Y5340,AA5340,AC5340,AE5340,AG5340,AI5340,AK5340,AM5340,AO5340,AQ5340,AS5340,AU5340,AW5340,AY5340)</f>
        <v>1976467</v>
      </c>
      <c r="BC5340" s="28" t="n">
        <f aca="false">BA5340-BB5340</f>
        <v>0</v>
      </c>
      <c r="BD5340" s="32" t="n">
        <f aca="false">SUM(P5340,R5340,T5340,V5340,X5340,Z5340,AB5340,AD5340,AF5340,AH5340,AJ5340,AL5340,AN5340,AP5340,AR5340,AT5340,AV5340,AX5340)</f>
        <v>28235.24</v>
      </c>
      <c r="BE5340" s="33" t="n">
        <f aca="false">AZ5340-BD5340</f>
        <v>0</v>
      </c>
      <c r="BF5340" s="34" t="n">
        <f aca="false">BD5340*M5340</f>
        <v>1976466.8</v>
      </c>
      <c r="BG5340" s="35" t="n">
        <f aca="false">BA5340-BF5340</f>
        <v>0.199999999953434</v>
      </c>
      <c r="BH5340" s="19" t="str">
        <f aca="false">IF(BG5340=0,"",IF(BG5340&lt;&gt;BA5340,"erreur de calcul",IF(BD5340&lt;&gt;0,"pas de prix",IF(M5340&lt;&gt; 0,"pas de quantité","pas de prix, ni de quantité"))))</f>
        <v>erreur de calcul</v>
      </c>
      <c r="BI5340" s="19"/>
    </row>
    <row r="5341" customFormat="false" ht="15" hidden="false" customHeight="false" outlineLevel="0" collapsed="false">
      <c r="A5341" s="0" t="n">
        <v>33</v>
      </c>
      <c r="B5341" s="8" t="s">
        <v>24</v>
      </c>
      <c r="C5341" s="9" t="s">
        <v>25</v>
      </c>
      <c r="D5341" s="9" t="s">
        <v>26</v>
      </c>
      <c r="E5341" s="10" t="n">
        <v>1789</v>
      </c>
      <c r="F5341" s="9" t="s">
        <v>27</v>
      </c>
      <c r="G5341" s="9" t="s">
        <v>27</v>
      </c>
      <c r="H5341" s="11" t="n">
        <v>20</v>
      </c>
      <c r="I5341" s="11" t="s">
        <v>151</v>
      </c>
      <c r="J5341" s="14" t="n">
        <v>150</v>
      </c>
      <c r="K5341" s="14"/>
      <c r="L5341" s="16"/>
      <c r="M5341" s="27" t="n">
        <f aca="false">J5341+(K5341/20)+(L5341/240)</f>
        <v>150</v>
      </c>
      <c r="N5341" s="17" t="s">
        <v>64</v>
      </c>
      <c r="O5341" s="11"/>
      <c r="P5341" s="28"/>
      <c r="Q5341" s="28" t="n">
        <f aca="false">P5341*$M5341</f>
        <v>0</v>
      </c>
      <c r="R5341" s="28"/>
      <c r="S5341" s="28" t="n">
        <f aca="false">R5341*$M5341</f>
        <v>0</v>
      </c>
      <c r="T5341" s="28"/>
      <c r="U5341" s="28" t="n">
        <f aca="false">T5341*$M5341</f>
        <v>0</v>
      </c>
      <c r="V5341" s="28"/>
      <c r="W5341" s="28" t="n">
        <f aca="false">V5341*$M5341</f>
        <v>0</v>
      </c>
      <c r="X5341" s="28"/>
      <c r="Y5341" s="28" t="n">
        <f aca="false">X5341*$M5341</f>
        <v>0</v>
      </c>
      <c r="Z5341" s="28"/>
      <c r="AA5341" s="28" t="n">
        <f aca="false">Z5341*$M5341</f>
        <v>0</v>
      </c>
      <c r="AB5341" s="28"/>
      <c r="AC5341" s="28" t="n">
        <f aca="false">AB5341*$M5341</f>
        <v>0</v>
      </c>
      <c r="AD5341" s="28"/>
      <c r="AE5341" s="28" t="n">
        <f aca="false">AD5341*$M5341</f>
        <v>0</v>
      </c>
      <c r="AF5341" s="28"/>
      <c r="AG5341" s="28" t="n">
        <f aca="false">AF5341*$M5341</f>
        <v>0</v>
      </c>
      <c r="AH5341" s="28"/>
      <c r="AI5341" s="28" t="n">
        <f aca="false">AH5341*$M5341</f>
        <v>0</v>
      </c>
      <c r="AJ5341" s="28"/>
      <c r="AK5341" s="28" t="n">
        <f aca="false">AJ5341*$M5341</f>
        <v>0</v>
      </c>
      <c r="AL5341" s="28" t="n">
        <f aca="false">118785/100</f>
        <v>1187.85</v>
      </c>
      <c r="AM5341" s="28" t="n">
        <v>178177</v>
      </c>
      <c r="AN5341" s="28"/>
      <c r="AO5341" s="28" t="n">
        <f aca="false">AN5341*$M5341</f>
        <v>0</v>
      </c>
      <c r="AP5341" s="28"/>
      <c r="AQ5341" s="28" t="n">
        <f aca="false">AP5341*$M5341</f>
        <v>0</v>
      </c>
      <c r="AR5341" s="28"/>
      <c r="AS5341" s="28" t="n">
        <f aca="false">AR5341*$M5341</f>
        <v>0</v>
      </c>
      <c r="AT5341" s="28"/>
      <c r="AU5341" s="28" t="n">
        <f aca="false">AT5341*$M5341</f>
        <v>0</v>
      </c>
      <c r="AV5341" s="28"/>
      <c r="AW5341" s="28" t="n">
        <f aca="false">AV5341*$M5341</f>
        <v>0</v>
      </c>
      <c r="AX5341" s="28"/>
      <c r="AY5341" s="28" t="n">
        <f aca="false">AX5341*$M5341</f>
        <v>0</v>
      </c>
      <c r="AZ5341" s="30" t="n">
        <f aca="false">118785/100</f>
        <v>1187.85</v>
      </c>
      <c r="BA5341" s="11" t="n">
        <v>178177</v>
      </c>
      <c r="BB5341" s="31" t="n">
        <f aca="false">SUM(Q5341,S5341,U5341,W5341,Y5341,AA5341,AC5341,AE5341,AG5341,AI5341,AK5341,AM5341,AO5341,AQ5341,AS5341,AU5341,AW5341,AY5341)</f>
        <v>178177</v>
      </c>
      <c r="BC5341" s="28" t="n">
        <f aca="false">BA5341-BB5341</f>
        <v>0</v>
      </c>
      <c r="BD5341" s="32" t="n">
        <f aca="false">SUM(P5341,R5341,T5341,V5341,X5341,Z5341,AB5341,AD5341,AF5341,AH5341,AJ5341,AL5341,AN5341,AP5341,AR5341,AT5341,AV5341,AX5341)</f>
        <v>1187.85</v>
      </c>
      <c r="BE5341" s="33" t="n">
        <f aca="false">AZ5341-BD5341</f>
        <v>0</v>
      </c>
      <c r="BF5341" s="34" t="n">
        <f aca="false">BD5341*M5341</f>
        <v>178177.5</v>
      </c>
      <c r="BG5341" s="35" t="n">
        <f aca="false">BA5341-BF5341</f>
        <v>-0.5</v>
      </c>
      <c r="BH5341" s="19" t="str">
        <f aca="false">IF(BG5341=0,"",IF(BG5341&lt;&gt;BA5341,"erreur de calcul",IF(BD5341&lt;&gt;0,"pas de prix",IF(M5341&lt;&gt; 0,"pas de quantité","pas de prix, ni de quantité"))))</f>
        <v>erreur de calcul</v>
      </c>
      <c r="BI5341" s="19"/>
    </row>
    <row r="5342" customFormat="false" ht="15" hidden="false" customHeight="false" outlineLevel="0" collapsed="false">
      <c r="A5342" s="0" t="n">
        <v>34</v>
      </c>
      <c r="B5342" s="8" t="s">
        <v>24</v>
      </c>
      <c r="C5342" s="9" t="s">
        <v>25</v>
      </c>
      <c r="D5342" s="9" t="s">
        <v>26</v>
      </c>
      <c r="E5342" s="10" t="n">
        <v>1789</v>
      </c>
      <c r="F5342" s="9" t="s">
        <v>27</v>
      </c>
      <c r="G5342" s="9" t="s">
        <v>27</v>
      </c>
      <c r="H5342" s="11" t="n">
        <v>20</v>
      </c>
      <c r="I5342" s="11" t="s">
        <v>152</v>
      </c>
      <c r="J5342" s="14" t="n">
        <v>80</v>
      </c>
      <c r="K5342" s="14"/>
      <c r="L5342" s="16"/>
      <c r="M5342" s="27" t="n">
        <f aca="false">J5342+(K5342/20)+(L5342/240)</f>
        <v>80</v>
      </c>
      <c r="N5342" s="17" t="s">
        <v>64</v>
      </c>
      <c r="O5342" s="11"/>
      <c r="P5342" s="28"/>
      <c r="Q5342" s="28" t="n">
        <f aca="false">P5342*$M5342</f>
        <v>0</v>
      </c>
      <c r="R5342" s="28"/>
      <c r="S5342" s="28" t="n">
        <f aca="false">R5342*$M5342</f>
        <v>0</v>
      </c>
      <c r="T5342" s="28"/>
      <c r="U5342" s="28" t="n">
        <f aca="false">T5342*$M5342</f>
        <v>0</v>
      </c>
      <c r="V5342" s="28"/>
      <c r="W5342" s="28" t="n">
        <f aca="false">V5342*$M5342</f>
        <v>0</v>
      </c>
      <c r="X5342" s="28"/>
      <c r="Y5342" s="28" t="n">
        <f aca="false">X5342*$M5342</f>
        <v>0</v>
      </c>
      <c r="Z5342" s="28"/>
      <c r="AA5342" s="28" t="n">
        <f aca="false">Z5342*$M5342</f>
        <v>0</v>
      </c>
      <c r="AB5342" s="28" t="n">
        <f aca="false">3142/100</f>
        <v>31.42</v>
      </c>
      <c r="AC5342" s="28" t="n">
        <v>2514</v>
      </c>
      <c r="AD5342" s="28"/>
      <c r="AE5342" s="28" t="n">
        <f aca="false">AD5342*$M5342</f>
        <v>0</v>
      </c>
      <c r="AF5342" s="28" t="n">
        <f aca="false">4868/100</f>
        <v>48.68</v>
      </c>
      <c r="AG5342" s="36" t="n">
        <v>3874</v>
      </c>
      <c r="AH5342" s="28" t="n">
        <f aca="false">1541601/100</f>
        <v>15416.01</v>
      </c>
      <c r="AI5342" s="28" t="n">
        <v>1233281</v>
      </c>
      <c r="AJ5342" s="28"/>
      <c r="AK5342" s="28" t="n">
        <f aca="false">AJ5342*$M5342</f>
        <v>0</v>
      </c>
      <c r="AL5342" s="28"/>
      <c r="AM5342" s="28" t="n">
        <f aca="false">AL5342*$M5342</f>
        <v>0</v>
      </c>
      <c r="AN5342" s="28"/>
      <c r="AO5342" s="28" t="n">
        <f aca="false">AN5342*$M5342</f>
        <v>0</v>
      </c>
      <c r="AP5342" s="28"/>
      <c r="AQ5342" s="28" t="n">
        <f aca="false">AP5342*$M5342</f>
        <v>0</v>
      </c>
      <c r="AR5342" s="28"/>
      <c r="AS5342" s="28" t="n">
        <f aca="false">AR5342*$M5342</f>
        <v>0</v>
      </c>
      <c r="AT5342" s="28"/>
      <c r="AU5342" s="28" t="n">
        <f aca="false">AT5342*$M5342</f>
        <v>0</v>
      </c>
      <c r="AV5342" s="28"/>
      <c r="AW5342" s="28" t="n">
        <f aca="false">AV5342*$M5342</f>
        <v>0</v>
      </c>
      <c r="AX5342" s="28"/>
      <c r="AY5342" s="28" t="n">
        <f aca="false">AX5342*$M5342</f>
        <v>0</v>
      </c>
      <c r="AZ5342" s="30" t="n">
        <f aca="false">1549611/100</f>
        <v>15496.11</v>
      </c>
      <c r="BA5342" s="11" t="n">
        <v>1239669</v>
      </c>
      <c r="BB5342" s="31" t="n">
        <f aca="false">SUM(Q5342,S5342,U5342,W5342,Y5342,AA5342,AC5342,AE5342,AG5342,AI5342,AK5342,AM5342,AO5342,AQ5342,AS5342,AU5342,AW5342,AY5342)</f>
        <v>1239669</v>
      </c>
      <c r="BC5342" s="28" t="n">
        <f aca="false">BA5342-BB5342</f>
        <v>0</v>
      </c>
      <c r="BD5342" s="32" t="n">
        <f aca="false">SUM(P5342,R5342,T5342,V5342,X5342,Z5342,AB5342,AD5342,AF5342,AH5342,AJ5342,AL5342,AN5342,AP5342,AR5342,AT5342,AV5342,AX5342)</f>
        <v>15496.11</v>
      </c>
      <c r="BE5342" s="33" t="n">
        <f aca="false">AZ5342-BD5342</f>
        <v>0</v>
      </c>
      <c r="BF5342" s="34" t="n">
        <f aca="false">BD5342*M5342</f>
        <v>1239688.8</v>
      </c>
      <c r="BG5342" s="35" t="n">
        <f aca="false">BA5342-BF5342</f>
        <v>-19.8000000000466</v>
      </c>
      <c r="BH5342" s="19" t="str">
        <f aca="false">IF(BG5342=0,"",IF(BG5342&lt;&gt;BA5342,"erreur de calcul",IF(BD5342&lt;&gt;0,"pas de prix",IF(M5342&lt;&gt; 0,"pas de quantité","pas de prix, ni de quantité"))))</f>
        <v>erreur de calcul</v>
      </c>
      <c r="BI5342" s="19"/>
    </row>
    <row r="5343" customFormat="false" ht="15" hidden="false" customHeight="false" outlineLevel="0" collapsed="false">
      <c r="A5343" s="0" t="n">
        <v>35</v>
      </c>
      <c r="B5343" s="8" t="s">
        <v>24</v>
      </c>
      <c r="C5343" s="9" t="s">
        <v>25</v>
      </c>
      <c r="D5343" s="9" t="s">
        <v>26</v>
      </c>
      <c r="E5343" s="10" t="n">
        <v>1789</v>
      </c>
      <c r="F5343" s="9" t="s">
        <v>27</v>
      </c>
      <c r="G5343" s="9" t="s">
        <v>27</v>
      </c>
      <c r="H5343" s="11" t="n">
        <v>20</v>
      </c>
      <c r="I5343" s="11" t="s">
        <v>153</v>
      </c>
      <c r="J5343" s="14" t="n">
        <v>148</v>
      </c>
      <c r="K5343" s="14"/>
      <c r="L5343" s="16"/>
      <c r="M5343" s="27" t="n">
        <f aca="false">J5343+(K5343/20)+(L5343/240)</f>
        <v>148</v>
      </c>
      <c r="N5343" s="17" t="s">
        <v>64</v>
      </c>
      <c r="O5343" s="11"/>
      <c r="P5343" s="28"/>
      <c r="Q5343" s="28" t="n">
        <f aca="false">P5343*$M5343</f>
        <v>0</v>
      </c>
      <c r="R5343" s="28"/>
      <c r="S5343" s="28" t="n">
        <f aca="false">R5343*$M5343</f>
        <v>0</v>
      </c>
      <c r="T5343" s="28"/>
      <c r="U5343" s="28" t="n">
        <f aca="false">T5343*$M5343</f>
        <v>0</v>
      </c>
      <c r="V5343" s="28"/>
      <c r="W5343" s="28" t="n">
        <f aca="false">V5343*$M5343</f>
        <v>0</v>
      </c>
      <c r="X5343" s="28"/>
      <c r="Y5343" s="28" t="n">
        <f aca="false">X5343*$M5343</f>
        <v>0</v>
      </c>
      <c r="Z5343" s="28"/>
      <c r="AA5343" s="28" t="n">
        <f aca="false">Z5343*$M5343</f>
        <v>0</v>
      </c>
      <c r="AB5343" s="28"/>
      <c r="AC5343" s="28" t="n">
        <f aca="false">AB5343*$M5343</f>
        <v>0</v>
      </c>
      <c r="AD5343" s="28"/>
      <c r="AE5343" s="28" t="n">
        <f aca="false">AD5343*$M5343</f>
        <v>0</v>
      </c>
      <c r="AF5343" s="28"/>
      <c r="AG5343" s="28" t="n">
        <f aca="false">AF5343*$M5343</f>
        <v>0</v>
      </c>
      <c r="AH5343" s="28"/>
      <c r="AI5343" s="28" t="n">
        <f aca="false">AH5343*$M5343</f>
        <v>0</v>
      </c>
      <c r="AJ5343" s="28" t="n">
        <f aca="false">1472/100</f>
        <v>14.72</v>
      </c>
      <c r="AK5343" s="28" t="n">
        <v>2178</v>
      </c>
      <c r="AL5343" s="28"/>
      <c r="AM5343" s="28" t="n">
        <f aca="false">AL5343*$M5343</f>
        <v>0</v>
      </c>
      <c r="AN5343" s="28"/>
      <c r="AO5343" s="28" t="n">
        <f aca="false">AN5343*$M5343</f>
        <v>0</v>
      </c>
      <c r="AP5343" s="28"/>
      <c r="AQ5343" s="28" t="n">
        <f aca="false">AP5343*$M5343</f>
        <v>0</v>
      </c>
      <c r="AR5343" s="28"/>
      <c r="AS5343" s="28" t="n">
        <f aca="false">AR5343*$M5343</f>
        <v>0</v>
      </c>
      <c r="AT5343" s="28"/>
      <c r="AU5343" s="28" t="n">
        <f aca="false">AT5343*$M5343</f>
        <v>0</v>
      </c>
      <c r="AV5343" s="28"/>
      <c r="AW5343" s="28" t="n">
        <f aca="false">AV5343*$M5343</f>
        <v>0</v>
      </c>
      <c r="AX5343" s="28"/>
      <c r="AY5343" s="28" t="n">
        <f aca="false">AX5343*$M5343</f>
        <v>0</v>
      </c>
      <c r="AZ5343" s="30" t="n">
        <f aca="false">1472/100</f>
        <v>14.72</v>
      </c>
      <c r="BA5343" s="11" t="n">
        <v>2178</v>
      </c>
      <c r="BB5343" s="31" t="n">
        <f aca="false">SUM(Q5343,S5343,U5343,W5343,Y5343,AA5343,AC5343,AE5343,AG5343,AI5343,AK5343,AM5343,AO5343,AQ5343,AS5343,AU5343,AW5343,AY5343)</f>
        <v>2178</v>
      </c>
      <c r="BC5343" s="28" t="n">
        <f aca="false">BA5343-BB5343</f>
        <v>0</v>
      </c>
      <c r="BD5343" s="32" t="n">
        <f aca="false">SUM(P5343,R5343,T5343,V5343,X5343,Z5343,AB5343,AD5343,AF5343,AH5343,AJ5343,AL5343,AN5343,AP5343,AR5343,AT5343,AV5343,AX5343)</f>
        <v>14.72</v>
      </c>
      <c r="BE5343" s="33" t="n">
        <f aca="false">AZ5343-BD5343</f>
        <v>0</v>
      </c>
      <c r="BF5343" s="34" t="n">
        <f aca="false">BD5343*M5343</f>
        <v>2178.56</v>
      </c>
      <c r="BG5343" s="35" t="n">
        <f aca="false">BA5343-BF5343</f>
        <v>-0.559999999999945</v>
      </c>
      <c r="BH5343" s="19" t="str">
        <f aca="false">IF(BG5343=0,"",IF(BG5343&lt;&gt;BA5343,"erreur de calcul",IF(BD5343&lt;&gt;0,"pas de prix",IF(M5343&lt;&gt; 0,"pas de quantité","pas de prix, ni de quantité"))))</f>
        <v>erreur de calcul</v>
      </c>
      <c r="BI5343" s="19"/>
    </row>
    <row r="5344" customFormat="false" ht="15" hidden="false" customHeight="false" outlineLevel="0" collapsed="false">
      <c r="A5344" s="0" t="n">
        <v>36</v>
      </c>
      <c r="B5344" s="8" t="s">
        <v>24</v>
      </c>
      <c r="C5344" s="9" t="s">
        <v>25</v>
      </c>
      <c r="D5344" s="9" t="s">
        <v>26</v>
      </c>
      <c r="E5344" s="10" t="n">
        <v>1789</v>
      </c>
      <c r="F5344" s="9" t="s">
        <v>27</v>
      </c>
      <c r="G5344" s="9" t="s">
        <v>27</v>
      </c>
      <c r="H5344" s="11" t="n">
        <v>20</v>
      </c>
      <c r="I5344" s="11" t="s">
        <v>154</v>
      </c>
      <c r="J5344" s="14" t="n">
        <v>75</v>
      </c>
      <c r="K5344" s="14"/>
      <c r="L5344" s="16"/>
      <c r="M5344" s="27" t="n">
        <f aca="false">J5344+(K5344/20)+(L5344/240)</f>
        <v>75</v>
      </c>
      <c r="N5344" s="17" t="s">
        <v>64</v>
      </c>
      <c r="O5344" s="11"/>
      <c r="P5344" s="28"/>
      <c r="Q5344" s="28" t="n">
        <f aca="false">P5344*$M5344</f>
        <v>0</v>
      </c>
      <c r="R5344" s="28"/>
      <c r="S5344" s="28" t="n">
        <f aca="false">R5344*$M5344</f>
        <v>0</v>
      </c>
      <c r="T5344" s="28" t="n">
        <f aca="false">627/100</f>
        <v>6.27</v>
      </c>
      <c r="U5344" s="28" t="n">
        <v>470</v>
      </c>
      <c r="V5344" s="28"/>
      <c r="W5344" s="28" t="n">
        <f aca="false">V5344*$M5344</f>
        <v>0</v>
      </c>
      <c r="X5344" s="28"/>
      <c r="Y5344" s="28" t="n">
        <f aca="false">X5344*$M5344</f>
        <v>0</v>
      </c>
      <c r="Z5344" s="28"/>
      <c r="AA5344" s="28" t="n">
        <f aca="false">Z5344*$M5344</f>
        <v>0</v>
      </c>
      <c r="AB5344" s="28"/>
      <c r="AC5344" s="28" t="n">
        <f aca="false">AB5344*$M5344</f>
        <v>0</v>
      </c>
      <c r="AD5344" s="28"/>
      <c r="AE5344" s="28" t="n">
        <f aca="false">AD5344*$M5344</f>
        <v>0</v>
      </c>
      <c r="AF5344" s="28"/>
      <c r="AG5344" s="28" t="n">
        <f aca="false">AF5344*$M5344</f>
        <v>0</v>
      </c>
      <c r="AH5344" s="28"/>
      <c r="AI5344" s="28" t="n">
        <f aca="false">AH5344*$M5344</f>
        <v>0</v>
      </c>
      <c r="AJ5344" s="28"/>
      <c r="AK5344" s="28" t="n">
        <f aca="false">AJ5344*$M5344</f>
        <v>0</v>
      </c>
      <c r="AL5344" s="28"/>
      <c r="AM5344" s="28" t="n">
        <f aca="false">AL5344*$M5344</f>
        <v>0</v>
      </c>
      <c r="AN5344" s="28"/>
      <c r="AO5344" s="28" t="n">
        <f aca="false">AN5344*$M5344</f>
        <v>0</v>
      </c>
      <c r="AP5344" s="28"/>
      <c r="AQ5344" s="28" t="n">
        <f aca="false">AP5344*$M5344</f>
        <v>0</v>
      </c>
      <c r="AR5344" s="28"/>
      <c r="AS5344" s="28" t="n">
        <f aca="false">AR5344*$M5344</f>
        <v>0</v>
      </c>
      <c r="AT5344" s="28"/>
      <c r="AU5344" s="28" t="n">
        <f aca="false">AT5344*$M5344</f>
        <v>0</v>
      </c>
      <c r="AV5344" s="28"/>
      <c r="AW5344" s="28" t="n">
        <f aca="false">AV5344*$M5344</f>
        <v>0</v>
      </c>
      <c r="AX5344" s="28"/>
      <c r="AY5344" s="28" t="n">
        <f aca="false">AX5344*$M5344</f>
        <v>0</v>
      </c>
      <c r="AZ5344" s="30" t="n">
        <f aca="false">627/100</f>
        <v>6.27</v>
      </c>
      <c r="BA5344" s="11" t="n">
        <v>470</v>
      </c>
      <c r="BB5344" s="31" t="n">
        <f aca="false">SUM(Q5344,S5344,U5344,W5344,Y5344,AA5344,AC5344,AE5344,AG5344,AI5344,AK5344,AM5344,AO5344,AQ5344,AS5344,AU5344,AW5344,AY5344)</f>
        <v>470</v>
      </c>
      <c r="BC5344" s="28" t="n">
        <f aca="false">BA5344-BB5344</f>
        <v>0</v>
      </c>
      <c r="BD5344" s="32" t="n">
        <f aca="false">SUM(P5344,R5344,T5344,V5344,X5344,Z5344,AB5344,AD5344,AF5344,AH5344,AJ5344,AL5344,AN5344,AP5344,AR5344,AT5344,AV5344,AX5344)</f>
        <v>6.27</v>
      </c>
      <c r="BE5344" s="33" t="n">
        <f aca="false">AZ5344-BD5344</f>
        <v>0</v>
      </c>
      <c r="BF5344" s="34" t="n">
        <f aca="false">BD5344*M5344</f>
        <v>470.25</v>
      </c>
      <c r="BG5344" s="35" t="n">
        <f aca="false">BA5344-BF5344</f>
        <v>-0.249999999999943</v>
      </c>
      <c r="BH5344" s="19" t="str">
        <f aca="false">IF(BG5344=0,"",IF(BG5344&lt;&gt;BA5344,"erreur de calcul",IF(BD5344&lt;&gt;0,"pas de prix",IF(M5344&lt;&gt; 0,"pas de quantité","pas de prix, ni de quantité"))))</f>
        <v>erreur de calcul</v>
      </c>
      <c r="BI5344" s="19"/>
    </row>
    <row r="5345" customFormat="false" ht="15" hidden="false" customHeight="false" outlineLevel="0" collapsed="false">
      <c r="A5345" s="0" t="n">
        <v>1</v>
      </c>
      <c r="B5345" s="8" t="s">
        <v>24</v>
      </c>
      <c r="C5345" s="9" t="s">
        <v>25</v>
      </c>
      <c r="D5345" s="9" t="s">
        <v>26</v>
      </c>
      <c r="E5345" s="10" t="n">
        <v>1789</v>
      </c>
      <c r="F5345" s="9" t="s">
        <v>27</v>
      </c>
      <c r="G5345" s="9" t="s">
        <v>27</v>
      </c>
      <c r="H5345" s="11" t="n">
        <v>21</v>
      </c>
      <c r="I5345" s="11" t="s">
        <v>155</v>
      </c>
      <c r="J5345" s="14" t="n">
        <v>60</v>
      </c>
      <c r="K5345" s="14"/>
      <c r="L5345" s="16"/>
      <c r="M5345" s="27" t="n">
        <f aca="false">J5345+(K5345/20)+(L5345/240)</f>
        <v>60</v>
      </c>
      <c r="N5345" s="17" t="s">
        <v>66</v>
      </c>
      <c r="O5345" s="11"/>
      <c r="P5345" s="28"/>
      <c r="Q5345" s="28" t="n">
        <f aca="false">P5345*$M5345</f>
        <v>0</v>
      </c>
      <c r="R5345" s="28"/>
      <c r="S5345" s="28" t="n">
        <f aca="false">R5345*$M5345</f>
        <v>0</v>
      </c>
      <c r="T5345" s="28"/>
      <c r="U5345" s="28" t="n">
        <f aca="false">T5345*$M5345</f>
        <v>0</v>
      </c>
      <c r="V5345" s="28" t="n">
        <v>10</v>
      </c>
      <c r="W5345" s="28" t="n">
        <v>600</v>
      </c>
      <c r="X5345" s="28"/>
      <c r="Y5345" s="28" t="n">
        <f aca="false">X5345*$M5345</f>
        <v>0</v>
      </c>
      <c r="Z5345" s="28"/>
      <c r="AA5345" s="28" t="n">
        <f aca="false">Z5345*$M5345</f>
        <v>0</v>
      </c>
      <c r="AB5345" s="28"/>
      <c r="AC5345" s="28" t="n">
        <f aca="false">AB5345*$M5345</f>
        <v>0</v>
      </c>
      <c r="AD5345" s="28"/>
      <c r="AE5345" s="28" t="n">
        <f aca="false">AD5345*$M5345</f>
        <v>0</v>
      </c>
      <c r="AF5345" s="28"/>
      <c r="AG5345" s="28" t="n">
        <f aca="false">AF5345*$M5345</f>
        <v>0</v>
      </c>
      <c r="AH5345" s="28"/>
      <c r="AI5345" s="28" t="n">
        <f aca="false">AH5345*$M5345</f>
        <v>0</v>
      </c>
      <c r="AJ5345" s="28"/>
      <c r="AK5345" s="28" t="n">
        <f aca="false">AJ5345*$M5345</f>
        <v>0</v>
      </c>
      <c r="AL5345" s="28"/>
      <c r="AM5345" s="28" t="n">
        <f aca="false">AL5345*$M5345</f>
        <v>0</v>
      </c>
      <c r="AN5345" s="28"/>
      <c r="AO5345" s="28" t="n">
        <f aca="false">AN5345*$M5345</f>
        <v>0</v>
      </c>
      <c r="AP5345" s="28"/>
      <c r="AQ5345" s="28" t="n">
        <f aca="false">AP5345*$M5345</f>
        <v>0</v>
      </c>
      <c r="AR5345" s="28"/>
      <c r="AS5345" s="28" t="n">
        <f aca="false">AR5345*$M5345</f>
        <v>0</v>
      </c>
      <c r="AT5345" s="28"/>
      <c r="AU5345" s="28" t="n">
        <f aca="false">AT5345*$M5345</f>
        <v>0</v>
      </c>
      <c r="AV5345" s="28"/>
      <c r="AW5345" s="28" t="n">
        <f aca="false">AV5345*$M5345</f>
        <v>0</v>
      </c>
      <c r="AX5345" s="28"/>
      <c r="AY5345" s="28" t="n">
        <f aca="false">AX5345*$M5345</f>
        <v>0</v>
      </c>
      <c r="AZ5345" s="30" t="n">
        <v>10</v>
      </c>
      <c r="BA5345" s="11" t="n">
        <v>600</v>
      </c>
      <c r="BB5345" s="31" t="n">
        <f aca="false">SUM(Q5345,S5345,U5345,W5345,Y5345,AA5345,AC5345,AE5345,AG5345,AI5345,AK5345,AM5345,AO5345,AQ5345,AS5345,AU5345,AW5345,AY5345)</f>
        <v>600</v>
      </c>
      <c r="BC5345" s="28" t="n">
        <f aca="false">BA5345-BB5345</f>
        <v>0</v>
      </c>
      <c r="BD5345" s="32" t="n">
        <f aca="false">SUM(P5345,R5345,T5345,V5345,X5345,Z5345,AB5345,AD5345,AF5345,AH5345,AJ5345,AL5345,AN5345,AP5345,AR5345,AT5345,AV5345,AX5345)</f>
        <v>10</v>
      </c>
      <c r="BE5345" s="33" t="n">
        <f aca="false">AZ5345-BD5345</f>
        <v>0</v>
      </c>
      <c r="BF5345" s="34" t="n">
        <f aca="false">BD5345*M5345</f>
        <v>600</v>
      </c>
      <c r="BG5345" s="35" t="n">
        <f aca="false">BA5345-BF5345</f>
        <v>0</v>
      </c>
      <c r="BH5345" s="19" t="str">
        <f aca="false">IF(BG5345=0,"",IF(BG5345&lt;&gt;BA5345,"erreur de calcul",IF(BD5345&lt;&gt;0,"pas de prix",IF(M5345&lt;&gt; 0,"pas de quantité","pas de prix, ni de quantité"))))</f>
        <v/>
      </c>
      <c r="BI5345" s="19"/>
    </row>
    <row r="5346" customFormat="false" ht="15" hidden="false" customHeight="false" outlineLevel="0" collapsed="false">
      <c r="A5346" s="0" t="n">
        <v>2</v>
      </c>
      <c r="B5346" s="8" t="s">
        <v>24</v>
      </c>
      <c r="C5346" s="9" t="s">
        <v>25</v>
      </c>
      <c r="D5346" s="9" t="s">
        <v>26</v>
      </c>
      <c r="E5346" s="10" t="n">
        <v>1789</v>
      </c>
      <c r="F5346" s="9" t="s">
        <v>27</v>
      </c>
      <c r="G5346" s="9" t="s">
        <v>27</v>
      </c>
      <c r="H5346" s="11" t="n">
        <v>21</v>
      </c>
      <c r="I5346" s="11" t="s">
        <v>156</v>
      </c>
      <c r="J5346" s="14"/>
      <c r="K5346" s="14"/>
      <c r="L5346" s="16"/>
      <c r="M5346" s="27" t="n">
        <f aca="false">J5346+(K5346/20)+(L5346/240)</f>
        <v>0</v>
      </c>
      <c r="N5346" s="17"/>
      <c r="O5346" s="11"/>
      <c r="P5346" s="28"/>
      <c r="Q5346" s="28" t="n">
        <v>304</v>
      </c>
      <c r="R5346" s="28"/>
      <c r="S5346" s="28" t="n">
        <f aca="false">R5346*$M5346</f>
        <v>0</v>
      </c>
      <c r="T5346" s="28"/>
      <c r="U5346" s="28" t="n">
        <f aca="false">T5346*$M5346</f>
        <v>0</v>
      </c>
      <c r="V5346" s="28"/>
      <c r="W5346" s="28" t="n">
        <f aca="false">V5346*$M5346</f>
        <v>0</v>
      </c>
      <c r="X5346" s="28"/>
      <c r="Y5346" s="28" t="n">
        <v>270</v>
      </c>
      <c r="Z5346" s="28"/>
      <c r="AA5346" s="28" t="n">
        <f aca="false">Z5346*$M5346</f>
        <v>0</v>
      </c>
      <c r="AB5346" s="28"/>
      <c r="AC5346" s="28" t="n">
        <f aca="false">AB5346*$M5346</f>
        <v>0</v>
      </c>
      <c r="AD5346" s="28"/>
      <c r="AE5346" s="28" t="n">
        <v>175</v>
      </c>
      <c r="AF5346" s="28"/>
      <c r="AG5346" s="28" t="n">
        <f aca="false">AF5346*$M5346</f>
        <v>0</v>
      </c>
      <c r="AH5346" s="28"/>
      <c r="AI5346" s="28" t="n">
        <f aca="false">AH5346*$M5346</f>
        <v>0</v>
      </c>
      <c r="AJ5346" s="28"/>
      <c r="AK5346" s="28" t="n">
        <v>240</v>
      </c>
      <c r="AL5346" s="28"/>
      <c r="AM5346" s="28" t="n">
        <v>808</v>
      </c>
      <c r="AN5346" s="28"/>
      <c r="AO5346" s="28" t="n">
        <f aca="false">AN5346*$M5346</f>
        <v>0</v>
      </c>
      <c r="AP5346" s="28"/>
      <c r="AQ5346" s="28" t="n">
        <f aca="false">AP5346*$M5346</f>
        <v>0</v>
      </c>
      <c r="AR5346" s="28"/>
      <c r="AS5346" s="28" t="n">
        <f aca="false">AR5346*$M5346</f>
        <v>0</v>
      </c>
      <c r="AT5346" s="28"/>
      <c r="AU5346" s="28" t="n">
        <f aca="false">AT5346*$M5346</f>
        <v>0</v>
      </c>
      <c r="AV5346" s="28"/>
      <c r="AW5346" s="28" t="n">
        <f aca="false">AV5346*$M5346</f>
        <v>0</v>
      </c>
      <c r="AX5346" s="28"/>
      <c r="AY5346" s="28" t="n">
        <f aca="false">AX5346*$M5346</f>
        <v>0</v>
      </c>
      <c r="AZ5346" s="30"/>
      <c r="BA5346" s="11" t="n">
        <v>1797</v>
      </c>
      <c r="BB5346" s="31" t="n">
        <f aca="false">SUM(Q5346,S5346,U5346,W5346,Y5346,AA5346,AC5346,AE5346,AG5346,AI5346,AK5346,AM5346,AO5346,AQ5346,AS5346,AU5346,AW5346,AY5346)</f>
        <v>1797</v>
      </c>
      <c r="BC5346" s="28" t="n">
        <f aca="false">BA5346-BB5346</f>
        <v>0</v>
      </c>
      <c r="BD5346" s="32" t="n">
        <f aca="false">SUM(P5346,R5346,T5346,V5346,X5346,Z5346,AB5346,AD5346,AF5346,AH5346,AJ5346,AL5346,AN5346,AP5346,AR5346,AT5346,AV5346,AX5346)</f>
        <v>0</v>
      </c>
      <c r="BE5346" s="33" t="n">
        <f aca="false">AZ5346-BD5346</f>
        <v>0</v>
      </c>
      <c r="BF5346" s="34" t="n">
        <f aca="false">BD5346*M5346</f>
        <v>0</v>
      </c>
      <c r="BG5346" s="35" t="n">
        <f aca="false">BA5346-BF5346</f>
        <v>1797</v>
      </c>
      <c r="BH5346" s="19" t="str">
        <f aca="false">IF(BG5346=0,"",IF(BG5346&lt;&gt;BA5346,"erreur de calcul",IF(BD5346&lt;&gt;0,"pas de prix",IF(M5346&lt;&gt; 0,"pas de quantité","pas de prix, ni de quantité"))))</f>
        <v>pas de prix, ni de quantité</v>
      </c>
      <c r="BI5346" s="19"/>
    </row>
    <row r="5347" customFormat="false" ht="15" hidden="false" customHeight="false" outlineLevel="0" collapsed="false">
      <c r="A5347" s="0" t="n">
        <v>3</v>
      </c>
      <c r="B5347" s="8" t="s">
        <v>24</v>
      </c>
      <c r="C5347" s="9" t="s">
        <v>25</v>
      </c>
      <c r="D5347" s="9" t="s">
        <v>26</v>
      </c>
      <c r="E5347" s="10" t="n">
        <v>1789</v>
      </c>
      <c r="F5347" s="9" t="s">
        <v>27</v>
      </c>
      <c r="G5347" s="9" t="s">
        <v>27</v>
      </c>
      <c r="H5347" s="11" t="n">
        <v>21</v>
      </c>
      <c r="I5347" s="11" t="s">
        <v>156</v>
      </c>
      <c r="J5347" s="14" t="n">
        <v>175</v>
      </c>
      <c r="K5347" s="14"/>
      <c r="L5347" s="16"/>
      <c r="M5347" s="27" t="n">
        <f aca="false">J5347+(K5347/20)+(L5347/240)</f>
        <v>175</v>
      </c>
      <c r="N5347" s="17" t="s">
        <v>64</v>
      </c>
      <c r="O5347" s="11" t="s">
        <v>98</v>
      </c>
      <c r="P5347" s="28" t="n">
        <f aca="false">3429/100</f>
        <v>34.29</v>
      </c>
      <c r="Q5347" s="28" t="n">
        <v>6001</v>
      </c>
      <c r="R5347" s="28"/>
      <c r="S5347" s="28" t="n">
        <f aca="false">R5347*$M5347</f>
        <v>0</v>
      </c>
      <c r="T5347" s="28" t="n">
        <f aca="false">5135/100</f>
        <v>51.35</v>
      </c>
      <c r="U5347" s="28" t="n">
        <v>8986</v>
      </c>
      <c r="V5347" s="28" t="n">
        <f aca="false">33716/100</f>
        <v>337.16</v>
      </c>
      <c r="W5347" s="28" t="n">
        <v>59003</v>
      </c>
      <c r="X5347" s="28" t="n">
        <f aca="false">14982/100</f>
        <v>149.82</v>
      </c>
      <c r="Y5347" s="28" t="n">
        <v>26218</v>
      </c>
      <c r="Z5347" s="28"/>
      <c r="AA5347" s="28" t="n">
        <f aca="false">Z5347*$M5347</f>
        <v>0</v>
      </c>
      <c r="AB5347" s="28"/>
      <c r="AC5347" s="28" t="n">
        <f aca="false">AB5347*$M5347</f>
        <v>0</v>
      </c>
      <c r="AD5347" s="28"/>
      <c r="AE5347" s="28" t="n">
        <f aca="false">AD5347*$M5347</f>
        <v>0</v>
      </c>
      <c r="AF5347" s="28" t="n">
        <f aca="false">439/100</f>
        <v>4.39</v>
      </c>
      <c r="AG5347" s="28" t="n">
        <v>768</v>
      </c>
      <c r="AH5347" s="28" t="n">
        <f aca="false">163722/100</f>
        <v>1637.22</v>
      </c>
      <c r="AI5347" s="28" t="n">
        <v>286513</v>
      </c>
      <c r="AJ5347" s="28" t="n">
        <f aca="false">17649/100</f>
        <v>176.49</v>
      </c>
      <c r="AK5347" s="28" t="n">
        <v>30886</v>
      </c>
      <c r="AL5347" s="28" t="n">
        <f aca="false">6852/100</f>
        <v>68.52</v>
      </c>
      <c r="AM5347" s="28" t="n">
        <v>11991</v>
      </c>
      <c r="AN5347" s="28"/>
      <c r="AO5347" s="28" t="n">
        <f aca="false">AN5347*$M5347</f>
        <v>0</v>
      </c>
      <c r="AP5347" s="28"/>
      <c r="AQ5347" s="28" t="n">
        <f aca="false">AP5347*$M5347</f>
        <v>0</v>
      </c>
      <c r="AR5347" s="28"/>
      <c r="AS5347" s="28" t="n">
        <f aca="false">AR5347*$M5347</f>
        <v>0</v>
      </c>
      <c r="AT5347" s="28"/>
      <c r="AU5347" s="28" t="n">
        <f aca="false">AT5347*$M5347</f>
        <v>0</v>
      </c>
      <c r="AV5347" s="28"/>
      <c r="AW5347" s="28" t="n">
        <f aca="false">AV5347*$M5347</f>
        <v>0</v>
      </c>
      <c r="AX5347" s="28"/>
      <c r="AY5347" s="28" t="n">
        <f aca="false">AX5347*$M5347</f>
        <v>0</v>
      </c>
      <c r="AZ5347" s="30" t="n">
        <f aca="false">245924/100</f>
        <v>2459.24</v>
      </c>
      <c r="BA5347" s="11" t="n">
        <v>430366</v>
      </c>
      <c r="BB5347" s="31" t="n">
        <f aca="false">SUM(Q5347,S5347,U5347,W5347,Y5347,AA5347,AC5347,AE5347,AG5347,AI5347,AK5347,AM5347,AO5347,AQ5347,AS5347,AU5347,AW5347,AY5347)</f>
        <v>430366</v>
      </c>
      <c r="BC5347" s="28" t="n">
        <f aca="false">BA5347-BB5347</f>
        <v>0</v>
      </c>
      <c r="BD5347" s="32" t="n">
        <f aca="false">SUM(P5347,R5347,T5347,V5347,X5347,Z5347,AB5347,AD5347,AF5347,AH5347,AJ5347,AL5347,AN5347,AP5347,AR5347,AT5347,AV5347,AX5347)</f>
        <v>2459.24</v>
      </c>
      <c r="BE5347" s="33" t="n">
        <f aca="false">AZ5347-BD5347</f>
        <v>0</v>
      </c>
      <c r="BF5347" s="34" t="n">
        <f aca="false">BD5347*M5347</f>
        <v>430367</v>
      </c>
      <c r="BG5347" s="35" t="n">
        <f aca="false">BA5347-BF5347</f>
        <v>-0.999999999941792</v>
      </c>
      <c r="BH5347" s="19" t="str">
        <f aca="false">IF(BG5347=0,"",IF(BG5347&lt;&gt;BA5347,"erreur de calcul",IF(BD5347&lt;&gt;0,"pas de prix",IF(M5347&lt;&gt; 0,"pas de quantité","pas de prix, ni de quantité"))))</f>
        <v>erreur de calcul</v>
      </c>
      <c r="BI5347" s="19"/>
    </row>
    <row r="5348" customFormat="false" ht="15" hidden="false" customHeight="false" outlineLevel="0" collapsed="false">
      <c r="A5348" s="0" t="n">
        <v>4</v>
      </c>
      <c r="B5348" s="8" t="s">
        <v>24</v>
      </c>
      <c r="C5348" s="9" t="s">
        <v>25</v>
      </c>
      <c r="D5348" s="9" t="s">
        <v>26</v>
      </c>
      <c r="E5348" s="10" t="n">
        <v>1789</v>
      </c>
      <c r="F5348" s="9" t="s">
        <v>27</v>
      </c>
      <c r="G5348" s="9" t="s">
        <v>27</v>
      </c>
      <c r="H5348" s="11" t="n">
        <v>21</v>
      </c>
      <c r="I5348" s="11" t="s">
        <v>157</v>
      </c>
      <c r="J5348" s="14" t="n">
        <v>240</v>
      </c>
      <c r="K5348" s="14"/>
      <c r="L5348" s="16"/>
      <c r="M5348" s="27" t="n">
        <f aca="false">J5348+(K5348/20)+(L5348/240)</f>
        <v>240</v>
      </c>
      <c r="N5348" s="17" t="s">
        <v>64</v>
      </c>
      <c r="O5348" s="11"/>
      <c r="P5348" s="28"/>
      <c r="Q5348" s="28" t="n">
        <f aca="false">P5348*$M5348</f>
        <v>0</v>
      </c>
      <c r="R5348" s="28"/>
      <c r="S5348" s="28" t="n">
        <f aca="false">R5348*$M5348</f>
        <v>0</v>
      </c>
      <c r="T5348" s="28"/>
      <c r="U5348" s="28" t="n">
        <f aca="false">T5348*$M5348</f>
        <v>0</v>
      </c>
      <c r="V5348" s="28"/>
      <c r="W5348" s="28" t="n">
        <f aca="false">V5348*$M5348</f>
        <v>0</v>
      </c>
      <c r="X5348" s="28"/>
      <c r="Y5348" s="28" t="n">
        <f aca="false">X5348*$M5348</f>
        <v>0</v>
      </c>
      <c r="Z5348" s="28"/>
      <c r="AA5348" s="28" t="n">
        <f aca="false">Z5348*$M5348</f>
        <v>0</v>
      </c>
      <c r="AB5348" s="28"/>
      <c r="AC5348" s="28" t="n">
        <f aca="false">AB5348*$M5348</f>
        <v>0</v>
      </c>
      <c r="AD5348" s="28"/>
      <c r="AE5348" s="28" t="n">
        <f aca="false">AD5348*$M5348</f>
        <v>0</v>
      </c>
      <c r="AF5348" s="28"/>
      <c r="AG5348" s="28" t="n">
        <f aca="false">AF5348*$M5348</f>
        <v>0</v>
      </c>
      <c r="AH5348" s="28"/>
      <c r="AI5348" s="28" t="n">
        <f aca="false">AH5348*$M5348</f>
        <v>0</v>
      </c>
      <c r="AJ5348" s="28" t="n">
        <f aca="false">290/100</f>
        <v>2.9</v>
      </c>
      <c r="AK5348" s="36" t="n">
        <v>2208</v>
      </c>
      <c r="AL5348" s="28"/>
      <c r="AM5348" s="28" t="n">
        <f aca="false">AL5348*$M5348</f>
        <v>0</v>
      </c>
      <c r="AN5348" s="28"/>
      <c r="AO5348" s="28" t="n">
        <f aca="false">AN5348*$M5348</f>
        <v>0</v>
      </c>
      <c r="AP5348" s="28"/>
      <c r="AQ5348" s="28" t="n">
        <f aca="false">AP5348*$M5348</f>
        <v>0</v>
      </c>
      <c r="AR5348" s="28"/>
      <c r="AS5348" s="28" t="n">
        <f aca="false">AR5348*$M5348</f>
        <v>0</v>
      </c>
      <c r="AT5348" s="28"/>
      <c r="AU5348" s="28" t="n">
        <f aca="false">AT5348*$M5348</f>
        <v>0</v>
      </c>
      <c r="AV5348" s="28"/>
      <c r="AW5348" s="28" t="n">
        <f aca="false">AV5348*$M5348</f>
        <v>0</v>
      </c>
      <c r="AX5348" s="28"/>
      <c r="AY5348" s="28" t="n">
        <f aca="false">AX5348*$M5348</f>
        <v>0</v>
      </c>
      <c r="AZ5348" s="30" t="n">
        <f aca="false">290/100</f>
        <v>2.9</v>
      </c>
      <c r="BA5348" s="11" t="n">
        <v>2208</v>
      </c>
      <c r="BB5348" s="31" t="n">
        <f aca="false">SUM(Q5348,S5348,U5348,W5348,Y5348,AA5348,AC5348,AE5348,AG5348,AI5348,AK5348,AM5348,AO5348,AQ5348,AS5348,AU5348,AW5348,AY5348)</f>
        <v>2208</v>
      </c>
      <c r="BC5348" s="28" t="n">
        <f aca="false">BA5348-BB5348</f>
        <v>0</v>
      </c>
      <c r="BD5348" s="32" t="n">
        <f aca="false">SUM(P5348,R5348,T5348,V5348,X5348,Z5348,AB5348,AD5348,AF5348,AH5348,AJ5348,AL5348,AN5348,AP5348,AR5348,AT5348,AV5348,AX5348)</f>
        <v>2.9</v>
      </c>
      <c r="BE5348" s="33" t="n">
        <f aca="false">AZ5348-BD5348</f>
        <v>0</v>
      </c>
      <c r="BF5348" s="34" t="n">
        <f aca="false">BD5348*M5348</f>
        <v>696</v>
      </c>
      <c r="BG5348" s="35" t="n">
        <f aca="false">BA5348-BF5348</f>
        <v>1512</v>
      </c>
      <c r="BH5348" s="19" t="str">
        <f aca="false">IF(BG5348=0,"",IF(BG5348&lt;&gt;BA5348,"erreur de calcul",IF(BD5348&lt;&gt;0,"pas de prix",IF(M5348&lt;&gt; 0,"pas de quantité","pas de prix, ni de quantité"))))</f>
        <v>erreur de calcul</v>
      </c>
      <c r="BI5348" s="19"/>
    </row>
    <row r="5349" customFormat="false" ht="15" hidden="false" customHeight="false" outlineLevel="0" collapsed="false">
      <c r="A5349" s="0" t="n">
        <v>5</v>
      </c>
      <c r="B5349" s="8" t="s">
        <v>24</v>
      </c>
      <c r="C5349" s="9" t="s">
        <v>25</v>
      </c>
      <c r="D5349" s="9" t="s">
        <v>26</v>
      </c>
      <c r="E5349" s="10" t="n">
        <v>1789</v>
      </c>
      <c r="F5349" s="9" t="s">
        <v>27</v>
      </c>
      <c r="G5349" s="9" t="s">
        <v>27</v>
      </c>
      <c r="H5349" s="11" t="n">
        <v>21</v>
      </c>
      <c r="I5349" s="11" t="s">
        <v>158</v>
      </c>
      <c r="J5349" s="14" t="n">
        <v>115</v>
      </c>
      <c r="K5349" s="14"/>
      <c r="L5349" s="16"/>
      <c r="M5349" s="27" t="n">
        <f aca="false">J5349+(K5349/20)+(L5349/240)</f>
        <v>115</v>
      </c>
      <c r="N5349" s="17" t="s">
        <v>64</v>
      </c>
      <c r="O5349" s="11"/>
      <c r="P5349" s="28"/>
      <c r="Q5349" s="28" t="n">
        <f aca="false">P5349*$M5349</f>
        <v>0</v>
      </c>
      <c r="R5349" s="28"/>
      <c r="S5349" s="28" t="n">
        <f aca="false">R5349*$M5349</f>
        <v>0</v>
      </c>
      <c r="T5349" s="28"/>
      <c r="U5349" s="28" t="n">
        <f aca="false">T5349*$M5349</f>
        <v>0</v>
      </c>
      <c r="V5349" s="28"/>
      <c r="W5349" s="28" t="n">
        <f aca="false">V5349*$M5349</f>
        <v>0</v>
      </c>
      <c r="X5349" s="28"/>
      <c r="Y5349" s="28" t="n">
        <f aca="false">X5349*$M5349</f>
        <v>0</v>
      </c>
      <c r="Z5349" s="28"/>
      <c r="AA5349" s="28" t="n">
        <f aca="false">Z5349*$M5349</f>
        <v>0</v>
      </c>
      <c r="AB5349" s="28"/>
      <c r="AC5349" s="28" t="n">
        <f aca="false">AB5349*$M5349</f>
        <v>0</v>
      </c>
      <c r="AD5349" s="28"/>
      <c r="AE5349" s="28" t="n">
        <f aca="false">AD5349*$M5349</f>
        <v>0</v>
      </c>
      <c r="AF5349" s="28"/>
      <c r="AG5349" s="28" t="n">
        <f aca="false">AF5349*$M5349</f>
        <v>0</v>
      </c>
      <c r="AH5349" s="28" t="n">
        <f aca="false">491552/100</f>
        <v>4915.52</v>
      </c>
      <c r="AI5349" s="28" t="n">
        <v>565285</v>
      </c>
      <c r="AJ5349" s="28"/>
      <c r="AK5349" s="28" t="n">
        <f aca="false">AJ5349*$M5349</f>
        <v>0</v>
      </c>
      <c r="AL5349" s="28"/>
      <c r="AM5349" s="28" t="n">
        <f aca="false">AL5349*$M5349</f>
        <v>0</v>
      </c>
      <c r="AN5349" s="28"/>
      <c r="AO5349" s="28" t="n">
        <f aca="false">AN5349*$M5349</f>
        <v>0</v>
      </c>
      <c r="AP5349" s="28"/>
      <c r="AQ5349" s="28" t="n">
        <f aca="false">AP5349*$M5349</f>
        <v>0</v>
      </c>
      <c r="AR5349" s="28"/>
      <c r="AS5349" s="28" t="n">
        <f aca="false">AR5349*$M5349</f>
        <v>0</v>
      </c>
      <c r="AT5349" s="28"/>
      <c r="AU5349" s="28" t="n">
        <f aca="false">AT5349*$M5349</f>
        <v>0</v>
      </c>
      <c r="AV5349" s="28"/>
      <c r="AW5349" s="28" t="n">
        <f aca="false">AV5349*$M5349</f>
        <v>0</v>
      </c>
      <c r="AX5349" s="28"/>
      <c r="AY5349" s="28" t="n">
        <f aca="false">AX5349*$M5349</f>
        <v>0</v>
      </c>
      <c r="AZ5349" s="30" t="n">
        <f aca="false">491552/100</f>
        <v>4915.52</v>
      </c>
      <c r="BA5349" s="11" t="n">
        <v>565285</v>
      </c>
      <c r="BB5349" s="31" t="n">
        <f aca="false">SUM(Q5349,S5349,U5349,W5349,Y5349,AA5349,AC5349,AE5349,AG5349,AI5349,AK5349,AM5349,AO5349,AQ5349,AS5349,AU5349,AW5349,AY5349)</f>
        <v>565285</v>
      </c>
      <c r="BC5349" s="28" t="n">
        <f aca="false">BA5349-BB5349</f>
        <v>0</v>
      </c>
      <c r="BD5349" s="32" t="n">
        <f aca="false">SUM(P5349,R5349,T5349,V5349,X5349,Z5349,AB5349,AD5349,AF5349,AH5349,AJ5349,AL5349,AN5349,AP5349,AR5349,AT5349,AV5349,AX5349)</f>
        <v>4915.52</v>
      </c>
      <c r="BE5349" s="33" t="n">
        <f aca="false">AZ5349-BD5349</f>
        <v>0</v>
      </c>
      <c r="BF5349" s="34" t="n">
        <f aca="false">BD5349*M5349</f>
        <v>565284.8</v>
      </c>
      <c r="BG5349" s="35" t="n">
        <f aca="false">BA5349-BF5349</f>
        <v>0.199999999953434</v>
      </c>
      <c r="BH5349" s="19" t="str">
        <f aca="false">IF(BG5349=0,"",IF(BG5349&lt;&gt;BA5349,"erreur de calcul",IF(BD5349&lt;&gt;0,"pas de prix",IF(M5349&lt;&gt; 0,"pas de quantité","pas de prix, ni de quantité"))))</f>
        <v>erreur de calcul</v>
      </c>
      <c r="BI5349" s="19"/>
    </row>
    <row r="5350" customFormat="false" ht="15" hidden="false" customHeight="false" outlineLevel="0" collapsed="false">
      <c r="A5350" s="0" t="n">
        <v>6</v>
      </c>
      <c r="B5350" s="8" t="s">
        <v>24</v>
      </c>
      <c r="C5350" s="9" t="s">
        <v>25</v>
      </c>
      <c r="D5350" s="9" t="s">
        <v>26</v>
      </c>
      <c r="E5350" s="10" t="n">
        <v>1789</v>
      </c>
      <c r="F5350" s="9" t="s">
        <v>27</v>
      </c>
      <c r="G5350" s="9" t="s">
        <v>27</v>
      </c>
      <c r="H5350" s="11" t="n">
        <v>21</v>
      </c>
      <c r="I5350" s="11" t="s">
        <v>159</v>
      </c>
      <c r="J5350" s="14" t="n">
        <v>240</v>
      </c>
      <c r="K5350" s="14"/>
      <c r="L5350" s="16"/>
      <c r="M5350" s="27" t="n">
        <f aca="false">J5350+(K5350/20)+(L5350/240)</f>
        <v>240</v>
      </c>
      <c r="N5350" s="17" t="s">
        <v>64</v>
      </c>
      <c r="O5350" s="11"/>
      <c r="P5350" s="28"/>
      <c r="Q5350" s="28" t="n">
        <f aca="false">P5350*$M5350</f>
        <v>0</v>
      </c>
      <c r="R5350" s="28"/>
      <c r="S5350" s="28" t="n">
        <f aca="false">R5350*$M5350</f>
        <v>0</v>
      </c>
      <c r="T5350" s="28"/>
      <c r="U5350" s="28" t="n">
        <f aca="false">T5350*$M5350</f>
        <v>0</v>
      </c>
      <c r="V5350" s="28"/>
      <c r="W5350" s="28" t="n">
        <f aca="false">V5350*$M5350</f>
        <v>0</v>
      </c>
      <c r="X5350" s="28"/>
      <c r="Y5350" s="28" t="n">
        <f aca="false">X5350*$M5350</f>
        <v>0</v>
      </c>
      <c r="Z5350" s="28"/>
      <c r="AA5350" s="28" t="n">
        <f aca="false">Z5350*$M5350</f>
        <v>0</v>
      </c>
      <c r="AB5350" s="28"/>
      <c r="AC5350" s="28" t="n">
        <f aca="false">AB5350*$M5350</f>
        <v>0</v>
      </c>
      <c r="AD5350" s="28"/>
      <c r="AE5350" s="28" t="n">
        <f aca="false">AD5350*$M5350</f>
        <v>0</v>
      </c>
      <c r="AF5350" s="28"/>
      <c r="AG5350" s="28" t="n">
        <f aca="false">AF5350*$M5350</f>
        <v>0</v>
      </c>
      <c r="AH5350" s="28" t="n">
        <f aca="false">46293/100</f>
        <v>462.93</v>
      </c>
      <c r="AI5350" s="28" t="n">
        <v>111103</v>
      </c>
      <c r="AJ5350" s="28"/>
      <c r="AK5350" s="28" t="n">
        <f aca="false">AJ5350*$M5350</f>
        <v>0</v>
      </c>
      <c r="AL5350" s="28"/>
      <c r="AM5350" s="28" t="n">
        <f aca="false">AL5350*$M5350</f>
        <v>0</v>
      </c>
      <c r="AN5350" s="28"/>
      <c r="AO5350" s="28" t="n">
        <f aca="false">AN5350*$M5350</f>
        <v>0</v>
      </c>
      <c r="AP5350" s="28"/>
      <c r="AQ5350" s="28" t="n">
        <f aca="false">AP5350*$M5350</f>
        <v>0</v>
      </c>
      <c r="AR5350" s="28"/>
      <c r="AS5350" s="28" t="n">
        <f aca="false">AR5350*$M5350</f>
        <v>0</v>
      </c>
      <c r="AT5350" s="28"/>
      <c r="AU5350" s="28" t="n">
        <f aca="false">AT5350*$M5350</f>
        <v>0</v>
      </c>
      <c r="AV5350" s="28"/>
      <c r="AW5350" s="28" t="n">
        <f aca="false">AV5350*$M5350</f>
        <v>0</v>
      </c>
      <c r="AX5350" s="28"/>
      <c r="AY5350" s="28" t="n">
        <f aca="false">AX5350*$M5350</f>
        <v>0</v>
      </c>
      <c r="AZ5350" s="30" t="n">
        <f aca="false">46293/100</f>
        <v>462.93</v>
      </c>
      <c r="BA5350" s="11" t="n">
        <v>111103</v>
      </c>
      <c r="BB5350" s="31" t="n">
        <f aca="false">SUM(Q5350,S5350,U5350,W5350,Y5350,AA5350,AC5350,AE5350,AG5350,AI5350,AK5350,AM5350,AO5350,AQ5350,AS5350,AU5350,AW5350,AY5350)</f>
        <v>111103</v>
      </c>
      <c r="BC5350" s="28" t="n">
        <f aca="false">BA5350-BB5350</f>
        <v>0</v>
      </c>
      <c r="BD5350" s="32" t="n">
        <f aca="false">SUM(P5350,R5350,T5350,V5350,X5350,Z5350,AB5350,AD5350,AF5350,AH5350,AJ5350,AL5350,AN5350,AP5350,AR5350,AT5350,AV5350,AX5350)</f>
        <v>462.93</v>
      </c>
      <c r="BE5350" s="33" t="n">
        <f aca="false">AZ5350-BD5350</f>
        <v>0</v>
      </c>
      <c r="BF5350" s="34" t="n">
        <f aca="false">BD5350*M5350</f>
        <v>111103.2</v>
      </c>
      <c r="BG5350" s="35" t="n">
        <f aca="false">BA5350-BF5350</f>
        <v>-0.19999999999709</v>
      </c>
      <c r="BH5350" s="19" t="str">
        <f aca="false">IF(BG5350=0,"",IF(BG5350&lt;&gt;BA5350,"erreur de calcul",IF(BD5350&lt;&gt;0,"pas de prix",IF(M5350&lt;&gt; 0,"pas de quantité","pas de prix, ni de quantité"))))</f>
        <v>erreur de calcul</v>
      </c>
      <c r="BI5350" s="19"/>
    </row>
    <row r="5351" customFormat="false" ht="15" hidden="false" customHeight="false" outlineLevel="0" collapsed="false">
      <c r="A5351" s="0" t="n">
        <v>7</v>
      </c>
      <c r="B5351" s="8" t="s">
        <v>24</v>
      </c>
      <c r="C5351" s="9" t="s">
        <v>25</v>
      </c>
      <c r="D5351" s="9" t="s">
        <v>26</v>
      </c>
      <c r="E5351" s="10" t="n">
        <v>1789</v>
      </c>
      <c r="F5351" s="9" t="s">
        <v>27</v>
      </c>
      <c r="G5351" s="9" t="s">
        <v>27</v>
      </c>
      <c r="H5351" s="11" t="n">
        <v>21</v>
      </c>
      <c r="I5351" s="11" t="s">
        <v>160</v>
      </c>
      <c r="J5351" s="14" t="n">
        <v>70</v>
      </c>
      <c r="K5351" s="14"/>
      <c r="L5351" s="16"/>
      <c r="M5351" s="27" t="n">
        <f aca="false">J5351+(K5351/20)+(L5351/240)</f>
        <v>70</v>
      </c>
      <c r="N5351" s="17" t="s">
        <v>64</v>
      </c>
      <c r="O5351" s="11"/>
      <c r="P5351" s="28"/>
      <c r="Q5351" s="28" t="n">
        <f aca="false">P5351*$M5351</f>
        <v>0</v>
      </c>
      <c r="R5351" s="28"/>
      <c r="S5351" s="28" t="n">
        <f aca="false">R5351*$M5351</f>
        <v>0</v>
      </c>
      <c r="T5351" s="28"/>
      <c r="U5351" s="28" t="n">
        <f aca="false">T5351*$M5351</f>
        <v>0</v>
      </c>
      <c r="V5351" s="28"/>
      <c r="W5351" s="28" t="n">
        <f aca="false">V5351*$M5351</f>
        <v>0</v>
      </c>
      <c r="X5351" s="28"/>
      <c r="Y5351" s="28" t="n">
        <f aca="false">X5351*$M5351</f>
        <v>0</v>
      </c>
      <c r="Z5351" s="28"/>
      <c r="AA5351" s="28" t="n">
        <f aca="false">Z5351*$M5351</f>
        <v>0</v>
      </c>
      <c r="AB5351" s="28"/>
      <c r="AC5351" s="28" t="n">
        <f aca="false">AB5351*$M5351</f>
        <v>0</v>
      </c>
      <c r="AD5351" s="28"/>
      <c r="AE5351" s="28" t="n">
        <f aca="false">AD5351*$M5351</f>
        <v>0</v>
      </c>
      <c r="AF5351" s="28" t="n">
        <f aca="false">125849/100</f>
        <v>1258.49</v>
      </c>
      <c r="AG5351" s="28" t="n">
        <v>88094</v>
      </c>
      <c r="AH5351" s="28"/>
      <c r="AI5351" s="28" t="n">
        <f aca="false">AH5351*$M5351</f>
        <v>0</v>
      </c>
      <c r="AJ5351" s="28"/>
      <c r="AK5351" s="28" t="n">
        <f aca="false">AJ5351*$M5351</f>
        <v>0</v>
      </c>
      <c r="AL5351" s="28"/>
      <c r="AM5351" s="28" t="n">
        <f aca="false">AL5351*$M5351</f>
        <v>0</v>
      </c>
      <c r="AN5351" s="28"/>
      <c r="AO5351" s="28" t="n">
        <f aca="false">AN5351*$M5351</f>
        <v>0</v>
      </c>
      <c r="AP5351" s="28"/>
      <c r="AQ5351" s="28" t="n">
        <f aca="false">AP5351*$M5351</f>
        <v>0</v>
      </c>
      <c r="AR5351" s="28"/>
      <c r="AS5351" s="28" t="n">
        <f aca="false">AR5351*$M5351</f>
        <v>0</v>
      </c>
      <c r="AT5351" s="28"/>
      <c r="AU5351" s="28" t="n">
        <f aca="false">AT5351*$M5351</f>
        <v>0</v>
      </c>
      <c r="AV5351" s="28"/>
      <c r="AW5351" s="28" t="n">
        <f aca="false">AV5351*$M5351</f>
        <v>0</v>
      </c>
      <c r="AX5351" s="28"/>
      <c r="AY5351" s="28" t="n">
        <f aca="false">AX5351*$M5351</f>
        <v>0</v>
      </c>
      <c r="AZ5351" s="30" t="n">
        <f aca="false">125849/100</f>
        <v>1258.49</v>
      </c>
      <c r="BA5351" s="11" t="n">
        <v>88094</v>
      </c>
      <c r="BB5351" s="31" t="n">
        <f aca="false">SUM(Q5351,S5351,U5351,W5351,Y5351,AA5351,AC5351,AE5351,AG5351,AI5351,AK5351,AM5351,AO5351,AQ5351,AS5351,AU5351,AW5351,AY5351)</f>
        <v>88094</v>
      </c>
      <c r="BC5351" s="28" t="n">
        <f aca="false">BA5351-BB5351</f>
        <v>0</v>
      </c>
      <c r="BD5351" s="32" t="n">
        <f aca="false">SUM(P5351,R5351,T5351,V5351,X5351,Z5351,AB5351,AD5351,AF5351,AH5351,AJ5351,AL5351,AN5351,AP5351,AR5351,AT5351,AV5351,AX5351)</f>
        <v>1258.49</v>
      </c>
      <c r="BE5351" s="33" t="n">
        <f aca="false">AZ5351-BD5351</f>
        <v>0</v>
      </c>
      <c r="BF5351" s="34" t="n">
        <f aca="false">BD5351*M5351</f>
        <v>88094.3</v>
      </c>
      <c r="BG5351" s="35" t="n">
        <f aca="false">BA5351-BF5351</f>
        <v>-0.30000000000291</v>
      </c>
      <c r="BH5351" s="19" t="str">
        <f aca="false">IF(BG5351=0,"",IF(BG5351&lt;&gt;BA5351,"erreur de calcul",IF(BD5351&lt;&gt;0,"pas de prix",IF(M5351&lt;&gt; 0,"pas de quantité","pas de prix, ni de quantité"))))</f>
        <v>erreur de calcul</v>
      </c>
      <c r="BI5351" s="19"/>
    </row>
    <row r="5352" customFormat="false" ht="15" hidden="false" customHeight="false" outlineLevel="0" collapsed="false">
      <c r="A5352" s="0" t="n">
        <v>8</v>
      </c>
      <c r="B5352" s="8" t="s">
        <v>24</v>
      </c>
      <c r="C5352" s="9" t="s">
        <v>25</v>
      </c>
      <c r="D5352" s="9" t="s">
        <v>26</v>
      </c>
      <c r="E5352" s="10" t="n">
        <v>1789</v>
      </c>
      <c r="F5352" s="9" t="s">
        <v>27</v>
      </c>
      <c r="G5352" s="9" t="s">
        <v>27</v>
      </c>
      <c r="H5352" s="11" t="n">
        <v>21</v>
      </c>
      <c r="I5352" s="11" t="s">
        <v>161</v>
      </c>
      <c r="J5352" s="14" t="n">
        <v>50</v>
      </c>
      <c r="K5352" s="14"/>
      <c r="L5352" s="16"/>
      <c r="M5352" s="27" t="n">
        <f aca="false">J5352+(K5352/20)+(L5352/240)</f>
        <v>50</v>
      </c>
      <c r="N5352" s="17" t="s">
        <v>64</v>
      </c>
      <c r="O5352" s="11"/>
      <c r="P5352" s="28"/>
      <c r="Q5352" s="28" t="n">
        <f aca="false">P5352*$M5352</f>
        <v>0</v>
      </c>
      <c r="R5352" s="28"/>
      <c r="S5352" s="28" t="n">
        <f aca="false">R5352*$M5352</f>
        <v>0</v>
      </c>
      <c r="T5352" s="28"/>
      <c r="U5352" s="28" t="n">
        <f aca="false">T5352*$M5352</f>
        <v>0</v>
      </c>
      <c r="V5352" s="28" t="n">
        <f aca="false">18055/100</f>
        <v>180.55</v>
      </c>
      <c r="W5352" s="28" t="n">
        <v>9027</v>
      </c>
      <c r="X5352" s="28" t="n">
        <f aca="false">17880/100</f>
        <v>178.8</v>
      </c>
      <c r="Y5352" s="28" t="n">
        <v>8940</v>
      </c>
      <c r="Z5352" s="28"/>
      <c r="AA5352" s="28" t="n">
        <f aca="false">Z5352*$M5352</f>
        <v>0</v>
      </c>
      <c r="AB5352" s="28" t="n">
        <f aca="false">104483/100</f>
        <v>1044.83</v>
      </c>
      <c r="AC5352" s="28" t="n">
        <v>52241</v>
      </c>
      <c r="AD5352" s="28"/>
      <c r="AE5352" s="28" t="n">
        <f aca="false">AD5352*$M5352</f>
        <v>0</v>
      </c>
      <c r="AF5352" s="28"/>
      <c r="AG5352" s="28" t="n">
        <f aca="false">AF5352*$M5352</f>
        <v>0</v>
      </c>
      <c r="AH5352" s="28"/>
      <c r="AI5352" s="28" t="n">
        <f aca="false">AH5352*$M5352</f>
        <v>0</v>
      </c>
      <c r="AJ5352" s="28"/>
      <c r="AK5352" s="28" t="n">
        <f aca="false">AJ5352*$M5352</f>
        <v>0</v>
      </c>
      <c r="AL5352" s="28"/>
      <c r="AM5352" s="28" t="n">
        <f aca="false">AL5352*$M5352</f>
        <v>0</v>
      </c>
      <c r="AN5352" s="28"/>
      <c r="AO5352" s="28" t="n">
        <f aca="false">AN5352*$M5352</f>
        <v>0</v>
      </c>
      <c r="AP5352" s="28"/>
      <c r="AQ5352" s="28" t="n">
        <f aca="false">AP5352*$M5352</f>
        <v>0</v>
      </c>
      <c r="AR5352" s="28"/>
      <c r="AS5352" s="28" t="n">
        <f aca="false">AR5352*$M5352</f>
        <v>0</v>
      </c>
      <c r="AT5352" s="28"/>
      <c r="AU5352" s="28" t="n">
        <f aca="false">AT5352*$M5352</f>
        <v>0</v>
      </c>
      <c r="AV5352" s="28"/>
      <c r="AW5352" s="28" t="n">
        <f aca="false">AV5352*$M5352</f>
        <v>0</v>
      </c>
      <c r="AX5352" s="28"/>
      <c r="AY5352" s="28" t="n">
        <f aca="false">AX5352*$M5352</f>
        <v>0</v>
      </c>
      <c r="AZ5352" s="30" t="n">
        <f aca="false">140418/100</f>
        <v>1404.18</v>
      </c>
      <c r="BA5352" s="11" t="n">
        <v>70208</v>
      </c>
      <c r="BB5352" s="31" t="n">
        <f aca="false">SUM(Q5352,S5352,U5352,W5352,Y5352,AA5352,AC5352,AE5352,AG5352,AI5352,AK5352,AM5352,AO5352,AQ5352,AS5352,AU5352,AW5352,AY5352)</f>
        <v>70208</v>
      </c>
      <c r="BC5352" s="28" t="n">
        <f aca="false">BA5352-BB5352</f>
        <v>0</v>
      </c>
      <c r="BD5352" s="32" t="n">
        <f aca="false">SUM(P5352,R5352,T5352,V5352,X5352,Z5352,AB5352,AD5352,AF5352,AH5352,AJ5352,AL5352,AN5352,AP5352,AR5352,AT5352,AV5352,AX5352)</f>
        <v>1404.18</v>
      </c>
      <c r="BE5352" s="33" t="n">
        <f aca="false">AZ5352-BD5352</f>
        <v>0</v>
      </c>
      <c r="BF5352" s="34" t="n">
        <f aca="false">BD5352*M5352</f>
        <v>70209</v>
      </c>
      <c r="BG5352" s="35" t="n">
        <f aca="false">BA5352-BF5352</f>
        <v>-0.999999999985448</v>
      </c>
      <c r="BH5352" s="19" t="str">
        <f aca="false">IF(BG5352=0,"",IF(BG5352&lt;&gt;BA5352,"erreur de calcul",IF(BD5352&lt;&gt;0,"pas de prix",IF(M5352&lt;&gt; 0,"pas de quantité","pas de prix, ni de quantité"))))</f>
        <v>erreur de calcul</v>
      </c>
      <c r="BI5352" s="19"/>
    </row>
    <row r="5353" customFormat="false" ht="15" hidden="false" customHeight="false" outlineLevel="0" collapsed="false">
      <c r="A5353" s="0" t="n">
        <v>9</v>
      </c>
      <c r="B5353" s="8" t="s">
        <v>24</v>
      </c>
      <c r="C5353" s="9" t="s">
        <v>25</v>
      </c>
      <c r="D5353" s="9" t="s">
        <v>26</v>
      </c>
      <c r="E5353" s="10" t="n">
        <v>1789</v>
      </c>
      <c r="F5353" s="9" t="s">
        <v>27</v>
      </c>
      <c r="G5353" s="9" t="s">
        <v>27</v>
      </c>
      <c r="H5353" s="11" t="n">
        <v>21</v>
      </c>
      <c r="I5353" s="11" t="s">
        <v>162</v>
      </c>
      <c r="J5353" s="14" t="n">
        <v>250</v>
      </c>
      <c r="K5353" s="14"/>
      <c r="L5353" s="16"/>
      <c r="M5353" s="27" t="n">
        <f aca="false">J5353+(K5353/20)+(L5353/240)</f>
        <v>250</v>
      </c>
      <c r="N5353" s="17" t="s">
        <v>64</v>
      </c>
      <c r="O5353" s="11"/>
      <c r="P5353" s="28"/>
      <c r="Q5353" s="28" t="n">
        <f aca="false">P5353*$M5353</f>
        <v>0</v>
      </c>
      <c r="R5353" s="28"/>
      <c r="S5353" s="28" t="n">
        <f aca="false">R5353*$M5353</f>
        <v>0</v>
      </c>
      <c r="T5353" s="28"/>
      <c r="U5353" s="28" t="n">
        <f aca="false">T5353*$M5353</f>
        <v>0</v>
      </c>
      <c r="V5353" s="28"/>
      <c r="W5353" s="28" t="n">
        <f aca="false">V5353*$M5353</f>
        <v>0</v>
      </c>
      <c r="X5353" s="28"/>
      <c r="Y5353" s="28" t="n">
        <f aca="false">X5353*$M5353</f>
        <v>0</v>
      </c>
      <c r="Z5353" s="28"/>
      <c r="AA5353" s="28" t="n">
        <f aca="false">Z5353*$M5353</f>
        <v>0</v>
      </c>
      <c r="AB5353" s="28"/>
      <c r="AC5353" s="28" t="n">
        <f aca="false">AB5353*$M5353</f>
        <v>0</v>
      </c>
      <c r="AD5353" s="28"/>
      <c r="AE5353" s="28" t="n">
        <f aca="false">AD5353*$M5353</f>
        <v>0</v>
      </c>
      <c r="AF5353" s="28"/>
      <c r="AG5353" s="28" t="n">
        <f aca="false">AF5353*$M5353</f>
        <v>0</v>
      </c>
      <c r="AH5353" s="28" t="n">
        <f aca="false">2306/100</f>
        <v>23.06</v>
      </c>
      <c r="AI5353" s="36" t="n">
        <v>5073</v>
      </c>
      <c r="AJ5353" s="28"/>
      <c r="AK5353" s="28" t="n">
        <f aca="false">AJ5353*$M5353</f>
        <v>0</v>
      </c>
      <c r="AL5353" s="28"/>
      <c r="AM5353" s="28" t="n">
        <f aca="false">AL5353*$M5353</f>
        <v>0</v>
      </c>
      <c r="AN5353" s="28"/>
      <c r="AO5353" s="28" t="n">
        <f aca="false">AN5353*$M5353</f>
        <v>0</v>
      </c>
      <c r="AP5353" s="28"/>
      <c r="AQ5353" s="28" t="n">
        <f aca="false">AP5353*$M5353</f>
        <v>0</v>
      </c>
      <c r="AR5353" s="28"/>
      <c r="AS5353" s="28" t="n">
        <f aca="false">AR5353*$M5353</f>
        <v>0</v>
      </c>
      <c r="AT5353" s="28"/>
      <c r="AU5353" s="28" t="n">
        <f aca="false">AT5353*$M5353</f>
        <v>0</v>
      </c>
      <c r="AV5353" s="28"/>
      <c r="AW5353" s="28" t="n">
        <f aca="false">AV5353*$M5353</f>
        <v>0</v>
      </c>
      <c r="AX5353" s="28"/>
      <c r="AY5353" s="28" t="n">
        <f aca="false">AX5353*$M5353</f>
        <v>0</v>
      </c>
      <c r="AZ5353" s="30" t="n">
        <f aca="false">2306/100</f>
        <v>23.06</v>
      </c>
      <c r="BA5353" s="11" t="n">
        <v>5073</v>
      </c>
      <c r="BB5353" s="31" t="n">
        <f aca="false">SUM(Q5353,S5353,U5353,W5353,Y5353,AA5353,AC5353,AE5353,AG5353,AI5353,AK5353,AM5353,AO5353,AQ5353,AS5353,AU5353,AW5353,AY5353)</f>
        <v>5073</v>
      </c>
      <c r="BC5353" s="28" t="n">
        <f aca="false">BA5353-BB5353</f>
        <v>0</v>
      </c>
      <c r="BD5353" s="32" t="n">
        <f aca="false">SUM(P5353,R5353,T5353,V5353,X5353,Z5353,AB5353,AD5353,AF5353,AH5353,AJ5353,AL5353,AN5353,AP5353,AR5353,AT5353,AV5353,AX5353)</f>
        <v>23.06</v>
      </c>
      <c r="BE5353" s="33" t="n">
        <f aca="false">AZ5353-BD5353</f>
        <v>0</v>
      </c>
      <c r="BF5353" s="34" t="n">
        <f aca="false">BD5353*M5353</f>
        <v>5765</v>
      </c>
      <c r="BG5353" s="35" t="n">
        <f aca="false">BA5353-BF5353</f>
        <v>-692</v>
      </c>
      <c r="BH5353" s="19" t="str">
        <f aca="false">IF(BG5353=0,"",IF(BG5353&lt;&gt;BA5353,"erreur de calcul",IF(BD5353&lt;&gt;0,"pas de prix",IF(M5353&lt;&gt; 0,"pas de quantité","pas de prix, ni de quantité"))))</f>
        <v>erreur de calcul</v>
      </c>
      <c r="BI5353" s="19"/>
    </row>
    <row r="5354" customFormat="false" ht="15" hidden="false" customHeight="false" outlineLevel="0" collapsed="false">
      <c r="A5354" s="0" t="n">
        <v>10</v>
      </c>
      <c r="B5354" s="8" t="s">
        <v>24</v>
      </c>
      <c r="C5354" s="9" t="s">
        <v>25</v>
      </c>
      <c r="D5354" s="9" t="s">
        <v>26</v>
      </c>
      <c r="E5354" s="10" t="n">
        <v>1789</v>
      </c>
      <c r="F5354" s="9" t="s">
        <v>27</v>
      </c>
      <c r="G5354" s="9" t="s">
        <v>27</v>
      </c>
      <c r="H5354" s="11" t="n">
        <v>21</v>
      </c>
      <c r="I5354" s="11" t="s">
        <v>163</v>
      </c>
      <c r="J5354" s="14"/>
      <c r="K5354" s="14"/>
      <c r="L5354" s="16"/>
      <c r="M5354" s="27" t="n">
        <f aca="false">J5354+(K5354/20)+(L5354/240)</f>
        <v>0</v>
      </c>
      <c r="N5354" s="17"/>
      <c r="O5354" s="11"/>
      <c r="P5354" s="28"/>
      <c r="Q5354" s="28" t="n">
        <v>1571</v>
      </c>
      <c r="R5354" s="28"/>
      <c r="S5354" s="28" t="n">
        <f aca="false">R5354*$M5354</f>
        <v>0</v>
      </c>
      <c r="T5354" s="28"/>
      <c r="U5354" s="28" t="n">
        <v>182</v>
      </c>
      <c r="V5354" s="28"/>
      <c r="W5354" s="28" t="n">
        <v>1801</v>
      </c>
      <c r="X5354" s="28"/>
      <c r="Y5354" s="28" t="n">
        <v>214</v>
      </c>
      <c r="Z5354" s="28"/>
      <c r="AA5354" s="28" t="n">
        <f aca="false">Z5354*$M5354</f>
        <v>0</v>
      </c>
      <c r="AB5354" s="28"/>
      <c r="AC5354" s="28" t="n">
        <v>401</v>
      </c>
      <c r="AD5354" s="28"/>
      <c r="AE5354" s="28" t="n">
        <f aca="false">AD5354*$M5354</f>
        <v>0</v>
      </c>
      <c r="AF5354" s="28"/>
      <c r="AG5354" s="28" t="n">
        <f aca="false">AF5354*$M5354</f>
        <v>0</v>
      </c>
      <c r="AH5354" s="28"/>
      <c r="AI5354" s="28" t="n">
        <f aca="false">AH5354*$M5354</f>
        <v>0</v>
      </c>
      <c r="AJ5354" s="28"/>
      <c r="AK5354" s="28" t="n">
        <v>760</v>
      </c>
      <c r="AL5354" s="28"/>
      <c r="AM5354" s="28" t="n">
        <f aca="false">AL5354*$M5354</f>
        <v>0</v>
      </c>
      <c r="AN5354" s="28"/>
      <c r="AO5354" s="28" t="n">
        <f aca="false">AN5354*$M5354</f>
        <v>0</v>
      </c>
      <c r="AP5354" s="28"/>
      <c r="AQ5354" s="28" t="n">
        <f aca="false">AP5354*$M5354</f>
        <v>0</v>
      </c>
      <c r="AR5354" s="28"/>
      <c r="AS5354" s="28" t="n">
        <f aca="false">AR5354*$M5354</f>
        <v>0</v>
      </c>
      <c r="AT5354" s="28"/>
      <c r="AU5354" s="28" t="n">
        <f aca="false">AT5354*$M5354</f>
        <v>0</v>
      </c>
      <c r="AV5354" s="28"/>
      <c r="AW5354" s="28" t="n">
        <f aca="false">AV5354*$M5354</f>
        <v>0</v>
      </c>
      <c r="AX5354" s="28"/>
      <c r="AY5354" s="28" t="n">
        <f aca="false">AX5354*$M5354</f>
        <v>0</v>
      </c>
      <c r="AZ5354" s="30"/>
      <c r="BA5354" s="11" t="n">
        <v>4929</v>
      </c>
      <c r="BB5354" s="31" t="n">
        <f aca="false">SUM(Q5354,S5354,U5354,W5354,Y5354,AA5354,AC5354,AE5354,AG5354,AI5354,AK5354,AM5354,AO5354,AQ5354,AS5354,AU5354,AW5354,AY5354)</f>
        <v>4929</v>
      </c>
      <c r="BC5354" s="28" t="n">
        <f aca="false">BA5354-BB5354</f>
        <v>0</v>
      </c>
      <c r="BD5354" s="32" t="n">
        <f aca="false">SUM(P5354,R5354,T5354,V5354,X5354,Z5354,AB5354,AD5354,AF5354,AH5354,AJ5354,AL5354,AN5354,AP5354,AR5354,AT5354,AV5354,AX5354)</f>
        <v>0</v>
      </c>
      <c r="BE5354" s="33" t="n">
        <f aca="false">AZ5354-BD5354</f>
        <v>0</v>
      </c>
      <c r="BF5354" s="34" t="n">
        <f aca="false">BD5354*M5354</f>
        <v>0</v>
      </c>
      <c r="BG5354" s="35" t="n">
        <f aca="false">BA5354-BF5354</f>
        <v>4929</v>
      </c>
      <c r="BH5354" s="19" t="str">
        <f aca="false">IF(BG5354=0,"",IF(BG5354&lt;&gt;BA5354,"erreur de calcul",IF(BD5354&lt;&gt;0,"pas de prix",IF(M5354&lt;&gt; 0,"pas de quantité","pas de prix, ni de quantité"))))</f>
        <v>pas de prix, ni de quantité</v>
      </c>
      <c r="BI5354" s="19"/>
    </row>
    <row r="5355" customFormat="false" ht="15" hidden="false" customHeight="false" outlineLevel="0" collapsed="false">
      <c r="A5355" s="0" t="n">
        <v>11</v>
      </c>
      <c r="B5355" s="8" t="s">
        <v>24</v>
      </c>
      <c r="C5355" s="9" t="s">
        <v>25</v>
      </c>
      <c r="D5355" s="9" t="s">
        <v>26</v>
      </c>
      <c r="E5355" s="10" t="n">
        <v>1789</v>
      </c>
      <c r="F5355" s="9" t="s">
        <v>27</v>
      </c>
      <c r="G5355" s="9" t="s">
        <v>27</v>
      </c>
      <c r="H5355" s="11" t="n">
        <v>21</v>
      </c>
      <c r="I5355" s="11" t="s">
        <v>164</v>
      </c>
      <c r="J5355" s="14" t="n">
        <v>580</v>
      </c>
      <c r="K5355" s="14"/>
      <c r="L5355" s="16"/>
      <c r="M5355" s="27" t="n">
        <f aca="false">J5355+(K5355/20)+(L5355/240)</f>
        <v>580</v>
      </c>
      <c r="N5355" s="17" t="s">
        <v>64</v>
      </c>
      <c r="O5355" s="11"/>
      <c r="P5355" s="28" t="n">
        <f aca="false">294/100</f>
        <v>2.94</v>
      </c>
      <c r="Q5355" s="28" t="n">
        <v>1705</v>
      </c>
      <c r="R5355" s="28"/>
      <c r="S5355" s="28" t="n">
        <f aca="false">R5355*$M5355</f>
        <v>0</v>
      </c>
      <c r="T5355" s="28"/>
      <c r="U5355" s="28" t="n">
        <f aca="false">T5355*$M5355</f>
        <v>0</v>
      </c>
      <c r="V5355" s="28"/>
      <c r="W5355" s="28" t="n">
        <f aca="false">V5355*$M5355</f>
        <v>0</v>
      </c>
      <c r="X5355" s="28"/>
      <c r="Y5355" s="28" t="n">
        <f aca="false">X5355*$M5355</f>
        <v>0</v>
      </c>
      <c r="Z5355" s="28"/>
      <c r="AA5355" s="28" t="n">
        <f aca="false">Z5355*$M5355</f>
        <v>0</v>
      </c>
      <c r="AB5355" s="28"/>
      <c r="AC5355" s="28" t="n">
        <f aca="false">AB5355*$M5355</f>
        <v>0</v>
      </c>
      <c r="AD5355" s="28"/>
      <c r="AE5355" s="28" t="n">
        <f aca="false">AD5355*$M5355</f>
        <v>0</v>
      </c>
      <c r="AF5355" s="28"/>
      <c r="AG5355" s="28" t="n">
        <f aca="false">AF5355*$M5355</f>
        <v>0</v>
      </c>
      <c r="AH5355" s="28"/>
      <c r="AI5355" s="28" t="n">
        <f aca="false">AH5355*$M5355</f>
        <v>0</v>
      </c>
      <c r="AJ5355" s="28"/>
      <c r="AK5355" s="28" t="n">
        <f aca="false">AJ5355*$M5355</f>
        <v>0</v>
      </c>
      <c r="AL5355" s="28"/>
      <c r="AM5355" s="28" t="n">
        <f aca="false">AL5355*$M5355</f>
        <v>0</v>
      </c>
      <c r="AN5355" s="28"/>
      <c r="AO5355" s="28" t="n">
        <f aca="false">AN5355*$M5355</f>
        <v>0</v>
      </c>
      <c r="AP5355" s="28"/>
      <c r="AQ5355" s="28" t="n">
        <f aca="false">AP5355*$M5355</f>
        <v>0</v>
      </c>
      <c r="AR5355" s="28"/>
      <c r="AS5355" s="28" t="n">
        <f aca="false">AR5355*$M5355</f>
        <v>0</v>
      </c>
      <c r="AT5355" s="28"/>
      <c r="AU5355" s="28" t="n">
        <f aca="false">AT5355*$M5355</f>
        <v>0</v>
      </c>
      <c r="AV5355" s="28"/>
      <c r="AW5355" s="28" t="n">
        <f aca="false">AV5355*$M5355</f>
        <v>0</v>
      </c>
      <c r="AX5355" s="28"/>
      <c r="AY5355" s="28" t="n">
        <f aca="false">AX5355*$M5355</f>
        <v>0</v>
      </c>
      <c r="AZ5355" s="30" t="n">
        <f aca="false">294/100</f>
        <v>2.94</v>
      </c>
      <c r="BA5355" s="11" t="n">
        <v>1705</v>
      </c>
      <c r="BB5355" s="31" t="n">
        <f aca="false">SUM(Q5355,S5355,U5355,W5355,Y5355,AA5355,AC5355,AE5355,AG5355,AI5355,AK5355,AM5355,AO5355,AQ5355,AS5355,AU5355,AW5355,AY5355)</f>
        <v>1705</v>
      </c>
      <c r="BC5355" s="28" t="n">
        <f aca="false">BA5355-BB5355</f>
        <v>0</v>
      </c>
      <c r="BD5355" s="32" t="n">
        <f aca="false">SUM(P5355,R5355,T5355,V5355,X5355,Z5355,AB5355,AD5355,AF5355,AH5355,AJ5355,AL5355,AN5355,AP5355,AR5355,AT5355,AV5355,AX5355)</f>
        <v>2.94</v>
      </c>
      <c r="BE5355" s="33" t="n">
        <f aca="false">AZ5355-BD5355</f>
        <v>0</v>
      </c>
      <c r="BF5355" s="34" t="n">
        <f aca="false">BD5355*M5355</f>
        <v>1705.2</v>
      </c>
      <c r="BG5355" s="35" t="n">
        <f aca="false">BA5355-BF5355</f>
        <v>-0.200000000000045</v>
      </c>
      <c r="BH5355" s="19" t="str">
        <f aca="false">IF(BG5355=0,"",IF(BG5355&lt;&gt;BA5355,"erreur de calcul",IF(BD5355&lt;&gt;0,"pas de prix",IF(M5355&lt;&gt; 0,"pas de quantité","pas de prix, ni de quantité"))))</f>
        <v>erreur de calcul</v>
      </c>
      <c r="BI5355" s="19"/>
    </row>
    <row r="5356" customFormat="false" ht="15" hidden="false" customHeight="false" outlineLevel="0" collapsed="false">
      <c r="A5356" s="0" t="n">
        <v>12</v>
      </c>
      <c r="B5356" s="8" t="s">
        <v>24</v>
      </c>
      <c r="C5356" s="9" t="s">
        <v>25</v>
      </c>
      <c r="D5356" s="9" t="s">
        <v>26</v>
      </c>
      <c r="E5356" s="10" t="n">
        <v>1789</v>
      </c>
      <c r="F5356" s="9" t="s">
        <v>27</v>
      </c>
      <c r="G5356" s="9" t="s">
        <v>27</v>
      </c>
      <c r="H5356" s="11" t="n">
        <v>21</v>
      </c>
      <c r="I5356" s="11" t="s">
        <v>165</v>
      </c>
      <c r="J5356" s="14" t="n">
        <v>180</v>
      </c>
      <c r="K5356" s="14"/>
      <c r="L5356" s="16"/>
      <c r="M5356" s="27" t="n">
        <f aca="false">J5356+(K5356/20)+(L5356/240)</f>
        <v>180</v>
      </c>
      <c r="N5356" s="17" t="s">
        <v>64</v>
      </c>
      <c r="O5356" s="11"/>
      <c r="P5356" s="28"/>
      <c r="Q5356" s="28" t="n">
        <f aca="false">P5356*$M5356</f>
        <v>0</v>
      </c>
      <c r="R5356" s="28"/>
      <c r="S5356" s="28" t="n">
        <f aca="false">R5356*$M5356</f>
        <v>0</v>
      </c>
      <c r="T5356" s="28"/>
      <c r="U5356" s="28" t="n">
        <f aca="false">T5356*$M5356</f>
        <v>0</v>
      </c>
      <c r="V5356" s="28"/>
      <c r="W5356" s="28" t="n">
        <f aca="false">V5356*$M5356</f>
        <v>0</v>
      </c>
      <c r="X5356" s="28"/>
      <c r="Y5356" s="28" t="n">
        <f aca="false">X5356*$M5356</f>
        <v>0</v>
      </c>
      <c r="Z5356" s="28"/>
      <c r="AA5356" s="28" t="n">
        <f aca="false">Z5356*$M5356</f>
        <v>0</v>
      </c>
      <c r="AB5356" s="28"/>
      <c r="AC5356" s="28" t="n">
        <f aca="false">AB5356*$M5356</f>
        <v>0</v>
      </c>
      <c r="AD5356" s="28"/>
      <c r="AE5356" s="28" t="n">
        <f aca="false">AD5356*$M5356</f>
        <v>0</v>
      </c>
      <c r="AF5356" s="28"/>
      <c r="AG5356" s="28" t="n">
        <f aca="false">AF5356*$M5356</f>
        <v>0</v>
      </c>
      <c r="AH5356" s="28"/>
      <c r="AI5356" s="28" t="n">
        <f aca="false">AH5356*$M5356</f>
        <v>0</v>
      </c>
      <c r="AJ5356" s="28"/>
      <c r="AK5356" s="28" t="n">
        <f aca="false">AJ5356*$M5356</f>
        <v>0</v>
      </c>
      <c r="AL5356" s="28"/>
      <c r="AM5356" s="28" t="n">
        <f aca="false">AL5356*$M5356</f>
        <v>0</v>
      </c>
      <c r="AN5356" s="28" t="n">
        <f aca="false">13754/100</f>
        <v>137.54</v>
      </c>
      <c r="AO5356" s="28" t="n">
        <v>24757</v>
      </c>
      <c r="AP5356" s="28"/>
      <c r="AQ5356" s="28" t="n">
        <f aca="false">AP5356*$M5356</f>
        <v>0</v>
      </c>
      <c r="AR5356" s="28"/>
      <c r="AS5356" s="28" t="n">
        <f aca="false">AR5356*$M5356</f>
        <v>0</v>
      </c>
      <c r="AT5356" s="28"/>
      <c r="AU5356" s="28" t="n">
        <f aca="false">AT5356*$M5356</f>
        <v>0</v>
      </c>
      <c r="AV5356" s="28"/>
      <c r="AW5356" s="28" t="n">
        <f aca="false">AV5356*$M5356</f>
        <v>0</v>
      </c>
      <c r="AX5356" s="28"/>
      <c r="AY5356" s="28" t="n">
        <f aca="false">AX5356*$M5356</f>
        <v>0</v>
      </c>
      <c r="AZ5356" s="30" t="n">
        <f aca="false">17360/100</f>
        <v>173.6</v>
      </c>
      <c r="BA5356" s="11" t="n">
        <v>24757</v>
      </c>
      <c r="BB5356" s="31" t="n">
        <f aca="false">SUM(Q5356,S5356,U5356,W5356,Y5356,AA5356,AC5356,AE5356,AG5356,AI5356,AK5356,AM5356,AO5356,AQ5356,AS5356,AU5356,AW5356,AY5356)</f>
        <v>24757</v>
      </c>
      <c r="BC5356" s="28" t="n">
        <f aca="false">BA5356-BB5356</f>
        <v>0</v>
      </c>
      <c r="BD5356" s="32" t="n">
        <f aca="false">SUM(P5356,R5356,T5356,V5356,X5356,Z5356,AB5356,AD5356,AF5356,AH5356,AJ5356,AL5356,AN5356,AP5356,AR5356,AT5356,AV5356,AX5356)</f>
        <v>137.54</v>
      </c>
      <c r="BE5356" s="33" t="n">
        <f aca="false">AZ5356-BD5356</f>
        <v>36.06</v>
      </c>
      <c r="BF5356" s="34" t="n">
        <f aca="false">BD5356*M5356</f>
        <v>24757.2</v>
      </c>
      <c r="BG5356" s="35" t="n">
        <f aca="false">BA5356-BF5356</f>
        <v>-0.19999999999709</v>
      </c>
      <c r="BH5356" s="19" t="str">
        <f aca="false">IF(BG5356=0,"",IF(BG5356&lt;&gt;BA5356,"erreur de calcul",IF(BD5356&lt;&gt;0,"pas de prix",IF(M5356&lt;&gt; 0,"pas de quantité","pas de prix, ni de quantité"))))</f>
        <v>erreur de calcul</v>
      </c>
      <c r="BI5356" s="19"/>
    </row>
    <row r="5357" customFormat="false" ht="15" hidden="false" customHeight="false" outlineLevel="0" collapsed="false">
      <c r="A5357" s="0" t="n">
        <v>13</v>
      </c>
      <c r="B5357" s="8" t="s">
        <v>24</v>
      </c>
      <c r="C5357" s="9" t="s">
        <v>25</v>
      </c>
      <c r="D5357" s="9" t="s">
        <v>26</v>
      </c>
      <c r="E5357" s="10" t="n">
        <v>1789</v>
      </c>
      <c r="F5357" s="9" t="s">
        <v>27</v>
      </c>
      <c r="G5357" s="9" t="s">
        <v>27</v>
      </c>
      <c r="H5357" s="11" t="n">
        <v>21</v>
      </c>
      <c r="I5357" s="11" t="s">
        <v>166</v>
      </c>
      <c r="J5357" s="14" t="n">
        <v>90</v>
      </c>
      <c r="K5357" s="14"/>
      <c r="L5357" s="16"/>
      <c r="M5357" s="27" t="n">
        <f aca="false">J5357+(K5357/20)+(L5357/240)</f>
        <v>90</v>
      </c>
      <c r="N5357" s="17" t="s">
        <v>64</v>
      </c>
      <c r="O5357" s="11"/>
      <c r="P5357" s="28" t="n">
        <f aca="false">3606/100</f>
        <v>36.06</v>
      </c>
      <c r="Q5357" s="28" t="n">
        <v>3245</v>
      </c>
      <c r="R5357" s="28"/>
      <c r="S5357" s="28" t="n">
        <f aca="false">R5357*$M5357</f>
        <v>0</v>
      </c>
      <c r="T5357" s="28"/>
      <c r="U5357" s="28" t="n">
        <f aca="false">T5357*$M5357</f>
        <v>0</v>
      </c>
      <c r="V5357" s="28"/>
      <c r="W5357" s="28" t="n">
        <f aca="false">V5357*$M5357</f>
        <v>0</v>
      </c>
      <c r="X5357" s="28"/>
      <c r="Y5357" s="28" t="n">
        <f aca="false">X5357*$M5357</f>
        <v>0</v>
      </c>
      <c r="Z5357" s="28"/>
      <c r="AA5357" s="28" t="n">
        <f aca="false">Z5357*$M5357</f>
        <v>0</v>
      </c>
      <c r="AB5357" s="28"/>
      <c r="AC5357" s="28" t="n">
        <f aca="false">AB5357*$M5357</f>
        <v>0</v>
      </c>
      <c r="AD5357" s="28"/>
      <c r="AE5357" s="28" t="n">
        <f aca="false">AD5357*$M5357</f>
        <v>0</v>
      </c>
      <c r="AF5357" s="28"/>
      <c r="AG5357" s="28" t="n">
        <f aca="false">AF5357*$M5357</f>
        <v>0</v>
      </c>
      <c r="AH5357" s="28"/>
      <c r="AI5357" s="28" t="n">
        <f aca="false">AH5357*$M5357</f>
        <v>0</v>
      </c>
      <c r="AJ5357" s="28"/>
      <c r="AK5357" s="28" t="n">
        <f aca="false">AJ5357*$M5357</f>
        <v>0</v>
      </c>
      <c r="AL5357" s="28"/>
      <c r="AM5357" s="28" t="n">
        <f aca="false">AL5357*$M5357</f>
        <v>0</v>
      </c>
      <c r="AN5357" s="28"/>
      <c r="AO5357" s="28" t="n">
        <f aca="false">AN5357*$M5357</f>
        <v>0</v>
      </c>
      <c r="AP5357" s="28"/>
      <c r="AQ5357" s="28" t="n">
        <f aca="false">AP5357*$M5357</f>
        <v>0</v>
      </c>
      <c r="AR5357" s="28"/>
      <c r="AS5357" s="28" t="n">
        <f aca="false">AR5357*$M5357</f>
        <v>0</v>
      </c>
      <c r="AT5357" s="28"/>
      <c r="AU5357" s="28" t="n">
        <f aca="false">AT5357*$M5357</f>
        <v>0</v>
      </c>
      <c r="AV5357" s="28"/>
      <c r="AW5357" s="28" t="n">
        <f aca="false">AV5357*$M5357</f>
        <v>0</v>
      </c>
      <c r="AX5357" s="28"/>
      <c r="AY5357" s="28" t="n">
        <f aca="false">AX5357*$M5357</f>
        <v>0</v>
      </c>
      <c r="AZ5357" s="30" t="n">
        <f aca="false">3606/100</f>
        <v>36.06</v>
      </c>
      <c r="BA5357" s="11" t="n">
        <v>3245</v>
      </c>
      <c r="BB5357" s="31" t="n">
        <f aca="false">SUM(Q5357,S5357,U5357,W5357,Y5357,AA5357,AC5357,AE5357,AG5357,AI5357,AK5357,AM5357,AO5357,AQ5357,AS5357,AU5357,AW5357,AY5357)</f>
        <v>3245</v>
      </c>
      <c r="BC5357" s="28" t="n">
        <f aca="false">BA5357-BB5357</f>
        <v>0</v>
      </c>
      <c r="BD5357" s="32" t="n">
        <f aca="false">SUM(P5357,R5357,T5357,V5357,X5357,Z5357,AB5357,AD5357,AF5357,AH5357,AJ5357,AL5357,AN5357,AP5357,AR5357,AT5357,AV5357,AX5357)</f>
        <v>36.06</v>
      </c>
      <c r="BE5357" s="33" t="n">
        <f aca="false">AZ5357-BD5357</f>
        <v>0</v>
      </c>
      <c r="BF5357" s="34" t="n">
        <f aca="false">BD5357*M5357</f>
        <v>3245.4</v>
      </c>
      <c r="BG5357" s="35" t="n">
        <f aca="false">BA5357-BF5357</f>
        <v>-0.400000000000091</v>
      </c>
      <c r="BH5357" s="19" t="str">
        <f aca="false">IF(BG5357=0,"",IF(BG5357&lt;&gt;BA5357,"erreur de calcul",IF(BD5357&lt;&gt;0,"pas de prix",IF(M5357&lt;&gt; 0,"pas de quantité","pas de prix, ni de quantité"))))</f>
        <v>erreur de calcul</v>
      </c>
      <c r="BI5357" s="19"/>
    </row>
    <row r="5358" customFormat="false" ht="15" hidden="false" customHeight="false" outlineLevel="0" collapsed="false">
      <c r="A5358" s="0" t="n">
        <v>14</v>
      </c>
      <c r="B5358" s="8" t="s">
        <v>24</v>
      </c>
      <c r="C5358" s="9" t="s">
        <v>25</v>
      </c>
      <c r="D5358" s="9" t="s">
        <v>26</v>
      </c>
      <c r="E5358" s="10" t="n">
        <v>1789</v>
      </c>
      <c r="F5358" s="9" t="s">
        <v>27</v>
      </c>
      <c r="G5358" s="9" t="s">
        <v>27</v>
      </c>
      <c r="H5358" s="11" t="n">
        <v>21</v>
      </c>
      <c r="I5358" s="11" t="s">
        <v>167</v>
      </c>
      <c r="J5358" s="14" t="n">
        <v>60</v>
      </c>
      <c r="K5358" s="14"/>
      <c r="L5358" s="16"/>
      <c r="M5358" s="27" t="n">
        <f aca="false">J5358+(K5358/20)+(L5358/240)</f>
        <v>60</v>
      </c>
      <c r="N5358" s="17" t="s">
        <v>64</v>
      </c>
      <c r="O5358" s="11"/>
      <c r="P5358" s="28" t="n">
        <f aca="false">19377/100</f>
        <v>193.77</v>
      </c>
      <c r="Q5358" s="28" t="n">
        <v>11626</v>
      </c>
      <c r="R5358" s="28"/>
      <c r="S5358" s="28" t="n">
        <f aca="false">R5358*$M5358</f>
        <v>0</v>
      </c>
      <c r="T5358" s="28"/>
      <c r="U5358" s="28" t="n">
        <f aca="false">T5358*$M5358</f>
        <v>0</v>
      </c>
      <c r="V5358" s="28"/>
      <c r="W5358" s="28" t="n">
        <f aca="false">V5358*$M5358</f>
        <v>0</v>
      </c>
      <c r="X5358" s="28"/>
      <c r="Y5358" s="28" t="n">
        <f aca="false">X5358*$M5358</f>
        <v>0</v>
      </c>
      <c r="Z5358" s="28"/>
      <c r="AA5358" s="28" t="n">
        <f aca="false">Z5358*$M5358</f>
        <v>0</v>
      </c>
      <c r="AB5358" s="28"/>
      <c r="AC5358" s="28" t="n">
        <f aca="false">AB5358*$M5358</f>
        <v>0</v>
      </c>
      <c r="AD5358" s="28"/>
      <c r="AE5358" s="28" t="n">
        <f aca="false">AD5358*$M5358</f>
        <v>0</v>
      </c>
      <c r="AF5358" s="28"/>
      <c r="AG5358" s="28" t="n">
        <f aca="false">AF5358*$M5358</f>
        <v>0</v>
      </c>
      <c r="AH5358" s="28"/>
      <c r="AI5358" s="28" t="n">
        <f aca="false">AH5358*$M5358</f>
        <v>0</v>
      </c>
      <c r="AJ5358" s="28"/>
      <c r="AK5358" s="28" t="n">
        <f aca="false">AJ5358*$M5358</f>
        <v>0</v>
      </c>
      <c r="AL5358" s="28"/>
      <c r="AM5358" s="28" t="n">
        <f aca="false">AL5358*$M5358</f>
        <v>0</v>
      </c>
      <c r="AN5358" s="28"/>
      <c r="AO5358" s="28" t="n">
        <f aca="false">AN5358*$M5358</f>
        <v>0</v>
      </c>
      <c r="AP5358" s="28"/>
      <c r="AQ5358" s="28" t="n">
        <f aca="false">AP5358*$M5358</f>
        <v>0</v>
      </c>
      <c r="AR5358" s="28"/>
      <c r="AS5358" s="28" t="n">
        <f aca="false">AR5358*$M5358</f>
        <v>0</v>
      </c>
      <c r="AT5358" s="28"/>
      <c r="AU5358" s="28" t="n">
        <f aca="false">AT5358*$M5358</f>
        <v>0</v>
      </c>
      <c r="AV5358" s="28"/>
      <c r="AW5358" s="28" t="n">
        <f aca="false">AV5358*$M5358</f>
        <v>0</v>
      </c>
      <c r="AX5358" s="28"/>
      <c r="AY5358" s="28" t="n">
        <f aca="false">AX5358*$M5358</f>
        <v>0</v>
      </c>
      <c r="AZ5358" s="30" t="n">
        <f aca="false">19377/100</f>
        <v>193.77</v>
      </c>
      <c r="BA5358" s="11" t="n">
        <v>11626</v>
      </c>
      <c r="BB5358" s="31" t="n">
        <f aca="false">SUM(Q5358,S5358,U5358,W5358,Y5358,AA5358,AC5358,AE5358,AG5358,AI5358,AK5358,AM5358,AO5358,AQ5358,AS5358,AU5358,AW5358,AY5358)</f>
        <v>11626</v>
      </c>
      <c r="BC5358" s="28" t="n">
        <f aca="false">BA5358-BB5358</f>
        <v>0</v>
      </c>
      <c r="BD5358" s="32" t="n">
        <f aca="false">SUM(P5358,R5358,T5358,V5358,X5358,Z5358,AB5358,AD5358,AF5358,AH5358,AJ5358,AL5358,AN5358,AP5358,AR5358,AT5358,AV5358,AX5358)</f>
        <v>193.77</v>
      </c>
      <c r="BE5358" s="33" t="n">
        <f aca="false">AZ5358-BD5358</f>
        <v>0</v>
      </c>
      <c r="BF5358" s="34" t="n">
        <f aca="false">BD5358*M5358</f>
        <v>11626.2</v>
      </c>
      <c r="BG5358" s="35" t="n">
        <f aca="false">BA5358-BF5358</f>
        <v>-0.200000000000728</v>
      </c>
      <c r="BH5358" s="19" t="str">
        <f aca="false">IF(BG5358=0,"",IF(BG5358&lt;&gt;BA5358,"erreur de calcul",IF(BD5358&lt;&gt;0,"pas de prix",IF(M5358&lt;&gt; 0,"pas de quantité","pas de prix, ni de quantité"))))</f>
        <v>erreur de calcul</v>
      </c>
      <c r="BI5358" s="19"/>
    </row>
    <row r="5359" customFormat="false" ht="15" hidden="false" customHeight="false" outlineLevel="0" collapsed="false">
      <c r="A5359" s="0" t="n">
        <v>15</v>
      </c>
      <c r="B5359" s="8" t="s">
        <v>24</v>
      </c>
      <c r="C5359" s="9" t="s">
        <v>25</v>
      </c>
      <c r="D5359" s="9" t="s">
        <v>26</v>
      </c>
      <c r="E5359" s="10" t="n">
        <v>1789</v>
      </c>
      <c r="F5359" s="9" t="s">
        <v>27</v>
      </c>
      <c r="G5359" s="9" t="s">
        <v>27</v>
      </c>
      <c r="H5359" s="11" t="n">
        <v>21</v>
      </c>
      <c r="I5359" s="11" t="s">
        <v>168</v>
      </c>
      <c r="J5359" s="14" t="n">
        <v>345</v>
      </c>
      <c r="K5359" s="14"/>
      <c r="L5359" s="16"/>
      <c r="M5359" s="27" t="n">
        <f aca="false">J5359+(K5359/20)+(L5359/240)</f>
        <v>345</v>
      </c>
      <c r="N5359" s="17" t="s">
        <v>64</v>
      </c>
      <c r="O5359" s="11"/>
      <c r="P5359" s="28" t="n">
        <f aca="false">617/100</f>
        <v>6.17</v>
      </c>
      <c r="Q5359" s="28" t="n">
        <v>2129</v>
      </c>
      <c r="R5359" s="28"/>
      <c r="S5359" s="28" t="n">
        <f aca="false">R5359*$M5359</f>
        <v>0</v>
      </c>
      <c r="T5359" s="28"/>
      <c r="U5359" s="28" t="n">
        <f aca="false">T5359*$M5359</f>
        <v>0</v>
      </c>
      <c r="V5359" s="28"/>
      <c r="W5359" s="28" t="n">
        <f aca="false">V5359*$M5359</f>
        <v>0</v>
      </c>
      <c r="X5359" s="28"/>
      <c r="Y5359" s="28" t="n">
        <f aca="false">X5359*$M5359</f>
        <v>0</v>
      </c>
      <c r="Z5359" s="28"/>
      <c r="AA5359" s="28" t="n">
        <f aca="false">Z5359*$M5359</f>
        <v>0</v>
      </c>
      <c r="AB5359" s="28" t="n">
        <f aca="false">1270/100</f>
        <v>12.7</v>
      </c>
      <c r="AC5359" s="28" t="n">
        <v>4381</v>
      </c>
      <c r="AD5359" s="28"/>
      <c r="AE5359" s="28" t="n">
        <f aca="false">AD5359*$M5359</f>
        <v>0</v>
      </c>
      <c r="AF5359" s="28"/>
      <c r="AG5359" s="28" t="n">
        <f aca="false">AF5359*$M5359</f>
        <v>0</v>
      </c>
      <c r="AH5359" s="28"/>
      <c r="AI5359" s="28" t="n">
        <f aca="false">AH5359*$M5359</f>
        <v>0</v>
      </c>
      <c r="AJ5359" s="28"/>
      <c r="AK5359" s="28" t="n">
        <f aca="false">AJ5359*$M5359</f>
        <v>0</v>
      </c>
      <c r="AL5359" s="28"/>
      <c r="AM5359" s="28" t="n">
        <f aca="false">AL5359*$M5359</f>
        <v>0</v>
      </c>
      <c r="AN5359" s="28"/>
      <c r="AO5359" s="28" t="n">
        <f aca="false">AN5359*$M5359</f>
        <v>0</v>
      </c>
      <c r="AP5359" s="28"/>
      <c r="AQ5359" s="28" t="n">
        <f aca="false">AP5359*$M5359</f>
        <v>0</v>
      </c>
      <c r="AR5359" s="28"/>
      <c r="AS5359" s="28" t="n">
        <f aca="false">AR5359*$M5359</f>
        <v>0</v>
      </c>
      <c r="AT5359" s="28"/>
      <c r="AU5359" s="28" t="n">
        <f aca="false">AT5359*$M5359</f>
        <v>0</v>
      </c>
      <c r="AV5359" s="28"/>
      <c r="AW5359" s="28" t="n">
        <f aca="false">AV5359*$M5359</f>
        <v>0</v>
      </c>
      <c r="AX5359" s="28"/>
      <c r="AY5359" s="28" t="n">
        <f aca="false">AX5359*$M5359</f>
        <v>0</v>
      </c>
      <c r="AZ5359" s="30" t="n">
        <f aca="false">1887/100</f>
        <v>18.87</v>
      </c>
      <c r="BA5359" s="11" t="n">
        <v>6510</v>
      </c>
      <c r="BB5359" s="31" t="n">
        <f aca="false">SUM(Q5359,S5359,U5359,W5359,Y5359,AA5359,AC5359,AE5359,AG5359,AI5359,AK5359,AM5359,AO5359,AQ5359,AS5359,AU5359,AW5359,AY5359)</f>
        <v>6510</v>
      </c>
      <c r="BC5359" s="28" t="n">
        <f aca="false">BA5359-BB5359</f>
        <v>0</v>
      </c>
      <c r="BD5359" s="32" t="n">
        <f aca="false">SUM(P5359,R5359,T5359,V5359,X5359,Z5359,AB5359,AD5359,AF5359,AH5359,AJ5359,AL5359,AN5359,AP5359,AR5359,AT5359,AV5359,AX5359)</f>
        <v>18.87</v>
      </c>
      <c r="BE5359" s="33" t="n">
        <f aca="false">AZ5359-BD5359</f>
        <v>0</v>
      </c>
      <c r="BF5359" s="34" t="n">
        <f aca="false">BD5359*M5359</f>
        <v>6510.15</v>
      </c>
      <c r="BG5359" s="35" t="n">
        <f aca="false">BA5359-BF5359</f>
        <v>-0.149999999998727</v>
      </c>
      <c r="BH5359" s="19" t="str">
        <f aca="false">IF(BG5359=0,"",IF(BG5359&lt;&gt;BA5359,"erreur de calcul",IF(BD5359&lt;&gt;0,"pas de prix",IF(M5359&lt;&gt; 0,"pas de quantité","pas de prix, ni de quantité"))))</f>
        <v>erreur de calcul</v>
      </c>
      <c r="BI5359" s="19"/>
    </row>
    <row r="5360" customFormat="false" ht="15" hidden="false" customHeight="false" outlineLevel="0" collapsed="false">
      <c r="A5360" s="0" t="n">
        <v>16</v>
      </c>
      <c r="B5360" s="8" t="s">
        <v>24</v>
      </c>
      <c r="C5360" s="9" t="s">
        <v>25</v>
      </c>
      <c r="D5360" s="9" t="s">
        <v>26</v>
      </c>
      <c r="E5360" s="10" t="n">
        <v>1789</v>
      </c>
      <c r="F5360" s="9" t="s">
        <v>27</v>
      </c>
      <c r="G5360" s="9" t="s">
        <v>27</v>
      </c>
      <c r="H5360" s="11" t="n">
        <v>21</v>
      </c>
      <c r="I5360" s="11" t="s">
        <v>169</v>
      </c>
      <c r="J5360" s="14" t="n">
        <v>6</v>
      </c>
      <c r="K5360" s="14"/>
      <c r="L5360" s="16"/>
      <c r="M5360" s="27" t="n">
        <f aca="false">J5360+(K5360/20)+(L5360/240)</f>
        <v>6</v>
      </c>
      <c r="N5360" s="17" t="s">
        <v>64</v>
      </c>
      <c r="O5360" s="11"/>
      <c r="P5360" s="28"/>
      <c r="Q5360" s="28" t="n">
        <f aca="false">P5360*$M5360</f>
        <v>0</v>
      </c>
      <c r="R5360" s="28"/>
      <c r="S5360" s="28" t="n">
        <f aca="false">R5360*$M5360</f>
        <v>0</v>
      </c>
      <c r="T5360" s="28"/>
      <c r="U5360" s="28" t="n">
        <f aca="false">T5360*$M5360</f>
        <v>0</v>
      </c>
      <c r="V5360" s="28" t="n">
        <f aca="false">39752/100</f>
        <v>397.52</v>
      </c>
      <c r="W5360" s="28" t="n">
        <v>2385</v>
      </c>
      <c r="X5360" s="28"/>
      <c r="Y5360" s="28" t="n">
        <f aca="false">X5360*$M5360</f>
        <v>0</v>
      </c>
      <c r="Z5360" s="28"/>
      <c r="AA5360" s="28" t="n">
        <f aca="false">Z5360*$M5360</f>
        <v>0</v>
      </c>
      <c r="AB5360" s="28"/>
      <c r="AC5360" s="28" t="n">
        <f aca="false">AB5360*$M5360</f>
        <v>0</v>
      </c>
      <c r="AD5360" s="28"/>
      <c r="AE5360" s="28" t="n">
        <f aca="false">AD5360*$M5360</f>
        <v>0</v>
      </c>
      <c r="AF5360" s="28"/>
      <c r="AG5360" s="28" t="n">
        <f aca="false">AF5360*$M5360</f>
        <v>0</v>
      </c>
      <c r="AH5360" s="28"/>
      <c r="AI5360" s="28" t="n">
        <f aca="false">AH5360*$M5360</f>
        <v>0</v>
      </c>
      <c r="AJ5360" s="28"/>
      <c r="AK5360" s="28" t="n">
        <f aca="false">AJ5360*$M5360</f>
        <v>0</v>
      </c>
      <c r="AL5360" s="28"/>
      <c r="AM5360" s="28" t="n">
        <f aca="false">AL5360*$M5360</f>
        <v>0</v>
      </c>
      <c r="AN5360" s="28"/>
      <c r="AO5360" s="28" t="n">
        <f aca="false">AN5360*$M5360</f>
        <v>0</v>
      </c>
      <c r="AP5360" s="28"/>
      <c r="AQ5360" s="28" t="n">
        <f aca="false">AP5360*$M5360</f>
        <v>0</v>
      </c>
      <c r="AR5360" s="28"/>
      <c r="AS5360" s="28" t="n">
        <f aca="false">AR5360*$M5360</f>
        <v>0</v>
      </c>
      <c r="AT5360" s="28"/>
      <c r="AU5360" s="28" t="n">
        <f aca="false">AT5360*$M5360</f>
        <v>0</v>
      </c>
      <c r="AV5360" s="28"/>
      <c r="AW5360" s="28" t="n">
        <f aca="false">AV5360*$M5360</f>
        <v>0</v>
      </c>
      <c r="AX5360" s="28"/>
      <c r="AY5360" s="28" t="n">
        <f aca="false">AX5360*$M5360</f>
        <v>0</v>
      </c>
      <c r="AZ5360" s="30" t="n">
        <f aca="false">39752/100</f>
        <v>397.52</v>
      </c>
      <c r="BA5360" s="11" t="n">
        <v>2385</v>
      </c>
      <c r="BB5360" s="31" t="n">
        <f aca="false">SUM(Q5360,S5360,U5360,W5360,Y5360,AA5360,AC5360,AE5360,AG5360,AI5360,AK5360,AM5360,AO5360,AQ5360,AS5360,AU5360,AW5360,AY5360)</f>
        <v>2385</v>
      </c>
      <c r="BC5360" s="28" t="n">
        <f aca="false">BA5360-BB5360</f>
        <v>0</v>
      </c>
      <c r="BD5360" s="32" t="n">
        <f aca="false">SUM(P5360,R5360,T5360,V5360,X5360,Z5360,AB5360,AD5360,AF5360,AH5360,AJ5360,AL5360,AN5360,AP5360,AR5360,AT5360,AV5360,AX5360)</f>
        <v>397.52</v>
      </c>
      <c r="BE5360" s="33" t="n">
        <f aca="false">AZ5360-BD5360</f>
        <v>0</v>
      </c>
      <c r="BF5360" s="34" t="n">
        <f aca="false">BD5360*M5360</f>
        <v>2385.12</v>
      </c>
      <c r="BG5360" s="35" t="n">
        <f aca="false">BA5360-BF5360</f>
        <v>-0.119999999999891</v>
      </c>
      <c r="BH5360" s="19" t="str">
        <f aca="false">IF(BG5360=0,"",IF(BG5360&lt;&gt;BA5360,"erreur de calcul",IF(BD5360&lt;&gt;0,"pas de prix",IF(M5360&lt;&gt; 0,"pas de quantité","pas de prix, ni de quantité"))))</f>
        <v>erreur de calcul</v>
      </c>
      <c r="BI5360" s="19"/>
    </row>
    <row r="5361" customFormat="false" ht="15" hidden="false" customHeight="false" outlineLevel="0" collapsed="false">
      <c r="A5361" s="0" t="n">
        <v>17</v>
      </c>
      <c r="B5361" s="8" t="s">
        <v>24</v>
      </c>
      <c r="C5361" s="9" t="s">
        <v>25</v>
      </c>
      <c r="D5361" s="9" t="s">
        <v>26</v>
      </c>
      <c r="E5361" s="10" t="n">
        <v>1789</v>
      </c>
      <c r="F5361" s="9" t="s">
        <v>27</v>
      </c>
      <c r="G5361" s="9" t="s">
        <v>27</v>
      </c>
      <c r="H5361" s="11" t="n">
        <v>21</v>
      </c>
      <c r="I5361" s="11" t="s">
        <v>170</v>
      </c>
      <c r="J5361" s="14" t="n">
        <v>90</v>
      </c>
      <c r="K5361" s="14"/>
      <c r="L5361" s="16"/>
      <c r="M5361" s="27" t="n">
        <f aca="false">J5361+(K5361/20)+(L5361/240)</f>
        <v>90</v>
      </c>
      <c r="N5361" s="17" t="s">
        <v>64</v>
      </c>
      <c r="O5361" s="11"/>
      <c r="P5361" s="28"/>
      <c r="Q5361" s="28" t="n">
        <f aca="false">P5361*$M5361</f>
        <v>0</v>
      </c>
      <c r="R5361" s="28"/>
      <c r="S5361" s="28" t="n">
        <f aca="false">R5361*$M5361</f>
        <v>0</v>
      </c>
      <c r="T5361" s="28"/>
      <c r="U5361" s="28" t="n">
        <f aca="false">T5361*$M5361</f>
        <v>0</v>
      </c>
      <c r="V5361" s="28"/>
      <c r="W5361" s="28" t="n">
        <f aca="false">V5361*$M5361</f>
        <v>0</v>
      </c>
      <c r="X5361" s="28" t="n">
        <f aca="false">3136/100</f>
        <v>31.36</v>
      </c>
      <c r="Y5361" s="28" t="n">
        <v>2822</v>
      </c>
      <c r="Z5361" s="28"/>
      <c r="AA5361" s="28" t="n">
        <f aca="false">Z5361*$M5361</f>
        <v>0</v>
      </c>
      <c r="AB5361" s="28"/>
      <c r="AC5361" s="28" t="n">
        <f aca="false">AB5361*$M5361</f>
        <v>0</v>
      </c>
      <c r="AD5361" s="28"/>
      <c r="AE5361" s="28" t="n">
        <f aca="false">AD5361*$M5361</f>
        <v>0</v>
      </c>
      <c r="AF5361" s="28"/>
      <c r="AG5361" s="28" t="n">
        <f aca="false">AF5361*$M5361</f>
        <v>0</v>
      </c>
      <c r="AH5361" s="28"/>
      <c r="AI5361" s="28" t="n">
        <f aca="false">AH5361*$M5361</f>
        <v>0</v>
      </c>
      <c r="AJ5361" s="28"/>
      <c r="AK5361" s="28" t="n">
        <f aca="false">AJ5361*$M5361</f>
        <v>0</v>
      </c>
      <c r="AL5361" s="28"/>
      <c r="AM5361" s="28" t="n">
        <f aca="false">AL5361*$M5361</f>
        <v>0</v>
      </c>
      <c r="AN5361" s="28"/>
      <c r="AO5361" s="28" t="n">
        <f aca="false">AN5361*$M5361</f>
        <v>0</v>
      </c>
      <c r="AP5361" s="28"/>
      <c r="AQ5361" s="28" t="n">
        <f aca="false">AP5361*$M5361</f>
        <v>0</v>
      </c>
      <c r="AR5361" s="28"/>
      <c r="AS5361" s="28" t="n">
        <f aca="false">AR5361*$M5361</f>
        <v>0</v>
      </c>
      <c r="AT5361" s="28"/>
      <c r="AU5361" s="28" t="n">
        <f aca="false">AT5361*$M5361</f>
        <v>0</v>
      </c>
      <c r="AV5361" s="28"/>
      <c r="AW5361" s="28" t="n">
        <f aca="false">AV5361*$M5361</f>
        <v>0</v>
      </c>
      <c r="AX5361" s="28"/>
      <c r="AY5361" s="28" t="n">
        <f aca="false">AX5361*$M5361</f>
        <v>0</v>
      </c>
      <c r="AZ5361" s="30" t="n">
        <f aca="false">3136/100</f>
        <v>31.36</v>
      </c>
      <c r="BA5361" s="11" t="n">
        <v>2822</v>
      </c>
      <c r="BB5361" s="31" t="n">
        <f aca="false">SUM(Q5361,S5361,U5361,W5361,Y5361,AA5361,AC5361,AE5361,AG5361,AI5361,AK5361,AM5361,AO5361,AQ5361,AS5361,AU5361,AW5361,AY5361)</f>
        <v>2822</v>
      </c>
      <c r="BC5361" s="28" t="n">
        <f aca="false">BA5361-BB5361</f>
        <v>0</v>
      </c>
      <c r="BD5361" s="32" t="n">
        <f aca="false">SUM(P5361,R5361,T5361,V5361,X5361,Z5361,AB5361,AD5361,AF5361,AH5361,AJ5361,AL5361,AN5361,AP5361,AR5361,AT5361,AV5361,AX5361)</f>
        <v>31.36</v>
      </c>
      <c r="BE5361" s="33" t="n">
        <f aca="false">AZ5361-BD5361</f>
        <v>0</v>
      </c>
      <c r="BF5361" s="34" t="n">
        <f aca="false">BD5361*M5361</f>
        <v>2822.4</v>
      </c>
      <c r="BG5361" s="35" t="n">
        <f aca="false">BA5361-BF5361</f>
        <v>-0.400000000000091</v>
      </c>
      <c r="BH5361" s="19" t="str">
        <f aca="false">IF(BG5361=0,"",IF(BG5361&lt;&gt;BA5361,"erreur de calcul",IF(BD5361&lt;&gt;0,"pas de prix",IF(M5361&lt;&gt; 0,"pas de quantité","pas de prix, ni de quantité"))))</f>
        <v>erreur de calcul</v>
      </c>
      <c r="BI5361" s="19"/>
    </row>
    <row r="5362" customFormat="false" ht="15" hidden="false" customHeight="false" outlineLevel="0" collapsed="false">
      <c r="A5362" s="0" t="n">
        <v>18</v>
      </c>
      <c r="B5362" s="8" t="s">
        <v>24</v>
      </c>
      <c r="C5362" s="9" t="s">
        <v>25</v>
      </c>
      <c r="D5362" s="9" t="s">
        <v>26</v>
      </c>
      <c r="E5362" s="10" t="n">
        <v>1789</v>
      </c>
      <c r="F5362" s="9" t="s">
        <v>27</v>
      </c>
      <c r="G5362" s="9" t="s">
        <v>27</v>
      </c>
      <c r="H5362" s="11" t="n">
        <v>21</v>
      </c>
      <c r="I5362" s="11" t="s">
        <v>171</v>
      </c>
      <c r="J5362" s="14" t="n">
        <v>90</v>
      </c>
      <c r="K5362" s="14"/>
      <c r="L5362" s="16"/>
      <c r="M5362" s="27" t="n">
        <f aca="false">J5362+(K5362/20)+(L5362/240)</f>
        <v>90</v>
      </c>
      <c r="N5362" s="17" t="s">
        <v>64</v>
      </c>
      <c r="O5362" s="11"/>
      <c r="P5362" s="28"/>
      <c r="Q5362" s="28" t="n">
        <f aca="false">P5362*$M5362</f>
        <v>0</v>
      </c>
      <c r="R5362" s="28"/>
      <c r="S5362" s="28" t="n">
        <f aca="false">R5362*$M5362</f>
        <v>0</v>
      </c>
      <c r="T5362" s="28"/>
      <c r="U5362" s="28" t="n">
        <f aca="false">T5362*$M5362</f>
        <v>0</v>
      </c>
      <c r="V5362" s="28"/>
      <c r="W5362" s="28" t="n">
        <f aca="false">V5362*$M5362</f>
        <v>0</v>
      </c>
      <c r="X5362" s="28"/>
      <c r="Y5362" s="28" t="n">
        <f aca="false">X5362*$M5362</f>
        <v>0</v>
      </c>
      <c r="Z5362" s="28"/>
      <c r="AA5362" s="28" t="n">
        <f aca="false">Z5362*$M5362</f>
        <v>0</v>
      </c>
      <c r="AB5362" s="28"/>
      <c r="AC5362" s="28" t="n">
        <f aca="false">AB5362*$M5362</f>
        <v>0</v>
      </c>
      <c r="AD5362" s="28"/>
      <c r="AE5362" s="28" t="n">
        <f aca="false">AD5362*$M5362</f>
        <v>0</v>
      </c>
      <c r="AF5362" s="28"/>
      <c r="AG5362" s="28" t="n">
        <f aca="false">AF5362*$M5362</f>
        <v>0</v>
      </c>
      <c r="AH5362" s="28" t="n">
        <f aca="false">5337/100</f>
        <v>53.37</v>
      </c>
      <c r="AI5362" s="28" t="n">
        <v>4803</v>
      </c>
      <c r="AJ5362" s="28"/>
      <c r="AK5362" s="28" t="n">
        <f aca="false">AJ5362*$M5362</f>
        <v>0</v>
      </c>
      <c r="AL5362" s="28"/>
      <c r="AM5362" s="28" t="n">
        <f aca="false">AL5362*$M5362</f>
        <v>0</v>
      </c>
      <c r="AN5362" s="28"/>
      <c r="AO5362" s="28" t="n">
        <f aca="false">AN5362*$M5362</f>
        <v>0</v>
      </c>
      <c r="AP5362" s="28"/>
      <c r="AQ5362" s="28" t="n">
        <f aca="false">AP5362*$M5362</f>
        <v>0</v>
      </c>
      <c r="AR5362" s="28"/>
      <c r="AS5362" s="28" t="n">
        <f aca="false">AR5362*$M5362</f>
        <v>0</v>
      </c>
      <c r="AT5362" s="28"/>
      <c r="AU5362" s="28" t="n">
        <f aca="false">AT5362*$M5362</f>
        <v>0</v>
      </c>
      <c r="AV5362" s="28"/>
      <c r="AW5362" s="28" t="n">
        <f aca="false">AV5362*$M5362</f>
        <v>0</v>
      </c>
      <c r="AX5362" s="28"/>
      <c r="AY5362" s="28" t="n">
        <f aca="false">AX5362*$M5362</f>
        <v>0</v>
      </c>
      <c r="AZ5362" s="30" t="n">
        <f aca="false">5337/100</f>
        <v>53.37</v>
      </c>
      <c r="BA5362" s="11" t="n">
        <v>4803</v>
      </c>
      <c r="BB5362" s="31" t="n">
        <f aca="false">SUM(Q5362,S5362,U5362,W5362,Y5362,AA5362,AC5362,AE5362,AG5362,AI5362,AK5362,AM5362,AO5362,AQ5362,AS5362,AU5362,AW5362,AY5362)</f>
        <v>4803</v>
      </c>
      <c r="BC5362" s="28" t="n">
        <f aca="false">BA5362-BB5362</f>
        <v>0</v>
      </c>
      <c r="BD5362" s="32" t="n">
        <f aca="false">SUM(P5362,R5362,T5362,V5362,X5362,Z5362,AB5362,AD5362,AF5362,AH5362,AJ5362,AL5362,AN5362,AP5362,AR5362,AT5362,AV5362,AX5362)</f>
        <v>53.37</v>
      </c>
      <c r="BE5362" s="33" t="n">
        <f aca="false">AZ5362-BD5362</f>
        <v>0</v>
      </c>
      <c r="BF5362" s="34" t="n">
        <f aca="false">BD5362*M5362</f>
        <v>4803.3</v>
      </c>
      <c r="BG5362" s="35" t="n">
        <f aca="false">BA5362-BF5362</f>
        <v>-0.300000000000182</v>
      </c>
      <c r="BH5362" s="19" t="str">
        <f aca="false">IF(BG5362=0,"",IF(BG5362&lt;&gt;BA5362,"erreur de calcul",IF(BD5362&lt;&gt;0,"pas de prix",IF(M5362&lt;&gt; 0,"pas de quantité","pas de prix, ni de quantité"))))</f>
        <v>erreur de calcul</v>
      </c>
      <c r="BI5362" s="19"/>
    </row>
    <row r="5363" customFormat="false" ht="15" hidden="false" customHeight="false" outlineLevel="0" collapsed="false">
      <c r="A5363" s="0" t="n">
        <v>19</v>
      </c>
      <c r="B5363" s="8" t="s">
        <v>24</v>
      </c>
      <c r="C5363" s="9" t="s">
        <v>25</v>
      </c>
      <c r="D5363" s="9" t="s">
        <v>26</v>
      </c>
      <c r="E5363" s="10" t="n">
        <v>1789</v>
      </c>
      <c r="F5363" s="9" t="s">
        <v>27</v>
      </c>
      <c r="G5363" s="9" t="s">
        <v>27</v>
      </c>
      <c r="H5363" s="11" t="n">
        <v>21</v>
      </c>
      <c r="I5363" s="11" t="s">
        <v>172</v>
      </c>
      <c r="J5363" s="14" t="n">
        <v>15</v>
      </c>
      <c r="K5363" s="14"/>
      <c r="L5363" s="16"/>
      <c r="M5363" s="27" t="n">
        <f aca="false">J5363+(K5363/20)+(L5363/240)</f>
        <v>15</v>
      </c>
      <c r="N5363" s="17" t="s">
        <v>64</v>
      </c>
      <c r="O5363" s="11" t="s">
        <v>77</v>
      </c>
      <c r="P5363" s="28"/>
      <c r="Q5363" s="28" t="n">
        <f aca="false">P5363*$M5363</f>
        <v>0</v>
      </c>
      <c r="R5363" s="28"/>
      <c r="S5363" s="28" t="n">
        <f aca="false">R5363*$M5363</f>
        <v>0</v>
      </c>
      <c r="T5363" s="28"/>
      <c r="U5363" s="28" t="n">
        <f aca="false">T5363*$M5363</f>
        <v>0</v>
      </c>
      <c r="V5363" s="28"/>
      <c r="W5363" s="28" t="n">
        <f aca="false">V5363*$M5363</f>
        <v>0</v>
      </c>
      <c r="X5363" s="28"/>
      <c r="Y5363" s="28" t="n">
        <f aca="false">X5363*$M5363</f>
        <v>0</v>
      </c>
      <c r="Z5363" s="28"/>
      <c r="AA5363" s="28" t="n">
        <f aca="false">Z5363*$M5363</f>
        <v>0</v>
      </c>
      <c r="AB5363" s="28"/>
      <c r="AC5363" s="28" t="n">
        <f aca="false">AB5363*$M5363</f>
        <v>0</v>
      </c>
      <c r="AD5363" s="28"/>
      <c r="AE5363" s="28" t="n">
        <f aca="false">AD5363*$M5363</f>
        <v>0</v>
      </c>
      <c r="AF5363" s="28"/>
      <c r="AG5363" s="28" t="n">
        <f aca="false">AF5363*$M5363</f>
        <v>0</v>
      </c>
      <c r="AH5363" s="28"/>
      <c r="AI5363" s="28" t="n">
        <f aca="false">AH5363*$M5363</f>
        <v>0</v>
      </c>
      <c r="AJ5363" s="28"/>
      <c r="AK5363" s="28" t="n">
        <f aca="false">AJ5363*$M5363</f>
        <v>0</v>
      </c>
      <c r="AL5363" s="28"/>
      <c r="AM5363" s="28" t="n">
        <f aca="false">AL5363*$M5363</f>
        <v>0</v>
      </c>
      <c r="AN5363" s="28"/>
      <c r="AO5363" s="28" t="n">
        <f aca="false">AN5363*$M5363</f>
        <v>0</v>
      </c>
      <c r="AP5363" s="28"/>
      <c r="AQ5363" s="28" t="n">
        <f aca="false">AP5363*$M5363</f>
        <v>0</v>
      </c>
      <c r="AR5363" s="28"/>
      <c r="AS5363" s="28" t="n">
        <f aca="false">AR5363*$M5363</f>
        <v>0</v>
      </c>
      <c r="AT5363" s="28"/>
      <c r="AU5363" s="28" t="n">
        <f aca="false">AT5363*$M5363</f>
        <v>0</v>
      </c>
      <c r="AV5363" s="28"/>
      <c r="AW5363" s="28" t="n">
        <f aca="false">AV5363*$M5363</f>
        <v>0</v>
      </c>
      <c r="AX5363" s="28"/>
      <c r="AY5363" s="28" t="n">
        <f aca="false">AX5363*$M5363</f>
        <v>0</v>
      </c>
      <c r="AZ5363" s="30"/>
      <c r="BA5363" s="11"/>
      <c r="BB5363" s="31" t="n">
        <f aca="false">SUM(Q5363,S5363,U5363,W5363,Y5363,AA5363,AC5363,AE5363,AG5363,AI5363,AK5363,AM5363,AO5363,AQ5363,AS5363,AU5363,AW5363,AY5363)</f>
        <v>0</v>
      </c>
      <c r="BC5363" s="28" t="n">
        <f aca="false">BA5363-BB5363</f>
        <v>0</v>
      </c>
      <c r="BD5363" s="32" t="n">
        <f aca="false">SUM(P5363,R5363,T5363,V5363,X5363,Z5363,AB5363,AD5363,AF5363,AH5363,AJ5363,AL5363,AN5363,AP5363,AR5363,AT5363,AV5363,AX5363)</f>
        <v>0</v>
      </c>
      <c r="BE5363" s="33" t="n">
        <f aca="false">AZ5363-BD5363</f>
        <v>0</v>
      </c>
      <c r="BF5363" s="34" t="n">
        <f aca="false">BD5363*M5363</f>
        <v>0</v>
      </c>
      <c r="BG5363" s="35" t="n">
        <f aca="false">BA5363-BF5363</f>
        <v>0</v>
      </c>
      <c r="BH5363" s="19" t="str">
        <f aca="false">IF(BG5363=0,"",IF(BG5363&lt;&gt;BA5363,"erreur de calcul",IF(BD5363&lt;&gt;0,"pas de prix",IF(M5363&lt;&gt; 0,"pas de quantité","pas de prix, ni de quantité"))))</f>
        <v/>
      </c>
      <c r="BI5363" s="19"/>
    </row>
    <row r="5364" customFormat="false" ht="15" hidden="false" customHeight="false" outlineLevel="0" collapsed="false">
      <c r="A5364" s="0" t="n">
        <v>20</v>
      </c>
      <c r="B5364" s="8" t="s">
        <v>24</v>
      </c>
      <c r="C5364" s="9" t="s">
        <v>25</v>
      </c>
      <c r="D5364" s="9" t="s">
        <v>26</v>
      </c>
      <c r="E5364" s="10" t="n">
        <v>1789</v>
      </c>
      <c r="F5364" s="9" t="s">
        <v>27</v>
      </c>
      <c r="G5364" s="9" t="s">
        <v>27</v>
      </c>
      <c r="H5364" s="11" t="n">
        <v>21</v>
      </c>
      <c r="I5364" s="11" t="s">
        <v>173</v>
      </c>
      <c r="J5364" s="14" t="n">
        <v>36</v>
      </c>
      <c r="K5364" s="14"/>
      <c r="L5364" s="16"/>
      <c r="M5364" s="27" t="n">
        <f aca="false">J5364+(K5364/20)+(L5364/240)</f>
        <v>36</v>
      </c>
      <c r="N5364" s="17" t="s">
        <v>64</v>
      </c>
      <c r="O5364" s="11"/>
      <c r="P5364" s="28"/>
      <c r="Q5364" s="28" t="n">
        <f aca="false">P5364*$M5364</f>
        <v>0</v>
      </c>
      <c r="R5364" s="28"/>
      <c r="S5364" s="28" t="n">
        <f aca="false">R5364*$M5364</f>
        <v>0</v>
      </c>
      <c r="T5364" s="28"/>
      <c r="U5364" s="28" t="n">
        <f aca="false">T5364*$M5364</f>
        <v>0</v>
      </c>
      <c r="V5364" s="28"/>
      <c r="W5364" s="28" t="n">
        <f aca="false">V5364*$M5364</f>
        <v>0</v>
      </c>
      <c r="X5364" s="28"/>
      <c r="Y5364" s="28" t="n">
        <f aca="false">X5364*$M5364</f>
        <v>0</v>
      </c>
      <c r="Z5364" s="28"/>
      <c r="AA5364" s="28" t="n">
        <f aca="false">Z5364*$M5364</f>
        <v>0</v>
      </c>
      <c r="AB5364" s="28" t="n">
        <f aca="false">80722/100</f>
        <v>807.22</v>
      </c>
      <c r="AC5364" s="28" t="n">
        <v>29060</v>
      </c>
      <c r="AD5364" s="28"/>
      <c r="AE5364" s="28" t="n">
        <f aca="false">AD5364*$M5364</f>
        <v>0</v>
      </c>
      <c r="AF5364" s="28"/>
      <c r="AG5364" s="28" t="n">
        <f aca="false">AF5364*$M5364</f>
        <v>0</v>
      </c>
      <c r="AH5364" s="28"/>
      <c r="AI5364" s="28" t="n">
        <f aca="false">AH5364*$M5364</f>
        <v>0</v>
      </c>
      <c r="AJ5364" s="28"/>
      <c r="AK5364" s="28" t="n">
        <f aca="false">AJ5364*$M5364</f>
        <v>0</v>
      </c>
      <c r="AL5364" s="28"/>
      <c r="AM5364" s="28" t="n">
        <f aca="false">AL5364*$M5364</f>
        <v>0</v>
      </c>
      <c r="AN5364" s="28"/>
      <c r="AO5364" s="28" t="n">
        <f aca="false">AN5364*$M5364</f>
        <v>0</v>
      </c>
      <c r="AP5364" s="28"/>
      <c r="AQ5364" s="28" t="n">
        <f aca="false">AP5364*$M5364</f>
        <v>0</v>
      </c>
      <c r="AR5364" s="28"/>
      <c r="AS5364" s="28" t="n">
        <f aca="false">AR5364*$M5364</f>
        <v>0</v>
      </c>
      <c r="AT5364" s="28"/>
      <c r="AU5364" s="28" t="n">
        <f aca="false">AT5364*$M5364</f>
        <v>0</v>
      </c>
      <c r="AV5364" s="28"/>
      <c r="AW5364" s="28" t="n">
        <f aca="false">AV5364*$M5364</f>
        <v>0</v>
      </c>
      <c r="AX5364" s="28"/>
      <c r="AY5364" s="28" t="n">
        <f aca="false">AX5364*$M5364</f>
        <v>0</v>
      </c>
      <c r="AZ5364" s="30" t="n">
        <f aca="false">80722/100</f>
        <v>807.22</v>
      </c>
      <c r="BA5364" s="11" t="n">
        <v>29060</v>
      </c>
      <c r="BB5364" s="31" t="n">
        <f aca="false">SUM(Q5364,S5364,U5364,W5364,Y5364,AA5364,AC5364,AE5364,AG5364,AI5364,AK5364,AM5364,AO5364,AQ5364,AS5364,AU5364,AW5364,AY5364)</f>
        <v>29060</v>
      </c>
      <c r="BC5364" s="28" t="n">
        <f aca="false">BA5364-BB5364</f>
        <v>0</v>
      </c>
      <c r="BD5364" s="32" t="n">
        <f aca="false">SUM(P5364,R5364,T5364,V5364,X5364,Z5364,AB5364,AD5364,AF5364,AH5364,AJ5364,AL5364,AN5364,AP5364,AR5364,AT5364,AV5364,AX5364)</f>
        <v>807.22</v>
      </c>
      <c r="BE5364" s="33" t="n">
        <f aca="false">AZ5364-BD5364</f>
        <v>0</v>
      </c>
      <c r="BF5364" s="34" t="n">
        <f aca="false">BD5364*M5364</f>
        <v>29059.92</v>
      </c>
      <c r="BG5364" s="35" t="n">
        <f aca="false">BA5364-BF5364</f>
        <v>0.0799999999981083</v>
      </c>
      <c r="BH5364" s="19" t="str">
        <f aca="false">IF(BG5364=0,"",IF(BG5364&lt;&gt;BA5364,"erreur de calcul",IF(BD5364&lt;&gt;0,"pas de prix",IF(M5364&lt;&gt; 0,"pas de quantité","pas de prix, ni de quantité"))))</f>
        <v>erreur de calcul</v>
      </c>
      <c r="BI5364" s="19"/>
    </row>
    <row r="5365" customFormat="false" ht="15" hidden="false" customHeight="false" outlineLevel="0" collapsed="false">
      <c r="A5365" s="0" t="n">
        <v>21</v>
      </c>
      <c r="B5365" s="8" t="s">
        <v>24</v>
      </c>
      <c r="C5365" s="9" t="s">
        <v>25</v>
      </c>
      <c r="D5365" s="9" t="s">
        <v>26</v>
      </c>
      <c r="E5365" s="10" t="n">
        <v>1789</v>
      </c>
      <c r="F5365" s="9" t="s">
        <v>27</v>
      </c>
      <c r="G5365" s="9" t="s">
        <v>27</v>
      </c>
      <c r="H5365" s="11" t="n">
        <v>21</v>
      </c>
      <c r="I5365" s="11" t="s">
        <v>174</v>
      </c>
      <c r="J5365" s="14" t="n">
        <v>31</v>
      </c>
      <c r="K5365" s="14"/>
      <c r="L5365" s="16"/>
      <c r="M5365" s="27" t="n">
        <f aca="false">J5365+(K5365/20)+(L5365/240)</f>
        <v>31</v>
      </c>
      <c r="N5365" s="17" t="s">
        <v>64</v>
      </c>
      <c r="O5365" s="11"/>
      <c r="P5365" s="28"/>
      <c r="Q5365" s="28" t="n">
        <f aca="false">P5365*$M5365</f>
        <v>0</v>
      </c>
      <c r="R5365" s="28"/>
      <c r="S5365" s="28" t="n">
        <f aca="false">R5365*$M5365</f>
        <v>0</v>
      </c>
      <c r="T5365" s="28"/>
      <c r="U5365" s="28" t="n">
        <f aca="false">T5365*$M5365</f>
        <v>0</v>
      </c>
      <c r="V5365" s="28"/>
      <c r="W5365" s="28" t="n">
        <f aca="false">V5365*$M5365</f>
        <v>0</v>
      </c>
      <c r="X5365" s="28"/>
      <c r="Y5365" s="28" t="n">
        <f aca="false">X5365*$M5365</f>
        <v>0</v>
      </c>
      <c r="Z5365" s="28"/>
      <c r="AA5365" s="28" t="n">
        <f aca="false">Z5365*$M5365</f>
        <v>0</v>
      </c>
      <c r="AB5365" s="28"/>
      <c r="AC5365" s="28" t="n">
        <f aca="false">AB5365*$M5365</f>
        <v>0</v>
      </c>
      <c r="AD5365" s="28"/>
      <c r="AE5365" s="28" t="n">
        <f aca="false">AD5365*$M5365</f>
        <v>0</v>
      </c>
      <c r="AF5365" s="28" t="n">
        <f aca="false">4599/100</f>
        <v>45.99</v>
      </c>
      <c r="AG5365" s="28" t="n">
        <v>1426</v>
      </c>
      <c r="AH5365" s="28" t="n">
        <f aca="false">12691/100</f>
        <v>126.91</v>
      </c>
      <c r="AI5365" s="28" t="n">
        <v>3934</v>
      </c>
      <c r="AJ5365" s="28"/>
      <c r="AK5365" s="28" t="n">
        <f aca="false">AJ5365*$M5365</f>
        <v>0</v>
      </c>
      <c r="AL5365" s="28"/>
      <c r="AM5365" s="28" t="n">
        <f aca="false">AL5365*$M5365</f>
        <v>0</v>
      </c>
      <c r="AN5365" s="28"/>
      <c r="AO5365" s="28" t="n">
        <f aca="false">AN5365*$M5365</f>
        <v>0</v>
      </c>
      <c r="AP5365" s="28"/>
      <c r="AQ5365" s="28" t="n">
        <f aca="false">AP5365*$M5365</f>
        <v>0</v>
      </c>
      <c r="AR5365" s="28"/>
      <c r="AS5365" s="28" t="n">
        <f aca="false">AR5365*$M5365</f>
        <v>0</v>
      </c>
      <c r="AT5365" s="28"/>
      <c r="AU5365" s="28" t="n">
        <f aca="false">AT5365*$M5365</f>
        <v>0</v>
      </c>
      <c r="AV5365" s="28"/>
      <c r="AW5365" s="28" t="n">
        <f aca="false">AV5365*$M5365</f>
        <v>0</v>
      </c>
      <c r="AX5365" s="28"/>
      <c r="AY5365" s="28" t="n">
        <f aca="false">AX5365*$M5365</f>
        <v>0</v>
      </c>
      <c r="AZ5365" s="30" t="n">
        <f aca="false">17290/100</f>
        <v>172.9</v>
      </c>
      <c r="BA5365" s="11" t="n">
        <v>5360</v>
      </c>
      <c r="BB5365" s="31" t="n">
        <f aca="false">SUM(Q5365,S5365,U5365,W5365,Y5365,AA5365,AC5365,AE5365,AG5365,AI5365,AK5365,AM5365,AO5365,AQ5365,AS5365,AU5365,AW5365,AY5365)</f>
        <v>5360</v>
      </c>
      <c r="BC5365" s="28" t="n">
        <f aca="false">BA5365-BB5365</f>
        <v>0</v>
      </c>
      <c r="BD5365" s="32" t="n">
        <f aca="false">SUM(P5365,R5365,T5365,V5365,X5365,Z5365,AB5365,AD5365,AF5365,AH5365,AJ5365,AL5365,AN5365,AP5365,AR5365,AT5365,AV5365,AX5365)</f>
        <v>172.9</v>
      </c>
      <c r="BE5365" s="33" t="n">
        <f aca="false">AZ5365-BD5365</f>
        <v>0</v>
      </c>
      <c r="BF5365" s="34" t="n">
        <f aca="false">BD5365*M5365</f>
        <v>5359.9</v>
      </c>
      <c r="BG5365" s="35" t="n">
        <f aca="false">BA5365-BF5365</f>
        <v>0.0999999999994543</v>
      </c>
      <c r="BH5365" s="19" t="str">
        <f aca="false">IF(BG5365=0,"",IF(BG5365&lt;&gt;BA5365,"erreur de calcul",IF(BD5365&lt;&gt;0,"pas de prix",IF(M5365&lt;&gt; 0,"pas de quantité","pas de prix, ni de quantité"))))</f>
        <v>erreur de calcul</v>
      </c>
      <c r="BI5365" s="19"/>
    </row>
    <row r="5366" customFormat="false" ht="15" hidden="false" customHeight="false" outlineLevel="0" collapsed="false">
      <c r="A5366" s="0" t="n">
        <v>22</v>
      </c>
      <c r="B5366" s="8" t="s">
        <v>24</v>
      </c>
      <c r="C5366" s="9" t="s">
        <v>25</v>
      </c>
      <c r="D5366" s="9" t="s">
        <v>26</v>
      </c>
      <c r="E5366" s="10" t="n">
        <v>1789</v>
      </c>
      <c r="F5366" s="9" t="s">
        <v>27</v>
      </c>
      <c r="G5366" s="9" t="s">
        <v>27</v>
      </c>
      <c r="H5366" s="11" t="n">
        <v>21</v>
      </c>
      <c r="I5366" s="11" t="s">
        <v>175</v>
      </c>
      <c r="J5366" s="14" t="n">
        <v>120</v>
      </c>
      <c r="K5366" s="14"/>
      <c r="L5366" s="16"/>
      <c r="M5366" s="27" t="n">
        <f aca="false">J5366+(K5366/20)+(L5366/240)</f>
        <v>120</v>
      </c>
      <c r="N5366" s="17" t="s">
        <v>64</v>
      </c>
      <c r="O5366" s="11"/>
      <c r="P5366" s="28"/>
      <c r="Q5366" s="28" t="n">
        <f aca="false">P5366*$M5366</f>
        <v>0</v>
      </c>
      <c r="R5366" s="28"/>
      <c r="S5366" s="28" t="n">
        <f aca="false">R5366*$M5366</f>
        <v>0</v>
      </c>
      <c r="T5366" s="28"/>
      <c r="U5366" s="28" t="n">
        <f aca="false">T5366*$M5366</f>
        <v>0</v>
      </c>
      <c r="V5366" s="28" t="n">
        <f aca="false">2364/100</f>
        <v>23.64</v>
      </c>
      <c r="W5366" s="28" t="n">
        <v>2837</v>
      </c>
      <c r="X5366" s="28"/>
      <c r="Y5366" s="28" t="n">
        <f aca="false">X5366*$M5366</f>
        <v>0</v>
      </c>
      <c r="Z5366" s="28"/>
      <c r="AA5366" s="28" t="n">
        <f aca="false">Z5366*$M5366</f>
        <v>0</v>
      </c>
      <c r="AB5366" s="28"/>
      <c r="AC5366" s="28" t="n">
        <f aca="false">AB5366*$M5366</f>
        <v>0</v>
      </c>
      <c r="AD5366" s="28"/>
      <c r="AE5366" s="28" t="n">
        <f aca="false">AD5366*$M5366</f>
        <v>0</v>
      </c>
      <c r="AF5366" s="28"/>
      <c r="AG5366" s="28" t="n">
        <f aca="false">AF5366*$M5366</f>
        <v>0</v>
      </c>
      <c r="AH5366" s="28"/>
      <c r="AI5366" s="28" t="n">
        <f aca="false">AH5366*$M5366</f>
        <v>0</v>
      </c>
      <c r="AJ5366" s="28"/>
      <c r="AK5366" s="28" t="n">
        <f aca="false">AJ5366*$M5366</f>
        <v>0</v>
      </c>
      <c r="AL5366" s="28"/>
      <c r="AM5366" s="28" t="n">
        <f aca="false">AL5366*$M5366</f>
        <v>0</v>
      </c>
      <c r="AN5366" s="28"/>
      <c r="AO5366" s="28" t="n">
        <f aca="false">AN5366*$M5366</f>
        <v>0</v>
      </c>
      <c r="AP5366" s="28"/>
      <c r="AQ5366" s="28" t="n">
        <f aca="false">AP5366*$M5366</f>
        <v>0</v>
      </c>
      <c r="AR5366" s="28"/>
      <c r="AS5366" s="28" t="n">
        <f aca="false">AR5366*$M5366</f>
        <v>0</v>
      </c>
      <c r="AT5366" s="28"/>
      <c r="AU5366" s="28" t="n">
        <f aca="false">AT5366*$M5366</f>
        <v>0</v>
      </c>
      <c r="AV5366" s="28"/>
      <c r="AW5366" s="28" t="n">
        <f aca="false">AV5366*$M5366</f>
        <v>0</v>
      </c>
      <c r="AX5366" s="28"/>
      <c r="AY5366" s="28" t="n">
        <f aca="false">AX5366*$M5366</f>
        <v>0</v>
      </c>
      <c r="AZ5366" s="30" t="n">
        <f aca="false">2364/100</f>
        <v>23.64</v>
      </c>
      <c r="BA5366" s="11" t="n">
        <v>2837</v>
      </c>
      <c r="BB5366" s="31" t="n">
        <f aca="false">SUM(Q5366,S5366,U5366,W5366,Y5366,AA5366,AC5366,AE5366,AG5366,AI5366,AK5366,AM5366,AO5366,AQ5366,AS5366,AU5366,AW5366,AY5366)</f>
        <v>2837</v>
      </c>
      <c r="BC5366" s="28" t="n">
        <f aca="false">BA5366-BB5366</f>
        <v>0</v>
      </c>
      <c r="BD5366" s="32" t="n">
        <f aca="false">SUM(P5366,R5366,T5366,V5366,X5366,Z5366,AB5366,AD5366,AF5366,AH5366,AJ5366,AL5366,AN5366,AP5366,AR5366,AT5366,AV5366,AX5366)</f>
        <v>23.64</v>
      </c>
      <c r="BE5366" s="33" t="n">
        <f aca="false">AZ5366-BD5366</f>
        <v>0</v>
      </c>
      <c r="BF5366" s="34" t="n">
        <f aca="false">BD5366*M5366</f>
        <v>2836.8</v>
      </c>
      <c r="BG5366" s="35" t="n">
        <f aca="false">BA5366-BF5366</f>
        <v>0.199999999999818</v>
      </c>
      <c r="BH5366" s="19" t="str">
        <f aca="false">IF(BG5366=0,"",IF(BG5366&lt;&gt;BA5366,"erreur de calcul",IF(BD5366&lt;&gt;0,"pas de prix",IF(M5366&lt;&gt; 0,"pas de quantité","pas de prix, ni de quantité"))))</f>
        <v>erreur de calcul</v>
      </c>
      <c r="BI5366" s="19"/>
    </row>
    <row r="5367" customFormat="false" ht="15" hidden="false" customHeight="false" outlineLevel="0" collapsed="false">
      <c r="A5367" s="0" t="n">
        <v>23</v>
      </c>
      <c r="B5367" s="8" t="s">
        <v>24</v>
      </c>
      <c r="C5367" s="9" t="s">
        <v>25</v>
      </c>
      <c r="D5367" s="9" t="s">
        <v>26</v>
      </c>
      <c r="E5367" s="10" t="n">
        <v>1789</v>
      </c>
      <c r="F5367" s="9" t="s">
        <v>27</v>
      </c>
      <c r="G5367" s="9" t="s">
        <v>27</v>
      </c>
      <c r="H5367" s="11" t="n">
        <v>21</v>
      </c>
      <c r="I5367" s="11" t="s">
        <v>176</v>
      </c>
      <c r="J5367" s="14" t="n">
        <v>170</v>
      </c>
      <c r="K5367" s="14"/>
      <c r="L5367" s="16"/>
      <c r="M5367" s="27" t="n">
        <f aca="false">J5367+(K5367/20)+(L5367/240)</f>
        <v>170</v>
      </c>
      <c r="N5367" s="17" t="s">
        <v>64</v>
      </c>
      <c r="O5367" s="11"/>
      <c r="P5367" s="28" t="n">
        <f aca="false">9760/100</f>
        <v>97.6</v>
      </c>
      <c r="Q5367" s="28" t="n">
        <v>16592</v>
      </c>
      <c r="R5367" s="28"/>
      <c r="S5367" s="28" t="n">
        <f aca="false">R5367*$M5367</f>
        <v>0</v>
      </c>
      <c r="T5367" s="28"/>
      <c r="U5367" s="28" t="n">
        <f aca="false">T5367*$M5367</f>
        <v>0</v>
      </c>
      <c r="V5367" s="28"/>
      <c r="W5367" s="28" t="n">
        <f aca="false">V5367*$M5367</f>
        <v>0</v>
      </c>
      <c r="X5367" s="28" t="n">
        <f aca="false">1589/100</f>
        <v>15.89</v>
      </c>
      <c r="Y5367" s="28" t="n">
        <v>2701</v>
      </c>
      <c r="Z5367" s="28"/>
      <c r="AA5367" s="28" t="n">
        <f aca="false">Z5367*$M5367</f>
        <v>0</v>
      </c>
      <c r="AB5367" s="28"/>
      <c r="AC5367" s="28" t="n">
        <f aca="false">AB5367*$M5367</f>
        <v>0</v>
      </c>
      <c r="AD5367" s="28"/>
      <c r="AE5367" s="28" t="n">
        <f aca="false">AD5367*$M5367</f>
        <v>0</v>
      </c>
      <c r="AF5367" s="28"/>
      <c r="AG5367" s="28" t="n">
        <f aca="false">AF5367*$M5367</f>
        <v>0</v>
      </c>
      <c r="AH5367" s="28"/>
      <c r="AI5367" s="28" t="n">
        <f aca="false">AH5367*$M5367</f>
        <v>0</v>
      </c>
      <c r="AJ5367" s="28"/>
      <c r="AK5367" s="28" t="n">
        <f aca="false">AJ5367*$M5367</f>
        <v>0</v>
      </c>
      <c r="AL5367" s="28"/>
      <c r="AM5367" s="28" t="n">
        <f aca="false">AL5367*$M5367</f>
        <v>0</v>
      </c>
      <c r="AN5367" s="28"/>
      <c r="AO5367" s="28" t="n">
        <f aca="false">AN5367*$M5367</f>
        <v>0</v>
      </c>
      <c r="AP5367" s="28"/>
      <c r="AQ5367" s="28" t="n">
        <f aca="false">AP5367*$M5367</f>
        <v>0</v>
      </c>
      <c r="AR5367" s="28"/>
      <c r="AS5367" s="28" t="n">
        <f aca="false">AR5367*$M5367</f>
        <v>0</v>
      </c>
      <c r="AT5367" s="28"/>
      <c r="AU5367" s="28" t="n">
        <f aca="false">AT5367*$M5367</f>
        <v>0</v>
      </c>
      <c r="AV5367" s="28"/>
      <c r="AW5367" s="28" t="n">
        <f aca="false">AV5367*$M5367</f>
        <v>0</v>
      </c>
      <c r="AX5367" s="28"/>
      <c r="AY5367" s="28" t="n">
        <f aca="false">AX5367*$M5367</f>
        <v>0</v>
      </c>
      <c r="AZ5367" s="30" t="n">
        <f aca="false">11349/100</f>
        <v>113.49</v>
      </c>
      <c r="BA5367" s="11" t="n">
        <v>19293</v>
      </c>
      <c r="BB5367" s="31" t="n">
        <f aca="false">SUM(Q5367,S5367,U5367,W5367,Y5367,AA5367,AC5367,AE5367,AG5367,AI5367,AK5367,AM5367,AO5367,AQ5367,AS5367,AU5367,AW5367,AY5367)</f>
        <v>19293</v>
      </c>
      <c r="BC5367" s="28" t="n">
        <f aca="false">BA5367-BB5367</f>
        <v>0</v>
      </c>
      <c r="BD5367" s="32" t="n">
        <f aca="false">SUM(P5367,R5367,T5367,V5367,X5367,Z5367,AB5367,AD5367,AF5367,AH5367,AJ5367,AL5367,AN5367,AP5367,AR5367,AT5367,AV5367,AX5367)</f>
        <v>113.49</v>
      </c>
      <c r="BE5367" s="33" t="n">
        <f aca="false">AZ5367-BD5367</f>
        <v>0</v>
      </c>
      <c r="BF5367" s="34" t="n">
        <f aca="false">BD5367*M5367</f>
        <v>19293.3</v>
      </c>
      <c r="BG5367" s="35" t="n">
        <f aca="false">BA5367-BF5367</f>
        <v>-0.299999999999272</v>
      </c>
      <c r="BH5367" s="19" t="str">
        <f aca="false">IF(BG5367=0,"",IF(BG5367&lt;&gt;BA5367,"erreur de calcul",IF(BD5367&lt;&gt;0,"pas de prix",IF(M5367&lt;&gt; 0,"pas de quantité","pas de prix, ni de quantité"))))</f>
        <v>erreur de calcul</v>
      </c>
      <c r="BI5367" s="19"/>
    </row>
    <row r="5368" customFormat="false" ht="15" hidden="false" customHeight="false" outlineLevel="0" collapsed="false">
      <c r="A5368" s="0" t="n">
        <v>24</v>
      </c>
      <c r="B5368" s="8" t="s">
        <v>24</v>
      </c>
      <c r="C5368" s="9" t="s">
        <v>25</v>
      </c>
      <c r="D5368" s="9" t="s">
        <v>26</v>
      </c>
      <c r="E5368" s="10" t="n">
        <v>1789</v>
      </c>
      <c r="F5368" s="9" t="s">
        <v>27</v>
      </c>
      <c r="G5368" s="9" t="s">
        <v>27</v>
      </c>
      <c r="H5368" s="11" t="n">
        <v>21</v>
      </c>
      <c r="I5368" s="11" t="s">
        <v>177</v>
      </c>
      <c r="J5368" s="14" t="n">
        <v>9</v>
      </c>
      <c r="K5368" s="14"/>
      <c r="L5368" s="16"/>
      <c r="M5368" s="27" t="n">
        <f aca="false">J5368+(K5368/20)+(L5368/240)</f>
        <v>9</v>
      </c>
      <c r="N5368" s="17" t="s">
        <v>66</v>
      </c>
      <c r="O5368" s="11"/>
      <c r="P5368" s="28"/>
      <c r="Q5368" s="28" t="n">
        <f aca="false">P5368*$M5368</f>
        <v>0</v>
      </c>
      <c r="R5368" s="28" t="n">
        <v>349</v>
      </c>
      <c r="S5368" s="28" t="n">
        <v>3141</v>
      </c>
      <c r="T5368" s="28"/>
      <c r="U5368" s="28" t="n">
        <f aca="false">T5368*$M5368</f>
        <v>0</v>
      </c>
      <c r="V5368" s="28" t="n">
        <v>315</v>
      </c>
      <c r="W5368" s="28" t="n">
        <v>2835</v>
      </c>
      <c r="X5368" s="28" t="n">
        <v>733</v>
      </c>
      <c r="Y5368" s="28" t="n">
        <v>6597</v>
      </c>
      <c r="Z5368" s="28"/>
      <c r="AA5368" s="28" t="n">
        <f aca="false">Z5368*$M5368</f>
        <v>0</v>
      </c>
      <c r="AB5368" s="28" t="n">
        <v>162</v>
      </c>
      <c r="AC5368" s="28" t="n">
        <v>1458</v>
      </c>
      <c r="AD5368" s="28"/>
      <c r="AE5368" s="28" t="n">
        <f aca="false">AD5368*$M5368</f>
        <v>0</v>
      </c>
      <c r="AF5368" s="28"/>
      <c r="AG5368" s="28" t="n">
        <f aca="false">AF5368*$M5368</f>
        <v>0</v>
      </c>
      <c r="AH5368" s="28"/>
      <c r="AI5368" s="28" t="n">
        <f aca="false">AH5368*$M5368</f>
        <v>0</v>
      </c>
      <c r="AJ5368" s="28"/>
      <c r="AK5368" s="28" t="n">
        <f aca="false">AJ5368*$M5368</f>
        <v>0</v>
      </c>
      <c r="AL5368" s="28"/>
      <c r="AM5368" s="28" t="n">
        <f aca="false">AL5368*$M5368</f>
        <v>0</v>
      </c>
      <c r="AN5368" s="28"/>
      <c r="AO5368" s="28" t="n">
        <f aca="false">AN5368*$M5368</f>
        <v>0</v>
      </c>
      <c r="AP5368" s="28"/>
      <c r="AQ5368" s="28" t="n">
        <f aca="false">AP5368*$M5368</f>
        <v>0</v>
      </c>
      <c r="AR5368" s="28"/>
      <c r="AS5368" s="28" t="n">
        <f aca="false">AR5368*$M5368</f>
        <v>0</v>
      </c>
      <c r="AT5368" s="28"/>
      <c r="AU5368" s="28" t="n">
        <f aca="false">AT5368*$M5368</f>
        <v>0</v>
      </c>
      <c r="AV5368" s="28"/>
      <c r="AW5368" s="28" t="n">
        <f aca="false">AV5368*$M5368</f>
        <v>0</v>
      </c>
      <c r="AX5368" s="28"/>
      <c r="AY5368" s="28" t="n">
        <f aca="false">AX5368*$M5368</f>
        <v>0</v>
      </c>
      <c r="AZ5368" s="30" t="n">
        <f aca="false">1559</f>
        <v>1559</v>
      </c>
      <c r="BA5368" s="11" t="n">
        <v>14031</v>
      </c>
      <c r="BB5368" s="31" t="n">
        <f aca="false">SUM(Q5368,S5368,U5368,W5368,Y5368,AA5368,AC5368,AE5368,AG5368,AI5368,AK5368,AM5368,AO5368,AQ5368,AS5368,AU5368,AW5368,AY5368)</f>
        <v>14031</v>
      </c>
      <c r="BC5368" s="28" t="n">
        <f aca="false">BA5368-BB5368</f>
        <v>0</v>
      </c>
      <c r="BD5368" s="32" t="n">
        <f aca="false">SUM(P5368,R5368,T5368,V5368,X5368,Z5368,AB5368,AD5368,AF5368,AH5368,AJ5368,AL5368,AN5368,AP5368,AR5368,AT5368,AV5368,AX5368)</f>
        <v>1559</v>
      </c>
      <c r="BE5368" s="33" t="n">
        <f aca="false">AZ5368-BD5368</f>
        <v>0</v>
      </c>
      <c r="BF5368" s="34" t="n">
        <f aca="false">BD5368*M5368</f>
        <v>14031</v>
      </c>
      <c r="BG5368" s="35" t="n">
        <f aca="false">BA5368-BF5368</f>
        <v>0</v>
      </c>
      <c r="BH5368" s="19" t="str">
        <f aca="false">IF(BG5368=0,"",IF(BG5368&lt;&gt;BA5368,"erreur de calcul",IF(BD5368&lt;&gt;0,"pas de prix",IF(M5368&lt;&gt; 0,"pas de quantité","pas de prix, ni de quantité"))))</f>
        <v/>
      </c>
      <c r="BI5368" s="19"/>
    </row>
    <row r="5369" customFormat="false" ht="15" hidden="false" customHeight="false" outlineLevel="0" collapsed="false">
      <c r="A5369" s="0" t="n">
        <v>25</v>
      </c>
      <c r="B5369" s="8" t="s">
        <v>24</v>
      </c>
      <c r="C5369" s="9" t="s">
        <v>25</v>
      </c>
      <c r="D5369" s="9" t="s">
        <v>26</v>
      </c>
      <c r="E5369" s="10" t="n">
        <v>1789</v>
      </c>
      <c r="F5369" s="9" t="s">
        <v>27</v>
      </c>
      <c r="G5369" s="9" t="s">
        <v>27</v>
      </c>
      <c r="H5369" s="11" t="n">
        <v>21</v>
      </c>
      <c r="I5369" s="11" t="s">
        <v>178</v>
      </c>
      <c r="J5369" s="14" t="n">
        <v>125</v>
      </c>
      <c r="K5369" s="14"/>
      <c r="L5369" s="16"/>
      <c r="M5369" s="27" t="n">
        <f aca="false">J5369+(K5369/20)+(L5369/240)</f>
        <v>125</v>
      </c>
      <c r="N5369" s="17" t="s">
        <v>64</v>
      </c>
      <c r="O5369" s="11"/>
      <c r="P5369" s="28"/>
      <c r="Q5369" s="28" t="n">
        <f aca="false">P5369*$M5369</f>
        <v>0</v>
      </c>
      <c r="R5369" s="28"/>
      <c r="S5369" s="28" t="n">
        <f aca="false">R5369*$M5369</f>
        <v>0</v>
      </c>
      <c r="T5369" s="28"/>
      <c r="U5369" s="28" t="n">
        <f aca="false">T5369*$M5369</f>
        <v>0</v>
      </c>
      <c r="V5369" s="28" t="n">
        <f aca="false">10764/100</f>
        <v>107.64</v>
      </c>
      <c r="W5369" s="28" t="n">
        <v>13455</v>
      </c>
      <c r="X5369" s="28" t="n">
        <f aca="false">13215/100</f>
        <v>132.15</v>
      </c>
      <c r="Y5369" s="28" t="n">
        <v>16519</v>
      </c>
      <c r="Z5369" s="28"/>
      <c r="AA5369" s="28" t="n">
        <f aca="false">Z5369*$M5369</f>
        <v>0</v>
      </c>
      <c r="AB5369" s="28" t="n">
        <f aca="false">188461/100</f>
        <v>1884.61</v>
      </c>
      <c r="AC5369" s="28" t="n">
        <v>235576</v>
      </c>
      <c r="AD5369" s="28"/>
      <c r="AE5369" s="28" t="n">
        <f aca="false">AD5369*$M5369</f>
        <v>0</v>
      </c>
      <c r="AF5369" s="28"/>
      <c r="AG5369" s="28" t="n">
        <f aca="false">AF5369*$M5369</f>
        <v>0</v>
      </c>
      <c r="AH5369" s="28"/>
      <c r="AI5369" s="28" t="n">
        <f aca="false">AH5369*$M5369</f>
        <v>0</v>
      </c>
      <c r="AJ5369" s="28"/>
      <c r="AK5369" s="28" t="n">
        <f aca="false">AJ5369*$M5369</f>
        <v>0</v>
      </c>
      <c r="AL5369" s="28"/>
      <c r="AM5369" s="28" t="n">
        <f aca="false">AL5369*$M5369</f>
        <v>0</v>
      </c>
      <c r="AN5369" s="28"/>
      <c r="AO5369" s="28" t="n">
        <f aca="false">AN5369*$M5369</f>
        <v>0</v>
      </c>
      <c r="AP5369" s="28"/>
      <c r="AQ5369" s="28" t="n">
        <f aca="false">AP5369*$M5369</f>
        <v>0</v>
      </c>
      <c r="AR5369" s="28"/>
      <c r="AS5369" s="28" t="n">
        <f aca="false">AR5369*$M5369</f>
        <v>0</v>
      </c>
      <c r="AT5369" s="28"/>
      <c r="AU5369" s="28" t="n">
        <f aca="false">AT5369*$M5369</f>
        <v>0</v>
      </c>
      <c r="AV5369" s="28"/>
      <c r="AW5369" s="28" t="n">
        <f aca="false">AV5369*$M5369</f>
        <v>0</v>
      </c>
      <c r="AX5369" s="28"/>
      <c r="AY5369" s="28" t="n">
        <f aca="false">AX5369*$M5369</f>
        <v>0</v>
      </c>
      <c r="AZ5369" s="30" t="n">
        <f aca="false">212440/100</f>
        <v>2124.4</v>
      </c>
      <c r="BA5369" s="11" t="n">
        <v>265550</v>
      </c>
      <c r="BB5369" s="31" t="n">
        <f aca="false">SUM(Q5369,S5369,U5369,W5369,Y5369,AA5369,AC5369,AE5369,AG5369,AI5369,AK5369,AM5369,AO5369,AQ5369,AS5369,AU5369,AW5369,AY5369)</f>
        <v>265550</v>
      </c>
      <c r="BC5369" s="28" t="n">
        <f aca="false">BA5369-BB5369</f>
        <v>0</v>
      </c>
      <c r="BD5369" s="32" t="n">
        <f aca="false">SUM(P5369,R5369,T5369,V5369,X5369,Z5369,AB5369,AD5369,AF5369,AH5369,AJ5369,AL5369,AN5369,AP5369,AR5369,AT5369,AV5369,AX5369)</f>
        <v>2124.4</v>
      </c>
      <c r="BE5369" s="33" t="n">
        <f aca="false">AZ5369-BD5369</f>
        <v>0</v>
      </c>
      <c r="BF5369" s="34" t="n">
        <f aca="false">BD5369*M5369</f>
        <v>265550</v>
      </c>
      <c r="BG5369" s="35" t="n">
        <f aca="false">BA5369-BF5369</f>
        <v>0</v>
      </c>
      <c r="BH5369" s="19" t="str">
        <f aca="false">IF(BG5369=0,"",IF(BG5369&lt;&gt;BA5369,"erreur de calcul",IF(BD5369&lt;&gt;0,"pas de prix",IF(M5369&lt;&gt; 0,"pas de quantité","pas de prix, ni de quantité"))))</f>
        <v/>
      </c>
      <c r="BI5369" s="19"/>
    </row>
    <row r="5370" customFormat="false" ht="15" hidden="false" customHeight="false" outlineLevel="0" collapsed="false">
      <c r="A5370" s="0" t="n">
        <v>26</v>
      </c>
      <c r="B5370" s="8" t="s">
        <v>24</v>
      </c>
      <c r="C5370" s="9" t="s">
        <v>25</v>
      </c>
      <c r="D5370" s="9" t="s">
        <v>26</v>
      </c>
      <c r="E5370" s="10" t="n">
        <v>1789</v>
      </c>
      <c r="F5370" s="9" t="s">
        <v>27</v>
      </c>
      <c r="G5370" s="9" t="s">
        <v>27</v>
      </c>
      <c r="H5370" s="11" t="n">
        <v>21</v>
      </c>
      <c r="I5370" s="11" t="s">
        <v>179</v>
      </c>
      <c r="J5370" s="14" t="n">
        <v>7</v>
      </c>
      <c r="K5370" s="14"/>
      <c r="L5370" s="16"/>
      <c r="M5370" s="27" t="n">
        <f aca="false">J5370+(K5370/20)+(L5370/240)</f>
        <v>7</v>
      </c>
      <c r="N5370" s="17" t="s">
        <v>66</v>
      </c>
      <c r="O5370" s="11"/>
      <c r="P5370" s="28" t="n">
        <v>8441</v>
      </c>
      <c r="Q5370" s="28" t="n">
        <v>59087</v>
      </c>
      <c r="R5370" s="28"/>
      <c r="S5370" s="28" t="n">
        <f aca="false">R5370*$M5370</f>
        <v>0</v>
      </c>
      <c r="T5370" s="28"/>
      <c r="U5370" s="28" t="n">
        <f aca="false">T5370*$M5370</f>
        <v>0</v>
      </c>
      <c r="V5370" s="28"/>
      <c r="W5370" s="28" t="n">
        <f aca="false">V5370*$M5370</f>
        <v>0</v>
      </c>
      <c r="X5370" s="28"/>
      <c r="Y5370" s="28" t="n">
        <f aca="false">X5370*$M5370</f>
        <v>0</v>
      </c>
      <c r="Z5370" s="28" t="n">
        <v>357</v>
      </c>
      <c r="AA5370" s="28" t="n">
        <v>2499</v>
      </c>
      <c r="AB5370" s="28"/>
      <c r="AC5370" s="28" t="n">
        <f aca="false">AB5370*$M5370</f>
        <v>0</v>
      </c>
      <c r="AD5370" s="28"/>
      <c r="AE5370" s="28" t="n">
        <f aca="false">AD5370*$M5370</f>
        <v>0</v>
      </c>
      <c r="AF5370" s="28"/>
      <c r="AG5370" s="28" t="n">
        <f aca="false">AF5370*$M5370</f>
        <v>0</v>
      </c>
      <c r="AH5370" s="28"/>
      <c r="AI5370" s="28" t="n">
        <f aca="false">AH5370*$M5370</f>
        <v>0</v>
      </c>
      <c r="AJ5370" s="28"/>
      <c r="AK5370" s="28" t="n">
        <f aca="false">AJ5370*$M5370</f>
        <v>0</v>
      </c>
      <c r="AL5370" s="28"/>
      <c r="AM5370" s="28" t="n">
        <f aca="false">AL5370*$M5370</f>
        <v>0</v>
      </c>
      <c r="AN5370" s="28"/>
      <c r="AO5370" s="28" t="n">
        <f aca="false">AN5370*$M5370</f>
        <v>0</v>
      </c>
      <c r="AP5370" s="28"/>
      <c r="AQ5370" s="28" t="n">
        <f aca="false">AP5370*$M5370</f>
        <v>0</v>
      </c>
      <c r="AR5370" s="28"/>
      <c r="AS5370" s="28" t="n">
        <f aca="false">AR5370*$M5370</f>
        <v>0</v>
      </c>
      <c r="AT5370" s="28"/>
      <c r="AU5370" s="28" t="n">
        <f aca="false">AT5370*$M5370</f>
        <v>0</v>
      </c>
      <c r="AV5370" s="28"/>
      <c r="AW5370" s="28" t="n">
        <f aca="false">AV5370*$M5370</f>
        <v>0</v>
      </c>
      <c r="AX5370" s="28"/>
      <c r="AY5370" s="28" t="n">
        <f aca="false">AX5370*$M5370</f>
        <v>0</v>
      </c>
      <c r="AZ5370" s="30" t="n">
        <v>8798</v>
      </c>
      <c r="BA5370" s="11" t="n">
        <v>61586</v>
      </c>
      <c r="BB5370" s="31" t="n">
        <f aca="false">SUM(Q5370,S5370,U5370,W5370,Y5370,AA5370,AC5370,AE5370,AG5370,AI5370,AK5370,AM5370,AO5370,AQ5370,AS5370,AU5370,AW5370,AY5370)</f>
        <v>61586</v>
      </c>
      <c r="BC5370" s="28" t="n">
        <f aca="false">BA5370-BB5370</f>
        <v>0</v>
      </c>
      <c r="BD5370" s="32" t="n">
        <f aca="false">SUM(P5370,R5370,T5370,V5370,X5370,Z5370,AB5370,AD5370,AF5370,AH5370,AJ5370,AL5370,AN5370,AP5370,AR5370,AT5370,AV5370,AX5370)</f>
        <v>8798</v>
      </c>
      <c r="BE5370" s="33" t="n">
        <f aca="false">AZ5370-BD5370</f>
        <v>0</v>
      </c>
      <c r="BF5370" s="34" t="n">
        <f aca="false">BD5370*M5370</f>
        <v>61586</v>
      </c>
      <c r="BG5370" s="35" t="n">
        <f aca="false">BA5370-BF5370</f>
        <v>0</v>
      </c>
      <c r="BH5370" s="19" t="str">
        <f aca="false">IF(BG5370=0,"",IF(BG5370&lt;&gt;BA5370,"erreur de calcul",IF(BD5370&lt;&gt;0,"pas de prix",IF(M5370&lt;&gt; 0,"pas de quantité","pas de prix, ni de quantité"))))</f>
        <v/>
      </c>
      <c r="BI5370" s="19"/>
    </row>
    <row r="5371" customFormat="false" ht="15" hidden="false" customHeight="false" outlineLevel="0" collapsed="false">
      <c r="A5371" s="0" t="n">
        <v>27</v>
      </c>
      <c r="B5371" s="8" t="s">
        <v>24</v>
      </c>
      <c r="C5371" s="9" t="s">
        <v>25</v>
      </c>
      <c r="D5371" s="9" t="s">
        <v>26</v>
      </c>
      <c r="E5371" s="10" t="n">
        <v>1789</v>
      </c>
      <c r="F5371" s="9" t="s">
        <v>27</v>
      </c>
      <c r="G5371" s="9" t="s">
        <v>27</v>
      </c>
      <c r="H5371" s="11" t="n">
        <v>21</v>
      </c>
      <c r="I5371" s="11" t="s">
        <v>180</v>
      </c>
      <c r="J5371" s="14" t="n">
        <v>9</v>
      </c>
      <c r="K5371" s="14"/>
      <c r="L5371" s="16"/>
      <c r="M5371" s="27" t="n">
        <f aca="false">J5371+(K5371/20)+(L5371/240)</f>
        <v>9</v>
      </c>
      <c r="N5371" s="17" t="s">
        <v>64</v>
      </c>
      <c r="O5371" s="11"/>
      <c r="P5371" s="28" t="n">
        <f aca="false">22662/100</f>
        <v>226.62</v>
      </c>
      <c r="Q5371" s="28" t="n">
        <v>2039</v>
      </c>
      <c r="R5371" s="28"/>
      <c r="S5371" s="28" t="n">
        <f aca="false">R5371*$M5371</f>
        <v>0</v>
      </c>
      <c r="T5371" s="28"/>
      <c r="U5371" s="28" t="n">
        <f aca="false">T5371*$M5371</f>
        <v>0</v>
      </c>
      <c r="V5371" s="28"/>
      <c r="W5371" s="28" t="n">
        <f aca="false">V5371*$M5371</f>
        <v>0</v>
      </c>
      <c r="X5371" s="28"/>
      <c r="Y5371" s="28" t="n">
        <f aca="false">X5371*$M5371</f>
        <v>0</v>
      </c>
      <c r="Z5371" s="28"/>
      <c r="AA5371" s="28" t="n">
        <f aca="false">Z5371*$M5371</f>
        <v>0</v>
      </c>
      <c r="AB5371" s="28"/>
      <c r="AC5371" s="28" t="n">
        <f aca="false">AB5371*$M5371</f>
        <v>0</v>
      </c>
      <c r="AD5371" s="28"/>
      <c r="AE5371" s="28" t="n">
        <f aca="false">AD5371*$M5371</f>
        <v>0</v>
      </c>
      <c r="AF5371" s="28"/>
      <c r="AG5371" s="28" t="n">
        <f aca="false">AF5371*$M5371</f>
        <v>0</v>
      </c>
      <c r="AH5371" s="28"/>
      <c r="AI5371" s="28" t="n">
        <f aca="false">AH5371*$M5371</f>
        <v>0</v>
      </c>
      <c r="AJ5371" s="28"/>
      <c r="AK5371" s="28" t="n">
        <f aca="false">AJ5371*$M5371</f>
        <v>0</v>
      </c>
      <c r="AL5371" s="28"/>
      <c r="AM5371" s="28" t="n">
        <f aca="false">AL5371*$M5371</f>
        <v>0</v>
      </c>
      <c r="AN5371" s="28"/>
      <c r="AO5371" s="28" t="n">
        <f aca="false">AN5371*$M5371</f>
        <v>0</v>
      </c>
      <c r="AP5371" s="28"/>
      <c r="AQ5371" s="28" t="n">
        <f aca="false">AP5371*$M5371</f>
        <v>0</v>
      </c>
      <c r="AR5371" s="28"/>
      <c r="AS5371" s="28" t="n">
        <f aca="false">AR5371*$M5371</f>
        <v>0</v>
      </c>
      <c r="AT5371" s="28"/>
      <c r="AU5371" s="28" t="n">
        <f aca="false">AT5371*$M5371</f>
        <v>0</v>
      </c>
      <c r="AV5371" s="28"/>
      <c r="AW5371" s="28" t="n">
        <f aca="false">AV5371*$M5371</f>
        <v>0</v>
      </c>
      <c r="AX5371" s="28"/>
      <c r="AY5371" s="28" t="n">
        <f aca="false">AX5371*$M5371</f>
        <v>0</v>
      </c>
      <c r="AZ5371" s="30" t="n">
        <f aca="false">22662/100</f>
        <v>226.62</v>
      </c>
      <c r="BA5371" s="11" t="n">
        <v>2039</v>
      </c>
      <c r="BB5371" s="31" t="n">
        <f aca="false">SUM(Q5371,S5371,U5371,W5371,Y5371,AA5371,AC5371,AE5371,AG5371,AI5371,AK5371,AM5371,AO5371,AQ5371,AS5371,AU5371,AW5371,AY5371)</f>
        <v>2039</v>
      </c>
      <c r="BC5371" s="28" t="n">
        <f aca="false">BA5371-BB5371</f>
        <v>0</v>
      </c>
      <c r="BD5371" s="32" t="n">
        <f aca="false">SUM(P5371,R5371,T5371,V5371,X5371,Z5371,AB5371,AD5371,AF5371,AH5371,AJ5371,AL5371,AN5371,AP5371,AR5371,AT5371,AV5371,AX5371)</f>
        <v>226.62</v>
      </c>
      <c r="BE5371" s="33" t="n">
        <f aca="false">AZ5371-BD5371</f>
        <v>0</v>
      </c>
      <c r="BF5371" s="34" t="n">
        <f aca="false">BD5371*M5371</f>
        <v>2039.58</v>
      </c>
      <c r="BG5371" s="35" t="n">
        <f aca="false">BA5371-BF5371</f>
        <v>-0.579999999999927</v>
      </c>
      <c r="BH5371" s="19" t="str">
        <f aca="false">IF(BG5371=0,"",IF(BG5371&lt;&gt;BA5371,"erreur de calcul",IF(BD5371&lt;&gt;0,"pas de prix",IF(M5371&lt;&gt; 0,"pas de quantité","pas de prix, ni de quantité"))))</f>
        <v>erreur de calcul</v>
      </c>
      <c r="BI5371" s="19"/>
    </row>
    <row r="5372" customFormat="false" ht="15" hidden="false" customHeight="false" outlineLevel="0" collapsed="false">
      <c r="A5372" s="0" t="n">
        <v>28</v>
      </c>
      <c r="B5372" s="8" t="s">
        <v>24</v>
      </c>
      <c r="C5372" s="9" t="s">
        <v>25</v>
      </c>
      <c r="D5372" s="9" t="s">
        <v>26</v>
      </c>
      <c r="E5372" s="10" t="n">
        <v>1789</v>
      </c>
      <c r="F5372" s="9" t="s">
        <v>27</v>
      </c>
      <c r="G5372" s="9" t="s">
        <v>27</v>
      </c>
      <c r="H5372" s="11" t="n">
        <v>21</v>
      </c>
      <c r="I5372" s="11" t="s">
        <v>181</v>
      </c>
      <c r="J5372" s="14" t="n">
        <v>8</v>
      </c>
      <c r="K5372" s="14" t="n">
        <v>10</v>
      </c>
      <c r="L5372" s="16"/>
      <c r="M5372" s="27" t="n">
        <f aca="false">J5372+(K5372/20)+(L5372/240)</f>
        <v>8.5</v>
      </c>
      <c r="N5372" s="17" t="s">
        <v>66</v>
      </c>
      <c r="O5372" s="11"/>
      <c r="P5372" s="28" t="n">
        <v>1770</v>
      </c>
      <c r="Q5372" s="28" t="n">
        <v>15045</v>
      </c>
      <c r="R5372" s="28"/>
      <c r="S5372" s="28" t="n">
        <f aca="false">R5372*$M5372</f>
        <v>0</v>
      </c>
      <c r="T5372" s="28"/>
      <c r="U5372" s="28" t="n">
        <f aca="false">T5372*$M5372</f>
        <v>0</v>
      </c>
      <c r="V5372" s="28"/>
      <c r="W5372" s="28" t="n">
        <f aca="false">V5372*$M5372</f>
        <v>0</v>
      </c>
      <c r="X5372" s="28"/>
      <c r="Y5372" s="28" t="n">
        <f aca="false">X5372*$M5372</f>
        <v>0</v>
      </c>
      <c r="Z5372" s="28"/>
      <c r="AA5372" s="28" t="n">
        <f aca="false">Z5372*$M5372</f>
        <v>0</v>
      </c>
      <c r="AB5372" s="28"/>
      <c r="AC5372" s="28" t="n">
        <f aca="false">AB5372*$M5372</f>
        <v>0</v>
      </c>
      <c r="AD5372" s="28"/>
      <c r="AE5372" s="28" t="n">
        <f aca="false">AD5372*$M5372</f>
        <v>0</v>
      </c>
      <c r="AF5372" s="28"/>
      <c r="AG5372" s="28" t="n">
        <f aca="false">AF5372*$M5372</f>
        <v>0</v>
      </c>
      <c r="AH5372" s="28" t="n">
        <v>323</v>
      </c>
      <c r="AI5372" s="28" t="n">
        <v>2745</v>
      </c>
      <c r="AJ5372" s="28"/>
      <c r="AK5372" s="28" t="n">
        <f aca="false">AJ5372*$M5372</f>
        <v>0</v>
      </c>
      <c r="AL5372" s="28"/>
      <c r="AM5372" s="28" t="n">
        <f aca="false">AL5372*$M5372</f>
        <v>0</v>
      </c>
      <c r="AN5372" s="28"/>
      <c r="AO5372" s="28" t="n">
        <f aca="false">AN5372*$M5372</f>
        <v>0</v>
      </c>
      <c r="AP5372" s="28"/>
      <c r="AQ5372" s="28" t="n">
        <f aca="false">AP5372*$M5372</f>
        <v>0</v>
      </c>
      <c r="AR5372" s="28"/>
      <c r="AS5372" s="28" t="n">
        <f aca="false">AR5372*$M5372</f>
        <v>0</v>
      </c>
      <c r="AT5372" s="28"/>
      <c r="AU5372" s="28" t="n">
        <f aca="false">AT5372*$M5372</f>
        <v>0</v>
      </c>
      <c r="AV5372" s="28"/>
      <c r="AW5372" s="28" t="n">
        <f aca="false">AV5372*$M5372</f>
        <v>0</v>
      </c>
      <c r="AX5372" s="28"/>
      <c r="AY5372" s="28" t="n">
        <f aca="false">AX5372*$M5372</f>
        <v>0</v>
      </c>
      <c r="AZ5372" s="30" t="n">
        <v>2093</v>
      </c>
      <c r="BA5372" s="11" t="n">
        <v>17790</v>
      </c>
      <c r="BB5372" s="31" t="n">
        <f aca="false">SUM(Q5372,S5372,U5372,W5372,Y5372,AA5372,AC5372,AE5372,AG5372,AI5372,AK5372,AM5372,AO5372,AQ5372,AS5372,AU5372,AW5372,AY5372)</f>
        <v>17790</v>
      </c>
      <c r="BC5372" s="28" t="n">
        <f aca="false">BA5372-BB5372</f>
        <v>0</v>
      </c>
      <c r="BD5372" s="32" t="n">
        <f aca="false">SUM(P5372,R5372,T5372,V5372,X5372,Z5372,AB5372,AD5372,AF5372,AH5372,AJ5372,AL5372,AN5372,AP5372,AR5372,AT5372,AV5372,AX5372)</f>
        <v>2093</v>
      </c>
      <c r="BE5372" s="33" t="n">
        <f aca="false">AZ5372-BD5372</f>
        <v>0</v>
      </c>
      <c r="BF5372" s="34" t="n">
        <f aca="false">BD5372*M5372</f>
        <v>17790.5</v>
      </c>
      <c r="BG5372" s="35" t="n">
        <f aca="false">BA5372-BF5372</f>
        <v>-0.5</v>
      </c>
      <c r="BH5372" s="19" t="str">
        <f aca="false">IF(BG5372=0,"",IF(BG5372&lt;&gt;BA5372,"erreur de calcul",IF(BD5372&lt;&gt;0,"pas de prix",IF(M5372&lt;&gt; 0,"pas de quantité","pas de prix, ni de quantité"))))</f>
        <v>erreur de calcul</v>
      </c>
      <c r="BI5372" s="19"/>
    </row>
    <row r="5373" customFormat="false" ht="15" hidden="false" customHeight="false" outlineLevel="0" collapsed="false">
      <c r="A5373" s="0" t="n">
        <v>29</v>
      </c>
      <c r="B5373" s="8" t="s">
        <v>24</v>
      </c>
      <c r="C5373" s="9" t="s">
        <v>25</v>
      </c>
      <c r="D5373" s="9" t="s">
        <v>26</v>
      </c>
      <c r="E5373" s="10" t="n">
        <v>1789</v>
      </c>
      <c r="F5373" s="9" t="s">
        <v>27</v>
      </c>
      <c r="G5373" s="9" t="s">
        <v>27</v>
      </c>
      <c r="H5373" s="11" t="n">
        <v>21</v>
      </c>
      <c r="I5373" s="11" t="s">
        <v>182</v>
      </c>
      <c r="J5373" s="14" t="n">
        <v>24</v>
      </c>
      <c r="K5373" s="14"/>
      <c r="L5373" s="16"/>
      <c r="M5373" s="27" t="n">
        <f aca="false">J5373+(K5373/20)+(L5373/240)</f>
        <v>24</v>
      </c>
      <c r="N5373" s="17" t="s">
        <v>66</v>
      </c>
      <c r="O5373" s="11"/>
      <c r="P5373" s="28" t="n">
        <v>478</v>
      </c>
      <c r="Q5373" s="28" t="n">
        <v>11472</v>
      </c>
      <c r="R5373" s="28"/>
      <c r="S5373" s="28" t="n">
        <f aca="false">R5373*$M5373</f>
        <v>0</v>
      </c>
      <c r="T5373" s="28" t="n">
        <v>38</v>
      </c>
      <c r="U5373" s="28" t="n">
        <v>912</v>
      </c>
      <c r="V5373" s="28"/>
      <c r="W5373" s="28" t="n">
        <f aca="false">V5373*$M5373</f>
        <v>0</v>
      </c>
      <c r="X5373" s="28"/>
      <c r="Y5373" s="28" t="n">
        <f aca="false">X5373*$M5373</f>
        <v>0</v>
      </c>
      <c r="Z5373" s="28"/>
      <c r="AA5373" s="28" t="n">
        <f aca="false">Z5373*$M5373</f>
        <v>0</v>
      </c>
      <c r="AB5373" s="28"/>
      <c r="AC5373" s="28" t="n">
        <f aca="false">AB5373*$M5373</f>
        <v>0</v>
      </c>
      <c r="AD5373" s="28"/>
      <c r="AE5373" s="28" t="n">
        <f aca="false">AD5373*$M5373</f>
        <v>0</v>
      </c>
      <c r="AF5373" s="28"/>
      <c r="AG5373" s="28" t="n">
        <f aca="false">AF5373*$M5373</f>
        <v>0</v>
      </c>
      <c r="AH5373" s="28"/>
      <c r="AI5373" s="28" t="n">
        <f aca="false">AH5373*$M5373</f>
        <v>0</v>
      </c>
      <c r="AJ5373" s="28"/>
      <c r="AK5373" s="28" t="n">
        <f aca="false">AJ5373*$M5373</f>
        <v>0</v>
      </c>
      <c r="AL5373" s="28"/>
      <c r="AM5373" s="28" t="n">
        <f aca="false">AL5373*$M5373</f>
        <v>0</v>
      </c>
      <c r="AN5373" s="28"/>
      <c r="AO5373" s="28" t="n">
        <f aca="false">AN5373*$M5373</f>
        <v>0</v>
      </c>
      <c r="AP5373" s="28"/>
      <c r="AQ5373" s="28" t="n">
        <f aca="false">AP5373*$M5373</f>
        <v>0</v>
      </c>
      <c r="AR5373" s="28"/>
      <c r="AS5373" s="28" t="n">
        <f aca="false">AR5373*$M5373</f>
        <v>0</v>
      </c>
      <c r="AT5373" s="28"/>
      <c r="AU5373" s="28" t="n">
        <f aca="false">AT5373*$M5373</f>
        <v>0</v>
      </c>
      <c r="AV5373" s="28"/>
      <c r="AW5373" s="28" t="n">
        <f aca="false">AV5373*$M5373</f>
        <v>0</v>
      </c>
      <c r="AX5373" s="28"/>
      <c r="AY5373" s="28" t="n">
        <f aca="false">AX5373*$M5373</f>
        <v>0</v>
      </c>
      <c r="AZ5373" s="30" t="n">
        <v>516</v>
      </c>
      <c r="BA5373" s="11" t="n">
        <v>12384</v>
      </c>
      <c r="BB5373" s="31" t="n">
        <f aca="false">SUM(Q5373,S5373,U5373,W5373,Y5373,AA5373,AC5373,AE5373,AG5373,AI5373,AK5373,AM5373,AO5373,AQ5373,AS5373,AU5373,AW5373,AY5373)</f>
        <v>12384</v>
      </c>
      <c r="BC5373" s="28" t="n">
        <f aca="false">BA5373-BB5373</f>
        <v>0</v>
      </c>
      <c r="BD5373" s="32" t="n">
        <f aca="false">SUM(P5373,R5373,T5373,V5373,X5373,Z5373,AB5373,AD5373,AF5373,AH5373,AJ5373,AL5373,AN5373,AP5373,AR5373,AT5373,AV5373,AX5373)</f>
        <v>516</v>
      </c>
      <c r="BE5373" s="33" t="n">
        <f aca="false">AZ5373-BD5373</f>
        <v>0</v>
      </c>
      <c r="BF5373" s="34" t="n">
        <f aca="false">BD5373*M5373</f>
        <v>12384</v>
      </c>
      <c r="BG5373" s="35" t="n">
        <f aca="false">BA5373-BF5373</f>
        <v>0</v>
      </c>
      <c r="BH5373" s="19" t="str">
        <f aca="false">IF(BG5373=0,"",IF(BG5373&lt;&gt;BA5373,"erreur de calcul",IF(BD5373&lt;&gt;0,"pas de prix",IF(M5373&lt;&gt; 0,"pas de quantité","pas de prix, ni de quantité"))))</f>
        <v/>
      </c>
      <c r="BI5373" s="19"/>
    </row>
    <row r="5374" customFormat="false" ht="15" hidden="false" customHeight="false" outlineLevel="0" collapsed="false">
      <c r="A5374" s="0" t="n">
        <v>30</v>
      </c>
      <c r="B5374" s="8" t="s">
        <v>24</v>
      </c>
      <c r="C5374" s="9" t="s">
        <v>25</v>
      </c>
      <c r="D5374" s="9" t="s">
        <v>26</v>
      </c>
      <c r="E5374" s="10" t="n">
        <v>1789</v>
      </c>
      <c r="F5374" s="9" t="s">
        <v>27</v>
      </c>
      <c r="G5374" s="9" t="s">
        <v>27</v>
      </c>
      <c r="H5374" s="11" t="n">
        <v>21</v>
      </c>
      <c r="I5374" s="11" t="s">
        <v>183</v>
      </c>
      <c r="J5374" s="14" t="n">
        <v>240</v>
      </c>
      <c r="K5374" s="14"/>
      <c r="L5374" s="16"/>
      <c r="M5374" s="27" t="n">
        <f aca="false">J5374+(K5374/20)+(L5374/240)</f>
        <v>240</v>
      </c>
      <c r="N5374" s="17" t="s">
        <v>64</v>
      </c>
      <c r="O5374" s="11"/>
      <c r="P5374" s="28" t="n">
        <f aca="false">52196/100</f>
        <v>521.96</v>
      </c>
      <c r="Q5374" s="28" t="n">
        <v>125270</v>
      </c>
      <c r="R5374" s="28" t="n">
        <f aca="false">29767/100</f>
        <v>297.67</v>
      </c>
      <c r="S5374" s="28" t="n">
        <v>71441</v>
      </c>
      <c r="T5374" s="28"/>
      <c r="U5374" s="28" t="n">
        <f aca="false">T5374*$M5374</f>
        <v>0</v>
      </c>
      <c r="V5374" s="28"/>
      <c r="W5374" s="28" t="n">
        <f aca="false">V5374*$M5374</f>
        <v>0</v>
      </c>
      <c r="X5374" s="28"/>
      <c r="Y5374" s="28" t="n">
        <f aca="false">X5374*$M5374</f>
        <v>0</v>
      </c>
      <c r="Z5374" s="28"/>
      <c r="AA5374" s="28" t="n">
        <f aca="false">Z5374*$M5374</f>
        <v>0</v>
      </c>
      <c r="AB5374" s="28"/>
      <c r="AC5374" s="28" t="n">
        <f aca="false">AB5374*$M5374</f>
        <v>0</v>
      </c>
      <c r="AD5374" s="28"/>
      <c r="AE5374" s="28" t="n">
        <f aca="false">AD5374*$M5374</f>
        <v>0</v>
      </c>
      <c r="AF5374" s="28"/>
      <c r="AG5374" s="28" t="n">
        <f aca="false">AF5374*$M5374</f>
        <v>0</v>
      </c>
      <c r="AH5374" s="28"/>
      <c r="AI5374" s="28" t="n">
        <f aca="false">AH5374*$M5374</f>
        <v>0</v>
      </c>
      <c r="AJ5374" s="28"/>
      <c r="AK5374" s="28" t="n">
        <f aca="false">AJ5374*$M5374</f>
        <v>0</v>
      </c>
      <c r="AL5374" s="28"/>
      <c r="AM5374" s="28" t="n">
        <f aca="false">AL5374*$M5374</f>
        <v>0</v>
      </c>
      <c r="AN5374" s="28"/>
      <c r="AO5374" s="28" t="n">
        <f aca="false">AN5374*$M5374</f>
        <v>0</v>
      </c>
      <c r="AP5374" s="28"/>
      <c r="AQ5374" s="28" t="n">
        <f aca="false">AP5374*$M5374</f>
        <v>0</v>
      </c>
      <c r="AR5374" s="28"/>
      <c r="AS5374" s="28" t="n">
        <f aca="false">AR5374*$M5374</f>
        <v>0</v>
      </c>
      <c r="AT5374" s="28"/>
      <c r="AU5374" s="28" t="n">
        <f aca="false">AT5374*$M5374</f>
        <v>0</v>
      </c>
      <c r="AV5374" s="28"/>
      <c r="AW5374" s="28" t="n">
        <f aca="false">AV5374*$M5374</f>
        <v>0</v>
      </c>
      <c r="AX5374" s="28"/>
      <c r="AY5374" s="28" t="n">
        <f aca="false">AX5374*$M5374</f>
        <v>0</v>
      </c>
      <c r="AZ5374" s="30" t="n">
        <f aca="false">81963/100</f>
        <v>819.63</v>
      </c>
      <c r="BA5374" s="11" t="n">
        <v>196711</v>
      </c>
      <c r="BB5374" s="31" t="n">
        <f aca="false">SUM(Q5374,S5374,U5374,W5374,Y5374,AA5374,AC5374,AE5374,AG5374,AI5374,AK5374,AM5374,AO5374,AQ5374,AS5374,AU5374,AW5374,AY5374)</f>
        <v>196711</v>
      </c>
      <c r="BC5374" s="28" t="n">
        <f aca="false">BA5374-BB5374</f>
        <v>0</v>
      </c>
      <c r="BD5374" s="32" t="n">
        <f aca="false">SUM(P5374,R5374,T5374,V5374,X5374,Z5374,AB5374,AD5374,AF5374,AH5374,AJ5374,AL5374,AN5374,AP5374,AR5374,AT5374,AV5374,AX5374)</f>
        <v>819.63</v>
      </c>
      <c r="BE5374" s="33" t="n">
        <f aca="false">AZ5374-BD5374</f>
        <v>0</v>
      </c>
      <c r="BF5374" s="34" t="n">
        <f aca="false">BD5374*M5374</f>
        <v>196711.2</v>
      </c>
      <c r="BG5374" s="35" t="n">
        <f aca="false">BA5374-BF5374</f>
        <v>-0.200000000011642</v>
      </c>
      <c r="BH5374" s="19" t="str">
        <f aca="false">IF(BG5374=0,"",IF(BG5374&lt;&gt;BA5374,"erreur de calcul",IF(BD5374&lt;&gt;0,"pas de prix",IF(M5374&lt;&gt; 0,"pas de quantité","pas de prix, ni de quantité"))))</f>
        <v>erreur de calcul</v>
      </c>
      <c r="BI5374" s="19"/>
    </row>
    <row r="5375" customFormat="false" ht="15" hidden="false" customHeight="false" outlineLevel="0" collapsed="false">
      <c r="A5375" s="0" t="n">
        <v>31</v>
      </c>
      <c r="B5375" s="8" t="s">
        <v>24</v>
      </c>
      <c r="C5375" s="9" t="s">
        <v>25</v>
      </c>
      <c r="D5375" s="9" t="s">
        <v>26</v>
      </c>
      <c r="E5375" s="10" t="n">
        <v>1789</v>
      </c>
      <c r="F5375" s="9" t="s">
        <v>27</v>
      </c>
      <c r="G5375" s="9" t="s">
        <v>27</v>
      </c>
      <c r="H5375" s="11" t="n">
        <v>21</v>
      </c>
      <c r="I5375" s="11" t="s">
        <v>184</v>
      </c>
      <c r="J5375" s="14" t="n">
        <v>13</v>
      </c>
      <c r="K5375" s="14"/>
      <c r="L5375" s="16"/>
      <c r="M5375" s="27" t="n">
        <f aca="false">J5375+(K5375/20)+(L5375/240)</f>
        <v>13</v>
      </c>
      <c r="N5375" s="17" t="s">
        <v>66</v>
      </c>
      <c r="O5375" s="11"/>
      <c r="P5375" s="28"/>
      <c r="Q5375" s="28" t="n">
        <f aca="false">P5375*$M5375</f>
        <v>0</v>
      </c>
      <c r="R5375" s="28"/>
      <c r="S5375" s="28" t="n">
        <f aca="false">R5375*$M5375</f>
        <v>0</v>
      </c>
      <c r="T5375" s="28"/>
      <c r="U5375" s="28" t="n">
        <f aca="false">T5375*$M5375</f>
        <v>0</v>
      </c>
      <c r="V5375" s="28"/>
      <c r="W5375" s="28" t="n">
        <f aca="false">V5375*$M5375</f>
        <v>0</v>
      </c>
      <c r="X5375" s="28"/>
      <c r="Y5375" s="28" t="n">
        <f aca="false">X5375*$M5375</f>
        <v>0</v>
      </c>
      <c r="Z5375" s="28"/>
      <c r="AA5375" s="28" t="n">
        <f aca="false">Z5375*$M5375</f>
        <v>0</v>
      </c>
      <c r="AB5375" s="28"/>
      <c r="AC5375" s="28" t="n">
        <f aca="false">AB5375*$M5375</f>
        <v>0</v>
      </c>
      <c r="AD5375" s="28"/>
      <c r="AE5375" s="28" t="n">
        <f aca="false">AD5375*$M5375</f>
        <v>0</v>
      </c>
      <c r="AF5375" s="28"/>
      <c r="AG5375" s="28" t="n">
        <f aca="false">AF5375*$M5375</f>
        <v>0</v>
      </c>
      <c r="AH5375" s="28" t="n">
        <v>354</v>
      </c>
      <c r="AI5375" s="28" t="n">
        <v>4602</v>
      </c>
      <c r="AJ5375" s="28"/>
      <c r="AK5375" s="28" t="n">
        <f aca="false">AJ5375*$M5375</f>
        <v>0</v>
      </c>
      <c r="AL5375" s="28"/>
      <c r="AM5375" s="28" t="n">
        <f aca="false">AL5375*$M5375</f>
        <v>0</v>
      </c>
      <c r="AN5375" s="28"/>
      <c r="AO5375" s="28" t="n">
        <f aca="false">AN5375*$M5375</f>
        <v>0</v>
      </c>
      <c r="AP5375" s="28"/>
      <c r="AQ5375" s="28" t="n">
        <f aca="false">AP5375*$M5375</f>
        <v>0</v>
      </c>
      <c r="AR5375" s="28"/>
      <c r="AS5375" s="28" t="n">
        <f aca="false">AR5375*$M5375</f>
        <v>0</v>
      </c>
      <c r="AT5375" s="28"/>
      <c r="AU5375" s="28" t="n">
        <f aca="false">AT5375*$M5375</f>
        <v>0</v>
      </c>
      <c r="AV5375" s="28"/>
      <c r="AW5375" s="28" t="n">
        <f aca="false">AV5375*$M5375</f>
        <v>0</v>
      </c>
      <c r="AX5375" s="28"/>
      <c r="AY5375" s="28" t="n">
        <f aca="false">AX5375*$M5375</f>
        <v>0</v>
      </c>
      <c r="AZ5375" s="30" t="n">
        <v>354</v>
      </c>
      <c r="BA5375" s="11" t="n">
        <v>4602</v>
      </c>
      <c r="BB5375" s="31" t="n">
        <f aca="false">SUM(Q5375,S5375,U5375,W5375,Y5375,AA5375,AC5375,AE5375,AG5375,AI5375,AK5375,AM5375,AO5375,AQ5375,AS5375,AU5375,AW5375,AY5375)</f>
        <v>4602</v>
      </c>
      <c r="BC5375" s="28" t="n">
        <f aca="false">BA5375-BB5375</f>
        <v>0</v>
      </c>
      <c r="BD5375" s="32" t="n">
        <f aca="false">SUM(P5375,R5375,T5375,V5375,X5375,Z5375,AB5375,AD5375,AF5375,AH5375,AJ5375,AL5375,AN5375,AP5375,AR5375,AT5375,AV5375,AX5375)</f>
        <v>354</v>
      </c>
      <c r="BE5375" s="33" t="n">
        <f aca="false">AZ5375-BD5375</f>
        <v>0</v>
      </c>
      <c r="BF5375" s="34" t="n">
        <f aca="false">BD5375*M5375</f>
        <v>4602</v>
      </c>
      <c r="BG5375" s="35" t="n">
        <f aca="false">BA5375-BF5375</f>
        <v>0</v>
      </c>
      <c r="BH5375" s="19" t="str">
        <f aca="false">IF(BG5375=0,"",IF(BG5375&lt;&gt;BA5375,"erreur de calcul",IF(BD5375&lt;&gt;0,"pas de prix",IF(M5375&lt;&gt; 0,"pas de quantité","pas de prix, ni de quantité"))))</f>
        <v/>
      </c>
      <c r="BI5375" s="19"/>
    </row>
    <row r="5376" customFormat="false" ht="15" hidden="false" customHeight="false" outlineLevel="0" collapsed="false">
      <c r="A5376" s="0" t="n">
        <v>32</v>
      </c>
      <c r="B5376" s="8" t="s">
        <v>24</v>
      </c>
      <c r="C5376" s="9" t="s">
        <v>25</v>
      </c>
      <c r="D5376" s="9" t="s">
        <v>26</v>
      </c>
      <c r="E5376" s="10" t="n">
        <v>1789</v>
      </c>
      <c r="F5376" s="9" t="s">
        <v>27</v>
      </c>
      <c r="G5376" s="9" t="s">
        <v>27</v>
      </c>
      <c r="H5376" s="11" t="n">
        <v>21</v>
      </c>
      <c r="I5376" s="11" t="s">
        <v>185</v>
      </c>
      <c r="J5376" s="14" t="n">
        <v>245</v>
      </c>
      <c r="K5376" s="14"/>
      <c r="L5376" s="16"/>
      <c r="M5376" s="27" t="n">
        <f aca="false">J5376+(K5376/20)+(L5376/240)</f>
        <v>245</v>
      </c>
      <c r="N5376" s="17" t="s">
        <v>64</v>
      </c>
      <c r="O5376" s="11"/>
      <c r="P5376" s="28"/>
      <c r="Q5376" s="28" t="n">
        <f aca="false">P5376*$M5376</f>
        <v>0</v>
      </c>
      <c r="R5376" s="28"/>
      <c r="S5376" s="28" t="n">
        <f aca="false">R5376*$M5376</f>
        <v>0</v>
      </c>
      <c r="T5376" s="28"/>
      <c r="U5376" s="28" t="n">
        <f aca="false">T5376*$M5376</f>
        <v>0</v>
      </c>
      <c r="V5376" s="28" t="n">
        <f aca="false">720/100</f>
        <v>7.2</v>
      </c>
      <c r="W5376" s="28" t="n">
        <v>1764</v>
      </c>
      <c r="X5376" s="28" t="n">
        <f aca="false">40366/100</f>
        <v>403.66</v>
      </c>
      <c r="Y5376" s="28" t="n">
        <v>98897</v>
      </c>
      <c r="Z5376" s="28"/>
      <c r="AA5376" s="28" t="n">
        <f aca="false">Z5376*$M5376</f>
        <v>0</v>
      </c>
      <c r="AB5376" s="28"/>
      <c r="AC5376" s="28" t="n">
        <f aca="false">AB5376*$M5376</f>
        <v>0</v>
      </c>
      <c r="AD5376" s="28"/>
      <c r="AE5376" s="28" t="n">
        <f aca="false">AD5376*$M5376</f>
        <v>0</v>
      </c>
      <c r="AF5376" s="28"/>
      <c r="AG5376" s="28" t="n">
        <f aca="false">AF5376*$M5376</f>
        <v>0</v>
      </c>
      <c r="AH5376" s="28" t="n">
        <f aca="false">83243/100</f>
        <v>832.43</v>
      </c>
      <c r="AI5376" s="28" t="n">
        <v>203945</v>
      </c>
      <c r="AJ5376" s="28"/>
      <c r="AK5376" s="28" t="n">
        <f aca="false">AJ5376*$M5376</f>
        <v>0</v>
      </c>
      <c r="AL5376" s="28"/>
      <c r="AM5376" s="28" t="n">
        <f aca="false">AL5376*$M5376</f>
        <v>0</v>
      </c>
      <c r="AN5376" s="28"/>
      <c r="AO5376" s="28" t="n">
        <f aca="false">AN5376*$M5376</f>
        <v>0</v>
      </c>
      <c r="AP5376" s="28"/>
      <c r="AQ5376" s="28" t="n">
        <f aca="false">AP5376*$M5376</f>
        <v>0</v>
      </c>
      <c r="AR5376" s="28"/>
      <c r="AS5376" s="28" t="n">
        <f aca="false">AR5376*$M5376</f>
        <v>0</v>
      </c>
      <c r="AT5376" s="28"/>
      <c r="AU5376" s="28" t="n">
        <f aca="false">AT5376*$M5376</f>
        <v>0</v>
      </c>
      <c r="AV5376" s="28"/>
      <c r="AW5376" s="28" t="n">
        <f aca="false">AV5376*$M5376</f>
        <v>0</v>
      </c>
      <c r="AX5376" s="28"/>
      <c r="AY5376" s="28" t="n">
        <f aca="false">AX5376*$M5376</f>
        <v>0</v>
      </c>
      <c r="AZ5376" s="30" t="n">
        <f aca="false">124329/100</f>
        <v>1243.29</v>
      </c>
      <c r="BA5376" s="11" t="n">
        <v>304606</v>
      </c>
      <c r="BB5376" s="31" t="n">
        <f aca="false">SUM(Q5376,S5376,U5376,W5376,Y5376,AA5376,AC5376,AE5376,AG5376,AI5376,AK5376,AM5376,AO5376,AQ5376,AS5376,AU5376,AW5376,AY5376)</f>
        <v>304606</v>
      </c>
      <c r="BC5376" s="28" t="n">
        <f aca="false">BA5376-BB5376</f>
        <v>0</v>
      </c>
      <c r="BD5376" s="32" t="n">
        <f aca="false">SUM(P5376,R5376,T5376,V5376,X5376,Z5376,AB5376,AD5376,AF5376,AH5376,AJ5376,AL5376,AN5376,AP5376,AR5376,AT5376,AV5376,AX5376)</f>
        <v>1243.29</v>
      </c>
      <c r="BE5376" s="33" t="n">
        <f aca="false">AZ5376-BD5376</f>
        <v>0</v>
      </c>
      <c r="BF5376" s="34" t="n">
        <f aca="false">BD5376*M5376</f>
        <v>304606.05</v>
      </c>
      <c r="BG5376" s="35" t="n">
        <f aca="false">BA5376-BF5376</f>
        <v>-0.0499999999883585</v>
      </c>
      <c r="BH5376" s="19" t="str">
        <f aca="false">IF(BG5376=0,"",IF(BG5376&lt;&gt;BA5376,"erreur de calcul",IF(BD5376&lt;&gt;0,"pas de prix",IF(M5376&lt;&gt; 0,"pas de quantité","pas de prix, ni de quantité"))))</f>
        <v>erreur de calcul</v>
      </c>
      <c r="BI5376" s="19"/>
    </row>
    <row r="5377" customFormat="false" ht="15" hidden="false" customHeight="false" outlineLevel="0" collapsed="false">
      <c r="A5377" s="0" t="n">
        <v>33</v>
      </c>
      <c r="B5377" s="8" t="s">
        <v>24</v>
      </c>
      <c r="C5377" s="9" t="s">
        <v>25</v>
      </c>
      <c r="D5377" s="9" t="s">
        <v>26</v>
      </c>
      <c r="E5377" s="10" t="n">
        <v>1789</v>
      </c>
      <c r="F5377" s="9" t="s">
        <v>27</v>
      </c>
      <c r="G5377" s="9" t="s">
        <v>27</v>
      </c>
      <c r="H5377" s="11" t="n">
        <v>21</v>
      </c>
      <c r="I5377" s="11" t="s">
        <v>186</v>
      </c>
      <c r="J5377" s="14" t="n">
        <v>240</v>
      </c>
      <c r="K5377" s="14"/>
      <c r="L5377" s="16"/>
      <c r="M5377" s="27" t="n">
        <f aca="false">J5377+(K5377/20)+(L5377/240)</f>
        <v>240</v>
      </c>
      <c r="N5377" s="17" t="s">
        <v>64</v>
      </c>
      <c r="O5377" s="11"/>
      <c r="P5377" s="28"/>
      <c r="Q5377" s="28" t="n">
        <f aca="false">P5377*$M5377</f>
        <v>0</v>
      </c>
      <c r="R5377" s="28"/>
      <c r="S5377" s="28" t="n">
        <f aca="false">R5377*$M5377</f>
        <v>0</v>
      </c>
      <c r="T5377" s="28"/>
      <c r="U5377" s="28" t="n">
        <f aca="false">T5377*$M5377</f>
        <v>0</v>
      </c>
      <c r="V5377" s="28"/>
      <c r="W5377" s="28" t="n">
        <f aca="false">V5377*$M5377</f>
        <v>0</v>
      </c>
      <c r="X5377" s="28"/>
      <c r="Y5377" s="28" t="n">
        <f aca="false">X5377*$M5377</f>
        <v>0</v>
      </c>
      <c r="Z5377" s="28"/>
      <c r="AA5377" s="28" t="n">
        <f aca="false">Z5377*$M5377</f>
        <v>0</v>
      </c>
      <c r="AB5377" s="28"/>
      <c r="AC5377" s="28" t="n">
        <f aca="false">AB5377*$M5377</f>
        <v>0</v>
      </c>
      <c r="AD5377" s="28"/>
      <c r="AE5377" s="28" t="n">
        <f aca="false">AD5377*$M5377</f>
        <v>0</v>
      </c>
      <c r="AF5377" s="28"/>
      <c r="AG5377" s="28" t="n">
        <f aca="false">AF5377*$M5377</f>
        <v>0</v>
      </c>
      <c r="AH5377" s="28" t="n">
        <f aca="false">803/100</f>
        <v>8.03</v>
      </c>
      <c r="AI5377" s="28" t="n">
        <v>1927</v>
      </c>
      <c r="AJ5377" s="28"/>
      <c r="AK5377" s="28" t="n">
        <f aca="false">AJ5377*$M5377</f>
        <v>0</v>
      </c>
      <c r="AL5377" s="28"/>
      <c r="AM5377" s="28" t="n">
        <f aca="false">AL5377*$M5377</f>
        <v>0</v>
      </c>
      <c r="AN5377" s="28"/>
      <c r="AO5377" s="28" t="n">
        <f aca="false">AN5377*$M5377</f>
        <v>0</v>
      </c>
      <c r="AP5377" s="28"/>
      <c r="AQ5377" s="28" t="n">
        <f aca="false">AP5377*$M5377</f>
        <v>0</v>
      </c>
      <c r="AR5377" s="28"/>
      <c r="AS5377" s="28" t="n">
        <f aca="false">AR5377*$M5377</f>
        <v>0</v>
      </c>
      <c r="AT5377" s="28"/>
      <c r="AU5377" s="28" t="n">
        <f aca="false">AT5377*$M5377</f>
        <v>0</v>
      </c>
      <c r="AV5377" s="28"/>
      <c r="AW5377" s="28" t="n">
        <f aca="false">AV5377*$M5377</f>
        <v>0</v>
      </c>
      <c r="AX5377" s="28"/>
      <c r="AY5377" s="28" t="n">
        <f aca="false">AX5377*$M5377</f>
        <v>0</v>
      </c>
      <c r="AZ5377" s="30" t="n">
        <f aca="false">803/100</f>
        <v>8.03</v>
      </c>
      <c r="BA5377" s="11" t="n">
        <v>1927</v>
      </c>
      <c r="BB5377" s="31" t="n">
        <f aca="false">SUM(Q5377,S5377,U5377,W5377,Y5377,AA5377,AC5377,AE5377,AG5377,AI5377,AK5377,AM5377,AO5377,AQ5377,AS5377,AU5377,AW5377,AY5377)</f>
        <v>1927</v>
      </c>
      <c r="BC5377" s="28" t="n">
        <f aca="false">BA5377-BB5377</f>
        <v>0</v>
      </c>
      <c r="BD5377" s="32" t="n">
        <f aca="false">SUM(P5377,R5377,T5377,V5377,X5377,Z5377,AB5377,AD5377,AF5377,AH5377,AJ5377,AL5377,AN5377,AP5377,AR5377,AT5377,AV5377,AX5377)</f>
        <v>8.03</v>
      </c>
      <c r="BE5377" s="33" t="n">
        <f aca="false">AZ5377-BD5377</f>
        <v>0</v>
      </c>
      <c r="BF5377" s="34" t="n">
        <f aca="false">BD5377*M5377</f>
        <v>1927.2</v>
      </c>
      <c r="BG5377" s="35" t="n">
        <f aca="false">BA5377-BF5377</f>
        <v>-0.199999999999818</v>
      </c>
      <c r="BH5377" s="19" t="str">
        <f aca="false">IF(BG5377=0,"",IF(BG5377&lt;&gt;BA5377,"erreur de calcul",IF(BD5377&lt;&gt;0,"pas de prix",IF(M5377&lt;&gt; 0,"pas de quantité","pas de prix, ni de quantité"))))</f>
        <v>erreur de calcul</v>
      </c>
      <c r="BI5377" s="19"/>
    </row>
    <row r="5378" customFormat="false" ht="15" hidden="false" customHeight="false" outlineLevel="0" collapsed="false">
      <c r="A5378" s="0" t="n">
        <v>34</v>
      </c>
      <c r="B5378" s="8" t="s">
        <v>24</v>
      </c>
      <c r="C5378" s="9" t="s">
        <v>25</v>
      </c>
      <c r="D5378" s="9" t="s">
        <v>26</v>
      </c>
      <c r="E5378" s="10" t="n">
        <v>1789</v>
      </c>
      <c r="F5378" s="9" t="s">
        <v>27</v>
      </c>
      <c r="G5378" s="9" t="s">
        <v>27</v>
      </c>
      <c r="H5378" s="11" t="n">
        <v>21</v>
      </c>
      <c r="I5378" s="11" t="s">
        <v>187</v>
      </c>
      <c r="J5378" s="14" t="n">
        <v>45</v>
      </c>
      <c r="K5378" s="14"/>
      <c r="L5378" s="16"/>
      <c r="M5378" s="27" t="n">
        <f aca="false">J5378+(K5378/20)+(L5378/240)</f>
        <v>45</v>
      </c>
      <c r="N5378" s="17" t="s">
        <v>64</v>
      </c>
      <c r="O5378" s="11"/>
      <c r="P5378" s="28" t="n">
        <f aca="false">8827/100</f>
        <v>88.27</v>
      </c>
      <c r="Q5378" s="28" t="n">
        <v>3972</v>
      </c>
      <c r="R5378" s="28"/>
      <c r="S5378" s="28" t="n">
        <f aca="false">R5378*$M5378</f>
        <v>0</v>
      </c>
      <c r="T5378" s="28"/>
      <c r="U5378" s="28" t="n">
        <f aca="false">T5378*$M5378</f>
        <v>0</v>
      </c>
      <c r="V5378" s="28" t="n">
        <f aca="false">8951/100</f>
        <v>89.51</v>
      </c>
      <c r="W5378" s="28" t="n">
        <v>4028</v>
      </c>
      <c r="X5378" s="28" t="n">
        <f aca="false">49106/100</f>
        <v>491.06</v>
      </c>
      <c r="Y5378" s="28" t="n">
        <v>22098</v>
      </c>
      <c r="Z5378" s="28"/>
      <c r="AA5378" s="28" t="n">
        <f aca="false">Z5378*$M5378</f>
        <v>0</v>
      </c>
      <c r="AB5378" s="28" t="n">
        <f aca="false">313412/100</f>
        <v>3134.12</v>
      </c>
      <c r="AC5378" s="28" t="n">
        <v>141035</v>
      </c>
      <c r="AD5378" s="28"/>
      <c r="AE5378" s="28" t="n">
        <f aca="false">AD5378*$M5378</f>
        <v>0</v>
      </c>
      <c r="AF5378" s="28"/>
      <c r="AG5378" s="28" t="n">
        <f aca="false">AF5378*$M5378</f>
        <v>0</v>
      </c>
      <c r="AH5378" s="28"/>
      <c r="AI5378" s="28" t="n">
        <f aca="false">AH5378*$M5378</f>
        <v>0</v>
      </c>
      <c r="AJ5378" s="28"/>
      <c r="AK5378" s="28" t="n">
        <f aca="false">AJ5378*$M5378</f>
        <v>0</v>
      </c>
      <c r="AL5378" s="28"/>
      <c r="AM5378" s="28" t="n">
        <f aca="false">AL5378*$M5378</f>
        <v>0</v>
      </c>
      <c r="AN5378" s="28"/>
      <c r="AO5378" s="28" t="n">
        <f aca="false">AN5378*$M5378</f>
        <v>0</v>
      </c>
      <c r="AP5378" s="28"/>
      <c r="AQ5378" s="28" t="n">
        <f aca="false">AP5378*$M5378</f>
        <v>0</v>
      </c>
      <c r="AR5378" s="28"/>
      <c r="AS5378" s="28" t="n">
        <f aca="false">AR5378*$M5378</f>
        <v>0</v>
      </c>
      <c r="AT5378" s="28"/>
      <c r="AU5378" s="28" t="n">
        <f aca="false">AT5378*$M5378</f>
        <v>0</v>
      </c>
      <c r="AV5378" s="28"/>
      <c r="AW5378" s="28" t="n">
        <f aca="false">AV5378*$M5378</f>
        <v>0</v>
      </c>
      <c r="AX5378" s="28"/>
      <c r="AY5378" s="28" t="n">
        <f aca="false">AX5378*$M5378</f>
        <v>0</v>
      </c>
      <c r="AZ5378" s="30" t="n">
        <f aca="false">380296/100</f>
        <v>3802.96</v>
      </c>
      <c r="BA5378" s="11" t="n">
        <v>171133</v>
      </c>
      <c r="BB5378" s="31" t="n">
        <f aca="false">SUM(Q5378,S5378,U5378,W5378,Y5378,AA5378,AC5378,AE5378,AG5378,AI5378,AK5378,AM5378,AO5378,AQ5378,AS5378,AU5378,AW5378,AY5378)</f>
        <v>171133</v>
      </c>
      <c r="BC5378" s="28" t="n">
        <f aca="false">BA5378-BB5378</f>
        <v>0</v>
      </c>
      <c r="BD5378" s="32" t="n">
        <f aca="false">SUM(P5378,R5378,T5378,V5378,X5378,Z5378,AB5378,AD5378,AF5378,AH5378,AJ5378,AL5378,AN5378,AP5378,AR5378,AT5378,AV5378,AX5378)</f>
        <v>3802.96</v>
      </c>
      <c r="BE5378" s="33" t="n">
        <f aca="false">AZ5378-BD5378</f>
        <v>0</v>
      </c>
      <c r="BF5378" s="34" t="n">
        <f aca="false">BD5378*M5378</f>
        <v>171133.2</v>
      </c>
      <c r="BG5378" s="35" t="n">
        <f aca="false">BA5378-BF5378</f>
        <v>-0.200000000011642</v>
      </c>
      <c r="BH5378" s="19" t="str">
        <f aca="false">IF(BG5378=0,"",IF(BG5378&lt;&gt;BA5378,"erreur de calcul",IF(BD5378&lt;&gt;0,"pas de prix",IF(M5378&lt;&gt; 0,"pas de quantité","pas de prix, ni de quantité"))))</f>
        <v>erreur de calcul</v>
      </c>
      <c r="BI5378" s="19"/>
    </row>
    <row r="5379" customFormat="false" ht="15" hidden="false" customHeight="false" outlineLevel="0" collapsed="false">
      <c r="A5379" s="0" t="n">
        <v>35</v>
      </c>
      <c r="B5379" s="8" t="s">
        <v>24</v>
      </c>
      <c r="C5379" s="9" t="s">
        <v>25</v>
      </c>
      <c r="D5379" s="9" t="s">
        <v>26</v>
      </c>
      <c r="E5379" s="10" t="n">
        <v>1789</v>
      </c>
      <c r="F5379" s="9" t="s">
        <v>27</v>
      </c>
      <c r="G5379" s="9" t="s">
        <v>27</v>
      </c>
      <c r="H5379" s="11" t="n">
        <v>21</v>
      </c>
      <c r="I5379" s="11" t="s">
        <v>188</v>
      </c>
      <c r="J5379" s="14" t="n">
        <v>60</v>
      </c>
      <c r="K5379" s="14"/>
      <c r="L5379" s="16"/>
      <c r="M5379" s="27" t="n">
        <f aca="false">J5379+(K5379/20)+(L5379/240)</f>
        <v>60</v>
      </c>
      <c r="N5379" s="17" t="s">
        <v>64</v>
      </c>
      <c r="O5379" s="11"/>
      <c r="P5379" s="28"/>
      <c r="Q5379" s="28" t="n">
        <f aca="false">P5379*$M5379</f>
        <v>0</v>
      </c>
      <c r="R5379" s="28"/>
      <c r="S5379" s="28" t="n">
        <f aca="false">R5379*$M5379</f>
        <v>0</v>
      </c>
      <c r="T5379" s="28"/>
      <c r="U5379" s="28" t="n">
        <f aca="false">T5379*$M5379</f>
        <v>0</v>
      </c>
      <c r="V5379" s="28"/>
      <c r="W5379" s="28" t="n">
        <f aca="false">V5379*$M5379</f>
        <v>0</v>
      </c>
      <c r="X5379" s="28"/>
      <c r="Y5379" s="28" t="n">
        <f aca="false">X5379*$M5379</f>
        <v>0</v>
      </c>
      <c r="Z5379" s="28"/>
      <c r="AA5379" s="28" t="n">
        <f aca="false">Z5379*$M5379</f>
        <v>0</v>
      </c>
      <c r="AB5379" s="28"/>
      <c r="AC5379" s="28" t="n">
        <f aca="false">AB5379*$M5379</f>
        <v>0</v>
      </c>
      <c r="AD5379" s="28"/>
      <c r="AE5379" s="28" t="n">
        <f aca="false">AD5379*$M5379</f>
        <v>0</v>
      </c>
      <c r="AF5379" s="28"/>
      <c r="AG5379" s="28" t="n">
        <f aca="false">AF5379*$M5379</f>
        <v>0</v>
      </c>
      <c r="AH5379" s="28" t="n">
        <f aca="false">6391/100</f>
        <v>63.91</v>
      </c>
      <c r="AI5379" s="28" t="n">
        <v>3835</v>
      </c>
      <c r="AJ5379" s="28"/>
      <c r="AK5379" s="28" t="n">
        <f aca="false">AJ5379*$M5379</f>
        <v>0</v>
      </c>
      <c r="AL5379" s="28"/>
      <c r="AM5379" s="28" t="n">
        <f aca="false">AL5379*$M5379</f>
        <v>0</v>
      </c>
      <c r="AN5379" s="28"/>
      <c r="AO5379" s="28" t="n">
        <f aca="false">AN5379*$M5379</f>
        <v>0</v>
      </c>
      <c r="AP5379" s="28"/>
      <c r="AQ5379" s="28" t="n">
        <f aca="false">AP5379*$M5379</f>
        <v>0</v>
      </c>
      <c r="AR5379" s="28"/>
      <c r="AS5379" s="28" t="n">
        <f aca="false">AR5379*$M5379</f>
        <v>0</v>
      </c>
      <c r="AT5379" s="28"/>
      <c r="AU5379" s="28" t="n">
        <f aca="false">AT5379*$M5379</f>
        <v>0</v>
      </c>
      <c r="AV5379" s="28"/>
      <c r="AW5379" s="28" t="n">
        <f aca="false">AV5379*$M5379</f>
        <v>0</v>
      </c>
      <c r="AX5379" s="28"/>
      <c r="AY5379" s="28" t="n">
        <f aca="false">AX5379*$M5379</f>
        <v>0</v>
      </c>
      <c r="AZ5379" s="30" t="n">
        <f aca="false">6391/100</f>
        <v>63.91</v>
      </c>
      <c r="BA5379" s="11" t="n">
        <v>3835</v>
      </c>
      <c r="BB5379" s="31" t="n">
        <f aca="false">SUM(Q5379,S5379,U5379,W5379,Y5379,AA5379,AC5379,AE5379,AG5379,AI5379,AK5379,AM5379,AO5379,AQ5379,AS5379,AU5379,AW5379,AY5379)</f>
        <v>3835</v>
      </c>
      <c r="BC5379" s="28" t="n">
        <f aca="false">BA5379-BB5379</f>
        <v>0</v>
      </c>
      <c r="BD5379" s="32" t="n">
        <f aca="false">SUM(P5379,R5379,T5379,V5379,X5379,Z5379,AB5379,AD5379,AF5379,AH5379,AJ5379,AL5379,AN5379,AP5379,AR5379,AT5379,AV5379,AX5379)</f>
        <v>63.91</v>
      </c>
      <c r="BE5379" s="33" t="n">
        <f aca="false">AZ5379-BD5379</f>
        <v>0</v>
      </c>
      <c r="BF5379" s="34" t="n">
        <f aca="false">BD5379*M5379</f>
        <v>3834.6</v>
      </c>
      <c r="BG5379" s="35" t="n">
        <f aca="false">BA5379-BF5379</f>
        <v>0.400000000000091</v>
      </c>
      <c r="BH5379" s="19" t="str">
        <f aca="false">IF(BG5379=0,"",IF(BG5379&lt;&gt;BA5379,"erreur de calcul",IF(BD5379&lt;&gt;0,"pas de prix",IF(M5379&lt;&gt; 0,"pas de quantité","pas de prix, ni de quantité"))))</f>
        <v>erreur de calcul</v>
      </c>
      <c r="BI5379" s="19"/>
    </row>
    <row r="5380" customFormat="false" ht="15" hidden="false" customHeight="false" outlineLevel="0" collapsed="false">
      <c r="A5380" s="0" t="n">
        <v>36</v>
      </c>
      <c r="B5380" s="8" t="s">
        <v>24</v>
      </c>
      <c r="C5380" s="9" t="s">
        <v>25</v>
      </c>
      <c r="D5380" s="9" t="s">
        <v>26</v>
      </c>
      <c r="E5380" s="10" t="n">
        <v>1789</v>
      </c>
      <c r="F5380" s="9" t="s">
        <v>27</v>
      </c>
      <c r="G5380" s="9" t="s">
        <v>27</v>
      </c>
      <c r="H5380" s="11" t="n">
        <v>21</v>
      </c>
      <c r="I5380" s="11" t="s">
        <v>189</v>
      </c>
      <c r="J5380" s="14" t="n">
        <v>30</v>
      </c>
      <c r="K5380" s="14"/>
      <c r="L5380" s="16"/>
      <c r="M5380" s="27" t="n">
        <f aca="false">J5380+(K5380/20)+(L5380/240)</f>
        <v>30</v>
      </c>
      <c r="N5380" s="17" t="s">
        <v>66</v>
      </c>
      <c r="O5380" s="11"/>
      <c r="P5380" s="28"/>
      <c r="Q5380" s="28" t="n">
        <f aca="false">P5380*$M5380</f>
        <v>0</v>
      </c>
      <c r="R5380" s="28"/>
      <c r="S5380" s="28" t="n">
        <f aca="false">R5380*$M5380</f>
        <v>0</v>
      </c>
      <c r="T5380" s="28"/>
      <c r="U5380" s="28" t="n">
        <f aca="false">T5380*$M5380</f>
        <v>0</v>
      </c>
      <c r="V5380" s="28" t="n">
        <v>146</v>
      </c>
      <c r="W5380" s="28" t="n">
        <v>4380</v>
      </c>
      <c r="X5380" s="28"/>
      <c r="Y5380" s="28" t="n">
        <f aca="false">X5380*$M5380</f>
        <v>0</v>
      </c>
      <c r="Z5380" s="28"/>
      <c r="AA5380" s="28" t="n">
        <f aca="false">Z5380*$M5380</f>
        <v>0</v>
      </c>
      <c r="AB5380" s="28"/>
      <c r="AC5380" s="28" t="n">
        <f aca="false">AB5380*$M5380</f>
        <v>0</v>
      </c>
      <c r="AD5380" s="28"/>
      <c r="AE5380" s="28" t="n">
        <f aca="false">AD5380*$M5380</f>
        <v>0</v>
      </c>
      <c r="AF5380" s="28"/>
      <c r="AG5380" s="28" t="n">
        <f aca="false">AF5380*$M5380</f>
        <v>0</v>
      </c>
      <c r="AH5380" s="28"/>
      <c r="AI5380" s="28" t="n">
        <f aca="false">AH5380*$M5380</f>
        <v>0</v>
      </c>
      <c r="AJ5380" s="28"/>
      <c r="AK5380" s="28" t="n">
        <f aca="false">AJ5380*$M5380</f>
        <v>0</v>
      </c>
      <c r="AL5380" s="28"/>
      <c r="AM5380" s="28" t="n">
        <f aca="false">AL5380*$M5380</f>
        <v>0</v>
      </c>
      <c r="AN5380" s="28"/>
      <c r="AO5380" s="28" t="n">
        <f aca="false">AN5380*$M5380</f>
        <v>0</v>
      </c>
      <c r="AP5380" s="28"/>
      <c r="AQ5380" s="28" t="n">
        <f aca="false">AP5380*$M5380</f>
        <v>0</v>
      </c>
      <c r="AR5380" s="28"/>
      <c r="AS5380" s="28" t="n">
        <f aca="false">AR5380*$M5380</f>
        <v>0</v>
      </c>
      <c r="AT5380" s="28"/>
      <c r="AU5380" s="28" t="n">
        <f aca="false">AT5380*$M5380</f>
        <v>0</v>
      </c>
      <c r="AV5380" s="28"/>
      <c r="AW5380" s="28" t="n">
        <f aca="false">AV5380*$M5380</f>
        <v>0</v>
      </c>
      <c r="AX5380" s="28"/>
      <c r="AY5380" s="28" t="n">
        <f aca="false">AX5380*$M5380</f>
        <v>0</v>
      </c>
      <c r="AZ5380" s="30" t="n">
        <v>146</v>
      </c>
      <c r="BA5380" s="11" t="n">
        <v>4380</v>
      </c>
      <c r="BB5380" s="31" t="n">
        <f aca="false">SUM(Q5380,S5380,U5380,W5380,Y5380,AA5380,AC5380,AE5380,AG5380,AI5380,AK5380,AM5380,AO5380,AQ5380,AS5380,AU5380,AW5380,AY5380)</f>
        <v>4380</v>
      </c>
      <c r="BC5380" s="28" t="n">
        <f aca="false">BA5380-BB5380</f>
        <v>0</v>
      </c>
      <c r="BD5380" s="32" t="n">
        <f aca="false">SUM(P5380,R5380,T5380,V5380,X5380,Z5380,AB5380,AD5380,AF5380,AH5380,AJ5380,AL5380,AN5380,AP5380,AR5380,AT5380,AV5380,AX5380)</f>
        <v>146</v>
      </c>
      <c r="BE5380" s="33" t="n">
        <f aca="false">AZ5380-BD5380</f>
        <v>0</v>
      </c>
      <c r="BF5380" s="34" t="n">
        <f aca="false">BD5380*M5380</f>
        <v>4380</v>
      </c>
      <c r="BG5380" s="35" t="n">
        <f aca="false">BA5380-BF5380</f>
        <v>0</v>
      </c>
      <c r="BH5380" s="19" t="str">
        <f aca="false">IF(BG5380=0,"",IF(BG5380&lt;&gt;BA5380,"erreur de calcul",IF(BD5380&lt;&gt;0,"pas de prix",IF(M5380&lt;&gt; 0,"pas de quantité","pas de prix, ni de quantité"))))</f>
        <v/>
      </c>
      <c r="BI5380" s="19"/>
    </row>
    <row r="5381" customFormat="false" ht="15" hidden="false" customHeight="false" outlineLevel="0" collapsed="false">
      <c r="A5381" s="0" t="n">
        <v>37</v>
      </c>
      <c r="B5381" s="8" t="s">
        <v>24</v>
      </c>
      <c r="C5381" s="9" t="s">
        <v>25</v>
      </c>
      <c r="D5381" s="9" t="s">
        <v>26</v>
      </c>
      <c r="E5381" s="10" t="n">
        <v>1789</v>
      </c>
      <c r="F5381" s="9" t="s">
        <v>27</v>
      </c>
      <c r="G5381" s="9" t="s">
        <v>27</v>
      </c>
      <c r="H5381" s="11" t="n">
        <v>21</v>
      </c>
      <c r="I5381" s="11" t="s">
        <v>190</v>
      </c>
      <c r="J5381" s="14" t="n">
        <v>3</v>
      </c>
      <c r="K5381" s="14"/>
      <c r="L5381" s="16"/>
      <c r="M5381" s="27" t="n">
        <f aca="false">J5381+(K5381/20)+(L5381/240)</f>
        <v>3</v>
      </c>
      <c r="N5381" s="17" t="s">
        <v>66</v>
      </c>
      <c r="O5381" s="11"/>
      <c r="P5381" s="28"/>
      <c r="Q5381" s="28" t="n">
        <f aca="false">P5381*$M5381</f>
        <v>0</v>
      </c>
      <c r="R5381" s="28"/>
      <c r="S5381" s="28" t="n">
        <f aca="false">R5381*$M5381</f>
        <v>0</v>
      </c>
      <c r="T5381" s="28"/>
      <c r="U5381" s="28" t="n">
        <f aca="false">T5381*$M5381</f>
        <v>0</v>
      </c>
      <c r="V5381" s="28" t="n">
        <v>284</v>
      </c>
      <c r="W5381" s="28" t="n">
        <v>852</v>
      </c>
      <c r="X5381" s="28" t="n">
        <v>8028</v>
      </c>
      <c r="Y5381" s="28" t="n">
        <v>24084</v>
      </c>
      <c r="Z5381" s="28"/>
      <c r="AA5381" s="28" t="n">
        <f aca="false">Z5381*$M5381</f>
        <v>0</v>
      </c>
      <c r="AB5381" s="28"/>
      <c r="AC5381" s="28" t="n">
        <f aca="false">AB5381*$M5381</f>
        <v>0</v>
      </c>
      <c r="AD5381" s="28"/>
      <c r="AE5381" s="28" t="n">
        <f aca="false">AD5381*$M5381</f>
        <v>0</v>
      </c>
      <c r="AF5381" s="28"/>
      <c r="AG5381" s="28" t="n">
        <f aca="false">AF5381*$M5381</f>
        <v>0</v>
      </c>
      <c r="AH5381" s="28"/>
      <c r="AI5381" s="28" t="n">
        <f aca="false">AH5381*$M5381</f>
        <v>0</v>
      </c>
      <c r="AJ5381" s="28"/>
      <c r="AK5381" s="28" t="n">
        <f aca="false">AJ5381*$M5381</f>
        <v>0</v>
      </c>
      <c r="AL5381" s="28" t="n">
        <v>2127</v>
      </c>
      <c r="AM5381" s="28" t="n">
        <v>6381</v>
      </c>
      <c r="AN5381" s="28"/>
      <c r="AO5381" s="28" t="n">
        <f aca="false">AN5381*$M5381</f>
        <v>0</v>
      </c>
      <c r="AP5381" s="28"/>
      <c r="AQ5381" s="28" t="n">
        <f aca="false">AP5381*$M5381</f>
        <v>0</v>
      </c>
      <c r="AR5381" s="28"/>
      <c r="AS5381" s="28" t="n">
        <f aca="false">AR5381*$M5381</f>
        <v>0</v>
      </c>
      <c r="AT5381" s="28"/>
      <c r="AU5381" s="28" t="n">
        <f aca="false">AT5381*$M5381</f>
        <v>0</v>
      </c>
      <c r="AV5381" s="28"/>
      <c r="AW5381" s="28" t="n">
        <f aca="false">AV5381*$M5381</f>
        <v>0</v>
      </c>
      <c r="AX5381" s="28"/>
      <c r="AY5381" s="28" t="n">
        <f aca="false">AX5381*$M5381</f>
        <v>0</v>
      </c>
      <c r="AZ5381" s="30" t="n">
        <v>10439</v>
      </c>
      <c r="BA5381" s="11" t="n">
        <v>31317</v>
      </c>
      <c r="BB5381" s="31" t="n">
        <f aca="false">SUM(Q5381,S5381,U5381,W5381,Y5381,AA5381,AC5381,AE5381,AG5381,AI5381,AK5381,AM5381,AO5381,AQ5381,AS5381,AU5381,AW5381,AY5381)</f>
        <v>31317</v>
      </c>
      <c r="BC5381" s="28" t="n">
        <f aca="false">BA5381-BB5381</f>
        <v>0</v>
      </c>
      <c r="BD5381" s="32" t="n">
        <f aca="false">SUM(P5381,R5381,T5381,V5381,X5381,Z5381,AB5381,AD5381,AF5381,AH5381,AJ5381,AL5381,AN5381,AP5381,AR5381,AT5381,AV5381,AX5381)</f>
        <v>10439</v>
      </c>
      <c r="BE5381" s="33" t="n">
        <f aca="false">AZ5381-BD5381</f>
        <v>0</v>
      </c>
      <c r="BF5381" s="34" t="n">
        <f aca="false">BD5381*M5381</f>
        <v>31317</v>
      </c>
      <c r="BG5381" s="35" t="n">
        <f aca="false">BA5381-BF5381</f>
        <v>0</v>
      </c>
      <c r="BH5381" s="19" t="str">
        <f aca="false">IF(BG5381=0,"",IF(BG5381&lt;&gt;BA5381,"erreur de calcul",IF(BD5381&lt;&gt;0,"pas de prix",IF(M5381&lt;&gt; 0,"pas de quantité","pas de prix, ni de quantité"))))</f>
        <v/>
      </c>
      <c r="BI5381" s="19"/>
    </row>
    <row r="5382" customFormat="false" ht="15" hidden="false" customHeight="false" outlineLevel="0" collapsed="false">
      <c r="A5382" s="0" t="n">
        <v>38</v>
      </c>
      <c r="B5382" s="8" t="s">
        <v>24</v>
      </c>
      <c r="C5382" s="9" t="s">
        <v>25</v>
      </c>
      <c r="D5382" s="9" t="s">
        <v>26</v>
      </c>
      <c r="E5382" s="10" t="n">
        <v>1789</v>
      </c>
      <c r="F5382" s="9" t="s">
        <v>27</v>
      </c>
      <c r="G5382" s="9" t="s">
        <v>27</v>
      </c>
      <c r="H5382" s="11" t="n">
        <v>21</v>
      </c>
      <c r="I5382" s="11" t="s">
        <v>191</v>
      </c>
      <c r="J5382" s="14" t="n">
        <v>25</v>
      </c>
      <c r="K5382" s="14"/>
      <c r="L5382" s="16"/>
      <c r="M5382" s="27" t="n">
        <f aca="false">J5382+(K5382/20)+(L5382/240)</f>
        <v>25</v>
      </c>
      <c r="N5382" s="17" t="s">
        <v>64</v>
      </c>
      <c r="O5382" s="11"/>
      <c r="P5382" s="28"/>
      <c r="Q5382" s="28" t="n">
        <f aca="false">P5382*$M5382</f>
        <v>0</v>
      </c>
      <c r="R5382" s="28"/>
      <c r="S5382" s="28" t="n">
        <f aca="false">R5382*$M5382</f>
        <v>0</v>
      </c>
      <c r="T5382" s="28"/>
      <c r="U5382" s="28" t="n">
        <f aca="false">T5382*$M5382</f>
        <v>0</v>
      </c>
      <c r="V5382" s="28"/>
      <c r="W5382" s="28" t="n">
        <f aca="false">V5382*$M5382</f>
        <v>0</v>
      </c>
      <c r="X5382" s="28" t="n">
        <f aca="false">5034/100</f>
        <v>50.34</v>
      </c>
      <c r="Y5382" s="28" t="n">
        <v>1258</v>
      </c>
      <c r="Z5382" s="28"/>
      <c r="AA5382" s="28" t="n">
        <f aca="false">Z5382*$M5382</f>
        <v>0</v>
      </c>
      <c r="AB5382" s="28"/>
      <c r="AC5382" s="28" t="n">
        <f aca="false">AB5382*$M5382</f>
        <v>0</v>
      </c>
      <c r="AD5382" s="28"/>
      <c r="AE5382" s="28" t="n">
        <f aca="false">AD5382*$M5382</f>
        <v>0</v>
      </c>
      <c r="AF5382" s="28"/>
      <c r="AG5382" s="28" t="n">
        <f aca="false">AF5382*$M5382</f>
        <v>0</v>
      </c>
      <c r="AH5382" s="28"/>
      <c r="AI5382" s="28" t="n">
        <f aca="false">AH5382*$M5382</f>
        <v>0</v>
      </c>
      <c r="AJ5382" s="28" t="n">
        <f aca="false">1375/100</f>
        <v>13.75</v>
      </c>
      <c r="AK5382" s="28" t="n">
        <v>344</v>
      </c>
      <c r="AL5382" s="28" t="n">
        <f aca="false">6710/100</f>
        <v>67.1</v>
      </c>
      <c r="AM5382" s="28" t="n">
        <v>1677</v>
      </c>
      <c r="AN5382" s="28"/>
      <c r="AO5382" s="28" t="n">
        <f aca="false">AN5382*$M5382</f>
        <v>0</v>
      </c>
      <c r="AP5382" s="28"/>
      <c r="AQ5382" s="28" t="n">
        <f aca="false">AP5382*$M5382</f>
        <v>0</v>
      </c>
      <c r="AR5382" s="28"/>
      <c r="AS5382" s="28" t="n">
        <f aca="false">AR5382*$M5382</f>
        <v>0</v>
      </c>
      <c r="AT5382" s="28"/>
      <c r="AU5382" s="28" t="n">
        <f aca="false">AT5382*$M5382</f>
        <v>0</v>
      </c>
      <c r="AV5382" s="28"/>
      <c r="AW5382" s="28" t="n">
        <f aca="false">AV5382*$M5382</f>
        <v>0</v>
      </c>
      <c r="AX5382" s="28"/>
      <c r="AY5382" s="28" t="n">
        <f aca="false">AX5382*$M5382</f>
        <v>0</v>
      </c>
      <c r="AZ5382" s="30" t="n">
        <f aca="false">13119/100</f>
        <v>131.19</v>
      </c>
      <c r="BA5382" s="11" t="n">
        <v>3279</v>
      </c>
      <c r="BB5382" s="31" t="n">
        <f aca="false">SUM(Q5382,S5382,U5382,W5382,Y5382,AA5382,AC5382,AE5382,AG5382,AI5382,AK5382,AM5382,AO5382,AQ5382,AS5382,AU5382,AW5382,AY5382)</f>
        <v>3279</v>
      </c>
      <c r="BC5382" s="28" t="n">
        <f aca="false">BA5382-BB5382</f>
        <v>0</v>
      </c>
      <c r="BD5382" s="32" t="n">
        <f aca="false">SUM(P5382,R5382,T5382,V5382,X5382,Z5382,AB5382,AD5382,AF5382,AH5382,AJ5382,AL5382,AN5382,AP5382,AR5382,AT5382,AV5382,AX5382)</f>
        <v>131.19</v>
      </c>
      <c r="BE5382" s="33" t="n">
        <f aca="false">AZ5382-BD5382</f>
        <v>0</v>
      </c>
      <c r="BF5382" s="34" t="n">
        <f aca="false">BD5382*M5382</f>
        <v>3279.75</v>
      </c>
      <c r="BG5382" s="35" t="n">
        <f aca="false">BA5382-BF5382</f>
        <v>-0.75</v>
      </c>
      <c r="BH5382" s="19" t="str">
        <f aca="false">IF(BG5382=0,"",IF(BG5382&lt;&gt;BA5382,"erreur de calcul",IF(BD5382&lt;&gt;0,"pas de prix",IF(M5382&lt;&gt; 0,"pas de quantité","pas de prix, ni de quantité"))))</f>
        <v>erreur de calcul</v>
      </c>
      <c r="BI5382" s="19"/>
    </row>
    <row r="5383" customFormat="false" ht="15" hidden="false" customHeight="false" outlineLevel="0" collapsed="false">
      <c r="A5383" s="0" t="n">
        <v>39</v>
      </c>
      <c r="B5383" s="8" t="s">
        <v>24</v>
      </c>
      <c r="C5383" s="9" t="s">
        <v>25</v>
      </c>
      <c r="D5383" s="9" t="s">
        <v>26</v>
      </c>
      <c r="E5383" s="10" t="n">
        <v>1789</v>
      </c>
      <c r="F5383" s="9" t="s">
        <v>27</v>
      </c>
      <c r="G5383" s="9" t="s">
        <v>27</v>
      </c>
      <c r="H5383" s="11" t="n">
        <v>21</v>
      </c>
      <c r="I5383" s="11" t="s">
        <v>192</v>
      </c>
      <c r="J5383" s="14" t="n">
        <v>25</v>
      </c>
      <c r="K5383" s="14"/>
      <c r="L5383" s="16"/>
      <c r="M5383" s="27" t="n">
        <f aca="false">J5383+(K5383/20)+(L5383/240)</f>
        <v>25</v>
      </c>
      <c r="N5383" s="17" t="s">
        <v>64</v>
      </c>
      <c r="O5383" s="11"/>
      <c r="P5383" s="28"/>
      <c r="Q5383" s="28" t="n">
        <f aca="false">P5383*$M5383</f>
        <v>0</v>
      </c>
      <c r="R5383" s="28"/>
      <c r="S5383" s="28" t="n">
        <f aca="false">R5383*$M5383</f>
        <v>0</v>
      </c>
      <c r="T5383" s="28"/>
      <c r="U5383" s="28" t="n">
        <f aca="false">T5383*$M5383</f>
        <v>0</v>
      </c>
      <c r="V5383" s="28"/>
      <c r="W5383" s="28" t="n">
        <f aca="false">V5383*$M5383</f>
        <v>0</v>
      </c>
      <c r="X5383" s="28" t="n">
        <f aca="false">5561/100</f>
        <v>55.61</v>
      </c>
      <c r="Y5383" s="28" t="n">
        <v>1390</v>
      </c>
      <c r="Z5383" s="28"/>
      <c r="AA5383" s="28" t="n">
        <f aca="false">Z5383*$M5383</f>
        <v>0</v>
      </c>
      <c r="AB5383" s="28"/>
      <c r="AC5383" s="28" t="n">
        <f aca="false">AB5383*$M5383</f>
        <v>0</v>
      </c>
      <c r="AD5383" s="28"/>
      <c r="AE5383" s="28" t="n">
        <f aca="false">AD5383*$M5383</f>
        <v>0</v>
      </c>
      <c r="AF5383" s="28"/>
      <c r="AG5383" s="28" t="n">
        <f aca="false">AF5383*$M5383</f>
        <v>0</v>
      </c>
      <c r="AH5383" s="28"/>
      <c r="AI5383" s="28" t="n">
        <f aca="false">AH5383*$M5383</f>
        <v>0</v>
      </c>
      <c r="AJ5383" s="28"/>
      <c r="AK5383" s="28" t="n">
        <f aca="false">AJ5383*$M5383</f>
        <v>0</v>
      </c>
      <c r="AL5383" s="28"/>
      <c r="AM5383" s="28" t="n">
        <f aca="false">AL5383*$M5383</f>
        <v>0</v>
      </c>
      <c r="AN5383" s="28"/>
      <c r="AO5383" s="28" t="n">
        <f aca="false">AN5383*$M5383</f>
        <v>0</v>
      </c>
      <c r="AP5383" s="28"/>
      <c r="AQ5383" s="28" t="n">
        <f aca="false">AP5383*$M5383</f>
        <v>0</v>
      </c>
      <c r="AR5383" s="28"/>
      <c r="AS5383" s="28" t="n">
        <f aca="false">AR5383*$M5383</f>
        <v>0</v>
      </c>
      <c r="AT5383" s="28"/>
      <c r="AU5383" s="28" t="n">
        <f aca="false">AT5383*$M5383</f>
        <v>0</v>
      </c>
      <c r="AV5383" s="28"/>
      <c r="AW5383" s="28" t="n">
        <f aca="false">AV5383*$M5383</f>
        <v>0</v>
      </c>
      <c r="AX5383" s="28"/>
      <c r="AY5383" s="28" t="n">
        <f aca="false">AX5383*$M5383</f>
        <v>0</v>
      </c>
      <c r="AZ5383" s="30" t="n">
        <f aca="false">5561/100</f>
        <v>55.61</v>
      </c>
      <c r="BA5383" s="11" t="n">
        <v>1390</v>
      </c>
      <c r="BB5383" s="31" t="n">
        <f aca="false">SUM(Q5383,S5383,U5383,W5383,Y5383,AA5383,AC5383,AE5383,AG5383,AI5383,AK5383,AM5383,AO5383,AQ5383,AS5383,AU5383,AW5383,AY5383)</f>
        <v>1390</v>
      </c>
      <c r="BC5383" s="28" t="n">
        <f aca="false">BA5383-BB5383</f>
        <v>0</v>
      </c>
      <c r="BD5383" s="32" t="n">
        <f aca="false">SUM(P5383,R5383,T5383,V5383,X5383,Z5383,AB5383,AD5383,AF5383,AH5383,AJ5383,AL5383,AN5383,AP5383,AR5383,AT5383,AV5383,AX5383)</f>
        <v>55.61</v>
      </c>
      <c r="BE5383" s="33" t="n">
        <f aca="false">AZ5383-BD5383</f>
        <v>0</v>
      </c>
      <c r="BF5383" s="34" t="n">
        <f aca="false">BD5383*M5383</f>
        <v>1390.25</v>
      </c>
      <c r="BG5383" s="35" t="n">
        <f aca="false">BA5383-BF5383</f>
        <v>-0.25</v>
      </c>
      <c r="BH5383" s="19" t="str">
        <f aca="false">IF(BG5383=0,"",IF(BG5383&lt;&gt;BA5383,"erreur de calcul",IF(BD5383&lt;&gt;0,"pas de prix",IF(M5383&lt;&gt; 0,"pas de quantité","pas de prix, ni de quantité"))))</f>
        <v>erreur de calcul</v>
      </c>
      <c r="BI5383" s="19"/>
    </row>
    <row r="5384" customFormat="false" ht="15" hidden="false" customHeight="false" outlineLevel="0" collapsed="false">
      <c r="A5384" s="0" t="n">
        <v>40</v>
      </c>
      <c r="B5384" s="8" t="s">
        <v>24</v>
      </c>
      <c r="C5384" s="9" t="s">
        <v>25</v>
      </c>
      <c r="D5384" s="9" t="s">
        <v>26</v>
      </c>
      <c r="E5384" s="10" t="n">
        <v>1789</v>
      </c>
      <c r="F5384" s="9" t="s">
        <v>27</v>
      </c>
      <c r="G5384" s="9" t="s">
        <v>27</v>
      </c>
      <c r="H5384" s="11" t="n">
        <v>21</v>
      </c>
      <c r="I5384" s="11" t="s">
        <v>193</v>
      </c>
      <c r="J5384" s="14" t="n">
        <v>168</v>
      </c>
      <c r="K5384" s="14"/>
      <c r="L5384" s="16"/>
      <c r="M5384" s="27" t="n">
        <f aca="false">J5384+(K5384/20)+(L5384/240)</f>
        <v>168</v>
      </c>
      <c r="N5384" s="17" t="s">
        <v>64</v>
      </c>
      <c r="O5384" s="11"/>
      <c r="P5384" s="28"/>
      <c r="Q5384" s="28" t="n">
        <f aca="false">P5384*$M5384</f>
        <v>0</v>
      </c>
      <c r="R5384" s="28"/>
      <c r="S5384" s="28" t="n">
        <f aca="false">R5384*$M5384</f>
        <v>0</v>
      </c>
      <c r="T5384" s="28"/>
      <c r="U5384" s="28" t="n">
        <f aca="false">T5384*$M5384</f>
        <v>0</v>
      </c>
      <c r="V5384" s="28"/>
      <c r="W5384" s="28" t="n">
        <f aca="false">V5384*$M5384</f>
        <v>0</v>
      </c>
      <c r="X5384" s="28"/>
      <c r="Y5384" s="28" t="n">
        <f aca="false">X5384*$M5384</f>
        <v>0</v>
      </c>
      <c r="Z5384" s="28"/>
      <c r="AA5384" s="28" t="n">
        <f aca="false">Z5384*$M5384</f>
        <v>0</v>
      </c>
      <c r="AB5384" s="28"/>
      <c r="AC5384" s="28" t="n">
        <f aca="false">AB5384*$M5384</f>
        <v>0</v>
      </c>
      <c r="AD5384" s="28"/>
      <c r="AE5384" s="28" t="n">
        <f aca="false">AD5384*$M5384</f>
        <v>0</v>
      </c>
      <c r="AF5384" s="28"/>
      <c r="AG5384" s="28" t="n">
        <f aca="false">AF5384*$M5384</f>
        <v>0</v>
      </c>
      <c r="AH5384" s="28" t="n">
        <f aca="false">14590/100</f>
        <v>145.9</v>
      </c>
      <c r="AI5384" s="28" t="n">
        <v>24511</v>
      </c>
      <c r="AJ5384" s="28"/>
      <c r="AK5384" s="28" t="n">
        <f aca="false">AJ5384*$M5384</f>
        <v>0</v>
      </c>
      <c r="AL5384" s="28"/>
      <c r="AM5384" s="28" t="n">
        <f aca="false">AL5384*$M5384</f>
        <v>0</v>
      </c>
      <c r="AN5384" s="28"/>
      <c r="AO5384" s="28" t="n">
        <f aca="false">AN5384*$M5384</f>
        <v>0</v>
      </c>
      <c r="AP5384" s="28"/>
      <c r="AQ5384" s="28" t="n">
        <f aca="false">AP5384*$M5384</f>
        <v>0</v>
      </c>
      <c r="AR5384" s="28"/>
      <c r="AS5384" s="28" t="n">
        <f aca="false">AR5384*$M5384</f>
        <v>0</v>
      </c>
      <c r="AT5384" s="28"/>
      <c r="AU5384" s="28" t="n">
        <f aca="false">AT5384*$M5384</f>
        <v>0</v>
      </c>
      <c r="AV5384" s="28"/>
      <c r="AW5384" s="28" t="n">
        <f aca="false">AV5384*$M5384</f>
        <v>0</v>
      </c>
      <c r="AX5384" s="28"/>
      <c r="AY5384" s="28" t="n">
        <f aca="false">AX5384*$M5384</f>
        <v>0</v>
      </c>
      <c r="AZ5384" s="30" t="n">
        <f aca="false">14590/100</f>
        <v>145.9</v>
      </c>
      <c r="BA5384" s="11" t="n">
        <v>24511</v>
      </c>
      <c r="BB5384" s="31" t="n">
        <f aca="false">SUM(Q5384,S5384,U5384,W5384,Y5384,AA5384,AC5384,AE5384,AG5384,AI5384,AK5384,AM5384,AO5384,AQ5384,AS5384,AU5384,AW5384,AY5384)</f>
        <v>24511</v>
      </c>
      <c r="BC5384" s="28" t="n">
        <f aca="false">BA5384-BB5384</f>
        <v>0</v>
      </c>
      <c r="BD5384" s="32" t="n">
        <f aca="false">SUM(P5384,R5384,T5384,V5384,X5384,Z5384,AB5384,AD5384,AF5384,AH5384,AJ5384,AL5384,AN5384,AP5384,AR5384,AT5384,AV5384,AX5384)</f>
        <v>145.9</v>
      </c>
      <c r="BE5384" s="33" t="n">
        <f aca="false">AZ5384-BD5384</f>
        <v>0</v>
      </c>
      <c r="BF5384" s="34" t="n">
        <f aca="false">BD5384*M5384</f>
        <v>24511.2</v>
      </c>
      <c r="BG5384" s="35" t="n">
        <f aca="false">BA5384-BF5384</f>
        <v>-0.200000000000728</v>
      </c>
      <c r="BH5384" s="19" t="str">
        <f aca="false">IF(BG5384=0,"",IF(BG5384&lt;&gt;BA5384,"erreur de calcul",IF(BD5384&lt;&gt;0,"pas de prix",IF(M5384&lt;&gt; 0,"pas de quantité","pas de prix, ni de quantité"))))</f>
        <v>erreur de calcul</v>
      </c>
      <c r="BI5384" s="19"/>
    </row>
    <row r="5385" customFormat="false" ht="15" hidden="false" customHeight="false" outlineLevel="0" collapsed="false">
      <c r="A5385" s="0" t="n">
        <v>41</v>
      </c>
      <c r="B5385" s="8" t="s">
        <v>24</v>
      </c>
      <c r="C5385" s="9" t="s">
        <v>25</v>
      </c>
      <c r="D5385" s="9" t="s">
        <v>26</v>
      </c>
      <c r="E5385" s="10" t="n">
        <v>1789</v>
      </c>
      <c r="F5385" s="9" t="s">
        <v>27</v>
      </c>
      <c r="G5385" s="9" t="s">
        <v>27</v>
      </c>
      <c r="H5385" s="11" t="n">
        <v>21</v>
      </c>
      <c r="I5385" s="11" t="s">
        <v>194</v>
      </c>
      <c r="J5385" s="14" t="n">
        <v>120</v>
      </c>
      <c r="K5385" s="14"/>
      <c r="L5385" s="16"/>
      <c r="M5385" s="27" t="n">
        <f aca="false">J5385+(K5385/20)+(L5385/240)</f>
        <v>120</v>
      </c>
      <c r="N5385" s="17" t="s">
        <v>64</v>
      </c>
      <c r="O5385" s="11"/>
      <c r="P5385" s="28"/>
      <c r="Q5385" s="28" t="n">
        <f aca="false">P5385*$M5385</f>
        <v>0</v>
      </c>
      <c r="R5385" s="28"/>
      <c r="S5385" s="28" t="n">
        <f aca="false">R5385*$M5385</f>
        <v>0</v>
      </c>
      <c r="T5385" s="28"/>
      <c r="U5385" s="28" t="n">
        <f aca="false">T5385*$M5385</f>
        <v>0</v>
      </c>
      <c r="V5385" s="28"/>
      <c r="W5385" s="28" t="n">
        <f aca="false">V5385*$M5385</f>
        <v>0</v>
      </c>
      <c r="X5385" s="28"/>
      <c r="Y5385" s="28" t="n">
        <f aca="false">X5385*$M5385</f>
        <v>0</v>
      </c>
      <c r="Z5385" s="28"/>
      <c r="AA5385" s="28" t="n">
        <f aca="false">Z5385*$M5385</f>
        <v>0</v>
      </c>
      <c r="AB5385" s="28" t="n">
        <f aca="false">6930/100</f>
        <v>69.3</v>
      </c>
      <c r="AC5385" s="28" t="n">
        <v>8316</v>
      </c>
      <c r="AD5385" s="28"/>
      <c r="AE5385" s="28" t="n">
        <f aca="false">AD5385*$M5385</f>
        <v>0</v>
      </c>
      <c r="AF5385" s="28"/>
      <c r="AG5385" s="28" t="n">
        <f aca="false">AF5385*$M5385</f>
        <v>0</v>
      </c>
      <c r="AH5385" s="28"/>
      <c r="AI5385" s="28" t="n">
        <f aca="false">AH5385*$M5385</f>
        <v>0</v>
      </c>
      <c r="AJ5385" s="28"/>
      <c r="AK5385" s="28" t="n">
        <f aca="false">AJ5385*$M5385</f>
        <v>0</v>
      </c>
      <c r="AL5385" s="28"/>
      <c r="AM5385" s="28" t="n">
        <f aca="false">AL5385*$M5385</f>
        <v>0</v>
      </c>
      <c r="AN5385" s="28"/>
      <c r="AO5385" s="28" t="n">
        <f aca="false">AN5385*$M5385</f>
        <v>0</v>
      </c>
      <c r="AP5385" s="28"/>
      <c r="AQ5385" s="28" t="n">
        <f aca="false">AP5385*$M5385</f>
        <v>0</v>
      </c>
      <c r="AR5385" s="28"/>
      <c r="AS5385" s="28" t="n">
        <f aca="false">AR5385*$M5385</f>
        <v>0</v>
      </c>
      <c r="AT5385" s="28"/>
      <c r="AU5385" s="28" t="n">
        <f aca="false">AT5385*$M5385</f>
        <v>0</v>
      </c>
      <c r="AV5385" s="28"/>
      <c r="AW5385" s="28" t="n">
        <f aca="false">AV5385*$M5385</f>
        <v>0</v>
      </c>
      <c r="AX5385" s="28"/>
      <c r="AY5385" s="28" t="n">
        <f aca="false">AX5385*$M5385</f>
        <v>0</v>
      </c>
      <c r="AZ5385" s="30" t="n">
        <f aca="false">6930/100</f>
        <v>69.3</v>
      </c>
      <c r="BA5385" s="11" t="n">
        <v>8316</v>
      </c>
      <c r="BB5385" s="31" t="n">
        <f aca="false">SUM(Q5385,S5385,U5385,W5385,Y5385,AA5385,AC5385,AE5385,AG5385,AI5385,AK5385,AM5385,AO5385,AQ5385,AS5385,AU5385,AW5385,AY5385)</f>
        <v>8316</v>
      </c>
      <c r="BC5385" s="28" t="n">
        <f aca="false">BA5385-BB5385</f>
        <v>0</v>
      </c>
      <c r="BD5385" s="32" t="n">
        <f aca="false">SUM(P5385,R5385,T5385,V5385,X5385,Z5385,AB5385,AD5385,AF5385,AH5385,AJ5385,AL5385,AN5385,AP5385,AR5385,AT5385,AV5385,AX5385)</f>
        <v>69.3</v>
      </c>
      <c r="BE5385" s="33" t="n">
        <f aca="false">AZ5385-BD5385</f>
        <v>0</v>
      </c>
      <c r="BF5385" s="34" t="n">
        <f aca="false">BD5385*M5385</f>
        <v>8316</v>
      </c>
      <c r="BG5385" s="35" t="n">
        <f aca="false">BA5385-BF5385</f>
        <v>0</v>
      </c>
      <c r="BH5385" s="19" t="str">
        <f aca="false">IF(BG5385=0,"",IF(BG5385&lt;&gt;BA5385,"erreur de calcul",IF(BD5385&lt;&gt;0,"pas de prix",IF(M5385&lt;&gt; 0,"pas de quantité","pas de prix, ni de quantité"))))</f>
        <v/>
      </c>
      <c r="BI5385" s="19"/>
    </row>
    <row r="5386" customFormat="false" ht="16.65" hidden="false" customHeight="false" outlineLevel="0" collapsed="false">
      <c r="A5386" s="0" t="n">
        <v>42</v>
      </c>
      <c r="B5386" s="8" t="s">
        <v>24</v>
      </c>
      <c r="C5386" s="9" t="s">
        <v>25</v>
      </c>
      <c r="D5386" s="9" t="s">
        <v>26</v>
      </c>
      <c r="E5386" s="10" t="n">
        <v>1789</v>
      </c>
      <c r="F5386" s="9" t="s">
        <v>27</v>
      </c>
      <c r="G5386" s="9" t="s">
        <v>27</v>
      </c>
      <c r="H5386" s="11" t="n">
        <v>21</v>
      </c>
      <c r="I5386" s="11" t="s">
        <v>195</v>
      </c>
      <c r="J5386" s="14" t="n">
        <v>70</v>
      </c>
      <c r="K5386" s="14"/>
      <c r="L5386" s="16"/>
      <c r="M5386" s="27" t="n">
        <f aca="false">J5386+(K5386/20)+(L5386/240)</f>
        <v>70</v>
      </c>
      <c r="N5386" s="17" t="s">
        <v>64</v>
      </c>
      <c r="O5386" s="11"/>
      <c r="P5386" s="28"/>
      <c r="Q5386" s="28" t="n">
        <f aca="false">P5386*$M5386</f>
        <v>0</v>
      </c>
      <c r="R5386" s="28"/>
      <c r="S5386" s="28" t="n">
        <f aca="false">R5386*$M5386</f>
        <v>0</v>
      </c>
      <c r="T5386" s="28"/>
      <c r="U5386" s="28" t="n">
        <f aca="false">T5386*$M5386</f>
        <v>0</v>
      </c>
      <c r="V5386" s="28"/>
      <c r="W5386" s="28" t="n">
        <f aca="false">V5386*$M5386</f>
        <v>0</v>
      </c>
      <c r="X5386" s="28"/>
      <c r="Y5386" s="28" t="n">
        <f aca="false">X5386*$M5386</f>
        <v>0</v>
      </c>
      <c r="Z5386" s="28"/>
      <c r="AA5386" s="28" t="n">
        <f aca="false">Z5386*$M5386</f>
        <v>0</v>
      </c>
      <c r="AB5386" s="28"/>
      <c r="AC5386" s="28" t="n">
        <f aca="false">AB5386*$M5386</f>
        <v>0</v>
      </c>
      <c r="AD5386" s="28"/>
      <c r="AE5386" s="28" t="n">
        <f aca="false">AD5386*$M5386</f>
        <v>0</v>
      </c>
      <c r="AF5386" s="28"/>
      <c r="AG5386" s="28" t="n">
        <f aca="false">AF5386*$M5386</f>
        <v>0</v>
      </c>
      <c r="AH5386" s="28"/>
      <c r="AI5386" s="28" t="n">
        <f aca="false">AH5386*$M5386</f>
        <v>0</v>
      </c>
      <c r="AJ5386" s="28"/>
      <c r="AK5386" s="28" t="n">
        <f aca="false">AJ5386*$M5386</f>
        <v>0</v>
      </c>
      <c r="AL5386" s="28"/>
      <c r="AM5386" s="28" t="n">
        <f aca="false">AL5386*$M5386</f>
        <v>0</v>
      </c>
      <c r="AN5386" s="28" t="n">
        <f aca="false">13200/100</f>
        <v>132</v>
      </c>
      <c r="AO5386" s="28" t="n">
        <v>9240</v>
      </c>
      <c r="AP5386" s="28"/>
      <c r="AQ5386" s="28" t="n">
        <f aca="false">AP5386*$M5386</f>
        <v>0</v>
      </c>
      <c r="AR5386" s="28"/>
      <c r="AS5386" s="28" t="n">
        <f aca="false">AR5386*$M5386</f>
        <v>0</v>
      </c>
      <c r="AT5386" s="28"/>
      <c r="AU5386" s="28" t="n">
        <f aca="false">AT5386*$M5386</f>
        <v>0</v>
      </c>
      <c r="AV5386" s="28"/>
      <c r="AW5386" s="28" t="n">
        <f aca="false">AV5386*$M5386</f>
        <v>0</v>
      </c>
      <c r="AX5386" s="28"/>
      <c r="AY5386" s="28" t="n">
        <f aca="false">AX5386*$M5386</f>
        <v>0</v>
      </c>
      <c r="AZ5386" s="30" t="n">
        <f aca="false">13200/100</f>
        <v>132</v>
      </c>
      <c r="BA5386" s="11" t="n">
        <v>9240</v>
      </c>
      <c r="BB5386" s="31" t="n">
        <f aca="false">SUM(Q5386,S5386,U5386,W5386,Y5386,AA5386,AC5386,AE5386,AG5386,AI5386,AK5386,AM5386,AO5386,AQ5386,AS5386,AU5386,AW5386,AY5386)</f>
        <v>9240</v>
      </c>
      <c r="BC5386" s="28" t="n">
        <f aca="false">BA5386-BB5386</f>
        <v>0</v>
      </c>
      <c r="BD5386" s="32" t="n">
        <f aca="false">SUM(P5386,R5386,T5386,V5386,X5386,Z5386,AB5386,AD5386,AF5386,AH5386,AJ5386,AL5386,AN5386,AP5386,AR5386,AT5386,AV5386,AX5386)</f>
        <v>132</v>
      </c>
      <c r="BE5386" s="33" t="n">
        <f aca="false">AZ5386-BD5386</f>
        <v>0</v>
      </c>
      <c r="BF5386" s="34" t="n">
        <f aca="false">BD5386*M5386</f>
        <v>9240</v>
      </c>
      <c r="BG5386" s="35" t="n">
        <f aca="false">BA5386-BF5386</f>
        <v>0</v>
      </c>
      <c r="BH5386" s="19" t="str">
        <f aca="false">IF(BG5386=0,"",IF(BG5386&lt;&gt;BA5386,"erreur de calcul",IF(BD5386&lt;&gt;0,"pas de prix",IF(M5386&lt;&gt; 0,"pas de quantité","pas de prix, ni de quantité"))))</f>
        <v/>
      </c>
      <c r="BI5386" s="19"/>
    </row>
    <row r="5387" customFormat="false" ht="15" hidden="false" customHeight="false" outlineLevel="0" collapsed="false">
      <c r="A5387" s="0" t="n">
        <v>43</v>
      </c>
      <c r="B5387" s="8" t="s">
        <v>24</v>
      </c>
      <c r="C5387" s="9" t="s">
        <v>25</v>
      </c>
      <c r="D5387" s="9" t="s">
        <v>26</v>
      </c>
      <c r="E5387" s="10" t="n">
        <v>1789</v>
      </c>
      <c r="F5387" s="9" t="s">
        <v>27</v>
      </c>
      <c r="G5387" s="9" t="s">
        <v>27</v>
      </c>
      <c r="H5387" s="11" t="n">
        <v>21</v>
      </c>
      <c r="I5387" s="11" t="s">
        <v>196</v>
      </c>
      <c r="J5387" s="14" t="n">
        <v>65</v>
      </c>
      <c r="K5387" s="14"/>
      <c r="L5387" s="16"/>
      <c r="M5387" s="27" t="n">
        <f aca="false">J5387+(K5387/20)+(L5387/240)</f>
        <v>65</v>
      </c>
      <c r="N5387" s="17" t="s">
        <v>64</v>
      </c>
      <c r="O5387" s="11"/>
      <c r="P5387" s="28"/>
      <c r="Q5387" s="28" t="n">
        <f aca="false">P5387*$M5387</f>
        <v>0</v>
      </c>
      <c r="R5387" s="28"/>
      <c r="S5387" s="28" t="n">
        <f aca="false">R5387*$M5387</f>
        <v>0</v>
      </c>
      <c r="T5387" s="28"/>
      <c r="U5387" s="28" t="n">
        <f aca="false">T5387*$M5387</f>
        <v>0</v>
      </c>
      <c r="V5387" s="28"/>
      <c r="W5387" s="28" t="n">
        <f aca="false">V5387*$M5387</f>
        <v>0</v>
      </c>
      <c r="X5387" s="28" t="n">
        <f aca="false">44247/100</f>
        <v>442.47</v>
      </c>
      <c r="Y5387" s="28" t="n">
        <v>28760</v>
      </c>
      <c r="Z5387" s="28" t="n">
        <f aca="false">1906/100</f>
        <v>19.06</v>
      </c>
      <c r="AA5387" s="28" t="n">
        <v>1239</v>
      </c>
      <c r="AB5387" s="28"/>
      <c r="AC5387" s="28" t="n">
        <f aca="false">AB5387*$M5387</f>
        <v>0</v>
      </c>
      <c r="AD5387" s="28"/>
      <c r="AE5387" s="28" t="n">
        <f aca="false">AD5387*$M5387</f>
        <v>0</v>
      </c>
      <c r="AF5387" s="28"/>
      <c r="AG5387" s="28" t="n">
        <f aca="false">AF5387*$M5387</f>
        <v>0</v>
      </c>
      <c r="AH5387" s="28"/>
      <c r="AI5387" s="28" t="n">
        <f aca="false">AH5387*$M5387</f>
        <v>0</v>
      </c>
      <c r="AJ5387" s="28" t="n">
        <f aca="false">625/100</f>
        <v>6.25</v>
      </c>
      <c r="AK5387" s="28" t="n">
        <v>406</v>
      </c>
      <c r="AL5387" s="28"/>
      <c r="AM5387" s="28" t="n">
        <f aca="false">AL5387*$M5387</f>
        <v>0</v>
      </c>
      <c r="AN5387" s="28"/>
      <c r="AO5387" s="28" t="n">
        <f aca="false">AN5387*$M5387</f>
        <v>0</v>
      </c>
      <c r="AP5387" s="28"/>
      <c r="AQ5387" s="28" t="n">
        <f aca="false">AP5387*$M5387</f>
        <v>0</v>
      </c>
      <c r="AR5387" s="28"/>
      <c r="AS5387" s="28" t="n">
        <f aca="false">AR5387*$M5387</f>
        <v>0</v>
      </c>
      <c r="AT5387" s="28"/>
      <c r="AU5387" s="28" t="n">
        <f aca="false">AT5387*$M5387</f>
        <v>0</v>
      </c>
      <c r="AV5387" s="28"/>
      <c r="AW5387" s="28" t="n">
        <f aca="false">AV5387*$M5387</f>
        <v>0</v>
      </c>
      <c r="AX5387" s="28"/>
      <c r="AY5387" s="28" t="n">
        <f aca="false">AX5387*$M5387</f>
        <v>0</v>
      </c>
      <c r="AZ5387" s="30" t="n">
        <f aca="false">46778/100</f>
        <v>467.78</v>
      </c>
      <c r="BA5387" s="11" t="n">
        <v>30405</v>
      </c>
      <c r="BB5387" s="31" t="n">
        <f aca="false">SUM(Q5387,S5387,U5387,W5387,Y5387,AA5387,AC5387,AE5387,AG5387,AI5387,AK5387,AM5387,AO5387,AQ5387,AS5387,AU5387,AW5387,AY5387)</f>
        <v>30405</v>
      </c>
      <c r="BC5387" s="28" t="n">
        <f aca="false">BA5387-BB5387</f>
        <v>0</v>
      </c>
      <c r="BD5387" s="32" t="n">
        <f aca="false">SUM(P5387,R5387,T5387,V5387,X5387,Z5387,AB5387,AD5387,AF5387,AH5387,AJ5387,AL5387,AN5387,AP5387,AR5387,AT5387,AV5387,AX5387)</f>
        <v>467.78</v>
      </c>
      <c r="BE5387" s="33" t="n">
        <f aca="false">AZ5387-BD5387</f>
        <v>0</v>
      </c>
      <c r="BF5387" s="34" t="n">
        <f aca="false">BD5387*M5387</f>
        <v>30405.7</v>
      </c>
      <c r="BG5387" s="35" t="n">
        <f aca="false">BA5387-BF5387</f>
        <v>-0.700000000000728</v>
      </c>
      <c r="BH5387" s="19" t="str">
        <f aca="false">IF(BG5387=0,"",IF(BG5387&lt;&gt;BA5387,"erreur de calcul",IF(BD5387&lt;&gt;0,"pas de prix",IF(M5387&lt;&gt; 0,"pas de quantité","pas de prix, ni de quantité"))))</f>
        <v>erreur de calcul</v>
      </c>
      <c r="BI5387" s="19"/>
    </row>
    <row r="5388" customFormat="false" ht="15" hidden="false" customHeight="false" outlineLevel="0" collapsed="false">
      <c r="A5388" s="0" t="n">
        <v>44</v>
      </c>
      <c r="B5388" s="8" t="s">
        <v>24</v>
      </c>
      <c r="C5388" s="9" t="s">
        <v>25</v>
      </c>
      <c r="D5388" s="9" t="s">
        <v>26</v>
      </c>
      <c r="E5388" s="10" t="n">
        <v>1789</v>
      </c>
      <c r="F5388" s="9" t="s">
        <v>27</v>
      </c>
      <c r="G5388" s="9" t="s">
        <v>27</v>
      </c>
      <c r="H5388" s="11" t="n">
        <v>21</v>
      </c>
      <c r="I5388" s="11" t="s">
        <v>197</v>
      </c>
      <c r="J5388" s="14" t="n">
        <v>70</v>
      </c>
      <c r="K5388" s="14"/>
      <c r="L5388" s="16"/>
      <c r="M5388" s="27" t="n">
        <f aca="false">J5388+(K5388/20)+(L5388/240)</f>
        <v>70</v>
      </c>
      <c r="N5388" s="17" t="s">
        <v>64</v>
      </c>
      <c r="O5388" s="11"/>
      <c r="P5388" s="28"/>
      <c r="Q5388" s="28" t="n">
        <f aca="false">P5388*$M5388</f>
        <v>0</v>
      </c>
      <c r="R5388" s="28"/>
      <c r="S5388" s="28" t="n">
        <f aca="false">R5388*$M5388</f>
        <v>0</v>
      </c>
      <c r="T5388" s="28"/>
      <c r="U5388" s="28" t="n">
        <f aca="false">T5388*$M5388</f>
        <v>0</v>
      </c>
      <c r="V5388" s="28"/>
      <c r="W5388" s="28" t="n">
        <f aca="false">V5388*$M5388</f>
        <v>0</v>
      </c>
      <c r="X5388" s="28"/>
      <c r="Y5388" s="28" t="n">
        <f aca="false">X5388*$M5388</f>
        <v>0</v>
      </c>
      <c r="Z5388" s="28"/>
      <c r="AA5388" s="28" t="n">
        <f aca="false">Z5388*$M5388</f>
        <v>0</v>
      </c>
      <c r="AB5388" s="28"/>
      <c r="AC5388" s="28" t="n">
        <f aca="false">AB5388*$M5388</f>
        <v>0</v>
      </c>
      <c r="AD5388" s="28"/>
      <c r="AE5388" s="28" t="n">
        <f aca="false">AD5388*$M5388</f>
        <v>0</v>
      </c>
      <c r="AF5388" s="28"/>
      <c r="AG5388" s="28" t="n">
        <f aca="false">AF5388*$M5388</f>
        <v>0</v>
      </c>
      <c r="AH5388" s="28" t="n">
        <f aca="false">156436/100</f>
        <v>1564.36</v>
      </c>
      <c r="AI5388" s="28" t="n">
        <v>109505</v>
      </c>
      <c r="AJ5388" s="28"/>
      <c r="AK5388" s="28" t="n">
        <f aca="false">AJ5388*$M5388</f>
        <v>0</v>
      </c>
      <c r="AL5388" s="28"/>
      <c r="AM5388" s="28" t="n">
        <f aca="false">AL5388*$M5388</f>
        <v>0</v>
      </c>
      <c r="AN5388" s="28"/>
      <c r="AO5388" s="28" t="n">
        <f aca="false">AN5388*$M5388</f>
        <v>0</v>
      </c>
      <c r="AP5388" s="28"/>
      <c r="AQ5388" s="28" t="n">
        <f aca="false">AP5388*$M5388</f>
        <v>0</v>
      </c>
      <c r="AR5388" s="28"/>
      <c r="AS5388" s="28" t="n">
        <f aca="false">AR5388*$M5388</f>
        <v>0</v>
      </c>
      <c r="AT5388" s="28"/>
      <c r="AU5388" s="28" t="n">
        <f aca="false">AT5388*$M5388</f>
        <v>0</v>
      </c>
      <c r="AV5388" s="28"/>
      <c r="AW5388" s="28" t="n">
        <f aca="false">AV5388*$M5388</f>
        <v>0</v>
      </c>
      <c r="AX5388" s="28"/>
      <c r="AY5388" s="28" t="n">
        <f aca="false">AX5388*$M5388</f>
        <v>0</v>
      </c>
      <c r="AZ5388" s="30" t="n">
        <f aca="false">156436/100</f>
        <v>1564.36</v>
      </c>
      <c r="BA5388" s="11" t="n">
        <v>109505</v>
      </c>
      <c r="BB5388" s="31" t="n">
        <f aca="false">SUM(Q5388,S5388,U5388,W5388,Y5388,AA5388,AC5388,AE5388,AG5388,AI5388,AK5388,AM5388,AO5388,AQ5388,AS5388,AU5388,AW5388,AY5388)</f>
        <v>109505</v>
      </c>
      <c r="BC5388" s="28" t="n">
        <f aca="false">BA5388-BB5388</f>
        <v>0</v>
      </c>
      <c r="BD5388" s="32" t="n">
        <f aca="false">SUM(P5388,R5388,T5388,V5388,X5388,Z5388,AB5388,AD5388,AF5388,AH5388,AJ5388,AL5388,AN5388,AP5388,AR5388,AT5388,AV5388,AX5388)</f>
        <v>1564.36</v>
      </c>
      <c r="BE5388" s="33" t="n">
        <f aca="false">AZ5388-BD5388</f>
        <v>0</v>
      </c>
      <c r="BF5388" s="34" t="n">
        <f aca="false">BD5388*M5388</f>
        <v>109505.2</v>
      </c>
      <c r="BG5388" s="35" t="n">
        <f aca="false">BA5388-BF5388</f>
        <v>-0.19999999999709</v>
      </c>
      <c r="BH5388" s="19" t="str">
        <f aca="false">IF(BG5388=0,"",IF(BG5388&lt;&gt;BA5388,"erreur de calcul",IF(BD5388&lt;&gt;0,"pas de prix",IF(M5388&lt;&gt; 0,"pas de quantité","pas de prix, ni de quantité"))))</f>
        <v>erreur de calcul</v>
      </c>
      <c r="BI5388" s="19"/>
    </row>
    <row r="5389" customFormat="false" ht="15" hidden="false" customHeight="false" outlineLevel="0" collapsed="false">
      <c r="A5389" s="0" t="n">
        <v>45</v>
      </c>
      <c r="B5389" s="8" t="s">
        <v>24</v>
      </c>
      <c r="C5389" s="9" t="s">
        <v>25</v>
      </c>
      <c r="D5389" s="9" t="s">
        <v>26</v>
      </c>
      <c r="E5389" s="10" t="n">
        <v>1789</v>
      </c>
      <c r="F5389" s="9" t="s">
        <v>27</v>
      </c>
      <c r="G5389" s="9" t="s">
        <v>27</v>
      </c>
      <c r="H5389" s="11" t="n">
        <v>21</v>
      </c>
      <c r="I5389" s="11" t="s">
        <v>198</v>
      </c>
      <c r="J5389" s="14"/>
      <c r="K5389" s="14"/>
      <c r="L5389" s="16"/>
      <c r="M5389" s="27" t="n">
        <f aca="false">J5389+(K5389/20)+(L5389/240)</f>
        <v>0</v>
      </c>
      <c r="N5389" s="17"/>
      <c r="O5389" s="11" t="s">
        <v>98</v>
      </c>
      <c r="P5389" s="28"/>
      <c r="Q5389" s="28" t="n">
        <v>387</v>
      </c>
      <c r="R5389" s="28"/>
      <c r="S5389" s="28" t="n">
        <f aca="false">R5389*$M5389</f>
        <v>0</v>
      </c>
      <c r="T5389" s="28"/>
      <c r="U5389" s="28" t="n">
        <v>2349</v>
      </c>
      <c r="V5389" s="28"/>
      <c r="W5389" s="28" t="n">
        <v>978</v>
      </c>
      <c r="X5389" s="28"/>
      <c r="Y5389" s="28" t="n">
        <f aca="false">X5389*$M5389</f>
        <v>0</v>
      </c>
      <c r="Z5389" s="28"/>
      <c r="AA5389" s="28" t="n">
        <f aca="false">Z5389*$M5389</f>
        <v>0</v>
      </c>
      <c r="AB5389" s="28"/>
      <c r="AC5389" s="28" t="n">
        <v>328</v>
      </c>
      <c r="AD5389" s="28"/>
      <c r="AE5389" s="28" t="n">
        <f aca="false">AD5389*$M5389</f>
        <v>0</v>
      </c>
      <c r="AF5389" s="28"/>
      <c r="AG5389" s="28" t="n">
        <f aca="false">AF5389*$M5389</f>
        <v>0</v>
      </c>
      <c r="AH5389" s="28"/>
      <c r="AI5389" s="28" t="n">
        <v>878</v>
      </c>
      <c r="AJ5389" s="28"/>
      <c r="AK5389" s="28" t="n">
        <v>1546</v>
      </c>
      <c r="AL5389" s="28"/>
      <c r="AM5389" s="28" t="n">
        <f aca="false">AL5389*$M5389</f>
        <v>0</v>
      </c>
      <c r="AN5389" s="28"/>
      <c r="AO5389" s="28" t="n">
        <f aca="false">AN5389*$M5389</f>
        <v>0</v>
      </c>
      <c r="AP5389" s="28"/>
      <c r="AQ5389" s="28" t="n">
        <f aca="false">AP5389*$M5389</f>
        <v>0</v>
      </c>
      <c r="AR5389" s="28"/>
      <c r="AS5389" s="28" t="n">
        <f aca="false">AR5389*$M5389</f>
        <v>0</v>
      </c>
      <c r="AT5389" s="28"/>
      <c r="AU5389" s="28" t="n">
        <f aca="false">AT5389*$M5389</f>
        <v>0</v>
      </c>
      <c r="AV5389" s="28"/>
      <c r="AW5389" s="28" t="n">
        <f aca="false">AV5389*$M5389</f>
        <v>0</v>
      </c>
      <c r="AX5389" s="28"/>
      <c r="AY5389" s="28" t="n">
        <f aca="false">AX5389*$M5389</f>
        <v>0</v>
      </c>
      <c r="AZ5389" s="30"/>
      <c r="BA5389" s="11" t="n">
        <v>6466</v>
      </c>
      <c r="BB5389" s="31" t="n">
        <f aca="false">SUM(Q5389,S5389,U5389,W5389,Y5389,AA5389,AC5389,AE5389,AG5389,AI5389,AK5389,AM5389,AO5389,AQ5389,AS5389,AU5389,AW5389,AY5389)</f>
        <v>6466</v>
      </c>
      <c r="BC5389" s="28" t="n">
        <f aca="false">BA5389-BB5389</f>
        <v>0</v>
      </c>
      <c r="BD5389" s="32" t="n">
        <f aca="false">SUM(P5389,R5389,T5389,V5389,X5389,Z5389,AB5389,AD5389,AF5389,AH5389,AJ5389,AL5389,AN5389,AP5389,AR5389,AT5389,AV5389,AX5389)</f>
        <v>0</v>
      </c>
      <c r="BE5389" s="33" t="n">
        <f aca="false">AZ5389-BD5389</f>
        <v>0</v>
      </c>
      <c r="BF5389" s="34" t="n">
        <f aca="false">BD5389*M5389</f>
        <v>0</v>
      </c>
      <c r="BG5389" s="35" t="n">
        <f aca="false">BA5389-BF5389</f>
        <v>6466</v>
      </c>
      <c r="BH5389" s="19" t="str">
        <f aca="false">IF(BG5389=0,"",IF(BG5389&lt;&gt;BA5389,"erreur de calcul",IF(BD5389&lt;&gt;0,"pas de prix",IF(M5389&lt;&gt; 0,"pas de quantité","pas de prix, ni de quantité"))))</f>
        <v>pas de prix, ni de quantité</v>
      </c>
      <c r="BI5389" s="19"/>
    </row>
    <row r="5390" customFormat="false" ht="15" hidden="false" customHeight="false" outlineLevel="0" collapsed="false">
      <c r="A5390" s="0" t="n">
        <v>46</v>
      </c>
      <c r="B5390" s="8" t="s">
        <v>24</v>
      </c>
      <c r="C5390" s="9" t="s">
        <v>25</v>
      </c>
      <c r="D5390" s="9" t="s">
        <v>26</v>
      </c>
      <c r="E5390" s="10" t="n">
        <v>1789</v>
      </c>
      <c r="F5390" s="9" t="s">
        <v>27</v>
      </c>
      <c r="G5390" s="9" t="s">
        <v>27</v>
      </c>
      <c r="H5390" s="11" t="n">
        <v>21</v>
      </c>
      <c r="I5390" s="11" t="s">
        <v>199</v>
      </c>
      <c r="J5390" s="14" t="n">
        <v>27</v>
      </c>
      <c r="K5390" s="14"/>
      <c r="L5390" s="16"/>
      <c r="M5390" s="27" t="n">
        <f aca="false">J5390+(K5390/20)+(L5390/240)</f>
        <v>27</v>
      </c>
      <c r="N5390" s="17" t="s">
        <v>64</v>
      </c>
      <c r="O5390" s="11"/>
      <c r="P5390" s="28" t="n">
        <f aca="false">108627/100</f>
        <v>1086.27</v>
      </c>
      <c r="Q5390" s="28" t="n">
        <v>29329</v>
      </c>
      <c r="R5390" s="28"/>
      <c r="S5390" s="28" t="n">
        <f aca="false">R5390*$M5390</f>
        <v>0</v>
      </c>
      <c r="T5390" s="28"/>
      <c r="U5390" s="28" t="n">
        <f aca="false">T5390*$M5390</f>
        <v>0</v>
      </c>
      <c r="V5390" s="28"/>
      <c r="W5390" s="28" t="n">
        <f aca="false">V5390*$M5390</f>
        <v>0</v>
      </c>
      <c r="X5390" s="28"/>
      <c r="Y5390" s="28" t="n">
        <f aca="false">X5390*$M5390</f>
        <v>0</v>
      </c>
      <c r="Z5390" s="28" t="n">
        <f aca="false">535243/100</f>
        <v>5352.43</v>
      </c>
      <c r="AA5390" s="28" t="n">
        <v>144516</v>
      </c>
      <c r="AB5390" s="28"/>
      <c r="AC5390" s="28" t="n">
        <f aca="false">AB5390*$M5390</f>
        <v>0</v>
      </c>
      <c r="AD5390" s="28" t="n">
        <f aca="false">75759/100</f>
        <v>757.59</v>
      </c>
      <c r="AE5390" s="28" t="n">
        <v>20455</v>
      </c>
      <c r="AF5390" s="28"/>
      <c r="AG5390" s="28" t="n">
        <f aca="false">AF5390*$M5390</f>
        <v>0</v>
      </c>
      <c r="AH5390" s="28" t="n">
        <f aca="false">77800/100</f>
        <v>778</v>
      </c>
      <c r="AI5390" s="36" t="n">
        <v>21016</v>
      </c>
      <c r="AJ5390" s="28" t="n">
        <f aca="false">28078/100</f>
        <v>280.78</v>
      </c>
      <c r="AK5390" s="28" t="n">
        <v>7581</v>
      </c>
      <c r="AL5390" s="28" t="n">
        <f aca="false">15417/100</f>
        <v>154.17</v>
      </c>
      <c r="AM5390" s="28" t="n">
        <v>4162</v>
      </c>
      <c r="AN5390" s="28"/>
      <c r="AO5390" s="28" t="n">
        <f aca="false">AN5390*$M5390</f>
        <v>0</v>
      </c>
      <c r="AP5390" s="28"/>
      <c r="AQ5390" s="28" t="n">
        <f aca="false">AP5390*$M5390</f>
        <v>0</v>
      </c>
      <c r="AR5390" s="28"/>
      <c r="AS5390" s="28" t="n">
        <f aca="false">AR5390*$M5390</f>
        <v>0</v>
      </c>
      <c r="AT5390" s="28"/>
      <c r="AU5390" s="28" t="n">
        <f aca="false">AT5390*$M5390</f>
        <v>0</v>
      </c>
      <c r="AV5390" s="28"/>
      <c r="AW5390" s="28" t="n">
        <f aca="false">AV5390*$M5390</f>
        <v>0</v>
      </c>
      <c r="AX5390" s="28"/>
      <c r="AY5390" s="28" t="n">
        <f aca="false">AX5390*$M5390</f>
        <v>0</v>
      </c>
      <c r="AZ5390" s="30" t="n">
        <f aca="false">840924/100</f>
        <v>8409.24</v>
      </c>
      <c r="BA5390" s="11" t="n">
        <v>227059</v>
      </c>
      <c r="BB5390" s="31" t="n">
        <f aca="false">SUM(Q5390,S5390,U5390,W5390,Y5390,AA5390,AC5390,AE5390,AG5390,AI5390,AK5390,AM5390,AO5390,AQ5390,AS5390,AU5390,AW5390,AY5390)</f>
        <v>227059</v>
      </c>
      <c r="BC5390" s="28" t="n">
        <f aca="false">BA5390-BB5390</f>
        <v>0</v>
      </c>
      <c r="BD5390" s="32" t="n">
        <f aca="false">SUM(P5390,R5390,T5390,V5390,X5390,Z5390,AB5390,AD5390,AF5390,AH5390,AJ5390,AL5390,AN5390,AP5390,AR5390,AT5390,AV5390,AX5390)</f>
        <v>8409.24</v>
      </c>
      <c r="BE5390" s="33" t="n">
        <f aca="false">AZ5390-BD5390</f>
        <v>0</v>
      </c>
      <c r="BF5390" s="34" t="n">
        <f aca="false">BD5390*M5390</f>
        <v>227049.48</v>
      </c>
      <c r="BG5390" s="35" t="n">
        <f aca="false">BA5390-BF5390</f>
        <v>9.52000000001863</v>
      </c>
      <c r="BH5390" s="19" t="str">
        <f aca="false">IF(BG5390=0,"",IF(BG5390&lt;&gt;BA5390,"erreur de calcul",IF(BD5390&lt;&gt;0,"pas de prix",IF(M5390&lt;&gt; 0,"pas de quantité","pas de prix, ni de quantité"))))</f>
        <v>erreur de calcul</v>
      </c>
      <c r="BI5390" s="19"/>
    </row>
    <row r="5391" customFormat="false" ht="15" hidden="false" customHeight="false" outlineLevel="0" collapsed="false">
      <c r="A5391" s="0" t="n">
        <v>47</v>
      </c>
      <c r="B5391" s="8" t="s">
        <v>24</v>
      </c>
      <c r="C5391" s="9" t="s">
        <v>25</v>
      </c>
      <c r="D5391" s="9" t="s">
        <v>26</v>
      </c>
      <c r="E5391" s="10" t="n">
        <v>1789</v>
      </c>
      <c r="F5391" s="9" t="s">
        <v>27</v>
      </c>
      <c r="G5391" s="9" t="s">
        <v>27</v>
      </c>
      <c r="H5391" s="11" t="n">
        <v>21</v>
      </c>
      <c r="I5391" s="11" t="s">
        <v>200</v>
      </c>
      <c r="J5391" s="14" t="n">
        <v>25</v>
      </c>
      <c r="K5391" s="14"/>
      <c r="L5391" s="16"/>
      <c r="M5391" s="27" t="n">
        <f aca="false">J5391+(K5391/20)+(L5391/240)</f>
        <v>25</v>
      </c>
      <c r="N5391" s="17" t="s">
        <v>64</v>
      </c>
      <c r="O5391" s="11"/>
      <c r="P5391" s="28"/>
      <c r="Q5391" s="28" t="n">
        <f aca="false">P5391*$M5391</f>
        <v>0</v>
      </c>
      <c r="R5391" s="28"/>
      <c r="S5391" s="28" t="n">
        <f aca="false">R5391*$M5391</f>
        <v>0</v>
      </c>
      <c r="T5391" s="28" t="n">
        <f aca="false">56427/100</f>
        <v>564.27</v>
      </c>
      <c r="U5391" s="28" t="n">
        <v>14107</v>
      </c>
      <c r="V5391" s="28"/>
      <c r="W5391" s="28" t="n">
        <f aca="false">V5391*$M5391</f>
        <v>0</v>
      </c>
      <c r="X5391" s="28" t="n">
        <f aca="false">98758/100</f>
        <v>987.58</v>
      </c>
      <c r="Y5391" s="28" t="n">
        <v>24689</v>
      </c>
      <c r="Z5391" s="28"/>
      <c r="AA5391" s="28" t="n">
        <f aca="false">Z5391*$M5391</f>
        <v>0</v>
      </c>
      <c r="AB5391" s="28"/>
      <c r="AC5391" s="28" t="n">
        <f aca="false">AB5391*$M5391</f>
        <v>0</v>
      </c>
      <c r="AD5391" s="28"/>
      <c r="AE5391" s="28" t="n">
        <f aca="false">AD5391*$M5391</f>
        <v>0</v>
      </c>
      <c r="AF5391" s="28"/>
      <c r="AG5391" s="28" t="n">
        <f aca="false">AF5391*$M5391</f>
        <v>0</v>
      </c>
      <c r="AH5391" s="28"/>
      <c r="AI5391" s="28" t="n">
        <f aca="false">AH5391*$M5391</f>
        <v>0</v>
      </c>
      <c r="AJ5391" s="28"/>
      <c r="AK5391" s="28" t="n">
        <f aca="false">AJ5391*$M5391</f>
        <v>0</v>
      </c>
      <c r="AL5391" s="28"/>
      <c r="AM5391" s="28" t="n">
        <f aca="false">AL5391*$M5391</f>
        <v>0</v>
      </c>
      <c r="AN5391" s="28"/>
      <c r="AO5391" s="28" t="n">
        <f aca="false">AN5391*$M5391</f>
        <v>0</v>
      </c>
      <c r="AP5391" s="28"/>
      <c r="AQ5391" s="28" t="n">
        <f aca="false">AP5391*$M5391</f>
        <v>0</v>
      </c>
      <c r="AR5391" s="28"/>
      <c r="AS5391" s="28" t="n">
        <f aca="false">AR5391*$M5391</f>
        <v>0</v>
      </c>
      <c r="AT5391" s="28"/>
      <c r="AU5391" s="28" t="n">
        <f aca="false">AT5391*$M5391</f>
        <v>0</v>
      </c>
      <c r="AV5391" s="28"/>
      <c r="AW5391" s="28" t="n">
        <f aca="false">AV5391*$M5391</f>
        <v>0</v>
      </c>
      <c r="AX5391" s="28"/>
      <c r="AY5391" s="28" t="n">
        <f aca="false">AX5391*$M5391</f>
        <v>0</v>
      </c>
      <c r="AZ5391" s="30" t="n">
        <f aca="false">155115/100</f>
        <v>1551.15</v>
      </c>
      <c r="BA5391" s="11" t="n">
        <v>38796</v>
      </c>
      <c r="BB5391" s="31" t="n">
        <f aca="false">SUM(Q5391,S5391,U5391,W5391,Y5391,AA5391,AC5391,AE5391,AG5391,AI5391,AK5391,AM5391,AO5391,AQ5391,AS5391,AU5391,AW5391,AY5391)</f>
        <v>38796</v>
      </c>
      <c r="BC5391" s="28" t="n">
        <f aca="false">BA5391-BB5391</f>
        <v>0</v>
      </c>
      <c r="BD5391" s="32" t="n">
        <f aca="false">SUM(P5391,R5391,T5391,V5391,X5391,Z5391,AB5391,AD5391,AF5391,AH5391,AJ5391,AL5391,AN5391,AP5391,AR5391,AT5391,AV5391,AX5391)</f>
        <v>1551.85</v>
      </c>
      <c r="BE5391" s="33" t="n">
        <f aca="false">AZ5391-BD5391</f>
        <v>-0.699999999999818</v>
      </c>
      <c r="BF5391" s="34" t="n">
        <f aca="false">BD5391*M5391</f>
        <v>38796.25</v>
      </c>
      <c r="BG5391" s="35" t="n">
        <f aca="false">BA5391-BF5391</f>
        <v>-0.25</v>
      </c>
      <c r="BH5391" s="19" t="str">
        <f aca="false">IF(BG5391=0,"",IF(BG5391&lt;&gt;BA5391,"erreur de calcul",IF(BD5391&lt;&gt;0,"pas de prix",IF(M5391&lt;&gt; 0,"pas de quantité","pas de prix, ni de quantité"))))</f>
        <v>erreur de calcul</v>
      </c>
      <c r="BI5391" s="19"/>
    </row>
    <row r="5392" customFormat="false" ht="15" hidden="false" customHeight="false" outlineLevel="0" collapsed="false">
      <c r="A5392" s="0" t="n">
        <v>48</v>
      </c>
      <c r="B5392" s="8" t="s">
        <v>24</v>
      </c>
      <c r="C5392" s="9" t="s">
        <v>25</v>
      </c>
      <c r="D5392" s="9" t="s">
        <v>26</v>
      </c>
      <c r="E5392" s="10" t="n">
        <v>1789</v>
      </c>
      <c r="F5392" s="9" t="s">
        <v>27</v>
      </c>
      <c r="G5392" s="9" t="s">
        <v>27</v>
      </c>
      <c r="H5392" s="11" t="n">
        <v>21</v>
      </c>
      <c r="I5392" s="11" t="s">
        <v>201</v>
      </c>
      <c r="J5392" s="14"/>
      <c r="K5392" s="14" t="n">
        <v>15</v>
      </c>
      <c r="L5392" s="16"/>
      <c r="M5392" s="27" t="n">
        <f aca="false">J5392+(K5392/20)+(L5392/240)</f>
        <v>0.75</v>
      </c>
      <c r="N5392" s="17" t="s">
        <v>66</v>
      </c>
      <c r="O5392" s="11"/>
      <c r="P5392" s="28"/>
      <c r="Q5392" s="28" t="n">
        <f aca="false">P5392*$M5392</f>
        <v>0</v>
      </c>
      <c r="R5392" s="28"/>
      <c r="S5392" s="28" t="n">
        <f aca="false">R5392*$M5392</f>
        <v>0</v>
      </c>
      <c r="T5392" s="28"/>
      <c r="U5392" s="28" t="n">
        <f aca="false">T5392*$M5392</f>
        <v>0</v>
      </c>
      <c r="V5392" s="28"/>
      <c r="W5392" s="28" t="n">
        <f aca="false">V5392*$M5392</f>
        <v>0</v>
      </c>
      <c r="X5392" s="28"/>
      <c r="Y5392" s="28" t="n">
        <f aca="false">X5392*$M5392</f>
        <v>0</v>
      </c>
      <c r="Z5392" s="28"/>
      <c r="AA5392" s="28" t="n">
        <f aca="false">Z5392*$M5392</f>
        <v>0</v>
      </c>
      <c r="AB5392" s="28"/>
      <c r="AC5392" s="28" t="n">
        <f aca="false">AB5392*$M5392</f>
        <v>0</v>
      </c>
      <c r="AD5392" s="28"/>
      <c r="AE5392" s="28" t="n">
        <f aca="false">AD5392*$M5392</f>
        <v>0</v>
      </c>
      <c r="AF5392" s="28"/>
      <c r="AG5392" s="28" t="n">
        <f aca="false">AF5392*$M5392</f>
        <v>0</v>
      </c>
      <c r="AH5392" s="28"/>
      <c r="AI5392" s="28" t="n">
        <f aca="false">AH5392*$M5392</f>
        <v>0</v>
      </c>
      <c r="AJ5392" s="28" t="n">
        <v>6171</v>
      </c>
      <c r="AK5392" s="28" t="n">
        <v>4628</v>
      </c>
      <c r="AL5392" s="28"/>
      <c r="AM5392" s="28" t="n">
        <f aca="false">AL5392*$M5392</f>
        <v>0</v>
      </c>
      <c r="AN5392" s="28"/>
      <c r="AO5392" s="28" t="n">
        <f aca="false">AN5392*$M5392</f>
        <v>0</v>
      </c>
      <c r="AP5392" s="28"/>
      <c r="AQ5392" s="28" t="n">
        <f aca="false">AP5392*$M5392</f>
        <v>0</v>
      </c>
      <c r="AR5392" s="28"/>
      <c r="AS5392" s="28" t="n">
        <f aca="false">AR5392*$M5392</f>
        <v>0</v>
      </c>
      <c r="AT5392" s="28"/>
      <c r="AU5392" s="28" t="n">
        <f aca="false">AT5392*$M5392</f>
        <v>0</v>
      </c>
      <c r="AV5392" s="28"/>
      <c r="AW5392" s="28" t="n">
        <f aca="false">AV5392*$M5392</f>
        <v>0</v>
      </c>
      <c r="AX5392" s="28"/>
      <c r="AY5392" s="28" t="n">
        <f aca="false">AX5392*$M5392</f>
        <v>0</v>
      </c>
      <c r="AZ5392" s="30" t="n">
        <v>6171</v>
      </c>
      <c r="BA5392" s="11" t="n">
        <v>4628</v>
      </c>
      <c r="BB5392" s="31" t="n">
        <f aca="false">SUM(Q5392,S5392,U5392,W5392,Y5392,AA5392,AC5392,AE5392,AG5392,AI5392,AK5392,AM5392,AO5392,AQ5392,AS5392,AU5392,AW5392,AY5392)</f>
        <v>4628</v>
      </c>
      <c r="BC5392" s="28" t="n">
        <f aca="false">BA5392-BB5392</f>
        <v>0</v>
      </c>
      <c r="BD5392" s="32" t="n">
        <f aca="false">SUM(P5392,R5392,T5392,V5392,X5392,Z5392,AB5392,AD5392,AF5392,AH5392,AJ5392,AL5392,AN5392,AP5392,AR5392,AT5392,AV5392,AX5392)</f>
        <v>6171</v>
      </c>
      <c r="BE5392" s="33" t="n">
        <f aca="false">AZ5392-BD5392</f>
        <v>0</v>
      </c>
      <c r="BF5392" s="34" t="n">
        <f aca="false">BD5392*M5392</f>
        <v>4628.25</v>
      </c>
      <c r="BG5392" s="35" t="n">
        <f aca="false">BA5392-BF5392</f>
        <v>-0.25</v>
      </c>
      <c r="BH5392" s="19" t="str">
        <f aca="false">IF(BG5392=0,"",IF(BG5392&lt;&gt;BA5392,"erreur de calcul",IF(BD5392&lt;&gt;0,"pas de prix",IF(M5392&lt;&gt; 0,"pas de quantité","pas de prix, ni de quantité"))))</f>
        <v>erreur de calcul</v>
      </c>
      <c r="BI5392" s="19"/>
    </row>
    <row r="5393" customFormat="false" ht="15" hidden="false" customHeight="false" outlineLevel="0" collapsed="false">
      <c r="A5393" s="0" t="n">
        <v>1</v>
      </c>
      <c r="B5393" s="8" t="s">
        <v>24</v>
      </c>
      <c r="C5393" s="9" t="s">
        <v>25</v>
      </c>
      <c r="D5393" s="9" t="s">
        <v>26</v>
      </c>
      <c r="E5393" s="10" t="n">
        <v>1789</v>
      </c>
      <c r="F5393" s="9" t="s">
        <v>27</v>
      </c>
      <c r="G5393" s="9" t="s">
        <v>27</v>
      </c>
      <c r="H5393" s="11" t="n">
        <v>22</v>
      </c>
      <c r="I5393" s="11" t="s">
        <v>202</v>
      </c>
      <c r="J5393" s="14" t="n">
        <v>10</v>
      </c>
      <c r="K5393" s="14"/>
      <c r="L5393" s="16"/>
      <c r="M5393" s="27" t="n">
        <f aca="false">J5393+(K5393/20)+(L5393/240)</f>
        <v>10</v>
      </c>
      <c r="N5393" s="17" t="s">
        <v>64</v>
      </c>
      <c r="O5393" s="11"/>
      <c r="P5393" s="28" t="n">
        <f aca="false">36147/100</f>
        <v>361.47</v>
      </c>
      <c r="Q5393" s="28" t="n">
        <v>3615</v>
      </c>
      <c r="R5393" s="28"/>
      <c r="S5393" s="28" t="n">
        <f aca="false">R5393*$M5393</f>
        <v>0</v>
      </c>
      <c r="T5393" s="28"/>
      <c r="U5393" s="28" t="n">
        <f aca="false">T5393*$M5393</f>
        <v>0</v>
      </c>
      <c r="V5393" s="28"/>
      <c r="W5393" s="28" t="n">
        <f aca="false">V5393*$M5393</f>
        <v>0</v>
      </c>
      <c r="X5393" s="28"/>
      <c r="Y5393" s="28" t="n">
        <f aca="false">X5393*$M5393</f>
        <v>0</v>
      </c>
      <c r="Z5393" s="28"/>
      <c r="AA5393" s="28" t="n">
        <f aca="false">Z5393*$M5393</f>
        <v>0</v>
      </c>
      <c r="AB5393" s="28" t="n">
        <f aca="false">14437/100</f>
        <v>144.37</v>
      </c>
      <c r="AC5393" s="28" t="n">
        <v>1444</v>
      </c>
      <c r="AD5393" s="28"/>
      <c r="AE5393" s="28" t="n">
        <f aca="false">AD5393*$M5393</f>
        <v>0</v>
      </c>
      <c r="AF5393" s="28"/>
      <c r="AG5393" s="28" t="n">
        <f aca="false">AF5393*$M5393</f>
        <v>0</v>
      </c>
      <c r="AH5393" s="28"/>
      <c r="AI5393" s="28" t="n">
        <f aca="false">AH5393*$M5393</f>
        <v>0</v>
      </c>
      <c r="AJ5393" s="28" t="n">
        <f aca="false">36351/100</f>
        <v>363.51</v>
      </c>
      <c r="AK5393" s="28" t="n">
        <v>3635</v>
      </c>
      <c r="AL5393" s="28"/>
      <c r="AM5393" s="28" t="n">
        <f aca="false">AL5393*$M5393</f>
        <v>0</v>
      </c>
      <c r="AN5393" s="28"/>
      <c r="AO5393" s="28" t="n">
        <f aca="false">AN5393*$M5393</f>
        <v>0</v>
      </c>
      <c r="AP5393" s="28"/>
      <c r="AQ5393" s="28" t="n">
        <f aca="false">AP5393*$M5393</f>
        <v>0</v>
      </c>
      <c r="AR5393" s="28" t="n">
        <f aca="false">25120/100</f>
        <v>251.2</v>
      </c>
      <c r="AS5393" s="28" t="n">
        <v>2512</v>
      </c>
      <c r="AT5393" s="28"/>
      <c r="AU5393" s="28" t="n">
        <f aca="false">AT5393*$M5393</f>
        <v>0</v>
      </c>
      <c r="AV5393" s="28"/>
      <c r="AW5393" s="28" t="n">
        <f aca="false">AV5393*$M5393</f>
        <v>0</v>
      </c>
      <c r="AX5393" s="28"/>
      <c r="AY5393" s="28" t="n">
        <f aca="false">AX5393*$M5393</f>
        <v>0</v>
      </c>
      <c r="AZ5393" s="30" t="n">
        <f aca="false">112055/100</f>
        <v>1120.55</v>
      </c>
      <c r="BA5393" s="11" t="n">
        <v>11206</v>
      </c>
      <c r="BB5393" s="31" t="n">
        <f aca="false">SUM(Q5393,S5393,U5393,W5393,Y5393,AA5393,AC5393,AE5393,AG5393,AI5393,AK5393,AM5393,AO5393,AQ5393,AS5393,AU5393,AW5393,AY5393)</f>
        <v>11206</v>
      </c>
      <c r="BC5393" s="28" t="n">
        <f aca="false">BA5393-BB5393</f>
        <v>0</v>
      </c>
      <c r="BD5393" s="32" t="n">
        <f aca="false">SUM(P5393,R5393,T5393,V5393,X5393,Z5393,AB5393,AD5393,AF5393,AH5393,AJ5393,AL5393,AN5393,AP5393,AR5393,AT5393,AV5393,AX5393)</f>
        <v>1120.55</v>
      </c>
      <c r="BE5393" s="33" t="n">
        <f aca="false">AZ5393-BD5393</f>
        <v>0</v>
      </c>
      <c r="BF5393" s="34" t="n">
        <f aca="false">BD5393*M5393</f>
        <v>11205.5</v>
      </c>
      <c r="BG5393" s="35" t="n">
        <f aca="false">BA5393-BF5393</f>
        <v>0.499999999998181</v>
      </c>
      <c r="BH5393" s="19" t="str">
        <f aca="false">IF(BG5393=0,"",IF(BG5393&lt;&gt;BA5393,"erreur de calcul",IF(BD5393&lt;&gt;0,"pas de prix",IF(M5393&lt;&gt; 0,"pas de quantité","pas de prix, ni de quantité"))))</f>
        <v>erreur de calcul</v>
      </c>
      <c r="BI5393" s="19"/>
    </row>
    <row r="5394" customFormat="false" ht="15" hidden="false" customHeight="false" outlineLevel="0" collapsed="false">
      <c r="A5394" s="0" t="n">
        <v>2</v>
      </c>
      <c r="B5394" s="8" t="s">
        <v>24</v>
      </c>
      <c r="C5394" s="9" t="s">
        <v>25</v>
      </c>
      <c r="D5394" s="9" t="s">
        <v>26</v>
      </c>
      <c r="E5394" s="10" t="n">
        <v>1789</v>
      </c>
      <c r="F5394" s="9" t="s">
        <v>27</v>
      </c>
      <c r="G5394" s="9" t="s">
        <v>27</v>
      </c>
      <c r="H5394" s="11" t="n">
        <v>22</v>
      </c>
      <c r="I5394" s="11" t="s">
        <v>203</v>
      </c>
      <c r="J5394" s="14" t="n">
        <v>20</v>
      </c>
      <c r="K5394" s="14"/>
      <c r="L5394" s="16"/>
      <c r="M5394" s="27" t="n">
        <f aca="false">J5394+(K5394/20)+(L5394/240)</f>
        <v>20</v>
      </c>
      <c r="N5394" s="17" t="s">
        <v>64</v>
      </c>
      <c r="O5394" s="11"/>
      <c r="P5394" s="28"/>
      <c r="Q5394" s="28" t="n">
        <f aca="false">P5394*$M5394</f>
        <v>0</v>
      </c>
      <c r="R5394" s="28"/>
      <c r="S5394" s="28" t="n">
        <f aca="false">R5394*$M5394</f>
        <v>0</v>
      </c>
      <c r="T5394" s="28"/>
      <c r="U5394" s="28" t="n">
        <f aca="false">T5394*$M5394</f>
        <v>0</v>
      </c>
      <c r="V5394" s="28"/>
      <c r="W5394" s="28" t="n">
        <f aca="false">V5394*$M5394</f>
        <v>0</v>
      </c>
      <c r="X5394" s="28"/>
      <c r="Y5394" s="28" t="n">
        <f aca="false">X5394*$M5394</f>
        <v>0</v>
      </c>
      <c r="Z5394" s="28"/>
      <c r="AA5394" s="28" t="n">
        <f aca="false">Z5394*$M5394</f>
        <v>0</v>
      </c>
      <c r="AB5394" s="28"/>
      <c r="AC5394" s="28" t="n">
        <f aca="false">AB5394*$M5394</f>
        <v>0</v>
      </c>
      <c r="AD5394" s="28"/>
      <c r="AE5394" s="28" t="n">
        <f aca="false">AD5394*$M5394</f>
        <v>0</v>
      </c>
      <c r="AF5394" s="28"/>
      <c r="AG5394" s="28" t="n">
        <f aca="false">AF5394*$M5394</f>
        <v>0</v>
      </c>
      <c r="AH5394" s="28"/>
      <c r="AI5394" s="28" t="n">
        <f aca="false">AH5394*$M5394</f>
        <v>0</v>
      </c>
      <c r="AJ5394" s="28" t="n">
        <f aca="false">109254/100</f>
        <v>1092.54</v>
      </c>
      <c r="AK5394" s="28" t="n">
        <v>21851</v>
      </c>
      <c r="AL5394" s="28"/>
      <c r="AM5394" s="28" t="n">
        <f aca="false">AL5394*$M5394</f>
        <v>0</v>
      </c>
      <c r="AN5394" s="28"/>
      <c r="AO5394" s="28" t="n">
        <f aca="false">AN5394*$M5394</f>
        <v>0</v>
      </c>
      <c r="AP5394" s="28"/>
      <c r="AQ5394" s="28" t="n">
        <f aca="false">AP5394*$M5394</f>
        <v>0</v>
      </c>
      <c r="AR5394" s="28"/>
      <c r="AS5394" s="28" t="n">
        <f aca="false">AR5394*$M5394</f>
        <v>0</v>
      </c>
      <c r="AT5394" s="28"/>
      <c r="AU5394" s="28" t="n">
        <f aca="false">AT5394*$M5394</f>
        <v>0</v>
      </c>
      <c r="AV5394" s="28"/>
      <c r="AW5394" s="28" t="n">
        <f aca="false">AV5394*$M5394</f>
        <v>0</v>
      </c>
      <c r="AX5394" s="28"/>
      <c r="AY5394" s="28" t="n">
        <f aca="false">AX5394*$M5394</f>
        <v>0</v>
      </c>
      <c r="AZ5394" s="30" t="n">
        <f aca="false">109254/100</f>
        <v>1092.54</v>
      </c>
      <c r="BA5394" s="11" t="n">
        <v>21851</v>
      </c>
      <c r="BB5394" s="31" t="n">
        <f aca="false">SUM(Q5394,S5394,U5394,W5394,Y5394,AA5394,AC5394,AE5394,AG5394,AI5394,AK5394,AM5394,AO5394,AQ5394,AS5394,AU5394,AW5394,AY5394)</f>
        <v>21851</v>
      </c>
      <c r="BC5394" s="28" t="n">
        <f aca="false">BA5394-BB5394</f>
        <v>0</v>
      </c>
      <c r="BD5394" s="32" t="n">
        <f aca="false">SUM(P5394,R5394,T5394,V5394,X5394,Z5394,AB5394,AD5394,AF5394,AH5394,AJ5394,AL5394,AN5394,AP5394,AR5394,AT5394,AV5394,AX5394)</f>
        <v>1092.54</v>
      </c>
      <c r="BE5394" s="33" t="n">
        <f aca="false">AZ5394-BD5394</f>
        <v>0</v>
      </c>
      <c r="BF5394" s="34" t="n">
        <f aca="false">BD5394*M5394</f>
        <v>21850.8</v>
      </c>
      <c r="BG5394" s="35" t="n">
        <f aca="false">BA5394-BF5394</f>
        <v>0.200000000000728</v>
      </c>
      <c r="BH5394" s="19" t="str">
        <f aca="false">IF(BG5394=0,"",IF(BG5394&lt;&gt;BA5394,"erreur de calcul",IF(BD5394&lt;&gt;0,"pas de prix",IF(M5394&lt;&gt; 0,"pas de quantité","pas de prix, ni de quantité"))))</f>
        <v>erreur de calcul</v>
      </c>
      <c r="BI5394" s="19"/>
    </row>
    <row r="5395" customFormat="false" ht="15" hidden="false" customHeight="false" outlineLevel="0" collapsed="false">
      <c r="A5395" s="0" t="n">
        <v>3</v>
      </c>
      <c r="B5395" s="8" t="s">
        <v>24</v>
      </c>
      <c r="C5395" s="9" t="s">
        <v>25</v>
      </c>
      <c r="D5395" s="9" t="s">
        <v>26</v>
      </c>
      <c r="E5395" s="10" t="n">
        <v>1789</v>
      </c>
      <c r="F5395" s="9" t="s">
        <v>27</v>
      </c>
      <c r="G5395" s="9" t="s">
        <v>27</v>
      </c>
      <c r="H5395" s="11" t="n">
        <v>22</v>
      </c>
      <c r="I5395" s="11" t="s">
        <v>204</v>
      </c>
      <c r="J5395" s="14" t="n">
        <v>20</v>
      </c>
      <c r="K5395" s="14"/>
      <c r="L5395" s="16"/>
      <c r="M5395" s="27" t="n">
        <f aca="false">J5395+(K5395/20)+(L5395/240)</f>
        <v>20</v>
      </c>
      <c r="N5395" s="17" t="s">
        <v>66</v>
      </c>
      <c r="O5395" s="11"/>
      <c r="P5395" s="28" t="n">
        <v>106125</v>
      </c>
      <c r="Q5395" s="36" t="n">
        <v>2162500</v>
      </c>
      <c r="R5395" s="28"/>
      <c r="S5395" s="28" t="n">
        <f aca="false">R5395*$M5395</f>
        <v>0</v>
      </c>
      <c r="T5395" s="28"/>
      <c r="U5395" s="28" t="n">
        <f aca="false">T5395*$M5395</f>
        <v>0</v>
      </c>
      <c r="V5395" s="28"/>
      <c r="W5395" s="28" t="n">
        <f aca="false">V5395*$M5395</f>
        <v>0</v>
      </c>
      <c r="X5395" s="28"/>
      <c r="Y5395" s="28" t="n">
        <f aca="false">X5395*$M5395</f>
        <v>0</v>
      </c>
      <c r="Z5395" s="28"/>
      <c r="AA5395" s="28" t="n">
        <f aca="false">Z5395*$M5395</f>
        <v>0</v>
      </c>
      <c r="AB5395" s="28"/>
      <c r="AC5395" s="28" t="n">
        <f aca="false">AB5395*$M5395</f>
        <v>0</v>
      </c>
      <c r="AD5395" s="28"/>
      <c r="AE5395" s="28" t="n">
        <f aca="false">AD5395*$M5395</f>
        <v>0</v>
      </c>
      <c r="AF5395" s="28"/>
      <c r="AG5395" s="28" t="n">
        <f aca="false">AF5395*$M5395</f>
        <v>0</v>
      </c>
      <c r="AH5395" s="28"/>
      <c r="AI5395" s="28" t="n">
        <f aca="false">AH5395*$M5395</f>
        <v>0</v>
      </c>
      <c r="AJ5395" s="28"/>
      <c r="AK5395" s="28" t="n">
        <f aca="false">AJ5395*$M5395</f>
        <v>0</v>
      </c>
      <c r="AL5395" s="28"/>
      <c r="AM5395" s="28" t="n">
        <f aca="false">AL5395*$M5395</f>
        <v>0</v>
      </c>
      <c r="AN5395" s="28"/>
      <c r="AO5395" s="28" t="n">
        <f aca="false">AN5395*$M5395</f>
        <v>0</v>
      </c>
      <c r="AP5395" s="28"/>
      <c r="AQ5395" s="28" t="n">
        <f aca="false">AP5395*$M5395</f>
        <v>0</v>
      </c>
      <c r="AR5395" s="28"/>
      <c r="AS5395" s="28" t="n">
        <f aca="false">AR5395*$M5395</f>
        <v>0</v>
      </c>
      <c r="AT5395" s="28"/>
      <c r="AU5395" s="28" t="n">
        <f aca="false">AT5395*$M5395</f>
        <v>0</v>
      </c>
      <c r="AV5395" s="28"/>
      <c r="AW5395" s="28" t="n">
        <f aca="false">AV5395*$M5395</f>
        <v>0</v>
      </c>
      <c r="AX5395" s="28"/>
      <c r="AY5395" s="28" t="n">
        <f aca="false">AX5395*$M5395</f>
        <v>0</v>
      </c>
      <c r="AZ5395" s="30" t="n">
        <v>108125</v>
      </c>
      <c r="BA5395" s="11" t="n">
        <v>2162500</v>
      </c>
      <c r="BB5395" s="31" t="n">
        <f aca="false">SUM(Q5395,S5395,U5395,W5395,Y5395,AA5395,AC5395,AE5395,AG5395,AI5395,AK5395,AM5395,AO5395,AQ5395,AS5395,AU5395,AW5395,AY5395)</f>
        <v>2162500</v>
      </c>
      <c r="BC5395" s="28" t="n">
        <f aca="false">BA5395-BB5395</f>
        <v>0</v>
      </c>
      <c r="BD5395" s="32" t="n">
        <f aca="false">SUM(P5395,R5395,T5395,V5395,X5395,Z5395,AB5395,AD5395,AF5395,AH5395,AJ5395,AL5395,AN5395,AP5395,AR5395,AT5395,AV5395,AX5395)</f>
        <v>106125</v>
      </c>
      <c r="BE5395" s="33" t="n">
        <f aca="false">AZ5395-BD5395</f>
        <v>2000</v>
      </c>
      <c r="BF5395" s="34" t="n">
        <f aca="false">BD5395*M5395</f>
        <v>2122500</v>
      </c>
      <c r="BG5395" s="35" t="n">
        <f aca="false">BA5395-BF5395</f>
        <v>40000</v>
      </c>
      <c r="BH5395" s="19" t="str">
        <f aca="false">IF(BG5395=0,"",IF(BG5395&lt;&gt;BA5395,"erreur de calcul",IF(BD5395&lt;&gt;0,"pas de prix",IF(M5395&lt;&gt; 0,"pas de quantité","pas de prix, ni de quantité"))))</f>
        <v>erreur de calcul</v>
      </c>
      <c r="BI5395" s="19"/>
    </row>
    <row r="5396" customFormat="false" ht="15" hidden="false" customHeight="false" outlineLevel="0" collapsed="false">
      <c r="A5396" s="0" t="n">
        <v>4</v>
      </c>
      <c r="B5396" s="8" t="s">
        <v>24</v>
      </c>
      <c r="C5396" s="9" t="s">
        <v>25</v>
      </c>
      <c r="D5396" s="9" t="s">
        <v>26</v>
      </c>
      <c r="E5396" s="10" t="n">
        <v>1789</v>
      </c>
      <c r="F5396" s="9" t="s">
        <v>27</v>
      </c>
      <c r="G5396" s="9" t="s">
        <v>27</v>
      </c>
      <c r="H5396" s="11" t="n">
        <v>22</v>
      </c>
      <c r="I5396" s="11" t="s">
        <v>205</v>
      </c>
      <c r="J5396" s="14" t="n">
        <v>15</v>
      </c>
      <c r="K5396" s="14"/>
      <c r="L5396" s="16"/>
      <c r="M5396" s="27" t="n">
        <f aca="false">J5396+(K5396/20)+(L5396/240)</f>
        <v>15</v>
      </c>
      <c r="N5396" s="17" t="s">
        <v>64</v>
      </c>
      <c r="O5396" s="11"/>
      <c r="P5396" s="28"/>
      <c r="Q5396" s="28" t="n">
        <f aca="false">P5396*$M5396</f>
        <v>0</v>
      </c>
      <c r="R5396" s="28"/>
      <c r="S5396" s="28" t="n">
        <f aca="false">R5396*$M5396</f>
        <v>0</v>
      </c>
      <c r="T5396" s="28"/>
      <c r="U5396" s="28" t="n">
        <f aca="false">T5396*$M5396</f>
        <v>0</v>
      </c>
      <c r="V5396" s="28"/>
      <c r="W5396" s="28" t="n">
        <f aca="false">V5396*$M5396</f>
        <v>0</v>
      </c>
      <c r="X5396" s="28" t="n">
        <f aca="false">27897/100</f>
        <v>278.97</v>
      </c>
      <c r="Y5396" s="28" t="n">
        <v>4184</v>
      </c>
      <c r="Z5396" s="28"/>
      <c r="AA5396" s="28" t="n">
        <f aca="false">Z5396*$M5396</f>
        <v>0</v>
      </c>
      <c r="AB5396" s="28"/>
      <c r="AC5396" s="28" t="n">
        <f aca="false">AB5396*$M5396</f>
        <v>0</v>
      </c>
      <c r="AD5396" s="28"/>
      <c r="AE5396" s="28" t="n">
        <f aca="false">AD5396*$M5396</f>
        <v>0</v>
      </c>
      <c r="AF5396" s="28"/>
      <c r="AG5396" s="28" t="n">
        <f aca="false">AF5396*$M5396</f>
        <v>0</v>
      </c>
      <c r="AH5396" s="28"/>
      <c r="AI5396" s="28" t="n">
        <f aca="false">AH5396*$M5396</f>
        <v>0</v>
      </c>
      <c r="AJ5396" s="28" t="n">
        <f aca="false">63734/100</f>
        <v>637.34</v>
      </c>
      <c r="AK5396" s="28" t="n">
        <v>9560</v>
      </c>
      <c r="AL5396" s="28"/>
      <c r="AM5396" s="28" t="n">
        <f aca="false">AL5396*$M5396</f>
        <v>0</v>
      </c>
      <c r="AN5396" s="28"/>
      <c r="AO5396" s="28" t="n">
        <f aca="false">AN5396*$M5396</f>
        <v>0</v>
      </c>
      <c r="AP5396" s="28"/>
      <c r="AQ5396" s="28" t="n">
        <f aca="false">AP5396*$M5396</f>
        <v>0</v>
      </c>
      <c r="AR5396" s="28"/>
      <c r="AS5396" s="28" t="n">
        <f aca="false">AR5396*$M5396</f>
        <v>0</v>
      </c>
      <c r="AT5396" s="28"/>
      <c r="AU5396" s="28" t="n">
        <f aca="false">AT5396*$M5396</f>
        <v>0</v>
      </c>
      <c r="AV5396" s="28"/>
      <c r="AW5396" s="28" t="n">
        <f aca="false">AV5396*$M5396</f>
        <v>0</v>
      </c>
      <c r="AX5396" s="28"/>
      <c r="AY5396" s="28" t="n">
        <f aca="false">AX5396*$M5396</f>
        <v>0</v>
      </c>
      <c r="AZ5396" s="30" t="n">
        <f aca="false">91631/100</f>
        <v>916.31</v>
      </c>
      <c r="BA5396" s="11" t="n">
        <v>13744</v>
      </c>
      <c r="BB5396" s="31" t="n">
        <f aca="false">SUM(Q5396,S5396,U5396,W5396,Y5396,AA5396,AC5396,AE5396,AG5396,AI5396,AK5396,AM5396,AO5396,AQ5396,AS5396,AU5396,AW5396,AY5396)</f>
        <v>13744</v>
      </c>
      <c r="BC5396" s="28" t="n">
        <f aca="false">BA5396-BB5396</f>
        <v>0</v>
      </c>
      <c r="BD5396" s="32" t="n">
        <f aca="false">SUM(P5396,R5396,T5396,V5396,X5396,Z5396,AB5396,AD5396,AF5396,AH5396,AJ5396,AL5396,AN5396,AP5396,AR5396,AT5396,AV5396,AX5396)</f>
        <v>916.31</v>
      </c>
      <c r="BE5396" s="33" t="n">
        <f aca="false">AZ5396-BD5396</f>
        <v>0</v>
      </c>
      <c r="BF5396" s="34" t="n">
        <f aca="false">BD5396*M5396</f>
        <v>13744.65</v>
      </c>
      <c r="BG5396" s="35" t="n">
        <f aca="false">BA5396-BF5396</f>
        <v>-0.650000000001455</v>
      </c>
      <c r="BH5396" s="19" t="str">
        <f aca="false">IF(BG5396=0,"",IF(BG5396&lt;&gt;BA5396,"erreur de calcul",IF(BD5396&lt;&gt;0,"pas de prix",IF(M5396&lt;&gt; 0,"pas de quantité","pas de prix, ni de quantité"))))</f>
        <v>erreur de calcul</v>
      </c>
      <c r="BI5396" s="19"/>
    </row>
    <row r="5397" customFormat="false" ht="15" hidden="false" customHeight="false" outlineLevel="0" collapsed="false">
      <c r="A5397" s="0" t="n">
        <v>5</v>
      </c>
      <c r="B5397" s="8" t="s">
        <v>24</v>
      </c>
      <c r="C5397" s="9" t="s">
        <v>25</v>
      </c>
      <c r="D5397" s="9" t="s">
        <v>26</v>
      </c>
      <c r="E5397" s="10" t="n">
        <v>1789</v>
      </c>
      <c r="F5397" s="9" t="s">
        <v>27</v>
      </c>
      <c r="G5397" s="9" t="s">
        <v>27</v>
      </c>
      <c r="H5397" s="11" t="n">
        <v>22</v>
      </c>
      <c r="I5397" s="11" t="s">
        <v>206</v>
      </c>
      <c r="J5397" s="14" t="n">
        <v>30</v>
      </c>
      <c r="K5397" s="14"/>
      <c r="L5397" s="16"/>
      <c r="M5397" s="27" t="n">
        <f aca="false">J5397+(K5397/20)+(L5397/240)</f>
        <v>30</v>
      </c>
      <c r="N5397" s="17" t="s">
        <v>64</v>
      </c>
      <c r="O5397" s="11"/>
      <c r="P5397" s="28" t="n">
        <f aca="false">8334/100</f>
        <v>83.34</v>
      </c>
      <c r="Q5397" s="28" t="n">
        <v>2500</v>
      </c>
      <c r="R5397" s="28"/>
      <c r="S5397" s="28" t="n">
        <f aca="false">R5397*$M5397</f>
        <v>0</v>
      </c>
      <c r="T5397" s="28"/>
      <c r="U5397" s="28" t="n">
        <f aca="false">T5397*$M5397</f>
        <v>0</v>
      </c>
      <c r="V5397" s="28"/>
      <c r="W5397" s="28" t="n">
        <f aca="false">V5397*$M5397</f>
        <v>0</v>
      </c>
      <c r="X5397" s="28"/>
      <c r="Y5397" s="28" t="n">
        <f aca="false">X5397*$M5397</f>
        <v>0</v>
      </c>
      <c r="Z5397" s="28"/>
      <c r="AA5397" s="28" t="n">
        <f aca="false">Z5397*$M5397</f>
        <v>0</v>
      </c>
      <c r="AB5397" s="28"/>
      <c r="AC5397" s="28" t="n">
        <f aca="false">AB5397*$M5397</f>
        <v>0</v>
      </c>
      <c r="AD5397" s="28"/>
      <c r="AE5397" s="28" t="n">
        <f aca="false">AD5397*$M5397</f>
        <v>0</v>
      </c>
      <c r="AF5397" s="28"/>
      <c r="AG5397" s="28" t="n">
        <f aca="false">AF5397*$M5397</f>
        <v>0</v>
      </c>
      <c r="AH5397" s="28"/>
      <c r="AI5397" s="28" t="n">
        <f aca="false">AH5397*$M5397</f>
        <v>0</v>
      </c>
      <c r="AJ5397" s="28"/>
      <c r="AK5397" s="28" t="n">
        <f aca="false">AJ5397*$M5397</f>
        <v>0</v>
      </c>
      <c r="AL5397" s="28"/>
      <c r="AM5397" s="28" t="n">
        <f aca="false">AL5397*$M5397</f>
        <v>0</v>
      </c>
      <c r="AN5397" s="28"/>
      <c r="AO5397" s="28" t="n">
        <f aca="false">AN5397*$M5397</f>
        <v>0</v>
      </c>
      <c r="AP5397" s="28"/>
      <c r="AQ5397" s="28" t="n">
        <f aca="false">AP5397*$M5397</f>
        <v>0</v>
      </c>
      <c r="AR5397" s="28"/>
      <c r="AS5397" s="28" t="n">
        <f aca="false">AR5397*$M5397</f>
        <v>0</v>
      </c>
      <c r="AT5397" s="28"/>
      <c r="AU5397" s="28" t="n">
        <f aca="false">AT5397*$M5397</f>
        <v>0</v>
      </c>
      <c r="AV5397" s="28"/>
      <c r="AW5397" s="28" t="n">
        <f aca="false">AV5397*$M5397</f>
        <v>0</v>
      </c>
      <c r="AX5397" s="28"/>
      <c r="AY5397" s="28" t="n">
        <f aca="false">AX5397*$M5397</f>
        <v>0</v>
      </c>
      <c r="AZ5397" s="30" t="n">
        <f aca="false">8334/100</f>
        <v>83.34</v>
      </c>
      <c r="BA5397" s="11" t="n">
        <v>2500</v>
      </c>
      <c r="BB5397" s="31" t="n">
        <f aca="false">SUM(Q5397,S5397,U5397,W5397,Y5397,AA5397,AC5397,AE5397,AG5397,AI5397,AK5397,AM5397,AO5397,AQ5397,AS5397,AU5397,AW5397,AY5397)</f>
        <v>2500</v>
      </c>
      <c r="BC5397" s="28" t="n">
        <f aca="false">BA5397-BB5397</f>
        <v>0</v>
      </c>
      <c r="BD5397" s="32" t="n">
        <f aca="false">SUM(P5397,R5397,T5397,V5397,X5397,Z5397,AB5397,AD5397,AF5397,AH5397,AJ5397,AL5397,AN5397,AP5397,AR5397,AT5397,AV5397,AX5397)</f>
        <v>83.34</v>
      </c>
      <c r="BE5397" s="33" t="n">
        <f aca="false">AZ5397-BD5397</f>
        <v>0</v>
      </c>
      <c r="BF5397" s="34" t="n">
        <f aca="false">BD5397*M5397</f>
        <v>2500.2</v>
      </c>
      <c r="BG5397" s="35" t="n">
        <f aca="false">BA5397-BF5397</f>
        <v>-0.200000000000273</v>
      </c>
      <c r="BH5397" s="19" t="str">
        <f aca="false">IF(BG5397=0,"",IF(BG5397&lt;&gt;BA5397,"erreur de calcul",IF(BD5397&lt;&gt;0,"pas de prix",IF(M5397&lt;&gt; 0,"pas de quantité","pas de prix, ni de quantité"))))</f>
        <v>erreur de calcul</v>
      </c>
      <c r="BI5397" s="19"/>
    </row>
    <row r="5398" customFormat="false" ht="15" hidden="false" customHeight="false" outlineLevel="0" collapsed="false">
      <c r="A5398" s="0" t="n">
        <v>6</v>
      </c>
      <c r="B5398" s="8" t="s">
        <v>24</v>
      </c>
      <c r="C5398" s="9" t="s">
        <v>25</v>
      </c>
      <c r="D5398" s="9" t="s">
        <v>26</v>
      </c>
      <c r="E5398" s="10" t="n">
        <v>1789</v>
      </c>
      <c r="F5398" s="9" t="s">
        <v>27</v>
      </c>
      <c r="G5398" s="9" t="s">
        <v>27</v>
      </c>
      <c r="H5398" s="11" t="n">
        <v>22</v>
      </c>
      <c r="I5398" s="11" t="s">
        <v>207</v>
      </c>
      <c r="J5398" s="14"/>
      <c r="K5398" s="14" t="n">
        <v>20</v>
      </c>
      <c r="L5398" s="16"/>
      <c r="M5398" s="27" t="n">
        <f aca="false">J5398+(K5398/20)+(L5398/240)</f>
        <v>1</v>
      </c>
      <c r="N5398" s="17" t="s">
        <v>66</v>
      </c>
      <c r="O5398" s="11"/>
      <c r="P5398" s="28"/>
      <c r="Q5398" s="28" t="n">
        <f aca="false">P5398*$M5398</f>
        <v>0</v>
      </c>
      <c r="R5398" s="28"/>
      <c r="S5398" s="28" t="n">
        <f aca="false">R5398*$M5398</f>
        <v>0</v>
      </c>
      <c r="T5398" s="28"/>
      <c r="U5398" s="28" t="n">
        <f aca="false">T5398*$M5398</f>
        <v>0</v>
      </c>
      <c r="V5398" s="28" t="n">
        <v>33010</v>
      </c>
      <c r="W5398" s="28" t="n">
        <v>33010</v>
      </c>
      <c r="X5398" s="28" t="n">
        <v>292003</v>
      </c>
      <c r="Y5398" s="28" t="n">
        <v>292003</v>
      </c>
      <c r="Z5398" s="28" t="n">
        <v>15558</v>
      </c>
      <c r="AA5398" s="28" t="n">
        <v>15558</v>
      </c>
      <c r="AB5398" s="28" t="n">
        <v>80515</v>
      </c>
      <c r="AC5398" s="28" t="n">
        <v>80515</v>
      </c>
      <c r="AD5398" s="28"/>
      <c r="AE5398" s="28" t="n">
        <f aca="false">AD5398*$M5398</f>
        <v>0</v>
      </c>
      <c r="AF5398" s="28"/>
      <c r="AG5398" s="28" t="n">
        <f aca="false">AF5398*$M5398</f>
        <v>0</v>
      </c>
      <c r="AH5398" s="28" t="n">
        <v>515373</v>
      </c>
      <c r="AI5398" s="28" t="n">
        <v>515373</v>
      </c>
      <c r="AJ5398" s="28"/>
      <c r="AK5398" s="28" t="n">
        <f aca="false">AJ5398*$M5398</f>
        <v>0</v>
      </c>
      <c r="AL5398" s="28" t="n">
        <v>3480</v>
      </c>
      <c r="AM5398" s="28" t="n">
        <v>3480</v>
      </c>
      <c r="AN5398" s="28"/>
      <c r="AO5398" s="28" t="n">
        <f aca="false">AN5398*$M5398</f>
        <v>0</v>
      </c>
      <c r="AP5398" s="28"/>
      <c r="AQ5398" s="28" t="n">
        <f aca="false">AP5398*$M5398</f>
        <v>0</v>
      </c>
      <c r="AR5398" s="28"/>
      <c r="AS5398" s="28" t="n">
        <f aca="false">AR5398*$M5398</f>
        <v>0</v>
      </c>
      <c r="AT5398" s="28"/>
      <c r="AU5398" s="28" t="n">
        <f aca="false">AT5398*$M5398</f>
        <v>0</v>
      </c>
      <c r="AV5398" s="28"/>
      <c r="AW5398" s="28" t="n">
        <f aca="false">AV5398*$M5398</f>
        <v>0</v>
      </c>
      <c r="AX5398" s="28"/>
      <c r="AY5398" s="28" t="n">
        <f aca="false">AX5398*$M5398</f>
        <v>0</v>
      </c>
      <c r="AZ5398" s="30" t="n">
        <v>939939</v>
      </c>
      <c r="BA5398" s="11" t="n">
        <v>939939</v>
      </c>
      <c r="BB5398" s="31" t="n">
        <f aca="false">SUM(Q5398,S5398,U5398,W5398,Y5398,AA5398,AC5398,AE5398,AG5398,AI5398,AK5398,AM5398,AO5398,AQ5398,AS5398,AU5398,AW5398,AY5398)</f>
        <v>939939</v>
      </c>
      <c r="BC5398" s="28" t="n">
        <f aca="false">BA5398-BB5398</f>
        <v>0</v>
      </c>
      <c r="BD5398" s="32" t="n">
        <f aca="false">SUM(P5398,R5398,T5398,V5398,X5398,Z5398,AB5398,AD5398,AF5398,AH5398,AJ5398,AL5398,AN5398,AP5398,AR5398,AT5398,AV5398,AX5398)</f>
        <v>939939</v>
      </c>
      <c r="BE5398" s="33" t="n">
        <f aca="false">AZ5398-BD5398</f>
        <v>0</v>
      </c>
      <c r="BF5398" s="34" t="n">
        <f aca="false">BD5398*M5398</f>
        <v>939939</v>
      </c>
      <c r="BG5398" s="35" t="n">
        <f aca="false">BA5398-BF5398</f>
        <v>0</v>
      </c>
      <c r="BH5398" s="19" t="str">
        <f aca="false">IF(BG5398=0,"",IF(BG5398&lt;&gt;BA5398,"erreur de calcul",IF(BD5398&lt;&gt;0,"pas de prix",IF(M5398&lt;&gt; 0,"pas de quantité","pas de prix, ni de quantité"))))</f>
        <v/>
      </c>
      <c r="BI5398" s="19"/>
    </row>
    <row r="5399" customFormat="false" ht="15" hidden="false" customHeight="false" outlineLevel="0" collapsed="false">
      <c r="A5399" s="0" t="n">
        <v>7</v>
      </c>
      <c r="B5399" s="8" t="s">
        <v>24</v>
      </c>
      <c r="C5399" s="9" t="s">
        <v>25</v>
      </c>
      <c r="D5399" s="9" t="s">
        <v>26</v>
      </c>
      <c r="E5399" s="10" t="n">
        <v>1789</v>
      </c>
      <c r="F5399" s="9" t="s">
        <v>27</v>
      </c>
      <c r="G5399" s="9" t="s">
        <v>27</v>
      </c>
      <c r="H5399" s="11" t="n">
        <v>22</v>
      </c>
      <c r="I5399" s="11" t="s">
        <v>208</v>
      </c>
      <c r="J5399" s="14" t="n">
        <v>60</v>
      </c>
      <c r="K5399" s="14"/>
      <c r="L5399" s="16"/>
      <c r="M5399" s="27" t="n">
        <f aca="false">J5399+(K5399/20)+(L5399/240)</f>
        <v>60</v>
      </c>
      <c r="N5399" s="17" t="s">
        <v>64</v>
      </c>
      <c r="O5399" s="11"/>
      <c r="P5399" s="28"/>
      <c r="Q5399" s="28" t="n">
        <f aca="false">P5399*$M5399</f>
        <v>0</v>
      </c>
      <c r="R5399" s="28"/>
      <c r="S5399" s="28" t="n">
        <f aca="false">R5399*$M5399</f>
        <v>0</v>
      </c>
      <c r="T5399" s="28"/>
      <c r="U5399" s="28" t="n">
        <f aca="false">T5399*$M5399</f>
        <v>0</v>
      </c>
      <c r="V5399" s="28"/>
      <c r="W5399" s="28" t="n">
        <f aca="false">V5399*$M5399</f>
        <v>0</v>
      </c>
      <c r="X5399" s="28"/>
      <c r="Y5399" s="28" t="n">
        <f aca="false">X5399*$M5399</f>
        <v>0</v>
      </c>
      <c r="Z5399" s="28"/>
      <c r="AA5399" s="28" t="n">
        <f aca="false">Z5399*$M5399</f>
        <v>0</v>
      </c>
      <c r="AB5399" s="28"/>
      <c r="AC5399" s="28" t="n">
        <f aca="false">AB5399*$M5399</f>
        <v>0</v>
      </c>
      <c r="AD5399" s="28"/>
      <c r="AE5399" s="28" t="n">
        <f aca="false">AD5399*$M5399</f>
        <v>0</v>
      </c>
      <c r="AF5399" s="28"/>
      <c r="AG5399" s="28" t="n">
        <f aca="false">AF5399*$M5399</f>
        <v>0</v>
      </c>
      <c r="AH5399" s="28"/>
      <c r="AI5399" s="28" t="n">
        <f aca="false">AH5399*$M5399</f>
        <v>0</v>
      </c>
      <c r="AJ5399" s="28" t="n">
        <f aca="false">28692/100</f>
        <v>286.92</v>
      </c>
      <c r="AK5399" s="28" t="n">
        <v>17215</v>
      </c>
      <c r="AL5399" s="28"/>
      <c r="AM5399" s="28" t="n">
        <f aca="false">AL5399*$M5399</f>
        <v>0</v>
      </c>
      <c r="AN5399" s="28"/>
      <c r="AO5399" s="28" t="n">
        <f aca="false">AN5399*$M5399</f>
        <v>0</v>
      </c>
      <c r="AP5399" s="28"/>
      <c r="AQ5399" s="28" t="n">
        <f aca="false">AP5399*$M5399</f>
        <v>0</v>
      </c>
      <c r="AR5399" s="28"/>
      <c r="AS5399" s="28" t="n">
        <f aca="false">AR5399*$M5399</f>
        <v>0</v>
      </c>
      <c r="AT5399" s="28"/>
      <c r="AU5399" s="28" t="n">
        <f aca="false">AT5399*$M5399</f>
        <v>0</v>
      </c>
      <c r="AV5399" s="28"/>
      <c r="AW5399" s="28" t="n">
        <f aca="false">AV5399*$M5399</f>
        <v>0</v>
      </c>
      <c r="AX5399" s="28"/>
      <c r="AY5399" s="28" t="n">
        <f aca="false">AX5399*$M5399</f>
        <v>0</v>
      </c>
      <c r="AZ5399" s="30" t="n">
        <f aca="false">28692/100</f>
        <v>286.92</v>
      </c>
      <c r="BA5399" s="11" t="n">
        <v>17215</v>
      </c>
      <c r="BB5399" s="31" t="n">
        <f aca="false">SUM(Q5399,S5399,U5399,W5399,Y5399,AA5399,AC5399,AE5399,AG5399,AI5399,AK5399,AM5399,AO5399,AQ5399,AS5399,AU5399,AW5399,AY5399)</f>
        <v>17215</v>
      </c>
      <c r="BC5399" s="28" t="n">
        <f aca="false">BA5399-BB5399</f>
        <v>0</v>
      </c>
      <c r="BD5399" s="32" t="n">
        <f aca="false">SUM(P5399,R5399,T5399,V5399,X5399,Z5399,AB5399,AD5399,AF5399,AH5399,AJ5399,AL5399,AN5399,AP5399,AR5399,AT5399,AV5399,AX5399)</f>
        <v>286.92</v>
      </c>
      <c r="BE5399" s="33" t="n">
        <f aca="false">AZ5399-BD5399</f>
        <v>0</v>
      </c>
      <c r="BF5399" s="34" t="n">
        <f aca="false">BD5399*M5399</f>
        <v>17215.2</v>
      </c>
      <c r="BG5399" s="35" t="n">
        <f aca="false">BA5399-BF5399</f>
        <v>-0.200000000000728</v>
      </c>
      <c r="BH5399" s="19" t="str">
        <f aca="false">IF(BG5399=0,"",IF(BG5399&lt;&gt;BA5399,"erreur de calcul",IF(BD5399&lt;&gt;0,"pas de prix",IF(M5399&lt;&gt; 0,"pas de quantité","pas de prix, ni de quantité"))))</f>
        <v>erreur de calcul</v>
      </c>
      <c r="BI5399" s="19"/>
    </row>
    <row r="5400" customFormat="false" ht="15" hidden="false" customHeight="false" outlineLevel="0" collapsed="false">
      <c r="A5400" s="0" t="n">
        <v>8</v>
      </c>
      <c r="B5400" s="8" t="s">
        <v>24</v>
      </c>
      <c r="C5400" s="9" t="s">
        <v>25</v>
      </c>
      <c r="D5400" s="9" t="s">
        <v>26</v>
      </c>
      <c r="E5400" s="10" t="n">
        <v>1789</v>
      </c>
      <c r="F5400" s="9" t="s">
        <v>27</v>
      </c>
      <c r="G5400" s="9" t="s">
        <v>27</v>
      </c>
      <c r="H5400" s="11" t="n">
        <v>22</v>
      </c>
      <c r="I5400" s="11" t="s">
        <v>209</v>
      </c>
      <c r="J5400" s="14" t="n">
        <v>26</v>
      </c>
      <c r="K5400" s="14"/>
      <c r="L5400" s="16"/>
      <c r="M5400" s="27" t="n">
        <f aca="false">J5400+(K5400/20)+(L5400/240)</f>
        <v>26</v>
      </c>
      <c r="N5400" s="17" t="s">
        <v>64</v>
      </c>
      <c r="O5400" s="11"/>
      <c r="P5400" s="28" t="n">
        <f aca="false">9675/100</f>
        <v>96.75</v>
      </c>
      <c r="Q5400" s="28" t="n">
        <v>2515</v>
      </c>
      <c r="R5400" s="28"/>
      <c r="S5400" s="28" t="n">
        <f aca="false">R5400*$M5400</f>
        <v>0</v>
      </c>
      <c r="T5400" s="28"/>
      <c r="U5400" s="28" t="n">
        <f aca="false">T5400*$M5400</f>
        <v>0</v>
      </c>
      <c r="V5400" s="28"/>
      <c r="W5400" s="28" t="n">
        <f aca="false">V5400*$M5400</f>
        <v>0</v>
      </c>
      <c r="X5400" s="28"/>
      <c r="Y5400" s="28" t="n">
        <f aca="false">X5400*$M5400</f>
        <v>0</v>
      </c>
      <c r="Z5400" s="28"/>
      <c r="AA5400" s="28" t="n">
        <f aca="false">Z5400*$M5400</f>
        <v>0</v>
      </c>
      <c r="AB5400" s="28"/>
      <c r="AC5400" s="28" t="n">
        <f aca="false">AB5400*$M5400</f>
        <v>0</v>
      </c>
      <c r="AD5400" s="28"/>
      <c r="AE5400" s="28" t="n">
        <f aca="false">AD5400*$M5400</f>
        <v>0</v>
      </c>
      <c r="AF5400" s="28"/>
      <c r="AG5400" s="28" t="n">
        <f aca="false">AF5400*$M5400</f>
        <v>0</v>
      </c>
      <c r="AH5400" s="28"/>
      <c r="AI5400" s="28" t="n">
        <f aca="false">AH5400*$M5400</f>
        <v>0</v>
      </c>
      <c r="AJ5400" s="28"/>
      <c r="AK5400" s="28" t="n">
        <f aca="false">AJ5400*$M5400</f>
        <v>0</v>
      </c>
      <c r="AL5400" s="28"/>
      <c r="AM5400" s="28" t="n">
        <f aca="false">AL5400*$M5400</f>
        <v>0</v>
      </c>
      <c r="AN5400" s="28"/>
      <c r="AO5400" s="28" t="n">
        <f aca="false">AN5400*$M5400</f>
        <v>0</v>
      </c>
      <c r="AP5400" s="28"/>
      <c r="AQ5400" s="28" t="n">
        <f aca="false">AP5400*$M5400</f>
        <v>0</v>
      </c>
      <c r="AR5400" s="28"/>
      <c r="AS5400" s="28" t="n">
        <f aca="false">AR5400*$M5400</f>
        <v>0</v>
      </c>
      <c r="AT5400" s="28"/>
      <c r="AU5400" s="28" t="n">
        <f aca="false">AT5400*$M5400</f>
        <v>0</v>
      </c>
      <c r="AV5400" s="28"/>
      <c r="AW5400" s="28" t="n">
        <f aca="false">AV5400*$M5400</f>
        <v>0</v>
      </c>
      <c r="AX5400" s="28"/>
      <c r="AY5400" s="28" t="n">
        <f aca="false">AX5400*$M5400</f>
        <v>0</v>
      </c>
      <c r="AZ5400" s="30" t="n">
        <f aca="false">9675/100</f>
        <v>96.75</v>
      </c>
      <c r="BA5400" s="11" t="n">
        <v>2515</v>
      </c>
      <c r="BB5400" s="31" t="n">
        <f aca="false">SUM(Q5400,S5400,U5400,W5400,Y5400,AA5400,AC5400,AE5400,AG5400,AI5400,AK5400,AM5400,AO5400,AQ5400,AS5400,AU5400,AW5400,AY5400)</f>
        <v>2515</v>
      </c>
      <c r="BC5400" s="28" t="n">
        <f aca="false">BA5400-BB5400</f>
        <v>0</v>
      </c>
      <c r="BD5400" s="32" t="n">
        <f aca="false">SUM(P5400,R5400,T5400,V5400,X5400,Z5400,AB5400,AD5400,AF5400,AH5400,AJ5400,AL5400,AN5400,AP5400,AR5400,AT5400,AV5400,AX5400)</f>
        <v>96.75</v>
      </c>
      <c r="BE5400" s="33" t="n">
        <f aca="false">AZ5400-BD5400</f>
        <v>0</v>
      </c>
      <c r="BF5400" s="34" t="n">
        <f aca="false">BD5400*M5400</f>
        <v>2515.5</v>
      </c>
      <c r="BG5400" s="35" t="n">
        <f aca="false">BA5400-BF5400</f>
        <v>-0.5</v>
      </c>
      <c r="BH5400" s="19" t="str">
        <f aca="false">IF(BG5400=0,"",IF(BG5400&lt;&gt;BA5400,"erreur de calcul",IF(BD5400&lt;&gt;0,"pas de prix",IF(M5400&lt;&gt; 0,"pas de quantité","pas de prix, ni de quantité"))))</f>
        <v>erreur de calcul</v>
      </c>
      <c r="BI5400" s="19"/>
    </row>
    <row r="5401" customFormat="false" ht="15" hidden="false" customHeight="false" outlineLevel="0" collapsed="false">
      <c r="A5401" s="0" t="n">
        <v>9</v>
      </c>
      <c r="B5401" s="8" t="s">
        <v>24</v>
      </c>
      <c r="C5401" s="9" t="s">
        <v>25</v>
      </c>
      <c r="D5401" s="9" t="s">
        <v>26</v>
      </c>
      <c r="E5401" s="10" t="n">
        <v>1789</v>
      </c>
      <c r="F5401" s="9" t="s">
        <v>27</v>
      </c>
      <c r="G5401" s="9" t="s">
        <v>27</v>
      </c>
      <c r="H5401" s="11" t="n">
        <v>22</v>
      </c>
      <c r="I5401" s="11" t="s">
        <v>210</v>
      </c>
      <c r="J5401" s="14" t="n">
        <v>8</v>
      </c>
      <c r="K5401" s="14" t="n">
        <v>15</v>
      </c>
      <c r="L5401" s="16"/>
      <c r="M5401" s="27" t="n">
        <f aca="false">J5401+(K5401/20)+(L5401/240)</f>
        <v>8.75</v>
      </c>
      <c r="N5401" s="17" t="s">
        <v>66</v>
      </c>
      <c r="O5401" s="11"/>
      <c r="P5401" s="28"/>
      <c r="Q5401" s="28" t="n">
        <f aca="false">P5401*$M5401</f>
        <v>0</v>
      </c>
      <c r="R5401" s="28"/>
      <c r="S5401" s="28" t="n">
        <f aca="false">R5401*$M5401</f>
        <v>0</v>
      </c>
      <c r="T5401" s="28" t="n">
        <v>2562</v>
      </c>
      <c r="U5401" s="36" t="n">
        <v>21777</v>
      </c>
      <c r="V5401" s="28" t="n">
        <v>127</v>
      </c>
      <c r="W5401" s="28" t="n">
        <v>1111</v>
      </c>
      <c r="X5401" s="28" t="n">
        <v>1945</v>
      </c>
      <c r="Y5401" s="28" t="n">
        <v>17018</v>
      </c>
      <c r="Z5401" s="28"/>
      <c r="AA5401" s="28" t="n">
        <f aca="false">Z5401*$M5401</f>
        <v>0</v>
      </c>
      <c r="AB5401" s="28"/>
      <c r="AC5401" s="28" t="n">
        <f aca="false">AB5401*$M5401</f>
        <v>0</v>
      </c>
      <c r="AD5401" s="28"/>
      <c r="AE5401" s="28" t="n">
        <f aca="false">AD5401*$M5401</f>
        <v>0</v>
      </c>
      <c r="AF5401" s="28"/>
      <c r="AG5401" s="28" t="n">
        <f aca="false">AF5401*$M5401</f>
        <v>0</v>
      </c>
      <c r="AH5401" s="28"/>
      <c r="AI5401" s="28" t="n">
        <f aca="false">AH5401*$M5401</f>
        <v>0</v>
      </c>
      <c r="AJ5401" s="28" t="n">
        <v>3538</v>
      </c>
      <c r="AK5401" s="36" t="n">
        <v>30073</v>
      </c>
      <c r="AL5401" s="28"/>
      <c r="AM5401" s="28" t="n">
        <f aca="false">AL5401*$M5401</f>
        <v>0</v>
      </c>
      <c r="AN5401" s="28"/>
      <c r="AO5401" s="28" t="n">
        <f aca="false">AN5401*$M5401</f>
        <v>0</v>
      </c>
      <c r="AP5401" s="28"/>
      <c r="AQ5401" s="28" t="n">
        <f aca="false">AP5401*$M5401</f>
        <v>0</v>
      </c>
      <c r="AR5401" s="28"/>
      <c r="AS5401" s="28" t="n">
        <f aca="false">AR5401*$M5401</f>
        <v>0</v>
      </c>
      <c r="AT5401" s="28"/>
      <c r="AU5401" s="28" t="n">
        <f aca="false">AT5401*$M5401</f>
        <v>0</v>
      </c>
      <c r="AV5401" s="28"/>
      <c r="AW5401" s="28" t="n">
        <f aca="false">AV5401*$M5401</f>
        <v>0</v>
      </c>
      <c r="AX5401" s="28" t="n">
        <v>11559</v>
      </c>
      <c r="AY5401" s="28" t="n">
        <v>101141</v>
      </c>
      <c r="AZ5401" s="30" t="n">
        <v>19731</v>
      </c>
      <c r="BA5401" s="11" t="n">
        <v>171120</v>
      </c>
      <c r="BB5401" s="31" t="n">
        <f aca="false">SUM(Q5401,S5401,U5401,W5401,Y5401,AA5401,AC5401,AE5401,AG5401,AI5401,AK5401,AM5401,AO5401,AQ5401,AS5401,AU5401,AW5401,AY5401)</f>
        <v>171120</v>
      </c>
      <c r="BC5401" s="28" t="n">
        <f aca="false">BA5401-BB5401</f>
        <v>0</v>
      </c>
      <c r="BD5401" s="32" t="n">
        <f aca="false">SUM(P5401,R5401,T5401,V5401,X5401,Z5401,AB5401,AD5401,AF5401,AH5401,AJ5401,AL5401,AN5401,AP5401,AR5401,AT5401,AV5401,AX5401)</f>
        <v>19731</v>
      </c>
      <c r="BE5401" s="33" t="n">
        <f aca="false">AZ5401-BD5401</f>
        <v>0</v>
      </c>
      <c r="BF5401" s="34" t="n">
        <f aca="false">BD5401*M5401</f>
        <v>172646.25</v>
      </c>
      <c r="BG5401" s="35" t="n">
        <f aca="false">BA5401-BF5401</f>
        <v>-1526.25</v>
      </c>
      <c r="BH5401" s="19" t="str">
        <f aca="false">IF(BG5401=0,"",IF(BG5401&lt;&gt;BA5401,"erreur de calcul",IF(BD5401&lt;&gt;0,"pas de prix",IF(M5401&lt;&gt; 0,"pas de quantité","pas de prix, ni de quantité"))))</f>
        <v>erreur de calcul</v>
      </c>
      <c r="BI5401" s="19"/>
    </row>
    <row r="5402" customFormat="false" ht="15" hidden="false" customHeight="false" outlineLevel="0" collapsed="false">
      <c r="A5402" s="0" t="n">
        <v>10</v>
      </c>
      <c r="B5402" s="8" t="s">
        <v>24</v>
      </c>
      <c r="C5402" s="9" t="s">
        <v>25</v>
      </c>
      <c r="D5402" s="9" t="s">
        <v>26</v>
      </c>
      <c r="E5402" s="10" t="n">
        <v>1789</v>
      </c>
      <c r="F5402" s="9" t="s">
        <v>27</v>
      </c>
      <c r="G5402" s="9" t="s">
        <v>27</v>
      </c>
      <c r="H5402" s="11" t="n">
        <v>22</v>
      </c>
      <c r="I5402" s="11" t="s">
        <v>211</v>
      </c>
      <c r="J5402" s="14" t="n">
        <v>11</v>
      </c>
      <c r="K5402" s="14"/>
      <c r="L5402" s="16"/>
      <c r="M5402" s="27" t="n">
        <f aca="false">J5402+(K5402/20)+(L5402/240)</f>
        <v>11</v>
      </c>
      <c r="N5402" s="17" t="s">
        <v>66</v>
      </c>
      <c r="O5402" s="11"/>
      <c r="P5402" s="28" t="n">
        <v>95190</v>
      </c>
      <c r="Q5402" s="28" t="n">
        <v>1047090</v>
      </c>
      <c r="R5402" s="28"/>
      <c r="S5402" s="28" t="n">
        <f aca="false">R5402*$M5402</f>
        <v>0</v>
      </c>
      <c r="T5402" s="28"/>
      <c r="U5402" s="28" t="n">
        <f aca="false">T5402*$M5402</f>
        <v>0</v>
      </c>
      <c r="V5402" s="28"/>
      <c r="W5402" s="28" t="n">
        <f aca="false">V5402*$M5402</f>
        <v>0</v>
      </c>
      <c r="X5402" s="28"/>
      <c r="Y5402" s="28" t="n">
        <f aca="false">X5402*$M5402</f>
        <v>0</v>
      </c>
      <c r="Z5402" s="28"/>
      <c r="AA5402" s="28" t="n">
        <f aca="false">Z5402*$M5402</f>
        <v>0</v>
      </c>
      <c r="AB5402" s="28"/>
      <c r="AC5402" s="28" t="n">
        <f aca="false">AB5402*$M5402</f>
        <v>0</v>
      </c>
      <c r="AD5402" s="28"/>
      <c r="AE5402" s="28" t="n">
        <f aca="false">AD5402*$M5402</f>
        <v>0</v>
      </c>
      <c r="AF5402" s="28"/>
      <c r="AG5402" s="28" t="n">
        <f aca="false">AF5402*$M5402</f>
        <v>0</v>
      </c>
      <c r="AH5402" s="28"/>
      <c r="AI5402" s="28" t="n">
        <f aca="false">AH5402*$M5402</f>
        <v>0</v>
      </c>
      <c r="AJ5402" s="28"/>
      <c r="AK5402" s="28" t="n">
        <f aca="false">AJ5402*$M5402</f>
        <v>0</v>
      </c>
      <c r="AL5402" s="28"/>
      <c r="AM5402" s="28" t="n">
        <f aca="false">AL5402*$M5402</f>
        <v>0</v>
      </c>
      <c r="AN5402" s="28"/>
      <c r="AO5402" s="28" t="n">
        <f aca="false">AN5402*$M5402</f>
        <v>0</v>
      </c>
      <c r="AP5402" s="28"/>
      <c r="AQ5402" s="28" t="n">
        <f aca="false">AP5402*$M5402</f>
        <v>0</v>
      </c>
      <c r="AR5402" s="28"/>
      <c r="AS5402" s="28" t="n">
        <f aca="false">AR5402*$M5402</f>
        <v>0</v>
      </c>
      <c r="AT5402" s="28"/>
      <c r="AU5402" s="28" t="n">
        <f aca="false">AT5402*$M5402</f>
        <v>0</v>
      </c>
      <c r="AV5402" s="28"/>
      <c r="AW5402" s="28" t="n">
        <f aca="false">AV5402*$M5402</f>
        <v>0</v>
      </c>
      <c r="AX5402" s="28"/>
      <c r="AY5402" s="28" t="n">
        <f aca="false">AX5402*$M5402</f>
        <v>0</v>
      </c>
      <c r="AZ5402" s="30" t="n">
        <v>95190</v>
      </c>
      <c r="BA5402" s="11" t="n">
        <v>1047090</v>
      </c>
      <c r="BB5402" s="31" t="n">
        <f aca="false">SUM(Q5402,S5402,U5402,W5402,Y5402,AA5402,AC5402,AE5402,AG5402,AI5402,AK5402,AM5402,AO5402,AQ5402,AS5402,AU5402,AW5402,AY5402)</f>
        <v>1047090</v>
      </c>
      <c r="BC5402" s="28" t="n">
        <f aca="false">BA5402-BB5402</f>
        <v>0</v>
      </c>
      <c r="BD5402" s="32" t="n">
        <f aca="false">SUM(P5402,R5402,T5402,V5402,X5402,Z5402,AB5402,AD5402,AF5402,AH5402,AJ5402,AL5402,AN5402,AP5402,AR5402,AT5402,AV5402,AX5402)</f>
        <v>95190</v>
      </c>
      <c r="BE5402" s="33" t="n">
        <f aca="false">AZ5402-BD5402</f>
        <v>0</v>
      </c>
      <c r="BF5402" s="34" t="n">
        <f aca="false">BD5402*M5402</f>
        <v>1047090</v>
      </c>
      <c r="BG5402" s="35" t="n">
        <f aca="false">BA5402-BF5402</f>
        <v>0</v>
      </c>
      <c r="BH5402" s="19" t="str">
        <f aca="false">IF(BG5402=0,"",IF(BG5402&lt;&gt;BA5402,"erreur de calcul",IF(BD5402&lt;&gt;0,"pas de prix",IF(M5402&lt;&gt; 0,"pas de quantité","pas de prix, ni de quantité"))))</f>
        <v/>
      </c>
      <c r="BI5402" s="19"/>
    </row>
    <row r="5403" customFormat="false" ht="17.15" hidden="false" customHeight="false" outlineLevel="0" collapsed="false">
      <c r="A5403" s="0" t="n">
        <v>11</v>
      </c>
      <c r="B5403" s="8" t="s">
        <v>24</v>
      </c>
      <c r="C5403" s="9" t="s">
        <v>25</v>
      </c>
      <c r="D5403" s="9" t="s">
        <v>26</v>
      </c>
      <c r="E5403" s="10" t="n">
        <v>1789</v>
      </c>
      <c r="F5403" s="9" t="s">
        <v>27</v>
      </c>
      <c r="G5403" s="9" t="s">
        <v>27</v>
      </c>
      <c r="H5403" s="11" t="n">
        <v>22</v>
      </c>
      <c r="I5403" s="40" t="s">
        <v>212</v>
      </c>
      <c r="J5403" s="14" t="n">
        <v>75</v>
      </c>
      <c r="K5403" s="14"/>
      <c r="L5403" s="16"/>
      <c r="M5403" s="27" t="n">
        <f aca="false">J5403+(K5403/20)+(L5403/240)</f>
        <v>75</v>
      </c>
      <c r="N5403" s="17" t="s">
        <v>64</v>
      </c>
      <c r="O5403" s="11"/>
      <c r="P5403" s="28"/>
      <c r="Q5403" s="28" t="n">
        <f aca="false">P5403*$M5403</f>
        <v>0</v>
      </c>
      <c r="R5403" s="28"/>
      <c r="S5403" s="28" t="n">
        <f aca="false">R5403*$M5403</f>
        <v>0</v>
      </c>
      <c r="T5403" s="28"/>
      <c r="U5403" s="28" t="n">
        <f aca="false">T5403*$M5403</f>
        <v>0</v>
      </c>
      <c r="V5403" s="28"/>
      <c r="W5403" s="28" t="n">
        <f aca="false">V5403*$M5403</f>
        <v>0</v>
      </c>
      <c r="X5403" s="28"/>
      <c r="Y5403" s="28" t="n">
        <f aca="false">X5403*$M5403</f>
        <v>0</v>
      </c>
      <c r="Z5403" s="28"/>
      <c r="AA5403" s="28" t="n">
        <f aca="false">Z5403*$M5403</f>
        <v>0</v>
      </c>
      <c r="AB5403" s="28"/>
      <c r="AC5403" s="28" t="n">
        <f aca="false">AB5403*$M5403</f>
        <v>0</v>
      </c>
      <c r="AD5403" s="28"/>
      <c r="AE5403" s="28" t="n">
        <f aca="false">AD5403*$M5403</f>
        <v>0</v>
      </c>
      <c r="AF5403" s="28"/>
      <c r="AG5403" s="28" t="n">
        <f aca="false">AF5403*$M5403</f>
        <v>0</v>
      </c>
      <c r="AH5403" s="28"/>
      <c r="AI5403" s="28" t="n">
        <f aca="false">AH5403*$M5403</f>
        <v>0</v>
      </c>
      <c r="AJ5403" s="28" t="n">
        <f aca="false">2372/100</f>
        <v>23.72</v>
      </c>
      <c r="AK5403" s="28" t="n">
        <v>1779</v>
      </c>
      <c r="AL5403" s="28"/>
      <c r="AM5403" s="28" t="n">
        <f aca="false">AL5403*$M5403</f>
        <v>0</v>
      </c>
      <c r="AN5403" s="28"/>
      <c r="AO5403" s="28" t="n">
        <f aca="false">AN5403*$M5403</f>
        <v>0</v>
      </c>
      <c r="AP5403" s="28"/>
      <c r="AQ5403" s="28" t="n">
        <f aca="false">AP5403*$M5403</f>
        <v>0</v>
      </c>
      <c r="AR5403" s="28"/>
      <c r="AS5403" s="28" t="n">
        <f aca="false">AR5403*$M5403</f>
        <v>0</v>
      </c>
      <c r="AT5403" s="28"/>
      <c r="AU5403" s="28" t="n">
        <f aca="false">AT5403*$M5403</f>
        <v>0</v>
      </c>
      <c r="AV5403" s="28"/>
      <c r="AW5403" s="28" t="n">
        <f aca="false">AV5403*$M5403</f>
        <v>0</v>
      </c>
      <c r="AX5403" s="28"/>
      <c r="AY5403" s="28" t="n">
        <f aca="false">AX5403*$M5403</f>
        <v>0</v>
      </c>
      <c r="AZ5403" s="30" t="n">
        <f aca="false">2372/100</f>
        <v>23.72</v>
      </c>
      <c r="BA5403" s="11" t="n">
        <v>1779</v>
      </c>
      <c r="BB5403" s="31" t="n">
        <f aca="false">SUM(Q5403,S5403,U5403,W5403,Y5403,AA5403,AC5403,AE5403,AG5403,AI5403,AK5403,AM5403,AO5403,AQ5403,AS5403,AU5403,AW5403,AY5403)</f>
        <v>1779</v>
      </c>
      <c r="BC5403" s="28" t="n">
        <f aca="false">BA5403-BB5403</f>
        <v>0</v>
      </c>
      <c r="BD5403" s="32" t="n">
        <f aca="false">SUM(P5403,R5403,T5403,V5403,X5403,Z5403,AB5403,AD5403,AF5403,AH5403,AJ5403,AL5403,AN5403,AP5403,AR5403,AT5403,AV5403,AX5403)</f>
        <v>23.72</v>
      </c>
      <c r="BE5403" s="33" t="n">
        <f aca="false">AZ5403-BD5403</f>
        <v>0</v>
      </c>
      <c r="BF5403" s="34" t="n">
        <f aca="false">BD5403*M5403</f>
        <v>1779</v>
      </c>
      <c r="BG5403" s="35" t="n">
        <f aca="false">BA5403-BF5403</f>
        <v>0</v>
      </c>
      <c r="BH5403" s="19" t="str">
        <f aca="false">IF(BG5403=0,"",IF(BG5403&lt;&gt;BA5403,"erreur de calcul",IF(BD5403&lt;&gt;0,"pas de prix",IF(M5403&lt;&gt; 0,"pas de quantité","pas de prix, ni de quantité"))))</f>
        <v/>
      </c>
      <c r="BI5403" s="19"/>
    </row>
    <row r="5404" customFormat="false" ht="15" hidden="false" customHeight="false" outlineLevel="0" collapsed="false">
      <c r="A5404" s="0" t="n">
        <v>12</v>
      </c>
      <c r="B5404" s="8" t="s">
        <v>24</v>
      </c>
      <c r="C5404" s="9" t="s">
        <v>25</v>
      </c>
      <c r="D5404" s="9" t="s">
        <v>26</v>
      </c>
      <c r="E5404" s="10" t="n">
        <v>1789</v>
      </c>
      <c r="F5404" s="9" t="s">
        <v>27</v>
      </c>
      <c r="G5404" s="9" t="s">
        <v>27</v>
      </c>
      <c r="H5404" s="11" t="n">
        <v>22</v>
      </c>
      <c r="I5404" s="11" t="s">
        <v>213</v>
      </c>
      <c r="J5404" s="14" t="n">
        <v>31</v>
      </c>
      <c r="K5404" s="14"/>
      <c r="L5404" s="16"/>
      <c r="M5404" s="27" t="n">
        <f aca="false">J5404+(K5404/20)+(L5404/240)</f>
        <v>31</v>
      </c>
      <c r="N5404" s="17" t="s">
        <v>64</v>
      </c>
      <c r="O5404" s="11"/>
      <c r="P5404" s="28"/>
      <c r="Q5404" s="28" t="n">
        <f aca="false">P5404*$M5404</f>
        <v>0</v>
      </c>
      <c r="R5404" s="28"/>
      <c r="S5404" s="28" t="n">
        <f aca="false">R5404*$M5404</f>
        <v>0</v>
      </c>
      <c r="T5404" s="28"/>
      <c r="U5404" s="28" t="n">
        <f aca="false">T5404*$M5404</f>
        <v>0</v>
      </c>
      <c r="V5404" s="28"/>
      <c r="W5404" s="28" t="n">
        <f aca="false">V5404*$M5404</f>
        <v>0</v>
      </c>
      <c r="X5404" s="28" t="n">
        <f aca="false">18202/100</f>
        <v>182.02</v>
      </c>
      <c r="Y5404" s="28" t="n">
        <v>5643</v>
      </c>
      <c r="Z5404" s="28"/>
      <c r="AA5404" s="28" t="n">
        <f aca="false">Z5404*$M5404</f>
        <v>0</v>
      </c>
      <c r="AB5404" s="28"/>
      <c r="AC5404" s="28" t="n">
        <f aca="false">AB5404*$M5404</f>
        <v>0</v>
      </c>
      <c r="AD5404" s="28"/>
      <c r="AE5404" s="28" t="n">
        <f aca="false">AD5404*$M5404</f>
        <v>0</v>
      </c>
      <c r="AF5404" s="28"/>
      <c r="AG5404" s="28" t="n">
        <f aca="false">AF5404*$M5404</f>
        <v>0</v>
      </c>
      <c r="AH5404" s="28"/>
      <c r="AI5404" s="28" t="n">
        <f aca="false">AH5404*$M5404</f>
        <v>0</v>
      </c>
      <c r="AJ5404" s="28"/>
      <c r="AK5404" s="28" t="n">
        <f aca="false">AJ5404*$M5404</f>
        <v>0</v>
      </c>
      <c r="AL5404" s="28"/>
      <c r="AM5404" s="28" t="n">
        <f aca="false">AL5404*$M5404</f>
        <v>0</v>
      </c>
      <c r="AN5404" s="28"/>
      <c r="AO5404" s="28" t="n">
        <f aca="false">AN5404*$M5404</f>
        <v>0</v>
      </c>
      <c r="AP5404" s="28"/>
      <c r="AQ5404" s="28" t="n">
        <f aca="false">AP5404*$M5404</f>
        <v>0</v>
      </c>
      <c r="AR5404" s="28"/>
      <c r="AS5404" s="28" t="n">
        <f aca="false">AR5404*$M5404</f>
        <v>0</v>
      </c>
      <c r="AT5404" s="28"/>
      <c r="AU5404" s="28" t="n">
        <f aca="false">AT5404*$M5404</f>
        <v>0</v>
      </c>
      <c r="AV5404" s="28"/>
      <c r="AW5404" s="28" t="n">
        <f aca="false">AV5404*$M5404</f>
        <v>0</v>
      </c>
      <c r="AX5404" s="28"/>
      <c r="AY5404" s="28" t="n">
        <f aca="false">AX5404*$M5404</f>
        <v>0</v>
      </c>
      <c r="AZ5404" s="30" t="n">
        <f aca="false">18202/100</f>
        <v>182.02</v>
      </c>
      <c r="BA5404" s="11" t="n">
        <v>5643</v>
      </c>
      <c r="BB5404" s="31" t="n">
        <f aca="false">SUM(Q5404,S5404,U5404,W5404,Y5404,AA5404,AC5404,AE5404,AG5404,AI5404,AK5404,AM5404,AO5404,AQ5404,AS5404,AU5404,AW5404,AY5404)</f>
        <v>5643</v>
      </c>
      <c r="BC5404" s="28" t="n">
        <f aca="false">BA5404-BB5404</f>
        <v>0</v>
      </c>
      <c r="BD5404" s="32" t="n">
        <f aca="false">SUM(P5404,R5404,T5404,V5404,X5404,Z5404,AB5404,AD5404,AF5404,AH5404,AJ5404,AL5404,AN5404,AP5404,AR5404,AT5404,AV5404,AX5404)</f>
        <v>182.02</v>
      </c>
      <c r="BE5404" s="33" t="n">
        <f aca="false">AZ5404-BD5404</f>
        <v>0</v>
      </c>
      <c r="BF5404" s="34" t="n">
        <f aca="false">BD5404*M5404</f>
        <v>5642.62</v>
      </c>
      <c r="BG5404" s="35" t="n">
        <f aca="false">BA5404-BF5404</f>
        <v>0.380000000000109</v>
      </c>
      <c r="BH5404" s="19" t="str">
        <f aca="false">IF(BG5404=0,"",IF(BG5404&lt;&gt;BA5404,"erreur de calcul",IF(BD5404&lt;&gt;0,"pas de prix",IF(M5404&lt;&gt; 0,"pas de quantité","pas de prix, ni de quantité"))))</f>
        <v>erreur de calcul</v>
      </c>
      <c r="BI5404" s="19"/>
    </row>
    <row r="5405" customFormat="false" ht="15" hidden="false" customHeight="false" outlineLevel="0" collapsed="false">
      <c r="A5405" s="0" t="n">
        <v>13</v>
      </c>
      <c r="B5405" s="8" t="s">
        <v>24</v>
      </c>
      <c r="C5405" s="9" t="s">
        <v>25</v>
      </c>
      <c r="D5405" s="9" t="s">
        <v>26</v>
      </c>
      <c r="E5405" s="10" t="n">
        <v>1789</v>
      </c>
      <c r="F5405" s="9" t="s">
        <v>27</v>
      </c>
      <c r="G5405" s="9" t="s">
        <v>27</v>
      </c>
      <c r="H5405" s="11" t="n">
        <v>22</v>
      </c>
      <c r="I5405" s="11" t="s">
        <v>214</v>
      </c>
      <c r="J5405" s="14"/>
      <c r="K5405" s="14" t="n">
        <v>20</v>
      </c>
      <c r="L5405" s="16"/>
      <c r="M5405" s="27" t="n">
        <f aca="false">J5405+(K5405/20)+(L5405/240)</f>
        <v>1</v>
      </c>
      <c r="N5405" s="17" t="s">
        <v>66</v>
      </c>
      <c r="O5405" s="11"/>
      <c r="P5405" s="28"/>
      <c r="Q5405" s="28" t="n">
        <f aca="false">P5405*$M5405</f>
        <v>0</v>
      </c>
      <c r="R5405" s="28"/>
      <c r="S5405" s="28" t="n">
        <f aca="false">R5405*$M5405</f>
        <v>0</v>
      </c>
      <c r="T5405" s="28"/>
      <c r="U5405" s="28" t="n">
        <f aca="false">T5405*$M5405</f>
        <v>0</v>
      </c>
      <c r="V5405" s="28"/>
      <c r="W5405" s="28" t="n">
        <f aca="false">V5405*$M5405</f>
        <v>0</v>
      </c>
      <c r="X5405" s="28"/>
      <c r="Y5405" s="28" t="n">
        <f aca="false">X5405*$M5405</f>
        <v>0</v>
      </c>
      <c r="Z5405" s="28"/>
      <c r="AA5405" s="28" t="n">
        <f aca="false">Z5405*$M5405</f>
        <v>0</v>
      </c>
      <c r="AB5405" s="28"/>
      <c r="AC5405" s="28" t="n">
        <f aca="false">AB5405*$M5405</f>
        <v>0</v>
      </c>
      <c r="AD5405" s="28" t="n">
        <v>2831</v>
      </c>
      <c r="AE5405" s="28" t="n">
        <v>2831</v>
      </c>
      <c r="AF5405" s="28"/>
      <c r="AG5405" s="28" t="n">
        <f aca="false">AF5405*$M5405</f>
        <v>0</v>
      </c>
      <c r="AH5405" s="28"/>
      <c r="AI5405" s="28" t="n">
        <f aca="false">AH5405*$M5405</f>
        <v>0</v>
      </c>
      <c r="AJ5405" s="28"/>
      <c r="AK5405" s="28" t="n">
        <f aca="false">AJ5405*$M5405</f>
        <v>0</v>
      </c>
      <c r="AL5405" s="28"/>
      <c r="AM5405" s="28" t="n">
        <f aca="false">AL5405*$M5405</f>
        <v>0</v>
      </c>
      <c r="AN5405" s="28"/>
      <c r="AO5405" s="28" t="n">
        <f aca="false">AN5405*$M5405</f>
        <v>0</v>
      </c>
      <c r="AP5405" s="28"/>
      <c r="AQ5405" s="28" t="n">
        <f aca="false">AP5405*$M5405</f>
        <v>0</v>
      </c>
      <c r="AR5405" s="28"/>
      <c r="AS5405" s="28" t="n">
        <f aca="false">AR5405*$M5405</f>
        <v>0</v>
      </c>
      <c r="AT5405" s="28"/>
      <c r="AU5405" s="28" t="n">
        <f aca="false">AT5405*$M5405</f>
        <v>0</v>
      </c>
      <c r="AV5405" s="28"/>
      <c r="AW5405" s="28" t="n">
        <f aca="false">AV5405*$M5405</f>
        <v>0</v>
      </c>
      <c r="AX5405" s="28"/>
      <c r="AY5405" s="28" t="n">
        <f aca="false">AX5405*$M5405</f>
        <v>0</v>
      </c>
      <c r="AZ5405" s="30" t="n">
        <v>2831</v>
      </c>
      <c r="BA5405" s="11" t="n">
        <v>2831</v>
      </c>
      <c r="BB5405" s="31" t="n">
        <f aca="false">SUM(Q5405,S5405,U5405,W5405,Y5405,AA5405,AC5405,AE5405,AG5405,AI5405,AK5405,AM5405,AO5405,AQ5405,AS5405,AU5405,AW5405,AY5405)</f>
        <v>2831</v>
      </c>
      <c r="BC5405" s="28" t="n">
        <f aca="false">BA5405-BB5405</f>
        <v>0</v>
      </c>
      <c r="BD5405" s="32" t="n">
        <f aca="false">SUM(P5405,R5405,T5405,V5405,X5405,Z5405,AB5405,AD5405,AF5405,AH5405,AJ5405,AL5405,AN5405,AP5405,AR5405,AT5405,AV5405,AX5405)</f>
        <v>2831</v>
      </c>
      <c r="BE5405" s="33" t="n">
        <f aca="false">AZ5405-BD5405</f>
        <v>0</v>
      </c>
      <c r="BF5405" s="34" t="n">
        <f aca="false">BD5405*M5405</f>
        <v>2831</v>
      </c>
      <c r="BG5405" s="35" t="n">
        <f aca="false">BA5405-BF5405</f>
        <v>0</v>
      </c>
      <c r="BH5405" s="19" t="str">
        <f aca="false">IF(BG5405=0,"",IF(BG5405&lt;&gt;BA5405,"erreur de calcul",IF(BD5405&lt;&gt;0,"pas de prix",IF(M5405&lt;&gt; 0,"pas de quantité","pas de prix, ni de quantité"))))</f>
        <v/>
      </c>
      <c r="BI5405" s="19"/>
    </row>
    <row r="5406" customFormat="false" ht="15" hidden="false" customHeight="false" outlineLevel="0" collapsed="false">
      <c r="A5406" s="0" t="n">
        <v>14</v>
      </c>
      <c r="B5406" s="8" t="s">
        <v>24</v>
      </c>
      <c r="C5406" s="9" t="s">
        <v>25</v>
      </c>
      <c r="D5406" s="9" t="s">
        <v>26</v>
      </c>
      <c r="E5406" s="10" t="n">
        <v>1789</v>
      </c>
      <c r="F5406" s="9" t="s">
        <v>27</v>
      </c>
      <c r="G5406" s="9" t="s">
        <v>27</v>
      </c>
      <c r="H5406" s="11" t="n">
        <v>22</v>
      </c>
      <c r="I5406" s="11" t="s">
        <v>215</v>
      </c>
      <c r="J5406" s="14" t="n">
        <v>36</v>
      </c>
      <c r="K5406" s="14"/>
      <c r="L5406" s="16"/>
      <c r="M5406" s="27" t="n">
        <f aca="false">J5406+(K5406/20)+(L5406/240)</f>
        <v>36</v>
      </c>
      <c r="N5406" s="17" t="s">
        <v>64</v>
      </c>
      <c r="O5406" s="11"/>
      <c r="P5406" s="28"/>
      <c r="Q5406" s="28" t="n">
        <f aca="false">P5406*$M5406</f>
        <v>0</v>
      </c>
      <c r="R5406" s="28"/>
      <c r="S5406" s="28" t="n">
        <f aca="false">R5406*$M5406</f>
        <v>0</v>
      </c>
      <c r="T5406" s="28"/>
      <c r="U5406" s="28" t="n">
        <f aca="false">T5406*$M5406</f>
        <v>0</v>
      </c>
      <c r="V5406" s="28"/>
      <c r="W5406" s="28" t="n">
        <f aca="false">V5406*$M5406</f>
        <v>0</v>
      </c>
      <c r="X5406" s="28"/>
      <c r="Y5406" s="28" t="n">
        <f aca="false">X5406*$M5406</f>
        <v>0</v>
      </c>
      <c r="Z5406" s="28"/>
      <c r="AA5406" s="28" t="n">
        <f aca="false">Z5406*$M5406</f>
        <v>0</v>
      </c>
      <c r="AB5406" s="28"/>
      <c r="AC5406" s="28" t="n">
        <f aca="false">AB5406*$M5406</f>
        <v>0</v>
      </c>
      <c r="AD5406" s="28"/>
      <c r="AE5406" s="28" t="n">
        <f aca="false">AD5406*$M5406</f>
        <v>0</v>
      </c>
      <c r="AF5406" s="28" t="n">
        <f aca="false">92472/100</f>
        <v>924.72</v>
      </c>
      <c r="AG5406" s="28" t="n">
        <v>33290</v>
      </c>
      <c r="AH5406" s="28" t="n">
        <f aca="false">490633/100</f>
        <v>4906.33</v>
      </c>
      <c r="AI5406" s="28" t="n">
        <v>176628</v>
      </c>
      <c r="AJ5406" s="28"/>
      <c r="AK5406" s="28" t="n">
        <f aca="false">AJ5406*$M5406</f>
        <v>0</v>
      </c>
      <c r="AL5406" s="28"/>
      <c r="AM5406" s="28" t="n">
        <f aca="false">AL5406*$M5406</f>
        <v>0</v>
      </c>
      <c r="AN5406" s="28"/>
      <c r="AO5406" s="28" t="n">
        <f aca="false">AN5406*$M5406</f>
        <v>0</v>
      </c>
      <c r="AP5406" s="28"/>
      <c r="AQ5406" s="28" t="n">
        <f aca="false">AP5406*$M5406</f>
        <v>0</v>
      </c>
      <c r="AR5406" s="28"/>
      <c r="AS5406" s="28" t="n">
        <f aca="false">AR5406*$M5406</f>
        <v>0</v>
      </c>
      <c r="AT5406" s="28"/>
      <c r="AU5406" s="28" t="n">
        <f aca="false">AT5406*$M5406</f>
        <v>0</v>
      </c>
      <c r="AV5406" s="28"/>
      <c r="AW5406" s="28" t="n">
        <f aca="false">AV5406*$M5406</f>
        <v>0</v>
      </c>
      <c r="AX5406" s="28"/>
      <c r="AY5406" s="28" t="n">
        <f aca="false">AX5406*$M5406</f>
        <v>0</v>
      </c>
      <c r="AZ5406" s="30" t="n">
        <f aca="false">583105/100</f>
        <v>5831.05</v>
      </c>
      <c r="BA5406" s="11" t="n">
        <v>209918</v>
      </c>
      <c r="BB5406" s="31" t="n">
        <f aca="false">SUM(Q5406,S5406,U5406,W5406,Y5406,AA5406,AC5406,AE5406,AG5406,AI5406,AK5406,AM5406,AO5406,AQ5406,AS5406,AU5406,AW5406,AY5406)</f>
        <v>209918</v>
      </c>
      <c r="BC5406" s="28" t="n">
        <f aca="false">BA5406-BB5406</f>
        <v>0</v>
      </c>
      <c r="BD5406" s="32" t="n">
        <f aca="false">SUM(P5406,R5406,T5406,V5406,X5406,Z5406,AB5406,AD5406,AF5406,AH5406,AJ5406,AL5406,AN5406,AP5406,AR5406,AT5406,AV5406,AX5406)</f>
        <v>5831.05</v>
      </c>
      <c r="BE5406" s="33" t="n">
        <f aca="false">AZ5406-BD5406</f>
        <v>0</v>
      </c>
      <c r="BF5406" s="34" t="n">
        <f aca="false">BD5406*M5406</f>
        <v>209917.8</v>
      </c>
      <c r="BG5406" s="35" t="n">
        <f aca="false">BA5406-BF5406</f>
        <v>0.199999999982538</v>
      </c>
      <c r="BH5406" s="19" t="str">
        <f aca="false">IF(BG5406=0,"",IF(BG5406&lt;&gt;BA5406,"erreur de calcul",IF(BD5406&lt;&gt;0,"pas de prix",IF(M5406&lt;&gt; 0,"pas de quantité","pas de prix, ni de quantité"))))</f>
        <v>erreur de calcul</v>
      </c>
      <c r="BI5406" s="19"/>
    </row>
    <row r="5407" customFormat="false" ht="15" hidden="false" customHeight="false" outlineLevel="0" collapsed="false">
      <c r="A5407" s="0" t="n">
        <v>15</v>
      </c>
      <c r="B5407" s="8" t="s">
        <v>24</v>
      </c>
      <c r="C5407" s="9" t="s">
        <v>25</v>
      </c>
      <c r="D5407" s="9" t="s">
        <v>26</v>
      </c>
      <c r="E5407" s="10" t="n">
        <v>1789</v>
      </c>
      <c r="F5407" s="9" t="s">
        <v>27</v>
      </c>
      <c r="G5407" s="9" t="s">
        <v>27</v>
      </c>
      <c r="H5407" s="11" t="n">
        <v>22</v>
      </c>
      <c r="I5407" s="11" t="s">
        <v>216</v>
      </c>
      <c r="J5407" s="14"/>
      <c r="K5407" s="14" t="n">
        <v>22</v>
      </c>
      <c r="L5407" s="16"/>
      <c r="M5407" s="27" t="n">
        <f aca="false">J5407+(K5407/20)+(L5407/240)</f>
        <v>1.1</v>
      </c>
      <c r="N5407" s="17" t="s">
        <v>66</v>
      </c>
      <c r="O5407" s="11"/>
      <c r="P5407" s="28"/>
      <c r="Q5407" s="28" t="n">
        <f aca="false">P5407*$M5407</f>
        <v>0</v>
      </c>
      <c r="R5407" s="28"/>
      <c r="S5407" s="28" t="n">
        <f aca="false">R5407*$M5407</f>
        <v>0</v>
      </c>
      <c r="T5407" s="28" t="n">
        <v>2875</v>
      </c>
      <c r="U5407" s="28" t="n">
        <v>3162</v>
      </c>
      <c r="V5407" s="28"/>
      <c r="W5407" s="28" t="n">
        <f aca="false">V5407*$M5407</f>
        <v>0</v>
      </c>
      <c r="X5407" s="28"/>
      <c r="Y5407" s="28" t="n">
        <f aca="false">X5407*$M5407</f>
        <v>0</v>
      </c>
      <c r="Z5407" s="28"/>
      <c r="AA5407" s="28" t="n">
        <f aca="false">Z5407*$M5407</f>
        <v>0</v>
      </c>
      <c r="AB5407" s="28"/>
      <c r="AC5407" s="28" t="n">
        <f aca="false">AB5407*$M5407</f>
        <v>0</v>
      </c>
      <c r="AD5407" s="28"/>
      <c r="AE5407" s="28" t="n">
        <f aca="false">AD5407*$M5407</f>
        <v>0</v>
      </c>
      <c r="AF5407" s="28"/>
      <c r="AG5407" s="28" t="n">
        <f aca="false">AF5407*$M5407</f>
        <v>0</v>
      </c>
      <c r="AH5407" s="28"/>
      <c r="AI5407" s="28" t="n">
        <f aca="false">AH5407*$M5407</f>
        <v>0</v>
      </c>
      <c r="AJ5407" s="28"/>
      <c r="AK5407" s="28" t="n">
        <f aca="false">AJ5407*$M5407</f>
        <v>0</v>
      </c>
      <c r="AL5407" s="28"/>
      <c r="AM5407" s="28" t="n">
        <f aca="false">AL5407*$M5407</f>
        <v>0</v>
      </c>
      <c r="AN5407" s="28"/>
      <c r="AO5407" s="28" t="n">
        <f aca="false">AN5407*$M5407</f>
        <v>0</v>
      </c>
      <c r="AP5407" s="28"/>
      <c r="AQ5407" s="28" t="n">
        <f aca="false">AP5407*$M5407</f>
        <v>0</v>
      </c>
      <c r="AR5407" s="28"/>
      <c r="AS5407" s="28" t="n">
        <f aca="false">AR5407*$M5407</f>
        <v>0</v>
      </c>
      <c r="AT5407" s="28"/>
      <c r="AU5407" s="28" t="n">
        <f aca="false">AT5407*$M5407</f>
        <v>0</v>
      </c>
      <c r="AV5407" s="28"/>
      <c r="AW5407" s="28" t="n">
        <f aca="false">AV5407*$M5407</f>
        <v>0</v>
      </c>
      <c r="AX5407" s="28"/>
      <c r="AY5407" s="28" t="n">
        <f aca="false">AX5407*$M5407</f>
        <v>0</v>
      </c>
      <c r="AZ5407" s="30" t="n">
        <v>2875</v>
      </c>
      <c r="BA5407" s="11" t="n">
        <v>3162</v>
      </c>
      <c r="BB5407" s="31" t="n">
        <f aca="false">SUM(Q5407,S5407,U5407,W5407,Y5407,AA5407,AC5407,AE5407,AG5407,AI5407,AK5407,AM5407,AO5407,AQ5407,AS5407,AU5407,AW5407,AY5407)</f>
        <v>3162</v>
      </c>
      <c r="BC5407" s="28" t="n">
        <f aca="false">BA5407-BB5407</f>
        <v>0</v>
      </c>
      <c r="BD5407" s="32" t="n">
        <f aca="false">SUM(P5407,R5407,T5407,V5407,X5407,Z5407,AB5407,AD5407,AF5407,AH5407,AJ5407,AL5407,AN5407,AP5407,AR5407,AT5407,AV5407,AX5407)</f>
        <v>2875</v>
      </c>
      <c r="BE5407" s="33" t="n">
        <f aca="false">AZ5407-BD5407</f>
        <v>0</v>
      </c>
      <c r="BF5407" s="34" t="n">
        <f aca="false">BD5407*M5407</f>
        <v>3162.5</v>
      </c>
      <c r="BG5407" s="35" t="n">
        <f aca="false">BA5407-BF5407</f>
        <v>-0.500000000000455</v>
      </c>
      <c r="BH5407" s="19" t="str">
        <f aca="false">IF(BG5407=0,"",IF(BG5407&lt;&gt;BA5407,"erreur de calcul",IF(BD5407&lt;&gt;0,"pas de prix",IF(M5407&lt;&gt; 0,"pas de quantité","pas de prix, ni de quantité"))))</f>
        <v>erreur de calcul</v>
      </c>
      <c r="BI5407" s="19"/>
    </row>
    <row r="5408" customFormat="false" ht="15" hidden="false" customHeight="false" outlineLevel="0" collapsed="false">
      <c r="A5408" s="0" t="n">
        <v>16</v>
      </c>
      <c r="B5408" s="8" t="s">
        <v>24</v>
      </c>
      <c r="C5408" s="9" t="s">
        <v>25</v>
      </c>
      <c r="D5408" s="9" t="s">
        <v>26</v>
      </c>
      <c r="E5408" s="10" t="n">
        <v>1789</v>
      </c>
      <c r="F5408" s="9" t="s">
        <v>27</v>
      </c>
      <c r="G5408" s="9" t="s">
        <v>27</v>
      </c>
      <c r="H5408" s="11" t="n">
        <v>22</v>
      </c>
      <c r="I5408" s="11" t="s">
        <v>217</v>
      </c>
      <c r="J5408" s="14" t="n">
        <v>90</v>
      </c>
      <c r="K5408" s="14"/>
      <c r="L5408" s="16"/>
      <c r="M5408" s="27" t="n">
        <f aca="false">J5408+(K5408/20)+(L5408/240)</f>
        <v>90</v>
      </c>
      <c r="N5408" s="17" t="s">
        <v>64</v>
      </c>
      <c r="O5408" s="11"/>
      <c r="P5408" s="28"/>
      <c r="Q5408" s="28" t="n">
        <f aca="false">P5408*$M5408</f>
        <v>0</v>
      </c>
      <c r="R5408" s="28"/>
      <c r="S5408" s="28" t="n">
        <f aca="false">R5408*$M5408</f>
        <v>0</v>
      </c>
      <c r="T5408" s="28"/>
      <c r="U5408" s="28" t="n">
        <f aca="false">T5408*$M5408</f>
        <v>0</v>
      </c>
      <c r="V5408" s="28"/>
      <c r="W5408" s="28" t="n">
        <f aca="false">V5408*$M5408</f>
        <v>0</v>
      </c>
      <c r="X5408" s="28" t="n">
        <f aca="false">2440/100</f>
        <v>24.4</v>
      </c>
      <c r="Y5408" s="28" t="n">
        <v>2196</v>
      </c>
      <c r="Z5408" s="28"/>
      <c r="AA5408" s="28" t="n">
        <f aca="false">Z5408*$M5408</f>
        <v>0</v>
      </c>
      <c r="AB5408" s="28"/>
      <c r="AC5408" s="28" t="n">
        <f aca="false">AB5408*$M5408</f>
        <v>0</v>
      </c>
      <c r="AD5408" s="28"/>
      <c r="AE5408" s="28" t="n">
        <f aca="false">AD5408*$M5408</f>
        <v>0</v>
      </c>
      <c r="AF5408" s="28"/>
      <c r="AG5408" s="28" t="n">
        <f aca="false">AF5408*$M5408</f>
        <v>0</v>
      </c>
      <c r="AH5408" s="28" t="n">
        <f aca="false">524577/100</f>
        <v>5245.77</v>
      </c>
      <c r="AI5408" s="28" t="n">
        <v>472116</v>
      </c>
      <c r="AJ5408" s="28"/>
      <c r="AK5408" s="28" t="n">
        <f aca="false">AJ5408*$M5408</f>
        <v>0</v>
      </c>
      <c r="AL5408" s="28"/>
      <c r="AM5408" s="28" t="n">
        <f aca="false">AL5408*$M5408</f>
        <v>0</v>
      </c>
      <c r="AN5408" s="28"/>
      <c r="AO5408" s="28" t="n">
        <f aca="false">AN5408*$M5408</f>
        <v>0</v>
      </c>
      <c r="AP5408" s="28"/>
      <c r="AQ5408" s="28" t="n">
        <f aca="false">AP5408*$M5408</f>
        <v>0</v>
      </c>
      <c r="AR5408" s="28"/>
      <c r="AS5408" s="28" t="n">
        <f aca="false">AR5408*$M5408</f>
        <v>0</v>
      </c>
      <c r="AT5408" s="28"/>
      <c r="AU5408" s="28" t="n">
        <f aca="false">AT5408*$M5408</f>
        <v>0</v>
      </c>
      <c r="AV5408" s="28"/>
      <c r="AW5408" s="28" t="n">
        <f aca="false">AV5408*$M5408</f>
        <v>0</v>
      </c>
      <c r="AX5408" s="28"/>
      <c r="AY5408" s="28" t="n">
        <f aca="false">AX5408*$M5408</f>
        <v>0</v>
      </c>
      <c r="AZ5408" s="30" t="n">
        <f aca="false">526980/100</f>
        <v>5269.8</v>
      </c>
      <c r="BA5408" s="11" t="n">
        <v>474312</v>
      </c>
      <c r="BB5408" s="31" t="n">
        <f aca="false">SUM(Q5408,S5408,U5408,W5408,Y5408,AA5408,AC5408,AE5408,AG5408,AI5408,AK5408,AM5408,AO5408,AQ5408,AS5408,AU5408,AW5408,AY5408)</f>
        <v>474312</v>
      </c>
      <c r="BC5408" s="28" t="n">
        <f aca="false">BA5408-BB5408</f>
        <v>0</v>
      </c>
      <c r="BD5408" s="32" t="n">
        <f aca="false">SUM(P5408,R5408,T5408,V5408,X5408,Z5408,AB5408,AD5408,AF5408,AH5408,AJ5408,AL5408,AN5408,AP5408,AR5408,AT5408,AV5408,AX5408)</f>
        <v>5270.17</v>
      </c>
      <c r="BE5408" s="33" t="n">
        <f aca="false">AZ5408-BD5408</f>
        <v>-0.369999999999891</v>
      </c>
      <c r="BF5408" s="34" t="n">
        <f aca="false">BD5408*M5408</f>
        <v>474315.3</v>
      </c>
      <c r="BG5408" s="35" t="n">
        <f aca="false">BA5408-BF5408</f>
        <v>-3.29999999998836</v>
      </c>
      <c r="BH5408" s="19" t="str">
        <f aca="false">IF(BG5408=0,"",IF(BG5408&lt;&gt;BA5408,"erreur de calcul",IF(BD5408&lt;&gt;0,"pas de prix",IF(M5408&lt;&gt; 0,"pas de quantité","pas de prix, ni de quantité"))))</f>
        <v>erreur de calcul</v>
      </c>
      <c r="BI5408" s="19"/>
    </row>
    <row r="5409" customFormat="false" ht="15" hidden="false" customHeight="false" outlineLevel="0" collapsed="false">
      <c r="A5409" s="0" t="n">
        <v>17</v>
      </c>
      <c r="B5409" s="8" t="s">
        <v>24</v>
      </c>
      <c r="C5409" s="9" t="s">
        <v>25</v>
      </c>
      <c r="D5409" s="9" t="s">
        <v>26</v>
      </c>
      <c r="E5409" s="10" t="n">
        <v>1789</v>
      </c>
      <c r="F5409" s="9" t="s">
        <v>27</v>
      </c>
      <c r="G5409" s="9" t="s">
        <v>27</v>
      </c>
      <c r="H5409" s="11" t="n">
        <v>22</v>
      </c>
      <c r="I5409" s="11" t="s">
        <v>218</v>
      </c>
      <c r="J5409" s="14" t="n">
        <v>15</v>
      </c>
      <c r="K5409" s="14"/>
      <c r="L5409" s="16"/>
      <c r="M5409" s="27" t="n">
        <f aca="false">J5409+(K5409/20)+(L5409/240)</f>
        <v>15</v>
      </c>
      <c r="N5409" s="17" t="s">
        <v>64</v>
      </c>
      <c r="O5409" s="11"/>
      <c r="P5409" s="28" t="n">
        <f aca="false">12250/100</f>
        <v>122.5</v>
      </c>
      <c r="Q5409" s="28" t="n">
        <v>1837</v>
      </c>
      <c r="R5409" s="28"/>
      <c r="S5409" s="28" t="n">
        <f aca="false">R5409*$M5409</f>
        <v>0</v>
      </c>
      <c r="T5409" s="28"/>
      <c r="U5409" s="28" t="n">
        <f aca="false">T5409*$M5409</f>
        <v>0</v>
      </c>
      <c r="V5409" s="28" t="n">
        <f aca="false">118493/100</f>
        <v>1184.93</v>
      </c>
      <c r="W5409" s="28" t="n">
        <v>17774</v>
      </c>
      <c r="X5409" s="28" t="n">
        <f aca="false">16835/100</f>
        <v>168.35</v>
      </c>
      <c r="Y5409" s="28" t="n">
        <v>2525</v>
      </c>
      <c r="Z5409" s="28"/>
      <c r="AA5409" s="28" t="n">
        <f aca="false">Z5409*$M5409</f>
        <v>0</v>
      </c>
      <c r="AB5409" s="28" t="n">
        <f aca="false">268622/100</f>
        <v>2686.22</v>
      </c>
      <c r="AC5409" s="28" t="n">
        <v>40293</v>
      </c>
      <c r="AD5409" s="28"/>
      <c r="AE5409" s="28" t="n">
        <f aca="false">AD5409*$M5409</f>
        <v>0</v>
      </c>
      <c r="AF5409" s="28"/>
      <c r="AG5409" s="28" t="n">
        <f aca="false">AF5409*$M5409</f>
        <v>0</v>
      </c>
      <c r="AH5409" s="28" t="n">
        <f aca="false">70164/100</f>
        <v>701.64</v>
      </c>
      <c r="AI5409" s="28" t="n">
        <v>10524</v>
      </c>
      <c r="AJ5409" s="28"/>
      <c r="AK5409" s="28" t="n">
        <f aca="false">AJ5409*$M5409</f>
        <v>0</v>
      </c>
      <c r="AL5409" s="28"/>
      <c r="AM5409" s="28" t="n">
        <f aca="false">AL5409*$M5409</f>
        <v>0</v>
      </c>
      <c r="AN5409" s="28"/>
      <c r="AO5409" s="28" t="n">
        <f aca="false">AN5409*$M5409</f>
        <v>0</v>
      </c>
      <c r="AP5409" s="28"/>
      <c r="AQ5409" s="28" t="n">
        <f aca="false">AP5409*$M5409</f>
        <v>0</v>
      </c>
      <c r="AR5409" s="28"/>
      <c r="AS5409" s="28" t="n">
        <f aca="false">AR5409*$M5409</f>
        <v>0</v>
      </c>
      <c r="AT5409" s="28"/>
      <c r="AU5409" s="28" t="n">
        <f aca="false">AT5409*$M5409</f>
        <v>0</v>
      </c>
      <c r="AV5409" s="28"/>
      <c r="AW5409" s="28" t="n">
        <f aca="false">AV5409*$M5409</f>
        <v>0</v>
      </c>
      <c r="AX5409" s="28"/>
      <c r="AY5409" s="28" t="n">
        <f aca="false">AX5409*$M5409</f>
        <v>0</v>
      </c>
      <c r="AZ5409" s="30" t="n">
        <f aca="false">486364/100</f>
        <v>4863.64</v>
      </c>
      <c r="BA5409" s="11" t="n">
        <v>72953</v>
      </c>
      <c r="BB5409" s="31" t="n">
        <f aca="false">SUM(Q5409,S5409,U5409,W5409,Y5409,AA5409,AC5409,AE5409,AG5409,AI5409,AK5409,AM5409,AO5409,AQ5409,AS5409,AU5409,AW5409,AY5409)</f>
        <v>72953</v>
      </c>
      <c r="BC5409" s="28" t="n">
        <f aca="false">BA5409-BB5409</f>
        <v>0</v>
      </c>
      <c r="BD5409" s="32" t="n">
        <f aca="false">SUM(P5409,R5409,T5409,V5409,X5409,Z5409,AB5409,AD5409,AF5409,AH5409,AJ5409,AL5409,AN5409,AP5409,AR5409,AT5409,AV5409,AX5409)</f>
        <v>4863.64</v>
      </c>
      <c r="BE5409" s="33" t="n">
        <f aca="false">AZ5409-BD5409</f>
        <v>0</v>
      </c>
      <c r="BF5409" s="34" t="n">
        <f aca="false">BD5409*M5409</f>
        <v>72954.6</v>
      </c>
      <c r="BG5409" s="35" t="n">
        <f aca="false">BA5409-BF5409</f>
        <v>-1.59999999999127</v>
      </c>
      <c r="BH5409" s="19" t="str">
        <f aca="false">IF(BG5409=0,"",IF(BG5409&lt;&gt;BA5409,"erreur de calcul",IF(BD5409&lt;&gt;0,"pas de prix",IF(M5409&lt;&gt; 0,"pas de quantité","pas de prix, ni de quantité"))))</f>
        <v>erreur de calcul</v>
      </c>
      <c r="BI5409" s="19"/>
    </row>
    <row r="5410" customFormat="false" ht="15" hidden="false" customHeight="false" outlineLevel="0" collapsed="false">
      <c r="A5410" s="0" t="n">
        <v>18</v>
      </c>
      <c r="B5410" s="8" t="s">
        <v>24</v>
      </c>
      <c r="C5410" s="9" t="s">
        <v>25</v>
      </c>
      <c r="D5410" s="9" t="s">
        <v>26</v>
      </c>
      <c r="E5410" s="10" t="n">
        <v>1789</v>
      </c>
      <c r="F5410" s="9" t="s">
        <v>27</v>
      </c>
      <c r="G5410" s="9" t="s">
        <v>27</v>
      </c>
      <c r="H5410" s="11" t="n">
        <v>22</v>
      </c>
      <c r="I5410" s="11" t="s">
        <v>219</v>
      </c>
      <c r="J5410" s="14" t="n">
        <v>12</v>
      </c>
      <c r="K5410" s="14"/>
      <c r="L5410" s="16"/>
      <c r="M5410" s="27" t="n">
        <f aca="false">J5410+(K5410/20)+(L5410/240)</f>
        <v>12</v>
      </c>
      <c r="N5410" s="17" t="s">
        <v>64</v>
      </c>
      <c r="O5410" s="11"/>
      <c r="P5410" s="28"/>
      <c r="Q5410" s="28" t="n">
        <f aca="false">P5410*$M5410</f>
        <v>0</v>
      </c>
      <c r="R5410" s="28"/>
      <c r="S5410" s="28" t="n">
        <f aca="false">R5410*$M5410</f>
        <v>0</v>
      </c>
      <c r="T5410" s="28"/>
      <c r="U5410" s="28" t="n">
        <f aca="false">T5410*$M5410</f>
        <v>0</v>
      </c>
      <c r="V5410" s="28" t="n">
        <f aca="false">26072/100</f>
        <v>260.72</v>
      </c>
      <c r="W5410" s="28" t="n">
        <v>3129</v>
      </c>
      <c r="X5410" s="28" t="n">
        <f aca="false">16340/100</f>
        <v>163.4</v>
      </c>
      <c r="Y5410" s="28" t="n">
        <v>1961</v>
      </c>
      <c r="Z5410" s="28"/>
      <c r="AA5410" s="28" t="n">
        <f aca="false">Z5410*$M5410</f>
        <v>0</v>
      </c>
      <c r="AB5410" s="28" t="n">
        <f aca="false">76351/100</f>
        <v>763.51</v>
      </c>
      <c r="AC5410" s="28" t="n">
        <v>9162</v>
      </c>
      <c r="AD5410" s="28"/>
      <c r="AE5410" s="28" t="n">
        <f aca="false">AD5410*$M5410</f>
        <v>0</v>
      </c>
      <c r="AF5410" s="28"/>
      <c r="AG5410" s="28" t="n">
        <f aca="false">AF5410*$M5410</f>
        <v>0</v>
      </c>
      <c r="AH5410" s="28"/>
      <c r="AI5410" s="28" t="n">
        <f aca="false">AH5410*$M5410</f>
        <v>0</v>
      </c>
      <c r="AJ5410" s="28"/>
      <c r="AK5410" s="28" t="n">
        <f aca="false">AJ5410*$M5410</f>
        <v>0</v>
      </c>
      <c r="AL5410" s="28"/>
      <c r="AM5410" s="28" t="n">
        <f aca="false">AL5410*$M5410</f>
        <v>0</v>
      </c>
      <c r="AN5410" s="28"/>
      <c r="AO5410" s="28" t="n">
        <f aca="false">AN5410*$M5410</f>
        <v>0</v>
      </c>
      <c r="AP5410" s="28"/>
      <c r="AQ5410" s="28" t="n">
        <f aca="false">AP5410*$M5410</f>
        <v>0</v>
      </c>
      <c r="AR5410" s="28"/>
      <c r="AS5410" s="28" t="n">
        <f aca="false">AR5410*$M5410</f>
        <v>0</v>
      </c>
      <c r="AT5410" s="28"/>
      <c r="AU5410" s="28" t="n">
        <f aca="false">AT5410*$M5410</f>
        <v>0</v>
      </c>
      <c r="AV5410" s="28"/>
      <c r="AW5410" s="28" t="n">
        <f aca="false">AV5410*$M5410</f>
        <v>0</v>
      </c>
      <c r="AX5410" s="28"/>
      <c r="AY5410" s="28" t="n">
        <f aca="false">AX5410*$M5410</f>
        <v>0</v>
      </c>
      <c r="AZ5410" s="30" t="n">
        <f aca="false">118763/100</f>
        <v>1187.63</v>
      </c>
      <c r="BA5410" s="11" t="n">
        <v>14252</v>
      </c>
      <c r="BB5410" s="31" t="n">
        <f aca="false">SUM(Q5410,S5410,U5410,W5410,Y5410,AA5410,AC5410,AE5410,AG5410,AI5410,AK5410,AM5410,AO5410,AQ5410,AS5410,AU5410,AW5410,AY5410)</f>
        <v>14252</v>
      </c>
      <c r="BC5410" s="28" t="n">
        <f aca="false">BA5410-BB5410</f>
        <v>0</v>
      </c>
      <c r="BD5410" s="32" t="n">
        <f aca="false">SUM(P5410,R5410,T5410,V5410,X5410,Z5410,AB5410,AD5410,AF5410,AH5410,AJ5410,AL5410,AN5410,AP5410,AR5410,AT5410,AV5410,AX5410)</f>
        <v>1187.63</v>
      </c>
      <c r="BE5410" s="33" t="n">
        <f aca="false">AZ5410-BD5410</f>
        <v>0</v>
      </c>
      <c r="BF5410" s="34" t="n">
        <f aca="false">BD5410*M5410</f>
        <v>14251.56</v>
      </c>
      <c r="BG5410" s="35" t="n">
        <f aca="false">BA5410-BF5410</f>
        <v>0.43999999999869</v>
      </c>
      <c r="BH5410" s="19" t="str">
        <f aca="false">IF(BG5410=0,"",IF(BG5410&lt;&gt;BA5410,"erreur de calcul",IF(BD5410&lt;&gt;0,"pas de prix",IF(M5410&lt;&gt; 0,"pas de quantité","pas de prix, ni de quantité"))))</f>
        <v>erreur de calcul</v>
      </c>
      <c r="BI5410" s="19"/>
    </row>
    <row r="5411" customFormat="false" ht="15" hidden="false" customHeight="false" outlineLevel="0" collapsed="false">
      <c r="A5411" s="0" t="n">
        <v>19</v>
      </c>
      <c r="B5411" s="8" t="s">
        <v>24</v>
      </c>
      <c r="C5411" s="9" t="s">
        <v>25</v>
      </c>
      <c r="D5411" s="9" t="s">
        <v>26</v>
      </c>
      <c r="E5411" s="10" t="n">
        <v>1789</v>
      </c>
      <c r="F5411" s="9" t="s">
        <v>27</v>
      </c>
      <c r="G5411" s="9" t="s">
        <v>27</v>
      </c>
      <c r="H5411" s="11" t="n">
        <v>22</v>
      </c>
      <c r="I5411" s="11" t="s">
        <v>220</v>
      </c>
      <c r="J5411" s="14" t="n">
        <v>8</v>
      </c>
      <c r="K5411" s="14"/>
      <c r="L5411" s="16"/>
      <c r="M5411" s="27" t="n">
        <f aca="false">J5411+(K5411/20)+(L5411/240)</f>
        <v>8</v>
      </c>
      <c r="N5411" s="17" t="s">
        <v>66</v>
      </c>
      <c r="O5411" s="11"/>
      <c r="P5411" s="28" t="n">
        <v>3798</v>
      </c>
      <c r="Q5411" s="28" t="n">
        <v>30384</v>
      </c>
      <c r="R5411" s="28"/>
      <c r="S5411" s="28" t="n">
        <f aca="false">R5411*$M5411</f>
        <v>0</v>
      </c>
      <c r="T5411" s="28"/>
      <c r="U5411" s="28" t="n">
        <f aca="false">T5411*$M5411</f>
        <v>0</v>
      </c>
      <c r="V5411" s="28"/>
      <c r="W5411" s="28" t="n">
        <f aca="false">V5411*$M5411</f>
        <v>0</v>
      </c>
      <c r="X5411" s="28"/>
      <c r="Y5411" s="28" t="n">
        <f aca="false">X5411*$M5411</f>
        <v>0</v>
      </c>
      <c r="Z5411" s="28"/>
      <c r="AA5411" s="28" t="n">
        <f aca="false">Z5411*$M5411</f>
        <v>0</v>
      </c>
      <c r="AB5411" s="28"/>
      <c r="AC5411" s="28" t="n">
        <f aca="false">AB5411*$M5411</f>
        <v>0</v>
      </c>
      <c r="AD5411" s="28"/>
      <c r="AE5411" s="28" t="n">
        <f aca="false">AD5411*$M5411</f>
        <v>0</v>
      </c>
      <c r="AF5411" s="28"/>
      <c r="AG5411" s="28" t="n">
        <f aca="false">AF5411*$M5411</f>
        <v>0</v>
      </c>
      <c r="AH5411" s="28" t="n">
        <v>322</v>
      </c>
      <c r="AI5411" s="28" t="n">
        <v>2576</v>
      </c>
      <c r="AJ5411" s="28"/>
      <c r="AK5411" s="28" t="n">
        <f aca="false">AJ5411*$M5411</f>
        <v>0</v>
      </c>
      <c r="AL5411" s="28"/>
      <c r="AM5411" s="28" t="n">
        <f aca="false">AL5411*$M5411</f>
        <v>0</v>
      </c>
      <c r="AN5411" s="28"/>
      <c r="AO5411" s="28" t="n">
        <f aca="false">AN5411*$M5411</f>
        <v>0</v>
      </c>
      <c r="AP5411" s="28"/>
      <c r="AQ5411" s="28" t="n">
        <f aca="false">AP5411*$M5411</f>
        <v>0</v>
      </c>
      <c r="AR5411" s="28"/>
      <c r="AS5411" s="28" t="n">
        <f aca="false">AR5411*$M5411</f>
        <v>0</v>
      </c>
      <c r="AT5411" s="28"/>
      <c r="AU5411" s="28" t="n">
        <f aca="false">AT5411*$M5411</f>
        <v>0</v>
      </c>
      <c r="AV5411" s="28"/>
      <c r="AW5411" s="28" t="n">
        <f aca="false">AV5411*$M5411</f>
        <v>0</v>
      </c>
      <c r="AX5411" s="28"/>
      <c r="AY5411" s="28" t="n">
        <f aca="false">AX5411*$M5411</f>
        <v>0</v>
      </c>
      <c r="AZ5411" s="30" t="n">
        <v>4120</v>
      </c>
      <c r="BA5411" s="11" t="n">
        <v>32960</v>
      </c>
      <c r="BB5411" s="31" t="n">
        <f aca="false">SUM(Q5411,S5411,U5411,W5411,Y5411,AA5411,AC5411,AE5411,AG5411,AI5411,AK5411,AM5411,AO5411,AQ5411,AS5411,AU5411,AW5411,AY5411)</f>
        <v>32960</v>
      </c>
      <c r="BC5411" s="28" t="n">
        <f aca="false">BA5411-BB5411</f>
        <v>0</v>
      </c>
      <c r="BD5411" s="32" t="n">
        <f aca="false">SUM(P5411,R5411,T5411,V5411,X5411,Z5411,AB5411,AD5411,AF5411,AH5411,AJ5411,AL5411,AN5411,AP5411,AR5411,AT5411,AV5411,AX5411)</f>
        <v>4120</v>
      </c>
      <c r="BE5411" s="33" t="n">
        <f aca="false">AZ5411-BD5411</f>
        <v>0</v>
      </c>
      <c r="BF5411" s="34" t="n">
        <f aca="false">BD5411*M5411</f>
        <v>32960</v>
      </c>
      <c r="BG5411" s="35" t="n">
        <f aca="false">BA5411-BF5411</f>
        <v>0</v>
      </c>
      <c r="BH5411" s="19" t="str">
        <f aca="false">IF(BG5411=0,"",IF(BG5411&lt;&gt;BA5411,"erreur de calcul",IF(BD5411&lt;&gt;0,"pas de prix",IF(M5411&lt;&gt; 0,"pas de quantité","pas de prix, ni de quantité"))))</f>
        <v/>
      </c>
      <c r="BI5411" s="19"/>
    </row>
    <row r="5412" customFormat="false" ht="15" hidden="false" customHeight="false" outlineLevel="0" collapsed="false">
      <c r="A5412" s="0" t="n">
        <v>20</v>
      </c>
      <c r="B5412" s="8" t="s">
        <v>24</v>
      </c>
      <c r="C5412" s="9" t="s">
        <v>25</v>
      </c>
      <c r="D5412" s="9" t="s">
        <v>26</v>
      </c>
      <c r="E5412" s="10" t="n">
        <v>1789</v>
      </c>
      <c r="F5412" s="9" t="s">
        <v>27</v>
      </c>
      <c r="G5412" s="9" t="s">
        <v>27</v>
      </c>
      <c r="H5412" s="11" t="n">
        <v>22</v>
      </c>
      <c r="I5412" s="11" t="s">
        <v>221</v>
      </c>
      <c r="J5412" s="14"/>
      <c r="K5412" s="14" t="n">
        <v>20</v>
      </c>
      <c r="L5412" s="16"/>
      <c r="M5412" s="27" t="n">
        <f aca="false">J5412+(K5412/20)+(L5412/240)</f>
        <v>1</v>
      </c>
      <c r="N5412" s="17" t="s">
        <v>66</v>
      </c>
      <c r="O5412" s="11"/>
      <c r="P5412" s="28" t="n">
        <v>1353</v>
      </c>
      <c r="Q5412" s="28" t="n">
        <v>1353</v>
      </c>
      <c r="R5412" s="28"/>
      <c r="S5412" s="28" t="n">
        <f aca="false">R5412*$M5412</f>
        <v>0</v>
      </c>
      <c r="T5412" s="28"/>
      <c r="U5412" s="28" t="n">
        <f aca="false">T5412*$M5412</f>
        <v>0</v>
      </c>
      <c r="V5412" s="28"/>
      <c r="W5412" s="28" t="n">
        <f aca="false">V5412*$M5412</f>
        <v>0</v>
      </c>
      <c r="X5412" s="28"/>
      <c r="Y5412" s="28" t="n">
        <f aca="false">X5412*$M5412</f>
        <v>0</v>
      </c>
      <c r="Z5412" s="28"/>
      <c r="AA5412" s="28" t="n">
        <f aca="false">Z5412*$M5412</f>
        <v>0</v>
      </c>
      <c r="AB5412" s="28"/>
      <c r="AC5412" s="28" t="n">
        <f aca="false">AB5412*$M5412</f>
        <v>0</v>
      </c>
      <c r="AD5412" s="28"/>
      <c r="AE5412" s="28" t="n">
        <f aca="false">AD5412*$M5412</f>
        <v>0</v>
      </c>
      <c r="AF5412" s="28"/>
      <c r="AG5412" s="28" t="n">
        <f aca="false">AF5412*$M5412</f>
        <v>0</v>
      </c>
      <c r="AH5412" s="28"/>
      <c r="AI5412" s="28" t="n">
        <f aca="false">AH5412*$M5412</f>
        <v>0</v>
      </c>
      <c r="AJ5412" s="28"/>
      <c r="AK5412" s="28" t="n">
        <f aca="false">AJ5412*$M5412</f>
        <v>0</v>
      </c>
      <c r="AL5412" s="28"/>
      <c r="AM5412" s="28" t="n">
        <f aca="false">AL5412*$M5412</f>
        <v>0</v>
      </c>
      <c r="AN5412" s="28"/>
      <c r="AO5412" s="28" t="n">
        <f aca="false">AN5412*$M5412</f>
        <v>0</v>
      </c>
      <c r="AP5412" s="28"/>
      <c r="AQ5412" s="28" t="n">
        <f aca="false">AP5412*$M5412</f>
        <v>0</v>
      </c>
      <c r="AR5412" s="28"/>
      <c r="AS5412" s="28" t="n">
        <f aca="false">AR5412*$M5412</f>
        <v>0</v>
      </c>
      <c r="AT5412" s="28"/>
      <c r="AU5412" s="28" t="n">
        <f aca="false">AT5412*$M5412</f>
        <v>0</v>
      </c>
      <c r="AV5412" s="28"/>
      <c r="AW5412" s="28" t="n">
        <f aca="false">AV5412*$M5412</f>
        <v>0</v>
      </c>
      <c r="AX5412" s="28"/>
      <c r="AY5412" s="28" t="n">
        <f aca="false">AX5412*$M5412</f>
        <v>0</v>
      </c>
      <c r="AZ5412" s="30" t="n">
        <v>1353</v>
      </c>
      <c r="BA5412" s="11" t="n">
        <v>1353</v>
      </c>
      <c r="BB5412" s="31" t="n">
        <f aca="false">SUM(Q5412,S5412,U5412,W5412,Y5412,AA5412,AC5412,AE5412,AG5412,AI5412,AK5412,AM5412,AO5412,AQ5412,AS5412,AU5412,AW5412,AY5412)</f>
        <v>1353</v>
      </c>
      <c r="BC5412" s="28" t="n">
        <f aca="false">BA5412-BB5412</f>
        <v>0</v>
      </c>
      <c r="BD5412" s="32" t="n">
        <f aca="false">SUM(P5412,R5412,T5412,V5412,X5412,Z5412,AB5412,AD5412,AF5412,AH5412,AJ5412,AL5412,AN5412,AP5412,AR5412,AT5412,AV5412,AX5412)</f>
        <v>1353</v>
      </c>
      <c r="BE5412" s="33" t="n">
        <f aca="false">AZ5412-BD5412</f>
        <v>0</v>
      </c>
      <c r="BF5412" s="34" t="n">
        <f aca="false">BD5412*M5412</f>
        <v>1353</v>
      </c>
      <c r="BG5412" s="35" t="n">
        <f aca="false">BA5412-BF5412</f>
        <v>0</v>
      </c>
      <c r="BH5412" s="19" t="str">
        <f aca="false">IF(BG5412=0,"",IF(BG5412&lt;&gt;BA5412,"erreur de calcul",IF(BD5412&lt;&gt;0,"pas de prix",IF(M5412&lt;&gt; 0,"pas de quantité","pas de prix, ni de quantité"))))</f>
        <v/>
      </c>
      <c r="BI5412" s="19"/>
    </row>
    <row r="5413" customFormat="false" ht="15" hidden="false" customHeight="false" outlineLevel="0" collapsed="false">
      <c r="A5413" s="0" t="n">
        <v>21</v>
      </c>
      <c r="B5413" s="8" t="s">
        <v>24</v>
      </c>
      <c r="C5413" s="9" t="s">
        <v>25</v>
      </c>
      <c r="D5413" s="9" t="s">
        <v>26</v>
      </c>
      <c r="E5413" s="10" t="n">
        <v>1789</v>
      </c>
      <c r="F5413" s="9" t="s">
        <v>27</v>
      </c>
      <c r="G5413" s="9" t="s">
        <v>27</v>
      </c>
      <c r="H5413" s="11" t="n">
        <v>22</v>
      </c>
      <c r="I5413" s="11" t="s">
        <v>222</v>
      </c>
      <c r="J5413" s="14" t="n">
        <v>85</v>
      </c>
      <c r="K5413" s="14"/>
      <c r="L5413" s="16"/>
      <c r="M5413" s="27" t="n">
        <f aca="false">J5413+(K5413/20)+(L5413/240)</f>
        <v>85</v>
      </c>
      <c r="N5413" s="17" t="s">
        <v>64</v>
      </c>
      <c r="O5413" s="11"/>
      <c r="P5413" s="28"/>
      <c r="Q5413" s="28" t="n">
        <f aca="false">P5413*$M5413</f>
        <v>0</v>
      </c>
      <c r="R5413" s="28"/>
      <c r="S5413" s="28" t="n">
        <f aca="false">R5413*$M5413</f>
        <v>0</v>
      </c>
      <c r="T5413" s="28" t="n">
        <f aca="false">10813/100</f>
        <v>108.13</v>
      </c>
      <c r="U5413" s="28" t="n">
        <v>9191</v>
      </c>
      <c r="V5413" s="28" t="n">
        <f aca="false">43400/100</f>
        <v>434</v>
      </c>
      <c r="W5413" s="28" t="n">
        <v>36890</v>
      </c>
      <c r="X5413" s="28" t="n">
        <f aca="false">702/100</f>
        <v>7.02</v>
      </c>
      <c r="Y5413" s="28" t="n">
        <v>597</v>
      </c>
      <c r="Z5413" s="28"/>
      <c r="AA5413" s="28" t="n">
        <f aca="false">Z5413*$M5413</f>
        <v>0</v>
      </c>
      <c r="AB5413" s="28" t="n">
        <f aca="false">171/100</f>
        <v>1.71</v>
      </c>
      <c r="AC5413" s="28" t="n">
        <v>145</v>
      </c>
      <c r="AD5413" s="28"/>
      <c r="AE5413" s="28" t="n">
        <f aca="false">AD5413*$M5413</f>
        <v>0</v>
      </c>
      <c r="AF5413" s="28"/>
      <c r="AG5413" s="28" t="n">
        <f aca="false">AF5413*$M5413</f>
        <v>0</v>
      </c>
      <c r="AH5413" s="28" t="n">
        <f aca="false">17388/100</f>
        <v>173.88</v>
      </c>
      <c r="AI5413" s="28" t="n">
        <v>14780</v>
      </c>
      <c r="AJ5413" s="28"/>
      <c r="AK5413" s="28" t="n">
        <f aca="false">AJ5413*$M5413</f>
        <v>0</v>
      </c>
      <c r="AL5413" s="28"/>
      <c r="AM5413" s="28" t="n">
        <f aca="false">AL5413*$M5413</f>
        <v>0</v>
      </c>
      <c r="AN5413" s="28"/>
      <c r="AO5413" s="28" t="n">
        <f aca="false">AN5413*$M5413</f>
        <v>0</v>
      </c>
      <c r="AP5413" s="28"/>
      <c r="AQ5413" s="28" t="n">
        <f aca="false">AP5413*$M5413</f>
        <v>0</v>
      </c>
      <c r="AR5413" s="28"/>
      <c r="AS5413" s="28" t="n">
        <f aca="false">AR5413*$M5413</f>
        <v>0</v>
      </c>
      <c r="AT5413" s="28"/>
      <c r="AU5413" s="28" t="n">
        <f aca="false">AT5413*$M5413</f>
        <v>0</v>
      </c>
      <c r="AV5413" s="28"/>
      <c r="AW5413" s="28" t="n">
        <f aca="false">AV5413*$M5413</f>
        <v>0</v>
      </c>
      <c r="AX5413" s="28"/>
      <c r="AY5413" s="28" t="n">
        <f aca="false">AX5413*$M5413</f>
        <v>0</v>
      </c>
      <c r="AZ5413" s="30" t="n">
        <f aca="false">72474/100</f>
        <v>724.74</v>
      </c>
      <c r="BA5413" s="11" t="n">
        <v>61603</v>
      </c>
      <c r="BB5413" s="31" t="n">
        <f aca="false">SUM(Q5413,S5413,U5413,W5413,Y5413,AA5413,AC5413,AE5413,AG5413,AI5413,AK5413,AM5413,AO5413,AQ5413,AS5413,AU5413,AW5413,AY5413)</f>
        <v>61603</v>
      </c>
      <c r="BC5413" s="28" t="n">
        <f aca="false">BA5413-BB5413</f>
        <v>0</v>
      </c>
      <c r="BD5413" s="32" t="n">
        <f aca="false">SUM(P5413,R5413,T5413,V5413,X5413,Z5413,AB5413,AD5413,AF5413,AH5413,AJ5413,AL5413,AN5413,AP5413,AR5413,AT5413,AV5413,AX5413)</f>
        <v>724.74</v>
      </c>
      <c r="BE5413" s="33" t="n">
        <f aca="false">AZ5413-BD5413</f>
        <v>0</v>
      </c>
      <c r="BF5413" s="34" t="n">
        <f aca="false">BD5413*M5413</f>
        <v>61602.9</v>
      </c>
      <c r="BG5413" s="35" t="n">
        <f aca="false">BA5413-BF5413</f>
        <v>0.0999999999985448</v>
      </c>
      <c r="BH5413" s="19" t="str">
        <f aca="false">IF(BG5413=0,"",IF(BG5413&lt;&gt;BA5413,"erreur de calcul",IF(BD5413&lt;&gt;0,"pas de prix",IF(M5413&lt;&gt; 0,"pas de quantité","pas de prix, ni de quantité"))))</f>
        <v>erreur de calcul</v>
      </c>
      <c r="BI5413" s="19"/>
    </row>
    <row r="5414" customFormat="false" ht="15" hidden="false" customHeight="false" outlineLevel="0" collapsed="false">
      <c r="A5414" s="0" t="n">
        <v>22</v>
      </c>
      <c r="B5414" s="8" t="s">
        <v>24</v>
      </c>
      <c r="C5414" s="9" t="s">
        <v>25</v>
      </c>
      <c r="D5414" s="9" t="s">
        <v>26</v>
      </c>
      <c r="E5414" s="10" t="n">
        <v>1789</v>
      </c>
      <c r="F5414" s="9" t="s">
        <v>27</v>
      </c>
      <c r="G5414" s="9" t="s">
        <v>27</v>
      </c>
      <c r="H5414" s="11" t="n">
        <v>22</v>
      </c>
      <c r="I5414" s="11" t="s">
        <v>223</v>
      </c>
      <c r="J5414" s="14" t="n">
        <v>150</v>
      </c>
      <c r="K5414" s="14"/>
      <c r="L5414" s="16"/>
      <c r="M5414" s="27" t="n">
        <f aca="false">J5414+(K5414/20)+(L5414/240)</f>
        <v>150</v>
      </c>
      <c r="N5414" s="17" t="s">
        <v>64</v>
      </c>
      <c r="O5414" s="11"/>
      <c r="P5414" s="28"/>
      <c r="Q5414" s="28" t="n">
        <f aca="false">P5414*$M5414</f>
        <v>0</v>
      </c>
      <c r="R5414" s="28"/>
      <c r="S5414" s="28" t="n">
        <f aca="false">R5414*$M5414</f>
        <v>0</v>
      </c>
      <c r="T5414" s="28"/>
      <c r="U5414" s="28" t="n">
        <f aca="false">T5414*$M5414</f>
        <v>0</v>
      </c>
      <c r="V5414" s="28" t="n">
        <f aca="false">1415/100</f>
        <v>14.15</v>
      </c>
      <c r="W5414" s="28" t="n">
        <v>2122</v>
      </c>
      <c r="X5414" s="28"/>
      <c r="Y5414" s="28" t="n">
        <f aca="false">X5414*$M5414</f>
        <v>0</v>
      </c>
      <c r="Z5414" s="28"/>
      <c r="AA5414" s="28" t="n">
        <f aca="false">Z5414*$M5414</f>
        <v>0</v>
      </c>
      <c r="AB5414" s="28" t="n">
        <f aca="false">1806/100</f>
        <v>18.06</v>
      </c>
      <c r="AC5414" s="28" t="n">
        <v>2709</v>
      </c>
      <c r="AD5414" s="28"/>
      <c r="AE5414" s="28" t="n">
        <f aca="false">AD5414*$M5414</f>
        <v>0</v>
      </c>
      <c r="AF5414" s="28"/>
      <c r="AG5414" s="28" t="n">
        <f aca="false">AF5414*$M5414</f>
        <v>0</v>
      </c>
      <c r="AH5414" s="28"/>
      <c r="AI5414" s="28" t="n">
        <f aca="false">AH5414*$M5414</f>
        <v>0</v>
      </c>
      <c r="AJ5414" s="28"/>
      <c r="AK5414" s="28" t="n">
        <f aca="false">AJ5414*$M5414</f>
        <v>0</v>
      </c>
      <c r="AL5414" s="28"/>
      <c r="AM5414" s="28" t="n">
        <f aca="false">AL5414*$M5414</f>
        <v>0</v>
      </c>
      <c r="AN5414" s="28"/>
      <c r="AO5414" s="28" t="n">
        <f aca="false">AN5414*$M5414</f>
        <v>0</v>
      </c>
      <c r="AP5414" s="28"/>
      <c r="AQ5414" s="28" t="n">
        <f aca="false">AP5414*$M5414</f>
        <v>0</v>
      </c>
      <c r="AR5414" s="28"/>
      <c r="AS5414" s="28" t="n">
        <f aca="false">AR5414*$M5414</f>
        <v>0</v>
      </c>
      <c r="AT5414" s="28"/>
      <c r="AU5414" s="28" t="n">
        <f aca="false">AT5414*$M5414</f>
        <v>0</v>
      </c>
      <c r="AV5414" s="28"/>
      <c r="AW5414" s="28" t="n">
        <f aca="false">AV5414*$M5414</f>
        <v>0</v>
      </c>
      <c r="AX5414" s="28"/>
      <c r="AY5414" s="28" t="n">
        <f aca="false">AX5414*$M5414</f>
        <v>0</v>
      </c>
      <c r="AZ5414" s="30" t="n">
        <f aca="false">3221/100</f>
        <v>32.21</v>
      </c>
      <c r="BA5414" s="11" t="n">
        <v>4831</v>
      </c>
      <c r="BB5414" s="31" t="n">
        <f aca="false">SUM(Q5414,S5414,U5414,W5414,Y5414,AA5414,AC5414,AE5414,AG5414,AI5414,AK5414,AM5414,AO5414,AQ5414,AS5414,AU5414,AW5414,AY5414)</f>
        <v>4831</v>
      </c>
      <c r="BC5414" s="28" t="n">
        <f aca="false">BA5414-BB5414</f>
        <v>0</v>
      </c>
      <c r="BD5414" s="32" t="n">
        <f aca="false">SUM(P5414,R5414,T5414,V5414,X5414,Z5414,AB5414,AD5414,AF5414,AH5414,AJ5414,AL5414,AN5414,AP5414,AR5414,AT5414,AV5414,AX5414)</f>
        <v>32.21</v>
      </c>
      <c r="BE5414" s="33" t="n">
        <f aca="false">AZ5414-BD5414</f>
        <v>0</v>
      </c>
      <c r="BF5414" s="34" t="n">
        <f aca="false">BD5414*M5414</f>
        <v>4831.5</v>
      </c>
      <c r="BG5414" s="35" t="n">
        <f aca="false">BA5414-BF5414</f>
        <v>-0.5</v>
      </c>
      <c r="BH5414" s="19" t="str">
        <f aca="false">IF(BG5414=0,"",IF(BG5414&lt;&gt;BA5414,"erreur de calcul",IF(BD5414&lt;&gt;0,"pas de prix",IF(M5414&lt;&gt; 0,"pas de quantité","pas de prix, ni de quantité"))))</f>
        <v>erreur de calcul</v>
      </c>
      <c r="BI5414" s="19"/>
    </row>
    <row r="5415" customFormat="false" ht="15" hidden="false" customHeight="false" outlineLevel="0" collapsed="false">
      <c r="A5415" s="0" t="n">
        <v>23</v>
      </c>
      <c r="B5415" s="8" t="s">
        <v>24</v>
      </c>
      <c r="C5415" s="9" t="s">
        <v>25</v>
      </c>
      <c r="D5415" s="9" t="s">
        <v>26</v>
      </c>
      <c r="E5415" s="10" t="n">
        <v>1789</v>
      </c>
      <c r="F5415" s="9" t="s">
        <v>27</v>
      </c>
      <c r="G5415" s="9" t="s">
        <v>27</v>
      </c>
      <c r="H5415" s="11" t="n">
        <v>22</v>
      </c>
      <c r="I5415" s="11" t="s">
        <v>224</v>
      </c>
      <c r="J5415" s="14"/>
      <c r="K5415" s="14"/>
      <c r="L5415" s="16"/>
      <c r="M5415" s="27" t="n">
        <f aca="false">J5415+(K5415/20)+(L5415/240)</f>
        <v>0</v>
      </c>
      <c r="N5415" s="17" t="s">
        <v>225</v>
      </c>
      <c r="O5415" s="11"/>
      <c r="P5415" s="28" t="n">
        <f aca="false">2+121/288</f>
        <v>2.42013888888889</v>
      </c>
      <c r="Q5415" s="28" t="n">
        <v>275</v>
      </c>
      <c r="R5415" s="28"/>
      <c r="S5415" s="28" t="n">
        <f aca="false">R5415*$M5415</f>
        <v>0</v>
      </c>
      <c r="T5415" s="28"/>
      <c r="U5415" s="28" t="n">
        <f aca="false">T5415*$M5415</f>
        <v>0</v>
      </c>
      <c r="V5415" s="28"/>
      <c r="W5415" s="28" t="n">
        <f aca="false">V5415*$M5415</f>
        <v>0</v>
      </c>
      <c r="X5415" s="28"/>
      <c r="Y5415" s="28" t="n">
        <f aca="false">X5415*$M5415</f>
        <v>0</v>
      </c>
      <c r="Z5415" s="28"/>
      <c r="AA5415" s="28" t="n">
        <f aca="false">Z5415*$M5415</f>
        <v>0</v>
      </c>
      <c r="AB5415" s="28"/>
      <c r="AC5415" s="28" t="n">
        <f aca="false">AB5415*$M5415</f>
        <v>0</v>
      </c>
      <c r="AD5415" s="28"/>
      <c r="AE5415" s="28" t="n">
        <f aca="false">AD5415*$M5415</f>
        <v>0</v>
      </c>
      <c r="AF5415" s="28"/>
      <c r="AG5415" s="28" t="n">
        <f aca="false">AF5415*$M5415</f>
        <v>0</v>
      </c>
      <c r="AH5415" s="28"/>
      <c r="AI5415" s="28" t="n">
        <f aca="false">AH5415*$M5415</f>
        <v>0</v>
      </c>
      <c r="AJ5415" s="28"/>
      <c r="AK5415" s="28" t="n">
        <f aca="false">AJ5415*$M5415</f>
        <v>0</v>
      </c>
      <c r="AL5415" s="28"/>
      <c r="AM5415" s="28" t="n">
        <f aca="false">AL5415*$M5415</f>
        <v>0</v>
      </c>
      <c r="AN5415" s="28"/>
      <c r="AO5415" s="28" t="n">
        <f aca="false">AN5415*$M5415</f>
        <v>0</v>
      </c>
      <c r="AP5415" s="28"/>
      <c r="AQ5415" s="28" t="n">
        <f aca="false">AP5415*$M5415</f>
        <v>0</v>
      </c>
      <c r="AR5415" s="28"/>
      <c r="AS5415" s="28" t="n">
        <f aca="false">AR5415*$M5415</f>
        <v>0</v>
      </c>
      <c r="AT5415" s="28"/>
      <c r="AU5415" s="28" t="n">
        <f aca="false">AT5415*$M5415</f>
        <v>0</v>
      </c>
      <c r="AV5415" s="28"/>
      <c r="AW5415" s="28" t="n">
        <f aca="false">AV5415*$M5415</f>
        <v>0</v>
      </c>
      <c r="AX5415" s="28"/>
      <c r="AY5415" s="28" t="n">
        <f aca="false">AX5415*$M5415</f>
        <v>0</v>
      </c>
      <c r="AZ5415" s="30" t="n">
        <f aca="false">2+121/288</f>
        <v>2.42013888888889</v>
      </c>
      <c r="BA5415" s="11" t="n">
        <v>275</v>
      </c>
      <c r="BB5415" s="31" t="n">
        <f aca="false">SUM(Q5415,S5415,U5415,W5415,Y5415,AA5415,AC5415,AE5415,AG5415,AI5415,AK5415,AM5415,AO5415,AQ5415,AS5415,AU5415,AW5415,AY5415)</f>
        <v>275</v>
      </c>
      <c r="BC5415" s="28" t="n">
        <f aca="false">BA5415-BB5415</f>
        <v>0</v>
      </c>
      <c r="BD5415" s="32" t="n">
        <f aca="false">SUM(P5415,R5415,T5415,V5415,X5415,Z5415,AB5415,AD5415,AF5415,AH5415,AJ5415,AL5415,AN5415,AP5415,AR5415,AT5415,AV5415,AX5415)</f>
        <v>2.42013888888889</v>
      </c>
      <c r="BE5415" s="33" t="n">
        <f aca="false">AZ5415-BD5415</f>
        <v>0</v>
      </c>
      <c r="BF5415" s="34" t="n">
        <f aca="false">BD5415*M5415</f>
        <v>0</v>
      </c>
      <c r="BG5415" s="35" t="n">
        <f aca="false">BA5415-BF5415</f>
        <v>275</v>
      </c>
      <c r="BH5415" s="19" t="str">
        <f aca="false">IF(BG5415=0,"",IF(BG5415&lt;&gt;BA5415,"erreur de calcul",IF(BD5415&lt;&gt;0,"pas de prix",IF(M5415&lt;&gt; 0,"pas de quantité","pas de prix, ni de quantité"))))</f>
        <v>pas de prix</v>
      </c>
      <c r="BI5415" s="19" t="s">
        <v>226</v>
      </c>
    </row>
    <row r="5416" customFormat="false" ht="15" hidden="false" customHeight="false" outlineLevel="0" collapsed="false">
      <c r="A5416" s="0" t="n">
        <v>24</v>
      </c>
      <c r="B5416" s="8" t="s">
        <v>24</v>
      </c>
      <c r="C5416" s="9" t="s">
        <v>25</v>
      </c>
      <c r="D5416" s="9" t="s">
        <v>26</v>
      </c>
      <c r="E5416" s="10" t="n">
        <v>1789</v>
      </c>
      <c r="F5416" s="9" t="s">
        <v>27</v>
      </c>
      <c r="G5416" s="9" t="s">
        <v>27</v>
      </c>
      <c r="H5416" s="11" t="n">
        <v>22</v>
      </c>
      <c r="I5416" s="11" t="s">
        <v>227</v>
      </c>
      <c r="J5416" s="14" t="n">
        <v>8</v>
      </c>
      <c r="K5416" s="14"/>
      <c r="L5416" s="16"/>
      <c r="M5416" s="27" t="n">
        <f aca="false">J5416+(K5416/20)+(L5416/240)</f>
        <v>8</v>
      </c>
      <c r="N5416" s="17" t="s">
        <v>64</v>
      </c>
      <c r="O5416" s="11" t="s">
        <v>77</v>
      </c>
      <c r="P5416" s="28" t="n">
        <f aca="false">267216/100</f>
        <v>2672.16</v>
      </c>
      <c r="Q5416" s="28" t="n">
        <v>21377</v>
      </c>
      <c r="R5416" s="28"/>
      <c r="S5416" s="28" t="n">
        <f aca="false">R5416*$M5416</f>
        <v>0</v>
      </c>
      <c r="T5416" s="28"/>
      <c r="U5416" s="28" t="n">
        <f aca="false">T5416*$M5416</f>
        <v>0</v>
      </c>
      <c r="V5416" s="28"/>
      <c r="W5416" s="28" t="n">
        <f aca="false">V5416*$M5416</f>
        <v>0</v>
      </c>
      <c r="X5416" s="28"/>
      <c r="Y5416" s="28" t="n">
        <f aca="false">X5416*$M5416</f>
        <v>0</v>
      </c>
      <c r="Z5416" s="28"/>
      <c r="AA5416" s="28" t="n">
        <f aca="false">Z5416*$M5416</f>
        <v>0</v>
      </c>
      <c r="AB5416" s="28" t="n">
        <f aca="false">3334/100</f>
        <v>33.34</v>
      </c>
      <c r="AC5416" s="28" t="n">
        <v>267</v>
      </c>
      <c r="AD5416" s="28"/>
      <c r="AE5416" s="28" t="n">
        <f aca="false">AD5416*$M5416</f>
        <v>0</v>
      </c>
      <c r="AF5416" s="28"/>
      <c r="AG5416" s="28" t="n">
        <f aca="false">AF5416*$M5416</f>
        <v>0</v>
      </c>
      <c r="AH5416" s="28"/>
      <c r="AI5416" s="28" t="n">
        <f aca="false">AH5416*$M5416</f>
        <v>0</v>
      </c>
      <c r="AJ5416" s="28"/>
      <c r="AK5416" s="28" t="n">
        <f aca="false">AJ5416*$M5416</f>
        <v>0</v>
      </c>
      <c r="AL5416" s="28"/>
      <c r="AM5416" s="28" t="n">
        <f aca="false">AL5416*$M5416</f>
        <v>0</v>
      </c>
      <c r="AN5416" s="28"/>
      <c r="AO5416" s="28" t="n">
        <f aca="false">AN5416*$M5416</f>
        <v>0</v>
      </c>
      <c r="AP5416" s="28"/>
      <c r="AQ5416" s="28" t="n">
        <f aca="false">AP5416*$M5416</f>
        <v>0</v>
      </c>
      <c r="AR5416" s="28"/>
      <c r="AS5416" s="28" t="n">
        <f aca="false">AR5416*$M5416</f>
        <v>0</v>
      </c>
      <c r="AT5416" s="28"/>
      <c r="AU5416" s="28" t="n">
        <f aca="false">AT5416*$M5416</f>
        <v>0</v>
      </c>
      <c r="AV5416" s="28"/>
      <c r="AW5416" s="28" t="n">
        <f aca="false">AV5416*$M5416</f>
        <v>0</v>
      </c>
      <c r="AX5416" s="28"/>
      <c r="AY5416" s="28" t="n">
        <f aca="false">AX5416*$M5416</f>
        <v>0</v>
      </c>
      <c r="AZ5416" s="30" t="n">
        <f aca="false">270550/100</f>
        <v>2705.5</v>
      </c>
      <c r="BA5416" s="11" t="n">
        <v>21644</v>
      </c>
      <c r="BB5416" s="31" t="n">
        <f aca="false">SUM(Q5416,S5416,U5416,W5416,Y5416,AA5416,AC5416,AE5416,AG5416,AI5416,AK5416,AM5416,AO5416,AQ5416,AS5416,AU5416,AW5416,AY5416)</f>
        <v>21644</v>
      </c>
      <c r="BC5416" s="28" t="n">
        <f aca="false">BA5416-BB5416</f>
        <v>0</v>
      </c>
      <c r="BD5416" s="32" t="n">
        <f aca="false">SUM(P5416,R5416,T5416,V5416,X5416,Z5416,AB5416,AD5416,AF5416,AH5416,AJ5416,AL5416,AN5416,AP5416,AR5416,AT5416,AV5416,AX5416)</f>
        <v>2705.5</v>
      </c>
      <c r="BE5416" s="33" t="n">
        <f aca="false">AZ5416-BD5416</f>
        <v>0</v>
      </c>
      <c r="BF5416" s="34" t="n">
        <f aca="false">BD5416*M5416</f>
        <v>21644</v>
      </c>
      <c r="BG5416" s="35" t="n">
        <f aca="false">BA5416-BF5416</f>
        <v>0</v>
      </c>
      <c r="BH5416" s="19" t="str">
        <f aca="false">IF(BG5416=0,"",IF(BG5416&lt;&gt;BA5416,"erreur de calcul",IF(BD5416&lt;&gt;0,"pas de prix",IF(M5416&lt;&gt; 0,"pas de quantité","pas de prix, ni de quantité"))))</f>
        <v/>
      </c>
      <c r="BI5416" s="19"/>
    </row>
    <row r="5417" customFormat="false" ht="15" hidden="false" customHeight="false" outlineLevel="0" collapsed="false">
      <c r="A5417" s="0" t="n">
        <v>25</v>
      </c>
      <c r="B5417" s="8" t="s">
        <v>24</v>
      </c>
      <c r="C5417" s="9" t="s">
        <v>25</v>
      </c>
      <c r="D5417" s="9" t="s">
        <v>26</v>
      </c>
      <c r="E5417" s="10" t="n">
        <v>1789</v>
      </c>
      <c r="F5417" s="9" t="s">
        <v>27</v>
      </c>
      <c r="G5417" s="9" t="s">
        <v>27</v>
      </c>
      <c r="H5417" s="11" t="n">
        <v>22</v>
      </c>
      <c r="I5417" s="11" t="s">
        <v>228</v>
      </c>
      <c r="J5417" s="14" t="n">
        <v>11</v>
      </c>
      <c r="K5417" s="14"/>
      <c r="L5417" s="16"/>
      <c r="M5417" s="27" t="n">
        <f aca="false">J5417+(K5417/20)+(L5417/240)</f>
        <v>11</v>
      </c>
      <c r="N5417" s="17" t="s">
        <v>66</v>
      </c>
      <c r="O5417" s="11"/>
      <c r="P5417" s="28"/>
      <c r="Q5417" s="28" t="n">
        <f aca="false">P5417*$M5417</f>
        <v>0</v>
      </c>
      <c r="R5417" s="28" t="n">
        <v>2017</v>
      </c>
      <c r="S5417" s="28" t="n">
        <v>22187</v>
      </c>
      <c r="T5417" s="28"/>
      <c r="U5417" s="28" t="n">
        <f aca="false">T5417*$M5417</f>
        <v>0</v>
      </c>
      <c r="V5417" s="28"/>
      <c r="W5417" s="28" t="n">
        <f aca="false">V5417*$M5417</f>
        <v>0</v>
      </c>
      <c r="X5417" s="28" t="n">
        <v>3804</v>
      </c>
      <c r="Y5417" s="28" t="n">
        <v>41844</v>
      </c>
      <c r="Z5417" s="28"/>
      <c r="AA5417" s="28" t="n">
        <f aca="false">Z5417*$M5417</f>
        <v>0</v>
      </c>
      <c r="AB5417" s="28"/>
      <c r="AC5417" s="28" t="n">
        <f aca="false">AB5417*$M5417</f>
        <v>0</v>
      </c>
      <c r="AD5417" s="28"/>
      <c r="AE5417" s="28" t="n">
        <f aca="false">AD5417*$M5417</f>
        <v>0</v>
      </c>
      <c r="AF5417" s="28"/>
      <c r="AG5417" s="28" t="n">
        <f aca="false">AF5417*$M5417</f>
        <v>0</v>
      </c>
      <c r="AH5417" s="28" t="n">
        <v>117</v>
      </c>
      <c r="AI5417" s="28" t="n">
        <v>1287</v>
      </c>
      <c r="AJ5417" s="28" t="n">
        <v>8694</v>
      </c>
      <c r="AK5417" s="28" t="n">
        <v>95634</v>
      </c>
      <c r="AL5417" s="28"/>
      <c r="AM5417" s="28" t="n">
        <f aca="false">AL5417*$M5417</f>
        <v>0</v>
      </c>
      <c r="AN5417" s="28" t="n">
        <v>5697</v>
      </c>
      <c r="AO5417" s="28" t="n">
        <v>62667</v>
      </c>
      <c r="AP5417" s="28"/>
      <c r="AQ5417" s="28" t="n">
        <f aca="false">AP5417*$M5417</f>
        <v>0</v>
      </c>
      <c r="AR5417" s="28"/>
      <c r="AS5417" s="28" t="n">
        <f aca="false">AR5417*$M5417</f>
        <v>0</v>
      </c>
      <c r="AT5417" s="28"/>
      <c r="AU5417" s="28" t="n">
        <f aca="false">AT5417*$M5417</f>
        <v>0</v>
      </c>
      <c r="AV5417" s="28"/>
      <c r="AW5417" s="28" t="n">
        <f aca="false">AV5417*$M5417</f>
        <v>0</v>
      </c>
      <c r="AX5417" s="28"/>
      <c r="AY5417" s="28" t="n">
        <f aca="false">AX5417*$M5417</f>
        <v>0</v>
      </c>
      <c r="AZ5417" s="30" t="n">
        <v>20329</v>
      </c>
      <c r="BA5417" s="11" t="n">
        <v>223619</v>
      </c>
      <c r="BB5417" s="31" t="n">
        <f aca="false">SUM(Q5417,S5417,U5417,W5417,Y5417,AA5417,AC5417,AE5417,AG5417,AI5417,AK5417,AM5417,AO5417,AQ5417,AS5417,AU5417,AW5417,AY5417)</f>
        <v>223619</v>
      </c>
      <c r="BC5417" s="28" t="n">
        <f aca="false">BA5417-BB5417</f>
        <v>0</v>
      </c>
      <c r="BD5417" s="32" t="n">
        <f aca="false">SUM(P5417,R5417,T5417,V5417,X5417,Z5417,AB5417,AD5417,AF5417,AH5417,AJ5417,AL5417,AN5417,AP5417,AR5417,AT5417,AV5417,AX5417)</f>
        <v>20329</v>
      </c>
      <c r="BE5417" s="33" t="n">
        <f aca="false">AZ5417-BD5417</f>
        <v>0</v>
      </c>
      <c r="BF5417" s="34" t="n">
        <f aca="false">BD5417*M5417</f>
        <v>223619</v>
      </c>
      <c r="BG5417" s="35" t="n">
        <f aca="false">BA5417-BF5417</f>
        <v>0</v>
      </c>
      <c r="BH5417" s="19" t="str">
        <f aca="false">IF(BG5417=0,"",IF(BG5417&lt;&gt;BA5417,"erreur de calcul",IF(BD5417&lt;&gt;0,"pas de prix",IF(M5417&lt;&gt; 0,"pas de quantité","pas de prix, ni de quantité"))))</f>
        <v/>
      </c>
      <c r="BI5417" s="19"/>
    </row>
    <row r="5418" customFormat="false" ht="15" hidden="false" customHeight="false" outlineLevel="0" collapsed="false">
      <c r="A5418" s="0" t="n">
        <v>26</v>
      </c>
      <c r="B5418" s="8" t="s">
        <v>24</v>
      </c>
      <c r="C5418" s="9" t="s">
        <v>25</v>
      </c>
      <c r="D5418" s="9" t="s">
        <v>26</v>
      </c>
      <c r="E5418" s="10" t="n">
        <v>1789</v>
      </c>
      <c r="F5418" s="9" t="s">
        <v>27</v>
      </c>
      <c r="G5418" s="9" t="s">
        <v>27</v>
      </c>
      <c r="H5418" s="11" t="n">
        <v>22</v>
      </c>
      <c r="I5418" s="11" t="s">
        <v>229</v>
      </c>
      <c r="J5418" s="14" t="n">
        <v>5</v>
      </c>
      <c r="K5418" s="14"/>
      <c r="L5418" s="16"/>
      <c r="M5418" s="27" t="n">
        <f aca="false">J5418+(K5418/20)+(L5418/240)</f>
        <v>5</v>
      </c>
      <c r="N5418" s="17" t="s">
        <v>66</v>
      </c>
      <c r="O5418" s="11"/>
      <c r="P5418" s="28"/>
      <c r="Q5418" s="28" t="n">
        <f aca="false">P5418*$M5418</f>
        <v>0</v>
      </c>
      <c r="R5418" s="28" t="n">
        <v>4117</v>
      </c>
      <c r="S5418" s="28" t="n">
        <v>20585</v>
      </c>
      <c r="T5418" s="28"/>
      <c r="U5418" s="28" t="n">
        <f aca="false">T5418*$M5418</f>
        <v>0</v>
      </c>
      <c r="V5418" s="28"/>
      <c r="W5418" s="28" t="n">
        <f aca="false">V5418*$M5418</f>
        <v>0</v>
      </c>
      <c r="X5418" s="28"/>
      <c r="Y5418" s="28" t="n">
        <f aca="false">X5418*$M5418</f>
        <v>0</v>
      </c>
      <c r="Z5418" s="28"/>
      <c r="AA5418" s="28" t="n">
        <f aca="false">Z5418*$M5418</f>
        <v>0</v>
      </c>
      <c r="AB5418" s="28"/>
      <c r="AC5418" s="28" t="n">
        <f aca="false">AB5418*$M5418</f>
        <v>0</v>
      </c>
      <c r="AD5418" s="28"/>
      <c r="AE5418" s="28" t="n">
        <f aca="false">AD5418*$M5418</f>
        <v>0</v>
      </c>
      <c r="AF5418" s="28"/>
      <c r="AG5418" s="28" t="n">
        <f aca="false">AF5418*$M5418</f>
        <v>0</v>
      </c>
      <c r="AH5418" s="28"/>
      <c r="AI5418" s="28" t="n">
        <f aca="false">AH5418*$M5418</f>
        <v>0</v>
      </c>
      <c r="AJ5418" s="28"/>
      <c r="AK5418" s="28" t="n">
        <f aca="false">AJ5418*$M5418</f>
        <v>0</v>
      </c>
      <c r="AL5418" s="28"/>
      <c r="AM5418" s="28" t="n">
        <f aca="false">AL5418*$M5418</f>
        <v>0</v>
      </c>
      <c r="AN5418" s="28"/>
      <c r="AO5418" s="28" t="n">
        <f aca="false">AN5418*$M5418</f>
        <v>0</v>
      </c>
      <c r="AP5418" s="28"/>
      <c r="AQ5418" s="28" t="n">
        <f aca="false">AP5418*$M5418</f>
        <v>0</v>
      </c>
      <c r="AR5418" s="28"/>
      <c r="AS5418" s="28" t="n">
        <f aca="false">AR5418*$M5418</f>
        <v>0</v>
      </c>
      <c r="AT5418" s="28"/>
      <c r="AU5418" s="28" t="n">
        <f aca="false">AT5418*$M5418</f>
        <v>0</v>
      </c>
      <c r="AV5418" s="28"/>
      <c r="AW5418" s="28" t="n">
        <f aca="false">AV5418*$M5418</f>
        <v>0</v>
      </c>
      <c r="AX5418" s="28"/>
      <c r="AY5418" s="28" t="n">
        <f aca="false">AX5418*$M5418</f>
        <v>0</v>
      </c>
      <c r="AZ5418" s="30" t="n">
        <v>4117</v>
      </c>
      <c r="BA5418" s="11" t="n">
        <v>20585</v>
      </c>
      <c r="BB5418" s="31" t="n">
        <f aca="false">SUM(Q5418,S5418,U5418,W5418,Y5418,AA5418,AC5418,AE5418,AG5418,AI5418,AK5418,AM5418,AO5418,AQ5418,AS5418,AU5418,AW5418,AY5418)</f>
        <v>20585</v>
      </c>
      <c r="BC5418" s="28" t="n">
        <f aca="false">BA5418-BB5418</f>
        <v>0</v>
      </c>
      <c r="BD5418" s="32" t="n">
        <f aca="false">SUM(P5418,R5418,T5418,V5418,X5418,Z5418,AB5418,AD5418,AF5418,AH5418,AJ5418,AL5418,AN5418,AP5418,AR5418,AT5418,AV5418,AX5418)</f>
        <v>4117</v>
      </c>
      <c r="BE5418" s="33" t="n">
        <f aca="false">AZ5418-BD5418</f>
        <v>0</v>
      </c>
      <c r="BF5418" s="34" t="n">
        <f aca="false">BD5418*M5418</f>
        <v>20585</v>
      </c>
      <c r="BG5418" s="35" t="n">
        <f aca="false">BA5418-BF5418</f>
        <v>0</v>
      </c>
      <c r="BH5418" s="19" t="str">
        <f aca="false">IF(BG5418=0,"",IF(BG5418&lt;&gt;BA5418,"erreur de calcul",IF(BD5418&lt;&gt;0,"pas de prix",IF(M5418&lt;&gt; 0,"pas de quantité","pas de prix, ni de quantité"))))</f>
        <v/>
      </c>
      <c r="BI5418" s="19"/>
    </row>
    <row r="5419" customFormat="false" ht="15" hidden="false" customHeight="false" outlineLevel="0" collapsed="false">
      <c r="A5419" s="0" t="n">
        <v>27</v>
      </c>
      <c r="B5419" s="8" t="s">
        <v>24</v>
      </c>
      <c r="C5419" s="9" t="s">
        <v>25</v>
      </c>
      <c r="D5419" s="9" t="s">
        <v>26</v>
      </c>
      <c r="E5419" s="10" t="n">
        <v>1789</v>
      </c>
      <c r="F5419" s="9" t="s">
        <v>27</v>
      </c>
      <c r="G5419" s="9" t="s">
        <v>27</v>
      </c>
      <c r="H5419" s="11" t="n">
        <v>22</v>
      </c>
      <c r="I5419" s="11" t="s">
        <v>230</v>
      </c>
      <c r="J5419" s="14" t="n">
        <v>11</v>
      </c>
      <c r="K5419" s="14"/>
      <c r="L5419" s="16"/>
      <c r="M5419" s="27" t="n">
        <f aca="false">J5419+(K5419/20)+(L5419/240)</f>
        <v>11</v>
      </c>
      <c r="N5419" s="17" t="s">
        <v>66</v>
      </c>
      <c r="O5419" s="11"/>
      <c r="P5419" s="28"/>
      <c r="Q5419" s="28" t="n">
        <f aca="false">P5419*$M5419</f>
        <v>0</v>
      </c>
      <c r="R5419" s="28"/>
      <c r="S5419" s="28" t="n">
        <f aca="false">R5419*$M5419</f>
        <v>0</v>
      </c>
      <c r="T5419" s="28"/>
      <c r="U5419" s="28" t="n">
        <f aca="false">T5419*$M5419</f>
        <v>0</v>
      </c>
      <c r="V5419" s="28"/>
      <c r="W5419" s="28" t="n">
        <f aca="false">V5419*$M5419</f>
        <v>0</v>
      </c>
      <c r="X5419" s="28"/>
      <c r="Y5419" s="28" t="n">
        <f aca="false">X5419*$M5419</f>
        <v>0</v>
      </c>
      <c r="Z5419" s="28"/>
      <c r="AA5419" s="28" t="n">
        <f aca="false">Z5419*$M5419</f>
        <v>0</v>
      </c>
      <c r="AB5419" s="28"/>
      <c r="AC5419" s="28" t="n">
        <f aca="false">AB5419*$M5419</f>
        <v>0</v>
      </c>
      <c r="AD5419" s="28"/>
      <c r="AE5419" s="28" t="n">
        <f aca="false">AD5419*$M5419</f>
        <v>0</v>
      </c>
      <c r="AF5419" s="28"/>
      <c r="AG5419" s="28" t="n">
        <f aca="false">AF5419*$M5419</f>
        <v>0</v>
      </c>
      <c r="AH5419" s="28"/>
      <c r="AI5419" s="28" t="n">
        <f aca="false">AH5419*$M5419</f>
        <v>0</v>
      </c>
      <c r="AJ5419" s="28" t="n">
        <v>34854</v>
      </c>
      <c r="AK5419" s="28" t="n">
        <v>383394</v>
      </c>
      <c r="AL5419" s="28"/>
      <c r="AM5419" s="28" t="n">
        <f aca="false">AL5419*$M5419</f>
        <v>0</v>
      </c>
      <c r="AN5419" s="28"/>
      <c r="AO5419" s="28" t="n">
        <f aca="false">AN5419*$M5419</f>
        <v>0</v>
      </c>
      <c r="AP5419" s="28"/>
      <c r="AQ5419" s="28" t="n">
        <f aca="false">AP5419*$M5419</f>
        <v>0</v>
      </c>
      <c r="AR5419" s="28"/>
      <c r="AS5419" s="28" t="n">
        <f aca="false">AR5419*$M5419</f>
        <v>0</v>
      </c>
      <c r="AT5419" s="28"/>
      <c r="AU5419" s="28" t="n">
        <f aca="false">AT5419*$M5419</f>
        <v>0</v>
      </c>
      <c r="AV5419" s="28"/>
      <c r="AW5419" s="28" t="n">
        <f aca="false">AV5419*$M5419</f>
        <v>0</v>
      </c>
      <c r="AX5419" s="28"/>
      <c r="AY5419" s="28" t="n">
        <f aca="false">AX5419*$M5419</f>
        <v>0</v>
      </c>
      <c r="AZ5419" s="30" t="n">
        <v>34854</v>
      </c>
      <c r="BA5419" s="11" t="n">
        <v>383394</v>
      </c>
      <c r="BB5419" s="31" t="n">
        <f aca="false">SUM(Q5419,S5419,U5419,W5419,Y5419,AA5419,AC5419,AE5419,AG5419,AI5419,AK5419,AM5419,AO5419,AQ5419,AS5419,AU5419,AW5419,AY5419)</f>
        <v>383394</v>
      </c>
      <c r="BC5419" s="28" t="n">
        <f aca="false">BA5419-BB5419</f>
        <v>0</v>
      </c>
      <c r="BD5419" s="32" t="n">
        <f aca="false">SUM(P5419,R5419,T5419,V5419,X5419,Z5419,AB5419,AD5419,AF5419,AH5419,AJ5419,AL5419,AN5419,AP5419,AR5419,AT5419,AV5419,AX5419)</f>
        <v>34854</v>
      </c>
      <c r="BE5419" s="33" t="n">
        <f aca="false">AZ5419-BD5419</f>
        <v>0</v>
      </c>
      <c r="BF5419" s="34" t="n">
        <f aca="false">BD5419*M5419</f>
        <v>383394</v>
      </c>
      <c r="BG5419" s="35" t="n">
        <f aca="false">BA5419-BF5419</f>
        <v>0</v>
      </c>
      <c r="BH5419" s="19" t="str">
        <f aca="false">IF(BG5419=0,"",IF(BG5419&lt;&gt;BA5419,"erreur de calcul",IF(BD5419&lt;&gt;0,"pas de prix",IF(M5419&lt;&gt; 0,"pas de quantité","pas de prix, ni de quantité"))))</f>
        <v/>
      </c>
      <c r="BI5419" s="19"/>
    </row>
    <row r="5420" customFormat="false" ht="15" hidden="false" customHeight="false" outlineLevel="0" collapsed="false">
      <c r="A5420" s="0" t="n">
        <v>28</v>
      </c>
      <c r="B5420" s="8" t="s">
        <v>24</v>
      </c>
      <c r="C5420" s="9" t="s">
        <v>25</v>
      </c>
      <c r="D5420" s="9" t="s">
        <v>26</v>
      </c>
      <c r="E5420" s="10" t="n">
        <v>1789</v>
      </c>
      <c r="F5420" s="9" t="s">
        <v>27</v>
      </c>
      <c r="G5420" s="9" t="s">
        <v>27</v>
      </c>
      <c r="H5420" s="11" t="n">
        <v>22</v>
      </c>
      <c r="I5420" s="11" t="s">
        <v>231</v>
      </c>
      <c r="J5420" s="14" t="n">
        <v>18</v>
      </c>
      <c r="K5420" s="14"/>
      <c r="L5420" s="16"/>
      <c r="M5420" s="27" t="n">
        <f aca="false">J5420+(K5420/20)+(L5420/240)</f>
        <v>18</v>
      </c>
      <c r="N5420" s="17" t="s">
        <v>66</v>
      </c>
      <c r="O5420" s="11"/>
      <c r="P5420" s="28"/>
      <c r="Q5420" s="28" t="n">
        <f aca="false">P5420*$M5420</f>
        <v>0</v>
      </c>
      <c r="R5420" s="28"/>
      <c r="S5420" s="28" t="n">
        <f aca="false">R5420*$M5420</f>
        <v>0</v>
      </c>
      <c r="T5420" s="28"/>
      <c r="U5420" s="28" t="n">
        <f aca="false">T5420*$M5420</f>
        <v>0</v>
      </c>
      <c r="V5420" s="28"/>
      <c r="W5420" s="28" t="n">
        <f aca="false">V5420*$M5420</f>
        <v>0</v>
      </c>
      <c r="X5420" s="28"/>
      <c r="Y5420" s="28" t="n">
        <f aca="false">X5420*$M5420</f>
        <v>0</v>
      </c>
      <c r="Z5420" s="28"/>
      <c r="AA5420" s="28" t="n">
        <f aca="false">Z5420*$M5420</f>
        <v>0</v>
      </c>
      <c r="AB5420" s="28"/>
      <c r="AC5420" s="28" t="n">
        <f aca="false">AB5420*$M5420</f>
        <v>0</v>
      </c>
      <c r="AD5420" s="28"/>
      <c r="AE5420" s="28" t="n">
        <f aca="false">AD5420*$M5420</f>
        <v>0</v>
      </c>
      <c r="AF5420" s="28"/>
      <c r="AG5420" s="28" t="n">
        <f aca="false">AF5420*$M5420</f>
        <v>0</v>
      </c>
      <c r="AH5420" s="28"/>
      <c r="AI5420" s="28" t="n">
        <f aca="false">AH5420*$M5420</f>
        <v>0</v>
      </c>
      <c r="AJ5420" s="28" t="n">
        <v>623</v>
      </c>
      <c r="AK5420" s="28" t="n">
        <v>11214</v>
      </c>
      <c r="AL5420" s="28"/>
      <c r="AM5420" s="28" t="n">
        <f aca="false">AL5420*$M5420</f>
        <v>0</v>
      </c>
      <c r="AN5420" s="28"/>
      <c r="AO5420" s="28" t="n">
        <f aca="false">AN5420*$M5420</f>
        <v>0</v>
      </c>
      <c r="AP5420" s="28"/>
      <c r="AQ5420" s="28" t="n">
        <f aca="false">AP5420*$M5420</f>
        <v>0</v>
      </c>
      <c r="AR5420" s="28"/>
      <c r="AS5420" s="28" t="n">
        <f aca="false">AR5420*$M5420</f>
        <v>0</v>
      </c>
      <c r="AT5420" s="28"/>
      <c r="AU5420" s="28" t="n">
        <f aca="false">AT5420*$M5420</f>
        <v>0</v>
      </c>
      <c r="AV5420" s="28"/>
      <c r="AW5420" s="28" t="n">
        <f aca="false">AV5420*$M5420</f>
        <v>0</v>
      </c>
      <c r="AX5420" s="28"/>
      <c r="AY5420" s="28" t="n">
        <f aca="false">AX5420*$M5420</f>
        <v>0</v>
      </c>
      <c r="AZ5420" s="30" t="n">
        <v>623</v>
      </c>
      <c r="BA5420" s="11" t="n">
        <v>11214</v>
      </c>
      <c r="BB5420" s="31" t="n">
        <f aca="false">SUM(Q5420,S5420,U5420,W5420,Y5420,AA5420,AC5420,AE5420,AG5420,AI5420,AK5420,AM5420,AO5420,AQ5420,AS5420,AU5420,AW5420,AY5420)</f>
        <v>11214</v>
      </c>
      <c r="BC5420" s="28" t="n">
        <f aca="false">BA5420-BB5420</f>
        <v>0</v>
      </c>
      <c r="BD5420" s="32" t="n">
        <f aca="false">SUM(P5420,R5420,T5420,V5420,X5420,Z5420,AB5420,AD5420,AF5420,AH5420,AJ5420,AL5420,AN5420,AP5420,AR5420,AT5420,AV5420,AX5420)</f>
        <v>623</v>
      </c>
      <c r="BE5420" s="33" t="n">
        <f aca="false">AZ5420-BD5420</f>
        <v>0</v>
      </c>
      <c r="BF5420" s="34" t="n">
        <f aca="false">BD5420*M5420</f>
        <v>11214</v>
      </c>
      <c r="BG5420" s="35" t="n">
        <f aca="false">BA5420-BF5420</f>
        <v>0</v>
      </c>
      <c r="BH5420" s="19" t="str">
        <f aca="false">IF(BG5420=0,"",IF(BG5420&lt;&gt;BA5420,"erreur de calcul",IF(BD5420&lt;&gt;0,"pas de prix",IF(M5420&lt;&gt; 0,"pas de quantité","pas de prix, ni de quantité"))))</f>
        <v/>
      </c>
      <c r="BI5420" s="19"/>
    </row>
    <row r="5421" customFormat="false" ht="15" hidden="false" customHeight="false" outlineLevel="0" collapsed="false">
      <c r="A5421" s="0" t="n">
        <v>29</v>
      </c>
      <c r="B5421" s="8" t="s">
        <v>24</v>
      </c>
      <c r="C5421" s="9" t="s">
        <v>25</v>
      </c>
      <c r="D5421" s="9" t="s">
        <v>26</v>
      </c>
      <c r="E5421" s="10" t="n">
        <v>1789</v>
      </c>
      <c r="F5421" s="9" t="s">
        <v>27</v>
      </c>
      <c r="G5421" s="9" t="s">
        <v>27</v>
      </c>
      <c r="H5421" s="11" t="n">
        <v>22</v>
      </c>
      <c r="I5421" s="11" t="s">
        <v>232</v>
      </c>
      <c r="J5421" s="14" t="n">
        <v>66</v>
      </c>
      <c r="K5421" s="14"/>
      <c r="L5421" s="16"/>
      <c r="M5421" s="27" t="n">
        <f aca="false">J5421+(K5421/20)+(L5421/240)</f>
        <v>66</v>
      </c>
      <c r="N5421" s="17" t="s">
        <v>64</v>
      </c>
      <c r="O5421" s="11"/>
      <c r="P5421" s="28"/>
      <c r="Q5421" s="28" t="n">
        <f aca="false">P5421*$M5421</f>
        <v>0</v>
      </c>
      <c r="R5421" s="28" t="n">
        <f aca="false">4580/100</f>
        <v>45.8</v>
      </c>
      <c r="S5421" s="28" t="n">
        <v>3023</v>
      </c>
      <c r="T5421" s="28"/>
      <c r="U5421" s="28" t="n">
        <f aca="false">T5421*$M5421</f>
        <v>0</v>
      </c>
      <c r="V5421" s="28"/>
      <c r="W5421" s="28" t="n">
        <f aca="false">V5421*$M5421</f>
        <v>0</v>
      </c>
      <c r="X5421" s="28"/>
      <c r="Y5421" s="28" t="n">
        <f aca="false">X5421*$M5421</f>
        <v>0</v>
      </c>
      <c r="Z5421" s="28"/>
      <c r="AA5421" s="28" t="n">
        <f aca="false">Z5421*$M5421</f>
        <v>0</v>
      </c>
      <c r="AB5421" s="28"/>
      <c r="AC5421" s="28" t="n">
        <f aca="false">AB5421*$M5421</f>
        <v>0</v>
      </c>
      <c r="AD5421" s="28"/>
      <c r="AE5421" s="28" t="n">
        <f aca="false">AD5421*$M5421</f>
        <v>0</v>
      </c>
      <c r="AF5421" s="28"/>
      <c r="AG5421" s="28" t="n">
        <f aca="false">AF5421*$M5421</f>
        <v>0</v>
      </c>
      <c r="AH5421" s="28"/>
      <c r="AI5421" s="28" t="n">
        <f aca="false">AH5421*$M5421</f>
        <v>0</v>
      </c>
      <c r="AJ5421" s="28"/>
      <c r="AK5421" s="28" t="n">
        <f aca="false">AJ5421*$M5421</f>
        <v>0</v>
      </c>
      <c r="AL5421" s="28"/>
      <c r="AM5421" s="28" t="n">
        <f aca="false">AL5421*$M5421</f>
        <v>0</v>
      </c>
      <c r="AN5421" s="28"/>
      <c r="AO5421" s="28" t="n">
        <f aca="false">AN5421*$M5421</f>
        <v>0</v>
      </c>
      <c r="AP5421" s="28"/>
      <c r="AQ5421" s="28" t="n">
        <f aca="false">AP5421*$M5421</f>
        <v>0</v>
      </c>
      <c r="AR5421" s="28"/>
      <c r="AS5421" s="28" t="n">
        <f aca="false">AR5421*$M5421</f>
        <v>0</v>
      </c>
      <c r="AT5421" s="28"/>
      <c r="AU5421" s="28" t="n">
        <f aca="false">AT5421*$M5421</f>
        <v>0</v>
      </c>
      <c r="AV5421" s="28"/>
      <c r="AW5421" s="28" t="n">
        <f aca="false">AV5421*$M5421</f>
        <v>0</v>
      </c>
      <c r="AX5421" s="28"/>
      <c r="AY5421" s="28" t="n">
        <f aca="false">AX5421*$M5421</f>
        <v>0</v>
      </c>
      <c r="AZ5421" s="30" t="n">
        <f aca="false">4580/100</f>
        <v>45.8</v>
      </c>
      <c r="BA5421" s="11" t="n">
        <v>3023</v>
      </c>
      <c r="BB5421" s="31" t="n">
        <f aca="false">SUM(Q5421,S5421,U5421,W5421,Y5421,AA5421,AC5421,AE5421,AG5421,AI5421,AK5421,AM5421,AO5421,AQ5421,AS5421,AU5421,AW5421,AY5421)</f>
        <v>3023</v>
      </c>
      <c r="BC5421" s="28" t="n">
        <f aca="false">BA5421-BB5421</f>
        <v>0</v>
      </c>
      <c r="BD5421" s="32" t="n">
        <f aca="false">SUM(P5421,R5421,T5421,V5421,X5421,Z5421,AB5421,AD5421,AF5421,AH5421,AJ5421,AL5421,AN5421,AP5421,AR5421,AT5421,AV5421,AX5421)</f>
        <v>45.8</v>
      </c>
      <c r="BE5421" s="33" t="n">
        <f aca="false">AZ5421-BD5421</f>
        <v>0</v>
      </c>
      <c r="BF5421" s="34" t="n">
        <f aca="false">BD5421*M5421</f>
        <v>3022.8</v>
      </c>
      <c r="BG5421" s="35" t="n">
        <f aca="false">BA5421-BF5421</f>
        <v>0.200000000000273</v>
      </c>
      <c r="BH5421" s="19" t="str">
        <f aca="false">IF(BG5421=0,"",IF(BG5421&lt;&gt;BA5421,"erreur de calcul",IF(BD5421&lt;&gt;0,"pas de prix",IF(M5421&lt;&gt; 0,"pas de quantité","pas de prix, ni de quantité"))))</f>
        <v>erreur de calcul</v>
      </c>
      <c r="BI5421" s="19"/>
    </row>
    <row r="5422" customFormat="false" ht="15" hidden="false" customHeight="false" outlineLevel="0" collapsed="false">
      <c r="A5422" s="0" t="n">
        <v>30</v>
      </c>
      <c r="B5422" s="8" t="s">
        <v>24</v>
      </c>
      <c r="C5422" s="9" t="s">
        <v>25</v>
      </c>
      <c r="D5422" s="9" t="s">
        <v>26</v>
      </c>
      <c r="E5422" s="10" t="n">
        <v>1789</v>
      </c>
      <c r="F5422" s="9" t="s">
        <v>27</v>
      </c>
      <c r="G5422" s="9" t="s">
        <v>27</v>
      </c>
      <c r="H5422" s="11" t="n">
        <v>22</v>
      </c>
      <c r="I5422" s="11" t="s">
        <v>233</v>
      </c>
      <c r="J5422" s="14" t="n">
        <v>155</v>
      </c>
      <c r="K5422" s="14"/>
      <c r="L5422" s="16"/>
      <c r="M5422" s="27" t="n">
        <f aca="false">J5422+(K5422/20)+(L5422/240)</f>
        <v>155</v>
      </c>
      <c r="N5422" s="17" t="s">
        <v>64</v>
      </c>
      <c r="O5422" s="11"/>
      <c r="P5422" s="28" t="n">
        <f aca="false">27574/100</f>
        <v>275.74</v>
      </c>
      <c r="Q5422" s="28" t="n">
        <v>42740</v>
      </c>
      <c r="R5422" s="28" t="n">
        <f aca="false">7820/100</f>
        <v>78.2</v>
      </c>
      <c r="S5422" s="28" t="n">
        <v>12121</v>
      </c>
      <c r="T5422" s="28"/>
      <c r="U5422" s="28" t="n">
        <f aca="false">T5422*$M5422</f>
        <v>0</v>
      </c>
      <c r="V5422" s="28" t="n">
        <f aca="false">37316/100</f>
        <v>373.16</v>
      </c>
      <c r="W5422" s="28" t="n">
        <v>57840</v>
      </c>
      <c r="X5422" s="28" t="n">
        <f aca="false">1394/100</f>
        <v>13.94</v>
      </c>
      <c r="Y5422" s="28" t="n">
        <v>2161</v>
      </c>
      <c r="Z5422" s="28"/>
      <c r="AA5422" s="28" t="n">
        <f aca="false">Z5422*$M5422</f>
        <v>0</v>
      </c>
      <c r="AB5422" s="28"/>
      <c r="AC5422" s="28" t="n">
        <f aca="false">AB5422*$M5422</f>
        <v>0</v>
      </c>
      <c r="AD5422" s="28"/>
      <c r="AE5422" s="28" t="n">
        <f aca="false">AD5422*$M5422</f>
        <v>0</v>
      </c>
      <c r="AF5422" s="28"/>
      <c r="AG5422" s="28" t="n">
        <f aca="false">AF5422*$M5422</f>
        <v>0</v>
      </c>
      <c r="AH5422" s="28"/>
      <c r="AI5422" s="28" t="n">
        <f aca="false">AH5422*$M5422</f>
        <v>0</v>
      </c>
      <c r="AJ5422" s="28" t="n">
        <f aca="false">158255/100</f>
        <v>1582.55</v>
      </c>
      <c r="AK5422" s="28" t="n">
        <v>245295</v>
      </c>
      <c r="AL5422" s="28"/>
      <c r="AM5422" s="28" t="n">
        <f aca="false">AL5422*$M5422</f>
        <v>0</v>
      </c>
      <c r="AN5422" s="28" t="n">
        <f aca="false">417945/100</f>
        <v>4179.45</v>
      </c>
      <c r="AO5422" s="28" t="n">
        <v>647815</v>
      </c>
      <c r="AP5422" s="28"/>
      <c r="AQ5422" s="28" t="n">
        <f aca="false">AP5422*$M5422</f>
        <v>0</v>
      </c>
      <c r="AR5422" s="28"/>
      <c r="AS5422" s="28" t="n">
        <f aca="false">AR5422*$M5422</f>
        <v>0</v>
      </c>
      <c r="AT5422" s="28"/>
      <c r="AU5422" s="28" t="n">
        <f aca="false">AT5422*$M5422</f>
        <v>0</v>
      </c>
      <c r="AV5422" s="28"/>
      <c r="AW5422" s="28" t="n">
        <f aca="false">AV5422*$M5422</f>
        <v>0</v>
      </c>
      <c r="AX5422" s="28"/>
      <c r="AY5422" s="28" t="n">
        <f aca="false">AX5422*$M5422</f>
        <v>0</v>
      </c>
      <c r="AZ5422" s="30" t="n">
        <f aca="false">650304/100</f>
        <v>6503.04</v>
      </c>
      <c r="BA5422" s="11" t="n">
        <v>1007972</v>
      </c>
      <c r="BB5422" s="31" t="n">
        <f aca="false">SUM(Q5422,S5422,U5422,W5422,Y5422,AA5422,AC5422,AE5422,AG5422,AI5422,AK5422,AM5422,AO5422,AQ5422,AS5422,AU5422,AW5422,AY5422)</f>
        <v>1007972</v>
      </c>
      <c r="BC5422" s="28" t="n">
        <f aca="false">BA5422-BB5422</f>
        <v>0</v>
      </c>
      <c r="BD5422" s="32" t="n">
        <f aca="false">SUM(P5422,R5422,T5422,V5422,X5422,Z5422,AB5422,AD5422,AF5422,AH5422,AJ5422,AL5422,AN5422,AP5422,AR5422,AT5422,AV5422,AX5422)</f>
        <v>6503.04</v>
      </c>
      <c r="BE5422" s="33" t="n">
        <f aca="false">AZ5422-BD5422</f>
        <v>0</v>
      </c>
      <c r="BF5422" s="34" t="n">
        <f aca="false">BD5422*M5422</f>
        <v>1007971.2</v>
      </c>
      <c r="BG5422" s="35" t="n">
        <f aca="false">BA5422-BF5422</f>
        <v>0.800000000162981</v>
      </c>
      <c r="BH5422" s="19" t="str">
        <f aca="false">IF(BG5422=0,"",IF(BG5422&lt;&gt;BA5422,"erreur de calcul",IF(BD5422&lt;&gt;0,"pas de prix",IF(M5422&lt;&gt; 0,"pas de quantité","pas de prix, ni de quantité"))))</f>
        <v>erreur de calcul</v>
      </c>
      <c r="BI5422" s="19"/>
    </row>
    <row r="5423" customFormat="false" ht="15" hidden="false" customHeight="false" outlineLevel="0" collapsed="false">
      <c r="A5423" s="0" t="n">
        <v>31</v>
      </c>
      <c r="B5423" s="8" t="s">
        <v>24</v>
      </c>
      <c r="C5423" s="9" t="s">
        <v>25</v>
      </c>
      <c r="D5423" s="9" t="s">
        <v>26</v>
      </c>
      <c r="E5423" s="10" t="n">
        <v>1789</v>
      </c>
      <c r="F5423" s="9" t="s">
        <v>27</v>
      </c>
      <c r="G5423" s="9" t="s">
        <v>27</v>
      </c>
      <c r="H5423" s="11" t="n">
        <v>22</v>
      </c>
      <c r="I5423" s="11" t="s">
        <v>234</v>
      </c>
      <c r="J5423" s="14" t="n">
        <v>110</v>
      </c>
      <c r="K5423" s="14"/>
      <c r="L5423" s="16"/>
      <c r="M5423" s="27" t="n">
        <f aca="false">J5423+(K5423/20)+(L5423/240)</f>
        <v>110</v>
      </c>
      <c r="N5423" s="17" t="s">
        <v>64</v>
      </c>
      <c r="O5423" s="11"/>
      <c r="P5423" s="28" t="n">
        <f aca="false">73942/100</f>
        <v>739.42</v>
      </c>
      <c r="Q5423" s="28" t="n">
        <v>81336</v>
      </c>
      <c r="R5423" s="28"/>
      <c r="S5423" s="28" t="n">
        <f aca="false">R5423*$M5423</f>
        <v>0</v>
      </c>
      <c r="T5423" s="28"/>
      <c r="U5423" s="28" t="n">
        <f aca="false">T5423*$M5423</f>
        <v>0</v>
      </c>
      <c r="V5423" s="28"/>
      <c r="W5423" s="28" t="n">
        <f aca="false">V5423*$M5423</f>
        <v>0</v>
      </c>
      <c r="X5423" s="28"/>
      <c r="Y5423" s="28" t="n">
        <f aca="false">X5423*$M5423</f>
        <v>0</v>
      </c>
      <c r="Z5423" s="28"/>
      <c r="AA5423" s="28" t="n">
        <f aca="false">Z5423*$M5423</f>
        <v>0</v>
      </c>
      <c r="AB5423" s="28"/>
      <c r="AC5423" s="28" t="n">
        <f aca="false">AB5423*$M5423</f>
        <v>0</v>
      </c>
      <c r="AD5423" s="28"/>
      <c r="AE5423" s="28" t="n">
        <f aca="false">AD5423*$M5423</f>
        <v>0</v>
      </c>
      <c r="AF5423" s="28"/>
      <c r="AG5423" s="28" t="n">
        <f aca="false">AF5423*$M5423</f>
        <v>0</v>
      </c>
      <c r="AH5423" s="28"/>
      <c r="AI5423" s="28" t="n">
        <f aca="false">AH5423*$M5423</f>
        <v>0</v>
      </c>
      <c r="AJ5423" s="28"/>
      <c r="AK5423" s="28" t="n">
        <f aca="false">AJ5423*$M5423</f>
        <v>0</v>
      </c>
      <c r="AL5423" s="28"/>
      <c r="AM5423" s="28" t="n">
        <f aca="false">AL5423*$M5423</f>
        <v>0</v>
      </c>
      <c r="AN5423" s="28"/>
      <c r="AO5423" s="28" t="n">
        <f aca="false">AN5423*$M5423</f>
        <v>0</v>
      </c>
      <c r="AP5423" s="28"/>
      <c r="AQ5423" s="28" t="n">
        <f aca="false">AP5423*$M5423</f>
        <v>0</v>
      </c>
      <c r="AR5423" s="28"/>
      <c r="AS5423" s="28" t="n">
        <f aca="false">AR5423*$M5423</f>
        <v>0</v>
      </c>
      <c r="AT5423" s="28"/>
      <c r="AU5423" s="28" t="n">
        <f aca="false">AT5423*$M5423</f>
        <v>0</v>
      </c>
      <c r="AV5423" s="28"/>
      <c r="AW5423" s="28" t="n">
        <f aca="false">AV5423*$M5423</f>
        <v>0</v>
      </c>
      <c r="AX5423" s="28"/>
      <c r="AY5423" s="28" t="n">
        <f aca="false">AX5423*$M5423</f>
        <v>0</v>
      </c>
      <c r="AZ5423" s="30" t="n">
        <f aca="false">73942/100</f>
        <v>739.42</v>
      </c>
      <c r="BA5423" s="11" t="n">
        <v>81336</v>
      </c>
      <c r="BB5423" s="31" t="n">
        <f aca="false">SUM(Q5423,S5423,U5423,W5423,Y5423,AA5423,AC5423,AE5423,AG5423,AI5423,AK5423,AM5423,AO5423,AQ5423,AS5423,AU5423,AW5423,AY5423)</f>
        <v>81336</v>
      </c>
      <c r="BC5423" s="28" t="n">
        <f aca="false">BA5423-BB5423</f>
        <v>0</v>
      </c>
      <c r="BD5423" s="32" t="n">
        <f aca="false">SUM(P5423,R5423,T5423,V5423,X5423,Z5423,AB5423,AD5423,AF5423,AH5423,AJ5423,AL5423,AN5423,AP5423,AR5423,AT5423,AV5423,AX5423)</f>
        <v>739.42</v>
      </c>
      <c r="BE5423" s="33" t="n">
        <f aca="false">AZ5423-BD5423</f>
        <v>0</v>
      </c>
      <c r="BF5423" s="34" t="n">
        <f aca="false">BD5423*M5423</f>
        <v>81336.2</v>
      </c>
      <c r="BG5423" s="35" t="n">
        <f aca="false">BA5423-BF5423</f>
        <v>-0.19999999999709</v>
      </c>
      <c r="BH5423" s="19" t="str">
        <f aca="false">IF(BG5423=0,"",IF(BG5423&lt;&gt;BA5423,"erreur de calcul",IF(BD5423&lt;&gt;0,"pas de prix",IF(M5423&lt;&gt; 0,"pas de quantité","pas de prix, ni de quantité"))))</f>
        <v>erreur de calcul</v>
      </c>
      <c r="BI5423" s="19"/>
    </row>
    <row r="5424" customFormat="false" ht="15" hidden="false" customHeight="false" outlineLevel="0" collapsed="false">
      <c r="A5424" s="0" t="n">
        <v>32</v>
      </c>
      <c r="B5424" s="8" t="s">
        <v>24</v>
      </c>
      <c r="C5424" s="9" t="s">
        <v>25</v>
      </c>
      <c r="D5424" s="9" t="s">
        <v>26</v>
      </c>
      <c r="E5424" s="10" t="n">
        <v>1789</v>
      </c>
      <c r="F5424" s="9" t="s">
        <v>27</v>
      </c>
      <c r="G5424" s="9" t="s">
        <v>27</v>
      </c>
      <c r="H5424" s="11" t="n">
        <v>22</v>
      </c>
      <c r="I5424" s="11" t="s">
        <v>235</v>
      </c>
      <c r="J5424" s="14" t="n">
        <v>60</v>
      </c>
      <c r="K5424" s="14"/>
      <c r="L5424" s="16"/>
      <c r="M5424" s="27" t="n">
        <f aca="false">J5424+(K5424/20)+(L5424/240)</f>
        <v>60</v>
      </c>
      <c r="N5424" s="17" t="s">
        <v>64</v>
      </c>
      <c r="O5424" s="11"/>
      <c r="P5424" s="28"/>
      <c r="Q5424" s="28" t="n">
        <f aca="false">P5424*$M5424</f>
        <v>0</v>
      </c>
      <c r="R5424" s="28"/>
      <c r="S5424" s="28" t="n">
        <f aca="false">R5424*$M5424</f>
        <v>0</v>
      </c>
      <c r="T5424" s="28"/>
      <c r="U5424" s="28" t="n">
        <f aca="false">T5424*$M5424</f>
        <v>0</v>
      </c>
      <c r="V5424" s="28" t="n">
        <f aca="false">232/100</f>
        <v>2.32</v>
      </c>
      <c r="W5424" s="28" t="n">
        <v>139</v>
      </c>
      <c r="X5424" s="28" t="n">
        <f aca="false">5603/100</f>
        <v>56.03</v>
      </c>
      <c r="Y5424" s="28" t="n">
        <v>3362</v>
      </c>
      <c r="Z5424" s="28"/>
      <c r="AA5424" s="28" t="n">
        <f aca="false">Z5424*$M5424</f>
        <v>0</v>
      </c>
      <c r="AB5424" s="28" t="n">
        <f aca="false">1410/100</f>
        <v>14.1</v>
      </c>
      <c r="AC5424" s="28" t="n">
        <v>846</v>
      </c>
      <c r="AD5424" s="28"/>
      <c r="AE5424" s="28" t="n">
        <f aca="false">AD5424*$M5424</f>
        <v>0</v>
      </c>
      <c r="AF5424" s="28" t="n">
        <f aca="false">162899/100</f>
        <v>1628.99</v>
      </c>
      <c r="AG5424" s="28" t="n">
        <v>97739</v>
      </c>
      <c r="AH5424" s="28" t="n">
        <f aca="false">6506/100</f>
        <v>65.06</v>
      </c>
      <c r="AI5424" s="28" t="n">
        <v>3904</v>
      </c>
      <c r="AJ5424" s="28"/>
      <c r="AK5424" s="28" t="n">
        <f aca="false">AJ5424*$M5424</f>
        <v>0</v>
      </c>
      <c r="AL5424" s="28"/>
      <c r="AM5424" s="28" t="n">
        <f aca="false">AL5424*$M5424</f>
        <v>0</v>
      </c>
      <c r="AN5424" s="28"/>
      <c r="AO5424" s="28" t="n">
        <f aca="false">AN5424*$M5424</f>
        <v>0</v>
      </c>
      <c r="AP5424" s="28"/>
      <c r="AQ5424" s="28" t="n">
        <f aca="false">AP5424*$M5424</f>
        <v>0</v>
      </c>
      <c r="AR5424" s="28"/>
      <c r="AS5424" s="28" t="n">
        <f aca="false">AR5424*$M5424</f>
        <v>0</v>
      </c>
      <c r="AT5424" s="28"/>
      <c r="AU5424" s="28" t="n">
        <f aca="false">AT5424*$M5424</f>
        <v>0</v>
      </c>
      <c r="AV5424" s="28"/>
      <c r="AW5424" s="28" t="n">
        <f aca="false">AV5424*$M5424</f>
        <v>0</v>
      </c>
      <c r="AX5424" s="28"/>
      <c r="AY5424" s="28" t="n">
        <f aca="false">AX5424*$M5424</f>
        <v>0</v>
      </c>
      <c r="AZ5424" s="30" t="n">
        <f aca="false">176650/100</f>
        <v>1766.5</v>
      </c>
      <c r="BA5424" s="11" t="n">
        <v>105990</v>
      </c>
      <c r="BB5424" s="31" t="n">
        <f aca="false">SUM(Q5424,S5424,U5424,W5424,Y5424,AA5424,AC5424,AE5424,AG5424,AI5424,AK5424,AM5424,AO5424,AQ5424,AS5424,AU5424,AW5424,AY5424)</f>
        <v>105990</v>
      </c>
      <c r="BC5424" s="28" t="n">
        <f aca="false">BA5424-BB5424</f>
        <v>0</v>
      </c>
      <c r="BD5424" s="32" t="n">
        <f aca="false">SUM(P5424,R5424,T5424,V5424,X5424,Z5424,AB5424,AD5424,AF5424,AH5424,AJ5424,AL5424,AN5424,AP5424,AR5424,AT5424,AV5424,AX5424)</f>
        <v>1766.5</v>
      </c>
      <c r="BE5424" s="33" t="n">
        <f aca="false">AZ5424-BD5424</f>
        <v>0</v>
      </c>
      <c r="BF5424" s="34" t="n">
        <f aca="false">BD5424*M5424</f>
        <v>105990</v>
      </c>
      <c r="BG5424" s="35" t="n">
        <f aca="false">BA5424-BF5424</f>
        <v>0</v>
      </c>
      <c r="BH5424" s="19" t="str">
        <f aca="false">IF(BG5424=0,"",IF(BG5424&lt;&gt;BA5424,"erreur de calcul",IF(BD5424&lt;&gt;0,"pas de prix",IF(M5424&lt;&gt; 0,"pas de quantité","pas de prix, ni de quantité"))))</f>
        <v/>
      </c>
      <c r="BI5424" s="19"/>
    </row>
    <row r="5425" customFormat="false" ht="15" hidden="false" customHeight="false" outlineLevel="0" collapsed="false">
      <c r="A5425" s="0" t="n">
        <v>33</v>
      </c>
      <c r="B5425" s="8" t="s">
        <v>24</v>
      </c>
      <c r="C5425" s="9" t="s">
        <v>25</v>
      </c>
      <c r="D5425" s="9" t="s">
        <v>26</v>
      </c>
      <c r="E5425" s="10" t="n">
        <v>1789</v>
      </c>
      <c r="F5425" s="9" t="s">
        <v>27</v>
      </c>
      <c r="G5425" s="9" t="s">
        <v>27</v>
      </c>
      <c r="H5425" s="11" t="n">
        <v>22</v>
      </c>
      <c r="I5425" s="11" t="s">
        <v>236</v>
      </c>
      <c r="J5425" s="14" t="n">
        <v>710</v>
      </c>
      <c r="K5425" s="14"/>
      <c r="L5425" s="16"/>
      <c r="M5425" s="27" t="n">
        <f aca="false">J5425+(K5425/20)+(L5425/240)</f>
        <v>710</v>
      </c>
      <c r="N5425" s="17" t="s">
        <v>64</v>
      </c>
      <c r="O5425" s="11"/>
      <c r="P5425" s="28"/>
      <c r="Q5425" s="28" t="n">
        <f aca="false">P5425*$M5425</f>
        <v>0</v>
      </c>
      <c r="R5425" s="28"/>
      <c r="S5425" s="28" t="n">
        <f aca="false">R5425*$M5425</f>
        <v>0</v>
      </c>
      <c r="T5425" s="28" t="n">
        <f aca="false">108/100</f>
        <v>1.08</v>
      </c>
      <c r="U5425" s="28" t="n">
        <v>767</v>
      </c>
      <c r="V5425" s="28" t="n">
        <f aca="false">1190/100</f>
        <v>11.9</v>
      </c>
      <c r="W5425" s="28" t="n">
        <v>8449</v>
      </c>
      <c r="X5425" s="28" t="n">
        <f aca="false">487/100</f>
        <v>4.87</v>
      </c>
      <c r="Y5425" s="28" t="n">
        <v>3458</v>
      </c>
      <c r="Z5425" s="28"/>
      <c r="AA5425" s="28" t="n">
        <f aca="false">Z5425*$M5425</f>
        <v>0</v>
      </c>
      <c r="AB5425" s="28" t="n">
        <f aca="false">9170/100</f>
        <v>91.7</v>
      </c>
      <c r="AC5425" s="28" t="n">
        <v>65107</v>
      </c>
      <c r="AD5425" s="28" t="n">
        <f aca="false">531/100</f>
        <v>5.31</v>
      </c>
      <c r="AE5425" s="28" t="n">
        <v>3770</v>
      </c>
      <c r="AF5425" s="28"/>
      <c r="AG5425" s="28" t="n">
        <f aca="false">AF5425*$M5425</f>
        <v>0</v>
      </c>
      <c r="AH5425" s="28"/>
      <c r="AI5425" s="28" t="n">
        <f aca="false">AH5425*$M5425</f>
        <v>0</v>
      </c>
      <c r="AJ5425" s="28"/>
      <c r="AK5425" s="28" t="n">
        <f aca="false">AJ5425*$M5425</f>
        <v>0</v>
      </c>
      <c r="AL5425" s="28"/>
      <c r="AM5425" s="28" t="n">
        <f aca="false">AL5425*$M5425</f>
        <v>0</v>
      </c>
      <c r="AN5425" s="28"/>
      <c r="AO5425" s="28" t="n">
        <f aca="false">AN5425*$M5425</f>
        <v>0</v>
      </c>
      <c r="AP5425" s="28"/>
      <c r="AQ5425" s="28" t="n">
        <f aca="false">AP5425*$M5425</f>
        <v>0</v>
      </c>
      <c r="AR5425" s="28"/>
      <c r="AS5425" s="28" t="n">
        <f aca="false">AR5425*$M5425</f>
        <v>0</v>
      </c>
      <c r="AT5425" s="28"/>
      <c r="AU5425" s="28" t="n">
        <f aca="false">AT5425*$M5425</f>
        <v>0</v>
      </c>
      <c r="AV5425" s="28"/>
      <c r="AW5425" s="28" t="n">
        <f aca="false">AV5425*$M5425</f>
        <v>0</v>
      </c>
      <c r="AX5425" s="28"/>
      <c r="AY5425" s="28" t="n">
        <f aca="false">AX5425*$M5425</f>
        <v>0</v>
      </c>
      <c r="AZ5425" s="30" t="n">
        <f aca="false">11486/100</f>
        <v>114.86</v>
      </c>
      <c r="BA5425" s="11" t="n">
        <v>81551</v>
      </c>
      <c r="BB5425" s="31" t="n">
        <f aca="false">SUM(Q5425,S5425,U5425,W5425,Y5425,AA5425,AC5425,AE5425,AG5425,AI5425,AK5425,AM5425,AO5425,AQ5425,AS5425,AU5425,AW5425,AY5425)</f>
        <v>81551</v>
      </c>
      <c r="BC5425" s="28" t="n">
        <f aca="false">BA5425-BB5425</f>
        <v>0</v>
      </c>
      <c r="BD5425" s="32" t="n">
        <f aca="false">SUM(P5425,R5425,T5425,V5425,X5425,Z5425,AB5425,AD5425,AF5425,AH5425,AJ5425,AL5425,AN5425,AP5425,AR5425,AT5425,AV5425,AX5425)</f>
        <v>114.86</v>
      </c>
      <c r="BE5425" s="33" t="n">
        <f aca="false">AZ5425-BD5425</f>
        <v>0</v>
      </c>
      <c r="BF5425" s="34" t="n">
        <f aca="false">BD5425*M5425</f>
        <v>81550.6</v>
      </c>
      <c r="BG5425" s="35" t="n">
        <f aca="false">BA5425-BF5425</f>
        <v>0.399999999994179</v>
      </c>
      <c r="BH5425" s="19" t="str">
        <f aca="false">IF(BG5425=0,"",IF(BG5425&lt;&gt;BA5425,"erreur de calcul",IF(BD5425&lt;&gt;0,"pas de prix",IF(M5425&lt;&gt; 0,"pas de quantité","pas de prix, ni de quantité"))))</f>
        <v>erreur de calcul</v>
      </c>
      <c r="BI5425" s="19"/>
    </row>
    <row r="5426" customFormat="false" ht="15" hidden="false" customHeight="false" outlineLevel="0" collapsed="false">
      <c r="A5426" s="0" t="n">
        <v>34</v>
      </c>
      <c r="B5426" s="8" t="s">
        <v>24</v>
      </c>
      <c r="C5426" s="9" t="s">
        <v>25</v>
      </c>
      <c r="D5426" s="9" t="s">
        <v>26</v>
      </c>
      <c r="E5426" s="10" t="n">
        <v>1789</v>
      </c>
      <c r="F5426" s="9" t="s">
        <v>27</v>
      </c>
      <c r="G5426" s="9" t="s">
        <v>27</v>
      </c>
      <c r="H5426" s="11" t="n">
        <v>22</v>
      </c>
      <c r="I5426" s="11" t="s">
        <v>237</v>
      </c>
      <c r="J5426" s="14" t="n">
        <v>91</v>
      </c>
      <c r="K5426" s="14"/>
      <c r="L5426" s="16"/>
      <c r="M5426" s="27" t="n">
        <f aca="false">J5426+(K5426/20)+(L5426/240)</f>
        <v>91</v>
      </c>
      <c r="N5426" s="17" t="s">
        <v>64</v>
      </c>
      <c r="O5426" s="11"/>
      <c r="P5426" s="28"/>
      <c r="Q5426" s="28" t="n">
        <f aca="false">P5426*$M5426</f>
        <v>0</v>
      </c>
      <c r="R5426" s="28"/>
      <c r="S5426" s="28" t="n">
        <f aca="false">R5426*$M5426</f>
        <v>0</v>
      </c>
      <c r="T5426" s="28"/>
      <c r="U5426" s="28" t="n">
        <f aca="false">T5426*$M5426</f>
        <v>0</v>
      </c>
      <c r="V5426" s="28" t="n">
        <f aca="false">3384/100</f>
        <v>33.84</v>
      </c>
      <c r="W5426" s="28" t="n">
        <v>3079</v>
      </c>
      <c r="X5426" s="28" t="n">
        <f aca="false">18105/100</f>
        <v>181.05</v>
      </c>
      <c r="Y5426" s="28" t="n">
        <v>16475</v>
      </c>
      <c r="Z5426" s="28"/>
      <c r="AA5426" s="28" t="n">
        <f aca="false">Z5426*$M5426</f>
        <v>0</v>
      </c>
      <c r="AB5426" s="28"/>
      <c r="AC5426" s="28" t="n">
        <f aca="false">AB5426*$M5426</f>
        <v>0</v>
      </c>
      <c r="AD5426" s="28"/>
      <c r="AE5426" s="28" t="n">
        <f aca="false">AD5426*$M5426</f>
        <v>0</v>
      </c>
      <c r="AF5426" s="28"/>
      <c r="AG5426" s="28" t="n">
        <f aca="false">AF5426*$M5426</f>
        <v>0</v>
      </c>
      <c r="AH5426" s="28"/>
      <c r="AI5426" s="28" t="n">
        <f aca="false">AH5426*$M5426</f>
        <v>0</v>
      </c>
      <c r="AJ5426" s="28"/>
      <c r="AK5426" s="28" t="n">
        <f aca="false">AJ5426*$M5426</f>
        <v>0</v>
      </c>
      <c r="AL5426" s="28"/>
      <c r="AM5426" s="28" t="n">
        <f aca="false">AL5426*$M5426</f>
        <v>0</v>
      </c>
      <c r="AN5426" s="28"/>
      <c r="AO5426" s="28" t="n">
        <f aca="false">AN5426*$M5426</f>
        <v>0</v>
      </c>
      <c r="AP5426" s="28"/>
      <c r="AQ5426" s="28" t="n">
        <f aca="false">AP5426*$M5426</f>
        <v>0</v>
      </c>
      <c r="AR5426" s="28"/>
      <c r="AS5426" s="28" t="n">
        <f aca="false">AR5426*$M5426</f>
        <v>0</v>
      </c>
      <c r="AT5426" s="28"/>
      <c r="AU5426" s="28" t="n">
        <f aca="false">AT5426*$M5426</f>
        <v>0</v>
      </c>
      <c r="AV5426" s="28"/>
      <c r="AW5426" s="28" t="n">
        <f aca="false">AV5426*$M5426</f>
        <v>0</v>
      </c>
      <c r="AX5426" s="28"/>
      <c r="AY5426" s="28" t="n">
        <f aca="false">AX5426*$M5426</f>
        <v>0</v>
      </c>
      <c r="AZ5426" s="30" t="n">
        <f aca="false">21489/100</f>
        <v>214.89</v>
      </c>
      <c r="BA5426" s="11" t="n">
        <v>19554</v>
      </c>
      <c r="BB5426" s="31" t="n">
        <f aca="false">SUM(Q5426,S5426,U5426,W5426,Y5426,AA5426,AC5426,AE5426,AG5426,AI5426,AK5426,AM5426,AO5426,AQ5426,AS5426,AU5426,AW5426,AY5426)</f>
        <v>19554</v>
      </c>
      <c r="BC5426" s="28" t="n">
        <f aca="false">BA5426-BB5426</f>
        <v>0</v>
      </c>
      <c r="BD5426" s="32" t="n">
        <f aca="false">SUM(P5426,R5426,T5426,V5426,X5426,Z5426,AB5426,AD5426,AF5426,AH5426,AJ5426,AL5426,AN5426,AP5426,AR5426,AT5426,AV5426,AX5426)</f>
        <v>214.89</v>
      </c>
      <c r="BE5426" s="33" t="n">
        <f aca="false">AZ5426-BD5426</f>
        <v>0</v>
      </c>
      <c r="BF5426" s="34" t="n">
        <f aca="false">BD5426*M5426</f>
        <v>19554.99</v>
      </c>
      <c r="BG5426" s="35" t="n">
        <f aca="false">BA5426-BF5426</f>
        <v>-0.990000000001601</v>
      </c>
      <c r="BH5426" s="19" t="str">
        <f aca="false">IF(BG5426=0,"",IF(BG5426&lt;&gt;BA5426,"erreur de calcul",IF(BD5426&lt;&gt;0,"pas de prix",IF(M5426&lt;&gt; 0,"pas de quantité","pas de prix, ni de quantité"))))</f>
        <v>erreur de calcul</v>
      </c>
      <c r="BI5426" s="19"/>
    </row>
    <row r="5427" customFormat="false" ht="15" hidden="false" customHeight="false" outlineLevel="0" collapsed="false">
      <c r="A5427" s="0" t="n">
        <v>35</v>
      </c>
      <c r="B5427" s="8" t="s">
        <v>24</v>
      </c>
      <c r="C5427" s="9" t="s">
        <v>25</v>
      </c>
      <c r="D5427" s="9" t="s">
        <v>26</v>
      </c>
      <c r="E5427" s="10" t="n">
        <v>1789</v>
      </c>
      <c r="F5427" s="9" t="s">
        <v>27</v>
      </c>
      <c r="G5427" s="9" t="s">
        <v>27</v>
      </c>
      <c r="H5427" s="11" t="n">
        <v>22</v>
      </c>
      <c r="I5427" s="11" t="s">
        <v>238</v>
      </c>
      <c r="J5427" s="14" t="n">
        <v>40</v>
      </c>
      <c r="K5427" s="14"/>
      <c r="L5427" s="16"/>
      <c r="M5427" s="27" t="n">
        <f aca="false">J5427+(K5427/20)+(L5427/240)</f>
        <v>40</v>
      </c>
      <c r="N5427" s="17" t="s">
        <v>66</v>
      </c>
      <c r="O5427" s="11"/>
      <c r="P5427" s="28" t="n">
        <v>150</v>
      </c>
      <c r="Q5427" s="28" t="n">
        <v>6000</v>
      </c>
      <c r="R5427" s="28"/>
      <c r="S5427" s="28" t="n">
        <f aca="false">R5427*$M5427</f>
        <v>0</v>
      </c>
      <c r="T5427" s="28" t="n">
        <v>467</v>
      </c>
      <c r="U5427" s="28" t="n">
        <v>18680</v>
      </c>
      <c r="V5427" s="28" t="n">
        <v>1124</v>
      </c>
      <c r="W5427" s="28" t="n">
        <v>44960</v>
      </c>
      <c r="X5427" s="28" t="n">
        <v>591</v>
      </c>
      <c r="Y5427" s="28" t="n">
        <v>23640</v>
      </c>
      <c r="Z5427" s="28"/>
      <c r="AA5427" s="28" t="n">
        <f aca="false">Z5427*$M5427</f>
        <v>0</v>
      </c>
      <c r="AB5427" s="28" t="n">
        <v>554</v>
      </c>
      <c r="AC5427" s="28" t="n">
        <v>22160</v>
      </c>
      <c r="AD5427" s="28"/>
      <c r="AE5427" s="28" t="n">
        <f aca="false">AD5427*$M5427</f>
        <v>0</v>
      </c>
      <c r="AF5427" s="28"/>
      <c r="AG5427" s="28" t="n">
        <f aca="false">AF5427*$M5427</f>
        <v>0</v>
      </c>
      <c r="AH5427" s="28" t="n">
        <v>1109</v>
      </c>
      <c r="AI5427" s="28" t="n">
        <v>44360</v>
      </c>
      <c r="AJ5427" s="28"/>
      <c r="AK5427" s="28" t="n">
        <f aca="false">AJ5427*$M5427</f>
        <v>0</v>
      </c>
      <c r="AL5427" s="28"/>
      <c r="AM5427" s="28" t="n">
        <f aca="false">AL5427*$M5427</f>
        <v>0</v>
      </c>
      <c r="AN5427" s="28"/>
      <c r="AO5427" s="28" t="n">
        <f aca="false">AN5427*$M5427</f>
        <v>0</v>
      </c>
      <c r="AP5427" s="28"/>
      <c r="AQ5427" s="28" t="n">
        <f aca="false">AP5427*$M5427</f>
        <v>0</v>
      </c>
      <c r="AR5427" s="28"/>
      <c r="AS5427" s="28" t="n">
        <f aca="false">AR5427*$M5427</f>
        <v>0</v>
      </c>
      <c r="AT5427" s="28"/>
      <c r="AU5427" s="28" t="n">
        <f aca="false">AT5427*$M5427</f>
        <v>0</v>
      </c>
      <c r="AV5427" s="28"/>
      <c r="AW5427" s="28" t="n">
        <f aca="false">AV5427*$M5427</f>
        <v>0</v>
      </c>
      <c r="AX5427" s="28"/>
      <c r="AY5427" s="28" t="n">
        <f aca="false">AX5427*$M5427</f>
        <v>0</v>
      </c>
      <c r="AZ5427" s="30" t="n">
        <v>3995</v>
      </c>
      <c r="BA5427" s="11" t="n">
        <v>159800</v>
      </c>
      <c r="BB5427" s="31" t="n">
        <f aca="false">SUM(Q5427,S5427,U5427,W5427,Y5427,AA5427,AC5427,AE5427,AG5427,AI5427,AK5427,AM5427,AO5427,AQ5427,AS5427,AU5427,AW5427,AY5427)</f>
        <v>159800</v>
      </c>
      <c r="BC5427" s="28" t="n">
        <f aca="false">BA5427-BB5427</f>
        <v>0</v>
      </c>
      <c r="BD5427" s="32" t="n">
        <f aca="false">SUM(P5427,R5427,T5427,V5427,X5427,Z5427,AB5427,AD5427,AF5427,AH5427,AJ5427,AL5427,AN5427,AP5427,AR5427,AT5427,AV5427,AX5427)</f>
        <v>3995</v>
      </c>
      <c r="BE5427" s="33" t="n">
        <f aca="false">AZ5427-BD5427</f>
        <v>0</v>
      </c>
      <c r="BF5427" s="34" t="n">
        <f aca="false">BD5427*M5427</f>
        <v>159800</v>
      </c>
      <c r="BG5427" s="35" t="n">
        <f aca="false">BA5427-BF5427</f>
        <v>0</v>
      </c>
      <c r="BH5427" s="19" t="str">
        <f aca="false">IF(BG5427=0,"",IF(BG5427&lt;&gt;BA5427,"erreur de calcul",IF(BD5427&lt;&gt;0,"pas de prix",IF(M5427&lt;&gt; 0,"pas de quantité","pas de prix, ni de quantité"))))</f>
        <v/>
      </c>
      <c r="BI5427" s="19"/>
    </row>
    <row r="5428" customFormat="false" ht="15" hidden="false" customHeight="false" outlineLevel="0" collapsed="false">
      <c r="A5428" s="0" t="n">
        <v>36</v>
      </c>
      <c r="B5428" s="8" t="s">
        <v>24</v>
      </c>
      <c r="C5428" s="9" t="s">
        <v>25</v>
      </c>
      <c r="D5428" s="9" t="s">
        <v>26</v>
      </c>
      <c r="E5428" s="10" t="n">
        <v>1789</v>
      </c>
      <c r="F5428" s="9" t="s">
        <v>27</v>
      </c>
      <c r="G5428" s="9" t="s">
        <v>27</v>
      </c>
      <c r="H5428" s="11" t="n">
        <v>22</v>
      </c>
      <c r="I5428" s="11" t="s">
        <v>239</v>
      </c>
      <c r="J5428" s="14" t="n">
        <v>48</v>
      </c>
      <c r="K5428" s="14"/>
      <c r="L5428" s="16"/>
      <c r="M5428" s="27" t="n">
        <f aca="false">J5428+(K5428/20)+(L5428/240)</f>
        <v>48</v>
      </c>
      <c r="N5428" s="17" t="s">
        <v>66</v>
      </c>
      <c r="O5428" s="11"/>
      <c r="P5428" s="28"/>
      <c r="Q5428" s="28" t="n">
        <f aca="false">P5428*$M5428</f>
        <v>0</v>
      </c>
      <c r="R5428" s="28"/>
      <c r="S5428" s="28" t="n">
        <f aca="false">R5428*$M5428</f>
        <v>0</v>
      </c>
      <c r="T5428" s="28" t="n">
        <v>690</v>
      </c>
      <c r="U5428" s="28" t="n">
        <v>33120</v>
      </c>
      <c r="V5428" s="28" t="n">
        <v>3577</v>
      </c>
      <c r="W5428" s="28" t="n">
        <v>171696</v>
      </c>
      <c r="X5428" s="28"/>
      <c r="Y5428" s="28" t="n">
        <f aca="false">X5428*$M5428</f>
        <v>0</v>
      </c>
      <c r="Z5428" s="28"/>
      <c r="AA5428" s="28" t="n">
        <f aca="false">Z5428*$M5428</f>
        <v>0</v>
      </c>
      <c r="AB5428" s="28"/>
      <c r="AC5428" s="28" t="n">
        <f aca="false">AB5428*$M5428</f>
        <v>0</v>
      </c>
      <c r="AD5428" s="28"/>
      <c r="AE5428" s="28" t="n">
        <f aca="false">AD5428*$M5428</f>
        <v>0</v>
      </c>
      <c r="AF5428" s="28"/>
      <c r="AG5428" s="28" t="n">
        <f aca="false">AF5428*$M5428</f>
        <v>0</v>
      </c>
      <c r="AH5428" s="28"/>
      <c r="AI5428" s="28" t="n">
        <f aca="false">AH5428*$M5428</f>
        <v>0</v>
      </c>
      <c r="AJ5428" s="28"/>
      <c r="AK5428" s="28" t="n">
        <f aca="false">AJ5428*$M5428</f>
        <v>0</v>
      </c>
      <c r="AL5428" s="28"/>
      <c r="AM5428" s="28" t="n">
        <f aca="false">AL5428*$M5428</f>
        <v>0</v>
      </c>
      <c r="AN5428" s="28"/>
      <c r="AO5428" s="28" t="n">
        <f aca="false">AN5428*$M5428</f>
        <v>0</v>
      </c>
      <c r="AP5428" s="28"/>
      <c r="AQ5428" s="28" t="n">
        <f aca="false">AP5428*$M5428</f>
        <v>0</v>
      </c>
      <c r="AR5428" s="28"/>
      <c r="AS5428" s="28" t="n">
        <f aca="false">AR5428*$M5428</f>
        <v>0</v>
      </c>
      <c r="AT5428" s="28"/>
      <c r="AU5428" s="28" t="n">
        <f aca="false">AT5428*$M5428</f>
        <v>0</v>
      </c>
      <c r="AV5428" s="28"/>
      <c r="AW5428" s="28" t="n">
        <f aca="false">AV5428*$M5428</f>
        <v>0</v>
      </c>
      <c r="AX5428" s="28"/>
      <c r="AY5428" s="28" t="n">
        <f aca="false">AX5428*$M5428</f>
        <v>0</v>
      </c>
      <c r="AZ5428" s="30" t="n">
        <v>4267</v>
      </c>
      <c r="BA5428" s="11" t="n">
        <v>204816</v>
      </c>
      <c r="BB5428" s="31" t="n">
        <f aca="false">SUM(Q5428,S5428,U5428,W5428,Y5428,AA5428,AC5428,AE5428,AG5428,AI5428,AK5428,AM5428,AO5428,AQ5428,AS5428,AU5428,AW5428,AY5428)</f>
        <v>204816</v>
      </c>
      <c r="BC5428" s="28" t="n">
        <f aca="false">BA5428-BB5428</f>
        <v>0</v>
      </c>
      <c r="BD5428" s="32" t="n">
        <f aca="false">SUM(P5428,R5428,T5428,V5428,X5428,Z5428,AB5428,AD5428,AF5428,AH5428,AJ5428,AL5428,AN5428,AP5428,AR5428,AT5428,AV5428,AX5428)</f>
        <v>4267</v>
      </c>
      <c r="BE5428" s="33" t="n">
        <f aca="false">AZ5428-BD5428</f>
        <v>0</v>
      </c>
      <c r="BF5428" s="34" t="n">
        <f aca="false">BD5428*M5428</f>
        <v>204816</v>
      </c>
      <c r="BG5428" s="35" t="n">
        <f aca="false">BA5428-BF5428</f>
        <v>0</v>
      </c>
      <c r="BH5428" s="19" t="str">
        <f aca="false">IF(BG5428=0,"",IF(BG5428&lt;&gt;BA5428,"erreur de calcul",IF(BD5428&lt;&gt;0,"pas de prix",IF(M5428&lt;&gt; 0,"pas de quantité","pas de prix, ni de quantité"))))</f>
        <v/>
      </c>
      <c r="BI5428" s="19"/>
    </row>
    <row r="5429" customFormat="false" ht="15" hidden="false" customHeight="false" outlineLevel="0" collapsed="false">
      <c r="A5429" s="0" t="n">
        <v>37</v>
      </c>
      <c r="B5429" s="8" t="s">
        <v>24</v>
      </c>
      <c r="C5429" s="9" t="s">
        <v>25</v>
      </c>
      <c r="D5429" s="9" t="s">
        <v>26</v>
      </c>
      <c r="E5429" s="10" t="n">
        <v>1789</v>
      </c>
      <c r="F5429" s="9" t="s">
        <v>27</v>
      </c>
      <c r="G5429" s="9" t="s">
        <v>27</v>
      </c>
      <c r="H5429" s="11" t="n">
        <v>22</v>
      </c>
      <c r="I5429" s="11" t="s">
        <v>240</v>
      </c>
      <c r="J5429" s="14" t="n">
        <v>30</v>
      </c>
      <c r="K5429" s="14"/>
      <c r="L5429" s="16"/>
      <c r="M5429" s="27" t="n">
        <f aca="false">J5429+(K5429/20)+(L5429/240)</f>
        <v>30</v>
      </c>
      <c r="N5429" s="17" t="s">
        <v>66</v>
      </c>
      <c r="O5429" s="11"/>
      <c r="P5429" s="28"/>
      <c r="Q5429" s="28" t="n">
        <f aca="false">P5429*$M5429</f>
        <v>0</v>
      </c>
      <c r="R5429" s="28"/>
      <c r="S5429" s="28" t="n">
        <f aca="false">R5429*$M5429</f>
        <v>0</v>
      </c>
      <c r="T5429" s="28"/>
      <c r="U5429" s="28" t="n">
        <f aca="false">T5429*$M5429</f>
        <v>0</v>
      </c>
      <c r="V5429" s="28"/>
      <c r="W5429" s="28" t="n">
        <f aca="false">V5429*$M5429</f>
        <v>0</v>
      </c>
      <c r="X5429" s="28"/>
      <c r="Y5429" s="28" t="n">
        <f aca="false">X5429*$M5429</f>
        <v>0</v>
      </c>
      <c r="Z5429" s="28"/>
      <c r="AA5429" s="28" t="n">
        <f aca="false">Z5429*$M5429</f>
        <v>0</v>
      </c>
      <c r="AB5429" s="28"/>
      <c r="AC5429" s="28" t="n">
        <f aca="false">AB5429*$M5429</f>
        <v>0</v>
      </c>
      <c r="AD5429" s="28"/>
      <c r="AE5429" s="28" t="n">
        <f aca="false">AD5429*$M5429</f>
        <v>0</v>
      </c>
      <c r="AF5429" s="28"/>
      <c r="AG5429" s="28" t="n">
        <f aca="false">AF5429*$M5429</f>
        <v>0</v>
      </c>
      <c r="AH5429" s="28" t="n">
        <v>4770</v>
      </c>
      <c r="AI5429" s="28" t="n">
        <v>143100</v>
      </c>
      <c r="AJ5429" s="28"/>
      <c r="AK5429" s="28" t="n">
        <f aca="false">AJ5429*$M5429</f>
        <v>0</v>
      </c>
      <c r="AL5429" s="28"/>
      <c r="AM5429" s="28" t="n">
        <f aca="false">AL5429*$M5429</f>
        <v>0</v>
      </c>
      <c r="AN5429" s="28"/>
      <c r="AO5429" s="28" t="n">
        <f aca="false">AN5429*$M5429</f>
        <v>0</v>
      </c>
      <c r="AP5429" s="28"/>
      <c r="AQ5429" s="28" t="n">
        <f aca="false">AP5429*$M5429</f>
        <v>0</v>
      </c>
      <c r="AR5429" s="28"/>
      <c r="AS5429" s="28" t="n">
        <f aca="false">AR5429*$M5429</f>
        <v>0</v>
      </c>
      <c r="AT5429" s="28"/>
      <c r="AU5429" s="28" t="n">
        <f aca="false">AT5429*$M5429</f>
        <v>0</v>
      </c>
      <c r="AV5429" s="28"/>
      <c r="AW5429" s="28" t="n">
        <f aca="false">AV5429*$M5429</f>
        <v>0</v>
      </c>
      <c r="AX5429" s="28"/>
      <c r="AY5429" s="28" t="n">
        <f aca="false">AX5429*$M5429</f>
        <v>0</v>
      </c>
      <c r="AZ5429" s="30" t="n">
        <v>4770</v>
      </c>
      <c r="BA5429" s="11" t="n">
        <v>143100</v>
      </c>
      <c r="BB5429" s="31" t="n">
        <f aca="false">SUM(Q5429,S5429,U5429,W5429,Y5429,AA5429,AC5429,AE5429,AG5429,AI5429,AK5429,AM5429,AO5429,AQ5429,AS5429,AU5429,AW5429,AY5429)</f>
        <v>143100</v>
      </c>
      <c r="BC5429" s="28" t="n">
        <f aca="false">BA5429-BB5429</f>
        <v>0</v>
      </c>
      <c r="BD5429" s="32" t="n">
        <f aca="false">SUM(P5429,R5429,T5429,V5429,X5429,Z5429,AB5429,AD5429,AF5429,AH5429,AJ5429,AL5429,AN5429,AP5429,AR5429,AT5429,AV5429,AX5429)</f>
        <v>4770</v>
      </c>
      <c r="BE5429" s="33" t="n">
        <f aca="false">AZ5429-BD5429</f>
        <v>0</v>
      </c>
      <c r="BF5429" s="34" t="n">
        <f aca="false">BD5429*M5429</f>
        <v>143100</v>
      </c>
      <c r="BG5429" s="35" t="n">
        <f aca="false">BA5429-BF5429</f>
        <v>0</v>
      </c>
      <c r="BH5429" s="19" t="str">
        <f aca="false">IF(BG5429=0,"",IF(BG5429&lt;&gt;BA5429,"erreur de calcul",IF(BD5429&lt;&gt;0,"pas de prix",IF(M5429&lt;&gt; 0,"pas de quantité","pas de prix, ni de quantité"))))</f>
        <v/>
      </c>
      <c r="BI5429" s="19"/>
    </row>
    <row r="5430" customFormat="false" ht="15" hidden="false" customHeight="false" outlineLevel="0" collapsed="false">
      <c r="A5430" s="0" t="n">
        <v>38</v>
      </c>
      <c r="B5430" s="8" t="s">
        <v>24</v>
      </c>
      <c r="C5430" s="9" t="s">
        <v>25</v>
      </c>
      <c r="D5430" s="9" t="s">
        <v>26</v>
      </c>
      <c r="E5430" s="10" t="n">
        <v>1789</v>
      </c>
      <c r="F5430" s="9" t="s">
        <v>27</v>
      </c>
      <c r="G5430" s="9" t="s">
        <v>27</v>
      </c>
      <c r="H5430" s="11" t="n">
        <v>22</v>
      </c>
      <c r="I5430" s="11" t="s">
        <v>241</v>
      </c>
      <c r="J5430" s="14" t="n">
        <v>24</v>
      </c>
      <c r="K5430" s="14"/>
      <c r="L5430" s="16"/>
      <c r="M5430" s="27" t="n">
        <f aca="false">J5430+(K5430/20)+(L5430/240)</f>
        <v>24</v>
      </c>
      <c r="N5430" s="17" t="s">
        <v>64</v>
      </c>
      <c r="O5430" s="11"/>
      <c r="P5430" s="28" t="n">
        <f aca="false">188958/100</f>
        <v>1889.58</v>
      </c>
      <c r="Q5430" s="28" t="n">
        <v>45350</v>
      </c>
      <c r="R5430" s="28"/>
      <c r="S5430" s="28" t="n">
        <f aca="false">R5430*$M5430</f>
        <v>0</v>
      </c>
      <c r="T5430" s="28"/>
      <c r="U5430" s="28" t="n">
        <f aca="false">T5430*$M5430</f>
        <v>0</v>
      </c>
      <c r="V5430" s="28" t="n">
        <f aca="false">10567/100</f>
        <v>105.67</v>
      </c>
      <c r="W5430" s="28" t="n">
        <v>2536</v>
      </c>
      <c r="X5430" s="28" t="n">
        <f aca="false">9467/100</f>
        <v>94.67</v>
      </c>
      <c r="Y5430" s="28" t="n">
        <v>2272</v>
      </c>
      <c r="Z5430" s="28"/>
      <c r="AA5430" s="28" t="n">
        <f aca="false">Z5430*$M5430</f>
        <v>0</v>
      </c>
      <c r="AB5430" s="28"/>
      <c r="AC5430" s="28" t="n">
        <f aca="false">AB5430*$M5430</f>
        <v>0</v>
      </c>
      <c r="AD5430" s="28"/>
      <c r="AE5430" s="28" t="n">
        <f aca="false">AD5430*$M5430</f>
        <v>0</v>
      </c>
      <c r="AF5430" s="28"/>
      <c r="AG5430" s="28" t="n">
        <f aca="false">AF5430*$M5430</f>
        <v>0</v>
      </c>
      <c r="AH5430" s="28"/>
      <c r="AI5430" s="28" t="n">
        <f aca="false">AH5430*$M5430</f>
        <v>0</v>
      </c>
      <c r="AJ5430" s="28"/>
      <c r="AK5430" s="28" t="n">
        <f aca="false">AJ5430*$M5430</f>
        <v>0</v>
      </c>
      <c r="AL5430" s="28"/>
      <c r="AM5430" s="28" t="n">
        <f aca="false">AL5430*$M5430</f>
        <v>0</v>
      </c>
      <c r="AN5430" s="28"/>
      <c r="AO5430" s="28" t="n">
        <f aca="false">AN5430*$M5430</f>
        <v>0</v>
      </c>
      <c r="AP5430" s="28"/>
      <c r="AQ5430" s="28" t="n">
        <f aca="false">AP5430*$M5430</f>
        <v>0</v>
      </c>
      <c r="AR5430" s="28"/>
      <c r="AS5430" s="28" t="n">
        <f aca="false">AR5430*$M5430</f>
        <v>0</v>
      </c>
      <c r="AT5430" s="28"/>
      <c r="AU5430" s="28" t="n">
        <f aca="false">AT5430*$M5430</f>
        <v>0</v>
      </c>
      <c r="AV5430" s="28"/>
      <c r="AW5430" s="28" t="n">
        <f aca="false">AV5430*$M5430</f>
        <v>0</v>
      </c>
      <c r="AX5430" s="28" t="n">
        <f aca="false">328659/100</f>
        <v>3286.59</v>
      </c>
      <c r="AY5430" s="28" t="n">
        <v>78878</v>
      </c>
      <c r="AZ5430" s="30" t="n">
        <f aca="false">537651/100</f>
        <v>5376.51</v>
      </c>
      <c r="BA5430" s="11" t="n">
        <v>129036</v>
      </c>
      <c r="BB5430" s="31" t="n">
        <f aca="false">SUM(Q5430,S5430,U5430,W5430,Y5430,AA5430,AC5430,AE5430,AG5430,AI5430,AK5430,AM5430,AO5430,AQ5430,AS5430,AU5430,AW5430,AY5430)</f>
        <v>129036</v>
      </c>
      <c r="BC5430" s="28" t="n">
        <f aca="false">BA5430-BB5430</f>
        <v>0</v>
      </c>
      <c r="BD5430" s="32" t="n">
        <f aca="false">SUM(P5430,R5430,T5430,V5430,X5430,Z5430,AB5430,AD5430,AF5430,AH5430,AJ5430,AL5430,AN5430,AP5430,AR5430,AT5430,AV5430,AX5430)</f>
        <v>5376.51</v>
      </c>
      <c r="BE5430" s="33" t="n">
        <f aca="false">AZ5430-BD5430</f>
        <v>0</v>
      </c>
      <c r="BF5430" s="34" t="n">
        <f aca="false">BD5430*M5430</f>
        <v>129036.24</v>
      </c>
      <c r="BG5430" s="35" t="n">
        <f aca="false">BA5430-BF5430</f>
        <v>-0.240000000005239</v>
      </c>
      <c r="BH5430" s="19" t="str">
        <f aca="false">IF(BG5430=0,"",IF(BG5430&lt;&gt;BA5430,"erreur de calcul",IF(BD5430&lt;&gt;0,"pas de prix",IF(M5430&lt;&gt; 0,"pas de quantité","pas de prix, ni de quantité"))))</f>
        <v>erreur de calcul</v>
      </c>
      <c r="BI5430" s="19"/>
    </row>
    <row r="5431" customFormat="false" ht="15" hidden="false" customHeight="false" outlineLevel="0" collapsed="false">
      <c r="A5431" s="0" t="n">
        <v>39</v>
      </c>
      <c r="B5431" s="8" t="s">
        <v>24</v>
      </c>
      <c r="C5431" s="9" t="s">
        <v>25</v>
      </c>
      <c r="D5431" s="9" t="s">
        <v>26</v>
      </c>
      <c r="E5431" s="10" t="n">
        <v>1789</v>
      </c>
      <c r="F5431" s="9" t="s">
        <v>27</v>
      </c>
      <c r="G5431" s="9" t="s">
        <v>27</v>
      </c>
      <c r="H5431" s="11" t="n">
        <v>22</v>
      </c>
      <c r="I5431" s="11" t="s">
        <v>242</v>
      </c>
      <c r="J5431" s="14" t="n">
        <v>41</v>
      </c>
      <c r="K5431" s="14"/>
      <c r="L5431" s="16"/>
      <c r="M5431" s="27" t="n">
        <f aca="false">J5431+(K5431/20)+(L5431/240)</f>
        <v>41</v>
      </c>
      <c r="N5431" s="17" t="s">
        <v>64</v>
      </c>
      <c r="O5431" s="11"/>
      <c r="P5431" s="28"/>
      <c r="Q5431" s="28" t="n">
        <f aca="false">P5431*$M5431</f>
        <v>0</v>
      </c>
      <c r="R5431" s="28"/>
      <c r="S5431" s="28" t="n">
        <f aca="false">R5431*$M5431</f>
        <v>0</v>
      </c>
      <c r="T5431" s="28" t="n">
        <f aca="false">441/100</f>
        <v>4.41</v>
      </c>
      <c r="U5431" s="28" t="n">
        <v>181</v>
      </c>
      <c r="V5431" s="28"/>
      <c r="W5431" s="28" t="n">
        <f aca="false">V5431*$M5431</f>
        <v>0</v>
      </c>
      <c r="X5431" s="28"/>
      <c r="Y5431" s="28" t="n">
        <f aca="false">X5431*$M5431</f>
        <v>0</v>
      </c>
      <c r="Z5431" s="28"/>
      <c r="AA5431" s="28" t="n">
        <f aca="false">Z5431*$M5431</f>
        <v>0</v>
      </c>
      <c r="AB5431" s="28"/>
      <c r="AC5431" s="28" t="n">
        <f aca="false">AB5431*$M5431</f>
        <v>0</v>
      </c>
      <c r="AD5431" s="28"/>
      <c r="AE5431" s="28" t="n">
        <f aca="false">AD5431*$M5431</f>
        <v>0</v>
      </c>
      <c r="AF5431" s="28"/>
      <c r="AG5431" s="28" t="n">
        <f aca="false">AF5431*$M5431</f>
        <v>0</v>
      </c>
      <c r="AH5431" s="28"/>
      <c r="AI5431" s="28" t="n">
        <f aca="false">AH5431*$M5431</f>
        <v>0</v>
      </c>
      <c r="AJ5431" s="28"/>
      <c r="AK5431" s="28" t="n">
        <f aca="false">AJ5431*$M5431</f>
        <v>0</v>
      </c>
      <c r="AL5431" s="28"/>
      <c r="AM5431" s="28" t="n">
        <f aca="false">AL5431*$M5431</f>
        <v>0</v>
      </c>
      <c r="AN5431" s="28"/>
      <c r="AO5431" s="28" t="n">
        <f aca="false">AN5431*$M5431</f>
        <v>0</v>
      </c>
      <c r="AP5431" s="28"/>
      <c r="AQ5431" s="28" t="n">
        <f aca="false">AP5431*$M5431</f>
        <v>0</v>
      </c>
      <c r="AR5431" s="28"/>
      <c r="AS5431" s="28" t="n">
        <f aca="false">AR5431*$M5431</f>
        <v>0</v>
      </c>
      <c r="AT5431" s="28"/>
      <c r="AU5431" s="28" t="n">
        <f aca="false">AT5431*$M5431</f>
        <v>0</v>
      </c>
      <c r="AV5431" s="28"/>
      <c r="AW5431" s="28" t="n">
        <f aca="false">AV5431*$M5431</f>
        <v>0</v>
      </c>
      <c r="AX5431" s="28"/>
      <c r="AY5431" s="28" t="n">
        <f aca="false">AX5431*$M5431</f>
        <v>0</v>
      </c>
      <c r="AZ5431" s="30" t="n">
        <f aca="false">441/100</f>
        <v>4.41</v>
      </c>
      <c r="BA5431" s="11" t="n">
        <v>181</v>
      </c>
      <c r="BB5431" s="31" t="n">
        <f aca="false">SUM(Q5431,S5431,U5431,W5431,Y5431,AA5431,AC5431,AE5431,AG5431,AI5431,AK5431,AM5431,AO5431,AQ5431,AS5431,AU5431,AW5431,AY5431)</f>
        <v>181</v>
      </c>
      <c r="BC5431" s="28" t="n">
        <f aca="false">BA5431-BB5431</f>
        <v>0</v>
      </c>
      <c r="BD5431" s="32" t="n">
        <f aca="false">SUM(P5431,R5431,T5431,V5431,X5431,Z5431,AB5431,AD5431,AF5431,AH5431,AJ5431,AL5431,AN5431,AP5431,AR5431,AT5431,AV5431,AX5431)</f>
        <v>4.41</v>
      </c>
      <c r="BE5431" s="33" t="n">
        <f aca="false">AZ5431-BD5431</f>
        <v>0</v>
      </c>
      <c r="BF5431" s="34" t="n">
        <f aca="false">BD5431*M5431</f>
        <v>180.81</v>
      </c>
      <c r="BG5431" s="35" t="n">
        <f aca="false">BA5431-BF5431</f>
        <v>0.189999999999998</v>
      </c>
      <c r="BH5431" s="19" t="str">
        <f aca="false">IF(BG5431=0,"",IF(BG5431&lt;&gt;BA5431,"erreur de calcul",IF(BD5431&lt;&gt;0,"pas de prix",IF(M5431&lt;&gt; 0,"pas de quantité","pas de prix, ni de quantité"))))</f>
        <v>erreur de calcul</v>
      </c>
      <c r="BI5431" s="19"/>
    </row>
    <row r="5432" customFormat="false" ht="15" hidden="false" customHeight="false" outlineLevel="0" collapsed="false">
      <c r="A5432" s="0" t="n">
        <v>1</v>
      </c>
      <c r="B5432" s="8" t="s">
        <v>24</v>
      </c>
      <c r="C5432" s="9" t="s">
        <v>25</v>
      </c>
      <c r="D5432" s="9" t="s">
        <v>26</v>
      </c>
      <c r="E5432" s="10" t="n">
        <v>1789</v>
      </c>
      <c r="F5432" s="9" t="s">
        <v>27</v>
      </c>
      <c r="G5432" s="9" t="s">
        <v>27</v>
      </c>
      <c r="H5432" s="11" t="n">
        <v>23</v>
      </c>
      <c r="I5432" s="11" t="s">
        <v>243</v>
      </c>
      <c r="J5432" s="14"/>
      <c r="K5432" s="14"/>
      <c r="L5432" s="16"/>
      <c r="M5432" s="27" t="n">
        <f aca="false">J5432+(K5432/20)+(L5432/240)</f>
        <v>0</v>
      </c>
      <c r="N5432" s="17"/>
      <c r="O5432" s="11"/>
      <c r="P5432" s="28"/>
      <c r="Q5432" s="28" t="n">
        <f aca="false">P5432*$M5432</f>
        <v>0</v>
      </c>
      <c r="R5432" s="28"/>
      <c r="S5432" s="28" t="n">
        <f aca="false">R5432*$M5432</f>
        <v>0</v>
      </c>
      <c r="T5432" s="28"/>
      <c r="U5432" s="28" t="n">
        <f aca="false">T5432*$M5432</f>
        <v>0</v>
      </c>
      <c r="V5432" s="28"/>
      <c r="W5432" s="28" t="n">
        <v>100</v>
      </c>
      <c r="X5432" s="28"/>
      <c r="Y5432" s="28" t="n">
        <v>563</v>
      </c>
      <c r="Z5432" s="28"/>
      <c r="AA5432" s="28" t="n">
        <f aca="false">Z5432*$M5432</f>
        <v>0</v>
      </c>
      <c r="AB5432" s="28"/>
      <c r="AC5432" s="28" t="n">
        <f aca="false">AB5432*$M5432</f>
        <v>0</v>
      </c>
      <c r="AD5432" s="28"/>
      <c r="AE5432" s="28" t="n">
        <f aca="false">AD5432*$M5432</f>
        <v>0</v>
      </c>
      <c r="AF5432" s="28"/>
      <c r="AG5432" s="28" t="n">
        <f aca="false">AF5432*$M5432</f>
        <v>0</v>
      </c>
      <c r="AH5432" s="28"/>
      <c r="AI5432" s="28" t="n">
        <f aca="false">AH5432*$M5432</f>
        <v>0</v>
      </c>
      <c r="AJ5432" s="28"/>
      <c r="AK5432" s="28" t="n">
        <v>1015</v>
      </c>
      <c r="AL5432" s="28"/>
      <c r="AM5432" s="28" t="n">
        <f aca="false">AL5432*$M5432</f>
        <v>0</v>
      </c>
      <c r="AN5432" s="28"/>
      <c r="AO5432" s="28" t="n">
        <f aca="false">AN5432*$M5432</f>
        <v>0</v>
      </c>
      <c r="AP5432" s="28"/>
      <c r="AQ5432" s="28" t="n">
        <f aca="false">AP5432*$M5432</f>
        <v>0</v>
      </c>
      <c r="AR5432" s="28"/>
      <c r="AS5432" s="28" t="n">
        <f aca="false">AR5432*$M5432</f>
        <v>0</v>
      </c>
      <c r="AT5432" s="28"/>
      <c r="AU5432" s="28" t="n">
        <f aca="false">AT5432*$M5432</f>
        <v>0</v>
      </c>
      <c r="AV5432" s="28"/>
      <c r="AW5432" s="28" t="n">
        <f aca="false">AV5432*$M5432</f>
        <v>0</v>
      </c>
      <c r="AX5432" s="28"/>
      <c r="AY5432" s="28" t="n">
        <f aca="false">AX5432*$M5432</f>
        <v>0</v>
      </c>
      <c r="AZ5432" s="30"/>
      <c r="BA5432" s="11" t="n">
        <v>1678</v>
      </c>
      <c r="BB5432" s="31" t="n">
        <f aca="false">SUM(Q5432,S5432,U5432,W5432,Y5432,AA5432,AC5432,AE5432,AG5432,AI5432,AK5432,AM5432,AO5432,AQ5432,AS5432,AU5432,AW5432,AY5432)</f>
        <v>1678</v>
      </c>
      <c r="BC5432" s="28" t="n">
        <f aca="false">BA5432-BB5432</f>
        <v>0</v>
      </c>
      <c r="BD5432" s="32" t="n">
        <f aca="false">SUM(P5432,R5432,T5432,V5432,X5432,Z5432,AB5432,AD5432,AF5432,AH5432,AJ5432,AL5432,AN5432,AP5432,AR5432,AT5432,AV5432,AX5432)</f>
        <v>0</v>
      </c>
      <c r="BE5432" s="33" t="n">
        <f aca="false">AZ5432-BD5432</f>
        <v>0</v>
      </c>
      <c r="BF5432" s="34" t="n">
        <f aca="false">BD5432*M5432</f>
        <v>0</v>
      </c>
      <c r="BG5432" s="35" t="n">
        <f aca="false">BA5432-BF5432</f>
        <v>1678</v>
      </c>
      <c r="BH5432" s="19" t="str">
        <f aca="false">IF(BG5432=0,"",IF(BG5432&lt;&gt;BA5432,"erreur de calcul",IF(BD5432&lt;&gt;0,"pas de prix",IF(M5432&lt;&gt; 0,"pas de quantité","pas de prix, ni de quantité"))))</f>
        <v>pas de prix, ni de quantité</v>
      </c>
      <c r="BI5432" s="19"/>
    </row>
    <row r="5433" customFormat="false" ht="15" hidden="false" customHeight="false" outlineLevel="0" collapsed="false">
      <c r="A5433" s="0" t="n">
        <v>2</v>
      </c>
      <c r="B5433" s="8" t="s">
        <v>24</v>
      </c>
      <c r="C5433" s="9" t="s">
        <v>25</v>
      </c>
      <c r="D5433" s="9" t="s">
        <v>26</v>
      </c>
      <c r="E5433" s="10" t="n">
        <v>1789</v>
      </c>
      <c r="F5433" s="9" t="s">
        <v>27</v>
      </c>
      <c r="G5433" s="9" t="s">
        <v>27</v>
      </c>
      <c r="H5433" s="11" t="n">
        <v>23</v>
      </c>
      <c r="I5433" s="11" t="s">
        <v>244</v>
      </c>
      <c r="J5433" s="14" t="n">
        <v>22</v>
      </c>
      <c r="K5433" s="14"/>
      <c r="L5433" s="16"/>
      <c r="M5433" s="27" t="n">
        <f aca="false">J5433+(K5433/20)+(L5433/240)</f>
        <v>22</v>
      </c>
      <c r="N5433" s="17" t="s">
        <v>64</v>
      </c>
      <c r="O5433" s="11"/>
      <c r="P5433" s="28"/>
      <c r="Q5433" s="28" t="n">
        <f aca="false">P5433*$M5433</f>
        <v>0</v>
      </c>
      <c r="R5433" s="28"/>
      <c r="S5433" s="28" t="n">
        <f aca="false">R5433*$M5433</f>
        <v>0</v>
      </c>
      <c r="T5433" s="28"/>
      <c r="U5433" s="28" t="n">
        <f aca="false">T5433*$M5433</f>
        <v>0</v>
      </c>
      <c r="V5433" s="28" t="n">
        <f aca="false">15346/100</f>
        <v>153.46</v>
      </c>
      <c r="W5433" s="28" t="n">
        <v>3376</v>
      </c>
      <c r="X5433" s="28"/>
      <c r="Y5433" s="28" t="n">
        <f aca="false">X5433*$M5433</f>
        <v>0</v>
      </c>
      <c r="Z5433" s="28"/>
      <c r="AA5433" s="28" t="n">
        <f aca="false">Z5433*$M5433</f>
        <v>0</v>
      </c>
      <c r="AB5433" s="28"/>
      <c r="AC5433" s="28" t="n">
        <f aca="false">AB5433*$M5433</f>
        <v>0</v>
      </c>
      <c r="AD5433" s="28"/>
      <c r="AE5433" s="28" t="n">
        <f aca="false">AD5433*$M5433</f>
        <v>0</v>
      </c>
      <c r="AF5433" s="28"/>
      <c r="AG5433" s="28" t="n">
        <f aca="false">AF5433*$M5433</f>
        <v>0</v>
      </c>
      <c r="AH5433" s="28"/>
      <c r="AI5433" s="28" t="n">
        <f aca="false">AH5433*$M5433</f>
        <v>0</v>
      </c>
      <c r="AJ5433" s="28" t="n">
        <f aca="false">9084/100</f>
        <v>90.84</v>
      </c>
      <c r="AK5433" s="28" t="n">
        <v>1998</v>
      </c>
      <c r="AL5433" s="28" t="n">
        <f aca="false">8917/100</f>
        <v>89.17</v>
      </c>
      <c r="AM5433" s="28" t="n">
        <v>1962</v>
      </c>
      <c r="AN5433" s="28"/>
      <c r="AO5433" s="28" t="n">
        <f aca="false">AN5433*$M5433</f>
        <v>0</v>
      </c>
      <c r="AP5433" s="28"/>
      <c r="AQ5433" s="28" t="n">
        <f aca="false">AP5433*$M5433</f>
        <v>0</v>
      </c>
      <c r="AR5433" s="28"/>
      <c r="AS5433" s="28" t="n">
        <f aca="false">AR5433*$M5433</f>
        <v>0</v>
      </c>
      <c r="AT5433" s="28"/>
      <c r="AU5433" s="28" t="n">
        <f aca="false">AT5433*$M5433</f>
        <v>0</v>
      </c>
      <c r="AV5433" s="28"/>
      <c r="AW5433" s="28" t="n">
        <f aca="false">AV5433*$M5433</f>
        <v>0</v>
      </c>
      <c r="AX5433" s="28"/>
      <c r="AY5433" s="28" t="n">
        <f aca="false">AX5433*$M5433</f>
        <v>0</v>
      </c>
      <c r="AZ5433" s="30" t="n">
        <f aca="false">3347/100</f>
        <v>33.47</v>
      </c>
      <c r="BA5433" s="11" t="n">
        <v>7336</v>
      </c>
      <c r="BB5433" s="31" t="n">
        <f aca="false">SUM(Q5433,S5433,U5433,W5433,Y5433,AA5433,AC5433,AE5433,AG5433,AI5433,AK5433,AM5433,AO5433,AQ5433,AS5433,AU5433,AW5433,AY5433)</f>
        <v>7336</v>
      </c>
      <c r="BC5433" s="28" t="n">
        <f aca="false">BA5433-BB5433</f>
        <v>0</v>
      </c>
      <c r="BD5433" s="32" t="n">
        <f aca="false">SUM(P5433,R5433,T5433,V5433,X5433,Z5433,AB5433,AD5433,AF5433,AH5433,AJ5433,AL5433,AN5433,AP5433,AR5433,AT5433,AV5433,AX5433)</f>
        <v>333.47</v>
      </c>
      <c r="BE5433" s="33" t="n">
        <f aca="false">AZ5433-BD5433</f>
        <v>-300</v>
      </c>
      <c r="BF5433" s="34" t="n">
        <f aca="false">BD5433*M5433</f>
        <v>7336.34</v>
      </c>
      <c r="BG5433" s="35" t="n">
        <f aca="false">BA5433-BF5433</f>
        <v>-0.340000000000146</v>
      </c>
      <c r="BH5433" s="19" t="str">
        <f aca="false">IF(BG5433=0,"",IF(BG5433&lt;&gt;BA5433,"erreur de calcul",IF(BD5433&lt;&gt;0,"pas de prix",IF(M5433&lt;&gt; 0,"pas de quantité","pas de prix, ni de quantité"))))</f>
        <v>erreur de calcul</v>
      </c>
      <c r="BI5433" s="19"/>
    </row>
    <row r="5434" customFormat="false" ht="15" hidden="false" customHeight="false" outlineLevel="0" collapsed="false">
      <c r="A5434" s="0" t="n">
        <v>3</v>
      </c>
      <c r="B5434" s="8" t="s">
        <v>24</v>
      </c>
      <c r="C5434" s="9" t="s">
        <v>25</v>
      </c>
      <c r="D5434" s="9" t="s">
        <v>26</v>
      </c>
      <c r="E5434" s="10" t="n">
        <v>1789</v>
      </c>
      <c r="F5434" s="9" t="s">
        <v>27</v>
      </c>
      <c r="G5434" s="9" t="s">
        <v>27</v>
      </c>
      <c r="H5434" s="11" t="n">
        <v>23</v>
      </c>
      <c r="I5434" s="11" t="s">
        <v>245</v>
      </c>
      <c r="J5434" s="14" t="n">
        <v>28</v>
      </c>
      <c r="K5434" s="14"/>
      <c r="L5434" s="16"/>
      <c r="M5434" s="27" t="n">
        <f aca="false">J5434+(K5434/20)+(L5434/240)</f>
        <v>28</v>
      </c>
      <c r="N5434" s="17" t="s">
        <v>64</v>
      </c>
      <c r="O5434" s="11"/>
      <c r="P5434" s="28"/>
      <c r="Q5434" s="28" t="n">
        <f aca="false">P5434*$M5434</f>
        <v>0</v>
      </c>
      <c r="R5434" s="28"/>
      <c r="S5434" s="28" t="n">
        <f aca="false">R5434*$M5434</f>
        <v>0</v>
      </c>
      <c r="T5434" s="28"/>
      <c r="U5434" s="28" t="n">
        <f aca="false">T5434*$M5434</f>
        <v>0</v>
      </c>
      <c r="V5434" s="28" t="n">
        <f aca="false">61654/100</f>
        <v>616.54</v>
      </c>
      <c r="W5434" s="28" t="n">
        <v>17263</v>
      </c>
      <c r="X5434" s="28"/>
      <c r="Y5434" s="28" t="n">
        <f aca="false">X5434*$M5434</f>
        <v>0</v>
      </c>
      <c r="Z5434" s="28"/>
      <c r="AA5434" s="28" t="n">
        <f aca="false">Z5434*$M5434</f>
        <v>0</v>
      </c>
      <c r="AB5434" s="28"/>
      <c r="AC5434" s="28" t="n">
        <f aca="false">AB5434*$M5434</f>
        <v>0</v>
      </c>
      <c r="AD5434" s="28"/>
      <c r="AE5434" s="28" t="n">
        <f aca="false">AD5434*$M5434</f>
        <v>0</v>
      </c>
      <c r="AF5434" s="28"/>
      <c r="AG5434" s="28" t="n">
        <f aca="false">AF5434*$M5434</f>
        <v>0</v>
      </c>
      <c r="AH5434" s="28"/>
      <c r="AI5434" s="28" t="n">
        <f aca="false">AH5434*$M5434</f>
        <v>0</v>
      </c>
      <c r="AJ5434" s="28"/>
      <c r="AK5434" s="28" t="n">
        <f aca="false">AJ5434*$M5434</f>
        <v>0</v>
      </c>
      <c r="AL5434" s="28" t="n">
        <f aca="false">6250/100</f>
        <v>62.5</v>
      </c>
      <c r="AM5434" s="28" t="n">
        <v>1750</v>
      </c>
      <c r="AN5434" s="28"/>
      <c r="AO5434" s="28" t="n">
        <f aca="false">AN5434*$M5434</f>
        <v>0</v>
      </c>
      <c r="AP5434" s="28"/>
      <c r="AQ5434" s="28" t="n">
        <f aca="false">AP5434*$M5434</f>
        <v>0</v>
      </c>
      <c r="AR5434" s="28"/>
      <c r="AS5434" s="28" t="n">
        <f aca="false">AR5434*$M5434</f>
        <v>0</v>
      </c>
      <c r="AT5434" s="28"/>
      <c r="AU5434" s="28" t="n">
        <f aca="false">AT5434*$M5434</f>
        <v>0</v>
      </c>
      <c r="AV5434" s="28"/>
      <c r="AW5434" s="28" t="n">
        <f aca="false">AV5434*$M5434</f>
        <v>0</v>
      </c>
      <c r="AX5434" s="28"/>
      <c r="AY5434" s="28" t="n">
        <f aca="false">AX5434*$M5434</f>
        <v>0</v>
      </c>
      <c r="AZ5434" s="30" t="n">
        <f aca="false">67904/100</f>
        <v>679.04</v>
      </c>
      <c r="BA5434" s="11" t="n">
        <v>19013</v>
      </c>
      <c r="BB5434" s="31" t="n">
        <f aca="false">SUM(Q5434,S5434,U5434,W5434,Y5434,AA5434,AC5434,AE5434,AG5434,AI5434,AK5434,AM5434,AO5434,AQ5434,AS5434,AU5434,AW5434,AY5434)</f>
        <v>19013</v>
      </c>
      <c r="BC5434" s="28" t="n">
        <f aca="false">BA5434-BB5434</f>
        <v>0</v>
      </c>
      <c r="BD5434" s="32" t="n">
        <f aca="false">SUM(P5434,R5434,T5434,V5434,X5434,Z5434,AB5434,AD5434,AF5434,AH5434,AJ5434,AL5434,AN5434,AP5434,AR5434,AT5434,AV5434,AX5434)</f>
        <v>679.04</v>
      </c>
      <c r="BE5434" s="33" t="n">
        <f aca="false">AZ5434-BD5434</f>
        <v>0</v>
      </c>
      <c r="BF5434" s="34" t="n">
        <f aca="false">BD5434*M5434</f>
        <v>19013.12</v>
      </c>
      <c r="BG5434" s="35" t="n">
        <f aca="false">BA5434-BF5434</f>
        <v>-0.119999999998981</v>
      </c>
      <c r="BH5434" s="19" t="str">
        <f aca="false">IF(BG5434=0,"",IF(BG5434&lt;&gt;BA5434,"erreur de calcul",IF(BD5434&lt;&gt;0,"pas de prix",IF(M5434&lt;&gt; 0,"pas de quantité","pas de prix, ni de quantité"))))</f>
        <v>erreur de calcul</v>
      </c>
      <c r="BI5434" s="19"/>
    </row>
    <row r="5435" customFormat="false" ht="15" hidden="false" customHeight="false" outlineLevel="0" collapsed="false">
      <c r="A5435" s="0" t="n">
        <v>4</v>
      </c>
      <c r="B5435" s="8" t="s">
        <v>24</v>
      </c>
      <c r="C5435" s="9" t="s">
        <v>25</v>
      </c>
      <c r="D5435" s="9" t="s">
        <v>26</v>
      </c>
      <c r="E5435" s="10" t="n">
        <v>1789</v>
      </c>
      <c r="F5435" s="9" t="s">
        <v>27</v>
      </c>
      <c r="G5435" s="9" t="s">
        <v>27</v>
      </c>
      <c r="H5435" s="11" t="n">
        <v>23</v>
      </c>
      <c r="I5435" s="11" t="s">
        <v>246</v>
      </c>
      <c r="J5435" s="14" t="n">
        <v>17</v>
      </c>
      <c r="K5435" s="14"/>
      <c r="L5435" s="16"/>
      <c r="M5435" s="27" t="n">
        <f aca="false">J5435+(K5435/20)+(L5435/240)</f>
        <v>17</v>
      </c>
      <c r="N5435" s="17" t="s">
        <v>64</v>
      </c>
      <c r="O5435" s="11"/>
      <c r="P5435" s="28"/>
      <c r="Q5435" s="28" t="n">
        <f aca="false">P5435*$M5435</f>
        <v>0</v>
      </c>
      <c r="R5435" s="28"/>
      <c r="S5435" s="28" t="n">
        <f aca="false">R5435*$M5435</f>
        <v>0</v>
      </c>
      <c r="T5435" s="28" t="n">
        <f aca="false">25000/100</f>
        <v>250</v>
      </c>
      <c r="U5435" s="28" t="n">
        <v>4250</v>
      </c>
      <c r="V5435" s="28" t="n">
        <f aca="false">78153/100</f>
        <v>781.53</v>
      </c>
      <c r="W5435" s="28" t="n">
        <v>13286</v>
      </c>
      <c r="X5435" s="28"/>
      <c r="Y5435" s="28" t="n">
        <f aca="false">X5435*$M5435</f>
        <v>0</v>
      </c>
      <c r="Z5435" s="28"/>
      <c r="AA5435" s="28" t="n">
        <f aca="false">Z5435*$M5435</f>
        <v>0</v>
      </c>
      <c r="AB5435" s="28"/>
      <c r="AC5435" s="28" t="n">
        <f aca="false">AB5435*$M5435</f>
        <v>0</v>
      </c>
      <c r="AD5435" s="28"/>
      <c r="AE5435" s="28" t="n">
        <f aca="false">AD5435*$M5435</f>
        <v>0</v>
      </c>
      <c r="AF5435" s="28"/>
      <c r="AG5435" s="28" t="n">
        <f aca="false">AF5435*$M5435</f>
        <v>0</v>
      </c>
      <c r="AH5435" s="28"/>
      <c r="AI5435" s="28" t="n">
        <f aca="false">AH5435*$M5435</f>
        <v>0</v>
      </c>
      <c r="AJ5435" s="28" t="n">
        <f aca="false">113774/100</f>
        <v>1137.74</v>
      </c>
      <c r="AK5435" s="28" t="n">
        <v>19341</v>
      </c>
      <c r="AL5435" s="28" t="n">
        <f aca="false">749547/100</f>
        <v>7495.47</v>
      </c>
      <c r="AM5435" s="28" t="n">
        <v>127423</v>
      </c>
      <c r="AN5435" s="28"/>
      <c r="AO5435" s="28" t="n">
        <f aca="false">AN5435*$M5435</f>
        <v>0</v>
      </c>
      <c r="AP5435" s="28" t="n">
        <f aca="false">578251/100</f>
        <v>5782.51</v>
      </c>
      <c r="AQ5435" s="28" t="n">
        <v>98303</v>
      </c>
      <c r="AR5435" s="28" t="n">
        <f aca="false">9141217/100</f>
        <v>91412.17</v>
      </c>
      <c r="AS5435" s="28" t="n">
        <v>1554007</v>
      </c>
      <c r="AT5435" s="28"/>
      <c r="AU5435" s="28" t="n">
        <f aca="false">AT5435*$M5435</f>
        <v>0</v>
      </c>
      <c r="AV5435" s="28" t="n">
        <f aca="false">314570/100</f>
        <v>3145.7</v>
      </c>
      <c r="AW5435" s="28" t="n">
        <v>53477</v>
      </c>
      <c r="AX5435" s="28"/>
      <c r="AY5435" s="28" t="n">
        <f aca="false">AX5435*$M5435</f>
        <v>0</v>
      </c>
      <c r="AZ5435" s="30" t="n">
        <f aca="false">11004767/100</f>
        <v>110047.67</v>
      </c>
      <c r="BA5435" s="11" t="n">
        <v>1870087</v>
      </c>
      <c r="BB5435" s="31" t="n">
        <f aca="false">SUM(Q5435,S5435,U5435,W5435,Y5435,AA5435,AC5435,AE5435,AG5435,AI5435,AK5435,AM5435,AO5435,AQ5435,AS5435,AU5435,AW5435,AY5435)</f>
        <v>1870087</v>
      </c>
      <c r="BC5435" s="28" t="n">
        <f aca="false">BA5435-BB5435</f>
        <v>0</v>
      </c>
      <c r="BD5435" s="32" t="n">
        <f aca="false">SUM(P5435,R5435,T5435,V5435,X5435,Z5435,AB5435,AD5435,AF5435,AH5435,AJ5435,AL5435,AN5435,AP5435,AR5435,AT5435,AV5435,AX5435)</f>
        <v>110005.12</v>
      </c>
      <c r="BE5435" s="33" t="n">
        <f aca="false">AZ5435-BD5435</f>
        <v>42.5500000000029</v>
      </c>
      <c r="BF5435" s="34" t="n">
        <f aca="false">BD5435*M5435</f>
        <v>1870087.04</v>
      </c>
      <c r="BG5435" s="35" t="n">
        <f aca="false">BA5435-BF5435</f>
        <v>-0.0400000000372529</v>
      </c>
      <c r="BH5435" s="19" t="str">
        <f aca="false">IF(BG5435=0,"",IF(BG5435&lt;&gt;BA5435,"erreur de calcul",IF(BD5435&lt;&gt;0,"pas de prix",IF(M5435&lt;&gt; 0,"pas de quantité","pas de prix, ni de quantité"))))</f>
        <v>erreur de calcul</v>
      </c>
      <c r="BI5435" s="19"/>
    </row>
    <row r="5436" customFormat="false" ht="15" hidden="false" customHeight="false" outlineLevel="0" collapsed="false">
      <c r="A5436" s="0" t="n">
        <v>5</v>
      </c>
      <c r="B5436" s="8" t="s">
        <v>24</v>
      </c>
      <c r="C5436" s="9" t="s">
        <v>25</v>
      </c>
      <c r="D5436" s="9" t="s">
        <v>26</v>
      </c>
      <c r="E5436" s="10" t="n">
        <v>1789</v>
      </c>
      <c r="F5436" s="9" t="s">
        <v>27</v>
      </c>
      <c r="G5436" s="9" t="s">
        <v>27</v>
      </c>
      <c r="H5436" s="11" t="n">
        <v>23</v>
      </c>
      <c r="I5436" s="11" t="s">
        <v>247</v>
      </c>
      <c r="J5436" s="14" t="n">
        <v>60</v>
      </c>
      <c r="K5436" s="14"/>
      <c r="L5436" s="16"/>
      <c r="M5436" s="27" t="n">
        <f aca="false">J5436+(K5436/20)+(L5436/240)</f>
        <v>60</v>
      </c>
      <c r="N5436" s="17" t="s">
        <v>64</v>
      </c>
      <c r="O5436" s="11"/>
      <c r="P5436" s="28" t="n">
        <f aca="false">17500/100</f>
        <v>175</v>
      </c>
      <c r="Q5436" s="28" t="n">
        <v>10500</v>
      </c>
      <c r="R5436" s="28"/>
      <c r="S5436" s="28" t="n">
        <f aca="false">R5436*$M5436</f>
        <v>0</v>
      </c>
      <c r="T5436" s="28"/>
      <c r="U5436" s="28" t="n">
        <f aca="false">T5436*$M5436</f>
        <v>0</v>
      </c>
      <c r="V5436" s="28"/>
      <c r="W5436" s="28" t="n">
        <f aca="false">V5436*$M5436</f>
        <v>0</v>
      </c>
      <c r="X5436" s="28"/>
      <c r="Y5436" s="28" t="n">
        <f aca="false">X5436*$M5436</f>
        <v>0</v>
      </c>
      <c r="Z5436" s="28"/>
      <c r="AA5436" s="28" t="n">
        <f aca="false">Z5436*$M5436</f>
        <v>0</v>
      </c>
      <c r="AB5436" s="28"/>
      <c r="AC5436" s="28" t="n">
        <f aca="false">AB5436*$M5436</f>
        <v>0</v>
      </c>
      <c r="AD5436" s="28"/>
      <c r="AE5436" s="28" t="n">
        <f aca="false">AD5436*$M5436</f>
        <v>0</v>
      </c>
      <c r="AF5436" s="28"/>
      <c r="AG5436" s="28" t="n">
        <f aca="false">AF5436*$M5436</f>
        <v>0</v>
      </c>
      <c r="AH5436" s="28"/>
      <c r="AI5436" s="28" t="n">
        <f aca="false">AH5436*$M5436</f>
        <v>0</v>
      </c>
      <c r="AJ5436" s="28"/>
      <c r="AK5436" s="28" t="n">
        <f aca="false">AJ5436*$M5436</f>
        <v>0</v>
      </c>
      <c r="AL5436" s="28" t="n">
        <f aca="false">107571/100</f>
        <v>1075.71</v>
      </c>
      <c r="AM5436" s="28" t="n">
        <v>64543</v>
      </c>
      <c r="AN5436" s="28"/>
      <c r="AO5436" s="28" t="n">
        <f aca="false">AN5436*$M5436</f>
        <v>0</v>
      </c>
      <c r="AP5436" s="28"/>
      <c r="AQ5436" s="28" t="n">
        <f aca="false">AP5436*$M5436</f>
        <v>0</v>
      </c>
      <c r="AR5436" s="28"/>
      <c r="AS5436" s="28" t="n">
        <f aca="false">AR5436*$M5436</f>
        <v>0</v>
      </c>
      <c r="AT5436" s="28"/>
      <c r="AU5436" s="28" t="n">
        <f aca="false">AT5436*$M5436</f>
        <v>0</v>
      </c>
      <c r="AV5436" s="28"/>
      <c r="AW5436" s="28" t="n">
        <f aca="false">AV5436*$M5436</f>
        <v>0</v>
      </c>
      <c r="AX5436" s="28"/>
      <c r="AY5436" s="28" t="n">
        <f aca="false">AX5436*$M5436</f>
        <v>0</v>
      </c>
      <c r="AZ5436" s="30" t="n">
        <f aca="false">125071/100</f>
        <v>1250.71</v>
      </c>
      <c r="BA5436" s="11" t="n">
        <v>75043</v>
      </c>
      <c r="BB5436" s="31" t="n">
        <f aca="false">SUM(Q5436,S5436,U5436,W5436,Y5436,AA5436,AC5436,AE5436,AG5436,AI5436,AK5436,AM5436,AO5436,AQ5436,AS5436,AU5436,AW5436,AY5436)</f>
        <v>75043</v>
      </c>
      <c r="BC5436" s="28" t="n">
        <f aca="false">BA5436-BB5436</f>
        <v>0</v>
      </c>
      <c r="BD5436" s="32" t="n">
        <f aca="false">SUM(P5436,R5436,T5436,V5436,X5436,Z5436,AB5436,AD5436,AF5436,AH5436,AJ5436,AL5436,AN5436,AP5436,AR5436,AT5436,AV5436,AX5436)</f>
        <v>1250.71</v>
      </c>
      <c r="BE5436" s="33" t="n">
        <f aca="false">AZ5436-BD5436</f>
        <v>0</v>
      </c>
      <c r="BF5436" s="34" t="n">
        <f aca="false">BD5436*M5436</f>
        <v>75042.6</v>
      </c>
      <c r="BG5436" s="35" t="n">
        <f aca="false">BA5436-BF5436</f>
        <v>0.399999999994179</v>
      </c>
      <c r="BH5436" s="19" t="str">
        <f aca="false">IF(BG5436=0,"",IF(BG5436&lt;&gt;BA5436,"erreur de calcul",IF(BD5436&lt;&gt;0,"pas de prix",IF(M5436&lt;&gt; 0,"pas de quantité","pas de prix, ni de quantité"))))</f>
        <v>erreur de calcul</v>
      </c>
      <c r="BI5436" s="19"/>
    </row>
    <row r="5437" customFormat="false" ht="15" hidden="false" customHeight="false" outlineLevel="0" collapsed="false">
      <c r="A5437" s="0" t="n">
        <v>6</v>
      </c>
      <c r="B5437" s="8" t="s">
        <v>24</v>
      </c>
      <c r="C5437" s="9" t="s">
        <v>25</v>
      </c>
      <c r="D5437" s="9" t="s">
        <v>26</v>
      </c>
      <c r="E5437" s="10" t="n">
        <v>1789</v>
      </c>
      <c r="F5437" s="9" t="s">
        <v>27</v>
      </c>
      <c r="G5437" s="9" t="s">
        <v>27</v>
      </c>
      <c r="H5437" s="11" t="n">
        <v>23</v>
      </c>
      <c r="I5437" s="11" t="s">
        <v>248</v>
      </c>
      <c r="J5437" s="14" t="n">
        <v>30</v>
      </c>
      <c r="K5437" s="14"/>
      <c r="L5437" s="16"/>
      <c r="M5437" s="27" t="n">
        <f aca="false">J5437+(K5437/20)+(L5437/240)</f>
        <v>30</v>
      </c>
      <c r="N5437" s="17" t="s">
        <v>64</v>
      </c>
      <c r="O5437" s="11"/>
      <c r="P5437" s="28"/>
      <c r="Q5437" s="28" t="n">
        <f aca="false">P5437*$M5437</f>
        <v>0</v>
      </c>
      <c r="R5437" s="28"/>
      <c r="S5437" s="28" t="n">
        <f aca="false">R5437*$M5437</f>
        <v>0</v>
      </c>
      <c r="T5437" s="28"/>
      <c r="U5437" s="28" t="n">
        <f aca="false">T5437*$M5437</f>
        <v>0</v>
      </c>
      <c r="V5437" s="28" t="n">
        <f aca="false">8491/100</f>
        <v>84.91</v>
      </c>
      <c r="W5437" s="28" t="n">
        <v>2547</v>
      </c>
      <c r="X5437" s="28"/>
      <c r="Y5437" s="28" t="n">
        <f aca="false">X5437*$M5437</f>
        <v>0</v>
      </c>
      <c r="Z5437" s="28"/>
      <c r="AA5437" s="28" t="n">
        <f aca="false">Z5437*$M5437</f>
        <v>0</v>
      </c>
      <c r="AB5437" s="28"/>
      <c r="AC5437" s="28" t="n">
        <f aca="false">AB5437*$M5437</f>
        <v>0</v>
      </c>
      <c r="AD5437" s="28"/>
      <c r="AE5437" s="28" t="n">
        <f aca="false">AD5437*$M5437</f>
        <v>0</v>
      </c>
      <c r="AF5437" s="28"/>
      <c r="AG5437" s="28" t="n">
        <f aca="false">AF5437*$M5437</f>
        <v>0</v>
      </c>
      <c r="AH5437" s="28"/>
      <c r="AI5437" s="28" t="n">
        <f aca="false">AH5437*$M5437</f>
        <v>0</v>
      </c>
      <c r="AJ5437" s="28"/>
      <c r="AK5437" s="28" t="n">
        <f aca="false">AJ5437*$M5437</f>
        <v>0</v>
      </c>
      <c r="AL5437" s="28"/>
      <c r="AM5437" s="28" t="n">
        <f aca="false">AL5437*$M5437</f>
        <v>0</v>
      </c>
      <c r="AN5437" s="28"/>
      <c r="AO5437" s="28" t="n">
        <f aca="false">AN5437*$M5437</f>
        <v>0</v>
      </c>
      <c r="AP5437" s="28"/>
      <c r="AQ5437" s="28" t="n">
        <f aca="false">AP5437*$M5437</f>
        <v>0</v>
      </c>
      <c r="AR5437" s="28"/>
      <c r="AS5437" s="28" t="n">
        <f aca="false">AR5437*$M5437</f>
        <v>0</v>
      </c>
      <c r="AT5437" s="28"/>
      <c r="AU5437" s="28" t="n">
        <f aca="false">AT5437*$M5437</f>
        <v>0</v>
      </c>
      <c r="AV5437" s="28"/>
      <c r="AW5437" s="28" t="n">
        <f aca="false">AV5437*$M5437</f>
        <v>0</v>
      </c>
      <c r="AX5437" s="28"/>
      <c r="AY5437" s="28" t="n">
        <f aca="false">AX5437*$M5437</f>
        <v>0</v>
      </c>
      <c r="AZ5437" s="30" t="n">
        <f aca="false">8491/100</f>
        <v>84.91</v>
      </c>
      <c r="BA5437" s="11" t="n">
        <v>2547</v>
      </c>
      <c r="BB5437" s="31" t="n">
        <f aca="false">SUM(Q5437,S5437,U5437,W5437,Y5437,AA5437,AC5437,AE5437,AG5437,AI5437,AK5437,AM5437,AO5437,AQ5437,AS5437,AU5437,AW5437,AY5437)</f>
        <v>2547</v>
      </c>
      <c r="BC5437" s="28" t="n">
        <f aca="false">BA5437-BB5437</f>
        <v>0</v>
      </c>
      <c r="BD5437" s="32" t="n">
        <f aca="false">SUM(P5437,R5437,T5437,V5437,X5437,Z5437,AB5437,AD5437,AF5437,AH5437,AJ5437,AL5437,AN5437,AP5437,AR5437,AT5437,AV5437,AX5437)</f>
        <v>84.91</v>
      </c>
      <c r="BE5437" s="33" t="n">
        <f aca="false">AZ5437-BD5437</f>
        <v>0</v>
      </c>
      <c r="BF5437" s="34" t="n">
        <f aca="false">BD5437*M5437</f>
        <v>2547.3</v>
      </c>
      <c r="BG5437" s="35" t="n">
        <f aca="false">BA5437-BF5437</f>
        <v>-0.299999999999727</v>
      </c>
      <c r="BH5437" s="19" t="str">
        <f aca="false">IF(BG5437=0,"",IF(BG5437&lt;&gt;BA5437,"erreur de calcul",IF(BD5437&lt;&gt;0,"pas de prix",IF(M5437&lt;&gt; 0,"pas de quantité","pas de prix, ni de quantité"))))</f>
        <v>erreur de calcul</v>
      </c>
      <c r="BI5437" s="19"/>
    </row>
    <row r="5438" customFormat="false" ht="15" hidden="false" customHeight="false" outlineLevel="0" collapsed="false">
      <c r="A5438" s="0" t="n">
        <v>7</v>
      </c>
      <c r="B5438" s="8" t="s">
        <v>24</v>
      </c>
      <c r="C5438" s="9" t="s">
        <v>25</v>
      </c>
      <c r="D5438" s="9" t="s">
        <v>26</v>
      </c>
      <c r="E5438" s="10" t="n">
        <v>1789</v>
      </c>
      <c r="F5438" s="9" t="s">
        <v>27</v>
      </c>
      <c r="G5438" s="9" t="s">
        <v>27</v>
      </c>
      <c r="H5438" s="11" t="n">
        <v>23</v>
      </c>
      <c r="I5438" s="11" t="s">
        <v>249</v>
      </c>
      <c r="J5438" s="14" t="n">
        <v>27</v>
      </c>
      <c r="K5438" s="14"/>
      <c r="L5438" s="16"/>
      <c r="M5438" s="27" t="n">
        <f aca="false">J5438+(K5438/20)+(L5438/240)</f>
        <v>27</v>
      </c>
      <c r="N5438" s="17" t="s">
        <v>64</v>
      </c>
      <c r="O5438" s="11"/>
      <c r="P5438" s="28"/>
      <c r="Q5438" s="28" t="n">
        <f aca="false">P5438*$M5438</f>
        <v>0</v>
      </c>
      <c r="R5438" s="28"/>
      <c r="S5438" s="28" t="n">
        <f aca="false">R5438*$M5438</f>
        <v>0</v>
      </c>
      <c r="T5438" s="28"/>
      <c r="U5438" s="28" t="n">
        <f aca="false">T5438*$M5438</f>
        <v>0</v>
      </c>
      <c r="V5438" s="28"/>
      <c r="W5438" s="28" t="n">
        <f aca="false">V5438*$M5438</f>
        <v>0</v>
      </c>
      <c r="X5438" s="28"/>
      <c r="Y5438" s="28" t="n">
        <f aca="false">X5438*$M5438</f>
        <v>0</v>
      </c>
      <c r="Z5438" s="28"/>
      <c r="AA5438" s="28" t="n">
        <f aca="false">Z5438*$M5438</f>
        <v>0</v>
      </c>
      <c r="AB5438" s="28"/>
      <c r="AC5438" s="28" t="n">
        <f aca="false">AB5438*$M5438</f>
        <v>0</v>
      </c>
      <c r="AD5438" s="28"/>
      <c r="AE5438" s="28" t="n">
        <f aca="false">AD5438*$M5438</f>
        <v>0</v>
      </c>
      <c r="AF5438" s="28"/>
      <c r="AG5438" s="28" t="n">
        <f aca="false">AF5438*$M5438</f>
        <v>0</v>
      </c>
      <c r="AH5438" s="28"/>
      <c r="AI5438" s="28" t="n">
        <f aca="false">AH5438*$M5438</f>
        <v>0</v>
      </c>
      <c r="AJ5438" s="28" t="n">
        <f aca="false">168254/100</f>
        <v>1682.54</v>
      </c>
      <c r="AK5438" s="28" t="n">
        <v>45428</v>
      </c>
      <c r="AL5438" s="28"/>
      <c r="AM5438" s="28" t="n">
        <f aca="false">AL5438*$M5438</f>
        <v>0</v>
      </c>
      <c r="AN5438" s="28"/>
      <c r="AO5438" s="28" t="n">
        <f aca="false">AN5438*$M5438</f>
        <v>0</v>
      </c>
      <c r="AP5438" s="28"/>
      <c r="AQ5438" s="28" t="n">
        <f aca="false">AP5438*$M5438</f>
        <v>0</v>
      </c>
      <c r="AR5438" s="28"/>
      <c r="AS5438" s="28" t="n">
        <f aca="false">AR5438*$M5438</f>
        <v>0</v>
      </c>
      <c r="AT5438" s="28"/>
      <c r="AU5438" s="28" t="n">
        <f aca="false">AT5438*$M5438</f>
        <v>0</v>
      </c>
      <c r="AV5438" s="28"/>
      <c r="AW5438" s="28" t="n">
        <f aca="false">AV5438*$M5438</f>
        <v>0</v>
      </c>
      <c r="AX5438" s="28"/>
      <c r="AY5438" s="28" t="n">
        <f aca="false">AX5438*$M5438</f>
        <v>0</v>
      </c>
      <c r="AZ5438" s="30" t="n">
        <f aca="false">168254/100</f>
        <v>1682.54</v>
      </c>
      <c r="BA5438" s="11" t="n">
        <v>45428</v>
      </c>
      <c r="BB5438" s="31" t="n">
        <f aca="false">SUM(Q5438,S5438,U5438,W5438,Y5438,AA5438,AC5438,AE5438,AG5438,AI5438,AK5438,AM5438,AO5438,AQ5438,AS5438,AU5438,AW5438,AY5438)</f>
        <v>45428</v>
      </c>
      <c r="BC5438" s="28" t="n">
        <f aca="false">BA5438-BB5438</f>
        <v>0</v>
      </c>
      <c r="BD5438" s="32" t="n">
        <f aca="false">SUM(P5438,R5438,T5438,V5438,X5438,Z5438,AB5438,AD5438,AF5438,AH5438,AJ5438,AL5438,AN5438,AP5438,AR5438,AT5438,AV5438,AX5438)</f>
        <v>1682.54</v>
      </c>
      <c r="BE5438" s="33" t="n">
        <f aca="false">AZ5438-BD5438</f>
        <v>0</v>
      </c>
      <c r="BF5438" s="34" t="n">
        <f aca="false">BD5438*M5438</f>
        <v>45428.58</v>
      </c>
      <c r="BG5438" s="35" t="n">
        <f aca="false">BA5438-BF5438</f>
        <v>-0.580000000001746</v>
      </c>
      <c r="BH5438" s="19" t="str">
        <f aca="false">IF(BG5438=0,"",IF(BG5438&lt;&gt;BA5438,"erreur de calcul",IF(BD5438&lt;&gt;0,"pas de prix",IF(M5438&lt;&gt; 0,"pas de quantité","pas de prix, ni de quantité"))))</f>
        <v>erreur de calcul</v>
      </c>
      <c r="BI5438" s="19"/>
    </row>
    <row r="5439" customFormat="false" ht="15" hidden="false" customHeight="false" outlineLevel="0" collapsed="false">
      <c r="A5439" s="0" t="n">
        <v>8</v>
      </c>
      <c r="B5439" s="8" t="s">
        <v>24</v>
      </c>
      <c r="C5439" s="9" t="s">
        <v>25</v>
      </c>
      <c r="D5439" s="9" t="s">
        <v>26</v>
      </c>
      <c r="E5439" s="10" t="n">
        <v>1789</v>
      </c>
      <c r="F5439" s="9" t="s">
        <v>27</v>
      </c>
      <c r="G5439" s="9" t="s">
        <v>27</v>
      </c>
      <c r="H5439" s="11" t="n">
        <v>23</v>
      </c>
      <c r="I5439" s="11" t="s">
        <v>250</v>
      </c>
      <c r="J5439" s="14" t="n">
        <v>27</v>
      </c>
      <c r="K5439" s="14"/>
      <c r="L5439" s="16"/>
      <c r="M5439" s="27" t="n">
        <f aca="false">J5439+(K5439/20)+(L5439/240)</f>
        <v>27</v>
      </c>
      <c r="N5439" s="17" t="s">
        <v>64</v>
      </c>
      <c r="O5439" s="11"/>
      <c r="P5439" s="28"/>
      <c r="Q5439" s="28" t="n">
        <f aca="false">P5439*$M5439</f>
        <v>0</v>
      </c>
      <c r="R5439" s="28"/>
      <c r="S5439" s="28" t="n">
        <f aca="false">R5439*$M5439</f>
        <v>0</v>
      </c>
      <c r="T5439" s="28"/>
      <c r="U5439" s="28" t="n">
        <f aca="false">T5439*$M5439</f>
        <v>0</v>
      </c>
      <c r="V5439" s="28"/>
      <c r="W5439" s="28" t="n">
        <f aca="false">V5439*$M5439</f>
        <v>0</v>
      </c>
      <c r="X5439" s="28"/>
      <c r="Y5439" s="28" t="n">
        <f aca="false">X5439*$M5439</f>
        <v>0</v>
      </c>
      <c r="Z5439" s="28"/>
      <c r="AA5439" s="28" t="n">
        <f aca="false">Z5439*$M5439</f>
        <v>0</v>
      </c>
      <c r="AB5439" s="28"/>
      <c r="AC5439" s="28" t="n">
        <f aca="false">AB5439*$M5439</f>
        <v>0</v>
      </c>
      <c r="AD5439" s="28"/>
      <c r="AE5439" s="28" t="n">
        <f aca="false">AD5439*$M5439</f>
        <v>0</v>
      </c>
      <c r="AF5439" s="28"/>
      <c r="AG5439" s="28" t="n">
        <f aca="false">AF5439*$M5439</f>
        <v>0</v>
      </c>
      <c r="AH5439" s="28"/>
      <c r="AI5439" s="28" t="n">
        <f aca="false">AH5439*$M5439</f>
        <v>0</v>
      </c>
      <c r="AJ5439" s="28"/>
      <c r="AK5439" s="28" t="n">
        <f aca="false">AJ5439*$M5439</f>
        <v>0</v>
      </c>
      <c r="AL5439" s="28" t="n">
        <f aca="false">4108/100</f>
        <v>41.08</v>
      </c>
      <c r="AM5439" s="28" t="n">
        <v>1109</v>
      </c>
      <c r="AN5439" s="28"/>
      <c r="AO5439" s="28" t="n">
        <f aca="false">AN5439*$M5439</f>
        <v>0</v>
      </c>
      <c r="AP5439" s="28"/>
      <c r="AQ5439" s="28" t="n">
        <f aca="false">AP5439*$M5439</f>
        <v>0</v>
      </c>
      <c r="AR5439" s="28" t="n">
        <f aca="false">37084/100</f>
        <v>370.84</v>
      </c>
      <c r="AS5439" s="36" t="n">
        <v>9963</v>
      </c>
      <c r="AT5439" s="28"/>
      <c r="AU5439" s="28" t="n">
        <f aca="false">AT5439*$M5439</f>
        <v>0</v>
      </c>
      <c r="AV5439" s="28"/>
      <c r="AW5439" s="28" t="n">
        <f aca="false">AV5439*$M5439</f>
        <v>0</v>
      </c>
      <c r="AX5439" s="28"/>
      <c r="AY5439" s="28" t="n">
        <f aca="false">AX5439*$M5439</f>
        <v>0</v>
      </c>
      <c r="AZ5439" s="30" t="n">
        <f aca="false">41192/100</f>
        <v>411.92</v>
      </c>
      <c r="BA5439" s="11" t="n">
        <v>11072</v>
      </c>
      <c r="BB5439" s="31" t="n">
        <f aca="false">SUM(Q5439,S5439,U5439,W5439,Y5439,AA5439,AC5439,AE5439,AG5439,AI5439,AK5439,AM5439,AO5439,AQ5439,AS5439,AU5439,AW5439,AY5439)</f>
        <v>11072</v>
      </c>
      <c r="BC5439" s="28" t="n">
        <f aca="false">BA5439-BB5439</f>
        <v>0</v>
      </c>
      <c r="BD5439" s="32" t="n">
        <f aca="false">SUM(P5439,R5439,T5439,V5439,X5439,Z5439,AB5439,AD5439,AF5439,AH5439,AJ5439,AL5439,AN5439,AP5439,AR5439,AT5439,AV5439,AX5439)</f>
        <v>411.92</v>
      </c>
      <c r="BE5439" s="33" t="n">
        <f aca="false">AZ5439-BD5439</f>
        <v>0</v>
      </c>
      <c r="BF5439" s="34" t="n">
        <f aca="false">BD5439*M5439</f>
        <v>11121.84</v>
      </c>
      <c r="BG5439" s="35" t="n">
        <f aca="false">BA5439-BF5439</f>
        <v>-49.8399999999983</v>
      </c>
      <c r="BH5439" s="19" t="str">
        <f aca="false">IF(BG5439=0,"",IF(BG5439&lt;&gt;BA5439,"erreur de calcul",IF(BD5439&lt;&gt;0,"pas de prix",IF(M5439&lt;&gt; 0,"pas de quantité","pas de prix, ni de quantité"))))</f>
        <v>erreur de calcul</v>
      </c>
      <c r="BI5439" s="19"/>
    </row>
    <row r="5440" customFormat="false" ht="15" hidden="false" customHeight="false" outlineLevel="0" collapsed="false">
      <c r="A5440" s="0" t="n">
        <v>9</v>
      </c>
      <c r="B5440" s="8" t="s">
        <v>24</v>
      </c>
      <c r="C5440" s="9" t="s">
        <v>25</v>
      </c>
      <c r="D5440" s="9" t="s">
        <v>26</v>
      </c>
      <c r="E5440" s="10" t="n">
        <v>1789</v>
      </c>
      <c r="F5440" s="9" t="s">
        <v>27</v>
      </c>
      <c r="G5440" s="9" t="s">
        <v>27</v>
      </c>
      <c r="H5440" s="11" t="n">
        <v>23</v>
      </c>
      <c r="I5440" s="11" t="s">
        <v>251</v>
      </c>
      <c r="J5440" s="14" t="n">
        <v>6</v>
      </c>
      <c r="K5440" s="14"/>
      <c r="L5440" s="16"/>
      <c r="M5440" s="27" t="n">
        <f aca="false">J5440+(K5440/20)+(L5440/240)</f>
        <v>6</v>
      </c>
      <c r="N5440" s="17" t="s">
        <v>64</v>
      </c>
      <c r="O5440" s="11"/>
      <c r="P5440" s="28"/>
      <c r="Q5440" s="28" t="n">
        <f aca="false">P5440*$M5440</f>
        <v>0</v>
      </c>
      <c r="R5440" s="28"/>
      <c r="S5440" s="28" t="n">
        <f aca="false">R5440*$M5440</f>
        <v>0</v>
      </c>
      <c r="T5440" s="28"/>
      <c r="U5440" s="28" t="n">
        <f aca="false">T5440*$M5440</f>
        <v>0</v>
      </c>
      <c r="V5440" s="28"/>
      <c r="W5440" s="28" t="n">
        <f aca="false">V5440*$M5440</f>
        <v>0</v>
      </c>
      <c r="X5440" s="28"/>
      <c r="Y5440" s="28" t="n">
        <f aca="false">X5440*$M5440</f>
        <v>0</v>
      </c>
      <c r="Z5440" s="28"/>
      <c r="AA5440" s="28" t="n">
        <f aca="false">Z5440*$M5440</f>
        <v>0</v>
      </c>
      <c r="AB5440" s="28"/>
      <c r="AC5440" s="28" t="n">
        <f aca="false">AB5440*$M5440</f>
        <v>0</v>
      </c>
      <c r="AD5440" s="28"/>
      <c r="AE5440" s="28" t="n">
        <f aca="false">AD5440*$M5440</f>
        <v>0</v>
      </c>
      <c r="AF5440" s="28"/>
      <c r="AG5440" s="28" t="n">
        <f aca="false">AF5440*$M5440</f>
        <v>0</v>
      </c>
      <c r="AH5440" s="28"/>
      <c r="AI5440" s="28" t="n">
        <f aca="false">AH5440*$M5440</f>
        <v>0</v>
      </c>
      <c r="AJ5440" s="28"/>
      <c r="AK5440" s="28" t="n">
        <f aca="false">AJ5440*$M5440</f>
        <v>0</v>
      </c>
      <c r="AL5440" s="28"/>
      <c r="AM5440" s="28" t="n">
        <f aca="false">AL5440*$M5440</f>
        <v>0</v>
      </c>
      <c r="AN5440" s="28"/>
      <c r="AO5440" s="28" t="n">
        <f aca="false">AN5440*$M5440</f>
        <v>0</v>
      </c>
      <c r="AP5440" s="28"/>
      <c r="AQ5440" s="28" t="n">
        <f aca="false">AP5440*$M5440</f>
        <v>0</v>
      </c>
      <c r="AR5440" s="28"/>
      <c r="AS5440" s="28" t="n">
        <f aca="false">AR5440*$M5440</f>
        <v>0</v>
      </c>
      <c r="AT5440" s="28"/>
      <c r="AU5440" s="28" t="n">
        <f aca="false">AT5440*$M5440</f>
        <v>0</v>
      </c>
      <c r="AV5440" s="28"/>
      <c r="AW5440" s="28" t="n">
        <f aca="false">AV5440*$M5440</f>
        <v>0</v>
      </c>
      <c r="AX5440" s="28"/>
      <c r="AY5440" s="28" t="n">
        <f aca="false">AX5440*$M5440</f>
        <v>0</v>
      </c>
      <c r="AZ5440" s="30"/>
      <c r="BA5440" s="11"/>
      <c r="BB5440" s="31" t="n">
        <f aca="false">SUM(Q5440,S5440,U5440,W5440,Y5440,AA5440,AC5440,AE5440,AG5440,AI5440,AK5440,AM5440,AO5440,AQ5440,AS5440,AU5440,AW5440,AY5440)</f>
        <v>0</v>
      </c>
      <c r="BC5440" s="28" t="n">
        <f aca="false">BA5440-BB5440</f>
        <v>0</v>
      </c>
      <c r="BD5440" s="32" t="n">
        <f aca="false">SUM(P5440,R5440,T5440,V5440,X5440,Z5440,AB5440,AD5440,AF5440,AH5440,AJ5440,AL5440,AN5440,AP5440,AR5440,AT5440,AV5440,AX5440)</f>
        <v>0</v>
      </c>
      <c r="BE5440" s="33" t="n">
        <f aca="false">AZ5440-BD5440</f>
        <v>0</v>
      </c>
      <c r="BF5440" s="34" t="n">
        <f aca="false">BD5440*M5440</f>
        <v>0</v>
      </c>
      <c r="BG5440" s="35" t="n">
        <f aca="false">BA5440-BF5440</f>
        <v>0</v>
      </c>
      <c r="BH5440" s="19" t="str">
        <f aca="false">IF(BG5440=0,"",IF(BG5440&lt;&gt;BA5440,"erreur de calcul",IF(BD5440&lt;&gt;0,"pas de prix",IF(M5440&lt;&gt; 0,"pas de quantité","pas de prix, ni de quantité"))))</f>
        <v/>
      </c>
      <c r="BI5440" s="19"/>
    </row>
    <row r="5441" customFormat="false" ht="15" hidden="false" customHeight="false" outlineLevel="0" collapsed="false">
      <c r="A5441" s="0" t="n">
        <v>10</v>
      </c>
      <c r="B5441" s="8" t="s">
        <v>24</v>
      </c>
      <c r="C5441" s="9" t="s">
        <v>25</v>
      </c>
      <c r="D5441" s="9" t="s">
        <v>26</v>
      </c>
      <c r="E5441" s="10" t="n">
        <v>1789</v>
      </c>
      <c r="F5441" s="9" t="s">
        <v>27</v>
      </c>
      <c r="G5441" s="9" t="s">
        <v>27</v>
      </c>
      <c r="H5441" s="11" t="n">
        <v>23</v>
      </c>
      <c r="I5441" s="11" t="s">
        <v>252</v>
      </c>
      <c r="J5441" s="14" t="n">
        <v>240</v>
      </c>
      <c r="K5441" s="14"/>
      <c r="L5441" s="16"/>
      <c r="M5441" s="27" t="n">
        <f aca="false">J5441+(K5441/20)+(L5441/240)</f>
        <v>240</v>
      </c>
      <c r="N5441" s="17" t="s">
        <v>64</v>
      </c>
      <c r="O5441" s="11"/>
      <c r="P5441" s="28"/>
      <c r="Q5441" s="28" t="n">
        <f aca="false">P5441*$M5441</f>
        <v>0</v>
      </c>
      <c r="R5441" s="28"/>
      <c r="S5441" s="28" t="n">
        <f aca="false">R5441*$M5441</f>
        <v>0</v>
      </c>
      <c r="T5441" s="28" t="n">
        <f aca="false">4204/100</f>
        <v>42.04</v>
      </c>
      <c r="U5441" s="28" t="n">
        <v>10090</v>
      </c>
      <c r="V5441" s="28" t="n">
        <f aca="false">2799/100</f>
        <v>27.99</v>
      </c>
      <c r="W5441" s="28" t="n">
        <v>6718</v>
      </c>
      <c r="X5441" s="28" t="n">
        <f aca="false">2536/100</f>
        <v>25.36</v>
      </c>
      <c r="Y5441" s="28" t="n">
        <v>6086</v>
      </c>
      <c r="Z5441" s="28" t="n">
        <f aca="false">3393/100</f>
        <v>33.93</v>
      </c>
      <c r="AA5441" s="28" t="n">
        <v>8143</v>
      </c>
      <c r="AB5441" s="28" t="n">
        <f aca="false">242/100</f>
        <v>2.42</v>
      </c>
      <c r="AC5441" s="28" t="n">
        <v>581</v>
      </c>
      <c r="AD5441" s="28"/>
      <c r="AE5441" s="28" t="n">
        <f aca="false">AD5441*$M5441</f>
        <v>0</v>
      </c>
      <c r="AF5441" s="28"/>
      <c r="AG5441" s="28" t="n">
        <f aca="false">AF5441*$M5441</f>
        <v>0</v>
      </c>
      <c r="AH5441" s="28"/>
      <c r="AI5441" s="28" t="n">
        <f aca="false">AH5441*$M5441</f>
        <v>0</v>
      </c>
      <c r="AJ5441" s="28"/>
      <c r="AK5441" s="28" t="n">
        <f aca="false">AJ5441*$M5441</f>
        <v>0</v>
      </c>
      <c r="AL5441" s="28"/>
      <c r="AM5441" s="28" t="n">
        <f aca="false">AL5441*$M5441</f>
        <v>0</v>
      </c>
      <c r="AN5441" s="28"/>
      <c r="AO5441" s="28" t="n">
        <f aca="false">AN5441*$M5441</f>
        <v>0</v>
      </c>
      <c r="AP5441" s="28"/>
      <c r="AQ5441" s="28" t="n">
        <f aca="false">AP5441*$M5441</f>
        <v>0</v>
      </c>
      <c r="AR5441" s="28"/>
      <c r="AS5441" s="28" t="n">
        <f aca="false">AR5441*$M5441</f>
        <v>0</v>
      </c>
      <c r="AT5441" s="28"/>
      <c r="AU5441" s="28" t="n">
        <f aca="false">AT5441*$M5441</f>
        <v>0</v>
      </c>
      <c r="AV5441" s="28"/>
      <c r="AW5441" s="28" t="n">
        <f aca="false">AV5441*$M5441</f>
        <v>0</v>
      </c>
      <c r="AX5441" s="28"/>
      <c r="AY5441" s="28" t="n">
        <f aca="false">AX5441*$M5441</f>
        <v>0</v>
      </c>
      <c r="AZ5441" s="30" t="n">
        <f aca="false">13174/100</f>
        <v>131.74</v>
      </c>
      <c r="BA5441" s="11" t="n">
        <v>31618</v>
      </c>
      <c r="BB5441" s="31" t="n">
        <f aca="false">SUM(Q5441,S5441,U5441,W5441,Y5441,AA5441,AC5441,AE5441,AG5441,AI5441,AK5441,AM5441,AO5441,AQ5441,AS5441,AU5441,AW5441,AY5441)</f>
        <v>31618</v>
      </c>
      <c r="BC5441" s="28" t="n">
        <f aca="false">BA5441-BB5441</f>
        <v>0</v>
      </c>
      <c r="BD5441" s="32" t="n">
        <f aca="false">SUM(P5441,R5441,T5441,V5441,X5441,Z5441,AB5441,AD5441,AF5441,AH5441,AJ5441,AL5441,AN5441,AP5441,AR5441,AT5441,AV5441,AX5441)</f>
        <v>131.74</v>
      </c>
      <c r="BE5441" s="33" t="n">
        <f aca="false">AZ5441-BD5441</f>
        <v>0</v>
      </c>
      <c r="BF5441" s="34" t="n">
        <f aca="false">BD5441*M5441</f>
        <v>31617.6</v>
      </c>
      <c r="BG5441" s="35" t="n">
        <f aca="false">BA5441-BF5441</f>
        <v>0.399999999997817</v>
      </c>
      <c r="BH5441" s="19" t="str">
        <f aca="false">IF(BG5441=0,"",IF(BG5441&lt;&gt;BA5441,"erreur de calcul",IF(BD5441&lt;&gt;0,"pas de prix",IF(M5441&lt;&gt; 0,"pas de quantité","pas de prix, ni de quantité"))))</f>
        <v>erreur de calcul</v>
      </c>
      <c r="BI5441" s="19"/>
    </row>
    <row r="5442" customFormat="false" ht="15" hidden="false" customHeight="false" outlineLevel="0" collapsed="false">
      <c r="A5442" s="0" t="n">
        <v>11</v>
      </c>
      <c r="B5442" s="8" t="s">
        <v>24</v>
      </c>
      <c r="C5442" s="9" t="s">
        <v>25</v>
      </c>
      <c r="D5442" s="9" t="s">
        <v>26</v>
      </c>
      <c r="E5442" s="10" t="n">
        <v>1789</v>
      </c>
      <c r="F5442" s="9" t="s">
        <v>27</v>
      </c>
      <c r="G5442" s="9" t="s">
        <v>27</v>
      </c>
      <c r="H5442" s="11" t="n">
        <v>23</v>
      </c>
      <c r="I5442" s="11" t="s">
        <v>253</v>
      </c>
      <c r="J5442" s="14" t="n">
        <v>190</v>
      </c>
      <c r="K5442" s="14"/>
      <c r="L5442" s="16"/>
      <c r="M5442" s="27" t="n">
        <f aca="false">J5442+(K5442/20)+(L5442/240)</f>
        <v>190</v>
      </c>
      <c r="N5442" s="17" t="s">
        <v>64</v>
      </c>
      <c r="O5442" s="11"/>
      <c r="P5442" s="28"/>
      <c r="Q5442" s="28" t="n">
        <f aca="false">P5442*$M5442</f>
        <v>0</v>
      </c>
      <c r="R5442" s="28"/>
      <c r="S5442" s="28" t="n">
        <f aca="false">R5442*$M5442</f>
        <v>0</v>
      </c>
      <c r="T5442" s="28"/>
      <c r="U5442" s="28" t="n">
        <f aca="false">T5442*$M5442</f>
        <v>0</v>
      </c>
      <c r="V5442" s="28" t="n">
        <f aca="false">14963/100</f>
        <v>149.63</v>
      </c>
      <c r="W5442" s="36" t="n">
        <v>28420</v>
      </c>
      <c r="X5442" s="28"/>
      <c r="Y5442" s="28" t="n">
        <f aca="false">X5442*$M5442</f>
        <v>0</v>
      </c>
      <c r="Z5442" s="28"/>
      <c r="AA5442" s="28" t="n">
        <f aca="false">Z5442*$M5442</f>
        <v>0</v>
      </c>
      <c r="AB5442" s="28"/>
      <c r="AC5442" s="28" t="n">
        <f aca="false">AB5442*$M5442</f>
        <v>0</v>
      </c>
      <c r="AD5442" s="28"/>
      <c r="AE5442" s="28" t="n">
        <f aca="false">AD5442*$M5442</f>
        <v>0</v>
      </c>
      <c r="AF5442" s="28"/>
      <c r="AG5442" s="28" t="n">
        <f aca="false">AF5442*$M5442</f>
        <v>0</v>
      </c>
      <c r="AH5442" s="28"/>
      <c r="AI5442" s="28" t="n">
        <f aca="false">AH5442*$M5442</f>
        <v>0</v>
      </c>
      <c r="AJ5442" s="28"/>
      <c r="AK5442" s="28" t="n">
        <f aca="false">AJ5442*$M5442</f>
        <v>0</v>
      </c>
      <c r="AL5442" s="28"/>
      <c r="AM5442" s="28" t="n">
        <f aca="false">AL5442*$M5442</f>
        <v>0</v>
      </c>
      <c r="AN5442" s="28"/>
      <c r="AO5442" s="28" t="n">
        <f aca="false">AN5442*$M5442</f>
        <v>0</v>
      </c>
      <c r="AP5442" s="28"/>
      <c r="AQ5442" s="28" t="n">
        <f aca="false">AP5442*$M5442</f>
        <v>0</v>
      </c>
      <c r="AR5442" s="28"/>
      <c r="AS5442" s="28" t="n">
        <f aca="false">AR5442*$M5442</f>
        <v>0</v>
      </c>
      <c r="AT5442" s="28"/>
      <c r="AU5442" s="28" t="n">
        <f aca="false">AT5442*$M5442</f>
        <v>0</v>
      </c>
      <c r="AV5442" s="28"/>
      <c r="AW5442" s="28" t="n">
        <f aca="false">AV5442*$M5442</f>
        <v>0</v>
      </c>
      <c r="AX5442" s="28"/>
      <c r="AY5442" s="28" t="n">
        <f aca="false">AX5442*$M5442</f>
        <v>0</v>
      </c>
      <c r="AZ5442" s="30" t="n">
        <f aca="false">14963/100</f>
        <v>149.63</v>
      </c>
      <c r="BA5442" s="11" t="n">
        <v>28420</v>
      </c>
      <c r="BB5442" s="31" t="n">
        <f aca="false">SUM(Q5442,S5442,U5442,W5442,Y5442,AA5442,AC5442,AE5442,AG5442,AI5442,AK5442,AM5442,AO5442,AQ5442,AS5442,AU5442,AW5442,AY5442)</f>
        <v>28420</v>
      </c>
      <c r="BC5442" s="28" t="n">
        <f aca="false">BA5442-BB5442</f>
        <v>0</v>
      </c>
      <c r="BD5442" s="32" t="n">
        <f aca="false">SUM(P5442,R5442,T5442,V5442,X5442,Z5442,AB5442,AD5442,AF5442,AH5442,AJ5442,AL5442,AN5442,AP5442,AR5442,AT5442,AV5442,AX5442)</f>
        <v>149.63</v>
      </c>
      <c r="BE5442" s="33" t="n">
        <f aca="false">AZ5442-BD5442</f>
        <v>0</v>
      </c>
      <c r="BF5442" s="34" t="n">
        <f aca="false">BD5442*M5442</f>
        <v>28429.7</v>
      </c>
      <c r="BG5442" s="35" t="n">
        <f aca="false">BA5442-BF5442</f>
        <v>-9.70000000000073</v>
      </c>
      <c r="BH5442" s="19" t="str">
        <f aca="false">IF(BG5442=0,"",IF(BG5442&lt;&gt;BA5442,"erreur de calcul",IF(BD5442&lt;&gt;0,"pas de prix",IF(M5442&lt;&gt; 0,"pas de quantité","pas de prix, ni de quantité"))))</f>
        <v>erreur de calcul</v>
      </c>
      <c r="BI5442" s="19"/>
    </row>
    <row r="5443" customFormat="false" ht="15" hidden="false" customHeight="false" outlineLevel="0" collapsed="false">
      <c r="A5443" s="0" t="n">
        <v>12</v>
      </c>
      <c r="B5443" s="8" t="s">
        <v>24</v>
      </c>
      <c r="C5443" s="9" t="s">
        <v>25</v>
      </c>
      <c r="D5443" s="9" t="s">
        <v>26</v>
      </c>
      <c r="E5443" s="10" t="n">
        <v>1789</v>
      </c>
      <c r="F5443" s="9" t="s">
        <v>27</v>
      </c>
      <c r="G5443" s="9" t="s">
        <v>27</v>
      </c>
      <c r="H5443" s="11" t="n">
        <v>23</v>
      </c>
      <c r="I5443" s="11" t="s">
        <v>254</v>
      </c>
      <c r="J5443" s="14" t="n">
        <v>14</v>
      </c>
      <c r="K5443" s="14"/>
      <c r="L5443" s="16"/>
      <c r="M5443" s="27" t="n">
        <f aca="false">J5443+(K5443/20)+(L5443/240)</f>
        <v>14</v>
      </c>
      <c r="N5443" s="17" t="s">
        <v>64</v>
      </c>
      <c r="O5443" s="11"/>
      <c r="P5443" s="28"/>
      <c r="Q5443" s="28" t="n">
        <f aca="false">P5443*$M5443</f>
        <v>0</v>
      </c>
      <c r="R5443" s="28"/>
      <c r="S5443" s="28" t="n">
        <f aca="false">R5443*$M5443</f>
        <v>0</v>
      </c>
      <c r="T5443" s="28"/>
      <c r="U5443" s="28" t="n">
        <f aca="false">T5443*$M5443</f>
        <v>0</v>
      </c>
      <c r="V5443" s="28"/>
      <c r="W5443" s="28" t="n">
        <f aca="false">V5443*$M5443</f>
        <v>0</v>
      </c>
      <c r="X5443" s="28" t="n">
        <f aca="false">445483/100</f>
        <v>4454.83</v>
      </c>
      <c r="Y5443" s="28" t="n">
        <v>62368</v>
      </c>
      <c r="Z5443" s="28"/>
      <c r="AA5443" s="28" t="n">
        <f aca="false">Z5443*$M5443</f>
        <v>0</v>
      </c>
      <c r="AB5443" s="28"/>
      <c r="AC5443" s="28" t="n">
        <f aca="false">AB5443*$M5443</f>
        <v>0</v>
      </c>
      <c r="AD5443" s="28"/>
      <c r="AE5443" s="28" t="n">
        <f aca="false">AD5443*$M5443</f>
        <v>0</v>
      </c>
      <c r="AF5443" s="28"/>
      <c r="AG5443" s="28" t="n">
        <f aca="false">AF5443*$M5443</f>
        <v>0</v>
      </c>
      <c r="AH5443" s="28"/>
      <c r="AI5443" s="28" t="n">
        <f aca="false">AH5443*$M5443</f>
        <v>0</v>
      </c>
      <c r="AJ5443" s="28"/>
      <c r="AK5443" s="28" t="n">
        <f aca="false">AJ5443*$M5443</f>
        <v>0</v>
      </c>
      <c r="AL5443" s="28"/>
      <c r="AM5443" s="28" t="n">
        <f aca="false">AL5443*$M5443</f>
        <v>0</v>
      </c>
      <c r="AN5443" s="28"/>
      <c r="AO5443" s="28" t="n">
        <f aca="false">AN5443*$M5443</f>
        <v>0</v>
      </c>
      <c r="AP5443" s="28"/>
      <c r="AQ5443" s="28" t="n">
        <f aca="false">AP5443*$M5443</f>
        <v>0</v>
      </c>
      <c r="AR5443" s="28"/>
      <c r="AS5443" s="28" t="n">
        <f aca="false">AR5443*$M5443</f>
        <v>0</v>
      </c>
      <c r="AT5443" s="28"/>
      <c r="AU5443" s="28" t="n">
        <f aca="false">AT5443*$M5443</f>
        <v>0</v>
      </c>
      <c r="AV5443" s="28"/>
      <c r="AW5443" s="28" t="n">
        <f aca="false">AV5443*$M5443</f>
        <v>0</v>
      </c>
      <c r="AX5443" s="28"/>
      <c r="AY5443" s="28" t="n">
        <f aca="false">AX5443*$M5443</f>
        <v>0</v>
      </c>
      <c r="AZ5443" s="30" t="n">
        <f aca="false">445483/100</f>
        <v>4454.83</v>
      </c>
      <c r="BA5443" s="11" t="n">
        <v>62368</v>
      </c>
      <c r="BB5443" s="31" t="n">
        <f aca="false">SUM(Q5443,S5443,U5443,W5443,Y5443,AA5443,AC5443,AE5443,AG5443,AI5443,AK5443,AM5443,AO5443,AQ5443,AS5443,AU5443,AW5443,AY5443)</f>
        <v>62368</v>
      </c>
      <c r="BC5443" s="28" t="n">
        <f aca="false">BA5443-BB5443</f>
        <v>0</v>
      </c>
      <c r="BD5443" s="32" t="n">
        <f aca="false">SUM(P5443,R5443,T5443,V5443,X5443,Z5443,AB5443,AD5443,AF5443,AH5443,AJ5443,AL5443,AN5443,AP5443,AR5443,AT5443,AV5443,AX5443)</f>
        <v>4454.83</v>
      </c>
      <c r="BE5443" s="33" t="n">
        <f aca="false">AZ5443-BD5443</f>
        <v>0</v>
      </c>
      <c r="BF5443" s="34" t="n">
        <f aca="false">BD5443*M5443</f>
        <v>62367.62</v>
      </c>
      <c r="BG5443" s="35" t="n">
        <f aca="false">BA5443-BF5443</f>
        <v>0.380000000004657</v>
      </c>
      <c r="BH5443" s="19" t="str">
        <f aca="false">IF(BG5443=0,"",IF(BG5443&lt;&gt;BA5443,"erreur de calcul",IF(BD5443&lt;&gt;0,"pas de prix",IF(M5443&lt;&gt; 0,"pas de quantité","pas de prix, ni de quantité"))))</f>
        <v>erreur de calcul</v>
      </c>
      <c r="BI5443" s="19"/>
    </row>
    <row r="5444" customFormat="false" ht="15" hidden="false" customHeight="false" outlineLevel="0" collapsed="false">
      <c r="A5444" s="0" t="n">
        <v>13</v>
      </c>
      <c r="B5444" s="8" t="s">
        <v>24</v>
      </c>
      <c r="C5444" s="9" t="s">
        <v>25</v>
      </c>
      <c r="D5444" s="9" t="s">
        <v>26</v>
      </c>
      <c r="E5444" s="10" t="n">
        <v>1789</v>
      </c>
      <c r="F5444" s="9" t="s">
        <v>27</v>
      </c>
      <c r="G5444" s="9" t="s">
        <v>27</v>
      </c>
      <c r="H5444" s="11" t="n">
        <v>23</v>
      </c>
      <c r="I5444" s="11" t="s">
        <v>255</v>
      </c>
      <c r="J5444" s="14" t="n">
        <v>6</v>
      </c>
      <c r="K5444" s="14"/>
      <c r="L5444" s="16"/>
      <c r="M5444" s="27" t="n">
        <f aca="false">J5444+(K5444/20)+(L5444/240)</f>
        <v>6</v>
      </c>
      <c r="N5444" s="17" t="s">
        <v>64</v>
      </c>
      <c r="O5444" s="11"/>
      <c r="P5444" s="28"/>
      <c r="Q5444" s="28" t="n">
        <f aca="false">P5444*$M5444</f>
        <v>0</v>
      </c>
      <c r="R5444" s="28"/>
      <c r="S5444" s="28" t="n">
        <f aca="false">R5444*$M5444</f>
        <v>0</v>
      </c>
      <c r="T5444" s="28"/>
      <c r="U5444" s="28" t="n">
        <f aca="false">T5444*$M5444</f>
        <v>0</v>
      </c>
      <c r="V5444" s="28" t="n">
        <f aca="false">8263/100</f>
        <v>82.63</v>
      </c>
      <c r="W5444" s="28" t="n">
        <v>496</v>
      </c>
      <c r="X5444" s="28"/>
      <c r="Y5444" s="28" t="n">
        <f aca="false">X5444*$M5444</f>
        <v>0</v>
      </c>
      <c r="Z5444" s="28" t="n">
        <f aca="false">62695/100</f>
        <v>626.95</v>
      </c>
      <c r="AA5444" s="28" t="n">
        <v>3762</v>
      </c>
      <c r="AB5444" s="28"/>
      <c r="AC5444" s="28" t="n">
        <f aca="false">AB5444*$M5444</f>
        <v>0</v>
      </c>
      <c r="AD5444" s="28"/>
      <c r="AE5444" s="28" t="n">
        <f aca="false">AD5444*$M5444</f>
        <v>0</v>
      </c>
      <c r="AF5444" s="28"/>
      <c r="AG5444" s="28" t="n">
        <f aca="false">AF5444*$M5444</f>
        <v>0</v>
      </c>
      <c r="AH5444" s="28"/>
      <c r="AI5444" s="28" t="n">
        <f aca="false">AH5444*$M5444</f>
        <v>0</v>
      </c>
      <c r="AJ5444" s="28"/>
      <c r="AK5444" s="28" t="n">
        <f aca="false">AJ5444*$M5444</f>
        <v>0</v>
      </c>
      <c r="AL5444" s="28"/>
      <c r="AM5444" s="28" t="n">
        <f aca="false">AL5444*$M5444</f>
        <v>0</v>
      </c>
      <c r="AN5444" s="28"/>
      <c r="AO5444" s="28" t="n">
        <f aca="false">AN5444*$M5444</f>
        <v>0</v>
      </c>
      <c r="AP5444" s="28"/>
      <c r="AQ5444" s="28" t="n">
        <f aca="false">AP5444*$M5444</f>
        <v>0</v>
      </c>
      <c r="AR5444" s="28"/>
      <c r="AS5444" s="28" t="n">
        <f aca="false">AR5444*$M5444</f>
        <v>0</v>
      </c>
      <c r="AT5444" s="28"/>
      <c r="AU5444" s="28" t="n">
        <f aca="false">AT5444*$M5444</f>
        <v>0</v>
      </c>
      <c r="AV5444" s="28"/>
      <c r="AW5444" s="28" t="n">
        <f aca="false">AV5444*$M5444</f>
        <v>0</v>
      </c>
      <c r="AX5444" s="28"/>
      <c r="AY5444" s="28" t="n">
        <f aca="false">AX5444*$M5444</f>
        <v>0</v>
      </c>
      <c r="AZ5444" s="30" t="n">
        <f aca="false">70958/100</f>
        <v>709.58</v>
      </c>
      <c r="BA5444" s="11" t="n">
        <v>4258</v>
      </c>
      <c r="BB5444" s="31" t="n">
        <f aca="false">SUM(Q5444,S5444,U5444,W5444,Y5444,AA5444,AC5444,AE5444,AG5444,AI5444,AK5444,AM5444,AO5444,AQ5444,AS5444,AU5444,AW5444,AY5444)</f>
        <v>4258</v>
      </c>
      <c r="BC5444" s="28" t="n">
        <f aca="false">BA5444-BB5444</f>
        <v>0</v>
      </c>
      <c r="BD5444" s="32" t="n">
        <f aca="false">SUM(P5444,R5444,T5444,V5444,X5444,Z5444,AB5444,AD5444,AF5444,AH5444,AJ5444,AL5444,AN5444,AP5444,AR5444,AT5444,AV5444,AX5444)</f>
        <v>709.58</v>
      </c>
      <c r="BE5444" s="33" t="n">
        <f aca="false">AZ5444-BD5444</f>
        <v>0</v>
      </c>
      <c r="BF5444" s="34" t="n">
        <f aca="false">BD5444*M5444</f>
        <v>4257.48</v>
      </c>
      <c r="BG5444" s="35" t="n">
        <f aca="false">BA5444-BF5444</f>
        <v>0.519999999999527</v>
      </c>
      <c r="BH5444" s="19" t="str">
        <f aca="false">IF(BG5444=0,"",IF(BG5444&lt;&gt;BA5444,"erreur de calcul",IF(BD5444&lt;&gt;0,"pas de prix",IF(M5444&lt;&gt; 0,"pas de quantité","pas de prix, ni de quantité"))))</f>
        <v>erreur de calcul</v>
      </c>
      <c r="BI5444" s="19"/>
    </row>
    <row r="5445" customFormat="false" ht="15" hidden="false" customHeight="false" outlineLevel="0" collapsed="false">
      <c r="A5445" s="0" t="n">
        <v>14</v>
      </c>
      <c r="B5445" s="8" t="s">
        <v>24</v>
      </c>
      <c r="C5445" s="9" t="s">
        <v>25</v>
      </c>
      <c r="D5445" s="9" t="s">
        <v>26</v>
      </c>
      <c r="E5445" s="10" t="n">
        <v>1789</v>
      </c>
      <c r="F5445" s="9" t="s">
        <v>27</v>
      </c>
      <c r="G5445" s="9" t="s">
        <v>27</v>
      </c>
      <c r="H5445" s="11" t="n">
        <v>23</v>
      </c>
      <c r="I5445" s="11" t="s">
        <v>256</v>
      </c>
      <c r="J5445" s="14" t="n">
        <v>30</v>
      </c>
      <c r="K5445" s="14"/>
      <c r="L5445" s="16"/>
      <c r="M5445" s="27" t="n">
        <f aca="false">J5445+(K5445/20)+(L5445/240)</f>
        <v>30</v>
      </c>
      <c r="N5445" s="17" t="s">
        <v>64</v>
      </c>
      <c r="O5445" s="11"/>
      <c r="P5445" s="28" t="n">
        <f aca="false">1584/100</f>
        <v>15.84</v>
      </c>
      <c r="Q5445" s="28" t="n">
        <v>475</v>
      </c>
      <c r="R5445" s="28"/>
      <c r="S5445" s="28" t="n">
        <f aca="false">R5445*$M5445</f>
        <v>0</v>
      </c>
      <c r="T5445" s="28" t="n">
        <f aca="false">78834/100</f>
        <v>788.34</v>
      </c>
      <c r="U5445" s="28" t="n">
        <v>23650</v>
      </c>
      <c r="V5445" s="28"/>
      <c r="W5445" s="28" t="n">
        <f aca="false">V5445*$M5445</f>
        <v>0</v>
      </c>
      <c r="X5445" s="28"/>
      <c r="Y5445" s="28" t="n">
        <f aca="false">X5445*$M5445</f>
        <v>0</v>
      </c>
      <c r="Z5445" s="28"/>
      <c r="AA5445" s="28" t="n">
        <f aca="false">Z5445*$M5445</f>
        <v>0</v>
      </c>
      <c r="AB5445" s="28"/>
      <c r="AC5445" s="28" t="n">
        <f aca="false">AB5445*$M5445</f>
        <v>0</v>
      </c>
      <c r="AD5445" s="28"/>
      <c r="AE5445" s="28" t="n">
        <f aca="false">AD5445*$M5445</f>
        <v>0</v>
      </c>
      <c r="AF5445" s="28"/>
      <c r="AG5445" s="28" t="n">
        <f aca="false">AF5445*$M5445</f>
        <v>0</v>
      </c>
      <c r="AH5445" s="28"/>
      <c r="AI5445" s="28" t="n">
        <f aca="false">AH5445*$M5445</f>
        <v>0</v>
      </c>
      <c r="AJ5445" s="28"/>
      <c r="AK5445" s="28" t="n">
        <f aca="false">AJ5445*$M5445</f>
        <v>0</v>
      </c>
      <c r="AL5445" s="28"/>
      <c r="AM5445" s="28" t="n">
        <f aca="false">AL5445*$M5445</f>
        <v>0</v>
      </c>
      <c r="AN5445" s="28"/>
      <c r="AO5445" s="28" t="n">
        <f aca="false">AN5445*$M5445</f>
        <v>0</v>
      </c>
      <c r="AP5445" s="28"/>
      <c r="AQ5445" s="28" t="n">
        <f aca="false">AP5445*$M5445</f>
        <v>0</v>
      </c>
      <c r="AR5445" s="28"/>
      <c r="AS5445" s="28" t="n">
        <f aca="false">AR5445*$M5445</f>
        <v>0</v>
      </c>
      <c r="AT5445" s="28"/>
      <c r="AU5445" s="28" t="n">
        <f aca="false">AT5445*$M5445</f>
        <v>0</v>
      </c>
      <c r="AV5445" s="28"/>
      <c r="AW5445" s="28" t="n">
        <f aca="false">AV5445*$M5445</f>
        <v>0</v>
      </c>
      <c r="AX5445" s="28"/>
      <c r="AY5445" s="28" t="n">
        <f aca="false">AX5445*$M5445</f>
        <v>0</v>
      </c>
      <c r="AZ5445" s="30" t="n">
        <f aca="false">80418/100</f>
        <v>804.18</v>
      </c>
      <c r="BA5445" s="11" t="n">
        <v>24125</v>
      </c>
      <c r="BB5445" s="31" t="n">
        <f aca="false">SUM(Q5445,S5445,U5445,W5445,Y5445,AA5445,AC5445,AE5445,AG5445,AI5445,AK5445,AM5445,AO5445,AQ5445,AS5445,AU5445,AW5445,AY5445)</f>
        <v>24125</v>
      </c>
      <c r="BC5445" s="28" t="n">
        <f aca="false">BA5445-BB5445</f>
        <v>0</v>
      </c>
      <c r="BD5445" s="32" t="n">
        <f aca="false">SUM(P5445,R5445,T5445,V5445,X5445,Z5445,AB5445,AD5445,AF5445,AH5445,AJ5445,AL5445,AN5445,AP5445,AR5445,AT5445,AV5445,AX5445)</f>
        <v>804.18</v>
      </c>
      <c r="BE5445" s="33" t="n">
        <f aca="false">AZ5445-BD5445</f>
        <v>0</v>
      </c>
      <c r="BF5445" s="34" t="n">
        <f aca="false">BD5445*M5445</f>
        <v>24125.4</v>
      </c>
      <c r="BG5445" s="35" t="n">
        <f aca="false">BA5445-BF5445</f>
        <v>-0.400000000001455</v>
      </c>
      <c r="BH5445" s="19" t="str">
        <f aca="false">IF(BG5445=0,"",IF(BG5445&lt;&gt;BA5445,"erreur de calcul",IF(BD5445&lt;&gt;0,"pas de prix",IF(M5445&lt;&gt; 0,"pas de quantité","pas de prix, ni de quantité"))))</f>
        <v>erreur de calcul</v>
      </c>
      <c r="BI5445" s="19"/>
    </row>
    <row r="5446" customFormat="false" ht="15" hidden="false" customHeight="false" outlineLevel="0" collapsed="false">
      <c r="A5446" s="0" t="n">
        <v>15</v>
      </c>
      <c r="B5446" s="8" t="s">
        <v>24</v>
      </c>
      <c r="C5446" s="9" t="s">
        <v>25</v>
      </c>
      <c r="D5446" s="9" t="s">
        <v>26</v>
      </c>
      <c r="E5446" s="10" t="n">
        <v>1789</v>
      </c>
      <c r="F5446" s="9" t="s">
        <v>27</v>
      </c>
      <c r="G5446" s="9" t="s">
        <v>27</v>
      </c>
      <c r="H5446" s="11" t="n">
        <v>23</v>
      </c>
      <c r="I5446" s="11" t="s">
        <v>257</v>
      </c>
      <c r="J5446" s="14" t="n">
        <v>40</v>
      </c>
      <c r="K5446" s="14"/>
      <c r="L5446" s="16"/>
      <c r="M5446" s="27" t="n">
        <f aca="false">J5446+(K5446/20)+(L5446/240)</f>
        <v>40</v>
      </c>
      <c r="N5446" s="17" t="s">
        <v>64</v>
      </c>
      <c r="O5446" s="11"/>
      <c r="P5446" s="28"/>
      <c r="Q5446" s="28" t="n">
        <f aca="false">P5446*$M5446</f>
        <v>0</v>
      </c>
      <c r="R5446" s="28"/>
      <c r="S5446" s="28" t="n">
        <f aca="false">R5446*$M5446</f>
        <v>0</v>
      </c>
      <c r="T5446" s="28"/>
      <c r="U5446" s="28" t="n">
        <f aca="false">T5446*$M5446</f>
        <v>0</v>
      </c>
      <c r="V5446" s="28"/>
      <c r="W5446" s="28" t="n">
        <f aca="false">V5446*$M5446</f>
        <v>0</v>
      </c>
      <c r="X5446" s="28"/>
      <c r="Y5446" s="28" t="n">
        <f aca="false">X5446*$M5446</f>
        <v>0</v>
      </c>
      <c r="Z5446" s="28"/>
      <c r="AA5446" s="28" t="n">
        <f aca="false">Z5446*$M5446</f>
        <v>0</v>
      </c>
      <c r="AB5446" s="28"/>
      <c r="AC5446" s="28" t="n">
        <f aca="false">AB5446*$M5446</f>
        <v>0</v>
      </c>
      <c r="AD5446" s="28"/>
      <c r="AE5446" s="28" t="n">
        <f aca="false">AD5446*$M5446</f>
        <v>0</v>
      </c>
      <c r="AF5446" s="28"/>
      <c r="AG5446" s="28" t="n">
        <f aca="false">AF5446*$M5446</f>
        <v>0</v>
      </c>
      <c r="AH5446" s="28"/>
      <c r="AI5446" s="28" t="n">
        <f aca="false">AH5446*$M5446</f>
        <v>0</v>
      </c>
      <c r="AJ5446" s="28" t="n">
        <f aca="false">784564/100</f>
        <v>7845.64</v>
      </c>
      <c r="AK5446" s="28" t="n">
        <v>313826</v>
      </c>
      <c r="AL5446" s="28" t="n">
        <f aca="false">33500/100</f>
        <v>335</v>
      </c>
      <c r="AM5446" s="28" t="n">
        <v>13400</v>
      </c>
      <c r="AN5446" s="28"/>
      <c r="AO5446" s="28" t="n">
        <f aca="false">AN5446*$M5446</f>
        <v>0</v>
      </c>
      <c r="AP5446" s="28"/>
      <c r="AQ5446" s="28" t="n">
        <f aca="false">AP5446*$M5446</f>
        <v>0</v>
      </c>
      <c r="AR5446" s="28"/>
      <c r="AS5446" s="28" t="n">
        <f aca="false">AR5446*$M5446</f>
        <v>0</v>
      </c>
      <c r="AT5446" s="28"/>
      <c r="AU5446" s="28" t="n">
        <f aca="false">AT5446*$M5446</f>
        <v>0</v>
      </c>
      <c r="AV5446" s="28"/>
      <c r="AW5446" s="28" t="n">
        <f aca="false">AV5446*$M5446</f>
        <v>0</v>
      </c>
      <c r="AX5446" s="28"/>
      <c r="AY5446" s="28" t="n">
        <f aca="false">AX5446*$M5446</f>
        <v>0</v>
      </c>
      <c r="AZ5446" s="30" t="n">
        <f aca="false">818064/100</f>
        <v>8180.64</v>
      </c>
      <c r="BA5446" s="11" t="n">
        <v>327226</v>
      </c>
      <c r="BB5446" s="31" t="n">
        <f aca="false">SUM(Q5446,S5446,U5446,W5446,Y5446,AA5446,AC5446,AE5446,AG5446,AI5446,AK5446,AM5446,AO5446,AQ5446,AS5446,AU5446,AW5446,AY5446)</f>
        <v>327226</v>
      </c>
      <c r="BC5446" s="28" t="n">
        <f aca="false">BA5446-BB5446</f>
        <v>0</v>
      </c>
      <c r="BD5446" s="32" t="n">
        <f aca="false">SUM(P5446,R5446,T5446,V5446,X5446,Z5446,AB5446,AD5446,AF5446,AH5446,AJ5446,AL5446,AN5446,AP5446,AR5446,AT5446,AV5446,AX5446)</f>
        <v>8180.64</v>
      </c>
      <c r="BE5446" s="33" t="n">
        <f aca="false">AZ5446-BD5446</f>
        <v>0</v>
      </c>
      <c r="BF5446" s="34" t="n">
        <f aca="false">BD5446*M5446</f>
        <v>327225.6</v>
      </c>
      <c r="BG5446" s="35" t="n">
        <f aca="false">BA5446-BF5446</f>
        <v>0.399999999965075</v>
      </c>
      <c r="BH5446" s="19" t="str">
        <f aca="false">IF(BG5446=0,"",IF(BG5446&lt;&gt;BA5446,"erreur de calcul",IF(BD5446&lt;&gt;0,"pas de prix",IF(M5446&lt;&gt; 0,"pas de quantité","pas de prix, ni de quantité"))))</f>
        <v>erreur de calcul</v>
      </c>
      <c r="BI5446" s="19"/>
    </row>
    <row r="5447" customFormat="false" ht="15" hidden="false" customHeight="false" outlineLevel="0" collapsed="false">
      <c r="A5447" s="0" t="n">
        <v>16</v>
      </c>
      <c r="B5447" s="8" t="s">
        <v>24</v>
      </c>
      <c r="C5447" s="9" t="s">
        <v>25</v>
      </c>
      <c r="D5447" s="9" t="s">
        <v>26</v>
      </c>
      <c r="E5447" s="10" t="n">
        <v>1789</v>
      </c>
      <c r="F5447" s="9" t="s">
        <v>27</v>
      </c>
      <c r="G5447" s="9" t="s">
        <v>27</v>
      </c>
      <c r="H5447" s="11" t="n">
        <v>23</v>
      </c>
      <c r="I5447" s="11" t="s">
        <v>258</v>
      </c>
      <c r="J5447" s="14" t="n">
        <v>75</v>
      </c>
      <c r="K5447" s="14"/>
      <c r="L5447" s="16"/>
      <c r="M5447" s="27" t="n">
        <f aca="false">J5447+(K5447/20)+(L5447/240)</f>
        <v>75</v>
      </c>
      <c r="N5447" s="17" t="s">
        <v>64</v>
      </c>
      <c r="O5447" s="11"/>
      <c r="P5447" s="28"/>
      <c r="Q5447" s="28" t="n">
        <f aca="false">P5447*$M5447</f>
        <v>0</v>
      </c>
      <c r="R5447" s="28"/>
      <c r="S5447" s="28" t="n">
        <f aca="false">R5447*$M5447</f>
        <v>0</v>
      </c>
      <c r="T5447" s="28" t="n">
        <f aca="false">1000/100</f>
        <v>10</v>
      </c>
      <c r="U5447" s="28" t="n">
        <v>750</v>
      </c>
      <c r="V5447" s="28" t="n">
        <f aca="false">17232/100</f>
        <v>172.32</v>
      </c>
      <c r="W5447" s="28" t="n">
        <v>12924</v>
      </c>
      <c r="X5447" s="28" t="n">
        <f aca="false">942/100</f>
        <v>9.42</v>
      </c>
      <c r="Y5447" s="28" t="n">
        <v>706</v>
      </c>
      <c r="Z5447" s="28"/>
      <c r="AA5447" s="28" t="n">
        <f aca="false">Z5447*$M5447</f>
        <v>0</v>
      </c>
      <c r="AB5447" s="28" t="n">
        <f aca="false">415/100</f>
        <v>4.15</v>
      </c>
      <c r="AC5447" s="28" t="n">
        <v>311</v>
      </c>
      <c r="AD5447" s="28"/>
      <c r="AE5447" s="28" t="n">
        <f aca="false">AD5447*$M5447</f>
        <v>0</v>
      </c>
      <c r="AF5447" s="28"/>
      <c r="AG5447" s="28" t="n">
        <f aca="false">AF5447*$M5447</f>
        <v>0</v>
      </c>
      <c r="AH5447" s="28"/>
      <c r="AI5447" s="28" t="n">
        <f aca="false">AH5447*$M5447</f>
        <v>0</v>
      </c>
      <c r="AJ5447" s="28"/>
      <c r="AK5447" s="28" t="n">
        <f aca="false">AJ5447*$M5447</f>
        <v>0</v>
      </c>
      <c r="AL5447" s="28"/>
      <c r="AM5447" s="28" t="n">
        <f aca="false">AL5447*$M5447</f>
        <v>0</v>
      </c>
      <c r="AN5447" s="28"/>
      <c r="AO5447" s="28" t="n">
        <f aca="false">AN5447*$M5447</f>
        <v>0</v>
      </c>
      <c r="AP5447" s="28"/>
      <c r="AQ5447" s="28" t="n">
        <f aca="false">AP5447*$M5447</f>
        <v>0</v>
      </c>
      <c r="AR5447" s="28"/>
      <c r="AS5447" s="28" t="n">
        <f aca="false">AR5447*$M5447</f>
        <v>0</v>
      </c>
      <c r="AT5447" s="28"/>
      <c r="AU5447" s="28" t="n">
        <f aca="false">AT5447*$M5447</f>
        <v>0</v>
      </c>
      <c r="AV5447" s="28"/>
      <c r="AW5447" s="28" t="n">
        <f aca="false">AV5447*$M5447</f>
        <v>0</v>
      </c>
      <c r="AX5447" s="28"/>
      <c r="AY5447" s="28" t="n">
        <f aca="false">AX5447*$M5447</f>
        <v>0</v>
      </c>
      <c r="AZ5447" s="30" t="n">
        <f aca="false">19589/100</f>
        <v>195.89</v>
      </c>
      <c r="BA5447" s="11" t="n">
        <v>14691</v>
      </c>
      <c r="BB5447" s="31" t="n">
        <f aca="false">SUM(Q5447,S5447,U5447,W5447,Y5447,AA5447,AC5447,AE5447,AG5447,AI5447,AK5447,AM5447,AO5447,AQ5447,AS5447,AU5447,AW5447,AY5447)</f>
        <v>14691</v>
      </c>
      <c r="BC5447" s="28" t="n">
        <f aca="false">BA5447-BB5447</f>
        <v>0</v>
      </c>
      <c r="BD5447" s="32" t="n">
        <f aca="false">SUM(P5447,R5447,T5447,V5447,X5447,Z5447,AB5447,AD5447,AF5447,AH5447,AJ5447,AL5447,AN5447,AP5447,AR5447,AT5447,AV5447,AX5447)</f>
        <v>195.89</v>
      </c>
      <c r="BE5447" s="33" t="n">
        <f aca="false">AZ5447-BD5447</f>
        <v>0</v>
      </c>
      <c r="BF5447" s="34" t="n">
        <f aca="false">BD5447*M5447</f>
        <v>14691.75</v>
      </c>
      <c r="BG5447" s="35" t="n">
        <f aca="false">BA5447-BF5447</f>
        <v>-0.749999999998181</v>
      </c>
      <c r="BH5447" s="19" t="str">
        <f aca="false">IF(BG5447=0,"",IF(BG5447&lt;&gt;BA5447,"erreur de calcul",IF(BD5447&lt;&gt;0,"pas de prix",IF(M5447&lt;&gt; 0,"pas de quantité","pas de prix, ni de quantité"))))</f>
        <v>erreur de calcul</v>
      </c>
      <c r="BI5447" s="19"/>
    </row>
    <row r="5448" customFormat="false" ht="15" hidden="false" customHeight="false" outlineLevel="0" collapsed="false">
      <c r="A5448" s="0" t="n">
        <v>17</v>
      </c>
      <c r="B5448" s="8" t="s">
        <v>24</v>
      </c>
      <c r="C5448" s="9" t="s">
        <v>25</v>
      </c>
      <c r="D5448" s="9" t="s">
        <v>26</v>
      </c>
      <c r="E5448" s="10" t="n">
        <v>1789</v>
      </c>
      <c r="F5448" s="9" t="s">
        <v>27</v>
      </c>
      <c r="G5448" s="9" t="s">
        <v>27</v>
      </c>
      <c r="H5448" s="11" t="n">
        <v>23</v>
      </c>
      <c r="I5448" s="11" t="s">
        <v>259</v>
      </c>
      <c r="J5448" s="14"/>
      <c r="K5448" s="14"/>
      <c r="L5448" s="16"/>
      <c r="M5448" s="27" t="n">
        <f aca="false">J5448+(K5448/20)+(L5448/240)</f>
        <v>0</v>
      </c>
      <c r="N5448" s="17"/>
      <c r="O5448" s="11"/>
      <c r="P5448" s="28"/>
      <c r="Q5448" s="28" t="n">
        <v>957</v>
      </c>
      <c r="R5448" s="28"/>
      <c r="S5448" s="28" t="n">
        <f aca="false">R5448*$M5448</f>
        <v>0</v>
      </c>
      <c r="T5448" s="28"/>
      <c r="U5448" s="28" t="n">
        <v>354</v>
      </c>
      <c r="V5448" s="28"/>
      <c r="W5448" s="28" t="n">
        <v>398</v>
      </c>
      <c r="X5448" s="28"/>
      <c r="Y5448" s="28" t="n">
        <v>685</v>
      </c>
      <c r="Z5448" s="28"/>
      <c r="AA5448" s="28" t="n">
        <v>120</v>
      </c>
      <c r="AB5448" s="28"/>
      <c r="AC5448" s="28" t="n">
        <v>2994</v>
      </c>
      <c r="AD5448" s="28"/>
      <c r="AE5448" s="28" t="n">
        <f aca="false">AD5448*$M5448</f>
        <v>0</v>
      </c>
      <c r="AF5448" s="28"/>
      <c r="AG5448" s="28" t="n">
        <f aca="false">AF5448*$M5448</f>
        <v>0</v>
      </c>
      <c r="AH5448" s="28"/>
      <c r="AI5448" s="28" t="n">
        <v>144</v>
      </c>
      <c r="AJ5448" s="28"/>
      <c r="AK5448" s="28" t="n">
        <f aca="false">AJ5448*$M5448</f>
        <v>0</v>
      </c>
      <c r="AL5448" s="28"/>
      <c r="AM5448" s="28" t="n">
        <f aca="false">AL5448*$M5448</f>
        <v>0</v>
      </c>
      <c r="AN5448" s="28"/>
      <c r="AO5448" s="28" t="n">
        <f aca="false">AN5448*$M5448</f>
        <v>0</v>
      </c>
      <c r="AP5448" s="28"/>
      <c r="AQ5448" s="28" t="n">
        <f aca="false">AP5448*$M5448</f>
        <v>0</v>
      </c>
      <c r="AR5448" s="28"/>
      <c r="AS5448" s="28" t="n">
        <f aca="false">AR5448*$M5448</f>
        <v>0</v>
      </c>
      <c r="AT5448" s="28"/>
      <c r="AU5448" s="28" t="n">
        <f aca="false">AT5448*$M5448</f>
        <v>0</v>
      </c>
      <c r="AV5448" s="28"/>
      <c r="AW5448" s="28" t="n">
        <f aca="false">AV5448*$M5448</f>
        <v>0</v>
      </c>
      <c r="AX5448" s="28"/>
      <c r="AY5448" s="28" t="n">
        <f aca="false">AX5448*$M5448</f>
        <v>0</v>
      </c>
      <c r="AZ5448" s="30"/>
      <c r="BA5448" s="11" t="n">
        <v>5652</v>
      </c>
      <c r="BB5448" s="31" t="n">
        <f aca="false">SUM(Q5448,S5448,U5448,W5448,Y5448,AA5448,AC5448,AE5448,AG5448,AI5448,AK5448,AM5448,AO5448,AQ5448,AS5448,AU5448,AW5448,AY5448)</f>
        <v>5652</v>
      </c>
      <c r="BC5448" s="28" t="n">
        <f aca="false">BA5448-BB5448</f>
        <v>0</v>
      </c>
      <c r="BD5448" s="32" t="n">
        <f aca="false">SUM(P5448,R5448,T5448,V5448,X5448,Z5448,AB5448,AD5448,AF5448,AH5448,AJ5448,AL5448,AN5448,AP5448,AR5448,AT5448,AV5448,AX5448)</f>
        <v>0</v>
      </c>
      <c r="BE5448" s="33" t="n">
        <f aca="false">AZ5448-BD5448</f>
        <v>0</v>
      </c>
      <c r="BF5448" s="34" t="n">
        <f aca="false">BD5448*M5448</f>
        <v>0</v>
      </c>
      <c r="BG5448" s="35" t="n">
        <f aca="false">BA5448-BF5448</f>
        <v>5652</v>
      </c>
      <c r="BH5448" s="19" t="str">
        <f aca="false">IF(BG5448=0,"",IF(BG5448&lt;&gt;BA5448,"erreur de calcul",IF(BD5448&lt;&gt;0,"pas de prix",IF(M5448&lt;&gt; 0,"pas de quantité","pas de prix, ni de quantité"))))</f>
        <v>pas de prix, ni de quantité</v>
      </c>
      <c r="BI5448" s="19"/>
    </row>
    <row r="5449" customFormat="false" ht="15" hidden="false" customHeight="false" outlineLevel="0" collapsed="false">
      <c r="A5449" s="0" t="n">
        <v>18</v>
      </c>
      <c r="B5449" s="8" t="s">
        <v>24</v>
      </c>
      <c r="C5449" s="9" t="s">
        <v>25</v>
      </c>
      <c r="D5449" s="9" t="s">
        <v>26</v>
      </c>
      <c r="E5449" s="10" t="n">
        <v>1789</v>
      </c>
      <c r="F5449" s="9" t="s">
        <v>27</v>
      </c>
      <c r="G5449" s="9" t="s">
        <v>27</v>
      </c>
      <c r="H5449" s="11" t="n">
        <v>23</v>
      </c>
      <c r="I5449" s="11" t="s">
        <v>260</v>
      </c>
      <c r="J5449" s="14" t="n">
        <v>88</v>
      </c>
      <c r="K5449" s="14"/>
      <c r="L5449" s="16"/>
      <c r="M5449" s="27" t="n">
        <f aca="false">J5449+(K5449/20)+(L5449/240)</f>
        <v>88</v>
      </c>
      <c r="N5449" s="17" t="s">
        <v>64</v>
      </c>
      <c r="O5449" s="11"/>
      <c r="P5449" s="28"/>
      <c r="Q5449" s="28" t="n">
        <f aca="false">P5449*$M5449</f>
        <v>0</v>
      </c>
      <c r="R5449" s="28"/>
      <c r="S5449" s="28" t="n">
        <f aca="false">R5449*$M5449</f>
        <v>0</v>
      </c>
      <c r="T5449" s="28"/>
      <c r="U5449" s="28" t="n">
        <f aca="false">T5449*$M5449</f>
        <v>0</v>
      </c>
      <c r="V5449" s="28" t="n">
        <f aca="false">21004/100</f>
        <v>210.04</v>
      </c>
      <c r="W5449" s="28" t="n">
        <v>18483</v>
      </c>
      <c r="X5449" s="28"/>
      <c r="Y5449" s="28" t="n">
        <f aca="false">X5449*$M5449</f>
        <v>0</v>
      </c>
      <c r="Z5449" s="28"/>
      <c r="AA5449" s="28" t="n">
        <f aca="false">Z5449*$M5449</f>
        <v>0</v>
      </c>
      <c r="AB5449" s="28"/>
      <c r="AC5449" s="28" t="n">
        <f aca="false">AB5449*$M5449</f>
        <v>0</v>
      </c>
      <c r="AD5449" s="28"/>
      <c r="AE5449" s="28" t="n">
        <f aca="false">AD5449*$M5449</f>
        <v>0</v>
      </c>
      <c r="AF5449" s="28"/>
      <c r="AG5449" s="28" t="n">
        <f aca="false">AF5449*$M5449</f>
        <v>0</v>
      </c>
      <c r="AH5449" s="28"/>
      <c r="AI5449" s="28" t="n">
        <f aca="false">AH5449*$M5449</f>
        <v>0</v>
      </c>
      <c r="AJ5449" s="28"/>
      <c r="AK5449" s="28" t="n">
        <f aca="false">AJ5449*$M5449</f>
        <v>0</v>
      </c>
      <c r="AL5449" s="28"/>
      <c r="AM5449" s="28" t="n">
        <f aca="false">AL5449*$M5449</f>
        <v>0</v>
      </c>
      <c r="AN5449" s="28"/>
      <c r="AO5449" s="28" t="n">
        <f aca="false">AN5449*$M5449</f>
        <v>0</v>
      </c>
      <c r="AP5449" s="28"/>
      <c r="AQ5449" s="28" t="n">
        <f aca="false">AP5449*$M5449</f>
        <v>0</v>
      </c>
      <c r="AR5449" s="28"/>
      <c r="AS5449" s="28" t="n">
        <f aca="false">AR5449*$M5449</f>
        <v>0</v>
      </c>
      <c r="AT5449" s="28"/>
      <c r="AU5449" s="28" t="n">
        <f aca="false">AT5449*$M5449</f>
        <v>0</v>
      </c>
      <c r="AV5449" s="28"/>
      <c r="AW5449" s="28" t="n">
        <f aca="false">AV5449*$M5449</f>
        <v>0</v>
      </c>
      <c r="AX5449" s="28"/>
      <c r="AY5449" s="28" t="n">
        <f aca="false">AX5449*$M5449</f>
        <v>0</v>
      </c>
      <c r="AZ5449" s="30" t="n">
        <f aca="false">21004/100</f>
        <v>210.04</v>
      </c>
      <c r="BA5449" s="11" t="n">
        <v>18483</v>
      </c>
      <c r="BB5449" s="31" t="n">
        <f aca="false">SUM(Q5449,S5449,U5449,W5449,Y5449,AA5449,AC5449,AE5449,AG5449,AI5449,AK5449,AM5449,AO5449,AQ5449,AS5449,AU5449,AW5449,AY5449)</f>
        <v>18483</v>
      </c>
      <c r="BC5449" s="28" t="n">
        <f aca="false">BA5449-BB5449</f>
        <v>0</v>
      </c>
      <c r="BD5449" s="32" t="n">
        <f aca="false">SUM(P5449,R5449,T5449,V5449,X5449,Z5449,AB5449,AD5449,AF5449,AH5449,AJ5449,AL5449,AN5449,AP5449,AR5449,AT5449,AV5449,AX5449)</f>
        <v>210.04</v>
      </c>
      <c r="BE5449" s="33" t="n">
        <f aca="false">AZ5449-BD5449</f>
        <v>0</v>
      </c>
      <c r="BF5449" s="34" t="n">
        <f aca="false">BD5449*M5449</f>
        <v>18483.52</v>
      </c>
      <c r="BG5449" s="35" t="n">
        <f aca="false">BA5449-BF5449</f>
        <v>-0.520000000000437</v>
      </c>
      <c r="BH5449" s="19" t="str">
        <f aca="false">IF(BG5449=0,"",IF(BG5449&lt;&gt;BA5449,"erreur de calcul",IF(BD5449&lt;&gt;0,"pas de prix",IF(M5449&lt;&gt; 0,"pas de quantité","pas de prix, ni de quantité"))))</f>
        <v>erreur de calcul</v>
      </c>
      <c r="BI5449" s="19"/>
    </row>
    <row r="5450" customFormat="false" ht="15" hidden="false" customHeight="false" outlineLevel="0" collapsed="false">
      <c r="A5450" s="0" t="n">
        <v>19</v>
      </c>
      <c r="B5450" s="8" t="s">
        <v>24</v>
      </c>
      <c r="C5450" s="9" t="s">
        <v>25</v>
      </c>
      <c r="D5450" s="9" t="s">
        <v>26</v>
      </c>
      <c r="E5450" s="10" t="n">
        <v>1789</v>
      </c>
      <c r="F5450" s="9" t="s">
        <v>27</v>
      </c>
      <c r="G5450" s="9" t="s">
        <v>27</v>
      </c>
      <c r="H5450" s="11" t="n">
        <v>23</v>
      </c>
      <c r="I5450" s="11" t="s">
        <v>261</v>
      </c>
      <c r="J5450" s="14" t="n">
        <v>35</v>
      </c>
      <c r="K5450" s="14"/>
      <c r="L5450" s="16"/>
      <c r="M5450" s="27" t="n">
        <f aca="false">J5450+(K5450/20)+(L5450/240)</f>
        <v>35</v>
      </c>
      <c r="N5450" s="17" t="s">
        <v>64</v>
      </c>
      <c r="O5450" s="11"/>
      <c r="P5450" s="28" t="n">
        <f aca="false">2877/100</f>
        <v>28.77</v>
      </c>
      <c r="Q5450" s="28" t="n">
        <v>1007</v>
      </c>
      <c r="R5450" s="28"/>
      <c r="S5450" s="28" t="n">
        <f aca="false">R5450*$M5450</f>
        <v>0</v>
      </c>
      <c r="T5450" s="28"/>
      <c r="U5450" s="28" t="n">
        <f aca="false">T5450*$M5450</f>
        <v>0</v>
      </c>
      <c r="V5450" s="28"/>
      <c r="W5450" s="28" t="n">
        <f aca="false">V5450*$M5450</f>
        <v>0</v>
      </c>
      <c r="X5450" s="28"/>
      <c r="Y5450" s="28" t="n">
        <f aca="false">X5450*$M5450</f>
        <v>0</v>
      </c>
      <c r="Z5450" s="28"/>
      <c r="AA5450" s="28" t="n">
        <f aca="false">Z5450*$M5450</f>
        <v>0</v>
      </c>
      <c r="AB5450" s="28"/>
      <c r="AC5450" s="28" t="n">
        <f aca="false">AB5450*$M5450</f>
        <v>0</v>
      </c>
      <c r="AD5450" s="28"/>
      <c r="AE5450" s="28" t="n">
        <f aca="false">AD5450*$M5450</f>
        <v>0</v>
      </c>
      <c r="AF5450" s="28"/>
      <c r="AG5450" s="28" t="n">
        <f aca="false">AF5450*$M5450</f>
        <v>0</v>
      </c>
      <c r="AH5450" s="28"/>
      <c r="AI5450" s="28" t="n">
        <f aca="false">AH5450*$M5450</f>
        <v>0</v>
      </c>
      <c r="AJ5450" s="28"/>
      <c r="AK5450" s="28" t="n">
        <f aca="false">AJ5450*$M5450</f>
        <v>0</v>
      </c>
      <c r="AL5450" s="28"/>
      <c r="AM5450" s="28" t="n">
        <f aca="false">AL5450*$M5450</f>
        <v>0</v>
      </c>
      <c r="AN5450" s="28"/>
      <c r="AO5450" s="28" t="n">
        <f aca="false">AN5450*$M5450</f>
        <v>0</v>
      </c>
      <c r="AP5450" s="28"/>
      <c r="AQ5450" s="28" t="n">
        <f aca="false">AP5450*$M5450</f>
        <v>0</v>
      </c>
      <c r="AR5450" s="28"/>
      <c r="AS5450" s="28" t="n">
        <f aca="false">AR5450*$M5450</f>
        <v>0</v>
      </c>
      <c r="AT5450" s="28"/>
      <c r="AU5450" s="28" t="n">
        <f aca="false">AT5450*$M5450</f>
        <v>0</v>
      </c>
      <c r="AV5450" s="28"/>
      <c r="AW5450" s="28" t="n">
        <f aca="false">AV5450*$M5450</f>
        <v>0</v>
      </c>
      <c r="AX5450" s="28"/>
      <c r="AY5450" s="28" t="n">
        <f aca="false">AX5450*$M5450</f>
        <v>0</v>
      </c>
      <c r="AZ5450" s="30" t="n">
        <f aca="false">2877/100</f>
        <v>28.77</v>
      </c>
      <c r="BA5450" s="11" t="n">
        <v>1007</v>
      </c>
      <c r="BB5450" s="31" t="n">
        <f aca="false">SUM(Q5450,S5450,U5450,W5450,Y5450,AA5450,AC5450,AE5450,AG5450,AI5450,AK5450,AM5450,AO5450,AQ5450,AS5450,AU5450,AW5450,AY5450)</f>
        <v>1007</v>
      </c>
      <c r="BC5450" s="28" t="n">
        <f aca="false">BA5450-BB5450</f>
        <v>0</v>
      </c>
      <c r="BD5450" s="32" t="n">
        <f aca="false">SUM(P5450,R5450,T5450,V5450,X5450,Z5450,AB5450,AD5450,AF5450,AH5450,AJ5450,AL5450,AN5450,AP5450,AR5450,AT5450,AV5450,AX5450)</f>
        <v>28.77</v>
      </c>
      <c r="BE5450" s="33" t="n">
        <f aca="false">AZ5450-BD5450</f>
        <v>0</v>
      </c>
      <c r="BF5450" s="34" t="n">
        <f aca="false">BD5450*M5450</f>
        <v>1006.95</v>
      </c>
      <c r="BG5450" s="35" t="n">
        <f aca="false">BA5450-BF5450</f>
        <v>0.0500000000000682</v>
      </c>
      <c r="BH5450" s="19" t="str">
        <f aca="false">IF(BG5450=0,"",IF(BG5450&lt;&gt;BA5450,"erreur de calcul",IF(BD5450&lt;&gt;0,"pas de prix",IF(M5450&lt;&gt; 0,"pas de quantité","pas de prix, ni de quantité"))))</f>
        <v>erreur de calcul</v>
      </c>
      <c r="BI5450" s="19"/>
    </row>
    <row r="5451" customFormat="false" ht="15" hidden="false" customHeight="false" outlineLevel="0" collapsed="false">
      <c r="A5451" s="0" t="n">
        <v>20</v>
      </c>
      <c r="B5451" s="8" t="s">
        <v>24</v>
      </c>
      <c r="C5451" s="9" t="s">
        <v>25</v>
      </c>
      <c r="D5451" s="9" t="s">
        <v>26</v>
      </c>
      <c r="E5451" s="10" t="n">
        <v>1789</v>
      </c>
      <c r="F5451" s="9" t="s">
        <v>27</v>
      </c>
      <c r="G5451" s="9" t="s">
        <v>27</v>
      </c>
      <c r="H5451" s="11" t="n">
        <v>23</v>
      </c>
      <c r="I5451" s="11" t="s">
        <v>262</v>
      </c>
      <c r="J5451" s="14" t="n">
        <v>40</v>
      </c>
      <c r="K5451" s="14"/>
      <c r="L5451" s="16"/>
      <c r="M5451" s="27" t="n">
        <f aca="false">J5451+(K5451/20)+(L5451/240)</f>
        <v>40</v>
      </c>
      <c r="N5451" s="17" t="s">
        <v>64</v>
      </c>
      <c r="O5451" s="11"/>
      <c r="P5451" s="28"/>
      <c r="Q5451" s="28" t="n">
        <f aca="false">P5451*$M5451</f>
        <v>0</v>
      </c>
      <c r="R5451" s="28"/>
      <c r="S5451" s="28" t="n">
        <f aca="false">R5451*$M5451</f>
        <v>0</v>
      </c>
      <c r="T5451" s="28"/>
      <c r="U5451" s="28" t="n">
        <f aca="false">T5451*$M5451</f>
        <v>0</v>
      </c>
      <c r="V5451" s="28"/>
      <c r="W5451" s="28" t="n">
        <f aca="false">V5451*$M5451</f>
        <v>0</v>
      </c>
      <c r="X5451" s="28"/>
      <c r="Y5451" s="28" t="n">
        <f aca="false">X5451*$M5451</f>
        <v>0</v>
      </c>
      <c r="Z5451" s="28"/>
      <c r="AA5451" s="28" t="n">
        <f aca="false">Z5451*$M5451</f>
        <v>0</v>
      </c>
      <c r="AB5451" s="28"/>
      <c r="AC5451" s="28" t="n">
        <f aca="false">AB5451*$M5451</f>
        <v>0</v>
      </c>
      <c r="AD5451" s="28"/>
      <c r="AE5451" s="28" t="n">
        <f aca="false">AD5451*$M5451</f>
        <v>0</v>
      </c>
      <c r="AF5451" s="28" t="n">
        <f aca="false">108620/100</f>
        <v>1086.2</v>
      </c>
      <c r="AG5451" s="28" t="n">
        <v>43448</v>
      </c>
      <c r="AH5451" s="28"/>
      <c r="AI5451" s="28" t="n">
        <f aca="false">AH5451*$M5451</f>
        <v>0</v>
      </c>
      <c r="AJ5451" s="28"/>
      <c r="AK5451" s="28" t="n">
        <f aca="false">AJ5451*$M5451</f>
        <v>0</v>
      </c>
      <c r="AL5451" s="28"/>
      <c r="AM5451" s="28" t="n">
        <f aca="false">AL5451*$M5451</f>
        <v>0</v>
      </c>
      <c r="AN5451" s="28"/>
      <c r="AO5451" s="28" t="n">
        <f aca="false">AN5451*$M5451</f>
        <v>0</v>
      </c>
      <c r="AP5451" s="28"/>
      <c r="AQ5451" s="28" t="n">
        <f aca="false">AP5451*$M5451</f>
        <v>0</v>
      </c>
      <c r="AR5451" s="28"/>
      <c r="AS5451" s="28" t="n">
        <f aca="false">AR5451*$M5451</f>
        <v>0</v>
      </c>
      <c r="AT5451" s="28"/>
      <c r="AU5451" s="28" t="n">
        <f aca="false">AT5451*$M5451</f>
        <v>0</v>
      </c>
      <c r="AV5451" s="28"/>
      <c r="AW5451" s="28" t="n">
        <f aca="false">AV5451*$M5451</f>
        <v>0</v>
      </c>
      <c r="AX5451" s="28"/>
      <c r="AY5451" s="28" t="n">
        <f aca="false">AX5451*$M5451</f>
        <v>0</v>
      </c>
      <c r="AZ5451" s="30" t="n">
        <f aca="false">108620/100</f>
        <v>1086.2</v>
      </c>
      <c r="BA5451" s="11" t="n">
        <v>43448</v>
      </c>
      <c r="BB5451" s="31" t="n">
        <f aca="false">SUM(Q5451,S5451,U5451,W5451,Y5451,AA5451,AC5451,AE5451,AG5451,AI5451,AK5451,AM5451,AO5451,AQ5451,AS5451,AU5451,AW5451,AY5451)</f>
        <v>43448</v>
      </c>
      <c r="BC5451" s="28" t="n">
        <f aca="false">BA5451-BB5451</f>
        <v>0</v>
      </c>
      <c r="BD5451" s="32" t="n">
        <f aca="false">SUM(P5451,R5451,T5451,V5451,X5451,Z5451,AB5451,AD5451,AF5451,AH5451,AJ5451,AL5451,AN5451,AP5451,AR5451,AT5451,AV5451,AX5451)</f>
        <v>1086.2</v>
      </c>
      <c r="BE5451" s="33" t="n">
        <f aca="false">AZ5451-BD5451</f>
        <v>0</v>
      </c>
      <c r="BF5451" s="34" t="n">
        <f aca="false">BD5451*M5451</f>
        <v>43448</v>
      </c>
      <c r="BG5451" s="35" t="n">
        <f aca="false">BA5451-BF5451</f>
        <v>0</v>
      </c>
      <c r="BH5451" s="19" t="str">
        <f aca="false">IF(BG5451=0,"",IF(BG5451&lt;&gt;BA5451,"erreur de calcul",IF(BD5451&lt;&gt;0,"pas de prix",IF(M5451&lt;&gt; 0,"pas de quantité","pas de prix, ni de quantité"))))</f>
        <v/>
      </c>
      <c r="BI5451" s="19"/>
    </row>
    <row r="5452" customFormat="false" ht="15" hidden="false" customHeight="false" outlineLevel="0" collapsed="false">
      <c r="A5452" s="0" t="n">
        <v>21</v>
      </c>
      <c r="B5452" s="8" t="s">
        <v>24</v>
      </c>
      <c r="C5452" s="9" t="s">
        <v>25</v>
      </c>
      <c r="D5452" s="9" t="s">
        <v>26</v>
      </c>
      <c r="E5452" s="10" t="n">
        <v>1789</v>
      </c>
      <c r="F5452" s="9" t="s">
        <v>27</v>
      </c>
      <c r="G5452" s="9" t="s">
        <v>27</v>
      </c>
      <c r="H5452" s="11" t="n">
        <v>23</v>
      </c>
      <c r="I5452" s="11" t="s">
        <v>263</v>
      </c>
      <c r="J5452" s="14" t="n">
        <v>12</v>
      </c>
      <c r="K5452" s="14"/>
      <c r="L5452" s="16"/>
      <c r="M5452" s="27" t="n">
        <f aca="false">J5452+(K5452/20)+(L5452/240)</f>
        <v>12</v>
      </c>
      <c r="N5452" s="17" t="s">
        <v>64</v>
      </c>
      <c r="O5452" s="11"/>
      <c r="P5452" s="28"/>
      <c r="Q5452" s="28" t="n">
        <f aca="false">P5452*$M5452</f>
        <v>0</v>
      </c>
      <c r="R5452" s="28"/>
      <c r="S5452" s="28" t="n">
        <f aca="false">R5452*$M5452</f>
        <v>0</v>
      </c>
      <c r="T5452" s="28"/>
      <c r="U5452" s="28" t="n">
        <f aca="false">T5452*$M5452</f>
        <v>0</v>
      </c>
      <c r="V5452" s="28"/>
      <c r="W5452" s="28" t="n">
        <f aca="false">V5452*$M5452</f>
        <v>0</v>
      </c>
      <c r="X5452" s="28"/>
      <c r="Y5452" s="28" t="n">
        <f aca="false">X5452*$M5452</f>
        <v>0</v>
      </c>
      <c r="Z5452" s="28"/>
      <c r="AA5452" s="28" t="n">
        <f aca="false">Z5452*$M5452</f>
        <v>0</v>
      </c>
      <c r="AB5452" s="28" t="n">
        <f aca="false">485726/100</f>
        <v>4857.26</v>
      </c>
      <c r="AC5452" s="28" t="n">
        <v>58287</v>
      </c>
      <c r="AD5452" s="28"/>
      <c r="AE5452" s="28" t="n">
        <f aca="false">AD5452*$M5452</f>
        <v>0</v>
      </c>
      <c r="AF5452" s="28"/>
      <c r="AG5452" s="28" t="n">
        <f aca="false">AF5452*$M5452</f>
        <v>0</v>
      </c>
      <c r="AH5452" s="28" t="n">
        <f aca="false">259291/100</f>
        <v>2592.91</v>
      </c>
      <c r="AI5452" s="28" t="n">
        <v>31115</v>
      </c>
      <c r="AJ5452" s="28"/>
      <c r="AK5452" s="28" t="n">
        <f aca="false">AJ5452*$M5452</f>
        <v>0</v>
      </c>
      <c r="AL5452" s="28"/>
      <c r="AM5452" s="28" t="n">
        <f aca="false">AL5452*$M5452</f>
        <v>0</v>
      </c>
      <c r="AN5452" s="28"/>
      <c r="AO5452" s="28" t="n">
        <f aca="false">AN5452*$M5452</f>
        <v>0</v>
      </c>
      <c r="AP5452" s="28"/>
      <c r="AQ5452" s="28" t="n">
        <f aca="false">AP5452*$M5452</f>
        <v>0</v>
      </c>
      <c r="AR5452" s="28"/>
      <c r="AS5452" s="28" t="n">
        <f aca="false">AR5452*$M5452</f>
        <v>0</v>
      </c>
      <c r="AT5452" s="28"/>
      <c r="AU5452" s="28" t="n">
        <f aca="false">AT5452*$M5452</f>
        <v>0</v>
      </c>
      <c r="AV5452" s="28"/>
      <c r="AW5452" s="28" t="n">
        <f aca="false">AV5452*$M5452</f>
        <v>0</v>
      </c>
      <c r="AX5452" s="28"/>
      <c r="AY5452" s="28" t="n">
        <f aca="false">AX5452*$M5452</f>
        <v>0</v>
      </c>
      <c r="AZ5452" s="30" t="n">
        <f aca="false">745017/100</f>
        <v>7450.17</v>
      </c>
      <c r="BA5452" s="11" t="n">
        <v>89402</v>
      </c>
      <c r="BB5452" s="31" t="n">
        <f aca="false">SUM(Q5452,S5452,U5452,W5452,Y5452,AA5452,AC5452,AE5452,AG5452,AI5452,AK5452,AM5452,AO5452,AQ5452,AS5452,AU5452,AW5452,AY5452)</f>
        <v>89402</v>
      </c>
      <c r="BC5452" s="28" t="n">
        <f aca="false">BA5452-BB5452</f>
        <v>0</v>
      </c>
      <c r="BD5452" s="32" t="n">
        <f aca="false">SUM(P5452,R5452,T5452,V5452,X5452,Z5452,AB5452,AD5452,AF5452,AH5452,AJ5452,AL5452,AN5452,AP5452,AR5452,AT5452,AV5452,AX5452)</f>
        <v>7450.17</v>
      </c>
      <c r="BE5452" s="33" t="n">
        <f aca="false">AZ5452-BD5452</f>
        <v>0</v>
      </c>
      <c r="BF5452" s="34" t="n">
        <f aca="false">BD5452*M5452</f>
        <v>89402.04</v>
      </c>
      <c r="BG5452" s="35" t="n">
        <f aca="false">BA5452-BF5452</f>
        <v>-0.0400000000081491</v>
      </c>
      <c r="BH5452" s="19" t="str">
        <f aca="false">IF(BG5452=0,"",IF(BG5452&lt;&gt;BA5452,"erreur de calcul",IF(BD5452&lt;&gt;0,"pas de prix",IF(M5452&lt;&gt; 0,"pas de quantité","pas de prix, ni de quantité"))))</f>
        <v>erreur de calcul</v>
      </c>
      <c r="BI5452" s="19"/>
    </row>
    <row r="5453" customFormat="false" ht="15" hidden="false" customHeight="false" outlineLevel="0" collapsed="false">
      <c r="A5453" s="0" t="n">
        <v>22</v>
      </c>
      <c r="B5453" s="8" t="s">
        <v>24</v>
      </c>
      <c r="C5453" s="9" t="s">
        <v>25</v>
      </c>
      <c r="D5453" s="9" t="s">
        <v>26</v>
      </c>
      <c r="E5453" s="10" t="n">
        <v>1789</v>
      </c>
      <c r="F5453" s="9" t="s">
        <v>27</v>
      </c>
      <c r="G5453" s="9" t="s">
        <v>27</v>
      </c>
      <c r="H5453" s="11" t="n">
        <v>23</v>
      </c>
      <c r="I5453" s="11" t="s">
        <v>264</v>
      </c>
      <c r="J5453" s="14" t="n">
        <v>15</v>
      </c>
      <c r="K5453" s="14"/>
      <c r="L5453" s="16"/>
      <c r="M5453" s="27" t="n">
        <f aca="false">J5453+(K5453/20)+(L5453/240)</f>
        <v>15</v>
      </c>
      <c r="N5453" s="17" t="s">
        <v>64</v>
      </c>
      <c r="O5453" s="11"/>
      <c r="P5453" s="28"/>
      <c r="Q5453" s="28" t="n">
        <f aca="false">P5453*$M5453</f>
        <v>0</v>
      </c>
      <c r="R5453" s="28"/>
      <c r="S5453" s="28" t="n">
        <f aca="false">R5453*$M5453</f>
        <v>0</v>
      </c>
      <c r="T5453" s="28"/>
      <c r="U5453" s="28" t="n">
        <f aca="false">T5453*$M5453</f>
        <v>0</v>
      </c>
      <c r="V5453" s="28"/>
      <c r="W5453" s="28" t="n">
        <f aca="false">V5453*$M5453</f>
        <v>0</v>
      </c>
      <c r="X5453" s="28" t="n">
        <f aca="false">65502/100</f>
        <v>655.02</v>
      </c>
      <c r="Y5453" s="28" t="n">
        <v>9825</v>
      </c>
      <c r="Z5453" s="28"/>
      <c r="AA5453" s="28" t="n">
        <f aca="false">Z5453*$M5453</f>
        <v>0</v>
      </c>
      <c r="AB5453" s="28" t="n">
        <f aca="false">207046/100</f>
        <v>2070.46</v>
      </c>
      <c r="AC5453" s="28" t="n">
        <v>31057</v>
      </c>
      <c r="AD5453" s="28"/>
      <c r="AE5453" s="28" t="n">
        <f aca="false">AD5453*$M5453</f>
        <v>0</v>
      </c>
      <c r="AF5453" s="28"/>
      <c r="AG5453" s="28" t="n">
        <f aca="false">AF5453*$M5453</f>
        <v>0</v>
      </c>
      <c r="AH5453" s="28" t="n">
        <f aca="false">11048/100</f>
        <v>110.48</v>
      </c>
      <c r="AI5453" s="28" t="n">
        <v>1657</v>
      </c>
      <c r="AJ5453" s="28"/>
      <c r="AK5453" s="28" t="n">
        <f aca="false">AJ5453*$M5453</f>
        <v>0</v>
      </c>
      <c r="AL5453" s="28"/>
      <c r="AM5453" s="28" t="n">
        <f aca="false">AL5453*$M5453</f>
        <v>0</v>
      </c>
      <c r="AN5453" s="28"/>
      <c r="AO5453" s="28" t="n">
        <f aca="false">AN5453*$M5453</f>
        <v>0</v>
      </c>
      <c r="AP5453" s="28"/>
      <c r="AQ5453" s="28" t="n">
        <f aca="false">AP5453*$M5453</f>
        <v>0</v>
      </c>
      <c r="AR5453" s="28"/>
      <c r="AS5453" s="28" t="n">
        <f aca="false">AR5453*$M5453</f>
        <v>0</v>
      </c>
      <c r="AT5453" s="28"/>
      <c r="AU5453" s="28" t="n">
        <f aca="false">AT5453*$M5453</f>
        <v>0</v>
      </c>
      <c r="AV5453" s="28"/>
      <c r="AW5453" s="28" t="n">
        <f aca="false">AV5453*$M5453</f>
        <v>0</v>
      </c>
      <c r="AX5453" s="28"/>
      <c r="AY5453" s="28" t="n">
        <f aca="false">AX5453*$M5453</f>
        <v>0</v>
      </c>
      <c r="AZ5453" s="30" t="n">
        <f aca="false">283596/100</f>
        <v>2835.96</v>
      </c>
      <c r="BA5453" s="11" t="n">
        <v>42539</v>
      </c>
      <c r="BB5453" s="31" t="n">
        <f aca="false">SUM(Q5453,S5453,U5453,W5453,Y5453,AA5453,AC5453,AE5453,AG5453,AI5453,AK5453,AM5453,AO5453,AQ5453,AS5453,AU5453,AW5453,AY5453)</f>
        <v>42539</v>
      </c>
      <c r="BC5453" s="28" t="n">
        <f aca="false">BA5453-BB5453</f>
        <v>0</v>
      </c>
      <c r="BD5453" s="32" t="n">
        <f aca="false">SUM(P5453,R5453,T5453,V5453,X5453,Z5453,AB5453,AD5453,AF5453,AH5453,AJ5453,AL5453,AN5453,AP5453,AR5453,AT5453,AV5453,AX5453)</f>
        <v>2835.96</v>
      </c>
      <c r="BE5453" s="33" t="n">
        <f aca="false">AZ5453-BD5453</f>
        <v>0</v>
      </c>
      <c r="BF5453" s="34" t="n">
        <f aca="false">BD5453*M5453</f>
        <v>42539.4</v>
      </c>
      <c r="BG5453" s="35" t="n">
        <f aca="false">BA5453-BF5453</f>
        <v>-0.400000000001455</v>
      </c>
      <c r="BH5453" s="19" t="str">
        <f aca="false">IF(BG5453=0,"",IF(BG5453&lt;&gt;BA5453,"erreur de calcul",IF(BD5453&lt;&gt;0,"pas de prix",IF(M5453&lt;&gt; 0,"pas de quantité","pas de prix, ni de quantité"))))</f>
        <v>erreur de calcul</v>
      </c>
      <c r="BI5453" s="19"/>
    </row>
    <row r="5454" customFormat="false" ht="15" hidden="false" customHeight="false" outlineLevel="0" collapsed="false">
      <c r="A5454" s="0" t="n">
        <v>23</v>
      </c>
      <c r="B5454" s="8" t="s">
        <v>24</v>
      </c>
      <c r="C5454" s="9" t="s">
        <v>25</v>
      </c>
      <c r="D5454" s="9" t="s">
        <v>26</v>
      </c>
      <c r="E5454" s="10" t="n">
        <v>1789</v>
      </c>
      <c r="F5454" s="9" t="s">
        <v>27</v>
      </c>
      <c r="G5454" s="9" t="s">
        <v>27</v>
      </c>
      <c r="H5454" s="11" t="n">
        <v>23</v>
      </c>
      <c r="I5454" s="11" t="s">
        <v>265</v>
      </c>
      <c r="J5454" s="14"/>
      <c r="K5454" s="14" t="n">
        <v>40</v>
      </c>
      <c r="L5454" s="16"/>
      <c r="M5454" s="27" t="n">
        <f aca="false">J5454+(K5454/20)+(L5454/240)</f>
        <v>2</v>
      </c>
      <c r="N5454" s="17" t="s">
        <v>66</v>
      </c>
      <c r="O5454" s="11"/>
      <c r="P5454" s="28"/>
      <c r="Q5454" s="28" t="n">
        <f aca="false">P5454*$M5454</f>
        <v>0</v>
      </c>
      <c r="R5454" s="28"/>
      <c r="S5454" s="28" t="n">
        <f aca="false">R5454*$M5454</f>
        <v>0</v>
      </c>
      <c r="T5454" s="28"/>
      <c r="U5454" s="28" t="n">
        <f aca="false">T5454*$M5454</f>
        <v>0</v>
      </c>
      <c r="V5454" s="28" t="n">
        <v>6275</v>
      </c>
      <c r="W5454" s="28" t="n">
        <v>12550</v>
      </c>
      <c r="X5454" s="28" t="n">
        <v>8662</v>
      </c>
      <c r="Y5454" s="28" t="n">
        <v>17324</v>
      </c>
      <c r="Z5454" s="28"/>
      <c r="AA5454" s="28" t="n">
        <f aca="false">Z5454*$M5454</f>
        <v>0</v>
      </c>
      <c r="AB5454" s="28" t="n">
        <v>2196</v>
      </c>
      <c r="AC5454" s="28" t="n">
        <v>4392</v>
      </c>
      <c r="AD5454" s="28"/>
      <c r="AE5454" s="28" t="n">
        <f aca="false">AD5454*$M5454</f>
        <v>0</v>
      </c>
      <c r="AF5454" s="28"/>
      <c r="AG5454" s="28" t="n">
        <f aca="false">AF5454*$M5454</f>
        <v>0</v>
      </c>
      <c r="AH5454" s="28"/>
      <c r="AI5454" s="28" t="n">
        <f aca="false">AH5454*$M5454</f>
        <v>0</v>
      </c>
      <c r="AJ5454" s="28"/>
      <c r="AK5454" s="28" t="n">
        <f aca="false">AJ5454*$M5454</f>
        <v>0</v>
      </c>
      <c r="AL5454" s="28"/>
      <c r="AM5454" s="28" t="n">
        <f aca="false">AL5454*$M5454</f>
        <v>0</v>
      </c>
      <c r="AN5454" s="28"/>
      <c r="AO5454" s="28" t="n">
        <f aca="false">AN5454*$M5454</f>
        <v>0</v>
      </c>
      <c r="AP5454" s="28"/>
      <c r="AQ5454" s="28" t="n">
        <f aca="false">AP5454*$M5454</f>
        <v>0</v>
      </c>
      <c r="AR5454" s="28"/>
      <c r="AS5454" s="28" t="n">
        <f aca="false">AR5454*$M5454</f>
        <v>0</v>
      </c>
      <c r="AT5454" s="28"/>
      <c r="AU5454" s="28" t="n">
        <f aca="false">AT5454*$M5454</f>
        <v>0</v>
      </c>
      <c r="AV5454" s="28"/>
      <c r="AW5454" s="28" t="n">
        <f aca="false">AV5454*$M5454</f>
        <v>0</v>
      </c>
      <c r="AX5454" s="28"/>
      <c r="AY5454" s="28" t="n">
        <f aca="false">AX5454*$M5454</f>
        <v>0</v>
      </c>
      <c r="AZ5454" s="30" t="n">
        <v>17133</v>
      </c>
      <c r="BA5454" s="11" t="n">
        <v>34266</v>
      </c>
      <c r="BB5454" s="31" t="n">
        <f aca="false">SUM(Q5454,S5454,U5454,W5454,Y5454,AA5454,AC5454,AE5454,AG5454,AI5454,AK5454,AM5454,AO5454,AQ5454,AS5454,AU5454,AW5454,AY5454)</f>
        <v>34266</v>
      </c>
      <c r="BC5454" s="28" t="n">
        <f aca="false">BA5454-BB5454</f>
        <v>0</v>
      </c>
      <c r="BD5454" s="32" t="n">
        <f aca="false">SUM(P5454,R5454,T5454,V5454,X5454,Z5454,AB5454,AD5454,AF5454,AH5454,AJ5454,AL5454,AN5454,AP5454,AR5454,AT5454,AV5454,AX5454)</f>
        <v>17133</v>
      </c>
      <c r="BE5454" s="33" t="n">
        <f aca="false">AZ5454-BD5454</f>
        <v>0</v>
      </c>
      <c r="BF5454" s="34" t="n">
        <f aca="false">BD5454*M5454</f>
        <v>34266</v>
      </c>
      <c r="BG5454" s="35" t="n">
        <f aca="false">BA5454-BF5454</f>
        <v>0</v>
      </c>
      <c r="BH5454" s="19" t="str">
        <f aca="false">IF(BG5454=0,"",IF(BG5454&lt;&gt;BA5454,"erreur de calcul",IF(BD5454&lt;&gt;0,"pas de prix",IF(M5454&lt;&gt; 0,"pas de quantité","pas de prix, ni de quantité"))))</f>
        <v/>
      </c>
      <c r="BI5454" s="19"/>
    </row>
    <row r="5455" customFormat="false" ht="15" hidden="false" customHeight="false" outlineLevel="0" collapsed="false">
      <c r="A5455" s="0" t="n">
        <v>24</v>
      </c>
      <c r="B5455" s="8" t="s">
        <v>24</v>
      </c>
      <c r="C5455" s="9" t="s">
        <v>25</v>
      </c>
      <c r="D5455" s="9" t="s">
        <v>26</v>
      </c>
      <c r="E5455" s="10" t="n">
        <v>1789</v>
      </c>
      <c r="F5455" s="9" t="s">
        <v>27</v>
      </c>
      <c r="G5455" s="9" t="s">
        <v>27</v>
      </c>
      <c r="H5455" s="11" t="n">
        <v>23</v>
      </c>
      <c r="I5455" s="11" t="s">
        <v>266</v>
      </c>
      <c r="J5455" s="14" t="n">
        <v>17</v>
      </c>
      <c r="K5455" s="14" t="n">
        <v>10</v>
      </c>
      <c r="L5455" s="16"/>
      <c r="M5455" s="27" t="n">
        <f aca="false">J5455+(K5455/20)+(L5455/240)</f>
        <v>17.5</v>
      </c>
      <c r="N5455" s="17" t="s">
        <v>64</v>
      </c>
      <c r="O5455" s="11"/>
      <c r="P5455" s="28" t="n">
        <f aca="false">147621/100</f>
        <v>1476.21</v>
      </c>
      <c r="Q5455" s="28" t="n">
        <v>25834</v>
      </c>
      <c r="R5455" s="28"/>
      <c r="S5455" s="28" t="n">
        <f aca="false">R5455*$M5455</f>
        <v>0</v>
      </c>
      <c r="T5455" s="28"/>
      <c r="U5455" s="28" t="n">
        <f aca="false">T5455*$M5455</f>
        <v>0</v>
      </c>
      <c r="V5455" s="28"/>
      <c r="W5455" s="28" t="n">
        <f aca="false">V5455*$M5455</f>
        <v>0</v>
      </c>
      <c r="X5455" s="28" t="n">
        <f aca="false">7220/100</f>
        <v>72.2</v>
      </c>
      <c r="Y5455" s="28" t="n">
        <v>1263</v>
      </c>
      <c r="Z5455" s="28"/>
      <c r="AA5455" s="28" t="n">
        <f aca="false">Z5455*$M5455</f>
        <v>0</v>
      </c>
      <c r="AB5455" s="28" t="n">
        <f aca="false">524444/100</f>
        <v>5244.44</v>
      </c>
      <c r="AC5455" s="36" t="n">
        <v>91767</v>
      </c>
      <c r="AD5455" s="28"/>
      <c r="AE5455" s="28" t="n">
        <f aca="false">AD5455*$M5455</f>
        <v>0</v>
      </c>
      <c r="AF5455" s="28"/>
      <c r="AG5455" s="28" t="n">
        <f aca="false">AF5455*$M5455</f>
        <v>0</v>
      </c>
      <c r="AH5455" s="28" t="n">
        <f aca="false">124394/100</f>
        <v>1243.94</v>
      </c>
      <c r="AI5455" s="28" t="n">
        <v>21769</v>
      </c>
      <c r="AJ5455" s="28"/>
      <c r="AK5455" s="28" t="n">
        <f aca="false">AJ5455*$M5455</f>
        <v>0</v>
      </c>
      <c r="AL5455" s="28"/>
      <c r="AM5455" s="28" t="n">
        <f aca="false">AL5455*$M5455</f>
        <v>0</v>
      </c>
      <c r="AN5455" s="28"/>
      <c r="AO5455" s="28" t="n">
        <f aca="false">AN5455*$M5455</f>
        <v>0</v>
      </c>
      <c r="AP5455" s="28"/>
      <c r="AQ5455" s="28" t="n">
        <f aca="false">AP5455*$M5455</f>
        <v>0</v>
      </c>
      <c r="AR5455" s="28"/>
      <c r="AS5455" s="28" t="n">
        <f aca="false">AR5455*$M5455</f>
        <v>0</v>
      </c>
      <c r="AT5455" s="28"/>
      <c r="AU5455" s="28" t="n">
        <f aca="false">AT5455*$M5455</f>
        <v>0</v>
      </c>
      <c r="AV5455" s="28"/>
      <c r="AW5455" s="28" t="n">
        <f aca="false">AV5455*$M5455</f>
        <v>0</v>
      </c>
      <c r="AX5455" s="28"/>
      <c r="AY5455" s="28" t="n">
        <f aca="false">AX5455*$M5455</f>
        <v>0</v>
      </c>
      <c r="AZ5455" s="30" t="n">
        <f aca="false">803679/100</f>
        <v>8036.79</v>
      </c>
      <c r="BA5455" s="11" t="n">
        <v>140633</v>
      </c>
      <c r="BB5455" s="31" t="n">
        <f aca="false">SUM(Q5455,S5455,U5455,W5455,Y5455,AA5455,AC5455,AE5455,AG5455,AI5455,AK5455,AM5455,AO5455,AQ5455,AS5455,AU5455,AW5455,AY5455)</f>
        <v>140633</v>
      </c>
      <c r="BC5455" s="28" t="n">
        <f aca="false">BA5455-BB5455</f>
        <v>0</v>
      </c>
      <c r="BD5455" s="32" t="n">
        <f aca="false">SUM(P5455,R5455,T5455,V5455,X5455,Z5455,AB5455,AD5455,AF5455,AH5455,AJ5455,AL5455,AN5455,AP5455,AR5455,AT5455,AV5455,AX5455)</f>
        <v>8036.79</v>
      </c>
      <c r="BE5455" s="33" t="n">
        <f aca="false">AZ5455-BD5455</f>
        <v>0</v>
      </c>
      <c r="BF5455" s="34" t="n">
        <f aca="false">BD5455*M5455</f>
        <v>140643.825</v>
      </c>
      <c r="BG5455" s="35" t="n">
        <f aca="false">BA5455-BF5455</f>
        <v>-10.8249999999825</v>
      </c>
      <c r="BH5455" s="19" t="str">
        <f aca="false">IF(BG5455=0,"",IF(BG5455&lt;&gt;BA5455,"erreur de calcul",IF(BD5455&lt;&gt;0,"pas de prix",IF(M5455&lt;&gt; 0,"pas de quantité","pas de prix, ni de quantité"))))</f>
        <v>erreur de calcul</v>
      </c>
      <c r="BI5455" s="19"/>
    </row>
    <row r="5456" customFormat="false" ht="15" hidden="false" customHeight="false" outlineLevel="0" collapsed="false">
      <c r="A5456" s="0" t="n">
        <v>25</v>
      </c>
      <c r="B5456" s="8" t="s">
        <v>24</v>
      </c>
      <c r="C5456" s="9" t="s">
        <v>25</v>
      </c>
      <c r="D5456" s="9" t="s">
        <v>26</v>
      </c>
      <c r="E5456" s="10" t="n">
        <v>1789</v>
      </c>
      <c r="F5456" s="9" t="s">
        <v>27</v>
      </c>
      <c r="G5456" s="9" t="s">
        <v>27</v>
      </c>
      <c r="H5456" s="11" t="n">
        <v>23</v>
      </c>
      <c r="I5456" s="11" t="s">
        <v>267</v>
      </c>
      <c r="J5456" s="14" t="n">
        <v>25</v>
      </c>
      <c r="K5456" s="14"/>
      <c r="L5456" s="16"/>
      <c r="M5456" s="27" t="n">
        <f aca="false">J5456+(K5456/20)+(L5456/240)</f>
        <v>25</v>
      </c>
      <c r="N5456" s="17" t="s">
        <v>64</v>
      </c>
      <c r="O5456" s="11"/>
      <c r="P5456" s="28"/>
      <c r="Q5456" s="28" t="n">
        <f aca="false">P5456*$M5456</f>
        <v>0</v>
      </c>
      <c r="R5456" s="28"/>
      <c r="S5456" s="28" t="n">
        <f aca="false">R5456*$M5456</f>
        <v>0</v>
      </c>
      <c r="T5456" s="28"/>
      <c r="U5456" s="28" t="n">
        <f aca="false">T5456*$M5456</f>
        <v>0</v>
      </c>
      <c r="V5456" s="28"/>
      <c r="W5456" s="28" t="n">
        <f aca="false">V5456*$M5456</f>
        <v>0</v>
      </c>
      <c r="X5456" s="28"/>
      <c r="Y5456" s="28" t="n">
        <f aca="false">X5456*$M5456</f>
        <v>0</v>
      </c>
      <c r="Z5456" s="28"/>
      <c r="AA5456" s="28" t="n">
        <f aca="false">Z5456*$M5456</f>
        <v>0</v>
      </c>
      <c r="AB5456" s="28" t="n">
        <f aca="false">136004/100</f>
        <v>1360.04</v>
      </c>
      <c r="AC5456" s="28" t="n">
        <v>34001</v>
      </c>
      <c r="AD5456" s="28"/>
      <c r="AE5456" s="28" t="n">
        <f aca="false">AD5456*$M5456</f>
        <v>0</v>
      </c>
      <c r="AF5456" s="28"/>
      <c r="AG5456" s="28" t="n">
        <f aca="false">AF5456*$M5456</f>
        <v>0</v>
      </c>
      <c r="AH5456" s="28" t="n">
        <f aca="false">173052/100</f>
        <v>1730.52</v>
      </c>
      <c r="AI5456" s="28" t="n">
        <v>43263</v>
      </c>
      <c r="AJ5456" s="28"/>
      <c r="AK5456" s="28" t="n">
        <f aca="false">AJ5456*$M5456</f>
        <v>0</v>
      </c>
      <c r="AL5456" s="28"/>
      <c r="AM5456" s="28" t="n">
        <f aca="false">AL5456*$M5456</f>
        <v>0</v>
      </c>
      <c r="AN5456" s="28"/>
      <c r="AO5456" s="28" t="n">
        <f aca="false">AN5456*$M5456</f>
        <v>0</v>
      </c>
      <c r="AP5456" s="28"/>
      <c r="AQ5456" s="28" t="n">
        <f aca="false">AP5456*$M5456</f>
        <v>0</v>
      </c>
      <c r="AR5456" s="28"/>
      <c r="AS5456" s="28" t="n">
        <f aca="false">AR5456*$M5456</f>
        <v>0</v>
      </c>
      <c r="AT5456" s="28"/>
      <c r="AU5456" s="28" t="n">
        <f aca="false">AT5456*$M5456</f>
        <v>0</v>
      </c>
      <c r="AV5456" s="28"/>
      <c r="AW5456" s="28" t="n">
        <f aca="false">AV5456*$M5456</f>
        <v>0</v>
      </c>
      <c r="AX5456" s="28"/>
      <c r="AY5456" s="28" t="n">
        <f aca="false">AX5456*$M5456</f>
        <v>0</v>
      </c>
      <c r="AZ5456" s="30" t="n">
        <f aca="false">309056/100</f>
        <v>3090.56</v>
      </c>
      <c r="BA5456" s="11" t="n">
        <v>77264</v>
      </c>
      <c r="BB5456" s="31" t="n">
        <f aca="false">SUM(Q5456,S5456,U5456,W5456,Y5456,AA5456,AC5456,AE5456,AG5456,AI5456,AK5456,AM5456,AO5456,AQ5456,AS5456,AU5456,AW5456,AY5456)</f>
        <v>77264</v>
      </c>
      <c r="BC5456" s="28" t="n">
        <f aca="false">BA5456-BB5456</f>
        <v>0</v>
      </c>
      <c r="BD5456" s="32" t="n">
        <f aca="false">SUM(P5456,R5456,T5456,V5456,X5456,Z5456,AB5456,AD5456,AF5456,AH5456,AJ5456,AL5456,AN5456,AP5456,AR5456,AT5456,AV5456,AX5456)</f>
        <v>3090.56</v>
      </c>
      <c r="BE5456" s="33" t="n">
        <f aca="false">AZ5456-BD5456</f>
        <v>0</v>
      </c>
      <c r="BF5456" s="34" t="n">
        <f aca="false">BD5456*M5456</f>
        <v>77264</v>
      </c>
      <c r="BG5456" s="35" t="n">
        <f aca="false">BA5456-BF5456</f>
        <v>0</v>
      </c>
      <c r="BH5456" s="19" t="str">
        <f aca="false">IF(BG5456=0,"",IF(BG5456&lt;&gt;BA5456,"erreur de calcul",IF(BD5456&lt;&gt;0,"pas de prix",IF(M5456&lt;&gt; 0,"pas de quantité","pas de prix, ni de quantité"))))</f>
        <v/>
      </c>
      <c r="BI5456" s="19"/>
    </row>
    <row r="5457" customFormat="false" ht="15" hidden="false" customHeight="false" outlineLevel="0" collapsed="false">
      <c r="A5457" s="0" t="n">
        <v>26</v>
      </c>
      <c r="B5457" s="8" t="s">
        <v>24</v>
      </c>
      <c r="C5457" s="9" t="s">
        <v>25</v>
      </c>
      <c r="D5457" s="9" t="s">
        <v>26</v>
      </c>
      <c r="E5457" s="10" t="n">
        <v>1789</v>
      </c>
      <c r="F5457" s="9" t="s">
        <v>27</v>
      </c>
      <c r="G5457" s="9" t="s">
        <v>27</v>
      </c>
      <c r="H5457" s="11" t="n">
        <v>23</v>
      </c>
      <c r="I5457" s="11" t="s">
        <v>268</v>
      </c>
      <c r="J5457" s="14" t="n">
        <v>8</v>
      </c>
      <c r="K5457" s="14"/>
      <c r="L5457" s="16"/>
      <c r="M5457" s="27" t="n">
        <f aca="false">J5457+(K5457/20)+(L5457/240)</f>
        <v>8</v>
      </c>
      <c r="N5457" s="17" t="s">
        <v>64</v>
      </c>
      <c r="O5457" s="11"/>
      <c r="P5457" s="28"/>
      <c r="Q5457" s="28" t="n">
        <f aca="false">P5457*$M5457</f>
        <v>0</v>
      </c>
      <c r="R5457" s="28"/>
      <c r="S5457" s="28" t="n">
        <f aca="false">R5457*$M5457</f>
        <v>0</v>
      </c>
      <c r="T5457" s="28" t="n">
        <f aca="false">260752/100</f>
        <v>2607.52</v>
      </c>
      <c r="U5457" s="28" t="n">
        <v>20860</v>
      </c>
      <c r="V5457" s="28" t="n">
        <f aca="false">170453/100</f>
        <v>1704.53</v>
      </c>
      <c r="W5457" s="28" t="n">
        <v>13636</v>
      </c>
      <c r="X5457" s="28"/>
      <c r="Y5457" s="28" t="n">
        <f aca="false">X5457*$M5457</f>
        <v>0</v>
      </c>
      <c r="Z5457" s="28"/>
      <c r="AA5457" s="28" t="n">
        <f aca="false">Z5457*$M5457</f>
        <v>0</v>
      </c>
      <c r="AB5457" s="28"/>
      <c r="AC5457" s="28" t="n">
        <f aca="false">AB5457*$M5457</f>
        <v>0</v>
      </c>
      <c r="AD5457" s="28"/>
      <c r="AE5457" s="28" t="n">
        <f aca="false">AD5457*$M5457</f>
        <v>0</v>
      </c>
      <c r="AF5457" s="28"/>
      <c r="AG5457" s="28" t="n">
        <f aca="false">AF5457*$M5457</f>
        <v>0</v>
      </c>
      <c r="AH5457" s="28"/>
      <c r="AI5457" s="28" t="n">
        <f aca="false">AH5457*$M5457</f>
        <v>0</v>
      </c>
      <c r="AJ5457" s="28"/>
      <c r="AK5457" s="28" t="n">
        <f aca="false">AJ5457*$M5457</f>
        <v>0</v>
      </c>
      <c r="AL5457" s="28"/>
      <c r="AM5457" s="28" t="n">
        <f aca="false">AL5457*$M5457</f>
        <v>0</v>
      </c>
      <c r="AN5457" s="28"/>
      <c r="AO5457" s="28" t="n">
        <f aca="false">AN5457*$M5457</f>
        <v>0</v>
      </c>
      <c r="AP5457" s="28"/>
      <c r="AQ5457" s="28" t="n">
        <f aca="false">AP5457*$M5457</f>
        <v>0</v>
      </c>
      <c r="AR5457" s="28"/>
      <c r="AS5457" s="28" t="n">
        <f aca="false">AR5457*$M5457</f>
        <v>0</v>
      </c>
      <c r="AT5457" s="28"/>
      <c r="AU5457" s="28" t="n">
        <f aca="false">AT5457*$M5457</f>
        <v>0</v>
      </c>
      <c r="AV5457" s="28"/>
      <c r="AW5457" s="28" t="n">
        <f aca="false">AV5457*$M5457</f>
        <v>0</v>
      </c>
      <c r="AX5457" s="28"/>
      <c r="AY5457" s="28" t="n">
        <f aca="false">AX5457*$M5457</f>
        <v>0</v>
      </c>
      <c r="AZ5457" s="30" t="n">
        <f aca="false">431205/100</f>
        <v>4312.05</v>
      </c>
      <c r="BA5457" s="11" t="n">
        <v>34496</v>
      </c>
      <c r="BB5457" s="31" t="n">
        <f aca="false">SUM(Q5457,S5457,U5457,W5457,Y5457,AA5457,AC5457,AE5457,AG5457,AI5457,AK5457,AM5457,AO5457,AQ5457,AS5457,AU5457,AW5457,AY5457)</f>
        <v>34496</v>
      </c>
      <c r="BC5457" s="28" t="n">
        <f aca="false">BA5457-BB5457</f>
        <v>0</v>
      </c>
      <c r="BD5457" s="32" t="n">
        <f aca="false">SUM(P5457,R5457,T5457,V5457,X5457,Z5457,AB5457,AD5457,AF5457,AH5457,AJ5457,AL5457,AN5457,AP5457,AR5457,AT5457,AV5457,AX5457)</f>
        <v>4312.05</v>
      </c>
      <c r="BE5457" s="33" t="n">
        <f aca="false">AZ5457-BD5457</f>
        <v>0</v>
      </c>
      <c r="BF5457" s="34" t="n">
        <f aca="false">BD5457*M5457</f>
        <v>34496.4</v>
      </c>
      <c r="BG5457" s="35" t="n">
        <f aca="false">BA5457-BF5457</f>
        <v>-0.400000000001455</v>
      </c>
      <c r="BH5457" s="19" t="str">
        <f aca="false">IF(BG5457=0,"",IF(BG5457&lt;&gt;BA5457,"erreur de calcul",IF(BD5457&lt;&gt;0,"pas de prix",IF(M5457&lt;&gt; 0,"pas de quantité","pas de prix, ni de quantité"))))</f>
        <v>erreur de calcul</v>
      </c>
      <c r="BI5457" s="19"/>
    </row>
    <row r="5458" customFormat="false" ht="15" hidden="false" customHeight="false" outlineLevel="0" collapsed="false">
      <c r="A5458" s="0" t="n">
        <v>27</v>
      </c>
      <c r="B5458" s="8" t="s">
        <v>24</v>
      </c>
      <c r="C5458" s="9" t="s">
        <v>25</v>
      </c>
      <c r="D5458" s="9" t="s">
        <v>26</v>
      </c>
      <c r="E5458" s="10" t="n">
        <v>1789</v>
      </c>
      <c r="F5458" s="9" t="s">
        <v>27</v>
      </c>
      <c r="G5458" s="9" t="s">
        <v>27</v>
      </c>
      <c r="H5458" s="11" t="n">
        <v>23</v>
      </c>
      <c r="I5458" s="11" t="s">
        <v>269</v>
      </c>
      <c r="J5458" s="14"/>
      <c r="K5458" s="14" t="n">
        <v>50</v>
      </c>
      <c r="L5458" s="16"/>
      <c r="M5458" s="27" t="n">
        <f aca="false">J5458+(K5458/20)+(L5458/240)</f>
        <v>2.5</v>
      </c>
      <c r="N5458" s="17" t="s">
        <v>85</v>
      </c>
      <c r="O5458" s="11"/>
      <c r="P5458" s="28"/>
      <c r="Q5458" s="28" t="n">
        <f aca="false">P5458*$M5458</f>
        <v>0</v>
      </c>
      <c r="R5458" s="28"/>
      <c r="S5458" s="28" t="n">
        <f aca="false">R5458*$M5458</f>
        <v>0</v>
      </c>
      <c r="T5458" s="28" t="n">
        <f aca="false">221150/100</f>
        <v>2211.5</v>
      </c>
      <c r="U5458" s="28" t="n">
        <v>5529</v>
      </c>
      <c r="V5458" s="28" t="n">
        <f aca="false">3922156/100</f>
        <v>39221.56</v>
      </c>
      <c r="W5458" s="28" t="n">
        <v>98054</v>
      </c>
      <c r="X5458" s="28"/>
      <c r="Y5458" s="28" t="n">
        <f aca="false">X5458*$M5458</f>
        <v>0</v>
      </c>
      <c r="Z5458" s="28"/>
      <c r="AA5458" s="28" t="n">
        <f aca="false">Z5458*$M5458</f>
        <v>0</v>
      </c>
      <c r="AB5458" s="28" t="n">
        <f aca="false">297900/100</f>
        <v>2979</v>
      </c>
      <c r="AC5458" s="28" t="n">
        <v>7447</v>
      </c>
      <c r="AD5458" s="28"/>
      <c r="AE5458" s="28" t="n">
        <f aca="false">AD5458*$M5458</f>
        <v>0</v>
      </c>
      <c r="AF5458" s="28"/>
      <c r="AG5458" s="28" t="n">
        <f aca="false">AF5458*$M5458</f>
        <v>0</v>
      </c>
      <c r="AH5458" s="28"/>
      <c r="AI5458" s="28" t="n">
        <f aca="false">AH5458*$M5458</f>
        <v>0</v>
      </c>
      <c r="AJ5458" s="28"/>
      <c r="AK5458" s="28" t="n">
        <f aca="false">AJ5458*$M5458</f>
        <v>0</v>
      </c>
      <c r="AL5458" s="28"/>
      <c r="AM5458" s="28" t="n">
        <f aca="false">AL5458*$M5458</f>
        <v>0</v>
      </c>
      <c r="AN5458" s="28"/>
      <c r="AO5458" s="28" t="n">
        <f aca="false">AN5458*$M5458</f>
        <v>0</v>
      </c>
      <c r="AP5458" s="28"/>
      <c r="AQ5458" s="28" t="n">
        <f aca="false">AP5458*$M5458</f>
        <v>0</v>
      </c>
      <c r="AR5458" s="28"/>
      <c r="AS5458" s="28" t="n">
        <f aca="false">AR5458*$M5458</f>
        <v>0</v>
      </c>
      <c r="AT5458" s="28"/>
      <c r="AU5458" s="28" t="n">
        <f aca="false">AT5458*$M5458</f>
        <v>0</v>
      </c>
      <c r="AV5458" s="28"/>
      <c r="AW5458" s="28" t="n">
        <f aca="false">AV5458*$M5458</f>
        <v>0</v>
      </c>
      <c r="AX5458" s="28"/>
      <c r="AY5458" s="28" t="n">
        <f aca="false">AX5458*$M5458</f>
        <v>0</v>
      </c>
      <c r="AZ5458" s="30" t="n">
        <f aca="false">4441206/100</f>
        <v>44412.06</v>
      </c>
      <c r="BA5458" s="11" t="n">
        <v>111030</v>
      </c>
      <c r="BB5458" s="31" t="n">
        <f aca="false">SUM(Q5458,S5458,U5458,W5458,Y5458,AA5458,AC5458,AE5458,AG5458,AI5458,AK5458,AM5458,AO5458,AQ5458,AS5458,AU5458,AW5458,AY5458)</f>
        <v>111030</v>
      </c>
      <c r="BC5458" s="28" t="n">
        <f aca="false">BA5458-BB5458</f>
        <v>0</v>
      </c>
      <c r="BD5458" s="32" t="n">
        <f aca="false">SUM(P5458,R5458,T5458,V5458,X5458,Z5458,AB5458,AD5458,AF5458,AH5458,AJ5458,AL5458,AN5458,AP5458,AR5458,AT5458,AV5458,AX5458)</f>
        <v>44412.06</v>
      </c>
      <c r="BE5458" s="33" t="n">
        <f aca="false">AZ5458-BD5458</f>
        <v>0</v>
      </c>
      <c r="BF5458" s="34" t="n">
        <f aca="false">BD5458*M5458</f>
        <v>111030.15</v>
      </c>
      <c r="BG5458" s="35" t="n">
        <f aca="false">BA5458-BF5458</f>
        <v>-0.149999999994179</v>
      </c>
      <c r="BH5458" s="19" t="str">
        <f aca="false">IF(BG5458=0,"",IF(BG5458&lt;&gt;BA5458,"erreur de calcul",IF(BD5458&lt;&gt;0,"pas de prix",IF(M5458&lt;&gt; 0,"pas de quantité","pas de prix, ni de quantité"))))</f>
        <v>erreur de calcul</v>
      </c>
      <c r="BI5458" s="19"/>
    </row>
    <row r="5459" customFormat="false" ht="15" hidden="false" customHeight="false" outlineLevel="0" collapsed="false">
      <c r="A5459" s="0" t="n">
        <v>28</v>
      </c>
      <c r="B5459" s="8" t="s">
        <v>24</v>
      </c>
      <c r="C5459" s="9" t="s">
        <v>25</v>
      </c>
      <c r="D5459" s="9" t="s">
        <v>26</v>
      </c>
      <c r="E5459" s="10" t="n">
        <v>1789</v>
      </c>
      <c r="F5459" s="9" t="s">
        <v>27</v>
      </c>
      <c r="G5459" s="9" t="s">
        <v>27</v>
      </c>
      <c r="H5459" s="11" t="n">
        <v>23</v>
      </c>
      <c r="I5459" s="11" t="s">
        <v>270</v>
      </c>
      <c r="J5459" s="14" t="n">
        <v>5</v>
      </c>
      <c r="K5459" s="14"/>
      <c r="L5459" s="16"/>
      <c r="M5459" s="27" t="n">
        <f aca="false">J5459+(K5459/20)+(L5459/240)</f>
        <v>5</v>
      </c>
      <c r="N5459" s="17" t="s">
        <v>85</v>
      </c>
      <c r="O5459" s="11"/>
      <c r="P5459" s="28" t="n">
        <f aca="false">328200/100</f>
        <v>3282</v>
      </c>
      <c r="Q5459" s="28" t="n">
        <v>16410</v>
      </c>
      <c r="R5459" s="28"/>
      <c r="S5459" s="28" t="n">
        <f aca="false">R5459*$M5459</f>
        <v>0</v>
      </c>
      <c r="T5459" s="28" t="n">
        <f aca="false">667000/100</f>
        <v>6670</v>
      </c>
      <c r="U5459" s="36" t="n">
        <v>33360</v>
      </c>
      <c r="V5459" s="28" t="n">
        <f aca="false">506800/100</f>
        <v>5068</v>
      </c>
      <c r="W5459" s="28" t="n">
        <v>25340</v>
      </c>
      <c r="X5459" s="28"/>
      <c r="Y5459" s="28" t="n">
        <f aca="false">X5459*$M5459</f>
        <v>0</v>
      </c>
      <c r="Z5459" s="28"/>
      <c r="AA5459" s="28" t="n">
        <f aca="false">Z5459*$M5459</f>
        <v>0</v>
      </c>
      <c r="AB5459" s="28"/>
      <c r="AC5459" s="28" t="n">
        <f aca="false">AB5459*$M5459</f>
        <v>0</v>
      </c>
      <c r="AD5459" s="28"/>
      <c r="AE5459" s="28" t="n">
        <f aca="false">AD5459*$M5459</f>
        <v>0</v>
      </c>
      <c r="AF5459" s="28"/>
      <c r="AG5459" s="28" t="n">
        <f aca="false">AF5459*$M5459</f>
        <v>0</v>
      </c>
      <c r="AH5459" s="28" t="n">
        <f aca="false">320500/100</f>
        <v>3205</v>
      </c>
      <c r="AI5459" s="28" t="n">
        <v>16025</v>
      </c>
      <c r="AJ5459" s="28"/>
      <c r="AK5459" s="28" t="n">
        <f aca="false">AJ5459*$M5459</f>
        <v>0</v>
      </c>
      <c r="AL5459" s="28"/>
      <c r="AM5459" s="28" t="n">
        <f aca="false">AL5459*$M5459</f>
        <v>0</v>
      </c>
      <c r="AN5459" s="28"/>
      <c r="AO5459" s="28" t="n">
        <f aca="false">AN5459*$M5459</f>
        <v>0</v>
      </c>
      <c r="AP5459" s="28"/>
      <c r="AQ5459" s="28" t="n">
        <f aca="false">AP5459*$M5459</f>
        <v>0</v>
      </c>
      <c r="AR5459" s="28"/>
      <c r="AS5459" s="28" t="n">
        <f aca="false">AR5459*$M5459</f>
        <v>0</v>
      </c>
      <c r="AT5459" s="28"/>
      <c r="AU5459" s="28" t="n">
        <f aca="false">AT5459*$M5459</f>
        <v>0</v>
      </c>
      <c r="AV5459" s="28"/>
      <c r="AW5459" s="28" t="n">
        <f aca="false">AV5459*$M5459</f>
        <v>0</v>
      </c>
      <c r="AX5459" s="28"/>
      <c r="AY5459" s="28" t="n">
        <f aca="false">AX5459*$M5459</f>
        <v>0</v>
      </c>
      <c r="AZ5459" s="30" t="n">
        <f aca="false">1822500/100</f>
        <v>18225</v>
      </c>
      <c r="BA5459" s="11" t="n">
        <v>91135</v>
      </c>
      <c r="BB5459" s="31" t="n">
        <f aca="false">SUM(Q5459,S5459,U5459,W5459,Y5459,AA5459,AC5459,AE5459,AG5459,AI5459,AK5459,AM5459,AO5459,AQ5459,AS5459,AU5459,AW5459,AY5459)</f>
        <v>91135</v>
      </c>
      <c r="BC5459" s="28" t="n">
        <f aca="false">BA5459-BB5459</f>
        <v>0</v>
      </c>
      <c r="BD5459" s="32" t="n">
        <f aca="false">SUM(P5459,R5459,T5459,V5459,X5459,Z5459,AB5459,AD5459,AF5459,AH5459,AJ5459,AL5459,AN5459,AP5459,AR5459,AT5459,AV5459,AX5459)</f>
        <v>18225</v>
      </c>
      <c r="BE5459" s="33" t="n">
        <f aca="false">AZ5459-BD5459</f>
        <v>0</v>
      </c>
      <c r="BF5459" s="34" t="n">
        <f aca="false">BD5459*M5459</f>
        <v>91125</v>
      </c>
      <c r="BG5459" s="35" t="n">
        <f aca="false">BA5459-BF5459</f>
        <v>10</v>
      </c>
      <c r="BH5459" s="19" t="str">
        <f aca="false">IF(BG5459=0,"",IF(BG5459&lt;&gt;BA5459,"erreur de calcul",IF(BD5459&lt;&gt;0,"pas de prix",IF(M5459&lt;&gt; 0,"pas de quantité","pas de prix, ni de quantité"))))</f>
        <v>erreur de calcul</v>
      </c>
      <c r="BI5459" s="19"/>
    </row>
    <row r="5460" customFormat="false" ht="15" hidden="false" customHeight="false" outlineLevel="0" collapsed="false">
      <c r="A5460" s="0" t="n">
        <v>29</v>
      </c>
      <c r="B5460" s="8" t="s">
        <v>24</v>
      </c>
      <c r="C5460" s="9" t="s">
        <v>25</v>
      </c>
      <c r="D5460" s="9" t="s">
        <v>26</v>
      </c>
      <c r="E5460" s="10" t="n">
        <v>1789</v>
      </c>
      <c r="F5460" s="9" t="s">
        <v>27</v>
      </c>
      <c r="G5460" s="9" t="s">
        <v>27</v>
      </c>
      <c r="H5460" s="11" t="n">
        <v>23</v>
      </c>
      <c r="I5460" s="11" t="s">
        <v>271</v>
      </c>
      <c r="J5460" s="14" t="n">
        <v>7</v>
      </c>
      <c r="K5460" s="14" t="n">
        <v>10</v>
      </c>
      <c r="L5460" s="16"/>
      <c r="M5460" s="27" t="n">
        <f aca="false">J5460+(K5460/20)+(L5460/240)</f>
        <v>7.5</v>
      </c>
      <c r="N5460" s="17" t="s">
        <v>64</v>
      </c>
      <c r="O5460" s="11"/>
      <c r="P5460" s="28"/>
      <c r="Q5460" s="28" t="n">
        <f aca="false">P5460*$M5460</f>
        <v>0</v>
      </c>
      <c r="R5460" s="28"/>
      <c r="S5460" s="28" t="n">
        <f aca="false">R5460*$M5460</f>
        <v>0</v>
      </c>
      <c r="T5460" s="28"/>
      <c r="U5460" s="28" t="n">
        <f aca="false">T5460*$M5460</f>
        <v>0</v>
      </c>
      <c r="V5460" s="28" t="n">
        <f aca="false">191888/100</f>
        <v>1918.88</v>
      </c>
      <c r="W5460" s="28" t="n">
        <v>14392</v>
      </c>
      <c r="X5460" s="28"/>
      <c r="Y5460" s="28" t="n">
        <f aca="false">X5460*$M5460</f>
        <v>0</v>
      </c>
      <c r="Z5460" s="28"/>
      <c r="AA5460" s="28" t="n">
        <f aca="false">Z5460*$M5460</f>
        <v>0</v>
      </c>
      <c r="AB5460" s="28"/>
      <c r="AC5460" s="28" t="n">
        <f aca="false">AB5460*$M5460</f>
        <v>0</v>
      </c>
      <c r="AD5460" s="28"/>
      <c r="AE5460" s="28" t="n">
        <f aca="false">AD5460*$M5460</f>
        <v>0</v>
      </c>
      <c r="AF5460" s="28"/>
      <c r="AG5460" s="28" t="n">
        <f aca="false">AF5460*$M5460</f>
        <v>0</v>
      </c>
      <c r="AH5460" s="28"/>
      <c r="AI5460" s="28" t="n">
        <f aca="false">AH5460*$M5460</f>
        <v>0</v>
      </c>
      <c r="AJ5460" s="28"/>
      <c r="AK5460" s="28" t="n">
        <f aca="false">AJ5460*$M5460</f>
        <v>0</v>
      </c>
      <c r="AL5460" s="28"/>
      <c r="AM5460" s="28" t="n">
        <f aca="false">AL5460*$M5460</f>
        <v>0</v>
      </c>
      <c r="AN5460" s="28"/>
      <c r="AO5460" s="28" t="n">
        <f aca="false">AN5460*$M5460</f>
        <v>0</v>
      </c>
      <c r="AP5460" s="28"/>
      <c r="AQ5460" s="28" t="n">
        <f aca="false">AP5460*$M5460</f>
        <v>0</v>
      </c>
      <c r="AR5460" s="28"/>
      <c r="AS5460" s="28" t="n">
        <f aca="false">AR5460*$M5460</f>
        <v>0</v>
      </c>
      <c r="AT5460" s="28"/>
      <c r="AU5460" s="28" t="n">
        <f aca="false">AT5460*$M5460</f>
        <v>0</v>
      </c>
      <c r="AV5460" s="28"/>
      <c r="AW5460" s="28" t="n">
        <f aca="false">AV5460*$M5460</f>
        <v>0</v>
      </c>
      <c r="AX5460" s="28"/>
      <c r="AY5460" s="28" t="n">
        <f aca="false">AX5460*$M5460</f>
        <v>0</v>
      </c>
      <c r="AZ5460" s="30" t="n">
        <f aca="false">191888/100</f>
        <v>1918.88</v>
      </c>
      <c r="BA5460" s="11" t="n">
        <v>14392</v>
      </c>
      <c r="BB5460" s="31" t="n">
        <f aca="false">SUM(Q5460,S5460,U5460,W5460,Y5460,AA5460,AC5460,AE5460,AG5460,AI5460,AK5460,AM5460,AO5460,AQ5460,AS5460,AU5460,AW5460,AY5460)</f>
        <v>14392</v>
      </c>
      <c r="BC5460" s="28" t="n">
        <f aca="false">BA5460-BB5460</f>
        <v>0</v>
      </c>
      <c r="BD5460" s="32" t="n">
        <f aca="false">SUM(P5460,R5460,T5460,V5460,X5460,Z5460,AB5460,AD5460,AF5460,AH5460,AJ5460,AL5460,AN5460,AP5460,AR5460,AT5460,AV5460,AX5460)</f>
        <v>1918.88</v>
      </c>
      <c r="BE5460" s="33" t="n">
        <f aca="false">AZ5460-BD5460</f>
        <v>0</v>
      </c>
      <c r="BF5460" s="34" t="n">
        <f aca="false">BD5460*M5460</f>
        <v>14391.6</v>
      </c>
      <c r="BG5460" s="35" t="n">
        <f aca="false">BA5460-BF5460</f>
        <v>0.399999999999636</v>
      </c>
      <c r="BH5460" s="19" t="str">
        <f aca="false">IF(BG5460=0,"",IF(BG5460&lt;&gt;BA5460,"erreur de calcul",IF(BD5460&lt;&gt;0,"pas de prix",IF(M5460&lt;&gt; 0,"pas de quantité","pas de prix, ni de quantité"))))</f>
        <v>erreur de calcul</v>
      </c>
      <c r="BI5460" s="19"/>
    </row>
    <row r="5461" customFormat="false" ht="15" hidden="false" customHeight="false" outlineLevel="0" collapsed="false">
      <c r="A5461" s="0" t="n">
        <v>30</v>
      </c>
      <c r="B5461" s="8" t="s">
        <v>24</v>
      </c>
      <c r="C5461" s="9" t="s">
        <v>25</v>
      </c>
      <c r="D5461" s="9" t="s">
        <v>26</v>
      </c>
      <c r="E5461" s="10" t="n">
        <v>1789</v>
      </c>
      <c r="F5461" s="9" t="s">
        <v>27</v>
      </c>
      <c r="G5461" s="9" t="s">
        <v>27</v>
      </c>
      <c r="H5461" s="11" t="n">
        <v>23</v>
      </c>
      <c r="I5461" s="11" t="s">
        <v>272</v>
      </c>
      <c r="J5461" s="14" t="n">
        <v>6</v>
      </c>
      <c r="K5461" s="14"/>
      <c r="L5461" s="16"/>
      <c r="M5461" s="27" t="n">
        <f aca="false">J5461+(K5461/20)+(L5461/240)</f>
        <v>6</v>
      </c>
      <c r="N5461" s="17" t="s">
        <v>64</v>
      </c>
      <c r="O5461" s="11"/>
      <c r="P5461" s="28"/>
      <c r="Q5461" s="28" t="n">
        <f aca="false">P5461*$M5461</f>
        <v>0</v>
      </c>
      <c r="R5461" s="28"/>
      <c r="S5461" s="28" t="n">
        <f aca="false">R5461*$M5461</f>
        <v>0</v>
      </c>
      <c r="T5461" s="28" t="n">
        <f aca="false">26711/100</f>
        <v>267.11</v>
      </c>
      <c r="U5461" s="28" t="n">
        <v>1603</v>
      </c>
      <c r="V5461" s="28" t="n">
        <f aca="false">790699/100</f>
        <v>7906.99</v>
      </c>
      <c r="W5461" s="28" t="n">
        <v>47442</v>
      </c>
      <c r="X5461" s="28" t="n">
        <f aca="false">50169/100</f>
        <v>501.69</v>
      </c>
      <c r="Y5461" s="28" t="n">
        <v>3010</v>
      </c>
      <c r="Z5461" s="28"/>
      <c r="AA5461" s="28" t="n">
        <f aca="false">Z5461*$M5461</f>
        <v>0</v>
      </c>
      <c r="AB5461" s="28"/>
      <c r="AC5461" s="28" t="n">
        <f aca="false">AB5461*$M5461</f>
        <v>0</v>
      </c>
      <c r="AD5461" s="28"/>
      <c r="AE5461" s="28" t="n">
        <f aca="false">AD5461*$M5461</f>
        <v>0</v>
      </c>
      <c r="AF5461" s="28"/>
      <c r="AG5461" s="28" t="n">
        <f aca="false">AF5461*$M5461</f>
        <v>0</v>
      </c>
      <c r="AH5461" s="28"/>
      <c r="AI5461" s="28" t="n">
        <f aca="false">AH5461*$M5461</f>
        <v>0</v>
      </c>
      <c r="AJ5461" s="28"/>
      <c r="AK5461" s="28" t="n">
        <f aca="false">AJ5461*$M5461</f>
        <v>0</v>
      </c>
      <c r="AL5461" s="28"/>
      <c r="AM5461" s="28" t="n">
        <f aca="false">AL5461*$M5461</f>
        <v>0</v>
      </c>
      <c r="AN5461" s="28"/>
      <c r="AO5461" s="28" t="n">
        <f aca="false">AN5461*$M5461</f>
        <v>0</v>
      </c>
      <c r="AP5461" s="28"/>
      <c r="AQ5461" s="28" t="n">
        <f aca="false">AP5461*$M5461</f>
        <v>0</v>
      </c>
      <c r="AR5461" s="28"/>
      <c r="AS5461" s="28" t="n">
        <f aca="false">AR5461*$M5461</f>
        <v>0</v>
      </c>
      <c r="AT5461" s="28"/>
      <c r="AU5461" s="28" t="n">
        <f aca="false">AT5461*$M5461</f>
        <v>0</v>
      </c>
      <c r="AV5461" s="28"/>
      <c r="AW5461" s="28" t="n">
        <f aca="false">AV5461*$M5461</f>
        <v>0</v>
      </c>
      <c r="AX5461" s="28"/>
      <c r="AY5461" s="28" t="n">
        <f aca="false">AX5461*$M5461</f>
        <v>0</v>
      </c>
      <c r="AZ5461" s="30" t="n">
        <f aca="false">867559/100</f>
        <v>8675.59</v>
      </c>
      <c r="BA5461" s="11" t="n">
        <v>52055</v>
      </c>
      <c r="BB5461" s="31" t="n">
        <f aca="false">SUM(Q5461,S5461,U5461,W5461,Y5461,AA5461,AC5461,AE5461,AG5461,AI5461,AK5461,AM5461,AO5461,AQ5461,AS5461,AU5461,AW5461,AY5461)</f>
        <v>52055</v>
      </c>
      <c r="BC5461" s="28" t="n">
        <f aca="false">BA5461-BB5461</f>
        <v>0</v>
      </c>
      <c r="BD5461" s="32" t="n">
        <f aca="false">SUM(P5461,R5461,T5461,V5461,X5461,Z5461,AB5461,AD5461,AF5461,AH5461,AJ5461,AL5461,AN5461,AP5461,AR5461,AT5461,AV5461,AX5461)</f>
        <v>8675.79</v>
      </c>
      <c r="BE5461" s="33" t="n">
        <f aca="false">AZ5461-BD5461</f>
        <v>-0.200000000000728</v>
      </c>
      <c r="BF5461" s="34" t="n">
        <f aca="false">BD5461*M5461</f>
        <v>52054.74</v>
      </c>
      <c r="BG5461" s="35" t="n">
        <f aca="false">BA5461-BF5461</f>
        <v>0.259999999994761</v>
      </c>
      <c r="BH5461" s="19" t="str">
        <f aca="false">IF(BG5461=0,"",IF(BG5461&lt;&gt;BA5461,"erreur de calcul",IF(BD5461&lt;&gt;0,"pas de prix",IF(M5461&lt;&gt; 0,"pas de quantité","pas de prix, ni de quantité"))))</f>
        <v>erreur de calcul</v>
      </c>
      <c r="BI5461" s="19"/>
    </row>
    <row r="5462" customFormat="false" ht="15" hidden="false" customHeight="false" outlineLevel="0" collapsed="false">
      <c r="A5462" s="0" t="n">
        <v>31</v>
      </c>
      <c r="B5462" s="8" t="s">
        <v>24</v>
      </c>
      <c r="C5462" s="9" t="s">
        <v>25</v>
      </c>
      <c r="D5462" s="9" t="s">
        <v>26</v>
      </c>
      <c r="E5462" s="10" t="n">
        <v>1789</v>
      </c>
      <c r="F5462" s="9" t="s">
        <v>27</v>
      </c>
      <c r="G5462" s="9" t="s">
        <v>27</v>
      </c>
      <c r="H5462" s="11" t="n">
        <v>23</v>
      </c>
      <c r="I5462" s="11" t="s">
        <v>273</v>
      </c>
      <c r="J5462" s="14" t="n">
        <v>8</v>
      </c>
      <c r="K5462" s="14"/>
      <c r="L5462" s="16"/>
      <c r="M5462" s="27" t="n">
        <f aca="false">J5462+(K5462/20)+(L5462/240)</f>
        <v>8</v>
      </c>
      <c r="N5462" s="17" t="s">
        <v>81</v>
      </c>
      <c r="O5462" s="11"/>
      <c r="P5462" s="28" t="n">
        <v>27</v>
      </c>
      <c r="Q5462" s="28" t="n">
        <v>216</v>
      </c>
      <c r="R5462" s="28"/>
      <c r="S5462" s="28" t="n">
        <f aca="false">R5462*$M5462</f>
        <v>0</v>
      </c>
      <c r="T5462" s="28"/>
      <c r="U5462" s="28" t="n">
        <f aca="false">T5462*$M5462</f>
        <v>0</v>
      </c>
      <c r="V5462" s="28" t="n">
        <v>40</v>
      </c>
      <c r="W5462" s="28" t="n">
        <v>320</v>
      </c>
      <c r="X5462" s="28"/>
      <c r="Y5462" s="28" t="n">
        <f aca="false">X5462*$M5462</f>
        <v>0</v>
      </c>
      <c r="Z5462" s="28"/>
      <c r="AA5462" s="28" t="n">
        <f aca="false">Z5462*$M5462</f>
        <v>0</v>
      </c>
      <c r="AB5462" s="28" t="n">
        <v>164</v>
      </c>
      <c r="AC5462" s="28" t="n">
        <v>1312</v>
      </c>
      <c r="AD5462" s="28"/>
      <c r="AE5462" s="28" t="n">
        <f aca="false">AD5462*$M5462</f>
        <v>0</v>
      </c>
      <c r="AF5462" s="28" t="n">
        <v>263</v>
      </c>
      <c r="AG5462" s="28" t="n">
        <v>2104</v>
      </c>
      <c r="AH5462" s="28"/>
      <c r="AI5462" s="28" t="n">
        <f aca="false">AH5462*$M5462</f>
        <v>0</v>
      </c>
      <c r="AJ5462" s="28"/>
      <c r="AK5462" s="28" t="n">
        <f aca="false">AJ5462*$M5462</f>
        <v>0</v>
      </c>
      <c r="AL5462" s="28"/>
      <c r="AM5462" s="28" t="n">
        <f aca="false">AL5462*$M5462</f>
        <v>0</v>
      </c>
      <c r="AN5462" s="28"/>
      <c r="AO5462" s="28" t="n">
        <f aca="false">AN5462*$M5462</f>
        <v>0</v>
      </c>
      <c r="AP5462" s="28" t="n">
        <v>278</v>
      </c>
      <c r="AQ5462" s="28" t="n">
        <v>2224</v>
      </c>
      <c r="AR5462" s="28"/>
      <c r="AS5462" s="28" t="n">
        <f aca="false">AR5462*$M5462</f>
        <v>0</v>
      </c>
      <c r="AT5462" s="28"/>
      <c r="AU5462" s="28" t="n">
        <f aca="false">AT5462*$M5462</f>
        <v>0</v>
      </c>
      <c r="AV5462" s="28"/>
      <c r="AW5462" s="28" t="n">
        <f aca="false">AV5462*$M5462</f>
        <v>0</v>
      </c>
      <c r="AX5462" s="28"/>
      <c r="AY5462" s="28" t="n">
        <f aca="false">AX5462*$M5462</f>
        <v>0</v>
      </c>
      <c r="AZ5462" s="30" t="n">
        <v>772</v>
      </c>
      <c r="BA5462" s="11" t="n">
        <v>6176</v>
      </c>
      <c r="BB5462" s="31" t="n">
        <f aca="false">SUM(Q5462,S5462,U5462,W5462,Y5462,AA5462,AC5462,AE5462,AG5462,AI5462,AK5462,AM5462,AO5462,AQ5462,AS5462,AU5462,AW5462,AY5462)</f>
        <v>6176</v>
      </c>
      <c r="BC5462" s="28" t="n">
        <f aca="false">BA5462-BB5462</f>
        <v>0</v>
      </c>
      <c r="BD5462" s="32" t="n">
        <f aca="false">SUM(P5462,R5462,T5462,V5462,X5462,Z5462,AB5462,AD5462,AF5462,AH5462,AJ5462,AL5462,AN5462,AP5462,AR5462,AT5462,AV5462,AX5462)</f>
        <v>772</v>
      </c>
      <c r="BE5462" s="33" t="n">
        <f aca="false">AZ5462-BD5462</f>
        <v>0</v>
      </c>
      <c r="BF5462" s="34" t="n">
        <f aca="false">BD5462*M5462</f>
        <v>6176</v>
      </c>
      <c r="BG5462" s="35" t="n">
        <f aca="false">BA5462-BF5462</f>
        <v>0</v>
      </c>
      <c r="BH5462" s="19" t="str">
        <f aca="false">IF(BG5462=0,"",IF(BG5462&lt;&gt;BA5462,"erreur de calcul",IF(BD5462&lt;&gt;0,"pas de prix",IF(M5462&lt;&gt; 0,"pas de quantité","pas de prix, ni de quantité"))))</f>
        <v/>
      </c>
      <c r="BI5462" s="19"/>
    </row>
    <row r="5463" customFormat="false" ht="15" hidden="false" customHeight="false" outlineLevel="0" collapsed="false">
      <c r="A5463" s="0" t="n">
        <v>32</v>
      </c>
      <c r="B5463" s="8" t="s">
        <v>24</v>
      </c>
      <c r="C5463" s="9" t="s">
        <v>25</v>
      </c>
      <c r="D5463" s="9" t="s">
        <v>26</v>
      </c>
      <c r="E5463" s="10" t="n">
        <v>1789</v>
      </c>
      <c r="F5463" s="9" t="s">
        <v>27</v>
      </c>
      <c r="G5463" s="9" t="s">
        <v>27</v>
      </c>
      <c r="H5463" s="11" t="n">
        <v>23</v>
      </c>
      <c r="I5463" s="11" t="s">
        <v>274</v>
      </c>
      <c r="J5463" s="14" t="n">
        <v>17</v>
      </c>
      <c r="K5463" s="14"/>
      <c r="L5463" s="16"/>
      <c r="M5463" s="27" t="n">
        <f aca="false">J5463+(K5463/20)+(L5463/240)</f>
        <v>17</v>
      </c>
      <c r="N5463" s="17" t="s">
        <v>275</v>
      </c>
      <c r="O5463" s="11"/>
      <c r="P5463" s="28" t="n">
        <v>200</v>
      </c>
      <c r="Q5463" s="28" t="n">
        <v>3400</v>
      </c>
      <c r="R5463" s="28"/>
      <c r="S5463" s="28" t="n">
        <f aca="false">R5463*$M5463</f>
        <v>0</v>
      </c>
      <c r="T5463" s="28"/>
      <c r="U5463" s="28" t="n">
        <f aca="false">T5463*$M5463</f>
        <v>0</v>
      </c>
      <c r="V5463" s="28"/>
      <c r="W5463" s="28" t="n">
        <f aca="false">V5463*$M5463</f>
        <v>0</v>
      </c>
      <c r="X5463" s="28" t="n">
        <v>145</v>
      </c>
      <c r="Y5463" s="28" t="n">
        <v>2465</v>
      </c>
      <c r="Z5463" s="28"/>
      <c r="AA5463" s="28" t="n">
        <f aca="false">Z5463*$M5463</f>
        <v>0</v>
      </c>
      <c r="AB5463" s="28"/>
      <c r="AC5463" s="28" t="n">
        <f aca="false">AB5463*$M5463</f>
        <v>0</v>
      </c>
      <c r="AD5463" s="28"/>
      <c r="AE5463" s="28" t="n">
        <f aca="false">AD5463*$M5463</f>
        <v>0</v>
      </c>
      <c r="AF5463" s="28"/>
      <c r="AG5463" s="28" t="n">
        <f aca="false">AF5463*$M5463</f>
        <v>0</v>
      </c>
      <c r="AH5463" s="28"/>
      <c r="AI5463" s="28" t="n">
        <f aca="false">AH5463*$M5463</f>
        <v>0</v>
      </c>
      <c r="AJ5463" s="28"/>
      <c r="AK5463" s="28" t="n">
        <f aca="false">AJ5463*$M5463</f>
        <v>0</v>
      </c>
      <c r="AL5463" s="28" t="n">
        <v>12</v>
      </c>
      <c r="AM5463" s="28" t="n">
        <v>204</v>
      </c>
      <c r="AN5463" s="28"/>
      <c r="AO5463" s="28" t="n">
        <f aca="false">AN5463*$M5463</f>
        <v>0</v>
      </c>
      <c r="AP5463" s="28"/>
      <c r="AQ5463" s="28" t="n">
        <f aca="false">AP5463*$M5463</f>
        <v>0</v>
      </c>
      <c r="AR5463" s="28"/>
      <c r="AS5463" s="28" t="n">
        <f aca="false">AR5463*$M5463</f>
        <v>0</v>
      </c>
      <c r="AT5463" s="28"/>
      <c r="AU5463" s="28" t="n">
        <f aca="false">AT5463*$M5463</f>
        <v>0</v>
      </c>
      <c r="AV5463" s="28"/>
      <c r="AW5463" s="28" t="n">
        <f aca="false">AV5463*$M5463</f>
        <v>0</v>
      </c>
      <c r="AX5463" s="28"/>
      <c r="AY5463" s="28" t="n">
        <f aca="false">AX5463*$M5463</f>
        <v>0</v>
      </c>
      <c r="AZ5463" s="30" t="n">
        <v>357</v>
      </c>
      <c r="BA5463" s="11" t="n">
        <v>6069</v>
      </c>
      <c r="BB5463" s="31" t="n">
        <f aca="false">SUM(Q5463,S5463,U5463,W5463,Y5463,AA5463,AC5463,AE5463,AG5463,AI5463,AK5463,AM5463,AO5463,AQ5463,AS5463,AU5463,AW5463,AY5463)</f>
        <v>6069</v>
      </c>
      <c r="BC5463" s="28" t="n">
        <f aca="false">BA5463-BB5463</f>
        <v>0</v>
      </c>
      <c r="BD5463" s="32" t="n">
        <f aca="false">SUM(P5463,R5463,T5463,V5463,X5463,Z5463,AB5463,AD5463,AF5463,AH5463,AJ5463,AL5463,AN5463,AP5463,AR5463,AT5463,AV5463,AX5463)</f>
        <v>357</v>
      </c>
      <c r="BE5463" s="33" t="n">
        <f aca="false">AZ5463-BD5463</f>
        <v>0</v>
      </c>
      <c r="BF5463" s="34" t="n">
        <f aca="false">BD5463*M5463</f>
        <v>6069</v>
      </c>
      <c r="BG5463" s="35" t="n">
        <f aca="false">BA5463-BF5463</f>
        <v>0</v>
      </c>
      <c r="BH5463" s="19" t="str">
        <f aca="false">IF(BG5463=0,"",IF(BG5463&lt;&gt;BA5463,"erreur de calcul",IF(BD5463&lt;&gt;0,"pas de prix",IF(M5463&lt;&gt; 0,"pas de quantité","pas de prix, ni de quantité"))))</f>
        <v/>
      </c>
      <c r="BI5463" s="19" t="s">
        <v>275</v>
      </c>
    </row>
    <row r="5464" customFormat="false" ht="15" hidden="false" customHeight="false" outlineLevel="0" collapsed="false">
      <c r="A5464" s="0" t="n">
        <v>33</v>
      </c>
      <c r="B5464" s="8" t="s">
        <v>24</v>
      </c>
      <c r="C5464" s="9" t="s">
        <v>25</v>
      </c>
      <c r="D5464" s="9" t="s">
        <v>26</v>
      </c>
      <c r="E5464" s="10" t="n">
        <v>1789</v>
      </c>
      <c r="F5464" s="9" t="s">
        <v>27</v>
      </c>
      <c r="G5464" s="9" t="s">
        <v>27</v>
      </c>
      <c r="H5464" s="11" t="n">
        <v>23</v>
      </c>
      <c r="I5464" s="11" t="s">
        <v>276</v>
      </c>
      <c r="J5464" s="14" t="n">
        <v>36</v>
      </c>
      <c r="K5464" s="14"/>
      <c r="L5464" s="16"/>
      <c r="M5464" s="27" t="n">
        <f aca="false">J5464+(K5464/20)+(L5464/240)</f>
        <v>36</v>
      </c>
      <c r="N5464" s="17" t="s">
        <v>275</v>
      </c>
      <c r="O5464" s="11" t="s">
        <v>277</v>
      </c>
      <c r="P5464" s="28"/>
      <c r="Q5464" s="28" t="n">
        <f aca="false">P5464*$M5464</f>
        <v>0</v>
      </c>
      <c r="R5464" s="28"/>
      <c r="S5464" s="28" t="n">
        <f aca="false">R5464*$M5464</f>
        <v>0</v>
      </c>
      <c r="T5464" s="28"/>
      <c r="U5464" s="28" t="n">
        <f aca="false">T5464*$M5464</f>
        <v>0</v>
      </c>
      <c r="V5464" s="28"/>
      <c r="W5464" s="28" t="n">
        <f aca="false">V5464*$M5464</f>
        <v>0</v>
      </c>
      <c r="X5464" s="28"/>
      <c r="Y5464" s="28" t="n">
        <f aca="false">X5464*$M5464</f>
        <v>0</v>
      </c>
      <c r="Z5464" s="28"/>
      <c r="AA5464" s="28" t="n">
        <f aca="false">Z5464*$M5464</f>
        <v>0</v>
      </c>
      <c r="AB5464" s="28"/>
      <c r="AC5464" s="28" t="n">
        <f aca="false">AB5464*$M5464</f>
        <v>0</v>
      </c>
      <c r="AD5464" s="28"/>
      <c r="AE5464" s="28" t="n">
        <f aca="false">AD5464*$M5464</f>
        <v>0</v>
      </c>
      <c r="AF5464" s="28"/>
      <c r="AG5464" s="28" t="n">
        <f aca="false">AF5464*$M5464</f>
        <v>0</v>
      </c>
      <c r="AH5464" s="28"/>
      <c r="AI5464" s="28" t="n">
        <f aca="false">AH5464*$M5464</f>
        <v>0</v>
      </c>
      <c r="AJ5464" s="28"/>
      <c r="AK5464" s="28" t="n">
        <f aca="false">AJ5464*$M5464</f>
        <v>0</v>
      </c>
      <c r="AL5464" s="28"/>
      <c r="AM5464" s="28" t="n">
        <f aca="false">AL5464*$M5464</f>
        <v>0</v>
      </c>
      <c r="AN5464" s="28"/>
      <c r="AO5464" s="28" t="n">
        <f aca="false">AN5464*$M5464</f>
        <v>0</v>
      </c>
      <c r="AP5464" s="28"/>
      <c r="AQ5464" s="28" t="n">
        <f aca="false">AP5464*$M5464</f>
        <v>0</v>
      </c>
      <c r="AR5464" s="28"/>
      <c r="AS5464" s="28" t="n">
        <f aca="false">AR5464*$M5464</f>
        <v>0</v>
      </c>
      <c r="AT5464" s="28"/>
      <c r="AU5464" s="28" t="n">
        <f aca="false">AT5464*$M5464</f>
        <v>0</v>
      </c>
      <c r="AV5464" s="28"/>
      <c r="AW5464" s="28" t="n">
        <f aca="false">AV5464*$M5464</f>
        <v>0</v>
      </c>
      <c r="AX5464" s="28"/>
      <c r="AY5464" s="28" t="n">
        <f aca="false">AX5464*$M5464</f>
        <v>0</v>
      </c>
      <c r="AZ5464" s="30"/>
      <c r="BA5464" s="11"/>
      <c r="BB5464" s="31" t="n">
        <f aca="false">SUM(Q5464,S5464,U5464,W5464,Y5464,AA5464,AC5464,AE5464,AG5464,AI5464,AK5464,AM5464,AO5464,AQ5464,AS5464,AU5464,AW5464,AY5464)</f>
        <v>0</v>
      </c>
      <c r="BC5464" s="28" t="n">
        <f aca="false">BA5464-BB5464</f>
        <v>0</v>
      </c>
      <c r="BD5464" s="32" t="n">
        <f aca="false">SUM(P5464,R5464,T5464,V5464,X5464,Z5464,AB5464,AD5464,AF5464,AH5464,AJ5464,AL5464,AN5464,AP5464,AR5464,AT5464,AV5464,AX5464)</f>
        <v>0</v>
      </c>
      <c r="BE5464" s="33" t="n">
        <f aca="false">AZ5464-BD5464</f>
        <v>0</v>
      </c>
      <c r="BF5464" s="34" t="n">
        <f aca="false">BD5464*M5464</f>
        <v>0</v>
      </c>
      <c r="BG5464" s="35" t="n">
        <f aca="false">BA5464-BF5464</f>
        <v>0</v>
      </c>
      <c r="BH5464" s="19" t="str">
        <f aca="false">IF(BG5464=0,"",IF(BG5464&lt;&gt;BA5464,"erreur de calcul",IF(BD5464&lt;&gt;0,"pas de prix",IF(M5464&lt;&gt; 0,"pas de quantité","pas de prix, ni de quantité"))))</f>
        <v/>
      </c>
      <c r="BI5464" s="19" t="s">
        <v>275</v>
      </c>
    </row>
    <row r="5465" customFormat="false" ht="15" hidden="false" customHeight="false" outlineLevel="0" collapsed="false">
      <c r="A5465" s="0" t="n">
        <v>34</v>
      </c>
      <c r="B5465" s="8" t="s">
        <v>24</v>
      </c>
      <c r="C5465" s="9" t="s">
        <v>25</v>
      </c>
      <c r="D5465" s="9" t="s">
        <v>26</v>
      </c>
      <c r="E5465" s="10" t="n">
        <v>1789</v>
      </c>
      <c r="F5465" s="9" t="s">
        <v>27</v>
      </c>
      <c r="G5465" s="9" t="s">
        <v>27</v>
      </c>
      <c r="H5465" s="11" t="n">
        <v>23</v>
      </c>
      <c r="I5465" s="11" t="s">
        <v>276</v>
      </c>
      <c r="J5465" s="14" t="n">
        <v>36</v>
      </c>
      <c r="K5465" s="14"/>
      <c r="L5465" s="16"/>
      <c r="M5465" s="27" t="n">
        <f aca="false">J5465+(K5465/20)+(L5465/240)</f>
        <v>36</v>
      </c>
      <c r="N5465" s="17" t="s">
        <v>275</v>
      </c>
      <c r="O5465" s="11" t="s">
        <v>77</v>
      </c>
      <c r="P5465" s="28" t="n">
        <v>7250</v>
      </c>
      <c r="Q5465" s="28" t="n">
        <v>261000</v>
      </c>
      <c r="R5465" s="28"/>
      <c r="S5465" s="28" t="n">
        <f aca="false">R5465*$M5465</f>
        <v>0</v>
      </c>
      <c r="T5465" s="28" t="n">
        <v>38389</v>
      </c>
      <c r="U5465" s="28" t="n">
        <v>1382004</v>
      </c>
      <c r="V5465" s="28" t="n">
        <v>19350</v>
      </c>
      <c r="W5465" s="28" t="n">
        <v>696600</v>
      </c>
      <c r="X5465" s="28" t="n">
        <v>25392</v>
      </c>
      <c r="Y5465" s="28" t="n">
        <v>914112</v>
      </c>
      <c r="Z5465" s="28" t="n">
        <v>31863</v>
      </c>
      <c r="AA5465" s="28" t="n">
        <v>1147068</v>
      </c>
      <c r="AB5465" s="28" t="n">
        <v>149064</v>
      </c>
      <c r="AC5465" s="28" t="n">
        <v>5366304</v>
      </c>
      <c r="AD5465" s="28" t="n">
        <v>1270</v>
      </c>
      <c r="AE5465" s="28" t="n">
        <v>45720</v>
      </c>
      <c r="AF5465" s="28" t="n">
        <v>54784</v>
      </c>
      <c r="AG5465" s="28" t="n">
        <v>1972224</v>
      </c>
      <c r="AH5465" s="28" t="n">
        <v>1200</v>
      </c>
      <c r="AI5465" s="28" t="n">
        <v>43200</v>
      </c>
      <c r="AJ5465" s="28" t="n">
        <v>10055</v>
      </c>
      <c r="AK5465" s="28" t="n">
        <v>361980</v>
      </c>
      <c r="AL5465" s="28"/>
      <c r="AM5465" s="28" t="n">
        <f aca="false">AL5465*$M5465</f>
        <v>0</v>
      </c>
      <c r="AN5465" s="28"/>
      <c r="AO5465" s="28" t="n">
        <f aca="false">AN5465*$M5465</f>
        <v>0</v>
      </c>
      <c r="AP5465" s="28" t="n">
        <v>220</v>
      </c>
      <c r="AQ5465" s="28" t="n">
        <f aca="false">AP5465*$M5465</f>
        <v>7920</v>
      </c>
      <c r="AR5465" s="28"/>
      <c r="AS5465" s="28" t="n">
        <f aca="false">AR5465*$M5465</f>
        <v>0</v>
      </c>
      <c r="AT5465" s="28"/>
      <c r="AU5465" s="28" t="n">
        <f aca="false">AT5465*$M5465</f>
        <v>0</v>
      </c>
      <c r="AV5465" s="28" t="n">
        <v>100</v>
      </c>
      <c r="AW5465" s="28" t="n">
        <v>3600</v>
      </c>
      <c r="AX5465" s="28" t="n">
        <v>9241</v>
      </c>
      <c r="AY5465" s="28" t="n">
        <v>332676</v>
      </c>
      <c r="AZ5465" s="30" t="n">
        <v>348178</v>
      </c>
      <c r="BA5465" s="11" t="n">
        <v>12534408</v>
      </c>
      <c r="BB5465" s="31" t="n">
        <f aca="false">SUM(Q5465,S5465,U5465,W5465,Y5465,AA5465,AC5465,AE5465,AG5465,AI5465,AK5465,AM5465,AO5465,AQ5465,AS5465,AU5465,AW5465,AY5465)</f>
        <v>12534408</v>
      </c>
      <c r="BC5465" s="28" t="n">
        <f aca="false">BA5465-BB5465</f>
        <v>0</v>
      </c>
      <c r="BD5465" s="32" t="n">
        <f aca="false">SUM(P5465,R5465,T5465,V5465,X5465,Z5465,AB5465,AD5465,AF5465,AH5465,AJ5465,AL5465,AN5465,AP5465,AR5465,AT5465,AV5465,AX5465)</f>
        <v>348178</v>
      </c>
      <c r="BE5465" s="33" t="n">
        <f aca="false">AZ5465-BD5465</f>
        <v>0</v>
      </c>
      <c r="BF5465" s="34" t="n">
        <f aca="false">BD5465*M5465</f>
        <v>12534408</v>
      </c>
      <c r="BG5465" s="35" t="n">
        <f aca="false">BA5465-BF5465</f>
        <v>0</v>
      </c>
      <c r="BH5465" s="19" t="str">
        <f aca="false">IF(BG5465=0,"",IF(BG5465&lt;&gt;BA5465,"erreur de calcul",IF(BD5465&lt;&gt;0,"pas de prix",IF(M5465&lt;&gt; 0,"pas de quantité","pas de prix, ni de quantité"))))</f>
        <v/>
      </c>
      <c r="BI5465" s="19"/>
    </row>
    <row r="5466" customFormat="false" ht="15" hidden="false" customHeight="false" outlineLevel="0" collapsed="false">
      <c r="A5466" s="0" t="n">
        <v>35</v>
      </c>
      <c r="B5466" s="8" t="s">
        <v>24</v>
      </c>
      <c r="C5466" s="9" t="s">
        <v>25</v>
      </c>
      <c r="D5466" s="9" t="s">
        <v>26</v>
      </c>
      <c r="E5466" s="10" t="n">
        <v>1789</v>
      </c>
      <c r="F5466" s="9" t="s">
        <v>27</v>
      </c>
      <c r="G5466" s="9" t="s">
        <v>27</v>
      </c>
      <c r="H5466" s="11" t="n">
        <v>23</v>
      </c>
      <c r="I5466" s="11" t="s">
        <v>278</v>
      </c>
      <c r="J5466" s="14" t="n">
        <v>12</v>
      </c>
      <c r="K5466" s="14"/>
      <c r="L5466" s="16"/>
      <c r="M5466" s="27" t="n">
        <f aca="false">J5466+(K5466/20)+(L5466/240)</f>
        <v>12</v>
      </c>
      <c r="N5466" s="17" t="s">
        <v>64</v>
      </c>
      <c r="O5466" s="11" t="s">
        <v>77</v>
      </c>
      <c r="P5466" s="28" t="n">
        <f aca="false">351312/100</f>
        <v>3513.12</v>
      </c>
      <c r="Q5466" s="28" t="n">
        <v>42157</v>
      </c>
      <c r="R5466" s="28"/>
      <c r="S5466" s="28" t="n">
        <f aca="false">R5466*$M5466</f>
        <v>0</v>
      </c>
      <c r="T5466" s="28" t="n">
        <f aca="false">52251/100</f>
        <v>522.51</v>
      </c>
      <c r="U5466" s="28" t="n">
        <v>6270</v>
      </c>
      <c r="V5466" s="28" t="n">
        <f aca="false">2393/100</f>
        <v>23.93</v>
      </c>
      <c r="W5466" s="28" t="n">
        <v>287</v>
      </c>
      <c r="X5466" s="28" t="n">
        <f aca="false">44842/100</f>
        <v>448.42</v>
      </c>
      <c r="Y5466" s="28" t="n">
        <v>5381</v>
      </c>
      <c r="Z5466" s="28"/>
      <c r="AA5466" s="28" t="n">
        <f aca="false">Z5466*$M5466</f>
        <v>0</v>
      </c>
      <c r="AB5466" s="28"/>
      <c r="AC5466" s="28" t="n">
        <f aca="false">AB5466*$M5466</f>
        <v>0</v>
      </c>
      <c r="AD5466" s="28"/>
      <c r="AE5466" s="28" t="n">
        <f aca="false">AD5466*$M5466</f>
        <v>0</v>
      </c>
      <c r="AF5466" s="28" t="n">
        <f aca="false">164167/100</f>
        <v>1641.67</v>
      </c>
      <c r="AG5466" s="28" t="n">
        <v>19700</v>
      </c>
      <c r="AH5466" s="28"/>
      <c r="AI5466" s="28" t="n">
        <f aca="false">AH5466*$M5466</f>
        <v>0</v>
      </c>
      <c r="AJ5466" s="28"/>
      <c r="AK5466" s="28" t="n">
        <f aca="false">AJ5466*$M5466</f>
        <v>0</v>
      </c>
      <c r="AL5466" s="28"/>
      <c r="AM5466" s="28" t="n">
        <f aca="false">AL5466*$M5466</f>
        <v>0</v>
      </c>
      <c r="AN5466" s="28"/>
      <c r="AO5466" s="28" t="n">
        <f aca="false">AN5466*$M5466</f>
        <v>0</v>
      </c>
      <c r="AP5466" s="28"/>
      <c r="AQ5466" s="28" t="n">
        <f aca="false">AP5466*$M5466</f>
        <v>0</v>
      </c>
      <c r="AR5466" s="28"/>
      <c r="AS5466" s="28" t="n">
        <f aca="false">AR5466*$M5466</f>
        <v>0</v>
      </c>
      <c r="AT5466" s="28"/>
      <c r="AU5466" s="28" t="n">
        <f aca="false">AT5466*$M5466</f>
        <v>0</v>
      </c>
      <c r="AV5466" s="28"/>
      <c r="AW5466" s="28" t="n">
        <f aca="false">AV5466*$M5466</f>
        <v>0</v>
      </c>
      <c r="AX5466" s="28" t="n">
        <f aca="false">25000/100</f>
        <v>250</v>
      </c>
      <c r="AY5466" s="28" t="n">
        <v>3000</v>
      </c>
      <c r="AZ5466" s="30"/>
      <c r="BA5466" s="11" t="n">
        <v>76795</v>
      </c>
      <c r="BB5466" s="31" t="n">
        <f aca="false">SUM(Q5466,S5466,U5466,W5466,Y5466,AA5466,AC5466,AE5466,AG5466,AI5466,AK5466,AM5466,AO5466,AQ5466,AS5466,AU5466,AW5466,AY5466)</f>
        <v>76795</v>
      </c>
      <c r="BC5466" s="28" t="n">
        <f aca="false">BA5466-BB5466</f>
        <v>0</v>
      </c>
      <c r="BD5466" s="32" t="n">
        <f aca="false">SUM(P5466,R5466,T5466,V5466,X5466,Z5466,AB5466,AD5466,AF5466,AH5466,AJ5466,AL5466,AN5466,AP5466,AR5466,AT5466,AV5466,AX5466)</f>
        <v>6399.65</v>
      </c>
      <c r="BE5466" s="33" t="n">
        <f aca="false">AZ5466-BD5466</f>
        <v>-6399.65</v>
      </c>
      <c r="BF5466" s="34" t="n">
        <f aca="false">BD5466*M5466</f>
        <v>76795.8</v>
      </c>
      <c r="BG5466" s="35" t="n">
        <f aca="false">BA5466-BF5466</f>
        <v>-0.799999999988359</v>
      </c>
      <c r="BH5466" s="19" t="str">
        <f aca="false">IF(BG5466=0,"",IF(BG5466&lt;&gt;BA5466,"erreur de calcul",IF(BD5466&lt;&gt;0,"pas de prix",IF(M5466&lt;&gt; 0,"pas de quantité","pas de prix, ni de quantité"))))</f>
        <v>erreur de calcul</v>
      </c>
      <c r="BI5466" s="19"/>
    </row>
    <row r="5467" customFormat="false" ht="15" hidden="false" customHeight="false" outlineLevel="0" collapsed="false">
      <c r="A5467" s="0" t="n">
        <v>36</v>
      </c>
      <c r="B5467" s="8" t="s">
        <v>24</v>
      </c>
      <c r="C5467" s="9" t="s">
        <v>25</v>
      </c>
      <c r="D5467" s="9" t="s">
        <v>26</v>
      </c>
      <c r="E5467" s="10" t="n">
        <v>1789</v>
      </c>
      <c r="F5467" s="9" t="s">
        <v>27</v>
      </c>
      <c r="G5467" s="9" t="s">
        <v>27</v>
      </c>
      <c r="H5467" s="11" t="n">
        <v>23</v>
      </c>
      <c r="I5467" s="11" t="s">
        <v>279</v>
      </c>
      <c r="J5467" s="14" t="n">
        <v>18</v>
      </c>
      <c r="K5467" s="14"/>
      <c r="L5467" s="16"/>
      <c r="M5467" s="27" t="n">
        <f aca="false">J5467+(K5467/20)+(L5467/240)</f>
        <v>18</v>
      </c>
      <c r="N5467" s="17" t="s">
        <v>275</v>
      </c>
      <c r="O5467" s="11"/>
      <c r="P5467" s="28"/>
      <c r="Q5467" s="28" t="n">
        <f aca="false">P5467*$M5467</f>
        <v>0</v>
      </c>
      <c r="R5467" s="28"/>
      <c r="S5467" s="28" t="n">
        <f aca="false">R5467*$M5467</f>
        <v>0</v>
      </c>
      <c r="T5467" s="28" t="n">
        <v>100</v>
      </c>
      <c r="U5467" s="28" t="n">
        <v>1800</v>
      </c>
      <c r="V5467" s="28"/>
      <c r="W5467" s="28" t="n">
        <f aca="false">V5467*$M5467</f>
        <v>0</v>
      </c>
      <c r="X5467" s="28"/>
      <c r="Y5467" s="28" t="n">
        <f aca="false">X5467*$M5467</f>
        <v>0</v>
      </c>
      <c r="Z5467" s="28"/>
      <c r="AA5467" s="28" t="n">
        <f aca="false">Z5467*$M5467</f>
        <v>0</v>
      </c>
      <c r="AB5467" s="28" t="n">
        <v>1936</v>
      </c>
      <c r="AC5467" s="28" t="n">
        <v>34848</v>
      </c>
      <c r="AD5467" s="28"/>
      <c r="AE5467" s="28" t="n">
        <f aca="false">AD5467*$M5467</f>
        <v>0</v>
      </c>
      <c r="AF5467" s="28" t="n">
        <v>600</v>
      </c>
      <c r="AG5467" s="28" t="n">
        <v>10800</v>
      </c>
      <c r="AH5467" s="28"/>
      <c r="AI5467" s="28" t="n">
        <f aca="false">AH5467*$M5467</f>
        <v>0</v>
      </c>
      <c r="AJ5467" s="28"/>
      <c r="AK5467" s="28" t="n">
        <f aca="false">AJ5467*$M5467</f>
        <v>0</v>
      </c>
      <c r="AL5467" s="28" t="n">
        <v>12</v>
      </c>
      <c r="AM5467" s="28" t="n">
        <v>216</v>
      </c>
      <c r="AN5467" s="28"/>
      <c r="AO5467" s="28" t="n">
        <f aca="false">AN5467*$M5467</f>
        <v>0</v>
      </c>
      <c r="AP5467" s="28" t="n">
        <v>12</v>
      </c>
      <c r="AQ5467" s="28" t="n">
        <v>216</v>
      </c>
      <c r="AR5467" s="28"/>
      <c r="AS5467" s="28" t="n">
        <f aca="false">AR5467*$M5467</f>
        <v>0</v>
      </c>
      <c r="AT5467" s="28"/>
      <c r="AU5467" s="28" t="n">
        <f aca="false">AT5467*$M5467</f>
        <v>0</v>
      </c>
      <c r="AV5467" s="28"/>
      <c r="AW5467" s="28" t="n">
        <f aca="false">AV5467*$M5467</f>
        <v>0</v>
      </c>
      <c r="AX5467" s="28"/>
      <c r="AY5467" s="28" t="n">
        <f aca="false">AX5467*$M5467</f>
        <v>0</v>
      </c>
      <c r="AZ5467" s="30" t="n">
        <v>2660</v>
      </c>
      <c r="BA5467" s="11" t="n">
        <v>47880</v>
      </c>
      <c r="BB5467" s="31" t="n">
        <f aca="false">SUM(Q5467,S5467,U5467,W5467,Y5467,AA5467,AC5467,AE5467,AG5467,AI5467,AK5467,AM5467,AO5467,AQ5467,AS5467,AU5467,AW5467,AY5467)</f>
        <v>47880</v>
      </c>
      <c r="BC5467" s="28" t="n">
        <f aca="false">BA5467-BB5467</f>
        <v>0</v>
      </c>
      <c r="BD5467" s="32" t="n">
        <f aca="false">SUM(P5467,R5467,T5467,V5467,X5467,Z5467,AB5467,AD5467,AF5467,AH5467,AJ5467,AL5467,AN5467,AP5467,AR5467,AT5467,AV5467,AX5467)</f>
        <v>2660</v>
      </c>
      <c r="BE5467" s="33" t="n">
        <f aca="false">AZ5467-BD5467</f>
        <v>0</v>
      </c>
      <c r="BF5467" s="34" t="n">
        <f aca="false">BD5467*M5467</f>
        <v>47880</v>
      </c>
      <c r="BG5467" s="35" t="n">
        <f aca="false">BA5467-BF5467</f>
        <v>0</v>
      </c>
      <c r="BH5467" s="19" t="str">
        <f aca="false">IF(BG5467=0,"",IF(BG5467&lt;&gt;BA5467,"erreur de calcul",IF(BD5467&lt;&gt;0,"pas de prix",IF(M5467&lt;&gt; 0,"pas de quantité","pas de prix, ni de quantité"))))</f>
        <v/>
      </c>
      <c r="BI5467" s="19"/>
    </row>
    <row r="5468" customFormat="false" ht="15" hidden="false" customHeight="false" outlineLevel="0" collapsed="false">
      <c r="A5468" s="0" t="n">
        <v>37</v>
      </c>
      <c r="B5468" s="8" t="s">
        <v>24</v>
      </c>
      <c r="C5468" s="9" t="s">
        <v>25</v>
      </c>
      <c r="D5468" s="9" t="s">
        <v>26</v>
      </c>
      <c r="E5468" s="10" t="n">
        <v>1789</v>
      </c>
      <c r="F5468" s="9" t="s">
        <v>27</v>
      </c>
      <c r="G5468" s="9" t="s">
        <v>27</v>
      </c>
      <c r="H5468" s="11" t="n">
        <v>23</v>
      </c>
      <c r="I5468" s="11" t="s">
        <v>280</v>
      </c>
      <c r="J5468" s="14" t="n">
        <v>25</v>
      </c>
      <c r="K5468" s="14"/>
      <c r="L5468" s="16"/>
      <c r="M5468" s="27" t="n">
        <f aca="false">J5468+(K5468/20)+(L5468/240)</f>
        <v>25</v>
      </c>
      <c r="N5468" s="17" t="s">
        <v>64</v>
      </c>
      <c r="O5468" s="11"/>
      <c r="P5468" s="28"/>
      <c r="Q5468" s="28" t="n">
        <f aca="false">P5468*$M5468</f>
        <v>0</v>
      </c>
      <c r="R5468" s="28"/>
      <c r="S5468" s="28" t="n">
        <f aca="false">R5468*$M5468</f>
        <v>0</v>
      </c>
      <c r="T5468" s="28" t="n">
        <f aca="false">1664501/100</f>
        <v>16645.01</v>
      </c>
      <c r="U5468" s="28" t="n">
        <v>416125</v>
      </c>
      <c r="V5468" s="28" t="n">
        <f aca="false">2171980/100</f>
        <v>21719.8</v>
      </c>
      <c r="W5468" s="28" t="n">
        <v>542995</v>
      </c>
      <c r="X5468" s="28" t="n">
        <f aca="false">11567/100</f>
        <v>115.67</v>
      </c>
      <c r="Y5468" s="28" t="n">
        <v>2892</v>
      </c>
      <c r="Z5468" s="28" t="n">
        <f aca="false">985/100</f>
        <v>9.85</v>
      </c>
      <c r="AA5468" s="28" t="n">
        <v>246</v>
      </c>
      <c r="AB5468" s="28" t="n">
        <f aca="false">399494/100</f>
        <v>3994.94</v>
      </c>
      <c r="AC5468" s="28" t="n">
        <v>99873</v>
      </c>
      <c r="AD5468" s="28"/>
      <c r="AE5468" s="28" t="n">
        <f aca="false">AD5468*$M5468</f>
        <v>0</v>
      </c>
      <c r="AF5468" s="28"/>
      <c r="AG5468" s="28" t="n">
        <f aca="false">AF5468*$M5468</f>
        <v>0</v>
      </c>
      <c r="AH5468" s="28"/>
      <c r="AI5468" s="28" t="n">
        <f aca="false">AH5468*$M5468</f>
        <v>0</v>
      </c>
      <c r="AJ5468" s="28"/>
      <c r="AK5468" s="28" t="n">
        <f aca="false">AJ5468*$M5468</f>
        <v>0</v>
      </c>
      <c r="AL5468" s="28"/>
      <c r="AM5468" s="28" t="n">
        <f aca="false">AL5468*$M5468</f>
        <v>0</v>
      </c>
      <c r="AN5468" s="28"/>
      <c r="AO5468" s="28" t="n">
        <f aca="false">AN5468*$M5468</f>
        <v>0</v>
      </c>
      <c r="AP5468" s="28"/>
      <c r="AQ5468" s="28" t="n">
        <f aca="false">AP5468*$M5468</f>
        <v>0</v>
      </c>
      <c r="AR5468" s="28"/>
      <c r="AS5468" s="28" t="n">
        <f aca="false">AR5468*$M5468</f>
        <v>0</v>
      </c>
      <c r="AT5468" s="28"/>
      <c r="AU5468" s="28" t="n">
        <f aca="false">AT5468*$M5468</f>
        <v>0</v>
      </c>
      <c r="AV5468" s="28"/>
      <c r="AW5468" s="28" t="n">
        <f aca="false">AV5468*$M5468</f>
        <v>0</v>
      </c>
      <c r="AX5468" s="28" t="n">
        <f aca="false">57000/100</f>
        <v>570</v>
      </c>
      <c r="AY5468" s="28" t="n">
        <v>14250</v>
      </c>
      <c r="AZ5468" s="30" t="n">
        <f aca="false">4305527/100</f>
        <v>43055.27</v>
      </c>
      <c r="BA5468" s="11" t="n">
        <v>1076381</v>
      </c>
      <c r="BB5468" s="31" t="n">
        <f aca="false">SUM(Q5468,S5468,U5468,W5468,Y5468,AA5468,AC5468,AE5468,AG5468,AI5468,AK5468,AM5468,AO5468,AQ5468,AS5468,AU5468,AW5468,AY5468)</f>
        <v>1076381</v>
      </c>
      <c r="BC5468" s="28" t="n">
        <f aca="false">BA5468-BB5468</f>
        <v>0</v>
      </c>
      <c r="BD5468" s="32" t="n">
        <f aca="false">SUM(P5468,R5468,T5468,V5468,X5468,Z5468,AB5468,AD5468,AF5468,AH5468,AJ5468,AL5468,AN5468,AP5468,AR5468,AT5468,AV5468,AX5468)</f>
        <v>43055.27</v>
      </c>
      <c r="BE5468" s="33" t="n">
        <f aca="false">AZ5468-BD5468</f>
        <v>0</v>
      </c>
      <c r="BF5468" s="34" t="n">
        <f aca="false">BD5468*M5468</f>
        <v>1076381.75</v>
      </c>
      <c r="BG5468" s="35" t="n">
        <f aca="false">BA5468-BF5468</f>
        <v>-0.75</v>
      </c>
      <c r="BH5468" s="19" t="str">
        <f aca="false">IF(BG5468=0,"",IF(BG5468&lt;&gt;BA5468,"erreur de calcul",IF(BD5468&lt;&gt;0,"pas de prix",IF(M5468&lt;&gt; 0,"pas de quantité","pas de prix, ni de quantité"))))</f>
        <v>erreur de calcul</v>
      </c>
      <c r="BI5468" s="19"/>
    </row>
    <row r="5469" customFormat="false" ht="15" hidden="false" customHeight="false" outlineLevel="0" collapsed="false">
      <c r="A5469" s="0" t="n">
        <v>38</v>
      </c>
      <c r="B5469" s="8" t="s">
        <v>24</v>
      </c>
      <c r="C5469" s="9" t="s">
        <v>25</v>
      </c>
      <c r="D5469" s="9" t="s">
        <v>26</v>
      </c>
      <c r="E5469" s="10" t="n">
        <v>1789</v>
      </c>
      <c r="F5469" s="9" t="s">
        <v>27</v>
      </c>
      <c r="G5469" s="9" t="s">
        <v>27</v>
      </c>
      <c r="H5469" s="11" t="n">
        <v>23</v>
      </c>
      <c r="I5469" s="11" t="s">
        <v>281</v>
      </c>
      <c r="J5469" s="14" t="n">
        <v>18</v>
      </c>
      <c r="K5469" s="14"/>
      <c r="L5469" s="16"/>
      <c r="M5469" s="27" t="n">
        <f aca="false">J5469+(K5469/20)+(L5469/240)</f>
        <v>18</v>
      </c>
      <c r="N5469" s="17" t="s">
        <v>275</v>
      </c>
      <c r="O5469" s="11"/>
      <c r="P5469" s="28"/>
      <c r="Q5469" s="28" t="n">
        <f aca="false">P5469*$M5469</f>
        <v>0</v>
      </c>
      <c r="R5469" s="28"/>
      <c r="S5469" s="28" t="n">
        <f aca="false">R5469*$M5469</f>
        <v>0</v>
      </c>
      <c r="T5469" s="28" t="n">
        <v>537</v>
      </c>
      <c r="U5469" s="28" t="n">
        <v>9666</v>
      </c>
      <c r="V5469" s="28"/>
      <c r="W5469" s="28" t="n">
        <f aca="false">V5469*$M5469</f>
        <v>0</v>
      </c>
      <c r="X5469" s="28"/>
      <c r="Y5469" s="28" t="n">
        <f aca="false">X5469*$M5469</f>
        <v>0</v>
      </c>
      <c r="Z5469" s="28"/>
      <c r="AA5469" s="28" t="n">
        <f aca="false">Z5469*$M5469</f>
        <v>0</v>
      </c>
      <c r="AB5469" s="28"/>
      <c r="AC5469" s="28" t="n">
        <f aca="false">AB5469*$M5469</f>
        <v>0</v>
      </c>
      <c r="AD5469" s="28"/>
      <c r="AE5469" s="28" t="n">
        <f aca="false">AD5469*$M5469</f>
        <v>0</v>
      </c>
      <c r="AF5469" s="28"/>
      <c r="AG5469" s="28" t="n">
        <f aca="false">AF5469*$M5469</f>
        <v>0</v>
      </c>
      <c r="AH5469" s="28"/>
      <c r="AI5469" s="28" t="n">
        <f aca="false">AH5469*$M5469</f>
        <v>0</v>
      </c>
      <c r="AJ5469" s="28"/>
      <c r="AK5469" s="28" t="n">
        <f aca="false">AJ5469*$M5469</f>
        <v>0</v>
      </c>
      <c r="AL5469" s="28"/>
      <c r="AM5469" s="28" t="n">
        <f aca="false">AL5469*$M5469</f>
        <v>0</v>
      </c>
      <c r="AN5469" s="28"/>
      <c r="AO5469" s="28" t="n">
        <f aca="false">AN5469*$M5469</f>
        <v>0</v>
      </c>
      <c r="AP5469" s="28"/>
      <c r="AQ5469" s="28" t="n">
        <f aca="false">AP5469*$M5469</f>
        <v>0</v>
      </c>
      <c r="AR5469" s="28"/>
      <c r="AS5469" s="28" t="n">
        <f aca="false">AR5469*$M5469</f>
        <v>0</v>
      </c>
      <c r="AT5469" s="28"/>
      <c r="AU5469" s="28" t="n">
        <f aca="false">AT5469*$M5469</f>
        <v>0</v>
      </c>
      <c r="AV5469" s="28" t="n">
        <v>1700</v>
      </c>
      <c r="AW5469" s="36" t="n">
        <v>33600</v>
      </c>
      <c r="AX5469" s="28"/>
      <c r="AY5469" s="28" t="n">
        <f aca="false">AX5469*$M5469</f>
        <v>0</v>
      </c>
      <c r="AZ5469" s="30" t="n">
        <v>2237</v>
      </c>
      <c r="BA5469" s="11" t="n">
        <v>43266</v>
      </c>
      <c r="BB5469" s="31" t="n">
        <f aca="false">SUM(Q5469,S5469,U5469,W5469,Y5469,AA5469,AC5469,AE5469,AG5469,AI5469,AK5469,AM5469,AO5469,AQ5469,AS5469,AU5469,AW5469,AY5469)</f>
        <v>43266</v>
      </c>
      <c r="BC5469" s="28" t="n">
        <f aca="false">BA5469-BB5469</f>
        <v>0</v>
      </c>
      <c r="BD5469" s="32" t="n">
        <f aca="false">SUM(P5469,R5469,T5469,V5469,X5469,Z5469,AB5469,AD5469,AF5469,AH5469,AJ5469,AL5469,AN5469,AP5469,AR5469,AT5469,AV5469,AX5469)</f>
        <v>2237</v>
      </c>
      <c r="BE5469" s="33" t="n">
        <f aca="false">AZ5469-BD5469</f>
        <v>0</v>
      </c>
      <c r="BF5469" s="34" t="n">
        <f aca="false">BD5469*M5469</f>
        <v>40266</v>
      </c>
      <c r="BG5469" s="35" t="n">
        <f aca="false">BA5469-BF5469</f>
        <v>3000</v>
      </c>
      <c r="BH5469" s="19" t="str">
        <f aca="false">IF(BG5469=0,"",IF(BG5469&lt;&gt;BA5469,"erreur de calcul",IF(BD5469&lt;&gt;0,"pas de prix",IF(M5469&lt;&gt; 0,"pas de quantité","pas de prix, ni de quantité"))))</f>
        <v>erreur de calcul</v>
      </c>
      <c r="BI5469" s="19"/>
    </row>
    <row r="5470" customFormat="false" ht="15" hidden="false" customHeight="false" outlineLevel="0" collapsed="false">
      <c r="A5470" s="0" t="n">
        <v>39</v>
      </c>
      <c r="B5470" s="8" t="s">
        <v>24</v>
      </c>
      <c r="C5470" s="9" t="s">
        <v>25</v>
      </c>
      <c r="D5470" s="9" t="s">
        <v>26</v>
      </c>
      <c r="E5470" s="10" t="n">
        <v>1789</v>
      </c>
      <c r="F5470" s="9" t="s">
        <v>27</v>
      </c>
      <c r="G5470" s="9" t="s">
        <v>27</v>
      </c>
      <c r="H5470" s="11" t="n">
        <v>23</v>
      </c>
      <c r="I5470" s="11" t="s">
        <v>282</v>
      </c>
      <c r="J5470" s="14"/>
      <c r="K5470" s="14"/>
      <c r="L5470" s="16"/>
      <c r="M5470" s="27" t="n">
        <f aca="false">J5470+(K5470/20)+(L5470/240)</f>
        <v>0</v>
      </c>
      <c r="N5470" s="17"/>
      <c r="O5470" s="11"/>
      <c r="P5470" s="28"/>
      <c r="Q5470" s="28" t="n">
        <f aca="false">P5470*$M5470</f>
        <v>0</v>
      </c>
      <c r="R5470" s="28"/>
      <c r="S5470" s="28" t="n">
        <f aca="false">R5470*$M5470</f>
        <v>0</v>
      </c>
      <c r="T5470" s="28"/>
      <c r="U5470" s="28" t="n">
        <v>1962</v>
      </c>
      <c r="V5470" s="28"/>
      <c r="W5470" s="28" t="n">
        <v>148</v>
      </c>
      <c r="X5470" s="28"/>
      <c r="Y5470" s="28" t="n">
        <v>221</v>
      </c>
      <c r="Z5470" s="28"/>
      <c r="AA5470" s="28" t="n">
        <f aca="false">Z5470*$M5470</f>
        <v>0</v>
      </c>
      <c r="AB5470" s="28"/>
      <c r="AC5470" s="28" t="n">
        <v>725</v>
      </c>
      <c r="AD5470" s="28"/>
      <c r="AE5470" s="28" t="n">
        <f aca="false">AD5470*$M5470</f>
        <v>0</v>
      </c>
      <c r="AF5470" s="28"/>
      <c r="AG5470" s="28" t="n">
        <v>414</v>
      </c>
      <c r="AH5470" s="28"/>
      <c r="AI5470" s="28" t="n">
        <f aca="false">AH5470*$M5470</f>
        <v>0</v>
      </c>
      <c r="AJ5470" s="28"/>
      <c r="AK5470" s="28" t="n">
        <f aca="false">AJ5470*$M5470</f>
        <v>0</v>
      </c>
      <c r="AL5470" s="28"/>
      <c r="AM5470" s="28" t="n">
        <f aca="false">AL5470*$M5470</f>
        <v>0</v>
      </c>
      <c r="AN5470" s="28"/>
      <c r="AO5470" s="28" t="n">
        <f aca="false">AN5470*$M5470</f>
        <v>0</v>
      </c>
      <c r="AP5470" s="28"/>
      <c r="AQ5470" s="28" t="n">
        <f aca="false">AP5470*$M5470</f>
        <v>0</v>
      </c>
      <c r="AR5470" s="28"/>
      <c r="AS5470" s="28" t="n">
        <f aca="false">AR5470*$M5470</f>
        <v>0</v>
      </c>
      <c r="AT5470" s="28"/>
      <c r="AU5470" s="28" t="n">
        <v>276</v>
      </c>
      <c r="AV5470" s="28"/>
      <c r="AW5470" s="28" t="n">
        <f aca="false">AV5470*$M5470</f>
        <v>0</v>
      </c>
      <c r="AX5470" s="28"/>
      <c r="AY5470" s="28" t="n">
        <f aca="false">AX5470*$M5470</f>
        <v>0</v>
      </c>
      <c r="AZ5470" s="30"/>
      <c r="BA5470" s="11" t="n">
        <v>3746</v>
      </c>
      <c r="BB5470" s="31" t="n">
        <f aca="false">SUM(Q5470,S5470,U5470,W5470,Y5470,AA5470,AC5470,AE5470,AG5470,AI5470,AK5470,AM5470,AO5470,AQ5470,AS5470,AU5470,AW5470,AY5470)</f>
        <v>3746</v>
      </c>
      <c r="BC5470" s="28" t="n">
        <f aca="false">BA5470-BB5470</f>
        <v>0</v>
      </c>
      <c r="BD5470" s="32" t="n">
        <f aca="false">SUM(P5470,R5470,T5470,V5470,X5470,Z5470,AB5470,AD5470,AF5470,AH5470,AJ5470,AL5470,AN5470,AP5470,AR5470,AT5470,AV5470,AX5470)</f>
        <v>0</v>
      </c>
      <c r="BE5470" s="33" t="n">
        <f aca="false">AZ5470-BD5470</f>
        <v>0</v>
      </c>
      <c r="BF5470" s="34" t="n">
        <f aca="false">BD5470*M5470</f>
        <v>0</v>
      </c>
      <c r="BG5470" s="35" t="n">
        <f aca="false">BA5470-BF5470</f>
        <v>3746</v>
      </c>
      <c r="BH5470" s="19" t="str">
        <f aca="false">IF(BG5470=0,"",IF(BG5470&lt;&gt;BA5470,"erreur de calcul",IF(BD5470&lt;&gt;0,"pas de prix",IF(M5470&lt;&gt; 0,"pas de quantité","pas de prix, ni de quantité"))))</f>
        <v>pas de prix, ni de quantité</v>
      </c>
      <c r="BI5470" s="19"/>
    </row>
    <row r="5471" customFormat="false" ht="15" hidden="false" customHeight="false" outlineLevel="0" collapsed="false">
      <c r="A5471" s="0" t="n">
        <v>40</v>
      </c>
      <c r="B5471" s="8" t="s">
        <v>24</v>
      </c>
      <c r="C5471" s="9" t="s">
        <v>25</v>
      </c>
      <c r="D5471" s="9" t="s">
        <v>26</v>
      </c>
      <c r="E5471" s="10" t="n">
        <v>1789</v>
      </c>
      <c r="F5471" s="9" t="s">
        <v>27</v>
      </c>
      <c r="G5471" s="9" t="s">
        <v>27</v>
      </c>
      <c r="H5471" s="11" t="n">
        <v>23</v>
      </c>
      <c r="I5471" s="11" t="s">
        <v>283</v>
      </c>
      <c r="J5471" s="14" t="n">
        <v>25</v>
      </c>
      <c r="K5471" s="14"/>
      <c r="L5471" s="16"/>
      <c r="M5471" s="27" t="n">
        <f aca="false">J5471+(K5471/20)+(L5471/240)</f>
        <v>25</v>
      </c>
      <c r="N5471" s="17" t="s">
        <v>64</v>
      </c>
      <c r="O5471" s="11"/>
      <c r="P5471" s="28" t="n">
        <f aca="false">12568/100</f>
        <v>125.68</v>
      </c>
      <c r="Q5471" s="28" t="n">
        <v>3142</v>
      </c>
      <c r="R5471" s="28"/>
      <c r="S5471" s="28" t="n">
        <f aca="false">R5471*$M5471</f>
        <v>0</v>
      </c>
      <c r="T5471" s="28"/>
      <c r="U5471" s="28" t="n">
        <f aca="false">T5471*$M5471</f>
        <v>0</v>
      </c>
      <c r="V5471" s="28"/>
      <c r="W5471" s="28" t="n">
        <f aca="false">V5471*$M5471</f>
        <v>0</v>
      </c>
      <c r="X5471" s="28"/>
      <c r="Y5471" s="28" t="n">
        <f aca="false">X5471*$M5471</f>
        <v>0</v>
      </c>
      <c r="Z5471" s="28"/>
      <c r="AA5471" s="28" t="n">
        <f aca="false">Z5471*$M5471</f>
        <v>0</v>
      </c>
      <c r="AB5471" s="28"/>
      <c r="AC5471" s="28" t="n">
        <f aca="false">AB5471*$M5471</f>
        <v>0</v>
      </c>
      <c r="AD5471" s="28"/>
      <c r="AE5471" s="28" t="n">
        <f aca="false">AD5471*$M5471</f>
        <v>0</v>
      </c>
      <c r="AF5471" s="28"/>
      <c r="AG5471" s="28" t="n">
        <f aca="false">AF5471*$M5471</f>
        <v>0</v>
      </c>
      <c r="AH5471" s="28" t="n">
        <f aca="false">5355/100</f>
        <v>53.55</v>
      </c>
      <c r="AI5471" s="28" t="n">
        <v>1339</v>
      </c>
      <c r="AJ5471" s="28"/>
      <c r="AK5471" s="28" t="n">
        <f aca="false">AJ5471*$M5471</f>
        <v>0</v>
      </c>
      <c r="AL5471" s="28"/>
      <c r="AM5471" s="28" t="n">
        <f aca="false">AL5471*$M5471</f>
        <v>0</v>
      </c>
      <c r="AN5471" s="28"/>
      <c r="AO5471" s="28" t="n">
        <f aca="false">AN5471*$M5471</f>
        <v>0</v>
      </c>
      <c r="AP5471" s="28"/>
      <c r="AQ5471" s="28" t="n">
        <f aca="false">AP5471*$M5471</f>
        <v>0</v>
      </c>
      <c r="AR5471" s="28"/>
      <c r="AS5471" s="28" t="n">
        <f aca="false">AR5471*$M5471</f>
        <v>0</v>
      </c>
      <c r="AT5471" s="28"/>
      <c r="AU5471" s="28" t="n">
        <f aca="false">AT5471*$M5471</f>
        <v>0</v>
      </c>
      <c r="AV5471" s="28"/>
      <c r="AW5471" s="28" t="n">
        <f aca="false">AV5471*$M5471</f>
        <v>0</v>
      </c>
      <c r="AX5471" s="28"/>
      <c r="AY5471" s="28" t="n">
        <f aca="false">AX5471*$M5471</f>
        <v>0</v>
      </c>
      <c r="AZ5471" s="30" t="n">
        <f aca="false">17923/100</f>
        <v>179.23</v>
      </c>
      <c r="BA5471" s="11" t="n">
        <v>4481</v>
      </c>
      <c r="BB5471" s="31" t="n">
        <f aca="false">SUM(Q5471,S5471,U5471,W5471,Y5471,AA5471,AC5471,AE5471,AG5471,AI5471,AK5471,AM5471,AO5471,AQ5471,AS5471,AU5471,AW5471,AY5471)</f>
        <v>4481</v>
      </c>
      <c r="BC5471" s="28" t="n">
        <f aca="false">BA5471-BB5471</f>
        <v>0</v>
      </c>
      <c r="BD5471" s="32" t="n">
        <f aca="false">SUM(P5471,R5471,T5471,V5471,X5471,Z5471,AB5471,AD5471,AF5471,AH5471,AJ5471,AL5471,AN5471,AP5471,AR5471,AT5471,AV5471,AX5471)</f>
        <v>179.23</v>
      </c>
      <c r="BE5471" s="33" t="n">
        <f aca="false">AZ5471-BD5471</f>
        <v>0</v>
      </c>
      <c r="BF5471" s="34" t="n">
        <f aca="false">BD5471*M5471</f>
        <v>4480.75</v>
      </c>
      <c r="BG5471" s="35" t="n">
        <f aca="false">BA5471-BF5471</f>
        <v>0.25</v>
      </c>
      <c r="BH5471" s="19" t="str">
        <f aca="false">IF(BG5471=0,"",IF(BG5471&lt;&gt;BA5471,"erreur de calcul",IF(BD5471&lt;&gt;0,"pas de prix",IF(M5471&lt;&gt; 0,"pas de quantité","pas de prix, ni de quantité"))))</f>
        <v>erreur de calcul</v>
      </c>
      <c r="BI5471" s="19"/>
    </row>
    <row r="5472" customFormat="false" ht="15" hidden="false" customHeight="false" outlineLevel="0" collapsed="false">
      <c r="A5472" s="0" t="n">
        <v>41</v>
      </c>
      <c r="B5472" s="8" t="s">
        <v>24</v>
      </c>
      <c r="C5472" s="9" t="s">
        <v>25</v>
      </c>
      <c r="D5472" s="9" t="s">
        <v>26</v>
      </c>
      <c r="E5472" s="10" t="n">
        <v>1789</v>
      </c>
      <c r="F5472" s="9" t="s">
        <v>27</v>
      </c>
      <c r="G5472" s="9" t="s">
        <v>27</v>
      </c>
      <c r="H5472" s="11" t="n">
        <v>23</v>
      </c>
      <c r="I5472" s="11" t="s">
        <v>284</v>
      </c>
      <c r="J5472" s="14" t="n">
        <v>17</v>
      </c>
      <c r="K5472" s="14"/>
      <c r="L5472" s="16"/>
      <c r="M5472" s="27" t="n">
        <f aca="false">J5472+(K5472/20)+(L5472/240)</f>
        <v>17</v>
      </c>
      <c r="N5472" s="17" t="s">
        <v>64</v>
      </c>
      <c r="O5472" s="11"/>
      <c r="P5472" s="28" t="n">
        <f aca="false">56873/100</f>
        <v>568.73</v>
      </c>
      <c r="Q5472" s="36" t="n">
        <v>3981</v>
      </c>
      <c r="R5472" s="28"/>
      <c r="S5472" s="28" t="n">
        <f aca="false">R5472*$M5472</f>
        <v>0</v>
      </c>
      <c r="T5472" s="28"/>
      <c r="U5472" s="28" t="n">
        <f aca="false">T5472*$M5472</f>
        <v>0</v>
      </c>
      <c r="V5472" s="28"/>
      <c r="W5472" s="28" t="n">
        <f aca="false">V5472*$M5472</f>
        <v>0</v>
      </c>
      <c r="X5472" s="28"/>
      <c r="Y5472" s="28" t="n">
        <f aca="false">X5472*$M5472</f>
        <v>0</v>
      </c>
      <c r="Z5472" s="28"/>
      <c r="AA5472" s="28" t="n">
        <f aca="false">Z5472*$M5472</f>
        <v>0</v>
      </c>
      <c r="AB5472" s="28"/>
      <c r="AC5472" s="28" t="n">
        <f aca="false">AB5472*$M5472</f>
        <v>0</v>
      </c>
      <c r="AD5472" s="28"/>
      <c r="AE5472" s="28" t="n">
        <f aca="false">AD5472*$M5472</f>
        <v>0</v>
      </c>
      <c r="AF5472" s="28"/>
      <c r="AG5472" s="28" t="n">
        <f aca="false">AF5472*$M5472</f>
        <v>0</v>
      </c>
      <c r="AH5472" s="28"/>
      <c r="AI5472" s="28" t="n">
        <f aca="false">AH5472*$M5472</f>
        <v>0</v>
      </c>
      <c r="AJ5472" s="28" t="n">
        <f aca="false">19651/100</f>
        <v>196.51</v>
      </c>
      <c r="AK5472" s="28" t="n">
        <v>3341</v>
      </c>
      <c r="AL5472" s="28"/>
      <c r="AM5472" s="28" t="n">
        <f aca="false">AL5472*$M5472</f>
        <v>0</v>
      </c>
      <c r="AN5472" s="28"/>
      <c r="AO5472" s="28" t="n">
        <f aca="false">AN5472*$M5472</f>
        <v>0</v>
      </c>
      <c r="AP5472" s="28"/>
      <c r="AQ5472" s="28" t="n">
        <f aca="false">AP5472*$M5472</f>
        <v>0</v>
      </c>
      <c r="AR5472" s="28"/>
      <c r="AS5472" s="28" t="n">
        <f aca="false">AR5472*$M5472</f>
        <v>0</v>
      </c>
      <c r="AT5472" s="28"/>
      <c r="AU5472" s="28" t="n">
        <f aca="false">AT5472*$M5472</f>
        <v>0</v>
      </c>
      <c r="AV5472" s="28"/>
      <c r="AW5472" s="28" t="n">
        <f aca="false">AV5472*$M5472</f>
        <v>0</v>
      </c>
      <c r="AX5472" s="28"/>
      <c r="AY5472" s="28" t="n">
        <f aca="false">AX5472*$M5472</f>
        <v>0</v>
      </c>
      <c r="AZ5472" s="30" t="n">
        <f aca="false">76524/100</f>
        <v>765.24</v>
      </c>
      <c r="BA5472" s="11" t="n">
        <v>7322</v>
      </c>
      <c r="BB5472" s="31" t="n">
        <f aca="false">SUM(Q5472,S5472,U5472,W5472,Y5472,AA5472,AC5472,AE5472,AG5472,AI5472,AK5472,AM5472,AO5472,AQ5472,AS5472,AU5472,AW5472,AY5472)</f>
        <v>7322</v>
      </c>
      <c r="BC5472" s="28" t="n">
        <f aca="false">BA5472-BB5472</f>
        <v>0</v>
      </c>
      <c r="BD5472" s="32" t="n">
        <f aca="false">SUM(P5472,R5472,T5472,V5472,X5472,Z5472,AB5472,AD5472,AF5472,AH5472,AJ5472,AL5472,AN5472,AP5472,AR5472,AT5472,AV5472,AX5472)</f>
        <v>765.24</v>
      </c>
      <c r="BE5472" s="33" t="n">
        <f aca="false">AZ5472-BD5472</f>
        <v>0</v>
      </c>
      <c r="BF5472" s="34" t="n">
        <f aca="false">BD5472*M5472</f>
        <v>13009.08</v>
      </c>
      <c r="BG5472" s="35" t="n">
        <f aca="false">BA5472-BF5472</f>
        <v>-5687.08</v>
      </c>
      <c r="BH5472" s="19" t="str">
        <f aca="false">IF(BG5472=0,"",IF(BG5472&lt;&gt;BA5472,"erreur de calcul",IF(BD5472&lt;&gt;0,"pas de prix",IF(M5472&lt;&gt; 0,"pas de quantité","pas de prix, ni de quantité"))))</f>
        <v>erreur de calcul</v>
      </c>
      <c r="BI5472" s="19"/>
    </row>
    <row r="5473" customFormat="false" ht="15" hidden="false" customHeight="false" outlineLevel="0" collapsed="false">
      <c r="A5473" s="0" t="n">
        <v>42</v>
      </c>
      <c r="B5473" s="8" t="s">
        <v>24</v>
      </c>
      <c r="C5473" s="9" t="s">
        <v>25</v>
      </c>
      <c r="D5473" s="9" t="s">
        <v>26</v>
      </c>
      <c r="E5473" s="10" t="n">
        <v>1789</v>
      </c>
      <c r="F5473" s="9" t="s">
        <v>27</v>
      </c>
      <c r="G5473" s="9" t="s">
        <v>27</v>
      </c>
      <c r="H5473" s="11" t="n">
        <v>23</v>
      </c>
      <c r="I5473" s="11" t="s">
        <v>285</v>
      </c>
      <c r="J5473" s="14" t="n">
        <v>15</v>
      </c>
      <c r="K5473" s="14"/>
      <c r="L5473" s="16"/>
      <c r="M5473" s="27" t="n">
        <f aca="false">J5473+(K5473/20)+(L5473/240)</f>
        <v>15</v>
      </c>
      <c r="N5473" s="17" t="s">
        <v>64</v>
      </c>
      <c r="O5473" s="11"/>
      <c r="P5473" s="28" t="n">
        <f aca="false">10520/100</f>
        <v>105.2</v>
      </c>
      <c r="Q5473" s="28" t="n">
        <v>1578</v>
      </c>
      <c r="R5473" s="28"/>
      <c r="S5473" s="28" t="n">
        <f aca="false">R5473*$M5473</f>
        <v>0</v>
      </c>
      <c r="T5473" s="28"/>
      <c r="U5473" s="28" t="n">
        <f aca="false">T5473*$M5473</f>
        <v>0</v>
      </c>
      <c r="V5473" s="28"/>
      <c r="W5473" s="28" t="n">
        <f aca="false">V5473*$M5473</f>
        <v>0</v>
      </c>
      <c r="X5473" s="28" t="n">
        <f aca="false">39052/100</f>
        <v>390.52</v>
      </c>
      <c r="Y5473" s="28" t="n">
        <v>5858</v>
      </c>
      <c r="Z5473" s="28"/>
      <c r="AA5473" s="28" t="n">
        <f aca="false">Z5473*$M5473</f>
        <v>0</v>
      </c>
      <c r="AB5473" s="28" t="n">
        <f aca="false">101189/100</f>
        <v>1011.89</v>
      </c>
      <c r="AC5473" s="28" t="n">
        <v>15178</v>
      </c>
      <c r="AD5473" s="28"/>
      <c r="AE5473" s="28" t="n">
        <f aca="false">AD5473*$M5473</f>
        <v>0</v>
      </c>
      <c r="AF5473" s="28" t="n">
        <f aca="false">48408/100</f>
        <v>484.08</v>
      </c>
      <c r="AG5473" s="28" t="n">
        <v>7261</v>
      </c>
      <c r="AH5473" s="28" t="n">
        <f aca="false">17847/100</f>
        <v>178.47</v>
      </c>
      <c r="AI5473" s="28" t="n">
        <v>2677</v>
      </c>
      <c r="AJ5473" s="28"/>
      <c r="AK5473" s="28" t="n">
        <f aca="false">AJ5473*$M5473</f>
        <v>0</v>
      </c>
      <c r="AL5473" s="28"/>
      <c r="AM5473" s="28" t="n">
        <f aca="false">AL5473*$M5473</f>
        <v>0</v>
      </c>
      <c r="AN5473" s="28"/>
      <c r="AO5473" s="28" t="n">
        <f aca="false">AN5473*$M5473</f>
        <v>0</v>
      </c>
      <c r="AP5473" s="28"/>
      <c r="AQ5473" s="28" t="n">
        <f aca="false">AP5473*$M5473</f>
        <v>0</v>
      </c>
      <c r="AR5473" s="28"/>
      <c r="AS5473" s="28" t="n">
        <f aca="false">AR5473*$M5473</f>
        <v>0</v>
      </c>
      <c r="AT5473" s="28"/>
      <c r="AU5473" s="28" t="n">
        <f aca="false">AT5473*$M5473</f>
        <v>0</v>
      </c>
      <c r="AV5473" s="28"/>
      <c r="AW5473" s="28" t="n">
        <f aca="false">AV5473*$M5473</f>
        <v>0</v>
      </c>
      <c r="AX5473" s="28"/>
      <c r="AY5473" s="28" t="n">
        <f aca="false">AX5473*$M5473</f>
        <v>0</v>
      </c>
      <c r="AZ5473" s="30" t="n">
        <f aca="false">217016/100</f>
        <v>2170.16</v>
      </c>
      <c r="BA5473" s="11" t="n">
        <v>32552</v>
      </c>
      <c r="BB5473" s="31" t="n">
        <f aca="false">SUM(Q5473,S5473,U5473,W5473,Y5473,AA5473,AC5473,AE5473,AG5473,AI5473,AK5473,AM5473,AO5473,AQ5473,AS5473,AU5473,AW5473,AY5473)</f>
        <v>32552</v>
      </c>
      <c r="BC5473" s="28" t="n">
        <f aca="false">BA5473-BB5473</f>
        <v>0</v>
      </c>
      <c r="BD5473" s="32" t="n">
        <f aca="false">SUM(P5473,R5473,T5473,V5473,X5473,Z5473,AB5473,AD5473,AF5473,AH5473,AJ5473,AL5473,AN5473,AP5473,AR5473,AT5473,AV5473,AX5473)</f>
        <v>2170.16</v>
      </c>
      <c r="BE5473" s="33" t="n">
        <f aca="false">AZ5473-BD5473</f>
        <v>0</v>
      </c>
      <c r="BF5473" s="34" t="n">
        <f aca="false">BD5473*M5473</f>
        <v>32552.4</v>
      </c>
      <c r="BG5473" s="35" t="n">
        <f aca="false">BA5473-BF5473</f>
        <v>-0.399999999997817</v>
      </c>
      <c r="BH5473" s="19" t="str">
        <f aca="false">IF(BG5473=0,"",IF(BG5473&lt;&gt;BA5473,"erreur de calcul",IF(BD5473&lt;&gt;0,"pas de prix",IF(M5473&lt;&gt; 0,"pas de quantité","pas de prix, ni de quantité"))))</f>
        <v>erreur de calcul</v>
      </c>
      <c r="BI5473" s="19"/>
    </row>
    <row r="5474" customFormat="false" ht="15" hidden="false" customHeight="false" outlineLevel="0" collapsed="false">
      <c r="A5474" s="0" t="n">
        <v>43</v>
      </c>
      <c r="B5474" s="8" t="s">
        <v>24</v>
      </c>
      <c r="C5474" s="9" t="s">
        <v>25</v>
      </c>
      <c r="D5474" s="9" t="s">
        <v>26</v>
      </c>
      <c r="E5474" s="10" t="n">
        <v>1789</v>
      </c>
      <c r="F5474" s="9" t="s">
        <v>27</v>
      </c>
      <c r="G5474" s="9" t="s">
        <v>27</v>
      </c>
      <c r="H5474" s="11" t="n">
        <v>23</v>
      </c>
      <c r="I5474" s="11" t="s">
        <v>286</v>
      </c>
      <c r="J5474" s="14" t="n">
        <v>20</v>
      </c>
      <c r="K5474" s="14"/>
      <c r="L5474" s="16"/>
      <c r="M5474" s="27" t="n">
        <f aca="false">J5474+(K5474/20)+(L5474/240)</f>
        <v>20</v>
      </c>
      <c r="N5474" s="17" t="s">
        <v>64</v>
      </c>
      <c r="O5474" s="11"/>
      <c r="P5474" s="28"/>
      <c r="Q5474" s="28" t="n">
        <f aca="false">P5474*$M5474</f>
        <v>0</v>
      </c>
      <c r="R5474" s="28"/>
      <c r="S5474" s="28" t="n">
        <f aca="false">R5474*$M5474</f>
        <v>0</v>
      </c>
      <c r="T5474" s="28"/>
      <c r="U5474" s="28" t="n">
        <f aca="false">T5474*$M5474</f>
        <v>0</v>
      </c>
      <c r="V5474" s="28"/>
      <c r="W5474" s="28" t="n">
        <f aca="false">V5474*$M5474</f>
        <v>0</v>
      </c>
      <c r="X5474" s="28"/>
      <c r="Y5474" s="28" t="n">
        <f aca="false">X5474*$M5474</f>
        <v>0</v>
      </c>
      <c r="Z5474" s="28"/>
      <c r="AA5474" s="28" t="n">
        <f aca="false">Z5474*$M5474</f>
        <v>0</v>
      </c>
      <c r="AB5474" s="28" t="n">
        <f aca="false">8852/100</f>
        <v>88.52</v>
      </c>
      <c r="AC5474" s="28" t="n">
        <v>1770</v>
      </c>
      <c r="AD5474" s="28"/>
      <c r="AE5474" s="28" t="n">
        <f aca="false">AD5474*$M5474</f>
        <v>0</v>
      </c>
      <c r="AF5474" s="28"/>
      <c r="AG5474" s="28" t="n">
        <f aca="false">AF5474*$M5474</f>
        <v>0</v>
      </c>
      <c r="AH5474" s="28"/>
      <c r="AI5474" s="28" t="n">
        <f aca="false">AH5474*$M5474</f>
        <v>0</v>
      </c>
      <c r="AJ5474" s="28"/>
      <c r="AK5474" s="28" t="n">
        <f aca="false">AJ5474*$M5474</f>
        <v>0</v>
      </c>
      <c r="AL5474" s="28"/>
      <c r="AM5474" s="28" t="n">
        <f aca="false">AL5474*$M5474</f>
        <v>0</v>
      </c>
      <c r="AN5474" s="28"/>
      <c r="AO5474" s="28" t="n">
        <f aca="false">AN5474*$M5474</f>
        <v>0</v>
      </c>
      <c r="AP5474" s="28"/>
      <c r="AQ5474" s="28" t="n">
        <f aca="false">AP5474*$M5474</f>
        <v>0</v>
      </c>
      <c r="AR5474" s="28"/>
      <c r="AS5474" s="28" t="n">
        <f aca="false">AR5474*$M5474</f>
        <v>0</v>
      </c>
      <c r="AT5474" s="28"/>
      <c r="AU5474" s="28" t="n">
        <f aca="false">AT5474*$M5474</f>
        <v>0</v>
      </c>
      <c r="AV5474" s="28"/>
      <c r="AW5474" s="28" t="n">
        <f aca="false">AV5474*$M5474</f>
        <v>0</v>
      </c>
      <c r="AX5474" s="28"/>
      <c r="AY5474" s="28" t="n">
        <f aca="false">AX5474*$M5474</f>
        <v>0</v>
      </c>
      <c r="AZ5474" s="30" t="n">
        <f aca="false">8852/100</f>
        <v>88.52</v>
      </c>
      <c r="BA5474" s="11" t="n">
        <v>1770</v>
      </c>
      <c r="BB5474" s="31" t="n">
        <f aca="false">SUM(Q5474,S5474,U5474,W5474,Y5474,AA5474,AC5474,AE5474,AG5474,AI5474,AK5474,AM5474,AO5474,AQ5474,AS5474,AU5474,AW5474,AY5474)</f>
        <v>1770</v>
      </c>
      <c r="BC5474" s="28" t="n">
        <f aca="false">BA5474-BB5474</f>
        <v>0</v>
      </c>
      <c r="BD5474" s="32" t="n">
        <f aca="false">SUM(P5474,R5474,T5474,V5474,X5474,Z5474,AB5474,AD5474,AF5474,AH5474,AJ5474,AL5474,AN5474,AP5474,AR5474,AT5474,AV5474,AX5474)</f>
        <v>88.52</v>
      </c>
      <c r="BE5474" s="33" t="n">
        <f aca="false">AZ5474-BD5474</f>
        <v>0</v>
      </c>
      <c r="BF5474" s="34" t="n">
        <f aca="false">BD5474*M5474</f>
        <v>1770.4</v>
      </c>
      <c r="BG5474" s="35" t="n">
        <f aca="false">BA5474-BF5474</f>
        <v>-0.399999999999864</v>
      </c>
      <c r="BH5474" s="19" t="str">
        <f aca="false">IF(BG5474=0,"",IF(BG5474&lt;&gt;BA5474,"erreur de calcul",IF(BD5474&lt;&gt;0,"pas de prix",IF(M5474&lt;&gt; 0,"pas de quantité","pas de prix, ni de quantité"))))</f>
        <v>erreur de calcul</v>
      </c>
      <c r="BI5474" s="19"/>
    </row>
    <row r="5475" customFormat="false" ht="15" hidden="false" customHeight="false" outlineLevel="0" collapsed="false">
      <c r="A5475" s="0" t="n">
        <v>44</v>
      </c>
      <c r="B5475" s="8" t="s">
        <v>24</v>
      </c>
      <c r="C5475" s="9" t="s">
        <v>25</v>
      </c>
      <c r="D5475" s="9" t="s">
        <v>26</v>
      </c>
      <c r="E5475" s="10" t="n">
        <v>1789</v>
      </c>
      <c r="F5475" s="9" t="s">
        <v>27</v>
      </c>
      <c r="G5475" s="9" t="s">
        <v>27</v>
      </c>
      <c r="H5475" s="11" t="n">
        <v>23</v>
      </c>
      <c r="I5475" s="11" t="s">
        <v>287</v>
      </c>
      <c r="J5475" s="14" t="n">
        <v>25</v>
      </c>
      <c r="K5475" s="14"/>
      <c r="L5475" s="16"/>
      <c r="M5475" s="27" t="n">
        <f aca="false">J5475+(K5475/20)+(L5475/240)</f>
        <v>25</v>
      </c>
      <c r="N5475" s="17" t="s">
        <v>64</v>
      </c>
      <c r="O5475" s="11" t="s">
        <v>77</v>
      </c>
      <c r="P5475" s="28" t="n">
        <f aca="false">13782/100</f>
        <v>137.82</v>
      </c>
      <c r="Q5475" s="28" t="n">
        <v>3445</v>
      </c>
      <c r="R5475" s="28"/>
      <c r="S5475" s="28" t="n">
        <f aca="false">R5475*$M5475</f>
        <v>0</v>
      </c>
      <c r="T5475" s="28"/>
      <c r="U5475" s="28" t="n">
        <f aca="false">T5475*$M5475</f>
        <v>0</v>
      </c>
      <c r="V5475" s="28" t="n">
        <f aca="false">4293/100</f>
        <v>42.93</v>
      </c>
      <c r="W5475" s="28" t="n">
        <v>1073</v>
      </c>
      <c r="X5475" s="28"/>
      <c r="Y5475" s="28" t="n">
        <f aca="false">X5475*$M5475</f>
        <v>0</v>
      </c>
      <c r="Z5475" s="28"/>
      <c r="AA5475" s="28" t="n">
        <f aca="false">Z5475*$M5475</f>
        <v>0</v>
      </c>
      <c r="AB5475" s="28"/>
      <c r="AC5475" s="28" t="n">
        <f aca="false">AB5475*$M5475</f>
        <v>0</v>
      </c>
      <c r="AD5475" s="28"/>
      <c r="AE5475" s="28" t="n">
        <f aca="false">AD5475*$M5475</f>
        <v>0</v>
      </c>
      <c r="AF5475" s="28"/>
      <c r="AG5475" s="28" t="n">
        <f aca="false">AF5475*$M5475</f>
        <v>0</v>
      </c>
      <c r="AH5475" s="28"/>
      <c r="AI5475" s="28" t="n">
        <f aca="false">AH5475*$M5475</f>
        <v>0</v>
      </c>
      <c r="AJ5475" s="28"/>
      <c r="AK5475" s="28" t="n">
        <f aca="false">AJ5475*$M5475</f>
        <v>0</v>
      </c>
      <c r="AL5475" s="28"/>
      <c r="AM5475" s="28" t="n">
        <f aca="false">AL5475*$M5475</f>
        <v>0</v>
      </c>
      <c r="AN5475" s="28"/>
      <c r="AO5475" s="28" t="n">
        <f aca="false">AN5475*$M5475</f>
        <v>0</v>
      </c>
      <c r="AP5475" s="28"/>
      <c r="AQ5475" s="28" t="n">
        <f aca="false">AP5475*$M5475</f>
        <v>0</v>
      </c>
      <c r="AR5475" s="28"/>
      <c r="AS5475" s="28" t="n">
        <f aca="false">AR5475*$M5475</f>
        <v>0</v>
      </c>
      <c r="AT5475" s="28"/>
      <c r="AU5475" s="28" t="n">
        <f aca="false">AT5475*$M5475</f>
        <v>0</v>
      </c>
      <c r="AV5475" s="28"/>
      <c r="AW5475" s="28" t="n">
        <f aca="false">AV5475*$M5475</f>
        <v>0</v>
      </c>
      <c r="AX5475" s="28"/>
      <c r="AY5475" s="28" t="n">
        <f aca="false">AX5475*$M5475</f>
        <v>0</v>
      </c>
      <c r="AZ5475" s="30" t="n">
        <f aca="false">18075/100</f>
        <v>180.75</v>
      </c>
      <c r="BA5475" s="11" t="n">
        <v>4518</v>
      </c>
      <c r="BB5475" s="31" t="n">
        <f aca="false">SUM(Q5475,S5475,U5475,W5475,Y5475,AA5475,AC5475,AE5475,AG5475,AI5475,AK5475,AM5475,AO5475,AQ5475,AS5475,AU5475,AW5475,AY5475)</f>
        <v>4518</v>
      </c>
      <c r="BC5475" s="28" t="n">
        <f aca="false">BA5475-BB5475</f>
        <v>0</v>
      </c>
      <c r="BD5475" s="32" t="n">
        <f aca="false">SUM(P5475,R5475,T5475,V5475,X5475,Z5475,AB5475,AD5475,AF5475,AH5475,AJ5475,AL5475,AN5475,AP5475,AR5475,AT5475,AV5475,AX5475)</f>
        <v>180.75</v>
      </c>
      <c r="BE5475" s="33" t="n">
        <f aca="false">AZ5475-BD5475</f>
        <v>0</v>
      </c>
      <c r="BF5475" s="34" t="n">
        <f aca="false">BD5475*M5475</f>
        <v>4518.75</v>
      </c>
      <c r="BG5475" s="35" t="n">
        <f aca="false">BA5475-BF5475</f>
        <v>-0.75</v>
      </c>
      <c r="BH5475" s="19" t="str">
        <f aca="false">IF(BG5475=0,"",IF(BG5475&lt;&gt;BA5475,"erreur de calcul",IF(BD5475&lt;&gt;0,"pas de prix",IF(M5475&lt;&gt; 0,"pas de quantité","pas de prix, ni de quantité"))))</f>
        <v>erreur de calcul</v>
      </c>
      <c r="BI5475" s="19"/>
    </row>
    <row r="5476" customFormat="false" ht="15" hidden="false" customHeight="false" outlineLevel="0" collapsed="false">
      <c r="A5476" s="0" t="n">
        <v>1</v>
      </c>
      <c r="B5476" s="8" t="s">
        <v>24</v>
      </c>
      <c r="C5476" s="9" t="s">
        <v>25</v>
      </c>
      <c r="D5476" s="9" t="s">
        <v>26</v>
      </c>
      <c r="E5476" s="10" t="n">
        <v>1789</v>
      </c>
      <c r="F5476" s="9" t="s">
        <v>27</v>
      </c>
      <c r="G5476" s="9" t="s">
        <v>27</v>
      </c>
      <c r="H5476" s="11" t="n">
        <v>24</v>
      </c>
      <c r="I5476" s="11" t="s">
        <v>288</v>
      </c>
      <c r="J5476" s="14" t="n">
        <v>250</v>
      </c>
      <c r="K5476" s="14"/>
      <c r="L5476" s="16"/>
      <c r="M5476" s="27" t="n">
        <f aca="false">J5476+(K5476/20)+(L5476/240)</f>
        <v>250</v>
      </c>
      <c r="N5476" s="17" t="s">
        <v>64</v>
      </c>
      <c r="O5476" s="11"/>
      <c r="P5476" s="28"/>
      <c r="Q5476" s="28" t="n">
        <f aca="false">P5476*$M5476</f>
        <v>0</v>
      </c>
      <c r="R5476" s="28"/>
      <c r="S5476" s="28" t="n">
        <f aca="false">R5476*$M5476</f>
        <v>0</v>
      </c>
      <c r="T5476" s="28"/>
      <c r="U5476" s="28" t="n">
        <f aca="false">T5476*$M5476</f>
        <v>0</v>
      </c>
      <c r="V5476" s="28"/>
      <c r="W5476" s="28" t="n">
        <f aca="false">V5476*$M5476</f>
        <v>0</v>
      </c>
      <c r="X5476" s="28"/>
      <c r="Y5476" s="28" t="n">
        <f aca="false">X5476*$M5476</f>
        <v>0</v>
      </c>
      <c r="Z5476" s="28"/>
      <c r="AA5476" s="28" t="n">
        <f aca="false">Z5476*$M5476</f>
        <v>0</v>
      </c>
      <c r="AB5476" s="28"/>
      <c r="AC5476" s="28" t="n">
        <f aca="false">AB5476*$M5476</f>
        <v>0</v>
      </c>
      <c r="AD5476" s="28"/>
      <c r="AE5476" s="28" t="n">
        <f aca="false">AD5476*$M5476</f>
        <v>0</v>
      </c>
      <c r="AF5476" s="28"/>
      <c r="AG5476" s="28" t="n">
        <f aca="false">AF5476*$M5476</f>
        <v>0</v>
      </c>
      <c r="AH5476" s="28" t="n">
        <f aca="false">5374/100</f>
        <v>53.74</v>
      </c>
      <c r="AI5476" s="28" t="n">
        <v>13435</v>
      </c>
      <c r="AJ5476" s="28"/>
      <c r="AK5476" s="28" t="n">
        <f aca="false">AJ5476*$M5476</f>
        <v>0</v>
      </c>
      <c r="AL5476" s="28"/>
      <c r="AM5476" s="28" t="n">
        <f aca="false">AL5476*$M5476</f>
        <v>0</v>
      </c>
      <c r="AN5476" s="28"/>
      <c r="AO5476" s="28" t="n">
        <f aca="false">AN5476*$M5476</f>
        <v>0</v>
      </c>
      <c r="AP5476" s="28"/>
      <c r="AQ5476" s="28" t="n">
        <f aca="false">AP5476*$M5476</f>
        <v>0</v>
      </c>
      <c r="AR5476" s="28"/>
      <c r="AS5476" s="28" t="n">
        <f aca="false">AR5476*$M5476</f>
        <v>0</v>
      </c>
      <c r="AT5476" s="28"/>
      <c r="AU5476" s="28" t="n">
        <f aca="false">AT5476*$M5476</f>
        <v>0</v>
      </c>
      <c r="AV5476" s="28"/>
      <c r="AW5476" s="28" t="n">
        <f aca="false">AV5476*$M5476</f>
        <v>0</v>
      </c>
      <c r="AX5476" s="28"/>
      <c r="AY5476" s="28" t="n">
        <f aca="false">AX5476*$M5476</f>
        <v>0</v>
      </c>
      <c r="AZ5476" s="30" t="n">
        <f aca="false">5374/100</f>
        <v>53.74</v>
      </c>
      <c r="BA5476" s="11" t="n">
        <v>13435</v>
      </c>
      <c r="BB5476" s="31" t="n">
        <f aca="false">SUM(Q5476,S5476,U5476,W5476,Y5476,AA5476,AC5476,AE5476,AG5476,AI5476,AK5476,AM5476,AO5476,AQ5476,AS5476,AU5476,AW5476,AY5476)</f>
        <v>13435</v>
      </c>
      <c r="BC5476" s="28" t="n">
        <f aca="false">BA5476-BB5476</f>
        <v>0</v>
      </c>
      <c r="BD5476" s="32" t="n">
        <f aca="false">SUM(P5476,R5476,T5476,V5476,X5476,Z5476,AB5476,AD5476,AF5476,AH5476,AJ5476,AL5476,AN5476,AP5476,AR5476,AT5476,AV5476,AX5476)</f>
        <v>53.74</v>
      </c>
      <c r="BE5476" s="33" t="n">
        <f aca="false">AZ5476-BD5476</f>
        <v>0</v>
      </c>
      <c r="BF5476" s="34" t="n">
        <f aca="false">BD5476*M5476</f>
        <v>13435</v>
      </c>
      <c r="BG5476" s="35" t="n">
        <f aca="false">BA5476-BF5476</f>
        <v>0</v>
      </c>
      <c r="BH5476" s="19" t="str">
        <f aca="false">IF(BG5476=0,"",IF(BG5476&lt;&gt;BA5476,"erreur de calcul",IF(BD5476&lt;&gt;0,"pas de prix",IF(M5476&lt;&gt; 0,"pas de quantité","pas de prix, ni de quantité"))))</f>
        <v/>
      </c>
      <c r="BI5476" s="19"/>
    </row>
    <row r="5477" customFormat="false" ht="15" hidden="false" customHeight="false" outlineLevel="0" collapsed="false">
      <c r="A5477" s="0" t="n">
        <v>2</v>
      </c>
      <c r="B5477" s="8" t="s">
        <v>24</v>
      </c>
      <c r="C5477" s="9" t="s">
        <v>25</v>
      </c>
      <c r="D5477" s="9" t="s">
        <v>26</v>
      </c>
      <c r="E5477" s="10" t="n">
        <v>1789</v>
      </c>
      <c r="F5477" s="9" t="s">
        <v>27</v>
      </c>
      <c r="G5477" s="9" t="s">
        <v>27</v>
      </c>
      <c r="H5477" s="11" t="n">
        <v>24</v>
      </c>
      <c r="I5477" s="11" t="s">
        <v>289</v>
      </c>
      <c r="J5477" s="14" t="n">
        <v>3</v>
      </c>
      <c r="K5477" s="14"/>
      <c r="L5477" s="16"/>
      <c r="M5477" s="27" t="n">
        <f aca="false">J5477+(K5477/20)+(L5477/240)</f>
        <v>3</v>
      </c>
      <c r="N5477" s="17" t="s">
        <v>66</v>
      </c>
      <c r="O5477" s="11"/>
      <c r="P5477" s="28"/>
      <c r="Q5477" s="28" t="n">
        <f aca="false">P5477*$M5477</f>
        <v>0</v>
      </c>
      <c r="R5477" s="28"/>
      <c r="S5477" s="28" t="n">
        <f aca="false">R5477*$M5477</f>
        <v>0</v>
      </c>
      <c r="T5477" s="28"/>
      <c r="U5477" s="28" t="n">
        <f aca="false">T5477*$M5477</f>
        <v>0</v>
      </c>
      <c r="V5477" s="28"/>
      <c r="W5477" s="28" t="n">
        <f aca="false">V5477*$M5477</f>
        <v>0</v>
      </c>
      <c r="X5477" s="28"/>
      <c r="Y5477" s="28" t="n">
        <f aca="false">X5477*$M5477</f>
        <v>0</v>
      </c>
      <c r="Z5477" s="28"/>
      <c r="AA5477" s="28" t="n">
        <f aca="false">Z5477*$M5477</f>
        <v>0</v>
      </c>
      <c r="AB5477" s="28"/>
      <c r="AC5477" s="28" t="n">
        <f aca="false">AB5477*$M5477</f>
        <v>0</v>
      </c>
      <c r="AD5477" s="28"/>
      <c r="AE5477" s="28" t="n">
        <f aca="false">AD5477*$M5477</f>
        <v>0</v>
      </c>
      <c r="AF5477" s="28"/>
      <c r="AG5477" s="28" t="n">
        <f aca="false">AF5477*$M5477</f>
        <v>0</v>
      </c>
      <c r="AH5477" s="28" t="n">
        <v>261</v>
      </c>
      <c r="AI5477" s="28" t="n">
        <v>783</v>
      </c>
      <c r="AJ5477" s="28"/>
      <c r="AK5477" s="28" t="n">
        <f aca="false">AJ5477*$M5477</f>
        <v>0</v>
      </c>
      <c r="AL5477" s="28"/>
      <c r="AM5477" s="28" t="n">
        <f aca="false">AL5477*$M5477</f>
        <v>0</v>
      </c>
      <c r="AN5477" s="28"/>
      <c r="AO5477" s="28" t="n">
        <f aca="false">AN5477*$M5477</f>
        <v>0</v>
      </c>
      <c r="AP5477" s="28"/>
      <c r="AQ5477" s="28" t="n">
        <f aca="false">AP5477*$M5477</f>
        <v>0</v>
      </c>
      <c r="AR5477" s="28"/>
      <c r="AS5477" s="28" t="n">
        <f aca="false">AR5477*$M5477</f>
        <v>0</v>
      </c>
      <c r="AT5477" s="28"/>
      <c r="AU5477" s="28" t="n">
        <f aca="false">AT5477*$M5477</f>
        <v>0</v>
      </c>
      <c r="AV5477" s="28"/>
      <c r="AW5477" s="28" t="n">
        <f aca="false">AV5477*$M5477</f>
        <v>0</v>
      </c>
      <c r="AX5477" s="28"/>
      <c r="AY5477" s="28" t="n">
        <f aca="false">AX5477*$M5477</f>
        <v>0</v>
      </c>
      <c r="AZ5477" s="30" t="n">
        <v>261</v>
      </c>
      <c r="BA5477" s="11" t="n">
        <v>783</v>
      </c>
      <c r="BB5477" s="31" t="n">
        <f aca="false">SUM(Q5477,S5477,U5477,W5477,Y5477,AA5477,AC5477,AE5477,AG5477,AI5477,AK5477,AM5477,AO5477,AQ5477,AS5477,AU5477,AW5477,AY5477)</f>
        <v>783</v>
      </c>
      <c r="BC5477" s="28" t="n">
        <f aca="false">BA5477-BB5477</f>
        <v>0</v>
      </c>
      <c r="BD5477" s="32" t="n">
        <f aca="false">SUM(P5477,R5477,T5477,V5477,X5477,Z5477,AB5477,AD5477,AF5477,AH5477,AJ5477,AL5477,AN5477,AP5477,AR5477,AT5477,AV5477,AX5477)</f>
        <v>261</v>
      </c>
      <c r="BE5477" s="33" t="n">
        <f aca="false">AZ5477-BD5477</f>
        <v>0</v>
      </c>
      <c r="BF5477" s="34" t="n">
        <f aca="false">BD5477*M5477</f>
        <v>783</v>
      </c>
      <c r="BG5477" s="35" t="n">
        <f aca="false">BA5477-BF5477</f>
        <v>0</v>
      </c>
      <c r="BH5477" s="19" t="str">
        <f aca="false">IF(BG5477=0,"",IF(BG5477&lt;&gt;BA5477,"erreur de calcul",IF(BD5477&lt;&gt;0,"pas de prix",IF(M5477&lt;&gt; 0,"pas de quantité","pas de prix, ni de quantité"))))</f>
        <v/>
      </c>
      <c r="BI5477" s="19"/>
    </row>
    <row r="5478" customFormat="false" ht="15" hidden="false" customHeight="false" outlineLevel="0" collapsed="false">
      <c r="A5478" s="0" t="n">
        <v>3</v>
      </c>
      <c r="B5478" s="8" t="s">
        <v>24</v>
      </c>
      <c r="C5478" s="9" t="s">
        <v>25</v>
      </c>
      <c r="D5478" s="9" t="s">
        <v>26</v>
      </c>
      <c r="E5478" s="10" t="n">
        <v>1789</v>
      </c>
      <c r="F5478" s="9" t="s">
        <v>27</v>
      </c>
      <c r="G5478" s="9" t="s">
        <v>27</v>
      </c>
      <c r="H5478" s="11" t="n">
        <v>24</v>
      </c>
      <c r="I5478" s="11" t="s">
        <v>290</v>
      </c>
      <c r="J5478" s="14" t="n">
        <v>5</v>
      </c>
      <c r="K5478" s="14"/>
      <c r="L5478" s="16"/>
      <c r="M5478" s="27" t="n">
        <f aca="false">J5478+(K5478/20)+(L5478/240)</f>
        <v>5</v>
      </c>
      <c r="N5478" s="17" t="s">
        <v>66</v>
      </c>
      <c r="O5478" s="11"/>
      <c r="P5478" s="28"/>
      <c r="Q5478" s="28" t="n">
        <f aca="false">P5478*$M5478</f>
        <v>0</v>
      </c>
      <c r="R5478" s="28"/>
      <c r="S5478" s="28" t="n">
        <f aca="false">R5478*$M5478</f>
        <v>0</v>
      </c>
      <c r="T5478" s="28"/>
      <c r="U5478" s="28" t="n">
        <v>4765</v>
      </c>
      <c r="V5478" s="28"/>
      <c r="W5478" s="28" t="n">
        <f aca="false">V5478*$M5478</f>
        <v>0</v>
      </c>
      <c r="X5478" s="28"/>
      <c r="Y5478" s="28" t="n">
        <f aca="false">X5478*$M5478</f>
        <v>0</v>
      </c>
      <c r="Z5478" s="28"/>
      <c r="AA5478" s="28" t="n">
        <f aca="false">Z5478*$M5478</f>
        <v>0</v>
      </c>
      <c r="AB5478" s="28"/>
      <c r="AC5478" s="28" t="n">
        <f aca="false">AB5478*$M5478</f>
        <v>0</v>
      </c>
      <c r="AD5478" s="28"/>
      <c r="AE5478" s="28" t="n">
        <f aca="false">AD5478*$M5478</f>
        <v>0</v>
      </c>
      <c r="AF5478" s="28"/>
      <c r="AG5478" s="28" t="n">
        <f aca="false">AF5478*$M5478</f>
        <v>0</v>
      </c>
      <c r="AH5478" s="28"/>
      <c r="AI5478" s="28" t="n">
        <f aca="false">AH5478*$M5478</f>
        <v>0</v>
      </c>
      <c r="AJ5478" s="28"/>
      <c r="AK5478" s="28" t="n">
        <f aca="false">AJ5478*$M5478</f>
        <v>0</v>
      </c>
      <c r="AL5478" s="28"/>
      <c r="AM5478" s="28" t="n">
        <f aca="false">AL5478*$M5478</f>
        <v>0</v>
      </c>
      <c r="AN5478" s="28"/>
      <c r="AO5478" s="28" t="n">
        <f aca="false">AN5478*$M5478</f>
        <v>0</v>
      </c>
      <c r="AP5478" s="28"/>
      <c r="AQ5478" s="28" t="n">
        <f aca="false">AP5478*$M5478</f>
        <v>0</v>
      </c>
      <c r="AR5478" s="28"/>
      <c r="AS5478" s="28" t="n">
        <f aca="false">AR5478*$M5478</f>
        <v>0</v>
      </c>
      <c r="AT5478" s="28"/>
      <c r="AU5478" s="28" t="n">
        <f aca="false">AT5478*$M5478</f>
        <v>0</v>
      </c>
      <c r="AV5478" s="28"/>
      <c r="AW5478" s="28" t="n">
        <f aca="false">AV5478*$M5478</f>
        <v>0</v>
      </c>
      <c r="AX5478" s="28"/>
      <c r="AY5478" s="28" t="n">
        <f aca="false">AX5478*$M5478</f>
        <v>0</v>
      </c>
      <c r="AZ5478" s="30"/>
      <c r="BA5478" s="11" t="n">
        <v>4765</v>
      </c>
      <c r="BB5478" s="31" t="n">
        <f aca="false">SUM(Q5478,S5478,U5478,W5478,Y5478,AA5478,AC5478,AE5478,AG5478,AI5478,AK5478,AM5478,AO5478,AQ5478,AS5478,AU5478,AW5478,AY5478)</f>
        <v>4765</v>
      </c>
      <c r="BC5478" s="28" t="n">
        <f aca="false">BA5478-BB5478</f>
        <v>0</v>
      </c>
      <c r="BD5478" s="32" t="n">
        <f aca="false">SUM(P5478,R5478,T5478,V5478,X5478,Z5478,AB5478,AD5478,AF5478,AH5478,AJ5478,AL5478,AN5478,AP5478,AR5478,AT5478,AV5478,AX5478)</f>
        <v>0</v>
      </c>
      <c r="BE5478" s="33" t="n">
        <f aca="false">AZ5478-BD5478</f>
        <v>0</v>
      </c>
      <c r="BF5478" s="34" t="n">
        <f aca="false">BD5478*M5478</f>
        <v>0</v>
      </c>
      <c r="BG5478" s="35" t="n">
        <f aca="false">BA5478-BF5478</f>
        <v>4765</v>
      </c>
      <c r="BH5478" s="19" t="str">
        <f aca="false">IF(BG5478=0,"",IF(BG5478&lt;&gt;BA5478,"erreur de calcul",IF(BD5478&lt;&gt;0,"pas de prix",IF(M5478&lt;&gt; 0,"pas de quantité","pas de prix, ni de quantité"))))</f>
        <v>pas de quantité</v>
      </c>
      <c r="BI5478" s="19"/>
    </row>
    <row r="5479" customFormat="false" ht="15" hidden="false" customHeight="false" outlineLevel="0" collapsed="false">
      <c r="A5479" s="0" t="n">
        <v>4</v>
      </c>
      <c r="B5479" s="8" t="s">
        <v>24</v>
      </c>
      <c r="C5479" s="9" t="s">
        <v>25</v>
      </c>
      <c r="D5479" s="9" t="s">
        <v>26</v>
      </c>
      <c r="E5479" s="10" t="n">
        <v>1789</v>
      </c>
      <c r="F5479" s="9" t="s">
        <v>27</v>
      </c>
      <c r="G5479" s="9" t="s">
        <v>27</v>
      </c>
      <c r="H5479" s="11" t="n">
        <v>24</v>
      </c>
      <c r="I5479" s="11" t="s">
        <v>291</v>
      </c>
      <c r="J5479" s="14" t="n">
        <v>36</v>
      </c>
      <c r="K5479" s="14"/>
      <c r="L5479" s="16"/>
      <c r="M5479" s="27" t="n">
        <f aca="false">J5479+(K5479/20)+(L5479/240)</f>
        <v>36</v>
      </c>
      <c r="N5479" s="17" t="s">
        <v>66</v>
      </c>
      <c r="O5479" s="11"/>
      <c r="P5479" s="28"/>
      <c r="Q5479" s="28" t="n">
        <f aca="false">P5479*$M5479</f>
        <v>0</v>
      </c>
      <c r="R5479" s="28"/>
      <c r="S5479" s="28" t="n">
        <f aca="false">R5479*$M5479</f>
        <v>0</v>
      </c>
      <c r="T5479" s="28"/>
      <c r="U5479" s="28" t="n">
        <f aca="false">T5479*$M5479</f>
        <v>0</v>
      </c>
      <c r="V5479" s="28"/>
      <c r="W5479" s="28" t="n">
        <f aca="false">V5479*$M5479</f>
        <v>0</v>
      </c>
      <c r="X5479" s="28"/>
      <c r="Y5479" s="28" t="n">
        <f aca="false">X5479*$M5479</f>
        <v>0</v>
      </c>
      <c r="Z5479" s="28"/>
      <c r="AA5479" s="28" t="n">
        <f aca="false">Z5479*$M5479</f>
        <v>0</v>
      </c>
      <c r="AB5479" s="28"/>
      <c r="AC5479" s="28" t="n">
        <f aca="false">AB5479*$M5479</f>
        <v>0</v>
      </c>
      <c r="AD5479" s="28"/>
      <c r="AE5479" s="28" t="n">
        <f aca="false">AD5479*$M5479</f>
        <v>0</v>
      </c>
      <c r="AF5479" s="28"/>
      <c r="AG5479" s="28" t="n">
        <f aca="false">AF5479*$M5479</f>
        <v>0</v>
      </c>
      <c r="AH5479" s="28"/>
      <c r="AI5479" s="28" t="n">
        <f aca="false">AH5479*$M5479</f>
        <v>0</v>
      </c>
      <c r="AJ5479" s="28" t="n">
        <v>387</v>
      </c>
      <c r="AK5479" s="28" t="n">
        <v>13932</v>
      </c>
      <c r="AL5479" s="28"/>
      <c r="AM5479" s="28" t="n">
        <f aca="false">AL5479*$M5479</f>
        <v>0</v>
      </c>
      <c r="AN5479" s="28"/>
      <c r="AO5479" s="28" t="n">
        <f aca="false">AN5479*$M5479</f>
        <v>0</v>
      </c>
      <c r="AP5479" s="28"/>
      <c r="AQ5479" s="28" t="n">
        <f aca="false">AP5479*$M5479</f>
        <v>0</v>
      </c>
      <c r="AR5479" s="28"/>
      <c r="AS5479" s="28" t="n">
        <f aca="false">AR5479*$M5479</f>
        <v>0</v>
      </c>
      <c r="AT5479" s="28"/>
      <c r="AU5479" s="28" t="n">
        <f aca="false">AT5479*$M5479</f>
        <v>0</v>
      </c>
      <c r="AV5479" s="28"/>
      <c r="AW5479" s="28" t="n">
        <f aca="false">AV5479*$M5479</f>
        <v>0</v>
      </c>
      <c r="AX5479" s="28"/>
      <c r="AY5479" s="28" t="n">
        <f aca="false">AX5479*$M5479</f>
        <v>0</v>
      </c>
      <c r="AZ5479" s="30" t="n">
        <v>387</v>
      </c>
      <c r="BA5479" s="11" t="n">
        <v>13932</v>
      </c>
      <c r="BB5479" s="31" t="n">
        <f aca="false">SUM(Q5479,S5479,U5479,W5479,Y5479,AA5479,AC5479,AE5479,AG5479,AI5479,AK5479,AM5479,AO5479,AQ5479,AS5479,AU5479,AW5479,AY5479)</f>
        <v>13932</v>
      </c>
      <c r="BC5479" s="28" t="n">
        <f aca="false">BA5479-BB5479</f>
        <v>0</v>
      </c>
      <c r="BD5479" s="32" t="n">
        <f aca="false">SUM(P5479,R5479,T5479,V5479,X5479,Z5479,AB5479,AD5479,AF5479,AH5479,AJ5479,AL5479,AN5479,AP5479,AR5479,AT5479,AV5479,AX5479)</f>
        <v>387</v>
      </c>
      <c r="BE5479" s="33" t="n">
        <f aca="false">AZ5479-BD5479</f>
        <v>0</v>
      </c>
      <c r="BF5479" s="34" t="n">
        <f aca="false">BD5479*M5479</f>
        <v>13932</v>
      </c>
      <c r="BG5479" s="35" t="n">
        <f aca="false">BA5479-BF5479</f>
        <v>0</v>
      </c>
      <c r="BH5479" s="19" t="str">
        <f aca="false">IF(BG5479=0,"",IF(BG5479&lt;&gt;BA5479,"erreur de calcul",IF(BD5479&lt;&gt;0,"pas de prix",IF(M5479&lt;&gt; 0,"pas de quantité","pas de prix, ni de quantité"))))</f>
        <v/>
      </c>
      <c r="BI5479" s="19"/>
    </row>
    <row r="5480" customFormat="false" ht="15" hidden="false" customHeight="false" outlineLevel="0" collapsed="false">
      <c r="A5480" s="0" t="n">
        <v>5</v>
      </c>
      <c r="B5480" s="8" t="s">
        <v>24</v>
      </c>
      <c r="C5480" s="9" t="s">
        <v>25</v>
      </c>
      <c r="D5480" s="9" t="s">
        <v>26</v>
      </c>
      <c r="E5480" s="10" t="n">
        <v>1789</v>
      </c>
      <c r="F5480" s="9" t="s">
        <v>27</v>
      </c>
      <c r="G5480" s="9" t="s">
        <v>27</v>
      </c>
      <c r="H5480" s="11" t="n">
        <v>24</v>
      </c>
      <c r="I5480" s="11" t="s">
        <v>292</v>
      </c>
      <c r="J5480" s="14" t="n">
        <v>40</v>
      </c>
      <c r="K5480" s="14"/>
      <c r="L5480" s="16"/>
      <c r="M5480" s="27" t="n">
        <f aca="false">J5480+(K5480/20)+(L5480/240)</f>
        <v>40</v>
      </c>
      <c r="N5480" s="17" t="s">
        <v>64</v>
      </c>
      <c r="O5480" s="11" t="s">
        <v>277</v>
      </c>
      <c r="P5480" s="28"/>
      <c r="Q5480" s="28" t="n">
        <f aca="false">P5480*$M5480</f>
        <v>0</v>
      </c>
      <c r="R5480" s="28"/>
      <c r="S5480" s="28" t="n">
        <f aca="false">R5480*$M5480</f>
        <v>0</v>
      </c>
      <c r="T5480" s="28" t="n">
        <f aca="false">5917/100</f>
        <v>59.17</v>
      </c>
      <c r="U5480" s="28" t="n">
        <v>2367</v>
      </c>
      <c r="V5480" s="28" t="n">
        <f aca="false">12510/100</f>
        <v>125.1</v>
      </c>
      <c r="W5480" s="28" t="n">
        <f aca="false">V5480*$M5480</f>
        <v>5004</v>
      </c>
      <c r="X5480" s="28"/>
      <c r="Y5480" s="28" t="n">
        <f aca="false">X5480*$M5480</f>
        <v>0</v>
      </c>
      <c r="Z5480" s="28"/>
      <c r="AA5480" s="28" t="n">
        <f aca="false">Z5480*$M5480</f>
        <v>0</v>
      </c>
      <c r="AB5480" s="28" t="n">
        <f aca="false">50338/100</f>
        <v>503.38</v>
      </c>
      <c r="AC5480" s="28" t="n">
        <v>20135</v>
      </c>
      <c r="AD5480" s="28"/>
      <c r="AE5480" s="28" t="n">
        <f aca="false">AD5480*$M5480</f>
        <v>0</v>
      </c>
      <c r="AF5480" s="28"/>
      <c r="AG5480" s="28" t="n">
        <f aca="false">AF5480*$M5480</f>
        <v>0</v>
      </c>
      <c r="AH5480" s="28" t="n">
        <f aca="false">440/100</f>
        <v>4.4</v>
      </c>
      <c r="AI5480" s="28" t="n">
        <v>176</v>
      </c>
      <c r="AJ5480" s="28" t="n">
        <f aca="false">18094/100</f>
        <v>180.94</v>
      </c>
      <c r="AK5480" s="28" t="n">
        <v>7238</v>
      </c>
      <c r="AL5480" s="28"/>
      <c r="AM5480" s="28" t="n">
        <f aca="false">AL5480*$M5480</f>
        <v>0</v>
      </c>
      <c r="AN5480" s="28"/>
      <c r="AO5480" s="28" t="n">
        <f aca="false">AN5480*$M5480</f>
        <v>0</v>
      </c>
      <c r="AP5480" s="28"/>
      <c r="AQ5480" s="28" t="n">
        <f aca="false">AP5480*$M5480</f>
        <v>0</v>
      </c>
      <c r="AR5480" s="28"/>
      <c r="AS5480" s="28" t="n">
        <f aca="false">AR5480*$M5480</f>
        <v>0</v>
      </c>
      <c r="AT5480" s="28"/>
      <c r="AU5480" s="28" t="n">
        <f aca="false">AT5480*$M5480</f>
        <v>0</v>
      </c>
      <c r="AV5480" s="28"/>
      <c r="AW5480" s="28" t="n">
        <f aca="false">AV5480*$M5480</f>
        <v>0</v>
      </c>
      <c r="AX5480" s="28"/>
      <c r="AY5480" s="28" t="n">
        <f aca="false">AX5480*$M5480</f>
        <v>0</v>
      </c>
      <c r="AZ5480" s="30" t="n">
        <f aca="false">87279/100</f>
        <v>872.79</v>
      </c>
      <c r="BA5480" s="11" t="n">
        <v>34920</v>
      </c>
      <c r="BB5480" s="31" t="n">
        <f aca="false">SUM(Q5480,S5480,U5480,W5480,Y5480,AA5480,AC5480,AE5480,AG5480,AI5480,AK5480,AM5480,AO5480,AQ5480,AS5480,AU5480,AW5480,AY5480)</f>
        <v>34920</v>
      </c>
      <c r="BC5480" s="28" t="n">
        <f aca="false">BA5480-BB5480</f>
        <v>0</v>
      </c>
      <c r="BD5480" s="32" t="n">
        <f aca="false">SUM(P5480,R5480,T5480,V5480,X5480,Z5480,AB5480,AD5480,AF5480,AH5480,AJ5480,AL5480,AN5480,AP5480,AR5480,AT5480,AV5480,AX5480)</f>
        <v>872.99</v>
      </c>
      <c r="BE5480" s="33" t="n">
        <f aca="false">AZ5480-BD5480</f>
        <v>-0.200000000000045</v>
      </c>
      <c r="BF5480" s="34" t="n">
        <f aca="false">BD5480*M5480</f>
        <v>34919.6</v>
      </c>
      <c r="BG5480" s="35" t="n">
        <f aca="false">BA5480-BF5480</f>
        <v>0.400000000001455</v>
      </c>
      <c r="BH5480" s="19" t="str">
        <f aca="false">IF(BG5480=0,"",IF(BG5480&lt;&gt;BA5480,"erreur de calcul",IF(BD5480&lt;&gt;0,"pas de prix",IF(M5480&lt;&gt; 0,"pas de quantité","pas de prix, ni de quantité"))))</f>
        <v>erreur de calcul</v>
      </c>
      <c r="BI5480" s="19"/>
    </row>
    <row r="5481" customFormat="false" ht="15" hidden="false" customHeight="false" outlineLevel="0" collapsed="false">
      <c r="A5481" s="0" t="n">
        <v>6</v>
      </c>
      <c r="B5481" s="8" t="s">
        <v>24</v>
      </c>
      <c r="C5481" s="9" t="s">
        <v>25</v>
      </c>
      <c r="D5481" s="9" t="s">
        <v>26</v>
      </c>
      <c r="E5481" s="10" t="n">
        <v>1789</v>
      </c>
      <c r="F5481" s="9" t="s">
        <v>27</v>
      </c>
      <c r="G5481" s="9" t="s">
        <v>27</v>
      </c>
      <c r="H5481" s="11" t="n">
        <v>24</v>
      </c>
      <c r="I5481" s="11" t="s">
        <v>293</v>
      </c>
      <c r="J5481" s="14" t="n">
        <v>72</v>
      </c>
      <c r="K5481" s="14"/>
      <c r="L5481" s="16"/>
      <c r="M5481" s="27" t="n">
        <f aca="false">J5481+(K5481/20)+(L5481/240)</f>
        <v>72</v>
      </c>
      <c r="N5481" s="17" t="s">
        <v>294</v>
      </c>
      <c r="O5481" s="11"/>
      <c r="P5481" s="28" t="n">
        <v>16096</v>
      </c>
      <c r="Q5481" s="28" t="n">
        <v>1158912</v>
      </c>
      <c r="R5481" s="28"/>
      <c r="S5481" s="28" t="n">
        <f aca="false">R5481*$M5481</f>
        <v>0</v>
      </c>
      <c r="T5481" s="28" t="n">
        <v>6580</v>
      </c>
      <c r="U5481" s="28" t="n">
        <v>473760</v>
      </c>
      <c r="V5481" s="28" t="n">
        <v>21336</v>
      </c>
      <c r="W5481" s="28" t="n">
        <v>1536192</v>
      </c>
      <c r="X5481" s="28" t="n">
        <v>905</v>
      </c>
      <c r="Y5481" s="28" t="n">
        <v>65160</v>
      </c>
      <c r="Z5481" s="28" t="n">
        <v>250</v>
      </c>
      <c r="AA5481" s="28" t="n">
        <v>18000</v>
      </c>
      <c r="AB5481" s="28" t="n">
        <v>155034</v>
      </c>
      <c r="AC5481" s="28" t="n">
        <v>11162448</v>
      </c>
      <c r="AD5481" s="28"/>
      <c r="AE5481" s="28" t="n">
        <f aca="false">AD5481*$M5481</f>
        <v>0</v>
      </c>
      <c r="AF5481" s="28" t="n">
        <v>18739</v>
      </c>
      <c r="AG5481" s="28" t="n">
        <v>1349208</v>
      </c>
      <c r="AH5481" s="28" t="n">
        <v>44032</v>
      </c>
      <c r="AI5481" s="28" t="n">
        <v>3170304</v>
      </c>
      <c r="AJ5481" s="28"/>
      <c r="AK5481" s="28" t="n">
        <f aca="false">AJ5481*$M5481</f>
        <v>0</v>
      </c>
      <c r="AL5481" s="28"/>
      <c r="AM5481" s="28" t="n">
        <f aca="false">AL5481*$M5481</f>
        <v>0</v>
      </c>
      <c r="AN5481" s="28"/>
      <c r="AO5481" s="28" t="n">
        <f aca="false">AN5481*$M5481</f>
        <v>0</v>
      </c>
      <c r="AP5481" s="28"/>
      <c r="AQ5481" s="28" t="n">
        <f aca="false">AP5481*$M5481</f>
        <v>0</v>
      </c>
      <c r="AR5481" s="28"/>
      <c r="AS5481" s="28" t="n">
        <f aca="false">AR5481*$M5481</f>
        <v>0</v>
      </c>
      <c r="AT5481" s="28"/>
      <c r="AU5481" s="28" t="n">
        <f aca="false">AT5481*$M5481</f>
        <v>0</v>
      </c>
      <c r="AV5481" s="28"/>
      <c r="AW5481" s="28" t="n">
        <f aca="false">AV5481*$M5481</f>
        <v>0</v>
      </c>
      <c r="AX5481" s="28"/>
      <c r="AY5481" s="28" t="n">
        <f aca="false">AX5481*$M5481</f>
        <v>0</v>
      </c>
      <c r="AZ5481" s="30" t="n">
        <v>262972</v>
      </c>
      <c r="BA5481" s="11" t="n">
        <v>18933984</v>
      </c>
      <c r="BB5481" s="31" t="n">
        <f aca="false">SUM(Q5481,S5481,U5481,W5481,Y5481,AA5481,AC5481,AE5481,AG5481,AI5481,AK5481,AM5481,AO5481,AQ5481,AS5481,AU5481,AW5481,AY5481)</f>
        <v>18933984</v>
      </c>
      <c r="BC5481" s="28" t="n">
        <f aca="false">BA5481-BB5481</f>
        <v>0</v>
      </c>
      <c r="BD5481" s="32" t="n">
        <f aca="false">SUM(P5481,R5481,T5481,V5481,X5481,Z5481,AB5481,AD5481,AF5481,AH5481,AJ5481,AL5481,AN5481,AP5481,AR5481,AT5481,AV5481,AX5481)</f>
        <v>262972</v>
      </c>
      <c r="BE5481" s="33" t="n">
        <f aca="false">AZ5481-BD5481</f>
        <v>0</v>
      </c>
      <c r="BF5481" s="34" t="n">
        <f aca="false">BD5481*M5481</f>
        <v>18933984</v>
      </c>
      <c r="BG5481" s="35" t="n">
        <f aca="false">BA5481-BF5481</f>
        <v>0</v>
      </c>
      <c r="BH5481" s="19" t="str">
        <f aca="false">IF(BG5481=0,"",IF(BG5481&lt;&gt;BA5481,"erreur de calcul",IF(BD5481&lt;&gt;0,"pas de prix",IF(M5481&lt;&gt; 0,"pas de quantité","pas de prix, ni de quantité"))))</f>
        <v/>
      </c>
      <c r="BI5481" s="19" t="s">
        <v>295</v>
      </c>
    </row>
    <row r="5482" customFormat="false" ht="15" hidden="false" customHeight="false" outlineLevel="0" collapsed="false">
      <c r="A5482" s="0" t="n">
        <v>7</v>
      </c>
      <c r="B5482" s="8" t="s">
        <v>24</v>
      </c>
      <c r="C5482" s="9" t="s">
        <v>25</v>
      </c>
      <c r="D5482" s="9" t="s">
        <v>26</v>
      </c>
      <c r="E5482" s="10" t="n">
        <v>1789</v>
      </c>
      <c r="F5482" s="9" t="s">
        <v>27</v>
      </c>
      <c r="G5482" s="9" t="s">
        <v>27</v>
      </c>
      <c r="H5482" s="11" t="n">
        <v>24</v>
      </c>
      <c r="I5482" s="11" t="s">
        <v>296</v>
      </c>
      <c r="J5482" s="14" t="n">
        <v>35</v>
      </c>
      <c r="K5482" s="14"/>
      <c r="L5482" s="16"/>
      <c r="M5482" s="27" t="n">
        <f aca="false">J5482+(K5482/20)+(L5482/240)</f>
        <v>35</v>
      </c>
      <c r="N5482" s="17" t="s">
        <v>64</v>
      </c>
      <c r="O5482" s="11" t="s">
        <v>98</v>
      </c>
      <c r="P5482" s="28"/>
      <c r="Q5482" s="28" t="n">
        <f aca="false">P5482*$M5482</f>
        <v>0</v>
      </c>
      <c r="R5482" s="28"/>
      <c r="S5482" s="28" t="n">
        <f aca="false">R5482*$M5482</f>
        <v>0</v>
      </c>
      <c r="T5482" s="28"/>
      <c r="U5482" s="28" t="n">
        <f aca="false">T5482*$M5482</f>
        <v>0</v>
      </c>
      <c r="V5482" s="28"/>
      <c r="W5482" s="28" t="n">
        <f aca="false">V5482*$M5482</f>
        <v>0</v>
      </c>
      <c r="X5482" s="28"/>
      <c r="Y5482" s="28" t="n">
        <f aca="false">X5482*$M5482</f>
        <v>0</v>
      </c>
      <c r="Z5482" s="28"/>
      <c r="AA5482" s="28" t="n">
        <f aca="false">Z5482*$M5482</f>
        <v>0</v>
      </c>
      <c r="AB5482" s="28"/>
      <c r="AC5482" s="28" t="n">
        <f aca="false">AB5482*$M5482</f>
        <v>0</v>
      </c>
      <c r="AD5482" s="28"/>
      <c r="AE5482" s="28" t="n">
        <f aca="false">AD5482*$M5482</f>
        <v>0</v>
      </c>
      <c r="AF5482" s="28"/>
      <c r="AG5482" s="28" t="n">
        <f aca="false">AF5482*$M5482</f>
        <v>0</v>
      </c>
      <c r="AH5482" s="28"/>
      <c r="AI5482" s="28" t="n">
        <f aca="false">AH5482*$M5482</f>
        <v>0</v>
      </c>
      <c r="AJ5482" s="28"/>
      <c r="AK5482" s="28" t="n">
        <f aca="false">AJ5482*$M5482</f>
        <v>0</v>
      </c>
      <c r="AL5482" s="28"/>
      <c r="AM5482" s="28" t="n">
        <f aca="false">AL5482*$M5482</f>
        <v>0</v>
      </c>
      <c r="AN5482" s="28"/>
      <c r="AO5482" s="28" t="n">
        <f aca="false">AN5482*$M5482</f>
        <v>0</v>
      </c>
      <c r="AP5482" s="28"/>
      <c r="AQ5482" s="28" t="n">
        <f aca="false">AP5482*$M5482</f>
        <v>0</v>
      </c>
      <c r="AR5482" s="28"/>
      <c r="AS5482" s="28" t="n">
        <f aca="false">AR5482*$M5482</f>
        <v>0</v>
      </c>
      <c r="AT5482" s="28"/>
      <c r="AU5482" s="28" t="n">
        <f aca="false">AT5482*$M5482</f>
        <v>0</v>
      </c>
      <c r="AV5482" s="28"/>
      <c r="AW5482" s="28" t="n">
        <f aca="false">AV5482*$M5482</f>
        <v>0</v>
      </c>
      <c r="AX5482" s="28"/>
      <c r="AY5482" s="28" t="n">
        <f aca="false">AX5482*$M5482</f>
        <v>0</v>
      </c>
      <c r="AZ5482" s="30"/>
      <c r="BA5482" s="11"/>
      <c r="BB5482" s="31" t="n">
        <f aca="false">SUM(Q5482,S5482,U5482,W5482,Y5482,AA5482,AC5482,AE5482,AG5482,AI5482,AK5482,AM5482,AO5482,AQ5482,AS5482,AU5482,AW5482,AY5482)</f>
        <v>0</v>
      </c>
      <c r="BC5482" s="28" t="n">
        <f aca="false">BA5482-BB5482</f>
        <v>0</v>
      </c>
      <c r="BD5482" s="32" t="n">
        <f aca="false">SUM(P5482,R5482,T5482,V5482,X5482,Z5482,AB5482,AD5482,AF5482,AH5482,AJ5482,AL5482,AN5482,AP5482,AR5482,AT5482,AV5482,AX5482)</f>
        <v>0</v>
      </c>
      <c r="BE5482" s="33" t="n">
        <f aca="false">AZ5482-BD5482</f>
        <v>0</v>
      </c>
      <c r="BF5482" s="34" t="n">
        <f aca="false">BD5482*M5482</f>
        <v>0</v>
      </c>
      <c r="BG5482" s="35" t="n">
        <f aca="false">BA5482-BF5482</f>
        <v>0</v>
      </c>
      <c r="BH5482" s="19" t="str">
        <f aca="false">IF(BG5482=0,"",IF(BG5482&lt;&gt;BA5482,"erreur de calcul",IF(BD5482&lt;&gt;0,"pas de prix",IF(M5482&lt;&gt; 0,"pas de quantité","pas de prix, ni de quantité"))))</f>
        <v/>
      </c>
      <c r="BI5482" s="19"/>
    </row>
    <row r="5483" customFormat="false" ht="15" hidden="false" customHeight="false" outlineLevel="0" collapsed="false">
      <c r="A5483" s="0" t="n">
        <v>8</v>
      </c>
      <c r="B5483" s="8" t="s">
        <v>24</v>
      </c>
      <c r="C5483" s="9" t="s">
        <v>25</v>
      </c>
      <c r="D5483" s="9" t="s">
        <v>26</v>
      </c>
      <c r="E5483" s="10" t="n">
        <v>1789</v>
      </c>
      <c r="F5483" s="9" t="s">
        <v>27</v>
      </c>
      <c r="G5483" s="9" t="s">
        <v>27</v>
      </c>
      <c r="H5483" s="11" t="n">
        <v>24</v>
      </c>
      <c r="I5483" s="11" t="s">
        <v>297</v>
      </c>
      <c r="J5483" s="14" t="n">
        <v>45</v>
      </c>
      <c r="K5483" s="14"/>
      <c r="L5483" s="16"/>
      <c r="M5483" s="27" t="n">
        <f aca="false">J5483+(K5483/20)+(L5483/240)</f>
        <v>45</v>
      </c>
      <c r="N5483" s="17" t="s">
        <v>64</v>
      </c>
      <c r="O5483" s="11"/>
      <c r="P5483" s="28"/>
      <c r="Q5483" s="28" t="n">
        <f aca="false">P5483*$M5483</f>
        <v>0</v>
      </c>
      <c r="R5483" s="28"/>
      <c r="S5483" s="28" t="n">
        <f aca="false">R5483*$M5483</f>
        <v>0</v>
      </c>
      <c r="T5483" s="28"/>
      <c r="U5483" s="28" t="n">
        <f aca="false">T5483*$M5483</f>
        <v>0</v>
      </c>
      <c r="V5483" s="28"/>
      <c r="W5483" s="28" t="n">
        <f aca="false">V5483*$M5483</f>
        <v>0</v>
      </c>
      <c r="X5483" s="28"/>
      <c r="Y5483" s="28" t="n">
        <f aca="false">X5483*$M5483</f>
        <v>0</v>
      </c>
      <c r="Z5483" s="28"/>
      <c r="AA5483" s="28" t="n">
        <f aca="false">Z5483*$M5483</f>
        <v>0</v>
      </c>
      <c r="AB5483" s="28"/>
      <c r="AC5483" s="28" t="n">
        <f aca="false">AB5483*$M5483</f>
        <v>0</v>
      </c>
      <c r="AD5483" s="28"/>
      <c r="AE5483" s="28" t="n">
        <f aca="false">AD5483*$M5483</f>
        <v>0</v>
      </c>
      <c r="AF5483" s="28"/>
      <c r="AG5483" s="28" t="n">
        <f aca="false">AF5483*$M5483</f>
        <v>0</v>
      </c>
      <c r="AH5483" s="28"/>
      <c r="AI5483" s="28" t="n">
        <f aca="false">AH5483*$M5483</f>
        <v>0</v>
      </c>
      <c r="AJ5483" s="28"/>
      <c r="AK5483" s="28" t="n">
        <f aca="false">AJ5483*$M5483</f>
        <v>0</v>
      </c>
      <c r="AL5483" s="28"/>
      <c r="AM5483" s="28" t="n">
        <f aca="false">AL5483*$M5483</f>
        <v>0</v>
      </c>
      <c r="AN5483" s="28"/>
      <c r="AO5483" s="28" t="n">
        <f aca="false">AN5483*$M5483</f>
        <v>0</v>
      </c>
      <c r="AP5483" s="28"/>
      <c r="AQ5483" s="28" t="n">
        <f aca="false">AP5483*$M5483</f>
        <v>0</v>
      </c>
      <c r="AR5483" s="28"/>
      <c r="AS5483" s="28" t="n">
        <f aca="false">AR5483*$M5483</f>
        <v>0</v>
      </c>
      <c r="AT5483" s="28"/>
      <c r="AU5483" s="28" t="n">
        <f aca="false">AT5483*$M5483</f>
        <v>0</v>
      </c>
      <c r="AV5483" s="28"/>
      <c r="AW5483" s="28" t="n">
        <f aca="false">AV5483*$M5483</f>
        <v>0</v>
      </c>
      <c r="AX5483" s="28" t="n">
        <f aca="false">44459/100</f>
        <v>444.59</v>
      </c>
      <c r="AY5483" s="28" t="n">
        <v>20006</v>
      </c>
      <c r="AZ5483" s="30" t="n">
        <f aca="false">44459/100</f>
        <v>444.59</v>
      </c>
      <c r="BA5483" s="11" t="n">
        <v>20006</v>
      </c>
      <c r="BB5483" s="31" t="n">
        <f aca="false">SUM(Q5483,S5483,U5483,W5483,Y5483,AA5483,AC5483,AE5483,AG5483,AI5483,AK5483,AM5483,AO5483,AQ5483,AS5483,AU5483,AW5483,AY5483)</f>
        <v>20006</v>
      </c>
      <c r="BC5483" s="28" t="n">
        <f aca="false">BA5483-BB5483</f>
        <v>0</v>
      </c>
      <c r="BD5483" s="32" t="n">
        <f aca="false">SUM(P5483,R5483,T5483,V5483,X5483,Z5483,AB5483,AD5483,AF5483,AH5483,AJ5483,AL5483,AN5483,AP5483,AR5483,AT5483,AV5483,AX5483)</f>
        <v>444.59</v>
      </c>
      <c r="BE5483" s="33" t="n">
        <f aca="false">AZ5483-BD5483</f>
        <v>0</v>
      </c>
      <c r="BF5483" s="34" t="n">
        <f aca="false">BD5483*M5483</f>
        <v>20006.55</v>
      </c>
      <c r="BG5483" s="35" t="n">
        <f aca="false">BA5483-BF5483</f>
        <v>-0.549999999999272</v>
      </c>
      <c r="BH5483" s="19" t="str">
        <f aca="false">IF(BG5483=0,"",IF(BG5483&lt;&gt;BA5483,"erreur de calcul",IF(BD5483&lt;&gt;0,"pas de prix",IF(M5483&lt;&gt; 0,"pas de quantité","pas de prix, ni de quantité"))))</f>
        <v>erreur de calcul</v>
      </c>
      <c r="BI5483" s="19"/>
    </row>
    <row r="5484" customFormat="false" ht="15" hidden="false" customHeight="false" outlineLevel="0" collapsed="false">
      <c r="A5484" s="0" t="n">
        <v>9</v>
      </c>
      <c r="B5484" s="8" t="s">
        <v>24</v>
      </c>
      <c r="C5484" s="9" t="s">
        <v>25</v>
      </c>
      <c r="D5484" s="9" t="s">
        <v>26</v>
      </c>
      <c r="E5484" s="10" t="n">
        <v>1789</v>
      </c>
      <c r="F5484" s="9" t="s">
        <v>27</v>
      </c>
      <c r="G5484" s="9" t="s">
        <v>27</v>
      </c>
      <c r="H5484" s="11" t="n">
        <v>24</v>
      </c>
      <c r="I5484" s="11" t="s">
        <v>298</v>
      </c>
      <c r="J5484" s="14" t="n">
        <v>550</v>
      </c>
      <c r="K5484" s="14"/>
      <c r="L5484" s="16"/>
      <c r="M5484" s="27" t="n">
        <f aca="false">J5484+(K5484/20)+(L5484/240)</f>
        <v>550</v>
      </c>
      <c r="N5484" s="17" t="s">
        <v>64</v>
      </c>
      <c r="O5484" s="11"/>
      <c r="P5484" s="28"/>
      <c r="Q5484" s="28" t="n">
        <f aca="false">P5484*$M5484</f>
        <v>0</v>
      </c>
      <c r="R5484" s="28"/>
      <c r="S5484" s="28" t="n">
        <f aca="false">R5484*$M5484</f>
        <v>0</v>
      </c>
      <c r="T5484" s="28"/>
      <c r="U5484" s="28" t="n">
        <f aca="false">T5484*$M5484</f>
        <v>0</v>
      </c>
      <c r="V5484" s="28"/>
      <c r="W5484" s="28" t="n">
        <f aca="false">V5484*$M5484</f>
        <v>0</v>
      </c>
      <c r="X5484" s="28"/>
      <c r="Y5484" s="28" t="n">
        <f aca="false">X5484*$M5484</f>
        <v>0</v>
      </c>
      <c r="Z5484" s="28"/>
      <c r="AA5484" s="28" t="n">
        <f aca="false">Z5484*$M5484</f>
        <v>0</v>
      </c>
      <c r="AB5484" s="28"/>
      <c r="AC5484" s="28" t="n">
        <f aca="false">AB5484*$M5484</f>
        <v>0</v>
      </c>
      <c r="AD5484" s="28"/>
      <c r="AE5484" s="28" t="n">
        <f aca="false">AD5484*$M5484</f>
        <v>0</v>
      </c>
      <c r="AF5484" s="28" t="n">
        <f aca="false">200/100</f>
        <v>2</v>
      </c>
      <c r="AG5484" s="28" t="n">
        <v>1100</v>
      </c>
      <c r="AH5484" s="28"/>
      <c r="AI5484" s="28" t="n">
        <f aca="false">AH5484*$M5484</f>
        <v>0</v>
      </c>
      <c r="AJ5484" s="28"/>
      <c r="AK5484" s="28" t="n">
        <f aca="false">AJ5484*$M5484</f>
        <v>0</v>
      </c>
      <c r="AL5484" s="28"/>
      <c r="AM5484" s="28" t="n">
        <f aca="false">AL5484*$M5484</f>
        <v>0</v>
      </c>
      <c r="AN5484" s="28"/>
      <c r="AO5484" s="28" t="n">
        <f aca="false">AN5484*$M5484</f>
        <v>0</v>
      </c>
      <c r="AP5484" s="28"/>
      <c r="AQ5484" s="28" t="n">
        <f aca="false">AP5484*$M5484</f>
        <v>0</v>
      </c>
      <c r="AR5484" s="28"/>
      <c r="AS5484" s="28" t="n">
        <f aca="false">AR5484*$M5484</f>
        <v>0</v>
      </c>
      <c r="AT5484" s="28"/>
      <c r="AU5484" s="28" t="n">
        <f aca="false">AT5484*$M5484</f>
        <v>0</v>
      </c>
      <c r="AV5484" s="28"/>
      <c r="AW5484" s="28" t="n">
        <f aca="false">AV5484*$M5484</f>
        <v>0</v>
      </c>
      <c r="AX5484" s="28"/>
      <c r="AY5484" s="28" t="n">
        <f aca="false">AX5484*$M5484</f>
        <v>0</v>
      </c>
      <c r="AZ5484" s="30" t="n">
        <f aca="false">200/100</f>
        <v>2</v>
      </c>
      <c r="BA5484" s="11" t="n">
        <v>1100</v>
      </c>
      <c r="BB5484" s="31" t="n">
        <f aca="false">SUM(Q5484,S5484,U5484,W5484,Y5484,AA5484,AC5484,AE5484,AG5484,AI5484,AK5484,AM5484,AO5484,AQ5484,AS5484,AU5484,AW5484,AY5484)</f>
        <v>1100</v>
      </c>
      <c r="BC5484" s="28" t="n">
        <f aca="false">BA5484-BB5484</f>
        <v>0</v>
      </c>
      <c r="BD5484" s="32" t="n">
        <f aca="false">SUM(P5484,R5484,T5484,V5484,X5484,Z5484,AB5484,AD5484,AF5484,AH5484,AJ5484,AL5484,AN5484,AP5484,AR5484,AT5484,AV5484,AX5484)</f>
        <v>2</v>
      </c>
      <c r="BE5484" s="33" t="n">
        <f aca="false">AZ5484-BD5484</f>
        <v>0</v>
      </c>
      <c r="BF5484" s="34" t="n">
        <f aca="false">BD5484*M5484</f>
        <v>1100</v>
      </c>
      <c r="BG5484" s="35" t="n">
        <f aca="false">BA5484-BF5484</f>
        <v>0</v>
      </c>
      <c r="BH5484" s="19" t="str">
        <f aca="false">IF(BG5484=0,"",IF(BG5484&lt;&gt;BA5484,"erreur de calcul",IF(BD5484&lt;&gt;0,"pas de prix",IF(M5484&lt;&gt; 0,"pas de quantité","pas de prix, ni de quantité"))))</f>
        <v/>
      </c>
      <c r="BI5484" s="19"/>
    </row>
    <row r="5485" customFormat="false" ht="15" hidden="false" customHeight="false" outlineLevel="0" collapsed="false">
      <c r="A5485" s="0" t="n">
        <v>10</v>
      </c>
      <c r="B5485" s="8" t="s">
        <v>24</v>
      </c>
      <c r="C5485" s="9" t="s">
        <v>25</v>
      </c>
      <c r="D5485" s="9" t="s">
        <v>26</v>
      </c>
      <c r="E5485" s="10" t="n">
        <v>1789</v>
      </c>
      <c r="F5485" s="9" t="s">
        <v>27</v>
      </c>
      <c r="G5485" s="9" t="s">
        <v>27</v>
      </c>
      <c r="H5485" s="11" t="n">
        <v>24</v>
      </c>
      <c r="I5485" s="11" t="s">
        <v>299</v>
      </c>
      <c r="J5485" s="14" t="n">
        <v>16</v>
      </c>
      <c r="K5485" s="14"/>
      <c r="L5485" s="16"/>
      <c r="M5485" s="27" t="n">
        <f aca="false">J5485+(K5485/20)+(L5485/240)</f>
        <v>16</v>
      </c>
      <c r="N5485" s="17" t="s">
        <v>64</v>
      </c>
      <c r="O5485" s="11"/>
      <c r="P5485" s="28" t="n">
        <f aca="false">20*288*0.02+252*0.02</f>
        <v>120.24</v>
      </c>
      <c r="Q5485" s="28" t="n">
        <v>1924</v>
      </c>
      <c r="R5485" s="28"/>
      <c r="S5485" s="28" t="n">
        <f aca="false">R5485*$M5485</f>
        <v>0</v>
      </c>
      <c r="T5485" s="28"/>
      <c r="U5485" s="28" t="n">
        <f aca="false">T5485*$M5485</f>
        <v>0</v>
      </c>
      <c r="V5485" s="28" t="n">
        <f aca="false">16*288*0.02+15*0.02</f>
        <v>92.46</v>
      </c>
      <c r="W5485" s="28" t="n">
        <v>1479</v>
      </c>
      <c r="X5485" s="28" t="n">
        <f aca="false">25*288*0.02+152*0.02</f>
        <v>147.04</v>
      </c>
      <c r="Y5485" s="28" t="n">
        <v>2353</v>
      </c>
      <c r="Z5485" s="28"/>
      <c r="AA5485" s="28" t="n">
        <f aca="false">Z5485*$M5485</f>
        <v>0</v>
      </c>
      <c r="AB5485" s="28" t="n">
        <f aca="false">127*288*0.02+236*0.02</f>
        <v>736.24</v>
      </c>
      <c r="AC5485" s="28" t="n">
        <v>11780</v>
      </c>
      <c r="AD5485" s="28"/>
      <c r="AE5485" s="28" t="n">
        <f aca="false">AD5485*$M5485</f>
        <v>0</v>
      </c>
      <c r="AF5485" s="28"/>
      <c r="AG5485" s="28" t="n">
        <f aca="false">AF5485*$M5485</f>
        <v>0</v>
      </c>
      <c r="AH5485" s="28"/>
      <c r="AI5485" s="28" t="n">
        <f aca="false">AH5485*$M5485</f>
        <v>0</v>
      </c>
      <c r="AJ5485" s="28"/>
      <c r="AK5485" s="28" t="n">
        <f aca="false">AJ5485*$M5485</f>
        <v>0</v>
      </c>
      <c r="AL5485" s="28"/>
      <c r="AM5485" s="28" t="n">
        <f aca="false">AL5485*$M5485</f>
        <v>0</v>
      </c>
      <c r="AN5485" s="28"/>
      <c r="AO5485" s="28" t="n">
        <f aca="false">AN5485*$M5485</f>
        <v>0</v>
      </c>
      <c r="AP5485" s="28"/>
      <c r="AQ5485" s="28" t="n">
        <f aca="false">AP5485*$M5485</f>
        <v>0</v>
      </c>
      <c r="AR5485" s="28"/>
      <c r="AS5485" s="28" t="n">
        <f aca="false">AR5485*$M5485</f>
        <v>0</v>
      </c>
      <c r="AT5485" s="28"/>
      <c r="AU5485" s="28" t="n">
        <f aca="false">AT5485*$M5485</f>
        <v>0</v>
      </c>
      <c r="AV5485" s="28"/>
      <c r="AW5485" s="28" t="n">
        <f aca="false">AV5485*$M5485</f>
        <v>0</v>
      </c>
      <c r="AX5485" s="28"/>
      <c r="AY5485" s="28" t="n">
        <f aca="false">AX5485*$M5485</f>
        <v>0</v>
      </c>
      <c r="AZ5485" s="30" t="n">
        <f aca="false">190*288*0.02+82*0.02</f>
        <v>1096.04</v>
      </c>
      <c r="BA5485" s="11" t="n">
        <v>17536</v>
      </c>
      <c r="BB5485" s="31" t="n">
        <f aca="false">SUM(Q5485,S5485,U5485,W5485,Y5485,AA5485,AC5485,AE5485,AG5485,AI5485,AK5485,AM5485,AO5485,AQ5485,AS5485,AU5485,AW5485,AY5485)</f>
        <v>17536</v>
      </c>
      <c r="BC5485" s="28" t="n">
        <f aca="false">BA5485-BB5485</f>
        <v>0</v>
      </c>
      <c r="BD5485" s="32" t="n">
        <f aca="false">SUM(P5485,R5485,T5485,V5485,X5485,Z5485,AB5485,AD5485,AF5485,AH5485,AJ5485,AL5485,AN5485,AP5485,AR5485,AT5485,AV5485,AX5485)</f>
        <v>1095.98</v>
      </c>
      <c r="BE5485" s="33" t="n">
        <f aca="false">AZ5485-BD5485</f>
        <v>0.0600000000001728</v>
      </c>
      <c r="BF5485" s="34" t="n">
        <f aca="false">BD5485*M5485</f>
        <v>17535.68</v>
      </c>
      <c r="BG5485" s="35" t="n">
        <f aca="false">BA5485-BF5485</f>
        <v>0.319999999999709</v>
      </c>
      <c r="BH5485" s="19" t="str">
        <f aca="false">IF(BG5485=0,"",IF(BG5485&lt;&gt;BA5485,"erreur de calcul",IF(BD5485&lt;&gt;0,"pas de prix",IF(M5485&lt;&gt; 0,"pas de quantité","pas de prix, ni de quantité"))))</f>
        <v>erreur de calcul</v>
      </c>
      <c r="BI5485" s="19"/>
    </row>
    <row r="5486" customFormat="false" ht="15" hidden="false" customHeight="false" outlineLevel="0" collapsed="false">
      <c r="A5486" s="0" t="n">
        <v>11</v>
      </c>
      <c r="B5486" s="8" t="s">
        <v>24</v>
      </c>
      <c r="C5486" s="9" t="s">
        <v>25</v>
      </c>
      <c r="D5486" s="9" t="s">
        <v>26</v>
      </c>
      <c r="E5486" s="10" t="n">
        <v>1789</v>
      </c>
      <c r="F5486" s="9" t="s">
        <v>27</v>
      </c>
      <c r="G5486" s="9" t="s">
        <v>27</v>
      </c>
      <c r="H5486" s="11" t="n">
        <v>24</v>
      </c>
      <c r="I5486" s="11" t="s">
        <v>300</v>
      </c>
      <c r="J5486" s="14" t="n">
        <v>360</v>
      </c>
      <c r="K5486" s="14"/>
      <c r="L5486" s="16"/>
      <c r="M5486" s="27" t="n">
        <f aca="false">J5486+(K5486/20)+(L5486/240)</f>
        <v>360</v>
      </c>
      <c r="N5486" s="17" t="s">
        <v>64</v>
      </c>
      <c r="O5486" s="11"/>
      <c r="P5486" s="28"/>
      <c r="Q5486" s="28" t="n">
        <f aca="false">P5486*$M5486</f>
        <v>0</v>
      </c>
      <c r="R5486" s="28"/>
      <c r="S5486" s="28" t="n">
        <f aca="false">R5486*$M5486</f>
        <v>0</v>
      </c>
      <c r="T5486" s="28"/>
      <c r="U5486" s="28" t="n">
        <f aca="false">T5486*$M5486</f>
        <v>0</v>
      </c>
      <c r="V5486" s="28"/>
      <c r="W5486" s="28" t="n">
        <f aca="false">V5486*$M5486</f>
        <v>0</v>
      </c>
      <c r="X5486" s="28"/>
      <c r="Y5486" s="28" t="n">
        <f aca="false">X5486*$M5486</f>
        <v>0</v>
      </c>
      <c r="Z5486" s="28"/>
      <c r="AA5486" s="28" t="n">
        <f aca="false">Z5486*$M5486</f>
        <v>0</v>
      </c>
      <c r="AB5486" s="28"/>
      <c r="AC5486" s="28" t="n">
        <f aca="false">AB5486*$M5486</f>
        <v>0</v>
      </c>
      <c r="AD5486" s="28"/>
      <c r="AE5486" s="28" t="n">
        <f aca="false">AD5486*$M5486</f>
        <v>0</v>
      </c>
      <c r="AF5486" s="28"/>
      <c r="AG5486" s="28" t="n">
        <f aca="false">AF5486*$M5486</f>
        <v>0</v>
      </c>
      <c r="AH5486" s="28" t="n">
        <f aca="false">371073/100</f>
        <v>3710.73</v>
      </c>
      <c r="AI5486" s="28" t="n">
        <v>1335863</v>
      </c>
      <c r="AJ5486" s="28"/>
      <c r="AK5486" s="28" t="n">
        <f aca="false">AJ5486*$M5486</f>
        <v>0</v>
      </c>
      <c r="AL5486" s="28"/>
      <c r="AM5486" s="28" t="n">
        <f aca="false">AL5486*$M5486</f>
        <v>0</v>
      </c>
      <c r="AN5486" s="28"/>
      <c r="AO5486" s="28" t="n">
        <f aca="false">AN5486*$M5486</f>
        <v>0</v>
      </c>
      <c r="AP5486" s="28"/>
      <c r="AQ5486" s="28" t="n">
        <f aca="false">AP5486*$M5486</f>
        <v>0</v>
      </c>
      <c r="AR5486" s="28"/>
      <c r="AS5486" s="28" t="n">
        <f aca="false">AR5486*$M5486</f>
        <v>0</v>
      </c>
      <c r="AT5486" s="28"/>
      <c r="AU5486" s="28" t="n">
        <f aca="false">AT5486*$M5486</f>
        <v>0</v>
      </c>
      <c r="AV5486" s="28"/>
      <c r="AW5486" s="28" t="n">
        <f aca="false">AV5486*$M5486</f>
        <v>0</v>
      </c>
      <c r="AX5486" s="28"/>
      <c r="AY5486" s="28" t="n">
        <f aca="false">AX5486*$M5486</f>
        <v>0</v>
      </c>
      <c r="AZ5486" s="30" t="n">
        <f aca="false">371073/100</f>
        <v>3710.73</v>
      </c>
      <c r="BA5486" s="11" t="n">
        <v>1335863</v>
      </c>
      <c r="BB5486" s="31" t="n">
        <f aca="false">SUM(Q5486,S5486,U5486,W5486,Y5486,AA5486,AC5486,AE5486,AG5486,AI5486,AK5486,AM5486,AO5486,AQ5486,AS5486,AU5486,AW5486,AY5486)</f>
        <v>1335863</v>
      </c>
      <c r="BC5486" s="28" t="n">
        <f aca="false">BA5486-BB5486</f>
        <v>0</v>
      </c>
      <c r="BD5486" s="32" t="n">
        <f aca="false">SUM(P5486,R5486,T5486,V5486,X5486,Z5486,AB5486,AD5486,AF5486,AH5486,AJ5486,AL5486,AN5486,AP5486,AR5486,AT5486,AV5486,AX5486)</f>
        <v>3710.73</v>
      </c>
      <c r="BE5486" s="33" t="n">
        <f aca="false">AZ5486-BD5486</f>
        <v>0</v>
      </c>
      <c r="BF5486" s="34" t="n">
        <f aca="false">BD5486*M5486</f>
        <v>1335862.8</v>
      </c>
      <c r="BG5486" s="35" t="n">
        <f aca="false">BA5486-BF5486</f>
        <v>0.199999999953434</v>
      </c>
      <c r="BH5486" s="19" t="str">
        <f aca="false">IF(BG5486=0,"",IF(BG5486&lt;&gt;BA5486,"erreur de calcul",IF(BD5486&lt;&gt;0,"pas de prix",IF(M5486&lt;&gt; 0,"pas de quantité","pas de prix, ni de quantité"))))</f>
        <v>erreur de calcul</v>
      </c>
      <c r="BI5486" s="19"/>
    </row>
    <row r="5487" customFormat="false" ht="15" hidden="false" customHeight="false" outlineLevel="0" collapsed="false">
      <c r="A5487" s="0" t="n">
        <v>12</v>
      </c>
      <c r="B5487" s="8" t="s">
        <v>24</v>
      </c>
      <c r="C5487" s="9" t="s">
        <v>25</v>
      </c>
      <c r="D5487" s="9" t="s">
        <v>26</v>
      </c>
      <c r="E5487" s="10" t="n">
        <v>1789</v>
      </c>
      <c r="F5487" s="9" t="s">
        <v>27</v>
      </c>
      <c r="G5487" s="9" t="s">
        <v>27</v>
      </c>
      <c r="H5487" s="11" t="n">
        <v>24</v>
      </c>
      <c r="I5487" s="11" t="s">
        <v>301</v>
      </c>
      <c r="J5487" s="14" t="n">
        <v>3</v>
      </c>
      <c r="K5487" s="14"/>
      <c r="L5487" s="16"/>
      <c r="M5487" s="27" t="n">
        <f aca="false">J5487+(K5487/20)+(L5487/240)</f>
        <v>3</v>
      </c>
      <c r="N5487" s="17" t="s">
        <v>66</v>
      </c>
      <c r="O5487" s="11"/>
      <c r="P5487" s="28"/>
      <c r="Q5487" s="28" t="n">
        <f aca="false">P5487*$M5487</f>
        <v>0</v>
      </c>
      <c r="R5487" s="28"/>
      <c r="S5487" s="28" t="n">
        <f aca="false">R5487*$M5487</f>
        <v>0</v>
      </c>
      <c r="T5487" s="28"/>
      <c r="U5487" s="28" t="n">
        <f aca="false">T5487*$M5487</f>
        <v>0</v>
      </c>
      <c r="V5487" s="28"/>
      <c r="W5487" s="28" t="n">
        <f aca="false">V5487*$M5487</f>
        <v>0</v>
      </c>
      <c r="X5487" s="28"/>
      <c r="Y5487" s="28" t="n">
        <f aca="false">X5487*$M5487</f>
        <v>0</v>
      </c>
      <c r="Z5487" s="28"/>
      <c r="AA5487" s="28" t="n">
        <f aca="false">Z5487*$M5487</f>
        <v>0</v>
      </c>
      <c r="AB5487" s="28"/>
      <c r="AC5487" s="28" t="n">
        <f aca="false">AB5487*$M5487</f>
        <v>0</v>
      </c>
      <c r="AD5487" s="28"/>
      <c r="AE5487" s="28" t="n">
        <f aca="false">AD5487*$M5487</f>
        <v>0</v>
      </c>
      <c r="AF5487" s="28"/>
      <c r="AG5487" s="28" t="n">
        <f aca="false">AF5487*$M5487</f>
        <v>0</v>
      </c>
      <c r="AH5487" s="28" t="n">
        <v>19281</v>
      </c>
      <c r="AI5487" s="28" t="n">
        <v>57843</v>
      </c>
      <c r="AJ5487" s="28"/>
      <c r="AK5487" s="28" t="n">
        <f aca="false">AJ5487*$M5487</f>
        <v>0</v>
      </c>
      <c r="AL5487" s="28"/>
      <c r="AM5487" s="28" t="n">
        <f aca="false">AL5487*$M5487</f>
        <v>0</v>
      </c>
      <c r="AN5487" s="28"/>
      <c r="AO5487" s="28" t="n">
        <f aca="false">AN5487*$M5487</f>
        <v>0</v>
      </c>
      <c r="AP5487" s="28"/>
      <c r="AQ5487" s="28" t="n">
        <f aca="false">AP5487*$M5487</f>
        <v>0</v>
      </c>
      <c r="AR5487" s="28"/>
      <c r="AS5487" s="28" t="n">
        <f aca="false">AR5487*$M5487</f>
        <v>0</v>
      </c>
      <c r="AT5487" s="28"/>
      <c r="AU5487" s="28" t="n">
        <f aca="false">AT5487*$M5487</f>
        <v>0</v>
      </c>
      <c r="AV5487" s="28"/>
      <c r="AW5487" s="28" t="n">
        <f aca="false">AV5487*$M5487</f>
        <v>0</v>
      </c>
      <c r="AX5487" s="28"/>
      <c r="AY5487" s="28" t="n">
        <f aca="false">AX5487*$M5487</f>
        <v>0</v>
      </c>
      <c r="AZ5487" s="30" t="n">
        <v>19281</v>
      </c>
      <c r="BA5487" s="11" t="n">
        <v>57843</v>
      </c>
      <c r="BB5487" s="31" t="n">
        <f aca="false">SUM(Q5487,S5487,U5487,W5487,Y5487,AA5487,AC5487,AE5487,AG5487,AI5487,AK5487,AM5487,AO5487,AQ5487,AS5487,AU5487,AW5487,AY5487)</f>
        <v>57843</v>
      </c>
      <c r="BC5487" s="28" t="n">
        <f aca="false">BA5487-BB5487</f>
        <v>0</v>
      </c>
      <c r="BD5487" s="32" t="n">
        <f aca="false">SUM(P5487,R5487,T5487,V5487,X5487,Z5487,AB5487,AD5487,AF5487,AH5487,AJ5487,AL5487,AN5487,AP5487,AR5487,AT5487,AV5487,AX5487)</f>
        <v>19281</v>
      </c>
      <c r="BE5487" s="33" t="n">
        <f aca="false">AZ5487-BD5487</f>
        <v>0</v>
      </c>
      <c r="BF5487" s="34" t="n">
        <f aca="false">BD5487*M5487</f>
        <v>57843</v>
      </c>
      <c r="BG5487" s="35" t="n">
        <f aca="false">BA5487-BF5487</f>
        <v>0</v>
      </c>
      <c r="BH5487" s="19" t="str">
        <f aca="false">IF(BG5487=0,"",IF(BG5487&lt;&gt;BA5487,"erreur de calcul",IF(BD5487&lt;&gt;0,"pas de prix",IF(M5487&lt;&gt; 0,"pas de quantité","pas de prix, ni de quantité"))))</f>
        <v/>
      </c>
      <c r="BI5487" s="19"/>
    </row>
    <row r="5488" customFormat="false" ht="15" hidden="false" customHeight="false" outlineLevel="0" collapsed="false">
      <c r="A5488" s="0" t="n">
        <v>13</v>
      </c>
      <c r="B5488" s="8" t="s">
        <v>24</v>
      </c>
      <c r="C5488" s="9" t="s">
        <v>25</v>
      </c>
      <c r="D5488" s="9" t="s">
        <v>26</v>
      </c>
      <c r="E5488" s="10" t="n">
        <v>1789</v>
      </c>
      <c r="F5488" s="9" t="s">
        <v>27</v>
      </c>
      <c r="G5488" s="9" t="s">
        <v>27</v>
      </c>
      <c r="H5488" s="11" t="n">
        <v>24</v>
      </c>
      <c r="I5488" s="11" t="s">
        <v>302</v>
      </c>
      <c r="J5488" s="14" t="n">
        <v>112</v>
      </c>
      <c r="K5488" s="14"/>
      <c r="L5488" s="16"/>
      <c r="M5488" s="27" t="n">
        <f aca="false">J5488+(K5488/20)+(L5488/240)</f>
        <v>112</v>
      </c>
      <c r="N5488" s="17" t="s">
        <v>64</v>
      </c>
      <c r="O5488" s="11"/>
      <c r="P5488" s="28" t="n">
        <f aca="false">99503/100</f>
        <v>995.03</v>
      </c>
      <c r="Q5488" s="28" t="n">
        <v>111443</v>
      </c>
      <c r="R5488" s="28"/>
      <c r="S5488" s="28" t="n">
        <f aca="false">R5488*$M5488</f>
        <v>0</v>
      </c>
      <c r="T5488" s="28" t="n">
        <f aca="false">8445/100</f>
        <v>84.45</v>
      </c>
      <c r="U5488" s="28" t="n">
        <v>9458</v>
      </c>
      <c r="V5488" s="28" t="n">
        <f aca="false">2517/100</f>
        <v>25.17</v>
      </c>
      <c r="W5488" s="28" t="n">
        <v>2819</v>
      </c>
      <c r="X5488" s="28" t="n">
        <f aca="false">4729/100</f>
        <v>47.29</v>
      </c>
      <c r="Y5488" s="28" t="n">
        <v>5296</v>
      </c>
      <c r="Z5488" s="28" t="n">
        <f aca="false">198115/100</f>
        <v>1981.15</v>
      </c>
      <c r="AA5488" s="28" t="n">
        <v>221889</v>
      </c>
      <c r="AB5488" s="28"/>
      <c r="AC5488" s="28" t="n">
        <f aca="false">AB5488*$M5488</f>
        <v>0</v>
      </c>
      <c r="AD5488" s="28"/>
      <c r="AE5488" s="28" t="n">
        <f aca="false">AD5488*$M5488</f>
        <v>0</v>
      </c>
      <c r="AF5488" s="28" t="n">
        <f aca="false">67420/100</f>
        <v>674.2</v>
      </c>
      <c r="AG5488" s="28" t="n">
        <v>75510</v>
      </c>
      <c r="AH5488" s="28" t="n">
        <f aca="false">415806/100</f>
        <v>4158.06</v>
      </c>
      <c r="AI5488" s="28" t="n">
        <v>465703</v>
      </c>
      <c r="AJ5488" s="28"/>
      <c r="AK5488" s="28" t="n">
        <f aca="false">AJ5488*$M5488</f>
        <v>0</v>
      </c>
      <c r="AL5488" s="28" t="n">
        <f aca="false">324/100</f>
        <v>3.24</v>
      </c>
      <c r="AM5488" s="28" t="n">
        <v>363</v>
      </c>
      <c r="AN5488" s="28"/>
      <c r="AO5488" s="28" t="n">
        <f aca="false">AN5488*$M5488</f>
        <v>0</v>
      </c>
      <c r="AP5488" s="28"/>
      <c r="AQ5488" s="28" t="n">
        <f aca="false">AP5488*$M5488</f>
        <v>0</v>
      </c>
      <c r="AR5488" s="28"/>
      <c r="AS5488" s="28" t="n">
        <f aca="false">AR5488*$M5488</f>
        <v>0</v>
      </c>
      <c r="AT5488" s="28"/>
      <c r="AU5488" s="28" t="n">
        <f aca="false">AT5488*$M5488</f>
        <v>0</v>
      </c>
      <c r="AV5488" s="28"/>
      <c r="AW5488" s="28" t="n">
        <f aca="false">AV5488*$M5488</f>
        <v>0</v>
      </c>
      <c r="AX5488" s="28"/>
      <c r="AY5488" s="28" t="n">
        <f aca="false">AX5488*$M5488</f>
        <v>0</v>
      </c>
      <c r="AZ5488" s="30" t="n">
        <f aca="false">796859/100</f>
        <v>7968.59</v>
      </c>
      <c r="BA5488" s="11" t="n">
        <v>892481</v>
      </c>
      <c r="BB5488" s="31" t="n">
        <f aca="false">SUM(Q5488,S5488,U5488,W5488,Y5488,AA5488,AC5488,AE5488,AG5488,AI5488,AK5488,AM5488,AO5488,AQ5488,AS5488,AU5488,AW5488,AY5488)</f>
        <v>892481</v>
      </c>
      <c r="BC5488" s="28" t="n">
        <f aca="false">BA5488-BB5488</f>
        <v>0</v>
      </c>
      <c r="BD5488" s="32" t="n">
        <f aca="false">SUM(P5488,R5488,T5488,V5488,X5488,Z5488,AB5488,AD5488,AF5488,AH5488,AJ5488,AL5488,AN5488,AP5488,AR5488,AT5488,AV5488,AX5488)</f>
        <v>7968.59</v>
      </c>
      <c r="BE5488" s="33" t="n">
        <f aca="false">AZ5488-BD5488</f>
        <v>0</v>
      </c>
      <c r="BF5488" s="34" t="n">
        <f aca="false">BD5488*M5488</f>
        <v>892482.08</v>
      </c>
      <c r="BG5488" s="35" t="n">
        <f aca="false">BA5488-BF5488</f>
        <v>-1.07999999995809</v>
      </c>
      <c r="BH5488" s="19" t="str">
        <f aca="false">IF(BG5488=0,"",IF(BG5488&lt;&gt;BA5488,"erreur de calcul",IF(BD5488&lt;&gt;0,"pas de prix",IF(M5488&lt;&gt; 0,"pas de quantité","pas de prix, ni de quantité"))))</f>
        <v>erreur de calcul</v>
      </c>
      <c r="BI5488" s="19"/>
    </row>
    <row r="5489" customFormat="false" ht="15" hidden="false" customHeight="false" outlineLevel="0" collapsed="false">
      <c r="A5489" s="0" t="n">
        <v>14</v>
      </c>
      <c r="B5489" s="8" t="s">
        <v>24</v>
      </c>
      <c r="C5489" s="9" t="s">
        <v>25</v>
      </c>
      <c r="D5489" s="9" t="s">
        <v>26</v>
      </c>
      <c r="E5489" s="10" t="n">
        <v>1789</v>
      </c>
      <c r="F5489" s="9" t="s">
        <v>27</v>
      </c>
      <c r="G5489" s="9" t="s">
        <v>27</v>
      </c>
      <c r="H5489" s="11" t="n">
        <v>24</v>
      </c>
      <c r="I5489" s="11" t="s">
        <v>303</v>
      </c>
      <c r="J5489" s="14" t="n">
        <v>50</v>
      </c>
      <c r="K5489" s="14"/>
      <c r="L5489" s="16"/>
      <c r="M5489" s="27" t="n">
        <f aca="false">J5489+(K5489/20)+(L5489/240)</f>
        <v>50</v>
      </c>
      <c r="N5489" s="17" t="s">
        <v>64</v>
      </c>
      <c r="O5489" s="11"/>
      <c r="P5489" s="28"/>
      <c r="Q5489" s="28" t="n">
        <f aca="false">P5489*$M5489</f>
        <v>0</v>
      </c>
      <c r="R5489" s="28"/>
      <c r="S5489" s="28" t="n">
        <f aca="false">R5489*$M5489</f>
        <v>0</v>
      </c>
      <c r="T5489" s="28"/>
      <c r="U5489" s="28" t="n">
        <f aca="false">T5489*$M5489</f>
        <v>0</v>
      </c>
      <c r="V5489" s="28"/>
      <c r="W5489" s="28" t="n">
        <f aca="false">V5489*$M5489</f>
        <v>0</v>
      </c>
      <c r="X5489" s="28"/>
      <c r="Y5489" s="28" t="n">
        <f aca="false">X5489*$M5489</f>
        <v>0</v>
      </c>
      <c r="Z5489" s="28"/>
      <c r="AA5489" s="28" t="n">
        <f aca="false">Z5489*$M5489</f>
        <v>0</v>
      </c>
      <c r="AB5489" s="28"/>
      <c r="AC5489" s="28" t="n">
        <f aca="false">AB5489*$M5489</f>
        <v>0</v>
      </c>
      <c r="AD5489" s="28"/>
      <c r="AE5489" s="28" t="n">
        <f aca="false">AD5489*$M5489</f>
        <v>0</v>
      </c>
      <c r="AF5489" s="28" t="n">
        <f aca="false">208461/100</f>
        <v>2084.61</v>
      </c>
      <c r="AG5489" s="28" t="n">
        <v>104230</v>
      </c>
      <c r="AH5489" s="28" t="n">
        <f aca="false">757624/100</f>
        <v>7576.24</v>
      </c>
      <c r="AI5489" s="28" t="n">
        <v>378812</v>
      </c>
      <c r="AJ5489" s="28"/>
      <c r="AK5489" s="28" t="n">
        <f aca="false">AJ5489*$M5489</f>
        <v>0</v>
      </c>
      <c r="AL5489" s="28"/>
      <c r="AM5489" s="28" t="n">
        <f aca="false">AL5489*$M5489</f>
        <v>0</v>
      </c>
      <c r="AN5489" s="28"/>
      <c r="AO5489" s="28" t="n">
        <f aca="false">AN5489*$M5489</f>
        <v>0</v>
      </c>
      <c r="AP5489" s="28"/>
      <c r="AQ5489" s="28" t="n">
        <f aca="false">AP5489*$M5489</f>
        <v>0</v>
      </c>
      <c r="AR5489" s="28"/>
      <c r="AS5489" s="28" t="n">
        <f aca="false">AR5489*$M5489</f>
        <v>0</v>
      </c>
      <c r="AT5489" s="28"/>
      <c r="AU5489" s="28" t="n">
        <f aca="false">AT5489*$M5489</f>
        <v>0</v>
      </c>
      <c r="AV5489" s="28"/>
      <c r="AW5489" s="28" t="n">
        <f aca="false">AV5489*$M5489</f>
        <v>0</v>
      </c>
      <c r="AX5489" s="28"/>
      <c r="AY5489" s="28" t="n">
        <f aca="false">AX5489*$M5489</f>
        <v>0</v>
      </c>
      <c r="AZ5489" s="30" t="n">
        <f aca="false">966085/100</f>
        <v>9660.85</v>
      </c>
      <c r="BA5489" s="11" t="n">
        <v>483042</v>
      </c>
      <c r="BB5489" s="31" t="n">
        <f aca="false">SUM(Q5489,S5489,U5489,W5489,Y5489,AA5489,AC5489,AE5489,AG5489,AI5489,AK5489,AM5489,AO5489,AQ5489,AS5489,AU5489,AW5489,AY5489)</f>
        <v>483042</v>
      </c>
      <c r="BC5489" s="28" t="n">
        <f aca="false">BA5489-BB5489</f>
        <v>0</v>
      </c>
      <c r="BD5489" s="32" t="n">
        <f aca="false">SUM(P5489,R5489,T5489,V5489,X5489,Z5489,AB5489,AD5489,AF5489,AH5489,AJ5489,AL5489,AN5489,AP5489,AR5489,AT5489,AV5489,AX5489)</f>
        <v>9660.85</v>
      </c>
      <c r="BE5489" s="33" t="n">
        <f aca="false">AZ5489-BD5489</f>
        <v>0</v>
      </c>
      <c r="BF5489" s="34" t="n">
        <f aca="false">BD5489*M5489</f>
        <v>483042.5</v>
      </c>
      <c r="BG5489" s="35" t="n">
        <f aca="false">BA5489-BF5489</f>
        <v>-0.5</v>
      </c>
      <c r="BH5489" s="19" t="str">
        <f aca="false">IF(BG5489=0,"",IF(BG5489&lt;&gt;BA5489,"erreur de calcul",IF(BD5489&lt;&gt;0,"pas de prix",IF(M5489&lt;&gt; 0,"pas de quantité","pas de prix, ni de quantité"))))</f>
        <v>erreur de calcul</v>
      </c>
      <c r="BI5489" s="19"/>
    </row>
    <row r="5490" customFormat="false" ht="15" hidden="false" customHeight="false" outlineLevel="0" collapsed="false">
      <c r="A5490" s="0" t="n">
        <v>15</v>
      </c>
      <c r="B5490" s="8" t="s">
        <v>24</v>
      </c>
      <c r="C5490" s="9" t="s">
        <v>25</v>
      </c>
      <c r="D5490" s="9" t="s">
        <v>26</v>
      </c>
      <c r="E5490" s="10" t="n">
        <v>1789</v>
      </c>
      <c r="F5490" s="9" t="s">
        <v>27</v>
      </c>
      <c r="G5490" s="9" t="s">
        <v>27</v>
      </c>
      <c r="H5490" s="11" t="n">
        <v>24</v>
      </c>
      <c r="I5490" s="11" t="s">
        <v>304</v>
      </c>
      <c r="J5490" s="14" t="n">
        <v>340</v>
      </c>
      <c r="K5490" s="14"/>
      <c r="L5490" s="16"/>
      <c r="M5490" s="27" t="n">
        <f aca="false">J5490+(K5490/20)+(L5490/240)</f>
        <v>340</v>
      </c>
      <c r="N5490" s="17" t="s">
        <v>64</v>
      </c>
      <c r="O5490" s="11"/>
      <c r="P5490" s="28"/>
      <c r="Q5490" s="28" t="n">
        <f aca="false">P5490*$M5490</f>
        <v>0</v>
      </c>
      <c r="R5490" s="28"/>
      <c r="S5490" s="28" t="n">
        <f aca="false">R5490*$M5490</f>
        <v>0</v>
      </c>
      <c r="T5490" s="28"/>
      <c r="U5490" s="28" t="n">
        <f aca="false">T5490*$M5490</f>
        <v>0</v>
      </c>
      <c r="V5490" s="28"/>
      <c r="W5490" s="28" t="n">
        <f aca="false">V5490*$M5490</f>
        <v>0</v>
      </c>
      <c r="X5490" s="28"/>
      <c r="Y5490" s="28" t="n">
        <f aca="false">X5490*$M5490</f>
        <v>0</v>
      </c>
      <c r="Z5490" s="28"/>
      <c r="AA5490" s="28" t="n">
        <f aca="false">Z5490*$M5490</f>
        <v>0</v>
      </c>
      <c r="AB5490" s="28" t="n">
        <f aca="false">339883/100</f>
        <v>3398.83</v>
      </c>
      <c r="AC5490" s="28" t="n">
        <v>1155602</v>
      </c>
      <c r="AD5490" s="28"/>
      <c r="AE5490" s="28" t="n">
        <f aca="false">AD5490*$M5490</f>
        <v>0</v>
      </c>
      <c r="AF5490" s="28"/>
      <c r="AG5490" s="28" t="n">
        <f aca="false">AF5490*$M5490</f>
        <v>0</v>
      </c>
      <c r="AH5490" s="28"/>
      <c r="AI5490" s="28" t="n">
        <f aca="false">AH5490*$M5490</f>
        <v>0</v>
      </c>
      <c r="AJ5490" s="28"/>
      <c r="AK5490" s="28" t="n">
        <f aca="false">AJ5490*$M5490</f>
        <v>0</v>
      </c>
      <c r="AL5490" s="28"/>
      <c r="AM5490" s="28" t="n">
        <f aca="false">AL5490*$M5490</f>
        <v>0</v>
      </c>
      <c r="AN5490" s="28"/>
      <c r="AO5490" s="28" t="n">
        <f aca="false">AN5490*$M5490</f>
        <v>0</v>
      </c>
      <c r="AP5490" s="28"/>
      <c r="AQ5490" s="28" t="n">
        <f aca="false">AP5490*$M5490</f>
        <v>0</v>
      </c>
      <c r="AR5490" s="28"/>
      <c r="AS5490" s="28" t="n">
        <f aca="false">AR5490*$M5490</f>
        <v>0</v>
      </c>
      <c r="AT5490" s="28"/>
      <c r="AU5490" s="28" t="n">
        <f aca="false">AT5490*$M5490</f>
        <v>0</v>
      </c>
      <c r="AV5490" s="28"/>
      <c r="AW5490" s="28" t="n">
        <f aca="false">AV5490*$M5490</f>
        <v>0</v>
      </c>
      <c r="AX5490" s="28"/>
      <c r="AY5490" s="28" t="n">
        <f aca="false">AX5490*$M5490</f>
        <v>0</v>
      </c>
      <c r="AZ5490" s="30" t="n">
        <f aca="false">339883/100</f>
        <v>3398.83</v>
      </c>
      <c r="BA5490" s="11" t="n">
        <v>1155602</v>
      </c>
      <c r="BB5490" s="31" t="n">
        <f aca="false">SUM(Q5490,S5490,U5490,W5490,Y5490,AA5490,AC5490,AE5490,AG5490,AI5490,AK5490,AM5490,AO5490,AQ5490,AS5490,AU5490,AW5490,AY5490)</f>
        <v>1155602</v>
      </c>
      <c r="BC5490" s="28" t="n">
        <f aca="false">BA5490-BB5490</f>
        <v>0</v>
      </c>
      <c r="BD5490" s="32" t="n">
        <f aca="false">SUM(P5490,R5490,T5490,V5490,X5490,Z5490,AB5490,AD5490,AF5490,AH5490,AJ5490,AL5490,AN5490,AP5490,AR5490,AT5490,AV5490,AX5490)</f>
        <v>3398.83</v>
      </c>
      <c r="BE5490" s="33" t="n">
        <f aca="false">AZ5490-BD5490</f>
        <v>0</v>
      </c>
      <c r="BF5490" s="34" t="n">
        <f aca="false">BD5490*M5490</f>
        <v>1155602.2</v>
      </c>
      <c r="BG5490" s="35" t="n">
        <f aca="false">BA5490-BF5490</f>
        <v>-0.199999999953434</v>
      </c>
      <c r="BH5490" s="19" t="str">
        <f aca="false">IF(BG5490=0,"",IF(BG5490&lt;&gt;BA5490,"erreur de calcul",IF(BD5490&lt;&gt;0,"pas de prix",IF(M5490&lt;&gt; 0,"pas de quantité","pas de prix, ni de quantité"))))</f>
        <v>erreur de calcul</v>
      </c>
      <c r="BI5490" s="19"/>
    </row>
    <row r="5491" customFormat="false" ht="15" hidden="false" customHeight="false" outlineLevel="0" collapsed="false">
      <c r="A5491" s="0" t="n">
        <v>16</v>
      </c>
      <c r="B5491" s="8" t="s">
        <v>24</v>
      </c>
      <c r="C5491" s="9" t="s">
        <v>25</v>
      </c>
      <c r="D5491" s="9" t="s">
        <v>26</v>
      </c>
      <c r="E5491" s="10" t="n">
        <v>1789</v>
      </c>
      <c r="F5491" s="9" t="s">
        <v>27</v>
      </c>
      <c r="G5491" s="9" t="s">
        <v>27</v>
      </c>
      <c r="H5491" s="11" t="n">
        <v>24</v>
      </c>
      <c r="I5491" s="11" t="s">
        <v>305</v>
      </c>
      <c r="J5491" s="14" t="n">
        <v>235</v>
      </c>
      <c r="K5491" s="14"/>
      <c r="L5491" s="16"/>
      <c r="M5491" s="27" t="n">
        <f aca="false">J5491+(K5491/20)+(L5491/240)</f>
        <v>235</v>
      </c>
      <c r="N5491" s="17" t="s">
        <v>64</v>
      </c>
      <c r="O5491" s="11"/>
      <c r="P5491" s="28" t="n">
        <f aca="false">34642/100</f>
        <v>346.42</v>
      </c>
      <c r="Q5491" s="28" t="n">
        <v>81409</v>
      </c>
      <c r="R5491" s="28"/>
      <c r="S5491" s="28" t="n">
        <f aca="false">R5491*$M5491</f>
        <v>0</v>
      </c>
      <c r="T5491" s="28"/>
      <c r="U5491" s="28" t="n">
        <f aca="false">T5491*$M5491</f>
        <v>0</v>
      </c>
      <c r="V5491" s="28"/>
      <c r="W5491" s="28" t="n">
        <f aca="false">V5491*$M5491</f>
        <v>0</v>
      </c>
      <c r="X5491" s="28"/>
      <c r="Y5491" s="28" t="n">
        <f aca="false">X5491*$M5491</f>
        <v>0</v>
      </c>
      <c r="Z5491" s="28"/>
      <c r="AA5491" s="28" t="n">
        <f aca="false">Z5491*$M5491</f>
        <v>0</v>
      </c>
      <c r="AB5491" s="28"/>
      <c r="AC5491" s="28" t="n">
        <f aca="false">AB5491*$M5491</f>
        <v>0</v>
      </c>
      <c r="AD5491" s="28"/>
      <c r="AE5491" s="28" t="n">
        <f aca="false">AD5491*$M5491</f>
        <v>0</v>
      </c>
      <c r="AF5491" s="28"/>
      <c r="AG5491" s="28" t="n">
        <f aca="false">AF5491*$M5491</f>
        <v>0</v>
      </c>
      <c r="AH5491" s="28"/>
      <c r="AI5491" s="28" t="n">
        <f aca="false">AH5491*$M5491</f>
        <v>0</v>
      </c>
      <c r="AJ5491" s="28"/>
      <c r="AK5491" s="28" t="n">
        <f aca="false">AJ5491*$M5491</f>
        <v>0</v>
      </c>
      <c r="AL5491" s="28"/>
      <c r="AM5491" s="28" t="n">
        <f aca="false">AL5491*$M5491</f>
        <v>0</v>
      </c>
      <c r="AN5491" s="28"/>
      <c r="AO5491" s="28" t="n">
        <f aca="false">AN5491*$M5491</f>
        <v>0</v>
      </c>
      <c r="AP5491" s="28"/>
      <c r="AQ5491" s="28" t="n">
        <f aca="false">AP5491*$M5491</f>
        <v>0</v>
      </c>
      <c r="AR5491" s="28"/>
      <c r="AS5491" s="28" t="n">
        <f aca="false">AR5491*$M5491</f>
        <v>0</v>
      </c>
      <c r="AT5491" s="28"/>
      <c r="AU5491" s="28" t="n">
        <f aca="false">AT5491*$M5491</f>
        <v>0</v>
      </c>
      <c r="AV5491" s="28"/>
      <c r="AW5491" s="28" t="n">
        <f aca="false">AV5491*$M5491</f>
        <v>0</v>
      </c>
      <c r="AX5491" s="28"/>
      <c r="AY5491" s="28" t="n">
        <f aca="false">AX5491*$M5491</f>
        <v>0</v>
      </c>
      <c r="AZ5491" s="30" t="n">
        <f aca="false">34642/100</f>
        <v>346.42</v>
      </c>
      <c r="BA5491" s="11" t="n">
        <v>81409</v>
      </c>
      <c r="BB5491" s="31" t="n">
        <f aca="false">SUM(Q5491,S5491,U5491,W5491,Y5491,AA5491,AC5491,AE5491,AG5491,AI5491,AK5491,AM5491,AO5491,AQ5491,AS5491,AU5491,AW5491,AY5491)</f>
        <v>81409</v>
      </c>
      <c r="BC5491" s="28" t="n">
        <f aca="false">BA5491-BB5491</f>
        <v>0</v>
      </c>
      <c r="BD5491" s="32" t="n">
        <f aca="false">SUM(P5491,R5491,T5491,V5491,X5491,Z5491,AB5491,AD5491,AF5491,AH5491,AJ5491,AL5491,AN5491,AP5491,AR5491,AT5491,AV5491,AX5491)</f>
        <v>346.42</v>
      </c>
      <c r="BE5491" s="33" t="n">
        <f aca="false">AZ5491-BD5491</f>
        <v>0</v>
      </c>
      <c r="BF5491" s="34" t="n">
        <f aca="false">BD5491*M5491</f>
        <v>81408.7</v>
      </c>
      <c r="BG5491" s="35" t="n">
        <f aca="false">BA5491-BF5491</f>
        <v>0.30000000000291</v>
      </c>
      <c r="BH5491" s="19" t="str">
        <f aca="false">IF(BG5491=0,"",IF(BG5491&lt;&gt;BA5491,"erreur de calcul",IF(BD5491&lt;&gt;0,"pas de prix",IF(M5491&lt;&gt; 0,"pas de quantité","pas de prix, ni de quantité"))))</f>
        <v>erreur de calcul</v>
      </c>
      <c r="BI5491" s="19"/>
    </row>
    <row r="5492" customFormat="false" ht="15" hidden="false" customHeight="false" outlineLevel="0" collapsed="false">
      <c r="A5492" s="0" t="n">
        <v>17</v>
      </c>
      <c r="B5492" s="8" t="s">
        <v>24</v>
      </c>
      <c r="C5492" s="9" t="s">
        <v>25</v>
      </c>
      <c r="D5492" s="9" t="s">
        <v>26</v>
      </c>
      <c r="E5492" s="10" t="n">
        <v>1789</v>
      </c>
      <c r="F5492" s="9" t="s">
        <v>27</v>
      </c>
      <c r="G5492" s="9" t="s">
        <v>27</v>
      </c>
      <c r="H5492" s="11" t="n">
        <v>24</v>
      </c>
      <c r="I5492" s="11" t="s">
        <v>306</v>
      </c>
      <c r="J5492" s="14" t="n">
        <v>71</v>
      </c>
      <c r="K5492" s="14"/>
      <c r="L5492" s="16"/>
      <c r="M5492" s="27" t="n">
        <f aca="false">J5492+(K5492/20)+(L5492/240)</f>
        <v>71</v>
      </c>
      <c r="N5492" s="17" t="s">
        <v>64</v>
      </c>
      <c r="O5492" s="11"/>
      <c r="P5492" s="28"/>
      <c r="Q5492" s="28" t="n">
        <f aca="false">P5492*$M5492</f>
        <v>0</v>
      </c>
      <c r="R5492" s="28"/>
      <c r="S5492" s="28" t="n">
        <f aca="false">R5492*$M5492</f>
        <v>0</v>
      </c>
      <c r="T5492" s="28" t="n">
        <f aca="false">12674/100</f>
        <v>126.74</v>
      </c>
      <c r="U5492" s="28" t="n">
        <v>8998</v>
      </c>
      <c r="V5492" s="28"/>
      <c r="W5492" s="28" t="n">
        <f aca="false">V5492*$M5492</f>
        <v>0</v>
      </c>
      <c r="X5492" s="28"/>
      <c r="Y5492" s="28" t="n">
        <f aca="false">X5492*$M5492</f>
        <v>0</v>
      </c>
      <c r="Z5492" s="28"/>
      <c r="AA5492" s="28" t="n">
        <f aca="false">Z5492*$M5492</f>
        <v>0</v>
      </c>
      <c r="AB5492" s="28"/>
      <c r="AC5492" s="28" t="n">
        <f aca="false">AB5492*$M5492</f>
        <v>0</v>
      </c>
      <c r="AD5492" s="28" t="n">
        <f aca="false">4283/100</f>
        <v>42.83</v>
      </c>
      <c r="AE5492" s="28" t="n">
        <v>3041</v>
      </c>
      <c r="AF5492" s="28" t="n">
        <f aca="false">2978140/100</f>
        <v>29781.4</v>
      </c>
      <c r="AG5492" s="28" t="n">
        <v>2114479</v>
      </c>
      <c r="AH5492" s="28" t="n">
        <f aca="false">4119032/100</f>
        <v>41190.32</v>
      </c>
      <c r="AI5492" s="28" t="n">
        <v>2924512</v>
      </c>
      <c r="AJ5492" s="28"/>
      <c r="AK5492" s="28" t="n">
        <f aca="false">AJ5492*$M5492</f>
        <v>0</v>
      </c>
      <c r="AL5492" s="28"/>
      <c r="AM5492" s="28" t="n">
        <f aca="false">AL5492*$M5492</f>
        <v>0</v>
      </c>
      <c r="AN5492" s="28"/>
      <c r="AO5492" s="28" t="n">
        <f aca="false">AN5492*$M5492</f>
        <v>0</v>
      </c>
      <c r="AP5492" s="28"/>
      <c r="AQ5492" s="28" t="n">
        <f aca="false">AP5492*$M5492</f>
        <v>0</v>
      </c>
      <c r="AR5492" s="28"/>
      <c r="AS5492" s="28" t="n">
        <f aca="false">AR5492*$M5492</f>
        <v>0</v>
      </c>
      <c r="AT5492" s="28"/>
      <c r="AU5492" s="28" t="n">
        <f aca="false">AT5492*$M5492</f>
        <v>0</v>
      </c>
      <c r="AV5492" s="28"/>
      <c r="AW5492" s="28" t="n">
        <f aca="false">AV5492*$M5492</f>
        <v>0</v>
      </c>
      <c r="AX5492" s="28"/>
      <c r="AY5492" s="28" t="n">
        <f aca="false">AX5492*$M5492</f>
        <v>0</v>
      </c>
      <c r="AZ5492" s="30" t="n">
        <f aca="false">7114129/100</f>
        <v>71141.29</v>
      </c>
      <c r="BA5492" s="11" t="n">
        <v>5051030</v>
      </c>
      <c r="BB5492" s="31" t="n">
        <f aca="false">SUM(Q5492,S5492,U5492,W5492,Y5492,AA5492,AC5492,AE5492,AG5492,AI5492,AK5492,AM5492,AO5492,AQ5492,AS5492,AU5492,AW5492,AY5492)</f>
        <v>5051030</v>
      </c>
      <c r="BC5492" s="28" t="n">
        <f aca="false">BA5492-BB5492</f>
        <v>0</v>
      </c>
      <c r="BD5492" s="32" t="n">
        <f aca="false">SUM(P5492,R5492,T5492,V5492,X5492,Z5492,AB5492,AD5492,AF5492,AH5492,AJ5492,AL5492,AN5492,AP5492,AR5492,AT5492,AV5492,AX5492)</f>
        <v>71141.29</v>
      </c>
      <c r="BE5492" s="33" t="n">
        <f aca="false">AZ5492-BD5492</f>
        <v>0</v>
      </c>
      <c r="BF5492" s="34" t="n">
        <f aca="false">BD5492*M5492</f>
        <v>5051031.59</v>
      </c>
      <c r="BG5492" s="35" t="n">
        <f aca="false">BA5492-BF5492</f>
        <v>-1.59000000078231</v>
      </c>
      <c r="BH5492" s="19" t="str">
        <f aca="false">IF(BG5492=0,"",IF(BG5492&lt;&gt;BA5492,"erreur de calcul",IF(BD5492&lt;&gt;0,"pas de prix",IF(M5492&lt;&gt; 0,"pas de quantité","pas de prix, ni de quantité"))))</f>
        <v>erreur de calcul</v>
      </c>
      <c r="BI5492" s="19"/>
    </row>
    <row r="5493" customFormat="false" ht="15" hidden="false" customHeight="false" outlineLevel="0" collapsed="false">
      <c r="A5493" s="0" t="n">
        <v>18</v>
      </c>
      <c r="B5493" s="8" t="s">
        <v>24</v>
      </c>
      <c r="C5493" s="9" t="s">
        <v>25</v>
      </c>
      <c r="D5493" s="9" t="s">
        <v>26</v>
      </c>
      <c r="E5493" s="10" t="n">
        <v>1789</v>
      </c>
      <c r="F5493" s="9" t="s">
        <v>27</v>
      </c>
      <c r="G5493" s="9" t="s">
        <v>27</v>
      </c>
      <c r="H5493" s="11" t="n">
        <v>24</v>
      </c>
      <c r="I5493" s="11" t="s">
        <v>307</v>
      </c>
      <c r="J5493" s="14" t="n">
        <v>45</v>
      </c>
      <c r="K5493" s="14"/>
      <c r="L5493" s="16"/>
      <c r="M5493" s="27" t="n">
        <f aca="false">J5493+(K5493/20)+(L5493/240)</f>
        <v>45</v>
      </c>
      <c r="N5493" s="17" t="s">
        <v>64</v>
      </c>
      <c r="O5493" s="11"/>
      <c r="P5493" s="28"/>
      <c r="Q5493" s="28" t="n">
        <f aca="false">P5493*$M5493</f>
        <v>0</v>
      </c>
      <c r="R5493" s="28"/>
      <c r="S5493" s="28" t="n">
        <f aca="false">R5493*$M5493</f>
        <v>0</v>
      </c>
      <c r="T5493" s="28"/>
      <c r="U5493" s="28" t="n">
        <f aca="false">T5493*$M5493</f>
        <v>0</v>
      </c>
      <c r="V5493" s="28"/>
      <c r="W5493" s="28" t="n">
        <f aca="false">V5493*$M5493</f>
        <v>0</v>
      </c>
      <c r="X5493" s="28"/>
      <c r="Y5493" s="28" t="n">
        <f aca="false">X5493*$M5493</f>
        <v>0</v>
      </c>
      <c r="Z5493" s="28"/>
      <c r="AA5493" s="28" t="n">
        <f aca="false">Z5493*$M5493</f>
        <v>0</v>
      </c>
      <c r="AB5493" s="28"/>
      <c r="AC5493" s="28" t="n">
        <f aca="false">AB5493*$M5493</f>
        <v>0</v>
      </c>
      <c r="AD5493" s="28"/>
      <c r="AE5493" s="28" t="n">
        <f aca="false">AD5493*$M5493</f>
        <v>0</v>
      </c>
      <c r="AF5493" s="28"/>
      <c r="AG5493" s="28" t="n">
        <f aca="false">AF5493*$M5493</f>
        <v>0</v>
      </c>
      <c r="AH5493" s="28"/>
      <c r="AI5493" s="28" t="n">
        <f aca="false">AH5493*$M5493</f>
        <v>0</v>
      </c>
      <c r="AJ5493" s="28"/>
      <c r="AK5493" s="28" t="n">
        <f aca="false">AJ5493*$M5493</f>
        <v>0</v>
      </c>
      <c r="AL5493" s="28" t="n">
        <f aca="false">971/100</f>
        <v>9.71</v>
      </c>
      <c r="AM5493" s="28" t="n">
        <v>437</v>
      </c>
      <c r="AN5493" s="28"/>
      <c r="AO5493" s="28" t="n">
        <f aca="false">AN5493*$M5493</f>
        <v>0</v>
      </c>
      <c r="AP5493" s="28"/>
      <c r="AQ5493" s="28" t="n">
        <f aca="false">AP5493*$M5493</f>
        <v>0</v>
      </c>
      <c r="AR5493" s="28"/>
      <c r="AS5493" s="28" t="n">
        <f aca="false">AR5493*$M5493</f>
        <v>0</v>
      </c>
      <c r="AT5493" s="28"/>
      <c r="AU5493" s="28" t="n">
        <f aca="false">AT5493*$M5493</f>
        <v>0</v>
      </c>
      <c r="AV5493" s="28"/>
      <c r="AW5493" s="28" t="n">
        <f aca="false">AV5493*$M5493</f>
        <v>0</v>
      </c>
      <c r="AX5493" s="28"/>
      <c r="AY5493" s="28" t="n">
        <f aca="false">AX5493*$M5493</f>
        <v>0</v>
      </c>
      <c r="AZ5493" s="30" t="n">
        <f aca="false">971/100</f>
        <v>9.71</v>
      </c>
      <c r="BA5493" s="11" t="n">
        <v>437</v>
      </c>
      <c r="BB5493" s="31" t="n">
        <f aca="false">SUM(Q5493,S5493,U5493,W5493,Y5493,AA5493,AC5493,AE5493,AG5493,AI5493,AK5493,AM5493,AO5493,AQ5493,AS5493,AU5493,AW5493,AY5493)</f>
        <v>437</v>
      </c>
      <c r="BC5493" s="28" t="n">
        <f aca="false">BA5493-BB5493</f>
        <v>0</v>
      </c>
      <c r="BD5493" s="32" t="n">
        <f aca="false">SUM(P5493,R5493,T5493,V5493,X5493,Z5493,AB5493,AD5493,AF5493,AH5493,AJ5493,AL5493,AN5493,AP5493,AR5493,AT5493,AV5493,AX5493)</f>
        <v>9.71</v>
      </c>
      <c r="BE5493" s="33" t="n">
        <f aca="false">AZ5493-BD5493</f>
        <v>0</v>
      </c>
      <c r="BF5493" s="34" t="n">
        <f aca="false">BD5493*M5493</f>
        <v>436.95</v>
      </c>
      <c r="BG5493" s="35" t="n">
        <f aca="false">BA5493-BF5493</f>
        <v>0.0499999999999545</v>
      </c>
      <c r="BH5493" s="19" t="str">
        <f aca="false">IF(BG5493=0,"",IF(BG5493&lt;&gt;BA5493,"erreur de calcul",IF(BD5493&lt;&gt;0,"pas de prix",IF(M5493&lt;&gt; 0,"pas de quantité","pas de prix, ni de quantité"))))</f>
        <v>erreur de calcul</v>
      </c>
      <c r="BI5493" s="19"/>
    </row>
    <row r="5494" customFormat="false" ht="15" hidden="false" customHeight="false" outlineLevel="0" collapsed="false">
      <c r="A5494" s="0" t="n">
        <v>19</v>
      </c>
      <c r="B5494" s="8" t="s">
        <v>24</v>
      </c>
      <c r="C5494" s="9" t="s">
        <v>25</v>
      </c>
      <c r="D5494" s="9" t="s">
        <v>26</v>
      </c>
      <c r="E5494" s="10" t="n">
        <v>1789</v>
      </c>
      <c r="F5494" s="9" t="s">
        <v>27</v>
      </c>
      <c r="G5494" s="9" t="s">
        <v>27</v>
      </c>
      <c r="H5494" s="11" t="n">
        <v>24</v>
      </c>
      <c r="I5494" s="11" t="s">
        <v>308</v>
      </c>
      <c r="J5494" s="14" t="n">
        <v>240</v>
      </c>
      <c r="K5494" s="14"/>
      <c r="L5494" s="16"/>
      <c r="M5494" s="27" t="n">
        <f aca="false">J5494+(K5494/20)+(L5494/240)</f>
        <v>240</v>
      </c>
      <c r="N5494" s="17" t="s">
        <v>64</v>
      </c>
      <c r="O5494" s="11"/>
      <c r="P5494" s="28"/>
      <c r="Q5494" s="28" t="n">
        <f aca="false">P5494*$M5494</f>
        <v>0</v>
      </c>
      <c r="R5494" s="28"/>
      <c r="S5494" s="28" t="n">
        <f aca="false">R5494*$M5494</f>
        <v>0</v>
      </c>
      <c r="T5494" s="28"/>
      <c r="U5494" s="28" t="n">
        <f aca="false">T5494*$M5494</f>
        <v>0</v>
      </c>
      <c r="V5494" s="28"/>
      <c r="W5494" s="28" t="n">
        <f aca="false">V5494*$M5494</f>
        <v>0</v>
      </c>
      <c r="X5494" s="28"/>
      <c r="Y5494" s="28" t="n">
        <f aca="false">X5494*$M5494</f>
        <v>0</v>
      </c>
      <c r="Z5494" s="28"/>
      <c r="AA5494" s="28" t="n">
        <f aca="false">Z5494*$M5494</f>
        <v>0</v>
      </c>
      <c r="AB5494" s="28"/>
      <c r="AC5494" s="28" t="n">
        <f aca="false">AB5494*$M5494</f>
        <v>0</v>
      </c>
      <c r="AD5494" s="28"/>
      <c r="AE5494" s="28" t="n">
        <f aca="false">AD5494*$M5494</f>
        <v>0</v>
      </c>
      <c r="AF5494" s="28"/>
      <c r="AG5494" s="28" t="n">
        <f aca="false">AF5494*$M5494</f>
        <v>0</v>
      </c>
      <c r="AH5494" s="28"/>
      <c r="AI5494" s="28" t="n">
        <f aca="false">AH5494*$M5494</f>
        <v>0</v>
      </c>
      <c r="AJ5494" s="28" t="n">
        <f aca="false">2173/100</f>
        <v>21.73</v>
      </c>
      <c r="AK5494" s="28" t="n">
        <v>5215</v>
      </c>
      <c r="AL5494" s="28"/>
      <c r="AM5494" s="28" t="n">
        <f aca="false">AL5494*$M5494</f>
        <v>0</v>
      </c>
      <c r="AN5494" s="28"/>
      <c r="AO5494" s="28" t="n">
        <f aca="false">AN5494*$M5494</f>
        <v>0</v>
      </c>
      <c r="AP5494" s="28"/>
      <c r="AQ5494" s="28" t="n">
        <f aca="false">AP5494*$M5494</f>
        <v>0</v>
      </c>
      <c r="AR5494" s="28"/>
      <c r="AS5494" s="28" t="n">
        <f aca="false">AR5494*$M5494</f>
        <v>0</v>
      </c>
      <c r="AT5494" s="28"/>
      <c r="AU5494" s="28" t="n">
        <f aca="false">AT5494*$M5494</f>
        <v>0</v>
      </c>
      <c r="AV5494" s="28"/>
      <c r="AW5494" s="28" t="n">
        <f aca="false">AV5494*$M5494</f>
        <v>0</v>
      </c>
      <c r="AX5494" s="28"/>
      <c r="AY5494" s="28" t="n">
        <f aca="false">AX5494*$M5494</f>
        <v>0</v>
      </c>
      <c r="AZ5494" s="30" t="n">
        <f aca="false">2173/100</f>
        <v>21.73</v>
      </c>
      <c r="BA5494" s="11" t="n">
        <v>5215</v>
      </c>
      <c r="BB5494" s="31" t="n">
        <f aca="false">SUM(Q5494,S5494,U5494,W5494,Y5494,AA5494,AC5494,AE5494,AG5494,AI5494,AK5494,AM5494,AO5494,AQ5494,AS5494,AU5494,AW5494,AY5494)</f>
        <v>5215</v>
      </c>
      <c r="BC5494" s="28" t="n">
        <f aca="false">BA5494-BB5494</f>
        <v>0</v>
      </c>
      <c r="BD5494" s="32" t="n">
        <f aca="false">SUM(P5494,R5494,T5494,V5494,X5494,Z5494,AB5494,AD5494,AF5494,AH5494,AJ5494,AL5494,AN5494,AP5494,AR5494,AT5494,AV5494,AX5494)</f>
        <v>21.73</v>
      </c>
      <c r="BE5494" s="33" t="n">
        <f aca="false">AZ5494-BD5494</f>
        <v>0</v>
      </c>
      <c r="BF5494" s="34" t="n">
        <f aca="false">BD5494*M5494</f>
        <v>5215.2</v>
      </c>
      <c r="BG5494" s="35" t="n">
        <f aca="false">BA5494-BF5494</f>
        <v>-0.199999999999818</v>
      </c>
      <c r="BH5494" s="19" t="str">
        <f aca="false">IF(BG5494=0,"",IF(BG5494&lt;&gt;BA5494,"erreur de calcul",IF(BD5494&lt;&gt;0,"pas de prix",IF(M5494&lt;&gt; 0,"pas de quantité","pas de prix, ni de quantité"))))</f>
        <v>erreur de calcul</v>
      </c>
      <c r="BI5494" s="19"/>
    </row>
    <row r="5495" customFormat="false" ht="15" hidden="false" customHeight="false" outlineLevel="0" collapsed="false">
      <c r="A5495" s="0" t="n">
        <v>20</v>
      </c>
      <c r="B5495" s="8" t="s">
        <v>24</v>
      </c>
      <c r="C5495" s="9" t="s">
        <v>25</v>
      </c>
      <c r="D5495" s="9" t="s">
        <v>26</v>
      </c>
      <c r="E5495" s="10" t="n">
        <v>1789</v>
      </c>
      <c r="F5495" s="9" t="s">
        <v>27</v>
      </c>
      <c r="G5495" s="9" t="s">
        <v>27</v>
      </c>
      <c r="H5495" s="11" t="n">
        <v>24</v>
      </c>
      <c r="I5495" s="11" t="s">
        <v>309</v>
      </c>
      <c r="J5495" s="14"/>
      <c r="K5495" s="14"/>
      <c r="L5495" s="16"/>
      <c r="M5495" s="27" t="n">
        <f aca="false">J5495+(K5495/20)+(L5495/240)</f>
        <v>0</v>
      </c>
      <c r="N5495" s="17"/>
      <c r="O5495" s="11"/>
      <c r="P5495" s="28"/>
      <c r="Q5495" s="28" t="n">
        <f aca="false">P5495*$M5495</f>
        <v>0</v>
      </c>
      <c r="R5495" s="28"/>
      <c r="S5495" s="28" t="n">
        <f aca="false">R5495*$M5495</f>
        <v>0</v>
      </c>
      <c r="T5495" s="28"/>
      <c r="U5495" s="28" t="n">
        <v>195</v>
      </c>
      <c r="V5495" s="28"/>
      <c r="W5495" s="28" t="n">
        <v>640</v>
      </c>
      <c r="X5495" s="28"/>
      <c r="Y5495" s="28" t="n">
        <f aca="false">X5495*$M5495</f>
        <v>0</v>
      </c>
      <c r="Z5495" s="28"/>
      <c r="AA5495" s="28" t="n">
        <f aca="false">Z5495*$M5495</f>
        <v>0</v>
      </c>
      <c r="AB5495" s="28"/>
      <c r="AC5495" s="28" t="n">
        <f aca="false">AB5495*$M5495</f>
        <v>0</v>
      </c>
      <c r="AD5495" s="28"/>
      <c r="AE5495" s="28" t="n">
        <f aca="false">AD5495*$M5495</f>
        <v>0</v>
      </c>
      <c r="AF5495" s="28"/>
      <c r="AG5495" s="28" t="n">
        <f aca="false">AF5495*$M5495</f>
        <v>0</v>
      </c>
      <c r="AH5495" s="28"/>
      <c r="AI5495" s="28" t="n">
        <v>121</v>
      </c>
      <c r="AJ5495" s="28"/>
      <c r="AK5495" s="28" t="n">
        <v>412</v>
      </c>
      <c r="AL5495" s="28"/>
      <c r="AM5495" s="28" t="n">
        <f aca="false">AL5495*$M5495</f>
        <v>0</v>
      </c>
      <c r="AN5495" s="28"/>
      <c r="AO5495" s="28" t="n">
        <f aca="false">AN5495*$M5495</f>
        <v>0</v>
      </c>
      <c r="AP5495" s="28"/>
      <c r="AQ5495" s="28" t="n">
        <f aca="false">AP5495*$M5495</f>
        <v>0</v>
      </c>
      <c r="AR5495" s="28"/>
      <c r="AS5495" s="28" t="n">
        <f aca="false">AR5495*$M5495</f>
        <v>0</v>
      </c>
      <c r="AT5495" s="28"/>
      <c r="AU5495" s="28" t="n">
        <f aca="false">AT5495*$M5495</f>
        <v>0</v>
      </c>
      <c r="AV5495" s="28"/>
      <c r="AW5495" s="28" t="n">
        <f aca="false">AV5495*$M5495</f>
        <v>0</v>
      </c>
      <c r="AX5495" s="28"/>
      <c r="AY5495" s="28" t="n">
        <f aca="false">AX5495*$M5495</f>
        <v>0</v>
      </c>
      <c r="AZ5495" s="30"/>
      <c r="BA5495" s="11" t="n">
        <v>1368</v>
      </c>
      <c r="BB5495" s="31" t="n">
        <f aca="false">SUM(Q5495,S5495,U5495,W5495,Y5495,AA5495,AC5495,AE5495,AG5495,AI5495,AK5495,AM5495,AO5495,AQ5495,AS5495,AU5495,AW5495,AY5495)</f>
        <v>1368</v>
      </c>
      <c r="BC5495" s="28" t="n">
        <f aca="false">BA5495-BB5495</f>
        <v>0</v>
      </c>
      <c r="BD5495" s="32" t="n">
        <f aca="false">SUM(P5495,R5495,T5495,V5495,X5495,Z5495,AB5495,AD5495,AF5495,AH5495,AJ5495,AL5495,AN5495,AP5495,AR5495,AT5495,AV5495,AX5495)</f>
        <v>0</v>
      </c>
      <c r="BE5495" s="33" t="n">
        <f aca="false">AZ5495-BD5495</f>
        <v>0</v>
      </c>
      <c r="BF5495" s="34" t="n">
        <f aca="false">BD5495*M5495</f>
        <v>0</v>
      </c>
      <c r="BG5495" s="35" t="n">
        <f aca="false">BA5495-BF5495</f>
        <v>1368</v>
      </c>
      <c r="BH5495" s="19" t="str">
        <f aca="false">IF(BG5495=0,"",IF(BG5495&lt;&gt;BA5495,"erreur de calcul",IF(BD5495&lt;&gt;0,"pas de prix",IF(M5495&lt;&gt; 0,"pas de quantité","pas de prix, ni de quantité"))))</f>
        <v>pas de prix, ni de quantité</v>
      </c>
      <c r="BI5495" s="19"/>
    </row>
    <row r="5496" customFormat="false" ht="15" hidden="false" customHeight="false" outlineLevel="0" collapsed="false">
      <c r="A5496" s="0" t="n">
        <v>21</v>
      </c>
      <c r="B5496" s="8" t="s">
        <v>24</v>
      </c>
      <c r="C5496" s="9" t="s">
        <v>25</v>
      </c>
      <c r="D5496" s="9" t="s">
        <v>26</v>
      </c>
      <c r="E5496" s="10" t="n">
        <v>1789</v>
      </c>
      <c r="F5496" s="9" t="s">
        <v>27</v>
      </c>
      <c r="G5496" s="9" t="s">
        <v>27</v>
      </c>
      <c r="H5496" s="11" t="n">
        <v>24</v>
      </c>
      <c r="I5496" s="11" t="s">
        <v>310</v>
      </c>
      <c r="J5496" s="14"/>
      <c r="K5496" s="14" t="n">
        <v>3</v>
      </c>
      <c r="L5496" s="16"/>
      <c r="M5496" s="27" t="n">
        <f aca="false">J5496+(K5496/20)+(L5496/240)</f>
        <v>0.15</v>
      </c>
      <c r="N5496" s="17" t="s">
        <v>311</v>
      </c>
      <c r="O5496" s="11"/>
      <c r="P5496" s="28"/>
      <c r="Q5496" s="28" t="n">
        <f aca="false">P5496*$M5496</f>
        <v>0</v>
      </c>
      <c r="R5496" s="28"/>
      <c r="S5496" s="28" t="n">
        <f aca="false">R5496*$M5496</f>
        <v>0</v>
      </c>
      <c r="T5496" s="28"/>
      <c r="U5496" s="28" t="n">
        <f aca="false">T5496*$M5496</f>
        <v>0</v>
      </c>
      <c r="V5496" s="28" t="n">
        <v>32065</v>
      </c>
      <c r="W5496" s="28" t="n">
        <v>4810</v>
      </c>
      <c r="X5496" s="28" t="n">
        <v>20652</v>
      </c>
      <c r="Y5496" s="28" t="n">
        <v>3098</v>
      </c>
      <c r="Z5496" s="28"/>
      <c r="AA5496" s="28" t="n">
        <f aca="false">Z5496*$M5496</f>
        <v>0</v>
      </c>
      <c r="AB5496" s="28"/>
      <c r="AC5496" s="28" t="n">
        <f aca="false">AB5496*$M5496</f>
        <v>0</v>
      </c>
      <c r="AD5496" s="28"/>
      <c r="AE5496" s="28" t="n">
        <f aca="false">AD5496*$M5496</f>
        <v>0</v>
      </c>
      <c r="AF5496" s="28"/>
      <c r="AG5496" s="28" t="n">
        <f aca="false">AF5496*$M5496</f>
        <v>0</v>
      </c>
      <c r="AH5496" s="28"/>
      <c r="AI5496" s="28" t="n">
        <f aca="false">AH5496*$M5496</f>
        <v>0</v>
      </c>
      <c r="AJ5496" s="28"/>
      <c r="AK5496" s="28" t="n">
        <f aca="false">AJ5496*$M5496</f>
        <v>0</v>
      </c>
      <c r="AL5496" s="28"/>
      <c r="AM5496" s="28" t="n">
        <f aca="false">AL5496*$M5496</f>
        <v>0</v>
      </c>
      <c r="AN5496" s="28"/>
      <c r="AO5496" s="28" t="n">
        <f aca="false">AN5496*$M5496</f>
        <v>0</v>
      </c>
      <c r="AP5496" s="28"/>
      <c r="AQ5496" s="28" t="n">
        <f aca="false">AP5496*$M5496</f>
        <v>0</v>
      </c>
      <c r="AR5496" s="28"/>
      <c r="AS5496" s="28" t="n">
        <f aca="false">AR5496*$M5496</f>
        <v>0</v>
      </c>
      <c r="AT5496" s="28"/>
      <c r="AU5496" s="28" t="n">
        <f aca="false">AT5496*$M5496</f>
        <v>0</v>
      </c>
      <c r="AV5496" s="28"/>
      <c r="AW5496" s="28" t="n">
        <f aca="false">AV5496*$M5496</f>
        <v>0</v>
      </c>
      <c r="AX5496" s="28"/>
      <c r="AY5496" s="28" t="n">
        <f aca="false">AX5496*$M5496</f>
        <v>0</v>
      </c>
      <c r="AZ5496" s="30" t="n">
        <v>52717</v>
      </c>
      <c r="BA5496" s="11" t="n">
        <v>7908</v>
      </c>
      <c r="BB5496" s="31" t="n">
        <f aca="false">SUM(Q5496,S5496,U5496,W5496,Y5496,AA5496,AC5496,AE5496,AG5496,AI5496,AK5496,AM5496,AO5496,AQ5496,AS5496,AU5496,AW5496,AY5496)</f>
        <v>7908</v>
      </c>
      <c r="BC5496" s="28" t="n">
        <f aca="false">BA5496-BB5496</f>
        <v>0</v>
      </c>
      <c r="BD5496" s="32" t="n">
        <f aca="false">SUM(P5496,R5496,T5496,V5496,X5496,Z5496,AB5496,AD5496,AF5496,AH5496,AJ5496,AL5496,AN5496,AP5496,AR5496,AT5496,AV5496,AX5496)</f>
        <v>52717</v>
      </c>
      <c r="BE5496" s="33" t="n">
        <f aca="false">AZ5496-BD5496</f>
        <v>0</v>
      </c>
      <c r="BF5496" s="34" t="n">
        <f aca="false">BD5496*M5496</f>
        <v>7907.55</v>
      </c>
      <c r="BG5496" s="35" t="n">
        <f aca="false">BA5496-BF5496</f>
        <v>0.450000000000728</v>
      </c>
      <c r="BH5496" s="19" t="str">
        <f aca="false">IF(BG5496=0,"",IF(BG5496&lt;&gt;BA5496,"erreur de calcul",IF(BD5496&lt;&gt;0,"pas de prix",IF(M5496&lt;&gt; 0,"pas de quantité","pas de prix, ni de quantité"))))</f>
        <v>erreur de calcul</v>
      </c>
      <c r="BI5496" s="19"/>
    </row>
    <row r="5497" customFormat="false" ht="15" hidden="false" customHeight="false" outlineLevel="0" collapsed="false">
      <c r="A5497" s="0" t="n">
        <v>22</v>
      </c>
      <c r="B5497" s="8" t="s">
        <v>24</v>
      </c>
      <c r="C5497" s="9" t="s">
        <v>25</v>
      </c>
      <c r="D5497" s="9" t="s">
        <v>26</v>
      </c>
      <c r="E5497" s="10" t="n">
        <v>1789</v>
      </c>
      <c r="F5497" s="9" t="s">
        <v>27</v>
      </c>
      <c r="G5497" s="9" t="s">
        <v>27</v>
      </c>
      <c r="H5497" s="11" t="n">
        <v>24</v>
      </c>
      <c r="I5497" s="11" t="s">
        <v>312</v>
      </c>
      <c r="J5497" s="14" t="n">
        <v>15</v>
      </c>
      <c r="K5497" s="14"/>
      <c r="L5497" s="16"/>
      <c r="M5497" s="27" t="n">
        <f aca="false">J5497+(K5497/20)+(L5497/240)</f>
        <v>15</v>
      </c>
      <c r="N5497" s="17" t="s">
        <v>275</v>
      </c>
      <c r="O5497" s="11"/>
      <c r="P5497" s="28"/>
      <c r="Q5497" s="28" t="n">
        <f aca="false">P5497*$M5497</f>
        <v>0</v>
      </c>
      <c r="R5497" s="28"/>
      <c r="S5497" s="28" t="n">
        <f aca="false">R5497*$M5497</f>
        <v>0</v>
      </c>
      <c r="T5497" s="28" t="n">
        <v>1479</v>
      </c>
      <c r="U5497" s="28" t="n">
        <v>22185</v>
      </c>
      <c r="V5497" s="28" t="n">
        <v>1500</v>
      </c>
      <c r="W5497" s="28" t="n">
        <v>22500</v>
      </c>
      <c r="X5497" s="28" t="n">
        <v>300</v>
      </c>
      <c r="Y5497" s="28" t="n">
        <v>4500</v>
      </c>
      <c r="Z5497" s="28" t="n">
        <v>168</v>
      </c>
      <c r="AA5497" s="28" t="n">
        <v>2520</v>
      </c>
      <c r="AB5497" s="28" t="n">
        <v>14570</v>
      </c>
      <c r="AC5497" s="28" t="n">
        <v>218550</v>
      </c>
      <c r="AD5497" s="28"/>
      <c r="AE5497" s="28" t="n">
        <f aca="false">AD5497*$M5497</f>
        <v>0</v>
      </c>
      <c r="AF5497" s="28" t="n">
        <v>5748</v>
      </c>
      <c r="AG5497" s="28" t="n">
        <v>86220</v>
      </c>
      <c r="AH5497" s="28"/>
      <c r="AI5497" s="28" t="n">
        <f aca="false">AH5497*$M5497</f>
        <v>0</v>
      </c>
      <c r="AJ5497" s="28" t="n">
        <v>710</v>
      </c>
      <c r="AK5497" s="28" t="n">
        <v>10650</v>
      </c>
      <c r="AL5497" s="28" t="n">
        <v>600</v>
      </c>
      <c r="AM5497" s="28" t="n">
        <v>9000</v>
      </c>
      <c r="AN5497" s="28"/>
      <c r="AO5497" s="28" t="n">
        <f aca="false">AN5497*$M5497</f>
        <v>0</v>
      </c>
      <c r="AP5497" s="28" t="n">
        <v>1200</v>
      </c>
      <c r="AQ5497" s="28" t="n">
        <v>18000</v>
      </c>
      <c r="AR5497" s="28"/>
      <c r="AS5497" s="28" t="n">
        <f aca="false">AR5497*$M5497</f>
        <v>0</v>
      </c>
      <c r="AT5497" s="28"/>
      <c r="AU5497" s="28" t="n">
        <f aca="false">AT5497*$M5497</f>
        <v>0</v>
      </c>
      <c r="AV5497" s="28"/>
      <c r="AW5497" s="28" t="n">
        <f aca="false">AV5497*$M5497</f>
        <v>0</v>
      </c>
      <c r="AX5497" s="28"/>
      <c r="AY5497" s="28" t="n">
        <f aca="false">AX5497*$M5497</f>
        <v>0</v>
      </c>
      <c r="AZ5497" s="30" t="n">
        <v>26275</v>
      </c>
      <c r="BA5497" s="11" t="n">
        <v>394125</v>
      </c>
      <c r="BB5497" s="31" t="n">
        <f aca="false">SUM(Q5497,S5497,U5497,W5497,Y5497,AA5497,AC5497,AE5497,AG5497,AI5497,AK5497,AM5497,AO5497,AQ5497,AS5497,AU5497,AW5497,AY5497)</f>
        <v>394125</v>
      </c>
      <c r="BC5497" s="28" t="n">
        <f aca="false">BA5497-BB5497</f>
        <v>0</v>
      </c>
      <c r="BD5497" s="32" t="n">
        <f aca="false">SUM(P5497,R5497,T5497,V5497,X5497,Z5497,AB5497,AD5497,AF5497,AH5497,AJ5497,AL5497,AN5497,AP5497,AR5497,AT5497,AV5497,AX5497)</f>
        <v>26275</v>
      </c>
      <c r="BE5497" s="33" t="n">
        <f aca="false">AZ5497-BD5497</f>
        <v>0</v>
      </c>
      <c r="BF5497" s="34" t="n">
        <f aca="false">BD5497*M5497</f>
        <v>394125</v>
      </c>
      <c r="BG5497" s="35" t="n">
        <f aca="false">BA5497-BF5497</f>
        <v>0</v>
      </c>
      <c r="BH5497" s="19" t="str">
        <f aca="false">IF(BG5497=0,"",IF(BG5497&lt;&gt;BA5497,"erreur de calcul",IF(BD5497&lt;&gt;0,"pas de prix",IF(M5497&lt;&gt; 0,"pas de quantité","pas de prix, ni de quantité"))))</f>
        <v/>
      </c>
      <c r="BI5497" s="19"/>
    </row>
    <row r="5498" customFormat="false" ht="15" hidden="false" customHeight="false" outlineLevel="0" collapsed="false">
      <c r="A5498" s="0" t="n">
        <v>23</v>
      </c>
      <c r="B5498" s="8" t="s">
        <v>24</v>
      </c>
      <c r="C5498" s="9" t="s">
        <v>25</v>
      </c>
      <c r="D5498" s="9" t="s">
        <v>26</v>
      </c>
      <c r="E5498" s="10" t="n">
        <v>1789</v>
      </c>
      <c r="F5498" s="9" t="s">
        <v>27</v>
      </c>
      <c r="G5498" s="9" t="s">
        <v>27</v>
      </c>
      <c r="H5498" s="11" t="n">
        <v>24</v>
      </c>
      <c r="I5498" s="11" t="s">
        <v>313</v>
      </c>
      <c r="J5498" s="14" t="n">
        <v>9</v>
      </c>
      <c r="K5498" s="14"/>
      <c r="L5498" s="16"/>
      <c r="M5498" s="27" t="n">
        <f aca="false">J5498+(K5498/20)+(L5498/240)</f>
        <v>9</v>
      </c>
      <c r="N5498" s="17" t="s">
        <v>64</v>
      </c>
      <c r="O5498" s="11"/>
      <c r="P5498" s="28"/>
      <c r="Q5498" s="28" t="n">
        <f aca="false">P5498*$M5498</f>
        <v>0</v>
      </c>
      <c r="R5498" s="28"/>
      <c r="S5498" s="28" t="n">
        <f aca="false">R5498*$M5498</f>
        <v>0</v>
      </c>
      <c r="T5498" s="28"/>
      <c r="U5498" s="28" t="n">
        <f aca="false">T5498*$M5498</f>
        <v>0</v>
      </c>
      <c r="V5498" s="28" t="n">
        <f aca="false">145504/100</f>
        <v>1455.04</v>
      </c>
      <c r="W5498" s="28" t="n">
        <v>13095</v>
      </c>
      <c r="X5498" s="28" t="n">
        <f aca="false">58504/100</f>
        <v>585.04</v>
      </c>
      <c r="Y5498" s="28" t="n">
        <v>5265</v>
      </c>
      <c r="Z5498" s="28" t="n">
        <f aca="false">17027/100</f>
        <v>170.27</v>
      </c>
      <c r="AA5498" s="28" t="n">
        <v>1532</v>
      </c>
      <c r="AB5498" s="28" t="n">
        <f aca="false">84396/100</f>
        <v>843.96</v>
      </c>
      <c r="AC5498" s="28" t="n">
        <v>7596</v>
      </c>
      <c r="AD5498" s="28"/>
      <c r="AE5498" s="28" t="n">
        <f aca="false">AD5498*$M5498</f>
        <v>0</v>
      </c>
      <c r="AF5498" s="28" t="n">
        <f aca="false">14807/100</f>
        <v>148.07</v>
      </c>
      <c r="AG5498" s="28" t="n">
        <v>1333</v>
      </c>
      <c r="AH5498" s="28"/>
      <c r="AI5498" s="28" t="n">
        <f aca="false">AH5498*$M5498</f>
        <v>0</v>
      </c>
      <c r="AJ5498" s="28"/>
      <c r="AK5498" s="28" t="n">
        <f aca="false">AJ5498*$M5498</f>
        <v>0</v>
      </c>
      <c r="AL5498" s="28"/>
      <c r="AM5498" s="28" t="n">
        <f aca="false">AL5498*$M5498</f>
        <v>0</v>
      </c>
      <c r="AN5498" s="28"/>
      <c r="AO5498" s="28" t="n">
        <f aca="false">AN5498*$M5498</f>
        <v>0</v>
      </c>
      <c r="AP5498" s="28"/>
      <c r="AQ5498" s="28" t="n">
        <f aca="false">AP5498*$M5498</f>
        <v>0</v>
      </c>
      <c r="AR5498" s="28"/>
      <c r="AS5498" s="28" t="n">
        <f aca="false">AR5498*$M5498</f>
        <v>0</v>
      </c>
      <c r="AT5498" s="28"/>
      <c r="AU5498" s="28" t="n">
        <f aca="false">AT5498*$M5498</f>
        <v>0</v>
      </c>
      <c r="AV5498" s="28"/>
      <c r="AW5498" s="28" t="n">
        <f aca="false">AV5498*$M5498</f>
        <v>0</v>
      </c>
      <c r="AX5498" s="28"/>
      <c r="AY5498" s="28" t="n">
        <f aca="false">AX5498*$M5498</f>
        <v>0</v>
      </c>
      <c r="AZ5498" s="30" t="n">
        <f aca="false">320238/100</f>
        <v>3202.38</v>
      </c>
      <c r="BA5498" s="11" t="n">
        <v>28821</v>
      </c>
      <c r="BB5498" s="31" t="n">
        <f aca="false">SUM(Q5498,S5498,U5498,W5498,Y5498,AA5498,AC5498,AE5498,AG5498,AI5498,AK5498,AM5498,AO5498,AQ5498,AS5498,AU5498,AW5498,AY5498)</f>
        <v>28821</v>
      </c>
      <c r="BC5498" s="28" t="n">
        <f aca="false">BA5498-BB5498</f>
        <v>0</v>
      </c>
      <c r="BD5498" s="32" t="n">
        <f aca="false">SUM(P5498,R5498,T5498,V5498,X5498,Z5498,AB5498,AD5498,AF5498,AH5498,AJ5498,AL5498,AN5498,AP5498,AR5498,AT5498,AV5498,AX5498)</f>
        <v>3202.38</v>
      </c>
      <c r="BE5498" s="33" t="n">
        <f aca="false">AZ5498-BD5498</f>
        <v>0</v>
      </c>
      <c r="BF5498" s="34" t="n">
        <f aca="false">BD5498*M5498</f>
        <v>28821.42</v>
      </c>
      <c r="BG5498" s="35" t="n">
        <f aca="false">BA5498-BF5498</f>
        <v>-0.420000000001892</v>
      </c>
      <c r="BH5498" s="19" t="str">
        <f aca="false">IF(BG5498=0,"",IF(BG5498&lt;&gt;BA5498,"erreur de calcul",IF(BD5498&lt;&gt;0,"pas de prix",IF(M5498&lt;&gt; 0,"pas de quantité","pas de prix, ni de quantité"))))</f>
        <v>erreur de calcul</v>
      </c>
      <c r="BI5498" s="19"/>
    </row>
    <row r="5499" customFormat="false" ht="15" hidden="false" customHeight="false" outlineLevel="0" collapsed="false">
      <c r="A5499" s="0" t="n">
        <v>24</v>
      </c>
      <c r="B5499" s="8" t="s">
        <v>24</v>
      </c>
      <c r="C5499" s="9" t="s">
        <v>25</v>
      </c>
      <c r="D5499" s="9" t="s">
        <v>26</v>
      </c>
      <c r="E5499" s="10" t="n">
        <v>1789</v>
      </c>
      <c r="F5499" s="9" t="s">
        <v>27</v>
      </c>
      <c r="G5499" s="9" t="s">
        <v>27</v>
      </c>
      <c r="H5499" s="11" t="n">
        <v>24</v>
      </c>
      <c r="I5499" s="11" t="s">
        <v>314</v>
      </c>
      <c r="J5499" s="14"/>
      <c r="K5499" s="14" t="n">
        <v>4</v>
      </c>
      <c r="L5499" s="16"/>
      <c r="M5499" s="27" t="n">
        <f aca="false">J5499+(K5499/20)+(L5499/240)</f>
        <v>0.2</v>
      </c>
      <c r="N5499" s="17" t="s">
        <v>311</v>
      </c>
      <c r="O5499" s="11"/>
      <c r="P5499" s="28"/>
      <c r="Q5499" s="28" t="n">
        <f aca="false">P5499*$M5499</f>
        <v>0</v>
      </c>
      <c r="R5499" s="28"/>
      <c r="S5499" s="28" t="n">
        <f aca="false">R5499*$M5499</f>
        <v>0</v>
      </c>
      <c r="T5499" s="28"/>
      <c r="U5499" s="28" t="n">
        <f aca="false">T5499*$M5499</f>
        <v>0</v>
      </c>
      <c r="V5499" s="28" t="n">
        <v>5800</v>
      </c>
      <c r="W5499" s="28" t="n">
        <v>1160</v>
      </c>
      <c r="X5499" s="28"/>
      <c r="Y5499" s="28" t="n">
        <f aca="false">X5499*$M5499</f>
        <v>0</v>
      </c>
      <c r="Z5499" s="28"/>
      <c r="AA5499" s="28" t="n">
        <f aca="false">Z5499*$M5499</f>
        <v>0</v>
      </c>
      <c r="AB5499" s="28"/>
      <c r="AC5499" s="28" t="n">
        <f aca="false">AB5499*$M5499</f>
        <v>0</v>
      </c>
      <c r="AD5499" s="28"/>
      <c r="AE5499" s="28" t="n">
        <f aca="false">AD5499*$M5499</f>
        <v>0</v>
      </c>
      <c r="AF5499" s="28"/>
      <c r="AG5499" s="28" t="n">
        <f aca="false">AF5499*$M5499</f>
        <v>0</v>
      </c>
      <c r="AH5499" s="28"/>
      <c r="AI5499" s="28" t="n">
        <f aca="false">AH5499*$M5499</f>
        <v>0</v>
      </c>
      <c r="AJ5499" s="28"/>
      <c r="AK5499" s="28" t="n">
        <f aca="false">AJ5499*$M5499</f>
        <v>0</v>
      </c>
      <c r="AL5499" s="28"/>
      <c r="AM5499" s="28" t="n">
        <f aca="false">AL5499*$M5499</f>
        <v>0</v>
      </c>
      <c r="AN5499" s="28"/>
      <c r="AO5499" s="28" t="n">
        <f aca="false">AN5499*$M5499</f>
        <v>0</v>
      </c>
      <c r="AP5499" s="28"/>
      <c r="AQ5499" s="28" t="n">
        <f aca="false">AP5499*$M5499</f>
        <v>0</v>
      </c>
      <c r="AR5499" s="28"/>
      <c r="AS5499" s="28" t="n">
        <f aca="false">AR5499*$M5499</f>
        <v>0</v>
      </c>
      <c r="AT5499" s="28"/>
      <c r="AU5499" s="28" t="n">
        <f aca="false">AT5499*$M5499</f>
        <v>0</v>
      </c>
      <c r="AV5499" s="28"/>
      <c r="AW5499" s="28" t="n">
        <f aca="false">AV5499*$M5499</f>
        <v>0</v>
      </c>
      <c r="AX5499" s="28"/>
      <c r="AY5499" s="28" t="n">
        <f aca="false">AX5499*$M5499</f>
        <v>0</v>
      </c>
      <c r="AZ5499" s="30" t="n">
        <v>5800</v>
      </c>
      <c r="BA5499" s="11" t="n">
        <v>1160</v>
      </c>
      <c r="BB5499" s="31" t="n">
        <f aca="false">SUM(Q5499,S5499,U5499,W5499,Y5499,AA5499,AC5499,AE5499,AG5499,AI5499,AK5499,AM5499,AO5499,AQ5499,AS5499,AU5499,AW5499,AY5499)</f>
        <v>1160</v>
      </c>
      <c r="BC5499" s="28" t="n">
        <f aca="false">BA5499-BB5499</f>
        <v>0</v>
      </c>
      <c r="BD5499" s="32" t="n">
        <f aca="false">SUM(P5499,R5499,T5499,V5499,X5499,Z5499,AB5499,AD5499,AF5499,AH5499,AJ5499,AL5499,AN5499,AP5499,AR5499,AT5499,AV5499,AX5499)</f>
        <v>5800</v>
      </c>
      <c r="BE5499" s="33" t="n">
        <f aca="false">AZ5499-BD5499</f>
        <v>0</v>
      </c>
      <c r="BF5499" s="34" t="n">
        <f aca="false">BD5499*M5499</f>
        <v>1160</v>
      </c>
      <c r="BG5499" s="35" t="n">
        <f aca="false">BA5499-BF5499</f>
        <v>0</v>
      </c>
      <c r="BH5499" s="19" t="str">
        <f aca="false">IF(BG5499=0,"",IF(BG5499&lt;&gt;BA5499,"erreur de calcul",IF(BD5499&lt;&gt;0,"pas de prix",IF(M5499&lt;&gt; 0,"pas de quantité","pas de prix, ni de quantité"))))</f>
        <v/>
      </c>
      <c r="BI5499" s="19"/>
    </row>
    <row r="5500" customFormat="false" ht="15" hidden="false" customHeight="false" outlineLevel="0" collapsed="false">
      <c r="A5500" s="0" t="n">
        <v>25</v>
      </c>
      <c r="B5500" s="8" t="s">
        <v>24</v>
      </c>
      <c r="C5500" s="9" t="s">
        <v>25</v>
      </c>
      <c r="D5500" s="9" t="s">
        <v>26</v>
      </c>
      <c r="E5500" s="10" t="n">
        <v>1789</v>
      </c>
      <c r="F5500" s="9" t="s">
        <v>27</v>
      </c>
      <c r="G5500" s="9" t="s">
        <v>27</v>
      </c>
      <c r="H5500" s="11" t="n">
        <v>24</v>
      </c>
      <c r="I5500" s="11" t="s">
        <v>315</v>
      </c>
      <c r="J5500" s="14" t="n">
        <v>10</v>
      </c>
      <c r="K5500" s="14"/>
      <c r="L5500" s="16"/>
      <c r="M5500" s="27" t="n">
        <f aca="false">J5500+(K5500/20)+(L5500/240)</f>
        <v>10</v>
      </c>
      <c r="N5500" s="17" t="s">
        <v>64</v>
      </c>
      <c r="O5500" s="11"/>
      <c r="P5500" s="28"/>
      <c r="Q5500" s="28" t="n">
        <f aca="false">P5500*$M5500</f>
        <v>0</v>
      </c>
      <c r="R5500" s="28"/>
      <c r="S5500" s="28" t="n">
        <f aca="false">R5500*$M5500</f>
        <v>0</v>
      </c>
      <c r="T5500" s="28"/>
      <c r="U5500" s="28" t="n">
        <f aca="false">T5500*$M5500</f>
        <v>0</v>
      </c>
      <c r="V5500" s="28"/>
      <c r="W5500" s="28" t="n">
        <f aca="false">V5500*$M5500</f>
        <v>0</v>
      </c>
      <c r="X5500" s="28"/>
      <c r="Y5500" s="28" t="n">
        <f aca="false">X5500*$M5500</f>
        <v>0</v>
      </c>
      <c r="Z5500" s="28"/>
      <c r="AA5500" s="28" t="n">
        <f aca="false">Z5500*$M5500</f>
        <v>0</v>
      </c>
      <c r="AB5500" s="28"/>
      <c r="AC5500" s="28" t="n">
        <f aca="false">AB5500*$M5500</f>
        <v>0</v>
      </c>
      <c r="AD5500" s="28"/>
      <c r="AE5500" s="28" t="n">
        <f aca="false">AD5500*$M5500</f>
        <v>0</v>
      </c>
      <c r="AF5500" s="28"/>
      <c r="AG5500" s="28" t="n">
        <f aca="false">AF5500*$M5500</f>
        <v>0</v>
      </c>
      <c r="AH5500" s="28"/>
      <c r="AI5500" s="28" t="n">
        <f aca="false">AH5500*$M5500</f>
        <v>0</v>
      </c>
      <c r="AJ5500" s="28" t="n">
        <f aca="false">13584/100</f>
        <v>135.84</v>
      </c>
      <c r="AK5500" s="28" t="n">
        <v>1358</v>
      </c>
      <c r="AL5500" s="28"/>
      <c r="AM5500" s="28" t="n">
        <f aca="false">AL5500*$M5500</f>
        <v>0</v>
      </c>
      <c r="AN5500" s="28"/>
      <c r="AO5500" s="28" t="n">
        <f aca="false">AN5500*$M5500</f>
        <v>0</v>
      </c>
      <c r="AP5500" s="28"/>
      <c r="AQ5500" s="28" t="n">
        <f aca="false">AP5500*$M5500</f>
        <v>0</v>
      </c>
      <c r="AR5500" s="28"/>
      <c r="AS5500" s="28" t="n">
        <f aca="false">AR5500*$M5500</f>
        <v>0</v>
      </c>
      <c r="AT5500" s="28"/>
      <c r="AU5500" s="28" t="n">
        <f aca="false">AT5500*$M5500</f>
        <v>0</v>
      </c>
      <c r="AV5500" s="28"/>
      <c r="AW5500" s="28" t="n">
        <f aca="false">AV5500*$M5500</f>
        <v>0</v>
      </c>
      <c r="AX5500" s="28"/>
      <c r="AY5500" s="28" t="n">
        <f aca="false">AX5500*$M5500</f>
        <v>0</v>
      </c>
      <c r="AZ5500" s="30" t="n">
        <f aca="false">13584/100</f>
        <v>135.84</v>
      </c>
      <c r="BA5500" s="11" t="n">
        <v>1358</v>
      </c>
      <c r="BB5500" s="31" t="n">
        <f aca="false">SUM(Q5500,S5500,U5500,W5500,Y5500,AA5500,AC5500,AE5500,AG5500,AI5500,AK5500,AM5500,AO5500,AQ5500,AS5500,AU5500,AW5500,AY5500)</f>
        <v>1358</v>
      </c>
      <c r="BC5500" s="28" t="n">
        <f aca="false">BA5500-BB5500</f>
        <v>0</v>
      </c>
      <c r="BD5500" s="32" t="n">
        <f aca="false">SUM(P5500,R5500,T5500,V5500,X5500,Z5500,AB5500,AD5500,AF5500,AH5500,AJ5500,AL5500,AN5500,AP5500,AR5500,AT5500,AV5500,AX5500)</f>
        <v>135.84</v>
      </c>
      <c r="BE5500" s="33" t="n">
        <f aca="false">AZ5500-BD5500</f>
        <v>0</v>
      </c>
      <c r="BF5500" s="34" t="n">
        <f aca="false">BD5500*M5500</f>
        <v>1358.4</v>
      </c>
      <c r="BG5500" s="35" t="n">
        <f aca="false">BA5500-BF5500</f>
        <v>-0.400000000000091</v>
      </c>
      <c r="BH5500" s="19" t="str">
        <f aca="false">IF(BG5500=0,"",IF(BG5500&lt;&gt;BA5500,"erreur de calcul",IF(BD5500&lt;&gt;0,"pas de prix",IF(M5500&lt;&gt; 0,"pas de quantité","pas de prix, ni de quantité"))))</f>
        <v>erreur de calcul</v>
      </c>
      <c r="BI5500" s="19"/>
    </row>
    <row r="5501" customFormat="false" ht="15" hidden="false" customHeight="false" outlineLevel="0" collapsed="false">
      <c r="A5501" s="0" t="n">
        <v>26</v>
      </c>
      <c r="B5501" s="8" t="s">
        <v>24</v>
      </c>
      <c r="C5501" s="9" t="s">
        <v>25</v>
      </c>
      <c r="D5501" s="9" t="s">
        <v>26</v>
      </c>
      <c r="E5501" s="10" t="n">
        <v>1789</v>
      </c>
      <c r="F5501" s="9" t="s">
        <v>27</v>
      </c>
      <c r="G5501" s="9" t="s">
        <v>27</v>
      </c>
      <c r="H5501" s="11" t="n">
        <v>24</v>
      </c>
      <c r="I5501" s="11" t="s">
        <v>316</v>
      </c>
      <c r="J5501" s="14" t="n">
        <v>12</v>
      </c>
      <c r="K5501" s="14"/>
      <c r="L5501" s="16"/>
      <c r="M5501" s="27" t="n">
        <f aca="false">J5501+(K5501/20)+(L5501/240)</f>
        <v>12</v>
      </c>
      <c r="N5501" s="17" t="s">
        <v>64</v>
      </c>
      <c r="O5501" s="11"/>
      <c r="P5501" s="28" t="n">
        <f aca="false">8690/100</f>
        <v>86.9</v>
      </c>
      <c r="Q5501" s="28" t="n">
        <v>1043</v>
      </c>
      <c r="R5501" s="28"/>
      <c r="S5501" s="28" t="n">
        <f aca="false">R5501*$M5501</f>
        <v>0</v>
      </c>
      <c r="T5501" s="28"/>
      <c r="U5501" s="28" t="n">
        <f aca="false">T5501*$M5501</f>
        <v>0</v>
      </c>
      <c r="V5501" s="28"/>
      <c r="W5501" s="28" t="n">
        <f aca="false">V5501*$M5501</f>
        <v>0</v>
      </c>
      <c r="X5501" s="28" t="n">
        <f aca="false">10000/100</f>
        <v>100</v>
      </c>
      <c r="Y5501" s="28" t="n">
        <v>1200</v>
      </c>
      <c r="Z5501" s="28"/>
      <c r="AA5501" s="28" t="n">
        <f aca="false">Z5501*$M5501</f>
        <v>0</v>
      </c>
      <c r="AB5501" s="28"/>
      <c r="AC5501" s="28" t="n">
        <f aca="false">AB5501*$M5501</f>
        <v>0</v>
      </c>
      <c r="AD5501" s="28"/>
      <c r="AE5501" s="28" t="n">
        <f aca="false">AD5501*$M5501</f>
        <v>0</v>
      </c>
      <c r="AF5501" s="28"/>
      <c r="AG5501" s="28" t="n">
        <f aca="false">AF5501*$M5501</f>
        <v>0</v>
      </c>
      <c r="AH5501" s="28"/>
      <c r="AI5501" s="28" t="n">
        <f aca="false">AH5501*$M5501</f>
        <v>0</v>
      </c>
      <c r="AJ5501" s="28"/>
      <c r="AK5501" s="28" t="n">
        <f aca="false">AJ5501*$M5501</f>
        <v>0</v>
      </c>
      <c r="AL5501" s="28"/>
      <c r="AM5501" s="28" t="n">
        <f aca="false">AL5501*$M5501</f>
        <v>0</v>
      </c>
      <c r="AN5501" s="28"/>
      <c r="AO5501" s="28" t="n">
        <f aca="false">AN5501*$M5501</f>
        <v>0</v>
      </c>
      <c r="AP5501" s="28"/>
      <c r="AQ5501" s="28" t="n">
        <f aca="false">AP5501*$M5501</f>
        <v>0</v>
      </c>
      <c r="AR5501" s="28"/>
      <c r="AS5501" s="28" t="n">
        <f aca="false">AR5501*$M5501</f>
        <v>0</v>
      </c>
      <c r="AT5501" s="28"/>
      <c r="AU5501" s="28" t="n">
        <f aca="false">AT5501*$M5501</f>
        <v>0</v>
      </c>
      <c r="AV5501" s="28"/>
      <c r="AW5501" s="28" t="n">
        <f aca="false">AV5501*$M5501</f>
        <v>0</v>
      </c>
      <c r="AX5501" s="28"/>
      <c r="AY5501" s="28" t="n">
        <f aca="false">AX5501*$M5501</f>
        <v>0</v>
      </c>
      <c r="AZ5501" s="30" t="n">
        <f aca="false">18690/100</f>
        <v>186.9</v>
      </c>
      <c r="BA5501" s="11" t="n">
        <v>2243</v>
      </c>
      <c r="BB5501" s="31" t="n">
        <f aca="false">SUM(Q5501,S5501,U5501,W5501,Y5501,AA5501,AC5501,AE5501,AG5501,AI5501,AK5501,AM5501,AO5501,AQ5501,AS5501,AU5501,AW5501,AY5501)</f>
        <v>2243</v>
      </c>
      <c r="BC5501" s="28" t="n">
        <f aca="false">BA5501-BB5501</f>
        <v>0</v>
      </c>
      <c r="BD5501" s="32" t="n">
        <f aca="false">SUM(P5501,R5501,T5501,V5501,X5501,Z5501,AB5501,AD5501,AF5501,AH5501,AJ5501,AL5501,AN5501,AP5501,AR5501,AT5501,AV5501,AX5501)</f>
        <v>186.9</v>
      </c>
      <c r="BE5501" s="33" t="n">
        <f aca="false">AZ5501-BD5501</f>
        <v>0</v>
      </c>
      <c r="BF5501" s="34" t="n">
        <f aca="false">BD5501*M5501</f>
        <v>2242.8</v>
      </c>
      <c r="BG5501" s="35" t="n">
        <f aca="false">BA5501-BF5501</f>
        <v>0.199999999999818</v>
      </c>
      <c r="BH5501" s="19" t="str">
        <f aca="false">IF(BG5501=0,"",IF(BG5501&lt;&gt;BA5501,"erreur de calcul",IF(BD5501&lt;&gt;0,"pas de prix",IF(M5501&lt;&gt; 0,"pas de quantité","pas de prix, ni de quantité"))))</f>
        <v>erreur de calcul</v>
      </c>
      <c r="BI5501" s="19"/>
    </row>
    <row r="5502" customFormat="false" ht="15" hidden="false" customHeight="false" outlineLevel="0" collapsed="false">
      <c r="A5502" s="0" t="n">
        <v>27</v>
      </c>
      <c r="B5502" s="8" t="s">
        <v>24</v>
      </c>
      <c r="C5502" s="9" t="s">
        <v>25</v>
      </c>
      <c r="D5502" s="9" t="s">
        <v>26</v>
      </c>
      <c r="E5502" s="10" t="n">
        <v>1789</v>
      </c>
      <c r="F5502" s="9" t="s">
        <v>27</v>
      </c>
      <c r="G5502" s="9" t="s">
        <v>27</v>
      </c>
      <c r="H5502" s="11" t="n">
        <v>24</v>
      </c>
      <c r="I5502" s="11" t="s">
        <v>317</v>
      </c>
      <c r="J5502" s="14" t="n">
        <v>2</v>
      </c>
      <c r="K5502" s="14"/>
      <c r="L5502" s="16"/>
      <c r="M5502" s="27" t="n">
        <f aca="false">J5502+(K5502/20)+(L5502/240)</f>
        <v>2</v>
      </c>
      <c r="N5502" s="17" t="s">
        <v>64</v>
      </c>
      <c r="O5502" s="11"/>
      <c r="P5502" s="28"/>
      <c r="Q5502" s="28" t="n">
        <f aca="false">P5502*$M5502</f>
        <v>0</v>
      </c>
      <c r="R5502" s="28"/>
      <c r="S5502" s="28" t="n">
        <f aca="false">R5502*$M5502</f>
        <v>0</v>
      </c>
      <c r="T5502" s="28"/>
      <c r="U5502" s="28" t="n">
        <f aca="false">T5502*$M5502</f>
        <v>0</v>
      </c>
      <c r="V5502" s="28"/>
      <c r="W5502" s="28" t="n">
        <f aca="false">V5502*$M5502</f>
        <v>0</v>
      </c>
      <c r="X5502" s="28"/>
      <c r="Y5502" s="28" t="n">
        <f aca="false">X5502*$M5502</f>
        <v>0</v>
      </c>
      <c r="Z5502" s="28"/>
      <c r="AA5502" s="28" t="n">
        <f aca="false">Z5502*$M5502</f>
        <v>0</v>
      </c>
      <c r="AB5502" s="28" t="n">
        <f aca="false">15417/100</f>
        <v>154.17</v>
      </c>
      <c r="AC5502" s="28" t="n">
        <v>308</v>
      </c>
      <c r="AD5502" s="28"/>
      <c r="AE5502" s="28" t="n">
        <f aca="false">AD5502*$M5502</f>
        <v>0</v>
      </c>
      <c r="AF5502" s="28"/>
      <c r="AG5502" s="28" t="n">
        <f aca="false">AF5502*$M5502</f>
        <v>0</v>
      </c>
      <c r="AH5502" s="28"/>
      <c r="AI5502" s="28" t="n">
        <f aca="false">AH5502*$M5502</f>
        <v>0</v>
      </c>
      <c r="AJ5502" s="28"/>
      <c r="AK5502" s="28" t="n">
        <f aca="false">AJ5502*$M5502</f>
        <v>0</v>
      </c>
      <c r="AL5502" s="28"/>
      <c r="AM5502" s="28" t="n">
        <f aca="false">AL5502*$M5502</f>
        <v>0</v>
      </c>
      <c r="AN5502" s="28"/>
      <c r="AO5502" s="28" t="n">
        <f aca="false">AN5502*$M5502</f>
        <v>0</v>
      </c>
      <c r="AP5502" s="28"/>
      <c r="AQ5502" s="28" t="n">
        <f aca="false">AP5502*$M5502</f>
        <v>0</v>
      </c>
      <c r="AR5502" s="28"/>
      <c r="AS5502" s="28" t="n">
        <f aca="false">AR5502*$M5502</f>
        <v>0</v>
      </c>
      <c r="AT5502" s="28"/>
      <c r="AU5502" s="28" t="n">
        <f aca="false">AT5502*$M5502</f>
        <v>0</v>
      </c>
      <c r="AV5502" s="28"/>
      <c r="AW5502" s="28" t="n">
        <f aca="false">AV5502*$M5502</f>
        <v>0</v>
      </c>
      <c r="AX5502" s="28"/>
      <c r="AY5502" s="28" t="n">
        <f aca="false">AX5502*$M5502</f>
        <v>0</v>
      </c>
      <c r="AZ5502" s="30" t="n">
        <f aca="false">15417/100</f>
        <v>154.17</v>
      </c>
      <c r="BA5502" s="11" t="n">
        <v>308</v>
      </c>
      <c r="BB5502" s="31" t="n">
        <f aca="false">SUM(Q5502,S5502,U5502,W5502,Y5502,AA5502,AC5502,AE5502,AG5502,AI5502,AK5502,AM5502,AO5502,AQ5502,AS5502,AU5502,AW5502,AY5502)</f>
        <v>308</v>
      </c>
      <c r="BC5502" s="28" t="n">
        <f aca="false">BA5502-BB5502</f>
        <v>0</v>
      </c>
      <c r="BD5502" s="32" t="n">
        <f aca="false">SUM(P5502,R5502,T5502,V5502,X5502,Z5502,AB5502,AD5502,AF5502,AH5502,AJ5502,AL5502,AN5502,AP5502,AR5502,AT5502,AV5502,AX5502)</f>
        <v>154.17</v>
      </c>
      <c r="BE5502" s="33" t="n">
        <f aca="false">AZ5502-BD5502</f>
        <v>0</v>
      </c>
      <c r="BF5502" s="34" t="n">
        <f aca="false">BD5502*M5502</f>
        <v>308.34</v>
      </c>
      <c r="BG5502" s="35" t="n">
        <f aca="false">BA5502-BF5502</f>
        <v>-0.339999999999975</v>
      </c>
      <c r="BH5502" s="19" t="str">
        <f aca="false">IF(BG5502=0,"",IF(BG5502&lt;&gt;BA5502,"erreur de calcul",IF(BD5502&lt;&gt;0,"pas de prix",IF(M5502&lt;&gt; 0,"pas de quantité","pas de prix, ni de quantité"))))</f>
        <v>erreur de calcul</v>
      </c>
      <c r="BI5502" s="19"/>
    </row>
    <row r="5503" customFormat="false" ht="15" hidden="false" customHeight="false" outlineLevel="0" collapsed="false">
      <c r="A5503" s="0" t="n">
        <v>28</v>
      </c>
      <c r="B5503" s="8" t="s">
        <v>24</v>
      </c>
      <c r="C5503" s="9" t="s">
        <v>25</v>
      </c>
      <c r="D5503" s="9" t="s">
        <v>26</v>
      </c>
      <c r="E5503" s="10" t="n">
        <v>1789</v>
      </c>
      <c r="F5503" s="9" t="s">
        <v>27</v>
      </c>
      <c r="G5503" s="9" t="s">
        <v>27</v>
      </c>
      <c r="H5503" s="11" t="n">
        <v>24</v>
      </c>
      <c r="I5503" s="11" t="s">
        <v>318</v>
      </c>
      <c r="J5503" s="14" t="n">
        <v>30</v>
      </c>
      <c r="K5503" s="14"/>
      <c r="L5503" s="16"/>
      <c r="M5503" s="27" t="n">
        <f aca="false">J5503+(K5503/20)+(L5503/240)</f>
        <v>30</v>
      </c>
      <c r="N5503" s="17" t="s">
        <v>64</v>
      </c>
      <c r="O5503" s="11"/>
      <c r="P5503" s="28" t="n">
        <f aca="false">55459/100</f>
        <v>554.59</v>
      </c>
      <c r="Q5503" s="28" t="n">
        <v>16638</v>
      </c>
      <c r="R5503" s="28"/>
      <c r="S5503" s="28" t="n">
        <f aca="false">R5503*$M5503</f>
        <v>0</v>
      </c>
      <c r="T5503" s="28"/>
      <c r="U5503" s="28" t="n">
        <f aca="false">T5503*$M5503</f>
        <v>0</v>
      </c>
      <c r="V5503" s="28"/>
      <c r="W5503" s="28" t="n">
        <f aca="false">V5503*$M5503</f>
        <v>0</v>
      </c>
      <c r="X5503" s="28"/>
      <c r="Y5503" s="28" t="n">
        <f aca="false">X5503*$M5503</f>
        <v>0</v>
      </c>
      <c r="Z5503" s="28"/>
      <c r="AA5503" s="28" t="n">
        <f aca="false">Z5503*$M5503</f>
        <v>0</v>
      </c>
      <c r="AB5503" s="28"/>
      <c r="AC5503" s="28" t="n">
        <f aca="false">AB5503*$M5503</f>
        <v>0</v>
      </c>
      <c r="AD5503" s="28"/>
      <c r="AE5503" s="28" t="n">
        <f aca="false">AD5503*$M5503</f>
        <v>0</v>
      </c>
      <c r="AF5503" s="28"/>
      <c r="AG5503" s="28" t="n">
        <f aca="false">AF5503*$M5503</f>
        <v>0</v>
      </c>
      <c r="AH5503" s="28"/>
      <c r="AI5503" s="28" t="n">
        <f aca="false">AH5503*$M5503</f>
        <v>0</v>
      </c>
      <c r="AJ5503" s="28"/>
      <c r="AK5503" s="28" t="n">
        <f aca="false">AJ5503*$M5503</f>
        <v>0</v>
      </c>
      <c r="AL5503" s="28"/>
      <c r="AM5503" s="28" t="n">
        <f aca="false">AL5503*$M5503</f>
        <v>0</v>
      </c>
      <c r="AN5503" s="28"/>
      <c r="AO5503" s="28" t="n">
        <f aca="false">AN5503*$M5503</f>
        <v>0</v>
      </c>
      <c r="AP5503" s="28"/>
      <c r="AQ5503" s="28" t="n">
        <f aca="false">AP5503*$M5503</f>
        <v>0</v>
      </c>
      <c r="AR5503" s="28"/>
      <c r="AS5503" s="28" t="n">
        <f aca="false">AR5503*$M5503</f>
        <v>0</v>
      </c>
      <c r="AT5503" s="28"/>
      <c r="AU5503" s="28" t="n">
        <f aca="false">AT5503*$M5503</f>
        <v>0</v>
      </c>
      <c r="AV5503" s="28"/>
      <c r="AW5503" s="28" t="n">
        <f aca="false">AV5503*$M5503</f>
        <v>0</v>
      </c>
      <c r="AX5503" s="28"/>
      <c r="AY5503" s="28" t="n">
        <f aca="false">AX5503*$M5503</f>
        <v>0</v>
      </c>
      <c r="AZ5503" s="30" t="n">
        <f aca="false">55459/100</f>
        <v>554.59</v>
      </c>
      <c r="BA5503" s="11" t="n">
        <v>16638</v>
      </c>
      <c r="BB5503" s="31" t="n">
        <f aca="false">SUM(Q5503,S5503,U5503,W5503,Y5503,AA5503,AC5503,AE5503,AG5503,AI5503,AK5503,AM5503,AO5503,AQ5503,AS5503,AU5503,AW5503,AY5503)</f>
        <v>16638</v>
      </c>
      <c r="BC5503" s="28" t="n">
        <f aca="false">BA5503-BB5503</f>
        <v>0</v>
      </c>
      <c r="BD5503" s="32" t="n">
        <f aca="false">SUM(P5503,R5503,T5503,V5503,X5503,Z5503,AB5503,AD5503,AF5503,AH5503,AJ5503,AL5503,AN5503,AP5503,AR5503,AT5503,AV5503,AX5503)</f>
        <v>554.59</v>
      </c>
      <c r="BE5503" s="33" t="n">
        <f aca="false">AZ5503-BD5503</f>
        <v>0</v>
      </c>
      <c r="BF5503" s="34" t="n">
        <f aca="false">BD5503*M5503</f>
        <v>16637.7</v>
      </c>
      <c r="BG5503" s="35" t="n">
        <f aca="false">BA5503-BF5503</f>
        <v>0.299999999999272</v>
      </c>
      <c r="BH5503" s="19" t="str">
        <f aca="false">IF(BG5503=0,"",IF(BG5503&lt;&gt;BA5503,"erreur de calcul",IF(BD5503&lt;&gt;0,"pas de prix",IF(M5503&lt;&gt; 0,"pas de quantité","pas de prix, ni de quantité"))))</f>
        <v>erreur de calcul</v>
      </c>
      <c r="BI5503" s="19"/>
    </row>
    <row r="5504" customFormat="false" ht="15" hidden="false" customHeight="false" outlineLevel="0" collapsed="false">
      <c r="A5504" s="0" t="n">
        <v>29</v>
      </c>
      <c r="B5504" s="8" t="s">
        <v>24</v>
      </c>
      <c r="C5504" s="9" t="s">
        <v>25</v>
      </c>
      <c r="D5504" s="9" t="s">
        <v>26</v>
      </c>
      <c r="E5504" s="10" t="n">
        <v>1789</v>
      </c>
      <c r="F5504" s="9" t="s">
        <v>27</v>
      </c>
      <c r="G5504" s="9" t="s">
        <v>27</v>
      </c>
      <c r="H5504" s="11" t="n">
        <v>24</v>
      </c>
      <c r="I5504" s="11" t="s">
        <v>319</v>
      </c>
      <c r="J5504" s="14" t="n">
        <v>10</v>
      </c>
      <c r="K5504" s="14"/>
      <c r="L5504" s="16"/>
      <c r="M5504" s="27" t="n">
        <f aca="false">J5504+(K5504/20)+(L5504/240)</f>
        <v>10</v>
      </c>
      <c r="N5504" s="17" t="s">
        <v>64</v>
      </c>
      <c r="O5504" s="11"/>
      <c r="P5504" s="28" t="n">
        <f aca="false">48819/100</f>
        <v>488.19</v>
      </c>
      <c r="Q5504" s="28" t="n">
        <v>4882</v>
      </c>
      <c r="R5504" s="28"/>
      <c r="S5504" s="28" t="n">
        <f aca="false">R5504*$M5504</f>
        <v>0</v>
      </c>
      <c r="T5504" s="28" t="n">
        <f aca="false">2500/100</f>
        <v>25</v>
      </c>
      <c r="U5504" s="28" t="n">
        <v>250</v>
      </c>
      <c r="V5504" s="28"/>
      <c r="W5504" s="28" t="n">
        <f aca="false">V5504*$M5504</f>
        <v>0</v>
      </c>
      <c r="X5504" s="28" t="n">
        <f aca="false">6667/100</f>
        <v>66.67</v>
      </c>
      <c r="Y5504" s="28" t="n">
        <v>667</v>
      </c>
      <c r="Z5504" s="28"/>
      <c r="AA5504" s="28" t="n">
        <f aca="false">Z5504*$M5504</f>
        <v>0</v>
      </c>
      <c r="AB5504" s="28"/>
      <c r="AC5504" s="28" t="n">
        <f aca="false">AB5504*$M5504</f>
        <v>0</v>
      </c>
      <c r="AD5504" s="28"/>
      <c r="AE5504" s="28" t="n">
        <f aca="false">AD5504*$M5504</f>
        <v>0</v>
      </c>
      <c r="AF5504" s="28"/>
      <c r="AG5504" s="28" t="n">
        <f aca="false">AF5504*$M5504</f>
        <v>0</v>
      </c>
      <c r="AH5504" s="28"/>
      <c r="AI5504" s="28" t="n">
        <f aca="false">AH5504*$M5504</f>
        <v>0</v>
      </c>
      <c r="AJ5504" s="28"/>
      <c r="AK5504" s="28" t="n">
        <f aca="false">AJ5504*$M5504</f>
        <v>0</v>
      </c>
      <c r="AL5504" s="28"/>
      <c r="AM5504" s="28" t="n">
        <f aca="false">AL5504*$M5504</f>
        <v>0</v>
      </c>
      <c r="AN5504" s="28"/>
      <c r="AO5504" s="28" t="n">
        <f aca="false">AN5504*$M5504</f>
        <v>0</v>
      </c>
      <c r="AP5504" s="28"/>
      <c r="AQ5504" s="28" t="n">
        <f aca="false">AP5504*$M5504</f>
        <v>0</v>
      </c>
      <c r="AR5504" s="28"/>
      <c r="AS5504" s="28" t="n">
        <f aca="false">AR5504*$M5504</f>
        <v>0</v>
      </c>
      <c r="AT5504" s="28"/>
      <c r="AU5504" s="28" t="n">
        <f aca="false">AT5504*$M5504</f>
        <v>0</v>
      </c>
      <c r="AV5504" s="28"/>
      <c r="AW5504" s="28" t="n">
        <f aca="false">AV5504*$M5504</f>
        <v>0</v>
      </c>
      <c r="AX5504" s="28"/>
      <c r="AY5504" s="28" t="n">
        <f aca="false">AX5504*$M5504</f>
        <v>0</v>
      </c>
      <c r="AZ5504" s="30" t="n">
        <f aca="false">57986/100</f>
        <v>579.86</v>
      </c>
      <c r="BA5504" s="11" t="n">
        <v>5799</v>
      </c>
      <c r="BB5504" s="31" t="n">
        <f aca="false">SUM(Q5504,S5504,U5504,W5504,Y5504,AA5504,AC5504,AE5504,AG5504,AI5504,AK5504,AM5504,AO5504,AQ5504,AS5504,AU5504,AW5504,AY5504)</f>
        <v>5799</v>
      </c>
      <c r="BC5504" s="28" t="n">
        <f aca="false">BA5504-BB5504</f>
        <v>0</v>
      </c>
      <c r="BD5504" s="32" t="n">
        <f aca="false">SUM(P5504,R5504,T5504,V5504,X5504,Z5504,AB5504,AD5504,AF5504,AH5504,AJ5504,AL5504,AN5504,AP5504,AR5504,AT5504,AV5504,AX5504)</f>
        <v>579.86</v>
      </c>
      <c r="BE5504" s="33" t="n">
        <f aca="false">AZ5504-BD5504</f>
        <v>0</v>
      </c>
      <c r="BF5504" s="34" t="n">
        <f aca="false">BD5504*M5504</f>
        <v>5798.6</v>
      </c>
      <c r="BG5504" s="35" t="n">
        <f aca="false">BA5504-BF5504</f>
        <v>0.399999999999636</v>
      </c>
      <c r="BH5504" s="19" t="str">
        <f aca="false">IF(BG5504=0,"",IF(BG5504&lt;&gt;BA5504,"erreur de calcul",IF(BD5504&lt;&gt;0,"pas de prix",IF(M5504&lt;&gt; 0,"pas de quantité","pas de prix, ni de quantité"))))</f>
        <v>erreur de calcul</v>
      </c>
      <c r="BI5504" s="19"/>
    </row>
    <row r="5505" customFormat="false" ht="15" hidden="false" customHeight="false" outlineLevel="0" collapsed="false">
      <c r="A5505" s="0" t="n">
        <v>30</v>
      </c>
      <c r="B5505" s="8" t="s">
        <v>24</v>
      </c>
      <c r="C5505" s="9" t="s">
        <v>25</v>
      </c>
      <c r="D5505" s="9" t="s">
        <v>26</v>
      </c>
      <c r="E5505" s="10" t="n">
        <v>1789</v>
      </c>
      <c r="F5505" s="9" t="s">
        <v>27</v>
      </c>
      <c r="G5505" s="9" t="s">
        <v>27</v>
      </c>
      <c r="H5505" s="11" t="n">
        <v>24</v>
      </c>
      <c r="I5505" s="11" t="s">
        <v>320</v>
      </c>
      <c r="J5505" s="14" t="n">
        <v>90</v>
      </c>
      <c r="K5505" s="14"/>
      <c r="L5505" s="16"/>
      <c r="M5505" s="27" t="n">
        <f aca="false">J5505+(K5505/20)+(L5505/240)</f>
        <v>90</v>
      </c>
      <c r="N5505" s="17" t="s">
        <v>64</v>
      </c>
      <c r="O5505" s="11"/>
      <c r="P5505" s="28"/>
      <c r="Q5505" s="28" t="n">
        <f aca="false">P5505*$M5505</f>
        <v>0</v>
      </c>
      <c r="R5505" s="28"/>
      <c r="S5505" s="28" t="n">
        <f aca="false">R5505*$M5505</f>
        <v>0</v>
      </c>
      <c r="T5505" s="28"/>
      <c r="U5505" s="28" t="n">
        <f aca="false">T5505*$M5505</f>
        <v>0</v>
      </c>
      <c r="V5505" s="28"/>
      <c r="W5505" s="28" t="n">
        <f aca="false">V5505*$M5505</f>
        <v>0</v>
      </c>
      <c r="X5505" s="28"/>
      <c r="Y5505" s="28" t="n">
        <f aca="false">X5505*$M5505</f>
        <v>0</v>
      </c>
      <c r="Z5505" s="28"/>
      <c r="AA5505" s="28" t="n">
        <f aca="false">Z5505*$M5505</f>
        <v>0</v>
      </c>
      <c r="AB5505" s="28"/>
      <c r="AC5505" s="28" t="n">
        <f aca="false">AB5505*$M5505</f>
        <v>0</v>
      </c>
      <c r="AD5505" s="28"/>
      <c r="AE5505" s="28" t="n">
        <f aca="false">AD5505*$M5505</f>
        <v>0</v>
      </c>
      <c r="AF5505" s="28"/>
      <c r="AG5505" s="28" t="n">
        <f aca="false">AF5505*$M5505</f>
        <v>0</v>
      </c>
      <c r="AH5505" s="28"/>
      <c r="AI5505" s="28" t="n">
        <f aca="false">AH5505*$M5505</f>
        <v>0</v>
      </c>
      <c r="AJ5505" s="28"/>
      <c r="AK5505" s="28" t="n">
        <f aca="false">AJ5505*$M5505</f>
        <v>0</v>
      </c>
      <c r="AL5505" s="28" t="n">
        <f aca="false">2950/100</f>
        <v>29.5</v>
      </c>
      <c r="AM5505" s="28" t="n">
        <v>2655</v>
      </c>
      <c r="AN5505" s="28"/>
      <c r="AO5505" s="28" t="n">
        <f aca="false">AN5505*$M5505</f>
        <v>0</v>
      </c>
      <c r="AP5505" s="28"/>
      <c r="AQ5505" s="28" t="n">
        <f aca="false">AP5505*$M5505</f>
        <v>0</v>
      </c>
      <c r="AR5505" s="28"/>
      <c r="AS5505" s="28" t="n">
        <f aca="false">AR5505*$M5505</f>
        <v>0</v>
      </c>
      <c r="AT5505" s="28"/>
      <c r="AU5505" s="28" t="n">
        <f aca="false">AT5505*$M5505</f>
        <v>0</v>
      </c>
      <c r="AV5505" s="28"/>
      <c r="AW5505" s="28" t="n">
        <f aca="false">AV5505*$M5505</f>
        <v>0</v>
      </c>
      <c r="AX5505" s="28"/>
      <c r="AY5505" s="28" t="n">
        <f aca="false">AX5505*$M5505</f>
        <v>0</v>
      </c>
      <c r="AZ5505" s="30" t="n">
        <f aca="false">2950/100</f>
        <v>29.5</v>
      </c>
      <c r="BA5505" s="11" t="n">
        <v>2655</v>
      </c>
      <c r="BB5505" s="31" t="n">
        <f aca="false">SUM(Q5505,S5505,U5505,W5505,Y5505,AA5505,AC5505,AE5505,AG5505,AI5505,AK5505,AM5505,AO5505,AQ5505,AS5505,AU5505,AW5505,AY5505)</f>
        <v>2655</v>
      </c>
      <c r="BC5505" s="28" t="n">
        <f aca="false">BA5505-BB5505</f>
        <v>0</v>
      </c>
      <c r="BD5505" s="32" t="n">
        <f aca="false">SUM(P5505,R5505,T5505,V5505,X5505,Z5505,AB5505,AD5505,AF5505,AH5505,AJ5505,AL5505,AN5505,AP5505,AR5505,AT5505,AV5505,AX5505)</f>
        <v>29.5</v>
      </c>
      <c r="BE5505" s="33" t="n">
        <f aca="false">AZ5505-BD5505</f>
        <v>0</v>
      </c>
      <c r="BF5505" s="34" t="n">
        <f aca="false">BD5505*M5505</f>
        <v>2655</v>
      </c>
      <c r="BG5505" s="35" t="n">
        <f aca="false">BA5505-BF5505</f>
        <v>0</v>
      </c>
      <c r="BH5505" s="19" t="str">
        <f aca="false">IF(BG5505=0,"",IF(BG5505&lt;&gt;BA5505,"erreur de calcul",IF(BD5505&lt;&gt;0,"pas de prix",IF(M5505&lt;&gt; 0,"pas de quantité","pas de prix, ni de quantité"))))</f>
        <v/>
      </c>
      <c r="BI5505" s="19"/>
    </row>
    <row r="5506" customFormat="false" ht="15" hidden="false" customHeight="false" outlineLevel="0" collapsed="false">
      <c r="A5506" s="0" t="n">
        <v>31</v>
      </c>
      <c r="B5506" s="8" t="s">
        <v>24</v>
      </c>
      <c r="C5506" s="9" t="s">
        <v>25</v>
      </c>
      <c r="D5506" s="9" t="s">
        <v>26</v>
      </c>
      <c r="E5506" s="10" t="n">
        <v>1789</v>
      </c>
      <c r="F5506" s="9" t="s">
        <v>27</v>
      </c>
      <c r="G5506" s="9" t="s">
        <v>27</v>
      </c>
      <c r="H5506" s="11" t="n">
        <v>24</v>
      </c>
      <c r="I5506" s="11" t="s">
        <v>321</v>
      </c>
      <c r="J5506" s="14" t="n">
        <v>50</v>
      </c>
      <c r="K5506" s="14"/>
      <c r="L5506" s="16"/>
      <c r="M5506" s="27" t="n">
        <f aca="false">J5506+(K5506/20)+(L5506/240)</f>
        <v>50</v>
      </c>
      <c r="N5506" s="17" t="s">
        <v>64</v>
      </c>
      <c r="O5506" s="11" t="s">
        <v>277</v>
      </c>
      <c r="P5506" s="28"/>
      <c r="Q5506" s="28" t="n">
        <f aca="false">P5506*$M5506</f>
        <v>0</v>
      </c>
      <c r="R5506" s="28"/>
      <c r="S5506" s="28" t="n">
        <f aca="false">R5506*$M5506</f>
        <v>0</v>
      </c>
      <c r="T5506" s="28" t="n">
        <f aca="false">2*288*0.02+153*0.02</f>
        <v>14.58</v>
      </c>
      <c r="U5506" s="28" t="n">
        <v>729</v>
      </c>
      <c r="V5506" s="28" t="n">
        <f aca="false">2*288*0.02+118*0.02</f>
        <v>13.88</v>
      </c>
      <c r="W5506" s="28" t="n">
        <v>694</v>
      </c>
      <c r="X5506" s="28" t="n">
        <f aca="false">25*288*0.02+103*0.02</f>
        <v>146.06</v>
      </c>
      <c r="Y5506" s="28" t="n">
        <v>7303</v>
      </c>
      <c r="Z5506" s="28"/>
      <c r="AA5506" s="28" t="n">
        <f aca="false">Z5506*$M5506</f>
        <v>0</v>
      </c>
      <c r="AB5506" s="28" t="n">
        <f aca="false">1*288*0.02+74*0.02</f>
        <v>7.24</v>
      </c>
      <c r="AC5506" s="28" t="n">
        <v>362</v>
      </c>
      <c r="AD5506" s="28" t="n">
        <f aca="false">276*0.02</f>
        <v>5.52</v>
      </c>
      <c r="AE5506" s="28" t="n">
        <v>276</v>
      </c>
      <c r="AF5506" s="28"/>
      <c r="AG5506" s="28" t="n">
        <f aca="false">AF5506*$M5506</f>
        <v>0</v>
      </c>
      <c r="AH5506" s="28" t="n">
        <f aca="false">1*288*0.02+75*0.02</f>
        <v>7.26</v>
      </c>
      <c r="AI5506" s="28" t="n">
        <v>363</v>
      </c>
      <c r="AJ5506" s="28" t="n">
        <f aca="false">2*288*0.02+176*0.02</f>
        <v>15.04</v>
      </c>
      <c r="AK5506" s="28" t="n">
        <v>752</v>
      </c>
      <c r="AL5506" s="28"/>
      <c r="AM5506" s="28" t="n">
        <f aca="false">AL5506*$M5506</f>
        <v>0</v>
      </c>
      <c r="AN5506" s="28"/>
      <c r="AO5506" s="28" t="n">
        <f aca="false">AN5506*$M5506</f>
        <v>0</v>
      </c>
      <c r="AP5506" s="28"/>
      <c r="AQ5506" s="28" t="n">
        <f aca="false">AP5506*$M5506</f>
        <v>0</v>
      </c>
      <c r="AR5506" s="28"/>
      <c r="AS5506" s="28" t="n">
        <f aca="false">AR5506*$M5506</f>
        <v>0</v>
      </c>
      <c r="AT5506" s="28"/>
      <c r="AU5506" s="28" t="n">
        <f aca="false">AT5506*$M5506</f>
        <v>0</v>
      </c>
      <c r="AV5506" s="28"/>
      <c r="AW5506" s="28" t="n">
        <f aca="false">AV5506*$M5506</f>
        <v>0</v>
      </c>
      <c r="AX5506" s="28"/>
      <c r="AY5506" s="28" t="n">
        <f aca="false">AX5506*$M5506</f>
        <v>0</v>
      </c>
      <c r="AZ5506" s="30" t="n">
        <f aca="false">36*288*0.02+111*0.02</f>
        <v>209.58</v>
      </c>
      <c r="BA5506" s="11" t="n">
        <v>10479</v>
      </c>
      <c r="BB5506" s="31" t="n">
        <f aca="false">SUM(Q5506,S5506,U5506,W5506,Y5506,AA5506,AC5506,AE5506,AG5506,AI5506,AK5506,AM5506,AO5506,AQ5506,AS5506,AU5506,AW5506,AY5506)</f>
        <v>10479</v>
      </c>
      <c r="BC5506" s="28" t="n">
        <f aca="false">BA5506-BB5506</f>
        <v>0</v>
      </c>
      <c r="BD5506" s="32" t="n">
        <f aca="false">SUM(P5506,R5506,T5506,V5506,X5506,Z5506,AB5506,AD5506,AF5506,AH5506,AJ5506,AL5506,AN5506,AP5506,AR5506,AT5506,AV5506,AX5506)</f>
        <v>209.58</v>
      </c>
      <c r="BE5506" s="33" t="n">
        <f aca="false">AZ5506-BD5506</f>
        <v>0</v>
      </c>
      <c r="BF5506" s="34" t="n">
        <f aca="false">BD5506*M5506</f>
        <v>10479</v>
      </c>
      <c r="BG5506" s="35" t="n">
        <f aca="false">BA5506-BF5506</f>
        <v>0</v>
      </c>
      <c r="BH5506" s="19" t="str">
        <f aca="false">IF(BG5506=0,"",IF(BG5506&lt;&gt;BA5506,"erreur de calcul",IF(BD5506&lt;&gt;0,"pas de prix",IF(M5506&lt;&gt; 0,"pas de quantité","pas de prix, ni de quantité"))))</f>
        <v/>
      </c>
      <c r="BI5506" s="19"/>
    </row>
    <row r="5507" customFormat="false" ht="15" hidden="false" customHeight="false" outlineLevel="0" collapsed="false">
      <c r="A5507" s="0" t="n">
        <v>32</v>
      </c>
      <c r="B5507" s="8" t="s">
        <v>24</v>
      </c>
      <c r="C5507" s="9" t="s">
        <v>25</v>
      </c>
      <c r="D5507" s="9" t="s">
        <v>26</v>
      </c>
      <c r="E5507" s="10" t="n">
        <v>1789</v>
      </c>
      <c r="F5507" s="9" t="s">
        <v>27</v>
      </c>
      <c r="G5507" s="9" t="s">
        <v>27</v>
      </c>
      <c r="H5507" s="11" t="n">
        <v>24</v>
      </c>
      <c r="I5507" s="11" t="s">
        <v>322</v>
      </c>
      <c r="J5507" s="14" t="n">
        <v>70</v>
      </c>
      <c r="K5507" s="14"/>
      <c r="L5507" s="16"/>
      <c r="M5507" s="27" t="n">
        <f aca="false">J5507+(K5507/20)+(L5507/240)</f>
        <v>70</v>
      </c>
      <c r="N5507" s="17" t="s">
        <v>64</v>
      </c>
      <c r="O5507" s="11"/>
      <c r="P5507" s="28"/>
      <c r="Q5507" s="28" t="n">
        <f aca="false">P5507*$M5507</f>
        <v>0</v>
      </c>
      <c r="R5507" s="28"/>
      <c r="S5507" s="28" t="n">
        <f aca="false">R5507*$M5507</f>
        <v>0</v>
      </c>
      <c r="T5507" s="28"/>
      <c r="U5507" s="28" t="n">
        <f aca="false">T5507*$M5507</f>
        <v>0</v>
      </c>
      <c r="V5507" s="28"/>
      <c r="W5507" s="28" t="n">
        <f aca="false">V5507*$M5507</f>
        <v>0</v>
      </c>
      <c r="X5507" s="28" t="n">
        <f aca="false">2*288*0.02+217*0.02</f>
        <v>15.86</v>
      </c>
      <c r="Y5507" s="28" t="n">
        <v>1111</v>
      </c>
      <c r="Z5507" s="28"/>
      <c r="AA5507" s="28" t="n">
        <f aca="false">Z5507*$M5507</f>
        <v>0</v>
      </c>
      <c r="AB5507" s="28"/>
      <c r="AC5507" s="28" t="n">
        <f aca="false">AB5507*$M5507</f>
        <v>0</v>
      </c>
      <c r="AD5507" s="28"/>
      <c r="AE5507" s="28" t="n">
        <f aca="false">AD5507*$M5507</f>
        <v>0</v>
      </c>
      <c r="AF5507" s="28"/>
      <c r="AG5507" s="28" t="n">
        <f aca="false">AF5507*$M5507</f>
        <v>0</v>
      </c>
      <c r="AH5507" s="28"/>
      <c r="AI5507" s="28" t="n">
        <f aca="false">AH5507*$M5507</f>
        <v>0</v>
      </c>
      <c r="AJ5507" s="28"/>
      <c r="AK5507" s="28" t="n">
        <f aca="false">AJ5507*$M5507</f>
        <v>0</v>
      </c>
      <c r="AL5507" s="28"/>
      <c r="AM5507" s="28" t="n">
        <f aca="false">AL5507*$M5507</f>
        <v>0</v>
      </c>
      <c r="AN5507" s="28"/>
      <c r="AO5507" s="28" t="n">
        <f aca="false">AN5507*$M5507</f>
        <v>0</v>
      </c>
      <c r="AP5507" s="28"/>
      <c r="AQ5507" s="28" t="n">
        <f aca="false">AP5507*$M5507</f>
        <v>0</v>
      </c>
      <c r="AR5507" s="28"/>
      <c r="AS5507" s="28" t="n">
        <f aca="false">AR5507*$M5507</f>
        <v>0</v>
      </c>
      <c r="AT5507" s="28"/>
      <c r="AU5507" s="28" t="n">
        <f aca="false">AT5507*$M5507</f>
        <v>0</v>
      </c>
      <c r="AV5507" s="28"/>
      <c r="AW5507" s="28" t="n">
        <f aca="false">AV5507*$M5507</f>
        <v>0</v>
      </c>
      <c r="AX5507" s="28"/>
      <c r="AY5507" s="28" t="n">
        <f aca="false">AX5507*$M5507</f>
        <v>0</v>
      </c>
      <c r="AZ5507" s="30" t="n">
        <f aca="false">2*288*0.02+217*0.02</f>
        <v>15.86</v>
      </c>
      <c r="BA5507" s="11" t="n">
        <v>1111</v>
      </c>
      <c r="BB5507" s="31" t="n">
        <f aca="false">SUM(Q5507,S5507,U5507,W5507,Y5507,AA5507,AC5507,AE5507,AG5507,AI5507,AK5507,AM5507,AO5507,AQ5507,AS5507,AU5507,AW5507,AY5507)</f>
        <v>1111</v>
      </c>
      <c r="BC5507" s="28" t="n">
        <f aca="false">BA5507-BB5507</f>
        <v>0</v>
      </c>
      <c r="BD5507" s="32" t="n">
        <f aca="false">SUM(P5507,R5507,T5507,V5507,X5507,Z5507,AB5507,AD5507,AF5507,AH5507,AJ5507,AL5507,AN5507,AP5507,AR5507,AT5507,AV5507,AX5507)</f>
        <v>15.86</v>
      </c>
      <c r="BE5507" s="33" t="n">
        <f aca="false">AZ5507-BD5507</f>
        <v>0</v>
      </c>
      <c r="BF5507" s="34" t="n">
        <f aca="false">BD5507*M5507</f>
        <v>1110.2</v>
      </c>
      <c r="BG5507" s="35" t="n">
        <f aca="false">BA5507-BF5507</f>
        <v>0.799999999999955</v>
      </c>
      <c r="BH5507" s="19" t="str">
        <f aca="false">IF(BG5507=0,"",IF(BG5507&lt;&gt;BA5507,"erreur de calcul",IF(BD5507&lt;&gt;0,"pas de prix",IF(M5507&lt;&gt; 0,"pas de quantité","pas de prix, ni de quantité"))))</f>
        <v>erreur de calcul</v>
      </c>
      <c r="BI5507" s="19"/>
    </row>
    <row r="5508" customFormat="false" ht="15" hidden="false" customHeight="false" outlineLevel="0" collapsed="false">
      <c r="A5508" s="0" t="n">
        <v>33</v>
      </c>
      <c r="B5508" s="8" t="s">
        <v>24</v>
      </c>
      <c r="C5508" s="9" t="s">
        <v>25</v>
      </c>
      <c r="D5508" s="9" t="s">
        <v>26</v>
      </c>
      <c r="E5508" s="10" t="n">
        <v>1789</v>
      </c>
      <c r="F5508" s="9" t="s">
        <v>27</v>
      </c>
      <c r="G5508" s="9" t="s">
        <v>27</v>
      </c>
      <c r="H5508" s="11" t="n">
        <v>24</v>
      </c>
      <c r="I5508" s="11" t="s">
        <v>323</v>
      </c>
      <c r="J5508" s="14"/>
      <c r="K5508" s="14" t="n">
        <v>40</v>
      </c>
      <c r="L5508" s="16"/>
      <c r="M5508" s="27" t="n">
        <f aca="false">J5508+(K5508/20)+(L5508/240)</f>
        <v>2</v>
      </c>
      <c r="N5508" s="17" t="s">
        <v>66</v>
      </c>
      <c r="O5508" s="11"/>
      <c r="P5508" s="28" t="n">
        <v>780</v>
      </c>
      <c r="Q5508" s="28" t="n">
        <v>1560</v>
      </c>
      <c r="R5508" s="28"/>
      <c r="S5508" s="28" t="n">
        <f aca="false">R5508*$M5508</f>
        <v>0</v>
      </c>
      <c r="T5508" s="28" t="n">
        <v>1552</v>
      </c>
      <c r="U5508" s="28" t="n">
        <v>3104</v>
      </c>
      <c r="V5508" s="28" t="n">
        <v>1051</v>
      </c>
      <c r="W5508" s="28" t="n">
        <v>2102</v>
      </c>
      <c r="X5508" s="28" t="n">
        <v>1486</v>
      </c>
      <c r="Y5508" s="28" t="n">
        <v>2972</v>
      </c>
      <c r="Z5508" s="28" t="n">
        <v>847</v>
      </c>
      <c r="AA5508" s="28" t="n">
        <v>1694</v>
      </c>
      <c r="AB5508" s="28" t="n">
        <v>114</v>
      </c>
      <c r="AC5508" s="28" t="n">
        <v>228</v>
      </c>
      <c r="AD5508" s="28" t="n">
        <v>407</v>
      </c>
      <c r="AE5508" s="28" t="n">
        <v>814</v>
      </c>
      <c r="AF5508" s="28"/>
      <c r="AG5508" s="28" t="n">
        <f aca="false">AF5508*$M5508</f>
        <v>0</v>
      </c>
      <c r="AH5508" s="28"/>
      <c r="AI5508" s="28" t="n">
        <f aca="false">AH5508*$M5508</f>
        <v>0</v>
      </c>
      <c r="AJ5508" s="28" t="n">
        <v>1297</v>
      </c>
      <c r="AK5508" s="28" t="n">
        <v>2594</v>
      </c>
      <c r="AL5508" s="28"/>
      <c r="AM5508" s="28" t="n">
        <f aca="false">AL5508*$M5508</f>
        <v>0</v>
      </c>
      <c r="AN5508" s="28"/>
      <c r="AO5508" s="28" t="n">
        <f aca="false">AN5508*$M5508</f>
        <v>0</v>
      </c>
      <c r="AP5508" s="28"/>
      <c r="AQ5508" s="28" t="n">
        <f aca="false">AP5508*$M5508</f>
        <v>0</v>
      </c>
      <c r="AR5508" s="28"/>
      <c r="AS5508" s="28" t="n">
        <f aca="false">AR5508*$M5508</f>
        <v>0</v>
      </c>
      <c r="AT5508" s="28"/>
      <c r="AU5508" s="28" t="n">
        <f aca="false">AT5508*$M5508</f>
        <v>0</v>
      </c>
      <c r="AV5508" s="28"/>
      <c r="AW5508" s="28" t="n">
        <f aca="false">AV5508*$M5508</f>
        <v>0</v>
      </c>
      <c r="AX5508" s="28"/>
      <c r="AY5508" s="28" t="n">
        <f aca="false">AX5508*$M5508</f>
        <v>0</v>
      </c>
      <c r="AZ5508" s="30" t="n">
        <v>7534</v>
      </c>
      <c r="BA5508" s="11" t="n">
        <v>15068</v>
      </c>
      <c r="BB5508" s="31" t="n">
        <f aca="false">SUM(Q5508,S5508,U5508,W5508,Y5508,AA5508,AC5508,AE5508,AG5508,AI5508,AK5508,AM5508,AO5508,AQ5508,AS5508,AU5508,AW5508,AY5508)</f>
        <v>15068</v>
      </c>
      <c r="BC5508" s="28" t="n">
        <f aca="false">BA5508-BB5508</f>
        <v>0</v>
      </c>
      <c r="BD5508" s="32" t="n">
        <f aca="false">SUM(P5508,R5508,T5508,V5508,X5508,Z5508,AB5508,AD5508,AF5508,AH5508,AJ5508,AL5508,AN5508,AP5508,AR5508,AT5508,AV5508,AX5508)</f>
        <v>7534</v>
      </c>
      <c r="BE5508" s="33" t="n">
        <f aca="false">AZ5508-BD5508</f>
        <v>0</v>
      </c>
      <c r="BF5508" s="34" t="n">
        <f aca="false">BD5508*M5508</f>
        <v>15068</v>
      </c>
      <c r="BG5508" s="35" t="n">
        <f aca="false">BA5508-BF5508</f>
        <v>0</v>
      </c>
      <c r="BH5508" s="19" t="str">
        <f aca="false">IF(BG5508=0,"",IF(BG5508&lt;&gt;BA5508,"erreur de calcul",IF(BD5508&lt;&gt;0,"pas de prix",IF(M5508&lt;&gt; 0,"pas de quantité","pas de prix, ni de quantité"))))</f>
        <v/>
      </c>
      <c r="BI5508" s="19"/>
    </row>
    <row r="5509" customFormat="false" ht="15" hidden="false" customHeight="false" outlineLevel="0" collapsed="false">
      <c r="A5509" s="0" t="n">
        <v>34</v>
      </c>
      <c r="B5509" s="8" t="s">
        <v>24</v>
      </c>
      <c r="C5509" s="9" t="s">
        <v>25</v>
      </c>
      <c r="D5509" s="9" t="s">
        <v>26</v>
      </c>
      <c r="E5509" s="10" t="n">
        <v>1789</v>
      </c>
      <c r="F5509" s="9" t="s">
        <v>27</v>
      </c>
      <c r="G5509" s="9" t="s">
        <v>27</v>
      </c>
      <c r="H5509" s="11" t="n">
        <v>24</v>
      </c>
      <c r="I5509" s="11" t="s">
        <v>324</v>
      </c>
      <c r="J5509" s="14" t="n">
        <v>15</v>
      </c>
      <c r="K5509" s="14"/>
      <c r="L5509" s="16"/>
      <c r="M5509" s="27" t="n">
        <f aca="false">J5509+(K5509/20)+(L5509/240)</f>
        <v>15</v>
      </c>
      <c r="N5509" s="17" t="s">
        <v>64</v>
      </c>
      <c r="O5509" s="11"/>
      <c r="P5509" s="28" t="n">
        <f aca="false">6834/100</f>
        <v>68.34</v>
      </c>
      <c r="Q5509" s="28" t="n">
        <v>1025</v>
      </c>
      <c r="R5509" s="28"/>
      <c r="S5509" s="28" t="n">
        <f aca="false">R5509*$M5509</f>
        <v>0</v>
      </c>
      <c r="T5509" s="28" t="n">
        <f aca="false">834/100</f>
        <v>8.34</v>
      </c>
      <c r="U5509" s="28" t="n">
        <v>125</v>
      </c>
      <c r="V5509" s="28" t="n">
        <f aca="false">197372/100</f>
        <v>1973.72</v>
      </c>
      <c r="W5509" s="28" t="n">
        <v>29606</v>
      </c>
      <c r="X5509" s="28" t="n">
        <f aca="false">2334702/100</f>
        <v>23347.02</v>
      </c>
      <c r="Y5509" s="28" t="n">
        <v>350205</v>
      </c>
      <c r="Z5509" s="28"/>
      <c r="AA5509" s="28" t="n">
        <f aca="false">Z5509*$M5509</f>
        <v>0</v>
      </c>
      <c r="AB5509" s="28" t="n">
        <f aca="false">1417/100</f>
        <v>14.17</v>
      </c>
      <c r="AC5509" s="28" t="n">
        <v>212</v>
      </c>
      <c r="AD5509" s="28"/>
      <c r="AE5509" s="28" t="n">
        <f aca="false">AD5509*$M5509</f>
        <v>0</v>
      </c>
      <c r="AF5509" s="28"/>
      <c r="AG5509" s="28" t="n">
        <f aca="false">AF5509*$M5509</f>
        <v>0</v>
      </c>
      <c r="AH5509" s="28"/>
      <c r="AI5509" s="28" t="n">
        <f aca="false">AH5509*$M5509</f>
        <v>0</v>
      </c>
      <c r="AJ5509" s="28"/>
      <c r="AK5509" s="28" t="n">
        <f aca="false">AJ5509*$M5509</f>
        <v>0</v>
      </c>
      <c r="AL5509" s="28"/>
      <c r="AM5509" s="28" t="n">
        <f aca="false">AL5509*$M5509</f>
        <v>0</v>
      </c>
      <c r="AN5509" s="28"/>
      <c r="AO5509" s="28" t="n">
        <f aca="false">AN5509*$M5509</f>
        <v>0</v>
      </c>
      <c r="AP5509" s="28"/>
      <c r="AQ5509" s="28" t="n">
        <f aca="false">AP5509*$M5509</f>
        <v>0</v>
      </c>
      <c r="AR5509" s="28"/>
      <c r="AS5509" s="28" t="n">
        <f aca="false">AR5509*$M5509</f>
        <v>0</v>
      </c>
      <c r="AT5509" s="28"/>
      <c r="AU5509" s="28" t="n">
        <f aca="false">AT5509*$M5509</f>
        <v>0</v>
      </c>
      <c r="AV5509" s="28"/>
      <c r="AW5509" s="28" t="n">
        <f aca="false">AV5509*$M5509</f>
        <v>0</v>
      </c>
      <c r="AX5509" s="28"/>
      <c r="AY5509" s="28" t="n">
        <f aca="false">AX5509*$M5509</f>
        <v>0</v>
      </c>
      <c r="AZ5509" s="30" t="n">
        <f aca="false">2541159/100</f>
        <v>25411.59</v>
      </c>
      <c r="BA5509" s="11" t="n">
        <v>381173</v>
      </c>
      <c r="BB5509" s="31" t="n">
        <f aca="false">SUM(Q5509,S5509,U5509,W5509,Y5509,AA5509,AC5509,AE5509,AG5509,AI5509,AK5509,AM5509,AO5509,AQ5509,AS5509,AU5509,AW5509,AY5509)</f>
        <v>381173</v>
      </c>
      <c r="BC5509" s="28" t="n">
        <f aca="false">BA5509-BB5509</f>
        <v>0</v>
      </c>
      <c r="BD5509" s="32" t="n">
        <f aca="false">SUM(P5509,R5509,T5509,V5509,X5509,Z5509,AB5509,AD5509,AF5509,AH5509,AJ5509,AL5509,AN5509,AP5509,AR5509,AT5509,AV5509,AX5509)</f>
        <v>25411.59</v>
      </c>
      <c r="BE5509" s="33" t="n">
        <f aca="false">AZ5509-BD5509</f>
        <v>0</v>
      </c>
      <c r="BF5509" s="34" t="n">
        <f aca="false">BD5509*M5509</f>
        <v>381173.85</v>
      </c>
      <c r="BG5509" s="35" t="n">
        <f aca="false">BA5509-BF5509</f>
        <v>-0.849999999976717</v>
      </c>
      <c r="BH5509" s="19" t="str">
        <f aca="false">IF(BG5509=0,"",IF(BG5509&lt;&gt;BA5509,"erreur de calcul",IF(BD5509&lt;&gt;0,"pas de prix",IF(M5509&lt;&gt; 0,"pas de quantité","pas de prix, ni de quantité"))))</f>
        <v>erreur de calcul</v>
      </c>
      <c r="BI5509" s="19"/>
    </row>
    <row r="5510" customFormat="false" ht="15" hidden="false" customHeight="false" outlineLevel="0" collapsed="false">
      <c r="A5510" s="0" t="n">
        <v>35</v>
      </c>
      <c r="B5510" s="8" t="s">
        <v>24</v>
      </c>
      <c r="C5510" s="9" t="s">
        <v>25</v>
      </c>
      <c r="D5510" s="9" t="s">
        <v>26</v>
      </c>
      <c r="E5510" s="10" t="n">
        <v>1789</v>
      </c>
      <c r="F5510" s="9" t="s">
        <v>27</v>
      </c>
      <c r="G5510" s="9" t="s">
        <v>27</v>
      </c>
      <c r="H5510" s="11" t="n">
        <v>24</v>
      </c>
      <c r="I5510" s="11" t="s">
        <v>325</v>
      </c>
      <c r="J5510" s="14" t="n">
        <v>25</v>
      </c>
      <c r="K5510" s="14"/>
      <c r="L5510" s="16"/>
      <c r="M5510" s="27" t="n">
        <f aca="false">J5510+(K5510/20)+(L5510/240)</f>
        <v>25</v>
      </c>
      <c r="N5510" s="17" t="s">
        <v>64</v>
      </c>
      <c r="O5510" s="11"/>
      <c r="P5510" s="28"/>
      <c r="Q5510" s="28" t="n">
        <f aca="false">P5510*$M5510</f>
        <v>0</v>
      </c>
      <c r="R5510" s="28"/>
      <c r="S5510" s="28" t="n">
        <f aca="false">R5510*$M5510</f>
        <v>0</v>
      </c>
      <c r="T5510" s="28"/>
      <c r="U5510" s="28" t="n">
        <f aca="false">T5510*$M5510</f>
        <v>0</v>
      </c>
      <c r="V5510" s="28"/>
      <c r="W5510" s="28" t="n">
        <f aca="false">V5510*$M5510</f>
        <v>0</v>
      </c>
      <c r="X5510" s="28" t="n">
        <f aca="false">4971/100</f>
        <v>49.71</v>
      </c>
      <c r="Y5510" s="28" t="n">
        <v>1243</v>
      </c>
      <c r="Z5510" s="28" t="n">
        <f aca="false">14812/100</f>
        <v>148.12</v>
      </c>
      <c r="AA5510" s="28" t="n">
        <v>3703</v>
      </c>
      <c r="AB5510" s="28"/>
      <c r="AC5510" s="28" t="n">
        <f aca="false">AB5510*$M5510</f>
        <v>0</v>
      </c>
      <c r="AD5510" s="28"/>
      <c r="AE5510" s="28" t="n">
        <f aca="false">AD5510*$M5510</f>
        <v>0</v>
      </c>
      <c r="AF5510" s="28"/>
      <c r="AG5510" s="28" t="n">
        <f aca="false">AF5510*$M5510</f>
        <v>0</v>
      </c>
      <c r="AH5510" s="28"/>
      <c r="AI5510" s="28" t="n">
        <f aca="false">AH5510*$M5510</f>
        <v>0</v>
      </c>
      <c r="AJ5510" s="28"/>
      <c r="AK5510" s="28" t="n">
        <f aca="false">AJ5510*$M5510</f>
        <v>0</v>
      </c>
      <c r="AL5510" s="28"/>
      <c r="AM5510" s="28" t="n">
        <f aca="false">AL5510*$M5510</f>
        <v>0</v>
      </c>
      <c r="AN5510" s="28"/>
      <c r="AO5510" s="28" t="n">
        <f aca="false">AN5510*$M5510</f>
        <v>0</v>
      </c>
      <c r="AP5510" s="28"/>
      <c r="AQ5510" s="28" t="n">
        <f aca="false">AP5510*$M5510</f>
        <v>0</v>
      </c>
      <c r="AR5510" s="28"/>
      <c r="AS5510" s="28" t="n">
        <f aca="false">AR5510*$M5510</f>
        <v>0</v>
      </c>
      <c r="AT5510" s="28"/>
      <c r="AU5510" s="28" t="n">
        <f aca="false">AT5510*$M5510</f>
        <v>0</v>
      </c>
      <c r="AV5510" s="28"/>
      <c r="AW5510" s="28" t="n">
        <f aca="false">AV5510*$M5510</f>
        <v>0</v>
      </c>
      <c r="AX5510" s="28"/>
      <c r="AY5510" s="28" t="n">
        <f aca="false">AX5510*$M5510</f>
        <v>0</v>
      </c>
      <c r="AZ5510" s="30" t="n">
        <f aca="false">19783/100</f>
        <v>197.83</v>
      </c>
      <c r="BA5510" s="11" t="n">
        <v>4946</v>
      </c>
      <c r="BB5510" s="31" t="n">
        <f aca="false">SUM(Q5510,S5510,U5510,W5510,Y5510,AA5510,AC5510,AE5510,AG5510,AI5510,AK5510,AM5510,AO5510,AQ5510,AS5510,AU5510,AW5510,AY5510)</f>
        <v>4946</v>
      </c>
      <c r="BC5510" s="28" t="n">
        <f aca="false">BA5510-BB5510</f>
        <v>0</v>
      </c>
      <c r="BD5510" s="32" t="n">
        <f aca="false">SUM(P5510,R5510,T5510,V5510,X5510,Z5510,AB5510,AD5510,AF5510,AH5510,AJ5510,AL5510,AN5510,AP5510,AR5510,AT5510,AV5510,AX5510)</f>
        <v>197.83</v>
      </c>
      <c r="BE5510" s="33" t="n">
        <f aca="false">AZ5510-BD5510</f>
        <v>0</v>
      </c>
      <c r="BF5510" s="34" t="n">
        <f aca="false">BD5510*M5510</f>
        <v>4945.75</v>
      </c>
      <c r="BG5510" s="35" t="n">
        <f aca="false">BA5510-BF5510</f>
        <v>0.25</v>
      </c>
      <c r="BH5510" s="19" t="str">
        <f aca="false">IF(BG5510=0,"",IF(BG5510&lt;&gt;BA5510,"erreur de calcul",IF(BD5510&lt;&gt;0,"pas de prix",IF(M5510&lt;&gt; 0,"pas de quantité","pas de prix, ni de quantité"))))</f>
        <v>erreur de calcul</v>
      </c>
      <c r="BI5510" s="19"/>
    </row>
    <row r="5511" customFormat="false" ht="15" hidden="false" customHeight="false" outlineLevel="0" collapsed="false">
      <c r="A5511" s="0" t="n">
        <v>36</v>
      </c>
      <c r="B5511" s="8" t="s">
        <v>24</v>
      </c>
      <c r="C5511" s="9" t="s">
        <v>25</v>
      </c>
      <c r="D5511" s="9" t="s">
        <v>26</v>
      </c>
      <c r="E5511" s="10" t="n">
        <v>1789</v>
      </c>
      <c r="F5511" s="9" t="s">
        <v>27</v>
      </c>
      <c r="G5511" s="9" t="s">
        <v>27</v>
      </c>
      <c r="H5511" s="11" t="n">
        <v>24</v>
      </c>
      <c r="I5511" s="11" t="s">
        <v>326</v>
      </c>
      <c r="J5511" s="14"/>
      <c r="K5511" s="14"/>
      <c r="L5511" s="16"/>
      <c r="M5511" s="27" t="n">
        <f aca="false">J5511+(K5511/20)+(L5511/240)</f>
        <v>0</v>
      </c>
      <c r="N5511" s="17"/>
      <c r="O5511" s="11" t="s">
        <v>77</v>
      </c>
      <c r="P5511" s="28"/>
      <c r="Q5511" s="28" t="n">
        <v>84</v>
      </c>
      <c r="R5511" s="28"/>
      <c r="S5511" s="28" t="n">
        <v>80</v>
      </c>
      <c r="T5511" s="28"/>
      <c r="U5511" s="28" t="n">
        <v>115</v>
      </c>
      <c r="V5511" s="28"/>
      <c r="W5511" s="28" t="n">
        <f aca="false">V5511*$M5511</f>
        <v>0</v>
      </c>
      <c r="X5511" s="28"/>
      <c r="Y5511" s="28" t="n">
        <v>82</v>
      </c>
      <c r="Z5511" s="28"/>
      <c r="AA5511" s="28" t="n">
        <v>32</v>
      </c>
      <c r="AB5511" s="28"/>
      <c r="AC5511" s="28" t="n">
        <v>82</v>
      </c>
      <c r="AD5511" s="28"/>
      <c r="AE5511" s="28" t="n">
        <f aca="false">AD5511*$M5511</f>
        <v>0</v>
      </c>
      <c r="AF5511" s="28"/>
      <c r="AG5511" s="28" t="n">
        <v>129</v>
      </c>
      <c r="AH5511" s="28"/>
      <c r="AI5511" s="28" t="n">
        <f aca="false">AH5511*$M5511</f>
        <v>0</v>
      </c>
      <c r="AJ5511" s="28"/>
      <c r="AK5511" s="28" t="n">
        <v>79</v>
      </c>
      <c r="AL5511" s="28"/>
      <c r="AM5511" s="28" t="n">
        <v>106</v>
      </c>
      <c r="AN5511" s="28"/>
      <c r="AO5511" s="28" t="n">
        <f aca="false">AN5511*$M5511</f>
        <v>0</v>
      </c>
      <c r="AP5511" s="28"/>
      <c r="AQ5511" s="28" t="n">
        <f aca="false">AP5511*$M5511</f>
        <v>0</v>
      </c>
      <c r="AR5511" s="28"/>
      <c r="AS5511" s="28" t="n">
        <f aca="false">AR5511*$M5511</f>
        <v>0</v>
      </c>
      <c r="AT5511" s="28"/>
      <c r="AU5511" s="28" t="n">
        <f aca="false">AT5511*$M5511</f>
        <v>0</v>
      </c>
      <c r="AV5511" s="28"/>
      <c r="AW5511" s="28" t="n">
        <f aca="false">AV5511*$M5511</f>
        <v>0</v>
      </c>
      <c r="AX5511" s="28"/>
      <c r="AY5511" s="28" t="n">
        <f aca="false">AX5511*$M5511</f>
        <v>0</v>
      </c>
      <c r="AZ5511" s="30"/>
      <c r="BA5511" s="11" t="n">
        <v>789</v>
      </c>
      <c r="BB5511" s="31" t="n">
        <f aca="false">SUM(Q5511,S5511,U5511,W5511,Y5511,AA5511,AC5511,AE5511,AG5511,AI5511,AK5511,AM5511,AO5511,AQ5511,AS5511,AU5511,AW5511,AY5511)</f>
        <v>789</v>
      </c>
      <c r="BC5511" s="28" t="n">
        <f aca="false">BA5511-BB5511</f>
        <v>0</v>
      </c>
      <c r="BD5511" s="32" t="n">
        <f aca="false">SUM(P5511,R5511,T5511,V5511,X5511,Z5511,AB5511,AD5511,AF5511,AH5511,AJ5511,AL5511,AN5511,AP5511,AR5511,AT5511,AV5511,AX5511)</f>
        <v>0</v>
      </c>
      <c r="BE5511" s="33" t="n">
        <f aca="false">AZ5511-BD5511</f>
        <v>0</v>
      </c>
      <c r="BF5511" s="34" t="n">
        <f aca="false">BD5511*M5511</f>
        <v>0</v>
      </c>
      <c r="BG5511" s="35" t="n">
        <f aca="false">BA5511-BF5511</f>
        <v>789</v>
      </c>
      <c r="BH5511" s="19" t="str">
        <f aca="false">IF(BG5511=0,"",IF(BG5511&lt;&gt;BA5511,"erreur de calcul",IF(BD5511&lt;&gt;0,"pas de prix",IF(M5511&lt;&gt; 0,"pas de quantité","pas de prix, ni de quantité"))))</f>
        <v>pas de prix, ni de quantité</v>
      </c>
      <c r="BI5511" s="19"/>
    </row>
    <row r="5512" customFormat="false" ht="15" hidden="false" customHeight="false" outlineLevel="0" collapsed="false">
      <c r="A5512" s="0" t="n">
        <v>37</v>
      </c>
      <c r="B5512" s="8" t="s">
        <v>24</v>
      </c>
      <c r="C5512" s="9" t="s">
        <v>25</v>
      </c>
      <c r="D5512" s="9" t="s">
        <v>26</v>
      </c>
      <c r="E5512" s="10" t="n">
        <v>1789</v>
      </c>
      <c r="F5512" s="9" t="s">
        <v>27</v>
      </c>
      <c r="G5512" s="9" t="s">
        <v>27</v>
      </c>
      <c r="H5512" s="11" t="n">
        <v>24</v>
      </c>
      <c r="I5512" s="11" t="s">
        <v>327</v>
      </c>
      <c r="J5512" s="14"/>
      <c r="K5512" s="14" t="n">
        <v>20</v>
      </c>
      <c r="L5512" s="16"/>
      <c r="M5512" s="27" t="n">
        <f aca="false">J5512+(K5512/20)+(L5512/240)</f>
        <v>1</v>
      </c>
      <c r="N5512" s="17" t="s">
        <v>66</v>
      </c>
      <c r="O5512" s="11"/>
      <c r="P5512" s="28"/>
      <c r="Q5512" s="28" t="n">
        <f aca="false">P5512*$M5512</f>
        <v>0</v>
      </c>
      <c r="R5512" s="28"/>
      <c r="S5512" s="28" t="n">
        <f aca="false">R5512*$M5512</f>
        <v>0</v>
      </c>
      <c r="T5512" s="28"/>
      <c r="U5512" s="28" t="n">
        <f aca="false">T5512*$M5512</f>
        <v>0</v>
      </c>
      <c r="V5512" s="28" t="n">
        <v>1705</v>
      </c>
      <c r="W5512" s="28" t="n">
        <v>1705</v>
      </c>
      <c r="X5512" s="28"/>
      <c r="Y5512" s="28" t="n">
        <f aca="false">X5512*$M5512</f>
        <v>0</v>
      </c>
      <c r="Z5512" s="28"/>
      <c r="AA5512" s="28" t="n">
        <f aca="false">Z5512*$M5512</f>
        <v>0</v>
      </c>
      <c r="AB5512" s="28" t="n">
        <v>226</v>
      </c>
      <c r="AC5512" s="28" t="n">
        <v>226</v>
      </c>
      <c r="AD5512" s="28"/>
      <c r="AE5512" s="28" t="n">
        <f aca="false">AD5512*$M5512</f>
        <v>0</v>
      </c>
      <c r="AF5512" s="28"/>
      <c r="AG5512" s="28" t="n">
        <f aca="false">AF5512*$M5512</f>
        <v>0</v>
      </c>
      <c r="AH5512" s="28"/>
      <c r="AI5512" s="28" t="n">
        <f aca="false">AH5512*$M5512</f>
        <v>0</v>
      </c>
      <c r="AJ5512" s="28"/>
      <c r="AK5512" s="28" t="n">
        <f aca="false">AJ5512*$M5512</f>
        <v>0</v>
      </c>
      <c r="AL5512" s="28"/>
      <c r="AM5512" s="28" t="n">
        <f aca="false">AL5512*$M5512</f>
        <v>0</v>
      </c>
      <c r="AN5512" s="28"/>
      <c r="AO5512" s="28" t="n">
        <f aca="false">AN5512*$M5512</f>
        <v>0</v>
      </c>
      <c r="AP5512" s="28"/>
      <c r="AQ5512" s="28" t="n">
        <f aca="false">AP5512*$M5512</f>
        <v>0</v>
      </c>
      <c r="AR5512" s="28"/>
      <c r="AS5512" s="28" t="n">
        <f aca="false">AR5512*$M5512</f>
        <v>0</v>
      </c>
      <c r="AT5512" s="28"/>
      <c r="AU5512" s="28" t="n">
        <f aca="false">AT5512*$M5512</f>
        <v>0</v>
      </c>
      <c r="AV5512" s="28"/>
      <c r="AW5512" s="28" t="n">
        <f aca="false">AV5512*$M5512</f>
        <v>0</v>
      </c>
      <c r="AX5512" s="28"/>
      <c r="AY5512" s="28" t="n">
        <f aca="false">AX5512*$M5512</f>
        <v>0</v>
      </c>
      <c r="AZ5512" s="30" t="n">
        <v>1931</v>
      </c>
      <c r="BA5512" s="11" t="n">
        <v>1931</v>
      </c>
      <c r="BB5512" s="31" t="n">
        <f aca="false">SUM(Q5512,S5512,U5512,W5512,Y5512,AA5512,AC5512,AE5512,AG5512,AI5512,AK5512,AM5512,AO5512,AQ5512,AS5512,AU5512,AW5512,AY5512)</f>
        <v>1931</v>
      </c>
      <c r="BC5512" s="28" t="n">
        <f aca="false">BA5512-BB5512</f>
        <v>0</v>
      </c>
      <c r="BD5512" s="32" t="n">
        <f aca="false">SUM(P5512,R5512,T5512,V5512,X5512,Z5512,AB5512,AD5512,AF5512,AH5512,AJ5512,AL5512,AN5512,AP5512,AR5512,AT5512,AV5512,AX5512)</f>
        <v>1931</v>
      </c>
      <c r="BE5512" s="33" t="n">
        <f aca="false">AZ5512-BD5512</f>
        <v>0</v>
      </c>
      <c r="BF5512" s="34" t="n">
        <f aca="false">BD5512*M5512</f>
        <v>1931</v>
      </c>
      <c r="BG5512" s="35" t="n">
        <f aca="false">BA5512-BF5512</f>
        <v>0</v>
      </c>
      <c r="BH5512" s="19" t="str">
        <f aca="false">IF(BG5512=0,"",IF(BG5512&lt;&gt;BA5512,"erreur de calcul",IF(BD5512&lt;&gt;0,"pas de prix",IF(M5512&lt;&gt; 0,"pas de quantité","pas de prix, ni de quantité"))))</f>
        <v/>
      </c>
      <c r="BI5512" s="19"/>
    </row>
    <row r="5513" customFormat="false" ht="15" hidden="false" customHeight="false" outlineLevel="0" collapsed="false">
      <c r="A5513" s="0" t="n">
        <v>38</v>
      </c>
      <c r="B5513" s="8" t="s">
        <v>24</v>
      </c>
      <c r="C5513" s="9" t="s">
        <v>25</v>
      </c>
      <c r="D5513" s="9" t="s">
        <v>26</v>
      </c>
      <c r="E5513" s="10" t="n">
        <v>1789</v>
      </c>
      <c r="F5513" s="9" t="s">
        <v>27</v>
      </c>
      <c r="G5513" s="9" t="s">
        <v>27</v>
      </c>
      <c r="H5513" s="11" t="n">
        <v>24</v>
      </c>
      <c r="I5513" s="11" t="s">
        <v>328</v>
      </c>
      <c r="J5513" s="14" t="n">
        <v>208</v>
      </c>
      <c r="K5513" s="14"/>
      <c r="L5513" s="16"/>
      <c r="M5513" s="27" t="n">
        <f aca="false">J5513+(K5513/20)+(L5513/240)</f>
        <v>208</v>
      </c>
      <c r="N5513" s="17" t="s">
        <v>64</v>
      </c>
      <c r="O5513" s="11" t="s">
        <v>277</v>
      </c>
      <c r="P5513" s="28"/>
      <c r="Q5513" s="28" t="n">
        <f aca="false">P5513*$M5513</f>
        <v>0</v>
      </c>
      <c r="R5513" s="28"/>
      <c r="S5513" s="28" t="n">
        <f aca="false">R5513*$M5513</f>
        <v>0</v>
      </c>
      <c r="T5513" s="28" t="n">
        <f aca="false">536/100</f>
        <v>5.36</v>
      </c>
      <c r="U5513" s="28" t="n">
        <v>1115</v>
      </c>
      <c r="V5513" s="28" t="n">
        <f aca="false">1983/100</f>
        <v>19.83</v>
      </c>
      <c r="W5513" s="28" t="n">
        <v>4125</v>
      </c>
      <c r="X5513" s="28" t="n">
        <f aca="false">37641/100</f>
        <v>376.41</v>
      </c>
      <c r="Y5513" s="28" t="n">
        <v>78293</v>
      </c>
      <c r="Z5513" s="28" t="n">
        <f aca="false">1281/100</f>
        <v>12.81</v>
      </c>
      <c r="AA5513" s="28" t="n">
        <v>2664</v>
      </c>
      <c r="AB5513" s="28"/>
      <c r="AC5513" s="28" t="n">
        <f aca="false">AB5513*$M5513</f>
        <v>0</v>
      </c>
      <c r="AD5513" s="28"/>
      <c r="AE5513" s="28" t="n">
        <f aca="false">AD5513*$M5513</f>
        <v>0</v>
      </c>
      <c r="AF5513" s="28"/>
      <c r="AG5513" s="28" t="n">
        <f aca="false">AF5513*$M5513</f>
        <v>0</v>
      </c>
      <c r="AH5513" s="28"/>
      <c r="AI5513" s="28" t="n">
        <f aca="false">AH5513*$M5513</f>
        <v>0</v>
      </c>
      <c r="AJ5513" s="28" t="n">
        <f aca="false">20789/100</f>
        <v>207.89</v>
      </c>
      <c r="AK5513" s="28" t="n">
        <v>43241</v>
      </c>
      <c r="AL5513" s="28" t="n">
        <f aca="false">2470/100</f>
        <v>24.7</v>
      </c>
      <c r="AM5513" s="28" t="n">
        <v>5138</v>
      </c>
      <c r="AN5513" s="28"/>
      <c r="AO5513" s="28" t="n">
        <f aca="false">AN5513*$M5513</f>
        <v>0</v>
      </c>
      <c r="AP5513" s="28"/>
      <c r="AQ5513" s="28" t="n">
        <f aca="false">AP5513*$M5513</f>
        <v>0</v>
      </c>
      <c r="AR5513" s="28"/>
      <c r="AS5513" s="28" t="n">
        <f aca="false">AR5513*$M5513</f>
        <v>0</v>
      </c>
      <c r="AT5513" s="28"/>
      <c r="AU5513" s="28" t="n">
        <f aca="false">AT5513*$M5513</f>
        <v>0</v>
      </c>
      <c r="AV5513" s="28"/>
      <c r="AW5513" s="28" t="n">
        <f aca="false">AV5513*$M5513</f>
        <v>0</v>
      </c>
      <c r="AX5513" s="28"/>
      <c r="AY5513" s="28" t="n">
        <f aca="false">AX5513*$M5513</f>
        <v>0</v>
      </c>
      <c r="AZ5513" s="30" t="n">
        <f aca="false">64700/100</f>
        <v>647</v>
      </c>
      <c r="BA5513" s="11" t="n">
        <v>134576</v>
      </c>
      <c r="BB5513" s="31" t="n">
        <f aca="false">SUM(Q5513,S5513,U5513,W5513,Y5513,AA5513,AC5513,AE5513,AG5513,AI5513,AK5513,AM5513,AO5513,AQ5513,AS5513,AU5513,AW5513,AY5513)</f>
        <v>134576</v>
      </c>
      <c r="BC5513" s="28" t="n">
        <f aca="false">BA5513-BB5513</f>
        <v>0</v>
      </c>
      <c r="BD5513" s="32" t="n">
        <f aca="false">SUM(P5513,R5513,T5513,V5513,X5513,Z5513,AB5513,AD5513,AF5513,AH5513,AJ5513,AL5513,AN5513,AP5513,AR5513,AT5513,AV5513,AX5513)</f>
        <v>647</v>
      </c>
      <c r="BE5513" s="33" t="n">
        <f aca="false">AZ5513-BD5513</f>
        <v>0</v>
      </c>
      <c r="BF5513" s="34" t="n">
        <f aca="false">BD5513*M5513</f>
        <v>134576</v>
      </c>
      <c r="BG5513" s="35" t="n">
        <f aca="false">BA5513-BF5513</f>
        <v>0</v>
      </c>
      <c r="BH5513" s="19" t="str">
        <f aca="false">IF(BG5513=0,"",IF(BG5513&lt;&gt;BA5513,"erreur de calcul",IF(BD5513&lt;&gt;0,"pas de prix",IF(M5513&lt;&gt; 0,"pas de quantité","pas de prix, ni de quantité"))))</f>
        <v/>
      </c>
      <c r="BI5513" s="19"/>
    </row>
    <row r="5514" customFormat="false" ht="15" hidden="false" customHeight="false" outlineLevel="0" collapsed="false">
      <c r="A5514" s="0" t="n">
        <v>1</v>
      </c>
      <c r="B5514" s="8" t="s">
        <v>24</v>
      </c>
      <c r="C5514" s="9" t="s">
        <v>25</v>
      </c>
      <c r="D5514" s="9" t="s">
        <v>26</v>
      </c>
      <c r="E5514" s="10" t="n">
        <v>1789</v>
      </c>
      <c r="F5514" s="9" t="s">
        <v>27</v>
      </c>
      <c r="G5514" s="9" t="s">
        <v>27</v>
      </c>
      <c r="H5514" s="11" t="n">
        <v>25</v>
      </c>
      <c r="I5514" s="11" t="s">
        <v>329</v>
      </c>
      <c r="J5514" s="14" t="n">
        <v>30</v>
      </c>
      <c r="K5514" s="14"/>
      <c r="L5514" s="16"/>
      <c r="M5514" s="27" t="n">
        <f aca="false">J5514+(K5514/20)+(L5514/240)</f>
        <v>30</v>
      </c>
      <c r="N5514" s="17" t="s">
        <v>64</v>
      </c>
      <c r="O5514" s="11"/>
      <c r="P5514" s="28" t="n">
        <f aca="false">888/100</f>
        <v>8.88</v>
      </c>
      <c r="Q5514" s="28" t="n">
        <v>266</v>
      </c>
      <c r="R5514" s="28"/>
      <c r="S5514" s="28" t="n">
        <f aca="false">R5514*$M5514</f>
        <v>0</v>
      </c>
      <c r="T5514" s="28" t="n">
        <f aca="false">1151/100</f>
        <v>11.51</v>
      </c>
      <c r="U5514" s="28" t="n">
        <v>345</v>
      </c>
      <c r="V5514" s="28"/>
      <c r="W5514" s="28" t="n">
        <f aca="false">V5514*$M5514</f>
        <v>0</v>
      </c>
      <c r="X5514" s="28"/>
      <c r="Y5514" s="28" t="n">
        <f aca="false">X5514*$M5514</f>
        <v>0</v>
      </c>
      <c r="Z5514" s="28"/>
      <c r="AA5514" s="28" t="n">
        <f aca="false">Z5514*$M5514</f>
        <v>0</v>
      </c>
      <c r="AB5514" s="28"/>
      <c r="AC5514" s="28" t="n">
        <f aca="false">AB5514*$M5514</f>
        <v>0</v>
      </c>
      <c r="AD5514" s="28"/>
      <c r="AE5514" s="28" t="n">
        <f aca="false">AD5514*$M5514</f>
        <v>0</v>
      </c>
      <c r="AF5514" s="28"/>
      <c r="AG5514" s="28" t="n">
        <f aca="false">AF5514*$M5514</f>
        <v>0</v>
      </c>
      <c r="AH5514" s="28"/>
      <c r="AI5514" s="28" t="n">
        <f aca="false">AH5514*$M5514</f>
        <v>0</v>
      </c>
      <c r="AJ5514" s="28"/>
      <c r="AK5514" s="28" t="n">
        <f aca="false">AJ5514*$M5514</f>
        <v>0</v>
      </c>
      <c r="AL5514" s="28"/>
      <c r="AM5514" s="28" t="n">
        <f aca="false">AL5514*$M5514</f>
        <v>0</v>
      </c>
      <c r="AN5514" s="28"/>
      <c r="AO5514" s="28" t="n">
        <f aca="false">AN5514*$M5514</f>
        <v>0</v>
      </c>
      <c r="AP5514" s="28"/>
      <c r="AQ5514" s="28" t="n">
        <f aca="false">AP5514*$M5514</f>
        <v>0</v>
      </c>
      <c r="AR5514" s="28"/>
      <c r="AS5514" s="28" t="n">
        <f aca="false">AR5514*$M5514</f>
        <v>0</v>
      </c>
      <c r="AT5514" s="28"/>
      <c r="AU5514" s="28" t="n">
        <f aca="false">AT5514*$M5514</f>
        <v>0</v>
      </c>
      <c r="AV5514" s="28"/>
      <c r="AW5514" s="28" t="n">
        <f aca="false">AV5514*$M5514</f>
        <v>0</v>
      </c>
      <c r="AX5514" s="28"/>
      <c r="AY5514" s="28" t="n">
        <f aca="false">AX5514*$M5514</f>
        <v>0</v>
      </c>
      <c r="AZ5514" s="30" t="n">
        <f aca="false">2039/100</f>
        <v>20.39</v>
      </c>
      <c r="BA5514" s="11" t="n">
        <v>611</v>
      </c>
      <c r="BB5514" s="31" t="n">
        <f aca="false">SUM(Q5514,S5514,U5514,W5514,Y5514,AA5514,AC5514,AE5514,AG5514,AI5514,AK5514,AM5514,AO5514,AQ5514,AS5514,AU5514,AW5514,AY5514)</f>
        <v>611</v>
      </c>
      <c r="BC5514" s="28" t="n">
        <f aca="false">BA5514-BB5514</f>
        <v>0</v>
      </c>
      <c r="BD5514" s="32" t="n">
        <f aca="false">SUM(P5514,R5514,T5514,V5514,X5514,Z5514,AB5514,AD5514,AF5514,AH5514,AJ5514,AL5514,AN5514,AP5514,AR5514,AT5514,AV5514,AX5514)</f>
        <v>20.39</v>
      </c>
      <c r="BE5514" s="33" t="n">
        <f aca="false">AZ5514-BD5514</f>
        <v>0</v>
      </c>
      <c r="BF5514" s="34" t="n">
        <f aca="false">BD5514*M5514</f>
        <v>611.7</v>
      </c>
      <c r="BG5514" s="35" t="n">
        <f aca="false">BA5514-BF5514</f>
        <v>-0.700000000000046</v>
      </c>
      <c r="BH5514" s="19" t="str">
        <f aca="false">IF(BG5514=0,"",IF(BG5514&lt;&gt;BA5514,"erreur de calcul",IF(BD5514&lt;&gt;0,"pas de prix",IF(M5514&lt;&gt; 0,"pas de quantité","pas de prix, ni de quantité"))))</f>
        <v>erreur de calcul</v>
      </c>
      <c r="BI5514" s="19"/>
    </row>
    <row r="5515" customFormat="false" ht="15" hidden="false" customHeight="false" outlineLevel="0" collapsed="false">
      <c r="A5515" s="0" t="n">
        <v>2</v>
      </c>
      <c r="B5515" s="8" t="s">
        <v>24</v>
      </c>
      <c r="C5515" s="9" t="s">
        <v>25</v>
      </c>
      <c r="D5515" s="9" t="s">
        <v>26</v>
      </c>
      <c r="E5515" s="10" t="n">
        <v>1789</v>
      </c>
      <c r="F5515" s="9" t="s">
        <v>27</v>
      </c>
      <c r="G5515" s="9" t="s">
        <v>27</v>
      </c>
      <c r="H5515" s="11" t="n">
        <v>25</v>
      </c>
      <c r="I5515" s="11" t="s">
        <v>330</v>
      </c>
      <c r="J5515" s="14"/>
      <c r="K5515" s="14" t="n">
        <v>20</v>
      </c>
      <c r="L5515" s="16"/>
      <c r="M5515" s="27" t="n">
        <f aca="false">J5515+(K5515/20)+(L5515/240)</f>
        <v>1</v>
      </c>
      <c r="N5515" s="17" t="s">
        <v>66</v>
      </c>
      <c r="O5515" s="11"/>
      <c r="P5515" s="28"/>
      <c r="Q5515" s="28" t="n">
        <f aca="false">P5515*$M5515</f>
        <v>0</v>
      </c>
      <c r="R5515" s="28"/>
      <c r="S5515" s="28" t="n">
        <f aca="false">R5515*$M5515</f>
        <v>0</v>
      </c>
      <c r="T5515" s="28"/>
      <c r="U5515" s="28" t="n">
        <f aca="false">T5515*$M5515</f>
        <v>0</v>
      </c>
      <c r="V5515" s="28"/>
      <c r="W5515" s="28" t="n">
        <f aca="false">V5515*$M5515</f>
        <v>0</v>
      </c>
      <c r="X5515" s="28"/>
      <c r="Y5515" s="28" t="n">
        <f aca="false">X5515*$M5515</f>
        <v>0</v>
      </c>
      <c r="Z5515" s="28"/>
      <c r="AA5515" s="28" t="n">
        <f aca="false">Z5515*$M5515</f>
        <v>0</v>
      </c>
      <c r="AB5515" s="28"/>
      <c r="AC5515" s="28" t="n">
        <f aca="false">AB5515*$M5515</f>
        <v>0</v>
      </c>
      <c r="AD5515" s="28"/>
      <c r="AE5515" s="28" t="n">
        <f aca="false">AD5515*$M5515</f>
        <v>0</v>
      </c>
      <c r="AF5515" s="28"/>
      <c r="AG5515" s="28" t="n">
        <f aca="false">AF5515*$M5515</f>
        <v>0</v>
      </c>
      <c r="AH5515" s="28"/>
      <c r="AI5515" s="28" t="n">
        <f aca="false">AH5515*$M5515</f>
        <v>0</v>
      </c>
      <c r="AJ5515" s="28" t="n">
        <v>4241</v>
      </c>
      <c r="AK5515" s="28" t="n">
        <v>4241</v>
      </c>
      <c r="AL5515" s="28"/>
      <c r="AM5515" s="28" t="n">
        <f aca="false">AL5515*$M5515</f>
        <v>0</v>
      </c>
      <c r="AN5515" s="28"/>
      <c r="AO5515" s="28" t="n">
        <f aca="false">AN5515*$M5515</f>
        <v>0</v>
      </c>
      <c r="AP5515" s="28"/>
      <c r="AQ5515" s="28" t="n">
        <f aca="false">AP5515*$M5515</f>
        <v>0</v>
      </c>
      <c r="AR5515" s="28"/>
      <c r="AS5515" s="28" t="n">
        <f aca="false">AR5515*$M5515</f>
        <v>0</v>
      </c>
      <c r="AT5515" s="28"/>
      <c r="AU5515" s="28" t="n">
        <f aca="false">AT5515*$M5515</f>
        <v>0</v>
      </c>
      <c r="AV5515" s="28"/>
      <c r="AW5515" s="28" t="n">
        <f aca="false">AV5515*$M5515</f>
        <v>0</v>
      </c>
      <c r="AX5515" s="28"/>
      <c r="AY5515" s="28" t="n">
        <f aca="false">AX5515*$M5515</f>
        <v>0</v>
      </c>
      <c r="AZ5515" s="30" t="n">
        <v>4241</v>
      </c>
      <c r="BA5515" s="11" t="n">
        <v>4241</v>
      </c>
      <c r="BB5515" s="31" t="n">
        <f aca="false">SUM(Q5515,S5515,U5515,W5515,Y5515,AA5515,AC5515,AE5515,AG5515,AI5515,AK5515,AM5515,AO5515,AQ5515,AS5515,AU5515,AW5515,AY5515)</f>
        <v>4241</v>
      </c>
      <c r="BC5515" s="28" t="n">
        <f aca="false">BA5515-BB5515</f>
        <v>0</v>
      </c>
      <c r="BD5515" s="32" t="n">
        <f aca="false">SUM(P5515,R5515,T5515,V5515,X5515,Z5515,AB5515,AD5515,AF5515,AH5515,AJ5515,AL5515,AN5515,AP5515,AR5515,AT5515,AV5515,AX5515)</f>
        <v>4241</v>
      </c>
      <c r="BE5515" s="33" t="n">
        <f aca="false">AZ5515-BD5515</f>
        <v>0</v>
      </c>
      <c r="BF5515" s="34" t="n">
        <f aca="false">BD5515*M5515</f>
        <v>4241</v>
      </c>
      <c r="BG5515" s="35" t="n">
        <f aca="false">BA5515-BF5515</f>
        <v>0</v>
      </c>
      <c r="BH5515" s="19" t="str">
        <f aca="false">IF(BG5515=0,"",IF(BG5515&lt;&gt;BA5515,"erreur de calcul",IF(BD5515&lt;&gt;0,"pas de prix",IF(M5515&lt;&gt; 0,"pas de quantité","pas de prix, ni de quantité"))))</f>
        <v/>
      </c>
      <c r="BI5515" s="19"/>
    </row>
    <row r="5516" customFormat="false" ht="15" hidden="false" customHeight="false" outlineLevel="0" collapsed="false">
      <c r="A5516" s="0" t="n">
        <v>3</v>
      </c>
      <c r="B5516" s="8" t="s">
        <v>24</v>
      </c>
      <c r="C5516" s="9" t="s">
        <v>25</v>
      </c>
      <c r="D5516" s="9" t="s">
        <v>26</v>
      </c>
      <c r="E5516" s="10" t="n">
        <v>1789</v>
      </c>
      <c r="F5516" s="9" t="s">
        <v>27</v>
      </c>
      <c r="G5516" s="9" t="s">
        <v>27</v>
      </c>
      <c r="H5516" s="11" t="n">
        <v>25</v>
      </c>
      <c r="I5516" s="11" t="s">
        <v>331</v>
      </c>
      <c r="J5516" s="14" t="n">
        <v>18</v>
      </c>
      <c r="K5516" s="14"/>
      <c r="L5516" s="16"/>
      <c r="M5516" s="27" t="n">
        <f aca="false">J5516+(K5516/20)+(L5516/240)</f>
        <v>18</v>
      </c>
      <c r="N5516" s="17" t="s">
        <v>66</v>
      </c>
      <c r="O5516" s="11" t="s">
        <v>98</v>
      </c>
      <c r="P5516" s="28"/>
      <c r="Q5516" s="28" t="n">
        <f aca="false">P5516*$M5516</f>
        <v>0</v>
      </c>
      <c r="R5516" s="28"/>
      <c r="S5516" s="28" t="n">
        <f aca="false">R5516*$M5516</f>
        <v>0</v>
      </c>
      <c r="T5516" s="28"/>
      <c r="U5516" s="28" t="n">
        <f aca="false">T5516*$M5516</f>
        <v>0</v>
      </c>
      <c r="V5516" s="28"/>
      <c r="W5516" s="28" t="n">
        <f aca="false">V5516*$M5516</f>
        <v>0</v>
      </c>
      <c r="X5516" s="28"/>
      <c r="Y5516" s="28" t="n">
        <f aca="false">X5516*$M5516</f>
        <v>0</v>
      </c>
      <c r="Z5516" s="28"/>
      <c r="AA5516" s="28" t="n">
        <f aca="false">Z5516*$M5516</f>
        <v>0</v>
      </c>
      <c r="AB5516" s="28"/>
      <c r="AC5516" s="28" t="n">
        <f aca="false">AB5516*$M5516</f>
        <v>0</v>
      </c>
      <c r="AD5516" s="28"/>
      <c r="AE5516" s="28" t="n">
        <f aca="false">AD5516*$M5516</f>
        <v>0</v>
      </c>
      <c r="AF5516" s="28"/>
      <c r="AG5516" s="28" t="n">
        <f aca="false">AF5516*$M5516</f>
        <v>0</v>
      </c>
      <c r="AH5516" s="28"/>
      <c r="AI5516" s="28" t="n">
        <f aca="false">AH5516*$M5516</f>
        <v>0</v>
      </c>
      <c r="AJ5516" s="28"/>
      <c r="AK5516" s="28" t="n">
        <f aca="false">AJ5516*$M5516</f>
        <v>0</v>
      </c>
      <c r="AL5516" s="28"/>
      <c r="AM5516" s="28" t="n">
        <f aca="false">AL5516*$M5516</f>
        <v>0</v>
      </c>
      <c r="AN5516" s="28"/>
      <c r="AO5516" s="28" t="n">
        <f aca="false">AN5516*$M5516</f>
        <v>0</v>
      </c>
      <c r="AP5516" s="28"/>
      <c r="AQ5516" s="28" t="n">
        <f aca="false">AP5516*$M5516</f>
        <v>0</v>
      </c>
      <c r="AR5516" s="28"/>
      <c r="AS5516" s="28" t="n">
        <f aca="false">AR5516*$M5516</f>
        <v>0</v>
      </c>
      <c r="AT5516" s="28"/>
      <c r="AU5516" s="28" t="n">
        <f aca="false">AT5516*$M5516</f>
        <v>0</v>
      </c>
      <c r="AV5516" s="28"/>
      <c r="AW5516" s="28" t="n">
        <f aca="false">AV5516*$M5516</f>
        <v>0</v>
      </c>
      <c r="AX5516" s="28"/>
      <c r="AY5516" s="28" t="n">
        <f aca="false">AX5516*$M5516</f>
        <v>0</v>
      </c>
      <c r="AZ5516" s="30"/>
      <c r="BA5516" s="11"/>
      <c r="BB5516" s="31" t="n">
        <f aca="false">SUM(Q5516,S5516,U5516,W5516,Y5516,AA5516,AC5516,AE5516,AG5516,AI5516,AK5516,AM5516,AO5516,AQ5516,AS5516,AU5516,AW5516,AY5516)</f>
        <v>0</v>
      </c>
      <c r="BC5516" s="28" t="n">
        <f aca="false">BA5516-BB5516</f>
        <v>0</v>
      </c>
      <c r="BD5516" s="32" t="n">
        <f aca="false">SUM(P5516,R5516,T5516,V5516,X5516,Z5516,AB5516,AD5516,AF5516,AH5516,AJ5516,AL5516,AN5516,AP5516,AR5516,AT5516,AV5516,AX5516)</f>
        <v>0</v>
      </c>
      <c r="BE5516" s="33" t="n">
        <f aca="false">AZ5516-BD5516</f>
        <v>0</v>
      </c>
      <c r="BF5516" s="34" t="n">
        <f aca="false">BD5516*M5516</f>
        <v>0</v>
      </c>
      <c r="BG5516" s="35" t="n">
        <f aca="false">BA5516-BF5516</f>
        <v>0</v>
      </c>
      <c r="BH5516" s="19" t="str">
        <f aca="false">IF(BG5516=0,"",IF(BG5516&lt;&gt;BA5516,"erreur de calcul",IF(BD5516&lt;&gt;0,"pas de prix",IF(M5516&lt;&gt; 0,"pas de quantité","pas de prix, ni de quantité"))))</f>
        <v/>
      </c>
      <c r="BI5516" s="19"/>
    </row>
    <row r="5517" customFormat="false" ht="15" hidden="false" customHeight="false" outlineLevel="0" collapsed="false">
      <c r="A5517" s="0" t="n">
        <v>4</v>
      </c>
      <c r="B5517" s="8" t="s">
        <v>24</v>
      </c>
      <c r="C5517" s="9" t="s">
        <v>25</v>
      </c>
      <c r="D5517" s="9" t="s">
        <v>26</v>
      </c>
      <c r="E5517" s="10" t="n">
        <v>1789</v>
      </c>
      <c r="F5517" s="9" t="s">
        <v>27</v>
      </c>
      <c r="G5517" s="9" t="s">
        <v>27</v>
      </c>
      <c r="H5517" s="11" t="n">
        <v>25</v>
      </c>
      <c r="I5517" s="11" t="s">
        <v>332</v>
      </c>
      <c r="J5517" s="14" t="n">
        <v>18</v>
      </c>
      <c r="K5517" s="14"/>
      <c r="L5517" s="16"/>
      <c r="M5517" s="27" t="n">
        <f aca="false">J5517+(K5517/20)+(L5517/240)</f>
        <v>18</v>
      </c>
      <c r="N5517" s="17" t="s">
        <v>66</v>
      </c>
      <c r="O5517" s="11" t="s">
        <v>98</v>
      </c>
      <c r="P5517" s="28"/>
      <c r="Q5517" s="28" t="n">
        <f aca="false">P5517*$M5517</f>
        <v>0</v>
      </c>
      <c r="R5517" s="28"/>
      <c r="S5517" s="28" t="n">
        <f aca="false">R5517*$M5517</f>
        <v>0</v>
      </c>
      <c r="T5517" s="28"/>
      <c r="U5517" s="28" t="n">
        <f aca="false">T5517*$M5517</f>
        <v>0</v>
      </c>
      <c r="V5517" s="28"/>
      <c r="W5517" s="28" t="n">
        <f aca="false">V5517*$M5517</f>
        <v>0</v>
      </c>
      <c r="X5517" s="28"/>
      <c r="Y5517" s="28" t="n">
        <f aca="false">X5517*$M5517</f>
        <v>0</v>
      </c>
      <c r="Z5517" s="28"/>
      <c r="AA5517" s="28" t="n">
        <f aca="false">Z5517*$M5517</f>
        <v>0</v>
      </c>
      <c r="AB5517" s="28"/>
      <c r="AC5517" s="28" t="n">
        <f aca="false">AB5517*$M5517</f>
        <v>0</v>
      </c>
      <c r="AD5517" s="28"/>
      <c r="AE5517" s="28" t="n">
        <f aca="false">AD5517*$M5517</f>
        <v>0</v>
      </c>
      <c r="AF5517" s="28"/>
      <c r="AG5517" s="28" t="n">
        <f aca="false">AF5517*$M5517</f>
        <v>0</v>
      </c>
      <c r="AH5517" s="28"/>
      <c r="AI5517" s="28" t="n">
        <f aca="false">AH5517*$M5517</f>
        <v>0</v>
      </c>
      <c r="AJ5517" s="28"/>
      <c r="AK5517" s="28" t="n">
        <f aca="false">AJ5517*$M5517</f>
        <v>0</v>
      </c>
      <c r="AL5517" s="28"/>
      <c r="AM5517" s="28" t="n">
        <f aca="false">AL5517*$M5517</f>
        <v>0</v>
      </c>
      <c r="AN5517" s="28"/>
      <c r="AO5517" s="28" t="n">
        <f aca="false">AN5517*$M5517</f>
        <v>0</v>
      </c>
      <c r="AP5517" s="28"/>
      <c r="AQ5517" s="28" t="n">
        <f aca="false">AP5517*$M5517</f>
        <v>0</v>
      </c>
      <c r="AR5517" s="28"/>
      <c r="AS5517" s="28" t="n">
        <f aca="false">AR5517*$M5517</f>
        <v>0</v>
      </c>
      <c r="AT5517" s="28"/>
      <c r="AU5517" s="28" t="n">
        <f aca="false">AT5517*$M5517</f>
        <v>0</v>
      </c>
      <c r="AV5517" s="28"/>
      <c r="AW5517" s="28" t="n">
        <f aca="false">AV5517*$M5517</f>
        <v>0</v>
      </c>
      <c r="AX5517" s="28"/>
      <c r="AY5517" s="28" t="n">
        <f aca="false">AX5517*$M5517</f>
        <v>0</v>
      </c>
      <c r="AZ5517" s="30"/>
      <c r="BA5517" s="11"/>
      <c r="BB5517" s="31" t="n">
        <f aca="false">SUM(Q5517,S5517,U5517,W5517,Y5517,AA5517,AC5517,AE5517,AG5517,AI5517,AK5517,AM5517,AO5517,AQ5517,AS5517,AU5517,AW5517,AY5517)</f>
        <v>0</v>
      </c>
      <c r="BC5517" s="28" t="n">
        <f aca="false">BA5517-BB5517</f>
        <v>0</v>
      </c>
      <c r="BD5517" s="32" t="n">
        <f aca="false">SUM(P5517,R5517,T5517,V5517,X5517,Z5517,AB5517,AD5517,AF5517,AH5517,AJ5517,AL5517,AN5517,AP5517,AR5517,AT5517,AV5517,AX5517)</f>
        <v>0</v>
      </c>
      <c r="BE5517" s="33" t="n">
        <f aca="false">AZ5517-BD5517</f>
        <v>0</v>
      </c>
      <c r="BF5517" s="34" t="n">
        <f aca="false">BD5517*M5517</f>
        <v>0</v>
      </c>
      <c r="BG5517" s="35" t="n">
        <f aca="false">BA5517-BF5517</f>
        <v>0</v>
      </c>
      <c r="BH5517" s="19" t="str">
        <f aca="false">IF(BG5517=0,"",IF(BG5517&lt;&gt;BA5517,"erreur de calcul",IF(BD5517&lt;&gt;0,"pas de prix",IF(M5517&lt;&gt; 0,"pas de quantité","pas de prix, ni de quantité"))))</f>
        <v/>
      </c>
      <c r="BI5517" s="19"/>
    </row>
    <row r="5518" customFormat="false" ht="15" hidden="false" customHeight="false" outlineLevel="0" collapsed="false">
      <c r="A5518" s="0" t="n">
        <v>5</v>
      </c>
      <c r="B5518" s="8" t="s">
        <v>24</v>
      </c>
      <c r="C5518" s="9" t="s">
        <v>25</v>
      </c>
      <c r="D5518" s="9" t="s">
        <v>26</v>
      </c>
      <c r="E5518" s="10" t="n">
        <v>1789</v>
      </c>
      <c r="F5518" s="9" t="s">
        <v>27</v>
      </c>
      <c r="G5518" s="9" t="s">
        <v>27</v>
      </c>
      <c r="H5518" s="11" t="n">
        <v>25</v>
      </c>
      <c r="I5518" s="11" t="s">
        <v>333</v>
      </c>
      <c r="J5518" s="14" t="n">
        <v>44</v>
      </c>
      <c r="K5518" s="14"/>
      <c r="L5518" s="16"/>
      <c r="M5518" s="27" t="n">
        <f aca="false">J5518+(K5518/20)+(L5518/240)</f>
        <v>44</v>
      </c>
      <c r="N5518" s="17" t="s">
        <v>66</v>
      </c>
      <c r="O5518" s="11"/>
      <c r="P5518" s="28" t="n">
        <v>1391</v>
      </c>
      <c r="Q5518" s="28" t="n">
        <v>61204</v>
      </c>
      <c r="R5518" s="28"/>
      <c r="S5518" s="28" t="n">
        <f aca="false">R5518*$M5518</f>
        <v>0</v>
      </c>
      <c r="T5518" s="28"/>
      <c r="U5518" s="28" t="n">
        <f aca="false">T5518*$M5518</f>
        <v>0</v>
      </c>
      <c r="V5518" s="28"/>
      <c r="W5518" s="28" t="n">
        <f aca="false">V5518*$M5518</f>
        <v>0</v>
      </c>
      <c r="X5518" s="28"/>
      <c r="Y5518" s="28" t="n">
        <f aca="false">X5518*$M5518</f>
        <v>0</v>
      </c>
      <c r="Z5518" s="28"/>
      <c r="AA5518" s="28" t="n">
        <f aca="false">Z5518*$M5518</f>
        <v>0</v>
      </c>
      <c r="AB5518" s="28"/>
      <c r="AC5518" s="28" t="n">
        <f aca="false">AB5518*$M5518</f>
        <v>0</v>
      </c>
      <c r="AD5518" s="28"/>
      <c r="AE5518" s="28" t="n">
        <f aca="false">AD5518*$M5518</f>
        <v>0</v>
      </c>
      <c r="AF5518" s="28"/>
      <c r="AG5518" s="28" t="n">
        <f aca="false">AF5518*$M5518</f>
        <v>0</v>
      </c>
      <c r="AH5518" s="28"/>
      <c r="AI5518" s="28" t="n">
        <f aca="false">AH5518*$M5518</f>
        <v>0</v>
      </c>
      <c r="AJ5518" s="28"/>
      <c r="AK5518" s="28" t="n">
        <f aca="false">AJ5518*$M5518</f>
        <v>0</v>
      </c>
      <c r="AL5518" s="28"/>
      <c r="AM5518" s="28" t="n">
        <f aca="false">AL5518*$M5518</f>
        <v>0</v>
      </c>
      <c r="AN5518" s="28"/>
      <c r="AO5518" s="28" t="n">
        <f aca="false">AN5518*$M5518</f>
        <v>0</v>
      </c>
      <c r="AP5518" s="28"/>
      <c r="AQ5518" s="28" t="n">
        <f aca="false">AP5518*$M5518</f>
        <v>0</v>
      </c>
      <c r="AR5518" s="28"/>
      <c r="AS5518" s="28" t="n">
        <f aca="false">AR5518*$M5518</f>
        <v>0</v>
      </c>
      <c r="AT5518" s="28"/>
      <c r="AU5518" s="28" t="n">
        <f aca="false">AT5518*$M5518</f>
        <v>0</v>
      </c>
      <c r="AV5518" s="28"/>
      <c r="AW5518" s="28" t="n">
        <f aca="false">AV5518*$M5518</f>
        <v>0</v>
      </c>
      <c r="AX5518" s="28"/>
      <c r="AY5518" s="28" t="n">
        <f aca="false">AX5518*$M5518</f>
        <v>0</v>
      </c>
      <c r="AZ5518" s="30" t="n">
        <v>1391</v>
      </c>
      <c r="BA5518" s="11" t="n">
        <v>61204</v>
      </c>
      <c r="BB5518" s="31" t="n">
        <f aca="false">SUM(Q5518,S5518,U5518,W5518,Y5518,AA5518,AC5518,AE5518,AG5518,AI5518,AK5518,AM5518,AO5518,AQ5518,AS5518,AU5518,AW5518,AY5518)</f>
        <v>61204</v>
      </c>
      <c r="BC5518" s="28" t="n">
        <f aca="false">BA5518-BB5518</f>
        <v>0</v>
      </c>
      <c r="BD5518" s="32" t="n">
        <f aca="false">SUM(P5518,R5518,T5518,V5518,X5518,Z5518,AB5518,AD5518,AF5518,AH5518,AJ5518,AL5518,AN5518,AP5518,AR5518,AT5518,AV5518,AX5518)</f>
        <v>1391</v>
      </c>
      <c r="BE5518" s="33" t="n">
        <f aca="false">AZ5518-BD5518</f>
        <v>0</v>
      </c>
      <c r="BF5518" s="34" t="n">
        <f aca="false">BD5518*M5518</f>
        <v>61204</v>
      </c>
      <c r="BG5518" s="35" t="n">
        <f aca="false">BA5518-BF5518</f>
        <v>0</v>
      </c>
      <c r="BH5518" s="19" t="str">
        <f aca="false">IF(BG5518=0,"",IF(BG5518&lt;&gt;BA5518,"erreur de calcul",IF(BD5518&lt;&gt;0,"pas de prix",IF(M5518&lt;&gt; 0,"pas de quantité","pas de prix, ni de quantité"))))</f>
        <v/>
      </c>
      <c r="BI5518" s="19"/>
    </row>
    <row r="5519" customFormat="false" ht="15" hidden="false" customHeight="false" outlineLevel="0" collapsed="false">
      <c r="A5519" s="0" t="n">
        <v>6</v>
      </c>
      <c r="B5519" s="8" t="s">
        <v>24</v>
      </c>
      <c r="C5519" s="9" t="s">
        <v>25</v>
      </c>
      <c r="D5519" s="9" t="s">
        <v>26</v>
      </c>
      <c r="E5519" s="10" t="n">
        <v>1789</v>
      </c>
      <c r="F5519" s="9" t="s">
        <v>27</v>
      </c>
      <c r="G5519" s="9" t="s">
        <v>27</v>
      </c>
      <c r="H5519" s="11" t="n">
        <v>25</v>
      </c>
      <c r="I5519" s="11" t="s">
        <v>334</v>
      </c>
      <c r="J5519" s="14" t="n">
        <v>12</v>
      </c>
      <c r="K5519" s="14"/>
      <c r="L5519" s="16"/>
      <c r="M5519" s="27" t="n">
        <f aca="false">J5519+(K5519/20)+(L5519/240)</f>
        <v>12</v>
      </c>
      <c r="N5519" s="17" t="s">
        <v>64</v>
      </c>
      <c r="O5519" s="11"/>
      <c r="P5519" s="28"/>
      <c r="Q5519" s="28" t="n">
        <f aca="false">P5519*$M5519</f>
        <v>0</v>
      </c>
      <c r="R5519" s="28"/>
      <c r="S5519" s="28" t="n">
        <f aca="false">R5519*$M5519</f>
        <v>0</v>
      </c>
      <c r="T5519" s="28"/>
      <c r="U5519" s="28" t="n">
        <f aca="false">T5519*$M5519</f>
        <v>0</v>
      </c>
      <c r="V5519" s="28"/>
      <c r="W5519" s="28" t="n">
        <f aca="false">V5519*$M5519</f>
        <v>0</v>
      </c>
      <c r="X5519" s="28" t="n">
        <f aca="false">1111/100</f>
        <v>11.11</v>
      </c>
      <c r="Y5519" s="28" t="n">
        <v>133</v>
      </c>
      <c r="Z5519" s="28"/>
      <c r="AA5519" s="28" t="n">
        <f aca="false">Z5519*$M5519</f>
        <v>0</v>
      </c>
      <c r="AB5519" s="28"/>
      <c r="AC5519" s="28" t="n">
        <f aca="false">AB5519*$M5519</f>
        <v>0</v>
      </c>
      <c r="AD5519" s="28"/>
      <c r="AE5519" s="28" t="n">
        <f aca="false">AD5519*$M5519</f>
        <v>0</v>
      </c>
      <c r="AF5519" s="28"/>
      <c r="AG5519" s="28" t="n">
        <f aca="false">AF5519*$M5519</f>
        <v>0</v>
      </c>
      <c r="AH5519" s="28"/>
      <c r="AI5519" s="28" t="n">
        <f aca="false">AH5519*$M5519</f>
        <v>0</v>
      </c>
      <c r="AJ5519" s="28"/>
      <c r="AK5519" s="28" t="n">
        <f aca="false">AJ5519*$M5519</f>
        <v>0</v>
      </c>
      <c r="AL5519" s="28"/>
      <c r="AM5519" s="28" t="n">
        <f aca="false">AL5519*$M5519</f>
        <v>0</v>
      </c>
      <c r="AN5519" s="28"/>
      <c r="AO5519" s="28" t="n">
        <f aca="false">AN5519*$M5519</f>
        <v>0</v>
      </c>
      <c r="AP5519" s="28"/>
      <c r="AQ5519" s="28" t="n">
        <f aca="false">AP5519*$M5519</f>
        <v>0</v>
      </c>
      <c r="AR5519" s="28"/>
      <c r="AS5519" s="28" t="n">
        <f aca="false">AR5519*$M5519</f>
        <v>0</v>
      </c>
      <c r="AT5519" s="28"/>
      <c r="AU5519" s="28" t="n">
        <f aca="false">AT5519*$M5519</f>
        <v>0</v>
      </c>
      <c r="AV5519" s="28"/>
      <c r="AW5519" s="28" t="n">
        <f aca="false">AV5519*$M5519</f>
        <v>0</v>
      </c>
      <c r="AX5519" s="28"/>
      <c r="AY5519" s="28" t="n">
        <f aca="false">AX5519*$M5519</f>
        <v>0</v>
      </c>
      <c r="AZ5519" s="30" t="n">
        <f aca="false">1111/100</f>
        <v>11.11</v>
      </c>
      <c r="BA5519" s="11" t="n">
        <v>133</v>
      </c>
      <c r="BB5519" s="31" t="n">
        <f aca="false">SUM(Q5519,S5519,U5519,W5519,Y5519,AA5519,AC5519,AE5519,AG5519,AI5519,AK5519,AM5519,AO5519,AQ5519,AS5519,AU5519,AW5519,AY5519)</f>
        <v>133</v>
      </c>
      <c r="BC5519" s="28" t="n">
        <f aca="false">BA5519-BB5519</f>
        <v>0</v>
      </c>
      <c r="BD5519" s="32" t="n">
        <f aca="false">SUM(P5519,R5519,T5519,V5519,X5519,Z5519,AB5519,AD5519,AF5519,AH5519,AJ5519,AL5519,AN5519,AP5519,AR5519,AT5519,AV5519,AX5519)</f>
        <v>11.11</v>
      </c>
      <c r="BE5519" s="33" t="n">
        <f aca="false">AZ5519-BD5519</f>
        <v>0</v>
      </c>
      <c r="BF5519" s="34" t="n">
        <f aca="false">BD5519*M5519</f>
        <v>133.32</v>
      </c>
      <c r="BG5519" s="35" t="n">
        <f aca="false">BA5519-BF5519</f>
        <v>-0.319999999999993</v>
      </c>
      <c r="BH5519" s="19" t="str">
        <f aca="false">IF(BG5519=0,"",IF(BG5519&lt;&gt;BA5519,"erreur de calcul",IF(BD5519&lt;&gt;0,"pas de prix",IF(M5519&lt;&gt; 0,"pas de quantité","pas de prix, ni de quantité"))))</f>
        <v>erreur de calcul</v>
      </c>
      <c r="BI5519" s="19"/>
    </row>
    <row r="5520" customFormat="false" ht="16.65" hidden="false" customHeight="false" outlineLevel="0" collapsed="false">
      <c r="A5520" s="0" t="n">
        <v>7</v>
      </c>
      <c r="B5520" s="8" t="s">
        <v>24</v>
      </c>
      <c r="C5520" s="9" t="s">
        <v>25</v>
      </c>
      <c r="D5520" s="9" t="s">
        <v>26</v>
      </c>
      <c r="E5520" s="10" t="n">
        <v>1789</v>
      </c>
      <c r="F5520" s="9" t="s">
        <v>27</v>
      </c>
      <c r="G5520" s="9" t="s">
        <v>27</v>
      </c>
      <c r="H5520" s="11" t="n">
        <v>25</v>
      </c>
      <c r="I5520" s="11" t="s">
        <v>335</v>
      </c>
      <c r="J5520" s="14" t="n">
        <v>4</v>
      </c>
      <c r="K5520" s="14" t="n">
        <v>10</v>
      </c>
      <c r="L5520" s="16"/>
      <c r="M5520" s="27" t="n">
        <f aca="false">J5520+(K5520/20)+(L5520/240)</f>
        <v>4.5</v>
      </c>
      <c r="N5520" s="17" t="s">
        <v>64</v>
      </c>
      <c r="O5520" s="11" t="s">
        <v>77</v>
      </c>
      <c r="P5520" s="28" t="n">
        <f aca="false">8366/100</f>
        <v>83.66</v>
      </c>
      <c r="Q5520" s="28" t="n">
        <v>376</v>
      </c>
      <c r="R5520" s="28"/>
      <c r="S5520" s="28" t="n">
        <f aca="false">R5520*$M5520</f>
        <v>0</v>
      </c>
      <c r="T5520" s="28"/>
      <c r="U5520" s="28" t="n">
        <f aca="false">T5520*$M5520</f>
        <v>0</v>
      </c>
      <c r="V5520" s="28"/>
      <c r="W5520" s="28" t="n">
        <f aca="false">V5520*$M5520</f>
        <v>0</v>
      </c>
      <c r="X5520" s="28"/>
      <c r="Y5520" s="28" t="n">
        <f aca="false">X5520*$M5520</f>
        <v>0</v>
      </c>
      <c r="Z5520" s="28"/>
      <c r="AA5520" s="28" t="n">
        <f aca="false">Z5520*$M5520</f>
        <v>0</v>
      </c>
      <c r="AB5520" s="28"/>
      <c r="AC5520" s="28" t="n">
        <f aca="false">AB5520*$M5520</f>
        <v>0</v>
      </c>
      <c r="AD5520" s="28"/>
      <c r="AE5520" s="28" t="n">
        <f aca="false">AD5520*$M5520</f>
        <v>0</v>
      </c>
      <c r="AF5520" s="28"/>
      <c r="AG5520" s="28" t="n">
        <f aca="false">AF5520*$M5520</f>
        <v>0</v>
      </c>
      <c r="AH5520" s="28"/>
      <c r="AI5520" s="28" t="n">
        <f aca="false">AH5520*$M5520</f>
        <v>0</v>
      </c>
      <c r="AJ5520" s="28"/>
      <c r="AK5520" s="28" t="n">
        <f aca="false">AJ5520*$M5520</f>
        <v>0</v>
      </c>
      <c r="AL5520" s="28"/>
      <c r="AM5520" s="28" t="n">
        <f aca="false">AL5520*$M5520</f>
        <v>0</v>
      </c>
      <c r="AN5520" s="28"/>
      <c r="AO5520" s="28" t="n">
        <f aca="false">AN5520*$M5520</f>
        <v>0</v>
      </c>
      <c r="AP5520" s="28"/>
      <c r="AQ5520" s="28" t="n">
        <f aca="false">AP5520*$M5520</f>
        <v>0</v>
      </c>
      <c r="AR5520" s="28"/>
      <c r="AS5520" s="28" t="n">
        <f aca="false">AR5520*$M5520</f>
        <v>0</v>
      </c>
      <c r="AT5520" s="28"/>
      <c r="AU5520" s="28" t="n">
        <f aca="false">AT5520*$M5520</f>
        <v>0</v>
      </c>
      <c r="AV5520" s="28"/>
      <c r="AW5520" s="28" t="n">
        <f aca="false">AV5520*$M5520</f>
        <v>0</v>
      </c>
      <c r="AX5520" s="28"/>
      <c r="AY5520" s="28" t="n">
        <f aca="false">AX5520*$M5520</f>
        <v>0</v>
      </c>
      <c r="AZ5520" s="30" t="n">
        <f aca="false">8366/100</f>
        <v>83.66</v>
      </c>
      <c r="BA5520" s="11" t="n">
        <v>376</v>
      </c>
      <c r="BB5520" s="31" t="n">
        <f aca="false">SUM(Q5520,S5520,U5520,W5520,Y5520,AA5520,AC5520,AE5520,AG5520,AI5520,AK5520,AM5520,AO5520,AQ5520,AS5520,AU5520,AW5520,AY5520)</f>
        <v>376</v>
      </c>
      <c r="BC5520" s="28" t="n">
        <f aca="false">BA5520-BB5520</f>
        <v>0</v>
      </c>
      <c r="BD5520" s="32" t="n">
        <f aca="false">SUM(P5520,R5520,T5520,V5520,X5520,Z5520,AB5520,AD5520,AF5520,AH5520,AJ5520,AL5520,AN5520,AP5520,AR5520,AT5520,AV5520,AX5520)</f>
        <v>83.66</v>
      </c>
      <c r="BE5520" s="33" t="n">
        <f aca="false">AZ5520-BD5520</f>
        <v>0</v>
      </c>
      <c r="BF5520" s="34" t="n">
        <f aca="false">BD5520*M5520</f>
        <v>376.47</v>
      </c>
      <c r="BG5520" s="35" t="n">
        <f aca="false">BA5520-BF5520</f>
        <v>-0.46999999999997</v>
      </c>
      <c r="BH5520" s="19" t="str">
        <f aca="false">IF(BG5520=0,"",IF(BG5520&lt;&gt;BA5520,"erreur de calcul",IF(BD5520&lt;&gt;0,"pas de prix",IF(M5520&lt;&gt; 0,"pas de quantité","pas de prix, ni de quantité"))))</f>
        <v>erreur de calcul</v>
      </c>
      <c r="BI5520" s="19"/>
    </row>
    <row r="5521" customFormat="false" ht="15" hidden="false" customHeight="false" outlineLevel="0" collapsed="false">
      <c r="A5521" s="0" t="n">
        <v>8</v>
      </c>
      <c r="B5521" s="8" t="s">
        <v>24</v>
      </c>
      <c r="C5521" s="9" t="s">
        <v>25</v>
      </c>
      <c r="D5521" s="9" t="s">
        <v>26</v>
      </c>
      <c r="E5521" s="10" t="n">
        <v>1789</v>
      </c>
      <c r="F5521" s="9" t="s">
        <v>27</v>
      </c>
      <c r="G5521" s="9" t="s">
        <v>27</v>
      </c>
      <c r="H5521" s="11" t="n">
        <v>25</v>
      </c>
      <c r="I5521" s="11" t="s">
        <v>336</v>
      </c>
      <c r="J5521" s="14" t="n">
        <v>64</v>
      </c>
      <c r="K5521" s="14"/>
      <c r="L5521" s="16"/>
      <c r="M5521" s="27" t="n">
        <f aca="false">J5521+(K5521/20)+(L5521/240)</f>
        <v>64</v>
      </c>
      <c r="N5521" s="17" t="s">
        <v>337</v>
      </c>
      <c r="O5521" s="11"/>
      <c r="P5521" s="28"/>
      <c r="Q5521" s="28" t="n">
        <f aca="false">P5521*$M5521</f>
        <v>0</v>
      </c>
      <c r="R5521" s="28"/>
      <c r="S5521" s="28" t="n">
        <f aca="false">R5521*$M5521</f>
        <v>0</v>
      </c>
      <c r="T5521" s="28" t="n">
        <v>42</v>
      </c>
      <c r="U5521" s="28" t="n">
        <v>2688</v>
      </c>
      <c r="V5521" s="28"/>
      <c r="W5521" s="28" t="n">
        <f aca="false">V5521*$M5521</f>
        <v>0</v>
      </c>
      <c r="X5521" s="28"/>
      <c r="Y5521" s="28" t="n">
        <f aca="false">X5521*$M5521</f>
        <v>0</v>
      </c>
      <c r="Z5521" s="28"/>
      <c r="AA5521" s="28" t="n">
        <f aca="false">Z5521*$M5521</f>
        <v>0</v>
      </c>
      <c r="AB5521" s="28" t="n">
        <v>66</v>
      </c>
      <c r="AC5521" s="28" t="n">
        <v>4224</v>
      </c>
      <c r="AD5521" s="28"/>
      <c r="AE5521" s="28" t="n">
        <f aca="false">AD5521*$M5521</f>
        <v>0</v>
      </c>
      <c r="AF5521" s="28"/>
      <c r="AG5521" s="28" t="n">
        <f aca="false">AF5521*$M5521</f>
        <v>0</v>
      </c>
      <c r="AH5521" s="28"/>
      <c r="AI5521" s="28" t="n">
        <f aca="false">AH5521*$M5521</f>
        <v>0</v>
      </c>
      <c r="AJ5521" s="28"/>
      <c r="AK5521" s="28" t="n">
        <f aca="false">AJ5521*$M5521</f>
        <v>0</v>
      </c>
      <c r="AL5521" s="28"/>
      <c r="AM5521" s="28" t="n">
        <f aca="false">AL5521*$M5521</f>
        <v>0</v>
      </c>
      <c r="AN5521" s="28"/>
      <c r="AO5521" s="28" t="n">
        <f aca="false">AN5521*$M5521</f>
        <v>0</v>
      </c>
      <c r="AP5521" s="28"/>
      <c r="AQ5521" s="28" t="n">
        <f aca="false">AP5521*$M5521</f>
        <v>0</v>
      </c>
      <c r="AR5521" s="28"/>
      <c r="AS5521" s="28" t="n">
        <f aca="false">AR5521*$M5521</f>
        <v>0</v>
      </c>
      <c r="AT5521" s="28"/>
      <c r="AU5521" s="28" t="n">
        <f aca="false">AT5521*$M5521</f>
        <v>0</v>
      </c>
      <c r="AV5521" s="28"/>
      <c r="AW5521" s="28" t="n">
        <f aca="false">AV5521*$M5521</f>
        <v>0</v>
      </c>
      <c r="AX5521" s="28"/>
      <c r="AY5521" s="28" t="n">
        <f aca="false">AX5521*$M5521</f>
        <v>0</v>
      </c>
      <c r="AZ5521" s="30" t="n">
        <v>108</v>
      </c>
      <c r="BA5521" s="11" t="n">
        <v>6912</v>
      </c>
      <c r="BB5521" s="31" t="n">
        <f aca="false">SUM(Q5521,S5521,U5521,W5521,Y5521,AA5521,AC5521,AE5521,AG5521,AI5521,AK5521,AM5521,AO5521,AQ5521,AS5521,AU5521,AW5521,AY5521)</f>
        <v>6912</v>
      </c>
      <c r="BC5521" s="28" t="n">
        <f aca="false">BA5521-BB5521</f>
        <v>0</v>
      </c>
      <c r="BD5521" s="32" t="n">
        <f aca="false">SUM(P5521,R5521,T5521,V5521,X5521,Z5521,AB5521,AD5521,AF5521,AH5521,AJ5521,AL5521,AN5521,AP5521,AR5521,AT5521,AV5521,AX5521)</f>
        <v>108</v>
      </c>
      <c r="BE5521" s="33" t="n">
        <f aca="false">AZ5521-BD5521</f>
        <v>0</v>
      </c>
      <c r="BF5521" s="34" t="n">
        <f aca="false">BD5521*M5521</f>
        <v>6912</v>
      </c>
      <c r="BG5521" s="35" t="n">
        <f aca="false">BA5521-BF5521</f>
        <v>0</v>
      </c>
      <c r="BH5521" s="19" t="str">
        <f aca="false">IF(BG5521=0,"",IF(BG5521&lt;&gt;BA5521,"erreur de calcul",IF(BD5521&lt;&gt;0,"pas de prix",IF(M5521&lt;&gt; 0,"pas de quantité","pas de prix, ni de quantité"))))</f>
        <v/>
      </c>
      <c r="BI5521" s="19"/>
    </row>
    <row r="5522" customFormat="false" ht="15" hidden="false" customHeight="false" outlineLevel="0" collapsed="false">
      <c r="A5522" s="0" t="n">
        <v>9</v>
      </c>
      <c r="B5522" s="8" t="s">
        <v>24</v>
      </c>
      <c r="C5522" s="9" t="s">
        <v>25</v>
      </c>
      <c r="D5522" s="9" t="s">
        <v>26</v>
      </c>
      <c r="E5522" s="10" t="n">
        <v>1789</v>
      </c>
      <c r="F5522" s="9" t="s">
        <v>27</v>
      </c>
      <c r="G5522" s="9" t="s">
        <v>27</v>
      </c>
      <c r="H5522" s="11" t="n">
        <v>25</v>
      </c>
      <c r="I5522" s="11" t="s">
        <v>338</v>
      </c>
      <c r="J5522" s="14"/>
      <c r="K5522" s="14"/>
      <c r="L5522" s="16"/>
      <c r="M5522" s="27" t="n">
        <f aca="false">J5522+(K5522/20)+(L5522/240)</f>
        <v>0</v>
      </c>
      <c r="N5522" s="17"/>
      <c r="O5522" s="11"/>
      <c r="P5522" s="28"/>
      <c r="Q5522" s="28" t="n">
        <f aca="false">P5522*$M5522</f>
        <v>0</v>
      </c>
      <c r="R5522" s="28"/>
      <c r="S5522" s="28" t="n">
        <f aca="false">R5522*$M5522</f>
        <v>0</v>
      </c>
      <c r="T5522" s="28"/>
      <c r="U5522" s="28" t="n">
        <v>135</v>
      </c>
      <c r="V5522" s="28"/>
      <c r="W5522" s="28" t="n">
        <v>642</v>
      </c>
      <c r="X5522" s="28"/>
      <c r="Y5522" s="28" t="n">
        <f aca="false">X5522*$M5522</f>
        <v>0</v>
      </c>
      <c r="Z5522" s="28"/>
      <c r="AA5522" s="28" t="n">
        <f aca="false">Z5522*$M5522</f>
        <v>0</v>
      </c>
      <c r="AB5522" s="28"/>
      <c r="AC5522" s="28" t="n">
        <f aca="false">AB5522*$M5522</f>
        <v>0</v>
      </c>
      <c r="AD5522" s="28"/>
      <c r="AE5522" s="28" t="n">
        <f aca="false">AD5522*$M5522</f>
        <v>0</v>
      </c>
      <c r="AF5522" s="28"/>
      <c r="AG5522" s="28" t="n">
        <f aca="false">AF5522*$M5522</f>
        <v>0</v>
      </c>
      <c r="AH5522" s="28"/>
      <c r="AI5522" s="28" t="n">
        <f aca="false">AH5522*$M5522</f>
        <v>0</v>
      </c>
      <c r="AJ5522" s="28"/>
      <c r="AK5522" s="28" t="n">
        <v>375</v>
      </c>
      <c r="AL5522" s="28"/>
      <c r="AM5522" s="28" t="n">
        <f aca="false">AL5522*$M5522</f>
        <v>0</v>
      </c>
      <c r="AN5522" s="28"/>
      <c r="AO5522" s="28" t="n">
        <f aca="false">AN5522*$M5522</f>
        <v>0</v>
      </c>
      <c r="AP5522" s="28"/>
      <c r="AQ5522" s="28" t="n">
        <f aca="false">AP5522*$M5522</f>
        <v>0</v>
      </c>
      <c r="AR5522" s="28"/>
      <c r="AS5522" s="28" t="n">
        <f aca="false">AR5522*$M5522</f>
        <v>0</v>
      </c>
      <c r="AT5522" s="28"/>
      <c r="AU5522" s="28" t="n">
        <f aca="false">AT5522*$M5522</f>
        <v>0</v>
      </c>
      <c r="AV5522" s="28"/>
      <c r="AW5522" s="28" t="n">
        <v>765</v>
      </c>
      <c r="AX5522" s="28"/>
      <c r="AY5522" s="28" t="n">
        <f aca="false">AX5522*$M5522</f>
        <v>0</v>
      </c>
      <c r="AZ5522" s="30"/>
      <c r="BA5522" s="11" t="n">
        <v>1917</v>
      </c>
      <c r="BB5522" s="31" t="n">
        <f aca="false">SUM(Q5522,S5522,U5522,W5522,Y5522,AA5522,AC5522,AE5522,AG5522,AI5522,AK5522,AM5522,AO5522,AQ5522,AS5522,AU5522,AW5522,AY5522)</f>
        <v>1917</v>
      </c>
      <c r="BC5522" s="28" t="n">
        <f aca="false">BA5522-BB5522</f>
        <v>0</v>
      </c>
      <c r="BD5522" s="32" t="n">
        <f aca="false">SUM(P5522,R5522,T5522,V5522,X5522,Z5522,AB5522,AD5522,AF5522,AH5522,AJ5522,AL5522,AN5522,AP5522,AR5522,AT5522,AV5522,AX5522)</f>
        <v>0</v>
      </c>
      <c r="BE5522" s="33" t="n">
        <f aca="false">AZ5522-BD5522</f>
        <v>0</v>
      </c>
      <c r="BF5522" s="34" t="n">
        <f aca="false">BD5522*M5522</f>
        <v>0</v>
      </c>
      <c r="BG5522" s="35" t="n">
        <f aca="false">BA5522-BF5522</f>
        <v>1917</v>
      </c>
      <c r="BH5522" s="19" t="str">
        <f aca="false">IF(BG5522=0,"",IF(BG5522&lt;&gt;BA5522,"erreur de calcul",IF(BD5522&lt;&gt;0,"pas de prix",IF(M5522&lt;&gt; 0,"pas de quantité","pas de prix, ni de quantité"))))</f>
        <v>pas de prix, ni de quantité</v>
      </c>
      <c r="BI5522" s="19"/>
    </row>
    <row r="5523" customFormat="false" ht="15" hidden="false" customHeight="false" outlineLevel="0" collapsed="false">
      <c r="A5523" s="0" t="n">
        <v>10</v>
      </c>
      <c r="B5523" s="8" t="s">
        <v>24</v>
      </c>
      <c r="C5523" s="9" t="s">
        <v>25</v>
      </c>
      <c r="D5523" s="9" t="s">
        <v>26</v>
      </c>
      <c r="E5523" s="10" t="n">
        <v>1789</v>
      </c>
      <c r="F5523" s="9" t="s">
        <v>27</v>
      </c>
      <c r="G5523" s="9" t="s">
        <v>27</v>
      </c>
      <c r="H5523" s="11" t="n">
        <v>25</v>
      </c>
      <c r="I5523" s="11" t="s">
        <v>339</v>
      </c>
      <c r="J5523" s="14" t="n">
        <v>7</v>
      </c>
      <c r="K5523" s="14"/>
      <c r="L5523" s="16"/>
      <c r="M5523" s="27" t="n">
        <f aca="false">J5523+(K5523/20)+(L5523/240)</f>
        <v>7</v>
      </c>
      <c r="N5523" s="17" t="s">
        <v>69</v>
      </c>
      <c r="O5523" s="11"/>
      <c r="P5523" s="28"/>
      <c r="Q5523" s="28" t="n">
        <f aca="false">P5523*$M5523</f>
        <v>0</v>
      </c>
      <c r="R5523" s="28"/>
      <c r="S5523" s="28" t="n">
        <f aca="false">R5523*$M5523</f>
        <v>0</v>
      </c>
      <c r="T5523" s="28"/>
      <c r="U5523" s="28" t="n">
        <f aca="false">T5523*$M5523</f>
        <v>0</v>
      </c>
      <c r="V5523" s="28" t="n">
        <v>554</v>
      </c>
      <c r="W5523" s="28" t="n">
        <v>3878</v>
      </c>
      <c r="X5523" s="28"/>
      <c r="Y5523" s="28" t="n">
        <f aca="false">X5523*$M5523</f>
        <v>0</v>
      </c>
      <c r="Z5523" s="28"/>
      <c r="AA5523" s="28" t="n">
        <f aca="false">Z5523*$M5523</f>
        <v>0</v>
      </c>
      <c r="AB5523" s="28"/>
      <c r="AC5523" s="28" t="n">
        <f aca="false">AB5523*$M5523</f>
        <v>0</v>
      </c>
      <c r="AD5523" s="28"/>
      <c r="AE5523" s="28" t="n">
        <f aca="false">AD5523*$M5523</f>
        <v>0</v>
      </c>
      <c r="AF5523" s="28"/>
      <c r="AG5523" s="28" t="n">
        <f aca="false">AF5523*$M5523</f>
        <v>0</v>
      </c>
      <c r="AH5523" s="28"/>
      <c r="AI5523" s="28" t="n">
        <f aca="false">AH5523*$M5523</f>
        <v>0</v>
      </c>
      <c r="AJ5523" s="28"/>
      <c r="AK5523" s="28" t="n">
        <f aca="false">AJ5523*$M5523</f>
        <v>0</v>
      </c>
      <c r="AL5523" s="28"/>
      <c r="AM5523" s="28" t="n">
        <f aca="false">AL5523*$M5523</f>
        <v>0</v>
      </c>
      <c r="AN5523" s="28"/>
      <c r="AO5523" s="28" t="n">
        <f aca="false">AN5523*$M5523</f>
        <v>0</v>
      </c>
      <c r="AP5523" s="28"/>
      <c r="AQ5523" s="28" t="n">
        <f aca="false">AP5523*$M5523</f>
        <v>0</v>
      </c>
      <c r="AR5523" s="28"/>
      <c r="AS5523" s="28" t="n">
        <f aca="false">AR5523*$M5523</f>
        <v>0</v>
      </c>
      <c r="AT5523" s="28"/>
      <c r="AU5523" s="28" t="n">
        <f aca="false">AT5523*$M5523</f>
        <v>0</v>
      </c>
      <c r="AV5523" s="28"/>
      <c r="AW5523" s="28" t="n">
        <f aca="false">AV5523*$M5523</f>
        <v>0</v>
      </c>
      <c r="AX5523" s="28"/>
      <c r="AY5523" s="28" t="n">
        <f aca="false">AX5523*$M5523</f>
        <v>0</v>
      </c>
      <c r="AZ5523" s="30" t="n">
        <v>554</v>
      </c>
      <c r="BA5523" s="11" t="n">
        <v>3878</v>
      </c>
      <c r="BB5523" s="31" t="n">
        <f aca="false">SUM(Q5523,S5523,U5523,W5523,Y5523,AA5523,AC5523,AE5523,AG5523,AI5523,AK5523,AM5523,AO5523,AQ5523,AS5523,AU5523,AW5523,AY5523)</f>
        <v>3878</v>
      </c>
      <c r="BC5523" s="28" t="n">
        <f aca="false">BA5523-BB5523</f>
        <v>0</v>
      </c>
      <c r="BD5523" s="32" t="n">
        <f aca="false">SUM(P5523,R5523,T5523,V5523,X5523,Z5523,AB5523,AD5523,AF5523,AH5523,AJ5523,AL5523,AN5523,AP5523,AR5523,AT5523,AV5523,AX5523)</f>
        <v>554</v>
      </c>
      <c r="BE5523" s="33" t="n">
        <f aca="false">AZ5523-BD5523</f>
        <v>0</v>
      </c>
      <c r="BF5523" s="34" t="n">
        <f aca="false">BD5523*M5523</f>
        <v>3878</v>
      </c>
      <c r="BG5523" s="35" t="n">
        <f aca="false">BA5523-BF5523</f>
        <v>0</v>
      </c>
      <c r="BH5523" s="19" t="str">
        <f aca="false">IF(BG5523=0,"",IF(BG5523&lt;&gt;BA5523,"erreur de calcul",IF(BD5523&lt;&gt;0,"pas de prix",IF(M5523&lt;&gt; 0,"pas de quantité","pas de prix, ni de quantité"))))</f>
        <v/>
      </c>
      <c r="BI5523" s="19"/>
    </row>
    <row r="5524" customFormat="false" ht="15" hidden="false" customHeight="false" outlineLevel="0" collapsed="false">
      <c r="A5524" s="0" t="n">
        <v>11</v>
      </c>
      <c r="B5524" s="8" t="s">
        <v>24</v>
      </c>
      <c r="C5524" s="9" t="s">
        <v>25</v>
      </c>
      <c r="D5524" s="9" t="s">
        <v>26</v>
      </c>
      <c r="E5524" s="10" t="n">
        <v>1789</v>
      </c>
      <c r="F5524" s="9" t="s">
        <v>27</v>
      </c>
      <c r="G5524" s="9" t="s">
        <v>27</v>
      </c>
      <c r="H5524" s="11" t="n">
        <v>25</v>
      </c>
      <c r="I5524" s="11" t="s">
        <v>340</v>
      </c>
      <c r="J5524" s="14" t="n">
        <v>15</v>
      </c>
      <c r="K5524" s="14"/>
      <c r="L5524" s="16"/>
      <c r="M5524" s="27" t="n">
        <f aca="false">J5524+(K5524/20)+(L5524/240)</f>
        <v>15</v>
      </c>
      <c r="N5524" s="17" t="s">
        <v>64</v>
      </c>
      <c r="O5524" s="11"/>
      <c r="P5524" s="28" t="n">
        <f aca="false">470959/100</f>
        <v>4709.59</v>
      </c>
      <c r="Q5524" s="28" t="n">
        <v>70644</v>
      </c>
      <c r="R5524" s="28"/>
      <c r="S5524" s="28" t="n">
        <f aca="false">R5524*$M5524</f>
        <v>0</v>
      </c>
      <c r="T5524" s="28"/>
      <c r="U5524" s="28" t="n">
        <f aca="false">T5524*$M5524</f>
        <v>0</v>
      </c>
      <c r="V5524" s="28"/>
      <c r="W5524" s="28" t="n">
        <f aca="false">V5524*$M5524</f>
        <v>0</v>
      </c>
      <c r="X5524" s="28"/>
      <c r="Y5524" s="28" t="n">
        <f aca="false">X5524*$M5524</f>
        <v>0</v>
      </c>
      <c r="Z5524" s="28"/>
      <c r="AA5524" s="28" t="n">
        <f aca="false">Z5524*$M5524</f>
        <v>0</v>
      </c>
      <c r="AB5524" s="28" t="n">
        <f aca="false">50000/100</f>
        <v>500</v>
      </c>
      <c r="AC5524" s="28" t="n">
        <v>7500</v>
      </c>
      <c r="AD5524" s="28"/>
      <c r="AE5524" s="28" t="n">
        <f aca="false">AD5524*$M5524</f>
        <v>0</v>
      </c>
      <c r="AF5524" s="28" t="n">
        <f aca="false">15584/100</f>
        <v>155.84</v>
      </c>
      <c r="AG5524" s="28" t="n">
        <v>2338</v>
      </c>
      <c r="AH5524" s="28"/>
      <c r="AI5524" s="28" t="n">
        <f aca="false">AH5524*$M5524</f>
        <v>0</v>
      </c>
      <c r="AJ5524" s="28"/>
      <c r="AK5524" s="28" t="n">
        <f aca="false">AJ5524*$M5524</f>
        <v>0</v>
      </c>
      <c r="AL5524" s="28"/>
      <c r="AM5524" s="28" t="n">
        <f aca="false">AL5524*$M5524</f>
        <v>0</v>
      </c>
      <c r="AN5524" s="28"/>
      <c r="AO5524" s="28" t="n">
        <f aca="false">AN5524*$M5524</f>
        <v>0</v>
      </c>
      <c r="AP5524" s="28"/>
      <c r="AQ5524" s="28" t="n">
        <f aca="false">AP5524*$M5524</f>
        <v>0</v>
      </c>
      <c r="AR5524" s="28"/>
      <c r="AS5524" s="28" t="n">
        <f aca="false">AR5524*$M5524</f>
        <v>0</v>
      </c>
      <c r="AT5524" s="28"/>
      <c r="AU5524" s="28" t="n">
        <f aca="false">AT5524*$M5524</f>
        <v>0</v>
      </c>
      <c r="AV5524" s="28"/>
      <c r="AW5524" s="28" t="n">
        <f aca="false">AV5524*$M5524</f>
        <v>0</v>
      </c>
      <c r="AX5524" s="28"/>
      <c r="AY5524" s="28" t="n">
        <f aca="false">AX5524*$M5524</f>
        <v>0</v>
      </c>
      <c r="AZ5524" s="30" t="n">
        <f aca="false">535959/100</f>
        <v>5359.59</v>
      </c>
      <c r="BA5524" s="11" t="n">
        <v>80482</v>
      </c>
      <c r="BB5524" s="31" t="n">
        <f aca="false">SUM(Q5524,S5524,U5524,W5524,Y5524,AA5524,AC5524,AE5524,AG5524,AI5524,AK5524,AM5524,AO5524,AQ5524,AS5524,AU5524,AW5524,AY5524)</f>
        <v>80482</v>
      </c>
      <c r="BC5524" s="28" t="n">
        <f aca="false">BA5524-BB5524</f>
        <v>0</v>
      </c>
      <c r="BD5524" s="32" t="n">
        <f aca="false">SUM(P5524,R5524,T5524,V5524,X5524,Z5524,AB5524,AD5524,AF5524,AH5524,AJ5524,AL5524,AN5524,AP5524,AR5524,AT5524,AV5524,AX5524)</f>
        <v>5365.43</v>
      </c>
      <c r="BE5524" s="33" t="n">
        <f aca="false">AZ5524-BD5524</f>
        <v>-5.84000000000015</v>
      </c>
      <c r="BF5524" s="34" t="n">
        <f aca="false">BD5524*M5524</f>
        <v>80481.45</v>
      </c>
      <c r="BG5524" s="35" t="n">
        <f aca="false">BA5524-BF5524</f>
        <v>0.549999999988359</v>
      </c>
      <c r="BH5524" s="19" t="str">
        <f aca="false">IF(BG5524=0,"",IF(BG5524&lt;&gt;BA5524,"erreur de calcul",IF(BD5524&lt;&gt;0,"pas de prix",IF(M5524&lt;&gt; 0,"pas de quantité","pas de prix, ni de quantité"))))</f>
        <v>erreur de calcul</v>
      </c>
      <c r="BI5524" s="19"/>
    </row>
    <row r="5525" customFormat="false" ht="15" hidden="false" customHeight="false" outlineLevel="0" collapsed="false">
      <c r="A5525" s="0" t="n">
        <v>12</v>
      </c>
      <c r="B5525" s="8" t="s">
        <v>24</v>
      </c>
      <c r="C5525" s="9" t="s">
        <v>25</v>
      </c>
      <c r="D5525" s="9" t="s">
        <v>26</v>
      </c>
      <c r="E5525" s="10" t="n">
        <v>1789</v>
      </c>
      <c r="F5525" s="9" t="s">
        <v>27</v>
      </c>
      <c r="G5525" s="9" t="s">
        <v>27</v>
      </c>
      <c r="H5525" s="11" t="n">
        <v>25</v>
      </c>
      <c r="I5525" s="11" t="s">
        <v>341</v>
      </c>
      <c r="J5525" s="14" t="n">
        <v>75</v>
      </c>
      <c r="K5525" s="14"/>
      <c r="L5525" s="16"/>
      <c r="M5525" s="27" t="n">
        <f aca="false">J5525+(K5525/20)+(L5525/240)</f>
        <v>75</v>
      </c>
      <c r="N5525" s="17" t="s">
        <v>85</v>
      </c>
      <c r="O5525" s="11"/>
      <c r="P5525" s="28"/>
      <c r="Q5525" s="28" t="n">
        <f aca="false">P5525*$M5525</f>
        <v>0</v>
      </c>
      <c r="R5525" s="28"/>
      <c r="S5525" s="28" t="n">
        <f aca="false">R5525*$M5525</f>
        <v>0</v>
      </c>
      <c r="T5525" s="28"/>
      <c r="U5525" s="28" t="n">
        <f aca="false">T5525*$M5525</f>
        <v>0</v>
      </c>
      <c r="V5525" s="28"/>
      <c r="W5525" s="28" t="n">
        <f aca="false">V5525*$M5525</f>
        <v>0</v>
      </c>
      <c r="X5525" s="28"/>
      <c r="Y5525" s="28" t="n">
        <f aca="false">X5525*$M5525</f>
        <v>0</v>
      </c>
      <c r="Z5525" s="28"/>
      <c r="AA5525" s="28" t="n">
        <f aca="false">Z5525*$M5525</f>
        <v>0</v>
      </c>
      <c r="AB5525" s="28"/>
      <c r="AC5525" s="28" t="n">
        <f aca="false">AB5525*$M5525</f>
        <v>0</v>
      </c>
      <c r="AD5525" s="28"/>
      <c r="AE5525" s="28" t="n">
        <f aca="false">AD5525*$M5525</f>
        <v>0</v>
      </c>
      <c r="AF5525" s="28"/>
      <c r="AG5525" s="28" t="n">
        <f aca="false">AF5525*$M5525</f>
        <v>0</v>
      </c>
      <c r="AH5525" s="28"/>
      <c r="AI5525" s="28" t="n">
        <f aca="false">AH5525*$M5525</f>
        <v>0</v>
      </c>
      <c r="AJ5525" s="28"/>
      <c r="AK5525" s="28" t="n">
        <f aca="false">AJ5525*$M5525</f>
        <v>0</v>
      </c>
      <c r="AL5525" s="28" t="n">
        <f aca="false">2584/100</f>
        <v>25.84</v>
      </c>
      <c r="AM5525" s="28" t="n">
        <v>1938</v>
      </c>
      <c r="AN5525" s="28"/>
      <c r="AO5525" s="28" t="n">
        <f aca="false">AN5525*$M5525</f>
        <v>0</v>
      </c>
      <c r="AP5525" s="28"/>
      <c r="AQ5525" s="28" t="n">
        <f aca="false">AP5525*$M5525</f>
        <v>0</v>
      </c>
      <c r="AR5525" s="28"/>
      <c r="AS5525" s="28" t="n">
        <f aca="false">AR5525*$M5525</f>
        <v>0</v>
      </c>
      <c r="AT5525" s="28"/>
      <c r="AU5525" s="28" t="n">
        <f aca="false">AT5525*$M5525</f>
        <v>0</v>
      </c>
      <c r="AV5525" s="28"/>
      <c r="AW5525" s="28" t="n">
        <f aca="false">AV5525*$M5525</f>
        <v>0</v>
      </c>
      <c r="AX5525" s="28"/>
      <c r="AY5525" s="28" t="n">
        <f aca="false">AX5525*$M5525</f>
        <v>0</v>
      </c>
      <c r="AZ5525" s="30" t="n">
        <f aca="false">2584/100</f>
        <v>25.84</v>
      </c>
      <c r="BA5525" s="11" t="n">
        <v>1938</v>
      </c>
      <c r="BB5525" s="31" t="n">
        <f aca="false">SUM(Q5525,S5525,U5525,W5525,Y5525,AA5525,AC5525,AE5525,AG5525,AI5525,AK5525,AM5525,AO5525,AQ5525,AS5525,AU5525,AW5525,AY5525)</f>
        <v>1938</v>
      </c>
      <c r="BC5525" s="28" t="n">
        <f aca="false">BA5525-BB5525</f>
        <v>0</v>
      </c>
      <c r="BD5525" s="32" t="n">
        <f aca="false">SUM(P5525,R5525,T5525,V5525,X5525,Z5525,AB5525,AD5525,AF5525,AH5525,AJ5525,AL5525,AN5525,AP5525,AR5525,AT5525,AV5525,AX5525)</f>
        <v>25.84</v>
      </c>
      <c r="BE5525" s="33" t="n">
        <f aca="false">AZ5525-BD5525</f>
        <v>0</v>
      </c>
      <c r="BF5525" s="34" t="n">
        <f aca="false">BD5525*M5525</f>
        <v>1938</v>
      </c>
      <c r="BG5525" s="35" t="n">
        <f aca="false">BA5525-BF5525</f>
        <v>0</v>
      </c>
      <c r="BH5525" s="19" t="str">
        <f aca="false">IF(BG5525=0,"",IF(BG5525&lt;&gt;BA5525,"erreur de calcul",IF(BD5525&lt;&gt;0,"pas de prix",IF(M5525&lt;&gt; 0,"pas de quantité","pas de prix, ni de quantité"))))</f>
        <v/>
      </c>
      <c r="BI5525" s="19"/>
    </row>
    <row r="5526" customFormat="false" ht="15" hidden="false" customHeight="false" outlineLevel="0" collapsed="false">
      <c r="A5526" s="0" t="n">
        <v>13</v>
      </c>
      <c r="B5526" s="8" t="s">
        <v>24</v>
      </c>
      <c r="C5526" s="9" t="s">
        <v>25</v>
      </c>
      <c r="D5526" s="9" t="s">
        <v>26</v>
      </c>
      <c r="E5526" s="10" t="n">
        <v>1789</v>
      </c>
      <c r="F5526" s="9" t="s">
        <v>27</v>
      </c>
      <c r="G5526" s="9" t="s">
        <v>27</v>
      </c>
      <c r="H5526" s="11" t="n">
        <v>25</v>
      </c>
      <c r="I5526" s="11" t="s">
        <v>342</v>
      </c>
      <c r="J5526" s="14" t="n">
        <v>10</v>
      </c>
      <c r="K5526" s="14"/>
      <c r="L5526" s="16"/>
      <c r="M5526" s="27" t="n">
        <f aca="false">J5526+(K5526/20)+(L5526/240)</f>
        <v>10</v>
      </c>
      <c r="N5526" s="17" t="s">
        <v>66</v>
      </c>
      <c r="O5526" s="11"/>
      <c r="P5526" s="28"/>
      <c r="Q5526" s="28" t="n">
        <f aca="false">P5526*$M5526</f>
        <v>0</v>
      </c>
      <c r="R5526" s="28" t="n">
        <v>827</v>
      </c>
      <c r="S5526" s="28" t="n">
        <v>8270</v>
      </c>
      <c r="T5526" s="28"/>
      <c r="U5526" s="28" t="n">
        <f aca="false">T5526*$M5526</f>
        <v>0</v>
      </c>
      <c r="V5526" s="28"/>
      <c r="W5526" s="28" t="n">
        <f aca="false">V5526*$M5526</f>
        <v>0</v>
      </c>
      <c r="X5526" s="28"/>
      <c r="Y5526" s="28" t="n">
        <f aca="false">X5526*$M5526</f>
        <v>0</v>
      </c>
      <c r="Z5526" s="28"/>
      <c r="AA5526" s="28" t="n">
        <f aca="false">Z5526*$M5526</f>
        <v>0</v>
      </c>
      <c r="AB5526" s="28"/>
      <c r="AC5526" s="28" t="n">
        <f aca="false">AB5526*$M5526</f>
        <v>0</v>
      </c>
      <c r="AD5526" s="28"/>
      <c r="AE5526" s="28" t="n">
        <f aca="false">AD5526*$M5526</f>
        <v>0</v>
      </c>
      <c r="AF5526" s="28"/>
      <c r="AG5526" s="28" t="n">
        <f aca="false">AF5526*$M5526</f>
        <v>0</v>
      </c>
      <c r="AH5526" s="28"/>
      <c r="AI5526" s="28" t="n">
        <f aca="false">AH5526*$M5526</f>
        <v>0</v>
      </c>
      <c r="AJ5526" s="28"/>
      <c r="AK5526" s="28" t="n">
        <f aca="false">AJ5526*$M5526</f>
        <v>0</v>
      </c>
      <c r="AL5526" s="28"/>
      <c r="AM5526" s="28" t="n">
        <f aca="false">AL5526*$M5526</f>
        <v>0</v>
      </c>
      <c r="AN5526" s="28"/>
      <c r="AO5526" s="28" t="n">
        <f aca="false">AN5526*$M5526</f>
        <v>0</v>
      </c>
      <c r="AP5526" s="28"/>
      <c r="AQ5526" s="28" t="n">
        <f aca="false">AP5526*$M5526</f>
        <v>0</v>
      </c>
      <c r="AR5526" s="28"/>
      <c r="AS5526" s="28" t="n">
        <f aca="false">AR5526*$M5526</f>
        <v>0</v>
      </c>
      <c r="AT5526" s="28"/>
      <c r="AU5526" s="28" t="n">
        <f aca="false">AT5526*$M5526</f>
        <v>0</v>
      </c>
      <c r="AV5526" s="28"/>
      <c r="AW5526" s="28" t="n">
        <f aca="false">AV5526*$M5526</f>
        <v>0</v>
      </c>
      <c r="AX5526" s="28"/>
      <c r="AY5526" s="28" t="n">
        <f aca="false">AX5526*$M5526</f>
        <v>0</v>
      </c>
      <c r="AZ5526" s="30" t="n">
        <v>827</v>
      </c>
      <c r="BA5526" s="11" t="n">
        <v>8270</v>
      </c>
      <c r="BB5526" s="31" t="n">
        <f aca="false">SUM(Q5526,S5526,U5526,W5526,Y5526,AA5526,AC5526,AE5526,AG5526,AI5526,AK5526,AM5526,AO5526,AQ5526,AS5526,AU5526,AW5526,AY5526)</f>
        <v>8270</v>
      </c>
      <c r="BC5526" s="28" t="n">
        <f aca="false">BA5526-BB5526</f>
        <v>0</v>
      </c>
      <c r="BD5526" s="32" t="n">
        <f aca="false">SUM(P5526,R5526,T5526,V5526,X5526,Z5526,AB5526,AD5526,AF5526,AH5526,AJ5526,AL5526,AN5526,AP5526,AR5526,AT5526,AV5526,AX5526)</f>
        <v>827</v>
      </c>
      <c r="BE5526" s="33" t="n">
        <f aca="false">AZ5526-BD5526</f>
        <v>0</v>
      </c>
      <c r="BF5526" s="34" t="n">
        <f aca="false">BD5526*M5526</f>
        <v>8270</v>
      </c>
      <c r="BG5526" s="35" t="n">
        <f aca="false">BA5526-BF5526</f>
        <v>0</v>
      </c>
      <c r="BH5526" s="19" t="str">
        <f aca="false">IF(BG5526=0,"",IF(BG5526&lt;&gt;BA5526,"erreur de calcul",IF(BD5526&lt;&gt;0,"pas de prix",IF(M5526&lt;&gt; 0,"pas de quantité","pas de prix, ni de quantité"))))</f>
        <v/>
      </c>
      <c r="BI5526" s="19"/>
    </row>
    <row r="5527" customFormat="false" ht="15" hidden="false" customHeight="false" outlineLevel="0" collapsed="false">
      <c r="A5527" s="0" t="n">
        <v>14</v>
      </c>
      <c r="B5527" s="8" t="s">
        <v>24</v>
      </c>
      <c r="C5527" s="9" t="s">
        <v>25</v>
      </c>
      <c r="D5527" s="9" t="s">
        <v>26</v>
      </c>
      <c r="E5527" s="10" t="n">
        <v>1789</v>
      </c>
      <c r="F5527" s="9" t="s">
        <v>27</v>
      </c>
      <c r="G5527" s="9" t="s">
        <v>27</v>
      </c>
      <c r="H5527" s="11" t="n">
        <v>25</v>
      </c>
      <c r="I5527" s="11" t="s">
        <v>343</v>
      </c>
      <c r="J5527" s="14" t="n">
        <v>4</v>
      </c>
      <c r="K5527" s="14"/>
      <c r="L5527" s="16"/>
      <c r="M5527" s="27" t="n">
        <f aca="false">J5527+(K5527/20)+(L5527/240)</f>
        <v>4</v>
      </c>
      <c r="N5527" s="17" t="s">
        <v>69</v>
      </c>
      <c r="O5527" s="11"/>
      <c r="P5527" s="28"/>
      <c r="Q5527" s="28" t="n">
        <f aca="false">P5527*$M5527</f>
        <v>0</v>
      </c>
      <c r="R5527" s="28"/>
      <c r="S5527" s="28" t="n">
        <f aca="false">R5527*$M5527</f>
        <v>0</v>
      </c>
      <c r="T5527" s="28"/>
      <c r="U5527" s="28" t="n">
        <f aca="false">T5527*$M5527</f>
        <v>0</v>
      </c>
      <c r="V5527" s="28" t="n">
        <v>2198</v>
      </c>
      <c r="W5527" s="28" t="n">
        <v>8792</v>
      </c>
      <c r="X5527" s="28"/>
      <c r="Y5527" s="28" t="n">
        <f aca="false">X5527*$M5527</f>
        <v>0</v>
      </c>
      <c r="Z5527" s="28"/>
      <c r="AA5527" s="28" t="n">
        <f aca="false">Z5527*$M5527</f>
        <v>0</v>
      </c>
      <c r="AB5527" s="28"/>
      <c r="AC5527" s="28" t="n">
        <f aca="false">AB5527*$M5527</f>
        <v>0</v>
      </c>
      <c r="AD5527" s="28"/>
      <c r="AE5527" s="28" t="n">
        <f aca="false">AD5527*$M5527</f>
        <v>0</v>
      </c>
      <c r="AF5527" s="28"/>
      <c r="AG5527" s="28" t="n">
        <f aca="false">AF5527*$M5527</f>
        <v>0</v>
      </c>
      <c r="AH5527" s="28"/>
      <c r="AI5527" s="28" t="n">
        <f aca="false">AH5527*$M5527</f>
        <v>0</v>
      </c>
      <c r="AJ5527" s="28"/>
      <c r="AK5527" s="28" t="n">
        <f aca="false">AJ5527*$M5527</f>
        <v>0</v>
      </c>
      <c r="AL5527" s="28"/>
      <c r="AM5527" s="28" t="n">
        <f aca="false">AL5527*$M5527</f>
        <v>0</v>
      </c>
      <c r="AN5527" s="28"/>
      <c r="AO5527" s="28" t="n">
        <f aca="false">AN5527*$M5527</f>
        <v>0</v>
      </c>
      <c r="AP5527" s="28"/>
      <c r="AQ5527" s="28" t="n">
        <f aca="false">AP5527*$M5527</f>
        <v>0</v>
      </c>
      <c r="AR5527" s="28"/>
      <c r="AS5527" s="28" t="n">
        <f aca="false">AR5527*$M5527</f>
        <v>0</v>
      </c>
      <c r="AT5527" s="28"/>
      <c r="AU5527" s="28" t="n">
        <f aca="false">AT5527*$M5527</f>
        <v>0</v>
      </c>
      <c r="AV5527" s="28"/>
      <c r="AW5527" s="28" t="n">
        <f aca="false">AV5527*$M5527</f>
        <v>0</v>
      </c>
      <c r="AX5527" s="28"/>
      <c r="AY5527" s="28" t="n">
        <f aca="false">AX5527*$M5527</f>
        <v>0</v>
      </c>
      <c r="AZ5527" s="30" t="n">
        <v>2198</v>
      </c>
      <c r="BA5527" s="11" t="n">
        <v>8792</v>
      </c>
      <c r="BB5527" s="31" t="n">
        <f aca="false">SUM(Q5527,S5527,U5527,W5527,Y5527,AA5527,AC5527,AE5527,AG5527,AI5527,AK5527,AM5527,AO5527,AQ5527,AS5527,AU5527,AW5527,AY5527)</f>
        <v>8792</v>
      </c>
      <c r="BC5527" s="28" t="n">
        <f aca="false">BA5527-BB5527</f>
        <v>0</v>
      </c>
      <c r="BD5527" s="32" t="n">
        <f aca="false">SUM(P5527,R5527,T5527,V5527,X5527,Z5527,AB5527,AD5527,AF5527,AH5527,AJ5527,AL5527,AN5527,AP5527,AR5527,AT5527,AV5527,AX5527)</f>
        <v>2198</v>
      </c>
      <c r="BE5527" s="33" t="n">
        <f aca="false">AZ5527-BD5527</f>
        <v>0</v>
      </c>
      <c r="BF5527" s="34" t="n">
        <f aca="false">BD5527*M5527</f>
        <v>8792</v>
      </c>
      <c r="BG5527" s="35" t="n">
        <f aca="false">BA5527-BF5527</f>
        <v>0</v>
      </c>
      <c r="BH5527" s="19" t="str">
        <f aca="false">IF(BG5527=0,"",IF(BG5527&lt;&gt;BA5527,"erreur de calcul",IF(BD5527&lt;&gt;0,"pas de prix",IF(M5527&lt;&gt; 0,"pas de quantité","pas de prix, ni de quantité"))))</f>
        <v/>
      </c>
      <c r="BI5527" s="19"/>
    </row>
    <row r="5528" customFormat="false" ht="15" hidden="false" customHeight="false" outlineLevel="0" collapsed="false">
      <c r="A5528" s="0" t="n">
        <v>15</v>
      </c>
      <c r="B5528" s="8" t="s">
        <v>24</v>
      </c>
      <c r="C5528" s="9" t="s">
        <v>25</v>
      </c>
      <c r="D5528" s="9" t="s">
        <v>26</v>
      </c>
      <c r="E5528" s="10" t="n">
        <v>1789</v>
      </c>
      <c r="F5528" s="9" t="s">
        <v>27</v>
      </c>
      <c r="G5528" s="9" t="s">
        <v>27</v>
      </c>
      <c r="H5528" s="11" t="n">
        <v>25</v>
      </c>
      <c r="I5528" s="11" t="s">
        <v>344</v>
      </c>
      <c r="J5528" s="14" t="n">
        <v>2000</v>
      </c>
      <c r="K5528" s="14"/>
      <c r="L5528" s="16"/>
      <c r="M5528" s="27" t="n">
        <f aca="false">J5528+(K5528/20)+(L5528/240)</f>
        <v>2000</v>
      </c>
      <c r="N5528" s="17" t="s">
        <v>64</v>
      </c>
      <c r="O5528" s="11" t="s">
        <v>277</v>
      </c>
      <c r="P5528" s="28"/>
      <c r="Q5528" s="28" t="n">
        <f aca="false">P5528*$M5528</f>
        <v>0</v>
      </c>
      <c r="R5528" s="28"/>
      <c r="S5528" s="28" t="n">
        <f aca="false">R5528*$M5528</f>
        <v>0</v>
      </c>
      <c r="T5528" s="28"/>
      <c r="U5528" s="28" t="n">
        <f aca="false">T5528*$M5528</f>
        <v>0</v>
      </c>
      <c r="V5528" s="28"/>
      <c r="W5528" s="28" t="n">
        <f aca="false">V5528*$M5528</f>
        <v>0</v>
      </c>
      <c r="X5528" s="28"/>
      <c r="Y5528" s="28" t="n">
        <f aca="false">X5528*$M5528</f>
        <v>0</v>
      </c>
      <c r="Z5528" s="28"/>
      <c r="AA5528" s="28" t="n">
        <f aca="false">Z5528*$M5528</f>
        <v>0</v>
      </c>
      <c r="AB5528" s="28"/>
      <c r="AC5528" s="28" t="n">
        <f aca="false">AB5528*$M5528</f>
        <v>0</v>
      </c>
      <c r="AD5528" s="28"/>
      <c r="AE5528" s="28" t="n">
        <f aca="false">AD5528*$M5528</f>
        <v>0</v>
      </c>
      <c r="AF5528" s="28"/>
      <c r="AG5528" s="28" t="n">
        <f aca="false">AF5528*$M5528</f>
        <v>0</v>
      </c>
      <c r="AH5528" s="28"/>
      <c r="AI5528" s="28" t="n">
        <f aca="false">AH5528*$M5528</f>
        <v>0</v>
      </c>
      <c r="AJ5528" s="28"/>
      <c r="AK5528" s="28" t="n">
        <f aca="false">AJ5528*$M5528</f>
        <v>0</v>
      </c>
      <c r="AL5528" s="28"/>
      <c r="AM5528" s="28" t="n">
        <f aca="false">AL5528*$M5528</f>
        <v>0</v>
      </c>
      <c r="AN5528" s="28"/>
      <c r="AO5528" s="28" t="n">
        <f aca="false">AN5528*$M5528</f>
        <v>0</v>
      </c>
      <c r="AP5528" s="28"/>
      <c r="AQ5528" s="28" t="n">
        <f aca="false">AP5528*$M5528</f>
        <v>0</v>
      </c>
      <c r="AR5528" s="28"/>
      <c r="AS5528" s="28" t="n">
        <f aca="false">AR5528*$M5528</f>
        <v>0</v>
      </c>
      <c r="AT5528" s="28"/>
      <c r="AU5528" s="28" t="n">
        <f aca="false">AT5528*$M5528</f>
        <v>0</v>
      </c>
      <c r="AV5528" s="28"/>
      <c r="AW5528" s="28" t="n">
        <f aca="false">AV5528*$M5528</f>
        <v>0</v>
      </c>
      <c r="AX5528" s="28"/>
      <c r="AY5528" s="28" t="n">
        <f aca="false">AX5528*$M5528</f>
        <v>0</v>
      </c>
      <c r="AZ5528" s="30"/>
      <c r="BA5528" s="11"/>
      <c r="BB5528" s="31" t="n">
        <f aca="false">SUM(Q5528,S5528,U5528,W5528,Y5528,AA5528,AC5528,AE5528,AG5528,AI5528,AK5528,AM5528,AO5528,AQ5528,AS5528,AU5528,AW5528,AY5528)</f>
        <v>0</v>
      </c>
      <c r="BC5528" s="28" t="n">
        <f aca="false">BA5528-BB5528</f>
        <v>0</v>
      </c>
      <c r="BD5528" s="32" t="n">
        <f aca="false">SUM(P5528,R5528,T5528,V5528,X5528,Z5528,AB5528,AD5528,AF5528,AH5528,AJ5528,AL5528,AN5528,AP5528,AR5528,AT5528,AV5528,AX5528)</f>
        <v>0</v>
      </c>
      <c r="BE5528" s="33" t="n">
        <f aca="false">AZ5528-BD5528</f>
        <v>0</v>
      </c>
      <c r="BF5528" s="34" t="n">
        <f aca="false">BD5528*M5528</f>
        <v>0</v>
      </c>
      <c r="BG5528" s="35" t="n">
        <f aca="false">BA5528-BF5528</f>
        <v>0</v>
      </c>
      <c r="BH5528" s="19" t="str">
        <f aca="false">IF(BG5528=0,"",IF(BG5528&lt;&gt;BA5528,"erreur de calcul",IF(BD5528&lt;&gt;0,"pas de prix",IF(M5528&lt;&gt; 0,"pas de quantité","pas de prix, ni de quantité"))))</f>
        <v/>
      </c>
      <c r="BI5528" s="19"/>
    </row>
    <row r="5529" customFormat="false" ht="15" hidden="false" customHeight="false" outlineLevel="0" collapsed="false">
      <c r="A5529" s="0" t="n">
        <v>16</v>
      </c>
      <c r="B5529" s="8" t="s">
        <v>24</v>
      </c>
      <c r="C5529" s="9" t="s">
        <v>25</v>
      </c>
      <c r="D5529" s="9" t="s">
        <v>26</v>
      </c>
      <c r="E5529" s="10" t="n">
        <v>1789</v>
      </c>
      <c r="F5529" s="9" t="s">
        <v>27</v>
      </c>
      <c r="G5529" s="9" t="s">
        <v>27</v>
      </c>
      <c r="H5529" s="11" t="n">
        <v>25</v>
      </c>
      <c r="I5529" s="11" t="s">
        <v>344</v>
      </c>
      <c r="J5529" s="14" t="n">
        <v>2000</v>
      </c>
      <c r="K5529" s="14"/>
      <c r="L5529" s="16"/>
      <c r="M5529" s="27" t="n">
        <f aca="false">J5529+(K5529/20)+(L5529/240)</f>
        <v>2000</v>
      </c>
      <c r="N5529" s="17" t="s">
        <v>64</v>
      </c>
      <c r="O5529" s="11" t="s">
        <v>98</v>
      </c>
      <c r="P5529" s="28"/>
      <c r="Q5529" s="28" t="n">
        <f aca="false">P5529*$M5529</f>
        <v>0</v>
      </c>
      <c r="R5529" s="28"/>
      <c r="S5529" s="28" t="n">
        <f aca="false">R5529*$M5529</f>
        <v>0</v>
      </c>
      <c r="T5529" s="28"/>
      <c r="U5529" s="28" t="n">
        <f aca="false">T5529*$M5529</f>
        <v>0</v>
      </c>
      <c r="V5529" s="28"/>
      <c r="W5529" s="28" t="n">
        <f aca="false">V5529*$M5529</f>
        <v>0</v>
      </c>
      <c r="X5529" s="28" t="n">
        <f aca="false">607/100</f>
        <v>6.07</v>
      </c>
      <c r="Y5529" s="28" t="n">
        <f aca="false">X5529*$M5529</f>
        <v>12140</v>
      </c>
      <c r="Z5529" s="28"/>
      <c r="AA5529" s="28" t="n">
        <f aca="false">Z5529*$M5529</f>
        <v>0</v>
      </c>
      <c r="AB5529" s="28"/>
      <c r="AC5529" s="28" t="n">
        <f aca="false">AB5529*$M5529</f>
        <v>0</v>
      </c>
      <c r="AD5529" s="28"/>
      <c r="AE5529" s="28" t="n">
        <f aca="false">AD5529*$M5529</f>
        <v>0</v>
      </c>
      <c r="AF5529" s="28"/>
      <c r="AG5529" s="28" t="n">
        <f aca="false">AF5529*$M5529</f>
        <v>0</v>
      </c>
      <c r="AH5529" s="28"/>
      <c r="AI5529" s="28" t="n">
        <f aca="false">AH5529*$M5529</f>
        <v>0</v>
      </c>
      <c r="AJ5529" s="28"/>
      <c r="AK5529" s="28" t="n">
        <f aca="false">AJ5529*$M5529</f>
        <v>0</v>
      </c>
      <c r="AL5529" s="28" t="n">
        <f aca="false">145/100</f>
        <v>1.45</v>
      </c>
      <c r="AM5529" s="28" t="n">
        <f aca="false">AL5529*$M5529</f>
        <v>2900</v>
      </c>
      <c r="AN5529" s="28" t="n">
        <f aca="false">3865/100</f>
        <v>38.65</v>
      </c>
      <c r="AO5529" s="28" t="n">
        <v>77300</v>
      </c>
      <c r="AP5529" s="28"/>
      <c r="AQ5529" s="28" t="n">
        <f aca="false">AP5529*$M5529</f>
        <v>0</v>
      </c>
      <c r="AR5529" s="28"/>
      <c r="AS5529" s="28" t="n">
        <f aca="false">AR5529*$M5529</f>
        <v>0</v>
      </c>
      <c r="AT5529" s="28"/>
      <c r="AU5529" s="28" t="n">
        <f aca="false">AT5529*$M5529</f>
        <v>0</v>
      </c>
      <c r="AV5529" s="28"/>
      <c r="AW5529" s="28" t="n">
        <f aca="false">AV5529*$M5529</f>
        <v>0</v>
      </c>
      <c r="AX5529" s="28"/>
      <c r="AY5529" s="28" t="n">
        <f aca="false">AX5529*$M5529</f>
        <v>0</v>
      </c>
      <c r="AZ5529" s="30" t="n">
        <f aca="false">4617/100</f>
        <v>46.17</v>
      </c>
      <c r="BA5529" s="11" t="n">
        <v>92340</v>
      </c>
      <c r="BB5529" s="31" t="n">
        <f aca="false">SUM(Q5529,S5529,U5529,W5529,Y5529,AA5529,AC5529,AE5529,AG5529,AI5529,AK5529,AM5529,AO5529,AQ5529,AS5529,AU5529,AW5529,AY5529)</f>
        <v>92340</v>
      </c>
      <c r="BC5529" s="28" t="n">
        <f aca="false">BA5529-BB5529</f>
        <v>0</v>
      </c>
      <c r="BD5529" s="32" t="n">
        <f aca="false">SUM(P5529,R5529,T5529,V5529,X5529,Z5529,AB5529,AD5529,AF5529,AH5529,AJ5529,AL5529,AN5529,AP5529,AR5529,AT5529,AV5529,AX5529)</f>
        <v>46.17</v>
      </c>
      <c r="BE5529" s="33" t="n">
        <f aca="false">AZ5529-BD5529</f>
        <v>0</v>
      </c>
      <c r="BF5529" s="34" t="n">
        <f aca="false">BD5529*M5529</f>
        <v>92340</v>
      </c>
      <c r="BG5529" s="35" t="n">
        <f aca="false">BA5529-BF5529</f>
        <v>0</v>
      </c>
      <c r="BH5529" s="19" t="str">
        <f aca="false">IF(BG5529=0,"",IF(BG5529&lt;&gt;BA5529,"erreur de calcul",IF(BD5529&lt;&gt;0,"pas de prix",IF(M5529&lt;&gt; 0,"pas de quantité","pas de prix, ni de quantité"))))</f>
        <v/>
      </c>
      <c r="BI5529" s="19"/>
    </row>
    <row r="5530" customFormat="false" ht="15" hidden="false" customHeight="false" outlineLevel="0" collapsed="false">
      <c r="A5530" s="0" t="n">
        <v>17</v>
      </c>
      <c r="B5530" s="8" t="s">
        <v>24</v>
      </c>
      <c r="C5530" s="9" t="s">
        <v>25</v>
      </c>
      <c r="D5530" s="9" t="s">
        <v>26</v>
      </c>
      <c r="E5530" s="10" t="n">
        <v>1789</v>
      </c>
      <c r="F5530" s="9" t="s">
        <v>27</v>
      </c>
      <c r="G5530" s="9" t="s">
        <v>27</v>
      </c>
      <c r="H5530" s="11" t="n">
        <v>25</v>
      </c>
      <c r="I5530" s="11" t="s">
        <v>345</v>
      </c>
      <c r="J5530" s="14"/>
      <c r="K5530" s="14" t="n">
        <v>12</v>
      </c>
      <c r="L5530" s="16"/>
      <c r="M5530" s="27" t="n">
        <f aca="false">J5530+(K5530/20)+(L5530/240)</f>
        <v>0.6</v>
      </c>
      <c r="N5530" s="17" t="s">
        <v>66</v>
      </c>
      <c r="O5530" s="11"/>
      <c r="P5530" s="28"/>
      <c r="Q5530" s="28" t="n">
        <f aca="false">P5530*$M5530</f>
        <v>0</v>
      </c>
      <c r="R5530" s="28"/>
      <c r="S5530" s="28" t="n">
        <f aca="false">R5530*$M5530</f>
        <v>0</v>
      </c>
      <c r="T5530" s="28"/>
      <c r="U5530" s="28" t="n">
        <f aca="false">T5530*$M5530</f>
        <v>0</v>
      </c>
      <c r="V5530" s="28"/>
      <c r="W5530" s="28" t="n">
        <f aca="false">V5530*$M5530</f>
        <v>0</v>
      </c>
      <c r="X5530" s="28"/>
      <c r="Y5530" s="28" t="n">
        <f aca="false">X5530*$M5530</f>
        <v>0</v>
      </c>
      <c r="Z5530" s="28"/>
      <c r="AA5530" s="28" t="n">
        <f aca="false">Z5530*$M5530</f>
        <v>0</v>
      </c>
      <c r="AB5530" s="28"/>
      <c r="AC5530" s="28" t="n">
        <f aca="false">AB5530*$M5530</f>
        <v>0</v>
      </c>
      <c r="AD5530" s="28"/>
      <c r="AE5530" s="28" t="n">
        <f aca="false">AD5530*$M5530</f>
        <v>0</v>
      </c>
      <c r="AF5530" s="28"/>
      <c r="AG5530" s="28" t="n">
        <f aca="false">AF5530*$M5530</f>
        <v>0</v>
      </c>
      <c r="AH5530" s="28"/>
      <c r="AI5530" s="28" t="n">
        <f aca="false">AH5530*$M5530</f>
        <v>0</v>
      </c>
      <c r="AJ5530" s="28" t="n">
        <v>41194</v>
      </c>
      <c r="AK5530" s="28" t="n">
        <v>24716</v>
      </c>
      <c r="AL5530" s="28"/>
      <c r="AM5530" s="28" t="n">
        <f aca="false">AL5530*$M5530</f>
        <v>0</v>
      </c>
      <c r="AN5530" s="28"/>
      <c r="AO5530" s="28" t="n">
        <f aca="false">AN5530*$M5530</f>
        <v>0</v>
      </c>
      <c r="AP5530" s="28"/>
      <c r="AQ5530" s="28" t="n">
        <f aca="false">AP5530*$M5530</f>
        <v>0</v>
      </c>
      <c r="AR5530" s="28"/>
      <c r="AS5530" s="28" t="n">
        <f aca="false">AR5530*$M5530</f>
        <v>0</v>
      </c>
      <c r="AT5530" s="28"/>
      <c r="AU5530" s="28" t="n">
        <f aca="false">AT5530*$M5530</f>
        <v>0</v>
      </c>
      <c r="AV5530" s="28"/>
      <c r="AW5530" s="28" t="n">
        <f aca="false">AV5530*$M5530</f>
        <v>0</v>
      </c>
      <c r="AX5530" s="28"/>
      <c r="AY5530" s="28" t="n">
        <f aca="false">AX5530*$M5530</f>
        <v>0</v>
      </c>
      <c r="AZ5530" s="30" t="n">
        <v>41194</v>
      </c>
      <c r="BA5530" s="11" t="n">
        <v>24716</v>
      </c>
      <c r="BB5530" s="31" t="n">
        <f aca="false">SUM(Q5530,S5530,U5530,W5530,Y5530,AA5530,AC5530,AE5530,AG5530,AI5530,AK5530,AM5530,AO5530,AQ5530,AS5530,AU5530,AW5530,AY5530)</f>
        <v>24716</v>
      </c>
      <c r="BC5530" s="28" t="n">
        <f aca="false">BA5530-BB5530</f>
        <v>0</v>
      </c>
      <c r="BD5530" s="32" t="n">
        <f aca="false">SUM(P5530,R5530,T5530,V5530,X5530,Z5530,AB5530,AD5530,AF5530,AH5530,AJ5530,AL5530,AN5530,AP5530,AR5530,AT5530,AV5530,AX5530)</f>
        <v>41194</v>
      </c>
      <c r="BE5530" s="33" t="n">
        <f aca="false">AZ5530-BD5530</f>
        <v>0</v>
      </c>
      <c r="BF5530" s="34" t="n">
        <f aca="false">BD5530*M5530</f>
        <v>24716.4</v>
      </c>
      <c r="BG5530" s="35" t="n">
        <f aca="false">BA5530-BF5530</f>
        <v>-0.399999999997817</v>
      </c>
      <c r="BH5530" s="19" t="str">
        <f aca="false">IF(BG5530=0,"",IF(BG5530&lt;&gt;BA5530,"erreur de calcul",IF(BD5530&lt;&gt;0,"pas de prix",IF(M5530&lt;&gt; 0,"pas de quantité","pas de prix, ni de quantité"))))</f>
        <v>erreur de calcul</v>
      </c>
      <c r="BI5530" s="19"/>
    </row>
    <row r="5531" customFormat="false" ht="15" hidden="false" customHeight="false" outlineLevel="0" collapsed="false">
      <c r="A5531" s="0" t="n">
        <v>18</v>
      </c>
      <c r="B5531" s="8" t="s">
        <v>24</v>
      </c>
      <c r="C5531" s="9" t="s">
        <v>25</v>
      </c>
      <c r="D5531" s="9" t="s">
        <v>26</v>
      </c>
      <c r="E5531" s="10" t="n">
        <v>1789</v>
      </c>
      <c r="F5531" s="9" t="s">
        <v>27</v>
      </c>
      <c r="G5531" s="9" t="s">
        <v>27</v>
      </c>
      <c r="H5531" s="11" t="n">
        <v>25</v>
      </c>
      <c r="I5531" s="11" t="s">
        <v>346</v>
      </c>
      <c r="J5531" s="14"/>
      <c r="K5531" s="14" t="n">
        <v>50</v>
      </c>
      <c r="L5531" s="16"/>
      <c r="M5531" s="27" t="n">
        <f aca="false">J5531+(K5531/20)+(L5531/240)</f>
        <v>2.5</v>
      </c>
      <c r="N5531" s="17" t="s">
        <v>85</v>
      </c>
      <c r="O5531" s="11"/>
      <c r="P5531" s="28" t="n">
        <f aca="false">371167/100</f>
        <v>3711.67</v>
      </c>
      <c r="Q5531" s="28" t="n">
        <v>9279</v>
      </c>
      <c r="R5531" s="28"/>
      <c r="S5531" s="28" t="n">
        <f aca="false">R5531*$M5531</f>
        <v>0</v>
      </c>
      <c r="T5531" s="28"/>
      <c r="U5531" s="28" t="n">
        <f aca="false">T5531*$M5531</f>
        <v>0</v>
      </c>
      <c r="V5531" s="28"/>
      <c r="W5531" s="28" t="n">
        <f aca="false">V5531*$M5531</f>
        <v>0</v>
      </c>
      <c r="X5531" s="28"/>
      <c r="Y5531" s="28" t="n">
        <f aca="false">X5531*$M5531</f>
        <v>0</v>
      </c>
      <c r="Z5531" s="28"/>
      <c r="AA5531" s="28" t="n">
        <f aca="false">Z5531*$M5531</f>
        <v>0</v>
      </c>
      <c r="AB5531" s="28"/>
      <c r="AC5531" s="28" t="n">
        <f aca="false">AB5531*$M5531</f>
        <v>0</v>
      </c>
      <c r="AD5531" s="28"/>
      <c r="AE5531" s="28" t="n">
        <f aca="false">AD5531*$M5531</f>
        <v>0</v>
      </c>
      <c r="AF5531" s="28"/>
      <c r="AG5531" s="28" t="n">
        <f aca="false">AF5531*$M5531</f>
        <v>0</v>
      </c>
      <c r="AH5531" s="28"/>
      <c r="AI5531" s="28" t="n">
        <f aca="false">AH5531*$M5531</f>
        <v>0</v>
      </c>
      <c r="AJ5531" s="28"/>
      <c r="AK5531" s="28" t="n">
        <f aca="false">AJ5531*$M5531</f>
        <v>0</v>
      </c>
      <c r="AL5531" s="28"/>
      <c r="AM5531" s="28" t="n">
        <f aca="false">AL5531*$M5531</f>
        <v>0</v>
      </c>
      <c r="AN5531" s="28"/>
      <c r="AO5531" s="28" t="n">
        <f aca="false">AN5531*$M5531</f>
        <v>0</v>
      </c>
      <c r="AP5531" s="28"/>
      <c r="AQ5531" s="28" t="n">
        <f aca="false">AP5531*$M5531</f>
        <v>0</v>
      </c>
      <c r="AR5531" s="28"/>
      <c r="AS5531" s="28" t="n">
        <f aca="false">AR5531*$M5531</f>
        <v>0</v>
      </c>
      <c r="AT5531" s="28"/>
      <c r="AU5531" s="28" t="n">
        <f aca="false">AT5531*$M5531</f>
        <v>0</v>
      </c>
      <c r="AV5531" s="28"/>
      <c r="AW5531" s="28" t="n">
        <f aca="false">AV5531*$M5531</f>
        <v>0</v>
      </c>
      <c r="AX5531" s="28"/>
      <c r="AY5531" s="28" t="n">
        <f aca="false">AX5531*$M5531</f>
        <v>0</v>
      </c>
      <c r="AZ5531" s="30" t="n">
        <f aca="false">371167/100</f>
        <v>3711.67</v>
      </c>
      <c r="BA5531" s="11" t="n">
        <v>9279</v>
      </c>
      <c r="BB5531" s="31" t="n">
        <f aca="false">SUM(Q5531,S5531,U5531,W5531,Y5531,AA5531,AC5531,AE5531,AG5531,AI5531,AK5531,AM5531,AO5531,AQ5531,AS5531,AU5531,AW5531,AY5531)</f>
        <v>9279</v>
      </c>
      <c r="BC5531" s="28" t="n">
        <f aca="false">BA5531-BB5531</f>
        <v>0</v>
      </c>
      <c r="BD5531" s="32" t="n">
        <f aca="false">SUM(P5531,R5531,T5531,V5531,X5531,Z5531,AB5531,AD5531,AF5531,AH5531,AJ5531,AL5531,AN5531,AP5531,AR5531,AT5531,AV5531,AX5531)</f>
        <v>3711.67</v>
      </c>
      <c r="BE5531" s="33" t="n">
        <f aca="false">AZ5531-BD5531</f>
        <v>0</v>
      </c>
      <c r="BF5531" s="34" t="n">
        <f aca="false">BD5531*M5531</f>
        <v>9279.175</v>
      </c>
      <c r="BG5531" s="35" t="n">
        <f aca="false">BA5531-BF5531</f>
        <v>-0.174999999999272</v>
      </c>
      <c r="BH5531" s="19" t="str">
        <f aca="false">IF(BG5531=0,"",IF(BG5531&lt;&gt;BA5531,"erreur de calcul",IF(BD5531&lt;&gt;0,"pas de prix",IF(M5531&lt;&gt; 0,"pas de quantité","pas de prix, ni de quantité"))))</f>
        <v>erreur de calcul</v>
      </c>
      <c r="BI5531" s="19"/>
    </row>
    <row r="5532" customFormat="false" ht="16.65" hidden="false" customHeight="false" outlineLevel="0" collapsed="false">
      <c r="A5532" s="0" t="n">
        <v>19</v>
      </c>
      <c r="B5532" s="8" t="s">
        <v>24</v>
      </c>
      <c r="C5532" s="9" t="s">
        <v>25</v>
      </c>
      <c r="D5532" s="9" t="s">
        <v>26</v>
      </c>
      <c r="E5532" s="10" t="n">
        <v>1789</v>
      </c>
      <c r="F5532" s="9" t="s">
        <v>27</v>
      </c>
      <c r="G5532" s="9" t="s">
        <v>27</v>
      </c>
      <c r="H5532" s="11" t="n">
        <v>25</v>
      </c>
      <c r="I5532" s="11" t="s">
        <v>347</v>
      </c>
      <c r="J5532" s="14" t="n">
        <v>60</v>
      </c>
      <c r="K5532" s="14"/>
      <c r="L5532" s="16"/>
      <c r="M5532" s="27" t="n">
        <f aca="false">J5532+(K5532/20)+(L5532/240)</f>
        <v>60</v>
      </c>
      <c r="N5532" s="17" t="s">
        <v>64</v>
      </c>
      <c r="O5532" s="11"/>
      <c r="P5532" s="28"/>
      <c r="Q5532" s="28" t="n">
        <f aca="false">P5532*$M5532</f>
        <v>0</v>
      </c>
      <c r="R5532" s="28"/>
      <c r="S5532" s="28" t="n">
        <f aca="false">R5532*$M5532</f>
        <v>0</v>
      </c>
      <c r="T5532" s="28"/>
      <c r="U5532" s="28" t="n">
        <f aca="false">T5532*$M5532</f>
        <v>0</v>
      </c>
      <c r="V5532" s="28" t="n">
        <f aca="false">4151/100</f>
        <v>41.51</v>
      </c>
      <c r="W5532" s="28" t="n">
        <v>2491</v>
      </c>
      <c r="X5532" s="28" t="n">
        <f aca="false">13344/100</f>
        <v>133.44</v>
      </c>
      <c r="Y5532" s="28" t="n">
        <v>8006</v>
      </c>
      <c r="Z5532" s="28" t="n">
        <f aca="false">3323/100</f>
        <v>33.23</v>
      </c>
      <c r="AA5532" s="28" t="n">
        <v>1994</v>
      </c>
      <c r="AB5532" s="28"/>
      <c r="AC5532" s="28" t="n">
        <f aca="false">AB5532*$M5532</f>
        <v>0</v>
      </c>
      <c r="AD5532" s="28" t="n">
        <f aca="false">15268/100</f>
        <v>152.68</v>
      </c>
      <c r="AE5532" s="28" t="n">
        <v>9161</v>
      </c>
      <c r="AF5532" s="28"/>
      <c r="AG5532" s="28" t="n">
        <f aca="false">AF5532*$M5532</f>
        <v>0</v>
      </c>
      <c r="AH5532" s="28"/>
      <c r="AI5532" s="28" t="n">
        <f aca="false">AH5532*$M5532</f>
        <v>0</v>
      </c>
      <c r="AJ5532" s="28"/>
      <c r="AK5532" s="28" t="n">
        <f aca="false">AJ5532*$M5532</f>
        <v>0</v>
      </c>
      <c r="AL5532" s="28"/>
      <c r="AM5532" s="28" t="n">
        <f aca="false">AL5532*$M5532</f>
        <v>0</v>
      </c>
      <c r="AN5532" s="28"/>
      <c r="AO5532" s="28" t="n">
        <f aca="false">AN5532*$M5532</f>
        <v>0</v>
      </c>
      <c r="AP5532" s="28"/>
      <c r="AQ5532" s="28" t="n">
        <f aca="false">AP5532*$M5532</f>
        <v>0</v>
      </c>
      <c r="AR5532" s="28"/>
      <c r="AS5532" s="28" t="n">
        <f aca="false">AR5532*$M5532</f>
        <v>0</v>
      </c>
      <c r="AT5532" s="28"/>
      <c r="AU5532" s="28" t="n">
        <f aca="false">AT5532*$M5532</f>
        <v>0</v>
      </c>
      <c r="AV5532" s="28"/>
      <c r="AW5532" s="28" t="n">
        <f aca="false">AV5532*$M5532</f>
        <v>0</v>
      </c>
      <c r="AX5532" s="28"/>
      <c r="AY5532" s="28" t="n">
        <f aca="false">AX5532*$M5532</f>
        <v>0</v>
      </c>
      <c r="AZ5532" s="30" t="n">
        <f aca="false">32763/100</f>
        <v>327.63</v>
      </c>
      <c r="BA5532" s="11" t="n">
        <v>21652</v>
      </c>
      <c r="BB5532" s="31" t="n">
        <f aca="false">SUM(Q5532,S5532,U5532,W5532,Y5532,AA5532,AC5532,AE5532,AG5532,AI5532,AK5532,AM5532,AO5532,AQ5532,AS5532,AU5532,AW5532,AY5532)</f>
        <v>21652</v>
      </c>
      <c r="BC5532" s="28" t="n">
        <f aca="false">BA5532-BB5532</f>
        <v>0</v>
      </c>
      <c r="BD5532" s="32" t="n">
        <f aca="false">SUM(P5532,R5532,T5532,V5532,X5532,Z5532,AB5532,AD5532,AF5532,AH5532,AJ5532,AL5532,AN5532,AP5532,AR5532,AT5532,AV5532,AX5532)</f>
        <v>360.86</v>
      </c>
      <c r="BE5532" s="33" t="n">
        <f aca="false">AZ5532-BD5532</f>
        <v>-33.23</v>
      </c>
      <c r="BF5532" s="34" t="n">
        <f aca="false">BD5532*M5532</f>
        <v>21651.6</v>
      </c>
      <c r="BG5532" s="35" t="n">
        <f aca="false">BA5532-BF5532</f>
        <v>0.399999999997817</v>
      </c>
      <c r="BH5532" s="19" t="str">
        <f aca="false">IF(BG5532=0,"",IF(BG5532&lt;&gt;BA5532,"erreur de calcul",IF(BD5532&lt;&gt;0,"pas de prix",IF(M5532&lt;&gt; 0,"pas de quantité","pas de prix, ni de quantité"))))</f>
        <v>erreur de calcul</v>
      </c>
      <c r="BI5532" s="19"/>
    </row>
    <row r="5533" customFormat="false" ht="15" hidden="false" customHeight="false" outlineLevel="0" collapsed="false">
      <c r="A5533" s="0" t="n">
        <v>20</v>
      </c>
      <c r="B5533" s="8" t="s">
        <v>24</v>
      </c>
      <c r="C5533" s="9" t="s">
        <v>25</v>
      </c>
      <c r="D5533" s="9" t="s">
        <v>26</v>
      </c>
      <c r="E5533" s="10" t="n">
        <v>1789</v>
      </c>
      <c r="F5533" s="9" t="s">
        <v>27</v>
      </c>
      <c r="G5533" s="9" t="s">
        <v>27</v>
      </c>
      <c r="H5533" s="11" t="n">
        <v>25</v>
      </c>
      <c r="I5533" s="11" t="s">
        <v>348</v>
      </c>
      <c r="J5533" s="14" t="n">
        <v>9</v>
      </c>
      <c r="K5533" s="14"/>
      <c r="L5533" s="16"/>
      <c r="M5533" s="27" t="n">
        <f aca="false">J5533+(K5533/20)+(L5533/240)</f>
        <v>9</v>
      </c>
      <c r="N5533" s="17" t="s">
        <v>349</v>
      </c>
      <c r="O5533" s="11"/>
      <c r="P5533" s="28"/>
      <c r="Q5533" s="28" t="n">
        <f aca="false">P5533*$M5533</f>
        <v>0</v>
      </c>
      <c r="R5533" s="28"/>
      <c r="S5533" s="28" t="n">
        <f aca="false">R5533*$M5533</f>
        <v>0</v>
      </c>
      <c r="T5533" s="28"/>
      <c r="U5533" s="28" t="n">
        <f aca="false">T5533*$M5533</f>
        <v>0</v>
      </c>
      <c r="V5533" s="28" t="n">
        <v>545</v>
      </c>
      <c r="W5533" s="28" t="n">
        <v>4905</v>
      </c>
      <c r="X5533" s="28"/>
      <c r="Y5533" s="28" t="n">
        <f aca="false">X5533*$M5533</f>
        <v>0</v>
      </c>
      <c r="Z5533" s="28"/>
      <c r="AA5533" s="28" t="n">
        <f aca="false">Z5533*$M5533</f>
        <v>0</v>
      </c>
      <c r="AB5533" s="28"/>
      <c r="AC5533" s="28" t="n">
        <f aca="false">AB5533*$M5533</f>
        <v>0</v>
      </c>
      <c r="AD5533" s="28"/>
      <c r="AE5533" s="28" t="n">
        <f aca="false">AD5533*$M5533</f>
        <v>0</v>
      </c>
      <c r="AF5533" s="28"/>
      <c r="AG5533" s="28" t="n">
        <f aca="false">AF5533*$M5533</f>
        <v>0</v>
      </c>
      <c r="AH5533" s="28"/>
      <c r="AI5533" s="28" t="n">
        <f aca="false">AH5533*$M5533</f>
        <v>0</v>
      </c>
      <c r="AJ5533" s="28" t="n">
        <v>592</v>
      </c>
      <c r="AK5533" s="28" t="n">
        <v>5328</v>
      </c>
      <c r="AL5533" s="28"/>
      <c r="AM5533" s="28" t="n">
        <f aca="false">AL5533*$M5533</f>
        <v>0</v>
      </c>
      <c r="AN5533" s="28"/>
      <c r="AO5533" s="28" t="n">
        <f aca="false">AN5533*$M5533</f>
        <v>0</v>
      </c>
      <c r="AP5533" s="28"/>
      <c r="AQ5533" s="28" t="n">
        <f aca="false">AP5533*$M5533</f>
        <v>0</v>
      </c>
      <c r="AR5533" s="28"/>
      <c r="AS5533" s="28" t="n">
        <f aca="false">AR5533*$M5533</f>
        <v>0</v>
      </c>
      <c r="AT5533" s="28"/>
      <c r="AU5533" s="28" t="n">
        <f aca="false">AT5533*$M5533</f>
        <v>0</v>
      </c>
      <c r="AV5533" s="28"/>
      <c r="AW5533" s="28" t="n">
        <f aca="false">AV5533*$M5533</f>
        <v>0</v>
      </c>
      <c r="AX5533" s="28"/>
      <c r="AY5533" s="28" t="n">
        <f aca="false">AX5533*$M5533</f>
        <v>0</v>
      </c>
      <c r="AZ5533" s="30" t="n">
        <v>1137</v>
      </c>
      <c r="BA5533" s="11" t="n">
        <v>10233</v>
      </c>
      <c r="BB5533" s="31" t="n">
        <f aca="false">SUM(Q5533,S5533,U5533,W5533,Y5533,AA5533,AC5533,AE5533,AG5533,AI5533,AK5533,AM5533,AO5533,AQ5533,AS5533,AU5533,AW5533,AY5533)</f>
        <v>10233</v>
      </c>
      <c r="BC5533" s="28" t="n">
        <f aca="false">BA5533-BB5533</f>
        <v>0</v>
      </c>
      <c r="BD5533" s="32" t="n">
        <f aca="false">SUM(P5533,R5533,T5533,V5533,X5533,Z5533,AB5533,AD5533,AF5533,AH5533,AJ5533,AL5533,AN5533,AP5533,AR5533,AT5533,AV5533,AX5533)</f>
        <v>1137</v>
      </c>
      <c r="BE5533" s="33" t="n">
        <f aca="false">AZ5533-BD5533</f>
        <v>0</v>
      </c>
      <c r="BF5533" s="34" t="n">
        <f aca="false">BD5533*M5533</f>
        <v>10233</v>
      </c>
      <c r="BG5533" s="35" t="n">
        <f aca="false">BA5533-BF5533</f>
        <v>0</v>
      </c>
      <c r="BH5533" s="19" t="str">
        <f aca="false">IF(BG5533=0,"",IF(BG5533&lt;&gt;BA5533,"erreur de calcul",IF(BD5533&lt;&gt;0,"pas de prix",IF(M5533&lt;&gt; 0,"pas de quantité","pas de prix, ni de quantité"))))</f>
        <v/>
      </c>
      <c r="BI5533" s="19"/>
    </row>
    <row r="5534" customFormat="false" ht="15" hidden="false" customHeight="false" outlineLevel="0" collapsed="false">
      <c r="A5534" s="0" t="n">
        <v>21</v>
      </c>
      <c r="B5534" s="8" t="s">
        <v>24</v>
      </c>
      <c r="C5534" s="9" t="s">
        <v>25</v>
      </c>
      <c r="D5534" s="9" t="s">
        <v>26</v>
      </c>
      <c r="E5534" s="10" t="n">
        <v>1789</v>
      </c>
      <c r="F5534" s="9" t="s">
        <v>27</v>
      </c>
      <c r="G5534" s="9" t="s">
        <v>27</v>
      </c>
      <c r="H5534" s="11" t="n">
        <v>25</v>
      </c>
      <c r="I5534" s="11" t="s">
        <v>350</v>
      </c>
      <c r="J5534" s="14"/>
      <c r="K5534" s="14" t="n">
        <v>40</v>
      </c>
      <c r="L5534" s="16"/>
      <c r="M5534" s="27" t="n">
        <f aca="false">J5534+(K5534/20)+(L5534/240)</f>
        <v>2</v>
      </c>
      <c r="N5534" s="17" t="s">
        <v>349</v>
      </c>
      <c r="O5534" s="11"/>
      <c r="P5534" s="28"/>
      <c r="Q5534" s="28" t="n">
        <f aca="false">P5534*$M5534</f>
        <v>0</v>
      </c>
      <c r="R5534" s="28"/>
      <c r="S5534" s="28" t="n">
        <f aca="false">R5534*$M5534</f>
        <v>0</v>
      </c>
      <c r="T5534" s="28"/>
      <c r="U5534" s="28" t="n">
        <f aca="false">T5534*$M5534</f>
        <v>0</v>
      </c>
      <c r="V5534" s="28" t="n">
        <v>2688</v>
      </c>
      <c r="W5534" s="28" t="n">
        <v>5376</v>
      </c>
      <c r="X5534" s="28" t="n">
        <v>775</v>
      </c>
      <c r="Y5534" s="28" t="n">
        <v>1550</v>
      </c>
      <c r="Z5534" s="28"/>
      <c r="AA5534" s="28" t="n">
        <f aca="false">Z5534*$M5534</f>
        <v>0</v>
      </c>
      <c r="AB5534" s="28"/>
      <c r="AC5534" s="28" t="n">
        <f aca="false">AB5534*$M5534</f>
        <v>0</v>
      </c>
      <c r="AD5534" s="28"/>
      <c r="AE5534" s="28" t="n">
        <f aca="false">AD5534*$M5534</f>
        <v>0</v>
      </c>
      <c r="AF5534" s="28"/>
      <c r="AG5534" s="28" t="n">
        <f aca="false">AF5534*$M5534</f>
        <v>0</v>
      </c>
      <c r="AH5534" s="28"/>
      <c r="AI5534" s="28" t="n">
        <f aca="false">AH5534*$M5534</f>
        <v>0</v>
      </c>
      <c r="AJ5534" s="28"/>
      <c r="AK5534" s="28" t="n">
        <f aca="false">AJ5534*$M5534</f>
        <v>0</v>
      </c>
      <c r="AL5534" s="28"/>
      <c r="AM5534" s="28" t="n">
        <f aca="false">AL5534*$M5534</f>
        <v>0</v>
      </c>
      <c r="AN5534" s="28"/>
      <c r="AO5534" s="28" t="n">
        <f aca="false">AN5534*$M5534</f>
        <v>0</v>
      </c>
      <c r="AP5534" s="28"/>
      <c r="AQ5534" s="28" t="n">
        <f aca="false">AP5534*$M5534</f>
        <v>0</v>
      </c>
      <c r="AR5534" s="28"/>
      <c r="AS5534" s="28" t="n">
        <f aca="false">AR5534*$M5534</f>
        <v>0</v>
      </c>
      <c r="AT5534" s="28"/>
      <c r="AU5534" s="28" t="n">
        <f aca="false">AT5534*$M5534</f>
        <v>0</v>
      </c>
      <c r="AV5534" s="28"/>
      <c r="AW5534" s="28" t="n">
        <f aca="false">AV5534*$M5534</f>
        <v>0</v>
      </c>
      <c r="AX5534" s="28"/>
      <c r="AY5534" s="28" t="n">
        <f aca="false">AX5534*$M5534</f>
        <v>0</v>
      </c>
      <c r="AZ5534" s="30" t="n">
        <v>3463</v>
      </c>
      <c r="BA5534" s="11" t="n">
        <v>6926</v>
      </c>
      <c r="BB5534" s="31" t="n">
        <f aca="false">SUM(Q5534,S5534,U5534,W5534,Y5534,AA5534,AC5534,AE5534,AG5534,AI5534,AK5534,AM5534,AO5534,AQ5534,AS5534,AU5534,AW5534,AY5534)</f>
        <v>6926</v>
      </c>
      <c r="BC5534" s="28" t="n">
        <f aca="false">BA5534-BB5534</f>
        <v>0</v>
      </c>
      <c r="BD5534" s="32" t="n">
        <f aca="false">SUM(P5534,R5534,T5534,V5534,X5534,Z5534,AB5534,AD5534,AF5534,AH5534,AJ5534,AL5534,AN5534,AP5534,AR5534,AT5534,AV5534,AX5534)</f>
        <v>3463</v>
      </c>
      <c r="BE5534" s="33" t="n">
        <f aca="false">AZ5534-BD5534</f>
        <v>0</v>
      </c>
      <c r="BF5534" s="34" t="n">
        <f aca="false">BD5534*M5534</f>
        <v>6926</v>
      </c>
      <c r="BG5534" s="35" t="n">
        <f aca="false">BA5534-BF5534</f>
        <v>0</v>
      </c>
      <c r="BH5534" s="19" t="str">
        <f aca="false">IF(BG5534=0,"",IF(BG5534&lt;&gt;BA5534,"erreur de calcul",IF(BD5534&lt;&gt;0,"pas de prix",IF(M5534&lt;&gt; 0,"pas de quantité","pas de prix, ni de quantité"))))</f>
        <v/>
      </c>
      <c r="BI5534" s="19"/>
    </row>
    <row r="5535" customFormat="false" ht="15" hidden="false" customHeight="false" outlineLevel="0" collapsed="false">
      <c r="A5535" s="0" t="n">
        <v>22</v>
      </c>
      <c r="B5535" s="8" t="s">
        <v>24</v>
      </c>
      <c r="C5535" s="9" t="s">
        <v>25</v>
      </c>
      <c r="D5535" s="9" t="s">
        <v>26</v>
      </c>
      <c r="E5535" s="10" t="n">
        <v>1789</v>
      </c>
      <c r="F5535" s="9" t="s">
        <v>27</v>
      </c>
      <c r="G5535" s="9" t="s">
        <v>27</v>
      </c>
      <c r="H5535" s="11" t="n">
        <v>25</v>
      </c>
      <c r="I5535" s="11" t="s">
        <v>351</v>
      </c>
      <c r="J5535" s="14" t="n">
        <v>60</v>
      </c>
      <c r="K5535" s="14"/>
      <c r="L5535" s="16"/>
      <c r="M5535" s="27" t="n">
        <f aca="false">J5535+(K5535/20)+(L5535/240)</f>
        <v>60</v>
      </c>
      <c r="N5535" s="17" t="s">
        <v>69</v>
      </c>
      <c r="O5535" s="11"/>
      <c r="P5535" s="28"/>
      <c r="Q5535" s="28" t="n">
        <f aca="false">P5535*$M5535</f>
        <v>0</v>
      </c>
      <c r="R5535" s="28"/>
      <c r="S5535" s="28" t="n">
        <f aca="false">R5535*$M5535</f>
        <v>0</v>
      </c>
      <c r="T5535" s="28" t="n">
        <v>20</v>
      </c>
      <c r="U5535" s="28" t="n">
        <v>1200</v>
      </c>
      <c r="V5535" s="28" t="n">
        <v>82</v>
      </c>
      <c r="W5535" s="28" t="n">
        <v>4920</v>
      </c>
      <c r="X5535" s="28"/>
      <c r="Y5535" s="28" t="n">
        <f aca="false">X5535*$M5535</f>
        <v>0</v>
      </c>
      <c r="Z5535" s="28"/>
      <c r="AA5535" s="28" t="n">
        <f aca="false">Z5535*$M5535</f>
        <v>0</v>
      </c>
      <c r="AB5535" s="28"/>
      <c r="AC5535" s="28" t="n">
        <f aca="false">AB5535*$M5535</f>
        <v>0</v>
      </c>
      <c r="AD5535" s="28"/>
      <c r="AE5535" s="28" t="n">
        <f aca="false">AD5535*$M5535</f>
        <v>0</v>
      </c>
      <c r="AF5535" s="28"/>
      <c r="AG5535" s="28" t="n">
        <f aca="false">AF5535*$M5535</f>
        <v>0</v>
      </c>
      <c r="AH5535" s="28"/>
      <c r="AI5535" s="28" t="n">
        <f aca="false">AH5535*$M5535</f>
        <v>0</v>
      </c>
      <c r="AJ5535" s="28"/>
      <c r="AK5535" s="28" t="n">
        <f aca="false">AJ5535*$M5535</f>
        <v>0</v>
      </c>
      <c r="AL5535" s="28"/>
      <c r="AM5535" s="28" t="n">
        <f aca="false">AL5535*$M5535</f>
        <v>0</v>
      </c>
      <c r="AN5535" s="28"/>
      <c r="AO5535" s="28" t="n">
        <f aca="false">AN5535*$M5535</f>
        <v>0</v>
      </c>
      <c r="AP5535" s="28"/>
      <c r="AQ5535" s="28" t="n">
        <f aca="false">AP5535*$M5535</f>
        <v>0</v>
      </c>
      <c r="AR5535" s="28"/>
      <c r="AS5535" s="28" t="n">
        <f aca="false">AR5535*$M5535</f>
        <v>0</v>
      </c>
      <c r="AT5535" s="28"/>
      <c r="AU5535" s="28" t="n">
        <f aca="false">AT5535*$M5535</f>
        <v>0</v>
      </c>
      <c r="AV5535" s="28"/>
      <c r="AW5535" s="28" t="n">
        <f aca="false">AV5535*$M5535</f>
        <v>0</v>
      </c>
      <c r="AX5535" s="28"/>
      <c r="AY5535" s="28" t="n">
        <f aca="false">AX5535*$M5535</f>
        <v>0</v>
      </c>
      <c r="AZ5535" s="30" t="n">
        <v>102</v>
      </c>
      <c r="BA5535" s="11" t="n">
        <v>6120</v>
      </c>
      <c r="BB5535" s="31" t="n">
        <f aca="false">SUM(Q5535,S5535,U5535,W5535,Y5535,AA5535,AC5535,AE5535,AG5535,AI5535,AK5535,AM5535,AO5535,AQ5535,AS5535,AU5535,AW5535,AY5535)</f>
        <v>6120</v>
      </c>
      <c r="BC5535" s="28" t="n">
        <f aca="false">BA5535-BB5535</f>
        <v>0</v>
      </c>
      <c r="BD5535" s="32" t="n">
        <f aca="false">SUM(P5535,R5535,T5535,V5535,X5535,Z5535,AB5535,AD5535,AF5535,AH5535,AJ5535,AL5535,AN5535,AP5535,AR5535,AT5535,AV5535,AX5535)</f>
        <v>102</v>
      </c>
      <c r="BE5535" s="33" t="n">
        <f aca="false">AZ5535-BD5535</f>
        <v>0</v>
      </c>
      <c r="BF5535" s="34" t="n">
        <f aca="false">BD5535*M5535</f>
        <v>6120</v>
      </c>
      <c r="BG5535" s="35" t="n">
        <f aca="false">BA5535-BF5535</f>
        <v>0</v>
      </c>
      <c r="BH5535" s="19" t="str">
        <f aca="false">IF(BG5535=0,"",IF(BG5535&lt;&gt;BA5535,"erreur de calcul",IF(BD5535&lt;&gt;0,"pas de prix",IF(M5535&lt;&gt; 0,"pas de quantité","pas de prix, ni de quantité"))))</f>
        <v/>
      </c>
      <c r="BI5535" s="19"/>
    </row>
    <row r="5536" customFormat="false" ht="15" hidden="false" customHeight="false" outlineLevel="0" collapsed="false">
      <c r="A5536" s="0" t="n">
        <v>23</v>
      </c>
      <c r="B5536" s="8" t="s">
        <v>24</v>
      </c>
      <c r="C5536" s="9" t="s">
        <v>25</v>
      </c>
      <c r="D5536" s="9" t="s">
        <v>26</v>
      </c>
      <c r="E5536" s="10" t="n">
        <v>1789</v>
      </c>
      <c r="F5536" s="9" t="s">
        <v>27</v>
      </c>
      <c r="G5536" s="9" t="s">
        <v>27</v>
      </c>
      <c r="H5536" s="11" t="n">
        <v>25</v>
      </c>
      <c r="I5536" s="11" t="s">
        <v>352</v>
      </c>
      <c r="J5536" s="14" t="n">
        <v>150</v>
      </c>
      <c r="K5536" s="14"/>
      <c r="L5536" s="16"/>
      <c r="M5536" s="27" t="n">
        <f aca="false">J5536+(K5536/20)+(L5536/240)</f>
        <v>150</v>
      </c>
      <c r="N5536" s="17" t="s">
        <v>64</v>
      </c>
      <c r="O5536" s="11"/>
      <c r="P5536" s="28" t="n">
        <f aca="false">274/100</f>
        <v>2.74</v>
      </c>
      <c r="Q5536" s="28" t="n">
        <v>411</v>
      </c>
      <c r="R5536" s="28"/>
      <c r="S5536" s="28" t="n">
        <f aca="false">R5536*$M5536</f>
        <v>0</v>
      </c>
      <c r="T5536" s="28" t="n">
        <f aca="false">3042/100</f>
        <v>30.42</v>
      </c>
      <c r="U5536" s="28" t="n">
        <v>4563</v>
      </c>
      <c r="V5536" s="28"/>
      <c r="W5536" s="28" t="n">
        <f aca="false">V5536*$M5536</f>
        <v>0</v>
      </c>
      <c r="X5536" s="28"/>
      <c r="Y5536" s="28" t="n">
        <f aca="false">X5536*$M5536</f>
        <v>0</v>
      </c>
      <c r="Z5536" s="28"/>
      <c r="AA5536" s="28" t="n">
        <f aca="false">Z5536*$M5536</f>
        <v>0</v>
      </c>
      <c r="AB5536" s="28" t="n">
        <f aca="false">92/100</f>
        <v>0.92</v>
      </c>
      <c r="AC5536" s="28" t="n">
        <v>138</v>
      </c>
      <c r="AD5536" s="28"/>
      <c r="AE5536" s="28" t="n">
        <f aca="false">AD5536*$M5536</f>
        <v>0</v>
      </c>
      <c r="AF5536" s="28"/>
      <c r="AG5536" s="28" t="n">
        <f aca="false">AF5536*$M5536</f>
        <v>0</v>
      </c>
      <c r="AH5536" s="28"/>
      <c r="AI5536" s="28" t="n">
        <f aca="false">AH5536*$M5536</f>
        <v>0</v>
      </c>
      <c r="AJ5536" s="28"/>
      <c r="AK5536" s="28" t="n">
        <f aca="false">AJ5536*$M5536</f>
        <v>0</v>
      </c>
      <c r="AL5536" s="28"/>
      <c r="AM5536" s="28" t="n">
        <f aca="false">AL5536*$M5536</f>
        <v>0</v>
      </c>
      <c r="AN5536" s="28"/>
      <c r="AO5536" s="28" t="n">
        <f aca="false">AN5536*$M5536</f>
        <v>0</v>
      </c>
      <c r="AP5536" s="28"/>
      <c r="AQ5536" s="28" t="n">
        <f aca="false">AP5536*$M5536</f>
        <v>0</v>
      </c>
      <c r="AR5536" s="28"/>
      <c r="AS5536" s="28" t="n">
        <f aca="false">AR5536*$M5536</f>
        <v>0</v>
      </c>
      <c r="AT5536" s="28"/>
      <c r="AU5536" s="28" t="n">
        <f aca="false">AT5536*$M5536</f>
        <v>0</v>
      </c>
      <c r="AV5536" s="28"/>
      <c r="AW5536" s="28" t="n">
        <f aca="false">AV5536*$M5536</f>
        <v>0</v>
      </c>
      <c r="AX5536" s="28"/>
      <c r="AY5536" s="28" t="n">
        <f aca="false">AX5536*$M5536</f>
        <v>0</v>
      </c>
      <c r="AZ5536" s="30" t="n">
        <f aca="false">3408/100</f>
        <v>34.08</v>
      </c>
      <c r="BA5536" s="11" t="n">
        <v>5112</v>
      </c>
      <c r="BB5536" s="31" t="n">
        <f aca="false">SUM(Q5536,S5536,U5536,W5536,Y5536,AA5536,AC5536,AE5536,AG5536,AI5536,AK5536,AM5536,AO5536,AQ5536,AS5536,AU5536,AW5536,AY5536)</f>
        <v>5112</v>
      </c>
      <c r="BC5536" s="28" t="n">
        <f aca="false">BA5536-BB5536</f>
        <v>0</v>
      </c>
      <c r="BD5536" s="32" t="n">
        <f aca="false">SUM(P5536,R5536,T5536,V5536,X5536,Z5536,AB5536,AD5536,AF5536,AH5536,AJ5536,AL5536,AN5536,AP5536,AR5536,AT5536,AV5536,AX5536)</f>
        <v>34.08</v>
      </c>
      <c r="BE5536" s="33" t="n">
        <f aca="false">AZ5536-BD5536</f>
        <v>0</v>
      </c>
      <c r="BF5536" s="34" t="n">
        <f aca="false">BD5536*M5536</f>
        <v>5112</v>
      </c>
      <c r="BG5536" s="35" t="n">
        <f aca="false">BA5536-BF5536</f>
        <v>0</v>
      </c>
      <c r="BH5536" s="19" t="str">
        <f aca="false">IF(BG5536=0,"",IF(BG5536&lt;&gt;BA5536,"erreur de calcul",IF(BD5536&lt;&gt;0,"pas de prix",IF(M5536&lt;&gt; 0,"pas de quantité","pas de prix, ni de quantité"))))</f>
        <v/>
      </c>
      <c r="BI5536" s="19"/>
    </row>
    <row r="5537" customFormat="false" ht="15" hidden="false" customHeight="false" outlineLevel="0" collapsed="false">
      <c r="A5537" s="0" t="n">
        <v>24</v>
      </c>
      <c r="B5537" s="8" t="s">
        <v>24</v>
      </c>
      <c r="C5537" s="9" t="s">
        <v>25</v>
      </c>
      <c r="D5537" s="9" t="s">
        <v>26</v>
      </c>
      <c r="E5537" s="10" t="n">
        <v>1789</v>
      </c>
      <c r="F5537" s="9" t="s">
        <v>27</v>
      </c>
      <c r="G5537" s="9" t="s">
        <v>27</v>
      </c>
      <c r="H5537" s="11" t="n">
        <v>25</v>
      </c>
      <c r="I5537" s="11" t="s">
        <v>353</v>
      </c>
      <c r="J5537" s="14" t="n">
        <v>40</v>
      </c>
      <c r="K5537" s="14"/>
      <c r="L5537" s="16"/>
      <c r="M5537" s="27" t="n">
        <f aca="false">J5537+(K5537/20)+(L5537/240)</f>
        <v>40</v>
      </c>
      <c r="N5537" s="17" t="s">
        <v>64</v>
      </c>
      <c r="O5537" s="11"/>
      <c r="P5537" s="28"/>
      <c r="Q5537" s="28" t="n">
        <f aca="false">P5537*$M5537</f>
        <v>0</v>
      </c>
      <c r="R5537" s="28"/>
      <c r="S5537" s="28" t="n">
        <f aca="false">R5537*$M5537</f>
        <v>0</v>
      </c>
      <c r="T5537" s="28"/>
      <c r="U5537" s="28" t="n">
        <f aca="false">T5537*$M5537</f>
        <v>0</v>
      </c>
      <c r="V5537" s="28" t="n">
        <f aca="false">4960/100</f>
        <v>49.6</v>
      </c>
      <c r="W5537" s="28" t="n">
        <v>1984</v>
      </c>
      <c r="X5537" s="28" t="n">
        <f aca="false">394/100</f>
        <v>3.94</v>
      </c>
      <c r="Y5537" s="28" t="n">
        <v>158</v>
      </c>
      <c r="Z5537" s="28"/>
      <c r="AA5537" s="28" t="n">
        <f aca="false">Z5537*$M5537</f>
        <v>0</v>
      </c>
      <c r="AB5537" s="28"/>
      <c r="AC5537" s="28" t="n">
        <f aca="false">AB5537*$M5537</f>
        <v>0</v>
      </c>
      <c r="AD5537" s="28"/>
      <c r="AE5537" s="28" t="n">
        <f aca="false">AD5537*$M5537</f>
        <v>0</v>
      </c>
      <c r="AF5537" s="28"/>
      <c r="AG5537" s="28" t="n">
        <f aca="false">AF5537*$M5537</f>
        <v>0</v>
      </c>
      <c r="AH5537" s="28"/>
      <c r="AI5537" s="28" t="n">
        <f aca="false">AH5537*$M5537</f>
        <v>0</v>
      </c>
      <c r="AJ5537" s="28"/>
      <c r="AK5537" s="28" t="n">
        <f aca="false">AJ5537*$M5537</f>
        <v>0</v>
      </c>
      <c r="AL5537" s="28"/>
      <c r="AM5537" s="28" t="n">
        <f aca="false">AL5537*$M5537</f>
        <v>0</v>
      </c>
      <c r="AN5537" s="28"/>
      <c r="AO5537" s="28" t="n">
        <f aca="false">AN5537*$M5537</f>
        <v>0</v>
      </c>
      <c r="AP5537" s="28"/>
      <c r="AQ5537" s="28" t="n">
        <f aca="false">AP5537*$M5537</f>
        <v>0</v>
      </c>
      <c r="AR5537" s="28"/>
      <c r="AS5537" s="28" t="n">
        <f aca="false">AR5537*$M5537</f>
        <v>0</v>
      </c>
      <c r="AT5537" s="28"/>
      <c r="AU5537" s="28" t="n">
        <f aca="false">AT5537*$M5537</f>
        <v>0</v>
      </c>
      <c r="AV5537" s="28"/>
      <c r="AW5537" s="28" t="n">
        <f aca="false">AV5537*$M5537</f>
        <v>0</v>
      </c>
      <c r="AX5537" s="28"/>
      <c r="AY5537" s="28" t="n">
        <f aca="false">AX5537*$M5537</f>
        <v>0</v>
      </c>
      <c r="AZ5537" s="30" t="n">
        <f aca="false">5354/100</f>
        <v>53.54</v>
      </c>
      <c r="BA5537" s="11" t="n">
        <v>2142</v>
      </c>
      <c r="BB5537" s="31" t="n">
        <f aca="false">SUM(Q5537,S5537,U5537,W5537,Y5537,AA5537,AC5537,AE5537,AG5537,AI5537,AK5537,AM5537,AO5537,AQ5537,AS5537,AU5537,AW5537,AY5537)</f>
        <v>2142</v>
      </c>
      <c r="BC5537" s="28" t="n">
        <f aca="false">BA5537-BB5537</f>
        <v>0</v>
      </c>
      <c r="BD5537" s="32" t="n">
        <f aca="false">SUM(P5537,R5537,T5537,V5537,X5537,Z5537,AB5537,AD5537,AF5537,AH5537,AJ5537,AL5537,AN5537,AP5537,AR5537,AT5537,AV5537,AX5537)</f>
        <v>53.54</v>
      </c>
      <c r="BE5537" s="33" t="n">
        <f aca="false">AZ5537-BD5537</f>
        <v>0</v>
      </c>
      <c r="BF5537" s="34" t="n">
        <f aca="false">BD5537*M5537</f>
        <v>2141.6</v>
      </c>
      <c r="BG5537" s="35" t="n">
        <f aca="false">BA5537-BF5537</f>
        <v>0.400000000000091</v>
      </c>
      <c r="BH5537" s="19" t="str">
        <f aca="false">IF(BG5537=0,"",IF(BG5537&lt;&gt;BA5537,"erreur de calcul",IF(BD5537&lt;&gt;0,"pas de prix",IF(M5537&lt;&gt; 0,"pas de quantité","pas de prix, ni de quantité"))))</f>
        <v>erreur de calcul</v>
      </c>
      <c r="BI5537" s="19"/>
    </row>
    <row r="5538" customFormat="false" ht="15" hidden="false" customHeight="false" outlineLevel="0" collapsed="false">
      <c r="A5538" s="0" t="n">
        <v>25</v>
      </c>
      <c r="B5538" s="8" t="s">
        <v>24</v>
      </c>
      <c r="C5538" s="9" t="s">
        <v>25</v>
      </c>
      <c r="D5538" s="9" t="s">
        <v>26</v>
      </c>
      <c r="E5538" s="10" t="n">
        <v>1789</v>
      </c>
      <c r="F5538" s="9" t="s">
        <v>27</v>
      </c>
      <c r="G5538" s="9" t="s">
        <v>27</v>
      </c>
      <c r="H5538" s="11" t="n">
        <v>25</v>
      </c>
      <c r="I5538" s="11" t="s">
        <v>354</v>
      </c>
      <c r="J5538" s="14" t="n">
        <v>200</v>
      </c>
      <c r="K5538" s="14"/>
      <c r="L5538" s="16"/>
      <c r="M5538" s="27" t="n">
        <f aca="false">J5538+(K5538/20)+(L5538/240)</f>
        <v>200</v>
      </c>
      <c r="N5538" s="17" t="s">
        <v>64</v>
      </c>
      <c r="O5538" s="11"/>
      <c r="P5538" s="28"/>
      <c r="Q5538" s="28" t="n">
        <f aca="false">P5538*$M5538</f>
        <v>0</v>
      </c>
      <c r="R5538" s="28"/>
      <c r="S5538" s="28" t="n">
        <f aca="false">R5538*$M5538</f>
        <v>0</v>
      </c>
      <c r="T5538" s="28" t="n">
        <f aca="false">4367/100</f>
        <v>43.67</v>
      </c>
      <c r="U5538" s="28" t="n">
        <v>8734</v>
      </c>
      <c r="V5538" s="28" t="n">
        <f aca="false">346/100</f>
        <v>3.46</v>
      </c>
      <c r="W5538" s="28" t="n">
        <v>692</v>
      </c>
      <c r="X5538" s="28"/>
      <c r="Y5538" s="28" t="n">
        <f aca="false">X5538*$M5538</f>
        <v>0</v>
      </c>
      <c r="Z5538" s="28"/>
      <c r="AA5538" s="28" t="n">
        <f aca="false">Z5538*$M5538</f>
        <v>0</v>
      </c>
      <c r="AB5538" s="28"/>
      <c r="AC5538" s="28" t="n">
        <f aca="false">AB5538*$M5538</f>
        <v>0</v>
      </c>
      <c r="AD5538" s="28"/>
      <c r="AE5538" s="28" t="n">
        <f aca="false">AD5538*$M5538</f>
        <v>0</v>
      </c>
      <c r="AF5538" s="28"/>
      <c r="AG5538" s="28" t="n">
        <f aca="false">AF5538*$M5538</f>
        <v>0</v>
      </c>
      <c r="AH5538" s="28"/>
      <c r="AI5538" s="28" t="n">
        <f aca="false">AH5538*$M5538</f>
        <v>0</v>
      </c>
      <c r="AJ5538" s="28"/>
      <c r="AK5538" s="28" t="n">
        <f aca="false">AJ5538*$M5538</f>
        <v>0</v>
      </c>
      <c r="AL5538" s="28"/>
      <c r="AM5538" s="28" t="n">
        <f aca="false">AL5538*$M5538</f>
        <v>0</v>
      </c>
      <c r="AN5538" s="28"/>
      <c r="AO5538" s="28" t="n">
        <f aca="false">AN5538*$M5538</f>
        <v>0</v>
      </c>
      <c r="AP5538" s="28"/>
      <c r="AQ5538" s="28" t="n">
        <f aca="false">AP5538*$M5538</f>
        <v>0</v>
      </c>
      <c r="AR5538" s="28"/>
      <c r="AS5538" s="28" t="n">
        <f aca="false">AR5538*$M5538</f>
        <v>0</v>
      </c>
      <c r="AT5538" s="28"/>
      <c r="AU5538" s="28" t="n">
        <f aca="false">AT5538*$M5538</f>
        <v>0</v>
      </c>
      <c r="AV5538" s="28"/>
      <c r="AW5538" s="28" t="n">
        <f aca="false">AV5538*$M5538</f>
        <v>0</v>
      </c>
      <c r="AX5538" s="28"/>
      <c r="AY5538" s="28" t="n">
        <f aca="false">AX5538*$M5538</f>
        <v>0</v>
      </c>
      <c r="AZ5538" s="30" t="n">
        <f aca="false">4713/100</f>
        <v>47.13</v>
      </c>
      <c r="BA5538" s="11" t="n">
        <v>9426</v>
      </c>
      <c r="BB5538" s="31" t="n">
        <f aca="false">SUM(Q5538,S5538,U5538,W5538,Y5538,AA5538,AC5538,AE5538,AG5538,AI5538,AK5538,AM5538,AO5538,AQ5538,AS5538,AU5538,AW5538,AY5538)</f>
        <v>9426</v>
      </c>
      <c r="BC5538" s="28" t="n">
        <f aca="false">BA5538-BB5538</f>
        <v>0</v>
      </c>
      <c r="BD5538" s="32" t="n">
        <f aca="false">SUM(P5538,R5538,T5538,V5538,X5538,Z5538,AB5538,AD5538,AF5538,AH5538,AJ5538,AL5538,AN5538,AP5538,AR5538,AT5538,AV5538,AX5538)</f>
        <v>47.13</v>
      </c>
      <c r="BE5538" s="33" t="n">
        <f aca="false">AZ5538-BD5538</f>
        <v>0</v>
      </c>
      <c r="BF5538" s="34" t="n">
        <f aca="false">BD5538*M5538</f>
        <v>9426</v>
      </c>
      <c r="BG5538" s="35" t="n">
        <f aca="false">BA5538-BF5538</f>
        <v>0</v>
      </c>
      <c r="BH5538" s="19" t="str">
        <f aca="false">IF(BG5538=0,"",IF(BG5538&lt;&gt;BA5538,"erreur de calcul",IF(BD5538&lt;&gt;0,"pas de prix",IF(M5538&lt;&gt; 0,"pas de quantité","pas de prix, ni de quantité"))))</f>
        <v/>
      </c>
      <c r="BI5538" s="19"/>
    </row>
    <row r="5539" customFormat="false" ht="15" hidden="false" customHeight="false" outlineLevel="0" collapsed="false">
      <c r="A5539" s="0" t="n">
        <v>26</v>
      </c>
      <c r="B5539" s="8" t="s">
        <v>24</v>
      </c>
      <c r="C5539" s="9" t="s">
        <v>25</v>
      </c>
      <c r="D5539" s="9" t="s">
        <v>26</v>
      </c>
      <c r="E5539" s="10" t="n">
        <v>1789</v>
      </c>
      <c r="F5539" s="9" t="s">
        <v>27</v>
      </c>
      <c r="G5539" s="9" t="s">
        <v>27</v>
      </c>
      <c r="H5539" s="11" t="n">
        <v>25</v>
      </c>
      <c r="I5539" s="11" t="s">
        <v>355</v>
      </c>
      <c r="J5539" s="14" t="n">
        <v>200</v>
      </c>
      <c r="K5539" s="14"/>
      <c r="L5539" s="16"/>
      <c r="M5539" s="27" t="n">
        <f aca="false">J5539+(K5539/20)+(L5539/240)</f>
        <v>200</v>
      </c>
      <c r="N5539" s="17" t="s">
        <v>64</v>
      </c>
      <c r="O5539" s="11"/>
      <c r="P5539" s="28"/>
      <c r="Q5539" s="28" t="n">
        <f aca="false">P5539*$M5539</f>
        <v>0</v>
      </c>
      <c r="R5539" s="28"/>
      <c r="S5539" s="28" t="n">
        <f aca="false">R5539*$M5539</f>
        <v>0</v>
      </c>
      <c r="T5539" s="28" t="n">
        <f aca="false">2471/100</f>
        <v>24.71</v>
      </c>
      <c r="U5539" s="28" t="n">
        <v>4942</v>
      </c>
      <c r="V5539" s="28"/>
      <c r="W5539" s="28" t="n">
        <f aca="false">V5539*$M5539</f>
        <v>0</v>
      </c>
      <c r="X5539" s="28"/>
      <c r="Y5539" s="28" t="n">
        <f aca="false">X5539*$M5539</f>
        <v>0</v>
      </c>
      <c r="Z5539" s="28"/>
      <c r="AA5539" s="28" t="n">
        <f aca="false">Z5539*$M5539</f>
        <v>0</v>
      </c>
      <c r="AB5539" s="28"/>
      <c r="AC5539" s="28" t="n">
        <f aca="false">AB5539*$M5539</f>
        <v>0</v>
      </c>
      <c r="AD5539" s="28"/>
      <c r="AE5539" s="28" t="n">
        <f aca="false">AD5539*$M5539</f>
        <v>0</v>
      </c>
      <c r="AF5539" s="28"/>
      <c r="AG5539" s="28" t="n">
        <f aca="false">AF5539*$M5539</f>
        <v>0</v>
      </c>
      <c r="AH5539" s="28"/>
      <c r="AI5539" s="28" t="n">
        <f aca="false">AH5539*$M5539</f>
        <v>0</v>
      </c>
      <c r="AJ5539" s="28"/>
      <c r="AK5539" s="28" t="n">
        <f aca="false">AJ5539*$M5539</f>
        <v>0</v>
      </c>
      <c r="AL5539" s="28"/>
      <c r="AM5539" s="28" t="n">
        <f aca="false">AL5539*$M5539</f>
        <v>0</v>
      </c>
      <c r="AN5539" s="28"/>
      <c r="AO5539" s="28" t="n">
        <f aca="false">AN5539*$M5539</f>
        <v>0</v>
      </c>
      <c r="AP5539" s="28"/>
      <c r="AQ5539" s="28" t="n">
        <f aca="false">AP5539*$M5539</f>
        <v>0</v>
      </c>
      <c r="AR5539" s="28"/>
      <c r="AS5539" s="28" t="n">
        <f aca="false">AR5539*$M5539</f>
        <v>0</v>
      </c>
      <c r="AT5539" s="28"/>
      <c r="AU5539" s="28" t="n">
        <f aca="false">AT5539*$M5539</f>
        <v>0</v>
      </c>
      <c r="AV5539" s="28"/>
      <c r="AW5539" s="28" t="n">
        <f aca="false">AV5539*$M5539</f>
        <v>0</v>
      </c>
      <c r="AX5539" s="28"/>
      <c r="AY5539" s="28" t="n">
        <f aca="false">AX5539*$M5539</f>
        <v>0</v>
      </c>
      <c r="AZ5539" s="30" t="n">
        <f aca="false">2471/100</f>
        <v>24.71</v>
      </c>
      <c r="BA5539" s="11" t="n">
        <v>4942</v>
      </c>
      <c r="BB5539" s="31" t="n">
        <f aca="false">SUM(Q5539,S5539,U5539,W5539,Y5539,AA5539,AC5539,AE5539,AG5539,AI5539,AK5539,AM5539,AO5539,AQ5539,AS5539,AU5539,AW5539,AY5539)</f>
        <v>4942</v>
      </c>
      <c r="BC5539" s="28" t="n">
        <f aca="false">BA5539-BB5539</f>
        <v>0</v>
      </c>
      <c r="BD5539" s="32" t="n">
        <f aca="false">SUM(P5539,R5539,T5539,V5539,X5539,Z5539,AB5539,AD5539,AF5539,AH5539,AJ5539,AL5539,AN5539,AP5539,AR5539,AT5539,AV5539,AX5539)</f>
        <v>24.71</v>
      </c>
      <c r="BE5539" s="33" t="n">
        <f aca="false">AZ5539-BD5539</f>
        <v>0</v>
      </c>
      <c r="BF5539" s="34" t="n">
        <f aca="false">BD5539*M5539</f>
        <v>4942</v>
      </c>
      <c r="BG5539" s="35" t="n">
        <f aca="false">BA5539-BF5539</f>
        <v>0</v>
      </c>
      <c r="BH5539" s="19" t="str">
        <f aca="false">IF(BG5539=0,"",IF(BG5539&lt;&gt;BA5539,"erreur de calcul",IF(BD5539&lt;&gt;0,"pas de prix",IF(M5539&lt;&gt; 0,"pas de quantité","pas de prix, ni de quantité"))))</f>
        <v/>
      </c>
      <c r="BI5539" s="19"/>
    </row>
    <row r="5540" customFormat="false" ht="15" hidden="false" customHeight="false" outlineLevel="0" collapsed="false">
      <c r="A5540" s="0" t="n">
        <v>27</v>
      </c>
      <c r="B5540" s="8" t="s">
        <v>24</v>
      </c>
      <c r="C5540" s="9" t="s">
        <v>25</v>
      </c>
      <c r="D5540" s="9" t="s">
        <v>26</v>
      </c>
      <c r="E5540" s="10" t="n">
        <v>1789</v>
      </c>
      <c r="F5540" s="9" t="s">
        <v>27</v>
      </c>
      <c r="G5540" s="9" t="s">
        <v>27</v>
      </c>
      <c r="H5540" s="11" t="n">
        <v>25</v>
      </c>
      <c r="I5540" s="11" t="s">
        <v>356</v>
      </c>
      <c r="J5540" s="14" t="n">
        <v>120</v>
      </c>
      <c r="K5540" s="14"/>
      <c r="L5540" s="16"/>
      <c r="M5540" s="27" t="n">
        <f aca="false">J5540+(K5540/20)+(L5540/240)</f>
        <v>120</v>
      </c>
      <c r="N5540" s="17" t="s">
        <v>64</v>
      </c>
      <c r="O5540" s="11"/>
      <c r="P5540" s="28"/>
      <c r="Q5540" s="28" t="n">
        <f aca="false">P5540*$M5540</f>
        <v>0</v>
      </c>
      <c r="R5540" s="28"/>
      <c r="S5540" s="28" t="n">
        <f aca="false">R5540*$M5540</f>
        <v>0</v>
      </c>
      <c r="T5540" s="28"/>
      <c r="U5540" s="28" t="n">
        <f aca="false">T5540*$M5540</f>
        <v>0</v>
      </c>
      <c r="V5540" s="28"/>
      <c r="W5540" s="28" t="n">
        <f aca="false">V5540*$M5540</f>
        <v>0</v>
      </c>
      <c r="X5540" s="28"/>
      <c r="Y5540" s="28" t="n">
        <f aca="false">X5540*$M5540</f>
        <v>0</v>
      </c>
      <c r="Z5540" s="28"/>
      <c r="AA5540" s="28" t="n">
        <f aca="false">Z5540*$M5540</f>
        <v>0</v>
      </c>
      <c r="AB5540" s="28"/>
      <c r="AC5540" s="28" t="n">
        <f aca="false">AB5540*$M5540</f>
        <v>0</v>
      </c>
      <c r="AD5540" s="28"/>
      <c r="AE5540" s="28" t="n">
        <f aca="false">AD5540*$M5540</f>
        <v>0</v>
      </c>
      <c r="AF5540" s="28"/>
      <c r="AG5540" s="28" t="n">
        <f aca="false">AF5540*$M5540</f>
        <v>0</v>
      </c>
      <c r="AH5540" s="28"/>
      <c r="AI5540" s="28" t="n">
        <f aca="false">AH5540*$M5540</f>
        <v>0</v>
      </c>
      <c r="AJ5540" s="28"/>
      <c r="AK5540" s="28" t="n">
        <f aca="false">AJ5540*$M5540</f>
        <v>0</v>
      </c>
      <c r="AL5540" s="28"/>
      <c r="AM5540" s="28" t="n">
        <f aca="false">AL5540*$M5540</f>
        <v>0</v>
      </c>
      <c r="AN5540" s="28" t="n">
        <f aca="false">407/100</f>
        <v>4.07</v>
      </c>
      <c r="AO5540" s="28" t="n">
        <v>488</v>
      </c>
      <c r="AP5540" s="28"/>
      <c r="AQ5540" s="28" t="n">
        <f aca="false">AP5540*$M5540</f>
        <v>0</v>
      </c>
      <c r="AR5540" s="28"/>
      <c r="AS5540" s="28" t="n">
        <f aca="false">AR5540*$M5540</f>
        <v>0</v>
      </c>
      <c r="AT5540" s="28"/>
      <c r="AU5540" s="28" t="n">
        <f aca="false">AT5540*$M5540</f>
        <v>0</v>
      </c>
      <c r="AV5540" s="28"/>
      <c r="AW5540" s="28" t="n">
        <f aca="false">AV5540*$M5540</f>
        <v>0</v>
      </c>
      <c r="AX5540" s="28"/>
      <c r="AY5540" s="28" t="n">
        <f aca="false">AX5540*$M5540</f>
        <v>0</v>
      </c>
      <c r="AZ5540" s="30" t="n">
        <f aca="false">407/100</f>
        <v>4.07</v>
      </c>
      <c r="BA5540" s="11" t="n">
        <v>488</v>
      </c>
      <c r="BB5540" s="31" t="n">
        <f aca="false">SUM(Q5540,S5540,U5540,W5540,Y5540,AA5540,AC5540,AE5540,AG5540,AI5540,AK5540,AM5540,AO5540,AQ5540,AS5540,AU5540,AW5540,AY5540)</f>
        <v>488</v>
      </c>
      <c r="BC5540" s="28" t="n">
        <f aca="false">BA5540-BB5540</f>
        <v>0</v>
      </c>
      <c r="BD5540" s="32" t="n">
        <f aca="false">SUM(P5540,R5540,T5540,V5540,X5540,Z5540,AB5540,AD5540,AF5540,AH5540,AJ5540,AL5540,AN5540,AP5540,AR5540,AT5540,AV5540,AX5540)</f>
        <v>4.07</v>
      </c>
      <c r="BE5540" s="33" t="n">
        <f aca="false">AZ5540-BD5540</f>
        <v>0</v>
      </c>
      <c r="BF5540" s="34" t="n">
        <f aca="false">BD5540*M5540</f>
        <v>488.4</v>
      </c>
      <c r="BG5540" s="35" t="n">
        <f aca="false">BA5540-BF5540</f>
        <v>-0.400000000000034</v>
      </c>
      <c r="BH5540" s="19" t="str">
        <f aca="false">IF(BG5540=0,"",IF(BG5540&lt;&gt;BA5540,"erreur de calcul",IF(BD5540&lt;&gt;0,"pas de prix",IF(M5540&lt;&gt; 0,"pas de quantité","pas de prix, ni de quantité"))))</f>
        <v>erreur de calcul</v>
      </c>
      <c r="BI5540" s="19"/>
    </row>
    <row r="5541" customFormat="false" ht="15" hidden="false" customHeight="false" outlineLevel="0" collapsed="false">
      <c r="A5541" s="0" t="n">
        <v>28</v>
      </c>
      <c r="B5541" s="8" t="s">
        <v>24</v>
      </c>
      <c r="C5541" s="9" t="s">
        <v>25</v>
      </c>
      <c r="D5541" s="9" t="s">
        <v>26</v>
      </c>
      <c r="E5541" s="10" t="n">
        <v>1789</v>
      </c>
      <c r="F5541" s="9" t="s">
        <v>27</v>
      </c>
      <c r="G5541" s="9" t="s">
        <v>27</v>
      </c>
      <c r="H5541" s="11" t="n">
        <v>25</v>
      </c>
      <c r="I5541" s="11" t="s">
        <v>357</v>
      </c>
      <c r="J5541" s="14" t="n">
        <v>30</v>
      </c>
      <c r="K5541" s="14"/>
      <c r="L5541" s="16"/>
      <c r="M5541" s="27" t="n">
        <f aca="false">J5541+(K5541/20)+(L5541/240)</f>
        <v>30</v>
      </c>
      <c r="N5541" s="17" t="s">
        <v>64</v>
      </c>
      <c r="O5541" s="11"/>
      <c r="P5541" s="28"/>
      <c r="Q5541" s="28" t="n">
        <f aca="false">P5541*$M5541</f>
        <v>0</v>
      </c>
      <c r="R5541" s="28"/>
      <c r="S5541" s="28" t="n">
        <f aca="false">R5541*$M5541</f>
        <v>0</v>
      </c>
      <c r="T5541" s="28" t="n">
        <f aca="false">8903/100</f>
        <v>89.03</v>
      </c>
      <c r="U5541" s="28" t="n">
        <v>2671</v>
      </c>
      <c r="V5541" s="28" t="n">
        <f aca="false">2591/100</f>
        <v>25.91</v>
      </c>
      <c r="W5541" s="28" t="n">
        <v>777</v>
      </c>
      <c r="X5541" s="28"/>
      <c r="Y5541" s="28" t="n">
        <f aca="false">X5541*$M5541</f>
        <v>0</v>
      </c>
      <c r="Z5541" s="28" t="n">
        <f aca="false">17041/100</f>
        <v>170.41</v>
      </c>
      <c r="AA5541" s="28" t="n">
        <v>5112</v>
      </c>
      <c r="AB5541" s="28" t="n">
        <f aca="false">42963/100</f>
        <v>429.63</v>
      </c>
      <c r="AC5541" s="28" t="n">
        <v>12889</v>
      </c>
      <c r="AD5541" s="28"/>
      <c r="AE5541" s="28" t="n">
        <f aca="false">AD5541*$M5541</f>
        <v>0</v>
      </c>
      <c r="AF5541" s="28" t="n">
        <f aca="false">138369/100</f>
        <v>1383.69</v>
      </c>
      <c r="AG5541" s="28" t="n">
        <v>41511</v>
      </c>
      <c r="AH5541" s="28"/>
      <c r="AI5541" s="28" t="n">
        <f aca="false">AH5541*$M5541</f>
        <v>0</v>
      </c>
      <c r="AJ5541" s="28"/>
      <c r="AK5541" s="28" t="n">
        <f aca="false">AJ5541*$M5541</f>
        <v>0</v>
      </c>
      <c r="AL5541" s="28"/>
      <c r="AM5541" s="28" t="n">
        <f aca="false">AL5541*$M5541</f>
        <v>0</v>
      </c>
      <c r="AN5541" s="28"/>
      <c r="AO5541" s="28" t="n">
        <f aca="false">AN5541*$M5541</f>
        <v>0</v>
      </c>
      <c r="AP5541" s="28"/>
      <c r="AQ5541" s="28" t="n">
        <f aca="false">AP5541*$M5541</f>
        <v>0</v>
      </c>
      <c r="AR5541" s="28"/>
      <c r="AS5541" s="28" t="n">
        <f aca="false">AR5541*$M5541</f>
        <v>0</v>
      </c>
      <c r="AT5541" s="28"/>
      <c r="AU5541" s="28" t="n">
        <f aca="false">AT5541*$M5541</f>
        <v>0</v>
      </c>
      <c r="AV5541" s="28"/>
      <c r="AW5541" s="28" t="n">
        <f aca="false">AV5541*$M5541</f>
        <v>0</v>
      </c>
      <c r="AX5541" s="28"/>
      <c r="AY5541" s="28" t="n">
        <f aca="false">AX5541*$M5541</f>
        <v>0</v>
      </c>
      <c r="AZ5541" s="30" t="n">
        <f aca="false">209867/100</f>
        <v>2098.67</v>
      </c>
      <c r="BA5541" s="11" t="n">
        <v>62960</v>
      </c>
      <c r="BB5541" s="31" t="n">
        <f aca="false">SUM(Q5541,S5541,U5541,W5541,Y5541,AA5541,AC5541,AE5541,AG5541,AI5541,AK5541,AM5541,AO5541,AQ5541,AS5541,AU5541,AW5541,AY5541)</f>
        <v>62960</v>
      </c>
      <c r="BC5541" s="28" t="n">
        <f aca="false">BA5541-BB5541</f>
        <v>0</v>
      </c>
      <c r="BD5541" s="32" t="n">
        <f aca="false">SUM(P5541,R5541,T5541,V5541,X5541,Z5541,AB5541,AD5541,AF5541,AH5541,AJ5541,AL5541,AN5541,AP5541,AR5541,AT5541,AV5541,AX5541)</f>
        <v>2098.67</v>
      </c>
      <c r="BE5541" s="33" t="n">
        <f aca="false">AZ5541-BD5541</f>
        <v>0</v>
      </c>
      <c r="BF5541" s="34" t="n">
        <f aca="false">BD5541*M5541</f>
        <v>62960.1</v>
      </c>
      <c r="BG5541" s="35" t="n">
        <f aca="false">BA5541-BF5541</f>
        <v>-0.100000000013097</v>
      </c>
      <c r="BH5541" s="19" t="str">
        <f aca="false">IF(BG5541=0,"",IF(BG5541&lt;&gt;BA5541,"erreur de calcul",IF(BD5541&lt;&gt;0,"pas de prix",IF(M5541&lt;&gt; 0,"pas de quantité","pas de prix, ni de quantité"))))</f>
        <v>erreur de calcul</v>
      </c>
      <c r="BI5541" s="19"/>
    </row>
    <row r="5542" customFormat="false" ht="15" hidden="false" customHeight="false" outlineLevel="0" collapsed="false">
      <c r="A5542" s="0" t="n">
        <v>29</v>
      </c>
      <c r="B5542" s="8" t="s">
        <v>24</v>
      </c>
      <c r="C5542" s="9" t="s">
        <v>25</v>
      </c>
      <c r="D5542" s="9" t="s">
        <v>26</v>
      </c>
      <c r="E5542" s="10" t="n">
        <v>1789</v>
      </c>
      <c r="F5542" s="9" t="s">
        <v>27</v>
      </c>
      <c r="G5542" s="9" t="s">
        <v>27</v>
      </c>
      <c r="H5542" s="11" t="n">
        <v>25</v>
      </c>
      <c r="I5542" s="11" t="s">
        <v>358</v>
      </c>
      <c r="J5542" s="14" t="n">
        <v>35</v>
      </c>
      <c r="K5542" s="14"/>
      <c r="L5542" s="16"/>
      <c r="M5542" s="27" t="n">
        <f aca="false">J5542+(K5542/20)+(L5542/240)</f>
        <v>35</v>
      </c>
      <c r="N5542" s="17" t="s">
        <v>64</v>
      </c>
      <c r="O5542" s="11"/>
      <c r="P5542" s="28"/>
      <c r="Q5542" s="28" t="n">
        <f aca="false">P5542*$M5542</f>
        <v>0</v>
      </c>
      <c r="R5542" s="28"/>
      <c r="S5542" s="28" t="n">
        <f aca="false">R5542*$M5542</f>
        <v>0</v>
      </c>
      <c r="T5542" s="28" t="n">
        <f aca="false">62095/100</f>
        <v>620.95</v>
      </c>
      <c r="U5542" s="28" t="n">
        <v>21733</v>
      </c>
      <c r="V5542" s="28" t="n">
        <f aca="false">257918/100</f>
        <v>2579.18</v>
      </c>
      <c r="W5542" s="28" t="n">
        <v>90271</v>
      </c>
      <c r="X5542" s="28" t="n">
        <f aca="false">10723/100</f>
        <v>107.23</v>
      </c>
      <c r="Y5542" s="28" t="n">
        <v>3753</v>
      </c>
      <c r="Z5542" s="28" t="n">
        <f aca="false">21191/100</f>
        <v>211.91</v>
      </c>
      <c r="AA5542" s="28" t="n">
        <v>7417</v>
      </c>
      <c r="AB5542" s="28" t="n">
        <f aca="false">308781/100</f>
        <v>3087.81</v>
      </c>
      <c r="AC5542" s="28" t="n">
        <v>108073</v>
      </c>
      <c r="AD5542" s="28"/>
      <c r="AE5542" s="28" t="n">
        <f aca="false">AD5542*$M5542</f>
        <v>0</v>
      </c>
      <c r="AF5542" s="28" t="n">
        <f aca="false">5225/100</f>
        <v>52.25</v>
      </c>
      <c r="AG5542" s="28" t="n">
        <v>1829</v>
      </c>
      <c r="AH5542" s="28"/>
      <c r="AI5542" s="28" t="n">
        <f aca="false">AH5542*$M5542</f>
        <v>0</v>
      </c>
      <c r="AJ5542" s="28"/>
      <c r="AK5542" s="28" t="n">
        <f aca="false">AJ5542*$M5542</f>
        <v>0</v>
      </c>
      <c r="AL5542" s="28"/>
      <c r="AM5542" s="28" t="n">
        <f aca="false">AL5542*$M5542</f>
        <v>0</v>
      </c>
      <c r="AN5542" s="28"/>
      <c r="AO5542" s="28" t="n">
        <f aca="false">AN5542*$M5542</f>
        <v>0</v>
      </c>
      <c r="AP5542" s="28"/>
      <c r="AQ5542" s="28" t="n">
        <f aca="false">AP5542*$M5542</f>
        <v>0</v>
      </c>
      <c r="AR5542" s="28"/>
      <c r="AS5542" s="28" t="n">
        <f aca="false">AR5542*$M5542</f>
        <v>0</v>
      </c>
      <c r="AT5542" s="28"/>
      <c r="AU5542" s="28" t="n">
        <f aca="false">AT5542*$M5542</f>
        <v>0</v>
      </c>
      <c r="AV5542" s="28"/>
      <c r="AW5542" s="28" t="n">
        <f aca="false">AV5542*$M5542</f>
        <v>0</v>
      </c>
      <c r="AX5542" s="28"/>
      <c r="AY5542" s="28" t="n">
        <f aca="false">AX5542*$M5542</f>
        <v>0</v>
      </c>
      <c r="AZ5542" s="30" t="n">
        <f aca="false">665933/100</f>
        <v>6659.33</v>
      </c>
      <c r="BA5542" s="11" t="n">
        <v>233076</v>
      </c>
      <c r="BB5542" s="31" t="n">
        <f aca="false">SUM(Q5542,S5542,U5542,W5542,Y5542,AA5542,AC5542,AE5542,AG5542,AI5542,AK5542,AM5542,AO5542,AQ5542,AS5542,AU5542,AW5542,AY5542)</f>
        <v>233076</v>
      </c>
      <c r="BC5542" s="28" t="n">
        <f aca="false">BA5542-BB5542</f>
        <v>0</v>
      </c>
      <c r="BD5542" s="32" t="n">
        <f aca="false">SUM(P5542,R5542,T5542,V5542,X5542,Z5542,AB5542,AD5542,AF5542,AH5542,AJ5542,AL5542,AN5542,AP5542,AR5542,AT5542,AV5542,AX5542)</f>
        <v>6659.33</v>
      </c>
      <c r="BE5542" s="33" t="n">
        <f aca="false">AZ5542-BD5542</f>
        <v>0</v>
      </c>
      <c r="BF5542" s="34" t="n">
        <f aca="false">BD5542*M5542</f>
        <v>233076.55</v>
      </c>
      <c r="BG5542" s="35" t="n">
        <f aca="false">BA5542-BF5542</f>
        <v>-0.549999999959255</v>
      </c>
      <c r="BH5542" s="19" t="str">
        <f aca="false">IF(BG5542=0,"",IF(BG5542&lt;&gt;BA5542,"erreur de calcul",IF(BD5542&lt;&gt;0,"pas de prix",IF(M5542&lt;&gt; 0,"pas de quantité","pas de prix, ni de quantité"))))</f>
        <v>erreur de calcul</v>
      </c>
      <c r="BI5542" s="19"/>
    </row>
    <row r="5543" customFormat="false" ht="15" hidden="false" customHeight="false" outlineLevel="0" collapsed="false">
      <c r="A5543" s="0" t="n">
        <v>30</v>
      </c>
      <c r="B5543" s="8" t="s">
        <v>24</v>
      </c>
      <c r="C5543" s="9" t="s">
        <v>25</v>
      </c>
      <c r="D5543" s="9" t="s">
        <v>26</v>
      </c>
      <c r="E5543" s="10" t="n">
        <v>1789</v>
      </c>
      <c r="F5543" s="9" t="s">
        <v>27</v>
      </c>
      <c r="G5543" s="9" t="s">
        <v>27</v>
      </c>
      <c r="H5543" s="11" t="n">
        <v>25</v>
      </c>
      <c r="I5543" s="11" t="s">
        <v>359</v>
      </c>
      <c r="J5543" s="14"/>
      <c r="K5543" s="14"/>
      <c r="L5543" s="16"/>
      <c r="M5543" s="27" t="n">
        <f aca="false">J5543+(K5543/20)+(L5543/240)</f>
        <v>0</v>
      </c>
      <c r="N5543" s="17"/>
      <c r="O5543" s="11" t="s">
        <v>109</v>
      </c>
      <c r="P5543" s="28"/>
      <c r="Q5543" s="28" t="n">
        <f aca="false">P5543*$M5543</f>
        <v>0</v>
      </c>
      <c r="R5543" s="28"/>
      <c r="S5543" s="28" t="n">
        <f aca="false">R5543*$M5543</f>
        <v>0</v>
      </c>
      <c r="T5543" s="28"/>
      <c r="U5543" s="28" t="n">
        <f aca="false">T5543*$M5543</f>
        <v>0</v>
      </c>
      <c r="V5543" s="28"/>
      <c r="W5543" s="28" t="n">
        <f aca="false">V5543*$M5543</f>
        <v>0</v>
      </c>
      <c r="X5543" s="28"/>
      <c r="Y5543" s="28" t="n">
        <f aca="false">X5543*$M5543</f>
        <v>0</v>
      </c>
      <c r="Z5543" s="28"/>
      <c r="AA5543" s="28" t="n">
        <f aca="false">Z5543*$M5543</f>
        <v>0</v>
      </c>
      <c r="AB5543" s="28"/>
      <c r="AC5543" s="28" t="n">
        <f aca="false">AB5543*$M5543</f>
        <v>0</v>
      </c>
      <c r="AD5543" s="28"/>
      <c r="AE5543" s="28" t="n">
        <f aca="false">AD5543*$M5543</f>
        <v>0</v>
      </c>
      <c r="AF5543" s="28"/>
      <c r="AG5543" s="28" t="n">
        <f aca="false">AF5543*$M5543</f>
        <v>0</v>
      </c>
      <c r="AH5543" s="28"/>
      <c r="AI5543" s="28" t="n">
        <f aca="false">AH5543*$M5543</f>
        <v>0</v>
      </c>
      <c r="AJ5543" s="28"/>
      <c r="AK5543" s="28" t="n">
        <f aca="false">AJ5543*$M5543</f>
        <v>0</v>
      </c>
      <c r="AL5543" s="28"/>
      <c r="AM5543" s="28" t="n">
        <f aca="false">AL5543*$M5543</f>
        <v>0</v>
      </c>
      <c r="AN5543" s="28"/>
      <c r="AO5543" s="28" t="n">
        <f aca="false">AN5543*$M5543</f>
        <v>0</v>
      </c>
      <c r="AP5543" s="28"/>
      <c r="AQ5543" s="28" t="n">
        <f aca="false">AP5543*$M5543</f>
        <v>0</v>
      </c>
      <c r="AR5543" s="28"/>
      <c r="AS5543" s="28" t="n">
        <f aca="false">AR5543*$M5543</f>
        <v>0</v>
      </c>
      <c r="AT5543" s="28"/>
      <c r="AU5543" s="28" t="n">
        <f aca="false">AT5543*$M5543</f>
        <v>0</v>
      </c>
      <c r="AV5543" s="28"/>
      <c r="AW5543" s="28" t="n">
        <f aca="false">AV5543*$M5543</f>
        <v>0</v>
      </c>
      <c r="AX5543" s="28"/>
      <c r="AY5543" s="28" t="n">
        <f aca="false">AX5543*$M5543</f>
        <v>0</v>
      </c>
      <c r="AZ5543" s="30"/>
      <c r="BA5543" s="11"/>
      <c r="BB5543" s="31" t="n">
        <f aca="false">SUM(Q5543,S5543,U5543,W5543,Y5543,AA5543,AC5543,AE5543,AG5543,AI5543,AK5543,AM5543,AO5543,AQ5543,AS5543,AU5543,AW5543,AY5543)</f>
        <v>0</v>
      </c>
      <c r="BC5543" s="28" t="n">
        <f aca="false">BA5543-BB5543</f>
        <v>0</v>
      </c>
      <c r="BD5543" s="32" t="n">
        <f aca="false">SUM(P5543,R5543,T5543,V5543,X5543,Z5543,AB5543,AD5543,AF5543,AH5543,AJ5543,AL5543,AN5543,AP5543,AR5543,AT5543,AV5543,AX5543)</f>
        <v>0</v>
      </c>
      <c r="BE5543" s="33" t="n">
        <f aca="false">AZ5543-BD5543</f>
        <v>0</v>
      </c>
      <c r="BF5543" s="34" t="n">
        <f aca="false">BD5543*M5543</f>
        <v>0</v>
      </c>
      <c r="BG5543" s="35" t="n">
        <f aca="false">BA5543-BF5543</f>
        <v>0</v>
      </c>
      <c r="BH5543" s="19" t="str">
        <f aca="false">IF(BG5543=0,"",IF(BG5543&lt;&gt;BA5543,"erreur de calcul",IF(BD5543&lt;&gt;0,"pas de prix",IF(M5543&lt;&gt; 0,"pas de quantité","pas de prix, ni de quantité"))))</f>
        <v/>
      </c>
      <c r="BI5543" s="19"/>
    </row>
    <row r="5544" customFormat="false" ht="15" hidden="false" customHeight="false" outlineLevel="0" collapsed="false">
      <c r="A5544" s="0" t="n">
        <v>31</v>
      </c>
      <c r="B5544" s="8" t="s">
        <v>24</v>
      </c>
      <c r="C5544" s="9" t="s">
        <v>25</v>
      </c>
      <c r="D5544" s="9" t="s">
        <v>26</v>
      </c>
      <c r="E5544" s="10" t="n">
        <v>1789</v>
      </c>
      <c r="F5544" s="9" t="s">
        <v>27</v>
      </c>
      <c r="G5544" s="9" t="s">
        <v>27</v>
      </c>
      <c r="H5544" s="11" t="n">
        <v>25</v>
      </c>
      <c r="I5544" s="11" t="s">
        <v>359</v>
      </c>
      <c r="J5544" s="14"/>
      <c r="K5544" s="14"/>
      <c r="L5544" s="16"/>
      <c r="M5544" s="27" t="n">
        <f aca="false">J5544+(K5544/20)+(L5544/240)</f>
        <v>0</v>
      </c>
      <c r="N5544" s="17"/>
      <c r="O5544" s="11" t="s">
        <v>277</v>
      </c>
      <c r="P5544" s="28"/>
      <c r="Q5544" s="28" t="n">
        <f aca="false">P5544*$M5544</f>
        <v>0</v>
      </c>
      <c r="R5544" s="28"/>
      <c r="S5544" s="28" t="n">
        <f aca="false">R5544*$M5544</f>
        <v>0</v>
      </c>
      <c r="T5544" s="28"/>
      <c r="U5544" s="28" t="n">
        <f aca="false">T5544*$M5544</f>
        <v>0</v>
      </c>
      <c r="V5544" s="28"/>
      <c r="W5544" s="28" t="n">
        <f aca="false">V5544*$M5544</f>
        <v>0</v>
      </c>
      <c r="X5544" s="28"/>
      <c r="Y5544" s="28" t="n">
        <v>1361</v>
      </c>
      <c r="Z5544" s="28"/>
      <c r="AA5544" s="28" t="n">
        <f aca="false">Z5544*$M5544</f>
        <v>0</v>
      </c>
      <c r="AB5544" s="28"/>
      <c r="AC5544" s="28" t="n">
        <v>1182</v>
      </c>
      <c r="AD5544" s="28"/>
      <c r="AE5544" s="28" t="n">
        <v>649</v>
      </c>
      <c r="AF5544" s="28"/>
      <c r="AG5544" s="28" t="n">
        <f aca="false">AF5544*$M5544</f>
        <v>0</v>
      </c>
      <c r="AH5544" s="28"/>
      <c r="AI5544" s="28" t="n">
        <v>862</v>
      </c>
      <c r="AJ5544" s="28"/>
      <c r="AK5544" s="28" t="n">
        <f aca="false">AJ5544*$M5544</f>
        <v>0</v>
      </c>
      <c r="AL5544" s="28"/>
      <c r="AM5544" s="28" t="n">
        <f aca="false">AL5544*$M5544</f>
        <v>0</v>
      </c>
      <c r="AN5544" s="28"/>
      <c r="AO5544" s="28" t="n">
        <f aca="false">AN5544*$M5544</f>
        <v>0</v>
      </c>
      <c r="AP5544" s="28"/>
      <c r="AQ5544" s="28" t="n">
        <f aca="false">AP5544*$M5544</f>
        <v>0</v>
      </c>
      <c r="AR5544" s="28"/>
      <c r="AS5544" s="28" t="n">
        <f aca="false">AR5544*$M5544</f>
        <v>0</v>
      </c>
      <c r="AT5544" s="28"/>
      <c r="AU5544" s="28" t="n">
        <f aca="false">AT5544*$M5544</f>
        <v>0</v>
      </c>
      <c r="AV5544" s="28"/>
      <c r="AW5544" s="28" t="n">
        <f aca="false">AV5544*$M5544</f>
        <v>0</v>
      </c>
      <c r="AX5544" s="28"/>
      <c r="AY5544" s="28" t="n">
        <f aca="false">AX5544*$M5544</f>
        <v>0</v>
      </c>
      <c r="AZ5544" s="30"/>
      <c r="BA5544" s="11" t="n">
        <v>4054</v>
      </c>
      <c r="BB5544" s="31" t="n">
        <f aca="false">SUM(Q5544,S5544,U5544,W5544,Y5544,AA5544,AC5544,AE5544,AG5544,AI5544,AK5544,AM5544,AO5544,AQ5544,AS5544,AU5544,AW5544,AY5544)</f>
        <v>4054</v>
      </c>
      <c r="BC5544" s="28" t="n">
        <f aca="false">BA5544-BB5544</f>
        <v>0</v>
      </c>
      <c r="BD5544" s="32" t="n">
        <f aca="false">SUM(P5544,R5544,T5544,V5544,X5544,Z5544,AB5544,AD5544,AF5544,AH5544,AJ5544,AL5544,AN5544,AP5544,AR5544,AT5544,AV5544,AX5544)</f>
        <v>0</v>
      </c>
      <c r="BE5544" s="33" t="n">
        <f aca="false">AZ5544-BD5544</f>
        <v>0</v>
      </c>
      <c r="BF5544" s="34" t="n">
        <f aca="false">BD5544*M5544</f>
        <v>0</v>
      </c>
      <c r="BG5544" s="35" t="n">
        <f aca="false">BA5544-BF5544</f>
        <v>4054</v>
      </c>
      <c r="BH5544" s="19" t="str">
        <f aca="false">IF(BG5544=0,"",IF(BG5544&lt;&gt;BA5544,"erreur de calcul",IF(BD5544&lt;&gt;0,"pas de prix",IF(M5544&lt;&gt; 0,"pas de quantité","pas de prix, ni de quantité"))))</f>
        <v>pas de prix, ni de quantité</v>
      </c>
      <c r="BI5544" s="19"/>
    </row>
    <row r="5545" customFormat="false" ht="15" hidden="false" customHeight="false" outlineLevel="0" collapsed="false">
      <c r="A5545" s="0" t="n">
        <v>32</v>
      </c>
      <c r="B5545" s="8" t="s">
        <v>24</v>
      </c>
      <c r="C5545" s="9" t="s">
        <v>25</v>
      </c>
      <c r="D5545" s="9" t="s">
        <v>26</v>
      </c>
      <c r="E5545" s="10" t="n">
        <v>1789</v>
      </c>
      <c r="F5545" s="9" t="s">
        <v>27</v>
      </c>
      <c r="G5545" s="9" t="s">
        <v>27</v>
      </c>
      <c r="H5545" s="11" t="n">
        <v>25</v>
      </c>
      <c r="I5545" s="11" t="s">
        <v>360</v>
      </c>
      <c r="J5545" s="14" t="n">
        <v>66</v>
      </c>
      <c r="K5545" s="14"/>
      <c r="L5545" s="16"/>
      <c r="M5545" s="27" t="n">
        <f aca="false">J5545+(K5545/20)+(L5545/240)</f>
        <v>66</v>
      </c>
      <c r="N5545" s="17" t="s">
        <v>64</v>
      </c>
      <c r="O5545" s="11"/>
      <c r="P5545" s="28"/>
      <c r="Q5545" s="28" t="n">
        <f aca="false">P5545*$M5545</f>
        <v>0</v>
      </c>
      <c r="R5545" s="28"/>
      <c r="S5545" s="28" t="n">
        <f aca="false">R5545*$M5545</f>
        <v>0</v>
      </c>
      <c r="T5545" s="28"/>
      <c r="U5545" s="28" t="n">
        <f aca="false">T5545*$M5545</f>
        <v>0</v>
      </c>
      <c r="V5545" s="28"/>
      <c r="W5545" s="28" t="n">
        <f aca="false">V5545*$M5545</f>
        <v>0</v>
      </c>
      <c r="X5545" s="28"/>
      <c r="Y5545" s="28" t="n">
        <f aca="false">X5545*$M5545</f>
        <v>0</v>
      </c>
      <c r="Z5545" s="28"/>
      <c r="AA5545" s="28" t="n">
        <f aca="false">Z5545*$M5545</f>
        <v>0</v>
      </c>
      <c r="AB5545" s="28"/>
      <c r="AC5545" s="28" t="n">
        <f aca="false">AB5545*$M5545</f>
        <v>0</v>
      </c>
      <c r="AD5545" s="28"/>
      <c r="AE5545" s="28" t="n">
        <f aca="false">AD5545*$M5545</f>
        <v>0</v>
      </c>
      <c r="AF5545" s="28"/>
      <c r="AG5545" s="28" t="n">
        <f aca="false">AF5545*$M5545</f>
        <v>0</v>
      </c>
      <c r="AH5545" s="28" t="n">
        <f aca="false">75475/100</f>
        <v>754.75</v>
      </c>
      <c r="AI5545" s="28" t="n">
        <v>49813</v>
      </c>
      <c r="AJ5545" s="28"/>
      <c r="AK5545" s="28" t="n">
        <f aca="false">AJ5545*$M5545</f>
        <v>0</v>
      </c>
      <c r="AL5545" s="28"/>
      <c r="AM5545" s="28" t="n">
        <f aca="false">AL5545*$M5545</f>
        <v>0</v>
      </c>
      <c r="AN5545" s="28"/>
      <c r="AO5545" s="28" t="n">
        <f aca="false">AN5545*$M5545</f>
        <v>0</v>
      </c>
      <c r="AP5545" s="28"/>
      <c r="AQ5545" s="28" t="n">
        <f aca="false">AP5545*$M5545</f>
        <v>0</v>
      </c>
      <c r="AR5545" s="28"/>
      <c r="AS5545" s="28" t="n">
        <f aca="false">AR5545*$M5545</f>
        <v>0</v>
      </c>
      <c r="AT5545" s="28"/>
      <c r="AU5545" s="28" t="n">
        <f aca="false">AT5545*$M5545</f>
        <v>0</v>
      </c>
      <c r="AV5545" s="28"/>
      <c r="AW5545" s="28" t="n">
        <f aca="false">AV5545*$M5545</f>
        <v>0</v>
      </c>
      <c r="AX5545" s="28"/>
      <c r="AY5545" s="28" t="n">
        <f aca="false">AX5545*$M5545</f>
        <v>0</v>
      </c>
      <c r="AZ5545" s="30" t="n">
        <f aca="false">75475/100</f>
        <v>754.75</v>
      </c>
      <c r="BA5545" s="11" t="n">
        <v>49813</v>
      </c>
      <c r="BB5545" s="31" t="n">
        <f aca="false">SUM(Q5545,S5545,U5545,W5545,Y5545,AA5545,AC5545,AE5545,AG5545,AI5545,AK5545,AM5545,AO5545,AQ5545,AS5545,AU5545,AW5545,AY5545)</f>
        <v>49813</v>
      </c>
      <c r="BC5545" s="28" t="n">
        <f aca="false">BA5545-BB5545</f>
        <v>0</v>
      </c>
      <c r="BD5545" s="32" t="n">
        <f aca="false">SUM(P5545,R5545,T5545,V5545,X5545,Z5545,AB5545,AD5545,AF5545,AH5545,AJ5545,AL5545,AN5545,AP5545,AR5545,AT5545,AV5545,AX5545)</f>
        <v>754.75</v>
      </c>
      <c r="BE5545" s="33" t="n">
        <f aca="false">AZ5545-BD5545</f>
        <v>0</v>
      </c>
      <c r="BF5545" s="34" t="n">
        <f aca="false">BD5545*M5545</f>
        <v>49813.5</v>
      </c>
      <c r="BG5545" s="35" t="n">
        <f aca="false">BA5545-BF5545</f>
        <v>-0.5</v>
      </c>
      <c r="BH5545" s="19" t="str">
        <f aca="false">IF(BG5545=0,"",IF(BG5545&lt;&gt;BA5545,"erreur de calcul",IF(BD5545&lt;&gt;0,"pas de prix",IF(M5545&lt;&gt; 0,"pas de quantité","pas de prix, ni de quantité"))))</f>
        <v>erreur de calcul</v>
      </c>
      <c r="BI5545" s="19"/>
    </row>
    <row r="5546" customFormat="false" ht="15" hidden="false" customHeight="false" outlineLevel="0" collapsed="false">
      <c r="A5546" s="0" t="n">
        <v>33</v>
      </c>
      <c r="B5546" s="8" t="s">
        <v>24</v>
      </c>
      <c r="C5546" s="9" t="s">
        <v>25</v>
      </c>
      <c r="D5546" s="9" t="s">
        <v>26</v>
      </c>
      <c r="E5546" s="10" t="n">
        <v>1789</v>
      </c>
      <c r="F5546" s="9" t="s">
        <v>27</v>
      </c>
      <c r="G5546" s="9" t="s">
        <v>27</v>
      </c>
      <c r="H5546" s="11" t="n">
        <v>25</v>
      </c>
      <c r="I5546" s="11" t="s">
        <v>361</v>
      </c>
      <c r="J5546" s="14" t="n">
        <v>175</v>
      </c>
      <c r="K5546" s="14"/>
      <c r="L5546" s="16"/>
      <c r="M5546" s="27" t="n">
        <f aca="false">J5546+(K5546/20)+(L5546/240)</f>
        <v>175</v>
      </c>
      <c r="N5546" s="17" t="s">
        <v>64</v>
      </c>
      <c r="O5546" s="11" t="s">
        <v>77</v>
      </c>
      <c r="P5546" s="28" t="n">
        <f aca="false">1514/100</f>
        <v>15.14</v>
      </c>
      <c r="Q5546" s="28" t="n">
        <v>2649</v>
      </c>
      <c r="R5546" s="28"/>
      <c r="S5546" s="28" t="n">
        <f aca="false">R5546*$M5546</f>
        <v>0</v>
      </c>
      <c r="T5546" s="28" t="n">
        <f aca="false">170926/100</f>
        <v>1709.26</v>
      </c>
      <c r="U5546" s="28" t="n">
        <v>299120</v>
      </c>
      <c r="V5546" s="28" t="n">
        <f aca="false">16985/100</f>
        <v>169.85</v>
      </c>
      <c r="W5546" s="28" t="n">
        <v>29724</v>
      </c>
      <c r="X5546" s="28" t="n">
        <f aca="false">4530/100</f>
        <v>45.3</v>
      </c>
      <c r="Y5546" s="28" t="n">
        <v>7927</v>
      </c>
      <c r="Z5546" s="28"/>
      <c r="AA5546" s="28" t="n">
        <f aca="false">Z5546*$M5546</f>
        <v>0</v>
      </c>
      <c r="AB5546" s="28" t="n">
        <f aca="false">33770/100</f>
        <v>337.7</v>
      </c>
      <c r="AC5546" s="28" t="n">
        <v>59097</v>
      </c>
      <c r="AD5546" s="28"/>
      <c r="AE5546" s="28" t="n">
        <f aca="false">AD5546*$M5546</f>
        <v>0</v>
      </c>
      <c r="AF5546" s="28" t="n">
        <f aca="false">4712/100</f>
        <v>47.12</v>
      </c>
      <c r="AG5546" s="28" t="n">
        <v>8246</v>
      </c>
      <c r="AH5546" s="28" t="n">
        <f aca="false">55822/100</f>
        <v>558.22</v>
      </c>
      <c r="AI5546" s="28" t="n">
        <v>97688</v>
      </c>
      <c r="AJ5546" s="28"/>
      <c r="AK5546" s="28" t="n">
        <f aca="false">AJ5546*$M5546</f>
        <v>0</v>
      </c>
      <c r="AL5546" s="28"/>
      <c r="AM5546" s="28" t="n">
        <f aca="false">AL5546*$M5546</f>
        <v>0</v>
      </c>
      <c r="AN5546" s="28"/>
      <c r="AO5546" s="28" t="n">
        <f aca="false">AN5546*$M5546</f>
        <v>0</v>
      </c>
      <c r="AP5546" s="28"/>
      <c r="AQ5546" s="28" t="n">
        <f aca="false">AP5546*$M5546</f>
        <v>0</v>
      </c>
      <c r="AR5546" s="28"/>
      <c r="AS5546" s="28" t="n">
        <f aca="false">AR5546*$M5546</f>
        <v>0</v>
      </c>
      <c r="AT5546" s="28"/>
      <c r="AU5546" s="28" t="n">
        <f aca="false">AT5546*$M5546</f>
        <v>0</v>
      </c>
      <c r="AV5546" s="28"/>
      <c r="AW5546" s="28" t="n">
        <f aca="false">AV5546*$M5546</f>
        <v>0</v>
      </c>
      <c r="AX5546" s="28"/>
      <c r="AY5546" s="28" t="n">
        <f aca="false">AX5546*$M5546</f>
        <v>0</v>
      </c>
      <c r="AZ5546" s="30" t="n">
        <f aca="false">288259/100</f>
        <v>2882.59</v>
      </c>
      <c r="BA5546" s="11" t="n">
        <v>504451</v>
      </c>
      <c r="BB5546" s="31" t="n">
        <f aca="false">SUM(Q5546,S5546,U5546,W5546,Y5546,AA5546,AC5546,AE5546,AG5546,AI5546,AK5546,AM5546,AO5546,AQ5546,AS5546,AU5546,AW5546,AY5546)</f>
        <v>504451</v>
      </c>
      <c r="BC5546" s="28" t="n">
        <f aca="false">BA5546-BB5546</f>
        <v>0</v>
      </c>
      <c r="BD5546" s="32" t="n">
        <f aca="false">SUM(P5546,R5546,T5546,V5546,X5546,Z5546,AB5546,AD5546,AF5546,AH5546,AJ5546,AL5546,AN5546,AP5546,AR5546,AT5546,AV5546,AX5546)</f>
        <v>2882.59</v>
      </c>
      <c r="BE5546" s="33" t="n">
        <f aca="false">AZ5546-BD5546</f>
        <v>0</v>
      </c>
      <c r="BF5546" s="34" t="n">
        <f aca="false">BD5546*M5546</f>
        <v>504453.25</v>
      </c>
      <c r="BG5546" s="35" t="n">
        <f aca="false">BA5546-BF5546</f>
        <v>-2.24999999994179</v>
      </c>
      <c r="BH5546" s="19" t="str">
        <f aca="false">IF(BG5546=0,"",IF(BG5546&lt;&gt;BA5546,"erreur de calcul",IF(BD5546&lt;&gt;0,"pas de prix",IF(M5546&lt;&gt; 0,"pas de quantité","pas de prix, ni de quantité"))))</f>
        <v>erreur de calcul</v>
      </c>
      <c r="BI5546" s="19"/>
    </row>
    <row r="5547" customFormat="false" ht="15" hidden="false" customHeight="false" outlineLevel="0" collapsed="false">
      <c r="A5547" s="0" t="n">
        <v>34</v>
      </c>
      <c r="B5547" s="8" t="s">
        <v>24</v>
      </c>
      <c r="C5547" s="9" t="s">
        <v>25</v>
      </c>
      <c r="D5547" s="9" t="s">
        <v>26</v>
      </c>
      <c r="E5547" s="10" t="n">
        <v>1789</v>
      </c>
      <c r="F5547" s="9" t="s">
        <v>27</v>
      </c>
      <c r="G5547" s="9" t="s">
        <v>27</v>
      </c>
      <c r="H5547" s="11" t="n">
        <v>25</v>
      </c>
      <c r="I5547" s="11" t="s">
        <v>362</v>
      </c>
      <c r="J5547" s="14" t="n">
        <v>150</v>
      </c>
      <c r="K5547" s="14"/>
      <c r="L5547" s="16"/>
      <c r="M5547" s="27" t="n">
        <f aca="false">J5547+(K5547/20)+(L5547/240)</f>
        <v>150</v>
      </c>
      <c r="N5547" s="17" t="s">
        <v>64</v>
      </c>
      <c r="O5547" s="11"/>
      <c r="P5547" s="28"/>
      <c r="Q5547" s="28" t="n">
        <f aca="false">P5547*$M5547</f>
        <v>0</v>
      </c>
      <c r="R5547" s="28"/>
      <c r="S5547" s="28" t="n">
        <f aca="false">R5547*$M5547</f>
        <v>0</v>
      </c>
      <c r="T5547" s="28" t="n">
        <f aca="false">1842/100</f>
        <v>18.42</v>
      </c>
      <c r="U5547" s="28" t="n">
        <v>2763</v>
      </c>
      <c r="V5547" s="28" t="n">
        <f aca="false">684/100</f>
        <v>6.84</v>
      </c>
      <c r="W5547" s="28" t="n">
        <v>1026</v>
      </c>
      <c r="X5547" s="28"/>
      <c r="Y5547" s="28" t="n">
        <f aca="false">X5547*$M5547</f>
        <v>0</v>
      </c>
      <c r="Z5547" s="28"/>
      <c r="AA5547" s="28" t="n">
        <f aca="false">Z5547*$M5547</f>
        <v>0</v>
      </c>
      <c r="AB5547" s="28"/>
      <c r="AC5547" s="28" t="n">
        <f aca="false">AB5547*$M5547</f>
        <v>0</v>
      </c>
      <c r="AD5547" s="28"/>
      <c r="AE5547" s="28" t="n">
        <f aca="false">AD5547*$M5547</f>
        <v>0</v>
      </c>
      <c r="AF5547" s="28"/>
      <c r="AG5547" s="28" t="n">
        <f aca="false">AF5547*$M5547</f>
        <v>0</v>
      </c>
      <c r="AH5547" s="28"/>
      <c r="AI5547" s="28" t="n">
        <f aca="false">AH5547*$M5547</f>
        <v>0</v>
      </c>
      <c r="AJ5547" s="28"/>
      <c r="AK5547" s="28" t="n">
        <f aca="false">AJ5547*$M5547</f>
        <v>0</v>
      </c>
      <c r="AL5547" s="28"/>
      <c r="AM5547" s="28" t="n">
        <f aca="false">AL5547*$M5547</f>
        <v>0</v>
      </c>
      <c r="AN5547" s="28"/>
      <c r="AO5547" s="28" t="n">
        <f aca="false">AN5547*$M5547</f>
        <v>0</v>
      </c>
      <c r="AP5547" s="28"/>
      <c r="AQ5547" s="28" t="n">
        <f aca="false">AP5547*$M5547</f>
        <v>0</v>
      </c>
      <c r="AR5547" s="28"/>
      <c r="AS5547" s="28" t="n">
        <f aca="false">AR5547*$M5547</f>
        <v>0</v>
      </c>
      <c r="AT5547" s="28"/>
      <c r="AU5547" s="28" t="n">
        <f aca="false">AT5547*$M5547</f>
        <v>0</v>
      </c>
      <c r="AV5547" s="28"/>
      <c r="AW5547" s="28" t="n">
        <f aca="false">AV5547*$M5547</f>
        <v>0</v>
      </c>
      <c r="AX5547" s="28"/>
      <c r="AY5547" s="28" t="n">
        <f aca="false">AX5547*$M5547</f>
        <v>0</v>
      </c>
      <c r="AZ5547" s="30" t="n">
        <f aca="false">2526/100</f>
        <v>25.26</v>
      </c>
      <c r="BA5547" s="11" t="n">
        <v>3789</v>
      </c>
      <c r="BB5547" s="31" t="n">
        <f aca="false">SUM(Q5547,S5547,U5547,W5547,Y5547,AA5547,AC5547,AE5547,AG5547,AI5547,AK5547,AM5547,AO5547,AQ5547,AS5547,AU5547,AW5547,AY5547)</f>
        <v>3789</v>
      </c>
      <c r="BC5547" s="28" t="n">
        <f aca="false">BA5547-BB5547</f>
        <v>0</v>
      </c>
      <c r="BD5547" s="32" t="n">
        <f aca="false">SUM(P5547,R5547,T5547,V5547,X5547,Z5547,AB5547,AD5547,AF5547,AH5547,AJ5547,AL5547,AN5547,AP5547,AR5547,AT5547,AV5547,AX5547)</f>
        <v>25.26</v>
      </c>
      <c r="BE5547" s="33" t="n">
        <f aca="false">AZ5547-BD5547</f>
        <v>0</v>
      </c>
      <c r="BF5547" s="34" t="n">
        <f aca="false">BD5547*M5547</f>
        <v>3789</v>
      </c>
      <c r="BG5547" s="35" t="n">
        <f aca="false">BA5547-BF5547</f>
        <v>0</v>
      </c>
      <c r="BH5547" s="19" t="str">
        <f aca="false">IF(BG5547=0,"",IF(BG5547&lt;&gt;BA5547,"erreur de calcul",IF(BD5547&lt;&gt;0,"pas de prix",IF(M5547&lt;&gt; 0,"pas de quantité","pas de prix, ni de quantité"))))</f>
        <v/>
      </c>
      <c r="BI5547" s="19"/>
    </row>
    <row r="5548" customFormat="false" ht="15" hidden="false" customHeight="false" outlineLevel="0" collapsed="false">
      <c r="A5548" s="0" t="n">
        <v>35</v>
      </c>
      <c r="B5548" s="8" t="s">
        <v>24</v>
      </c>
      <c r="C5548" s="9" t="s">
        <v>25</v>
      </c>
      <c r="D5548" s="9" t="s">
        <v>26</v>
      </c>
      <c r="E5548" s="10" t="n">
        <v>1789</v>
      </c>
      <c r="F5548" s="9" t="s">
        <v>27</v>
      </c>
      <c r="G5548" s="9" t="s">
        <v>27</v>
      </c>
      <c r="H5548" s="11" t="n">
        <v>25</v>
      </c>
      <c r="I5548" s="11" t="s">
        <v>363</v>
      </c>
      <c r="J5548" s="14" t="n">
        <v>150</v>
      </c>
      <c r="K5548" s="14"/>
      <c r="L5548" s="16"/>
      <c r="M5548" s="27" t="n">
        <f aca="false">J5548+(K5548/20)+(L5548/240)</f>
        <v>150</v>
      </c>
      <c r="N5548" s="17" t="s">
        <v>64</v>
      </c>
      <c r="O5548" s="11" t="s">
        <v>77</v>
      </c>
      <c r="P5548" s="28"/>
      <c r="Q5548" s="28" t="n">
        <f aca="false">P5548*$M5548</f>
        <v>0</v>
      </c>
      <c r="R5548" s="28"/>
      <c r="S5548" s="28" t="n">
        <f aca="false">R5548*$M5548</f>
        <v>0</v>
      </c>
      <c r="T5548" s="28"/>
      <c r="U5548" s="28" t="n">
        <f aca="false">T5548*$M5548</f>
        <v>0</v>
      </c>
      <c r="V5548" s="28" t="n">
        <f aca="false">1501/100</f>
        <v>15.01</v>
      </c>
      <c r="W5548" s="28" t="n">
        <v>2251</v>
      </c>
      <c r="X5548" s="28"/>
      <c r="Y5548" s="28" t="n">
        <f aca="false">X5548*$M5548</f>
        <v>0</v>
      </c>
      <c r="Z5548" s="28" t="n">
        <f aca="false">6420/100</f>
        <v>64.2</v>
      </c>
      <c r="AA5548" s="28" t="n">
        <v>9630</v>
      </c>
      <c r="AB5548" s="28"/>
      <c r="AC5548" s="28" t="n">
        <f aca="false">AB5548*$M5548</f>
        <v>0</v>
      </c>
      <c r="AD5548" s="28"/>
      <c r="AE5548" s="28" t="n">
        <f aca="false">AD5548*$M5548</f>
        <v>0</v>
      </c>
      <c r="AF5548" s="28"/>
      <c r="AG5548" s="28" t="n">
        <f aca="false">AF5548*$M5548</f>
        <v>0</v>
      </c>
      <c r="AH5548" s="28" t="n">
        <f aca="false">138039/100</f>
        <v>1380.39</v>
      </c>
      <c r="AI5548" s="28" t="n">
        <v>207058</v>
      </c>
      <c r="AJ5548" s="28"/>
      <c r="AK5548" s="28" t="n">
        <f aca="false">AJ5548*$M5548</f>
        <v>0</v>
      </c>
      <c r="AL5548" s="28" t="n">
        <f aca="false">917/100</f>
        <v>9.17</v>
      </c>
      <c r="AM5548" s="28" t="n">
        <v>1375</v>
      </c>
      <c r="AN5548" s="28"/>
      <c r="AO5548" s="28" t="n">
        <f aca="false">AN5548*$M5548</f>
        <v>0</v>
      </c>
      <c r="AP5548" s="28"/>
      <c r="AQ5548" s="28" t="n">
        <f aca="false">AP5548*$M5548</f>
        <v>0</v>
      </c>
      <c r="AR5548" s="28"/>
      <c r="AS5548" s="28" t="n">
        <f aca="false">AR5548*$M5548</f>
        <v>0</v>
      </c>
      <c r="AT5548" s="28"/>
      <c r="AU5548" s="28" t="n">
        <f aca="false">AT5548*$M5548</f>
        <v>0</v>
      </c>
      <c r="AV5548" s="28"/>
      <c r="AW5548" s="28" t="n">
        <f aca="false">AV5548*$M5548</f>
        <v>0</v>
      </c>
      <c r="AX5548" s="28"/>
      <c r="AY5548" s="28" t="n">
        <f aca="false">AX5548*$M5548</f>
        <v>0</v>
      </c>
      <c r="AZ5548" s="30" t="n">
        <f aca="false">146877/100</f>
        <v>1468.77</v>
      </c>
      <c r="BA5548" s="11" t="n">
        <v>220314</v>
      </c>
      <c r="BB5548" s="31" t="n">
        <f aca="false">SUM(Q5548,S5548,U5548,W5548,Y5548,AA5548,AC5548,AE5548,AG5548,AI5548,AK5548,AM5548,AO5548,AQ5548,AS5548,AU5548,AW5548,AY5548)</f>
        <v>220314</v>
      </c>
      <c r="BC5548" s="28" t="n">
        <f aca="false">BA5548-BB5548</f>
        <v>0</v>
      </c>
      <c r="BD5548" s="32" t="n">
        <f aca="false">SUM(P5548,R5548,T5548,V5548,X5548,Z5548,AB5548,AD5548,AF5548,AH5548,AJ5548,AL5548,AN5548,AP5548,AR5548,AT5548,AV5548,AX5548)</f>
        <v>1468.77</v>
      </c>
      <c r="BE5548" s="33" t="n">
        <f aca="false">AZ5548-BD5548</f>
        <v>0</v>
      </c>
      <c r="BF5548" s="34" t="n">
        <f aca="false">BD5548*M5548</f>
        <v>220315.5</v>
      </c>
      <c r="BG5548" s="35" t="n">
        <f aca="false">BA5548-BF5548</f>
        <v>-1.5000000000291</v>
      </c>
      <c r="BH5548" s="19" t="str">
        <f aca="false">IF(BG5548=0,"",IF(BG5548&lt;&gt;BA5548,"erreur de calcul",IF(BD5548&lt;&gt;0,"pas de prix",IF(M5548&lt;&gt; 0,"pas de quantité","pas de prix, ni de quantité"))))</f>
        <v>erreur de calcul</v>
      </c>
      <c r="BI5548" s="19"/>
    </row>
    <row r="5549" customFormat="false" ht="15" hidden="false" customHeight="false" outlineLevel="0" collapsed="false">
      <c r="A5549" s="0" t="n">
        <v>36</v>
      </c>
      <c r="B5549" s="8" t="s">
        <v>24</v>
      </c>
      <c r="C5549" s="9" t="s">
        <v>25</v>
      </c>
      <c r="D5549" s="9" t="s">
        <v>26</v>
      </c>
      <c r="E5549" s="10" t="n">
        <v>1789</v>
      </c>
      <c r="F5549" s="9" t="s">
        <v>27</v>
      </c>
      <c r="G5549" s="9" t="s">
        <v>27</v>
      </c>
      <c r="H5549" s="11" t="n">
        <v>25</v>
      </c>
      <c r="I5549" s="11" t="s">
        <v>364</v>
      </c>
      <c r="J5549" s="14" t="n">
        <v>122</v>
      </c>
      <c r="K5549" s="14"/>
      <c r="L5549" s="16"/>
      <c r="M5549" s="27" t="n">
        <f aca="false">J5549+(K5549/20)+(L5549/240)</f>
        <v>122</v>
      </c>
      <c r="N5549" s="17" t="s">
        <v>64</v>
      </c>
      <c r="O5549" s="11" t="s">
        <v>77</v>
      </c>
      <c r="P5549" s="28" t="n">
        <f aca="false">2402/100</f>
        <v>24.02</v>
      </c>
      <c r="Q5549" s="28" t="n">
        <v>2930</v>
      </c>
      <c r="R5549" s="28"/>
      <c r="S5549" s="28" t="n">
        <f aca="false">R5549*$M5549</f>
        <v>0</v>
      </c>
      <c r="T5549" s="28" t="n">
        <f aca="false">3566/100</f>
        <v>35.66</v>
      </c>
      <c r="U5549" s="36" t="n">
        <v>4550</v>
      </c>
      <c r="V5549" s="28" t="n">
        <f aca="false">917/100</f>
        <v>9.17</v>
      </c>
      <c r="W5549" s="28" t="n">
        <v>1119</v>
      </c>
      <c r="X5549" s="28"/>
      <c r="Y5549" s="28" t="n">
        <f aca="false">X5549*$M5549</f>
        <v>0</v>
      </c>
      <c r="Z5549" s="28"/>
      <c r="AA5549" s="28" t="n">
        <f aca="false">Z5549*$M5549</f>
        <v>0</v>
      </c>
      <c r="AB5549" s="28" t="n">
        <f aca="false">28087/100</f>
        <v>280.87</v>
      </c>
      <c r="AC5549" s="28" t="n">
        <v>34266</v>
      </c>
      <c r="AD5549" s="28" t="n">
        <f aca="false">1505/100</f>
        <v>15.05</v>
      </c>
      <c r="AE5549" s="28" t="n">
        <v>1836</v>
      </c>
      <c r="AF5549" s="28"/>
      <c r="AG5549" s="28" t="n">
        <f aca="false">AF5549*$M5549</f>
        <v>0</v>
      </c>
      <c r="AH5549" s="28" t="n">
        <f aca="false">15314/100</f>
        <v>153.14</v>
      </c>
      <c r="AI5549" s="28" t="n">
        <v>18683</v>
      </c>
      <c r="AJ5549" s="28"/>
      <c r="AK5549" s="28" t="n">
        <f aca="false">AJ5549*$M5549</f>
        <v>0</v>
      </c>
      <c r="AL5549" s="28"/>
      <c r="AM5549" s="28" t="n">
        <f aca="false">AL5549*$M5549</f>
        <v>0</v>
      </c>
      <c r="AN5549" s="28"/>
      <c r="AO5549" s="28" t="n">
        <f aca="false">AN5549*$M5549</f>
        <v>0</v>
      </c>
      <c r="AP5549" s="28"/>
      <c r="AQ5549" s="28" t="n">
        <f aca="false">AP5549*$M5549</f>
        <v>0</v>
      </c>
      <c r="AR5549" s="28"/>
      <c r="AS5549" s="28" t="n">
        <f aca="false">AR5549*$M5549</f>
        <v>0</v>
      </c>
      <c r="AT5549" s="28"/>
      <c r="AU5549" s="28" t="n">
        <f aca="false">AT5549*$M5549</f>
        <v>0</v>
      </c>
      <c r="AV5549" s="28"/>
      <c r="AW5549" s="28" t="n">
        <f aca="false">AV5549*$M5549</f>
        <v>0</v>
      </c>
      <c r="AX5549" s="28"/>
      <c r="AY5549" s="28" t="n">
        <f aca="false">AX5549*$M5549</f>
        <v>0</v>
      </c>
      <c r="AZ5549" s="30" t="n">
        <f aca="false">51791/100</f>
        <v>517.91</v>
      </c>
      <c r="BA5549" s="11" t="n">
        <v>63384</v>
      </c>
      <c r="BB5549" s="31" t="n">
        <f aca="false">SUM(Q5549,S5549,U5549,W5549,Y5549,AA5549,AC5549,AE5549,AG5549,AI5549,AK5549,AM5549,AO5549,AQ5549,AS5549,AU5549,AW5549,AY5549)</f>
        <v>63384</v>
      </c>
      <c r="BC5549" s="28" t="n">
        <f aca="false">BA5549-BB5549</f>
        <v>0</v>
      </c>
      <c r="BD5549" s="32" t="n">
        <f aca="false">SUM(P5549,R5549,T5549,V5549,X5549,Z5549,AB5549,AD5549,AF5549,AH5549,AJ5549,AL5549,AN5549,AP5549,AR5549,AT5549,AV5549,AX5549)</f>
        <v>517.91</v>
      </c>
      <c r="BE5549" s="33" t="n">
        <f aca="false">AZ5549-BD5549</f>
        <v>0</v>
      </c>
      <c r="BF5549" s="34" t="n">
        <f aca="false">BD5549*M5549</f>
        <v>63185.02</v>
      </c>
      <c r="BG5549" s="35" t="n">
        <f aca="false">BA5549-BF5549</f>
        <v>198.980000000003</v>
      </c>
      <c r="BH5549" s="19" t="str">
        <f aca="false">IF(BG5549=0,"",IF(BG5549&lt;&gt;BA5549,"erreur de calcul",IF(BD5549&lt;&gt;0,"pas de prix",IF(M5549&lt;&gt; 0,"pas de quantité","pas de prix, ni de quantité"))))</f>
        <v>erreur de calcul</v>
      </c>
      <c r="BI5549" s="19"/>
    </row>
    <row r="5550" customFormat="false" ht="15" hidden="false" customHeight="false" outlineLevel="0" collapsed="false">
      <c r="A5550" s="0" t="n">
        <v>37</v>
      </c>
      <c r="B5550" s="8" t="s">
        <v>24</v>
      </c>
      <c r="C5550" s="9" t="s">
        <v>25</v>
      </c>
      <c r="D5550" s="9" t="s">
        <v>26</v>
      </c>
      <c r="E5550" s="10" t="n">
        <v>1789</v>
      </c>
      <c r="F5550" s="9" t="s">
        <v>27</v>
      </c>
      <c r="G5550" s="9" t="s">
        <v>27</v>
      </c>
      <c r="H5550" s="11" t="n">
        <v>25</v>
      </c>
      <c r="I5550" s="11" t="s">
        <v>365</v>
      </c>
      <c r="J5550" s="14" t="n">
        <v>107</v>
      </c>
      <c r="K5550" s="14"/>
      <c r="L5550" s="16"/>
      <c r="M5550" s="27" t="n">
        <f aca="false">J5550+(K5550/20)+(L5550/240)</f>
        <v>107</v>
      </c>
      <c r="N5550" s="17" t="s">
        <v>64</v>
      </c>
      <c r="O5550" s="11" t="s">
        <v>77</v>
      </c>
      <c r="P5550" s="28"/>
      <c r="Q5550" s="28" t="n">
        <f aca="false">P5550*$M5550</f>
        <v>0</v>
      </c>
      <c r="R5550" s="28"/>
      <c r="S5550" s="28" t="n">
        <f aca="false">R5550*$M5550</f>
        <v>0</v>
      </c>
      <c r="T5550" s="28" t="n">
        <f aca="false">1834/100</f>
        <v>18.34</v>
      </c>
      <c r="U5550" s="28" t="n">
        <v>1962</v>
      </c>
      <c r="V5550" s="28"/>
      <c r="W5550" s="28" t="n">
        <f aca="false">V5550*$M5550</f>
        <v>0</v>
      </c>
      <c r="X5550" s="28"/>
      <c r="Y5550" s="28" t="n">
        <f aca="false">X5550*$M5550</f>
        <v>0</v>
      </c>
      <c r="Z5550" s="28"/>
      <c r="AA5550" s="28" t="n">
        <f aca="false">Z5550*$M5550</f>
        <v>0</v>
      </c>
      <c r="AB5550" s="28"/>
      <c r="AC5550" s="28" t="n">
        <f aca="false">AB5550*$M5550</f>
        <v>0</v>
      </c>
      <c r="AD5550" s="28"/>
      <c r="AE5550" s="28" t="n">
        <f aca="false">AD5550*$M5550</f>
        <v>0</v>
      </c>
      <c r="AF5550" s="28" t="n">
        <f aca="false">5202/100</f>
        <v>52.02</v>
      </c>
      <c r="AG5550" s="28" t="n">
        <v>5566</v>
      </c>
      <c r="AH5550" s="28"/>
      <c r="AI5550" s="28" t="n">
        <f aca="false">AH5550*$M5550</f>
        <v>0</v>
      </c>
      <c r="AJ5550" s="28" t="n">
        <f aca="false">3209/100</f>
        <v>32.09</v>
      </c>
      <c r="AK5550" s="28" t="n">
        <v>3434</v>
      </c>
      <c r="AL5550" s="28" t="n">
        <f aca="false">80682/100</f>
        <v>806.82</v>
      </c>
      <c r="AM5550" s="28" t="n">
        <v>86329</v>
      </c>
      <c r="AN5550" s="28"/>
      <c r="AO5550" s="28" t="n">
        <f aca="false">AN5550*$M5550</f>
        <v>0</v>
      </c>
      <c r="AP5550" s="28"/>
      <c r="AQ5550" s="28" t="n">
        <f aca="false">AP5550*$M5550</f>
        <v>0</v>
      </c>
      <c r="AR5550" s="28"/>
      <c r="AS5550" s="28" t="n">
        <f aca="false">AR5550*$M5550</f>
        <v>0</v>
      </c>
      <c r="AT5550" s="28"/>
      <c r="AU5550" s="28" t="n">
        <f aca="false">AT5550*$M5550</f>
        <v>0</v>
      </c>
      <c r="AV5550" s="28"/>
      <c r="AW5550" s="28" t="n">
        <f aca="false">AV5550*$M5550</f>
        <v>0</v>
      </c>
      <c r="AX5550" s="28"/>
      <c r="AY5550" s="28" t="n">
        <f aca="false">AX5550*$M5550</f>
        <v>0</v>
      </c>
      <c r="AZ5550" s="30" t="n">
        <f aca="false">90927/100</f>
        <v>909.27</v>
      </c>
      <c r="BA5550" s="11" t="n">
        <v>97291</v>
      </c>
      <c r="BB5550" s="31" t="n">
        <f aca="false">SUM(Q5550,S5550,U5550,W5550,Y5550,AA5550,AC5550,AE5550,AG5550,AI5550,AK5550,AM5550,AO5550,AQ5550,AS5550,AU5550,AW5550,AY5550)</f>
        <v>97291</v>
      </c>
      <c r="BC5550" s="28" t="n">
        <f aca="false">BA5550-BB5550</f>
        <v>0</v>
      </c>
      <c r="BD5550" s="32" t="n">
        <f aca="false">SUM(P5550,R5550,T5550,V5550,X5550,Z5550,AB5550,AD5550,AF5550,AH5550,AJ5550,AL5550,AN5550,AP5550,AR5550,AT5550,AV5550,AX5550)</f>
        <v>909.27</v>
      </c>
      <c r="BE5550" s="33" t="n">
        <f aca="false">AZ5550-BD5550</f>
        <v>0</v>
      </c>
      <c r="BF5550" s="34" t="n">
        <f aca="false">BD5550*M5550</f>
        <v>97291.89</v>
      </c>
      <c r="BG5550" s="35" t="n">
        <f aca="false">BA5550-BF5550</f>
        <v>-0.89000000001397</v>
      </c>
      <c r="BH5550" s="19" t="str">
        <f aca="false">IF(BG5550=0,"",IF(BG5550&lt;&gt;BA5550,"erreur de calcul",IF(BD5550&lt;&gt;0,"pas de prix",IF(M5550&lt;&gt; 0,"pas de quantité","pas de prix, ni de quantité"))))</f>
        <v>erreur de calcul</v>
      </c>
      <c r="BI5550" s="19"/>
    </row>
    <row r="5551" customFormat="false" ht="15" hidden="false" customHeight="false" outlineLevel="0" collapsed="false">
      <c r="A5551" s="0" t="n">
        <v>38</v>
      </c>
      <c r="B5551" s="8" t="s">
        <v>24</v>
      </c>
      <c r="C5551" s="9" t="s">
        <v>25</v>
      </c>
      <c r="D5551" s="9" t="s">
        <v>26</v>
      </c>
      <c r="E5551" s="10" t="n">
        <v>1789</v>
      </c>
      <c r="F5551" s="9" t="s">
        <v>27</v>
      </c>
      <c r="G5551" s="9" t="s">
        <v>27</v>
      </c>
      <c r="H5551" s="11" t="n">
        <v>25</v>
      </c>
      <c r="I5551" s="11" t="s">
        <v>366</v>
      </c>
      <c r="J5551" s="14"/>
      <c r="K5551" s="14"/>
      <c r="L5551" s="16"/>
      <c r="M5551" s="27" t="n">
        <f aca="false">J5551+(K5551/20)+(L5551/240)</f>
        <v>0</v>
      </c>
      <c r="N5551" s="17" t="s">
        <v>66</v>
      </c>
      <c r="O5551" s="11"/>
      <c r="P5551" s="28"/>
      <c r="Q5551" s="28" t="n">
        <f aca="false">P5551*$M5551</f>
        <v>0</v>
      </c>
      <c r="R5551" s="28"/>
      <c r="S5551" s="28" t="n">
        <f aca="false">R5551*$M5551</f>
        <v>0</v>
      </c>
      <c r="T5551" s="28"/>
      <c r="U5551" s="28" t="n">
        <f aca="false">T5551*$M5551</f>
        <v>0</v>
      </c>
      <c r="V5551" s="28" t="n">
        <v>797</v>
      </c>
      <c r="W5551" s="28" t="n">
        <v>720</v>
      </c>
      <c r="X5551" s="28"/>
      <c r="Y5551" s="28" t="n">
        <f aca="false">X5551*$M5551</f>
        <v>0</v>
      </c>
      <c r="Z5551" s="28"/>
      <c r="AA5551" s="28" t="n">
        <f aca="false">Z5551*$M5551</f>
        <v>0</v>
      </c>
      <c r="AB5551" s="28"/>
      <c r="AC5551" s="28" t="n">
        <f aca="false">AB5551*$M5551</f>
        <v>0</v>
      </c>
      <c r="AD5551" s="28"/>
      <c r="AE5551" s="28" t="n">
        <f aca="false">AD5551*$M5551</f>
        <v>0</v>
      </c>
      <c r="AF5551" s="28"/>
      <c r="AG5551" s="28" t="n">
        <f aca="false">AF5551*$M5551</f>
        <v>0</v>
      </c>
      <c r="AH5551" s="28"/>
      <c r="AI5551" s="28" t="n">
        <f aca="false">AH5551*$M5551</f>
        <v>0</v>
      </c>
      <c r="AJ5551" s="28"/>
      <c r="AK5551" s="28" t="n">
        <f aca="false">AJ5551*$M5551</f>
        <v>0</v>
      </c>
      <c r="AL5551" s="28"/>
      <c r="AM5551" s="28" t="n">
        <f aca="false">AL5551*$M5551</f>
        <v>0</v>
      </c>
      <c r="AN5551" s="28"/>
      <c r="AO5551" s="28" t="n">
        <f aca="false">AN5551*$M5551</f>
        <v>0</v>
      </c>
      <c r="AP5551" s="28"/>
      <c r="AQ5551" s="28" t="n">
        <f aca="false">AP5551*$M5551</f>
        <v>0</v>
      </c>
      <c r="AR5551" s="28"/>
      <c r="AS5551" s="28" t="n">
        <f aca="false">AR5551*$M5551</f>
        <v>0</v>
      </c>
      <c r="AT5551" s="28"/>
      <c r="AU5551" s="28" t="n">
        <f aca="false">AT5551*$M5551</f>
        <v>0</v>
      </c>
      <c r="AV5551" s="28"/>
      <c r="AW5551" s="28" t="n">
        <f aca="false">AV5551*$M5551</f>
        <v>0</v>
      </c>
      <c r="AX5551" s="28"/>
      <c r="AY5551" s="28" t="n">
        <f aca="false">AX5551*$M5551</f>
        <v>0</v>
      </c>
      <c r="AZ5551" s="30" t="n">
        <v>797</v>
      </c>
      <c r="BA5551" s="11" t="n">
        <v>720</v>
      </c>
      <c r="BB5551" s="31" t="n">
        <f aca="false">SUM(Q5551,S5551,U5551,W5551,Y5551,AA5551,AC5551,AE5551,AG5551,AI5551,AK5551,AM5551,AO5551,AQ5551,AS5551,AU5551,AW5551,AY5551)</f>
        <v>720</v>
      </c>
      <c r="BC5551" s="28" t="n">
        <f aca="false">BA5551-BB5551</f>
        <v>0</v>
      </c>
      <c r="BD5551" s="32" t="n">
        <f aca="false">SUM(P5551,R5551,T5551,V5551,X5551,Z5551,AB5551,AD5551,AF5551,AH5551,AJ5551,AL5551,AN5551,AP5551,AR5551,AT5551,AV5551,AX5551)</f>
        <v>797</v>
      </c>
      <c r="BE5551" s="33" t="n">
        <f aca="false">AZ5551-BD5551</f>
        <v>0</v>
      </c>
      <c r="BF5551" s="34" t="n">
        <f aca="false">BD5551*M5551</f>
        <v>0</v>
      </c>
      <c r="BG5551" s="35" t="n">
        <f aca="false">BA5551-BF5551</f>
        <v>720</v>
      </c>
      <c r="BH5551" s="19" t="str">
        <f aca="false">IF(BG5551=0,"",IF(BG5551&lt;&gt;BA5551,"erreur de calcul",IF(BD5551&lt;&gt;0,"pas de prix",IF(M5551&lt;&gt; 0,"pas de quantité","pas de prix, ni de quantité"))))</f>
        <v>pas de prix</v>
      </c>
      <c r="BI5551" s="19" t="s">
        <v>367</v>
      </c>
    </row>
    <row r="5552" customFormat="false" ht="15" hidden="false" customHeight="false" outlineLevel="0" collapsed="false">
      <c r="A5552" s="0" t="n">
        <v>39</v>
      </c>
      <c r="B5552" s="8" t="s">
        <v>24</v>
      </c>
      <c r="C5552" s="9" t="s">
        <v>25</v>
      </c>
      <c r="D5552" s="9" t="s">
        <v>26</v>
      </c>
      <c r="E5552" s="10" t="n">
        <v>1789</v>
      </c>
      <c r="F5552" s="9" t="s">
        <v>27</v>
      </c>
      <c r="G5552" s="9" t="s">
        <v>27</v>
      </c>
      <c r="H5552" s="11" t="n">
        <v>25</v>
      </c>
      <c r="I5552" s="11" t="s">
        <v>368</v>
      </c>
      <c r="J5552" s="14" t="n">
        <v>4</v>
      </c>
      <c r="K5552" s="14"/>
      <c r="L5552" s="16"/>
      <c r="M5552" s="27" t="n">
        <f aca="false">J5552+(K5552/20)+(L5552/240)</f>
        <v>4</v>
      </c>
      <c r="N5552" s="17" t="s">
        <v>64</v>
      </c>
      <c r="O5552" s="11"/>
      <c r="P5552" s="28"/>
      <c r="Q5552" s="28" t="n">
        <f aca="false">P5552*$M5552</f>
        <v>0</v>
      </c>
      <c r="R5552" s="28"/>
      <c r="S5552" s="28" t="n">
        <f aca="false">R5552*$M5552</f>
        <v>0</v>
      </c>
      <c r="T5552" s="28"/>
      <c r="U5552" s="28" t="n">
        <f aca="false">T5552*$M5552</f>
        <v>0</v>
      </c>
      <c r="V5552" s="28" t="n">
        <f aca="false">23693/100</f>
        <v>236.93</v>
      </c>
      <c r="W5552" s="28" t="n">
        <v>948</v>
      </c>
      <c r="X5552" s="28"/>
      <c r="Y5552" s="28" t="n">
        <f aca="false">X5552*$M5552</f>
        <v>0</v>
      </c>
      <c r="Z5552" s="28"/>
      <c r="AA5552" s="28" t="n">
        <f aca="false">Z5552*$M5552</f>
        <v>0</v>
      </c>
      <c r="AB5552" s="28"/>
      <c r="AC5552" s="28" t="n">
        <f aca="false">AB5552*$M5552</f>
        <v>0</v>
      </c>
      <c r="AD5552" s="28"/>
      <c r="AE5552" s="28" t="n">
        <f aca="false">AD5552*$M5552</f>
        <v>0</v>
      </c>
      <c r="AF5552" s="28"/>
      <c r="AG5552" s="28" t="n">
        <f aca="false">AF5552*$M5552</f>
        <v>0</v>
      </c>
      <c r="AH5552" s="28"/>
      <c r="AI5552" s="28" t="n">
        <f aca="false">AH5552*$M5552</f>
        <v>0</v>
      </c>
      <c r="AJ5552" s="28"/>
      <c r="AK5552" s="28" t="n">
        <f aca="false">AJ5552*$M5552</f>
        <v>0</v>
      </c>
      <c r="AL5552" s="28"/>
      <c r="AM5552" s="28" t="n">
        <f aca="false">AL5552*$M5552</f>
        <v>0</v>
      </c>
      <c r="AN5552" s="28"/>
      <c r="AO5552" s="28" t="n">
        <f aca="false">AN5552*$M5552</f>
        <v>0</v>
      </c>
      <c r="AP5552" s="28"/>
      <c r="AQ5552" s="28" t="n">
        <f aca="false">AP5552*$M5552</f>
        <v>0</v>
      </c>
      <c r="AR5552" s="28"/>
      <c r="AS5552" s="28" t="n">
        <f aca="false">AR5552*$M5552</f>
        <v>0</v>
      </c>
      <c r="AT5552" s="28"/>
      <c r="AU5552" s="28" t="n">
        <f aca="false">AT5552*$M5552</f>
        <v>0</v>
      </c>
      <c r="AV5552" s="28"/>
      <c r="AW5552" s="28" t="n">
        <f aca="false">AV5552*$M5552</f>
        <v>0</v>
      </c>
      <c r="AX5552" s="28"/>
      <c r="AY5552" s="28" t="n">
        <f aca="false">AX5552*$M5552</f>
        <v>0</v>
      </c>
      <c r="AZ5552" s="30" t="n">
        <f aca="false">23693/100</f>
        <v>236.93</v>
      </c>
      <c r="BA5552" s="11" t="n">
        <v>948</v>
      </c>
      <c r="BB5552" s="31" t="n">
        <f aca="false">SUM(Q5552,S5552,U5552,W5552,Y5552,AA5552,AC5552,AE5552,AG5552,AI5552,AK5552,AM5552,AO5552,AQ5552,AS5552,AU5552,AW5552,AY5552)</f>
        <v>948</v>
      </c>
      <c r="BC5552" s="28" t="n">
        <f aca="false">BA5552-BB5552</f>
        <v>0</v>
      </c>
      <c r="BD5552" s="32" t="n">
        <f aca="false">SUM(P5552,R5552,T5552,V5552,X5552,Z5552,AB5552,AD5552,AF5552,AH5552,AJ5552,AL5552,AN5552,AP5552,AR5552,AT5552,AV5552,AX5552)</f>
        <v>236.93</v>
      </c>
      <c r="BE5552" s="33" t="n">
        <f aca="false">AZ5552-BD5552</f>
        <v>0</v>
      </c>
      <c r="BF5552" s="34" t="n">
        <f aca="false">BD5552*M5552</f>
        <v>947.72</v>
      </c>
      <c r="BG5552" s="35" t="n">
        <f aca="false">BA5552-BF5552</f>
        <v>0.279999999999973</v>
      </c>
      <c r="BH5552" s="19" t="str">
        <f aca="false">IF(BG5552=0,"",IF(BG5552&lt;&gt;BA5552,"erreur de calcul",IF(BD5552&lt;&gt;0,"pas de prix",IF(M5552&lt;&gt; 0,"pas de quantité","pas de prix, ni de quantité"))))</f>
        <v>erreur de calcul</v>
      </c>
      <c r="BI5552" s="19"/>
    </row>
    <row r="5553" customFormat="false" ht="15" hidden="false" customHeight="false" outlineLevel="0" collapsed="false">
      <c r="A5553" s="0" t="n">
        <v>40</v>
      </c>
      <c r="B5553" s="8" t="s">
        <v>24</v>
      </c>
      <c r="C5553" s="9" t="s">
        <v>25</v>
      </c>
      <c r="D5553" s="9" t="s">
        <v>26</v>
      </c>
      <c r="E5553" s="10" t="n">
        <v>1789</v>
      </c>
      <c r="F5553" s="9" t="s">
        <v>27</v>
      </c>
      <c r="G5553" s="9" t="s">
        <v>27</v>
      </c>
      <c r="H5553" s="11" t="n">
        <v>25</v>
      </c>
      <c r="I5553" s="11" t="s">
        <v>369</v>
      </c>
      <c r="J5553" s="14" t="n">
        <v>92</v>
      </c>
      <c r="K5553" s="14"/>
      <c r="L5553" s="16"/>
      <c r="M5553" s="27" t="n">
        <f aca="false">J5553+(K5553/20)+(L5553/240)</f>
        <v>92</v>
      </c>
      <c r="N5553" s="17" t="s">
        <v>64</v>
      </c>
      <c r="O5553" s="11"/>
      <c r="P5553" s="28"/>
      <c r="Q5553" s="28" t="n">
        <f aca="false">P5553*$M5553</f>
        <v>0</v>
      </c>
      <c r="R5553" s="28"/>
      <c r="S5553" s="28" t="n">
        <f aca="false">R5553*$M5553</f>
        <v>0</v>
      </c>
      <c r="T5553" s="28"/>
      <c r="U5553" s="28" t="n">
        <f aca="false">T5553*$M5553</f>
        <v>0</v>
      </c>
      <c r="V5553" s="28" t="n">
        <f aca="false">82878/100</f>
        <v>828.78</v>
      </c>
      <c r="W5553" s="28" t="n">
        <v>76248</v>
      </c>
      <c r="X5553" s="28" t="n">
        <f aca="false">44264/100</f>
        <v>442.64</v>
      </c>
      <c r="Y5553" s="36" t="n">
        <v>41023</v>
      </c>
      <c r="Z5553" s="28"/>
      <c r="AA5553" s="28" t="n">
        <f aca="false">Z5553*$M5553</f>
        <v>0</v>
      </c>
      <c r="AB5553" s="28"/>
      <c r="AC5553" s="28" t="n">
        <f aca="false">AB5553*$M5553</f>
        <v>0</v>
      </c>
      <c r="AD5553" s="28"/>
      <c r="AE5553" s="28" t="n">
        <f aca="false">AD5553*$M5553</f>
        <v>0</v>
      </c>
      <c r="AF5553" s="28"/>
      <c r="AG5553" s="28" t="n">
        <f aca="false">AF5553*$M5553</f>
        <v>0</v>
      </c>
      <c r="AH5553" s="28"/>
      <c r="AI5553" s="28" t="n">
        <f aca="false">AH5553*$M5553</f>
        <v>0</v>
      </c>
      <c r="AJ5553" s="28"/>
      <c r="AK5553" s="28" t="n">
        <f aca="false">AJ5553*$M5553</f>
        <v>0</v>
      </c>
      <c r="AL5553" s="28"/>
      <c r="AM5553" s="28" t="n">
        <f aca="false">AL5553*$M5553</f>
        <v>0</v>
      </c>
      <c r="AN5553" s="28"/>
      <c r="AO5553" s="28" t="n">
        <f aca="false">AN5553*$M5553</f>
        <v>0</v>
      </c>
      <c r="AP5553" s="28"/>
      <c r="AQ5553" s="28" t="n">
        <f aca="false">AP5553*$M5553</f>
        <v>0</v>
      </c>
      <c r="AR5553" s="28"/>
      <c r="AS5553" s="28" t="n">
        <f aca="false">AR5553*$M5553</f>
        <v>0</v>
      </c>
      <c r="AT5553" s="28"/>
      <c r="AU5553" s="28" t="n">
        <f aca="false">AT5553*$M5553</f>
        <v>0</v>
      </c>
      <c r="AV5553" s="28"/>
      <c r="AW5553" s="28" t="n">
        <f aca="false">AV5553*$M5553</f>
        <v>0</v>
      </c>
      <c r="AX5553" s="28"/>
      <c r="AY5553" s="28" t="n">
        <f aca="false">AX5553*$M5553</f>
        <v>0</v>
      </c>
      <c r="AZ5553" s="30" t="n">
        <f aca="false">127142/100</f>
        <v>1271.42</v>
      </c>
      <c r="BA5553" s="11" t="n">
        <v>117271</v>
      </c>
      <c r="BB5553" s="31" t="n">
        <f aca="false">SUM(Q5553,S5553,U5553,W5553,Y5553,AA5553,AC5553,AE5553,AG5553,AI5553,AK5553,AM5553,AO5553,AQ5553,AS5553,AU5553,AW5553,AY5553)</f>
        <v>117271</v>
      </c>
      <c r="BC5553" s="28" t="n">
        <f aca="false">BA5553-BB5553</f>
        <v>0</v>
      </c>
      <c r="BD5553" s="32" t="n">
        <f aca="false">SUM(P5553,R5553,T5553,V5553,X5553,Z5553,AB5553,AD5553,AF5553,AH5553,AJ5553,AL5553,AN5553,AP5553,AR5553,AT5553,AV5553,AX5553)</f>
        <v>1271.42</v>
      </c>
      <c r="BE5553" s="33" t="n">
        <f aca="false">AZ5553-BD5553</f>
        <v>0</v>
      </c>
      <c r="BF5553" s="34" t="n">
        <f aca="false">BD5553*M5553</f>
        <v>116970.64</v>
      </c>
      <c r="BG5553" s="35" t="n">
        <f aca="false">BA5553-BF5553</f>
        <v>300.359999999986</v>
      </c>
      <c r="BH5553" s="19" t="str">
        <f aca="false">IF(BG5553=0,"",IF(BG5553&lt;&gt;BA5553,"erreur de calcul",IF(BD5553&lt;&gt;0,"pas de prix",IF(M5553&lt;&gt; 0,"pas de quantité","pas de prix, ni de quantité"))))</f>
        <v>erreur de calcul</v>
      </c>
      <c r="BI5553" s="19"/>
    </row>
    <row r="5554" customFormat="false" ht="15" hidden="false" customHeight="false" outlineLevel="0" collapsed="false">
      <c r="A5554" s="0" t="n">
        <v>41</v>
      </c>
      <c r="B5554" s="8" t="s">
        <v>24</v>
      </c>
      <c r="C5554" s="9" t="s">
        <v>25</v>
      </c>
      <c r="D5554" s="9" t="s">
        <v>26</v>
      </c>
      <c r="E5554" s="10" t="n">
        <v>1789</v>
      </c>
      <c r="F5554" s="9" t="s">
        <v>27</v>
      </c>
      <c r="G5554" s="9" t="s">
        <v>27</v>
      </c>
      <c r="H5554" s="11" t="n">
        <v>25</v>
      </c>
      <c r="I5554" s="11" t="s">
        <v>370</v>
      </c>
      <c r="J5554" s="14" t="n">
        <v>12</v>
      </c>
      <c r="K5554" s="14"/>
      <c r="L5554" s="16"/>
      <c r="M5554" s="27" t="n">
        <f aca="false">J5554+(K5554/20)+(L5554/240)</f>
        <v>12</v>
      </c>
      <c r="N5554" s="17" t="s">
        <v>64</v>
      </c>
      <c r="O5554" s="11"/>
      <c r="P5554" s="28"/>
      <c r="Q5554" s="28" t="n">
        <f aca="false">P5554*$M5554</f>
        <v>0</v>
      </c>
      <c r="R5554" s="28"/>
      <c r="S5554" s="28" t="n">
        <f aca="false">R5554*$M5554</f>
        <v>0</v>
      </c>
      <c r="T5554" s="28"/>
      <c r="U5554" s="28" t="n">
        <f aca="false">T5554*$M5554</f>
        <v>0</v>
      </c>
      <c r="V5554" s="28"/>
      <c r="W5554" s="28" t="n">
        <f aca="false">V5554*$M5554</f>
        <v>0</v>
      </c>
      <c r="X5554" s="28"/>
      <c r="Y5554" s="28" t="n">
        <f aca="false">X5554*$M5554</f>
        <v>0</v>
      </c>
      <c r="Z5554" s="28"/>
      <c r="AA5554" s="28" t="n">
        <f aca="false">Z5554*$M5554</f>
        <v>0</v>
      </c>
      <c r="AB5554" s="28"/>
      <c r="AC5554" s="28" t="n">
        <f aca="false">AB5554*$M5554</f>
        <v>0</v>
      </c>
      <c r="AD5554" s="28"/>
      <c r="AE5554" s="28" t="n">
        <f aca="false">AD5554*$M5554</f>
        <v>0</v>
      </c>
      <c r="AF5554" s="28"/>
      <c r="AG5554" s="28" t="n">
        <f aca="false">AF5554*$M5554</f>
        <v>0</v>
      </c>
      <c r="AH5554" s="28" t="n">
        <f aca="false">12168/100</f>
        <v>121.68</v>
      </c>
      <c r="AI5554" s="28" t="n">
        <v>1460</v>
      </c>
      <c r="AJ5554" s="28"/>
      <c r="AK5554" s="28" t="n">
        <f aca="false">AJ5554*$M5554</f>
        <v>0</v>
      </c>
      <c r="AL5554" s="28"/>
      <c r="AM5554" s="28" t="n">
        <f aca="false">AL5554*$M5554</f>
        <v>0</v>
      </c>
      <c r="AN5554" s="28"/>
      <c r="AO5554" s="28" t="n">
        <f aca="false">AN5554*$M5554</f>
        <v>0</v>
      </c>
      <c r="AP5554" s="28"/>
      <c r="AQ5554" s="28" t="n">
        <f aca="false">AP5554*$M5554</f>
        <v>0</v>
      </c>
      <c r="AR5554" s="28"/>
      <c r="AS5554" s="28" t="n">
        <f aca="false">AR5554*$M5554</f>
        <v>0</v>
      </c>
      <c r="AT5554" s="28"/>
      <c r="AU5554" s="28" t="n">
        <f aca="false">AT5554*$M5554</f>
        <v>0</v>
      </c>
      <c r="AV5554" s="28"/>
      <c r="AW5554" s="28" t="n">
        <f aca="false">AV5554*$M5554</f>
        <v>0</v>
      </c>
      <c r="AX5554" s="28"/>
      <c r="AY5554" s="28" t="n">
        <f aca="false">AX5554*$M5554</f>
        <v>0</v>
      </c>
      <c r="AZ5554" s="30" t="n">
        <f aca="false">12168/100</f>
        <v>121.68</v>
      </c>
      <c r="BA5554" s="11" t="n">
        <v>1460</v>
      </c>
      <c r="BB5554" s="31" t="n">
        <f aca="false">SUM(Q5554,S5554,U5554,W5554,Y5554,AA5554,AC5554,AE5554,AG5554,AI5554,AK5554,AM5554,AO5554,AQ5554,AS5554,AU5554,AW5554,AY5554)</f>
        <v>1460</v>
      </c>
      <c r="BC5554" s="28" t="n">
        <f aca="false">BA5554-BB5554</f>
        <v>0</v>
      </c>
      <c r="BD5554" s="32" t="n">
        <f aca="false">SUM(P5554,R5554,T5554,V5554,X5554,Z5554,AB5554,AD5554,AF5554,AH5554,AJ5554,AL5554,AN5554,AP5554,AR5554,AT5554,AV5554,AX5554)</f>
        <v>121.68</v>
      </c>
      <c r="BE5554" s="33" t="n">
        <f aca="false">AZ5554-BD5554</f>
        <v>0</v>
      </c>
      <c r="BF5554" s="34" t="n">
        <f aca="false">BD5554*M5554</f>
        <v>1460.16</v>
      </c>
      <c r="BG5554" s="35" t="n">
        <f aca="false">BA5554-BF5554</f>
        <v>-0.160000000000082</v>
      </c>
      <c r="BH5554" s="19" t="str">
        <f aca="false">IF(BG5554=0,"",IF(BG5554&lt;&gt;BA5554,"erreur de calcul",IF(BD5554&lt;&gt;0,"pas de prix",IF(M5554&lt;&gt; 0,"pas de quantité","pas de prix, ni de quantité"))))</f>
        <v>erreur de calcul</v>
      </c>
      <c r="BI5554" s="19"/>
    </row>
    <row r="5555" customFormat="false" ht="15" hidden="false" customHeight="false" outlineLevel="0" collapsed="false">
      <c r="A5555" s="0" t="n">
        <v>42</v>
      </c>
      <c r="B5555" s="8" t="s">
        <v>24</v>
      </c>
      <c r="C5555" s="9" t="s">
        <v>25</v>
      </c>
      <c r="D5555" s="9" t="s">
        <v>26</v>
      </c>
      <c r="E5555" s="10" t="n">
        <v>1789</v>
      </c>
      <c r="F5555" s="9" t="s">
        <v>27</v>
      </c>
      <c r="G5555" s="9" t="s">
        <v>27</v>
      </c>
      <c r="H5555" s="11" t="n">
        <v>25</v>
      </c>
      <c r="I5555" s="11" t="s">
        <v>371</v>
      </c>
      <c r="J5555" s="14" t="n">
        <v>7</v>
      </c>
      <c r="K5555" s="14"/>
      <c r="L5555" s="16"/>
      <c r="M5555" s="27" t="n">
        <f aca="false">J5555+(K5555/20)+(L5555/240)</f>
        <v>7</v>
      </c>
      <c r="N5555" s="17" t="s">
        <v>64</v>
      </c>
      <c r="O5555" s="11"/>
      <c r="P5555" s="28"/>
      <c r="Q5555" s="28" t="n">
        <f aca="false">P5555*$M5555</f>
        <v>0</v>
      </c>
      <c r="R5555" s="28"/>
      <c r="S5555" s="28" t="n">
        <f aca="false">R5555*$M5555</f>
        <v>0</v>
      </c>
      <c r="T5555" s="28"/>
      <c r="U5555" s="28" t="n">
        <f aca="false">T5555*$M5555</f>
        <v>0</v>
      </c>
      <c r="V5555" s="28"/>
      <c r="W5555" s="28" t="n">
        <f aca="false">V5555*$M5555</f>
        <v>0</v>
      </c>
      <c r="X5555" s="28"/>
      <c r="Y5555" s="28" t="n">
        <f aca="false">X5555*$M5555</f>
        <v>0</v>
      </c>
      <c r="Z5555" s="28"/>
      <c r="AA5555" s="28" t="n">
        <f aca="false">Z5555*$M5555</f>
        <v>0</v>
      </c>
      <c r="AB5555" s="28" t="n">
        <f aca="false">58003/100</f>
        <v>580.03</v>
      </c>
      <c r="AC5555" s="28" t="n">
        <v>4060</v>
      </c>
      <c r="AD5555" s="28"/>
      <c r="AE5555" s="28" t="n">
        <f aca="false">AD5555*$M5555</f>
        <v>0</v>
      </c>
      <c r="AF5555" s="28"/>
      <c r="AG5555" s="28" t="n">
        <f aca="false">AF5555*$M5555</f>
        <v>0</v>
      </c>
      <c r="AH5555" s="28"/>
      <c r="AI5555" s="28" t="n">
        <f aca="false">AH5555*$M5555</f>
        <v>0</v>
      </c>
      <c r="AJ5555" s="28"/>
      <c r="AK5555" s="28" t="n">
        <f aca="false">AJ5555*$M5555</f>
        <v>0</v>
      </c>
      <c r="AL5555" s="28"/>
      <c r="AM5555" s="28" t="n">
        <f aca="false">AL5555*$M5555</f>
        <v>0</v>
      </c>
      <c r="AN5555" s="28"/>
      <c r="AO5555" s="28" t="n">
        <f aca="false">AN5555*$M5555</f>
        <v>0</v>
      </c>
      <c r="AP5555" s="28"/>
      <c r="AQ5555" s="28" t="n">
        <f aca="false">AP5555*$M5555</f>
        <v>0</v>
      </c>
      <c r="AR5555" s="28"/>
      <c r="AS5555" s="28" t="n">
        <f aca="false">AR5555*$M5555</f>
        <v>0</v>
      </c>
      <c r="AT5555" s="28"/>
      <c r="AU5555" s="28" t="n">
        <f aca="false">AT5555*$M5555</f>
        <v>0</v>
      </c>
      <c r="AV5555" s="28"/>
      <c r="AW5555" s="28" t="n">
        <f aca="false">AV5555*$M5555</f>
        <v>0</v>
      </c>
      <c r="AX5555" s="28"/>
      <c r="AY5555" s="28" t="n">
        <f aca="false">AX5555*$M5555</f>
        <v>0</v>
      </c>
      <c r="AZ5555" s="30" t="n">
        <f aca="false">58003/100</f>
        <v>580.03</v>
      </c>
      <c r="BA5555" s="11" t="n">
        <v>4060</v>
      </c>
      <c r="BB5555" s="31" t="n">
        <f aca="false">SUM(Q5555,S5555,U5555,W5555,Y5555,AA5555,AC5555,AE5555,AG5555,AI5555,AK5555,AM5555,AO5555,AQ5555,AS5555,AU5555,AW5555,AY5555)</f>
        <v>4060</v>
      </c>
      <c r="BC5555" s="28" t="n">
        <f aca="false">BA5555-BB5555</f>
        <v>0</v>
      </c>
      <c r="BD5555" s="32" t="n">
        <f aca="false">SUM(P5555,R5555,T5555,V5555,X5555,Z5555,AB5555,AD5555,AF5555,AH5555,AJ5555,AL5555,AN5555,AP5555,AR5555,AT5555,AV5555,AX5555)</f>
        <v>580.03</v>
      </c>
      <c r="BE5555" s="33" t="n">
        <f aca="false">AZ5555-BD5555</f>
        <v>0</v>
      </c>
      <c r="BF5555" s="34" t="n">
        <f aca="false">BD5555*M5555</f>
        <v>4060.21</v>
      </c>
      <c r="BG5555" s="35" t="n">
        <f aca="false">BA5555-BF5555</f>
        <v>-0.210000000000036</v>
      </c>
      <c r="BH5555" s="19" t="str">
        <f aca="false">IF(BG5555=0,"",IF(BG5555&lt;&gt;BA5555,"erreur de calcul",IF(BD5555&lt;&gt;0,"pas de prix",IF(M5555&lt;&gt; 0,"pas de quantité","pas de prix, ni de quantité"))))</f>
        <v>erreur de calcul</v>
      </c>
      <c r="BI5555" s="19"/>
    </row>
    <row r="5556" customFormat="false" ht="15" hidden="false" customHeight="false" outlineLevel="0" collapsed="false">
      <c r="A5556" s="0" t="n">
        <v>1</v>
      </c>
      <c r="B5556" s="8" t="s">
        <v>24</v>
      </c>
      <c r="C5556" s="9" t="s">
        <v>25</v>
      </c>
      <c r="D5556" s="9" t="s">
        <v>26</v>
      </c>
      <c r="E5556" s="10" t="n">
        <v>1789</v>
      </c>
      <c r="F5556" s="9" t="s">
        <v>27</v>
      </c>
      <c r="G5556" s="9" t="s">
        <v>27</v>
      </c>
      <c r="H5556" s="11" t="n">
        <v>26</v>
      </c>
      <c r="I5556" s="11" t="s">
        <v>372</v>
      </c>
      <c r="J5556" s="14" t="n">
        <v>30</v>
      </c>
      <c r="K5556" s="14"/>
      <c r="L5556" s="16"/>
      <c r="M5556" s="27" t="n">
        <f aca="false">J5556+(K5556/20)+(L5556/240)</f>
        <v>30</v>
      </c>
      <c r="N5556" s="17" t="s">
        <v>64</v>
      </c>
      <c r="O5556" s="11"/>
      <c r="P5556" s="28"/>
      <c r="Q5556" s="28" t="n">
        <f aca="false">P5556*$M5556</f>
        <v>0</v>
      </c>
      <c r="R5556" s="28"/>
      <c r="S5556" s="28" t="n">
        <f aca="false">R5556*$M5556</f>
        <v>0</v>
      </c>
      <c r="T5556" s="28"/>
      <c r="U5556" s="28" t="n">
        <f aca="false">T5556*$M5556</f>
        <v>0</v>
      </c>
      <c r="V5556" s="28" t="n">
        <f aca="false">1500/100</f>
        <v>15</v>
      </c>
      <c r="W5556" s="28" t="n">
        <v>450</v>
      </c>
      <c r="X5556" s="28"/>
      <c r="Y5556" s="28" t="n">
        <f aca="false">X5556*$M5556</f>
        <v>0</v>
      </c>
      <c r="Z5556" s="28"/>
      <c r="AA5556" s="28" t="n">
        <f aca="false">Z5556*$M5556</f>
        <v>0</v>
      </c>
      <c r="AB5556" s="28"/>
      <c r="AC5556" s="28" t="n">
        <f aca="false">AB5556*$M5556</f>
        <v>0</v>
      </c>
      <c r="AD5556" s="28"/>
      <c r="AE5556" s="28" t="n">
        <f aca="false">AD5556*$M5556</f>
        <v>0</v>
      </c>
      <c r="AF5556" s="28"/>
      <c r="AG5556" s="28" t="n">
        <f aca="false">AF5556*$M5556</f>
        <v>0</v>
      </c>
      <c r="AH5556" s="28"/>
      <c r="AI5556" s="28" t="n">
        <f aca="false">AH5556*$M5556</f>
        <v>0</v>
      </c>
      <c r="AJ5556" s="28"/>
      <c r="AK5556" s="28" t="n">
        <f aca="false">AJ5556*$M5556</f>
        <v>0</v>
      </c>
      <c r="AL5556" s="28"/>
      <c r="AM5556" s="28" t="n">
        <f aca="false">AL5556*$M5556</f>
        <v>0</v>
      </c>
      <c r="AN5556" s="28"/>
      <c r="AO5556" s="28" t="n">
        <f aca="false">AN5556*$M5556</f>
        <v>0</v>
      </c>
      <c r="AP5556" s="28"/>
      <c r="AQ5556" s="28" t="n">
        <f aca="false">AP5556*$M5556</f>
        <v>0</v>
      </c>
      <c r="AR5556" s="28"/>
      <c r="AS5556" s="28" t="n">
        <f aca="false">AR5556*$M5556</f>
        <v>0</v>
      </c>
      <c r="AT5556" s="28"/>
      <c r="AU5556" s="28" t="n">
        <f aca="false">AT5556*$M5556</f>
        <v>0</v>
      </c>
      <c r="AV5556" s="28"/>
      <c r="AW5556" s="28" t="n">
        <f aca="false">AV5556*$M5556</f>
        <v>0</v>
      </c>
      <c r="AX5556" s="28"/>
      <c r="AY5556" s="28" t="n">
        <f aca="false">AX5556*$M5556</f>
        <v>0</v>
      </c>
      <c r="AZ5556" s="30" t="n">
        <f aca="false">1500/100</f>
        <v>15</v>
      </c>
      <c r="BA5556" s="11" t="n">
        <v>450</v>
      </c>
      <c r="BB5556" s="31" t="n">
        <f aca="false">SUM(Q5556,S5556,U5556,W5556,Y5556,AA5556,AC5556,AE5556,AG5556,AI5556,AK5556,AM5556,AO5556,AQ5556,AS5556,AU5556,AW5556,AY5556)</f>
        <v>450</v>
      </c>
      <c r="BC5556" s="28" t="n">
        <f aca="false">BA5556-BB5556</f>
        <v>0</v>
      </c>
      <c r="BD5556" s="32" t="n">
        <f aca="false">SUM(P5556,R5556,T5556,V5556,X5556,Z5556,AB5556,AD5556,AF5556,AH5556,AJ5556,AL5556,AN5556,AP5556,AR5556,AT5556,AV5556,AX5556)</f>
        <v>15</v>
      </c>
      <c r="BE5556" s="33" t="n">
        <f aca="false">AZ5556-BD5556</f>
        <v>0</v>
      </c>
      <c r="BF5556" s="34" t="n">
        <f aca="false">BD5556*M5556</f>
        <v>450</v>
      </c>
      <c r="BG5556" s="35" t="n">
        <f aca="false">BA5556-BF5556</f>
        <v>0</v>
      </c>
      <c r="BH5556" s="19" t="str">
        <f aca="false">IF(BG5556=0,"",IF(BG5556&lt;&gt;BA5556,"erreur de calcul",IF(BD5556&lt;&gt;0,"pas de prix",IF(M5556&lt;&gt; 0,"pas de quantité","pas de prix, ni de quantité"))))</f>
        <v/>
      </c>
      <c r="BI5556" s="19"/>
    </row>
    <row r="5557" customFormat="false" ht="15" hidden="false" customHeight="false" outlineLevel="0" collapsed="false">
      <c r="A5557" s="0" t="n">
        <v>2</v>
      </c>
      <c r="B5557" s="8" t="s">
        <v>24</v>
      </c>
      <c r="C5557" s="9" t="s">
        <v>25</v>
      </c>
      <c r="D5557" s="9" t="s">
        <v>26</v>
      </c>
      <c r="E5557" s="10" t="n">
        <v>1789</v>
      </c>
      <c r="F5557" s="9" t="s">
        <v>27</v>
      </c>
      <c r="G5557" s="9" t="s">
        <v>27</v>
      </c>
      <c r="H5557" s="11" t="n">
        <v>26</v>
      </c>
      <c r="I5557" s="11" t="s">
        <v>373</v>
      </c>
      <c r="J5557" s="14" t="n">
        <v>25</v>
      </c>
      <c r="K5557" s="14"/>
      <c r="L5557" s="16"/>
      <c r="M5557" s="27" t="n">
        <f aca="false">J5557+(K5557/20)+(L5557/240)</f>
        <v>25</v>
      </c>
      <c r="N5557" s="17" t="s">
        <v>64</v>
      </c>
      <c r="O5557" s="11"/>
      <c r="P5557" s="28"/>
      <c r="Q5557" s="28" t="n">
        <f aca="false">P5557*$M5557</f>
        <v>0</v>
      </c>
      <c r="R5557" s="28"/>
      <c r="S5557" s="28" t="n">
        <f aca="false">R5557*$M5557</f>
        <v>0</v>
      </c>
      <c r="T5557" s="28" t="n">
        <f aca="false">34168/100</f>
        <v>341.68</v>
      </c>
      <c r="U5557" s="28" t="n">
        <v>8542</v>
      </c>
      <c r="V5557" s="28" t="n">
        <f aca="false">128249/100</f>
        <v>1282.49</v>
      </c>
      <c r="W5557" s="28" t="n">
        <v>32062</v>
      </c>
      <c r="X5557" s="28" t="n">
        <f aca="false">21365/100</f>
        <v>213.65</v>
      </c>
      <c r="Y5557" s="28" t="n">
        <v>5341</v>
      </c>
      <c r="Z5557" s="28"/>
      <c r="AA5557" s="28" t="n">
        <f aca="false">Z5557*$M5557</f>
        <v>0</v>
      </c>
      <c r="AB5557" s="28"/>
      <c r="AC5557" s="28" t="n">
        <f aca="false">AB5557*$M5557</f>
        <v>0</v>
      </c>
      <c r="AD5557" s="28"/>
      <c r="AE5557" s="28" t="n">
        <f aca="false">AD5557*$M5557</f>
        <v>0</v>
      </c>
      <c r="AF5557" s="28"/>
      <c r="AG5557" s="28" t="n">
        <f aca="false">AF5557*$M5557</f>
        <v>0</v>
      </c>
      <c r="AH5557" s="28"/>
      <c r="AI5557" s="28" t="n">
        <f aca="false">AH5557*$M5557</f>
        <v>0</v>
      </c>
      <c r="AJ5557" s="28" t="n">
        <f aca="false">155251/100</f>
        <v>1552.51</v>
      </c>
      <c r="AK5557" s="28" t="n">
        <v>38813</v>
      </c>
      <c r="AL5557" s="28" t="n">
        <f aca="false">185000/100</f>
        <v>1850</v>
      </c>
      <c r="AM5557" s="28" t="n">
        <v>46250</v>
      </c>
      <c r="AN5557" s="28"/>
      <c r="AO5557" s="28" t="n">
        <f aca="false">AN5557*$M5557</f>
        <v>0</v>
      </c>
      <c r="AP5557" s="28"/>
      <c r="AQ5557" s="28" t="n">
        <f aca="false">AP5557*$M5557</f>
        <v>0</v>
      </c>
      <c r="AR5557" s="28"/>
      <c r="AS5557" s="28" t="n">
        <f aca="false">AR5557*$M5557</f>
        <v>0</v>
      </c>
      <c r="AT5557" s="28"/>
      <c r="AU5557" s="28" t="n">
        <f aca="false">AT5557*$M5557</f>
        <v>0</v>
      </c>
      <c r="AV5557" s="28"/>
      <c r="AW5557" s="28" t="n">
        <f aca="false">AV5557*$M5557</f>
        <v>0</v>
      </c>
      <c r="AX5557" s="28"/>
      <c r="AY5557" s="28" t="n">
        <f aca="false">AX5557*$M5557</f>
        <v>0</v>
      </c>
      <c r="AZ5557" s="30" t="n">
        <f aca="false">524033/100</f>
        <v>5240.33</v>
      </c>
      <c r="BA5557" s="11" t="n">
        <v>131008</v>
      </c>
      <c r="BB5557" s="31" t="n">
        <f aca="false">SUM(Q5557,S5557,U5557,W5557,Y5557,AA5557,AC5557,AE5557,AG5557,AI5557,AK5557,AM5557,AO5557,AQ5557,AS5557,AU5557,AW5557,AY5557)</f>
        <v>131008</v>
      </c>
      <c r="BC5557" s="28" t="n">
        <f aca="false">BA5557-BB5557</f>
        <v>0</v>
      </c>
      <c r="BD5557" s="32" t="n">
        <f aca="false">SUM(P5557,R5557,T5557,V5557,X5557,Z5557,AB5557,AD5557,AF5557,AH5557,AJ5557,AL5557,AN5557,AP5557,AR5557,AT5557,AV5557,AX5557)</f>
        <v>5240.33</v>
      </c>
      <c r="BE5557" s="33" t="n">
        <f aca="false">AZ5557-BD5557</f>
        <v>0</v>
      </c>
      <c r="BF5557" s="34" t="n">
        <f aca="false">BD5557*M5557</f>
        <v>131008.25</v>
      </c>
      <c r="BG5557" s="35" t="n">
        <f aca="false">BA5557-BF5557</f>
        <v>-0.250000000014552</v>
      </c>
      <c r="BH5557" s="19" t="str">
        <f aca="false">IF(BG5557=0,"",IF(BG5557&lt;&gt;BA5557,"erreur de calcul",IF(BD5557&lt;&gt;0,"pas de prix",IF(M5557&lt;&gt; 0,"pas de quantité","pas de prix, ni de quantité"))))</f>
        <v>erreur de calcul</v>
      </c>
      <c r="BI5557" s="19"/>
    </row>
    <row r="5558" customFormat="false" ht="15" hidden="false" customHeight="false" outlineLevel="0" collapsed="false">
      <c r="A5558" s="0" t="n">
        <v>3</v>
      </c>
      <c r="B5558" s="8" t="s">
        <v>24</v>
      </c>
      <c r="C5558" s="9" t="s">
        <v>25</v>
      </c>
      <c r="D5558" s="9" t="s">
        <v>26</v>
      </c>
      <c r="E5558" s="10" t="n">
        <v>1789</v>
      </c>
      <c r="F5558" s="9" t="s">
        <v>27</v>
      </c>
      <c r="G5558" s="9" t="s">
        <v>27</v>
      </c>
      <c r="H5558" s="11" t="n">
        <v>26</v>
      </c>
      <c r="I5558" s="11" t="s">
        <v>374</v>
      </c>
      <c r="J5558" s="14" t="n">
        <v>70</v>
      </c>
      <c r="K5558" s="14"/>
      <c r="L5558" s="16"/>
      <c r="M5558" s="27" t="n">
        <f aca="false">J5558+(K5558/20)+(L5558/240)</f>
        <v>70</v>
      </c>
      <c r="N5558" s="17" t="s">
        <v>64</v>
      </c>
      <c r="O5558" s="11"/>
      <c r="P5558" s="28"/>
      <c r="Q5558" s="28" t="n">
        <f aca="false">P5558*$M5558</f>
        <v>0</v>
      </c>
      <c r="R5558" s="28"/>
      <c r="S5558" s="28" t="n">
        <f aca="false">R5558*$M5558</f>
        <v>0</v>
      </c>
      <c r="T5558" s="28"/>
      <c r="U5558" s="28" t="n">
        <f aca="false">T5558*$M5558</f>
        <v>0</v>
      </c>
      <c r="V5558" s="28" t="n">
        <f aca="false">4560/100</f>
        <v>45.6</v>
      </c>
      <c r="W5558" s="28" t="n">
        <v>3192</v>
      </c>
      <c r="X5558" s="28" t="n">
        <f aca="false">1115/100</f>
        <v>11.15</v>
      </c>
      <c r="Y5558" s="28" t="n">
        <v>780</v>
      </c>
      <c r="Z5558" s="28"/>
      <c r="AA5558" s="28" t="n">
        <f aca="false">Z5558*$M5558</f>
        <v>0</v>
      </c>
      <c r="AB5558" s="28" t="n">
        <f aca="false">9431/100</f>
        <v>94.31</v>
      </c>
      <c r="AC5558" s="28" t="n">
        <v>6602</v>
      </c>
      <c r="AD5558" s="28"/>
      <c r="AE5558" s="28" t="n">
        <f aca="false">AD5558*$M5558</f>
        <v>0</v>
      </c>
      <c r="AF5558" s="28"/>
      <c r="AG5558" s="28" t="n">
        <f aca="false">AF5558*$M5558</f>
        <v>0</v>
      </c>
      <c r="AH5558" s="28"/>
      <c r="AI5558" s="28" t="n">
        <f aca="false">AH5558*$M5558</f>
        <v>0</v>
      </c>
      <c r="AJ5558" s="28"/>
      <c r="AK5558" s="28" t="n">
        <f aca="false">AJ5558*$M5558</f>
        <v>0</v>
      </c>
      <c r="AL5558" s="28"/>
      <c r="AM5558" s="28" t="n">
        <f aca="false">AL5558*$M5558</f>
        <v>0</v>
      </c>
      <c r="AN5558" s="28"/>
      <c r="AO5558" s="28" t="n">
        <f aca="false">AN5558*$M5558</f>
        <v>0</v>
      </c>
      <c r="AP5558" s="28"/>
      <c r="AQ5558" s="28" t="n">
        <f aca="false">AP5558*$M5558</f>
        <v>0</v>
      </c>
      <c r="AR5558" s="28"/>
      <c r="AS5558" s="28" t="n">
        <f aca="false">AR5558*$M5558</f>
        <v>0</v>
      </c>
      <c r="AT5558" s="28"/>
      <c r="AU5558" s="28" t="n">
        <f aca="false">AT5558*$M5558</f>
        <v>0</v>
      </c>
      <c r="AV5558" s="28"/>
      <c r="AW5558" s="28" t="n">
        <f aca="false">AV5558*$M5558</f>
        <v>0</v>
      </c>
      <c r="AX5558" s="28"/>
      <c r="AY5558" s="28" t="n">
        <f aca="false">AX5558*$M5558</f>
        <v>0</v>
      </c>
      <c r="AZ5558" s="30" t="n">
        <f aca="false">15106/100</f>
        <v>151.06</v>
      </c>
      <c r="BA5558" s="11" t="n">
        <v>10574</v>
      </c>
      <c r="BB5558" s="31" t="n">
        <f aca="false">SUM(Q5558,S5558,U5558,W5558,Y5558,AA5558,AC5558,AE5558,AG5558,AI5558,AK5558,AM5558,AO5558,AQ5558,AS5558,AU5558,AW5558,AY5558)</f>
        <v>10574</v>
      </c>
      <c r="BC5558" s="28" t="n">
        <f aca="false">BA5558-BB5558</f>
        <v>0</v>
      </c>
      <c r="BD5558" s="32" t="n">
        <f aca="false">SUM(P5558,R5558,T5558,V5558,X5558,Z5558,AB5558,AD5558,AF5558,AH5558,AJ5558,AL5558,AN5558,AP5558,AR5558,AT5558,AV5558,AX5558)</f>
        <v>151.06</v>
      </c>
      <c r="BE5558" s="33" t="n">
        <f aca="false">AZ5558-BD5558</f>
        <v>0</v>
      </c>
      <c r="BF5558" s="34" t="n">
        <f aca="false">BD5558*M5558</f>
        <v>10574.2</v>
      </c>
      <c r="BG5558" s="35" t="n">
        <f aca="false">BA5558-BF5558</f>
        <v>-0.200000000000728</v>
      </c>
      <c r="BH5558" s="19" t="str">
        <f aca="false">IF(BG5558=0,"",IF(BG5558&lt;&gt;BA5558,"erreur de calcul",IF(BD5558&lt;&gt;0,"pas de prix",IF(M5558&lt;&gt; 0,"pas de quantité","pas de prix, ni de quantité"))))</f>
        <v>erreur de calcul</v>
      </c>
      <c r="BI5558" s="19"/>
    </row>
    <row r="5559" customFormat="false" ht="15" hidden="false" customHeight="false" outlineLevel="0" collapsed="false">
      <c r="A5559" s="0" t="n">
        <v>4</v>
      </c>
      <c r="B5559" s="8" t="s">
        <v>24</v>
      </c>
      <c r="C5559" s="9" t="s">
        <v>25</v>
      </c>
      <c r="D5559" s="9" t="s">
        <v>26</v>
      </c>
      <c r="E5559" s="10" t="n">
        <v>1789</v>
      </c>
      <c r="F5559" s="9" t="s">
        <v>27</v>
      </c>
      <c r="G5559" s="9" t="s">
        <v>27</v>
      </c>
      <c r="H5559" s="11" t="n">
        <v>26</v>
      </c>
      <c r="I5559" s="11" t="s">
        <v>375</v>
      </c>
      <c r="J5559" s="14" t="n">
        <v>245</v>
      </c>
      <c r="K5559" s="14"/>
      <c r="L5559" s="16"/>
      <c r="M5559" s="27" t="n">
        <f aca="false">J5559+(K5559/20)+(L5559/240)</f>
        <v>245</v>
      </c>
      <c r="N5559" s="17" t="s">
        <v>64</v>
      </c>
      <c r="O5559" s="11"/>
      <c r="P5559" s="28"/>
      <c r="Q5559" s="28" t="n">
        <f aca="false">P5559*$M5559</f>
        <v>0</v>
      </c>
      <c r="R5559" s="28"/>
      <c r="S5559" s="28" t="n">
        <f aca="false">R5559*$M5559</f>
        <v>0</v>
      </c>
      <c r="T5559" s="28"/>
      <c r="U5559" s="28" t="n">
        <f aca="false">T5559*$M5559</f>
        <v>0</v>
      </c>
      <c r="V5559" s="28"/>
      <c r="W5559" s="28" t="n">
        <f aca="false">V5559*$M5559</f>
        <v>0</v>
      </c>
      <c r="X5559" s="28"/>
      <c r="Y5559" s="28" t="n">
        <f aca="false">X5559*$M5559</f>
        <v>0</v>
      </c>
      <c r="Z5559" s="28"/>
      <c r="AA5559" s="28" t="n">
        <f aca="false">Z5559*$M5559</f>
        <v>0</v>
      </c>
      <c r="AB5559" s="28"/>
      <c r="AC5559" s="28" t="n">
        <f aca="false">AB5559*$M5559</f>
        <v>0</v>
      </c>
      <c r="AD5559" s="28"/>
      <c r="AE5559" s="28" t="n">
        <f aca="false">AD5559*$M5559</f>
        <v>0</v>
      </c>
      <c r="AF5559" s="28"/>
      <c r="AG5559" s="28" t="n">
        <f aca="false">AF5559*$M5559</f>
        <v>0</v>
      </c>
      <c r="AH5559" s="28" t="n">
        <f aca="false">751/100</f>
        <v>7.51</v>
      </c>
      <c r="AI5559" s="28" t="n">
        <v>1840</v>
      </c>
      <c r="AJ5559" s="28"/>
      <c r="AK5559" s="28" t="n">
        <f aca="false">AJ5559*$M5559</f>
        <v>0</v>
      </c>
      <c r="AL5559" s="28"/>
      <c r="AM5559" s="28" t="n">
        <f aca="false">AL5559*$M5559</f>
        <v>0</v>
      </c>
      <c r="AN5559" s="28"/>
      <c r="AO5559" s="28" t="n">
        <f aca="false">AN5559*$M5559</f>
        <v>0</v>
      </c>
      <c r="AP5559" s="28"/>
      <c r="AQ5559" s="28" t="n">
        <f aca="false">AP5559*$M5559</f>
        <v>0</v>
      </c>
      <c r="AR5559" s="28"/>
      <c r="AS5559" s="28" t="n">
        <f aca="false">AR5559*$M5559</f>
        <v>0</v>
      </c>
      <c r="AT5559" s="28"/>
      <c r="AU5559" s="28" t="n">
        <f aca="false">AT5559*$M5559</f>
        <v>0</v>
      </c>
      <c r="AV5559" s="28"/>
      <c r="AW5559" s="28" t="n">
        <f aca="false">AV5559*$M5559</f>
        <v>0</v>
      </c>
      <c r="AX5559" s="28"/>
      <c r="AY5559" s="28" t="n">
        <f aca="false">AX5559*$M5559</f>
        <v>0</v>
      </c>
      <c r="AZ5559" s="30" t="n">
        <f aca="false">751/100</f>
        <v>7.51</v>
      </c>
      <c r="BA5559" s="11" t="n">
        <v>1840</v>
      </c>
      <c r="BB5559" s="31" t="n">
        <f aca="false">SUM(Q5559,S5559,U5559,W5559,Y5559,AA5559,AC5559,AE5559,AG5559,AI5559,AK5559,AM5559,AO5559,AQ5559,AS5559,AU5559,AW5559,AY5559)</f>
        <v>1840</v>
      </c>
      <c r="BC5559" s="28" t="n">
        <f aca="false">BA5559-BB5559</f>
        <v>0</v>
      </c>
      <c r="BD5559" s="32" t="n">
        <f aca="false">SUM(P5559,R5559,T5559,V5559,X5559,Z5559,AB5559,AD5559,AF5559,AH5559,AJ5559,AL5559,AN5559,AP5559,AR5559,AT5559,AV5559,AX5559)</f>
        <v>7.51</v>
      </c>
      <c r="BE5559" s="33" t="n">
        <f aca="false">AZ5559-BD5559</f>
        <v>0</v>
      </c>
      <c r="BF5559" s="34" t="n">
        <f aca="false">BD5559*M5559</f>
        <v>1839.95</v>
      </c>
      <c r="BG5559" s="35" t="n">
        <f aca="false">BA5559-BF5559</f>
        <v>0.0499999999999545</v>
      </c>
      <c r="BH5559" s="19" t="str">
        <f aca="false">IF(BG5559=0,"",IF(BG5559&lt;&gt;BA5559,"erreur de calcul",IF(BD5559&lt;&gt;0,"pas de prix",IF(M5559&lt;&gt; 0,"pas de quantité","pas de prix, ni de quantité"))))</f>
        <v>erreur de calcul</v>
      </c>
      <c r="BI5559" s="19"/>
    </row>
    <row r="5560" customFormat="false" ht="15" hidden="false" customHeight="false" outlineLevel="0" collapsed="false">
      <c r="A5560" s="0" t="n">
        <v>5</v>
      </c>
      <c r="B5560" s="8" t="s">
        <v>24</v>
      </c>
      <c r="C5560" s="9" t="s">
        <v>25</v>
      </c>
      <c r="D5560" s="9" t="s">
        <v>26</v>
      </c>
      <c r="E5560" s="10" t="n">
        <v>1789</v>
      </c>
      <c r="F5560" s="9" t="s">
        <v>27</v>
      </c>
      <c r="G5560" s="9" t="s">
        <v>27</v>
      </c>
      <c r="H5560" s="11" t="n">
        <v>26</v>
      </c>
      <c r="I5560" s="11" t="s">
        <v>376</v>
      </c>
      <c r="J5560" s="14" t="n">
        <v>550</v>
      </c>
      <c r="K5560" s="14"/>
      <c r="L5560" s="16"/>
      <c r="M5560" s="27" t="n">
        <f aca="false">J5560+(K5560/20)+(L5560/240)</f>
        <v>550</v>
      </c>
      <c r="N5560" s="17" t="s">
        <v>64</v>
      </c>
      <c r="O5560" s="11"/>
      <c r="P5560" s="28"/>
      <c r="Q5560" s="28" t="n">
        <f aca="false">P5560*$M5560</f>
        <v>0</v>
      </c>
      <c r="R5560" s="28"/>
      <c r="S5560" s="28" t="n">
        <f aca="false">R5560*$M5560</f>
        <v>0</v>
      </c>
      <c r="T5560" s="28"/>
      <c r="U5560" s="28" t="n">
        <f aca="false">T5560*$M5560</f>
        <v>0</v>
      </c>
      <c r="V5560" s="28"/>
      <c r="W5560" s="28" t="n">
        <f aca="false">V5560*$M5560</f>
        <v>0</v>
      </c>
      <c r="X5560" s="28"/>
      <c r="Y5560" s="28" t="n">
        <f aca="false">X5560*$M5560</f>
        <v>0</v>
      </c>
      <c r="Z5560" s="28"/>
      <c r="AA5560" s="28" t="n">
        <f aca="false">Z5560*$M5560</f>
        <v>0</v>
      </c>
      <c r="AB5560" s="28"/>
      <c r="AC5560" s="28" t="n">
        <f aca="false">AB5560*$M5560</f>
        <v>0</v>
      </c>
      <c r="AD5560" s="28"/>
      <c r="AE5560" s="28" t="n">
        <f aca="false">AD5560*$M5560</f>
        <v>0</v>
      </c>
      <c r="AF5560" s="28"/>
      <c r="AG5560" s="28" t="n">
        <f aca="false">AF5560*$M5560</f>
        <v>0</v>
      </c>
      <c r="AH5560" s="28" t="n">
        <f aca="false">215551/100</f>
        <v>2155.51</v>
      </c>
      <c r="AI5560" s="28" t="n">
        <v>1185530</v>
      </c>
      <c r="AJ5560" s="28"/>
      <c r="AK5560" s="28" t="n">
        <f aca="false">AJ5560*$M5560</f>
        <v>0</v>
      </c>
      <c r="AL5560" s="28"/>
      <c r="AM5560" s="28" t="n">
        <f aca="false">AL5560*$M5560</f>
        <v>0</v>
      </c>
      <c r="AN5560" s="28"/>
      <c r="AO5560" s="28" t="n">
        <f aca="false">AN5560*$M5560</f>
        <v>0</v>
      </c>
      <c r="AP5560" s="28"/>
      <c r="AQ5560" s="28" t="n">
        <f aca="false">AP5560*$M5560</f>
        <v>0</v>
      </c>
      <c r="AR5560" s="28"/>
      <c r="AS5560" s="28" t="n">
        <f aca="false">AR5560*$M5560</f>
        <v>0</v>
      </c>
      <c r="AT5560" s="28"/>
      <c r="AU5560" s="28" t="n">
        <f aca="false">AT5560*$M5560</f>
        <v>0</v>
      </c>
      <c r="AV5560" s="28"/>
      <c r="AW5560" s="28" t="n">
        <f aca="false">AV5560*$M5560</f>
        <v>0</v>
      </c>
      <c r="AX5560" s="28"/>
      <c r="AY5560" s="28" t="n">
        <f aca="false">AX5560*$M5560</f>
        <v>0</v>
      </c>
      <c r="AZ5560" s="30" t="n">
        <f aca="false">215551/100</f>
        <v>2155.51</v>
      </c>
      <c r="BA5560" s="11" t="n">
        <v>1185530</v>
      </c>
      <c r="BB5560" s="31" t="n">
        <f aca="false">SUM(Q5560,S5560,U5560,W5560,Y5560,AA5560,AC5560,AE5560,AG5560,AI5560,AK5560,AM5560,AO5560,AQ5560,AS5560,AU5560,AW5560,AY5560)</f>
        <v>1185530</v>
      </c>
      <c r="BC5560" s="28" t="n">
        <f aca="false">BA5560-BB5560</f>
        <v>0</v>
      </c>
      <c r="BD5560" s="32" t="n">
        <f aca="false">SUM(P5560,R5560,T5560,V5560,X5560,Z5560,AB5560,AD5560,AF5560,AH5560,AJ5560,AL5560,AN5560,AP5560,AR5560,AT5560,AV5560,AX5560)</f>
        <v>2155.51</v>
      </c>
      <c r="BE5560" s="33" t="n">
        <f aca="false">AZ5560-BD5560</f>
        <v>0</v>
      </c>
      <c r="BF5560" s="34" t="n">
        <f aca="false">BD5560*M5560</f>
        <v>1185530.5</v>
      </c>
      <c r="BG5560" s="35" t="n">
        <f aca="false">BA5560-BF5560</f>
        <v>-0.500000000232831</v>
      </c>
      <c r="BH5560" s="19" t="str">
        <f aca="false">IF(BG5560=0,"",IF(BG5560&lt;&gt;BA5560,"erreur de calcul",IF(BD5560&lt;&gt;0,"pas de prix",IF(M5560&lt;&gt; 0,"pas de quantité","pas de prix, ni de quantité"))))</f>
        <v>erreur de calcul</v>
      </c>
      <c r="BI5560" s="19"/>
    </row>
    <row r="5561" customFormat="false" ht="15" hidden="false" customHeight="false" outlineLevel="0" collapsed="false">
      <c r="A5561" s="0" t="n">
        <v>6</v>
      </c>
      <c r="B5561" s="8" t="s">
        <v>24</v>
      </c>
      <c r="C5561" s="9" t="s">
        <v>25</v>
      </c>
      <c r="D5561" s="9" t="s">
        <v>26</v>
      </c>
      <c r="E5561" s="10" t="n">
        <v>1789</v>
      </c>
      <c r="F5561" s="9" t="s">
        <v>27</v>
      </c>
      <c r="G5561" s="9" t="s">
        <v>27</v>
      </c>
      <c r="H5561" s="11" t="n">
        <v>26</v>
      </c>
      <c r="I5561" s="11" t="s">
        <v>377</v>
      </c>
      <c r="J5561" s="14"/>
      <c r="K5561" s="14"/>
      <c r="L5561" s="16"/>
      <c r="M5561" s="27" t="n">
        <f aca="false">J5561+(K5561/20)+(L5561/240)</f>
        <v>0</v>
      </c>
      <c r="N5561" s="17"/>
      <c r="O5561" s="11"/>
      <c r="P5561" s="28"/>
      <c r="Q5561" s="28" t="n">
        <f aca="false">P5561*$M5561</f>
        <v>0</v>
      </c>
      <c r="R5561" s="28"/>
      <c r="S5561" s="28" t="n">
        <f aca="false">R5561*$M5561</f>
        <v>0</v>
      </c>
      <c r="T5561" s="28"/>
      <c r="U5561" s="28" t="n">
        <v>517</v>
      </c>
      <c r="V5561" s="28"/>
      <c r="W5561" s="28" t="n">
        <v>1243</v>
      </c>
      <c r="X5561" s="28"/>
      <c r="Y5561" s="28" t="n">
        <f aca="false">X5561*$M5561</f>
        <v>0</v>
      </c>
      <c r="Z5561" s="28"/>
      <c r="AA5561" s="28" t="n">
        <f aca="false">Z5561*$M5561</f>
        <v>0</v>
      </c>
      <c r="AB5561" s="28"/>
      <c r="AC5561" s="28" t="n">
        <v>694</v>
      </c>
      <c r="AD5561" s="28"/>
      <c r="AE5561" s="28" t="n">
        <f aca="false">AD5561*$M5561</f>
        <v>0</v>
      </c>
      <c r="AF5561" s="28"/>
      <c r="AG5561" s="28" t="n">
        <f aca="false">AF5561*$M5561</f>
        <v>0</v>
      </c>
      <c r="AH5561" s="28"/>
      <c r="AI5561" s="28" t="n">
        <f aca="false">AH5561*$M5561</f>
        <v>0</v>
      </c>
      <c r="AJ5561" s="28"/>
      <c r="AK5561" s="28" t="n">
        <v>664</v>
      </c>
      <c r="AL5561" s="28"/>
      <c r="AM5561" s="28" t="n">
        <v>161</v>
      </c>
      <c r="AN5561" s="28"/>
      <c r="AO5561" s="28" t="n">
        <f aca="false">AN5561*$M5561</f>
        <v>0</v>
      </c>
      <c r="AP5561" s="28"/>
      <c r="AQ5561" s="28" t="n">
        <f aca="false">AP5561*$M5561</f>
        <v>0</v>
      </c>
      <c r="AR5561" s="28"/>
      <c r="AS5561" s="28" t="n">
        <f aca="false">AR5561*$M5561</f>
        <v>0</v>
      </c>
      <c r="AT5561" s="28"/>
      <c r="AU5561" s="28" t="n">
        <f aca="false">AT5561*$M5561</f>
        <v>0</v>
      </c>
      <c r="AV5561" s="28"/>
      <c r="AW5561" s="28" t="n">
        <f aca="false">AV5561*$M5561</f>
        <v>0</v>
      </c>
      <c r="AX5561" s="28"/>
      <c r="AY5561" s="28" t="n">
        <f aca="false">AX5561*$M5561</f>
        <v>0</v>
      </c>
      <c r="AZ5561" s="30"/>
      <c r="BA5561" s="11" t="n">
        <v>3279</v>
      </c>
      <c r="BB5561" s="31" t="n">
        <f aca="false">SUM(Q5561,S5561,U5561,W5561,Y5561,AA5561,AC5561,AE5561,AG5561,AI5561,AK5561,AM5561,AO5561,AQ5561,AS5561,AU5561,AW5561,AY5561)</f>
        <v>3279</v>
      </c>
      <c r="BC5561" s="28" t="n">
        <f aca="false">BA5561-BB5561</f>
        <v>0</v>
      </c>
      <c r="BD5561" s="32" t="n">
        <f aca="false">SUM(P5561,R5561,T5561,V5561,X5561,Z5561,AB5561,AD5561,AF5561,AH5561,AJ5561,AL5561,AN5561,AP5561,AR5561,AT5561,AV5561,AX5561)</f>
        <v>0</v>
      </c>
      <c r="BE5561" s="33" t="n">
        <f aca="false">AZ5561-BD5561</f>
        <v>0</v>
      </c>
      <c r="BF5561" s="34" t="n">
        <f aca="false">BD5561*M5561</f>
        <v>0</v>
      </c>
      <c r="BG5561" s="35" t="n">
        <f aca="false">BA5561-BF5561</f>
        <v>3279</v>
      </c>
      <c r="BH5561" s="19" t="str">
        <f aca="false">IF(BG5561=0,"",IF(BG5561&lt;&gt;BA5561,"erreur de calcul",IF(BD5561&lt;&gt;0,"pas de prix",IF(M5561&lt;&gt; 0,"pas de quantité","pas de prix, ni de quantité"))))</f>
        <v>pas de prix, ni de quantité</v>
      </c>
      <c r="BI5561" s="19"/>
    </row>
    <row r="5562" customFormat="false" ht="15" hidden="false" customHeight="false" outlineLevel="0" collapsed="false">
      <c r="A5562" s="0" t="n">
        <v>7</v>
      </c>
      <c r="B5562" s="8" t="s">
        <v>24</v>
      </c>
      <c r="C5562" s="9" t="s">
        <v>25</v>
      </c>
      <c r="D5562" s="9" t="s">
        <v>26</v>
      </c>
      <c r="E5562" s="10" t="n">
        <v>1789</v>
      </c>
      <c r="F5562" s="9" t="s">
        <v>27</v>
      </c>
      <c r="G5562" s="9" t="s">
        <v>27</v>
      </c>
      <c r="H5562" s="11" t="n">
        <v>26</v>
      </c>
      <c r="I5562" s="11" t="s">
        <v>378</v>
      </c>
      <c r="J5562" s="14" t="n">
        <v>27</v>
      </c>
      <c r="K5562" s="14"/>
      <c r="L5562" s="16"/>
      <c r="M5562" s="27" t="n">
        <f aca="false">J5562+(K5562/20)+(L5562/240)</f>
        <v>27</v>
      </c>
      <c r="N5562" s="17" t="s">
        <v>379</v>
      </c>
      <c r="O5562" s="11" t="s">
        <v>98</v>
      </c>
      <c r="P5562" s="28"/>
      <c r="Q5562" s="28" t="n">
        <f aca="false">P5562*$M5562</f>
        <v>0</v>
      </c>
      <c r="R5562" s="28"/>
      <c r="S5562" s="28" t="n">
        <f aca="false">R5562*$M5562</f>
        <v>0</v>
      </c>
      <c r="T5562" s="28"/>
      <c r="U5562" s="28" t="n">
        <f aca="false">T5562*$M5562</f>
        <v>0</v>
      </c>
      <c r="V5562" s="28"/>
      <c r="W5562" s="28" t="n">
        <f aca="false">V5562*$M5562</f>
        <v>0</v>
      </c>
      <c r="X5562" s="28"/>
      <c r="Y5562" s="28" t="n">
        <f aca="false">X5562*$M5562</f>
        <v>0</v>
      </c>
      <c r="Z5562" s="28"/>
      <c r="AA5562" s="28" t="n">
        <f aca="false">Z5562*$M5562</f>
        <v>0</v>
      </c>
      <c r="AB5562" s="28"/>
      <c r="AC5562" s="28" t="n">
        <f aca="false">AB5562*$M5562</f>
        <v>0</v>
      </c>
      <c r="AD5562" s="28"/>
      <c r="AE5562" s="28" t="n">
        <f aca="false">AD5562*$M5562</f>
        <v>0</v>
      </c>
      <c r="AF5562" s="28"/>
      <c r="AG5562" s="28" t="n">
        <f aca="false">AF5562*$M5562</f>
        <v>0</v>
      </c>
      <c r="AH5562" s="28"/>
      <c r="AI5562" s="28" t="n">
        <f aca="false">AH5562*$M5562</f>
        <v>0</v>
      </c>
      <c r="AJ5562" s="28"/>
      <c r="AK5562" s="28" t="n">
        <f aca="false">AJ5562*$M5562</f>
        <v>0</v>
      </c>
      <c r="AL5562" s="28"/>
      <c r="AM5562" s="28" t="n">
        <f aca="false">AL5562*$M5562</f>
        <v>0</v>
      </c>
      <c r="AN5562" s="28"/>
      <c r="AO5562" s="28" t="n">
        <f aca="false">AN5562*$M5562</f>
        <v>0</v>
      </c>
      <c r="AP5562" s="28"/>
      <c r="AQ5562" s="28" t="n">
        <f aca="false">AP5562*$M5562</f>
        <v>0</v>
      </c>
      <c r="AR5562" s="28"/>
      <c r="AS5562" s="28" t="n">
        <f aca="false">AR5562*$M5562</f>
        <v>0</v>
      </c>
      <c r="AT5562" s="28"/>
      <c r="AU5562" s="28" t="n">
        <f aca="false">AT5562*$M5562</f>
        <v>0</v>
      </c>
      <c r="AV5562" s="28"/>
      <c r="AW5562" s="28" t="n">
        <f aca="false">AV5562*$M5562</f>
        <v>0</v>
      </c>
      <c r="AX5562" s="28"/>
      <c r="AY5562" s="28" t="n">
        <f aca="false">AX5562*$M5562</f>
        <v>0</v>
      </c>
      <c r="AZ5562" s="30"/>
      <c r="BA5562" s="11"/>
      <c r="BB5562" s="31" t="n">
        <f aca="false">SUM(Q5562,S5562,U5562,W5562,Y5562,AA5562,AC5562,AE5562,AG5562,AI5562,AK5562,AM5562,AO5562,AQ5562,AS5562,AU5562,AW5562,AY5562)</f>
        <v>0</v>
      </c>
      <c r="BC5562" s="28" t="n">
        <f aca="false">BA5562-BB5562</f>
        <v>0</v>
      </c>
      <c r="BD5562" s="32" t="n">
        <f aca="false">SUM(P5562,R5562,T5562,V5562,X5562,Z5562,AB5562,AD5562,AF5562,AH5562,AJ5562,AL5562,AN5562,AP5562,AR5562,AT5562,AV5562,AX5562)</f>
        <v>0</v>
      </c>
      <c r="BE5562" s="33" t="n">
        <f aca="false">AZ5562-BD5562</f>
        <v>0</v>
      </c>
      <c r="BF5562" s="34" t="n">
        <f aca="false">BD5562*M5562</f>
        <v>0</v>
      </c>
      <c r="BG5562" s="35" t="n">
        <f aca="false">BA5562-BF5562</f>
        <v>0</v>
      </c>
      <c r="BH5562" s="19" t="str">
        <f aca="false">IF(BG5562=0,"",IF(BG5562&lt;&gt;BA5562,"erreur de calcul",IF(BD5562&lt;&gt;0,"pas de prix",IF(M5562&lt;&gt; 0,"pas de quantité","pas de prix, ni de quantité"))))</f>
        <v/>
      </c>
      <c r="BI5562" s="19"/>
    </row>
    <row r="5563" customFormat="false" ht="15" hidden="false" customHeight="false" outlineLevel="0" collapsed="false">
      <c r="A5563" s="0" t="n">
        <v>8</v>
      </c>
      <c r="B5563" s="8" t="s">
        <v>24</v>
      </c>
      <c r="C5563" s="9" t="s">
        <v>25</v>
      </c>
      <c r="D5563" s="9" t="s">
        <v>26</v>
      </c>
      <c r="E5563" s="10" t="n">
        <v>1789</v>
      </c>
      <c r="F5563" s="9" t="s">
        <v>27</v>
      </c>
      <c r="G5563" s="9" t="s">
        <v>27</v>
      </c>
      <c r="H5563" s="11" t="n">
        <v>26</v>
      </c>
      <c r="I5563" s="11" t="s">
        <v>380</v>
      </c>
      <c r="J5563" s="14" t="n">
        <v>30</v>
      </c>
      <c r="K5563" s="14"/>
      <c r="L5563" s="16"/>
      <c r="M5563" s="27" t="n">
        <f aca="false">J5563+(K5563/20)+(L5563/240)</f>
        <v>30</v>
      </c>
      <c r="N5563" s="17" t="s">
        <v>64</v>
      </c>
      <c r="O5563" s="11"/>
      <c r="P5563" s="28"/>
      <c r="Q5563" s="28" t="n">
        <f aca="false">P5563*$M5563</f>
        <v>0</v>
      </c>
      <c r="R5563" s="28"/>
      <c r="S5563" s="28" t="n">
        <f aca="false">R5563*$M5563</f>
        <v>0</v>
      </c>
      <c r="T5563" s="28"/>
      <c r="U5563" s="28" t="n">
        <f aca="false">T5563*$M5563</f>
        <v>0</v>
      </c>
      <c r="V5563" s="28"/>
      <c r="W5563" s="28" t="n">
        <f aca="false">V5563*$M5563</f>
        <v>0</v>
      </c>
      <c r="X5563" s="28"/>
      <c r="Y5563" s="28" t="n">
        <f aca="false">X5563*$M5563</f>
        <v>0</v>
      </c>
      <c r="Z5563" s="28"/>
      <c r="AA5563" s="28" t="n">
        <f aca="false">Z5563*$M5563</f>
        <v>0</v>
      </c>
      <c r="AB5563" s="28"/>
      <c r="AC5563" s="28" t="n">
        <f aca="false">AB5563*$M5563</f>
        <v>0</v>
      </c>
      <c r="AD5563" s="28"/>
      <c r="AE5563" s="28" t="n">
        <f aca="false">AD5563*$M5563</f>
        <v>0</v>
      </c>
      <c r="AF5563" s="28"/>
      <c r="AG5563" s="28" t="n">
        <f aca="false">AF5563*$M5563</f>
        <v>0</v>
      </c>
      <c r="AH5563" s="28"/>
      <c r="AI5563" s="28" t="n">
        <f aca="false">AH5563*$M5563</f>
        <v>0</v>
      </c>
      <c r="AJ5563" s="28"/>
      <c r="AK5563" s="28" t="n">
        <f aca="false">AJ5563*$M5563</f>
        <v>0</v>
      </c>
      <c r="AL5563" s="28"/>
      <c r="AM5563" s="28" t="n">
        <f aca="false">AL5563*$M5563</f>
        <v>0</v>
      </c>
      <c r="AN5563" s="28"/>
      <c r="AO5563" s="28" t="n">
        <f aca="false">AN5563*$M5563</f>
        <v>0</v>
      </c>
      <c r="AP5563" s="28"/>
      <c r="AQ5563" s="28" t="n">
        <f aca="false">AP5563*$M5563</f>
        <v>0</v>
      </c>
      <c r="AR5563" s="28"/>
      <c r="AS5563" s="28" t="n">
        <f aca="false">AR5563*$M5563</f>
        <v>0</v>
      </c>
      <c r="AT5563" s="28"/>
      <c r="AU5563" s="28" t="n">
        <f aca="false">AT5563*$M5563</f>
        <v>0</v>
      </c>
      <c r="AV5563" s="28" t="n">
        <f aca="false">5417/100</f>
        <v>54.17</v>
      </c>
      <c r="AW5563" s="28" t="n">
        <v>1625</v>
      </c>
      <c r="AX5563" s="28"/>
      <c r="AY5563" s="28" t="n">
        <f aca="false">AX5563*$M5563</f>
        <v>0</v>
      </c>
      <c r="AZ5563" s="30"/>
      <c r="BA5563" s="11" t="n">
        <v>1625</v>
      </c>
      <c r="BB5563" s="31" t="n">
        <f aca="false">SUM(Q5563,S5563,U5563,W5563,Y5563,AA5563,AC5563,AE5563,AG5563,AI5563,AK5563,AM5563,AO5563,AQ5563,AS5563,AU5563,AW5563,AY5563)</f>
        <v>1625</v>
      </c>
      <c r="BC5563" s="28" t="n">
        <f aca="false">BA5563-BB5563</f>
        <v>0</v>
      </c>
      <c r="BD5563" s="32" t="n">
        <f aca="false">SUM(P5563,R5563,T5563,V5563,X5563,Z5563,AB5563,AD5563,AF5563,AH5563,AJ5563,AL5563,AN5563,AP5563,AR5563,AT5563,AV5563,AX5563)</f>
        <v>54.17</v>
      </c>
      <c r="BE5563" s="33" t="n">
        <f aca="false">AZ5563-BD5563</f>
        <v>-54.17</v>
      </c>
      <c r="BF5563" s="34" t="n">
        <f aca="false">BD5563*M5563</f>
        <v>1625.1</v>
      </c>
      <c r="BG5563" s="35" t="n">
        <f aca="false">BA5563-BF5563</f>
        <v>-0.100000000000136</v>
      </c>
      <c r="BH5563" s="19" t="str">
        <f aca="false">IF(BG5563=0,"",IF(BG5563&lt;&gt;BA5563,"erreur de calcul",IF(BD5563&lt;&gt;0,"pas de prix",IF(M5563&lt;&gt; 0,"pas de quantité","pas de prix, ni de quantité"))))</f>
        <v>erreur de calcul</v>
      </c>
      <c r="BI5563" s="19"/>
    </row>
    <row r="5564" customFormat="false" ht="15" hidden="false" customHeight="false" outlineLevel="0" collapsed="false">
      <c r="A5564" s="0" t="n">
        <v>9</v>
      </c>
      <c r="B5564" s="8" t="s">
        <v>24</v>
      </c>
      <c r="C5564" s="9" t="s">
        <v>25</v>
      </c>
      <c r="D5564" s="9" t="s">
        <v>26</v>
      </c>
      <c r="E5564" s="10" t="n">
        <v>1789</v>
      </c>
      <c r="F5564" s="9" t="s">
        <v>27</v>
      </c>
      <c r="G5564" s="9" t="s">
        <v>27</v>
      </c>
      <c r="H5564" s="11" t="n">
        <v>26</v>
      </c>
      <c r="I5564" s="11" t="s">
        <v>381</v>
      </c>
      <c r="J5564" s="14" t="n">
        <v>6</v>
      </c>
      <c r="K5564" s="14"/>
      <c r="L5564" s="16"/>
      <c r="M5564" s="27" t="n">
        <f aca="false">J5564+(K5564/20)+(L5564/240)</f>
        <v>6</v>
      </c>
      <c r="N5564" s="17" t="s">
        <v>379</v>
      </c>
      <c r="O5564" s="11" t="s">
        <v>98</v>
      </c>
      <c r="P5564" s="28"/>
      <c r="Q5564" s="28" t="n">
        <f aca="false">P5564*$M5564</f>
        <v>0</v>
      </c>
      <c r="R5564" s="28"/>
      <c r="S5564" s="28" t="n">
        <f aca="false">R5564*$M5564</f>
        <v>0</v>
      </c>
      <c r="T5564" s="28"/>
      <c r="U5564" s="28" t="n">
        <f aca="false">T5564*$M5564</f>
        <v>0</v>
      </c>
      <c r="V5564" s="28"/>
      <c r="W5564" s="28" t="n">
        <f aca="false">V5564*$M5564</f>
        <v>0</v>
      </c>
      <c r="X5564" s="28"/>
      <c r="Y5564" s="28" t="n">
        <f aca="false">X5564*$M5564</f>
        <v>0</v>
      </c>
      <c r="Z5564" s="28"/>
      <c r="AA5564" s="28" t="n">
        <f aca="false">Z5564*$M5564</f>
        <v>0</v>
      </c>
      <c r="AB5564" s="28"/>
      <c r="AC5564" s="28" t="n">
        <f aca="false">AB5564*$M5564</f>
        <v>0</v>
      </c>
      <c r="AD5564" s="28"/>
      <c r="AE5564" s="28" t="n">
        <f aca="false">AD5564*$M5564</f>
        <v>0</v>
      </c>
      <c r="AF5564" s="28"/>
      <c r="AG5564" s="28" t="n">
        <f aca="false">AF5564*$M5564</f>
        <v>0</v>
      </c>
      <c r="AH5564" s="28"/>
      <c r="AI5564" s="28" t="n">
        <f aca="false">AH5564*$M5564</f>
        <v>0</v>
      </c>
      <c r="AJ5564" s="28"/>
      <c r="AK5564" s="28" t="n">
        <f aca="false">AJ5564*$M5564</f>
        <v>0</v>
      </c>
      <c r="AL5564" s="28"/>
      <c r="AM5564" s="28" t="n">
        <f aca="false">AL5564*$M5564</f>
        <v>0</v>
      </c>
      <c r="AN5564" s="28"/>
      <c r="AO5564" s="28" t="n">
        <f aca="false">AN5564*$M5564</f>
        <v>0</v>
      </c>
      <c r="AP5564" s="28"/>
      <c r="AQ5564" s="28" t="n">
        <f aca="false">AP5564*$M5564</f>
        <v>0</v>
      </c>
      <c r="AR5564" s="28"/>
      <c r="AS5564" s="28" t="n">
        <f aca="false">AR5564*$M5564</f>
        <v>0</v>
      </c>
      <c r="AT5564" s="28"/>
      <c r="AU5564" s="28" t="n">
        <f aca="false">AT5564*$M5564</f>
        <v>0</v>
      </c>
      <c r="AV5564" s="28"/>
      <c r="AW5564" s="28" t="n">
        <f aca="false">AV5564*$M5564</f>
        <v>0</v>
      </c>
      <c r="AX5564" s="28"/>
      <c r="AY5564" s="28" t="n">
        <f aca="false">AX5564*$M5564</f>
        <v>0</v>
      </c>
      <c r="AZ5564" s="30"/>
      <c r="BA5564" s="11"/>
      <c r="BB5564" s="31" t="n">
        <f aca="false">SUM(Q5564,S5564,U5564,W5564,Y5564,AA5564,AC5564,AE5564,AG5564,AI5564,AK5564,AM5564,AO5564,AQ5564,AS5564,AU5564,AW5564,AY5564)</f>
        <v>0</v>
      </c>
      <c r="BC5564" s="28" t="n">
        <f aca="false">BA5564-BB5564</f>
        <v>0</v>
      </c>
      <c r="BD5564" s="32" t="n">
        <f aca="false">SUM(P5564,R5564,T5564,V5564,X5564,Z5564,AB5564,AD5564,AF5564,AH5564,AJ5564,AL5564,AN5564,AP5564,AR5564,AT5564,AV5564,AX5564)</f>
        <v>0</v>
      </c>
      <c r="BE5564" s="33" t="n">
        <f aca="false">AZ5564-BD5564</f>
        <v>0</v>
      </c>
      <c r="BF5564" s="34" t="n">
        <f aca="false">BD5564*M5564</f>
        <v>0</v>
      </c>
      <c r="BG5564" s="35" t="n">
        <f aca="false">BA5564-BF5564</f>
        <v>0</v>
      </c>
      <c r="BH5564" s="19" t="str">
        <f aca="false">IF(BG5564=0,"",IF(BG5564&lt;&gt;BA5564,"erreur de calcul",IF(BD5564&lt;&gt;0,"pas de prix",IF(M5564&lt;&gt; 0,"pas de quantité","pas de prix, ni de quantité"))))</f>
        <v/>
      </c>
      <c r="BI5564" s="19"/>
    </row>
    <row r="5565" customFormat="false" ht="15" hidden="false" customHeight="false" outlineLevel="0" collapsed="false">
      <c r="A5565" s="0" t="n">
        <v>10</v>
      </c>
      <c r="B5565" s="8" t="s">
        <v>24</v>
      </c>
      <c r="C5565" s="9" t="s">
        <v>25</v>
      </c>
      <c r="D5565" s="9" t="s">
        <v>26</v>
      </c>
      <c r="E5565" s="10" t="n">
        <v>1789</v>
      </c>
      <c r="F5565" s="9" t="s">
        <v>27</v>
      </c>
      <c r="G5565" s="9" t="s">
        <v>27</v>
      </c>
      <c r="H5565" s="11" t="n">
        <v>26</v>
      </c>
      <c r="I5565" s="11" t="s">
        <v>381</v>
      </c>
      <c r="J5565" s="14" t="n">
        <v>40</v>
      </c>
      <c r="K5565" s="14"/>
      <c r="L5565" s="16"/>
      <c r="M5565" s="27" t="n">
        <f aca="false">J5565+(K5565/20)+(L5565/240)</f>
        <v>40</v>
      </c>
      <c r="N5565" s="17" t="s">
        <v>382</v>
      </c>
      <c r="O5565" s="11" t="s">
        <v>98</v>
      </c>
      <c r="P5565" s="28"/>
      <c r="Q5565" s="28" t="n">
        <f aca="false">P5565*$M5565</f>
        <v>0</v>
      </c>
      <c r="R5565" s="28"/>
      <c r="S5565" s="28" t="n">
        <f aca="false">R5565*$M5565</f>
        <v>0</v>
      </c>
      <c r="T5565" s="28"/>
      <c r="U5565" s="28" t="n">
        <f aca="false">T5565*$M5565</f>
        <v>0</v>
      </c>
      <c r="V5565" s="28"/>
      <c r="W5565" s="28" t="n">
        <f aca="false">V5565*$M5565</f>
        <v>0</v>
      </c>
      <c r="X5565" s="28"/>
      <c r="Y5565" s="28" t="n">
        <f aca="false">X5565*$M5565</f>
        <v>0</v>
      </c>
      <c r="Z5565" s="28"/>
      <c r="AA5565" s="28" t="n">
        <f aca="false">Z5565*$M5565</f>
        <v>0</v>
      </c>
      <c r="AB5565" s="28"/>
      <c r="AC5565" s="28" t="n">
        <f aca="false">AB5565*$M5565</f>
        <v>0</v>
      </c>
      <c r="AD5565" s="28"/>
      <c r="AE5565" s="28" t="n">
        <f aca="false">AD5565*$M5565</f>
        <v>0</v>
      </c>
      <c r="AF5565" s="28"/>
      <c r="AG5565" s="28" t="n">
        <f aca="false">AF5565*$M5565</f>
        <v>0</v>
      </c>
      <c r="AH5565" s="28"/>
      <c r="AI5565" s="28" t="n">
        <f aca="false">AH5565*$M5565</f>
        <v>0</v>
      </c>
      <c r="AJ5565" s="28"/>
      <c r="AK5565" s="28" t="n">
        <f aca="false">AJ5565*$M5565</f>
        <v>0</v>
      </c>
      <c r="AL5565" s="28"/>
      <c r="AM5565" s="28" t="n">
        <f aca="false">AL5565*$M5565</f>
        <v>0</v>
      </c>
      <c r="AN5565" s="28"/>
      <c r="AO5565" s="28" t="n">
        <f aca="false">AN5565*$M5565</f>
        <v>0</v>
      </c>
      <c r="AP5565" s="28"/>
      <c r="AQ5565" s="28" t="n">
        <f aca="false">AP5565*$M5565</f>
        <v>0</v>
      </c>
      <c r="AR5565" s="28"/>
      <c r="AS5565" s="28" t="n">
        <f aca="false">AR5565*$M5565</f>
        <v>0</v>
      </c>
      <c r="AT5565" s="28"/>
      <c r="AU5565" s="28" t="n">
        <f aca="false">AT5565*$M5565</f>
        <v>0</v>
      </c>
      <c r="AV5565" s="28"/>
      <c r="AW5565" s="28" t="n">
        <f aca="false">AV5565*$M5565</f>
        <v>0</v>
      </c>
      <c r="AX5565" s="28"/>
      <c r="AY5565" s="28" t="n">
        <f aca="false">AX5565*$M5565</f>
        <v>0</v>
      </c>
      <c r="AZ5565" s="30"/>
      <c r="BA5565" s="11"/>
      <c r="BB5565" s="31" t="n">
        <f aca="false">SUM(Q5565,S5565,U5565,W5565,Y5565,AA5565,AC5565,AE5565,AG5565,AI5565,AK5565,AM5565,AO5565,AQ5565,AS5565,AU5565,AW5565,AY5565)</f>
        <v>0</v>
      </c>
      <c r="BC5565" s="28" t="n">
        <f aca="false">BA5565-BB5565</f>
        <v>0</v>
      </c>
      <c r="BD5565" s="32" t="n">
        <f aca="false">SUM(P5565,R5565,T5565,V5565,X5565,Z5565,AB5565,AD5565,AF5565,AH5565,AJ5565,AL5565,AN5565,AP5565,AR5565,AT5565,AV5565,AX5565)</f>
        <v>0</v>
      </c>
      <c r="BE5565" s="33" t="n">
        <f aca="false">AZ5565-BD5565</f>
        <v>0</v>
      </c>
      <c r="BF5565" s="34" t="n">
        <f aca="false">BD5565*M5565</f>
        <v>0</v>
      </c>
      <c r="BG5565" s="35" t="n">
        <f aca="false">BA5565-BF5565</f>
        <v>0</v>
      </c>
      <c r="BH5565" s="19" t="str">
        <f aca="false">IF(BG5565=0,"",IF(BG5565&lt;&gt;BA5565,"erreur de calcul",IF(BD5565&lt;&gt;0,"pas de prix",IF(M5565&lt;&gt; 0,"pas de quantité","pas de prix, ni de quantité"))))</f>
        <v/>
      </c>
      <c r="BI5565" s="19"/>
    </row>
    <row r="5566" customFormat="false" ht="15" hidden="false" customHeight="false" outlineLevel="0" collapsed="false">
      <c r="A5566" s="0" t="n">
        <v>11</v>
      </c>
      <c r="B5566" s="8" t="s">
        <v>24</v>
      </c>
      <c r="C5566" s="9" t="s">
        <v>25</v>
      </c>
      <c r="D5566" s="9" t="s">
        <v>26</v>
      </c>
      <c r="E5566" s="10" t="n">
        <v>1789</v>
      </c>
      <c r="F5566" s="9" t="s">
        <v>27</v>
      </c>
      <c r="G5566" s="9" t="s">
        <v>27</v>
      </c>
      <c r="H5566" s="11" t="n">
        <v>26</v>
      </c>
      <c r="I5566" s="11" t="s">
        <v>383</v>
      </c>
      <c r="J5566" s="14" t="n">
        <v>50</v>
      </c>
      <c r="K5566" s="14"/>
      <c r="L5566" s="16"/>
      <c r="M5566" s="27" t="n">
        <f aca="false">J5566+(K5566/20)+(L5566/240)</f>
        <v>50</v>
      </c>
      <c r="N5566" s="17" t="s">
        <v>64</v>
      </c>
      <c r="O5566" s="11"/>
      <c r="P5566" s="28" t="n">
        <f aca="false">54967/100</f>
        <v>549.67</v>
      </c>
      <c r="Q5566" s="28" t="n">
        <v>27483</v>
      </c>
      <c r="R5566" s="28"/>
      <c r="S5566" s="28" t="n">
        <f aca="false">R5566*$M5566</f>
        <v>0</v>
      </c>
      <c r="T5566" s="28" t="n">
        <f aca="false">74693/100</f>
        <v>746.93</v>
      </c>
      <c r="U5566" s="28" t="n">
        <v>37346</v>
      </c>
      <c r="V5566" s="28" t="n">
        <f aca="false">161729/100</f>
        <v>1617.29</v>
      </c>
      <c r="W5566" s="28" t="n">
        <v>80864</v>
      </c>
      <c r="X5566" s="28" t="n">
        <f aca="false">106689/100</f>
        <v>1066.89</v>
      </c>
      <c r="Y5566" s="28" t="n">
        <v>53344</v>
      </c>
      <c r="Z5566" s="28"/>
      <c r="AA5566" s="28" t="n">
        <f aca="false">Z5566*$M5566</f>
        <v>0</v>
      </c>
      <c r="AB5566" s="28"/>
      <c r="AC5566" s="28" t="n">
        <f aca="false">AB5566*$M5566</f>
        <v>0</v>
      </c>
      <c r="AD5566" s="28"/>
      <c r="AE5566" s="28" t="n">
        <f aca="false">AD5566*$M5566</f>
        <v>0</v>
      </c>
      <c r="AF5566" s="28"/>
      <c r="AG5566" s="28" t="n">
        <f aca="false">AF5566*$M5566</f>
        <v>0</v>
      </c>
      <c r="AH5566" s="28"/>
      <c r="AI5566" s="28" t="n">
        <f aca="false">AH5566*$M5566</f>
        <v>0</v>
      </c>
      <c r="AJ5566" s="28"/>
      <c r="AK5566" s="28" t="n">
        <f aca="false">AJ5566*$M5566</f>
        <v>0</v>
      </c>
      <c r="AL5566" s="28"/>
      <c r="AM5566" s="28" t="n">
        <f aca="false">AL5566*$M5566</f>
        <v>0</v>
      </c>
      <c r="AN5566" s="28"/>
      <c r="AO5566" s="28" t="n">
        <f aca="false">AN5566*$M5566</f>
        <v>0</v>
      </c>
      <c r="AP5566" s="28"/>
      <c r="AQ5566" s="28" t="n">
        <f aca="false">AP5566*$M5566</f>
        <v>0</v>
      </c>
      <c r="AR5566" s="28"/>
      <c r="AS5566" s="28" t="n">
        <f aca="false">AR5566*$M5566</f>
        <v>0</v>
      </c>
      <c r="AT5566" s="28"/>
      <c r="AU5566" s="28" t="n">
        <f aca="false">AT5566*$M5566</f>
        <v>0</v>
      </c>
      <c r="AV5566" s="28"/>
      <c r="AW5566" s="28" t="n">
        <f aca="false">AV5566*$M5566</f>
        <v>0</v>
      </c>
      <c r="AX5566" s="28"/>
      <c r="AY5566" s="28" t="n">
        <f aca="false">AX5566*$M5566</f>
        <v>0</v>
      </c>
      <c r="AZ5566" s="30" t="n">
        <f aca="false">398078/100</f>
        <v>3980.78</v>
      </c>
      <c r="BA5566" s="11" t="n">
        <v>199037</v>
      </c>
      <c r="BB5566" s="31" t="n">
        <f aca="false">SUM(Q5566,S5566,U5566,W5566,Y5566,AA5566,AC5566,AE5566,AG5566,AI5566,AK5566,AM5566,AO5566,AQ5566,AS5566,AU5566,AW5566,AY5566)</f>
        <v>199037</v>
      </c>
      <c r="BC5566" s="28" t="n">
        <f aca="false">BA5566-BB5566</f>
        <v>0</v>
      </c>
      <c r="BD5566" s="32" t="n">
        <f aca="false">SUM(P5566,R5566,T5566,V5566,X5566,Z5566,AB5566,AD5566,AF5566,AH5566,AJ5566,AL5566,AN5566,AP5566,AR5566,AT5566,AV5566,AX5566)</f>
        <v>3980.78</v>
      </c>
      <c r="BE5566" s="33" t="n">
        <f aca="false">AZ5566-BD5566</f>
        <v>0</v>
      </c>
      <c r="BF5566" s="34" t="n">
        <f aca="false">BD5566*M5566</f>
        <v>199039</v>
      </c>
      <c r="BG5566" s="35" t="n">
        <f aca="false">BA5566-BF5566</f>
        <v>-2</v>
      </c>
      <c r="BH5566" s="19" t="str">
        <f aca="false">IF(BG5566=0,"",IF(BG5566&lt;&gt;BA5566,"erreur de calcul",IF(BD5566&lt;&gt;0,"pas de prix",IF(M5566&lt;&gt; 0,"pas de quantité","pas de prix, ni de quantité"))))</f>
        <v>erreur de calcul</v>
      </c>
      <c r="BI5566" s="19"/>
    </row>
    <row r="5567" customFormat="false" ht="15" hidden="false" customHeight="false" outlineLevel="0" collapsed="false">
      <c r="A5567" s="0" t="n">
        <v>12</v>
      </c>
      <c r="B5567" s="8" t="s">
        <v>24</v>
      </c>
      <c r="C5567" s="9" t="s">
        <v>25</v>
      </c>
      <c r="D5567" s="9" t="s">
        <v>26</v>
      </c>
      <c r="E5567" s="10" t="n">
        <v>1789</v>
      </c>
      <c r="F5567" s="9" t="s">
        <v>27</v>
      </c>
      <c r="G5567" s="9" t="s">
        <v>27</v>
      </c>
      <c r="H5567" s="11" t="n">
        <v>26</v>
      </c>
      <c r="I5567" s="11" t="s">
        <v>384</v>
      </c>
      <c r="J5567" s="14" t="n">
        <v>27</v>
      </c>
      <c r="K5567" s="14"/>
      <c r="L5567" s="16"/>
      <c r="M5567" s="27" t="n">
        <f aca="false">J5567+(K5567/20)+(L5567/240)</f>
        <v>27</v>
      </c>
      <c r="N5567" s="17" t="s">
        <v>64</v>
      </c>
      <c r="O5567" s="11"/>
      <c r="P5567" s="28"/>
      <c r="Q5567" s="28" t="n">
        <f aca="false">P5567*$M5567</f>
        <v>0</v>
      </c>
      <c r="R5567" s="28"/>
      <c r="S5567" s="28" t="n">
        <f aca="false">R5567*$M5567</f>
        <v>0</v>
      </c>
      <c r="T5567" s="28"/>
      <c r="U5567" s="28" t="n">
        <f aca="false">T5567*$M5567</f>
        <v>0</v>
      </c>
      <c r="V5567" s="28"/>
      <c r="W5567" s="28" t="n">
        <f aca="false">V5567*$M5567</f>
        <v>0</v>
      </c>
      <c r="X5567" s="28" t="n">
        <f aca="false">13334/100</f>
        <v>133.34</v>
      </c>
      <c r="Y5567" s="28" t="n">
        <v>3600</v>
      </c>
      <c r="Z5567" s="28"/>
      <c r="AA5567" s="28" t="n">
        <f aca="false">Z5567*$M5567</f>
        <v>0</v>
      </c>
      <c r="AB5567" s="28"/>
      <c r="AC5567" s="28" t="n">
        <f aca="false">AB5567*$M5567</f>
        <v>0</v>
      </c>
      <c r="AD5567" s="28"/>
      <c r="AE5567" s="28" t="n">
        <f aca="false">AD5567*$M5567</f>
        <v>0</v>
      </c>
      <c r="AF5567" s="28"/>
      <c r="AG5567" s="28" t="n">
        <f aca="false">AF5567*$M5567</f>
        <v>0</v>
      </c>
      <c r="AH5567" s="28"/>
      <c r="AI5567" s="28" t="n">
        <f aca="false">AH5567*$M5567</f>
        <v>0</v>
      </c>
      <c r="AJ5567" s="28"/>
      <c r="AK5567" s="28" t="n">
        <f aca="false">AJ5567*$M5567</f>
        <v>0</v>
      </c>
      <c r="AL5567" s="28"/>
      <c r="AM5567" s="28" t="n">
        <f aca="false">AL5567*$M5567</f>
        <v>0</v>
      </c>
      <c r="AN5567" s="28"/>
      <c r="AO5567" s="28" t="n">
        <f aca="false">AN5567*$M5567</f>
        <v>0</v>
      </c>
      <c r="AP5567" s="28"/>
      <c r="AQ5567" s="28" t="n">
        <f aca="false">AP5567*$M5567</f>
        <v>0</v>
      </c>
      <c r="AR5567" s="28"/>
      <c r="AS5567" s="28" t="n">
        <f aca="false">AR5567*$M5567</f>
        <v>0</v>
      </c>
      <c r="AT5567" s="28"/>
      <c r="AU5567" s="28" t="n">
        <f aca="false">AT5567*$M5567</f>
        <v>0</v>
      </c>
      <c r="AV5567" s="28"/>
      <c r="AW5567" s="28" t="n">
        <f aca="false">AV5567*$M5567</f>
        <v>0</v>
      </c>
      <c r="AX5567" s="28"/>
      <c r="AY5567" s="28" t="n">
        <f aca="false">AX5567*$M5567</f>
        <v>0</v>
      </c>
      <c r="AZ5567" s="30" t="n">
        <f aca="false">13334/100</f>
        <v>133.34</v>
      </c>
      <c r="BA5567" s="11" t="n">
        <v>3600</v>
      </c>
      <c r="BB5567" s="31" t="n">
        <f aca="false">SUM(Q5567,S5567,U5567,W5567,Y5567,AA5567,AC5567,AE5567,AG5567,AI5567,AK5567,AM5567,AO5567,AQ5567,AS5567,AU5567,AW5567,AY5567)</f>
        <v>3600</v>
      </c>
      <c r="BC5567" s="28" t="n">
        <f aca="false">BA5567-BB5567</f>
        <v>0</v>
      </c>
      <c r="BD5567" s="32" t="n">
        <f aca="false">SUM(P5567,R5567,T5567,V5567,X5567,Z5567,AB5567,AD5567,AF5567,AH5567,AJ5567,AL5567,AN5567,AP5567,AR5567,AT5567,AV5567,AX5567)</f>
        <v>133.34</v>
      </c>
      <c r="BE5567" s="33" t="n">
        <f aca="false">AZ5567-BD5567</f>
        <v>0</v>
      </c>
      <c r="BF5567" s="34" t="n">
        <f aca="false">BD5567*M5567</f>
        <v>3600.18</v>
      </c>
      <c r="BG5567" s="35" t="n">
        <f aca="false">BA5567-BF5567</f>
        <v>-0.180000000000291</v>
      </c>
      <c r="BH5567" s="19" t="str">
        <f aca="false">IF(BG5567=0,"",IF(BG5567&lt;&gt;BA5567,"erreur de calcul",IF(BD5567&lt;&gt;0,"pas de prix",IF(M5567&lt;&gt; 0,"pas de quantité","pas de prix, ni de quantité"))))</f>
        <v>erreur de calcul</v>
      </c>
      <c r="BI5567" s="19"/>
    </row>
    <row r="5568" customFormat="false" ht="15" hidden="false" customHeight="false" outlineLevel="0" collapsed="false">
      <c r="A5568" s="0" t="n">
        <v>13</v>
      </c>
      <c r="B5568" s="8" t="s">
        <v>24</v>
      </c>
      <c r="C5568" s="9" t="s">
        <v>25</v>
      </c>
      <c r="D5568" s="9" t="s">
        <v>26</v>
      </c>
      <c r="E5568" s="10" t="n">
        <v>1789</v>
      </c>
      <c r="F5568" s="9" t="s">
        <v>27</v>
      </c>
      <c r="G5568" s="9" t="s">
        <v>27</v>
      </c>
      <c r="H5568" s="11" t="n">
        <v>26</v>
      </c>
      <c r="I5568" s="11" t="s">
        <v>385</v>
      </c>
      <c r="J5568" s="14" t="n">
        <v>40</v>
      </c>
      <c r="K5568" s="14"/>
      <c r="L5568" s="16"/>
      <c r="M5568" s="27" t="n">
        <f aca="false">J5568+(K5568/20)+(L5568/240)</f>
        <v>40</v>
      </c>
      <c r="N5568" s="17" t="s">
        <v>64</v>
      </c>
      <c r="O5568" s="11"/>
      <c r="P5568" s="28"/>
      <c r="Q5568" s="28" t="n">
        <f aca="false">P5568*$M5568</f>
        <v>0</v>
      </c>
      <c r="R5568" s="28"/>
      <c r="S5568" s="28" t="n">
        <f aca="false">R5568*$M5568</f>
        <v>0</v>
      </c>
      <c r="T5568" s="28" t="n">
        <f aca="false">13801/100</f>
        <v>138.01</v>
      </c>
      <c r="U5568" s="28" t="n">
        <v>5520</v>
      </c>
      <c r="V5568" s="28"/>
      <c r="W5568" s="28" t="n">
        <f aca="false">V5568*$M5568</f>
        <v>0</v>
      </c>
      <c r="X5568" s="28"/>
      <c r="Y5568" s="28" t="n">
        <f aca="false">X5568*$M5568</f>
        <v>0</v>
      </c>
      <c r="Z5568" s="28"/>
      <c r="AA5568" s="28" t="n">
        <f aca="false">Z5568*$M5568</f>
        <v>0</v>
      </c>
      <c r="AB5568" s="28"/>
      <c r="AC5568" s="28" t="n">
        <f aca="false">AB5568*$M5568</f>
        <v>0</v>
      </c>
      <c r="AD5568" s="28"/>
      <c r="AE5568" s="28" t="n">
        <f aca="false">AD5568*$M5568</f>
        <v>0</v>
      </c>
      <c r="AF5568" s="28"/>
      <c r="AG5568" s="28" t="n">
        <f aca="false">AF5568*$M5568</f>
        <v>0</v>
      </c>
      <c r="AH5568" s="28"/>
      <c r="AI5568" s="28" t="n">
        <f aca="false">AH5568*$M5568</f>
        <v>0</v>
      </c>
      <c r="AJ5568" s="28"/>
      <c r="AK5568" s="28" t="n">
        <f aca="false">AJ5568*$M5568</f>
        <v>0</v>
      </c>
      <c r="AL5568" s="28"/>
      <c r="AM5568" s="28" t="n">
        <f aca="false">AL5568*$M5568</f>
        <v>0</v>
      </c>
      <c r="AN5568" s="28"/>
      <c r="AO5568" s="28" t="n">
        <f aca="false">AN5568*$M5568</f>
        <v>0</v>
      </c>
      <c r="AP5568" s="28"/>
      <c r="AQ5568" s="28" t="n">
        <f aca="false">AP5568*$M5568</f>
        <v>0</v>
      </c>
      <c r="AR5568" s="28"/>
      <c r="AS5568" s="28" t="n">
        <f aca="false">AR5568*$M5568</f>
        <v>0</v>
      </c>
      <c r="AT5568" s="28"/>
      <c r="AU5568" s="28" t="n">
        <f aca="false">AT5568*$M5568</f>
        <v>0</v>
      </c>
      <c r="AV5568" s="28"/>
      <c r="AW5568" s="28" t="n">
        <f aca="false">AV5568*$M5568</f>
        <v>0</v>
      </c>
      <c r="AX5568" s="28"/>
      <c r="AY5568" s="28" t="n">
        <f aca="false">AX5568*$M5568</f>
        <v>0</v>
      </c>
      <c r="AZ5568" s="30" t="n">
        <f aca="false">13801/100</f>
        <v>138.01</v>
      </c>
      <c r="BA5568" s="11" t="n">
        <v>5520</v>
      </c>
      <c r="BB5568" s="31" t="n">
        <f aca="false">SUM(Q5568,S5568,U5568,W5568,Y5568,AA5568,AC5568,AE5568,AG5568,AI5568,AK5568,AM5568,AO5568,AQ5568,AS5568,AU5568,AW5568,AY5568)</f>
        <v>5520</v>
      </c>
      <c r="BC5568" s="28" t="n">
        <f aca="false">BA5568-BB5568</f>
        <v>0</v>
      </c>
      <c r="BD5568" s="32" t="n">
        <f aca="false">SUM(P5568,R5568,T5568,V5568,X5568,Z5568,AB5568,AD5568,AF5568,AH5568,AJ5568,AL5568,AN5568,AP5568,AR5568,AT5568,AV5568,AX5568)</f>
        <v>138.01</v>
      </c>
      <c r="BE5568" s="33" t="n">
        <f aca="false">AZ5568-BD5568</f>
        <v>0</v>
      </c>
      <c r="BF5568" s="34" t="n">
        <f aca="false">BD5568*M5568</f>
        <v>5520.4</v>
      </c>
      <c r="BG5568" s="35" t="n">
        <f aca="false">BA5568-BF5568</f>
        <v>-0.399999999999636</v>
      </c>
      <c r="BH5568" s="19" t="str">
        <f aca="false">IF(BG5568=0,"",IF(BG5568&lt;&gt;BA5568,"erreur de calcul",IF(BD5568&lt;&gt;0,"pas de prix",IF(M5568&lt;&gt; 0,"pas de quantité","pas de prix, ni de quantité"))))</f>
        <v>erreur de calcul</v>
      </c>
      <c r="BI5568" s="19"/>
    </row>
    <row r="5569" customFormat="false" ht="15" hidden="false" customHeight="false" outlineLevel="0" collapsed="false">
      <c r="A5569" s="0" t="n">
        <v>14</v>
      </c>
      <c r="B5569" s="8" t="s">
        <v>24</v>
      </c>
      <c r="C5569" s="9" t="s">
        <v>25</v>
      </c>
      <c r="D5569" s="9" t="s">
        <v>26</v>
      </c>
      <c r="E5569" s="10" t="n">
        <v>1789</v>
      </c>
      <c r="F5569" s="9" t="s">
        <v>27</v>
      </c>
      <c r="G5569" s="9" t="s">
        <v>27</v>
      </c>
      <c r="H5569" s="11" t="n">
        <v>26</v>
      </c>
      <c r="I5569" s="11" t="s">
        <v>386</v>
      </c>
      <c r="J5569" s="14" t="n">
        <v>10</v>
      </c>
      <c r="K5569" s="14"/>
      <c r="L5569" s="16"/>
      <c r="M5569" s="27" t="n">
        <f aca="false">J5569+(K5569/20)+(L5569/240)</f>
        <v>10</v>
      </c>
      <c r="N5569" s="17" t="s">
        <v>387</v>
      </c>
      <c r="O5569" s="11" t="s">
        <v>77</v>
      </c>
      <c r="P5569" s="28" t="n">
        <v>30740</v>
      </c>
      <c r="Q5569" s="28" t="n">
        <v>307400</v>
      </c>
      <c r="R5569" s="28"/>
      <c r="S5569" s="28" t="n">
        <f aca="false">R5569*$M5569</f>
        <v>0</v>
      </c>
      <c r="T5569" s="28" t="n">
        <v>1357</v>
      </c>
      <c r="U5569" s="28" t="n">
        <v>13570</v>
      </c>
      <c r="V5569" s="28" t="n">
        <v>115</v>
      </c>
      <c r="W5569" s="28" t="n">
        <v>1150</v>
      </c>
      <c r="X5569" s="28"/>
      <c r="Y5569" s="28" t="n">
        <f aca="false">X5569*$M5569</f>
        <v>0</v>
      </c>
      <c r="Z5569" s="28"/>
      <c r="AA5569" s="28" t="n">
        <f aca="false">Z5569*$M5569</f>
        <v>0</v>
      </c>
      <c r="AB5569" s="28"/>
      <c r="AC5569" s="28" t="n">
        <f aca="false">AB5569*$M5569</f>
        <v>0</v>
      </c>
      <c r="AD5569" s="28"/>
      <c r="AE5569" s="28" t="n">
        <f aca="false">AD5569*$M5569</f>
        <v>0</v>
      </c>
      <c r="AF5569" s="28"/>
      <c r="AG5569" s="28" t="n">
        <f aca="false">AF5569*$M5569</f>
        <v>0</v>
      </c>
      <c r="AH5569" s="28"/>
      <c r="AI5569" s="28" t="n">
        <f aca="false">AH5569*$M5569</f>
        <v>0</v>
      </c>
      <c r="AJ5569" s="28"/>
      <c r="AK5569" s="28" t="n">
        <f aca="false">AJ5569*$M5569</f>
        <v>0</v>
      </c>
      <c r="AL5569" s="28"/>
      <c r="AM5569" s="28" t="n">
        <f aca="false">AL5569*$M5569</f>
        <v>0</v>
      </c>
      <c r="AN5569" s="28"/>
      <c r="AO5569" s="28" t="n">
        <f aca="false">AN5569*$M5569</f>
        <v>0</v>
      </c>
      <c r="AP5569" s="28"/>
      <c r="AQ5569" s="28" t="n">
        <f aca="false">AP5569*$M5569</f>
        <v>0</v>
      </c>
      <c r="AR5569" s="28"/>
      <c r="AS5569" s="28" t="n">
        <f aca="false">AR5569*$M5569</f>
        <v>0</v>
      </c>
      <c r="AT5569" s="28"/>
      <c r="AU5569" s="28" t="n">
        <f aca="false">AT5569*$M5569</f>
        <v>0</v>
      </c>
      <c r="AV5569" s="28"/>
      <c r="AW5569" s="28" t="n">
        <f aca="false">AV5569*$M5569</f>
        <v>0</v>
      </c>
      <c r="AX5569" s="28"/>
      <c r="AY5569" s="28" t="n">
        <f aca="false">AX5569*$M5569</f>
        <v>0</v>
      </c>
      <c r="AZ5569" s="30" t="n">
        <f aca="false">32212/100</f>
        <v>322.12</v>
      </c>
      <c r="BA5569" s="11" t="n">
        <v>322120</v>
      </c>
      <c r="BB5569" s="31" t="n">
        <f aca="false">SUM(Q5569,S5569,U5569,W5569,Y5569,AA5569,AC5569,AE5569,AG5569,AI5569,AK5569,AM5569,AO5569,AQ5569,AS5569,AU5569,AW5569,AY5569)</f>
        <v>322120</v>
      </c>
      <c r="BC5569" s="28" t="n">
        <f aca="false">BA5569-BB5569</f>
        <v>0</v>
      </c>
      <c r="BD5569" s="32" t="n">
        <f aca="false">SUM(P5569,R5569,T5569,V5569,X5569,Z5569,AB5569,AD5569,AF5569,AH5569,AJ5569,AL5569,AN5569,AP5569,AR5569,AT5569,AV5569,AX5569)</f>
        <v>32212</v>
      </c>
      <c r="BE5569" s="33" t="n">
        <f aca="false">AZ5569-BD5569</f>
        <v>-31889.88</v>
      </c>
      <c r="BF5569" s="34" t="n">
        <f aca="false">BD5569*M5569</f>
        <v>322120</v>
      </c>
      <c r="BG5569" s="35" t="n">
        <f aca="false">BA5569-BF5569</f>
        <v>0</v>
      </c>
      <c r="BH5569" s="19" t="str">
        <f aca="false">IF(BG5569=0,"",IF(BG5569&lt;&gt;BA5569,"erreur de calcul",IF(BD5569&lt;&gt;0,"pas de prix",IF(M5569&lt;&gt; 0,"pas de quantité","pas de prix, ni de quantité"))))</f>
        <v/>
      </c>
      <c r="BI5569" s="19"/>
    </row>
    <row r="5570" customFormat="false" ht="15" hidden="false" customHeight="false" outlineLevel="0" collapsed="false">
      <c r="A5570" s="0" t="n">
        <v>15</v>
      </c>
      <c r="B5570" s="8" t="s">
        <v>24</v>
      </c>
      <c r="C5570" s="9" t="s">
        <v>25</v>
      </c>
      <c r="D5570" s="9" t="s">
        <v>26</v>
      </c>
      <c r="E5570" s="10" t="n">
        <v>1789</v>
      </c>
      <c r="F5570" s="9" t="s">
        <v>27</v>
      </c>
      <c r="G5570" s="9" t="s">
        <v>27</v>
      </c>
      <c r="H5570" s="11" t="n">
        <v>26</v>
      </c>
      <c r="I5570" s="11" t="s">
        <v>385</v>
      </c>
      <c r="J5570" s="14" t="n">
        <v>60</v>
      </c>
      <c r="K5570" s="14"/>
      <c r="L5570" s="16"/>
      <c r="M5570" s="27" t="n">
        <f aca="false">J5570+(K5570/20)+(L5570/240)</f>
        <v>60</v>
      </c>
      <c r="N5570" s="17" t="s">
        <v>64</v>
      </c>
      <c r="O5570" s="11"/>
      <c r="P5570" s="28"/>
      <c r="Q5570" s="28" t="n">
        <f aca="false">P5570*$M5570</f>
        <v>0</v>
      </c>
      <c r="R5570" s="28"/>
      <c r="S5570" s="28" t="n">
        <f aca="false">R5570*$M5570</f>
        <v>0</v>
      </c>
      <c r="T5570" s="28" t="n">
        <f aca="false">204759/100</f>
        <v>2047.59</v>
      </c>
      <c r="U5570" s="28" t="n">
        <v>122855</v>
      </c>
      <c r="V5570" s="28"/>
      <c r="W5570" s="28" t="n">
        <f aca="false">V5570*$M5570</f>
        <v>0</v>
      </c>
      <c r="X5570" s="28"/>
      <c r="Y5570" s="28" t="n">
        <f aca="false">X5570*$M5570</f>
        <v>0</v>
      </c>
      <c r="Z5570" s="28"/>
      <c r="AA5570" s="28" t="n">
        <f aca="false">Z5570*$M5570</f>
        <v>0</v>
      </c>
      <c r="AB5570" s="28"/>
      <c r="AC5570" s="28" t="n">
        <f aca="false">AB5570*$M5570</f>
        <v>0</v>
      </c>
      <c r="AD5570" s="28"/>
      <c r="AE5570" s="28" t="n">
        <f aca="false">AD5570*$M5570</f>
        <v>0</v>
      </c>
      <c r="AF5570" s="28"/>
      <c r="AG5570" s="28" t="n">
        <f aca="false">AF5570*$M5570</f>
        <v>0</v>
      </c>
      <c r="AH5570" s="28"/>
      <c r="AI5570" s="28" t="n">
        <f aca="false">AH5570*$M5570</f>
        <v>0</v>
      </c>
      <c r="AJ5570" s="28"/>
      <c r="AK5570" s="28" t="n">
        <f aca="false">AJ5570*$M5570</f>
        <v>0</v>
      </c>
      <c r="AL5570" s="28"/>
      <c r="AM5570" s="28" t="n">
        <f aca="false">AL5570*$M5570</f>
        <v>0</v>
      </c>
      <c r="AN5570" s="28"/>
      <c r="AO5570" s="28" t="n">
        <f aca="false">AN5570*$M5570</f>
        <v>0</v>
      </c>
      <c r="AP5570" s="28"/>
      <c r="AQ5570" s="28" t="n">
        <f aca="false">AP5570*$M5570</f>
        <v>0</v>
      </c>
      <c r="AR5570" s="28"/>
      <c r="AS5570" s="28" t="n">
        <f aca="false">AR5570*$M5570</f>
        <v>0</v>
      </c>
      <c r="AT5570" s="28"/>
      <c r="AU5570" s="28" t="n">
        <f aca="false">AT5570*$M5570</f>
        <v>0</v>
      </c>
      <c r="AV5570" s="28"/>
      <c r="AW5570" s="28" t="n">
        <f aca="false">AV5570*$M5570</f>
        <v>0</v>
      </c>
      <c r="AX5570" s="28"/>
      <c r="AY5570" s="28" t="n">
        <f aca="false">AX5570*$M5570</f>
        <v>0</v>
      </c>
      <c r="AZ5570" s="30" t="n">
        <f aca="false">204759/100</f>
        <v>2047.59</v>
      </c>
      <c r="BA5570" s="11" t="n">
        <v>122855</v>
      </c>
      <c r="BB5570" s="31" t="n">
        <f aca="false">SUM(Q5570,S5570,U5570,W5570,Y5570,AA5570,AC5570,AE5570,AG5570,AI5570,AK5570,AM5570,AO5570,AQ5570,AS5570,AU5570,AW5570,AY5570)</f>
        <v>122855</v>
      </c>
      <c r="BC5570" s="28" t="n">
        <f aca="false">BA5570-BB5570</f>
        <v>0</v>
      </c>
      <c r="BD5570" s="32" t="n">
        <f aca="false">SUM(P5570,R5570,T5570,V5570,X5570,Z5570,AB5570,AD5570,AF5570,AH5570,AJ5570,AL5570,AN5570,AP5570,AR5570,AT5570,AV5570,AX5570)</f>
        <v>2047.59</v>
      </c>
      <c r="BE5570" s="33" t="n">
        <f aca="false">AZ5570-BD5570</f>
        <v>0</v>
      </c>
      <c r="BF5570" s="34" t="n">
        <f aca="false">BD5570*M5570</f>
        <v>122855.4</v>
      </c>
      <c r="BG5570" s="35" t="n">
        <f aca="false">BA5570-BF5570</f>
        <v>-0.399999999994179</v>
      </c>
      <c r="BH5570" s="19" t="str">
        <f aca="false">IF(BG5570=0,"",IF(BG5570&lt;&gt;BA5570,"erreur de calcul",IF(BD5570&lt;&gt;0,"pas de prix",IF(M5570&lt;&gt; 0,"pas de quantité","pas de prix, ni de quantité"))))</f>
        <v>erreur de calcul</v>
      </c>
      <c r="BI5570" s="19"/>
    </row>
    <row r="5571" customFormat="false" ht="15" hidden="false" customHeight="false" outlineLevel="0" collapsed="false">
      <c r="A5571" s="0" t="n">
        <v>16</v>
      </c>
      <c r="B5571" s="8" t="s">
        <v>24</v>
      </c>
      <c r="C5571" s="9" t="s">
        <v>25</v>
      </c>
      <c r="D5571" s="9" t="s">
        <v>26</v>
      </c>
      <c r="E5571" s="10" t="n">
        <v>1789</v>
      </c>
      <c r="F5571" s="9" t="s">
        <v>27</v>
      </c>
      <c r="G5571" s="9" t="s">
        <v>27</v>
      </c>
      <c r="H5571" s="11" t="n">
        <v>26</v>
      </c>
      <c r="I5571" s="11" t="s">
        <v>388</v>
      </c>
      <c r="J5571" s="14" t="n">
        <v>4</v>
      </c>
      <c r="K5571" s="14" t="n">
        <v>10</v>
      </c>
      <c r="L5571" s="16"/>
      <c r="M5571" s="27" t="n">
        <f aca="false">J5571+(K5571/20)+(L5571/240)</f>
        <v>4.5</v>
      </c>
      <c r="N5571" s="17" t="s">
        <v>66</v>
      </c>
      <c r="O5571" s="11"/>
      <c r="P5571" s="28" t="n">
        <v>20973</v>
      </c>
      <c r="Q5571" s="28" t="n">
        <v>94378</v>
      </c>
      <c r="R5571" s="28"/>
      <c r="S5571" s="28" t="n">
        <f aca="false">R5571*$M5571</f>
        <v>0</v>
      </c>
      <c r="T5571" s="28"/>
      <c r="U5571" s="28" t="n">
        <f aca="false">T5571*$M5571</f>
        <v>0</v>
      </c>
      <c r="V5571" s="28"/>
      <c r="W5571" s="28" t="n">
        <f aca="false">V5571*$M5571</f>
        <v>0</v>
      </c>
      <c r="X5571" s="28"/>
      <c r="Y5571" s="28" t="n">
        <f aca="false">X5571*$M5571</f>
        <v>0</v>
      </c>
      <c r="Z5571" s="28"/>
      <c r="AA5571" s="28" t="n">
        <f aca="false">Z5571*$M5571</f>
        <v>0</v>
      </c>
      <c r="AB5571" s="28"/>
      <c r="AC5571" s="28" t="n">
        <f aca="false">AB5571*$M5571</f>
        <v>0</v>
      </c>
      <c r="AD5571" s="28"/>
      <c r="AE5571" s="28" t="n">
        <f aca="false">AD5571*$M5571</f>
        <v>0</v>
      </c>
      <c r="AF5571" s="28"/>
      <c r="AG5571" s="28" t="n">
        <f aca="false">AF5571*$M5571</f>
        <v>0</v>
      </c>
      <c r="AH5571" s="28"/>
      <c r="AI5571" s="28" t="n">
        <f aca="false">AH5571*$M5571</f>
        <v>0</v>
      </c>
      <c r="AJ5571" s="28"/>
      <c r="AK5571" s="28" t="n">
        <f aca="false">AJ5571*$M5571</f>
        <v>0</v>
      </c>
      <c r="AL5571" s="28"/>
      <c r="AM5571" s="28" t="n">
        <f aca="false">AL5571*$M5571</f>
        <v>0</v>
      </c>
      <c r="AN5571" s="28"/>
      <c r="AO5571" s="28" t="n">
        <f aca="false">AN5571*$M5571</f>
        <v>0</v>
      </c>
      <c r="AP5571" s="28"/>
      <c r="AQ5571" s="28" t="n">
        <f aca="false">AP5571*$M5571</f>
        <v>0</v>
      </c>
      <c r="AR5571" s="28"/>
      <c r="AS5571" s="28" t="n">
        <f aca="false">AR5571*$M5571</f>
        <v>0</v>
      </c>
      <c r="AT5571" s="28"/>
      <c r="AU5571" s="28" t="n">
        <f aca="false">AT5571*$M5571</f>
        <v>0</v>
      </c>
      <c r="AV5571" s="28"/>
      <c r="AW5571" s="28" t="n">
        <f aca="false">AV5571*$M5571</f>
        <v>0</v>
      </c>
      <c r="AX5571" s="28"/>
      <c r="AY5571" s="28" t="n">
        <f aca="false">AX5571*$M5571</f>
        <v>0</v>
      </c>
      <c r="AZ5571" s="30" t="n">
        <v>20973</v>
      </c>
      <c r="BA5571" s="11" t="n">
        <v>94378</v>
      </c>
      <c r="BB5571" s="31" t="n">
        <f aca="false">SUM(Q5571,S5571,U5571,W5571,Y5571,AA5571,AC5571,AE5571,AG5571,AI5571,AK5571,AM5571,AO5571,AQ5571,AS5571,AU5571,AW5571,AY5571)</f>
        <v>94378</v>
      </c>
      <c r="BC5571" s="28" t="n">
        <f aca="false">BA5571-BB5571</f>
        <v>0</v>
      </c>
      <c r="BD5571" s="32" t="n">
        <f aca="false">SUM(P5571,R5571,T5571,V5571,X5571,Z5571,AB5571,AD5571,AF5571,AH5571,AJ5571,AL5571,AN5571,AP5571,AR5571,AT5571,AV5571,AX5571)</f>
        <v>20973</v>
      </c>
      <c r="BE5571" s="33" t="n">
        <f aca="false">AZ5571-BD5571</f>
        <v>0</v>
      </c>
      <c r="BF5571" s="34" t="n">
        <f aca="false">BD5571*M5571</f>
        <v>94378.5</v>
      </c>
      <c r="BG5571" s="35" t="n">
        <f aca="false">BA5571-BF5571</f>
        <v>-0.5</v>
      </c>
      <c r="BH5571" s="19" t="str">
        <f aca="false">IF(BG5571=0,"",IF(BG5571&lt;&gt;BA5571,"erreur de calcul",IF(BD5571&lt;&gt;0,"pas de prix",IF(M5571&lt;&gt; 0,"pas de quantité","pas de prix, ni de quantité"))))</f>
        <v>erreur de calcul</v>
      </c>
      <c r="BI5571" s="19"/>
    </row>
    <row r="5572" customFormat="false" ht="15" hidden="false" customHeight="false" outlineLevel="0" collapsed="false">
      <c r="A5572" s="0" t="n">
        <v>17</v>
      </c>
      <c r="B5572" s="8" t="s">
        <v>24</v>
      </c>
      <c r="C5572" s="9" t="s">
        <v>25</v>
      </c>
      <c r="D5572" s="9" t="s">
        <v>26</v>
      </c>
      <c r="E5572" s="10" t="n">
        <v>1789</v>
      </c>
      <c r="F5572" s="9" t="s">
        <v>27</v>
      </c>
      <c r="G5572" s="9" t="s">
        <v>27</v>
      </c>
      <c r="H5572" s="11" t="n">
        <v>26</v>
      </c>
      <c r="I5572" s="11" t="s">
        <v>389</v>
      </c>
      <c r="J5572" s="14"/>
      <c r="K5572" s="14"/>
      <c r="L5572" s="16"/>
      <c r="M5572" s="27" t="n">
        <f aca="false">J5572+(K5572/20)+(L5572/240)</f>
        <v>0</v>
      </c>
      <c r="N5572" s="17"/>
      <c r="O5572" s="11" t="s">
        <v>277</v>
      </c>
      <c r="P5572" s="28"/>
      <c r="Q5572" s="28" t="n">
        <f aca="false">P5572*$M5572</f>
        <v>0</v>
      </c>
      <c r="R5572" s="28"/>
      <c r="S5572" s="28" t="n">
        <f aca="false">R5572*$M5572</f>
        <v>0</v>
      </c>
      <c r="T5572" s="28"/>
      <c r="U5572" s="28" t="n">
        <v>189</v>
      </c>
      <c r="V5572" s="28"/>
      <c r="W5572" s="28" t="n">
        <v>540</v>
      </c>
      <c r="X5572" s="28"/>
      <c r="Y5572" s="28" t="n">
        <f aca="false">X5572*$M5572</f>
        <v>0</v>
      </c>
      <c r="Z5572" s="28"/>
      <c r="AA5572" s="28" t="n">
        <f aca="false">Z5572*$M5572</f>
        <v>0</v>
      </c>
      <c r="AB5572" s="28"/>
      <c r="AC5572" s="28" t="n">
        <f aca="false">AB5572*$M5572</f>
        <v>0</v>
      </c>
      <c r="AD5572" s="28"/>
      <c r="AE5572" s="28" t="n">
        <f aca="false">AD5572*$M5572</f>
        <v>0</v>
      </c>
      <c r="AF5572" s="28"/>
      <c r="AG5572" s="28" t="n">
        <f aca="false">AF5572*$M5572</f>
        <v>0</v>
      </c>
      <c r="AH5572" s="28"/>
      <c r="AI5572" s="28" t="n">
        <f aca="false">AH5572*$M5572</f>
        <v>0</v>
      </c>
      <c r="AJ5572" s="28"/>
      <c r="AK5572" s="28" t="n">
        <v>317</v>
      </c>
      <c r="AL5572" s="28"/>
      <c r="AM5572" s="28" t="n">
        <f aca="false">AL5572*$M5572</f>
        <v>0</v>
      </c>
      <c r="AN5572" s="28"/>
      <c r="AO5572" s="28" t="n">
        <f aca="false">AN5572*$M5572</f>
        <v>0</v>
      </c>
      <c r="AP5572" s="28"/>
      <c r="AQ5572" s="28" t="n">
        <f aca="false">AP5572*$M5572</f>
        <v>0</v>
      </c>
      <c r="AR5572" s="28"/>
      <c r="AS5572" s="28" t="n">
        <f aca="false">AR5572*$M5572</f>
        <v>0</v>
      </c>
      <c r="AT5572" s="28"/>
      <c r="AU5572" s="28" t="n">
        <f aca="false">AT5572*$M5572</f>
        <v>0</v>
      </c>
      <c r="AV5572" s="28"/>
      <c r="AW5572" s="28" t="n">
        <f aca="false">AV5572*$M5572</f>
        <v>0</v>
      </c>
      <c r="AX5572" s="28"/>
      <c r="AY5572" s="28" t="n">
        <f aca="false">AX5572*$M5572</f>
        <v>0</v>
      </c>
      <c r="AZ5572" s="30"/>
      <c r="BA5572" s="11" t="n">
        <v>1046</v>
      </c>
      <c r="BB5572" s="31" t="n">
        <f aca="false">SUM(Q5572,S5572,U5572,W5572,Y5572,AA5572,AC5572,AE5572,AG5572,AI5572,AK5572,AM5572,AO5572,AQ5572,AS5572,AU5572,AW5572,AY5572)</f>
        <v>1046</v>
      </c>
      <c r="BC5572" s="28" t="n">
        <f aca="false">BA5572-BB5572</f>
        <v>0</v>
      </c>
      <c r="BD5572" s="32" t="n">
        <f aca="false">SUM(P5572,R5572,T5572,V5572,X5572,Z5572,AB5572,AD5572,AF5572,AH5572,AJ5572,AL5572,AN5572,AP5572,AR5572,AT5572,AV5572,AX5572)</f>
        <v>0</v>
      </c>
      <c r="BE5572" s="33" t="n">
        <f aca="false">AZ5572-BD5572</f>
        <v>0</v>
      </c>
      <c r="BF5572" s="34" t="n">
        <f aca="false">BD5572*M5572</f>
        <v>0</v>
      </c>
      <c r="BG5572" s="35" t="n">
        <f aca="false">BA5572-BF5572</f>
        <v>1046</v>
      </c>
      <c r="BH5572" s="19" t="str">
        <f aca="false">IF(BG5572=0,"",IF(BG5572&lt;&gt;BA5572,"erreur de calcul",IF(BD5572&lt;&gt;0,"pas de prix",IF(M5572&lt;&gt; 0,"pas de quantité","pas de prix, ni de quantité"))))</f>
        <v>pas de prix, ni de quantité</v>
      </c>
      <c r="BI5572" s="19"/>
    </row>
    <row r="5573" customFormat="false" ht="15" hidden="false" customHeight="false" outlineLevel="0" collapsed="false">
      <c r="A5573" s="0" t="n">
        <v>18</v>
      </c>
      <c r="B5573" s="8" t="s">
        <v>24</v>
      </c>
      <c r="C5573" s="9" t="s">
        <v>25</v>
      </c>
      <c r="D5573" s="9" t="s">
        <v>26</v>
      </c>
      <c r="E5573" s="10" t="n">
        <v>1789</v>
      </c>
      <c r="F5573" s="9" t="s">
        <v>27</v>
      </c>
      <c r="G5573" s="9" t="s">
        <v>27</v>
      </c>
      <c r="H5573" s="11" t="n">
        <v>26</v>
      </c>
      <c r="I5573" s="11" t="s">
        <v>389</v>
      </c>
      <c r="J5573" s="14" t="n">
        <v>90</v>
      </c>
      <c r="K5573" s="14"/>
      <c r="L5573" s="16"/>
      <c r="M5573" s="27" t="n">
        <f aca="false">J5573+(K5573/20)+(L5573/240)</f>
        <v>90</v>
      </c>
      <c r="N5573" s="17" t="s">
        <v>64</v>
      </c>
      <c r="O5573" s="11"/>
      <c r="P5573" s="28"/>
      <c r="Q5573" s="28" t="n">
        <f aca="false">P5573*$M5573</f>
        <v>0</v>
      </c>
      <c r="R5573" s="28"/>
      <c r="S5573" s="28" t="n">
        <f aca="false">R5573*$M5573</f>
        <v>0</v>
      </c>
      <c r="T5573" s="28"/>
      <c r="U5573" s="28" t="n">
        <f aca="false">T5573*$M5573</f>
        <v>0</v>
      </c>
      <c r="V5573" s="28" t="n">
        <f aca="false">6341/100</f>
        <v>63.41</v>
      </c>
      <c r="W5573" s="28" t="n">
        <v>5707</v>
      </c>
      <c r="X5573" s="28" t="n">
        <f aca="false">10903/100</f>
        <v>109.03</v>
      </c>
      <c r="Y5573" s="28" t="n">
        <v>9813</v>
      </c>
      <c r="Z5573" s="28"/>
      <c r="AA5573" s="28" t="n">
        <f aca="false">Z5573*$M5573</f>
        <v>0</v>
      </c>
      <c r="AB5573" s="28"/>
      <c r="AC5573" s="28" t="n">
        <f aca="false">AB5573*$M5573</f>
        <v>0</v>
      </c>
      <c r="AD5573" s="28"/>
      <c r="AE5573" s="28" t="n">
        <f aca="false">AD5573*$M5573</f>
        <v>0</v>
      </c>
      <c r="AF5573" s="28"/>
      <c r="AG5573" s="28" t="n">
        <f aca="false">AF5573*$M5573</f>
        <v>0</v>
      </c>
      <c r="AH5573" s="28"/>
      <c r="AI5573" s="28" t="n">
        <f aca="false">AH5573*$M5573</f>
        <v>0</v>
      </c>
      <c r="AJ5573" s="28" t="n">
        <f aca="false">127232/100</f>
        <v>1272.32</v>
      </c>
      <c r="AK5573" s="28" t="n">
        <v>114509</v>
      </c>
      <c r="AL5573" s="28" t="n">
        <f aca="false">1835/100</f>
        <v>18.35</v>
      </c>
      <c r="AM5573" s="28" t="n">
        <v>1651</v>
      </c>
      <c r="AN5573" s="28"/>
      <c r="AO5573" s="28" t="n">
        <f aca="false">AN5573*$M5573</f>
        <v>0</v>
      </c>
      <c r="AP5573" s="28"/>
      <c r="AQ5573" s="28" t="n">
        <f aca="false">AP5573*$M5573</f>
        <v>0</v>
      </c>
      <c r="AR5573" s="28"/>
      <c r="AS5573" s="28" t="n">
        <f aca="false">AR5573*$M5573</f>
        <v>0</v>
      </c>
      <c r="AT5573" s="28"/>
      <c r="AU5573" s="28" t="n">
        <f aca="false">AT5573*$M5573</f>
        <v>0</v>
      </c>
      <c r="AV5573" s="28"/>
      <c r="AW5573" s="28" t="n">
        <f aca="false">AV5573*$M5573</f>
        <v>0</v>
      </c>
      <c r="AX5573" s="28"/>
      <c r="AY5573" s="28" t="n">
        <f aca="false">AX5573*$M5573</f>
        <v>0</v>
      </c>
      <c r="AZ5573" s="30" t="n">
        <f aca="false">146311/100</f>
        <v>1463.11</v>
      </c>
      <c r="BA5573" s="11" t="n">
        <v>131680</v>
      </c>
      <c r="BB5573" s="31" t="n">
        <f aca="false">SUM(Q5573,S5573,U5573,W5573,Y5573,AA5573,AC5573,AE5573,AG5573,AI5573,AK5573,AM5573,AO5573,AQ5573,AS5573,AU5573,AW5573,AY5573)</f>
        <v>131680</v>
      </c>
      <c r="BC5573" s="28" t="n">
        <f aca="false">BA5573-BB5573</f>
        <v>0</v>
      </c>
      <c r="BD5573" s="32" t="n">
        <f aca="false">SUM(P5573,R5573,T5573,V5573,X5573,Z5573,AB5573,AD5573,AF5573,AH5573,AJ5573,AL5573,AN5573,AP5573,AR5573,AT5573,AV5573,AX5573)</f>
        <v>1463.11</v>
      </c>
      <c r="BE5573" s="33" t="n">
        <f aca="false">AZ5573-BD5573</f>
        <v>0</v>
      </c>
      <c r="BF5573" s="34" t="n">
        <f aca="false">BD5573*M5573</f>
        <v>131679.9</v>
      </c>
      <c r="BG5573" s="35" t="n">
        <f aca="false">BA5573-BF5573</f>
        <v>0.100000000005821</v>
      </c>
      <c r="BH5573" s="19" t="str">
        <f aca="false">IF(BG5573=0,"",IF(BG5573&lt;&gt;BA5573,"erreur de calcul",IF(BD5573&lt;&gt;0,"pas de prix",IF(M5573&lt;&gt; 0,"pas de quantité","pas de prix, ni de quantité"))))</f>
        <v>erreur de calcul</v>
      </c>
      <c r="BI5573" s="19"/>
    </row>
    <row r="5574" customFormat="false" ht="15" hidden="false" customHeight="false" outlineLevel="0" collapsed="false">
      <c r="A5574" s="0" t="n">
        <v>19</v>
      </c>
      <c r="B5574" s="8" t="s">
        <v>24</v>
      </c>
      <c r="C5574" s="9" t="s">
        <v>25</v>
      </c>
      <c r="D5574" s="9" t="s">
        <v>26</v>
      </c>
      <c r="E5574" s="10" t="n">
        <v>1789</v>
      </c>
      <c r="F5574" s="9" t="s">
        <v>27</v>
      </c>
      <c r="G5574" s="9" t="s">
        <v>27</v>
      </c>
      <c r="H5574" s="11" t="n">
        <v>26</v>
      </c>
      <c r="I5574" s="11" t="s">
        <v>390</v>
      </c>
      <c r="J5574" s="14" t="n">
        <v>25</v>
      </c>
      <c r="K5574" s="14"/>
      <c r="L5574" s="16"/>
      <c r="M5574" s="27" t="n">
        <f aca="false">J5574+(K5574/20)+(L5574/240)</f>
        <v>25</v>
      </c>
      <c r="N5574" s="17" t="s">
        <v>64</v>
      </c>
      <c r="O5574" s="11" t="s">
        <v>277</v>
      </c>
      <c r="P5574" s="28"/>
      <c r="Q5574" s="28" t="n">
        <f aca="false">P5574*$M5574</f>
        <v>0</v>
      </c>
      <c r="R5574" s="28"/>
      <c r="S5574" s="28" t="n">
        <f aca="false">R5574*$M5574</f>
        <v>0</v>
      </c>
      <c r="T5574" s="28"/>
      <c r="U5574" s="28" t="n">
        <f aca="false">T5574*$M5574</f>
        <v>0</v>
      </c>
      <c r="V5574" s="28"/>
      <c r="W5574" s="28" t="n">
        <f aca="false">V5574*$M5574</f>
        <v>0</v>
      </c>
      <c r="X5574" s="28"/>
      <c r="Y5574" s="28" t="n">
        <f aca="false">X5574*$M5574</f>
        <v>0</v>
      </c>
      <c r="Z5574" s="28"/>
      <c r="AA5574" s="28" t="n">
        <f aca="false">Z5574*$M5574</f>
        <v>0</v>
      </c>
      <c r="AB5574" s="28"/>
      <c r="AC5574" s="28" t="n">
        <f aca="false">AB5574*$M5574</f>
        <v>0</v>
      </c>
      <c r="AD5574" s="28"/>
      <c r="AE5574" s="28" t="n">
        <f aca="false">AD5574*$M5574</f>
        <v>0</v>
      </c>
      <c r="AF5574" s="28"/>
      <c r="AG5574" s="28" t="n">
        <f aca="false">AF5574*$M5574</f>
        <v>0</v>
      </c>
      <c r="AH5574" s="28"/>
      <c r="AI5574" s="28" t="n">
        <f aca="false">AH5574*$M5574</f>
        <v>0</v>
      </c>
      <c r="AJ5574" s="28"/>
      <c r="AK5574" s="28" t="n">
        <f aca="false">AJ5574*$M5574</f>
        <v>0</v>
      </c>
      <c r="AL5574" s="28"/>
      <c r="AM5574" s="28" t="n">
        <f aca="false">AL5574*$M5574</f>
        <v>0</v>
      </c>
      <c r="AN5574" s="28"/>
      <c r="AO5574" s="28" t="n">
        <f aca="false">AN5574*$M5574</f>
        <v>0</v>
      </c>
      <c r="AP5574" s="28"/>
      <c r="AQ5574" s="28" t="n">
        <f aca="false">AP5574*$M5574</f>
        <v>0</v>
      </c>
      <c r="AR5574" s="28"/>
      <c r="AS5574" s="28" t="n">
        <f aca="false">AR5574*$M5574</f>
        <v>0</v>
      </c>
      <c r="AT5574" s="28"/>
      <c r="AU5574" s="28" t="n">
        <f aca="false">AT5574*$M5574</f>
        <v>0</v>
      </c>
      <c r="AV5574" s="28"/>
      <c r="AW5574" s="28" t="n">
        <f aca="false">AV5574*$M5574</f>
        <v>0</v>
      </c>
      <c r="AX5574" s="28"/>
      <c r="AY5574" s="28" t="n">
        <f aca="false">AX5574*$M5574</f>
        <v>0</v>
      </c>
      <c r="AZ5574" s="30"/>
      <c r="BA5574" s="11"/>
      <c r="BB5574" s="31" t="n">
        <f aca="false">SUM(Q5574,S5574,U5574,W5574,Y5574,AA5574,AC5574,AE5574,AG5574,AI5574,AK5574,AM5574,AO5574,AQ5574,AS5574,AU5574,AW5574,AY5574)</f>
        <v>0</v>
      </c>
      <c r="BC5574" s="28" t="n">
        <f aca="false">BA5574-BB5574</f>
        <v>0</v>
      </c>
      <c r="BD5574" s="32" t="n">
        <f aca="false">SUM(P5574,R5574,T5574,V5574,X5574,Z5574,AB5574,AD5574,AF5574,AH5574,AJ5574,AL5574,AN5574,AP5574,AR5574,AT5574,AV5574,AX5574)</f>
        <v>0</v>
      </c>
      <c r="BE5574" s="33" t="n">
        <f aca="false">AZ5574-BD5574</f>
        <v>0</v>
      </c>
      <c r="BF5574" s="34" t="n">
        <f aca="false">BD5574*M5574</f>
        <v>0</v>
      </c>
      <c r="BG5574" s="35" t="n">
        <f aca="false">BA5574-BF5574</f>
        <v>0</v>
      </c>
      <c r="BH5574" s="19" t="str">
        <f aca="false">IF(BG5574=0,"",IF(BG5574&lt;&gt;BA5574,"erreur de calcul",IF(BD5574&lt;&gt;0,"pas de prix",IF(M5574&lt;&gt; 0,"pas de quantité","pas de prix, ni de quantité"))))</f>
        <v/>
      </c>
      <c r="BI5574" s="19"/>
    </row>
    <row r="5575" customFormat="false" ht="15" hidden="false" customHeight="false" outlineLevel="0" collapsed="false">
      <c r="A5575" s="0" t="n">
        <v>20</v>
      </c>
      <c r="B5575" s="8" t="s">
        <v>24</v>
      </c>
      <c r="C5575" s="9" t="s">
        <v>25</v>
      </c>
      <c r="D5575" s="9" t="s">
        <v>26</v>
      </c>
      <c r="E5575" s="10" t="n">
        <v>1789</v>
      </c>
      <c r="F5575" s="9" t="s">
        <v>27</v>
      </c>
      <c r="G5575" s="9" t="s">
        <v>27</v>
      </c>
      <c r="H5575" s="11" t="n">
        <v>26</v>
      </c>
      <c r="I5575" s="11" t="s">
        <v>391</v>
      </c>
      <c r="J5575" s="14" t="n">
        <v>35</v>
      </c>
      <c r="K5575" s="14"/>
      <c r="L5575" s="16"/>
      <c r="M5575" s="27" t="n">
        <f aca="false">J5575+(K5575/20)+(L5575/240)</f>
        <v>35</v>
      </c>
      <c r="N5575" s="17" t="s">
        <v>64</v>
      </c>
      <c r="O5575" s="11"/>
      <c r="P5575" s="28"/>
      <c r="Q5575" s="28" t="n">
        <f aca="false">P5575*$M5575</f>
        <v>0</v>
      </c>
      <c r="R5575" s="28"/>
      <c r="S5575" s="28" t="n">
        <f aca="false">R5575*$M5575</f>
        <v>0</v>
      </c>
      <c r="T5575" s="28"/>
      <c r="U5575" s="28" t="n">
        <f aca="false">T5575*$M5575</f>
        <v>0</v>
      </c>
      <c r="V5575" s="28"/>
      <c r="W5575" s="28" t="n">
        <f aca="false">V5575*$M5575</f>
        <v>0</v>
      </c>
      <c r="X5575" s="28"/>
      <c r="Y5575" s="28" t="n">
        <f aca="false">X5575*$M5575</f>
        <v>0</v>
      </c>
      <c r="Z5575" s="28"/>
      <c r="AA5575" s="28" t="n">
        <f aca="false">Z5575*$M5575</f>
        <v>0</v>
      </c>
      <c r="AB5575" s="28"/>
      <c r="AC5575" s="28" t="n">
        <f aca="false">AB5575*$M5575</f>
        <v>0</v>
      </c>
      <c r="AD5575" s="28"/>
      <c r="AE5575" s="28" t="n">
        <f aca="false">AD5575*$M5575</f>
        <v>0</v>
      </c>
      <c r="AF5575" s="28"/>
      <c r="AG5575" s="28" t="n">
        <f aca="false">AF5575*$M5575</f>
        <v>0</v>
      </c>
      <c r="AH5575" s="28"/>
      <c r="AI5575" s="28" t="n">
        <f aca="false">AH5575*$M5575</f>
        <v>0</v>
      </c>
      <c r="AJ5575" s="28" t="n">
        <f aca="false">3950/100</f>
        <v>39.5</v>
      </c>
      <c r="AK5575" s="28" t="n">
        <v>1382</v>
      </c>
      <c r="AL5575" s="28"/>
      <c r="AM5575" s="28" t="n">
        <f aca="false">AL5575*$M5575</f>
        <v>0</v>
      </c>
      <c r="AN5575" s="28"/>
      <c r="AO5575" s="28" t="n">
        <f aca="false">AN5575*$M5575</f>
        <v>0</v>
      </c>
      <c r="AP5575" s="28"/>
      <c r="AQ5575" s="28" t="n">
        <f aca="false">AP5575*$M5575</f>
        <v>0</v>
      </c>
      <c r="AR5575" s="28"/>
      <c r="AS5575" s="28" t="n">
        <f aca="false">AR5575*$M5575</f>
        <v>0</v>
      </c>
      <c r="AT5575" s="28"/>
      <c r="AU5575" s="28" t="n">
        <f aca="false">AT5575*$M5575</f>
        <v>0</v>
      </c>
      <c r="AV5575" s="28"/>
      <c r="AW5575" s="28" t="n">
        <f aca="false">AV5575*$M5575</f>
        <v>0</v>
      </c>
      <c r="AX5575" s="28"/>
      <c r="AY5575" s="28" t="n">
        <f aca="false">AX5575*$M5575</f>
        <v>0</v>
      </c>
      <c r="AZ5575" s="30" t="n">
        <f aca="false">3950/100</f>
        <v>39.5</v>
      </c>
      <c r="BA5575" s="11" t="n">
        <v>1382</v>
      </c>
      <c r="BB5575" s="31" t="n">
        <f aca="false">SUM(Q5575,S5575,U5575,W5575,Y5575,AA5575,AC5575,AE5575,AG5575,AI5575,AK5575,AM5575,AO5575,AQ5575,AS5575,AU5575,AW5575,AY5575)</f>
        <v>1382</v>
      </c>
      <c r="BC5575" s="28" t="n">
        <f aca="false">BA5575-BB5575</f>
        <v>0</v>
      </c>
      <c r="BD5575" s="32" t="n">
        <f aca="false">SUM(P5575,R5575,T5575,V5575,X5575,Z5575,AB5575,AD5575,AF5575,AH5575,AJ5575,AL5575,AN5575,AP5575,AR5575,AT5575,AV5575,AX5575)</f>
        <v>39.5</v>
      </c>
      <c r="BE5575" s="33" t="n">
        <f aca="false">AZ5575-BD5575</f>
        <v>0</v>
      </c>
      <c r="BF5575" s="34" t="n">
        <f aca="false">BD5575*M5575</f>
        <v>1382.5</v>
      </c>
      <c r="BG5575" s="35" t="n">
        <f aca="false">BA5575-BF5575</f>
        <v>-0.5</v>
      </c>
      <c r="BH5575" s="19" t="str">
        <f aca="false">IF(BG5575=0,"",IF(BG5575&lt;&gt;BA5575,"erreur de calcul",IF(BD5575&lt;&gt;0,"pas de prix",IF(M5575&lt;&gt; 0,"pas de quantité","pas de prix, ni de quantité"))))</f>
        <v>erreur de calcul</v>
      </c>
      <c r="BI5575" s="19"/>
    </row>
    <row r="5576" customFormat="false" ht="15" hidden="false" customHeight="false" outlineLevel="0" collapsed="false">
      <c r="A5576" s="0" t="n">
        <v>21</v>
      </c>
      <c r="B5576" s="8" t="s">
        <v>24</v>
      </c>
      <c r="C5576" s="9" t="s">
        <v>25</v>
      </c>
      <c r="D5576" s="9" t="s">
        <v>26</v>
      </c>
      <c r="E5576" s="10" t="n">
        <v>1789</v>
      </c>
      <c r="F5576" s="9" t="s">
        <v>27</v>
      </c>
      <c r="G5576" s="9" t="s">
        <v>27</v>
      </c>
      <c r="H5576" s="11" t="n">
        <v>26</v>
      </c>
      <c r="I5576" s="11" t="s">
        <v>392</v>
      </c>
      <c r="J5576" s="14" t="n">
        <v>60</v>
      </c>
      <c r="K5576" s="14"/>
      <c r="L5576" s="16"/>
      <c r="M5576" s="27" t="n">
        <f aca="false">J5576+(K5576/20)+(L5576/240)</f>
        <v>60</v>
      </c>
      <c r="N5576" s="17" t="s">
        <v>64</v>
      </c>
      <c r="O5576" s="11"/>
      <c r="P5576" s="28"/>
      <c r="Q5576" s="28" t="n">
        <f aca="false">P5576*$M5576</f>
        <v>0</v>
      </c>
      <c r="R5576" s="28"/>
      <c r="S5576" s="28" t="n">
        <f aca="false">R5576*$M5576</f>
        <v>0</v>
      </c>
      <c r="T5576" s="28"/>
      <c r="U5576" s="28" t="n">
        <f aca="false">T5576*$M5576</f>
        <v>0</v>
      </c>
      <c r="V5576" s="28"/>
      <c r="W5576" s="28" t="n">
        <f aca="false">V5576*$M5576</f>
        <v>0</v>
      </c>
      <c r="X5576" s="28" t="n">
        <f aca="false">12306/100</f>
        <v>123.06</v>
      </c>
      <c r="Y5576" s="28" t="n">
        <v>7384</v>
      </c>
      <c r="Z5576" s="28"/>
      <c r="AA5576" s="28" t="n">
        <f aca="false">Z5576*$M5576</f>
        <v>0</v>
      </c>
      <c r="AB5576" s="28"/>
      <c r="AC5576" s="28" t="n">
        <f aca="false">AB5576*$M5576</f>
        <v>0</v>
      </c>
      <c r="AD5576" s="28"/>
      <c r="AE5576" s="28" t="n">
        <f aca="false">AD5576*$M5576</f>
        <v>0</v>
      </c>
      <c r="AF5576" s="28"/>
      <c r="AG5576" s="28" t="n">
        <f aca="false">AF5576*$M5576</f>
        <v>0</v>
      </c>
      <c r="AH5576" s="28"/>
      <c r="AI5576" s="28" t="n">
        <f aca="false">AH5576*$M5576</f>
        <v>0</v>
      </c>
      <c r="AJ5576" s="28" t="n">
        <f aca="false">2557/100</f>
        <v>25.57</v>
      </c>
      <c r="AK5576" s="28" t="n">
        <v>1534</v>
      </c>
      <c r="AL5576" s="28"/>
      <c r="AM5576" s="28" t="n">
        <f aca="false">AL5576*$M5576</f>
        <v>0</v>
      </c>
      <c r="AN5576" s="28"/>
      <c r="AO5576" s="28" t="n">
        <f aca="false">AN5576*$M5576</f>
        <v>0</v>
      </c>
      <c r="AP5576" s="28"/>
      <c r="AQ5576" s="28" t="n">
        <f aca="false">AP5576*$M5576</f>
        <v>0</v>
      </c>
      <c r="AR5576" s="28" t="n">
        <f aca="false">7204/100</f>
        <v>72.04</v>
      </c>
      <c r="AS5576" s="28" t="n">
        <v>4322</v>
      </c>
      <c r="AT5576" s="28"/>
      <c r="AU5576" s="28" t="n">
        <f aca="false">AT5576*$M5576</f>
        <v>0</v>
      </c>
      <c r="AV5576" s="28"/>
      <c r="AW5576" s="28" t="n">
        <f aca="false">AV5576*$M5576</f>
        <v>0</v>
      </c>
      <c r="AX5576" s="28"/>
      <c r="AY5576" s="28" t="n">
        <f aca="false">AX5576*$M5576</f>
        <v>0</v>
      </c>
      <c r="AZ5576" s="30" t="n">
        <f aca="false">22067/100</f>
        <v>220.67</v>
      </c>
      <c r="BA5576" s="11" t="n">
        <v>13240</v>
      </c>
      <c r="BB5576" s="31" t="n">
        <f aca="false">SUM(Q5576,S5576,U5576,W5576,Y5576,AA5576,AC5576,AE5576,AG5576,AI5576,AK5576,AM5576,AO5576,AQ5576,AS5576,AU5576,AW5576,AY5576)</f>
        <v>13240</v>
      </c>
      <c r="BC5576" s="28" t="n">
        <f aca="false">BA5576-BB5576</f>
        <v>0</v>
      </c>
      <c r="BD5576" s="32" t="n">
        <f aca="false">SUM(P5576,R5576,T5576,V5576,X5576,Z5576,AB5576,AD5576,AF5576,AH5576,AJ5576,AL5576,AN5576,AP5576,AR5576,AT5576,AV5576,AX5576)</f>
        <v>220.67</v>
      </c>
      <c r="BE5576" s="33" t="n">
        <f aca="false">AZ5576-BD5576</f>
        <v>0</v>
      </c>
      <c r="BF5576" s="34" t="n">
        <f aca="false">BD5576*M5576</f>
        <v>13240.2</v>
      </c>
      <c r="BG5576" s="35" t="n">
        <f aca="false">BA5576-BF5576</f>
        <v>-0.200000000000728</v>
      </c>
      <c r="BH5576" s="19" t="str">
        <f aca="false">IF(BG5576=0,"",IF(BG5576&lt;&gt;BA5576,"erreur de calcul",IF(BD5576&lt;&gt;0,"pas de prix",IF(M5576&lt;&gt; 0,"pas de quantité","pas de prix, ni de quantité"))))</f>
        <v>erreur de calcul</v>
      </c>
      <c r="BI5576" s="19"/>
    </row>
    <row r="5577" customFormat="false" ht="15" hidden="false" customHeight="false" outlineLevel="0" collapsed="false">
      <c r="A5577" s="0" t="n">
        <v>22</v>
      </c>
      <c r="B5577" s="8" t="s">
        <v>24</v>
      </c>
      <c r="C5577" s="9" t="s">
        <v>25</v>
      </c>
      <c r="D5577" s="9" t="s">
        <v>26</v>
      </c>
      <c r="E5577" s="10" t="n">
        <v>1789</v>
      </c>
      <c r="F5577" s="9" t="s">
        <v>27</v>
      </c>
      <c r="G5577" s="9" t="s">
        <v>27</v>
      </c>
      <c r="H5577" s="11" t="n">
        <v>26</v>
      </c>
      <c r="I5577" s="11" t="s">
        <v>393</v>
      </c>
      <c r="J5577" s="14" t="n">
        <v>120</v>
      </c>
      <c r="K5577" s="14"/>
      <c r="L5577" s="16"/>
      <c r="M5577" s="27" t="n">
        <f aca="false">J5577+(K5577/20)+(L5577/240)</f>
        <v>120</v>
      </c>
      <c r="N5577" s="17" t="s">
        <v>64</v>
      </c>
      <c r="O5577" s="11"/>
      <c r="P5577" s="28"/>
      <c r="Q5577" s="28" t="n">
        <f aca="false">P5577*$M5577</f>
        <v>0</v>
      </c>
      <c r="R5577" s="28"/>
      <c r="S5577" s="28" t="n">
        <f aca="false">R5577*$M5577</f>
        <v>0</v>
      </c>
      <c r="T5577" s="28"/>
      <c r="U5577" s="28" t="n">
        <f aca="false">T5577*$M5577</f>
        <v>0</v>
      </c>
      <c r="V5577" s="28"/>
      <c r="W5577" s="28" t="n">
        <f aca="false">V5577*$M5577</f>
        <v>0</v>
      </c>
      <c r="X5577" s="28"/>
      <c r="Y5577" s="28" t="n">
        <f aca="false">X5577*$M5577</f>
        <v>0</v>
      </c>
      <c r="Z5577" s="28"/>
      <c r="AA5577" s="28" t="n">
        <f aca="false">Z5577*$M5577</f>
        <v>0</v>
      </c>
      <c r="AB5577" s="28"/>
      <c r="AC5577" s="28" t="n">
        <f aca="false">AB5577*$M5577</f>
        <v>0</v>
      </c>
      <c r="AD5577" s="28"/>
      <c r="AE5577" s="28" t="n">
        <f aca="false">AD5577*$M5577</f>
        <v>0</v>
      </c>
      <c r="AF5577" s="28"/>
      <c r="AG5577" s="28" t="n">
        <f aca="false">AF5577*$M5577</f>
        <v>0</v>
      </c>
      <c r="AH5577" s="28" t="n">
        <f aca="false">1810/100</f>
        <v>18.1</v>
      </c>
      <c r="AI5577" s="28" t="n">
        <v>2172</v>
      </c>
      <c r="AJ5577" s="28"/>
      <c r="AK5577" s="28" t="n">
        <f aca="false">AJ5577*$M5577</f>
        <v>0</v>
      </c>
      <c r="AL5577" s="28"/>
      <c r="AM5577" s="28" t="n">
        <f aca="false">AL5577*$M5577</f>
        <v>0</v>
      </c>
      <c r="AN5577" s="28"/>
      <c r="AO5577" s="28" t="n">
        <f aca="false">AN5577*$M5577</f>
        <v>0</v>
      </c>
      <c r="AP5577" s="28"/>
      <c r="AQ5577" s="28" t="n">
        <f aca="false">AP5577*$M5577</f>
        <v>0</v>
      </c>
      <c r="AR5577" s="28"/>
      <c r="AS5577" s="28" t="n">
        <f aca="false">AR5577*$M5577</f>
        <v>0</v>
      </c>
      <c r="AT5577" s="28"/>
      <c r="AU5577" s="28" t="n">
        <f aca="false">AT5577*$M5577</f>
        <v>0</v>
      </c>
      <c r="AV5577" s="28"/>
      <c r="AW5577" s="28" t="n">
        <f aca="false">AV5577*$M5577</f>
        <v>0</v>
      </c>
      <c r="AX5577" s="28"/>
      <c r="AY5577" s="28" t="n">
        <f aca="false">AX5577*$M5577</f>
        <v>0</v>
      </c>
      <c r="AZ5577" s="30" t="n">
        <f aca="false">1810/100</f>
        <v>18.1</v>
      </c>
      <c r="BA5577" s="11" t="n">
        <v>2172</v>
      </c>
      <c r="BB5577" s="31" t="n">
        <f aca="false">SUM(Q5577,S5577,U5577,W5577,Y5577,AA5577,AC5577,AE5577,AG5577,AI5577,AK5577,AM5577,AO5577,AQ5577,AS5577,AU5577,AW5577,AY5577)</f>
        <v>2172</v>
      </c>
      <c r="BC5577" s="28" t="n">
        <f aca="false">BA5577-BB5577</f>
        <v>0</v>
      </c>
      <c r="BD5577" s="32" t="n">
        <f aca="false">SUM(P5577,R5577,T5577,V5577,X5577,Z5577,AB5577,AD5577,AF5577,AH5577,AJ5577,AL5577,AN5577,AP5577,AR5577,AT5577,AV5577,AX5577)</f>
        <v>18.1</v>
      </c>
      <c r="BE5577" s="33" t="n">
        <f aca="false">AZ5577-BD5577</f>
        <v>0</v>
      </c>
      <c r="BF5577" s="34" t="n">
        <f aca="false">BD5577*M5577</f>
        <v>2172</v>
      </c>
      <c r="BG5577" s="35" t="n">
        <f aca="false">BA5577-BF5577</f>
        <v>0</v>
      </c>
      <c r="BH5577" s="19" t="str">
        <f aca="false">IF(BG5577=0,"",IF(BG5577&lt;&gt;BA5577,"erreur de calcul",IF(BD5577&lt;&gt;0,"pas de prix",IF(M5577&lt;&gt; 0,"pas de quantité","pas de prix, ni de quantité"))))</f>
        <v/>
      </c>
      <c r="BI5577" s="19"/>
    </row>
    <row r="5578" customFormat="false" ht="15" hidden="false" customHeight="false" outlineLevel="0" collapsed="false">
      <c r="A5578" s="0" t="n">
        <v>23</v>
      </c>
      <c r="B5578" s="8" t="s">
        <v>24</v>
      </c>
      <c r="C5578" s="9" t="s">
        <v>25</v>
      </c>
      <c r="D5578" s="9" t="s">
        <v>26</v>
      </c>
      <c r="E5578" s="10" t="n">
        <v>1789</v>
      </c>
      <c r="F5578" s="9" t="s">
        <v>27</v>
      </c>
      <c r="G5578" s="9" t="s">
        <v>27</v>
      </c>
      <c r="H5578" s="11" t="n">
        <v>26</v>
      </c>
      <c r="I5578" s="41" t="s">
        <v>394</v>
      </c>
      <c r="J5578" s="14" t="n">
        <v>7</v>
      </c>
      <c r="K5578" s="14"/>
      <c r="L5578" s="16"/>
      <c r="M5578" s="27" t="n">
        <f aca="false">J5578+(K5578/20)+(L5578/240)</f>
        <v>7</v>
      </c>
      <c r="N5578" s="17" t="s">
        <v>64</v>
      </c>
      <c r="O5578" s="11"/>
      <c r="P5578" s="28" t="n">
        <f aca="false">11428/100</f>
        <v>114.28</v>
      </c>
      <c r="Q5578" s="28" t="n">
        <v>800</v>
      </c>
      <c r="R5578" s="28"/>
      <c r="S5578" s="28" t="n">
        <f aca="false">R5578*$M5578</f>
        <v>0</v>
      </c>
      <c r="T5578" s="28" t="n">
        <f aca="false">2084/100</f>
        <v>20.84</v>
      </c>
      <c r="U5578" s="36" t="n">
        <v>246</v>
      </c>
      <c r="V5578" s="28"/>
      <c r="W5578" s="28" t="n">
        <f aca="false">V5578*$M5578</f>
        <v>0</v>
      </c>
      <c r="X5578" s="28"/>
      <c r="Y5578" s="28" t="n">
        <f aca="false">X5578*$M5578</f>
        <v>0</v>
      </c>
      <c r="Z5578" s="28"/>
      <c r="AA5578" s="28" t="n">
        <f aca="false">Z5578*$M5578</f>
        <v>0</v>
      </c>
      <c r="AB5578" s="28"/>
      <c r="AC5578" s="28" t="n">
        <f aca="false">AB5578*$M5578</f>
        <v>0</v>
      </c>
      <c r="AD5578" s="28"/>
      <c r="AE5578" s="28" t="n">
        <f aca="false">AD5578*$M5578</f>
        <v>0</v>
      </c>
      <c r="AF5578" s="28" t="n">
        <f aca="false">6709/100</f>
        <v>67.09</v>
      </c>
      <c r="AG5578" s="28" t="n">
        <v>470</v>
      </c>
      <c r="AH5578" s="28"/>
      <c r="AI5578" s="28" t="n">
        <f aca="false">AH5578*$M5578</f>
        <v>0</v>
      </c>
      <c r="AJ5578" s="28"/>
      <c r="AK5578" s="28" t="n">
        <f aca="false">AJ5578*$M5578</f>
        <v>0</v>
      </c>
      <c r="AL5578" s="28"/>
      <c r="AM5578" s="28" t="n">
        <f aca="false">AL5578*$M5578</f>
        <v>0</v>
      </c>
      <c r="AN5578" s="28"/>
      <c r="AO5578" s="28" t="n">
        <f aca="false">AN5578*$M5578</f>
        <v>0</v>
      </c>
      <c r="AP5578" s="28"/>
      <c r="AQ5578" s="28" t="n">
        <f aca="false">AP5578*$M5578</f>
        <v>0</v>
      </c>
      <c r="AR5578" s="28"/>
      <c r="AS5578" s="28" t="n">
        <f aca="false">AR5578*$M5578</f>
        <v>0</v>
      </c>
      <c r="AT5578" s="28"/>
      <c r="AU5578" s="28" t="n">
        <f aca="false">AT5578*$M5578</f>
        <v>0</v>
      </c>
      <c r="AV5578" s="28"/>
      <c r="AW5578" s="28" t="n">
        <f aca="false">AV5578*$M5578</f>
        <v>0</v>
      </c>
      <c r="AX5578" s="28"/>
      <c r="AY5578" s="28" t="n">
        <f aca="false">AX5578*$M5578</f>
        <v>0</v>
      </c>
      <c r="AZ5578" s="30" t="n">
        <f aca="false">20221/100</f>
        <v>202.21</v>
      </c>
      <c r="BA5578" s="11" t="n">
        <v>1516</v>
      </c>
      <c r="BB5578" s="31" t="n">
        <f aca="false">SUM(Q5578,S5578,U5578,W5578,Y5578,AA5578,AC5578,AE5578,AG5578,AI5578,AK5578,AM5578,AO5578,AQ5578,AS5578,AU5578,AW5578,AY5578)</f>
        <v>1516</v>
      </c>
      <c r="BC5578" s="28" t="n">
        <f aca="false">BA5578-BB5578</f>
        <v>0</v>
      </c>
      <c r="BD5578" s="32" t="n">
        <f aca="false">SUM(P5578,R5578,T5578,V5578,X5578,Z5578,AB5578,AD5578,AF5578,AH5578,AJ5578,AL5578,AN5578,AP5578,AR5578,AT5578,AV5578,AX5578)</f>
        <v>202.21</v>
      </c>
      <c r="BE5578" s="33" t="n">
        <f aca="false">AZ5578-BD5578</f>
        <v>0</v>
      </c>
      <c r="BF5578" s="34" t="n">
        <f aca="false">BD5578*M5578</f>
        <v>1415.47</v>
      </c>
      <c r="BG5578" s="35" t="n">
        <f aca="false">BA5578-BF5578</f>
        <v>100.53</v>
      </c>
      <c r="BH5578" s="19" t="str">
        <f aca="false">IF(BG5578=0,"",IF(BG5578&lt;&gt;BA5578,"erreur de calcul",IF(BD5578&lt;&gt;0,"pas de prix",IF(M5578&lt;&gt; 0,"pas de quantité","pas de prix, ni de quantité"))))</f>
        <v>erreur de calcul</v>
      </c>
      <c r="BI5578" s="19"/>
    </row>
    <row r="5579" customFormat="false" ht="15" hidden="false" customHeight="false" outlineLevel="0" collapsed="false">
      <c r="A5579" s="0" t="n">
        <v>24</v>
      </c>
      <c r="B5579" s="8" t="s">
        <v>24</v>
      </c>
      <c r="C5579" s="9" t="s">
        <v>25</v>
      </c>
      <c r="D5579" s="9" t="s">
        <v>26</v>
      </c>
      <c r="E5579" s="10" t="n">
        <v>1789</v>
      </c>
      <c r="F5579" s="9" t="s">
        <v>27</v>
      </c>
      <c r="G5579" s="9" t="s">
        <v>27</v>
      </c>
      <c r="H5579" s="11" t="n">
        <v>26</v>
      </c>
      <c r="I5579" s="11" t="s">
        <v>395</v>
      </c>
      <c r="J5579" s="14" t="n">
        <v>40</v>
      </c>
      <c r="K5579" s="14"/>
      <c r="L5579" s="16"/>
      <c r="M5579" s="27" t="n">
        <f aca="false">J5579+(K5579/20)+(L5579/240)</f>
        <v>40</v>
      </c>
      <c r="N5579" s="17" t="s">
        <v>66</v>
      </c>
      <c r="O5579" s="11"/>
      <c r="P5579" s="28"/>
      <c r="Q5579" s="28" t="n">
        <f aca="false">P5579*$M5579</f>
        <v>0</v>
      </c>
      <c r="R5579" s="28"/>
      <c r="S5579" s="28" t="n">
        <f aca="false">R5579*$M5579</f>
        <v>0</v>
      </c>
      <c r="T5579" s="28" t="n">
        <v>2339</v>
      </c>
      <c r="U5579" s="28" t="n">
        <v>93560</v>
      </c>
      <c r="V5579" s="28" t="n">
        <v>38</v>
      </c>
      <c r="W5579" s="28" t="n">
        <v>1520</v>
      </c>
      <c r="X5579" s="28"/>
      <c r="Y5579" s="28" t="n">
        <f aca="false">X5579*$M5579</f>
        <v>0</v>
      </c>
      <c r="Z5579" s="28"/>
      <c r="AA5579" s="28" t="n">
        <f aca="false">Z5579*$M5579</f>
        <v>0</v>
      </c>
      <c r="AB5579" s="28"/>
      <c r="AC5579" s="28" t="n">
        <f aca="false">AB5579*$M5579</f>
        <v>0</v>
      </c>
      <c r="AD5579" s="28"/>
      <c r="AE5579" s="28" t="n">
        <f aca="false">AD5579*$M5579</f>
        <v>0</v>
      </c>
      <c r="AF5579" s="28"/>
      <c r="AG5579" s="28" t="n">
        <f aca="false">AF5579*$M5579</f>
        <v>0</v>
      </c>
      <c r="AH5579" s="28"/>
      <c r="AI5579" s="28" t="n">
        <f aca="false">AH5579*$M5579</f>
        <v>0</v>
      </c>
      <c r="AJ5579" s="28"/>
      <c r="AK5579" s="28" t="n">
        <f aca="false">AJ5579*$M5579</f>
        <v>0</v>
      </c>
      <c r="AL5579" s="28"/>
      <c r="AM5579" s="28" t="n">
        <f aca="false">AL5579*$M5579</f>
        <v>0</v>
      </c>
      <c r="AN5579" s="28"/>
      <c r="AO5579" s="28" t="n">
        <f aca="false">AN5579*$M5579</f>
        <v>0</v>
      </c>
      <c r="AP5579" s="28"/>
      <c r="AQ5579" s="28" t="n">
        <f aca="false">AP5579*$M5579</f>
        <v>0</v>
      </c>
      <c r="AR5579" s="28"/>
      <c r="AS5579" s="28" t="n">
        <f aca="false">AR5579*$M5579</f>
        <v>0</v>
      </c>
      <c r="AT5579" s="28"/>
      <c r="AU5579" s="28" t="n">
        <f aca="false">AT5579*$M5579</f>
        <v>0</v>
      </c>
      <c r="AV5579" s="28"/>
      <c r="AW5579" s="28" t="n">
        <f aca="false">AV5579*$M5579</f>
        <v>0</v>
      </c>
      <c r="AX5579" s="28"/>
      <c r="AY5579" s="28" t="n">
        <f aca="false">AX5579*$M5579</f>
        <v>0</v>
      </c>
      <c r="AZ5579" s="30" t="n">
        <v>2377</v>
      </c>
      <c r="BA5579" s="11" t="n">
        <v>95080</v>
      </c>
      <c r="BB5579" s="31" t="n">
        <f aca="false">SUM(Q5579,S5579,U5579,W5579,Y5579,AA5579,AC5579,AE5579,AG5579,AI5579,AK5579,AM5579,AO5579,AQ5579,AS5579,AU5579,AW5579,AY5579)</f>
        <v>95080</v>
      </c>
      <c r="BC5579" s="28" t="n">
        <f aca="false">BA5579-BB5579</f>
        <v>0</v>
      </c>
      <c r="BD5579" s="32" t="n">
        <f aca="false">SUM(P5579,R5579,T5579,V5579,X5579,Z5579,AB5579,AD5579,AF5579,AH5579,AJ5579,AL5579,AN5579,AP5579,AR5579,AT5579,AV5579,AX5579)</f>
        <v>2377</v>
      </c>
      <c r="BE5579" s="33" t="n">
        <f aca="false">AZ5579-BD5579</f>
        <v>0</v>
      </c>
      <c r="BF5579" s="34" t="n">
        <f aca="false">BD5579*M5579</f>
        <v>95080</v>
      </c>
      <c r="BG5579" s="35" t="n">
        <f aca="false">BA5579-BF5579</f>
        <v>0</v>
      </c>
      <c r="BH5579" s="19" t="str">
        <f aca="false">IF(BG5579=0,"",IF(BG5579&lt;&gt;BA5579,"erreur de calcul",IF(BD5579&lt;&gt;0,"pas de prix",IF(M5579&lt;&gt; 0,"pas de quantité","pas de prix, ni de quantité"))))</f>
        <v/>
      </c>
      <c r="BI5579" s="19"/>
    </row>
    <row r="5580" customFormat="false" ht="15" hidden="false" customHeight="false" outlineLevel="0" collapsed="false">
      <c r="A5580" s="0" t="n">
        <v>25</v>
      </c>
      <c r="B5580" s="8" t="s">
        <v>24</v>
      </c>
      <c r="C5580" s="9" t="s">
        <v>25</v>
      </c>
      <c r="D5580" s="9" t="s">
        <v>26</v>
      </c>
      <c r="E5580" s="10" t="n">
        <v>1789</v>
      </c>
      <c r="F5580" s="9" t="s">
        <v>27</v>
      </c>
      <c r="G5580" s="9" t="s">
        <v>27</v>
      </c>
      <c r="H5580" s="11" t="n">
        <v>26</v>
      </c>
      <c r="I5580" s="11" t="s">
        <v>396</v>
      </c>
      <c r="J5580" s="14" t="n">
        <v>2</v>
      </c>
      <c r="K5580" s="14" t="n">
        <v>10</v>
      </c>
      <c r="L5580" s="16"/>
      <c r="M5580" s="27" t="n">
        <f aca="false">J5580+(K5580/20)+(L5580/240)</f>
        <v>2.5</v>
      </c>
      <c r="N5580" s="17" t="s">
        <v>66</v>
      </c>
      <c r="O5580" s="11"/>
      <c r="P5580" s="28"/>
      <c r="Q5580" s="28" t="n">
        <f aca="false">P5580*$M5580</f>
        <v>0</v>
      </c>
      <c r="R5580" s="28"/>
      <c r="S5580" s="28" t="n">
        <f aca="false">R5580*$M5580</f>
        <v>0</v>
      </c>
      <c r="T5580" s="28"/>
      <c r="U5580" s="28" t="n">
        <f aca="false">T5580*$M5580</f>
        <v>0</v>
      </c>
      <c r="V5580" s="28"/>
      <c r="W5580" s="28" t="n">
        <f aca="false">V5580*$M5580</f>
        <v>0</v>
      </c>
      <c r="X5580" s="28"/>
      <c r="Y5580" s="28" t="n">
        <f aca="false">X5580*$M5580</f>
        <v>0</v>
      </c>
      <c r="Z5580" s="28"/>
      <c r="AA5580" s="28" t="n">
        <f aca="false">Z5580*$M5580</f>
        <v>0</v>
      </c>
      <c r="AB5580" s="28"/>
      <c r="AC5580" s="28" t="n">
        <f aca="false">AB5580*$M5580</f>
        <v>0</v>
      </c>
      <c r="AD5580" s="28"/>
      <c r="AE5580" s="28" t="n">
        <f aca="false">AD5580*$M5580</f>
        <v>0</v>
      </c>
      <c r="AF5580" s="28"/>
      <c r="AG5580" s="28" t="n">
        <f aca="false">AF5580*$M5580</f>
        <v>0</v>
      </c>
      <c r="AH5580" s="28"/>
      <c r="AI5580" s="28" t="n">
        <f aca="false">AH5580*$M5580</f>
        <v>0</v>
      </c>
      <c r="AJ5580" s="28" t="n">
        <v>7127</v>
      </c>
      <c r="AK5580" s="28" t="n">
        <v>17817</v>
      </c>
      <c r="AL5580" s="28"/>
      <c r="AM5580" s="28" t="n">
        <f aca="false">AL5580*$M5580</f>
        <v>0</v>
      </c>
      <c r="AN5580" s="28"/>
      <c r="AO5580" s="28" t="n">
        <f aca="false">AN5580*$M5580</f>
        <v>0</v>
      </c>
      <c r="AP5580" s="28"/>
      <c r="AQ5580" s="28" t="n">
        <f aca="false">AP5580*$M5580</f>
        <v>0</v>
      </c>
      <c r="AR5580" s="28"/>
      <c r="AS5580" s="28" t="n">
        <f aca="false">AR5580*$M5580</f>
        <v>0</v>
      </c>
      <c r="AT5580" s="28"/>
      <c r="AU5580" s="28" t="n">
        <f aca="false">AT5580*$M5580</f>
        <v>0</v>
      </c>
      <c r="AV5580" s="28"/>
      <c r="AW5580" s="28" t="n">
        <f aca="false">AV5580*$M5580</f>
        <v>0</v>
      </c>
      <c r="AX5580" s="28"/>
      <c r="AY5580" s="28" t="n">
        <f aca="false">AX5580*$M5580</f>
        <v>0</v>
      </c>
      <c r="AZ5580" s="30" t="n">
        <v>7127</v>
      </c>
      <c r="BA5580" s="11" t="n">
        <v>17817</v>
      </c>
      <c r="BB5580" s="31" t="n">
        <f aca="false">SUM(Q5580,S5580,U5580,W5580,Y5580,AA5580,AC5580,AE5580,AG5580,AI5580,AK5580,AM5580,AO5580,AQ5580,AS5580,AU5580,AW5580,AY5580)</f>
        <v>17817</v>
      </c>
      <c r="BC5580" s="28" t="n">
        <f aca="false">BA5580-BB5580</f>
        <v>0</v>
      </c>
      <c r="BD5580" s="32" t="n">
        <f aca="false">SUM(P5580,R5580,T5580,V5580,X5580,Z5580,AB5580,AD5580,AF5580,AH5580,AJ5580,AL5580,AN5580,AP5580,AR5580,AT5580,AV5580,AX5580)</f>
        <v>7127</v>
      </c>
      <c r="BE5580" s="33" t="n">
        <f aca="false">AZ5580-BD5580</f>
        <v>0</v>
      </c>
      <c r="BF5580" s="34" t="n">
        <f aca="false">BD5580*M5580</f>
        <v>17817.5</v>
      </c>
      <c r="BG5580" s="35" t="n">
        <f aca="false">BA5580-BF5580</f>
        <v>-0.5</v>
      </c>
      <c r="BH5580" s="19" t="str">
        <f aca="false">IF(BG5580=0,"",IF(BG5580&lt;&gt;BA5580,"erreur de calcul",IF(BD5580&lt;&gt;0,"pas de prix",IF(M5580&lt;&gt; 0,"pas de quantité","pas de prix, ni de quantité"))))</f>
        <v>erreur de calcul</v>
      </c>
      <c r="BI5580" s="19"/>
    </row>
    <row r="5581" customFormat="false" ht="15" hidden="false" customHeight="false" outlineLevel="0" collapsed="false">
      <c r="A5581" s="0" t="n">
        <v>26</v>
      </c>
      <c r="B5581" s="8" t="s">
        <v>24</v>
      </c>
      <c r="C5581" s="9" t="s">
        <v>25</v>
      </c>
      <c r="D5581" s="9" t="s">
        <v>26</v>
      </c>
      <c r="E5581" s="10" t="n">
        <v>1789</v>
      </c>
      <c r="F5581" s="9" t="s">
        <v>27</v>
      </c>
      <c r="G5581" s="9" t="s">
        <v>27</v>
      </c>
      <c r="H5581" s="11" t="n">
        <v>26</v>
      </c>
      <c r="I5581" s="11" t="s">
        <v>397</v>
      </c>
      <c r="J5581" s="14" t="n">
        <v>6</v>
      </c>
      <c r="K5581" s="14" t="n">
        <v>10</v>
      </c>
      <c r="L5581" s="16"/>
      <c r="M5581" s="27" t="n">
        <f aca="false">J5581+(K5581/20)+(L5581/240)</f>
        <v>6.5</v>
      </c>
      <c r="N5581" s="17" t="s">
        <v>64</v>
      </c>
      <c r="O5581" s="11"/>
      <c r="P5581" s="28"/>
      <c r="Q5581" s="28" t="n">
        <f aca="false">P5581*$M5581</f>
        <v>0</v>
      </c>
      <c r="R5581" s="28"/>
      <c r="S5581" s="28" t="n">
        <f aca="false">R5581*$M5581</f>
        <v>0</v>
      </c>
      <c r="T5581" s="28"/>
      <c r="U5581" s="28" t="n">
        <f aca="false">T5581*$M5581</f>
        <v>0</v>
      </c>
      <c r="V5581" s="28"/>
      <c r="W5581" s="28" t="n">
        <f aca="false">V5581*$M5581</f>
        <v>0</v>
      </c>
      <c r="X5581" s="28" t="n">
        <f aca="false">22000/100</f>
        <v>220</v>
      </c>
      <c r="Y5581" s="28" t="n">
        <v>1430</v>
      </c>
      <c r="Z5581" s="28"/>
      <c r="AA5581" s="28" t="n">
        <f aca="false">Z5581*$M5581</f>
        <v>0</v>
      </c>
      <c r="AB5581" s="28" t="n">
        <f aca="false">3575715/100</f>
        <v>35757.15</v>
      </c>
      <c r="AC5581" s="36" t="n">
        <v>214543</v>
      </c>
      <c r="AD5581" s="28"/>
      <c r="AE5581" s="28" t="n">
        <f aca="false">AD5581*$M5581</f>
        <v>0</v>
      </c>
      <c r="AF5581" s="28"/>
      <c r="AG5581" s="28" t="n">
        <f aca="false">AF5581*$M5581</f>
        <v>0</v>
      </c>
      <c r="AH5581" s="28"/>
      <c r="AI5581" s="28" t="n">
        <f aca="false">AH5581*$M5581</f>
        <v>0</v>
      </c>
      <c r="AJ5581" s="28"/>
      <c r="AK5581" s="28" t="n">
        <f aca="false">AJ5581*$M5581</f>
        <v>0</v>
      </c>
      <c r="AL5581" s="28"/>
      <c r="AM5581" s="28" t="n">
        <f aca="false">AL5581*$M5581</f>
        <v>0</v>
      </c>
      <c r="AN5581" s="28"/>
      <c r="AO5581" s="28" t="n">
        <f aca="false">AN5581*$M5581</f>
        <v>0</v>
      </c>
      <c r="AP5581" s="28"/>
      <c r="AQ5581" s="28" t="n">
        <f aca="false">AP5581*$M5581</f>
        <v>0</v>
      </c>
      <c r="AR5581" s="28"/>
      <c r="AS5581" s="28" t="n">
        <f aca="false">AR5581*$M5581</f>
        <v>0</v>
      </c>
      <c r="AT5581" s="28"/>
      <c r="AU5581" s="28" t="n">
        <f aca="false">AT5581*$M5581</f>
        <v>0</v>
      </c>
      <c r="AV5581" s="28"/>
      <c r="AW5581" s="28" t="n">
        <f aca="false">AV5581*$M5581</f>
        <v>0</v>
      </c>
      <c r="AX5581" s="28"/>
      <c r="AY5581" s="28" t="n">
        <f aca="false">AX5581*$M5581</f>
        <v>0</v>
      </c>
      <c r="AZ5581" s="30" t="n">
        <f aca="false">3597715/100</f>
        <v>35977.15</v>
      </c>
      <c r="BA5581" s="11" t="n">
        <v>215973</v>
      </c>
      <c r="BB5581" s="31" t="n">
        <f aca="false">SUM(Q5581,S5581,U5581,W5581,Y5581,AA5581,AC5581,AE5581,AG5581,AI5581,AK5581,AM5581,AO5581,AQ5581,AS5581,AU5581,AW5581,AY5581)</f>
        <v>215973</v>
      </c>
      <c r="BC5581" s="28" t="n">
        <f aca="false">BA5581-BB5581</f>
        <v>0</v>
      </c>
      <c r="BD5581" s="32" t="n">
        <f aca="false">SUM(P5581,R5581,T5581,V5581,X5581,Z5581,AB5581,AD5581,AF5581,AH5581,AJ5581,AL5581,AN5581,AP5581,AR5581,AT5581,AV5581,AX5581)</f>
        <v>35977.15</v>
      </c>
      <c r="BE5581" s="33" t="n">
        <f aca="false">AZ5581-BD5581</f>
        <v>0</v>
      </c>
      <c r="BF5581" s="34" t="n">
        <f aca="false">BD5581*M5581</f>
        <v>233851.475</v>
      </c>
      <c r="BG5581" s="35" t="n">
        <f aca="false">BA5581-BF5581</f>
        <v>-17878.475</v>
      </c>
      <c r="BH5581" s="19" t="str">
        <f aca="false">IF(BG5581=0,"",IF(BG5581&lt;&gt;BA5581,"erreur de calcul",IF(BD5581&lt;&gt;0,"pas de prix",IF(M5581&lt;&gt; 0,"pas de quantité","pas de prix, ni de quantité"))))</f>
        <v>erreur de calcul</v>
      </c>
      <c r="BI5581" s="19"/>
    </row>
    <row r="5582" customFormat="false" ht="15" hidden="false" customHeight="false" outlineLevel="0" collapsed="false">
      <c r="A5582" s="0" t="n">
        <v>27</v>
      </c>
      <c r="B5582" s="8" t="s">
        <v>24</v>
      </c>
      <c r="C5582" s="9" t="s">
        <v>25</v>
      </c>
      <c r="D5582" s="9" t="s">
        <v>26</v>
      </c>
      <c r="E5582" s="10" t="n">
        <v>1789</v>
      </c>
      <c r="F5582" s="9" t="s">
        <v>27</v>
      </c>
      <c r="G5582" s="9" t="s">
        <v>27</v>
      </c>
      <c r="H5582" s="11" t="n">
        <v>26</v>
      </c>
      <c r="I5582" s="11" t="s">
        <v>398</v>
      </c>
      <c r="J5582" s="14" t="n">
        <v>11</v>
      </c>
      <c r="K5582" s="14"/>
      <c r="L5582" s="16"/>
      <c r="M5582" s="27" t="n">
        <f aca="false">J5582+(K5582/20)+(L5582/240)</f>
        <v>11</v>
      </c>
      <c r="N5582" s="17" t="s">
        <v>64</v>
      </c>
      <c r="O5582" s="11"/>
      <c r="P5582" s="28" t="n">
        <f aca="false">166667/100</f>
        <v>1666.67</v>
      </c>
      <c r="Q5582" s="28" t="n">
        <v>18333</v>
      </c>
      <c r="R5582" s="28"/>
      <c r="S5582" s="28" t="n">
        <f aca="false">R5582*$M5582</f>
        <v>0</v>
      </c>
      <c r="T5582" s="28"/>
      <c r="U5582" s="28" t="n">
        <f aca="false">T5582*$M5582</f>
        <v>0</v>
      </c>
      <c r="V5582" s="28"/>
      <c r="W5582" s="28" t="n">
        <f aca="false">V5582*$M5582</f>
        <v>0</v>
      </c>
      <c r="X5582" s="28"/>
      <c r="Y5582" s="28" t="n">
        <f aca="false">X5582*$M5582</f>
        <v>0</v>
      </c>
      <c r="Z5582" s="28"/>
      <c r="AA5582" s="28" t="n">
        <f aca="false">Z5582*$M5582</f>
        <v>0</v>
      </c>
      <c r="AB5582" s="28" t="n">
        <f aca="false">3312/100</f>
        <v>33.12</v>
      </c>
      <c r="AC5582" s="28" t="n">
        <v>364</v>
      </c>
      <c r="AD5582" s="28"/>
      <c r="AE5582" s="28" t="n">
        <f aca="false">AD5582*$M5582</f>
        <v>0</v>
      </c>
      <c r="AF5582" s="28"/>
      <c r="AG5582" s="28" t="n">
        <f aca="false">AF5582*$M5582</f>
        <v>0</v>
      </c>
      <c r="AH5582" s="28"/>
      <c r="AI5582" s="28" t="n">
        <f aca="false">AH5582*$M5582</f>
        <v>0</v>
      </c>
      <c r="AJ5582" s="28"/>
      <c r="AK5582" s="28" t="n">
        <f aca="false">AJ5582*$M5582</f>
        <v>0</v>
      </c>
      <c r="AL5582" s="28"/>
      <c r="AM5582" s="28" t="n">
        <f aca="false">AL5582*$M5582</f>
        <v>0</v>
      </c>
      <c r="AN5582" s="28"/>
      <c r="AO5582" s="28" t="n">
        <f aca="false">AN5582*$M5582</f>
        <v>0</v>
      </c>
      <c r="AP5582" s="28"/>
      <c r="AQ5582" s="28" t="n">
        <f aca="false">AP5582*$M5582</f>
        <v>0</v>
      </c>
      <c r="AR5582" s="28"/>
      <c r="AS5582" s="28" t="n">
        <f aca="false">AR5582*$M5582</f>
        <v>0</v>
      </c>
      <c r="AT5582" s="28"/>
      <c r="AU5582" s="28" t="n">
        <f aca="false">AT5582*$M5582</f>
        <v>0</v>
      </c>
      <c r="AV5582" s="28"/>
      <c r="AW5582" s="28" t="n">
        <f aca="false">AV5582*$M5582</f>
        <v>0</v>
      </c>
      <c r="AX5582" s="28"/>
      <c r="AY5582" s="28" t="n">
        <f aca="false">AX5582*$M5582</f>
        <v>0</v>
      </c>
      <c r="AZ5582" s="30" t="n">
        <f aca="false">169979/100</f>
        <v>1699.79</v>
      </c>
      <c r="BA5582" s="11" t="n">
        <v>18697</v>
      </c>
      <c r="BB5582" s="31" t="n">
        <f aca="false">SUM(Q5582,S5582,U5582,W5582,Y5582,AA5582,AC5582,AE5582,AG5582,AI5582,AK5582,AM5582,AO5582,AQ5582,AS5582,AU5582,AW5582,AY5582)</f>
        <v>18697</v>
      </c>
      <c r="BC5582" s="28" t="n">
        <f aca="false">BA5582-BB5582</f>
        <v>0</v>
      </c>
      <c r="BD5582" s="32" t="n">
        <f aca="false">SUM(P5582,R5582,T5582,V5582,X5582,Z5582,AB5582,AD5582,AF5582,AH5582,AJ5582,AL5582,AN5582,AP5582,AR5582,AT5582,AV5582,AX5582)</f>
        <v>1699.79</v>
      </c>
      <c r="BE5582" s="33" t="n">
        <f aca="false">AZ5582-BD5582</f>
        <v>0</v>
      </c>
      <c r="BF5582" s="34" t="n">
        <f aca="false">BD5582*M5582</f>
        <v>18697.69</v>
      </c>
      <c r="BG5582" s="35" t="n">
        <f aca="false">BA5582-BF5582</f>
        <v>-0.68999999999869</v>
      </c>
      <c r="BH5582" s="19" t="str">
        <f aca="false">IF(BG5582=0,"",IF(BG5582&lt;&gt;BA5582,"erreur de calcul",IF(BD5582&lt;&gt;0,"pas de prix",IF(M5582&lt;&gt; 0,"pas de quantité","pas de prix, ni de quantité"))))</f>
        <v>erreur de calcul</v>
      </c>
      <c r="BI5582" s="19"/>
    </row>
    <row r="5583" customFormat="false" ht="15" hidden="false" customHeight="false" outlineLevel="0" collapsed="false">
      <c r="A5583" s="0" t="n">
        <v>28</v>
      </c>
      <c r="B5583" s="8" t="s">
        <v>24</v>
      </c>
      <c r="C5583" s="9" t="s">
        <v>25</v>
      </c>
      <c r="D5583" s="9" t="s">
        <v>26</v>
      </c>
      <c r="E5583" s="10" t="n">
        <v>1789</v>
      </c>
      <c r="F5583" s="9" t="s">
        <v>27</v>
      </c>
      <c r="G5583" s="9" t="s">
        <v>27</v>
      </c>
      <c r="H5583" s="11" t="n">
        <v>26</v>
      </c>
      <c r="I5583" s="11" t="s">
        <v>399</v>
      </c>
      <c r="J5583" s="14" t="n">
        <v>18</v>
      </c>
      <c r="K5583" s="14"/>
      <c r="L5583" s="16"/>
      <c r="M5583" s="27" t="n">
        <f aca="false">J5583+(K5583/20)+(L5583/240)</f>
        <v>18</v>
      </c>
      <c r="N5583" s="17" t="s">
        <v>66</v>
      </c>
      <c r="O5583" s="11"/>
      <c r="P5583" s="28"/>
      <c r="Q5583" s="28" t="n">
        <f aca="false">P5583*$M5583</f>
        <v>0</v>
      </c>
      <c r="R5583" s="28"/>
      <c r="S5583" s="28" t="n">
        <f aca="false">R5583*$M5583</f>
        <v>0</v>
      </c>
      <c r="T5583" s="28"/>
      <c r="U5583" s="28" t="n">
        <f aca="false">T5583*$M5583</f>
        <v>0</v>
      </c>
      <c r="V5583" s="28"/>
      <c r="W5583" s="28" t="n">
        <f aca="false">V5583*$M5583</f>
        <v>0</v>
      </c>
      <c r="X5583" s="28"/>
      <c r="Y5583" s="28" t="n">
        <f aca="false">X5583*$M5583</f>
        <v>0</v>
      </c>
      <c r="Z5583" s="28"/>
      <c r="AA5583" s="28" t="n">
        <f aca="false">Z5583*$M5583</f>
        <v>0</v>
      </c>
      <c r="AB5583" s="28"/>
      <c r="AC5583" s="28" t="n">
        <f aca="false">AB5583*$M5583</f>
        <v>0</v>
      </c>
      <c r="AD5583" s="28"/>
      <c r="AE5583" s="28" t="n">
        <f aca="false">AD5583*$M5583</f>
        <v>0</v>
      </c>
      <c r="AF5583" s="28"/>
      <c r="AG5583" s="28" t="n">
        <f aca="false">AF5583*$M5583</f>
        <v>0</v>
      </c>
      <c r="AH5583" s="28" t="n">
        <v>72036</v>
      </c>
      <c r="AI5583" s="28" t="n">
        <v>1296648</v>
      </c>
      <c r="AJ5583" s="28"/>
      <c r="AK5583" s="28" t="n">
        <f aca="false">AJ5583*$M5583</f>
        <v>0</v>
      </c>
      <c r="AL5583" s="28"/>
      <c r="AM5583" s="28" t="n">
        <f aca="false">AL5583*$M5583</f>
        <v>0</v>
      </c>
      <c r="AN5583" s="28"/>
      <c r="AO5583" s="28" t="n">
        <f aca="false">AN5583*$M5583</f>
        <v>0</v>
      </c>
      <c r="AP5583" s="28"/>
      <c r="AQ5583" s="28" t="n">
        <f aca="false">AP5583*$M5583</f>
        <v>0</v>
      </c>
      <c r="AR5583" s="28"/>
      <c r="AS5583" s="28" t="n">
        <f aca="false">AR5583*$M5583</f>
        <v>0</v>
      </c>
      <c r="AT5583" s="28"/>
      <c r="AU5583" s="28" t="n">
        <f aca="false">AT5583*$M5583</f>
        <v>0</v>
      </c>
      <c r="AV5583" s="28"/>
      <c r="AW5583" s="28" t="n">
        <f aca="false">AV5583*$M5583</f>
        <v>0</v>
      </c>
      <c r="AX5583" s="28"/>
      <c r="AY5583" s="28" t="n">
        <f aca="false">AX5583*$M5583</f>
        <v>0</v>
      </c>
      <c r="AZ5583" s="30" t="n">
        <v>72036</v>
      </c>
      <c r="BA5583" s="11" t="n">
        <v>1296648</v>
      </c>
      <c r="BB5583" s="31" t="n">
        <f aca="false">SUM(Q5583,S5583,U5583,W5583,Y5583,AA5583,AC5583,AE5583,AG5583,AI5583,AK5583,AM5583,AO5583,AQ5583,AS5583,AU5583,AW5583,AY5583)</f>
        <v>1296648</v>
      </c>
      <c r="BC5583" s="28" t="n">
        <f aca="false">BA5583-BB5583</f>
        <v>0</v>
      </c>
      <c r="BD5583" s="32" t="n">
        <f aca="false">SUM(P5583,R5583,T5583,V5583,X5583,Z5583,AB5583,AD5583,AF5583,AH5583,AJ5583,AL5583,AN5583,AP5583,AR5583,AT5583,AV5583,AX5583)</f>
        <v>72036</v>
      </c>
      <c r="BE5583" s="33" t="n">
        <f aca="false">AZ5583-BD5583</f>
        <v>0</v>
      </c>
      <c r="BF5583" s="34" t="n">
        <f aca="false">BD5583*M5583</f>
        <v>1296648</v>
      </c>
      <c r="BG5583" s="35" t="n">
        <f aca="false">BA5583-BF5583</f>
        <v>0</v>
      </c>
      <c r="BH5583" s="19" t="str">
        <f aca="false">IF(BG5583=0,"",IF(BG5583&lt;&gt;BA5583,"erreur de calcul",IF(BD5583&lt;&gt;0,"pas de prix",IF(M5583&lt;&gt; 0,"pas de quantité","pas de prix, ni de quantité"))))</f>
        <v/>
      </c>
      <c r="BI5583" s="19"/>
    </row>
    <row r="5584" customFormat="false" ht="15" hidden="false" customHeight="false" outlineLevel="0" collapsed="false">
      <c r="A5584" s="0" t="n">
        <v>29</v>
      </c>
      <c r="B5584" s="8" t="s">
        <v>24</v>
      </c>
      <c r="C5584" s="9" t="s">
        <v>25</v>
      </c>
      <c r="D5584" s="9" t="s">
        <v>26</v>
      </c>
      <c r="E5584" s="10" t="n">
        <v>1789</v>
      </c>
      <c r="F5584" s="9" t="s">
        <v>27</v>
      </c>
      <c r="G5584" s="9" t="s">
        <v>27</v>
      </c>
      <c r="H5584" s="11" t="n">
        <v>26</v>
      </c>
      <c r="I5584" s="11" t="s">
        <v>400</v>
      </c>
      <c r="J5584" s="14" t="n">
        <v>19</v>
      </c>
      <c r="K5584" s="14"/>
      <c r="L5584" s="16"/>
      <c r="M5584" s="27" t="n">
        <f aca="false">J5584+(K5584/20)+(L5584/240)</f>
        <v>19</v>
      </c>
      <c r="N5584" s="17" t="s">
        <v>66</v>
      </c>
      <c r="O5584" s="11"/>
      <c r="P5584" s="28"/>
      <c r="Q5584" s="28" t="n">
        <f aca="false">P5584*$M5584</f>
        <v>0</v>
      </c>
      <c r="R5584" s="28"/>
      <c r="S5584" s="28" t="n">
        <f aca="false">R5584*$M5584</f>
        <v>0</v>
      </c>
      <c r="T5584" s="28"/>
      <c r="U5584" s="28" t="n">
        <f aca="false">T5584*$M5584</f>
        <v>0</v>
      </c>
      <c r="V5584" s="28"/>
      <c r="W5584" s="28" t="n">
        <f aca="false">V5584*$M5584</f>
        <v>0</v>
      </c>
      <c r="X5584" s="28"/>
      <c r="Y5584" s="28" t="n">
        <f aca="false">X5584*$M5584</f>
        <v>0</v>
      </c>
      <c r="Z5584" s="28"/>
      <c r="AA5584" s="28" t="n">
        <f aca="false">Z5584*$M5584</f>
        <v>0</v>
      </c>
      <c r="AB5584" s="28" t="n">
        <v>1176</v>
      </c>
      <c r="AC5584" s="28" t="n">
        <v>22344</v>
      </c>
      <c r="AD5584" s="28"/>
      <c r="AE5584" s="28" t="n">
        <f aca="false">AD5584*$M5584</f>
        <v>0</v>
      </c>
      <c r="AF5584" s="28"/>
      <c r="AG5584" s="28" t="n">
        <f aca="false">AF5584*$M5584</f>
        <v>0</v>
      </c>
      <c r="AH5584" s="28"/>
      <c r="AI5584" s="28" t="n">
        <f aca="false">AH5584*$M5584</f>
        <v>0</v>
      </c>
      <c r="AJ5584" s="28"/>
      <c r="AK5584" s="28" t="n">
        <f aca="false">AJ5584*$M5584</f>
        <v>0</v>
      </c>
      <c r="AL5584" s="28"/>
      <c r="AM5584" s="28" t="n">
        <f aca="false">AL5584*$M5584</f>
        <v>0</v>
      </c>
      <c r="AN5584" s="28"/>
      <c r="AO5584" s="28" t="n">
        <f aca="false">AN5584*$M5584</f>
        <v>0</v>
      </c>
      <c r="AP5584" s="28"/>
      <c r="AQ5584" s="28" t="n">
        <f aca="false">AP5584*$M5584</f>
        <v>0</v>
      </c>
      <c r="AR5584" s="28"/>
      <c r="AS5584" s="28" t="n">
        <f aca="false">AR5584*$M5584</f>
        <v>0</v>
      </c>
      <c r="AT5584" s="28"/>
      <c r="AU5584" s="28" t="n">
        <f aca="false">AT5584*$M5584</f>
        <v>0</v>
      </c>
      <c r="AV5584" s="28"/>
      <c r="AW5584" s="28" t="n">
        <f aca="false">AV5584*$M5584</f>
        <v>0</v>
      </c>
      <c r="AX5584" s="28"/>
      <c r="AY5584" s="28" t="n">
        <f aca="false">AX5584*$M5584</f>
        <v>0</v>
      </c>
      <c r="AZ5584" s="30" t="n">
        <v>1176</v>
      </c>
      <c r="BA5584" s="11" t="n">
        <v>22344</v>
      </c>
      <c r="BB5584" s="31" t="n">
        <f aca="false">SUM(Q5584,S5584,U5584,W5584,Y5584,AA5584,AC5584,AE5584,AG5584,AI5584,AK5584,AM5584,AO5584,AQ5584,AS5584,AU5584,AW5584,AY5584)</f>
        <v>22344</v>
      </c>
      <c r="BC5584" s="28" t="n">
        <f aca="false">BA5584-BB5584</f>
        <v>0</v>
      </c>
      <c r="BD5584" s="32" t="n">
        <f aca="false">SUM(P5584,R5584,T5584,V5584,X5584,Z5584,AB5584,AD5584,AF5584,AH5584,AJ5584,AL5584,AN5584,AP5584,AR5584,AT5584,AV5584,AX5584)</f>
        <v>1176</v>
      </c>
      <c r="BE5584" s="33" t="n">
        <f aca="false">AZ5584-BD5584</f>
        <v>0</v>
      </c>
      <c r="BF5584" s="34" t="n">
        <f aca="false">BD5584*M5584</f>
        <v>22344</v>
      </c>
      <c r="BG5584" s="35" t="n">
        <f aca="false">BA5584-BF5584</f>
        <v>0</v>
      </c>
      <c r="BH5584" s="19" t="str">
        <f aca="false">IF(BG5584=0,"",IF(BG5584&lt;&gt;BA5584,"erreur de calcul",IF(BD5584&lt;&gt;0,"pas de prix",IF(M5584&lt;&gt; 0,"pas de quantité","pas de prix, ni de quantité"))))</f>
        <v/>
      </c>
      <c r="BI5584" s="19"/>
    </row>
    <row r="5585" customFormat="false" ht="15" hidden="false" customHeight="false" outlineLevel="0" collapsed="false">
      <c r="A5585" s="0" t="n">
        <v>30</v>
      </c>
      <c r="B5585" s="8" t="s">
        <v>24</v>
      </c>
      <c r="C5585" s="9" t="s">
        <v>25</v>
      </c>
      <c r="D5585" s="9" t="s">
        <v>26</v>
      </c>
      <c r="E5585" s="10" t="n">
        <v>1789</v>
      </c>
      <c r="F5585" s="9" t="s">
        <v>27</v>
      </c>
      <c r="G5585" s="9" t="s">
        <v>27</v>
      </c>
      <c r="H5585" s="11" t="n">
        <v>26</v>
      </c>
      <c r="I5585" s="11" t="s">
        <v>401</v>
      </c>
      <c r="J5585" s="14" t="n">
        <v>20</v>
      </c>
      <c r="K5585" s="14"/>
      <c r="L5585" s="16"/>
      <c r="M5585" s="27" t="n">
        <f aca="false">J5585+(K5585/20)+(L5585/240)</f>
        <v>20</v>
      </c>
      <c r="N5585" s="17" t="s">
        <v>66</v>
      </c>
      <c r="O5585" s="11"/>
      <c r="P5585" s="28"/>
      <c r="Q5585" s="28" t="n">
        <f aca="false">P5585*$M5585</f>
        <v>0</v>
      </c>
      <c r="R5585" s="28"/>
      <c r="S5585" s="28" t="n">
        <f aca="false">R5585*$M5585</f>
        <v>0</v>
      </c>
      <c r="T5585" s="28" t="n">
        <v>7478</v>
      </c>
      <c r="U5585" s="28" t="n">
        <v>149560</v>
      </c>
      <c r="V5585" s="28" t="n">
        <v>3386</v>
      </c>
      <c r="W5585" s="36" t="n">
        <v>66720</v>
      </c>
      <c r="X5585" s="28" t="n">
        <v>2233</v>
      </c>
      <c r="Y5585" s="28" t="n">
        <v>44660</v>
      </c>
      <c r="Z5585" s="28" t="n">
        <v>867</v>
      </c>
      <c r="AA5585" s="28" t="n">
        <v>17340</v>
      </c>
      <c r="AB5585" s="28" t="n">
        <v>32380</v>
      </c>
      <c r="AC5585" s="28" t="n">
        <v>647600</v>
      </c>
      <c r="AD5585" s="28"/>
      <c r="AE5585" s="28" t="n">
        <f aca="false">AD5585*$M5585</f>
        <v>0</v>
      </c>
      <c r="AF5585" s="28"/>
      <c r="AG5585" s="28" t="n">
        <f aca="false">AF5585*$M5585</f>
        <v>0</v>
      </c>
      <c r="AH5585" s="28" t="n">
        <v>12038</v>
      </c>
      <c r="AI5585" s="28" t="n">
        <v>240760</v>
      </c>
      <c r="AJ5585" s="28"/>
      <c r="AK5585" s="28" t="n">
        <f aca="false">AJ5585*$M5585</f>
        <v>0</v>
      </c>
      <c r="AL5585" s="28"/>
      <c r="AM5585" s="28" t="n">
        <f aca="false">AL5585*$M5585</f>
        <v>0</v>
      </c>
      <c r="AN5585" s="28"/>
      <c r="AO5585" s="28" t="n">
        <f aca="false">AN5585*$M5585</f>
        <v>0</v>
      </c>
      <c r="AP5585" s="28"/>
      <c r="AQ5585" s="28" t="n">
        <f aca="false">AP5585*$M5585</f>
        <v>0</v>
      </c>
      <c r="AR5585" s="28"/>
      <c r="AS5585" s="28" t="n">
        <f aca="false">AR5585*$M5585</f>
        <v>0</v>
      </c>
      <c r="AT5585" s="28"/>
      <c r="AU5585" s="28" t="n">
        <f aca="false">AT5585*$M5585</f>
        <v>0</v>
      </c>
      <c r="AV5585" s="28"/>
      <c r="AW5585" s="28" t="n">
        <f aca="false">AV5585*$M5585</f>
        <v>0</v>
      </c>
      <c r="AX5585" s="28"/>
      <c r="AY5585" s="28" t="n">
        <f aca="false">AX5585*$M5585</f>
        <v>0</v>
      </c>
      <c r="AZ5585" s="30" t="n">
        <v>58382</v>
      </c>
      <c r="BA5585" s="11" t="n">
        <v>1166640</v>
      </c>
      <c r="BB5585" s="31" t="n">
        <f aca="false">SUM(Q5585,S5585,U5585,W5585,Y5585,AA5585,AC5585,AE5585,AG5585,AI5585,AK5585,AM5585,AO5585,AQ5585,AS5585,AU5585,AW5585,AY5585)</f>
        <v>1166640</v>
      </c>
      <c r="BC5585" s="28" t="n">
        <f aca="false">BA5585-BB5585</f>
        <v>0</v>
      </c>
      <c r="BD5585" s="32" t="n">
        <f aca="false">SUM(P5585,R5585,T5585,V5585,X5585,Z5585,AB5585,AD5585,AF5585,AH5585,AJ5585,AL5585,AN5585,AP5585,AR5585,AT5585,AV5585,AX5585)</f>
        <v>58382</v>
      </c>
      <c r="BE5585" s="33" t="n">
        <f aca="false">AZ5585-BD5585</f>
        <v>0</v>
      </c>
      <c r="BF5585" s="34" t="n">
        <f aca="false">BD5585*M5585</f>
        <v>1167640</v>
      </c>
      <c r="BG5585" s="35" t="n">
        <f aca="false">BA5585-BF5585</f>
        <v>-1000</v>
      </c>
      <c r="BH5585" s="19" t="str">
        <f aca="false">IF(BG5585=0,"",IF(BG5585&lt;&gt;BA5585,"erreur de calcul",IF(BD5585&lt;&gt;0,"pas de prix",IF(M5585&lt;&gt; 0,"pas de quantité","pas de prix, ni de quantité"))))</f>
        <v>erreur de calcul</v>
      </c>
      <c r="BI5585" s="19"/>
    </row>
    <row r="5586" customFormat="false" ht="15" hidden="false" customHeight="false" outlineLevel="0" collapsed="false">
      <c r="A5586" s="0" t="n">
        <v>31</v>
      </c>
      <c r="B5586" s="8" t="s">
        <v>24</v>
      </c>
      <c r="C5586" s="9" t="s">
        <v>25</v>
      </c>
      <c r="D5586" s="9" t="s">
        <v>26</v>
      </c>
      <c r="E5586" s="10" t="n">
        <v>1789</v>
      </c>
      <c r="F5586" s="9" t="s">
        <v>27</v>
      </c>
      <c r="G5586" s="9" t="s">
        <v>27</v>
      </c>
      <c r="H5586" s="11" t="n">
        <v>26</v>
      </c>
      <c r="I5586" s="11" t="s">
        <v>402</v>
      </c>
      <c r="J5586" s="14" t="n">
        <v>17</v>
      </c>
      <c r="K5586" s="14"/>
      <c r="L5586" s="16"/>
      <c r="M5586" s="27" t="n">
        <f aca="false">J5586+(K5586/20)+(L5586/240)</f>
        <v>17</v>
      </c>
      <c r="N5586" s="17" t="s">
        <v>66</v>
      </c>
      <c r="O5586" s="11"/>
      <c r="P5586" s="28"/>
      <c r="Q5586" s="28" t="n">
        <f aca="false">P5586*$M5586</f>
        <v>0</v>
      </c>
      <c r="R5586" s="28"/>
      <c r="S5586" s="28" t="n">
        <f aca="false">R5586*$M5586</f>
        <v>0</v>
      </c>
      <c r="T5586" s="28" t="n">
        <v>126481</v>
      </c>
      <c r="U5586" s="28" t="n">
        <v>2150177</v>
      </c>
      <c r="V5586" s="28"/>
      <c r="W5586" s="28" t="n">
        <f aca="false">V5586*$M5586</f>
        <v>0</v>
      </c>
      <c r="X5586" s="28"/>
      <c r="Y5586" s="28" t="n">
        <f aca="false">X5586*$M5586</f>
        <v>0</v>
      </c>
      <c r="Z5586" s="28"/>
      <c r="AA5586" s="28" t="n">
        <f aca="false">Z5586*$M5586</f>
        <v>0</v>
      </c>
      <c r="AB5586" s="28"/>
      <c r="AC5586" s="28" t="n">
        <f aca="false">AB5586*$M5586</f>
        <v>0</v>
      </c>
      <c r="AD5586" s="28"/>
      <c r="AE5586" s="28" t="n">
        <f aca="false">AD5586*$M5586</f>
        <v>0</v>
      </c>
      <c r="AF5586" s="28"/>
      <c r="AG5586" s="28" t="n">
        <f aca="false">AF5586*$M5586</f>
        <v>0</v>
      </c>
      <c r="AH5586" s="28"/>
      <c r="AI5586" s="28" t="n">
        <f aca="false">AH5586*$M5586</f>
        <v>0</v>
      </c>
      <c r="AJ5586" s="28"/>
      <c r="AK5586" s="28" t="n">
        <f aca="false">AJ5586*$M5586</f>
        <v>0</v>
      </c>
      <c r="AL5586" s="28"/>
      <c r="AM5586" s="28" t="n">
        <f aca="false">AL5586*$M5586</f>
        <v>0</v>
      </c>
      <c r="AN5586" s="28"/>
      <c r="AO5586" s="28" t="n">
        <f aca="false">AN5586*$M5586</f>
        <v>0</v>
      </c>
      <c r="AP5586" s="28"/>
      <c r="AQ5586" s="28" t="n">
        <f aca="false">AP5586*$M5586</f>
        <v>0</v>
      </c>
      <c r="AR5586" s="28"/>
      <c r="AS5586" s="28" t="n">
        <f aca="false">AR5586*$M5586</f>
        <v>0</v>
      </c>
      <c r="AT5586" s="28"/>
      <c r="AU5586" s="28" t="n">
        <f aca="false">AT5586*$M5586</f>
        <v>0</v>
      </c>
      <c r="AV5586" s="28"/>
      <c r="AW5586" s="28" t="n">
        <f aca="false">AV5586*$M5586</f>
        <v>0</v>
      </c>
      <c r="AX5586" s="28"/>
      <c r="AY5586" s="28" t="n">
        <f aca="false">AX5586*$M5586</f>
        <v>0</v>
      </c>
      <c r="AZ5586" s="30" t="n">
        <v>126481</v>
      </c>
      <c r="BA5586" s="11" t="n">
        <v>2150177</v>
      </c>
      <c r="BB5586" s="31" t="n">
        <f aca="false">SUM(Q5586,S5586,U5586,W5586,Y5586,AA5586,AC5586,AE5586,AG5586,AI5586,AK5586,AM5586,AO5586,AQ5586,AS5586,AU5586,AW5586,AY5586)</f>
        <v>2150177</v>
      </c>
      <c r="BC5586" s="28" t="n">
        <f aca="false">BA5586-BB5586</f>
        <v>0</v>
      </c>
      <c r="BD5586" s="32" t="n">
        <f aca="false">SUM(P5586,R5586,T5586,V5586,X5586,Z5586,AB5586,AD5586,AF5586,AH5586,AJ5586,AL5586,AN5586,AP5586,AR5586,AT5586,AV5586,AX5586)</f>
        <v>126481</v>
      </c>
      <c r="BE5586" s="33" t="n">
        <f aca="false">AZ5586-BD5586</f>
        <v>0</v>
      </c>
      <c r="BF5586" s="34" t="n">
        <f aca="false">BD5586*M5586</f>
        <v>2150177</v>
      </c>
      <c r="BG5586" s="35" t="n">
        <f aca="false">BA5586-BF5586</f>
        <v>0</v>
      </c>
      <c r="BH5586" s="19" t="str">
        <f aca="false">IF(BG5586=0,"",IF(BG5586&lt;&gt;BA5586,"erreur de calcul",IF(BD5586&lt;&gt;0,"pas de prix",IF(M5586&lt;&gt; 0,"pas de quantité","pas de prix, ni de quantité"))))</f>
        <v/>
      </c>
      <c r="BI5586" s="19"/>
    </row>
    <row r="5587" customFormat="false" ht="15" hidden="false" customHeight="false" outlineLevel="0" collapsed="false">
      <c r="A5587" s="0" t="n">
        <v>32</v>
      </c>
      <c r="B5587" s="8" t="s">
        <v>24</v>
      </c>
      <c r="C5587" s="9" t="s">
        <v>25</v>
      </c>
      <c r="D5587" s="9" t="s">
        <v>26</v>
      </c>
      <c r="E5587" s="10" t="n">
        <v>1789</v>
      </c>
      <c r="F5587" s="9" t="s">
        <v>27</v>
      </c>
      <c r="G5587" s="9" t="s">
        <v>27</v>
      </c>
      <c r="H5587" s="11" t="n">
        <v>26</v>
      </c>
      <c r="I5587" s="11" t="s">
        <v>403</v>
      </c>
      <c r="J5587" s="14" t="n">
        <v>28</v>
      </c>
      <c r="K5587" s="14"/>
      <c r="L5587" s="16"/>
      <c r="M5587" s="27" t="n">
        <f aca="false">J5587+(K5587/20)+(L5587/240)</f>
        <v>28</v>
      </c>
      <c r="N5587" s="17" t="s">
        <v>66</v>
      </c>
      <c r="O5587" s="11"/>
      <c r="P5587" s="28"/>
      <c r="Q5587" s="28" t="n">
        <f aca="false">P5587*$M5587</f>
        <v>0</v>
      </c>
      <c r="R5587" s="28"/>
      <c r="S5587" s="28" t="n">
        <f aca="false">R5587*$M5587</f>
        <v>0</v>
      </c>
      <c r="T5587" s="28"/>
      <c r="U5587" s="28" t="n">
        <f aca="false">T5587*$M5587</f>
        <v>0</v>
      </c>
      <c r="V5587" s="28" t="n">
        <v>1923</v>
      </c>
      <c r="W5587" s="28" t="n">
        <v>53844</v>
      </c>
      <c r="X5587" s="28" t="n">
        <v>7280</v>
      </c>
      <c r="Y5587" s="36" t="n">
        <v>203860</v>
      </c>
      <c r="Z5587" s="28"/>
      <c r="AA5587" s="28" t="n">
        <f aca="false">Z5587*$M5587</f>
        <v>0</v>
      </c>
      <c r="AB5587" s="28" t="n">
        <v>128803</v>
      </c>
      <c r="AC5587" s="28" t="n">
        <v>3606484</v>
      </c>
      <c r="AD5587" s="28"/>
      <c r="AE5587" s="28" t="n">
        <f aca="false">AD5587*$M5587</f>
        <v>0</v>
      </c>
      <c r="AF5587" s="28"/>
      <c r="AG5587" s="28" t="n">
        <f aca="false">AF5587*$M5587</f>
        <v>0</v>
      </c>
      <c r="AH5587" s="28"/>
      <c r="AI5587" s="28" t="n">
        <f aca="false">AH5587*$M5587</f>
        <v>0</v>
      </c>
      <c r="AJ5587" s="28"/>
      <c r="AK5587" s="28" t="n">
        <f aca="false">AJ5587*$M5587</f>
        <v>0</v>
      </c>
      <c r="AL5587" s="28"/>
      <c r="AM5587" s="28" t="n">
        <f aca="false">AL5587*$M5587</f>
        <v>0</v>
      </c>
      <c r="AN5587" s="28"/>
      <c r="AO5587" s="28" t="n">
        <f aca="false">AN5587*$M5587</f>
        <v>0</v>
      </c>
      <c r="AP5587" s="28"/>
      <c r="AQ5587" s="28" t="n">
        <f aca="false">AP5587*$M5587</f>
        <v>0</v>
      </c>
      <c r="AR5587" s="28"/>
      <c r="AS5587" s="28" t="n">
        <f aca="false">AR5587*$M5587</f>
        <v>0</v>
      </c>
      <c r="AT5587" s="28"/>
      <c r="AU5587" s="28" t="n">
        <f aca="false">AT5587*$M5587</f>
        <v>0</v>
      </c>
      <c r="AV5587" s="28"/>
      <c r="AW5587" s="28" t="n">
        <f aca="false">AV5587*$M5587</f>
        <v>0</v>
      </c>
      <c r="AX5587" s="28"/>
      <c r="AY5587" s="28" t="n">
        <f aca="false">AX5587*$M5587</f>
        <v>0</v>
      </c>
      <c r="AZ5587" s="30" t="n">
        <v>138006</v>
      </c>
      <c r="BA5587" s="11" t="n">
        <v>3864188</v>
      </c>
      <c r="BB5587" s="31" t="n">
        <f aca="false">SUM(Q5587,S5587,U5587,W5587,Y5587,AA5587,AC5587,AE5587,AG5587,AI5587,AK5587,AM5587,AO5587,AQ5587,AS5587,AU5587,AW5587,AY5587)</f>
        <v>3864188</v>
      </c>
      <c r="BC5587" s="28" t="n">
        <f aca="false">BA5587-BB5587</f>
        <v>0</v>
      </c>
      <c r="BD5587" s="32" t="n">
        <f aca="false">SUM(P5587,R5587,T5587,V5587,X5587,Z5587,AB5587,AD5587,AF5587,AH5587,AJ5587,AL5587,AN5587,AP5587,AR5587,AT5587,AV5587,AX5587)</f>
        <v>138006</v>
      </c>
      <c r="BE5587" s="33" t="n">
        <f aca="false">AZ5587-BD5587</f>
        <v>0</v>
      </c>
      <c r="BF5587" s="34" t="n">
        <f aca="false">BD5587*M5587</f>
        <v>3864168</v>
      </c>
      <c r="BG5587" s="35" t="n">
        <f aca="false">BA5587-BF5587</f>
        <v>20</v>
      </c>
      <c r="BH5587" s="19" t="str">
        <f aca="false">IF(BG5587=0,"",IF(BG5587&lt;&gt;BA5587,"erreur de calcul",IF(BD5587&lt;&gt;0,"pas de prix",IF(M5587&lt;&gt; 0,"pas de quantité","pas de prix, ni de quantité"))))</f>
        <v>erreur de calcul</v>
      </c>
      <c r="BI5587" s="19"/>
    </row>
    <row r="5588" customFormat="false" ht="15" hidden="false" customHeight="false" outlineLevel="0" collapsed="false">
      <c r="A5588" s="0" t="n">
        <v>33</v>
      </c>
      <c r="B5588" s="8" t="s">
        <v>24</v>
      </c>
      <c r="C5588" s="9" t="s">
        <v>25</v>
      </c>
      <c r="D5588" s="9" t="s">
        <v>26</v>
      </c>
      <c r="E5588" s="10" t="n">
        <v>1789</v>
      </c>
      <c r="F5588" s="9" t="s">
        <v>27</v>
      </c>
      <c r="G5588" s="9" t="s">
        <v>27</v>
      </c>
      <c r="H5588" s="11" t="n">
        <v>26</v>
      </c>
      <c r="I5588" s="11" t="s">
        <v>404</v>
      </c>
      <c r="J5588" s="14"/>
      <c r="K5588" s="14" t="n">
        <v>30</v>
      </c>
      <c r="L5588" s="16"/>
      <c r="M5588" s="27" t="n">
        <f aca="false">J5588+(K5588/20)+(L5588/240)</f>
        <v>1.5</v>
      </c>
      <c r="N5588" s="17" t="s">
        <v>66</v>
      </c>
      <c r="O5588" s="11"/>
      <c r="P5588" s="28"/>
      <c r="Q5588" s="28" t="n">
        <f aca="false">P5588*$M5588</f>
        <v>0</v>
      </c>
      <c r="R5588" s="28"/>
      <c r="S5588" s="28" t="n">
        <f aca="false">R5588*$M5588</f>
        <v>0</v>
      </c>
      <c r="T5588" s="28" t="n">
        <v>11245</v>
      </c>
      <c r="U5588" s="28" t="n">
        <v>16867</v>
      </c>
      <c r="V5588" s="28"/>
      <c r="W5588" s="28" t="n">
        <f aca="false">V5588*$M5588</f>
        <v>0</v>
      </c>
      <c r="X5588" s="28"/>
      <c r="Y5588" s="28" t="n">
        <f aca="false">X5588*$M5588</f>
        <v>0</v>
      </c>
      <c r="Z5588" s="28"/>
      <c r="AA5588" s="28" t="n">
        <f aca="false">Z5588*$M5588</f>
        <v>0</v>
      </c>
      <c r="AB5588" s="28"/>
      <c r="AC5588" s="28" t="n">
        <f aca="false">AB5588*$M5588</f>
        <v>0</v>
      </c>
      <c r="AD5588" s="28"/>
      <c r="AE5588" s="28" t="n">
        <f aca="false">AD5588*$M5588</f>
        <v>0</v>
      </c>
      <c r="AF5588" s="28"/>
      <c r="AG5588" s="28" t="n">
        <f aca="false">AF5588*$M5588</f>
        <v>0</v>
      </c>
      <c r="AH5588" s="28"/>
      <c r="AI5588" s="28" t="n">
        <f aca="false">AH5588*$M5588</f>
        <v>0</v>
      </c>
      <c r="AJ5588" s="28"/>
      <c r="AK5588" s="28" t="n">
        <f aca="false">AJ5588*$M5588</f>
        <v>0</v>
      </c>
      <c r="AL5588" s="28"/>
      <c r="AM5588" s="28" t="n">
        <f aca="false">AL5588*$M5588</f>
        <v>0</v>
      </c>
      <c r="AN5588" s="28"/>
      <c r="AO5588" s="28" t="n">
        <f aca="false">AN5588*$M5588</f>
        <v>0</v>
      </c>
      <c r="AP5588" s="28"/>
      <c r="AQ5588" s="28" t="n">
        <f aca="false">AP5588*$M5588</f>
        <v>0</v>
      </c>
      <c r="AR5588" s="28"/>
      <c r="AS5588" s="28" t="n">
        <f aca="false">AR5588*$M5588</f>
        <v>0</v>
      </c>
      <c r="AT5588" s="28"/>
      <c r="AU5588" s="28" t="n">
        <f aca="false">AT5588*$M5588</f>
        <v>0</v>
      </c>
      <c r="AV5588" s="28"/>
      <c r="AW5588" s="28" t="n">
        <f aca="false">AV5588*$M5588</f>
        <v>0</v>
      </c>
      <c r="AX5588" s="28"/>
      <c r="AY5588" s="28" t="n">
        <f aca="false">AX5588*$M5588</f>
        <v>0</v>
      </c>
      <c r="AZ5588" s="30" t="n">
        <v>11245</v>
      </c>
      <c r="BA5588" s="11" t="n">
        <v>16867</v>
      </c>
      <c r="BB5588" s="31" t="n">
        <f aca="false">SUM(Q5588,S5588,U5588,W5588,Y5588,AA5588,AC5588,AE5588,AG5588,AI5588,AK5588,AM5588,AO5588,AQ5588,AS5588,AU5588,AW5588,AY5588)</f>
        <v>16867</v>
      </c>
      <c r="BC5588" s="28" t="n">
        <f aca="false">BA5588-BB5588</f>
        <v>0</v>
      </c>
      <c r="BD5588" s="32" t="n">
        <f aca="false">SUM(P5588,R5588,T5588,V5588,X5588,Z5588,AB5588,AD5588,AF5588,AH5588,AJ5588,AL5588,AN5588,AP5588,AR5588,AT5588,AV5588,AX5588)</f>
        <v>11245</v>
      </c>
      <c r="BE5588" s="33" t="n">
        <f aca="false">AZ5588-BD5588</f>
        <v>0</v>
      </c>
      <c r="BF5588" s="34" t="n">
        <f aca="false">BD5588*M5588</f>
        <v>16867.5</v>
      </c>
      <c r="BG5588" s="35" t="n">
        <f aca="false">BA5588-BF5588</f>
        <v>-0.5</v>
      </c>
      <c r="BH5588" s="19" t="str">
        <f aca="false">IF(BG5588=0,"",IF(BG5588&lt;&gt;BA5588,"erreur de calcul",IF(BD5588&lt;&gt;0,"pas de prix",IF(M5588&lt;&gt; 0,"pas de quantité","pas de prix, ni de quantité"))))</f>
        <v>erreur de calcul</v>
      </c>
      <c r="BI5588" s="19"/>
    </row>
    <row r="5589" customFormat="false" ht="15" hidden="false" customHeight="false" outlineLevel="0" collapsed="false">
      <c r="A5589" s="0" t="n">
        <v>34</v>
      </c>
      <c r="B5589" s="8" t="s">
        <v>24</v>
      </c>
      <c r="C5589" s="9" t="s">
        <v>25</v>
      </c>
      <c r="D5589" s="9" t="s">
        <v>26</v>
      </c>
      <c r="E5589" s="10" t="n">
        <v>1789</v>
      </c>
      <c r="F5589" s="9" t="s">
        <v>27</v>
      </c>
      <c r="G5589" s="9" t="s">
        <v>27</v>
      </c>
      <c r="H5589" s="11" t="n">
        <v>26</v>
      </c>
      <c r="I5589" s="11" t="s">
        <v>405</v>
      </c>
      <c r="J5589" s="14"/>
      <c r="K5589" s="14" t="n">
        <v>40</v>
      </c>
      <c r="L5589" s="16"/>
      <c r="M5589" s="27" t="n">
        <f aca="false">J5589+(K5589/20)+(L5589/240)</f>
        <v>2</v>
      </c>
      <c r="N5589" s="17" t="s">
        <v>66</v>
      </c>
      <c r="O5589" s="11"/>
      <c r="P5589" s="28"/>
      <c r="Q5589" s="28" t="n">
        <f aca="false">P5589*$M5589</f>
        <v>0</v>
      </c>
      <c r="R5589" s="28"/>
      <c r="S5589" s="28" t="n">
        <f aca="false">R5589*$M5589</f>
        <v>0</v>
      </c>
      <c r="T5589" s="28"/>
      <c r="U5589" s="28" t="n">
        <f aca="false">T5589*$M5589</f>
        <v>0</v>
      </c>
      <c r="V5589" s="28"/>
      <c r="W5589" s="28" t="n">
        <f aca="false">V5589*$M5589</f>
        <v>0</v>
      </c>
      <c r="X5589" s="28"/>
      <c r="Y5589" s="28" t="n">
        <f aca="false">X5589*$M5589</f>
        <v>0</v>
      </c>
      <c r="Z5589" s="28"/>
      <c r="AA5589" s="28" t="n">
        <f aca="false">Z5589*$M5589</f>
        <v>0</v>
      </c>
      <c r="AB5589" s="28"/>
      <c r="AC5589" s="28" t="n">
        <f aca="false">AB5589*$M5589</f>
        <v>0</v>
      </c>
      <c r="AD5589" s="28"/>
      <c r="AE5589" s="28" t="n">
        <f aca="false">AD5589*$M5589</f>
        <v>0</v>
      </c>
      <c r="AF5589" s="28"/>
      <c r="AG5589" s="28" t="n">
        <f aca="false">AF5589*$M5589</f>
        <v>0</v>
      </c>
      <c r="AH5589" s="28" t="n">
        <v>9380</v>
      </c>
      <c r="AI5589" s="28" t="n">
        <v>18760</v>
      </c>
      <c r="AJ5589" s="28"/>
      <c r="AK5589" s="28" t="n">
        <f aca="false">AJ5589*$M5589</f>
        <v>0</v>
      </c>
      <c r="AL5589" s="28"/>
      <c r="AM5589" s="28" t="n">
        <f aca="false">AL5589*$M5589</f>
        <v>0</v>
      </c>
      <c r="AN5589" s="28"/>
      <c r="AO5589" s="28" t="n">
        <f aca="false">AN5589*$M5589</f>
        <v>0</v>
      </c>
      <c r="AP5589" s="28"/>
      <c r="AQ5589" s="28" t="n">
        <f aca="false">AP5589*$M5589</f>
        <v>0</v>
      </c>
      <c r="AR5589" s="28"/>
      <c r="AS5589" s="28" t="n">
        <f aca="false">AR5589*$M5589</f>
        <v>0</v>
      </c>
      <c r="AT5589" s="28"/>
      <c r="AU5589" s="28" t="n">
        <f aca="false">AT5589*$M5589</f>
        <v>0</v>
      </c>
      <c r="AV5589" s="28"/>
      <c r="AW5589" s="28" t="n">
        <f aca="false">AV5589*$M5589</f>
        <v>0</v>
      </c>
      <c r="AX5589" s="28"/>
      <c r="AY5589" s="28" t="n">
        <f aca="false">AX5589*$M5589</f>
        <v>0</v>
      </c>
      <c r="AZ5589" s="30" t="n">
        <v>9380</v>
      </c>
      <c r="BA5589" s="11" t="n">
        <v>18760</v>
      </c>
      <c r="BB5589" s="31" t="n">
        <f aca="false">SUM(Q5589,S5589,U5589,W5589,Y5589,AA5589,AC5589,AE5589,AG5589,AI5589,AK5589,AM5589,AO5589,AQ5589,AS5589,AU5589,AW5589,AY5589)</f>
        <v>18760</v>
      </c>
      <c r="BC5589" s="28" t="n">
        <f aca="false">BA5589-BB5589</f>
        <v>0</v>
      </c>
      <c r="BD5589" s="32" t="n">
        <f aca="false">SUM(P5589,R5589,T5589,V5589,X5589,Z5589,AB5589,AD5589,AF5589,AH5589,AJ5589,AL5589,AN5589,AP5589,AR5589,AT5589,AV5589,AX5589)</f>
        <v>9380</v>
      </c>
      <c r="BE5589" s="33" t="n">
        <f aca="false">AZ5589-BD5589</f>
        <v>0</v>
      </c>
      <c r="BF5589" s="34" t="n">
        <f aca="false">BD5589*M5589</f>
        <v>18760</v>
      </c>
      <c r="BG5589" s="35" t="n">
        <f aca="false">BA5589-BF5589</f>
        <v>0</v>
      </c>
      <c r="BH5589" s="19" t="str">
        <f aca="false">IF(BG5589=0,"",IF(BG5589&lt;&gt;BA5589,"erreur de calcul",IF(BD5589&lt;&gt;0,"pas de prix",IF(M5589&lt;&gt; 0,"pas de quantité","pas de prix, ni de quantité"))))</f>
        <v/>
      </c>
      <c r="BI5589" s="19"/>
    </row>
    <row r="5590" customFormat="false" ht="15" hidden="false" customHeight="false" outlineLevel="0" collapsed="false">
      <c r="A5590" s="0" t="n">
        <v>35</v>
      </c>
      <c r="B5590" s="8" t="s">
        <v>24</v>
      </c>
      <c r="C5590" s="9" t="s">
        <v>25</v>
      </c>
      <c r="D5590" s="9" t="s">
        <v>26</v>
      </c>
      <c r="E5590" s="10" t="n">
        <v>1789</v>
      </c>
      <c r="F5590" s="9" t="s">
        <v>27</v>
      </c>
      <c r="G5590" s="9" t="s">
        <v>27</v>
      </c>
      <c r="H5590" s="11" t="n">
        <v>26</v>
      </c>
      <c r="I5590" s="11" t="s">
        <v>406</v>
      </c>
      <c r="J5590" s="14" t="n">
        <v>55</v>
      </c>
      <c r="K5590" s="14"/>
      <c r="L5590" s="16"/>
      <c r="M5590" s="27" t="n">
        <f aca="false">J5590+(K5590/20)+(L5590/240)</f>
        <v>55</v>
      </c>
      <c r="N5590" s="17" t="s">
        <v>64</v>
      </c>
      <c r="O5590" s="11"/>
      <c r="P5590" s="28" t="n">
        <f aca="false">634/100</f>
        <v>6.34</v>
      </c>
      <c r="Q5590" s="28" t="n">
        <v>349</v>
      </c>
      <c r="R5590" s="28"/>
      <c r="S5590" s="28" t="n">
        <f aca="false">R5590*$M5590</f>
        <v>0</v>
      </c>
      <c r="T5590" s="28" t="n">
        <f aca="false">2450/100</f>
        <v>24.5</v>
      </c>
      <c r="U5590" s="28" t="n">
        <v>1347</v>
      </c>
      <c r="V5590" s="28" t="n">
        <f aca="false">9685/100</f>
        <v>96.85</v>
      </c>
      <c r="W5590" s="28" t="n">
        <v>5327</v>
      </c>
      <c r="X5590" s="28"/>
      <c r="Y5590" s="28" t="n">
        <f aca="false">X5590*$M5590</f>
        <v>0</v>
      </c>
      <c r="Z5590" s="28"/>
      <c r="AA5590" s="28" t="n">
        <f aca="false">Z5590*$M5590</f>
        <v>0</v>
      </c>
      <c r="AB5590" s="28"/>
      <c r="AC5590" s="28" t="n">
        <f aca="false">AB5590*$M5590</f>
        <v>0</v>
      </c>
      <c r="AD5590" s="28"/>
      <c r="AE5590" s="28" t="n">
        <f aca="false">AD5590*$M5590</f>
        <v>0</v>
      </c>
      <c r="AF5590" s="28"/>
      <c r="AG5590" s="28" t="n">
        <f aca="false">AF5590*$M5590</f>
        <v>0</v>
      </c>
      <c r="AH5590" s="28"/>
      <c r="AI5590" s="28" t="n">
        <f aca="false">AH5590*$M5590</f>
        <v>0</v>
      </c>
      <c r="AJ5590" s="28"/>
      <c r="AK5590" s="28" t="n">
        <f aca="false">AJ5590*$M5590</f>
        <v>0</v>
      </c>
      <c r="AL5590" s="28"/>
      <c r="AM5590" s="28" t="n">
        <f aca="false">AL5590*$M5590</f>
        <v>0</v>
      </c>
      <c r="AN5590" s="28"/>
      <c r="AO5590" s="28" t="n">
        <f aca="false">AN5590*$M5590</f>
        <v>0</v>
      </c>
      <c r="AP5590" s="28"/>
      <c r="AQ5590" s="28" t="n">
        <f aca="false">AP5590*$M5590</f>
        <v>0</v>
      </c>
      <c r="AR5590" s="28"/>
      <c r="AS5590" s="28" t="n">
        <f aca="false">AR5590*$M5590</f>
        <v>0</v>
      </c>
      <c r="AT5590" s="28"/>
      <c r="AU5590" s="28" t="n">
        <f aca="false">AT5590*$M5590</f>
        <v>0</v>
      </c>
      <c r="AV5590" s="28"/>
      <c r="AW5590" s="28" t="n">
        <f aca="false">AV5590*$M5590</f>
        <v>0</v>
      </c>
      <c r="AX5590" s="28"/>
      <c r="AY5590" s="28" t="n">
        <f aca="false">AX5590*$M5590</f>
        <v>0</v>
      </c>
      <c r="AZ5590" s="30" t="n">
        <f aca="false">12769/100</f>
        <v>127.69</v>
      </c>
      <c r="BA5590" s="11" t="n">
        <v>7023</v>
      </c>
      <c r="BB5590" s="31" t="n">
        <f aca="false">SUM(Q5590,S5590,U5590,W5590,Y5590,AA5590,AC5590,AE5590,AG5590,AI5590,AK5590,AM5590,AO5590,AQ5590,AS5590,AU5590,AW5590,AY5590)</f>
        <v>7023</v>
      </c>
      <c r="BC5590" s="28" t="n">
        <f aca="false">BA5590-BB5590</f>
        <v>0</v>
      </c>
      <c r="BD5590" s="32" t="n">
        <f aca="false">SUM(P5590,R5590,T5590,V5590,X5590,Z5590,AB5590,AD5590,AF5590,AH5590,AJ5590,AL5590,AN5590,AP5590,AR5590,AT5590,AV5590,AX5590)</f>
        <v>127.69</v>
      </c>
      <c r="BE5590" s="33" t="n">
        <f aca="false">AZ5590-BD5590</f>
        <v>0</v>
      </c>
      <c r="BF5590" s="34" t="n">
        <f aca="false">BD5590*M5590</f>
        <v>7022.95</v>
      </c>
      <c r="BG5590" s="35" t="n">
        <f aca="false">BA5590-BF5590</f>
        <v>0.0500000000001819</v>
      </c>
      <c r="BH5590" s="19" t="str">
        <f aca="false">IF(BG5590=0,"",IF(BG5590&lt;&gt;BA5590,"erreur de calcul",IF(BD5590&lt;&gt;0,"pas de prix",IF(M5590&lt;&gt; 0,"pas de quantité","pas de prix, ni de quantité"))))</f>
        <v>erreur de calcul</v>
      </c>
      <c r="BI5590" s="19"/>
    </row>
    <row r="5591" customFormat="false" ht="15" hidden="false" customHeight="false" outlineLevel="0" collapsed="false">
      <c r="A5591" s="0" t="n">
        <v>36</v>
      </c>
      <c r="B5591" s="8" t="s">
        <v>24</v>
      </c>
      <c r="C5591" s="9" t="s">
        <v>25</v>
      </c>
      <c r="D5591" s="9" t="s">
        <v>26</v>
      </c>
      <c r="E5591" s="10" t="n">
        <v>1789</v>
      </c>
      <c r="F5591" s="9" t="s">
        <v>27</v>
      </c>
      <c r="G5591" s="9" t="s">
        <v>27</v>
      </c>
      <c r="H5591" s="11" t="n">
        <v>26</v>
      </c>
      <c r="I5591" s="11" t="s">
        <v>407</v>
      </c>
      <c r="J5591" s="14" t="n">
        <v>44</v>
      </c>
      <c r="K5591" s="14"/>
      <c r="L5591" s="16"/>
      <c r="M5591" s="27" t="n">
        <f aca="false">J5591+(K5591/20)+(L5591/240)</f>
        <v>44</v>
      </c>
      <c r="N5591" s="17" t="s">
        <v>64</v>
      </c>
      <c r="O5591" s="11" t="s">
        <v>77</v>
      </c>
      <c r="P5591" s="28" t="n">
        <f aca="false">68669/100</f>
        <v>686.69</v>
      </c>
      <c r="Q5591" s="28" t="n">
        <v>30214</v>
      </c>
      <c r="R5591" s="28"/>
      <c r="S5591" s="28" t="n">
        <f aca="false">R5591*$M5591</f>
        <v>0</v>
      </c>
      <c r="T5591" s="28" t="n">
        <f aca="false">7101/100</f>
        <v>71.01</v>
      </c>
      <c r="U5591" s="28" t="n">
        <v>3124</v>
      </c>
      <c r="V5591" s="28" t="n">
        <f aca="false">27549/100</f>
        <v>275.49</v>
      </c>
      <c r="W5591" s="28" t="n">
        <v>12121</v>
      </c>
      <c r="X5591" s="28" t="n">
        <f aca="false">947914/100</f>
        <v>9479.14</v>
      </c>
      <c r="Y5591" s="28" t="n">
        <v>417082</v>
      </c>
      <c r="Z5591" s="28" t="n">
        <f aca="false">183606/100</f>
        <v>1836.06</v>
      </c>
      <c r="AA5591" s="28" t="n">
        <v>80787</v>
      </c>
      <c r="AB5591" s="28" t="n">
        <f aca="false">36047/100</f>
        <v>360.47</v>
      </c>
      <c r="AC5591" s="28" t="n">
        <v>15861</v>
      </c>
      <c r="AD5591" s="28" t="n">
        <f aca="false">12322/100</f>
        <v>123.22</v>
      </c>
      <c r="AE5591" s="28" t="n">
        <v>5422</v>
      </c>
      <c r="AF5591" s="28"/>
      <c r="AG5591" s="28" t="n">
        <f aca="false">AF5591*$M5591</f>
        <v>0</v>
      </c>
      <c r="AH5591" s="28" t="n">
        <f aca="false">3318/100</f>
        <v>33.18</v>
      </c>
      <c r="AI5591" s="28" t="n">
        <v>1460</v>
      </c>
      <c r="AJ5591" s="28"/>
      <c r="AK5591" s="28" t="n">
        <f aca="false">AJ5591*$M5591</f>
        <v>0</v>
      </c>
      <c r="AL5591" s="28" t="n">
        <f aca="false">28260/100</f>
        <v>282.6</v>
      </c>
      <c r="AM5591" s="28" t="n">
        <v>12434</v>
      </c>
      <c r="AN5591" s="28"/>
      <c r="AO5591" s="28" t="n">
        <f aca="false">AN5591*$M5591</f>
        <v>0</v>
      </c>
      <c r="AP5591" s="28"/>
      <c r="AQ5591" s="28" t="n">
        <f aca="false">AP5591*$M5591</f>
        <v>0</v>
      </c>
      <c r="AR5591" s="28"/>
      <c r="AS5591" s="28" t="n">
        <f aca="false">AR5591*$M5591</f>
        <v>0</v>
      </c>
      <c r="AT5591" s="28"/>
      <c r="AU5591" s="28" t="n">
        <f aca="false">AT5591*$M5591</f>
        <v>0</v>
      </c>
      <c r="AV5591" s="28"/>
      <c r="AW5591" s="28" t="n">
        <f aca="false">AV5591*$M5591</f>
        <v>0</v>
      </c>
      <c r="AX5591" s="28"/>
      <c r="AY5591" s="28" t="n">
        <f aca="false">AX5591*$M5591</f>
        <v>0</v>
      </c>
      <c r="AZ5591" s="30" t="n">
        <f aca="false">1314786/100</f>
        <v>13147.86</v>
      </c>
      <c r="BA5591" s="11" t="n">
        <v>578505</v>
      </c>
      <c r="BB5591" s="31" t="n">
        <f aca="false">SUM(Q5591,S5591,U5591,W5591,Y5591,AA5591,AC5591,AE5591,AG5591,AI5591,AK5591,AM5591,AO5591,AQ5591,AS5591,AU5591,AW5591,AY5591)</f>
        <v>578505</v>
      </c>
      <c r="BC5591" s="28" t="n">
        <f aca="false">BA5591-BB5591</f>
        <v>0</v>
      </c>
      <c r="BD5591" s="32" t="n">
        <f aca="false">SUM(P5591,R5591,T5591,V5591,X5591,Z5591,AB5591,AD5591,AF5591,AH5591,AJ5591,AL5591,AN5591,AP5591,AR5591,AT5591,AV5591,AX5591)</f>
        <v>13147.86</v>
      </c>
      <c r="BE5591" s="33" t="n">
        <f aca="false">AZ5591-BD5591</f>
        <v>0</v>
      </c>
      <c r="BF5591" s="34" t="n">
        <f aca="false">BD5591*M5591</f>
        <v>578505.84</v>
      </c>
      <c r="BG5591" s="35" t="n">
        <f aca="false">BA5591-BF5591</f>
        <v>-0.839999999967404</v>
      </c>
      <c r="BH5591" s="19" t="str">
        <f aca="false">IF(BG5591=0,"",IF(BG5591&lt;&gt;BA5591,"erreur de calcul",IF(BD5591&lt;&gt;0,"pas de prix",IF(M5591&lt;&gt; 0,"pas de quantité","pas de prix, ni de quantité"))))</f>
        <v>erreur de calcul</v>
      </c>
      <c r="BI5591" s="19"/>
    </row>
    <row r="5592" customFormat="false" ht="15" hidden="false" customHeight="false" outlineLevel="0" collapsed="false">
      <c r="A5592" s="0" t="n">
        <v>37</v>
      </c>
      <c r="B5592" s="8" t="s">
        <v>24</v>
      </c>
      <c r="C5592" s="9" t="s">
        <v>25</v>
      </c>
      <c r="D5592" s="9" t="s">
        <v>26</v>
      </c>
      <c r="E5592" s="10" t="n">
        <v>1789</v>
      </c>
      <c r="F5592" s="9" t="s">
        <v>27</v>
      </c>
      <c r="G5592" s="9" t="s">
        <v>27</v>
      </c>
      <c r="H5592" s="11" t="n">
        <v>26</v>
      </c>
      <c r="I5592" s="11" t="s">
        <v>408</v>
      </c>
      <c r="J5592" s="14" t="n">
        <v>40</v>
      </c>
      <c r="K5592" s="14"/>
      <c r="L5592" s="16"/>
      <c r="M5592" s="27" t="n">
        <f aca="false">J5592+(K5592/20)+(L5592/240)</f>
        <v>40</v>
      </c>
      <c r="N5592" s="17" t="s">
        <v>64</v>
      </c>
      <c r="O5592" s="11"/>
      <c r="P5592" s="28"/>
      <c r="Q5592" s="28" t="n">
        <f aca="false">P5592*$M5592</f>
        <v>0</v>
      </c>
      <c r="R5592" s="28"/>
      <c r="S5592" s="28" t="n">
        <f aca="false">R5592*$M5592</f>
        <v>0</v>
      </c>
      <c r="T5592" s="28"/>
      <c r="U5592" s="28" t="n">
        <f aca="false">T5592*$M5592</f>
        <v>0</v>
      </c>
      <c r="V5592" s="28" t="n">
        <f aca="false">4827/100</f>
        <v>48.27</v>
      </c>
      <c r="W5592" s="28" t="n">
        <v>1931</v>
      </c>
      <c r="X5592" s="28"/>
      <c r="Y5592" s="28" t="n">
        <f aca="false">X5592*$M5592</f>
        <v>0</v>
      </c>
      <c r="Z5592" s="28"/>
      <c r="AA5592" s="28" t="n">
        <f aca="false">Z5592*$M5592</f>
        <v>0</v>
      </c>
      <c r="AB5592" s="28"/>
      <c r="AC5592" s="28" t="n">
        <f aca="false">AB5592*$M5592</f>
        <v>0</v>
      </c>
      <c r="AD5592" s="28"/>
      <c r="AE5592" s="28" t="n">
        <f aca="false">AD5592*$M5592</f>
        <v>0</v>
      </c>
      <c r="AF5592" s="28"/>
      <c r="AG5592" s="28" t="n">
        <f aca="false">AF5592*$M5592</f>
        <v>0</v>
      </c>
      <c r="AH5592" s="28"/>
      <c r="AI5592" s="28" t="n">
        <f aca="false">AH5592*$M5592</f>
        <v>0</v>
      </c>
      <c r="AJ5592" s="28"/>
      <c r="AK5592" s="28" t="n">
        <f aca="false">AJ5592*$M5592</f>
        <v>0</v>
      </c>
      <c r="AL5592" s="28"/>
      <c r="AM5592" s="28" t="n">
        <f aca="false">AL5592*$M5592</f>
        <v>0</v>
      </c>
      <c r="AN5592" s="28"/>
      <c r="AO5592" s="28" t="n">
        <f aca="false">AN5592*$M5592</f>
        <v>0</v>
      </c>
      <c r="AP5592" s="28"/>
      <c r="AQ5592" s="28" t="n">
        <f aca="false">AP5592*$M5592</f>
        <v>0</v>
      </c>
      <c r="AR5592" s="28"/>
      <c r="AS5592" s="28" t="n">
        <f aca="false">AR5592*$M5592</f>
        <v>0</v>
      </c>
      <c r="AT5592" s="28"/>
      <c r="AU5592" s="28" t="n">
        <f aca="false">AT5592*$M5592</f>
        <v>0</v>
      </c>
      <c r="AV5592" s="28"/>
      <c r="AW5592" s="28" t="n">
        <f aca="false">AV5592*$M5592</f>
        <v>0</v>
      </c>
      <c r="AX5592" s="28" t="n">
        <f aca="false">835109/100</f>
        <v>8351.09</v>
      </c>
      <c r="AY5592" s="28" t="n">
        <v>334044</v>
      </c>
      <c r="AZ5592" s="30" t="n">
        <f aca="false">839936/100</f>
        <v>8399.36</v>
      </c>
      <c r="BA5592" s="11" t="n">
        <v>335975</v>
      </c>
      <c r="BB5592" s="31" t="n">
        <f aca="false">SUM(Q5592,S5592,U5592,W5592,Y5592,AA5592,AC5592,AE5592,AG5592,AI5592,AK5592,AM5592,AO5592,AQ5592,AS5592,AU5592,AW5592,AY5592)</f>
        <v>335975</v>
      </c>
      <c r="BC5592" s="28" t="n">
        <f aca="false">BA5592-BB5592</f>
        <v>0</v>
      </c>
      <c r="BD5592" s="32" t="n">
        <f aca="false">SUM(P5592,R5592,T5592,V5592,X5592,Z5592,AB5592,AD5592,AF5592,AH5592,AJ5592,AL5592,AN5592,AP5592,AR5592,AT5592,AV5592,AX5592)</f>
        <v>8399.36</v>
      </c>
      <c r="BE5592" s="33" t="n">
        <f aca="false">AZ5592-BD5592</f>
        <v>0</v>
      </c>
      <c r="BF5592" s="34" t="n">
        <f aca="false">BD5592*M5592</f>
        <v>335974.4</v>
      </c>
      <c r="BG5592" s="35" t="n">
        <f aca="false">BA5592-BF5592</f>
        <v>0.599999999976717</v>
      </c>
      <c r="BH5592" s="19" t="str">
        <f aca="false">IF(BG5592=0,"",IF(BG5592&lt;&gt;BA5592,"erreur de calcul",IF(BD5592&lt;&gt;0,"pas de prix",IF(M5592&lt;&gt; 0,"pas de quantité","pas de prix, ni de quantité"))))</f>
        <v>erreur de calcul</v>
      </c>
      <c r="BI5592" s="19"/>
    </row>
    <row r="5593" customFormat="false" ht="16.65" hidden="false" customHeight="false" outlineLevel="0" collapsed="false">
      <c r="A5593" s="0" t="n">
        <v>38</v>
      </c>
      <c r="B5593" s="8" t="s">
        <v>24</v>
      </c>
      <c r="C5593" s="9" t="s">
        <v>25</v>
      </c>
      <c r="D5593" s="9" t="s">
        <v>26</v>
      </c>
      <c r="E5593" s="10" t="n">
        <v>1789</v>
      </c>
      <c r="F5593" s="9" t="s">
        <v>27</v>
      </c>
      <c r="G5593" s="9" t="s">
        <v>27</v>
      </c>
      <c r="H5593" s="11" t="n">
        <v>26</v>
      </c>
      <c r="I5593" s="11" t="s">
        <v>409</v>
      </c>
      <c r="J5593" s="14"/>
      <c r="K5593" s="14" t="n">
        <v>13</v>
      </c>
      <c r="L5593" s="16"/>
      <c r="M5593" s="27" t="n">
        <f aca="false">J5593+(K5593/20)+(L5593/240)</f>
        <v>0.65</v>
      </c>
      <c r="N5593" s="17" t="s">
        <v>64</v>
      </c>
      <c r="O5593" s="11"/>
      <c r="P5593" s="28"/>
      <c r="Q5593" s="28" t="n">
        <f aca="false">P5593*$M5593</f>
        <v>0</v>
      </c>
      <c r="R5593" s="28"/>
      <c r="S5593" s="28" t="n">
        <f aca="false">R5593*$M5593</f>
        <v>0</v>
      </c>
      <c r="T5593" s="28"/>
      <c r="U5593" s="28" t="n">
        <f aca="false">T5593*$M5593</f>
        <v>0</v>
      </c>
      <c r="V5593" s="28"/>
      <c r="W5593" s="28" t="n">
        <f aca="false">V5593*$M5593</f>
        <v>0</v>
      </c>
      <c r="X5593" s="28"/>
      <c r="Y5593" s="28" t="n">
        <f aca="false">X5593*$M5593</f>
        <v>0</v>
      </c>
      <c r="Z5593" s="28" t="n">
        <f aca="false">2471002/100</f>
        <v>24710.02</v>
      </c>
      <c r="AA5593" s="28" t="n">
        <v>16061</v>
      </c>
      <c r="AB5593" s="28"/>
      <c r="AC5593" s="28" t="n">
        <f aca="false">AB5593*$M5593</f>
        <v>0</v>
      </c>
      <c r="AD5593" s="28"/>
      <c r="AE5593" s="28" t="n">
        <f aca="false">AD5593*$M5593</f>
        <v>0</v>
      </c>
      <c r="AF5593" s="28"/>
      <c r="AG5593" s="28" t="n">
        <f aca="false">AF5593*$M5593</f>
        <v>0</v>
      </c>
      <c r="AH5593" s="28"/>
      <c r="AI5593" s="28" t="n">
        <f aca="false">AH5593*$M5593</f>
        <v>0</v>
      </c>
      <c r="AJ5593" s="28"/>
      <c r="AK5593" s="28" t="n">
        <f aca="false">AJ5593*$M5593</f>
        <v>0</v>
      </c>
      <c r="AL5593" s="28"/>
      <c r="AM5593" s="28" t="n">
        <f aca="false">AL5593*$M5593</f>
        <v>0</v>
      </c>
      <c r="AN5593" s="28"/>
      <c r="AO5593" s="28" t="n">
        <f aca="false">AN5593*$M5593</f>
        <v>0</v>
      </c>
      <c r="AP5593" s="28"/>
      <c r="AQ5593" s="28" t="n">
        <f aca="false">AP5593*$M5593</f>
        <v>0</v>
      </c>
      <c r="AR5593" s="28"/>
      <c r="AS5593" s="28" t="n">
        <f aca="false">AR5593*$M5593</f>
        <v>0</v>
      </c>
      <c r="AT5593" s="28"/>
      <c r="AU5593" s="28" t="n">
        <f aca="false">AT5593*$M5593</f>
        <v>0</v>
      </c>
      <c r="AV5593" s="28"/>
      <c r="AW5593" s="28" t="n">
        <f aca="false">AV5593*$M5593</f>
        <v>0</v>
      </c>
      <c r="AX5593" s="28"/>
      <c r="AY5593" s="28" t="n">
        <f aca="false">AX5593*$M5593</f>
        <v>0</v>
      </c>
      <c r="AZ5593" s="30" t="n">
        <f aca="false">2471002</f>
        <v>2471002</v>
      </c>
      <c r="BA5593" s="11" t="n">
        <v>16061</v>
      </c>
      <c r="BB5593" s="31" t="n">
        <f aca="false">SUM(Q5593,S5593,U5593,W5593,Y5593,AA5593,AC5593,AE5593,AG5593,AI5593,AK5593,AM5593,AO5593,AQ5593,AS5593,AU5593,AW5593,AY5593)</f>
        <v>16061</v>
      </c>
      <c r="BC5593" s="28" t="n">
        <f aca="false">BA5593-BB5593</f>
        <v>0</v>
      </c>
      <c r="BD5593" s="32" t="n">
        <f aca="false">SUM(P5593,R5593,T5593,V5593,X5593,Z5593,AB5593,AD5593,AF5593,AH5593,AJ5593,AL5593,AN5593,AP5593,AR5593,AT5593,AV5593,AX5593)</f>
        <v>24710.02</v>
      </c>
      <c r="BE5593" s="33" t="n">
        <f aca="false">AZ5593-BD5593</f>
        <v>2446291.98</v>
      </c>
      <c r="BF5593" s="34" t="n">
        <f aca="false">BD5593*M5593</f>
        <v>16061.513</v>
      </c>
      <c r="BG5593" s="35" t="n">
        <f aca="false">BA5593-BF5593</f>
        <v>-0.513000000000829</v>
      </c>
      <c r="BH5593" s="19" t="str">
        <f aca="false">IF(BG5593=0,"",IF(BG5593&lt;&gt;BA5593,"erreur de calcul",IF(BD5593&lt;&gt;0,"pas de prix",IF(M5593&lt;&gt; 0,"pas de quantité","pas de prix, ni de quantité"))))</f>
        <v>erreur de calcul</v>
      </c>
      <c r="BI5593" s="19"/>
    </row>
    <row r="5594" customFormat="false" ht="15" hidden="false" customHeight="false" outlineLevel="0" collapsed="false">
      <c r="A5594" s="0" t="n">
        <v>39</v>
      </c>
      <c r="B5594" s="8" t="s">
        <v>24</v>
      </c>
      <c r="C5594" s="9" t="s">
        <v>25</v>
      </c>
      <c r="D5594" s="9" t="s">
        <v>26</v>
      </c>
      <c r="E5594" s="10" t="n">
        <v>1789</v>
      </c>
      <c r="F5594" s="9" t="s">
        <v>27</v>
      </c>
      <c r="G5594" s="9" t="s">
        <v>27</v>
      </c>
      <c r="H5594" s="11" t="n">
        <v>26</v>
      </c>
      <c r="I5594" s="11" t="s">
        <v>410</v>
      </c>
      <c r="J5594" s="14" t="n">
        <v>10</v>
      </c>
      <c r="K5594" s="14"/>
      <c r="L5594" s="16"/>
      <c r="M5594" s="27" t="n">
        <f aca="false">J5594+(K5594/20)+(L5594/240)</f>
        <v>10</v>
      </c>
      <c r="N5594" s="17" t="s">
        <v>64</v>
      </c>
      <c r="O5594" s="11"/>
      <c r="P5594" s="28"/>
      <c r="Q5594" s="28" t="n">
        <f aca="false">P5594*$M5594</f>
        <v>0</v>
      </c>
      <c r="R5594" s="28"/>
      <c r="S5594" s="28" t="n">
        <f aca="false">R5594*$M5594</f>
        <v>0</v>
      </c>
      <c r="T5594" s="28"/>
      <c r="U5594" s="28" t="n">
        <f aca="false">T5594*$M5594</f>
        <v>0</v>
      </c>
      <c r="V5594" s="28"/>
      <c r="W5594" s="28" t="n">
        <f aca="false">V5594*$M5594</f>
        <v>0</v>
      </c>
      <c r="X5594" s="28" t="n">
        <f aca="false">2481/100</f>
        <v>24.81</v>
      </c>
      <c r="Y5594" s="28" t="n">
        <v>248</v>
      </c>
      <c r="Z5594" s="28"/>
      <c r="AA5594" s="28" t="n">
        <f aca="false">Z5594*$M5594</f>
        <v>0</v>
      </c>
      <c r="AB5594" s="28"/>
      <c r="AC5594" s="28" t="n">
        <f aca="false">AB5594*$M5594</f>
        <v>0</v>
      </c>
      <c r="AD5594" s="28"/>
      <c r="AE5594" s="28" t="n">
        <f aca="false">AD5594*$M5594</f>
        <v>0</v>
      </c>
      <c r="AF5594" s="28"/>
      <c r="AG5594" s="28" t="n">
        <f aca="false">AF5594*$M5594</f>
        <v>0</v>
      </c>
      <c r="AH5594" s="28"/>
      <c r="AI5594" s="28" t="n">
        <f aca="false">AH5594*$M5594</f>
        <v>0</v>
      </c>
      <c r="AJ5594" s="28"/>
      <c r="AK5594" s="28" t="n">
        <f aca="false">AJ5594*$M5594</f>
        <v>0</v>
      </c>
      <c r="AL5594" s="28"/>
      <c r="AM5594" s="28" t="n">
        <f aca="false">AL5594*$M5594</f>
        <v>0</v>
      </c>
      <c r="AN5594" s="28"/>
      <c r="AO5594" s="28" t="n">
        <f aca="false">AN5594*$M5594</f>
        <v>0</v>
      </c>
      <c r="AP5594" s="28"/>
      <c r="AQ5594" s="28" t="n">
        <f aca="false">AP5594*$M5594</f>
        <v>0</v>
      </c>
      <c r="AR5594" s="28"/>
      <c r="AS5594" s="28" t="n">
        <f aca="false">AR5594*$M5594</f>
        <v>0</v>
      </c>
      <c r="AT5594" s="28"/>
      <c r="AU5594" s="28" t="n">
        <f aca="false">AT5594*$M5594</f>
        <v>0</v>
      </c>
      <c r="AV5594" s="28"/>
      <c r="AW5594" s="28" t="n">
        <f aca="false">AV5594*$M5594</f>
        <v>0</v>
      </c>
      <c r="AX5594" s="28"/>
      <c r="AY5594" s="28" t="n">
        <f aca="false">AX5594*$M5594</f>
        <v>0</v>
      </c>
      <c r="AZ5594" s="30" t="n">
        <f aca="false">2481/100</f>
        <v>24.81</v>
      </c>
      <c r="BA5594" s="11" t="n">
        <v>248</v>
      </c>
      <c r="BB5594" s="31" t="n">
        <f aca="false">SUM(Q5594,S5594,U5594,W5594,Y5594,AA5594,AC5594,AE5594,AG5594,AI5594,AK5594,AM5594,AO5594,AQ5594,AS5594,AU5594,AW5594,AY5594)</f>
        <v>248</v>
      </c>
      <c r="BC5594" s="28" t="n">
        <f aca="false">BA5594-BB5594</f>
        <v>0</v>
      </c>
      <c r="BD5594" s="32" t="n">
        <f aca="false">SUM(P5594,R5594,T5594,V5594,X5594,Z5594,AB5594,AD5594,AF5594,AH5594,AJ5594,AL5594,AN5594,AP5594,AR5594,AT5594,AV5594,AX5594)</f>
        <v>24.81</v>
      </c>
      <c r="BE5594" s="33" t="n">
        <f aca="false">AZ5594-BD5594</f>
        <v>0</v>
      </c>
      <c r="BF5594" s="34" t="n">
        <f aca="false">BD5594*M5594</f>
        <v>248.1</v>
      </c>
      <c r="BG5594" s="35" t="n">
        <f aca="false">BA5594-BF5594</f>
        <v>-0.0999999999999943</v>
      </c>
      <c r="BH5594" s="19" t="str">
        <f aca="false">IF(BG5594=0,"",IF(BG5594&lt;&gt;BA5594,"erreur de calcul",IF(BD5594&lt;&gt;0,"pas de prix",IF(M5594&lt;&gt; 0,"pas de quantité","pas de prix, ni de quantité"))))</f>
        <v>erreur de calcul</v>
      </c>
      <c r="BI5594" s="19"/>
    </row>
    <row r="5595" customFormat="false" ht="15" hidden="false" customHeight="false" outlineLevel="0" collapsed="false">
      <c r="A5595" s="0" t="n">
        <v>40</v>
      </c>
      <c r="B5595" s="8" t="s">
        <v>24</v>
      </c>
      <c r="C5595" s="9" t="s">
        <v>25</v>
      </c>
      <c r="D5595" s="9" t="s">
        <v>26</v>
      </c>
      <c r="E5595" s="10" t="n">
        <v>1789</v>
      </c>
      <c r="F5595" s="9" t="s">
        <v>27</v>
      </c>
      <c r="G5595" s="9" t="s">
        <v>27</v>
      </c>
      <c r="H5595" s="11" t="n">
        <v>26</v>
      </c>
      <c r="I5595" s="11" t="s">
        <v>411</v>
      </c>
      <c r="J5595" s="14" t="n">
        <v>5</v>
      </c>
      <c r="K5595" s="14"/>
      <c r="L5595" s="16"/>
      <c r="M5595" s="27" t="n">
        <f aca="false">J5595+(K5595/20)+(L5595/240)</f>
        <v>5</v>
      </c>
      <c r="N5595" s="17" t="s">
        <v>66</v>
      </c>
      <c r="O5595" s="11" t="s">
        <v>98</v>
      </c>
      <c r="P5595" s="28"/>
      <c r="Q5595" s="28" t="n">
        <f aca="false">P5595*$M5595</f>
        <v>0</v>
      </c>
      <c r="R5595" s="28"/>
      <c r="S5595" s="28" t="n">
        <f aca="false">R5595*$M5595</f>
        <v>0</v>
      </c>
      <c r="T5595" s="28"/>
      <c r="U5595" s="28" t="n">
        <f aca="false">T5595*$M5595</f>
        <v>0</v>
      </c>
      <c r="V5595" s="28"/>
      <c r="W5595" s="28" t="n">
        <f aca="false">V5595*$M5595</f>
        <v>0</v>
      </c>
      <c r="X5595" s="28"/>
      <c r="Y5595" s="28" t="n">
        <f aca="false">X5595*$M5595</f>
        <v>0</v>
      </c>
      <c r="Z5595" s="28"/>
      <c r="AA5595" s="28" t="n">
        <f aca="false">Z5595*$M5595</f>
        <v>0</v>
      </c>
      <c r="AB5595" s="28"/>
      <c r="AC5595" s="28" t="n">
        <f aca="false">AB5595*$M5595</f>
        <v>0</v>
      </c>
      <c r="AD5595" s="28"/>
      <c r="AE5595" s="28" t="n">
        <f aca="false">AD5595*$M5595</f>
        <v>0</v>
      </c>
      <c r="AF5595" s="28" t="n">
        <v>22</v>
      </c>
      <c r="AG5595" s="28" t="n">
        <v>110</v>
      </c>
      <c r="AH5595" s="28" t="n">
        <v>2657</v>
      </c>
      <c r="AI5595" s="28" t="n">
        <v>13285</v>
      </c>
      <c r="AJ5595" s="28"/>
      <c r="AK5595" s="28" t="n">
        <f aca="false">AJ5595*$M5595</f>
        <v>0</v>
      </c>
      <c r="AL5595" s="28"/>
      <c r="AM5595" s="28" t="n">
        <f aca="false">AL5595*$M5595</f>
        <v>0</v>
      </c>
      <c r="AN5595" s="28"/>
      <c r="AO5595" s="28" t="n">
        <f aca="false">AN5595*$M5595</f>
        <v>0</v>
      </c>
      <c r="AP5595" s="28"/>
      <c r="AQ5595" s="28" t="n">
        <f aca="false">AP5595*$M5595</f>
        <v>0</v>
      </c>
      <c r="AR5595" s="28"/>
      <c r="AS5595" s="28" t="n">
        <f aca="false">AR5595*$M5595</f>
        <v>0</v>
      </c>
      <c r="AT5595" s="28"/>
      <c r="AU5595" s="28" t="n">
        <f aca="false">AT5595*$M5595</f>
        <v>0</v>
      </c>
      <c r="AV5595" s="28"/>
      <c r="AW5595" s="28" t="n">
        <f aca="false">AV5595*$M5595</f>
        <v>0</v>
      </c>
      <c r="AX5595" s="28"/>
      <c r="AY5595" s="28" t="n">
        <f aca="false">AX5595*$M5595</f>
        <v>0</v>
      </c>
      <c r="AZ5595" s="30" t="n">
        <v>2679</v>
      </c>
      <c r="BA5595" s="11" t="n">
        <v>13395</v>
      </c>
      <c r="BB5595" s="31" t="n">
        <f aca="false">SUM(Q5595,S5595,U5595,W5595,Y5595,AA5595,AC5595,AE5595,AG5595,AI5595,AK5595,AM5595,AO5595,AQ5595,AS5595,AU5595,AW5595,AY5595)</f>
        <v>13395</v>
      </c>
      <c r="BC5595" s="28" t="n">
        <f aca="false">BA5595-BB5595</f>
        <v>0</v>
      </c>
      <c r="BD5595" s="32" t="n">
        <f aca="false">SUM(P5595,R5595,T5595,V5595,X5595,Z5595,AB5595,AD5595,AF5595,AH5595,AJ5595,AL5595,AN5595,AP5595,AR5595,AT5595,AV5595,AX5595)</f>
        <v>2679</v>
      </c>
      <c r="BE5595" s="33" t="n">
        <f aca="false">AZ5595-BD5595</f>
        <v>0</v>
      </c>
      <c r="BF5595" s="34" t="n">
        <f aca="false">BD5595*M5595</f>
        <v>13395</v>
      </c>
      <c r="BG5595" s="35" t="n">
        <f aca="false">BA5595-BF5595</f>
        <v>0</v>
      </c>
      <c r="BH5595" s="19" t="str">
        <f aca="false">IF(BG5595=0,"",IF(BG5595&lt;&gt;BA5595,"erreur de calcul",IF(BD5595&lt;&gt;0,"pas de prix",IF(M5595&lt;&gt; 0,"pas de quantité","pas de prix, ni de quantité"))))</f>
        <v/>
      </c>
      <c r="BI5595" s="19"/>
    </row>
    <row r="5596" customFormat="false" ht="15" hidden="false" customHeight="false" outlineLevel="0" collapsed="false">
      <c r="A5596" s="0" t="n">
        <v>1</v>
      </c>
      <c r="B5596" s="8" t="s">
        <v>24</v>
      </c>
      <c r="C5596" s="9" t="s">
        <v>25</v>
      </c>
      <c r="D5596" s="9" t="s">
        <v>26</v>
      </c>
      <c r="E5596" s="10" t="n">
        <v>1789</v>
      </c>
      <c r="F5596" s="9" t="s">
        <v>27</v>
      </c>
      <c r="G5596" s="9" t="s">
        <v>27</v>
      </c>
      <c r="H5596" s="11" t="n">
        <v>27</v>
      </c>
      <c r="I5596" s="11" t="s">
        <v>412</v>
      </c>
      <c r="J5596" s="14" t="n">
        <v>7</v>
      </c>
      <c r="K5596" s="14" t="n">
        <v>10</v>
      </c>
      <c r="L5596" s="16"/>
      <c r="M5596" s="27" t="n">
        <f aca="false">J5596+(K5596/20)+(L5596/240)</f>
        <v>7.5</v>
      </c>
      <c r="N5596" s="17" t="s">
        <v>64</v>
      </c>
      <c r="O5596" s="11"/>
      <c r="P5596" s="28" t="n">
        <f aca="false">16667/100</f>
        <v>166.67</v>
      </c>
      <c r="Q5596" s="28" t="n">
        <v>1250</v>
      </c>
      <c r="R5596" s="28"/>
      <c r="S5596" s="28" t="n">
        <f aca="false">R5596*$M5596</f>
        <v>0</v>
      </c>
      <c r="T5596" s="28"/>
      <c r="U5596" s="28" t="n">
        <f aca="false">T5596*$M5596</f>
        <v>0</v>
      </c>
      <c r="V5596" s="28" t="n">
        <f aca="false">407887/100</f>
        <v>4078.87</v>
      </c>
      <c r="W5596" s="28" t="n">
        <v>30591</v>
      </c>
      <c r="X5596" s="28" t="n">
        <f aca="false">4444/100</f>
        <v>44.44</v>
      </c>
      <c r="Y5596" s="28" t="n">
        <v>333</v>
      </c>
      <c r="Z5596" s="28" t="n">
        <f aca="false">16084/100</f>
        <v>160.84</v>
      </c>
      <c r="AA5596" s="28" t="n">
        <v>1206</v>
      </c>
      <c r="AB5596" s="28" t="n">
        <f aca="false">20834/100</f>
        <v>208.34</v>
      </c>
      <c r="AC5596" s="28" t="n">
        <v>1562</v>
      </c>
      <c r="AD5596" s="28"/>
      <c r="AE5596" s="28" t="n">
        <f aca="false">AD5596*$M5596</f>
        <v>0</v>
      </c>
      <c r="AF5596" s="28"/>
      <c r="AG5596" s="28" t="n">
        <f aca="false">AF5596*$M5596</f>
        <v>0</v>
      </c>
      <c r="AH5596" s="28"/>
      <c r="AI5596" s="28" t="n">
        <f aca="false">AH5596*$M5596</f>
        <v>0</v>
      </c>
      <c r="AJ5596" s="28"/>
      <c r="AK5596" s="28" t="n">
        <f aca="false">AJ5596*$M5596</f>
        <v>0</v>
      </c>
      <c r="AL5596" s="28"/>
      <c r="AM5596" s="28" t="n">
        <f aca="false">AL5596*$M5596</f>
        <v>0</v>
      </c>
      <c r="AN5596" s="28"/>
      <c r="AO5596" s="28" t="n">
        <f aca="false">AN5596*$M5596</f>
        <v>0</v>
      </c>
      <c r="AP5596" s="28"/>
      <c r="AQ5596" s="28" t="n">
        <f aca="false">AP5596*$M5596</f>
        <v>0</v>
      </c>
      <c r="AR5596" s="28"/>
      <c r="AS5596" s="28" t="n">
        <f aca="false">AR5596*$M5596</f>
        <v>0</v>
      </c>
      <c r="AT5596" s="28"/>
      <c r="AU5596" s="28" t="n">
        <f aca="false">AT5596*$M5596</f>
        <v>0</v>
      </c>
      <c r="AV5596" s="28"/>
      <c r="AW5596" s="28" t="n">
        <f aca="false">AV5596*$M5596</f>
        <v>0</v>
      </c>
      <c r="AX5596" s="28"/>
      <c r="AY5596" s="28" t="n">
        <f aca="false">AX5596*$M5596</f>
        <v>0</v>
      </c>
      <c r="AZ5596" s="30" t="n">
        <f aca="false">465916/100</f>
        <v>4659.16</v>
      </c>
      <c r="BA5596" s="11" t="n">
        <v>34942</v>
      </c>
      <c r="BB5596" s="31" t="n">
        <f aca="false">SUM(Q5596,S5596,U5596,W5596,Y5596,AA5596,AC5596,AE5596,AG5596,AI5596,AK5596,AM5596,AO5596,AQ5596,AS5596,AU5596,AW5596,AY5596)</f>
        <v>34942</v>
      </c>
      <c r="BC5596" s="28" t="n">
        <f aca="false">BA5596-BB5596</f>
        <v>0</v>
      </c>
      <c r="BD5596" s="32" t="n">
        <f aca="false">SUM(P5596,R5596,T5596,V5596,X5596,Z5596,AB5596,AD5596,AF5596,AH5596,AJ5596,AL5596,AN5596,AP5596,AR5596,AT5596,AV5596,AX5596)</f>
        <v>4659.16</v>
      </c>
      <c r="BE5596" s="33" t="n">
        <f aca="false">AZ5596-BD5596</f>
        <v>0</v>
      </c>
      <c r="BF5596" s="34" t="n">
        <f aca="false">BD5596*M5596</f>
        <v>34943.7</v>
      </c>
      <c r="BG5596" s="35" t="n">
        <f aca="false">BA5596-BF5596</f>
        <v>-1.69999999999709</v>
      </c>
      <c r="BH5596" s="19" t="str">
        <f aca="false">IF(BG5596=0,"",IF(BG5596&lt;&gt;BA5596,"erreur de calcul",IF(BD5596&lt;&gt;0,"pas de prix",IF(M5596&lt;&gt; 0,"pas de quantité","pas de prix, ni de quantité"))))</f>
        <v>erreur de calcul</v>
      </c>
      <c r="BI5596" s="19"/>
    </row>
    <row r="5597" customFormat="false" ht="15" hidden="false" customHeight="false" outlineLevel="0" collapsed="false">
      <c r="A5597" s="0" t="n">
        <v>2</v>
      </c>
      <c r="B5597" s="8" t="s">
        <v>24</v>
      </c>
      <c r="C5597" s="9" t="s">
        <v>25</v>
      </c>
      <c r="D5597" s="9" t="s">
        <v>26</v>
      </c>
      <c r="E5597" s="10" t="n">
        <v>1789</v>
      </c>
      <c r="F5597" s="9" t="s">
        <v>27</v>
      </c>
      <c r="G5597" s="9" t="s">
        <v>27</v>
      </c>
      <c r="H5597" s="11" t="n">
        <v>27</v>
      </c>
      <c r="I5597" s="11" t="s">
        <v>413</v>
      </c>
      <c r="J5597" s="14" t="n">
        <v>3</v>
      </c>
      <c r="K5597" s="14"/>
      <c r="L5597" s="16"/>
      <c r="M5597" s="27" t="n">
        <f aca="false">J5597+(K5597/20)+(L5597/240)</f>
        <v>3</v>
      </c>
      <c r="N5597" s="17" t="s">
        <v>66</v>
      </c>
      <c r="O5597" s="11"/>
      <c r="P5597" s="28"/>
      <c r="Q5597" s="28" t="n">
        <f aca="false">P5597*$M5597</f>
        <v>0</v>
      </c>
      <c r="R5597" s="28"/>
      <c r="S5597" s="28" t="n">
        <f aca="false">R5597*$M5597</f>
        <v>0</v>
      </c>
      <c r="T5597" s="28"/>
      <c r="U5597" s="28" t="n">
        <f aca="false">T5597*$M5597</f>
        <v>0</v>
      </c>
      <c r="V5597" s="28"/>
      <c r="W5597" s="28" t="n">
        <f aca="false">V5597*$M5597</f>
        <v>0</v>
      </c>
      <c r="X5597" s="28"/>
      <c r="Y5597" s="28" t="n">
        <f aca="false">X5597*$M5597</f>
        <v>0</v>
      </c>
      <c r="Z5597" s="28"/>
      <c r="AA5597" s="28" t="n">
        <f aca="false">Z5597*$M5597</f>
        <v>0</v>
      </c>
      <c r="AB5597" s="28"/>
      <c r="AC5597" s="28" t="n">
        <f aca="false">AB5597*$M5597</f>
        <v>0</v>
      </c>
      <c r="AD5597" s="28"/>
      <c r="AE5597" s="28" t="n">
        <f aca="false">AD5597*$M5597</f>
        <v>0</v>
      </c>
      <c r="AF5597" s="28"/>
      <c r="AG5597" s="28" t="n">
        <f aca="false">AF5597*$M5597</f>
        <v>0</v>
      </c>
      <c r="AH5597" s="28" t="n">
        <v>58272</v>
      </c>
      <c r="AI5597" s="28" t="n">
        <v>174816</v>
      </c>
      <c r="AJ5597" s="28"/>
      <c r="AK5597" s="28" t="n">
        <f aca="false">AJ5597*$M5597</f>
        <v>0</v>
      </c>
      <c r="AL5597" s="28"/>
      <c r="AM5597" s="28" t="n">
        <f aca="false">AL5597*$M5597</f>
        <v>0</v>
      </c>
      <c r="AN5597" s="28"/>
      <c r="AO5597" s="28" t="n">
        <f aca="false">AN5597*$M5597</f>
        <v>0</v>
      </c>
      <c r="AP5597" s="28"/>
      <c r="AQ5597" s="28" t="n">
        <f aca="false">AP5597*$M5597</f>
        <v>0</v>
      </c>
      <c r="AR5597" s="28"/>
      <c r="AS5597" s="28" t="n">
        <f aca="false">AR5597*$M5597</f>
        <v>0</v>
      </c>
      <c r="AT5597" s="28"/>
      <c r="AU5597" s="28" t="n">
        <f aca="false">AT5597*$M5597</f>
        <v>0</v>
      </c>
      <c r="AV5597" s="28"/>
      <c r="AW5597" s="28" t="n">
        <f aca="false">AV5597*$M5597</f>
        <v>0</v>
      </c>
      <c r="AX5597" s="28"/>
      <c r="AY5597" s="28" t="n">
        <f aca="false">AX5597*$M5597</f>
        <v>0</v>
      </c>
      <c r="AZ5597" s="30" t="n">
        <f aca="false">58272</f>
        <v>58272</v>
      </c>
      <c r="BA5597" s="11" t="n">
        <v>174816</v>
      </c>
      <c r="BB5597" s="31" t="n">
        <f aca="false">SUM(Q5597,S5597,U5597,W5597,Y5597,AA5597,AC5597,AE5597,AG5597,AI5597,AK5597,AM5597,AO5597,AQ5597,AS5597,AU5597,AW5597,AY5597)</f>
        <v>174816</v>
      </c>
      <c r="BC5597" s="28" t="n">
        <f aca="false">BA5597-BB5597</f>
        <v>0</v>
      </c>
      <c r="BD5597" s="32" t="n">
        <f aca="false">SUM(P5597,R5597,T5597,V5597,X5597,Z5597,AB5597,AD5597,AF5597,AH5597,AJ5597,AL5597,AN5597,AP5597,AR5597,AT5597,AV5597,AX5597)</f>
        <v>58272</v>
      </c>
      <c r="BE5597" s="33" t="n">
        <f aca="false">AZ5597-BD5597</f>
        <v>0</v>
      </c>
      <c r="BF5597" s="34" t="n">
        <f aca="false">BD5597*M5597</f>
        <v>174816</v>
      </c>
      <c r="BG5597" s="35" t="n">
        <f aca="false">BA5597-BF5597</f>
        <v>0</v>
      </c>
      <c r="BH5597" s="19" t="str">
        <f aca="false">IF(BG5597=0,"",IF(BG5597&lt;&gt;BA5597,"erreur de calcul",IF(BD5597&lt;&gt;0,"pas de prix",IF(M5597&lt;&gt; 0,"pas de quantité","pas de prix, ni de quantité"))))</f>
        <v/>
      </c>
      <c r="BI5597" s="19"/>
    </row>
    <row r="5598" customFormat="false" ht="15" hidden="false" customHeight="false" outlineLevel="0" collapsed="false">
      <c r="A5598" s="0" t="n">
        <v>3</v>
      </c>
      <c r="B5598" s="8" t="s">
        <v>24</v>
      </c>
      <c r="C5598" s="9" t="s">
        <v>25</v>
      </c>
      <c r="D5598" s="9" t="s">
        <v>26</v>
      </c>
      <c r="E5598" s="10" t="n">
        <v>1789</v>
      </c>
      <c r="F5598" s="9" t="s">
        <v>27</v>
      </c>
      <c r="G5598" s="9" t="s">
        <v>27</v>
      </c>
      <c r="H5598" s="11" t="n">
        <v>27</v>
      </c>
      <c r="I5598" s="11" t="s">
        <v>414</v>
      </c>
      <c r="J5598" s="14" t="n">
        <v>3</v>
      </c>
      <c r="K5598" s="14"/>
      <c r="L5598" s="16"/>
      <c r="M5598" s="27" t="n">
        <f aca="false">J5598+(K5598/20)+(L5598/240)</f>
        <v>3</v>
      </c>
      <c r="N5598" s="17" t="s">
        <v>66</v>
      </c>
      <c r="O5598" s="11" t="s">
        <v>98</v>
      </c>
      <c r="P5598" s="28"/>
      <c r="Q5598" s="28" t="n">
        <f aca="false">P5598*$M5598</f>
        <v>0</v>
      </c>
      <c r="R5598" s="28"/>
      <c r="S5598" s="28" t="n">
        <f aca="false">R5598*$M5598</f>
        <v>0</v>
      </c>
      <c r="T5598" s="28"/>
      <c r="U5598" s="28" t="n">
        <f aca="false">T5598*$M5598</f>
        <v>0</v>
      </c>
      <c r="V5598" s="28"/>
      <c r="W5598" s="28" t="n">
        <f aca="false">V5598*$M5598</f>
        <v>0</v>
      </c>
      <c r="X5598" s="28"/>
      <c r="Y5598" s="28" t="n">
        <f aca="false">X5598*$M5598</f>
        <v>0</v>
      </c>
      <c r="Z5598" s="28"/>
      <c r="AA5598" s="28" t="n">
        <f aca="false">Z5598*$M5598</f>
        <v>0</v>
      </c>
      <c r="AB5598" s="28"/>
      <c r="AC5598" s="28" t="n">
        <f aca="false">AB5598*$M5598</f>
        <v>0</v>
      </c>
      <c r="AD5598" s="28"/>
      <c r="AE5598" s="28" t="n">
        <f aca="false">AD5598*$M5598</f>
        <v>0</v>
      </c>
      <c r="AF5598" s="28"/>
      <c r="AG5598" s="28" t="n">
        <f aca="false">AF5598*$M5598</f>
        <v>0</v>
      </c>
      <c r="AH5598" s="28" t="n">
        <v>110560</v>
      </c>
      <c r="AI5598" s="28" t="n">
        <v>331680</v>
      </c>
      <c r="AJ5598" s="28"/>
      <c r="AK5598" s="28" t="n">
        <f aca="false">AJ5598*$M5598</f>
        <v>0</v>
      </c>
      <c r="AL5598" s="28"/>
      <c r="AM5598" s="28" t="n">
        <f aca="false">AL5598*$M5598</f>
        <v>0</v>
      </c>
      <c r="AN5598" s="28"/>
      <c r="AO5598" s="28" t="n">
        <f aca="false">AN5598*$M5598</f>
        <v>0</v>
      </c>
      <c r="AP5598" s="28"/>
      <c r="AQ5598" s="28" t="n">
        <f aca="false">AP5598*$M5598</f>
        <v>0</v>
      </c>
      <c r="AR5598" s="28"/>
      <c r="AS5598" s="28" t="n">
        <f aca="false">AR5598*$M5598</f>
        <v>0</v>
      </c>
      <c r="AT5598" s="28"/>
      <c r="AU5598" s="28" t="n">
        <f aca="false">AT5598*$M5598</f>
        <v>0</v>
      </c>
      <c r="AV5598" s="28"/>
      <c r="AW5598" s="28" t="n">
        <f aca="false">AV5598*$M5598</f>
        <v>0</v>
      </c>
      <c r="AX5598" s="28"/>
      <c r="AY5598" s="28" t="n">
        <f aca="false">AX5598*$M5598</f>
        <v>0</v>
      </c>
      <c r="AZ5598" s="30" t="n">
        <v>110560</v>
      </c>
      <c r="BA5598" s="11" t="n">
        <v>331680</v>
      </c>
      <c r="BB5598" s="31" t="n">
        <f aca="false">SUM(Q5598,S5598,U5598,W5598,Y5598,AA5598,AC5598,AE5598,AG5598,AI5598,AK5598,AM5598,AO5598,AQ5598,AS5598,AU5598,AW5598,AY5598)</f>
        <v>331680</v>
      </c>
      <c r="BC5598" s="28" t="n">
        <f aca="false">BA5598-BB5598</f>
        <v>0</v>
      </c>
      <c r="BD5598" s="32" t="n">
        <f aca="false">SUM(P5598,R5598,T5598,V5598,X5598,Z5598,AB5598,AD5598,AF5598,AH5598,AJ5598,AL5598,AN5598,AP5598,AR5598,AT5598,AV5598,AX5598)</f>
        <v>110560</v>
      </c>
      <c r="BE5598" s="33" t="n">
        <f aca="false">AZ5598-BD5598</f>
        <v>0</v>
      </c>
      <c r="BF5598" s="34" t="n">
        <f aca="false">BD5598*M5598</f>
        <v>331680</v>
      </c>
      <c r="BG5598" s="35" t="n">
        <f aca="false">BA5598-BF5598</f>
        <v>0</v>
      </c>
      <c r="BH5598" s="19" t="str">
        <f aca="false">IF(BG5598=0,"",IF(BG5598&lt;&gt;BA5598,"erreur de calcul",IF(BD5598&lt;&gt;0,"pas de prix",IF(M5598&lt;&gt; 0,"pas de quantité","pas de prix, ni de quantité"))))</f>
        <v/>
      </c>
      <c r="BI5598" s="19"/>
    </row>
    <row r="5599" customFormat="false" ht="15" hidden="false" customHeight="false" outlineLevel="0" collapsed="false">
      <c r="A5599" s="0" t="n">
        <v>4</v>
      </c>
      <c r="B5599" s="8" t="s">
        <v>24</v>
      </c>
      <c r="C5599" s="9" t="s">
        <v>25</v>
      </c>
      <c r="D5599" s="9" t="s">
        <v>26</v>
      </c>
      <c r="E5599" s="10" t="n">
        <v>1789</v>
      </c>
      <c r="F5599" s="9" t="s">
        <v>27</v>
      </c>
      <c r="G5599" s="9" t="s">
        <v>27</v>
      </c>
      <c r="H5599" s="11" t="n">
        <v>27</v>
      </c>
      <c r="I5599" s="11" t="s">
        <v>415</v>
      </c>
      <c r="J5599" s="14" t="n">
        <v>3</v>
      </c>
      <c r="K5599" s="14" t="n">
        <v>10</v>
      </c>
      <c r="L5599" s="16"/>
      <c r="M5599" s="27" t="n">
        <f aca="false">J5599+(K5599/20)+(L5599/240)</f>
        <v>3.5</v>
      </c>
      <c r="N5599" s="17" t="s">
        <v>66</v>
      </c>
      <c r="O5599" s="11" t="s">
        <v>98</v>
      </c>
      <c r="P5599" s="28"/>
      <c r="Q5599" s="28" t="n">
        <f aca="false">P5599*$M5599</f>
        <v>0</v>
      </c>
      <c r="R5599" s="28"/>
      <c r="S5599" s="28" t="n">
        <f aca="false">R5599*$M5599</f>
        <v>0</v>
      </c>
      <c r="T5599" s="28"/>
      <c r="U5599" s="28" t="n">
        <f aca="false">T5599*$M5599</f>
        <v>0</v>
      </c>
      <c r="V5599" s="28"/>
      <c r="W5599" s="28" t="n">
        <f aca="false">V5599*$M5599</f>
        <v>0</v>
      </c>
      <c r="X5599" s="28" t="n">
        <v>218</v>
      </c>
      <c r="Y5599" s="28" t="n">
        <v>763</v>
      </c>
      <c r="Z5599" s="28"/>
      <c r="AA5599" s="28" t="n">
        <f aca="false">Z5599*$M5599</f>
        <v>0</v>
      </c>
      <c r="AB5599" s="28"/>
      <c r="AC5599" s="28" t="n">
        <f aca="false">AB5599*$M5599</f>
        <v>0</v>
      </c>
      <c r="AD5599" s="28"/>
      <c r="AE5599" s="28" t="n">
        <f aca="false">AD5599*$M5599</f>
        <v>0</v>
      </c>
      <c r="AF5599" s="28"/>
      <c r="AG5599" s="28" t="n">
        <f aca="false">AF5599*$M5599</f>
        <v>0</v>
      </c>
      <c r="AH5599" s="28" t="n">
        <v>25905</v>
      </c>
      <c r="AI5599" s="28" t="n">
        <v>90667</v>
      </c>
      <c r="AJ5599" s="28"/>
      <c r="AK5599" s="28" t="n">
        <f aca="false">AJ5599*$M5599</f>
        <v>0</v>
      </c>
      <c r="AL5599" s="28"/>
      <c r="AM5599" s="28" t="n">
        <f aca="false">AL5599*$M5599</f>
        <v>0</v>
      </c>
      <c r="AN5599" s="28"/>
      <c r="AO5599" s="28" t="n">
        <f aca="false">AN5599*$M5599</f>
        <v>0</v>
      </c>
      <c r="AP5599" s="28"/>
      <c r="AQ5599" s="28" t="n">
        <f aca="false">AP5599*$M5599</f>
        <v>0</v>
      </c>
      <c r="AR5599" s="28"/>
      <c r="AS5599" s="28" t="n">
        <f aca="false">AR5599*$M5599</f>
        <v>0</v>
      </c>
      <c r="AT5599" s="28"/>
      <c r="AU5599" s="28" t="n">
        <f aca="false">AT5599*$M5599</f>
        <v>0</v>
      </c>
      <c r="AV5599" s="28"/>
      <c r="AW5599" s="28" t="n">
        <f aca="false">AV5599*$M5599</f>
        <v>0</v>
      </c>
      <c r="AX5599" s="28"/>
      <c r="AY5599" s="28" t="n">
        <f aca="false">AX5599*$M5599</f>
        <v>0</v>
      </c>
      <c r="AZ5599" s="30" t="n">
        <v>26123</v>
      </c>
      <c r="BA5599" s="11" t="n">
        <v>91430</v>
      </c>
      <c r="BB5599" s="31" t="n">
        <f aca="false">SUM(Q5599,S5599,U5599,W5599,Y5599,AA5599,AC5599,AE5599,AG5599,AI5599,AK5599,AM5599,AO5599,AQ5599,AS5599,AU5599,AW5599,AY5599)</f>
        <v>91430</v>
      </c>
      <c r="BC5599" s="28" t="n">
        <f aca="false">BA5599-BB5599</f>
        <v>0</v>
      </c>
      <c r="BD5599" s="32" t="n">
        <f aca="false">SUM(P5599,R5599,T5599,V5599,X5599,Z5599,AB5599,AD5599,AF5599,AH5599,AJ5599,AL5599,AN5599,AP5599,AR5599,AT5599,AV5599,AX5599)</f>
        <v>26123</v>
      </c>
      <c r="BE5599" s="33" t="n">
        <f aca="false">AZ5599-BD5599</f>
        <v>0</v>
      </c>
      <c r="BF5599" s="34" t="n">
        <f aca="false">BD5599*M5599</f>
        <v>91430.5</v>
      </c>
      <c r="BG5599" s="35" t="n">
        <f aca="false">BA5599-BF5599</f>
        <v>-0.5</v>
      </c>
      <c r="BH5599" s="19" t="str">
        <f aca="false">IF(BG5599=0,"",IF(BG5599&lt;&gt;BA5599,"erreur de calcul",IF(BD5599&lt;&gt;0,"pas de prix",IF(M5599&lt;&gt; 0,"pas de quantité","pas de prix, ni de quantité"))))</f>
        <v>erreur de calcul</v>
      </c>
      <c r="BI5599" s="19"/>
    </row>
    <row r="5600" customFormat="false" ht="15" hidden="false" customHeight="false" outlineLevel="0" collapsed="false">
      <c r="A5600" s="0" t="n">
        <v>5</v>
      </c>
      <c r="B5600" s="8" t="s">
        <v>24</v>
      </c>
      <c r="C5600" s="9" t="s">
        <v>25</v>
      </c>
      <c r="D5600" s="9" t="s">
        <v>26</v>
      </c>
      <c r="E5600" s="10" t="n">
        <v>1789</v>
      </c>
      <c r="F5600" s="9" t="s">
        <v>27</v>
      </c>
      <c r="G5600" s="9" t="s">
        <v>27</v>
      </c>
      <c r="H5600" s="11" t="n">
        <v>27</v>
      </c>
      <c r="I5600" s="11" t="s">
        <v>416</v>
      </c>
      <c r="J5600" s="14"/>
      <c r="K5600" s="14" t="n">
        <v>30</v>
      </c>
      <c r="L5600" s="16"/>
      <c r="M5600" s="27" t="n">
        <f aca="false">J5600+(K5600/20)+(L5600/240)</f>
        <v>1.5</v>
      </c>
      <c r="N5600" s="17" t="s">
        <v>66</v>
      </c>
      <c r="O5600" s="11"/>
      <c r="P5600" s="28"/>
      <c r="Q5600" s="28" t="n">
        <f aca="false">P5600*$M5600</f>
        <v>0</v>
      </c>
      <c r="R5600" s="28"/>
      <c r="S5600" s="28" t="n">
        <f aca="false">R5600*$M5600</f>
        <v>0</v>
      </c>
      <c r="T5600" s="28"/>
      <c r="U5600" s="28" t="n">
        <f aca="false">T5600*$M5600</f>
        <v>0</v>
      </c>
      <c r="V5600" s="28"/>
      <c r="W5600" s="28" t="n">
        <f aca="false">V5600*$M5600</f>
        <v>0</v>
      </c>
      <c r="X5600" s="28"/>
      <c r="Y5600" s="28" t="n">
        <f aca="false">X5600*$M5600</f>
        <v>0</v>
      </c>
      <c r="Z5600" s="28"/>
      <c r="AA5600" s="28" t="n">
        <f aca="false">Z5600*$M5600</f>
        <v>0</v>
      </c>
      <c r="AB5600" s="28"/>
      <c r="AC5600" s="28" t="n">
        <f aca="false">AB5600*$M5600</f>
        <v>0</v>
      </c>
      <c r="AD5600" s="28"/>
      <c r="AE5600" s="28" t="n">
        <f aca="false">AD5600*$M5600</f>
        <v>0</v>
      </c>
      <c r="AF5600" s="28"/>
      <c r="AG5600" s="28" t="n">
        <f aca="false">AF5600*$M5600</f>
        <v>0</v>
      </c>
      <c r="AH5600" s="28" t="n">
        <v>75870</v>
      </c>
      <c r="AI5600" s="28" t="n">
        <v>113805</v>
      </c>
      <c r="AJ5600" s="28"/>
      <c r="AK5600" s="28" t="n">
        <f aca="false">AJ5600*$M5600</f>
        <v>0</v>
      </c>
      <c r="AL5600" s="28"/>
      <c r="AM5600" s="28" t="n">
        <f aca="false">AL5600*$M5600</f>
        <v>0</v>
      </c>
      <c r="AN5600" s="28"/>
      <c r="AO5600" s="28" t="n">
        <f aca="false">AN5600*$M5600</f>
        <v>0</v>
      </c>
      <c r="AP5600" s="28"/>
      <c r="AQ5600" s="28" t="n">
        <f aca="false">AP5600*$M5600</f>
        <v>0</v>
      </c>
      <c r="AR5600" s="28"/>
      <c r="AS5600" s="28" t="n">
        <f aca="false">AR5600*$M5600</f>
        <v>0</v>
      </c>
      <c r="AT5600" s="28"/>
      <c r="AU5600" s="28" t="n">
        <f aca="false">AT5600*$M5600</f>
        <v>0</v>
      </c>
      <c r="AV5600" s="28"/>
      <c r="AW5600" s="28" t="n">
        <f aca="false">AV5600*$M5600</f>
        <v>0</v>
      </c>
      <c r="AX5600" s="28"/>
      <c r="AY5600" s="28" t="n">
        <f aca="false">AX5600*$M5600</f>
        <v>0</v>
      </c>
      <c r="AZ5600" s="30" t="n">
        <v>75870</v>
      </c>
      <c r="BA5600" s="11" t="n">
        <v>113805</v>
      </c>
      <c r="BB5600" s="31" t="n">
        <f aca="false">SUM(Q5600,S5600,U5600,W5600,Y5600,AA5600,AC5600,AE5600,AG5600,AI5600,AK5600,AM5600,AO5600,AQ5600,AS5600,AU5600,AW5600,AY5600)</f>
        <v>113805</v>
      </c>
      <c r="BC5600" s="28" t="n">
        <f aca="false">BA5600-BB5600</f>
        <v>0</v>
      </c>
      <c r="BD5600" s="32" t="n">
        <f aca="false">SUM(P5600,R5600,T5600,V5600,X5600,Z5600,AB5600,AD5600,AF5600,AH5600,AJ5600,AL5600,AN5600,AP5600,AR5600,AT5600,AV5600,AX5600)</f>
        <v>75870</v>
      </c>
      <c r="BE5600" s="33" t="n">
        <f aca="false">AZ5600-BD5600</f>
        <v>0</v>
      </c>
      <c r="BF5600" s="34" t="n">
        <f aca="false">BD5600*M5600</f>
        <v>113805</v>
      </c>
      <c r="BG5600" s="35" t="n">
        <f aca="false">BA5600-BF5600</f>
        <v>0</v>
      </c>
      <c r="BH5600" s="19" t="str">
        <f aca="false">IF(BG5600=0,"",IF(BG5600&lt;&gt;BA5600,"erreur de calcul",IF(BD5600&lt;&gt;0,"pas de prix",IF(M5600&lt;&gt; 0,"pas de quantité","pas de prix, ni de quantité"))))</f>
        <v/>
      </c>
      <c r="BI5600" s="19"/>
    </row>
    <row r="5601" customFormat="false" ht="15" hidden="false" customHeight="false" outlineLevel="0" collapsed="false">
      <c r="A5601" s="0" t="n">
        <v>6</v>
      </c>
      <c r="B5601" s="8" t="s">
        <v>24</v>
      </c>
      <c r="C5601" s="9" t="s">
        <v>25</v>
      </c>
      <c r="D5601" s="9" t="s">
        <v>26</v>
      </c>
      <c r="E5601" s="10" t="n">
        <v>1789</v>
      </c>
      <c r="F5601" s="9" t="s">
        <v>27</v>
      </c>
      <c r="G5601" s="9" t="s">
        <v>27</v>
      </c>
      <c r="H5601" s="11" t="n">
        <v>27</v>
      </c>
      <c r="I5601" s="11" t="s">
        <v>417</v>
      </c>
      <c r="J5601" s="14" t="n">
        <v>3</v>
      </c>
      <c r="K5601" s="14"/>
      <c r="L5601" s="16"/>
      <c r="M5601" s="27" t="n">
        <f aca="false">J5601+(K5601/20)+(L5601/240)</f>
        <v>3</v>
      </c>
      <c r="N5601" s="17" t="s">
        <v>66</v>
      </c>
      <c r="O5601" s="11"/>
      <c r="P5601" s="28"/>
      <c r="Q5601" s="28" t="n">
        <f aca="false">P5601*$M5601</f>
        <v>0</v>
      </c>
      <c r="R5601" s="28"/>
      <c r="S5601" s="28" t="n">
        <f aca="false">R5601*$M5601</f>
        <v>0</v>
      </c>
      <c r="T5601" s="28"/>
      <c r="U5601" s="28" t="n">
        <f aca="false">T5601*$M5601</f>
        <v>0</v>
      </c>
      <c r="V5601" s="28"/>
      <c r="W5601" s="28" t="n">
        <f aca="false">V5601*$M5601</f>
        <v>0</v>
      </c>
      <c r="X5601" s="28"/>
      <c r="Y5601" s="28" t="n">
        <f aca="false">X5601*$M5601</f>
        <v>0</v>
      </c>
      <c r="Z5601" s="28"/>
      <c r="AA5601" s="28" t="n">
        <f aca="false">Z5601*$M5601</f>
        <v>0</v>
      </c>
      <c r="AB5601" s="28"/>
      <c r="AC5601" s="28" t="n">
        <f aca="false">AB5601*$M5601</f>
        <v>0</v>
      </c>
      <c r="AD5601" s="28"/>
      <c r="AE5601" s="28" t="n">
        <f aca="false">AD5601*$M5601</f>
        <v>0</v>
      </c>
      <c r="AF5601" s="28"/>
      <c r="AG5601" s="28" t="n">
        <f aca="false">AF5601*$M5601</f>
        <v>0</v>
      </c>
      <c r="AH5601" s="28" t="n">
        <v>121588</v>
      </c>
      <c r="AI5601" s="28" t="n">
        <v>364764</v>
      </c>
      <c r="AJ5601" s="28"/>
      <c r="AK5601" s="28" t="n">
        <f aca="false">AJ5601*$M5601</f>
        <v>0</v>
      </c>
      <c r="AL5601" s="28"/>
      <c r="AM5601" s="28" t="n">
        <f aca="false">AL5601*$M5601</f>
        <v>0</v>
      </c>
      <c r="AN5601" s="28"/>
      <c r="AO5601" s="28" t="n">
        <f aca="false">AN5601*$M5601</f>
        <v>0</v>
      </c>
      <c r="AP5601" s="28"/>
      <c r="AQ5601" s="28" t="n">
        <f aca="false">AP5601*$M5601</f>
        <v>0</v>
      </c>
      <c r="AR5601" s="28"/>
      <c r="AS5601" s="28" t="n">
        <f aca="false">AR5601*$M5601</f>
        <v>0</v>
      </c>
      <c r="AT5601" s="28"/>
      <c r="AU5601" s="28" t="n">
        <f aca="false">AT5601*$M5601</f>
        <v>0</v>
      </c>
      <c r="AV5601" s="28"/>
      <c r="AW5601" s="28" t="n">
        <f aca="false">AV5601*$M5601</f>
        <v>0</v>
      </c>
      <c r="AX5601" s="28"/>
      <c r="AY5601" s="28" t="n">
        <f aca="false">AX5601*$M5601</f>
        <v>0</v>
      </c>
      <c r="AZ5601" s="30" t="n">
        <v>121588</v>
      </c>
      <c r="BA5601" s="11" t="n">
        <v>364764</v>
      </c>
      <c r="BB5601" s="31" t="n">
        <f aca="false">SUM(Q5601,S5601,U5601,W5601,Y5601,AA5601,AC5601,AE5601,AG5601,AI5601,AK5601,AM5601,AO5601,AQ5601,AS5601,AU5601,AW5601,AY5601)</f>
        <v>364764</v>
      </c>
      <c r="BC5601" s="28" t="n">
        <f aca="false">BA5601-BB5601</f>
        <v>0</v>
      </c>
      <c r="BD5601" s="32" t="n">
        <f aca="false">SUM(P5601,R5601,T5601,V5601,X5601,Z5601,AB5601,AD5601,AF5601,AH5601,AJ5601,AL5601,AN5601,AP5601,AR5601,AT5601,AV5601,AX5601)</f>
        <v>121588</v>
      </c>
      <c r="BE5601" s="33" t="n">
        <f aca="false">AZ5601-BD5601</f>
        <v>0</v>
      </c>
      <c r="BF5601" s="34" t="n">
        <f aca="false">BD5601*M5601</f>
        <v>364764</v>
      </c>
      <c r="BG5601" s="35" t="n">
        <f aca="false">BA5601-BF5601</f>
        <v>0</v>
      </c>
      <c r="BH5601" s="19" t="str">
        <f aca="false">IF(BG5601=0,"",IF(BG5601&lt;&gt;BA5601,"erreur de calcul",IF(BD5601&lt;&gt;0,"pas de prix",IF(M5601&lt;&gt; 0,"pas de quantité","pas de prix, ni de quantité"))))</f>
        <v/>
      </c>
      <c r="BI5601" s="19"/>
    </row>
    <row r="5602" customFormat="false" ht="15" hidden="false" customHeight="false" outlineLevel="0" collapsed="false">
      <c r="A5602" s="0" t="n">
        <v>7</v>
      </c>
      <c r="B5602" s="8" t="s">
        <v>24</v>
      </c>
      <c r="C5602" s="9" t="s">
        <v>25</v>
      </c>
      <c r="D5602" s="9" t="s">
        <v>26</v>
      </c>
      <c r="E5602" s="10" t="n">
        <v>1789</v>
      </c>
      <c r="F5602" s="9" t="s">
        <v>27</v>
      </c>
      <c r="G5602" s="9" t="s">
        <v>27</v>
      </c>
      <c r="H5602" s="11" t="n">
        <v>27</v>
      </c>
      <c r="I5602" s="11" t="s">
        <v>418</v>
      </c>
      <c r="J5602" s="14"/>
      <c r="K5602" s="14" t="n">
        <v>24</v>
      </c>
      <c r="L5602" s="16"/>
      <c r="M5602" s="27" t="n">
        <f aca="false">J5602+(K5602/20)+(L5602/240)</f>
        <v>1.2</v>
      </c>
      <c r="N5602" s="17" t="s">
        <v>66</v>
      </c>
      <c r="O5602" s="11"/>
      <c r="P5602" s="28"/>
      <c r="Q5602" s="28" t="n">
        <f aca="false">P5602*$M5602</f>
        <v>0</v>
      </c>
      <c r="R5602" s="28"/>
      <c r="S5602" s="28" t="n">
        <f aca="false">R5602*$M5602</f>
        <v>0</v>
      </c>
      <c r="T5602" s="28"/>
      <c r="U5602" s="28" t="n">
        <f aca="false">T5602*$M5602</f>
        <v>0</v>
      </c>
      <c r="V5602" s="28"/>
      <c r="W5602" s="28" t="n">
        <f aca="false">V5602*$M5602</f>
        <v>0</v>
      </c>
      <c r="X5602" s="28"/>
      <c r="Y5602" s="28" t="n">
        <f aca="false">X5602*$M5602</f>
        <v>0</v>
      </c>
      <c r="Z5602" s="28"/>
      <c r="AA5602" s="28" t="n">
        <f aca="false">Z5602*$M5602</f>
        <v>0</v>
      </c>
      <c r="AB5602" s="28"/>
      <c r="AC5602" s="28" t="n">
        <f aca="false">AB5602*$M5602</f>
        <v>0</v>
      </c>
      <c r="AD5602" s="28"/>
      <c r="AE5602" s="28" t="n">
        <f aca="false">AD5602*$M5602</f>
        <v>0</v>
      </c>
      <c r="AF5602" s="28"/>
      <c r="AG5602" s="28" t="n">
        <f aca="false">AF5602*$M5602</f>
        <v>0</v>
      </c>
      <c r="AH5602" s="28" t="n">
        <v>50204</v>
      </c>
      <c r="AI5602" s="28" t="n">
        <v>60245</v>
      </c>
      <c r="AJ5602" s="28"/>
      <c r="AK5602" s="28" t="n">
        <f aca="false">AJ5602*$M5602</f>
        <v>0</v>
      </c>
      <c r="AL5602" s="28"/>
      <c r="AM5602" s="28" t="n">
        <f aca="false">AL5602*$M5602</f>
        <v>0</v>
      </c>
      <c r="AN5602" s="28"/>
      <c r="AO5602" s="28" t="n">
        <f aca="false">AN5602*$M5602</f>
        <v>0</v>
      </c>
      <c r="AP5602" s="28"/>
      <c r="AQ5602" s="28" t="n">
        <f aca="false">AP5602*$M5602</f>
        <v>0</v>
      </c>
      <c r="AR5602" s="28"/>
      <c r="AS5602" s="28" t="n">
        <f aca="false">AR5602*$M5602</f>
        <v>0</v>
      </c>
      <c r="AT5602" s="28"/>
      <c r="AU5602" s="28" t="n">
        <f aca="false">AT5602*$M5602</f>
        <v>0</v>
      </c>
      <c r="AV5602" s="28"/>
      <c r="AW5602" s="28" t="n">
        <f aca="false">AV5602*$M5602</f>
        <v>0</v>
      </c>
      <c r="AX5602" s="28"/>
      <c r="AY5602" s="28" t="n">
        <f aca="false">AX5602*$M5602</f>
        <v>0</v>
      </c>
      <c r="AZ5602" s="30" t="n">
        <v>50204</v>
      </c>
      <c r="BA5602" s="11" t="n">
        <v>60245</v>
      </c>
      <c r="BB5602" s="31" t="n">
        <f aca="false">SUM(Q5602,S5602,U5602,W5602,Y5602,AA5602,AC5602,AE5602,AG5602,AI5602,AK5602,AM5602,AO5602,AQ5602,AS5602,AU5602,AW5602,AY5602)</f>
        <v>60245</v>
      </c>
      <c r="BC5602" s="28" t="n">
        <f aca="false">BA5602-BB5602</f>
        <v>0</v>
      </c>
      <c r="BD5602" s="32" t="n">
        <f aca="false">SUM(P5602,R5602,T5602,V5602,X5602,Z5602,AB5602,AD5602,AF5602,AH5602,AJ5602,AL5602,AN5602,AP5602,AR5602,AT5602,AV5602,AX5602)</f>
        <v>50204</v>
      </c>
      <c r="BE5602" s="33" t="n">
        <f aca="false">AZ5602-BD5602</f>
        <v>0</v>
      </c>
      <c r="BF5602" s="34" t="n">
        <f aca="false">BD5602*M5602</f>
        <v>60244.8</v>
      </c>
      <c r="BG5602" s="35" t="n">
        <f aca="false">BA5602-BF5602</f>
        <v>0.200000000004366</v>
      </c>
      <c r="BH5602" s="19" t="str">
        <f aca="false">IF(BG5602=0,"",IF(BG5602&lt;&gt;BA5602,"erreur de calcul",IF(BD5602&lt;&gt;0,"pas de prix",IF(M5602&lt;&gt; 0,"pas de quantité","pas de prix, ni de quantité"))))</f>
        <v>erreur de calcul</v>
      </c>
      <c r="BI5602" s="19"/>
    </row>
    <row r="5603" customFormat="false" ht="15" hidden="false" customHeight="false" outlineLevel="0" collapsed="false">
      <c r="A5603" s="0" t="n">
        <v>8</v>
      </c>
      <c r="B5603" s="8" t="s">
        <v>24</v>
      </c>
      <c r="C5603" s="9" t="s">
        <v>25</v>
      </c>
      <c r="D5603" s="9" t="s">
        <v>26</v>
      </c>
      <c r="E5603" s="10" t="n">
        <v>1789</v>
      </c>
      <c r="F5603" s="9" t="s">
        <v>27</v>
      </c>
      <c r="G5603" s="9" t="s">
        <v>27</v>
      </c>
      <c r="H5603" s="11" t="n">
        <v>27</v>
      </c>
      <c r="I5603" s="11" t="s">
        <v>419</v>
      </c>
      <c r="J5603" s="14" t="n">
        <v>40</v>
      </c>
      <c r="K5603" s="14"/>
      <c r="L5603" s="16"/>
      <c r="M5603" s="27" t="n">
        <f aca="false">J5603+(K5603/20)+(L5603/240)</f>
        <v>40</v>
      </c>
      <c r="N5603" s="17" t="s">
        <v>66</v>
      </c>
      <c r="O5603" s="11" t="s">
        <v>98</v>
      </c>
      <c r="P5603" s="28"/>
      <c r="Q5603" s="28" t="n">
        <f aca="false">P5603*$M5603</f>
        <v>0</v>
      </c>
      <c r="R5603" s="28"/>
      <c r="S5603" s="28" t="n">
        <f aca="false">R5603*$M5603</f>
        <v>0</v>
      </c>
      <c r="T5603" s="28"/>
      <c r="U5603" s="28" t="n">
        <f aca="false">T5603*$M5603</f>
        <v>0</v>
      </c>
      <c r="V5603" s="28"/>
      <c r="W5603" s="28" t="n">
        <f aca="false">V5603*$M5603</f>
        <v>0</v>
      </c>
      <c r="X5603" s="28"/>
      <c r="Y5603" s="28" t="n">
        <f aca="false">X5603*$M5603</f>
        <v>0</v>
      </c>
      <c r="Z5603" s="28"/>
      <c r="AA5603" s="28" t="n">
        <f aca="false">Z5603*$M5603</f>
        <v>0</v>
      </c>
      <c r="AB5603" s="28"/>
      <c r="AC5603" s="28" t="n">
        <f aca="false">AB5603*$M5603</f>
        <v>0</v>
      </c>
      <c r="AD5603" s="28"/>
      <c r="AE5603" s="28" t="n">
        <f aca="false">AD5603*$M5603</f>
        <v>0</v>
      </c>
      <c r="AF5603" s="28"/>
      <c r="AG5603" s="28" t="n">
        <f aca="false">AF5603*$M5603</f>
        <v>0</v>
      </c>
      <c r="AH5603" s="28"/>
      <c r="AI5603" s="28" t="n">
        <f aca="false">AH5603*$M5603</f>
        <v>0</v>
      </c>
      <c r="AJ5603" s="28"/>
      <c r="AK5603" s="28" t="n">
        <f aca="false">AJ5603*$M5603</f>
        <v>0</v>
      </c>
      <c r="AL5603" s="28"/>
      <c r="AM5603" s="28" t="n">
        <f aca="false">AL5603*$M5603</f>
        <v>0</v>
      </c>
      <c r="AN5603" s="28"/>
      <c r="AO5603" s="28" t="n">
        <f aca="false">AN5603*$M5603</f>
        <v>0</v>
      </c>
      <c r="AP5603" s="28"/>
      <c r="AQ5603" s="28" t="n">
        <f aca="false">AP5603*$M5603</f>
        <v>0</v>
      </c>
      <c r="AR5603" s="28"/>
      <c r="AS5603" s="28" t="n">
        <f aca="false">AR5603*$M5603</f>
        <v>0</v>
      </c>
      <c r="AT5603" s="28"/>
      <c r="AU5603" s="28" t="n">
        <f aca="false">AT5603*$M5603</f>
        <v>0</v>
      </c>
      <c r="AV5603" s="28"/>
      <c r="AW5603" s="28" t="n">
        <f aca="false">AV5603*$M5603</f>
        <v>0</v>
      </c>
      <c r="AX5603" s="28"/>
      <c r="AY5603" s="28" t="n">
        <f aca="false">AX5603*$M5603</f>
        <v>0</v>
      </c>
      <c r="AZ5603" s="30"/>
      <c r="BA5603" s="11"/>
      <c r="BB5603" s="31" t="n">
        <f aca="false">SUM(Q5603,S5603,U5603,W5603,Y5603,AA5603,AC5603,AE5603,AG5603,AI5603,AK5603,AM5603,AO5603,AQ5603,AS5603,AU5603,AW5603,AY5603)</f>
        <v>0</v>
      </c>
      <c r="BC5603" s="28" t="n">
        <f aca="false">BA5603-BB5603</f>
        <v>0</v>
      </c>
      <c r="BD5603" s="32" t="n">
        <f aca="false">SUM(P5603,R5603,T5603,V5603,X5603,Z5603,AB5603,AD5603,AF5603,AH5603,AJ5603,AL5603,AN5603,AP5603,AR5603,AT5603,AV5603,AX5603)</f>
        <v>0</v>
      </c>
      <c r="BE5603" s="33" t="n">
        <f aca="false">AZ5603-BD5603</f>
        <v>0</v>
      </c>
      <c r="BF5603" s="34" t="n">
        <f aca="false">BD5603*M5603</f>
        <v>0</v>
      </c>
      <c r="BG5603" s="35" t="n">
        <f aca="false">BA5603-BF5603</f>
        <v>0</v>
      </c>
      <c r="BH5603" s="19" t="str">
        <f aca="false">IF(BG5603=0,"",IF(BG5603&lt;&gt;BA5603,"erreur de calcul",IF(BD5603&lt;&gt;0,"pas de prix",IF(M5603&lt;&gt; 0,"pas de quantité","pas de prix, ni de quantité"))))</f>
        <v/>
      </c>
      <c r="BI5603" s="19"/>
    </row>
    <row r="5604" customFormat="false" ht="15" hidden="false" customHeight="false" outlineLevel="0" collapsed="false">
      <c r="A5604" s="0" t="n">
        <v>9</v>
      </c>
      <c r="B5604" s="8" t="s">
        <v>24</v>
      </c>
      <c r="C5604" s="9" t="s">
        <v>25</v>
      </c>
      <c r="D5604" s="9" t="s">
        <v>26</v>
      </c>
      <c r="E5604" s="10" t="n">
        <v>1789</v>
      </c>
      <c r="F5604" s="9" t="s">
        <v>27</v>
      </c>
      <c r="G5604" s="9" t="s">
        <v>27</v>
      </c>
      <c r="H5604" s="11" t="n">
        <v>27</v>
      </c>
      <c r="I5604" s="11" t="s">
        <v>420</v>
      </c>
      <c r="J5604" s="14" t="n">
        <v>9</v>
      </c>
      <c r="K5604" s="14"/>
      <c r="L5604" s="16"/>
      <c r="M5604" s="27" t="n">
        <f aca="false">J5604+(K5604/20)+(L5604/240)</f>
        <v>9</v>
      </c>
      <c r="N5604" s="17" t="s">
        <v>81</v>
      </c>
      <c r="O5604" s="11" t="s">
        <v>98</v>
      </c>
      <c r="P5604" s="28"/>
      <c r="Q5604" s="28" t="n">
        <f aca="false">P5604*$M5604</f>
        <v>0</v>
      </c>
      <c r="R5604" s="28"/>
      <c r="S5604" s="28" t="n">
        <f aca="false">R5604*$M5604</f>
        <v>0</v>
      </c>
      <c r="T5604" s="28"/>
      <c r="U5604" s="28" t="n">
        <f aca="false">T5604*$M5604</f>
        <v>0</v>
      </c>
      <c r="V5604" s="28"/>
      <c r="W5604" s="28" t="n">
        <f aca="false">V5604*$M5604</f>
        <v>0</v>
      </c>
      <c r="X5604" s="28"/>
      <c r="Y5604" s="28" t="n">
        <f aca="false">X5604*$M5604</f>
        <v>0</v>
      </c>
      <c r="Z5604" s="28"/>
      <c r="AA5604" s="28" t="n">
        <f aca="false">Z5604*$M5604</f>
        <v>0</v>
      </c>
      <c r="AB5604" s="28"/>
      <c r="AC5604" s="28" t="n">
        <f aca="false">AB5604*$M5604</f>
        <v>0</v>
      </c>
      <c r="AD5604" s="28"/>
      <c r="AE5604" s="28" t="n">
        <f aca="false">AD5604*$M5604</f>
        <v>0</v>
      </c>
      <c r="AF5604" s="28"/>
      <c r="AG5604" s="28" t="n">
        <f aca="false">AF5604*$M5604</f>
        <v>0</v>
      </c>
      <c r="AH5604" s="28"/>
      <c r="AI5604" s="28" t="n">
        <f aca="false">AH5604*$M5604</f>
        <v>0</v>
      </c>
      <c r="AJ5604" s="28"/>
      <c r="AK5604" s="28" t="n">
        <f aca="false">AJ5604*$M5604</f>
        <v>0</v>
      </c>
      <c r="AL5604" s="28"/>
      <c r="AM5604" s="28" t="n">
        <f aca="false">AL5604*$M5604</f>
        <v>0</v>
      </c>
      <c r="AN5604" s="28"/>
      <c r="AO5604" s="28" t="n">
        <f aca="false">AN5604*$M5604</f>
        <v>0</v>
      </c>
      <c r="AP5604" s="28"/>
      <c r="AQ5604" s="28" t="n">
        <f aca="false">AP5604*$M5604</f>
        <v>0</v>
      </c>
      <c r="AR5604" s="28"/>
      <c r="AS5604" s="28" t="n">
        <f aca="false">AR5604*$M5604</f>
        <v>0</v>
      </c>
      <c r="AT5604" s="28"/>
      <c r="AU5604" s="28" t="n">
        <f aca="false">AT5604*$M5604</f>
        <v>0</v>
      </c>
      <c r="AV5604" s="28"/>
      <c r="AW5604" s="28" t="n">
        <f aca="false">AV5604*$M5604</f>
        <v>0</v>
      </c>
      <c r="AX5604" s="28"/>
      <c r="AY5604" s="28" t="n">
        <f aca="false">AX5604*$M5604</f>
        <v>0</v>
      </c>
      <c r="AZ5604" s="30"/>
      <c r="BA5604" s="11"/>
      <c r="BB5604" s="31" t="n">
        <f aca="false">SUM(Q5604,S5604,U5604,W5604,Y5604,AA5604,AC5604,AE5604,AG5604,AI5604,AK5604,AM5604,AO5604,AQ5604,AS5604,AU5604,AW5604,AY5604)</f>
        <v>0</v>
      </c>
      <c r="BC5604" s="28" t="n">
        <f aca="false">BA5604-BB5604</f>
        <v>0</v>
      </c>
      <c r="BD5604" s="32" t="n">
        <f aca="false">SUM(P5604,R5604,T5604,V5604,X5604,Z5604,AB5604,AD5604,AF5604,AH5604,AJ5604,AL5604,AN5604,AP5604,AR5604,AT5604,AV5604,AX5604)</f>
        <v>0</v>
      </c>
      <c r="BE5604" s="33" t="n">
        <f aca="false">AZ5604-BD5604</f>
        <v>0</v>
      </c>
      <c r="BF5604" s="34" t="n">
        <f aca="false">BD5604*M5604</f>
        <v>0</v>
      </c>
      <c r="BG5604" s="35" t="n">
        <f aca="false">BA5604-BF5604</f>
        <v>0</v>
      </c>
      <c r="BH5604" s="19" t="str">
        <f aca="false">IF(BG5604=0,"",IF(BG5604&lt;&gt;BA5604,"erreur de calcul",IF(BD5604&lt;&gt;0,"pas de prix",IF(M5604&lt;&gt; 0,"pas de quantité","pas de prix, ni de quantité"))))</f>
        <v/>
      </c>
      <c r="BI5604" s="19"/>
    </row>
    <row r="5605" customFormat="false" ht="15" hidden="false" customHeight="false" outlineLevel="0" collapsed="false">
      <c r="A5605" s="0" t="n">
        <v>10</v>
      </c>
      <c r="B5605" s="8" t="s">
        <v>24</v>
      </c>
      <c r="C5605" s="9" t="s">
        <v>25</v>
      </c>
      <c r="D5605" s="9" t="s">
        <v>26</v>
      </c>
      <c r="E5605" s="10" t="n">
        <v>1789</v>
      </c>
      <c r="F5605" s="9" t="s">
        <v>27</v>
      </c>
      <c r="G5605" s="9" t="s">
        <v>27</v>
      </c>
      <c r="H5605" s="11" t="n">
        <v>27</v>
      </c>
      <c r="I5605" s="11" t="s">
        <v>421</v>
      </c>
      <c r="J5605" s="14" t="n">
        <v>220</v>
      </c>
      <c r="K5605" s="14"/>
      <c r="L5605" s="16"/>
      <c r="M5605" s="27" t="n">
        <f aca="false">J5605+(K5605/20)+(L5605/240)</f>
        <v>220</v>
      </c>
      <c r="N5605" s="17" t="s">
        <v>64</v>
      </c>
      <c r="O5605" s="11" t="s">
        <v>277</v>
      </c>
      <c r="P5605" s="28" t="n">
        <f aca="false">245/100</f>
        <v>2.45</v>
      </c>
      <c r="Q5605" s="28" t="n">
        <v>539</v>
      </c>
      <c r="R5605" s="28"/>
      <c r="S5605" s="28" t="n">
        <f aca="false">R5605*$M5605</f>
        <v>0</v>
      </c>
      <c r="T5605" s="28" t="n">
        <f aca="false">40119/100</f>
        <v>401.19</v>
      </c>
      <c r="U5605" s="28" t="n">
        <v>88262</v>
      </c>
      <c r="V5605" s="28" t="n">
        <f aca="false">14285/100</f>
        <v>142.85</v>
      </c>
      <c r="W5605" s="28" t="n">
        <v>31427</v>
      </c>
      <c r="X5605" s="28" t="n">
        <f aca="false">62608/100</f>
        <v>626.08</v>
      </c>
      <c r="Y5605" s="28" t="n">
        <v>137738</v>
      </c>
      <c r="Z5605" s="28" t="n">
        <f aca="false">523/100</f>
        <v>5.23</v>
      </c>
      <c r="AA5605" s="28" t="n">
        <v>1151</v>
      </c>
      <c r="AB5605" s="28" t="n">
        <f aca="false">56/100</f>
        <v>0.56</v>
      </c>
      <c r="AC5605" s="28" t="n">
        <v>123</v>
      </c>
      <c r="AD5605" s="28"/>
      <c r="AE5605" s="28" t="n">
        <f aca="false">AD5605*$M5605</f>
        <v>0</v>
      </c>
      <c r="AF5605" s="28"/>
      <c r="AG5605" s="28" t="n">
        <f aca="false">AF5605*$M5605</f>
        <v>0</v>
      </c>
      <c r="AH5605" s="28"/>
      <c r="AI5605" s="28" t="n">
        <f aca="false">AH5605*$M5605</f>
        <v>0</v>
      </c>
      <c r="AJ5605" s="28" t="n">
        <f aca="false">3845/100</f>
        <v>38.45</v>
      </c>
      <c r="AK5605" s="28" t="n">
        <v>8459</v>
      </c>
      <c r="AL5605" s="28" t="n">
        <f aca="false">26510/100</f>
        <v>265.1</v>
      </c>
      <c r="AM5605" s="28" t="n">
        <v>58322</v>
      </c>
      <c r="AN5605" s="28" t="n">
        <f aca="false">330/100</f>
        <v>3.3</v>
      </c>
      <c r="AO5605" s="28" t="n">
        <v>726</v>
      </c>
      <c r="AP5605" s="28"/>
      <c r="AQ5605" s="28" t="n">
        <f aca="false">AP5605*$M5605</f>
        <v>0</v>
      </c>
      <c r="AR5605" s="28"/>
      <c r="AS5605" s="28" t="n">
        <f aca="false">AR5605*$M5605</f>
        <v>0</v>
      </c>
      <c r="AT5605" s="28"/>
      <c r="AU5605" s="28" t="n">
        <f aca="false">AT5605*$M5605</f>
        <v>0</v>
      </c>
      <c r="AV5605" s="28" t="n">
        <f aca="false">1487/100</f>
        <v>14.87</v>
      </c>
      <c r="AW5605" s="28" t="n">
        <v>3271</v>
      </c>
      <c r="AX5605" s="28"/>
      <c r="AY5605" s="28" t="n">
        <f aca="false">AX5605*$M5605</f>
        <v>0</v>
      </c>
      <c r="AZ5605" s="30" t="n">
        <f aca="false">150008/100</f>
        <v>1500.08</v>
      </c>
      <c r="BA5605" s="11" t="n">
        <v>330018</v>
      </c>
      <c r="BB5605" s="31" t="n">
        <f aca="false">SUM(Q5605,S5605,U5605,W5605,Y5605,AA5605,AC5605,AE5605,AG5605,AI5605,AK5605,AM5605,AO5605,AQ5605,AS5605,AU5605,AW5605,AY5605)</f>
        <v>330018</v>
      </c>
      <c r="BC5605" s="28" t="n">
        <f aca="false">BA5605-BB5605</f>
        <v>0</v>
      </c>
      <c r="BD5605" s="32" t="n">
        <f aca="false">SUM(P5605,R5605,T5605,V5605,X5605,Z5605,AB5605,AD5605,AF5605,AH5605,AJ5605,AL5605,AN5605,AP5605,AR5605,AT5605,AV5605,AX5605)</f>
        <v>1500.08</v>
      </c>
      <c r="BE5605" s="33" t="n">
        <f aca="false">AZ5605-BD5605</f>
        <v>0</v>
      </c>
      <c r="BF5605" s="34" t="n">
        <f aca="false">BD5605*M5605</f>
        <v>330017.6</v>
      </c>
      <c r="BG5605" s="35" t="n">
        <f aca="false">BA5605-BF5605</f>
        <v>0.399999999965075</v>
      </c>
      <c r="BH5605" s="19" t="str">
        <f aca="false">IF(BG5605=0,"",IF(BG5605&lt;&gt;BA5605,"erreur de calcul",IF(BD5605&lt;&gt;0,"pas de prix",IF(M5605&lt;&gt; 0,"pas de quantité","pas de prix, ni de quantité"))))</f>
        <v>erreur de calcul</v>
      </c>
      <c r="BI5605" s="19"/>
    </row>
    <row r="5606" customFormat="false" ht="15" hidden="false" customHeight="false" outlineLevel="0" collapsed="false">
      <c r="A5606" s="0" t="n">
        <v>11</v>
      </c>
      <c r="B5606" s="8" t="s">
        <v>24</v>
      </c>
      <c r="C5606" s="9" t="s">
        <v>25</v>
      </c>
      <c r="D5606" s="9" t="s">
        <v>26</v>
      </c>
      <c r="E5606" s="10" t="n">
        <v>1789</v>
      </c>
      <c r="F5606" s="9" t="s">
        <v>27</v>
      </c>
      <c r="G5606" s="9" t="s">
        <v>27</v>
      </c>
      <c r="H5606" s="11" t="n">
        <v>27</v>
      </c>
      <c r="I5606" s="11" t="s">
        <v>422</v>
      </c>
      <c r="J5606" s="14" t="n">
        <v>35</v>
      </c>
      <c r="K5606" s="14"/>
      <c r="L5606" s="16"/>
      <c r="M5606" s="27" t="n">
        <f aca="false">J5606+(K5606/20)+(L5606/240)</f>
        <v>35</v>
      </c>
      <c r="N5606" s="17" t="s">
        <v>64</v>
      </c>
      <c r="O5606" s="11"/>
      <c r="P5606" s="28"/>
      <c r="Q5606" s="28" t="n">
        <f aca="false">P5606*$M5606</f>
        <v>0</v>
      </c>
      <c r="R5606" s="28"/>
      <c r="S5606" s="28" t="n">
        <f aca="false">R5606*$M5606</f>
        <v>0</v>
      </c>
      <c r="T5606" s="28"/>
      <c r="U5606" s="28" t="n">
        <f aca="false">T5606*$M5606</f>
        <v>0</v>
      </c>
      <c r="V5606" s="28"/>
      <c r="W5606" s="28" t="n">
        <f aca="false">V5606*$M5606</f>
        <v>0</v>
      </c>
      <c r="X5606" s="28" t="n">
        <f aca="false">9982/100</f>
        <v>99.82</v>
      </c>
      <c r="Y5606" s="28" t="n">
        <v>3494</v>
      </c>
      <c r="Z5606" s="28"/>
      <c r="AA5606" s="28" t="n">
        <f aca="false">Z5606*$M5606</f>
        <v>0</v>
      </c>
      <c r="AB5606" s="28"/>
      <c r="AC5606" s="28" t="n">
        <f aca="false">AB5606*$M5606</f>
        <v>0</v>
      </c>
      <c r="AD5606" s="28"/>
      <c r="AE5606" s="28" t="n">
        <f aca="false">AD5606*$M5606</f>
        <v>0</v>
      </c>
      <c r="AF5606" s="28"/>
      <c r="AG5606" s="28" t="n">
        <f aca="false">AF5606*$M5606</f>
        <v>0</v>
      </c>
      <c r="AH5606" s="28"/>
      <c r="AI5606" s="28" t="n">
        <f aca="false">AH5606*$M5606</f>
        <v>0</v>
      </c>
      <c r="AJ5606" s="28" t="n">
        <f aca="false">28200/100</f>
        <v>282</v>
      </c>
      <c r="AK5606" s="28" t="n">
        <v>9870</v>
      </c>
      <c r="AL5606" s="28" t="n">
        <f aca="false">163472/100</f>
        <v>1634.72</v>
      </c>
      <c r="AM5606" s="28" t="n">
        <v>57215</v>
      </c>
      <c r="AN5606" s="28"/>
      <c r="AO5606" s="28" t="n">
        <f aca="false">AN5606*$M5606</f>
        <v>0</v>
      </c>
      <c r="AP5606" s="28"/>
      <c r="AQ5606" s="28" t="n">
        <f aca="false">AP5606*$M5606</f>
        <v>0</v>
      </c>
      <c r="AR5606" s="28"/>
      <c r="AS5606" s="28" t="n">
        <f aca="false">AR5606*$M5606</f>
        <v>0</v>
      </c>
      <c r="AT5606" s="28"/>
      <c r="AU5606" s="28" t="n">
        <f aca="false">AT5606*$M5606</f>
        <v>0</v>
      </c>
      <c r="AV5606" s="28" t="n">
        <f aca="false">49250/100</f>
        <v>492.5</v>
      </c>
      <c r="AW5606" s="28" t="n">
        <v>17237</v>
      </c>
      <c r="AX5606" s="28"/>
      <c r="AY5606" s="28" t="n">
        <f aca="false">AX5606*$M5606</f>
        <v>0</v>
      </c>
      <c r="AZ5606" s="30" t="n">
        <f aca="false">250904/100</f>
        <v>2509.04</v>
      </c>
      <c r="BA5606" s="11" t="n">
        <v>87816</v>
      </c>
      <c r="BB5606" s="31" t="n">
        <f aca="false">SUM(Q5606,S5606,U5606,W5606,Y5606,AA5606,AC5606,AE5606,AG5606,AI5606,AK5606,AM5606,AO5606,AQ5606,AS5606,AU5606,AW5606,AY5606)</f>
        <v>87816</v>
      </c>
      <c r="BC5606" s="28" t="n">
        <f aca="false">BA5606-BB5606</f>
        <v>0</v>
      </c>
      <c r="BD5606" s="32" t="n">
        <f aca="false">SUM(P5606,R5606,T5606,V5606,X5606,Z5606,AB5606,AD5606,AF5606,AH5606,AJ5606,AL5606,AN5606,AP5606,AR5606,AT5606,AV5606,AX5606)</f>
        <v>2509.04</v>
      </c>
      <c r="BE5606" s="33" t="n">
        <f aca="false">AZ5606-BD5606</f>
        <v>0</v>
      </c>
      <c r="BF5606" s="34" t="n">
        <f aca="false">BD5606*M5606</f>
        <v>87816.4</v>
      </c>
      <c r="BG5606" s="35" t="n">
        <f aca="false">BA5606-BF5606</f>
        <v>-0.400000000008731</v>
      </c>
      <c r="BH5606" s="19" t="str">
        <f aca="false">IF(BG5606=0,"",IF(BG5606&lt;&gt;BA5606,"erreur de calcul",IF(BD5606&lt;&gt;0,"pas de prix",IF(M5606&lt;&gt; 0,"pas de quantité","pas de prix, ni de quantité"))))</f>
        <v>erreur de calcul</v>
      </c>
      <c r="BI5606" s="19"/>
    </row>
    <row r="5607" customFormat="false" ht="15" hidden="false" customHeight="false" outlineLevel="0" collapsed="false">
      <c r="A5607" s="0" t="n">
        <v>12</v>
      </c>
      <c r="B5607" s="8" t="s">
        <v>24</v>
      </c>
      <c r="C5607" s="9" t="s">
        <v>25</v>
      </c>
      <c r="D5607" s="9" t="s">
        <v>26</v>
      </c>
      <c r="E5607" s="10" t="n">
        <v>1789</v>
      </c>
      <c r="F5607" s="9" t="s">
        <v>27</v>
      </c>
      <c r="G5607" s="9" t="s">
        <v>27</v>
      </c>
      <c r="H5607" s="11" t="n">
        <v>27</v>
      </c>
      <c r="I5607" s="11" t="s">
        <v>423</v>
      </c>
      <c r="J5607" s="14" t="n">
        <v>75</v>
      </c>
      <c r="K5607" s="14"/>
      <c r="L5607" s="16"/>
      <c r="M5607" s="27" t="n">
        <f aca="false">J5607+(K5607/20)+(L5607/240)</f>
        <v>75</v>
      </c>
      <c r="N5607" s="17" t="s">
        <v>64</v>
      </c>
      <c r="O5607" s="11"/>
      <c r="P5607" s="28"/>
      <c r="Q5607" s="28" t="n">
        <f aca="false">P5607*$M5607</f>
        <v>0</v>
      </c>
      <c r="R5607" s="28"/>
      <c r="S5607" s="28" t="n">
        <f aca="false">R5607*$M5607</f>
        <v>0</v>
      </c>
      <c r="T5607" s="28"/>
      <c r="U5607" s="28" t="n">
        <f aca="false">T5607*$M5607</f>
        <v>0</v>
      </c>
      <c r="V5607" s="28" t="n">
        <f aca="false">1030/100</f>
        <v>10.3</v>
      </c>
      <c r="W5607" s="28" t="n">
        <v>772</v>
      </c>
      <c r="X5607" s="28"/>
      <c r="Y5607" s="28" t="n">
        <f aca="false">X5607*$M5607</f>
        <v>0</v>
      </c>
      <c r="Z5607" s="28"/>
      <c r="AA5607" s="28" t="n">
        <f aca="false">Z5607*$M5607</f>
        <v>0</v>
      </c>
      <c r="AB5607" s="28"/>
      <c r="AC5607" s="28" t="n">
        <f aca="false">AB5607*$M5607</f>
        <v>0</v>
      </c>
      <c r="AD5607" s="28"/>
      <c r="AE5607" s="28" t="n">
        <f aca="false">AD5607*$M5607</f>
        <v>0</v>
      </c>
      <c r="AF5607" s="28"/>
      <c r="AG5607" s="28" t="n">
        <f aca="false">AF5607*$M5607</f>
        <v>0</v>
      </c>
      <c r="AH5607" s="28"/>
      <c r="AI5607" s="28" t="n">
        <f aca="false">AH5607*$M5607</f>
        <v>0</v>
      </c>
      <c r="AJ5607" s="28"/>
      <c r="AK5607" s="28" t="n">
        <f aca="false">AJ5607*$M5607</f>
        <v>0</v>
      </c>
      <c r="AL5607" s="28"/>
      <c r="AM5607" s="28" t="n">
        <f aca="false">AL5607*$M5607</f>
        <v>0</v>
      </c>
      <c r="AN5607" s="28"/>
      <c r="AO5607" s="28" t="n">
        <f aca="false">AN5607*$M5607</f>
        <v>0</v>
      </c>
      <c r="AP5607" s="28"/>
      <c r="AQ5607" s="28" t="n">
        <f aca="false">AP5607*$M5607</f>
        <v>0</v>
      </c>
      <c r="AR5607" s="28"/>
      <c r="AS5607" s="28" t="n">
        <f aca="false">AR5607*$M5607</f>
        <v>0</v>
      </c>
      <c r="AT5607" s="28"/>
      <c r="AU5607" s="28" t="n">
        <f aca="false">AT5607*$M5607</f>
        <v>0</v>
      </c>
      <c r="AV5607" s="28"/>
      <c r="AW5607" s="28" t="n">
        <f aca="false">AV5607*$M5607</f>
        <v>0</v>
      </c>
      <c r="AX5607" s="28"/>
      <c r="AY5607" s="28" t="n">
        <f aca="false">AX5607*$M5607</f>
        <v>0</v>
      </c>
      <c r="AZ5607" s="30" t="n">
        <f aca="false">1030/100</f>
        <v>10.3</v>
      </c>
      <c r="BA5607" s="11" t="n">
        <v>772</v>
      </c>
      <c r="BB5607" s="31" t="n">
        <f aca="false">SUM(Q5607,S5607,U5607,W5607,Y5607,AA5607,AC5607,AE5607,AG5607,AI5607,AK5607,AM5607,AO5607,AQ5607,AS5607,AU5607,AW5607,AY5607)</f>
        <v>772</v>
      </c>
      <c r="BC5607" s="28" t="n">
        <f aca="false">BA5607-BB5607</f>
        <v>0</v>
      </c>
      <c r="BD5607" s="32" t="n">
        <f aca="false">SUM(P5607,R5607,T5607,V5607,X5607,Z5607,AB5607,AD5607,AF5607,AH5607,AJ5607,AL5607,AN5607,AP5607,AR5607,AT5607,AV5607,AX5607)</f>
        <v>10.3</v>
      </c>
      <c r="BE5607" s="33" t="n">
        <f aca="false">AZ5607-BD5607</f>
        <v>0</v>
      </c>
      <c r="BF5607" s="34" t="n">
        <f aca="false">BD5607*M5607</f>
        <v>772.5</v>
      </c>
      <c r="BG5607" s="35" t="n">
        <f aca="false">BA5607-BF5607</f>
        <v>-0.5</v>
      </c>
      <c r="BH5607" s="19" t="str">
        <f aca="false">IF(BG5607=0,"",IF(BG5607&lt;&gt;BA5607,"erreur de calcul",IF(BD5607&lt;&gt;0,"pas de prix",IF(M5607&lt;&gt; 0,"pas de quantité","pas de prix, ni de quantité"))))</f>
        <v>erreur de calcul</v>
      </c>
      <c r="BI5607" s="19"/>
    </row>
    <row r="5608" customFormat="false" ht="15" hidden="false" customHeight="false" outlineLevel="0" collapsed="false">
      <c r="A5608" s="0" t="n">
        <v>13</v>
      </c>
      <c r="B5608" s="8" t="s">
        <v>24</v>
      </c>
      <c r="C5608" s="9" t="s">
        <v>25</v>
      </c>
      <c r="D5608" s="9" t="s">
        <v>26</v>
      </c>
      <c r="E5608" s="10" t="n">
        <v>1789</v>
      </c>
      <c r="F5608" s="9" t="s">
        <v>27</v>
      </c>
      <c r="G5608" s="9" t="s">
        <v>27</v>
      </c>
      <c r="H5608" s="11" t="n">
        <v>27</v>
      </c>
      <c r="I5608" s="11" t="s">
        <v>424</v>
      </c>
      <c r="J5608" s="14" t="n">
        <v>6</v>
      </c>
      <c r="K5608" s="14"/>
      <c r="L5608" s="16"/>
      <c r="M5608" s="27" t="n">
        <f aca="false">J5608+(K5608/20)+(L5608/240)</f>
        <v>6</v>
      </c>
      <c r="N5608" s="17" t="s">
        <v>64</v>
      </c>
      <c r="O5608" s="11" t="s">
        <v>277</v>
      </c>
      <c r="P5608" s="28"/>
      <c r="Q5608" s="28" t="n">
        <f aca="false">P5608*$M5608</f>
        <v>0</v>
      </c>
      <c r="R5608" s="28"/>
      <c r="S5608" s="28" t="n">
        <f aca="false">R5608*$M5608</f>
        <v>0</v>
      </c>
      <c r="T5608" s="28"/>
      <c r="U5608" s="28" t="n">
        <f aca="false">T5608*$M5608</f>
        <v>0</v>
      </c>
      <c r="V5608" s="28"/>
      <c r="W5608" s="28" t="n">
        <f aca="false">V5608*$M5608</f>
        <v>0</v>
      </c>
      <c r="X5608" s="28"/>
      <c r="Y5608" s="28" t="n">
        <f aca="false">X5608*$M5608</f>
        <v>0</v>
      </c>
      <c r="Z5608" s="28"/>
      <c r="AA5608" s="28" t="n">
        <f aca="false">Z5608*$M5608</f>
        <v>0</v>
      </c>
      <c r="AB5608" s="28"/>
      <c r="AC5608" s="28" t="n">
        <f aca="false">AB5608*$M5608</f>
        <v>0</v>
      </c>
      <c r="AD5608" s="28"/>
      <c r="AE5608" s="28" t="n">
        <f aca="false">AD5608*$M5608</f>
        <v>0</v>
      </c>
      <c r="AF5608" s="28"/>
      <c r="AG5608" s="28" t="n">
        <f aca="false">AF5608*$M5608</f>
        <v>0</v>
      </c>
      <c r="AH5608" s="28" t="n">
        <f aca="false">9050/100</f>
        <v>90.5</v>
      </c>
      <c r="AI5608" s="28" t="n">
        <v>543</v>
      </c>
      <c r="AJ5608" s="28"/>
      <c r="AK5608" s="28" t="n">
        <f aca="false">AJ5608*$M5608</f>
        <v>0</v>
      </c>
      <c r="AL5608" s="28" t="n">
        <f aca="false">48717/100</f>
        <v>487.17</v>
      </c>
      <c r="AM5608" s="28" t="n">
        <v>2923</v>
      </c>
      <c r="AN5608" s="28"/>
      <c r="AO5608" s="28" t="n">
        <f aca="false">AN5608*$M5608</f>
        <v>0</v>
      </c>
      <c r="AP5608" s="28"/>
      <c r="AQ5608" s="28" t="n">
        <f aca="false">AP5608*$M5608</f>
        <v>0</v>
      </c>
      <c r="AR5608" s="28"/>
      <c r="AS5608" s="28" t="n">
        <f aca="false">AR5608*$M5608</f>
        <v>0</v>
      </c>
      <c r="AT5608" s="28"/>
      <c r="AU5608" s="28" t="n">
        <f aca="false">AT5608*$M5608</f>
        <v>0</v>
      </c>
      <c r="AV5608" s="28"/>
      <c r="AW5608" s="28" t="n">
        <f aca="false">AV5608*$M5608</f>
        <v>0</v>
      </c>
      <c r="AX5608" s="28"/>
      <c r="AY5608" s="28" t="n">
        <f aca="false">AX5608*$M5608</f>
        <v>0</v>
      </c>
      <c r="AZ5608" s="30" t="n">
        <f aca="false">57767/100</f>
        <v>577.67</v>
      </c>
      <c r="BA5608" s="11" t="n">
        <v>3466</v>
      </c>
      <c r="BB5608" s="31" t="n">
        <f aca="false">SUM(Q5608,S5608,U5608,W5608,Y5608,AA5608,AC5608,AE5608,AG5608,AI5608,AK5608,AM5608,AO5608,AQ5608,AS5608,AU5608,AW5608,AY5608)</f>
        <v>3466</v>
      </c>
      <c r="BC5608" s="28" t="n">
        <f aca="false">BA5608-BB5608</f>
        <v>0</v>
      </c>
      <c r="BD5608" s="32" t="n">
        <f aca="false">SUM(P5608,R5608,T5608,V5608,X5608,Z5608,AB5608,AD5608,AF5608,AH5608,AJ5608,AL5608,AN5608,AP5608,AR5608,AT5608,AV5608,AX5608)</f>
        <v>577.67</v>
      </c>
      <c r="BE5608" s="33" t="n">
        <f aca="false">AZ5608-BD5608</f>
        <v>0</v>
      </c>
      <c r="BF5608" s="34" t="n">
        <f aca="false">BD5608*M5608</f>
        <v>3466.02</v>
      </c>
      <c r="BG5608" s="35" t="n">
        <f aca="false">BA5608-BF5608</f>
        <v>-0.0200000000004366</v>
      </c>
      <c r="BH5608" s="19" t="str">
        <f aca="false">IF(BG5608=0,"",IF(BG5608&lt;&gt;BA5608,"erreur de calcul",IF(BD5608&lt;&gt;0,"pas de prix",IF(M5608&lt;&gt; 0,"pas de quantité","pas de prix, ni de quantité"))))</f>
        <v>erreur de calcul</v>
      </c>
      <c r="BI5608" s="19"/>
    </row>
    <row r="5609" customFormat="false" ht="15" hidden="false" customHeight="false" outlineLevel="0" collapsed="false">
      <c r="A5609" s="0" t="n">
        <v>14</v>
      </c>
      <c r="B5609" s="8" t="s">
        <v>24</v>
      </c>
      <c r="C5609" s="9" t="s">
        <v>25</v>
      </c>
      <c r="D5609" s="9" t="s">
        <v>26</v>
      </c>
      <c r="E5609" s="10" t="n">
        <v>1789</v>
      </c>
      <c r="F5609" s="9" t="s">
        <v>27</v>
      </c>
      <c r="G5609" s="9" t="s">
        <v>27</v>
      </c>
      <c r="H5609" s="11" t="n">
        <v>27</v>
      </c>
      <c r="I5609" s="11" t="s">
        <v>425</v>
      </c>
      <c r="J5609" s="14" t="n">
        <v>25</v>
      </c>
      <c r="K5609" s="14"/>
      <c r="L5609" s="16"/>
      <c r="M5609" s="27" t="n">
        <f aca="false">J5609+(K5609/20)+(L5609/240)</f>
        <v>25</v>
      </c>
      <c r="N5609" s="17" t="s">
        <v>64</v>
      </c>
      <c r="O5609" s="11"/>
      <c r="P5609" s="28"/>
      <c r="Q5609" s="28" t="n">
        <f aca="false">P5609*$M5609</f>
        <v>0</v>
      </c>
      <c r="R5609" s="28"/>
      <c r="S5609" s="28" t="n">
        <f aca="false">R5609*$M5609</f>
        <v>0</v>
      </c>
      <c r="T5609" s="28" t="n">
        <f aca="false">10*288*0.02+114*0.02</f>
        <v>59.88</v>
      </c>
      <c r="U5609" s="28" t="n">
        <v>1497</v>
      </c>
      <c r="V5609" s="28"/>
      <c r="W5609" s="28" t="n">
        <f aca="false">V5609*$M5609</f>
        <v>0</v>
      </c>
      <c r="X5609" s="28"/>
      <c r="Y5609" s="28" t="n">
        <f aca="false">X5609*$M5609</f>
        <v>0</v>
      </c>
      <c r="Z5609" s="28"/>
      <c r="AA5609" s="28" t="n">
        <f aca="false">Z5609*$M5609</f>
        <v>0</v>
      </c>
      <c r="AB5609" s="28"/>
      <c r="AC5609" s="28" t="n">
        <f aca="false">AB5609*$M5609</f>
        <v>0</v>
      </c>
      <c r="AD5609" s="28"/>
      <c r="AE5609" s="28" t="n">
        <f aca="false">AD5609*$M5609</f>
        <v>0</v>
      </c>
      <c r="AF5609" s="28"/>
      <c r="AG5609" s="28" t="n">
        <f aca="false">AF5609*$M5609</f>
        <v>0</v>
      </c>
      <c r="AH5609" s="28"/>
      <c r="AI5609" s="28" t="n">
        <f aca="false">AH5609*$M5609</f>
        <v>0</v>
      </c>
      <c r="AJ5609" s="28"/>
      <c r="AK5609" s="28" t="n">
        <f aca="false">AJ5609*$M5609</f>
        <v>0</v>
      </c>
      <c r="AL5609" s="28"/>
      <c r="AM5609" s="28" t="n">
        <f aca="false">AL5609*$M5609</f>
        <v>0</v>
      </c>
      <c r="AN5609" s="28"/>
      <c r="AO5609" s="28" t="n">
        <f aca="false">AN5609*$M5609</f>
        <v>0</v>
      </c>
      <c r="AP5609" s="28"/>
      <c r="AQ5609" s="28" t="n">
        <f aca="false">AP5609*$M5609</f>
        <v>0</v>
      </c>
      <c r="AR5609" s="28"/>
      <c r="AS5609" s="28" t="n">
        <f aca="false">AR5609*$M5609</f>
        <v>0</v>
      </c>
      <c r="AT5609" s="28"/>
      <c r="AU5609" s="28" t="n">
        <f aca="false">AT5609*$M5609</f>
        <v>0</v>
      </c>
      <c r="AV5609" s="28"/>
      <c r="AW5609" s="28" t="n">
        <f aca="false">AV5609*$M5609</f>
        <v>0</v>
      </c>
      <c r="AX5609" s="28"/>
      <c r="AY5609" s="28" t="n">
        <f aca="false">AX5609*$M5609</f>
        <v>0</v>
      </c>
      <c r="AZ5609" s="30" t="n">
        <f aca="false">10*288*0.02+114*0.02</f>
        <v>59.88</v>
      </c>
      <c r="BA5609" s="11" t="n">
        <v>1497</v>
      </c>
      <c r="BB5609" s="31" t="n">
        <f aca="false">SUM(Q5609,S5609,U5609,W5609,Y5609,AA5609,AC5609,AE5609,AG5609,AI5609,AK5609,AM5609,AO5609,AQ5609,AS5609,AU5609,AW5609,AY5609)</f>
        <v>1497</v>
      </c>
      <c r="BC5609" s="28" t="n">
        <f aca="false">BA5609-BB5609</f>
        <v>0</v>
      </c>
      <c r="BD5609" s="32" t="n">
        <f aca="false">SUM(P5609,R5609,T5609,V5609,X5609,Z5609,AB5609,AD5609,AF5609,AH5609,AJ5609,AL5609,AN5609,AP5609,AR5609,AT5609,AV5609,AX5609)</f>
        <v>59.88</v>
      </c>
      <c r="BE5609" s="33" t="n">
        <f aca="false">AZ5609-BD5609</f>
        <v>0</v>
      </c>
      <c r="BF5609" s="34" t="n">
        <f aca="false">BD5609*M5609</f>
        <v>1497</v>
      </c>
      <c r="BG5609" s="35" t="n">
        <f aca="false">BA5609-BF5609</f>
        <v>0</v>
      </c>
      <c r="BH5609" s="19" t="str">
        <f aca="false">IF(BG5609=0,"",IF(BG5609&lt;&gt;BA5609,"erreur de calcul",IF(BD5609&lt;&gt;0,"pas de prix",IF(M5609&lt;&gt; 0,"pas de quantité","pas de prix, ni de quantité"))))</f>
        <v/>
      </c>
      <c r="BI5609" s="19"/>
    </row>
    <row r="5610" customFormat="false" ht="15" hidden="false" customHeight="false" outlineLevel="0" collapsed="false">
      <c r="A5610" s="0" t="n">
        <v>15</v>
      </c>
      <c r="B5610" s="8" t="s">
        <v>24</v>
      </c>
      <c r="C5610" s="9" t="s">
        <v>25</v>
      </c>
      <c r="D5610" s="9" t="s">
        <v>26</v>
      </c>
      <c r="E5610" s="10" t="n">
        <v>1789</v>
      </c>
      <c r="F5610" s="9" t="s">
        <v>27</v>
      </c>
      <c r="G5610" s="9" t="s">
        <v>27</v>
      </c>
      <c r="H5610" s="11" t="n">
        <v>27</v>
      </c>
      <c r="I5610" s="11" t="s">
        <v>426</v>
      </c>
      <c r="J5610" s="14" t="n">
        <v>40</v>
      </c>
      <c r="K5610" s="14"/>
      <c r="L5610" s="16"/>
      <c r="M5610" s="27" t="n">
        <f aca="false">J5610+(K5610/20)+(L5610/240)</f>
        <v>40</v>
      </c>
      <c r="N5610" s="17" t="s">
        <v>64</v>
      </c>
      <c r="O5610" s="11"/>
      <c r="P5610" s="28"/>
      <c r="Q5610" s="28" t="n">
        <f aca="false">P5610*$M5610</f>
        <v>0</v>
      </c>
      <c r="R5610" s="28"/>
      <c r="S5610" s="28" t="n">
        <f aca="false">R5610*$M5610</f>
        <v>0</v>
      </c>
      <c r="T5610" s="28"/>
      <c r="U5610" s="28" t="n">
        <f aca="false">T5610*$M5610</f>
        <v>0</v>
      </c>
      <c r="V5610" s="28"/>
      <c r="W5610" s="28" t="n">
        <f aca="false">V5610*$M5610</f>
        <v>0</v>
      </c>
      <c r="X5610" s="28"/>
      <c r="Y5610" s="28" t="n">
        <f aca="false">X5610*$M5610</f>
        <v>0</v>
      </c>
      <c r="Z5610" s="28"/>
      <c r="AA5610" s="28" t="n">
        <f aca="false">Z5610*$M5610</f>
        <v>0</v>
      </c>
      <c r="AB5610" s="28"/>
      <c r="AC5610" s="28" t="n">
        <f aca="false">AB5610*$M5610</f>
        <v>0</v>
      </c>
      <c r="AD5610" s="28"/>
      <c r="AE5610" s="28" t="n">
        <f aca="false">AD5610*$M5610</f>
        <v>0</v>
      </c>
      <c r="AF5610" s="28"/>
      <c r="AG5610" s="28" t="n">
        <f aca="false">AF5610*$M5610</f>
        <v>0</v>
      </c>
      <c r="AH5610" s="28" t="n">
        <f aca="false">1*288*0.02+59*0.02</f>
        <v>6.94</v>
      </c>
      <c r="AI5610" s="28" t="n">
        <v>278</v>
      </c>
      <c r="AJ5610" s="28"/>
      <c r="AK5610" s="28" t="n">
        <f aca="false">AJ5610*$M5610</f>
        <v>0</v>
      </c>
      <c r="AL5610" s="28"/>
      <c r="AM5610" s="28" t="n">
        <f aca="false">AL5610*$M5610</f>
        <v>0</v>
      </c>
      <c r="AN5610" s="28"/>
      <c r="AO5610" s="28" t="n">
        <f aca="false">AN5610*$M5610</f>
        <v>0</v>
      </c>
      <c r="AP5610" s="28"/>
      <c r="AQ5610" s="28" t="n">
        <f aca="false">AP5610*$M5610</f>
        <v>0</v>
      </c>
      <c r="AR5610" s="28"/>
      <c r="AS5610" s="28" t="n">
        <f aca="false">AR5610*$M5610</f>
        <v>0</v>
      </c>
      <c r="AT5610" s="28"/>
      <c r="AU5610" s="28" t="n">
        <f aca="false">AT5610*$M5610</f>
        <v>0</v>
      </c>
      <c r="AV5610" s="28"/>
      <c r="AW5610" s="28" t="n">
        <f aca="false">AV5610*$M5610</f>
        <v>0</v>
      </c>
      <c r="AX5610" s="28"/>
      <c r="AY5610" s="28" t="n">
        <f aca="false">AX5610*$M5610</f>
        <v>0</v>
      </c>
      <c r="AZ5610" s="30" t="n">
        <f aca="false">1*288*0.02+59*0.02</f>
        <v>6.94</v>
      </c>
      <c r="BA5610" s="11" t="n">
        <v>278</v>
      </c>
      <c r="BB5610" s="31" t="n">
        <f aca="false">SUM(Q5610,S5610,U5610,W5610,Y5610,AA5610,AC5610,AE5610,AG5610,AI5610,AK5610,AM5610,AO5610,AQ5610,AS5610,AU5610,AW5610,AY5610)</f>
        <v>278</v>
      </c>
      <c r="BC5610" s="28" t="n">
        <f aca="false">BA5610-BB5610</f>
        <v>0</v>
      </c>
      <c r="BD5610" s="32" t="n">
        <f aca="false">SUM(P5610,R5610,T5610,V5610,X5610,Z5610,AB5610,AD5610,AF5610,AH5610,AJ5610,AL5610,AN5610,AP5610,AR5610,AT5610,AV5610,AX5610)</f>
        <v>6.94</v>
      </c>
      <c r="BE5610" s="33" t="n">
        <f aca="false">AZ5610-BD5610</f>
        <v>0</v>
      </c>
      <c r="BF5610" s="34" t="n">
        <f aca="false">BD5610*M5610</f>
        <v>277.6</v>
      </c>
      <c r="BG5610" s="35" t="n">
        <f aca="false">BA5610-BF5610</f>
        <v>0.400000000000034</v>
      </c>
      <c r="BH5610" s="19" t="str">
        <f aca="false">IF(BG5610=0,"",IF(BG5610&lt;&gt;BA5610,"erreur de calcul",IF(BD5610&lt;&gt;0,"pas de prix",IF(M5610&lt;&gt; 0,"pas de quantité","pas de prix, ni de quantité"))))</f>
        <v>erreur de calcul</v>
      </c>
      <c r="BI5610" s="19"/>
    </row>
    <row r="5611" customFormat="false" ht="15" hidden="false" customHeight="false" outlineLevel="0" collapsed="false">
      <c r="A5611" s="0" t="n">
        <v>16</v>
      </c>
      <c r="B5611" s="8" t="s">
        <v>24</v>
      </c>
      <c r="C5611" s="9" t="s">
        <v>25</v>
      </c>
      <c r="D5611" s="9" t="s">
        <v>26</v>
      </c>
      <c r="E5611" s="10" t="n">
        <v>1789</v>
      </c>
      <c r="F5611" s="9" t="s">
        <v>27</v>
      </c>
      <c r="G5611" s="9" t="s">
        <v>27</v>
      </c>
      <c r="H5611" s="11" t="n">
        <v>27</v>
      </c>
      <c r="I5611" s="11" t="s">
        <v>427</v>
      </c>
      <c r="J5611" s="14" t="n">
        <v>32</v>
      </c>
      <c r="K5611" s="14"/>
      <c r="L5611" s="16"/>
      <c r="M5611" s="27" t="n">
        <f aca="false">J5611+(K5611/20)+(L5611/240)</f>
        <v>32</v>
      </c>
      <c r="N5611" s="17" t="s">
        <v>64</v>
      </c>
      <c r="O5611" s="11"/>
      <c r="P5611" s="28" t="n">
        <f aca="false">33*288*0.02+179*0.02</f>
        <v>193.66</v>
      </c>
      <c r="Q5611" s="28" t="n">
        <v>6197</v>
      </c>
      <c r="R5611" s="28"/>
      <c r="S5611" s="28" t="n">
        <f aca="false">R5611*$M5611</f>
        <v>0</v>
      </c>
      <c r="T5611" s="28"/>
      <c r="U5611" s="28" t="n">
        <f aca="false">T5611*$M5611</f>
        <v>0</v>
      </c>
      <c r="V5611" s="28"/>
      <c r="W5611" s="28" t="n">
        <f aca="false">V5611*$M5611</f>
        <v>0</v>
      </c>
      <c r="X5611" s="28"/>
      <c r="Y5611" s="28" t="n">
        <f aca="false">X5611*$M5611</f>
        <v>0</v>
      </c>
      <c r="Z5611" s="28"/>
      <c r="AA5611" s="28" t="n">
        <f aca="false">Z5611*$M5611</f>
        <v>0</v>
      </c>
      <c r="AB5611" s="28"/>
      <c r="AC5611" s="28" t="n">
        <f aca="false">AB5611*$M5611</f>
        <v>0</v>
      </c>
      <c r="AD5611" s="28"/>
      <c r="AE5611" s="28" t="n">
        <f aca="false">AD5611*$M5611</f>
        <v>0</v>
      </c>
      <c r="AF5611" s="28"/>
      <c r="AG5611" s="28" t="n">
        <f aca="false">AF5611*$M5611</f>
        <v>0</v>
      </c>
      <c r="AH5611" s="28"/>
      <c r="AI5611" s="28" t="n">
        <f aca="false">AH5611*$M5611</f>
        <v>0</v>
      </c>
      <c r="AJ5611" s="28"/>
      <c r="AK5611" s="28" t="n">
        <f aca="false">AJ5611*$M5611</f>
        <v>0</v>
      </c>
      <c r="AL5611" s="28"/>
      <c r="AM5611" s="28" t="n">
        <f aca="false">AL5611*$M5611</f>
        <v>0</v>
      </c>
      <c r="AN5611" s="28"/>
      <c r="AO5611" s="28" t="n">
        <f aca="false">AN5611*$M5611</f>
        <v>0</v>
      </c>
      <c r="AP5611" s="28"/>
      <c r="AQ5611" s="28" t="n">
        <f aca="false">AP5611*$M5611</f>
        <v>0</v>
      </c>
      <c r="AR5611" s="28"/>
      <c r="AS5611" s="28" t="n">
        <f aca="false">AR5611*$M5611</f>
        <v>0</v>
      </c>
      <c r="AT5611" s="28"/>
      <c r="AU5611" s="28" t="n">
        <f aca="false">AT5611*$M5611</f>
        <v>0</v>
      </c>
      <c r="AV5611" s="28"/>
      <c r="AW5611" s="28" t="n">
        <f aca="false">AV5611*$M5611</f>
        <v>0</v>
      </c>
      <c r="AX5611" s="28"/>
      <c r="AY5611" s="28" t="n">
        <f aca="false">AX5611*$M5611</f>
        <v>0</v>
      </c>
      <c r="AZ5611" s="30" t="n">
        <f aca="false">33*288*0.02+179*0.02</f>
        <v>193.66</v>
      </c>
      <c r="BA5611" s="11" t="n">
        <v>6197</v>
      </c>
      <c r="BB5611" s="31" t="n">
        <f aca="false">SUM(Q5611,S5611,U5611,W5611,Y5611,AA5611,AC5611,AE5611,AG5611,AI5611,AK5611,AM5611,AO5611,AQ5611,AS5611,AU5611,AW5611,AY5611)</f>
        <v>6197</v>
      </c>
      <c r="BC5611" s="28" t="n">
        <f aca="false">BA5611-BB5611</f>
        <v>0</v>
      </c>
      <c r="BD5611" s="32" t="n">
        <f aca="false">SUM(P5611,R5611,T5611,V5611,X5611,Z5611,AB5611,AD5611,AF5611,AH5611,AJ5611,AL5611,AN5611,AP5611,AR5611,AT5611,AV5611,AX5611)</f>
        <v>193.66</v>
      </c>
      <c r="BE5611" s="33" t="n">
        <f aca="false">AZ5611-BD5611</f>
        <v>0</v>
      </c>
      <c r="BF5611" s="34" t="n">
        <f aca="false">BD5611*M5611</f>
        <v>6197.12</v>
      </c>
      <c r="BG5611" s="35" t="n">
        <f aca="false">BA5611-BF5611</f>
        <v>-0.1200000000008</v>
      </c>
      <c r="BH5611" s="19" t="str">
        <f aca="false">IF(BG5611=0,"",IF(BG5611&lt;&gt;BA5611,"erreur de calcul",IF(BD5611&lt;&gt;0,"pas de prix",IF(M5611&lt;&gt; 0,"pas de quantité","pas de prix, ni de quantité"))))</f>
        <v>erreur de calcul</v>
      </c>
      <c r="BI5611" s="19"/>
    </row>
    <row r="5612" customFormat="false" ht="15" hidden="false" customHeight="false" outlineLevel="0" collapsed="false">
      <c r="A5612" s="0" t="n">
        <v>17</v>
      </c>
      <c r="B5612" s="8" t="s">
        <v>24</v>
      </c>
      <c r="C5612" s="9" t="s">
        <v>25</v>
      </c>
      <c r="D5612" s="9" t="s">
        <v>26</v>
      </c>
      <c r="E5612" s="10" t="n">
        <v>1789</v>
      </c>
      <c r="F5612" s="9" t="s">
        <v>27</v>
      </c>
      <c r="G5612" s="9" t="s">
        <v>27</v>
      </c>
      <c r="H5612" s="11" t="n">
        <v>27</v>
      </c>
      <c r="I5612" s="11" t="s">
        <v>428</v>
      </c>
      <c r="J5612" s="14"/>
      <c r="K5612" s="14" t="n">
        <v>12</v>
      </c>
      <c r="L5612" s="16"/>
      <c r="M5612" s="27" t="n">
        <f aca="false">J5612+(K5612/20)+(L5612/240)</f>
        <v>0.6</v>
      </c>
      <c r="N5612" s="17" t="s">
        <v>429</v>
      </c>
      <c r="O5612" s="11"/>
      <c r="P5612" s="28" t="n">
        <f aca="false">620*288+173</f>
        <v>178733</v>
      </c>
      <c r="Q5612" s="28" t="n">
        <v>107240</v>
      </c>
      <c r="R5612" s="28"/>
      <c r="S5612" s="28" t="n">
        <f aca="false">R5612*$M5612</f>
        <v>0</v>
      </c>
      <c r="T5612" s="28"/>
      <c r="U5612" s="28" t="n">
        <f aca="false">T5612*$M5612</f>
        <v>0</v>
      </c>
      <c r="V5612" s="28" t="n">
        <f aca="false">4*288+179</f>
        <v>1331</v>
      </c>
      <c r="W5612" s="28" t="n">
        <v>799</v>
      </c>
      <c r="X5612" s="28"/>
      <c r="Y5612" s="28" t="n">
        <f aca="false">X5612*$M5612</f>
        <v>0</v>
      </c>
      <c r="Z5612" s="28"/>
      <c r="AA5612" s="28" t="n">
        <f aca="false">Z5612*$M5612</f>
        <v>0</v>
      </c>
      <c r="AB5612" s="28"/>
      <c r="AC5612" s="28" t="n">
        <f aca="false">AB5612*$M5612</f>
        <v>0</v>
      </c>
      <c r="AD5612" s="28"/>
      <c r="AE5612" s="28" t="n">
        <f aca="false">AD5612*$M5612</f>
        <v>0</v>
      </c>
      <c r="AF5612" s="28"/>
      <c r="AG5612" s="28" t="n">
        <f aca="false">AF5612*$M5612</f>
        <v>0</v>
      </c>
      <c r="AH5612" s="28" t="n">
        <f aca="false">12*288+227</f>
        <v>3683</v>
      </c>
      <c r="AI5612" s="28" t="n">
        <v>2210</v>
      </c>
      <c r="AJ5612" s="28"/>
      <c r="AK5612" s="28" t="n">
        <f aca="false">AJ5612*$M5612</f>
        <v>0</v>
      </c>
      <c r="AL5612" s="28"/>
      <c r="AM5612" s="28" t="n">
        <f aca="false">AL5612*$M5612</f>
        <v>0</v>
      </c>
      <c r="AN5612" s="28"/>
      <c r="AO5612" s="28" t="n">
        <f aca="false">AN5612*$M5612</f>
        <v>0</v>
      </c>
      <c r="AP5612" s="28"/>
      <c r="AQ5612" s="28" t="n">
        <f aca="false">AP5612*$M5612</f>
        <v>0</v>
      </c>
      <c r="AR5612" s="28"/>
      <c r="AS5612" s="28" t="n">
        <f aca="false">AR5612*$M5612</f>
        <v>0</v>
      </c>
      <c r="AT5612" s="28"/>
      <c r="AU5612" s="28" t="n">
        <f aca="false">AT5612*$M5612</f>
        <v>0</v>
      </c>
      <c r="AV5612" s="28"/>
      <c r="AW5612" s="28" t="n">
        <f aca="false">AV5612*$M5612</f>
        <v>0</v>
      </c>
      <c r="AX5612" s="28"/>
      <c r="AY5612" s="28" t="n">
        <f aca="false">AX5612*$M5612</f>
        <v>0</v>
      </c>
      <c r="AZ5612" s="30" t="n">
        <f aca="false">638*288+3</f>
        <v>183747</v>
      </c>
      <c r="BA5612" s="11" t="n">
        <v>110249</v>
      </c>
      <c r="BB5612" s="31" t="n">
        <f aca="false">SUM(Q5612,S5612,U5612,W5612,Y5612,AA5612,AC5612,AE5612,AG5612,AI5612,AK5612,AM5612,AO5612,AQ5612,AS5612,AU5612,AW5612,AY5612)</f>
        <v>110249</v>
      </c>
      <c r="BC5612" s="28" t="n">
        <f aca="false">BA5612-BB5612</f>
        <v>0</v>
      </c>
      <c r="BD5612" s="32" t="n">
        <f aca="false">SUM(P5612,R5612,T5612,V5612,X5612,Z5612,AB5612,AD5612,AF5612,AH5612,AJ5612,AL5612,AN5612,AP5612,AR5612,AT5612,AV5612,AX5612)</f>
        <v>183747</v>
      </c>
      <c r="BE5612" s="33" t="n">
        <f aca="false">AZ5612-BD5612</f>
        <v>0</v>
      </c>
      <c r="BF5612" s="34" t="n">
        <f aca="false">BD5612*M5612</f>
        <v>110248.2</v>
      </c>
      <c r="BG5612" s="35" t="n">
        <f aca="false">BA5612-BF5612</f>
        <v>0.80000000000291</v>
      </c>
      <c r="BH5612" s="19" t="str">
        <f aca="false">IF(BG5612=0,"",IF(BG5612&lt;&gt;BA5612,"erreur de calcul",IF(BD5612&lt;&gt;0,"pas de prix",IF(M5612&lt;&gt; 0,"pas de quantité","pas de prix, ni de quantité"))))</f>
        <v>erreur de calcul</v>
      </c>
      <c r="BI5612" s="19"/>
    </row>
    <row r="5613" customFormat="false" ht="15" hidden="false" customHeight="false" outlineLevel="0" collapsed="false">
      <c r="A5613" s="0" t="n">
        <v>18</v>
      </c>
      <c r="B5613" s="8" t="s">
        <v>24</v>
      </c>
      <c r="C5613" s="9" t="s">
        <v>25</v>
      </c>
      <c r="D5613" s="9" t="s">
        <v>26</v>
      </c>
      <c r="E5613" s="10" t="n">
        <v>1789</v>
      </c>
      <c r="F5613" s="9" t="s">
        <v>27</v>
      </c>
      <c r="G5613" s="9" t="s">
        <v>27</v>
      </c>
      <c r="H5613" s="11" t="n">
        <v>27</v>
      </c>
      <c r="I5613" s="11" t="s">
        <v>430</v>
      </c>
      <c r="J5613" s="14" t="n">
        <v>30</v>
      </c>
      <c r="K5613" s="14"/>
      <c r="L5613" s="16"/>
      <c r="M5613" s="27" t="n">
        <f aca="false">J5613+(K5613/20)+(L5613/240)</f>
        <v>30</v>
      </c>
      <c r="N5613" s="17" t="s">
        <v>64</v>
      </c>
      <c r="O5613" s="11" t="s">
        <v>77</v>
      </c>
      <c r="P5613" s="28"/>
      <c r="Q5613" s="28" t="n">
        <f aca="false">P5613*$M5613</f>
        <v>0</v>
      </c>
      <c r="R5613" s="28"/>
      <c r="S5613" s="28" t="n">
        <f aca="false">R5613*$M5613</f>
        <v>0</v>
      </c>
      <c r="T5613" s="28" t="n">
        <f aca="false">3*288*0.02+162*0.02</f>
        <v>20.52</v>
      </c>
      <c r="U5613" s="28" t="n">
        <v>616</v>
      </c>
      <c r="V5613" s="28"/>
      <c r="W5613" s="28" t="n">
        <f aca="false">V5613*$M5613</f>
        <v>0</v>
      </c>
      <c r="X5613" s="28" t="n">
        <f aca="false">4*288*0.02+17*0.02</f>
        <v>23.38</v>
      </c>
      <c r="Y5613" s="28" t="n">
        <v>702</v>
      </c>
      <c r="Z5613" s="28" t="n">
        <f aca="false">3*288*0.02+169*0.02</f>
        <v>20.66</v>
      </c>
      <c r="AA5613" s="28" t="n">
        <v>620</v>
      </c>
      <c r="AB5613" s="28" t="n">
        <f aca="false">10*288*0.02+224*0.02</f>
        <v>62.08</v>
      </c>
      <c r="AC5613" s="28" t="n">
        <v>1863</v>
      </c>
      <c r="AD5613" s="28"/>
      <c r="AE5613" s="28" t="n">
        <f aca="false">AD5613*$M5613</f>
        <v>0</v>
      </c>
      <c r="AF5613" s="28"/>
      <c r="AG5613" s="28" t="n">
        <f aca="false">AF5613*$M5613</f>
        <v>0</v>
      </c>
      <c r="AH5613" s="28" t="n">
        <f aca="false">200*0.02</f>
        <v>4</v>
      </c>
      <c r="AI5613" s="28" t="n">
        <v>120</v>
      </c>
      <c r="AJ5613" s="28"/>
      <c r="AK5613" s="28" t="n">
        <f aca="false">AJ5613*$M5613</f>
        <v>0</v>
      </c>
      <c r="AL5613" s="28"/>
      <c r="AM5613" s="28" t="n">
        <f aca="false">AL5613*$M5613</f>
        <v>0</v>
      </c>
      <c r="AN5613" s="28"/>
      <c r="AO5613" s="28" t="n">
        <f aca="false">AN5613*$M5613</f>
        <v>0</v>
      </c>
      <c r="AP5613" s="28"/>
      <c r="AQ5613" s="28" t="n">
        <f aca="false">AP5613*$M5613</f>
        <v>0</v>
      </c>
      <c r="AR5613" s="28"/>
      <c r="AS5613" s="28" t="n">
        <f aca="false">AR5613*$M5613</f>
        <v>0</v>
      </c>
      <c r="AT5613" s="28"/>
      <c r="AU5613" s="28" t="n">
        <f aca="false">AT5613*$M5613</f>
        <v>0</v>
      </c>
      <c r="AV5613" s="28"/>
      <c r="AW5613" s="28" t="n">
        <f aca="false">AV5613*$M5613</f>
        <v>0</v>
      </c>
      <c r="AX5613" s="28"/>
      <c r="AY5613" s="28" t="n">
        <f aca="false">AX5613*$M5613</f>
        <v>0</v>
      </c>
      <c r="AZ5613" s="30" t="n">
        <f aca="false">22*288*0.02+196*0.02</f>
        <v>130.64</v>
      </c>
      <c r="BA5613" s="11" t="n">
        <v>3921</v>
      </c>
      <c r="BB5613" s="31" t="n">
        <f aca="false">SUM(Q5613,S5613,U5613,W5613,Y5613,AA5613,AC5613,AE5613,AG5613,AI5613,AK5613,AM5613,AO5613,AQ5613,AS5613,AU5613,AW5613,AY5613)</f>
        <v>3921</v>
      </c>
      <c r="BC5613" s="28" t="n">
        <f aca="false">BA5613-BB5613</f>
        <v>0</v>
      </c>
      <c r="BD5613" s="32" t="n">
        <f aca="false">SUM(P5613,R5613,T5613,V5613,X5613,Z5613,AB5613,AD5613,AF5613,AH5613,AJ5613,AL5613,AN5613,AP5613,AR5613,AT5613,AV5613,AX5613)</f>
        <v>130.64</v>
      </c>
      <c r="BE5613" s="33" t="n">
        <f aca="false">AZ5613-BD5613</f>
        <v>0</v>
      </c>
      <c r="BF5613" s="34" t="n">
        <f aca="false">BD5613*M5613</f>
        <v>3919.2</v>
      </c>
      <c r="BG5613" s="35" t="n">
        <f aca="false">BA5613-BF5613</f>
        <v>1.80000000000018</v>
      </c>
      <c r="BH5613" s="19" t="str">
        <f aca="false">IF(BG5613=0,"",IF(BG5613&lt;&gt;BA5613,"erreur de calcul",IF(BD5613&lt;&gt;0,"pas de prix",IF(M5613&lt;&gt; 0,"pas de quantité","pas de prix, ni de quantité"))))</f>
        <v>erreur de calcul</v>
      </c>
      <c r="BI5613" s="19"/>
    </row>
    <row r="5614" customFormat="false" ht="15" hidden="false" customHeight="false" outlineLevel="0" collapsed="false">
      <c r="A5614" s="0" t="n">
        <v>19</v>
      </c>
      <c r="B5614" s="8" t="s">
        <v>24</v>
      </c>
      <c r="C5614" s="9" t="s">
        <v>25</v>
      </c>
      <c r="D5614" s="9" t="s">
        <v>26</v>
      </c>
      <c r="E5614" s="10" t="n">
        <v>1789</v>
      </c>
      <c r="F5614" s="9" t="s">
        <v>27</v>
      </c>
      <c r="G5614" s="9" t="s">
        <v>27</v>
      </c>
      <c r="H5614" s="11" t="n">
        <v>27</v>
      </c>
      <c r="I5614" s="11" t="s">
        <v>431</v>
      </c>
      <c r="J5614" s="14" t="n">
        <v>10</v>
      </c>
      <c r="K5614" s="14"/>
      <c r="L5614" s="16"/>
      <c r="M5614" s="27" t="n">
        <f aca="false">J5614+(K5614/20)+(L5614/240)</f>
        <v>10</v>
      </c>
      <c r="N5614" s="17" t="s">
        <v>432</v>
      </c>
      <c r="O5614" s="11" t="s">
        <v>109</v>
      </c>
      <c r="P5614" s="28" t="n">
        <f aca="false">105*(288/62.5)+135/62.5</f>
        <v>486</v>
      </c>
      <c r="Q5614" s="28" t="n">
        <v>4860</v>
      </c>
      <c r="R5614" s="28"/>
      <c r="S5614" s="28" t="n">
        <f aca="false">R5614*$M5614</f>
        <v>0</v>
      </c>
      <c r="T5614" s="28" t="n">
        <f aca="false">8*(288/62.5)+196/62.5</f>
        <v>40</v>
      </c>
      <c r="U5614" s="28" t="n">
        <v>400</v>
      </c>
      <c r="V5614" s="28"/>
      <c r="W5614" s="28" t="n">
        <f aca="false">V5614*$M5614</f>
        <v>0</v>
      </c>
      <c r="X5614" s="28"/>
      <c r="Y5614" s="28" t="n">
        <f aca="false">X5614*$M5614</f>
        <v>0</v>
      </c>
      <c r="Z5614" s="28"/>
      <c r="AA5614" s="28" t="n">
        <f aca="false">Z5614*$M5614</f>
        <v>0</v>
      </c>
      <c r="AB5614" s="28"/>
      <c r="AC5614" s="28" t="n">
        <f aca="false">AB5614*$M5614</f>
        <v>0</v>
      </c>
      <c r="AD5614" s="28"/>
      <c r="AE5614" s="28" t="n">
        <f aca="false">AD5614*$M5614</f>
        <v>0</v>
      </c>
      <c r="AF5614" s="28"/>
      <c r="AG5614" s="28" t="n">
        <f aca="false">AF5614*$M5614</f>
        <v>0</v>
      </c>
      <c r="AH5614" s="28"/>
      <c r="AI5614" s="28" t="n">
        <f aca="false">AH5614*$M5614</f>
        <v>0</v>
      </c>
      <c r="AJ5614" s="28"/>
      <c r="AK5614" s="28" t="n">
        <f aca="false">AJ5614*$M5614</f>
        <v>0</v>
      </c>
      <c r="AL5614" s="28"/>
      <c r="AM5614" s="28" t="n">
        <f aca="false">AL5614*$M5614</f>
        <v>0</v>
      </c>
      <c r="AN5614" s="28"/>
      <c r="AO5614" s="28" t="n">
        <f aca="false">AN5614*$M5614</f>
        <v>0</v>
      </c>
      <c r="AP5614" s="28"/>
      <c r="AQ5614" s="28" t="n">
        <f aca="false">AP5614*$M5614</f>
        <v>0</v>
      </c>
      <c r="AR5614" s="28"/>
      <c r="AS5614" s="28" t="n">
        <f aca="false">AR5614*$M5614</f>
        <v>0</v>
      </c>
      <c r="AT5614" s="28"/>
      <c r="AU5614" s="28" t="n">
        <f aca="false">AT5614*$M5614</f>
        <v>0</v>
      </c>
      <c r="AV5614" s="28"/>
      <c r="AW5614" s="28" t="n">
        <f aca="false">AV5614*$M5614</f>
        <v>0</v>
      </c>
      <c r="AX5614" s="28"/>
      <c r="AY5614" s="28" t="n">
        <f aca="false">AX5614*$M5614</f>
        <v>0</v>
      </c>
      <c r="AZ5614" s="30" t="n">
        <f aca="false">114*(288/62.5)+43/62.5</f>
        <v>526</v>
      </c>
      <c r="BA5614" s="11" t="n">
        <v>5260</v>
      </c>
      <c r="BB5614" s="31" t="n">
        <f aca="false">SUM(Q5614,S5614,U5614,W5614,Y5614,AA5614,AC5614,AE5614,AG5614,AI5614,AK5614,AM5614,AO5614,AQ5614,AS5614,AU5614,AW5614,AY5614)</f>
        <v>5260</v>
      </c>
      <c r="BC5614" s="28" t="n">
        <f aca="false">BA5614-BB5614</f>
        <v>0</v>
      </c>
      <c r="BD5614" s="32" t="n">
        <f aca="false">SUM(P5614,R5614,T5614,V5614,X5614,Z5614,AB5614,AD5614,AF5614,AH5614,AJ5614,AL5614,AN5614,AP5614,AR5614,AT5614,AV5614,AX5614)</f>
        <v>526</v>
      </c>
      <c r="BE5614" s="33" t="n">
        <f aca="false">AZ5614-BD5614</f>
        <v>0</v>
      </c>
      <c r="BF5614" s="34" t="n">
        <f aca="false">BD5614*M5614</f>
        <v>5260</v>
      </c>
      <c r="BG5614" s="35" t="n">
        <f aca="false">BA5614-BF5614</f>
        <v>0</v>
      </c>
      <c r="BH5614" s="19" t="str">
        <f aca="false">IF(BG5614=0,"",IF(BG5614&lt;&gt;BA5614,"erreur de calcul",IF(BD5614&lt;&gt;0,"pas de prix",IF(M5614&lt;&gt; 0,"pas de quantité","pas de prix, ni de quantité"))))</f>
        <v/>
      </c>
      <c r="BI5614" s="19"/>
    </row>
    <row r="5615" customFormat="false" ht="15" hidden="false" customHeight="false" outlineLevel="0" collapsed="false">
      <c r="A5615" s="0" t="n">
        <v>20</v>
      </c>
      <c r="B5615" s="8" t="s">
        <v>24</v>
      </c>
      <c r="C5615" s="9" t="s">
        <v>25</v>
      </c>
      <c r="D5615" s="9" t="s">
        <v>26</v>
      </c>
      <c r="E5615" s="10" t="n">
        <v>1789</v>
      </c>
      <c r="F5615" s="9" t="s">
        <v>27</v>
      </c>
      <c r="G5615" s="9" t="s">
        <v>27</v>
      </c>
      <c r="H5615" s="11" t="n">
        <v>27</v>
      </c>
      <c r="I5615" s="11" t="s">
        <v>433</v>
      </c>
      <c r="J5615" s="14"/>
      <c r="K5615" s="14" t="n">
        <v>14</v>
      </c>
      <c r="L5615" s="16"/>
      <c r="M5615" s="27" t="n">
        <f aca="false">J5615+(K5615/20)+(L5615/240)</f>
        <v>0.7</v>
      </c>
      <c r="N5615" s="17" t="s">
        <v>429</v>
      </c>
      <c r="O5615" s="11"/>
      <c r="P5615" s="28" t="n">
        <f aca="false">103*288+190</f>
        <v>29854</v>
      </c>
      <c r="Q5615" s="28" t="n">
        <v>20898</v>
      </c>
      <c r="R5615" s="28"/>
      <c r="S5615" s="28" t="n">
        <f aca="false">R5615*$M5615</f>
        <v>0</v>
      </c>
      <c r="T5615" s="28"/>
      <c r="U5615" s="28" t="n">
        <f aca="false">T5615*$M5615</f>
        <v>0</v>
      </c>
      <c r="V5615" s="28"/>
      <c r="W5615" s="28" t="n">
        <f aca="false">V5615*$M5615</f>
        <v>0</v>
      </c>
      <c r="X5615" s="28"/>
      <c r="Y5615" s="28" t="n">
        <f aca="false">X5615*$M5615</f>
        <v>0</v>
      </c>
      <c r="Z5615" s="28"/>
      <c r="AA5615" s="28" t="n">
        <f aca="false">Z5615*$M5615</f>
        <v>0</v>
      </c>
      <c r="AB5615" s="28"/>
      <c r="AC5615" s="28" t="n">
        <f aca="false">AB5615*$M5615</f>
        <v>0</v>
      </c>
      <c r="AD5615" s="28"/>
      <c r="AE5615" s="28" t="n">
        <f aca="false">AD5615*$M5615</f>
        <v>0</v>
      </c>
      <c r="AF5615" s="28"/>
      <c r="AG5615" s="28" t="n">
        <f aca="false">AF5615*$M5615</f>
        <v>0</v>
      </c>
      <c r="AH5615" s="28"/>
      <c r="AI5615" s="28" t="n">
        <f aca="false">AH5615*$M5615</f>
        <v>0</v>
      </c>
      <c r="AJ5615" s="28"/>
      <c r="AK5615" s="28" t="n">
        <f aca="false">AJ5615*$M5615</f>
        <v>0</v>
      </c>
      <c r="AL5615" s="28"/>
      <c r="AM5615" s="28" t="n">
        <f aca="false">AL5615*$M5615</f>
        <v>0</v>
      </c>
      <c r="AN5615" s="28"/>
      <c r="AO5615" s="28" t="n">
        <f aca="false">AN5615*$M5615</f>
        <v>0</v>
      </c>
      <c r="AP5615" s="28"/>
      <c r="AQ5615" s="28" t="n">
        <f aca="false">AP5615*$M5615</f>
        <v>0</v>
      </c>
      <c r="AR5615" s="28"/>
      <c r="AS5615" s="28" t="n">
        <f aca="false">AR5615*$M5615</f>
        <v>0</v>
      </c>
      <c r="AT5615" s="28"/>
      <c r="AU5615" s="28" t="n">
        <f aca="false">AT5615*$M5615</f>
        <v>0</v>
      </c>
      <c r="AV5615" s="28"/>
      <c r="AW5615" s="28" t="n">
        <f aca="false">AV5615*$M5615</f>
        <v>0</v>
      </c>
      <c r="AX5615" s="28"/>
      <c r="AY5615" s="28" t="n">
        <f aca="false">AX5615*$M5615</f>
        <v>0</v>
      </c>
      <c r="AZ5615" s="30" t="n">
        <f aca="false">103*288+190</f>
        <v>29854</v>
      </c>
      <c r="BA5615" s="11" t="n">
        <v>20898</v>
      </c>
      <c r="BB5615" s="31" t="n">
        <f aca="false">SUM(Q5615,S5615,U5615,W5615,Y5615,AA5615,AC5615,AE5615,AG5615,AI5615,AK5615,AM5615,AO5615,AQ5615,AS5615,AU5615,AW5615,AY5615)</f>
        <v>20898</v>
      </c>
      <c r="BC5615" s="28" t="n">
        <f aca="false">BA5615-BB5615</f>
        <v>0</v>
      </c>
      <c r="BD5615" s="32" t="n">
        <f aca="false">SUM(P5615,R5615,T5615,V5615,X5615,Z5615,AB5615,AD5615,AF5615,AH5615,AJ5615,AL5615,AN5615,AP5615,AR5615,AT5615,AV5615,AX5615)</f>
        <v>29854</v>
      </c>
      <c r="BE5615" s="33" t="n">
        <f aca="false">AZ5615-BD5615</f>
        <v>0</v>
      </c>
      <c r="BF5615" s="34" t="n">
        <f aca="false">BD5615*M5615</f>
        <v>20897.8</v>
      </c>
      <c r="BG5615" s="35" t="n">
        <f aca="false">BA5615-BF5615</f>
        <v>0.200000000000728</v>
      </c>
      <c r="BH5615" s="19" t="str">
        <f aca="false">IF(BG5615=0,"",IF(BG5615&lt;&gt;BA5615,"erreur de calcul",IF(BD5615&lt;&gt;0,"pas de prix",IF(M5615&lt;&gt; 0,"pas de quantité","pas de prix, ni de quantité"))))</f>
        <v>erreur de calcul</v>
      </c>
      <c r="BI5615" s="19"/>
    </row>
    <row r="5616" customFormat="false" ht="15" hidden="false" customHeight="false" outlineLevel="0" collapsed="false">
      <c r="A5616" s="0" t="n">
        <v>21</v>
      </c>
      <c r="B5616" s="8" t="s">
        <v>24</v>
      </c>
      <c r="C5616" s="9" t="s">
        <v>25</v>
      </c>
      <c r="D5616" s="9" t="s">
        <v>26</v>
      </c>
      <c r="E5616" s="10" t="n">
        <v>1789</v>
      </c>
      <c r="F5616" s="9" t="s">
        <v>27</v>
      </c>
      <c r="G5616" s="9" t="s">
        <v>27</v>
      </c>
      <c r="H5616" s="11" t="n">
        <v>27</v>
      </c>
      <c r="I5616" s="11" t="s">
        <v>434</v>
      </c>
      <c r="J5616" s="14"/>
      <c r="K5616" s="14" t="n">
        <v>5</v>
      </c>
      <c r="L5616" s="16"/>
      <c r="M5616" s="27" t="n">
        <f aca="false">J5616+(K5616/20)+(L5616/240)</f>
        <v>0.25</v>
      </c>
      <c r="N5616" s="17" t="s">
        <v>79</v>
      </c>
      <c r="O5616" s="11"/>
      <c r="P5616" s="28" t="n">
        <v>300402</v>
      </c>
      <c r="Q5616" s="28" t="n">
        <v>75100</v>
      </c>
      <c r="R5616" s="28"/>
      <c r="S5616" s="28" t="n">
        <f aca="false">R5616*$M5616</f>
        <v>0</v>
      </c>
      <c r="T5616" s="28"/>
      <c r="U5616" s="28" t="n">
        <f aca="false">T5616*$M5616</f>
        <v>0</v>
      </c>
      <c r="V5616" s="28" t="n">
        <v>448</v>
      </c>
      <c r="W5616" s="28" t="n">
        <v>112</v>
      </c>
      <c r="X5616" s="28"/>
      <c r="Y5616" s="28" t="n">
        <f aca="false">X5616*$M5616</f>
        <v>0</v>
      </c>
      <c r="Z5616" s="28"/>
      <c r="AA5616" s="28" t="n">
        <f aca="false">Z5616*$M5616</f>
        <v>0</v>
      </c>
      <c r="AB5616" s="28"/>
      <c r="AC5616" s="28" t="n">
        <f aca="false">AB5616*$M5616</f>
        <v>0</v>
      </c>
      <c r="AD5616" s="28"/>
      <c r="AE5616" s="28" t="n">
        <f aca="false">AD5616*$M5616</f>
        <v>0</v>
      </c>
      <c r="AF5616" s="28"/>
      <c r="AG5616" s="28" t="n">
        <f aca="false">AF5616*$M5616</f>
        <v>0</v>
      </c>
      <c r="AH5616" s="28"/>
      <c r="AI5616" s="28" t="n">
        <f aca="false">AH5616*$M5616</f>
        <v>0</v>
      </c>
      <c r="AJ5616" s="28"/>
      <c r="AK5616" s="28" t="n">
        <f aca="false">AJ5616*$M5616</f>
        <v>0</v>
      </c>
      <c r="AL5616" s="28"/>
      <c r="AM5616" s="28" t="n">
        <f aca="false">AL5616*$M5616</f>
        <v>0</v>
      </c>
      <c r="AN5616" s="28"/>
      <c r="AO5616" s="28" t="n">
        <f aca="false">AN5616*$M5616</f>
        <v>0</v>
      </c>
      <c r="AP5616" s="28"/>
      <c r="AQ5616" s="28" t="n">
        <f aca="false">AP5616*$M5616</f>
        <v>0</v>
      </c>
      <c r="AR5616" s="28"/>
      <c r="AS5616" s="28" t="n">
        <f aca="false">AR5616*$M5616</f>
        <v>0</v>
      </c>
      <c r="AT5616" s="28"/>
      <c r="AU5616" s="28" t="n">
        <f aca="false">AT5616*$M5616</f>
        <v>0</v>
      </c>
      <c r="AV5616" s="28"/>
      <c r="AW5616" s="28" t="n">
        <f aca="false">AV5616*$M5616</f>
        <v>0</v>
      </c>
      <c r="AX5616" s="28"/>
      <c r="AY5616" s="28" t="n">
        <f aca="false">AX5616*$M5616</f>
        <v>0</v>
      </c>
      <c r="AZ5616" s="30" t="n">
        <v>300850</v>
      </c>
      <c r="BA5616" s="11" t="n">
        <v>75212</v>
      </c>
      <c r="BB5616" s="31" t="n">
        <f aca="false">SUM(Q5616,S5616,U5616,W5616,Y5616,AA5616,AC5616,AE5616,AG5616,AI5616,AK5616,AM5616,AO5616,AQ5616,AS5616,AU5616,AW5616,AY5616)</f>
        <v>75212</v>
      </c>
      <c r="BC5616" s="28" t="n">
        <f aca="false">BA5616-BB5616</f>
        <v>0</v>
      </c>
      <c r="BD5616" s="32" t="n">
        <f aca="false">SUM(P5616,R5616,T5616,V5616,X5616,Z5616,AB5616,AD5616,AF5616,AH5616,AJ5616,AL5616,AN5616,AP5616,AR5616,AT5616,AV5616,AX5616)</f>
        <v>300850</v>
      </c>
      <c r="BE5616" s="33" t="n">
        <f aca="false">AZ5616-BD5616</f>
        <v>0</v>
      </c>
      <c r="BF5616" s="34" t="n">
        <f aca="false">BD5616*M5616</f>
        <v>75212.5</v>
      </c>
      <c r="BG5616" s="35" t="n">
        <f aca="false">BA5616-BF5616</f>
        <v>-0.5</v>
      </c>
      <c r="BH5616" s="19" t="str">
        <f aca="false">IF(BG5616=0,"",IF(BG5616&lt;&gt;BA5616,"erreur de calcul",IF(BD5616&lt;&gt;0,"pas de prix",IF(M5616&lt;&gt; 0,"pas de quantité","pas de prix, ni de quantité"))))</f>
        <v>erreur de calcul</v>
      </c>
      <c r="BI5616" s="19"/>
    </row>
    <row r="5617" customFormat="false" ht="78.4" hidden="false" customHeight="true" outlineLevel="0" collapsed="false">
      <c r="A5617" s="0" t="s">
        <v>31</v>
      </c>
      <c r="B5617" s="2" t="s">
        <v>0</v>
      </c>
      <c r="C5617" s="2" t="s">
        <v>1</v>
      </c>
      <c r="D5617" s="2" t="s">
        <v>2</v>
      </c>
      <c r="E5617" s="2" t="s">
        <v>3</v>
      </c>
      <c r="F5617" s="2" t="s">
        <v>4</v>
      </c>
      <c r="G5617" s="2" t="s">
        <v>5</v>
      </c>
      <c r="H5617" s="2" t="s">
        <v>6</v>
      </c>
      <c r="I5617" s="3" t="s">
        <v>7</v>
      </c>
      <c r="J5617" s="5" t="s">
        <v>12</v>
      </c>
      <c r="K5617" s="5" t="s">
        <v>13</v>
      </c>
      <c r="L5617" s="5" t="s">
        <v>14</v>
      </c>
      <c r="M5617" s="7" t="s">
        <v>15</v>
      </c>
      <c r="N5617" s="6" t="s">
        <v>32</v>
      </c>
      <c r="O5617" s="6" t="s">
        <v>33</v>
      </c>
      <c r="P5617" s="6" t="s">
        <v>34</v>
      </c>
      <c r="Q5617" s="6"/>
      <c r="R5617" s="6" t="s">
        <v>35</v>
      </c>
      <c r="S5617" s="6"/>
      <c r="T5617" s="6" t="s">
        <v>36</v>
      </c>
      <c r="U5617" s="6"/>
      <c r="V5617" s="6" t="s">
        <v>37</v>
      </c>
      <c r="W5617" s="6"/>
      <c r="X5617" s="6" t="s">
        <v>38</v>
      </c>
      <c r="Y5617" s="6"/>
      <c r="Z5617" s="6" t="s">
        <v>39</v>
      </c>
      <c r="AA5617" s="6"/>
      <c r="AB5617" s="6" t="s">
        <v>40</v>
      </c>
      <c r="AC5617" s="6"/>
      <c r="AD5617" s="6" t="s">
        <v>41</v>
      </c>
      <c r="AE5617" s="6"/>
      <c r="AF5617" s="6" t="s">
        <v>42</v>
      </c>
      <c r="AG5617" s="6"/>
      <c r="AH5617" s="6" t="s">
        <v>43</v>
      </c>
      <c r="AI5617" s="6"/>
      <c r="AJ5617" s="6" t="s">
        <v>44</v>
      </c>
      <c r="AK5617" s="6"/>
      <c r="AL5617" s="6" t="s">
        <v>45</v>
      </c>
      <c r="AM5617" s="6"/>
      <c r="AN5617" s="6" t="s">
        <v>46</v>
      </c>
      <c r="AO5617" s="6"/>
      <c r="AP5617" s="6" t="s">
        <v>47</v>
      </c>
      <c r="AQ5617" s="6"/>
      <c r="AR5617" s="6" t="s">
        <v>48</v>
      </c>
      <c r="AS5617" s="6"/>
      <c r="AT5617" s="6" t="s">
        <v>49</v>
      </c>
      <c r="AU5617" s="6"/>
      <c r="AV5617" s="6" t="s">
        <v>50</v>
      </c>
      <c r="AW5617" s="6"/>
      <c r="AX5617" s="6" t="s">
        <v>51</v>
      </c>
      <c r="AY5617" s="6"/>
      <c r="AZ5617" s="6" t="s">
        <v>52</v>
      </c>
      <c r="BA5617" s="6"/>
      <c r="BB5617" s="6"/>
      <c r="BC5617" s="6"/>
      <c r="BD5617" s="6" t="s">
        <v>53</v>
      </c>
      <c r="BE5617" s="6" t="s">
        <v>54</v>
      </c>
      <c r="BF5617" s="6" t="s">
        <v>55</v>
      </c>
      <c r="BG5617" s="6" t="s">
        <v>56</v>
      </c>
      <c r="BH5617" s="6" t="s">
        <v>57</v>
      </c>
      <c r="BI5617" s="6" t="s">
        <v>23</v>
      </c>
    </row>
    <row r="5618" customFormat="false" ht="15" hidden="false" customHeight="false" outlineLevel="0" collapsed="false">
      <c r="B5618" s="20"/>
      <c r="C5618" s="20"/>
      <c r="D5618" s="20"/>
      <c r="E5618" s="21"/>
      <c r="F5618" s="20"/>
      <c r="G5618" s="20"/>
      <c r="H5618" s="20"/>
      <c r="I5618" s="22"/>
      <c r="J5618" s="23"/>
      <c r="K5618" s="23"/>
      <c r="L5618" s="24"/>
      <c r="M5618" s="25"/>
      <c r="N5618" s="25"/>
      <c r="O5618" s="26" t="s">
        <v>58</v>
      </c>
      <c r="P5618" s="25" t="s">
        <v>59</v>
      </c>
      <c r="Q5618" s="25" t="s">
        <v>60</v>
      </c>
      <c r="R5618" s="25" t="s">
        <v>59</v>
      </c>
      <c r="S5618" s="25" t="s">
        <v>60</v>
      </c>
      <c r="T5618" s="25" t="s">
        <v>59</v>
      </c>
      <c r="U5618" s="25" t="s">
        <v>60</v>
      </c>
      <c r="V5618" s="25" t="s">
        <v>59</v>
      </c>
      <c r="W5618" s="25" t="s">
        <v>60</v>
      </c>
      <c r="X5618" s="25" t="s">
        <v>59</v>
      </c>
      <c r="Y5618" s="25" t="s">
        <v>60</v>
      </c>
      <c r="Z5618" s="25" t="s">
        <v>59</v>
      </c>
      <c r="AA5618" s="25" t="s">
        <v>60</v>
      </c>
      <c r="AB5618" s="25" t="s">
        <v>59</v>
      </c>
      <c r="AC5618" s="25" t="s">
        <v>60</v>
      </c>
      <c r="AD5618" s="25" t="s">
        <v>59</v>
      </c>
      <c r="AE5618" s="25" t="s">
        <v>60</v>
      </c>
      <c r="AF5618" s="25" t="s">
        <v>59</v>
      </c>
      <c r="AG5618" s="25" t="s">
        <v>60</v>
      </c>
      <c r="AH5618" s="25" t="s">
        <v>59</v>
      </c>
      <c r="AI5618" s="25" t="s">
        <v>60</v>
      </c>
      <c r="AJ5618" s="25" t="s">
        <v>59</v>
      </c>
      <c r="AK5618" s="25" t="s">
        <v>60</v>
      </c>
      <c r="AL5618" s="25" t="s">
        <v>59</v>
      </c>
      <c r="AM5618" s="25" t="s">
        <v>60</v>
      </c>
      <c r="AN5618" s="25" t="s">
        <v>59</v>
      </c>
      <c r="AO5618" s="25" t="s">
        <v>60</v>
      </c>
      <c r="AP5618" s="25" t="s">
        <v>59</v>
      </c>
      <c r="AQ5618" s="25" t="s">
        <v>60</v>
      </c>
      <c r="AR5618" s="25" t="s">
        <v>59</v>
      </c>
      <c r="AS5618" s="25" t="s">
        <v>60</v>
      </c>
      <c r="AT5618" s="25" t="s">
        <v>59</v>
      </c>
      <c r="AU5618" s="25" t="s">
        <v>60</v>
      </c>
      <c r="AV5618" s="25" t="s">
        <v>59</v>
      </c>
      <c r="AW5618" s="25" t="s">
        <v>60</v>
      </c>
      <c r="AX5618" s="25" t="s">
        <v>59</v>
      </c>
      <c r="AY5618" s="25" t="s">
        <v>60</v>
      </c>
      <c r="AZ5618" s="25" t="s">
        <v>59</v>
      </c>
      <c r="BA5618" s="25" t="s">
        <v>60</v>
      </c>
      <c r="BB5618" s="25" t="s">
        <v>61</v>
      </c>
      <c r="BC5618" s="25" t="s">
        <v>62</v>
      </c>
      <c r="BD5618" s="20"/>
      <c r="BE5618" s="20"/>
      <c r="BF5618" s="20"/>
      <c r="BG5618" s="20"/>
      <c r="BH5618" s="20"/>
      <c r="BI5618" s="20"/>
    </row>
    <row r="5619" customFormat="false" ht="15" hidden="false" customHeight="false" outlineLevel="0" collapsed="false">
      <c r="A5619" s="0" t="n">
        <v>1</v>
      </c>
      <c r="B5619" s="8" t="s">
        <v>24</v>
      </c>
      <c r="C5619" s="9" t="s">
        <v>25</v>
      </c>
      <c r="D5619" s="9" t="s">
        <v>26</v>
      </c>
      <c r="E5619" s="10" t="n">
        <v>1789</v>
      </c>
      <c r="F5619" s="9" t="s">
        <v>27</v>
      </c>
      <c r="G5619" s="9" t="s">
        <v>27</v>
      </c>
      <c r="H5619" s="11" t="n">
        <v>18</v>
      </c>
      <c r="I5619" s="11" t="s">
        <v>63</v>
      </c>
      <c r="J5619" s="14" t="n">
        <v>27</v>
      </c>
      <c r="K5619" s="14"/>
      <c r="L5619" s="16"/>
      <c r="M5619" s="27" t="n">
        <f aca="false">J5619+(K5619/20)+(L5619/240)</f>
        <v>27</v>
      </c>
      <c r="N5619" s="17" t="s">
        <v>64</v>
      </c>
      <c r="O5619" s="11"/>
      <c r="P5619" s="28"/>
      <c r="Q5619" s="28" t="n">
        <f aca="false">P5619*$M5619</f>
        <v>0</v>
      </c>
      <c r="R5619" s="28"/>
      <c r="S5619" s="28" t="n">
        <f aca="false">R5619*$M5619</f>
        <v>0</v>
      </c>
      <c r="T5619" s="28"/>
      <c r="U5619" s="28" t="n">
        <f aca="false">T5619*$M5619</f>
        <v>0</v>
      </c>
      <c r="V5619" s="28" t="n">
        <f aca="false">700/100</f>
        <v>7</v>
      </c>
      <c r="W5619" s="28" t="n">
        <v>189</v>
      </c>
      <c r="X5619" s="29"/>
      <c r="Y5619" s="28" t="n">
        <v>9506</v>
      </c>
      <c r="Z5619" s="28"/>
      <c r="AA5619" s="28" t="n">
        <f aca="false">Z5619*$M5619</f>
        <v>0</v>
      </c>
      <c r="AB5619" s="28"/>
      <c r="AC5619" s="28" t="n">
        <f aca="false">AB5619*$M5619</f>
        <v>0</v>
      </c>
      <c r="AD5619" s="28"/>
      <c r="AE5619" s="28" t="n">
        <f aca="false">AD5619*$M5619</f>
        <v>0</v>
      </c>
      <c r="AF5619" s="28"/>
      <c r="AG5619" s="28" t="n">
        <f aca="false">AF5619*$M5619</f>
        <v>0</v>
      </c>
      <c r="AH5619" s="28"/>
      <c r="AI5619" s="28" t="n">
        <f aca="false">AH5619*$M5619</f>
        <v>0</v>
      </c>
      <c r="AJ5619" s="28" t="n">
        <f aca="false">72509/100</f>
        <v>725.09</v>
      </c>
      <c r="AK5619" s="28" t="n">
        <v>19577</v>
      </c>
      <c r="AL5619" s="28"/>
      <c r="AM5619" s="28" t="n">
        <f aca="false">AL5619*$M5619</f>
        <v>0</v>
      </c>
      <c r="AN5619" s="28"/>
      <c r="AO5619" s="28" t="n">
        <f aca="false">AN5619*$M5619</f>
        <v>0</v>
      </c>
      <c r="AP5619" s="28"/>
      <c r="AQ5619" s="28" t="n">
        <f aca="false">AP5619*$M5619</f>
        <v>0</v>
      </c>
      <c r="AR5619" s="28" t="n">
        <f aca="false">36750/100</f>
        <v>367.5</v>
      </c>
      <c r="AS5619" s="28" t="n">
        <v>9922</v>
      </c>
      <c r="AT5619" s="28"/>
      <c r="AU5619" s="28" t="n">
        <f aca="false">AT5619*$M5619</f>
        <v>0</v>
      </c>
      <c r="AV5619" s="28"/>
      <c r="AW5619" s="28" t="n">
        <f aca="false">AV5619*$M5619</f>
        <v>0</v>
      </c>
      <c r="AX5619" s="28"/>
      <c r="AY5619" s="28" t="n">
        <f aca="false">AX5619*$M5619</f>
        <v>0</v>
      </c>
      <c r="AZ5619" s="30" t="n">
        <f aca="false">145166/100</f>
        <v>1451.66</v>
      </c>
      <c r="BA5619" s="11" t="n">
        <v>39194</v>
      </c>
      <c r="BB5619" s="31" t="n">
        <f aca="false">SUM(Q5619,S5619,U5619,W5619,Y5619,AA5619,AC5619,AE5619,AG5619,AI5619,AK5619,AM5619,AO5619,AQ5619,AS5619,AU5619,AW5619,AY5619)</f>
        <v>39194</v>
      </c>
      <c r="BC5619" s="28" t="n">
        <f aca="false">BA5619-BB5619</f>
        <v>0</v>
      </c>
      <c r="BD5619" s="32" t="n">
        <f aca="false">SUM(P5619,R5619,T5619,V5619,X5619,Z5619,AB5619,AD5619,AF5619,AH5619,AJ5619,AL5619,AN5619,AP5619,AR5619,AT5619,AV5619,AX5619)</f>
        <v>1099.59</v>
      </c>
      <c r="BE5619" s="33" t="n">
        <f aca="false">AZ5619-BD5619</f>
        <v>352.07</v>
      </c>
      <c r="BF5619" s="34" t="n">
        <f aca="false">BD5619*M5619</f>
        <v>29688.93</v>
      </c>
      <c r="BG5619" s="35" t="n">
        <f aca="false">BA5619-BF5619</f>
        <v>9505.07</v>
      </c>
      <c r="BH5619" s="19" t="str">
        <f aca="false">IF(BG5619=0,"",IF(BG5619&lt;&gt;BA5619,"erreur de calcul",IF(BD5619&lt;&gt;0,"pas de prix",IF(M5619&lt;&gt; 0,"pas de quantité","pas de prix, ni de quantité"))))</f>
        <v>erreur de calcul</v>
      </c>
      <c r="BI5619" s="19"/>
    </row>
    <row r="5620" customFormat="false" ht="15" hidden="false" customHeight="false" outlineLevel="0" collapsed="false">
      <c r="A5620" s="0" t="n">
        <v>2</v>
      </c>
      <c r="B5620" s="8" t="s">
        <v>24</v>
      </c>
      <c r="C5620" s="9" t="s">
        <v>25</v>
      </c>
      <c r="D5620" s="9" t="s">
        <v>26</v>
      </c>
      <c r="E5620" s="10" t="n">
        <v>1789</v>
      </c>
      <c r="F5620" s="9" t="s">
        <v>27</v>
      </c>
      <c r="G5620" s="9" t="s">
        <v>27</v>
      </c>
      <c r="H5620" s="11" t="n">
        <v>18</v>
      </c>
      <c r="I5620" s="11" t="s">
        <v>65</v>
      </c>
      <c r="J5620" s="14"/>
      <c r="K5620" s="14" t="n">
        <v>20</v>
      </c>
      <c r="L5620" s="16"/>
      <c r="M5620" s="27" t="n">
        <f aca="false">J5620+(K5620/20)+(L5620/240)</f>
        <v>1</v>
      </c>
      <c r="N5620" s="17" t="s">
        <v>66</v>
      </c>
      <c r="O5620" s="11"/>
      <c r="P5620" s="28"/>
      <c r="Q5620" s="28" t="n">
        <f aca="false">P5620*$M5620</f>
        <v>0</v>
      </c>
      <c r="R5620" s="28"/>
      <c r="S5620" s="28" t="n">
        <f aca="false">R5620*$M5620</f>
        <v>0</v>
      </c>
      <c r="T5620" s="28"/>
      <c r="U5620" s="28" t="n">
        <f aca="false">T5620*$M5620</f>
        <v>0</v>
      </c>
      <c r="V5620" s="28" t="n">
        <v>2365</v>
      </c>
      <c r="W5620" s="28" t="n">
        <v>2365</v>
      </c>
      <c r="X5620" s="29" t="n">
        <v>234</v>
      </c>
      <c r="Y5620" s="28" t="n">
        <v>234</v>
      </c>
      <c r="Z5620" s="28"/>
      <c r="AA5620" s="28" t="n">
        <f aca="false">Z5620*$M5620</f>
        <v>0</v>
      </c>
      <c r="AB5620" s="28" t="n">
        <v>17776</v>
      </c>
      <c r="AC5620" s="28" t="n">
        <v>17776</v>
      </c>
      <c r="AD5620" s="28"/>
      <c r="AE5620" s="28" t="n">
        <f aca="false">AD5620*$M5620</f>
        <v>0</v>
      </c>
      <c r="AF5620" s="28"/>
      <c r="AG5620" s="28" t="n">
        <f aca="false">AF5620*$M5620</f>
        <v>0</v>
      </c>
      <c r="AH5620" s="28"/>
      <c r="AI5620" s="28" t="n">
        <f aca="false">AH5620*$M5620</f>
        <v>0</v>
      </c>
      <c r="AJ5620" s="28"/>
      <c r="AK5620" s="28" t="n">
        <f aca="false">AJ5620*$M5620</f>
        <v>0</v>
      </c>
      <c r="AL5620" s="28"/>
      <c r="AM5620" s="28" t="n">
        <f aca="false">AL5620*$M5620</f>
        <v>0</v>
      </c>
      <c r="AN5620" s="28"/>
      <c r="AO5620" s="28" t="n">
        <f aca="false">AN5620*$M5620</f>
        <v>0</v>
      </c>
      <c r="AP5620" s="28"/>
      <c r="AQ5620" s="28" t="n">
        <f aca="false">AP5620*$M5620</f>
        <v>0</v>
      </c>
      <c r="AR5620" s="28"/>
      <c r="AS5620" s="28" t="n">
        <f aca="false">AR5620*$M5620</f>
        <v>0</v>
      </c>
      <c r="AT5620" s="28"/>
      <c r="AU5620" s="28" t="n">
        <f aca="false">AT5620*$M5620</f>
        <v>0</v>
      </c>
      <c r="AV5620" s="28"/>
      <c r="AW5620" s="28" t="n">
        <f aca="false">AV5620*$M5620</f>
        <v>0</v>
      </c>
      <c r="AX5620" s="28"/>
      <c r="AY5620" s="28" t="n">
        <f aca="false">AX5620*$M5620</f>
        <v>0</v>
      </c>
      <c r="AZ5620" s="30" t="n">
        <v>20375</v>
      </c>
      <c r="BA5620" s="11" t="n">
        <v>20375</v>
      </c>
      <c r="BB5620" s="31" t="n">
        <f aca="false">SUM(Q5620,S5620,U5620,W5620,Y5620,AA5620,AC5620,AE5620,AG5620,AI5620,AK5620,AM5620,AO5620,AQ5620,AS5620,AU5620,AW5620,AY5620)</f>
        <v>20375</v>
      </c>
      <c r="BC5620" s="28" t="n">
        <f aca="false">BA5620-BB5620</f>
        <v>0</v>
      </c>
      <c r="BD5620" s="32" t="n">
        <f aca="false">SUM(P5620,R5620,T5620,V5620,X5620,Z5620,AB5620,AD5620,AF5620,AH5620,AJ5620,AL5620,AN5620,AP5620,AR5620,AT5620,AV5620,AX5620)</f>
        <v>20375</v>
      </c>
      <c r="BE5620" s="33" t="n">
        <f aca="false">AZ5620-BD5620</f>
        <v>0</v>
      </c>
      <c r="BF5620" s="34" t="n">
        <f aca="false">BD5620*M5620</f>
        <v>20375</v>
      </c>
      <c r="BG5620" s="35" t="n">
        <f aca="false">BA5620-BF5620</f>
        <v>0</v>
      </c>
      <c r="BH5620" s="19" t="str">
        <f aca="false">IF(BG5620=0,"",IF(BG5620&lt;&gt;BA5620,"erreur de calcul",IF(BD5620&lt;&gt;0,"pas de prix",IF(M5620&lt;&gt; 0,"pas de quantité","pas de prix, ni de quantité"))))</f>
        <v/>
      </c>
      <c r="BI5620" s="19"/>
    </row>
    <row r="5621" customFormat="false" ht="15" hidden="false" customHeight="false" outlineLevel="0" collapsed="false">
      <c r="A5621" s="0" t="n">
        <v>3</v>
      </c>
      <c r="B5621" s="8" t="s">
        <v>24</v>
      </c>
      <c r="C5621" s="9" t="s">
        <v>25</v>
      </c>
      <c r="D5621" s="9" t="s">
        <v>26</v>
      </c>
      <c r="E5621" s="10" t="n">
        <v>1789</v>
      </c>
      <c r="F5621" s="9" t="s">
        <v>27</v>
      </c>
      <c r="G5621" s="9" t="s">
        <v>27</v>
      </c>
      <c r="H5621" s="11" t="n">
        <v>18</v>
      </c>
      <c r="I5621" s="11" t="s">
        <v>67</v>
      </c>
      <c r="J5621" s="14" t="n">
        <v>56</v>
      </c>
      <c r="K5621" s="14"/>
      <c r="L5621" s="16"/>
      <c r="M5621" s="27" t="n">
        <f aca="false">J5621+(K5621/20)+(L5621/240)</f>
        <v>56</v>
      </c>
      <c r="N5621" s="17" t="s">
        <v>64</v>
      </c>
      <c r="O5621" s="11"/>
      <c r="P5621" s="28" t="n">
        <f aca="false">27159/100</f>
        <v>271.59</v>
      </c>
      <c r="Q5621" s="28" t="n">
        <v>15209</v>
      </c>
      <c r="R5621" s="28"/>
      <c r="S5621" s="28" t="n">
        <f aca="false">R5621*$M5621</f>
        <v>0</v>
      </c>
      <c r="T5621" s="28" t="n">
        <f aca="false">1044/100</f>
        <v>10.44</v>
      </c>
      <c r="U5621" s="28" t="n">
        <v>585</v>
      </c>
      <c r="V5621" s="28" t="n">
        <f aca="false">1838/100</f>
        <v>18.38</v>
      </c>
      <c r="W5621" s="36" t="n">
        <v>4557</v>
      </c>
      <c r="X5621" s="29"/>
      <c r="Y5621" s="28" t="n">
        <v>2566</v>
      </c>
      <c r="Z5621" s="28"/>
      <c r="AA5621" s="28" t="n">
        <f aca="false">Z5621*$M5621</f>
        <v>0</v>
      </c>
      <c r="AB5621" s="28" t="n">
        <f aca="false">17833/100</f>
        <v>178.33</v>
      </c>
      <c r="AC5621" s="28" t="n">
        <v>9986</v>
      </c>
      <c r="AD5621" s="28"/>
      <c r="AE5621" s="28" t="n">
        <f aca="false">AD5621*$M5621</f>
        <v>0</v>
      </c>
      <c r="AF5621" s="28" t="n">
        <f aca="false">30595/100</f>
        <v>305.95</v>
      </c>
      <c r="AG5621" s="28" t="n">
        <v>17133</v>
      </c>
      <c r="AH5621" s="28"/>
      <c r="AI5621" s="28" t="n">
        <f aca="false">AH5621*$M5621</f>
        <v>0</v>
      </c>
      <c r="AJ5621" s="28"/>
      <c r="AK5621" s="28" t="n">
        <f aca="false">AJ5621*$M5621</f>
        <v>0</v>
      </c>
      <c r="AL5621" s="28"/>
      <c r="AM5621" s="28" t="n">
        <f aca="false">AL5621*$M5621</f>
        <v>0</v>
      </c>
      <c r="AN5621" s="28"/>
      <c r="AO5621" s="28" t="n">
        <f aca="false">AN5621*$M5621</f>
        <v>0</v>
      </c>
      <c r="AP5621" s="28"/>
      <c r="AQ5621" s="28" t="n">
        <f aca="false">AP5621*$M5621</f>
        <v>0</v>
      </c>
      <c r="AR5621" s="28"/>
      <c r="AS5621" s="28" t="n">
        <f aca="false">AR5621*$M5621</f>
        <v>0</v>
      </c>
      <c r="AT5621" s="28"/>
      <c r="AU5621" s="28" t="n">
        <f aca="false">AT5621*$M5621</f>
        <v>0</v>
      </c>
      <c r="AV5621" s="28"/>
      <c r="AW5621" s="28" t="n">
        <f aca="false">AV5621*$M5621</f>
        <v>0</v>
      </c>
      <c r="AX5621" s="28"/>
      <c r="AY5621" s="28" t="n">
        <f aca="false">AX5621*$M5621</f>
        <v>0</v>
      </c>
      <c r="AZ5621" s="30" t="n">
        <f aca="false">83051/100</f>
        <v>830.51</v>
      </c>
      <c r="BA5621" s="11" t="n">
        <v>50036</v>
      </c>
      <c r="BB5621" s="31" t="n">
        <f aca="false">SUM(Q5621,S5621,U5621,W5621,Y5621,AA5621,AC5621,AE5621,AG5621,AI5621,AK5621,AM5621,AO5621,AQ5621,AS5621,AU5621,AW5621,AY5621)</f>
        <v>50036</v>
      </c>
      <c r="BC5621" s="28" t="n">
        <f aca="false">BA5621-BB5621</f>
        <v>0</v>
      </c>
      <c r="BD5621" s="32" t="n">
        <f aca="false">SUM(P5621,R5621,T5621,V5621,X5621,Z5621,AB5621,AD5621,AF5621,AH5621,AJ5621,AL5621,AN5621,AP5621,AR5621,AT5621,AV5621,AX5621)</f>
        <v>784.69</v>
      </c>
      <c r="BE5621" s="33" t="n">
        <f aca="false">AZ5621-BD5621</f>
        <v>45.8199999999999</v>
      </c>
      <c r="BF5621" s="34" t="n">
        <f aca="false">BD5621*M5621</f>
        <v>43942.64</v>
      </c>
      <c r="BG5621" s="35" t="n">
        <f aca="false">BA5621-BF5621</f>
        <v>6093.36</v>
      </c>
      <c r="BH5621" s="19" t="str">
        <f aca="false">IF(BG5621=0,"",IF(BG5621&lt;&gt;BA5621,"erreur de calcul",IF(BD5621&lt;&gt;0,"pas de prix",IF(M5621&lt;&gt; 0,"pas de quantité","pas de prix, ni de quantité"))))</f>
        <v>erreur de calcul</v>
      </c>
      <c r="BI5621" s="19"/>
    </row>
    <row r="5622" customFormat="false" ht="15" hidden="false" customHeight="false" outlineLevel="0" collapsed="false">
      <c r="A5622" s="0" t="n">
        <v>4</v>
      </c>
      <c r="B5622" s="8" t="s">
        <v>24</v>
      </c>
      <c r="C5622" s="9" t="s">
        <v>25</v>
      </c>
      <c r="D5622" s="9" t="s">
        <v>26</v>
      </c>
      <c r="E5622" s="10" t="n">
        <v>1789</v>
      </c>
      <c r="F5622" s="9" t="s">
        <v>27</v>
      </c>
      <c r="G5622" s="9" t="s">
        <v>27</v>
      </c>
      <c r="H5622" s="11" t="n">
        <v>18</v>
      </c>
      <c r="I5622" s="11" t="s">
        <v>68</v>
      </c>
      <c r="J5622" s="14"/>
      <c r="K5622" s="14" t="n">
        <v>30</v>
      </c>
      <c r="L5622" s="16"/>
      <c r="M5622" s="27" t="n">
        <f aca="false">J5622+(K5622/20)+(L5622/240)</f>
        <v>1.5</v>
      </c>
      <c r="N5622" s="17" t="s">
        <v>69</v>
      </c>
      <c r="O5622" s="11"/>
      <c r="P5622" s="28" t="n">
        <v>5460</v>
      </c>
      <c r="Q5622" s="28" t="n">
        <v>8190</v>
      </c>
      <c r="R5622" s="28"/>
      <c r="S5622" s="28" t="n">
        <f aca="false">R5622*$M5622</f>
        <v>0</v>
      </c>
      <c r="T5622" s="28"/>
      <c r="U5622" s="28" t="n">
        <f aca="false">T5622*$M5622</f>
        <v>0</v>
      </c>
      <c r="V5622" s="28" t="n">
        <v>1061</v>
      </c>
      <c r="W5622" s="28" t="n">
        <v>1591</v>
      </c>
      <c r="X5622" s="29"/>
      <c r="Y5622" s="28" t="n">
        <v>5766</v>
      </c>
      <c r="Z5622" s="28"/>
      <c r="AA5622" s="28" t="n">
        <f aca="false">Z5622*$M5622</f>
        <v>0</v>
      </c>
      <c r="AB5622" s="28"/>
      <c r="AC5622" s="28" t="n">
        <f aca="false">AB5622*$M5622</f>
        <v>0</v>
      </c>
      <c r="AD5622" s="28"/>
      <c r="AE5622" s="28" t="n">
        <f aca="false">AD5622*$M5622</f>
        <v>0</v>
      </c>
      <c r="AF5622" s="28"/>
      <c r="AG5622" s="28" t="n">
        <f aca="false">AF5622*$M5622</f>
        <v>0</v>
      </c>
      <c r="AH5622" s="28"/>
      <c r="AI5622" s="28" t="n">
        <f aca="false">AH5622*$M5622</f>
        <v>0</v>
      </c>
      <c r="AJ5622" s="28"/>
      <c r="AK5622" s="28" t="n">
        <f aca="false">AJ5622*$M5622</f>
        <v>0</v>
      </c>
      <c r="AL5622" s="28"/>
      <c r="AM5622" s="28" t="n">
        <f aca="false">AL5622*$M5622</f>
        <v>0</v>
      </c>
      <c r="AN5622" s="28"/>
      <c r="AO5622" s="28" t="n">
        <f aca="false">AN5622*$M5622</f>
        <v>0</v>
      </c>
      <c r="AP5622" s="28"/>
      <c r="AQ5622" s="28" t="n">
        <f aca="false">AP5622*$M5622</f>
        <v>0</v>
      </c>
      <c r="AR5622" s="28"/>
      <c r="AS5622" s="28" t="n">
        <f aca="false">AR5622*$M5622</f>
        <v>0</v>
      </c>
      <c r="AT5622" s="28"/>
      <c r="AU5622" s="28" t="n">
        <f aca="false">AT5622*$M5622</f>
        <v>0</v>
      </c>
      <c r="AV5622" s="28"/>
      <c r="AW5622" s="28" t="n">
        <f aca="false">AV5622*$M5622</f>
        <v>0</v>
      </c>
      <c r="AX5622" s="28"/>
      <c r="AY5622" s="28" t="n">
        <f aca="false">AX5622*$M5622</f>
        <v>0</v>
      </c>
      <c r="AZ5622" s="30" t="n">
        <v>10365</v>
      </c>
      <c r="BA5622" s="11" t="n">
        <v>15547</v>
      </c>
      <c r="BB5622" s="31" t="n">
        <f aca="false">SUM(Q5622,S5622,U5622,W5622,Y5622,AA5622,AC5622,AE5622,AG5622,AI5622,AK5622,AM5622,AO5622,AQ5622,AS5622,AU5622,AW5622,AY5622)</f>
        <v>15547</v>
      </c>
      <c r="BC5622" s="28" t="n">
        <f aca="false">BA5622-BB5622</f>
        <v>0</v>
      </c>
      <c r="BD5622" s="32" t="n">
        <f aca="false">SUM(P5622,R5622,T5622,V5622,X5622,Z5622,AB5622,AD5622,AF5622,AH5622,AJ5622,AL5622,AN5622,AP5622,AR5622,AT5622,AV5622,AX5622)</f>
        <v>6521</v>
      </c>
      <c r="BE5622" s="33" t="n">
        <f aca="false">AZ5622-BD5622</f>
        <v>3844</v>
      </c>
      <c r="BF5622" s="34" t="n">
        <f aca="false">BD5622*M5622</f>
        <v>9781.5</v>
      </c>
      <c r="BG5622" s="35" t="n">
        <f aca="false">BA5622-BF5622</f>
        <v>5765.5</v>
      </c>
      <c r="BH5622" s="19" t="str">
        <f aca="false">IF(BG5622=0,"",IF(BG5622&lt;&gt;BA5622,"erreur de calcul",IF(BD5622&lt;&gt;0,"pas de prix",IF(M5622&lt;&gt; 0,"pas de quantité","pas de prix, ni de quantité"))))</f>
        <v>erreur de calcul</v>
      </c>
      <c r="BI5622" s="19"/>
    </row>
    <row r="5623" customFormat="false" ht="15" hidden="false" customHeight="false" outlineLevel="0" collapsed="false">
      <c r="A5623" s="0" t="n">
        <v>5</v>
      </c>
      <c r="B5623" s="8" t="s">
        <v>24</v>
      </c>
      <c r="C5623" s="9" t="s">
        <v>25</v>
      </c>
      <c r="D5623" s="9" t="s">
        <v>26</v>
      </c>
      <c r="E5623" s="10" t="n">
        <v>1789</v>
      </c>
      <c r="F5623" s="9" t="s">
        <v>27</v>
      </c>
      <c r="G5623" s="9" t="s">
        <v>27</v>
      </c>
      <c r="H5623" s="11" t="n">
        <v>18</v>
      </c>
      <c r="I5623" s="11" t="s">
        <v>70</v>
      </c>
      <c r="J5623" s="14" t="n">
        <v>190</v>
      </c>
      <c r="K5623" s="14"/>
      <c r="L5623" s="16"/>
      <c r="M5623" s="27" t="n">
        <f aca="false">J5623+(K5623/20)+(L5623/240)</f>
        <v>190</v>
      </c>
      <c r="N5623" s="17" t="s">
        <v>64</v>
      </c>
      <c r="O5623" s="11"/>
      <c r="P5623" s="28"/>
      <c r="Q5623" s="28" t="n">
        <f aca="false">P5623*$M5623</f>
        <v>0</v>
      </c>
      <c r="R5623" s="28" t="n">
        <f aca="false">22283/100</f>
        <v>222.83</v>
      </c>
      <c r="S5623" s="28" t="n">
        <v>42338</v>
      </c>
      <c r="T5623" s="28" t="n">
        <f aca="false">1289/100</f>
        <v>12.89</v>
      </c>
      <c r="U5623" s="28" t="n">
        <v>2449</v>
      </c>
      <c r="V5623" s="28"/>
      <c r="W5623" s="28" t="n">
        <f aca="false">V5623*$M5623</f>
        <v>0</v>
      </c>
      <c r="X5623" s="29"/>
      <c r="Y5623" s="28" t="n">
        <f aca="false">X5623*$M5623</f>
        <v>0</v>
      </c>
      <c r="Z5623" s="28"/>
      <c r="AA5623" s="28" t="n">
        <f aca="false">Z5623*$M5623</f>
        <v>0</v>
      </c>
      <c r="AB5623" s="28"/>
      <c r="AC5623" s="28" t="n">
        <f aca="false">AB5623*$M5623</f>
        <v>0</v>
      </c>
      <c r="AD5623" s="28"/>
      <c r="AE5623" s="28" t="n">
        <f aca="false">AD5623*$M5623</f>
        <v>0</v>
      </c>
      <c r="AF5623" s="28"/>
      <c r="AG5623" s="28" t="n">
        <f aca="false">AF5623*$M5623</f>
        <v>0</v>
      </c>
      <c r="AH5623" s="28"/>
      <c r="AI5623" s="28" t="n">
        <f aca="false">AH5623*$M5623</f>
        <v>0</v>
      </c>
      <c r="AJ5623" s="28"/>
      <c r="AK5623" s="28" t="n">
        <f aca="false">AJ5623*$M5623</f>
        <v>0</v>
      </c>
      <c r="AL5623" s="28"/>
      <c r="AM5623" s="28" t="n">
        <f aca="false">AL5623*$M5623</f>
        <v>0</v>
      </c>
      <c r="AN5623" s="28"/>
      <c r="AO5623" s="28" t="n">
        <f aca="false">AN5623*$M5623</f>
        <v>0</v>
      </c>
      <c r="AP5623" s="28"/>
      <c r="AQ5623" s="28" t="n">
        <f aca="false">AP5623*$M5623</f>
        <v>0</v>
      </c>
      <c r="AR5623" s="28"/>
      <c r="AS5623" s="28" t="n">
        <f aca="false">AR5623*$M5623</f>
        <v>0</v>
      </c>
      <c r="AT5623" s="28"/>
      <c r="AU5623" s="28" t="n">
        <f aca="false">AT5623*$M5623</f>
        <v>0</v>
      </c>
      <c r="AV5623" s="28"/>
      <c r="AW5623" s="28" t="n">
        <f aca="false">AV5623*$M5623</f>
        <v>0</v>
      </c>
      <c r="AX5623" s="28"/>
      <c r="AY5623" s="28" t="n">
        <f aca="false">AX5623*$M5623</f>
        <v>0</v>
      </c>
      <c r="AZ5623" s="30" t="n">
        <f aca="false">23572/100</f>
        <v>235.72</v>
      </c>
      <c r="BA5623" s="11" t="n">
        <v>44787</v>
      </c>
      <c r="BB5623" s="31" t="n">
        <f aca="false">SUM(Q5623,S5623,U5623,W5623,Y5623,AA5623,AC5623,AE5623,AG5623,AI5623,AK5623,AM5623,AO5623,AQ5623,AS5623,AU5623,AW5623,AY5623)</f>
        <v>44787</v>
      </c>
      <c r="BC5623" s="28" t="n">
        <f aca="false">BA5623-BB5623</f>
        <v>0</v>
      </c>
      <c r="BD5623" s="32" t="n">
        <f aca="false">SUM(P5623,R5623,T5623,V5623,X5623,Z5623,AB5623,AD5623,AF5623,AH5623,AJ5623,AL5623,AN5623,AP5623,AR5623,AT5623,AV5623,AX5623)</f>
        <v>235.72</v>
      </c>
      <c r="BE5623" s="33" t="n">
        <f aca="false">AZ5623-BD5623</f>
        <v>0</v>
      </c>
      <c r="BF5623" s="34" t="n">
        <f aca="false">BD5623*M5623</f>
        <v>44786.8</v>
      </c>
      <c r="BG5623" s="35" t="n">
        <f aca="false">BA5623-BF5623</f>
        <v>0.19999999999709</v>
      </c>
      <c r="BH5623" s="19" t="str">
        <f aca="false">IF(BG5623=0,"",IF(BG5623&lt;&gt;BA5623,"erreur de calcul",IF(BD5623&lt;&gt;0,"pas de prix",IF(M5623&lt;&gt; 0,"pas de quantité","pas de prix, ni de quantité"))))</f>
        <v>erreur de calcul</v>
      </c>
      <c r="BI5623" s="19"/>
    </row>
    <row r="5624" customFormat="false" ht="15" hidden="false" customHeight="false" outlineLevel="0" collapsed="false">
      <c r="A5624" s="0" t="n">
        <v>6</v>
      </c>
      <c r="B5624" s="8" t="s">
        <v>24</v>
      </c>
      <c r="C5624" s="9" t="s">
        <v>25</v>
      </c>
      <c r="D5624" s="9" t="s">
        <v>26</v>
      </c>
      <c r="E5624" s="10" t="n">
        <v>1789</v>
      </c>
      <c r="F5624" s="9" t="s">
        <v>27</v>
      </c>
      <c r="G5624" s="9" t="s">
        <v>27</v>
      </c>
      <c r="H5624" s="11" t="n">
        <v>18</v>
      </c>
      <c r="I5624" s="11" t="s">
        <v>71</v>
      </c>
      <c r="J5624" s="14" t="n">
        <v>60</v>
      </c>
      <c r="K5624" s="14"/>
      <c r="L5624" s="16"/>
      <c r="M5624" s="27" t="n">
        <f aca="false">J5624+(K5624/20)+(L5624/240)</f>
        <v>60</v>
      </c>
      <c r="N5624" s="17" t="s">
        <v>64</v>
      </c>
      <c r="O5624" s="11"/>
      <c r="P5624" s="28" t="n">
        <f aca="false">674/100</f>
        <v>6.74</v>
      </c>
      <c r="Q5624" s="28" t="n">
        <v>404</v>
      </c>
      <c r="R5624" s="28"/>
      <c r="S5624" s="28" t="n">
        <f aca="false">R5624*$M5624</f>
        <v>0</v>
      </c>
      <c r="T5624" s="28"/>
      <c r="U5624" s="28" t="n">
        <f aca="false">T5624*$M5624</f>
        <v>0</v>
      </c>
      <c r="V5624" s="28"/>
      <c r="W5624" s="28" t="n">
        <f aca="false">V5624*$M5624</f>
        <v>0</v>
      </c>
      <c r="X5624" s="29"/>
      <c r="Y5624" s="28" t="n">
        <f aca="false">X5624*$M5624</f>
        <v>0</v>
      </c>
      <c r="Z5624" s="28"/>
      <c r="AA5624" s="28" t="n">
        <f aca="false">Z5624*$M5624</f>
        <v>0</v>
      </c>
      <c r="AB5624" s="28"/>
      <c r="AC5624" s="28" t="n">
        <f aca="false">AB5624*$M5624</f>
        <v>0</v>
      </c>
      <c r="AD5624" s="28"/>
      <c r="AE5624" s="28" t="n">
        <f aca="false">AD5624*$M5624</f>
        <v>0</v>
      </c>
      <c r="AF5624" s="28"/>
      <c r="AG5624" s="28" t="n">
        <f aca="false">AF5624*$M5624</f>
        <v>0</v>
      </c>
      <c r="AH5624" s="28"/>
      <c r="AI5624" s="28" t="n">
        <f aca="false">AH5624*$M5624</f>
        <v>0</v>
      </c>
      <c r="AJ5624" s="28" t="n">
        <f aca="false">1133/100</f>
        <v>11.33</v>
      </c>
      <c r="AK5624" s="28" t="n">
        <v>680</v>
      </c>
      <c r="AL5624" s="28" t="n">
        <f aca="false">3140/100</f>
        <v>31.4</v>
      </c>
      <c r="AM5624" s="28" t="n">
        <v>1884</v>
      </c>
      <c r="AN5624" s="28"/>
      <c r="AO5624" s="28" t="n">
        <f aca="false">AN5624*$M5624</f>
        <v>0</v>
      </c>
      <c r="AP5624" s="28"/>
      <c r="AQ5624" s="28" t="n">
        <f aca="false">AP5624*$M5624</f>
        <v>0</v>
      </c>
      <c r="AR5624" s="28"/>
      <c r="AS5624" s="28" t="n">
        <f aca="false">AR5624*$M5624</f>
        <v>0</v>
      </c>
      <c r="AT5624" s="28"/>
      <c r="AU5624" s="28" t="n">
        <f aca="false">AT5624*$M5624</f>
        <v>0</v>
      </c>
      <c r="AV5624" s="28"/>
      <c r="AW5624" s="28" t="n">
        <f aca="false">AV5624*$M5624</f>
        <v>0</v>
      </c>
      <c r="AX5624" s="28"/>
      <c r="AY5624" s="28" t="n">
        <f aca="false">AX5624*$M5624</f>
        <v>0</v>
      </c>
      <c r="AZ5624" s="30" t="n">
        <f aca="false">4947/100</f>
        <v>49.47</v>
      </c>
      <c r="BA5624" s="11" t="n">
        <v>2968</v>
      </c>
      <c r="BB5624" s="31" t="n">
        <f aca="false">SUM(Q5624,S5624,U5624,W5624,Y5624,AA5624,AC5624,AE5624,AG5624,AI5624,AK5624,AM5624,AO5624,AQ5624,AS5624,AU5624,AW5624,AY5624)</f>
        <v>2968</v>
      </c>
      <c r="BC5624" s="28" t="n">
        <f aca="false">BA5624-BB5624</f>
        <v>0</v>
      </c>
      <c r="BD5624" s="32" t="n">
        <f aca="false">SUM(P5624,R5624,T5624,V5624,X5624,Z5624,AB5624,AD5624,AF5624,AH5624,AJ5624,AL5624,AN5624,AP5624,AR5624,AT5624,AV5624,AX5624)</f>
        <v>49.47</v>
      </c>
      <c r="BE5624" s="33" t="n">
        <f aca="false">AZ5624-BD5624</f>
        <v>0</v>
      </c>
      <c r="BF5624" s="34" t="n">
        <f aca="false">BD5624*M5624</f>
        <v>2968.2</v>
      </c>
      <c r="BG5624" s="35" t="n">
        <f aca="false">BA5624-BF5624</f>
        <v>-0.199999999999818</v>
      </c>
      <c r="BH5624" s="19" t="str">
        <f aca="false">IF(BG5624=0,"",IF(BG5624&lt;&gt;BA5624,"erreur de calcul",IF(BD5624&lt;&gt;0,"pas de prix",IF(M5624&lt;&gt; 0,"pas de quantité","pas de prix, ni de quantité"))))</f>
        <v>erreur de calcul</v>
      </c>
      <c r="BI5624" s="19"/>
    </row>
    <row r="5625" customFormat="false" ht="15" hidden="false" customHeight="false" outlineLevel="0" collapsed="false">
      <c r="A5625" s="0" t="n">
        <v>7</v>
      </c>
      <c r="B5625" s="8" t="s">
        <v>24</v>
      </c>
      <c r="C5625" s="9" t="s">
        <v>25</v>
      </c>
      <c r="D5625" s="9" t="s">
        <v>26</v>
      </c>
      <c r="E5625" s="10" t="n">
        <v>1789</v>
      </c>
      <c r="F5625" s="9" t="s">
        <v>27</v>
      </c>
      <c r="G5625" s="9" t="s">
        <v>27</v>
      </c>
      <c r="H5625" s="11" t="n">
        <v>18</v>
      </c>
      <c r="I5625" s="11" t="s">
        <v>72</v>
      </c>
      <c r="J5625" s="14" t="n">
        <v>15</v>
      </c>
      <c r="K5625" s="14"/>
      <c r="L5625" s="16"/>
      <c r="M5625" s="27" t="n">
        <f aca="false">J5625+(K5625/20)+(L5625/240)</f>
        <v>15</v>
      </c>
      <c r="N5625" s="17" t="s">
        <v>64</v>
      </c>
      <c r="O5625" s="11"/>
      <c r="P5625" s="28"/>
      <c r="Q5625" s="28" t="n">
        <f aca="false">P5625*$M5625</f>
        <v>0</v>
      </c>
      <c r="R5625" s="28"/>
      <c r="S5625" s="28" t="n">
        <f aca="false">R5625*$M5625</f>
        <v>0</v>
      </c>
      <c r="T5625" s="28"/>
      <c r="U5625" s="28" t="n">
        <f aca="false">T5625*$M5625</f>
        <v>0</v>
      </c>
      <c r="V5625" s="28"/>
      <c r="W5625" s="28" t="n">
        <f aca="false">V5625*$M5625</f>
        <v>0</v>
      </c>
      <c r="X5625" s="29"/>
      <c r="Y5625" s="28" t="n">
        <f aca="false">X5625*$M5625</f>
        <v>0</v>
      </c>
      <c r="Z5625" s="28"/>
      <c r="AA5625" s="28" t="n">
        <f aca="false">Z5625*$M5625</f>
        <v>0</v>
      </c>
      <c r="AB5625" s="28"/>
      <c r="AC5625" s="28" t="n">
        <f aca="false">AB5625*$M5625</f>
        <v>0</v>
      </c>
      <c r="AD5625" s="28"/>
      <c r="AE5625" s="28" t="n">
        <f aca="false">AD5625*$M5625</f>
        <v>0</v>
      </c>
      <c r="AF5625" s="28"/>
      <c r="AG5625" s="28" t="n">
        <f aca="false">AF5625*$M5625</f>
        <v>0</v>
      </c>
      <c r="AH5625" s="28"/>
      <c r="AI5625" s="28" t="n">
        <f aca="false">AH5625*$M5625</f>
        <v>0</v>
      </c>
      <c r="AJ5625" s="28" t="n">
        <f aca="false">119*288*0.02+88*0.02</f>
        <v>687.2</v>
      </c>
      <c r="AK5625" s="28" t="n">
        <v>10308</v>
      </c>
      <c r="AL5625" s="28"/>
      <c r="AM5625" s="28" t="n">
        <f aca="false">AL5625*$M5625</f>
        <v>0</v>
      </c>
      <c r="AN5625" s="28"/>
      <c r="AO5625" s="28" t="n">
        <f aca="false">AN5625*$M5625</f>
        <v>0</v>
      </c>
      <c r="AP5625" s="28"/>
      <c r="AQ5625" s="28" t="n">
        <f aca="false">AP5625*$M5625</f>
        <v>0</v>
      </c>
      <c r="AR5625" s="28"/>
      <c r="AS5625" s="28" t="n">
        <f aca="false">AR5625*$M5625</f>
        <v>0</v>
      </c>
      <c r="AT5625" s="28"/>
      <c r="AU5625" s="28" t="n">
        <f aca="false">AT5625*$M5625</f>
        <v>0</v>
      </c>
      <c r="AV5625" s="28"/>
      <c r="AW5625" s="28" t="n">
        <f aca="false">AV5625*$M5625</f>
        <v>0</v>
      </c>
      <c r="AX5625" s="28"/>
      <c r="AY5625" s="28" t="n">
        <f aca="false">AX5625*$M5625</f>
        <v>0</v>
      </c>
      <c r="AZ5625" s="30" t="n">
        <f aca="false">119*288*0.02+88*0.02</f>
        <v>687.2</v>
      </c>
      <c r="BA5625" s="11" t="n">
        <v>10308</v>
      </c>
      <c r="BB5625" s="31" t="n">
        <f aca="false">SUM(Q5625,S5625,U5625,W5625,Y5625,AA5625,AC5625,AE5625,AG5625,AI5625,AK5625,AM5625,AO5625,AQ5625,AS5625,AU5625,AW5625,AY5625)</f>
        <v>10308</v>
      </c>
      <c r="BC5625" s="28" t="n">
        <f aca="false">BA5625-BB5625</f>
        <v>0</v>
      </c>
      <c r="BD5625" s="32" t="n">
        <f aca="false">SUM(P5625,R5625,T5625,V5625,X5625,Z5625,AB5625,AD5625,AF5625,AH5625,AJ5625,AL5625,AN5625,AP5625,AR5625,AT5625,AV5625,AX5625)</f>
        <v>687.2</v>
      </c>
      <c r="BE5625" s="33" t="n">
        <f aca="false">AZ5625-BD5625</f>
        <v>0</v>
      </c>
      <c r="BF5625" s="34" t="n">
        <f aca="false">BD5625*M5625</f>
        <v>10308</v>
      </c>
      <c r="BG5625" s="35" t="n">
        <f aca="false">BA5625-BF5625</f>
        <v>0</v>
      </c>
      <c r="BH5625" s="19" t="str">
        <f aca="false">IF(BG5625=0,"",IF(BG5625&lt;&gt;BA5625,"erreur de calcul",IF(BD5625&lt;&gt;0,"pas de prix",IF(M5625&lt;&gt; 0,"pas de quantité","pas de prix, ni de quantité"))))</f>
        <v/>
      </c>
      <c r="BI5625" s="19"/>
    </row>
    <row r="5626" customFormat="false" ht="15" hidden="false" customHeight="false" outlineLevel="0" collapsed="false">
      <c r="A5626" s="0" t="n">
        <v>8</v>
      </c>
      <c r="B5626" s="8" t="s">
        <v>24</v>
      </c>
      <c r="C5626" s="9" t="s">
        <v>25</v>
      </c>
      <c r="D5626" s="9" t="s">
        <v>26</v>
      </c>
      <c r="E5626" s="10" t="n">
        <v>1789</v>
      </c>
      <c r="F5626" s="9" t="s">
        <v>27</v>
      </c>
      <c r="G5626" s="9" t="s">
        <v>27</v>
      </c>
      <c r="H5626" s="11" t="n">
        <v>18</v>
      </c>
      <c r="I5626" s="11" t="s">
        <v>73</v>
      </c>
      <c r="J5626" s="14"/>
      <c r="K5626" s="14"/>
      <c r="L5626" s="16"/>
      <c r="M5626" s="27" t="n">
        <f aca="false">J5626+(K5626/20)+(L5626/240)</f>
        <v>0</v>
      </c>
      <c r="N5626" s="17"/>
      <c r="O5626" s="11"/>
      <c r="P5626" s="28"/>
      <c r="Q5626" s="28" t="n">
        <f aca="false">P5626*$M5626</f>
        <v>0</v>
      </c>
      <c r="R5626" s="28"/>
      <c r="S5626" s="28" t="n">
        <f aca="false">R5626*$M5626</f>
        <v>0</v>
      </c>
      <c r="T5626" s="28"/>
      <c r="U5626" s="28" t="n">
        <v>3356</v>
      </c>
      <c r="V5626" s="28"/>
      <c r="W5626" s="28" t="n">
        <v>1444</v>
      </c>
      <c r="X5626" s="29"/>
      <c r="Y5626" s="28" t="n">
        <f aca="false">X5626*$M5626</f>
        <v>0</v>
      </c>
      <c r="Z5626" s="28"/>
      <c r="AA5626" s="28" t="n">
        <f aca="false">Z5626*$M5626</f>
        <v>0</v>
      </c>
      <c r="AB5626" s="28"/>
      <c r="AC5626" s="28" t="n">
        <f aca="false">AB5626*$M5626</f>
        <v>0</v>
      </c>
      <c r="AD5626" s="28"/>
      <c r="AE5626" s="28" t="n">
        <f aca="false">AD5626*$M5626</f>
        <v>0</v>
      </c>
      <c r="AF5626" s="28"/>
      <c r="AG5626" s="28" t="n">
        <f aca="false">AF5626*$M5626</f>
        <v>0</v>
      </c>
      <c r="AH5626" s="28"/>
      <c r="AI5626" s="28" t="n">
        <f aca="false">AH5626*$M5626</f>
        <v>0</v>
      </c>
      <c r="AJ5626" s="28"/>
      <c r="AK5626" s="28" t="n">
        <f aca="false">AJ5626*$M5626</f>
        <v>0</v>
      </c>
      <c r="AL5626" s="28"/>
      <c r="AM5626" s="28" t="n">
        <f aca="false">AL5626*$M5626</f>
        <v>0</v>
      </c>
      <c r="AN5626" s="28"/>
      <c r="AO5626" s="28" t="n">
        <f aca="false">AN5626*$M5626</f>
        <v>0</v>
      </c>
      <c r="AP5626" s="28"/>
      <c r="AQ5626" s="28" t="n">
        <f aca="false">AP5626*$M5626</f>
        <v>0</v>
      </c>
      <c r="AR5626" s="28"/>
      <c r="AS5626" s="28" t="n">
        <f aca="false">AR5626*$M5626</f>
        <v>0</v>
      </c>
      <c r="AT5626" s="28"/>
      <c r="AU5626" s="28" t="n">
        <f aca="false">AT5626*$M5626</f>
        <v>0</v>
      </c>
      <c r="AV5626" s="28"/>
      <c r="AW5626" s="28" t="n">
        <f aca="false">AV5626*$M5626</f>
        <v>0</v>
      </c>
      <c r="AX5626" s="28"/>
      <c r="AY5626" s="28" t="n">
        <f aca="false">AX5626*$M5626</f>
        <v>0</v>
      </c>
      <c r="AZ5626" s="30"/>
      <c r="BA5626" s="11" t="n">
        <v>4800</v>
      </c>
      <c r="BB5626" s="31" t="n">
        <f aca="false">SUM(Q5626,S5626,U5626,W5626,Y5626,AA5626,AC5626,AE5626,AG5626,AI5626,AK5626,AM5626,AO5626,AQ5626,AS5626,AU5626,AW5626,AY5626)</f>
        <v>4800</v>
      </c>
      <c r="BC5626" s="28" t="n">
        <f aca="false">BA5626-BB5626</f>
        <v>0</v>
      </c>
      <c r="BD5626" s="32" t="n">
        <f aca="false">SUM(P5626,R5626,T5626,V5626,X5626,Z5626,AB5626,AD5626,AF5626,AH5626,AJ5626,AL5626,AN5626,AP5626,AR5626,AT5626,AV5626,AX5626)</f>
        <v>0</v>
      </c>
      <c r="BE5626" s="33" t="n">
        <f aca="false">AZ5626-BD5626</f>
        <v>0</v>
      </c>
      <c r="BF5626" s="34" t="n">
        <f aca="false">BD5626*M5626</f>
        <v>0</v>
      </c>
      <c r="BG5626" s="35" t="n">
        <f aca="false">BA5626-BF5626</f>
        <v>4800</v>
      </c>
      <c r="BH5626" s="19" t="str">
        <f aca="false">IF(BG5626=0,"",IF(BG5626&lt;&gt;BA5626,"erreur de calcul",IF(BD5626&lt;&gt;0,"pas de prix",IF(M5626&lt;&gt; 0,"pas de quantité","pas de prix, ni de quantité"))))</f>
        <v>pas de prix, ni de quantité</v>
      </c>
      <c r="BI5626" s="19"/>
    </row>
    <row r="5627" customFormat="false" ht="15" hidden="false" customHeight="false" outlineLevel="0" collapsed="false">
      <c r="A5627" s="0" t="n">
        <v>9</v>
      </c>
      <c r="B5627" s="8" t="s">
        <v>24</v>
      </c>
      <c r="C5627" s="9" t="s">
        <v>25</v>
      </c>
      <c r="D5627" s="9" t="s">
        <v>26</v>
      </c>
      <c r="E5627" s="10" t="n">
        <v>1789</v>
      </c>
      <c r="F5627" s="9" t="s">
        <v>27</v>
      </c>
      <c r="G5627" s="9" t="s">
        <v>27</v>
      </c>
      <c r="H5627" s="11" t="n">
        <v>18</v>
      </c>
      <c r="I5627" s="11" t="s">
        <v>74</v>
      </c>
      <c r="J5627" s="14"/>
      <c r="K5627" s="14"/>
      <c r="L5627" s="16"/>
      <c r="M5627" s="27" t="n">
        <f aca="false">J5627+(K5627/20)+(L5627/240)</f>
        <v>0</v>
      </c>
      <c r="N5627" s="17" t="s">
        <v>66</v>
      </c>
      <c r="O5627" s="11"/>
      <c r="P5627" s="28"/>
      <c r="Q5627" s="28" t="n">
        <f aca="false">P5627*$M5627</f>
        <v>0</v>
      </c>
      <c r="R5627" s="28"/>
      <c r="S5627" s="28" t="n">
        <f aca="false">R5627*$M5627</f>
        <v>0</v>
      </c>
      <c r="T5627" s="28"/>
      <c r="U5627" s="28" t="n">
        <f aca="false">T5627*$M5627</f>
        <v>0</v>
      </c>
      <c r="V5627" s="28"/>
      <c r="W5627" s="28" t="n">
        <f aca="false">V5627*$M5627</f>
        <v>0</v>
      </c>
      <c r="X5627" s="29"/>
      <c r="Y5627" s="28"/>
      <c r="Z5627" s="28"/>
      <c r="AA5627" s="28" t="n">
        <f aca="false">Z5627*$M5627</f>
        <v>0</v>
      </c>
      <c r="AB5627" s="28"/>
      <c r="AC5627" s="28" t="n">
        <f aca="false">AB5627*$M5627</f>
        <v>0</v>
      </c>
      <c r="AD5627" s="28"/>
      <c r="AE5627" s="28" t="n">
        <f aca="false">AD5627*$M5627</f>
        <v>0</v>
      </c>
      <c r="AF5627" s="28"/>
      <c r="AG5627" s="28" t="n">
        <f aca="false">AF5627*$M5627</f>
        <v>0</v>
      </c>
      <c r="AH5627" s="28" t="n">
        <v>45346</v>
      </c>
      <c r="AI5627" s="28" t="n">
        <v>3174</v>
      </c>
      <c r="AJ5627" s="28"/>
      <c r="AK5627" s="28" t="n">
        <f aca="false">AJ5627*$M5627</f>
        <v>0</v>
      </c>
      <c r="AL5627" s="28"/>
      <c r="AM5627" s="28" t="n">
        <f aca="false">AL5627*$M5627</f>
        <v>0</v>
      </c>
      <c r="AN5627" s="28"/>
      <c r="AO5627" s="28" t="n">
        <f aca="false">AN5627*$M5627</f>
        <v>0</v>
      </c>
      <c r="AP5627" s="28"/>
      <c r="AQ5627" s="28" t="n">
        <f aca="false">AP5627*$M5627</f>
        <v>0</v>
      </c>
      <c r="AR5627" s="28"/>
      <c r="AS5627" s="28" t="n">
        <f aca="false">AR5627*$M5627</f>
        <v>0</v>
      </c>
      <c r="AT5627" s="28"/>
      <c r="AU5627" s="28" t="n">
        <f aca="false">AT5627*$M5627</f>
        <v>0</v>
      </c>
      <c r="AV5627" s="28"/>
      <c r="AW5627" s="28" t="n">
        <f aca="false">AV5627*$M5627</f>
        <v>0</v>
      </c>
      <c r="AX5627" s="28"/>
      <c r="AY5627" s="28" t="n">
        <f aca="false">AX5627*$M5627</f>
        <v>0</v>
      </c>
      <c r="AZ5627" s="30" t="n">
        <v>45346</v>
      </c>
      <c r="BA5627" s="11" t="n">
        <v>3174</v>
      </c>
      <c r="BB5627" s="31" t="n">
        <f aca="false">SUM(Q5627,S5627,U5627,W5627,Y5627,AA5627,AC5627,AE5627,AG5627,AI5627,AK5627,AM5627,AO5627,AQ5627,AS5627,AU5627,AW5627,AY5627)</f>
        <v>3174</v>
      </c>
      <c r="BC5627" s="28" t="n">
        <f aca="false">BA5627-BB5627</f>
        <v>0</v>
      </c>
      <c r="BD5627" s="32" t="n">
        <f aca="false">SUM(P5627,R5627,T5627,V5627,X5627,Z5627,AB5627,AD5627,AF5627,AH5627,AJ5627,AL5627,AN5627,AP5627,AR5627,AT5627,AV5627,AX5627)</f>
        <v>45346</v>
      </c>
      <c r="BE5627" s="33" t="n">
        <f aca="false">AZ5627-BD5627</f>
        <v>0</v>
      </c>
      <c r="BF5627" s="34" t="n">
        <f aca="false">BD5627*M5627</f>
        <v>0</v>
      </c>
      <c r="BG5627" s="35" t="n">
        <f aca="false">BA5627-BF5627</f>
        <v>3174</v>
      </c>
      <c r="BH5627" s="19" t="str">
        <f aca="false">IF(BG5627=0,"",IF(BG5627&lt;&gt;BA5627,"erreur de calcul",IF(BD5627&lt;&gt;0,"pas de prix",IF(M5627&lt;&gt; 0,"pas de quantité","pas de prix, ni de quantité"))))</f>
        <v>pas de prix</v>
      </c>
      <c r="BI5627" s="19" t="s">
        <v>75</v>
      </c>
    </row>
    <row r="5628" customFormat="false" ht="15" hidden="false" customHeight="false" outlineLevel="0" collapsed="false">
      <c r="A5628" s="0" t="n">
        <v>10</v>
      </c>
      <c r="B5628" s="8" t="s">
        <v>24</v>
      </c>
      <c r="C5628" s="9" t="s">
        <v>25</v>
      </c>
      <c r="D5628" s="9" t="s">
        <v>26</v>
      </c>
      <c r="E5628" s="10" t="n">
        <v>1789</v>
      </c>
      <c r="F5628" s="9" t="s">
        <v>27</v>
      </c>
      <c r="G5628" s="9" t="s">
        <v>27</v>
      </c>
      <c r="H5628" s="11" t="n">
        <v>18</v>
      </c>
      <c r="I5628" s="11" t="s">
        <v>76</v>
      </c>
      <c r="J5628" s="14"/>
      <c r="K5628" s="14" t="n">
        <v>20</v>
      </c>
      <c r="L5628" s="16"/>
      <c r="M5628" s="27" t="n">
        <f aca="false">J5628+(K5628/20)+(L5628/240)</f>
        <v>1</v>
      </c>
      <c r="N5628" s="17" t="s">
        <v>64</v>
      </c>
      <c r="O5628" s="11" t="s">
        <v>77</v>
      </c>
      <c r="P5628" s="28" t="n">
        <f aca="false">66667/100</f>
        <v>666.67</v>
      </c>
      <c r="Q5628" s="28" t="n">
        <v>667</v>
      </c>
      <c r="R5628" s="28"/>
      <c r="S5628" s="28" t="n">
        <f aca="false">R5628*$M5628</f>
        <v>0</v>
      </c>
      <c r="T5628" s="28"/>
      <c r="U5628" s="28" t="n">
        <f aca="false">T5628*$M5628</f>
        <v>0</v>
      </c>
      <c r="V5628" s="28" t="n">
        <f aca="false">281532/100</f>
        <v>2815.32</v>
      </c>
      <c r="W5628" s="28" t="n">
        <v>2815</v>
      </c>
      <c r="X5628" s="29" t="n">
        <f aca="false">366667/100</f>
        <v>3666.67</v>
      </c>
      <c r="Y5628" s="28" t="n">
        <v>3666</v>
      </c>
      <c r="Z5628" s="28" t="n">
        <f aca="false">33334/100</f>
        <v>333.34</v>
      </c>
      <c r="AA5628" s="28" t="n">
        <v>333</v>
      </c>
      <c r="AB5628" s="28"/>
      <c r="AC5628" s="28" t="n">
        <f aca="false">AB5628*$M5628</f>
        <v>0</v>
      </c>
      <c r="AD5628" s="28"/>
      <c r="AE5628" s="28" t="n">
        <f aca="false">AD5628*$M5628</f>
        <v>0</v>
      </c>
      <c r="AF5628" s="28"/>
      <c r="AG5628" s="28" t="n">
        <f aca="false">AF5628*$M5628</f>
        <v>0</v>
      </c>
      <c r="AH5628" s="28"/>
      <c r="AI5628" s="28" t="n">
        <f aca="false">AH5628*$M5628</f>
        <v>0</v>
      </c>
      <c r="AJ5628" s="28"/>
      <c r="AK5628" s="28" t="n">
        <f aca="false">AJ5628*$M5628</f>
        <v>0</v>
      </c>
      <c r="AL5628" s="28"/>
      <c r="AM5628" s="28" t="n">
        <f aca="false">AL5628*$M5628</f>
        <v>0</v>
      </c>
      <c r="AN5628" s="28"/>
      <c r="AO5628" s="28" t="n">
        <f aca="false">AN5628*$M5628</f>
        <v>0</v>
      </c>
      <c r="AP5628" s="28"/>
      <c r="AQ5628" s="28" t="n">
        <f aca="false">AP5628*$M5628</f>
        <v>0</v>
      </c>
      <c r="AR5628" s="28"/>
      <c r="AS5628" s="28" t="n">
        <f aca="false">AR5628*$M5628</f>
        <v>0</v>
      </c>
      <c r="AT5628" s="28"/>
      <c r="AU5628" s="28" t="n">
        <f aca="false">AT5628*$M5628</f>
        <v>0</v>
      </c>
      <c r="AV5628" s="28"/>
      <c r="AW5628" s="28" t="n">
        <f aca="false">AV5628*$M5628</f>
        <v>0</v>
      </c>
      <c r="AX5628" s="28"/>
      <c r="AY5628" s="28" t="n">
        <f aca="false">AX5628*$M5628</f>
        <v>0</v>
      </c>
      <c r="AZ5628" s="30" t="n">
        <f aca="false">748200/100</f>
        <v>7482</v>
      </c>
      <c r="BA5628" s="11" t="n">
        <v>7481</v>
      </c>
      <c r="BB5628" s="31" t="n">
        <f aca="false">SUM(Q5628,S5628,U5628,W5628,Y5628,AA5628,AC5628,AE5628,AG5628,AI5628,AK5628,AM5628,AO5628,AQ5628,AS5628,AU5628,AW5628,AY5628)</f>
        <v>7481</v>
      </c>
      <c r="BC5628" s="28" t="n">
        <f aca="false">BA5628-BB5628</f>
        <v>0</v>
      </c>
      <c r="BD5628" s="32" t="n">
        <f aca="false">SUM(P5628,R5628,T5628,V5628,X5628,Z5628,AB5628,AD5628,AF5628,AH5628,AJ5628,AL5628,AN5628,AP5628,AR5628,AT5628,AV5628,AX5628)</f>
        <v>7482</v>
      </c>
      <c r="BE5628" s="33" t="n">
        <f aca="false">AZ5628-BD5628</f>
        <v>0</v>
      </c>
      <c r="BF5628" s="34" t="n">
        <f aca="false">BD5628*M5628</f>
        <v>7482</v>
      </c>
      <c r="BG5628" s="35" t="n">
        <f aca="false">BA5628-BF5628</f>
        <v>-1</v>
      </c>
      <c r="BH5628" s="19" t="str">
        <f aca="false">IF(BG5628=0,"",IF(BG5628&lt;&gt;BA5628,"erreur de calcul",IF(BD5628&lt;&gt;0,"pas de prix",IF(M5628&lt;&gt; 0,"pas de quantité","pas de prix, ni de quantité"))))</f>
        <v>erreur de calcul</v>
      </c>
      <c r="BI5628" s="19"/>
    </row>
    <row r="5629" customFormat="false" ht="15" hidden="false" customHeight="false" outlineLevel="0" collapsed="false">
      <c r="A5629" s="0" t="n">
        <v>11</v>
      </c>
      <c r="B5629" s="8" t="s">
        <v>24</v>
      </c>
      <c r="C5629" s="9" t="s">
        <v>25</v>
      </c>
      <c r="D5629" s="9" t="s">
        <v>26</v>
      </c>
      <c r="E5629" s="10" t="n">
        <v>1789</v>
      </c>
      <c r="F5629" s="9" t="s">
        <v>27</v>
      </c>
      <c r="G5629" s="9" t="s">
        <v>27</v>
      </c>
      <c r="H5629" s="11" t="n">
        <v>18</v>
      </c>
      <c r="I5629" s="11" t="s">
        <v>78</v>
      </c>
      <c r="J5629" s="14"/>
      <c r="K5629" s="14" t="n">
        <v>50</v>
      </c>
      <c r="L5629" s="16"/>
      <c r="M5629" s="27" t="n">
        <f aca="false">J5629+(K5629/20)+(L5629/240)</f>
        <v>2.5</v>
      </c>
      <c r="N5629" s="17" t="s">
        <v>79</v>
      </c>
      <c r="O5629" s="11"/>
      <c r="P5629" s="28"/>
      <c r="Q5629" s="28" t="n">
        <f aca="false">P5629*$M5629</f>
        <v>0</v>
      </c>
      <c r="R5629" s="28"/>
      <c r="S5629" s="28" t="n">
        <f aca="false">R5629*$M5629</f>
        <v>0</v>
      </c>
      <c r="T5629" s="28"/>
      <c r="U5629" s="28" t="n">
        <f aca="false">T5629*$M5629</f>
        <v>0</v>
      </c>
      <c r="V5629" s="28" t="n">
        <v>61807</v>
      </c>
      <c r="W5629" s="28" t="n">
        <v>154517</v>
      </c>
      <c r="X5629" s="29"/>
      <c r="Y5629" s="28" t="n">
        <f aca="false">X5629*$M5629</f>
        <v>0</v>
      </c>
      <c r="Z5629" s="28"/>
      <c r="AA5629" s="28" t="n">
        <f aca="false">Z5629*$M5629</f>
        <v>0</v>
      </c>
      <c r="AB5629" s="28" t="n">
        <v>43640</v>
      </c>
      <c r="AC5629" s="28" t="n">
        <v>109100</v>
      </c>
      <c r="AD5629" s="28"/>
      <c r="AE5629" s="28" t="n">
        <f aca="false">AD5629*$M5629</f>
        <v>0</v>
      </c>
      <c r="AF5629" s="28"/>
      <c r="AG5629" s="28" t="n">
        <f aca="false">AF5629*$M5629</f>
        <v>0</v>
      </c>
      <c r="AH5629" s="28"/>
      <c r="AI5629" s="28" t="n">
        <f aca="false">AH5629*$M5629</f>
        <v>0</v>
      </c>
      <c r="AJ5629" s="28"/>
      <c r="AK5629" s="28" t="n">
        <f aca="false">AJ5629*$M5629</f>
        <v>0</v>
      </c>
      <c r="AL5629" s="28"/>
      <c r="AM5629" s="28" t="n">
        <f aca="false">AL5629*$M5629</f>
        <v>0</v>
      </c>
      <c r="AN5629" s="28"/>
      <c r="AO5629" s="28" t="n">
        <f aca="false">AN5629*$M5629</f>
        <v>0</v>
      </c>
      <c r="AP5629" s="28"/>
      <c r="AQ5629" s="28" t="n">
        <f aca="false">AP5629*$M5629</f>
        <v>0</v>
      </c>
      <c r="AR5629" s="28"/>
      <c r="AS5629" s="28" t="n">
        <f aca="false">AR5629*$M5629</f>
        <v>0</v>
      </c>
      <c r="AT5629" s="28"/>
      <c r="AU5629" s="28" t="n">
        <f aca="false">AT5629*$M5629</f>
        <v>0</v>
      </c>
      <c r="AV5629" s="28"/>
      <c r="AW5629" s="28" t="n">
        <f aca="false">AV5629*$M5629</f>
        <v>0</v>
      </c>
      <c r="AX5629" s="28"/>
      <c r="AY5629" s="28" t="n">
        <f aca="false">AX5629*$M5629</f>
        <v>0</v>
      </c>
      <c r="AZ5629" s="30" t="n">
        <v>105447</v>
      </c>
      <c r="BA5629" s="11" t="n">
        <v>263617</v>
      </c>
      <c r="BB5629" s="31" t="n">
        <f aca="false">SUM(Q5629,S5629,U5629,W5629,Y5629,AA5629,AC5629,AE5629,AG5629,AI5629,AK5629,AM5629,AO5629,AQ5629,AS5629,AU5629,AW5629,AY5629)</f>
        <v>263617</v>
      </c>
      <c r="BC5629" s="28" t="n">
        <f aca="false">BA5629-BB5629</f>
        <v>0</v>
      </c>
      <c r="BD5629" s="32" t="n">
        <f aca="false">SUM(P5629,R5629,T5629,V5629,X5629,Z5629,AB5629,AD5629,AF5629,AH5629,AJ5629,AL5629,AN5629,AP5629,AR5629,AT5629,AV5629,AX5629)</f>
        <v>105447</v>
      </c>
      <c r="BE5629" s="33" t="n">
        <f aca="false">AZ5629-BD5629</f>
        <v>0</v>
      </c>
      <c r="BF5629" s="34" t="n">
        <f aca="false">BD5629*M5629</f>
        <v>263617.5</v>
      </c>
      <c r="BG5629" s="35" t="n">
        <f aca="false">BA5629-BF5629</f>
        <v>-0.5</v>
      </c>
      <c r="BH5629" s="19" t="str">
        <f aca="false">IF(BG5629=0,"",IF(BG5629&lt;&gt;BA5629,"erreur de calcul",IF(BD5629&lt;&gt;0,"pas de prix",IF(M5629&lt;&gt; 0,"pas de quantité","pas de prix, ni de quantité"))))</f>
        <v>erreur de calcul</v>
      </c>
      <c r="BI5629" s="19"/>
    </row>
    <row r="5630" customFormat="false" ht="15" hidden="false" customHeight="false" outlineLevel="0" collapsed="false">
      <c r="A5630" s="0" t="n">
        <v>12</v>
      </c>
      <c r="B5630" s="8" t="s">
        <v>24</v>
      </c>
      <c r="C5630" s="9" t="s">
        <v>25</v>
      </c>
      <c r="D5630" s="9" t="s">
        <v>26</v>
      </c>
      <c r="E5630" s="10" t="n">
        <v>1789</v>
      </c>
      <c r="F5630" s="9" t="s">
        <v>27</v>
      </c>
      <c r="G5630" s="9" t="s">
        <v>27</v>
      </c>
      <c r="H5630" s="11" t="n">
        <v>18</v>
      </c>
      <c r="I5630" s="11" t="s">
        <v>80</v>
      </c>
      <c r="J5630" s="14"/>
      <c r="K5630" s="14" t="n">
        <v>4</v>
      </c>
      <c r="L5630" s="16"/>
      <c r="M5630" s="27" t="n">
        <f aca="false">J5630+(K5630/20)+(L5630/240)</f>
        <v>0.2</v>
      </c>
      <c r="N5630" s="17" t="s">
        <v>81</v>
      </c>
      <c r="O5630" s="11"/>
      <c r="P5630" s="28"/>
      <c r="Q5630" s="28" t="n">
        <f aca="false">P5630*$M5630</f>
        <v>0</v>
      </c>
      <c r="R5630" s="28"/>
      <c r="S5630" s="28" t="n">
        <f aca="false">R5630*$M5630</f>
        <v>0</v>
      </c>
      <c r="T5630" s="28"/>
      <c r="U5630" s="28" t="n">
        <f aca="false">T5630*$M5630</f>
        <v>0</v>
      </c>
      <c r="V5630" s="28" t="n">
        <v>5800</v>
      </c>
      <c r="W5630" s="28" t="n">
        <v>1160</v>
      </c>
      <c r="X5630" s="29"/>
      <c r="Y5630" s="28" t="n">
        <v>1069</v>
      </c>
      <c r="Z5630" s="28"/>
      <c r="AA5630" s="28" t="n">
        <f aca="false">Z5630*$M5630</f>
        <v>0</v>
      </c>
      <c r="AB5630" s="28"/>
      <c r="AC5630" s="28" t="n">
        <f aca="false">AB5630*$M5630</f>
        <v>0</v>
      </c>
      <c r="AD5630" s="28"/>
      <c r="AE5630" s="28" t="n">
        <f aca="false">AD5630*$M5630</f>
        <v>0</v>
      </c>
      <c r="AF5630" s="28"/>
      <c r="AG5630" s="28" t="n">
        <f aca="false">AF5630*$M5630</f>
        <v>0</v>
      </c>
      <c r="AH5630" s="28"/>
      <c r="AI5630" s="28" t="n">
        <f aca="false">AH5630*$M5630</f>
        <v>0</v>
      </c>
      <c r="AJ5630" s="28"/>
      <c r="AK5630" s="28" t="n">
        <f aca="false">AJ5630*$M5630</f>
        <v>0</v>
      </c>
      <c r="AL5630" s="28"/>
      <c r="AM5630" s="28" t="n">
        <f aca="false">AL5630*$M5630</f>
        <v>0</v>
      </c>
      <c r="AN5630" s="28"/>
      <c r="AO5630" s="28" t="n">
        <f aca="false">AN5630*$M5630</f>
        <v>0</v>
      </c>
      <c r="AP5630" s="28"/>
      <c r="AQ5630" s="28" t="n">
        <f aca="false">AP5630*$M5630</f>
        <v>0</v>
      </c>
      <c r="AR5630" s="28"/>
      <c r="AS5630" s="28" t="n">
        <f aca="false">AR5630*$M5630</f>
        <v>0</v>
      </c>
      <c r="AT5630" s="28"/>
      <c r="AU5630" s="28" t="n">
        <f aca="false">AT5630*$M5630</f>
        <v>0</v>
      </c>
      <c r="AV5630" s="28"/>
      <c r="AW5630" s="28" t="n">
        <f aca="false">AV5630*$M5630</f>
        <v>0</v>
      </c>
      <c r="AX5630" s="28"/>
      <c r="AY5630" s="28" t="n">
        <f aca="false">AX5630*$M5630</f>
        <v>0</v>
      </c>
      <c r="AZ5630" s="30" t="n">
        <v>11144</v>
      </c>
      <c r="BA5630" s="11" t="n">
        <v>2229</v>
      </c>
      <c r="BB5630" s="31" t="n">
        <f aca="false">SUM(Q5630,S5630,U5630,W5630,Y5630,AA5630,AC5630,AE5630,AG5630,AI5630,AK5630,AM5630,AO5630,AQ5630,AS5630,AU5630,AW5630,AY5630)</f>
        <v>2229</v>
      </c>
      <c r="BC5630" s="28" t="n">
        <f aca="false">BA5630-BB5630</f>
        <v>0</v>
      </c>
      <c r="BD5630" s="32" t="n">
        <f aca="false">SUM(P5630,R5630,T5630,V5630,X5630,Z5630,AB5630,AD5630,AF5630,AH5630,AJ5630,AL5630,AN5630,AP5630,AR5630,AT5630,AV5630,AX5630)</f>
        <v>5800</v>
      </c>
      <c r="BE5630" s="33" t="n">
        <f aca="false">AZ5630-BD5630</f>
        <v>5344</v>
      </c>
      <c r="BF5630" s="34" t="n">
        <f aca="false">BD5630*M5630</f>
        <v>1160</v>
      </c>
      <c r="BG5630" s="35" t="n">
        <f aca="false">BA5630-BF5630</f>
        <v>1069</v>
      </c>
      <c r="BH5630" s="19" t="str">
        <f aca="false">IF(BG5630=0,"",IF(BG5630&lt;&gt;BA5630,"erreur de calcul",IF(BD5630&lt;&gt;0,"pas de prix",IF(M5630&lt;&gt; 0,"pas de quantité","pas de prix, ni de quantité"))))</f>
        <v>erreur de calcul</v>
      </c>
      <c r="BI5630" s="19"/>
    </row>
    <row r="5631" customFormat="false" ht="15" hidden="false" customHeight="false" outlineLevel="0" collapsed="false">
      <c r="A5631" s="0" t="n">
        <v>13</v>
      </c>
      <c r="B5631" s="8" t="s">
        <v>24</v>
      </c>
      <c r="C5631" s="9" t="s">
        <v>25</v>
      </c>
      <c r="D5631" s="9" t="s">
        <v>26</v>
      </c>
      <c r="E5631" s="10" t="n">
        <v>1789</v>
      </c>
      <c r="F5631" s="9" t="s">
        <v>27</v>
      </c>
      <c r="G5631" s="9" t="s">
        <v>27</v>
      </c>
      <c r="H5631" s="11" t="n">
        <v>18</v>
      </c>
      <c r="I5631" s="11" t="s">
        <v>82</v>
      </c>
      <c r="J5631" s="14" t="n">
        <v>17</v>
      </c>
      <c r="K5631" s="14"/>
      <c r="L5631" s="16"/>
      <c r="M5631" s="27" t="n">
        <f aca="false">J5631+(K5631/20)+(L5631/240)</f>
        <v>17</v>
      </c>
      <c r="N5631" s="17" t="s">
        <v>69</v>
      </c>
      <c r="O5631" s="11"/>
      <c r="P5631" s="28"/>
      <c r="Q5631" s="28" t="n">
        <f aca="false">P5631*$M5631</f>
        <v>0</v>
      </c>
      <c r="R5631" s="28"/>
      <c r="S5631" s="28" t="n">
        <f aca="false">R5631*$M5631</f>
        <v>0</v>
      </c>
      <c r="T5631" s="28"/>
      <c r="U5631" s="28" t="n">
        <f aca="false">T5631*$M5631</f>
        <v>0</v>
      </c>
      <c r="V5631" s="28" t="n">
        <v>600</v>
      </c>
      <c r="W5631" s="28" t="n">
        <v>10200</v>
      </c>
      <c r="X5631" s="29"/>
      <c r="Y5631" s="28" t="n">
        <f aca="false">X5631*$M5631</f>
        <v>0</v>
      </c>
      <c r="Z5631" s="28"/>
      <c r="AA5631" s="28" t="n">
        <f aca="false">Z5631*$M5631</f>
        <v>0</v>
      </c>
      <c r="AB5631" s="28"/>
      <c r="AC5631" s="28" t="n">
        <f aca="false">AB5631*$M5631</f>
        <v>0</v>
      </c>
      <c r="AD5631" s="28"/>
      <c r="AE5631" s="28" t="n">
        <f aca="false">AD5631*$M5631</f>
        <v>0</v>
      </c>
      <c r="AF5631" s="28"/>
      <c r="AG5631" s="28" t="n">
        <f aca="false">AF5631*$M5631</f>
        <v>0</v>
      </c>
      <c r="AH5631" s="28"/>
      <c r="AI5631" s="28" t="n">
        <f aca="false">AH5631*$M5631</f>
        <v>0</v>
      </c>
      <c r="AJ5631" s="28"/>
      <c r="AK5631" s="28" t="n">
        <f aca="false">AJ5631*$M5631</f>
        <v>0</v>
      </c>
      <c r="AL5631" s="28"/>
      <c r="AM5631" s="28" t="n">
        <f aca="false">AL5631*$M5631</f>
        <v>0</v>
      </c>
      <c r="AN5631" s="28"/>
      <c r="AO5631" s="28" t="n">
        <f aca="false">AN5631*$M5631</f>
        <v>0</v>
      </c>
      <c r="AP5631" s="28"/>
      <c r="AQ5631" s="28" t="n">
        <f aca="false">AP5631*$M5631</f>
        <v>0</v>
      </c>
      <c r="AR5631" s="28"/>
      <c r="AS5631" s="28" t="n">
        <f aca="false">AR5631*$M5631</f>
        <v>0</v>
      </c>
      <c r="AT5631" s="28"/>
      <c r="AU5631" s="28" t="n">
        <f aca="false">AT5631*$M5631</f>
        <v>0</v>
      </c>
      <c r="AV5631" s="28"/>
      <c r="AW5631" s="28" t="n">
        <f aca="false">AV5631*$M5631</f>
        <v>0</v>
      </c>
      <c r="AX5631" s="28"/>
      <c r="AY5631" s="28" t="n">
        <f aca="false">AX5631*$M5631</f>
        <v>0</v>
      </c>
      <c r="AZ5631" s="30" t="n">
        <v>600</v>
      </c>
      <c r="BA5631" s="11" t="n">
        <v>10200</v>
      </c>
      <c r="BB5631" s="31" t="n">
        <f aca="false">SUM(Q5631,S5631,U5631,W5631,Y5631,AA5631,AC5631,AE5631,AG5631,AI5631,AK5631,AM5631,AO5631,AQ5631,AS5631,AU5631,AW5631,AY5631)</f>
        <v>10200</v>
      </c>
      <c r="BC5631" s="28" t="n">
        <f aca="false">BA5631-BB5631</f>
        <v>0</v>
      </c>
      <c r="BD5631" s="32" t="n">
        <f aca="false">SUM(P5631,R5631,T5631,V5631,X5631,Z5631,AB5631,AD5631,AF5631,AH5631,AJ5631,AL5631,AN5631,AP5631,AR5631,AT5631,AV5631,AX5631)</f>
        <v>600</v>
      </c>
      <c r="BE5631" s="33" t="n">
        <f aca="false">AZ5631-BD5631</f>
        <v>0</v>
      </c>
      <c r="BF5631" s="34" t="n">
        <f aca="false">BD5631*M5631</f>
        <v>10200</v>
      </c>
      <c r="BG5631" s="35" t="n">
        <f aca="false">BA5631-BF5631</f>
        <v>0</v>
      </c>
      <c r="BH5631" s="19" t="str">
        <f aca="false">IF(BG5631=0,"",IF(BG5631&lt;&gt;BA5631,"erreur de calcul",IF(BD5631&lt;&gt;0,"pas de prix",IF(M5631&lt;&gt; 0,"pas de quantité","pas de prix, ni de quantité"))))</f>
        <v/>
      </c>
      <c r="BI5631" s="19"/>
    </row>
    <row r="5632" customFormat="false" ht="15" hidden="false" customHeight="false" outlineLevel="0" collapsed="false">
      <c r="A5632" s="0" t="n">
        <v>14</v>
      </c>
      <c r="B5632" s="8" t="s">
        <v>24</v>
      </c>
      <c r="C5632" s="9" t="s">
        <v>25</v>
      </c>
      <c r="D5632" s="9" t="s">
        <v>26</v>
      </c>
      <c r="E5632" s="10" t="n">
        <v>1789</v>
      </c>
      <c r="F5632" s="9" t="s">
        <v>27</v>
      </c>
      <c r="G5632" s="9" t="s">
        <v>27</v>
      </c>
      <c r="H5632" s="11" t="n">
        <v>18</v>
      </c>
      <c r="I5632" s="11" t="s">
        <v>83</v>
      </c>
      <c r="J5632" s="14" t="n">
        <v>20</v>
      </c>
      <c r="K5632" s="14"/>
      <c r="L5632" s="16"/>
      <c r="M5632" s="27" t="n">
        <f aca="false">J5632+(K5632/20)+(L5632/240)</f>
        <v>20</v>
      </c>
      <c r="N5632" s="17" t="s">
        <v>81</v>
      </c>
      <c r="O5632" s="11"/>
      <c r="P5632" s="28"/>
      <c r="Q5632" s="28" t="n">
        <f aca="false">P5632*$M5632</f>
        <v>0</v>
      </c>
      <c r="R5632" s="28"/>
      <c r="S5632" s="28" t="n">
        <f aca="false">R5632*$M5632</f>
        <v>0</v>
      </c>
      <c r="T5632" s="28"/>
      <c r="U5632" s="28" t="n">
        <f aca="false">T5632*$M5632</f>
        <v>0</v>
      </c>
      <c r="V5632" s="28"/>
      <c r="W5632" s="28" t="n">
        <f aca="false">V5632*$M5632</f>
        <v>0</v>
      </c>
      <c r="X5632" s="29"/>
      <c r="Y5632" s="28" t="n">
        <f aca="false">X5632*$M5632</f>
        <v>0</v>
      </c>
      <c r="Z5632" s="28" t="n">
        <v>460</v>
      </c>
      <c r="AA5632" s="28" t="n">
        <v>9200</v>
      </c>
      <c r="AB5632" s="28"/>
      <c r="AC5632" s="28" t="n">
        <f aca="false">AB5632*$M5632</f>
        <v>0</v>
      </c>
      <c r="AD5632" s="28"/>
      <c r="AE5632" s="28" t="n">
        <f aca="false">AD5632*$M5632</f>
        <v>0</v>
      </c>
      <c r="AF5632" s="28"/>
      <c r="AG5632" s="28" t="n">
        <f aca="false">AF5632*$M5632</f>
        <v>0</v>
      </c>
      <c r="AH5632" s="28"/>
      <c r="AI5632" s="28" t="n">
        <f aca="false">AH5632*$M5632</f>
        <v>0</v>
      </c>
      <c r="AJ5632" s="28"/>
      <c r="AK5632" s="28" t="n">
        <f aca="false">AJ5632*$M5632</f>
        <v>0</v>
      </c>
      <c r="AL5632" s="28"/>
      <c r="AM5632" s="28" t="n">
        <f aca="false">AL5632*$M5632</f>
        <v>0</v>
      </c>
      <c r="AN5632" s="28"/>
      <c r="AO5632" s="28" t="n">
        <f aca="false">AN5632*$M5632</f>
        <v>0</v>
      </c>
      <c r="AP5632" s="28"/>
      <c r="AQ5632" s="28" t="n">
        <f aca="false">AP5632*$M5632</f>
        <v>0</v>
      </c>
      <c r="AR5632" s="28"/>
      <c r="AS5632" s="28" t="n">
        <f aca="false">AR5632*$M5632</f>
        <v>0</v>
      </c>
      <c r="AT5632" s="28"/>
      <c r="AU5632" s="28" t="n">
        <f aca="false">AT5632*$M5632</f>
        <v>0</v>
      </c>
      <c r="AV5632" s="28"/>
      <c r="AW5632" s="28" t="n">
        <f aca="false">AV5632*$M5632</f>
        <v>0</v>
      </c>
      <c r="AX5632" s="28"/>
      <c r="AY5632" s="28" t="n">
        <f aca="false">AX5632*$M5632</f>
        <v>0</v>
      </c>
      <c r="AZ5632" s="30" t="n">
        <v>460</v>
      </c>
      <c r="BA5632" s="11" t="n">
        <v>9200</v>
      </c>
      <c r="BB5632" s="31" t="n">
        <f aca="false">SUM(Q5632,S5632,U5632,W5632,Y5632,AA5632,AC5632,AE5632,AG5632,AI5632,AK5632,AM5632,AO5632,AQ5632,AS5632,AU5632,AW5632,AY5632)</f>
        <v>9200</v>
      </c>
      <c r="BC5632" s="28" t="n">
        <f aca="false">BA5632-BB5632</f>
        <v>0</v>
      </c>
      <c r="BD5632" s="32" t="n">
        <f aca="false">SUM(P5632,R5632,T5632,V5632,X5632,Z5632,AB5632,AD5632,AF5632,AH5632,AJ5632,AL5632,AN5632,AP5632,AR5632,AT5632,AV5632,AX5632)</f>
        <v>460</v>
      </c>
      <c r="BE5632" s="33" t="n">
        <f aca="false">AZ5632-BD5632</f>
        <v>0</v>
      </c>
      <c r="BF5632" s="34" t="n">
        <f aca="false">BD5632*M5632</f>
        <v>9200</v>
      </c>
      <c r="BG5632" s="35" t="n">
        <f aca="false">BA5632-BF5632</f>
        <v>0</v>
      </c>
      <c r="BH5632" s="19" t="str">
        <f aca="false">IF(BG5632=0,"",IF(BG5632&lt;&gt;BA5632,"erreur de calcul",IF(BD5632&lt;&gt;0,"pas de prix",IF(M5632&lt;&gt; 0,"pas de quantité","pas de prix, ni de quantité"))))</f>
        <v/>
      </c>
      <c r="BI5632" s="19"/>
    </row>
    <row r="5633" customFormat="false" ht="15" hidden="false" customHeight="false" outlineLevel="0" collapsed="false">
      <c r="A5633" s="0" t="n">
        <v>15</v>
      </c>
      <c r="B5633" s="8" t="s">
        <v>24</v>
      </c>
      <c r="C5633" s="9" t="s">
        <v>25</v>
      </c>
      <c r="D5633" s="9" t="s">
        <v>26</v>
      </c>
      <c r="E5633" s="10" t="n">
        <v>1789</v>
      </c>
      <c r="F5633" s="9" t="s">
        <v>27</v>
      </c>
      <c r="G5633" s="9" t="s">
        <v>27</v>
      </c>
      <c r="H5633" s="11" t="n">
        <v>18</v>
      </c>
      <c r="I5633" s="11" t="s">
        <v>84</v>
      </c>
      <c r="J5633" s="14" t="n">
        <v>16</v>
      </c>
      <c r="K5633" s="14"/>
      <c r="L5633" s="16"/>
      <c r="M5633" s="27" t="n">
        <f aca="false">J5633+(K5633/20)+(L5633/240)</f>
        <v>16</v>
      </c>
      <c r="N5633" s="17" t="s">
        <v>85</v>
      </c>
      <c r="O5633" s="11"/>
      <c r="P5633" s="28"/>
      <c r="Q5633" s="28" t="n">
        <f aca="false">P5633*$M5633</f>
        <v>0</v>
      </c>
      <c r="R5633" s="28"/>
      <c r="S5633" s="28" t="n">
        <f aca="false">R5633*$M5633</f>
        <v>0</v>
      </c>
      <c r="T5633" s="28" t="n">
        <f aca="false">1600/100</f>
        <v>16</v>
      </c>
      <c r="U5633" s="28" t="n">
        <v>256</v>
      </c>
      <c r="V5633" s="28" t="n">
        <f aca="false">227136/100</f>
        <v>2271.36</v>
      </c>
      <c r="W5633" s="28" t="n">
        <v>36342</v>
      </c>
      <c r="X5633" s="29"/>
      <c r="Y5633" s="28" t="n">
        <v>304</v>
      </c>
      <c r="Z5633" s="28" t="n">
        <f aca="false">6850/100</f>
        <v>68.5</v>
      </c>
      <c r="AA5633" s="28" t="n">
        <v>1096</v>
      </c>
      <c r="AB5633" s="28" t="n">
        <f aca="false">204300/100</f>
        <v>2043</v>
      </c>
      <c r="AC5633" s="28" t="n">
        <v>32688</v>
      </c>
      <c r="AD5633" s="28" t="n">
        <f aca="false">9750/100</f>
        <v>97.5</v>
      </c>
      <c r="AE5633" s="28" t="n">
        <v>1560</v>
      </c>
      <c r="AF5633" s="28"/>
      <c r="AG5633" s="28" t="n">
        <f aca="false">AF5633*$M5633</f>
        <v>0</v>
      </c>
      <c r="AH5633" s="28"/>
      <c r="AI5633" s="28" t="n">
        <f aca="false">AH5633*$M5633</f>
        <v>0</v>
      </c>
      <c r="AJ5633" s="28" t="n">
        <f aca="false">1414/100</f>
        <v>14.14</v>
      </c>
      <c r="AK5633" s="28" t="n">
        <v>226</v>
      </c>
      <c r="AL5633" s="28" t="n">
        <f aca="false">29500/100</f>
        <v>295</v>
      </c>
      <c r="AM5633" s="28" t="n">
        <v>4720</v>
      </c>
      <c r="AN5633" s="28"/>
      <c r="AO5633" s="28" t="n">
        <f aca="false">AN5633*$M5633</f>
        <v>0</v>
      </c>
      <c r="AP5633" s="28" t="n">
        <f aca="false">1520/100</f>
        <v>15.2</v>
      </c>
      <c r="AQ5633" s="28" t="n">
        <v>243</v>
      </c>
      <c r="AR5633" s="28"/>
      <c r="AS5633" s="28" t="n">
        <f aca="false">AR5633*$M5633</f>
        <v>0</v>
      </c>
      <c r="AT5633" s="28" t="n">
        <f aca="false">2100/100</f>
        <v>21</v>
      </c>
      <c r="AU5633" s="28" t="n">
        <v>336</v>
      </c>
      <c r="AV5633" s="28" t="n">
        <f aca="false">1320/100</f>
        <v>13.2</v>
      </c>
      <c r="AW5633" s="28" t="n">
        <v>211</v>
      </c>
      <c r="AX5633" s="28" t="n">
        <f aca="false">177746/100</f>
        <v>1777.46</v>
      </c>
      <c r="AY5633" s="28" t="n">
        <v>28439</v>
      </c>
      <c r="AZ5633" s="30" t="n">
        <f aca="false">665136/100</f>
        <v>6651.36</v>
      </c>
      <c r="BA5633" s="11" t="n">
        <v>106421</v>
      </c>
      <c r="BB5633" s="31" t="n">
        <f aca="false">SUM(Q5633,S5633,U5633,W5633,Y5633,AA5633,AC5633,AE5633,AG5633,AI5633,AK5633,AM5633,AO5633,AQ5633,AS5633,AU5633,AW5633,AY5633)</f>
        <v>106421</v>
      </c>
      <c r="BC5633" s="28" t="n">
        <f aca="false">BA5633-BB5633</f>
        <v>0</v>
      </c>
      <c r="BD5633" s="32" t="n">
        <f aca="false">SUM(P5633,R5633,T5633,V5633,X5633,Z5633,AB5633,AD5633,AF5633,AH5633,AJ5633,AL5633,AN5633,AP5633,AR5633,AT5633,AV5633,AX5633)</f>
        <v>6632.36</v>
      </c>
      <c r="BE5633" s="33" t="n">
        <f aca="false">AZ5633-BD5633</f>
        <v>18.9999999999991</v>
      </c>
      <c r="BF5633" s="34" t="n">
        <f aca="false">BD5633*M5633</f>
        <v>106117.76</v>
      </c>
      <c r="BG5633" s="35" t="n">
        <f aca="false">BA5633-BF5633</f>
        <v>303.239999999991</v>
      </c>
      <c r="BH5633" s="19" t="str">
        <f aca="false">IF(BG5633=0,"",IF(BG5633&lt;&gt;BA5633,"erreur de calcul",IF(BD5633&lt;&gt;0,"pas de prix",IF(M5633&lt;&gt; 0,"pas de quantité","pas de prix, ni de quantité"))))</f>
        <v>erreur de calcul</v>
      </c>
      <c r="BI5633" s="19"/>
    </row>
    <row r="5634" customFormat="false" ht="15" hidden="false" customHeight="false" outlineLevel="0" collapsed="false">
      <c r="A5634" s="0" t="n">
        <v>16</v>
      </c>
      <c r="B5634" s="8" t="s">
        <v>24</v>
      </c>
      <c r="C5634" s="9" t="s">
        <v>25</v>
      </c>
      <c r="D5634" s="9" t="s">
        <v>26</v>
      </c>
      <c r="E5634" s="10" t="n">
        <v>1789</v>
      </c>
      <c r="F5634" s="9" t="s">
        <v>27</v>
      </c>
      <c r="G5634" s="9" t="s">
        <v>27</v>
      </c>
      <c r="H5634" s="11" t="n">
        <v>18</v>
      </c>
      <c r="I5634" s="11" t="s">
        <v>86</v>
      </c>
      <c r="J5634" s="14" t="n">
        <v>55</v>
      </c>
      <c r="K5634" s="14"/>
      <c r="L5634" s="16"/>
      <c r="M5634" s="27" t="n">
        <f aca="false">J5634+(K5634/20)+(L5634/240)</f>
        <v>55</v>
      </c>
      <c r="N5634" s="17" t="s">
        <v>81</v>
      </c>
      <c r="O5634" s="11"/>
      <c r="P5634" s="28"/>
      <c r="Q5634" s="28" t="n">
        <f aca="false">P5634*$M5634</f>
        <v>0</v>
      </c>
      <c r="R5634" s="28"/>
      <c r="S5634" s="28" t="n">
        <f aca="false">R5634*$M5634</f>
        <v>0</v>
      </c>
      <c r="T5634" s="28"/>
      <c r="U5634" s="28" t="n">
        <f aca="false">T5634*$M5634</f>
        <v>0</v>
      </c>
      <c r="V5634" s="28"/>
      <c r="W5634" s="28" t="n">
        <f aca="false">V5634*$M5634</f>
        <v>0</v>
      </c>
      <c r="X5634" s="29"/>
      <c r="Y5634" s="28" t="n">
        <f aca="false">X5634*$M5634</f>
        <v>0</v>
      </c>
      <c r="Z5634" s="28"/>
      <c r="AA5634" s="28" t="n">
        <f aca="false">Z5634*$M5634</f>
        <v>0</v>
      </c>
      <c r="AB5634" s="28"/>
      <c r="AC5634" s="28" t="n">
        <f aca="false">AB5634*$M5634</f>
        <v>0</v>
      </c>
      <c r="AD5634" s="28"/>
      <c r="AE5634" s="28" t="n">
        <f aca="false">AD5634*$M5634</f>
        <v>0</v>
      </c>
      <c r="AF5634" s="28"/>
      <c r="AG5634" s="28" t="n">
        <f aca="false">AF5634*$M5634</f>
        <v>0</v>
      </c>
      <c r="AH5634" s="28"/>
      <c r="AI5634" s="28" t="n">
        <f aca="false">AH5634*$M5634</f>
        <v>0</v>
      </c>
      <c r="AJ5634" s="28"/>
      <c r="AK5634" s="28" t="n">
        <f aca="false">AJ5634*$M5634</f>
        <v>0</v>
      </c>
      <c r="AL5634" s="28"/>
      <c r="AM5634" s="28" t="n">
        <f aca="false">AL5634*$M5634</f>
        <v>0</v>
      </c>
      <c r="AN5634" s="28"/>
      <c r="AO5634" s="28" t="n">
        <f aca="false">AN5634*$M5634</f>
        <v>0</v>
      </c>
      <c r="AP5634" s="28"/>
      <c r="AQ5634" s="28" t="n">
        <f aca="false">AP5634*$M5634</f>
        <v>0</v>
      </c>
      <c r="AR5634" s="28"/>
      <c r="AS5634" s="28" t="n">
        <f aca="false">AR5634*$M5634</f>
        <v>0</v>
      </c>
      <c r="AT5634" s="28" t="n">
        <v>319</v>
      </c>
      <c r="AU5634" s="28" t="n">
        <v>17545</v>
      </c>
      <c r="AV5634" s="28"/>
      <c r="AW5634" s="28" t="n">
        <f aca="false">AV5634*$M5634</f>
        <v>0</v>
      </c>
      <c r="AX5634" s="28"/>
      <c r="AY5634" s="28" t="n">
        <f aca="false">AX5634*$M5634</f>
        <v>0</v>
      </c>
      <c r="AZ5634" s="30" t="n">
        <v>319</v>
      </c>
      <c r="BA5634" s="11" t="n">
        <v>17545</v>
      </c>
      <c r="BB5634" s="31" t="n">
        <f aca="false">SUM(Q5634,S5634,U5634,W5634,Y5634,AA5634,AC5634,AE5634,AG5634,AI5634,AK5634,AM5634,AO5634,AQ5634,AS5634,AU5634,AW5634,AY5634)</f>
        <v>17545</v>
      </c>
      <c r="BC5634" s="28" t="n">
        <f aca="false">BA5634-BB5634</f>
        <v>0</v>
      </c>
      <c r="BD5634" s="32" t="n">
        <f aca="false">SUM(P5634,R5634,T5634,V5634,X5634,Z5634,AB5634,AD5634,AF5634,AH5634,AJ5634,AL5634,AN5634,AP5634,AR5634,AT5634,AV5634,AX5634)</f>
        <v>319</v>
      </c>
      <c r="BE5634" s="33" t="n">
        <f aca="false">AZ5634-BD5634</f>
        <v>0</v>
      </c>
      <c r="BF5634" s="34" t="n">
        <f aca="false">BD5634*M5634</f>
        <v>17545</v>
      </c>
      <c r="BG5634" s="35" t="n">
        <f aca="false">BA5634-BF5634</f>
        <v>0</v>
      </c>
      <c r="BH5634" s="19" t="str">
        <f aca="false">IF(BG5634=0,"",IF(BG5634&lt;&gt;BA5634,"erreur de calcul",IF(BD5634&lt;&gt;0,"pas de prix",IF(M5634&lt;&gt; 0,"pas de quantité","pas de prix, ni de quantité"))))</f>
        <v/>
      </c>
      <c r="BI5634" s="19"/>
    </row>
    <row r="5635" customFormat="false" ht="15" hidden="false" customHeight="false" outlineLevel="0" collapsed="false">
      <c r="A5635" s="0" t="n">
        <v>17</v>
      </c>
      <c r="B5635" s="8" t="s">
        <v>24</v>
      </c>
      <c r="C5635" s="9" t="s">
        <v>25</v>
      </c>
      <c r="D5635" s="9" t="s">
        <v>26</v>
      </c>
      <c r="E5635" s="10" t="n">
        <v>1789</v>
      </c>
      <c r="F5635" s="9" t="s">
        <v>27</v>
      </c>
      <c r="G5635" s="9" t="s">
        <v>27</v>
      </c>
      <c r="H5635" s="11" t="n">
        <v>18</v>
      </c>
      <c r="I5635" s="11" t="s">
        <v>87</v>
      </c>
      <c r="J5635" s="14" t="n">
        <v>6</v>
      </c>
      <c r="K5635" s="14"/>
      <c r="L5635" s="16"/>
      <c r="M5635" s="27" t="n">
        <f aca="false">J5635+(K5635/20)+(L5635/240)</f>
        <v>6</v>
      </c>
      <c r="N5635" s="17" t="s">
        <v>69</v>
      </c>
      <c r="O5635" s="11" t="s">
        <v>77</v>
      </c>
      <c r="P5635" s="28"/>
      <c r="Q5635" s="28" t="n">
        <f aca="false">P5635*$M5635</f>
        <v>0</v>
      </c>
      <c r="R5635" s="28" t="n">
        <v>63</v>
      </c>
      <c r="S5635" s="28" t="n">
        <v>378</v>
      </c>
      <c r="T5635" s="28" t="n">
        <v>2406</v>
      </c>
      <c r="U5635" s="28" t="n">
        <v>14436</v>
      </c>
      <c r="V5635" s="28" t="n">
        <v>222</v>
      </c>
      <c r="W5635" s="28" t="n">
        <v>1332</v>
      </c>
      <c r="X5635" s="29"/>
      <c r="Y5635" s="28" t="n">
        <f aca="false">X5635*$M5635</f>
        <v>0</v>
      </c>
      <c r="Z5635" s="28"/>
      <c r="AA5635" s="28" t="n">
        <f aca="false">Z5635*$M5635</f>
        <v>0</v>
      </c>
      <c r="AB5635" s="28"/>
      <c r="AC5635" s="28" t="n">
        <f aca="false">AB5635*$M5635</f>
        <v>0</v>
      </c>
      <c r="AD5635" s="28" t="n">
        <v>330</v>
      </c>
      <c r="AE5635" s="28" t="n">
        <v>1980</v>
      </c>
      <c r="AF5635" s="28"/>
      <c r="AG5635" s="28" t="n">
        <f aca="false">AF5635*$M5635</f>
        <v>0</v>
      </c>
      <c r="AH5635" s="28"/>
      <c r="AI5635" s="28" t="n">
        <f aca="false">AH5635*$M5635</f>
        <v>0</v>
      </c>
      <c r="AJ5635" s="28"/>
      <c r="AK5635" s="28" t="n">
        <f aca="false">AJ5635*$M5635</f>
        <v>0</v>
      </c>
      <c r="AL5635" s="28"/>
      <c r="AM5635" s="28" t="n">
        <f aca="false">AL5635*$M5635</f>
        <v>0</v>
      </c>
      <c r="AN5635" s="28"/>
      <c r="AO5635" s="28" t="n">
        <f aca="false">AN5635*$M5635</f>
        <v>0</v>
      </c>
      <c r="AP5635" s="28"/>
      <c r="AQ5635" s="28" t="n">
        <f aca="false">AP5635*$M5635</f>
        <v>0</v>
      </c>
      <c r="AR5635" s="28"/>
      <c r="AS5635" s="28" t="n">
        <f aca="false">AR5635*$M5635</f>
        <v>0</v>
      </c>
      <c r="AT5635" s="28"/>
      <c r="AU5635" s="28" t="n">
        <f aca="false">AT5635*$M5635</f>
        <v>0</v>
      </c>
      <c r="AV5635" s="28"/>
      <c r="AW5635" s="28" t="n">
        <f aca="false">AV5635*$M5635</f>
        <v>0</v>
      </c>
      <c r="AX5635" s="28"/>
      <c r="AY5635" s="28" t="n">
        <f aca="false">AX5635*$M5635</f>
        <v>0</v>
      </c>
      <c r="AZ5635" s="30" t="n">
        <v>3021</v>
      </c>
      <c r="BA5635" s="11" t="n">
        <v>18126</v>
      </c>
      <c r="BB5635" s="31" t="n">
        <f aca="false">SUM(Q5635,S5635,U5635,W5635,Y5635,AA5635,AC5635,AE5635,AG5635,AI5635,AK5635,AM5635,AO5635,AQ5635,AS5635,AU5635,AW5635,AY5635)</f>
        <v>18126</v>
      </c>
      <c r="BC5635" s="28" t="n">
        <f aca="false">BA5635-BB5635</f>
        <v>0</v>
      </c>
      <c r="BD5635" s="32" t="n">
        <f aca="false">SUM(P5635,R5635,T5635,V5635,X5635,Z5635,AB5635,AD5635,AF5635,AH5635,AJ5635,AL5635,AN5635,AP5635,AR5635,AT5635,AV5635,AX5635)</f>
        <v>3021</v>
      </c>
      <c r="BE5635" s="33" t="n">
        <f aca="false">AZ5635-BD5635</f>
        <v>0</v>
      </c>
      <c r="BF5635" s="34" t="n">
        <f aca="false">BD5635*M5635</f>
        <v>18126</v>
      </c>
      <c r="BG5635" s="35" t="n">
        <f aca="false">BA5635-BF5635</f>
        <v>0</v>
      </c>
      <c r="BH5635" s="19" t="str">
        <f aca="false">IF(BG5635=0,"",IF(BG5635&lt;&gt;BA5635,"erreur de calcul",IF(BD5635&lt;&gt;0,"pas de prix",IF(M5635&lt;&gt; 0,"pas de quantité","pas de prix, ni de quantité"))))</f>
        <v/>
      </c>
      <c r="BI5635" s="19"/>
    </row>
    <row r="5636" customFormat="false" ht="15" hidden="false" customHeight="false" outlineLevel="0" collapsed="false">
      <c r="A5636" s="0" t="n">
        <v>18</v>
      </c>
      <c r="B5636" s="8" t="s">
        <v>24</v>
      </c>
      <c r="C5636" s="9" t="s">
        <v>25</v>
      </c>
      <c r="D5636" s="9" t="s">
        <v>26</v>
      </c>
      <c r="E5636" s="10" t="n">
        <v>1789</v>
      </c>
      <c r="F5636" s="9" t="s">
        <v>27</v>
      </c>
      <c r="G5636" s="9" t="s">
        <v>27</v>
      </c>
      <c r="H5636" s="11" t="n">
        <v>18</v>
      </c>
      <c r="I5636" s="11" t="s">
        <v>88</v>
      </c>
      <c r="J5636" s="14" t="n">
        <v>26</v>
      </c>
      <c r="K5636" s="14"/>
      <c r="L5636" s="16"/>
      <c r="M5636" s="27" t="n">
        <f aca="false">J5636+(K5636/20)+(L5636/240)</f>
        <v>26</v>
      </c>
      <c r="N5636" s="17" t="s">
        <v>69</v>
      </c>
      <c r="O5636" s="11"/>
      <c r="P5636" s="28"/>
      <c r="Q5636" s="28" t="n">
        <f aca="false">P5636*$M5636</f>
        <v>0</v>
      </c>
      <c r="R5636" s="28"/>
      <c r="S5636" s="28" t="n">
        <f aca="false">R5636*$M5636</f>
        <v>0</v>
      </c>
      <c r="T5636" s="28"/>
      <c r="U5636" s="28" t="n">
        <f aca="false">T5636*$M5636</f>
        <v>0</v>
      </c>
      <c r="V5636" s="28"/>
      <c r="W5636" s="28" t="n">
        <f aca="false">V5636*$M5636</f>
        <v>0</v>
      </c>
      <c r="X5636" s="29"/>
      <c r="Y5636" s="28" t="n">
        <f aca="false">X5636*$M5636</f>
        <v>0</v>
      </c>
      <c r="Z5636" s="28"/>
      <c r="AA5636" s="28" t="n">
        <f aca="false">Z5636*$M5636</f>
        <v>0</v>
      </c>
      <c r="AB5636" s="28"/>
      <c r="AC5636" s="28" t="n">
        <f aca="false">AB5636*$M5636</f>
        <v>0</v>
      </c>
      <c r="AD5636" s="28"/>
      <c r="AE5636" s="28" t="n">
        <f aca="false">AD5636*$M5636</f>
        <v>0</v>
      </c>
      <c r="AF5636" s="28"/>
      <c r="AG5636" s="28" t="n">
        <f aca="false">AF5636*$M5636</f>
        <v>0</v>
      </c>
      <c r="AH5636" s="28"/>
      <c r="AI5636" s="28" t="n">
        <f aca="false">AH5636*$M5636</f>
        <v>0</v>
      </c>
      <c r="AJ5636" s="28"/>
      <c r="AK5636" s="28" t="n">
        <f aca="false">AJ5636*$M5636</f>
        <v>0</v>
      </c>
      <c r="AL5636" s="28" t="n">
        <v>150</v>
      </c>
      <c r="AM5636" s="28" t="n">
        <v>3900</v>
      </c>
      <c r="AN5636" s="28"/>
      <c r="AO5636" s="28" t="n">
        <f aca="false">AN5636*$M5636</f>
        <v>0</v>
      </c>
      <c r="AP5636" s="28" t="n">
        <v>4140</v>
      </c>
      <c r="AQ5636" s="28" t="n">
        <v>107640</v>
      </c>
      <c r="AR5636" s="28" t="n">
        <v>6957</v>
      </c>
      <c r="AS5636" s="28" t="n">
        <v>180882</v>
      </c>
      <c r="AT5636" s="28" t="n">
        <v>171</v>
      </c>
      <c r="AU5636" s="28" t="n">
        <v>4446</v>
      </c>
      <c r="AV5636" s="28" t="n">
        <v>838</v>
      </c>
      <c r="AW5636" s="28" t="n">
        <v>21788</v>
      </c>
      <c r="AX5636" s="28" t="n">
        <v>35</v>
      </c>
      <c r="AY5636" s="28" t="n">
        <v>910</v>
      </c>
      <c r="AZ5636" s="30" t="n">
        <v>12291</v>
      </c>
      <c r="BA5636" s="11" t="n">
        <v>319566</v>
      </c>
      <c r="BB5636" s="31" t="n">
        <f aca="false">SUM(Q5636,S5636,U5636,W5636,Y5636,AA5636,AC5636,AE5636,AG5636,AI5636,AK5636,AM5636,AO5636,AQ5636,AS5636,AU5636,AW5636,AY5636)</f>
        <v>319566</v>
      </c>
      <c r="BC5636" s="28" t="n">
        <f aca="false">BA5636-BB5636</f>
        <v>0</v>
      </c>
      <c r="BD5636" s="32" t="n">
        <f aca="false">SUM(P5636,R5636,T5636,V5636,X5636,Z5636,AB5636,AD5636,AF5636,AH5636,AJ5636,AL5636,AN5636,AP5636,AR5636,AT5636,AV5636,AX5636)</f>
        <v>12291</v>
      </c>
      <c r="BE5636" s="33" t="n">
        <f aca="false">AZ5636-BD5636</f>
        <v>0</v>
      </c>
      <c r="BF5636" s="34" t="n">
        <f aca="false">BD5636*M5636</f>
        <v>319566</v>
      </c>
      <c r="BG5636" s="35" t="n">
        <f aca="false">BA5636-BF5636</f>
        <v>0</v>
      </c>
      <c r="BH5636" s="19" t="str">
        <f aca="false">IF(BG5636=0,"",IF(BG5636&lt;&gt;BA5636,"erreur de calcul",IF(BD5636&lt;&gt;0,"pas de prix",IF(M5636&lt;&gt; 0,"pas de quantité","pas de prix, ni de quantité"))))</f>
        <v/>
      </c>
      <c r="BI5636" s="19"/>
    </row>
    <row r="5637" customFormat="false" ht="15" hidden="false" customHeight="false" outlineLevel="0" collapsed="false">
      <c r="A5637" s="0" t="n">
        <v>19</v>
      </c>
      <c r="B5637" s="8" t="s">
        <v>24</v>
      </c>
      <c r="C5637" s="9" t="s">
        <v>25</v>
      </c>
      <c r="D5637" s="9" t="s">
        <v>26</v>
      </c>
      <c r="E5637" s="10" t="n">
        <v>1789</v>
      </c>
      <c r="F5637" s="9" t="s">
        <v>27</v>
      </c>
      <c r="G5637" s="9" t="s">
        <v>27</v>
      </c>
      <c r="H5637" s="11" t="n">
        <v>18</v>
      </c>
      <c r="I5637" s="11" t="s">
        <v>89</v>
      </c>
      <c r="J5637" s="14" t="n">
        <v>7</v>
      </c>
      <c r="K5637" s="14"/>
      <c r="L5637" s="16"/>
      <c r="M5637" s="27" t="n">
        <f aca="false">J5637+(K5637/20)+(L5637/240)</f>
        <v>7</v>
      </c>
      <c r="N5637" s="17" t="s">
        <v>81</v>
      </c>
      <c r="O5637" s="11" t="s">
        <v>77</v>
      </c>
      <c r="P5637" s="28"/>
      <c r="Q5637" s="28" t="n">
        <f aca="false">P5637*$M5637</f>
        <v>0</v>
      </c>
      <c r="R5637" s="28"/>
      <c r="S5637" s="28" t="n">
        <f aca="false">R5637*$M5637</f>
        <v>0</v>
      </c>
      <c r="T5637" s="28"/>
      <c r="U5637" s="28" t="n">
        <f aca="false">T5637*$M5637</f>
        <v>0</v>
      </c>
      <c r="V5637" s="28"/>
      <c r="W5637" s="28" t="n">
        <f aca="false">V5637*$M5637</f>
        <v>0</v>
      </c>
      <c r="X5637" s="29"/>
      <c r="Y5637" s="28" t="n">
        <f aca="false">X5637*$M5637</f>
        <v>0</v>
      </c>
      <c r="Z5637" s="28"/>
      <c r="AA5637" s="28" t="n">
        <f aca="false">Z5637*$M5637</f>
        <v>0</v>
      </c>
      <c r="AB5637" s="28"/>
      <c r="AC5637" s="28" t="n">
        <f aca="false">AB5637*$M5637</f>
        <v>0</v>
      </c>
      <c r="AD5637" s="28"/>
      <c r="AE5637" s="28" t="n">
        <f aca="false">AD5637*$M5637</f>
        <v>0</v>
      </c>
      <c r="AF5637" s="28"/>
      <c r="AG5637" s="28" t="n">
        <f aca="false">AF5637*$M5637</f>
        <v>0</v>
      </c>
      <c r="AH5637" s="28"/>
      <c r="AI5637" s="28" t="n">
        <f aca="false">AH5637*$M5637</f>
        <v>0</v>
      </c>
      <c r="AJ5637" s="28"/>
      <c r="AK5637" s="28" t="n">
        <f aca="false">AJ5637*$M5637</f>
        <v>0</v>
      </c>
      <c r="AL5637" s="28"/>
      <c r="AM5637" s="28" t="n">
        <f aca="false">AL5637*$M5637</f>
        <v>0</v>
      </c>
      <c r="AN5637" s="28"/>
      <c r="AO5637" s="28" t="n">
        <f aca="false">AN5637*$M5637</f>
        <v>0</v>
      </c>
      <c r="AP5637" s="38" t="n">
        <v>1763</v>
      </c>
      <c r="AQ5637" s="28" t="n">
        <v>42312</v>
      </c>
      <c r="AR5637" s="28"/>
      <c r="AS5637" s="28" t="n">
        <f aca="false">AR5637*$M5637</f>
        <v>0</v>
      </c>
      <c r="AT5637" s="28"/>
      <c r="AU5637" s="28" t="n">
        <f aca="false">AT5637*$M5637</f>
        <v>0</v>
      </c>
      <c r="AV5637" s="38" t="n">
        <v>377</v>
      </c>
      <c r="AW5637" s="28" t="n">
        <v>9425</v>
      </c>
      <c r="AX5637" s="28"/>
      <c r="AY5637" s="28" t="n">
        <f aca="false">AX5637*$M5637</f>
        <v>0</v>
      </c>
      <c r="AZ5637" s="30" t="n">
        <v>2140</v>
      </c>
      <c r="BA5637" s="11" t="n">
        <v>51737</v>
      </c>
      <c r="BB5637" s="31" t="n">
        <f aca="false">SUM(Q5637,S5637,U5637,W5637,Y5637,AA5637,AC5637,AE5637,AG5637,AI5637,AK5637,AM5637,AO5637,AQ5637,AS5637,AU5637,AW5637,AY5637)</f>
        <v>51737</v>
      </c>
      <c r="BC5637" s="28" t="n">
        <f aca="false">BA5637-BB5637</f>
        <v>0</v>
      </c>
      <c r="BD5637" s="32" t="n">
        <f aca="false">SUM(P5637,R5637,T5637,V5637,X5637,Z5637,AB5637,AD5637,AF5637,AH5637,AJ5637,AL5637,AN5637,AP5637,AR5637,AT5637,AV5637,AX5637)</f>
        <v>2140</v>
      </c>
      <c r="BE5637" s="33" t="n">
        <f aca="false">AZ5637-BD5637</f>
        <v>0</v>
      </c>
      <c r="BF5637" s="34" t="n">
        <f aca="false">BD5637*M5637</f>
        <v>14980</v>
      </c>
      <c r="BG5637" s="35" t="n">
        <f aca="false">BA5637-BF5637</f>
        <v>36757</v>
      </c>
      <c r="BH5637" s="19" t="str">
        <f aca="false">IF(BG5637=0,"",IF(BG5637&lt;&gt;BA5637,"erreur de calcul",IF(BD5637&lt;&gt;0,"pas de prix",IF(M5637&lt;&gt; 0,"pas de quantité","pas de prix, ni de quantité"))))</f>
        <v>erreur de calcul</v>
      </c>
      <c r="BI5637" s="19" t="s">
        <v>90</v>
      </c>
    </row>
    <row r="5638" customFormat="false" ht="15" hidden="false" customHeight="false" outlineLevel="0" collapsed="false">
      <c r="A5638" s="0" t="n">
        <v>20</v>
      </c>
      <c r="B5638" s="8" t="s">
        <v>24</v>
      </c>
      <c r="C5638" s="9" t="s">
        <v>25</v>
      </c>
      <c r="D5638" s="9" t="s">
        <v>26</v>
      </c>
      <c r="E5638" s="10" t="n">
        <v>1789</v>
      </c>
      <c r="F5638" s="9" t="s">
        <v>27</v>
      </c>
      <c r="G5638" s="9" t="s">
        <v>27</v>
      </c>
      <c r="H5638" s="11" t="n">
        <v>18</v>
      </c>
      <c r="I5638" s="11" t="s">
        <v>91</v>
      </c>
      <c r="J5638" s="14" t="n">
        <v>30</v>
      </c>
      <c r="K5638" s="14"/>
      <c r="L5638" s="16"/>
      <c r="M5638" s="27" t="n">
        <f aca="false">J5638+(K5638/20)+(L5638/240)</f>
        <v>30</v>
      </c>
      <c r="N5638" s="17" t="s">
        <v>64</v>
      </c>
      <c r="O5638" s="11"/>
      <c r="P5638" s="28"/>
      <c r="Q5638" s="28" t="n">
        <f aca="false">P5638*$M5638</f>
        <v>0</v>
      </c>
      <c r="R5638" s="28"/>
      <c r="S5638" s="28" t="n">
        <f aca="false">R5638*$M5638</f>
        <v>0</v>
      </c>
      <c r="T5638" s="28"/>
      <c r="U5638" s="28" t="n">
        <f aca="false">T5638*$M5638</f>
        <v>0</v>
      </c>
      <c r="V5638" s="28" t="n">
        <f aca="false">12300/100</f>
        <v>123</v>
      </c>
      <c r="W5638" s="28" t="n">
        <v>3690</v>
      </c>
      <c r="X5638" s="29"/>
      <c r="Y5638" s="28" t="n">
        <f aca="false">X5638*$M5638</f>
        <v>0</v>
      </c>
      <c r="Z5638" s="28"/>
      <c r="AA5638" s="28" t="n">
        <f aca="false">Z5638*$M5638</f>
        <v>0</v>
      </c>
      <c r="AB5638" s="28" t="n">
        <f aca="false">16277/100</f>
        <v>162.77</v>
      </c>
      <c r="AC5638" s="28" t="n">
        <v>4883</v>
      </c>
      <c r="AD5638" s="28"/>
      <c r="AE5638" s="28" t="n">
        <f aca="false">AD5638*$M5638</f>
        <v>0</v>
      </c>
      <c r="AF5638" s="28"/>
      <c r="AG5638" s="28" t="n">
        <f aca="false">AF5638*$M5638</f>
        <v>0</v>
      </c>
      <c r="AH5638" s="28"/>
      <c r="AI5638" s="28" t="n">
        <f aca="false">AH5638*$M5638</f>
        <v>0</v>
      </c>
      <c r="AJ5638" s="28"/>
      <c r="AK5638" s="28" t="n">
        <f aca="false">AJ5638*$M5638</f>
        <v>0</v>
      </c>
      <c r="AL5638" s="28"/>
      <c r="AM5638" s="28" t="n">
        <f aca="false">AL5638*$M5638</f>
        <v>0</v>
      </c>
      <c r="AN5638" s="28"/>
      <c r="AO5638" s="28" t="n">
        <f aca="false">AN5638*$M5638</f>
        <v>0</v>
      </c>
      <c r="AP5638" s="28"/>
      <c r="AQ5638" s="28" t="n">
        <f aca="false">AP5638*$M5638</f>
        <v>0</v>
      </c>
      <c r="AR5638" s="28"/>
      <c r="AS5638" s="28" t="n">
        <f aca="false">AR5638*$M5638</f>
        <v>0</v>
      </c>
      <c r="AT5638" s="28"/>
      <c r="AU5638" s="28" t="n">
        <f aca="false">AT5638*$M5638</f>
        <v>0</v>
      </c>
      <c r="AV5638" s="28"/>
      <c r="AW5638" s="28" t="n">
        <f aca="false">AV5638*$M5638</f>
        <v>0</v>
      </c>
      <c r="AX5638" s="28"/>
      <c r="AY5638" s="28" t="n">
        <f aca="false">AX5638*$M5638</f>
        <v>0</v>
      </c>
      <c r="AZ5638" s="30" t="n">
        <f aca="false">28577/100</f>
        <v>285.77</v>
      </c>
      <c r="BA5638" s="11" t="n">
        <v>8573</v>
      </c>
      <c r="BB5638" s="31" t="n">
        <f aca="false">SUM(Q5638,S5638,U5638,W5638,Y5638,AA5638,AC5638,AE5638,AG5638,AI5638,AK5638,AM5638,AO5638,AQ5638,AS5638,AU5638,AW5638,AY5638)</f>
        <v>8573</v>
      </c>
      <c r="BC5638" s="28" t="n">
        <f aca="false">BA5638-BB5638</f>
        <v>0</v>
      </c>
      <c r="BD5638" s="32" t="n">
        <f aca="false">SUM(P5638,R5638,T5638,V5638,X5638,Z5638,AB5638,AD5638,AF5638,AH5638,AJ5638,AL5638,AN5638,AP5638,AR5638,AT5638,AV5638,AX5638)</f>
        <v>285.77</v>
      </c>
      <c r="BE5638" s="33" t="n">
        <f aca="false">AZ5638-BD5638</f>
        <v>0</v>
      </c>
      <c r="BF5638" s="34" t="n">
        <f aca="false">BD5638*M5638</f>
        <v>8573.1</v>
      </c>
      <c r="BG5638" s="35" t="n">
        <f aca="false">BA5638-BF5638</f>
        <v>-0.0999999999985448</v>
      </c>
      <c r="BH5638" s="19" t="str">
        <f aca="false">IF(BG5638=0,"",IF(BG5638&lt;&gt;BA5638,"erreur de calcul",IF(BD5638&lt;&gt;0,"pas de prix",IF(M5638&lt;&gt; 0,"pas de quantité","pas de prix, ni de quantité"))))</f>
        <v>erreur de calcul</v>
      </c>
      <c r="BI5638" s="19"/>
    </row>
    <row r="5639" customFormat="false" ht="15" hidden="false" customHeight="false" outlineLevel="0" collapsed="false">
      <c r="A5639" s="0" t="n">
        <v>21</v>
      </c>
      <c r="B5639" s="8" t="s">
        <v>24</v>
      </c>
      <c r="C5639" s="9" t="s">
        <v>25</v>
      </c>
      <c r="D5639" s="9" t="s">
        <v>26</v>
      </c>
      <c r="E5639" s="10" t="n">
        <v>1789</v>
      </c>
      <c r="F5639" s="9" t="s">
        <v>27</v>
      </c>
      <c r="G5639" s="9" t="s">
        <v>27</v>
      </c>
      <c r="H5639" s="11" t="n">
        <v>18</v>
      </c>
      <c r="I5639" s="11" t="s">
        <v>92</v>
      </c>
      <c r="J5639" s="14"/>
      <c r="K5639" s="14" t="n">
        <v>25</v>
      </c>
      <c r="L5639" s="16"/>
      <c r="M5639" s="27" t="n">
        <f aca="false">J5639+(K5639/20)+(L5639/240)</f>
        <v>1.25</v>
      </c>
      <c r="N5639" s="17" t="s">
        <v>81</v>
      </c>
      <c r="O5639" s="11"/>
      <c r="P5639" s="28"/>
      <c r="Q5639" s="28" t="n">
        <f aca="false">P5639*$M5639</f>
        <v>0</v>
      </c>
      <c r="R5639" s="28"/>
      <c r="S5639" s="28" t="n">
        <f aca="false">R5639*$M5639</f>
        <v>0</v>
      </c>
      <c r="T5639" s="28"/>
      <c r="U5639" s="28" t="n">
        <f aca="false">T5639*$M5639</f>
        <v>0</v>
      </c>
      <c r="V5639" s="28" t="n">
        <v>17192</v>
      </c>
      <c r="W5639" s="28" t="n">
        <v>21490</v>
      </c>
      <c r="X5639" s="29"/>
      <c r="Y5639" s="28" t="n">
        <f aca="false">X5639*$M5639</f>
        <v>0</v>
      </c>
      <c r="Z5639" s="28"/>
      <c r="AA5639" s="28" t="n">
        <f aca="false">Z5639*$M5639</f>
        <v>0</v>
      </c>
      <c r="AB5639" s="28"/>
      <c r="AC5639" s="28" t="n">
        <f aca="false">AB5639*$M5639</f>
        <v>0</v>
      </c>
      <c r="AD5639" s="28"/>
      <c r="AE5639" s="28" t="n">
        <f aca="false">AD5639*$M5639</f>
        <v>0</v>
      </c>
      <c r="AF5639" s="28"/>
      <c r="AG5639" s="28" t="n">
        <f aca="false">AF5639*$M5639</f>
        <v>0</v>
      </c>
      <c r="AH5639" s="28"/>
      <c r="AI5639" s="28" t="n">
        <f aca="false">AH5639*$M5639</f>
        <v>0</v>
      </c>
      <c r="AJ5639" s="28"/>
      <c r="AK5639" s="28" t="n">
        <f aca="false">AJ5639*$M5639</f>
        <v>0</v>
      </c>
      <c r="AL5639" s="28"/>
      <c r="AM5639" s="28" t="n">
        <f aca="false">AL5639*$M5639</f>
        <v>0</v>
      </c>
      <c r="AN5639" s="28"/>
      <c r="AO5639" s="28" t="n">
        <f aca="false">AN5639*$M5639</f>
        <v>0</v>
      </c>
      <c r="AP5639" s="28"/>
      <c r="AQ5639" s="28" t="n">
        <f aca="false">AP5639*$M5639</f>
        <v>0</v>
      </c>
      <c r="AR5639" s="28"/>
      <c r="AS5639" s="28" t="n">
        <f aca="false">AR5639*$M5639</f>
        <v>0</v>
      </c>
      <c r="AT5639" s="28"/>
      <c r="AU5639" s="28" t="n">
        <f aca="false">AT5639*$M5639</f>
        <v>0</v>
      </c>
      <c r="AV5639" s="28"/>
      <c r="AW5639" s="28" t="n">
        <f aca="false">AV5639*$M5639</f>
        <v>0</v>
      </c>
      <c r="AX5639" s="28"/>
      <c r="AY5639" s="28" t="n">
        <f aca="false">AX5639*$M5639</f>
        <v>0</v>
      </c>
      <c r="AZ5639" s="30" t="n">
        <v>17192</v>
      </c>
      <c r="BA5639" s="11" t="n">
        <v>21490</v>
      </c>
      <c r="BB5639" s="31" t="n">
        <f aca="false">SUM(Q5639,S5639,U5639,W5639,Y5639,AA5639,AC5639,AE5639,AG5639,AI5639,AK5639,AM5639,AO5639,AQ5639,AS5639,AU5639,AW5639,AY5639)</f>
        <v>21490</v>
      </c>
      <c r="BC5639" s="28" t="n">
        <f aca="false">BA5639-BB5639</f>
        <v>0</v>
      </c>
      <c r="BD5639" s="32" t="n">
        <f aca="false">SUM(P5639,R5639,T5639,V5639,X5639,Z5639,AB5639,AD5639,AF5639,AH5639,AJ5639,AL5639,AN5639,AP5639,AR5639,AT5639,AV5639,AX5639)</f>
        <v>17192</v>
      </c>
      <c r="BE5639" s="33" t="n">
        <f aca="false">AZ5639-BD5639</f>
        <v>0</v>
      </c>
      <c r="BF5639" s="34" t="n">
        <f aca="false">BD5639*M5639</f>
        <v>21490</v>
      </c>
      <c r="BG5639" s="35" t="n">
        <f aca="false">BA5639-BF5639</f>
        <v>0</v>
      </c>
      <c r="BH5639" s="19" t="str">
        <f aca="false">IF(BG5639=0,"",IF(BG5639&lt;&gt;BA5639,"erreur de calcul",IF(BD5639&lt;&gt;0,"pas de prix",IF(M5639&lt;&gt; 0,"pas de quantité","pas de prix, ni de quantité"))))</f>
        <v/>
      </c>
      <c r="BI5639" s="19"/>
    </row>
    <row r="5640" customFormat="false" ht="15" hidden="false" customHeight="false" outlineLevel="0" collapsed="false">
      <c r="A5640" s="0" t="n">
        <v>22</v>
      </c>
      <c r="B5640" s="8" t="s">
        <v>24</v>
      </c>
      <c r="C5640" s="9" t="s">
        <v>25</v>
      </c>
      <c r="D5640" s="9" t="s">
        <v>26</v>
      </c>
      <c r="E5640" s="10" t="n">
        <v>1789</v>
      </c>
      <c r="F5640" s="9" t="s">
        <v>27</v>
      </c>
      <c r="G5640" s="9" t="s">
        <v>27</v>
      </c>
      <c r="H5640" s="11" t="n">
        <v>18</v>
      </c>
      <c r="I5640" s="11" t="s">
        <v>93</v>
      </c>
      <c r="J5640" s="14" t="n">
        <v>4</v>
      </c>
      <c r="K5640" s="14"/>
      <c r="L5640" s="16"/>
      <c r="M5640" s="27" t="n">
        <f aca="false">J5640+(K5640/20)+(L5640/240)</f>
        <v>4</v>
      </c>
      <c r="N5640" s="17" t="s">
        <v>94</v>
      </c>
      <c r="O5640" s="11"/>
      <c r="P5640" s="28"/>
      <c r="Q5640" s="28" t="n">
        <f aca="false">P5640*$M5640</f>
        <v>0</v>
      </c>
      <c r="R5640" s="28"/>
      <c r="S5640" s="28" t="n">
        <f aca="false">R5640*$M5640</f>
        <v>0</v>
      </c>
      <c r="T5640" s="28"/>
      <c r="U5640" s="28" t="n">
        <f aca="false">T5640*$M5640</f>
        <v>0</v>
      </c>
      <c r="V5640" s="28"/>
      <c r="W5640" s="28" t="n">
        <f aca="false">V5640*$M5640</f>
        <v>0</v>
      </c>
      <c r="X5640" s="29"/>
      <c r="Y5640" s="28" t="n">
        <f aca="false">X5640*$M5640</f>
        <v>0</v>
      </c>
      <c r="Z5640" s="28"/>
      <c r="AA5640" s="28" t="n">
        <f aca="false">Z5640*$M5640</f>
        <v>0</v>
      </c>
      <c r="AB5640" s="28"/>
      <c r="AC5640" s="28" t="n">
        <f aca="false">AB5640*$M5640</f>
        <v>0</v>
      </c>
      <c r="AD5640" s="28" t="n">
        <v>900</v>
      </c>
      <c r="AE5640" s="28" t="n">
        <v>3600</v>
      </c>
      <c r="AF5640" s="28"/>
      <c r="AG5640" s="28" t="n">
        <f aca="false">AF5640*$M5640</f>
        <v>0</v>
      </c>
      <c r="AH5640" s="28"/>
      <c r="AI5640" s="28" t="n">
        <f aca="false">AH5640*$M5640</f>
        <v>0</v>
      </c>
      <c r="AJ5640" s="28"/>
      <c r="AK5640" s="28" t="n">
        <f aca="false">AJ5640*$M5640</f>
        <v>0</v>
      </c>
      <c r="AL5640" s="28"/>
      <c r="AM5640" s="28" t="n">
        <f aca="false">AL5640*$M5640</f>
        <v>0</v>
      </c>
      <c r="AN5640" s="28"/>
      <c r="AO5640" s="28" t="n">
        <f aca="false">AN5640*$M5640</f>
        <v>0</v>
      </c>
      <c r="AP5640" s="28" t="n">
        <v>36</v>
      </c>
      <c r="AQ5640" s="28" t="n">
        <v>144</v>
      </c>
      <c r="AR5640" s="28"/>
      <c r="AS5640" s="28" t="n">
        <f aca="false">AR5640*$M5640</f>
        <v>0</v>
      </c>
      <c r="AT5640" s="28"/>
      <c r="AU5640" s="28" t="n">
        <f aca="false">AT5640*$M5640</f>
        <v>0</v>
      </c>
      <c r="AV5640" s="28"/>
      <c r="AW5640" s="28" t="n">
        <f aca="false">AV5640*$M5640</f>
        <v>0</v>
      </c>
      <c r="AX5640" s="28"/>
      <c r="AY5640" s="28" t="n">
        <f aca="false">AX5640*$M5640</f>
        <v>0</v>
      </c>
      <c r="AZ5640" s="30" t="n">
        <v>936</v>
      </c>
      <c r="BA5640" s="11" t="n">
        <v>3744</v>
      </c>
      <c r="BB5640" s="31" t="n">
        <f aca="false">SUM(Q5640,S5640,U5640,W5640,Y5640,AA5640,AC5640,AE5640,AG5640,AI5640,AK5640,AM5640,AO5640,AQ5640,AS5640,AU5640,AW5640,AY5640)</f>
        <v>3744</v>
      </c>
      <c r="BC5640" s="28" t="n">
        <f aca="false">BA5640-BB5640</f>
        <v>0</v>
      </c>
      <c r="BD5640" s="32" t="n">
        <f aca="false">SUM(P5640,R5640,T5640,V5640,X5640,Z5640,AB5640,AD5640,AF5640,AH5640,AJ5640,AL5640,AN5640,AP5640,AR5640,AT5640,AV5640,AX5640)</f>
        <v>936</v>
      </c>
      <c r="BE5640" s="33" t="n">
        <f aca="false">AZ5640-BD5640</f>
        <v>0</v>
      </c>
      <c r="BF5640" s="34" t="n">
        <f aca="false">BD5640*M5640</f>
        <v>3744</v>
      </c>
      <c r="BG5640" s="35" t="n">
        <f aca="false">BA5640-BF5640</f>
        <v>0</v>
      </c>
      <c r="BH5640" s="19" t="str">
        <f aca="false">IF(BG5640=0,"",IF(BG5640&lt;&gt;BA5640,"erreur de calcul",IF(BD5640&lt;&gt;0,"pas de prix",IF(M5640&lt;&gt; 0,"pas de quantité","pas de prix, ni de quantité"))))</f>
        <v/>
      </c>
      <c r="BI5640" s="19"/>
    </row>
    <row r="5641" customFormat="false" ht="15" hidden="false" customHeight="false" outlineLevel="0" collapsed="false">
      <c r="A5641" s="0" t="n">
        <v>23</v>
      </c>
      <c r="B5641" s="8" t="s">
        <v>24</v>
      </c>
      <c r="C5641" s="9" t="s">
        <v>25</v>
      </c>
      <c r="D5641" s="9" t="s">
        <v>26</v>
      </c>
      <c r="E5641" s="10" t="n">
        <v>1789</v>
      </c>
      <c r="F5641" s="9" t="s">
        <v>27</v>
      </c>
      <c r="G5641" s="9" t="s">
        <v>27</v>
      </c>
      <c r="H5641" s="11" t="n">
        <v>18</v>
      </c>
      <c r="I5641" s="11" t="s">
        <v>95</v>
      </c>
      <c r="J5641" s="14" t="n">
        <v>40</v>
      </c>
      <c r="K5641" s="14"/>
      <c r="L5641" s="16"/>
      <c r="M5641" s="27" t="n">
        <f aca="false">J5641+(K5641/20)+(L5641/240)</f>
        <v>40</v>
      </c>
      <c r="N5641" s="17" t="s">
        <v>64</v>
      </c>
      <c r="O5641" s="11"/>
      <c r="P5641" s="28" t="n">
        <f aca="false">16000/100</f>
        <v>160</v>
      </c>
      <c r="Q5641" s="28" t="n">
        <v>6400</v>
      </c>
      <c r="R5641" s="28"/>
      <c r="S5641" s="28" t="n">
        <f aca="false">R5641*$M5641</f>
        <v>0</v>
      </c>
      <c r="T5641" s="28"/>
      <c r="U5641" s="28" t="n">
        <f aca="false">T5641*$M5641</f>
        <v>0</v>
      </c>
      <c r="V5641" s="28"/>
      <c r="W5641" s="28" t="n">
        <f aca="false">V5641*$M5641</f>
        <v>0</v>
      </c>
      <c r="X5641" s="29"/>
      <c r="Y5641" s="28" t="n">
        <f aca="false">X5641*$M5641</f>
        <v>0</v>
      </c>
      <c r="Z5641" s="28"/>
      <c r="AA5641" s="28" t="n">
        <f aca="false">Z5641*$M5641</f>
        <v>0</v>
      </c>
      <c r="AB5641" s="28"/>
      <c r="AC5641" s="28" t="n">
        <f aca="false">AB5641*$M5641</f>
        <v>0</v>
      </c>
      <c r="AD5641" s="28"/>
      <c r="AE5641" s="28" t="n">
        <f aca="false">AD5641*$M5641</f>
        <v>0</v>
      </c>
      <c r="AF5641" s="28"/>
      <c r="AG5641" s="28" t="n">
        <f aca="false">AF5641*$M5641</f>
        <v>0</v>
      </c>
      <c r="AH5641" s="28"/>
      <c r="AI5641" s="28" t="n">
        <f aca="false">AH5641*$M5641</f>
        <v>0</v>
      </c>
      <c r="AJ5641" s="28"/>
      <c r="AK5641" s="28" t="n">
        <f aca="false">AJ5641*$M5641</f>
        <v>0</v>
      </c>
      <c r="AL5641" s="28"/>
      <c r="AM5641" s="28" t="n">
        <f aca="false">AL5641*$M5641</f>
        <v>0</v>
      </c>
      <c r="AN5641" s="28"/>
      <c r="AO5641" s="28" t="n">
        <f aca="false">AN5641*$M5641</f>
        <v>0</v>
      </c>
      <c r="AP5641" s="28"/>
      <c r="AQ5641" s="28" t="n">
        <f aca="false">AP5641*$M5641</f>
        <v>0</v>
      </c>
      <c r="AR5641" s="28"/>
      <c r="AS5641" s="28" t="n">
        <f aca="false">AR5641*$M5641</f>
        <v>0</v>
      </c>
      <c r="AT5641" s="28"/>
      <c r="AU5641" s="28" t="n">
        <f aca="false">AT5641*$M5641</f>
        <v>0</v>
      </c>
      <c r="AV5641" s="28"/>
      <c r="AW5641" s="28" t="n">
        <f aca="false">AV5641*$M5641</f>
        <v>0</v>
      </c>
      <c r="AX5641" s="28"/>
      <c r="AY5641" s="28" t="n">
        <f aca="false">AX5641*$M5641</f>
        <v>0</v>
      </c>
      <c r="AZ5641" s="30" t="n">
        <f aca="false">16000/100</f>
        <v>160</v>
      </c>
      <c r="BA5641" s="11" t="n">
        <v>6400</v>
      </c>
      <c r="BB5641" s="31" t="n">
        <f aca="false">SUM(Q5641,S5641,U5641,W5641,Y5641,AA5641,AC5641,AE5641,AG5641,AI5641,AK5641,AM5641,AO5641,AQ5641,AS5641,AU5641,AW5641,AY5641)</f>
        <v>6400</v>
      </c>
      <c r="BC5641" s="28" t="n">
        <f aca="false">BA5641-BB5641</f>
        <v>0</v>
      </c>
      <c r="BD5641" s="32" t="n">
        <f aca="false">SUM(P5641,R5641,T5641,V5641,X5641,Z5641,AB5641,AD5641,AF5641,AH5641,AJ5641,AL5641,AN5641,AP5641,AR5641,AT5641,AV5641,AX5641)</f>
        <v>160</v>
      </c>
      <c r="BE5641" s="33" t="n">
        <f aca="false">AZ5641-BD5641</f>
        <v>0</v>
      </c>
      <c r="BF5641" s="34" t="n">
        <f aca="false">BD5641*M5641</f>
        <v>6400</v>
      </c>
      <c r="BG5641" s="35" t="n">
        <f aca="false">BA5641-BF5641</f>
        <v>0</v>
      </c>
      <c r="BH5641" s="19" t="str">
        <f aca="false">IF(BG5641=0,"",IF(BG5641&lt;&gt;BA5641,"erreur de calcul",IF(BD5641&lt;&gt;0,"pas de prix",IF(M5641&lt;&gt; 0,"pas de quantité","pas de prix, ni de quantité"))))</f>
        <v/>
      </c>
      <c r="BI5641" s="19"/>
    </row>
    <row r="5642" customFormat="false" ht="15" hidden="false" customHeight="false" outlineLevel="0" collapsed="false">
      <c r="A5642" s="0" t="n">
        <v>24</v>
      </c>
      <c r="B5642" s="8" t="s">
        <v>24</v>
      </c>
      <c r="C5642" s="9" t="s">
        <v>25</v>
      </c>
      <c r="D5642" s="9" t="s">
        <v>26</v>
      </c>
      <c r="E5642" s="10" t="n">
        <v>1789</v>
      </c>
      <c r="F5642" s="9" t="s">
        <v>27</v>
      </c>
      <c r="G5642" s="9" t="s">
        <v>27</v>
      </c>
      <c r="H5642" s="11" t="n">
        <v>18</v>
      </c>
      <c r="I5642" s="11" t="s">
        <v>96</v>
      </c>
      <c r="J5642" s="14" t="n">
        <v>25</v>
      </c>
      <c r="K5642" s="14"/>
      <c r="L5642" s="16"/>
      <c r="M5642" s="27" t="n">
        <f aca="false">J5642+(K5642/20)+(L5642/240)</f>
        <v>25</v>
      </c>
      <c r="N5642" s="17" t="s">
        <v>64</v>
      </c>
      <c r="O5642" s="11"/>
      <c r="P5642" s="28" t="n">
        <f aca="false">968306/100</f>
        <v>9683.06</v>
      </c>
      <c r="Q5642" s="28" t="n">
        <v>242076</v>
      </c>
      <c r="R5642" s="28"/>
      <c r="S5642" s="28" t="n">
        <f aca="false">R5642*$M5642</f>
        <v>0</v>
      </c>
      <c r="T5642" s="28"/>
      <c r="U5642" s="28" t="n">
        <f aca="false">T5642*$M5642</f>
        <v>0</v>
      </c>
      <c r="V5642" s="28" t="n">
        <f aca="false">39234/100</f>
        <v>392.34</v>
      </c>
      <c r="W5642" s="28" t="n">
        <v>9808</v>
      </c>
      <c r="X5642" s="29"/>
      <c r="Y5642" s="28" t="n">
        <v>3410</v>
      </c>
      <c r="Z5642" s="28"/>
      <c r="AA5642" s="28" t="n">
        <f aca="false">Z5642*$M5642</f>
        <v>0</v>
      </c>
      <c r="AB5642" s="28"/>
      <c r="AC5642" s="28" t="n">
        <f aca="false">AB5642*$M5642</f>
        <v>0</v>
      </c>
      <c r="AD5642" s="28"/>
      <c r="AE5642" s="28" t="n">
        <f aca="false">AD5642*$M5642</f>
        <v>0</v>
      </c>
      <c r="AF5642" s="28"/>
      <c r="AG5642" s="28" t="n">
        <f aca="false">AF5642*$M5642</f>
        <v>0</v>
      </c>
      <c r="AH5642" s="28"/>
      <c r="AI5642" s="28" t="n">
        <f aca="false">AH5642*$M5642</f>
        <v>0</v>
      </c>
      <c r="AJ5642" s="28" t="n">
        <f aca="false">2665/100</f>
        <v>26.65</v>
      </c>
      <c r="AK5642" s="28" t="n">
        <v>666</v>
      </c>
      <c r="AL5642" s="28"/>
      <c r="AM5642" s="28" t="n">
        <f aca="false">AL5642*$M5642</f>
        <v>0</v>
      </c>
      <c r="AN5642" s="28"/>
      <c r="AO5642" s="28" t="n">
        <f aca="false">AN5642*$M5642</f>
        <v>0</v>
      </c>
      <c r="AP5642" s="28"/>
      <c r="AQ5642" s="28" t="n">
        <f aca="false">AP5642*$M5642</f>
        <v>0</v>
      </c>
      <c r="AR5642" s="28"/>
      <c r="AS5642" s="28" t="n">
        <f aca="false">AR5642*$M5642</f>
        <v>0</v>
      </c>
      <c r="AT5642" s="28"/>
      <c r="AU5642" s="28" t="n">
        <f aca="false">AT5642*$M5642</f>
        <v>0</v>
      </c>
      <c r="AV5642" s="28"/>
      <c r="AW5642" s="28" t="n">
        <f aca="false">AV5642*$M5642</f>
        <v>0</v>
      </c>
      <c r="AX5642" s="28" t="n">
        <f aca="false">118115/100</f>
        <v>1181.15</v>
      </c>
      <c r="AY5642" s="28" t="n">
        <v>29529</v>
      </c>
      <c r="AZ5642" s="30" t="n">
        <f aca="false">1141960/100</f>
        <v>11419.6</v>
      </c>
      <c r="BA5642" s="11" t="n">
        <v>285489</v>
      </c>
      <c r="BB5642" s="31" t="n">
        <f aca="false">SUM(Q5642,S5642,U5642,W5642,Y5642,AA5642,AC5642,AE5642,AG5642,AI5642,AK5642,AM5642,AO5642,AQ5642,AS5642,AU5642,AW5642,AY5642)</f>
        <v>285489</v>
      </c>
      <c r="BC5642" s="28" t="n">
        <f aca="false">BA5642-BB5642</f>
        <v>0</v>
      </c>
      <c r="BD5642" s="32" t="n">
        <f aca="false">SUM(P5642,R5642,T5642,V5642,X5642,Z5642,AB5642,AD5642,AF5642,AH5642,AJ5642,AL5642,AN5642,AP5642,AR5642,AT5642,AV5642,AX5642)</f>
        <v>11283.2</v>
      </c>
      <c r="BE5642" s="33" t="n">
        <f aca="false">AZ5642-BD5642</f>
        <v>136.400000000001</v>
      </c>
      <c r="BF5642" s="34" t="n">
        <f aca="false">BD5642*M5642</f>
        <v>282080</v>
      </c>
      <c r="BG5642" s="35" t="n">
        <f aca="false">BA5642-BF5642</f>
        <v>3409</v>
      </c>
      <c r="BH5642" s="19" t="str">
        <f aca="false">IF(BG5642=0,"",IF(BG5642&lt;&gt;BA5642,"erreur de calcul",IF(BD5642&lt;&gt;0,"pas de prix",IF(M5642&lt;&gt; 0,"pas de quantité","pas de prix, ni de quantité"))))</f>
        <v>erreur de calcul</v>
      </c>
      <c r="BI5642" s="19"/>
    </row>
    <row r="5643" customFormat="false" ht="15" hidden="false" customHeight="false" outlineLevel="0" collapsed="false">
      <c r="A5643" s="0" t="n">
        <v>25</v>
      </c>
      <c r="B5643" s="8" t="s">
        <v>24</v>
      </c>
      <c r="C5643" s="9" t="s">
        <v>25</v>
      </c>
      <c r="D5643" s="9" t="s">
        <v>26</v>
      </c>
      <c r="E5643" s="10" t="n">
        <v>1789</v>
      </c>
      <c r="F5643" s="9" t="s">
        <v>27</v>
      </c>
      <c r="G5643" s="9" t="s">
        <v>27</v>
      </c>
      <c r="H5643" s="11" t="n">
        <v>18</v>
      </c>
      <c r="I5643" s="11" t="s">
        <v>97</v>
      </c>
      <c r="J5643" s="14" t="n">
        <v>30</v>
      </c>
      <c r="K5643" s="14"/>
      <c r="L5643" s="16"/>
      <c r="M5643" s="27" t="n">
        <f aca="false">J5643+(K5643/20)+(L5643/240)</f>
        <v>30</v>
      </c>
      <c r="N5643" s="17" t="s">
        <v>64</v>
      </c>
      <c r="O5643" s="11" t="s">
        <v>98</v>
      </c>
      <c r="P5643" s="28"/>
      <c r="Q5643" s="28" t="n">
        <f aca="false">P5643*$M5643</f>
        <v>0</v>
      </c>
      <c r="R5643" s="28"/>
      <c r="S5643" s="28" t="n">
        <f aca="false">R5643*$M5643</f>
        <v>0</v>
      </c>
      <c r="T5643" s="28"/>
      <c r="U5643" s="28" t="n">
        <f aca="false">T5643*$M5643</f>
        <v>0</v>
      </c>
      <c r="V5643" s="28"/>
      <c r="W5643" s="28" t="n">
        <f aca="false">V5643*$M5643</f>
        <v>0</v>
      </c>
      <c r="X5643" s="29"/>
      <c r="Y5643" s="28" t="n">
        <f aca="false">X5643*$M5643</f>
        <v>0</v>
      </c>
      <c r="Z5643" s="28"/>
      <c r="AA5643" s="28" t="n">
        <f aca="false">Z5643*$M5643</f>
        <v>0</v>
      </c>
      <c r="AB5643" s="28"/>
      <c r="AC5643" s="28" t="n">
        <f aca="false">AB5643*$M5643</f>
        <v>0</v>
      </c>
      <c r="AD5643" s="28"/>
      <c r="AE5643" s="28" t="n">
        <f aca="false">AD5643*$M5643</f>
        <v>0</v>
      </c>
      <c r="AF5643" s="28"/>
      <c r="AG5643" s="28" t="n">
        <f aca="false">AF5643*$M5643</f>
        <v>0</v>
      </c>
      <c r="AH5643" s="28"/>
      <c r="AI5643" s="28" t="n">
        <f aca="false">AH5643*$M5643</f>
        <v>0</v>
      </c>
      <c r="AJ5643" s="28"/>
      <c r="AK5643" s="28" t="n">
        <f aca="false">AJ5643*$M5643</f>
        <v>0</v>
      </c>
      <c r="AL5643" s="28"/>
      <c r="AM5643" s="28" t="n">
        <f aca="false">AL5643*$M5643</f>
        <v>0</v>
      </c>
      <c r="AN5643" s="28"/>
      <c r="AO5643" s="28" t="n">
        <f aca="false">AN5643*$M5643</f>
        <v>0</v>
      </c>
      <c r="AP5643" s="28"/>
      <c r="AQ5643" s="28" t="n">
        <f aca="false">AP5643*$M5643</f>
        <v>0</v>
      </c>
      <c r="AR5643" s="28"/>
      <c r="AS5643" s="28" t="n">
        <f aca="false">AR5643*$M5643</f>
        <v>0</v>
      </c>
      <c r="AT5643" s="28"/>
      <c r="AU5643" s="28" t="n">
        <f aca="false">AT5643*$M5643</f>
        <v>0</v>
      </c>
      <c r="AV5643" s="28"/>
      <c r="AW5643" s="28" t="n">
        <f aca="false">AV5643*$M5643</f>
        <v>0</v>
      </c>
      <c r="AX5643" s="28"/>
      <c r="AY5643" s="28" t="n">
        <f aca="false">AX5643*$M5643</f>
        <v>0</v>
      </c>
      <c r="AZ5643" s="30"/>
      <c r="BA5643" s="11"/>
      <c r="BB5643" s="31" t="n">
        <f aca="false">SUM(Q5643,S5643,U5643,W5643,Y5643,AA5643,AC5643,AE5643,AG5643,AI5643,AK5643,AM5643,AO5643,AQ5643,AS5643,AU5643,AW5643,AY5643)</f>
        <v>0</v>
      </c>
      <c r="BC5643" s="28" t="n">
        <f aca="false">BA5643-BB5643</f>
        <v>0</v>
      </c>
      <c r="BD5643" s="32" t="n">
        <f aca="false">SUM(P5643,R5643,T5643,V5643,X5643,Z5643,AB5643,AD5643,AF5643,AH5643,AJ5643,AL5643,AN5643,AP5643,AR5643,AT5643,AV5643,AX5643)</f>
        <v>0</v>
      </c>
      <c r="BE5643" s="33" t="n">
        <f aca="false">AZ5643-BD5643</f>
        <v>0</v>
      </c>
      <c r="BF5643" s="34" t="n">
        <f aca="false">BD5643*M5643</f>
        <v>0</v>
      </c>
      <c r="BG5643" s="35" t="n">
        <f aca="false">BA5643-BF5643</f>
        <v>0</v>
      </c>
      <c r="BH5643" s="19" t="str">
        <f aca="false">IF(BG5643=0,"",IF(BG5643&lt;&gt;BA5643,"erreur de calcul",IF(BD5643&lt;&gt;0,"pas de prix",IF(M5643&lt;&gt; 0,"pas de quantité","pas de prix, ni de quantité"))))</f>
        <v/>
      </c>
      <c r="BI5643" s="19"/>
    </row>
    <row r="5644" customFormat="false" ht="15" hidden="false" customHeight="false" outlineLevel="0" collapsed="false">
      <c r="A5644" s="0" t="n">
        <v>26</v>
      </c>
      <c r="B5644" s="8" t="s">
        <v>24</v>
      </c>
      <c r="C5644" s="9" t="s">
        <v>25</v>
      </c>
      <c r="D5644" s="9" t="s">
        <v>26</v>
      </c>
      <c r="E5644" s="10" t="n">
        <v>1789</v>
      </c>
      <c r="F5644" s="9" t="s">
        <v>27</v>
      </c>
      <c r="G5644" s="9" t="s">
        <v>27</v>
      </c>
      <c r="H5644" s="11" t="n">
        <v>18</v>
      </c>
      <c r="I5644" s="11" t="s">
        <v>99</v>
      </c>
      <c r="J5644" s="14" t="n">
        <v>12</v>
      </c>
      <c r="K5644" s="14"/>
      <c r="L5644" s="16"/>
      <c r="M5644" s="27" t="n">
        <f aca="false">J5644+(K5644/20)+(L5644/240)</f>
        <v>12</v>
      </c>
      <c r="N5644" s="17" t="s">
        <v>64</v>
      </c>
      <c r="O5644" s="11"/>
      <c r="P5644" s="28" t="n">
        <f aca="false">7077/100</f>
        <v>70.77</v>
      </c>
      <c r="Q5644" s="28" t="n">
        <v>849</v>
      </c>
      <c r="R5644" s="28"/>
      <c r="S5644" s="28" t="n">
        <f aca="false">R5644*$M5644</f>
        <v>0</v>
      </c>
      <c r="T5644" s="28"/>
      <c r="U5644" s="28" t="n">
        <f aca="false">T5644*$M5644</f>
        <v>0</v>
      </c>
      <c r="V5644" s="28"/>
      <c r="W5644" s="28" t="n">
        <f aca="false">V5644*$M5644</f>
        <v>0</v>
      </c>
      <c r="X5644" s="29"/>
      <c r="Y5644" s="28" t="n">
        <v>866</v>
      </c>
      <c r="Z5644" s="28"/>
      <c r="AA5644" s="28" t="n">
        <f aca="false">Z5644*$M5644</f>
        <v>0</v>
      </c>
      <c r="AB5644" s="28"/>
      <c r="AC5644" s="28" t="n">
        <f aca="false">AB5644*$M5644</f>
        <v>0</v>
      </c>
      <c r="AD5644" s="28"/>
      <c r="AE5644" s="28" t="n">
        <f aca="false">AD5644*$M5644</f>
        <v>0</v>
      </c>
      <c r="AF5644" s="28"/>
      <c r="AG5644" s="28" t="n">
        <f aca="false">AF5644*$M5644</f>
        <v>0</v>
      </c>
      <c r="AH5644" s="28"/>
      <c r="AI5644" s="28" t="n">
        <f aca="false">AH5644*$M5644</f>
        <v>0</v>
      </c>
      <c r="AJ5644" s="28"/>
      <c r="AK5644" s="28" t="n">
        <f aca="false">AJ5644*$M5644</f>
        <v>0</v>
      </c>
      <c r="AL5644" s="28"/>
      <c r="AM5644" s="28" t="n">
        <f aca="false">AL5644*$M5644</f>
        <v>0</v>
      </c>
      <c r="AN5644" s="28"/>
      <c r="AO5644" s="28" t="n">
        <f aca="false">AN5644*$M5644</f>
        <v>0</v>
      </c>
      <c r="AP5644" s="28"/>
      <c r="AQ5644" s="28" t="n">
        <f aca="false">AP5644*$M5644</f>
        <v>0</v>
      </c>
      <c r="AR5644" s="28"/>
      <c r="AS5644" s="28" t="n">
        <f aca="false">AR5644*$M5644</f>
        <v>0</v>
      </c>
      <c r="AT5644" s="28"/>
      <c r="AU5644" s="28" t="n">
        <f aca="false">AT5644*$M5644</f>
        <v>0</v>
      </c>
      <c r="AV5644" s="28"/>
      <c r="AW5644" s="28" t="n">
        <f aca="false">AV5644*$M5644</f>
        <v>0</v>
      </c>
      <c r="AX5644" s="28"/>
      <c r="AY5644" s="28" t="n">
        <f aca="false">AX5644*$M5644</f>
        <v>0</v>
      </c>
      <c r="AZ5644" s="30" t="n">
        <f aca="false">14294/100</f>
        <v>142.94</v>
      </c>
      <c r="BA5644" s="11" t="n">
        <v>1715</v>
      </c>
      <c r="BB5644" s="31" t="n">
        <f aca="false">SUM(Q5644,S5644,U5644,W5644,Y5644,AA5644,AC5644,AE5644,AG5644,AI5644,AK5644,AM5644,AO5644,AQ5644,AS5644,AU5644,AW5644,AY5644)</f>
        <v>1715</v>
      </c>
      <c r="BC5644" s="28" t="n">
        <f aca="false">BA5644-BB5644</f>
        <v>0</v>
      </c>
      <c r="BD5644" s="32" t="n">
        <f aca="false">SUM(P5644,R5644,T5644,V5644,X5644,Z5644,AB5644,AD5644,AF5644,AH5644,AJ5644,AL5644,AN5644,AP5644,AR5644,AT5644,AV5644,AX5644)</f>
        <v>70.77</v>
      </c>
      <c r="BE5644" s="33" t="n">
        <f aca="false">AZ5644-BD5644</f>
        <v>72.17</v>
      </c>
      <c r="BF5644" s="34" t="n">
        <f aca="false">BD5644*M5644</f>
        <v>849.24</v>
      </c>
      <c r="BG5644" s="35" t="n">
        <f aca="false">BA5644-BF5644</f>
        <v>865.76</v>
      </c>
      <c r="BH5644" s="19" t="str">
        <f aca="false">IF(BG5644=0,"",IF(BG5644&lt;&gt;BA5644,"erreur de calcul",IF(BD5644&lt;&gt;0,"pas de prix",IF(M5644&lt;&gt; 0,"pas de quantité","pas de prix, ni de quantité"))))</f>
        <v>erreur de calcul</v>
      </c>
      <c r="BI5644" s="19"/>
    </row>
    <row r="5645" customFormat="false" ht="15" hidden="false" customHeight="false" outlineLevel="0" collapsed="false">
      <c r="A5645" s="0" t="n">
        <v>27</v>
      </c>
      <c r="B5645" s="8" t="s">
        <v>24</v>
      </c>
      <c r="C5645" s="9" t="s">
        <v>25</v>
      </c>
      <c r="D5645" s="9" t="s">
        <v>26</v>
      </c>
      <c r="E5645" s="10" t="n">
        <v>1789</v>
      </c>
      <c r="F5645" s="9" t="s">
        <v>27</v>
      </c>
      <c r="G5645" s="9" t="s">
        <v>27</v>
      </c>
      <c r="H5645" s="11" t="n">
        <v>18</v>
      </c>
      <c r="I5645" s="11" t="s">
        <v>100</v>
      </c>
      <c r="J5645" s="14" t="n">
        <v>13</v>
      </c>
      <c r="K5645" s="14"/>
      <c r="L5645" s="16"/>
      <c r="M5645" s="27" t="n">
        <f aca="false">J5645+(K5645/20)+(L5645/240)</f>
        <v>13</v>
      </c>
      <c r="N5645" s="17" t="s">
        <v>64</v>
      </c>
      <c r="O5645" s="11"/>
      <c r="P5645" s="28"/>
      <c r="Q5645" s="28" t="n">
        <f aca="false">P5645*$M5645</f>
        <v>0</v>
      </c>
      <c r="R5645" s="28"/>
      <c r="S5645" s="28" t="n">
        <f aca="false">R5645*$M5645</f>
        <v>0</v>
      </c>
      <c r="T5645" s="28"/>
      <c r="U5645" s="28" t="n">
        <f aca="false">T5645*$M5645</f>
        <v>0</v>
      </c>
      <c r="V5645" s="28"/>
      <c r="W5645" s="28" t="n">
        <f aca="false">V5645*$M5645</f>
        <v>0</v>
      </c>
      <c r="X5645" s="29"/>
      <c r="Y5645" s="28" t="n">
        <f aca="false">X5645*$M5645</f>
        <v>0</v>
      </c>
      <c r="Z5645" s="28"/>
      <c r="AA5645" s="28" t="n">
        <f aca="false">Z5645*$M5645</f>
        <v>0</v>
      </c>
      <c r="AB5645" s="28"/>
      <c r="AC5645" s="28" t="n">
        <f aca="false">AB5645*$M5645</f>
        <v>0</v>
      </c>
      <c r="AD5645" s="28"/>
      <c r="AE5645" s="28" t="n">
        <f aca="false">AD5645*$M5645</f>
        <v>0</v>
      </c>
      <c r="AF5645" s="28"/>
      <c r="AG5645" s="28" t="n">
        <f aca="false">AF5645*$M5645</f>
        <v>0</v>
      </c>
      <c r="AH5645" s="28" t="n">
        <f aca="false">7819/100</f>
        <v>78.19</v>
      </c>
      <c r="AI5645" s="28" t="n">
        <v>1016</v>
      </c>
      <c r="AJ5645" s="28" t="n">
        <f aca="false">10382/100</f>
        <v>103.82</v>
      </c>
      <c r="AK5645" s="28" t="n">
        <v>1350</v>
      </c>
      <c r="AL5645" s="28"/>
      <c r="AM5645" s="28" t="n">
        <f aca="false">AL5645*$M5645</f>
        <v>0</v>
      </c>
      <c r="AN5645" s="28"/>
      <c r="AO5645" s="28" t="n">
        <f aca="false">AN5645*$M5645</f>
        <v>0</v>
      </c>
      <c r="AP5645" s="28"/>
      <c r="AQ5645" s="28" t="n">
        <f aca="false">AP5645*$M5645</f>
        <v>0</v>
      </c>
      <c r="AR5645" s="28"/>
      <c r="AS5645" s="28" t="n">
        <f aca="false">AR5645*$M5645</f>
        <v>0</v>
      </c>
      <c r="AT5645" s="28"/>
      <c r="AU5645" s="28" t="n">
        <f aca="false">AT5645*$M5645</f>
        <v>0</v>
      </c>
      <c r="AV5645" s="28"/>
      <c r="AW5645" s="28" t="n">
        <f aca="false">AV5645*$M5645</f>
        <v>0</v>
      </c>
      <c r="AX5645" s="28"/>
      <c r="AY5645" s="28" t="n">
        <f aca="false">AX5645*$M5645</f>
        <v>0</v>
      </c>
      <c r="AZ5645" s="30" t="n">
        <f aca="false">18201/100</f>
        <v>182.01</v>
      </c>
      <c r="BA5645" s="11" t="n">
        <v>2366</v>
      </c>
      <c r="BB5645" s="31" t="n">
        <f aca="false">SUM(Q5645,S5645,U5645,W5645,Y5645,AA5645,AC5645,AE5645,AG5645,AI5645,AK5645,AM5645,AO5645,AQ5645,AS5645,AU5645,AW5645,AY5645)</f>
        <v>2366</v>
      </c>
      <c r="BC5645" s="28" t="n">
        <f aca="false">BA5645-BB5645</f>
        <v>0</v>
      </c>
      <c r="BD5645" s="32" t="n">
        <f aca="false">SUM(P5645,R5645,T5645,V5645,X5645,Z5645,AB5645,AD5645,AF5645,AH5645,AJ5645,AL5645,AN5645,AP5645,AR5645,AT5645,AV5645,AX5645)</f>
        <v>182.01</v>
      </c>
      <c r="BE5645" s="33" t="n">
        <f aca="false">AZ5645-BD5645</f>
        <v>0</v>
      </c>
      <c r="BF5645" s="34" t="n">
        <f aca="false">BD5645*M5645</f>
        <v>2366.13</v>
      </c>
      <c r="BG5645" s="35" t="n">
        <f aca="false">BA5645-BF5645</f>
        <v>-0.130000000000109</v>
      </c>
      <c r="BH5645" s="19" t="str">
        <f aca="false">IF(BG5645=0,"",IF(BG5645&lt;&gt;BA5645,"erreur de calcul",IF(BD5645&lt;&gt;0,"pas de prix",IF(M5645&lt;&gt; 0,"pas de quantité","pas de prix, ni de quantité"))))</f>
        <v>erreur de calcul</v>
      </c>
      <c r="BI5645" s="19"/>
    </row>
    <row r="5646" customFormat="false" ht="15" hidden="false" customHeight="false" outlineLevel="0" collapsed="false">
      <c r="A5646" s="0" t="n">
        <v>28</v>
      </c>
      <c r="B5646" s="8" t="s">
        <v>24</v>
      </c>
      <c r="C5646" s="9" t="s">
        <v>25</v>
      </c>
      <c r="D5646" s="9" t="s">
        <v>26</v>
      </c>
      <c r="E5646" s="10" t="n">
        <v>1789</v>
      </c>
      <c r="F5646" s="9" t="s">
        <v>27</v>
      </c>
      <c r="G5646" s="9" t="s">
        <v>27</v>
      </c>
      <c r="H5646" s="11" t="n">
        <v>18</v>
      </c>
      <c r="I5646" s="11" t="s">
        <v>101</v>
      </c>
      <c r="J5646" s="14" t="n">
        <v>35</v>
      </c>
      <c r="K5646" s="14"/>
      <c r="L5646" s="16"/>
      <c r="M5646" s="27" t="n">
        <f aca="false">J5646+(K5646/20)+(L5646/240)</f>
        <v>35</v>
      </c>
      <c r="N5646" s="17" t="s">
        <v>64</v>
      </c>
      <c r="O5646" s="11"/>
      <c r="P5646" s="28"/>
      <c r="Q5646" s="28" t="n">
        <f aca="false">P5646*$M5646</f>
        <v>0</v>
      </c>
      <c r="R5646" s="28"/>
      <c r="S5646" s="28" t="n">
        <f aca="false">R5646*$M5646</f>
        <v>0</v>
      </c>
      <c r="T5646" s="28"/>
      <c r="U5646" s="28" t="n">
        <f aca="false">T5646*$M5646</f>
        <v>0</v>
      </c>
      <c r="V5646" s="28"/>
      <c r="W5646" s="28" t="n">
        <f aca="false">V5646*$M5646</f>
        <v>0</v>
      </c>
      <c r="X5646" s="29"/>
      <c r="Y5646" s="28" t="n">
        <f aca="false">X5646*$M5646</f>
        <v>0</v>
      </c>
      <c r="Z5646" s="28"/>
      <c r="AA5646" s="28" t="n">
        <f aca="false">Z5646*$M5646</f>
        <v>0</v>
      </c>
      <c r="AB5646" s="28"/>
      <c r="AC5646" s="28" t="n">
        <f aca="false">AB5646*$M5646</f>
        <v>0</v>
      </c>
      <c r="AD5646" s="28"/>
      <c r="AE5646" s="28" t="n">
        <f aca="false">AD5646*$M5646</f>
        <v>0</v>
      </c>
      <c r="AF5646" s="28"/>
      <c r="AG5646" s="28" t="n">
        <f aca="false">AF5646*$M5646</f>
        <v>0</v>
      </c>
      <c r="AH5646" s="28"/>
      <c r="AI5646" s="28" t="n">
        <f aca="false">AH5646*$M5646</f>
        <v>0</v>
      </c>
      <c r="AJ5646" s="28" t="n">
        <f aca="false">65277/100</f>
        <v>652.77</v>
      </c>
      <c r="AK5646" s="28" t="n">
        <v>22847</v>
      </c>
      <c r="AL5646" s="28"/>
      <c r="AM5646" s="28" t="n">
        <f aca="false">AL5646*$M5646</f>
        <v>0</v>
      </c>
      <c r="AN5646" s="28"/>
      <c r="AO5646" s="28" t="n">
        <f aca="false">AN5646*$M5646</f>
        <v>0</v>
      </c>
      <c r="AP5646" s="28"/>
      <c r="AQ5646" s="28" t="n">
        <f aca="false">AP5646*$M5646</f>
        <v>0</v>
      </c>
      <c r="AR5646" s="28"/>
      <c r="AS5646" s="28" t="n">
        <f aca="false">AR5646*$M5646</f>
        <v>0</v>
      </c>
      <c r="AT5646" s="28"/>
      <c r="AU5646" s="28" t="n">
        <f aca="false">AT5646*$M5646</f>
        <v>0</v>
      </c>
      <c r="AV5646" s="28"/>
      <c r="AW5646" s="28" t="n">
        <f aca="false">AV5646*$M5646</f>
        <v>0</v>
      </c>
      <c r="AX5646" s="28"/>
      <c r="AY5646" s="28" t="n">
        <f aca="false">AX5646*$M5646</f>
        <v>0</v>
      </c>
      <c r="AZ5646" s="30" t="n">
        <f aca="false">65277/100</f>
        <v>652.77</v>
      </c>
      <c r="BA5646" s="11" t="n">
        <v>22847</v>
      </c>
      <c r="BB5646" s="31" t="n">
        <f aca="false">SUM(Q5646,S5646,U5646,W5646,Y5646,AA5646,AC5646,AE5646,AG5646,AI5646,AK5646,AM5646,AO5646,AQ5646,AS5646,AU5646,AW5646,AY5646)</f>
        <v>22847</v>
      </c>
      <c r="BC5646" s="28" t="n">
        <f aca="false">BA5646-BB5646</f>
        <v>0</v>
      </c>
      <c r="BD5646" s="32" t="n">
        <f aca="false">SUM(P5646,R5646,T5646,V5646,X5646,Z5646,AB5646,AD5646,AF5646,AH5646,AJ5646,AL5646,AN5646,AP5646,AR5646,AT5646,AV5646,AX5646)</f>
        <v>652.77</v>
      </c>
      <c r="BE5646" s="33" t="n">
        <f aca="false">AZ5646-BD5646</f>
        <v>0</v>
      </c>
      <c r="BF5646" s="34" t="n">
        <f aca="false">BD5646*M5646</f>
        <v>22846.95</v>
      </c>
      <c r="BG5646" s="35" t="n">
        <f aca="false">BA5646-BF5646</f>
        <v>0.0499999999992724</v>
      </c>
      <c r="BH5646" s="19" t="str">
        <f aca="false">IF(BG5646=0,"",IF(BG5646&lt;&gt;BA5646,"erreur de calcul",IF(BD5646&lt;&gt;0,"pas de prix",IF(M5646&lt;&gt; 0,"pas de quantité","pas de prix, ni de quantité"))))</f>
        <v>erreur de calcul</v>
      </c>
      <c r="BI5646" s="19"/>
    </row>
    <row r="5647" customFormat="false" ht="16.65" hidden="false" customHeight="false" outlineLevel="0" collapsed="false">
      <c r="A5647" s="0" t="n">
        <v>29</v>
      </c>
      <c r="B5647" s="8" t="s">
        <v>24</v>
      </c>
      <c r="C5647" s="9" t="s">
        <v>25</v>
      </c>
      <c r="D5647" s="9" t="s">
        <v>26</v>
      </c>
      <c r="E5647" s="10" t="n">
        <v>1789</v>
      </c>
      <c r="F5647" s="9" t="s">
        <v>27</v>
      </c>
      <c r="G5647" s="9" t="s">
        <v>27</v>
      </c>
      <c r="H5647" s="11" t="n">
        <v>18</v>
      </c>
      <c r="I5647" s="11" t="s">
        <v>102</v>
      </c>
      <c r="J5647" s="14" t="n">
        <v>47</v>
      </c>
      <c r="K5647" s="14"/>
      <c r="L5647" s="16"/>
      <c r="M5647" s="27" t="n">
        <f aca="false">J5647+(K5647/20)+(L5647/240)</f>
        <v>47</v>
      </c>
      <c r="N5647" s="17" t="s">
        <v>64</v>
      </c>
      <c r="O5647" s="11"/>
      <c r="P5647" s="28" t="n">
        <f aca="false">8467/100</f>
        <v>84.67</v>
      </c>
      <c r="Q5647" s="28" t="n">
        <v>3979</v>
      </c>
      <c r="R5647" s="28"/>
      <c r="S5647" s="28" t="n">
        <f aca="false">R5647*$M5647</f>
        <v>0</v>
      </c>
      <c r="T5647" s="28"/>
      <c r="U5647" s="28" t="n">
        <f aca="false">T5647*$M5647</f>
        <v>0</v>
      </c>
      <c r="V5647" s="28"/>
      <c r="W5647" s="28" t="n">
        <f aca="false">V5647*$M5647</f>
        <v>0</v>
      </c>
      <c r="X5647" s="29"/>
      <c r="Y5647" s="28" t="n">
        <f aca="false">X5647*$M5647</f>
        <v>0</v>
      </c>
      <c r="Z5647" s="28"/>
      <c r="AA5647" s="28" t="n">
        <f aca="false">Z5647*$M5647</f>
        <v>0</v>
      </c>
      <c r="AB5647" s="28"/>
      <c r="AC5647" s="28" t="n">
        <f aca="false">AB5647*$M5647</f>
        <v>0</v>
      </c>
      <c r="AD5647" s="28"/>
      <c r="AE5647" s="28" t="n">
        <f aca="false">AD5647*$M5647</f>
        <v>0</v>
      </c>
      <c r="AF5647" s="28"/>
      <c r="AG5647" s="28" t="n">
        <f aca="false">AF5647*$M5647</f>
        <v>0</v>
      </c>
      <c r="AH5647" s="28"/>
      <c r="AI5647" s="28" t="n">
        <f aca="false">AH5647*$M5647</f>
        <v>0</v>
      </c>
      <c r="AJ5647" s="28"/>
      <c r="AK5647" s="28" t="n">
        <f aca="false">AJ5647*$M5647</f>
        <v>0</v>
      </c>
      <c r="AL5647" s="28"/>
      <c r="AM5647" s="28" t="n">
        <f aca="false">AL5647*$M5647</f>
        <v>0</v>
      </c>
      <c r="AN5647" s="28"/>
      <c r="AO5647" s="28" t="n">
        <f aca="false">AN5647*$M5647</f>
        <v>0</v>
      </c>
      <c r="AP5647" s="28"/>
      <c r="AQ5647" s="28" t="n">
        <f aca="false">AP5647*$M5647</f>
        <v>0</v>
      </c>
      <c r="AR5647" s="28"/>
      <c r="AS5647" s="28" t="n">
        <f aca="false">AR5647*$M5647</f>
        <v>0</v>
      </c>
      <c r="AT5647" s="28"/>
      <c r="AU5647" s="28" t="n">
        <f aca="false">AT5647*$M5647</f>
        <v>0</v>
      </c>
      <c r="AV5647" s="28"/>
      <c r="AW5647" s="28" t="n">
        <f aca="false">AV5647*$M5647</f>
        <v>0</v>
      </c>
      <c r="AX5647" s="28"/>
      <c r="AY5647" s="28" t="n">
        <f aca="false">AX5647*$M5647</f>
        <v>0</v>
      </c>
      <c r="AZ5647" s="30" t="n">
        <f aca="false">8467/100</f>
        <v>84.67</v>
      </c>
      <c r="BA5647" s="11" t="n">
        <v>3979</v>
      </c>
      <c r="BB5647" s="31" t="n">
        <f aca="false">SUM(Q5647,S5647,U5647,W5647,Y5647,AA5647,AC5647,AE5647,AG5647,AI5647,AK5647,AM5647,AO5647,AQ5647,AS5647,AU5647,AW5647,AY5647)</f>
        <v>3979</v>
      </c>
      <c r="BC5647" s="28" t="n">
        <f aca="false">BA5647-BB5647</f>
        <v>0</v>
      </c>
      <c r="BD5647" s="32" t="n">
        <f aca="false">SUM(P5647,R5647,T5647,V5647,X5647,Z5647,AB5647,AD5647,AF5647,AH5647,AJ5647,AL5647,AN5647,AP5647,AR5647,AT5647,AV5647,AX5647)</f>
        <v>84.67</v>
      </c>
      <c r="BE5647" s="33" t="n">
        <f aca="false">AZ5647-BD5647</f>
        <v>0</v>
      </c>
      <c r="BF5647" s="34" t="n">
        <f aca="false">BD5647*M5647</f>
        <v>3979.49</v>
      </c>
      <c r="BG5647" s="35" t="n">
        <f aca="false">BA5647-BF5647</f>
        <v>-0.490000000000237</v>
      </c>
      <c r="BH5647" s="19" t="str">
        <f aca="false">IF(BG5647=0,"",IF(BG5647&lt;&gt;BA5647,"erreur de calcul",IF(BD5647&lt;&gt;0,"pas de prix",IF(M5647&lt;&gt; 0,"pas de quantité","pas de prix, ni de quantité"))))</f>
        <v>erreur de calcul</v>
      </c>
      <c r="BI5647" s="19"/>
    </row>
    <row r="5648" customFormat="false" ht="15" hidden="false" customHeight="false" outlineLevel="0" collapsed="false">
      <c r="A5648" s="0" t="n">
        <v>30</v>
      </c>
      <c r="B5648" s="8" t="s">
        <v>24</v>
      </c>
      <c r="C5648" s="9" t="s">
        <v>25</v>
      </c>
      <c r="D5648" s="9" t="s">
        <v>26</v>
      </c>
      <c r="E5648" s="10" t="n">
        <v>1789</v>
      </c>
      <c r="F5648" s="9" t="s">
        <v>27</v>
      </c>
      <c r="G5648" s="9" t="s">
        <v>27</v>
      </c>
      <c r="H5648" s="11" t="n">
        <v>18</v>
      </c>
      <c r="I5648" s="11" t="s">
        <v>103</v>
      </c>
      <c r="J5648" s="14" t="n">
        <v>475</v>
      </c>
      <c r="K5648" s="14"/>
      <c r="L5648" s="16"/>
      <c r="M5648" s="27" t="n">
        <f aca="false">J5648+(K5648/20)+(L5648/240)</f>
        <v>475</v>
      </c>
      <c r="N5648" s="17" t="s">
        <v>64</v>
      </c>
      <c r="O5648" s="11"/>
      <c r="P5648" s="28"/>
      <c r="Q5648" s="28" t="n">
        <f aca="false">P5648*$M5648</f>
        <v>0</v>
      </c>
      <c r="R5648" s="28"/>
      <c r="S5648" s="28" t="n">
        <f aca="false">R5648*$M5648</f>
        <v>0</v>
      </c>
      <c r="T5648" s="28" t="n">
        <f aca="false">1746/100</f>
        <v>17.46</v>
      </c>
      <c r="U5648" s="28" t="n">
        <v>8293</v>
      </c>
      <c r="V5648" s="28"/>
      <c r="W5648" s="28" t="n">
        <f aca="false">V5648*$M5648</f>
        <v>0</v>
      </c>
      <c r="X5648" s="29"/>
      <c r="Y5648" s="28" t="n">
        <f aca="false">X5648*$M5648</f>
        <v>0</v>
      </c>
      <c r="Z5648" s="28"/>
      <c r="AA5648" s="28" t="n">
        <f aca="false">Z5648*$M5648</f>
        <v>0</v>
      </c>
      <c r="AB5648" s="28"/>
      <c r="AC5648" s="28" t="n">
        <f aca="false">AB5648*$M5648</f>
        <v>0</v>
      </c>
      <c r="AD5648" s="28"/>
      <c r="AE5648" s="28" t="n">
        <f aca="false">AD5648*$M5648</f>
        <v>0</v>
      </c>
      <c r="AF5648" s="28"/>
      <c r="AG5648" s="28" t="n">
        <f aca="false">AF5648*$M5648</f>
        <v>0</v>
      </c>
      <c r="AH5648" s="28" t="n">
        <f aca="false">1667/100</f>
        <v>16.67</v>
      </c>
      <c r="AI5648" s="28" t="n">
        <v>7918</v>
      </c>
      <c r="AJ5648" s="28"/>
      <c r="AK5648" s="28" t="n">
        <f aca="false">AJ5648*$M5648</f>
        <v>0</v>
      </c>
      <c r="AL5648" s="28"/>
      <c r="AM5648" s="28" t="n">
        <f aca="false">AL5648*$M5648</f>
        <v>0</v>
      </c>
      <c r="AN5648" s="28"/>
      <c r="AO5648" s="28" t="n">
        <f aca="false">AN5648*$M5648</f>
        <v>0</v>
      </c>
      <c r="AP5648" s="28"/>
      <c r="AQ5648" s="28" t="n">
        <f aca="false">AP5648*$M5648</f>
        <v>0</v>
      </c>
      <c r="AR5648" s="28"/>
      <c r="AS5648" s="28" t="n">
        <f aca="false">AR5648*$M5648</f>
        <v>0</v>
      </c>
      <c r="AT5648" s="28"/>
      <c r="AU5648" s="28" t="n">
        <f aca="false">AT5648*$M5648</f>
        <v>0</v>
      </c>
      <c r="AV5648" s="28"/>
      <c r="AW5648" s="28" t="n">
        <f aca="false">AV5648*$M5648</f>
        <v>0</v>
      </c>
      <c r="AX5648" s="28"/>
      <c r="AY5648" s="28" t="n">
        <f aca="false">AX5648*$M5648</f>
        <v>0</v>
      </c>
      <c r="AZ5648" s="30" t="n">
        <f aca="false">3413/100</f>
        <v>34.13</v>
      </c>
      <c r="BA5648" s="11" t="n">
        <v>16211</v>
      </c>
      <c r="BB5648" s="31" t="n">
        <f aca="false">SUM(Q5648,S5648,U5648,W5648,Y5648,AA5648,AC5648,AE5648,AG5648,AI5648,AK5648,AM5648,AO5648,AQ5648,AS5648,AU5648,AW5648,AY5648)</f>
        <v>16211</v>
      </c>
      <c r="BC5648" s="28" t="n">
        <f aca="false">BA5648-BB5648</f>
        <v>0</v>
      </c>
      <c r="BD5648" s="32" t="n">
        <f aca="false">SUM(P5648,R5648,T5648,V5648,X5648,Z5648,AB5648,AD5648,AF5648,AH5648,AJ5648,AL5648,AN5648,AP5648,AR5648,AT5648,AV5648,AX5648)</f>
        <v>34.13</v>
      </c>
      <c r="BE5648" s="33" t="n">
        <f aca="false">AZ5648-BD5648</f>
        <v>0</v>
      </c>
      <c r="BF5648" s="34" t="n">
        <f aca="false">BD5648*M5648</f>
        <v>16211.75</v>
      </c>
      <c r="BG5648" s="35" t="n">
        <f aca="false">BA5648-BF5648</f>
        <v>-0.750000000001819</v>
      </c>
      <c r="BH5648" s="19" t="str">
        <f aca="false">IF(BG5648=0,"",IF(BG5648&lt;&gt;BA5648,"erreur de calcul",IF(BD5648&lt;&gt;0,"pas de prix",IF(M5648&lt;&gt; 0,"pas de quantité","pas de prix, ni de quantité"))))</f>
        <v>erreur de calcul</v>
      </c>
      <c r="BI5648" s="19"/>
    </row>
    <row r="5649" customFormat="false" ht="15" hidden="false" customHeight="false" outlineLevel="0" collapsed="false">
      <c r="A5649" s="0" t="n">
        <v>31</v>
      </c>
      <c r="B5649" s="8" t="s">
        <v>24</v>
      </c>
      <c r="C5649" s="9" t="s">
        <v>25</v>
      </c>
      <c r="D5649" s="9" t="s">
        <v>26</v>
      </c>
      <c r="E5649" s="10" t="n">
        <v>1789</v>
      </c>
      <c r="F5649" s="9" t="s">
        <v>27</v>
      </c>
      <c r="G5649" s="9" t="s">
        <v>27</v>
      </c>
      <c r="H5649" s="11" t="n">
        <v>18</v>
      </c>
      <c r="I5649" s="11" t="s">
        <v>104</v>
      </c>
      <c r="J5649" s="14" t="n">
        <v>310</v>
      </c>
      <c r="K5649" s="14"/>
      <c r="L5649" s="16"/>
      <c r="M5649" s="27" t="n">
        <f aca="false">J5649+(K5649/20)+(L5649/240)</f>
        <v>310</v>
      </c>
      <c r="N5649" s="17" t="s">
        <v>64</v>
      </c>
      <c r="O5649" s="11"/>
      <c r="P5649" s="28"/>
      <c r="Q5649" s="28" t="n">
        <f aca="false">P5649*$M5649</f>
        <v>0</v>
      </c>
      <c r="R5649" s="28"/>
      <c r="S5649" s="28" t="n">
        <f aca="false">R5649*$M5649</f>
        <v>0</v>
      </c>
      <c r="T5649" s="28" t="n">
        <f aca="false">1087/100</f>
        <v>10.87</v>
      </c>
      <c r="U5649" s="28" t="n">
        <v>3370</v>
      </c>
      <c r="V5649" s="28" t="n">
        <f aca="false">285/100</f>
        <v>2.85</v>
      </c>
      <c r="W5649" s="28" t="n">
        <v>883</v>
      </c>
      <c r="X5649" s="29"/>
      <c r="Y5649" s="28" t="n">
        <f aca="false">X5649*$M5649</f>
        <v>0</v>
      </c>
      <c r="Z5649" s="28"/>
      <c r="AA5649" s="28" t="n">
        <f aca="false">Z5649*$M5649</f>
        <v>0</v>
      </c>
      <c r="AB5649" s="28"/>
      <c r="AC5649" s="28" t="n">
        <f aca="false">AB5649*$M5649</f>
        <v>0</v>
      </c>
      <c r="AD5649" s="28"/>
      <c r="AE5649" s="28" t="n">
        <f aca="false">AD5649*$M5649</f>
        <v>0</v>
      </c>
      <c r="AF5649" s="28"/>
      <c r="AG5649" s="28" t="n">
        <f aca="false">AF5649*$M5649</f>
        <v>0</v>
      </c>
      <c r="AH5649" s="28"/>
      <c r="AI5649" s="28" t="n">
        <f aca="false">AH5649*$M5649</f>
        <v>0</v>
      </c>
      <c r="AJ5649" s="28"/>
      <c r="AK5649" s="28" t="n">
        <f aca="false">AJ5649*$M5649</f>
        <v>0</v>
      </c>
      <c r="AL5649" s="28"/>
      <c r="AM5649" s="28" t="n">
        <f aca="false">AL5649*$M5649</f>
        <v>0</v>
      </c>
      <c r="AN5649" s="28"/>
      <c r="AO5649" s="28" t="n">
        <f aca="false">AN5649*$M5649</f>
        <v>0</v>
      </c>
      <c r="AP5649" s="28"/>
      <c r="AQ5649" s="28" t="n">
        <f aca="false">AP5649*$M5649</f>
        <v>0</v>
      </c>
      <c r="AR5649" s="28"/>
      <c r="AS5649" s="28" t="n">
        <f aca="false">AR5649*$M5649</f>
        <v>0</v>
      </c>
      <c r="AT5649" s="28"/>
      <c r="AU5649" s="28" t="n">
        <f aca="false">AT5649*$M5649</f>
        <v>0</v>
      </c>
      <c r="AV5649" s="28"/>
      <c r="AW5649" s="28" t="n">
        <f aca="false">AV5649*$M5649</f>
        <v>0</v>
      </c>
      <c r="AX5649" s="28"/>
      <c r="AY5649" s="28" t="n">
        <f aca="false">AX5649*$M5649</f>
        <v>0</v>
      </c>
      <c r="AZ5649" s="30" t="n">
        <f aca="false">1372/100</f>
        <v>13.72</v>
      </c>
      <c r="BA5649" s="11" t="n">
        <v>4253</v>
      </c>
      <c r="BB5649" s="31" t="n">
        <f aca="false">SUM(Q5649,S5649,U5649,W5649,Y5649,AA5649,AC5649,AE5649,AG5649,AI5649,AK5649,AM5649,AO5649,AQ5649,AS5649,AU5649,AW5649,AY5649)</f>
        <v>4253</v>
      </c>
      <c r="BC5649" s="28" t="n">
        <f aca="false">BA5649-BB5649</f>
        <v>0</v>
      </c>
      <c r="BD5649" s="32" t="n">
        <f aca="false">SUM(P5649,R5649,T5649,V5649,X5649,Z5649,AB5649,AD5649,AF5649,AH5649,AJ5649,AL5649,AN5649,AP5649,AR5649,AT5649,AV5649,AX5649)</f>
        <v>13.72</v>
      </c>
      <c r="BE5649" s="33" t="n">
        <f aca="false">AZ5649-BD5649</f>
        <v>0</v>
      </c>
      <c r="BF5649" s="34" t="n">
        <f aca="false">BD5649*M5649</f>
        <v>4253.2</v>
      </c>
      <c r="BG5649" s="35" t="n">
        <f aca="false">BA5649-BF5649</f>
        <v>-0.199999999999818</v>
      </c>
      <c r="BH5649" s="19" t="str">
        <f aca="false">IF(BG5649=0,"",IF(BG5649&lt;&gt;BA5649,"erreur de calcul",IF(BD5649&lt;&gt;0,"pas de prix",IF(M5649&lt;&gt; 0,"pas de quantité","pas de prix, ni de quantité"))))</f>
        <v>erreur de calcul</v>
      </c>
      <c r="BI5649" s="19"/>
    </row>
    <row r="5650" customFormat="false" ht="15" hidden="false" customHeight="false" outlineLevel="0" collapsed="false">
      <c r="A5650" s="0" t="n">
        <v>32</v>
      </c>
      <c r="B5650" s="8" t="s">
        <v>24</v>
      </c>
      <c r="C5650" s="9" t="s">
        <v>25</v>
      </c>
      <c r="D5650" s="9" t="s">
        <v>26</v>
      </c>
      <c r="E5650" s="10" t="n">
        <v>1789</v>
      </c>
      <c r="F5650" s="9" t="s">
        <v>27</v>
      </c>
      <c r="G5650" s="9" t="s">
        <v>27</v>
      </c>
      <c r="H5650" s="11" t="n">
        <v>18</v>
      </c>
      <c r="I5650" s="11" t="s">
        <v>105</v>
      </c>
      <c r="J5650" s="14" t="n">
        <v>570</v>
      </c>
      <c r="K5650" s="14"/>
      <c r="L5650" s="16"/>
      <c r="M5650" s="27" t="n">
        <f aca="false">J5650+(K5650/20)+(L5650/240)</f>
        <v>570</v>
      </c>
      <c r="N5650" s="17" t="s">
        <v>64</v>
      </c>
      <c r="O5650" s="11"/>
      <c r="P5650" s="28"/>
      <c r="Q5650" s="28" t="n">
        <f aca="false">P5650*$M5650</f>
        <v>0</v>
      </c>
      <c r="R5650" s="28"/>
      <c r="S5650" s="28" t="n">
        <f aca="false">R5650*$M5650</f>
        <v>0</v>
      </c>
      <c r="T5650" s="28" t="n">
        <f aca="false">7423/100</f>
        <v>74.23</v>
      </c>
      <c r="U5650" s="28" t="n">
        <v>42311</v>
      </c>
      <c r="V5650" s="28" t="n">
        <f aca="false">798/100</f>
        <v>7.98</v>
      </c>
      <c r="W5650" s="28" t="n">
        <v>4549</v>
      </c>
      <c r="X5650" s="29" t="n">
        <f aca="false">2068/100</f>
        <v>20.68</v>
      </c>
      <c r="Y5650" s="28" t="n">
        <v>8368</v>
      </c>
      <c r="Z5650" s="28"/>
      <c r="AA5650" s="28" t="n">
        <f aca="false">Z5650*$M5650</f>
        <v>0</v>
      </c>
      <c r="AB5650" s="28" t="n">
        <f aca="false">226/100</f>
        <v>2.26</v>
      </c>
      <c r="AC5650" s="28" t="n">
        <v>1288</v>
      </c>
      <c r="AD5650" s="28"/>
      <c r="AE5650" s="28" t="n">
        <f aca="false">AD5650*$M5650</f>
        <v>0</v>
      </c>
      <c r="AF5650" s="28"/>
      <c r="AG5650" s="28" t="n">
        <f aca="false">AF5650*$M5650</f>
        <v>0</v>
      </c>
      <c r="AH5650" s="28"/>
      <c r="AI5650" s="28" t="n">
        <f aca="false">AH5650*$M5650</f>
        <v>0</v>
      </c>
      <c r="AJ5650" s="28"/>
      <c r="AK5650" s="28" t="n">
        <f aca="false">AJ5650*$M5650</f>
        <v>0</v>
      </c>
      <c r="AL5650" s="28"/>
      <c r="AM5650" s="28" t="n">
        <f aca="false">AL5650*$M5650</f>
        <v>0</v>
      </c>
      <c r="AN5650" s="28"/>
      <c r="AO5650" s="28" t="n">
        <f aca="false">AN5650*$M5650</f>
        <v>0</v>
      </c>
      <c r="AP5650" s="28"/>
      <c r="AQ5650" s="28" t="n">
        <f aca="false">AP5650*$M5650</f>
        <v>0</v>
      </c>
      <c r="AR5650" s="28"/>
      <c r="AS5650" s="28" t="n">
        <f aca="false">AR5650*$M5650</f>
        <v>0</v>
      </c>
      <c r="AT5650" s="28"/>
      <c r="AU5650" s="28" t="n">
        <f aca="false">AT5650*$M5650</f>
        <v>0</v>
      </c>
      <c r="AV5650" s="28"/>
      <c r="AW5650" s="28" t="n">
        <f aca="false">AV5650*$M5650</f>
        <v>0</v>
      </c>
      <c r="AX5650" s="28"/>
      <c r="AY5650" s="28" t="n">
        <f aca="false">AX5650*$M5650</f>
        <v>0</v>
      </c>
      <c r="AZ5650" s="30" t="n">
        <f aca="false">10515/100</f>
        <v>105.15</v>
      </c>
      <c r="BA5650" s="11" t="n">
        <v>56516</v>
      </c>
      <c r="BB5650" s="31" t="n">
        <f aca="false">SUM(Q5650,S5650,U5650,W5650,Y5650,AA5650,AC5650,AE5650,AG5650,AI5650,AK5650,AM5650,AO5650,AQ5650,AS5650,AU5650,AW5650,AY5650)</f>
        <v>56516</v>
      </c>
      <c r="BC5650" s="28" t="n">
        <f aca="false">BA5650-BB5650</f>
        <v>0</v>
      </c>
      <c r="BD5650" s="32" t="n">
        <f aca="false">SUM(P5650,R5650,T5650,V5650,X5650,Z5650,AB5650,AD5650,AF5650,AH5650,AJ5650,AL5650,AN5650,AP5650,AR5650,AT5650,AV5650,AX5650)</f>
        <v>105.15</v>
      </c>
      <c r="BE5650" s="33" t="n">
        <f aca="false">AZ5650-BD5650</f>
        <v>0</v>
      </c>
      <c r="BF5650" s="34" t="n">
        <f aca="false">BD5650*M5650</f>
        <v>59935.5</v>
      </c>
      <c r="BG5650" s="35" t="n">
        <f aca="false">BA5650-BF5650</f>
        <v>-3419.5</v>
      </c>
      <c r="BH5650" s="19" t="str">
        <f aca="false">IF(BG5650=0,"",IF(BG5650&lt;&gt;BA5650,"erreur de calcul",IF(BD5650&lt;&gt;0,"pas de prix",IF(M5650&lt;&gt; 0,"pas de quantité","pas de prix, ni de quantité"))))</f>
        <v>erreur de calcul</v>
      </c>
      <c r="BI5650" s="19"/>
    </row>
    <row r="5651" customFormat="false" ht="15" hidden="false" customHeight="false" outlineLevel="0" collapsed="false">
      <c r="A5651" s="0" t="n">
        <v>33</v>
      </c>
      <c r="B5651" s="8" t="s">
        <v>24</v>
      </c>
      <c r="C5651" s="9" t="s">
        <v>25</v>
      </c>
      <c r="D5651" s="9" t="s">
        <v>26</v>
      </c>
      <c r="E5651" s="10" t="n">
        <v>1789</v>
      </c>
      <c r="F5651" s="9" t="s">
        <v>27</v>
      </c>
      <c r="G5651" s="9" t="s">
        <v>27</v>
      </c>
      <c r="H5651" s="11" t="n">
        <v>18</v>
      </c>
      <c r="I5651" s="11" t="s">
        <v>106</v>
      </c>
      <c r="J5651" s="14"/>
      <c r="K5651" s="14" t="n">
        <v>40</v>
      </c>
      <c r="L5651" s="16"/>
      <c r="M5651" s="27" t="n">
        <f aca="false">J5651+(K5651/20)+(L5651/240)</f>
        <v>2</v>
      </c>
      <c r="N5651" s="17" t="s">
        <v>66</v>
      </c>
      <c r="O5651" s="11"/>
      <c r="P5651" s="28"/>
      <c r="Q5651" s="28" t="n">
        <f aca="false">P5651*$M5651</f>
        <v>0</v>
      </c>
      <c r="R5651" s="28"/>
      <c r="S5651" s="28" t="n">
        <f aca="false">R5651*$M5651</f>
        <v>0</v>
      </c>
      <c r="T5651" s="28"/>
      <c r="U5651" s="28" t="n">
        <f aca="false">T5651*$M5651</f>
        <v>0</v>
      </c>
      <c r="V5651" s="28" t="n">
        <v>892</v>
      </c>
      <c r="W5651" s="28" t="n">
        <v>1784</v>
      </c>
      <c r="X5651" s="29"/>
      <c r="Y5651" s="28" t="n">
        <f aca="false">X5651*$M5651</f>
        <v>0</v>
      </c>
      <c r="Z5651" s="28"/>
      <c r="AA5651" s="28" t="n">
        <f aca="false">Z5651*$M5651</f>
        <v>0</v>
      </c>
      <c r="AB5651" s="28"/>
      <c r="AC5651" s="28" t="n">
        <f aca="false">AB5651*$M5651</f>
        <v>0</v>
      </c>
      <c r="AD5651" s="28"/>
      <c r="AE5651" s="28" t="n">
        <f aca="false">AD5651*$M5651</f>
        <v>0</v>
      </c>
      <c r="AF5651" s="28"/>
      <c r="AG5651" s="28" t="n">
        <f aca="false">AF5651*$M5651</f>
        <v>0</v>
      </c>
      <c r="AH5651" s="28" t="n">
        <v>1961</v>
      </c>
      <c r="AI5651" s="28" t="n">
        <v>3922</v>
      </c>
      <c r="AJ5651" s="28"/>
      <c r="AK5651" s="28" t="n">
        <f aca="false">AJ5651*$M5651</f>
        <v>0</v>
      </c>
      <c r="AL5651" s="28"/>
      <c r="AM5651" s="28" t="n">
        <f aca="false">AL5651*$M5651</f>
        <v>0</v>
      </c>
      <c r="AN5651" s="28"/>
      <c r="AO5651" s="28" t="n">
        <f aca="false">AN5651*$M5651</f>
        <v>0</v>
      </c>
      <c r="AP5651" s="28"/>
      <c r="AQ5651" s="28" t="n">
        <f aca="false">AP5651*$M5651</f>
        <v>0</v>
      </c>
      <c r="AR5651" s="28"/>
      <c r="AS5651" s="28" t="n">
        <f aca="false">AR5651*$M5651</f>
        <v>0</v>
      </c>
      <c r="AT5651" s="28"/>
      <c r="AU5651" s="28" t="n">
        <f aca="false">AT5651*$M5651</f>
        <v>0</v>
      </c>
      <c r="AV5651" s="28"/>
      <c r="AW5651" s="28" t="n">
        <f aca="false">AV5651*$M5651</f>
        <v>0</v>
      </c>
      <c r="AX5651" s="28"/>
      <c r="AY5651" s="28" t="n">
        <f aca="false">AX5651*$M5651</f>
        <v>0</v>
      </c>
      <c r="AZ5651" s="30" t="n">
        <v>2853</v>
      </c>
      <c r="BA5651" s="11" t="n">
        <v>5706</v>
      </c>
      <c r="BB5651" s="31" t="n">
        <f aca="false">SUM(Q5651,S5651,U5651,W5651,Y5651,AA5651,AC5651,AE5651,AG5651,AI5651,AK5651,AM5651,AO5651,AQ5651,AS5651,AU5651,AW5651,AY5651)</f>
        <v>5706</v>
      </c>
      <c r="BC5651" s="28" t="n">
        <f aca="false">BA5651-BB5651</f>
        <v>0</v>
      </c>
      <c r="BD5651" s="32" t="n">
        <f aca="false">SUM(P5651,R5651,T5651,V5651,X5651,Z5651,AB5651,AD5651,AF5651,AH5651,AJ5651,AL5651,AN5651,AP5651,AR5651,AT5651,AV5651,AX5651)</f>
        <v>2853</v>
      </c>
      <c r="BE5651" s="33" t="n">
        <f aca="false">AZ5651-BD5651</f>
        <v>0</v>
      </c>
      <c r="BF5651" s="34" t="n">
        <f aca="false">BD5651*M5651</f>
        <v>5706</v>
      </c>
      <c r="BG5651" s="35" t="n">
        <f aca="false">BA5651-BF5651</f>
        <v>0</v>
      </c>
      <c r="BH5651" s="19" t="str">
        <f aca="false">IF(BG5651=0,"",IF(BG5651&lt;&gt;BA5651,"erreur de calcul",IF(BD5651&lt;&gt;0,"pas de prix",IF(M5651&lt;&gt; 0,"pas de quantité","pas de prix, ni de quantité"))))</f>
        <v/>
      </c>
      <c r="BI5651" s="19"/>
    </row>
    <row r="5652" customFormat="false" ht="15" hidden="false" customHeight="false" outlineLevel="0" collapsed="false">
      <c r="A5652" s="0" t="n">
        <v>34</v>
      </c>
      <c r="B5652" s="8" t="s">
        <v>24</v>
      </c>
      <c r="C5652" s="9" t="s">
        <v>25</v>
      </c>
      <c r="D5652" s="9" t="s">
        <v>26</v>
      </c>
      <c r="E5652" s="10" t="n">
        <v>1789</v>
      </c>
      <c r="F5652" s="9" t="s">
        <v>27</v>
      </c>
      <c r="G5652" s="9" t="s">
        <v>27</v>
      </c>
      <c r="H5652" s="11" t="n">
        <v>18</v>
      </c>
      <c r="I5652" s="11" t="s">
        <v>107</v>
      </c>
      <c r="J5652" s="14" t="n">
        <v>180</v>
      </c>
      <c r="K5652" s="14"/>
      <c r="L5652" s="16"/>
      <c r="M5652" s="27" t="n">
        <f aca="false">J5652+(K5652/20)+(L5652/240)</f>
        <v>180</v>
      </c>
      <c r="N5652" s="17" t="s">
        <v>64</v>
      </c>
      <c r="O5652" s="11"/>
      <c r="P5652" s="28"/>
      <c r="Q5652" s="28" t="n">
        <f aca="false">P5652*$M5652</f>
        <v>0</v>
      </c>
      <c r="R5652" s="28"/>
      <c r="S5652" s="28" t="n">
        <f aca="false">R5652*$M5652</f>
        <v>0</v>
      </c>
      <c r="T5652" s="28"/>
      <c r="U5652" s="28" t="n">
        <f aca="false">T5652*$M5652</f>
        <v>0</v>
      </c>
      <c r="V5652" s="28"/>
      <c r="W5652" s="28" t="n">
        <f aca="false">V5652*$M5652</f>
        <v>0</v>
      </c>
      <c r="X5652" s="29"/>
      <c r="Y5652" s="28" t="n">
        <f aca="false">X5652*$M5652</f>
        <v>0</v>
      </c>
      <c r="Z5652" s="28"/>
      <c r="AA5652" s="28" t="n">
        <f aca="false">Z5652*$M5652</f>
        <v>0</v>
      </c>
      <c r="AB5652" s="28"/>
      <c r="AC5652" s="28" t="n">
        <f aca="false">AB5652*$M5652</f>
        <v>0</v>
      </c>
      <c r="AD5652" s="28"/>
      <c r="AE5652" s="28" t="n">
        <f aca="false">AD5652*$M5652</f>
        <v>0</v>
      </c>
      <c r="AF5652" s="28"/>
      <c r="AG5652" s="28" t="n">
        <f aca="false">AF5652*$M5652</f>
        <v>0</v>
      </c>
      <c r="AH5652" s="28" t="n">
        <f aca="false">28680/100</f>
        <v>286.8</v>
      </c>
      <c r="AI5652" s="28" t="n">
        <v>51624</v>
      </c>
      <c r="AJ5652" s="28"/>
      <c r="AK5652" s="28" t="n">
        <f aca="false">AJ5652*$M5652</f>
        <v>0</v>
      </c>
      <c r="AL5652" s="28"/>
      <c r="AM5652" s="28" t="n">
        <f aca="false">AL5652*$M5652</f>
        <v>0</v>
      </c>
      <c r="AN5652" s="28"/>
      <c r="AO5652" s="28" t="n">
        <f aca="false">AN5652*$M5652</f>
        <v>0</v>
      </c>
      <c r="AP5652" s="28"/>
      <c r="AQ5652" s="28" t="n">
        <f aca="false">AP5652*$M5652</f>
        <v>0</v>
      </c>
      <c r="AR5652" s="28"/>
      <c r="AS5652" s="28" t="n">
        <f aca="false">AR5652*$M5652</f>
        <v>0</v>
      </c>
      <c r="AT5652" s="28"/>
      <c r="AU5652" s="28" t="n">
        <f aca="false">AT5652*$M5652</f>
        <v>0</v>
      </c>
      <c r="AV5652" s="28"/>
      <c r="AW5652" s="28" t="n">
        <f aca="false">AV5652*$M5652</f>
        <v>0</v>
      </c>
      <c r="AX5652" s="28"/>
      <c r="AY5652" s="28" t="n">
        <f aca="false">AX5652*$M5652</f>
        <v>0</v>
      </c>
      <c r="AZ5652" s="30" t="n">
        <f aca="false">28680/100</f>
        <v>286.8</v>
      </c>
      <c r="BA5652" s="11" t="n">
        <v>51624</v>
      </c>
      <c r="BB5652" s="31" t="n">
        <f aca="false">SUM(Q5652,S5652,U5652,W5652,Y5652,AA5652,AC5652,AE5652,AG5652,AI5652,AK5652,AM5652,AO5652,AQ5652,AS5652,AU5652,AW5652,AY5652)</f>
        <v>51624</v>
      </c>
      <c r="BC5652" s="28" t="n">
        <f aca="false">BA5652-BB5652</f>
        <v>0</v>
      </c>
      <c r="BD5652" s="32" t="n">
        <f aca="false">SUM(P5652,R5652,T5652,V5652,X5652,Z5652,AB5652,AD5652,AF5652,AH5652,AJ5652,AL5652,AN5652,AP5652,AR5652,AT5652,AV5652,AX5652)</f>
        <v>286.8</v>
      </c>
      <c r="BE5652" s="33" t="n">
        <f aca="false">AZ5652-BD5652</f>
        <v>0</v>
      </c>
      <c r="BF5652" s="34" t="n">
        <f aca="false">BD5652*M5652</f>
        <v>51624</v>
      </c>
      <c r="BG5652" s="35" t="n">
        <f aca="false">BA5652-BF5652</f>
        <v>0</v>
      </c>
      <c r="BH5652" s="19" t="str">
        <f aca="false">IF(BG5652=0,"",IF(BG5652&lt;&gt;BA5652,"erreur de calcul",IF(BD5652&lt;&gt;0,"pas de prix",IF(M5652&lt;&gt; 0,"pas de quantité","pas de prix, ni de quantité"))))</f>
        <v/>
      </c>
      <c r="BI5652" s="19"/>
    </row>
    <row r="5653" customFormat="false" ht="15" hidden="false" customHeight="false" outlineLevel="0" collapsed="false">
      <c r="A5653" s="0" t="n">
        <v>35</v>
      </c>
      <c r="B5653" s="8" t="s">
        <v>24</v>
      </c>
      <c r="C5653" s="9" t="s">
        <v>25</v>
      </c>
      <c r="D5653" s="9" t="s">
        <v>26</v>
      </c>
      <c r="E5653" s="10" t="n">
        <v>1789</v>
      </c>
      <c r="F5653" s="9" t="s">
        <v>27</v>
      </c>
      <c r="G5653" s="9" t="s">
        <v>27</v>
      </c>
      <c r="H5653" s="11" t="n">
        <v>18</v>
      </c>
      <c r="I5653" s="11" t="s">
        <v>108</v>
      </c>
      <c r="J5653" s="14" t="n">
        <v>11</v>
      </c>
      <c r="K5653" s="14"/>
      <c r="L5653" s="16"/>
      <c r="M5653" s="27" t="n">
        <f aca="false">J5653+(K5653/20)+(L5653/240)</f>
        <v>11</v>
      </c>
      <c r="N5653" s="17" t="s">
        <v>64</v>
      </c>
      <c r="O5653" s="11" t="s">
        <v>109</v>
      </c>
      <c r="P5653" s="28"/>
      <c r="Q5653" s="28" t="n">
        <f aca="false">P5653*$M5653</f>
        <v>0</v>
      </c>
      <c r="R5653" s="28"/>
      <c r="S5653" s="28" t="n">
        <f aca="false">R5653*$M5653</f>
        <v>0</v>
      </c>
      <c r="T5653" s="28"/>
      <c r="U5653" s="28" t="n">
        <f aca="false">T5653*$M5653</f>
        <v>0</v>
      </c>
      <c r="V5653" s="28"/>
      <c r="W5653" s="28" t="n">
        <f aca="false">V5653*$M5653</f>
        <v>0</v>
      </c>
      <c r="X5653" s="29"/>
      <c r="Y5653" s="28" t="n">
        <f aca="false">X5653*$M5653</f>
        <v>0</v>
      </c>
      <c r="Z5653" s="28"/>
      <c r="AA5653" s="28" t="n">
        <f aca="false">Z5653*$M5653</f>
        <v>0</v>
      </c>
      <c r="AB5653" s="28"/>
      <c r="AC5653" s="28" t="n">
        <f aca="false">AB5653*$M5653</f>
        <v>0</v>
      </c>
      <c r="AD5653" s="28"/>
      <c r="AE5653" s="28" t="n">
        <f aca="false">AD5653*$M5653</f>
        <v>0</v>
      </c>
      <c r="AF5653" s="28"/>
      <c r="AG5653" s="28" t="n">
        <f aca="false">AF5653*$M5653</f>
        <v>0</v>
      </c>
      <c r="AH5653" s="28"/>
      <c r="AI5653" s="28" t="n">
        <f aca="false">AH5653*$M5653</f>
        <v>0</v>
      </c>
      <c r="AJ5653" s="28" t="n">
        <f aca="false">1784/100</f>
        <v>17.84</v>
      </c>
      <c r="AK5653" s="28" t="n">
        <v>196</v>
      </c>
      <c r="AL5653" s="28" t="n">
        <f aca="false">7942/100</f>
        <v>79.42</v>
      </c>
      <c r="AM5653" s="28" t="n">
        <v>874</v>
      </c>
      <c r="AN5653" s="28"/>
      <c r="AO5653" s="28" t="n">
        <f aca="false">AN5653*$M5653</f>
        <v>0</v>
      </c>
      <c r="AP5653" s="28" t="n">
        <f aca="false">13980/100</f>
        <v>139.8</v>
      </c>
      <c r="AQ5653" s="28" t="n">
        <v>1538</v>
      </c>
      <c r="AR5653" s="28" t="n">
        <f aca="false">96390/100</f>
        <v>963.9</v>
      </c>
      <c r="AS5653" s="28" t="n">
        <v>10603</v>
      </c>
      <c r="AT5653" s="28"/>
      <c r="AU5653" s="28" t="n">
        <f aca="false">AT5653*$M5653</f>
        <v>0</v>
      </c>
      <c r="AV5653" s="28"/>
      <c r="AW5653" s="28" t="n">
        <f aca="false">AV5653*$M5653</f>
        <v>0</v>
      </c>
      <c r="AX5653" s="28"/>
      <c r="AY5653" s="28" t="n">
        <f aca="false">AX5653*$M5653</f>
        <v>0</v>
      </c>
      <c r="AZ5653" s="30" t="n">
        <f aca="false">120096/100</f>
        <v>1200.96</v>
      </c>
      <c r="BA5653" s="11" t="n">
        <v>13211</v>
      </c>
      <c r="BB5653" s="31" t="n">
        <f aca="false">SUM(Q5653,S5653,U5653,W5653,Y5653,AA5653,AC5653,AE5653,AG5653,AI5653,AK5653,AM5653,AO5653,AQ5653,AS5653,AU5653,AW5653,AY5653)</f>
        <v>13211</v>
      </c>
      <c r="BC5653" s="28" t="n">
        <f aca="false">BA5653-BB5653</f>
        <v>0</v>
      </c>
      <c r="BD5653" s="32" t="n">
        <f aca="false">SUM(P5653,R5653,T5653,V5653,X5653,Z5653,AB5653,AD5653,AF5653,AH5653,AJ5653,AL5653,AN5653,AP5653,AR5653,AT5653,AV5653,AX5653)</f>
        <v>1200.96</v>
      </c>
      <c r="BE5653" s="33" t="n">
        <f aca="false">AZ5653-BD5653</f>
        <v>0</v>
      </c>
      <c r="BF5653" s="34" t="n">
        <f aca="false">BD5653*M5653</f>
        <v>13210.56</v>
      </c>
      <c r="BG5653" s="35" t="n">
        <f aca="false">BA5653-BF5653</f>
        <v>0.43999999999869</v>
      </c>
      <c r="BH5653" s="19" t="str">
        <f aca="false">IF(BG5653=0,"",IF(BG5653&lt;&gt;BA5653,"erreur de calcul",IF(BD5653&lt;&gt;0,"pas de prix",IF(M5653&lt;&gt; 0,"pas de quantité","pas de prix, ni de quantité"))))</f>
        <v>erreur de calcul</v>
      </c>
      <c r="BI5653" s="19"/>
    </row>
    <row r="5654" customFormat="false" ht="15" hidden="false" customHeight="false" outlineLevel="0" collapsed="false">
      <c r="A5654" s="0" t="n">
        <v>36</v>
      </c>
      <c r="B5654" s="8" t="s">
        <v>24</v>
      </c>
      <c r="C5654" s="9" t="s">
        <v>25</v>
      </c>
      <c r="D5654" s="9" t="s">
        <v>26</v>
      </c>
      <c r="E5654" s="10" t="n">
        <v>1789</v>
      </c>
      <c r="F5654" s="9" t="s">
        <v>27</v>
      </c>
      <c r="G5654" s="9" t="s">
        <v>27</v>
      </c>
      <c r="H5654" s="11" t="n">
        <v>18</v>
      </c>
      <c r="I5654" s="11" t="s">
        <v>110</v>
      </c>
      <c r="J5654" s="14" t="n">
        <v>12</v>
      </c>
      <c r="K5654" s="14"/>
      <c r="L5654" s="16"/>
      <c r="M5654" s="27" t="n">
        <f aca="false">J5654+(K5654/20)+(L5654/240)</f>
        <v>12</v>
      </c>
      <c r="N5654" s="17" t="s">
        <v>64</v>
      </c>
      <c r="O5654" s="11" t="s">
        <v>109</v>
      </c>
      <c r="P5654" s="28" t="n">
        <f aca="false">30663/100</f>
        <v>306.63</v>
      </c>
      <c r="Q5654" s="28" t="n">
        <v>3679</v>
      </c>
      <c r="R5654" s="28"/>
      <c r="S5654" s="28" t="n">
        <f aca="false">R5654*$M5654</f>
        <v>0</v>
      </c>
      <c r="T5654" s="28"/>
      <c r="U5654" s="28" t="n">
        <f aca="false">T5654*$M5654</f>
        <v>0</v>
      </c>
      <c r="V5654" s="28"/>
      <c r="W5654" s="28" t="n">
        <f aca="false">V5654*$M5654</f>
        <v>0</v>
      </c>
      <c r="X5654" s="29"/>
      <c r="Y5654" s="28" t="n">
        <f aca="false">X5654*$M5654</f>
        <v>0</v>
      </c>
      <c r="Z5654" s="28"/>
      <c r="AA5654" s="28" t="n">
        <f aca="false">Z5654*$M5654</f>
        <v>0</v>
      </c>
      <c r="AB5654" s="28"/>
      <c r="AC5654" s="28" t="n">
        <f aca="false">AB5654*$M5654</f>
        <v>0</v>
      </c>
      <c r="AD5654" s="28"/>
      <c r="AE5654" s="28" t="n">
        <f aca="false">AD5654*$M5654</f>
        <v>0</v>
      </c>
      <c r="AF5654" s="28"/>
      <c r="AG5654" s="28" t="n">
        <f aca="false">AF5654*$M5654</f>
        <v>0</v>
      </c>
      <c r="AH5654" s="28"/>
      <c r="AI5654" s="28" t="n">
        <f aca="false">AH5654*$M5654</f>
        <v>0</v>
      </c>
      <c r="AJ5654" s="28"/>
      <c r="AK5654" s="28" t="n">
        <f aca="false">AJ5654*$M5654</f>
        <v>0</v>
      </c>
      <c r="AL5654" s="28" t="n">
        <f aca="false">114207/100</f>
        <v>1142.07</v>
      </c>
      <c r="AM5654" s="28" t="n">
        <v>13705</v>
      </c>
      <c r="AN5654" s="28" t="n">
        <f aca="false">2100/100</f>
        <v>21</v>
      </c>
      <c r="AO5654" s="28" t="n">
        <v>252</v>
      </c>
      <c r="AP5654" s="28" t="n">
        <f aca="false">16107/100</f>
        <v>161.07</v>
      </c>
      <c r="AQ5654" s="28" t="n">
        <v>1933</v>
      </c>
      <c r="AR5654" s="28" t="n">
        <f aca="false">553069/100</f>
        <v>5530.69</v>
      </c>
      <c r="AS5654" s="28" t="n">
        <v>66368</v>
      </c>
      <c r="AT5654" s="28" t="n">
        <f aca="false">6160/100</f>
        <v>61.6</v>
      </c>
      <c r="AU5654" s="28" t="n">
        <v>739</v>
      </c>
      <c r="AV5654" s="28" t="n">
        <f aca="false">2640/100</f>
        <v>26.4</v>
      </c>
      <c r="AW5654" s="28" t="n">
        <v>317</v>
      </c>
      <c r="AX5654" s="28" t="n">
        <f aca="false">8767/100</f>
        <v>87.67</v>
      </c>
      <c r="AY5654" s="36" t="n">
        <v>1085</v>
      </c>
      <c r="AZ5654" s="30" t="n">
        <f aca="false">733753/100</f>
        <v>7337.53</v>
      </c>
      <c r="BA5654" s="11" t="n">
        <v>88078</v>
      </c>
      <c r="BB5654" s="31" t="n">
        <f aca="false">SUM(Q5654,S5654,U5654,W5654,Y5654,AA5654,AC5654,AE5654,AG5654,AI5654,AK5654,AM5654,AO5654,AQ5654,AS5654,AU5654,AW5654,AY5654)</f>
        <v>88078</v>
      </c>
      <c r="BC5654" s="28" t="n">
        <f aca="false">BA5654-BB5654</f>
        <v>0</v>
      </c>
      <c r="BD5654" s="32" t="n">
        <f aca="false">SUM(P5654,R5654,T5654,V5654,X5654,Z5654,AB5654,AD5654,AF5654,AH5654,AJ5654,AL5654,AN5654,AP5654,AR5654,AT5654,AV5654,AX5654)</f>
        <v>7337.13</v>
      </c>
      <c r="BE5654" s="33" t="n">
        <f aca="false">AZ5654-BD5654</f>
        <v>0.400000000000546</v>
      </c>
      <c r="BF5654" s="34" t="n">
        <f aca="false">BD5654*M5654</f>
        <v>88045.56</v>
      </c>
      <c r="BG5654" s="35" t="n">
        <f aca="false">BA5654-BF5654</f>
        <v>32.4400000000023</v>
      </c>
      <c r="BH5654" s="19" t="str">
        <f aca="false">IF(BG5654=0,"",IF(BG5654&lt;&gt;BA5654,"erreur de calcul",IF(BD5654&lt;&gt;0,"pas de prix",IF(M5654&lt;&gt; 0,"pas de quantité","pas de prix, ni de quantité"))))</f>
        <v>erreur de calcul</v>
      </c>
      <c r="BI5654" s="19"/>
    </row>
    <row r="5655" customFormat="false" ht="15" hidden="false" customHeight="false" outlineLevel="0" collapsed="false">
      <c r="A5655" s="0" t="n">
        <v>37</v>
      </c>
      <c r="B5655" s="8" t="s">
        <v>24</v>
      </c>
      <c r="C5655" s="9" t="s">
        <v>25</v>
      </c>
      <c r="D5655" s="9" t="s">
        <v>26</v>
      </c>
      <c r="E5655" s="10" t="n">
        <v>1789</v>
      </c>
      <c r="F5655" s="9" t="s">
        <v>27</v>
      </c>
      <c r="G5655" s="9" t="s">
        <v>27</v>
      </c>
      <c r="H5655" s="11" t="n">
        <v>18</v>
      </c>
      <c r="I5655" s="11" t="s">
        <v>111</v>
      </c>
      <c r="J5655" s="14" t="n">
        <v>10</v>
      </c>
      <c r="K5655" s="14"/>
      <c r="L5655" s="16"/>
      <c r="M5655" s="27" t="n">
        <f aca="false">J5655+(K5655/20)+(L5655/240)</f>
        <v>10</v>
      </c>
      <c r="N5655" s="17" t="s">
        <v>64</v>
      </c>
      <c r="O5655" s="11"/>
      <c r="P5655" s="28"/>
      <c r="Q5655" s="28" t="n">
        <f aca="false">P5655*$M5655</f>
        <v>0</v>
      </c>
      <c r="R5655" s="28"/>
      <c r="S5655" s="28" t="n">
        <f aca="false">R5655*$M5655</f>
        <v>0</v>
      </c>
      <c r="T5655" s="28"/>
      <c r="U5655" s="28" t="n">
        <f aca="false">T5655*$M5655</f>
        <v>0</v>
      </c>
      <c r="V5655" s="28"/>
      <c r="W5655" s="28" t="n">
        <f aca="false">V5655*$M5655</f>
        <v>0</v>
      </c>
      <c r="X5655" s="29"/>
      <c r="Y5655" s="28" t="n">
        <f aca="false">X5655*$M5655</f>
        <v>0</v>
      </c>
      <c r="Z5655" s="28"/>
      <c r="AA5655" s="28" t="n">
        <f aca="false">Z5655*$M5655</f>
        <v>0</v>
      </c>
      <c r="AB5655" s="28"/>
      <c r="AC5655" s="28" t="n">
        <f aca="false">AB5655*$M5655</f>
        <v>0</v>
      </c>
      <c r="AD5655" s="28"/>
      <c r="AE5655" s="28" t="n">
        <f aca="false">AD5655*$M5655</f>
        <v>0</v>
      </c>
      <c r="AF5655" s="28"/>
      <c r="AG5655" s="28" t="n">
        <f aca="false">AF5655*$M5655</f>
        <v>0</v>
      </c>
      <c r="AH5655" s="28"/>
      <c r="AI5655" s="28" t="n">
        <f aca="false">AH5655*$M5655</f>
        <v>0</v>
      </c>
      <c r="AJ5655" s="28"/>
      <c r="AK5655" s="28" t="n">
        <f aca="false">AJ5655*$M5655</f>
        <v>0</v>
      </c>
      <c r="AL5655" s="28"/>
      <c r="AM5655" s="28" t="n">
        <f aca="false">AL5655*$M5655</f>
        <v>0</v>
      </c>
      <c r="AN5655" s="28"/>
      <c r="AO5655" s="28" t="n">
        <f aca="false">AN5655*$M5655</f>
        <v>0</v>
      </c>
      <c r="AP5655" s="28"/>
      <c r="AQ5655" s="28" t="n">
        <f aca="false">AP5655*$M5655</f>
        <v>0</v>
      </c>
      <c r="AR5655" s="28"/>
      <c r="AS5655" s="28" t="n">
        <f aca="false">AR5655*$M5655</f>
        <v>0</v>
      </c>
      <c r="AT5655" s="28"/>
      <c r="AU5655" s="28" t="n">
        <f aca="false">AT5655*$M5655</f>
        <v>0</v>
      </c>
      <c r="AV5655" s="28"/>
      <c r="AW5655" s="28" t="n">
        <f aca="false">AV5655*$M5655</f>
        <v>0</v>
      </c>
      <c r="AX5655" s="28" t="n">
        <f aca="false">16133/100</f>
        <v>161.33</v>
      </c>
      <c r="AY5655" s="28" t="n">
        <v>1613</v>
      </c>
      <c r="AZ5655" s="30"/>
      <c r="BA5655" s="11" t="n">
        <v>1613</v>
      </c>
      <c r="BB5655" s="31" t="n">
        <f aca="false">SUM(Q5655,S5655,U5655,W5655,Y5655,AA5655,AC5655,AE5655,AG5655,AI5655,AK5655,AM5655,AO5655,AQ5655,AS5655,AU5655,AW5655,AY5655)</f>
        <v>1613</v>
      </c>
      <c r="BC5655" s="28" t="n">
        <f aca="false">BA5655-BB5655</f>
        <v>0</v>
      </c>
      <c r="BD5655" s="32" t="n">
        <f aca="false">SUM(P5655,R5655,T5655,V5655,X5655,Z5655,AB5655,AD5655,AF5655,AH5655,AJ5655,AL5655,AN5655,AP5655,AR5655,AT5655,AV5655,AX5655)</f>
        <v>161.33</v>
      </c>
      <c r="BE5655" s="33" t="n">
        <f aca="false">AZ5655-BD5655</f>
        <v>-161.33</v>
      </c>
      <c r="BF5655" s="34" t="n">
        <f aca="false">BD5655*M5655</f>
        <v>1613.3</v>
      </c>
      <c r="BG5655" s="35" t="n">
        <f aca="false">BA5655-BF5655</f>
        <v>-0.300000000000182</v>
      </c>
      <c r="BH5655" s="19" t="str">
        <f aca="false">IF(BG5655=0,"",IF(BG5655&lt;&gt;BA5655,"erreur de calcul",IF(BD5655&lt;&gt;0,"pas de prix",IF(M5655&lt;&gt; 0,"pas de quantité","pas de prix, ni de quantité"))))</f>
        <v>erreur de calcul</v>
      </c>
      <c r="BI5655" s="19"/>
    </row>
    <row r="5656" customFormat="false" ht="15" hidden="false" customHeight="false" outlineLevel="0" collapsed="false">
      <c r="A5656" s="0" t="n">
        <v>38</v>
      </c>
      <c r="B5656" s="8" t="s">
        <v>24</v>
      </c>
      <c r="C5656" s="9" t="s">
        <v>25</v>
      </c>
      <c r="D5656" s="9" t="s">
        <v>26</v>
      </c>
      <c r="E5656" s="10" t="n">
        <v>1789</v>
      </c>
      <c r="F5656" s="9" t="s">
        <v>27</v>
      </c>
      <c r="G5656" s="9" t="s">
        <v>27</v>
      </c>
      <c r="H5656" s="11" t="n">
        <v>18</v>
      </c>
      <c r="I5656" s="11" t="s">
        <v>112</v>
      </c>
      <c r="J5656" s="14" t="n">
        <v>100</v>
      </c>
      <c r="K5656" s="14"/>
      <c r="L5656" s="16"/>
      <c r="M5656" s="27" t="n">
        <f aca="false">J5656+(K5656/20)+(L5656/240)</f>
        <v>100</v>
      </c>
      <c r="N5656" s="17" t="s">
        <v>64</v>
      </c>
      <c r="O5656" s="11"/>
      <c r="P5656" s="28" t="n">
        <f aca="false">69730/100</f>
        <v>697.3</v>
      </c>
      <c r="Q5656" s="28" t="n">
        <v>69730</v>
      </c>
      <c r="R5656" s="28"/>
      <c r="S5656" s="28" t="n">
        <f aca="false">R5656*$M5656</f>
        <v>0</v>
      </c>
      <c r="T5656" s="28"/>
      <c r="U5656" s="28" t="n">
        <f aca="false">T5656*$M5656</f>
        <v>0</v>
      </c>
      <c r="V5656" s="28"/>
      <c r="W5656" s="28" t="n">
        <f aca="false">V5656*$M5656</f>
        <v>0</v>
      </c>
      <c r="X5656" s="29"/>
      <c r="Y5656" s="28" t="n">
        <f aca="false">X5656*$M5656</f>
        <v>0</v>
      </c>
      <c r="Z5656" s="28"/>
      <c r="AA5656" s="28" t="n">
        <f aca="false">Z5656*$M5656</f>
        <v>0</v>
      </c>
      <c r="AB5656" s="28"/>
      <c r="AC5656" s="28" t="n">
        <f aca="false">AB5656*$M5656</f>
        <v>0</v>
      </c>
      <c r="AD5656" s="28"/>
      <c r="AE5656" s="28" t="n">
        <f aca="false">AD5656*$M5656</f>
        <v>0</v>
      </c>
      <c r="AF5656" s="28"/>
      <c r="AG5656" s="28" t="n">
        <f aca="false">AF5656*$M5656</f>
        <v>0</v>
      </c>
      <c r="AH5656" s="28"/>
      <c r="AI5656" s="28" t="n">
        <f aca="false">AH5656*$M5656</f>
        <v>0</v>
      </c>
      <c r="AJ5656" s="28"/>
      <c r="AK5656" s="28" t="n">
        <f aca="false">AJ5656*$M5656</f>
        <v>0</v>
      </c>
      <c r="AL5656" s="28"/>
      <c r="AM5656" s="28" t="n">
        <f aca="false">AL5656*$M5656</f>
        <v>0</v>
      </c>
      <c r="AN5656" s="28"/>
      <c r="AO5656" s="28" t="n">
        <f aca="false">AN5656*$M5656</f>
        <v>0</v>
      </c>
      <c r="AP5656" s="28"/>
      <c r="AQ5656" s="28" t="n">
        <f aca="false">AP5656*$M5656</f>
        <v>0</v>
      </c>
      <c r="AR5656" s="28"/>
      <c r="AS5656" s="28" t="n">
        <f aca="false">AR5656*$M5656</f>
        <v>0</v>
      </c>
      <c r="AT5656" s="28"/>
      <c r="AU5656" s="28" t="n">
        <f aca="false">AT5656*$M5656</f>
        <v>0</v>
      </c>
      <c r="AV5656" s="28"/>
      <c r="AW5656" s="28" t="n">
        <f aca="false">AV5656*$M5656</f>
        <v>0</v>
      </c>
      <c r="AX5656" s="28"/>
      <c r="AY5656" s="28" t="n">
        <f aca="false">AX5656*$M5656</f>
        <v>0</v>
      </c>
      <c r="AZ5656" s="30" t="n">
        <f aca="false">69730/100</f>
        <v>697.3</v>
      </c>
      <c r="BA5656" s="11" t="n">
        <v>69730</v>
      </c>
      <c r="BB5656" s="31" t="n">
        <f aca="false">SUM(Q5656,S5656,U5656,W5656,Y5656,AA5656,AC5656,AE5656,AG5656,AI5656,AK5656,AM5656,AO5656,AQ5656,AS5656,AU5656,AW5656,AY5656)</f>
        <v>69730</v>
      </c>
      <c r="BC5656" s="28" t="n">
        <f aca="false">BA5656-BB5656</f>
        <v>0</v>
      </c>
      <c r="BD5656" s="32" t="n">
        <f aca="false">SUM(P5656,R5656,T5656,V5656,X5656,Z5656,AB5656,AD5656,AF5656,AH5656,AJ5656,AL5656,AN5656,AP5656,AR5656,AT5656,AV5656,AX5656)</f>
        <v>697.3</v>
      </c>
      <c r="BE5656" s="33" t="n">
        <f aca="false">AZ5656-BD5656</f>
        <v>0</v>
      </c>
      <c r="BF5656" s="34" t="n">
        <f aca="false">BD5656*M5656</f>
        <v>69730</v>
      </c>
      <c r="BG5656" s="35" t="n">
        <f aca="false">BA5656-BF5656</f>
        <v>0</v>
      </c>
      <c r="BH5656" s="19" t="str">
        <f aca="false">IF(BG5656=0,"",IF(BG5656&lt;&gt;BA5656,"erreur de calcul",IF(BD5656&lt;&gt;0,"pas de prix",IF(M5656&lt;&gt; 0,"pas de quantité","pas de prix, ni de quantité"))))</f>
        <v/>
      </c>
      <c r="BI5656" s="19" t="s">
        <v>113</v>
      </c>
    </row>
    <row r="5657" customFormat="false" ht="15" hidden="false" customHeight="false" outlineLevel="0" collapsed="false">
      <c r="A5657" s="0" t="n">
        <v>39</v>
      </c>
      <c r="B5657" s="8" t="s">
        <v>24</v>
      </c>
      <c r="C5657" s="9" t="s">
        <v>25</v>
      </c>
      <c r="D5657" s="9" t="s">
        <v>26</v>
      </c>
      <c r="E5657" s="10" t="n">
        <v>1789</v>
      </c>
      <c r="F5657" s="9" t="s">
        <v>27</v>
      </c>
      <c r="G5657" s="9" t="s">
        <v>27</v>
      </c>
      <c r="H5657" s="11" t="n">
        <v>18</v>
      </c>
      <c r="I5657" s="11" t="s">
        <v>112</v>
      </c>
      <c r="J5657" s="14" t="n">
        <v>50</v>
      </c>
      <c r="K5657" s="14"/>
      <c r="L5657" s="16"/>
      <c r="M5657" s="27" t="n">
        <f aca="false">J5657+(K5657/20)+(L5657/240)</f>
        <v>50</v>
      </c>
      <c r="N5657" s="17" t="s">
        <v>64</v>
      </c>
      <c r="O5657" s="11"/>
      <c r="P5657" s="28"/>
      <c r="Q5657" s="28" t="n">
        <f aca="false">P5657*$M5657</f>
        <v>0</v>
      </c>
      <c r="R5657" s="28"/>
      <c r="S5657" s="28" t="n">
        <f aca="false">R5657*$M5657</f>
        <v>0</v>
      </c>
      <c r="T5657" s="28"/>
      <c r="U5657" s="28" t="n">
        <f aca="false">T5657*$M5657</f>
        <v>0</v>
      </c>
      <c r="V5657" s="28" t="n">
        <f aca="false">38043/100</f>
        <v>380.43</v>
      </c>
      <c r="W5657" s="28" t="n">
        <v>19021</v>
      </c>
      <c r="X5657" s="29" t="n">
        <f aca="false">10658/100</f>
        <v>106.58</v>
      </c>
      <c r="Y5657" s="28" t="n">
        <v>5329</v>
      </c>
      <c r="Z5657" s="28"/>
      <c r="AA5657" s="28" t="n">
        <f aca="false">Z5657*$M5657</f>
        <v>0</v>
      </c>
      <c r="AB5657" s="28"/>
      <c r="AC5657" s="28" t="n">
        <f aca="false">AB5657*$M5657</f>
        <v>0</v>
      </c>
      <c r="AD5657" s="28"/>
      <c r="AE5657" s="28" t="n">
        <f aca="false">AD5657*$M5657</f>
        <v>0</v>
      </c>
      <c r="AF5657" s="28"/>
      <c r="AG5657" s="28" t="n">
        <f aca="false">AF5657*$M5657</f>
        <v>0</v>
      </c>
      <c r="AH5657" s="28"/>
      <c r="AI5657" s="28" t="n">
        <f aca="false">AH5657*$M5657</f>
        <v>0</v>
      </c>
      <c r="AJ5657" s="28" t="n">
        <f aca="false">39321/100</f>
        <v>393.21</v>
      </c>
      <c r="AK5657" s="28" t="n">
        <v>19660</v>
      </c>
      <c r="AL5657" s="28"/>
      <c r="AM5657" s="28" t="n">
        <f aca="false">AL5657*$M5657</f>
        <v>0</v>
      </c>
      <c r="AN5657" s="28"/>
      <c r="AO5657" s="28" t="n">
        <f aca="false">AN5657*$M5657</f>
        <v>0</v>
      </c>
      <c r="AP5657" s="28"/>
      <c r="AQ5657" s="28" t="n">
        <f aca="false">AP5657*$M5657</f>
        <v>0</v>
      </c>
      <c r="AR5657" s="28"/>
      <c r="AS5657" s="28" t="n">
        <f aca="false">AR5657*$M5657</f>
        <v>0</v>
      </c>
      <c r="AT5657" s="28"/>
      <c r="AU5657" s="28" t="n">
        <f aca="false">AT5657*$M5657</f>
        <v>0</v>
      </c>
      <c r="AV5657" s="28"/>
      <c r="AW5657" s="28" t="n">
        <f aca="false">AV5657*$M5657</f>
        <v>0</v>
      </c>
      <c r="AX5657" s="28"/>
      <c r="AY5657" s="28" t="n">
        <f aca="false">AX5657*$M5657</f>
        <v>0</v>
      </c>
      <c r="AZ5657" s="30" t="n">
        <f aca="false">88022/100</f>
        <v>880.22</v>
      </c>
      <c r="BA5657" s="11" t="n">
        <v>44010</v>
      </c>
      <c r="BB5657" s="31" t="n">
        <f aca="false">SUM(Q5657,S5657,U5657,W5657,Y5657,AA5657,AC5657,AE5657,AG5657,AI5657,AK5657,AM5657,AO5657,AQ5657,AS5657,AU5657,AW5657,AY5657)</f>
        <v>44010</v>
      </c>
      <c r="BC5657" s="28" t="n">
        <f aca="false">BA5657-BB5657</f>
        <v>0</v>
      </c>
      <c r="BD5657" s="32" t="n">
        <f aca="false">SUM(P5657,R5657,T5657,V5657,X5657,Z5657,AB5657,AD5657,AF5657,AH5657,AJ5657,AL5657,AN5657,AP5657,AR5657,AT5657,AV5657,AX5657)</f>
        <v>880.22</v>
      </c>
      <c r="BE5657" s="33" t="n">
        <f aca="false">AZ5657-BD5657</f>
        <v>0</v>
      </c>
      <c r="BF5657" s="34" t="n">
        <f aca="false">BD5657*M5657</f>
        <v>44011</v>
      </c>
      <c r="BG5657" s="35" t="n">
        <f aca="false">BA5657-BF5657</f>
        <v>-1</v>
      </c>
      <c r="BH5657" s="19" t="str">
        <f aca="false">IF(BG5657=0,"",IF(BG5657&lt;&gt;BA5657,"erreur de calcul",IF(BD5657&lt;&gt;0,"pas de prix",IF(M5657&lt;&gt; 0,"pas de quantité","pas de prix, ni de quantité"))))</f>
        <v>erreur de calcul</v>
      </c>
      <c r="BI5657" s="19" t="s">
        <v>114</v>
      </c>
    </row>
    <row r="5658" customFormat="false" ht="15" hidden="false" customHeight="false" outlineLevel="0" collapsed="false">
      <c r="A5658" s="0" t="n">
        <v>40</v>
      </c>
      <c r="B5658" s="8" t="s">
        <v>24</v>
      </c>
      <c r="C5658" s="9" t="s">
        <v>25</v>
      </c>
      <c r="D5658" s="9" t="s">
        <v>26</v>
      </c>
      <c r="E5658" s="10" t="n">
        <v>1789</v>
      </c>
      <c r="F5658" s="9" t="s">
        <v>27</v>
      </c>
      <c r="G5658" s="9" t="s">
        <v>27</v>
      </c>
      <c r="H5658" s="11" t="n">
        <v>18</v>
      </c>
      <c r="I5658" s="11" t="s">
        <v>115</v>
      </c>
      <c r="J5658" s="14"/>
      <c r="K5658" s="14" t="n">
        <v>28</v>
      </c>
      <c r="L5658" s="16"/>
      <c r="M5658" s="27" t="n">
        <f aca="false">J5658+(K5658/20)+(L5658/240)</f>
        <v>1.4</v>
      </c>
      <c r="N5658" s="17" t="s">
        <v>66</v>
      </c>
      <c r="O5658" s="11" t="s">
        <v>98</v>
      </c>
      <c r="P5658" s="28"/>
      <c r="Q5658" s="28" t="n">
        <f aca="false">P5658*$M5658</f>
        <v>0</v>
      </c>
      <c r="R5658" s="28"/>
      <c r="S5658" s="28" t="n">
        <f aca="false">R5658*$M5658</f>
        <v>0</v>
      </c>
      <c r="T5658" s="28" t="n">
        <v>426</v>
      </c>
      <c r="U5658" s="28" t="n">
        <v>596</v>
      </c>
      <c r="V5658" s="28"/>
      <c r="W5658" s="28" t="n">
        <f aca="false">V5658*$M5658</f>
        <v>0</v>
      </c>
      <c r="X5658" s="29"/>
      <c r="Y5658" s="28" t="n">
        <f aca="false">X5658*$M5658</f>
        <v>0</v>
      </c>
      <c r="Z5658" s="28"/>
      <c r="AA5658" s="28" t="n">
        <f aca="false">Z5658*$M5658</f>
        <v>0</v>
      </c>
      <c r="AB5658" s="28"/>
      <c r="AC5658" s="28" t="n">
        <f aca="false">AB5658*$M5658</f>
        <v>0</v>
      </c>
      <c r="AD5658" s="28"/>
      <c r="AE5658" s="28" t="n">
        <f aca="false">AD5658*$M5658</f>
        <v>0</v>
      </c>
      <c r="AF5658" s="28"/>
      <c r="AG5658" s="28" t="n">
        <f aca="false">AF5658*$M5658</f>
        <v>0</v>
      </c>
      <c r="AH5658" s="28"/>
      <c r="AI5658" s="28" t="n">
        <f aca="false">AH5658*$M5658</f>
        <v>0</v>
      </c>
      <c r="AJ5658" s="28" t="n">
        <v>142</v>
      </c>
      <c r="AK5658" s="28" t="n">
        <v>199</v>
      </c>
      <c r="AL5658" s="28"/>
      <c r="AM5658" s="28" t="n">
        <f aca="false">AL5658*$M5658</f>
        <v>0</v>
      </c>
      <c r="AN5658" s="28"/>
      <c r="AO5658" s="28" t="n">
        <f aca="false">AN5658*$M5658</f>
        <v>0</v>
      </c>
      <c r="AP5658" s="28"/>
      <c r="AQ5658" s="28" t="n">
        <f aca="false">AP5658*$M5658</f>
        <v>0</v>
      </c>
      <c r="AR5658" s="28"/>
      <c r="AS5658" s="28" t="n">
        <f aca="false">AR5658*$M5658</f>
        <v>0</v>
      </c>
      <c r="AT5658" s="28"/>
      <c r="AU5658" s="28" t="n">
        <f aca="false">AT5658*$M5658</f>
        <v>0</v>
      </c>
      <c r="AV5658" s="28"/>
      <c r="AW5658" s="28" t="n">
        <f aca="false">AV5658*$M5658</f>
        <v>0</v>
      </c>
      <c r="AX5658" s="28"/>
      <c r="AY5658" s="28" t="n">
        <f aca="false">AX5658*$M5658</f>
        <v>0</v>
      </c>
      <c r="AZ5658" s="30" t="n">
        <v>568</v>
      </c>
      <c r="BA5658" s="11" t="n">
        <v>795</v>
      </c>
      <c r="BB5658" s="31" t="n">
        <f aca="false">SUM(Q5658,S5658,U5658,W5658,Y5658,AA5658,AC5658,AE5658,AG5658,AI5658,AK5658,AM5658,AO5658,AQ5658,AS5658,AU5658,AW5658,AY5658)</f>
        <v>795</v>
      </c>
      <c r="BC5658" s="28" t="n">
        <f aca="false">BA5658-BB5658</f>
        <v>0</v>
      </c>
      <c r="BD5658" s="32" t="n">
        <f aca="false">SUM(P5658,R5658,T5658,V5658,X5658,Z5658,AB5658,AD5658,AF5658,AH5658,AJ5658,AL5658,AN5658,AP5658,AR5658,AT5658,AV5658,AX5658)</f>
        <v>568</v>
      </c>
      <c r="BE5658" s="33" t="n">
        <f aca="false">AZ5658-BD5658</f>
        <v>0</v>
      </c>
      <c r="BF5658" s="34" t="n">
        <f aca="false">BD5658*M5658</f>
        <v>795.2</v>
      </c>
      <c r="BG5658" s="35" t="n">
        <f aca="false">BA5658-BF5658</f>
        <v>-0.199999999999932</v>
      </c>
      <c r="BH5658" s="19" t="str">
        <f aca="false">IF(BG5658=0,"",IF(BG5658&lt;&gt;BA5658,"erreur de calcul",IF(BD5658&lt;&gt;0,"pas de prix",IF(M5658&lt;&gt; 0,"pas de quantité","pas de prix, ni de quantité"))))</f>
        <v>erreur de calcul</v>
      </c>
      <c r="BI5658" s="19"/>
    </row>
    <row r="5659" customFormat="false" ht="15" hidden="false" customHeight="false" outlineLevel="0" collapsed="false">
      <c r="A5659" s="0" t="n">
        <v>41</v>
      </c>
      <c r="B5659" s="8" t="s">
        <v>24</v>
      </c>
      <c r="C5659" s="9" t="s">
        <v>25</v>
      </c>
      <c r="D5659" s="9" t="s">
        <v>26</v>
      </c>
      <c r="E5659" s="10" t="n">
        <v>1789</v>
      </c>
      <c r="F5659" s="9" t="s">
        <v>27</v>
      </c>
      <c r="G5659" s="9" t="s">
        <v>27</v>
      </c>
      <c r="H5659" s="11" t="n">
        <v>18</v>
      </c>
      <c r="I5659" s="11" t="s">
        <v>116</v>
      </c>
      <c r="J5659" s="14"/>
      <c r="K5659" s="14" t="n">
        <v>40</v>
      </c>
      <c r="L5659" s="16"/>
      <c r="M5659" s="27" t="n">
        <f aca="false">J5659+(K5659/20)+(L5659/240)</f>
        <v>2</v>
      </c>
      <c r="N5659" s="17" t="s">
        <v>66</v>
      </c>
      <c r="O5659" s="11"/>
      <c r="P5659" s="28"/>
      <c r="Q5659" s="28" t="n">
        <f aca="false">P5659*$M5659</f>
        <v>0</v>
      </c>
      <c r="R5659" s="28"/>
      <c r="S5659" s="28" t="n">
        <f aca="false">R5659*$M5659</f>
        <v>0</v>
      </c>
      <c r="T5659" s="28"/>
      <c r="U5659" s="28" t="n">
        <f aca="false">T5659*$M5659</f>
        <v>0</v>
      </c>
      <c r="V5659" s="28"/>
      <c r="W5659" s="28" t="n">
        <f aca="false">V5659*$M5659</f>
        <v>0</v>
      </c>
      <c r="X5659" s="29"/>
      <c r="Y5659" s="28" t="n">
        <f aca="false">X5659*$M5659</f>
        <v>0</v>
      </c>
      <c r="Z5659" s="28"/>
      <c r="AA5659" s="28" t="n">
        <f aca="false">Z5659*$M5659</f>
        <v>0</v>
      </c>
      <c r="AB5659" s="28"/>
      <c r="AC5659" s="28" t="n">
        <f aca="false">AB5659*$M5659</f>
        <v>0</v>
      </c>
      <c r="AD5659" s="28"/>
      <c r="AE5659" s="28" t="n">
        <f aca="false">AD5659*$M5659</f>
        <v>0</v>
      </c>
      <c r="AF5659" s="28"/>
      <c r="AG5659" s="28" t="n">
        <f aca="false">AF5659*$M5659</f>
        <v>0</v>
      </c>
      <c r="AH5659" s="28" t="n">
        <v>232710</v>
      </c>
      <c r="AI5659" s="28" t="n">
        <v>465420</v>
      </c>
      <c r="AJ5659" s="28"/>
      <c r="AK5659" s="28" t="n">
        <f aca="false">AJ5659*$M5659</f>
        <v>0</v>
      </c>
      <c r="AL5659" s="28"/>
      <c r="AM5659" s="28" t="n">
        <f aca="false">AL5659*$M5659</f>
        <v>0</v>
      </c>
      <c r="AN5659" s="28"/>
      <c r="AO5659" s="28" t="n">
        <f aca="false">AN5659*$M5659</f>
        <v>0</v>
      </c>
      <c r="AP5659" s="28"/>
      <c r="AQ5659" s="28" t="n">
        <f aca="false">AP5659*$M5659</f>
        <v>0</v>
      </c>
      <c r="AR5659" s="28"/>
      <c r="AS5659" s="28" t="n">
        <f aca="false">AR5659*$M5659</f>
        <v>0</v>
      </c>
      <c r="AT5659" s="28"/>
      <c r="AU5659" s="28" t="n">
        <f aca="false">AT5659*$M5659</f>
        <v>0</v>
      </c>
      <c r="AV5659" s="28"/>
      <c r="AW5659" s="28" t="n">
        <f aca="false">AV5659*$M5659</f>
        <v>0</v>
      </c>
      <c r="AX5659" s="28"/>
      <c r="AY5659" s="28" t="n">
        <f aca="false">AX5659*$M5659</f>
        <v>0</v>
      </c>
      <c r="AZ5659" s="30" t="n">
        <v>232710</v>
      </c>
      <c r="BA5659" s="11" t="n">
        <v>465420</v>
      </c>
      <c r="BB5659" s="31" t="n">
        <f aca="false">SUM(Q5659,S5659,U5659,W5659,Y5659,AA5659,AC5659,AE5659,AG5659,AI5659,AK5659,AM5659,AO5659,AQ5659,AS5659,AU5659,AW5659,AY5659)</f>
        <v>465420</v>
      </c>
      <c r="BC5659" s="28" t="n">
        <f aca="false">BA5659-BB5659</f>
        <v>0</v>
      </c>
      <c r="BD5659" s="32" t="n">
        <f aca="false">SUM(P5659,R5659,T5659,V5659,X5659,Z5659,AB5659,AD5659,AF5659,AH5659,AJ5659,AL5659,AN5659,AP5659,AR5659,AT5659,AV5659,AX5659)</f>
        <v>232710</v>
      </c>
      <c r="BE5659" s="33" t="n">
        <f aca="false">AZ5659-BD5659</f>
        <v>0</v>
      </c>
      <c r="BF5659" s="34" t="n">
        <f aca="false">BD5659*M5659</f>
        <v>465420</v>
      </c>
      <c r="BG5659" s="35" t="n">
        <f aca="false">BA5659-BF5659</f>
        <v>0</v>
      </c>
      <c r="BH5659" s="19" t="str">
        <f aca="false">IF(BG5659=0,"",IF(BG5659&lt;&gt;BA5659,"erreur de calcul",IF(BD5659&lt;&gt;0,"pas de prix",IF(M5659&lt;&gt; 0,"pas de quantité","pas de prix, ni de quantité"))))</f>
        <v/>
      </c>
      <c r="BI5659" s="19"/>
    </row>
    <row r="5660" customFormat="false" ht="15" hidden="false" customHeight="false" outlineLevel="0" collapsed="false">
      <c r="A5660" s="0" t="n">
        <v>1</v>
      </c>
      <c r="B5660" s="8" t="s">
        <v>24</v>
      </c>
      <c r="C5660" s="9" t="s">
        <v>25</v>
      </c>
      <c r="D5660" s="9" t="s">
        <v>26</v>
      </c>
      <c r="E5660" s="10" t="n">
        <v>1789</v>
      </c>
      <c r="F5660" s="9" t="s">
        <v>27</v>
      </c>
      <c r="G5660" s="9" t="s">
        <v>27</v>
      </c>
      <c r="H5660" s="11" t="n">
        <v>20</v>
      </c>
      <c r="I5660" s="11" t="s">
        <v>117</v>
      </c>
      <c r="J5660" s="14" t="n">
        <v>10</v>
      </c>
      <c r="K5660" s="14"/>
      <c r="L5660" s="16"/>
      <c r="M5660" s="27" t="n">
        <f aca="false">J5660+(K5660/20)+(L5660/240)</f>
        <v>10</v>
      </c>
      <c r="N5660" s="17" t="s">
        <v>64</v>
      </c>
      <c r="O5660" s="11"/>
      <c r="P5660" s="28" t="n">
        <f aca="false">2120/100</f>
        <v>21.2</v>
      </c>
      <c r="Q5660" s="28" t="n">
        <v>212</v>
      </c>
      <c r="R5660" s="28"/>
      <c r="S5660" s="28" t="n">
        <f aca="false">R5660*$M5660</f>
        <v>0</v>
      </c>
      <c r="T5660" s="28" t="n">
        <f aca="false">4184/100</f>
        <v>41.84</v>
      </c>
      <c r="U5660" s="28" t="n">
        <v>418</v>
      </c>
      <c r="V5660" s="28"/>
      <c r="W5660" s="28" t="n">
        <f aca="false">V5660*$M5660</f>
        <v>0</v>
      </c>
      <c r="X5660" s="28"/>
      <c r="Y5660" s="28" t="n">
        <f aca="false">X5660*$M5660</f>
        <v>0</v>
      </c>
      <c r="Z5660" s="28" t="n">
        <f aca="false">4467/100</f>
        <v>44.67</v>
      </c>
      <c r="AA5660" s="28" t="n">
        <v>447</v>
      </c>
      <c r="AB5660" s="28"/>
      <c r="AC5660" s="28" t="n">
        <f aca="false">AB5660*$M5660</f>
        <v>0</v>
      </c>
      <c r="AD5660" s="28"/>
      <c r="AE5660" s="28" t="n">
        <f aca="false">AD5660*$M5660</f>
        <v>0</v>
      </c>
      <c r="AF5660" s="28"/>
      <c r="AG5660" s="28" t="n">
        <f aca="false">AF5660*$M5660</f>
        <v>0</v>
      </c>
      <c r="AH5660" s="28" t="n">
        <f aca="false">37604/100</f>
        <v>376.04</v>
      </c>
      <c r="AI5660" s="28" t="n">
        <v>3760</v>
      </c>
      <c r="AJ5660" s="28"/>
      <c r="AK5660" s="28" t="n">
        <f aca="false">AJ5660*$M5660</f>
        <v>0</v>
      </c>
      <c r="AL5660" s="28"/>
      <c r="AM5660" s="28" t="n">
        <f aca="false">AL5660*$M5660</f>
        <v>0</v>
      </c>
      <c r="AN5660" s="28"/>
      <c r="AO5660" s="28" t="n">
        <f aca="false">AN5660*$M5660</f>
        <v>0</v>
      </c>
      <c r="AP5660" s="28"/>
      <c r="AQ5660" s="28" t="n">
        <f aca="false">AP5660*$M5660</f>
        <v>0</v>
      </c>
      <c r="AR5660" s="28"/>
      <c r="AS5660" s="28" t="n">
        <f aca="false">AR5660*$M5660</f>
        <v>0</v>
      </c>
      <c r="AT5660" s="28"/>
      <c r="AU5660" s="28" t="n">
        <f aca="false">AT5660*$M5660</f>
        <v>0</v>
      </c>
      <c r="AV5660" s="28"/>
      <c r="AW5660" s="28" t="n">
        <f aca="false">AV5660*$M5660</f>
        <v>0</v>
      </c>
      <c r="AX5660" s="28"/>
      <c r="AY5660" s="28" t="n">
        <f aca="false">AX5660*$M5660</f>
        <v>0</v>
      </c>
      <c r="AZ5660" s="30" t="n">
        <f aca="false">46255/100</f>
        <v>462.55</v>
      </c>
      <c r="BA5660" s="11" t="n">
        <v>4837</v>
      </c>
      <c r="BB5660" s="31" t="n">
        <f aca="false">SUM(Q5660,S5660,U5660,W5660,Y5660,AA5660,AC5660,AE5660,AG5660,AI5660,AK5660,AM5660,AO5660,AQ5660,AS5660,AU5660,AW5660,AY5660)</f>
        <v>4837</v>
      </c>
      <c r="BC5660" s="28" t="n">
        <f aca="false">BA5660-BB5660</f>
        <v>0</v>
      </c>
      <c r="BD5660" s="32" t="n">
        <f aca="false">SUM(P5660,R5660,T5660,V5660,X5660,Z5660,AB5660,AD5660,AF5660,AH5660,AJ5660,AL5660,AN5660,AP5660,AR5660,AT5660,AV5660,AX5660)</f>
        <v>483.75</v>
      </c>
      <c r="BE5660" s="33" t="n">
        <f aca="false">AZ5660-BD5660</f>
        <v>-21.2</v>
      </c>
      <c r="BF5660" s="34" t="n">
        <f aca="false">BD5660*M5660</f>
        <v>4837.5</v>
      </c>
      <c r="BG5660" s="35" t="n">
        <f aca="false">BA5660-BF5660</f>
        <v>-0.50000000000091</v>
      </c>
      <c r="BH5660" s="19" t="str">
        <f aca="false">IF(BG5660=0,"",IF(BG5660&lt;&gt;BA5660,"erreur de calcul",IF(BD5660&lt;&gt;0,"pas de prix",IF(M5660&lt;&gt; 0,"pas de quantité","pas de prix, ni de quantité"))))</f>
        <v>erreur de calcul</v>
      </c>
      <c r="BI5660" s="19"/>
    </row>
    <row r="5661" customFormat="false" ht="15" hidden="false" customHeight="false" outlineLevel="0" collapsed="false">
      <c r="A5661" s="0" t="n">
        <v>2</v>
      </c>
      <c r="B5661" s="8" t="s">
        <v>24</v>
      </c>
      <c r="C5661" s="9" t="s">
        <v>25</v>
      </c>
      <c r="D5661" s="9" t="s">
        <v>26</v>
      </c>
      <c r="E5661" s="10" t="n">
        <v>1789</v>
      </c>
      <c r="F5661" s="9" t="s">
        <v>27</v>
      </c>
      <c r="G5661" s="9" t="s">
        <v>27</v>
      </c>
      <c r="H5661" s="11" t="n">
        <v>20</v>
      </c>
      <c r="I5661" s="11" t="s">
        <v>118</v>
      </c>
      <c r="J5661" s="14" t="n">
        <v>10</v>
      </c>
      <c r="K5661" s="14"/>
      <c r="L5661" s="16"/>
      <c r="M5661" s="27" t="n">
        <f aca="false">J5661+(K5661/20)+(L5661/240)</f>
        <v>10</v>
      </c>
      <c r="N5661" s="17" t="s">
        <v>64</v>
      </c>
      <c r="O5661" s="11"/>
      <c r="P5661" s="28" t="n">
        <f aca="false">6450193/100</f>
        <v>64501.93</v>
      </c>
      <c r="Q5661" s="28" t="n">
        <v>645019</v>
      </c>
      <c r="R5661" s="28"/>
      <c r="S5661" s="28" t="n">
        <f aca="false">R5661*$M5661</f>
        <v>0</v>
      </c>
      <c r="T5661" s="28"/>
      <c r="U5661" s="28" t="n">
        <f aca="false">T5661*$M5661</f>
        <v>0</v>
      </c>
      <c r="V5661" s="28"/>
      <c r="W5661" s="28" t="n">
        <f aca="false">V5661*$M5661</f>
        <v>0</v>
      </c>
      <c r="X5661" s="28"/>
      <c r="Y5661" s="28" t="n">
        <f aca="false">X5661*$M5661</f>
        <v>0</v>
      </c>
      <c r="Z5661" s="28"/>
      <c r="AA5661" s="28" t="n">
        <f aca="false">Z5661*$M5661</f>
        <v>0</v>
      </c>
      <c r="AB5661" s="28" t="n">
        <f aca="false">601547/100</f>
        <v>6015.47</v>
      </c>
      <c r="AC5661" s="28" t="n">
        <v>60155</v>
      </c>
      <c r="AD5661" s="28"/>
      <c r="AE5661" s="28" t="n">
        <f aca="false">AD5661*$M5661</f>
        <v>0</v>
      </c>
      <c r="AF5661" s="28" t="n">
        <f aca="false">727551/100</f>
        <v>7275.51</v>
      </c>
      <c r="AG5661" s="28" t="n">
        <v>72755</v>
      </c>
      <c r="AH5661" s="28" t="n">
        <f aca="false">52982/100</f>
        <v>529.82</v>
      </c>
      <c r="AI5661" s="28" t="n">
        <v>5299</v>
      </c>
      <c r="AJ5661" s="28"/>
      <c r="AK5661" s="28" t="n">
        <f aca="false">AJ5661*$M5661</f>
        <v>0</v>
      </c>
      <c r="AL5661" s="28"/>
      <c r="AM5661" s="28" t="n">
        <f aca="false">AL5661*$M5661</f>
        <v>0</v>
      </c>
      <c r="AN5661" s="28"/>
      <c r="AO5661" s="28" t="n">
        <f aca="false">AN5661*$M5661</f>
        <v>0</v>
      </c>
      <c r="AP5661" s="28"/>
      <c r="AQ5661" s="28" t="n">
        <f aca="false">AP5661*$M5661</f>
        <v>0</v>
      </c>
      <c r="AR5661" s="28"/>
      <c r="AS5661" s="28" t="n">
        <f aca="false">AR5661*$M5661</f>
        <v>0</v>
      </c>
      <c r="AT5661" s="28"/>
      <c r="AU5661" s="28" t="n">
        <f aca="false">AT5661*$M5661</f>
        <v>0</v>
      </c>
      <c r="AV5661" s="28"/>
      <c r="AW5661" s="28" t="n">
        <f aca="false">AV5661*$M5661</f>
        <v>0</v>
      </c>
      <c r="AX5661" s="28"/>
      <c r="AY5661" s="28" t="n">
        <f aca="false">AX5661*$M5661</f>
        <v>0</v>
      </c>
      <c r="AZ5661" s="30" t="n">
        <f aca="false">7832273/100</f>
        <v>78322.73</v>
      </c>
      <c r="BA5661" s="11" t="n">
        <v>783228</v>
      </c>
      <c r="BB5661" s="31" t="n">
        <f aca="false">SUM(Q5661,S5661,U5661,W5661,Y5661,AA5661,AC5661,AE5661,AG5661,AI5661,AK5661,AM5661,AO5661,AQ5661,AS5661,AU5661,AW5661,AY5661)</f>
        <v>783228</v>
      </c>
      <c r="BC5661" s="28" t="n">
        <f aca="false">BA5661-BB5661</f>
        <v>0</v>
      </c>
      <c r="BD5661" s="32" t="n">
        <f aca="false">SUM(P5661,R5661,T5661,V5661,X5661,Z5661,AB5661,AD5661,AF5661,AH5661,AJ5661,AL5661,AN5661,AP5661,AR5661,AT5661,AV5661,AX5661)</f>
        <v>78322.73</v>
      </c>
      <c r="BE5661" s="33" t="n">
        <f aca="false">AZ5661-BD5661</f>
        <v>0</v>
      </c>
      <c r="BF5661" s="34" t="n">
        <f aca="false">BD5661*M5661</f>
        <v>783227.3</v>
      </c>
      <c r="BG5661" s="35" t="n">
        <f aca="false">BA5661-BF5661</f>
        <v>0.700000000069849</v>
      </c>
      <c r="BH5661" s="19" t="str">
        <f aca="false">IF(BG5661=0,"",IF(BG5661&lt;&gt;BA5661,"erreur de calcul",IF(BD5661&lt;&gt;0,"pas de prix",IF(M5661&lt;&gt; 0,"pas de quantité","pas de prix, ni de quantité"))))</f>
        <v>erreur de calcul</v>
      </c>
      <c r="BI5661" s="19"/>
    </row>
    <row r="5662" customFormat="false" ht="15" hidden="false" customHeight="false" outlineLevel="0" collapsed="false">
      <c r="A5662" s="0" t="n">
        <v>3</v>
      </c>
      <c r="B5662" s="8" t="s">
        <v>24</v>
      </c>
      <c r="C5662" s="9" t="s">
        <v>25</v>
      </c>
      <c r="D5662" s="9" t="s">
        <v>26</v>
      </c>
      <c r="E5662" s="10" t="n">
        <v>1789</v>
      </c>
      <c r="F5662" s="9" t="s">
        <v>27</v>
      </c>
      <c r="G5662" s="9" t="s">
        <v>27</v>
      </c>
      <c r="H5662" s="11" t="n">
        <v>20</v>
      </c>
      <c r="I5662" s="11" t="s">
        <v>119</v>
      </c>
      <c r="J5662" s="14" t="n">
        <v>10</v>
      </c>
      <c r="K5662" s="14"/>
      <c r="L5662" s="16"/>
      <c r="M5662" s="27" t="n">
        <f aca="false">J5662+(K5662/20)+(L5662/240)</f>
        <v>10</v>
      </c>
      <c r="N5662" s="17" t="s">
        <v>64</v>
      </c>
      <c r="O5662" s="11"/>
      <c r="P5662" s="28" t="n">
        <f aca="false">2617064/100</f>
        <v>26170.64</v>
      </c>
      <c r="Q5662" s="28" t="n">
        <v>261706</v>
      </c>
      <c r="R5662" s="28"/>
      <c r="S5662" s="28" t="n">
        <f aca="false">R5662*$M5662</f>
        <v>0</v>
      </c>
      <c r="T5662" s="28" t="n">
        <f aca="false">251959/100</f>
        <v>2519.59</v>
      </c>
      <c r="U5662" s="28" t="n">
        <v>25196</v>
      </c>
      <c r="V5662" s="28"/>
      <c r="W5662" s="28" t="n">
        <f aca="false">V5662*$M5662</f>
        <v>0</v>
      </c>
      <c r="X5662" s="28"/>
      <c r="Y5662" s="28" t="n">
        <f aca="false">X5662*$M5662</f>
        <v>0</v>
      </c>
      <c r="Z5662" s="28"/>
      <c r="AA5662" s="28" t="n">
        <f aca="false">Z5662*$M5662</f>
        <v>0</v>
      </c>
      <c r="AB5662" s="28"/>
      <c r="AC5662" s="28" t="n">
        <f aca="false">AB5662*$M5662</f>
        <v>0</v>
      </c>
      <c r="AD5662" s="28"/>
      <c r="AE5662" s="28" t="n">
        <f aca="false">AD5662*$M5662</f>
        <v>0</v>
      </c>
      <c r="AF5662" s="28"/>
      <c r="AG5662" s="28" t="n">
        <f aca="false">AF5662*$M5662</f>
        <v>0</v>
      </c>
      <c r="AH5662" s="28"/>
      <c r="AI5662" s="28" t="n">
        <f aca="false">AH5662*$M5662</f>
        <v>0</v>
      </c>
      <c r="AJ5662" s="28"/>
      <c r="AK5662" s="28" t="n">
        <f aca="false">AJ5662*$M5662</f>
        <v>0</v>
      </c>
      <c r="AL5662" s="28"/>
      <c r="AM5662" s="28" t="n">
        <f aca="false">AL5662*$M5662</f>
        <v>0</v>
      </c>
      <c r="AN5662" s="28"/>
      <c r="AO5662" s="28" t="n">
        <f aca="false">AN5662*$M5662</f>
        <v>0</v>
      </c>
      <c r="AP5662" s="28"/>
      <c r="AQ5662" s="28" t="n">
        <f aca="false">AP5662*$M5662</f>
        <v>0</v>
      </c>
      <c r="AR5662" s="28"/>
      <c r="AS5662" s="28" t="n">
        <f aca="false">AR5662*$M5662</f>
        <v>0</v>
      </c>
      <c r="AT5662" s="28"/>
      <c r="AU5662" s="28" t="n">
        <f aca="false">AT5662*$M5662</f>
        <v>0</v>
      </c>
      <c r="AV5662" s="28"/>
      <c r="AW5662" s="28" t="n">
        <f aca="false">AV5662*$M5662</f>
        <v>0</v>
      </c>
      <c r="AX5662" s="28"/>
      <c r="AY5662" s="28" t="n">
        <f aca="false">AX5662*$M5662</f>
        <v>0</v>
      </c>
      <c r="AZ5662" s="30" t="n">
        <f aca="false">2869023/100</f>
        <v>28690.23</v>
      </c>
      <c r="BA5662" s="11" t="n">
        <v>286902</v>
      </c>
      <c r="BB5662" s="31" t="n">
        <f aca="false">SUM(Q5662,S5662,U5662,W5662,Y5662,AA5662,AC5662,AE5662,AG5662,AI5662,AK5662,AM5662,AO5662,AQ5662,AS5662,AU5662,AW5662,AY5662)</f>
        <v>286902</v>
      </c>
      <c r="BC5662" s="28" t="n">
        <f aca="false">BA5662-BB5662</f>
        <v>0</v>
      </c>
      <c r="BD5662" s="32" t="n">
        <f aca="false">SUM(P5662,R5662,T5662,V5662,X5662,Z5662,AB5662,AD5662,AF5662,AH5662,AJ5662,AL5662,AN5662,AP5662,AR5662,AT5662,AV5662,AX5662)</f>
        <v>28690.23</v>
      </c>
      <c r="BE5662" s="33" t="n">
        <f aca="false">AZ5662-BD5662</f>
        <v>0</v>
      </c>
      <c r="BF5662" s="34" t="n">
        <f aca="false">BD5662*M5662</f>
        <v>286902.3</v>
      </c>
      <c r="BG5662" s="35" t="n">
        <f aca="false">BA5662-BF5662</f>
        <v>-0.299999999988358</v>
      </c>
      <c r="BH5662" s="19" t="str">
        <f aca="false">IF(BG5662=0,"",IF(BG5662&lt;&gt;BA5662,"erreur de calcul",IF(BD5662&lt;&gt;0,"pas de prix",IF(M5662&lt;&gt; 0,"pas de quantité","pas de prix, ni de quantité"))))</f>
        <v>erreur de calcul</v>
      </c>
      <c r="BI5662" s="19"/>
    </row>
    <row r="5663" customFormat="false" ht="16.65" hidden="false" customHeight="false" outlineLevel="0" collapsed="false">
      <c r="A5663" s="0" t="n">
        <v>4</v>
      </c>
      <c r="B5663" s="8" t="s">
        <v>24</v>
      </c>
      <c r="C5663" s="9" t="s">
        <v>25</v>
      </c>
      <c r="D5663" s="9" t="s">
        <v>26</v>
      </c>
      <c r="E5663" s="10" t="n">
        <v>1789</v>
      </c>
      <c r="F5663" s="9" t="s">
        <v>27</v>
      </c>
      <c r="G5663" s="9" t="s">
        <v>27</v>
      </c>
      <c r="H5663" s="11" t="n">
        <v>20</v>
      </c>
      <c r="I5663" s="11" t="s">
        <v>120</v>
      </c>
      <c r="J5663" s="14" t="n">
        <v>12</v>
      </c>
      <c r="K5663" s="14"/>
      <c r="L5663" s="16"/>
      <c r="M5663" s="27" t="n">
        <f aca="false">J5663+(K5663/20)+(L5663/240)</f>
        <v>12</v>
      </c>
      <c r="N5663" s="17" t="s">
        <v>64</v>
      </c>
      <c r="O5663" s="11" t="s">
        <v>77</v>
      </c>
      <c r="P5663" s="28"/>
      <c r="Q5663" s="28" t="n">
        <f aca="false">P5663*$M5663</f>
        <v>0</v>
      </c>
      <c r="R5663" s="28"/>
      <c r="S5663" s="28" t="n">
        <f aca="false">R5663*$M5663</f>
        <v>0</v>
      </c>
      <c r="T5663" s="28"/>
      <c r="U5663" s="28" t="n">
        <f aca="false">T5663*$M5663</f>
        <v>0</v>
      </c>
      <c r="V5663" s="28" t="n">
        <f aca="false">15268/100</f>
        <v>152.68</v>
      </c>
      <c r="W5663" s="28" t="n">
        <v>1832</v>
      </c>
      <c r="X5663" s="28"/>
      <c r="Y5663" s="28" t="n">
        <f aca="false">X5663*$M5663</f>
        <v>0</v>
      </c>
      <c r="Z5663" s="28"/>
      <c r="AA5663" s="28" t="n">
        <f aca="false">Z5663*$M5663</f>
        <v>0</v>
      </c>
      <c r="AB5663" s="28"/>
      <c r="AC5663" s="28" t="n">
        <f aca="false">AB5663*$M5663</f>
        <v>0</v>
      </c>
      <c r="AD5663" s="28"/>
      <c r="AE5663" s="28" t="n">
        <f aca="false">AD5663*$M5663</f>
        <v>0</v>
      </c>
      <c r="AF5663" s="28"/>
      <c r="AG5663" s="28" t="n">
        <f aca="false">AF5663*$M5663</f>
        <v>0</v>
      </c>
      <c r="AH5663" s="28" t="n">
        <f aca="false">26667/100</f>
        <v>266.67</v>
      </c>
      <c r="AI5663" s="28" t="n">
        <v>3200</v>
      </c>
      <c r="AJ5663" s="28"/>
      <c r="AK5663" s="28" t="n">
        <f aca="false">AJ5663*$M5663</f>
        <v>0</v>
      </c>
      <c r="AL5663" s="28"/>
      <c r="AM5663" s="28" t="n">
        <f aca="false">AL5663*$M5663</f>
        <v>0</v>
      </c>
      <c r="AN5663" s="28"/>
      <c r="AO5663" s="28" t="n">
        <f aca="false">AN5663*$M5663</f>
        <v>0</v>
      </c>
      <c r="AP5663" s="28"/>
      <c r="AQ5663" s="28" t="n">
        <f aca="false">AP5663*$M5663</f>
        <v>0</v>
      </c>
      <c r="AR5663" s="28"/>
      <c r="AS5663" s="28" t="n">
        <f aca="false">AR5663*$M5663</f>
        <v>0</v>
      </c>
      <c r="AT5663" s="28"/>
      <c r="AU5663" s="28" t="n">
        <f aca="false">AT5663*$M5663</f>
        <v>0</v>
      </c>
      <c r="AV5663" s="28"/>
      <c r="AW5663" s="28" t="n">
        <f aca="false">AV5663*$M5663</f>
        <v>0</v>
      </c>
      <c r="AX5663" s="28"/>
      <c r="AY5663" s="28" t="n">
        <f aca="false">AX5663*$M5663</f>
        <v>0</v>
      </c>
      <c r="AZ5663" s="30" t="n">
        <f aca="false">41935/100</f>
        <v>419.35</v>
      </c>
      <c r="BA5663" s="11" t="n">
        <v>5032</v>
      </c>
      <c r="BB5663" s="31" t="n">
        <f aca="false">SUM(Q5663,S5663,U5663,W5663,Y5663,AA5663,AC5663,AE5663,AG5663,AI5663,AK5663,AM5663,AO5663,AQ5663,AS5663,AU5663,AW5663,AY5663)</f>
        <v>5032</v>
      </c>
      <c r="BC5663" s="28" t="n">
        <f aca="false">BA5663-BB5663</f>
        <v>0</v>
      </c>
      <c r="BD5663" s="32" t="n">
        <f aca="false">SUM(P5663,R5663,T5663,V5663,X5663,Z5663,AB5663,AD5663,AF5663,AH5663,AJ5663,AL5663,AN5663,AP5663,AR5663,AT5663,AV5663,AX5663)</f>
        <v>419.35</v>
      </c>
      <c r="BE5663" s="33" t="n">
        <f aca="false">AZ5663-BD5663</f>
        <v>0</v>
      </c>
      <c r="BF5663" s="34" t="n">
        <f aca="false">BD5663*M5663</f>
        <v>5032.2</v>
      </c>
      <c r="BG5663" s="35" t="n">
        <f aca="false">BA5663-BF5663</f>
        <v>-0.200000000000728</v>
      </c>
      <c r="BH5663" s="19" t="str">
        <f aca="false">IF(BG5663=0,"",IF(BG5663&lt;&gt;BA5663,"erreur de calcul",IF(BD5663&lt;&gt;0,"pas de prix",IF(M5663&lt;&gt; 0,"pas de quantité","pas de prix, ni de quantité"))))</f>
        <v>erreur de calcul</v>
      </c>
      <c r="BI5663" s="19"/>
    </row>
    <row r="5664" customFormat="false" ht="15" hidden="false" customHeight="false" outlineLevel="0" collapsed="false">
      <c r="A5664" s="0" t="n">
        <v>5</v>
      </c>
      <c r="B5664" s="8" t="s">
        <v>24</v>
      </c>
      <c r="C5664" s="9" t="s">
        <v>25</v>
      </c>
      <c r="D5664" s="9" t="s">
        <v>26</v>
      </c>
      <c r="E5664" s="10" t="n">
        <v>1789</v>
      </c>
      <c r="F5664" s="9" t="s">
        <v>27</v>
      </c>
      <c r="G5664" s="9" t="s">
        <v>27</v>
      </c>
      <c r="H5664" s="11" t="n">
        <v>20</v>
      </c>
      <c r="I5664" s="11" t="s">
        <v>121</v>
      </c>
      <c r="J5664" s="14" t="n">
        <v>28</v>
      </c>
      <c r="K5664" s="14"/>
      <c r="L5664" s="16"/>
      <c r="M5664" s="27" t="n">
        <f aca="false">J5664+(K5664/20)+(L5664/240)</f>
        <v>28</v>
      </c>
      <c r="N5664" s="17" t="s">
        <v>64</v>
      </c>
      <c r="O5664" s="11"/>
      <c r="P5664" s="28"/>
      <c r="Q5664" s="28" t="n">
        <f aca="false">P5664*$M5664</f>
        <v>0</v>
      </c>
      <c r="R5664" s="28"/>
      <c r="S5664" s="28" t="n">
        <f aca="false">R5664*$M5664</f>
        <v>0</v>
      </c>
      <c r="T5664" s="28"/>
      <c r="U5664" s="28" t="n">
        <f aca="false">T5664*$M5664</f>
        <v>0</v>
      </c>
      <c r="V5664" s="28"/>
      <c r="W5664" s="28" t="n">
        <f aca="false">V5664*$M5664</f>
        <v>0</v>
      </c>
      <c r="X5664" s="28" t="n">
        <f aca="false">187504/100</f>
        <v>1875.04</v>
      </c>
      <c r="Y5664" s="28" t="n">
        <v>52501</v>
      </c>
      <c r="Z5664" s="28" t="n">
        <f aca="false">1041667/100</f>
        <v>10416.67</v>
      </c>
      <c r="AA5664" s="28" t="n">
        <v>291667</v>
      </c>
      <c r="AB5664" s="28"/>
      <c r="AC5664" s="28" t="n">
        <f aca="false">AB5664*$M5664</f>
        <v>0</v>
      </c>
      <c r="AD5664" s="28"/>
      <c r="AE5664" s="28" t="n">
        <f aca="false">AD5664*$M5664</f>
        <v>0</v>
      </c>
      <c r="AF5664" s="28"/>
      <c r="AG5664" s="28" t="n">
        <f aca="false">AF5664*$M5664</f>
        <v>0</v>
      </c>
      <c r="AH5664" s="28"/>
      <c r="AI5664" s="28" t="n">
        <f aca="false">AH5664*$M5664</f>
        <v>0</v>
      </c>
      <c r="AJ5664" s="28"/>
      <c r="AK5664" s="28" t="n">
        <f aca="false">AJ5664*$M5664</f>
        <v>0</v>
      </c>
      <c r="AL5664" s="28"/>
      <c r="AM5664" s="28" t="n">
        <f aca="false">AL5664*$M5664</f>
        <v>0</v>
      </c>
      <c r="AN5664" s="28"/>
      <c r="AO5664" s="28" t="n">
        <f aca="false">AN5664*$M5664</f>
        <v>0</v>
      </c>
      <c r="AP5664" s="28"/>
      <c r="AQ5664" s="28" t="n">
        <f aca="false">AP5664*$M5664</f>
        <v>0</v>
      </c>
      <c r="AR5664" s="28"/>
      <c r="AS5664" s="28" t="n">
        <f aca="false">AR5664*$M5664</f>
        <v>0</v>
      </c>
      <c r="AT5664" s="28"/>
      <c r="AU5664" s="28" t="n">
        <f aca="false">AT5664*$M5664</f>
        <v>0</v>
      </c>
      <c r="AV5664" s="28"/>
      <c r="AW5664" s="28" t="n">
        <f aca="false">AV5664*$M5664</f>
        <v>0</v>
      </c>
      <c r="AX5664" s="28"/>
      <c r="AY5664" s="28" t="n">
        <f aca="false">AX5664*$M5664</f>
        <v>0</v>
      </c>
      <c r="AZ5664" s="30" t="n">
        <f aca="false">1229171/100</f>
        <v>12291.71</v>
      </c>
      <c r="BA5664" s="11" t="n">
        <v>344168</v>
      </c>
      <c r="BB5664" s="31" t="n">
        <f aca="false">SUM(Q5664,S5664,U5664,W5664,Y5664,AA5664,AC5664,AE5664,AG5664,AI5664,AK5664,AM5664,AO5664,AQ5664,AS5664,AU5664,AW5664,AY5664)</f>
        <v>344168</v>
      </c>
      <c r="BC5664" s="28" t="n">
        <f aca="false">BA5664-BB5664</f>
        <v>0</v>
      </c>
      <c r="BD5664" s="32" t="n">
        <f aca="false">SUM(P5664,R5664,T5664,V5664,X5664,Z5664,AB5664,AD5664,AF5664,AH5664,AJ5664,AL5664,AN5664,AP5664,AR5664,AT5664,AV5664,AX5664)</f>
        <v>12291.71</v>
      </c>
      <c r="BE5664" s="33" t="n">
        <f aca="false">AZ5664-BD5664</f>
        <v>0</v>
      </c>
      <c r="BF5664" s="34" t="n">
        <f aca="false">BD5664*M5664</f>
        <v>344167.88</v>
      </c>
      <c r="BG5664" s="35" t="n">
        <f aca="false">BA5664-BF5664</f>
        <v>0.119999999995343</v>
      </c>
      <c r="BH5664" s="19" t="str">
        <f aca="false">IF(BG5664=0,"",IF(BG5664&lt;&gt;BA5664,"erreur de calcul",IF(BD5664&lt;&gt;0,"pas de prix",IF(M5664&lt;&gt; 0,"pas de quantité","pas de prix, ni de quantité"))))</f>
        <v>erreur de calcul</v>
      </c>
      <c r="BI5664" s="19"/>
    </row>
    <row r="5665" customFormat="false" ht="15" hidden="false" customHeight="false" outlineLevel="0" collapsed="false">
      <c r="A5665" s="0" t="n">
        <v>6</v>
      </c>
      <c r="B5665" s="8" t="s">
        <v>24</v>
      </c>
      <c r="C5665" s="9" t="s">
        <v>25</v>
      </c>
      <c r="D5665" s="9" t="s">
        <v>26</v>
      </c>
      <c r="E5665" s="10" t="n">
        <v>1789</v>
      </c>
      <c r="F5665" s="9" t="s">
        <v>27</v>
      </c>
      <c r="G5665" s="9" t="s">
        <v>27</v>
      </c>
      <c r="H5665" s="11" t="n">
        <v>20</v>
      </c>
      <c r="I5665" s="11" t="s">
        <v>122</v>
      </c>
      <c r="J5665" s="14" t="n">
        <v>16</v>
      </c>
      <c r="K5665" s="14"/>
      <c r="L5665" s="16"/>
      <c r="M5665" s="27" t="n">
        <f aca="false">J5665+(K5665/20)+(L5665/240)</f>
        <v>16</v>
      </c>
      <c r="N5665" s="17" t="s">
        <v>64</v>
      </c>
      <c r="O5665" s="11"/>
      <c r="P5665" s="28" t="n">
        <f aca="false">1774951/100</f>
        <v>17749.51</v>
      </c>
      <c r="Q5665" s="28" t="n">
        <v>283992</v>
      </c>
      <c r="R5665" s="28"/>
      <c r="S5665" s="28" t="n">
        <f aca="false">R5665*$M5665</f>
        <v>0</v>
      </c>
      <c r="T5665" s="28"/>
      <c r="U5665" s="28" t="n">
        <f aca="false">T5665*$M5665</f>
        <v>0</v>
      </c>
      <c r="V5665" s="28" t="n">
        <f aca="false">20834/100</f>
        <v>208.34</v>
      </c>
      <c r="W5665" s="28" t="n">
        <v>3333</v>
      </c>
      <c r="X5665" s="28" t="n">
        <f aca="false">85901/100</f>
        <v>859.01</v>
      </c>
      <c r="Y5665" s="28" t="n">
        <v>13744</v>
      </c>
      <c r="Z5665" s="28"/>
      <c r="AA5665" s="28" t="n">
        <f aca="false">Z5665*$M5665</f>
        <v>0</v>
      </c>
      <c r="AB5665" s="28" t="n">
        <f aca="false">6847841/100</f>
        <v>68478.41</v>
      </c>
      <c r="AC5665" s="28" t="n">
        <v>1095654</v>
      </c>
      <c r="AD5665" s="28"/>
      <c r="AE5665" s="28" t="n">
        <f aca="false">AD5665*$M5665</f>
        <v>0</v>
      </c>
      <c r="AF5665" s="28"/>
      <c r="AG5665" s="28" t="n">
        <f aca="false">AF5665*$M5665</f>
        <v>0</v>
      </c>
      <c r="AH5665" s="28" t="n">
        <f aca="false">50417/100</f>
        <v>504.17</v>
      </c>
      <c r="AI5665" s="28" t="n">
        <v>8067</v>
      </c>
      <c r="AJ5665" s="28"/>
      <c r="AK5665" s="28" t="n">
        <f aca="false">AJ5665*$M5665</f>
        <v>0</v>
      </c>
      <c r="AL5665" s="28"/>
      <c r="AM5665" s="28" t="n">
        <f aca="false">AL5665*$M5665</f>
        <v>0</v>
      </c>
      <c r="AN5665" s="28"/>
      <c r="AO5665" s="28" t="n">
        <f aca="false">AN5665*$M5665</f>
        <v>0</v>
      </c>
      <c r="AP5665" s="28"/>
      <c r="AQ5665" s="28" t="n">
        <f aca="false">AP5665*$M5665</f>
        <v>0</v>
      </c>
      <c r="AR5665" s="28"/>
      <c r="AS5665" s="28" t="n">
        <f aca="false">AR5665*$M5665</f>
        <v>0</v>
      </c>
      <c r="AT5665" s="28"/>
      <c r="AU5665" s="28" t="n">
        <f aca="false">AT5665*$M5665</f>
        <v>0</v>
      </c>
      <c r="AV5665" s="28"/>
      <c r="AW5665" s="28" t="n">
        <f aca="false">AV5665*$M5665</f>
        <v>0</v>
      </c>
      <c r="AX5665" s="28"/>
      <c r="AY5665" s="28" t="n">
        <f aca="false">AX5665*$M5665</f>
        <v>0</v>
      </c>
      <c r="AZ5665" s="30" t="n">
        <f aca="false">8779944/100</f>
        <v>87799.44</v>
      </c>
      <c r="BA5665" s="11" t="n">
        <v>1404790</v>
      </c>
      <c r="BB5665" s="31" t="n">
        <f aca="false">SUM(Q5665,S5665,U5665,W5665,Y5665,AA5665,AC5665,AE5665,AG5665,AI5665,AK5665,AM5665,AO5665,AQ5665,AS5665,AU5665,AW5665,AY5665)</f>
        <v>1404790</v>
      </c>
      <c r="BC5665" s="28" t="n">
        <f aca="false">BA5665-BB5665</f>
        <v>0</v>
      </c>
      <c r="BD5665" s="32" t="n">
        <f aca="false">SUM(P5665,R5665,T5665,V5665,X5665,Z5665,AB5665,AD5665,AF5665,AH5665,AJ5665,AL5665,AN5665,AP5665,AR5665,AT5665,AV5665,AX5665)</f>
        <v>87799.44</v>
      </c>
      <c r="BE5665" s="33" t="n">
        <f aca="false">AZ5665-BD5665</f>
        <v>0</v>
      </c>
      <c r="BF5665" s="34" t="n">
        <f aca="false">BD5665*M5665</f>
        <v>1404791.04</v>
      </c>
      <c r="BG5665" s="35" t="n">
        <f aca="false">BA5665-BF5665</f>
        <v>-1.03999999980442</v>
      </c>
      <c r="BH5665" s="19" t="str">
        <f aca="false">IF(BG5665=0,"",IF(BG5665&lt;&gt;BA5665,"erreur de calcul",IF(BD5665&lt;&gt;0,"pas de prix",IF(M5665&lt;&gt; 0,"pas de quantité","pas de prix, ni de quantité"))))</f>
        <v>erreur de calcul</v>
      </c>
      <c r="BI5665" s="19"/>
    </row>
    <row r="5666" customFormat="false" ht="15" hidden="false" customHeight="false" outlineLevel="0" collapsed="false">
      <c r="A5666" s="0" t="n">
        <v>7</v>
      </c>
      <c r="B5666" s="8" t="s">
        <v>24</v>
      </c>
      <c r="C5666" s="9" t="s">
        <v>25</v>
      </c>
      <c r="D5666" s="9" t="s">
        <v>26</v>
      </c>
      <c r="E5666" s="10" t="n">
        <v>1789</v>
      </c>
      <c r="F5666" s="9" t="s">
        <v>27</v>
      </c>
      <c r="G5666" s="9" t="s">
        <v>27</v>
      </c>
      <c r="H5666" s="11" t="n">
        <v>20</v>
      </c>
      <c r="I5666" s="11" t="s">
        <v>123</v>
      </c>
      <c r="J5666" s="14" t="n">
        <v>12</v>
      </c>
      <c r="K5666" s="14"/>
      <c r="L5666" s="16"/>
      <c r="M5666" s="27" t="n">
        <f aca="false">J5666+(K5666/20)+(L5666/240)</f>
        <v>12</v>
      </c>
      <c r="N5666" s="17" t="s">
        <v>64</v>
      </c>
      <c r="O5666" s="11"/>
      <c r="P5666" s="28"/>
      <c r="Q5666" s="28" t="n">
        <f aca="false">P5666*$M5666</f>
        <v>0</v>
      </c>
      <c r="R5666" s="28"/>
      <c r="S5666" s="28" t="n">
        <f aca="false">R5666*$M5666</f>
        <v>0</v>
      </c>
      <c r="T5666" s="28"/>
      <c r="U5666" s="28" t="n">
        <f aca="false">T5666*$M5666</f>
        <v>0</v>
      </c>
      <c r="V5666" s="28"/>
      <c r="W5666" s="28" t="n">
        <f aca="false">V5666*$M5666</f>
        <v>0</v>
      </c>
      <c r="X5666" s="28"/>
      <c r="Y5666" s="28" t="n">
        <f aca="false">X5666*$M5666</f>
        <v>0</v>
      </c>
      <c r="Z5666" s="28"/>
      <c r="AA5666" s="28" t="n">
        <f aca="false">Z5666*$M5666</f>
        <v>0</v>
      </c>
      <c r="AB5666" s="28"/>
      <c r="AC5666" s="28" t="n">
        <f aca="false">AB5666*$M5666</f>
        <v>0</v>
      </c>
      <c r="AD5666" s="28"/>
      <c r="AE5666" s="28" t="n">
        <f aca="false">AD5666*$M5666</f>
        <v>0</v>
      </c>
      <c r="AF5666" s="28"/>
      <c r="AG5666" s="28" t="n">
        <f aca="false">AF5666*$M5666</f>
        <v>0</v>
      </c>
      <c r="AH5666" s="28" t="n">
        <f aca="false">5697511/100</f>
        <v>56975.11</v>
      </c>
      <c r="AI5666" s="28" t="n">
        <v>683701</v>
      </c>
      <c r="AJ5666" s="28"/>
      <c r="AK5666" s="28" t="n">
        <f aca="false">AJ5666*$M5666</f>
        <v>0</v>
      </c>
      <c r="AL5666" s="28"/>
      <c r="AM5666" s="28" t="n">
        <f aca="false">AL5666*$M5666</f>
        <v>0</v>
      </c>
      <c r="AN5666" s="28"/>
      <c r="AO5666" s="28" t="n">
        <f aca="false">AN5666*$M5666</f>
        <v>0</v>
      </c>
      <c r="AP5666" s="28"/>
      <c r="AQ5666" s="28" t="n">
        <f aca="false">AP5666*$M5666</f>
        <v>0</v>
      </c>
      <c r="AR5666" s="28"/>
      <c r="AS5666" s="28" t="n">
        <f aca="false">AR5666*$M5666</f>
        <v>0</v>
      </c>
      <c r="AT5666" s="28"/>
      <c r="AU5666" s="28" t="n">
        <f aca="false">AT5666*$M5666</f>
        <v>0</v>
      </c>
      <c r="AV5666" s="28"/>
      <c r="AW5666" s="28" t="n">
        <f aca="false">AV5666*$M5666</f>
        <v>0</v>
      </c>
      <c r="AX5666" s="28"/>
      <c r="AY5666" s="28" t="n">
        <f aca="false">AX5666*$M5666</f>
        <v>0</v>
      </c>
      <c r="AZ5666" s="30" t="n">
        <f aca="false">5697511/100</f>
        <v>56975.11</v>
      </c>
      <c r="BA5666" s="11" t="n">
        <v>683701</v>
      </c>
      <c r="BB5666" s="31" t="n">
        <f aca="false">SUM(Q5666,S5666,U5666,W5666,Y5666,AA5666,AC5666,AE5666,AG5666,AI5666,AK5666,AM5666,AO5666,AQ5666,AS5666,AU5666,AW5666,AY5666)</f>
        <v>683701</v>
      </c>
      <c r="BC5666" s="28" t="n">
        <f aca="false">BA5666-BB5666</f>
        <v>0</v>
      </c>
      <c r="BD5666" s="32" t="n">
        <f aca="false">SUM(P5666,R5666,T5666,V5666,X5666,Z5666,AB5666,AD5666,AF5666,AH5666,AJ5666,AL5666,AN5666,AP5666,AR5666,AT5666,AV5666,AX5666)</f>
        <v>56975.11</v>
      </c>
      <c r="BE5666" s="33" t="n">
        <f aca="false">AZ5666-BD5666</f>
        <v>0</v>
      </c>
      <c r="BF5666" s="34" t="n">
        <f aca="false">BD5666*M5666</f>
        <v>683701.32</v>
      </c>
      <c r="BG5666" s="35" t="n">
        <f aca="false">BA5666-BF5666</f>
        <v>-0.320000000065193</v>
      </c>
      <c r="BH5666" s="19" t="str">
        <f aca="false">IF(BG5666=0,"",IF(BG5666&lt;&gt;BA5666,"erreur de calcul",IF(BD5666&lt;&gt;0,"pas de prix",IF(M5666&lt;&gt; 0,"pas de quantité","pas de prix, ni de quantité"))))</f>
        <v>erreur de calcul</v>
      </c>
      <c r="BI5666" s="19"/>
    </row>
    <row r="5667" customFormat="false" ht="15" hidden="false" customHeight="false" outlineLevel="0" collapsed="false">
      <c r="A5667" s="0" t="n">
        <v>8</v>
      </c>
      <c r="B5667" s="8" t="s">
        <v>24</v>
      </c>
      <c r="C5667" s="9" t="s">
        <v>25</v>
      </c>
      <c r="D5667" s="9" t="s">
        <v>26</v>
      </c>
      <c r="E5667" s="10" t="n">
        <v>1789</v>
      </c>
      <c r="F5667" s="9" t="s">
        <v>27</v>
      </c>
      <c r="G5667" s="9" t="s">
        <v>27</v>
      </c>
      <c r="H5667" s="11" t="n">
        <v>20</v>
      </c>
      <c r="I5667" s="11" t="s">
        <v>124</v>
      </c>
      <c r="J5667" s="14" t="n">
        <v>34</v>
      </c>
      <c r="K5667" s="14"/>
      <c r="L5667" s="16"/>
      <c r="M5667" s="27" t="n">
        <f aca="false">J5667+(K5667/20)+(L5667/240)</f>
        <v>34</v>
      </c>
      <c r="N5667" s="17" t="s">
        <v>64</v>
      </c>
      <c r="O5667" s="11"/>
      <c r="P5667" s="28"/>
      <c r="Q5667" s="28" t="n">
        <f aca="false">P5667*$M5667</f>
        <v>0</v>
      </c>
      <c r="R5667" s="28"/>
      <c r="S5667" s="28" t="n">
        <f aca="false">R5667*$M5667</f>
        <v>0</v>
      </c>
      <c r="T5667" s="28" t="n">
        <f aca="false">528/100</f>
        <v>5.28</v>
      </c>
      <c r="U5667" s="28" t="n">
        <v>179</v>
      </c>
      <c r="V5667" s="28"/>
      <c r="W5667" s="28" t="n">
        <f aca="false">V5667*$M5667</f>
        <v>0</v>
      </c>
      <c r="X5667" s="28" t="n">
        <f aca="false">1014/100</f>
        <v>10.14</v>
      </c>
      <c r="Y5667" s="36" t="n">
        <v>243</v>
      </c>
      <c r="Z5667" s="28"/>
      <c r="AA5667" s="28" t="n">
        <f aca="false">Z5667*$M5667</f>
        <v>0</v>
      </c>
      <c r="AB5667" s="28"/>
      <c r="AC5667" s="28" t="n">
        <f aca="false">AB5667*$M5667</f>
        <v>0</v>
      </c>
      <c r="AD5667" s="28"/>
      <c r="AE5667" s="28" t="n">
        <f aca="false">AD5667*$M5667</f>
        <v>0</v>
      </c>
      <c r="AF5667" s="28"/>
      <c r="AG5667" s="28" t="n">
        <f aca="false">AF5667*$M5667</f>
        <v>0</v>
      </c>
      <c r="AH5667" s="28"/>
      <c r="AI5667" s="28" t="n">
        <f aca="false">AH5667*$M5667</f>
        <v>0</v>
      </c>
      <c r="AJ5667" s="28" t="n">
        <f aca="false">1917/100</f>
        <v>19.17</v>
      </c>
      <c r="AK5667" s="28" t="n">
        <v>652</v>
      </c>
      <c r="AL5667" s="28"/>
      <c r="AM5667" s="28" t="n">
        <f aca="false">AL5667*$M5667</f>
        <v>0</v>
      </c>
      <c r="AN5667" s="28"/>
      <c r="AO5667" s="28" t="n">
        <f aca="false">AN5667*$M5667</f>
        <v>0</v>
      </c>
      <c r="AP5667" s="28"/>
      <c r="AQ5667" s="28" t="n">
        <f aca="false">AP5667*$M5667</f>
        <v>0</v>
      </c>
      <c r="AR5667" s="28"/>
      <c r="AS5667" s="28" t="n">
        <f aca="false">AR5667*$M5667</f>
        <v>0</v>
      </c>
      <c r="AT5667" s="28"/>
      <c r="AU5667" s="28" t="n">
        <f aca="false">AT5667*$M5667</f>
        <v>0</v>
      </c>
      <c r="AV5667" s="28"/>
      <c r="AW5667" s="28" t="n">
        <f aca="false">AV5667*$M5667</f>
        <v>0</v>
      </c>
      <c r="AX5667" s="28"/>
      <c r="AY5667" s="28" t="n">
        <f aca="false">AX5667*$M5667</f>
        <v>0</v>
      </c>
      <c r="AZ5667" s="30" t="n">
        <f aca="false">3459/100</f>
        <v>34.59</v>
      </c>
      <c r="BA5667" s="11" t="n">
        <v>1074</v>
      </c>
      <c r="BB5667" s="31" t="n">
        <f aca="false">SUM(Q5667,S5667,U5667,W5667,Y5667,AA5667,AC5667,AE5667,AG5667,AI5667,AK5667,AM5667,AO5667,AQ5667,AS5667,AU5667,AW5667,AY5667)</f>
        <v>1074</v>
      </c>
      <c r="BC5667" s="28" t="n">
        <f aca="false">BA5667-BB5667</f>
        <v>0</v>
      </c>
      <c r="BD5667" s="32" t="n">
        <f aca="false">SUM(P5667,R5667,T5667,V5667,X5667,Z5667,AB5667,AD5667,AF5667,AH5667,AJ5667,AL5667,AN5667,AP5667,AR5667,AT5667,AV5667,AX5667)</f>
        <v>34.59</v>
      </c>
      <c r="BE5667" s="33" t="n">
        <f aca="false">AZ5667-BD5667</f>
        <v>0</v>
      </c>
      <c r="BF5667" s="34" t="n">
        <f aca="false">BD5667*M5667</f>
        <v>1176.06</v>
      </c>
      <c r="BG5667" s="35" t="n">
        <f aca="false">BA5667-BF5667</f>
        <v>-102.06</v>
      </c>
      <c r="BH5667" s="19" t="str">
        <f aca="false">IF(BG5667=0,"",IF(BG5667&lt;&gt;BA5667,"erreur de calcul",IF(BD5667&lt;&gt;0,"pas de prix",IF(M5667&lt;&gt; 0,"pas de quantité","pas de prix, ni de quantité"))))</f>
        <v>erreur de calcul</v>
      </c>
      <c r="BI5667" s="19"/>
    </row>
    <row r="5668" customFormat="false" ht="15" hidden="false" customHeight="false" outlineLevel="0" collapsed="false">
      <c r="A5668" s="0" t="n">
        <v>9</v>
      </c>
      <c r="B5668" s="8" t="s">
        <v>24</v>
      </c>
      <c r="C5668" s="9" t="s">
        <v>25</v>
      </c>
      <c r="D5668" s="9" t="s">
        <v>26</v>
      </c>
      <c r="E5668" s="10" t="n">
        <v>1789</v>
      </c>
      <c r="F5668" s="9" t="s">
        <v>27</v>
      </c>
      <c r="G5668" s="9" t="s">
        <v>27</v>
      </c>
      <c r="H5668" s="11" t="n">
        <v>20</v>
      </c>
      <c r="I5668" s="11" t="s">
        <v>125</v>
      </c>
      <c r="J5668" s="14" t="n">
        <v>30</v>
      </c>
      <c r="K5668" s="14"/>
      <c r="L5668" s="16"/>
      <c r="M5668" s="27" t="n">
        <f aca="false">J5668+(K5668/20)+(L5668/240)</f>
        <v>30</v>
      </c>
      <c r="N5668" s="17" t="s">
        <v>64</v>
      </c>
      <c r="O5668" s="11"/>
      <c r="P5668" s="28" t="n">
        <f aca="false">31476/100</f>
        <v>314.76</v>
      </c>
      <c r="Q5668" s="28" t="n">
        <v>9443</v>
      </c>
      <c r="R5668" s="28"/>
      <c r="S5668" s="28" t="n">
        <f aca="false">R5668*$M5668</f>
        <v>0</v>
      </c>
      <c r="T5668" s="28"/>
      <c r="U5668" s="28" t="n">
        <f aca="false">T5668*$M5668</f>
        <v>0</v>
      </c>
      <c r="V5668" s="28"/>
      <c r="W5668" s="28" t="n">
        <f aca="false">V5668*$M5668</f>
        <v>0</v>
      </c>
      <c r="X5668" s="28" t="n">
        <f aca="false">2320/100</f>
        <v>23.2</v>
      </c>
      <c r="Y5668" s="28" t="n">
        <v>696</v>
      </c>
      <c r="Z5668" s="28"/>
      <c r="AA5668" s="28" t="n">
        <f aca="false">Z5668*$M5668</f>
        <v>0</v>
      </c>
      <c r="AB5668" s="28"/>
      <c r="AC5668" s="28" t="n">
        <f aca="false">AB5668*$M5668</f>
        <v>0</v>
      </c>
      <c r="AD5668" s="28"/>
      <c r="AE5668" s="28" t="n">
        <f aca="false">AD5668*$M5668</f>
        <v>0</v>
      </c>
      <c r="AF5668" s="28"/>
      <c r="AG5668" s="28" t="n">
        <f aca="false">AF5668*$M5668</f>
        <v>0</v>
      </c>
      <c r="AH5668" s="28"/>
      <c r="AI5668" s="28" t="n">
        <f aca="false">AH5668*$M5668</f>
        <v>0</v>
      </c>
      <c r="AJ5668" s="28"/>
      <c r="AK5668" s="28" t="n">
        <f aca="false">AJ5668*$M5668</f>
        <v>0</v>
      </c>
      <c r="AL5668" s="28"/>
      <c r="AM5668" s="28" t="n">
        <f aca="false">AL5668*$M5668</f>
        <v>0</v>
      </c>
      <c r="AN5668" s="28"/>
      <c r="AO5668" s="28" t="n">
        <f aca="false">AN5668*$M5668</f>
        <v>0</v>
      </c>
      <c r="AP5668" s="28" t="n">
        <f aca="false">5100/100</f>
        <v>51</v>
      </c>
      <c r="AQ5668" s="28" t="n">
        <v>1530</v>
      </c>
      <c r="AR5668" s="28"/>
      <c r="AS5668" s="28" t="n">
        <f aca="false">AR5668*$M5668</f>
        <v>0</v>
      </c>
      <c r="AT5668" s="28"/>
      <c r="AU5668" s="28" t="n">
        <f aca="false">AT5668*$M5668</f>
        <v>0</v>
      </c>
      <c r="AV5668" s="28"/>
      <c r="AW5668" s="28" t="n">
        <f aca="false">AV5668*$M5668</f>
        <v>0</v>
      </c>
      <c r="AX5668" s="28" t="n">
        <f aca="false">26345/100</f>
        <v>263.45</v>
      </c>
      <c r="AY5668" s="28" t="n">
        <v>7903</v>
      </c>
      <c r="AZ5668" s="30" t="n">
        <f aca="false">65241/100</f>
        <v>652.41</v>
      </c>
      <c r="BA5668" s="11" t="n">
        <v>19572</v>
      </c>
      <c r="BB5668" s="31" t="n">
        <f aca="false">SUM(Q5668,S5668,U5668,W5668,Y5668,AA5668,AC5668,AE5668,AG5668,AI5668,AK5668,AM5668,AO5668,AQ5668,AS5668,AU5668,AW5668,AY5668)</f>
        <v>19572</v>
      </c>
      <c r="BC5668" s="28" t="n">
        <f aca="false">BA5668-BB5668</f>
        <v>0</v>
      </c>
      <c r="BD5668" s="32" t="n">
        <f aca="false">SUM(P5668,R5668,T5668,V5668,X5668,Z5668,AB5668,AD5668,AF5668,AH5668,AJ5668,AL5668,AN5668,AP5668,AR5668,AT5668,AV5668,AX5668)</f>
        <v>652.41</v>
      </c>
      <c r="BE5668" s="33" t="n">
        <f aca="false">AZ5668-BD5668</f>
        <v>0</v>
      </c>
      <c r="BF5668" s="34" t="n">
        <f aca="false">BD5668*M5668</f>
        <v>19572.3</v>
      </c>
      <c r="BG5668" s="35" t="n">
        <f aca="false">BA5668-BF5668</f>
        <v>-0.299999999999272</v>
      </c>
      <c r="BH5668" s="19" t="str">
        <f aca="false">IF(BG5668=0,"",IF(BG5668&lt;&gt;BA5668,"erreur de calcul",IF(BD5668&lt;&gt;0,"pas de prix",IF(M5668&lt;&gt; 0,"pas de quantité","pas de prix, ni de quantité"))))</f>
        <v>erreur de calcul</v>
      </c>
      <c r="BI5668" s="19"/>
    </row>
    <row r="5669" customFormat="false" ht="15" hidden="false" customHeight="false" outlineLevel="0" collapsed="false">
      <c r="A5669" s="0" t="n">
        <v>10</v>
      </c>
      <c r="B5669" s="8" t="s">
        <v>24</v>
      </c>
      <c r="C5669" s="9" t="s">
        <v>25</v>
      </c>
      <c r="D5669" s="9" t="s">
        <v>26</v>
      </c>
      <c r="E5669" s="10" t="n">
        <v>1789</v>
      </c>
      <c r="F5669" s="9" t="s">
        <v>27</v>
      </c>
      <c r="G5669" s="9" t="s">
        <v>27</v>
      </c>
      <c r="H5669" s="11" t="n">
        <v>20</v>
      </c>
      <c r="I5669" s="11" t="s">
        <v>126</v>
      </c>
      <c r="J5669" s="14" t="n">
        <v>75</v>
      </c>
      <c r="K5669" s="14"/>
      <c r="L5669" s="16"/>
      <c r="M5669" s="27" t="n">
        <f aca="false">J5669+(K5669/20)+(L5669/240)</f>
        <v>75</v>
      </c>
      <c r="N5669" s="17" t="s">
        <v>64</v>
      </c>
      <c r="O5669" s="11"/>
      <c r="P5669" s="28"/>
      <c r="Q5669" s="28" t="n">
        <f aca="false">P5669*$M5669</f>
        <v>0</v>
      </c>
      <c r="R5669" s="28"/>
      <c r="S5669" s="28" t="n">
        <f aca="false">R5669*$M5669</f>
        <v>0</v>
      </c>
      <c r="T5669" s="28"/>
      <c r="U5669" s="28" t="n">
        <f aca="false">T5669*$M5669</f>
        <v>0</v>
      </c>
      <c r="V5669" s="28" t="n">
        <f aca="false">223/100</f>
        <v>2.23</v>
      </c>
      <c r="W5669" s="28" t="n">
        <v>167</v>
      </c>
      <c r="X5669" s="28" t="n">
        <f aca="false">2897/100</f>
        <v>28.97</v>
      </c>
      <c r="Y5669" s="28" t="n">
        <v>2173</v>
      </c>
      <c r="Z5669" s="28"/>
      <c r="AA5669" s="28" t="n">
        <f aca="false">Z5669*$M5669</f>
        <v>0</v>
      </c>
      <c r="AB5669" s="28"/>
      <c r="AC5669" s="28" t="n">
        <f aca="false">AB5669*$M5669</f>
        <v>0</v>
      </c>
      <c r="AD5669" s="28"/>
      <c r="AE5669" s="28" t="n">
        <f aca="false">AD5669*$M5669</f>
        <v>0</v>
      </c>
      <c r="AF5669" s="28"/>
      <c r="AG5669" s="28" t="n">
        <f aca="false">AF5669*$M5669</f>
        <v>0</v>
      </c>
      <c r="AH5669" s="28"/>
      <c r="AI5669" s="28" t="n">
        <f aca="false">AH5669*$M5669</f>
        <v>0</v>
      </c>
      <c r="AJ5669" s="28"/>
      <c r="AK5669" s="28" t="n">
        <f aca="false">AJ5669*$M5669</f>
        <v>0</v>
      </c>
      <c r="AL5669" s="28"/>
      <c r="AM5669" s="28" t="n">
        <f aca="false">AL5669*$M5669</f>
        <v>0</v>
      </c>
      <c r="AN5669" s="28"/>
      <c r="AO5669" s="28" t="n">
        <f aca="false">AN5669*$M5669</f>
        <v>0</v>
      </c>
      <c r="AP5669" s="28"/>
      <c r="AQ5669" s="28" t="n">
        <f aca="false">AP5669*$M5669</f>
        <v>0</v>
      </c>
      <c r="AR5669" s="28"/>
      <c r="AS5669" s="28" t="n">
        <f aca="false">AR5669*$M5669</f>
        <v>0</v>
      </c>
      <c r="AT5669" s="28"/>
      <c r="AU5669" s="28" t="n">
        <f aca="false">AT5669*$M5669</f>
        <v>0</v>
      </c>
      <c r="AV5669" s="28"/>
      <c r="AW5669" s="28" t="n">
        <f aca="false">AV5669*$M5669</f>
        <v>0</v>
      </c>
      <c r="AX5669" s="28"/>
      <c r="AY5669" s="28" t="n">
        <f aca="false">AX5669*$M5669</f>
        <v>0</v>
      </c>
      <c r="AZ5669" s="30" t="n">
        <f aca="false">3120/100</f>
        <v>31.2</v>
      </c>
      <c r="BA5669" s="11" t="n">
        <v>2340</v>
      </c>
      <c r="BB5669" s="31" t="n">
        <f aca="false">SUM(Q5669,S5669,U5669,W5669,Y5669,AA5669,AC5669,AE5669,AG5669,AI5669,AK5669,AM5669,AO5669,AQ5669,AS5669,AU5669,AW5669,AY5669)</f>
        <v>2340</v>
      </c>
      <c r="BC5669" s="28" t="n">
        <f aca="false">BA5669-BB5669</f>
        <v>0</v>
      </c>
      <c r="BD5669" s="32" t="n">
        <f aca="false">SUM(P5669,R5669,T5669,V5669,X5669,Z5669,AB5669,AD5669,AF5669,AH5669,AJ5669,AL5669,AN5669,AP5669,AR5669,AT5669,AV5669,AX5669)</f>
        <v>31.2</v>
      </c>
      <c r="BE5669" s="33" t="n">
        <f aca="false">AZ5669-BD5669</f>
        <v>0</v>
      </c>
      <c r="BF5669" s="34" t="n">
        <f aca="false">BD5669*M5669</f>
        <v>2340</v>
      </c>
      <c r="BG5669" s="35" t="n">
        <f aca="false">BA5669-BF5669</f>
        <v>0</v>
      </c>
      <c r="BH5669" s="19" t="str">
        <f aca="false">IF(BG5669=0,"",IF(BG5669&lt;&gt;BA5669,"erreur de calcul",IF(BD5669&lt;&gt;0,"pas de prix",IF(M5669&lt;&gt; 0,"pas de quantité","pas de prix, ni de quantité"))))</f>
        <v/>
      </c>
      <c r="BI5669" s="19"/>
    </row>
    <row r="5670" customFormat="false" ht="15" hidden="false" customHeight="false" outlineLevel="0" collapsed="false">
      <c r="A5670" s="0" t="n">
        <v>11</v>
      </c>
      <c r="B5670" s="8" t="s">
        <v>24</v>
      </c>
      <c r="C5670" s="9" t="s">
        <v>25</v>
      </c>
      <c r="D5670" s="9" t="s">
        <v>26</v>
      </c>
      <c r="E5670" s="10" t="n">
        <v>1789</v>
      </c>
      <c r="F5670" s="9" t="s">
        <v>27</v>
      </c>
      <c r="G5670" s="9" t="s">
        <v>27</v>
      </c>
      <c r="H5670" s="11" t="n">
        <v>20</v>
      </c>
      <c r="I5670" s="11" t="s">
        <v>127</v>
      </c>
      <c r="J5670" s="14" t="n">
        <v>75</v>
      </c>
      <c r="K5670" s="14"/>
      <c r="L5670" s="16"/>
      <c r="M5670" s="27" t="n">
        <f aca="false">J5670+(K5670/20)+(L5670/240)</f>
        <v>75</v>
      </c>
      <c r="N5670" s="17" t="s">
        <v>64</v>
      </c>
      <c r="O5670" s="11"/>
      <c r="P5670" s="28"/>
      <c r="Q5670" s="28" t="n">
        <f aca="false">P5670*$M5670</f>
        <v>0</v>
      </c>
      <c r="R5670" s="28"/>
      <c r="S5670" s="28" t="n">
        <f aca="false">R5670*$M5670</f>
        <v>0</v>
      </c>
      <c r="T5670" s="28" t="n">
        <f aca="false">5807/100</f>
        <v>58.07</v>
      </c>
      <c r="U5670" s="28" t="n">
        <v>4355</v>
      </c>
      <c r="V5670" s="28"/>
      <c r="W5670" s="28" t="n">
        <f aca="false">V5670*$M5670</f>
        <v>0</v>
      </c>
      <c r="X5670" s="28"/>
      <c r="Y5670" s="28" t="n">
        <f aca="false">X5670*$M5670</f>
        <v>0</v>
      </c>
      <c r="Z5670" s="28"/>
      <c r="AA5670" s="28" t="n">
        <f aca="false">Z5670*$M5670</f>
        <v>0</v>
      </c>
      <c r="AB5670" s="28"/>
      <c r="AC5670" s="28" t="n">
        <f aca="false">AB5670*$M5670</f>
        <v>0</v>
      </c>
      <c r="AD5670" s="28"/>
      <c r="AE5670" s="28" t="n">
        <f aca="false">AD5670*$M5670</f>
        <v>0</v>
      </c>
      <c r="AF5670" s="28"/>
      <c r="AG5670" s="28" t="n">
        <f aca="false">AF5670*$M5670</f>
        <v>0</v>
      </c>
      <c r="AH5670" s="28"/>
      <c r="AI5670" s="28" t="n">
        <f aca="false">AH5670*$M5670</f>
        <v>0</v>
      </c>
      <c r="AJ5670" s="28"/>
      <c r="AK5670" s="28" t="n">
        <f aca="false">AJ5670*$M5670</f>
        <v>0</v>
      </c>
      <c r="AL5670" s="28"/>
      <c r="AM5670" s="28" t="n">
        <f aca="false">AL5670*$M5670</f>
        <v>0</v>
      </c>
      <c r="AN5670" s="28"/>
      <c r="AO5670" s="28" t="n">
        <f aca="false">AN5670*$M5670</f>
        <v>0</v>
      </c>
      <c r="AP5670" s="28"/>
      <c r="AQ5670" s="28" t="n">
        <f aca="false">AP5670*$M5670</f>
        <v>0</v>
      </c>
      <c r="AR5670" s="28"/>
      <c r="AS5670" s="28" t="n">
        <f aca="false">AR5670*$M5670</f>
        <v>0</v>
      </c>
      <c r="AT5670" s="28"/>
      <c r="AU5670" s="28" t="n">
        <f aca="false">AT5670*$M5670</f>
        <v>0</v>
      </c>
      <c r="AV5670" s="28"/>
      <c r="AW5670" s="28" t="n">
        <f aca="false">AV5670*$M5670</f>
        <v>0</v>
      </c>
      <c r="AX5670" s="28"/>
      <c r="AY5670" s="28" t="n">
        <f aca="false">AX5670*$M5670</f>
        <v>0</v>
      </c>
      <c r="AZ5670" s="30" t="n">
        <f aca="false">5807/100</f>
        <v>58.07</v>
      </c>
      <c r="BA5670" s="11" t="n">
        <v>4355</v>
      </c>
      <c r="BB5670" s="31" t="n">
        <f aca="false">SUM(Q5670,S5670,U5670,W5670,Y5670,AA5670,AC5670,AE5670,AG5670,AI5670,AK5670,AM5670,AO5670,AQ5670,AS5670,AU5670,AW5670,AY5670)</f>
        <v>4355</v>
      </c>
      <c r="BC5670" s="28" t="n">
        <f aca="false">BA5670-BB5670</f>
        <v>0</v>
      </c>
      <c r="BD5670" s="32" t="n">
        <f aca="false">SUM(P5670,R5670,T5670,V5670,X5670,Z5670,AB5670,AD5670,AF5670,AH5670,AJ5670,AL5670,AN5670,AP5670,AR5670,AT5670,AV5670,AX5670)</f>
        <v>58.07</v>
      </c>
      <c r="BE5670" s="33" t="n">
        <f aca="false">AZ5670-BD5670</f>
        <v>0</v>
      </c>
      <c r="BF5670" s="34" t="n">
        <f aca="false">BD5670*M5670</f>
        <v>4355.25</v>
      </c>
      <c r="BG5670" s="35" t="n">
        <f aca="false">BA5670-BF5670</f>
        <v>-0.25</v>
      </c>
      <c r="BH5670" s="19" t="str">
        <f aca="false">IF(BG5670=0,"",IF(BG5670&lt;&gt;BA5670,"erreur de calcul",IF(BD5670&lt;&gt;0,"pas de prix",IF(M5670&lt;&gt; 0,"pas de quantité","pas de prix, ni de quantité"))))</f>
        <v>erreur de calcul</v>
      </c>
      <c r="BI5670" s="19"/>
    </row>
    <row r="5671" customFormat="false" ht="15" hidden="false" customHeight="false" outlineLevel="0" collapsed="false">
      <c r="A5671" s="0" t="n">
        <v>12</v>
      </c>
      <c r="B5671" s="8" t="s">
        <v>24</v>
      </c>
      <c r="C5671" s="9" t="s">
        <v>25</v>
      </c>
      <c r="D5671" s="9" t="s">
        <v>26</v>
      </c>
      <c r="E5671" s="10" t="n">
        <v>1789</v>
      </c>
      <c r="F5671" s="9" t="s">
        <v>27</v>
      </c>
      <c r="G5671" s="9" t="s">
        <v>27</v>
      </c>
      <c r="H5671" s="11" t="n">
        <v>20</v>
      </c>
      <c r="I5671" s="11" t="s">
        <v>128</v>
      </c>
      <c r="J5671" s="14" t="n">
        <v>42</v>
      </c>
      <c r="K5671" s="14"/>
      <c r="L5671" s="16"/>
      <c r="M5671" s="27" t="n">
        <f aca="false">J5671+(K5671/20)+(L5671/240)</f>
        <v>42</v>
      </c>
      <c r="N5671" s="17" t="s">
        <v>64</v>
      </c>
      <c r="O5671" s="11"/>
      <c r="P5671" s="28"/>
      <c r="Q5671" s="28" t="n">
        <f aca="false">P5671*$M5671</f>
        <v>0</v>
      </c>
      <c r="R5671" s="28"/>
      <c r="S5671" s="28" t="n">
        <f aca="false">R5671*$M5671</f>
        <v>0</v>
      </c>
      <c r="T5671" s="28" t="n">
        <f aca="false">347073/100</f>
        <v>3470.73</v>
      </c>
      <c r="U5671" s="28" t="n">
        <v>145771</v>
      </c>
      <c r="V5671" s="28" t="n">
        <f aca="false">188616/100</f>
        <v>1886.16</v>
      </c>
      <c r="W5671" s="28" t="n">
        <v>79219</v>
      </c>
      <c r="X5671" s="28" t="n">
        <f aca="false">518894/100</f>
        <v>5188.94</v>
      </c>
      <c r="Y5671" s="28" t="n">
        <v>217935</v>
      </c>
      <c r="Z5671" s="28" t="n">
        <f aca="false">965148/100</f>
        <v>9651.48</v>
      </c>
      <c r="AA5671" s="28" t="n">
        <v>405362</v>
      </c>
      <c r="AB5671" s="28" t="n">
        <f aca="false">759238/100</f>
        <v>7592.38</v>
      </c>
      <c r="AC5671" s="28" t="n">
        <v>318880</v>
      </c>
      <c r="AD5671" s="28" t="n">
        <f aca="false">254167/100</f>
        <v>2541.67</v>
      </c>
      <c r="AE5671" s="28" t="n">
        <v>106750</v>
      </c>
      <c r="AF5671" s="28"/>
      <c r="AG5671" s="28" t="n">
        <f aca="false">AF5671*$M5671</f>
        <v>0</v>
      </c>
      <c r="AH5671" s="28"/>
      <c r="AI5671" s="28" t="n">
        <f aca="false">AH5671*$M5671</f>
        <v>0</v>
      </c>
      <c r="AJ5671" s="28"/>
      <c r="AK5671" s="28" t="n">
        <f aca="false">AJ5671*$M5671</f>
        <v>0</v>
      </c>
      <c r="AL5671" s="28" t="n">
        <f aca="false">73551/100</f>
        <v>735.51</v>
      </c>
      <c r="AM5671" s="28" t="n">
        <v>30891</v>
      </c>
      <c r="AN5671" s="28"/>
      <c r="AO5671" s="28" t="n">
        <f aca="false">AN5671*$M5671</f>
        <v>0</v>
      </c>
      <c r="AP5671" s="28" t="n">
        <f aca="false">45836/100</f>
        <v>458.36</v>
      </c>
      <c r="AQ5671" s="28" t="n">
        <v>19251</v>
      </c>
      <c r="AR5671" s="28"/>
      <c r="AS5671" s="28" t="n">
        <f aca="false">AR5671*$M5671</f>
        <v>0</v>
      </c>
      <c r="AT5671" s="28"/>
      <c r="AU5671" s="28" t="n">
        <f aca="false">AT5671*$M5671</f>
        <v>0</v>
      </c>
      <c r="AV5671" s="28" t="n">
        <f aca="false">566574/100</f>
        <v>5665.74</v>
      </c>
      <c r="AW5671" s="28" t="n">
        <v>237961</v>
      </c>
      <c r="AX5671" s="28"/>
      <c r="AY5671" s="28" t="n">
        <f aca="false">AX5671*$M5671</f>
        <v>0</v>
      </c>
      <c r="AZ5671" s="30" t="n">
        <f aca="false">3719097/100</f>
        <v>37190.97</v>
      </c>
      <c r="BA5671" s="11" t="n">
        <v>1562020</v>
      </c>
      <c r="BB5671" s="31" t="n">
        <f aca="false">SUM(Q5671,S5671,U5671,W5671,Y5671,AA5671,AC5671,AE5671,AG5671,AI5671,AK5671,AM5671,AO5671,AQ5671,AS5671,AU5671,AW5671,AY5671)</f>
        <v>1562020</v>
      </c>
      <c r="BC5671" s="28" t="n">
        <f aca="false">BA5671-BB5671</f>
        <v>0</v>
      </c>
      <c r="BD5671" s="32" t="n">
        <f aca="false">SUM(P5671,R5671,T5671,V5671,X5671,Z5671,AB5671,AD5671,AF5671,AH5671,AJ5671,AL5671,AN5671,AP5671,AR5671,AT5671,AV5671,AX5671)</f>
        <v>37190.97</v>
      </c>
      <c r="BE5671" s="33" t="n">
        <f aca="false">AZ5671-BD5671</f>
        <v>0</v>
      </c>
      <c r="BF5671" s="34" t="n">
        <f aca="false">BD5671*M5671</f>
        <v>1562020.74</v>
      </c>
      <c r="BG5671" s="35" t="n">
        <f aca="false">BA5671-BF5671</f>
        <v>-0.739999999990687</v>
      </c>
      <c r="BH5671" s="19" t="str">
        <f aca="false">IF(BG5671=0,"",IF(BG5671&lt;&gt;BA5671,"erreur de calcul",IF(BD5671&lt;&gt;0,"pas de prix",IF(M5671&lt;&gt; 0,"pas de quantité","pas de prix, ni de quantité"))))</f>
        <v>erreur de calcul</v>
      </c>
      <c r="BI5671" s="19"/>
    </row>
    <row r="5672" customFormat="false" ht="15" hidden="false" customHeight="false" outlineLevel="0" collapsed="false">
      <c r="A5672" s="0" t="n">
        <v>13</v>
      </c>
      <c r="B5672" s="8" t="s">
        <v>24</v>
      </c>
      <c r="C5672" s="9" t="s">
        <v>25</v>
      </c>
      <c r="D5672" s="9" t="s">
        <v>26</v>
      </c>
      <c r="E5672" s="10" t="n">
        <v>1789</v>
      </c>
      <c r="F5672" s="9" t="s">
        <v>27</v>
      </c>
      <c r="G5672" s="9" t="s">
        <v>27</v>
      </c>
      <c r="H5672" s="11" t="n">
        <v>20</v>
      </c>
      <c r="I5672" s="11" t="s">
        <v>129</v>
      </c>
      <c r="J5672" s="14" t="n">
        <v>75</v>
      </c>
      <c r="K5672" s="14"/>
      <c r="L5672" s="16"/>
      <c r="M5672" s="27" t="n">
        <f aca="false">J5672+(K5672/20)+(L5672/240)</f>
        <v>75</v>
      </c>
      <c r="N5672" s="17" t="s">
        <v>64</v>
      </c>
      <c r="O5672" s="11"/>
      <c r="P5672" s="28"/>
      <c r="Q5672" s="28" t="n">
        <f aca="false">P5672*$M5672</f>
        <v>0</v>
      </c>
      <c r="R5672" s="28"/>
      <c r="S5672" s="28" t="n">
        <f aca="false">R5672*$M5672</f>
        <v>0</v>
      </c>
      <c r="T5672" s="28"/>
      <c r="U5672" s="28" t="n">
        <f aca="false">T5672*$M5672</f>
        <v>0</v>
      </c>
      <c r="V5672" s="28" t="n">
        <f aca="false">3418/100</f>
        <v>34.18</v>
      </c>
      <c r="W5672" s="28" t="n">
        <v>2563</v>
      </c>
      <c r="X5672" s="28" t="n">
        <f aca="false">3755/100</f>
        <v>37.55</v>
      </c>
      <c r="Y5672" s="28" t="n">
        <v>2817</v>
      </c>
      <c r="Z5672" s="28"/>
      <c r="AA5672" s="28" t="n">
        <f aca="false">Z5672*$M5672</f>
        <v>0</v>
      </c>
      <c r="AB5672" s="28" t="n">
        <f aca="false">75529/100</f>
        <v>755.29</v>
      </c>
      <c r="AC5672" s="28" t="n">
        <v>56647</v>
      </c>
      <c r="AD5672" s="28"/>
      <c r="AE5672" s="28" t="n">
        <f aca="false">AD5672*$M5672</f>
        <v>0</v>
      </c>
      <c r="AF5672" s="28"/>
      <c r="AG5672" s="28" t="n">
        <f aca="false">AF5672*$M5672</f>
        <v>0</v>
      </c>
      <c r="AH5672" s="28"/>
      <c r="AI5672" s="28" t="n">
        <f aca="false">AH5672*$M5672</f>
        <v>0</v>
      </c>
      <c r="AJ5672" s="28"/>
      <c r="AK5672" s="28" t="n">
        <f aca="false">AJ5672*$M5672</f>
        <v>0</v>
      </c>
      <c r="AL5672" s="28"/>
      <c r="AM5672" s="28" t="n">
        <f aca="false">AL5672*$M5672</f>
        <v>0</v>
      </c>
      <c r="AN5672" s="28"/>
      <c r="AO5672" s="28" t="n">
        <f aca="false">AN5672*$M5672</f>
        <v>0</v>
      </c>
      <c r="AP5672" s="28"/>
      <c r="AQ5672" s="28" t="n">
        <f aca="false">AP5672*$M5672</f>
        <v>0</v>
      </c>
      <c r="AR5672" s="28"/>
      <c r="AS5672" s="28" t="n">
        <f aca="false">AR5672*$M5672</f>
        <v>0</v>
      </c>
      <c r="AT5672" s="28"/>
      <c r="AU5672" s="28" t="n">
        <f aca="false">AT5672*$M5672</f>
        <v>0</v>
      </c>
      <c r="AV5672" s="28"/>
      <c r="AW5672" s="28" t="n">
        <f aca="false">AV5672*$M5672</f>
        <v>0</v>
      </c>
      <c r="AX5672" s="28"/>
      <c r="AY5672" s="28" t="n">
        <f aca="false">AX5672*$M5672</f>
        <v>0</v>
      </c>
      <c r="AZ5672" s="30" t="n">
        <f aca="false">82702/100</f>
        <v>827.02</v>
      </c>
      <c r="BA5672" s="11" t="n">
        <v>62027</v>
      </c>
      <c r="BB5672" s="31" t="n">
        <f aca="false">SUM(Q5672,S5672,U5672,W5672,Y5672,AA5672,AC5672,AE5672,AG5672,AI5672,AK5672,AM5672,AO5672,AQ5672,AS5672,AU5672,AW5672,AY5672)</f>
        <v>62027</v>
      </c>
      <c r="BC5672" s="28" t="n">
        <f aca="false">BA5672-BB5672</f>
        <v>0</v>
      </c>
      <c r="BD5672" s="32" t="n">
        <f aca="false">SUM(P5672,R5672,T5672,V5672,X5672,Z5672,AB5672,AD5672,AF5672,AH5672,AJ5672,AL5672,AN5672,AP5672,AR5672,AT5672,AV5672,AX5672)</f>
        <v>827.02</v>
      </c>
      <c r="BE5672" s="33" t="n">
        <f aca="false">AZ5672-BD5672</f>
        <v>0</v>
      </c>
      <c r="BF5672" s="34" t="n">
        <f aca="false">BD5672*M5672</f>
        <v>62026.5</v>
      </c>
      <c r="BG5672" s="35" t="n">
        <f aca="false">BA5672-BF5672</f>
        <v>0.500000000007276</v>
      </c>
      <c r="BH5672" s="19" t="str">
        <f aca="false">IF(BG5672=0,"",IF(BG5672&lt;&gt;BA5672,"erreur de calcul",IF(BD5672&lt;&gt;0,"pas de prix",IF(M5672&lt;&gt; 0,"pas de quantité","pas de prix, ni de quantité"))))</f>
        <v>erreur de calcul</v>
      </c>
      <c r="BI5672" s="19"/>
    </row>
    <row r="5673" customFormat="false" ht="15" hidden="false" customHeight="false" outlineLevel="0" collapsed="false">
      <c r="A5673" s="0" t="n">
        <v>14</v>
      </c>
      <c r="B5673" s="8" t="s">
        <v>24</v>
      </c>
      <c r="C5673" s="9" t="s">
        <v>25</v>
      </c>
      <c r="D5673" s="9" t="s">
        <v>26</v>
      </c>
      <c r="E5673" s="10" t="n">
        <v>1789</v>
      </c>
      <c r="F5673" s="9" t="s">
        <v>27</v>
      </c>
      <c r="G5673" s="9" t="s">
        <v>27</v>
      </c>
      <c r="H5673" s="11" t="n">
        <v>20</v>
      </c>
      <c r="I5673" s="11" t="s">
        <v>130</v>
      </c>
      <c r="J5673" s="14" t="n">
        <v>170</v>
      </c>
      <c r="K5673" s="14"/>
      <c r="L5673" s="16"/>
      <c r="M5673" s="27" t="n">
        <f aca="false">J5673+(K5673/20)+(L5673/240)</f>
        <v>170</v>
      </c>
      <c r="N5673" s="17" t="s">
        <v>64</v>
      </c>
      <c r="O5673" s="11"/>
      <c r="P5673" s="28"/>
      <c r="Q5673" s="28" t="n">
        <f aca="false">P5673*$M5673</f>
        <v>0</v>
      </c>
      <c r="R5673" s="28"/>
      <c r="S5673" s="28" t="n">
        <f aca="false">R5673*$M5673</f>
        <v>0</v>
      </c>
      <c r="T5673" s="28" t="n">
        <f aca="false">488/100</f>
        <v>4.88</v>
      </c>
      <c r="U5673" s="28" t="n">
        <v>830</v>
      </c>
      <c r="V5673" s="28"/>
      <c r="W5673" s="28" t="n">
        <f aca="false">V5673*$M5673</f>
        <v>0</v>
      </c>
      <c r="X5673" s="28" t="n">
        <f aca="false">8480/100</f>
        <v>84.8</v>
      </c>
      <c r="Y5673" s="28" t="n">
        <v>14416</v>
      </c>
      <c r="Z5673" s="28"/>
      <c r="AA5673" s="28" t="n">
        <f aca="false">Z5673*$M5673</f>
        <v>0</v>
      </c>
      <c r="AB5673" s="28" t="n">
        <f aca="false">291/100</f>
        <v>2.91</v>
      </c>
      <c r="AC5673" s="28" t="n">
        <v>495</v>
      </c>
      <c r="AD5673" s="28"/>
      <c r="AE5673" s="28" t="n">
        <f aca="false">AD5673*$M5673</f>
        <v>0</v>
      </c>
      <c r="AF5673" s="28"/>
      <c r="AG5673" s="28" t="n">
        <f aca="false">AF5673*$M5673</f>
        <v>0</v>
      </c>
      <c r="AH5673" s="28"/>
      <c r="AI5673" s="28" t="n">
        <f aca="false">AH5673*$M5673</f>
        <v>0</v>
      </c>
      <c r="AJ5673" s="28"/>
      <c r="AK5673" s="28" t="n">
        <f aca="false">AJ5673*$M5673</f>
        <v>0</v>
      </c>
      <c r="AL5673" s="28"/>
      <c r="AM5673" s="28" t="n">
        <f aca="false">AL5673*$M5673</f>
        <v>0</v>
      </c>
      <c r="AN5673" s="28"/>
      <c r="AO5673" s="28" t="n">
        <f aca="false">AN5673*$M5673</f>
        <v>0</v>
      </c>
      <c r="AP5673" s="28"/>
      <c r="AQ5673" s="28" t="n">
        <f aca="false">AP5673*$M5673</f>
        <v>0</v>
      </c>
      <c r="AR5673" s="28"/>
      <c r="AS5673" s="28" t="n">
        <f aca="false">AR5673*$M5673</f>
        <v>0</v>
      </c>
      <c r="AT5673" s="28"/>
      <c r="AU5673" s="28" t="n">
        <f aca="false">AT5673*$M5673</f>
        <v>0</v>
      </c>
      <c r="AV5673" s="28"/>
      <c r="AW5673" s="28" t="n">
        <f aca="false">AV5673*$M5673</f>
        <v>0</v>
      </c>
      <c r="AX5673" s="28"/>
      <c r="AY5673" s="28" t="n">
        <f aca="false">AX5673*$M5673</f>
        <v>0</v>
      </c>
      <c r="AZ5673" s="30" t="n">
        <f aca="false">9259/100</f>
        <v>92.59</v>
      </c>
      <c r="BA5673" s="11" t="n">
        <v>15741</v>
      </c>
      <c r="BB5673" s="31" t="n">
        <f aca="false">SUM(Q5673,S5673,U5673,W5673,Y5673,AA5673,AC5673,AE5673,AG5673,AI5673,AK5673,AM5673,AO5673,AQ5673,AS5673,AU5673,AW5673,AY5673)</f>
        <v>15741</v>
      </c>
      <c r="BC5673" s="28" t="n">
        <f aca="false">BA5673-BB5673</f>
        <v>0</v>
      </c>
      <c r="BD5673" s="32" t="n">
        <f aca="false">SUM(P5673,R5673,T5673,V5673,X5673,Z5673,AB5673,AD5673,AF5673,AH5673,AJ5673,AL5673,AN5673,AP5673,AR5673,AT5673,AV5673,AX5673)</f>
        <v>92.59</v>
      </c>
      <c r="BE5673" s="33" t="n">
        <f aca="false">AZ5673-BD5673</f>
        <v>0</v>
      </c>
      <c r="BF5673" s="34" t="n">
        <f aca="false">BD5673*M5673</f>
        <v>15740.3</v>
      </c>
      <c r="BG5673" s="35" t="n">
        <f aca="false">BA5673-BF5673</f>
        <v>0.700000000002547</v>
      </c>
      <c r="BH5673" s="19" t="str">
        <f aca="false">IF(BG5673=0,"",IF(BG5673&lt;&gt;BA5673,"erreur de calcul",IF(BD5673&lt;&gt;0,"pas de prix",IF(M5673&lt;&gt; 0,"pas de quantité","pas de prix, ni de quantité"))))</f>
        <v>erreur de calcul</v>
      </c>
      <c r="BI5673" s="19"/>
    </row>
    <row r="5674" customFormat="false" ht="15" hidden="false" customHeight="false" outlineLevel="0" collapsed="false">
      <c r="A5674" s="0" t="n">
        <v>15</v>
      </c>
      <c r="B5674" s="8" t="s">
        <v>24</v>
      </c>
      <c r="C5674" s="9" t="s">
        <v>25</v>
      </c>
      <c r="D5674" s="9" t="s">
        <v>26</v>
      </c>
      <c r="E5674" s="10" t="n">
        <v>1789</v>
      </c>
      <c r="F5674" s="9" t="s">
        <v>27</v>
      </c>
      <c r="G5674" s="9" t="s">
        <v>27</v>
      </c>
      <c r="H5674" s="11" t="n">
        <v>20</v>
      </c>
      <c r="I5674" s="11" t="s">
        <v>131</v>
      </c>
      <c r="J5674" s="14"/>
      <c r="K5674" s="14" t="n">
        <v>55</v>
      </c>
      <c r="L5674" s="16"/>
      <c r="M5674" s="27" t="n">
        <f aca="false">J5674+(K5674/20)+(L5674/240)</f>
        <v>2.75</v>
      </c>
      <c r="N5674" s="17" t="s">
        <v>64</v>
      </c>
      <c r="O5674" s="11"/>
      <c r="P5674" s="28"/>
      <c r="Q5674" s="28" t="n">
        <f aca="false">P5674*$M5674</f>
        <v>0</v>
      </c>
      <c r="R5674" s="28"/>
      <c r="S5674" s="28" t="n">
        <f aca="false">R5674*$M5674</f>
        <v>0</v>
      </c>
      <c r="T5674" s="28"/>
      <c r="U5674" s="28" t="n">
        <f aca="false">T5674*$M5674</f>
        <v>0</v>
      </c>
      <c r="V5674" s="28"/>
      <c r="W5674" s="28" t="n">
        <f aca="false">V5674*$M5674</f>
        <v>0</v>
      </c>
      <c r="X5674" s="28" t="n">
        <f aca="false">3875617/100</f>
        <v>38756.17</v>
      </c>
      <c r="Y5674" s="28" t="n">
        <v>106579</v>
      </c>
      <c r="Z5674" s="28" t="n">
        <f aca="false">62500/100</f>
        <v>625</v>
      </c>
      <c r="AA5674" s="28" t="n">
        <v>1719</v>
      </c>
      <c r="AB5674" s="28" t="n">
        <f aca="false">360000/100</f>
        <v>3600</v>
      </c>
      <c r="AC5674" s="28" t="n">
        <v>9900</v>
      </c>
      <c r="AD5674" s="28"/>
      <c r="AE5674" s="28" t="n">
        <f aca="false">AD5674*$M5674</f>
        <v>0</v>
      </c>
      <c r="AF5674" s="28"/>
      <c r="AG5674" s="28" t="n">
        <f aca="false">AF5674*$M5674</f>
        <v>0</v>
      </c>
      <c r="AH5674" s="28"/>
      <c r="AI5674" s="28" t="n">
        <f aca="false">AH5674*$M5674</f>
        <v>0</v>
      </c>
      <c r="AJ5674" s="28"/>
      <c r="AK5674" s="28" t="n">
        <f aca="false">AJ5674*$M5674</f>
        <v>0</v>
      </c>
      <c r="AL5674" s="28"/>
      <c r="AM5674" s="28" t="n">
        <f aca="false">AL5674*$M5674</f>
        <v>0</v>
      </c>
      <c r="AN5674" s="28"/>
      <c r="AO5674" s="28" t="n">
        <f aca="false">AN5674*$M5674</f>
        <v>0</v>
      </c>
      <c r="AP5674" s="28"/>
      <c r="AQ5674" s="28" t="n">
        <f aca="false">AP5674*$M5674</f>
        <v>0</v>
      </c>
      <c r="AR5674" s="28"/>
      <c r="AS5674" s="28" t="n">
        <f aca="false">AR5674*$M5674</f>
        <v>0</v>
      </c>
      <c r="AT5674" s="28"/>
      <c r="AU5674" s="28" t="n">
        <f aca="false">AT5674*$M5674</f>
        <v>0</v>
      </c>
      <c r="AV5674" s="28"/>
      <c r="AW5674" s="28" t="n">
        <f aca="false">AV5674*$M5674</f>
        <v>0</v>
      </c>
      <c r="AX5674" s="28"/>
      <c r="AY5674" s="28" t="n">
        <f aca="false">AX5674*$M5674</f>
        <v>0</v>
      </c>
      <c r="AZ5674" s="30" t="n">
        <f aca="false">4298117/100</f>
        <v>42981.17</v>
      </c>
      <c r="BA5674" s="11" t="n">
        <v>118198</v>
      </c>
      <c r="BB5674" s="31" t="n">
        <f aca="false">SUM(Q5674,S5674,U5674,W5674,Y5674,AA5674,AC5674,AE5674,AG5674,AI5674,AK5674,AM5674,AO5674,AQ5674,AS5674,AU5674,AW5674,AY5674)</f>
        <v>118198</v>
      </c>
      <c r="BC5674" s="28" t="n">
        <f aca="false">BA5674-BB5674</f>
        <v>0</v>
      </c>
      <c r="BD5674" s="32" t="n">
        <f aca="false">SUM(P5674,R5674,T5674,V5674,X5674,Z5674,AB5674,AD5674,AF5674,AH5674,AJ5674,AL5674,AN5674,AP5674,AR5674,AT5674,AV5674,AX5674)</f>
        <v>42981.17</v>
      </c>
      <c r="BE5674" s="33" t="n">
        <f aca="false">AZ5674-BD5674</f>
        <v>0</v>
      </c>
      <c r="BF5674" s="34" t="n">
        <f aca="false">BD5674*M5674</f>
        <v>118198.2175</v>
      </c>
      <c r="BG5674" s="35" t="n">
        <f aca="false">BA5674-BF5674</f>
        <v>-0.217499999998836</v>
      </c>
      <c r="BH5674" s="19" t="str">
        <f aca="false">IF(BG5674=0,"",IF(BG5674&lt;&gt;BA5674,"erreur de calcul",IF(BD5674&lt;&gt;0,"pas de prix",IF(M5674&lt;&gt; 0,"pas de quantité","pas de prix, ni de quantité"))))</f>
        <v>erreur de calcul</v>
      </c>
      <c r="BI5674" s="19"/>
    </row>
    <row r="5675" customFormat="false" ht="15" hidden="false" customHeight="false" outlineLevel="0" collapsed="false">
      <c r="A5675" s="0" t="n">
        <v>16</v>
      </c>
      <c r="B5675" s="8" t="s">
        <v>24</v>
      </c>
      <c r="C5675" s="9" t="s">
        <v>25</v>
      </c>
      <c r="D5675" s="9" t="s">
        <v>26</v>
      </c>
      <c r="E5675" s="10" t="n">
        <v>1789</v>
      </c>
      <c r="F5675" s="9" t="s">
        <v>27</v>
      </c>
      <c r="G5675" s="9" t="s">
        <v>27</v>
      </c>
      <c r="H5675" s="11" t="n">
        <v>20</v>
      </c>
      <c r="I5675" s="11" t="s">
        <v>132</v>
      </c>
      <c r="J5675" s="14"/>
      <c r="K5675" s="14" t="n">
        <v>50</v>
      </c>
      <c r="L5675" s="16"/>
      <c r="M5675" s="27" t="n">
        <f aca="false">J5675+(K5675/20)+(L5675/240)</f>
        <v>2.5</v>
      </c>
      <c r="N5675" s="17" t="s">
        <v>64</v>
      </c>
      <c r="O5675" s="11"/>
      <c r="P5675" s="28"/>
      <c r="Q5675" s="28" t="n">
        <f aca="false">P5675*$M5675</f>
        <v>0</v>
      </c>
      <c r="R5675" s="28"/>
      <c r="S5675" s="28" t="n">
        <f aca="false">R5675*$M5675</f>
        <v>0</v>
      </c>
      <c r="T5675" s="28"/>
      <c r="U5675" s="28" t="n">
        <f aca="false">T5675*$M5675</f>
        <v>0</v>
      </c>
      <c r="V5675" s="28" t="n">
        <f aca="false">25000/100</f>
        <v>250</v>
      </c>
      <c r="W5675" s="28" t="n">
        <v>625</v>
      </c>
      <c r="X5675" s="28" t="n">
        <f aca="false">9335/100</f>
        <v>93.35</v>
      </c>
      <c r="Y5675" s="28" t="n">
        <v>233</v>
      </c>
      <c r="Z5675" s="28"/>
      <c r="AA5675" s="28" t="n">
        <f aca="false">Z5675*$M5675</f>
        <v>0</v>
      </c>
      <c r="AB5675" s="28"/>
      <c r="AC5675" s="28" t="n">
        <f aca="false">AB5675*$M5675</f>
        <v>0</v>
      </c>
      <c r="AD5675" s="28"/>
      <c r="AE5675" s="28" t="n">
        <f aca="false">AD5675*$M5675</f>
        <v>0</v>
      </c>
      <c r="AF5675" s="28"/>
      <c r="AG5675" s="28" t="n">
        <f aca="false">AF5675*$M5675</f>
        <v>0</v>
      </c>
      <c r="AH5675" s="28"/>
      <c r="AI5675" s="28" t="n">
        <f aca="false">AH5675*$M5675</f>
        <v>0</v>
      </c>
      <c r="AJ5675" s="28"/>
      <c r="AK5675" s="28" t="n">
        <f aca="false">AJ5675*$M5675</f>
        <v>0</v>
      </c>
      <c r="AL5675" s="28"/>
      <c r="AM5675" s="28" t="n">
        <f aca="false">AL5675*$M5675</f>
        <v>0</v>
      </c>
      <c r="AN5675" s="28"/>
      <c r="AO5675" s="28" t="n">
        <f aca="false">AN5675*$M5675</f>
        <v>0</v>
      </c>
      <c r="AP5675" s="28"/>
      <c r="AQ5675" s="28" t="n">
        <f aca="false">AP5675*$M5675</f>
        <v>0</v>
      </c>
      <c r="AR5675" s="28"/>
      <c r="AS5675" s="28" t="n">
        <f aca="false">AR5675*$M5675</f>
        <v>0</v>
      </c>
      <c r="AT5675" s="28"/>
      <c r="AU5675" s="28" t="n">
        <f aca="false">AT5675*$M5675</f>
        <v>0</v>
      </c>
      <c r="AV5675" s="28"/>
      <c r="AW5675" s="28" t="n">
        <f aca="false">AV5675*$M5675</f>
        <v>0</v>
      </c>
      <c r="AX5675" s="28"/>
      <c r="AY5675" s="28" t="n">
        <f aca="false">AX5675*$M5675</f>
        <v>0</v>
      </c>
      <c r="AZ5675" s="30" t="n">
        <f aca="false">34335/100</f>
        <v>343.35</v>
      </c>
      <c r="BA5675" s="11" t="n">
        <v>858</v>
      </c>
      <c r="BB5675" s="31" t="n">
        <f aca="false">SUM(Q5675,S5675,U5675,W5675,Y5675,AA5675,AC5675,AE5675,AG5675,AI5675,AK5675,AM5675,AO5675,AQ5675,AS5675,AU5675,AW5675,AY5675)</f>
        <v>858</v>
      </c>
      <c r="BC5675" s="28" t="n">
        <f aca="false">BA5675-BB5675</f>
        <v>0</v>
      </c>
      <c r="BD5675" s="32" t="n">
        <f aca="false">SUM(P5675,R5675,T5675,V5675,X5675,Z5675,AB5675,AD5675,AF5675,AH5675,AJ5675,AL5675,AN5675,AP5675,AR5675,AT5675,AV5675,AX5675)</f>
        <v>343.35</v>
      </c>
      <c r="BE5675" s="33" t="n">
        <f aca="false">AZ5675-BD5675</f>
        <v>0</v>
      </c>
      <c r="BF5675" s="34" t="n">
        <f aca="false">BD5675*M5675</f>
        <v>858.375</v>
      </c>
      <c r="BG5675" s="35" t="n">
        <f aca="false">BA5675-BF5675</f>
        <v>-0.375</v>
      </c>
      <c r="BH5675" s="19" t="str">
        <f aca="false">IF(BG5675=0,"",IF(BG5675&lt;&gt;BA5675,"erreur de calcul",IF(BD5675&lt;&gt;0,"pas de prix",IF(M5675&lt;&gt; 0,"pas de quantité","pas de prix, ni de quantité"))))</f>
        <v>erreur de calcul</v>
      </c>
      <c r="BI5675" s="19"/>
    </row>
    <row r="5676" customFormat="false" ht="15" hidden="false" customHeight="false" outlineLevel="0" collapsed="false">
      <c r="A5676" s="0" t="n">
        <v>17</v>
      </c>
      <c r="B5676" s="8" t="s">
        <v>24</v>
      </c>
      <c r="C5676" s="9" t="s">
        <v>25</v>
      </c>
      <c r="D5676" s="9" t="s">
        <v>26</v>
      </c>
      <c r="E5676" s="10" t="n">
        <v>1789</v>
      </c>
      <c r="F5676" s="9" t="s">
        <v>27</v>
      </c>
      <c r="G5676" s="9" t="s">
        <v>27</v>
      </c>
      <c r="H5676" s="11" t="n">
        <v>20</v>
      </c>
      <c r="I5676" s="11" t="s">
        <v>133</v>
      </c>
      <c r="J5676" s="14" t="n">
        <v>175</v>
      </c>
      <c r="K5676" s="14"/>
      <c r="L5676" s="16"/>
      <c r="M5676" s="27" t="n">
        <f aca="false">J5676+(K5676/20)+(L5676/240)</f>
        <v>175</v>
      </c>
      <c r="N5676" s="17" t="s">
        <v>64</v>
      </c>
      <c r="O5676" s="11"/>
      <c r="P5676" s="28" t="n">
        <f aca="false">84/100</f>
        <v>0.84</v>
      </c>
      <c r="Q5676" s="28" t="n">
        <v>147</v>
      </c>
      <c r="R5676" s="28"/>
      <c r="S5676" s="28" t="n">
        <f aca="false">R5676*$M5676</f>
        <v>0</v>
      </c>
      <c r="T5676" s="28"/>
      <c r="U5676" s="28" t="n">
        <f aca="false">T5676*$M5676</f>
        <v>0</v>
      </c>
      <c r="V5676" s="28" t="n">
        <f aca="false">124/100</f>
        <v>1.24</v>
      </c>
      <c r="W5676" s="28" t="n">
        <v>217</v>
      </c>
      <c r="X5676" s="28" t="n">
        <f aca="false">6034/100</f>
        <v>60.34</v>
      </c>
      <c r="Y5676" s="28" t="n">
        <v>10559</v>
      </c>
      <c r="Z5676" s="28" t="n">
        <f aca="false">147/100</f>
        <v>1.47</v>
      </c>
      <c r="AA5676" s="28" t="n">
        <v>257</v>
      </c>
      <c r="AB5676" s="28" t="n">
        <f aca="false">195/100</f>
        <v>1.95</v>
      </c>
      <c r="AC5676" s="28" t="n">
        <v>341</v>
      </c>
      <c r="AD5676" s="28"/>
      <c r="AE5676" s="28" t="n">
        <f aca="false">AD5676*$M5676</f>
        <v>0</v>
      </c>
      <c r="AF5676" s="28"/>
      <c r="AG5676" s="28" t="n">
        <f aca="false">AF5676*$M5676</f>
        <v>0</v>
      </c>
      <c r="AH5676" s="28"/>
      <c r="AI5676" s="28" t="n">
        <f aca="false">AH5676*$M5676</f>
        <v>0</v>
      </c>
      <c r="AJ5676" s="28"/>
      <c r="AK5676" s="28" t="n">
        <f aca="false">AJ5676*$M5676</f>
        <v>0</v>
      </c>
      <c r="AL5676" s="28"/>
      <c r="AM5676" s="28" t="n">
        <f aca="false">AL5676*$M5676</f>
        <v>0</v>
      </c>
      <c r="AN5676" s="28"/>
      <c r="AO5676" s="28" t="n">
        <f aca="false">AN5676*$M5676</f>
        <v>0</v>
      </c>
      <c r="AP5676" s="28"/>
      <c r="AQ5676" s="28" t="n">
        <f aca="false">AP5676*$M5676</f>
        <v>0</v>
      </c>
      <c r="AR5676" s="28"/>
      <c r="AS5676" s="28" t="n">
        <f aca="false">AR5676*$M5676</f>
        <v>0</v>
      </c>
      <c r="AT5676" s="28"/>
      <c r="AU5676" s="28" t="n">
        <f aca="false">AT5676*$M5676</f>
        <v>0</v>
      </c>
      <c r="AV5676" s="28"/>
      <c r="AW5676" s="28" t="n">
        <f aca="false">AV5676*$M5676</f>
        <v>0</v>
      </c>
      <c r="AX5676" s="28"/>
      <c r="AY5676" s="28" t="n">
        <f aca="false">AX5676*$M5676</f>
        <v>0</v>
      </c>
      <c r="AZ5676" s="30" t="n">
        <f aca="false">6584/100</f>
        <v>65.84</v>
      </c>
      <c r="BA5676" s="11" t="n">
        <v>11521</v>
      </c>
      <c r="BB5676" s="31" t="n">
        <f aca="false">SUM(Q5676,S5676,U5676,W5676,Y5676,AA5676,AC5676,AE5676,AG5676,AI5676,AK5676,AM5676,AO5676,AQ5676,AS5676,AU5676,AW5676,AY5676)</f>
        <v>11521</v>
      </c>
      <c r="BC5676" s="28" t="n">
        <f aca="false">BA5676-BB5676</f>
        <v>0</v>
      </c>
      <c r="BD5676" s="32" t="n">
        <f aca="false">SUM(P5676,R5676,T5676,V5676,X5676,Z5676,AB5676,AD5676,AF5676,AH5676,AJ5676,AL5676,AN5676,AP5676,AR5676,AT5676,AV5676,AX5676)</f>
        <v>65.84</v>
      </c>
      <c r="BE5676" s="33" t="n">
        <f aca="false">AZ5676-BD5676</f>
        <v>0</v>
      </c>
      <c r="BF5676" s="34" t="n">
        <f aca="false">BD5676*M5676</f>
        <v>11522</v>
      </c>
      <c r="BG5676" s="35" t="n">
        <f aca="false">BA5676-BF5676</f>
        <v>-1</v>
      </c>
      <c r="BH5676" s="19" t="str">
        <f aca="false">IF(BG5676=0,"",IF(BG5676&lt;&gt;BA5676,"erreur de calcul",IF(BD5676&lt;&gt;0,"pas de prix",IF(M5676&lt;&gt; 0,"pas de quantité","pas de prix, ni de quantité"))))</f>
        <v>erreur de calcul</v>
      </c>
      <c r="BI5676" s="19"/>
    </row>
    <row r="5677" customFormat="false" ht="15" hidden="false" customHeight="false" outlineLevel="0" collapsed="false">
      <c r="A5677" s="0" t="n">
        <v>18</v>
      </c>
      <c r="B5677" s="8" t="s">
        <v>24</v>
      </c>
      <c r="C5677" s="9" t="s">
        <v>25</v>
      </c>
      <c r="D5677" s="9" t="s">
        <v>26</v>
      </c>
      <c r="E5677" s="10" t="n">
        <v>1789</v>
      </c>
      <c r="F5677" s="9" t="s">
        <v>27</v>
      </c>
      <c r="G5677" s="9" t="s">
        <v>27</v>
      </c>
      <c r="H5677" s="11" t="n">
        <v>20</v>
      </c>
      <c r="I5677" s="11" t="s">
        <v>134</v>
      </c>
      <c r="J5677" s="14" t="n">
        <v>210</v>
      </c>
      <c r="K5677" s="14"/>
      <c r="L5677" s="16"/>
      <c r="M5677" s="27" t="n">
        <f aca="false">J5677+(K5677/20)+(L5677/240)</f>
        <v>210</v>
      </c>
      <c r="N5677" s="17" t="s">
        <v>64</v>
      </c>
      <c r="O5677" s="11"/>
      <c r="P5677" s="28"/>
      <c r="Q5677" s="28" t="n">
        <f aca="false">P5677*$M5677</f>
        <v>0</v>
      </c>
      <c r="R5677" s="28"/>
      <c r="S5677" s="28" t="n">
        <f aca="false">R5677*$M5677</f>
        <v>0</v>
      </c>
      <c r="T5677" s="28"/>
      <c r="U5677" s="28" t="n">
        <f aca="false">T5677*$M5677</f>
        <v>0</v>
      </c>
      <c r="V5677" s="28" t="n">
        <f aca="false">869/100</f>
        <v>8.69</v>
      </c>
      <c r="W5677" s="28" t="n">
        <v>1825</v>
      </c>
      <c r="X5677" s="28"/>
      <c r="Y5677" s="28" t="n">
        <f aca="false">X5677*$M5677</f>
        <v>0</v>
      </c>
      <c r="Z5677" s="28"/>
      <c r="AA5677" s="28" t="n">
        <f aca="false">Z5677*$M5677</f>
        <v>0</v>
      </c>
      <c r="AB5677" s="28"/>
      <c r="AC5677" s="28" t="n">
        <f aca="false">AB5677*$M5677</f>
        <v>0</v>
      </c>
      <c r="AD5677" s="28"/>
      <c r="AE5677" s="28" t="n">
        <f aca="false">AD5677*$M5677</f>
        <v>0</v>
      </c>
      <c r="AF5677" s="28"/>
      <c r="AG5677" s="28" t="n">
        <f aca="false">AF5677*$M5677</f>
        <v>0</v>
      </c>
      <c r="AH5677" s="28"/>
      <c r="AI5677" s="28" t="n">
        <f aca="false">AH5677*$M5677</f>
        <v>0</v>
      </c>
      <c r="AJ5677" s="28"/>
      <c r="AK5677" s="28" t="n">
        <f aca="false">AJ5677*$M5677</f>
        <v>0</v>
      </c>
      <c r="AL5677" s="28"/>
      <c r="AM5677" s="28" t="n">
        <f aca="false">AL5677*$M5677</f>
        <v>0</v>
      </c>
      <c r="AN5677" s="28"/>
      <c r="AO5677" s="28" t="n">
        <f aca="false">AN5677*$M5677</f>
        <v>0</v>
      </c>
      <c r="AP5677" s="28"/>
      <c r="AQ5677" s="28" t="n">
        <f aca="false">AP5677*$M5677</f>
        <v>0</v>
      </c>
      <c r="AR5677" s="28"/>
      <c r="AS5677" s="28" t="n">
        <f aca="false">AR5677*$M5677</f>
        <v>0</v>
      </c>
      <c r="AT5677" s="28"/>
      <c r="AU5677" s="28" t="n">
        <f aca="false">AT5677*$M5677</f>
        <v>0</v>
      </c>
      <c r="AV5677" s="28"/>
      <c r="AW5677" s="28" t="n">
        <f aca="false">AV5677*$M5677</f>
        <v>0</v>
      </c>
      <c r="AX5677" s="28"/>
      <c r="AY5677" s="28" t="n">
        <f aca="false">AX5677*$M5677</f>
        <v>0</v>
      </c>
      <c r="AZ5677" s="30" t="n">
        <f aca="false">869/100</f>
        <v>8.69</v>
      </c>
      <c r="BA5677" s="11" t="n">
        <v>1825</v>
      </c>
      <c r="BB5677" s="31" t="n">
        <f aca="false">SUM(Q5677,S5677,U5677,W5677,Y5677,AA5677,AC5677,AE5677,AG5677,AI5677,AK5677,AM5677,AO5677,AQ5677,AS5677,AU5677,AW5677,AY5677)</f>
        <v>1825</v>
      </c>
      <c r="BC5677" s="28" t="n">
        <f aca="false">BA5677-BB5677</f>
        <v>0</v>
      </c>
      <c r="BD5677" s="32" t="n">
        <f aca="false">SUM(P5677,R5677,T5677,V5677,X5677,Z5677,AB5677,AD5677,AF5677,AH5677,AJ5677,AL5677,AN5677,AP5677,AR5677,AT5677,AV5677,AX5677)</f>
        <v>8.69</v>
      </c>
      <c r="BE5677" s="33" t="n">
        <f aca="false">AZ5677-BD5677</f>
        <v>0</v>
      </c>
      <c r="BF5677" s="34" t="n">
        <f aca="false">BD5677*M5677</f>
        <v>1824.9</v>
      </c>
      <c r="BG5677" s="35" t="n">
        <f aca="false">BA5677-BF5677</f>
        <v>0.100000000000136</v>
      </c>
      <c r="BH5677" s="19" t="str">
        <f aca="false">IF(BG5677=0,"",IF(BG5677&lt;&gt;BA5677,"erreur de calcul",IF(BD5677&lt;&gt;0,"pas de prix",IF(M5677&lt;&gt; 0,"pas de quantité","pas de prix, ni de quantité"))))</f>
        <v>erreur de calcul</v>
      </c>
      <c r="BI5677" s="19"/>
    </row>
    <row r="5678" customFormat="false" ht="15" hidden="false" customHeight="false" outlineLevel="0" collapsed="false">
      <c r="A5678" s="0" t="n">
        <v>19</v>
      </c>
      <c r="B5678" s="8" t="s">
        <v>24</v>
      </c>
      <c r="C5678" s="9" t="s">
        <v>25</v>
      </c>
      <c r="D5678" s="9" t="s">
        <v>26</v>
      </c>
      <c r="E5678" s="10" t="n">
        <v>1789</v>
      </c>
      <c r="F5678" s="9" t="s">
        <v>27</v>
      </c>
      <c r="G5678" s="9" t="s">
        <v>27</v>
      </c>
      <c r="H5678" s="11" t="n">
        <v>20</v>
      </c>
      <c r="I5678" s="11" t="s">
        <v>135</v>
      </c>
      <c r="J5678" s="14" t="n">
        <v>170</v>
      </c>
      <c r="K5678" s="14"/>
      <c r="L5678" s="16"/>
      <c r="M5678" s="27" t="n">
        <f aca="false">J5678+(K5678/20)+(L5678/240)</f>
        <v>170</v>
      </c>
      <c r="N5678" s="17" t="s">
        <v>64</v>
      </c>
      <c r="O5678" s="11" t="s">
        <v>77</v>
      </c>
      <c r="P5678" s="28"/>
      <c r="Q5678" s="28" t="n">
        <f aca="false">P5678*$M5678</f>
        <v>0</v>
      </c>
      <c r="R5678" s="28"/>
      <c r="S5678" s="28" t="n">
        <f aca="false">R5678*$M5678</f>
        <v>0</v>
      </c>
      <c r="T5678" s="28"/>
      <c r="U5678" s="28" t="n">
        <f aca="false">T5678*$M5678</f>
        <v>0</v>
      </c>
      <c r="V5678" s="28"/>
      <c r="W5678" s="28" t="n">
        <f aca="false">V5678*$M5678</f>
        <v>0</v>
      </c>
      <c r="X5678" s="28"/>
      <c r="Y5678" s="28" t="n">
        <f aca="false">X5678*$M5678</f>
        <v>0</v>
      </c>
      <c r="Z5678" s="28"/>
      <c r="AA5678" s="28" t="n">
        <f aca="false">Z5678*$M5678</f>
        <v>0</v>
      </c>
      <c r="AB5678" s="28"/>
      <c r="AC5678" s="28" t="n">
        <f aca="false">AB5678*$M5678</f>
        <v>0</v>
      </c>
      <c r="AD5678" s="28"/>
      <c r="AE5678" s="28" t="n">
        <f aca="false">AD5678*$M5678</f>
        <v>0</v>
      </c>
      <c r="AF5678" s="28" t="n">
        <f aca="false">229459/100</f>
        <v>2294.59</v>
      </c>
      <c r="AG5678" s="28" t="n">
        <v>390080</v>
      </c>
      <c r="AH5678" s="28" t="n">
        <f aca="false">202301/100</f>
        <v>2023.01</v>
      </c>
      <c r="AI5678" s="28" t="n">
        <v>343912</v>
      </c>
      <c r="AJ5678" s="28"/>
      <c r="AK5678" s="28" t="n">
        <f aca="false">AJ5678*$M5678</f>
        <v>0</v>
      </c>
      <c r="AL5678" s="28"/>
      <c r="AM5678" s="28" t="n">
        <f aca="false">AL5678*$M5678</f>
        <v>0</v>
      </c>
      <c r="AN5678" s="28"/>
      <c r="AO5678" s="28" t="n">
        <f aca="false">AN5678*$M5678</f>
        <v>0</v>
      </c>
      <c r="AP5678" s="28"/>
      <c r="AQ5678" s="28" t="n">
        <f aca="false">AP5678*$M5678</f>
        <v>0</v>
      </c>
      <c r="AR5678" s="28"/>
      <c r="AS5678" s="28" t="n">
        <f aca="false">AR5678*$M5678</f>
        <v>0</v>
      </c>
      <c r="AT5678" s="28"/>
      <c r="AU5678" s="28" t="n">
        <f aca="false">AT5678*$M5678</f>
        <v>0</v>
      </c>
      <c r="AV5678" s="28"/>
      <c r="AW5678" s="28" t="n">
        <f aca="false">AV5678*$M5678</f>
        <v>0</v>
      </c>
      <c r="AX5678" s="28" t="n">
        <f aca="false">2736/100</f>
        <v>27.36</v>
      </c>
      <c r="AY5678" s="28" t="n">
        <v>4651</v>
      </c>
      <c r="AZ5678" s="30" t="n">
        <f aca="false">434496/100</f>
        <v>4344.96</v>
      </c>
      <c r="BA5678" s="11" t="n">
        <v>738643</v>
      </c>
      <c r="BB5678" s="31" t="n">
        <f aca="false">SUM(Q5678,S5678,U5678,W5678,Y5678,AA5678,AC5678,AE5678,AG5678,AI5678,AK5678,AM5678,AO5678,AQ5678,AS5678,AU5678,AW5678,AY5678)</f>
        <v>738643</v>
      </c>
      <c r="BC5678" s="28" t="n">
        <f aca="false">BA5678-BB5678</f>
        <v>0</v>
      </c>
      <c r="BD5678" s="32" t="n">
        <f aca="false">SUM(P5678,R5678,T5678,V5678,X5678,Z5678,AB5678,AD5678,AF5678,AH5678,AJ5678,AL5678,AN5678,AP5678,AR5678,AT5678,AV5678,AX5678)</f>
        <v>4344.96</v>
      </c>
      <c r="BE5678" s="33" t="n">
        <f aca="false">AZ5678-BD5678</f>
        <v>0</v>
      </c>
      <c r="BF5678" s="34" t="n">
        <f aca="false">BD5678*M5678</f>
        <v>738643.2</v>
      </c>
      <c r="BG5678" s="35" t="n">
        <f aca="false">BA5678-BF5678</f>
        <v>-0.199999999953434</v>
      </c>
      <c r="BH5678" s="19" t="str">
        <f aca="false">IF(BG5678=0,"",IF(BG5678&lt;&gt;BA5678,"erreur de calcul",IF(BD5678&lt;&gt;0,"pas de prix",IF(M5678&lt;&gt; 0,"pas de quantité","pas de prix, ni de quantité"))))</f>
        <v>erreur de calcul</v>
      </c>
      <c r="BI5678" s="19"/>
    </row>
    <row r="5679" customFormat="false" ht="15" hidden="false" customHeight="false" outlineLevel="0" collapsed="false">
      <c r="A5679" s="0" t="n">
        <v>20</v>
      </c>
      <c r="B5679" s="8" t="s">
        <v>24</v>
      </c>
      <c r="C5679" s="9" t="s">
        <v>25</v>
      </c>
      <c r="D5679" s="9" t="s">
        <v>26</v>
      </c>
      <c r="E5679" s="10" t="n">
        <v>1789</v>
      </c>
      <c r="F5679" s="9" t="s">
        <v>27</v>
      </c>
      <c r="G5679" s="9" t="s">
        <v>27</v>
      </c>
      <c r="H5679" s="11" t="n">
        <v>20</v>
      </c>
      <c r="I5679" s="11" t="s">
        <v>136</v>
      </c>
      <c r="J5679" s="14" t="n">
        <v>41</v>
      </c>
      <c r="K5679" s="14"/>
      <c r="L5679" s="16"/>
      <c r="M5679" s="27" t="n">
        <f aca="false">J5679+(K5679/20)+(L5679/240)</f>
        <v>41</v>
      </c>
      <c r="N5679" s="17" t="s">
        <v>64</v>
      </c>
      <c r="O5679" s="11"/>
      <c r="P5679" s="28" t="n">
        <f aca="false">1210/100</f>
        <v>12.1</v>
      </c>
      <c r="Q5679" s="28" t="n">
        <v>496</v>
      </c>
      <c r="R5679" s="28"/>
      <c r="S5679" s="28" t="n">
        <f aca="false">R5679*$M5679</f>
        <v>0</v>
      </c>
      <c r="T5679" s="28"/>
      <c r="U5679" s="28" t="n">
        <f aca="false">T5679*$M5679</f>
        <v>0</v>
      </c>
      <c r="V5679" s="28"/>
      <c r="W5679" s="28" t="n">
        <f aca="false">V5679*$M5679</f>
        <v>0</v>
      </c>
      <c r="X5679" s="28"/>
      <c r="Y5679" s="28" t="n">
        <f aca="false">X5679*$M5679</f>
        <v>0</v>
      </c>
      <c r="Z5679" s="28"/>
      <c r="AA5679" s="28" t="n">
        <f aca="false">Z5679*$M5679</f>
        <v>0</v>
      </c>
      <c r="AB5679" s="28"/>
      <c r="AC5679" s="28" t="n">
        <f aca="false">AB5679*$M5679</f>
        <v>0</v>
      </c>
      <c r="AD5679" s="28"/>
      <c r="AE5679" s="28" t="n">
        <f aca="false">AD5679*$M5679</f>
        <v>0</v>
      </c>
      <c r="AF5679" s="28"/>
      <c r="AG5679" s="28" t="n">
        <f aca="false">AF5679*$M5679</f>
        <v>0</v>
      </c>
      <c r="AH5679" s="28"/>
      <c r="AI5679" s="28" t="n">
        <f aca="false">AH5679*$M5679</f>
        <v>0</v>
      </c>
      <c r="AJ5679" s="28" t="n">
        <f aca="false">85034/100</f>
        <v>850.34</v>
      </c>
      <c r="AK5679" s="28" t="n">
        <v>34864</v>
      </c>
      <c r="AL5679" s="28" t="n">
        <f aca="false">1024/100</f>
        <v>10.24</v>
      </c>
      <c r="AM5679" s="28" t="n">
        <v>420</v>
      </c>
      <c r="AN5679" s="28"/>
      <c r="AO5679" s="28" t="n">
        <f aca="false">AN5679*$M5679</f>
        <v>0</v>
      </c>
      <c r="AP5679" s="28"/>
      <c r="AQ5679" s="28" t="n">
        <f aca="false">AP5679*$M5679</f>
        <v>0</v>
      </c>
      <c r="AR5679" s="28"/>
      <c r="AS5679" s="28" t="n">
        <f aca="false">AR5679*$M5679</f>
        <v>0</v>
      </c>
      <c r="AT5679" s="28"/>
      <c r="AU5679" s="28" t="n">
        <f aca="false">AT5679*$M5679</f>
        <v>0</v>
      </c>
      <c r="AV5679" s="28"/>
      <c r="AW5679" s="28" t="n">
        <f aca="false">AV5679*$M5679</f>
        <v>0</v>
      </c>
      <c r="AX5679" s="28"/>
      <c r="AY5679" s="28" t="n">
        <f aca="false">AX5679*$M5679</f>
        <v>0</v>
      </c>
      <c r="AZ5679" s="30" t="n">
        <f aca="false">87268/100</f>
        <v>872.68</v>
      </c>
      <c r="BA5679" s="11" t="n">
        <v>35780</v>
      </c>
      <c r="BB5679" s="31" t="n">
        <f aca="false">SUM(Q5679,S5679,U5679,W5679,Y5679,AA5679,AC5679,AE5679,AG5679,AI5679,AK5679,AM5679,AO5679,AQ5679,AS5679,AU5679,AW5679,AY5679)</f>
        <v>35780</v>
      </c>
      <c r="BC5679" s="28" t="n">
        <f aca="false">BA5679-BB5679</f>
        <v>0</v>
      </c>
      <c r="BD5679" s="32" t="n">
        <f aca="false">SUM(P5679,R5679,T5679,V5679,X5679,Z5679,AB5679,AD5679,AF5679,AH5679,AJ5679,AL5679,AN5679,AP5679,AR5679,AT5679,AV5679,AX5679)</f>
        <v>872.68</v>
      </c>
      <c r="BE5679" s="33" t="n">
        <f aca="false">AZ5679-BD5679</f>
        <v>0</v>
      </c>
      <c r="BF5679" s="34" t="n">
        <f aca="false">BD5679*M5679</f>
        <v>35779.88</v>
      </c>
      <c r="BG5679" s="35" t="n">
        <f aca="false">BA5679-BF5679</f>
        <v>0.119999999995343</v>
      </c>
      <c r="BH5679" s="19" t="str">
        <f aca="false">IF(BG5679=0,"",IF(BG5679&lt;&gt;BA5679,"erreur de calcul",IF(BD5679&lt;&gt;0,"pas de prix",IF(M5679&lt;&gt; 0,"pas de quantité","pas de prix, ni de quantité"))))</f>
        <v>erreur de calcul</v>
      </c>
      <c r="BI5679" s="19"/>
    </row>
    <row r="5680" customFormat="false" ht="15" hidden="false" customHeight="false" outlineLevel="0" collapsed="false">
      <c r="A5680" s="0" t="n">
        <v>21</v>
      </c>
      <c r="B5680" s="8" t="s">
        <v>24</v>
      </c>
      <c r="C5680" s="9" t="s">
        <v>25</v>
      </c>
      <c r="D5680" s="9" t="s">
        <v>26</v>
      </c>
      <c r="E5680" s="10" t="n">
        <v>1789</v>
      </c>
      <c r="F5680" s="9" t="s">
        <v>27</v>
      </c>
      <c r="G5680" s="9" t="s">
        <v>27</v>
      </c>
      <c r="H5680" s="11" t="n">
        <v>20</v>
      </c>
      <c r="I5680" s="11" t="s">
        <v>137</v>
      </c>
      <c r="J5680" s="14"/>
      <c r="K5680" s="14"/>
      <c r="L5680" s="16"/>
      <c r="M5680" s="27" t="n">
        <f aca="false">J5680+(K5680/20)+(L5680/240)</f>
        <v>0</v>
      </c>
      <c r="N5680" s="39" t="s">
        <v>138</v>
      </c>
      <c r="O5680" s="11"/>
      <c r="P5680" s="28" t="n">
        <v>337</v>
      </c>
      <c r="Q5680" s="28" t="n">
        <v>6250</v>
      </c>
      <c r="R5680" s="28"/>
      <c r="S5680" s="28" t="n">
        <f aca="false">R5680*$M5680</f>
        <v>0</v>
      </c>
      <c r="T5680" s="28"/>
      <c r="U5680" s="28" t="n">
        <f aca="false">T5680*$M5680</f>
        <v>0</v>
      </c>
      <c r="V5680" s="28" t="n">
        <v>760</v>
      </c>
      <c r="W5680" s="28" t="n">
        <v>18259</v>
      </c>
      <c r="X5680" s="28"/>
      <c r="Y5680" s="28" t="n">
        <f aca="false">X5680*$M5680</f>
        <v>0</v>
      </c>
      <c r="Z5680" s="28"/>
      <c r="AA5680" s="28" t="n">
        <f aca="false">Z5680*$M5680</f>
        <v>0</v>
      </c>
      <c r="AB5680" s="28"/>
      <c r="AC5680" s="28" t="n">
        <f aca="false">AB5680*$M5680</f>
        <v>0</v>
      </c>
      <c r="AD5680" s="28"/>
      <c r="AE5680" s="28" t="n">
        <f aca="false">AD5680*$M5680</f>
        <v>0</v>
      </c>
      <c r="AF5680" s="28"/>
      <c r="AG5680" s="28" t="n">
        <f aca="false">AF5680*$M5680</f>
        <v>0</v>
      </c>
      <c r="AH5680" s="28"/>
      <c r="AI5680" s="28" t="n">
        <f aca="false">AH5680*$M5680</f>
        <v>0</v>
      </c>
      <c r="AJ5680" s="28"/>
      <c r="AK5680" s="28" t="n">
        <f aca="false">AJ5680*$M5680</f>
        <v>0</v>
      </c>
      <c r="AL5680" s="28"/>
      <c r="AM5680" s="28" t="n">
        <f aca="false">AL5680*$M5680</f>
        <v>0</v>
      </c>
      <c r="AN5680" s="28"/>
      <c r="AO5680" s="28" t="n">
        <f aca="false">AN5680*$M5680</f>
        <v>0</v>
      </c>
      <c r="AP5680" s="28"/>
      <c r="AQ5680" s="28" t="n">
        <f aca="false">AP5680*$M5680</f>
        <v>0</v>
      </c>
      <c r="AR5680" s="28"/>
      <c r="AS5680" s="28" t="n">
        <f aca="false">AR5680*$M5680</f>
        <v>0</v>
      </c>
      <c r="AT5680" s="28"/>
      <c r="AU5680" s="28" t="n">
        <f aca="false">AT5680*$M5680</f>
        <v>0</v>
      </c>
      <c r="AV5680" s="28"/>
      <c r="AW5680" s="28" t="n">
        <f aca="false">AV5680*$M5680</f>
        <v>0</v>
      </c>
      <c r="AX5680" s="28"/>
      <c r="AY5680" s="28" t="n">
        <f aca="false">AX5680*$M5680</f>
        <v>0</v>
      </c>
      <c r="AZ5680" s="30" t="n">
        <f aca="false">1097</f>
        <v>1097</v>
      </c>
      <c r="BA5680" s="11" t="n">
        <v>24509</v>
      </c>
      <c r="BB5680" s="31" t="n">
        <f aca="false">SUM(Q5680,S5680,U5680,W5680,Y5680,AA5680,AC5680,AE5680,AG5680,AI5680,AK5680,AM5680,AO5680,AQ5680,AS5680,AU5680,AW5680,AY5680)</f>
        <v>24509</v>
      </c>
      <c r="BC5680" s="28" t="n">
        <f aca="false">BA5680-BB5680</f>
        <v>0</v>
      </c>
      <c r="BD5680" s="32" t="n">
        <f aca="false">SUM(P5680,R5680,T5680,V5680,X5680,Z5680,AB5680,AD5680,AF5680,AH5680,AJ5680,AL5680,AN5680,AP5680,AR5680,AT5680,AV5680,AX5680)</f>
        <v>1097</v>
      </c>
      <c r="BE5680" s="33" t="n">
        <f aca="false">AZ5680-BD5680</f>
        <v>0</v>
      </c>
      <c r="BF5680" s="34" t="n">
        <f aca="false">BD5680*M5680</f>
        <v>0</v>
      </c>
      <c r="BG5680" s="35" t="n">
        <f aca="false">BA5680-BF5680</f>
        <v>24509</v>
      </c>
      <c r="BH5680" s="19" t="str">
        <f aca="false">IF(BG5680=0,"",IF(BG5680&lt;&gt;BA5680,"erreur de calcul",IF(BD5680&lt;&gt;0,"pas de prix",IF(M5680&lt;&gt; 0,"pas de quantité","pas de prix, ni de quantité"))))</f>
        <v>pas de prix</v>
      </c>
      <c r="BI5680" s="19" t="s">
        <v>139</v>
      </c>
    </row>
    <row r="5681" customFormat="false" ht="15" hidden="false" customHeight="false" outlineLevel="0" collapsed="false">
      <c r="A5681" s="0" t="n">
        <v>22</v>
      </c>
      <c r="B5681" s="8" t="s">
        <v>24</v>
      </c>
      <c r="C5681" s="9" t="s">
        <v>25</v>
      </c>
      <c r="D5681" s="9" t="s">
        <v>26</v>
      </c>
      <c r="E5681" s="10" t="n">
        <v>1789</v>
      </c>
      <c r="F5681" s="9" t="s">
        <v>27</v>
      </c>
      <c r="G5681" s="9" t="s">
        <v>27</v>
      </c>
      <c r="H5681" s="11" t="n">
        <v>20</v>
      </c>
      <c r="I5681" s="11" t="s">
        <v>140</v>
      </c>
      <c r="J5681" s="14" t="n">
        <v>28</v>
      </c>
      <c r="K5681" s="14"/>
      <c r="L5681" s="16"/>
      <c r="M5681" s="27" t="n">
        <f aca="false">J5681+(K5681/20)+(L5681/240)</f>
        <v>28</v>
      </c>
      <c r="N5681" s="17" t="s">
        <v>64</v>
      </c>
      <c r="O5681" s="11"/>
      <c r="P5681" s="28"/>
      <c r="Q5681" s="28" t="n">
        <f aca="false">P5681*$M5681</f>
        <v>0</v>
      </c>
      <c r="R5681" s="28"/>
      <c r="S5681" s="28" t="n">
        <f aca="false">R5681*$M5681</f>
        <v>0</v>
      </c>
      <c r="T5681" s="28"/>
      <c r="U5681" s="28" t="n">
        <f aca="false">T5681*$M5681</f>
        <v>0</v>
      </c>
      <c r="V5681" s="28"/>
      <c r="W5681" s="28" t="n">
        <f aca="false">V5681*$M5681</f>
        <v>0</v>
      </c>
      <c r="X5681" s="28" t="n">
        <f aca="false">2572/100</f>
        <v>25.72</v>
      </c>
      <c r="Y5681" s="28" t="n">
        <v>720</v>
      </c>
      <c r="Z5681" s="28"/>
      <c r="AA5681" s="28" t="n">
        <f aca="false">Z5681*$M5681</f>
        <v>0</v>
      </c>
      <c r="AB5681" s="28"/>
      <c r="AC5681" s="28" t="n">
        <f aca="false">AB5681*$M5681</f>
        <v>0</v>
      </c>
      <c r="AD5681" s="28"/>
      <c r="AE5681" s="28" t="n">
        <f aca="false">AD5681*$M5681</f>
        <v>0</v>
      </c>
      <c r="AF5681" s="28" t="n">
        <f aca="false">3367/100</f>
        <v>33.67</v>
      </c>
      <c r="AG5681" s="36" t="n">
        <v>915</v>
      </c>
      <c r="AH5681" s="28"/>
      <c r="AI5681" s="28" t="n">
        <f aca="false">AH5681*$M5681</f>
        <v>0</v>
      </c>
      <c r="AJ5681" s="28"/>
      <c r="AK5681" s="28" t="n">
        <f aca="false">AJ5681*$M5681</f>
        <v>0</v>
      </c>
      <c r="AL5681" s="28"/>
      <c r="AM5681" s="28" t="n">
        <f aca="false">AL5681*$M5681</f>
        <v>0</v>
      </c>
      <c r="AN5681" s="28"/>
      <c r="AO5681" s="28" t="n">
        <f aca="false">AN5681*$M5681</f>
        <v>0</v>
      </c>
      <c r="AP5681" s="28"/>
      <c r="AQ5681" s="28" t="n">
        <f aca="false">AP5681*$M5681</f>
        <v>0</v>
      </c>
      <c r="AR5681" s="28"/>
      <c r="AS5681" s="28" t="n">
        <f aca="false">AR5681*$M5681</f>
        <v>0</v>
      </c>
      <c r="AT5681" s="28"/>
      <c r="AU5681" s="28" t="n">
        <f aca="false">AT5681*$M5681</f>
        <v>0</v>
      </c>
      <c r="AV5681" s="28"/>
      <c r="AW5681" s="28" t="n">
        <f aca="false">AV5681*$M5681</f>
        <v>0</v>
      </c>
      <c r="AX5681" s="28"/>
      <c r="AY5681" s="28" t="n">
        <f aca="false">AX5681*$M5681</f>
        <v>0</v>
      </c>
      <c r="AZ5681" s="30" t="n">
        <f aca="false">5939/100</f>
        <v>59.39</v>
      </c>
      <c r="BA5681" s="11" t="n">
        <v>1635</v>
      </c>
      <c r="BB5681" s="31" t="n">
        <f aca="false">SUM(Q5681,S5681,U5681,W5681,Y5681,AA5681,AC5681,AE5681,AG5681,AI5681,AK5681,AM5681,AO5681,AQ5681,AS5681,AU5681,AW5681,AY5681)</f>
        <v>1635</v>
      </c>
      <c r="BC5681" s="28" t="n">
        <f aca="false">BA5681-BB5681</f>
        <v>0</v>
      </c>
      <c r="BD5681" s="32" t="n">
        <f aca="false">SUM(P5681,R5681,T5681,V5681,X5681,Z5681,AB5681,AD5681,AF5681,AH5681,AJ5681,AL5681,AN5681,AP5681,AR5681,AT5681,AV5681,AX5681)</f>
        <v>59.39</v>
      </c>
      <c r="BE5681" s="33" t="n">
        <f aca="false">AZ5681-BD5681</f>
        <v>0</v>
      </c>
      <c r="BF5681" s="34" t="n">
        <f aca="false">BD5681*M5681</f>
        <v>1662.92</v>
      </c>
      <c r="BG5681" s="35" t="n">
        <f aca="false">BA5681-BF5681</f>
        <v>-27.9200000000001</v>
      </c>
      <c r="BH5681" s="19" t="str">
        <f aca="false">IF(BG5681=0,"",IF(BG5681&lt;&gt;BA5681,"erreur de calcul",IF(BD5681&lt;&gt;0,"pas de prix",IF(M5681&lt;&gt; 0,"pas de quantité","pas de prix, ni de quantité"))))</f>
        <v>erreur de calcul</v>
      </c>
      <c r="BI5681" s="19"/>
    </row>
    <row r="5682" customFormat="false" ht="15" hidden="false" customHeight="false" outlineLevel="0" collapsed="false">
      <c r="A5682" s="0" t="n">
        <v>23</v>
      </c>
      <c r="B5682" s="8" t="s">
        <v>24</v>
      </c>
      <c r="C5682" s="9" t="s">
        <v>25</v>
      </c>
      <c r="D5682" s="9" t="s">
        <v>26</v>
      </c>
      <c r="E5682" s="10" t="n">
        <v>1789</v>
      </c>
      <c r="F5682" s="9" t="s">
        <v>27</v>
      </c>
      <c r="G5682" s="9" t="s">
        <v>27</v>
      </c>
      <c r="H5682" s="11" t="n">
        <v>20</v>
      </c>
      <c r="I5682" s="11" t="s">
        <v>141</v>
      </c>
      <c r="J5682" s="14" t="n">
        <v>50</v>
      </c>
      <c r="K5682" s="14"/>
      <c r="L5682" s="16"/>
      <c r="M5682" s="27" t="n">
        <f aca="false">J5682+(K5682/20)+(L5682/240)</f>
        <v>50</v>
      </c>
      <c r="N5682" s="17" t="s">
        <v>64</v>
      </c>
      <c r="O5682" s="11"/>
      <c r="P5682" s="28" t="n">
        <f aca="false">79168/100</f>
        <v>791.68</v>
      </c>
      <c r="Q5682" s="28" t="n">
        <v>39584</v>
      </c>
      <c r="R5682" s="28"/>
      <c r="S5682" s="28" t="n">
        <f aca="false">R5682*$M5682</f>
        <v>0</v>
      </c>
      <c r="T5682" s="28" t="n">
        <f aca="false">18545/100</f>
        <v>185.45</v>
      </c>
      <c r="U5682" s="28" t="n">
        <v>9272</v>
      </c>
      <c r="V5682" s="28" t="n">
        <f aca="false">10784/100</f>
        <v>107.84</v>
      </c>
      <c r="W5682" s="28" t="n">
        <v>5392</v>
      </c>
      <c r="X5682" s="28" t="n">
        <f aca="false">22033/100</f>
        <v>220.33</v>
      </c>
      <c r="Y5682" s="28" t="n">
        <v>11016</v>
      </c>
      <c r="Z5682" s="28" t="n">
        <f aca="false">4478/100</f>
        <v>44.78</v>
      </c>
      <c r="AA5682" s="28" t="n">
        <v>2239</v>
      </c>
      <c r="AB5682" s="28" t="n">
        <f aca="false">8901/100</f>
        <v>89.01</v>
      </c>
      <c r="AC5682" s="28" t="n">
        <v>4450</v>
      </c>
      <c r="AD5682" s="28"/>
      <c r="AE5682" s="28" t="n">
        <f aca="false">AD5682*$M5682</f>
        <v>0</v>
      </c>
      <c r="AF5682" s="28"/>
      <c r="AG5682" s="28" t="n">
        <f aca="false">AF5682*$M5682</f>
        <v>0</v>
      </c>
      <c r="AH5682" s="28"/>
      <c r="AI5682" s="28" t="n">
        <f aca="false">AH5682*$M5682</f>
        <v>0</v>
      </c>
      <c r="AJ5682" s="28" t="n">
        <f aca="false">2917/100</f>
        <v>29.17</v>
      </c>
      <c r="AK5682" s="28" t="n">
        <v>1458</v>
      </c>
      <c r="AL5682" s="28"/>
      <c r="AM5682" s="28" t="n">
        <f aca="false">AL5682*$M5682</f>
        <v>0</v>
      </c>
      <c r="AN5682" s="28"/>
      <c r="AO5682" s="28" t="n">
        <f aca="false">AN5682*$M5682</f>
        <v>0</v>
      </c>
      <c r="AP5682" s="28"/>
      <c r="AQ5682" s="28" t="n">
        <f aca="false">AP5682*$M5682</f>
        <v>0</v>
      </c>
      <c r="AR5682" s="28"/>
      <c r="AS5682" s="28" t="n">
        <f aca="false">AR5682*$M5682</f>
        <v>0</v>
      </c>
      <c r="AT5682" s="28"/>
      <c r="AU5682" s="28" t="n">
        <f aca="false">AT5682*$M5682</f>
        <v>0</v>
      </c>
      <c r="AV5682" s="28" t="n">
        <f aca="false">6667/100</f>
        <v>66.67</v>
      </c>
      <c r="AW5682" s="28" t="n">
        <v>3333</v>
      </c>
      <c r="AX5682" s="28"/>
      <c r="AY5682" s="28" t="n">
        <f aca="false">AX5682*$M5682</f>
        <v>0</v>
      </c>
      <c r="AZ5682" s="30" t="n">
        <f aca="false">153493/100</f>
        <v>1534.93</v>
      </c>
      <c r="BA5682" s="11" t="n">
        <v>76744</v>
      </c>
      <c r="BB5682" s="31" t="n">
        <f aca="false">SUM(Q5682,S5682,U5682,W5682,Y5682,AA5682,AC5682,AE5682,AG5682,AI5682,AK5682,AM5682,AO5682,AQ5682,AS5682,AU5682,AW5682,AY5682)</f>
        <v>76744</v>
      </c>
      <c r="BC5682" s="28" t="n">
        <f aca="false">BA5682-BB5682</f>
        <v>0</v>
      </c>
      <c r="BD5682" s="32" t="n">
        <f aca="false">SUM(P5682,R5682,T5682,V5682,X5682,Z5682,AB5682,AD5682,AF5682,AH5682,AJ5682,AL5682,AN5682,AP5682,AR5682,AT5682,AV5682,AX5682)</f>
        <v>1534.93</v>
      </c>
      <c r="BE5682" s="33" t="n">
        <f aca="false">AZ5682-BD5682</f>
        <v>0</v>
      </c>
      <c r="BF5682" s="34" t="n">
        <f aca="false">BD5682*M5682</f>
        <v>76746.5</v>
      </c>
      <c r="BG5682" s="35" t="n">
        <f aca="false">BA5682-BF5682</f>
        <v>-2.49999999998545</v>
      </c>
      <c r="BH5682" s="19" t="str">
        <f aca="false">IF(BG5682=0,"",IF(BG5682&lt;&gt;BA5682,"erreur de calcul",IF(BD5682&lt;&gt;0,"pas de prix",IF(M5682&lt;&gt; 0,"pas de quantité","pas de prix, ni de quantité"))))</f>
        <v>erreur de calcul</v>
      </c>
      <c r="BI5682" s="19"/>
    </row>
    <row r="5683" customFormat="false" ht="15" hidden="false" customHeight="false" outlineLevel="0" collapsed="false">
      <c r="A5683" s="0" t="n">
        <v>24</v>
      </c>
      <c r="B5683" s="8" t="s">
        <v>24</v>
      </c>
      <c r="C5683" s="9" t="s">
        <v>25</v>
      </c>
      <c r="D5683" s="9" t="s">
        <v>26</v>
      </c>
      <c r="E5683" s="10" t="n">
        <v>1789</v>
      </c>
      <c r="F5683" s="9" t="s">
        <v>27</v>
      </c>
      <c r="G5683" s="9" t="s">
        <v>27</v>
      </c>
      <c r="H5683" s="11" t="n">
        <v>20</v>
      </c>
      <c r="I5683" s="11" t="s">
        <v>142</v>
      </c>
      <c r="J5683" s="14" t="n">
        <v>12</v>
      </c>
      <c r="K5683" s="14"/>
      <c r="L5683" s="16"/>
      <c r="M5683" s="27" t="n">
        <f aca="false">J5683+(K5683/20)+(L5683/240)</f>
        <v>12</v>
      </c>
      <c r="N5683" s="17" t="s">
        <v>66</v>
      </c>
      <c r="O5683" s="11"/>
      <c r="P5683" s="28"/>
      <c r="Q5683" s="28" t="n">
        <f aca="false">P5683*$M5683</f>
        <v>0</v>
      </c>
      <c r="R5683" s="28"/>
      <c r="S5683" s="28" t="n">
        <f aca="false">R5683*$M5683</f>
        <v>0</v>
      </c>
      <c r="T5683" s="28"/>
      <c r="U5683" s="28" t="n">
        <f aca="false">T5683*$M5683</f>
        <v>0</v>
      </c>
      <c r="V5683" s="28"/>
      <c r="W5683" s="28" t="n">
        <f aca="false">V5683*$M5683</f>
        <v>0</v>
      </c>
      <c r="X5683" s="28"/>
      <c r="Y5683" s="28" t="n">
        <f aca="false">X5683*$M5683</f>
        <v>0</v>
      </c>
      <c r="Z5683" s="28" t="n">
        <v>21</v>
      </c>
      <c r="AA5683" s="28" t="n">
        <v>252</v>
      </c>
      <c r="AB5683" s="28" t="n">
        <v>672</v>
      </c>
      <c r="AC5683" s="28" t="n">
        <v>8064</v>
      </c>
      <c r="AD5683" s="28"/>
      <c r="AE5683" s="28" t="n">
        <f aca="false">AD5683*$M5683</f>
        <v>0</v>
      </c>
      <c r="AF5683" s="28"/>
      <c r="AG5683" s="28" t="n">
        <f aca="false">AF5683*$M5683</f>
        <v>0</v>
      </c>
      <c r="AH5683" s="28"/>
      <c r="AI5683" s="28" t="n">
        <f aca="false">AH5683*$M5683</f>
        <v>0</v>
      </c>
      <c r="AJ5683" s="28"/>
      <c r="AK5683" s="28" t="n">
        <f aca="false">AJ5683*$M5683</f>
        <v>0</v>
      </c>
      <c r="AL5683" s="28"/>
      <c r="AM5683" s="28" t="n">
        <f aca="false">AL5683*$M5683</f>
        <v>0</v>
      </c>
      <c r="AN5683" s="28"/>
      <c r="AO5683" s="28" t="n">
        <f aca="false">AN5683*$M5683</f>
        <v>0</v>
      </c>
      <c r="AP5683" s="28"/>
      <c r="AQ5683" s="28" t="n">
        <f aca="false">AP5683*$M5683</f>
        <v>0</v>
      </c>
      <c r="AR5683" s="28"/>
      <c r="AS5683" s="28" t="n">
        <f aca="false">AR5683*$M5683</f>
        <v>0</v>
      </c>
      <c r="AT5683" s="28"/>
      <c r="AU5683" s="28" t="n">
        <f aca="false">AT5683*$M5683</f>
        <v>0</v>
      </c>
      <c r="AV5683" s="28"/>
      <c r="AW5683" s="28" t="n">
        <f aca="false">AV5683*$M5683</f>
        <v>0</v>
      </c>
      <c r="AX5683" s="28"/>
      <c r="AY5683" s="28" t="n">
        <f aca="false">AX5683*$M5683</f>
        <v>0</v>
      </c>
      <c r="AZ5683" s="30" t="n">
        <v>693</v>
      </c>
      <c r="BA5683" s="11" t="n">
        <v>8316</v>
      </c>
      <c r="BB5683" s="31" t="n">
        <f aca="false">SUM(Q5683,S5683,U5683,W5683,Y5683,AA5683,AC5683,AE5683,AG5683,AI5683,AK5683,AM5683,AO5683,AQ5683,AS5683,AU5683,AW5683,AY5683)</f>
        <v>8316</v>
      </c>
      <c r="BC5683" s="28" t="n">
        <f aca="false">BA5683-BB5683</f>
        <v>0</v>
      </c>
      <c r="BD5683" s="32" t="n">
        <f aca="false">SUM(P5683,R5683,T5683,V5683,X5683,Z5683,AB5683,AD5683,AF5683,AH5683,AJ5683,AL5683,AN5683,AP5683,AR5683,AT5683,AV5683,AX5683)</f>
        <v>693</v>
      </c>
      <c r="BE5683" s="33" t="n">
        <f aca="false">AZ5683-BD5683</f>
        <v>0</v>
      </c>
      <c r="BF5683" s="34" t="n">
        <f aca="false">BD5683*M5683</f>
        <v>8316</v>
      </c>
      <c r="BG5683" s="35" t="n">
        <f aca="false">BA5683-BF5683</f>
        <v>0</v>
      </c>
      <c r="BH5683" s="19" t="str">
        <f aca="false">IF(BG5683=0,"",IF(BG5683&lt;&gt;BA5683,"erreur de calcul",IF(BD5683&lt;&gt;0,"pas de prix",IF(M5683&lt;&gt; 0,"pas de quantité","pas de prix, ni de quantité"))))</f>
        <v/>
      </c>
      <c r="BI5683" s="19"/>
    </row>
    <row r="5684" customFormat="false" ht="15" hidden="false" customHeight="false" outlineLevel="0" collapsed="false">
      <c r="A5684" s="0" t="n">
        <v>25</v>
      </c>
      <c r="B5684" s="8" t="s">
        <v>24</v>
      </c>
      <c r="C5684" s="9" t="s">
        <v>25</v>
      </c>
      <c r="D5684" s="9" t="s">
        <v>26</v>
      </c>
      <c r="E5684" s="10" t="n">
        <v>1789</v>
      </c>
      <c r="F5684" s="9" t="s">
        <v>27</v>
      </c>
      <c r="G5684" s="9" t="s">
        <v>27</v>
      </c>
      <c r="H5684" s="11" t="n">
        <v>20</v>
      </c>
      <c r="I5684" s="11" t="s">
        <v>143</v>
      </c>
      <c r="J5684" s="14" t="n">
        <v>8</v>
      </c>
      <c r="K5684" s="14"/>
      <c r="L5684" s="16"/>
      <c r="M5684" s="27" t="n">
        <f aca="false">J5684+(K5684/20)+(L5684/240)</f>
        <v>8</v>
      </c>
      <c r="N5684" s="17" t="s">
        <v>85</v>
      </c>
      <c r="O5684" s="11"/>
      <c r="P5684" s="28" t="n">
        <f aca="false">74969/100</f>
        <v>749.69</v>
      </c>
      <c r="Q5684" s="28" t="n">
        <v>5997</v>
      </c>
      <c r="R5684" s="28"/>
      <c r="S5684" s="28" t="n">
        <f aca="false">R5684*$M5684</f>
        <v>0</v>
      </c>
      <c r="T5684" s="28" t="n">
        <f aca="false">58256/100</f>
        <v>582.56</v>
      </c>
      <c r="U5684" s="28" t="n">
        <v>4660</v>
      </c>
      <c r="V5684" s="28" t="n">
        <f aca="false">14450/100</f>
        <v>144.5</v>
      </c>
      <c r="W5684" s="28" t="n">
        <v>1156</v>
      </c>
      <c r="X5684" s="28" t="n">
        <f aca="false">4397/100</f>
        <v>43.97</v>
      </c>
      <c r="Y5684" s="28" t="n">
        <v>352</v>
      </c>
      <c r="Z5684" s="28"/>
      <c r="AA5684" s="28" t="n">
        <f aca="false">Z5684*$M5684</f>
        <v>0</v>
      </c>
      <c r="AB5684" s="28" t="n">
        <f aca="false">6400/100</f>
        <v>64</v>
      </c>
      <c r="AC5684" s="28" t="n">
        <v>512</v>
      </c>
      <c r="AD5684" s="28" t="n">
        <f aca="false">19450/100</f>
        <v>194.5</v>
      </c>
      <c r="AE5684" s="28" t="n">
        <v>1556</v>
      </c>
      <c r="AF5684" s="28" t="n">
        <f aca="false">2496/100</f>
        <v>24.96</v>
      </c>
      <c r="AG5684" s="28" t="n">
        <v>200</v>
      </c>
      <c r="AH5684" s="28"/>
      <c r="AI5684" s="28" t="n">
        <f aca="false">AH5684*$M5684</f>
        <v>0</v>
      </c>
      <c r="AJ5684" s="28"/>
      <c r="AK5684" s="28" t="n">
        <f aca="false">AJ5684*$M5684</f>
        <v>0</v>
      </c>
      <c r="AL5684" s="28"/>
      <c r="AM5684" s="28" t="n">
        <f aca="false">AL5684*$M5684</f>
        <v>0</v>
      </c>
      <c r="AN5684" s="28"/>
      <c r="AO5684" s="28" t="n">
        <f aca="false">AN5684*$M5684</f>
        <v>0</v>
      </c>
      <c r="AP5684" s="28"/>
      <c r="AQ5684" s="28" t="n">
        <f aca="false">AP5684*$M5684</f>
        <v>0</v>
      </c>
      <c r="AR5684" s="28"/>
      <c r="AS5684" s="28" t="n">
        <f aca="false">AR5684*$M5684</f>
        <v>0</v>
      </c>
      <c r="AT5684" s="28"/>
      <c r="AU5684" s="28" t="n">
        <f aca="false">AT5684*$M5684</f>
        <v>0</v>
      </c>
      <c r="AV5684" s="28"/>
      <c r="AW5684" s="28" t="n">
        <f aca="false">AV5684*$M5684</f>
        <v>0</v>
      </c>
      <c r="AX5684" s="28"/>
      <c r="AY5684" s="28" t="n">
        <f aca="false">AX5684*$M5684</f>
        <v>0</v>
      </c>
      <c r="AZ5684" s="30" t="n">
        <f aca="false">180418/100</f>
        <v>1804.18</v>
      </c>
      <c r="BA5684" s="11" t="n">
        <v>14433</v>
      </c>
      <c r="BB5684" s="31" t="n">
        <f aca="false">SUM(Q5684,S5684,U5684,W5684,Y5684,AA5684,AC5684,AE5684,AG5684,AI5684,AK5684,AM5684,AO5684,AQ5684,AS5684,AU5684,AW5684,AY5684)</f>
        <v>14433</v>
      </c>
      <c r="BC5684" s="28" t="n">
        <f aca="false">BA5684-BB5684</f>
        <v>0</v>
      </c>
      <c r="BD5684" s="32" t="n">
        <f aca="false">SUM(P5684,R5684,T5684,V5684,X5684,Z5684,AB5684,AD5684,AF5684,AH5684,AJ5684,AL5684,AN5684,AP5684,AR5684,AT5684,AV5684,AX5684)</f>
        <v>1804.18</v>
      </c>
      <c r="BE5684" s="33" t="n">
        <f aca="false">AZ5684-BD5684</f>
        <v>0</v>
      </c>
      <c r="BF5684" s="34" t="n">
        <f aca="false">BD5684*M5684</f>
        <v>14433.44</v>
      </c>
      <c r="BG5684" s="35" t="n">
        <f aca="false">BA5684-BF5684</f>
        <v>-0.440000000000509</v>
      </c>
      <c r="BH5684" s="19" t="str">
        <f aca="false">IF(BG5684=0,"",IF(BG5684&lt;&gt;BA5684,"erreur de calcul",IF(BD5684&lt;&gt;0,"pas de prix",IF(M5684&lt;&gt; 0,"pas de quantité","pas de prix, ni de quantité"))))</f>
        <v>erreur de calcul</v>
      </c>
      <c r="BI5684" s="19"/>
    </row>
    <row r="5685" customFormat="false" ht="15" hidden="false" customHeight="false" outlineLevel="0" collapsed="false">
      <c r="A5685" s="0" t="n">
        <v>26</v>
      </c>
      <c r="B5685" s="8" t="s">
        <v>24</v>
      </c>
      <c r="C5685" s="9" t="s">
        <v>25</v>
      </c>
      <c r="D5685" s="9" t="s">
        <v>26</v>
      </c>
      <c r="E5685" s="10" t="n">
        <v>1789</v>
      </c>
      <c r="F5685" s="9" t="s">
        <v>27</v>
      </c>
      <c r="G5685" s="9" t="s">
        <v>27</v>
      </c>
      <c r="H5685" s="11" t="n">
        <v>20</v>
      </c>
      <c r="I5685" s="11" t="s">
        <v>144</v>
      </c>
      <c r="J5685" s="14" t="n">
        <v>3</v>
      </c>
      <c r="K5685" s="14"/>
      <c r="L5685" s="16"/>
      <c r="M5685" s="27" t="n">
        <f aca="false">J5685+(K5685/20)+(L5685/240)</f>
        <v>3</v>
      </c>
      <c r="N5685" s="17" t="s">
        <v>66</v>
      </c>
      <c r="O5685" s="11"/>
      <c r="P5685" s="28"/>
      <c r="Q5685" s="28" t="n">
        <f aca="false">P5685*$M5685</f>
        <v>0</v>
      </c>
      <c r="R5685" s="28"/>
      <c r="S5685" s="28" t="n">
        <f aca="false">R5685*$M5685</f>
        <v>0</v>
      </c>
      <c r="T5685" s="28" t="n">
        <v>24347</v>
      </c>
      <c r="U5685" s="28" t="n">
        <v>73041</v>
      </c>
      <c r="V5685" s="28" t="n">
        <v>2300</v>
      </c>
      <c r="W5685" s="28" t="n">
        <v>6900</v>
      </c>
      <c r="X5685" s="28" t="n">
        <v>152</v>
      </c>
      <c r="Y5685" s="28" t="n">
        <v>456</v>
      </c>
      <c r="Z5685" s="28"/>
      <c r="AA5685" s="28" t="n">
        <f aca="false">Z5685*$M5685</f>
        <v>0</v>
      </c>
      <c r="AB5685" s="28" t="n">
        <v>53940</v>
      </c>
      <c r="AC5685" s="28" t="n">
        <v>161820</v>
      </c>
      <c r="AD5685" s="28"/>
      <c r="AE5685" s="28" t="n">
        <f aca="false">AD5685*$M5685</f>
        <v>0</v>
      </c>
      <c r="AF5685" s="28"/>
      <c r="AG5685" s="28" t="n">
        <f aca="false">AF5685*$M5685</f>
        <v>0</v>
      </c>
      <c r="AH5685" s="28" t="n">
        <v>1668909</v>
      </c>
      <c r="AI5685" s="28" t="n">
        <v>5006727</v>
      </c>
      <c r="AJ5685" s="28"/>
      <c r="AK5685" s="28" t="n">
        <f aca="false">AJ5685*$M5685</f>
        <v>0</v>
      </c>
      <c r="AL5685" s="28"/>
      <c r="AM5685" s="28" t="n">
        <f aca="false">AL5685*$M5685</f>
        <v>0</v>
      </c>
      <c r="AN5685" s="28" t="n">
        <v>165</v>
      </c>
      <c r="AO5685" s="28" t="n">
        <v>495</v>
      </c>
      <c r="AP5685" s="28"/>
      <c r="AQ5685" s="28" t="n">
        <f aca="false">AP5685*$M5685</f>
        <v>0</v>
      </c>
      <c r="AR5685" s="28"/>
      <c r="AS5685" s="28" t="n">
        <f aca="false">AR5685*$M5685</f>
        <v>0</v>
      </c>
      <c r="AT5685" s="28"/>
      <c r="AU5685" s="28" t="n">
        <f aca="false">AT5685*$M5685</f>
        <v>0</v>
      </c>
      <c r="AV5685" s="28"/>
      <c r="AW5685" s="28" t="n">
        <f aca="false">AV5685*$M5685</f>
        <v>0</v>
      </c>
      <c r="AX5685" s="28"/>
      <c r="AY5685" s="28" t="n">
        <f aca="false">AX5685*$M5685</f>
        <v>0</v>
      </c>
      <c r="AZ5685" s="30" t="n">
        <v>1736540</v>
      </c>
      <c r="BA5685" s="11" t="n">
        <v>5249439</v>
      </c>
      <c r="BB5685" s="31" t="n">
        <f aca="false">SUM(Q5685,S5685,U5685,W5685,Y5685,AA5685,AC5685,AE5685,AG5685,AI5685,AK5685,AM5685,AO5685,AQ5685,AS5685,AU5685,AW5685,AY5685)</f>
        <v>5249439</v>
      </c>
      <c r="BC5685" s="28" t="n">
        <f aca="false">BA5685-BB5685</f>
        <v>0</v>
      </c>
      <c r="BD5685" s="32" t="n">
        <f aca="false">SUM(P5685,R5685,T5685,V5685,X5685,Z5685,AB5685,AD5685,AF5685,AH5685,AJ5685,AL5685,AN5685,AP5685,AR5685,AT5685,AV5685,AX5685)</f>
        <v>1749813</v>
      </c>
      <c r="BE5685" s="33" t="n">
        <f aca="false">AZ5685-BD5685</f>
        <v>-13273</v>
      </c>
      <c r="BF5685" s="34" t="n">
        <f aca="false">BD5685*M5685</f>
        <v>5249439</v>
      </c>
      <c r="BG5685" s="35" t="n">
        <f aca="false">BA5685-BF5685</f>
        <v>0</v>
      </c>
      <c r="BH5685" s="19" t="str">
        <f aca="false">IF(BG5685=0,"",IF(BG5685&lt;&gt;BA5685,"erreur de calcul",IF(BD5685&lt;&gt;0,"pas de prix",IF(M5685&lt;&gt; 0,"pas de quantité","pas de prix, ni de quantité"))))</f>
        <v/>
      </c>
      <c r="BI5685" s="19"/>
    </row>
    <row r="5686" customFormat="false" ht="15" hidden="false" customHeight="false" outlineLevel="0" collapsed="false">
      <c r="A5686" s="0" t="n">
        <v>27</v>
      </c>
      <c r="B5686" s="8" t="s">
        <v>24</v>
      </c>
      <c r="C5686" s="9" t="s">
        <v>25</v>
      </c>
      <c r="D5686" s="9" t="s">
        <v>26</v>
      </c>
      <c r="E5686" s="10" t="n">
        <v>1789</v>
      </c>
      <c r="F5686" s="9" t="s">
        <v>27</v>
      </c>
      <c r="G5686" s="9" t="s">
        <v>27</v>
      </c>
      <c r="H5686" s="11" t="n">
        <v>20</v>
      </c>
      <c r="I5686" s="11" t="s">
        <v>145</v>
      </c>
      <c r="J5686" s="14" t="n">
        <v>4</v>
      </c>
      <c r="K5686" s="14" t="n">
        <v>18</v>
      </c>
      <c r="L5686" s="16"/>
      <c r="M5686" s="27" t="n">
        <f aca="false">J5686+(K5686/20)+(L5686/240)</f>
        <v>4.9</v>
      </c>
      <c r="N5686" s="17" t="s">
        <v>66</v>
      </c>
      <c r="O5686" s="11"/>
      <c r="P5686" s="28"/>
      <c r="Q5686" s="28" t="n">
        <f aca="false">P5686*$M5686</f>
        <v>0</v>
      </c>
      <c r="R5686" s="28"/>
      <c r="S5686" s="28" t="n">
        <f aca="false">R5686*$M5686</f>
        <v>0</v>
      </c>
      <c r="T5686" s="28"/>
      <c r="U5686" s="28" t="n">
        <f aca="false">T5686*$M5686</f>
        <v>0</v>
      </c>
      <c r="V5686" s="28"/>
      <c r="W5686" s="28" t="n">
        <f aca="false">V5686*$M5686</f>
        <v>0</v>
      </c>
      <c r="X5686" s="28"/>
      <c r="Y5686" s="28" t="n">
        <f aca="false">X5686*$M5686</f>
        <v>0</v>
      </c>
      <c r="Z5686" s="28"/>
      <c r="AA5686" s="28" t="n">
        <f aca="false">Z5686*$M5686</f>
        <v>0</v>
      </c>
      <c r="AB5686" s="28"/>
      <c r="AC5686" s="28" t="n">
        <f aca="false">AB5686*$M5686</f>
        <v>0</v>
      </c>
      <c r="AD5686" s="28"/>
      <c r="AE5686" s="28" t="n">
        <f aca="false">AD5686*$M5686</f>
        <v>0</v>
      </c>
      <c r="AF5686" s="28"/>
      <c r="AG5686" s="28" t="n">
        <f aca="false">AF5686*$M5686</f>
        <v>0</v>
      </c>
      <c r="AH5686" s="28" t="n">
        <v>14916</v>
      </c>
      <c r="AI5686" s="28" t="n">
        <v>73088</v>
      </c>
      <c r="AJ5686" s="28"/>
      <c r="AK5686" s="28" t="n">
        <f aca="false">AJ5686*$M5686</f>
        <v>0</v>
      </c>
      <c r="AL5686" s="28"/>
      <c r="AM5686" s="28" t="n">
        <f aca="false">AL5686*$M5686</f>
        <v>0</v>
      </c>
      <c r="AN5686" s="28"/>
      <c r="AO5686" s="28" t="n">
        <f aca="false">AN5686*$M5686</f>
        <v>0</v>
      </c>
      <c r="AP5686" s="28"/>
      <c r="AQ5686" s="28" t="n">
        <f aca="false">AP5686*$M5686</f>
        <v>0</v>
      </c>
      <c r="AR5686" s="28"/>
      <c r="AS5686" s="28" t="n">
        <f aca="false">AR5686*$M5686</f>
        <v>0</v>
      </c>
      <c r="AT5686" s="28"/>
      <c r="AU5686" s="28" t="n">
        <f aca="false">AT5686*$M5686</f>
        <v>0</v>
      </c>
      <c r="AV5686" s="28"/>
      <c r="AW5686" s="28" t="n">
        <f aca="false">AV5686*$M5686</f>
        <v>0</v>
      </c>
      <c r="AX5686" s="28"/>
      <c r="AY5686" s="28" t="n">
        <f aca="false">AX5686*$M5686</f>
        <v>0</v>
      </c>
      <c r="AZ5686" s="30" t="n">
        <v>14916</v>
      </c>
      <c r="BA5686" s="11" t="n">
        <v>73088</v>
      </c>
      <c r="BB5686" s="31" t="n">
        <f aca="false">SUM(Q5686,S5686,U5686,W5686,Y5686,AA5686,AC5686,AE5686,AG5686,AI5686,AK5686,AM5686,AO5686,AQ5686,AS5686,AU5686,AW5686,AY5686)</f>
        <v>73088</v>
      </c>
      <c r="BC5686" s="28" t="n">
        <f aca="false">BA5686-BB5686</f>
        <v>0</v>
      </c>
      <c r="BD5686" s="32" t="n">
        <f aca="false">SUM(P5686,R5686,T5686,V5686,X5686,Z5686,AB5686,AD5686,AF5686,AH5686,AJ5686,AL5686,AN5686,AP5686,AR5686,AT5686,AV5686,AX5686)</f>
        <v>14916</v>
      </c>
      <c r="BE5686" s="33" t="n">
        <f aca="false">AZ5686-BD5686</f>
        <v>0</v>
      </c>
      <c r="BF5686" s="34" t="n">
        <f aca="false">BD5686*M5686</f>
        <v>73088.4</v>
      </c>
      <c r="BG5686" s="35" t="n">
        <f aca="false">BA5686-BF5686</f>
        <v>-0.400000000008731</v>
      </c>
      <c r="BH5686" s="19" t="str">
        <f aca="false">IF(BG5686=0,"",IF(BG5686&lt;&gt;BA5686,"erreur de calcul",IF(BD5686&lt;&gt;0,"pas de prix",IF(M5686&lt;&gt; 0,"pas de quantité","pas de prix, ni de quantité"))))</f>
        <v>erreur de calcul</v>
      </c>
      <c r="BI5686" s="19"/>
    </row>
    <row r="5687" customFormat="false" ht="15" hidden="false" customHeight="false" outlineLevel="0" collapsed="false">
      <c r="A5687" s="0" t="n">
        <v>28</v>
      </c>
      <c r="B5687" s="8" t="s">
        <v>24</v>
      </c>
      <c r="C5687" s="9" t="s">
        <v>25</v>
      </c>
      <c r="D5687" s="9" t="s">
        <v>26</v>
      </c>
      <c r="E5687" s="10" t="n">
        <v>1789</v>
      </c>
      <c r="F5687" s="9" t="s">
        <v>27</v>
      </c>
      <c r="G5687" s="9" t="s">
        <v>27</v>
      </c>
      <c r="H5687" s="11" t="n">
        <v>20</v>
      </c>
      <c r="I5687" s="11" t="s">
        <v>146</v>
      </c>
      <c r="J5687" s="14" t="n">
        <v>126</v>
      </c>
      <c r="K5687" s="14"/>
      <c r="L5687" s="16"/>
      <c r="M5687" s="27"/>
      <c r="N5687" s="17" t="s">
        <v>66</v>
      </c>
      <c r="O5687" s="11" t="s">
        <v>98</v>
      </c>
      <c r="P5687" s="28"/>
      <c r="Q5687" s="28" t="n">
        <f aca="false">P5687*$M5687</f>
        <v>0</v>
      </c>
      <c r="R5687" s="28" t="n">
        <v>82676</v>
      </c>
      <c r="S5687" s="28" t="n">
        <v>28572</v>
      </c>
      <c r="T5687" s="28"/>
      <c r="U5687" s="28" t="n">
        <f aca="false">T5687*$M5687</f>
        <v>0</v>
      </c>
      <c r="V5687" s="28"/>
      <c r="W5687" s="28" t="n">
        <f aca="false">V5687*$M5687</f>
        <v>0</v>
      </c>
      <c r="X5687" s="28"/>
      <c r="Y5687" s="28" t="n">
        <f aca="false">X5687*$M5687</f>
        <v>0</v>
      </c>
      <c r="Z5687" s="28"/>
      <c r="AA5687" s="28" t="n">
        <f aca="false">Z5687*$M5687</f>
        <v>0</v>
      </c>
      <c r="AB5687" s="28"/>
      <c r="AC5687" s="28" t="n">
        <f aca="false">AB5687*$M5687</f>
        <v>0</v>
      </c>
      <c r="AD5687" s="28"/>
      <c r="AE5687" s="28" t="n">
        <f aca="false">AD5687*$M5687</f>
        <v>0</v>
      </c>
      <c r="AF5687" s="28"/>
      <c r="AG5687" s="28" t="n">
        <f aca="false">AF5687*$M5687</f>
        <v>0</v>
      </c>
      <c r="AH5687" s="28" t="n">
        <v>6408925</v>
      </c>
      <c r="AI5687" s="28" t="n">
        <v>8075245</v>
      </c>
      <c r="AJ5687" s="28"/>
      <c r="AK5687" s="28" t="n">
        <f aca="false">AJ5687*$M5687</f>
        <v>0</v>
      </c>
      <c r="AL5687" s="28"/>
      <c r="AM5687" s="28" t="n">
        <f aca="false">AL5687*$M5687</f>
        <v>0</v>
      </c>
      <c r="AN5687" s="28"/>
      <c r="AO5687" s="28" t="n">
        <f aca="false">AN5687*$M5687</f>
        <v>0</v>
      </c>
      <c r="AP5687" s="28"/>
      <c r="AQ5687" s="28" t="n">
        <f aca="false">AP5687*$M5687</f>
        <v>0</v>
      </c>
      <c r="AR5687" s="28"/>
      <c r="AS5687" s="28" t="n">
        <f aca="false">AR5687*$M5687</f>
        <v>0</v>
      </c>
      <c r="AT5687" s="28"/>
      <c r="AU5687" s="28" t="n">
        <f aca="false">AT5687*$M5687</f>
        <v>0</v>
      </c>
      <c r="AV5687" s="28"/>
      <c r="AW5687" s="28" t="n">
        <f aca="false">AV5687*$M5687</f>
        <v>0</v>
      </c>
      <c r="AX5687" s="28"/>
      <c r="AY5687" s="28" t="n">
        <f aca="false">AX5687*$M5687</f>
        <v>0</v>
      </c>
      <c r="AZ5687" s="11" t="n">
        <v>6431601</v>
      </c>
      <c r="BA5687" s="11" t="n">
        <v>8103817</v>
      </c>
      <c r="BB5687" s="31" t="n">
        <f aca="false">SUM(Q5687,S5687,U5687,W5687,Y5687,AA5687,AC5687,AE5687,AG5687,AI5687,AK5687,AM5687,AO5687,AQ5687,AS5687,AU5687,AW5687,AY5687)</f>
        <v>8103817</v>
      </c>
      <c r="BC5687" s="28" t="n">
        <f aca="false">BA5687-BB5687</f>
        <v>0</v>
      </c>
      <c r="BD5687" s="32" t="n">
        <f aca="false">SUM(P5687,R5687,T5687,V5687,X5687,Z5687,AB5687,AD5687,AF5687,AH5687,AJ5687,AL5687,AN5687,AP5687,AR5687,AT5687,AV5687,AX5687)</f>
        <v>6491601</v>
      </c>
      <c r="BE5687" s="33" t="n">
        <f aca="false">AZ5687-BD5687</f>
        <v>-60000</v>
      </c>
      <c r="BF5687" s="34" t="n">
        <f aca="false">BD5687*M5687</f>
        <v>0</v>
      </c>
      <c r="BG5687" s="35" t="n">
        <f aca="false">BA5687-BF5687</f>
        <v>8103817</v>
      </c>
      <c r="BH5687" s="19" t="str">
        <f aca="false">IF(BG5687=0,"",IF(BG5687&lt;&gt;BA5687,"erreur de calcul",IF(BD5687&lt;&gt;0,"pas de prix",IF(M5687&lt;&gt; 0,"pas de quantité","pas de prix, ni de quantité"))))</f>
        <v>pas de prix</v>
      </c>
      <c r="BI5687" s="19" t="s">
        <v>147</v>
      </c>
    </row>
    <row r="5688" customFormat="false" ht="15" hidden="false" customHeight="false" outlineLevel="0" collapsed="false">
      <c r="A5688" s="0" t="n">
        <v>29</v>
      </c>
      <c r="B5688" s="8" t="s">
        <v>24</v>
      </c>
      <c r="C5688" s="9" t="s">
        <v>25</v>
      </c>
      <c r="D5688" s="9" t="s">
        <v>26</v>
      </c>
      <c r="E5688" s="10" t="n">
        <v>1789</v>
      </c>
      <c r="F5688" s="9" t="s">
        <v>27</v>
      </c>
      <c r="G5688" s="9" t="s">
        <v>27</v>
      </c>
      <c r="H5688" s="11" t="n">
        <v>20</v>
      </c>
      <c r="I5688" s="11" t="s">
        <v>148</v>
      </c>
      <c r="J5688" s="14"/>
      <c r="K5688" s="14" t="n">
        <v>20</v>
      </c>
      <c r="L5688" s="16"/>
      <c r="M5688" s="27" t="n">
        <f aca="false">J5688+(K5688/20)+(L5688/240)</f>
        <v>1</v>
      </c>
      <c r="N5688" s="17" t="s">
        <v>66</v>
      </c>
      <c r="O5688" s="11"/>
      <c r="P5688" s="28"/>
      <c r="Q5688" s="28" t="n">
        <f aca="false">P5688*$M5688</f>
        <v>0</v>
      </c>
      <c r="R5688" s="28"/>
      <c r="S5688" s="28" t="n">
        <f aca="false">R5688*$M5688</f>
        <v>0</v>
      </c>
      <c r="T5688" s="28" t="n">
        <v>392</v>
      </c>
      <c r="U5688" s="28" t="n">
        <v>392</v>
      </c>
      <c r="V5688" s="28"/>
      <c r="W5688" s="28" t="n">
        <f aca="false">V5688*$M5688</f>
        <v>0</v>
      </c>
      <c r="X5688" s="28"/>
      <c r="Y5688" s="28" t="n">
        <f aca="false">X5688*$M5688</f>
        <v>0</v>
      </c>
      <c r="Z5688" s="28"/>
      <c r="AA5688" s="28" t="n">
        <f aca="false">Z5688*$M5688</f>
        <v>0</v>
      </c>
      <c r="AB5688" s="28" t="n">
        <v>7596</v>
      </c>
      <c r="AC5688" s="28" t="n">
        <v>7596</v>
      </c>
      <c r="AD5688" s="28"/>
      <c r="AE5688" s="28" t="n">
        <f aca="false">AD5688*$M5688</f>
        <v>0</v>
      </c>
      <c r="AF5688" s="28"/>
      <c r="AG5688" s="28" t="n">
        <f aca="false">AF5688*$M5688</f>
        <v>0</v>
      </c>
      <c r="AH5688" s="28"/>
      <c r="AI5688" s="28" t="n">
        <f aca="false">AH5688*$M5688</f>
        <v>0</v>
      </c>
      <c r="AJ5688" s="28"/>
      <c r="AK5688" s="28" t="n">
        <f aca="false">AJ5688*$M5688</f>
        <v>0</v>
      </c>
      <c r="AL5688" s="28"/>
      <c r="AM5688" s="28" t="n">
        <f aca="false">AL5688*$M5688</f>
        <v>0</v>
      </c>
      <c r="AN5688" s="28"/>
      <c r="AO5688" s="28" t="n">
        <f aca="false">AN5688*$M5688</f>
        <v>0</v>
      </c>
      <c r="AP5688" s="28"/>
      <c r="AQ5688" s="28" t="n">
        <f aca="false">AP5688*$M5688</f>
        <v>0</v>
      </c>
      <c r="AR5688" s="28"/>
      <c r="AS5688" s="28" t="n">
        <f aca="false">AR5688*$M5688</f>
        <v>0</v>
      </c>
      <c r="AT5688" s="28"/>
      <c r="AU5688" s="28" t="n">
        <f aca="false">AT5688*$M5688</f>
        <v>0</v>
      </c>
      <c r="AV5688" s="28"/>
      <c r="AW5688" s="28" t="n">
        <f aca="false">AV5688*$M5688</f>
        <v>0</v>
      </c>
      <c r="AX5688" s="28"/>
      <c r="AY5688" s="28" t="n">
        <f aca="false">AX5688*$M5688</f>
        <v>0</v>
      </c>
      <c r="AZ5688" s="30" t="n">
        <v>7988</v>
      </c>
      <c r="BA5688" s="11" t="n">
        <v>7988</v>
      </c>
      <c r="BB5688" s="31" t="n">
        <f aca="false">SUM(Q5688,S5688,U5688,W5688,Y5688,AA5688,AC5688,AE5688,AG5688,AI5688,AK5688,AM5688,AO5688,AQ5688,AS5688,AU5688,AW5688,AY5688)</f>
        <v>7988</v>
      </c>
      <c r="BC5688" s="28" t="n">
        <f aca="false">BA5688-BB5688</f>
        <v>0</v>
      </c>
      <c r="BD5688" s="32" t="n">
        <f aca="false">SUM(P5688,R5688,T5688,V5688,X5688,Z5688,AB5688,AD5688,AF5688,AH5688,AJ5688,AL5688,AN5688,AP5688,AR5688,AT5688,AV5688,AX5688)</f>
        <v>7988</v>
      </c>
      <c r="BE5688" s="33" t="n">
        <f aca="false">AZ5688-BD5688</f>
        <v>0</v>
      </c>
      <c r="BF5688" s="34" t="n">
        <f aca="false">BD5688*M5688</f>
        <v>7988</v>
      </c>
      <c r="BG5688" s="35" t="n">
        <f aca="false">BA5688-BF5688</f>
        <v>0</v>
      </c>
      <c r="BH5688" s="19" t="str">
        <f aca="false">IF(BG5688=0,"",IF(BG5688&lt;&gt;BA5688,"erreur de calcul",IF(BD5688&lt;&gt;0,"pas de prix",IF(M5688&lt;&gt; 0,"pas de quantité","pas de prix, ni de quantité"))))</f>
        <v/>
      </c>
      <c r="BI5688" s="19"/>
    </row>
    <row r="5689" customFormat="false" ht="15" hidden="false" customHeight="false" outlineLevel="0" collapsed="false">
      <c r="A5689" s="0" t="n">
        <v>30</v>
      </c>
      <c r="B5689" s="8" t="s">
        <v>24</v>
      </c>
      <c r="C5689" s="9" t="s">
        <v>25</v>
      </c>
      <c r="D5689" s="9" t="s">
        <v>26</v>
      </c>
      <c r="E5689" s="10" t="n">
        <v>1789</v>
      </c>
      <c r="F5689" s="9" t="s">
        <v>27</v>
      </c>
      <c r="G5689" s="9" t="s">
        <v>27</v>
      </c>
      <c r="H5689" s="11" t="n">
        <v>20</v>
      </c>
      <c r="I5689" s="11" t="s">
        <v>149</v>
      </c>
      <c r="J5689" s="14" t="n">
        <v>70</v>
      </c>
      <c r="K5689" s="14"/>
      <c r="L5689" s="16"/>
      <c r="M5689" s="27" t="n">
        <f aca="false">J5689+(K5689/20)+(L5689/240)</f>
        <v>70</v>
      </c>
      <c r="N5689" s="17" t="s">
        <v>64</v>
      </c>
      <c r="O5689" s="11"/>
      <c r="P5689" s="28"/>
      <c r="Q5689" s="28" t="n">
        <f aca="false">P5689*$M5689</f>
        <v>0</v>
      </c>
      <c r="R5689" s="28"/>
      <c r="S5689" s="28" t="n">
        <f aca="false">R5689*$M5689</f>
        <v>0</v>
      </c>
      <c r="T5689" s="28"/>
      <c r="U5689" s="28" t="n">
        <f aca="false">T5689*$M5689</f>
        <v>0</v>
      </c>
      <c r="V5689" s="28"/>
      <c r="W5689" s="28" t="n">
        <f aca="false">V5689*$M5689</f>
        <v>0</v>
      </c>
      <c r="X5689" s="28" t="n">
        <f aca="false">1904/100</f>
        <v>19.04</v>
      </c>
      <c r="Y5689" s="28" t="n">
        <v>1333</v>
      </c>
      <c r="Z5689" s="28"/>
      <c r="AA5689" s="28" t="n">
        <f aca="false">Z5689*$M5689</f>
        <v>0</v>
      </c>
      <c r="AB5689" s="28" t="n">
        <f aca="false">51370/100</f>
        <v>513.7</v>
      </c>
      <c r="AC5689" s="28" t="n">
        <v>35959</v>
      </c>
      <c r="AD5689" s="28"/>
      <c r="AE5689" s="28" t="n">
        <f aca="false">AD5689*$M5689</f>
        <v>0</v>
      </c>
      <c r="AF5689" s="28" t="n">
        <f aca="false">8872/100</f>
        <v>88.72</v>
      </c>
      <c r="AG5689" s="28" t="n">
        <v>6210</v>
      </c>
      <c r="AH5689" s="28" t="n">
        <f aca="false">14751/100</f>
        <v>147.51</v>
      </c>
      <c r="AI5689" s="28" t="n">
        <v>10326</v>
      </c>
      <c r="AJ5689" s="28"/>
      <c r="AK5689" s="28" t="n">
        <f aca="false">AJ5689*$M5689</f>
        <v>0</v>
      </c>
      <c r="AL5689" s="28"/>
      <c r="AM5689" s="28" t="n">
        <f aca="false">AL5689*$M5689</f>
        <v>0</v>
      </c>
      <c r="AN5689" s="28"/>
      <c r="AO5689" s="28" t="n">
        <f aca="false">AN5689*$M5689</f>
        <v>0</v>
      </c>
      <c r="AP5689" s="28"/>
      <c r="AQ5689" s="28" t="n">
        <f aca="false">AP5689*$M5689</f>
        <v>0</v>
      </c>
      <c r="AR5689" s="28"/>
      <c r="AS5689" s="28" t="n">
        <f aca="false">AR5689*$M5689</f>
        <v>0</v>
      </c>
      <c r="AT5689" s="28"/>
      <c r="AU5689" s="28" t="n">
        <f aca="false">AT5689*$M5689</f>
        <v>0</v>
      </c>
      <c r="AV5689" s="28"/>
      <c r="AW5689" s="28" t="n">
        <f aca="false">AV5689*$M5689</f>
        <v>0</v>
      </c>
      <c r="AX5689" s="28"/>
      <c r="AY5689" s="28" t="n">
        <f aca="false">AX5689*$M5689</f>
        <v>0</v>
      </c>
      <c r="AZ5689" s="30" t="n">
        <f aca="false">76897/100</f>
        <v>768.97</v>
      </c>
      <c r="BA5689" s="11" t="n">
        <v>53828</v>
      </c>
      <c r="BB5689" s="31" t="n">
        <f aca="false">SUM(Q5689,S5689,U5689,W5689,Y5689,AA5689,AC5689,AE5689,AG5689,AI5689,AK5689,AM5689,AO5689,AQ5689,AS5689,AU5689,AW5689,AY5689)</f>
        <v>53828</v>
      </c>
      <c r="BC5689" s="28" t="n">
        <f aca="false">BA5689-BB5689</f>
        <v>0</v>
      </c>
      <c r="BD5689" s="32" t="n">
        <f aca="false">SUM(P5689,R5689,T5689,V5689,X5689,Z5689,AB5689,AD5689,AF5689,AH5689,AJ5689,AL5689,AN5689,AP5689,AR5689,AT5689,AV5689,AX5689)</f>
        <v>768.97</v>
      </c>
      <c r="BE5689" s="33" t="n">
        <f aca="false">AZ5689-BD5689</f>
        <v>0</v>
      </c>
      <c r="BF5689" s="34" t="n">
        <f aca="false">BD5689*M5689</f>
        <v>53827.9</v>
      </c>
      <c r="BG5689" s="35" t="n">
        <f aca="false">BA5689-BF5689</f>
        <v>0.0999999999985448</v>
      </c>
      <c r="BH5689" s="19" t="str">
        <f aca="false">IF(BG5689=0,"",IF(BG5689&lt;&gt;BA5689,"erreur de calcul",IF(BD5689&lt;&gt;0,"pas de prix",IF(M5689&lt;&gt; 0,"pas de quantité","pas de prix, ni de quantité"))))</f>
        <v>erreur de calcul</v>
      </c>
      <c r="BI5689" s="19"/>
    </row>
    <row r="5690" customFormat="false" ht="15" hidden="false" customHeight="false" outlineLevel="0" collapsed="false">
      <c r="A5690" s="0" t="n">
        <v>31</v>
      </c>
      <c r="B5690" s="8" t="s">
        <v>24</v>
      </c>
      <c r="C5690" s="9" t="s">
        <v>25</v>
      </c>
      <c r="D5690" s="9" t="s">
        <v>26</v>
      </c>
      <c r="E5690" s="10" t="n">
        <v>1789</v>
      </c>
      <c r="F5690" s="9" t="s">
        <v>27</v>
      </c>
      <c r="G5690" s="9" t="s">
        <v>27</v>
      </c>
      <c r="H5690" s="11" t="n">
        <v>20</v>
      </c>
      <c r="I5690" s="11" t="s">
        <v>150</v>
      </c>
      <c r="J5690" s="14" t="n">
        <v>70</v>
      </c>
      <c r="K5690" s="14"/>
      <c r="L5690" s="16"/>
      <c r="M5690" s="27" t="n">
        <f aca="false">J5690+(K5690/20)+(L5690/240)</f>
        <v>70</v>
      </c>
      <c r="N5690" s="17" t="s">
        <v>64</v>
      </c>
      <c r="O5690" s="11" t="s">
        <v>77</v>
      </c>
      <c r="P5690" s="28"/>
      <c r="Q5690" s="28" t="n">
        <f aca="false">P5690*$M5690</f>
        <v>0</v>
      </c>
      <c r="R5690" s="28"/>
      <c r="S5690" s="28" t="n">
        <f aca="false">R5690*$M5690</f>
        <v>0</v>
      </c>
      <c r="T5690" s="28"/>
      <c r="U5690" s="28" t="n">
        <f aca="false">T5690*$M5690</f>
        <v>0</v>
      </c>
      <c r="V5690" s="28"/>
      <c r="W5690" s="28" t="n">
        <f aca="false">V5690*$M5690</f>
        <v>0</v>
      </c>
      <c r="X5690" s="28"/>
      <c r="Y5690" s="28" t="n">
        <f aca="false">X5690*$M5690</f>
        <v>0</v>
      </c>
      <c r="Z5690" s="28"/>
      <c r="AA5690" s="28" t="n">
        <f aca="false">Z5690*$M5690</f>
        <v>0</v>
      </c>
      <c r="AB5690" s="28"/>
      <c r="AC5690" s="28" t="n">
        <f aca="false">AB5690*$M5690</f>
        <v>0</v>
      </c>
      <c r="AD5690" s="28"/>
      <c r="AE5690" s="28" t="n">
        <f aca="false">AD5690*$M5690</f>
        <v>0</v>
      </c>
      <c r="AF5690" s="28"/>
      <c r="AG5690" s="28" t="n">
        <f aca="false">AF5690*$M5690</f>
        <v>0</v>
      </c>
      <c r="AH5690" s="28"/>
      <c r="AI5690" s="28" t="n">
        <f aca="false">AH5690*$M5690</f>
        <v>0</v>
      </c>
      <c r="AJ5690" s="28"/>
      <c r="AK5690" s="28" t="n">
        <f aca="false">AJ5690*$M5690</f>
        <v>0</v>
      </c>
      <c r="AL5690" s="28"/>
      <c r="AM5690" s="28" t="n">
        <f aca="false">AL5690*$M5690</f>
        <v>0</v>
      </c>
      <c r="AN5690" s="28"/>
      <c r="AO5690" s="28" t="n">
        <f aca="false">AN5690*$M5690</f>
        <v>0</v>
      </c>
      <c r="AP5690" s="28"/>
      <c r="AQ5690" s="28" t="n">
        <f aca="false">AP5690*$M5690</f>
        <v>0</v>
      </c>
      <c r="AR5690" s="28"/>
      <c r="AS5690" s="28" t="n">
        <f aca="false">AR5690*$M5690</f>
        <v>0</v>
      </c>
      <c r="AT5690" s="28"/>
      <c r="AU5690" s="28" t="n">
        <f aca="false">AT5690*$M5690</f>
        <v>0</v>
      </c>
      <c r="AV5690" s="28"/>
      <c r="AW5690" s="28" t="n">
        <f aca="false">AV5690*$M5690</f>
        <v>0</v>
      </c>
      <c r="AX5690" s="28"/>
      <c r="AY5690" s="28" t="n">
        <f aca="false">AX5690*$M5690</f>
        <v>0</v>
      </c>
      <c r="AZ5690" s="30"/>
      <c r="BA5690" s="11"/>
      <c r="BB5690" s="31" t="n">
        <f aca="false">SUM(Q5690,S5690,U5690,W5690,Y5690,AA5690,AC5690,AE5690,AG5690,AI5690,AK5690,AM5690,AO5690,AQ5690,AS5690,AU5690,AW5690,AY5690)</f>
        <v>0</v>
      </c>
      <c r="BC5690" s="28" t="n">
        <f aca="false">BA5690-BB5690</f>
        <v>0</v>
      </c>
      <c r="BD5690" s="32" t="n">
        <f aca="false">SUM(P5690,R5690,T5690,V5690,X5690,Z5690,AB5690,AD5690,AF5690,AH5690,AJ5690,AL5690,AN5690,AP5690,AR5690,AT5690,AV5690,AX5690)</f>
        <v>0</v>
      </c>
      <c r="BE5690" s="33" t="n">
        <f aca="false">AZ5690-BD5690</f>
        <v>0</v>
      </c>
      <c r="BF5690" s="34" t="n">
        <f aca="false">BD5690*M5690</f>
        <v>0</v>
      </c>
      <c r="BG5690" s="35" t="n">
        <f aca="false">BA5690-BF5690</f>
        <v>0</v>
      </c>
      <c r="BH5690" s="19" t="str">
        <f aca="false">IF(BG5690=0,"",IF(BG5690&lt;&gt;BA5690,"erreur de calcul",IF(BD5690&lt;&gt;0,"pas de prix",IF(M5690&lt;&gt; 0,"pas de quantité","pas de prix, ni de quantité"))))</f>
        <v/>
      </c>
      <c r="BI5690" s="19"/>
    </row>
    <row r="5691" customFormat="false" ht="15" hidden="false" customHeight="false" outlineLevel="0" collapsed="false">
      <c r="A5691" s="0" t="n">
        <v>32</v>
      </c>
      <c r="B5691" s="8" t="s">
        <v>24</v>
      </c>
      <c r="C5691" s="9" t="s">
        <v>25</v>
      </c>
      <c r="D5691" s="9" t="s">
        <v>26</v>
      </c>
      <c r="E5691" s="10" t="n">
        <v>1789</v>
      </c>
      <c r="F5691" s="9" t="s">
        <v>27</v>
      </c>
      <c r="G5691" s="9" t="s">
        <v>27</v>
      </c>
      <c r="H5691" s="11" t="n">
        <v>20</v>
      </c>
      <c r="I5691" s="11" t="s">
        <v>150</v>
      </c>
      <c r="J5691" s="14" t="n">
        <v>70</v>
      </c>
      <c r="K5691" s="14"/>
      <c r="L5691" s="16"/>
      <c r="M5691" s="27" t="n">
        <f aca="false">J5691+(K5691/20)+(L5691/240)</f>
        <v>70</v>
      </c>
      <c r="N5691" s="17" t="s">
        <v>64</v>
      </c>
      <c r="O5691" s="11" t="s">
        <v>98</v>
      </c>
      <c r="P5691" s="28" t="n">
        <f aca="false">382028/100</f>
        <v>3820.28</v>
      </c>
      <c r="Q5691" s="28" t="n">
        <v>267420</v>
      </c>
      <c r="R5691" s="28" t="n">
        <f aca="false">131361/100</f>
        <v>1313.61</v>
      </c>
      <c r="S5691" s="28" t="n">
        <v>91953</v>
      </c>
      <c r="T5691" s="28" t="n">
        <f aca="false">8856/100</f>
        <v>88.56</v>
      </c>
      <c r="U5691" s="28" t="n">
        <v>6199</v>
      </c>
      <c r="V5691" s="28" t="n">
        <f aca="false">171125/100</f>
        <v>1711.25</v>
      </c>
      <c r="W5691" s="28" t="n">
        <v>119787</v>
      </c>
      <c r="X5691" s="28" t="n">
        <f aca="false">24259/100</f>
        <v>242.59</v>
      </c>
      <c r="Y5691" s="28" t="n">
        <v>16981</v>
      </c>
      <c r="Z5691" s="28"/>
      <c r="AA5691" s="28" t="n">
        <f aca="false">Z5691*$M5691</f>
        <v>0</v>
      </c>
      <c r="AB5691" s="28" t="n">
        <f aca="false">33694/100</f>
        <v>336.94</v>
      </c>
      <c r="AC5691" s="28" t="n">
        <v>23586</v>
      </c>
      <c r="AD5691" s="28" t="n">
        <f aca="false">89734/100</f>
        <v>897.34</v>
      </c>
      <c r="AE5691" s="28" t="n">
        <v>62814</v>
      </c>
      <c r="AF5691" s="28" t="n">
        <f aca="false">1955727/100</f>
        <v>19557.27</v>
      </c>
      <c r="AG5691" s="28" t="n">
        <v>1369009</v>
      </c>
      <c r="AH5691" s="28" t="n">
        <f aca="false">11740/100</f>
        <v>117.4</v>
      </c>
      <c r="AI5691" s="28" t="n">
        <v>8218</v>
      </c>
      <c r="AJ5691" s="28"/>
      <c r="AK5691" s="28" t="n">
        <f aca="false">AJ5691*$M5691</f>
        <v>0</v>
      </c>
      <c r="AL5691" s="28"/>
      <c r="AM5691" s="28" t="n">
        <f aca="false">AL5691*$M5691</f>
        <v>0</v>
      </c>
      <c r="AN5691" s="28"/>
      <c r="AO5691" s="28" t="n">
        <f aca="false">AN5691*$M5691</f>
        <v>0</v>
      </c>
      <c r="AP5691" s="28"/>
      <c r="AQ5691" s="28" t="n">
        <f aca="false">AP5691*$M5691</f>
        <v>0</v>
      </c>
      <c r="AR5691" s="28"/>
      <c r="AS5691" s="28" t="n">
        <f aca="false">AR5691*$M5691</f>
        <v>0</v>
      </c>
      <c r="AT5691" s="28"/>
      <c r="AU5691" s="28" t="n">
        <f aca="false">AT5691*$M5691</f>
        <v>0</v>
      </c>
      <c r="AV5691" s="28" t="n">
        <f aca="false">15000/100</f>
        <v>150</v>
      </c>
      <c r="AW5691" s="28" t="n">
        <v>10500</v>
      </c>
      <c r="AX5691" s="28"/>
      <c r="AY5691" s="28" t="n">
        <f aca="false">AX5691*$M5691</f>
        <v>0</v>
      </c>
      <c r="AZ5691" s="30" t="n">
        <f aca="false">2823524/100</f>
        <v>28235.24</v>
      </c>
      <c r="BA5691" s="11" t="n">
        <v>1976467</v>
      </c>
      <c r="BB5691" s="31" t="n">
        <f aca="false">SUM(Q5691,S5691,U5691,W5691,Y5691,AA5691,AC5691,AE5691,AG5691,AI5691,AK5691,AM5691,AO5691,AQ5691,AS5691,AU5691,AW5691,AY5691)</f>
        <v>1976467</v>
      </c>
      <c r="BC5691" s="28" t="n">
        <f aca="false">BA5691-BB5691</f>
        <v>0</v>
      </c>
      <c r="BD5691" s="32" t="n">
        <f aca="false">SUM(P5691,R5691,T5691,V5691,X5691,Z5691,AB5691,AD5691,AF5691,AH5691,AJ5691,AL5691,AN5691,AP5691,AR5691,AT5691,AV5691,AX5691)</f>
        <v>28235.24</v>
      </c>
      <c r="BE5691" s="33" t="n">
        <f aca="false">AZ5691-BD5691</f>
        <v>0</v>
      </c>
      <c r="BF5691" s="34" t="n">
        <f aca="false">BD5691*M5691</f>
        <v>1976466.8</v>
      </c>
      <c r="BG5691" s="35" t="n">
        <f aca="false">BA5691-BF5691</f>
        <v>0.199999999953434</v>
      </c>
      <c r="BH5691" s="19" t="str">
        <f aca="false">IF(BG5691=0,"",IF(BG5691&lt;&gt;BA5691,"erreur de calcul",IF(BD5691&lt;&gt;0,"pas de prix",IF(M5691&lt;&gt; 0,"pas de quantité","pas de prix, ni de quantité"))))</f>
        <v>erreur de calcul</v>
      </c>
      <c r="BI5691" s="19"/>
    </row>
    <row r="5692" customFormat="false" ht="15" hidden="false" customHeight="false" outlineLevel="0" collapsed="false">
      <c r="A5692" s="0" t="n">
        <v>33</v>
      </c>
      <c r="B5692" s="8" t="s">
        <v>24</v>
      </c>
      <c r="C5692" s="9" t="s">
        <v>25</v>
      </c>
      <c r="D5692" s="9" t="s">
        <v>26</v>
      </c>
      <c r="E5692" s="10" t="n">
        <v>1789</v>
      </c>
      <c r="F5692" s="9" t="s">
        <v>27</v>
      </c>
      <c r="G5692" s="9" t="s">
        <v>27</v>
      </c>
      <c r="H5692" s="11" t="n">
        <v>20</v>
      </c>
      <c r="I5692" s="11" t="s">
        <v>151</v>
      </c>
      <c r="J5692" s="14" t="n">
        <v>150</v>
      </c>
      <c r="K5692" s="14"/>
      <c r="L5692" s="16"/>
      <c r="M5692" s="27" t="n">
        <f aca="false">J5692+(K5692/20)+(L5692/240)</f>
        <v>150</v>
      </c>
      <c r="N5692" s="17" t="s">
        <v>64</v>
      </c>
      <c r="O5692" s="11"/>
      <c r="P5692" s="28"/>
      <c r="Q5692" s="28" t="n">
        <f aca="false">P5692*$M5692</f>
        <v>0</v>
      </c>
      <c r="R5692" s="28"/>
      <c r="S5692" s="28" t="n">
        <f aca="false">R5692*$M5692</f>
        <v>0</v>
      </c>
      <c r="T5692" s="28"/>
      <c r="U5692" s="28" t="n">
        <f aca="false">T5692*$M5692</f>
        <v>0</v>
      </c>
      <c r="V5692" s="28"/>
      <c r="W5692" s="28" t="n">
        <f aca="false">V5692*$M5692</f>
        <v>0</v>
      </c>
      <c r="X5692" s="28"/>
      <c r="Y5692" s="28" t="n">
        <f aca="false">X5692*$M5692</f>
        <v>0</v>
      </c>
      <c r="Z5692" s="28"/>
      <c r="AA5692" s="28" t="n">
        <f aca="false">Z5692*$M5692</f>
        <v>0</v>
      </c>
      <c r="AB5692" s="28"/>
      <c r="AC5692" s="28" t="n">
        <f aca="false">AB5692*$M5692</f>
        <v>0</v>
      </c>
      <c r="AD5692" s="28"/>
      <c r="AE5692" s="28" t="n">
        <f aca="false">AD5692*$M5692</f>
        <v>0</v>
      </c>
      <c r="AF5692" s="28"/>
      <c r="AG5692" s="28" t="n">
        <f aca="false">AF5692*$M5692</f>
        <v>0</v>
      </c>
      <c r="AH5692" s="28"/>
      <c r="AI5692" s="28" t="n">
        <f aca="false">AH5692*$M5692</f>
        <v>0</v>
      </c>
      <c r="AJ5692" s="28"/>
      <c r="AK5692" s="28" t="n">
        <f aca="false">AJ5692*$M5692</f>
        <v>0</v>
      </c>
      <c r="AL5692" s="28" t="n">
        <f aca="false">118785/100</f>
        <v>1187.85</v>
      </c>
      <c r="AM5692" s="28" t="n">
        <v>178177</v>
      </c>
      <c r="AN5692" s="28"/>
      <c r="AO5692" s="28" t="n">
        <f aca="false">AN5692*$M5692</f>
        <v>0</v>
      </c>
      <c r="AP5692" s="28"/>
      <c r="AQ5692" s="28" t="n">
        <f aca="false">AP5692*$M5692</f>
        <v>0</v>
      </c>
      <c r="AR5692" s="28"/>
      <c r="AS5692" s="28" t="n">
        <f aca="false">AR5692*$M5692</f>
        <v>0</v>
      </c>
      <c r="AT5692" s="28"/>
      <c r="AU5692" s="28" t="n">
        <f aca="false">AT5692*$M5692</f>
        <v>0</v>
      </c>
      <c r="AV5692" s="28"/>
      <c r="AW5692" s="28" t="n">
        <f aca="false">AV5692*$M5692</f>
        <v>0</v>
      </c>
      <c r="AX5692" s="28"/>
      <c r="AY5692" s="28" t="n">
        <f aca="false">AX5692*$M5692</f>
        <v>0</v>
      </c>
      <c r="AZ5692" s="30" t="n">
        <f aca="false">118785/100</f>
        <v>1187.85</v>
      </c>
      <c r="BA5692" s="11" t="n">
        <v>178177</v>
      </c>
      <c r="BB5692" s="31" t="n">
        <f aca="false">SUM(Q5692,S5692,U5692,W5692,Y5692,AA5692,AC5692,AE5692,AG5692,AI5692,AK5692,AM5692,AO5692,AQ5692,AS5692,AU5692,AW5692,AY5692)</f>
        <v>178177</v>
      </c>
      <c r="BC5692" s="28" t="n">
        <f aca="false">BA5692-BB5692</f>
        <v>0</v>
      </c>
      <c r="BD5692" s="32" t="n">
        <f aca="false">SUM(P5692,R5692,T5692,V5692,X5692,Z5692,AB5692,AD5692,AF5692,AH5692,AJ5692,AL5692,AN5692,AP5692,AR5692,AT5692,AV5692,AX5692)</f>
        <v>1187.85</v>
      </c>
      <c r="BE5692" s="33" t="n">
        <f aca="false">AZ5692-BD5692</f>
        <v>0</v>
      </c>
      <c r="BF5692" s="34" t="n">
        <f aca="false">BD5692*M5692</f>
        <v>178177.5</v>
      </c>
      <c r="BG5692" s="35" t="n">
        <f aca="false">BA5692-BF5692</f>
        <v>-0.5</v>
      </c>
      <c r="BH5692" s="19" t="str">
        <f aca="false">IF(BG5692=0,"",IF(BG5692&lt;&gt;BA5692,"erreur de calcul",IF(BD5692&lt;&gt;0,"pas de prix",IF(M5692&lt;&gt; 0,"pas de quantité","pas de prix, ni de quantité"))))</f>
        <v>erreur de calcul</v>
      </c>
      <c r="BI5692" s="19"/>
    </row>
    <row r="5693" customFormat="false" ht="15" hidden="false" customHeight="false" outlineLevel="0" collapsed="false">
      <c r="A5693" s="0" t="n">
        <v>34</v>
      </c>
      <c r="B5693" s="8" t="s">
        <v>24</v>
      </c>
      <c r="C5693" s="9" t="s">
        <v>25</v>
      </c>
      <c r="D5693" s="9" t="s">
        <v>26</v>
      </c>
      <c r="E5693" s="10" t="n">
        <v>1789</v>
      </c>
      <c r="F5693" s="9" t="s">
        <v>27</v>
      </c>
      <c r="G5693" s="9" t="s">
        <v>27</v>
      </c>
      <c r="H5693" s="11" t="n">
        <v>20</v>
      </c>
      <c r="I5693" s="11" t="s">
        <v>152</v>
      </c>
      <c r="J5693" s="14" t="n">
        <v>80</v>
      </c>
      <c r="K5693" s="14"/>
      <c r="L5693" s="16"/>
      <c r="M5693" s="27" t="n">
        <f aca="false">J5693+(K5693/20)+(L5693/240)</f>
        <v>80</v>
      </c>
      <c r="N5693" s="17" t="s">
        <v>64</v>
      </c>
      <c r="O5693" s="11"/>
      <c r="P5693" s="28"/>
      <c r="Q5693" s="28" t="n">
        <f aca="false">P5693*$M5693</f>
        <v>0</v>
      </c>
      <c r="R5693" s="28"/>
      <c r="S5693" s="28" t="n">
        <f aca="false">R5693*$M5693</f>
        <v>0</v>
      </c>
      <c r="T5693" s="28"/>
      <c r="U5693" s="28" t="n">
        <f aca="false">T5693*$M5693</f>
        <v>0</v>
      </c>
      <c r="V5693" s="28"/>
      <c r="W5693" s="28" t="n">
        <f aca="false">V5693*$M5693</f>
        <v>0</v>
      </c>
      <c r="X5693" s="28"/>
      <c r="Y5693" s="28" t="n">
        <f aca="false">X5693*$M5693</f>
        <v>0</v>
      </c>
      <c r="Z5693" s="28"/>
      <c r="AA5693" s="28" t="n">
        <f aca="false">Z5693*$M5693</f>
        <v>0</v>
      </c>
      <c r="AB5693" s="28" t="n">
        <f aca="false">3142/100</f>
        <v>31.42</v>
      </c>
      <c r="AC5693" s="28" t="n">
        <v>2514</v>
      </c>
      <c r="AD5693" s="28"/>
      <c r="AE5693" s="28" t="n">
        <f aca="false">AD5693*$M5693</f>
        <v>0</v>
      </c>
      <c r="AF5693" s="28" t="n">
        <f aca="false">4868/100</f>
        <v>48.68</v>
      </c>
      <c r="AG5693" s="36" t="n">
        <v>3874</v>
      </c>
      <c r="AH5693" s="28" t="n">
        <f aca="false">1541601/100</f>
        <v>15416.01</v>
      </c>
      <c r="AI5693" s="28" t="n">
        <v>1233281</v>
      </c>
      <c r="AJ5693" s="28"/>
      <c r="AK5693" s="28" t="n">
        <f aca="false">AJ5693*$M5693</f>
        <v>0</v>
      </c>
      <c r="AL5693" s="28"/>
      <c r="AM5693" s="28" t="n">
        <f aca="false">AL5693*$M5693</f>
        <v>0</v>
      </c>
      <c r="AN5693" s="28"/>
      <c r="AO5693" s="28" t="n">
        <f aca="false">AN5693*$M5693</f>
        <v>0</v>
      </c>
      <c r="AP5693" s="28"/>
      <c r="AQ5693" s="28" t="n">
        <f aca="false">AP5693*$M5693</f>
        <v>0</v>
      </c>
      <c r="AR5693" s="28"/>
      <c r="AS5693" s="28" t="n">
        <f aca="false">AR5693*$M5693</f>
        <v>0</v>
      </c>
      <c r="AT5693" s="28"/>
      <c r="AU5693" s="28" t="n">
        <f aca="false">AT5693*$M5693</f>
        <v>0</v>
      </c>
      <c r="AV5693" s="28"/>
      <c r="AW5693" s="28" t="n">
        <f aca="false">AV5693*$M5693</f>
        <v>0</v>
      </c>
      <c r="AX5693" s="28"/>
      <c r="AY5693" s="28" t="n">
        <f aca="false">AX5693*$M5693</f>
        <v>0</v>
      </c>
      <c r="AZ5693" s="30" t="n">
        <f aca="false">1549611/100</f>
        <v>15496.11</v>
      </c>
      <c r="BA5693" s="11" t="n">
        <v>1239669</v>
      </c>
      <c r="BB5693" s="31" t="n">
        <f aca="false">SUM(Q5693,S5693,U5693,W5693,Y5693,AA5693,AC5693,AE5693,AG5693,AI5693,AK5693,AM5693,AO5693,AQ5693,AS5693,AU5693,AW5693,AY5693)</f>
        <v>1239669</v>
      </c>
      <c r="BC5693" s="28" t="n">
        <f aca="false">BA5693-BB5693</f>
        <v>0</v>
      </c>
      <c r="BD5693" s="32" t="n">
        <f aca="false">SUM(P5693,R5693,T5693,V5693,X5693,Z5693,AB5693,AD5693,AF5693,AH5693,AJ5693,AL5693,AN5693,AP5693,AR5693,AT5693,AV5693,AX5693)</f>
        <v>15496.11</v>
      </c>
      <c r="BE5693" s="33" t="n">
        <f aca="false">AZ5693-BD5693</f>
        <v>0</v>
      </c>
      <c r="BF5693" s="34" t="n">
        <f aca="false">BD5693*M5693</f>
        <v>1239688.8</v>
      </c>
      <c r="BG5693" s="35" t="n">
        <f aca="false">BA5693-BF5693</f>
        <v>-19.8000000000466</v>
      </c>
      <c r="BH5693" s="19" t="str">
        <f aca="false">IF(BG5693=0,"",IF(BG5693&lt;&gt;BA5693,"erreur de calcul",IF(BD5693&lt;&gt;0,"pas de prix",IF(M5693&lt;&gt; 0,"pas de quantité","pas de prix, ni de quantité"))))</f>
        <v>erreur de calcul</v>
      </c>
      <c r="BI5693" s="19"/>
    </row>
    <row r="5694" customFormat="false" ht="15" hidden="false" customHeight="false" outlineLevel="0" collapsed="false">
      <c r="A5694" s="0" t="n">
        <v>35</v>
      </c>
      <c r="B5694" s="8" t="s">
        <v>24</v>
      </c>
      <c r="C5694" s="9" t="s">
        <v>25</v>
      </c>
      <c r="D5694" s="9" t="s">
        <v>26</v>
      </c>
      <c r="E5694" s="10" t="n">
        <v>1789</v>
      </c>
      <c r="F5694" s="9" t="s">
        <v>27</v>
      </c>
      <c r="G5694" s="9" t="s">
        <v>27</v>
      </c>
      <c r="H5694" s="11" t="n">
        <v>20</v>
      </c>
      <c r="I5694" s="11" t="s">
        <v>153</v>
      </c>
      <c r="J5694" s="14" t="n">
        <v>148</v>
      </c>
      <c r="K5694" s="14"/>
      <c r="L5694" s="16"/>
      <c r="M5694" s="27" t="n">
        <f aca="false">J5694+(K5694/20)+(L5694/240)</f>
        <v>148</v>
      </c>
      <c r="N5694" s="17" t="s">
        <v>64</v>
      </c>
      <c r="O5694" s="11"/>
      <c r="P5694" s="28"/>
      <c r="Q5694" s="28" t="n">
        <f aca="false">P5694*$M5694</f>
        <v>0</v>
      </c>
      <c r="R5694" s="28"/>
      <c r="S5694" s="28" t="n">
        <f aca="false">R5694*$M5694</f>
        <v>0</v>
      </c>
      <c r="T5694" s="28"/>
      <c r="U5694" s="28" t="n">
        <f aca="false">T5694*$M5694</f>
        <v>0</v>
      </c>
      <c r="V5694" s="28"/>
      <c r="W5694" s="28" t="n">
        <f aca="false">V5694*$M5694</f>
        <v>0</v>
      </c>
      <c r="X5694" s="28"/>
      <c r="Y5694" s="28" t="n">
        <f aca="false">X5694*$M5694</f>
        <v>0</v>
      </c>
      <c r="Z5694" s="28"/>
      <c r="AA5694" s="28" t="n">
        <f aca="false">Z5694*$M5694</f>
        <v>0</v>
      </c>
      <c r="AB5694" s="28"/>
      <c r="AC5694" s="28" t="n">
        <f aca="false">AB5694*$M5694</f>
        <v>0</v>
      </c>
      <c r="AD5694" s="28"/>
      <c r="AE5694" s="28" t="n">
        <f aca="false">AD5694*$M5694</f>
        <v>0</v>
      </c>
      <c r="AF5694" s="28"/>
      <c r="AG5694" s="28" t="n">
        <f aca="false">AF5694*$M5694</f>
        <v>0</v>
      </c>
      <c r="AH5694" s="28"/>
      <c r="AI5694" s="28" t="n">
        <f aca="false">AH5694*$M5694</f>
        <v>0</v>
      </c>
      <c r="AJ5694" s="28" t="n">
        <f aca="false">1472/100</f>
        <v>14.72</v>
      </c>
      <c r="AK5694" s="28" t="n">
        <v>2178</v>
      </c>
      <c r="AL5694" s="28"/>
      <c r="AM5694" s="28" t="n">
        <f aca="false">AL5694*$M5694</f>
        <v>0</v>
      </c>
      <c r="AN5694" s="28"/>
      <c r="AO5694" s="28" t="n">
        <f aca="false">AN5694*$M5694</f>
        <v>0</v>
      </c>
      <c r="AP5694" s="28"/>
      <c r="AQ5694" s="28" t="n">
        <f aca="false">AP5694*$M5694</f>
        <v>0</v>
      </c>
      <c r="AR5694" s="28"/>
      <c r="AS5694" s="28" t="n">
        <f aca="false">AR5694*$M5694</f>
        <v>0</v>
      </c>
      <c r="AT5694" s="28"/>
      <c r="AU5694" s="28" t="n">
        <f aca="false">AT5694*$M5694</f>
        <v>0</v>
      </c>
      <c r="AV5694" s="28"/>
      <c r="AW5694" s="28" t="n">
        <f aca="false">AV5694*$M5694</f>
        <v>0</v>
      </c>
      <c r="AX5694" s="28"/>
      <c r="AY5694" s="28" t="n">
        <f aca="false">AX5694*$M5694</f>
        <v>0</v>
      </c>
      <c r="AZ5694" s="30" t="n">
        <f aca="false">1472/100</f>
        <v>14.72</v>
      </c>
      <c r="BA5694" s="11" t="n">
        <v>2178</v>
      </c>
      <c r="BB5694" s="31" t="n">
        <f aca="false">SUM(Q5694,S5694,U5694,W5694,Y5694,AA5694,AC5694,AE5694,AG5694,AI5694,AK5694,AM5694,AO5694,AQ5694,AS5694,AU5694,AW5694,AY5694)</f>
        <v>2178</v>
      </c>
      <c r="BC5694" s="28" t="n">
        <f aca="false">BA5694-BB5694</f>
        <v>0</v>
      </c>
      <c r="BD5694" s="32" t="n">
        <f aca="false">SUM(P5694,R5694,T5694,V5694,X5694,Z5694,AB5694,AD5694,AF5694,AH5694,AJ5694,AL5694,AN5694,AP5694,AR5694,AT5694,AV5694,AX5694)</f>
        <v>14.72</v>
      </c>
      <c r="BE5694" s="33" t="n">
        <f aca="false">AZ5694-BD5694</f>
        <v>0</v>
      </c>
      <c r="BF5694" s="34" t="n">
        <f aca="false">BD5694*M5694</f>
        <v>2178.56</v>
      </c>
      <c r="BG5694" s="35" t="n">
        <f aca="false">BA5694-BF5694</f>
        <v>-0.559999999999945</v>
      </c>
      <c r="BH5694" s="19" t="str">
        <f aca="false">IF(BG5694=0,"",IF(BG5694&lt;&gt;BA5694,"erreur de calcul",IF(BD5694&lt;&gt;0,"pas de prix",IF(M5694&lt;&gt; 0,"pas de quantité","pas de prix, ni de quantité"))))</f>
        <v>erreur de calcul</v>
      </c>
      <c r="BI5694" s="19"/>
    </row>
    <row r="5695" customFormat="false" ht="15" hidden="false" customHeight="false" outlineLevel="0" collapsed="false">
      <c r="A5695" s="0" t="n">
        <v>36</v>
      </c>
      <c r="B5695" s="8" t="s">
        <v>24</v>
      </c>
      <c r="C5695" s="9" t="s">
        <v>25</v>
      </c>
      <c r="D5695" s="9" t="s">
        <v>26</v>
      </c>
      <c r="E5695" s="10" t="n">
        <v>1789</v>
      </c>
      <c r="F5695" s="9" t="s">
        <v>27</v>
      </c>
      <c r="G5695" s="9" t="s">
        <v>27</v>
      </c>
      <c r="H5695" s="11" t="n">
        <v>20</v>
      </c>
      <c r="I5695" s="11" t="s">
        <v>154</v>
      </c>
      <c r="J5695" s="14" t="n">
        <v>75</v>
      </c>
      <c r="K5695" s="14"/>
      <c r="L5695" s="16"/>
      <c r="M5695" s="27" t="n">
        <f aca="false">J5695+(K5695/20)+(L5695/240)</f>
        <v>75</v>
      </c>
      <c r="N5695" s="17" t="s">
        <v>64</v>
      </c>
      <c r="O5695" s="11"/>
      <c r="P5695" s="28"/>
      <c r="Q5695" s="28" t="n">
        <f aca="false">P5695*$M5695</f>
        <v>0</v>
      </c>
      <c r="R5695" s="28"/>
      <c r="S5695" s="28" t="n">
        <f aca="false">R5695*$M5695</f>
        <v>0</v>
      </c>
      <c r="T5695" s="28" t="n">
        <f aca="false">627/100</f>
        <v>6.27</v>
      </c>
      <c r="U5695" s="28" t="n">
        <v>470</v>
      </c>
      <c r="V5695" s="28"/>
      <c r="W5695" s="28" t="n">
        <f aca="false">V5695*$M5695</f>
        <v>0</v>
      </c>
      <c r="X5695" s="28"/>
      <c r="Y5695" s="28" t="n">
        <f aca="false">X5695*$M5695</f>
        <v>0</v>
      </c>
      <c r="Z5695" s="28"/>
      <c r="AA5695" s="28" t="n">
        <f aca="false">Z5695*$M5695</f>
        <v>0</v>
      </c>
      <c r="AB5695" s="28"/>
      <c r="AC5695" s="28" t="n">
        <f aca="false">AB5695*$M5695</f>
        <v>0</v>
      </c>
      <c r="AD5695" s="28"/>
      <c r="AE5695" s="28" t="n">
        <f aca="false">AD5695*$M5695</f>
        <v>0</v>
      </c>
      <c r="AF5695" s="28"/>
      <c r="AG5695" s="28" t="n">
        <f aca="false">AF5695*$M5695</f>
        <v>0</v>
      </c>
      <c r="AH5695" s="28"/>
      <c r="AI5695" s="28" t="n">
        <f aca="false">AH5695*$M5695</f>
        <v>0</v>
      </c>
      <c r="AJ5695" s="28"/>
      <c r="AK5695" s="28" t="n">
        <f aca="false">AJ5695*$M5695</f>
        <v>0</v>
      </c>
      <c r="AL5695" s="28"/>
      <c r="AM5695" s="28" t="n">
        <f aca="false">AL5695*$M5695</f>
        <v>0</v>
      </c>
      <c r="AN5695" s="28"/>
      <c r="AO5695" s="28" t="n">
        <f aca="false">AN5695*$M5695</f>
        <v>0</v>
      </c>
      <c r="AP5695" s="28"/>
      <c r="AQ5695" s="28" t="n">
        <f aca="false">AP5695*$M5695</f>
        <v>0</v>
      </c>
      <c r="AR5695" s="28"/>
      <c r="AS5695" s="28" t="n">
        <f aca="false">AR5695*$M5695</f>
        <v>0</v>
      </c>
      <c r="AT5695" s="28"/>
      <c r="AU5695" s="28" t="n">
        <f aca="false">AT5695*$M5695</f>
        <v>0</v>
      </c>
      <c r="AV5695" s="28"/>
      <c r="AW5695" s="28" t="n">
        <f aca="false">AV5695*$M5695</f>
        <v>0</v>
      </c>
      <c r="AX5695" s="28"/>
      <c r="AY5695" s="28" t="n">
        <f aca="false">AX5695*$M5695</f>
        <v>0</v>
      </c>
      <c r="AZ5695" s="30" t="n">
        <f aca="false">627/100</f>
        <v>6.27</v>
      </c>
      <c r="BA5695" s="11" t="n">
        <v>470</v>
      </c>
      <c r="BB5695" s="31" t="n">
        <f aca="false">SUM(Q5695,S5695,U5695,W5695,Y5695,AA5695,AC5695,AE5695,AG5695,AI5695,AK5695,AM5695,AO5695,AQ5695,AS5695,AU5695,AW5695,AY5695)</f>
        <v>470</v>
      </c>
      <c r="BC5695" s="28" t="n">
        <f aca="false">BA5695-BB5695</f>
        <v>0</v>
      </c>
      <c r="BD5695" s="32" t="n">
        <f aca="false">SUM(P5695,R5695,T5695,V5695,X5695,Z5695,AB5695,AD5695,AF5695,AH5695,AJ5695,AL5695,AN5695,AP5695,AR5695,AT5695,AV5695,AX5695)</f>
        <v>6.27</v>
      </c>
      <c r="BE5695" s="33" t="n">
        <f aca="false">AZ5695-BD5695</f>
        <v>0</v>
      </c>
      <c r="BF5695" s="34" t="n">
        <f aca="false">BD5695*M5695</f>
        <v>470.25</v>
      </c>
      <c r="BG5695" s="35" t="n">
        <f aca="false">BA5695-BF5695</f>
        <v>-0.249999999999943</v>
      </c>
      <c r="BH5695" s="19" t="str">
        <f aca="false">IF(BG5695=0,"",IF(BG5695&lt;&gt;BA5695,"erreur de calcul",IF(BD5695&lt;&gt;0,"pas de prix",IF(M5695&lt;&gt; 0,"pas de quantité","pas de prix, ni de quantité"))))</f>
        <v>erreur de calcul</v>
      </c>
      <c r="BI5695" s="19"/>
    </row>
    <row r="5696" customFormat="false" ht="15" hidden="false" customHeight="false" outlineLevel="0" collapsed="false">
      <c r="A5696" s="0" t="n">
        <v>1</v>
      </c>
      <c r="B5696" s="8" t="s">
        <v>24</v>
      </c>
      <c r="C5696" s="9" t="s">
        <v>25</v>
      </c>
      <c r="D5696" s="9" t="s">
        <v>26</v>
      </c>
      <c r="E5696" s="10" t="n">
        <v>1789</v>
      </c>
      <c r="F5696" s="9" t="s">
        <v>27</v>
      </c>
      <c r="G5696" s="9" t="s">
        <v>27</v>
      </c>
      <c r="H5696" s="11" t="n">
        <v>21</v>
      </c>
      <c r="I5696" s="11" t="s">
        <v>155</v>
      </c>
      <c r="J5696" s="14" t="n">
        <v>60</v>
      </c>
      <c r="K5696" s="14"/>
      <c r="L5696" s="16"/>
      <c r="M5696" s="27" t="n">
        <f aca="false">J5696+(K5696/20)+(L5696/240)</f>
        <v>60</v>
      </c>
      <c r="N5696" s="17" t="s">
        <v>66</v>
      </c>
      <c r="O5696" s="11"/>
      <c r="P5696" s="28"/>
      <c r="Q5696" s="28" t="n">
        <f aca="false">P5696*$M5696</f>
        <v>0</v>
      </c>
      <c r="R5696" s="28"/>
      <c r="S5696" s="28" t="n">
        <f aca="false">R5696*$M5696</f>
        <v>0</v>
      </c>
      <c r="T5696" s="28"/>
      <c r="U5696" s="28" t="n">
        <f aca="false">T5696*$M5696</f>
        <v>0</v>
      </c>
      <c r="V5696" s="28" t="n">
        <v>10</v>
      </c>
      <c r="W5696" s="28" t="n">
        <v>600</v>
      </c>
      <c r="X5696" s="28"/>
      <c r="Y5696" s="28" t="n">
        <f aca="false">X5696*$M5696</f>
        <v>0</v>
      </c>
      <c r="Z5696" s="28"/>
      <c r="AA5696" s="28" t="n">
        <f aca="false">Z5696*$M5696</f>
        <v>0</v>
      </c>
      <c r="AB5696" s="28"/>
      <c r="AC5696" s="28" t="n">
        <f aca="false">AB5696*$M5696</f>
        <v>0</v>
      </c>
      <c r="AD5696" s="28"/>
      <c r="AE5696" s="28" t="n">
        <f aca="false">AD5696*$M5696</f>
        <v>0</v>
      </c>
      <c r="AF5696" s="28"/>
      <c r="AG5696" s="28" t="n">
        <f aca="false">AF5696*$M5696</f>
        <v>0</v>
      </c>
      <c r="AH5696" s="28"/>
      <c r="AI5696" s="28" t="n">
        <f aca="false">AH5696*$M5696</f>
        <v>0</v>
      </c>
      <c r="AJ5696" s="28"/>
      <c r="AK5696" s="28" t="n">
        <f aca="false">AJ5696*$M5696</f>
        <v>0</v>
      </c>
      <c r="AL5696" s="28"/>
      <c r="AM5696" s="28" t="n">
        <f aca="false">AL5696*$M5696</f>
        <v>0</v>
      </c>
      <c r="AN5696" s="28"/>
      <c r="AO5696" s="28" t="n">
        <f aca="false">AN5696*$M5696</f>
        <v>0</v>
      </c>
      <c r="AP5696" s="28"/>
      <c r="AQ5696" s="28" t="n">
        <f aca="false">AP5696*$M5696</f>
        <v>0</v>
      </c>
      <c r="AR5696" s="28"/>
      <c r="AS5696" s="28" t="n">
        <f aca="false">AR5696*$M5696</f>
        <v>0</v>
      </c>
      <c r="AT5696" s="28"/>
      <c r="AU5696" s="28" t="n">
        <f aca="false">AT5696*$M5696</f>
        <v>0</v>
      </c>
      <c r="AV5696" s="28"/>
      <c r="AW5696" s="28" t="n">
        <f aca="false">AV5696*$M5696</f>
        <v>0</v>
      </c>
      <c r="AX5696" s="28"/>
      <c r="AY5696" s="28" t="n">
        <f aca="false">AX5696*$M5696</f>
        <v>0</v>
      </c>
      <c r="AZ5696" s="30" t="n">
        <v>10</v>
      </c>
      <c r="BA5696" s="11" t="n">
        <v>600</v>
      </c>
      <c r="BB5696" s="31" t="n">
        <f aca="false">SUM(Q5696,S5696,U5696,W5696,Y5696,AA5696,AC5696,AE5696,AG5696,AI5696,AK5696,AM5696,AO5696,AQ5696,AS5696,AU5696,AW5696,AY5696)</f>
        <v>600</v>
      </c>
      <c r="BC5696" s="28" t="n">
        <f aca="false">BA5696-BB5696</f>
        <v>0</v>
      </c>
      <c r="BD5696" s="32" t="n">
        <f aca="false">SUM(P5696,R5696,T5696,V5696,X5696,Z5696,AB5696,AD5696,AF5696,AH5696,AJ5696,AL5696,AN5696,AP5696,AR5696,AT5696,AV5696,AX5696)</f>
        <v>10</v>
      </c>
      <c r="BE5696" s="33" t="n">
        <f aca="false">AZ5696-BD5696</f>
        <v>0</v>
      </c>
      <c r="BF5696" s="34" t="n">
        <f aca="false">BD5696*M5696</f>
        <v>600</v>
      </c>
      <c r="BG5696" s="35" t="n">
        <f aca="false">BA5696-BF5696</f>
        <v>0</v>
      </c>
      <c r="BH5696" s="19" t="str">
        <f aca="false">IF(BG5696=0,"",IF(BG5696&lt;&gt;BA5696,"erreur de calcul",IF(BD5696&lt;&gt;0,"pas de prix",IF(M5696&lt;&gt; 0,"pas de quantité","pas de prix, ni de quantité"))))</f>
        <v/>
      </c>
      <c r="BI5696" s="19"/>
    </row>
    <row r="5697" customFormat="false" ht="15" hidden="false" customHeight="false" outlineLevel="0" collapsed="false">
      <c r="A5697" s="0" t="n">
        <v>2</v>
      </c>
      <c r="B5697" s="8" t="s">
        <v>24</v>
      </c>
      <c r="C5697" s="9" t="s">
        <v>25</v>
      </c>
      <c r="D5697" s="9" t="s">
        <v>26</v>
      </c>
      <c r="E5697" s="10" t="n">
        <v>1789</v>
      </c>
      <c r="F5697" s="9" t="s">
        <v>27</v>
      </c>
      <c r="G5697" s="9" t="s">
        <v>27</v>
      </c>
      <c r="H5697" s="11" t="n">
        <v>21</v>
      </c>
      <c r="I5697" s="11" t="s">
        <v>156</v>
      </c>
      <c r="J5697" s="14"/>
      <c r="K5697" s="14"/>
      <c r="L5697" s="16"/>
      <c r="M5697" s="27" t="n">
        <f aca="false">J5697+(K5697/20)+(L5697/240)</f>
        <v>0</v>
      </c>
      <c r="N5697" s="17"/>
      <c r="O5697" s="11"/>
      <c r="P5697" s="28"/>
      <c r="Q5697" s="28" t="n">
        <v>304</v>
      </c>
      <c r="R5697" s="28"/>
      <c r="S5697" s="28" t="n">
        <f aca="false">R5697*$M5697</f>
        <v>0</v>
      </c>
      <c r="T5697" s="28"/>
      <c r="U5697" s="28" t="n">
        <f aca="false">T5697*$M5697</f>
        <v>0</v>
      </c>
      <c r="V5697" s="28"/>
      <c r="W5697" s="28" t="n">
        <f aca="false">V5697*$M5697</f>
        <v>0</v>
      </c>
      <c r="X5697" s="28"/>
      <c r="Y5697" s="28" t="n">
        <v>270</v>
      </c>
      <c r="Z5697" s="28"/>
      <c r="AA5697" s="28" t="n">
        <f aca="false">Z5697*$M5697</f>
        <v>0</v>
      </c>
      <c r="AB5697" s="28"/>
      <c r="AC5697" s="28" t="n">
        <f aca="false">AB5697*$M5697</f>
        <v>0</v>
      </c>
      <c r="AD5697" s="28"/>
      <c r="AE5697" s="28" t="n">
        <v>175</v>
      </c>
      <c r="AF5697" s="28"/>
      <c r="AG5697" s="28" t="n">
        <f aca="false">AF5697*$M5697</f>
        <v>0</v>
      </c>
      <c r="AH5697" s="28"/>
      <c r="AI5697" s="28" t="n">
        <f aca="false">AH5697*$M5697</f>
        <v>0</v>
      </c>
      <c r="AJ5697" s="28"/>
      <c r="AK5697" s="28" t="n">
        <v>240</v>
      </c>
      <c r="AL5697" s="28"/>
      <c r="AM5697" s="28" t="n">
        <v>808</v>
      </c>
      <c r="AN5697" s="28"/>
      <c r="AO5697" s="28" t="n">
        <f aca="false">AN5697*$M5697</f>
        <v>0</v>
      </c>
      <c r="AP5697" s="28"/>
      <c r="AQ5697" s="28" t="n">
        <f aca="false">AP5697*$M5697</f>
        <v>0</v>
      </c>
      <c r="AR5697" s="28"/>
      <c r="AS5697" s="28" t="n">
        <f aca="false">AR5697*$M5697</f>
        <v>0</v>
      </c>
      <c r="AT5697" s="28"/>
      <c r="AU5697" s="28" t="n">
        <f aca="false">AT5697*$M5697</f>
        <v>0</v>
      </c>
      <c r="AV5697" s="28"/>
      <c r="AW5697" s="28" t="n">
        <f aca="false">AV5697*$M5697</f>
        <v>0</v>
      </c>
      <c r="AX5697" s="28"/>
      <c r="AY5697" s="28" t="n">
        <f aca="false">AX5697*$M5697</f>
        <v>0</v>
      </c>
      <c r="AZ5697" s="30"/>
      <c r="BA5697" s="11" t="n">
        <v>1797</v>
      </c>
      <c r="BB5697" s="31" t="n">
        <f aca="false">SUM(Q5697,S5697,U5697,W5697,Y5697,AA5697,AC5697,AE5697,AG5697,AI5697,AK5697,AM5697,AO5697,AQ5697,AS5697,AU5697,AW5697,AY5697)</f>
        <v>1797</v>
      </c>
      <c r="BC5697" s="28" t="n">
        <f aca="false">BA5697-BB5697</f>
        <v>0</v>
      </c>
      <c r="BD5697" s="32" t="n">
        <f aca="false">SUM(P5697,R5697,T5697,V5697,X5697,Z5697,AB5697,AD5697,AF5697,AH5697,AJ5697,AL5697,AN5697,AP5697,AR5697,AT5697,AV5697,AX5697)</f>
        <v>0</v>
      </c>
      <c r="BE5697" s="33" t="n">
        <f aca="false">AZ5697-BD5697</f>
        <v>0</v>
      </c>
      <c r="BF5697" s="34" t="n">
        <f aca="false">BD5697*M5697</f>
        <v>0</v>
      </c>
      <c r="BG5697" s="35" t="n">
        <f aca="false">BA5697-BF5697</f>
        <v>1797</v>
      </c>
      <c r="BH5697" s="19" t="str">
        <f aca="false">IF(BG5697=0,"",IF(BG5697&lt;&gt;BA5697,"erreur de calcul",IF(BD5697&lt;&gt;0,"pas de prix",IF(M5697&lt;&gt; 0,"pas de quantité","pas de prix, ni de quantité"))))</f>
        <v>pas de prix, ni de quantité</v>
      </c>
      <c r="BI5697" s="19"/>
    </row>
    <row r="5698" customFormat="false" ht="15" hidden="false" customHeight="false" outlineLevel="0" collapsed="false">
      <c r="A5698" s="0" t="n">
        <v>3</v>
      </c>
      <c r="B5698" s="8" t="s">
        <v>24</v>
      </c>
      <c r="C5698" s="9" t="s">
        <v>25</v>
      </c>
      <c r="D5698" s="9" t="s">
        <v>26</v>
      </c>
      <c r="E5698" s="10" t="n">
        <v>1789</v>
      </c>
      <c r="F5698" s="9" t="s">
        <v>27</v>
      </c>
      <c r="G5698" s="9" t="s">
        <v>27</v>
      </c>
      <c r="H5698" s="11" t="n">
        <v>21</v>
      </c>
      <c r="I5698" s="11" t="s">
        <v>156</v>
      </c>
      <c r="J5698" s="14" t="n">
        <v>175</v>
      </c>
      <c r="K5698" s="14"/>
      <c r="L5698" s="16"/>
      <c r="M5698" s="27" t="n">
        <f aca="false">J5698+(K5698/20)+(L5698/240)</f>
        <v>175</v>
      </c>
      <c r="N5698" s="17" t="s">
        <v>64</v>
      </c>
      <c r="O5698" s="11" t="s">
        <v>98</v>
      </c>
      <c r="P5698" s="28" t="n">
        <f aca="false">3429/100</f>
        <v>34.29</v>
      </c>
      <c r="Q5698" s="28" t="n">
        <v>6001</v>
      </c>
      <c r="R5698" s="28"/>
      <c r="S5698" s="28" t="n">
        <f aca="false">R5698*$M5698</f>
        <v>0</v>
      </c>
      <c r="T5698" s="28" t="n">
        <f aca="false">5135/100</f>
        <v>51.35</v>
      </c>
      <c r="U5698" s="28" t="n">
        <v>8986</v>
      </c>
      <c r="V5698" s="28" t="n">
        <f aca="false">33716/100</f>
        <v>337.16</v>
      </c>
      <c r="W5698" s="28" t="n">
        <v>59003</v>
      </c>
      <c r="X5698" s="28" t="n">
        <f aca="false">14982/100</f>
        <v>149.82</v>
      </c>
      <c r="Y5698" s="28" t="n">
        <v>26218</v>
      </c>
      <c r="Z5698" s="28"/>
      <c r="AA5698" s="28" t="n">
        <f aca="false">Z5698*$M5698</f>
        <v>0</v>
      </c>
      <c r="AB5698" s="28"/>
      <c r="AC5698" s="28" t="n">
        <f aca="false">AB5698*$M5698</f>
        <v>0</v>
      </c>
      <c r="AD5698" s="28"/>
      <c r="AE5698" s="28" t="n">
        <f aca="false">AD5698*$M5698</f>
        <v>0</v>
      </c>
      <c r="AF5698" s="28" t="n">
        <f aca="false">439/100</f>
        <v>4.39</v>
      </c>
      <c r="AG5698" s="28" t="n">
        <v>768</v>
      </c>
      <c r="AH5698" s="28" t="n">
        <f aca="false">163722/100</f>
        <v>1637.22</v>
      </c>
      <c r="AI5698" s="28" t="n">
        <v>286513</v>
      </c>
      <c r="AJ5698" s="28" t="n">
        <f aca="false">17649/100</f>
        <v>176.49</v>
      </c>
      <c r="AK5698" s="28" t="n">
        <v>30886</v>
      </c>
      <c r="AL5698" s="28" t="n">
        <f aca="false">6852/100</f>
        <v>68.52</v>
      </c>
      <c r="AM5698" s="28" t="n">
        <v>11991</v>
      </c>
      <c r="AN5698" s="28"/>
      <c r="AO5698" s="28" t="n">
        <f aca="false">AN5698*$M5698</f>
        <v>0</v>
      </c>
      <c r="AP5698" s="28"/>
      <c r="AQ5698" s="28" t="n">
        <f aca="false">AP5698*$M5698</f>
        <v>0</v>
      </c>
      <c r="AR5698" s="28"/>
      <c r="AS5698" s="28" t="n">
        <f aca="false">AR5698*$M5698</f>
        <v>0</v>
      </c>
      <c r="AT5698" s="28"/>
      <c r="AU5698" s="28" t="n">
        <f aca="false">AT5698*$M5698</f>
        <v>0</v>
      </c>
      <c r="AV5698" s="28"/>
      <c r="AW5698" s="28" t="n">
        <f aca="false">AV5698*$M5698</f>
        <v>0</v>
      </c>
      <c r="AX5698" s="28"/>
      <c r="AY5698" s="28" t="n">
        <f aca="false">AX5698*$M5698</f>
        <v>0</v>
      </c>
      <c r="AZ5698" s="30" t="n">
        <f aca="false">245924/100</f>
        <v>2459.24</v>
      </c>
      <c r="BA5698" s="11" t="n">
        <v>430366</v>
      </c>
      <c r="BB5698" s="31" t="n">
        <f aca="false">SUM(Q5698,S5698,U5698,W5698,Y5698,AA5698,AC5698,AE5698,AG5698,AI5698,AK5698,AM5698,AO5698,AQ5698,AS5698,AU5698,AW5698,AY5698)</f>
        <v>430366</v>
      </c>
      <c r="BC5698" s="28" t="n">
        <f aca="false">BA5698-BB5698</f>
        <v>0</v>
      </c>
      <c r="BD5698" s="32" t="n">
        <f aca="false">SUM(P5698,R5698,T5698,V5698,X5698,Z5698,AB5698,AD5698,AF5698,AH5698,AJ5698,AL5698,AN5698,AP5698,AR5698,AT5698,AV5698,AX5698)</f>
        <v>2459.24</v>
      </c>
      <c r="BE5698" s="33" t="n">
        <f aca="false">AZ5698-BD5698</f>
        <v>0</v>
      </c>
      <c r="BF5698" s="34" t="n">
        <f aca="false">BD5698*M5698</f>
        <v>430367</v>
      </c>
      <c r="BG5698" s="35" t="n">
        <f aca="false">BA5698-BF5698</f>
        <v>-0.999999999941792</v>
      </c>
      <c r="BH5698" s="19" t="str">
        <f aca="false">IF(BG5698=0,"",IF(BG5698&lt;&gt;BA5698,"erreur de calcul",IF(BD5698&lt;&gt;0,"pas de prix",IF(M5698&lt;&gt; 0,"pas de quantité","pas de prix, ni de quantité"))))</f>
        <v>erreur de calcul</v>
      </c>
      <c r="BI5698" s="19"/>
    </row>
    <row r="5699" customFormat="false" ht="15" hidden="false" customHeight="false" outlineLevel="0" collapsed="false">
      <c r="A5699" s="0" t="n">
        <v>4</v>
      </c>
      <c r="B5699" s="8" t="s">
        <v>24</v>
      </c>
      <c r="C5699" s="9" t="s">
        <v>25</v>
      </c>
      <c r="D5699" s="9" t="s">
        <v>26</v>
      </c>
      <c r="E5699" s="10" t="n">
        <v>1789</v>
      </c>
      <c r="F5699" s="9" t="s">
        <v>27</v>
      </c>
      <c r="G5699" s="9" t="s">
        <v>27</v>
      </c>
      <c r="H5699" s="11" t="n">
        <v>21</v>
      </c>
      <c r="I5699" s="11" t="s">
        <v>157</v>
      </c>
      <c r="J5699" s="14" t="n">
        <v>240</v>
      </c>
      <c r="K5699" s="14"/>
      <c r="L5699" s="16"/>
      <c r="M5699" s="27" t="n">
        <f aca="false">J5699+(K5699/20)+(L5699/240)</f>
        <v>240</v>
      </c>
      <c r="N5699" s="17" t="s">
        <v>64</v>
      </c>
      <c r="O5699" s="11"/>
      <c r="P5699" s="28"/>
      <c r="Q5699" s="28" t="n">
        <f aca="false">P5699*$M5699</f>
        <v>0</v>
      </c>
      <c r="R5699" s="28"/>
      <c r="S5699" s="28" t="n">
        <f aca="false">R5699*$M5699</f>
        <v>0</v>
      </c>
      <c r="T5699" s="28"/>
      <c r="U5699" s="28" t="n">
        <f aca="false">T5699*$M5699</f>
        <v>0</v>
      </c>
      <c r="V5699" s="28"/>
      <c r="W5699" s="28" t="n">
        <f aca="false">V5699*$M5699</f>
        <v>0</v>
      </c>
      <c r="X5699" s="28"/>
      <c r="Y5699" s="28" t="n">
        <f aca="false">X5699*$M5699</f>
        <v>0</v>
      </c>
      <c r="Z5699" s="28"/>
      <c r="AA5699" s="28" t="n">
        <f aca="false">Z5699*$M5699</f>
        <v>0</v>
      </c>
      <c r="AB5699" s="28"/>
      <c r="AC5699" s="28" t="n">
        <f aca="false">AB5699*$M5699</f>
        <v>0</v>
      </c>
      <c r="AD5699" s="28"/>
      <c r="AE5699" s="28" t="n">
        <f aca="false">AD5699*$M5699</f>
        <v>0</v>
      </c>
      <c r="AF5699" s="28"/>
      <c r="AG5699" s="28" t="n">
        <f aca="false">AF5699*$M5699</f>
        <v>0</v>
      </c>
      <c r="AH5699" s="28"/>
      <c r="AI5699" s="28" t="n">
        <f aca="false">AH5699*$M5699</f>
        <v>0</v>
      </c>
      <c r="AJ5699" s="28" t="n">
        <f aca="false">290/100</f>
        <v>2.9</v>
      </c>
      <c r="AK5699" s="36" t="n">
        <v>2208</v>
      </c>
      <c r="AL5699" s="28"/>
      <c r="AM5699" s="28" t="n">
        <f aca="false">AL5699*$M5699</f>
        <v>0</v>
      </c>
      <c r="AN5699" s="28"/>
      <c r="AO5699" s="28" t="n">
        <f aca="false">AN5699*$M5699</f>
        <v>0</v>
      </c>
      <c r="AP5699" s="28"/>
      <c r="AQ5699" s="28" t="n">
        <f aca="false">AP5699*$M5699</f>
        <v>0</v>
      </c>
      <c r="AR5699" s="28"/>
      <c r="AS5699" s="28" t="n">
        <f aca="false">AR5699*$M5699</f>
        <v>0</v>
      </c>
      <c r="AT5699" s="28"/>
      <c r="AU5699" s="28" t="n">
        <f aca="false">AT5699*$M5699</f>
        <v>0</v>
      </c>
      <c r="AV5699" s="28"/>
      <c r="AW5699" s="28" t="n">
        <f aca="false">AV5699*$M5699</f>
        <v>0</v>
      </c>
      <c r="AX5699" s="28"/>
      <c r="AY5699" s="28" t="n">
        <f aca="false">AX5699*$M5699</f>
        <v>0</v>
      </c>
      <c r="AZ5699" s="30" t="n">
        <f aca="false">290/100</f>
        <v>2.9</v>
      </c>
      <c r="BA5699" s="11" t="n">
        <v>2208</v>
      </c>
      <c r="BB5699" s="31" t="n">
        <f aca="false">SUM(Q5699,S5699,U5699,W5699,Y5699,AA5699,AC5699,AE5699,AG5699,AI5699,AK5699,AM5699,AO5699,AQ5699,AS5699,AU5699,AW5699,AY5699)</f>
        <v>2208</v>
      </c>
      <c r="BC5699" s="28" t="n">
        <f aca="false">BA5699-BB5699</f>
        <v>0</v>
      </c>
      <c r="BD5699" s="32" t="n">
        <f aca="false">SUM(P5699,R5699,T5699,V5699,X5699,Z5699,AB5699,AD5699,AF5699,AH5699,AJ5699,AL5699,AN5699,AP5699,AR5699,AT5699,AV5699,AX5699)</f>
        <v>2.9</v>
      </c>
      <c r="BE5699" s="33" t="n">
        <f aca="false">AZ5699-BD5699</f>
        <v>0</v>
      </c>
      <c r="BF5699" s="34" t="n">
        <f aca="false">BD5699*M5699</f>
        <v>696</v>
      </c>
      <c r="BG5699" s="35" t="n">
        <f aca="false">BA5699-BF5699</f>
        <v>1512</v>
      </c>
      <c r="BH5699" s="19" t="str">
        <f aca="false">IF(BG5699=0,"",IF(BG5699&lt;&gt;BA5699,"erreur de calcul",IF(BD5699&lt;&gt;0,"pas de prix",IF(M5699&lt;&gt; 0,"pas de quantité","pas de prix, ni de quantité"))))</f>
        <v>erreur de calcul</v>
      </c>
      <c r="BI5699" s="19"/>
    </row>
    <row r="5700" customFormat="false" ht="15" hidden="false" customHeight="false" outlineLevel="0" collapsed="false">
      <c r="A5700" s="0" t="n">
        <v>5</v>
      </c>
      <c r="B5700" s="8" t="s">
        <v>24</v>
      </c>
      <c r="C5700" s="9" t="s">
        <v>25</v>
      </c>
      <c r="D5700" s="9" t="s">
        <v>26</v>
      </c>
      <c r="E5700" s="10" t="n">
        <v>1789</v>
      </c>
      <c r="F5700" s="9" t="s">
        <v>27</v>
      </c>
      <c r="G5700" s="9" t="s">
        <v>27</v>
      </c>
      <c r="H5700" s="11" t="n">
        <v>21</v>
      </c>
      <c r="I5700" s="11" t="s">
        <v>158</v>
      </c>
      <c r="J5700" s="14" t="n">
        <v>115</v>
      </c>
      <c r="K5700" s="14"/>
      <c r="L5700" s="16"/>
      <c r="M5700" s="27" t="n">
        <f aca="false">J5700+(K5700/20)+(L5700/240)</f>
        <v>115</v>
      </c>
      <c r="N5700" s="17" t="s">
        <v>64</v>
      </c>
      <c r="O5700" s="11"/>
      <c r="P5700" s="28"/>
      <c r="Q5700" s="28" t="n">
        <f aca="false">P5700*$M5700</f>
        <v>0</v>
      </c>
      <c r="R5700" s="28"/>
      <c r="S5700" s="28" t="n">
        <f aca="false">R5700*$M5700</f>
        <v>0</v>
      </c>
      <c r="T5700" s="28"/>
      <c r="U5700" s="28" t="n">
        <f aca="false">T5700*$M5700</f>
        <v>0</v>
      </c>
      <c r="V5700" s="28"/>
      <c r="W5700" s="28" t="n">
        <f aca="false">V5700*$M5700</f>
        <v>0</v>
      </c>
      <c r="X5700" s="28"/>
      <c r="Y5700" s="28" t="n">
        <f aca="false">X5700*$M5700</f>
        <v>0</v>
      </c>
      <c r="Z5700" s="28"/>
      <c r="AA5700" s="28" t="n">
        <f aca="false">Z5700*$M5700</f>
        <v>0</v>
      </c>
      <c r="AB5700" s="28"/>
      <c r="AC5700" s="28" t="n">
        <f aca="false">AB5700*$M5700</f>
        <v>0</v>
      </c>
      <c r="AD5700" s="28"/>
      <c r="AE5700" s="28" t="n">
        <f aca="false">AD5700*$M5700</f>
        <v>0</v>
      </c>
      <c r="AF5700" s="28"/>
      <c r="AG5700" s="28" t="n">
        <f aca="false">AF5700*$M5700</f>
        <v>0</v>
      </c>
      <c r="AH5700" s="28" t="n">
        <f aca="false">491552/100</f>
        <v>4915.52</v>
      </c>
      <c r="AI5700" s="28" t="n">
        <v>565285</v>
      </c>
      <c r="AJ5700" s="28"/>
      <c r="AK5700" s="28" t="n">
        <f aca="false">AJ5700*$M5700</f>
        <v>0</v>
      </c>
      <c r="AL5700" s="28"/>
      <c r="AM5700" s="28" t="n">
        <f aca="false">AL5700*$M5700</f>
        <v>0</v>
      </c>
      <c r="AN5700" s="28"/>
      <c r="AO5700" s="28" t="n">
        <f aca="false">AN5700*$M5700</f>
        <v>0</v>
      </c>
      <c r="AP5700" s="28"/>
      <c r="AQ5700" s="28" t="n">
        <f aca="false">AP5700*$M5700</f>
        <v>0</v>
      </c>
      <c r="AR5700" s="28"/>
      <c r="AS5700" s="28" t="n">
        <f aca="false">AR5700*$M5700</f>
        <v>0</v>
      </c>
      <c r="AT5700" s="28"/>
      <c r="AU5700" s="28" t="n">
        <f aca="false">AT5700*$M5700</f>
        <v>0</v>
      </c>
      <c r="AV5700" s="28"/>
      <c r="AW5700" s="28" t="n">
        <f aca="false">AV5700*$M5700</f>
        <v>0</v>
      </c>
      <c r="AX5700" s="28"/>
      <c r="AY5700" s="28" t="n">
        <f aca="false">AX5700*$M5700</f>
        <v>0</v>
      </c>
      <c r="AZ5700" s="30" t="n">
        <f aca="false">491552/100</f>
        <v>4915.52</v>
      </c>
      <c r="BA5700" s="11" t="n">
        <v>565285</v>
      </c>
      <c r="BB5700" s="31" t="n">
        <f aca="false">SUM(Q5700,S5700,U5700,W5700,Y5700,AA5700,AC5700,AE5700,AG5700,AI5700,AK5700,AM5700,AO5700,AQ5700,AS5700,AU5700,AW5700,AY5700)</f>
        <v>565285</v>
      </c>
      <c r="BC5700" s="28" t="n">
        <f aca="false">BA5700-BB5700</f>
        <v>0</v>
      </c>
      <c r="BD5700" s="32" t="n">
        <f aca="false">SUM(P5700,R5700,T5700,V5700,X5700,Z5700,AB5700,AD5700,AF5700,AH5700,AJ5700,AL5700,AN5700,AP5700,AR5700,AT5700,AV5700,AX5700)</f>
        <v>4915.52</v>
      </c>
      <c r="BE5700" s="33" t="n">
        <f aca="false">AZ5700-BD5700</f>
        <v>0</v>
      </c>
      <c r="BF5700" s="34" t="n">
        <f aca="false">BD5700*M5700</f>
        <v>565284.8</v>
      </c>
      <c r="BG5700" s="35" t="n">
        <f aca="false">BA5700-BF5700</f>
        <v>0.199999999953434</v>
      </c>
      <c r="BH5700" s="19" t="str">
        <f aca="false">IF(BG5700=0,"",IF(BG5700&lt;&gt;BA5700,"erreur de calcul",IF(BD5700&lt;&gt;0,"pas de prix",IF(M5700&lt;&gt; 0,"pas de quantité","pas de prix, ni de quantité"))))</f>
        <v>erreur de calcul</v>
      </c>
      <c r="BI5700" s="19"/>
    </row>
    <row r="5701" customFormat="false" ht="15" hidden="false" customHeight="false" outlineLevel="0" collapsed="false">
      <c r="A5701" s="0" t="n">
        <v>6</v>
      </c>
      <c r="B5701" s="8" t="s">
        <v>24</v>
      </c>
      <c r="C5701" s="9" t="s">
        <v>25</v>
      </c>
      <c r="D5701" s="9" t="s">
        <v>26</v>
      </c>
      <c r="E5701" s="10" t="n">
        <v>1789</v>
      </c>
      <c r="F5701" s="9" t="s">
        <v>27</v>
      </c>
      <c r="G5701" s="9" t="s">
        <v>27</v>
      </c>
      <c r="H5701" s="11" t="n">
        <v>21</v>
      </c>
      <c r="I5701" s="11" t="s">
        <v>159</v>
      </c>
      <c r="J5701" s="14" t="n">
        <v>240</v>
      </c>
      <c r="K5701" s="14"/>
      <c r="L5701" s="16"/>
      <c r="M5701" s="27" t="n">
        <f aca="false">J5701+(K5701/20)+(L5701/240)</f>
        <v>240</v>
      </c>
      <c r="N5701" s="17" t="s">
        <v>64</v>
      </c>
      <c r="O5701" s="11"/>
      <c r="P5701" s="28"/>
      <c r="Q5701" s="28" t="n">
        <f aca="false">P5701*$M5701</f>
        <v>0</v>
      </c>
      <c r="R5701" s="28"/>
      <c r="S5701" s="28" t="n">
        <f aca="false">R5701*$M5701</f>
        <v>0</v>
      </c>
      <c r="T5701" s="28"/>
      <c r="U5701" s="28" t="n">
        <f aca="false">T5701*$M5701</f>
        <v>0</v>
      </c>
      <c r="V5701" s="28"/>
      <c r="W5701" s="28" t="n">
        <f aca="false">V5701*$M5701</f>
        <v>0</v>
      </c>
      <c r="X5701" s="28"/>
      <c r="Y5701" s="28" t="n">
        <f aca="false">X5701*$M5701</f>
        <v>0</v>
      </c>
      <c r="Z5701" s="28"/>
      <c r="AA5701" s="28" t="n">
        <f aca="false">Z5701*$M5701</f>
        <v>0</v>
      </c>
      <c r="AB5701" s="28"/>
      <c r="AC5701" s="28" t="n">
        <f aca="false">AB5701*$M5701</f>
        <v>0</v>
      </c>
      <c r="AD5701" s="28"/>
      <c r="AE5701" s="28" t="n">
        <f aca="false">AD5701*$M5701</f>
        <v>0</v>
      </c>
      <c r="AF5701" s="28"/>
      <c r="AG5701" s="28" t="n">
        <f aca="false">AF5701*$M5701</f>
        <v>0</v>
      </c>
      <c r="AH5701" s="28" t="n">
        <f aca="false">46293/100</f>
        <v>462.93</v>
      </c>
      <c r="AI5701" s="28" t="n">
        <v>111103</v>
      </c>
      <c r="AJ5701" s="28"/>
      <c r="AK5701" s="28" t="n">
        <f aca="false">AJ5701*$M5701</f>
        <v>0</v>
      </c>
      <c r="AL5701" s="28"/>
      <c r="AM5701" s="28" t="n">
        <f aca="false">AL5701*$M5701</f>
        <v>0</v>
      </c>
      <c r="AN5701" s="28"/>
      <c r="AO5701" s="28" t="n">
        <f aca="false">AN5701*$M5701</f>
        <v>0</v>
      </c>
      <c r="AP5701" s="28"/>
      <c r="AQ5701" s="28" t="n">
        <f aca="false">AP5701*$M5701</f>
        <v>0</v>
      </c>
      <c r="AR5701" s="28"/>
      <c r="AS5701" s="28" t="n">
        <f aca="false">AR5701*$M5701</f>
        <v>0</v>
      </c>
      <c r="AT5701" s="28"/>
      <c r="AU5701" s="28" t="n">
        <f aca="false">AT5701*$M5701</f>
        <v>0</v>
      </c>
      <c r="AV5701" s="28"/>
      <c r="AW5701" s="28" t="n">
        <f aca="false">AV5701*$M5701</f>
        <v>0</v>
      </c>
      <c r="AX5701" s="28"/>
      <c r="AY5701" s="28" t="n">
        <f aca="false">AX5701*$M5701</f>
        <v>0</v>
      </c>
      <c r="AZ5701" s="30" t="n">
        <f aca="false">46293/100</f>
        <v>462.93</v>
      </c>
      <c r="BA5701" s="11" t="n">
        <v>111103</v>
      </c>
      <c r="BB5701" s="31" t="n">
        <f aca="false">SUM(Q5701,S5701,U5701,W5701,Y5701,AA5701,AC5701,AE5701,AG5701,AI5701,AK5701,AM5701,AO5701,AQ5701,AS5701,AU5701,AW5701,AY5701)</f>
        <v>111103</v>
      </c>
      <c r="BC5701" s="28" t="n">
        <f aca="false">BA5701-BB5701</f>
        <v>0</v>
      </c>
      <c r="BD5701" s="32" t="n">
        <f aca="false">SUM(P5701,R5701,T5701,V5701,X5701,Z5701,AB5701,AD5701,AF5701,AH5701,AJ5701,AL5701,AN5701,AP5701,AR5701,AT5701,AV5701,AX5701)</f>
        <v>462.93</v>
      </c>
      <c r="BE5701" s="33" t="n">
        <f aca="false">AZ5701-BD5701</f>
        <v>0</v>
      </c>
      <c r="BF5701" s="34" t="n">
        <f aca="false">BD5701*M5701</f>
        <v>111103.2</v>
      </c>
      <c r="BG5701" s="35" t="n">
        <f aca="false">BA5701-BF5701</f>
        <v>-0.19999999999709</v>
      </c>
      <c r="BH5701" s="19" t="str">
        <f aca="false">IF(BG5701=0,"",IF(BG5701&lt;&gt;BA5701,"erreur de calcul",IF(BD5701&lt;&gt;0,"pas de prix",IF(M5701&lt;&gt; 0,"pas de quantité","pas de prix, ni de quantité"))))</f>
        <v>erreur de calcul</v>
      </c>
      <c r="BI5701" s="19"/>
    </row>
    <row r="5702" customFormat="false" ht="15" hidden="false" customHeight="false" outlineLevel="0" collapsed="false">
      <c r="A5702" s="0" t="n">
        <v>7</v>
      </c>
      <c r="B5702" s="8" t="s">
        <v>24</v>
      </c>
      <c r="C5702" s="9" t="s">
        <v>25</v>
      </c>
      <c r="D5702" s="9" t="s">
        <v>26</v>
      </c>
      <c r="E5702" s="10" t="n">
        <v>1789</v>
      </c>
      <c r="F5702" s="9" t="s">
        <v>27</v>
      </c>
      <c r="G5702" s="9" t="s">
        <v>27</v>
      </c>
      <c r="H5702" s="11" t="n">
        <v>21</v>
      </c>
      <c r="I5702" s="11" t="s">
        <v>160</v>
      </c>
      <c r="J5702" s="14" t="n">
        <v>70</v>
      </c>
      <c r="K5702" s="14"/>
      <c r="L5702" s="16"/>
      <c r="M5702" s="27" t="n">
        <f aca="false">J5702+(K5702/20)+(L5702/240)</f>
        <v>70</v>
      </c>
      <c r="N5702" s="17" t="s">
        <v>64</v>
      </c>
      <c r="O5702" s="11"/>
      <c r="P5702" s="28"/>
      <c r="Q5702" s="28" t="n">
        <f aca="false">P5702*$M5702</f>
        <v>0</v>
      </c>
      <c r="R5702" s="28"/>
      <c r="S5702" s="28" t="n">
        <f aca="false">R5702*$M5702</f>
        <v>0</v>
      </c>
      <c r="T5702" s="28"/>
      <c r="U5702" s="28" t="n">
        <f aca="false">T5702*$M5702</f>
        <v>0</v>
      </c>
      <c r="V5702" s="28"/>
      <c r="W5702" s="28" t="n">
        <f aca="false">V5702*$M5702</f>
        <v>0</v>
      </c>
      <c r="X5702" s="28"/>
      <c r="Y5702" s="28" t="n">
        <f aca="false">X5702*$M5702</f>
        <v>0</v>
      </c>
      <c r="Z5702" s="28"/>
      <c r="AA5702" s="28" t="n">
        <f aca="false">Z5702*$M5702</f>
        <v>0</v>
      </c>
      <c r="AB5702" s="28"/>
      <c r="AC5702" s="28" t="n">
        <f aca="false">AB5702*$M5702</f>
        <v>0</v>
      </c>
      <c r="AD5702" s="28"/>
      <c r="AE5702" s="28" t="n">
        <f aca="false">AD5702*$M5702</f>
        <v>0</v>
      </c>
      <c r="AF5702" s="28" t="n">
        <f aca="false">125849/100</f>
        <v>1258.49</v>
      </c>
      <c r="AG5702" s="28" t="n">
        <v>88094</v>
      </c>
      <c r="AH5702" s="28"/>
      <c r="AI5702" s="28" t="n">
        <f aca="false">AH5702*$M5702</f>
        <v>0</v>
      </c>
      <c r="AJ5702" s="28"/>
      <c r="AK5702" s="28" t="n">
        <f aca="false">AJ5702*$M5702</f>
        <v>0</v>
      </c>
      <c r="AL5702" s="28"/>
      <c r="AM5702" s="28" t="n">
        <f aca="false">AL5702*$M5702</f>
        <v>0</v>
      </c>
      <c r="AN5702" s="28"/>
      <c r="AO5702" s="28" t="n">
        <f aca="false">AN5702*$M5702</f>
        <v>0</v>
      </c>
      <c r="AP5702" s="28"/>
      <c r="AQ5702" s="28" t="n">
        <f aca="false">AP5702*$M5702</f>
        <v>0</v>
      </c>
      <c r="AR5702" s="28"/>
      <c r="AS5702" s="28" t="n">
        <f aca="false">AR5702*$M5702</f>
        <v>0</v>
      </c>
      <c r="AT5702" s="28"/>
      <c r="AU5702" s="28" t="n">
        <f aca="false">AT5702*$M5702</f>
        <v>0</v>
      </c>
      <c r="AV5702" s="28"/>
      <c r="AW5702" s="28" t="n">
        <f aca="false">AV5702*$M5702</f>
        <v>0</v>
      </c>
      <c r="AX5702" s="28"/>
      <c r="AY5702" s="28" t="n">
        <f aca="false">AX5702*$M5702</f>
        <v>0</v>
      </c>
      <c r="AZ5702" s="30" t="n">
        <f aca="false">125849/100</f>
        <v>1258.49</v>
      </c>
      <c r="BA5702" s="11" t="n">
        <v>88094</v>
      </c>
      <c r="BB5702" s="31" t="n">
        <f aca="false">SUM(Q5702,S5702,U5702,W5702,Y5702,AA5702,AC5702,AE5702,AG5702,AI5702,AK5702,AM5702,AO5702,AQ5702,AS5702,AU5702,AW5702,AY5702)</f>
        <v>88094</v>
      </c>
      <c r="BC5702" s="28" t="n">
        <f aca="false">BA5702-BB5702</f>
        <v>0</v>
      </c>
      <c r="BD5702" s="32" t="n">
        <f aca="false">SUM(P5702,R5702,T5702,V5702,X5702,Z5702,AB5702,AD5702,AF5702,AH5702,AJ5702,AL5702,AN5702,AP5702,AR5702,AT5702,AV5702,AX5702)</f>
        <v>1258.49</v>
      </c>
      <c r="BE5702" s="33" t="n">
        <f aca="false">AZ5702-BD5702</f>
        <v>0</v>
      </c>
      <c r="BF5702" s="34" t="n">
        <f aca="false">BD5702*M5702</f>
        <v>88094.3</v>
      </c>
      <c r="BG5702" s="35" t="n">
        <f aca="false">BA5702-BF5702</f>
        <v>-0.30000000000291</v>
      </c>
      <c r="BH5702" s="19" t="str">
        <f aca="false">IF(BG5702=0,"",IF(BG5702&lt;&gt;BA5702,"erreur de calcul",IF(BD5702&lt;&gt;0,"pas de prix",IF(M5702&lt;&gt; 0,"pas de quantité","pas de prix, ni de quantité"))))</f>
        <v>erreur de calcul</v>
      </c>
      <c r="BI5702" s="19"/>
    </row>
    <row r="5703" customFormat="false" ht="15" hidden="false" customHeight="false" outlineLevel="0" collapsed="false">
      <c r="A5703" s="0" t="n">
        <v>8</v>
      </c>
      <c r="B5703" s="8" t="s">
        <v>24</v>
      </c>
      <c r="C5703" s="9" t="s">
        <v>25</v>
      </c>
      <c r="D5703" s="9" t="s">
        <v>26</v>
      </c>
      <c r="E5703" s="10" t="n">
        <v>1789</v>
      </c>
      <c r="F5703" s="9" t="s">
        <v>27</v>
      </c>
      <c r="G5703" s="9" t="s">
        <v>27</v>
      </c>
      <c r="H5703" s="11" t="n">
        <v>21</v>
      </c>
      <c r="I5703" s="11" t="s">
        <v>161</v>
      </c>
      <c r="J5703" s="14" t="n">
        <v>50</v>
      </c>
      <c r="K5703" s="14"/>
      <c r="L5703" s="16"/>
      <c r="M5703" s="27" t="n">
        <f aca="false">J5703+(K5703/20)+(L5703/240)</f>
        <v>50</v>
      </c>
      <c r="N5703" s="17" t="s">
        <v>64</v>
      </c>
      <c r="O5703" s="11"/>
      <c r="P5703" s="28"/>
      <c r="Q5703" s="28" t="n">
        <f aca="false">P5703*$M5703</f>
        <v>0</v>
      </c>
      <c r="R5703" s="28"/>
      <c r="S5703" s="28" t="n">
        <f aca="false">R5703*$M5703</f>
        <v>0</v>
      </c>
      <c r="T5703" s="28"/>
      <c r="U5703" s="28" t="n">
        <f aca="false">T5703*$M5703</f>
        <v>0</v>
      </c>
      <c r="V5703" s="28" t="n">
        <f aca="false">18055/100</f>
        <v>180.55</v>
      </c>
      <c r="W5703" s="28" t="n">
        <v>9027</v>
      </c>
      <c r="X5703" s="28" t="n">
        <f aca="false">17880/100</f>
        <v>178.8</v>
      </c>
      <c r="Y5703" s="28" t="n">
        <v>8940</v>
      </c>
      <c r="Z5703" s="28"/>
      <c r="AA5703" s="28" t="n">
        <f aca="false">Z5703*$M5703</f>
        <v>0</v>
      </c>
      <c r="AB5703" s="28" t="n">
        <f aca="false">104483/100</f>
        <v>1044.83</v>
      </c>
      <c r="AC5703" s="28" t="n">
        <v>52241</v>
      </c>
      <c r="AD5703" s="28"/>
      <c r="AE5703" s="28" t="n">
        <f aca="false">AD5703*$M5703</f>
        <v>0</v>
      </c>
      <c r="AF5703" s="28"/>
      <c r="AG5703" s="28" t="n">
        <f aca="false">AF5703*$M5703</f>
        <v>0</v>
      </c>
      <c r="AH5703" s="28"/>
      <c r="AI5703" s="28" t="n">
        <f aca="false">AH5703*$M5703</f>
        <v>0</v>
      </c>
      <c r="AJ5703" s="28"/>
      <c r="AK5703" s="28" t="n">
        <f aca="false">AJ5703*$M5703</f>
        <v>0</v>
      </c>
      <c r="AL5703" s="28"/>
      <c r="AM5703" s="28" t="n">
        <f aca="false">AL5703*$M5703</f>
        <v>0</v>
      </c>
      <c r="AN5703" s="28"/>
      <c r="AO5703" s="28" t="n">
        <f aca="false">AN5703*$M5703</f>
        <v>0</v>
      </c>
      <c r="AP5703" s="28"/>
      <c r="AQ5703" s="28" t="n">
        <f aca="false">AP5703*$M5703</f>
        <v>0</v>
      </c>
      <c r="AR5703" s="28"/>
      <c r="AS5703" s="28" t="n">
        <f aca="false">AR5703*$M5703</f>
        <v>0</v>
      </c>
      <c r="AT5703" s="28"/>
      <c r="AU5703" s="28" t="n">
        <f aca="false">AT5703*$M5703</f>
        <v>0</v>
      </c>
      <c r="AV5703" s="28"/>
      <c r="AW5703" s="28" t="n">
        <f aca="false">AV5703*$M5703</f>
        <v>0</v>
      </c>
      <c r="AX5703" s="28"/>
      <c r="AY5703" s="28" t="n">
        <f aca="false">AX5703*$M5703</f>
        <v>0</v>
      </c>
      <c r="AZ5703" s="30" t="n">
        <f aca="false">140418/100</f>
        <v>1404.18</v>
      </c>
      <c r="BA5703" s="11" t="n">
        <v>70208</v>
      </c>
      <c r="BB5703" s="31" t="n">
        <f aca="false">SUM(Q5703,S5703,U5703,W5703,Y5703,AA5703,AC5703,AE5703,AG5703,AI5703,AK5703,AM5703,AO5703,AQ5703,AS5703,AU5703,AW5703,AY5703)</f>
        <v>70208</v>
      </c>
      <c r="BC5703" s="28" t="n">
        <f aca="false">BA5703-BB5703</f>
        <v>0</v>
      </c>
      <c r="BD5703" s="32" t="n">
        <f aca="false">SUM(P5703,R5703,T5703,V5703,X5703,Z5703,AB5703,AD5703,AF5703,AH5703,AJ5703,AL5703,AN5703,AP5703,AR5703,AT5703,AV5703,AX5703)</f>
        <v>1404.18</v>
      </c>
      <c r="BE5703" s="33" t="n">
        <f aca="false">AZ5703-BD5703</f>
        <v>0</v>
      </c>
      <c r="BF5703" s="34" t="n">
        <f aca="false">BD5703*M5703</f>
        <v>70209</v>
      </c>
      <c r="BG5703" s="35" t="n">
        <f aca="false">BA5703-BF5703</f>
        <v>-0.999999999985448</v>
      </c>
      <c r="BH5703" s="19" t="str">
        <f aca="false">IF(BG5703=0,"",IF(BG5703&lt;&gt;BA5703,"erreur de calcul",IF(BD5703&lt;&gt;0,"pas de prix",IF(M5703&lt;&gt; 0,"pas de quantité","pas de prix, ni de quantité"))))</f>
        <v>erreur de calcul</v>
      </c>
      <c r="BI5703" s="19"/>
    </row>
    <row r="5704" customFormat="false" ht="15" hidden="false" customHeight="false" outlineLevel="0" collapsed="false">
      <c r="A5704" s="0" t="n">
        <v>9</v>
      </c>
      <c r="B5704" s="8" t="s">
        <v>24</v>
      </c>
      <c r="C5704" s="9" t="s">
        <v>25</v>
      </c>
      <c r="D5704" s="9" t="s">
        <v>26</v>
      </c>
      <c r="E5704" s="10" t="n">
        <v>1789</v>
      </c>
      <c r="F5704" s="9" t="s">
        <v>27</v>
      </c>
      <c r="G5704" s="9" t="s">
        <v>27</v>
      </c>
      <c r="H5704" s="11" t="n">
        <v>21</v>
      </c>
      <c r="I5704" s="11" t="s">
        <v>162</v>
      </c>
      <c r="J5704" s="14" t="n">
        <v>250</v>
      </c>
      <c r="K5704" s="14"/>
      <c r="L5704" s="16"/>
      <c r="M5704" s="27" t="n">
        <f aca="false">J5704+(K5704/20)+(L5704/240)</f>
        <v>250</v>
      </c>
      <c r="N5704" s="17" t="s">
        <v>64</v>
      </c>
      <c r="O5704" s="11"/>
      <c r="P5704" s="28"/>
      <c r="Q5704" s="28" t="n">
        <f aca="false">P5704*$M5704</f>
        <v>0</v>
      </c>
      <c r="R5704" s="28"/>
      <c r="S5704" s="28" t="n">
        <f aca="false">R5704*$M5704</f>
        <v>0</v>
      </c>
      <c r="T5704" s="28"/>
      <c r="U5704" s="28" t="n">
        <f aca="false">T5704*$M5704</f>
        <v>0</v>
      </c>
      <c r="V5704" s="28"/>
      <c r="W5704" s="28" t="n">
        <f aca="false">V5704*$M5704</f>
        <v>0</v>
      </c>
      <c r="X5704" s="28"/>
      <c r="Y5704" s="28" t="n">
        <f aca="false">X5704*$M5704</f>
        <v>0</v>
      </c>
      <c r="Z5704" s="28"/>
      <c r="AA5704" s="28" t="n">
        <f aca="false">Z5704*$M5704</f>
        <v>0</v>
      </c>
      <c r="AB5704" s="28"/>
      <c r="AC5704" s="28" t="n">
        <f aca="false">AB5704*$M5704</f>
        <v>0</v>
      </c>
      <c r="AD5704" s="28"/>
      <c r="AE5704" s="28" t="n">
        <f aca="false">AD5704*$M5704</f>
        <v>0</v>
      </c>
      <c r="AF5704" s="28"/>
      <c r="AG5704" s="28" t="n">
        <f aca="false">AF5704*$M5704</f>
        <v>0</v>
      </c>
      <c r="AH5704" s="28" t="n">
        <f aca="false">2306/100</f>
        <v>23.06</v>
      </c>
      <c r="AI5704" s="36" t="n">
        <v>5073</v>
      </c>
      <c r="AJ5704" s="28"/>
      <c r="AK5704" s="28" t="n">
        <f aca="false">AJ5704*$M5704</f>
        <v>0</v>
      </c>
      <c r="AL5704" s="28"/>
      <c r="AM5704" s="28" t="n">
        <f aca="false">AL5704*$M5704</f>
        <v>0</v>
      </c>
      <c r="AN5704" s="28"/>
      <c r="AO5704" s="28" t="n">
        <f aca="false">AN5704*$M5704</f>
        <v>0</v>
      </c>
      <c r="AP5704" s="28"/>
      <c r="AQ5704" s="28" t="n">
        <f aca="false">AP5704*$M5704</f>
        <v>0</v>
      </c>
      <c r="AR5704" s="28"/>
      <c r="AS5704" s="28" t="n">
        <f aca="false">AR5704*$M5704</f>
        <v>0</v>
      </c>
      <c r="AT5704" s="28"/>
      <c r="AU5704" s="28" t="n">
        <f aca="false">AT5704*$M5704</f>
        <v>0</v>
      </c>
      <c r="AV5704" s="28"/>
      <c r="AW5704" s="28" t="n">
        <f aca="false">AV5704*$M5704</f>
        <v>0</v>
      </c>
      <c r="AX5704" s="28"/>
      <c r="AY5704" s="28" t="n">
        <f aca="false">AX5704*$M5704</f>
        <v>0</v>
      </c>
      <c r="AZ5704" s="30" t="n">
        <f aca="false">2306/100</f>
        <v>23.06</v>
      </c>
      <c r="BA5704" s="11" t="n">
        <v>5073</v>
      </c>
      <c r="BB5704" s="31" t="n">
        <f aca="false">SUM(Q5704,S5704,U5704,W5704,Y5704,AA5704,AC5704,AE5704,AG5704,AI5704,AK5704,AM5704,AO5704,AQ5704,AS5704,AU5704,AW5704,AY5704)</f>
        <v>5073</v>
      </c>
      <c r="BC5704" s="28" t="n">
        <f aca="false">BA5704-BB5704</f>
        <v>0</v>
      </c>
      <c r="BD5704" s="32" t="n">
        <f aca="false">SUM(P5704,R5704,T5704,V5704,X5704,Z5704,AB5704,AD5704,AF5704,AH5704,AJ5704,AL5704,AN5704,AP5704,AR5704,AT5704,AV5704,AX5704)</f>
        <v>23.06</v>
      </c>
      <c r="BE5704" s="33" t="n">
        <f aca="false">AZ5704-BD5704</f>
        <v>0</v>
      </c>
      <c r="BF5704" s="34" t="n">
        <f aca="false">BD5704*M5704</f>
        <v>5765</v>
      </c>
      <c r="BG5704" s="35" t="n">
        <f aca="false">BA5704-BF5704</f>
        <v>-692</v>
      </c>
      <c r="BH5704" s="19" t="str">
        <f aca="false">IF(BG5704=0,"",IF(BG5704&lt;&gt;BA5704,"erreur de calcul",IF(BD5704&lt;&gt;0,"pas de prix",IF(M5704&lt;&gt; 0,"pas de quantité","pas de prix, ni de quantité"))))</f>
        <v>erreur de calcul</v>
      </c>
      <c r="BI5704" s="19"/>
    </row>
    <row r="5705" customFormat="false" ht="15" hidden="false" customHeight="false" outlineLevel="0" collapsed="false">
      <c r="A5705" s="0" t="n">
        <v>10</v>
      </c>
      <c r="B5705" s="8" t="s">
        <v>24</v>
      </c>
      <c r="C5705" s="9" t="s">
        <v>25</v>
      </c>
      <c r="D5705" s="9" t="s">
        <v>26</v>
      </c>
      <c r="E5705" s="10" t="n">
        <v>1789</v>
      </c>
      <c r="F5705" s="9" t="s">
        <v>27</v>
      </c>
      <c r="G5705" s="9" t="s">
        <v>27</v>
      </c>
      <c r="H5705" s="11" t="n">
        <v>21</v>
      </c>
      <c r="I5705" s="11" t="s">
        <v>163</v>
      </c>
      <c r="J5705" s="14"/>
      <c r="K5705" s="14"/>
      <c r="L5705" s="16"/>
      <c r="M5705" s="27" t="n">
        <f aca="false">J5705+(K5705/20)+(L5705/240)</f>
        <v>0</v>
      </c>
      <c r="N5705" s="17"/>
      <c r="O5705" s="11"/>
      <c r="P5705" s="28"/>
      <c r="Q5705" s="28" t="n">
        <v>1571</v>
      </c>
      <c r="R5705" s="28"/>
      <c r="S5705" s="28" t="n">
        <f aca="false">R5705*$M5705</f>
        <v>0</v>
      </c>
      <c r="T5705" s="28"/>
      <c r="U5705" s="28" t="n">
        <v>182</v>
      </c>
      <c r="V5705" s="28"/>
      <c r="W5705" s="28" t="n">
        <v>1801</v>
      </c>
      <c r="X5705" s="28"/>
      <c r="Y5705" s="28" t="n">
        <v>214</v>
      </c>
      <c r="Z5705" s="28"/>
      <c r="AA5705" s="28" t="n">
        <f aca="false">Z5705*$M5705</f>
        <v>0</v>
      </c>
      <c r="AB5705" s="28"/>
      <c r="AC5705" s="28" t="n">
        <v>401</v>
      </c>
      <c r="AD5705" s="28"/>
      <c r="AE5705" s="28" t="n">
        <f aca="false">AD5705*$M5705</f>
        <v>0</v>
      </c>
      <c r="AF5705" s="28"/>
      <c r="AG5705" s="28" t="n">
        <f aca="false">AF5705*$M5705</f>
        <v>0</v>
      </c>
      <c r="AH5705" s="28"/>
      <c r="AI5705" s="28" t="n">
        <f aca="false">AH5705*$M5705</f>
        <v>0</v>
      </c>
      <c r="AJ5705" s="28"/>
      <c r="AK5705" s="28" t="n">
        <v>760</v>
      </c>
      <c r="AL5705" s="28"/>
      <c r="AM5705" s="28" t="n">
        <f aca="false">AL5705*$M5705</f>
        <v>0</v>
      </c>
      <c r="AN5705" s="28"/>
      <c r="AO5705" s="28" t="n">
        <f aca="false">AN5705*$M5705</f>
        <v>0</v>
      </c>
      <c r="AP5705" s="28"/>
      <c r="AQ5705" s="28" t="n">
        <f aca="false">AP5705*$M5705</f>
        <v>0</v>
      </c>
      <c r="AR5705" s="28"/>
      <c r="AS5705" s="28" t="n">
        <f aca="false">AR5705*$M5705</f>
        <v>0</v>
      </c>
      <c r="AT5705" s="28"/>
      <c r="AU5705" s="28" t="n">
        <f aca="false">AT5705*$M5705</f>
        <v>0</v>
      </c>
      <c r="AV5705" s="28"/>
      <c r="AW5705" s="28" t="n">
        <f aca="false">AV5705*$M5705</f>
        <v>0</v>
      </c>
      <c r="AX5705" s="28"/>
      <c r="AY5705" s="28" t="n">
        <f aca="false">AX5705*$M5705</f>
        <v>0</v>
      </c>
      <c r="AZ5705" s="30"/>
      <c r="BA5705" s="11" t="n">
        <v>4929</v>
      </c>
      <c r="BB5705" s="31" t="n">
        <f aca="false">SUM(Q5705,S5705,U5705,W5705,Y5705,AA5705,AC5705,AE5705,AG5705,AI5705,AK5705,AM5705,AO5705,AQ5705,AS5705,AU5705,AW5705,AY5705)</f>
        <v>4929</v>
      </c>
      <c r="BC5705" s="28" t="n">
        <f aca="false">BA5705-BB5705</f>
        <v>0</v>
      </c>
      <c r="BD5705" s="32" t="n">
        <f aca="false">SUM(P5705,R5705,T5705,V5705,X5705,Z5705,AB5705,AD5705,AF5705,AH5705,AJ5705,AL5705,AN5705,AP5705,AR5705,AT5705,AV5705,AX5705)</f>
        <v>0</v>
      </c>
      <c r="BE5705" s="33" t="n">
        <f aca="false">AZ5705-BD5705</f>
        <v>0</v>
      </c>
      <c r="BF5705" s="34" t="n">
        <f aca="false">BD5705*M5705</f>
        <v>0</v>
      </c>
      <c r="BG5705" s="35" t="n">
        <f aca="false">BA5705-BF5705</f>
        <v>4929</v>
      </c>
      <c r="BH5705" s="19" t="str">
        <f aca="false">IF(BG5705=0,"",IF(BG5705&lt;&gt;BA5705,"erreur de calcul",IF(BD5705&lt;&gt;0,"pas de prix",IF(M5705&lt;&gt; 0,"pas de quantité","pas de prix, ni de quantité"))))</f>
        <v>pas de prix, ni de quantité</v>
      </c>
      <c r="BI5705" s="19"/>
    </row>
    <row r="5706" customFormat="false" ht="15" hidden="false" customHeight="false" outlineLevel="0" collapsed="false">
      <c r="A5706" s="0" t="n">
        <v>11</v>
      </c>
      <c r="B5706" s="8" t="s">
        <v>24</v>
      </c>
      <c r="C5706" s="9" t="s">
        <v>25</v>
      </c>
      <c r="D5706" s="9" t="s">
        <v>26</v>
      </c>
      <c r="E5706" s="10" t="n">
        <v>1789</v>
      </c>
      <c r="F5706" s="9" t="s">
        <v>27</v>
      </c>
      <c r="G5706" s="9" t="s">
        <v>27</v>
      </c>
      <c r="H5706" s="11" t="n">
        <v>21</v>
      </c>
      <c r="I5706" s="11" t="s">
        <v>164</v>
      </c>
      <c r="J5706" s="14" t="n">
        <v>580</v>
      </c>
      <c r="K5706" s="14"/>
      <c r="L5706" s="16"/>
      <c r="M5706" s="27" t="n">
        <f aca="false">J5706+(K5706/20)+(L5706/240)</f>
        <v>580</v>
      </c>
      <c r="N5706" s="17" t="s">
        <v>64</v>
      </c>
      <c r="O5706" s="11"/>
      <c r="P5706" s="28" t="n">
        <f aca="false">294/100</f>
        <v>2.94</v>
      </c>
      <c r="Q5706" s="28" t="n">
        <v>1705</v>
      </c>
      <c r="R5706" s="28"/>
      <c r="S5706" s="28" t="n">
        <f aca="false">R5706*$M5706</f>
        <v>0</v>
      </c>
      <c r="T5706" s="28"/>
      <c r="U5706" s="28" t="n">
        <f aca="false">T5706*$M5706</f>
        <v>0</v>
      </c>
      <c r="V5706" s="28"/>
      <c r="W5706" s="28" t="n">
        <f aca="false">V5706*$M5706</f>
        <v>0</v>
      </c>
      <c r="X5706" s="28"/>
      <c r="Y5706" s="28" t="n">
        <f aca="false">X5706*$M5706</f>
        <v>0</v>
      </c>
      <c r="Z5706" s="28"/>
      <c r="AA5706" s="28" t="n">
        <f aca="false">Z5706*$M5706</f>
        <v>0</v>
      </c>
      <c r="AB5706" s="28"/>
      <c r="AC5706" s="28" t="n">
        <f aca="false">AB5706*$M5706</f>
        <v>0</v>
      </c>
      <c r="AD5706" s="28"/>
      <c r="AE5706" s="28" t="n">
        <f aca="false">AD5706*$M5706</f>
        <v>0</v>
      </c>
      <c r="AF5706" s="28"/>
      <c r="AG5706" s="28" t="n">
        <f aca="false">AF5706*$M5706</f>
        <v>0</v>
      </c>
      <c r="AH5706" s="28"/>
      <c r="AI5706" s="28" t="n">
        <f aca="false">AH5706*$M5706</f>
        <v>0</v>
      </c>
      <c r="AJ5706" s="28"/>
      <c r="AK5706" s="28" t="n">
        <f aca="false">AJ5706*$M5706</f>
        <v>0</v>
      </c>
      <c r="AL5706" s="28"/>
      <c r="AM5706" s="28" t="n">
        <f aca="false">AL5706*$M5706</f>
        <v>0</v>
      </c>
      <c r="AN5706" s="28"/>
      <c r="AO5706" s="28" t="n">
        <f aca="false">AN5706*$M5706</f>
        <v>0</v>
      </c>
      <c r="AP5706" s="28"/>
      <c r="AQ5706" s="28" t="n">
        <f aca="false">AP5706*$M5706</f>
        <v>0</v>
      </c>
      <c r="AR5706" s="28"/>
      <c r="AS5706" s="28" t="n">
        <f aca="false">AR5706*$M5706</f>
        <v>0</v>
      </c>
      <c r="AT5706" s="28"/>
      <c r="AU5706" s="28" t="n">
        <f aca="false">AT5706*$M5706</f>
        <v>0</v>
      </c>
      <c r="AV5706" s="28"/>
      <c r="AW5706" s="28" t="n">
        <f aca="false">AV5706*$M5706</f>
        <v>0</v>
      </c>
      <c r="AX5706" s="28"/>
      <c r="AY5706" s="28" t="n">
        <f aca="false">AX5706*$M5706</f>
        <v>0</v>
      </c>
      <c r="AZ5706" s="30" t="n">
        <f aca="false">294/100</f>
        <v>2.94</v>
      </c>
      <c r="BA5706" s="11" t="n">
        <v>1705</v>
      </c>
      <c r="BB5706" s="31" t="n">
        <f aca="false">SUM(Q5706,S5706,U5706,W5706,Y5706,AA5706,AC5706,AE5706,AG5706,AI5706,AK5706,AM5706,AO5706,AQ5706,AS5706,AU5706,AW5706,AY5706)</f>
        <v>1705</v>
      </c>
      <c r="BC5706" s="28" t="n">
        <f aca="false">BA5706-BB5706</f>
        <v>0</v>
      </c>
      <c r="BD5706" s="32" t="n">
        <f aca="false">SUM(P5706,R5706,T5706,V5706,X5706,Z5706,AB5706,AD5706,AF5706,AH5706,AJ5706,AL5706,AN5706,AP5706,AR5706,AT5706,AV5706,AX5706)</f>
        <v>2.94</v>
      </c>
      <c r="BE5706" s="33" t="n">
        <f aca="false">AZ5706-BD5706</f>
        <v>0</v>
      </c>
      <c r="BF5706" s="34" t="n">
        <f aca="false">BD5706*M5706</f>
        <v>1705.2</v>
      </c>
      <c r="BG5706" s="35" t="n">
        <f aca="false">BA5706-BF5706</f>
        <v>-0.200000000000045</v>
      </c>
      <c r="BH5706" s="19" t="str">
        <f aca="false">IF(BG5706=0,"",IF(BG5706&lt;&gt;BA5706,"erreur de calcul",IF(BD5706&lt;&gt;0,"pas de prix",IF(M5706&lt;&gt; 0,"pas de quantité","pas de prix, ni de quantité"))))</f>
        <v>erreur de calcul</v>
      </c>
      <c r="BI5706" s="19"/>
    </row>
    <row r="5707" customFormat="false" ht="15" hidden="false" customHeight="false" outlineLevel="0" collapsed="false">
      <c r="A5707" s="0" t="n">
        <v>12</v>
      </c>
      <c r="B5707" s="8" t="s">
        <v>24</v>
      </c>
      <c r="C5707" s="9" t="s">
        <v>25</v>
      </c>
      <c r="D5707" s="9" t="s">
        <v>26</v>
      </c>
      <c r="E5707" s="10" t="n">
        <v>1789</v>
      </c>
      <c r="F5707" s="9" t="s">
        <v>27</v>
      </c>
      <c r="G5707" s="9" t="s">
        <v>27</v>
      </c>
      <c r="H5707" s="11" t="n">
        <v>21</v>
      </c>
      <c r="I5707" s="11" t="s">
        <v>165</v>
      </c>
      <c r="J5707" s="14" t="n">
        <v>180</v>
      </c>
      <c r="K5707" s="14"/>
      <c r="L5707" s="16"/>
      <c r="M5707" s="27" t="n">
        <f aca="false">J5707+(K5707/20)+(L5707/240)</f>
        <v>180</v>
      </c>
      <c r="N5707" s="17" t="s">
        <v>64</v>
      </c>
      <c r="O5707" s="11"/>
      <c r="P5707" s="28"/>
      <c r="Q5707" s="28" t="n">
        <f aca="false">P5707*$M5707</f>
        <v>0</v>
      </c>
      <c r="R5707" s="28"/>
      <c r="S5707" s="28" t="n">
        <f aca="false">R5707*$M5707</f>
        <v>0</v>
      </c>
      <c r="T5707" s="28"/>
      <c r="U5707" s="28" t="n">
        <f aca="false">T5707*$M5707</f>
        <v>0</v>
      </c>
      <c r="V5707" s="28"/>
      <c r="W5707" s="28" t="n">
        <f aca="false">V5707*$M5707</f>
        <v>0</v>
      </c>
      <c r="X5707" s="28"/>
      <c r="Y5707" s="28" t="n">
        <f aca="false">X5707*$M5707</f>
        <v>0</v>
      </c>
      <c r="Z5707" s="28"/>
      <c r="AA5707" s="28" t="n">
        <f aca="false">Z5707*$M5707</f>
        <v>0</v>
      </c>
      <c r="AB5707" s="28"/>
      <c r="AC5707" s="28" t="n">
        <f aca="false">AB5707*$M5707</f>
        <v>0</v>
      </c>
      <c r="AD5707" s="28"/>
      <c r="AE5707" s="28" t="n">
        <f aca="false">AD5707*$M5707</f>
        <v>0</v>
      </c>
      <c r="AF5707" s="28"/>
      <c r="AG5707" s="28" t="n">
        <f aca="false">AF5707*$M5707</f>
        <v>0</v>
      </c>
      <c r="AH5707" s="28"/>
      <c r="AI5707" s="28" t="n">
        <f aca="false">AH5707*$M5707</f>
        <v>0</v>
      </c>
      <c r="AJ5707" s="28"/>
      <c r="AK5707" s="28" t="n">
        <f aca="false">AJ5707*$M5707</f>
        <v>0</v>
      </c>
      <c r="AL5707" s="28"/>
      <c r="AM5707" s="28" t="n">
        <f aca="false">AL5707*$M5707</f>
        <v>0</v>
      </c>
      <c r="AN5707" s="28" t="n">
        <f aca="false">13754/100</f>
        <v>137.54</v>
      </c>
      <c r="AO5707" s="28" t="n">
        <v>24757</v>
      </c>
      <c r="AP5707" s="28"/>
      <c r="AQ5707" s="28" t="n">
        <f aca="false">AP5707*$M5707</f>
        <v>0</v>
      </c>
      <c r="AR5707" s="28"/>
      <c r="AS5707" s="28" t="n">
        <f aca="false">AR5707*$M5707</f>
        <v>0</v>
      </c>
      <c r="AT5707" s="28"/>
      <c r="AU5707" s="28" t="n">
        <f aca="false">AT5707*$M5707</f>
        <v>0</v>
      </c>
      <c r="AV5707" s="28"/>
      <c r="AW5707" s="28" t="n">
        <f aca="false">AV5707*$M5707</f>
        <v>0</v>
      </c>
      <c r="AX5707" s="28"/>
      <c r="AY5707" s="28" t="n">
        <f aca="false">AX5707*$M5707</f>
        <v>0</v>
      </c>
      <c r="AZ5707" s="30" t="n">
        <f aca="false">17360/100</f>
        <v>173.6</v>
      </c>
      <c r="BA5707" s="11" t="n">
        <v>24757</v>
      </c>
      <c r="BB5707" s="31" t="n">
        <f aca="false">SUM(Q5707,S5707,U5707,W5707,Y5707,AA5707,AC5707,AE5707,AG5707,AI5707,AK5707,AM5707,AO5707,AQ5707,AS5707,AU5707,AW5707,AY5707)</f>
        <v>24757</v>
      </c>
      <c r="BC5707" s="28" t="n">
        <f aca="false">BA5707-BB5707</f>
        <v>0</v>
      </c>
      <c r="BD5707" s="32" t="n">
        <f aca="false">SUM(P5707,R5707,T5707,V5707,X5707,Z5707,AB5707,AD5707,AF5707,AH5707,AJ5707,AL5707,AN5707,AP5707,AR5707,AT5707,AV5707,AX5707)</f>
        <v>137.54</v>
      </c>
      <c r="BE5707" s="33" t="n">
        <f aca="false">AZ5707-BD5707</f>
        <v>36.06</v>
      </c>
      <c r="BF5707" s="34" t="n">
        <f aca="false">BD5707*M5707</f>
        <v>24757.2</v>
      </c>
      <c r="BG5707" s="35" t="n">
        <f aca="false">BA5707-BF5707</f>
        <v>-0.19999999999709</v>
      </c>
      <c r="BH5707" s="19" t="str">
        <f aca="false">IF(BG5707=0,"",IF(BG5707&lt;&gt;BA5707,"erreur de calcul",IF(BD5707&lt;&gt;0,"pas de prix",IF(M5707&lt;&gt; 0,"pas de quantité","pas de prix, ni de quantité"))))</f>
        <v>erreur de calcul</v>
      </c>
      <c r="BI5707" s="19"/>
    </row>
    <row r="5708" customFormat="false" ht="15" hidden="false" customHeight="false" outlineLevel="0" collapsed="false">
      <c r="A5708" s="0" t="n">
        <v>13</v>
      </c>
      <c r="B5708" s="8" t="s">
        <v>24</v>
      </c>
      <c r="C5708" s="9" t="s">
        <v>25</v>
      </c>
      <c r="D5708" s="9" t="s">
        <v>26</v>
      </c>
      <c r="E5708" s="10" t="n">
        <v>1789</v>
      </c>
      <c r="F5708" s="9" t="s">
        <v>27</v>
      </c>
      <c r="G5708" s="9" t="s">
        <v>27</v>
      </c>
      <c r="H5708" s="11" t="n">
        <v>21</v>
      </c>
      <c r="I5708" s="11" t="s">
        <v>166</v>
      </c>
      <c r="J5708" s="14" t="n">
        <v>90</v>
      </c>
      <c r="K5708" s="14"/>
      <c r="L5708" s="16"/>
      <c r="M5708" s="27" t="n">
        <f aca="false">J5708+(K5708/20)+(L5708/240)</f>
        <v>90</v>
      </c>
      <c r="N5708" s="17" t="s">
        <v>64</v>
      </c>
      <c r="O5708" s="11"/>
      <c r="P5708" s="28" t="n">
        <f aca="false">3606/100</f>
        <v>36.06</v>
      </c>
      <c r="Q5708" s="28" t="n">
        <v>3245</v>
      </c>
      <c r="R5708" s="28"/>
      <c r="S5708" s="28" t="n">
        <f aca="false">R5708*$M5708</f>
        <v>0</v>
      </c>
      <c r="T5708" s="28"/>
      <c r="U5708" s="28" t="n">
        <f aca="false">T5708*$M5708</f>
        <v>0</v>
      </c>
      <c r="V5708" s="28"/>
      <c r="W5708" s="28" t="n">
        <f aca="false">V5708*$M5708</f>
        <v>0</v>
      </c>
      <c r="X5708" s="28"/>
      <c r="Y5708" s="28" t="n">
        <f aca="false">X5708*$M5708</f>
        <v>0</v>
      </c>
      <c r="Z5708" s="28"/>
      <c r="AA5708" s="28" t="n">
        <f aca="false">Z5708*$M5708</f>
        <v>0</v>
      </c>
      <c r="AB5708" s="28"/>
      <c r="AC5708" s="28" t="n">
        <f aca="false">AB5708*$M5708</f>
        <v>0</v>
      </c>
      <c r="AD5708" s="28"/>
      <c r="AE5708" s="28" t="n">
        <f aca="false">AD5708*$M5708</f>
        <v>0</v>
      </c>
      <c r="AF5708" s="28"/>
      <c r="AG5708" s="28" t="n">
        <f aca="false">AF5708*$M5708</f>
        <v>0</v>
      </c>
      <c r="AH5708" s="28"/>
      <c r="AI5708" s="28" t="n">
        <f aca="false">AH5708*$M5708</f>
        <v>0</v>
      </c>
      <c r="AJ5708" s="28"/>
      <c r="AK5708" s="28" t="n">
        <f aca="false">AJ5708*$M5708</f>
        <v>0</v>
      </c>
      <c r="AL5708" s="28"/>
      <c r="AM5708" s="28" t="n">
        <f aca="false">AL5708*$M5708</f>
        <v>0</v>
      </c>
      <c r="AN5708" s="28"/>
      <c r="AO5708" s="28" t="n">
        <f aca="false">AN5708*$M5708</f>
        <v>0</v>
      </c>
      <c r="AP5708" s="28"/>
      <c r="AQ5708" s="28" t="n">
        <f aca="false">AP5708*$M5708</f>
        <v>0</v>
      </c>
      <c r="AR5708" s="28"/>
      <c r="AS5708" s="28" t="n">
        <f aca="false">AR5708*$M5708</f>
        <v>0</v>
      </c>
      <c r="AT5708" s="28"/>
      <c r="AU5708" s="28" t="n">
        <f aca="false">AT5708*$M5708</f>
        <v>0</v>
      </c>
      <c r="AV5708" s="28"/>
      <c r="AW5708" s="28" t="n">
        <f aca="false">AV5708*$M5708</f>
        <v>0</v>
      </c>
      <c r="AX5708" s="28"/>
      <c r="AY5708" s="28" t="n">
        <f aca="false">AX5708*$M5708</f>
        <v>0</v>
      </c>
      <c r="AZ5708" s="30" t="n">
        <f aca="false">3606/100</f>
        <v>36.06</v>
      </c>
      <c r="BA5708" s="11" t="n">
        <v>3245</v>
      </c>
      <c r="BB5708" s="31" t="n">
        <f aca="false">SUM(Q5708,S5708,U5708,W5708,Y5708,AA5708,AC5708,AE5708,AG5708,AI5708,AK5708,AM5708,AO5708,AQ5708,AS5708,AU5708,AW5708,AY5708)</f>
        <v>3245</v>
      </c>
      <c r="BC5708" s="28" t="n">
        <f aca="false">BA5708-BB5708</f>
        <v>0</v>
      </c>
      <c r="BD5708" s="32" t="n">
        <f aca="false">SUM(P5708,R5708,T5708,V5708,X5708,Z5708,AB5708,AD5708,AF5708,AH5708,AJ5708,AL5708,AN5708,AP5708,AR5708,AT5708,AV5708,AX5708)</f>
        <v>36.06</v>
      </c>
      <c r="BE5708" s="33" t="n">
        <f aca="false">AZ5708-BD5708</f>
        <v>0</v>
      </c>
      <c r="BF5708" s="34" t="n">
        <f aca="false">BD5708*M5708</f>
        <v>3245.4</v>
      </c>
      <c r="BG5708" s="35" t="n">
        <f aca="false">BA5708-BF5708</f>
        <v>-0.400000000000091</v>
      </c>
      <c r="BH5708" s="19" t="str">
        <f aca="false">IF(BG5708=0,"",IF(BG5708&lt;&gt;BA5708,"erreur de calcul",IF(BD5708&lt;&gt;0,"pas de prix",IF(M5708&lt;&gt; 0,"pas de quantité","pas de prix, ni de quantité"))))</f>
        <v>erreur de calcul</v>
      </c>
      <c r="BI5708" s="19"/>
    </row>
    <row r="5709" customFormat="false" ht="15" hidden="false" customHeight="false" outlineLevel="0" collapsed="false">
      <c r="A5709" s="0" t="n">
        <v>14</v>
      </c>
      <c r="B5709" s="8" t="s">
        <v>24</v>
      </c>
      <c r="C5709" s="9" t="s">
        <v>25</v>
      </c>
      <c r="D5709" s="9" t="s">
        <v>26</v>
      </c>
      <c r="E5709" s="10" t="n">
        <v>1789</v>
      </c>
      <c r="F5709" s="9" t="s">
        <v>27</v>
      </c>
      <c r="G5709" s="9" t="s">
        <v>27</v>
      </c>
      <c r="H5709" s="11" t="n">
        <v>21</v>
      </c>
      <c r="I5709" s="11" t="s">
        <v>167</v>
      </c>
      <c r="J5709" s="14" t="n">
        <v>60</v>
      </c>
      <c r="K5709" s="14"/>
      <c r="L5709" s="16"/>
      <c r="M5709" s="27" t="n">
        <f aca="false">J5709+(K5709/20)+(L5709/240)</f>
        <v>60</v>
      </c>
      <c r="N5709" s="17" t="s">
        <v>64</v>
      </c>
      <c r="O5709" s="11"/>
      <c r="P5709" s="28" t="n">
        <f aca="false">19377/100</f>
        <v>193.77</v>
      </c>
      <c r="Q5709" s="28" t="n">
        <v>11626</v>
      </c>
      <c r="R5709" s="28"/>
      <c r="S5709" s="28" t="n">
        <f aca="false">R5709*$M5709</f>
        <v>0</v>
      </c>
      <c r="T5709" s="28"/>
      <c r="U5709" s="28" t="n">
        <f aca="false">T5709*$M5709</f>
        <v>0</v>
      </c>
      <c r="V5709" s="28"/>
      <c r="W5709" s="28" t="n">
        <f aca="false">V5709*$M5709</f>
        <v>0</v>
      </c>
      <c r="X5709" s="28"/>
      <c r="Y5709" s="28" t="n">
        <f aca="false">X5709*$M5709</f>
        <v>0</v>
      </c>
      <c r="Z5709" s="28"/>
      <c r="AA5709" s="28" t="n">
        <f aca="false">Z5709*$M5709</f>
        <v>0</v>
      </c>
      <c r="AB5709" s="28"/>
      <c r="AC5709" s="28" t="n">
        <f aca="false">AB5709*$M5709</f>
        <v>0</v>
      </c>
      <c r="AD5709" s="28"/>
      <c r="AE5709" s="28" t="n">
        <f aca="false">AD5709*$M5709</f>
        <v>0</v>
      </c>
      <c r="AF5709" s="28"/>
      <c r="AG5709" s="28" t="n">
        <f aca="false">AF5709*$M5709</f>
        <v>0</v>
      </c>
      <c r="AH5709" s="28"/>
      <c r="AI5709" s="28" t="n">
        <f aca="false">AH5709*$M5709</f>
        <v>0</v>
      </c>
      <c r="AJ5709" s="28"/>
      <c r="AK5709" s="28" t="n">
        <f aca="false">AJ5709*$M5709</f>
        <v>0</v>
      </c>
      <c r="AL5709" s="28"/>
      <c r="AM5709" s="28" t="n">
        <f aca="false">AL5709*$M5709</f>
        <v>0</v>
      </c>
      <c r="AN5709" s="28"/>
      <c r="AO5709" s="28" t="n">
        <f aca="false">AN5709*$M5709</f>
        <v>0</v>
      </c>
      <c r="AP5709" s="28"/>
      <c r="AQ5709" s="28" t="n">
        <f aca="false">AP5709*$M5709</f>
        <v>0</v>
      </c>
      <c r="AR5709" s="28"/>
      <c r="AS5709" s="28" t="n">
        <f aca="false">AR5709*$M5709</f>
        <v>0</v>
      </c>
      <c r="AT5709" s="28"/>
      <c r="AU5709" s="28" t="n">
        <f aca="false">AT5709*$M5709</f>
        <v>0</v>
      </c>
      <c r="AV5709" s="28"/>
      <c r="AW5709" s="28" t="n">
        <f aca="false">AV5709*$M5709</f>
        <v>0</v>
      </c>
      <c r="AX5709" s="28"/>
      <c r="AY5709" s="28" t="n">
        <f aca="false">AX5709*$M5709</f>
        <v>0</v>
      </c>
      <c r="AZ5709" s="30" t="n">
        <f aca="false">19377/100</f>
        <v>193.77</v>
      </c>
      <c r="BA5709" s="11" t="n">
        <v>11626</v>
      </c>
      <c r="BB5709" s="31" t="n">
        <f aca="false">SUM(Q5709,S5709,U5709,W5709,Y5709,AA5709,AC5709,AE5709,AG5709,AI5709,AK5709,AM5709,AO5709,AQ5709,AS5709,AU5709,AW5709,AY5709)</f>
        <v>11626</v>
      </c>
      <c r="BC5709" s="28" t="n">
        <f aca="false">BA5709-BB5709</f>
        <v>0</v>
      </c>
      <c r="BD5709" s="32" t="n">
        <f aca="false">SUM(P5709,R5709,T5709,V5709,X5709,Z5709,AB5709,AD5709,AF5709,AH5709,AJ5709,AL5709,AN5709,AP5709,AR5709,AT5709,AV5709,AX5709)</f>
        <v>193.77</v>
      </c>
      <c r="BE5709" s="33" t="n">
        <f aca="false">AZ5709-BD5709</f>
        <v>0</v>
      </c>
      <c r="BF5709" s="34" t="n">
        <f aca="false">BD5709*M5709</f>
        <v>11626.2</v>
      </c>
      <c r="BG5709" s="35" t="n">
        <f aca="false">BA5709-BF5709</f>
        <v>-0.200000000000728</v>
      </c>
      <c r="BH5709" s="19" t="str">
        <f aca="false">IF(BG5709=0,"",IF(BG5709&lt;&gt;BA5709,"erreur de calcul",IF(BD5709&lt;&gt;0,"pas de prix",IF(M5709&lt;&gt; 0,"pas de quantité","pas de prix, ni de quantité"))))</f>
        <v>erreur de calcul</v>
      </c>
      <c r="BI5709" s="19"/>
    </row>
    <row r="5710" customFormat="false" ht="15" hidden="false" customHeight="false" outlineLevel="0" collapsed="false">
      <c r="A5710" s="0" t="n">
        <v>15</v>
      </c>
      <c r="B5710" s="8" t="s">
        <v>24</v>
      </c>
      <c r="C5710" s="9" t="s">
        <v>25</v>
      </c>
      <c r="D5710" s="9" t="s">
        <v>26</v>
      </c>
      <c r="E5710" s="10" t="n">
        <v>1789</v>
      </c>
      <c r="F5710" s="9" t="s">
        <v>27</v>
      </c>
      <c r="G5710" s="9" t="s">
        <v>27</v>
      </c>
      <c r="H5710" s="11" t="n">
        <v>21</v>
      </c>
      <c r="I5710" s="11" t="s">
        <v>168</v>
      </c>
      <c r="J5710" s="14" t="n">
        <v>345</v>
      </c>
      <c r="K5710" s="14"/>
      <c r="L5710" s="16"/>
      <c r="M5710" s="27" t="n">
        <f aca="false">J5710+(K5710/20)+(L5710/240)</f>
        <v>345</v>
      </c>
      <c r="N5710" s="17" t="s">
        <v>64</v>
      </c>
      <c r="O5710" s="11"/>
      <c r="P5710" s="28" t="n">
        <f aca="false">617/100</f>
        <v>6.17</v>
      </c>
      <c r="Q5710" s="28" t="n">
        <v>2129</v>
      </c>
      <c r="R5710" s="28"/>
      <c r="S5710" s="28" t="n">
        <f aca="false">R5710*$M5710</f>
        <v>0</v>
      </c>
      <c r="T5710" s="28"/>
      <c r="U5710" s="28" t="n">
        <f aca="false">T5710*$M5710</f>
        <v>0</v>
      </c>
      <c r="V5710" s="28"/>
      <c r="W5710" s="28" t="n">
        <f aca="false">V5710*$M5710</f>
        <v>0</v>
      </c>
      <c r="X5710" s="28"/>
      <c r="Y5710" s="28" t="n">
        <f aca="false">X5710*$M5710</f>
        <v>0</v>
      </c>
      <c r="Z5710" s="28"/>
      <c r="AA5710" s="28" t="n">
        <f aca="false">Z5710*$M5710</f>
        <v>0</v>
      </c>
      <c r="AB5710" s="28" t="n">
        <f aca="false">1270/100</f>
        <v>12.7</v>
      </c>
      <c r="AC5710" s="28" t="n">
        <v>4381</v>
      </c>
      <c r="AD5710" s="28"/>
      <c r="AE5710" s="28" t="n">
        <f aca="false">AD5710*$M5710</f>
        <v>0</v>
      </c>
      <c r="AF5710" s="28"/>
      <c r="AG5710" s="28" t="n">
        <f aca="false">AF5710*$M5710</f>
        <v>0</v>
      </c>
      <c r="AH5710" s="28"/>
      <c r="AI5710" s="28" t="n">
        <f aca="false">AH5710*$M5710</f>
        <v>0</v>
      </c>
      <c r="AJ5710" s="28"/>
      <c r="AK5710" s="28" t="n">
        <f aca="false">AJ5710*$M5710</f>
        <v>0</v>
      </c>
      <c r="AL5710" s="28"/>
      <c r="AM5710" s="28" t="n">
        <f aca="false">AL5710*$M5710</f>
        <v>0</v>
      </c>
      <c r="AN5710" s="28"/>
      <c r="AO5710" s="28" t="n">
        <f aca="false">AN5710*$M5710</f>
        <v>0</v>
      </c>
      <c r="AP5710" s="28"/>
      <c r="AQ5710" s="28" t="n">
        <f aca="false">AP5710*$M5710</f>
        <v>0</v>
      </c>
      <c r="AR5710" s="28"/>
      <c r="AS5710" s="28" t="n">
        <f aca="false">AR5710*$M5710</f>
        <v>0</v>
      </c>
      <c r="AT5710" s="28"/>
      <c r="AU5710" s="28" t="n">
        <f aca="false">AT5710*$M5710</f>
        <v>0</v>
      </c>
      <c r="AV5710" s="28"/>
      <c r="AW5710" s="28" t="n">
        <f aca="false">AV5710*$M5710</f>
        <v>0</v>
      </c>
      <c r="AX5710" s="28"/>
      <c r="AY5710" s="28" t="n">
        <f aca="false">AX5710*$M5710</f>
        <v>0</v>
      </c>
      <c r="AZ5710" s="30" t="n">
        <f aca="false">1887/100</f>
        <v>18.87</v>
      </c>
      <c r="BA5710" s="11" t="n">
        <v>6510</v>
      </c>
      <c r="BB5710" s="31" t="n">
        <f aca="false">SUM(Q5710,S5710,U5710,W5710,Y5710,AA5710,AC5710,AE5710,AG5710,AI5710,AK5710,AM5710,AO5710,AQ5710,AS5710,AU5710,AW5710,AY5710)</f>
        <v>6510</v>
      </c>
      <c r="BC5710" s="28" t="n">
        <f aca="false">BA5710-BB5710</f>
        <v>0</v>
      </c>
      <c r="BD5710" s="32" t="n">
        <f aca="false">SUM(P5710,R5710,T5710,V5710,X5710,Z5710,AB5710,AD5710,AF5710,AH5710,AJ5710,AL5710,AN5710,AP5710,AR5710,AT5710,AV5710,AX5710)</f>
        <v>18.87</v>
      </c>
      <c r="BE5710" s="33" t="n">
        <f aca="false">AZ5710-BD5710</f>
        <v>0</v>
      </c>
      <c r="BF5710" s="34" t="n">
        <f aca="false">BD5710*M5710</f>
        <v>6510.15</v>
      </c>
      <c r="BG5710" s="35" t="n">
        <f aca="false">BA5710-BF5710</f>
        <v>-0.149999999998727</v>
      </c>
      <c r="BH5710" s="19" t="str">
        <f aca="false">IF(BG5710=0,"",IF(BG5710&lt;&gt;BA5710,"erreur de calcul",IF(BD5710&lt;&gt;0,"pas de prix",IF(M5710&lt;&gt; 0,"pas de quantité","pas de prix, ni de quantité"))))</f>
        <v>erreur de calcul</v>
      </c>
      <c r="BI5710" s="19"/>
    </row>
    <row r="5711" customFormat="false" ht="15" hidden="false" customHeight="false" outlineLevel="0" collapsed="false">
      <c r="A5711" s="0" t="n">
        <v>16</v>
      </c>
      <c r="B5711" s="8" t="s">
        <v>24</v>
      </c>
      <c r="C5711" s="9" t="s">
        <v>25</v>
      </c>
      <c r="D5711" s="9" t="s">
        <v>26</v>
      </c>
      <c r="E5711" s="10" t="n">
        <v>1789</v>
      </c>
      <c r="F5711" s="9" t="s">
        <v>27</v>
      </c>
      <c r="G5711" s="9" t="s">
        <v>27</v>
      </c>
      <c r="H5711" s="11" t="n">
        <v>21</v>
      </c>
      <c r="I5711" s="11" t="s">
        <v>169</v>
      </c>
      <c r="J5711" s="14" t="n">
        <v>6</v>
      </c>
      <c r="K5711" s="14"/>
      <c r="L5711" s="16"/>
      <c r="M5711" s="27" t="n">
        <f aca="false">J5711+(K5711/20)+(L5711/240)</f>
        <v>6</v>
      </c>
      <c r="N5711" s="17" t="s">
        <v>64</v>
      </c>
      <c r="O5711" s="11"/>
      <c r="P5711" s="28"/>
      <c r="Q5711" s="28" t="n">
        <f aca="false">P5711*$M5711</f>
        <v>0</v>
      </c>
      <c r="R5711" s="28"/>
      <c r="S5711" s="28" t="n">
        <f aca="false">R5711*$M5711</f>
        <v>0</v>
      </c>
      <c r="T5711" s="28"/>
      <c r="U5711" s="28" t="n">
        <f aca="false">T5711*$M5711</f>
        <v>0</v>
      </c>
      <c r="V5711" s="28" t="n">
        <f aca="false">39752/100</f>
        <v>397.52</v>
      </c>
      <c r="W5711" s="28" t="n">
        <v>2385</v>
      </c>
      <c r="X5711" s="28"/>
      <c r="Y5711" s="28" t="n">
        <f aca="false">X5711*$M5711</f>
        <v>0</v>
      </c>
      <c r="Z5711" s="28"/>
      <c r="AA5711" s="28" t="n">
        <f aca="false">Z5711*$M5711</f>
        <v>0</v>
      </c>
      <c r="AB5711" s="28"/>
      <c r="AC5711" s="28" t="n">
        <f aca="false">AB5711*$M5711</f>
        <v>0</v>
      </c>
      <c r="AD5711" s="28"/>
      <c r="AE5711" s="28" t="n">
        <f aca="false">AD5711*$M5711</f>
        <v>0</v>
      </c>
      <c r="AF5711" s="28"/>
      <c r="AG5711" s="28" t="n">
        <f aca="false">AF5711*$M5711</f>
        <v>0</v>
      </c>
      <c r="AH5711" s="28"/>
      <c r="AI5711" s="28" t="n">
        <f aca="false">AH5711*$M5711</f>
        <v>0</v>
      </c>
      <c r="AJ5711" s="28"/>
      <c r="AK5711" s="28" t="n">
        <f aca="false">AJ5711*$M5711</f>
        <v>0</v>
      </c>
      <c r="AL5711" s="28"/>
      <c r="AM5711" s="28" t="n">
        <f aca="false">AL5711*$M5711</f>
        <v>0</v>
      </c>
      <c r="AN5711" s="28"/>
      <c r="AO5711" s="28" t="n">
        <f aca="false">AN5711*$M5711</f>
        <v>0</v>
      </c>
      <c r="AP5711" s="28"/>
      <c r="AQ5711" s="28" t="n">
        <f aca="false">AP5711*$M5711</f>
        <v>0</v>
      </c>
      <c r="AR5711" s="28"/>
      <c r="AS5711" s="28" t="n">
        <f aca="false">AR5711*$M5711</f>
        <v>0</v>
      </c>
      <c r="AT5711" s="28"/>
      <c r="AU5711" s="28" t="n">
        <f aca="false">AT5711*$M5711</f>
        <v>0</v>
      </c>
      <c r="AV5711" s="28"/>
      <c r="AW5711" s="28" t="n">
        <f aca="false">AV5711*$M5711</f>
        <v>0</v>
      </c>
      <c r="AX5711" s="28"/>
      <c r="AY5711" s="28" t="n">
        <f aca="false">AX5711*$M5711</f>
        <v>0</v>
      </c>
      <c r="AZ5711" s="30" t="n">
        <f aca="false">39752/100</f>
        <v>397.52</v>
      </c>
      <c r="BA5711" s="11" t="n">
        <v>2385</v>
      </c>
      <c r="BB5711" s="31" t="n">
        <f aca="false">SUM(Q5711,S5711,U5711,W5711,Y5711,AA5711,AC5711,AE5711,AG5711,AI5711,AK5711,AM5711,AO5711,AQ5711,AS5711,AU5711,AW5711,AY5711)</f>
        <v>2385</v>
      </c>
      <c r="BC5711" s="28" t="n">
        <f aca="false">BA5711-BB5711</f>
        <v>0</v>
      </c>
      <c r="BD5711" s="32" t="n">
        <f aca="false">SUM(P5711,R5711,T5711,V5711,X5711,Z5711,AB5711,AD5711,AF5711,AH5711,AJ5711,AL5711,AN5711,AP5711,AR5711,AT5711,AV5711,AX5711)</f>
        <v>397.52</v>
      </c>
      <c r="BE5711" s="33" t="n">
        <f aca="false">AZ5711-BD5711</f>
        <v>0</v>
      </c>
      <c r="BF5711" s="34" t="n">
        <f aca="false">BD5711*M5711</f>
        <v>2385.12</v>
      </c>
      <c r="BG5711" s="35" t="n">
        <f aca="false">BA5711-BF5711</f>
        <v>-0.119999999999891</v>
      </c>
      <c r="BH5711" s="19" t="str">
        <f aca="false">IF(BG5711=0,"",IF(BG5711&lt;&gt;BA5711,"erreur de calcul",IF(BD5711&lt;&gt;0,"pas de prix",IF(M5711&lt;&gt; 0,"pas de quantité","pas de prix, ni de quantité"))))</f>
        <v>erreur de calcul</v>
      </c>
      <c r="BI5711" s="19"/>
    </row>
    <row r="5712" customFormat="false" ht="15" hidden="false" customHeight="false" outlineLevel="0" collapsed="false">
      <c r="A5712" s="0" t="n">
        <v>17</v>
      </c>
      <c r="B5712" s="8" t="s">
        <v>24</v>
      </c>
      <c r="C5712" s="9" t="s">
        <v>25</v>
      </c>
      <c r="D5712" s="9" t="s">
        <v>26</v>
      </c>
      <c r="E5712" s="10" t="n">
        <v>1789</v>
      </c>
      <c r="F5712" s="9" t="s">
        <v>27</v>
      </c>
      <c r="G5712" s="9" t="s">
        <v>27</v>
      </c>
      <c r="H5712" s="11" t="n">
        <v>21</v>
      </c>
      <c r="I5712" s="11" t="s">
        <v>170</v>
      </c>
      <c r="J5712" s="14" t="n">
        <v>90</v>
      </c>
      <c r="K5712" s="14"/>
      <c r="L5712" s="16"/>
      <c r="M5712" s="27" t="n">
        <f aca="false">J5712+(K5712/20)+(L5712/240)</f>
        <v>90</v>
      </c>
      <c r="N5712" s="17" t="s">
        <v>64</v>
      </c>
      <c r="O5712" s="11"/>
      <c r="P5712" s="28"/>
      <c r="Q5712" s="28" t="n">
        <f aca="false">P5712*$M5712</f>
        <v>0</v>
      </c>
      <c r="R5712" s="28"/>
      <c r="S5712" s="28" t="n">
        <f aca="false">R5712*$M5712</f>
        <v>0</v>
      </c>
      <c r="T5712" s="28"/>
      <c r="U5712" s="28" t="n">
        <f aca="false">T5712*$M5712</f>
        <v>0</v>
      </c>
      <c r="V5712" s="28"/>
      <c r="W5712" s="28" t="n">
        <f aca="false">V5712*$M5712</f>
        <v>0</v>
      </c>
      <c r="X5712" s="28" t="n">
        <f aca="false">3136/100</f>
        <v>31.36</v>
      </c>
      <c r="Y5712" s="28" t="n">
        <v>2822</v>
      </c>
      <c r="Z5712" s="28"/>
      <c r="AA5712" s="28" t="n">
        <f aca="false">Z5712*$M5712</f>
        <v>0</v>
      </c>
      <c r="AB5712" s="28"/>
      <c r="AC5712" s="28" t="n">
        <f aca="false">AB5712*$M5712</f>
        <v>0</v>
      </c>
      <c r="AD5712" s="28"/>
      <c r="AE5712" s="28" t="n">
        <f aca="false">AD5712*$M5712</f>
        <v>0</v>
      </c>
      <c r="AF5712" s="28"/>
      <c r="AG5712" s="28" t="n">
        <f aca="false">AF5712*$M5712</f>
        <v>0</v>
      </c>
      <c r="AH5712" s="28"/>
      <c r="AI5712" s="28" t="n">
        <f aca="false">AH5712*$M5712</f>
        <v>0</v>
      </c>
      <c r="AJ5712" s="28"/>
      <c r="AK5712" s="28" t="n">
        <f aca="false">AJ5712*$M5712</f>
        <v>0</v>
      </c>
      <c r="AL5712" s="28"/>
      <c r="AM5712" s="28" t="n">
        <f aca="false">AL5712*$M5712</f>
        <v>0</v>
      </c>
      <c r="AN5712" s="28"/>
      <c r="AO5712" s="28" t="n">
        <f aca="false">AN5712*$M5712</f>
        <v>0</v>
      </c>
      <c r="AP5712" s="28"/>
      <c r="AQ5712" s="28" t="n">
        <f aca="false">AP5712*$M5712</f>
        <v>0</v>
      </c>
      <c r="AR5712" s="28"/>
      <c r="AS5712" s="28" t="n">
        <f aca="false">AR5712*$M5712</f>
        <v>0</v>
      </c>
      <c r="AT5712" s="28"/>
      <c r="AU5712" s="28" t="n">
        <f aca="false">AT5712*$M5712</f>
        <v>0</v>
      </c>
      <c r="AV5712" s="28"/>
      <c r="AW5712" s="28" t="n">
        <f aca="false">AV5712*$M5712</f>
        <v>0</v>
      </c>
      <c r="AX5712" s="28"/>
      <c r="AY5712" s="28" t="n">
        <f aca="false">AX5712*$M5712</f>
        <v>0</v>
      </c>
      <c r="AZ5712" s="30" t="n">
        <f aca="false">3136/100</f>
        <v>31.36</v>
      </c>
      <c r="BA5712" s="11" t="n">
        <v>2822</v>
      </c>
      <c r="BB5712" s="31" t="n">
        <f aca="false">SUM(Q5712,S5712,U5712,W5712,Y5712,AA5712,AC5712,AE5712,AG5712,AI5712,AK5712,AM5712,AO5712,AQ5712,AS5712,AU5712,AW5712,AY5712)</f>
        <v>2822</v>
      </c>
      <c r="BC5712" s="28" t="n">
        <f aca="false">BA5712-BB5712</f>
        <v>0</v>
      </c>
      <c r="BD5712" s="32" t="n">
        <f aca="false">SUM(P5712,R5712,T5712,V5712,X5712,Z5712,AB5712,AD5712,AF5712,AH5712,AJ5712,AL5712,AN5712,AP5712,AR5712,AT5712,AV5712,AX5712)</f>
        <v>31.36</v>
      </c>
      <c r="BE5712" s="33" t="n">
        <f aca="false">AZ5712-BD5712</f>
        <v>0</v>
      </c>
      <c r="BF5712" s="34" t="n">
        <f aca="false">BD5712*M5712</f>
        <v>2822.4</v>
      </c>
      <c r="BG5712" s="35" t="n">
        <f aca="false">BA5712-BF5712</f>
        <v>-0.400000000000091</v>
      </c>
      <c r="BH5712" s="19" t="str">
        <f aca="false">IF(BG5712=0,"",IF(BG5712&lt;&gt;BA5712,"erreur de calcul",IF(BD5712&lt;&gt;0,"pas de prix",IF(M5712&lt;&gt; 0,"pas de quantité","pas de prix, ni de quantité"))))</f>
        <v>erreur de calcul</v>
      </c>
      <c r="BI5712" s="19"/>
    </row>
    <row r="5713" customFormat="false" ht="15" hidden="false" customHeight="false" outlineLevel="0" collapsed="false">
      <c r="A5713" s="0" t="n">
        <v>18</v>
      </c>
      <c r="B5713" s="8" t="s">
        <v>24</v>
      </c>
      <c r="C5713" s="9" t="s">
        <v>25</v>
      </c>
      <c r="D5713" s="9" t="s">
        <v>26</v>
      </c>
      <c r="E5713" s="10" t="n">
        <v>1789</v>
      </c>
      <c r="F5713" s="9" t="s">
        <v>27</v>
      </c>
      <c r="G5713" s="9" t="s">
        <v>27</v>
      </c>
      <c r="H5713" s="11" t="n">
        <v>21</v>
      </c>
      <c r="I5713" s="11" t="s">
        <v>171</v>
      </c>
      <c r="J5713" s="14" t="n">
        <v>90</v>
      </c>
      <c r="K5713" s="14"/>
      <c r="L5713" s="16"/>
      <c r="M5713" s="27" t="n">
        <f aca="false">J5713+(K5713/20)+(L5713/240)</f>
        <v>90</v>
      </c>
      <c r="N5713" s="17" t="s">
        <v>64</v>
      </c>
      <c r="O5713" s="11"/>
      <c r="P5713" s="28"/>
      <c r="Q5713" s="28" t="n">
        <f aca="false">P5713*$M5713</f>
        <v>0</v>
      </c>
      <c r="R5713" s="28"/>
      <c r="S5713" s="28" t="n">
        <f aca="false">R5713*$M5713</f>
        <v>0</v>
      </c>
      <c r="T5713" s="28"/>
      <c r="U5713" s="28" t="n">
        <f aca="false">T5713*$M5713</f>
        <v>0</v>
      </c>
      <c r="V5713" s="28"/>
      <c r="W5713" s="28" t="n">
        <f aca="false">V5713*$M5713</f>
        <v>0</v>
      </c>
      <c r="X5713" s="28"/>
      <c r="Y5713" s="28" t="n">
        <f aca="false">X5713*$M5713</f>
        <v>0</v>
      </c>
      <c r="Z5713" s="28"/>
      <c r="AA5713" s="28" t="n">
        <f aca="false">Z5713*$M5713</f>
        <v>0</v>
      </c>
      <c r="AB5713" s="28"/>
      <c r="AC5713" s="28" t="n">
        <f aca="false">AB5713*$M5713</f>
        <v>0</v>
      </c>
      <c r="AD5713" s="28"/>
      <c r="AE5713" s="28" t="n">
        <f aca="false">AD5713*$M5713</f>
        <v>0</v>
      </c>
      <c r="AF5713" s="28"/>
      <c r="AG5713" s="28" t="n">
        <f aca="false">AF5713*$M5713</f>
        <v>0</v>
      </c>
      <c r="AH5713" s="28" t="n">
        <f aca="false">5337/100</f>
        <v>53.37</v>
      </c>
      <c r="AI5713" s="28" t="n">
        <v>4803</v>
      </c>
      <c r="AJ5713" s="28"/>
      <c r="AK5713" s="28" t="n">
        <f aca="false">AJ5713*$M5713</f>
        <v>0</v>
      </c>
      <c r="AL5713" s="28"/>
      <c r="AM5713" s="28" t="n">
        <f aca="false">AL5713*$M5713</f>
        <v>0</v>
      </c>
      <c r="AN5713" s="28"/>
      <c r="AO5713" s="28" t="n">
        <f aca="false">AN5713*$M5713</f>
        <v>0</v>
      </c>
      <c r="AP5713" s="28"/>
      <c r="AQ5713" s="28" t="n">
        <f aca="false">AP5713*$M5713</f>
        <v>0</v>
      </c>
      <c r="AR5713" s="28"/>
      <c r="AS5713" s="28" t="n">
        <f aca="false">AR5713*$M5713</f>
        <v>0</v>
      </c>
      <c r="AT5713" s="28"/>
      <c r="AU5713" s="28" t="n">
        <f aca="false">AT5713*$M5713</f>
        <v>0</v>
      </c>
      <c r="AV5713" s="28"/>
      <c r="AW5713" s="28" t="n">
        <f aca="false">AV5713*$M5713</f>
        <v>0</v>
      </c>
      <c r="AX5713" s="28"/>
      <c r="AY5713" s="28" t="n">
        <f aca="false">AX5713*$M5713</f>
        <v>0</v>
      </c>
      <c r="AZ5713" s="30" t="n">
        <f aca="false">5337/100</f>
        <v>53.37</v>
      </c>
      <c r="BA5713" s="11" t="n">
        <v>4803</v>
      </c>
      <c r="BB5713" s="31" t="n">
        <f aca="false">SUM(Q5713,S5713,U5713,W5713,Y5713,AA5713,AC5713,AE5713,AG5713,AI5713,AK5713,AM5713,AO5713,AQ5713,AS5713,AU5713,AW5713,AY5713)</f>
        <v>4803</v>
      </c>
      <c r="BC5713" s="28" t="n">
        <f aca="false">BA5713-BB5713</f>
        <v>0</v>
      </c>
      <c r="BD5713" s="32" t="n">
        <f aca="false">SUM(P5713,R5713,T5713,V5713,X5713,Z5713,AB5713,AD5713,AF5713,AH5713,AJ5713,AL5713,AN5713,AP5713,AR5713,AT5713,AV5713,AX5713)</f>
        <v>53.37</v>
      </c>
      <c r="BE5713" s="33" t="n">
        <f aca="false">AZ5713-BD5713</f>
        <v>0</v>
      </c>
      <c r="BF5713" s="34" t="n">
        <f aca="false">BD5713*M5713</f>
        <v>4803.3</v>
      </c>
      <c r="BG5713" s="35" t="n">
        <f aca="false">BA5713-BF5713</f>
        <v>-0.300000000000182</v>
      </c>
      <c r="BH5713" s="19" t="str">
        <f aca="false">IF(BG5713=0,"",IF(BG5713&lt;&gt;BA5713,"erreur de calcul",IF(BD5713&lt;&gt;0,"pas de prix",IF(M5713&lt;&gt; 0,"pas de quantité","pas de prix, ni de quantité"))))</f>
        <v>erreur de calcul</v>
      </c>
      <c r="BI5713" s="19"/>
    </row>
    <row r="5714" customFormat="false" ht="15" hidden="false" customHeight="false" outlineLevel="0" collapsed="false">
      <c r="A5714" s="0" t="n">
        <v>19</v>
      </c>
      <c r="B5714" s="8" t="s">
        <v>24</v>
      </c>
      <c r="C5714" s="9" t="s">
        <v>25</v>
      </c>
      <c r="D5714" s="9" t="s">
        <v>26</v>
      </c>
      <c r="E5714" s="10" t="n">
        <v>1789</v>
      </c>
      <c r="F5714" s="9" t="s">
        <v>27</v>
      </c>
      <c r="G5714" s="9" t="s">
        <v>27</v>
      </c>
      <c r="H5714" s="11" t="n">
        <v>21</v>
      </c>
      <c r="I5714" s="11" t="s">
        <v>172</v>
      </c>
      <c r="J5714" s="14" t="n">
        <v>15</v>
      </c>
      <c r="K5714" s="14"/>
      <c r="L5714" s="16"/>
      <c r="M5714" s="27" t="n">
        <f aca="false">J5714+(K5714/20)+(L5714/240)</f>
        <v>15</v>
      </c>
      <c r="N5714" s="17" t="s">
        <v>64</v>
      </c>
      <c r="O5714" s="11" t="s">
        <v>77</v>
      </c>
      <c r="P5714" s="28"/>
      <c r="Q5714" s="28" t="n">
        <f aca="false">P5714*$M5714</f>
        <v>0</v>
      </c>
      <c r="R5714" s="28"/>
      <c r="S5714" s="28" t="n">
        <f aca="false">R5714*$M5714</f>
        <v>0</v>
      </c>
      <c r="T5714" s="28"/>
      <c r="U5714" s="28" t="n">
        <f aca="false">T5714*$M5714</f>
        <v>0</v>
      </c>
      <c r="V5714" s="28"/>
      <c r="W5714" s="28" t="n">
        <f aca="false">V5714*$M5714</f>
        <v>0</v>
      </c>
      <c r="X5714" s="28"/>
      <c r="Y5714" s="28" t="n">
        <f aca="false">X5714*$M5714</f>
        <v>0</v>
      </c>
      <c r="Z5714" s="28"/>
      <c r="AA5714" s="28" t="n">
        <f aca="false">Z5714*$M5714</f>
        <v>0</v>
      </c>
      <c r="AB5714" s="28"/>
      <c r="AC5714" s="28" t="n">
        <f aca="false">AB5714*$M5714</f>
        <v>0</v>
      </c>
      <c r="AD5714" s="28"/>
      <c r="AE5714" s="28" t="n">
        <f aca="false">AD5714*$M5714</f>
        <v>0</v>
      </c>
      <c r="AF5714" s="28"/>
      <c r="AG5714" s="28" t="n">
        <f aca="false">AF5714*$M5714</f>
        <v>0</v>
      </c>
      <c r="AH5714" s="28"/>
      <c r="AI5714" s="28" t="n">
        <f aca="false">AH5714*$M5714</f>
        <v>0</v>
      </c>
      <c r="AJ5714" s="28"/>
      <c r="AK5714" s="28" t="n">
        <f aca="false">AJ5714*$M5714</f>
        <v>0</v>
      </c>
      <c r="AL5714" s="28"/>
      <c r="AM5714" s="28" t="n">
        <f aca="false">AL5714*$M5714</f>
        <v>0</v>
      </c>
      <c r="AN5714" s="28"/>
      <c r="AO5714" s="28" t="n">
        <f aca="false">AN5714*$M5714</f>
        <v>0</v>
      </c>
      <c r="AP5714" s="28"/>
      <c r="AQ5714" s="28" t="n">
        <f aca="false">AP5714*$M5714</f>
        <v>0</v>
      </c>
      <c r="AR5714" s="28"/>
      <c r="AS5714" s="28" t="n">
        <f aca="false">AR5714*$M5714</f>
        <v>0</v>
      </c>
      <c r="AT5714" s="28"/>
      <c r="AU5714" s="28" t="n">
        <f aca="false">AT5714*$M5714</f>
        <v>0</v>
      </c>
      <c r="AV5714" s="28"/>
      <c r="AW5714" s="28" t="n">
        <f aca="false">AV5714*$M5714</f>
        <v>0</v>
      </c>
      <c r="AX5714" s="28"/>
      <c r="AY5714" s="28" t="n">
        <f aca="false">AX5714*$M5714</f>
        <v>0</v>
      </c>
      <c r="AZ5714" s="30"/>
      <c r="BA5714" s="11"/>
      <c r="BB5714" s="31" t="n">
        <f aca="false">SUM(Q5714,S5714,U5714,W5714,Y5714,AA5714,AC5714,AE5714,AG5714,AI5714,AK5714,AM5714,AO5714,AQ5714,AS5714,AU5714,AW5714,AY5714)</f>
        <v>0</v>
      </c>
      <c r="BC5714" s="28" t="n">
        <f aca="false">BA5714-BB5714</f>
        <v>0</v>
      </c>
      <c r="BD5714" s="32" t="n">
        <f aca="false">SUM(P5714,R5714,T5714,V5714,X5714,Z5714,AB5714,AD5714,AF5714,AH5714,AJ5714,AL5714,AN5714,AP5714,AR5714,AT5714,AV5714,AX5714)</f>
        <v>0</v>
      </c>
      <c r="BE5714" s="33" t="n">
        <f aca="false">AZ5714-BD5714</f>
        <v>0</v>
      </c>
      <c r="BF5714" s="34" t="n">
        <f aca="false">BD5714*M5714</f>
        <v>0</v>
      </c>
      <c r="BG5714" s="35" t="n">
        <f aca="false">BA5714-BF5714</f>
        <v>0</v>
      </c>
      <c r="BH5714" s="19" t="str">
        <f aca="false">IF(BG5714=0,"",IF(BG5714&lt;&gt;BA5714,"erreur de calcul",IF(BD5714&lt;&gt;0,"pas de prix",IF(M5714&lt;&gt; 0,"pas de quantité","pas de prix, ni de quantité"))))</f>
        <v/>
      </c>
      <c r="BI5714" s="19"/>
    </row>
    <row r="5715" customFormat="false" ht="15" hidden="false" customHeight="false" outlineLevel="0" collapsed="false">
      <c r="A5715" s="0" t="n">
        <v>20</v>
      </c>
      <c r="B5715" s="8" t="s">
        <v>24</v>
      </c>
      <c r="C5715" s="9" t="s">
        <v>25</v>
      </c>
      <c r="D5715" s="9" t="s">
        <v>26</v>
      </c>
      <c r="E5715" s="10" t="n">
        <v>1789</v>
      </c>
      <c r="F5715" s="9" t="s">
        <v>27</v>
      </c>
      <c r="G5715" s="9" t="s">
        <v>27</v>
      </c>
      <c r="H5715" s="11" t="n">
        <v>21</v>
      </c>
      <c r="I5715" s="11" t="s">
        <v>173</v>
      </c>
      <c r="J5715" s="14" t="n">
        <v>36</v>
      </c>
      <c r="K5715" s="14"/>
      <c r="L5715" s="16"/>
      <c r="M5715" s="27" t="n">
        <f aca="false">J5715+(K5715/20)+(L5715/240)</f>
        <v>36</v>
      </c>
      <c r="N5715" s="17" t="s">
        <v>64</v>
      </c>
      <c r="O5715" s="11"/>
      <c r="P5715" s="28"/>
      <c r="Q5715" s="28" t="n">
        <f aca="false">P5715*$M5715</f>
        <v>0</v>
      </c>
      <c r="R5715" s="28"/>
      <c r="S5715" s="28" t="n">
        <f aca="false">R5715*$M5715</f>
        <v>0</v>
      </c>
      <c r="T5715" s="28"/>
      <c r="U5715" s="28" t="n">
        <f aca="false">T5715*$M5715</f>
        <v>0</v>
      </c>
      <c r="V5715" s="28"/>
      <c r="W5715" s="28" t="n">
        <f aca="false">V5715*$M5715</f>
        <v>0</v>
      </c>
      <c r="X5715" s="28"/>
      <c r="Y5715" s="28" t="n">
        <f aca="false">X5715*$M5715</f>
        <v>0</v>
      </c>
      <c r="Z5715" s="28"/>
      <c r="AA5715" s="28" t="n">
        <f aca="false">Z5715*$M5715</f>
        <v>0</v>
      </c>
      <c r="AB5715" s="28" t="n">
        <f aca="false">80722/100</f>
        <v>807.22</v>
      </c>
      <c r="AC5715" s="28" t="n">
        <v>29060</v>
      </c>
      <c r="AD5715" s="28"/>
      <c r="AE5715" s="28" t="n">
        <f aca="false">AD5715*$M5715</f>
        <v>0</v>
      </c>
      <c r="AF5715" s="28"/>
      <c r="AG5715" s="28" t="n">
        <f aca="false">AF5715*$M5715</f>
        <v>0</v>
      </c>
      <c r="AH5715" s="28"/>
      <c r="AI5715" s="28" t="n">
        <f aca="false">AH5715*$M5715</f>
        <v>0</v>
      </c>
      <c r="AJ5715" s="28"/>
      <c r="AK5715" s="28" t="n">
        <f aca="false">AJ5715*$M5715</f>
        <v>0</v>
      </c>
      <c r="AL5715" s="28"/>
      <c r="AM5715" s="28" t="n">
        <f aca="false">AL5715*$M5715</f>
        <v>0</v>
      </c>
      <c r="AN5715" s="28"/>
      <c r="AO5715" s="28" t="n">
        <f aca="false">AN5715*$M5715</f>
        <v>0</v>
      </c>
      <c r="AP5715" s="28"/>
      <c r="AQ5715" s="28" t="n">
        <f aca="false">AP5715*$M5715</f>
        <v>0</v>
      </c>
      <c r="AR5715" s="28"/>
      <c r="AS5715" s="28" t="n">
        <f aca="false">AR5715*$M5715</f>
        <v>0</v>
      </c>
      <c r="AT5715" s="28"/>
      <c r="AU5715" s="28" t="n">
        <f aca="false">AT5715*$M5715</f>
        <v>0</v>
      </c>
      <c r="AV5715" s="28"/>
      <c r="AW5715" s="28" t="n">
        <f aca="false">AV5715*$M5715</f>
        <v>0</v>
      </c>
      <c r="AX5715" s="28"/>
      <c r="AY5715" s="28" t="n">
        <f aca="false">AX5715*$M5715</f>
        <v>0</v>
      </c>
      <c r="AZ5715" s="30" t="n">
        <f aca="false">80722/100</f>
        <v>807.22</v>
      </c>
      <c r="BA5715" s="11" t="n">
        <v>29060</v>
      </c>
      <c r="BB5715" s="31" t="n">
        <f aca="false">SUM(Q5715,S5715,U5715,W5715,Y5715,AA5715,AC5715,AE5715,AG5715,AI5715,AK5715,AM5715,AO5715,AQ5715,AS5715,AU5715,AW5715,AY5715)</f>
        <v>29060</v>
      </c>
      <c r="BC5715" s="28" t="n">
        <f aca="false">BA5715-BB5715</f>
        <v>0</v>
      </c>
      <c r="BD5715" s="32" t="n">
        <f aca="false">SUM(P5715,R5715,T5715,V5715,X5715,Z5715,AB5715,AD5715,AF5715,AH5715,AJ5715,AL5715,AN5715,AP5715,AR5715,AT5715,AV5715,AX5715)</f>
        <v>807.22</v>
      </c>
      <c r="BE5715" s="33" t="n">
        <f aca="false">AZ5715-BD5715</f>
        <v>0</v>
      </c>
      <c r="BF5715" s="34" t="n">
        <f aca="false">BD5715*M5715</f>
        <v>29059.92</v>
      </c>
      <c r="BG5715" s="35" t="n">
        <f aca="false">BA5715-BF5715</f>
        <v>0.0799999999981083</v>
      </c>
      <c r="BH5715" s="19" t="str">
        <f aca="false">IF(BG5715=0,"",IF(BG5715&lt;&gt;BA5715,"erreur de calcul",IF(BD5715&lt;&gt;0,"pas de prix",IF(M5715&lt;&gt; 0,"pas de quantité","pas de prix, ni de quantité"))))</f>
        <v>erreur de calcul</v>
      </c>
      <c r="BI5715" s="19"/>
    </row>
    <row r="5716" customFormat="false" ht="15" hidden="false" customHeight="false" outlineLevel="0" collapsed="false">
      <c r="A5716" s="0" t="n">
        <v>21</v>
      </c>
      <c r="B5716" s="8" t="s">
        <v>24</v>
      </c>
      <c r="C5716" s="9" t="s">
        <v>25</v>
      </c>
      <c r="D5716" s="9" t="s">
        <v>26</v>
      </c>
      <c r="E5716" s="10" t="n">
        <v>1789</v>
      </c>
      <c r="F5716" s="9" t="s">
        <v>27</v>
      </c>
      <c r="G5716" s="9" t="s">
        <v>27</v>
      </c>
      <c r="H5716" s="11" t="n">
        <v>21</v>
      </c>
      <c r="I5716" s="11" t="s">
        <v>174</v>
      </c>
      <c r="J5716" s="14" t="n">
        <v>31</v>
      </c>
      <c r="K5716" s="14"/>
      <c r="L5716" s="16"/>
      <c r="M5716" s="27" t="n">
        <f aca="false">J5716+(K5716/20)+(L5716/240)</f>
        <v>31</v>
      </c>
      <c r="N5716" s="17" t="s">
        <v>64</v>
      </c>
      <c r="O5716" s="11"/>
      <c r="P5716" s="28"/>
      <c r="Q5716" s="28" t="n">
        <f aca="false">P5716*$M5716</f>
        <v>0</v>
      </c>
      <c r="R5716" s="28"/>
      <c r="S5716" s="28" t="n">
        <f aca="false">R5716*$M5716</f>
        <v>0</v>
      </c>
      <c r="T5716" s="28"/>
      <c r="U5716" s="28" t="n">
        <f aca="false">T5716*$M5716</f>
        <v>0</v>
      </c>
      <c r="V5716" s="28"/>
      <c r="W5716" s="28" t="n">
        <f aca="false">V5716*$M5716</f>
        <v>0</v>
      </c>
      <c r="X5716" s="28"/>
      <c r="Y5716" s="28" t="n">
        <f aca="false">X5716*$M5716</f>
        <v>0</v>
      </c>
      <c r="Z5716" s="28"/>
      <c r="AA5716" s="28" t="n">
        <f aca="false">Z5716*$M5716</f>
        <v>0</v>
      </c>
      <c r="AB5716" s="28"/>
      <c r="AC5716" s="28" t="n">
        <f aca="false">AB5716*$M5716</f>
        <v>0</v>
      </c>
      <c r="AD5716" s="28"/>
      <c r="AE5716" s="28" t="n">
        <f aca="false">AD5716*$M5716</f>
        <v>0</v>
      </c>
      <c r="AF5716" s="28" t="n">
        <f aca="false">4599/100</f>
        <v>45.99</v>
      </c>
      <c r="AG5716" s="28" t="n">
        <v>1426</v>
      </c>
      <c r="AH5716" s="28" t="n">
        <f aca="false">12691/100</f>
        <v>126.91</v>
      </c>
      <c r="AI5716" s="28" t="n">
        <v>3934</v>
      </c>
      <c r="AJ5716" s="28"/>
      <c r="AK5716" s="28" t="n">
        <f aca="false">AJ5716*$M5716</f>
        <v>0</v>
      </c>
      <c r="AL5716" s="28"/>
      <c r="AM5716" s="28" t="n">
        <f aca="false">AL5716*$M5716</f>
        <v>0</v>
      </c>
      <c r="AN5716" s="28"/>
      <c r="AO5716" s="28" t="n">
        <f aca="false">AN5716*$M5716</f>
        <v>0</v>
      </c>
      <c r="AP5716" s="28"/>
      <c r="AQ5716" s="28" t="n">
        <f aca="false">AP5716*$M5716</f>
        <v>0</v>
      </c>
      <c r="AR5716" s="28"/>
      <c r="AS5716" s="28" t="n">
        <f aca="false">AR5716*$M5716</f>
        <v>0</v>
      </c>
      <c r="AT5716" s="28"/>
      <c r="AU5716" s="28" t="n">
        <f aca="false">AT5716*$M5716</f>
        <v>0</v>
      </c>
      <c r="AV5716" s="28"/>
      <c r="AW5716" s="28" t="n">
        <f aca="false">AV5716*$M5716</f>
        <v>0</v>
      </c>
      <c r="AX5716" s="28"/>
      <c r="AY5716" s="28" t="n">
        <f aca="false">AX5716*$M5716</f>
        <v>0</v>
      </c>
      <c r="AZ5716" s="30" t="n">
        <f aca="false">17290/100</f>
        <v>172.9</v>
      </c>
      <c r="BA5716" s="11" t="n">
        <v>5360</v>
      </c>
      <c r="BB5716" s="31" t="n">
        <f aca="false">SUM(Q5716,S5716,U5716,W5716,Y5716,AA5716,AC5716,AE5716,AG5716,AI5716,AK5716,AM5716,AO5716,AQ5716,AS5716,AU5716,AW5716,AY5716)</f>
        <v>5360</v>
      </c>
      <c r="BC5716" s="28" t="n">
        <f aca="false">BA5716-BB5716</f>
        <v>0</v>
      </c>
      <c r="BD5716" s="32" t="n">
        <f aca="false">SUM(P5716,R5716,T5716,V5716,X5716,Z5716,AB5716,AD5716,AF5716,AH5716,AJ5716,AL5716,AN5716,AP5716,AR5716,AT5716,AV5716,AX5716)</f>
        <v>172.9</v>
      </c>
      <c r="BE5716" s="33" t="n">
        <f aca="false">AZ5716-BD5716</f>
        <v>0</v>
      </c>
      <c r="BF5716" s="34" t="n">
        <f aca="false">BD5716*M5716</f>
        <v>5359.9</v>
      </c>
      <c r="BG5716" s="35" t="n">
        <f aca="false">BA5716-BF5716</f>
        <v>0.0999999999994543</v>
      </c>
      <c r="BH5716" s="19" t="str">
        <f aca="false">IF(BG5716=0,"",IF(BG5716&lt;&gt;BA5716,"erreur de calcul",IF(BD5716&lt;&gt;0,"pas de prix",IF(M5716&lt;&gt; 0,"pas de quantité","pas de prix, ni de quantité"))))</f>
        <v>erreur de calcul</v>
      </c>
      <c r="BI5716" s="19"/>
    </row>
    <row r="5717" customFormat="false" ht="15" hidden="false" customHeight="false" outlineLevel="0" collapsed="false">
      <c r="A5717" s="0" t="n">
        <v>22</v>
      </c>
      <c r="B5717" s="8" t="s">
        <v>24</v>
      </c>
      <c r="C5717" s="9" t="s">
        <v>25</v>
      </c>
      <c r="D5717" s="9" t="s">
        <v>26</v>
      </c>
      <c r="E5717" s="10" t="n">
        <v>1789</v>
      </c>
      <c r="F5717" s="9" t="s">
        <v>27</v>
      </c>
      <c r="G5717" s="9" t="s">
        <v>27</v>
      </c>
      <c r="H5717" s="11" t="n">
        <v>21</v>
      </c>
      <c r="I5717" s="11" t="s">
        <v>175</v>
      </c>
      <c r="J5717" s="14" t="n">
        <v>120</v>
      </c>
      <c r="K5717" s="14"/>
      <c r="L5717" s="16"/>
      <c r="M5717" s="27" t="n">
        <f aca="false">J5717+(K5717/20)+(L5717/240)</f>
        <v>120</v>
      </c>
      <c r="N5717" s="17" t="s">
        <v>64</v>
      </c>
      <c r="O5717" s="11"/>
      <c r="P5717" s="28"/>
      <c r="Q5717" s="28" t="n">
        <f aca="false">P5717*$M5717</f>
        <v>0</v>
      </c>
      <c r="R5717" s="28"/>
      <c r="S5717" s="28" t="n">
        <f aca="false">R5717*$M5717</f>
        <v>0</v>
      </c>
      <c r="T5717" s="28"/>
      <c r="U5717" s="28" t="n">
        <f aca="false">T5717*$M5717</f>
        <v>0</v>
      </c>
      <c r="V5717" s="28" t="n">
        <f aca="false">2364/100</f>
        <v>23.64</v>
      </c>
      <c r="W5717" s="28" t="n">
        <v>2837</v>
      </c>
      <c r="X5717" s="28"/>
      <c r="Y5717" s="28" t="n">
        <f aca="false">X5717*$M5717</f>
        <v>0</v>
      </c>
      <c r="Z5717" s="28"/>
      <c r="AA5717" s="28" t="n">
        <f aca="false">Z5717*$M5717</f>
        <v>0</v>
      </c>
      <c r="AB5717" s="28"/>
      <c r="AC5717" s="28" t="n">
        <f aca="false">AB5717*$M5717</f>
        <v>0</v>
      </c>
      <c r="AD5717" s="28"/>
      <c r="AE5717" s="28" t="n">
        <f aca="false">AD5717*$M5717</f>
        <v>0</v>
      </c>
      <c r="AF5717" s="28"/>
      <c r="AG5717" s="28" t="n">
        <f aca="false">AF5717*$M5717</f>
        <v>0</v>
      </c>
      <c r="AH5717" s="28"/>
      <c r="AI5717" s="28" t="n">
        <f aca="false">AH5717*$M5717</f>
        <v>0</v>
      </c>
      <c r="AJ5717" s="28"/>
      <c r="AK5717" s="28" t="n">
        <f aca="false">AJ5717*$M5717</f>
        <v>0</v>
      </c>
      <c r="AL5717" s="28"/>
      <c r="AM5717" s="28" t="n">
        <f aca="false">AL5717*$M5717</f>
        <v>0</v>
      </c>
      <c r="AN5717" s="28"/>
      <c r="AO5717" s="28" t="n">
        <f aca="false">AN5717*$M5717</f>
        <v>0</v>
      </c>
      <c r="AP5717" s="28"/>
      <c r="AQ5717" s="28" t="n">
        <f aca="false">AP5717*$M5717</f>
        <v>0</v>
      </c>
      <c r="AR5717" s="28"/>
      <c r="AS5717" s="28" t="n">
        <f aca="false">AR5717*$M5717</f>
        <v>0</v>
      </c>
      <c r="AT5717" s="28"/>
      <c r="AU5717" s="28" t="n">
        <f aca="false">AT5717*$M5717</f>
        <v>0</v>
      </c>
      <c r="AV5717" s="28"/>
      <c r="AW5717" s="28" t="n">
        <f aca="false">AV5717*$M5717</f>
        <v>0</v>
      </c>
      <c r="AX5717" s="28"/>
      <c r="AY5717" s="28" t="n">
        <f aca="false">AX5717*$M5717</f>
        <v>0</v>
      </c>
      <c r="AZ5717" s="30" t="n">
        <f aca="false">2364/100</f>
        <v>23.64</v>
      </c>
      <c r="BA5717" s="11" t="n">
        <v>2837</v>
      </c>
      <c r="BB5717" s="31" t="n">
        <f aca="false">SUM(Q5717,S5717,U5717,W5717,Y5717,AA5717,AC5717,AE5717,AG5717,AI5717,AK5717,AM5717,AO5717,AQ5717,AS5717,AU5717,AW5717,AY5717)</f>
        <v>2837</v>
      </c>
      <c r="BC5717" s="28" t="n">
        <f aca="false">BA5717-BB5717</f>
        <v>0</v>
      </c>
      <c r="BD5717" s="32" t="n">
        <f aca="false">SUM(P5717,R5717,T5717,V5717,X5717,Z5717,AB5717,AD5717,AF5717,AH5717,AJ5717,AL5717,AN5717,AP5717,AR5717,AT5717,AV5717,AX5717)</f>
        <v>23.64</v>
      </c>
      <c r="BE5717" s="33" t="n">
        <f aca="false">AZ5717-BD5717</f>
        <v>0</v>
      </c>
      <c r="BF5717" s="34" t="n">
        <f aca="false">BD5717*M5717</f>
        <v>2836.8</v>
      </c>
      <c r="BG5717" s="35" t="n">
        <f aca="false">BA5717-BF5717</f>
        <v>0.199999999999818</v>
      </c>
      <c r="BH5717" s="19" t="str">
        <f aca="false">IF(BG5717=0,"",IF(BG5717&lt;&gt;BA5717,"erreur de calcul",IF(BD5717&lt;&gt;0,"pas de prix",IF(M5717&lt;&gt; 0,"pas de quantité","pas de prix, ni de quantité"))))</f>
        <v>erreur de calcul</v>
      </c>
      <c r="BI5717" s="19"/>
    </row>
    <row r="5718" customFormat="false" ht="15" hidden="false" customHeight="false" outlineLevel="0" collapsed="false">
      <c r="A5718" s="0" t="n">
        <v>23</v>
      </c>
      <c r="B5718" s="8" t="s">
        <v>24</v>
      </c>
      <c r="C5718" s="9" t="s">
        <v>25</v>
      </c>
      <c r="D5718" s="9" t="s">
        <v>26</v>
      </c>
      <c r="E5718" s="10" t="n">
        <v>1789</v>
      </c>
      <c r="F5718" s="9" t="s">
        <v>27</v>
      </c>
      <c r="G5718" s="9" t="s">
        <v>27</v>
      </c>
      <c r="H5718" s="11" t="n">
        <v>21</v>
      </c>
      <c r="I5718" s="11" t="s">
        <v>176</v>
      </c>
      <c r="J5718" s="14" t="n">
        <v>170</v>
      </c>
      <c r="K5718" s="14"/>
      <c r="L5718" s="16"/>
      <c r="M5718" s="27" t="n">
        <f aca="false">J5718+(K5718/20)+(L5718/240)</f>
        <v>170</v>
      </c>
      <c r="N5718" s="17" t="s">
        <v>64</v>
      </c>
      <c r="O5718" s="11"/>
      <c r="P5718" s="28" t="n">
        <f aca="false">9760/100</f>
        <v>97.6</v>
      </c>
      <c r="Q5718" s="28" t="n">
        <v>16592</v>
      </c>
      <c r="R5718" s="28"/>
      <c r="S5718" s="28" t="n">
        <f aca="false">R5718*$M5718</f>
        <v>0</v>
      </c>
      <c r="T5718" s="28"/>
      <c r="U5718" s="28" t="n">
        <f aca="false">T5718*$M5718</f>
        <v>0</v>
      </c>
      <c r="V5718" s="28"/>
      <c r="W5718" s="28" t="n">
        <f aca="false">V5718*$M5718</f>
        <v>0</v>
      </c>
      <c r="X5718" s="28" t="n">
        <f aca="false">1589/100</f>
        <v>15.89</v>
      </c>
      <c r="Y5718" s="28" t="n">
        <v>2701</v>
      </c>
      <c r="Z5718" s="28"/>
      <c r="AA5718" s="28" t="n">
        <f aca="false">Z5718*$M5718</f>
        <v>0</v>
      </c>
      <c r="AB5718" s="28"/>
      <c r="AC5718" s="28" t="n">
        <f aca="false">AB5718*$M5718</f>
        <v>0</v>
      </c>
      <c r="AD5718" s="28"/>
      <c r="AE5718" s="28" t="n">
        <f aca="false">AD5718*$M5718</f>
        <v>0</v>
      </c>
      <c r="AF5718" s="28"/>
      <c r="AG5718" s="28" t="n">
        <f aca="false">AF5718*$M5718</f>
        <v>0</v>
      </c>
      <c r="AH5718" s="28"/>
      <c r="AI5718" s="28" t="n">
        <f aca="false">AH5718*$M5718</f>
        <v>0</v>
      </c>
      <c r="AJ5718" s="28"/>
      <c r="AK5718" s="28" t="n">
        <f aca="false">AJ5718*$M5718</f>
        <v>0</v>
      </c>
      <c r="AL5718" s="28"/>
      <c r="AM5718" s="28" t="n">
        <f aca="false">AL5718*$M5718</f>
        <v>0</v>
      </c>
      <c r="AN5718" s="28"/>
      <c r="AO5718" s="28" t="n">
        <f aca="false">AN5718*$M5718</f>
        <v>0</v>
      </c>
      <c r="AP5718" s="28"/>
      <c r="AQ5718" s="28" t="n">
        <f aca="false">AP5718*$M5718</f>
        <v>0</v>
      </c>
      <c r="AR5718" s="28"/>
      <c r="AS5718" s="28" t="n">
        <f aca="false">AR5718*$M5718</f>
        <v>0</v>
      </c>
      <c r="AT5718" s="28"/>
      <c r="AU5718" s="28" t="n">
        <f aca="false">AT5718*$M5718</f>
        <v>0</v>
      </c>
      <c r="AV5718" s="28"/>
      <c r="AW5718" s="28" t="n">
        <f aca="false">AV5718*$M5718</f>
        <v>0</v>
      </c>
      <c r="AX5718" s="28"/>
      <c r="AY5718" s="28" t="n">
        <f aca="false">AX5718*$M5718</f>
        <v>0</v>
      </c>
      <c r="AZ5718" s="30" t="n">
        <f aca="false">11349/100</f>
        <v>113.49</v>
      </c>
      <c r="BA5718" s="11" t="n">
        <v>19293</v>
      </c>
      <c r="BB5718" s="31" t="n">
        <f aca="false">SUM(Q5718,S5718,U5718,W5718,Y5718,AA5718,AC5718,AE5718,AG5718,AI5718,AK5718,AM5718,AO5718,AQ5718,AS5718,AU5718,AW5718,AY5718)</f>
        <v>19293</v>
      </c>
      <c r="BC5718" s="28" t="n">
        <f aca="false">BA5718-BB5718</f>
        <v>0</v>
      </c>
      <c r="BD5718" s="32" t="n">
        <f aca="false">SUM(P5718,R5718,T5718,V5718,X5718,Z5718,AB5718,AD5718,AF5718,AH5718,AJ5718,AL5718,AN5718,AP5718,AR5718,AT5718,AV5718,AX5718)</f>
        <v>113.49</v>
      </c>
      <c r="BE5718" s="33" t="n">
        <f aca="false">AZ5718-BD5718</f>
        <v>0</v>
      </c>
      <c r="BF5718" s="34" t="n">
        <f aca="false">BD5718*M5718</f>
        <v>19293.3</v>
      </c>
      <c r="BG5718" s="35" t="n">
        <f aca="false">BA5718-BF5718</f>
        <v>-0.299999999999272</v>
      </c>
      <c r="BH5718" s="19" t="str">
        <f aca="false">IF(BG5718=0,"",IF(BG5718&lt;&gt;BA5718,"erreur de calcul",IF(BD5718&lt;&gt;0,"pas de prix",IF(M5718&lt;&gt; 0,"pas de quantité","pas de prix, ni de quantité"))))</f>
        <v>erreur de calcul</v>
      </c>
      <c r="BI5718" s="19"/>
    </row>
    <row r="5719" customFormat="false" ht="15" hidden="false" customHeight="false" outlineLevel="0" collapsed="false">
      <c r="A5719" s="0" t="n">
        <v>24</v>
      </c>
      <c r="B5719" s="8" t="s">
        <v>24</v>
      </c>
      <c r="C5719" s="9" t="s">
        <v>25</v>
      </c>
      <c r="D5719" s="9" t="s">
        <v>26</v>
      </c>
      <c r="E5719" s="10" t="n">
        <v>1789</v>
      </c>
      <c r="F5719" s="9" t="s">
        <v>27</v>
      </c>
      <c r="G5719" s="9" t="s">
        <v>27</v>
      </c>
      <c r="H5719" s="11" t="n">
        <v>21</v>
      </c>
      <c r="I5719" s="11" t="s">
        <v>177</v>
      </c>
      <c r="J5719" s="14" t="n">
        <v>9</v>
      </c>
      <c r="K5719" s="14"/>
      <c r="L5719" s="16"/>
      <c r="M5719" s="27" t="n">
        <f aca="false">J5719+(K5719/20)+(L5719/240)</f>
        <v>9</v>
      </c>
      <c r="N5719" s="17" t="s">
        <v>66</v>
      </c>
      <c r="O5719" s="11"/>
      <c r="P5719" s="28"/>
      <c r="Q5719" s="28" t="n">
        <f aca="false">P5719*$M5719</f>
        <v>0</v>
      </c>
      <c r="R5719" s="28" t="n">
        <v>349</v>
      </c>
      <c r="S5719" s="28" t="n">
        <v>3141</v>
      </c>
      <c r="T5719" s="28"/>
      <c r="U5719" s="28" t="n">
        <f aca="false">T5719*$M5719</f>
        <v>0</v>
      </c>
      <c r="V5719" s="28" t="n">
        <v>315</v>
      </c>
      <c r="W5719" s="28" t="n">
        <v>2835</v>
      </c>
      <c r="X5719" s="28" t="n">
        <v>733</v>
      </c>
      <c r="Y5719" s="28" t="n">
        <v>6597</v>
      </c>
      <c r="Z5719" s="28"/>
      <c r="AA5719" s="28" t="n">
        <f aca="false">Z5719*$M5719</f>
        <v>0</v>
      </c>
      <c r="AB5719" s="28" t="n">
        <v>162</v>
      </c>
      <c r="AC5719" s="28" t="n">
        <v>1458</v>
      </c>
      <c r="AD5719" s="28"/>
      <c r="AE5719" s="28" t="n">
        <f aca="false">AD5719*$M5719</f>
        <v>0</v>
      </c>
      <c r="AF5719" s="28"/>
      <c r="AG5719" s="28" t="n">
        <f aca="false">AF5719*$M5719</f>
        <v>0</v>
      </c>
      <c r="AH5719" s="28"/>
      <c r="AI5719" s="28" t="n">
        <f aca="false">AH5719*$M5719</f>
        <v>0</v>
      </c>
      <c r="AJ5719" s="28"/>
      <c r="AK5719" s="28" t="n">
        <f aca="false">AJ5719*$M5719</f>
        <v>0</v>
      </c>
      <c r="AL5719" s="28"/>
      <c r="AM5719" s="28" t="n">
        <f aca="false">AL5719*$M5719</f>
        <v>0</v>
      </c>
      <c r="AN5719" s="28"/>
      <c r="AO5719" s="28" t="n">
        <f aca="false">AN5719*$M5719</f>
        <v>0</v>
      </c>
      <c r="AP5719" s="28"/>
      <c r="AQ5719" s="28" t="n">
        <f aca="false">AP5719*$M5719</f>
        <v>0</v>
      </c>
      <c r="AR5719" s="28"/>
      <c r="AS5719" s="28" t="n">
        <f aca="false">AR5719*$M5719</f>
        <v>0</v>
      </c>
      <c r="AT5719" s="28"/>
      <c r="AU5719" s="28" t="n">
        <f aca="false">AT5719*$M5719</f>
        <v>0</v>
      </c>
      <c r="AV5719" s="28"/>
      <c r="AW5719" s="28" t="n">
        <f aca="false">AV5719*$M5719</f>
        <v>0</v>
      </c>
      <c r="AX5719" s="28"/>
      <c r="AY5719" s="28" t="n">
        <f aca="false">AX5719*$M5719</f>
        <v>0</v>
      </c>
      <c r="AZ5719" s="30" t="n">
        <f aca="false">1559</f>
        <v>1559</v>
      </c>
      <c r="BA5719" s="11" t="n">
        <v>14031</v>
      </c>
      <c r="BB5719" s="31" t="n">
        <f aca="false">SUM(Q5719,S5719,U5719,W5719,Y5719,AA5719,AC5719,AE5719,AG5719,AI5719,AK5719,AM5719,AO5719,AQ5719,AS5719,AU5719,AW5719,AY5719)</f>
        <v>14031</v>
      </c>
      <c r="BC5719" s="28" t="n">
        <f aca="false">BA5719-BB5719</f>
        <v>0</v>
      </c>
      <c r="BD5719" s="32" t="n">
        <f aca="false">SUM(P5719,R5719,T5719,V5719,X5719,Z5719,AB5719,AD5719,AF5719,AH5719,AJ5719,AL5719,AN5719,AP5719,AR5719,AT5719,AV5719,AX5719)</f>
        <v>1559</v>
      </c>
      <c r="BE5719" s="33" t="n">
        <f aca="false">AZ5719-BD5719</f>
        <v>0</v>
      </c>
      <c r="BF5719" s="34" t="n">
        <f aca="false">BD5719*M5719</f>
        <v>14031</v>
      </c>
      <c r="BG5719" s="35" t="n">
        <f aca="false">BA5719-BF5719</f>
        <v>0</v>
      </c>
      <c r="BH5719" s="19" t="str">
        <f aca="false">IF(BG5719=0,"",IF(BG5719&lt;&gt;BA5719,"erreur de calcul",IF(BD5719&lt;&gt;0,"pas de prix",IF(M5719&lt;&gt; 0,"pas de quantité","pas de prix, ni de quantité"))))</f>
        <v/>
      </c>
      <c r="BI5719" s="19"/>
    </row>
    <row r="5720" customFormat="false" ht="15" hidden="false" customHeight="false" outlineLevel="0" collapsed="false">
      <c r="A5720" s="0" t="n">
        <v>25</v>
      </c>
      <c r="B5720" s="8" t="s">
        <v>24</v>
      </c>
      <c r="C5720" s="9" t="s">
        <v>25</v>
      </c>
      <c r="D5720" s="9" t="s">
        <v>26</v>
      </c>
      <c r="E5720" s="10" t="n">
        <v>1789</v>
      </c>
      <c r="F5720" s="9" t="s">
        <v>27</v>
      </c>
      <c r="G5720" s="9" t="s">
        <v>27</v>
      </c>
      <c r="H5720" s="11" t="n">
        <v>21</v>
      </c>
      <c r="I5720" s="11" t="s">
        <v>178</v>
      </c>
      <c r="J5720" s="14" t="n">
        <v>125</v>
      </c>
      <c r="K5720" s="14"/>
      <c r="L5720" s="16"/>
      <c r="M5720" s="27" t="n">
        <f aca="false">J5720+(K5720/20)+(L5720/240)</f>
        <v>125</v>
      </c>
      <c r="N5720" s="17" t="s">
        <v>64</v>
      </c>
      <c r="O5720" s="11"/>
      <c r="P5720" s="28"/>
      <c r="Q5720" s="28" t="n">
        <f aca="false">P5720*$M5720</f>
        <v>0</v>
      </c>
      <c r="R5720" s="28"/>
      <c r="S5720" s="28" t="n">
        <f aca="false">R5720*$M5720</f>
        <v>0</v>
      </c>
      <c r="T5720" s="28"/>
      <c r="U5720" s="28" t="n">
        <f aca="false">T5720*$M5720</f>
        <v>0</v>
      </c>
      <c r="V5720" s="28" t="n">
        <f aca="false">10764/100</f>
        <v>107.64</v>
      </c>
      <c r="W5720" s="28" t="n">
        <v>13455</v>
      </c>
      <c r="X5720" s="28" t="n">
        <f aca="false">13215/100</f>
        <v>132.15</v>
      </c>
      <c r="Y5720" s="28" t="n">
        <v>16519</v>
      </c>
      <c r="Z5720" s="28"/>
      <c r="AA5720" s="28" t="n">
        <f aca="false">Z5720*$M5720</f>
        <v>0</v>
      </c>
      <c r="AB5720" s="28" t="n">
        <f aca="false">188461/100</f>
        <v>1884.61</v>
      </c>
      <c r="AC5720" s="28" t="n">
        <v>235576</v>
      </c>
      <c r="AD5720" s="28"/>
      <c r="AE5720" s="28" t="n">
        <f aca="false">AD5720*$M5720</f>
        <v>0</v>
      </c>
      <c r="AF5720" s="28"/>
      <c r="AG5720" s="28" t="n">
        <f aca="false">AF5720*$M5720</f>
        <v>0</v>
      </c>
      <c r="AH5720" s="28"/>
      <c r="AI5720" s="28" t="n">
        <f aca="false">AH5720*$M5720</f>
        <v>0</v>
      </c>
      <c r="AJ5720" s="28"/>
      <c r="AK5720" s="28" t="n">
        <f aca="false">AJ5720*$M5720</f>
        <v>0</v>
      </c>
      <c r="AL5720" s="28"/>
      <c r="AM5720" s="28" t="n">
        <f aca="false">AL5720*$M5720</f>
        <v>0</v>
      </c>
      <c r="AN5720" s="28"/>
      <c r="AO5720" s="28" t="n">
        <f aca="false">AN5720*$M5720</f>
        <v>0</v>
      </c>
      <c r="AP5720" s="28"/>
      <c r="AQ5720" s="28" t="n">
        <f aca="false">AP5720*$M5720</f>
        <v>0</v>
      </c>
      <c r="AR5720" s="28"/>
      <c r="AS5720" s="28" t="n">
        <f aca="false">AR5720*$M5720</f>
        <v>0</v>
      </c>
      <c r="AT5720" s="28"/>
      <c r="AU5720" s="28" t="n">
        <f aca="false">AT5720*$M5720</f>
        <v>0</v>
      </c>
      <c r="AV5720" s="28"/>
      <c r="AW5720" s="28" t="n">
        <f aca="false">AV5720*$M5720</f>
        <v>0</v>
      </c>
      <c r="AX5720" s="28"/>
      <c r="AY5720" s="28" t="n">
        <f aca="false">AX5720*$M5720</f>
        <v>0</v>
      </c>
      <c r="AZ5720" s="30" t="n">
        <f aca="false">212440/100</f>
        <v>2124.4</v>
      </c>
      <c r="BA5720" s="11" t="n">
        <v>265550</v>
      </c>
      <c r="BB5720" s="31" t="n">
        <f aca="false">SUM(Q5720,S5720,U5720,W5720,Y5720,AA5720,AC5720,AE5720,AG5720,AI5720,AK5720,AM5720,AO5720,AQ5720,AS5720,AU5720,AW5720,AY5720)</f>
        <v>265550</v>
      </c>
      <c r="BC5720" s="28" t="n">
        <f aca="false">BA5720-BB5720</f>
        <v>0</v>
      </c>
      <c r="BD5720" s="32" t="n">
        <f aca="false">SUM(P5720,R5720,T5720,V5720,X5720,Z5720,AB5720,AD5720,AF5720,AH5720,AJ5720,AL5720,AN5720,AP5720,AR5720,AT5720,AV5720,AX5720)</f>
        <v>2124.4</v>
      </c>
      <c r="BE5720" s="33" t="n">
        <f aca="false">AZ5720-BD5720</f>
        <v>0</v>
      </c>
      <c r="BF5720" s="34" t="n">
        <f aca="false">BD5720*M5720</f>
        <v>265550</v>
      </c>
      <c r="BG5720" s="35" t="n">
        <f aca="false">BA5720-BF5720</f>
        <v>0</v>
      </c>
      <c r="BH5720" s="19" t="str">
        <f aca="false">IF(BG5720=0,"",IF(BG5720&lt;&gt;BA5720,"erreur de calcul",IF(BD5720&lt;&gt;0,"pas de prix",IF(M5720&lt;&gt; 0,"pas de quantité","pas de prix, ni de quantité"))))</f>
        <v/>
      </c>
      <c r="BI5720" s="19"/>
    </row>
    <row r="5721" customFormat="false" ht="15" hidden="false" customHeight="false" outlineLevel="0" collapsed="false">
      <c r="A5721" s="0" t="n">
        <v>26</v>
      </c>
      <c r="B5721" s="8" t="s">
        <v>24</v>
      </c>
      <c r="C5721" s="9" t="s">
        <v>25</v>
      </c>
      <c r="D5721" s="9" t="s">
        <v>26</v>
      </c>
      <c r="E5721" s="10" t="n">
        <v>1789</v>
      </c>
      <c r="F5721" s="9" t="s">
        <v>27</v>
      </c>
      <c r="G5721" s="9" t="s">
        <v>27</v>
      </c>
      <c r="H5721" s="11" t="n">
        <v>21</v>
      </c>
      <c r="I5721" s="11" t="s">
        <v>179</v>
      </c>
      <c r="J5721" s="14" t="n">
        <v>7</v>
      </c>
      <c r="K5721" s="14"/>
      <c r="L5721" s="16"/>
      <c r="M5721" s="27" t="n">
        <f aca="false">J5721+(K5721/20)+(L5721/240)</f>
        <v>7</v>
      </c>
      <c r="N5721" s="17" t="s">
        <v>66</v>
      </c>
      <c r="O5721" s="11"/>
      <c r="P5721" s="28" t="n">
        <v>8441</v>
      </c>
      <c r="Q5721" s="28" t="n">
        <v>59087</v>
      </c>
      <c r="R5721" s="28"/>
      <c r="S5721" s="28" t="n">
        <f aca="false">R5721*$M5721</f>
        <v>0</v>
      </c>
      <c r="T5721" s="28"/>
      <c r="U5721" s="28" t="n">
        <f aca="false">T5721*$M5721</f>
        <v>0</v>
      </c>
      <c r="V5721" s="28"/>
      <c r="W5721" s="28" t="n">
        <f aca="false">V5721*$M5721</f>
        <v>0</v>
      </c>
      <c r="X5721" s="28"/>
      <c r="Y5721" s="28" t="n">
        <f aca="false">X5721*$M5721</f>
        <v>0</v>
      </c>
      <c r="Z5721" s="28" t="n">
        <v>357</v>
      </c>
      <c r="AA5721" s="28" t="n">
        <v>2499</v>
      </c>
      <c r="AB5721" s="28"/>
      <c r="AC5721" s="28" t="n">
        <f aca="false">AB5721*$M5721</f>
        <v>0</v>
      </c>
      <c r="AD5721" s="28"/>
      <c r="AE5721" s="28" t="n">
        <f aca="false">AD5721*$M5721</f>
        <v>0</v>
      </c>
      <c r="AF5721" s="28"/>
      <c r="AG5721" s="28" t="n">
        <f aca="false">AF5721*$M5721</f>
        <v>0</v>
      </c>
      <c r="AH5721" s="28"/>
      <c r="AI5721" s="28" t="n">
        <f aca="false">AH5721*$M5721</f>
        <v>0</v>
      </c>
      <c r="AJ5721" s="28"/>
      <c r="AK5721" s="28" t="n">
        <f aca="false">AJ5721*$M5721</f>
        <v>0</v>
      </c>
      <c r="AL5721" s="28"/>
      <c r="AM5721" s="28" t="n">
        <f aca="false">AL5721*$M5721</f>
        <v>0</v>
      </c>
      <c r="AN5721" s="28"/>
      <c r="AO5721" s="28" t="n">
        <f aca="false">AN5721*$M5721</f>
        <v>0</v>
      </c>
      <c r="AP5721" s="28"/>
      <c r="AQ5721" s="28" t="n">
        <f aca="false">AP5721*$M5721</f>
        <v>0</v>
      </c>
      <c r="AR5721" s="28"/>
      <c r="AS5721" s="28" t="n">
        <f aca="false">AR5721*$M5721</f>
        <v>0</v>
      </c>
      <c r="AT5721" s="28"/>
      <c r="AU5721" s="28" t="n">
        <f aca="false">AT5721*$M5721</f>
        <v>0</v>
      </c>
      <c r="AV5721" s="28"/>
      <c r="AW5721" s="28" t="n">
        <f aca="false">AV5721*$M5721</f>
        <v>0</v>
      </c>
      <c r="AX5721" s="28"/>
      <c r="AY5721" s="28" t="n">
        <f aca="false">AX5721*$M5721</f>
        <v>0</v>
      </c>
      <c r="AZ5721" s="30" t="n">
        <v>8798</v>
      </c>
      <c r="BA5721" s="11" t="n">
        <v>61586</v>
      </c>
      <c r="BB5721" s="31" t="n">
        <f aca="false">SUM(Q5721,S5721,U5721,W5721,Y5721,AA5721,AC5721,AE5721,AG5721,AI5721,AK5721,AM5721,AO5721,AQ5721,AS5721,AU5721,AW5721,AY5721)</f>
        <v>61586</v>
      </c>
      <c r="BC5721" s="28" t="n">
        <f aca="false">BA5721-BB5721</f>
        <v>0</v>
      </c>
      <c r="BD5721" s="32" t="n">
        <f aca="false">SUM(P5721,R5721,T5721,V5721,X5721,Z5721,AB5721,AD5721,AF5721,AH5721,AJ5721,AL5721,AN5721,AP5721,AR5721,AT5721,AV5721,AX5721)</f>
        <v>8798</v>
      </c>
      <c r="BE5721" s="33" t="n">
        <f aca="false">AZ5721-BD5721</f>
        <v>0</v>
      </c>
      <c r="BF5721" s="34" t="n">
        <f aca="false">BD5721*M5721</f>
        <v>61586</v>
      </c>
      <c r="BG5721" s="35" t="n">
        <f aca="false">BA5721-BF5721</f>
        <v>0</v>
      </c>
      <c r="BH5721" s="19" t="str">
        <f aca="false">IF(BG5721=0,"",IF(BG5721&lt;&gt;BA5721,"erreur de calcul",IF(BD5721&lt;&gt;0,"pas de prix",IF(M5721&lt;&gt; 0,"pas de quantité","pas de prix, ni de quantité"))))</f>
        <v/>
      </c>
      <c r="BI5721" s="19"/>
    </row>
    <row r="5722" customFormat="false" ht="15" hidden="false" customHeight="false" outlineLevel="0" collapsed="false">
      <c r="A5722" s="0" t="n">
        <v>27</v>
      </c>
      <c r="B5722" s="8" t="s">
        <v>24</v>
      </c>
      <c r="C5722" s="9" t="s">
        <v>25</v>
      </c>
      <c r="D5722" s="9" t="s">
        <v>26</v>
      </c>
      <c r="E5722" s="10" t="n">
        <v>1789</v>
      </c>
      <c r="F5722" s="9" t="s">
        <v>27</v>
      </c>
      <c r="G5722" s="9" t="s">
        <v>27</v>
      </c>
      <c r="H5722" s="11" t="n">
        <v>21</v>
      </c>
      <c r="I5722" s="11" t="s">
        <v>180</v>
      </c>
      <c r="J5722" s="14" t="n">
        <v>9</v>
      </c>
      <c r="K5722" s="14"/>
      <c r="L5722" s="16"/>
      <c r="M5722" s="27" t="n">
        <f aca="false">J5722+(K5722/20)+(L5722/240)</f>
        <v>9</v>
      </c>
      <c r="N5722" s="17" t="s">
        <v>64</v>
      </c>
      <c r="O5722" s="11"/>
      <c r="P5722" s="28" t="n">
        <f aca="false">22662/100</f>
        <v>226.62</v>
      </c>
      <c r="Q5722" s="28" t="n">
        <v>2039</v>
      </c>
      <c r="R5722" s="28"/>
      <c r="S5722" s="28" t="n">
        <f aca="false">R5722*$M5722</f>
        <v>0</v>
      </c>
      <c r="T5722" s="28"/>
      <c r="U5722" s="28" t="n">
        <f aca="false">T5722*$M5722</f>
        <v>0</v>
      </c>
      <c r="V5722" s="28"/>
      <c r="W5722" s="28" t="n">
        <f aca="false">V5722*$M5722</f>
        <v>0</v>
      </c>
      <c r="X5722" s="28"/>
      <c r="Y5722" s="28" t="n">
        <f aca="false">X5722*$M5722</f>
        <v>0</v>
      </c>
      <c r="Z5722" s="28"/>
      <c r="AA5722" s="28" t="n">
        <f aca="false">Z5722*$M5722</f>
        <v>0</v>
      </c>
      <c r="AB5722" s="28"/>
      <c r="AC5722" s="28" t="n">
        <f aca="false">AB5722*$M5722</f>
        <v>0</v>
      </c>
      <c r="AD5722" s="28"/>
      <c r="AE5722" s="28" t="n">
        <f aca="false">AD5722*$M5722</f>
        <v>0</v>
      </c>
      <c r="AF5722" s="28"/>
      <c r="AG5722" s="28" t="n">
        <f aca="false">AF5722*$M5722</f>
        <v>0</v>
      </c>
      <c r="AH5722" s="28"/>
      <c r="AI5722" s="28" t="n">
        <f aca="false">AH5722*$M5722</f>
        <v>0</v>
      </c>
      <c r="AJ5722" s="28"/>
      <c r="AK5722" s="28" t="n">
        <f aca="false">AJ5722*$M5722</f>
        <v>0</v>
      </c>
      <c r="AL5722" s="28"/>
      <c r="AM5722" s="28" t="n">
        <f aca="false">AL5722*$M5722</f>
        <v>0</v>
      </c>
      <c r="AN5722" s="28"/>
      <c r="AO5722" s="28" t="n">
        <f aca="false">AN5722*$M5722</f>
        <v>0</v>
      </c>
      <c r="AP5722" s="28"/>
      <c r="AQ5722" s="28" t="n">
        <f aca="false">AP5722*$M5722</f>
        <v>0</v>
      </c>
      <c r="AR5722" s="28"/>
      <c r="AS5722" s="28" t="n">
        <f aca="false">AR5722*$M5722</f>
        <v>0</v>
      </c>
      <c r="AT5722" s="28"/>
      <c r="AU5722" s="28" t="n">
        <f aca="false">AT5722*$M5722</f>
        <v>0</v>
      </c>
      <c r="AV5722" s="28"/>
      <c r="AW5722" s="28" t="n">
        <f aca="false">AV5722*$M5722</f>
        <v>0</v>
      </c>
      <c r="AX5722" s="28"/>
      <c r="AY5722" s="28" t="n">
        <f aca="false">AX5722*$M5722</f>
        <v>0</v>
      </c>
      <c r="AZ5722" s="30" t="n">
        <f aca="false">22662/100</f>
        <v>226.62</v>
      </c>
      <c r="BA5722" s="11" t="n">
        <v>2039</v>
      </c>
      <c r="BB5722" s="31" t="n">
        <f aca="false">SUM(Q5722,S5722,U5722,W5722,Y5722,AA5722,AC5722,AE5722,AG5722,AI5722,AK5722,AM5722,AO5722,AQ5722,AS5722,AU5722,AW5722,AY5722)</f>
        <v>2039</v>
      </c>
      <c r="BC5722" s="28" t="n">
        <f aca="false">BA5722-BB5722</f>
        <v>0</v>
      </c>
      <c r="BD5722" s="32" t="n">
        <f aca="false">SUM(P5722,R5722,T5722,V5722,X5722,Z5722,AB5722,AD5722,AF5722,AH5722,AJ5722,AL5722,AN5722,AP5722,AR5722,AT5722,AV5722,AX5722)</f>
        <v>226.62</v>
      </c>
      <c r="BE5722" s="33" t="n">
        <f aca="false">AZ5722-BD5722</f>
        <v>0</v>
      </c>
      <c r="BF5722" s="34" t="n">
        <f aca="false">BD5722*M5722</f>
        <v>2039.58</v>
      </c>
      <c r="BG5722" s="35" t="n">
        <f aca="false">BA5722-BF5722</f>
        <v>-0.579999999999927</v>
      </c>
      <c r="BH5722" s="19" t="str">
        <f aca="false">IF(BG5722=0,"",IF(BG5722&lt;&gt;BA5722,"erreur de calcul",IF(BD5722&lt;&gt;0,"pas de prix",IF(M5722&lt;&gt; 0,"pas de quantité","pas de prix, ni de quantité"))))</f>
        <v>erreur de calcul</v>
      </c>
      <c r="BI5722" s="19"/>
    </row>
    <row r="5723" customFormat="false" ht="15" hidden="false" customHeight="false" outlineLevel="0" collapsed="false">
      <c r="A5723" s="0" t="n">
        <v>28</v>
      </c>
      <c r="B5723" s="8" t="s">
        <v>24</v>
      </c>
      <c r="C5723" s="9" t="s">
        <v>25</v>
      </c>
      <c r="D5723" s="9" t="s">
        <v>26</v>
      </c>
      <c r="E5723" s="10" t="n">
        <v>1789</v>
      </c>
      <c r="F5723" s="9" t="s">
        <v>27</v>
      </c>
      <c r="G5723" s="9" t="s">
        <v>27</v>
      </c>
      <c r="H5723" s="11" t="n">
        <v>21</v>
      </c>
      <c r="I5723" s="11" t="s">
        <v>181</v>
      </c>
      <c r="J5723" s="14" t="n">
        <v>8</v>
      </c>
      <c r="K5723" s="14" t="n">
        <v>10</v>
      </c>
      <c r="L5723" s="16"/>
      <c r="M5723" s="27" t="n">
        <f aca="false">J5723+(K5723/20)+(L5723/240)</f>
        <v>8.5</v>
      </c>
      <c r="N5723" s="17" t="s">
        <v>66</v>
      </c>
      <c r="O5723" s="11"/>
      <c r="P5723" s="28" t="n">
        <v>1770</v>
      </c>
      <c r="Q5723" s="28" t="n">
        <v>15045</v>
      </c>
      <c r="R5723" s="28"/>
      <c r="S5723" s="28" t="n">
        <f aca="false">R5723*$M5723</f>
        <v>0</v>
      </c>
      <c r="T5723" s="28"/>
      <c r="U5723" s="28" t="n">
        <f aca="false">T5723*$M5723</f>
        <v>0</v>
      </c>
      <c r="V5723" s="28"/>
      <c r="W5723" s="28" t="n">
        <f aca="false">V5723*$M5723</f>
        <v>0</v>
      </c>
      <c r="X5723" s="28"/>
      <c r="Y5723" s="28" t="n">
        <f aca="false">X5723*$M5723</f>
        <v>0</v>
      </c>
      <c r="Z5723" s="28"/>
      <c r="AA5723" s="28" t="n">
        <f aca="false">Z5723*$M5723</f>
        <v>0</v>
      </c>
      <c r="AB5723" s="28"/>
      <c r="AC5723" s="28" t="n">
        <f aca="false">AB5723*$M5723</f>
        <v>0</v>
      </c>
      <c r="AD5723" s="28"/>
      <c r="AE5723" s="28" t="n">
        <f aca="false">AD5723*$M5723</f>
        <v>0</v>
      </c>
      <c r="AF5723" s="28"/>
      <c r="AG5723" s="28" t="n">
        <f aca="false">AF5723*$M5723</f>
        <v>0</v>
      </c>
      <c r="AH5723" s="28" t="n">
        <v>323</v>
      </c>
      <c r="AI5723" s="28" t="n">
        <v>2745</v>
      </c>
      <c r="AJ5723" s="28"/>
      <c r="AK5723" s="28" t="n">
        <f aca="false">AJ5723*$M5723</f>
        <v>0</v>
      </c>
      <c r="AL5723" s="28"/>
      <c r="AM5723" s="28" t="n">
        <f aca="false">AL5723*$M5723</f>
        <v>0</v>
      </c>
      <c r="AN5723" s="28"/>
      <c r="AO5723" s="28" t="n">
        <f aca="false">AN5723*$M5723</f>
        <v>0</v>
      </c>
      <c r="AP5723" s="28"/>
      <c r="AQ5723" s="28" t="n">
        <f aca="false">AP5723*$M5723</f>
        <v>0</v>
      </c>
      <c r="AR5723" s="28"/>
      <c r="AS5723" s="28" t="n">
        <f aca="false">AR5723*$M5723</f>
        <v>0</v>
      </c>
      <c r="AT5723" s="28"/>
      <c r="AU5723" s="28" t="n">
        <f aca="false">AT5723*$M5723</f>
        <v>0</v>
      </c>
      <c r="AV5723" s="28"/>
      <c r="AW5723" s="28" t="n">
        <f aca="false">AV5723*$M5723</f>
        <v>0</v>
      </c>
      <c r="AX5723" s="28"/>
      <c r="AY5723" s="28" t="n">
        <f aca="false">AX5723*$M5723</f>
        <v>0</v>
      </c>
      <c r="AZ5723" s="30" t="n">
        <v>2093</v>
      </c>
      <c r="BA5723" s="11" t="n">
        <v>17790</v>
      </c>
      <c r="BB5723" s="31" t="n">
        <f aca="false">SUM(Q5723,S5723,U5723,W5723,Y5723,AA5723,AC5723,AE5723,AG5723,AI5723,AK5723,AM5723,AO5723,AQ5723,AS5723,AU5723,AW5723,AY5723)</f>
        <v>17790</v>
      </c>
      <c r="BC5723" s="28" t="n">
        <f aca="false">BA5723-BB5723</f>
        <v>0</v>
      </c>
      <c r="BD5723" s="32" t="n">
        <f aca="false">SUM(P5723,R5723,T5723,V5723,X5723,Z5723,AB5723,AD5723,AF5723,AH5723,AJ5723,AL5723,AN5723,AP5723,AR5723,AT5723,AV5723,AX5723)</f>
        <v>2093</v>
      </c>
      <c r="BE5723" s="33" t="n">
        <f aca="false">AZ5723-BD5723</f>
        <v>0</v>
      </c>
      <c r="BF5723" s="34" t="n">
        <f aca="false">BD5723*M5723</f>
        <v>17790.5</v>
      </c>
      <c r="BG5723" s="35" t="n">
        <f aca="false">BA5723-BF5723</f>
        <v>-0.5</v>
      </c>
      <c r="BH5723" s="19" t="str">
        <f aca="false">IF(BG5723=0,"",IF(BG5723&lt;&gt;BA5723,"erreur de calcul",IF(BD5723&lt;&gt;0,"pas de prix",IF(M5723&lt;&gt; 0,"pas de quantité","pas de prix, ni de quantité"))))</f>
        <v>erreur de calcul</v>
      </c>
      <c r="BI5723" s="19"/>
    </row>
    <row r="5724" customFormat="false" ht="15" hidden="false" customHeight="false" outlineLevel="0" collapsed="false">
      <c r="A5724" s="0" t="n">
        <v>29</v>
      </c>
      <c r="B5724" s="8" t="s">
        <v>24</v>
      </c>
      <c r="C5724" s="9" t="s">
        <v>25</v>
      </c>
      <c r="D5724" s="9" t="s">
        <v>26</v>
      </c>
      <c r="E5724" s="10" t="n">
        <v>1789</v>
      </c>
      <c r="F5724" s="9" t="s">
        <v>27</v>
      </c>
      <c r="G5724" s="9" t="s">
        <v>27</v>
      </c>
      <c r="H5724" s="11" t="n">
        <v>21</v>
      </c>
      <c r="I5724" s="11" t="s">
        <v>182</v>
      </c>
      <c r="J5724" s="14" t="n">
        <v>24</v>
      </c>
      <c r="K5724" s="14"/>
      <c r="L5724" s="16"/>
      <c r="M5724" s="27" t="n">
        <f aca="false">J5724+(K5724/20)+(L5724/240)</f>
        <v>24</v>
      </c>
      <c r="N5724" s="17" t="s">
        <v>66</v>
      </c>
      <c r="O5724" s="11"/>
      <c r="P5724" s="28" t="n">
        <v>478</v>
      </c>
      <c r="Q5724" s="28" t="n">
        <v>11472</v>
      </c>
      <c r="R5724" s="28"/>
      <c r="S5724" s="28" t="n">
        <f aca="false">R5724*$M5724</f>
        <v>0</v>
      </c>
      <c r="T5724" s="28" t="n">
        <v>38</v>
      </c>
      <c r="U5724" s="28" t="n">
        <v>912</v>
      </c>
      <c r="V5724" s="28"/>
      <c r="W5724" s="28" t="n">
        <f aca="false">V5724*$M5724</f>
        <v>0</v>
      </c>
      <c r="X5724" s="28"/>
      <c r="Y5724" s="28" t="n">
        <f aca="false">X5724*$M5724</f>
        <v>0</v>
      </c>
      <c r="Z5724" s="28"/>
      <c r="AA5724" s="28" t="n">
        <f aca="false">Z5724*$M5724</f>
        <v>0</v>
      </c>
      <c r="AB5724" s="28"/>
      <c r="AC5724" s="28" t="n">
        <f aca="false">AB5724*$M5724</f>
        <v>0</v>
      </c>
      <c r="AD5724" s="28"/>
      <c r="AE5724" s="28" t="n">
        <f aca="false">AD5724*$M5724</f>
        <v>0</v>
      </c>
      <c r="AF5724" s="28"/>
      <c r="AG5724" s="28" t="n">
        <f aca="false">AF5724*$M5724</f>
        <v>0</v>
      </c>
      <c r="AH5724" s="28"/>
      <c r="AI5724" s="28" t="n">
        <f aca="false">AH5724*$M5724</f>
        <v>0</v>
      </c>
      <c r="AJ5724" s="28"/>
      <c r="AK5724" s="28" t="n">
        <f aca="false">AJ5724*$M5724</f>
        <v>0</v>
      </c>
      <c r="AL5724" s="28"/>
      <c r="AM5724" s="28" t="n">
        <f aca="false">AL5724*$M5724</f>
        <v>0</v>
      </c>
      <c r="AN5724" s="28"/>
      <c r="AO5724" s="28" t="n">
        <f aca="false">AN5724*$M5724</f>
        <v>0</v>
      </c>
      <c r="AP5724" s="28"/>
      <c r="AQ5724" s="28" t="n">
        <f aca="false">AP5724*$M5724</f>
        <v>0</v>
      </c>
      <c r="AR5724" s="28"/>
      <c r="AS5724" s="28" t="n">
        <f aca="false">AR5724*$M5724</f>
        <v>0</v>
      </c>
      <c r="AT5724" s="28"/>
      <c r="AU5724" s="28" t="n">
        <f aca="false">AT5724*$M5724</f>
        <v>0</v>
      </c>
      <c r="AV5724" s="28"/>
      <c r="AW5724" s="28" t="n">
        <f aca="false">AV5724*$M5724</f>
        <v>0</v>
      </c>
      <c r="AX5724" s="28"/>
      <c r="AY5724" s="28" t="n">
        <f aca="false">AX5724*$M5724</f>
        <v>0</v>
      </c>
      <c r="AZ5724" s="30" t="n">
        <v>516</v>
      </c>
      <c r="BA5724" s="11" t="n">
        <v>12384</v>
      </c>
      <c r="BB5724" s="31" t="n">
        <f aca="false">SUM(Q5724,S5724,U5724,W5724,Y5724,AA5724,AC5724,AE5724,AG5724,AI5724,AK5724,AM5724,AO5724,AQ5724,AS5724,AU5724,AW5724,AY5724)</f>
        <v>12384</v>
      </c>
      <c r="BC5724" s="28" t="n">
        <f aca="false">BA5724-BB5724</f>
        <v>0</v>
      </c>
      <c r="BD5724" s="32" t="n">
        <f aca="false">SUM(P5724,R5724,T5724,V5724,X5724,Z5724,AB5724,AD5724,AF5724,AH5724,AJ5724,AL5724,AN5724,AP5724,AR5724,AT5724,AV5724,AX5724)</f>
        <v>516</v>
      </c>
      <c r="BE5724" s="33" t="n">
        <f aca="false">AZ5724-BD5724</f>
        <v>0</v>
      </c>
      <c r="BF5724" s="34" t="n">
        <f aca="false">BD5724*M5724</f>
        <v>12384</v>
      </c>
      <c r="BG5724" s="35" t="n">
        <f aca="false">BA5724-BF5724</f>
        <v>0</v>
      </c>
      <c r="BH5724" s="19" t="str">
        <f aca="false">IF(BG5724=0,"",IF(BG5724&lt;&gt;BA5724,"erreur de calcul",IF(BD5724&lt;&gt;0,"pas de prix",IF(M5724&lt;&gt; 0,"pas de quantité","pas de prix, ni de quantité"))))</f>
        <v/>
      </c>
      <c r="BI5724" s="19"/>
    </row>
    <row r="5725" customFormat="false" ht="15" hidden="false" customHeight="false" outlineLevel="0" collapsed="false">
      <c r="A5725" s="0" t="n">
        <v>30</v>
      </c>
      <c r="B5725" s="8" t="s">
        <v>24</v>
      </c>
      <c r="C5725" s="9" t="s">
        <v>25</v>
      </c>
      <c r="D5725" s="9" t="s">
        <v>26</v>
      </c>
      <c r="E5725" s="10" t="n">
        <v>1789</v>
      </c>
      <c r="F5725" s="9" t="s">
        <v>27</v>
      </c>
      <c r="G5725" s="9" t="s">
        <v>27</v>
      </c>
      <c r="H5725" s="11" t="n">
        <v>21</v>
      </c>
      <c r="I5725" s="11" t="s">
        <v>183</v>
      </c>
      <c r="J5725" s="14" t="n">
        <v>240</v>
      </c>
      <c r="K5725" s="14"/>
      <c r="L5725" s="16"/>
      <c r="M5725" s="27" t="n">
        <f aca="false">J5725+(K5725/20)+(L5725/240)</f>
        <v>240</v>
      </c>
      <c r="N5725" s="17" t="s">
        <v>64</v>
      </c>
      <c r="O5725" s="11"/>
      <c r="P5725" s="28" t="n">
        <f aca="false">52196/100</f>
        <v>521.96</v>
      </c>
      <c r="Q5725" s="28" t="n">
        <v>125270</v>
      </c>
      <c r="R5725" s="28" t="n">
        <f aca="false">29767/100</f>
        <v>297.67</v>
      </c>
      <c r="S5725" s="28" t="n">
        <v>71441</v>
      </c>
      <c r="T5725" s="28"/>
      <c r="U5725" s="28" t="n">
        <f aca="false">T5725*$M5725</f>
        <v>0</v>
      </c>
      <c r="V5725" s="28"/>
      <c r="W5725" s="28" t="n">
        <f aca="false">V5725*$M5725</f>
        <v>0</v>
      </c>
      <c r="X5725" s="28"/>
      <c r="Y5725" s="28" t="n">
        <f aca="false">X5725*$M5725</f>
        <v>0</v>
      </c>
      <c r="Z5725" s="28"/>
      <c r="AA5725" s="28" t="n">
        <f aca="false">Z5725*$M5725</f>
        <v>0</v>
      </c>
      <c r="AB5725" s="28"/>
      <c r="AC5725" s="28" t="n">
        <f aca="false">AB5725*$M5725</f>
        <v>0</v>
      </c>
      <c r="AD5725" s="28"/>
      <c r="AE5725" s="28" t="n">
        <f aca="false">AD5725*$M5725</f>
        <v>0</v>
      </c>
      <c r="AF5725" s="28"/>
      <c r="AG5725" s="28" t="n">
        <f aca="false">AF5725*$M5725</f>
        <v>0</v>
      </c>
      <c r="AH5725" s="28"/>
      <c r="AI5725" s="28" t="n">
        <f aca="false">AH5725*$M5725</f>
        <v>0</v>
      </c>
      <c r="AJ5725" s="28"/>
      <c r="AK5725" s="28" t="n">
        <f aca="false">AJ5725*$M5725</f>
        <v>0</v>
      </c>
      <c r="AL5725" s="28"/>
      <c r="AM5725" s="28" t="n">
        <f aca="false">AL5725*$M5725</f>
        <v>0</v>
      </c>
      <c r="AN5725" s="28"/>
      <c r="AO5725" s="28" t="n">
        <f aca="false">AN5725*$M5725</f>
        <v>0</v>
      </c>
      <c r="AP5725" s="28"/>
      <c r="AQ5725" s="28" t="n">
        <f aca="false">AP5725*$M5725</f>
        <v>0</v>
      </c>
      <c r="AR5725" s="28"/>
      <c r="AS5725" s="28" t="n">
        <f aca="false">AR5725*$M5725</f>
        <v>0</v>
      </c>
      <c r="AT5725" s="28"/>
      <c r="AU5725" s="28" t="n">
        <f aca="false">AT5725*$M5725</f>
        <v>0</v>
      </c>
      <c r="AV5725" s="28"/>
      <c r="AW5725" s="28" t="n">
        <f aca="false">AV5725*$M5725</f>
        <v>0</v>
      </c>
      <c r="AX5725" s="28"/>
      <c r="AY5725" s="28" t="n">
        <f aca="false">AX5725*$M5725</f>
        <v>0</v>
      </c>
      <c r="AZ5725" s="30" t="n">
        <f aca="false">81963/100</f>
        <v>819.63</v>
      </c>
      <c r="BA5725" s="11" t="n">
        <v>196711</v>
      </c>
      <c r="BB5725" s="31" t="n">
        <f aca="false">SUM(Q5725,S5725,U5725,W5725,Y5725,AA5725,AC5725,AE5725,AG5725,AI5725,AK5725,AM5725,AO5725,AQ5725,AS5725,AU5725,AW5725,AY5725)</f>
        <v>196711</v>
      </c>
      <c r="BC5725" s="28" t="n">
        <f aca="false">BA5725-BB5725</f>
        <v>0</v>
      </c>
      <c r="BD5725" s="32" t="n">
        <f aca="false">SUM(P5725,R5725,T5725,V5725,X5725,Z5725,AB5725,AD5725,AF5725,AH5725,AJ5725,AL5725,AN5725,AP5725,AR5725,AT5725,AV5725,AX5725)</f>
        <v>819.63</v>
      </c>
      <c r="BE5725" s="33" t="n">
        <f aca="false">AZ5725-BD5725</f>
        <v>0</v>
      </c>
      <c r="BF5725" s="34" t="n">
        <f aca="false">BD5725*M5725</f>
        <v>196711.2</v>
      </c>
      <c r="BG5725" s="35" t="n">
        <f aca="false">BA5725-BF5725</f>
        <v>-0.200000000011642</v>
      </c>
      <c r="BH5725" s="19" t="str">
        <f aca="false">IF(BG5725=0,"",IF(BG5725&lt;&gt;BA5725,"erreur de calcul",IF(BD5725&lt;&gt;0,"pas de prix",IF(M5725&lt;&gt; 0,"pas de quantité","pas de prix, ni de quantité"))))</f>
        <v>erreur de calcul</v>
      </c>
      <c r="BI5725" s="19"/>
    </row>
    <row r="5726" customFormat="false" ht="15" hidden="false" customHeight="false" outlineLevel="0" collapsed="false">
      <c r="A5726" s="0" t="n">
        <v>31</v>
      </c>
      <c r="B5726" s="8" t="s">
        <v>24</v>
      </c>
      <c r="C5726" s="9" t="s">
        <v>25</v>
      </c>
      <c r="D5726" s="9" t="s">
        <v>26</v>
      </c>
      <c r="E5726" s="10" t="n">
        <v>1789</v>
      </c>
      <c r="F5726" s="9" t="s">
        <v>27</v>
      </c>
      <c r="G5726" s="9" t="s">
        <v>27</v>
      </c>
      <c r="H5726" s="11" t="n">
        <v>21</v>
      </c>
      <c r="I5726" s="11" t="s">
        <v>184</v>
      </c>
      <c r="J5726" s="14" t="n">
        <v>13</v>
      </c>
      <c r="K5726" s="14"/>
      <c r="L5726" s="16"/>
      <c r="M5726" s="27" t="n">
        <f aca="false">J5726+(K5726/20)+(L5726/240)</f>
        <v>13</v>
      </c>
      <c r="N5726" s="17" t="s">
        <v>66</v>
      </c>
      <c r="O5726" s="11"/>
      <c r="P5726" s="28"/>
      <c r="Q5726" s="28" t="n">
        <f aca="false">P5726*$M5726</f>
        <v>0</v>
      </c>
      <c r="R5726" s="28"/>
      <c r="S5726" s="28" t="n">
        <f aca="false">R5726*$M5726</f>
        <v>0</v>
      </c>
      <c r="T5726" s="28"/>
      <c r="U5726" s="28" t="n">
        <f aca="false">T5726*$M5726</f>
        <v>0</v>
      </c>
      <c r="V5726" s="28"/>
      <c r="W5726" s="28" t="n">
        <f aca="false">V5726*$M5726</f>
        <v>0</v>
      </c>
      <c r="X5726" s="28"/>
      <c r="Y5726" s="28" t="n">
        <f aca="false">X5726*$M5726</f>
        <v>0</v>
      </c>
      <c r="Z5726" s="28"/>
      <c r="AA5726" s="28" t="n">
        <f aca="false">Z5726*$M5726</f>
        <v>0</v>
      </c>
      <c r="AB5726" s="28"/>
      <c r="AC5726" s="28" t="n">
        <f aca="false">AB5726*$M5726</f>
        <v>0</v>
      </c>
      <c r="AD5726" s="28"/>
      <c r="AE5726" s="28" t="n">
        <f aca="false">AD5726*$M5726</f>
        <v>0</v>
      </c>
      <c r="AF5726" s="28"/>
      <c r="AG5726" s="28" t="n">
        <f aca="false">AF5726*$M5726</f>
        <v>0</v>
      </c>
      <c r="AH5726" s="28" t="n">
        <v>354</v>
      </c>
      <c r="AI5726" s="28" t="n">
        <v>4602</v>
      </c>
      <c r="AJ5726" s="28"/>
      <c r="AK5726" s="28" t="n">
        <f aca="false">AJ5726*$M5726</f>
        <v>0</v>
      </c>
      <c r="AL5726" s="28"/>
      <c r="AM5726" s="28" t="n">
        <f aca="false">AL5726*$M5726</f>
        <v>0</v>
      </c>
      <c r="AN5726" s="28"/>
      <c r="AO5726" s="28" t="n">
        <f aca="false">AN5726*$M5726</f>
        <v>0</v>
      </c>
      <c r="AP5726" s="28"/>
      <c r="AQ5726" s="28" t="n">
        <f aca="false">AP5726*$M5726</f>
        <v>0</v>
      </c>
      <c r="AR5726" s="28"/>
      <c r="AS5726" s="28" t="n">
        <f aca="false">AR5726*$M5726</f>
        <v>0</v>
      </c>
      <c r="AT5726" s="28"/>
      <c r="AU5726" s="28" t="n">
        <f aca="false">AT5726*$M5726</f>
        <v>0</v>
      </c>
      <c r="AV5726" s="28"/>
      <c r="AW5726" s="28" t="n">
        <f aca="false">AV5726*$M5726</f>
        <v>0</v>
      </c>
      <c r="AX5726" s="28"/>
      <c r="AY5726" s="28" t="n">
        <f aca="false">AX5726*$M5726</f>
        <v>0</v>
      </c>
      <c r="AZ5726" s="30" t="n">
        <v>354</v>
      </c>
      <c r="BA5726" s="11" t="n">
        <v>4602</v>
      </c>
      <c r="BB5726" s="31" t="n">
        <f aca="false">SUM(Q5726,S5726,U5726,W5726,Y5726,AA5726,AC5726,AE5726,AG5726,AI5726,AK5726,AM5726,AO5726,AQ5726,AS5726,AU5726,AW5726,AY5726)</f>
        <v>4602</v>
      </c>
      <c r="BC5726" s="28" t="n">
        <f aca="false">BA5726-BB5726</f>
        <v>0</v>
      </c>
      <c r="BD5726" s="32" t="n">
        <f aca="false">SUM(P5726,R5726,T5726,V5726,X5726,Z5726,AB5726,AD5726,AF5726,AH5726,AJ5726,AL5726,AN5726,AP5726,AR5726,AT5726,AV5726,AX5726)</f>
        <v>354</v>
      </c>
      <c r="BE5726" s="33" t="n">
        <f aca="false">AZ5726-BD5726</f>
        <v>0</v>
      </c>
      <c r="BF5726" s="34" t="n">
        <f aca="false">BD5726*M5726</f>
        <v>4602</v>
      </c>
      <c r="BG5726" s="35" t="n">
        <f aca="false">BA5726-BF5726</f>
        <v>0</v>
      </c>
      <c r="BH5726" s="19" t="str">
        <f aca="false">IF(BG5726=0,"",IF(BG5726&lt;&gt;BA5726,"erreur de calcul",IF(BD5726&lt;&gt;0,"pas de prix",IF(M5726&lt;&gt; 0,"pas de quantité","pas de prix, ni de quantité"))))</f>
        <v/>
      </c>
      <c r="BI5726" s="19"/>
    </row>
    <row r="5727" customFormat="false" ht="15" hidden="false" customHeight="false" outlineLevel="0" collapsed="false">
      <c r="A5727" s="0" t="n">
        <v>32</v>
      </c>
      <c r="B5727" s="8" t="s">
        <v>24</v>
      </c>
      <c r="C5727" s="9" t="s">
        <v>25</v>
      </c>
      <c r="D5727" s="9" t="s">
        <v>26</v>
      </c>
      <c r="E5727" s="10" t="n">
        <v>1789</v>
      </c>
      <c r="F5727" s="9" t="s">
        <v>27</v>
      </c>
      <c r="G5727" s="9" t="s">
        <v>27</v>
      </c>
      <c r="H5727" s="11" t="n">
        <v>21</v>
      </c>
      <c r="I5727" s="11" t="s">
        <v>185</v>
      </c>
      <c r="J5727" s="14" t="n">
        <v>245</v>
      </c>
      <c r="K5727" s="14"/>
      <c r="L5727" s="16"/>
      <c r="M5727" s="27" t="n">
        <f aca="false">J5727+(K5727/20)+(L5727/240)</f>
        <v>245</v>
      </c>
      <c r="N5727" s="17" t="s">
        <v>64</v>
      </c>
      <c r="O5727" s="11"/>
      <c r="P5727" s="28"/>
      <c r="Q5727" s="28" t="n">
        <f aca="false">P5727*$M5727</f>
        <v>0</v>
      </c>
      <c r="R5727" s="28"/>
      <c r="S5727" s="28" t="n">
        <f aca="false">R5727*$M5727</f>
        <v>0</v>
      </c>
      <c r="T5727" s="28"/>
      <c r="U5727" s="28" t="n">
        <f aca="false">T5727*$M5727</f>
        <v>0</v>
      </c>
      <c r="V5727" s="28" t="n">
        <f aca="false">720/100</f>
        <v>7.2</v>
      </c>
      <c r="W5727" s="28" t="n">
        <v>1764</v>
      </c>
      <c r="X5727" s="28" t="n">
        <f aca="false">40366/100</f>
        <v>403.66</v>
      </c>
      <c r="Y5727" s="28" t="n">
        <v>98897</v>
      </c>
      <c r="Z5727" s="28"/>
      <c r="AA5727" s="28" t="n">
        <f aca="false">Z5727*$M5727</f>
        <v>0</v>
      </c>
      <c r="AB5727" s="28"/>
      <c r="AC5727" s="28" t="n">
        <f aca="false">AB5727*$M5727</f>
        <v>0</v>
      </c>
      <c r="AD5727" s="28"/>
      <c r="AE5727" s="28" t="n">
        <f aca="false">AD5727*$M5727</f>
        <v>0</v>
      </c>
      <c r="AF5727" s="28"/>
      <c r="AG5727" s="28" t="n">
        <f aca="false">AF5727*$M5727</f>
        <v>0</v>
      </c>
      <c r="AH5727" s="28" t="n">
        <f aca="false">83243/100</f>
        <v>832.43</v>
      </c>
      <c r="AI5727" s="28" t="n">
        <v>203945</v>
      </c>
      <c r="AJ5727" s="28"/>
      <c r="AK5727" s="28" t="n">
        <f aca="false">AJ5727*$M5727</f>
        <v>0</v>
      </c>
      <c r="AL5727" s="28"/>
      <c r="AM5727" s="28" t="n">
        <f aca="false">AL5727*$M5727</f>
        <v>0</v>
      </c>
      <c r="AN5727" s="28"/>
      <c r="AO5727" s="28" t="n">
        <f aca="false">AN5727*$M5727</f>
        <v>0</v>
      </c>
      <c r="AP5727" s="28"/>
      <c r="AQ5727" s="28" t="n">
        <f aca="false">AP5727*$M5727</f>
        <v>0</v>
      </c>
      <c r="AR5727" s="28"/>
      <c r="AS5727" s="28" t="n">
        <f aca="false">AR5727*$M5727</f>
        <v>0</v>
      </c>
      <c r="AT5727" s="28"/>
      <c r="AU5727" s="28" t="n">
        <f aca="false">AT5727*$M5727</f>
        <v>0</v>
      </c>
      <c r="AV5727" s="28"/>
      <c r="AW5727" s="28" t="n">
        <f aca="false">AV5727*$M5727</f>
        <v>0</v>
      </c>
      <c r="AX5727" s="28"/>
      <c r="AY5727" s="28" t="n">
        <f aca="false">AX5727*$M5727</f>
        <v>0</v>
      </c>
      <c r="AZ5727" s="30" t="n">
        <f aca="false">124329/100</f>
        <v>1243.29</v>
      </c>
      <c r="BA5727" s="11" t="n">
        <v>304606</v>
      </c>
      <c r="BB5727" s="31" t="n">
        <f aca="false">SUM(Q5727,S5727,U5727,W5727,Y5727,AA5727,AC5727,AE5727,AG5727,AI5727,AK5727,AM5727,AO5727,AQ5727,AS5727,AU5727,AW5727,AY5727)</f>
        <v>304606</v>
      </c>
      <c r="BC5727" s="28" t="n">
        <f aca="false">BA5727-BB5727</f>
        <v>0</v>
      </c>
      <c r="BD5727" s="32" t="n">
        <f aca="false">SUM(P5727,R5727,T5727,V5727,X5727,Z5727,AB5727,AD5727,AF5727,AH5727,AJ5727,AL5727,AN5727,AP5727,AR5727,AT5727,AV5727,AX5727)</f>
        <v>1243.29</v>
      </c>
      <c r="BE5727" s="33" t="n">
        <f aca="false">AZ5727-BD5727</f>
        <v>0</v>
      </c>
      <c r="BF5727" s="34" t="n">
        <f aca="false">BD5727*M5727</f>
        <v>304606.05</v>
      </c>
      <c r="BG5727" s="35" t="n">
        <f aca="false">BA5727-BF5727</f>
        <v>-0.0499999999883585</v>
      </c>
      <c r="BH5727" s="19" t="str">
        <f aca="false">IF(BG5727=0,"",IF(BG5727&lt;&gt;BA5727,"erreur de calcul",IF(BD5727&lt;&gt;0,"pas de prix",IF(M5727&lt;&gt; 0,"pas de quantité","pas de prix, ni de quantité"))))</f>
        <v>erreur de calcul</v>
      </c>
      <c r="BI5727" s="19"/>
    </row>
    <row r="5728" customFormat="false" ht="15" hidden="false" customHeight="false" outlineLevel="0" collapsed="false">
      <c r="A5728" s="0" t="n">
        <v>33</v>
      </c>
      <c r="B5728" s="8" t="s">
        <v>24</v>
      </c>
      <c r="C5728" s="9" t="s">
        <v>25</v>
      </c>
      <c r="D5728" s="9" t="s">
        <v>26</v>
      </c>
      <c r="E5728" s="10" t="n">
        <v>1789</v>
      </c>
      <c r="F5728" s="9" t="s">
        <v>27</v>
      </c>
      <c r="G5728" s="9" t="s">
        <v>27</v>
      </c>
      <c r="H5728" s="11" t="n">
        <v>21</v>
      </c>
      <c r="I5728" s="11" t="s">
        <v>186</v>
      </c>
      <c r="J5728" s="14" t="n">
        <v>240</v>
      </c>
      <c r="K5728" s="14"/>
      <c r="L5728" s="16"/>
      <c r="M5728" s="27" t="n">
        <f aca="false">J5728+(K5728/20)+(L5728/240)</f>
        <v>240</v>
      </c>
      <c r="N5728" s="17" t="s">
        <v>64</v>
      </c>
      <c r="O5728" s="11"/>
      <c r="P5728" s="28"/>
      <c r="Q5728" s="28" t="n">
        <f aca="false">P5728*$M5728</f>
        <v>0</v>
      </c>
      <c r="R5728" s="28"/>
      <c r="S5728" s="28" t="n">
        <f aca="false">R5728*$M5728</f>
        <v>0</v>
      </c>
      <c r="T5728" s="28"/>
      <c r="U5728" s="28" t="n">
        <f aca="false">T5728*$M5728</f>
        <v>0</v>
      </c>
      <c r="V5728" s="28"/>
      <c r="W5728" s="28" t="n">
        <f aca="false">V5728*$M5728</f>
        <v>0</v>
      </c>
      <c r="X5728" s="28"/>
      <c r="Y5728" s="28" t="n">
        <f aca="false">X5728*$M5728</f>
        <v>0</v>
      </c>
      <c r="Z5728" s="28"/>
      <c r="AA5728" s="28" t="n">
        <f aca="false">Z5728*$M5728</f>
        <v>0</v>
      </c>
      <c r="AB5728" s="28"/>
      <c r="AC5728" s="28" t="n">
        <f aca="false">AB5728*$M5728</f>
        <v>0</v>
      </c>
      <c r="AD5728" s="28"/>
      <c r="AE5728" s="28" t="n">
        <f aca="false">AD5728*$M5728</f>
        <v>0</v>
      </c>
      <c r="AF5728" s="28"/>
      <c r="AG5728" s="28" t="n">
        <f aca="false">AF5728*$M5728</f>
        <v>0</v>
      </c>
      <c r="AH5728" s="28" t="n">
        <f aca="false">803/100</f>
        <v>8.03</v>
      </c>
      <c r="AI5728" s="28" t="n">
        <v>1927</v>
      </c>
      <c r="AJ5728" s="28"/>
      <c r="AK5728" s="28" t="n">
        <f aca="false">AJ5728*$M5728</f>
        <v>0</v>
      </c>
      <c r="AL5728" s="28"/>
      <c r="AM5728" s="28" t="n">
        <f aca="false">AL5728*$M5728</f>
        <v>0</v>
      </c>
      <c r="AN5728" s="28"/>
      <c r="AO5728" s="28" t="n">
        <f aca="false">AN5728*$M5728</f>
        <v>0</v>
      </c>
      <c r="AP5728" s="28"/>
      <c r="AQ5728" s="28" t="n">
        <f aca="false">AP5728*$M5728</f>
        <v>0</v>
      </c>
      <c r="AR5728" s="28"/>
      <c r="AS5728" s="28" t="n">
        <f aca="false">AR5728*$M5728</f>
        <v>0</v>
      </c>
      <c r="AT5728" s="28"/>
      <c r="AU5728" s="28" t="n">
        <f aca="false">AT5728*$M5728</f>
        <v>0</v>
      </c>
      <c r="AV5728" s="28"/>
      <c r="AW5728" s="28" t="n">
        <f aca="false">AV5728*$M5728</f>
        <v>0</v>
      </c>
      <c r="AX5728" s="28"/>
      <c r="AY5728" s="28" t="n">
        <f aca="false">AX5728*$M5728</f>
        <v>0</v>
      </c>
      <c r="AZ5728" s="30" t="n">
        <f aca="false">803/100</f>
        <v>8.03</v>
      </c>
      <c r="BA5728" s="11" t="n">
        <v>1927</v>
      </c>
      <c r="BB5728" s="31" t="n">
        <f aca="false">SUM(Q5728,S5728,U5728,W5728,Y5728,AA5728,AC5728,AE5728,AG5728,AI5728,AK5728,AM5728,AO5728,AQ5728,AS5728,AU5728,AW5728,AY5728)</f>
        <v>1927</v>
      </c>
      <c r="BC5728" s="28" t="n">
        <f aca="false">BA5728-BB5728</f>
        <v>0</v>
      </c>
      <c r="BD5728" s="32" t="n">
        <f aca="false">SUM(P5728,R5728,T5728,V5728,X5728,Z5728,AB5728,AD5728,AF5728,AH5728,AJ5728,AL5728,AN5728,AP5728,AR5728,AT5728,AV5728,AX5728)</f>
        <v>8.03</v>
      </c>
      <c r="BE5728" s="33" t="n">
        <f aca="false">AZ5728-BD5728</f>
        <v>0</v>
      </c>
      <c r="BF5728" s="34" t="n">
        <f aca="false">BD5728*M5728</f>
        <v>1927.2</v>
      </c>
      <c r="BG5728" s="35" t="n">
        <f aca="false">BA5728-BF5728</f>
        <v>-0.199999999999818</v>
      </c>
      <c r="BH5728" s="19" t="str">
        <f aca="false">IF(BG5728=0,"",IF(BG5728&lt;&gt;BA5728,"erreur de calcul",IF(BD5728&lt;&gt;0,"pas de prix",IF(M5728&lt;&gt; 0,"pas de quantité","pas de prix, ni de quantité"))))</f>
        <v>erreur de calcul</v>
      </c>
      <c r="BI5728" s="19"/>
    </row>
    <row r="5729" customFormat="false" ht="15" hidden="false" customHeight="false" outlineLevel="0" collapsed="false">
      <c r="A5729" s="0" t="n">
        <v>34</v>
      </c>
      <c r="B5729" s="8" t="s">
        <v>24</v>
      </c>
      <c r="C5729" s="9" t="s">
        <v>25</v>
      </c>
      <c r="D5729" s="9" t="s">
        <v>26</v>
      </c>
      <c r="E5729" s="10" t="n">
        <v>1789</v>
      </c>
      <c r="F5729" s="9" t="s">
        <v>27</v>
      </c>
      <c r="G5729" s="9" t="s">
        <v>27</v>
      </c>
      <c r="H5729" s="11" t="n">
        <v>21</v>
      </c>
      <c r="I5729" s="11" t="s">
        <v>187</v>
      </c>
      <c r="J5729" s="14" t="n">
        <v>45</v>
      </c>
      <c r="K5729" s="14"/>
      <c r="L5729" s="16"/>
      <c r="M5729" s="27" t="n">
        <f aca="false">J5729+(K5729/20)+(L5729/240)</f>
        <v>45</v>
      </c>
      <c r="N5729" s="17" t="s">
        <v>64</v>
      </c>
      <c r="O5729" s="11"/>
      <c r="P5729" s="28" t="n">
        <f aca="false">8827/100</f>
        <v>88.27</v>
      </c>
      <c r="Q5729" s="28" t="n">
        <v>3972</v>
      </c>
      <c r="R5729" s="28"/>
      <c r="S5729" s="28" t="n">
        <f aca="false">R5729*$M5729</f>
        <v>0</v>
      </c>
      <c r="T5729" s="28"/>
      <c r="U5729" s="28" t="n">
        <f aca="false">T5729*$M5729</f>
        <v>0</v>
      </c>
      <c r="V5729" s="28" t="n">
        <f aca="false">8951/100</f>
        <v>89.51</v>
      </c>
      <c r="W5729" s="28" t="n">
        <v>4028</v>
      </c>
      <c r="X5729" s="28" t="n">
        <f aca="false">49106/100</f>
        <v>491.06</v>
      </c>
      <c r="Y5729" s="28" t="n">
        <v>22098</v>
      </c>
      <c r="Z5729" s="28"/>
      <c r="AA5729" s="28" t="n">
        <f aca="false">Z5729*$M5729</f>
        <v>0</v>
      </c>
      <c r="AB5729" s="28" t="n">
        <f aca="false">313412/100</f>
        <v>3134.12</v>
      </c>
      <c r="AC5729" s="28" t="n">
        <v>141035</v>
      </c>
      <c r="AD5729" s="28"/>
      <c r="AE5729" s="28" t="n">
        <f aca="false">AD5729*$M5729</f>
        <v>0</v>
      </c>
      <c r="AF5729" s="28"/>
      <c r="AG5729" s="28" t="n">
        <f aca="false">AF5729*$M5729</f>
        <v>0</v>
      </c>
      <c r="AH5729" s="28"/>
      <c r="AI5729" s="28" t="n">
        <f aca="false">AH5729*$M5729</f>
        <v>0</v>
      </c>
      <c r="AJ5729" s="28"/>
      <c r="AK5729" s="28" t="n">
        <f aca="false">AJ5729*$M5729</f>
        <v>0</v>
      </c>
      <c r="AL5729" s="28"/>
      <c r="AM5729" s="28" t="n">
        <f aca="false">AL5729*$M5729</f>
        <v>0</v>
      </c>
      <c r="AN5729" s="28"/>
      <c r="AO5729" s="28" t="n">
        <f aca="false">AN5729*$M5729</f>
        <v>0</v>
      </c>
      <c r="AP5729" s="28"/>
      <c r="AQ5729" s="28" t="n">
        <f aca="false">AP5729*$M5729</f>
        <v>0</v>
      </c>
      <c r="AR5729" s="28"/>
      <c r="AS5729" s="28" t="n">
        <f aca="false">AR5729*$M5729</f>
        <v>0</v>
      </c>
      <c r="AT5729" s="28"/>
      <c r="AU5729" s="28" t="n">
        <f aca="false">AT5729*$M5729</f>
        <v>0</v>
      </c>
      <c r="AV5729" s="28"/>
      <c r="AW5729" s="28" t="n">
        <f aca="false">AV5729*$M5729</f>
        <v>0</v>
      </c>
      <c r="AX5729" s="28"/>
      <c r="AY5729" s="28" t="n">
        <f aca="false">AX5729*$M5729</f>
        <v>0</v>
      </c>
      <c r="AZ5729" s="30" t="n">
        <f aca="false">380296/100</f>
        <v>3802.96</v>
      </c>
      <c r="BA5729" s="11" t="n">
        <v>171133</v>
      </c>
      <c r="BB5729" s="31" t="n">
        <f aca="false">SUM(Q5729,S5729,U5729,W5729,Y5729,AA5729,AC5729,AE5729,AG5729,AI5729,AK5729,AM5729,AO5729,AQ5729,AS5729,AU5729,AW5729,AY5729)</f>
        <v>171133</v>
      </c>
      <c r="BC5729" s="28" t="n">
        <f aca="false">BA5729-BB5729</f>
        <v>0</v>
      </c>
      <c r="BD5729" s="32" t="n">
        <f aca="false">SUM(P5729,R5729,T5729,V5729,X5729,Z5729,AB5729,AD5729,AF5729,AH5729,AJ5729,AL5729,AN5729,AP5729,AR5729,AT5729,AV5729,AX5729)</f>
        <v>3802.96</v>
      </c>
      <c r="BE5729" s="33" t="n">
        <f aca="false">AZ5729-BD5729</f>
        <v>0</v>
      </c>
      <c r="BF5729" s="34" t="n">
        <f aca="false">BD5729*M5729</f>
        <v>171133.2</v>
      </c>
      <c r="BG5729" s="35" t="n">
        <f aca="false">BA5729-BF5729</f>
        <v>-0.200000000011642</v>
      </c>
      <c r="BH5729" s="19" t="str">
        <f aca="false">IF(BG5729=0,"",IF(BG5729&lt;&gt;BA5729,"erreur de calcul",IF(BD5729&lt;&gt;0,"pas de prix",IF(M5729&lt;&gt; 0,"pas de quantité","pas de prix, ni de quantité"))))</f>
        <v>erreur de calcul</v>
      </c>
      <c r="BI5729" s="19"/>
    </row>
    <row r="5730" customFormat="false" ht="15" hidden="false" customHeight="false" outlineLevel="0" collapsed="false">
      <c r="A5730" s="0" t="n">
        <v>35</v>
      </c>
      <c r="B5730" s="8" t="s">
        <v>24</v>
      </c>
      <c r="C5730" s="9" t="s">
        <v>25</v>
      </c>
      <c r="D5730" s="9" t="s">
        <v>26</v>
      </c>
      <c r="E5730" s="10" t="n">
        <v>1789</v>
      </c>
      <c r="F5730" s="9" t="s">
        <v>27</v>
      </c>
      <c r="G5730" s="9" t="s">
        <v>27</v>
      </c>
      <c r="H5730" s="11" t="n">
        <v>21</v>
      </c>
      <c r="I5730" s="11" t="s">
        <v>188</v>
      </c>
      <c r="J5730" s="14" t="n">
        <v>60</v>
      </c>
      <c r="K5730" s="14"/>
      <c r="L5730" s="16"/>
      <c r="M5730" s="27" t="n">
        <f aca="false">J5730+(K5730/20)+(L5730/240)</f>
        <v>60</v>
      </c>
      <c r="N5730" s="17" t="s">
        <v>64</v>
      </c>
      <c r="O5730" s="11"/>
      <c r="P5730" s="28"/>
      <c r="Q5730" s="28" t="n">
        <f aca="false">P5730*$M5730</f>
        <v>0</v>
      </c>
      <c r="R5730" s="28"/>
      <c r="S5730" s="28" t="n">
        <f aca="false">R5730*$M5730</f>
        <v>0</v>
      </c>
      <c r="T5730" s="28"/>
      <c r="U5730" s="28" t="n">
        <f aca="false">T5730*$M5730</f>
        <v>0</v>
      </c>
      <c r="V5730" s="28"/>
      <c r="W5730" s="28" t="n">
        <f aca="false">V5730*$M5730</f>
        <v>0</v>
      </c>
      <c r="X5730" s="28"/>
      <c r="Y5730" s="28" t="n">
        <f aca="false">X5730*$M5730</f>
        <v>0</v>
      </c>
      <c r="Z5730" s="28"/>
      <c r="AA5730" s="28" t="n">
        <f aca="false">Z5730*$M5730</f>
        <v>0</v>
      </c>
      <c r="AB5730" s="28"/>
      <c r="AC5730" s="28" t="n">
        <f aca="false">AB5730*$M5730</f>
        <v>0</v>
      </c>
      <c r="AD5730" s="28"/>
      <c r="AE5730" s="28" t="n">
        <f aca="false">AD5730*$M5730</f>
        <v>0</v>
      </c>
      <c r="AF5730" s="28"/>
      <c r="AG5730" s="28" t="n">
        <f aca="false">AF5730*$M5730</f>
        <v>0</v>
      </c>
      <c r="AH5730" s="28" t="n">
        <f aca="false">6391/100</f>
        <v>63.91</v>
      </c>
      <c r="AI5730" s="28" t="n">
        <v>3835</v>
      </c>
      <c r="AJ5730" s="28"/>
      <c r="AK5730" s="28" t="n">
        <f aca="false">AJ5730*$M5730</f>
        <v>0</v>
      </c>
      <c r="AL5730" s="28"/>
      <c r="AM5730" s="28" t="n">
        <f aca="false">AL5730*$M5730</f>
        <v>0</v>
      </c>
      <c r="AN5730" s="28"/>
      <c r="AO5730" s="28" t="n">
        <f aca="false">AN5730*$M5730</f>
        <v>0</v>
      </c>
      <c r="AP5730" s="28"/>
      <c r="AQ5730" s="28" t="n">
        <f aca="false">AP5730*$M5730</f>
        <v>0</v>
      </c>
      <c r="AR5730" s="28"/>
      <c r="AS5730" s="28" t="n">
        <f aca="false">AR5730*$M5730</f>
        <v>0</v>
      </c>
      <c r="AT5730" s="28"/>
      <c r="AU5730" s="28" t="n">
        <f aca="false">AT5730*$M5730</f>
        <v>0</v>
      </c>
      <c r="AV5730" s="28"/>
      <c r="AW5730" s="28" t="n">
        <f aca="false">AV5730*$M5730</f>
        <v>0</v>
      </c>
      <c r="AX5730" s="28"/>
      <c r="AY5730" s="28" t="n">
        <f aca="false">AX5730*$M5730</f>
        <v>0</v>
      </c>
      <c r="AZ5730" s="30" t="n">
        <f aca="false">6391/100</f>
        <v>63.91</v>
      </c>
      <c r="BA5730" s="11" t="n">
        <v>3835</v>
      </c>
      <c r="BB5730" s="31" t="n">
        <f aca="false">SUM(Q5730,S5730,U5730,W5730,Y5730,AA5730,AC5730,AE5730,AG5730,AI5730,AK5730,AM5730,AO5730,AQ5730,AS5730,AU5730,AW5730,AY5730)</f>
        <v>3835</v>
      </c>
      <c r="BC5730" s="28" t="n">
        <f aca="false">BA5730-BB5730</f>
        <v>0</v>
      </c>
      <c r="BD5730" s="32" t="n">
        <f aca="false">SUM(P5730,R5730,T5730,V5730,X5730,Z5730,AB5730,AD5730,AF5730,AH5730,AJ5730,AL5730,AN5730,AP5730,AR5730,AT5730,AV5730,AX5730)</f>
        <v>63.91</v>
      </c>
      <c r="BE5730" s="33" t="n">
        <f aca="false">AZ5730-BD5730</f>
        <v>0</v>
      </c>
      <c r="BF5730" s="34" t="n">
        <f aca="false">BD5730*M5730</f>
        <v>3834.6</v>
      </c>
      <c r="BG5730" s="35" t="n">
        <f aca="false">BA5730-BF5730</f>
        <v>0.400000000000091</v>
      </c>
      <c r="BH5730" s="19" t="str">
        <f aca="false">IF(BG5730=0,"",IF(BG5730&lt;&gt;BA5730,"erreur de calcul",IF(BD5730&lt;&gt;0,"pas de prix",IF(M5730&lt;&gt; 0,"pas de quantité","pas de prix, ni de quantité"))))</f>
        <v>erreur de calcul</v>
      </c>
      <c r="BI5730" s="19"/>
    </row>
    <row r="5731" customFormat="false" ht="15" hidden="false" customHeight="false" outlineLevel="0" collapsed="false">
      <c r="A5731" s="0" t="n">
        <v>36</v>
      </c>
      <c r="B5731" s="8" t="s">
        <v>24</v>
      </c>
      <c r="C5731" s="9" t="s">
        <v>25</v>
      </c>
      <c r="D5731" s="9" t="s">
        <v>26</v>
      </c>
      <c r="E5731" s="10" t="n">
        <v>1789</v>
      </c>
      <c r="F5731" s="9" t="s">
        <v>27</v>
      </c>
      <c r="G5731" s="9" t="s">
        <v>27</v>
      </c>
      <c r="H5731" s="11" t="n">
        <v>21</v>
      </c>
      <c r="I5731" s="11" t="s">
        <v>189</v>
      </c>
      <c r="J5731" s="14" t="n">
        <v>30</v>
      </c>
      <c r="K5731" s="14"/>
      <c r="L5731" s="16"/>
      <c r="M5731" s="27" t="n">
        <f aca="false">J5731+(K5731/20)+(L5731/240)</f>
        <v>30</v>
      </c>
      <c r="N5731" s="17" t="s">
        <v>66</v>
      </c>
      <c r="O5731" s="11"/>
      <c r="P5731" s="28"/>
      <c r="Q5731" s="28" t="n">
        <f aca="false">P5731*$M5731</f>
        <v>0</v>
      </c>
      <c r="R5731" s="28"/>
      <c r="S5731" s="28" t="n">
        <f aca="false">R5731*$M5731</f>
        <v>0</v>
      </c>
      <c r="T5731" s="28"/>
      <c r="U5731" s="28" t="n">
        <f aca="false">T5731*$M5731</f>
        <v>0</v>
      </c>
      <c r="V5731" s="28" t="n">
        <v>146</v>
      </c>
      <c r="W5731" s="28" t="n">
        <v>4380</v>
      </c>
      <c r="X5731" s="28"/>
      <c r="Y5731" s="28" t="n">
        <f aca="false">X5731*$M5731</f>
        <v>0</v>
      </c>
      <c r="Z5731" s="28"/>
      <c r="AA5731" s="28" t="n">
        <f aca="false">Z5731*$M5731</f>
        <v>0</v>
      </c>
      <c r="AB5731" s="28"/>
      <c r="AC5731" s="28" t="n">
        <f aca="false">AB5731*$M5731</f>
        <v>0</v>
      </c>
      <c r="AD5731" s="28"/>
      <c r="AE5731" s="28" t="n">
        <f aca="false">AD5731*$M5731</f>
        <v>0</v>
      </c>
      <c r="AF5731" s="28"/>
      <c r="AG5731" s="28" t="n">
        <f aca="false">AF5731*$M5731</f>
        <v>0</v>
      </c>
      <c r="AH5731" s="28"/>
      <c r="AI5731" s="28" t="n">
        <f aca="false">AH5731*$M5731</f>
        <v>0</v>
      </c>
      <c r="AJ5731" s="28"/>
      <c r="AK5731" s="28" t="n">
        <f aca="false">AJ5731*$M5731</f>
        <v>0</v>
      </c>
      <c r="AL5731" s="28"/>
      <c r="AM5731" s="28" t="n">
        <f aca="false">AL5731*$M5731</f>
        <v>0</v>
      </c>
      <c r="AN5731" s="28"/>
      <c r="AO5731" s="28" t="n">
        <f aca="false">AN5731*$M5731</f>
        <v>0</v>
      </c>
      <c r="AP5731" s="28"/>
      <c r="AQ5731" s="28" t="n">
        <f aca="false">AP5731*$M5731</f>
        <v>0</v>
      </c>
      <c r="AR5731" s="28"/>
      <c r="AS5731" s="28" t="n">
        <f aca="false">AR5731*$M5731</f>
        <v>0</v>
      </c>
      <c r="AT5731" s="28"/>
      <c r="AU5731" s="28" t="n">
        <f aca="false">AT5731*$M5731</f>
        <v>0</v>
      </c>
      <c r="AV5731" s="28"/>
      <c r="AW5731" s="28" t="n">
        <f aca="false">AV5731*$M5731</f>
        <v>0</v>
      </c>
      <c r="AX5731" s="28"/>
      <c r="AY5731" s="28" t="n">
        <f aca="false">AX5731*$M5731</f>
        <v>0</v>
      </c>
      <c r="AZ5731" s="30" t="n">
        <v>146</v>
      </c>
      <c r="BA5731" s="11" t="n">
        <v>4380</v>
      </c>
      <c r="BB5731" s="31" t="n">
        <f aca="false">SUM(Q5731,S5731,U5731,W5731,Y5731,AA5731,AC5731,AE5731,AG5731,AI5731,AK5731,AM5731,AO5731,AQ5731,AS5731,AU5731,AW5731,AY5731)</f>
        <v>4380</v>
      </c>
      <c r="BC5731" s="28" t="n">
        <f aca="false">BA5731-BB5731</f>
        <v>0</v>
      </c>
      <c r="BD5731" s="32" t="n">
        <f aca="false">SUM(P5731,R5731,T5731,V5731,X5731,Z5731,AB5731,AD5731,AF5731,AH5731,AJ5731,AL5731,AN5731,AP5731,AR5731,AT5731,AV5731,AX5731)</f>
        <v>146</v>
      </c>
      <c r="BE5731" s="33" t="n">
        <f aca="false">AZ5731-BD5731</f>
        <v>0</v>
      </c>
      <c r="BF5731" s="34" t="n">
        <f aca="false">BD5731*M5731</f>
        <v>4380</v>
      </c>
      <c r="BG5731" s="35" t="n">
        <f aca="false">BA5731-BF5731</f>
        <v>0</v>
      </c>
      <c r="BH5731" s="19" t="str">
        <f aca="false">IF(BG5731=0,"",IF(BG5731&lt;&gt;BA5731,"erreur de calcul",IF(BD5731&lt;&gt;0,"pas de prix",IF(M5731&lt;&gt; 0,"pas de quantité","pas de prix, ni de quantité"))))</f>
        <v/>
      </c>
      <c r="BI5731" s="19"/>
    </row>
    <row r="5732" customFormat="false" ht="15" hidden="false" customHeight="false" outlineLevel="0" collapsed="false">
      <c r="A5732" s="0" t="n">
        <v>37</v>
      </c>
      <c r="B5732" s="8" t="s">
        <v>24</v>
      </c>
      <c r="C5732" s="9" t="s">
        <v>25</v>
      </c>
      <c r="D5732" s="9" t="s">
        <v>26</v>
      </c>
      <c r="E5732" s="10" t="n">
        <v>1789</v>
      </c>
      <c r="F5732" s="9" t="s">
        <v>27</v>
      </c>
      <c r="G5732" s="9" t="s">
        <v>27</v>
      </c>
      <c r="H5732" s="11" t="n">
        <v>21</v>
      </c>
      <c r="I5732" s="11" t="s">
        <v>190</v>
      </c>
      <c r="J5732" s="14" t="n">
        <v>3</v>
      </c>
      <c r="K5732" s="14"/>
      <c r="L5732" s="16"/>
      <c r="M5732" s="27" t="n">
        <f aca="false">J5732+(K5732/20)+(L5732/240)</f>
        <v>3</v>
      </c>
      <c r="N5732" s="17" t="s">
        <v>66</v>
      </c>
      <c r="O5732" s="11"/>
      <c r="P5732" s="28"/>
      <c r="Q5732" s="28" t="n">
        <f aca="false">P5732*$M5732</f>
        <v>0</v>
      </c>
      <c r="R5732" s="28"/>
      <c r="S5732" s="28" t="n">
        <f aca="false">R5732*$M5732</f>
        <v>0</v>
      </c>
      <c r="T5732" s="28"/>
      <c r="U5732" s="28" t="n">
        <f aca="false">T5732*$M5732</f>
        <v>0</v>
      </c>
      <c r="V5732" s="28" t="n">
        <v>284</v>
      </c>
      <c r="W5732" s="28" t="n">
        <v>852</v>
      </c>
      <c r="X5732" s="28" t="n">
        <v>8028</v>
      </c>
      <c r="Y5732" s="28" t="n">
        <v>24084</v>
      </c>
      <c r="Z5732" s="28"/>
      <c r="AA5732" s="28" t="n">
        <f aca="false">Z5732*$M5732</f>
        <v>0</v>
      </c>
      <c r="AB5732" s="28"/>
      <c r="AC5732" s="28" t="n">
        <f aca="false">AB5732*$M5732</f>
        <v>0</v>
      </c>
      <c r="AD5732" s="28"/>
      <c r="AE5732" s="28" t="n">
        <f aca="false">AD5732*$M5732</f>
        <v>0</v>
      </c>
      <c r="AF5732" s="28"/>
      <c r="AG5732" s="28" t="n">
        <f aca="false">AF5732*$M5732</f>
        <v>0</v>
      </c>
      <c r="AH5732" s="28"/>
      <c r="AI5732" s="28" t="n">
        <f aca="false">AH5732*$M5732</f>
        <v>0</v>
      </c>
      <c r="AJ5732" s="28"/>
      <c r="AK5732" s="28" t="n">
        <f aca="false">AJ5732*$M5732</f>
        <v>0</v>
      </c>
      <c r="AL5732" s="28" t="n">
        <v>2127</v>
      </c>
      <c r="AM5732" s="28" t="n">
        <v>6381</v>
      </c>
      <c r="AN5732" s="28"/>
      <c r="AO5732" s="28" t="n">
        <f aca="false">AN5732*$M5732</f>
        <v>0</v>
      </c>
      <c r="AP5732" s="28"/>
      <c r="AQ5732" s="28" t="n">
        <f aca="false">AP5732*$M5732</f>
        <v>0</v>
      </c>
      <c r="AR5732" s="28"/>
      <c r="AS5732" s="28" t="n">
        <f aca="false">AR5732*$M5732</f>
        <v>0</v>
      </c>
      <c r="AT5732" s="28"/>
      <c r="AU5732" s="28" t="n">
        <f aca="false">AT5732*$M5732</f>
        <v>0</v>
      </c>
      <c r="AV5732" s="28"/>
      <c r="AW5732" s="28" t="n">
        <f aca="false">AV5732*$M5732</f>
        <v>0</v>
      </c>
      <c r="AX5732" s="28"/>
      <c r="AY5732" s="28" t="n">
        <f aca="false">AX5732*$M5732</f>
        <v>0</v>
      </c>
      <c r="AZ5732" s="30" t="n">
        <v>10439</v>
      </c>
      <c r="BA5732" s="11" t="n">
        <v>31317</v>
      </c>
      <c r="BB5732" s="31" t="n">
        <f aca="false">SUM(Q5732,S5732,U5732,W5732,Y5732,AA5732,AC5732,AE5732,AG5732,AI5732,AK5732,AM5732,AO5732,AQ5732,AS5732,AU5732,AW5732,AY5732)</f>
        <v>31317</v>
      </c>
      <c r="BC5732" s="28" t="n">
        <f aca="false">BA5732-BB5732</f>
        <v>0</v>
      </c>
      <c r="BD5732" s="32" t="n">
        <f aca="false">SUM(P5732,R5732,T5732,V5732,X5732,Z5732,AB5732,AD5732,AF5732,AH5732,AJ5732,AL5732,AN5732,AP5732,AR5732,AT5732,AV5732,AX5732)</f>
        <v>10439</v>
      </c>
      <c r="BE5732" s="33" t="n">
        <f aca="false">AZ5732-BD5732</f>
        <v>0</v>
      </c>
      <c r="BF5732" s="34" t="n">
        <f aca="false">BD5732*M5732</f>
        <v>31317</v>
      </c>
      <c r="BG5732" s="35" t="n">
        <f aca="false">BA5732-BF5732</f>
        <v>0</v>
      </c>
      <c r="BH5732" s="19" t="str">
        <f aca="false">IF(BG5732=0,"",IF(BG5732&lt;&gt;BA5732,"erreur de calcul",IF(BD5732&lt;&gt;0,"pas de prix",IF(M5732&lt;&gt; 0,"pas de quantité","pas de prix, ni de quantité"))))</f>
        <v/>
      </c>
      <c r="BI5732" s="19"/>
    </row>
    <row r="5733" customFormat="false" ht="15" hidden="false" customHeight="false" outlineLevel="0" collapsed="false">
      <c r="A5733" s="0" t="n">
        <v>38</v>
      </c>
      <c r="B5733" s="8" t="s">
        <v>24</v>
      </c>
      <c r="C5733" s="9" t="s">
        <v>25</v>
      </c>
      <c r="D5733" s="9" t="s">
        <v>26</v>
      </c>
      <c r="E5733" s="10" t="n">
        <v>1789</v>
      </c>
      <c r="F5733" s="9" t="s">
        <v>27</v>
      </c>
      <c r="G5733" s="9" t="s">
        <v>27</v>
      </c>
      <c r="H5733" s="11" t="n">
        <v>21</v>
      </c>
      <c r="I5733" s="11" t="s">
        <v>191</v>
      </c>
      <c r="J5733" s="14" t="n">
        <v>25</v>
      </c>
      <c r="K5733" s="14"/>
      <c r="L5733" s="16"/>
      <c r="M5733" s="27" t="n">
        <f aca="false">J5733+(K5733/20)+(L5733/240)</f>
        <v>25</v>
      </c>
      <c r="N5733" s="17" t="s">
        <v>64</v>
      </c>
      <c r="O5733" s="11"/>
      <c r="P5733" s="28"/>
      <c r="Q5733" s="28" t="n">
        <f aca="false">P5733*$M5733</f>
        <v>0</v>
      </c>
      <c r="R5733" s="28"/>
      <c r="S5733" s="28" t="n">
        <f aca="false">R5733*$M5733</f>
        <v>0</v>
      </c>
      <c r="T5733" s="28"/>
      <c r="U5733" s="28" t="n">
        <f aca="false">T5733*$M5733</f>
        <v>0</v>
      </c>
      <c r="V5733" s="28"/>
      <c r="W5733" s="28" t="n">
        <f aca="false">V5733*$M5733</f>
        <v>0</v>
      </c>
      <c r="X5733" s="28" t="n">
        <f aca="false">5034/100</f>
        <v>50.34</v>
      </c>
      <c r="Y5733" s="28" t="n">
        <v>1258</v>
      </c>
      <c r="Z5733" s="28"/>
      <c r="AA5733" s="28" t="n">
        <f aca="false">Z5733*$M5733</f>
        <v>0</v>
      </c>
      <c r="AB5733" s="28"/>
      <c r="AC5733" s="28" t="n">
        <f aca="false">AB5733*$M5733</f>
        <v>0</v>
      </c>
      <c r="AD5733" s="28"/>
      <c r="AE5733" s="28" t="n">
        <f aca="false">AD5733*$M5733</f>
        <v>0</v>
      </c>
      <c r="AF5733" s="28"/>
      <c r="AG5733" s="28" t="n">
        <f aca="false">AF5733*$M5733</f>
        <v>0</v>
      </c>
      <c r="AH5733" s="28"/>
      <c r="AI5733" s="28" t="n">
        <f aca="false">AH5733*$M5733</f>
        <v>0</v>
      </c>
      <c r="AJ5733" s="28" t="n">
        <f aca="false">1375/100</f>
        <v>13.75</v>
      </c>
      <c r="AK5733" s="28" t="n">
        <v>344</v>
      </c>
      <c r="AL5733" s="28" t="n">
        <f aca="false">6710/100</f>
        <v>67.1</v>
      </c>
      <c r="AM5733" s="28" t="n">
        <v>1677</v>
      </c>
      <c r="AN5733" s="28"/>
      <c r="AO5733" s="28" t="n">
        <f aca="false">AN5733*$M5733</f>
        <v>0</v>
      </c>
      <c r="AP5733" s="28"/>
      <c r="AQ5733" s="28" t="n">
        <f aca="false">AP5733*$M5733</f>
        <v>0</v>
      </c>
      <c r="AR5733" s="28"/>
      <c r="AS5733" s="28" t="n">
        <f aca="false">AR5733*$M5733</f>
        <v>0</v>
      </c>
      <c r="AT5733" s="28"/>
      <c r="AU5733" s="28" t="n">
        <f aca="false">AT5733*$M5733</f>
        <v>0</v>
      </c>
      <c r="AV5733" s="28"/>
      <c r="AW5733" s="28" t="n">
        <f aca="false">AV5733*$M5733</f>
        <v>0</v>
      </c>
      <c r="AX5733" s="28"/>
      <c r="AY5733" s="28" t="n">
        <f aca="false">AX5733*$M5733</f>
        <v>0</v>
      </c>
      <c r="AZ5733" s="30" t="n">
        <f aca="false">13119/100</f>
        <v>131.19</v>
      </c>
      <c r="BA5733" s="11" t="n">
        <v>3279</v>
      </c>
      <c r="BB5733" s="31" t="n">
        <f aca="false">SUM(Q5733,S5733,U5733,W5733,Y5733,AA5733,AC5733,AE5733,AG5733,AI5733,AK5733,AM5733,AO5733,AQ5733,AS5733,AU5733,AW5733,AY5733)</f>
        <v>3279</v>
      </c>
      <c r="BC5733" s="28" t="n">
        <f aca="false">BA5733-BB5733</f>
        <v>0</v>
      </c>
      <c r="BD5733" s="32" t="n">
        <f aca="false">SUM(P5733,R5733,T5733,V5733,X5733,Z5733,AB5733,AD5733,AF5733,AH5733,AJ5733,AL5733,AN5733,AP5733,AR5733,AT5733,AV5733,AX5733)</f>
        <v>131.19</v>
      </c>
      <c r="BE5733" s="33" t="n">
        <f aca="false">AZ5733-BD5733</f>
        <v>0</v>
      </c>
      <c r="BF5733" s="34" t="n">
        <f aca="false">BD5733*M5733</f>
        <v>3279.75</v>
      </c>
      <c r="BG5733" s="35" t="n">
        <f aca="false">BA5733-BF5733</f>
        <v>-0.75</v>
      </c>
      <c r="BH5733" s="19" t="str">
        <f aca="false">IF(BG5733=0,"",IF(BG5733&lt;&gt;BA5733,"erreur de calcul",IF(BD5733&lt;&gt;0,"pas de prix",IF(M5733&lt;&gt; 0,"pas de quantité","pas de prix, ni de quantité"))))</f>
        <v>erreur de calcul</v>
      </c>
      <c r="BI5733" s="19"/>
    </row>
    <row r="5734" customFormat="false" ht="15" hidden="false" customHeight="false" outlineLevel="0" collapsed="false">
      <c r="A5734" s="0" t="n">
        <v>39</v>
      </c>
      <c r="B5734" s="8" t="s">
        <v>24</v>
      </c>
      <c r="C5734" s="9" t="s">
        <v>25</v>
      </c>
      <c r="D5734" s="9" t="s">
        <v>26</v>
      </c>
      <c r="E5734" s="10" t="n">
        <v>1789</v>
      </c>
      <c r="F5734" s="9" t="s">
        <v>27</v>
      </c>
      <c r="G5734" s="9" t="s">
        <v>27</v>
      </c>
      <c r="H5734" s="11" t="n">
        <v>21</v>
      </c>
      <c r="I5734" s="11" t="s">
        <v>192</v>
      </c>
      <c r="J5734" s="14" t="n">
        <v>25</v>
      </c>
      <c r="K5734" s="14"/>
      <c r="L5734" s="16"/>
      <c r="M5734" s="27" t="n">
        <f aca="false">J5734+(K5734/20)+(L5734/240)</f>
        <v>25</v>
      </c>
      <c r="N5734" s="17" t="s">
        <v>64</v>
      </c>
      <c r="O5734" s="11"/>
      <c r="P5734" s="28"/>
      <c r="Q5734" s="28" t="n">
        <f aca="false">P5734*$M5734</f>
        <v>0</v>
      </c>
      <c r="R5734" s="28"/>
      <c r="S5734" s="28" t="n">
        <f aca="false">R5734*$M5734</f>
        <v>0</v>
      </c>
      <c r="T5734" s="28"/>
      <c r="U5734" s="28" t="n">
        <f aca="false">T5734*$M5734</f>
        <v>0</v>
      </c>
      <c r="V5734" s="28"/>
      <c r="W5734" s="28" t="n">
        <f aca="false">V5734*$M5734</f>
        <v>0</v>
      </c>
      <c r="X5734" s="28" t="n">
        <f aca="false">5561/100</f>
        <v>55.61</v>
      </c>
      <c r="Y5734" s="28" t="n">
        <v>1390</v>
      </c>
      <c r="Z5734" s="28"/>
      <c r="AA5734" s="28" t="n">
        <f aca="false">Z5734*$M5734</f>
        <v>0</v>
      </c>
      <c r="AB5734" s="28"/>
      <c r="AC5734" s="28" t="n">
        <f aca="false">AB5734*$M5734</f>
        <v>0</v>
      </c>
      <c r="AD5734" s="28"/>
      <c r="AE5734" s="28" t="n">
        <f aca="false">AD5734*$M5734</f>
        <v>0</v>
      </c>
      <c r="AF5734" s="28"/>
      <c r="AG5734" s="28" t="n">
        <f aca="false">AF5734*$M5734</f>
        <v>0</v>
      </c>
      <c r="AH5734" s="28"/>
      <c r="AI5734" s="28" t="n">
        <f aca="false">AH5734*$M5734</f>
        <v>0</v>
      </c>
      <c r="AJ5734" s="28"/>
      <c r="AK5734" s="28" t="n">
        <f aca="false">AJ5734*$M5734</f>
        <v>0</v>
      </c>
      <c r="AL5734" s="28"/>
      <c r="AM5734" s="28" t="n">
        <f aca="false">AL5734*$M5734</f>
        <v>0</v>
      </c>
      <c r="AN5734" s="28"/>
      <c r="AO5734" s="28" t="n">
        <f aca="false">AN5734*$M5734</f>
        <v>0</v>
      </c>
      <c r="AP5734" s="28"/>
      <c r="AQ5734" s="28" t="n">
        <f aca="false">AP5734*$M5734</f>
        <v>0</v>
      </c>
      <c r="AR5734" s="28"/>
      <c r="AS5734" s="28" t="n">
        <f aca="false">AR5734*$M5734</f>
        <v>0</v>
      </c>
      <c r="AT5734" s="28"/>
      <c r="AU5734" s="28" t="n">
        <f aca="false">AT5734*$M5734</f>
        <v>0</v>
      </c>
      <c r="AV5734" s="28"/>
      <c r="AW5734" s="28" t="n">
        <f aca="false">AV5734*$M5734</f>
        <v>0</v>
      </c>
      <c r="AX5734" s="28"/>
      <c r="AY5734" s="28" t="n">
        <f aca="false">AX5734*$M5734</f>
        <v>0</v>
      </c>
      <c r="AZ5734" s="30" t="n">
        <f aca="false">5561/100</f>
        <v>55.61</v>
      </c>
      <c r="BA5734" s="11" t="n">
        <v>1390</v>
      </c>
      <c r="BB5734" s="31" t="n">
        <f aca="false">SUM(Q5734,S5734,U5734,W5734,Y5734,AA5734,AC5734,AE5734,AG5734,AI5734,AK5734,AM5734,AO5734,AQ5734,AS5734,AU5734,AW5734,AY5734)</f>
        <v>1390</v>
      </c>
      <c r="BC5734" s="28" t="n">
        <f aca="false">BA5734-BB5734</f>
        <v>0</v>
      </c>
      <c r="BD5734" s="32" t="n">
        <f aca="false">SUM(P5734,R5734,T5734,V5734,X5734,Z5734,AB5734,AD5734,AF5734,AH5734,AJ5734,AL5734,AN5734,AP5734,AR5734,AT5734,AV5734,AX5734)</f>
        <v>55.61</v>
      </c>
      <c r="BE5734" s="33" t="n">
        <f aca="false">AZ5734-BD5734</f>
        <v>0</v>
      </c>
      <c r="BF5734" s="34" t="n">
        <f aca="false">BD5734*M5734</f>
        <v>1390.25</v>
      </c>
      <c r="BG5734" s="35" t="n">
        <f aca="false">BA5734-BF5734</f>
        <v>-0.25</v>
      </c>
      <c r="BH5734" s="19" t="str">
        <f aca="false">IF(BG5734=0,"",IF(BG5734&lt;&gt;BA5734,"erreur de calcul",IF(BD5734&lt;&gt;0,"pas de prix",IF(M5734&lt;&gt; 0,"pas de quantité","pas de prix, ni de quantité"))))</f>
        <v>erreur de calcul</v>
      </c>
      <c r="BI5734" s="19"/>
    </row>
    <row r="5735" customFormat="false" ht="15" hidden="false" customHeight="false" outlineLevel="0" collapsed="false">
      <c r="A5735" s="0" t="n">
        <v>40</v>
      </c>
      <c r="B5735" s="8" t="s">
        <v>24</v>
      </c>
      <c r="C5735" s="9" t="s">
        <v>25</v>
      </c>
      <c r="D5735" s="9" t="s">
        <v>26</v>
      </c>
      <c r="E5735" s="10" t="n">
        <v>1789</v>
      </c>
      <c r="F5735" s="9" t="s">
        <v>27</v>
      </c>
      <c r="G5735" s="9" t="s">
        <v>27</v>
      </c>
      <c r="H5735" s="11" t="n">
        <v>21</v>
      </c>
      <c r="I5735" s="11" t="s">
        <v>193</v>
      </c>
      <c r="J5735" s="14" t="n">
        <v>168</v>
      </c>
      <c r="K5735" s="14"/>
      <c r="L5735" s="16"/>
      <c r="M5735" s="27" t="n">
        <f aca="false">J5735+(K5735/20)+(L5735/240)</f>
        <v>168</v>
      </c>
      <c r="N5735" s="17" t="s">
        <v>64</v>
      </c>
      <c r="O5735" s="11"/>
      <c r="P5735" s="28"/>
      <c r="Q5735" s="28" t="n">
        <f aca="false">P5735*$M5735</f>
        <v>0</v>
      </c>
      <c r="R5735" s="28"/>
      <c r="S5735" s="28" t="n">
        <f aca="false">R5735*$M5735</f>
        <v>0</v>
      </c>
      <c r="T5735" s="28"/>
      <c r="U5735" s="28" t="n">
        <f aca="false">T5735*$M5735</f>
        <v>0</v>
      </c>
      <c r="V5735" s="28"/>
      <c r="W5735" s="28" t="n">
        <f aca="false">V5735*$M5735</f>
        <v>0</v>
      </c>
      <c r="X5735" s="28"/>
      <c r="Y5735" s="28" t="n">
        <f aca="false">X5735*$M5735</f>
        <v>0</v>
      </c>
      <c r="Z5735" s="28"/>
      <c r="AA5735" s="28" t="n">
        <f aca="false">Z5735*$M5735</f>
        <v>0</v>
      </c>
      <c r="AB5735" s="28"/>
      <c r="AC5735" s="28" t="n">
        <f aca="false">AB5735*$M5735</f>
        <v>0</v>
      </c>
      <c r="AD5735" s="28"/>
      <c r="AE5735" s="28" t="n">
        <f aca="false">AD5735*$M5735</f>
        <v>0</v>
      </c>
      <c r="AF5735" s="28"/>
      <c r="AG5735" s="28" t="n">
        <f aca="false">AF5735*$M5735</f>
        <v>0</v>
      </c>
      <c r="AH5735" s="28" t="n">
        <f aca="false">14590/100</f>
        <v>145.9</v>
      </c>
      <c r="AI5735" s="28" t="n">
        <v>24511</v>
      </c>
      <c r="AJ5735" s="28"/>
      <c r="AK5735" s="28" t="n">
        <f aca="false">AJ5735*$M5735</f>
        <v>0</v>
      </c>
      <c r="AL5735" s="28"/>
      <c r="AM5735" s="28" t="n">
        <f aca="false">AL5735*$M5735</f>
        <v>0</v>
      </c>
      <c r="AN5735" s="28"/>
      <c r="AO5735" s="28" t="n">
        <f aca="false">AN5735*$M5735</f>
        <v>0</v>
      </c>
      <c r="AP5735" s="28"/>
      <c r="AQ5735" s="28" t="n">
        <f aca="false">AP5735*$M5735</f>
        <v>0</v>
      </c>
      <c r="AR5735" s="28"/>
      <c r="AS5735" s="28" t="n">
        <f aca="false">AR5735*$M5735</f>
        <v>0</v>
      </c>
      <c r="AT5735" s="28"/>
      <c r="AU5735" s="28" t="n">
        <f aca="false">AT5735*$M5735</f>
        <v>0</v>
      </c>
      <c r="AV5735" s="28"/>
      <c r="AW5735" s="28" t="n">
        <f aca="false">AV5735*$M5735</f>
        <v>0</v>
      </c>
      <c r="AX5735" s="28"/>
      <c r="AY5735" s="28" t="n">
        <f aca="false">AX5735*$M5735</f>
        <v>0</v>
      </c>
      <c r="AZ5735" s="30" t="n">
        <f aca="false">14590/100</f>
        <v>145.9</v>
      </c>
      <c r="BA5735" s="11" t="n">
        <v>24511</v>
      </c>
      <c r="BB5735" s="31" t="n">
        <f aca="false">SUM(Q5735,S5735,U5735,W5735,Y5735,AA5735,AC5735,AE5735,AG5735,AI5735,AK5735,AM5735,AO5735,AQ5735,AS5735,AU5735,AW5735,AY5735)</f>
        <v>24511</v>
      </c>
      <c r="BC5735" s="28" t="n">
        <f aca="false">BA5735-BB5735</f>
        <v>0</v>
      </c>
      <c r="BD5735" s="32" t="n">
        <f aca="false">SUM(P5735,R5735,T5735,V5735,X5735,Z5735,AB5735,AD5735,AF5735,AH5735,AJ5735,AL5735,AN5735,AP5735,AR5735,AT5735,AV5735,AX5735)</f>
        <v>145.9</v>
      </c>
      <c r="BE5735" s="33" t="n">
        <f aca="false">AZ5735-BD5735</f>
        <v>0</v>
      </c>
      <c r="BF5735" s="34" t="n">
        <f aca="false">BD5735*M5735</f>
        <v>24511.2</v>
      </c>
      <c r="BG5735" s="35" t="n">
        <f aca="false">BA5735-BF5735</f>
        <v>-0.200000000000728</v>
      </c>
      <c r="BH5735" s="19" t="str">
        <f aca="false">IF(BG5735=0,"",IF(BG5735&lt;&gt;BA5735,"erreur de calcul",IF(BD5735&lt;&gt;0,"pas de prix",IF(M5735&lt;&gt; 0,"pas de quantité","pas de prix, ni de quantité"))))</f>
        <v>erreur de calcul</v>
      </c>
      <c r="BI5735" s="19"/>
    </row>
    <row r="5736" customFormat="false" ht="15" hidden="false" customHeight="false" outlineLevel="0" collapsed="false">
      <c r="A5736" s="0" t="n">
        <v>41</v>
      </c>
      <c r="B5736" s="8" t="s">
        <v>24</v>
      </c>
      <c r="C5736" s="9" t="s">
        <v>25</v>
      </c>
      <c r="D5736" s="9" t="s">
        <v>26</v>
      </c>
      <c r="E5736" s="10" t="n">
        <v>1789</v>
      </c>
      <c r="F5736" s="9" t="s">
        <v>27</v>
      </c>
      <c r="G5736" s="9" t="s">
        <v>27</v>
      </c>
      <c r="H5736" s="11" t="n">
        <v>21</v>
      </c>
      <c r="I5736" s="11" t="s">
        <v>194</v>
      </c>
      <c r="J5736" s="14" t="n">
        <v>120</v>
      </c>
      <c r="K5736" s="14"/>
      <c r="L5736" s="16"/>
      <c r="M5736" s="27" t="n">
        <f aca="false">J5736+(K5736/20)+(L5736/240)</f>
        <v>120</v>
      </c>
      <c r="N5736" s="17" t="s">
        <v>64</v>
      </c>
      <c r="O5736" s="11"/>
      <c r="P5736" s="28"/>
      <c r="Q5736" s="28" t="n">
        <f aca="false">P5736*$M5736</f>
        <v>0</v>
      </c>
      <c r="R5736" s="28"/>
      <c r="S5736" s="28" t="n">
        <f aca="false">R5736*$M5736</f>
        <v>0</v>
      </c>
      <c r="T5736" s="28"/>
      <c r="U5736" s="28" t="n">
        <f aca="false">T5736*$M5736</f>
        <v>0</v>
      </c>
      <c r="V5736" s="28"/>
      <c r="W5736" s="28" t="n">
        <f aca="false">V5736*$M5736</f>
        <v>0</v>
      </c>
      <c r="X5736" s="28"/>
      <c r="Y5736" s="28" t="n">
        <f aca="false">X5736*$M5736</f>
        <v>0</v>
      </c>
      <c r="Z5736" s="28"/>
      <c r="AA5736" s="28" t="n">
        <f aca="false">Z5736*$M5736</f>
        <v>0</v>
      </c>
      <c r="AB5736" s="28" t="n">
        <f aca="false">6930/100</f>
        <v>69.3</v>
      </c>
      <c r="AC5736" s="28" t="n">
        <v>8316</v>
      </c>
      <c r="AD5736" s="28"/>
      <c r="AE5736" s="28" t="n">
        <f aca="false">AD5736*$M5736</f>
        <v>0</v>
      </c>
      <c r="AF5736" s="28"/>
      <c r="AG5736" s="28" t="n">
        <f aca="false">AF5736*$M5736</f>
        <v>0</v>
      </c>
      <c r="AH5736" s="28"/>
      <c r="AI5736" s="28" t="n">
        <f aca="false">AH5736*$M5736</f>
        <v>0</v>
      </c>
      <c r="AJ5736" s="28"/>
      <c r="AK5736" s="28" t="n">
        <f aca="false">AJ5736*$M5736</f>
        <v>0</v>
      </c>
      <c r="AL5736" s="28"/>
      <c r="AM5736" s="28" t="n">
        <f aca="false">AL5736*$M5736</f>
        <v>0</v>
      </c>
      <c r="AN5736" s="28"/>
      <c r="AO5736" s="28" t="n">
        <f aca="false">AN5736*$M5736</f>
        <v>0</v>
      </c>
      <c r="AP5736" s="28"/>
      <c r="AQ5736" s="28" t="n">
        <f aca="false">AP5736*$M5736</f>
        <v>0</v>
      </c>
      <c r="AR5736" s="28"/>
      <c r="AS5736" s="28" t="n">
        <f aca="false">AR5736*$M5736</f>
        <v>0</v>
      </c>
      <c r="AT5736" s="28"/>
      <c r="AU5736" s="28" t="n">
        <f aca="false">AT5736*$M5736</f>
        <v>0</v>
      </c>
      <c r="AV5736" s="28"/>
      <c r="AW5736" s="28" t="n">
        <f aca="false">AV5736*$M5736</f>
        <v>0</v>
      </c>
      <c r="AX5736" s="28"/>
      <c r="AY5736" s="28" t="n">
        <f aca="false">AX5736*$M5736</f>
        <v>0</v>
      </c>
      <c r="AZ5736" s="30" t="n">
        <f aca="false">6930/100</f>
        <v>69.3</v>
      </c>
      <c r="BA5736" s="11" t="n">
        <v>8316</v>
      </c>
      <c r="BB5736" s="31" t="n">
        <f aca="false">SUM(Q5736,S5736,U5736,W5736,Y5736,AA5736,AC5736,AE5736,AG5736,AI5736,AK5736,AM5736,AO5736,AQ5736,AS5736,AU5736,AW5736,AY5736)</f>
        <v>8316</v>
      </c>
      <c r="BC5736" s="28" t="n">
        <f aca="false">BA5736-BB5736</f>
        <v>0</v>
      </c>
      <c r="BD5736" s="32" t="n">
        <f aca="false">SUM(P5736,R5736,T5736,V5736,X5736,Z5736,AB5736,AD5736,AF5736,AH5736,AJ5736,AL5736,AN5736,AP5736,AR5736,AT5736,AV5736,AX5736)</f>
        <v>69.3</v>
      </c>
      <c r="BE5736" s="33" t="n">
        <f aca="false">AZ5736-BD5736</f>
        <v>0</v>
      </c>
      <c r="BF5736" s="34" t="n">
        <f aca="false">BD5736*M5736</f>
        <v>8316</v>
      </c>
      <c r="BG5736" s="35" t="n">
        <f aca="false">BA5736-BF5736</f>
        <v>0</v>
      </c>
      <c r="BH5736" s="19" t="str">
        <f aca="false">IF(BG5736=0,"",IF(BG5736&lt;&gt;BA5736,"erreur de calcul",IF(BD5736&lt;&gt;0,"pas de prix",IF(M5736&lt;&gt; 0,"pas de quantité","pas de prix, ni de quantité"))))</f>
        <v/>
      </c>
      <c r="BI5736" s="19"/>
    </row>
    <row r="5737" customFormat="false" ht="16.65" hidden="false" customHeight="false" outlineLevel="0" collapsed="false">
      <c r="A5737" s="0" t="n">
        <v>42</v>
      </c>
      <c r="B5737" s="8" t="s">
        <v>24</v>
      </c>
      <c r="C5737" s="9" t="s">
        <v>25</v>
      </c>
      <c r="D5737" s="9" t="s">
        <v>26</v>
      </c>
      <c r="E5737" s="10" t="n">
        <v>1789</v>
      </c>
      <c r="F5737" s="9" t="s">
        <v>27</v>
      </c>
      <c r="G5737" s="9" t="s">
        <v>27</v>
      </c>
      <c r="H5737" s="11" t="n">
        <v>21</v>
      </c>
      <c r="I5737" s="11" t="s">
        <v>195</v>
      </c>
      <c r="J5737" s="14" t="n">
        <v>70</v>
      </c>
      <c r="K5737" s="14"/>
      <c r="L5737" s="16"/>
      <c r="M5737" s="27" t="n">
        <f aca="false">J5737+(K5737/20)+(L5737/240)</f>
        <v>70</v>
      </c>
      <c r="N5737" s="17" t="s">
        <v>64</v>
      </c>
      <c r="O5737" s="11"/>
      <c r="P5737" s="28"/>
      <c r="Q5737" s="28" t="n">
        <f aca="false">P5737*$M5737</f>
        <v>0</v>
      </c>
      <c r="R5737" s="28"/>
      <c r="S5737" s="28" t="n">
        <f aca="false">R5737*$M5737</f>
        <v>0</v>
      </c>
      <c r="T5737" s="28"/>
      <c r="U5737" s="28" t="n">
        <f aca="false">T5737*$M5737</f>
        <v>0</v>
      </c>
      <c r="V5737" s="28"/>
      <c r="W5737" s="28" t="n">
        <f aca="false">V5737*$M5737</f>
        <v>0</v>
      </c>
      <c r="X5737" s="28"/>
      <c r="Y5737" s="28" t="n">
        <f aca="false">X5737*$M5737</f>
        <v>0</v>
      </c>
      <c r="Z5737" s="28"/>
      <c r="AA5737" s="28" t="n">
        <f aca="false">Z5737*$M5737</f>
        <v>0</v>
      </c>
      <c r="AB5737" s="28"/>
      <c r="AC5737" s="28" t="n">
        <f aca="false">AB5737*$M5737</f>
        <v>0</v>
      </c>
      <c r="AD5737" s="28"/>
      <c r="AE5737" s="28" t="n">
        <f aca="false">AD5737*$M5737</f>
        <v>0</v>
      </c>
      <c r="AF5737" s="28"/>
      <c r="AG5737" s="28" t="n">
        <f aca="false">AF5737*$M5737</f>
        <v>0</v>
      </c>
      <c r="AH5737" s="28"/>
      <c r="AI5737" s="28" t="n">
        <f aca="false">AH5737*$M5737</f>
        <v>0</v>
      </c>
      <c r="AJ5737" s="28"/>
      <c r="AK5737" s="28" t="n">
        <f aca="false">AJ5737*$M5737</f>
        <v>0</v>
      </c>
      <c r="AL5737" s="28"/>
      <c r="AM5737" s="28" t="n">
        <f aca="false">AL5737*$M5737</f>
        <v>0</v>
      </c>
      <c r="AN5737" s="28" t="n">
        <f aca="false">13200/100</f>
        <v>132</v>
      </c>
      <c r="AO5737" s="28" t="n">
        <v>9240</v>
      </c>
      <c r="AP5737" s="28"/>
      <c r="AQ5737" s="28" t="n">
        <f aca="false">AP5737*$M5737</f>
        <v>0</v>
      </c>
      <c r="AR5737" s="28"/>
      <c r="AS5737" s="28" t="n">
        <f aca="false">AR5737*$M5737</f>
        <v>0</v>
      </c>
      <c r="AT5737" s="28"/>
      <c r="AU5737" s="28" t="n">
        <f aca="false">AT5737*$M5737</f>
        <v>0</v>
      </c>
      <c r="AV5737" s="28"/>
      <c r="AW5737" s="28" t="n">
        <f aca="false">AV5737*$M5737</f>
        <v>0</v>
      </c>
      <c r="AX5737" s="28"/>
      <c r="AY5737" s="28" t="n">
        <f aca="false">AX5737*$M5737</f>
        <v>0</v>
      </c>
      <c r="AZ5737" s="30" t="n">
        <f aca="false">13200/100</f>
        <v>132</v>
      </c>
      <c r="BA5737" s="11" t="n">
        <v>9240</v>
      </c>
      <c r="BB5737" s="31" t="n">
        <f aca="false">SUM(Q5737,S5737,U5737,W5737,Y5737,AA5737,AC5737,AE5737,AG5737,AI5737,AK5737,AM5737,AO5737,AQ5737,AS5737,AU5737,AW5737,AY5737)</f>
        <v>9240</v>
      </c>
      <c r="BC5737" s="28" t="n">
        <f aca="false">BA5737-BB5737</f>
        <v>0</v>
      </c>
      <c r="BD5737" s="32" t="n">
        <f aca="false">SUM(P5737,R5737,T5737,V5737,X5737,Z5737,AB5737,AD5737,AF5737,AH5737,AJ5737,AL5737,AN5737,AP5737,AR5737,AT5737,AV5737,AX5737)</f>
        <v>132</v>
      </c>
      <c r="BE5737" s="33" t="n">
        <f aca="false">AZ5737-BD5737</f>
        <v>0</v>
      </c>
      <c r="BF5737" s="34" t="n">
        <f aca="false">BD5737*M5737</f>
        <v>9240</v>
      </c>
      <c r="BG5737" s="35" t="n">
        <f aca="false">BA5737-BF5737</f>
        <v>0</v>
      </c>
      <c r="BH5737" s="19" t="str">
        <f aca="false">IF(BG5737=0,"",IF(BG5737&lt;&gt;BA5737,"erreur de calcul",IF(BD5737&lt;&gt;0,"pas de prix",IF(M5737&lt;&gt; 0,"pas de quantité","pas de prix, ni de quantité"))))</f>
        <v/>
      </c>
      <c r="BI5737" s="19"/>
    </row>
    <row r="5738" customFormat="false" ht="15" hidden="false" customHeight="false" outlineLevel="0" collapsed="false">
      <c r="A5738" s="0" t="n">
        <v>43</v>
      </c>
      <c r="B5738" s="8" t="s">
        <v>24</v>
      </c>
      <c r="C5738" s="9" t="s">
        <v>25</v>
      </c>
      <c r="D5738" s="9" t="s">
        <v>26</v>
      </c>
      <c r="E5738" s="10" t="n">
        <v>1789</v>
      </c>
      <c r="F5738" s="9" t="s">
        <v>27</v>
      </c>
      <c r="G5738" s="9" t="s">
        <v>27</v>
      </c>
      <c r="H5738" s="11" t="n">
        <v>21</v>
      </c>
      <c r="I5738" s="11" t="s">
        <v>196</v>
      </c>
      <c r="J5738" s="14" t="n">
        <v>65</v>
      </c>
      <c r="K5738" s="14"/>
      <c r="L5738" s="16"/>
      <c r="M5738" s="27" t="n">
        <f aca="false">J5738+(K5738/20)+(L5738/240)</f>
        <v>65</v>
      </c>
      <c r="N5738" s="17" t="s">
        <v>64</v>
      </c>
      <c r="O5738" s="11"/>
      <c r="P5738" s="28"/>
      <c r="Q5738" s="28" t="n">
        <f aca="false">P5738*$M5738</f>
        <v>0</v>
      </c>
      <c r="R5738" s="28"/>
      <c r="S5738" s="28" t="n">
        <f aca="false">R5738*$M5738</f>
        <v>0</v>
      </c>
      <c r="T5738" s="28"/>
      <c r="U5738" s="28" t="n">
        <f aca="false">T5738*$M5738</f>
        <v>0</v>
      </c>
      <c r="V5738" s="28"/>
      <c r="W5738" s="28" t="n">
        <f aca="false">V5738*$M5738</f>
        <v>0</v>
      </c>
      <c r="X5738" s="28" t="n">
        <f aca="false">44247/100</f>
        <v>442.47</v>
      </c>
      <c r="Y5738" s="28" t="n">
        <v>28760</v>
      </c>
      <c r="Z5738" s="28" t="n">
        <f aca="false">1906/100</f>
        <v>19.06</v>
      </c>
      <c r="AA5738" s="28" t="n">
        <v>1239</v>
      </c>
      <c r="AB5738" s="28"/>
      <c r="AC5738" s="28" t="n">
        <f aca="false">AB5738*$M5738</f>
        <v>0</v>
      </c>
      <c r="AD5738" s="28"/>
      <c r="AE5738" s="28" t="n">
        <f aca="false">AD5738*$M5738</f>
        <v>0</v>
      </c>
      <c r="AF5738" s="28"/>
      <c r="AG5738" s="28" t="n">
        <f aca="false">AF5738*$M5738</f>
        <v>0</v>
      </c>
      <c r="AH5738" s="28"/>
      <c r="AI5738" s="28" t="n">
        <f aca="false">AH5738*$M5738</f>
        <v>0</v>
      </c>
      <c r="AJ5738" s="28" t="n">
        <f aca="false">625/100</f>
        <v>6.25</v>
      </c>
      <c r="AK5738" s="28" t="n">
        <v>406</v>
      </c>
      <c r="AL5738" s="28"/>
      <c r="AM5738" s="28" t="n">
        <f aca="false">AL5738*$M5738</f>
        <v>0</v>
      </c>
      <c r="AN5738" s="28"/>
      <c r="AO5738" s="28" t="n">
        <f aca="false">AN5738*$M5738</f>
        <v>0</v>
      </c>
      <c r="AP5738" s="28"/>
      <c r="AQ5738" s="28" t="n">
        <f aca="false">AP5738*$M5738</f>
        <v>0</v>
      </c>
      <c r="AR5738" s="28"/>
      <c r="AS5738" s="28" t="n">
        <f aca="false">AR5738*$M5738</f>
        <v>0</v>
      </c>
      <c r="AT5738" s="28"/>
      <c r="AU5738" s="28" t="n">
        <f aca="false">AT5738*$M5738</f>
        <v>0</v>
      </c>
      <c r="AV5738" s="28"/>
      <c r="AW5738" s="28" t="n">
        <f aca="false">AV5738*$M5738</f>
        <v>0</v>
      </c>
      <c r="AX5738" s="28"/>
      <c r="AY5738" s="28" t="n">
        <f aca="false">AX5738*$M5738</f>
        <v>0</v>
      </c>
      <c r="AZ5738" s="30" t="n">
        <f aca="false">46778/100</f>
        <v>467.78</v>
      </c>
      <c r="BA5738" s="11" t="n">
        <v>30405</v>
      </c>
      <c r="BB5738" s="31" t="n">
        <f aca="false">SUM(Q5738,S5738,U5738,W5738,Y5738,AA5738,AC5738,AE5738,AG5738,AI5738,AK5738,AM5738,AO5738,AQ5738,AS5738,AU5738,AW5738,AY5738)</f>
        <v>30405</v>
      </c>
      <c r="BC5738" s="28" t="n">
        <f aca="false">BA5738-BB5738</f>
        <v>0</v>
      </c>
      <c r="BD5738" s="32" t="n">
        <f aca="false">SUM(P5738,R5738,T5738,V5738,X5738,Z5738,AB5738,AD5738,AF5738,AH5738,AJ5738,AL5738,AN5738,AP5738,AR5738,AT5738,AV5738,AX5738)</f>
        <v>467.78</v>
      </c>
      <c r="BE5738" s="33" t="n">
        <f aca="false">AZ5738-BD5738</f>
        <v>0</v>
      </c>
      <c r="BF5738" s="34" t="n">
        <f aca="false">BD5738*M5738</f>
        <v>30405.7</v>
      </c>
      <c r="BG5738" s="35" t="n">
        <f aca="false">BA5738-BF5738</f>
        <v>-0.700000000000728</v>
      </c>
      <c r="BH5738" s="19" t="str">
        <f aca="false">IF(BG5738=0,"",IF(BG5738&lt;&gt;BA5738,"erreur de calcul",IF(BD5738&lt;&gt;0,"pas de prix",IF(M5738&lt;&gt; 0,"pas de quantité","pas de prix, ni de quantité"))))</f>
        <v>erreur de calcul</v>
      </c>
      <c r="BI5738" s="19"/>
    </row>
    <row r="5739" customFormat="false" ht="15" hidden="false" customHeight="false" outlineLevel="0" collapsed="false">
      <c r="A5739" s="0" t="n">
        <v>44</v>
      </c>
      <c r="B5739" s="8" t="s">
        <v>24</v>
      </c>
      <c r="C5739" s="9" t="s">
        <v>25</v>
      </c>
      <c r="D5739" s="9" t="s">
        <v>26</v>
      </c>
      <c r="E5739" s="10" t="n">
        <v>1789</v>
      </c>
      <c r="F5739" s="9" t="s">
        <v>27</v>
      </c>
      <c r="G5739" s="9" t="s">
        <v>27</v>
      </c>
      <c r="H5739" s="11" t="n">
        <v>21</v>
      </c>
      <c r="I5739" s="11" t="s">
        <v>197</v>
      </c>
      <c r="J5739" s="14" t="n">
        <v>70</v>
      </c>
      <c r="K5739" s="14"/>
      <c r="L5739" s="16"/>
      <c r="M5739" s="27" t="n">
        <f aca="false">J5739+(K5739/20)+(L5739/240)</f>
        <v>70</v>
      </c>
      <c r="N5739" s="17" t="s">
        <v>64</v>
      </c>
      <c r="O5739" s="11"/>
      <c r="P5739" s="28"/>
      <c r="Q5739" s="28" t="n">
        <f aca="false">P5739*$M5739</f>
        <v>0</v>
      </c>
      <c r="R5739" s="28"/>
      <c r="S5739" s="28" t="n">
        <f aca="false">R5739*$M5739</f>
        <v>0</v>
      </c>
      <c r="T5739" s="28"/>
      <c r="U5739" s="28" t="n">
        <f aca="false">T5739*$M5739</f>
        <v>0</v>
      </c>
      <c r="V5739" s="28"/>
      <c r="W5739" s="28" t="n">
        <f aca="false">V5739*$M5739</f>
        <v>0</v>
      </c>
      <c r="X5739" s="28"/>
      <c r="Y5739" s="28" t="n">
        <f aca="false">X5739*$M5739</f>
        <v>0</v>
      </c>
      <c r="Z5739" s="28"/>
      <c r="AA5739" s="28" t="n">
        <f aca="false">Z5739*$M5739</f>
        <v>0</v>
      </c>
      <c r="AB5739" s="28"/>
      <c r="AC5739" s="28" t="n">
        <f aca="false">AB5739*$M5739</f>
        <v>0</v>
      </c>
      <c r="AD5739" s="28"/>
      <c r="AE5739" s="28" t="n">
        <f aca="false">AD5739*$M5739</f>
        <v>0</v>
      </c>
      <c r="AF5739" s="28"/>
      <c r="AG5739" s="28" t="n">
        <f aca="false">AF5739*$M5739</f>
        <v>0</v>
      </c>
      <c r="AH5739" s="28" t="n">
        <f aca="false">156436/100</f>
        <v>1564.36</v>
      </c>
      <c r="AI5739" s="28" t="n">
        <v>109505</v>
      </c>
      <c r="AJ5739" s="28"/>
      <c r="AK5739" s="28" t="n">
        <f aca="false">AJ5739*$M5739</f>
        <v>0</v>
      </c>
      <c r="AL5739" s="28"/>
      <c r="AM5739" s="28" t="n">
        <f aca="false">AL5739*$M5739</f>
        <v>0</v>
      </c>
      <c r="AN5739" s="28"/>
      <c r="AO5739" s="28" t="n">
        <f aca="false">AN5739*$M5739</f>
        <v>0</v>
      </c>
      <c r="AP5739" s="28"/>
      <c r="AQ5739" s="28" t="n">
        <f aca="false">AP5739*$M5739</f>
        <v>0</v>
      </c>
      <c r="AR5739" s="28"/>
      <c r="AS5739" s="28" t="n">
        <f aca="false">AR5739*$M5739</f>
        <v>0</v>
      </c>
      <c r="AT5739" s="28"/>
      <c r="AU5739" s="28" t="n">
        <f aca="false">AT5739*$M5739</f>
        <v>0</v>
      </c>
      <c r="AV5739" s="28"/>
      <c r="AW5739" s="28" t="n">
        <f aca="false">AV5739*$M5739</f>
        <v>0</v>
      </c>
      <c r="AX5739" s="28"/>
      <c r="AY5739" s="28" t="n">
        <f aca="false">AX5739*$M5739</f>
        <v>0</v>
      </c>
      <c r="AZ5739" s="30" t="n">
        <f aca="false">156436/100</f>
        <v>1564.36</v>
      </c>
      <c r="BA5739" s="11" t="n">
        <v>109505</v>
      </c>
      <c r="BB5739" s="31" t="n">
        <f aca="false">SUM(Q5739,S5739,U5739,W5739,Y5739,AA5739,AC5739,AE5739,AG5739,AI5739,AK5739,AM5739,AO5739,AQ5739,AS5739,AU5739,AW5739,AY5739)</f>
        <v>109505</v>
      </c>
      <c r="BC5739" s="28" t="n">
        <f aca="false">BA5739-BB5739</f>
        <v>0</v>
      </c>
      <c r="BD5739" s="32" t="n">
        <f aca="false">SUM(P5739,R5739,T5739,V5739,X5739,Z5739,AB5739,AD5739,AF5739,AH5739,AJ5739,AL5739,AN5739,AP5739,AR5739,AT5739,AV5739,AX5739)</f>
        <v>1564.36</v>
      </c>
      <c r="BE5739" s="33" t="n">
        <f aca="false">AZ5739-BD5739</f>
        <v>0</v>
      </c>
      <c r="BF5739" s="34" t="n">
        <f aca="false">BD5739*M5739</f>
        <v>109505.2</v>
      </c>
      <c r="BG5739" s="35" t="n">
        <f aca="false">BA5739-BF5739</f>
        <v>-0.19999999999709</v>
      </c>
      <c r="BH5739" s="19" t="str">
        <f aca="false">IF(BG5739=0,"",IF(BG5739&lt;&gt;BA5739,"erreur de calcul",IF(BD5739&lt;&gt;0,"pas de prix",IF(M5739&lt;&gt; 0,"pas de quantité","pas de prix, ni de quantité"))))</f>
        <v>erreur de calcul</v>
      </c>
      <c r="BI5739" s="19"/>
    </row>
    <row r="5740" customFormat="false" ht="15" hidden="false" customHeight="false" outlineLevel="0" collapsed="false">
      <c r="A5740" s="0" t="n">
        <v>45</v>
      </c>
      <c r="B5740" s="8" t="s">
        <v>24</v>
      </c>
      <c r="C5740" s="9" t="s">
        <v>25</v>
      </c>
      <c r="D5740" s="9" t="s">
        <v>26</v>
      </c>
      <c r="E5740" s="10" t="n">
        <v>1789</v>
      </c>
      <c r="F5740" s="9" t="s">
        <v>27</v>
      </c>
      <c r="G5740" s="9" t="s">
        <v>27</v>
      </c>
      <c r="H5740" s="11" t="n">
        <v>21</v>
      </c>
      <c r="I5740" s="11" t="s">
        <v>198</v>
      </c>
      <c r="J5740" s="14"/>
      <c r="K5740" s="14"/>
      <c r="L5740" s="16"/>
      <c r="M5740" s="27" t="n">
        <f aca="false">J5740+(K5740/20)+(L5740/240)</f>
        <v>0</v>
      </c>
      <c r="N5740" s="17"/>
      <c r="O5740" s="11" t="s">
        <v>98</v>
      </c>
      <c r="P5740" s="28"/>
      <c r="Q5740" s="28" t="n">
        <v>387</v>
      </c>
      <c r="R5740" s="28"/>
      <c r="S5740" s="28" t="n">
        <f aca="false">R5740*$M5740</f>
        <v>0</v>
      </c>
      <c r="T5740" s="28"/>
      <c r="U5740" s="28" t="n">
        <v>2349</v>
      </c>
      <c r="V5740" s="28"/>
      <c r="W5740" s="28" t="n">
        <v>978</v>
      </c>
      <c r="X5740" s="28"/>
      <c r="Y5740" s="28" t="n">
        <f aca="false">X5740*$M5740</f>
        <v>0</v>
      </c>
      <c r="Z5740" s="28"/>
      <c r="AA5740" s="28" t="n">
        <f aca="false">Z5740*$M5740</f>
        <v>0</v>
      </c>
      <c r="AB5740" s="28"/>
      <c r="AC5740" s="28" t="n">
        <v>328</v>
      </c>
      <c r="AD5740" s="28"/>
      <c r="AE5740" s="28" t="n">
        <f aca="false">AD5740*$M5740</f>
        <v>0</v>
      </c>
      <c r="AF5740" s="28"/>
      <c r="AG5740" s="28" t="n">
        <f aca="false">AF5740*$M5740</f>
        <v>0</v>
      </c>
      <c r="AH5740" s="28"/>
      <c r="AI5740" s="28" t="n">
        <v>878</v>
      </c>
      <c r="AJ5740" s="28"/>
      <c r="AK5740" s="28" t="n">
        <v>1546</v>
      </c>
      <c r="AL5740" s="28"/>
      <c r="AM5740" s="28" t="n">
        <f aca="false">AL5740*$M5740</f>
        <v>0</v>
      </c>
      <c r="AN5740" s="28"/>
      <c r="AO5740" s="28" t="n">
        <f aca="false">AN5740*$M5740</f>
        <v>0</v>
      </c>
      <c r="AP5740" s="28"/>
      <c r="AQ5740" s="28" t="n">
        <f aca="false">AP5740*$M5740</f>
        <v>0</v>
      </c>
      <c r="AR5740" s="28"/>
      <c r="AS5740" s="28" t="n">
        <f aca="false">AR5740*$M5740</f>
        <v>0</v>
      </c>
      <c r="AT5740" s="28"/>
      <c r="AU5740" s="28" t="n">
        <f aca="false">AT5740*$M5740</f>
        <v>0</v>
      </c>
      <c r="AV5740" s="28"/>
      <c r="AW5740" s="28" t="n">
        <f aca="false">AV5740*$M5740</f>
        <v>0</v>
      </c>
      <c r="AX5740" s="28"/>
      <c r="AY5740" s="28" t="n">
        <f aca="false">AX5740*$M5740</f>
        <v>0</v>
      </c>
      <c r="AZ5740" s="30"/>
      <c r="BA5740" s="11" t="n">
        <v>6466</v>
      </c>
      <c r="BB5740" s="31" t="n">
        <f aca="false">SUM(Q5740,S5740,U5740,W5740,Y5740,AA5740,AC5740,AE5740,AG5740,AI5740,AK5740,AM5740,AO5740,AQ5740,AS5740,AU5740,AW5740,AY5740)</f>
        <v>6466</v>
      </c>
      <c r="BC5740" s="28" t="n">
        <f aca="false">BA5740-BB5740</f>
        <v>0</v>
      </c>
      <c r="BD5740" s="32" t="n">
        <f aca="false">SUM(P5740,R5740,T5740,V5740,X5740,Z5740,AB5740,AD5740,AF5740,AH5740,AJ5740,AL5740,AN5740,AP5740,AR5740,AT5740,AV5740,AX5740)</f>
        <v>0</v>
      </c>
      <c r="BE5740" s="33" t="n">
        <f aca="false">AZ5740-BD5740</f>
        <v>0</v>
      </c>
      <c r="BF5740" s="34" t="n">
        <f aca="false">BD5740*M5740</f>
        <v>0</v>
      </c>
      <c r="BG5740" s="35" t="n">
        <f aca="false">BA5740-BF5740</f>
        <v>6466</v>
      </c>
      <c r="BH5740" s="19" t="str">
        <f aca="false">IF(BG5740=0,"",IF(BG5740&lt;&gt;BA5740,"erreur de calcul",IF(BD5740&lt;&gt;0,"pas de prix",IF(M5740&lt;&gt; 0,"pas de quantité","pas de prix, ni de quantité"))))</f>
        <v>pas de prix, ni de quantité</v>
      </c>
      <c r="BI5740" s="19"/>
    </row>
    <row r="5741" customFormat="false" ht="15" hidden="false" customHeight="false" outlineLevel="0" collapsed="false">
      <c r="A5741" s="0" t="n">
        <v>46</v>
      </c>
      <c r="B5741" s="8" t="s">
        <v>24</v>
      </c>
      <c r="C5741" s="9" t="s">
        <v>25</v>
      </c>
      <c r="D5741" s="9" t="s">
        <v>26</v>
      </c>
      <c r="E5741" s="10" t="n">
        <v>1789</v>
      </c>
      <c r="F5741" s="9" t="s">
        <v>27</v>
      </c>
      <c r="G5741" s="9" t="s">
        <v>27</v>
      </c>
      <c r="H5741" s="11" t="n">
        <v>21</v>
      </c>
      <c r="I5741" s="11" t="s">
        <v>199</v>
      </c>
      <c r="J5741" s="14" t="n">
        <v>27</v>
      </c>
      <c r="K5741" s="14"/>
      <c r="L5741" s="16"/>
      <c r="M5741" s="27" t="n">
        <f aca="false">J5741+(K5741/20)+(L5741/240)</f>
        <v>27</v>
      </c>
      <c r="N5741" s="17" t="s">
        <v>64</v>
      </c>
      <c r="O5741" s="11"/>
      <c r="P5741" s="28" t="n">
        <f aca="false">108627/100</f>
        <v>1086.27</v>
      </c>
      <c r="Q5741" s="28" t="n">
        <v>29329</v>
      </c>
      <c r="R5741" s="28"/>
      <c r="S5741" s="28" t="n">
        <f aca="false">R5741*$M5741</f>
        <v>0</v>
      </c>
      <c r="T5741" s="28"/>
      <c r="U5741" s="28" t="n">
        <f aca="false">T5741*$M5741</f>
        <v>0</v>
      </c>
      <c r="V5741" s="28"/>
      <c r="W5741" s="28" t="n">
        <f aca="false">V5741*$M5741</f>
        <v>0</v>
      </c>
      <c r="X5741" s="28"/>
      <c r="Y5741" s="28" t="n">
        <f aca="false">X5741*$M5741</f>
        <v>0</v>
      </c>
      <c r="Z5741" s="28" t="n">
        <f aca="false">535243/100</f>
        <v>5352.43</v>
      </c>
      <c r="AA5741" s="28" t="n">
        <v>144516</v>
      </c>
      <c r="AB5741" s="28"/>
      <c r="AC5741" s="28" t="n">
        <f aca="false">AB5741*$M5741</f>
        <v>0</v>
      </c>
      <c r="AD5741" s="28" t="n">
        <f aca="false">75759/100</f>
        <v>757.59</v>
      </c>
      <c r="AE5741" s="28" t="n">
        <v>20455</v>
      </c>
      <c r="AF5741" s="28"/>
      <c r="AG5741" s="28" t="n">
        <f aca="false">AF5741*$M5741</f>
        <v>0</v>
      </c>
      <c r="AH5741" s="28" t="n">
        <f aca="false">77800/100</f>
        <v>778</v>
      </c>
      <c r="AI5741" s="36" t="n">
        <v>21016</v>
      </c>
      <c r="AJ5741" s="28" t="n">
        <f aca="false">28078/100</f>
        <v>280.78</v>
      </c>
      <c r="AK5741" s="28" t="n">
        <v>7581</v>
      </c>
      <c r="AL5741" s="28" t="n">
        <f aca="false">15417/100</f>
        <v>154.17</v>
      </c>
      <c r="AM5741" s="28" t="n">
        <v>4162</v>
      </c>
      <c r="AN5741" s="28"/>
      <c r="AO5741" s="28" t="n">
        <f aca="false">AN5741*$M5741</f>
        <v>0</v>
      </c>
      <c r="AP5741" s="28"/>
      <c r="AQ5741" s="28" t="n">
        <f aca="false">AP5741*$M5741</f>
        <v>0</v>
      </c>
      <c r="AR5741" s="28"/>
      <c r="AS5741" s="28" t="n">
        <f aca="false">AR5741*$M5741</f>
        <v>0</v>
      </c>
      <c r="AT5741" s="28"/>
      <c r="AU5741" s="28" t="n">
        <f aca="false">AT5741*$M5741</f>
        <v>0</v>
      </c>
      <c r="AV5741" s="28"/>
      <c r="AW5741" s="28" t="n">
        <f aca="false">AV5741*$M5741</f>
        <v>0</v>
      </c>
      <c r="AX5741" s="28"/>
      <c r="AY5741" s="28" t="n">
        <f aca="false">AX5741*$M5741</f>
        <v>0</v>
      </c>
      <c r="AZ5741" s="30" t="n">
        <f aca="false">840924/100</f>
        <v>8409.24</v>
      </c>
      <c r="BA5741" s="11" t="n">
        <v>227059</v>
      </c>
      <c r="BB5741" s="31" t="n">
        <f aca="false">SUM(Q5741,S5741,U5741,W5741,Y5741,AA5741,AC5741,AE5741,AG5741,AI5741,AK5741,AM5741,AO5741,AQ5741,AS5741,AU5741,AW5741,AY5741)</f>
        <v>227059</v>
      </c>
      <c r="BC5741" s="28" t="n">
        <f aca="false">BA5741-BB5741</f>
        <v>0</v>
      </c>
      <c r="BD5741" s="32" t="n">
        <f aca="false">SUM(P5741,R5741,T5741,V5741,X5741,Z5741,AB5741,AD5741,AF5741,AH5741,AJ5741,AL5741,AN5741,AP5741,AR5741,AT5741,AV5741,AX5741)</f>
        <v>8409.24</v>
      </c>
      <c r="BE5741" s="33" t="n">
        <f aca="false">AZ5741-BD5741</f>
        <v>0</v>
      </c>
      <c r="BF5741" s="34" t="n">
        <f aca="false">BD5741*M5741</f>
        <v>227049.48</v>
      </c>
      <c r="BG5741" s="35" t="n">
        <f aca="false">BA5741-BF5741</f>
        <v>9.52000000001863</v>
      </c>
      <c r="BH5741" s="19" t="str">
        <f aca="false">IF(BG5741=0,"",IF(BG5741&lt;&gt;BA5741,"erreur de calcul",IF(BD5741&lt;&gt;0,"pas de prix",IF(M5741&lt;&gt; 0,"pas de quantité","pas de prix, ni de quantité"))))</f>
        <v>erreur de calcul</v>
      </c>
      <c r="BI5741" s="19"/>
    </row>
    <row r="5742" customFormat="false" ht="15" hidden="false" customHeight="false" outlineLevel="0" collapsed="false">
      <c r="A5742" s="0" t="n">
        <v>47</v>
      </c>
      <c r="B5742" s="8" t="s">
        <v>24</v>
      </c>
      <c r="C5742" s="9" t="s">
        <v>25</v>
      </c>
      <c r="D5742" s="9" t="s">
        <v>26</v>
      </c>
      <c r="E5742" s="10" t="n">
        <v>1789</v>
      </c>
      <c r="F5742" s="9" t="s">
        <v>27</v>
      </c>
      <c r="G5742" s="9" t="s">
        <v>27</v>
      </c>
      <c r="H5742" s="11" t="n">
        <v>21</v>
      </c>
      <c r="I5742" s="11" t="s">
        <v>200</v>
      </c>
      <c r="J5742" s="14" t="n">
        <v>25</v>
      </c>
      <c r="K5742" s="14"/>
      <c r="L5742" s="16"/>
      <c r="M5742" s="27" t="n">
        <f aca="false">J5742+(K5742/20)+(L5742/240)</f>
        <v>25</v>
      </c>
      <c r="N5742" s="17" t="s">
        <v>64</v>
      </c>
      <c r="O5742" s="11"/>
      <c r="P5742" s="28"/>
      <c r="Q5742" s="28" t="n">
        <f aca="false">P5742*$M5742</f>
        <v>0</v>
      </c>
      <c r="R5742" s="28"/>
      <c r="S5742" s="28" t="n">
        <f aca="false">R5742*$M5742</f>
        <v>0</v>
      </c>
      <c r="T5742" s="28" t="n">
        <f aca="false">56427/100</f>
        <v>564.27</v>
      </c>
      <c r="U5742" s="28" t="n">
        <v>14107</v>
      </c>
      <c r="V5742" s="28"/>
      <c r="W5742" s="28" t="n">
        <f aca="false">V5742*$M5742</f>
        <v>0</v>
      </c>
      <c r="X5742" s="28" t="n">
        <f aca="false">98758/100</f>
        <v>987.58</v>
      </c>
      <c r="Y5742" s="28" t="n">
        <v>24689</v>
      </c>
      <c r="Z5742" s="28"/>
      <c r="AA5742" s="28" t="n">
        <f aca="false">Z5742*$M5742</f>
        <v>0</v>
      </c>
      <c r="AB5742" s="28"/>
      <c r="AC5742" s="28" t="n">
        <f aca="false">AB5742*$M5742</f>
        <v>0</v>
      </c>
      <c r="AD5742" s="28"/>
      <c r="AE5742" s="28" t="n">
        <f aca="false">AD5742*$M5742</f>
        <v>0</v>
      </c>
      <c r="AF5742" s="28"/>
      <c r="AG5742" s="28" t="n">
        <f aca="false">AF5742*$M5742</f>
        <v>0</v>
      </c>
      <c r="AH5742" s="28"/>
      <c r="AI5742" s="28" t="n">
        <f aca="false">AH5742*$M5742</f>
        <v>0</v>
      </c>
      <c r="AJ5742" s="28"/>
      <c r="AK5742" s="28" t="n">
        <f aca="false">AJ5742*$M5742</f>
        <v>0</v>
      </c>
      <c r="AL5742" s="28"/>
      <c r="AM5742" s="28" t="n">
        <f aca="false">AL5742*$M5742</f>
        <v>0</v>
      </c>
      <c r="AN5742" s="28"/>
      <c r="AO5742" s="28" t="n">
        <f aca="false">AN5742*$M5742</f>
        <v>0</v>
      </c>
      <c r="AP5742" s="28"/>
      <c r="AQ5742" s="28" t="n">
        <f aca="false">AP5742*$M5742</f>
        <v>0</v>
      </c>
      <c r="AR5742" s="28"/>
      <c r="AS5742" s="28" t="n">
        <f aca="false">AR5742*$M5742</f>
        <v>0</v>
      </c>
      <c r="AT5742" s="28"/>
      <c r="AU5742" s="28" t="n">
        <f aca="false">AT5742*$M5742</f>
        <v>0</v>
      </c>
      <c r="AV5742" s="28"/>
      <c r="AW5742" s="28" t="n">
        <f aca="false">AV5742*$M5742</f>
        <v>0</v>
      </c>
      <c r="AX5742" s="28"/>
      <c r="AY5742" s="28" t="n">
        <f aca="false">AX5742*$M5742</f>
        <v>0</v>
      </c>
      <c r="AZ5742" s="30" t="n">
        <f aca="false">155115/100</f>
        <v>1551.15</v>
      </c>
      <c r="BA5742" s="11" t="n">
        <v>38796</v>
      </c>
      <c r="BB5742" s="31" t="n">
        <f aca="false">SUM(Q5742,S5742,U5742,W5742,Y5742,AA5742,AC5742,AE5742,AG5742,AI5742,AK5742,AM5742,AO5742,AQ5742,AS5742,AU5742,AW5742,AY5742)</f>
        <v>38796</v>
      </c>
      <c r="BC5742" s="28" t="n">
        <f aca="false">BA5742-BB5742</f>
        <v>0</v>
      </c>
      <c r="BD5742" s="32" t="n">
        <f aca="false">SUM(P5742,R5742,T5742,V5742,X5742,Z5742,AB5742,AD5742,AF5742,AH5742,AJ5742,AL5742,AN5742,AP5742,AR5742,AT5742,AV5742,AX5742)</f>
        <v>1551.85</v>
      </c>
      <c r="BE5742" s="33" t="n">
        <f aca="false">AZ5742-BD5742</f>
        <v>-0.699999999999818</v>
      </c>
      <c r="BF5742" s="34" t="n">
        <f aca="false">BD5742*M5742</f>
        <v>38796.25</v>
      </c>
      <c r="BG5742" s="35" t="n">
        <f aca="false">BA5742-BF5742</f>
        <v>-0.25</v>
      </c>
      <c r="BH5742" s="19" t="str">
        <f aca="false">IF(BG5742=0,"",IF(BG5742&lt;&gt;BA5742,"erreur de calcul",IF(BD5742&lt;&gt;0,"pas de prix",IF(M5742&lt;&gt; 0,"pas de quantité","pas de prix, ni de quantité"))))</f>
        <v>erreur de calcul</v>
      </c>
      <c r="BI5742" s="19"/>
    </row>
    <row r="5743" customFormat="false" ht="15" hidden="false" customHeight="false" outlineLevel="0" collapsed="false">
      <c r="A5743" s="0" t="n">
        <v>48</v>
      </c>
      <c r="B5743" s="8" t="s">
        <v>24</v>
      </c>
      <c r="C5743" s="9" t="s">
        <v>25</v>
      </c>
      <c r="D5743" s="9" t="s">
        <v>26</v>
      </c>
      <c r="E5743" s="10" t="n">
        <v>1789</v>
      </c>
      <c r="F5743" s="9" t="s">
        <v>27</v>
      </c>
      <c r="G5743" s="9" t="s">
        <v>27</v>
      </c>
      <c r="H5743" s="11" t="n">
        <v>21</v>
      </c>
      <c r="I5743" s="11" t="s">
        <v>201</v>
      </c>
      <c r="J5743" s="14"/>
      <c r="K5743" s="14" t="n">
        <v>15</v>
      </c>
      <c r="L5743" s="16"/>
      <c r="M5743" s="27" t="n">
        <f aca="false">J5743+(K5743/20)+(L5743/240)</f>
        <v>0.75</v>
      </c>
      <c r="N5743" s="17" t="s">
        <v>66</v>
      </c>
      <c r="O5743" s="11"/>
      <c r="P5743" s="28"/>
      <c r="Q5743" s="28" t="n">
        <f aca="false">P5743*$M5743</f>
        <v>0</v>
      </c>
      <c r="R5743" s="28"/>
      <c r="S5743" s="28" t="n">
        <f aca="false">R5743*$M5743</f>
        <v>0</v>
      </c>
      <c r="T5743" s="28"/>
      <c r="U5743" s="28" t="n">
        <f aca="false">T5743*$M5743</f>
        <v>0</v>
      </c>
      <c r="V5743" s="28"/>
      <c r="W5743" s="28" t="n">
        <f aca="false">V5743*$M5743</f>
        <v>0</v>
      </c>
      <c r="X5743" s="28"/>
      <c r="Y5743" s="28" t="n">
        <f aca="false">X5743*$M5743</f>
        <v>0</v>
      </c>
      <c r="Z5743" s="28"/>
      <c r="AA5743" s="28" t="n">
        <f aca="false">Z5743*$M5743</f>
        <v>0</v>
      </c>
      <c r="AB5743" s="28"/>
      <c r="AC5743" s="28" t="n">
        <f aca="false">AB5743*$M5743</f>
        <v>0</v>
      </c>
      <c r="AD5743" s="28"/>
      <c r="AE5743" s="28" t="n">
        <f aca="false">AD5743*$M5743</f>
        <v>0</v>
      </c>
      <c r="AF5743" s="28"/>
      <c r="AG5743" s="28" t="n">
        <f aca="false">AF5743*$M5743</f>
        <v>0</v>
      </c>
      <c r="AH5743" s="28"/>
      <c r="AI5743" s="28" t="n">
        <f aca="false">AH5743*$M5743</f>
        <v>0</v>
      </c>
      <c r="AJ5743" s="28" t="n">
        <v>6171</v>
      </c>
      <c r="AK5743" s="28" t="n">
        <v>4628</v>
      </c>
      <c r="AL5743" s="28"/>
      <c r="AM5743" s="28" t="n">
        <f aca="false">AL5743*$M5743</f>
        <v>0</v>
      </c>
      <c r="AN5743" s="28"/>
      <c r="AO5743" s="28" t="n">
        <f aca="false">AN5743*$M5743</f>
        <v>0</v>
      </c>
      <c r="AP5743" s="28"/>
      <c r="AQ5743" s="28" t="n">
        <f aca="false">AP5743*$M5743</f>
        <v>0</v>
      </c>
      <c r="AR5743" s="28"/>
      <c r="AS5743" s="28" t="n">
        <f aca="false">AR5743*$M5743</f>
        <v>0</v>
      </c>
      <c r="AT5743" s="28"/>
      <c r="AU5743" s="28" t="n">
        <f aca="false">AT5743*$M5743</f>
        <v>0</v>
      </c>
      <c r="AV5743" s="28"/>
      <c r="AW5743" s="28" t="n">
        <f aca="false">AV5743*$M5743</f>
        <v>0</v>
      </c>
      <c r="AX5743" s="28"/>
      <c r="AY5743" s="28" t="n">
        <f aca="false">AX5743*$M5743</f>
        <v>0</v>
      </c>
      <c r="AZ5743" s="30" t="n">
        <v>6171</v>
      </c>
      <c r="BA5743" s="11" t="n">
        <v>4628</v>
      </c>
      <c r="BB5743" s="31" t="n">
        <f aca="false">SUM(Q5743,S5743,U5743,W5743,Y5743,AA5743,AC5743,AE5743,AG5743,AI5743,AK5743,AM5743,AO5743,AQ5743,AS5743,AU5743,AW5743,AY5743)</f>
        <v>4628</v>
      </c>
      <c r="BC5743" s="28" t="n">
        <f aca="false">BA5743-BB5743</f>
        <v>0</v>
      </c>
      <c r="BD5743" s="32" t="n">
        <f aca="false">SUM(P5743,R5743,T5743,V5743,X5743,Z5743,AB5743,AD5743,AF5743,AH5743,AJ5743,AL5743,AN5743,AP5743,AR5743,AT5743,AV5743,AX5743)</f>
        <v>6171</v>
      </c>
      <c r="BE5743" s="33" t="n">
        <f aca="false">AZ5743-BD5743</f>
        <v>0</v>
      </c>
      <c r="BF5743" s="34" t="n">
        <f aca="false">BD5743*M5743</f>
        <v>4628.25</v>
      </c>
      <c r="BG5743" s="35" t="n">
        <f aca="false">BA5743-BF5743</f>
        <v>-0.25</v>
      </c>
      <c r="BH5743" s="19" t="str">
        <f aca="false">IF(BG5743=0,"",IF(BG5743&lt;&gt;BA5743,"erreur de calcul",IF(BD5743&lt;&gt;0,"pas de prix",IF(M5743&lt;&gt; 0,"pas de quantité","pas de prix, ni de quantité"))))</f>
        <v>erreur de calcul</v>
      </c>
      <c r="BI5743" s="19"/>
    </row>
    <row r="5744" customFormat="false" ht="15" hidden="false" customHeight="false" outlineLevel="0" collapsed="false">
      <c r="A5744" s="0" t="n">
        <v>1</v>
      </c>
      <c r="B5744" s="8" t="s">
        <v>24</v>
      </c>
      <c r="C5744" s="9" t="s">
        <v>25</v>
      </c>
      <c r="D5744" s="9" t="s">
        <v>26</v>
      </c>
      <c r="E5744" s="10" t="n">
        <v>1789</v>
      </c>
      <c r="F5744" s="9" t="s">
        <v>27</v>
      </c>
      <c r="G5744" s="9" t="s">
        <v>27</v>
      </c>
      <c r="H5744" s="11" t="n">
        <v>22</v>
      </c>
      <c r="I5744" s="11" t="s">
        <v>202</v>
      </c>
      <c r="J5744" s="14" t="n">
        <v>10</v>
      </c>
      <c r="K5744" s="14"/>
      <c r="L5744" s="16"/>
      <c r="M5744" s="27" t="n">
        <f aca="false">J5744+(K5744/20)+(L5744/240)</f>
        <v>10</v>
      </c>
      <c r="N5744" s="17" t="s">
        <v>64</v>
      </c>
      <c r="O5744" s="11"/>
      <c r="P5744" s="28" t="n">
        <f aca="false">36147/100</f>
        <v>361.47</v>
      </c>
      <c r="Q5744" s="28" t="n">
        <v>3615</v>
      </c>
      <c r="R5744" s="28"/>
      <c r="S5744" s="28" t="n">
        <f aca="false">R5744*$M5744</f>
        <v>0</v>
      </c>
      <c r="T5744" s="28"/>
      <c r="U5744" s="28" t="n">
        <f aca="false">T5744*$M5744</f>
        <v>0</v>
      </c>
      <c r="V5744" s="28"/>
      <c r="W5744" s="28" t="n">
        <f aca="false">V5744*$M5744</f>
        <v>0</v>
      </c>
      <c r="X5744" s="28"/>
      <c r="Y5744" s="28" t="n">
        <f aca="false">X5744*$M5744</f>
        <v>0</v>
      </c>
      <c r="Z5744" s="28"/>
      <c r="AA5744" s="28" t="n">
        <f aca="false">Z5744*$M5744</f>
        <v>0</v>
      </c>
      <c r="AB5744" s="28" t="n">
        <f aca="false">14437/100</f>
        <v>144.37</v>
      </c>
      <c r="AC5744" s="28" t="n">
        <v>1444</v>
      </c>
      <c r="AD5744" s="28"/>
      <c r="AE5744" s="28" t="n">
        <f aca="false">AD5744*$M5744</f>
        <v>0</v>
      </c>
      <c r="AF5744" s="28"/>
      <c r="AG5744" s="28" t="n">
        <f aca="false">AF5744*$M5744</f>
        <v>0</v>
      </c>
      <c r="AH5744" s="28"/>
      <c r="AI5744" s="28" t="n">
        <f aca="false">AH5744*$M5744</f>
        <v>0</v>
      </c>
      <c r="AJ5744" s="28" t="n">
        <f aca="false">36351/100</f>
        <v>363.51</v>
      </c>
      <c r="AK5744" s="28" t="n">
        <v>3635</v>
      </c>
      <c r="AL5744" s="28"/>
      <c r="AM5744" s="28" t="n">
        <f aca="false">AL5744*$M5744</f>
        <v>0</v>
      </c>
      <c r="AN5744" s="28"/>
      <c r="AO5744" s="28" t="n">
        <f aca="false">AN5744*$M5744</f>
        <v>0</v>
      </c>
      <c r="AP5744" s="28"/>
      <c r="AQ5744" s="28" t="n">
        <f aca="false">AP5744*$M5744</f>
        <v>0</v>
      </c>
      <c r="AR5744" s="28" t="n">
        <f aca="false">25120/100</f>
        <v>251.2</v>
      </c>
      <c r="AS5744" s="28" t="n">
        <v>2512</v>
      </c>
      <c r="AT5744" s="28"/>
      <c r="AU5744" s="28" t="n">
        <f aca="false">AT5744*$M5744</f>
        <v>0</v>
      </c>
      <c r="AV5744" s="28"/>
      <c r="AW5744" s="28" t="n">
        <f aca="false">AV5744*$M5744</f>
        <v>0</v>
      </c>
      <c r="AX5744" s="28"/>
      <c r="AY5744" s="28" t="n">
        <f aca="false">AX5744*$M5744</f>
        <v>0</v>
      </c>
      <c r="AZ5744" s="30" t="n">
        <f aca="false">112055/100</f>
        <v>1120.55</v>
      </c>
      <c r="BA5744" s="11" t="n">
        <v>11206</v>
      </c>
      <c r="BB5744" s="31" t="n">
        <f aca="false">SUM(Q5744,S5744,U5744,W5744,Y5744,AA5744,AC5744,AE5744,AG5744,AI5744,AK5744,AM5744,AO5744,AQ5744,AS5744,AU5744,AW5744,AY5744)</f>
        <v>11206</v>
      </c>
      <c r="BC5744" s="28" t="n">
        <f aca="false">BA5744-BB5744</f>
        <v>0</v>
      </c>
      <c r="BD5744" s="32" t="n">
        <f aca="false">SUM(P5744,R5744,T5744,V5744,X5744,Z5744,AB5744,AD5744,AF5744,AH5744,AJ5744,AL5744,AN5744,AP5744,AR5744,AT5744,AV5744,AX5744)</f>
        <v>1120.55</v>
      </c>
      <c r="BE5744" s="33" t="n">
        <f aca="false">AZ5744-BD5744</f>
        <v>0</v>
      </c>
      <c r="BF5744" s="34" t="n">
        <f aca="false">BD5744*M5744</f>
        <v>11205.5</v>
      </c>
      <c r="BG5744" s="35" t="n">
        <f aca="false">BA5744-BF5744</f>
        <v>0.499999999998181</v>
      </c>
      <c r="BH5744" s="19" t="str">
        <f aca="false">IF(BG5744=0,"",IF(BG5744&lt;&gt;BA5744,"erreur de calcul",IF(BD5744&lt;&gt;0,"pas de prix",IF(M5744&lt;&gt; 0,"pas de quantité","pas de prix, ni de quantité"))))</f>
        <v>erreur de calcul</v>
      </c>
      <c r="BI5744" s="19"/>
    </row>
    <row r="5745" customFormat="false" ht="15" hidden="false" customHeight="false" outlineLevel="0" collapsed="false">
      <c r="A5745" s="0" t="n">
        <v>2</v>
      </c>
      <c r="B5745" s="8" t="s">
        <v>24</v>
      </c>
      <c r="C5745" s="9" t="s">
        <v>25</v>
      </c>
      <c r="D5745" s="9" t="s">
        <v>26</v>
      </c>
      <c r="E5745" s="10" t="n">
        <v>1789</v>
      </c>
      <c r="F5745" s="9" t="s">
        <v>27</v>
      </c>
      <c r="G5745" s="9" t="s">
        <v>27</v>
      </c>
      <c r="H5745" s="11" t="n">
        <v>22</v>
      </c>
      <c r="I5745" s="11" t="s">
        <v>203</v>
      </c>
      <c r="J5745" s="14" t="n">
        <v>20</v>
      </c>
      <c r="K5745" s="14"/>
      <c r="L5745" s="16"/>
      <c r="M5745" s="27" t="n">
        <f aca="false">J5745+(K5745/20)+(L5745/240)</f>
        <v>20</v>
      </c>
      <c r="N5745" s="17" t="s">
        <v>64</v>
      </c>
      <c r="O5745" s="11"/>
      <c r="P5745" s="28"/>
      <c r="Q5745" s="28" t="n">
        <f aca="false">P5745*$M5745</f>
        <v>0</v>
      </c>
      <c r="R5745" s="28"/>
      <c r="S5745" s="28" t="n">
        <f aca="false">R5745*$M5745</f>
        <v>0</v>
      </c>
      <c r="T5745" s="28"/>
      <c r="U5745" s="28" t="n">
        <f aca="false">T5745*$M5745</f>
        <v>0</v>
      </c>
      <c r="V5745" s="28"/>
      <c r="W5745" s="28" t="n">
        <f aca="false">V5745*$M5745</f>
        <v>0</v>
      </c>
      <c r="X5745" s="28"/>
      <c r="Y5745" s="28" t="n">
        <f aca="false">X5745*$M5745</f>
        <v>0</v>
      </c>
      <c r="Z5745" s="28"/>
      <c r="AA5745" s="28" t="n">
        <f aca="false">Z5745*$M5745</f>
        <v>0</v>
      </c>
      <c r="AB5745" s="28"/>
      <c r="AC5745" s="28" t="n">
        <f aca="false">AB5745*$M5745</f>
        <v>0</v>
      </c>
      <c r="AD5745" s="28"/>
      <c r="AE5745" s="28" t="n">
        <f aca="false">AD5745*$M5745</f>
        <v>0</v>
      </c>
      <c r="AF5745" s="28"/>
      <c r="AG5745" s="28" t="n">
        <f aca="false">AF5745*$M5745</f>
        <v>0</v>
      </c>
      <c r="AH5745" s="28"/>
      <c r="AI5745" s="28" t="n">
        <f aca="false">AH5745*$M5745</f>
        <v>0</v>
      </c>
      <c r="AJ5745" s="28" t="n">
        <f aca="false">109254/100</f>
        <v>1092.54</v>
      </c>
      <c r="AK5745" s="28" t="n">
        <v>21851</v>
      </c>
      <c r="AL5745" s="28"/>
      <c r="AM5745" s="28" t="n">
        <f aca="false">AL5745*$M5745</f>
        <v>0</v>
      </c>
      <c r="AN5745" s="28"/>
      <c r="AO5745" s="28" t="n">
        <f aca="false">AN5745*$M5745</f>
        <v>0</v>
      </c>
      <c r="AP5745" s="28"/>
      <c r="AQ5745" s="28" t="n">
        <f aca="false">AP5745*$M5745</f>
        <v>0</v>
      </c>
      <c r="AR5745" s="28"/>
      <c r="AS5745" s="28" t="n">
        <f aca="false">AR5745*$M5745</f>
        <v>0</v>
      </c>
      <c r="AT5745" s="28"/>
      <c r="AU5745" s="28" t="n">
        <f aca="false">AT5745*$M5745</f>
        <v>0</v>
      </c>
      <c r="AV5745" s="28"/>
      <c r="AW5745" s="28" t="n">
        <f aca="false">AV5745*$M5745</f>
        <v>0</v>
      </c>
      <c r="AX5745" s="28"/>
      <c r="AY5745" s="28" t="n">
        <f aca="false">AX5745*$M5745</f>
        <v>0</v>
      </c>
      <c r="AZ5745" s="30" t="n">
        <f aca="false">109254/100</f>
        <v>1092.54</v>
      </c>
      <c r="BA5745" s="11" t="n">
        <v>21851</v>
      </c>
      <c r="BB5745" s="31" t="n">
        <f aca="false">SUM(Q5745,S5745,U5745,W5745,Y5745,AA5745,AC5745,AE5745,AG5745,AI5745,AK5745,AM5745,AO5745,AQ5745,AS5745,AU5745,AW5745,AY5745)</f>
        <v>21851</v>
      </c>
      <c r="BC5745" s="28" t="n">
        <f aca="false">BA5745-BB5745</f>
        <v>0</v>
      </c>
      <c r="BD5745" s="32" t="n">
        <f aca="false">SUM(P5745,R5745,T5745,V5745,X5745,Z5745,AB5745,AD5745,AF5745,AH5745,AJ5745,AL5745,AN5745,AP5745,AR5745,AT5745,AV5745,AX5745)</f>
        <v>1092.54</v>
      </c>
      <c r="BE5745" s="33" t="n">
        <f aca="false">AZ5745-BD5745</f>
        <v>0</v>
      </c>
      <c r="BF5745" s="34" t="n">
        <f aca="false">BD5745*M5745</f>
        <v>21850.8</v>
      </c>
      <c r="BG5745" s="35" t="n">
        <f aca="false">BA5745-BF5745</f>
        <v>0.200000000000728</v>
      </c>
      <c r="BH5745" s="19" t="str">
        <f aca="false">IF(BG5745=0,"",IF(BG5745&lt;&gt;BA5745,"erreur de calcul",IF(BD5745&lt;&gt;0,"pas de prix",IF(M5745&lt;&gt; 0,"pas de quantité","pas de prix, ni de quantité"))))</f>
        <v>erreur de calcul</v>
      </c>
      <c r="BI5745" s="19"/>
    </row>
    <row r="5746" customFormat="false" ht="15" hidden="false" customHeight="false" outlineLevel="0" collapsed="false">
      <c r="A5746" s="0" t="n">
        <v>3</v>
      </c>
      <c r="B5746" s="8" t="s">
        <v>24</v>
      </c>
      <c r="C5746" s="9" t="s">
        <v>25</v>
      </c>
      <c r="D5746" s="9" t="s">
        <v>26</v>
      </c>
      <c r="E5746" s="10" t="n">
        <v>1789</v>
      </c>
      <c r="F5746" s="9" t="s">
        <v>27</v>
      </c>
      <c r="G5746" s="9" t="s">
        <v>27</v>
      </c>
      <c r="H5746" s="11" t="n">
        <v>22</v>
      </c>
      <c r="I5746" s="11" t="s">
        <v>204</v>
      </c>
      <c r="J5746" s="14" t="n">
        <v>20</v>
      </c>
      <c r="K5746" s="14"/>
      <c r="L5746" s="16"/>
      <c r="M5746" s="27" t="n">
        <f aca="false">J5746+(K5746/20)+(L5746/240)</f>
        <v>20</v>
      </c>
      <c r="N5746" s="17" t="s">
        <v>66</v>
      </c>
      <c r="O5746" s="11"/>
      <c r="P5746" s="28" t="n">
        <v>106125</v>
      </c>
      <c r="Q5746" s="36" t="n">
        <v>2162500</v>
      </c>
      <c r="R5746" s="28"/>
      <c r="S5746" s="28" t="n">
        <f aca="false">R5746*$M5746</f>
        <v>0</v>
      </c>
      <c r="T5746" s="28"/>
      <c r="U5746" s="28" t="n">
        <f aca="false">T5746*$M5746</f>
        <v>0</v>
      </c>
      <c r="V5746" s="28"/>
      <c r="W5746" s="28" t="n">
        <f aca="false">V5746*$M5746</f>
        <v>0</v>
      </c>
      <c r="X5746" s="28"/>
      <c r="Y5746" s="28" t="n">
        <f aca="false">X5746*$M5746</f>
        <v>0</v>
      </c>
      <c r="Z5746" s="28"/>
      <c r="AA5746" s="28" t="n">
        <f aca="false">Z5746*$M5746</f>
        <v>0</v>
      </c>
      <c r="AB5746" s="28"/>
      <c r="AC5746" s="28" t="n">
        <f aca="false">AB5746*$M5746</f>
        <v>0</v>
      </c>
      <c r="AD5746" s="28"/>
      <c r="AE5746" s="28" t="n">
        <f aca="false">AD5746*$M5746</f>
        <v>0</v>
      </c>
      <c r="AF5746" s="28"/>
      <c r="AG5746" s="28" t="n">
        <f aca="false">AF5746*$M5746</f>
        <v>0</v>
      </c>
      <c r="AH5746" s="28"/>
      <c r="AI5746" s="28" t="n">
        <f aca="false">AH5746*$M5746</f>
        <v>0</v>
      </c>
      <c r="AJ5746" s="28"/>
      <c r="AK5746" s="28" t="n">
        <f aca="false">AJ5746*$M5746</f>
        <v>0</v>
      </c>
      <c r="AL5746" s="28"/>
      <c r="AM5746" s="28" t="n">
        <f aca="false">AL5746*$M5746</f>
        <v>0</v>
      </c>
      <c r="AN5746" s="28"/>
      <c r="AO5746" s="28" t="n">
        <f aca="false">AN5746*$M5746</f>
        <v>0</v>
      </c>
      <c r="AP5746" s="28"/>
      <c r="AQ5746" s="28" t="n">
        <f aca="false">AP5746*$M5746</f>
        <v>0</v>
      </c>
      <c r="AR5746" s="28"/>
      <c r="AS5746" s="28" t="n">
        <f aca="false">AR5746*$M5746</f>
        <v>0</v>
      </c>
      <c r="AT5746" s="28"/>
      <c r="AU5746" s="28" t="n">
        <f aca="false">AT5746*$M5746</f>
        <v>0</v>
      </c>
      <c r="AV5746" s="28"/>
      <c r="AW5746" s="28" t="n">
        <f aca="false">AV5746*$M5746</f>
        <v>0</v>
      </c>
      <c r="AX5746" s="28"/>
      <c r="AY5746" s="28" t="n">
        <f aca="false">AX5746*$M5746</f>
        <v>0</v>
      </c>
      <c r="AZ5746" s="30" t="n">
        <v>108125</v>
      </c>
      <c r="BA5746" s="11" t="n">
        <v>2162500</v>
      </c>
      <c r="BB5746" s="31" t="n">
        <f aca="false">SUM(Q5746,S5746,U5746,W5746,Y5746,AA5746,AC5746,AE5746,AG5746,AI5746,AK5746,AM5746,AO5746,AQ5746,AS5746,AU5746,AW5746,AY5746)</f>
        <v>2162500</v>
      </c>
      <c r="BC5746" s="28" t="n">
        <f aca="false">BA5746-BB5746</f>
        <v>0</v>
      </c>
      <c r="BD5746" s="32" t="n">
        <f aca="false">SUM(P5746,R5746,T5746,V5746,X5746,Z5746,AB5746,AD5746,AF5746,AH5746,AJ5746,AL5746,AN5746,AP5746,AR5746,AT5746,AV5746,AX5746)</f>
        <v>106125</v>
      </c>
      <c r="BE5746" s="33" t="n">
        <f aca="false">AZ5746-BD5746</f>
        <v>2000</v>
      </c>
      <c r="BF5746" s="34" t="n">
        <f aca="false">BD5746*M5746</f>
        <v>2122500</v>
      </c>
      <c r="BG5746" s="35" t="n">
        <f aca="false">BA5746-BF5746</f>
        <v>40000</v>
      </c>
      <c r="BH5746" s="19" t="str">
        <f aca="false">IF(BG5746=0,"",IF(BG5746&lt;&gt;BA5746,"erreur de calcul",IF(BD5746&lt;&gt;0,"pas de prix",IF(M5746&lt;&gt; 0,"pas de quantité","pas de prix, ni de quantité"))))</f>
        <v>erreur de calcul</v>
      </c>
      <c r="BI5746" s="19"/>
    </row>
    <row r="5747" customFormat="false" ht="15" hidden="false" customHeight="false" outlineLevel="0" collapsed="false">
      <c r="A5747" s="0" t="n">
        <v>4</v>
      </c>
      <c r="B5747" s="8" t="s">
        <v>24</v>
      </c>
      <c r="C5747" s="9" t="s">
        <v>25</v>
      </c>
      <c r="D5747" s="9" t="s">
        <v>26</v>
      </c>
      <c r="E5747" s="10" t="n">
        <v>1789</v>
      </c>
      <c r="F5747" s="9" t="s">
        <v>27</v>
      </c>
      <c r="G5747" s="9" t="s">
        <v>27</v>
      </c>
      <c r="H5747" s="11" t="n">
        <v>22</v>
      </c>
      <c r="I5747" s="11" t="s">
        <v>205</v>
      </c>
      <c r="J5747" s="14" t="n">
        <v>15</v>
      </c>
      <c r="K5747" s="14"/>
      <c r="L5747" s="16"/>
      <c r="M5747" s="27" t="n">
        <f aca="false">J5747+(K5747/20)+(L5747/240)</f>
        <v>15</v>
      </c>
      <c r="N5747" s="17" t="s">
        <v>64</v>
      </c>
      <c r="O5747" s="11"/>
      <c r="P5747" s="28"/>
      <c r="Q5747" s="28" t="n">
        <f aca="false">P5747*$M5747</f>
        <v>0</v>
      </c>
      <c r="R5747" s="28"/>
      <c r="S5747" s="28" t="n">
        <f aca="false">R5747*$M5747</f>
        <v>0</v>
      </c>
      <c r="T5747" s="28"/>
      <c r="U5747" s="28" t="n">
        <f aca="false">T5747*$M5747</f>
        <v>0</v>
      </c>
      <c r="V5747" s="28"/>
      <c r="W5747" s="28" t="n">
        <f aca="false">V5747*$M5747</f>
        <v>0</v>
      </c>
      <c r="X5747" s="28" t="n">
        <f aca="false">27897/100</f>
        <v>278.97</v>
      </c>
      <c r="Y5747" s="28" t="n">
        <v>4184</v>
      </c>
      <c r="Z5747" s="28"/>
      <c r="AA5747" s="28" t="n">
        <f aca="false">Z5747*$M5747</f>
        <v>0</v>
      </c>
      <c r="AB5747" s="28"/>
      <c r="AC5747" s="28" t="n">
        <f aca="false">AB5747*$M5747</f>
        <v>0</v>
      </c>
      <c r="AD5747" s="28"/>
      <c r="AE5747" s="28" t="n">
        <f aca="false">AD5747*$M5747</f>
        <v>0</v>
      </c>
      <c r="AF5747" s="28"/>
      <c r="AG5747" s="28" t="n">
        <f aca="false">AF5747*$M5747</f>
        <v>0</v>
      </c>
      <c r="AH5747" s="28"/>
      <c r="AI5747" s="28" t="n">
        <f aca="false">AH5747*$M5747</f>
        <v>0</v>
      </c>
      <c r="AJ5747" s="28" t="n">
        <f aca="false">63734/100</f>
        <v>637.34</v>
      </c>
      <c r="AK5747" s="28" t="n">
        <v>9560</v>
      </c>
      <c r="AL5747" s="28"/>
      <c r="AM5747" s="28" t="n">
        <f aca="false">AL5747*$M5747</f>
        <v>0</v>
      </c>
      <c r="AN5747" s="28"/>
      <c r="AO5747" s="28" t="n">
        <f aca="false">AN5747*$M5747</f>
        <v>0</v>
      </c>
      <c r="AP5747" s="28"/>
      <c r="AQ5747" s="28" t="n">
        <f aca="false">AP5747*$M5747</f>
        <v>0</v>
      </c>
      <c r="AR5747" s="28"/>
      <c r="AS5747" s="28" t="n">
        <f aca="false">AR5747*$M5747</f>
        <v>0</v>
      </c>
      <c r="AT5747" s="28"/>
      <c r="AU5747" s="28" t="n">
        <f aca="false">AT5747*$M5747</f>
        <v>0</v>
      </c>
      <c r="AV5747" s="28"/>
      <c r="AW5747" s="28" t="n">
        <f aca="false">AV5747*$M5747</f>
        <v>0</v>
      </c>
      <c r="AX5747" s="28"/>
      <c r="AY5747" s="28" t="n">
        <f aca="false">AX5747*$M5747</f>
        <v>0</v>
      </c>
      <c r="AZ5747" s="30" t="n">
        <f aca="false">91631/100</f>
        <v>916.31</v>
      </c>
      <c r="BA5747" s="11" t="n">
        <v>13744</v>
      </c>
      <c r="BB5747" s="31" t="n">
        <f aca="false">SUM(Q5747,S5747,U5747,W5747,Y5747,AA5747,AC5747,AE5747,AG5747,AI5747,AK5747,AM5747,AO5747,AQ5747,AS5747,AU5747,AW5747,AY5747)</f>
        <v>13744</v>
      </c>
      <c r="BC5747" s="28" t="n">
        <f aca="false">BA5747-BB5747</f>
        <v>0</v>
      </c>
      <c r="BD5747" s="32" t="n">
        <f aca="false">SUM(P5747,R5747,T5747,V5747,X5747,Z5747,AB5747,AD5747,AF5747,AH5747,AJ5747,AL5747,AN5747,AP5747,AR5747,AT5747,AV5747,AX5747)</f>
        <v>916.31</v>
      </c>
      <c r="BE5747" s="33" t="n">
        <f aca="false">AZ5747-BD5747</f>
        <v>0</v>
      </c>
      <c r="BF5747" s="34" t="n">
        <f aca="false">BD5747*M5747</f>
        <v>13744.65</v>
      </c>
      <c r="BG5747" s="35" t="n">
        <f aca="false">BA5747-BF5747</f>
        <v>-0.650000000001455</v>
      </c>
      <c r="BH5747" s="19" t="str">
        <f aca="false">IF(BG5747=0,"",IF(BG5747&lt;&gt;BA5747,"erreur de calcul",IF(BD5747&lt;&gt;0,"pas de prix",IF(M5747&lt;&gt; 0,"pas de quantité","pas de prix, ni de quantité"))))</f>
        <v>erreur de calcul</v>
      </c>
      <c r="BI5747" s="19"/>
    </row>
    <row r="5748" customFormat="false" ht="15" hidden="false" customHeight="false" outlineLevel="0" collapsed="false">
      <c r="A5748" s="0" t="n">
        <v>5</v>
      </c>
      <c r="B5748" s="8" t="s">
        <v>24</v>
      </c>
      <c r="C5748" s="9" t="s">
        <v>25</v>
      </c>
      <c r="D5748" s="9" t="s">
        <v>26</v>
      </c>
      <c r="E5748" s="10" t="n">
        <v>1789</v>
      </c>
      <c r="F5748" s="9" t="s">
        <v>27</v>
      </c>
      <c r="G5748" s="9" t="s">
        <v>27</v>
      </c>
      <c r="H5748" s="11" t="n">
        <v>22</v>
      </c>
      <c r="I5748" s="11" t="s">
        <v>206</v>
      </c>
      <c r="J5748" s="14" t="n">
        <v>30</v>
      </c>
      <c r="K5748" s="14"/>
      <c r="L5748" s="16"/>
      <c r="M5748" s="27" t="n">
        <f aca="false">J5748+(K5748/20)+(L5748/240)</f>
        <v>30</v>
      </c>
      <c r="N5748" s="17" t="s">
        <v>64</v>
      </c>
      <c r="O5748" s="11"/>
      <c r="P5748" s="28" t="n">
        <f aca="false">8334/100</f>
        <v>83.34</v>
      </c>
      <c r="Q5748" s="28" t="n">
        <v>2500</v>
      </c>
      <c r="R5748" s="28"/>
      <c r="S5748" s="28" t="n">
        <f aca="false">R5748*$M5748</f>
        <v>0</v>
      </c>
      <c r="T5748" s="28"/>
      <c r="U5748" s="28" t="n">
        <f aca="false">T5748*$M5748</f>
        <v>0</v>
      </c>
      <c r="V5748" s="28"/>
      <c r="W5748" s="28" t="n">
        <f aca="false">V5748*$M5748</f>
        <v>0</v>
      </c>
      <c r="X5748" s="28"/>
      <c r="Y5748" s="28" t="n">
        <f aca="false">X5748*$M5748</f>
        <v>0</v>
      </c>
      <c r="Z5748" s="28"/>
      <c r="AA5748" s="28" t="n">
        <f aca="false">Z5748*$M5748</f>
        <v>0</v>
      </c>
      <c r="AB5748" s="28"/>
      <c r="AC5748" s="28" t="n">
        <f aca="false">AB5748*$M5748</f>
        <v>0</v>
      </c>
      <c r="AD5748" s="28"/>
      <c r="AE5748" s="28" t="n">
        <f aca="false">AD5748*$M5748</f>
        <v>0</v>
      </c>
      <c r="AF5748" s="28"/>
      <c r="AG5748" s="28" t="n">
        <f aca="false">AF5748*$M5748</f>
        <v>0</v>
      </c>
      <c r="AH5748" s="28"/>
      <c r="AI5748" s="28" t="n">
        <f aca="false">AH5748*$M5748</f>
        <v>0</v>
      </c>
      <c r="AJ5748" s="28"/>
      <c r="AK5748" s="28" t="n">
        <f aca="false">AJ5748*$M5748</f>
        <v>0</v>
      </c>
      <c r="AL5748" s="28"/>
      <c r="AM5748" s="28" t="n">
        <f aca="false">AL5748*$M5748</f>
        <v>0</v>
      </c>
      <c r="AN5748" s="28"/>
      <c r="AO5748" s="28" t="n">
        <f aca="false">AN5748*$M5748</f>
        <v>0</v>
      </c>
      <c r="AP5748" s="28"/>
      <c r="AQ5748" s="28" t="n">
        <f aca="false">AP5748*$M5748</f>
        <v>0</v>
      </c>
      <c r="AR5748" s="28"/>
      <c r="AS5748" s="28" t="n">
        <f aca="false">AR5748*$M5748</f>
        <v>0</v>
      </c>
      <c r="AT5748" s="28"/>
      <c r="AU5748" s="28" t="n">
        <f aca="false">AT5748*$M5748</f>
        <v>0</v>
      </c>
      <c r="AV5748" s="28"/>
      <c r="AW5748" s="28" t="n">
        <f aca="false">AV5748*$M5748</f>
        <v>0</v>
      </c>
      <c r="AX5748" s="28"/>
      <c r="AY5748" s="28" t="n">
        <f aca="false">AX5748*$M5748</f>
        <v>0</v>
      </c>
      <c r="AZ5748" s="30" t="n">
        <f aca="false">8334/100</f>
        <v>83.34</v>
      </c>
      <c r="BA5748" s="11" t="n">
        <v>2500</v>
      </c>
      <c r="BB5748" s="31" t="n">
        <f aca="false">SUM(Q5748,S5748,U5748,W5748,Y5748,AA5748,AC5748,AE5748,AG5748,AI5748,AK5748,AM5748,AO5748,AQ5748,AS5748,AU5748,AW5748,AY5748)</f>
        <v>2500</v>
      </c>
      <c r="BC5748" s="28" t="n">
        <f aca="false">BA5748-BB5748</f>
        <v>0</v>
      </c>
      <c r="BD5748" s="32" t="n">
        <f aca="false">SUM(P5748,R5748,T5748,V5748,X5748,Z5748,AB5748,AD5748,AF5748,AH5748,AJ5748,AL5748,AN5748,AP5748,AR5748,AT5748,AV5748,AX5748)</f>
        <v>83.34</v>
      </c>
      <c r="BE5748" s="33" t="n">
        <f aca="false">AZ5748-BD5748</f>
        <v>0</v>
      </c>
      <c r="BF5748" s="34" t="n">
        <f aca="false">BD5748*M5748</f>
        <v>2500.2</v>
      </c>
      <c r="BG5748" s="35" t="n">
        <f aca="false">BA5748-BF5748</f>
        <v>-0.200000000000273</v>
      </c>
      <c r="BH5748" s="19" t="str">
        <f aca="false">IF(BG5748=0,"",IF(BG5748&lt;&gt;BA5748,"erreur de calcul",IF(BD5748&lt;&gt;0,"pas de prix",IF(M5748&lt;&gt; 0,"pas de quantité","pas de prix, ni de quantité"))))</f>
        <v>erreur de calcul</v>
      </c>
      <c r="BI5748" s="19"/>
    </row>
    <row r="5749" customFormat="false" ht="15" hidden="false" customHeight="false" outlineLevel="0" collapsed="false">
      <c r="A5749" s="0" t="n">
        <v>6</v>
      </c>
      <c r="B5749" s="8" t="s">
        <v>24</v>
      </c>
      <c r="C5749" s="9" t="s">
        <v>25</v>
      </c>
      <c r="D5749" s="9" t="s">
        <v>26</v>
      </c>
      <c r="E5749" s="10" t="n">
        <v>1789</v>
      </c>
      <c r="F5749" s="9" t="s">
        <v>27</v>
      </c>
      <c r="G5749" s="9" t="s">
        <v>27</v>
      </c>
      <c r="H5749" s="11" t="n">
        <v>22</v>
      </c>
      <c r="I5749" s="11" t="s">
        <v>207</v>
      </c>
      <c r="J5749" s="14"/>
      <c r="K5749" s="14" t="n">
        <v>20</v>
      </c>
      <c r="L5749" s="16"/>
      <c r="M5749" s="27" t="n">
        <f aca="false">J5749+(K5749/20)+(L5749/240)</f>
        <v>1</v>
      </c>
      <c r="N5749" s="17" t="s">
        <v>66</v>
      </c>
      <c r="O5749" s="11"/>
      <c r="P5749" s="28"/>
      <c r="Q5749" s="28" t="n">
        <f aca="false">P5749*$M5749</f>
        <v>0</v>
      </c>
      <c r="R5749" s="28"/>
      <c r="S5749" s="28" t="n">
        <f aca="false">R5749*$M5749</f>
        <v>0</v>
      </c>
      <c r="T5749" s="28"/>
      <c r="U5749" s="28" t="n">
        <f aca="false">T5749*$M5749</f>
        <v>0</v>
      </c>
      <c r="V5749" s="28" t="n">
        <v>33010</v>
      </c>
      <c r="W5749" s="28" t="n">
        <v>33010</v>
      </c>
      <c r="X5749" s="28" t="n">
        <v>292003</v>
      </c>
      <c r="Y5749" s="28" t="n">
        <v>292003</v>
      </c>
      <c r="Z5749" s="28" t="n">
        <v>15558</v>
      </c>
      <c r="AA5749" s="28" t="n">
        <v>15558</v>
      </c>
      <c r="AB5749" s="28" t="n">
        <v>80515</v>
      </c>
      <c r="AC5749" s="28" t="n">
        <v>80515</v>
      </c>
      <c r="AD5749" s="28"/>
      <c r="AE5749" s="28" t="n">
        <f aca="false">AD5749*$M5749</f>
        <v>0</v>
      </c>
      <c r="AF5749" s="28"/>
      <c r="AG5749" s="28" t="n">
        <f aca="false">AF5749*$M5749</f>
        <v>0</v>
      </c>
      <c r="AH5749" s="28" t="n">
        <v>515373</v>
      </c>
      <c r="AI5749" s="28" t="n">
        <v>515373</v>
      </c>
      <c r="AJ5749" s="28"/>
      <c r="AK5749" s="28" t="n">
        <f aca="false">AJ5749*$M5749</f>
        <v>0</v>
      </c>
      <c r="AL5749" s="28" t="n">
        <v>3480</v>
      </c>
      <c r="AM5749" s="28" t="n">
        <v>3480</v>
      </c>
      <c r="AN5749" s="28"/>
      <c r="AO5749" s="28" t="n">
        <f aca="false">AN5749*$M5749</f>
        <v>0</v>
      </c>
      <c r="AP5749" s="28"/>
      <c r="AQ5749" s="28" t="n">
        <f aca="false">AP5749*$M5749</f>
        <v>0</v>
      </c>
      <c r="AR5749" s="28"/>
      <c r="AS5749" s="28" t="n">
        <f aca="false">AR5749*$M5749</f>
        <v>0</v>
      </c>
      <c r="AT5749" s="28"/>
      <c r="AU5749" s="28" t="n">
        <f aca="false">AT5749*$M5749</f>
        <v>0</v>
      </c>
      <c r="AV5749" s="28"/>
      <c r="AW5749" s="28" t="n">
        <f aca="false">AV5749*$M5749</f>
        <v>0</v>
      </c>
      <c r="AX5749" s="28"/>
      <c r="AY5749" s="28" t="n">
        <f aca="false">AX5749*$M5749</f>
        <v>0</v>
      </c>
      <c r="AZ5749" s="30" t="n">
        <v>939939</v>
      </c>
      <c r="BA5749" s="11" t="n">
        <v>939939</v>
      </c>
      <c r="BB5749" s="31" t="n">
        <f aca="false">SUM(Q5749,S5749,U5749,W5749,Y5749,AA5749,AC5749,AE5749,AG5749,AI5749,AK5749,AM5749,AO5749,AQ5749,AS5749,AU5749,AW5749,AY5749)</f>
        <v>939939</v>
      </c>
      <c r="BC5749" s="28" t="n">
        <f aca="false">BA5749-BB5749</f>
        <v>0</v>
      </c>
      <c r="BD5749" s="32" t="n">
        <f aca="false">SUM(P5749,R5749,T5749,V5749,X5749,Z5749,AB5749,AD5749,AF5749,AH5749,AJ5749,AL5749,AN5749,AP5749,AR5749,AT5749,AV5749,AX5749)</f>
        <v>939939</v>
      </c>
      <c r="BE5749" s="33" t="n">
        <f aca="false">AZ5749-BD5749</f>
        <v>0</v>
      </c>
      <c r="BF5749" s="34" t="n">
        <f aca="false">BD5749*M5749</f>
        <v>939939</v>
      </c>
      <c r="BG5749" s="35" t="n">
        <f aca="false">BA5749-BF5749</f>
        <v>0</v>
      </c>
      <c r="BH5749" s="19" t="str">
        <f aca="false">IF(BG5749=0,"",IF(BG5749&lt;&gt;BA5749,"erreur de calcul",IF(BD5749&lt;&gt;0,"pas de prix",IF(M5749&lt;&gt; 0,"pas de quantité","pas de prix, ni de quantité"))))</f>
        <v/>
      </c>
      <c r="BI5749" s="19"/>
    </row>
    <row r="5750" customFormat="false" ht="15" hidden="false" customHeight="false" outlineLevel="0" collapsed="false">
      <c r="A5750" s="0" t="n">
        <v>7</v>
      </c>
      <c r="B5750" s="8" t="s">
        <v>24</v>
      </c>
      <c r="C5750" s="9" t="s">
        <v>25</v>
      </c>
      <c r="D5750" s="9" t="s">
        <v>26</v>
      </c>
      <c r="E5750" s="10" t="n">
        <v>1789</v>
      </c>
      <c r="F5750" s="9" t="s">
        <v>27</v>
      </c>
      <c r="G5750" s="9" t="s">
        <v>27</v>
      </c>
      <c r="H5750" s="11" t="n">
        <v>22</v>
      </c>
      <c r="I5750" s="11" t="s">
        <v>208</v>
      </c>
      <c r="J5750" s="14" t="n">
        <v>60</v>
      </c>
      <c r="K5750" s="14"/>
      <c r="L5750" s="16"/>
      <c r="M5750" s="27" t="n">
        <f aca="false">J5750+(K5750/20)+(L5750/240)</f>
        <v>60</v>
      </c>
      <c r="N5750" s="17" t="s">
        <v>64</v>
      </c>
      <c r="O5750" s="11"/>
      <c r="P5750" s="28"/>
      <c r="Q5750" s="28" t="n">
        <f aca="false">P5750*$M5750</f>
        <v>0</v>
      </c>
      <c r="R5750" s="28"/>
      <c r="S5750" s="28" t="n">
        <f aca="false">R5750*$M5750</f>
        <v>0</v>
      </c>
      <c r="T5750" s="28"/>
      <c r="U5750" s="28" t="n">
        <f aca="false">T5750*$M5750</f>
        <v>0</v>
      </c>
      <c r="V5750" s="28"/>
      <c r="W5750" s="28" t="n">
        <f aca="false">V5750*$M5750</f>
        <v>0</v>
      </c>
      <c r="X5750" s="28"/>
      <c r="Y5750" s="28" t="n">
        <f aca="false">X5750*$M5750</f>
        <v>0</v>
      </c>
      <c r="Z5750" s="28"/>
      <c r="AA5750" s="28" t="n">
        <f aca="false">Z5750*$M5750</f>
        <v>0</v>
      </c>
      <c r="AB5750" s="28"/>
      <c r="AC5750" s="28" t="n">
        <f aca="false">AB5750*$M5750</f>
        <v>0</v>
      </c>
      <c r="AD5750" s="28"/>
      <c r="AE5750" s="28" t="n">
        <f aca="false">AD5750*$M5750</f>
        <v>0</v>
      </c>
      <c r="AF5750" s="28"/>
      <c r="AG5750" s="28" t="n">
        <f aca="false">AF5750*$M5750</f>
        <v>0</v>
      </c>
      <c r="AH5750" s="28"/>
      <c r="AI5750" s="28" t="n">
        <f aca="false">AH5750*$M5750</f>
        <v>0</v>
      </c>
      <c r="AJ5750" s="28" t="n">
        <f aca="false">28692/100</f>
        <v>286.92</v>
      </c>
      <c r="AK5750" s="28" t="n">
        <v>17215</v>
      </c>
      <c r="AL5750" s="28"/>
      <c r="AM5750" s="28" t="n">
        <f aca="false">AL5750*$M5750</f>
        <v>0</v>
      </c>
      <c r="AN5750" s="28"/>
      <c r="AO5750" s="28" t="n">
        <f aca="false">AN5750*$M5750</f>
        <v>0</v>
      </c>
      <c r="AP5750" s="28"/>
      <c r="AQ5750" s="28" t="n">
        <f aca="false">AP5750*$M5750</f>
        <v>0</v>
      </c>
      <c r="AR5750" s="28"/>
      <c r="AS5750" s="28" t="n">
        <f aca="false">AR5750*$M5750</f>
        <v>0</v>
      </c>
      <c r="AT5750" s="28"/>
      <c r="AU5750" s="28" t="n">
        <f aca="false">AT5750*$M5750</f>
        <v>0</v>
      </c>
      <c r="AV5750" s="28"/>
      <c r="AW5750" s="28" t="n">
        <f aca="false">AV5750*$M5750</f>
        <v>0</v>
      </c>
      <c r="AX5750" s="28"/>
      <c r="AY5750" s="28" t="n">
        <f aca="false">AX5750*$M5750</f>
        <v>0</v>
      </c>
      <c r="AZ5750" s="30" t="n">
        <f aca="false">28692/100</f>
        <v>286.92</v>
      </c>
      <c r="BA5750" s="11" t="n">
        <v>17215</v>
      </c>
      <c r="BB5750" s="31" t="n">
        <f aca="false">SUM(Q5750,S5750,U5750,W5750,Y5750,AA5750,AC5750,AE5750,AG5750,AI5750,AK5750,AM5750,AO5750,AQ5750,AS5750,AU5750,AW5750,AY5750)</f>
        <v>17215</v>
      </c>
      <c r="BC5750" s="28" t="n">
        <f aca="false">BA5750-BB5750</f>
        <v>0</v>
      </c>
      <c r="BD5750" s="32" t="n">
        <f aca="false">SUM(P5750,R5750,T5750,V5750,X5750,Z5750,AB5750,AD5750,AF5750,AH5750,AJ5750,AL5750,AN5750,AP5750,AR5750,AT5750,AV5750,AX5750)</f>
        <v>286.92</v>
      </c>
      <c r="BE5750" s="33" t="n">
        <f aca="false">AZ5750-BD5750</f>
        <v>0</v>
      </c>
      <c r="BF5750" s="34" t="n">
        <f aca="false">BD5750*M5750</f>
        <v>17215.2</v>
      </c>
      <c r="BG5750" s="35" t="n">
        <f aca="false">BA5750-BF5750</f>
        <v>-0.200000000000728</v>
      </c>
      <c r="BH5750" s="19" t="str">
        <f aca="false">IF(BG5750=0,"",IF(BG5750&lt;&gt;BA5750,"erreur de calcul",IF(BD5750&lt;&gt;0,"pas de prix",IF(M5750&lt;&gt; 0,"pas de quantité","pas de prix, ni de quantité"))))</f>
        <v>erreur de calcul</v>
      </c>
      <c r="BI5750" s="19"/>
    </row>
    <row r="5751" customFormat="false" ht="15" hidden="false" customHeight="false" outlineLevel="0" collapsed="false">
      <c r="A5751" s="0" t="n">
        <v>8</v>
      </c>
      <c r="B5751" s="8" t="s">
        <v>24</v>
      </c>
      <c r="C5751" s="9" t="s">
        <v>25</v>
      </c>
      <c r="D5751" s="9" t="s">
        <v>26</v>
      </c>
      <c r="E5751" s="10" t="n">
        <v>1789</v>
      </c>
      <c r="F5751" s="9" t="s">
        <v>27</v>
      </c>
      <c r="G5751" s="9" t="s">
        <v>27</v>
      </c>
      <c r="H5751" s="11" t="n">
        <v>22</v>
      </c>
      <c r="I5751" s="11" t="s">
        <v>209</v>
      </c>
      <c r="J5751" s="14" t="n">
        <v>26</v>
      </c>
      <c r="K5751" s="14"/>
      <c r="L5751" s="16"/>
      <c r="M5751" s="27" t="n">
        <f aca="false">J5751+(K5751/20)+(L5751/240)</f>
        <v>26</v>
      </c>
      <c r="N5751" s="17" t="s">
        <v>64</v>
      </c>
      <c r="O5751" s="11"/>
      <c r="P5751" s="28" t="n">
        <f aca="false">9675/100</f>
        <v>96.75</v>
      </c>
      <c r="Q5751" s="28" t="n">
        <v>2515</v>
      </c>
      <c r="R5751" s="28"/>
      <c r="S5751" s="28" t="n">
        <f aca="false">R5751*$M5751</f>
        <v>0</v>
      </c>
      <c r="T5751" s="28"/>
      <c r="U5751" s="28" t="n">
        <f aca="false">T5751*$M5751</f>
        <v>0</v>
      </c>
      <c r="V5751" s="28"/>
      <c r="W5751" s="28" t="n">
        <f aca="false">V5751*$M5751</f>
        <v>0</v>
      </c>
      <c r="X5751" s="28"/>
      <c r="Y5751" s="28" t="n">
        <f aca="false">X5751*$M5751</f>
        <v>0</v>
      </c>
      <c r="Z5751" s="28"/>
      <c r="AA5751" s="28" t="n">
        <f aca="false">Z5751*$M5751</f>
        <v>0</v>
      </c>
      <c r="AB5751" s="28"/>
      <c r="AC5751" s="28" t="n">
        <f aca="false">AB5751*$M5751</f>
        <v>0</v>
      </c>
      <c r="AD5751" s="28"/>
      <c r="AE5751" s="28" t="n">
        <f aca="false">AD5751*$M5751</f>
        <v>0</v>
      </c>
      <c r="AF5751" s="28"/>
      <c r="AG5751" s="28" t="n">
        <f aca="false">AF5751*$M5751</f>
        <v>0</v>
      </c>
      <c r="AH5751" s="28"/>
      <c r="AI5751" s="28" t="n">
        <f aca="false">AH5751*$M5751</f>
        <v>0</v>
      </c>
      <c r="AJ5751" s="28"/>
      <c r="AK5751" s="28" t="n">
        <f aca="false">AJ5751*$M5751</f>
        <v>0</v>
      </c>
      <c r="AL5751" s="28"/>
      <c r="AM5751" s="28" t="n">
        <f aca="false">AL5751*$M5751</f>
        <v>0</v>
      </c>
      <c r="AN5751" s="28"/>
      <c r="AO5751" s="28" t="n">
        <f aca="false">AN5751*$M5751</f>
        <v>0</v>
      </c>
      <c r="AP5751" s="28"/>
      <c r="AQ5751" s="28" t="n">
        <f aca="false">AP5751*$M5751</f>
        <v>0</v>
      </c>
      <c r="AR5751" s="28"/>
      <c r="AS5751" s="28" t="n">
        <f aca="false">AR5751*$M5751</f>
        <v>0</v>
      </c>
      <c r="AT5751" s="28"/>
      <c r="AU5751" s="28" t="n">
        <f aca="false">AT5751*$M5751</f>
        <v>0</v>
      </c>
      <c r="AV5751" s="28"/>
      <c r="AW5751" s="28" t="n">
        <f aca="false">AV5751*$M5751</f>
        <v>0</v>
      </c>
      <c r="AX5751" s="28"/>
      <c r="AY5751" s="28" t="n">
        <f aca="false">AX5751*$M5751</f>
        <v>0</v>
      </c>
      <c r="AZ5751" s="30" t="n">
        <f aca="false">9675/100</f>
        <v>96.75</v>
      </c>
      <c r="BA5751" s="11" t="n">
        <v>2515</v>
      </c>
      <c r="BB5751" s="31" t="n">
        <f aca="false">SUM(Q5751,S5751,U5751,W5751,Y5751,AA5751,AC5751,AE5751,AG5751,AI5751,AK5751,AM5751,AO5751,AQ5751,AS5751,AU5751,AW5751,AY5751)</f>
        <v>2515</v>
      </c>
      <c r="BC5751" s="28" t="n">
        <f aca="false">BA5751-BB5751</f>
        <v>0</v>
      </c>
      <c r="BD5751" s="32" t="n">
        <f aca="false">SUM(P5751,R5751,T5751,V5751,X5751,Z5751,AB5751,AD5751,AF5751,AH5751,AJ5751,AL5751,AN5751,AP5751,AR5751,AT5751,AV5751,AX5751)</f>
        <v>96.75</v>
      </c>
      <c r="BE5751" s="33" t="n">
        <f aca="false">AZ5751-BD5751</f>
        <v>0</v>
      </c>
      <c r="BF5751" s="34" t="n">
        <f aca="false">BD5751*M5751</f>
        <v>2515.5</v>
      </c>
      <c r="BG5751" s="35" t="n">
        <f aca="false">BA5751-BF5751</f>
        <v>-0.5</v>
      </c>
      <c r="BH5751" s="19" t="str">
        <f aca="false">IF(BG5751=0,"",IF(BG5751&lt;&gt;BA5751,"erreur de calcul",IF(BD5751&lt;&gt;0,"pas de prix",IF(M5751&lt;&gt; 0,"pas de quantité","pas de prix, ni de quantité"))))</f>
        <v>erreur de calcul</v>
      </c>
      <c r="BI5751" s="19"/>
    </row>
    <row r="5752" customFormat="false" ht="15" hidden="false" customHeight="false" outlineLevel="0" collapsed="false">
      <c r="A5752" s="0" t="n">
        <v>9</v>
      </c>
      <c r="B5752" s="8" t="s">
        <v>24</v>
      </c>
      <c r="C5752" s="9" t="s">
        <v>25</v>
      </c>
      <c r="D5752" s="9" t="s">
        <v>26</v>
      </c>
      <c r="E5752" s="10" t="n">
        <v>1789</v>
      </c>
      <c r="F5752" s="9" t="s">
        <v>27</v>
      </c>
      <c r="G5752" s="9" t="s">
        <v>27</v>
      </c>
      <c r="H5752" s="11" t="n">
        <v>22</v>
      </c>
      <c r="I5752" s="11" t="s">
        <v>210</v>
      </c>
      <c r="J5752" s="14" t="n">
        <v>8</v>
      </c>
      <c r="K5752" s="14" t="n">
        <v>15</v>
      </c>
      <c r="L5752" s="16"/>
      <c r="M5752" s="27" t="n">
        <f aca="false">J5752+(K5752/20)+(L5752/240)</f>
        <v>8.75</v>
      </c>
      <c r="N5752" s="17" t="s">
        <v>66</v>
      </c>
      <c r="O5752" s="11"/>
      <c r="P5752" s="28"/>
      <c r="Q5752" s="28" t="n">
        <f aca="false">P5752*$M5752</f>
        <v>0</v>
      </c>
      <c r="R5752" s="28"/>
      <c r="S5752" s="28" t="n">
        <f aca="false">R5752*$M5752</f>
        <v>0</v>
      </c>
      <c r="T5752" s="28" t="n">
        <v>2562</v>
      </c>
      <c r="U5752" s="36" t="n">
        <v>21777</v>
      </c>
      <c r="V5752" s="28" t="n">
        <v>127</v>
      </c>
      <c r="W5752" s="28" t="n">
        <v>1111</v>
      </c>
      <c r="X5752" s="28" t="n">
        <v>1945</v>
      </c>
      <c r="Y5752" s="28" t="n">
        <v>17018</v>
      </c>
      <c r="Z5752" s="28"/>
      <c r="AA5752" s="28" t="n">
        <f aca="false">Z5752*$M5752</f>
        <v>0</v>
      </c>
      <c r="AB5752" s="28"/>
      <c r="AC5752" s="28" t="n">
        <f aca="false">AB5752*$M5752</f>
        <v>0</v>
      </c>
      <c r="AD5752" s="28"/>
      <c r="AE5752" s="28" t="n">
        <f aca="false">AD5752*$M5752</f>
        <v>0</v>
      </c>
      <c r="AF5752" s="28"/>
      <c r="AG5752" s="28" t="n">
        <f aca="false">AF5752*$M5752</f>
        <v>0</v>
      </c>
      <c r="AH5752" s="28"/>
      <c r="AI5752" s="28" t="n">
        <f aca="false">AH5752*$M5752</f>
        <v>0</v>
      </c>
      <c r="AJ5752" s="28" t="n">
        <v>3538</v>
      </c>
      <c r="AK5752" s="36" t="n">
        <v>30073</v>
      </c>
      <c r="AL5752" s="28"/>
      <c r="AM5752" s="28" t="n">
        <f aca="false">AL5752*$M5752</f>
        <v>0</v>
      </c>
      <c r="AN5752" s="28"/>
      <c r="AO5752" s="28" t="n">
        <f aca="false">AN5752*$M5752</f>
        <v>0</v>
      </c>
      <c r="AP5752" s="28"/>
      <c r="AQ5752" s="28" t="n">
        <f aca="false">AP5752*$M5752</f>
        <v>0</v>
      </c>
      <c r="AR5752" s="28"/>
      <c r="AS5752" s="28" t="n">
        <f aca="false">AR5752*$M5752</f>
        <v>0</v>
      </c>
      <c r="AT5752" s="28"/>
      <c r="AU5752" s="28" t="n">
        <f aca="false">AT5752*$M5752</f>
        <v>0</v>
      </c>
      <c r="AV5752" s="28"/>
      <c r="AW5752" s="28" t="n">
        <f aca="false">AV5752*$M5752</f>
        <v>0</v>
      </c>
      <c r="AX5752" s="28" t="n">
        <v>11559</v>
      </c>
      <c r="AY5752" s="28" t="n">
        <v>101141</v>
      </c>
      <c r="AZ5752" s="30" t="n">
        <v>19731</v>
      </c>
      <c r="BA5752" s="11" t="n">
        <v>171120</v>
      </c>
      <c r="BB5752" s="31" t="n">
        <f aca="false">SUM(Q5752,S5752,U5752,W5752,Y5752,AA5752,AC5752,AE5752,AG5752,AI5752,AK5752,AM5752,AO5752,AQ5752,AS5752,AU5752,AW5752,AY5752)</f>
        <v>171120</v>
      </c>
      <c r="BC5752" s="28" t="n">
        <f aca="false">BA5752-BB5752</f>
        <v>0</v>
      </c>
      <c r="BD5752" s="32" t="n">
        <f aca="false">SUM(P5752,R5752,T5752,V5752,X5752,Z5752,AB5752,AD5752,AF5752,AH5752,AJ5752,AL5752,AN5752,AP5752,AR5752,AT5752,AV5752,AX5752)</f>
        <v>19731</v>
      </c>
      <c r="BE5752" s="33" t="n">
        <f aca="false">AZ5752-BD5752</f>
        <v>0</v>
      </c>
      <c r="BF5752" s="34" t="n">
        <f aca="false">BD5752*M5752</f>
        <v>172646.25</v>
      </c>
      <c r="BG5752" s="35" t="n">
        <f aca="false">BA5752-BF5752</f>
        <v>-1526.25</v>
      </c>
      <c r="BH5752" s="19" t="str">
        <f aca="false">IF(BG5752=0,"",IF(BG5752&lt;&gt;BA5752,"erreur de calcul",IF(BD5752&lt;&gt;0,"pas de prix",IF(M5752&lt;&gt; 0,"pas de quantité","pas de prix, ni de quantité"))))</f>
        <v>erreur de calcul</v>
      </c>
      <c r="BI5752" s="19"/>
    </row>
    <row r="5753" customFormat="false" ht="15" hidden="false" customHeight="false" outlineLevel="0" collapsed="false">
      <c r="A5753" s="0" t="n">
        <v>10</v>
      </c>
      <c r="B5753" s="8" t="s">
        <v>24</v>
      </c>
      <c r="C5753" s="9" t="s">
        <v>25</v>
      </c>
      <c r="D5753" s="9" t="s">
        <v>26</v>
      </c>
      <c r="E5753" s="10" t="n">
        <v>1789</v>
      </c>
      <c r="F5753" s="9" t="s">
        <v>27</v>
      </c>
      <c r="G5753" s="9" t="s">
        <v>27</v>
      </c>
      <c r="H5753" s="11" t="n">
        <v>22</v>
      </c>
      <c r="I5753" s="11" t="s">
        <v>211</v>
      </c>
      <c r="J5753" s="14" t="n">
        <v>11</v>
      </c>
      <c r="K5753" s="14"/>
      <c r="L5753" s="16"/>
      <c r="M5753" s="27" t="n">
        <f aca="false">J5753+(K5753/20)+(L5753/240)</f>
        <v>11</v>
      </c>
      <c r="N5753" s="17" t="s">
        <v>66</v>
      </c>
      <c r="O5753" s="11"/>
      <c r="P5753" s="28" t="n">
        <v>95190</v>
      </c>
      <c r="Q5753" s="28" t="n">
        <v>1047090</v>
      </c>
      <c r="R5753" s="28"/>
      <c r="S5753" s="28" t="n">
        <f aca="false">R5753*$M5753</f>
        <v>0</v>
      </c>
      <c r="T5753" s="28"/>
      <c r="U5753" s="28" t="n">
        <f aca="false">T5753*$M5753</f>
        <v>0</v>
      </c>
      <c r="V5753" s="28"/>
      <c r="W5753" s="28" t="n">
        <f aca="false">V5753*$M5753</f>
        <v>0</v>
      </c>
      <c r="X5753" s="28"/>
      <c r="Y5753" s="28" t="n">
        <f aca="false">X5753*$M5753</f>
        <v>0</v>
      </c>
      <c r="Z5753" s="28"/>
      <c r="AA5753" s="28" t="n">
        <f aca="false">Z5753*$M5753</f>
        <v>0</v>
      </c>
      <c r="AB5753" s="28"/>
      <c r="AC5753" s="28" t="n">
        <f aca="false">AB5753*$M5753</f>
        <v>0</v>
      </c>
      <c r="AD5753" s="28"/>
      <c r="AE5753" s="28" t="n">
        <f aca="false">AD5753*$M5753</f>
        <v>0</v>
      </c>
      <c r="AF5753" s="28"/>
      <c r="AG5753" s="28" t="n">
        <f aca="false">AF5753*$M5753</f>
        <v>0</v>
      </c>
      <c r="AH5753" s="28"/>
      <c r="AI5753" s="28" t="n">
        <f aca="false">AH5753*$M5753</f>
        <v>0</v>
      </c>
      <c r="AJ5753" s="28"/>
      <c r="AK5753" s="28" t="n">
        <f aca="false">AJ5753*$M5753</f>
        <v>0</v>
      </c>
      <c r="AL5753" s="28"/>
      <c r="AM5753" s="28" t="n">
        <f aca="false">AL5753*$M5753</f>
        <v>0</v>
      </c>
      <c r="AN5753" s="28"/>
      <c r="AO5753" s="28" t="n">
        <f aca="false">AN5753*$M5753</f>
        <v>0</v>
      </c>
      <c r="AP5753" s="28"/>
      <c r="AQ5753" s="28" t="n">
        <f aca="false">AP5753*$M5753</f>
        <v>0</v>
      </c>
      <c r="AR5753" s="28"/>
      <c r="AS5753" s="28" t="n">
        <f aca="false">AR5753*$M5753</f>
        <v>0</v>
      </c>
      <c r="AT5753" s="28"/>
      <c r="AU5753" s="28" t="n">
        <f aca="false">AT5753*$M5753</f>
        <v>0</v>
      </c>
      <c r="AV5753" s="28"/>
      <c r="AW5753" s="28" t="n">
        <f aca="false">AV5753*$M5753</f>
        <v>0</v>
      </c>
      <c r="AX5753" s="28"/>
      <c r="AY5753" s="28" t="n">
        <f aca="false">AX5753*$M5753</f>
        <v>0</v>
      </c>
      <c r="AZ5753" s="30" t="n">
        <v>95190</v>
      </c>
      <c r="BA5753" s="11" t="n">
        <v>1047090</v>
      </c>
      <c r="BB5753" s="31" t="n">
        <f aca="false">SUM(Q5753,S5753,U5753,W5753,Y5753,AA5753,AC5753,AE5753,AG5753,AI5753,AK5753,AM5753,AO5753,AQ5753,AS5753,AU5753,AW5753,AY5753)</f>
        <v>1047090</v>
      </c>
      <c r="BC5753" s="28" t="n">
        <f aca="false">BA5753-BB5753</f>
        <v>0</v>
      </c>
      <c r="BD5753" s="32" t="n">
        <f aca="false">SUM(P5753,R5753,T5753,V5753,X5753,Z5753,AB5753,AD5753,AF5753,AH5753,AJ5753,AL5753,AN5753,AP5753,AR5753,AT5753,AV5753,AX5753)</f>
        <v>95190</v>
      </c>
      <c r="BE5753" s="33" t="n">
        <f aca="false">AZ5753-BD5753</f>
        <v>0</v>
      </c>
      <c r="BF5753" s="34" t="n">
        <f aca="false">BD5753*M5753</f>
        <v>1047090</v>
      </c>
      <c r="BG5753" s="35" t="n">
        <f aca="false">BA5753-BF5753</f>
        <v>0</v>
      </c>
      <c r="BH5753" s="19" t="str">
        <f aca="false">IF(BG5753=0,"",IF(BG5753&lt;&gt;BA5753,"erreur de calcul",IF(BD5753&lt;&gt;0,"pas de prix",IF(M5753&lt;&gt; 0,"pas de quantité","pas de prix, ni de quantité"))))</f>
        <v/>
      </c>
      <c r="BI5753" s="19"/>
    </row>
    <row r="5754" customFormat="false" ht="17.15" hidden="false" customHeight="false" outlineLevel="0" collapsed="false">
      <c r="A5754" s="0" t="n">
        <v>11</v>
      </c>
      <c r="B5754" s="8" t="s">
        <v>24</v>
      </c>
      <c r="C5754" s="9" t="s">
        <v>25</v>
      </c>
      <c r="D5754" s="9" t="s">
        <v>26</v>
      </c>
      <c r="E5754" s="10" t="n">
        <v>1789</v>
      </c>
      <c r="F5754" s="9" t="s">
        <v>27</v>
      </c>
      <c r="G5754" s="9" t="s">
        <v>27</v>
      </c>
      <c r="H5754" s="11" t="n">
        <v>22</v>
      </c>
      <c r="I5754" s="40" t="s">
        <v>212</v>
      </c>
      <c r="J5754" s="14" t="n">
        <v>75</v>
      </c>
      <c r="K5754" s="14"/>
      <c r="L5754" s="16"/>
      <c r="M5754" s="27" t="n">
        <f aca="false">J5754+(K5754/20)+(L5754/240)</f>
        <v>75</v>
      </c>
      <c r="N5754" s="17" t="s">
        <v>64</v>
      </c>
      <c r="O5754" s="11"/>
      <c r="P5754" s="28"/>
      <c r="Q5754" s="28" t="n">
        <f aca="false">P5754*$M5754</f>
        <v>0</v>
      </c>
      <c r="R5754" s="28"/>
      <c r="S5754" s="28" t="n">
        <f aca="false">R5754*$M5754</f>
        <v>0</v>
      </c>
      <c r="T5754" s="28"/>
      <c r="U5754" s="28" t="n">
        <f aca="false">T5754*$M5754</f>
        <v>0</v>
      </c>
      <c r="V5754" s="28"/>
      <c r="W5754" s="28" t="n">
        <f aca="false">V5754*$M5754</f>
        <v>0</v>
      </c>
      <c r="X5754" s="28"/>
      <c r="Y5754" s="28" t="n">
        <f aca="false">X5754*$M5754</f>
        <v>0</v>
      </c>
      <c r="Z5754" s="28"/>
      <c r="AA5754" s="28" t="n">
        <f aca="false">Z5754*$M5754</f>
        <v>0</v>
      </c>
      <c r="AB5754" s="28"/>
      <c r="AC5754" s="28" t="n">
        <f aca="false">AB5754*$M5754</f>
        <v>0</v>
      </c>
      <c r="AD5754" s="28"/>
      <c r="AE5754" s="28" t="n">
        <f aca="false">AD5754*$M5754</f>
        <v>0</v>
      </c>
      <c r="AF5754" s="28"/>
      <c r="AG5754" s="28" t="n">
        <f aca="false">AF5754*$M5754</f>
        <v>0</v>
      </c>
      <c r="AH5754" s="28"/>
      <c r="AI5754" s="28" t="n">
        <f aca="false">AH5754*$M5754</f>
        <v>0</v>
      </c>
      <c r="AJ5754" s="28" t="n">
        <f aca="false">2372/100</f>
        <v>23.72</v>
      </c>
      <c r="AK5754" s="28" t="n">
        <v>1779</v>
      </c>
      <c r="AL5754" s="28"/>
      <c r="AM5754" s="28" t="n">
        <f aca="false">AL5754*$M5754</f>
        <v>0</v>
      </c>
      <c r="AN5754" s="28"/>
      <c r="AO5754" s="28" t="n">
        <f aca="false">AN5754*$M5754</f>
        <v>0</v>
      </c>
      <c r="AP5754" s="28"/>
      <c r="AQ5754" s="28" t="n">
        <f aca="false">AP5754*$M5754</f>
        <v>0</v>
      </c>
      <c r="AR5754" s="28"/>
      <c r="AS5754" s="28" t="n">
        <f aca="false">AR5754*$M5754</f>
        <v>0</v>
      </c>
      <c r="AT5754" s="28"/>
      <c r="AU5754" s="28" t="n">
        <f aca="false">AT5754*$M5754</f>
        <v>0</v>
      </c>
      <c r="AV5754" s="28"/>
      <c r="AW5754" s="28" t="n">
        <f aca="false">AV5754*$M5754</f>
        <v>0</v>
      </c>
      <c r="AX5754" s="28"/>
      <c r="AY5754" s="28" t="n">
        <f aca="false">AX5754*$M5754</f>
        <v>0</v>
      </c>
      <c r="AZ5754" s="30" t="n">
        <f aca="false">2372/100</f>
        <v>23.72</v>
      </c>
      <c r="BA5754" s="11" t="n">
        <v>1779</v>
      </c>
      <c r="BB5754" s="31" t="n">
        <f aca="false">SUM(Q5754,S5754,U5754,W5754,Y5754,AA5754,AC5754,AE5754,AG5754,AI5754,AK5754,AM5754,AO5754,AQ5754,AS5754,AU5754,AW5754,AY5754)</f>
        <v>1779</v>
      </c>
      <c r="BC5754" s="28" t="n">
        <f aca="false">BA5754-BB5754</f>
        <v>0</v>
      </c>
      <c r="BD5754" s="32" t="n">
        <f aca="false">SUM(P5754,R5754,T5754,V5754,X5754,Z5754,AB5754,AD5754,AF5754,AH5754,AJ5754,AL5754,AN5754,AP5754,AR5754,AT5754,AV5754,AX5754)</f>
        <v>23.72</v>
      </c>
      <c r="BE5754" s="33" t="n">
        <f aca="false">AZ5754-BD5754</f>
        <v>0</v>
      </c>
      <c r="BF5754" s="34" t="n">
        <f aca="false">BD5754*M5754</f>
        <v>1779</v>
      </c>
      <c r="BG5754" s="35" t="n">
        <f aca="false">BA5754-BF5754</f>
        <v>0</v>
      </c>
      <c r="BH5754" s="19" t="str">
        <f aca="false">IF(BG5754=0,"",IF(BG5754&lt;&gt;BA5754,"erreur de calcul",IF(BD5754&lt;&gt;0,"pas de prix",IF(M5754&lt;&gt; 0,"pas de quantité","pas de prix, ni de quantité"))))</f>
        <v/>
      </c>
      <c r="BI5754" s="19"/>
    </row>
    <row r="5755" customFormat="false" ht="15" hidden="false" customHeight="false" outlineLevel="0" collapsed="false">
      <c r="A5755" s="0" t="n">
        <v>12</v>
      </c>
      <c r="B5755" s="8" t="s">
        <v>24</v>
      </c>
      <c r="C5755" s="9" t="s">
        <v>25</v>
      </c>
      <c r="D5755" s="9" t="s">
        <v>26</v>
      </c>
      <c r="E5755" s="10" t="n">
        <v>1789</v>
      </c>
      <c r="F5755" s="9" t="s">
        <v>27</v>
      </c>
      <c r="G5755" s="9" t="s">
        <v>27</v>
      </c>
      <c r="H5755" s="11" t="n">
        <v>22</v>
      </c>
      <c r="I5755" s="11" t="s">
        <v>213</v>
      </c>
      <c r="J5755" s="14" t="n">
        <v>31</v>
      </c>
      <c r="K5755" s="14"/>
      <c r="L5755" s="16"/>
      <c r="M5755" s="27" t="n">
        <f aca="false">J5755+(K5755/20)+(L5755/240)</f>
        <v>31</v>
      </c>
      <c r="N5755" s="17" t="s">
        <v>64</v>
      </c>
      <c r="O5755" s="11"/>
      <c r="P5755" s="28"/>
      <c r="Q5755" s="28" t="n">
        <f aca="false">P5755*$M5755</f>
        <v>0</v>
      </c>
      <c r="R5755" s="28"/>
      <c r="S5755" s="28" t="n">
        <f aca="false">R5755*$M5755</f>
        <v>0</v>
      </c>
      <c r="T5755" s="28"/>
      <c r="U5755" s="28" t="n">
        <f aca="false">T5755*$M5755</f>
        <v>0</v>
      </c>
      <c r="V5755" s="28"/>
      <c r="W5755" s="28" t="n">
        <f aca="false">V5755*$M5755</f>
        <v>0</v>
      </c>
      <c r="X5755" s="28" t="n">
        <f aca="false">18202/100</f>
        <v>182.02</v>
      </c>
      <c r="Y5755" s="28" t="n">
        <v>5643</v>
      </c>
      <c r="Z5755" s="28"/>
      <c r="AA5755" s="28" t="n">
        <f aca="false">Z5755*$M5755</f>
        <v>0</v>
      </c>
      <c r="AB5755" s="28"/>
      <c r="AC5755" s="28" t="n">
        <f aca="false">AB5755*$M5755</f>
        <v>0</v>
      </c>
      <c r="AD5755" s="28"/>
      <c r="AE5755" s="28" t="n">
        <f aca="false">AD5755*$M5755</f>
        <v>0</v>
      </c>
      <c r="AF5755" s="28"/>
      <c r="AG5755" s="28" t="n">
        <f aca="false">AF5755*$M5755</f>
        <v>0</v>
      </c>
      <c r="AH5755" s="28"/>
      <c r="AI5755" s="28" t="n">
        <f aca="false">AH5755*$M5755</f>
        <v>0</v>
      </c>
      <c r="AJ5755" s="28"/>
      <c r="AK5755" s="28" t="n">
        <f aca="false">AJ5755*$M5755</f>
        <v>0</v>
      </c>
      <c r="AL5755" s="28"/>
      <c r="AM5755" s="28" t="n">
        <f aca="false">AL5755*$M5755</f>
        <v>0</v>
      </c>
      <c r="AN5755" s="28"/>
      <c r="AO5755" s="28" t="n">
        <f aca="false">AN5755*$M5755</f>
        <v>0</v>
      </c>
      <c r="AP5755" s="28"/>
      <c r="AQ5755" s="28" t="n">
        <f aca="false">AP5755*$M5755</f>
        <v>0</v>
      </c>
      <c r="AR5755" s="28"/>
      <c r="AS5755" s="28" t="n">
        <f aca="false">AR5755*$M5755</f>
        <v>0</v>
      </c>
      <c r="AT5755" s="28"/>
      <c r="AU5755" s="28" t="n">
        <f aca="false">AT5755*$M5755</f>
        <v>0</v>
      </c>
      <c r="AV5755" s="28"/>
      <c r="AW5755" s="28" t="n">
        <f aca="false">AV5755*$M5755</f>
        <v>0</v>
      </c>
      <c r="AX5755" s="28"/>
      <c r="AY5755" s="28" t="n">
        <f aca="false">AX5755*$M5755</f>
        <v>0</v>
      </c>
      <c r="AZ5755" s="30" t="n">
        <f aca="false">18202/100</f>
        <v>182.02</v>
      </c>
      <c r="BA5755" s="11" t="n">
        <v>5643</v>
      </c>
      <c r="BB5755" s="31" t="n">
        <f aca="false">SUM(Q5755,S5755,U5755,W5755,Y5755,AA5755,AC5755,AE5755,AG5755,AI5755,AK5755,AM5755,AO5755,AQ5755,AS5755,AU5755,AW5755,AY5755)</f>
        <v>5643</v>
      </c>
      <c r="BC5755" s="28" t="n">
        <f aca="false">BA5755-BB5755</f>
        <v>0</v>
      </c>
      <c r="BD5755" s="32" t="n">
        <f aca="false">SUM(P5755,R5755,T5755,V5755,X5755,Z5755,AB5755,AD5755,AF5755,AH5755,AJ5755,AL5755,AN5755,AP5755,AR5755,AT5755,AV5755,AX5755)</f>
        <v>182.02</v>
      </c>
      <c r="BE5755" s="33" t="n">
        <f aca="false">AZ5755-BD5755</f>
        <v>0</v>
      </c>
      <c r="BF5755" s="34" t="n">
        <f aca="false">BD5755*M5755</f>
        <v>5642.62</v>
      </c>
      <c r="BG5755" s="35" t="n">
        <f aca="false">BA5755-BF5755</f>
        <v>0.380000000000109</v>
      </c>
      <c r="BH5755" s="19" t="str">
        <f aca="false">IF(BG5755=0,"",IF(BG5755&lt;&gt;BA5755,"erreur de calcul",IF(BD5755&lt;&gt;0,"pas de prix",IF(M5755&lt;&gt; 0,"pas de quantité","pas de prix, ni de quantité"))))</f>
        <v>erreur de calcul</v>
      </c>
      <c r="BI5755" s="19"/>
    </row>
    <row r="5756" customFormat="false" ht="15" hidden="false" customHeight="false" outlineLevel="0" collapsed="false">
      <c r="A5756" s="0" t="n">
        <v>13</v>
      </c>
      <c r="B5756" s="8" t="s">
        <v>24</v>
      </c>
      <c r="C5756" s="9" t="s">
        <v>25</v>
      </c>
      <c r="D5756" s="9" t="s">
        <v>26</v>
      </c>
      <c r="E5756" s="10" t="n">
        <v>1789</v>
      </c>
      <c r="F5756" s="9" t="s">
        <v>27</v>
      </c>
      <c r="G5756" s="9" t="s">
        <v>27</v>
      </c>
      <c r="H5756" s="11" t="n">
        <v>22</v>
      </c>
      <c r="I5756" s="11" t="s">
        <v>214</v>
      </c>
      <c r="J5756" s="14"/>
      <c r="K5756" s="14" t="n">
        <v>20</v>
      </c>
      <c r="L5756" s="16"/>
      <c r="M5756" s="27" t="n">
        <f aca="false">J5756+(K5756/20)+(L5756/240)</f>
        <v>1</v>
      </c>
      <c r="N5756" s="17" t="s">
        <v>66</v>
      </c>
      <c r="O5756" s="11"/>
      <c r="P5756" s="28"/>
      <c r="Q5756" s="28" t="n">
        <f aca="false">P5756*$M5756</f>
        <v>0</v>
      </c>
      <c r="R5756" s="28"/>
      <c r="S5756" s="28" t="n">
        <f aca="false">R5756*$M5756</f>
        <v>0</v>
      </c>
      <c r="T5756" s="28"/>
      <c r="U5756" s="28" t="n">
        <f aca="false">T5756*$M5756</f>
        <v>0</v>
      </c>
      <c r="V5756" s="28"/>
      <c r="W5756" s="28" t="n">
        <f aca="false">V5756*$M5756</f>
        <v>0</v>
      </c>
      <c r="X5756" s="28"/>
      <c r="Y5756" s="28" t="n">
        <f aca="false">X5756*$M5756</f>
        <v>0</v>
      </c>
      <c r="Z5756" s="28"/>
      <c r="AA5756" s="28" t="n">
        <f aca="false">Z5756*$M5756</f>
        <v>0</v>
      </c>
      <c r="AB5756" s="28"/>
      <c r="AC5756" s="28" t="n">
        <f aca="false">AB5756*$M5756</f>
        <v>0</v>
      </c>
      <c r="AD5756" s="28" t="n">
        <v>2831</v>
      </c>
      <c r="AE5756" s="28" t="n">
        <v>2831</v>
      </c>
      <c r="AF5756" s="28"/>
      <c r="AG5756" s="28" t="n">
        <f aca="false">AF5756*$M5756</f>
        <v>0</v>
      </c>
      <c r="AH5756" s="28"/>
      <c r="AI5756" s="28" t="n">
        <f aca="false">AH5756*$M5756</f>
        <v>0</v>
      </c>
      <c r="AJ5756" s="28"/>
      <c r="AK5756" s="28" t="n">
        <f aca="false">AJ5756*$M5756</f>
        <v>0</v>
      </c>
      <c r="AL5756" s="28"/>
      <c r="AM5756" s="28" t="n">
        <f aca="false">AL5756*$M5756</f>
        <v>0</v>
      </c>
      <c r="AN5756" s="28"/>
      <c r="AO5756" s="28" t="n">
        <f aca="false">AN5756*$M5756</f>
        <v>0</v>
      </c>
      <c r="AP5756" s="28"/>
      <c r="AQ5756" s="28" t="n">
        <f aca="false">AP5756*$M5756</f>
        <v>0</v>
      </c>
      <c r="AR5756" s="28"/>
      <c r="AS5756" s="28" t="n">
        <f aca="false">AR5756*$M5756</f>
        <v>0</v>
      </c>
      <c r="AT5756" s="28"/>
      <c r="AU5756" s="28" t="n">
        <f aca="false">AT5756*$M5756</f>
        <v>0</v>
      </c>
      <c r="AV5756" s="28"/>
      <c r="AW5756" s="28" t="n">
        <f aca="false">AV5756*$M5756</f>
        <v>0</v>
      </c>
      <c r="AX5756" s="28"/>
      <c r="AY5756" s="28" t="n">
        <f aca="false">AX5756*$M5756</f>
        <v>0</v>
      </c>
      <c r="AZ5756" s="30" t="n">
        <v>2831</v>
      </c>
      <c r="BA5756" s="11" t="n">
        <v>2831</v>
      </c>
      <c r="BB5756" s="31" t="n">
        <f aca="false">SUM(Q5756,S5756,U5756,W5756,Y5756,AA5756,AC5756,AE5756,AG5756,AI5756,AK5756,AM5756,AO5756,AQ5756,AS5756,AU5756,AW5756,AY5756)</f>
        <v>2831</v>
      </c>
      <c r="BC5756" s="28" t="n">
        <f aca="false">BA5756-BB5756</f>
        <v>0</v>
      </c>
      <c r="BD5756" s="32" t="n">
        <f aca="false">SUM(P5756,R5756,T5756,V5756,X5756,Z5756,AB5756,AD5756,AF5756,AH5756,AJ5756,AL5756,AN5756,AP5756,AR5756,AT5756,AV5756,AX5756)</f>
        <v>2831</v>
      </c>
      <c r="BE5756" s="33" t="n">
        <f aca="false">AZ5756-BD5756</f>
        <v>0</v>
      </c>
      <c r="BF5756" s="34" t="n">
        <f aca="false">BD5756*M5756</f>
        <v>2831</v>
      </c>
      <c r="BG5756" s="35" t="n">
        <f aca="false">BA5756-BF5756</f>
        <v>0</v>
      </c>
      <c r="BH5756" s="19" t="str">
        <f aca="false">IF(BG5756=0,"",IF(BG5756&lt;&gt;BA5756,"erreur de calcul",IF(BD5756&lt;&gt;0,"pas de prix",IF(M5756&lt;&gt; 0,"pas de quantité","pas de prix, ni de quantité"))))</f>
        <v/>
      </c>
      <c r="BI5756" s="19"/>
    </row>
    <row r="5757" customFormat="false" ht="15" hidden="false" customHeight="false" outlineLevel="0" collapsed="false">
      <c r="A5757" s="0" t="n">
        <v>14</v>
      </c>
      <c r="B5757" s="8" t="s">
        <v>24</v>
      </c>
      <c r="C5757" s="9" t="s">
        <v>25</v>
      </c>
      <c r="D5757" s="9" t="s">
        <v>26</v>
      </c>
      <c r="E5757" s="10" t="n">
        <v>1789</v>
      </c>
      <c r="F5757" s="9" t="s">
        <v>27</v>
      </c>
      <c r="G5757" s="9" t="s">
        <v>27</v>
      </c>
      <c r="H5757" s="11" t="n">
        <v>22</v>
      </c>
      <c r="I5757" s="11" t="s">
        <v>215</v>
      </c>
      <c r="J5757" s="14" t="n">
        <v>36</v>
      </c>
      <c r="K5757" s="14"/>
      <c r="L5757" s="16"/>
      <c r="M5757" s="27" t="n">
        <f aca="false">J5757+(K5757/20)+(L5757/240)</f>
        <v>36</v>
      </c>
      <c r="N5757" s="17" t="s">
        <v>64</v>
      </c>
      <c r="O5757" s="11"/>
      <c r="P5757" s="28"/>
      <c r="Q5757" s="28" t="n">
        <f aca="false">P5757*$M5757</f>
        <v>0</v>
      </c>
      <c r="R5757" s="28"/>
      <c r="S5757" s="28" t="n">
        <f aca="false">R5757*$M5757</f>
        <v>0</v>
      </c>
      <c r="T5757" s="28"/>
      <c r="U5757" s="28" t="n">
        <f aca="false">T5757*$M5757</f>
        <v>0</v>
      </c>
      <c r="V5757" s="28"/>
      <c r="W5757" s="28" t="n">
        <f aca="false">V5757*$M5757</f>
        <v>0</v>
      </c>
      <c r="X5757" s="28"/>
      <c r="Y5757" s="28" t="n">
        <f aca="false">X5757*$M5757</f>
        <v>0</v>
      </c>
      <c r="Z5757" s="28"/>
      <c r="AA5757" s="28" t="n">
        <f aca="false">Z5757*$M5757</f>
        <v>0</v>
      </c>
      <c r="AB5757" s="28"/>
      <c r="AC5757" s="28" t="n">
        <f aca="false">AB5757*$M5757</f>
        <v>0</v>
      </c>
      <c r="AD5757" s="28"/>
      <c r="AE5757" s="28" t="n">
        <f aca="false">AD5757*$M5757</f>
        <v>0</v>
      </c>
      <c r="AF5757" s="28" t="n">
        <f aca="false">92472/100</f>
        <v>924.72</v>
      </c>
      <c r="AG5757" s="28" t="n">
        <v>33290</v>
      </c>
      <c r="AH5757" s="28" t="n">
        <f aca="false">490633/100</f>
        <v>4906.33</v>
      </c>
      <c r="AI5757" s="28" t="n">
        <v>176628</v>
      </c>
      <c r="AJ5757" s="28"/>
      <c r="AK5757" s="28" t="n">
        <f aca="false">AJ5757*$M5757</f>
        <v>0</v>
      </c>
      <c r="AL5757" s="28"/>
      <c r="AM5757" s="28" t="n">
        <f aca="false">AL5757*$M5757</f>
        <v>0</v>
      </c>
      <c r="AN5757" s="28"/>
      <c r="AO5757" s="28" t="n">
        <f aca="false">AN5757*$M5757</f>
        <v>0</v>
      </c>
      <c r="AP5757" s="28"/>
      <c r="AQ5757" s="28" t="n">
        <f aca="false">AP5757*$M5757</f>
        <v>0</v>
      </c>
      <c r="AR5757" s="28"/>
      <c r="AS5757" s="28" t="n">
        <f aca="false">AR5757*$M5757</f>
        <v>0</v>
      </c>
      <c r="AT5757" s="28"/>
      <c r="AU5757" s="28" t="n">
        <f aca="false">AT5757*$M5757</f>
        <v>0</v>
      </c>
      <c r="AV5757" s="28"/>
      <c r="AW5757" s="28" t="n">
        <f aca="false">AV5757*$M5757</f>
        <v>0</v>
      </c>
      <c r="AX5757" s="28"/>
      <c r="AY5757" s="28" t="n">
        <f aca="false">AX5757*$M5757</f>
        <v>0</v>
      </c>
      <c r="AZ5757" s="30" t="n">
        <f aca="false">583105/100</f>
        <v>5831.05</v>
      </c>
      <c r="BA5757" s="11" t="n">
        <v>209918</v>
      </c>
      <c r="BB5757" s="31" t="n">
        <f aca="false">SUM(Q5757,S5757,U5757,W5757,Y5757,AA5757,AC5757,AE5757,AG5757,AI5757,AK5757,AM5757,AO5757,AQ5757,AS5757,AU5757,AW5757,AY5757)</f>
        <v>209918</v>
      </c>
      <c r="BC5757" s="28" t="n">
        <f aca="false">BA5757-BB5757</f>
        <v>0</v>
      </c>
      <c r="BD5757" s="32" t="n">
        <f aca="false">SUM(P5757,R5757,T5757,V5757,X5757,Z5757,AB5757,AD5757,AF5757,AH5757,AJ5757,AL5757,AN5757,AP5757,AR5757,AT5757,AV5757,AX5757)</f>
        <v>5831.05</v>
      </c>
      <c r="BE5757" s="33" t="n">
        <f aca="false">AZ5757-BD5757</f>
        <v>0</v>
      </c>
      <c r="BF5757" s="34" t="n">
        <f aca="false">BD5757*M5757</f>
        <v>209917.8</v>
      </c>
      <c r="BG5757" s="35" t="n">
        <f aca="false">BA5757-BF5757</f>
        <v>0.199999999982538</v>
      </c>
      <c r="BH5757" s="19" t="str">
        <f aca="false">IF(BG5757=0,"",IF(BG5757&lt;&gt;BA5757,"erreur de calcul",IF(BD5757&lt;&gt;0,"pas de prix",IF(M5757&lt;&gt; 0,"pas de quantité","pas de prix, ni de quantité"))))</f>
        <v>erreur de calcul</v>
      </c>
      <c r="BI5757" s="19"/>
    </row>
    <row r="5758" customFormat="false" ht="15" hidden="false" customHeight="false" outlineLevel="0" collapsed="false">
      <c r="A5758" s="0" t="n">
        <v>15</v>
      </c>
      <c r="B5758" s="8" t="s">
        <v>24</v>
      </c>
      <c r="C5758" s="9" t="s">
        <v>25</v>
      </c>
      <c r="D5758" s="9" t="s">
        <v>26</v>
      </c>
      <c r="E5758" s="10" t="n">
        <v>1789</v>
      </c>
      <c r="F5758" s="9" t="s">
        <v>27</v>
      </c>
      <c r="G5758" s="9" t="s">
        <v>27</v>
      </c>
      <c r="H5758" s="11" t="n">
        <v>22</v>
      </c>
      <c r="I5758" s="11" t="s">
        <v>216</v>
      </c>
      <c r="J5758" s="14"/>
      <c r="K5758" s="14" t="n">
        <v>22</v>
      </c>
      <c r="L5758" s="16"/>
      <c r="M5758" s="27" t="n">
        <f aca="false">J5758+(K5758/20)+(L5758/240)</f>
        <v>1.1</v>
      </c>
      <c r="N5758" s="17" t="s">
        <v>66</v>
      </c>
      <c r="O5758" s="11"/>
      <c r="P5758" s="28"/>
      <c r="Q5758" s="28" t="n">
        <f aca="false">P5758*$M5758</f>
        <v>0</v>
      </c>
      <c r="R5758" s="28"/>
      <c r="S5758" s="28" t="n">
        <f aca="false">R5758*$M5758</f>
        <v>0</v>
      </c>
      <c r="T5758" s="28" t="n">
        <v>2875</v>
      </c>
      <c r="U5758" s="28" t="n">
        <v>3162</v>
      </c>
      <c r="V5758" s="28"/>
      <c r="W5758" s="28" t="n">
        <f aca="false">V5758*$M5758</f>
        <v>0</v>
      </c>
      <c r="X5758" s="28"/>
      <c r="Y5758" s="28" t="n">
        <f aca="false">X5758*$M5758</f>
        <v>0</v>
      </c>
      <c r="Z5758" s="28"/>
      <c r="AA5758" s="28" t="n">
        <f aca="false">Z5758*$M5758</f>
        <v>0</v>
      </c>
      <c r="AB5758" s="28"/>
      <c r="AC5758" s="28" t="n">
        <f aca="false">AB5758*$M5758</f>
        <v>0</v>
      </c>
      <c r="AD5758" s="28"/>
      <c r="AE5758" s="28" t="n">
        <f aca="false">AD5758*$M5758</f>
        <v>0</v>
      </c>
      <c r="AF5758" s="28"/>
      <c r="AG5758" s="28" t="n">
        <f aca="false">AF5758*$M5758</f>
        <v>0</v>
      </c>
      <c r="AH5758" s="28"/>
      <c r="AI5758" s="28" t="n">
        <f aca="false">AH5758*$M5758</f>
        <v>0</v>
      </c>
      <c r="AJ5758" s="28"/>
      <c r="AK5758" s="28" t="n">
        <f aca="false">AJ5758*$M5758</f>
        <v>0</v>
      </c>
      <c r="AL5758" s="28"/>
      <c r="AM5758" s="28" t="n">
        <f aca="false">AL5758*$M5758</f>
        <v>0</v>
      </c>
      <c r="AN5758" s="28"/>
      <c r="AO5758" s="28" t="n">
        <f aca="false">AN5758*$M5758</f>
        <v>0</v>
      </c>
      <c r="AP5758" s="28"/>
      <c r="AQ5758" s="28" t="n">
        <f aca="false">AP5758*$M5758</f>
        <v>0</v>
      </c>
      <c r="AR5758" s="28"/>
      <c r="AS5758" s="28" t="n">
        <f aca="false">AR5758*$M5758</f>
        <v>0</v>
      </c>
      <c r="AT5758" s="28"/>
      <c r="AU5758" s="28" t="n">
        <f aca="false">AT5758*$M5758</f>
        <v>0</v>
      </c>
      <c r="AV5758" s="28"/>
      <c r="AW5758" s="28" t="n">
        <f aca="false">AV5758*$M5758</f>
        <v>0</v>
      </c>
      <c r="AX5758" s="28"/>
      <c r="AY5758" s="28" t="n">
        <f aca="false">AX5758*$M5758</f>
        <v>0</v>
      </c>
      <c r="AZ5758" s="30" t="n">
        <v>2875</v>
      </c>
      <c r="BA5758" s="11" t="n">
        <v>3162</v>
      </c>
      <c r="BB5758" s="31" t="n">
        <f aca="false">SUM(Q5758,S5758,U5758,W5758,Y5758,AA5758,AC5758,AE5758,AG5758,AI5758,AK5758,AM5758,AO5758,AQ5758,AS5758,AU5758,AW5758,AY5758)</f>
        <v>3162</v>
      </c>
      <c r="BC5758" s="28" t="n">
        <f aca="false">BA5758-BB5758</f>
        <v>0</v>
      </c>
      <c r="BD5758" s="32" t="n">
        <f aca="false">SUM(P5758,R5758,T5758,V5758,X5758,Z5758,AB5758,AD5758,AF5758,AH5758,AJ5758,AL5758,AN5758,AP5758,AR5758,AT5758,AV5758,AX5758)</f>
        <v>2875</v>
      </c>
      <c r="BE5758" s="33" t="n">
        <f aca="false">AZ5758-BD5758</f>
        <v>0</v>
      </c>
      <c r="BF5758" s="34" t="n">
        <f aca="false">BD5758*M5758</f>
        <v>3162.5</v>
      </c>
      <c r="BG5758" s="35" t="n">
        <f aca="false">BA5758-BF5758</f>
        <v>-0.500000000000455</v>
      </c>
      <c r="BH5758" s="19" t="str">
        <f aca="false">IF(BG5758=0,"",IF(BG5758&lt;&gt;BA5758,"erreur de calcul",IF(BD5758&lt;&gt;0,"pas de prix",IF(M5758&lt;&gt; 0,"pas de quantité","pas de prix, ni de quantité"))))</f>
        <v>erreur de calcul</v>
      </c>
      <c r="BI5758" s="19"/>
    </row>
    <row r="5759" customFormat="false" ht="15" hidden="false" customHeight="false" outlineLevel="0" collapsed="false">
      <c r="A5759" s="0" t="n">
        <v>16</v>
      </c>
      <c r="B5759" s="8" t="s">
        <v>24</v>
      </c>
      <c r="C5759" s="9" t="s">
        <v>25</v>
      </c>
      <c r="D5759" s="9" t="s">
        <v>26</v>
      </c>
      <c r="E5759" s="10" t="n">
        <v>1789</v>
      </c>
      <c r="F5759" s="9" t="s">
        <v>27</v>
      </c>
      <c r="G5759" s="9" t="s">
        <v>27</v>
      </c>
      <c r="H5759" s="11" t="n">
        <v>22</v>
      </c>
      <c r="I5759" s="11" t="s">
        <v>217</v>
      </c>
      <c r="J5759" s="14" t="n">
        <v>90</v>
      </c>
      <c r="K5759" s="14"/>
      <c r="L5759" s="16"/>
      <c r="M5759" s="27" t="n">
        <f aca="false">J5759+(K5759/20)+(L5759/240)</f>
        <v>90</v>
      </c>
      <c r="N5759" s="17" t="s">
        <v>64</v>
      </c>
      <c r="O5759" s="11"/>
      <c r="P5759" s="28"/>
      <c r="Q5759" s="28" t="n">
        <f aca="false">P5759*$M5759</f>
        <v>0</v>
      </c>
      <c r="R5759" s="28"/>
      <c r="S5759" s="28" t="n">
        <f aca="false">R5759*$M5759</f>
        <v>0</v>
      </c>
      <c r="T5759" s="28"/>
      <c r="U5759" s="28" t="n">
        <f aca="false">T5759*$M5759</f>
        <v>0</v>
      </c>
      <c r="V5759" s="28"/>
      <c r="W5759" s="28" t="n">
        <f aca="false">V5759*$M5759</f>
        <v>0</v>
      </c>
      <c r="X5759" s="28" t="n">
        <f aca="false">2440/100</f>
        <v>24.4</v>
      </c>
      <c r="Y5759" s="28" t="n">
        <v>2196</v>
      </c>
      <c r="Z5759" s="28"/>
      <c r="AA5759" s="28" t="n">
        <f aca="false">Z5759*$M5759</f>
        <v>0</v>
      </c>
      <c r="AB5759" s="28"/>
      <c r="AC5759" s="28" t="n">
        <f aca="false">AB5759*$M5759</f>
        <v>0</v>
      </c>
      <c r="AD5759" s="28"/>
      <c r="AE5759" s="28" t="n">
        <f aca="false">AD5759*$M5759</f>
        <v>0</v>
      </c>
      <c r="AF5759" s="28"/>
      <c r="AG5759" s="28" t="n">
        <f aca="false">AF5759*$M5759</f>
        <v>0</v>
      </c>
      <c r="AH5759" s="28" t="n">
        <f aca="false">524577/100</f>
        <v>5245.77</v>
      </c>
      <c r="AI5759" s="28" t="n">
        <v>472116</v>
      </c>
      <c r="AJ5759" s="28"/>
      <c r="AK5759" s="28" t="n">
        <f aca="false">AJ5759*$M5759</f>
        <v>0</v>
      </c>
      <c r="AL5759" s="28"/>
      <c r="AM5759" s="28" t="n">
        <f aca="false">AL5759*$M5759</f>
        <v>0</v>
      </c>
      <c r="AN5759" s="28"/>
      <c r="AO5759" s="28" t="n">
        <f aca="false">AN5759*$M5759</f>
        <v>0</v>
      </c>
      <c r="AP5759" s="28"/>
      <c r="AQ5759" s="28" t="n">
        <f aca="false">AP5759*$M5759</f>
        <v>0</v>
      </c>
      <c r="AR5759" s="28"/>
      <c r="AS5759" s="28" t="n">
        <f aca="false">AR5759*$M5759</f>
        <v>0</v>
      </c>
      <c r="AT5759" s="28"/>
      <c r="AU5759" s="28" t="n">
        <f aca="false">AT5759*$M5759</f>
        <v>0</v>
      </c>
      <c r="AV5759" s="28"/>
      <c r="AW5759" s="28" t="n">
        <f aca="false">AV5759*$M5759</f>
        <v>0</v>
      </c>
      <c r="AX5759" s="28"/>
      <c r="AY5759" s="28" t="n">
        <f aca="false">AX5759*$M5759</f>
        <v>0</v>
      </c>
      <c r="AZ5759" s="30" t="n">
        <f aca="false">526980/100</f>
        <v>5269.8</v>
      </c>
      <c r="BA5759" s="11" t="n">
        <v>474312</v>
      </c>
      <c r="BB5759" s="31" t="n">
        <f aca="false">SUM(Q5759,S5759,U5759,W5759,Y5759,AA5759,AC5759,AE5759,AG5759,AI5759,AK5759,AM5759,AO5759,AQ5759,AS5759,AU5759,AW5759,AY5759)</f>
        <v>474312</v>
      </c>
      <c r="BC5759" s="28" t="n">
        <f aca="false">BA5759-BB5759</f>
        <v>0</v>
      </c>
      <c r="BD5759" s="32" t="n">
        <f aca="false">SUM(P5759,R5759,T5759,V5759,X5759,Z5759,AB5759,AD5759,AF5759,AH5759,AJ5759,AL5759,AN5759,AP5759,AR5759,AT5759,AV5759,AX5759)</f>
        <v>5270.17</v>
      </c>
      <c r="BE5759" s="33" t="n">
        <f aca="false">AZ5759-BD5759</f>
        <v>-0.369999999999891</v>
      </c>
      <c r="BF5759" s="34" t="n">
        <f aca="false">BD5759*M5759</f>
        <v>474315.3</v>
      </c>
      <c r="BG5759" s="35" t="n">
        <f aca="false">BA5759-BF5759</f>
        <v>-3.29999999998836</v>
      </c>
      <c r="BH5759" s="19" t="str">
        <f aca="false">IF(BG5759=0,"",IF(BG5759&lt;&gt;BA5759,"erreur de calcul",IF(BD5759&lt;&gt;0,"pas de prix",IF(M5759&lt;&gt; 0,"pas de quantité","pas de prix, ni de quantité"))))</f>
        <v>erreur de calcul</v>
      </c>
      <c r="BI5759" s="19"/>
    </row>
    <row r="5760" customFormat="false" ht="15" hidden="false" customHeight="false" outlineLevel="0" collapsed="false">
      <c r="A5760" s="0" t="n">
        <v>17</v>
      </c>
      <c r="B5760" s="8" t="s">
        <v>24</v>
      </c>
      <c r="C5760" s="9" t="s">
        <v>25</v>
      </c>
      <c r="D5760" s="9" t="s">
        <v>26</v>
      </c>
      <c r="E5760" s="10" t="n">
        <v>1789</v>
      </c>
      <c r="F5760" s="9" t="s">
        <v>27</v>
      </c>
      <c r="G5760" s="9" t="s">
        <v>27</v>
      </c>
      <c r="H5760" s="11" t="n">
        <v>22</v>
      </c>
      <c r="I5760" s="11" t="s">
        <v>218</v>
      </c>
      <c r="J5760" s="14" t="n">
        <v>15</v>
      </c>
      <c r="K5760" s="14"/>
      <c r="L5760" s="16"/>
      <c r="M5760" s="27" t="n">
        <f aca="false">J5760+(K5760/20)+(L5760/240)</f>
        <v>15</v>
      </c>
      <c r="N5760" s="17" t="s">
        <v>64</v>
      </c>
      <c r="O5760" s="11"/>
      <c r="P5760" s="28" t="n">
        <f aca="false">12250/100</f>
        <v>122.5</v>
      </c>
      <c r="Q5760" s="28" t="n">
        <v>1837</v>
      </c>
      <c r="R5760" s="28"/>
      <c r="S5760" s="28" t="n">
        <f aca="false">R5760*$M5760</f>
        <v>0</v>
      </c>
      <c r="T5760" s="28"/>
      <c r="U5760" s="28" t="n">
        <f aca="false">T5760*$M5760</f>
        <v>0</v>
      </c>
      <c r="V5760" s="28" t="n">
        <f aca="false">118493/100</f>
        <v>1184.93</v>
      </c>
      <c r="W5760" s="28" t="n">
        <v>17774</v>
      </c>
      <c r="X5760" s="28" t="n">
        <f aca="false">16835/100</f>
        <v>168.35</v>
      </c>
      <c r="Y5760" s="28" t="n">
        <v>2525</v>
      </c>
      <c r="Z5760" s="28"/>
      <c r="AA5760" s="28" t="n">
        <f aca="false">Z5760*$M5760</f>
        <v>0</v>
      </c>
      <c r="AB5760" s="28" t="n">
        <f aca="false">268622/100</f>
        <v>2686.22</v>
      </c>
      <c r="AC5760" s="28" t="n">
        <v>40293</v>
      </c>
      <c r="AD5760" s="28"/>
      <c r="AE5760" s="28" t="n">
        <f aca="false">AD5760*$M5760</f>
        <v>0</v>
      </c>
      <c r="AF5760" s="28"/>
      <c r="AG5760" s="28" t="n">
        <f aca="false">AF5760*$M5760</f>
        <v>0</v>
      </c>
      <c r="AH5760" s="28" t="n">
        <f aca="false">70164/100</f>
        <v>701.64</v>
      </c>
      <c r="AI5760" s="28" t="n">
        <v>10524</v>
      </c>
      <c r="AJ5760" s="28"/>
      <c r="AK5760" s="28" t="n">
        <f aca="false">AJ5760*$M5760</f>
        <v>0</v>
      </c>
      <c r="AL5760" s="28"/>
      <c r="AM5760" s="28" t="n">
        <f aca="false">AL5760*$M5760</f>
        <v>0</v>
      </c>
      <c r="AN5760" s="28"/>
      <c r="AO5760" s="28" t="n">
        <f aca="false">AN5760*$M5760</f>
        <v>0</v>
      </c>
      <c r="AP5760" s="28"/>
      <c r="AQ5760" s="28" t="n">
        <f aca="false">AP5760*$M5760</f>
        <v>0</v>
      </c>
      <c r="AR5760" s="28"/>
      <c r="AS5760" s="28" t="n">
        <f aca="false">AR5760*$M5760</f>
        <v>0</v>
      </c>
      <c r="AT5760" s="28"/>
      <c r="AU5760" s="28" t="n">
        <f aca="false">AT5760*$M5760</f>
        <v>0</v>
      </c>
      <c r="AV5760" s="28"/>
      <c r="AW5760" s="28" t="n">
        <f aca="false">AV5760*$M5760</f>
        <v>0</v>
      </c>
      <c r="AX5760" s="28"/>
      <c r="AY5760" s="28" t="n">
        <f aca="false">AX5760*$M5760</f>
        <v>0</v>
      </c>
      <c r="AZ5760" s="30" t="n">
        <f aca="false">486364/100</f>
        <v>4863.64</v>
      </c>
      <c r="BA5760" s="11" t="n">
        <v>72953</v>
      </c>
      <c r="BB5760" s="31" t="n">
        <f aca="false">SUM(Q5760,S5760,U5760,W5760,Y5760,AA5760,AC5760,AE5760,AG5760,AI5760,AK5760,AM5760,AO5760,AQ5760,AS5760,AU5760,AW5760,AY5760)</f>
        <v>72953</v>
      </c>
      <c r="BC5760" s="28" t="n">
        <f aca="false">BA5760-BB5760</f>
        <v>0</v>
      </c>
      <c r="BD5760" s="32" t="n">
        <f aca="false">SUM(P5760,R5760,T5760,V5760,X5760,Z5760,AB5760,AD5760,AF5760,AH5760,AJ5760,AL5760,AN5760,AP5760,AR5760,AT5760,AV5760,AX5760)</f>
        <v>4863.64</v>
      </c>
      <c r="BE5760" s="33" t="n">
        <f aca="false">AZ5760-BD5760</f>
        <v>0</v>
      </c>
      <c r="BF5760" s="34" t="n">
        <f aca="false">BD5760*M5760</f>
        <v>72954.6</v>
      </c>
      <c r="BG5760" s="35" t="n">
        <f aca="false">BA5760-BF5760</f>
        <v>-1.59999999999127</v>
      </c>
      <c r="BH5760" s="19" t="str">
        <f aca="false">IF(BG5760=0,"",IF(BG5760&lt;&gt;BA5760,"erreur de calcul",IF(BD5760&lt;&gt;0,"pas de prix",IF(M5760&lt;&gt; 0,"pas de quantité","pas de prix, ni de quantité"))))</f>
        <v>erreur de calcul</v>
      </c>
      <c r="BI5760" s="19"/>
    </row>
    <row r="5761" customFormat="false" ht="15" hidden="false" customHeight="false" outlineLevel="0" collapsed="false">
      <c r="A5761" s="0" t="n">
        <v>18</v>
      </c>
      <c r="B5761" s="8" t="s">
        <v>24</v>
      </c>
      <c r="C5761" s="9" t="s">
        <v>25</v>
      </c>
      <c r="D5761" s="9" t="s">
        <v>26</v>
      </c>
      <c r="E5761" s="10" t="n">
        <v>1789</v>
      </c>
      <c r="F5761" s="9" t="s">
        <v>27</v>
      </c>
      <c r="G5761" s="9" t="s">
        <v>27</v>
      </c>
      <c r="H5761" s="11" t="n">
        <v>22</v>
      </c>
      <c r="I5761" s="11" t="s">
        <v>219</v>
      </c>
      <c r="J5761" s="14" t="n">
        <v>12</v>
      </c>
      <c r="K5761" s="14"/>
      <c r="L5761" s="16"/>
      <c r="M5761" s="27" t="n">
        <f aca="false">J5761+(K5761/20)+(L5761/240)</f>
        <v>12</v>
      </c>
      <c r="N5761" s="17" t="s">
        <v>64</v>
      </c>
      <c r="O5761" s="11"/>
      <c r="P5761" s="28"/>
      <c r="Q5761" s="28" t="n">
        <f aca="false">P5761*$M5761</f>
        <v>0</v>
      </c>
      <c r="R5761" s="28"/>
      <c r="S5761" s="28" t="n">
        <f aca="false">R5761*$M5761</f>
        <v>0</v>
      </c>
      <c r="T5761" s="28"/>
      <c r="U5761" s="28" t="n">
        <f aca="false">T5761*$M5761</f>
        <v>0</v>
      </c>
      <c r="V5761" s="28" t="n">
        <f aca="false">26072/100</f>
        <v>260.72</v>
      </c>
      <c r="W5761" s="28" t="n">
        <v>3129</v>
      </c>
      <c r="X5761" s="28" t="n">
        <f aca="false">16340/100</f>
        <v>163.4</v>
      </c>
      <c r="Y5761" s="28" t="n">
        <v>1961</v>
      </c>
      <c r="Z5761" s="28"/>
      <c r="AA5761" s="28" t="n">
        <f aca="false">Z5761*$M5761</f>
        <v>0</v>
      </c>
      <c r="AB5761" s="28" t="n">
        <f aca="false">76351/100</f>
        <v>763.51</v>
      </c>
      <c r="AC5761" s="28" t="n">
        <v>9162</v>
      </c>
      <c r="AD5761" s="28"/>
      <c r="AE5761" s="28" t="n">
        <f aca="false">AD5761*$M5761</f>
        <v>0</v>
      </c>
      <c r="AF5761" s="28"/>
      <c r="AG5761" s="28" t="n">
        <f aca="false">AF5761*$M5761</f>
        <v>0</v>
      </c>
      <c r="AH5761" s="28"/>
      <c r="AI5761" s="28" t="n">
        <f aca="false">AH5761*$M5761</f>
        <v>0</v>
      </c>
      <c r="AJ5761" s="28"/>
      <c r="AK5761" s="28" t="n">
        <f aca="false">AJ5761*$M5761</f>
        <v>0</v>
      </c>
      <c r="AL5761" s="28"/>
      <c r="AM5761" s="28" t="n">
        <f aca="false">AL5761*$M5761</f>
        <v>0</v>
      </c>
      <c r="AN5761" s="28"/>
      <c r="AO5761" s="28" t="n">
        <f aca="false">AN5761*$M5761</f>
        <v>0</v>
      </c>
      <c r="AP5761" s="28"/>
      <c r="AQ5761" s="28" t="n">
        <f aca="false">AP5761*$M5761</f>
        <v>0</v>
      </c>
      <c r="AR5761" s="28"/>
      <c r="AS5761" s="28" t="n">
        <f aca="false">AR5761*$M5761</f>
        <v>0</v>
      </c>
      <c r="AT5761" s="28"/>
      <c r="AU5761" s="28" t="n">
        <f aca="false">AT5761*$M5761</f>
        <v>0</v>
      </c>
      <c r="AV5761" s="28"/>
      <c r="AW5761" s="28" t="n">
        <f aca="false">AV5761*$M5761</f>
        <v>0</v>
      </c>
      <c r="AX5761" s="28"/>
      <c r="AY5761" s="28" t="n">
        <f aca="false">AX5761*$M5761</f>
        <v>0</v>
      </c>
      <c r="AZ5761" s="30" t="n">
        <f aca="false">118763/100</f>
        <v>1187.63</v>
      </c>
      <c r="BA5761" s="11" t="n">
        <v>14252</v>
      </c>
      <c r="BB5761" s="31" t="n">
        <f aca="false">SUM(Q5761,S5761,U5761,W5761,Y5761,AA5761,AC5761,AE5761,AG5761,AI5761,AK5761,AM5761,AO5761,AQ5761,AS5761,AU5761,AW5761,AY5761)</f>
        <v>14252</v>
      </c>
      <c r="BC5761" s="28" t="n">
        <f aca="false">BA5761-BB5761</f>
        <v>0</v>
      </c>
      <c r="BD5761" s="32" t="n">
        <f aca="false">SUM(P5761,R5761,T5761,V5761,X5761,Z5761,AB5761,AD5761,AF5761,AH5761,AJ5761,AL5761,AN5761,AP5761,AR5761,AT5761,AV5761,AX5761)</f>
        <v>1187.63</v>
      </c>
      <c r="BE5761" s="33" t="n">
        <f aca="false">AZ5761-BD5761</f>
        <v>0</v>
      </c>
      <c r="BF5761" s="34" t="n">
        <f aca="false">BD5761*M5761</f>
        <v>14251.56</v>
      </c>
      <c r="BG5761" s="35" t="n">
        <f aca="false">BA5761-BF5761</f>
        <v>0.43999999999869</v>
      </c>
      <c r="BH5761" s="19" t="str">
        <f aca="false">IF(BG5761=0,"",IF(BG5761&lt;&gt;BA5761,"erreur de calcul",IF(BD5761&lt;&gt;0,"pas de prix",IF(M5761&lt;&gt; 0,"pas de quantité","pas de prix, ni de quantité"))))</f>
        <v>erreur de calcul</v>
      </c>
      <c r="BI5761" s="19"/>
    </row>
    <row r="5762" customFormat="false" ht="15" hidden="false" customHeight="false" outlineLevel="0" collapsed="false">
      <c r="A5762" s="0" t="n">
        <v>19</v>
      </c>
      <c r="B5762" s="8" t="s">
        <v>24</v>
      </c>
      <c r="C5762" s="9" t="s">
        <v>25</v>
      </c>
      <c r="D5762" s="9" t="s">
        <v>26</v>
      </c>
      <c r="E5762" s="10" t="n">
        <v>1789</v>
      </c>
      <c r="F5762" s="9" t="s">
        <v>27</v>
      </c>
      <c r="G5762" s="9" t="s">
        <v>27</v>
      </c>
      <c r="H5762" s="11" t="n">
        <v>22</v>
      </c>
      <c r="I5762" s="11" t="s">
        <v>220</v>
      </c>
      <c r="J5762" s="14" t="n">
        <v>8</v>
      </c>
      <c r="K5762" s="14"/>
      <c r="L5762" s="16"/>
      <c r="M5762" s="27" t="n">
        <f aca="false">J5762+(K5762/20)+(L5762/240)</f>
        <v>8</v>
      </c>
      <c r="N5762" s="17" t="s">
        <v>66</v>
      </c>
      <c r="O5762" s="11"/>
      <c r="P5762" s="28" t="n">
        <v>3798</v>
      </c>
      <c r="Q5762" s="28" t="n">
        <v>30384</v>
      </c>
      <c r="R5762" s="28"/>
      <c r="S5762" s="28" t="n">
        <f aca="false">R5762*$M5762</f>
        <v>0</v>
      </c>
      <c r="T5762" s="28"/>
      <c r="U5762" s="28" t="n">
        <f aca="false">T5762*$M5762</f>
        <v>0</v>
      </c>
      <c r="V5762" s="28"/>
      <c r="W5762" s="28" t="n">
        <f aca="false">V5762*$M5762</f>
        <v>0</v>
      </c>
      <c r="X5762" s="28"/>
      <c r="Y5762" s="28" t="n">
        <f aca="false">X5762*$M5762</f>
        <v>0</v>
      </c>
      <c r="Z5762" s="28"/>
      <c r="AA5762" s="28" t="n">
        <f aca="false">Z5762*$M5762</f>
        <v>0</v>
      </c>
      <c r="AB5762" s="28"/>
      <c r="AC5762" s="28" t="n">
        <f aca="false">AB5762*$M5762</f>
        <v>0</v>
      </c>
      <c r="AD5762" s="28"/>
      <c r="AE5762" s="28" t="n">
        <f aca="false">AD5762*$M5762</f>
        <v>0</v>
      </c>
      <c r="AF5762" s="28"/>
      <c r="AG5762" s="28" t="n">
        <f aca="false">AF5762*$M5762</f>
        <v>0</v>
      </c>
      <c r="AH5762" s="28" t="n">
        <v>322</v>
      </c>
      <c r="AI5762" s="28" t="n">
        <v>2576</v>
      </c>
      <c r="AJ5762" s="28"/>
      <c r="AK5762" s="28" t="n">
        <f aca="false">AJ5762*$M5762</f>
        <v>0</v>
      </c>
      <c r="AL5762" s="28"/>
      <c r="AM5762" s="28" t="n">
        <f aca="false">AL5762*$M5762</f>
        <v>0</v>
      </c>
      <c r="AN5762" s="28"/>
      <c r="AO5762" s="28" t="n">
        <f aca="false">AN5762*$M5762</f>
        <v>0</v>
      </c>
      <c r="AP5762" s="28"/>
      <c r="AQ5762" s="28" t="n">
        <f aca="false">AP5762*$M5762</f>
        <v>0</v>
      </c>
      <c r="AR5762" s="28"/>
      <c r="AS5762" s="28" t="n">
        <f aca="false">AR5762*$M5762</f>
        <v>0</v>
      </c>
      <c r="AT5762" s="28"/>
      <c r="AU5762" s="28" t="n">
        <f aca="false">AT5762*$M5762</f>
        <v>0</v>
      </c>
      <c r="AV5762" s="28"/>
      <c r="AW5762" s="28" t="n">
        <f aca="false">AV5762*$M5762</f>
        <v>0</v>
      </c>
      <c r="AX5762" s="28"/>
      <c r="AY5762" s="28" t="n">
        <f aca="false">AX5762*$M5762</f>
        <v>0</v>
      </c>
      <c r="AZ5762" s="30" t="n">
        <v>4120</v>
      </c>
      <c r="BA5762" s="11" t="n">
        <v>32960</v>
      </c>
      <c r="BB5762" s="31" t="n">
        <f aca="false">SUM(Q5762,S5762,U5762,W5762,Y5762,AA5762,AC5762,AE5762,AG5762,AI5762,AK5762,AM5762,AO5762,AQ5762,AS5762,AU5762,AW5762,AY5762)</f>
        <v>32960</v>
      </c>
      <c r="BC5762" s="28" t="n">
        <f aca="false">BA5762-BB5762</f>
        <v>0</v>
      </c>
      <c r="BD5762" s="32" t="n">
        <f aca="false">SUM(P5762,R5762,T5762,V5762,X5762,Z5762,AB5762,AD5762,AF5762,AH5762,AJ5762,AL5762,AN5762,AP5762,AR5762,AT5762,AV5762,AX5762)</f>
        <v>4120</v>
      </c>
      <c r="BE5762" s="33" t="n">
        <f aca="false">AZ5762-BD5762</f>
        <v>0</v>
      </c>
      <c r="BF5762" s="34" t="n">
        <f aca="false">BD5762*M5762</f>
        <v>32960</v>
      </c>
      <c r="BG5762" s="35" t="n">
        <f aca="false">BA5762-BF5762</f>
        <v>0</v>
      </c>
      <c r="BH5762" s="19" t="str">
        <f aca="false">IF(BG5762=0,"",IF(BG5762&lt;&gt;BA5762,"erreur de calcul",IF(BD5762&lt;&gt;0,"pas de prix",IF(M5762&lt;&gt; 0,"pas de quantité","pas de prix, ni de quantité"))))</f>
        <v/>
      </c>
      <c r="BI5762" s="19"/>
    </row>
    <row r="5763" customFormat="false" ht="15" hidden="false" customHeight="false" outlineLevel="0" collapsed="false">
      <c r="A5763" s="0" t="n">
        <v>20</v>
      </c>
      <c r="B5763" s="8" t="s">
        <v>24</v>
      </c>
      <c r="C5763" s="9" t="s">
        <v>25</v>
      </c>
      <c r="D5763" s="9" t="s">
        <v>26</v>
      </c>
      <c r="E5763" s="10" t="n">
        <v>1789</v>
      </c>
      <c r="F5763" s="9" t="s">
        <v>27</v>
      </c>
      <c r="G5763" s="9" t="s">
        <v>27</v>
      </c>
      <c r="H5763" s="11" t="n">
        <v>22</v>
      </c>
      <c r="I5763" s="11" t="s">
        <v>221</v>
      </c>
      <c r="J5763" s="14"/>
      <c r="K5763" s="14" t="n">
        <v>20</v>
      </c>
      <c r="L5763" s="16"/>
      <c r="M5763" s="27" t="n">
        <f aca="false">J5763+(K5763/20)+(L5763/240)</f>
        <v>1</v>
      </c>
      <c r="N5763" s="17" t="s">
        <v>66</v>
      </c>
      <c r="O5763" s="11"/>
      <c r="P5763" s="28" t="n">
        <v>1353</v>
      </c>
      <c r="Q5763" s="28" t="n">
        <v>1353</v>
      </c>
      <c r="R5763" s="28"/>
      <c r="S5763" s="28" t="n">
        <f aca="false">R5763*$M5763</f>
        <v>0</v>
      </c>
      <c r="T5763" s="28"/>
      <c r="U5763" s="28" t="n">
        <f aca="false">T5763*$M5763</f>
        <v>0</v>
      </c>
      <c r="V5763" s="28"/>
      <c r="W5763" s="28" t="n">
        <f aca="false">V5763*$M5763</f>
        <v>0</v>
      </c>
      <c r="X5763" s="28"/>
      <c r="Y5763" s="28" t="n">
        <f aca="false">X5763*$M5763</f>
        <v>0</v>
      </c>
      <c r="Z5763" s="28"/>
      <c r="AA5763" s="28" t="n">
        <f aca="false">Z5763*$M5763</f>
        <v>0</v>
      </c>
      <c r="AB5763" s="28"/>
      <c r="AC5763" s="28" t="n">
        <f aca="false">AB5763*$M5763</f>
        <v>0</v>
      </c>
      <c r="AD5763" s="28"/>
      <c r="AE5763" s="28" t="n">
        <f aca="false">AD5763*$M5763</f>
        <v>0</v>
      </c>
      <c r="AF5763" s="28"/>
      <c r="AG5763" s="28" t="n">
        <f aca="false">AF5763*$M5763</f>
        <v>0</v>
      </c>
      <c r="AH5763" s="28"/>
      <c r="AI5763" s="28" t="n">
        <f aca="false">AH5763*$M5763</f>
        <v>0</v>
      </c>
      <c r="AJ5763" s="28"/>
      <c r="AK5763" s="28" t="n">
        <f aca="false">AJ5763*$M5763</f>
        <v>0</v>
      </c>
      <c r="AL5763" s="28"/>
      <c r="AM5763" s="28" t="n">
        <f aca="false">AL5763*$M5763</f>
        <v>0</v>
      </c>
      <c r="AN5763" s="28"/>
      <c r="AO5763" s="28" t="n">
        <f aca="false">AN5763*$M5763</f>
        <v>0</v>
      </c>
      <c r="AP5763" s="28"/>
      <c r="AQ5763" s="28" t="n">
        <f aca="false">AP5763*$M5763</f>
        <v>0</v>
      </c>
      <c r="AR5763" s="28"/>
      <c r="AS5763" s="28" t="n">
        <f aca="false">AR5763*$M5763</f>
        <v>0</v>
      </c>
      <c r="AT5763" s="28"/>
      <c r="AU5763" s="28" t="n">
        <f aca="false">AT5763*$M5763</f>
        <v>0</v>
      </c>
      <c r="AV5763" s="28"/>
      <c r="AW5763" s="28" t="n">
        <f aca="false">AV5763*$M5763</f>
        <v>0</v>
      </c>
      <c r="AX5763" s="28"/>
      <c r="AY5763" s="28" t="n">
        <f aca="false">AX5763*$M5763</f>
        <v>0</v>
      </c>
      <c r="AZ5763" s="30" t="n">
        <v>1353</v>
      </c>
      <c r="BA5763" s="11" t="n">
        <v>1353</v>
      </c>
      <c r="BB5763" s="31" t="n">
        <f aca="false">SUM(Q5763,S5763,U5763,W5763,Y5763,AA5763,AC5763,AE5763,AG5763,AI5763,AK5763,AM5763,AO5763,AQ5763,AS5763,AU5763,AW5763,AY5763)</f>
        <v>1353</v>
      </c>
      <c r="BC5763" s="28" t="n">
        <f aca="false">BA5763-BB5763</f>
        <v>0</v>
      </c>
      <c r="BD5763" s="32" t="n">
        <f aca="false">SUM(P5763,R5763,T5763,V5763,X5763,Z5763,AB5763,AD5763,AF5763,AH5763,AJ5763,AL5763,AN5763,AP5763,AR5763,AT5763,AV5763,AX5763)</f>
        <v>1353</v>
      </c>
      <c r="BE5763" s="33" t="n">
        <f aca="false">AZ5763-BD5763</f>
        <v>0</v>
      </c>
      <c r="BF5763" s="34" t="n">
        <f aca="false">BD5763*M5763</f>
        <v>1353</v>
      </c>
      <c r="BG5763" s="35" t="n">
        <f aca="false">BA5763-BF5763</f>
        <v>0</v>
      </c>
      <c r="BH5763" s="19" t="str">
        <f aca="false">IF(BG5763=0,"",IF(BG5763&lt;&gt;BA5763,"erreur de calcul",IF(BD5763&lt;&gt;0,"pas de prix",IF(M5763&lt;&gt; 0,"pas de quantité","pas de prix, ni de quantité"))))</f>
        <v/>
      </c>
      <c r="BI5763" s="19"/>
    </row>
    <row r="5764" customFormat="false" ht="15" hidden="false" customHeight="false" outlineLevel="0" collapsed="false">
      <c r="A5764" s="0" t="n">
        <v>21</v>
      </c>
      <c r="B5764" s="8" t="s">
        <v>24</v>
      </c>
      <c r="C5764" s="9" t="s">
        <v>25</v>
      </c>
      <c r="D5764" s="9" t="s">
        <v>26</v>
      </c>
      <c r="E5764" s="10" t="n">
        <v>1789</v>
      </c>
      <c r="F5764" s="9" t="s">
        <v>27</v>
      </c>
      <c r="G5764" s="9" t="s">
        <v>27</v>
      </c>
      <c r="H5764" s="11" t="n">
        <v>22</v>
      </c>
      <c r="I5764" s="11" t="s">
        <v>222</v>
      </c>
      <c r="J5764" s="14" t="n">
        <v>85</v>
      </c>
      <c r="K5764" s="14"/>
      <c r="L5764" s="16"/>
      <c r="M5764" s="27" t="n">
        <f aca="false">J5764+(K5764/20)+(L5764/240)</f>
        <v>85</v>
      </c>
      <c r="N5764" s="17" t="s">
        <v>64</v>
      </c>
      <c r="O5764" s="11"/>
      <c r="P5764" s="28"/>
      <c r="Q5764" s="28" t="n">
        <f aca="false">P5764*$M5764</f>
        <v>0</v>
      </c>
      <c r="R5764" s="28"/>
      <c r="S5764" s="28" t="n">
        <f aca="false">R5764*$M5764</f>
        <v>0</v>
      </c>
      <c r="T5764" s="28" t="n">
        <f aca="false">10813/100</f>
        <v>108.13</v>
      </c>
      <c r="U5764" s="28" t="n">
        <v>9191</v>
      </c>
      <c r="V5764" s="28" t="n">
        <f aca="false">43400/100</f>
        <v>434</v>
      </c>
      <c r="W5764" s="28" t="n">
        <v>36890</v>
      </c>
      <c r="X5764" s="28" t="n">
        <f aca="false">702/100</f>
        <v>7.02</v>
      </c>
      <c r="Y5764" s="28" t="n">
        <v>597</v>
      </c>
      <c r="Z5764" s="28"/>
      <c r="AA5764" s="28" t="n">
        <f aca="false">Z5764*$M5764</f>
        <v>0</v>
      </c>
      <c r="AB5764" s="28" t="n">
        <f aca="false">171/100</f>
        <v>1.71</v>
      </c>
      <c r="AC5764" s="28" t="n">
        <v>145</v>
      </c>
      <c r="AD5764" s="28"/>
      <c r="AE5764" s="28" t="n">
        <f aca="false">AD5764*$M5764</f>
        <v>0</v>
      </c>
      <c r="AF5764" s="28"/>
      <c r="AG5764" s="28" t="n">
        <f aca="false">AF5764*$M5764</f>
        <v>0</v>
      </c>
      <c r="AH5764" s="28" t="n">
        <f aca="false">17388/100</f>
        <v>173.88</v>
      </c>
      <c r="AI5764" s="28" t="n">
        <v>14780</v>
      </c>
      <c r="AJ5764" s="28"/>
      <c r="AK5764" s="28" t="n">
        <f aca="false">AJ5764*$M5764</f>
        <v>0</v>
      </c>
      <c r="AL5764" s="28"/>
      <c r="AM5764" s="28" t="n">
        <f aca="false">AL5764*$M5764</f>
        <v>0</v>
      </c>
      <c r="AN5764" s="28"/>
      <c r="AO5764" s="28" t="n">
        <f aca="false">AN5764*$M5764</f>
        <v>0</v>
      </c>
      <c r="AP5764" s="28"/>
      <c r="AQ5764" s="28" t="n">
        <f aca="false">AP5764*$M5764</f>
        <v>0</v>
      </c>
      <c r="AR5764" s="28"/>
      <c r="AS5764" s="28" t="n">
        <f aca="false">AR5764*$M5764</f>
        <v>0</v>
      </c>
      <c r="AT5764" s="28"/>
      <c r="AU5764" s="28" t="n">
        <f aca="false">AT5764*$M5764</f>
        <v>0</v>
      </c>
      <c r="AV5764" s="28"/>
      <c r="AW5764" s="28" t="n">
        <f aca="false">AV5764*$M5764</f>
        <v>0</v>
      </c>
      <c r="AX5764" s="28"/>
      <c r="AY5764" s="28" t="n">
        <f aca="false">AX5764*$M5764</f>
        <v>0</v>
      </c>
      <c r="AZ5764" s="30" t="n">
        <f aca="false">72474/100</f>
        <v>724.74</v>
      </c>
      <c r="BA5764" s="11" t="n">
        <v>61603</v>
      </c>
      <c r="BB5764" s="31" t="n">
        <f aca="false">SUM(Q5764,S5764,U5764,W5764,Y5764,AA5764,AC5764,AE5764,AG5764,AI5764,AK5764,AM5764,AO5764,AQ5764,AS5764,AU5764,AW5764,AY5764)</f>
        <v>61603</v>
      </c>
      <c r="BC5764" s="28" t="n">
        <f aca="false">BA5764-BB5764</f>
        <v>0</v>
      </c>
      <c r="BD5764" s="32" t="n">
        <f aca="false">SUM(P5764,R5764,T5764,V5764,X5764,Z5764,AB5764,AD5764,AF5764,AH5764,AJ5764,AL5764,AN5764,AP5764,AR5764,AT5764,AV5764,AX5764)</f>
        <v>724.74</v>
      </c>
      <c r="BE5764" s="33" t="n">
        <f aca="false">AZ5764-BD5764</f>
        <v>0</v>
      </c>
      <c r="BF5764" s="34" t="n">
        <f aca="false">BD5764*M5764</f>
        <v>61602.9</v>
      </c>
      <c r="BG5764" s="35" t="n">
        <f aca="false">BA5764-BF5764</f>
        <v>0.0999999999985448</v>
      </c>
      <c r="BH5764" s="19" t="str">
        <f aca="false">IF(BG5764=0,"",IF(BG5764&lt;&gt;BA5764,"erreur de calcul",IF(BD5764&lt;&gt;0,"pas de prix",IF(M5764&lt;&gt; 0,"pas de quantité","pas de prix, ni de quantité"))))</f>
        <v>erreur de calcul</v>
      </c>
      <c r="BI5764" s="19"/>
    </row>
    <row r="5765" customFormat="false" ht="15" hidden="false" customHeight="false" outlineLevel="0" collapsed="false">
      <c r="A5765" s="0" t="n">
        <v>22</v>
      </c>
      <c r="B5765" s="8" t="s">
        <v>24</v>
      </c>
      <c r="C5765" s="9" t="s">
        <v>25</v>
      </c>
      <c r="D5765" s="9" t="s">
        <v>26</v>
      </c>
      <c r="E5765" s="10" t="n">
        <v>1789</v>
      </c>
      <c r="F5765" s="9" t="s">
        <v>27</v>
      </c>
      <c r="G5765" s="9" t="s">
        <v>27</v>
      </c>
      <c r="H5765" s="11" t="n">
        <v>22</v>
      </c>
      <c r="I5765" s="11" t="s">
        <v>223</v>
      </c>
      <c r="J5765" s="14" t="n">
        <v>150</v>
      </c>
      <c r="K5765" s="14"/>
      <c r="L5765" s="16"/>
      <c r="M5765" s="27" t="n">
        <f aca="false">J5765+(K5765/20)+(L5765/240)</f>
        <v>150</v>
      </c>
      <c r="N5765" s="17" t="s">
        <v>64</v>
      </c>
      <c r="O5765" s="11"/>
      <c r="P5765" s="28"/>
      <c r="Q5765" s="28" t="n">
        <f aca="false">P5765*$M5765</f>
        <v>0</v>
      </c>
      <c r="R5765" s="28"/>
      <c r="S5765" s="28" t="n">
        <f aca="false">R5765*$M5765</f>
        <v>0</v>
      </c>
      <c r="T5765" s="28"/>
      <c r="U5765" s="28" t="n">
        <f aca="false">T5765*$M5765</f>
        <v>0</v>
      </c>
      <c r="V5765" s="28" t="n">
        <f aca="false">1415/100</f>
        <v>14.15</v>
      </c>
      <c r="W5765" s="28" t="n">
        <v>2122</v>
      </c>
      <c r="X5765" s="28"/>
      <c r="Y5765" s="28" t="n">
        <f aca="false">X5765*$M5765</f>
        <v>0</v>
      </c>
      <c r="Z5765" s="28"/>
      <c r="AA5765" s="28" t="n">
        <f aca="false">Z5765*$M5765</f>
        <v>0</v>
      </c>
      <c r="AB5765" s="28" t="n">
        <f aca="false">1806/100</f>
        <v>18.06</v>
      </c>
      <c r="AC5765" s="28" t="n">
        <v>2709</v>
      </c>
      <c r="AD5765" s="28"/>
      <c r="AE5765" s="28" t="n">
        <f aca="false">AD5765*$M5765</f>
        <v>0</v>
      </c>
      <c r="AF5765" s="28"/>
      <c r="AG5765" s="28" t="n">
        <f aca="false">AF5765*$M5765</f>
        <v>0</v>
      </c>
      <c r="AH5765" s="28"/>
      <c r="AI5765" s="28" t="n">
        <f aca="false">AH5765*$M5765</f>
        <v>0</v>
      </c>
      <c r="AJ5765" s="28"/>
      <c r="AK5765" s="28" t="n">
        <f aca="false">AJ5765*$M5765</f>
        <v>0</v>
      </c>
      <c r="AL5765" s="28"/>
      <c r="AM5765" s="28" t="n">
        <f aca="false">AL5765*$M5765</f>
        <v>0</v>
      </c>
      <c r="AN5765" s="28"/>
      <c r="AO5765" s="28" t="n">
        <f aca="false">AN5765*$M5765</f>
        <v>0</v>
      </c>
      <c r="AP5765" s="28"/>
      <c r="AQ5765" s="28" t="n">
        <f aca="false">AP5765*$M5765</f>
        <v>0</v>
      </c>
      <c r="AR5765" s="28"/>
      <c r="AS5765" s="28" t="n">
        <f aca="false">AR5765*$M5765</f>
        <v>0</v>
      </c>
      <c r="AT5765" s="28"/>
      <c r="AU5765" s="28" t="n">
        <f aca="false">AT5765*$M5765</f>
        <v>0</v>
      </c>
      <c r="AV5765" s="28"/>
      <c r="AW5765" s="28" t="n">
        <f aca="false">AV5765*$M5765</f>
        <v>0</v>
      </c>
      <c r="AX5765" s="28"/>
      <c r="AY5765" s="28" t="n">
        <f aca="false">AX5765*$M5765</f>
        <v>0</v>
      </c>
      <c r="AZ5765" s="30" t="n">
        <f aca="false">3221/100</f>
        <v>32.21</v>
      </c>
      <c r="BA5765" s="11" t="n">
        <v>4831</v>
      </c>
      <c r="BB5765" s="31" t="n">
        <f aca="false">SUM(Q5765,S5765,U5765,W5765,Y5765,AA5765,AC5765,AE5765,AG5765,AI5765,AK5765,AM5765,AO5765,AQ5765,AS5765,AU5765,AW5765,AY5765)</f>
        <v>4831</v>
      </c>
      <c r="BC5765" s="28" t="n">
        <f aca="false">BA5765-BB5765</f>
        <v>0</v>
      </c>
      <c r="BD5765" s="32" t="n">
        <f aca="false">SUM(P5765,R5765,T5765,V5765,X5765,Z5765,AB5765,AD5765,AF5765,AH5765,AJ5765,AL5765,AN5765,AP5765,AR5765,AT5765,AV5765,AX5765)</f>
        <v>32.21</v>
      </c>
      <c r="BE5765" s="33" t="n">
        <f aca="false">AZ5765-BD5765</f>
        <v>0</v>
      </c>
      <c r="BF5765" s="34" t="n">
        <f aca="false">BD5765*M5765</f>
        <v>4831.5</v>
      </c>
      <c r="BG5765" s="35" t="n">
        <f aca="false">BA5765-BF5765</f>
        <v>-0.5</v>
      </c>
      <c r="BH5765" s="19" t="str">
        <f aca="false">IF(BG5765=0,"",IF(BG5765&lt;&gt;BA5765,"erreur de calcul",IF(BD5765&lt;&gt;0,"pas de prix",IF(M5765&lt;&gt; 0,"pas de quantité","pas de prix, ni de quantité"))))</f>
        <v>erreur de calcul</v>
      </c>
      <c r="BI5765" s="19"/>
    </row>
    <row r="5766" customFormat="false" ht="15" hidden="false" customHeight="false" outlineLevel="0" collapsed="false">
      <c r="A5766" s="0" t="n">
        <v>23</v>
      </c>
      <c r="B5766" s="8" t="s">
        <v>24</v>
      </c>
      <c r="C5766" s="9" t="s">
        <v>25</v>
      </c>
      <c r="D5766" s="9" t="s">
        <v>26</v>
      </c>
      <c r="E5766" s="10" t="n">
        <v>1789</v>
      </c>
      <c r="F5766" s="9" t="s">
        <v>27</v>
      </c>
      <c r="G5766" s="9" t="s">
        <v>27</v>
      </c>
      <c r="H5766" s="11" t="n">
        <v>22</v>
      </c>
      <c r="I5766" s="11" t="s">
        <v>224</v>
      </c>
      <c r="J5766" s="14"/>
      <c r="K5766" s="14"/>
      <c r="L5766" s="16"/>
      <c r="M5766" s="27" t="n">
        <f aca="false">J5766+(K5766/20)+(L5766/240)</f>
        <v>0</v>
      </c>
      <c r="N5766" s="17" t="s">
        <v>225</v>
      </c>
      <c r="O5766" s="11"/>
      <c r="P5766" s="28" t="n">
        <f aca="false">2+121/288</f>
        <v>2.42013888888889</v>
      </c>
      <c r="Q5766" s="28" t="n">
        <v>275</v>
      </c>
      <c r="R5766" s="28"/>
      <c r="S5766" s="28" t="n">
        <f aca="false">R5766*$M5766</f>
        <v>0</v>
      </c>
      <c r="T5766" s="28"/>
      <c r="U5766" s="28" t="n">
        <f aca="false">T5766*$M5766</f>
        <v>0</v>
      </c>
      <c r="V5766" s="28"/>
      <c r="W5766" s="28" t="n">
        <f aca="false">V5766*$M5766</f>
        <v>0</v>
      </c>
      <c r="X5766" s="28"/>
      <c r="Y5766" s="28" t="n">
        <f aca="false">X5766*$M5766</f>
        <v>0</v>
      </c>
      <c r="Z5766" s="28"/>
      <c r="AA5766" s="28" t="n">
        <f aca="false">Z5766*$M5766</f>
        <v>0</v>
      </c>
      <c r="AB5766" s="28"/>
      <c r="AC5766" s="28" t="n">
        <f aca="false">AB5766*$M5766</f>
        <v>0</v>
      </c>
      <c r="AD5766" s="28"/>
      <c r="AE5766" s="28" t="n">
        <f aca="false">AD5766*$M5766</f>
        <v>0</v>
      </c>
      <c r="AF5766" s="28"/>
      <c r="AG5766" s="28" t="n">
        <f aca="false">AF5766*$M5766</f>
        <v>0</v>
      </c>
      <c r="AH5766" s="28"/>
      <c r="AI5766" s="28" t="n">
        <f aca="false">AH5766*$M5766</f>
        <v>0</v>
      </c>
      <c r="AJ5766" s="28"/>
      <c r="AK5766" s="28" t="n">
        <f aca="false">AJ5766*$M5766</f>
        <v>0</v>
      </c>
      <c r="AL5766" s="28"/>
      <c r="AM5766" s="28" t="n">
        <f aca="false">AL5766*$M5766</f>
        <v>0</v>
      </c>
      <c r="AN5766" s="28"/>
      <c r="AO5766" s="28" t="n">
        <f aca="false">AN5766*$M5766</f>
        <v>0</v>
      </c>
      <c r="AP5766" s="28"/>
      <c r="AQ5766" s="28" t="n">
        <f aca="false">AP5766*$M5766</f>
        <v>0</v>
      </c>
      <c r="AR5766" s="28"/>
      <c r="AS5766" s="28" t="n">
        <f aca="false">AR5766*$M5766</f>
        <v>0</v>
      </c>
      <c r="AT5766" s="28"/>
      <c r="AU5766" s="28" t="n">
        <f aca="false">AT5766*$M5766</f>
        <v>0</v>
      </c>
      <c r="AV5766" s="28"/>
      <c r="AW5766" s="28" t="n">
        <f aca="false">AV5766*$M5766</f>
        <v>0</v>
      </c>
      <c r="AX5766" s="28"/>
      <c r="AY5766" s="28" t="n">
        <f aca="false">AX5766*$M5766</f>
        <v>0</v>
      </c>
      <c r="AZ5766" s="30" t="n">
        <f aca="false">2+121/288</f>
        <v>2.42013888888889</v>
      </c>
      <c r="BA5766" s="11" t="n">
        <v>275</v>
      </c>
      <c r="BB5766" s="31" t="n">
        <f aca="false">SUM(Q5766,S5766,U5766,W5766,Y5766,AA5766,AC5766,AE5766,AG5766,AI5766,AK5766,AM5766,AO5766,AQ5766,AS5766,AU5766,AW5766,AY5766)</f>
        <v>275</v>
      </c>
      <c r="BC5766" s="28" t="n">
        <f aca="false">BA5766-BB5766</f>
        <v>0</v>
      </c>
      <c r="BD5766" s="32" t="n">
        <f aca="false">SUM(P5766,R5766,T5766,V5766,X5766,Z5766,AB5766,AD5766,AF5766,AH5766,AJ5766,AL5766,AN5766,AP5766,AR5766,AT5766,AV5766,AX5766)</f>
        <v>2.42013888888889</v>
      </c>
      <c r="BE5766" s="33" t="n">
        <f aca="false">AZ5766-BD5766</f>
        <v>0</v>
      </c>
      <c r="BF5766" s="34" t="n">
        <f aca="false">BD5766*M5766</f>
        <v>0</v>
      </c>
      <c r="BG5766" s="35" t="n">
        <f aca="false">BA5766-BF5766</f>
        <v>275</v>
      </c>
      <c r="BH5766" s="19" t="str">
        <f aca="false">IF(BG5766=0,"",IF(BG5766&lt;&gt;BA5766,"erreur de calcul",IF(BD5766&lt;&gt;0,"pas de prix",IF(M5766&lt;&gt; 0,"pas de quantité","pas de prix, ni de quantité"))))</f>
        <v>pas de prix</v>
      </c>
      <c r="BI5766" s="19" t="s">
        <v>226</v>
      </c>
    </row>
    <row r="5767" customFormat="false" ht="15" hidden="false" customHeight="false" outlineLevel="0" collapsed="false">
      <c r="A5767" s="0" t="n">
        <v>24</v>
      </c>
      <c r="B5767" s="8" t="s">
        <v>24</v>
      </c>
      <c r="C5767" s="9" t="s">
        <v>25</v>
      </c>
      <c r="D5767" s="9" t="s">
        <v>26</v>
      </c>
      <c r="E5767" s="10" t="n">
        <v>1789</v>
      </c>
      <c r="F5767" s="9" t="s">
        <v>27</v>
      </c>
      <c r="G5767" s="9" t="s">
        <v>27</v>
      </c>
      <c r="H5767" s="11" t="n">
        <v>22</v>
      </c>
      <c r="I5767" s="11" t="s">
        <v>227</v>
      </c>
      <c r="J5767" s="14" t="n">
        <v>8</v>
      </c>
      <c r="K5767" s="14"/>
      <c r="L5767" s="16"/>
      <c r="M5767" s="27" t="n">
        <f aca="false">J5767+(K5767/20)+(L5767/240)</f>
        <v>8</v>
      </c>
      <c r="N5767" s="17" t="s">
        <v>64</v>
      </c>
      <c r="O5767" s="11" t="s">
        <v>77</v>
      </c>
      <c r="P5767" s="28" t="n">
        <f aca="false">267216/100</f>
        <v>2672.16</v>
      </c>
      <c r="Q5767" s="28" t="n">
        <v>21377</v>
      </c>
      <c r="R5767" s="28"/>
      <c r="S5767" s="28" t="n">
        <f aca="false">R5767*$M5767</f>
        <v>0</v>
      </c>
      <c r="T5767" s="28"/>
      <c r="U5767" s="28" t="n">
        <f aca="false">T5767*$M5767</f>
        <v>0</v>
      </c>
      <c r="V5767" s="28"/>
      <c r="W5767" s="28" t="n">
        <f aca="false">V5767*$M5767</f>
        <v>0</v>
      </c>
      <c r="X5767" s="28"/>
      <c r="Y5767" s="28" t="n">
        <f aca="false">X5767*$M5767</f>
        <v>0</v>
      </c>
      <c r="Z5767" s="28"/>
      <c r="AA5767" s="28" t="n">
        <f aca="false">Z5767*$M5767</f>
        <v>0</v>
      </c>
      <c r="AB5767" s="28" t="n">
        <f aca="false">3334/100</f>
        <v>33.34</v>
      </c>
      <c r="AC5767" s="28" t="n">
        <v>267</v>
      </c>
      <c r="AD5767" s="28"/>
      <c r="AE5767" s="28" t="n">
        <f aca="false">AD5767*$M5767</f>
        <v>0</v>
      </c>
      <c r="AF5767" s="28"/>
      <c r="AG5767" s="28" t="n">
        <f aca="false">AF5767*$M5767</f>
        <v>0</v>
      </c>
      <c r="AH5767" s="28"/>
      <c r="AI5767" s="28" t="n">
        <f aca="false">AH5767*$M5767</f>
        <v>0</v>
      </c>
      <c r="AJ5767" s="28"/>
      <c r="AK5767" s="28" t="n">
        <f aca="false">AJ5767*$M5767</f>
        <v>0</v>
      </c>
      <c r="AL5767" s="28"/>
      <c r="AM5767" s="28" t="n">
        <f aca="false">AL5767*$M5767</f>
        <v>0</v>
      </c>
      <c r="AN5767" s="28"/>
      <c r="AO5767" s="28" t="n">
        <f aca="false">AN5767*$M5767</f>
        <v>0</v>
      </c>
      <c r="AP5767" s="28"/>
      <c r="AQ5767" s="28" t="n">
        <f aca="false">AP5767*$M5767</f>
        <v>0</v>
      </c>
      <c r="AR5767" s="28"/>
      <c r="AS5767" s="28" t="n">
        <f aca="false">AR5767*$M5767</f>
        <v>0</v>
      </c>
      <c r="AT5767" s="28"/>
      <c r="AU5767" s="28" t="n">
        <f aca="false">AT5767*$M5767</f>
        <v>0</v>
      </c>
      <c r="AV5767" s="28"/>
      <c r="AW5767" s="28" t="n">
        <f aca="false">AV5767*$M5767</f>
        <v>0</v>
      </c>
      <c r="AX5767" s="28"/>
      <c r="AY5767" s="28" t="n">
        <f aca="false">AX5767*$M5767</f>
        <v>0</v>
      </c>
      <c r="AZ5767" s="30" t="n">
        <f aca="false">270550/100</f>
        <v>2705.5</v>
      </c>
      <c r="BA5767" s="11" t="n">
        <v>21644</v>
      </c>
      <c r="BB5767" s="31" t="n">
        <f aca="false">SUM(Q5767,S5767,U5767,W5767,Y5767,AA5767,AC5767,AE5767,AG5767,AI5767,AK5767,AM5767,AO5767,AQ5767,AS5767,AU5767,AW5767,AY5767)</f>
        <v>21644</v>
      </c>
      <c r="BC5767" s="28" t="n">
        <f aca="false">BA5767-BB5767</f>
        <v>0</v>
      </c>
      <c r="BD5767" s="32" t="n">
        <f aca="false">SUM(P5767,R5767,T5767,V5767,X5767,Z5767,AB5767,AD5767,AF5767,AH5767,AJ5767,AL5767,AN5767,AP5767,AR5767,AT5767,AV5767,AX5767)</f>
        <v>2705.5</v>
      </c>
      <c r="BE5767" s="33" t="n">
        <f aca="false">AZ5767-BD5767</f>
        <v>0</v>
      </c>
      <c r="BF5767" s="34" t="n">
        <f aca="false">BD5767*M5767</f>
        <v>21644</v>
      </c>
      <c r="BG5767" s="35" t="n">
        <f aca="false">BA5767-BF5767</f>
        <v>0</v>
      </c>
      <c r="BH5767" s="19" t="str">
        <f aca="false">IF(BG5767=0,"",IF(BG5767&lt;&gt;BA5767,"erreur de calcul",IF(BD5767&lt;&gt;0,"pas de prix",IF(M5767&lt;&gt; 0,"pas de quantité","pas de prix, ni de quantité"))))</f>
        <v/>
      </c>
      <c r="BI5767" s="19"/>
    </row>
    <row r="5768" customFormat="false" ht="15" hidden="false" customHeight="false" outlineLevel="0" collapsed="false">
      <c r="A5768" s="0" t="n">
        <v>25</v>
      </c>
      <c r="B5768" s="8" t="s">
        <v>24</v>
      </c>
      <c r="C5768" s="9" t="s">
        <v>25</v>
      </c>
      <c r="D5768" s="9" t="s">
        <v>26</v>
      </c>
      <c r="E5768" s="10" t="n">
        <v>1789</v>
      </c>
      <c r="F5768" s="9" t="s">
        <v>27</v>
      </c>
      <c r="G5768" s="9" t="s">
        <v>27</v>
      </c>
      <c r="H5768" s="11" t="n">
        <v>22</v>
      </c>
      <c r="I5768" s="11" t="s">
        <v>228</v>
      </c>
      <c r="J5768" s="14" t="n">
        <v>11</v>
      </c>
      <c r="K5768" s="14"/>
      <c r="L5768" s="16"/>
      <c r="M5768" s="27" t="n">
        <f aca="false">J5768+(K5768/20)+(L5768/240)</f>
        <v>11</v>
      </c>
      <c r="N5768" s="17" t="s">
        <v>66</v>
      </c>
      <c r="O5768" s="11"/>
      <c r="P5768" s="28"/>
      <c r="Q5768" s="28" t="n">
        <f aca="false">P5768*$M5768</f>
        <v>0</v>
      </c>
      <c r="R5768" s="28" t="n">
        <v>2017</v>
      </c>
      <c r="S5768" s="28" t="n">
        <v>22187</v>
      </c>
      <c r="T5768" s="28"/>
      <c r="U5768" s="28" t="n">
        <f aca="false">T5768*$M5768</f>
        <v>0</v>
      </c>
      <c r="V5768" s="28"/>
      <c r="W5768" s="28" t="n">
        <f aca="false">V5768*$M5768</f>
        <v>0</v>
      </c>
      <c r="X5768" s="28" t="n">
        <v>3804</v>
      </c>
      <c r="Y5768" s="28" t="n">
        <v>41844</v>
      </c>
      <c r="Z5768" s="28"/>
      <c r="AA5768" s="28" t="n">
        <f aca="false">Z5768*$M5768</f>
        <v>0</v>
      </c>
      <c r="AB5768" s="28"/>
      <c r="AC5768" s="28" t="n">
        <f aca="false">AB5768*$M5768</f>
        <v>0</v>
      </c>
      <c r="AD5768" s="28"/>
      <c r="AE5768" s="28" t="n">
        <f aca="false">AD5768*$M5768</f>
        <v>0</v>
      </c>
      <c r="AF5768" s="28"/>
      <c r="AG5768" s="28" t="n">
        <f aca="false">AF5768*$M5768</f>
        <v>0</v>
      </c>
      <c r="AH5768" s="28" t="n">
        <v>117</v>
      </c>
      <c r="AI5768" s="28" t="n">
        <v>1287</v>
      </c>
      <c r="AJ5768" s="28" t="n">
        <v>8694</v>
      </c>
      <c r="AK5768" s="28" t="n">
        <v>95634</v>
      </c>
      <c r="AL5768" s="28"/>
      <c r="AM5768" s="28" t="n">
        <f aca="false">AL5768*$M5768</f>
        <v>0</v>
      </c>
      <c r="AN5768" s="28" t="n">
        <v>5697</v>
      </c>
      <c r="AO5768" s="28" t="n">
        <v>62667</v>
      </c>
      <c r="AP5768" s="28"/>
      <c r="AQ5768" s="28" t="n">
        <f aca="false">AP5768*$M5768</f>
        <v>0</v>
      </c>
      <c r="AR5768" s="28"/>
      <c r="AS5768" s="28" t="n">
        <f aca="false">AR5768*$M5768</f>
        <v>0</v>
      </c>
      <c r="AT5768" s="28"/>
      <c r="AU5768" s="28" t="n">
        <f aca="false">AT5768*$M5768</f>
        <v>0</v>
      </c>
      <c r="AV5768" s="28"/>
      <c r="AW5768" s="28" t="n">
        <f aca="false">AV5768*$M5768</f>
        <v>0</v>
      </c>
      <c r="AX5768" s="28"/>
      <c r="AY5768" s="28" t="n">
        <f aca="false">AX5768*$M5768</f>
        <v>0</v>
      </c>
      <c r="AZ5768" s="30" t="n">
        <v>20329</v>
      </c>
      <c r="BA5768" s="11" t="n">
        <v>223619</v>
      </c>
      <c r="BB5768" s="31" t="n">
        <f aca="false">SUM(Q5768,S5768,U5768,W5768,Y5768,AA5768,AC5768,AE5768,AG5768,AI5768,AK5768,AM5768,AO5768,AQ5768,AS5768,AU5768,AW5768,AY5768)</f>
        <v>223619</v>
      </c>
      <c r="BC5768" s="28" t="n">
        <f aca="false">BA5768-BB5768</f>
        <v>0</v>
      </c>
      <c r="BD5768" s="32" t="n">
        <f aca="false">SUM(P5768,R5768,T5768,V5768,X5768,Z5768,AB5768,AD5768,AF5768,AH5768,AJ5768,AL5768,AN5768,AP5768,AR5768,AT5768,AV5768,AX5768)</f>
        <v>20329</v>
      </c>
      <c r="BE5768" s="33" t="n">
        <f aca="false">AZ5768-BD5768</f>
        <v>0</v>
      </c>
      <c r="BF5768" s="34" t="n">
        <f aca="false">BD5768*M5768</f>
        <v>223619</v>
      </c>
      <c r="BG5768" s="35" t="n">
        <f aca="false">BA5768-BF5768</f>
        <v>0</v>
      </c>
      <c r="BH5768" s="19" t="str">
        <f aca="false">IF(BG5768=0,"",IF(BG5768&lt;&gt;BA5768,"erreur de calcul",IF(BD5768&lt;&gt;0,"pas de prix",IF(M5768&lt;&gt; 0,"pas de quantité","pas de prix, ni de quantité"))))</f>
        <v/>
      </c>
      <c r="BI5768" s="19"/>
    </row>
    <row r="5769" customFormat="false" ht="15" hidden="false" customHeight="false" outlineLevel="0" collapsed="false">
      <c r="A5769" s="0" t="n">
        <v>26</v>
      </c>
      <c r="B5769" s="8" t="s">
        <v>24</v>
      </c>
      <c r="C5769" s="9" t="s">
        <v>25</v>
      </c>
      <c r="D5769" s="9" t="s">
        <v>26</v>
      </c>
      <c r="E5769" s="10" t="n">
        <v>1789</v>
      </c>
      <c r="F5769" s="9" t="s">
        <v>27</v>
      </c>
      <c r="G5769" s="9" t="s">
        <v>27</v>
      </c>
      <c r="H5769" s="11" t="n">
        <v>22</v>
      </c>
      <c r="I5769" s="11" t="s">
        <v>229</v>
      </c>
      <c r="J5769" s="14" t="n">
        <v>5</v>
      </c>
      <c r="K5769" s="14"/>
      <c r="L5769" s="16"/>
      <c r="M5769" s="27" t="n">
        <f aca="false">J5769+(K5769/20)+(L5769/240)</f>
        <v>5</v>
      </c>
      <c r="N5769" s="17" t="s">
        <v>66</v>
      </c>
      <c r="O5769" s="11"/>
      <c r="P5769" s="28"/>
      <c r="Q5769" s="28" t="n">
        <f aca="false">P5769*$M5769</f>
        <v>0</v>
      </c>
      <c r="R5769" s="28" t="n">
        <v>4117</v>
      </c>
      <c r="S5769" s="28" t="n">
        <v>20585</v>
      </c>
      <c r="T5769" s="28"/>
      <c r="U5769" s="28" t="n">
        <f aca="false">T5769*$M5769</f>
        <v>0</v>
      </c>
      <c r="V5769" s="28"/>
      <c r="W5769" s="28" t="n">
        <f aca="false">V5769*$M5769</f>
        <v>0</v>
      </c>
      <c r="X5769" s="28"/>
      <c r="Y5769" s="28" t="n">
        <f aca="false">X5769*$M5769</f>
        <v>0</v>
      </c>
      <c r="Z5769" s="28"/>
      <c r="AA5769" s="28" t="n">
        <f aca="false">Z5769*$M5769</f>
        <v>0</v>
      </c>
      <c r="AB5769" s="28"/>
      <c r="AC5769" s="28" t="n">
        <f aca="false">AB5769*$M5769</f>
        <v>0</v>
      </c>
      <c r="AD5769" s="28"/>
      <c r="AE5769" s="28" t="n">
        <f aca="false">AD5769*$M5769</f>
        <v>0</v>
      </c>
      <c r="AF5769" s="28"/>
      <c r="AG5769" s="28" t="n">
        <f aca="false">AF5769*$M5769</f>
        <v>0</v>
      </c>
      <c r="AH5769" s="28"/>
      <c r="AI5769" s="28" t="n">
        <f aca="false">AH5769*$M5769</f>
        <v>0</v>
      </c>
      <c r="AJ5769" s="28"/>
      <c r="AK5769" s="28" t="n">
        <f aca="false">AJ5769*$M5769</f>
        <v>0</v>
      </c>
      <c r="AL5769" s="28"/>
      <c r="AM5769" s="28" t="n">
        <f aca="false">AL5769*$M5769</f>
        <v>0</v>
      </c>
      <c r="AN5769" s="28"/>
      <c r="AO5769" s="28" t="n">
        <f aca="false">AN5769*$M5769</f>
        <v>0</v>
      </c>
      <c r="AP5769" s="28"/>
      <c r="AQ5769" s="28" t="n">
        <f aca="false">AP5769*$M5769</f>
        <v>0</v>
      </c>
      <c r="AR5769" s="28"/>
      <c r="AS5769" s="28" t="n">
        <f aca="false">AR5769*$M5769</f>
        <v>0</v>
      </c>
      <c r="AT5769" s="28"/>
      <c r="AU5769" s="28" t="n">
        <f aca="false">AT5769*$M5769</f>
        <v>0</v>
      </c>
      <c r="AV5769" s="28"/>
      <c r="AW5769" s="28" t="n">
        <f aca="false">AV5769*$M5769</f>
        <v>0</v>
      </c>
      <c r="AX5769" s="28"/>
      <c r="AY5769" s="28" t="n">
        <f aca="false">AX5769*$M5769</f>
        <v>0</v>
      </c>
      <c r="AZ5769" s="30" t="n">
        <v>4117</v>
      </c>
      <c r="BA5769" s="11" t="n">
        <v>20585</v>
      </c>
      <c r="BB5769" s="31" t="n">
        <f aca="false">SUM(Q5769,S5769,U5769,W5769,Y5769,AA5769,AC5769,AE5769,AG5769,AI5769,AK5769,AM5769,AO5769,AQ5769,AS5769,AU5769,AW5769,AY5769)</f>
        <v>20585</v>
      </c>
      <c r="BC5769" s="28" t="n">
        <f aca="false">BA5769-BB5769</f>
        <v>0</v>
      </c>
      <c r="BD5769" s="32" t="n">
        <f aca="false">SUM(P5769,R5769,T5769,V5769,X5769,Z5769,AB5769,AD5769,AF5769,AH5769,AJ5769,AL5769,AN5769,AP5769,AR5769,AT5769,AV5769,AX5769)</f>
        <v>4117</v>
      </c>
      <c r="BE5769" s="33" t="n">
        <f aca="false">AZ5769-BD5769</f>
        <v>0</v>
      </c>
      <c r="BF5769" s="34" t="n">
        <f aca="false">BD5769*M5769</f>
        <v>20585</v>
      </c>
      <c r="BG5769" s="35" t="n">
        <f aca="false">BA5769-BF5769</f>
        <v>0</v>
      </c>
      <c r="BH5769" s="19" t="str">
        <f aca="false">IF(BG5769=0,"",IF(BG5769&lt;&gt;BA5769,"erreur de calcul",IF(BD5769&lt;&gt;0,"pas de prix",IF(M5769&lt;&gt; 0,"pas de quantité","pas de prix, ni de quantité"))))</f>
        <v/>
      </c>
      <c r="BI5769" s="19"/>
    </row>
    <row r="5770" customFormat="false" ht="15" hidden="false" customHeight="false" outlineLevel="0" collapsed="false">
      <c r="A5770" s="0" t="n">
        <v>27</v>
      </c>
      <c r="B5770" s="8" t="s">
        <v>24</v>
      </c>
      <c r="C5770" s="9" t="s">
        <v>25</v>
      </c>
      <c r="D5770" s="9" t="s">
        <v>26</v>
      </c>
      <c r="E5770" s="10" t="n">
        <v>1789</v>
      </c>
      <c r="F5770" s="9" t="s">
        <v>27</v>
      </c>
      <c r="G5770" s="9" t="s">
        <v>27</v>
      </c>
      <c r="H5770" s="11" t="n">
        <v>22</v>
      </c>
      <c r="I5770" s="11" t="s">
        <v>230</v>
      </c>
      <c r="J5770" s="14" t="n">
        <v>11</v>
      </c>
      <c r="K5770" s="14"/>
      <c r="L5770" s="16"/>
      <c r="M5770" s="27" t="n">
        <f aca="false">J5770+(K5770/20)+(L5770/240)</f>
        <v>11</v>
      </c>
      <c r="N5770" s="17" t="s">
        <v>66</v>
      </c>
      <c r="O5770" s="11"/>
      <c r="P5770" s="28"/>
      <c r="Q5770" s="28" t="n">
        <f aca="false">P5770*$M5770</f>
        <v>0</v>
      </c>
      <c r="R5770" s="28"/>
      <c r="S5770" s="28" t="n">
        <f aca="false">R5770*$M5770</f>
        <v>0</v>
      </c>
      <c r="T5770" s="28"/>
      <c r="U5770" s="28" t="n">
        <f aca="false">T5770*$M5770</f>
        <v>0</v>
      </c>
      <c r="V5770" s="28"/>
      <c r="W5770" s="28" t="n">
        <f aca="false">V5770*$M5770</f>
        <v>0</v>
      </c>
      <c r="X5770" s="28"/>
      <c r="Y5770" s="28" t="n">
        <f aca="false">X5770*$M5770</f>
        <v>0</v>
      </c>
      <c r="Z5770" s="28"/>
      <c r="AA5770" s="28" t="n">
        <f aca="false">Z5770*$M5770</f>
        <v>0</v>
      </c>
      <c r="AB5770" s="28"/>
      <c r="AC5770" s="28" t="n">
        <f aca="false">AB5770*$M5770</f>
        <v>0</v>
      </c>
      <c r="AD5770" s="28"/>
      <c r="AE5770" s="28" t="n">
        <f aca="false">AD5770*$M5770</f>
        <v>0</v>
      </c>
      <c r="AF5770" s="28"/>
      <c r="AG5770" s="28" t="n">
        <f aca="false">AF5770*$M5770</f>
        <v>0</v>
      </c>
      <c r="AH5770" s="28"/>
      <c r="AI5770" s="28" t="n">
        <f aca="false">AH5770*$M5770</f>
        <v>0</v>
      </c>
      <c r="AJ5770" s="28" t="n">
        <v>34854</v>
      </c>
      <c r="AK5770" s="28" t="n">
        <v>383394</v>
      </c>
      <c r="AL5770" s="28"/>
      <c r="AM5770" s="28" t="n">
        <f aca="false">AL5770*$M5770</f>
        <v>0</v>
      </c>
      <c r="AN5770" s="28"/>
      <c r="AO5770" s="28" t="n">
        <f aca="false">AN5770*$M5770</f>
        <v>0</v>
      </c>
      <c r="AP5770" s="28"/>
      <c r="AQ5770" s="28" t="n">
        <f aca="false">AP5770*$M5770</f>
        <v>0</v>
      </c>
      <c r="AR5770" s="28"/>
      <c r="AS5770" s="28" t="n">
        <f aca="false">AR5770*$M5770</f>
        <v>0</v>
      </c>
      <c r="AT5770" s="28"/>
      <c r="AU5770" s="28" t="n">
        <f aca="false">AT5770*$M5770</f>
        <v>0</v>
      </c>
      <c r="AV5770" s="28"/>
      <c r="AW5770" s="28" t="n">
        <f aca="false">AV5770*$M5770</f>
        <v>0</v>
      </c>
      <c r="AX5770" s="28"/>
      <c r="AY5770" s="28" t="n">
        <f aca="false">AX5770*$M5770</f>
        <v>0</v>
      </c>
      <c r="AZ5770" s="30" t="n">
        <v>34854</v>
      </c>
      <c r="BA5770" s="11" t="n">
        <v>383394</v>
      </c>
      <c r="BB5770" s="31" t="n">
        <f aca="false">SUM(Q5770,S5770,U5770,W5770,Y5770,AA5770,AC5770,AE5770,AG5770,AI5770,AK5770,AM5770,AO5770,AQ5770,AS5770,AU5770,AW5770,AY5770)</f>
        <v>383394</v>
      </c>
      <c r="BC5770" s="28" t="n">
        <f aca="false">BA5770-BB5770</f>
        <v>0</v>
      </c>
      <c r="BD5770" s="32" t="n">
        <f aca="false">SUM(P5770,R5770,T5770,V5770,X5770,Z5770,AB5770,AD5770,AF5770,AH5770,AJ5770,AL5770,AN5770,AP5770,AR5770,AT5770,AV5770,AX5770)</f>
        <v>34854</v>
      </c>
      <c r="BE5770" s="33" t="n">
        <f aca="false">AZ5770-BD5770</f>
        <v>0</v>
      </c>
      <c r="BF5770" s="34" t="n">
        <f aca="false">BD5770*M5770</f>
        <v>383394</v>
      </c>
      <c r="BG5770" s="35" t="n">
        <f aca="false">BA5770-BF5770</f>
        <v>0</v>
      </c>
      <c r="BH5770" s="19" t="str">
        <f aca="false">IF(BG5770=0,"",IF(BG5770&lt;&gt;BA5770,"erreur de calcul",IF(BD5770&lt;&gt;0,"pas de prix",IF(M5770&lt;&gt; 0,"pas de quantité","pas de prix, ni de quantité"))))</f>
        <v/>
      </c>
      <c r="BI5770" s="19"/>
    </row>
    <row r="5771" customFormat="false" ht="15" hidden="false" customHeight="false" outlineLevel="0" collapsed="false">
      <c r="A5771" s="0" t="n">
        <v>28</v>
      </c>
      <c r="B5771" s="8" t="s">
        <v>24</v>
      </c>
      <c r="C5771" s="9" t="s">
        <v>25</v>
      </c>
      <c r="D5771" s="9" t="s">
        <v>26</v>
      </c>
      <c r="E5771" s="10" t="n">
        <v>1789</v>
      </c>
      <c r="F5771" s="9" t="s">
        <v>27</v>
      </c>
      <c r="G5771" s="9" t="s">
        <v>27</v>
      </c>
      <c r="H5771" s="11" t="n">
        <v>22</v>
      </c>
      <c r="I5771" s="11" t="s">
        <v>231</v>
      </c>
      <c r="J5771" s="14" t="n">
        <v>18</v>
      </c>
      <c r="K5771" s="14"/>
      <c r="L5771" s="16"/>
      <c r="M5771" s="27" t="n">
        <f aca="false">J5771+(K5771/20)+(L5771/240)</f>
        <v>18</v>
      </c>
      <c r="N5771" s="17" t="s">
        <v>66</v>
      </c>
      <c r="O5771" s="11"/>
      <c r="P5771" s="28"/>
      <c r="Q5771" s="28" t="n">
        <f aca="false">P5771*$M5771</f>
        <v>0</v>
      </c>
      <c r="R5771" s="28"/>
      <c r="S5771" s="28" t="n">
        <f aca="false">R5771*$M5771</f>
        <v>0</v>
      </c>
      <c r="T5771" s="28"/>
      <c r="U5771" s="28" t="n">
        <f aca="false">T5771*$M5771</f>
        <v>0</v>
      </c>
      <c r="V5771" s="28"/>
      <c r="W5771" s="28" t="n">
        <f aca="false">V5771*$M5771</f>
        <v>0</v>
      </c>
      <c r="X5771" s="28"/>
      <c r="Y5771" s="28" t="n">
        <f aca="false">X5771*$M5771</f>
        <v>0</v>
      </c>
      <c r="Z5771" s="28"/>
      <c r="AA5771" s="28" t="n">
        <f aca="false">Z5771*$M5771</f>
        <v>0</v>
      </c>
      <c r="AB5771" s="28"/>
      <c r="AC5771" s="28" t="n">
        <f aca="false">AB5771*$M5771</f>
        <v>0</v>
      </c>
      <c r="AD5771" s="28"/>
      <c r="AE5771" s="28" t="n">
        <f aca="false">AD5771*$M5771</f>
        <v>0</v>
      </c>
      <c r="AF5771" s="28"/>
      <c r="AG5771" s="28" t="n">
        <f aca="false">AF5771*$M5771</f>
        <v>0</v>
      </c>
      <c r="AH5771" s="28"/>
      <c r="AI5771" s="28" t="n">
        <f aca="false">AH5771*$M5771</f>
        <v>0</v>
      </c>
      <c r="AJ5771" s="28" t="n">
        <v>623</v>
      </c>
      <c r="AK5771" s="28" t="n">
        <v>11214</v>
      </c>
      <c r="AL5771" s="28"/>
      <c r="AM5771" s="28" t="n">
        <f aca="false">AL5771*$M5771</f>
        <v>0</v>
      </c>
      <c r="AN5771" s="28"/>
      <c r="AO5771" s="28" t="n">
        <f aca="false">AN5771*$M5771</f>
        <v>0</v>
      </c>
      <c r="AP5771" s="28"/>
      <c r="AQ5771" s="28" t="n">
        <f aca="false">AP5771*$M5771</f>
        <v>0</v>
      </c>
      <c r="AR5771" s="28"/>
      <c r="AS5771" s="28" t="n">
        <f aca="false">AR5771*$M5771</f>
        <v>0</v>
      </c>
      <c r="AT5771" s="28"/>
      <c r="AU5771" s="28" t="n">
        <f aca="false">AT5771*$M5771</f>
        <v>0</v>
      </c>
      <c r="AV5771" s="28"/>
      <c r="AW5771" s="28" t="n">
        <f aca="false">AV5771*$M5771</f>
        <v>0</v>
      </c>
      <c r="AX5771" s="28"/>
      <c r="AY5771" s="28" t="n">
        <f aca="false">AX5771*$M5771</f>
        <v>0</v>
      </c>
      <c r="AZ5771" s="30" t="n">
        <v>623</v>
      </c>
      <c r="BA5771" s="11" t="n">
        <v>11214</v>
      </c>
      <c r="BB5771" s="31" t="n">
        <f aca="false">SUM(Q5771,S5771,U5771,W5771,Y5771,AA5771,AC5771,AE5771,AG5771,AI5771,AK5771,AM5771,AO5771,AQ5771,AS5771,AU5771,AW5771,AY5771)</f>
        <v>11214</v>
      </c>
      <c r="BC5771" s="28" t="n">
        <f aca="false">BA5771-BB5771</f>
        <v>0</v>
      </c>
      <c r="BD5771" s="32" t="n">
        <f aca="false">SUM(P5771,R5771,T5771,V5771,X5771,Z5771,AB5771,AD5771,AF5771,AH5771,AJ5771,AL5771,AN5771,AP5771,AR5771,AT5771,AV5771,AX5771)</f>
        <v>623</v>
      </c>
      <c r="BE5771" s="33" t="n">
        <f aca="false">AZ5771-BD5771</f>
        <v>0</v>
      </c>
      <c r="BF5771" s="34" t="n">
        <f aca="false">BD5771*M5771</f>
        <v>11214</v>
      </c>
      <c r="BG5771" s="35" t="n">
        <f aca="false">BA5771-BF5771</f>
        <v>0</v>
      </c>
      <c r="BH5771" s="19" t="str">
        <f aca="false">IF(BG5771=0,"",IF(BG5771&lt;&gt;BA5771,"erreur de calcul",IF(BD5771&lt;&gt;0,"pas de prix",IF(M5771&lt;&gt; 0,"pas de quantité","pas de prix, ni de quantité"))))</f>
        <v/>
      </c>
      <c r="BI5771" s="19"/>
    </row>
    <row r="5772" customFormat="false" ht="15" hidden="false" customHeight="false" outlineLevel="0" collapsed="false">
      <c r="A5772" s="0" t="n">
        <v>29</v>
      </c>
      <c r="B5772" s="8" t="s">
        <v>24</v>
      </c>
      <c r="C5772" s="9" t="s">
        <v>25</v>
      </c>
      <c r="D5772" s="9" t="s">
        <v>26</v>
      </c>
      <c r="E5772" s="10" t="n">
        <v>1789</v>
      </c>
      <c r="F5772" s="9" t="s">
        <v>27</v>
      </c>
      <c r="G5772" s="9" t="s">
        <v>27</v>
      </c>
      <c r="H5772" s="11" t="n">
        <v>22</v>
      </c>
      <c r="I5772" s="11" t="s">
        <v>232</v>
      </c>
      <c r="J5772" s="14" t="n">
        <v>66</v>
      </c>
      <c r="K5772" s="14"/>
      <c r="L5772" s="16"/>
      <c r="M5772" s="27" t="n">
        <f aca="false">J5772+(K5772/20)+(L5772/240)</f>
        <v>66</v>
      </c>
      <c r="N5772" s="17" t="s">
        <v>64</v>
      </c>
      <c r="O5772" s="11"/>
      <c r="P5772" s="28"/>
      <c r="Q5772" s="28" t="n">
        <f aca="false">P5772*$M5772</f>
        <v>0</v>
      </c>
      <c r="R5772" s="28" t="n">
        <f aca="false">4580/100</f>
        <v>45.8</v>
      </c>
      <c r="S5772" s="28" t="n">
        <v>3023</v>
      </c>
      <c r="T5772" s="28"/>
      <c r="U5772" s="28" t="n">
        <f aca="false">T5772*$M5772</f>
        <v>0</v>
      </c>
      <c r="V5772" s="28"/>
      <c r="W5772" s="28" t="n">
        <f aca="false">V5772*$M5772</f>
        <v>0</v>
      </c>
      <c r="X5772" s="28"/>
      <c r="Y5772" s="28" t="n">
        <f aca="false">X5772*$M5772</f>
        <v>0</v>
      </c>
      <c r="Z5772" s="28"/>
      <c r="AA5772" s="28" t="n">
        <f aca="false">Z5772*$M5772</f>
        <v>0</v>
      </c>
      <c r="AB5772" s="28"/>
      <c r="AC5772" s="28" t="n">
        <f aca="false">AB5772*$M5772</f>
        <v>0</v>
      </c>
      <c r="AD5772" s="28"/>
      <c r="AE5772" s="28" t="n">
        <f aca="false">AD5772*$M5772</f>
        <v>0</v>
      </c>
      <c r="AF5772" s="28"/>
      <c r="AG5772" s="28" t="n">
        <f aca="false">AF5772*$M5772</f>
        <v>0</v>
      </c>
      <c r="AH5772" s="28"/>
      <c r="AI5772" s="28" t="n">
        <f aca="false">AH5772*$M5772</f>
        <v>0</v>
      </c>
      <c r="AJ5772" s="28"/>
      <c r="AK5772" s="28" t="n">
        <f aca="false">AJ5772*$M5772</f>
        <v>0</v>
      </c>
      <c r="AL5772" s="28"/>
      <c r="AM5772" s="28" t="n">
        <f aca="false">AL5772*$M5772</f>
        <v>0</v>
      </c>
      <c r="AN5772" s="28"/>
      <c r="AO5772" s="28" t="n">
        <f aca="false">AN5772*$M5772</f>
        <v>0</v>
      </c>
      <c r="AP5772" s="28"/>
      <c r="AQ5772" s="28" t="n">
        <f aca="false">AP5772*$M5772</f>
        <v>0</v>
      </c>
      <c r="AR5772" s="28"/>
      <c r="AS5772" s="28" t="n">
        <f aca="false">AR5772*$M5772</f>
        <v>0</v>
      </c>
      <c r="AT5772" s="28"/>
      <c r="AU5772" s="28" t="n">
        <f aca="false">AT5772*$M5772</f>
        <v>0</v>
      </c>
      <c r="AV5772" s="28"/>
      <c r="AW5772" s="28" t="n">
        <f aca="false">AV5772*$M5772</f>
        <v>0</v>
      </c>
      <c r="AX5772" s="28"/>
      <c r="AY5772" s="28" t="n">
        <f aca="false">AX5772*$M5772</f>
        <v>0</v>
      </c>
      <c r="AZ5772" s="30" t="n">
        <f aca="false">4580/100</f>
        <v>45.8</v>
      </c>
      <c r="BA5772" s="11" t="n">
        <v>3023</v>
      </c>
      <c r="BB5772" s="31" t="n">
        <f aca="false">SUM(Q5772,S5772,U5772,W5772,Y5772,AA5772,AC5772,AE5772,AG5772,AI5772,AK5772,AM5772,AO5772,AQ5772,AS5772,AU5772,AW5772,AY5772)</f>
        <v>3023</v>
      </c>
      <c r="BC5772" s="28" t="n">
        <f aca="false">BA5772-BB5772</f>
        <v>0</v>
      </c>
      <c r="BD5772" s="32" t="n">
        <f aca="false">SUM(P5772,R5772,T5772,V5772,X5772,Z5772,AB5772,AD5772,AF5772,AH5772,AJ5772,AL5772,AN5772,AP5772,AR5772,AT5772,AV5772,AX5772)</f>
        <v>45.8</v>
      </c>
      <c r="BE5772" s="33" t="n">
        <f aca="false">AZ5772-BD5772</f>
        <v>0</v>
      </c>
      <c r="BF5772" s="34" t="n">
        <f aca="false">BD5772*M5772</f>
        <v>3022.8</v>
      </c>
      <c r="BG5772" s="35" t="n">
        <f aca="false">BA5772-BF5772</f>
        <v>0.200000000000273</v>
      </c>
      <c r="BH5772" s="19" t="str">
        <f aca="false">IF(BG5772=0,"",IF(BG5772&lt;&gt;BA5772,"erreur de calcul",IF(BD5772&lt;&gt;0,"pas de prix",IF(M5772&lt;&gt; 0,"pas de quantité","pas de prix, ni de quantité"))))</f>
        <v>erreur de calcul</v>
      </c>
      <c r="BI5772" s="19"/>
    </row>
    <row r="5773" customFormat="false" ht="15" hidden="false" customHeight="false" outlineLevel="0" collapsed="false">
      <c r="A5773" s="0" t="n">
        <v>30</v>
      </c>
      <c r="B5773" s="8" t="s">
        <v>24</v>
      </c>
      <c r="C5773" s="9" t="s">
        <v>25</v>
      </c>
      <c r="D5773" s="9" t="s">
        <v>26</v>
      </c>
      <c r="E5773" s="10" t="n">
        <v>1789</v>
      </c>
      <c r="F5773" s="9" t="s">
        <v>27</v>
      </c>
      <c r="G5773" s="9" t="s">
        <v>27</v>
      </c>
      <c r="H5773" s="11" t="n">
        <v>22</v>
      </c>
      <c r="I5773" s="11" t="s">
        <v>233</v>
      </c>
      <c r="J5773" s="14" t="n">
        <v>155</v>
      </c>
      <c r="K5773" s="14"/>
      <c r="L5773" s="16"/>
      <c r="M5773" s="27" t="n">
        <f aca="false">J5773+(K5773/20)+(L5773/240)</f>
        <v>155</v>
      </c>
      <c r="N5773" s="17" t="s">
        <v>64</v>
      </c>
      <c r="O5773" s="11"/>
      <c r="P5773" s="28" t="n">
        <f aca="false">27574/100</f>
        <v>275.74</v>
      </c>
      <c r="Q5773" s="28" t="n">
        <v>42740</v>
      </c>
      <c r="R5773" s="28" t="n">
        <f aca="false">7820/100</f>
        <v>78.2</v>
      </c>
      <c r="S5773" s="28" t="n">
        <v>12121</v>
      </c>
      <c r="T5773" s="28"/>
      <c r="U5773" s="28" t="n">
        <f aca="false">T5773*$M5773</f>
        <v>0</v>
      </c>
      <c r="V5773" s="28" t="n">
        <f aca="false">37316/100</f>
        <v>373.16</v>
      </c>
      <c r="W5773" s="28" t="n">
        <v>57840</v>
      </c>
      <c r="X5773" s="28" t="n">
        <f aca="false">1394/100</f>
        <v>13.94</v>
      </c>
      <c r="Y5773" s="28" t="n">
        <v>2161</v>
      </c>
      <c r="Z5773" s="28"/>
      <c r="AA5773" s="28" t="n">
        <f aca="false">Z5773*$M5773</f>
        <v>0</v>
      </c>
      <c r="AB5773" s="28"/>
      <c r="AC5773" s="28" t="n">
        <f aca="false">AB5773*$M5773</f>
        <v>0</v>
      </c>
      <c r="AD5773" s="28"/>
      <c r="AE5773" s="28" t="n">
        <f aca="false">AD5773*$M5773</f>
        <v>0</v>
      </c>
      <c r="AF5773" s="28"/>
      <c r="AG5773" s="28" t="n">
        <f aca="false">AF5773*$M5773</f>
        <v>0</v>
      </c>
      <c r="AH5773" s="28"/>
      <c r="AI5773" s="28" t="n">
        <f aca="false">AH5773*$M5773</f>
        <v>0</v>
      </c>
      <c r="AJ5773" s="28" t="n">
        <f aca="false">158255/100</f>
        <v>1582.55</v>
      </c>
      <c r="AK5773" s="28" t="n">
        <v>245295</v>
      </c>
      <c r="AL5773" s="28"/>
      <c r="AM5773" s="28" t="n">
        <f aca="false">AL5773*$M5773</f>
        <v>0</v>
      </c>
      <c r="AN5773" s="28" t="n">
        <f aca="false">417945/100</f>
        <v>4179.45</v>
      </c>
      <c r="AO5773" s="28" t="n">
        <v>647815</v>
      </c>
      <c r="AP5773" s="28"/>
      <c r="AQ5773" s="28" t="n">
        <f aca="false">AP5773*$M5773</f>
        <v>0</v>
      </c>
      <c r="AR5773" s="28"/>
      <c r="AS5773" s="28" t="n">
        <f aca="false">AR5773*$M5773</f>
        <v>0</v>
      </c>
      <c r="AT5773" s="28"/>
      <c r="AU5773" s="28" t="n">
        <f aca="false">AT5773*$M5773</f>
        <v>0</v>
      </c>
      <c r="AV5773" s="28"/>
      <c r="AW5773" s="28" t="n">
        <f aca="false">AV5773*$M5773</f>
        <v>0</v>
      </c>
      <c r="AX5773" s="28"/>
      <c r="AY5773" s="28" t="n">
        <f aca="false">AX5773*$M5773</f>
        <v>0</v>
      </c>
      <c r="AZ5773" s="30" t="n">
        <f aca="false">650304/100</f>
        <v>6503.04</v>
      </c>
      <c r="BA5773" s="11" t="n">
        <v>1007972</v>
      </c>
      <c r="BB5773" s="31" t="n">
        <f aca="false">SUM(Q5773,S5773,U5773,W5773,Y5773,AA5773,AC5773,AE5773,AG5773,AI5773,AK5773,AM5773,AO5773,AQ5773,AS5773,AU5773,AW5773,AY5773)</f>
        <v>1007972</v>
      </c>
      <c r="BC5773" s="28" t="n">
        <f aca="false">BA5773-BB5773</f>
        <v>0</v>
      </c>
      <c r="BD5773" s="32" t="n">
        <f aca="false">SUM(P5773,R5773,T5773,V5773,X5773,Z5773,AB5773,AD5773,AF5773,AH5773,AJ5773,AL5773,AN5773,AP5773,AR5773,AT5773,AV5773,AX5773)</f>
        <v>6503.04</v>
      </c>
      <c r="BE5773" s="33" t="n">
        <f aca="false">AZ5773-BD5773</f>
        <v>0</v>
      </c>
      <c r="BF5773" s="34" t="n">
        <f aca="false">BD5773*M5773</f>
        <v>1007971.2</v>
      </c>
      <c r="BG5773" s="35" t="n">
        <f aca="false">BA5773-BF5773</f>
        <v>0.800000000162981</v>
      </c>
      <c r="BH5773" s="19" t="str">
        <f aca="false">IF(BG5773=0,"",IF(BG5773&lt;&gt;BA5773,"erreur de calcul",IF(BD5773&lt;&gt;0,"pas de prix",IF(M5773&lt;&gt; 0,"pas de quantité","pas de prix, ni de quantité"))))</f>
        <v>erreur de calcul</v>
      </c>
      <c r="BI5773" s="19"/>
    </row>
    <row r="5774" customFormat="false" ht="15" hidden="false" customHeight="false" outlineLevel="0" collapsed="false">
      <c r="A5774" s="0" t="n">
        <v>31</v>
      </c>
      <c r="B5774" s="8" t="s">
        <v>24</v>
      </c>
      <c r="C5774" s="9" t="s">
        <v>25</v>
      </c>
      <c r="D5774" s="9" t="s">
        <v>26</v>
      </c>
      <c r="E5774" s="10" t="n">
        <v>1789</v>
      </c>
      <c r="F5774" s="9" t="s">
        <v>27</v>
      </c>
      <c r="G5774" s="9" t="s">
        <v>27</v>
      </c>
      <c r="H5774" s="11" t="n">
        <v>22</v>
      </c>
      <c r="I5774" s="11" t="s">
        <v>234</v>
      </c>
      <c r="J5774" s="14" t="n">
        <v>110</v>
      </c>
      <c r="K5774" s="14"/>
      <c r="L5774" s="16"/>
      <c r="M5774" s="27" t="n">
        <f aca="false">J5774+(K5774/20)+(L5774/240)</f>
        <v>110</v>
      </c>
      <c r="N5774" s="17" t="s">
        <v>64</v>
      </c>
      <c r="O5774" s="11"/>
      <c r="P5774" s="28" t="n">
        <f aca="false">73942/100</f>
        <v>739.42</v>
      </c>
      <c r="Q5774" s="28" t="n">
        <v>81336</v>
      </c>
      <c r="R5774" s="28"/>
      <c r="S5774" s="28" t="n">
        <f aca="false">R5774*$M5774</f>
        <v>0</v>
      </c>
      <c r="T5774" s="28"/>
      <c r="U5774" s="28" t="n">
        <f aca="false">T5774*$M5774</f>
        <v>0</v>
      </c>
      <c r="V5774" s="28"/>
      <c r="W5774" s="28" t="n">
        <f aca="false">V5774*$M5774</f>
        <v>0</v>
      </c>
      <c r="X5774" s="28"/>
      <c r="Y5774" s="28" t="n">
        <f aca="false">X5774*$M5774</f>
        <v>0</v>
      </c>
      <c r="Z5774" s="28"/>
      <c r="AA5774" s="28" t="n">
        <f aca="false">Z5774*$M5774</f>
        <v>0</v>
      </c>
      <c r="AB5774" s="28"/>
      <c r="AC5774" s="28" t="n">
        <f aca="false">AB5774*$M5774</f>
        <v>0</v>
      </c>
      <c r="AD5774" s="28"/>
      <c r="AE5774" s="28" t="n">
        <f aca="false">AD5774*$M5774</f>
        <v>0</v>
      </c>
      <c r="AF5774" s="28"/>
      <c r="AG5774" s="28" t="n">
        <f aca="false">AF5774*$M5774</f>
        <v>0</v>
      </c>
      <c r="AH5774" s="28"/>
      <c r="AI5774" s="28" t="n">
        <f aca="false">AH5774*$M5774</f>
        <v>0</v>
      </c>
      <c r="AJ5774" s="28"/>
      <c r="AK5774" s="28" t="n">
        <f aca="false">AJ5774*$M5774</f>
        <v>0</v>
      </c>
      <c r="AL5774" s="28"/>
      <c r="AM5774" s="28" t="n">
        <f aca="false">AL5774*$M5774</f>
        <v>0</v>
      </c>
      <c r="AN5774" s="28"/>
      <c r="AO5774" s="28" t="n">
        <f aca="false">AN5774*$M5774</f>
        <v>0</v>
      </c>
      <c r="AP5774" s="28"/>
      <c r="AQ5774" s="28" t="n">
        <f aca="false">AP5774*$M5774</f>
        <v>0</v>
      </c>
      <c r="AR5774" s="28"/>
      <c r="AS5774" s="28" t="n">
        <f aca="false">AR5774*$M5774</f>
        <v>0</v>
      </c>
      <c r="AT5774" s="28"/>
      <c r="AU5774" s="28" t="n">
        <f aca="false">AT5774*$M5774</f>
        <v>0</v>
      </c>
      <c r="AV5774" s="28"/>
      <c r="AW5774" s="28" t="n">
        <f aca="false">AV5774*$M5774</f>
        <v>0</v>
      </c>
      <c r="AX5774" s="28"/>
      <c r="AY5774" s="28" t="n">
        <f aca="false">AX5774*$M5774</f>
        <v>0</v>
      </c>
      <c r="AZ5774" s="30" t="n">
        <f aca="false">73942/100</f>
        <v>739.42</v>
      </c>
      <c r="BA5774" s="11" t="n">
        <v>81336</v>
      </c>
      <c r="BB5774" s="31" t="n">
        <f aca="false">SUM(Q5774,S5774,U5774,W5774,Y5774,AA5774,AC5774,AE5774,AG5774,AI5774,AK5774,AM5774,AO5774,AQ5774,AS5774,AU5774,AW5774,AY5774)</f>
        <v>81336</v>
      </c>
      <c r="BC5774" s="28" t="n">
        <f aca="false">BA5774-BB5774</f>
        <v>0</v>
      </c>
      <c r="BD5774" s="32" t="n">
        <f aca="false">SUM(P5774,R5774,T5774,V5774,X5774,Z5774,AB5774,AD5774,AF5774,AH5774,AJ5774,AL5774,AN5774,AP5774,AR5774,AT5774,AV5774,AX5774)</f>
        <v>739.42</v>
      </c>
      <c r="BE5774" s="33" t="n">
        <f aca="false">AZ5774-BD5774</f>
        <v>0</v>
      </c>
      <c r="BF5774" s="34" t="n">
        <f aca="false">BD5774*M5774</f>
        <v>81336.2</v>
      </c>
      <c r="BG5774" s="35" t="n">
        <f aca="false">BA5774-BF5774</f>
        <v>-0.19999999999709</v>
      </c>
      <c r="BH5774" s="19" t="str">
        <f aca="false">IF(BG5774=0,"",IF(BG5774&lt;&gt;BA5774,"erreur de calcul",IF(BD5774&lt;&gt;0,"pas de prix",IF(M5774&lt;&gt; 0,"pas de quantité","pas de prix, ni de quantité"))))</f>
        <v>erreur de calcul</v>
      </c>
      <c r="BI5774" s="19"/>
    </row>
    <row r="5775" customFormat="false" ht="15" hidden="false" customHeight="false" outlineLevel="0" collapsed="false">
      <c r="A5775" s="0" t="n">
        <v>32</v>
      </c>
      <c r="B5775" s="8" t="s">
        <v>24</v>
      </c>
      <c r="C5775" s="9" t="s">
        <v>25</v>
      </c>
      <c r="D5775" s="9" t="s">
        <v>26</v>
      </c>
      <c r="E5775" s="10" t="n">
        <v>1789</v>
      </c>
      <c r="F5775" s="9" t="s">
        <v>27</v>
      </c>
      <c r="G5775" s="9" t="s">
        <v>27</v>
      </c>
      <c r="H5775" s="11" t="n">
        <v>22</v>
      </c>
      <c r="I5775" s="11" t="s">
        <v>235</v>
      </c>
      <c r="J5775" s="14" t="n">
        <v>60</v>
      </c>
      <c r="K5775" s="14"/>
      <c r="L5775" s="16"/>
      <c r="M5775" s="27" t="n">
        <f aca="false">J5775+(K5775/20)+(L5775/240)</f>
        <v>60</v>
      </c>
      <c r="N5775" s="17" t="s">
        <v>64</v>
      </c>
      <c r="O5775" s="11"/>
      <c r="P5775" s="28"/>
      <c r="Q5775" s="28" t="n">
        <f aca="false">P5775*$M5775</f>
        <v>0</v>
      </c>
      <c r="R5775" s="28"/>
      <c r="S5775" s="28" t="n">
        <f aca="false">R5775*$M5775</f>
        <v>0</v>
      </c>
      <c r="T5775" s="28"/>
      <c r="U5775" s="28" t="n">
        <f aca="false">T5775*$M5775</f>
        <v>0</v>
      </c>
      <c r="V5775" s="28" t="n">
        <f aca="false">232/100</f>
        <v>2.32</v>
      </c>
      <c r="W5775" s="28" t="n">
        <v>139</v>
      </c>
      <c r="X5775" s="28" t="n">
        <f aca="false">5603/100</f>
        <v>56.03</v>
      </c>
      <c r="Y5775" s="28" t="n">
        <v>3362</v>
      </c>
      <c r="Z5775" s="28"/>
      <c r="AA5775" s="28" t="n">
        <f aca="false">Z5775*$M5775</f>
        <v>0</v>
      </c>
      <c r="AB5775" s="28" t="n">
        <f aca="false">1410/100</f>
        <v>14.1</v>
      </c>
      <c r="AC5775" s="28" t="n">
        <v>846</v>
      </c>
      <c r="AD5775" s="28"/>
      <c r="AE5775" s="28" t="n">
        <f aca="false">AD5775*$M5775</f>
        <v>0</v>
      </c>
      <c r="AF5775" s="28" t="n">
        <f aca="false">162899/100</f>
        <v>1628.99</v>
      </c>
      <c r="AG5775" s="28" t="n">
        <v>97739</v>
      </c>
      <c r="AH5775" s="28" t="n">
        <f aca="false">6506/100</f>
        <v>65.06</v>
      </c>
      <c r="AI5775" s="28" t="n">
        <v>3904</v>
      </c>
      <c r="AJ5775" s="28"/>
      <c r="AK5775" s="28" t="n">
        <f aca="false">AJ5775*$M5775</f>
        <v>0</v>
      </c>
      <c r="AL5775" s="28"/>
      <c r="AM5775" s="28" t="n">
        <f aca="false">AL5775*$M5775</f>
        <v>0</v>
      </c>
      <c r="AN5775" s="28"/>
      <c r="AO5775" s="28" t="n">
        <f aca="false">AN5775*$M5775</f>
        <v>0</v>
      </c>
      <c r="AP5775" s="28"/>
      <c r="AQ5775" s="28" t="n">
        <f aca="false">AP5775*$M5775</f>
        <v>0</v>
      </c>
      <c r="AR5775" s="28"/>
      <c r="AS5775" s="28" t="n">
        <f aca="false">AR5775*$M5775</f>
        <v>0</v>
      </c>
      <c r="AT5775" s="28"/>
      <c r="AU5775" s="28" t="n">
        <f aca="false">AT5775*$M5775</f>
        <v>0</v>
      </c>
      <c r="AV5775" s="28"/>
      <c r="AW5775" s="28" t="n">
        <f aca="false">AV5775*$M5775</f>
        <v>0</v>
      </c>
      <c r="AX5775" s="28"/>
      <c r="AY5775" s="28" t="n">
        <f aca="false">AX5775*$M5775</f>
        <v>0</v>
      </c>
      <c r="AZ5775" s="30" t="n">
        <f aca="false">176650/100</f>
        <v>1766.5</v>
      </c>
      <c r="BA5775" s="11" t="n">
        <v>105990</v>
      </c>
      <c r="BB5775" s="31" t="n">
        <f aca="false">SUM(Q5775,S5775,U5775,W5775,Y5775,AA5775,AC5775,AE5775,AG5775,AI5775,AK5775,AM5775,AO5775,AQ5775,AS5775,AU5775,AW5775,AY5775)</f>
        <v>105990</v>
      </c>
      <c r="BC5775" s="28" t="n">
        <f aca="false">BA5775-BB5775</f>
        <v>0</v>
      </c>
      <c r="BD5775" s="32" t="n">
        <f aca="false">SUM(P5775,R5775,T5775,V5775,X5775,Z5775,AB5775,AD5775,AF5775,AH5775,AJ5775,AL5775,AN5775,AP5775,AR5775,AT5775,AV5775,AX5775)</f>
        <v>1766.5</v>
      </c>
      <c r="BE5775" s="33" t="n">
        <f aca="false">AZ5775-BD5775</f>
        <v>0</v>
      </c>
      <c r="BF5775" s="34" t="n">
        <f aca="false">BD5775*M5775</f>
        <v>105990</v>
      </c>
      <c r="BG5775" s="35" t="n">
        <f aca="false">BA5775-BF5775</f>
        <v>0</v>
      </c>
      <c r="BH5775" s="19" t="str">
        <f aca="false">IF(BG5775=0,"",IF(BG5775&lt;&gt;BA5775,"erreur de calcul",IF(BD5775&lt;&gt;0,"pas de prix",IF(M5775&lt;&gt; 0,"pas de quantité","pas de prix, ni de quantité"))))</f>
        <v/>
      </c>
      <c r="BI5775" s="19"/>
    </row>
    <row r="5776" customFormat="false" ht="15" hidden="false" customHeight="false" outlineLevel="0" collapsed="false">
      <c r="A5776" s="0" t="n">
        <v>33</v>
      </c>
      <c r="B5776" s="8" t="s">
        <v>24</v>
      </c>
      <c r="C5776" s="9" t="s">
        <v>25</v>
      </c>
      <c r="D5776" s="9" t="s">
        <v>26</v>
      </c>
      <c r="E5776" s="10" t="n">
        <v>1789</v>
      </c>
      <c r="F5776" s="9" t="s">
        <v>27</v>
      </c>
      <c r="G5776" s="9" t="s">
        <v>27</v>
      </c>
      <c r="H5776" s="11" t="n">
        <v>22</v>
      </c>
      <c r="I5776" s="11" t="s">
        <v>236</v>
      </c>
      <c r="J5776" s="14" t="n">
        <v>710</v>
      </c>
      <c r="K5776" s="14"/>
      <c r="L5776" s="16"/>
      <c r="M5776" s="27" t="n">
        <f aca="false">J5776+(K5776/20)+(L5776/240)</f>
        <v>710</v>
      </c>
      <c r="N5776" s="17" t="s">
        <v>64</v>
      </c>
      <c r="O5776" s="11"/>
      <c r="P5776" s="28"/>
      <c r="Q5776" s="28" t="n">
        <f aca="false">P5776*$M5776</f>
        <v>0</v>
      </c>
      <c r="R5776" s="28"/>
      <c r="S5776" s="28" t="n">
        <f aca="false">R5776*$M5776</f>
        <v>0</v>
      </c>
      <c r="T5776" s="28" t="n">
        <f aca="false">108/100</f>
        <v>1.08</v>
      </c>
      <c r="U5776" s="28" t="n">
        <v>767</v>
      </c>
      <c r="V5776" s="28" t="n">
        <f aca="false">1190/100</f>
        <v>11.9</v>
      </c>
      <c r="W5776" s="28" t="n">
        <v>8449</v>
      </c>
      <c r="X5776" s="28" t="n">
        <f aca="false">487/100</f>
        <v>4.87</v>
      </c>
      <c r="Y5776" s="28" t="n">
        <v>3458</v>
      </c>
      <c r="Z5776" s="28"/>
      <c r="AA5776" s="28" t="n">
        <f aca="false">Z5776*$M5776</f>
        <v>0</v>
      </c>
      <c r="AB5776" s="28" t="n">
        <f aca="false">9170/100</f>
        <v>91.7</v>
      </c>
      <c r="AC5776" s="28" t="n">
        <v>65107</v>
      </c>
      <c r="AD5776" s="28" t="n">
        <f aca="false">531/100</f>
        <v>5.31</v>
      </c>
      <c r="AE5776" s="28" t="n">
        <v>3770</v>
      </c>
      <c r="AF5776" s="28"/>
      <c r="AG5776" s="28" t="n">
        <f aca="false">AF5776*$M5776</f>
        <v>0</v>
      </c>
      <c r="AH5776" s="28"/>
      <c r="AI5776" s="28" t="n">
        <f aca="false">AH5776*$M5776</f>
        <v>0</v>
      </c>
      <c r="AJ5776" s="28"/>
      <c r="AK5776" s="28" t="n">
        <f aca="false">AJ5776*$M5776</f>
        <v>0</v>
      </c>
      <c r="AL5776" s="28"/>
      <c r="AM5776" s="28" t="n">
        <f aca="false">AL5776*$M5776</f>
        <v>0</v>
      </c>
      <c r="AN5776" s="28"/>
      <c r="AO5776" s="28" t="n">
        <f aca="false">AN5776*$M5776</f>
        <v>0</v>
      </c>
      <c r="AP5776" s="28"/>
      <c r="AQ5776" s="28" t="n">
        <f aca="false">AP5776*$M5776</f>
        <v>0</v>
      </c>
      <c r="AR5776" s="28"/>
      <c r="AS5776" s="28" t="n">
        <f aca="false">AR5776*$M5776</f>
        <v>0</v>
      </c>
      <c r="AT5776" s="28"/>
      <c r="AU5776" s="28" t="n">
        <f aca="false">AT5776*$M5776</f>
        <v>0</v>
      </c>
      <c r="AV5776" s="28"/>
      <c r="AW5776" s="28" t="n">
        <f aca="false">AV5776*$M5776</f>
        <v>0</v>
      </c>
      <c r="AX5776" s="28"/>
      <c r="AY5776" s="28" t="n">
        <f aca="false">AX5776*$M5776</f>
        <v>0</v>
      </c>
      <c r="AZ5776" s="30" t="n">
        <f aca="false">11486/100</f>
        <v>114.86</v>
      </c>
      <c r="BA5776" s="11" t="n">
        <v>81551</v>
      </c>
      <c r="BB5776" s="31" t="n">
        <f aca="false">SUM(Q5776,S5776,U5776,W5776,Y5776,AA5776,AC5776,AE5776,AG5776,AI5776,AK5776,AM5776,AO5776,AQ5776,AS5776,AU5776,AW5776,AY5776)</f>
        <v>81551</v>
      </c>
      <c r="BC5776" s="28" t="n">
        <f aca="false">BA5776-BB5776</f>
        <v>0</v>
      </c>
      <c r="BD5776" s="32" t="n">
        <f aca="false">SUM(P5776,R5776,T5776,V5776,X5776,Z5776,AB5776,AD5776,AF5776,AH5776,AJ5776,AL5776,AN5776,AP5776,AR5776,AT5776,AV5776,AX5776)</f>
        <v>114.86</v>
      </c>
      <c r="BE5776" s="33" t="n">
        <f aca="false">AZ5776-BD5776</f>
        <v>0</v>
      </c>
      <c r="BF5776" s="34" t="n">
        <f aca="false">BD5776*M5776</f>
        <v>81550.6</v>
      </c>
      <c r="BG5776" s="35" t="n">
        <f aca="false">BA5776-BF5776</f>
        <v>0.399999999994179</v>
      </c>
      <c r="BH5776" s="19" t="str">
        <f aca="false">IF(BG5776=0,"",IF(BG5776&lt;&gt;BA5776,"erreur de calcul",IF(BD5776&lt;&gt;0,"pas de prix",IF(M5776&lt;&gt; 0,"pas de quantité","pas de prix, ni de quantité"))))</f>
        <v>erreur de calcul</v>
      </c>
      <c r="BI5776" s="19"/>
    </row>
    <row r="5777" customFormat="false" ht="15" hidden="false" customHeight="false" outlineLevel="0" collapsed="false">
      <c r="A5777" s="0" t="n">
        <v>34</v>
      </c>
      <c r="B5777" s="8" t="s">
        <v>24</v>
      </c>
      <c r="C5777" s="9" t="s">
        <v>25</v>
      </c>
      <c r="D5777" s="9" t="s">
        <v>26</v>
      </c>
      <c r="E5777" s="10" t="n">
        <v>1789</v>
      </c>
      <c r="F5777" s="9" t="s">
        <v>27</v>
      </c>
      <c r="G5777" s="9" t="s">
        <v>27</v>
      </c>
      <c r="H5777" s="11" t="n">
        <v>22</v>
      </c>
      <c r="I5777" s="11" t="s">
        <v>237</v>
      </c>
      <c r="J5777" s="14" t="n">
        <v>91</v>
      </c>
      <c r="K5777" s="14"/>
      <c r="L5777" s="16"/>
      <c r="M5777" s="27" t="n">
        <f aca="false">J5777+(K5777/20)+(L5777/240)</f>
        <v>91</v>
      </c>
      <c r="N5777" s="17" t="s">
        <v>64</v>
      </c>
      <c r="O5777" s="11"/>
      <c r="P5777" s="28"/>
      <c r="Q5777" s="28" t="n">
        <f aca="false">P5777*$M5777</f>
        <v>0</v>
      </c>
      <c r="R5777" s="28"/>
      <c r="S5777" s="28" t="n">
        <f aca="false">R5777*$M5777</f>
        <v>0</v>
      </c>
      <c r="T5777" s="28"/>
      <c r="U5777" s="28" t="n">
        <f aca="false">T5777*$M5777</f>
        <v>0</v>
      </c>
      <c r="V5777" s="28" t="n">
        <f aca="false">3384/100</f>
        <v>33.84</v>
      </c>
      <c r="W5777" s="28" t="n">
        <v>3079</v>
      </c>
      <c r="X5777" s="28" t="n">
        <f aca="false">18105/100</f>
        <v>181.05</v>
      </c>
      <c r="Y5777" s="28" t="n">
        <v>16475</v>
      </c>
      <c r="Z5777" s="28"/>
      <c r="AA5777" s="28" t="n">
        <f aca="false">Z5777*$M5777</f>
        <v>0</v>
      </c>
      <c r="AB5777" s="28"/>
      <c r="AC5777" s="28" t="n">
        <f aca="false">AB5777*$M5777</f>
        <v>0</v>
      </c>
      <c r="AD5777" s="28"/>
      <c r="AE5777" s="28" t="n">
        <f aca="false">AD5777*$M5777</f>
        <v>0</v>
      </c>
      <c r="AF5777" s="28"/>
      <c r="AG5777" s="28" t="n">
        <f aca="false">AF5777*$M5777</f>
        <v>0</v>
      </c>
      <c r="AH5777" s="28"/>
      <c r="AI5777" s="28" t="n">
        <f aca="false">AH5777*$M5777</f>
        <v>0</v>
      </c>
      <c r="AJ5777" s="28"/>
      <c r="AK5777" s="28" t="n">
        <f aca="false">AJ5777*$M5777</f>
        <v>0</v>
      </c>
      <c r="AL5777" s="28"/>
      <c r="AM5777" s="28" t="n">
        <f aca="false">AL5777*$M5777</f>
        <v>0</v>
      </c>
      <c r="AN5777" s="28"/>
      <c r="AO5777" s="28" t="n">
        <f aca="false">AN5777*$M5777</f>
        <v>0</v>
      </c>
      <c r="AP5777" s="28"/>
      <c r="AQ5777" s="28" t="n">
        <f aca="false">AP5777*$M5777</f>
        <v>0</v>
      </c>
      <c r="AR5777" s="28"/>
      <c r="AS5777" s="28" t="n">
        <f aca="false">AR5777*$M5777</f>
        <v>0</v>
      </c>
      <c r="AT5777" s="28"/>
      <c r="AU5777" s="28" t="n">
        <f aca="false">AT5777*$M5777</f>
        <v>0</v>
      </c>
      <c r="AV5777" s="28"/>
      <c r="AW5777" s="28" t="n">
        <f aca="false">AV5777*$M5777</f>
        <v>0</v>
      </c>
      <c r="AX5777" s="28"/>
      <c r="AY5777" s="28" t="n">
        <f aca="false">AX5777*$M5777</f>
        <v>0</v>
      </c>
      <c r="AZ5777" s="30" t="n">
        <f aca="false">21489/100</f>
        <v>214.89</v>
      </c>
      <c r="BA5777" s="11" t="n">
        <v>19554</v>
      </c>
      <c r="BB5777" s="31" t="n">
        <f aca="false">SUM(Q5777,S5777,U5777,W5777,Y5777,AA5777,AC5777,AE5777,AG5777,AI5777,AK5777,AM5777,AO5777,AQ5777,AS5777,AU5777,AW5777,AY5777)</f>
        <v>19554</v>
      </c>
      <c r="BC5777" s="28" t="n">
        <f aca="false">BA5777-BB5777</f>
        <v>0</v>
      </c>
      <c r="BD5777" s="32" t="n">
        <f aca="false">SUM(P5777,R5777,T5777,V5777,X5777,Z5777,AB5777,AD5777,AF5777,AH5777,AJ5777,AL5777,AN5777,AP5777,AR5777,AT5777,AV5777,AX5777)</f>
        <v>214.89</v>
      </c>
      <c r="BE5777" s="33" t="n">
        <f aca="false">AZ5777-BD5777</f>
        <v>0</v>
      </c>
      <c r="BF5777" s="34" t="n">
        <f aca="false">BD5777*M5777</f>
        <v>19554.99</v>
      </c>
      <c r="BG5777" s="35" t="n">
        <f aca="false">BA5777-BF5777</f>
        <v>-0.990000000001601</v>
      </c>
      <c r="BH5777" s="19" t="str">
        <f aca="false">IF(BG5777=0,"",IF(BG5777&lt;&gt;BA5777,"erreur de calcul",IF(BD5777&lt;&gt;0,"pas de prix",IF(M5777&lt;&gt; 0,"pas de quantité","pas de prix, ni de quantité"))))</f>
        <v>erreur de calcul</v>
      </c>
      <c r="BI5777" s="19"/>
    </row>
    <row r="5778" customFormat="false" ht="15" hidden="false" customHeight="false" outlineLevel="0" collapsed="false">
      <c r="A5778" s="0" t="n">
        <v>35</v>
      </c>
      <c r="B5778" s="8" t="s">
        <v>24</v>
      </c>
      <c r="C5778" s="9" t="s">
        <v>25</v>
      </c>
      <c r="D5778" s="9" t="s">
        <v>26</v>
      </c>
      <c r="E5778" s="10" t="n">
        <v>1789</v>
      </c>
      <c r="F5778" s="9" t="s">
        <v>27</v>
      </c>
      <c r="G5778" s="9" t="s">
        <v>27</v>
      </c>
      <c r="H5778" s="11" t="n">
        <v>22</v>
      </c>
      <c r="I5778" s="11" t="s">
        <v>238</v>
      </c>
      <c r="J5778" s="14" t="n">
        <v>40</v>
      </c>
      <c r="K5778" s="14"/>
      <c r="L5778" s="16"/>
      <c r="M5778" s="27" t="n">
        <f aca="false">J5778+(K5778/20)+(L5778/240)</f>
        <v>40</v>
      </c>
      <c r="N5778" s="17" t="s">
        <v>66</v>
      </c>
      <c r="O5778" s="11"/>
      <c r="P5778" s="28" t="n">
        <v>150</v>
      </c>
      <c r="Q5778" s="28" t="n">
        <v>6000</v>
      </c>
      <c r="R5778" s="28"/>
      <c r="S5778" s="28" t="n">
        <f aca="false">R5778*$M5778</f>
        <v>0</v>
      </c>
      <c r="T5778" s="28" t="n">
        <v>467</v>
      </c>
      <c r="U5778" s="28" t="n">
        <v>18680</v>
      </c>
      <c r="V5778" s="28" t="n">
        <v>1124</v>
      </c>
      <c r="W5778" s="28" t="n">
        <v>44960</v>
      </c>
      <c r="X5778" s="28" t="n">
        <v>591</v>
      </c>
      <c r="Y5778" s="28" t="n">
        <v>23640</v>
      </c>
      <c r="Z5778" s="28"/>
      <c r="AA5778" s="28" t="n">
        <f aca="false">Z5778*$M5778</f>
        <v>0</v>
      </c>
      <c r="AB5778" s="28" t="n">
        <v>554</v>
      </c>
      <c r="AC5778" s="28" t="n">
        <v>22160</v>
      </c>
      <c r="AD5778" s="28"/>
      <c r="AE5778" s="28" t="n">
        <f aca="false">AD5778*$M5778</f>
        <v>0</v>
      </c>
      <c r="AF5778" s="28"/>
      <c r="AG5778" s="28" t="n">
        <f aca="false">AF5778*$M5778</f>
        <v>0</v>
      </c>
      <c r="AH5778" s="28" t="n">
        <v>1109</v>
      </c>
      <c r="AI5778" s="28" t="n">
        <v>44360</v>
      </c>
      <c r="AJ5778" s="28"/>
      <c r="AK5778" s="28" t="n">
        <f aca="false">AJ5778*$M5778</f>
        <v>0</v>
      </c>
      <c r="AL5778" s="28"/>
      <c r="AM5778" s="28" t="n">
        <f aca="false">AL5778*$M5778</f>
        <v>0</v>
      </c>
      <c r="AN5778" s="28"/>
      <c r="AO5778" s="28" t="n">
        <f aca="false">AN5778*$M5778</f>
        <v>0</v>
      </c>
      <c r="AP5778" s="28"/>
      <c r="AQ5778" s="28" t="n">
        <f aca="false">AP5778*$M5778</f>
        <v>0</v>
      </c>
      <c r="AR5778" s="28"/>
      <c r="AS5778" s="28" t="n">
        <f aca="false">AR5778*$M5778</f>
        <v>0</v>
      </c>
      <c r="AT5778" s="28"/>
      <c r="AU5778" s="28" t="n">
        <f aca="false">AT5778*$M5778</f>
        <v>0</v>
      </c>
      <c r="AV5778" s="28"/>
      <c r="AW5778" s="28" t="n">
        <f aca="false">AV5778*$M5778</f>
        <v>0</v>
      </c>
      <c r="AX5778" s="28"/>
      <c r="AY5778" s="28" t="n">
        <f aca="false">AX5778*$M5778</f>
        <v>0</v>
      </c>
      <c r="AZ5778" s="30" t="n">
        <v>3995</v>
      </c>
      <c r="BA5778" s="11" t="n">
        <v>159800</v>
      </c>
      <c r="BB5778" s="31" t="n">
        <f aca="false">SUM(Q5778,S5778,U5778,W5778,Y5778,AA5778,AC5778,AE5778,AG5778,AI5778,AK5778,AM5778,AO5778,AQ5778,AS5778,AU5778,AW5778,AY5778)</f>
        <v>159800</v>
      </c>
      <c r="BC5778" s="28" t="n">
        <f aca="false">BA5778-BB5778</f>
        <v>0</v>
      </c>
      <c r="BD5778" s="32" t="n">
        <f aca="false">SUM(P5778,R5778,T5778,V5778,X5778,Z5778,AB5778,AD5778,AF5778,AH5778,AJ5778,AL5778,AN5778,AP5778,AR5778,AT5778,AV5778,AX5778)</f>
        <v>3995</v>
      </c>
      <c r="BE5778" s="33" t="n">
        <f aca="false">AZ5778-BD5778</f>
        <v>0</v>
      </c>
      <c r="BF5778" s="34" t="n">
        <f aca="false">BD5778*M5778</f>
        <v>159800</v>
      </c>
      <c r="BG5778" s="35" t="n">
        <f aca="false">BA5778-BF5778</f>
        <v>0</v>
      </c>
      <c r="BH5778" s="19" t="str">
        <f aca="false">IF(BG5778=0,"",IF(BG5778&lt;&gt;BA5778,"erreur de calcul",IF(BD5778&lt;&gt;0,"pas de prix",IF(M5778&lt;&gt; 0,"pas de quantité","pas de prix, ni de quantité"))))</f>
        <v/>
      </c>
      <c r="BI5778" s="19"/>
    </row>
    <row r="5779" customFormat="false" ht="15" hidden="false" customHeight="false" outlineLevel="0" collapsed="false">
      <c r="A5779" s="0" t="n">
        <v>36</v>
      </c>
      <c r="B5779" s="8" t="s">
        <v>24</v>
      </c>
      <c r="C5779" s="9" t="s">
        <v>25</v>
      </c>
      <c r="D5779" s="9" t="s">
        <v>26</v>
      </c>
      <c r="E5779" s="10" t="n">
        <v>1789</v>
      </c>
      <c r="F5779" s="9" t="s">
        <v>27</v>
      </c>
      <c r="G5779" s="9" t="s">
        <v>27</v>
      </c>
      <c r="H5779" s="11" t="n">
        <v>22</v>
      </c>
      <c r="I5779" s="11" t="s">
        <v>239</v>
      </c>
      <c r="J5779" s="14" t="n">
        <v>48</v>
      </c>
      <c r="K5779" s="14"/>
      <c r="L5779" s="16"/>
      <c r="M5779" s="27" t="n">
        <f aca="false">J5779+(K5779/20)+(L5779/240)</f>
        <v>48</v>
      </c>
      <c r="N5779" s="17" t="s">
        <v>66</v>
      </c>
      <c r="O5779" s="11"/>
      <c r="P5779" s="28"/>
      <c r="Q5779" s="28" t="n">
        <f aca="false">P5779*$M5779</f>
        <v>0</v>
      </c>
      <c r="R5779" s="28"/>
      <c r="S5779" s="28" t="n">
        <f aca="false">R5779*$M5779</f>
        <v>0</v>
      </c>
      <c r="T5779" s="28" t="n">
        <v>690</v>
      </c>
      <c r="U5779" s="28" t="n">
        <v>33120</v>
      </c>
      <c r="V5779" s="28" t="n">
        <v>3577</v>
      </c>
      <c r="W5779" s="28" t="n">
        <v>171696</v>
      </c>
      <c r="X5779" s="28"/>
      <c r="Y5779" s="28" t="n">
        <f aca="false">X5779*$M5779</f>
        <v>0</v>
      </c>
      <c r="Z5779" s="28"/>
      <c r="AA5779" s="28" t="n">
        <f aca="false">Z5779*$M5779</f>
        <v>0</v>
      </c>
      <c r="AB5779" s="28"/>
      <c r="AC5779" s="28" t="n">
        <f aca="false">AB5779*$M5779</f>
        <v>0</v>
      </c>
      <c r="AD5779" s="28"/>
      <c r="AE5779" s="28" t="n">
        <f aca="false">AD5779*$M5779</f>
        <v>0</v>
      </c>
      <c r="AF5779" s="28"/>
      <c r="AG5779" s="28" t="n">
        <f aca="false">AF5779*$M5779</f>
        <v>0</v>
      </c>
      <c r="AH5779" s="28"/>
      <c r="AI5779" s="28" t="n">
        <f aca="false">AH5779*$M5779</f>
        <v>0</v>
      </c>
      <c r="AJ5779" s="28"/>
      <c r="AK5779" s="28" t="n">
        <f aca="false">AJ5779*$M5779</f>
        <v>0</v>
      </c>
      <c r="AL5779" s="28"/>
      <c r="AM5779" s="28" t="n">
        <f aca="false">AL5779*$M5779</f>
        <v>0</v>
      </c>
      <c r="AN5779" s="28"/>
      <c r="AO5779" s="28" t="n">
        <f aca="false">AN5779*$M5779</f>
        <v>0</v>
      </c>
      <c r="AP5779" s="28"/>
      <c r="AQ5779" s="28" t="n">
        <f aca="false">AP5779*$M5779</f>
        <v>0</v>
      </c>
      <c r="AR5779" s="28"/>
      <c r="AS5779" s="28" t="n">
        <f aca="false">AR5779*$M5779</f>
        <v>0</v>
      </c>
      <c r="AT5779" s="28"/>
      <c r="AU5779" s="28" t="n">
        <f aca="false">AT5779*$M5779</f>
        <v>0</v>
      </c>
      <c r="AV5779" s="28"/>
      <c r="AW5779" s="28" t="n">
        <f aca="false">AV5779*$M5779</f>
        <v>0</v>
      </c>
      <c r="AX5779" s="28"/>
      <c r="AY5779" s="28" t="n">
        <f aca="false">AX5779*$M5779</f>
        <v>0</v>
      </c>
      <c r="AZ5779" s="30" t="n">
        <v>4267</v>
      </c>
      <c r="BA5779" s="11" t="n">
        <v>204816</v>
      </c>
      <c r="BB5779" s="31" t="n">
        <f aca="false">SUM(Q5779,S5779,U5779,W5779,Y5779,AA5779,AC5779,AE5779,AG5779,AI5779,AK5779,AM5779,AO5779,AQ5779,AS5779,AU5779,AW5779,AY5779)</f>
        <v>204816</v>
      </c>
      <c r="BC5779" s="28" t="n">
        <f aca="false">BA5779-BB5779</f>
        <v>0</v>
      </c>
      <c r="BD5779" s="32" t="n">
        <f aca="false">SUM(P5779,R5779,T5779,V5779,X5779,Z5779,AB5779,AD5779,AF5779,AH5779,AJ5779,AL5779,AN5779,AP5779,AR5779,AT5779,AV5779,AX5779)</f>
        <v>4267</v>
      </c>
      <c r="BE5779" s="33" t="n">
        <f aca="false">AZ5779-BD5779</f>
        <v>0</v>
      </c>
      <c r="BF5779" s="34" t="n">
        <f aca="false">BD5779*M5779</f>
        <v>204816</v>
      </c>
      <c r="BG5779" s="35" t="n">
        <f aca="false">BA5779-BF5779</f>
        <v>0</v>
      </c>
      <c r="BH5779" s="19" t="str">
        <f aca="false">IF(BG5779=0,"",IF(BG5779&lt;&gt;BA5779,"erreur de calcul",IF(BD5779&lt;&gt;0,"pas de prix",IF(M5779&lt;&gt; 0,"pas de quantité","pas de prix, ni de quantité"))))</f>
        <v/>
      </c>
      <c r="BI5779" s="19"/>
    </row>
    <row r="5780" customFormat="false" ht="15" hidden="false" customHeight="false" outlineLevel="0" collapsed="false">
      <c r="A5780" s="0" t="n">
        <v>37</v>
      </c>
      <c r="B5780" s="8" t="s">
        <v>24</v>
      </c>
      <c r="C5780" s="9" t="s">
        <v>25</v>
      </c>
      <c r="D5780" s="9" t="s">
        <v>26</v>
      </c>
      <c r="E5780" s="10" t="n">
        <v>1789</v>
      </c>
      <c r="F5780" s="9" t="s">
        <v>27</v>
      </c>
      <c r="G5780" s="9" t="s">
        <v>27</v>
      </c>
      <c r="H5780" s="11" t="n">
        <v>22</v>
      </c>
      <c r="I5780" s="11" t="s">
        <v>240</v>
      </c>
      <c r="J5780" s="14" t="n">
        <v>30</v>
      </c>
      <c r="K5780" s="14"/>
      <c r="L5780" s="16"/>
      <c r="M5780" s="27" t="n">
        <f aca="false">J5780+(K5780/20)+(L5780/240)</f>
        <v>30</v>
      </c>
      <c r="N5780" s="17" t="s">
        <v>66</v>
      </c>
      <c r="O5780" s="11"/>
      <c r="P5780" s="28"/>
      <c r="Q5780" s="28" t="n">
        <f aca="false">P5780*$M5780</f>
        <v>0</v>
      </c>
      <c r="R5780" s="28"/>
      <c r="S5780" s="28" t="n">
        <f aca="false">R5780*$M5780</f>
        <v>0</v>
      </c>
      <c r="T5780" s="28"/>
      <c r="U5780" s="28" t="n">
        <f aca="false">T5780*$M5780</f>
        <v>0</v>
      </c>
      <c r="V5780" s="28"/>
      <c r="W5780" s="28" t="n">
        <f aca="false">V5780*$M5780</f>
        <v>0</v>
      </c>
      <c r="X5780" s="28"/>
      <c r="Y5780" s="28" t="n">
        <f aca="false">X5780*$M5780</f>
        <v>0</v>
      </c>
      <c r="Z5780" s="28"/>
      <c r="AA5780" s="28" t="n">
        <f aca="false">Z5780*$M5780</f>
        <v>0</v>
      </c>
      <c r="AB5780" s="28"/>
      <c r="AC5780" s="28" t="n">
        <f aca="false">AB5780*$M5780</f>
        <v>0</v>
      </c>
      <c r="AD5780" s="28"/>
      <c r="AE5780" s="28" t="n">
        <f aca="false">AD5780*$M5780</f>
        <v>0</v>
      </c>
      <c r="AF5780" s="28"/>
      <c r="AG5780" s="28" t="n">
        <f aca="false">AF5780*$M5780</f>
        <v>0</v>
      </c>
      <c r="AH5780" s="28" t="n">
        <v>4770</v>
      </c>
      <c r="AI5780" s="28" t="n">
        <v>143100</v>
      </c>
      <c r="AJ5780" s="28"/>
      <c r="AK5780" s="28" t="n">
        <f aca="false">AJ5780*$M5780</f>
        <v>0</v>
      </c>
      <c r="AL5780" s="28"/>
      <c r="AM5780" s="28" t="n">
        <f aca="false">AL5780*$M5780</f>
        <v>0</v>
      </c>
      <c r="AN5780" s="28"/>
      <c r="AO5780" s="28" t="n">
        <f aca="false">AN5780*$M5780</f>
        <v>0</v>
      </c>
      <c r="AP5780" s="28"/>
      <c r="AQ5780" s="28" t="n">
        <f aca="false">AP5780*$M5780</f>
        <v>0</v>
      </c>
      <c r="AR5780" s="28"/>
      <c r="AS5780" s="28" t="n">
        <f aca="false">AR5780*$M5780</f>
        <v>0</v>
      </c>
      <c r="AT5780" s="28"/>
      <c r="AU5780" s="28" t="n">
        <f aca="false">AT5780*$M5780</f>
        <v>0</v>
      </c>
      <c r="AV5780" s="28"/>
      <c r="AW5780" s="28" t="n">
        <f aca="false">AV5780*$M5780</f>
        <v>0</v>
      </c>
      <c r="AX5780" s="28"/>
      <c r="AY5780" s="28" t="n">
        <f aca="false">AX5780*$M5780</f>
        <v>0</v>
      </c>
      <c r="AZ5780" s="30" t="n">
        <v>4770</v>
      </c>
      <c r="BA5780" s="11" t="n">
        <v>143100</v>
      </c>
      <c r="BB5780" s="31" t="n">
        <f aca="false">SUM(Q5780,S5780,U5780,W5780,Y5780,AA5780,AC5780,AE5780,AG5780,AI5780,AK5780,AM5780,AO5780,AQ5780,AS5780,AU5780,AW5780,AY5780)</f>
        <v>143100</v>
      </c>
      <c r="BC5780" s="28" t="n">
        <f aca="false">BA5780-BB5780</f>
        <v>0</v>
      </c>
      <c r="BD5780" s="32" t="n">
        <f aca="false">SUM(P5780,R5780,T5780,V5780,X5780,Z5780,AB5780,AD5780,AF5780,AH5780,AJ5780,AL5780,AN5780,AP5780,AR5780,AT5780,AV5780,AX5780)</f>
        <v>4770</v>
      </c>
      <c r="BE5780" s="33" t="n">
        <f aca="false">AZ5780-BD5780</f>
        <v>0</v>
      </c>
      <c r="BF5780" s="34" t="n">
        <f aca="false">BD5780*M5780</f>
        <v>143100</v>
      </c>
      <c r="BG5780" s="35" t="n">
        <f aca="false">BA5780-BF5780</f>
        <v>0</v>
      </c>
      <c r="BH5780" s="19" t="str">
        <f aca="false">IF(BG5780=0,"",IF(BG5780&lt;&gt;BA5780,"erreur de calcul",IF(BD5780&lt;&gt;0,"pas de prix",IF(M5780&lt;&gt; 0,"pas de quantité","pas de prix, ni de quantité"))))</f>
        <v/>
      </c>
      <c r="BI5780" s="19"/>
    </row>
    <row r="5781" customFormat="false" ht="15" hidden="false" customHeight="false" outlineLevel="0" collapsed="false">
      <c r="A5781" s="0" t="n">
        <v>38</v>
      </c>
      <c r="B5781" s="8" t="s">
        <v>24</v>
      </c>
      <c r="C5781" s="9" t="s">
        <v>25</v>
      </c>
      <c r="D5781" s="9" t="s">
        <v>26</v>
      </c>
      <c r="E5781" s="10" t="n">
        <v>1789</v>
      </c>
      <c r="F5781" s="9" t="s">
        <v>27</v>
      </c>
      <c r="G5781" s="9" t="s">
        <v>27</v>
      </c>
      <c r="H5781" s="11" t="n">
        <v>22</v>
      </c>
      <c r="I5781" s="11" t="s">
        <v>241</v>
      </c>
      <c r="J5781" s="14" t="n">
        <v>24</v>
      </c>
      <c r="K5781" s="14"/>
      <c r="L5781" s="16"/>
      <c r="M5781" s="27" t="n">
        <f aca="false">J5781+(K5781/20)+(L5781/240)</f>
        <v>24</v>
      </c>
      <c r="N5781" s="17" t="s">
        <v>64</v>
      </c>
      <c r="O5781" s="11"/>
      <c r="P5781" s="28" t="n">
        <f aca="false">188958/100</f>
        <v>1889.58</v>
      </c>
      <c r="Q5781" s="28" t="n">
        <v>45350</v>
      </c>
      <c r="R5781" s="28"/>
      <c r="S5781" s="28" t="n">
        <f aca="false">R5781*$M5781</f>
        <v>0</v>
      </c>
      <c r="T5781" s="28"/>
      <c r="U5781" s="28" t="n">
        <f aca="false">T5781*$M5781</f>
        <v>0</v>
      </c>
      <c r="V5781" s="28" t="n">
        <f aca="false">10567/100</f>
        <v>105.67</v>
      </c>
      <c r="W5781" s="28" t="n">
        <v>2536</v>
      </c>
      <c r="X5781" s="28" t="n">
        <f aca="false">9467/100</f>
        <v>94.67</v>
      </c>
      <c r="Y5781" s="28" t="n">
        <v>2272</v>
      </c>
      <c r="Z5781" s="28"/>
      <c r="AA5781" s="28" t="n">
        <f aca="false">Z5781*$M5781</f>
        <v>0</v>
      </c>
      <c r="AB5781" s="28"/>
      <c r="AC5781" s="28" t="n">
        <f aca="false">AB5781*$M5781</f>
        <v>0</v>
      </c>
      <c r="AD5781" s="28"/>
      <c r="AE5781" s="28" t="n">
        <f aca="false">AD5781*$M5781</f>
        <v>0</v>
      </c>
      <c r="AF5781" s="28"/>
      <c r="AG5781" s="28" t="n">
        <f aca="false">AF5781*$M5781</f>
        <v>0</v>
      </c>
      <c r="AH5781" s="28"/>
      <c r="AI5781" s="28" t="n">
        <f aca="false">AH5781*$M5781</f>
        <v>0</v>
      </c>
      <c r="AJ5781" s="28"/>
      <c r="AK5781" s="28" t="n">
        <f aca="false">AJ5781*$M5781</f>
        <v>0</v>
      </c>
      <c r="AL5781" s="28"/>
      <c r="AM5781" s="28" t="n">
        <f aca="false">AL5781*$M5781</f>
        <v>0</v>
      </c>
      <c r="AN5781" s="28"/>
      <c r="AO5781" s="28" t="n">
        <f aca="false">AN5781*$M5781</f>
        <v>0</v>
      </c>
      <c r="AP5781" s="28"/>
      <c r="AQ5781" s="28" t="n">
        <f aca="false">AP5781*$M5781</f>
        <v>0</v>
      </c>
      <c r="AR5781" s="28"/>
      <c r="AS5781" s="28" t="n">
        <f aca="false">AR5781*$M5781</f>
        <v>0</v>
      </c>
      <c r="AT5781" s="28"/>
      <c r="AU5781" s="28" t="n">
        <f aca="false">AT5781*$M5781</f>
        <v>0</v>
      </c>
      <c r="AV5781" s="28"/>
      <c r="AW5781" s="28" t="n">
        <f aca="false">AV5781*$M5781</f>
        <v>0</v>
      </c>
      <c r="AX5781" s="28" t="n">
        <f aca="false">328659/100</f>
        <v>3286.59</v>
      </c>
      <c r="AY5781" s="28" t="n">
        <v>78878</v>
      </c>
      <c r="AZ5781" s="30" t="n">
        <f aca="false">537651/100</f>
        <v>5376.51</v>
      </c>
      <c r="BA5781" s="11" t="n">
        <v>129036</v>
      </c>
      <c r="BB5781" s="31" t="n">
        <f aca="false">SUM(Q5781,S5781,U5781,W5781,Y5781,AA5781,AC5781,AE5781,AG5781,AI5781,AK5781,AM5781,AO5781,AQ5781,AS5781,AU5781,AW5781,AY5781)</f>
        <v>129036</v>
      </c>
      <c r="BC5781" s="28" t="n">
        <f aca="false">BA5781-BB5781</f>
        <v>0</v>
      </c>
      <c r="BD5781" s="32" t="n">
        <f aca="false">SUM(P5781,R5781,T5781,V5781,X5781,Z5781,AB5781,AD5781,AF5781,AH5781,AJ5781,AL5781,AN5781,AP5781,AR5781,AT5781,AV5781,AX5781)</f>
        <v>5376.51</v>
      </c>
      <c r="BE5781" s="33" t="n">
        <f aca="false">AZ5781-BD5781</f>
        <v>0</v>
      </c>
      <c r="BF5781" s="34" t="n">
        <f aca="false">BD5781*M5781</f>
        <v>129036.24</v>
      </c>
      <c r="BG5781" s="35" t="n">
        <f aca="false">BA5781-BF5781</f>
        <v>-0.240000000005239</v>
      </c>
      <c r="BH5781" s="19" t="str">
        <f aca="false">IF(BG5781=0,"",IF(BG5781&lt;&gt;BA5781,"erreur de calcul",IF(BD5781&lt;&gt;0,"pas de prix",IF(M5781&lt;&gt; 0,"pas de quantité","pas de prix, ni de quantité"))))</f>
        <v>erreur de calcul</v>
      </c>
      <c r="BI5781" s="19"/>
    </row>
    <row r="5782" customFormat="false" ht="15" hidden="false" customHeight="false" outlineLevel="0" collapsed="false">
      <c r="A5782" s="0" t="n">
        <v>39</v>
      </c>
      <c r="B5782" s="8" t="s">
        <v>24</v>
      </c>
      <c r="C5782" s="9" t="s">
        <v>25</v>
      </c>
      <c r="D5782" s="9" t="s">
        <v>26</v>
      </c>
      <c r="E5782" s="10" t="n">
        <v>1789</v>
      </c>
      <c r="F5782" s="9" t="s">
        <v>27</v>
      </c>
      <c r="G5782" s="9" t="s">
        <v>27</v>
      </c>
      <c r="H5782" s="11" t="n">
        <v>22</v>
      </c>
      <c r="I5782" s="11" t="s">
        <v>242</v>
      </c>
      <c r="J5782" s="14" t="n">
        <v>41</v>
      </c>
      <c r="K5782" s="14"/>
      <c r="L5782" s="16"/>
      <c r="M5782" s="27" t="n">
        <f aca="false">J5782+(K5782/20)+(L5782/240)</f>
        <v>41</v>
      </c>
      <c r="N5782" s="17" t="s">
        <v>64</v>
      </c>
      <c r="O5782" s="11"/>
      <c r="P5782" s="28"/>
      <c r="Q5782" s="28" t="n">
        <f aca="false">P5782*$M5782</f>
        <v>0</v>
      </c>
      <c r="R5782" s="28"/>
      <c r="S5782" s="28" t="n">
        <f aca="false">R5782*$M5782</f>
        <v>0</v>
      </c>
      <c r="T5782" s="28" t="n">
        <f aca="false">441/100</f>
        <v>4.41</v>
      </c>
      <c r="U5782" s="28" t="n">
        <v>181</v>
      </c>
      <c r="V5782" s="28"/>
      <c r="W5782" s="28" t="n">
        <f aca="false">V5782*$M5782</f>
        <v>0</v>
      </c>
      <c r="X5782" s="28"/>
      <c r="Y5782" s="28" t="n">
        <f aca="false">X5782*$M5782</f>
        <v>0</v>
      </c>
      <c r="Z5782" s="28"/>
      <c r="AA5782" s="28" t="n">
        <f aca="false">Z5782*$M5782</f>
        <v>0</v>
      </c>
      <c r="AB5782" s="28"/>
      <c r="AC5782" s="28" t="n">
        <f aca="false">AB5782*$M5782</f>
        <v>0</v>
      </c>
      <c r="AD5782" s="28"/>
      <c r="AE5782" s="28" t="n">
        <f aca="false">AD5782*$M5782</f>
        <v>0</v>
      </c>
      <c r="AF5782" s="28"/>
      <c r="AG5782" s="28" t="n">
        <f aca="false">AF5782*$M5782</f>
        <v>0</v>
      </c>
      <c r="AH5782" s="28"/>
      <c r="AI5782" s="28" t="n">
        <f aca="false">AH5782*$M5782</f>
        <v>0</v>
      </c>
      <c r="AJ5782" s="28"/>
      <c r="AK5782" s="28" t="n">
        <f aca="false">AJ5782*$M5782</f>
        <v>0</v>
      </c>
      <c r="AL5782" s="28"/>
      <c r="AM5782" s="28" t="n">
        <f aca="false">AL5782*$M5782</f>
        <v>0</v>
      </c>
      <c r="AN5782" s="28"/>
      <c r="AO5782" s="28" t="n">
        <f aca="false">AN5782*$M5782</f>
        <v>0</v>
      </c>
      <c r="AP5782" s="28"/>
      <c r="AQ5782" s="28" t="n">
        <f aca="false">AP5782*$M5782</f>
        <v>0</v>
      </c>
      <c r="AR5782" s="28"/>
      <c r="AS5782" s="28" t="n">
        <f aca="false">AR5782*$M5782</f>
        <v>0</v>
      </c>
      <c r="AT5782" s="28"/>
      <c r="AU5782" s="28" t="n">
        <f aca="false">AT5782*$M5782</f>
        <v>0</v>
      </c>
      <c r="AV5782" s="28"/>
      <c r="AW5782" s="28" t="n">
        <f aca="false">AV5782*$M5782</f>
        <v>0</v>
      </c>
      <c r="AX5782" s="28"/>
      <c r="AY5782" s="28" t="n">
        <f aca="false">AX5782*$M5782</f>
        <v>0</v>
      </c>
      <c r="AZ5782" s="30" t="n">
        <f aca="false">441/100</f>
        <v>4.41</v>
      </c>
      <c r="BA5782" s="11" t="n">
        <v>181</v>
      </c>
      <c r="BB5782" s="31" t="n">
        <f aca="false">SUM(Q5782,S5782,U5782,W5782,Y5782,AA5782,AC5782,AE5782,AG5782,AI5782,AK5782,AM5782,AO5782,AQ5782,AS5782,AU5782,AW5782,AY5782)</f>
        <v>181</v>
      </c>
      <c r="BC5782" s="28" t="n">
        <f aca="false">BA5782-BB5782</f>
        <v>0</v>
      </c>
      <c r="BD5782" s="32" t="n">
        <f aca="false">SUM(P5782,R5782,T5782,V5782,X5782,Z5782,AB5782,AD5782,AF5782,AH5782,AJ5782,AL5782,AN5782,AP5782,AR5782,AT5782,AV5782,AX5782)</f>
        <v>4.41</v>
      </c>
      <c r="BE5782" s="33" t="n">
        <f aca="false">AZ5782-BD5782</f>
        <v>0</v>
      </c>
      <c r="BF5782" s="34" t="n">
        <f aca="false">BD5782*M5782</f>
        <v>180.81</v>
      </c>
      <c r="BG5782" s="35" t="n">
        <f aca="false">BA5782-BF5782</f>
        <v>0.189999999999998</v>
      </c>
      <c r="BH5782" s="19" t="str">
        <f aca="false">IF(BG5782=0,"",IF(BG5782&lt;&gt;BA5782,"erreur de calcul",IF(BD5782&lt;&gt;0,"pas de prix",IF(M5782&lt;&gt; 0,"pas de quantité","pas de prix, ni de quantité"))))</f>
        <v>erreur de calcul</v>
      </c>
      <c r="BI5782" s="19"/>
    </row>
    <row r="5783" customFormat="false" ht="15" hidden="false" customHeight="false" outlineLevel="0" collapsed="false">
      <c r="A5783" s="0" t="n">
        <v>1</v>
      </c>
      <c r="B5783" s="8" t="s">
        <v>24</v>
      </c>
      <c r="C5783" s="9" t="s">
        <v>25</v>
      </c>
      <c r="D5783" s="9" t="s">
        <v>26</v>
      </c>
      <c r="E5783" s="10" t="n">
        <v>1789</v>
      </c>
      <c r="F5783" s="9" t="s">
        <v>27</v>
      </c>
      <c r="G5783" s="9" t="s">
        <v>27</v>
      </c>
      <c r="H5783" s="11" t="n">
        <v>23</v>
      </c>
      <c r="I5783" s="11" t="s">
        <v>243</v>
      </c>
      <c r="J5783" s="14"/>
      <c r="K5783" s="14"/>
      <c r="L5783" s="16"/>
      <c r="M5783" s="27" t="n">
        <f aca="false">J5783+(K5783/20)+(L5783/240)</f>
        <v>0</v>
      </c>
      <c r="N5783" s="17"/>
      <c r="O5783" s="11"/>
      <c r="P5783" s="28"/>
      <c r="Q5783" s="28" t="n">
        <f aca="false">P5783*$M5783</f>
        <v>0</v>
      </c>
      <c r="R5783" s="28"/>
      <c r="S5783" s="28" t="n">
        <f aca="false">R5783*$M5783</f>
        <v>0</v>
      </c>
      <c r="T5783" s="28"/>
      <c r="U5783" s="28" t="n">
        <f aca="false">T5783*$M5783</f>
        <v>0</v>
      </c>
      <c r="V5783" s="28"/>
      <c r="W5783" s="28" t="n">
        <v>100</v>
      </c>
      <c r="X5783" s="28"/>
      <c r="Y5783" s="28" t="n">
        <v>563</v>
      </c>
      <c r="Z5783" s="28"/>
      <c r="AA5783" s="28" t="n">
        <f aca="false">Z5783*$M5783</f>
        <v>0</v>
      </c>
      <c r="AB5783" s="28"/>
      <c r="AC5783" s="28" t="n">
        <f aca="false">AB5783*$M5783</f>
        <v>0</v>
      </c>
      <c r="AD5783" s="28"/>
      <c r="AE5783" s="28" t="n">
        <f aca="false">AD5783*$M5783</f>
        <v>0</v>
      </c>
      <c r="AF5783" s="28"/>
      <c r="AG5783" s="28" t="n">
        <f aca="false">AF5783*$M5783</f>
        <v>0</v>
      </c>
      <c r="AH5783" s="28"/>
      <c r="AI5783" s="28" t="n">
        <f aca="false">AH5783*$M5783</f>
        <v>0</v>
      </c>
      <c r="AJ5783" s="28"/>
      <c r="AK5783" s="28" t="n">
        <v>1015</v>
      </c>
      <c r="AL5783" s="28"/>
      <c r="AM5783" s="28" t="n">
        <f aca="false">AL5783*$M5783</f>
        <v>0</v>
      </c>
      <c r="AN5783" s="28"/>
      <c r="AO5783" s="28" t="n">
        <f aca="false">AN5783*$M5783</f>
        <v>0</v>
      </c>
      <c r="AP5783" s="28"/>
      <c r="AQ5783" s="28" t="n">
        <f aca="false">AP5783*$M5783</f>
        <v>0</v>
      </c>
      <c r="AR5783" s="28"/>
      <c r="AS5783" s="28" t="n">
        <f aca="false">AR5783*$M5783</f>
        <v>0</v>
      </c>
      <c r="AT5783" s="28"/>
      <c r="AU5783" s="28" t="n">
        <f aca="false">AT5783*$M5783</f>
        <v>0</v>
      </c>
      <c r="AV5783" s="28"/>
      <c r="AW5783" s="28" t="n">
        <f aca="false">AV5783*$M5783</f>
        <v>0</v>
      </c>
      <c r="AX5783" s="28"/>
      <c r="AY5783" s="28" t="n">
        <f aca="false">AX5783*$M5783</f>
        <v>0</v>
      </c>
      <c r="AZ5783" s="30"/>
      <c r="BA5783" s="11" t="n">
        <v>1678</v>
      </c>
      <c r="BB5783" s="31" t="n">
        <f aca="false">SUM(Q5783,S5783,U5783,W5783,Y5783,AA5783,AC5783,AE5783,AG5783,AI5783,AK5783,AM5783,AO5783,AQ5783,AS5783,AU5783,AW5783,AY5783)</f>
        <v>1678</v>
      </c>
      <c r="BC5783" s="28" t="n">
        <f aca="false">BA5783-BB5783</f>
        <v>0</v>
      </c>
      <c r="BD5783" s="32" t="n">
        <f aca="false">SUM(P5783,R5783,T5783,V5783,X5783,Z5783,AB5783,AD5783,AF5783,AH5783,AJ5783,AL5783,AN5783,AP5783,AR5783,AT5783,AV5783,AX5783)</f>
        <v>0</v>
      </c>
      <c r="BE5783" s="33" t="n">
        <f aca="false">AZ5783-BD5783</f>
        <v>0</v>
      </c>
      <c r="BF5783" s="34" t="n">
        <f aca="false">BD5783*M5783</f>
        <v>0</v>
      </c>
      <c r="BG5783" s="35" t="n">
        <f aca="false">BA5783-BF5783</f>
        <v>1678</v>
      </c>
      <c r="BH5783" s="19" t="str">
        <f aca="false">IF(BG5783=0,"",IF(BG5783&lt;&gt;BA5783,"erreur de calcul",IF(BD5783&lt;&gt;0,"pas de prix",IF(M5783&lt;&gt; 0,"pas de quantité","pas de prix, ni de quantité"))))</f>
        <v>pas de prix, ni de quantité</v>
      </c>
      <c r="BI5783" s="19"/>
    </row>
    <row r="5784" customFormat="false" ht="15" hidden="false" customHeight="false" outlineLevel="0" collapsed="false">
      <c r="A5784" s="0" t="n">
        <v>2</v>
      </c>
      <c r="B5784" s="8" t="s">
        <v>24</v>
      </c>
      <c r="C5784" s="9" t="s">
        <v>25</v>
      </c>
      <c r="D5784" s="9" t="s">
        <v>26</v>
      </c>
      <c r="E5784" s="10" t="n">
        <v>1789</v>
      </c>
      <c r="F5784" s="9" t="s">
        <v>27</v>
      </c>
      <c r="G5784" s="9" t="s">
        <v>27</v>
      </c>
      <c r="H5784" s="11" t="n">
        <v>23</v>
      </c>
      <c r="I5784" s="11" t="s">
        <v>244</v>
      </c>
      <c r="J5784" s="14" t="n">
        <v>22</v>
      </c>
      <c r="K5784" s="14"/>
      <c r="L5784" s="16"/>
      <c r="M5784" s="27" t="n">
        <f aca="false">J5784+(K5784/20)+(L5784/240)</f>
        <v>22</v>
      </c>
      <c r="N5784" s="17" t="s">
        <v>64</v>
      </c>
      <c r="O5784" s="11"/>
      <c r="P5784" s="28"/>
      <c r="Q5784" s="28" t="n">
        <f aca="false">P5784*$M5784</f>
        <v>0</v>
      </c>
      <c r="R5784" s="28"/>
      <c r="S5784" s="28" t="n">
        <f aca="false">R5784*$M5784</f>
        <v>0</v>
      </c>
      <c r="T5784" s="28"/>
      <c r="U5784" s="28" t="n">
        <f aca="false">T5784*$M5784</f>
        <v>0</v>
      </c>
      <c r="V5784" s="28" t="n">
        <f aca="false">15346/100</f>
        <v>153.46</v>
      </c>
      <c r="W5784" s="28" t="n">
        <v>3376</v>
      </c>
      <c r="X5784" s="28"/>
      <c r="Y5784" s="28" t="n">
        <f aca="false">X5784*$M5784</f>
        <v>0</v>
      </c>
      <c r="Z5784" s="28"/>
      <c r="AA5784" s="28" t="n">
        <f aca="false">Z5784*$M5784</f>
        <v>0</v>
      </c>
      <c r="AB5784" s="28"/>
      <c r="AC5784" s="28" t="n">
        <f aca="false">AB5784*$M5784</f>
        <v>0</v>
      </c>
      <c r="AD5784" s="28"/>
      <c r="AE5784" s="28" t="n">
        <f aca="false">AD5784*$M5784</f>
        <v>0</v>
      </c>
      <c r="AF5784" s="28"/>
      <c r="AG5784" s="28" t="n">
        <f aca="false">AF5784*$M5784</f>
        <v>0</v>
      </c>
      <c r="AH5784" s="28"/>
      <c r="AI5784" s="28" t="n">
        <f aca="false">AH5784*$M5784</f>
        <v>0</v>
      </c>
      <c r="AJ5784" s="28" t="n">
        <f aca="false">9084/100</f>
        <v>90.84</v>
      </c>
      <c r="AK5784" s="28" t="n">
        <v>1998</v>
      </c>
      <c r="AL5784" s="28" t="n">
        <f aca="false">8917/100</f>
        <v>89.17</v>
      </c>
      <c r="AM5784" s="28" t="n">
        <v>1962</v>
      </c>
      <c r="AN5784" s="28"/>
      <c r="AO5784" s="28" t="n">
        <f aca="false">AN5784*$M5784</f>
        <v>0</v>
      </c>
      <c r="AP5784" s="28"/>
      <c r="AQ5784" s="28" t="n">
        <f aca="false">AP5784*$M5784</f>
        <v>0</v>
      </c>
      <c r="AR5784" s="28"/>
      <c r="AS5784" s="28" t="n">
        <f aca="false">AR5784*$M5784</f>
        <v>0</v>
      </c>
      <c r="AT5784" s="28"/>
      <c r="AU5784" s="28" t="n">
        <f aca="false">AT5784*$M5784</f>
        <v>0</v>
      </c>
      <c r="AV5784" s="28"/>
      <c r="AW5784" s="28" t="n">
        <f aca="false">AV5784*$M5784</f>
        <v>0</v>
      </c>
      <c r="AX5784" s="28"/>
      <c r="AY5784" s="28" t="n">
        <f aca="false">AX5784*$M5784</f>
        <v>0</v>
      </c>
      <c r="AZ5784" s="30" t="n">
        <f aca="false">3347/100</f>
        <v>33.47</v>
      </c>
      <c r="BA5784" s="11" t="n">
        <v>7336</v>
      </c>
      <c r="BB5784" s="31" t="n">
        <f aca="false">SUM(Q5784,S5784,U5784,W5784,Y5784,AA5784,AC5784,AE5784,AG5784,AI5784,AK5784,AM5784,AO5784,AQ5784,AS5784,AU5784,AW5784,AY5784)</f>
        <v>7336</v>
      </c>
      <c r="BC5784" s="28" t="n">
        <f aca="false">BA5784-BB5784</f>
        <v>0</v>
      </c>
      <c r="BD5784" s="32" t="n">
        <f aca="false">SUM(P5784,R5784,T5784,V5784,X5784,Z5784,AB5784,AD5784,AF5784,AH5784,AJ5784,AL5784,AN5784,AP5784,AR5784,AT5784,AV5784,AX5784)</f>
        <v>333.47</v>
      </c>
      <c r="BE5784" s="33" t="n">
        <f aca="false">AZ5784-BD5784</f>
        <v>-300</v>
      </c>
      <c r="BF5784" s="34" t="n">
        <f aca="false">BD5784*M5784</f>
        <v>7336.34</v>
      </c>
      <c r="BG5784" s="35" t="n">
        <f aca="false">BA5784-BF5784</f>
        <v>-0.340000000000146</v>
      </c>
      <c r="BH5784" s="19" t="str">
        <f aca="false">IF(BG5784=0,"",IF(BG5784&lt;&gt;BA5784,"erreur de calcul",IF(BD5784&lt;&gt;0,"pas de prix",IF(M5784&lt;&gt; 0,"pas de quantité","pas de prix, ni de quantité"))))</f>
        <v>erreur de calcul</v>
      </c>
      <c r="BI5784" s="19"/>
    </row>
    <row r="5785" customFormat="false" ht="15" hidden="false" customHeight="false" outlineLevel="0" collapsed="false">
      <c r="A5785" s="0" t="n">
        <v>3</v>
      </c>
      <c r="B5785" s="8" t="s">
        <v>24</v>
      </c>
      <c r="C5785" s="9" t="s">
        <v>25</v>
      </c>
      <c r="D5785" s="9" t="s">
        <v>26</v>
      </c>
      <c r="E5785" s="10" t="n">
        <v>1789</v>
      </c>
      <c r="F5785" s="9" t="s">
        <v>27</v>
      </c>
      <c r="G5785" s="9" t="s">
        <v>27</v>
      </c>
      <c r="H5785" s="11" t="n">
        <v>23</v>
      </c>
      <c r="I5785" s="11" t="s">
        <v>245</v>
      </c>
      <c r="J5785" s="14" t="n">
        <v>28</v>
      </c>
      <c r="K5785" s="14"/>
      <c r="L5785" s="16"/>
      <c r="M5785" s="27" t="n">
        <f aca="false">J5785+(K5785/20)+(L5785/240)</f>
        <v>28</v>
      </c>
      <c r="N5785" s="17" t="s">
        <v>64</v>
      </c>
      <c r="O5785" s="11"/>
      <c r="P5785" s="28"/>
      <c r="Q5785" s="28" t="n">
        <f aca="false">P5785*$M5785</f>
        <v>0</v>
      </c>
      <c r="R5785" s="28"/>
      <c r="S5785" s="28" t="n">
        <f aca="false">R5785*$M5785</f>
        <v>0</v>
      </c>
      <c r="T5785" s="28"/>
      <c r="U5785" s="28" t="n">
        <f aca="false">T5785*$M5785</f>
        <v>0</v>
      </c>
      <c r="V5785" s="28" t="n">
        <f aca="false">61654/100</f>
        <v>616.54</v>
      </c>
      <c r="W5785" s="28" t="n">
        <v>17263</v>
      </c>
      <c r="X5785" s="28"/>
      <c r="Y5785" s="28" t="n">
        <f aca="false">X5785*$M5785</f>
        <v>0</v>
      </c>
      <c r="Z5785" s="28"/>
      <c r="AA5785" s="28" t="n">
        <f aca="false">Z5785*$M5785</f>
        <v>0</v>
      </c>
      <c r="AB5785" s="28"/>
      <c r="AC5785" s="28" t="n">
        <f aca="false">AB5785*$M5785</f>
        <v>0</v>
      </c>
      <c r="AD5785" s="28"/>
      <c r="AE5785" s="28" t="n">
        <f aca="false">AD5785*$M5785</f>
        <v>0</v>
      </c>
      <c r="AF5785" s="28"/>
      <c r="AG5785" s="28" t="n">
        <f aca="false">AF5785*$M5785</f>
        <v>0</v>
      </c>
      <c r="AH5785" s="28"/>
      <c r="AI5785" s="28" t="n">
        <f aca="false">AH5785*$M5785</f>
        <v>0</v>
      </c>
      <c r="AJ5785" s="28"/>
      <c r="AK5785" s="28" t="n">
        <f aca="false">AJ5785*$M5785</f>
        <v>0</v>
      </c>
      <c r="AL5785" s="28" t="n">
        <f aca="false">6250/100</f>
        <v>62.5</v>
      </c>
      <c r="AM5785" s="28" t="n">
        <v>1750</v>
      </c>
      <c r="AN5785" s="28"/>
      <c r="AO5785" s="28" t="n">
        <f aca="false">AN5785*$M5785</f>
        <v>0</v>
      </c>
      <c r="AP5785" s="28"/>
      <c r="AQ5785" s="28" t="n">
        <f aca="false">AP5785*$M5785</f>
        <v>0</v>
      </c>
      <c r="AR5785" s="28"/>
      <c r="AS5785" s="28" t="n">
        <f aca="false">AR5785*$M5785</f>
        <v>0</v>
      </c>
      <c r="AT5785" s="28"/>
      <c r="AU5785" s="28" t="n">
        <f aca="false">AT5785*$M5785</f>
        <v>0</v>
      </c>
      <c r="AV5785" s="28"/>
      <c r="AW5785" s="28" t="n">
        <f aca="false">AV5785*$M5785</f>
        <v>0</v>
      </c>
      <c r="AX5785" s="28"/>
      <c r="AY5785" s="28" t="n">
        <f aca="false">AX5785*$M5785</f>
        <v>0</v>
      </c>
      <c r="AZ5785" s="30" t="n">
        <f aca="false">67904/100</f>
        <v>679.04</v>
      </c>
      <c r="BA5785" s="11" t="n">
        <v>19013</v>
      </c>
      <c r="BB5785" s="31" t="n">
        <f aca="false">SUM(Q5785,S5785,U5785,W5785,Y5785,AA5785,AC5785,AE5785,AG5785,AI5785,AK5785,AM5785,AO5785,AQ5785,AS5785,AU5785,AW5785,AY5785)</f>
        <v>19013</v>
      </c>
      <c r="BC5785" s="28" t="n">
        <f aca="false">BA5785-BB5785</f>
        <v>0</v>
      </c>
      <c r="BD5785" s="32" t="n">
        <f aca="false">SUM(P5785,R5785,T5785,V5785,X5785,Z5785,AB5785,AD5785,AF5785,AH5785,AJ5785,AL5785,AN5785,AP5785,AR5785,AT5785,AV5785,AX5785)</f>
        <v>679.04</v>
      </c>
      <c r="BE5785" s="33" t="n">
        <f aca="false">AZ5785-BD5785</f>
        <v>0</v>
      </c>
      <c r="BF5785" s="34" t="n">
        <f aca="false">BD5785*M5785</f>
        <v>19013.12</v>
      </c>
      <c r="BG5785" s="35" t="n">
        <f aca="false">BA5785-BF5785</f>
        <v>-0.119999999998981</v>
      </c>
      <c r="BH5785" s="19" t="str">
        <f aca="false">IF(BG5785=0,"",IF(BG5785&lt;&gt;BA5785,"erreur de calcul",IF(BD5785&lt;&gt;0,"pas de prix",IF(M5785&lt;&gt; 0,"pas de quantité","pas de prix, ni de quantité"))))</f>
        <v>erreur de calcul</v>
      </c>
      <c r="BI5785" s="19"/>
    </row>
    <row r="5786" customFormat="false" ht="15" hidden="false" customHeight="false" outlineLevel="0" collapsed="false">
      <c r="A5786" s="0" t="n">
        <v>4</v>
      </c>
      <c r="B5786" s="8" t="s">
        <v>24</v>
      </c>
      <c r="C5786" s="9" t="s">
        <v>25</v>
      </c>
      <c r="D5786" s="9" t="s">
        <v>26</v>
      </c>
      <c r="E5786" s="10" t="n">
        <v>1789</v>
      </c>
      <c r="F5786" s="9" t="s">
        <v>27</v>
      </c>
      <c r="G5786" s="9" t="s">
        <v>27</v>
      </c>
      <c r="H5786" s="11" t="n">
        <v>23</v>
      </c>
      <c r="I5786" s="11" t="s">
        <v>246</v>
      </c>
      <c r="J5786" s="14" t="n">
        <v>17</v>
      </c>
      <c r="K5786" s="14"/>
      <c r="L5786" s="16"/>
      <c r="M5786" s="27" t="n">
        <f aca="false">J5786+(K5786/20)+(L5786/240)</f>
        <v>17</v>
      </c>
      <c r="N5786" s="17" t="s">
        <v>64</v>
      </c>
      <c r="O5786" s="11"/>
      <c r="P5786" s="28"/>
      <c r="Q5786" s="28" t="n">
        <f aca="false">P5786*$M5786</f>
        <v>0</v>
      </c>
      <c r="R5786" s="28"/>
      <c r="S5786" s="28" t="n">
        <f aca="false">R5786*$M5786</f>
        <v>0</v>
      </c>
      <c r="T5786" s="28" t="n">
        <f aca="false">25000/100</f>
        <v>250</v>
      </c>
      <c r="U5786" s="28" t="n">
        <v>4250</v>
      </c>
      <c r="V5786" s="28" t="n">
        <f aca="false">78153/100</f>
        <v>781.53</v>
      </c>
      <c r="W5786" s="28" t="n">
        <v>13286</v>
      </c>
      <c r="X5786" s="28"/>
      <c r="Y5786" s="28" t="n">
        <f aca="false">X5786*$M5786</f>
        <v>0</v>
      </c>
      <c r="Z5786" s="28"/>
      <c r="AA5786" s="28" t="n">
        <f aca="false">Z5786*$M5786</f>
        <v>0</v>
      </c>
      <c r="AB5786" s="28"/>
      <c r="AC5786" s="28" t="n">
        <f aca="false">AB5786*$M5786</f>
        <v>0</v>
      </c>
      <c r="AD5786" s="28"/>
      <c r="AE5786" s="28" t="n">
        <f aca="false">AD5786*$M5786</f>
        <v>0</v>
      </c>
      <c r="AF5786" s="28"/>
      <c r="AG5786" s="28" t="n">
        <f aca="false">AF5786*$M5786</f>
        <v>0</v>
      </c>
      <c r="AH5786" s="28"/>
      <c r="AI5786" s="28" t="n">
        <f aca="false">AH5786*$M5786</f>
        <v>0</v>
      </c>
      <c r="AJ5786" s="28" t="n">
        <f aca="false">113774/100</f>
        <v>1137.74</v>
      </c>
      <c r="AK5786" s="28" t="n">
        <v>19341</v>
      </c>
      <c r="AL5786" s="28" t="n">
        <f aca="false">749547/100</f>
        <v>7495.47</v>
      </c>
      <c r="AM5786" s="28" t="n">
        <v>127423</v>
      </c>
      <c r="AN5786" s="28"/>
      <c r="AO5786" s="28" t="n">
        <f aca="false">AN5786*$M5786</f>
        <v>0</v>
      </c>
      <c r="AP5786" s="28" t="n">
        <f aca="false">578251/100</f>
        <v>5782.51</v>
      </c>
      <c r="AQ5786" s="28" t="n">
        <v>98303</v>
      </c>
      <c r="AR5786" s="28" t="n">
        <f aca="false">9141217/100</f>
        <v>91412.17</v>
      </c>
      <c r="AS5786" s="28" t="n">
        <v>1554007</v>
      </c>
      <c r="AT5786" s="28"/>
      <c r="AU5786" s="28" t="n">
        <f aca="false">AT5786*$M5786</f>
        <v>0</v>
      </c>
      <c r="AV5786" s="28" t="n">
        <f aca="false">314570/100</f>
        <v>3145.7</v>
      </c>
      <c r="AW5786" s="28" t="n">
        <v>53477</v>
      </c>
      <c r="AX5786" s="28"/>
      <c r="AY5786" s="28" t="n">
        <f aca="false">AX5786*$M5786</f>
        <v>0</v>
      </c>
      <c r="AZ5786" s="30" t="n">
        <f aca="false">11004767/100</f>
        <v>110047.67</v>
      </c>
      <c r="BA5786" s="11" t="n">
        <v>1870087</v>
      </c>
      <c r="BB5786" s="31" t="n">
        <f aca="false">SUM(Q5786,S5786,U5786,W5786,Y5786,AA5786,AC5786,AE5786,AG5786,AI5786,AK5786,AM5786,AO5786,AQ5786,AS5786,AU5786,AW5786,AY5786)</f>
        <v>1870087</v>
      </c>
      <c r="BC5786" s="28" t="n">
        <f aca="false">BA5786-BB5786</f>
        <v>0</v>
      </c>
      <c r="BD5786" s="32" t="n">
        <f aca="false">SUM(P5786,R5786,T5786,V5786,X5786,Z5786,AB5786,AD5786,AF5786,AH5786,AJ5786,AL5786,AN5786,AP5786,AR5786,AT5786,AV5786,AX5786)</f>
        <v>110005.12</v>
      </c>
      <c r="BE5786" s="33" t="n">
        <f aca="false">AZ5786-BD5786</f>
        <v>42.5500000000029</v>
      </c>
      <c r="BF5786" s="34" t="n">
        <f aca="false">BD5786*M5786</f>
        <v>1870087.04</v>
      </c>
      <c r="BG5786" s="35" t="n">
        <f aca="false">BA5786-BF5786</f>
        <v>-0.0400000000372529</v>
      </c>
      <c r="BH5786" s="19" t="str">
        <f aca="false">IF(BG5786=0,"",IF(BG5786&lt;&gt;BA5786,"erreur de calcul",IF(BD5786&lt;&gt;0,"pas de prix",IF(M5786&lt;&gt; 0,"pas de quantité","pas de prix, ni de quantité"))))</f>
        <v>erreur de calcul</v>
      </c>
      <c r="BI5786" s="19"/>
    </row>
    <row r="5787" customFormat="false" ht="15" hidden="false" customHeight="false" outlineLevel="0" collapsed="false">
      <c r="A5787" s="0" t="n">
        <v>5</v>
      </c>
      <c r="B5787" s="8" t="s">
        <v>24</v>
      </c>
      <c r="C5787" s="9" t="s">
        <v>25</v>
      </c>
      <c r="D5787" s="9" t="s">
        <v>26</v>
      </c>
      <c r="E5787" s="10" t="n">
        <v>1789</v>
      </c>
      <c r="F5787" s="9" t="s">
        <v>27</v>
      </c>
      <c r="G5787" s="9" t="s">
        <v>27</v>
      </c>
      <c r="H5787" s="11" t="n">
        <v>23</v>
      </c>
      <c r="I5787" s="11" t="s">
        <v>247</v>
      </c>
      <c r="J5787" s="14" t="n">
        <v>60</v>
      </c>
      <c r="K5787" s="14"/>
      <c r="L5787" s="16"/>
      <c r="M5787" s="27" t="n">
        <f aca="false">J5787+(K5787/20)+(L5787/240)</f>
        <v>60</v>
      </c>
      <c r="N5787" s="17" t="s">
        <v>64</v>
      </c>
      <c r="O5787" s="11"/>
      <c r="P5787" s="28" t="n">
        <f aca="false">17500/100</f>
        <v>175</v>
      </c>
      <c r="Q5787" s="28" t="n">
        <v>10500</v>
      </c>
      <c r="R5787" s="28"/>
      <c r="S5787" s="28" t="n">
        <f aca="false">R5787*$M5787</f>
        <v>0</v>
      </c>
      <c r="T5787" s="28"/>
      <c r="U5787" s="28" t="n">
        <f aca="false">T5787*$M5787</f>
        <v>0</v>
      </c>
      <c r="V5787" s="28"/>
      <c r="W5787" s="28" t="n">
        <f aca="false">V5787*$M5787</f>
        <v>0</v>
      </c>
      <c r="X5787" s="28"/>
      <c r="Y5787" s="28" t="n">
        <f aca="false">X5787*$M5787</f>
        <v>0</v>
      </c>
      <c r="Z5787" s="28"/>
      <c r="AA5787" s="28" t="n">
        <f aca="false">Z5787*$M5787</f>
        <v>0</v>
      </c>
      <c r="AB5787" s="28"/>
      <c r="AC5787" s="28" t="n">
        <f aca="false">AB5787*$M5787</f>
        <v>0</v>
      </c>
      <c r="AD5787" s="28"/>
      <c r="AE5787" s="28" t="n">
        <f aca="false">AD5787*$M5787</f>
        <v>0</v>
      </c>
      <c r="AF5787" s="28"/>
      <c r="AG5787" s="28" t="n">
        <f aca="false">AF5787*$M5787</f>
        <v>0</v>
      </c>
      <c r="AH5787" s="28"/>
      <c r="AI5787" s="28" t="n">
        <f aca="false">AH5787*$M5787</f>
        <v>0</v>
      </c>
      <c r="AJ5787" s="28"/>
      <c r="AK5787" s="28" t="n">
        <f aca="false">AJ5787*$M5787</f>
        <v>0</v>
      </c>
      <c r="AL5787" s="28" t="n">
        <f aca="false">107571/100</f>
        <v>1075.71</v>
      </c>
      <c r="AM5787" s="28" t="n">
        <v>64543</v>
      </c>
      <c r="AN5787" s="28"/>
      <c r="AO5787" s="28" t="n">
        <f aca="false">AN5787*$M5787</f>
        <v>0</v>
      </c>
      <c r="AP5787" s="28"/>
      <c r="AQ5787" s="28" t="n">
        <f aca="false">AP5787*$M5787</f>
        <v>0</v>
      </c>
      <c r="AR5787" s="28"/>
      <c r="AS5787" s="28" t="n">
        <f aca="false">AR5787*$M5787</f>
        <v>0</v>
      </c>
      <c r="AT5787" s="28"/>
      <c r="AU5787" s="28" t="n">
        <f aca="false">AT5787*$M5787</f>
        <v>0</v>
      </c>
      <c r="AV5787" s="28"/>
      <c r="AW5787" s="28" t="n">
        <f aca="false">AV5787*$M5787</f>
        <v>0</v>
      </c>
      <c r="AX5787" s="28"/>
      <c r="AY5787" s="28" t="n">
        <f aca="false">AX5787*$M5787</f>
        <v>0</v>
      </c>
      <c r="AZ5787" s="30" t="n">
        <f aca="false">125071/100</f>
        <v>1250.71</v>
      </c>
      <c r="BA5787" s="11" t="n">
        <v>75043</v>
      </c>
      <c r="BB5787" s="31" t="n">
        <f aca="false">SUM(Q5787,S5787,U5787,W5787,Y5787,AA5787,AC5787,AE5787,AG5787,AI5787,AK5787,AM5787,AO5787,AQ5787,AS5787,AU5787,AW5787,AY5787)</f>
        <v>75043</v>
      </c>
      <c r="BC5787" s="28" t="n">
        <f aca="false">BA5787-BB5787</f>
        <v>0</v>
      </c>
      <c r="BD5787" s="32" t="n">
        <f aca="false">SUM(P5787,R5787,T5787,V5787,X5787,Z5787,AB5787,AD5787,AF5787,AH5787,AJ5787,AL5787,AN5787,AP5787,AR5787,AT5787,AV5787,AX5787)</f>
        <v>1250.71</v>
      </c>
      <c r="BE5787" s="33" t="n">
        <f aca="false">AZ5787-BD5787</f>
        <v>0</v>
      </c>
      <c r="BF5787" s="34" t="n">
        <f aca="false">BD5787*M5787</f>
        <v>75042.6</v>
      </c>
      <c r="BG5787" s="35" t="n">
        <f aca="false">BA5787-BF5787</f>
        <v>0.399999999994179</v>
      </c>
      <c r="BH5787" s="19" t="str">
        <f aca="false">IF(BG5787=0,"",IF(BG5787&lt;&gt;BA5787,"erreur de calcul",IF(BD5787&lt;&gt;0,"pas de prix",IF(M5787&lt;&gt; 0,"pas de quantité","pas de prix, ni de quantité"))))</f>
        <v>erreur de calcul</v>
      </c>
      <c r="BI5787" s="19"/>
    </row>
    <row r="5788" customFormat="false" ht="15" hidden="false" customHeight="false" outlineLevel="0" collapsed="false">
      <c r="A5788" s="0" t="n">
        <v>6</v>
      </c>
      <c r="B5788" s="8" t="s">
        <v>24</v>
      </c>
      <c r="C5788" s="9" t="s">
        <v>25</v>
      </c>
      <c r="D5788" s="9" t="s">
        <v>26</v>
      </c>
      <c r="E5788" s="10" t="n">
        <v>1789</v>
      </c>
      <c r="F5788" s="9" t="s">
        <v>27</v>
      </c>
      <c r="G5788" s="9" t="s">
        <v>27</v>
      </c>
      <c r="H5788" s="11" t="n">
        <v>23</v>
      </c>
      <c r="I5788" s="11" t="s">
        <v>248</v>
      </c>
      <c r="J5788" s="14" t="n">
        <v>30</v>
      </c>
      <c r="K5788" s="14"/>
      <c r="L5788" s="16"/>
      <c r="M5788" s="27" t="n">
        <f aca="false">J5788+(K5788/20)+(L5788/240)</f>
        <v>30</v>
      </c>
      <c r="N5788" s="17" t="s">
        <v>64</v>
      </c>
      <c r="O5788" s="11"/>
      <c r="P5788" s="28"/>
      <c r="Q5788" s="28" t="n">
        <f aca="false">P5788*$M5788</f>
        <v>0</v>
      </c>
      <c r="R5788" s="28"/>
      <c r="S5788" s="28" t="n">
        <f aca="false">R5788*$M5788</f>
        <v>0</v>
      </c>
      <c r="T5788" s="28"/>
      <c r="U5788" s="28" t="n">
        <f aca="false">T5788*$M5788</f>
        <v>0</v>
      </c>
      <c r="V5788" s="28" t="n">
        <f aca="false">8491/100</f>
        <v>84.91</v>
      </c>
      <c r="W5788" s="28" t="n">
        <v>2547</v>
      </c>
      <c r="X5788" s="28"/>
      <c r="Y5788" s="28" t="n">
        <f aca="false">X5788*$M5788</f>
        <v>0</v>
      </c>
      <c r="Z5788" s="28"/>
      <c r="AA5788" s="28" t="n">
        <f aca="false">Z5788*$M5788</f>
        <v>0</v>
      </c>
      <c r="AB5788" s="28"/>
      <c r="AC5788" s="28" t="n">
        <f aca="false">AB5788*$M5788</f>
        <v>0</v>
      </c>
      <c r="AD5788" s="28"/>
      <c r="AE5788" s="28" t="n">
        <f aca="false">AD5788*$M5788</f>
        <v>0</v>
      </c>
      <c r="AF5788" s="28"/>
      <c r="AG5788" s="28" t="n">
        <f aca="false">AF5788*$M5788</f>
        <v>0</v>
      </c>
      <c r="AH5788" s="28"/>
      <c r="AI5788" s="28" t="n">
        <f aca="false">AH5788*$M5788</f>
        <v>0</v>
      </c>
      <c r="AJ5788" s="28"/>
      <c r="AK5788" s="28" t="n">
        <f aca="false">AJ5788*$M5788</f>
        <v>0</v>
      </c>
      <c r="AL5788" s="28"/>
      <c r="AM5788" s="28" t="n">
        <f aca="false">AL5788*$M5788</f>
        <v>0</v>
      </c>
      <c r="AN5788" s="28"/>
      <c r="AO5788" s="28" t="n">
        <f aca="false">AN5788*$M5788</f>
        <v>0</v>
      </c>
      <c r="AP5788" s="28"/>
      <c r="AQ5788" s="28" t="n">
        <f aca="false">AP5788*$M5788</f>
        <v>0</v>
      </c>
      <c r="AR5788" s="28"/>
      <c r="AS5788" s="28" t="n">
        <f aca="false">AR5788*$M5788</f>
        <v>0</v>
      </c>
      <c r="AT5788" s="28"/>
      <c r="AU5788" s="28" t="n">
        <f aca="false">AT5788*$M5788</f>
        <v>0</v>
      </c>
      <c r="AV5788" s="28"/>
      <c r="AW5788" s="28" t="n">
        <f aca="false">AV5788*$M5788</f>
        <v>0</v>
      </c>
      <c r="AX5788" s="28"/>
      <c r="AY5788" s="28" t="n">
        <f aca="false">AX5788*$M5788</f>
        <v>0</v>
      </c>
      <c r="AZ5788" s="30" t="n">
        <f aca="false">8491/100</f>
        <v>84.91</v>
      </c>
      <c r="BA5788" s="11" t="n">
        <v>2547</v>
      </c>
      <c r="BB5788" s="31" t="n">
        <f aca="false">SUM(Q5788,S5788,U5788,W5788,Y5788,AA5788,AC5788,AE5788,AG5788,AI5788,AK5788,AM5788,AO5788,AQ5788,AS5788,AU5788,AW5788,AY5788)</f>
        <v>2547</v>
      </c>
      <c r="BC5788" s="28" t="n">
        <f aca="false">BA5788-BB5788</f>
        <v>0</v>
      </c>
      <c r="BD5788" s="32" t="n">
        <f aca="false">SUM(P5788,R5788,T5788,V5788,X5788,Z5788,AB5788,AD5788,AF5788,AH5788,AJ5788,AL5788,AN5788,AP5788,AR5788,AT5788,AV5788,AX5788)</f>
        <v>84.91</v>
      </c>
      <c r="BE5788" s="33" t="n">
        <f aca="false">AZ5788-BD5788</f>
        <v>0</v>
      </c>
      <c r="BF5788" s="34" t="n">
        <f aca="false">BD5788*M5788</f>
        <v>2547.3</v>
      </c>
      <c r="BG5788" s="35" t="n">
        <f aca="false">BA5788-BF5788</f>
        <v>-0.299999999999727</v>
      </c>
      <c r="BH5788" s="19" t="str">
        <f aca="false">IF(BG5788=0,"",IF(BG5788&lt;&gt;BA5788,"erreur de calcul",IF(BD5788&lt;&gt;0,"pas de prix",IF(M5788&lt;&gt; 0,"pas de quantité","pas de prix, ni de quantité"))))</f>
        <v>erreur de calcul</v>
      </c>
      <c r="BI5788" s="19"/>
    </row>
    <row r="5789" customFormat="false" ht="15" hidden="false" customHeight="false" outlineLevel="0" collapsed="false">
      <c r="A5789" s="0" t="n">
        <v>7</v>
      </c>
      <c r="B5789" s="8" t="s">
        <v>24</v>
      </c>
      <c r="C5789" s="9" t="s">
        <v>25</v>
      </c>
      <c r="D5789" s="9" t="s">
        <v>26</v>
      </c>
      <c r="E5789" s="10" t="n">
        <v>1789</v>
      </c>
      <c r="F5789" s="9" t="s">
        <v>27</v>
      </c>
      <c r="G5789" s="9" t="s">
        <v>27</v>
      </c>
      <c r="H5789" s="11" t="n">
        <v>23</v>
      </c>
      <c r="I5789" s="11" t="s">
        <v>249</v>
      </c>
      <c r="J5789" s="14" t="n">
        <v>27</v>
      </c>
      <c r="K5789" s="14"/>
      <c r="L5789" s="16"/>
      <c r="M5789" s="27" t="n">
        <f aca="false">J5789+(K5789/20)+(L5789/240)</f>
        <v>27</v>
      </c>
      <c r="N5789" s="17" t="s">
        <v>64</v>
      </c>
      <c r="O5789" s="11"/>
      <c r="P5789" s="28"/>
      <c r="Q5789" s="28" t="n">
        <f aca="false">P5789*$M5789</f>
        <v>0</v>
      </c>
      <c r="R5789" s="28"/>
      <c r="S5789" s="28" t="n">
        <f aca="false">R5789*$M5789</f>
        <v>0</v>
      </c>
      <c r="T5789" s="28"/>
      <c r="U5789" s="28" t="n">
        <f aca="false">T5789*$M5789</f>
        <v>0</v>
      </c>
      <c r="V5789" s="28"/>
      <c r="W5789" s="28" t="n">
        <f aca="false">V5789*$M5789</f>
        <v>0</v>
      </c>
      <c r="X5789" s="28"/>
      <c r="Y5789" s="28" t="n">
        <f aca="false">X5789*$M5789</f>
        <v>0</v>
      </c>
      <c r="Z5789" s="28"/>
      <c r="AA5789" s="28" t="n">
        <f aca="false">Z5789*$M5789</f>
        <v>0</v>
      </c>
      <c r="AB5789" s="28"/>
      <c r="AC5789" s="28" t="n">
        <f aca="false">AB5789*$M5789</f>
        <v>0</v>
      </c>
      <c r="AD5789" s="28"/>
      <c r="AE5789" s="28" t="n">
        <f aca="false">AD5789*$M5789</f>
        <v>0</v>
      </c>
      <c r="AF5789" s="28"/>
      <c r="AG5789" s="28" t="n">
        <f aca="false">AF5789*$M5789</f>
        <v>0</v>
      </c>
      <c r="AH5789" s="28"/>
      <c r="AI5789" s="28" t="n">
        <f aca="false">AH5789*$M5789</f>
        <v>0</v>
      </c>
      <c r="AJ5789" s="28" t="n">
        <f aca="false">168254/100</f>
        <v>1682.54</v>
      </c>
      <c r="AK5789" s="28" t="n">
        <v>45428</v>
      </c>
      <c r="AL5789" s="28"/>
      <c r="AM5789" s="28" t="n">
        <f aca="false">AL5789*$M5789</f>
        <v>0</v>
      </c>
      <c r="AN5789" s="28"/>
      <c r="AO5789" s="28" t="n">
        <f aca="false">AN5789*$M5789</f>
        <v>0</v>
      </c>
      <c r="AP5789" s="28"/>
      <c r="AQ5789" s="28" t="n">
        <f aca="false">AP5789*$M5789</f>
        <v>0</v>
      </c>
      <c r="AR5789" s="28"/>
      <c r="AS5789" s="28" t="n">
        <f aca="false">AR5789*$M5789</f>
        <v>0</v>
      </c>
      <c r="AT5789" s="28"/>
      <c r="AU5789" s="28" t="n">
        <f aca="false">AT5789*$M5789</f>
        <v>0</v>
      </c>
      <c r="AV5789" s="28"/>
      <c r="AW5789" s="28" t="n">
        <f aca="false">AV5789*$M5789</f>
        <v>0</v>
      </c>
      <c r="AX5789" s="28"/>
      <c r="AY5789" s="28" t="n">
        <f aca="false">AX5789*$M5789</f>
        <v>0</v>
      </c>
      <c r="AZ5789" s="30" t="n">
        <f aca="false">168254/100</f>
        <v>1682.54</v>
      </c>
      <c r="BA5789" s="11" t="n">
        <v>45428</v>
      </c>
      <c r="BB5789" s="31" t="n">
        <f aca="false">SUM(Q5789,S5789,U5789,W5789,Y5789,AA5789,AC5789,AE5789,AG5789,AI5789,AK5789,AM5789,AO5789,AQ5789,AS5789,AU5789,AW5789,AY5789)</f>
        <v>45428</v>
      </c>
      <c r="BC5789" s="28" t="n">
        <f aca="false">BA5789-BB5789</f>
        <v>0</v>
      </c>
      <c r="BD5789" s="32" t="n">
        <f aca="false">SUM(P5789,R5789,T5789,V5789,X5789,Z5789,AB5789,AD5789,AF5789,AH5789,AJ5789,AL5789,AN5789,AP5789,AR5789,AT5789,AV5789,AX5789)</f>
        <v>1682.54</v>
      </c>
      <c r="BE5789" s="33" t="n">
        <f aca="false">AZ5789-BD5789</f>
        <v>0</v>
      </c>
      <c r="BF5789" s="34" t="n">
        <f aca="false">BD5789*M5789</f>
        <v>45428.58</v>
      </c>
      <c r="BG5789" s="35" t="n">
        <f aca="false">BA5789-BF5789</f>
        <v>-0.580000000001746</v>
      </c>
      <c r="BH5789" s="19" t="str">
        <f aca="false">IF(BG5789=0,"",IF(BG5789&lt;&gt;BA5789,"erreur de calcul",IF(BD5789&lt;&gt;0,"pas de prix",IF(M5789&lt;&gt; 0,"pas de quantité","pas de prix, ni de quantité"))))</f>
        <v>erreur de calcul</v>
      </c>
      <c r="BI5789" s="19"/>
    </row>
    <row r="5790" customFormat="false" ht="15" hidden="false" customHeight="false" outlineLevel="0" collapsed="false">
      <c r="A5790" s="0" t="n">
        <v>8</v>
      </c>
      <c r="B5790" s="8" t="s">
        <v>24</v>
      </c>
      <c r="C5790" s="9" t="s">
        <v>25</v>
      </c>
      <c r="D5790" s="9" t="s">
        <v>26</v>
      </c>
      <c r="E5790" s="10" t="n">
        <v>1789</v>
      </c>
      <c r="F5790" s="9" t="s">
        <v>27</v>
      </c>
      <c r="G5790" s="9" t="s">
        <v>27</v>
      </c>
      <c r="H5790" s="11" t="n">
        <v>23</v>
      </c>
      <c r="I5790" s="11" t="s">
        <v>250</v>
      </c>
      <c r="J5790" s="14" t="n">
        <v>27</v>
      </c>
      <c r="K5790" s="14"/>
      <c r="L5790" s="16"/>
      <c r="M5790" s="27" t="n">
        <f aca="false">J5790+(K5790/20)+(L5790/240)</f>
        <v>27</v>
      </c>
      <c r="N5790" s="17" t="s">
        <v>64</v>
      </c>
      <c r="O5790" s="11"/>
      <c r="P5790" s="28"/>
      <c r="Q5790" s="28" t="n">
        <f aca="false">P5790*$M5790</f>
        <v>0</v>
      </c>
      <c r="R5790" s="28"/>
      <c r="S5790" s="28" t="n">
        <f aca="false">R5790*$M5790</f>
        <v>0</v>
      </c>
      <c r="T5790" s="28"/>
      <c r="U5790" s="28" t="n">
        <f aca="false">T5790*$M5790</f>
        <v>0</v>
      </c>
      <c r="V5790" s="28"/>
      <c r="W5790" s="28" t="n">
        <f aca="false">V5790*$M5790</f>
        <v>0</v>
      </c>
      <c r="X5790" s="28"/>
      <c r="Y5790" s="28" t="n">
        <f aca="false">X5790*$M5790</f>
        <v>0</v>
      </c>
      <c r="Z5790" s="28"/>
      <c r="AA5790" s="28" t="n">
        <f aca="false">Z5790*$M5790</f>
        <v>0</v>
      </c>
      <c r="AB5790" s="28"/>
      <c r="AC5790" s="28" t="n">
        <f aca="false">AB5790*$M5790</f>
        <v>0</v>
      </c>
      <c r="AD5790" s="28"/>
      <c r="AE5790" s="28" t="n">
        <f aca="false">AD5790*$M5790</f>
        <v>0</v>
      </c>
      <c r="AF5790" s="28"/>
      <c r="AG5790" s="28" t="n">
        <f aca="false">AF5790*$M5790</f>
        <v>0</v>
      </c>
      <c r="AH5790" s="28"/>
      <c r="AI5790" s="28" t="n">
        <f aca="false">AH5790*$M5790</f>
        <v>0</v>
      </c>
      <c r="AJ5790" s="28"/>
      <c r="AK5790" s="28" t="n">
        <f aca="false">AJ5790*$M5790</f>
        <v>0</v>
      </c>
      <c r="AL5790" s="28" t="n">
        <f aca="false">4108/100</f>
        <v>41.08</v>
      </c>
      <c r="AM5790" s="28" t="n">
        <v>1109</v>
      </c>
      <c r="AN5790" s="28"/>
      <c r="AO5790" s="28" t="n">
        <f aca="false">AN5790*$M5790</f>
        <v>0</v>
      </c>
      <c r="AP5790" s="28"/>
      <c r="AQ5790" s="28" t="n">
        <f aca="false">AP5790*$M5790</f>
        <v>0</v>
      </c>
      <c r="AR5790" s="28" t="n">
        <f aca="false">37084/100</f>
        <v>370.84</v>
      </c>
      <c r="AS5790" s="36" t="n">
        <v>9963</v>
      </c>
      <c r="AT5790" s="28"/>
      <c r="AU5790" s="28" t="n">
        <f aca="false">AT5790*$M5790</f>
        <v>0</v>
      </c>
      <c r="AV5790" s="28"/>
      <c r="AW5790" s="28" t="n">
        <f aca="false">AV5790*$M5790</f>
        <v>0</v>
      </c>
      <c r="AX5790" s="28"/>
      <c r="AY5790" s="28" t="n">
        <f aca="false">AX5790*$M5790</f>
        <v>0</v>
      </c>
      <c r="AZ5790" s="30" t="n">
        <f aca="false">41192/100</f>
        <v>411.92</v>
      </c>
      <c r="BA5790" s="11" t="n">
        <v>11072</v>
      </c>
      <c r="BB5790" s="31" t="n">
        <f aca="false">SUM(Q5790,S5790,U5790,W5790,Y5790,AA5790,AC5790,AE5790,AG5790,AI5790,AK5790,AM5790,AO5790,AQ5790,AS5790,AU5790,AW5790,AY5790)</f>
        <v>11072</v>
      </c>
      <c r="BC5790" s="28" t="n">
        <f aca="false">BA5790-BB5790</f>
        <v>0</v>
      </c>
      <c r="BD5790" s="32" t="n">
        <f aca="false">SUM(P5790,R5790,T5790,V5790,X5790,Z5790,AB5790,AD5790,AF5790,AH5790,AJ5790,AL5790,AN5790,AP5790,AR5790,AT5790,AV5790,AX5790)</f>
        <v>411.92</v>
      </c>
      <c r="BE5790" s="33" t="n">
        <f aca="false">AZ5790-BD5790</f>
        <v>0</v>
      </c>
      <c r="BF5790" s="34" t="n">
        <f aca="false">BD5790*M5790</f>
        <v>11121.84</v>
      </c>
      <c r="BG5790" s="35" t="n">
        <f aca="false">BA5790-BF5790</f>
        <v>-49.8399999999983</v>
      </c>
      <c r="BH5790" s="19" t="str">
        <f aca="false">IF(BG5790=0,"",IF(BG5790&lt;&gt;BA5790,"erreur de calcul",IF(BD5790&lt;&gt;0,"pas de prix",IF(M5790&lt;&gt; 0,"pas de quantité","pas de prix, ni de quantité"))))</f>
        <v>erreur de calcul</v>
      </c>
      <c r="BI5790" s="19"/>
    </row>
    <row r="5791" customFormat="false" ht="15" hidden="false" customHeight="false" outlineLevel="0" collapsed="false">
      <c r="A5791" s="0" t="n">
        <v>9</v>
      </c>
      <c r="B5791" s="8" t="s">
        <v>24</v>
      </c>
      <c r="C5791" s="9" t="s">
        <v>25</v>
      </c>
      <c r="D5791" s="9" t="s">
        <v>26</v>
      </c>
      <c r="E5791" s="10" t="n">
        <v>1789</v>
      </c>
      <c r="F5791" s="9" t="s">
        <v>27</v>
      </c>
      <c r="G5791" s="9" t="s">
        <v>27</v>
      </c>
      <c r="H5791" s="11" t="n">
        <v>23</v>
      </c>
      <c r="I5791" s="11" t="s">
        <v>251</v>
      </c>
      <c r="J5791" s="14" t="n">
        <v>6</v>
      </c>
      <c r="K5791" s="14"/>
      <c r="L5791" s="16"/>
      <c r="M5791" s="27" t="n">
        <f aca="false">J5791+(K5791/20)+(L5791/240)</f>
        <v>6</v>
      </c>
      <c r="N5791" s="17" t="s">
        <v>64</v>
      </c>
      <c r="O5791" s="11"/>
      <c r="P5791" s="28"/>
      <c r="Q5791" s="28" t="n">
        <f aca="false">P5791*$M5791</f>
        <v>0</v>
      </c>
      <c r="R5791" s="28"/>
      <c r="S5791" s="28" t="n">
        <f aca="false">R5791*$M5791</f>
        <v>0</v>
      </c>
      <c r="T5791" s="28"/>
      <c r="U5791" s="28" t="n">
        <f aca="false">T5791*$M5791</f>
        <v>0</v>
      </c>
      <c r="V5791" s="28"/>
      <c r="W5791" s="28" t="n">
        <f aca="false">V5791*$M5791</f>
        <v>0</v>
      </c>
      <c r="X5791" s="28"/>
      <c r="Y5791" s="28" t="n">
        <f aca="false">X5791*$M5791</f>
        <v>0</v>
      </c>
      <c r="Z5791" s="28"/>
      <c r="AA5791" s="28" t="n">
        <f aca="false">Z5791*$M5791</f>
        <v>0</v>
      </c>
      <c r="AB5791" s="28"/>
      <c r="AC5791" s="28" t="n">
        <f aca="false">AB5791*$M5791</f>
        <v>0</v>
      </c>
      <c r="AD5791" s="28"/>
      <c r="AE5791" s="28" t="n">
        <f aca="false">AD5791*$M5791</f>
        <v>0</v>
      </c>
      <c r="AF5791" s="28"/>
      <c r="AG5791" s="28" t="n">
        <f aca="false">AF5791*$M5791</f>
        <v>0</v>
      </c>
      <c r="AH5791" s="28"/>
      <c r="AI5791" s="28" t="n">
        <f aca="false">AH5791*$M5791</f>
        <v>0</v>
      </c>
      <c r="AJ5791" s="28"/>
      <c r="AK5791" s="28" t="n">
        <f aca="false">AJ5791*$M5791</f>
        <v>0</v>
      </c>
      <c r="AL5791" s="28"/>
      <c r="AM5791" s="28" t="n">
        <f aca="false">AL5791*$M5791</f>
        <v>0</v>
      </c>
      <c r="AN5791" s="28"/>
      <c r="AO5791" s="28" t="n">
        <f aca="false">AN5791*$M5791</f>
        <v>0</v>
      </c>
      <c r="AP5791" s="28"/>
      <c r="AQ5791" s="28" t="n">
        <f aca="false">AP5791*$M5791</f>
        <v>0</v>
      </c>
      <c r="AR5791" s="28"/>
      <c r="AS5791" s="28" t="n">
        <f aca="false">AR5791*$M5791</f>
        <v>0</v>
      </c>
      <c r="AT5791" s="28"/>
      <c r="AU5791" s="28" t="n">
        <f aca="false">AT5791*$M5791</f>
        <v>0</v>
      </c>
      <c r="AV5791" s="28"/>
      <c r="AW5791" s="28" t="n">
        <f aca="false">AV5791*$M5791</f>
        <v>0</v>
      </c>
      <c r="AX5791" s="28"/>
      <c r="AY5791" s="28" t="n">
        <f aca="false">AX5791*$M5791</f>
        <v>0</v>
      </c>
      <c r="AZ5791" s="30"/>
      <c r="BA5791" s="11"/>
      <c r="BB5791" s="31" t="n">
        <f aca="false">SUM(Q5791,S5791,U5791,W5791,Y5791,AA5791,AC5791,AE5791,AG5791,AI5791,AK5791,AM5791,AO5791,AQ5791,AS5791,AU5791,AW5791,AY5791)</f>
        <v>0</v>
      </c>
      <c r="BC5791" s="28" t="n">
        <f aca="false">BA5791-BB5791</f>
        <v>0</v>
      </c>
      <c r="BD5791" s="32" t="n">
        <f aca="false">SUM(P5791,R5791,T5791,V5791,X5791,Z5791,AB5791,AD5791,AF5791,AH5791,AJ5791,AL5791,AN5791,AP5791,AR5791,AT5791,AV5791,AX5791)</f>
        <v>0</v>
      </c>
      <c r="BE5791" s="33" t="n">
        <f aca="false">AZ5791-BD5791</f>
        <v>0</v>
      </c>
      <c r="BF5791" s="34" t="n">
        <f aca="false">BD5791*M5791</f>
        <v>0</v>
      </c>
      <c r="BG5791" s="35" t="n">
        <f aca="false">BA5791-BF5791</f>
        <v>0</v>
      </c>
      <c r="BH5791" s="19" t="str">
        <f aca="false">IF(BG5791=0,"",IF(BG5791&lt;&gt;BA5791,"erreur de calcul",IF(BD5791&lt;&gt;0,"pas de prix",IF(M5791&lt;&gt; 0,"pas de quantité","pas de prix, ni de quantité"))))</f>
        <v/>
      </c>
      <c r="BI5791" s="19"/>
    </row>
    <row r="5792" customFormat="false" ht="15" hidden="false" customHeight="false" outlineLevel="0" collapsed="false">
      <c r="A5792" s="0" t="n">
        <v>10</v>
      </c>
      <c r="B5792" s="8" t="s">
        <v>24</v>
      </c>
      <c r="C5792" s="9" t="s">
        <v>25</v>
      </c>
      <c r="D5792" s="9" t="s">
        <v>26</v>
      </c>
      <c r="E5792" s="10" t="n">
        <v>1789</v>
      </c>
      <c r="F5792" s="9" t="s">
        <v>27</v>
      </c>
      <c r="G5792" s="9" t="s">
        <v>27</v>
      </c>
      <c r="H5792" s="11" t="n">
        <v>23</v>
      </c>
      <c r="I5792" s="11" t="s">
        <v>252</v>
      </c>
      <c r="J5792" s="14" t="n">
        <v>240</v>
      </c>
      <c r="K5792" s="14"/>
      <c r="L5792" s="16"/>
      <c r="M5792" s="27" t="n">
        <f aca="false">J5792+(K5792/20)+(L5792/240)</f>
        <v>240</v>
      </c>
      <c r="N5792" s="17" t="s">
        <v>64</v>
      </c>
      <c r="O5792" s="11"/>
      <c r="P5792" s="28"/>
      <c r="Q5792" s="28" t="n">
        <f aca="false">P5792*$M5792</f>
        <v>0</v>
      </c>
      <c r="R5792" s="28"/>
      <c r="S5792" s="28" t="n">
        <f aca="false">R5792*$M5792</f>
        <v>0</v>
      </c>
      <c r="T5792" s="28" t="n">
        <f aca="false">4204/100</f>
        <v>42.04</v>
      </c>
      <c r="U5792" s="28" t="n">
        <v>10090</v>
      </c>
      <c r="V5792" s="28" t="n">
        <f aca="false">2799/100</f>
        <v>27.99</v>
      </c>
      <c r="W5792" s="28" t="n">
        <v>6718</v>
      </c>
      <c r="X5792" s="28" t="n">
        <f aca="false">2536/100</f>
        <v>25.36</v>
      </c>
      <c r="Y5792" s="28" t="n">
        <v>6086</v>
      </c>
      <c r="Z5792" s="28" t="n">
        <f aca="false">3393/100</f>
        <v>33.93</v>
      </c>
      <c r="AA5792" s="28" t="n">
        <v>8143</v>
      </c>
      <c r="AB5792" s="28" t="n">
        <f aca="false">242/100</f>
        <v>2.42</v>
      </c>
      <c r="AC5792" s="28" t="n">
        <v>581</v>
      </c>
      <c r="AD5792" s="28"/>
      <c r="AE5792" s="28" t="n">
        <f aca="false">AD5792*$M5792</f>
        <v>0</v>
      </c>
      <c r="AF5792" s="28"/>
      <c r="AG5792" s="28" t="n">
        <f aca="false">AF5792*$M5792</f>
        <v>0</v>
      </c>
      <c r="AH5792" s="28"/>
      <c r="AI5792" s="28" t="n">
        <f aca="false">AH5792*$M5792</f>
        <v>0</v>
      </c>
      <c r="AJ5792" s="28"/>
      <c r="AK5792" s="28" t="n">
        <f aca="false">AJ5792*$M5792</f>
        <v>0</v>
      </c>
      <c r="AL5792" s="28"/>
      <c r="AM5792" s="28" t="n">
        <f aca="false">AL5792*$M5792</f>
        <v>0</v>
      </c>
      <c r="AN5792" s="28"/>
      <c r="AO5792" s="28" t="n">
        <f aca="false">AN5792*$M5792</f>
        <v>0</v>
      </c>
      <c r="AP5792" s="28"/>
      <c r="AQ5792" s="28" t="n">
        <f aca="false">AP5792*$M5792</f>
        <v>0</v>
      </c>
      <c r="AR5792" s="28"/>
      <c r="AS5792" s="28" t="n">
        <f aca="false">AR5792*$M5792</f>
        <v>0</v>
      </c>
      <c r="AT5792" s="28"/>
      <c r="AU5792" s="28" t="n">
        <f aca="false">AT5792*$M5792</f>
        <v>0</v>
      </c>
      <c r="AV5792" s="28"/>
      <c r="AW5792" s="28" t="n">
        <f aca="false">AV5792*$M5792</f>
        <v>0</v>
      </c>
      <c r="AX5792" s="28"/>
      <c r="AY5792" s="28" t="n">
        <f aca="false">AX5792*$M5792</f>
        <v>0</v>
      </c>
      <c r="AZ5792" s="30" t="n">
        <f aca="false">13174/100</f>
        <v>131.74</v>
      </c>
      <c r="BA5792" s="11" t="n">
        <v>31618</v>
      </c>
      <c r="BB5792" s="31" t="n">
        <f aca="false">SUM(Q5792,S5792,U5792,W5792,Y5792,AA5792,AC5792,AE5792,AG5792,AI5792,AK5792,AM5792,AO5792,AQ5792,AS5792,AU5792,AW5792,AY5792)</f>
        <v>31618</v>
      </c>
      <c r="BC5792" s="28" t="n">
        <f aca="false">BA5792-BB5792</f>
        <v>0</v>
      </c>
      <c r="BD5792" s="32" t="n">
        <f aca="false">SUM(P5792,R5792,T5792,V5792,X5792,Z5792,AB5792,AD5792,AF5792,AH5792,AJ5792,AL5792,AN5792,AP5792,AR5792,AT5792,AV5792,AX5792)</f>
        <v>131.74</v>
      </c>
      <c r="BE5792" s="33" t="n">
        <f aca="false">AZ5792-BD5792</f>
        <v>0</v>
      </c>
      <c r="BF5792" s="34" t="n">
        <f aca="false">BD5792*M5792</f>
        <v>31617.6</v>
      </c>
      <c r="BG5792" s="35" t="n">
        <f aca="false">BA5792-BF5792</f>
        <v>0.399999999997817</v>
      </c>
      <c r="BH5792" s="19" t="str">
        <f aca="false">IF(BG5792=0,"",IF(BG5792&lt;&gt;BA5792,"erreur de calcul",IF(BD5792&lt;&gt;0,"pas de prix",IF(M5792&lt;&gt; 0,"pas de quantité","pas de prix, ni de quantité"))))</f>
        <v>erreur de calcul</v>
      </c>
      <c r="BI5792" s="19"/>
    </row>
    <row r="5793" customFormat="false" ht="15" hidden="false" customHeight="false" outlineLevel="0" collapsed="false">
      <c r="A5793" s="0" t="n">
        <v>11</v>
      </c>
      <c r="B5793" s="8" t="s">
        <v>24</v>
      </c>
      <c r="C5793" s="9" t="s">
        <v>25</v>
      </c>
      <c r="D5793" s="9" t="s">
        <v>26</v>
      </c>
      <c r="E5793" s="10" t="n">
        <v>1789</v>
      </c>
      <c r="F5793" s="9" t="s">
        <v>27</v>
      </c>
      <c r="G5793" s="9" t="s">
        <v>27</v>
      </c>
      <c r="H5793" s="11" t="n">
        <v>23</v>
      </c>
      <c r="I5793" s="11" t="s">
        <v>253</v>
      </c>
      <c r="J5793" s="14" t="n">
        <v>190</v>
      </c>
      <c r="K5793" s="14"/>
      <c r="L5793" s="16"/>
      <c r="M5793" s="27" t="n">
        <f aca="false">J5793+(K5793/20)+(L5793/240)</f>
        <v>190</v>
      </c>
      <c r="N5793" s="17" t="s">
        <v>64</v>
      </c>
      <c r="O5793" s="11"/>
      <c r="P5793" s="28"/>
      <c r="Q5793" s="28" t="n">
        <f aca="false">P5793*$M5793</f>
        <v>0</v>
      </c>
      <c r="R5793" s="28"/>
      <c r="S5793" s="28" t="n">
        <f aca="false">R5793*$M5793</f>
        <v>0</v>
      </c>
      <c r="T5793" s="28"/>
      <c r="U5793" s="28" t="n">
        <f aca="false">T5793*$M5793</f>
        <v>0</v>
      </c>
      <c r="V5793" s="28" t="n">
        <f aca="false">14963/100</f>
        <v>149.63</v>
      </c>
      <c r="W5793" s="36" t="n">
        <v>28420</v>
      </c>
      <c r="X5793" s="28"/>
      <c r="Y5793" s="28" t="n">
        <f aca="false">X5793*$M5793</f>
        <v>0</v>
      </c>
      <c r="Z5793" s="28"/>
      <c r="AA5793" s="28" t="n">
        <f aca="false">Z5793*$M5793</f>
        <v>0</v>
      </c>
      <c r="AB5793" s="28"/>
      <c r="AC5793" s="28" t="n">
        <f aca="false">AB5793*$M5793</f>
        <v>0</v>
      </c>
      <c r="AD5793" s="28"/>
      <c r="AE5793" s="28" t="n">
        <f aca="false">AD5793*$M5793</f>
        <v>0</v>
      </c>
      <c r="AF5793" s="28"/>
      <c r="AG5793" s="28" t="n">
        <f aca="false">AF5793*$M5793</f>
        <v>0</v>
      </c>
      <c r="AH5793" s="28"/>
      <c r="AI5793" s="28" t="n">
        <f aca="false">AH5793*$M5793</f>
        <v>0</v>
      </c>
      <c r="AJ5793" s="28"/>
      <c r="AK5793" s="28" t="n">
        <f aca="false">AJ5793*$M5793</f>
        <v>0</v>
      </c>
      <c r="AL5793" s="28"/>
      <c r="AM5793" s="28" t="n">
        <f aca="false">AL5793*$M5793</f>
        <v>0</v>
      </c>
      <c r="AN5793" s="28"/>
      <c r="AO5793" s="28" t="n">
        <f aca="false">AN5793*$M5793</f>
        <v>0</v>
      </c>
      <c r="AP5793" s="28"/>
      <c r="AQ5793" s="28" t="n">
        <f aca="false">AP5793*$M5793</f>
        <v>0</v>
      </c>
      <c r="AR5793" s="28"/>
      <c r="AS5793" s="28" t="n">
        <f aca="false">AR5793*$M5793</f>
        <v>0</v>
      </c>
      <c r="AT5793" s="28"/>
      <c r="AU5793" s="28" t="n">
        <f aca="false">AT5793*$M5793</f>
        <v>0</v>
      </c>
      <c r="AV5793" s="28"/>
      <c r="AW5793" s="28" t="n">
        <f aca="false">AV5793*$M5793</f>
        <v>0</v>
      </c>
      <c r="AX5793" s="28"/>
      <c r="AY5793" s="28" t="n">
        <f aca="false">AX5793*$M5793</f>
        <v>0</v>
      </c>
      <c r="AZ5793" s="30" t="n">
        <f aca="false">14963/100</f>
        <v>149.63</v>
      </c>
      <c r="BA5793" s="11" t="n">
        <v>28420</v>
      </c>
      <c r="BB5793" s="31" t="n">
        <f aca="false">SUM(Q5793,S5793,U5793,W5793,Y5793,AA5793,AC5793,AE5793,AG5793,AI5793,AK5793,AM5793,AO5793,AQ5793,AS5793,AU5793,AW5793,AY5793)</f>
        <v>28420</v>
      </c>
      <c r="BC5793" s="28" t="n">
        <f aca="false">BA5793-BB5793</f>
        <v>0</v>
      </c>
      <c r="BD5793" s="32" t="n">
        <f aca="false">SUM(P5793,R5793,T5793,V5793,X5793,Z5793,AB5793,AD5793,AF5793,AH5793,AJ5793,AL5793,AN5793,AP5793,AR5793,AT5793,AV5793,AX5793)</f>
        <v>149.63</v>
      </c>
      <c r="BE5793" s="33" t="n">
        <f aca="false">AZ5793-BD5793</f>
        <v>0</v>
      </c>
      <c r="BF5793" s="34" t="n">
        <f aca="false">BD5793*M5793</f>
        <v>28429.7</v>
      </c>
      <c r="BG5793" s="35" t="n">
        <f aca="false">BA5793-BF5793</f>
        <v>-9.70000000000073</v>
      </c>
      <c r="BH5793" s="19" t="str">
        <f aca="false">IF(BG5793=0,"",IF(BG5793&lt;&gt;BA5793,"erreur de calcul",IF(BD5793&lt;&gt;0,"pas de prix",IF(M5793&lt;&gt; 0,"pas de quantité","pas de prix, ni de quantité"))))</f>
        <v>erreur de calcul</v>
      </c>
      <c r="BI5793" s="19"/>
    </row>
    <row r="5794" customFormat="false" ht="15" hidden="false" customHeight="false" outlineLevel="0" collapsed="false">
      <c r="A5794" s="0" t="n">
        <v>12</v>
      </c>
      <c r="B5794" s="8" t="s">
        <v>24</v>
      </c>
      <c r="C5794" s="9" t="s">
        <v>25</v>
      </c>
      <c r="D5794" s="9" t="s">
        <v>26</v>
      </c>
      <c r="E5794" s="10" t="n">
        <v>1789</v>
      </c>
      <c r="F5794" s="9" t="s">
        <v>27</v>
      </c>
      <c r="G5794" s="9" t="s">
        <v>27</v>
      </c>
      <c r="H5794" s="11" t="n">
        <v>23</v>
      </c>
      <c r="I5794" s="11" t="s">
        <v>254</v>
      </c>
      <c r="J5794" s="14" t="n">
        <v>14</v>
      </c>
      <c r="K5794" s="14"/>
      <c r="L5794" s="16"/>
      <c r="M5794" s="27" t="n">
        <f aca="false">J5794+(K5794/20)+(L5794/240)</f>
        <v>14</v>
      </c>
      <c r="N5794" s="17" t="s">
        <v>64</v>
      </c>
      <c r="O5794" s="11"/>
      <c r="P5794" s="28"/>
      <c r="Q5794" s="28" t="n">
        <f aca="false">P5794*$M5794</f>
        <v>0</v>
      </c>
      <c r="R5794" s="28"/>
      <c r="S5794" s="28" t="n">
        <f aca="false">R5794*$M5794</f>
        <v>0</v>
      </c>
      <c r="T5794" s="28"/>
      <c r="U5794" s="28" t="n">
        <f aca="false">T5794*$M5794</f>
        <v>0</v>
      </c>
      <c r="V5794" s="28"/>
      <c r="W5794" s="28" t="n">
        <f aca="false">V5794*$M5794</f>
        <v>0</v>
      </c>
      <c r="X5794" s="28" t="n">
        <f aca="false">445483/100</f>
        <v>4454.83</v>
      </c>
      <c r="Y5794" s="28" t="n">
        <v>62368</v>
      </c>
      <c r="Z5794" s="28"/>
      <c r="AA5794" s="28" t="n">
        <f aca="false">Z5794*$M5794</f>
        <v>0</v>
      </c>
      <c r="AB5794" s="28"/>
      <c r="AC5794" s="28" t="n">
        <f aca="false">AB5794*$M5794</f>
        <v>0</v>
      </c>
      <c r="AD5794" s="28"/>
      <c r="AE5794" s="28" t="n">
        <f aca="false">AD5794*$M5794</f>
        <v>0</v>
      </c>
      <c r="AF5794" s="28"/>
      <c r="AG5794" s="28" t="n">
        <f aca="false">AF5794*$M5794</f>
        <v>0</v>
      </c>
      <c r="AH5794" s="28"/>
      <c r="AI5794" s="28" t="n">
        <f aca="false">AH5794*$M5794</f>
        <v>0</v>
      </c>
      <c r="AJ5794" s="28"/>
      <c r="AK5794" s="28" t="n">
        <f aca="false">AJ5794*$M5794</f>
        <v>0</v>
      </c>
      <c r="AL5794" s="28"/>
      <c r="AM5794" s="28" t="n">
        <f aca="false">AL5794*$M5794</f>
        <v>0</v>
      </c>
      <c r="AN5794" s="28"/>
      <c r="AO5794" s="28" t="n">
        <f aca="false">AN5794*$M5794</f>
        <v>0</v>
      </c>
      <c r="AP5794" s="28"/>
      <c r="AQ5794" s="28" t="n">
        <f aca="false">AP5794*$M5794</f>
        <v>0</v>
      </c>
      <c r="AR5794" s="28"/>
      <c r="AS5794" s="28" t="n">
        <f aca="false">AR5794*$M5794</f>
        <v>0</v>
      </c>
      <c r="AT5794" s="28"/>
      <c r="AU5794" s="28" t="n">
        <f aca="false">AT5794*$M5794</f>
        <v>0</v>
      </c>
      <c r="AV5794" s="28"/>
      <c r="AW5794" s="28" t="n">
        <f aca="false">AV5794*$M5794</f>
        <v>0</v>
      </c>
      <c r="AX5794" s="28"/>
      <c r="AY5794" s="28" t="n">
        <f aca="false">AX5794*$M5794</f>
        <v>0</v>
      </c>
      <c r="AZ5794" s="30" t="n">
        <f aca="false">445483/100</f>
        <v>4454.83</v>
      </c>
      <c r="BA5794" s="11" t="n">
        <v>62368</v>
      </c>
      <c r="BB5794" s="31" t="n">
        <f aca="false">SUM(Q5794,S5794,U5794,W5794,Y5794,AA5794,AC5794,AE5794,AG5794,AI5794,AK5794,AM5794,AO5794,AQ5794,AS5794,AU5794,AW5794,AY5794)</f>
        <v>62368</v>
      </c>
      <c r="BC5794" s="28" t="n">
        <f aca="false">BA5794-BB5794</f>
        <v>0</v>
      </c>
      <c r="BD5794" s="32" t="n">
        <f aca="false">SUM(P5794,R5794,T5794,V5794,X5794,Z5794,AB5794,AD5794,AF5794,AH5794,AJ5794,AL5794,AN5794,AP5794,AR5794,AT5794,AV5794,AX5794)</f>
        <v>4454.83</v>
      </c>
      <c r="BE5794" s="33" t="n">
        <f aca="false">AZ5794-BD5794</f>
        <v>0</v>
      </c>
      <c r="BF5794" s="34" t="n">
        <f aca="false">BD5794*M5794</f>
        <v>62367.62</v>
      </c>
      <c r="BG5794" s="35" t="n">
        <f aca="false">BA5794-BF5794</f>
        <v>0.380000000004657</v>
      </c>
      <c r="BH5794" s="19" t="str">
        <f aca="false">IF(BG5794=0,"",IF(BG5794&lt;&gt;BA5794,"erreur de calcul",IF(BD5794&lt;&gt;0,"pas de prix",IF(M5794&lt;&gt; 0,"pas de quantité","pas de prix, ni de quantité"))))</f>
        <v>erreur de calcul</v>
      </c>
      <c r="BI5794" s="19"/>
    </row>
    <row r="5795" customFormat="false" ht="15" hidden="false" customHeight="false" outlineLevel="0" collapsed="false">
      <c r="A5795" s="0" t="n">
        <v>13</v>
      </c>
      <c r="B5795" s="8" t="s">
        <v>24</v>
      </c>
      <c r="C5795" s="9" t="s">
        <v>25</v>
      </c>
      <c r="D5795" s="9" t="s">
        <v>26</v>
      </c>
      <c r="E5795" s="10" t="n">
        <v>1789</v>
      </c>
      <c r="F5795" s="9" t="s">
        <v>27</v>
      </c>
      <c r="G5795" s="9" t="s">
        <v>27</v>
      </c>
      <c r="H5795" s="11" t="n">
        <v>23</v>
      </c>
      <c r="I5795" s="11" t="s">
        <v>255</v>
      </c>
      <c r="J5795" s="14" t="n">
        <v>6</v>
      </c>
      <c r="K5795" s="14"/>
      <c r="L5795" s="16"/>
      <c r="M5795" s="27" t="n">
        <f aca="false">J5795+(K5795/20)+(L5795/240)</f>
        <v>6</v>
      </c>
      <c r="N5795" s="17" t="s">
        <v>64</v>
      </c>
      <c r="O5795" s="11"/>
      <c r="P5795" s="28"/>
      <c r="Q5795" s="28" t="n">
        <f aca="false">P5795*$M5795</f>
        <v>0</v>
      </c>
      <c r="R5795" s="28"/>
      <c r="S5795" s="28" t="n">
        <f aca="false">R5795*$M5795</f>
        <v>0</v>
      </c>
      <c r="T5795" s="28"/>
      <c r="U5795" s="28" t="n">
        <f aca="false">T5795*$M5795</f>
        <v>0</v>
      </c>
      <c r="V5795" s="28" t="n">
        <f aca="false">8263/100</f>
        <v>82.63</v>
      </c>
      <c r="W5795" s="28" t="n">
        <v>496</v>
      </c>
      <c r="X5795" s="28"/>
      <c r="Y5795" s="28" t="n">
        <f aca="false">X5795*$M5795</f>
        <v>0</v>
      </c>
      <c r="Z5795" s="28" t="n">
        <f aca="false">62695/100</f>
        <v>626.95</v>
      </c>
      <c r="AA5795" s="28" t="n">
        <v>3762</v>
      </c>
      <c r="AB5795" s="28"/>
      <c r="AC5795" s="28" t="n">
        <f aca="false">AB5795*$M5795</f>
        <v>0</v>
      </c>
      <c r="AD5795" s="28"/>
      <c r="AE5795" s="28" t="n">
        <f aca="false">AD5795*$M5795</f>
        <v>0</v>
      </c>
      <c r="AF5795" s="28"/>
      <c r="AG5795" s="28" t="n">
        <f aca="false">AF5795*$M5795</f>
        <v>0</v>
      </c>
      <c r="AH5795" s="28"/>
      <c r="AI5795" s="28" t="n">
        <f aca="false">AH5795*$M5795</f>
        <v>0</v>
      </c>
      <c r="AJ5795" s="28"/>
      <c r="AK5795" s="28" t="n">
        <f aca="false">AJ5795*$M5795</f>
        <v>0</v>
      </c>
      <c r="AL5795" s="28"/>
      <c r="AM5795" s="28" t="n">
        <f aca="false">AL5795*$M5795</f>
        <v>0</v>
      </c>
      <c r="AN5795" s="28"/>
      <c r="AO5795" s="28" t="n">
        <f aca="false">AN5795*$M5795</f>
        <v>0</v>
      </c>
      <c r="AP5795" s="28"/>
      <c r="AQ5795" s="28" t="n">
        <f aca="false">AP5795*$M5795</f>
        <v>0</v>
      </c>
      <c r="AR5795" s="28"/>
      <c r="AS5795" s="28" t="n">
        <f aca="false">AR5795*$M5795</f>
        <v>0</v>
      </c>
      <c r="AT5795" s="28"/>
      <c r="AU5795" s="28" t="n">
        <f aca="false">AT5795*$M5795</f>
        <v>0</v>
      </c>
      <c r="AV5795" s="28"/>
      <c r="AW5795" s="28" t="n">
        <f aca="false">AV5795*$M5795</f>
        <v>0</v>
      </c>
      <c r="AX5795" s="28"/>
      <c r="AY5795" s="28" t="n">
        <f aca="false">AX5795*$M5795</f>
        <v>0</v>
      </c>
      <c r="AZ5795" s="30" t="n">
        <f aca="false">70958/100</f>
        <v>709.58</v>
      </c>
      <c r="BA5795" s="11" t="n">
        <v>4258</v>
      </c>
      <c r="BB5795" s="31" t="n">
        <f aca="false">SUM(Q5795,S5795,U5795,W5795,Y5795,AA5795,AC5795,AE5795,AG5795,AI5795,AK5795,AM5795,AO5795,AQ5795,AS5795,AU5795,AW5795,AY5795)</f>
        <v>4258</v>
      </c>
      <c r="BC5795" s="28" t="n">
        <f aca="false">BA5795-BB5795</f>
        <v>0</v>
      </c>
      <c r="BD5795" s="32" t="n">
        <f aca="false">SUM(P5795,R5795,T5795,V5795,X5795,Z5795,AB5795,AD5795,AF5795,AH5795,AJ5795,AL5795,AN5795,AP5795,AR5795,AT5795,AV5795,AX5795)</f>
        <v>709.58</v>
      </c>
      <c r="BE5795" s="33" t="n">
        <f aca="false">AZ5795-BD5795</f>
        <v>0</v>
      </c>
      <c r="BF5795" s="34" t="n">
        <f aca="false">BD5795*M5795</f>
        <v>4257.48</v>
      </c>
      <c r="BG5795" s="35" t="n">
        <f aca="false">BA5795-BF5795</f>
        <v>0.519999999999527</v>
      </c>
      <c r="BH5795" s="19" t="str">
        <f aca="false">IF(BG5795=0,"",IF(BG5795&lt;&gt;BA5795,"erreur de calcul",IF(BD5795&lt;&gt;0,"pas de prix",IF(M5795&lt;&gt; 0,"pas de quantité","pas de prix, ni de quantité"))))</f>
        <v>erreur de calcul</v>
      </c>
      <c r="BI5795" s="19"/>
    </row>
    <row r="5796" customFormat="false" ht="15" hidden="false" customHeight="false" outlineLevel="0" collapsed="false">
      <c r="A5796" s="0" t="n">
        <v>14</v>
      </c>
      <c r="B5796" s="8" t="s">
        <v>24</v>
      </c>
      <c r="C5796" s="9" t="s">
        <v>25</v>
      </c>
      <c r="D5796" s="9" t="s">
        <v>26</v>
      </c>
      <c r="E5796" s="10" t="n">
        <v>1789</v>
      </c>
      <c r="F5796" s="9" t="s">
        <v>27</v>
      </c>
      <c r="G5796" s="9" t="s">
        <v>27</v>
      </c>
      <c r="H5796" s="11" t="n">
        <v>23</v>
      </c>
      <c r="I5796" s="11" t="s">
        <v>256</v>
      </c>
      <c r="J5796" s="14" t="n">
        <v>30</v>
      </c>
      <c r="K5796" s="14"/>
      <c r="L5796" s="16"/>
      <c r="M5796" s="27" t="n">
        <f aca="false">J5796+(K5796/20)+(L5796/240)</f>
        <v>30</v>
      </c>
      <c r="N5796" s="17" t="s">
        <v>64</v>
      </c>
      <c r="O5796" s="11"/>
      <c r="P5796" s="28" t="n">
        <f aca="false">1584/100</f>
        <v>15.84</v>
      </c>
      <c r="Q5796" s="28" t="n">
        <v>475</v>
      </c>
      <c r="R5796" s="28"/>
      <c r="S5796" s="28" t="n">
        <f aca="false">R5796*$M5796</f>
        <v>0</v>
      </c>
      <c r="T5796" s="28" t="n">
        <f aca="false">78834/100</f>
        <v>788.34</v>
      </c>
      <c r="U5796" s="28" t="n">
        <v>23650</v>
      </c>
      <c r="V5796" s="28"/>
      <c r="W5796" s="28" t="n">
        <f aca="false">V5796*$M5796</f>
        <v>0</v>
      </c>
      <c r="X5796" s="28"/>
      <c r="Y5796" s="28" t="n">
        <f aca="false">X5796*$M5796</f>
        <v>0</v>
      </c>
      <c r="Z5796" s="28"/>
      <c r="AA5796" s="28" t="n">
        <f aca="false">Z5796*$M5796</f>
        <v>0</v>
      </c>
      <c r="AB5796" s="28"/>
      <c r="AC5796" s="28" t="n">
        <f aca="false">AB5796*$M5796</f>
        <v>0</v>
      </c>
      <c r="AD5796" s="28"/>
      <c r="AE5796" s="28" t="n">
        <f aca="false">AD5796*$M5796</f>
        <v>0</v>
      </c>
      <c r="AF5796" s="28"/>
      <c r="AG5796" s="28" t="n">
        <f aca="false">AF5796*$M5796</f>
        <v>0</v>
      </c>
      <c r="AH5796" s="28"/>
      <c r="AI5796" s="28" t="n">
        <f aca="false">AH5796*$M5796</f>
        <v>0</v>
      </c>
      <c r="AJ5796" s="28"/>
      <c r="AK5796" s="28" t="n">
        <f aca="false">AJ5796*$M5796</f>
        <v>0</v>
      </c>
      <c r="AL5796" s="28"/>
      <c r="AM5796" s="28" t="n">
        <f aca="false">AL5796*$M5796</f>
        <v>0</v>
      </c>
      <c r="AN5796" s="28"/>
      <c r="AO5796" s="28" t="n">
        <f aca="false">AN5796*$M5796</f>
        <v>0</v>
      </c>
      <c r="AP5796" s="28"/>
      <c r="AQ5796" s="28" t="n">
        <f aca="false">AP5796*$M5796</f>
        <v>0</v>
      </c>
      <c r="AR5796" s="28"/>
      <c r="AS5796" s="28" t="n">
        <f aca="false">AR5796*$M5796</f>
        <v>0</v>
      </c>
      <c r="AT5796" s="28"/>
      <c r="AU5796" s="28" t="n">
        <f aca="false">AT5796*$M5796</f>
        <v>0</v>
      </c>
      <c r="AV5796" s="28"/>
      <c r="AW5796" s="28" t="n">
        <f aca="false">AV5796*$M5796</f>
        <v>0</v>
      </c>
      <c r="AX5796" s="28"/>
      <c r="AY5796" s="28" t="n">
        <f aca="false">AX5796*$M5796</f>
        <v>0</v>
      </c>
      <c r="AZ5796" s="30" t="n">
        <f aca="false">80418/100</f>
        <v>804.18</v>
      </c>
      <c r="BA5796" s="11" t="n">
        <v>24125</v>
      </c>
      <c r="BB5796" s="31" t="n">
        <f aca="false">SUM(Q5796,S5796,U5796,W5796,Y5796,AA5796,AC5796,AE5796,AG5796,AI5796,AK5796,AM5796,AO5796,AQ5796,AS5796,AU5796,AW5796,AY5796)</f>
        <v>24125</v>
      </c>
      <c r="BC5796" s="28" t="n">
        <f aca="false">BA5796-BB5796</f>
        <v>0</v>
      </c>
      <c r="BD5796" s="32" t="n">
        <f aca="false">SUM(P5796,R5796,T5796,V5796,X5796,Z5796,AB5796,AD5796,AF5796,AH5796,AJ5796,AL5796,AN5796,AP5796,AR5796,AT5796,AV5796,AX5796)</f>
        <v>804.18</v>
      </c>
      <c r="BE5796" s="33" t="n">
        <f aca="false">AZ5796-BD5796</f>
        <v>0</v>
      </c>
      <c r="BF5796" s="34" t="n">
        <f aca="false">BD5796*M5796</f>
        <v>24125.4</v>
      </c>
      <c r="BG5796" s="35" t="n">
        <f aca="false">BA5796-BF5796</f>
        <v>-0.400000000001455</v>
      </c>
      <c r="BH5796" s="19" t="str">
        <f aca="false">IF(BG5796=0,"",IF(BG5796&lt;&gt;BA5796,"erreur de calcul",IF(BD5796&lt;&gt;0,"pas de prix",IF(M5796&lt;&gt; 0,"pas de quantité","pas de prix, ni de quantité"))))</f>
        <v>erreur de calcul</v>
      </c>
      <c r="BI5796" s="19"/>
    </row>
    <row r="5797" customFormat="false" ht="15" hidden="false" customHeight="false" outlineLevel="0" collapsed="false">
      <c r="A5797" s="0" t="n">
        <v>15</v>
      </c>
      <c r="B5797" s="8" t="s">
        <v>24</v>
      </c>
      <c r="C5797" s="9" t="s">
        <v>25</v>
      </c>
      <c r="D5797" s="9" t="s">
        <v>26</v>
      </c>
      <c r="E5797" s="10" t="n">
        <v>1789</v>
      </c>
      <c r="F5797" s="9" t="s">
        <v>27</v>
      </c>
      <c r="G5797" s="9" t="s">
        <v>27</v>
      </c>
      <c r="H5797" s="11" t="n">
        <v>23</v>
      </c>
      <c r="I5797" s="11" t="s">
        <v>257</v>
      </c>
      <c r="J5797" s="14" t="n">
        <v>40</v>
      </c>
      <c r="K5797" s="14"/>
      <c r="L5797" s="16"/>
      <c r="M5797" s="27" t="n">
        <f aca="false">J5797+(K5797/20)+(L5797/240)</f>
        <v>40</v>
      </c>
      <c r="N5797" s="17" t="s">
        <v>64</v>
      </c>
      <c r="O5797" s="11"/>
      <c r="P5797" s="28"/>
      <c r="Q5797" s="28" t="n">
        <f aca="false">P5797*$M5797</f>
        <v>0</v>
      </c>
      <c r="R5797" s="28"/>
      <c r="S5797" s="28" t="n">
        <f aca="false">R5797*$M5797</f>
        <v>0</v>
      </c>
      <c r="T5797" s="28"/>
      <c r="U5797" s="28" t="n">
        <f aca="false">T5797*$M5797</f>
        <v>0</v>
      </c>
      <c r="V5797" s="28"/>
      <c r="W5797" s="28" t="n">
        <f aca="false">V5797*$M5797</f>
        <v>0</v>
      </c>
      <c r="X5797" s="28"/>
      <c r="Y5797" s="28" t="n">
        <f aca="false">X5797*$M5797</f>
        <v>0</v>
      </c>
      <c r="Z5797" s="28"/>
      <c r="AA5797" s="28" t="n">
        <f aca="false">Z5797*$M5797</f>
        <v>0</v>
      </c>
      <c r="AB5797" s="28"/>
      <c r="AC5797" s="28" t="n">
        <f aca="false">AB5797*$M5797</f>
        <v>0</v>
      </c>
      <c r="AD5797" s="28"/>
      <c r="AE5797" s="28" t="n">
        <f aca="false">AD5797*$M5797</f>
        <v>0</v>
      </c>
      <c r="AF5797" s="28"/>
      <c r="AG5797" s="28" t="n">
        <f aca="false">AF5797*$M5797</f>
        <v>0</v>
      </c>
      <c r="AH5797" s="28"/>
      <c r="AI5797" s="28" t="n">
        <f aca="false">AH5797*$M5797</f>
        <v>0</v>
      </c>
      <c r="AJ5797" s="28" t="n">
        <f aca="false">784564/100</f>
        <v>7845.64</v>
      </c>
      <c r="AK5797" s="28" t="n">
        <v>313826</v>
      </c>
      <c r="AL5797" s="28" t="n">
        <f aca="false">33500/100</f>
        <v>335</v>
      </c>
      <c r="AM5797" s="28" t="n">
        <v>13400</v>
      </c>
      <c r="AN5797" s="28"/>
      <c r="AO5797" s="28" t="n">
        <f aca="false">AN5797*$M5797</f>
        <v>0</v>
      </c>
      <c r="AP5797" s="28"/>
      <c r="AQ5797" s="28" t="n">
        <f aca="false">AP5797*$M5797</f>
        <v>0</v>
      </c>
      <c r="AR5797" s="28"/>
      <c r="AS5797" s="28" t="n">
        <f aca="false">AR5797*$M5797</f>
        <v>0</v>
      </c>
      <c r="AT5797" s="28"/>
      <c r="AU5797" s="28" t="n">
        <f aca="false">AT5797*$M5797</f>
        <v>0</v>
      </c>
      <c r="AV5797" s="28"/>
      <c r="AW5797" s="28" t="n">
        <f aca="false">AV5797*$M5797</f>
        <v>0</v>
      </c>
      <c r="AX5797" s="28"/>
      <c r="AY5797" s="28" t="n">
        <f aca="false">AX5797*$M5797</f>
        <v>0</v>
      </c>
      <c r="AZ5797" s="30" t="n">
        <f aca="false">818064/100</f>
        <v>8180.64</v>
      </c>
      <c r="BA5797" s="11" t="n">
        <v>327226</v>
      </c>
      <c r="BB5797" s="31" t="n">
        <f aca="false">SUM(Q5797,S5797,U5797,W5797,Y5797,AA5797,AC5797,AE5797,AG5797,AI5797,AK5797,AM5797,AO5797,AQ5797,AS5797,AU5797,AW5797,AY5797)</f>
        <v>327226</v>
      </c>
      <c r="BC5797" s="28" t="n">
        <f aca="false">BA5797-BB5797</f>
        <v>0</v>
      </c>
      <c r="BD5797" s="32" t="n">
        <f aca="false">SUM(P5797,R5797,T5797,V5797,X5797,Z5797,AB5797,AD5797,AF5797,AH5797,AJ5797,AL5797,AN5797,AP5797,AR5797,AT5797,AV5797,AX5797)</f>
        <v>8180.64</v>
      </c>
      <c r="BE5797" s="33" t="n">
        <f aca="false">AZ5797-BD5797</f>
        <v>0</v>
      </c>
      <c r="BF5797" s="34" t="n">
        <f aca="false">BD5797*M5797</f>
        <v>327225.6</v>
      </c>
      <c r="BG5797" s="35" t="n">
        <f aca="false">BA5797-BF5797</f>
        <v>0.399999999965075</v>
      </c>
      <c r="BH5797" s="19" t="str">
        <f aca="false">IF(BG5797=0,"",IF(BG5797&lt;&gt;BA5797,"erreur de calcul",IF(BD5797&lt;&gt;0,"pas de prix",IF(M5797&lt;&gt; 0,"pas de quantité","pas de prix, ni de quantité"))))</f>
        <v>erreur de calcul</v>
      </c>
      <c r="BI5797" s="19"/>
    </row>
    <row r="5798" customFormat="false" ht="15" hidden="false" customHeight="false" outlineLevel="0" collapsed="false">
      <c r="A5798" s="0" t="n">
        <v>16</v>
      </c>
      <c r="B5798" s="8" t="s">
        <v>24</v>
      </c>
      <c r="C5798" s="9" t="s">
        <v>25</v>
      </c>
      <c r="D5798" s="9" t="s">
        <v>26</v>
      </c>
      <c r="E5798" s="10" t="n">
        <v>1789</v>
      </c>
      <c r="F5798" s="9" t="s">
        <v>27</v>
      </c>
      <c r="G5798" s="9" t="s">
        <v>27</v>
      </c>
      <c r="H5798" s="11" t="n">
        <v>23</v>
      </c>
      <c r="I5798" s="11" t="s">
        <v>258</v>
      </c>
      <c r="J5798" s="14" t="n">
        <v>75</v>
      </c>
      <c r="K5798" s="14"/>
      <c r="L5798" s="16"/>
      <c r="M5798" s="27" t="n">
        <f aca="false">J5798+(K5798/20)+(L5798/240)</f>
        <v>75</v>
      </c>
      <c r="N5798" s="17" t="s">
        <v>64</v>
      </c>
      <c r="O5798" s="11"/>
      <c r="P5798" s="28"/>
      <c r="Q5798" s="28" t="n">
        <f aca="false">P5798*$M5798</f>
        <v>0</v>
      </c>
      <c r="R5798" s="28"/>
      <c r="S5798" s="28" t="n">
        <f aca="false">R5798*$M5798</f>
        <v>0</v>
      </c>
      <c r="T5798" s="28" t="n">
        <f aca="false">1000/100</f>
        <v>10</v>
      </c>
      <c r="U5798" s="28" t="n">
        <v>750</v>
      </c>
      <c r="V5798" s="28" t="n">
        <f aca="false">17232/100</f>
        <v>172.32</v>
      </c>
      <c r="W5798" s="28" t="n">
        <v>12924</v>
      </c>
      <c r="X5798" s="28" t="n">
        <f aca="false">942/100</f>
        <v>9.42</v>
      </c>
      <c r="Y5798" s="28" t="n">
        <v>706</v>
      </c>
      <c r="Z5798" s="28"/>
      <c r="AA5798" s="28" t="n">
        <f aca="false">Z5798*$M5798</f>
        <v>0</v>
      </c>
      <c r="AB5798" s="28" t="n">
        <f aca="false">415/100</f>
        <v>4.15</v>
      </c>
      <c r="AC5798" s="28" t="n">
        <v>311</v>
      </c>
      <c r="AD5798" s="28"/>
      <c r="AE5798" s="28" t="n">
        <f aca="false">AD5798*$M5798</f>
        <v>0</v>
      </c>
      <c r="AF5798" s="28"/>
      <c r="AG5798" s="28" t="n">
        <f aca="false">AF5798*$M5798</f>
        <v>0</v>
      </c>
      <c r="AH5798" s="28"/>
      <c r="AI5798" s="28" t="n">
        <f aca="false">AH5798*$M5798</f>
        <v>0</v>
      </c>
      <c r="AJ5798" s="28"/>
      <c r="AK5798" s="28" t="n">
        <f aca="false">AJ5798*$M5798</f>
        <v>0</v>
      </c>
      <c r="AL5798" s="28"/>
      <c r="AM5798" s="28" t="n">
        <f aca="false">AL5798*$M5798</f>
        <v>0</v>
      </c>
      <c r="AN5798" s="28"/>
      <c r="AO5798" s="28" t="n">
        <f aca="false">AN5798*$M5798</f>
        <v>0</v>
      </c>
      <c r="AP5798" s="28"/>
      <c r="AQ5798" s="28" t="n">
        <f aca="false">AP5798*$M5798</f>
        <v>0</v>
      </c>
      <c r="AR5798" s="28"/>
      <c r="AS5798" s="28" t="n">
        <f aca="false">AR5798*$M5798</f>
        <v>0</v>
      </c>
      <c r="AT5798" s="28"/>
      <c r="AU5798" s="28" t="n">
        <f aca="false">AT5798*$M5798</f>
        <v>0</v>
      </c>
      <c r="AV5798" s="28"/>
      <c r="AW5798" s="28" t="n">
        <f aca="false">AV5798*$M5798</f>
        <v>0</v>
      </c>
      <c r="AX5798" s="28"/>
      <c r="AY5798" s="28" t="n">
        <f aca="false">AX5798*$M5798</f>
        <v>0</v>
      </c>
      <c r="AZ5798" s="30" t="n">
        <f aca="false">19589/100</f>
        <v>195.89</v>
      </c>
      <c r="BA5798" s="11" t="n">
        <v>14691</v>
      </c>
      <c r="BB5798" s="31" t="n">
        <f aca="false">SUM(Q5798,S5798,U5798,W5798,Y5798,AA5798,AC5798,AE5798,AG5798,AI5798,AK5798,AM5798,AO5798,AQ5798,AS5798,AU5798,AW5798,AY5798)</f>
        <v>14691</v>
      </c>
      <c r="BC5798" s="28" t="n">
        <f aca="false">BA5798-BB5798</f>
        <v>0</v>
      </c>
      <c r="BD5798" s="32" t="n">
        <f aca="false">SUM(P5798,R5798,T5798,V5798,X5798,Z5798,AB5798,AD5798,AF5798,AH5798,AJ5798,AL5798,AN5798,AP5798,AR5798,AT5798,AV5798,AX5798)</f>
        <v>195.89</v>
      </c>
      <c r="BE5798" s="33" t="n">
        <f aca="false">AZ5798-BD5798</f>
        <v>0</v>
      </c>
      <c r="BF5798" s="34" t="n">
        <f aca="false">BD5798*M5798</f>
        <v>14691.75</v>
      </c>
      <c r="BG5798" s="35" t="n">
        <f aca="false">BA5798-BF5798</f>
        <v>-0.749999999998181</v>
      </c>
      <c r="BH5798" s="19" t="str">
        <f aca="false">IF(BG5798=0,"",IF(BG5798&lt;&gt;BA5798,"erreur de calcul",IF(BD5798&lt;&gt;0,"pas de prix",IF(M5798&lt;&gt; 0,"pas de quantité","pas de prix, ni de quantité"))))</f>
        <v>erreur de calcul</v>
      </c>
      <c r="BI5798" s="19"/>
    </row>
    <row r="5799" customFormat="false" ht="15" hidden="false" customHeight="false" outlineLevel="0" collapsed="false">
      <c r="A5799" s="0" t="n">
        <v>17</v>
      </c>
      <c r="B5799" s="8" t="s">
        <v>24</v>
      </c>
      <c r="C5799" s="9" t="s">
        <v>25</v>
      </c>
      <c r="D5799" s="9" t="s">
        <v>26</v>
      </c>
      <c r="E5799" s="10" t="n">
        <v>1789</v>
      </c>
      <c r="F5799" s="9" t="s">
        <v>27</v>
      </c>
      <c r="G5799" s="9" t="s">
        <v>27</v>
      </c>
      <c r="H5799" s="11" t="n">
        <v>23</v>
      </c>
      <c r="I5799" s="11" t="s">
        <v>259</v>
      </c>
      <c r="J5799" s="14"/>
      <c r="K5799" s="14"/>
      <c r="L5799" s="16"/>
      <c r="M5799" s="27" t="n">
        <f aca="false">J5799+(K5799/20)+(L5799/240)</f>
        <v>0</v>
      </c>
      <c r="N5799" s="17"/>
      <c r="O5799" s="11"/>
      <c r="P5799" s="28"/>
      <c r="Q5799" s="28" t="n">
        <v>957</v>
      </c>
      <c r="R5799" s="28"/>
      <c r="S5799" s="28" t="n">
        <f aca="false">R5799*$M5799</f>
        <v>0</v>
      </c>
      <c r="T5799" s="28"/>
      <c r="U5799" s="28" t="n">
        <v>354</v>
      </c>
      <c r="V5799" s="28"/>
      <c r="W5799" s="28" t="n">
        <v>398</v>
      </c>
      <c r="X5799" s="28"/>
      <c r="Y5799" s="28" t="n">
        <v>685</v>
      </c>
      <c r="Z5799" s="28"/>
      <c r="AA5799" s="28" t="n">
        <v>120</v>
      </c>
      <c r="AB5799" s="28"/>
      <c r="AC5799" s="28" t="n">
        <v>2994</v>
      </c>
      <c r="AD5799" s="28"/>
      <c r="AE5799" s="28" t="n">
        <f aca="false">AD5799*$M5799</f>
        <v>0</v>
      </c>
      <c r="AF5799" s="28"/>
      <c r="AG5799" s="28" t="n">
        <f aca="false">AF5799*$M5799</f>
        <v>0</v>
      </c>
      <c r="AH5799" s="28"/>
      <c r="AI5799" s="28" t="n">
        <v>144</v>
      </c>
      <c r="AJ5799" s="28"/>
      <c r="AK5799" s="28" t="n">
        <f aca="false">AJ5799*$M5799</f>
        <v>0</v>
      </c>
      <c r="AL5799" s="28"/>
      <c r="AM5799" s="28" t="n">
        <f aca="false">AL5799*$M5799</f>
        <v>0</v>
      </c>
      <c r="AN5799" s="28"/>
      <c r="AO5799" s="28" t="n">
        <f aca="false">AN5799*$M5799</f>
        <v>0</v>
      </c>
      <c r="AP5799" s="28"/>
      <c r="AQ5799" s="28" t="n">
        <f aca="false">AP5799*$M5799</f>
        <v>0</v>
      </c>
      <c r="AR5799" s="28"/>
      <c r="AS5799" s="28" t="n">
        <f aca="false">AR5799*$M5799</f>
        <v>0</v>
      </c>
      <c r="AT5799" s="28"/>
      <c r="AU5799" s="28" t="n">
        <f aca="false">AT5799*$M5799</f>
        <v>0</v>
      </c>
      <c r="AV5799" s="28"/>
      <c r="AW5799" s="28" t="n">
        <f aca="false">AV5799*$M5799</f>
        <v>0</v>
      </c>
      <c r="AX5799" s="28"/>
      <c r="AY5799" s="28" t="n">
        <f aca="false">AX5799*$M5799</f>
        <v>0</v>
      </c>
      <c r="AZ5799" s="30"/>
      <c r="BA5799" s="11" t="n">
        <v>5652</v>
      </c>
      <c r="BB5799" s="31" t="n">
        <f aca="false">SUM(Q5799,S5799,U5799,W5799,Y5799,AA5799,AC5799,AE5799,AG5799,AI5799,AK5799,AM5799,AO5799,AQ5799,AS5799,AU5799,AW5799,AY5799)</f>
        <v>5652</v>
      </c>
      <c r="BC5799" s="28" t="n">
        <f aca="false">BA5799-BB5799</f>
        <v>0</v>
      </c>
      <c r="BD5799" s="32" t="n">
        <f aca="false">SUM(P5799,R5799,T5799,V5799,X5799,Z5799,AB5799,AD5799,AF5799,AH5799,AJ5799,AL5799,AN5799,AP5799,AR5799,AT5799,AV5799,AX5799)</f>
        <v>0</v>
      </c>
      <c r="BE5799" s="33" t="n">
        <f aca="false">AZ5799-BD5799</f>
        <v>0</v>
      </c>
      <c r="BF5799" s="34" t="n">
        <f aca="false">BD5799*M5799</f>
        <v>0</v>
      </c>
      <c r="BG5799" s="35" t="n">
        <f aca="false">BA5799-BF5799</f>
        <v>5652</v>
      </c>
      <c r="BH5799" s="19" t="str">
        <f aca="false">IF(BG5799=0,"",IF(BG5799&lt;&gt;BA5799,"erreur de calcul",IF(BD5799&lt;&gt;0,"pas de prix",IF(M5799&lt;&gt; 0,"pas de quantité","pas de prix, ni de quantité"))))</f>
        <v>pas de prix, ni de quantité</v>
      </c>
      <c r="BI5799" s="19"/>
    </row>
    <row r="5800" customFormat="false" ht="15" hidden="false" customHeight="false" outlineLevel="0" collapsed="false">
      <c r="A5800" s="0" t="n">
        <v>18</v>
      </c>
      <c r="B5800" s="8" t="s">
        <v>24</v>
      </c>
      <c r="C5800" s="9" t="s">
        <v>25</v>
      </c>
      <c r="D5800" s="9" t="s">
        <v>26</v>
      </c>
      <c r="E5800" s="10" t="n">
        <v>1789</v>
      </c>
      <c r="F5800" s="9" t="s">
        <v>27</v>
      </c>
      <c r="G5800" s="9" t="s">
        <v>27</v>
      </c>
      <c r="H5800" s="11" t="n">
        <v>23</v>
      </c>
      <c r="I5800" s="11" t="s">
        <v>260</v>
      </c>
      <c r="J5800" s="14" t="n">
        <v>88</v>
      </c>
      <c r="K5800" s="14"/>
      <c r="L5800" s="16"/>
      <c r="M5800" s="27" t="n">
        <f aca="false">J5800+(K5800/20)+(L5800/240)</f>
        <v>88</v>
      </c>
      <c r="N5800" s="17" t="s">
        <v>64</v>
      </c>
      <c r="O5800" s="11"/>
      <c r="P5800" s="28"/>
      <c r="Q5800" s="28" t="n">
        <f aca="false">P5800*$M5800</f>
        <v>0</v>
      </c>
      <c r="R5800" s="28"/>
      <c r="S5800" s="28" t="n">
        <f aca="false">R5800*$M5800</f>
        <v>0</v>
      </c>
      <c r="T5800" s="28"/>
      <c r="U5800" s="28" t="n">
        <f aca="false">T5800*$M5800</f>
        <v>0</v>
      </c>
      <c r="V5800" s="28" t="n">
        <f aca="false">21004/100</f>
        <v>210.04</v>
      </c>
      <c r="W5800" s="28" t="n">
        <v>18483</v>
      </c>
      <c r="X5800" s="28"/>
      <c r="Y5800" s="28" t="n">
        <f aca="false">X5800*$M5800</f>
        <v>0</v>
      </c>
      <c r="Z5800" s="28"/>
      <c r="AA5800" s="28" t="n">
        <f aca="false">Z5800*$M5800</f>
        <v>0</v>
      </c>
      <c r="AB5800" s="28"/>
      <c r="AC5800" s="28" t="n">
        <f aca="false">AB5800*$M5800</f>
        <v>0</v>
      </c>
      <c r="AD5800" s="28"/>
      <c r="AE5800" s="28" t="n">
        <f aca="false">AD5800*$M5800</f>
        <v>0</v>
      </c>
      <c r="AF5800" s="28"/>
      <c r="AG5800" s="28" t="n">
        <f aca="false">AF5800*$M5800</f>
        <v>0</v>
      </c>
      <c r="AH5800" s="28"/>
      <c r="AI5800" s="28" t="n">
        <f aca="false">AH5800*$M5800</f>
        <v>0</v>
      </c>
      <c r="AJ5800" s="28"/>
      <c r="AK5800" s="28" t="n">
        <f aca="false">AJ5800*$M5800</f>
        <v>0</v>
      </c>
      <c r="AL5800" s="28"/>
      <c r="AM5800" s="28" t="n">
        <f aca="false">AL5800*$M5800</f>
        <v>0</v>
      </c>
      <c r="AN5800" s="28"/>
      <c r="AO5800" s="28" t="n">
        <f aca="false">AN5800*$M5800</f>
        <v>0</v>
      </c>
      <c r="AP5800" s="28"/>
      <c r="AQ5800" s="28" t="n">
        <f aca="false">AP5800*$M5800</f>
        <v>0</v>
      </c>
      <c r="AR5800" s="28"/>
      <c r="AS5800" s="28" t="n">
        <f aca="false">AR5800*$M5800</f>
        <v>0</v>
      </c>
      <c r="AT5800" s="28"/>
      <c r="AU5800" s="28" t="n">
        <f aca="false">AT5800*$M5800</f>
        <v>0</v>
      </c>
      <c r="AV5800" s="28"/>
      <c r="AW5800" s="28" t="n">
        <f aca="false">AV5800*$M5800</f>
        <v>0</v>
      </c>
      <c r="AX5800" s="28"/>
      <c r="AY5800" s="28" t="n">
        <f aca="false">AX5800*$M5800</f>
        <v>0</v>
      </c>
      <c r="AZ5800" s="30" t="n">
        <f aca="false">21004/100</f>
        <v>210.04</v>
      </c>
      <c r="BA5800" s="11" t="n">
        <v>18483</v>
      </c>
      <c r="BB5800" s="31" t="n">
        <f aca="false">SUM(Q5800,S5800,U5800,W5800,Y5800,AA5800,AC5800,AE5800,AG5800,AI5800,AK5800,AM5800,AO5800,AQ5800,AS5800,AU5800,AW5800,AY5800)</f>
        <v>18483</v>
      </c>
      <c r="BC5800" s="28" t="n">
        <f aca="false">BA5800-BB5800</f>
        <v>0</v>
      </c>
      <c r="BD5800" s="32" t="n">
        <f aca="false">SUM(P5800,R5800,T5800,V5800,X5800,Z5800,AB5800,AD5800,AF5800,AH5800,AJ5800,AL5800,AN5800,AP5800,AR5800,AT5800,AV5800,AX5800)</f>
        <v>210.04</v>
      </c>
      <c r="BE5800" s="33" t="n">
        <f aca="false">AZ5800-BD5800</f>
        <v>0</v>
      </c>
      <c r="BF5800" s="34" t="n">
        <f aca="false">BD5800*M5800</f>
        <v>18483.52</v>
      </c>
      <c r="BG5800" s="35" t="n">
        <f aca="false">BA5800-BF5800</f>
        <v>-0.520000000000437</v>
      </c>
      <c r="BH5800" s="19" t="str">
        <f aca="false">IF(BG5800=0,"",IF(BG5800&lt;&gt;BA5800,"erreur de calcul",IF(BD5800&lt;&gt;0,"pas de prix",IF(M5800&lt;&gt; 0,"pas de quantité","pas de prix, ni de quantité"))))</f>
        <v>erreur de calcul</v>
      </c>
      <c r="BI5800" s="19"/>
    </row>
    <row r="5801" customFormat="false" ht="15" hidden="false" customHeight="false" outlineLevel="0" collapsed="false">
      <c r="A5801" s="0" t="n">
        <v>19</v>
      </c>
      <c r="B5801" s="8" t="s">
        <v>24</v>
      </c>
      <c r="C5801" s="9" t="s">
        <v>25</v>
      </c>
      <c r="D5801" s="9" t="s">
        <v>26</v>
      </c>
      <c r="E5801" s="10" t="n">
        <v>1789</v>
      </c>
      <c r="F5801" s="9" t="s">
        <v>27</v>
      </c>
      <c r="G5801" s="9" t="s">
        <v>27</v>
      </c>
      <c r="H5801" s="11" t="n">
        <v>23</v>
      </c>
      <c r="I5801" s="11" t="s">
        <v>261</v>
      </c>
      <c r="J5801" s="14" t="n">
        <v>35</v>
      </c>
      <c r="K5801" s="14"/>
      <c r="L5801" s="16"/>
      <c r="M5801" s="27" t="n">
        <f aca="false">J5801+(K5801/20)+(L5801/240)</f>
        <v>35</v>
      </c>
      <c r="N5801" s="17" t="s">
        <v>64</v>
      </c>
      <c r="O5801" s="11"/>
      <c r="P5801" s="28" t="n">
        <f aca="false">2877/100</f>
        <v>28.77</v>
      </c>
      <c r="Q5801" s="28" t="n">
        <v>1007</v>
      </c>
      <c r="R5801" s="28"/>
      <c r="S5801" s="28" t="n">
        <f aca="false">R5801*$M5801</f>
        <v>0</v>
      </c>
      <c r="T5801" s="28"/>
      <c r="U5801" s="28" t="n">
        <f aca="false">T5801*$M5801</f>
        <v>0</v>
      </c>
      <c r="V5801" s="28"/>
      <c r="W5801" s="28" t="n">
        <f aca="false">V5801*$M5801</f>
        <v>0</v>
      </c>
      <c r="X5801" s="28"/>
      <c r="Y5801" s="28" t="n">
        <f aca="false">X5801*$M5801</f>
        <v>0</v>
      </c>
      <c r="Z5801" s="28"/>
      <c r="AA5801" s="28" t="n">
        <f aca="false">Z5801*$M5801</f>
        <v>0</v>
      </c>
      <c r="AB5801" s="28"/>
      <c r="AC5801" s="28" t="n">
        <f aca="false">AB5801*$M5801</f>
        <v>0</v>
      </c>
      <c r="AD5801" s="28"/>
      <c r="AE5801" s="28" t="n">
        <f aca="false">AD5801*$M5801</f>
        <v>0</v>
      </c>
      <c r="AF5801" s="28"/>
      <c r="AG5801" s="28" t="n">
        <f aca="false">AF5801*$M5801</f>
        <v>0</v>
      </c>
      <c r="AH5801" s="28"/>
      <c r="AI5801" s="28" t="n">
        <f aca="false">AH5801*$M5801</f>
        <v>0</v>
      </c>
      <c r="AJ5801" s="28"/>
      <c r="AK5801" s="28" t="n">
        <f aca="false">AJ5801*$M5801</f>
        <v>0</v>
      </c>
      <c r="AL5801" s="28"/>
      <c r="AM5801" s="28" t="n">
        <f aca="false">AL5801*$M5801</f>
        <v>0</v>
      </c>
      <c r="AN5801" s="28"/>
      <c r="AO5801" s="28" t="n">
        <f aca="false">AN5801*$M5801</f>
        <v>0</v>
      </c>
      <c r="AP5801" s="28"/>
      <c r="AQ5801" s="28" t="n">
        <f aca="false">AP5801*$M5801</f>
        <v>0</v>
      </c>
      <c r="AR5801" s="28"/>
      <c r="AS5801" s="28" t="n">
        <f aca="false">AR5801*$M5801</f>
        <v>0</v>
      </c>
      <c r="AT5801" s="28"/>
      <c r="AU5801" s="28" t="n">
        <f aca="false">AT5801*$M5801</f>
        <v>0</v>
      </c>
      <c r="AV5801" s="28"/>
      <c r="AW5801" s="28" t="n">
        <f aca="false">AV5801*$M5801</f>
        <v>0</v>
      </c>
      <c r="AX5801" s="28"/>
      <c r="AY5801" s="28" t="n">
        <f aca="false">AX5801*$M5801</f>
        <v>0</v>
      </c>
      <c r="AZ5801" s="30" t="n">
        <f aca="false">2877/100</f>
        <v>28.77</v>
      </c>
      <c r="BA5801" s="11" t="n">
        <v>1007</v>
      </c>
      <c r="BB5801" s="31" t="n">
        <f aca="false">SUM(Q5801,S5801,U5801,W5801,Y5801,AA5801,AC5801,AE5801,AG5801,AI5801,AK5801,AM5801,AO5801,AQ5801,AS5801,AU5801,AW5801,AY5801)</f>
        <v>1007</v>
      </c>
      <c r="BC5801" s="28" t="n">
        <f aca="false">BA5801-BB5801</f>
        <v>0</v>
      </c>
      <c r="BD5801" s="32" t="n">
        <f aca="false">SUM(P5801,R5801,T5801,V5801,X5801,Z5801,AB5801,AD5801,AF5801,AH5801,AJ5801,AL5801,AN5801,AP5801,AR5801,AT5801,AV5801,AX5801)</f>
        <v>28.77</v>
      </c>
      <c r="BE5801" s="33" t="n">
        <f aca="false">AZ5801-BD5801</f>
        <v>0</v>
      </c>
      <c r="BF5801" s="34" t="n">
        <f aca="false">BD5801*M5801</f>
        <v>1006.95</v>
      </c>
      <c r="BG5801" s="35" t="n">
        <f aca="false">BA5801-BF5801</f>
        <v>0.0500000000000682</v>
      </c>
      <c r="BH5801" s="19" t="str">
        <f aca="false">IF(BG5801=0,"",IF(BG5801&lt;&gt;BA5801,"erreur de calcul",IF(BD5801&lt;&gt;0,"pas de prix",IF(M5801&lt;&gt; 0,"pas de quantité","pas de prix, ni de quantité"))))</f>
        <v>erreur de calcul</v>
      </c>
      <c r="BI5801" s="19"/>
    </row>
    <row r="5802" customFormat="false" ht="15" hidden="false" customHeight="false" outlineLevel="0" collapsed="false">
      <c r="A5802" s="0" t="n">
        <v>20</v>
      </c>
      <c r="B5802" s="8" t="s">
        <v>24</v>
      </c>
      <c r="C5802" s="9" t="s">
        <v>25</v>
      </c>
      <c r="D5802" s="9" t="s">
        <v>26</v>
      </c>
      <c r="E5802" s="10" t="n">
        <v>1789</v>
      </c>
      <c r="F5802" s="9" t="s">
        <v>27</v>
      </c>
      <c r="G5802" s="9" t="s">
        <v>27</v>
      </c>
      <c r="H5802" s="11" t="n">
        <v>23</v>
      </c>
      <c r="I5802" s="11" t="s">
        <v>262</v>
      </c>
      <c r="J5802" s="14" t="n">
        <v>40</v>
      </c>
      <c r="K5802" s="14"/>
      <c r="L5802" s="16"/>
      <c r="M5802" s="27" t="n">
        <f aca="false">J5802+(K5802/20)+(L5802/240)</f>
        <v>40</v>
      </c>
      <c r="N5802" s="17" t="s">
        <v>64</v>
      </c>
      <c r="O5802" s="11"/>
      <c r="P5802" s="28"/>
      <c r="Q5802" s="28" t="n">
        <f aca="false">P5802*$M5802</f>
        <v>0</v>
      </c>
      <c r="R5802" s="28"/>
      <c r="S5802" s="28" t="n">
        <f aca="false">R5802*$M5802</f>
        <v>0</v>
      </c>
      <c r="T5802" s="28"/>
      <c r="U5802" s="28" t="n">
        <f aca="false">T5802*$M5802</f>
        <v>0</v>
      </c>
      <c r="V5802" s="28"/>
      <c r="W5802" s="28" t="n">
        <f aca="false">V5802*$M5802</f>
        <v>0</v>
      </c>
      <c r="X5802" s="28"/>
      <c r="Y5802" s="28" t="n">
        <f aca="false">X5802*$M5802</f>
        <v>0</v>
      </c>
      <c r="Z5802" s="28"/>
      <c r="AA5802" s="28" t="n">
        <f aca="false">Z5802*$M5802</f>
        <v>0</v>
      </c>
      <c r="AB5802" s="28"/>
      <c r="AC5802" s="28" t="n">
        <f aca="false">AB5802*$M5802</f>
        <v>0</v>
      </c>
      <c r="AD5802" s="28"/>
      <c r="AE5802" s="28" t="n">
        <f aca="false">AD5802*$M5802</f>
        <v>0</v>
      </c>
      <c r="AF5802" s="28" t="n">
        <f aca="false">108620/100</f>
        <v>1086.2</v>
      </c>
      <c r="AG5802" s="28" t="n">
        <v>43448</v>
      </c>
      <c r="AH5802" s="28"/>
      <c r="AI5802" s="28" t="n">
        <f aca="false">AH5802*$M5802</f>
        <v>0</v>
      </c>
      <c r="AJ5802" s="28"/>
      <c r="AK5802" s="28" t="n">
        <f aca="false">AJ5802*$M5802</f>
        <v>0</v>
      </c>
      <c r="AL5802" s="28"/>
      <c r="AM5802" s="28" t="n">
        <f aca="false">AL5802*$M5802</f>
        <v>0</v>
      </c>
      <c r="AN5802" s="28"/>
      <c r="AO5802" s="28" t="n">
        <f aca="false">AN5802*$M5802</f>
        <v>0</v>
      </c>
      <c r="AP5802" s="28"/>
      <c r="AQ5802" s="28" t="n">
        <f aca="false">AP5802*$M5802</f>
        <v>0</v>
      </c>
      <c r="AR5802" s="28"/>
      <c r="AS5802" s="28" t="n">
        <f aca="false">AR5802*$M5802</f>
        <v>0</v>
      </c>
      <c r="AT5802" s="28"/>
      <c r="AU5802" s="28" t="n">
        <f aca="false">AT5802*$M5802</f>
        <v>0</v>
      </c>
      <c r="AV5802" s="28"/>
      <c r="AW5802" s="28" t="n">
        <f aca="false">AV5802*$M5802</f>
        <v>0</v>
      </c>
      <c r="AX5802" s="28"/>
      <c r="AY5802" s="28" t="n">
        <f aca="false">AX5802*$M5802</f>
        <v>0</v>
      </c>
      <c r="AZ5802" s="30" t="n">
        <f aca="false">108620/100</f>
        <v>1086.2</v>
      </c>
      <c r="BA5802" s="11" t="n">
        <v>43448</v>
      </c>
      <c r="BB5802" s="31" t="n">
        <f aca="false">SUM(Q5802,S5802,U5802,W5802,Y5802,AA5802,AC5802,AE5802,AG5802,AI5802,AK5802,AM5802,AO5802,AQ5802,AS5802,AU5802,AW5802,AY5802)</f>
        <v>43448</v>
      </c>
      <c r="BC5802" s="28" t="n">
        <f aca="false">BA5802-BB5802</f>
        <v>0</v>
      </c>
      <c r="BD5802" s="32" t="n">
        <f aca="false">SUM(P5802,R5802,T5802,V5802,X5802,Z5802,AB5802,AD5802,AF5802,AH5802,AJ5802,AL5802,AN5802,AP5802,AR5802,AT5802,AV5802,AX5802)</f>
        <v>1086.2</v>
      </c>
      <c r="BE5802" s="33" t="n">
        <f aca="false">AZ5802-BD5802</f>
        <v>0</v>
      </c>
      <c r="BF5802" s="34" t="n">
        <f aca="false">BD5802*M5802</f>
        <v>43448</v>
      </c>
      <c r="BG5802" s="35" t="n">
        <f aca="false">BA5802-BF5802</f>
        <v>0</v>
      </c>
      <c r="BH5802" s="19" t="str">
        <f aca="false">IF(BG5802=0,"",IF(BG5802&lt;&gt;BA5802,"erreur de calcul",IF(BD5802&lt;&gt;0,"pas de prix",IF(M5802&lt;&gt; 0,"pas de quantité","pas de prix, ni de quantité"))))</f>
        <v/>
      </c>
      <c r="BI5802" s="19"/>
    </row>
    <row r="5803" customFormat="false" ht="15" hidden="false" customHeight="false" outlineLevel="0" collapsed="false">
      <c r="A5803" s="0" t="n">
        <v>21</v>
      </c>
      <c r="B5803" s="8" t="s">
        <v>24</v>
      </c>
      <c r="C5803" s="9" t="s">
        <v>25</v>
      </c>
      <c r="D5803" s="9" t="s">
        <v>26</v>
      </c>
      <c r="E5803" s="10" t="n">
        <v>1789</v>
      </c>
      <c r="F5803" s="9" t="s">
        <v>27</v>
      </c>
      <c r="G5803" s="9" t="s">
        <v>27</v>
      </c>
      <c r="H5803" s="11" t="n">
        <v>23</v>
      </c>
      <c r="I5803" s="11" t="s">
        <v>263</v>
      </c>
      <c r="J5803" s="14" t="n">
        <v>12</v>
      </c>
      <c r="K5803" s="14"/>
      <c r="L5803" s="16"/>
      <c r="M5803" s="27" t="n">
        <f aca="false">J5803+(K5803/20)+(L5803/240)</f>
        <v>12</v>
      </c>
      <c r="N5803" s="17" t="s">
        <v>64</v>
      </c>
      <c r="O5803" s="11"/>
      <c r="P5803" s="28"/>
      <c r="Q5803" s="28" t="n">
        <f aca="false">P5803*$M5803</f>
        <v>0</v>
      </c>
      <c r="R5803" s="28"/>
      <c r="S5803" s="28" t="n">
        <f aca="false">R5803*$M5803</f>
        <v>0</v>
      </c>
      <c r="T5803" s="28"/>
      <c r="U5803" s="28" t="n">
        <f aca="false">T5803*$M5803</f>
        <v>0</v>
      </c>
      <c r="V5803" s="28"/>
      <c r="W5803" s="28" t="n">
        <f aca="false">V5803*$M5803</f>
        <v>0</v>
      </c>
      <c r="X5803" s="28"/>
      <c r="Y5803" s="28" t="n">
        <f aca="false">X5803*$M5803</f>
        <v>0</v>
      </c>
      <c r="Z5803" s="28"/>
      <c r="AA5803" s="28" t="n">
        <f aca="false">Z5803*$M5803</f>
        <v>0</v>
      </c>
      <c r="AB5803" s="28" t="n">
        <f aca="false">485726/100</f>
        <v>4857.26</v>
      </c>
      <c r="AC5803" s="28" t="n">
        <v>58287</v>
      </c>
      <c r="AD5803" s="28"/>
      <c r="AE5803" s="28" t="n">
        <f aca="false">AD5803*$M5803</f>
        <v>0</v>
      </c>
      <c r="AF5803" s="28"/>
      <c r="AG5803" s="28" t="n">
        <f aca="false">AF5803*$M5803</f>
        <v>0</v>
      </c>
      <c r="AH5803" s="28" t="n">
        <f aca="false">259291/100</f>
        <v>2592.91</v>
      </c>
      <c r="AI5803" s="28" t="n">
        <v>31115</v>
      </c>
      <c r="AJ5803" s="28"/>
      <c r="AK5803" s="28" t="n">
        <f aca="false">AJ5803*$M5803</f>
        <v>0</v>
      </c>
      <c r="AL5803" s="28"/>
      <c r="AM5803" s="28" t="n">
        <f aca="false">AL5803*$M5803</f>
        <v>0</v>
      </c>
      <c r="AN5803" s="28"/>
      <c r="AO5803" s="28" t="n">
        <f aca="false">AN5803*$M5803</f>
        <v>0</v>
      </c>
      <c r="AP5803" s="28"/>
      <c r="AQ5803" s="28" t="n">
        <f aca="false">AP5803*$M5803</f>
        <v>0</v>
      </c>
      <c r="AR5803" s="28"/>
      <c r="AS5803" s="28" t="n">
        <f aca="false">AR5803*$M5803</f>
        <v>0</v>
      </c>
      <c r="AT5803" s="28"/>
      <c r="AU5803" s="28" t="n">
        <f aca="false">AT5803*$M5803</f>
        <v>0</v>
      </c>
      <c r="AV5803" s="28"/>
      <c r="AW5803" s="28" t="n">
        <f aca="false">AV5803*$M5803</f>
        <v>0</v>
      </c>
      <c r="AX5803" s="28"/>
      <c r="AY5803" s="28" t="n">
        <f aca="false">AX5803*$M5803</f>
        <v>0</v>
      </c>
      <c r="AZ5803" s="30" t="n">
        <f aca="false">745017/100</f>
        <v>7450.17</v>
      </c>
      <c r="BA5803" s="11" t="n">
        <v>89402</v>
      </c>
      <c r="BB5803" s="31" t="n">
        <f aca="false">SUM(Q5803,S5803,U5803,W5803,Y5803,AA5803,AC5803,AE5803,AG5803,AI5803,AK5803,AM5803,AO5803,AQ5803,AS5803,AU5803,AW5803,AY5803)</f>
        <v>89402</v>
      </c>
      <c r="BC5803" s="28" t="n">
        <f aca="false">BA5803-BB5803</f>
        <v>0</v>
      </c>
      <c r="BD5803" s="32" t="n">
        <f aca="false">SUM(P5803,R5803,T5803,V5803,X5803,Z5803,AB5803,AD5803,AF5803,AH5803,AJ5803,AL5803,AN5803,AP5803,AR5803,AT5803,AV5803,AX5803)</f>
        <v>7450.17</v>
      </c>
      <c r="BE5803" s="33" t="n">
        <f aca="false">AZ5803-BD5803</f>
        <v>0</v>
      </c>
      <c r="BF5803" s="34" t="n">
        <f aca="false">BD5803*M5803</f>
        <v>89402.04</v>
      </c>
      <c r="BG5803" s="35" t="n">
        <f aca="false">BA5803-BF5803</f>
        <v>-0.0400000000081491</v>
      </c>
      <c r="BH5803" s="19" t="str">
        <f aca="false">IF(BG5803=0,"",IF(BG5803&lt;&gt;BA5803,"erreur de calcul",IF(BD5803&lt;&gt;0,"pas de prix",IF(M5803&lt;&gt; 0,"pas de quantité","pas de prix, ni de quantité"))))</f>
        <v>erreur de calcul</v>
      </c>
      <c r="BI5803" s="19"/>
    </row>
    <row r="5804" customFormat="false" ht="15" hidden="false" customHeight="false" outlineLevel="0" collapsed="false">
      <c r="A5804" s="0" t="n">
        <v>22</v>
      </c>
      <c r="B5804" s="8" t="s">
        <v>24</v>
      </c>
      <c r="C5804" s="9" t="s">
        <v>25</v>
      </c>
      <c r="D5804" s="9" t="s">
        <v>26</v>
      </c>
      <c r="E5804" s="10" t="n">
        <v>1789</v>
      </c>
      <c r="F5804" s="9" t="s">
        <v>27</v>
      </c>
      <c r="G5804" s="9" t="s">
        <v>27</v>
      </c>
      <c r="H5804" s="11" t="n">
        <v>23</v>
      </c>
      <c r="I5804" s="11" t="s">
        <v>264</v>
      </c>
      <c r="J5804" s="14" t="n">
        <v>15</v>
      </c>
      <c r="K5804" s="14"/>
      <c r="L5804" s="16"/>
      <c r="M5804" s="27" t="n">
        <f aca="false">J5804+(K5804/20)+(L5804/240)</f>
        <v>15</v>
      </c>
      <c r="N5804" s="17" t="s">
        <v>64</v>
      </c>
      <c r="O5804" s="11"/>
      <c r="P5804" s="28"/>
      <c r="Q5804" s="28" t="n">
        <f aca="false">P5804*$M5804</f>
        <v>0</v>
      </c>
      <c r="R5804" s="28"/>
      <c r="S5804" s="28" t="n">
        <f aca="false">R5804*$M5804</f>
        <v>0</v>
      </c>
      <c r="T5804" s="28"/>
      <c r="U5804" s="28" t="n">
        <f aca="false">T5804*$M5804</f>
        <v>0</v>
      </c>
      <c r="V5804" s="28"/>
      <c r="W5804" s="28" t="n">
        <f aca="false">V5804*$M5804</f>
        <v>0</v>
      </c>
      <c r="X5804" s="28" t="n">
        <f aca="false">65502/100</f>
        <v>655.02</v>
      </c>
      <c r="Y5804" s="28" t="n">
        <v>9825</v>
      </c>
      <c r="Z5804" s="28"/>
      <c r="AA5804" s="28" t="n">
        <f aca="false">Z5804*$M5804</f>
        <v>0</v>
      </c>
      <c r="AB5804" s="28" t="n">
        <f aca="false">207046/100</f>
        <v>2070.46</v>
      </c>
      <c r="AC5804" s="28" t="n">
        <v>31057</v>
      </c>
      <c r="AD5804" s="28"/>
      <c r="AE5804" s="28" t="n">
        <f aca="false">AD5804*$M5804</f>
        <v>0</v>
      </c>
      <c r="AF5804" s="28"/>
      <c r="AG5804" s="28" t="n">
        <f aca="false">AF5804*$M5804</f>
        <v>0</v>
      </c>
      <c r="AH5804" s="28" t="n">
        <f aca="false">11048/100</f>
        <v>110.48</v>
      </c>
      <c r="AI5804" s="28" t="n">
        <v>1657</v>
      </c>
      <c r="AJ5804" s="28"/>
      <c r="AK5804" s="28" t="n">
        <f aca="false">AJ5804*$M5804</f>
        <v>0</v>
      </c>
      <c r="AL5804" s="28"/>
      <c r="AM5804" s="28" t="n">
        <f aca="false">AL5804*$M5804</f>
        <v>0</v>
      </c>
      <c r="AN5804" s="28"/>
      <c r="AO5804" s="28" t="n">
        <f aca="false">AN5804*$M5804</f>
        <v>0</v>
      </c>
      <c r="AP5804" s="28"/>
      <c r="AQ5804" s="28" t="n">
        <f aca="false">AP5804*$M5804</f>
        <v>0</v>
      </c>
      <c r="AR5804" s="28"/>
      <c r="AS5804" s="28" t="n">
        <f aca="false">AR5804*$M5804</f>
        <v>0</v>
      </c>
      <c r="AT5804" s="28"/>
      <c r="AU5804" s="28" t="n">
        <f aca="false">AT5804*$M5804</f>
        <v>0</v>
      </c>
      <c r="AV5804" s="28"/>
      <c r="AW5804" s="28" t="n">
        <f aca="false">AV5804*$M5804</f>
        <v>0</v>
      </c>
      <c r="AX5804" s="28"/>
      <c r="AY5804" s="28" t="n">
        <f aca="false">AX5804*$M5804</f>
        <v>0</v>
      </c>
      <c r="AZ5804" s="30" t="n">
        <f aca="false">283596/100</f>
        <v>2835.96</v>
      </c>
      <c r="BA5804" s="11" t="n">
        <v>42539</v>
      </c>
      <c r="BB5804" s="31" t="n">
        <f aca="false">SUM(Q5804,S5804,U5804,W5804,Y5804,AA5804,AC5804,AE5804,AG5804,AI5804,AK5804,AM5804,AO5804,AQ5804,AS5804,AU5804,AW5804,AY5804)</f>
        <v>42539</v>
      </c>
      <c r="BC5804" s="28" t="n">
        <f aca="false">BA5804-BB5804</f>
        <v>0</v>
      </c>
      <c r="BD5804" s="32" t="n">
        <f aca="false">SUM(P5804,R5804,T5804,V5804,X5804,Z5804,AB5804,AD5804,AF5804,AH5804,AJ5804,AL5804,AN5804,AP5804,AR5804,AT5804,AV5804,AX5804)</f>
        <v>2835.96</v>
      </c>
      <c r="BE5804" s="33" t="n">
        <f aca="false">AZ5804-BD5804</f>
        <v>0</v>
      </c>
      <c r="BF5804" s="34" t="n">
        <f aca="false">BD5804*M5804</f>
        <v>42539.4</v>
      </c>
      <c r="BG5804" s="35" t="n">
        <f aca="false">BA5804-BF5804</f>
        <v>-0.400000000001455</v>
      </c>
      <c r="BH5804" s="19" t="str">
        <f aca="false">IF(BG5804=0,"",IF(BG5804&lt;&gt;BA5804,"erreur de calcul",IF(BD5804&lt;&gt;0,"pas de prix",IF(M5804&lt;&gt; 0,"pas de quantité","pas de prix, ni de quantité"))))</f>
        <v>erreur de calcul</v>
      </c>
      <c r="BI5804" s="19"/>
    </row>
    <row r="5805" customFormat="false" ht="15" hidden="false" customHeight="false" outlineLevel="0" collapsed="false">
      <c r="A5805" s="0" t="n">
        <v>23</v>
      </c>
      <c r="B5805" s="8" t="s">
        <v>24</v>
      </c>
      <c r="C5805" s="9" t="s">
        <v>25</v>
      </c>
      <c r="D5805" s="9" t="s">
        <v>26</v>
      </c>
      <c r="E5805" s="10" t="n">
        <v>1789</v>
      </c>
      <c r="F5805" s="9" t="s">
        <v>27</v>
      </c>
      <c r="G5805" s="9" t="s">
        <v>27</v>
      </c>
      <c r="H5805" s="11" t="n">
        <v>23</v>
      </c>
      <c r="I5805" s="11" t="s">
        <v>265</v>
      </c>
      <c r="J5805" s="14"/>
      <c r="K5805" s="14" t="n">
        <v>40</v>
      </c>
      <c r="L5805" s="16"/>
      <c r="M5805" s="27" t="n">
        <f aca="false">J5805+(K5805/20)+(L5805/240)</f>
        <v>2</v>
      </c>
      <c r="N5805" s="17" t="s">
        <v>66</v>
      </c>
      <c r="O5805" s="11"/>
      <c r="P5805" s="28"/>
      <c r="Q5805" s="28" t="n">
        <f aca="false">P5805*$M5805</f>
        <v>0</v>
      </c>
      <c r="R5805" s="28"/>
      <c r="S5805" s="28" t="n">
        <f aca="false">R5805*$M5805</f>
        <v>0</v>
      </c>
      <c r="T5805" s="28"/>
      <c r="U5805" s="28" t="n">
        <f aca="false">T5805*$M5805</f>
        <v>0</v>
      </c>
      <c r="V5805" s="28" t="n">
        <v>6275</v>
      </c>
      <c r="W5805" s="28" t="n">
        <v>12550</v>
      </c>
      <c r="X5805" s="28" t="n">
        <v>8662</v>
      </c>
      <c r="Y5805" s="28" t="n">
        <v>17324</v>
      </c>
      <c r="Z5805" s="28"/>
      <c r="AA5805" s="28" t="n">
        <f aca="false">Z5805*$M5805</f>
        <v>0</v>
      </c>
      <c r="AB5805" s="28" t="n">
        <v>2196</v>
      </c>
      <c r="AC5805" s="28" t="n">
        <v>4392</v>
      </c>
      <c r="AD5805" s="28"/>
      <c r="AE5805" s="28" t="n">
        <f aca="false">AD5805*$M5805</f>
        <v>0</v>
      </c>
      <c r="AF5805" s="28"/>
      <c r="AG5805" s="28" t="n">
        <f aca="false">AF5805*$M5805</f>
        <v>0</v>
      </c>
      <c r="AH5805" s="28"/>
      <c r="AI5805" s="28" t="n">
        <f aca="false">AH5805*$M5805</f>
        <v>0</v>
      </c>
      <c r="AJ5805" s="28"/>
      <c r="AK5805" s="28" t="n">
        <f aca="false">AJ5805*$M5805</f>
        <v>0</v>
      </c>
      <c r="AL5805" s="28"/>
      <c r="AM5805" s="28" t="n">
        <f aca="false">AL5805*$M5805</f>
        <v>0</v>
      </c>
      <c r="AN5805" s="28"/>
      <c r="AO5805" s="28" t="n">
        <f aca="false">AN5805*$M5805</f>
        <v>0</v>
      </c>
      <c r="AP5805" s="28"/>
      <c r="AQ5805" s="28" t="n">
        <f aca="false">AP5805*$M5805</f>
        <v>0</v>
      </c>
      <c r="AR5805" s="28"/>
      <c r="AS5805" s="28" t="n">
        <f aca="false">AR5805*$M5805</f>
        <v>0</v>
      </c>
      <c r="AT5805" s="28"/>
      <c r="AU5805" s="28" t="n">
        <f aca="false">AT5805*$M5805</f>
        <v>0</v>
      </c>
      <c r="AV5805" s="28"/>
      <c r="AW5805" s="28" t="n">
        <f aca="false">AV5805*$M5805</f>
        <v>0</v>
      </c>
      <c r="AX5805" s="28"/>
      <c r="AY5805" s="28" t="n">
        <f aca="false">AX5805*$M5805</f>
        <v>0</v>
      </c>
      <c r="AZ5805" s="30" t="n">
        <v>17133</v>
      </c>
      <c r="BA5805" s="11" t="n">
        <v>34266</v>
      </c>
      <c r="BB5805" s="31" t="n">
        <f aca="false">SUM(Q5805,S5805,U5805,W5805,Y5805,AA5805,AC5805,AE5805,AG5805,AI5805,AK5805,AM5805,AO5805,AQ5805,AS5805,AU5805,AW5805,AY5805)</f>
        <v>34266</v>
      </c>
      <c r="BC5805" s="28" t="n">
        <f aca="false">BA5805-BB5805</f>
        <v>0</v>
      </c>
      <c r="BD5805" s="32" t="n">
        <f aca="false">SUM(P5805,R5805,T5805,V5805,X5805,Z5805,AB5805,AD5805,AF5805,AH5805,AJ5805,AL5805,AN5805,AP5805,AR5805,AT5805,AV5805,AX5805)</f>
        <v>17133</v>
      </c>
      <c r="BE5805" s="33" t="n">
        <f aca="false">AZ5805-BD5805</f>
        <v>0</v>
      </c>
      <c r="BF5805" s="34" t="n">
        <f aca="false">BD5805*M5805</f>
        <v>34266</v>
      </c>
      <c r="BG5805" s="35" t="n">
        <f aca="false">BA5805-BF5805</f>
        <v>0</v>
      </c>
      <c r="BH5805" s="19" t="str">
        <f aca="false">IF(BG5805=0,"",IF(BG5805&lt;&gt;BA5805,"erreur de calcul",IF(BD5805&lt;&gt;0,"pas de prix",IF(M5805&lt;&gt; 0,"pas de quantité","pas de prix, ni de quantité"))))</f>
        <v/>
      </c>
      <c r="BI5805" s="19"/>
    </row>
    <row r="5806" customFormat="false" ht="15" hidden="false" customHeight="false" outlineLevel="0" collapsed="false">
      <c r="A5806" s="0" t="n">
        <v>24</v>
      </c>
      <c r="B5806" s="8" t="s">
        <v>24</v>
      </c>
      <c r="C5806" s="9" t="s">
        <v>25</v>
      </c>
      <c r="D5806" s="9" t="s">
        <v>26</v>
      </c>
      <c r="E5806" s="10" t="n">
        <v>1789</v>
      </c>
      <c r="F5806" s="9" t="s">
        <v>27</v>
      </c>
      <c r="G5806" s="9" t="s">
        <v>27</v>
      </c>
      <c r="H5806" s="11" t="n">
        <v>23</v>
      </c>
      <c r="I5806" s="11" t="s">
        <v>266</v>
      </c>
      <c r="J5806" s="14" t="n">
        <v>17</v>
      </c>
      <c r="K5806" s="14" t="n">
        <v>10</v>
      </c>
      <c r="L5806" s="16"/>
      <c r="M5806" s="27" t="n">
        <f aca="false">J5806+(K5806/20)+(L5806/240)</f>
        <v>17.5</v>
      </c>
      <c r="N5806" s="17" t="s">
        <v>64</v>
      </c>
      <c r="O5806" s="11"/>
      <c r="P5806" s="28" t="n">
        <f aca="false">147621/100</f>
        <v>1476.21</v>
      </c>
      <c r="Q5806" s="28" t="n">
        <v>25834</v>
      </c>
      <c r="R5806" s="28"/>
      <c r="S5806" s="28" t="n">
        <f aca="false">R5806*$M5806</f>
        <v>0</v>
      </c>
      <c r="T5806" s="28"/>
      <c r="U5806" s="28" t="n">
        <f aca="false">T5806*$M5806</f>
        <v>0</v>
      </c>
      <c r="V5806" s="28"/>
      <c r="W5806" s="28" t="n">
        <f aca="false">V5806*$M5806</f>
        <v>0</v>
      </c>
      <c r="X5806" s="28" t="n">
        <f aca="false">7220/100</f>
        <v>72.2</v>
      </c>
      <c r="Y5806" s="28" t="n">
        <v>1263</v>
      </c>
      <c r="Z5806" s="28"/>
      <c r="AA5806" s="28" t="n">
        <f aca="false">Z5806*$M5806</f>
        <v>0</v>
      </c>
      <c r="AB5806" s="28" t="n">
        <f aca="false">524444/100</f>
        <v>5244.44</v>
      </c>
      <c r="AC5806" s="36" t="n">
        <v>91767</v>
      </c>
      <c r="AD5806" s="28"/>
      <c r="AE5806" s="28" t="n">
        <f aca="false">AD5806*$M5806</f>
        <v>0</v>
      </c>
      <c r="AF5806" s="28"/>
      <c r="AG5806" s="28" t="n">
        <f aca="false">AF5806*$M5806</f>
        <v>0</v>
      </c>
      <c r="AH5806" s="28" t="n">
        <f aca="false">124394/100</f>
        <v>1243.94</v>
      </c>
      <c r="AI5806" s="28" t="n">
        <v>21769</v>
      </c>
      <c r="AJ5806" s="28"/>
      <c r="AK5806" s="28" t="n">
        <f aca="false">AJ5806*$M5806</f>
        <v>0</v>
      </c>
      <c r="AL5806" s="28"/>
      <c r="AM5806" s="28" t="n">
        <f aca="false">AL5806*$M5806</f>
        <v>0</v>
      </c>
      <c r="AN5806" s="28"/>
      <c r="AO5806" s="28" t="n">
        <f aca="false">AN5806*$M5806</f>
        <v>0</v>
      </c>
      <c r="AP5806" s="28"/>
      <c r="AQ5806" s="28" t="n">
        <f aca="false">AP5806*$M5806</f>
        <v>0</v>
      </c>
      <c r="AR5806" s="28"/>
      <c r="AS5806" s="28" t="n">
        <f aca="false">AR5806*$M5806</f>
        <v>0</v>
      </c>
      <c r="AT5806" s="28"/>
      <c r="AU5806" s="28" t="n">
        <f aca="false">AT5806*$M5806</f>
        <v>0</v>
      </c>
      <c r="AV5806" s="28"/>
      <c r="AW5806" s="28" t="n">
        <f aca="false">AV5806*$M5806</f>
        <v>0</v>
      </c>
      <c r="AX5806" s="28"/>
      <c r="AY5806" s="28" t="n">
        <f aca="false">AX5806*$M5806</f>
        <v>0</v>
      </c>
      <c r="AZ5806" s="30" t="n">
        <f aca="false">803679/100</f>
        <v>8036.79</v>
      </c>
      <c r="BA5806" s="11" t="n">
        <v>140633</v>
      </c>
      <c r="BB5806" s="31" t="n">
        <f aca="false">SUM(Q5806,S5806,U5806,W5806,Y5806,AA5806,AC5806,AE5806,AG5806,AI5806,AK5806,AM5806,AO5806,AQ5806,AS5806,AU5806,AW5806,AY5806)</f>
        <v>140633</v>
      </c>
      <c r="BC5806" s="28" t="n">
        <f aca="false">BA5806-BB5806</f>
        <v>0</v>
      </c>
      <c r="BD5806" s="32" t="n">
        <f aca="false">SUM(P5806,R5806,T5806,V5806,X5806,Z5806,AB5806,AD5806,AF5806,AH5806,AJ5806,AL5806,AN5806,AP5806,AR5806,AT5806,AV5806,AX5806)</f>
        <v>8036.79</v>
      </c>
      <c r="BE5806" s="33" t="n">
        <f aca="false">AZ5806-BD5806</f>
        <v>0</v>
      </c>
      <c r="BF5806" s="34" t="n">
        <f aca="false">BD5806*M5806</f>
        <v>140643.825</v>
      </c>
      <c r="BG5806" s="35" t="n">
        <f aca="false">BA5806-BF5806</f>
        <v>-10.8249999999825</v>
      </c>
      <c r="BH5806" s="19" t="str">
        <f aca="false">IF(BG5806=0,"",IF(BG5806&lt;&gt;BA5806,"erreur de calcul",IF(BD5806&lt;&gt;0,"pas de prix",IF(M5806&lt;&gt; 0,"pas de quantité","pas de prix, ni de quantité"))))</f>
        <v>erreur de calcul</v>
      </c>
      <c r="BI5806" s="19"/>
    </row>
    <row r="5807" customFormat="false" ht="15" hidden="false" customHeight="false" outlineLevel="0" collapsed="false">
      <c r="A5807" s="0" t="n">
        <v>25</v>
      </c>
      <c r="B5807" s="8" t="s">
        <v>24</v>
      </c>
      <c r="C5807" s="9" t="s">
        <v>25</v>
      </c>
      <c r="D5807" s="9" t="s">
        <v>26</v>
      </c>
      <c r="E5807" s="10" t="n">
        <v>1789</v>
      </c>
      <c r="F5807" s="9" t="s">
        <v>27</v>
      </c>
      <c r="G5807" s="9" t="s">
        <v>27</v>
      </c>
      <c r="H5807" s="11" t="n">
        <v>23</v>
      </c>
      <c r="I5807" s="11" t="s">
        <v>267</v>
      </c>
      <c r="J5807" s="14" t="n">
        <v>25</v>
      </c>
      <c r="K5807" s="14"/>
      <c r="L5807" s="16"/>
      <c r="M5807" s="27" t="n">
        <f aca="false">J5807+(K5807/20)+(L5807/240)</f>
        <v>25</v>
      </c>
      <c r="N5807" s="17" t="s">
        <v>64</v>
      </c>
      <c r="O5807" s="11"/>
      <c r="P5807" s="28"/>
      <c r="Q5807" s="28" t="n">
        <f aca="false">P5807*$M5807</f>
        <v>0</v>
      </c>
      <c r="R5807" s="28"/>
      <c r="S5807" s="28" t="n">
        <f aca="false">R5807*$M5807</f>
        <v>0</v>
      </c>
      <c r="T5807" s="28"/>
      <c r="U5807" s="28" t="n">
        <f aca="false">T5807*$M5807</f>
        <v>0</v>
      </c>
      <c r="V5807" s="28"/>
      <c r="W5807" s="28" t="n">
        <f aca="false">V5807*$M5807</f>
        <v>0</v>
      </c>
      <c r="X5807" s="28"/>
      <c r="Y5807" s="28" t="n">
        <f aca="false">X5807*$M5807</f>
        <v>0</v>
      </c>
      <c r="Z5807" s="28"/>
      <c r="AA5807" s="28" t="n">
        <f aca="false">Z5807*$M5807</f>
        <v>0</v>
      </c>
      <c r="AB5807" s="28" t="n">
        <f aca="false">136004/100</f>
        <v>1360.04</v>
      </c>
      <c r="AC5807" s="28" t="n">
        <v>34001</v>
      </c>
      <c r="AD5807" s="28"/>
      <c r="AE5807" s="28" t="n">
        <f aca="false">AD5807*$M5807</f>
        <v>0</v>
      </c>
      <c r="AF5807" s="28"/>
      <c r="AG5807" s="28" t="n">
        <f aca="false">AF5807*$M5807</f>
        <v>0</v>
      </c>
      <c r="AH5807" s="28" t="n">
        <f aca="false">173052/100</f>
        <v>1730.52</v>
      </c>
      <c r="AI5807" s="28" t="n">
        <v>43263</v>
      </c>
      <c r="AJ5807" s="28"/>
      <c r="AK5807" s="28" t="n">
        <f aca="false">AJ5807*$M5807</f>
        <v>0</v>
      </c>
      <c r="AL5807" s="28"/>
      <c r="AM5807" s="28" t="n">
        <f aca="false">AL5807*$M5807</f>
        <v>0</v>
      </c>
      <c r="AN5807" s="28"/>
      <c r="AO5807" s="28" t="n">
        <f aca="false">AN5807*$M5807</f>
        <v>0</v>
      </c>
      <c r="AP5807" s="28"/>
      <c r="AQ5807" s="28" t="n">
        <f aca="false">AP5807*$M5807</f>
        <v>0</v>
      </c>
      <c r="AR5807" s="28"/>
      <c r="AS5807" s="28" t="n">
        <f aca="false">AR5807*$M5807</f>
        <v>0</v>
      </c>
      <c r="AT5807" s="28"/>
      <c r="AU5807" s="28" t="n">
        <f aca="false">AT5807*$M5807</f>
        <v>0</v>
      </c>
      <c r="AV5807" s="28"/>
      <c r="AW5807" s="28" t="n">
        <f aca="false">AV5807*$M5807</f>
        <v>0</v>
      </c>
      <c r="AX5807" s="28"/>
      <c r="AY5807" s="28" t="n">
        <f aca="false">AX5807*$M5807</f>
        <v>0</v>
      </c>
      <c r="AZ5807" s="30" t="n">
        <f aca="false">309056/100</f>
        <v>3090.56</v>
      </c>
      <c r="BA5807" s="11" t="n">
        <v>77264</v>
      </c>
      <c r="BB5807" s="31" t="n">
        <f aca="false">SUM(Q5807,S5807,U5807,W5807,Y5807,AA5807,AC5807,AE5807,AG5807,AI5807,AK5807,AM5807,AO5807,AQ5807,AS5807,AU5807,AW5807,AY5807)</f>
        <v>77264</v>
      </c>
      <c r="BC5807" s="28" t="n">
        <f aca="false">BA5807-BB5807</f>
        <v>0</v>
      </c>
      <c r="BD5807" s="32" t="n">
        <f aca="false">SUM(P5807,R5807,T5807,V5807,X5807,Z5807,AB5807,AD5807,AF5807,AH5807,AJ5807,AL5807,AN5807,AP5807,AR5807,AT5807,AV5807,AX5807)</f>
        <v>3090.56</v>
      </c>
      <c r="BE5807" s="33" t="n">
        <f aca="false">AZ5807-BD5807</f>
        <v>0</v>
      </c>
      <c r="BF5807" s="34" t="n">
        <f aca="false">BD5807*M5807</f>
        <v>77264</v>
      </c>
      <c r="BG5807" s="35" t="n">
        <f aca="false">BA5807-BF5807</f>
        <v>0</v>
      </c>
      <c r="BH5807" s="19" t="str">
        <f aca="false">IF(BG5807=0,"",IF(BG5807&lt;&gt;BA5807,"erreur de calcul",IF(BD5807&lt;&gt;0,"pas de prix",IF(M5807&lt;&gt; 0,"pas de quantité","pas de prix, ni de quantité"))))</f>
        <v/>
      </c>
      <c r="BI5807" s="19"/>
    </row>
    <row r="5808" customFormat="false" ht="15" hidden="false" customHeight="false" outlineLevel="0" collapsed="false">
      <c r="A5808" s="0" t="n">
        <v>26</v>
      </c>
      <c r="B5808" s="8" t="s">
        <v>24</v>
      </c>
      <c r="C5808" s="9" t="s">
        <v>25</v>
      </c>
      <c r="D5808" s="9" t="s">
        <v>26</v>
      </c>
      <c r="E5808" s="10" t="n">
        <v>1789</v>
      </c>
      <c r="F5808" s="9" t="s">
        <v>27</v>
      </c>
      <c r="G5808" s="9" t="s">
        <v>27</v>
      </c>
      <c r="H5808" s="11" t="n">
        <v>23</v>
      </c>
      <c r="I5808" s="11" t="s">
        <v>268</v>
      </c>
      <c r="J5808" s="14" t="n">
        <v>8</v>
      </c>
      <c r="K5808" s="14"/>
      <c r="L5808" s="16"/>
      <c r="M5808" s="27" t="n">
        <f aca="false">J5808+(K5808/20)+(L5808/240)</f>
        <v>8</v>
      </c>
      <c r="N5808" s="17" t="s">
        <v>64</v>
      </c>
      <c r="O5808" s="11"/>
      <c r="P5808" s="28"/>
      <c r="Q5808" s="28" t="n">
        <f aca="false">P5808*$M5808</f>
        <v>0</v>
      </c>
      <c r="R5808" s="28"/>
      <c r="S5808" s="28" t="n">
        <f aca="false">R5808*$M5808</f>
        <v>0</v>
      </c>
      <c r="T5808" s="28" t="n">
        <f aca="false">260752/100</f>
        <v>2607.52</v>
      </c>
      <c r="U5808" s="28" t="n">
        <v>20860</v>
      </c>
      <c r="V5808" s="28" t="n">
        <f aca="false">170453/100</f>
        <v>1704.53</v>
      </c>
      <c r="W5808" s="28" t="n">
        <v>13636</v>
      </c>
      <c r="X5808" s="28"/>
      <c r="Y5808" s="28" t="n">
        <f aca="false">X5808*$M5808</f>
        <v>0</v>
      </c>
      <c r="Z5808" s="28"/>
      <c r="AA5808" s="28" t="n">
        <f aca="false">Z5808*$M5808</f>
        <v>0</v>
      </c>
      <c r="AB5808" s="28"/>
      <c r="AC5808" s="28" t="n">
        <f aca="false">AB5808*$M5808</f>
        <v>0</v>
      </c>
      <c r="AD5808" s="28"/>
      <c r="AE5808" s="28" t="n">
        <f aca="false">AD5808*$M5808</f>
        <v>0</v>
      </c>
      <c r="AF5808" s="28"/>
      <c r="AG5808" s="28" t="n">
        <f aca="false">AF5808*$M5808</f>
        <v>0</v>
      </c>
      <c r="AH5808" s="28"/>
      <c r="AI5808" s="28" t="n">
        <f aca="false">AH5808*$M5808</f>
        <v>0</v>
      </c>
      <c r="AJ5808" s="28"/>
      <c r="AK5808" s="28" t="n">
        <f aca="false">AJ5808*$M5808</f>
        <v>0</v>
      </c>
      <c r="AL5808" s="28"/>
      <c r="AM5808" s="28" t="n">
        <f aca="false">AL5808*$M5808</f>
        <v>0</v>
      </c>
      <c r="AN5808" s="28"/>
      <c r="AO5808" s="28" t="n">
        <f aca="false">AN5808*$M5808</f>
        <v>0</v>
      </c>
      <c r="AP5808" s="28"/>
      <c r="AQ5808" s="28" t="n">
        <f aca="false">AP5808*$M5808</f>
        <v>0</v>
      </c>
      <c r="AR5808" s="28"/>
      <c r="AS5808" s="28" t="n">
        <f aca="false">AR5808*$M5808</f>
        <v>0</v>
      </c>
      <c r="AT5808" s="28"/>
      <c r="AU5808" s="28" t="n">
        <f aca="false">AT5808*$M5808</f>
        <v>0</v>
      </c>
      <c r="AV5808" s="28"/>
      <c r="AW5808" s="28" t="n">
        <f aca="false">AV5808*$M5808</f>
        <v>0</v>
      </c>
      <c r="AX5808" s="28"/>
      <c r="AY5808" s="28" t="n">
        <f aca="false">AX5808*$M5808</f>
        <v>0</v>
      </c>
      <c r="AZ5808" s="30" t="n">
        <f aca="false">431205/100</f>
        <v>4312.05</v>
      </c>
      <c r="BA5808" s="11" t="n">
        <v>34496</v>
      </c>
      <c r="BB5808" s="31" t="n">
        <f aca="false">SUM(Q5808,S5808,U5808,W5808,Y5808,AA5808,AC5808,AE5808,AG5808,AI5808,AK5808,AM5808,AO5808,AQ5808,AS5808,AU5808,AW5808,AY5808)</f>
        <v>34496</v>
      </c>
      <c r="BC5808" s="28" t="n">
        <f aca="false">BA5808-BB5808</f>
        <v>0</v>
      </c>
      <c r="BD5808" s="32" t="n">
        <f aca="false">SUM(P5808,R5808,T5808,V5808,X5808,Z5808,AB5808,AD5808,AF5808,AH5808,AJ5808,AL5808,AN5808,AP5808,AR5808,AT5808,AV5808,AX5808)</f>
        <v>4312.05</v>
      </c>
      <c r="BE5808" s="33" t="n">
        <f aca="false">AZ5808-BD5808</f>
        <v>0</v>
      </c>
      <c r="BF5808" s="34" t="n">
        <f aca="false">BD5808*M5808</f>
        <v>34496.4</v>
      </c>
      <c r="BG5808" s="35" t="n">
        <f aca="false">BA5808-BF5808</f>
        <v>-0.400000000001455</v>
      </c>
      <c r="BH5808" s="19" t="str">
        <f aca="false">IF(BG5808=0,"",IF(BG5808&lt;&gt;BA5808,"erreur de calcul",IF(BD5808&lt;&gt;0,"pas de prix",IF(M5808&lt;&gt; 0,"pas de quantité","pas de prix, ni de quantité"))))</f>
        <v>erreur de calcul</v>
      </c>
      <c r="BI5808" s="19"/>
    </row>
    <row r="5809" customFormat="false" ht="15" hidden="false" customHeight="false" outlineLevel="0" collapsed="false">
      <c r="A5809" s="0" t="n">
        <v>27</v>
      </c>
      <c r="B5809" s="8" t="s">
        <v>24</v>
      </c>
      <c r="C5809" s="9" t="s">
        <v>25</v>
      </c>
      <c r="D5809" s="9" t="s">
        <v>26</v>
      </c>
      <c r="E5809" s="10" t="n">
        <v>1789</v>
      </c>
      <c r="F5809" s="9" t="s">
        <v>27</v>
      </c>
      <c r="G5809" s="9" t="s">
        <v>27</v>
      </c>
      <c r="H5809" s="11" t="n">
        <v>23</v>
      </c>
      <c r="I5809" s="11" t="s">
        <v>269</v>
      </c>
      <c r="J5809" s="14"/>
      <c r="K5809" s="14" t="n">
        <v>50</v>
      </c>
      <c r="L5809" s="16"/>
      <c r="M5809" s="27" t="n">
        <f aca="false">J5809+(K5809/20)+(L5809/240)</f>
        <v>2.5</v>
      </c>
      <c r="N5809" s="17" t="s">
        <v>85</v>
      </c>
      <c r="O5809" s="11"/>
      <c r="P5809" s="28"/>
      <c r="Q5809" s="28" t="n">
        <f aca="false">P5809*$M5809</f>
        <v>0</v>
      </c>
      <c r="R5809" s="28"/>
      <c r="S5809" s="28" t="n">
        <f aca="false">R5809*$M5809</f>
        <v>0</v>
      </c>
      <c r="T5809" s="28" t="n">
        <f aca="false">221150/100</f>
        <v>2211.5</v>
      </c>
      <c r="U5809" s="28" t="n">
        <v>5529</v>
      </c>
      <c r="V5809" s="28" t="n">
        <f aca="false">3922156/100</f>
        <v>39221.56</v>
      </c>
      <c r="W5809" s="28" t="n">
        <v>98054</v>
      </c>
      <c r="X5809" s="28"/>
      <c r="Y5809" s="28" t="n">
        <f aca="false">X5809*$M5809</f>
        <v>0</v>
      </c>
      <c r="Z5809" s="28"/>
      <c r="AA5809" s="28" t="n">
        <f aca="false">Z5809*$M5809</f>
        <v>0</v>
      </c>
      <c r="AB5809" s="28" t="n">
        <f aca="false">297900/100</f>
        <v>2979</v>
      </c>
      <c r="AC5809" s="28" t="n">
        <v>7447</v>
      </c>
      <c r="AD5809" s="28"/>
      <c r="AE5809" s="28" t="n">
        <f aca="false">AD5809*$M5809</f>
        <v>0</v>
      </c>
      <c r="AF5809" s="28"/>
      <c r="AG5809" s="28" t="n">
        <f aca="false">AF5809*$M5809</f>
        <v>0</v>
      </c>
      <c r="AH5809" s="28"/>
      <c r="AI5809" s="28" t="n">
        <f aca="false">AH5809*$M5809</f>
        <v>0</v>
      </c>
      <c r="AJ5809" s="28"/>
      <c r="AK5809" s="28" t="n">
        <f aca="false">AJ5809*$M5809</f>
        <v>0</v>
      </c>
      <c r="AL5809" s="28"/>
      <c r="AM5809" s="28" t="n">
        <f aca="false">AL5809*$M5809</f>
        <v>0</v>
      </c>
      <c r="AN5809" s="28"/>
      <c r="AO5809" s="28" t="n">
        <f aca="false">AN5809*$M5809</f>
        <v>0</v>
      </c>
      <c r="AP5809" s="28"/>
      <c r="AQ5809" s="28" t="n">
        <f aca="false">AP5809*$M5809</f>
        <v>0</v>
      </c>
      <c r="AR5809" s="28"/>
      <c r="AS5809" s="28" t="n">
        <f aca="false">AR5809*$M5809</f>
        <v>0</v>
      </c>
      <c r="AT5809" s="28"/>
      <c r="AU5809" s="28" t="n">
        <f aca="false">AT5809*$M5809</f>
        <v>0</v>
      </c>
      <c r="AV5809" s="28"/>
      <c r="AW5809" s="28" t="n">
        <f aca="false">AV5809*$M5809</f>
        <v>0</v>
      </c>
      <c r="AX5809" s="28"/>
      <c r="AY5809" s="28" t="n">
        <f aca="false">AX5809*$M5809</f>
        <v>0</v>
      </c>
      <c r="AZ5809" s="30" t="n">
        <f aca="false">4441206/100</f>
        <v>44412.06</v>
      </c>
      <c r="BA5809" s="11" t="n">
        <v>111030</v>
      </c>
      <c r="BB5809" s="31" t="n">
        <f aca="false">SUM(Q5809,S5809,U5809,W5809,Y5809,AA5809,AC5809,AE5809,AG5809,AI5809,AK5809,AM5809,AO5809,AQ5809,AS5809,AU5809,AW5809,AY5809)</f>
        <v>111030</v>
      </c>
      <c r="BC5809" s="28" t="n">
        <f aca="false">BA5809-BB5809</f>
        <v>0</v>
      </c>
      <c r="BD5809" s="32" t="n">
        <f aca="false">SUM(P5809,R5809,T5809,V5809,X5809,Z5809,AB5809,AD5809,AF5809,AH5809,AJ5809,AL5809,AN5809,AP5809,AR5809,AT5809,AV5809,AX5809)</f>
        <v>44412.06</v>
      </c>
      <c r="BE5809" s="33" t="n">
        <f aca="false">AZ5809-BD5809</f>
        <v>0</v>
      </c>
      <c r="BF5809" s="34" t="n">
        <f aca="false">BD5809*M5809</f>
        <v>111030.15</v>
      </c>
      <c r="BG5809" s="35" t="n">
        <f aca="false">BA5809-BF5809</f>
        <v>-0.149999999994179</v>
      </c>
      <c r="BH5809" s="19" t="str">
        <f aca="false">IF(BG5809=0,"",IF(BG5809&lt;&gt;BA5809,"erreur de calcul",IF(BD5809&lt;&gt;0,"pas de prix",IF(M5809&lt;&gt; 0,"pas de quantité","pas de prix, ni de quantité"))))</f>
        <v>erreur de calcul</v>
      </c>
      <c r="BI5809" s="19"/>
    </row>
    <row r="5810" customFormat="false" ht="15" hidden="false" customHeight="false" outlineLevel="0" collapsed="false">
      <c r="A5810" s="0" t="n">
        <v>28</v>
      </c>
      <c r="B5810" s="8" t="s">
        <v>24</v>
      </c>
      <c r="C5810" s="9" t="s">
        <v>25</v>
      </c>
      <c r="D5810" s="9" t="s">
        <v>26</v>
      </c>
      <c r="E5810" s="10" t="n">
        <v>1789</v>
      </c>
      <c r="F5810" s="9" t="s">
        <v>27</v>
      </c>
      <c r="G5810" s="9" t="s">
        <v>27</v>
      </c>
      <c r="H5810" s="11" t="n">
        <v>23</v>
      </c>
      <c r="I5810" s="11" t="s">
        <v>270</v>
      </c>
      <c r="J5810" s="14" t="n">
        <v>5</v>
      </c>
      <c r="K5810" s="14"/>
      <c r="L5810" s="16"/>
      <c r="M5810" s="27" t="n">
        <f aca="false">J5810+(K5810/20)+(L5810/240)</f>
        <v>5</v>
      </c>
      <c r="N5810" s="17" t="s">
        <v>85</v>
      </c>
      <c r="O5810" s="11"/>
      <c r="P5810" s="28" t="n">
        <f aca="false">328200/100</f>
        <v>3282</v>
      </c>
      <c r="Q5810" s="28" t="n">
        <v>16410</v>
      </c>
      <c r="R5810" s="28"/>
      <c r="S5810" s="28" t="n">
        <f aca="false">R5810*$M5810</f>
        <v>0</v>
      </c>
      <c r="T5810" s="28" t="n">
        <f aca="false">667000/100</f>
        <v>6670</v>
      </c>
      <c r="U5810" s="36" t="n">
        <v>33360</v>
      </c>
      <c r="V5810" s="28" t="n">
        <f aca="false">506800/100</f>
        <v>5068</v>
      </c>
      <c r="W5810" s="28" t="n">
        <v>25340</v>
      </c>
      <c r="X5810" s="28"/>
      <c r="Y5810" s="28" t="n">
        <f aca="false">X5810*$M5810</f>
        <v>0</v>
      </c>
      <c r="Z5810" s="28"/>
      <c r="AA5810" s="28" t="n">
        <f aca="false">Z5810*$M5810</f>
        <v>0</v>
      </c>
      <c r="AB5810" s="28"/>
      <c r="AC5810" s="28" t="n">
        <f aca="false">AB5810*$M5810</f>
        <v>0</v>
      </c>
      <c r="AD5810" s="28"/>
      <c r="AE5810" s="28" t="n">
        <f aca="false">AD5810*$M5810</f>
        <v>0</v>
      </c>
      <c r="AF5810" s="28"/>
      <c r="AG5810" s="28" t="n">
        <f aca="false">AF5810*$M5810</f>
        <v>0</v>
      </c>
      <c r="AH5810" s="28" t="n">
        <f aca="false">320500/100</f>
        <v>3205</v>
      </c>
      <c r="AI5810" s="28" t="n">
        <v>16025</v>
      </c>
      <c r="AJ5810" s="28"/>
      <c r="AK5810" s="28" t="n">
        <f aca="false">AJ5810*$M5810</f>
        <v>0</v>
      </c>
      <c r="AL5810" s="28"/>
      <c r="AM5810" s="28" t="n">
        <f aca="false">AL5810*$M5810</f>
        <v>0</v>
      </c>
      <c r="AN5810" s="28"/>
      <c r="AO5810" s="28" t="n">
        <f aca="false">AN5810*$M5810</f>
        <v>0</v>
      </c>
      <c r="AP5810" s="28"/>
      <c r="AQ5810" s="28" t="n">
        <f aca="false">AP5810*$M5810</f>
        <v>0</v>
      </c>
      <c r="AR5810" s="28"/>
      <c r="AS5810" s="28" t="n">
        <f aca="false">AR5810*$M5810</f>
        <v>0</v>
      </c>
      <c r="AT5810" s="28"/>
      <c r="AU5810" s="28" t="n">
        <f aca="false">AT5810*$M5810</f>
        <v>0</v>
      </c>
      <c r="AV5810" s="28"/>
      <c r="AW5810" s="28" t="n">
        <f aca="false">AV5810*$M5810</f>
        <v>0</v>
      </c>
      <c r="AX5810" s="28"/>
      <c r="AY5810" s="28" t="n">
        <f aca="false">AX5810*$M5810</f>
        <v>0</v>
      </c>
      <c r="AZ5810" s="30" t="n">
        <f aca="false">1822500/100</f>
        <v>18225</v>
      </c>
      <c r="BA5810" s="11" t="n">
        <v>91135</v>
      </c>
      <c r="BB5810" s="31" t="n">
        <f aca="false">SUM(Q5810,S5810,U5810,W5810,Y5810,AA5810,AC5810,AE5810,AG5810,AI5810,AK5810,AM5810,AO5810,AQ5810,AS5810,AU5810,AW5810,AY5810)</f>
        <v>91135</v>
      </c>
      <c r="BC5810" s="28" t="n">
        <f aca="false">BA5810-BB5810</f>
        <v>0</v>
      </c>
      <c r="BD5810" s="32" t="n">
        <f aca="false">SUM(P5810,R5810,T5810,V5810,X5810,Z5810,AB5810,AD5810,AF5810,AH5810,AJ5810,AL5810,AN5810,AP5810,AR5810,AT5810,AV5810,AX5810)</f>
        <v>18225</v>
      </c>
      <c r="BE5810" s="33" t="n">
        <f aca="false">AZ5810-BD5810</f>
        <v>0</v>
      </c>
      <c r="BF5810" s="34" t="n">
        <f aca="false">BD5810*M5810</f>
        <v>91125</v>
      </c>
      <c r="BG5810" s="35" t="n">
        <f aca="false">BA5810-BF5810</f>
        <v>10</v>
      </c>
      <c r="BH5810" s="19" t="str">
        <f aca="false">IF(BG5810=0,"",IF(BG5810&lt;&gt;BA5810,"erreur de calcul",IF(BD5810&lt;&gt;0,"pas de prix",IF(M5810&lt;&gt; 0,"pas de quantité","pas de prix, ni de quantité"))))</f>
        <v>erreur de calcul</v>
      </c>
      <c r="BI5810" s="19"/>
    </row>
    <row r="5811" customFormat="false" ht="15" hidden="false" customHeight="false" outlineLevel="0" collapsed="false">
      <c r="A5811" s="0" t="n">
        <v>29</v>
      </c>
      <c r="B5811" s="8" t="s">
        <v>24</v>
      </c>
      <c r="C5811" s="9" t="s">
        <v>25</v>
      </c>
      <c r="D5811" s="9" t="s">
        <v>26</v>
      </c>
      <c r="E5811" s="10" t="n">
        <v>1789</v>
      </c>
      <c r="F5811" s="9" t="s">
        <v>27</v>
      </c>
      <c r="G5811" s="9" t="s">
        <v>27</v>
      </c>
      <c r="H5811" s="11" t="n">
        <v>23</v>
      </c>
      <c r="I5811" s="11" t="s">
        <v>271</v>
      </c>
      <c r="J5811" s="14" t="n">
        <v>7</v>
      </c>
      <c r="K5811" s="14" t="n">
        <v>10</v>
      </c>
      <c r="L5811" s="16"/>
      <c r="M5811" s="27" t="n">
        <f aca="false">J5811+(K5811/20)+(L5811/240)</f>
        <v>7.5</v>
      </c>
      <c r="N5811" s="17" t="s">
        <v>64</v>
      </c>
      <c r="O5811" s="11"/>
      <c r="P5811" s="28"/>
      <c r="Q5811" s="28" t="n">
        <f aca="false">P5811*$M5811</f>
        <v>0</v>
      </c>
      <c r="R5811" s="28"/>
      <c r="S5811" s="28" t="n">
        <f aca="false">R5811*$M5811</f>
        <v>0</v>
      </c>
      <c r="T5811" s="28"/>
      <c r="U5811" s="28" t="n">
        <f aca="false">T5811*$M5811</f>
        <v>0</v>
      </c>
      <c r="V5811" s="28" t="n">
        <f aca="false">191888/100</f>
        <v>1918.88</v>
      </c>
      <c r="W5811" s="28" t="n">
        <v>14392</v>
      </c>
      <c r="X5811" s="28"/>
      <c r="Y5811" s="28" t="n">
        <f aca="false">X5811*$M5811</f>
        <v>0</v>
      </c>
      <c r="Z5811" s="28"/>
      <c r="AA5811" s="28" t="n">
        <f aca="false">Z5811*$M5811</f>
        <v>0</v>
      </c>
      <c r="AB5811" s="28"/>
      <c r="AC5811" s="28" t="n">
        <f aca="false">AB5811*$M5811</f>
        <v>0</v>
      </c>
      <c r="AD5811" s="28"/>
      <c r="AE5811" s="28" t="n">
        <f aca="false">AD5811*$M5811</f>
        <v>0</v>
      </c>
      <c r="AF5811" s="28"/>
      <c r="AG5811" s="28" t="n">
        <f aca="false">AF5811*$M5811</f>
        <v>0</v>
      </c>
      <c r="AH5811" s="28"/>
      <c r="AI5811" s="28" t="n">
        <f aca="false">AH5811*$M5811</f>
        <v>0</v>
      </c>
      <c r="AJ5811" s="28"/>
      <c r="AK5811" s="28" t="n">
        <f aca="false">AJ5811*$M5811</f>
        <v>0</v>
      </c>
      <c r="AL5811" s="28"/>
      <c r="AM5811" s="28" t="n">
        <f aca="false">AL5811*$M5811</f>
        <v>0</v>
      </c>
      <c r="AN5811" s="28"/>
      <c r="AO5811" s="28" t="n">
        <f aca="false">AN5811*$M5811</f>
        <v>0</v>
      </c>
      <c r="AP5811" s="28"/>
      <c r="AQ5811" s="28" t="n">
        <f aca="false">AP5811*$M5811</f>
        <v>0</v>
      </c>
      <c r="AR5811" s="28"/>
      <c r="AS5811" s="28" t="n">
        <f aca="false">AR5811*$M5811</f>
        <v>0</v>
      </c>
      <c r="AT5811" s="28"/>
      <c r="AU5811" s="28" t="n">
        <f aca="false">AT5811*$M5811</f>
        <v>0</v>
      </c>
      <c r="AV5811" s="28"/>
      <c r="AW5811" s="28" t="n">
        <f aca="false">AV5811*$M5811</f>
        <v>0</v>
      </c>
      <c r="AX5811" s="28"/>
      <c r="AY5811" s="28" t="n">
        <f aca="false">AX5811*$M5811</f>
        <v>0</v>
      </c>
      <c r="AZ5811" s="30" t="n">
        <f aca="false">191888/100</f>
        <v>1918.88</v>
      </c>
      <c r="BA5811" s="11" t="n">
        <v>14392</v>
      </c>
      <c r="BB5811" s="31" t="n">
        <f aca="false">SUM(Q5811,S5811,U5811,W5811,Y5811,AA5811,AC5811,AE5811,AG5811,AI5811,AK5811,AM5811,AO5811,AQ5811,AS5811,AU5811,AW5811,AY5811)</f>
        <v>14392</v>
      </c>
      <c r="BC5811" s="28" t="n">
        <f aca="false">BA5811-BB5811</f>
        <v>0</v>
      </c>
      <c r="BD5811" s="32" t="n">
        <f aca="false">SUM(P5811,R5811,T5811,V5811,X5811,Z5811,AB5811,AD5811,AF5811,AH5811,AJ5811,AL5811,AN5811,AP5811,AR5811,AT5811,AV5811,AX5811)</f>
        <v>1918.88</v>
      </c>
      <c r="BE5811" s="33" t="n">
        <f aca="false">AZ5811-BD5811</f>
        <v>0</v>
      </c>
      <c r="BF5811" s="34" t="n">
        <f aca="false">BD5811*M5811</f>
        <v>14391.6</v>
      </c>
      <c r="BG5811" s="35" t="n">
        <f aca="false">BA5811-BF5811</f>
        <v>0.399999999999636</v>
      </c>
      <c r="BH5811" s="19" t="str">
        <f aca="false">IF(BG5811=0,"",IF(BG5811&lt;&gt;BA5811,"erreur de calcul",IF(BD5811&lt;&gt;0,"pas de prix",IF(M5811&lt;&gt; 0,"pas de quantité","pas de prix, ni de quantité"))))</f>
        <v>erreur de calcul</v>
      </c>
      <c r="BI5811" s="19"/>
    </row>
    <row r="5812" customFormat="false" ht="15" hidden="false" customHeight="false" outlineLevel="0" collapsed="false">
      <c r="A5812" s="0" t="n">
        <v>30</v>
      </c>
      <c r="B5812" s="8" t="s">
        <v>24</v>
      </c>
      <c r="C5812" s="9" t="s">
        <v>25</v>
      </c>
      <c r="D5812" s="9" t="s">
        <v>26</v>
      </c>
      <c r="E5812" s="10" t="n">
        <v>1789</v>
      </c>
      <c r="F5812" s="9" t="s">
        <v>27</v>
      </c>
      <c r="G5812" s="9" t="s">
        <v>27</v>
      </c>
      <c r="H5812" s="11" t="n">
        <v>23</v>
      </c>
      <c r="I5812" s="11" t="s">
        <v>272</v>
      </c>
      <c r="J5812" s="14" t="n">
        <v>6</v>
      </c>
      <c r="K5812" s="14"/>
      <c r="L5812" s="16"/>
      <c r="M5812" s="27" t="n">
        <f aca="false">J5812+(K5812/20)+(L5812/240)</f>
        <v>6</v>
      </c>
      <c r="N5812" s="17" t="s">
        <v>64</v>
      </c>
      <c r="O5812" s="11"/>
      <c r="P5812" s="28"/>
      <c r="Q5812" s="28" t="n">
        <f aca="false">P5812*$M5812</f>
        <v>0</v>
      </c>
      <c r="R5812" s="28"/>
      <c r="S5812" s="28" t="n">
        <f aca="false">R5812*$M5812</f>
        <v>0</v>
      </c>
      <c r="T5812" s="28" t="n">
        <f aca="false">26711/100</f>
        <v>267.11</v>
      </c>
      <c r="U5812" s="28" t="n">
        <v>1603</v>
      </c>
      <c r="V5812" s="28" t="n">
        <f aca="false">790699/100</f>
        <v>7906.99</v>
      </c>
      <c r="W5812" s="28" t="n">
        <v>47442</v>
      </c>
      <c r="X5812" s="28" t="n">
        <f aca="false">50169/100</f>
        <v>501.69</v>
      </c>
      <c r="Y5812" s="28" t="n">
        <v>3010</v>
      </c>
      <c r="Z5812" s="28"/>
      <c r="AA5812" s="28" t="n">
        <f aca="false">Z5812*$M5812</f>
        <v>0</v>
      </c>
      <c r="AB5812" s="28"/>
      <c r="AC5812" s="28" t="n">
        <f aca="false">AB5812*$M5812</f>
        <v>0</v>
      </c>
      <c r="AD5812" s="28"/>
      <c r="AE5812" s="28" t="n">
        <f aca="false">AD5812*$M5812</f>
        <v>0</v>
      </c>
      <c r="AF5812" s="28"/>
      <c r="AG5812" s="28" t="n">
        <f aca="false">AF5812*$M5812</f>
        <v>0</v>
      </c>
      <c r="AH5812" s="28"/>
      <c r="AI5812" s="28" t="n">
        <f aca="false">AH5812*$M5812</f>
        <v>0</v>
      </c>
      <c r="AJ5812" s="28"/>
      <c r="AK5812" s="28" t="n">
        <f aca="false">AJ5812*$M5812</f>
        <v>0</v>
      </c>
      <c r="AL5812" s="28"/>
      <c r="AM5812" s="28" t="n">
        <f aca="false">AL5812*$M5812</f>
        <v>0</v>
      </c>
      <c r="AN5812" s="28"/>
      <c r="AO5812" s="28" t="n">
        <f aca="false">AN5812*$M5812</f>
        <v>0</v>
      </c>
      <c r="AP5812" s="28"/>
      <c r="AQ5812" s="28" t="n">
        <f aca="false">AP5812*$M5812</f>
        <v>0</v>
      </c>
      <c r="AR5812" s="28"/>
      <c r="AS5812" s="28" t="n">
        <f aca="false">AR5812*$M5812</f>
        <v>0</v>
      </c>
      <c r="AT5812" s="28"/>
      <c r="AU5812" s="28" t="n">
        <f aca="false">AT5812*$M5812</f>
        <v>0</v>
      </c>
      <c r="AV5812" s="28"/>
      <c r="AW5812" s="28" t="n">
        <f aca="false">AV5812*$M5812</f>
        <v>0</v>
      </c>
      <c r="AX5812" s="28"/>
      <c r="AY5812" s="28" t="n">
        <f aca="false">AX5812*$M5812</f>
        <v>0</v>
      </c>
      <c r="AZ5812" s="30" t="n">
        <f aca="false">867559/100</f>
        <v>8675.59</v>
      </c>
      <c r="BA5812" s="11" t="n">
        <v>52055</v>
      </c>
      <c r="BB5812" s="31" t="n">
        <f aca="false">SUM(Q5812,S5812,U5812,W5812,Y5812,AA5812,AC5812,AE5812,AG5812,AI5812,AK5812,AM5812,AO5812,AQ5812,AS5812,AU5812,AW5812,AY5812)</f>
        <v>52055</v>
      </c>
      <c r="BC5812" s="28" t="n">
        <f aca="false">BA5812-BB5812</f>
        <v>0</v>
      </c>
      <c r="BD5812" s="32" t="n">
        <f aca="false">SUM(P5812,R5812,T5812,V5812,X5812,Z5812,AB5812,AD5812,AF5812,AH5812,AJ5812,AL5812,AN5812,AP5812,AR5812,AT5812,AV5812,AX5812)</f>
        <v>8675.79</v>
      </c>
      <c r="BE5812" s="33" t="n">
        <f aca="false">AZ5812-BD5812</f>
        <v>-0.200000000000728</v>
      </c>
      <c r="BF5812" s="34" t="n">
        <f aca="false">BD5812*M5812</f>
        <v>52054.74</v>
      </c>
      <c r="BG5812" s="35" t="n">
        <f aca="false">BA5812-BF5812</f>
        <v>0.259999999994761</v>
      </c>
      <c r="BH5812" s="19" t="str">
        <f aca="false">IF(BG5812=0,"",IF(BG5812&lt;&gt;BA5812,"erreur de calcul",IF(BD5812&lt;&gt;0,"pas de prix",IF(M5812&lt;&gt; 0,"pas de quantité","pas de prix, ni de quantité"))))</f>
        <v>erreur de calcul</v>
      </c>
      <c r="BI5812" s="19"/>
    </row>
    <row r="5813" customFormat="false" ht="15" hidden="false" customHeight="false" outlineLevel="0" collapsed="false">
      <c r="A5813" s="0" t="n">
        <v>31</v>
      </c>
      <c r="B5813" s="8" t="s">
        <v>24</v>
      </c>
      <c r="C5813" s="9" t="s">
        <v>25</v>
      </c>
      <c r="D5813" s="9" t="s">
        <v>26</v>
      </c>
      <c r="E5813" s="10" t="n">
        <v>1789</v>
      </c>
      <c r="F5813" s="9" t="s">
        <v>27</v>
      </c>
      <c r="G5813" s="9" t="s">
        <v>27</v>
      </c>
      <c r="H5813" s="11" t="n">
        <v>23</v>
      </c>
      <c r="I5813" s="11" t="s">
        <v>273</v>
      </c>
      <c r="J5813" s="14" t="n">
        <v>8</v>
      </c>
      <c r="K5813" s="14"/>
      <c r="L5813" s="16"/>
      <c r="M5813" s="27" t="n">
        <f aca="false">J5813+(K5813/20)+(L5813/240)</f>
        <v>8</v>
      </c>
      <c r="N5813" s="17" t="s">
        <v>81</v>
      </c>
      <c r="O5813" s="11"/>
      <c r="P5813" s="28" t="n">
        <v>27</v>
      </c>
      <c r="Q5813" s="28" t="n">
        <v>216</v>
      </c>
      <c r="R5813" s="28"/>
      <c r="S5813" s="28" t="n">
        <f aca="false">R5813*$M5813</f>
        <v>0</v>
      </c>
      <c r="T5813" s="28"/>
      <c r="U5813" s="28" t="n">
        <f aca="false">T5813*$M5813</f>
        <v>0</v>
      </c>
      <c r="V5813" s="28" t="n">
        <v>40</v>
      </c>
      <c r="W5813" s="28" t="n">
        <v>320</v>
      </c>
      <c r="X5813" s="28"/>
      <c r="Y5813" s="28" t="n">
        <f aca="false">X5813*$M5813</f>
        <v>0</v>
      </c>
      <c r="Z5813" s="28"/>
      <c r="AA5813" s="28" t="n">
        <f aca="false">Z5813*$M5813</f>
        <v>0</v>
      </c>
      <c r="AB5813" s="28" t="n">
        <v>164</v>
      </c>
      <c r="AC5813" s="28" t="n">
        <v>1312</v>
      </c>
      <c r="AD5813" s="28"/>
      <c r="AE5813" s="28" t="n">
        <f aca="false">AD5813*$M5813</f>
        <v>0</v>
      </c>
      <c r="AF5813" s="28" t="n">
        <v>263</v>
      </c>
      <c r="AG5813" s="28" t="n">
        <v>2104</v>
      </c>
      <c r="AH5813" s="28"/>
      <c r="AI5813" s="28" t="n">
        <f aca="false">AH5813*$M5813</f>
        <v>0</v>
      </c>
      <c r="AJ5813" s="28"/>
      <c r="AK5813" s="28" t="n">
        <f aca="false">AJ5813*$M5813</f>
        <v>0</v>
      </c>
      <c r="AL5813" s="28"/>
      <c r="AM5813" s="28" t="n">
        <f aca="false">AL5813*$M5813</f>
        <v>0</v>
      </c>
      <c r="AN5813" s="28"/>
      <c r="AO5813" s="28" t="n">
        <f aca="false">AN5813*$M5813</f>
        <v>0</v>
      </c>
      <c r="AP5813" s="28" t="n">
        <v>278</v>
      </c>
      <c r="AQ5813" s="28" t="n">
        <v>2224</v>
      </c>
      <c r="AR5813" s="28"/>
      <c r="AS5813" s="28" t="n">
        <f aca="false">AR5813*$M5813</f>
        <v>0</v>
      </c>
      <c r="AT5813" s="28"/>
      <c r="AU5813" s="28" t="n">
        <f aca="false">AT5813*$M5813</f>
        <v>0</v>
      </c>
      <c r="AV5813" s="28"/>
      <c r="AW5813" s="28" t="n">
        <f aca="false">AV5813*$M5813</f>
        <v>0</v>
      </c>
      <c r="AX5813" s="28"/>
      <c r="AY5813" s="28" t="n">
        <f aca="false">AX5813*$M5813</f>
        <v>0</v>
      </c>
      <c r="AZ5813" s="30" t="n">
        <v>772</v>
      </c>
      <c r="BA5813" s="11" t="n">
        <v>6176</v>
      </c>
      <c r="BB5813" s="31" t="n">
        <f aca="false">SUM(Q5813,S5813,U5813,W5813,Y5813,AA5813,AC5813,AE5813,AG5813,AI5813,AK5813,AM5813,AO5813,AQ5813,AS5813,AU5813,AW5813,AY5813)</f>
        <v>6176</v>
      </c>
      <c r="BC5813" s="28" t="n">
        <f aca="false">BA5813-BB5813</f>
        <v>0</v>
      </c>
      <c r="BD5813" s="32" t="n">
        <f aca="false">SUM(P5813,R5813,T5813,V5813,X5813,Z5813,AB5813,AD5813,AF5813,AH5813,AJ5813,AL5813,AN5813,AP5813,AR5813,AT5813,AV5813,AX5813)</f>
        <v>772</v>
      </c>
      <c r="BE5813" s="33" t="n">
        <f aca="false">AZ5813-BD5813</f>
        <v>0</v>
      </c>
      <c r="BF5813" s="34" t="n">
        <f aca="false">BD5813*M5813</f>
        <v>6176</v>
      </c>
      <c r="BG5813" s="35" t="n">
        <f aca="false">BA5813-BF5813</f>
        <v>0</v>
      </c>
      <c r="BH5813" s="19" t="str">
        <f aca="false">IF(BG5813=0,"",IF(BG5813&lt;&gt;BA5813,"erreur de calcul",IF(BD5813&lt;&gt;0,"pas de prix",IF(M5813&lt;&gt; 0,"pas de quantité","pas de prix, ni de quantité"))))</f>
        <v/>
      </c>
      <c r="BI5813" s="19"/>
    </row>
    <row r="5814" customFormat="false" ht="15" hidden="false" customHeight="false" outlineLevel="0" collapsed="false">
      <c r="A5814" s="0" t="n">
        <v>32</v>
      </c>
      <c r="B5814" s="8" t="s">
        <v>24</v>
      </c>
      <c r="C5814" s="9" t="s">
        <v>25</v>
      </c>
      <c r="D5814" s="9" t="s">
        <v>26</v>
      </c>
      <c r="E5814" s="10" t="n">
        <v>1789</v>
      </c>
      <c r="F5814" s="9" t="s">
        <v>27</v>
      </c>
      <c r="G5814" s="9" t="s">
        <v>27</v>
      </c>
      <c r="H5814" s="11" t="n">
        <v>23</v>
      </c>
      <c r="I5814" s="11" t="s">
        <v>274</v>
      </c>
      <c r="J5814" s="14" t="n">
        <v>17</v>
      </c>
      <c r="K5814" s="14"/>
      <c r="L5814" s="16"/>
      <c r="M5814" s="27" t="n">
        <f aca="false">J5814+(K5814/20)+(L5814/240)</f>
        <v>17</v>
      </c>
      <c r="N5814" s="17" t="s">
        <v>275</v>
      </c>
      <c r="O5814" s="11"/>
      <c r="P5814" s="28" t="n">
        <v>200</v>
      </c>
      <c r="Q5814" s="28" t="n">
        <v>3400</v>
      </c>
      <c r="R5814" s="28"/>
      <c r="S5814" s="28" t="n">
        <f aca="false">R5814*$M5814</f>
        <v>0</v>
      </c>
      <c r="T5814" s="28"/>
      <c r="U5814" s="28" t="n">
        <f aca="false">T5814*$M5814</f>
        <v>0</v>
      </c>
      <c r="V5814" s="28"/>
      <c r="W5814" s="28" t="n">
        <f aca="false">V5814*$M5814</f>
        <v>0</v>
      </c>
      <c r="X5814" s="28" t="n">
        <v>145</v>
      </c>
      <c r="Y5814" s="28" t="n">
        <v>2465</v>
      </c>
      <c r="Z5814" s="28"/>
      <c r="AA5814" s="28" t="n">
        <f aca="false">Z5814*$M5814</f>
        <v>0</v>
      </c>
      <c r="AB5814" s="28"/>
      <c r="AC5814" s="28" t="n">
        <f aca="false">AB5814*$M5814</f>
        <v>0</v>
      </c>
      <c r="AD5814" s="28"/>
      <c r="AE5814" s="28" t="n">
        <f aca="false">AD5814*$M5814</f>
        <v>0</v>
      </c>
      <c r="AF5814" s="28"/>
      <c r="AG5814" s="28" t="n">
        <f aca="false">AF5814*$M5814</f>
        <v>0</v>
      </c>
      <c r="AH5814" s="28"/>
      <c r="AI5814" s="28" t="n">
        <f aca="false">AH5814*$M5814</f>
        <v>0</v>
      </c>
      <c r="AJ5814" s="28"/>
      <c r="AK5814" s="28" t="n">
        <f aca="false">AJ5814*$M5814</f>
        <v>0</v>
      </c>
      <c r="AL5814" s="28" t="n">
        <v>12</v>
      </c>
      <c r="AM5814" s="28" t="n">
        <v>204</v>
      </c>
      <c r="AN5814" s="28"/>
      <c r="AO5814" s="28" t="n">
        <f aca="false">AN5814*$M5814</f>
        <v>0</v>
      </c>
      <c r="AP5814" s="28"/>
      <c r="AQ5814" s="28" t="n">
        <f aca="false">AP5814*$M5814</f>
        <v>0</v>
      </c>
      <c r="AR5814" s="28"/>
      <c r="AS5814" s="28" t="n">
        <f aca="false">AR5814*$M5814</f>
        <v>0</v>
      </c>
      <c r="AT5814" s="28"/>
      <c r="AU5814" s="28" t="n">
        <f aca="false">AT5814*$M5814</f>
        <v>0</v>
      </c>
      <c r="AV5814" s="28"/>
      <c r="AW5814" s="28" t="n">
        <f aca="false">AV5814*$M5814</f>
        <v>0</v>
      </c>
      <c r="AX5814" s="28"/>
      <c r="AY5814" s="28" t="n">
        <f aca="false">AX5814*$M5814</f>
        <v>0</v>
      </c>
      <c r="AZ5814" s="30" t="n">
        <v>357</v>
      </c>
      <c r="BA5814" s="11" t="n">
        <v>6069</v>
      </c>
      <c r="BB5814" s="31" t="n">
        <f aca="false">SUM(Q5814,S5814,U5814,W5814,Y5814,AA5814,AC5814,AE5814,AG5814,AI5814,AK5814,AM5814,AO5814,AQ5814,AS5814,AU5814,AW5814,AY5814)</f>
        <v>6069</v>
      </c>
      <c r="BC5814" s="28" t="n">
        <f aca="false">BA5814-BB5814</f>
        <v>0</v>
      </c>
      <c r="BD5814" s="32" t="n">
        <f aca="false">SUM(P5814,R5814,T5814,V5814,X5814,Z5814,AB5814,AD5814,AF5814,AH5814,AJ5814,AL5814,AN5814,AP5814,AR5814,AT5814,AV5814,AX5814)</f>
        <v>357</v>
      </c>
      <c r="BE5814" s="33" t="n">
        <f aca="false">AZ5814-BD5814</f>
        <v>0</v>
      </c>
      <c r="BF5814" s="34" t="n">
        <f aca="false">BD5814*M5814</f>
        <v>6069</v>
      </c>
      <c r="BG5814" s="35" t="n">
        <f aca="false">BA5814-BF5814</f>
        <v>0</v>
      </c>
      <c r="BH5814" s="19" t="str">
        <f aca="false">IF(BG5814=0,"",IF(BG5814&lt;&gt;BA5814,"erreur de calcul",IF(BD5814&lt;&gt;0,"pas de prix",IF(M5814&lt;&gt; 0,"pas de quantité","pas de prix, ni de quantité"))))</f>
        <v/>
      </c>
      <c r="BI5814" s="19" t="s">
        <v>275</v>
      </c>
    </row>
    <row r="5815" customFormat="false" ht="15" hidden="false" customHeight="false" outlineLevel="0" collapsed="false">
      <c r="A5815" s="0" t="n">
        <v>33</v>
      </c>
      <c r="B5815" s="8" t="s">
        <v>24</v>
      </c>
      <c r="C5815" s="9" t="s">
        <v>25</v>
      </c>
      <c r="D5815" s="9" t="s">
        <v>26</v>
      </c>
      <c r="E5815" s="10" t="n">
        <v>1789</v>
      </c>
      <c r="F5815" s="9" t="s">
        <v>27</v>
      </c>
      <c r="G5815" s="9" t="s">
        <v>27</v>
      </c>
      <c r="H5815" s="11" t="n">
        <v>23</v>
      </c>
      <c r="I5815" s="11" t="s">
        <v>276</v>
      </c>
      <c r="J5815" s="14" t="n">
        <v>36</v>
      </c>
      <c r="K5815" s="14"/>
      <c r="L5815" s="16"/>
      <c r="M5815" s="27" t="n">
        <f aca="false">J5815+(K5815/20)+(L5815/240)</f>
        <v>36</v>
      </c>
      <c r="N5815" s="17" t="s">
        <v>275</v>
      </c>
      <c r="O5815" s="11" t="s">
        <v>277</v>
      </c>
      <c r="P5815" s="28"/>
      <c r="Q5815" s="28" t="n">
        <f aca="false">P5815*$M5815</f>
        <v>0</v>
      </c>
      <c r="R5815" s="28"/>
      <c r="S5815" s="28" t="n">
        <f aca="false">R5815*$M5815</f>
        <v>0</v>
      </c>
      <c r="T5815" s="28"/>
      <c r="U5815" s="28" t="n">
        <f aca="false">T5815*$M5815</f>
        <v>0</v>
      </c>
      <c r="V5815" s="28"/>
      <c r="W5815" s="28" t="n">
        <f aca="false">V5815*$M5815</f>
        <v>0</v>
      </c>
      <c r="X5815" s="28"/>
      <c r="Y5815" s="28" t="n">
        <f aca="false">X5815*$M5815</f>
        <v>0</v>
      </c>
      <c r="Z5815" s="28"/>
      <c r="AA5815" s="28" t="n">
        <f aca="false">Z5815*$M5815</f>
        <v>0</v>
      </c>
      <c r="AB5815" s="28"/>
      <c r="AC5815" s="28" t="n">
        <f aca="false">AB5815*$M5815</f>
        <v>0</v>
      </c>
      <c r="AD5815" s="28"/>
      <c r="AE5815" s="28" t="n">
        <f aca="false">AD5815*$M5815</f>
        <v>0</v>
      </c>
      <c r="AF5815" s="28"/>
      <c r="AG5815" s="28" t="n">
        <f aca="false">AF5815*$M5815</f>
        <v>0</v>
      </c>
      <c r="AH5815" s="28"/>
      <c r="AI5815" s="28" t="n">
        <f aca="false">AH5815*$M5815</f>
        <v>0</v>
      </c>
      <c r="AJ5815" s="28"/>
      <c r="AK5815" s="28" t="n">
        <f aca="false">AJ5815*$M5815</f>
        <v>0</v>
      </c>
      <c r="AL5815" s="28"/>
      <c r="AM5815" s="28" t="n">
        <f aca="false">AL5815*$M5815</f>
        <v>0</v>
      </c>
      <c r="AN5815" s="28"/>
      <c r="AO5815" s="28" t="n">
        <f aca="false">AN5815*$M5815</f>
        <v>0</v>
      </c>
      <c r="AP5815" s="28"/>
      <c r="AQ5815" s="28" t="n">
        <f aca="false">AP5815*$M5815</f>
        <v>0</v>
      </c>
      <c r="AR5815" s="28"/>
      <c r="AS5815" s="28" t="n">
        <f aca="false">AR5815*$M5815</f>
        <v>0</v>
      </c>
      <c r="AT5815" s="28"/>
      <c r="AU5815" s="28" t="n">
        <f aca="false">AT5815*$M5815</f>
        <v>0</v>
      </c>
      <c r="AV5815" s="28"/>
      <c r="AW5815" s="28" t="n">
        <f aca="false">AV5815*$M5815</f>
        <v>0</v>
      </c>
      <c r="AX5815" s="28"/>
      <c r="AY5815" s="28" t="n">
        <f aca="false">AX5815*$M5815</f>
        <v>0</v>
      </c>
      <c r="AZ5815" s="30"/>
      <c r="BA5815" s="11"/>
      <c r="BB5815" s="31" t="n">
        <f aca="false">SUM(Q5815,S5815,U5815,W5815,Y5815,AA5815,AC5815,AE5815,AG5815,AI5815,AK5815,AM5815,AO5815,AQ5815,AS5815,AU5815,AW5815,AY5815)</f>
        <v>0</v>
      </c>
      <c r="BC5815" s="28" t="n">
        <f aca="false">BA5815-BB5815</f>
        <v>0</v>
      </c>
      <c r="BD5815" s="32" t="n">
        <f aca="false">SUM(P5815,R5815,T5815,V5815,X5815,Z5815,AB5815,AD5815,AF5815,AH5815,AJ5815,AL5815,AN5815,AP5815,AR5815,AT5815,AV5815,AX5815)</f>
        <v>0</v>
      </c>
      <c r="BE5815" s="33" t="n">
        <f aca="false">AZ5815-BD5815</f>
        <v>0</v>
      </c>
      <c r="BF5815" s="34" t="n">
        <f aca="false">BD5815*M5815</f>
        <v>0</v>
      </c>
      <c r="BG5815" s="35" t="n">
        <f aca="false">BA5815-BF5815</f>
        <v>0</v>
      </c>
      <c r="BH5815" s="19" t="str">
        <f aca="false">IF(BG5815=0,"",IF(BG5815&lt;&gt;BA5815,"erreur de calcul",IF(BD5815&lt;&gt;0,"pas de prix",IF(M5815&lt;&gt; 0,"pas de quantité","pas de prix, ni de quantité"))))</f>
        <v/>
      </c>
      <c r="BI5815" s="19" t="s">
        <v>275</v>
      </c>
    </row>
    <row r="5816" customFormat="false" ht="15" hidden="false" customHeight="false" outlineLevel="0" collapsed="false">
      <c r="A5816" s="0" t="n">
        <v>34</v>
      </c>
      <c r="B5816" s="8" t="s">
        <v>24</v>
      </c>
      <c r="C5816" s="9" t="s">
        <v>25</v>
      </c>
      <c r="D5816" s="9" t="s">
        <v>26</v>
      </c>
      <c r="E5816" s="10" t="n">
        <v>1789</v>
      </c>
      <c r="F5816" s="9" t="s">
        <v>27</v>
      </c>
      <c r="G5816" s="9" t="s">
        <v>27</v>
      </c>
      <c r="H5816" s="11" t="n">
        <v>23</v>
      </c>
      <c r="I5816" s="11" t="s">
        <v>276</v>
      </c>
      <c r="J5816" s="14" t="n">
        <v>36</v>
      </c>
      <c r="K5816" s="14"/>
      <c r="L5816" s="16"/>
      <c r="M5816" s="27" t="n">
        <f aca="false">J5816+(K5816/20)+(L5816/240)</f>
        <v>36</v>
      </c>
      <c r="N5816" s="17" t="s">
        <v>275</v>
      </c>
      <c r="O5816" s="11" t="s">
        <v>77</v>
      </c>
      <c r="P5816" s="28" t="n">
        <v>7250</v>
      </c>
      <c r="Q5816" s="28" t="n">
        <v>261000</v>
      </c>
      <c r="R5816" s="28"/>
      <c r="S5816" s="28" t="n">
        <f aca="false">R5816*$M5816</f>
        <v>0</v>
      </c>
      <c r="T5816" s="28" t="n">
        <v>38389</v>
      </c>
      <c r="U5816" s="28" t="n">
        <v>1382004</v>
      </c>
      <c r="V5816" s="28" t="n">
        <v>19350</v>
      </c>
      <c r="W5816" s="28" t="n">
        <v>696600</v>
      </c>
      <c r="X5816" s="28" t="n">
        <v>25392</v>
      </c>
      <c r="Y5816" s="28" t="n">
        <v>914112</v>
      </c>
      <c r="Z5816" s="28" t="n">
        <v>31863</v>
      </c>
      <c r="AA5816" s="28" t="n">
        <v>1147068</v>
      </c>
      <c r="AB5816" s="28" t="n">
        <v>149064</v>
      </c>
      <c r="AC5816" s="28" t="n">
        <v>5366304</v>
      </c>
      <c r="AD5816" s="28" t="n">
        <v>1270</v>
      </c>
      <c r="AE5816" s="28" t="n">
        <v>45720</v>
      </c>
      <c r="AF5816" s="28" t="n">
        <v>54784</v>
      </c>
      <c r="AG5816" s="28" t="n">
        <v>1972224</v>
      </c>
      <c r="AH5816" s="28" t="n">
        <v>1200</v>
      </c>
      <c r="AI5816" s="28" t="n">
        <v>43200</v>
      </c>
      <c r="AJ5816" s="28" t="n">
        <v>10055</v>
      </c>
      <c r="AK5816" s="28" t="n">
        <v>361980</v>
      </c>
      <c r="AL5816" s="28"/>
      <c r="AM5816" s="28" t="n">
        <f aca="false">AL5816*$M5816</f>
        <v>0</v>
      </c>
      <c r="AN5816" s="28"/>
      <c r="AO5816" s="28" t="n">
        <f aca="false">AN5816*$M5816</f>
        <v>0</v>
      </c>
      <c r="AP5816" s="28" t="n">
        <v>220</v>
      </c>
      <c r="AQ5816" s="28" t="n">
        <f aca="false">AP5816*$M5816</f>
        <v>7920</v>
      </c>
      <c r="AR5816" s="28"/>
      <c r="AS5816" s="28" t="n">
        <f aca="false">AR5816*$M5816</f>
        <v>0</v>
      </c>
      <c r="AT5816" s="28"/>
      <c r="AU5816" s="28" t="n">
        <f aca="false">AT5816*$M5816</f>
        <v>0</v>
      </c>
      <c r="AV5816" s="28" t="n">
        <v>100</v>
      </c>
      <c r="AW5816" s="28" t="n">
        <v>3600</v>
      </c>
      <c r="AX5816" s="28" t="n">
        <v>9241</v>
      </c>
      <c r="AY5816" s="28" t="n">
        <v>332676</v>
      </c>
      <c r="AZ5816" s="30" t="n">
        <v>348178</v>
      </c>
      <c r="BA5816" s="11" t="n">
        <v>12534408</v>
      </c>
      <c r="BB5816" s="31" t="n">
        <f aca="false">SUM(Q5816,S5816,U5816,W5816,Y5816,AA5816,AC5816,AE5816,AG5816,AI5816,AK5816,AM5816,AO5816,AQ5816,AS5816,AU5816,AW5816,AY5816)</f>
        <v>12534408</v>
      </c>
      <c r="BC5816" s="28" t="n">
        <f aca="false">BA5816-BB5816</f>
        <v>0</v>
      </c>
      <c r="BD5816" s="32" t="n">
        <f aca="false">SUM(P5816,R5816,T5816,V5816,X5816,Z5816,AB5816,AD5816,AF5816,AH5816,AJ5816,AL5816,AN5816,AP5816,AR5816,AT5816,AV5816,AX5816)</f>
        <v>348178</v>
      </c>
      <c r="BE5816" s="33" t="n">
        <f aca="false">AZ5816-BD5816</f>
        <v>0</v>
      </c>
      <c r="BF5816" s="34" t="n">
        <f aca="false">BD5816*M5816</f>
        <v>12534408</v>
      </c>
      <c r="BG5816" s="35" t="n">
        <f aca="false">BA5816-BF5816</f>
        <v>0</v>
      </c>
      <c r="BH5816" s="19" t="str">
        <f aca="false">IF(BG5816=0,"",IF(BG5816&lt;&gt;BA5816,"erreur de calcul",IF(BD5816&lt;&gt;0,"pas de prix",IF(M5816&lt;&gt; 0,"pas de quantité","pas de prix, ni de quantité"))))</f>
        <v/>
      </c>
      <c r="BI5816" s="19"/>
    </row>
    <row r="5817" customFormat="false" ht="15" hidden="false" customHeight="false" outlineLevel="0" collapsed="false">
      <c r="A5817" s="0" t="n">
        <v>35</v>
      </c>
      <c r="B5817" s="8" t="s">
        <v>24</v>
      </c>
      <c r="C5817" s="9" t="s">
        <v>25</v>
      </c>
      <c r="D5817" s="9" t="s">
        <v>26</v>
      </c>
      <c r="E5817" s="10" t="n">
        <v>1789</v>
      </c>
      <c r="F5817" s="9" t="s">
        <v>27</v>
      </c>
      <c r="G5817" s="9" t="s">
        <v>27</v>
      </c>
      <c r="H5817" s="11" t="n">
        <v>23</v>
      </c>
      <c r="I5817" s="11" t="s">
        <v>278</v>
      </c>
      <c r="J5817" s="14" t="n">
        <v>12</v>
      </c>
      <c r="K5817" s="14"/>
      <c r="L5817" s="16"/>
      <c r="M5817" s="27" t="n">
        <f aca="false">J5817+(K5817/20)+(L5817/240)</f>
        <v>12</v>
      </c>
      <c r="N5817" s="17" t="s">
        <v>64</v>
      </c>
      <c r="O5817" s="11" t="s">
        <v>77</v>
      </c>
      <c r="P5817" s="28" t="n">
        <f aca="false">351312/100</f>
        <v>3513.12</v>
      </c>
      <c r="Q5817" s="28" t="n">
        <v>42157</v>
      </c>
      <c r="R5817" s="28"/>
      <c r="S5817" s="28" t="n">
        <f aca="false">R5817*$M5817</f>
        <v>0</v>
      </c>
      <c r="T5817" s="28" t="n">
        <f aca="false">52251/100</f>
        <v>522.51</v>
      </c>
      <c r="U5817" s="28" t="n">
        <v>6270</v>
      </c>
      <c r="V5817" s="28" t="n">
        <f aca="false">2393/100</f>
        <v>23.93</v>
      </c>
      <c r="W5817" s="28" t="n">
        <v>287</v>
      </c>
      <c r="X5817" s="28" t="n">
        <f aca="false">44842/100</f>
        <v>448.42</v>
      </c>
      <c r="Y5817" s="28" t="n">
        <v>5381</v>
      </c>
      <c r="Z5817" s="28"/>
      <c r="AA5817" s="28" t="n">
        <f aca="false">Z5817*$M5817</f>
        <v>0</v>
      </c>
      <c r="AB5817" s="28"/>
      <c r="AC5817" s="28" t="n">
        <f aca="false">AB5817*$M5817</f>
        <v>0</v>
      </c>
      <c r="AD5817" s="28"/>
      <c r="AE5817" s="28" t="n">
        <f aca="false">AD5817*$M5817</f>
        <v>0</v>
      </c>
      <c r="AF5817" s="28" t="n">
        <f aca="false">164167/100</f>
        <v>1641.67</v>
      </c>
      <c r="AG5817" s="28" t="n">
        <v>19700</v>
      </c>
      <c r="AH5817" s="28"/>
      <c r="AI5817" s="28" t="n">
        <f aca="false">AH5817*$M5817</f>
        <v>0</v>
      </c>
      <c r="AJ5817" s="28"/>
      <c r="AK5817" s="28" t="n">
        <f aca="false">AJ5817*$M5817</f>
        <v>0</v>
      </c>
      <c r="AL5817" s="28"/>
      <c r="AM5817" s="28" t="n">
        <f aca="false">AL5817*$M5817</f>
        <v>0</v>
      </c>
      <c r="AN5817" s="28"/>
      <c r="AO5817" s="28" t="n">
        <f aca="false">AN5817*$M5817</f>
        <v>0</v>
      </c>
      <c r="AP5817" s="28"/>
      <c r="AQ5817" s="28" t="n">
        <f aca="false">AP5817*$M5817</f>
        <v>0</v>
      </c>
      <c r="AR5817" s="28"/>
      <c r="AS5817" s="28" t="n">
        <f aca="false">AR5817*$M5817</f>
        <v>0</v>
      </c>
      <c r="AT5817" s="28"/>
      <c r="AU5817" s="28" t="n">
        <f aca="false">AT5817*$M5817</f>
        <v>0</v>
      </c>
      <c r="AV5817" s="28"/>
      <c r="AW5817" s="28" t="n">
        <f aca="false">AV5817*$M5817</f>
        <v>0</v>
      </c>
      <c r="AX5817" s="28" t="n">
        <f aca="false">25000/100</f>
        <v>250</v>
      </c>
      <c r="AY5817" s="28" t="n">
        <v>3000</v>
      </c>
      <c r="AZ5817" s="30"/>
      <c r="BA5817" s="11" t="n">
        <v>76795</v>
      </c>
      <c r="BB5817" s="31" t="n">
        <f aca="false">SUM(Q5817,S5817,U5817,W5817,Y5817,AA5817,AC5817,AE5817,AG5817,AI5817,AK5817,AM5817,AO5817,AQ5817,AS5817,AU5817,AW5817,AY5817)</f>
        <v>76795</v>
      </c>
      <c r="BC5817" s="28" t="n">
        <f aca="false">BA5817-BB5817</f>
        <v>0</v>
      </c>
      <c r="BD5817" s="32" t="n">
        <f aca="false">SUM(P5817,R5817,T5817,V5817,X5817,Z5817,AB5817,AD5817,AF5817,AH5817,AJ5817,AL5817,AN5817,AP5817,AR5817,AT5817,AV5817,AX5817)</f>
        <v>6399.65</v>
      </c>
      <c r="BE5817" s="33" t="n">
        <f aca="false">AZ5817-BD5817</f>
        <v>-6399.65</v>
      </c>
      <c r="BF5817" s="34" t="n">
        <f aca="false">BD5817*M5817</f>
        <v>76795.8</v>
      </c>
      <c r="BG5817" s="35" t="n">
        <f aca="false">BA5817-BF5817</f>
        <v>-0.799999999988359</v>
      </c>
      <c r="BH5817" s="19" t="str">
        <f aca="false">IF(BG5817=0,"",IF(BG5817&lt;&gt;BA5817,"erreur de calcul",IF(BD5817&lt;&gt;0,"pas de prix",IF(M5817&lt;&gt; 0,"pas de quantité","pas de prix, ni de quantité"))))</f>
        <v>erreur de calcul</v>
      </c>
      <c r="BI5817" s="19"/>
    </row>
    <row r="5818" customFormat="false" ht="15" hidden="false" customHeight="false" outlineLevel="0" collapsed="false">
      <c r="A5818" s="0" t="n">
        <v>36</v>
      </c>
      <c r="B5818" s="8" t="s">
        <v>24</v>
      </c>
      <c r="C5818" s="9" t="s">
        <v>25</v>
      </c>
      <c r="D5818" s="9" t="s">
        <v>26</v>
      </c>
      <c r="E5818" s="10" t="n">
        <v>1789</v>
      </c>
      <c r="F5818" s="9" t="s">
        <v>27</v>
      </c>
      <c r="G5818" s="9" t="s">
        <v>27</v>
      </c>
      <c r="H5818" s="11" t="n">
        <v>23</v>
      </c>
      <c r="I5818" s="11" t="s">
        <v>279</v>
      </c>
      <c r="J5818" s="14" t="n">
        <v>18</v>
      </c>
      <c r="K5818" s="14"/>
      <c r="L5818" s="16"/>
      <c r="M5818" s="27" t="n">
        <f aca="false">J5818+(K5818/20)+(L5818/240)</f>
        <v>18</v>
      </c>
      <c r="N5818" s="17" t="s">
        <v>275</v>
      </c>
      <c r="O5818" s="11"/>
      <c r="P5818" s="28"/>
      <c r="Q5818" s="28" t="n">
        <f aca="false">P5818*$M5818</f>
        <v>0</v>
      </c>
      <c r="R5818" s="28"/>
      <c r="S5818" s="28" t="n">
        <f aca="false">R5818*$M5818</f>
        <v>0</v>
      </c>
      <c r="T5818" s="28" t="n">
        <v>100</v>
      </c>
      <c r="U5818" s="28" t="n">
        <v>1800</v>
      </c>
      <c r="V5818" s="28"/>
      <c r="W5818" s="28" t="n">
        <f aca="false">V5818*$M5818</f>
        <v>0</v>
      </c>
      <c r="X5818" s="28"/>
      <c r="Y5818" s="28" t="n">
        <f aca="false">X5818*$M5818</f>
        <v>0</v>
      </c>
      <c r="Z5818" s="28"/>
      <c r="AA5818" s="28" t="n">
        <f aca="false">Z5818*$M5818</f>
        <v>0</v>
      </c>
      <c r="AB5818" s="28" t="n">
        <v>1936</v>
      </c>
      <c r="AC5818" s="28" t="n">
        <v>34848</v>
      </c>
      <c r="AD5818" s="28"/>
      <c r="AE5818" s="28" t="n">
        <f aca="false">AD5818*$M5818</f>
        <v>0</v>
      </c>
      <c r="AF5818" s="28" t="n">
        <v>600</v>
      </c>
      <c r="AG5818" s="28" t="n">
        <v>10800</v>
      </c>
      <c r="AH5818" s="28"/>
      <c r="AI5818" s="28" t="n">
        <f aca="false">AH5818*$M5818</f>
        <v>0</v>
      </c>
      <c r="AJ5818" s="28"/>
      <c r="AK5818" s="28" t="n">
        <f aca="false">AJ5818*$M5818</f>
        <v>0</v>
      </c>
      <c r="AL5818" s="28" t="n">
        <v>12</v>
      </c>
      <c r="AM5818" s="28" t="n">
        <v>216</v>
      </c>
      <c r="AN5818" s="28"/>
      <c r="AO5818" s="28" t="n">
        <f aca="false">AN5818*$M5818</f>
        <v>0</v>
      </c>
      <c r="AP5818" s="28" t="n">
        <v>12</v>
      </c>
      <c r="AQ5818" s="28" t="n">
        <v>216</v>
      </c>
      <c r="AR5818" s="28"/>
      <c r="AS5818" s="28" t="n">
        <f aca="false">AR5818*$M5818</f>
        <v>0</v>
      </c>
      <c r="AT5818" s="28"/>
      <c r="AU5818" s="28" t="n">
        <f aca="false">AT5818*$M5818</f>
        <v>0</v>
      </c>
      <c r="AV5818" s="28"/>
      <c r="AW5818" s="28" t="n">
        <f aca="false">AV5818*$M5818</f>
        <v>0</v>
      </c>
      <c r="AX5818" s="28"/>
      <c r="AY5818" s="28" t="n">
        <f aca="false">AX5818*$M5818</f>
        <v>0</v>
      </c>
      <c r="AZ5818" s="30" t="n">
        <v>2660</v>
      </c>
      <c r="BA5818" s="11" t="n">
        <v>47880</v>
      </c>
      <c r="BB5818" s="31" t="n">
        <f aca="false">SUM(Q5818,S5818,U5818,W5818,Y5818,AA5818,AC5818,AE5818,AG5818,AI5818,AK5818,AM5818,AO5818,AQ5818,AS5818,AU5818,AW5818,AY5818)</f>
        <v>47880</v>
      </c>
      <c r="BC5818" s="28" t="n">
        <f aca="false">BA5818-BB5818</f>
        <v>0</v>
      </c>
      <c r="BD5818" s="32" t="n">
        <f aca="false">SUM(P5818,R5818,T5818,V5818,X5818,Z5818,AB5818,AD5818,AF5818,AH5818,AJ5818,AL5818,AN5818,AP5818,AR5818,AT5818,AV5818,AX5818)</f>
        <v>2660</v>
      </c>
      <c r="BE5818" s="33" t="n">
        <f aca="false">AZ5818-BD5818</f>
        <v>0</v>
      </c>
      <c r="BF5818" s="34" t="n">
        <f aca="false">BD5818*M5818</f>
        <v>47880</v>
      </c>
      <c r="BG5818" s="35" t="n">
        <f aca="false">BA5818-BF5818</f>
        <v>0</v>
      </c>
      <c r="BH5818" s="19" t="str">
        <f aca="false">IF(BG5818=0,"",IF(BG5818&lt;&gt;BA5818,"erreur de calcul",IF(BD5818&lt;&gt;0,"pas de prix",IF(M5818&lt;&gt; 0,"pas de quantité","pas de prix, ni de quantité"))))</f>
        <v/>
      </c>
      <c r="BI5818" s="19"/>
    </row>
    <row r="5819" customFormat="false" ht="15" hidden="false" customHeight="false" outlineLevel="0" collapsed="false">
      <c r="A5819" s="0" t="n">
        <v>37</v>
      </c>
      <c r="B5819" s="8" t="s">
        <v>24</v>
      </c>
      <c r="C5819" s="9" t="s">
        <v>25</v>
      </c>
      <c r="D5819" s="9" t="s">
        <v>26</v>
      </c>
      <c r="E5819" s="10" t="n">
        <v>1789</v>
      </c>
      <c r="F5819" s="9" t="s">
        <v>27</v>
      </c>
      <c r="G5819" s="9" t="s">
        <v>27</v>
      </c>
      <c r="H5819" s="11" t="n">
        <v>23</v>
      </c>
      <c r="I5819" s="11" t="s">
        <v>280</v>
      </c>
      <c r="J5819" s="14" t="n">
        <v>25</v>
      </c>
      <c r="K5819" s="14"/>
      <c r="L5819" s="16"/>
      <c r="M5819" s="27" t="n">
        <f aca="false">J5819+(K5819/20)+(L5819/240)</f>
        <v>25</v>
      </c>
      <c r="N5819" s="17" t="s">
        <v>64</v>
      </c>
      <c r="O5819" s="11"/>
      <c r="P5819" s="28"/>
      <c r="Q5819" s="28" t="n">
        <f aca="false">P5819*$M5819</f>
        <v>0</v>
      </c>
      <c r="R5819" s="28"/>
      <c r="S5819" s="28" t="n">
        <f aca="false">R5819*$M5819</f>
        <v>0</v>
      </c>
      <c r="T5819" s="28" t="n">
        <f aca="false">1664501/100</f>
        <v>16645.01</v>
      </c>
      <c r="U5819" s="28" t="n">
        <v>416125</v>
      </c>
      <c r="V5819" s="28" t="n">
        <f aca="false">2171980/100</f>
        <v>21719.8</v>
      </c>
      <c r="W5819" s="28" t="n">
        <v>542995</v>
      </c>
      <c r="X5819" s="28" t="n">
        <f aca="false">11567/100</f>
        <v>115.67</v>
      </c>
      <c r="Y5819" s="28" t="n">
        <v>2892</v>
      </c>
      <c r="Z5819" s="28" t="n">
        <f aca="false">985/100</f>
        <v>9.85</v>
      </c>
      <c r="AA5819" s="28" t="n">
        <v>246</v>
      </c>
      <c r="AB5819" s="28" t="n">
        <f aca="false">399494/100</f>
        <v>3994.94</v>
      </c>
      <c r="AC5819" s="28" t="n">
        <v>99873</v>
      </c>
      <c r="AD5819" s="28"/>
      <c r="AE5819" s="28" t="n">
        <f aca="false">AD5819*$M5819</f>
        <v>0</v>
      </c>
      <c r="AF5819" s="28"/>
      <c r="AG5819" s="28" t="n">
        <f aca="false">AF5819*$M5819</f>
        <v>0</v>
      </c>
      <c r="AH5819" s="28"/>
      <c r="AI5819" s="28" t="n">
        <f aca="false">AH5819*$M5819</f>
        <v>0</v>
      </c>
      <c r="AJ5819" s="28"/>
      <c r="AK5819" s="28" t="n">
        <f aca="false">AJ5819*$M5819</f>
        <v>0</v>
      </c>
      <c r="AL5819" s="28"/>
      <c r="AM5819" s="28" t="n">
        <f aca="false">AL5819*$M5819</f>
        <v>0</v>
      </c>
      <c r="AN5819" s="28"/>
      <c r="AO5819" s="28" t="n">
        <f aca="false">AN5819*$M5819</f>
        <v>0</v>
      </c>
      <c r="AP5819" s="28"/>
      <c r="AQ5819" s="28" t="n">
        <f aca="false">AP5819*$M5819</f>
        <v>0</v>
      </c>
      <c r="AR5819" s="28"/>
      <c r="AS5819" s="28" t="n">
        <f aca="false">AR5819*$M5819</f>
        <v>0</v>
      </c>
      <c r="AT5819" s="28"/>
      <c r="AU5819" s="28" t="n">
        <f aca="false">AT5819*$M5819</f>
        <v>0</v>
      </c>
      <c r="AV5819" s="28"/>
      <c r="AW5819" s="28" t="n">
        <f aca="false">AV5819*$M5819</f>
        <v>0</v>
      </c>
      <c r="AX5819" s="28" t="n">
        <f aca="false">57000/100</f>
        <v>570</v>
      </c>
      <c r="AY5819" s="28" t="n">
        <v>14250</v>
      </c>
      <c r="AZ5819" s="30" t="n">
        <f aca="false">4305527/100</f>
        <v>43055.27</v>
      </c>
      <c r="BA5819" s="11" t="n">
        <v>1076381</v>
      </c>
      <c r="BB5819" s="31" t="n">
        <f aca="false">SUM(Q5819,S5819,U5819,W5819,Y5819,AA5819,AC5819,AE5819,AG5819,AI5819,AK5819,AM5819,AO5819,AQ5819,AS5819,AU5819,AW5819,AY5819)</f>
        <v>1076381</v>
      </c>
      <c r="BC5819" s="28" t="n">
        <f aca="false">BA5819-BB5819</f>
        <v>0</v>
      </c>
      <c r="BD5819" s="32" t="n">
        <f aca="false">SUM(P5819,R5819,T5819,V5819,X5819,Z5819,AB5819,AD5819,AF5819,AH5819,AJ5819,AL5819,AN5819,AP5819,AR5819,AT5819,AV5819,AX5819)</f>
        <v>43055.27</v>
      </c>
      <c r="BE5819" s="33" t="n">
        <f aca="false">AZ5819-BD5819</f>
        <v>0</v>
      </c>
      <c r="BF5819" s="34" t="n">
        <f aca="false">BD5819*M5819</f>
        <v>1076381.75</v>
      </c>
      <c r="BG5819" s="35" t="n">
        <f aca="false">BA5819-BF5819</f>
        <v>-0.75</v>
      </c>
      <c r="BH5819" s="19" t="str">
        <f aca="false">IF(BG5819=0,"",IF(BG5819&lt;&gt;BA5819,"erreur de calcul",IF(BD5819&lt;&gt;0,"pas de prix",IF(M5819&lt;&gt; 0,"pas de quantité","pas de prix, ni de quantité"))))</f>
        <v>erreur de calcul</v>
      </c>
      <c r="BI5819" s="19"/>
    </row>
    <row r="5820" customFormat="false" ht="15" hidden="false" customHeight="false" outlineLevel="0" collapsed="false">
      <c r="A5820" s="0" t="n">
        <v>38</v>
      </c>
      <c r="B5820" s="8" t="s">
        <v>24</v>
      </c>
      <c r="C5820" s="9" t="s">
        <v>25</v>
      </c>
      <c r="D5820" s="9" t="s">
        <v>26</v>
      </c>
      <c r="E5820" s="10" t="n">
        <v>1789</v>
      </c>
      <c r="F5820" s="9" t="s">
        <v>27</v>
      </c>
      <c r="G5820" s="9" t="s">
        <v>27</v>
      </c>
      <c r="H5820" s="11" t="n">
        <v>23</v>
      </c>
      <c r="I5820" s="11" t="s">
        <v>281</v>
      </c>
      <c r="J5820" s="14" t="n">
        <v>18</v>
      </c>
      <c r="K5820" s="14"/>
      <c r="L5820" s="16"/>
      <c r="M5820" s="27" t="n">
        <f aca="false">J5820+(K5820/20)+(L5820/240)</f>
        <v>18</v>
      </c>
      <c r="N5820" s="17" t="s">
        <v>275</v>
      </c>
      <c r="O5820" s="11"/>
      <c r="P5820" s="28"/>
      <c r="Q5820" s="28" t="n">
        <f aca="false">P5820*$M5820</f>
        <v>0</v>
      </c>
      <c r="R5820" s="28"/>
      <c r="S5820" s="28" t="n">
        <f aca="false">R5820*$M5820</f>
        <v>0</v>
      </c>
      <c r="T5820" s="28" t="n">
        <v>537</v>
      </c>
      <c r="U5820" s="28" t="n">
        <v>9666</v>
      </c>
      <c r="V5820" s="28"/>
      <c r="W5820" s="28" t="n">
        <f aca="false">V5820*$M5820</f>
        <v>0</v>
      </c>
      <c r="X5820" s="28"/>
      <c r="Y5820" s="28" t="n">
        <f aca="false">X5820*$M5820</f>
        <v>0</v>
      </c>
      <c r="Z5820" s="28"/>
      <c r="AA5820" s="28" t="n">
        <f aca="false">Z5820*$M5820</f>
        <v>0</v>
      </c>
      <c r="AB5820" s="28"/>
      <c r="AC5820" s="28" t="n">
        <f aca="false">AB5820*$M5820</f>
        <v>0</v>
      </c>
      <c r="AD5820" s="28"/>
      <c r="AE5820" s="28" t="n">
        <f aca="false">AD5820*$M5820</f>
        <v>0</v>
      </c>
      <c r="AF5820" s="28"/>
      <c r="AG5820" s="28" t="n">
        <f aca="false">AF5820*$M5820</f>
        <v>0</v>
      </c>
      <c r="AH5820" s="28"/>
      <c r="AI5820" s="28" t="n">
        <f aca="false">AH5820*$M5820</f>
        <v>0</v>
      </c>
      <c r="AJ5820" s="28"/>
      <c r="AK5820" s="28" t="n">
        <f aca="false">AJ5820*$M5820</f>
        <v>0</v>
      </c>
      <c r="AL5820" s="28"/>
      <c r="AM5820" s="28" t="n">
        <f aca="false">AL5820*$M5820</f>
        <v>0</v>
      </c>
      <c r="AN5820" s="28"/>
      <c r="AO5820" s="28" t="n">
        <f aca="false">AN5820*$M5820</f>
        <v>0</v>
      </c>
      <c r="AP5820" s="28"/>
      <c r="AQ5820" s="28" t="n">
        <f aca="false">AP5820*$M5820</f>
        <v>0</v>
      </c>
      <c r="AR5820" s="28"/>
      <c r="AS5820" s="28" t="n">
        <f aca="false">AR5820*$M5820</f>
        <v>0</v>
      </c>
      <c r="AT5820" s="28"/>
      <c r="AU5820" s="28" t="n">
        <f aca="false">AT5820*$M5820</f>
        <v>0</v>
      </c>
      <c r="AV5820" s="28" t="n">
        <v>1700</v>
      </c>
      <c r="AW5820" s="36" t="n">
        <v>33600</v>
      </c>
      <c r="AX5820" s="28"/>
      <c r="AY5820" s="28" t="n">
        <f aca="false">AX5820*$M5820</f>
        <v>0</v>
      </c>
      <c r="AZ5820" s="30" t="n">
        <v>2237</v>
      </c>
      <c r="BA5820" s="11" t="n">
        <v>43266</v>
      </c>
      <c r="BB5820" s="31" t="n">
        <f aca="false">SUM(Q5820,S5820,U5820,W5820,Y5820,AA5820,AC5820,AE5820,AG5820,AI5820,AK5820,AM5820,AO5820,AQ5820,AS5820,AU5820,AW5820,AY5820)</f>
        <v>43266</v>
      </c>
      <c r="BC5820" s="28" t="n">
        <f aca="false">BA5820-BB5820</f>
        <v>0</v>
      </c>
      <c r="BD5820" s="32" t="n">
        <f aca="false">SUM(P5820,R5820,T5820,V5820,X5820,Z5820,AB5820,AD5820,AF5820,AH5820,AJ5820,AL5820,AN5820,AP5820,AR5820,AT5820,AV5820,AX5820)</f>
        <v>2237</v>
      </c>
      <c r="BE5820" s="33" t="n">
        <f aca="false">AZ5820-BD5820</f>
        <v>0</v>
      </c>
      <c r="BF5820" s="34" t="n">
        <f aca="false">BD5820*M5820</f>
        <v>40266</v>
      </c>
      <c r="BG5820" s="35" t="n">
        <f aca="false">BA5820-BF5820</f>
        <v>3000</v>
      </c>
      <c r="BH5820" s="19" t="str">
        <f aca="false">IF(BG5820=0,"",IF(BG5820&lt;&gt;BA5820,"erreur de calcul",IF(BD5820&lt;&gt;0,"pas de prix",IF(M5820&lt;&gt; 0,"pas de quantité","pas de prix, ni de quantité"))))</f>
        <v>erreur de calcul</v>
      </c>
      <c r="BI5820" s="19"/>
    </row>
    <row r="5821" customFormat="false" ht="15" hidden="false" customHeight="false" outlineLevel="0" collapsed="false">
      <c r="A5821" s="0" t="n">
        <v>39</v>
      </c>
      <c r="B5821" s="8" t="s">
        <v>24</v>
      </c>
      <c r="C5821" s="9" t="s">
        <v>25</v>
      </c>
      <c r="D5821" s="9" t="s">
        <v>26</v>
      </c>
      <c r="E5821" s="10" t="n">
        <v>1789</v>
      </c>
      <c r="F5821" s="9" t="s">
        <v>27</v>
      </c>
      <c r="G5821" s="9" t="s">
        <v>27</v>
      </c>
      <c r="H5821" s="11" t="n">
        <v>23</v>
      </c>
      <c r="I5821" s="11" t="s">
        <v>282</v>
      </c>
      <c r="J5821" s="14"/>
      <c r="K5821" s="14"/>
      <c r="L5821" s="16"/>
      <c r="M5821" s="27" t="n">
        <f aca="false">J5821+(K5821/20)+(L5821/240)</f>
        <v>0</v>
      </c>
      <c r="N5821" s="17"/>
      <c r="O5821" s="11"/>
      <c r="P5821" s="28"/>
      <c r="Q5821" s="28" t="n">
        <f aca="false">P5821*$M5821</f>
        <v>0</v>
      </c>
      <c r="R5821" s="28"/>
      <c r="S5821" s="28" t="n">
        <f aca="false">R5821*$M5821</f>
        <v>0</v>
      </c>
      <c r="T5821" s="28"/>
      <c r="U5821" s="28" t="n">
        <v>1962</v>
      </c>
      <c r="V5821" s="28"/>
      <c r="W5821" s="28" t="n">
        <v>148</v>
      </c>
      <c r="X5821" s="28"/>
      <c r="Y5821" s="28" t="n">
        <v>221</v>
      </c>
      <c r="Z5821" s="28"/>
      <c r="AA5821" s="28" t="n">
        <f aca="false">Z5821*$M5821</f>
        <v>0</v>
      </c>
      <c r="AB5821" s="28"/>
      <c r="AC5821" s="28" t="n">
        <v>725</v>
      </c>
      <c r="AD5821" s="28"/>
      <c r="AE5821" s="28" t="n">
        <f aca="false">AD5821*$M5821</f>
        <v>0</v>
      </c>
      <c r="AF5821" s="28"/>
      <c r="AG5821" s="28" t="n">
        <v>414</v>
      </c>
      <c r="AH5821" s="28"/>
      <c r="AI5821" s="28" t="n">
        <f aca="false">AH5821*$M5821</f>
        <v>0</v>
      </c>
      <c r="AJ5821" s="28"/>
      <c r="AK5821" s="28" t="n">
        <f aca="false">AJ5821*$M5821</f>
        <v>0</v>
      </c>
      <c r="AL5821" s="28"/>
      <c r="AM5821" s="28" t="n">
        <f aca="false">AL5821*$M5821</f>
        <v>0</v>
      </c>
      <c r="AN5821" s="28"/>
      <c r="AO5821" s="28" t="n">
        <f aca="false">AN5821*$M5821</f>
        <v>0</v>
      </c>
      <c r="AP5821" s="28"/>
      <c r="AQ5821" s="28" t="n">
        <f aca="false">AP5821*$M5821</f>
        <v>0</v>
      </c>
      <c r="AR5821" s="28"/>
      <c r="AS5821" s="28" t="n">
        <f aca="false">AR5821*$M5821</f>
        <v>0</v>
      </c>
      <c r="AT5821" s="28"/>
      <c r="AU5821" s="28" t="n">
        <v>276</v>
      </c>
      <c r="AV5821" s="28"/>
      <c r="AW5821" s="28" t="n">
        <f aca="false">AV5821*$M5821</f>
        <v>0</v>
      </c>
      <c r="AX5821" s="28"/>
      <c r="AY5821" s="28" t="n">
        <f aca="false">AX5821*$M5821</f>
        <v>0</v>
      </c>
      <c r="AZ5821" s="30"/>
      <c r="BA5821" s="11" t="n">
        <v>3746</v>
      </c>
      <c r="BB5821" s="31" t="n">
        <f aca="false">SUM(Q5821,S5821,U5821,W5821,Y5821,AA5821,AC5821,AE5821,AG5821,AI5821,AK5821,AM5821,AO5821,AQ5821,AS5821,AU5821,AW5821,AY5821)</f>
        <v>3746</v>
      </c>
      <c r="BC5821" s="28" t="n">
        <f aca="false">BA5821-BB5821</f>
        <v>0</v>
      </c>
      <c r="BD5821" s="32" t="n">
        <f aca="false">SUM(P5821,R5821,T5821,V5821,X5821,Z5821,AB5821,AD5821,AF5821,AH5821,AJ5821,AL5821,AN5821,AP5821,AR5821,AT5821,AV5821,AX5821)</f>
        <v>0</v>
      </c>
      <c r="BE5821" s="33" t="n">
        <f aca="false">AZ5821-BD5821</f>
        <v>0</v>
      </c>
      <c r="BF5821" s="34" t="n">
        <f aca="false">BD5821*M5821</f>
        <v>0</v>
      </c>
      <c r="BG5821" s="35" t="n">
        <f aca="false">BA5821-BF5821</f>
        <v>3746</v>
      </c>
      <c r="BH5821" s="19" t="str">
        <f aca="false">IF(BG5821=0,"",IF(BG5821&lt;&gt;BA5821,"erreur de calcul",IF(BD5821&lt;&gt;0,"pas de prix",IF(M5821&lt;&gt; 0,"pas de quantité","pas de prix, ni de quantité"))))</f>
        <v>pas de prix, ni de quantité</v>
      </c>
      <c r="BI5821" s="19"/>
    </row>
    <row r="5822" customFormat="false" ht="15" hidden="false" customHeight="false" outlineLevel="0" collapsed="false">
      <c r="A5822" s="0" t="n">
        <v>40</v>
      </c>
      <c r="B5822" s="8" t="s">
        <v>24</v>
      </c>
      <c r="C5822" s="9" t="s">
        <v>25</v>
      </c>
      <c r="D5822" s="9" t="s">
        <v>26</v>
      </c>
      <c r="E5822" s="10" t="n">
        <v>1789</v>
      </c>
      <c r="F5822" s="9" t="s">
        <v>27</v>
      </c>
      <c r="G5822" s="9" t="s">
        <v>27</v>
      </c>
      <c r="H5822" s="11" t="n">
        <v>23</v>
      </c>
      <c r="I5822" s="11" t="s">
        <v>283</v>
      </c>
      <c r="J5822" s="14" t="n">
        <v>25</v>
      </c>
      <c r="K5822" s="14"/>
      <c r="L5822" s="16"/>
      <c r="M5822" s="27" t="n">
        <f aca="false">J5822+(K5822/20)+(L5822/240)</f>
        <v>25</v>
      </c>
      <c r="N5822" s="17" t="s">
        <v>64</v>
      </c>
      <c r="O5822" s="11"/>
      <c r="P5822" s="28" t="n">
        <f aca="false">12568/100</f>
        <v>125.68</v>
      </c>
      <c r="Q5822" s="28" t="n">
        <v>3142</v>
      </c>
      <c r="R5822" s="28"/>
      <c r="S5822" s="28" t="n">
        <f aca="false">R5822*$M5822</f>
        <v>0</v>
      </c>
      <c r="T5822" s="28"/>
      <c r="U5822" s="28" t="n">
        <f aca="false">T5822*$M5822</f>
        <v>0</v>
      </c>
      <c r="V5822" s="28"/>
      <c r="W5822" s="28" t="n">
        <f aca="false">V5822*$M5822</f>
        <v>0</v>
      </c>
      <c r="X5822" s="28"/>
      <c r="Y5822" s="28" t="n">
        <f aca="false">X5822*$M5822</f>
        <v>0</v>
      </c>
      <c r="Z5822" s="28"/>
      <c r="AA5822" s="28" t="n">
        <f aca="false">Z5822*$M5822</f>
        <v>0</v>
      </c>
      <c r="AB5822" s="28"/>
      <c r="AC5822" s="28" t="n">
        <f aca="false">AB5822*$M5822</f>
        <v>0</v>
      </c>
      <c r="AD5822" s="28"/>
      <c r="AE5822" s="28" t="n">
        <f aca="false">AD5822*$M5822</f>
        <v>0</v>
      </c>
      <c r="AF5822" s="28"/>
      <c r="AG5822" s="28" t="n">
        <f aca="false">AF5822*$M5822</f>
        <v>0</v>
      </c>
      <c r="AH5822" s="28" t="n">
        <f aca="false">5355/100</f>
        <v>53.55</v>
      </c>
      <c r="AI5822" s="28" t="n">
        <v>1339</v>
      </c>
      <c r="AJ5822" s="28"/>
      <c r="AK5822" s="28" t="n">
        <f aca="false">AJ5822*$M5822</f>
        <v>0</v>
      </c>
      <c r="AL5822" s="28"/>
      <c r="AM5822" s="28" t="n">
        <f aca="false">AL5822*$M5822</f>
        <v>0</v>
      </c>
      <c r="AN5822" s="28"/>
      <c r="AO5822" s="28" t="n">
        <f aca="false">AN5822*$M5822</f>
        <v>0</v>
      </c>
      <c r="AP5822" s="28"/>
      <c r="AQ5822" s="28" t="n">
        <f aca="false">AP5822*$M5822</f>
        <v>0</v>
      </c>
      <c r="AR5822" s="28"/>
      <c r="AS5822" s="28" t="n">
        <f aca="false">AR5822*$M5822</f>
        <v>0</v>
      </c>
      <c r="AT5822" s="28"/>
      <c r="AU5822" s="28" t="n">
        <f aca="false">AT5822*$M5822</f>
        <v>0</v>
      </c>
      <c r="AV5822" s="28"/>
      <c r="AW5822" s="28" t="n">
        <f aca="false">AV5822*$M5822</f>
        <v>0</v>
      </c>
      <c r="AX5822" s="28"/>
      <c r="AY5822" s="28" t="n">
        <f aca="false">AX5822*$M5822</f>
        <v>0</v>
      </c>
      <c r="AZ5822" s="30" t="n">
        <f aca="false">17923/100</f>
        <v>179.23</v>
      </c>
      <c r="BA5822" s="11" t="n">
        <v>4481</v>
      </c>
      <c r="BB5822" s="31" t="n">
        <f aca="false">SUM(Q5822,S5822,U5822,W5822,Y5822,AA5822,AC5822,AE5822,AG5822,AI5822,AK5822,AM5822,AO5822,AQ5822,AS5822,AU5822,AW5822,AY5822)</f>
        <v>4481</v>
      </c>
      <c r="BC5822" s="28" t="n">
        <f aca="false">BA5822-BB5822</f>
        <v>0</v>
      </c>
      <c r="BD5822" s="32" t="n">
        <f aca="false">SUM(P5822,R5822,T5822,V5822,X5822,Z5822,AB5822,AD5822,AF5822,AH5822,AJ5822,AL5822,AN5822,AP5822,AR5822,AT5822,AV5822,AX5822)</f>
        <v>179.23</v>
      </c>
      <c r="BE5822" s="33" t="n">
        <f aca="false">AZ5822-BD5822</f>
        <v>0</v>
      </c>
      <c r="BF5822" s="34" t="n">
        <f aca="false">BD5822*M5822</f>
        <v>4480.75</v>
      </c>
      <c r="BG5822" s="35" t="n">
        <f aca="false">BA5822-BF5822</f>
        <v>0.25</v>
      </c>
      <c r="BH5822" s="19" t="str">
        <f aca="false">IF(BG5822=0,"",IF(BG5822&lt;&gt;BA5822,"erreur de calcul",IF(BD5822&lt;&gt;0,"pas de prix",IF(M5822&lt;&gt; 0,"pas de quantité","pas de prix, ni de quantité"))))</f>
        <v>erreur de calcul</v>
      </c>
      <c r="BI5822" s="19"/>
    </row>
    <row r="5823" customFormat="false" ht="15" hidden="false" customHeight="false" outlineLevel="0" collapsed="false">
      <c r="A5823" s="0" t="n">
        <v>41</v>
      </c>
      <c r="B5823" s="8" t="s">
        <v>24</v>
      </c>
      <c r="C5823" s="9" t="s">
        <v>25</v>
      </c>
      <c r="D5823" s="9" t="s">
        <v>26</v>
      </c>
      <c r="E5823" s="10" t="n">
        <v>1789</v>
      </c>
      <c r="F5823" s="9" t="s">
        <v>27</v>
      </c>
      <c r="G5823" s="9" t="s">
        <v>27</v>
      </c>
      <c r="H5823" s="11" t="n">
        <v>23</v>
      </c>
      <c r="I5823" s="11" t="s">
        <v>284</v>
      </c>
      <c r="J5823" s="14" t="n">
        <v>17</v>
      </c>
      <c r="K5823" s="14"/>
      <c r="L5823" s="16"/>
      <c r="M5823" s="27" t="n">
        <f aca="false">J5823+(K5823/20)+(L5823/240)</f>
        <v>17</v>
      </c>
      <c r="N5823" s="17" t="s">
        <v>64</v>
      </c>
      <c r="O5823" s="11"/>
      <c r="P5823" s="28" t="n">
        <f aca="false">56873/100</f>
        <v>568.73</v>
      </c>
      <c r="Q5823" s="36" t="n">
        <v>3981</v>
      </c>
      <c r="R5823" s="28"/>
      <c r="S5823" s="28" t="n">
        <f aca="false">R5823*$M5823</f>
        <v>0</v>
      </c>
      <c r="T5823" s="28"/>
      <c r="U5823" s="28" t="n">
        <f aca="false">T5823*$M5823</f>
        <v>0</v>
      </c>
      <c r="V5823" s="28"/>
      <c r="W5823" s="28" t="n">
        <f aca="false">V5823*$M5823</f>
        <v>0</v>
      </c>
      <c r="X5823" s="28"/>
      <c r="Y5823" s="28" t="n">
        <f aca="false">X5823*$M5823</f>
        <v>0</v>
      </c>
      <c r="Z5823" s="28"/>
      <c r="AA5823" s="28" t="n">
        <f aca="false">Z5823*$M5823</f>
        <v>0</v>
      </c>
      <c r="AB5823" s="28"/>
      <c r="AC5823" s="28" t="n">
        <f aca="false">AB5823*$M5823</f>
        <v>0</v>
      </c>
      <c r="AD5823" s="28"/>
      <c r="AE5823" s="28" t="n">
        <f aca="false">AD5823*$M5823</f>
        <v>0</v>
      </c>
      <c r="AF5823" s="28"/>
      <c r="AG5823" s="28" t="n">
        <f aca="false">AF5823*$M5823</f>
        <v>0</v>
      </c>
      <c r="AH5823" s="28"/>
      <c r="AI5823" s="28" t="n">
        <f aca="false">AH5823*$M5823</f>
        <v>0</v>
      </c>
      <c r="AJ5823" s="28" t="n">
        <f aca="false">19651/100</f>
        <v>196.51</v>
      </c>
      <c r="AK5823" s="28" t="n">
        <v>3341</v>
      </c>
      <c r="AL5823" s="28"/>
      <c r="AM5823" s="28" t="n">
        <f aca="false">AL5823*$M5823</f>
        <v>0</v>
      </c>
      <c r="AN5823" s="28"/>
      <c r="AO5823" s="28" t="n">
        <f aca="false">AN5823*$M5823</f>
        <v>0</v>
      </c>
      <c r="AP5823" s="28"/>
      <c r="AQ5823" s="28" t="n">
        <f aca="false">AP5823*$M5823</f>
        <v>0</v>
      </c>
      <c r="AR5823" s="28"/>
      <c r="AS5823" s="28" t="n">
        <f aca="false">AR5823*$M5823</f>
        <v>0</v>
      </c>
      <c r="AT5823" s="28"/>
      <c r="AU5823" s="28" t="n">
        <f aca="false">AT5823*$M5823</f>
        <v>0</v>
      </c>
      <c r="AV5823" s="28"/>
      <c r="AW5823" s="28" t="n">
        <f aca="false">AV5823*$M5823</f>
        <v>0</v>
      </c>
      <c r="AX5823" s="28"/>
      <c r="AY5823" s="28" t="n">
        <f aca="false">AX5823*$M5823</f>
        <v>0</v>
      </c>
      <c r="AZ5823" s="30" t="n">
        <f aca="false">76524/100</f>
        <v>765.24</v>
      </c>
      <c r="BA5823" s="11" t="n">
        <v>7322</v>
      </c>
      <c r="BB5823" s="31" t="n">
        <f aca="false">SUM(Q5823,S5823,U5823,W5823,Y5823,AA5823,AC5823,AE5823,AG5823,AI5823,AK5823,AM5823,AO5823,AQ5823,AS5823,AU5823,AW5823,AY5823)</f>
        <v>7322</v>
      </c>
      <c r="BC5823" s="28" t="n">
        <f aca="false">BA5823-BB5823</f>
        <v>0</v>
      </c>
      <c r="BD5823" s="32" t="n">
        <f aca="false">SUM(P5823,R5823,T5823,V5823,X5823,Z5823,AB5823,AD5823,AF5823,AH5823,AJ5823,AL5823,AN5823,AP5823,AR5823,AT5823,AV5823,AX5823)</f>
        <v>765.24</v>
      </c>
      <c r="BE5823" s="33" t="n">
        <f aca="false">AZ5823-BD5823</f>
        <v>0</v>
      </c>
      <c r="BF5823" s="34" t="n">
        <f aca="false">BD5823*M5823</f>
        <v>13009.08</v>
      </c>
      <c r="BG5823" s="35" t="n">
        <f aca="false">BA5823-BF5823</f>
        <v>-5687.08</v>
      </c>
      <c r="BH5823" s="19" t="str">
        <f aca="false">IF(BG5823=0,"",IF(BG5823&lt;&gt;BA5823,"erreur de calcul",IF(BD5823&lt;&gt;0,"pas de prix",IF(M5823&lt;&gt; 0,"pas de quantité","pas de prix, ni de quantité"))))</f>
        <v>erreur de calcul</v>
      </c>
      <c r="BI5823" s="19"/>
    </row>
    <row r="5824" customFormat="false" ht="15" hidden="false" customHeight="false" outlineLevel="0" collapsed="false">
      <c r="A5824" s="0" t="n">
        <v>42</v>
      </c>
      <c r="B5824" s="8" t="s">
        <v>24</v>
      </c>
      <c r="C5824" s="9" t="s">
        <v>25</v>
      </c>
      <c r="D5824" s="9" t="s">
        <v>26</v>
      </c>
      <c r="E5824" s="10" t="n">
        <v>1789</v>
      </c>
      <c r="F5824" s="9" t="s">
        <v>27</v>
      </c>
      <c r="G5824" s="9" t="s">
        <v>27</v>
      </c>
      <c r="H5824" s="11" t="n">
        <v>23</v>
      </c>
      <c r="I5824" s="11" t="s">
        <v>285</v>
      </c>
      <c r="J5824" s="14" t="n">
        <v>15</v>
      </c>
      <c r="K5824" s="14"/>
      <c r="L5824" s="16"/>
      <c r="M5824" s="27" t="n">
        <f aca="false">J5824+(K5824/20)+(L5824/240)</f>
        <v>15</v>
      </c>
      <c r="N5824" s="17" t="s">
        <v>64</v>
      </c>
      <c r="O5824" s="11"/>
      <c r="P5824" s="28" t="n">
        <f aca="false">10520/100</f>
        <v>105.2</v>
      </c>
      <c r="Q5824" s="28" t="n">
        <v>1578</v>
      </c>
      <c r="R5824" s="28"/>
      <c r="S5824" s="28" t="n">
        <f aca="false">R5824*$M5824</f>
        <v>0</v>
      </c>
      <c r="T5824" s="28"/>
      <c r="U5824" s="28" t="n">
        <f aca="false">T5824*$M5824</f>
        <v>0</v>
      </c>
      <c r="V5824" s="28"/>
      <c r="W5824" s="28" t="n">
        <f aca="false">V5824*$M5824</f>
        <v>0</v>
      </c>
      <c r="X5824" s="28" t="n">
        <f aca="false">39052/100</f>
        <v>390.52</v>
      </c>
      <c r="Y5824" s="28" t="n">
        <v>5858</v>
      </c>
      <c r="Z5824" s="28"/>
      <c r="AA5824" s="28" t="n">
        <f aca="false">Z5824*$M5824</f>
        <v>0</v>
      </c>
      <c r="AB5824" s="28" t="n">
        <f aca="false">101189/100</f>
        <v>1011.89</v>
      </c>
      <c r="AC5824" s="28" t="n">
        <v>15178</v>
      </c>
      <c r="AD5824" s="28"/>
      <c r="AE5824" s="28" t="n">
        <f aca="false">AD5824*$M5824</f>
        <v>0</v>
      </c>
      <c r="AF5824" s="28" t="n">
        <f aca="false">48408/100</f>
        <v>484.08</v>
      </c>
      <c r="AG5824" s="28" t="n">
        <v>7261</v>
      </c>
      <c r="AH5824" s="28" t="n">
        <f aca="false">17847/100</f>
        <v>178.47</v>
      </c>
      <c r="AI5824" s="28" t="n">
        <v>2677</v>
      </c>
      <c r="AJ5824" s="28"/>
      <c r="AK5824" s="28" t="n">
        <f aca="false">AJ5824*$M5824</f>
        <v>0</v>
      </c>
      <c r="AL5824" s="28"/>
      <c r="AM5824" s="28" t="n">
        <f aca="false">AL5824*$M5824</f>
        <v>0</v>
      </c>
      <c r="AN5824" s="28"/>
      <c r="AO5824" s="28" t="n">
        <f aca="false">AN5824*$M5824</f>
        <v>0</v>
      </c>
      <c r="AP5824" s="28"/>
      <c r="AQ5824" s="28" t="n">
        <f aca="false">AP5824*$M5824</f>
        <v>0</v>
      </c>
      <c r="AR5824" s="28"/>
      <c r="AS5824" s="28" t="n">
        <f aca="false">AR5824*$M5824</f>
        <v>0</v>
      </c>
      <c r="AT5824" s="28"/>
      <c r="AU5824" s="28" t="n">
        <f aca="false">AT5824*$M5824</f>
        <v>0</v>
      </c>
      <c r="AV5824" s="28"/>
      <c r="AW5824" s="28" t="n">
        <f aca="false">AV5824*$M5824</f>
        <v>0</v>
      </c>
      <c r="AX5824" s="28"/>
      <c r="AY5824" s="28" t="n">
        <f aca="false">AX5824*$M5824</f>
        <v>0</v>
      </c>
      <c r="AZ5824" s="30" t="n">
        <f aca="false">217016/100</f>
        <v>2170.16</v>
      </c>
      <c r="BA5824" s="11" t="n">
        <v>32552</v>
      </c>
      <c r="BB5824" s="31" t="n">
        <f aca="false">SUM(Q5824,S5824,U5824,W5824,Y5824,AA5824,AC5824,AE5824,AG5824,AI5824,AK5824,AM5824,AO5824,AQ5824,AS5824,AU5824,AW5824,AY5824)</f>
        <v>32552</v>
      </c>
      <c r="BC5824" s="28" t="n">
        <f aca="false">BA5824-BB5824</f>
        <v>0</v>
      </c>
      <c r="BD5824" s="32" t="n">
        <f aca="false">SUM(P5824,R5824,T5824,V5824,X5824,Z5824,AB5824,AD5824,AF5824,AH5824,AJ5824,AL5824,AN5824,AP5824,AR5824,AT5824,AV5824,AX5824)</f>
        <v>2170.16</v>
      </c>
      <c r="BE5824" s="33" t="n">
        <f aca="false">AZ5824-BD5824</f>
        <v>0</v>
      </c>
      <c r="BF5824" s="34" t="n">
        <f aca="false">BD5824*M5824</f>
        <v>32552.4</v>
      </c>
      <c r="BG5824" s="35" t="n">
        <f aca="false">BA5824-BF5824</f>
        <v>-0.399999999997817</v>
      </c>
      <c r="BH5824" s="19" t="str">
        <f aca="false">IF(BG5824=0,"",IF(BG5824&lt;&gt;BA5824,"erreur de calcul",IF(BD5824&lt;&gt;0,"pas de prix",IF(M5824&lt;&gt; 0,"pas de quantité","pas de prix, ni de quantité"))))</f>
        <v>erreur de calcul</v>
      </c>
      <c r="BI5824" s="19"/>
    </row>
    <row r="5825" customFormat="false" ht="15" hidden="false" customHeight="false" outlineLevel="0" collapsed="false">
      <c r="A5825" s="0" t="n">
        <v>43</v>
      </c>
      <c r="B5825" s="8" t="s">
        <v>24</v>
      </c>
      <c r="C5825" s="9" t="s">
        <v>25</v>
      </c>
      <c r="D5825" s="9" t="s">
        <v>26</v>
      </c>
      <c r="E5825" s="10" t="n">
        <v>1789</v>
      </c>
      <c r="F5825" s="9" t="s">
        <v>27</v>
      </c>
      <c r="G5825" s="9" t="s">
        <v>27</v>
      </c>
      <c r="H5825" s="11" t="n">
        <v>23</v>
      </c>
      <c r="I5825" s="11" t="s">
        <v>286</v>
      </c>
      <c r="J5825" s="14" t="n">
        <v>20</v>
      </c>
      <c r="K5825" s="14"/>
      <c r="L5825" s="16"/>
      <c r="M5825" s="27" t="n">
        <f aca="false">J5825+(K5825/20)+(L5825/240)</f>
        <v>20</v>
      </c>
      <c r="N5825" s="17" t="s">
        <v>64</v>
      </c>
      <c r="O5825" s="11"/>
      <c r="P5825" s="28"/>
      <c r="Q5825" s="28" t="n">
        <f aca="false">P5825*$M5825</f>
        <v>0</v>
      </c>
      <c r="R5825" s="28"/>
      <c r="S5825" s="28" t="n">
        <f aca="false">R5825*$M5825</f>
        <v>0</v>
      </c>
      <c r="T5825" s="28"/>
      <c r="U5825" s="28" t="n">
        <f aca="false">T5825*$M5825</f>
        <v>0</v>
      </c>
      <c r="V5825" s="28"/>
      <c r="W5825" s="28" t="n">
        <f aca="false">V5825*$M5825</f>
        <v>0</v>
      </c>
      <c r="X5825" s="28"/>
      <c r="Y5825" s="28" t="n">
        <f aca="false">X5825*$M5825</f>
        <v>0</v>
      </c>
      <c r="Z5825" s="28"/>
      <c r="AA5825" s="28" t="n">
        <f aca="false">Z5825*$M5825</f>
        <v>0</v>
      </c>
      <c r="AB5825" s="28" t="n">
        <f aca="false">8852/100</f>
        <v>88.52</v>
      </c>
      <c r="AC5825" s="28" t="n">
        <v>1770</v>
      </c>
      <c r="AD5825" s="28"/>
      <c r="AE5825" s="28" t="n">
        <f aca="false">AD5825*$M5825</f>
        <v>0</v>
      </c>
      <c r="AF5825" s="28"/>
      <c r="AG5825" s="28" t="n">
        <f aca="false">AF5825*$M5825</f>
        <v>0</v>
      </c>
      <c r="AH5825" s="28"/>
      <c r="AI5825" s="28" t="n">
        <f aca="false">AH5825*$M5825</f>
        <v>0</v>
      </c>
      <c r="AJ5825" s="28"/>
      <c r="AK5825" s="28" t="n">
        <f aca="false">AJ5825*$M5825</f>
        <v>0</v>
      </c>
      <c r="AL5825" s="28"/>
      <c r="AM5825" s="28" t="n">
        <f aca="false">AL5825*$M5825</f>
        <v>0</v>
      </c>
      <c r="AN5825" s="28"/>
      <c r="AO5825" s="28" t="n">
        <f aca="false">AN5825*$M5825</f>
        <v>0</v>
      </c>
      <c r="AP5825" s="28"/>
      <c r="AQ5825" s="28" t="n">
        <f aca="false">AP5825*$M5825</f>
        <v>0</v>
      </c>
      <c r="AR5825" s="28"/>
      <c r="AS5825" s="28" t="n">
        <f aca="false">AR5825*$M5825</f>
        <v>0</v>
      </c>
      <c r="AT5825" s="28"/>
      <c r="AU5825" s="28" t="n">
        <f aca="false">AT5825*$M5825</f>
        <v>0</v>
      </c>
      <c r="AV5825" s="28"/>
      <c r="AW5825" s="28" t="n">
        <f aca="false">AV5825*$M5825</f>
        <v>0</v>
      </c>
      <c r="AX5825" s="28"/>
      <c r="AY5825" s="28" t="n">
        <f aca="false">AX5825*$M5825</f>
        <v>0</v>
      </c>
      <c r="AZ5825" s="30" t="n">
        <f aca="false">8852/100</f>
        <v>88.52</v>
      </c>
      <c r="BA5825" s="11" t="n">
        <v>1770</v>
      </c>
      <c r="BB5825" s="31" t="n">
        <f aca="false">SUM(Q5825,S5825,U5825,W5825,Y5825,AA5825,AC5825,AE5825,AG5825,AI5825,AK5825,AM5825,AO5825,AQ5825,AS5825,AU5825,AW5825,AY5825)</f>
        <v>1770</v>
      </c>
      <c r="BC5825" s="28" t="n">
        <f aca="false">BA5825-BB5825</f>
        <v>0</v>
      </c>
      <c r="BD5825" s="32" t="n">
        <f aca="false">SUM(P5825,R5825,T5825,V5825,X5825,Z5825,AB5825,AD5825,AF5825,AH5825,AJ5825,AL5825,AN5825,AP5825,AR5825,AT5825,AV5825,AX5825)</f>
        <v>88.52</v>
      </c>
      <c r="BE5825" s="33" t="n">
        <f aca="false">AZ5825-BD5825</f>
        <v>0</v>
      </c>
      <c r="BF5825" s="34" t="n">
        <f aca="false">BD5825*M5825</f>
        <v>1770.4</v>
      </c>
      <c r="BG5825" s="35" t="n">
        <f aca="false">BA5825-BF5825</f>
        <v>-0.399999999999864</v>
      </c>
      <c r="BH5825" s="19" t="str">
        <f aca="false">IF(BG5825=0,"",IF(BG5825&lt;&gt;BA5825,"erreur de calcul",IF(BD5825&lt;&gt;0,"pas de prix",IF(M5825&lt;&gt; 0,"pas de quantité","pas de prix, ni de quantité"))))</f>
        <v>erreur de calcul</v>
      </c>
      <c r="BI5825" s="19"/>
    </row>
    <row r="5826" customFormat="false" ht="15" hidden="false" customHeight="false" outlineLevel="0" collapsed="false">
      <c r="A5826" s="0" t="n">
        <v>44</v>
      </c>
      <c r="B5826" s="8" t="s">
        <v>24</v>
      </c>
      <c r="C5826" s="9" t="s">
        <v>25</v>
      </c>
      <c r="D5826" s="9" t="s">
        <v>26</v>
      </c>
      <c r="E5826" s="10" t="n">
        <v>1789</v>
      </c>
      <c r="F5826" s="9" t="s">
        <v>27</v>
      </c>
      <c r="G5826" s="9" t="s">
        <v>27</v>
      </c>
      <c r="H5826" s="11" t="n">
        <v>23</v>
      </c>
      <c r="I5826" s="11" t="s">
        <v>287</v>
      </c>
      <c r="J5826" s="14" t="n">
        <v>25</v>
      </c>
      <c r="K5826" s="14"/>
      <c r="L5826" s="16"/>
      <c r="M5826" s="27" t="n">
        <f aca="false">J5826+(K5826/20)+(L5826/240)</f>
        <v>25</v>
      </c>
      <c r="N5826" s="17" t="s">
        <v>64</v>
      </c>
      <c r="O5826" s="11" t="s">
        <v>77</v>
      </c>
      <c r="P5826" s="28" t="n">
        <f aca="false">13782/100</f>
        <v>137.82</v>
      </c>
      <c r="Q5826" s="28" t="n">
        <v>3445</v>
      </c>
      <c r="R5826" s="28"/>
      <c r="S5826" s="28" t="n">
        <f aca="false">R5826*$M5826</f>
        <v>0</v>
      </c>
      <c r="T5826" s="28"/>
      <c r="U5826" s="28" t="n">
        <f aca="false">T5826*$M5826</f>
        <v>0</v>
      </c>
      <c r="V5826" s="28" t="n">
        <f aca="false">4293/100</f>
        <v>42.93</v>
      </c>
      <c r="W5826" s="28" t="n">
        <v>1073</v>
      </c>
      <c r="X5826" s="28"/>
      <c r="Y5826" s="28" t="n">
        <f aca="false">X5826*$M5826</f>
        <v>0</v>
      </c>
      <c r="Z5826" s="28"/>
      <c r="AA5826" s="28" t="n">
        <f aca="false">Z5826*$M5826</f>
        <v>0</v>
      </c>
      <c r="AB5826" s="28"/>
      <c r="AC5826" s="28" t="n">
        <f aca="false">AB5826*$M5826</f>
        <v>0</v>
      </c>
      <c r="AD5826" s="28"/>
      <c r="AE5826" s="28" t="n">
        <f aca="false">AD5826*$M5826</f>
        <v>0</v>
      </c>
      <c r="AF5826" s="28"/>
      <c r="AG5826" s="28" t="n">
        <f aca="false">AF5826*$M5826</f>
        <v>0</v>
      </c>
      <c r="AH5826" s="28"/>
      <c r="AI5826" s="28" t="n">
        <f aca="false">AH5826*$M5826</f>
        <v>0</v>
      </c>
      <c r="AJ5826" s="28"/>
      <c r="AK5826" s="28" t="n">
        <f aca="false">AJ5826*$M5826</f>
        <v>0</v>
      </c>
      <c r="AL5826" s="28"/>
      <c r="AM5826" s="28" t="n">
        <f aca="false">AL5826*$M5826</f>
        <v>0</v>
      </c>
      <c r="AN5826" s="28"/>
      <c r="AO5826" s="28" t="n">
        <f aca="false">AN5826*$M5826</f>
        <v>0</v>
      </c>
      <c r="AP5826" s="28"/>
      <c r="AQ5826" s="28" t="n">
        <f aca="false">AP5826*$M5826</f>
        <v>0</v>
      </c>
      <c r="AR5826" s="28"/>
      <c r="AS5826" s="28" t="n">
        <f aca="false">AR5826*$M5826</f>
        <v>0</v>
      </c>
      <c r="AT5826" s="28"/>
      <c r="AU5826" s="28" t="n">
        <f aca="false">AT5826*$M5826</f>
        <v>0</v>
      </c>
      <c r="AV5826" s="28"/>
      <c r="AW5826" s="28" t="n">
        <f aca="false">AV5826*$M5826</f>
        <v>0</v>
      </c>
      <c r="AX5826" s="28"/>
      <c r="AY5826" s="28" t="n">
        <f aca="false">AX5826*$M5826</f>
        <v>0</v>
      </c>
      <c r="AZ5826" s="30" t="n">
        <f aca="false">18075/100</f>
        <v>180.75</v>
      </c>
      <c r="BA5826" s="11" t="n">
        <v>4518</v>
      </c>
      <c r="BB5826" s="31" t="n">
        <f aca="false">SUM(Q5826,S5826,U5826,W5826,Y5826,AA5826,AC5826,AE5826,AG5826,AI5826,AK5826,AM5826,AO5826,AQ5826,AS5826,AU5826,AW5826,AY5826)</f>
        <v>4518</v>
      </c>
      <c r="BC5826" s="28" t="n">
        <f aca="false">BA5826-BB5826</f>
        <v>0</v>
      </c>
      <c r="BD5826" s="32" t="n">
        <f aca="false">SUM(P5826,R5826,T5826,V5826,X5826,Z5826,AB5826,AD5826,AF5826,AH5826,AJ5826,AL5826,AN5826,AP5826,AR5826,AT5826,AV5826,AX5826)</f>
        <v>180.75</v>
      </c>
      <c r="BE5826" s="33" t="n">
        <f aca="false">AZ5826-BD5826</f>
        <v>0</v>
      </c>
      <c r="BF5826" s="34" t="n">
        <f aca="false">BD5826*M5826</f>
        <v>4518.75</v>
      </c>
      <c r="BG5826" s="35" t="n">
        <f aca="false">BA5826-BF5826</f>
        <v>-0.75</v>
      </c>
      <c r="BH5826" s="19" t="str">
        <f aca="false">IF(BG5826=0,"",IF(BG5826&lt;&gt;BA5826,"erreur de calcul",IF(BD5826&lt;&gt;0,"pas de prix",IF(M5826&lt;&gt; 0,"pas de quantité","pas de prix, ni de quantité"))))</f>
        <v>erreur de calcul</v>
      </c>
      <c r="BI5826" s="19"/>
    </row>
    <row r="5827" customFormat="false" ht="15" hidden="false" customHeight="false" outlineLevel="0" collapsed="false">
      <c r="A5827" s="0" t="n">
        <v>1</v>
      </c>
      <c r="B5827" s="8" t="s">
        <v>24</v>
      </c>
      <c r="C5827" s="9" t="s">
        <v>25</v>
      </c>
      <c r="D5827" s="9" t="s">
        <v>26</v>
      </c>
      <c r="E5827" s="10" t="n">
        <v>1789</v>
      </c>
      <c r="F5827" s="9" t="s">
        <v>27</v>
      </c>
      <c r="G5827" s="9" t="s">
        <v>27</v>
      </c>
      <c r="H5827" s="11" t="n">
        <v>24</v>
      </c>
      <c r="I5827" s="11" t="s">
        <v>288</v>
      </c>
      <c r="J5827" s="14" t="n">
        <v>250</v>
      </c>
      <c r="K5827" s="14"/>
      <c r="L5827" s="16"/>
      <c r="M5827" s="27" t="n">
        <f aca="false">J5827+(K5827/20)+(L5827/240)</f>
        <v>250</v>
      </c>
      <c r="N5827" s="17" t="s">
        <v>64</v>
      </c>
      <c r="O5827" s="11"/>
      <c r="P5827" s="28"/>
      <c r="Q5827" s="28" t="n">
        <f aca="false">P5827*$M5827</f>
        <v>0</v>
      </c>
      <c r="R5827" s="28"/>
      <c r="S5827" s="28" t="n">
        <f aca="false">R5827*$M5827</f>
        <v>0</v>
      </c>
      <c r="T5827" s="28"/>
      <c r="U5827" s="28" t="n">
        <f aca="false">T5827*$M5827</f>
        <v>0</v>
      </c>
      <c r="V5827" s="28"/>
      <c r="W5827" s="28" t="n">
        <f aca="false">V5827*$M5827</f>
        <v>0</v>
      </c>
      <c r="X5827" s="28"/>
      <c r="Y5827" s="28" t="n">
        <f aca="false">X5827*$M5827</f>
        <v>0</v>
      </c>
      <c r="Z5827" s="28"/>
      <c r="AA5827" s="28" t="n">
        <f aca="false">Z5827*$M5827</f>
        <v>0</v>
      </c>
      <c r="AB5827" s="28"/>
      <c r="AC5827" s="28" t="n">
        <f aca="false">AB5827*$M5827</f>
        <v>0</v>
      </c>
      <c r="AD5827" s="28"/>
      <c r="AE5827" s="28" t="n">
        <f aca="false">AD5827*$M5827</f>
        <v>0</v>
      </c>
      <c r="AF5827" s="28"/>
      <c r="AG5827" s="28" t="n">
        <f aca="false">AF5827*$M5827</f>
        <v>0</v>
      </c>
      <c r="AH5827" s="28" t="n">
        <f aca="false">5374/100</f>
        <v>53.74</v>
      </c>
      <c r="AI5827" s="28" t="n">
        <v>13435</v>
      </c>
      <c r="AJ5827" s="28"/>
      <c r="AK5827" s="28" t="n">
        <f aca="false">AJ5827*$M5827</f>
        <v>0</v>
      </c>
      <c r="AL5827" s="28"/>
      <c r="AM5827" s="28" t="n">
        <f aca="false">AL5827*$M5827</f>
        <v>0</v>
      </c>
      <c r="AN5827" s="28"/>
      <c r="AO5827" s="28" t="n">
        <f aca="false">AN5827*$M5827</f>
        <v>0</v>
      </c>
      <c r="AP5827" s="28"/>
      <c r="AQ5827" s="28" t="n">
        <f aca="false">AP5827*$M5827</f>
        <v>0</v>
      </c>
      <c r="AR5827" s="28"/>
      <c r="AS5827" s="28" t="n">
        <f aca="false">AR5827*$M5827</f>
        <v>0</v>
      </c>
      <c r="AT5827" s="28"/>
      <c r="AU5827" s="28" t="n">
        <f aca="false">AT5827*$M5827</f>
        <v>0</v>
      </c>
      <c r="AV5827" s="28"/>
      <c r="AW5827" s="28" t="n">
        <f aca="false">AV5827*$M5827</f>
        <v>0</v>
      </c>
      <c r="AX5827" s="28"/>
      <c r="AY5827" s="28" t="n">
        <f aca="false">AX5827*$M5827</f>
        <v>0</v>
      </c>
      <c r="AZ5827" s="30" t="n">
        <f aca="false">5374/100</f>
        <v>53.74</v>
      </c>
      <c r="BA5827" s="11" t="n">
        <v>13435</v>
      </c>
      <c r="BB5827" s="31" t="n">
        <f aca="false">SUM(Q5827,S5827,U5827,W5827,Y5827,AA5827,AC5827,AE5827,AG5827,AI5827,AK5827,AM5827,AO5827,AQ5827,AS5827,AU5827,AW5827,AY5827)</f>
        <v>13435</v>
      </c>
      <c r="BC5827" s="28" t="n">
        <f aca="false">BA5827-BB5827</f>
        <v>0</v>
      </c>
      <c r="BD5827" s="32" t="n">
        <f aca="false">SUM(P5827,R5827,T5827,V5827,X5827,Z5827,AB5827,AD5827,AF5827,AH5827,AJ5827,AL5827,AN5827,AP5827,AR5827,AT5827,AV5827,AX5827)</f>
        <v>53.74</v>
      </c>
      <c r="BE5827" s="33" t="n">
        <f aca="false">AZ5827-BD5827</f>
        <v>0</v>
      </c>
      <c r="BF5827" s="34" t="n">
        <f aca="false">BD5827*M5827</f>
        <v>13435</v>
      </c>
      <c r="BG5827" s="35" t="n">
        <f aca="false">BA5827-BF5827</f>
        <v>0</v>
      </c>
      <c r="BH5827" s="19" t="str">
        <f aca="false">IF(BG5827=0,"",IF(BG5827&lt;&gt;BA5827,"erreur de calcul",IF(BD5827&lt;&gt;0,"pas de prix",IF(M5827&lt;&gt; 0,"pas de quantité","pas de prix, ni de quantité"))))</f>
        <v/>
      </c>
      <c r="BI5827" s="19"/>
    </row>
    <row r="5828" customFormat="false" ht="15" hidden="false" customHeight="false" outlineLevel="0" collapsed="false">
      <c r="A5828" s="0" t="n">
        <v>2</v>
      </c>
      <c r="B5828" s="8" t="s">
        <v>24</v>
      </c>
      <c r="C5828" s="9" t="s">
        <v>25</v>
      </c>
      <c r="D5828" s="9" t="s">
        <v>26</v>
      </c>
      <c r="E5828" s="10" t="n">
        <v>1789</v>
      </c>
      <c r="F5828" s="9" t="s">
        <v>27</v>
      </c>
      <c r="G5828" s="9" t="s">
        <v>27</v>
      </c>
      <c r="H5828" s="11" t="n">
        <v>24</v>
      </c>
      <c r="I5828" s="11" t="s">
        <v>289</v>
      </c>
      <c r="J5828" s="14" t="n">
        <v>3</v>
      </c>
      <c r="K5828" s="14"/>
      <c r="L5828" s="16"/>
      <c r="M5828" s="27" t="n">
        <f aca="false">J5828+(K5828/20)+(L5828/240)</f>
        <v>3</v>
      </c>
      <c r="N5828" s="17" t="s">
        <v>66</v>
      </c>
      <c r="O5828" s="11"/>
      <c r="P5828" s="28"/>
      <c r="Q5828" s="28" t="n">
        <f aca="false">P5828*$M5828</f>
        <v>0</v>
      </c>
      <c r="R5828" s="28"/>
      <c r="S5828" s="28" t="n">
        <f aca="false">R5828*$M5828</f>
        <v>0</v>
      </c>
      <c r="T5828" s="28"/>
      <c r="U5828" s="28" t="n">
        <f aca="false">T5828*$M5828</f>
        <v>0</v>
      </c>
      <c r="V5828" s="28"/>
      <c r="W5828" s="28" t="n">
        <f aca="false">V5828*$M5828</f>
        <v>0</v>
      </c>
      <c r="X5828" s="28"/>
      <c r="Y5828" s="28" t="n">
        <f aca="false">X5828*$M5828</f>
        <v>0</v>
      </c>
      <c r="Z5828" s="28"/>
      <c r="AA5828" s="28" t="n">
        <f aca="false">Z5828*$M5828</f>
        <v>0</v>
      </c>
      <c r="AB5828" s="28"/>
      <c r="AC5828" s="28" t="n">
        <f aca="false">AB5828*$M5828</f>
        <v>0</v>
      </c>
      <c r="AD5828" s="28"/>
      <c r="AE5828" s="28" t="n">
        <f aca="false">AD5828*$M5828</f>
        <v>0</v>
      </c>
      <c r="AF5828" s="28"/>
      <c r="AG5828" s="28" t="n">
        <f aca="false">AF5828*$M5828</f>
        <v>0</v>
      </c>
      <c r="AH5828" s="28" t="n">
        <v>261</v>
      </c>
      <c r="AI5828" s="28" t="n">
        <v>783</v>
      </c>
      <c r="AJ5828" s="28"/>
      <c r="AK5828" s="28" t="n">
        <f aca="false">AJ5828*$M5828</f>
        <v>0</v>
      </c>
      <c r="AL5828" s="28"/>
      <c r="AM5828" s="28" t="n">
        <f aca="false">AL5828*$M5828</f>
        <v>0</v>
      </c>
      <c r="AN5828" s="28"/>
      <c r="AO5828" s="28" t="n">
        <f aca="false">AN5828*$M5828</f>
        <v>0</v>
      </c>
      <c r="AP5828" s="28"/>
      <c r="AQ5828" s="28" t="n">
        <f aca="false">AP5828*$M5828</f>
        <v>0</v>
      </c>
      <c r="AR5828" s="28"/>
      <c r="AS5828" s="28" t="n">
        <f aca="false">AR5828*$M5828</f>
        <v>0</v>
      </c>
      <c r="AT5828" s="28"/>
      <c r="AU5828" s="28" t="n">
        <f aca="false">AT5828*$M5828</f>
        <v>0</v>
      </c>
      <c r="AV5828" s="28"/>
      <c r="AW5828" s="28" t="n">
        <f aca="false">AV5828*$M5828</f>
        <v>0</v>
      </c>
      <c r="AX5828" s="28"/>
      <c r="AY5828" s="28" t="n">
        <f aca="false">AX5828*$M5828</f>
        <v>0</v>
      </c>
      <c r="AZ5828" s="30" t="n">
        <v>261</v>
      </c>
      <c r="BA5828" s="11" t="n">
        <v>783</v>
      </c>
      <c r="BB5828" s="31" t="n">
        <f aca="false">SUM(Q5828,S5828,U5828,W5828,Y5828,AA5828,AC5828,AE5828,AG5828,AI5828,AK5828,AM5828,AO5828,AQ5828,AS5828,AU5828,AW5828,AY5828)</f>
        <v>783</v>
      </c>
      <c r="BC5828" s="28" t="n">
        <f aca="false">BA5828-BB5828</f>
        <v>0</v>
      </c>
      <c r="BD5828" s="32" t="n">
        <f aca="false">SUM(P5828,R5828,T5828,V5828,X5828,Z5828,AB5828,AD5828,AF5828,AH5828,AJ5828,AL5828,AN5828,AP5828,AR5828,AT5828,AV5828,AX5828)</f>
        <v>261</v>
      </c>
      <c r="BE5828" s="33" t="n">
        <f aca="false">AZ5828-BD5828</f>
        <v>0</v>
      </c>
      <c r="BF5828" s="34" t="n">
        <f aca="false">BD5828*M5828</f>
        <v>783</v>
      </c>
      <c r="BG5828" s="35" t="n">
        <f aca="false">BA5828-BF5828</f>
        <v>0</v>
      </c>
      <c r="BH5828" s="19" t="str">
        <f aca="false">IF(BG5828=0,"",IF(BG5828&lt;&gt;BA5828,"erreur de calcul",IF(BD5828&lt;&gt;0,"pas de prix",IF(M5828&lt;&gt; 0,"pas de quantité","pas de prix, ni de quantité"))))</f>
        <v/>
      </c>
      <c r="BI5828" s="19"/>
    </row>
    <row r="5829" customFormat="false" ht="15" hidden="false" customHeight="false" outlineLevel="0" collapsed="false">
      <c r="A5829" s="0" t="n">
        <v>3</v>
      </c>
      <c r="B5829" s="8" t="s">
        <v>24</v>
      </c>
      <c r="C5829" s="9" t="s">
        <v>25</v>
      </c>
      <c r="D5829" s="9" t="s">
        <v>26</v>
      </c>
      <c r="E5829" s="10" t="n">
        <v>1789</v>
      </c>
      <c r="F5829" s="9" t="s">
        <v>27</v>
      </c>
      <c r="G5829" s="9" t="s">
        <v>27</v>
      </c>
      <c r="H5829" s="11" t="n">
        <v>24</v>
      </c>
      <c r="I5829" s="11" t="s">
        <v>290</v>
      </c>
      <c r="J5829" s="14" t="n">
        <v>5</v>
      </c>
      <c r="K5829" s="14"/>
      <c r="L5829" s="16"/>
      <c r="M5829" s="27" t="n">
        <f aca="false">J5829+(K5829/20)+(L5829/240)</f>
        <v>5</v>
      </c>
      <c r="N5829" s="17" t="s">
        <v>66</v>
      </c>
      <c r="O5829" s="11"/>
      <c r="P5829" s="28"/>
      <c r="Q5829" s="28" t="n">
        <f aca="false">P5829*$M5829</f>
        <v>0</v>
      </c>
      <c r="R5829" s="28"/>
      <c r="S5829" s="28" t="n">
        <f aca="false">R5829*$M5829</f>
        <v>0</v>
      </c>
      <c r="T5829" s="28"/>
      <c r="U5829" s="28" t="n">
        <v>4765</v>
      </c>
      <c r="V5829" s="28"/>
      <c r="W5829" s="28" t="n">
        <f aca="false">V5829*$M5829</f>
        <v>0</v>
      </c>
      <c r="X5829" s="28"/>
      <c r="Y5829" s="28" t="n">
        <f aca="false">X5829*$M5829</f>
        <v>0</v>
      </c>
      <c r="Z5829" s="28"/>
      <c r="AA5829" s="28" t="n">
        <f aca="false">Z5829*$M5829</f>
        <v>0</v>
      </c>
      <c r="AB5829" s="28"/>
      <c r="AC5829" s="28" t="n">
        <f aca="false">AB5829*$M5829</f>
        <v>0</v>
      </c>
      <c r="AD5829" s="28"/>
      <c r="AE5829" s="28" t="n">
        <f aca="false">AD5829*$M5829</f>
        <v>0</v>
      </c>
      <c r="AF5829" s="28"/>
      <c r="AG5829" s="28" t="n">
        <f aca="false">AF5829*$M5829</f>
        <v>0</v>
      </c>
      <c r="AH5829" s="28"/>
      <c r="AI5829" s="28" t="n">
        <f aca="false">AH5829*$M5829</f>
        <v>0</v>
      </c>
      <c r="AJ5829" s="28"/>
      <c r="AK5829" s="28" t="n">
        <f aca="false">AJ5829*$M5829</f>
        <v>0</v>
      </c>
      <c r="AL5829" s="28"/>
      <c r="AM5829" s="28" t="n">
        <f aca="false">AL5829*$M5829</f>
        <v>0</v>
      </c>
      <c r="AN5829" s="28"/>
      <c r="AO5829" s="28" t="n">
        <f aca="false">AN5829*$M5829</f>
        <v>0</v>
      </c>
      <c r="AP5829" s="28"/>
      <c r="AQ5829" s="28" t="n">
        <f aca="false">AP5829*$M5829</f>
        <v>0</v>
      </c>
      <c r="AR5829" s="28"/>
      <c r="AS5829" s="28" t="n">
        <f aca="false">AR5829*$M5829</f>
        <v>0</v>
      </c>
      <c r="AT5829" s="28"/>
      <c r="AU5829" s="28" t="n">
        <f aca="false">AT5829*$M5829</f>
        <v>0</v>
      </c>
      <c r="AV5829" s="28"/>
      <c r="AW5829" s="28" t="n">
        <f aca="false">AV5829*$M5829</f>
        <v>0</v>
      </c>
      <c r="AX5829" s="28"/>
      <c r="AY5829" s="28" t="n">
        <f aca="false">AX5829*$M5829</f>
        <v>0</v>
      </c>
      <c r="AZ5829" s="30"/>
      <c r="BA5829" s="11" t="n">
        <v>4765</v>
      </c>
      <c r="BB5829" s="31" t="n">
        <f aca="false">SUM(Q5829,S5829,U5829,W5829,Y5829,AA5829,AC5829,AE5829,AG5829,AI5829,AK5829,AM5829,AO5829,AQ5829,AS5829,AU5829,AW5829,AY5829)</f>
        <v>4765</v>
      </c>
      <c r="BC5829" s="28" t="n">
        <f aca="false">BA5829-BB5829</f>
        <v>0</v>
      </c>
      <c r="BD5829" s="32" t="n">
        <f aca="false">SUM(P5829,R5829,T5829,V5829,X5829,Z5829,AB5829,AD5829,AF5829,AH5829,AJ5829,AL5829,AN5829,AP5829,AR5829,AT5829,AV5829,AX5829)</f>
        <v>0</v>
      </c>
      <c r="BE5829" s="33" t="n">
        <f aca="false">AZ5829-BD5829</f>
        <v>0</v>
      </c>
      <c r="BF5829" s="34" t="n">
        <f aca="false">BD5829*M5829</f>
        <v>0</v>
      </c>
      <c r="BG5829" s="35" t="n">
        <f aca="false">BA5829-BF5829</f>
        <v>4765</v>
      </c>
      <c r="BH5829" s="19" t="str">
        <f aca="false">IF(BG5829=0,"",IF(BG5829&lt;&gt;BA5829,"erreur de calcul",IF(BD5829&lt;&gt;0,"pas de prix",IF(M5829&lt;&gt; 0,"pas de quantité","pas de prix, ni de quantité"))))</f>
        <v>pas de quantité</v>
      </c>
      <c r="BI5829" s="19"/>
    </row>
    <row r="5830" customFormat="false" ht="15" hidden="false" customHeight="false" outlineLevel="0" collapsed="false">
      <c r="A5830" s="0" t="n">
        <v>4</v>
      </c>
      <c r="B5830" s="8" t="s">
        <v>24</v>
      </c>
      <c r="C5830" s="9" t="s">
        <v>25</v>
      </c>
      <c r="D5830" s="9" t="s">
        <v>26</v>
      </c>
      <c r="E5830" s="10" t="n">
        <v>1789</v>
      </c>
      <c r="F5830" s="9" t="s">
        <v>27</v>
      </c>
      <c r="G5830" s="9" t="s">
        <v>27</v>
      </c>
      <c r="H5830" s="11" t="n">
        <v>24</v>
      </c>
      <c r="I5830" s="11" t="s">
        <v>291</v>
      </c>
      <c r="J5830" s="14" t="n">
        <v>36</v>
      </c>
      <c r="K5830" s="14"/>
      <c r="L5830" s="16"/>
      <c r="M5830" s="27" t="n">
        <f aca="false">J5830+(K5830/20)+(L5830/240)</f>
        <v>36</v>
      </c>
      <c r="N5830" s="17" t="s">
        <v>66</v>
      </c>
      <c r="O5830" s="11"/>
      <c r="P5830" s="28"/>
      <c r="Q5830" s="28" t="n">
        <f aca="false">P5830*$M5830</f>
        <v>0</v>
      </c>
      <c r="R5830" s="28"/>
      <c r="S5830" s="28" t="n">
        <f aca="false">R5830*$M5830</f>
        <v>0</v>
      </c>
      <c r="T5830" s="28"/>
      <c r="U5830" s="28" t="n">
        <f aca="false">T5830*$M5830</f>
        <v>0</v>
      </c>
      <c r="V5830" s="28"/>
      <c r="W5830" s="28" t="n">
        <f aca="false">V5830*$M5830</f>
        <v>0</v>
      </c>
      <c r="X5830" s="28"/>
      <c r="Y5830" s="28" t="n">
        <f aca="false">X5830*$M5830</f>
        <v>0</v>
      </c>
      <c r="Z5830" s="28"/>
      <c r="AA5830" s="28" t="n">
        <f aca="false">Z5830*$M5830</f>
        <v>0</v>
      </c>
      <c r="AB5830" s="28"/>
      <c r="AC5830" s="28" t="n">
        <f aca="false">AB5830*$M5830</f>
        <v>0</v>
      </c>
      <c r="AD5830" s="28"/>
      <c r="AE5830" s="28" t="n">
        <f aca="false">AD5830*$M5830</f>
        <v>0</v>
      </c>
      <c r="AF5830" s="28"/>
      <c r="AG5830" s="28" t="n">
        <f aca="false">AF5830*$M5830</f>
        <v>0</v>
      </c>
      <c r="AH5830" s="28"/>
      <c r="AI5830" s="28" t="n">
        <f aca="false">AH5830*$M5830</f>
        <v>0</v>
      </c>
      <c r="AJ5830" s="28" t="n">
        <v>387</v>
      </c>
      <c r="AK5830" s="28" t="n">
        <v>13932</v>
      </c>
      <c r="AL5830" s="28"/>
      <c r="AM5830" s="28" t="n">
        <f aca="false">AL5830*$M5830</f>
        <v>0</v>
      </c>
      <c r="AN5830" s="28"/>
      <c r="AO5830" s="28" t="n">
        <f aca="false">AN5830*$M5830</f>
        <v>0</v>
      </c>
      <c r="AP5830" s="28"/>
      <c r="AQ5830" s="28" t="n">
        <f aca="false">AP5830*$M5830</f>
        <v>0</v>
      </c>
      <c r="AR5830" s="28"/>
      <c r="AS5830" s="28" t="n">
        <f aca="false">AR5830*$M5830</f>
        <v>0</v>
      </c>
      <c r="AT5830" s="28"/>
      <c r="AU5830" s="28" t="n">
        <f aca="false">AT5830*$M5830</f>
        <v>0</v>
      </c>
      <c r="AV5830" s="28"/>
      <c r="AW5830" s="28" t="n">
        <f aca="false">AV5830*$M5830</f>
        <v>0</v>
      </c>
      <c r="AX5830" s="28"/>
      <c r="AY5830" s="28" t="n">
        <f aca="false">AX5830*$M5830</f>
        <v>0</v>
      </c>
      <c r="AZ5830" s="30" t="n">
        <v>387</v>
      </c>
      <c r="BA5830" s="11" t="n">
        <v>13932</v>
      </c>
      <c r="BB5830" s="31" t="n">
        <f aca="false">SUM(Q5830,S5830,U5830,W5830,Y5830,AA5830,AC5830,AE5830,AG5830,AI5830,AK5830,AM5830,AO5830,AQ5830,AS5830,AU5830,AW5830,AY5830)</f>
        <v>13932</v>
      </c>
      <c r="BC5830" s="28" t="n">
        <f aca="false">BA5830-BB5830</f>
        <v>0</v>
      </c>
      <c r="BD5830" s="32" t="n">
        <f aca="false">SUM(P5830,R5830,T5830,V5830,X5830,Z5830,AB5830,AD5830,AF5830,AH5830,AJ5830,AL5830,AN5830,AP5830,AR5830,AT5830,AV5830,AX5830)</f>
        <v>387</v>
      </c>
      <c r="BE5830" s="33" t="n">
        <f aca="false">AZ5830-BD5830</f>
        <v>0</v>
      </c>
      <c r="BF5830" s="34" t="n">
        <f aca="false">BD5830*M5830</f>
        <v>13932</v>
      </c>
      <c r="BG5830" s="35" t="n">
        <f aca="false">BA5830-BF5830</f>
        <v>0</v>
      </c>
      <c r="BH5830" s="19" t="str">
        <f aca="false">IF(BG5830=0,"",IF(BG5830&lt;&gt;BA5830,"erreur de calcul",IF(BD5830&lt;&gt;0,"pas de prix",IF(M5830&lt;&gt; 0,"pas de quantité","pas de prix, ni de quantité"))))</f>
        <v/>
      </c>
      <c r="BI5830" s="19"/>
    </row>
    <row r="5831" customFormat="false" ht="15" hidden="false" customHeight="false" outlineLevel="0" collapsed="false">
      <c r="A5831" s="0" t="n">
        <v>5</v>
      </c>
      <c r="B5831" s="8" t="s">
        <v>24</v>
      </c>
      <c r="C5831" s="9" t="s">
        <v>25</v>
      </c>
      <c r="D5831" s="9" t="s">
        <v>26</v>
      </c>
      <c r="E5831" s="10" t="n">
        <v>1789</v>
      </c>
      <c r="F5831" s="9" t="s">
        <v>27</v>
      </c>
      <c r="G5831" s="9" t="s">
        <v>27</v>
      </c>
      <c r="H5831" s="11" t="n">
        <v>24</v>
      </c>
      <c r="I5831" s="11" t="s">
        <v>292</v>
      </c>
      <c r="J5831" s="14" t="n">
        <v>40</v>
      </c>
      <c r="K5831" s="14"/>
      <c r="L5831" s="16"/>
      <c r="M5831" s="27" t="n">
        <f aca="false">J5831+(K5831/20)+(L5831/240)</f>
        <v>40</v>
      </c>
      <c r="N5831" s="17" t="s">
        <v>64</v>
      </c>
      <c r="O5831" s="11" t="s">
        <v>277</v>
      </c>
      <c r="P5831" s="28"/>
      <c r="Q5831" s="28" t="n">
        <f aca="false">P5831*$M5831</f>
        <v>0</v>
      </c>
      <c r="R5831" s="28"/>
      <c r="S5831" s="28" t="n">
        <f aca="false">R5831*$M5831</f>
        <v>0</v>
      </c>
      <c r="T5831" s="28" t="n">
        <f aca="false">5917/100</f>
        <v>59.17</v>
      </c>
      <c r="U5831" s="28" t="n">
        <v>2367</v>
      </c>
      <c r="V5831" s="28" t="n">
        <f aca="false">12510/100</f>
        <v>125.1</v>
      </c>
      <c r="W5831" s="28" t="n">
        <f aca="false">V5831*$M5831</f>
        <v>5004</v>
      </c>
      <c r="X5831" s="28"/>
      <c r="Y5831" s="28" t="n">
        <f aca="false">X5831*$M5831</f>
        <v>0</v>
      </c>
      <c r="Z5831" s="28"/>
      <c r="AA5831" s="28" t="n">
        <f aca="false">Z5831*$M5831</f>
        <v>0</v>
      </c>
      <c r="AB5831" s="28" t="n">
        <f aca="false">50338/100</f>
        <v>503.38</v>
      </c>
      <c r="AC5831" s="28" t="n">
        <v>20135</v>
      </c>
      <c r="AD5831" s="28"/>
      <c r="AE5831" s="28" t="n">
        <f aca="false">AD5831*$M5831</f>
        <v>0</v>
      </c>
      <c r="AF5831" s="28"/>
      <c r="AG5831" s="28" t="n">
        <f aca="false">AF5831*$M5831</f>
        <v>0</v>
      </c>
      <c r="AH5831" s="28" t="n">
        <f aca="false">440/100</f>
        <v>4.4</v>
      </c>
      <c r="AI5831" s="28" t="n">
        <v>176</v>
      </c>
      <c r="AJ5831" s="28" t="n">
        <f aca="false">18094/100</f>
        <v>180.94</v>
      </c>
      <c r="AK5831" s="28" t="n">
        <v>7238</v>
      </c>
      <c r="AL5831" s="28"/>
      <c r="AM5831" s="28" t="n">
        <f aca="false">AL5831*$M5831</f>
        <v>0</v>
      </c>
      <c r="AN5831" s="28"/>
      <c r="AO5831" s="28" t="n">
        <f aca="false">AN5831*$M5831</f>
        <v>0</v>
      </c>
      <c r="AP5831" s="28"/>
      <c r="AQ5831" s="28" t="n">
        <f aca="false">AP5831*$M5831</f>
        <v>0</v>
      </c>
      <c r="AR5831" s="28"/>
      <c r="AS5831" s="28" t="n">
        <f aca="false">AR5831*$M5831</f>
        <v>0</v>
      </c>
      <c r="AT5831" s="28"/>
      <c r="AU5831" s="28" t="n">
        <f aca="false">AT5831*$M5831</f>
        <v>0</v>
      </c>
      <c r="AV5831" s="28"/>
      <c r="AW5831" s="28" t="n">
        <f aca="false">AV5831*$M5831</f>
        <v>0</v>
      </c>
      <c r="AX5831" s="28"/>
      <c r="AY5831" s="28" t="n">
        <f aca="false">AX5831*$M5831</f>
        <v>0</v>
      </c>
      <c r="AZ5831" s="30" t="n">
        <f aca="false">87279/100</f>
        <v>872.79</v>
      </c>
      <c r="BA5831" s="11" t="n">
        <v>34920</v>
      </c>
      <c r="BB5831" s="31" t="n">
        <f aca="false">SUM(Q5831,S5831,U5831,W5831,Y5831,AA5831,AC5831,AE5831,AG5831,AI5831,AK5831,AM5831,AO5831,AQ5831,AS5831,AU5831,AW5831,AY5831)</f>
        <v>34920</v>
      </c>
      <c r="BC5831" s="28" t="n">
        <f aca="false">BA5831-BB5831</f>
        <v>0</v>
      </c>
      <c r="BD5831" s="32" t="n">
        <f aca="false">SUM(P5831,R5831,T5831,V5831,X5831,Z5831,AB5831,AD5831,AF5831,AH5831,AJ5831,AL5831,AN5831,AP5831,AR5831,AT5831,AV5831,AX5831)</f>
        <v>872.99</v>
      </c>
      <c r="BE5831" s="33" t="n">
        <f aca="false">AZ5831-BD5831</f>
        <v>-0.200000000000045</v>
      </c>
      <c r="BF5831" s="34" t="n">
        <f aca="false">BD5831*M5831</f>
        <v>34919.6</v>
      </c>
      <c r="BG5831" s="35" t="n">
        <f aca="false">BA5831-BF5831</f>
        <v>0.400000000001455</v>
      </c>
      <c r="BH5831" s="19" t="str">
        <f aca="false">IF(BG5831=0,"",IF(BG5831&lt;&gt;BA5831,"erreur de calcul",IF(BD5831&lt;&gt;0,"pas de prix",IF(M5831&lt;&gt; 0,"pas de quantité","pas de prix, ni de quantité"))))</f>
        <v>erreur de calcul</v>
      </c>
      <c r="BI5831" s="19"/>
    </row>
    <row r="5832" customFormat="false" ht="15" hidden="false" customHeight="false" outlineLevel="0" collapsed="false">
      <c r="A5832" s="0" t="n">
        <v>6</v>
      </c>
      <c r="B5832" s="8" t="s">
        <v>24</v>
      </c>
      <c r="C5832" s="9" t="s">
        <v>25</v>
      </c>
      <c r="D5832" s="9" t="s">
        <v>26</v>
      </c>
      <c r="E5832" s="10" t="n">
        <v>1789</v>
      </c>
      <c r="F5832" s="9" t="s">
        <v>27</v>
      </c>
      <c r="G5832" s="9" t="s">
        <v>27</v>
      </c>
      <c r="H5832" s="11" t="n">
        <v>24</v>
      </c>
      <c r="I5832" s="11" t="s">
        <v>293</v>
      </c>
      <c r="J5832" s="14" t="n">
        <v>72</v>
      </c>
      <c r="K5832" s="14"/>
      <c r="L5832" s="16"/>
      <c r="M5832" s="27" t="n">
        <f aca="false">J5832+(K5832/20)+(L5832/240)</f>
        <v>72</v>
      </c>
      <c r="N5832" s="17" t="s">
        <v>294</v>
      </c>
      <c r="O5832" s="11"/>
      <c r="P5832" s="28" t="n">
        <v>16096</v>
      </c>
      <c r="Q5832" s="28" t="n">
        <v>1158912</v>
      </c>
      <c r="R5832" s="28"/>
      <c r="S5832" s="28" t="n">
        <f aca="false">R5832*$M5832</f>
        <v>0</v>
      </c>
      <c r="T5832" s="28" t="n">
        <v>6580</v>
      </c>
      <c r="U5832" s="28" t="n">
        <v>473760</v>
      </c>
      <c r="V5832" s="28" t="n">
        <v>21336</v>
      </c>
      <c r="W5832" s="28" t="n">
        <v>1536192</v>
      </c>
      <c r="X5832" s="28" t="n">
        <v>905</v>
      </c>
      <c r="Y5832" s="28" t="n">
        <v>65160</v>
      </c>
      <c r="Z5832" s="28" t="n">
        <v>250</v>
      </c>
      <c r="AA5832" s="28" t="n">
        <v>18000</v>
      </c>
      <c r="AB5832" s="28" t="n">
        <v>155034</v>
      </c>
      <c r="AC5832" s="28" t="n">
        <v>11162448</v>
      </c>
      <c r="AD5832" s="28"/>
      <c r="AE5832" s="28" t="n">
        <f aca="false">AD5832*$M5832</f>
        <v>0</v>
      </c>
      <c r="AF5832" s="28" t="n">
        <v>18739</v>
      </c>
      <c r="AG5832" s="28" t="n">
        <v>1349208</v>
      </c>
      <c r="AH5832" s="28" t="n">
        <v>44032</v>
      </c>
      <c r="AI5832" s="28" t="n">
        <v>3170304</v>
      </c>
      <c r="AJ5832" s="28"/>
      <c r="AK5832" s="28" t="n">
        <f aca="false">AJ5832*$M5832</f>
        <v>0</v>
      </c>
      <c r="AL5832" s="28"/>
      <c r="AM5832" s="28" t="n">
        <f aca="false">AL5832*$M5832</f>
        <v>0</v>
      </c>
      <c r="AN5832" s="28"/>
      <c r="AO5832" s="28" t="n">
        <f aca="false">AN5832*$M5832</f>
        <v>0</v>
      </c>
      <c r="AP5832" s="28"/>
      <c r="AQ5832" s="28" t="n">
        <f aca="false">AP5832*$M5832</f>
        <v>0</v>
      </c>
      <c r="AR5832" s="28"/>
      <c r="AS5832" s="28" t="n">
        <f aca="false">AR5832*$M5832</f>
        <v>0</v>
      </c>
      <c r="AT5832" s="28"/>
      <c r="AU5832" s="28" t="n">
        <f aca="false">AT5832*$M5832</f>
        <v>0</v>
      </c>
      <c r="AV5832" s="28"/>
      <c r="AW5832" s="28" t="n">
        <f aca="false">AV5832*$M5832</f>
        <v>0</v>
      </c>
      <c r="AX5832" s="28"/>
      <c r="AY5832" s="28" t="n">
        <f aca="false">AX5832*$M5832</f>
        <v>0</v>
      </c>
      <c r="AZ5832" s="30" t="n">
        <v>262972</v>
      </c>
      <c r="BA5832" s="11" t="n">
        <v>18933984</v>
      </c>
      <c r="BB5832" s="31" t="n">
        <f aca="false">SUM(Q5832,S5832,U5832,W5832,Y5832,AA5832,AC5832,AE5832,AG5832,AI5832,AK5832,AM5832,AO5832,AQ5832,AS5832,AU5832,AW5832,AY5832)</f>
        <v>18933984</v>
      </c>
      <c r="BC5832" s="28" t="n">
        <f aca="false">BA5832-BB5832</f>
        <v>0</v>
      </c>
      <c r="BD5832" s="32" t="n">
        <f aca="false">SUM(P5832,R5832,T5832,V5832,X5832,Z5832,AB5832,AD5832,AF5832,AH5832,AJ5832,AL5832,AN5832,AP5832,AR5832,AT5832,AV5832,AX5832)</f>
        <v>262972</v>
      </c>
      <c r="BE5832" s="33" t="n">
        <f aca="false">AZ5832-BD5832</f>
        <v>0</v>
      </c>
      <c r="BF5832" s="34" t="n">
        <f aca="false">BD5832*M5832</f>
        <v>18933984</v>
      </c>
      <c r="BG5832" s="35" t="n">
        <f aca="false">BA5832-BF5832</f>
        <v>0</v>
      </c>
      <c r="BH5832" s="19" t="str">
        <f aca="false">IF(BG5832=0,"",IF(BG5832&lt;&gt;BA5832,"erreur de calcul",IF(BD5832&lt;&gt;0,"pas de prix",IF(M5832&lt;&gt; 0,"pas de quantité","pas de prix, ni de quantité"))))</f>
        <v/>
      </c>
      <c r="BI5832" s="19" t="s">
        <v>295</v>
      </c>
    </row>
    <row r="5833" customFormat="false" ht="15" hidden="false" customHeight="false" outlineLevel="0" collapsed="false">
      <c r="A5833" s="0" t="n">
        <v>7</v>
      </c>
      <c r="B5833" s="8" t="s">
        <v>24</v>
      </c>
      <c r="C5833" s="9" t="s">
        <v>25</v>
      </c>
      <c r="D5833" s="9" t="s">
        <v>26</v>
      </c>
      <c r="E5833" s="10" t="n">
        <v>1789</v>
      </c>
      <c r="F5833" s="9" t="s">
        <v>27</v>
      </c>
      <c r="G5833" s="9" t="s">
        <v>27</v>
      </c>
      <c r="H5833" s="11" t="n">
        <v>24</v>
      </c>
      <c r="I5833" s="11" t="s">
        <v>296</v>
      </c>
      <c r="J5833" s="14" t="n">
        <v>35</v>
      </c>
      <c r="K5833" s="14"/>
      <c r="L5833" s="16"/>
      <c r="M5833" s="27" t="n">
        <f aca="false">J5833+(K5833/20)+(L5833/240)</f>
        <v>35</v>
      </c>
      <c r="N5833" s="17" t="s">
        <v>64</v>
      </c>
      <c r="O5833" s="11" t="s">
        <v>98</v>
      </c>
      <c r="P5833" s="28"/>
      <c r="Q5833" s="28" t="n">
        <f aca="false">P5833*$M5833</f>
        <v>0</v>
      </c>
      <c r="R5833" s="28"/>
      <c r="S5833" s="28" t="n">
        <f aca="false">R5833*$M5833</f>
        <v>0</v>
      </c>
      <c r="T5833" s="28"/>
      <c r="U5833" s="28" t="n">
        <f aca="false">T5833*$M5833</f>
        <v>0</v>
      </c>
      <c r="V5833" s="28"/>
      <c r="W5833" s="28" t="n">
        <f aca="false">V5833*$M5833</f>
        <v>0</v>
      </c>
      <c r="X5833" s="28"/>
      <c r="Y5833" s="28" t="n">
        <f aca="false">X5833*$M5833</f>
        <v>0</v>
      </c>
      <c r="Z5833" s="28"/>
      <c r="AA5833" s="28" t="n">
        <f aca="false">Z5833*$M5833</f>
        <v>0</v>
      </c>
      <c r="AB5833" s="28"/>
      <c r="AC5833" s="28" t="n">
        <f aca="false">AB5833*$M5833</f>
        <v>0</v>
      </c>
      <c r="AD5833" s="28"/>
      <c r="AE5833" s="28" t="n">
        <f aca="false">AD5833*$M5833</f>
        <v>0</v>
      </c>
      <c r="AF5833" s="28"/>
      <c r="AG5833" s="28" t="n">
        <f aca="false">AF5833*$M5833</f>
        <v>0</v>
      </c>
      <c r="AH5833" s="28"/>
      <c r="AI5833" s="28" t="n">
        <f aca="false">AH5833*$M5833</f>
        <v>0</v>
      </c>
      <c r="AJ5833" s="28"/>
      <c r="AK5833" s="28" t="n">
        <f aca="false">AJ5833*$M5833</f>
        <v>0</v>
      </c>
      <c r="AL5833" s="28"/>
      <c r="AM5833" s="28" t="n">
        <f aca="false">AL5833*$M5833</f>
        <v>0</v>
      </c>
      <c r="AN5833" s="28"/>
      <c r="AO5833" s="28" t="n">
        <f aca="false">AN5833*$M5833</f>
        <v>0</v>
      </c>
      <c r="AP5833" s="28"/>
      <c r="AQ5833" s="28" t="n">
        <f aca="false">AP5833*$M5833</f>
        <v>0</v>
      </c>
      <c r="AR5833" s="28"/>
      <c r="AS5833" s="28" t="n">
        <f aca="false">AR5833*$M5833</f>
        <v>0</v>
      </c>
      <c r="AT5833" s="28"/>
      <c r="AU5833" s="28" t="n">
        <f aca="false">AT5833*$M5833</f>
        <v>0</v>
      </c>
      <c r="AV5833" s="28"/>
      <c r="AW5833" s="28" t="n">
        <f aca="false">AV5833*$M5833</f>
        <v>0</v>
      </c>
      <c r="AX5833" s="28"/>
      <c r="AY5833" s="28" t="n">
        <f aca="false">AX5833*$M5833</f>
        <v>0</v>
      </c>
      <c r="AZ5833" s="30"/>
      <c r="BA5833" s="11"/>
      <c r="BB5833" s="31" t="n">
        <f aca="false">SUM(Q5833,S5833,U5833,W5833,Y5833,AA5833,AC5833,AE5833,AG5833,AI5833,AK5833,AM5833,AO5833,AQ5833,AS5833,AU5833,AW5833,AY5833)</f>
        <v>0</v>
      </c>
      <c r="BC5833" s="28" t="n">
        <f aca="false">BA5833-BB5833</f>
        <v>0</v>
      </c>
      <c r="BD5833" s="32" t="n">
        <f aca="false">SUM(P5833,R5833,T5833,V5833,X5833,Z5833,AB5833,AD5833,AF5833,AH5833,AJ5833,AL5833,AN5833,AP5833,AR5833,AT5833,AV5833,AX5833)</f>
        <v>0</v>
      </c>
      <c r="BE5833" s="33" t="n">
        <f aca="false">AZ5833-BD5833</f>
        <v>0</v>
      </c>
      <c r="BF5833" s="34" t="n">
        <f aca="false">BD5833*M5833</f>
        <v>0</v>
      </c>
      <c r="BG5833" s="35" t="n">
        <f aca="false">BA5833-BF5833</f>
        <v>0</v>
      </c>
      <c r="BH5833" s="19" t="str">
        <f aca="false">IF(BG5833=0,"",IF(BG5833&lt;&gt;BA5833,"erreur de calcul",IF(BD5833&lt;&gt;0,"pas de prix",IF(M5833&lt;&gt; 0,"pas de quantité","pas de prix, ni de quantité"))))</f>
        <v/>
      </c>
      <c r="BI5833" s="19"/>
    </row>
    <row r="5834" customFormat="false" ht="15" hidden="false" customHeight="false" outlineLevel="0" collapsed="false">
      <c r="A5834" s="0" t="n">
        <v>8</v>
      </c>
      <c r="B5834" s="8" t="s">
        <v>24</v>
      </c>
      <c r="C5834" s="9" t="s">
        <v>25</v>
      </c>
      <c r="D5834" s="9" t="s">
        <v>26</v>
      </c>
      <c r="E5834" s="10" t="n">
        <v>1789</v>
      </c>
      <c r="F5834" s="9" t="s">
        <v>27</v>
      </c>
      <c r="G5834" s="9" t="s">
        <v>27</v>
      </c>
      <c r="H5834" s="11" t="n">
        <v>24</v>
      </c>
      <c r="I5834" s="11" t="s">
        <v>297</v>
      </c>
      <c r="J5834" s="14" t="n">
        <v>45</v>
      </c>
      <c r="K5834" s="14"/>
      <c r="L5834" s="16"/>
      <c r="M5834" s="27" t="n">
        <f aca="false">J5834+(K5834/20)+(L5834/240)</f>
        <v>45</v>
      </c>
      <c r="N5834" s="17" t="s">
        <v>64</v>
      </c>
      <c r="O5834" s="11"/>
      <c r="P5834" s="28"/>
      <c r="Q5834" s="28" t="n">
        <f aca="false">P5834*$M5834</f>
        <v>0</v>
      </c>
      <c r="R5834" s="28"/>
      <c r="S5834" s="28" t="n">
        <f aca="false">R5834*$M5834</f>
        <v>0</v>
      </c>
      <c r="T5834" s="28"/>
      <c r="U5834" s="28" t="n">
        <f aca="false">T5834*$M5834</f>
        <v>0</v>
      </c>
      <c r="V5834" s="28"/>
      <c r="W5834" s="28" t="n">
        <f aca="false">V5834*$M5834</f>
        <v>0</v>
      </c>
      <c r="X5834" s="28"/>
      <c r="Y5834" s="28" t="n">
        <f aca="false">X5834*$M5834</f>
        <v>0</v>
      </c>
      <c r="Z5834" s="28"/>
      <c r="AA5834" s="28" t="n">
        <f aca="false">Z5834*$M5834</f>
        <v>0</v>
      </c>
      <c r="AB5834" s="28"/>
      <c r="AC5834" s="28" t="n">
        <f aca="false">AB5834*$M5834</f>
        <v>0</v>
      </c>
      <c r="AD5834" s="28"/>
      <c r="AE5834" s="28" t="n">
        <f aca="false">AD5834*$M5834</f>
        <v>0</v>
      </c>
      <c r="AF5834" s="28"/>
      <c r="AG5834" s="28" t="n">
        <f aca="false">AF5834*$M5834</f>
        <v>0</v>
      </c>
      <c r="AH5834" s="28"/>
      <c r="AI5834" s="28" t="n">
        <f aca="false">AH5834*$M5834</f>
        <v>0</v>
      </c>
      <c r="AJ5834" s="28"/>
      <c r="AK5834" s="28" t="n">
        <f aca="false">AJ5834*$M5834</f>
        <v>0</v>
      </c>
      <c r="AL5834" s="28"/>
      <c r="AM5834" s="28" t="n">
        <f aca="false">AL5834*$M5834</f>
        <v>0</v>
      </c>
      <c r="AN5834" s="28"/>
      <c r="AO5834" s="28" t="n">
        <f aca="false">AN5834*$M5834</f>
        <v>0</v>
      </c>
      <c r="AP5834" s="28"/>
      <c r="AQ5834" s="28" t="n">
        <f aca="false">AP5834*$M5834</f>
        <v>0</v>
      </c>
      <c r="AR5834" s="28"/>
      <c r="AS5834" s="28" t="n">
        <f aca="false">AR5834*$M5834</f>
        <v>0</v>
      </c>
      <c r="AT5834" s="28"/>
      <c r="AU5834" s="28" t="n">
        <f aca="false">AT5834*$M5834</f>
        <v>0</v>
      </c>
      <c r="AV5834" s="28"/>
      <c r="AW5834" s="28" t="n">
        <f aca="false">AV5834*$M5834</f>
        <v>0</v>
      </c>
      <c r="AX5834" s="28" t="n">
        <f aca="false">44459/100</f>
        <v>444.59</v>
      </c>
      <c r="AY5834" s="28" t="n">
        <v>20006</v>
      </c>
      <c r="AZ5834" s="30" t="n">
        <f aca="false">44459/100</f>
        <v>444.59</v>
      </c>
      <c r="BA5834" s="11" t="n">
        <v>20006</v>
      </c>
      <c r="BB5834" s="31" t="n">
        <f aca="false">SUM(Q5834,S5834,U5834,W5834,Y5834,AA5834,AC5834,AE5834,AG5834,AI5834,AK5834,AM5834,AO5834,AQ5834,AS5834,AU5834,AW5834,AY5834)</f>
        <v>20006</v>
      </c>
      <c r="BC5834" s="28" t="n">
        <f aca="false">BA5834-BB5834</f>
        <v>0</v>
      </c>
      <c r="BD5834" s="32" t="n">
        <f aca="false">SUM(P5834,R5834,T5834,V5834,X5834,Z5834,AB5834,AD5834,AF5834,AH5834,AJ5834,AL5834,AN5834,AP5834,AR5834,AT5834,AV5834,AX5834)</f>
        <v>444.59</v>
      </c>
      <c r="BE5834" s="33" t="n">
        <f aca="false">AZ5834-BD5834</f>
        <v>0</v>
      </c>
      <c r="BF5834" s="34" t="n">
        <f aca="false">BD5834*M5834</f>
        <v>20006.55</v>
      </c>
      <c r="BG5834" s="35" t="n">
        <f aca="false">BA5834-BF5834</f>
        <v>-0.549999999999272</v>
      </c>
      <c r="BH5834" s="19" t="str">
        <f aca="false">IF(BG5834=0,"",IF(BG5834&lt;&gt;BA5834,"erreur de calcul",IF(BD5834&lt;&gt;0,"pas de prix",IF(M5834&lt;&gt; 0,"pas de quantité","pas de prix, ni de quantité"))))</f>
        <v>erreur de calcul</v>
      </c>
      <c r="BI5834" s="19"/>
    </row>
    <row r="5835" customFormat="false" ht="15" hidden="false" customHeight="false" outlineLevel="0" collapsed="false">
      <c r="A5835" s="0" t="n">
        <v>9</v>
      </c>
      <c r="B5835" s="8" t="s">
        <v>24</v>
      </c>
      <c r="C5835" s="9" t="s">
        <v>25</v>
      </c>
      <c r="D5835" s="9" t="s">
        <v>26</v>
      </c>
      <c r="E5835" s="10" t="n">
        <v>1789</v>
      </c>
      <c r="F5835" s="9" t="s">
        <v>27</v>
      </c>
      <c r="G5835" s="9" t="s">
        <v>27</v>
      </c>
      <c r="H5835" s="11" t="n">
        <v>24</v>
      </c>
      <c r="I5835" s="11" t="s">
        <v>298</v>
      </c>
      <c r="J5835" s="14" t="n">
        <v>550</v>
      </c>
      <c r="K5835" s="14"/>
      <c r="L5835" s="16"/>
      <c r="M5835" s="27" t="n">
        <f aca="false">J5835+(K5835/20)+(L5835/240)</f>
        <v>550</v>
      </c>
      <c r="N5835" s="17" t="s">
        <v>64</v>
      </c>
      <c r="O5835" s="11"/>
      <c r="P5835" s="28"/>
      <c r="Q5835" s="28" t="n">
        <f aca="false">P5835*$M5835</f>
        <v>0</v>
      </c>
      <c r="R5835" s="28"/>
      <c r="S5835" s="28" t="n">
        <f aca="false">R5835*$M5835</f>
        <v>0</v>
      </c>
      <c r="T5835" s="28"/>
      <c r="U5835" s="28" t="n">
        <f aca="false">T5835*$M5835</f>
        <v>0</v>
      </c>
      <c r="V5835" s="28"/>
      <c r="W5835" s="28" t="n">
        <f aca="false">V5835*$M5835</f>
        <v>0</v>
      </c>
      <c r="X5835" s="28"/>
      <c r="Y5835" s="28" t="n">
        <f aca="false">X5835*$M5835</f>
        <v>0</v>
      </c>
      <c r="Z5835" s="28"/>
      <c r="AA5835" s="28" t="n">
        <f aca="false">Z5835*$M5835</f>
        <v>0</v>
      </c>
      <c r="AB5835" s="28"/>
      <c r="AC5835" s="28" t="n">
        <f aca="false">AB5835*$M5835</f>
        <v>0</v>
      </c>
      <c r="AD5835" s="28"/>
      <c r="AE5835" s="28" t="n">
        <f aca="false">AD5835*$M5835</f>
        <v>0</v>
      </c>
      <c r="AF5835" s="28" t="n">
        <f aca="false">200/100</f>
        <v>2</v>
      </c>
      <c r="AG5835" s="28" t="n">
        <v>1100</v>
      </c>
      <c r="AH5835" s="28"/>
      <c r="AI5835" s="28" t="n">
        <f aca="false">AH5835*$M5835</f>
        <v>0</v>
      </c>
      <c r="AJ5835" s="28"/>
      <c r="AK5835" s="28" t="n">
        <f aca="false">AJ5835*$M5835</f>
        <v>0</v>
      </c>
      <c r="AL5835" s="28"/>
      <c r="AM5835" s="28" t="n">
        <f aca="false">AL5835*$M5835</f>
        <v>0</v>
      </c>
      <c r="AN5835" s="28"/>
      <c r="AO5835" s="28" t="n">
        <f aca="false">AN5835*$M5835</f>
        <v>0</v>
      </c>
      <c r="AP5835" s="28"/>
      <c r="AQ5835" s="28" t="n">
        <f aca="false">AP5835*$M5835</f>
        <v>0</v>
      </c>
      <c r="AR5835" s="28"/>
      <c r="AS5835" s="28" t="n">
        <f aca="false">AR5835*$M5835</f>
        <v>0</v>
      </c>
      <c r="AT5835" s="28"/>
      <c r="AU5835" s="28" t="n">
        <f aca="false">AT5835*$M5835</f>
        <v>0</v>
      </c>
      <c r="AV5835" s="28"/>
      <c r="AW5835" s="28" t="n">
        <f aca="false">AV5835*$M5835</f>
        <v>0</v>
      </c>
      <c r="AX5835" s="28"/>
      <c r="AY5835" s="28" t="n">
        <f aca="false">AX5835*$M5835</f>
        <v>0</v>
      </c>
      <c r="AZ5835" s="30" t="n">
        <f aca="false">200/100</f>
        <v>2</v>
      </c>
      <c r="BA5835" s="11" t="n">
        <v>1100</v>
      </c>
      <c r="BB5835" s="31" t="n">
        <f aca="false">SUM(Q5835,S5835,U5835,W5835,Y5835,AA5835,AC5835,AE5835,AG5835,AI5835,AK5835,AM5835,AO5835,AQ5835,AS5835,AU5835,AW5835,AY5835)</f>
        <v>1100</v>
      </c>
      <c r="BC5835" s="28" t="n">
        <f aca="false">BA5835-BB5835</f>
        <v>0</v>
      </c>
      <c r="BD5835" s="32" t="n">
        <f aca="false">SUM(P5835,R5835,T5835,V5835,X5835,Z5835,AB5835,AD5835,AF5835,AH5835,AJ5835,AL5835,AN5835,AP5835,AR5835,AT5835,AV5835,AX5835)</f>
        <v>2</v>
      </c>
      <c r="BE5835" s="33" t="n">
        <f aca="false">AZ5835-BD5835</f>
        <v>0</v>
      </c>
      <c r="BF5835" s="34" t="n">
        <f aca="false">BD5835*M5835</f>
        <v>1100</v>
      </c>
      <c r="BG5835" s="35" t="n">
        <f aca="false">BA5835-BF5835</f>
        <v>0</v>
      </c>
      <c r="BH5835" s="19" t="str">
        <f aca="false">IF(BG5835=0,"",IF(BG5835&lt;&gt;BA5835,"erreur de calcul",IF(BD5835&lt;&gt;0,"pas de prix",IF(M5835&lt;&gt; 0,"pas de quantité","pas de prix, ni de quantité"))))</f>
        <v/>
      </c>
      <c r="BI5835" s="19"/>
    </row>
    <row r="5836" customFormat="false" ht="15" hidden="false" customHeight="false" outlineLevel="0" collapsed="false">
      <c r="A5836" s="0" t="n">
        <v>10</v>
      </c>
      <c r="B5836" s="8" t="s">
        <v>24</v>
      </c>
      <c r="C5836" s="9" t="s">
        <v>25</v>
      </c>
      <c r="D5836" s="9" t="s">
        <v>26</v>
      </c>
      <c r="E5836" s="10" t="n">
        <v>1789</v>
      </c>
      <c r="F5836" s="9" t="s">
        <v>27</v>
      </c>
      <c r="G5836" s="9" t="s">
        <v>27</v>
      </c>
      <c r="H5836" s="11" t="n">
        <v>24</v>
      </c>
      <c r="I5836" s="11" t="s">
        <v>299</v>
      </c>
      <c r="J5836" s="14" t="n">
        <v>16</v>
      </c>
      <c r="K5836" s="14"/>
      <c r="L5836" s="16"/>
      <c r="M5836" s="27" t="n">
        <f aca="false">J5836+(K5836/20)+(L5836/240)</f>
        <v>16</v>
      </c>
      <c r="N5836" s="17" t="s">
        <v>64</v>
      </c>
      <c r="O5836" s="11"/>
      <c r="P5836" s="28" t="n">
        <f aca="false">20*288*0.02+252*0.02</f>
        <v>120.24</v>
      </c>
      <c r="Q5836" s="28" t="n">
        <v>1924</v>
      </c>
      <c r="R5836" s="28"/>
      <c r="S5836" s="28" t="n">
        <f aca="false">R5836*$M5836</f>
        <v>0</v>
      </c>
      <c r="T5836" s="28"/>
      <c r="U5836" s="28" t="n">
        <f aca="false">T5836*$M5836</f>
        <v>0</v>
      </c>
      <c r="V5836" s="28" t="n">
        <f aca="false">16*288*0.02+15*0.02</f>
        <v>92.46</v>
      </c>
      <c r="W5836" s="28" t="n">
        <v>1479</v>
      </c>
      <c r="X5836" s="28" t="n">
        <f aca="false">25*288*0.02+152*0.02</f>
        <v>147.04</v>
      </c>
      <c r="Y5836" s="28" t="n">
        <v>2353</v>
      </c>
      <c r="Z5836" s="28"/>
      <c r="AA5836" s="28" t="n">
        <f aca="false">Z5836*$M5836</f>
        <v>0</v>
      </c>
      <c r="AB5836" s="28" t="n">
        <f aca="false">127*288*0.02+236*0.02</f>
        <v>736.24</v>
      </c>
      <c r="AC5836" s="28" t="n">
        <v>11780</v>
      </c>
      <c r="AD5836" s="28"/>
      <c r="AE5836" s="28" t="n">
        <f aca="false">AD5836*$M5836</f>
        <v>0</v>
      </c>
      <c r="AF5836" s="28"/>
      <c r="AG5836" s="28" t="n">
        <f aca="false">AF5836*$M5836</f>
        <v>0</v>
      </c>
      <c r="AH5836" s="28"/>
      <c r="AI5836" s="28" t="n">
        <f aca="false">AH5836*$M5836</f>
        <v>0</v>
      </c>
      <c r="AJ5836" s="28"/>
      <c r="AK5836" s="28" t="n">
        <f aca="false">AJ5836*$M5836</f>
        <v>0</v>
      </c>
      <c r="AL5836" s="28"/>
      <c r="AM5836" s="28" t="n">
        <f aca="false">AL5836*$M5836</f>
        <v>0</v>
      </c>
      <c r="AN5836" s="28"/>
      <c r="AO5836" s="28" t="n">
        <f aca="false">AN5836*$M5836</f>
        <v>0</v>
      </c>
      <c r="AP5836" s="28"/>
      <c r="AQ5836" s="28" t="n">
        <f aca="false">AP5836*$M5836</f>
        <v>0</v>
      </c>
      <c r="AR5836" s="28"/>
      <c r="AS5836" s="28" t="n">
        <f aca="false">AR5836*$M5836</f>
        <v>0</v>
      </c>
      <c r="AT5836" s="28"/>
      <c r="AU5836" s="28" t="n">
        <f aca="false">AT5836*$M5836</f>
        <v>0</v>
      </c>
      <c r="AV5836" s="28"/>
      <c r="AW5836" s="28" t="n">
        <f aca="false">AV5836*$M5836</f>
        <v>0</v>
      </c>
      <c r="AX5836" s="28"/>
      <c r="AY5836" s="28" t="n">
        <f aca="false">AX5836*$M5836</f>
        <v>0</v>
      </c>
      <c r="AZ5836" s="30" t="n">
        <f aca="false">190*288*0.02+82*0.02</f>
        <v>1096.04</v>
      </c>
      <c r="BA5836" s="11" t="n">
        <v>17536</v>
      </c>
      <c r="BB5836" s="31" t="n">
        <f aca="false">SUM(Q5836,S5836,U5836,W5836,Y5836,AA5836,AC5836,AE5836,AG5836,AI5836,AK5836,AM5836,AO5836,AQ5836,AS5836,AU5836,AW5836,AY5836)</f>
        <v>17536</v>
      </c>
      <c r="BC5836" s="28" t="n">
        <f aca="false">BA5836-BB5836</f>
        <v>0</v>
      </c>
      <c r="BD5836" s="32" t="n">
        <f aca="false">SUM(P5836,R5836,T5836,V5836,X5836,Z5836,AB5836,AD5836,AF5836,AH5836,AJ5836,AL5836,AN5836,AP5836,AR5836,AT5836,AV5836,AX5836)</f>
        <v>1095.98</v>
      </c>
      <c r="BE5836" s="33" t="n">
        <f aca="false">AZ5836-BD5836</f>
        <v>0.0600000000001728</v>
      </c>
      <c r="BF5836" s="34" t="n">
        <f aca="false">BD5836*M5836</f>
        <v>17535.68</v>
      </c>
      <c r="BG5836" s="35" t="n">
        <f aca="false">BA5836-BF5836</f>
        <v>0.319999999999709</v>
      </c>
      <c r="BH5836" s="19" t="str">
        <f aca="false">IF(BG5836=0,"",IF(BG5836&lt;&gt;BA5836,"erreur de calcul",IF(BD5836&lt;&gt;0,"pas de prix",IF(M5836&lt;&gt; 0,"pas de quantité","pas de prix, ni de quantité"))))</f>
        <v>erreur de calcul</v>
      </c>
      <c r="BI5836" s="19"/>
    </row>
    <row r="5837" customFormat="false" ht="15" hidden="false" customHeight="false" outlineLevel="0" collapsed="false">
      <c r="A5837" s="0" t="n">
        <v>11</v>
      </c>
      <c r="B5837" s="8" t="s">
        <v>24</v>
      </c>
      <c r="C5837" s="9" t="s">
        <v>25</v>
      </c>
      <c r="D5837" s="9" t="s">
        <v>26</v>
      </c>
      <c r="E5837" s="10" t="n">
        <v>1789</v>
      </c>
      <c r="F5837" s="9" t="s">
        <v>27</v>
      </c>
      <c r="G5837" s="9" t="s">
        <v>27</v>
      </c>
      <c r="H5837" s="11" t="n">
        <v>24</v>
      </c>
      <c r="I5837" s="11" t="s">
        <v>300</v>
      </c>
      <c r="J5837" s="14" t="n">
        <v>360</v>
      </c>
      <c r="K5837" s="14"/>
      <c r="L5837" s="16"/>
      <c r="M5837" s="27" t="n">
        <f aca="false">J5837+(K5837/20)+(L5837/240)</f>
        <v>360</v>
      </c>
      <c r="N5837" s="17" t="s">
        <v>64</v>
      </c>
      <c r="O5837" s="11"/>
      <c r="P5837" s="28"/>
      <c r="Q5837" s="28" t="n">
        <f aca="false">P5837*$M5837</f>
        <v>0</v>
      </c>
      <c r="R5837" s="28"/>
      <c r="S5837" s="28" t="n">
        <f aca="false">R5837*$M5837</f>
        <v>0</v>
      </c>
      <c r="T5837" s="28"/>
      <c r="U5837" s="28" t="n">
        <f aca="false">T5837*$M5837</f>
        <v>0</v>
      </c>
      <c r="V5837" s="28"/>
      <c r="W5837" s="28" t="n">
        <f aca="false">V5837*$M5837</f>
        <v>0</v>
      </c>
      <c r="X5837" s="28"/>
      <c r="Y5837" s="28" t="n">
        <f aca="false">X5837*$M5837</f>
        <v>0</v>
      </c>
      <c r="Z5837" s="28"/>
      <c r="AA5837" s="28" t="n">
        <f aca="false">Z5837*$M5837</f>
        <v>0</v>
      </c>
      <c r="AB5837" s="28"/>
      <c r="AC5837" s="28" t="n">
        <f aca="false">AB5837*$M5837</f>
        <v>0</v>
      </c>
      <c r="AD5837" s="28"/>
      <c r="AE5837" s="28" t="n">
        <f aca="false">AD5837*$M5837</f>
        <v>0</v>
      </c>
      <c r="AF5837" s="28"/>
      <c r="AG5837" s="28" t="n">
        <f aca="false">AF5837*$M5837</f>
        <v>0</v>
      </c>
      <c r="AH5837" s="28" t="n">
        <f aca="false">371073/100</f>
        <v>3710.73</v>
      </c>
      <c r="AI5837" s="28" t="n">
        <v>1335863</v>
      </c>
      <c r="AJ5837" s="28"/>
      <c r="AK5837" s="28" t="n">
        <f aca="false">AJ5837*$M5837</f>
        <v>0</v>
      </c>
      <c r="AL5837" s="28"/>
      <c r="AM5837" s="28" t="n">
        <f aca="false">AL5837*$M5837</f>
        <v>0</v>
      </c>
      <c r="AN5837" s="28"/>
      <c r="AO5837" s="28" t="n">
        <f aca="false">AN5837*$M5837</f>
        <v>0</v>
      </c>
      <c r="AP5837" s="28"/>
      <c r="AQ5837" s="28" t="n">
        <f aca="false">AP5837*$M5837</f>
        <v>0</v>
      </c>
      <c r="AR5837" s="28"/>
      <c r="AS5837" s="28" t="n">
        <f aca="false">AR5837*$M5837</f>
        <v>0</v>
      </c>
      <c r="AT5837" s="28"/>
      <c r="AU5837" s="28" t="n">
        <f aca="false">AT5837*$M5837</f>
        <v>0</v>
      </c>
      <c r="AV5837" s="28"/>
      <c r="AW5837" s="28" t="n">
        <f aca="false">AV5837*$M5837</f>
        <v>0</v>
      </c>
      <c r="AX5837" s="28"/>
      <c r="AY5837" s="28" t="n">
        <f aca="false">AX5837*$M5837</f>
        <v>0</v>
      </c>
      <c r="AZ5837" s="30" t="n">
        <f aca="false">371073/100</f>
        <v>3710.73</v>
      </c>
      <c r="BA5837" s="11" t="n">
        <v>1335863</v>
      </c>
      <c r="BB5837" s="31" t="n">
        <f aca="false">SUM(Q5837,S5837,U5837,W5837,Y5837,AA5837,AC5837,AE5837,AG5837,AI5837,AK5837,AM5837,AO5837,AQ5837,AS5837,AU5837,AW5837,AY5837)</f>
        <v>1335863</v>
      </c>
      <c r="BC5837" s="28" t="n">
        <f aca="false">BA5837-BB5837</f>
        <v>0</v>
      </c>
      <c r="BD5837" s="32" t="n">
        <f aca="false">SUM(P5837,R5837,T5837,V5837,X5837,Z5837,AB5837,AD5837,AF5837,AH5837,AJ5837,AL5837,AN5837,AP5837,AR5837,AT5837,AV5837,AX5837)</f>
        <v>3710.73</v>
      </c>
      <c r="BE5837" s="33" t="n">
        <f aca="false">AZ5837-BD5837</f>
        <v>0</v>
      </c>
      <c r="BF5837" s="34" t="n">
        <f aca="false">BD5837*M5837</f>
        <v>1335862.8</v>
      </c>
      <c r="BG5837" s="35" t="n">
        <f aca="false">BA5837-BF5837</f>
        <v>0.199999999953434</v>
      </c>
      <c r="BH5837" s="19" t="str">
        <f aca="false">IF(BG5837=0,"",IF(BG5837&lt;&gt;BA5837,"erreur de calcul",IF(BD5837&lt;&gt;0,"pas de prix",IF(M5837&lt;&gt; 0,"pas de quantité","pas de prix, ni de quantité"))))</f>
        <v>erreur de calcul</v>
      </c>
      <c r="BI5837" s="19"/>
    </row>
    <row r="5838" customFormat="false" ht="15" hidden="false" customHeight="false" outlineLevel="0" collapsed="false">
      <c r="A5838" s="0" t="n">
        <v>12</v>
      </c>
      <c r="B5838" s="8" t="s">
        <v>24</v>
      </c>
      <c r="C5838" s="9" t="s">
        <v>25</v>
      </c>
      <c r="D5838" s="9" t="s">
        <v>26</v>
      </c>
      <c r="E5838" s="10" t="n">
        <v>1789</v>
      </c>
      <c r="F5838" s="9" t="s">
        <v>27</v>
      </c>
      <c r="G5838" s="9" t="s">
        <v>27</v>
      </c>
      <c r="H5838" s="11" t="n">
        <v>24</v>
      </c>
      <c r="I5838" s="11" t="s">
        <v>301</v>
      </c>
      <c r="J5838" s="14" t="n">
        <v>3</v>
      </c>
      <c r="K5838" s="14"/>
      <c r="L5838" s="16"/>
      <c r="M5838" s="27" t="n">
        <f aca="false">J5838+(K5838/20)+(L5838/240)</f>
        <v>3</v>
      </c>
      <c r="N5838" s="17" t="s">
        <v>66</v>
      </c>
      <c r="O5838" s="11"/>
      <c r="P5838" s="28"/>
      <c r="Q5838" s="28" t="n">
        <f aca="false">P5838*$M5838</f>
        <v>0</v>
      </c>
      <c r="R5838" s="28"/>
      <c r="S5838" s="28" t="n">
        <f aca="false">R5838*$M5838</f>
        <v>0</v>
      </c>
      <c r="T5838" s="28"/>
      <c r="U5838" s="28" t="n">
        <f aca="false">T5838*$M5838</f>
        <v>0</v>
      </c>
      <c r="V5838" s="28"/>
      <c r="W5838" s="28" t="n">
        <f aca="false">V5838*$M5838</f>
        <v>0</v>
      </c>
      <c r="X5838" s="28"/>
      <c r="Y5838" s="28" t="n">
        <f aca="false">X5838*$M5838</f>
        <v>0</v>
      </c>
      <c r="Z5838" s="28"/>
      <c r="AA5838" s="28" t="n">
        <f aca="false">Z5838*$M5838</f>
        <v>0</v>
      </c>
      <c r="AB5838" s="28"/>
      <c r="AC5838" s="28" t="n">
        <f aca="false">AB5838*$M5838</f>
        <v>0</v>
      </c>
      <c r="AD5838" s="28"/>
      <c r="AE5838" s="28" t="n">
        <f aca="false">AD5838*$M5838</f>
        <v>0</v>
      </c>
      <c r="AF5838" s="28"/>
      <c r="AG5838" s="28" t="n">
        <f aca="false">AF5838*$M5838</f>
        <v>0</v>
      </c>
      <c r="AH5838" s="28" t="n">
        <v>19281</v>
      </c>
      <c r="AI5838" s="28" t="n">
        <v>57843</v>
      </c>
      <c r="AJ5838" s="28"/>
      <c r="AK5838" s="28" t="n">
        <f aca="false">AJ5838*$M5838</f>
        <v>0</v>
      </c>
      <c r="AL5838" s="28"/>
      <c r="AM5838" s="28" t="n">
        <f aca="false">AL5838*$M5838</f>
        <v>0</v>
      </c>
      <c r="AN5838" s="28"/>
      <c r="AO5838" s="28" t="n">
        <f aca="false">AN5838*$M5838</f>
        <v>0</v>
      </c>
      <c r="AP5838" s="28"/>
      <c r="AQ5838" s="28" t="n">
        <f aca="false">AP5838*$M5838</f>
        <v>0</v>
      </c>
      <c r="AR5838" s="28"/>
      <c r="AS5838" s="28" t="n">
        <f aca="false">AR5838*$M5838</f>
        <v>0</v>
      </c>
      <c r="AT5838" s="28"/>
      <c r="AU5838" s="28" t="n">
        <f aca="false">AT5838*$M5838</f>
        <v>0</v>
      </c>
      <c r="AV5838" s="28"/>
      <c r="AW5838" s="28" t="n">
        <f aca="false">AV5838*$M5838</f>
        <v>0</v>
      </c>
      <c r="AX5838" s="28"/>
      <c r="AY5838" s="28" t="n">
        <f aca="false">AX5838*$M5838</f>
        <v>0</v>
      </c>
      <c r="AZ5838" s="30" t="n">
        <v>19281</v>
      </c>
      <c r="BA5838" s="11" t="n">
        <v>57843</v>
      </c>
      <c r="BB5838" s="31" t="n">
        <f aca="false">SUM(Q5838,S5838,U5838,W5838,Y5838,AA5838,AC5838,AE5838,AG5838,AI5838,AK5838,AM5838,AO5838,AQ5838,AS5838,AU5838,AW5838,AY5838)</f>
        <v>57843</v>
      </c>
      <c r="BC5838" s="28" t="n">
        <f aca="false">BA5838-BB5838</f>
        <v>0</v>
      </c>
      <c r="BD5838" s="32" t="n">
        <f aca="false">SUM(P5838,R5838,T5838,V5838,X5838,Z5838,AB5838,AD5838,AF5838,AH5838,AJ5838,AL5838,AN5838,AP5838,AR5838,AT5838,AV5838,AX5838)</f>
        <v>19281</v>
      </c>
      <c r="BE5838" s="33" t="n">
        <f aca="false">AZ5838-BD5838</f>
        <v>0</v>
      </c>
      <c r="BF5838" s="34" t="n">
        <f aca="false">BD5838*M5838</f>
        <v>57843</v>
      </c>
      <c r="BG5838" s="35" t="n">
        <f aca="false">BA5838-BF5838</f>
        <v>0</v>
      </c>
      <c r="BH5838" s="19" t="str">
        <f aca="false">IF(BG5838=0,"",IF(BG5838&lt;&gt;BA5838,"erreur de calcul",IF(BD5838&lt;&gt;0,"pas de prix",IF(M5838&lt;&gt; 0,"pas de quantité","pas de prix, ni de quantité"))))</f>
        <v/>
      </c>
      <c r="BI5838" s="19"/>
    </row>
    <row r="5839" customFormat="false" ht="15" hidden="false" customHeight="false" outlineLevel="0" collapsed="false">
      <c r="A5839" s="0" t="n">
        <v>13</v>
      </c>
      <c r="B5839" s="8" t="s">
        <v>24</v>
      </c>
      <c r="C5839" s="9" t="s">
        <v>25</v>
      </c>
      <c r="D5839" s="9" t="s">
        <v>26</v>
      </c>
      <c r="E5839" s="10" t="n">
        <v>1789</v>
      </c>
      <c r="F5839" s="9" t="s">
        <v>27</v>
      </c>
      <c r="G5839" s="9" t="s">
        <v>27</v>
      </c>
      <c r="H5839" s="11" t="n">
        <v>24</v>
      </c>
      <c r="I5839" s="11" t="s">
        <v>302</v>
      </c>
      <c r="J5839" s="14" t="n">
        <v>112</v>
      </c>
      <c r="K5839" s="14"/>
      <c r="L5839" s="16"/>
      <c r="M5839" s="27" t="n">
        <f aca="false">J5839+(K5839/20)+(L5839/240)</f>
        <v>112</v>
      </c>
      <c r="N5839" s="17" t="s">
        <v>64</v>
      </c>
      <c r="O5839" s="11"/>
      <c r="P5839" s="28" t="n">
        <f aca="false">99503/100</f>
        <v>995.03</v>
      </c>
      <c r="Q5839" s="28" t="n">
        <v>111443</v>
      </c>
      <c r="R5839" s="28"/>
      <c r="S5839" s="28" t="n">
        <f aca="false">R5839*$M5839</f>
        <v>0</v>
      </c>
      <c r="T5839" s="28" t="n">
        <f aca="false">8445/100</f>
        <v>84.45</v>
      </c>
      <c r="U5839" s="28" t="n">
        <v>9458</v>
      </c>
      <c r="V5839" s="28" t="n">
        <f aca="false">2517/100</f>
        <v>25.17</v>
      </c>
      <c r="W5839" s="28" t="n">
        <v>2819</v>
      </c>
      <c r="X5839" s="28" t="n">
        <f aca="false">4729/100</f>
        <v>47.29</v>
      </c>
      <c r="Y5839" s="28" t="n">
        <v>5296</v>
      </c>
      <c r="Z5839" s="28" t="n">
        <f aca="false">198115/100</f>
        <v>1981.15</v>
      </c>
      <c r="AA5839" s="28" t="n">
        <v>221889</v>
      </c>
      <c r="AB5839" s="28"/>
      <c r="AC5839" s="28" t="n">
        <f aca="false">AB5839*$M5839</f>
        <v>0</v>
      </c>
      <c r="AD5839" s="28"/>
      <c r="AE5839" s="28" t="n">
        <f aca="false">AD5839*$M5839</f>
        <v>0</v>
      </c>
      <c r="AF5839" s="28" t="n">
        <f aca="false">67420/100</f>
        <v>674.2</v>
      </c>
      <c r="AG5839" s="28" t="n">
        <v>75510</v>
      </c>
      <c r="AH5839" s="28" t="n">
        <f aca="false">415806/100</f>
        <v>4158.06</v>
      </c>
      <c r="AI5839" s="28" t="n">
        <v>465703</v>
      </c>
      <c r="AJ5839" s="28"/>
      <c r="AK5839" s="28" t="n">
        <f aca="false">AJ5839*$M5839</f>
        <v>0</v>
      </c>
      <c r="AL5839" s="28" t="n">
        <f aca="false">324/100</f>
        <v>3.24</v>
      </c>
      <c r="AM5839" s="28" t="n">
        <v>363</v>
      </c>
      <c r="AN5839" s="28"/>
      <c r="AO5839" s="28" t="n">
        <f aca="false">AN5839*$M5839</f>
        <v>0</v>
      </c>
      <c r="AP5839" s="28"/>
      <c r="AQ5839" s="28" t="n">
        <f aca="false">AP5839*$M5839</f>
        <v>0</v>
      </c>
      <c r="AR5839" s="28"/>
      <c r="AS5839" s="28" t="n">
        <f aca="false">AR5839*$M5839</f>
        <v>0</v>
      </c>
      <c r="AT5839" s="28"/>
      <c r="AU5839" s="28" t="n">
        <f aca="false">AT5839*$M5839</f>
        <v>0</v>
      </c>
      <c r="AV5839" s="28"/>
      <c r="AW5839" s="28" t="n">
        <f aca="false">AV5839*$M5839</f>
        <v>0</v>
      </c>
      <c r="AX5839" s="28"/>
      <c r="AY5839" s="28" t="n">
        <f aca="false">AX5839*$M5839</f>
        <v>0</v>
      </c>
      <c r="AZ5839" s="30" t="n">
        <f aca="false">796859/100</f>
        <v>7968.59</v>
      </c>
      <c r="BA5839" s="11" t="n">
        <v>892481</v>
      </c>
      <c r="BB5839" s="31" t="n">
        <f aca="false">SUM(Q5839,S5839,U5839,W5839,Y5839,AA5839,AC5839,AE5839,AG5839,AI5839,AK5839,AM5839,AO5839,AQ5839,AS5839,AU5839,AW5839,AY5839)</f>
        <v>892481</v>
      </c>
      <c r="BC5839" s="28" t="n">
        <f aca="false">BA5839-BB5839</f>
        <v>0</v>
      </c>
      <c r="BD5839" s="32" t="n">
        <f aca="false">SUM(P5839,R5839,T5839,V5839,X5839,Z5839,AB5839,AD5839,AF5839,AH5839,AJ5839,AL5839,AN5839,AP5839,AR5839,AT5839,AV5839,AX5839)</f>
        <v>7968.59</v>
      </c>
      <c r="BE5839" s="33" t="n">
        <f aca="false">AZ5839-BD5839</f>
        <v>0</v>
      </c>
      <c r="BF5839" s="34" t="n">
        <f aca="false">BD5839*M5839</f>
        <v>892482.08</v>
      </c>
      <c r="BG5839" s="35" t="n">
        <f aca="false">BA5839-BF5839</f>
        <v>-1.07999999995809</v>
      </c>
      <c r="BH5839" s="19" t="str">
        <f aca="false">IF(BG5839=0,"",IF(BG5839&lt;&gt;BA5839,"erreur de calcul",IF(BD5839&lt;&gt;0,"pas de prix",IF(M5839&lt;&gt; 0,"pas de quantité","pas de prix, ni de quantité"))))</f>
        <v>erreur de calcul</v>
      </c>
      <c r="BI5839" s="19"/>
    </row>
    <row r="5840" customFormat="false" ht="15" hidden="false" customHeight="false" outlineLevel="0" collapsed="false">
      <c r="A5840" s="0" t="n">
        <v>14</v>
      </c>
      <c r="B5840" s="8" t="s">
        <v>24</v>
      </c>
      <c r="C5840" s="9" t="s">
        <v>25</v>
      </c>
      <c r="D5840" s="9" t="s">
        <v>26</v>
      </c>
      <c r="E5840" s="10" t="n">
        <v>1789</v>
      </c>
      <c r="F5840" s="9" t="s">
        <v>27</v>
      </c>
      <c r="G5840" s="9" t="s">
        <v>27</v>
      </c>
      <c r="H5840" s="11" t="n">
        <v>24</v>
      </c>
      <c r="I5840" s="11" t="s">
        <v>303</v>
      </c>
      <c r="J5840" s="14" t="n">
        <v>50</v>
      </c>
      <c r="K5840" s="14"/>
      <c r="L5840" s="16"/>
      <c r="M5840" s="27" t="n">
        <f aca="false">J5840+(K5840/20)+(L5840/240)</f>
        <v>50</v>
      </c>
      <c r="N5840" s="17" t="s">
        <v>64</v>
      </c>
      <c r="O5840" s="11"/>
      <c r="P5840" s="28"/>
      <c r="Q5840" s="28" t="n">
        <f aca="false">P5840*$M5840</f>
        <v>0</v>
      </c>
      <c r="R5840" s="28"/>
      <c r="S5840" s="28" t="n">
        <f aca="false">R5840*$M5840</f>
        <v>0</v>
      </c>
      <c r="T5840" s="28"/>
      <c r="U5840" s="28" t="n">
        <f aca="false">T5840*$M5840</f>
        <v>0</v>
      </c>
      <c r="V5840" s="28"/>
      <c r="W5840" s="28" t="n">
        <f aca="false">V5840*$M5840</f>
        <v>0</v>
      </c>
      <c r="X5840" s="28"/>
      <c r="Y5840" s="28" t="n">
        <f aca="false">X5840*$M5840</f>
        <v>0</v>
      </c>
      <c r="Z5840" s="28"/>
      <c r="AA5840" s="28" t="n">
        <f aca="false">Z5840*$M5840</f>
        <v>0</v>
      </c>
      <c r="AB5840" s="28"/>
      <c r="AC5840" s="28" t="n">
        <f aca="false">AB5840*$M5840</f>
        <v>0</v>
      </c>
      <c r="AD5840" s="28"/>
      <c r="AE5840" s="28" t="n">
        <f aca="false">AD5840*$M5840</f>
        <v>0</v>
      </c>
      <c r="AF5840" s="28" t="n">
        <f aca="false">208461/100</f>
        <v>2084.61</v>
      </c>
      <c r="AG5840" s="28" t="n">
        <v>104230</v>
      </c>
      <c r="AH5840" s="28" t="n">
        <f aca="false">757624/100</f>
        <v>7576.24</v>
      </c>
      <c r="AI5840" s="28" t="n">
        <v>378812</v>
      </c>
      <c r="AJ5840" s="28"/>
      <c r="AK5840" s="28" t="n">
        <f aca="false">AJ5840*$M5840</f>
        <v>0</v>
      </c>
      <c r="AL5840" s="28"/>
      <c r="AM5840" s="28" t="n">
        <f aca="false">AL5840*$M5840</f>
        <v>0</v>
      </c>
      <c r="AN5840" s="28"/>
      <c r="AO5840" s="28" t="n">
        <f aca="false">AN5840*$M5840</f>
        <v>0</v>
      </c>
      <c r="AP5840" s="28"/>
      <c r="AQ5840" s="28" t="n">
        <f aca="false">AP5840*$M5840</f>
        <v>0</v>
      </c>
      <c r="AR5840" s="28"/>
      <c r="AS5840" s="28" t="n">
        <f aca="false">AR5840*$M5840</f>
        <v>0</v>
      </c>
      <c r="AT5840" s="28"/>
      <c r="AU5840" s="28" t="n">
        <f aca="false">AT5840*$M5840</f>
        <v>0</v>
      </c>
      <c r="AV5840" s="28"/>
      <c r="AW5840" s="28" t="n">
        <f aca="false">AV5840*$M5840</f>
        <v>0</v>
      </c>
      <c r="AX5840" s="28"/>
      <c r="AY5840" s="28" t="n">
        <f aca="false">AX5840*$M5840</f>
        <v>0</v>
      </c>
      <c r="AZ5840" s="30" t="n">
        <f aca="false">966085/100</f>
        <v>9660.85</v>
      </c>
      <c r="BA5840" s="11" t="n">
        <v>483042</v>
      </c>
      <c r="BB5840" s="31" t="n">
        <f aca="false">SUM(Q5840,S5840,U5840,W5840,Y5840,AA5840,AC5840,AE5840,AG5840,AI5840,AK5840,AM5840,AO5840,AQ5840,AS5840,AU5840,AW5840,AY5840)</f>
        <v>483042</v>
      </c>
      <c r="BC5840" s="28" t="n">
        <f aca="false">BA5840-BB5840</f>
        <v>0</v>
      </c>
      <c r="BD5840" s="32" t="n">
        <f aca="false">SUM(P5840,R5840,T5840,V5840,X5840,Z5840,AB5840,AD5840,AF5840,AH5840,AJ5840,AL5840,AN5840,AP5840,AR5840,AT5840,AV5840,AX5840)</f>
        <v>9660.85</v>
      </c>
      <c r="BE5840" s="33" t="n">
        <f aca="false">AZ5840-BD5840</f>
        <v>0</v>
      </c>
      <c r="BF5840" s="34" t="n">
        <f aca="false">BD5840*M5840</f>
        <v>483042.5</v>
      </c>
      <c r="BG5840" s="35" t="n">
        <f aca="false">BA5840-BF5840</f>
        <v>-0.5</v>
      </c>
      <c r="BH5840" s="19" t="str">
        <f aca="false">IF(BG5840=0,"",IF(BG5840&lt;&gt;BA5840,"erreur de calcul",IF(BD5840&lt;&gt;0,"pas de prix",IF(M5840&lt;&gt; 0,"pas de quantité","pas de prix, ni de quantité"))))</f>
        <v>erreur de calcul</v>
      </c>
      <c r="BI5840" s="19"/>
    </row>
    <row r="5841" customFormat="false" ht="15" hidden="false" customHeight="false" outlineLevel="0" collapsed="false">
      <c r="A5841" s="0" t="n">
        <v>15</v>
      </c>
      <c r="B5841" s="8" t="s">
        <v>24</v>
      </c>
      <c r="C5841" s="9" t="s">
        <v>25</v>
      </c>
      <c r="D5841" s="9" t="s">
        <v>26</v>
      </c>
      <c r="E5841" s="10" t="n">
        <v>1789</v>
      </c>
      <c r="F5841" s="9" t="s">
        <v>27</v>
      </c>
      <c r="G5841" s="9" t="s">
        <v>27</v>
      </c>
      <c r="H5841" s="11" t="n">
        <v>24</v>
      </c>
      <c r="I5841" s="11" t="s">
        <v>304</v>
      </c>
      <c r="J5841" s="14" t="n">
        <v>340</v>
      </c>
      <c r="K5841" s="14"/>
      <c r="L5841" s="16"/>
      <c r="M5841" s="27" t="n">
        <f aca="false">J5841+(K5841/20)+(L5841/240)</f>
        <v>340</v>
      </c>
      <c r="N5841" s="17" t="s">
        <v>64</v>
      </c>
      <c r="O5841" s="11"/>
      <c r="P5841" s="28"/>
      <c r="Q5841" s="28" t="n">
        <f aca="false">P5841*$M5841</f>
        <v>0</v>
      </c>
      <c r="R5841" s="28"/>
      <c r="S5841" s="28" t="n">
        <f aca="false">R5841*$M5841</f>
        <v>0</v>
      </c>
      <c r="T5841" s="28"/>
      <c r="U5841" s="28" t="n">
        <f aca="false">T5841*$M5841</f>
        <v>0</v>
      </c>
      <c r="V5841" s="28"/>
      <c r="W5841" s="28" t="n">
        <f aca="false">V5841*$M5841</f>
        <v>0</v>
      </c>
      <c r="X5841" s="28"/>
      <c r="Y5841" s="28" t="n">
        <f aca="false">X5841*$M5841</f>
        <v>0</v>
      </c>
      <c r="Z5841" s="28"/>
      <c r="AA5841" s="28" t="n">
        <f aca="false">Z5841*$M5841</f>
        <v>0</v>
      </c>
      <c r="AB5841" s="28" t="n">
        <f aca="false">339883/100</f>
        <v>3398.83</v>
      </c>
      <c r="AC5841" s="28" t="n">
        <v>1155602</v>
      </c>
      <c r="AD5841" s="28"/>
      <c r="AE5841" s="28" t="n">
        <f aca="false">AD5841*$M5841</f>
        <v>0</v>
      </c>
      <c r="AF5841" s="28"/>
      <c r="AG5841" s="28" t="n">
        <f aca="false">AF5841*$M5841</f>
        <v>0</v>
      </c>
      <c r="AH5841" s="28"/>
      <c r="AI5841" s="28" t="n">
        <f aca="false">AH5841*$M5841</f>
        <v>0</v>
      </c>
      <c r="AJ5841" s="28"/>
      <c r="AK5841" s="28" t="n">
        <f aca="false">AJ5841*$M5841</f>
        <v>0</v>
      </c>
      <c r="AL5841" s="28"/>
      <c r="AM5841" s="28" t="n">
        <f aca="false">AL5841*$M5841</f>
        <v>0</v>
      </c>
      <c r="AN5841" s="28"/>
      <c r="AO5841" s="28" t="n">
        <f aca="false">AN5841*$M5841</f>
        <v>0</v>
      </c>
      <c r="AP5841" s="28"/>
      <c r="AQ5841" s="28" t="n">
        <f aca="false">AP5841*$M5841</f>
        <v>0</v>
      </c>
      <c r="AR5841" s="28"/>
      <c r="AS5841" s="28" t="n">
        <f aca="false">AR5841*$M5841</f>
        <v>0</v>
      </c>
      <c r="AT5841" s="28"/>
      <c r="AU5841" s="28" t="n">
        <f aca="false">AT5841*$M5841</f>
        <v>0</v>
      </c>
      <c r="AV5841" s="28"/>
      <c r="AW5841" s="28" t="n">
        <f aca="false">AV5841*$M5841</f>
        <v>0</v>
      </c>
      <c r="AX5841" s="28"/>
      <c r="AY5841" s="28" t="n">
        <f aca="false">AX5841*$M5841</f>
        <v>0</v>
      </c>
      <c r="AZ5841" s="30" t="n">
        <f aca="false">339883/100</f>
        <v>3398.83</v>
      </c>
      <c r="BA5841" s="11" t="n">
        <v>1155602</v>
      </c>
      <c r="BB5841" s="31" t="n">
        <f aca="false">SUM(Q5841,S5841,U5841,W5841,Y5841,AA5841,AC5841,AE5841,AG5841,AI5841,AK5841,AM5841,AO5841,AQ5841,AS5841,AU5841,AW5841,AY5841)</f>
        <v>1155602</v>
      </c>
      <c r="BC5841" s="28" t="n">
        <f aca="false">BA5841-BB5841</f>
        <v>0</v>
      </c>
      <c r="BD5841" s="32" t="n">
        <f aca="false">SUM(P5841,R5841,T5841,V5841,X5841,Z5841,AB5841,AD5841,AF5841,AH5841,AJ5841,AL5841,AN5841,AP5841,AR5841,AT5841,AV5841,AX5841)</f>
        <v>3398.83</v>
      </c>
      <c r="BE5841" s="33" t="n">
        <f aca="false">AZ5841-BD5841</f>
        <v>0</v>
      </c>
      <c r="BF5841" s="34" t="n">
        <f aca="false">BD5841*M5841</f>
        <v>1155602.2</v>
      </c>
      <c r="BG5841" s="35" t="n">
        <f aca="false">BA5841-BF5841</f>
        <v>-0.199999999953434</v>
      </c>
      <c r="BH5841" s="19" t="str">
        <f aca="false">IF(BG5841=0,"",IF(BG5841&lt;&gt;BA5841,"erreur de calcul",IF(BD5841&lt;&gt;0,"pas de prix",IF(M5841&lt;&gt; 0,"pas de quantité","pas de prix, ni de quantité"))))</f>
        <v>erreur de calcul</v>
      </c>
      <c r="BI5841" s="19"/>
    </row>
    <row r="5842" customFormat="false" ht="15" hidden="false" customHeight="false" outlineLevel="0" collapsed="false">
      <c r="A5842" s="0" t="n">
        <v>16</v>
      </c>
      <c r="B5842" s="8" t="s">
        <v>24</v>
      </c>
      <c r="C5842" s="9" t="s">
        <v>25</v>
      </c>
      <c r="D5842" s="9" t="s">
        <v>26</v>
      </c>
      <c r="E5842" s="10" t="n">
        <v>1789</v>
      </c>
      <c r="F5842" s="9" t="s">
        <v>27</v>
      </c>
      <c r="G5842" s="9" t="s">
        <v>27</v>
      </c>
      <c r="H5842" s="11" t="n">
        <v>24</v>
      </c>
      <c r="I5842" s="11" t="s">
        <v>305</v>
      </c>
      <c r="J5842" s="14" t="n">
        <v>235</v>
      </c>
      <c r="K5842" s="14"/>
      <c r="L5842" s="16"/>
      <c r="M5842" s="27" t="n">
        <f aca="false">J5842+(K5842/20)+(L5842/240)</f>
        <v>235</v>
      </c>
      <c r="N5842" s="17" t="s">
        <v>64</v>
      </c>
      <c r="O5842" s="11"/>
      <c r="P5842" s="28" t="n">
        <f aca="false">34642/100</f>
        <v>346.42</v>
      </c>
      <c r="Q5842" s="28" t="n">
        <v>81409</v>
      </c>
      <c r="R5842" s="28"/>
      <c r="S5842" s="28" t="n">
        <f aca="false">R5842*$M5842</f>
        <v>0</v>
      </c>
      <c r="T5842" s="28"/>
      <c r="U5842" s="28" t="n">
        <f aca="false">T5842*$M5842</f>
        <v>0</v>
      </c>
      <c r="V5842" s="28"/>
      <c r="W5842" s="28" t="n">
        <f aca="false">V5842*$M5842</f>
        <v>0</v>
      </c>
      <c r="X5842" s="28"/>
      <c r="Y5842" s="28" t="n">
        <f aca="false">X5842*$M5842</f>
        <v>0</v>
      </c>
      <c r="Z5842" s="28"/>
      <c r="AA5842" s="28" t="n">
        <f aca="false">Z5842*$M5842</f>
        <v>0</v>
      </c>
      <c r="AB5842" s="28"/>
      <c r="AC5842" s="28" t="n">
        <f aca="false">AB5842*$M5842</f>
        <v>0</v>
      </c>
      <c r="AD5842" s="28"/>
      <c r="AE5842" s="28" t="n">
        <f aca="false">AD5842*$M5842</f>
        <v>0</v>
      </c>
      <c r="AF5842" s="28"/>
      <c r="AG5842" s="28" t="n">
        <f aca="false">AF5842*$M5842</f>
        <v>0</v>
      </c>
      <c r="AH5842" s="28"/>
      <c r="AI5842" s="28" t="n">
        <f aca="false">AH5842*$M5842</f>
        <v>0</v>
      </c>
      <c r="AJ5842" s="28"/>
      <c r="AK5842" s="28" t="n">
        <f aca="false">AJ5842*$M5842</f>
        <v>0</v>
      </c>
      <c r="AL5842" s="28"/>
      <c r="AM5842" s="28" t="n">
        <f aca="false">AL5842*$M5842</f>
        <v>0</v>
      </c>
      <c r="AN5842" s="28"/>
      <c r="AO5842" s="28" t="n">
        <f aca="false">AN5842*$M5842</f>
        <v>0</v>
      </c>
      <c r="AP5842" s="28"/>
      <c r="AQ5842" s="28" t="n">
        <f aca="false">AP5842*$M5842</f>
        <v>0</v>
      </c>
      <c r="AR5842" s="28"/>
      <c r="AS5842" s="28" t="n">
        <f aca="false">AR5842*$M5842</f>
        <v>0</v>
      </c>
      <c r="AT5842" s="28"/>
      <c r="AU5842" s="28" t="n">
        <f aca="false">AT5842*$M5842</f>
        <v>0</v>
      </c>
      <c r="AV5842" s="28"/>
      <c r="AW5842" s="28" t="n">
        <f aca="false">AV5842*$M5842</f>
        <v>0</v>
      </c>
      <c r="AX5842" s="28"/>
      <c r="AY5842" s="28" t="n">
        <f aca="false">AX5842*$M5842</f>
        <v>0</v>
      </c>
      <c r="AZ5842" s="30" t="n">
        <f aca="false">34642/100</f>
        <v>346.42</v>
      </c>
      <c r="BA5842" s="11" t="n">
        <v>81409</v>
      </c>
      <c r="BB5842" s="31" t="n">
        <f aca="false">SUM(Q5842,S5842,U5842,W5842,Y5842,AA5842,AC5842,AE5842,AG5842,AI5842,AK5842,AM5842,AO5842,AQ5842,AS5842,AU5842,AW5842,AY5842)</f>
        <v>81409</v>
      </c>
      <c r="BC5842" s="28" t="n">
        <f aca="false">BA5842-BB5842</f>
        <v>0</v>
      </c>
      <c r="BD5842" s="32" t="n">
        <f aca="false">SUM(P5842,R5842,T5842,V5842,X5842,Z5842,AB5842,AD5842,AF5842,AH5842,AJ5842,AL5842,AN5842,AP5842,AR5842,AT5842,AV5842,AX5842)</f>
        <v>346.42</v>
      </c>
      <c r="BE5842" s="33" t="n">
        <f aca="false">AZ5842-BD5842</f>
        <v>0</v>
      </c>
      <c r="BF5842" s="34" t="n">
        <f aca="false">BD5842*M5842</f>
        <v>81408.7</v>
      </c>
      <c r="BG5842" s="35" t="n">
        <f aca="false">BA5842-BF5842</f>
        <v>0.30000000000291</v>
      </c>
      <c r="BH5842" s="19" t="str">
        <f aca="false">IF(BG5842=0,"",IF(BG5842&lt;&gt;BA5842,"erreur de calcul",IF(BD5842&lt;&gt;0,"pas de prix",IF(M5842&lt;&gt; 0,"pas de quantité","pas de prix, ni de quantité"))))</f>
        <v>erreur de calcul</v>
      </c>
      <c r="BI5842" s="19"/>
    </row>
    <row r="5843" customFormat="false" ht="15" hidden="false" customHeight="false" outlineLevel="0" collapsed="false">
      <c r="A5843" s="0" t="n">
        <v>17</v>
      </c>
      <c r="B5843" s="8" t="s">
        <v>24</v>
      </c>
      <c r="C5843" s="9" t="s">
        <v>25</v>
      </c>
      <c r="D5843" s="9" t="s">
        <v>26</v>
      </c>
      <c r="E5843" s="10" t="n">
        <v>1789</v>
      </c>
      <c r="F5843" s="9" t="s">
        <v>27</v>
      </c>
      <c r="G5843" s="9" t="s">
        <v>27</v>
      </c>
      <c r="H5843" s="11" t="n">
        <v>24</v>
      </c>
      <c r="I5843" s="11" t="s">
        <v>306</v>
      </c>
      <c r="J5843" s="14" t="n">
        <v>71</v>
      </c>
      <c r="K5843" s="14"/>
      <c r="L5843" s="16"/>
      <c r="M5843" s="27" t="n">
        <f aca="false">J5843+(K5843/20)+(L5843/240)</f>
        <v>71</v>
      </c>
      <c r="N5843" s="17" t="s">
        <v>64</v>
      </c>
      <c r="O5843" s="11"/>
      <c r="P5843" s="28"/>
      <c r="Q5843" s="28" t="n">
        <f aca="false">P5843*$M5843</f>
        <v>0</v>
      </c>
      <c r="R5843" s="28"/>
      <c r="S5843" s="28" t="n">
        <f aca="false">R5843*$M5843</f>
        <v>0</v>
      </c>
      <c r="T5843" s="28" t="n">
        <f aca="false">12674/100</f>
        <v>126.74</v>
      </c>
      <c r="U5843" s="28" t="n">
        <v>8998</v>
      </c>
      <c r="V5843" s="28"/>
      <c r="W5843" s="28" t="n">
        <f aca="false">V5843*$M5843</f>
        <v>0</v>
      </c>
      <c r="X5843" s="28"/>
      <c r="Y5843" s="28" t="n">
        <f aca="false">X5843*$M5843</f>
        <v>0</v>
      </c>
      <c r="Z5843" s="28"/>
      <c r="AA5843" s="28" t="n">
        <f aca="false">Z5843*$M5843</f>
        <v>0</v>
      </c>
      <c r="AB5843" s="28"/>
      <c r="AC5843" s="28" t="n">
        <f aca="false">AB5843*$M5843</f>
        <v>0</v>
      </c>
      <c r="AD5843" s="28" t="n">
        <f aca="false">4283/100</f>
        <v>42.83</v>
      </c>
      <c r="AE5843" s="28" t="n">
        <v>3041</v>
      </c>
      <c r="AF5843" s="28" t="n">
        <f aca="false">2978140/100</f>
        <v>29781.4</v>
      </c>
      <c r="AG5843" s="28" t="n">
        <v>2114479</v>
      </c>
      <c r="AH5843" s="28" t="n">
        <f aca="false">4119032/100</f>
        <v>41190.32</v>
      </c>
      <c r="AI5843" s="28" t="n">
        <v>2924512</v>
      </c>
      <c r="AJ5843" s="28"/>
      <c r="AK5843" s="28" t="n">
        <f aca="false">AJ5843*$M5843</f>
        <v>0</v>
      </c>
      <c r="AL5843" s="28"/>
      <c r="AM5843" s="28" t="n">
        <f aca="false">AL5843*$M5843</f>
        <v>0</v>
      </c>
      <c r="AN5843" s="28"/>
      <c r="AO5843" s="28" t="n">
        <f aca="false">AN5843*$M5843</f>
        <v>0</v>
      </c>
      <c r="AP5843" s="28"/>
      <c r="AQ5843" s="28" t="n">
        <f aca="false">AP5843*$M5843</f>
        <v>0</v>
      </c>
      <c r="AR5843" s="28"/>
      <c r="AS5843" s="28" t="n">
        <f aca="false">AR5843*$M5843</f>
        <v>0</v>
      </c>
      <c r="AT5843" s="28"/>
      <c r="AU5843" s="28" t="n">
        <f aca="false">AT5843*$M5843</f>
        <v>0</v>
      </c>
      <c r="AV5843" s="28"/>
      <c r="AW5843" s="28" t="n">
        <f aca="false">AV5843*$M5843</f>
        <v>0</v>
      </c>
      <c r="AX5843" s="28"/>
      <c r="AY5843" s="28" t="n">
        <f aca="false">AX5843*$M5843</f>
        <v>0</v>
      </c>
      <c r="AZ5843" s="30" t="n">
        <f aca="false">7114129/100</f>
        <v>71141.29</v>
      </c>
      <c r="BA5843" s="11" t="n">
        <v>5051030</v>
      </c>
      <c r="BB5843" s="31" t="n">
        <f aca="false">SUM(Q5843,S5843,U5843,W5843,Y5843,AA5843,AC5843,AE5843,AG5843,AI5843,AK5843,AM5843,AO5843,AQ5843,AS5843,AU5843,AW5843,AY5843)</f>
        <v>5051030</v>
      </c>
      <c r="BC5843" s="28" t="n">
        <f aca="false">BA5843-BB5843</f>
        <v>0</v>
      </c>
      <c r="BD5843" s="32" t="n">
        <f aca="false">SUM(P5843,R5843,T5843,V5843,X5843,Z5843,AB5843,AD5843,AF5843,AH5843,AJ5843,AL5843,AN5843,AP5843,AR5843,AT5843,AV5843,AX5843)</f>
        <v>71141.29</v>
      </c>
      <c r="BE5843" s="33" t="n">
        <f aca="false">AZ5843-BD5843</f>
        <v>0</v>
      </c>
      <c r="BF5843" s="34" t="n">
        <f aca="false">BD5843*M5843</f>
        <v>5051031.59</v>
      </c>
      <c r="BG5843" s="35" t="n">
        <f aca="false">BA5843-BF5843</f>
        <v>-1.59000000078231</v>
      </c>
      <c r="BH5843" s="19" t="str">
        <f aca="false">IF(BG5843=0,"",IF(BG5843&lt;&gt;BA5843,"erreur de calcul",IF(BD5843&lt;&gt;0,"pas de prix",IF(M5843&lt;&gt; 0,"pas de quantité","pas de prix, ni de quantité"))))</f>
        <v>erreur de calcul</v>
      </c>
      <c r="BI5843" s="19"/>
    </row>
    <row r="5844" customFormat="false" ht="15" hidden="false" customHeight="false" outlineLevel="0" collapsed="false">
      <c r="A5844" s="0" t="n">
        <v>18</v>
      </c>
      <c r="B5844" s="8" t="s">
        <v>24</v>
      </c>
      <c r="C5844" s="9" t="s">
        <v>25</v>
      </c>
      <c r="D5844" s="9" t="s">
        <v>26</v>
      </c>
      <c r="E5844" s="10" t="n">
        <v>1789</v>
      </c>
      <c r="F5844" s="9" t="s">
        <v>27</v>
      </c>
      <c r="G5844" s="9" t="s">
        <v>27</v>
      </c>
      <c r="H5844" s="11" t="n">
        <v>24</v>
      </c>
      <c r="I5844" s="11" t="s">
        <v>307</v>
      </c>
      <c r="J5844" s="14" t="n">
        <v>45</v>
      </c>
      <c r="K5844" s="14"/>
      <c r="L5844" s="16"/>
      <c r="M5844" s="27" t="n">
        <f aca="false">J5844+(K5844/20)+(L5844/240)</f>
        <v>45</v>
      </c>
      <c r="N5844" s="17" t="s">
        <v>64</v>
      </c>
      <c r="O5844" s="11"/>
      <c r="P5844" s="28"/>
      <c r="Q5844" s="28" t="n">
        <f aca="false">P5844*$M5844</f>
        <v>0</v>
      </c>
      <c r="R5844" s="28"/>
      <c r="S5844" s="28" t="n">
        <f aca="false">R5844*$M5844</f>
        <v>0</v>
      </c>
      <c r="T5844" s="28"/>
      <c r="U5844" s="28" t="n">
        <f aca="false">T5844*$M5844</f>
        <v>0</v>
      </c>
      <c r="V5844" s="28"/>
      <c r="W5844" s="28" t="n">
        <f aca="false">V5844*$M5844</f>
        <v>0</v>
      </c>
      <c r="X5844" s="28"/>
      <c r="Y5844" s="28" t="n">
        <f aca="false">X5844*$M5844</f>
        <v>0</v>
      </c>
      <c r="Z5844" s="28"/>
      <c r="AA5844" s="28" t="n">
        <f aca="false">Z5844*$M5844</f>
        <v>0</v>
      </c>
      <c r="AB5844" s="28"/>
      <c r="AC5844" s="28" t="n">
        <f aca="false">AB5844*$M5844</f>
        <v>0</v>
      </c>
      <c r="AD5844" s="28"/>
      <c r="AE5844" s="28" t="n">
        <f aca="false">AD5844*$M5844</f>
        <v>0</v>
      </c>
      <c r="AF5844" s="28"/>
      <c r="AG5844" s="28" t="n">
        <f aca="false">AF5844*$M5844</f>
        <v>0</v>
      </c>
      <c r="AH5844" s="28"/>
      <c r="AI5844" s="28" t="n">
        <f aca="false">AH5844*$M5844</f>
        <v>0</v>
      </c>
      <c r="AJ5844" s="28"/>
      <c r="AK5844" s="28" t="n">
        <f aca="false">AJ5844*$M5844</f>
        <v>0</v>
      </c>
      <c r="AL5844" s="28" t="n">
        <f aca="false">971/100</f>
        <v>9.71</v>
      </c>
      <c r="AM5844" s="28" t="n">
        <v>437</v>
      </c>
      <c r="AN5844" s="28"/>
      <c r="AO5844" s="28" t="n">
        <f aca="false">AN5844*$M5844</f>
        <v>0</v>
      </c>
      <c r="AP5844" s="28"/>
      <c r="AQ5844" s="28" t="n">
        <f aca="false">AP5844*$M5844</f>
        <v>0</v>
      </c>
      <c r="AR5844" s="28"/>
      <c r="AS5844" s="28" t="n">
        <f aca="false">AR5844*$M5844</f>
        <v>0</v>
      </c>
      <c r="AT5844" s="28"/>
      <c r="AU5844" s="28" t="n">
        <f aca="false">AT5844*$M5844</f>
        <v>0</v>
      </c>
      <c r="AV5844" s="28"/>
      <c r="AW5844" s="28" t="n">
        <f aca="false">AV5844*$M5844</f>
        <v>0</v>
      </c>
      <c r="AX5844" s="28"/>
      <c r="AY5844" s="28" t="n">
        <f aca="false">AX5844*$M5844</f>
        <v>0</v>
      </c>
      <c r="AZ5844" s="30" t="n">
        <f aca="false">971/100</f>
        <v>9.71</v>
      </c>
      <c r="BA5844" s="11" t="n">
        <v>437</v>
      </c>
      <c r="BB5844" s="31" t="n">
        <f aca="false">SUM(Q5844,S5844,U5844,W5844,Y5844,AA5844,AC5844,AE5844,AG5844,AI5844,AK5844,AM5844,AO5844,AQ5844,AS5844,AU5844,AW5844,AY5844)</f>
        <v>437</v>
      </c>
      <c r="BC5844" s="28" t="n">
        <f aca="false">BA5844-BB5844</f>
        <v>0</v>
      </c>
      <c r="BD5844" s="32" t="n">
        <f aca="false">SUM(P5844,R5844,T5844,V5844,X5844,Z5844,AB5844,AD5844,AF5844,AH5844,AJ5844,AL5844,AN5844,AP5844,AR5844,AT5844,AV5844,AX5844)</f>
        <v>9.71</v>
      </c>
      <c r="BE5844" s="33" t="n">
        <f aca="false">AZ5844-BD5844</f>
        <v>0</v>
      </c>
      <c r="BF5844" s="34" t="n">
        <f aca="false">BD5844*M5844</f>
        <v>436.95</v>
      </c>
      <c r="BG5844" s="35" t="n">
        <f aca="false">BA5844-BF5844</f>
        <v>0.0499999999999545</v>
      </c>
      <c r="BH5844" s="19" t="str">
        <f aca="false">IF(BG5844=0,"",IF(BG5844&lt;&gt;BA5844,"erreur de calcul",IF(BD5844&lt;&gt;0,"pas de prix",IF(M5844&lt;&gt; 0,"pas de quantité","pas de prix, ni de quantité"))))</f>
        <v>erreur de calcul</v>
      </c>
      <c r="BI5844" s="19"/>
    </row>
    <row r="5845" customFormat="false" ht="15" hidden="false" customHeight="false" outlineLevel="0" collapsed="false">
      <c r="A5845" s="0" t="n">
        <v>19</v>
      </c>
      <c r="B5845" s="8" t="s">
        <v>24</v>
      </c>
      <c r="C5845" s="9" t="s">
        <v>25</v>
      </c>
      <c r="D5845" s="9" t="s">
        <v>26</v>
      </c>
      <c r="E5845" s="10" t="n">
        <v>1789</v>
      </c>
      <c r="F5845" s="9" t="s">
        <v>27</v>
      </c>
      <c r="G5845" s="9" t="s">
        <v>27</v>
      </c>
      <c r="H5845" s="11" t="n">
        <v>24</v>
      </c>
      <c r="I5845" s="11" t="s">
        <v>308</v>
      </c>
      <c r="J5845" s="14" t="n">
        <v>240</v>
      </c>
      <c r="K5845" s="14"/>
      <c r="L5845" s="16"/>
      <c r="M5845" s="27" t="n">
        <f aca="false">J5845+(K5845/20)+(L5845/240)</f>
        <v>240</v>
      </c>
      <c r="N5845" s="17" t="s">
        <v>64</v>
      </c>
      <c r="O5845" s="11"/>
      <c r="P5845" s="28"/>
      <c r="Q5845" s="28" t="n">
        <f aca="false">P5845*$M5845</f>
        <v>0</v>
      </c>
      <c r="R5845" s="28"/>
      <c r="S5845" s="28" t="n">
        <f aca="false">R5845*$M5845</f>
        <v>0</v>
      </c>
      <c r="T5845" s="28"/>
      <c r="U5845" s="28" t="n">
        <f aca="false">T5845*$M5845</f>
        <v>0</v>
      </c>
      <c r="V5845" s="28"/>
      <c r="W5845" s="28" t="n">
        <f aca="false">V5845*$M5845</f>
        <v>0</v>
      </c>
      <c r="X5845" s="28"/>
      <c r="Y5845" s="28" t="n">
        <f aca="false">X5845*$M5845</f>
        <v>0</v>
      </c>
      <c r="Z5845" s="28"/>
      <c r="AA5845" s="28" t="n">
        <f aca="false">Z5845*$M5845</f>
        <v>0</v>
      </c>
      <c r="AB5845" s="28"/>
      <c r="AC5845" s="28" t="n">
        <f aca="false">AB5845*$M5845</f>
        <v>0</v>
      </c>
      <c r="AD5845" s="28"/>
      <c r="AE5845" s="28" t="n">
        <f aca="false">AD5845*$M5845</f>
        <v>0</v>
      </c>
      <c r="AF5845" s="28"/>
      <c r="AG5845" s="28" t="n">
        <f aca="false">AF5845*$M5845</f>
        <v>0</v>
      </c>
      <c r="AH5845" s="28"/>
      <c r="AI5845" s="28" t="n">
        <f aca="false">AH5845*$M5845</f>
        <v>0</v>
      </c>
      <c r="AJ5845" s="28" t="n">
        <f aca="false">2173/100</f>
        <v>21.73</v>
      </c>
      <c r="AK5845" s="28" t="n">
        <v>5215</v>
      </c>
      <c r="AL5845" s="28"/>
      <c r="AM5845" s="28" t="n">
        <f aca="false">AL5845*$M5845</f>
        <v>0</v>
      </c>
      <c r="AN5845" s="28"/>
      <c r="AO5845" s="28" t="n">
        <f aca="false">AN5845*$M5845</f>
        <v>0</v>
      </c>
      <c r="AP5845" s="28"/>
      <c r="AQ5845" s="28" t="n">
        <f aca="false">AP5845*$M5845</f>
        <v>0</v>
      </c>
      <c r="AR5845" s="28"/>
      <c r="AS5845" s="28" t="n">
        <f aca="false">AR5845*$M5845</f>
        <v>0</v>
      </c>
      <c r="AT5845" s="28"/>
      <c r="AU5845" s="28" t="n">
        <f aca="false">AT5845*$M5845</f>
        <v>0</v>
      </c>
      <c r="AV5845" s="28"/>
      <c r="AW5845" s="28" t="n">
        <f aca="false">AV5845*$M5845</f>
        <v>0</v>
      </c>
      <c r="AX5845" s="28"/>
      <c r="AY5845" s="28" t="n">
        <f aca="false">AX5845*$M5845</f>
        <v>0</v>
      </c>
      <c r="AZ5845" s="30" t="n">
        <f aca="false">2173/100</f>
        <v>21.73</v>
      </c>
      <c r="BA5845" s="11" t="n">
        <v>5215</v>
      </c>
      <c r="BB5845" s="31" t="n">
        <f aca="false">SUM(Q5845,S5845,U5845,W5845,Y5845,AA5845,AC5845,AE5845,AG5845,AI5845,AK5845,AM5845,AO5845,AQ5845,AS5845,AU5845,AW5845,AY5845)</f>
        <v>5215</v>
      </c>
      <c r="BC5845" s="28" t="n">
        <f aca="false">BA5845-BB5845</f>
        <v>0</v>
      </c>
      <c r="BD5845" s="32" t="n">
        <f aca="false">SUM(P5845,R5845,T5845,V5845,X5845,Z5845,AB5845,AD5845,AF5845,AH5845,AJ5845,AL5845,AN5845,AP5845,AR5845,AT5845,AV5845,AX5845)</f>
        <v>21.73</v>
      </c>
      <c r="BE5845" s="33" t="n">
        <f aca="false">AZ5845-BD5845</f>
        <v>0</v>
      </c>
      <c r="BF5845" s="34" t="n">
        <f aca="false">BD5845*M5845</f>
        <v>5215.2</v>
      </c>
      <c r="BG5845" s="35" t="n">
        <f aca="false">BA5845-BF5845</f>
        <v>-0.199999999999818</v>
      </c>
      <c r="BH5845" s="19" t="str">
        <f aca="false">IF(BG5845=0,"",IF(BG5845&lt;&gt;BA5845,"erreur de calcul",IF(BD5845&lt;&gt;0,"pas de prix",IF(M5845&lt;&gt; 0,"pas de quantité","pas de prix, ni de quantité"))))</f>
        <v>erreur de calcul</v>
      </c>
      <c r="BI5845" s="19"/>
    </row>
    <row r="5846" customFormat="false" ht="15" hidden="false" customHeight="false" outlineLevel="0" collapsed="false">
      <c r="A5846" s="0" t="n">
        <v>20</v>
      </c>
      <c r="B5846" s="8" t="s">
        <v>24</v>
      </c>
      <c r="C5846" s="9" t="s">
        <v>25</v>
      </c>
      <c r="D5846" s="9" t="s">
        <v>26</v>
      </c>
      <c r="E5846" s="10" t="n">
        <v>1789</v>
      </c>
      <c r="F5846" s="9" t="s">
        <v>27</v>
      </c>
      <c r="G5846" s="9" t="s">
        <v>27</v>
      </c>
      <c r="H5846" s="11" t="n">
        <v>24</v>
      </c>
      <c r="I5846" s="11" t="s">
        <v>309</v>
      </c>
      <c r="J5846" s="14"/>
      <c r="K5846" s="14"/>
      <c r="L5846" s="16"/>
      <c r="M5846" s="27" t="n">
        <f aca="false">J5846+(K5846/20)+(L5846/240)</f>
        <v>0</v>
      </c>
      <c r="N5846" s="17"/>
      <c r="O5846" s="11"/>
      <c r="P5846" s="28"/>
      <c r="Q5846" s="28" t="n">
        <f aca="false">P5846*$M5846</f>
        <v>0</v>
      </c>
      <c r="R5846" s="28"/>
      <c r="S5846" s="28" t="n">
        <f aca="false">R5846*$M5846</f>
        <v>0</v>
      </c>
      <c r="T5846" s="28"/>
      <c r="U5846" s="28" t="n">
        <v>195</v>
      </c>
      <c r="V5846" s="28"/>
      <c r="W5846" s="28" t="n">
        <v>640</v>
      </c>
      <c r="X5846" s="28"/>
      <c r="Y5846" s="28" t="n">
        <f aca="false">X5846*$M5846</f>
        <v>0</v>
      </c>
      <c r="Z5846" s="28"/>
      <c r="AA5846" s="28" t="n">
        <f aca="false">Z5846*$M5846</f>
        <v>0</v>
      </c>
      <c r="AB5846" s="28"/>
      <c r="AC5846" s="28" t="n">
        <f aca="false">AB5846*$M5846</f>
        <v>0</v>
      </c>
      <c r="AD5846" s="28"/>
      <c r="AE5846" s="28" t="n">
        <f aca="false">AD5846*$M5846</f>
        <v>0</v>
      </c>
      <c r="AF5846" s="28"/>
      <c r="AG5846" s="28" t="n">
        <f aca="false">AF5846*$M5846</f>
        <v>0</v>
      </c>
      <c r="AH5846" s="28"/>
      <c r="AI5846" s="28" t="n">
        <v>121</v>
      </c>
      <c r="AJ5846" s="28"/>
      <c r="AK5846" s="28" t="n">
        <v>412</v>
      </c>
      <c r="AL5846" s="28"/>
      <c r="AM5846" s="28" t="n">
        <f aca="false">AL5846*$M5846</f>
        <v>0</v>
      </c>
      <c r="AN5846" s="28"/>
      <c r="AO5846" s="28" t="n">
        <f aca="false">AN5846*$M5846</f>
        <v>0</v>
      </c>
      <c r="AP5846" s="28"/>
      <c r="AQ5846" s="28" t="n">
        <f aca="false">AP5846*$M5846</f>
        <v>0</v>
      </c>
      <c r="AR5846" s="28"/>
      <c r="AS5846" s="28" t="n">
        <f aca="false">AR5846*$M5846</f>
        <v>0</v>
      </c>
      <c r="AT5846" s="28"/>
      <c r="AU5846" s="28" t="n">
        <f aca="false">AT5846*$M5846</f>
        <v>0</v>
      </c>
      <c r="AV5846" s="28"/>
      <c r="AW5846" s="28" t="n">
        <f aca="false">AV5846*$M5846</f>
        <v>0</v>
      </c>
      <c r="AX5846" s="28"/>
      <c r="AY5846" s="28" t="n">
        <f aca="false">AX5846*$M5846</f>
        <v>0</v>
      </c>
      <c r="AZ5846" s="30"/>
      <c r="BA5846" s="11" t="n">
        <v>1368</v>
      </c>
      <c r="BB5846" s="31" t="n">
        <f aca="false">SUM(Q5846,S5846,U5846,W5846,Y5846,AA5846,AC5846,AE5846,AG5846,AI5846,AK5846,AM5846,AO5846,AQ5846,AS5846,AU5846,AW5846,AY5846)</f>
        <v>1368</v>
      </c>
      <c r="BC5846" s="28" t="n">
        <f aca="false">BA5846-BB5846</f>
        <v>0</v>
      </c>
      <c r="BD5846" s="32" t="n">
        <f aca="false">SUM(P5846,R5846,T5846,V5846,X5846,Z5846,AB5846,AD5846,AF5846,AH5846,AJ5846,AL5846,AN5846,AP5846,AR5846,AT5846,AV5846,AX5846)</f>
        <v>0</v>
      </c>
      <c r="BE5846" s="33" t="n">
        <f aca="false">AZ5846-BD5846</f>
        <v>0</v>
      </c>
      <c r="BF5846" s="34" t="n">
        <f aca="false">BD5846*M5846</f>
        <v>0</v>
      </c>
      <c r="BG5846" s="35" t="n">
        <f aca="false">BA5846-BF5846</f>
        <v>1368</v>
      </c>
      <c r="BH5846" s="19" t="str">
        <f aca="false">IF(BG5846=0,"",IF(BG5846&lt;&gt;BA5846,"erreur de calcul",IF(BD5846&lt;&gt;0,"pas de prix",IF(M5846&lt;&gt; 0,"pas de quantité","pas de prix, ni de quantité"))))</f>
        <v>pas de prix, ni de quantité</v>
      </c>
      <c r="BI5846" s="19"/>
    </row>
    <row r="5847" customFormat="false" ht="15" hidden="false" customHeight="false" outlineLevel="0" collapsed="false">
      <c r="A5847" s="0" t="n">
        <v>21</v>
      </c>
      <c r="B5847" s="8" t="s">
        <v>24</v>
      </c>
      <c r="C5847" s="9" t="s">
        <v>25</v>
      </c>
      <c r="D5847" s="9" t="s">
        <v>26</v>
      </c>
      <c r="E5847" s="10" t="n">
        <v>1789</v>
      </c>
      <c r="F5847" s="9" t="s">
        <v>27</v>
      </c>
      <c r="G5847" s="9" t="s">
        <v>27</v>
      </c>
      <c r="H5847" s="11" t="n">
        <v>24</v>
      </c>
      <c r="I5847" s="11" t="s">
        <v>310</v>
      </c>
      <c r="J5847" s="14"/>
      <c r="K5847" s="14" t="n">
        <v>3</v>
      </c>
      <c r="L5847" s="16"/>
      <c r="M5847" s="27" t="n">
        <f aca="false">J5847+(K5847/20)+(L5847/240)</f>
        <v>0.15</v>
      </c>
      <c r="N5847" s="17" t="s">
        <v>311</v>
      </c>
      <c r="O5847" s="11"/>
      <c r="P5847" s="28"/>
      <c r="Q5847" s="28" t="n">
        <f aca="false">P5847*$M5847</f>
        <v>0</v>
      </c>
      <c r="R5847" s="28"/>
      <c r="S5847" s="28" t="n">
        <f aca="false">R5847*$M5847</f>
        <v>0</v>
      </c>
      <c r="T5847" s="28"/>
      <c r="U5847" s="28" t="n">
        <f aca="false">T5847*$M5847</f>
        <v>0</v>
      </c>
      <c r="V5847" s="28" t="n">
        <v>32065</v>
      </c>
      <c r="W5847" s="28" t="n">
        <v>4810</v>
      </c>
      <c r="X5847" s="28" t="n">
        <v>20652</v>
      </c>
      <c r="Y5847" s="28" t="n">
        <v>3098</v>
      </c>
      <c r="Z5847" s="28"/>
      <c r="AA5847" s="28" t="n">
        <f aca="false">Z5847*$M5847</f>
        <v>0</v>
      </c>
      <c r="AB5847" s="28"/>
      <c r="AC5847" s="28" t="n">
        <f aca="false">AB5847*$M5847</f>
        <v>0</v>
      </c>
      <c r="AD5847" s="28"/>
      <c r="AE5847" s="28" t="n">
        <f aca="false">AD5847*$M5847</f>
        <v>0</v>
      </c>
      <c r="AF5847" s="28"/>
      <c r="AG5847" s="28" t="n">
        <f aca="false">AF5847*$M5847</f>
        <v>0</v>
      </c>
      <c r="AH5847" s="28"/>
      <c r="AI5847" s="28" t="n">
        <f aca="false">AH5847*$M5847</f>
        <v>0</v>
      </c>
      <c r="AJ5847" s="28"/>
      <c r="AK5847" s="28" t="n">
        <f aca="false">AJ5847*$M5847</f>
        <v>0</v>
      </c>
      <c r="AL5847" s="28"/>
      <c r="AM5847" s="28" t="n">
        <f aca="false">AL5847*$M5847</f>
        <v>0</v>
      </c>
      <c r="AN5847" s="28"/>
      <c r="AO5847" s="28" t="n">
        <f aca="false">AN5847*$M5847</f>
        <v>0</v>
      </c>
      <c r="AP5847" s="28"/>
      <c r="AQ5847" s="28" t="n">
        <f aca="false">AP5847*$M5847</f>
        <v>0</v>
      </c>
      <c r="AR5847" s="28"/>
      <c r="AS5847" s="28" t="n">
        <f aca="false">AR5847*$M5847</f>
        <v>0</v>
      </c>
      <c r="AT5847" s="28"/>
      <c r="AU5847" s="28" t="n">
        <f aca="false">AT5847*$M5847</f>
        <v>0</v>
      </c>
      <c r="AV5847" s="28"/>
      <c r="AW5847" s="28" t="n">
        <f aca="false">AV5847*$M5847</f>
        <v>0</v>
      </c>
      <c r="AX5847" s="28"/>
      <c r="AY5847" s="28" t="n">
        <f aca="false">AX5847*$M5847</f>
        <v>0</v>
      </c>
      <c r="AZ5847" s="30" t="n">
        <v>52717</v>
      </c>
      <c r="BA5847" s="11" t="n">
        <v>7908</v>
      </c>
      <c r="BB5847" s="31" t="n">
        <f aca="false">SUM(Q5847,S5847,U5847,W5847,Y5847,AA5847,AC5847,AE5847,AG5847,AI5847,AK5847,AM5847,AO5847,AQ5847,AS5847,AU5847,AW5847,AY5847)</f>
        <v>7908</v>
      </c>
      <c r="BC5847" s="28" t="n">
        <f aca="false">BA5847-BB5847</f>
        <v>0</v>
      </c>
      <c r="BD5847" s="32" t="n">
        <f aca="false">SUM(P5847,R5847,T5847,V5847,X5847,Z5847,AB5847,AD5847,AF5847,AH5847,AJ5847,AL5847,AN5847,AP5847,AR5847,AT5847,AV5847,AX5847)</f>
        <v>52717</v>
      </c>
      <c r="BE5847" s="33" t="n">
        <f aca="false">AZ5847-BD5847</f>
        <v>0</v>
      </c>
      <c r="BF5847" s="34" t="n">
        <f aca="false">BD5847*M5847</f>
        <v>7907.55</v>
      </c>
      <c r="BG5847" s="35" t="n">
        <f aca="false">BA5847-BF5847</f>
        <v>0.450000000000728</v>
      </c>
      <c r="BH5847" s="19" t="str">
        <f aca="false">IF(BG5847=0,"",IF(BG5847&lt;&gt;BA5847,"erreur de calcul",IF(BD5847&lt;&gt;0,"pas de prix",IF(M5847&lt;&gt; 0,"pas de quantité","pas de prix, ni de quantité"))))</f>
        <v>erreur de calcul</v>
      </c>
      <c r="BI5847" s="19"/>
    </row>
    <row r="5848" customFormat="false" ht="15" hidden="false" customHeight="false" outlineLevel="0" collapsed="false">
      <c r="A5848" s="0" t="n">
        <v>22</v>
      </c>
      <c r="B5848" s="8" t="s">
        <v>24</v>
      </c>
      <c r="C5848" s="9" t="s">
        <v>25</v>
      </c>
      <c r="D5848" s="9" t="s">
        <v>26</v>
      </c>
      <c r="E5848" s="10" t="n">
        <v>1789</v>
      </c>
      <c r="F5848" s="9" t="s">
        <v>27</v>
      </c>
      <c r="G5848" s="9" t="s">
        <v>27</v>
      </c>
      <c r="H5848" s="11" t="n">
        <v>24</v>
      </c>
      <c r="I5848" s="11" t="s">
        <v>312</v>
      </c>
      <c r="J5848" s="14" t="n">
        <v>15</v>
      </c>
      <c r="K5848" s="14"/>
      <c r="L5848" s="16"/>
      <c r="M5848" s="27" t="n">
        <f aca="false">J5848+(K5848/20)+(L5848/240)</f>
        <v>15</v>
      </c>
      <c r="N5848" s="17" t="s">
        <v>275</v>
      </c>
      <c r="O5848" s="11"/>
      <c r="P5848" s="28"/>
      <c r="Q5848" s="28" t="n">
        <f aca="false">P5848*$M5848</f>
        <v>0</v>
      </c>
      <c r="R5848" s="28"/>
      <c r="S5848" s="28" t="n">
        <f aca="false">R5848*$M5848</f>
        <v>0</v>
      </c>
      <c r="T5848" s="28" t="n">
        <v>1479</v>
      </c>
      <c r="U5848" s="28" t="n">
        <v>22185</v>
      </c>
      <c r="V5848" s="28" t="n">
        <v>1500</v>
      </c>
      <c r="W5848" s="28" t="n">
        <v>22500</v>
      </c>
      <c r="X5848" s="28" t="n">
        <v>300</v>
      </c>
      <c r="Y5848" s="28" t="n">
        <v>4500</v>
      </c>
      <c r="Z5848" s="28" t="n">
        <v>168</v>
      </c>
      <c r="AA5848" s="28" t="n">
        <v>2520</v>
      </c>
      <c r="AB5848" s="28" t="n">
        <v>14570</v>
      </c>
      <c r="AC5848" s="28" t="n">
        <v>218550</v>
      </c>
      <c r="AD5848" s="28"/>
      <c r="AE5848" s="28" t="n">
        <f aca="false">AD5848*$M5848</f>
        <v>0</v>
      </c>
      <c r="AF5848" s="28" t="n">
        <v>5748</v>
      </c>
      <c r="AG5848" s="28" t="n">
        <v>86220</v>
      </c>
      <c r="AH5848" s="28"/>
      <c r="AI5848" s="28" t="n">
        <f aca="false">AH5848*$M5848</f>
        <v>0</v>
      </c>
      <c r="AJ5848" s="28" t="n">
        <v>710</v>
      </c>
      <c r="AK5848" s="28" t="n">
        <v>10650</v>
      </c>
      <c r="AL5848" s="28" t="n">
        <v>600</v>
      </c>
      <c r="AM5848" s="28" t="n">
        <v>9000</v>
      </c>
      <c r="AN5848" s="28"/>
      <c r="AO5848" s="28" t="n">
        <f aca="false">AN5848*$M5848</f>
        <v>0</v>
      </c>
      <c r="AP5848" s="28" t="n">
        <v>1200</v>
      </c>
      <c r="AQ5848" s="28" t="n">
        <v>18000</v>
      </c>
      <c r="AR5848" s="28"/>
      <c r="AS5848" s="28" t="n">
        <f aca="false">AR5848*$M5848</f>
        <v>0</v>
      </c>
      <c r="AT5848" s="28"/>
      <c r="AU5848" s="28" t="n">
        <f aca="false">AT5848*$M5848</f>
        <v>0</v>
      </c>
      <c r="AV5848" s="28"/>
      <c r="AW5848" s="28" t="n">
        <f aca="false">AV5848*$M5848</f>
        <v>0</v>
      </c>
      <c r="AX5848" s="28"/>
      <c r="AY5848" s="28" t="n">
        <f aca="false">AX5848*$M5848</f>
        <v>0</v>
      </c>
      <c r="AZ5848" s="30" t="n">
        <v>26275</v>
      </c>
      <c r="BA5848" s="11" t="n">
        <v>394125</v>
      </c>
      <c r="BB5848" s="31" t="n">
        <f aca="false">SUM(Q5848,S5848,U5848,W5848,Y5848,AA5848,AC5848,AE5848,AG5848,AI5848,AK5848,AM5848,AO5848,AQ5848,AS5848,AU5848,AW5848,AY5848)</f>
        <v>394125</v>
      </c>
      <c r="BC5848" s="28" t="n">
        <f aca="false">BA5848-BB5848</f>
        <v>0</v>
      </c>
      <c r="BD5848" s="32" t="n">
        <f aca="false">SUM(P5848,R5848,T5848,V5848,X5848,Z5848,AB5848,AD5848,AF5848,AH5848,AJ5848,AL5848,AN5848,AP5848,AR5848,AT5848,AV5848,AX5848)</f>
        <v>26275</v>
      </c>
      <c r="BE5848" s="33" t="n">
        <f aca="false">AZ5848-BD5848</f>
        <v>0</v>
      </c>
      <c r="BF5848" s="34" t="n">
        <f aca="false">BD5848*M5848</f>
        <v>394125</v>
      </c>
      <c r="BG5848" s="35" t="n">
        <f aca="false">BA5848-BF5848</f>
        <v>0</v>
      </c>
      <c r="BH5848" s="19" t="str">
        <f aca="false">IF(BG5848=0,"",IF(BG5848&lt;&gt;BA5848,"erreur de calcul",IF(BD5848&lt;&gt;0,"pas de prix",IF(M5848&lt;&gt; 0,"pas de quantité","pas de prix, ni de quantité"))))</f>
        <v/>
      </c>
      <c r="BI5848" s="19"/>
    </row>
    <row r="5849" customFormat="false" ht="15" hidden="false" customHeight="false" outlineLevel="0" collapsed="false">
      <c r="A5849" s="0" t="n">
        <v>23</v>
      </c>
      <c r="B5849" s="8" t="s">
        <v>24</v>
      </c>
      <c r="C5849" s="9" t="s">
        <v>25</v>
      </c>
      <c r="D5849" s="9" t="s">
        <v>26</v>
      </c>
      <c r="E5849" s="10" t="n">
        <v>1789</v>
      </c>
      <c r="F5849" s="9" t="s">
        <v>27</v>
      </c>
      <c r="G5849" s="9" t="s">
        <v>27</v>
      </c>
      <c r="H5849" s="11" t="n">
        <v>24</v>
      </c>
      <c r="I5849" s="11" t="s">
        <v>313</v>
      </c>
      <c r="J5849" s="14" t="n">
        <v>9</v>
      </c>
      <c r="K5849" s="14"/>
      <c r="L5849" s="16"/>
      <c r="M5849" s="27" t="n">
        <f aca="false">J5849+(K5849/20)+(L5849/240)</f>
        <v>9</v>
      </c>
      <c r="N5849" s="17" t="s">
        <v>64</v>
      </c>
      <c r="O5849" s="11"/>
      <c r="P5849" s="28"/>
      <c r="Q5849" s="28" t="n">
        <f aca="false">P5849*$M5849</f>
        <v>0</v>
      </c>
      <c r="R5849" s="28"/>
      <c r="S5849" s="28" t="n">
        <f aca="false">R5849*$M5849</f>
        <v>0</v>
      </c>
      <c r="T5849" s="28"/>
      <c r="U5849" s="28" t="n">
        <f aca="false">T5849*$M5849</f>
        <v>0</v>
      </c>
      <c r="V5849" s="28" t="n">
        <f aca="false">145504/100</f>
        <v>1455.04</v>
      </c>
      <c r="W5849" s="28" t="n">
        <v>13095</v>
      </c>
      <c r="X5849" s="28" t="n">
        <f aca="false">58504/100</f>
        <v>585.04</v>
      </c>
      <c r="Y5849" s="28" t="n">
        <v>5265</v>
      </c>
      <c r="Z5849" s="28" t="n">
        <f aca="false">17027/100</f>
        <v>170.27</v>
      </c>
      <c r="AA5849" s="28" t="n">
        <v>1532</v>
      </c>
      <c r="AB5849" s="28" t="n">
        <f aca="false">84396/100</f>
        <v>843.96</v>
      </c>
      <c r="AC5849" s="28" t="n">
        <v>7596</v>
      </c>
      <c r="AD5849" s="28"/>
      <c r="AE5849" s="28" t="n">
        <f aca="false">AD5849*$M5849</f>
        <v>0</v>
      </c>
      <c r="AF5849" s="28" t="n">
        <f aca="false">14807/100</f>
        <v>148.07</v>
      </c>
      <c r="AG5849" s="28" t="n">
        <v>1333</v>
      </c>
      <c r="AH5849" s="28"/>
      <c r="AI5849" s="28" t="n">
        <f aca="false">AH5849*$M5849</f>
        <v>0</v>
      </c>
      <c r="AJ5849" s="28"/>
      <c r="AK5849" s="28" t="n">
        <f aca="false">AJ5849*$M5849</f>
        <v>0</v>
      </c>
      <c r="AL5849" s="28"/>
      <c r="AM5849" s="28" t="n">
        <f aca="false">AL5849*$M5849</f>
        <v>0</v>
      </c>
      <c r="AN5849" s="28"/>
      <c r="AO5849" s="28" t="n">
        <f aca="false">AN5849*$M5849</f>
        <v>0</v>
      </c>
      <c r="AP5849" s="28"/>
      <c r="AQ5849" s="28" t="n">
        <f aca="false">AP5849*$M5849</f>
        <v>0</v>
      </c>
      <c r="AR5849" s="28"/>
      <c r="AS5849" s="28" t="n">
        <f aca="false">AR5849*$M5849</f>
        <v>0</v>
      </c>
      <c r="AT5849" s="28"/>
      <c r="AU5849" s="28" t="n">
        <f aca="false">AT5849*$M5849</f>
        <v>0</v>
      </c>
      <c r="AV5849" s="28"/>
      <c r="AW5849" s="28" t="n">
        <f aca="false">AV5849*$M5849</f>
        <v>0</v>
      </c>
      <c r="AX5849" s="28"/>
      <c r="AY5849" s="28" t="n">
        <f aca="false">AX5849*$M5849</f>
        <v>0</v>
      </c>
      <c r="AZ5849" s="30" t="n">
        <f aca="false">320238/100</f>
        <v>3202.38</v>
      </c>
      <c r="BA5849" s="11" t="n">
        <v>28821</v>
      </c>
      <c r="BB5849" s="31" t="n">
        <f aca="false">SUM(Q5849,S5849,U5849,W5849,Y5849,AA5849,AC5849,AE5849,AG5849,AI5849,AK5849,AM5849,AO5849,AQ5849,AS5849,AU5849,AW5849,AY5849)</f>
        <v>28821</v>
      </c>
      <c r="BC5849" s="28" t="n">
        <f aca="false">BA5849-BB5849</f>
        <v>0</v>
      </c>
      <c r="BD5849" s="32" t="n">
        <f aca="false">SUM(P5849,R5849,T5849,V5849,X5849,Z5849,AB5849,AD5849,AF5849,AH5849,AJ5849,AL5849,AN5849,AP5849,AR5849,AT5849,AV5849,AX5849)</f>
        <v>3202.38</v>
      </c>
      <c r="BE5849" s="33" t="n">
        <f aca="false">AZ5849-BD5849</f>
        <v>0</v>
      </c>
      <c r="BF5849" s="34" t="n">
        <f aca="false">BD5849*M5849</f>
        <v>28821.42</v>
      </c>
      <c r="BG5849" s="35" t="n">
        <f aca="false">BA5849-BF5849</f>
        <v>-0.420000000001892</v>
      </c>
      <c r="BH5849" s="19" t="str">
        <f aca="false">IF(BG5849=0,"",IF(BG5849&lt;&gt;BA5849,"erreur de calcul",IF(BD5849&lt;&gt;0,"pas de prix",IF(M5849&lt;&gt; 0,"pas de quantité","pas de prix, ni de quantité"))))</f>
        <v>erreur de calcul</v>
      </c>
      <c r="BI5849" s="19"/>
    </row>
    <row r="5850" customFormat="false" ht="15" hidden="false" customHeight="false" outlineLevel="0" collapsed="false">
      <c r="A5850" s="0" t="n">
        <v>24</v>
      </c>
      <c r="B5850" s="8" t="s">
        <v>24</v>
      </c>
      <c r="C5850" s="9" t="s">
        <v>25</v>
      </c>
      <c r="D5850" s="9" t="s">
        <v>26</v>
      </c>
      <c r="E5850" s="10" t="n">
        <v>1789</v>
      </c>
      <c r="F5850" s="9" t="s">
        <v>27</v>
      </c>
      <c r="G5850" s="9" t="s">
        <v>27</v>
      </c>
      <c r="H5850" s="11" t="n">
        <v>24</v>
      </c>
      <c r="I5850" s="11" t="s">
        <v>314</v>
      </c>
      <c r="J5850" s="14"/>
      <c r="K5850" s="14" t="n">
        <v>4</v>
      </c>
      <c r="L5850" s="16"/>
      <c r="M5850" s="27" t="n">
        <f aca="false">J5850+(K5850/20)+(L5850/240)</f>
        <v>0.2</v>
      </c>
      <c r="N5850" s="17" t="s">
        <v>311</v>
      </c>
      <c r="O5850" s="11"/>
      <c r="P5850" s="28"/>
      <c r="Q5850" s="28" t="n">
        <f aca="false">P5850*$M5850</f>
        <v>0</v>
      </c>
      <c r="R5850" s="28"/>
      <c r="S5850" s="28" t="n">
        <f aca="false">R5850*$M5850</f>
        <v>0</v>
      </c>
      <c r="T5850" s="28"/>
      <c r="U5850" s="28" t="n">
        <f aca="false">T5850*$M5850</f>
        <v>0</v>
      </c>
      <c r="V5850" s="28" t="n">
        <v>5800</v>
      </c>
      <c r="W5850" s="28" t="n">
        <v>1160</v>
      </c>
      <c r="X5850" s="28"/>
      <c r="Y5850" s="28" t="n">
        <f aca="false">X5850*$M5850</f>
        <v>0</v>
      </c>
      <c r="Z5850" s="28"/>
      <c r="AA5850" s="28" t="n">
        <f aca="false">Z5850*$M5850</f>
        <v>0</v>
      </c>
      <c r="AB5850" s="28"/>
      <c r="AC5850" s="28" t="n">
        <f aca="false">AB5850*$M5850</f>
        <v>0</v>
      </c>
      <c r="AD5850" s="28"/>
      <c r="AE5850" s="28" t="n">
        <f aca="false">AD5850*$M5850</f>
        <v>0</v>
      </c>
      <c r="AF5850" s="28"/>
      <c r="AG5850" s="28" t="n">
        <f aca="false">AF5850*$M5850</f>
        <v>0</v>
      </c>
      <c r="AH5850" s="28"/>
      <c r="AI5850" s="28" t="n">
        <f aca="false">AH5850*$M5850</f>
        <v>0</v>
      </c>
      <c r="AJ5850" s="28"/>
      <c r="AK5850" s="28" t="n">
        <f aca="false">AJ5850*$M5850</f>
        <v>0</v>
      </c>
      <c r="AL5850" s="28"/>
      <c r="AM5850" s="28" t="n">
        <f aca="false">AL5850*$M5850</f>
        <v>0</v>
      </c>
      <c r="AN5850" s="28"/>
      <c r="AO5850" s="28" t="n">
        <f aca="false">AN5850*$M5850</f>
        <v>0</v>
      </c>
      <c r="AP5850" s="28"/>
      <c r="AQ5850" s="28" t="n">
        <f aca="false">AP5850*$M5850</f>
        <v>0</v>
      </c>
      <c r="AR5850" s="28"/>
      <c r="AS5850" s="28" t="n">
        <f aca="false">AR5850*$M5850</f>
        <v>0</v>
      </c>
      <c r="AT5850" s="28"/>
      <c r="AU5850" s="28" t="n">
        <f aca="false">AT5850*$M5850</f>
        <v>0</v>
      </c>
      <c r="AV5850" s="28"/>
      <c r="AW5850" s="28" t="n">
        <f aca="false">AV5850*$M5850</f>
        <v>0</v>
      </c>
      <c r="AX5850" s="28"/>
      <c r="AY5850" s="28" t="n">
        <f aca="false">AX5850*$M5850</f>
        <v>0</v>
      </c>
      <c r="AZ5850" s="30" t="n">
        <v>5800</v>
      </c>
      <c r="BA5850" s="11" t="n">
        <v>1160</v>
      </c>
      <c r="BB5850" s="31" t="n">
        <f aca="false">SUM(Q5850,S5850,U5850,W5850,Y5850,AA5850,AC5850,AE5850,AG5850,AI5850,AK5850,AM5850,AO5850,AQ5850,AS5850,AU5850,AW5850,AY5850)</f>
        <v>1160</v>
      </c>
      <c r="BC5850" s="28" t="n">
        <f aca="false">BA5850-BB5850</f>
        <v>0</v>
      </c>
      <c r="BD5850" s="32" t="n">
        <f aca="false">SUM(P5850,R5850,T5850,V5850,X5850,Z5850,AB5850,AD5850,AF5850,AH5850,AJ5850,AL5850,AN5850,AP5850,AR5850,AT5850,AV5850,AX5850)</f>
        <v>5800</v>
      </c>
      <c r="BE5850" s="33" t="n">
        <f aca="false">AZ5850-BD5850</f>
        <v>0</v>
      </c>
      <c r="BF5850" s="34" t="n">
        <f aca="false">BD5850*M5850</f>
        <v>1160</v>
      </c>
      <c r="BG5850" s="35" t="n">
        <f aca="false">BA5850-BF5850</f>
        <v>0</v>
      </c>
      <c r="BH5850" s="19" t="str">
        <f aca="false">IF(BG5850=0,"",IF(BG5850&lt;&gt;BA5850,"erreur de calcul",IF(BD5850&lt;&gt;0,"pas de prix",IF(M5850&lt;&gt; 0,"pas de quantité","pas de prix, ni de quantité"))))</f>
        <v/>
      </c>
      <c r="BI5850" s="19"/>
    </row>
    <row r="5851" customFormat="false" ht="15" hidden="false" customHeight="false" outlineLevel="0" collapsed="false">
      <c r="A5851" s="0" t="n">
        <v>25</v>
      </c>
      <c r="B5851" s="8" t="s">
        <v>24</v>
      </c>
      <c r="C5851" s="9" t="s">
        <v>25</v>
      </c>
      <c r="D5851" s="9" t="s">
        <v>26</v>
      </c>
      <c r="E5851" s="10" t="n">
        <v>1789</v>
      </c>
      <c r="F5851" s="9" t="s">
        <v>27</v>
      </c>
      <c r="G5851" s="9" t="s">
        <v>27</v>
      </c>
      <c r="H5851" s="11" t="n">
        <v>24</v>
      </c>
      <c r="I5851" s="11" t="s">
        <v>315</v>
      </c>
      <c r="J5851" s="14" t="n">
        <v>10</v>
      </c>
      <c r="K5851" s="14"/>
      <c r="L5851" s="16"/>
      <c r="M5851" s="27" t="n">
        <f aca="false">J5851+(K5851/20)+(L5851/240)</f>
        <v>10</v>
      </c>
      <c r="N5851" s="17" t="s">
        <v>64</v>
      </c>
      <c r="O5851" s="11"/>
      <c r="P5851" s="28"/>
      <c r="Q5851" s="28" t="n">
        <f aca="false">P5851*$M5851</f>
        <v>0</v>
      </c>
      <c r="R5851" s="28"/>
      <c r="S5851" s="28" t="n">
        <f aca="false">R5851*$M5851</f>
        <v>0</v>
      </c>
      <c r="T5851" s="28"/>
      <c r="U5851" s="28" t="n">
        <f aca="false">T5851*$M5851</f>
        <v>0</v>
      </c>
      <c r="V5851" s="28"/>
      <c r="W5851" s="28" t="n">
        <f aca="false">V5851*$M5851</f>
        <v>0</v>
      </c>
      <c r="X5851" s="28"/>
      <c r="Y5851" s="28" t="n">
        <f aca="false">X5851*$M5851</f>
        <v>0</v>
      </c>
      <c r="Z5851" s="28"/>
      <c r="AA5851" s="28" t="n">
        <f aca="false">Z5851*$M5851</f>
        <v>0</v>
      </c>
      <c r="AB5851" s="28"/>
      <c r="AC5851" s="28" t="n">
        <f aca="false">AB5851*$M5851</f>
        <v>0</v>
      </c>
      <c r="AD5851" s="28"/>
      <c r="AE5851" s="28" t="n">
        <f aca="false">AD5851*$M5851</f>
        <v>0</v>
      </c>
      <c r="AF5851" s="28"/>
      <c r="AG5851" s="28" t="n">
        <f aca="false">AF5851*$M5851</f>
        <v>0</v>
      </c>
      <c r="AH5851" s="28"/>
      <c r="AI5851" s="28" t="n">
        <f aca="false">AH5851*$M5851</f>
        <v>0</v>
      </c>
      <c r="AJ5851" s="28" t="n">
        <f aca="false">13584/100</f>
        <v>135.84</v>
      </c>
      <c r="AK5851" s="28" t="n">
        <v>1358</v>
      </c>
      <c r="AL5851" s="28"/>
      <c r="AM5851" s="28" t="n">
        <f aca="false">AL5851*$M5851</f>
        <v>0</v>
      </c>
      <c r="AN5851" s="28"/>
      <c r="AO5851" s="28" t="n">
        <f aca="false">AN5851*$M5851</f>
        <v>0</v>
      </c>
      <c r="AP5851" s="28"/>
      <c r="AQ5851" s="28" t="n">
        <f aca="false">AP5851*$M5851</f>
        <v>0</v>
      </c>
      <c r="AR5851" s="28"/>
      <c r="AS5851" s="28" t="n">
        <f aca="false">AR5851*$M5851</f>
        <v>0</v>
      </c>
      <c r="AT5851" s="28"/>
      <c r="AU5851" s="28" t="n">
        <f aca="false">AT5851*$M5851</f>
        <v>0</v>
      </c>
      <c r="AV5851" s="28"/>
      <c r="AW5851" s="28" t="n">
        <f aca="false">AV5851*$M5851</f>
        <v>0</v>
      </c>
      <c r="AX5851" s="28"/>
      <c r="AY5851" s="28" t="n">
        <f aca="false">AX5851*$M5851</f>
        <v>0</v>
      </c>
      <c r="AZ5851" s="30" t="n">
        <f aca="false">13584/100</f>
        <v>135.84</v>
      </c>
      <c r="BA5851" s="11" t="n">
        <v>1358</v>
      </c>
      <c r="BB5851" s="31" t="n">
        <f aca="false">SUM(Q5851,S5851,U5851,W5851,Y5851,AA5851,AC5851,AE5851,AG5851,AI5851,AK5851,AM5851,AO5851,AQ5851,AS5851,AU5851,AW5851,AY5851)</f>
        <v>1358</v>
      </c>
      <c r="BC5851" s="28" t="n">
        <f aca="false">BA5851-BB5851</f>
        <v>0</v>
      </c>
      <c r="BD5851" s="32" t="n">
        <f aca="false">SUM(P5851,R5851,T5851,V5851,X5851,Z5851,AB5851,AD5851,AF5851,AH5851,AJ5851,AL5851,AN5851,AP5851,AR5851,AT5851,AV5851,AX5851)</f>
        <v>135.84</v>
      </c>
      <c r="BE5851" s="33" t="n">
        <f aca="false">AZ5851-BD5851</f>
        <v>0</v>
      </c>
      <c r="BF5851" s="34" t="n">
        <f aca="false">BD5851*M5851</f>
        <v>1358.4</v>
      </c>
      <c r="BG5851" s="35" t="n">
        <f aca="false">BA5851-BF5851</f>
        <v>-0.400000000000091</v>
      </c>
      <c r="BH5851" s="19" t="str">
        <f aca="false">IF(BG5851=0,"",IF(BG5851&lt;&gt;BA5851,"erreur de calcul",IF(BD5851&lt;&gt;0,"pas de prix",IF(M5851&lt;&gt; 0,"pas de quantité","pas de prix, ni de quantité"))))</f>
        <v>erreur de calcul</v>
      </c>
      <c r="BI5851" s="19"/>
    </row>
    <row r="5852" customFormat="false" ht="15" hidden="false" customHeight="false" outlineLevel="0" collapsed="false">
      <c r="A5852" s="0" t="n">
        <v>26</v>
      </c>
      <c r="B5852" s="8" t="s">
        <v>24</v>
      </c>
      <c r="C5852" s="9" t="s">
        <v>25</v>
      </c>
      <c r="D5852" s="9" t="s">
        <v>26</v>
      </c>
      <c r="E5852" s="10" t="n">
        <v>1789</v>
      </c>
      <c r="F5852" s="9" t="s">
        <v>27</v>
      </c>
      <c r="G5852" s="9" t="s">
        <v>27</v>
      </c>
      <c r="H5852" s="11" t="n">
        <v>24</v>
      </c>
      <c r="I5852" s="11" t="s">
        <v>316</v>
      </c>
      <c r="J5852" s="14" t="n">
        <v>12</v>
      </c>
      <c r="K5852" s="14"/>
      <c r="L5852" s="16"/>
      <c r="M5852" s="27" t="n">
        <f aca="false">J5852+(K5852/20)+(L5852/240)</f>
        <v>12</v>
      </c>
      <c r="N5852" s="17" t="s">
        <v>64</v>
      </c>
      <c r="O5852" s="11"/>
      <c r="P5852" s="28" t="n">
        <f aca="false">8690/100</f>
        <v>86.9</v>
      </c>
      <c r="Q5852" s="28" t="n">
        <v>1043</v>
      </c>
      <c r="R5852" s="28"/>
      <c r="S5852" s="28" t="n">
        <f aca="false">R5852*$M5852</f>
        <v>0</v>
      </c>
      <c r="T5852" s="28"/>
      <c r="U5852" s="28" t="n">
        <f aca="false">T5852*$M5852</f>
        <v>0</v>
      </c>
      <c r="V5852" s="28"/>
      <c r="W5852" s="28" t="n">
        <f aca="false">V5852*$M5852</f>
        <v>0</v>
      </c>
      <c r="X5852" s="28" t="n">
        <f aca="false">10000/100</f>
        <v>100</v>
      </c>
      <c r="Y5852" s="28" t="n">
        <v>1200</v>
      </c>
      <c r="Z5852" s="28"/>
      <c r="AA5852" s="28" t="n">
        <f aca="false">Z5852*$M5852</f>
        <v>0</v>
      </c>
      <c r="AB5852" s="28"/>
      <c r="AC5852" s="28" t="n">
        <f aca="false">AB5852*$M5852</f>
        <v>0</v>
      </c>
      <c r="AD5852" s="28"/>
      <c r="AE5852" s="28" t="n">
        <f aca="false">AD5852*$M5852</f>
        <v>0</v>
      </c>
      <c r="AF5852" s="28"/>
      <c r="AG5852" s="28" t="n">
        <f aca="false">AF5852*$M5852</f>
        <v>0</v>
      </c>
      <c r="AH5852" s="28"/>
      <c r="AI5852" s="28" t="n">
        <f aca="false">AH5852*$M5852</f>
        <v>0</v>
      </c>
      <c r="AJ5852" s="28"/>
      <c r="AK5852" s="28" t="n">
        <f aca="false">AJ5852*$M5852</f>
        <v>0</v>
      </c>
      <c r="AL5852" s="28"/>
      <c r="AM5852" s="28" t="n">
        <f aca="false">AL5852*$M5852</f>
        <v>0</v>
      </c>
      <c r="AN5852" s="28"/>
      <c r="AO5852" s="28" t="n">
        <f aca="false">AN5852*$M5852</f>
        <v>0</v>
      </c>
      <c r="AP5852" s="28"/>
      <c r="AQ5852" s="28" t="n">
        <f aca="false">AP5852*$M5852</f>
        <v>0</v>
      </c>
      <c r="AR5852" s="28"/>
      <c r="AS5852" s="28" t="n">
        <f aca="false">AR5852*$M5852</f>
        <v>0</v>
      </c>
      <c r="AT5852" s="28"/>
      <c r="AU5852" s="28" t="n">
        <f aca="false">AT5852*$M5852</f>
        <v>0</v>
      </c>
      <c r="AV5852" s="28"/>
      <c r="AW5852" s="28" t="n">
        <f aca="false">AV5852*$M5852</f>
        <v>0</v>
      </c>
      <c r="AX5852" s="28"/>
      <c r="AY5852" s="28" t="n">
        <f aca="false">AX5852*$M5852</f>
        <v>0</v>
      </c>
      <c r="AZ5852" s="30" t="n">
        <f aca="false">18690/100</f>
        <v>186.9</v>
      </c>
      <c r="BA5852" s="11" t="n">
        <v>2243</v>
      </c>
      <c r="BB5852" s="31" t="n">
        <f aca="false">SUM(Q5852,S5852,U5852,W5852,Y5852,AA5852,AC5852,AE5852,AG5852,AI5852,AK5852,AM5852,AO5852,AQ5852,AS5852,AU5852,AW5852,AY5852)</f>
        <v>2243</v>
      </c>
      <c r="BC5852" s="28" t="n">
        <f aca="false">BA5852-BB5852</f>
        <v>0</v>
      </c>
      <c r="BD5852" s="32" t="n">
        <f aca="false">SUM(P5852,R5852,T5852,V5852,X5852,Z5852,AB5852,AD5852,AF5852,AH5852,AJ5852,AL5852,AN5852,AP5852,AR5852,AT5852,AV5852,AX5852)</f>
        <v>186.9</v>
      </c>
      <c r="BE5852" s="33" t="n">
        <f aca="false">AZ5852-BD5852</f>
        <v>0</v>
      </c>
      <c r="BF5852" s="34" t="n">
        <f aca="false">BD5852*M5852</f>
        <v>2242.8</v>
      </c>
      <c r="BG5852" s="35" t="n">
        <f aca="false">BA5852-BF5852</f>
        <v>0.199999999999818</v>
      </c>
      <c r="BH5852" s="19" t="str">
        <f aca="false">IF(BG5852=0,"",IF(BG5852&lt;&gt;BA5852,"erreur de calcul",IF(BD5852&lt;&gt;0,"pas de prix",IF(M5852&lt;&gt; 0,"pas de quantité","pas de prix, ni de quantité"))))</f>
        <v>erreur de calcul</v>
      </c>
      <c r="BI5852" s="19"/>
    </row>
    <row r="5853" customFormat="false" ht="15" hidden="false" customHeight="false" outlineLevel="0" collapsed="false">
      <c r="A5853" s="0" t="n">
        <v>27</v>
      </c>
      <c r="B5853" s="8" t="s">
        <v>24</v>
      </c>
      <c r="C5853" s="9" t="s">
        <v>25</v>
      </c>
      <c r="D5853" s="9" t="s">
        <v>26</v>
      </c>
      <c r="E5853" s="10" t="n">
        <v>1789</v>
      </c>
      <c r="F5853" s="9" t="s">
        <v>27</v>
      </c>
      <c r="G5853" s="9" t="s">
        <v>27</v>
      </c>
      <c r="H5853" s="11" t="n">
        <v>24</v>
      </c>
      <c r="I5853" s="11" t="s">
        <v>317</v>
      </c>
      <c r="J5853" s="14" t="n">
        <v>2</v>
      </c>
      <c r="K5853" s="14"/>
      <c r="L5853" s="16"/>
      <c r="M5853" s="27" t="n">
        <f aca="false">J5853+(K5853/20)+(L5853/240)</f>
        <v>2</v>
      </c>
      <c r="N5853" s="17" t="s">
        <v>64</v>
      </c>
      <c r="O5853" s="11"/>
      <c r="P5853" s="28"/>
      <c r="Q5853" s="28" t="n">
        <f aca="false">P5853*$M5853</f>
        <v>0</v>
      </c>
      <c r="R5853" s="28"/>
      <c r="S5853" s="28" t="n">
        <f aca="false">R5853*$M5853</f>
        <v>0</v>
      </c>
      <c r="T5853" s="28"/>
      <c r="U5853" s="28" t="n">
        <f aca="false">T5853*$M5853</f>
        <v>0</v>
      </c>
      <c r="V5853" s="28"/>
      <c r="W5853" s="28" t="n">
        <f aca="false">V5853*$M5853</f>
        <v>0</v>
      </c>
      <c r="X5853" s="28"/>
      <c r="Y5853" s="28" t="n">
        <f aca="false">X5853*$M5853</f>
        <v>0</v>
      </c>
      <c r="Z5853" s="28"/>
      <c r="AA5853" s="28" t="n">
        <f aca="false">Z5853*$M5853</f>
        <v>0</v>
      </c>
      <c r="AB5853" s="28" t="n">
        <f aca="false">15417/100</f>
        <v>154.17</v>
      </c>
      <c r="AC5853" s="28" t="n">
        <v>308</v>
      </c>
      <c r="AD5853" s="28"/>
      <c r="AE5853" s="28" t="n">
        <f aca="false">AD5853*$M5853</f>
        <v>0</v>
      </c>
      <c r="AF5853" s="28"/>
      <c r="AG5853" s="28" t="n">
        <f aca="false">AF5853*$M5853</f>
        <v>0</v>
      </c>
      <c r="AH5853" s="28"/>
      <c r="AI5853" s="28" t="n">
        <f aca="false">AH5853*$M5853</f>
        <v>0</v>
      </c>
      <c r="AJ5853" s="28"/>
      <c r="AK5853" s="28" t="n">
        <f aca="false">AJ5853*$M5853</f>
        <v>0</v>
      </c>
      <c r="AL5853" s="28"/>
      <c r="AM5853" s="28" t="n">
        <f aca="false">AL5853*$M5853</f>
        <v>0</v>
      </c>
      <c r="AN5853" s="28"/>
      <c r="AO5853" s="28" t="n">
        <f aca="false">AN5853*$M5853</f>
        <v>0</v>
      </c>
      <c r="AP5853" s="28"/>
      <c r="AQ5853" s="28" t="n">
        <f aca="false">AP5853*$M5853</f>
        <v>0</v>
      </c>
      <c r="AR5853" s="28"/>
      <c r="AS5853" s="28" t="n">
        <f aca="false">AR5853*$M5853</f>
        <v>0</v>
      </c>
      <c r="AT5853" s="28"/>
      <c r="AU5853" s="28" t="n">
        <f aca="false">AT5853*$M5853</f>
        <v>0</v>
      </c>
      <c r="AV5853" s="28"/>
      <c r="AW5853" s="28" t="n">
        <f aca="false">AV5853*$M5853</f>
        <v>0</v>
      </c>
      <c r="AX5853" s="28"/>
      <c r="AY5853" s="28" t="n">
        <f aca="false">AX5853*$M5853</f>
        <v>0</v>
      </c>
      <c r="AZ5853" s="30" t="n">
        <f aca="false">15417/100</f>
        <v>154.17</v>
      </c>
      <c r="BA5853" s="11" t="n">
        <v>308</v>
      </c>
      <c r="BB5853" s="31" t="n">
        <f aca="false">SUM(Q5853,S5853,U5853,W5853,Y5853,AA5853,AC5853,AE5853,AG5853,AI5853,AK5853,AM5853,AO5853,AQ5853,AS5853,AU5853,AW5853,AY5853)</f>
        <v>308</v>
      </c>
      <c r="BC5853" s="28" t="n">
        <f aca="false">BA5853-BB5853</f>
        <v>0</v>
      </c>
      <c r="BD5853" s="32" t="n">
        <f aca="false">SUM(P5853,R5853,T5853,V5853,X5853,Z5853,AB5853,AD5853,AF5853,AH5853,AJ5853,AL5853,AN5853,AP5853,AR5853,AT5853,AV5853,AX5853)</f>
        <v>154.17</v>
      </c>
      <c r="BE5853" s="33" t="n">
        <f aca="false">AZ5853-BD5853</f>
        <v>0</v>
      </c>
      <c r="BF5853" s="34" t="n">
        <f aca="false">BD5853*M5853</f>
        <v>308.34</v>
      </c>
      <c r="BG5853" s="35" t="n">
        <f aca="false">BA5853-BF5853</f>
        <v>-0.339999999999975</v>
      </c>
      <c r="BH5853" s="19" t="str">
        <f aca="false">IF(BG5853=0,"",IF(BG5853&lt;&gt;BA5853,"erreur de calcul",IF(BD5853&lt;&gt;0,"pas de prix",IF(M5853&lt;&gt; 0,"pas de quantité","pas de prix, ni de quantité"))))</f>
        <v>erreur de calcul</v>
      </c>
      <c r="BI5853" s="19"/>
    </row>
    <row r="5854" customFormat="false" ht="15" hidden="false" customHeight="false" outlineLevel="0" collapsed="false">
      <c r="A5854" s="0" t="n">
        <v>28</v>
      </c>
      <c r="B5854" s="8" t="s">
        <v>24</v>
      </c>
      <c r="C5854" s="9" t="s">
        <v>25</v>
      </c>
      <c r="D5854" s="9" t="s">
        <v>26</v>
      </c>
      <c r="E5854" s="10" t="n">
        <v>1789</v>
      </c>
      <c r="F5854" s="9" t="s">
        <v>27</v>
      </c>
      <c r="G5854" s="9" t="s">
        <v>27</v>
      </c>
      <c r="H5854" s="11" t="n">
        <v>24</v>
      </c>
      <c r="I5854" s="11" t="s">
        <v>318</v>
      </c>
      <c r="J5854" s="14" t="n">
        <v>30</v>
      </c>
      <c r="K5854" s="14"/>
      <c r="L5854" s="16"/>
      <c r="M5854" s="27" t="n">
        <f aca="false">J5854+(K5854/20)+(L5854/240)</f>
        <v>30</v>
      </c>
      <c r="N5854" s="17" t="s">
        <v>64</v>
      </c>
      <c r="O5854" s="11"/>
      <c r="P5854" s="28" t="n">
        <f aca="false">55459/100</f>
        <v>554.59</v>
      </c>
      <c r="Q5854" s="28" t="n">
        <v>16638</v>
      </c>
      <c r="R5854" s="28"/>
      <c r="S5854" s="28" t="n">
        <f aca="false">R5854*$M5854</f>
        <v>0</v>
      </c>
      <c r="T5854" s="28"/>
      <c r="U5854" s="28" t="n">
        <f aca="false">T5854*$M5854</f>
        <v>0</v>
      </c>
      <c r="V5854" s="28"/>
      <c r="W5854" s="28" t="n">
        <f aca="false">V5854*$M5854</f>
        <v>0</v>
      </c>
      <c r="X5854" s="28"/>
      <c r="Y5854" s="28" t="n">
        <f aca="false">X5854*$M5854</f>
        <v>0</v>
      </c>
      <c r="Z5854" s="28"/>
      <c r="AA5854" s="28" t="n">
        <f aca="false">Z5854*$M5854</f>
        <v>0</v>
      </c>
      <c r="AB5854" s="28"/>
      <c r="AC5854" s="28" t="n">
        <f aca="false">AB5854*$M5854</f>
        <v>0</v>
      </c>
      <c r="AD5854" s="28"/>
      <c r="AE5854" s="28" t="n">
        <f aca="false">AD5854*$M5854</f>
        <v>0</v>
      </c>
      <c r="AF5854" s="28"/>
      <c r="AG5854" s="28" t="n">
        <f aca="false">AF5854*$M5854</f>
        <v>0</v>
      </c>
      <c r="AH5854" s="28"/>
      <c r="AI5854" s="28" t="n">
        <f aca="false">AH5854*$M5854</f>
        <v>0</v>
      </c>
      <c r="AJ5854" s="28"/>
      <c r="AK5854" s="28" t="n">
        <f aca="false">AJ5854*$M5854</f>
        <v>0</v>
      </c>
      <c r="AL5854" s="28"/>
      <c r="AM5854" s="28" t="n">
        <f aca="false">AL5854*$M5854</f>
        <v>0</v>
      </c>
      <c r="AN5854" s="28"/>
      <c r="AO5854" s="28" t="n">
        <f aca="false">AN5854*$M5854</f>
        <v>0</v>
      </c>
      <c r="AP5854" s="28"/>
      <c r="AQ5854" s="28" t="n">
        <f aca="false">AP5854*$M5854</f>
        <v>0</v>
      </c>
      <c r="AR5854" s="28"/>
      <c r="AS5854" s="28" t="n">
        <f aca="false">AR5854*$M5854</f>
        <v>0</v>
      </c>
      <c r="AT5854" s="28"/>
      <c r="AU5854" s="28" t="n">
        <f aca="false">AT5854*$M5854</f>
        <v>0</v>
      </c>
      <c r="AV5854" s="28"/>
      <c r="AW5854" s="28" t="n">
        <f aca="false">AV5854*$M5854</f>
        <v>0</v>
      </c>
      <c r="AX5854" s="28"/>
      <c r="AY5854" s="28" t="n">
        <f aca="false">AX5854*$M5854</f>
        <v>0</v>
      </c>
      <c r="AZ5854" s="30" t="n">
        <f aca="false">55459/100</f>
        <v>554.59</v>
      </c>
      <c r="BA5854" s="11" t="n">
        <v>16638</v>
      </c>
      <c r="BB5854" s="31" t="n">
        <f aca="false">SUM(Q5854,S5854,U5854,W5854,Y5854,AA5854,AC5854,AE5854,AG5854,AI5854,AK5854,AM5854,AO5854,AQ5854,AS5854,AU5854,AW5854,AY5854)</f>
        <v>16638</v>
      </c>
      <c r="BC5854" s="28" t="n">
        <f aca="false">BA5854-BB5854</f>
        <v>0</v>
      </c>
      <c r="BD5854" s="32" t="n">
        <f aca="false">SUM(P5854,R5854,T5854,V5854,X5854,Z5854,AB5854,AD5854,AF5854,AH5854,AJ5854,AL5854,AN5854,AP5854,AR5854,AT5854,AV5854,AX5854)</f>
        <v>554.59</v>
      </c>
      <c r="BE5854" s="33" t="n">
        <f aca="false">AZ5854-BD5854</f>
        <v>0</v>
      </c>
      <c r="BF5854" s="34" t="n">
        <f aca="false">BD5854*M5854</f>
        <v>16637.7</v>
      </c>
      <c r="BG5854" s="35" t="n">
        <f aca="false">BA5854-BF5854</f>
        <v>0.299999999999272</v>
      </c>
      <c r="BH5854" s="19" t="str">
        <f aca="false">IF(BG5854=0,"",IF(BG5854&lt;&gt;BA5854,"erreur de calcul",IF(BD5854&lt;&gt;0,"pas de prix",IF(M5854&lt;&gt; 0,"pas de quantité","pas de prix, ni de quantité"))))</f>
        <v>erreur de calcul</v>
      </c>
      <c r="BI5854" s="19"/>
    </row>
    <row r="5855" customFormat="false" ht="15" hidden="false" customHeight="false" outlineLevel="0" collapsed="false">
      <c r="A5855" s="0" t="n">
        <v>29</v>
      </c>
      <c r="B5855" s="8" t="s">
        <v>24</v>
      </c>
      <c r="C5855" s="9" t="s">
        <v>25</v>
      </c>
      <c r="D5855" s="9" t="s">
        <v>26</v>
      </c>
      <c r="E5855" s="10" t="n">
        <v>1789</v>
      </c>
      <c r="F5855" s="9" t="s">
        <v>27</v>
      </c>
      <c r="G5855" s="9" t="s">
        <v>27</v>
      </c>
      <c r="H5855" s="11" t="n">
        <v>24</v>
      </c>
      <c r="I5855" s="11" t="s">
        <v>319</v>
      </c>
      <c r="J5855" s="14" t="n">
        <v>10</v>
      </c>
      <c r="K5855" s="14"/>
      <c r="L5855" s="16"/>
      <c r="M5855" s="27" t="n">
        <f aca="false">J5855+(K5855/20)+(L5855/240)</f>
        <v>10</v>
      </c>
      <c r="N5855" s="17" t="s">
        <v>64</v>
      </c>
      <c r="O5855" s="11"/>
      <c r="P5855" s="28" t="n">
        <f aca="false">48819/100</f>
        <v>488.19</v>
      </c>
      <c r="Q5855" s="28" t="n">
        <v>4882</v>
      </c>
      <c r="R5855" s="28"/>
      <c r="S5855" s="28" t="n">
        <f aca="false">R5855*$M5855</f>
        <v>0</v>
      </c>
      <c r="T5855" s="28" t="n">
        <f aca="false">2500/100</f>
        <v>25</v>
      </c>
      <c r="U5855" s="28" t="n">
        <v>250</v>
      </c>
      <c r="V5855" s="28"/>
      <c r="W5855" s="28" t="n">
        <f aca="false">V5855*$M5855</f>
        <v>0</v>
      </c>
      <c r="X5855" s="28" t="n">
        <f aca="false">6667/100</f>
        <v>66.67</v>
      </c>
      <c r="Y5855" s="28" t="n">
        <v>667</v>
      </c>
      <c r="Z5855" s="28"/>
      <c r="AA5855" s="28" t="n">
        <f aca="false">Z5855*$M5855</f>
        <v>0</v>
      </c>
      <c r="AB5855" s="28"/>
      <c r="AC5855" s="28" t="n">
        <f aca="false">AB5855*$M5855</f>
        <v>0</v>
      </c>
      <c r="AD5855" s="28"/>
      <c r="AE5855" s="28" t="n">
        <f aca="false">AD5855*$M5855</f>
        <v>0</v>
      </c>
      <c r="AF5855" s="28"/>
      <c r="AG5855" s="28" t="n">
        <f aca="false">AF5855*$M5855</f>
        <v>0</v>
      </c>
      <c r="AH5855" s="28"/>
      <c r="AI5855" s="28" t="n">
        <f aca="false">AH5855*$M5855</f>
        <v>0</v>
      </c>
      <c r="AJ5855" s="28"/>
      <c r="AK5855" s="28" t="n">
        <f aca="false">AJ5855*$M5855</f>
        <v>0</v>
      </c>
      <c r="AL5855" s="28"/>
      <c r="AM5855" s="28" t="n">
        <f aca="false">AL5855*$M5855</f>
        <v>0</v>
      </c>
      <c r="AN5855" s="28"/>
      <c r="AO5855" s="28" t="n">
        <f aca="false">AN5855*$M5855</f>
        <v>0</v>
      </c>
      <c r="AP5855" s="28"/>
      <c r="AQ5855" s="28" t="n">
        <f aca="false">AP5855*$M5855</f>
        <v>0</v>
      </c>
      <c r="AR5855" s="28"/>
      <c r="AS5855" s="28" t="n">
        <f aca="false">AR5855*$M5855</f>
        <v>0</v>
      </c>
      <c r="AT5855" s="28"/>
      <c r="AU5855" s="28" t="n">
        <f aca="false">AT5855*$M5855</f>
        <v>0</v>
      </c>
      <c r="AV5855" s="28"/>
      <c r="AW5855" s="28" t="n">
        <f aca="false">AV5855*$M5855</f>
        <v>0</v>
      </c>
      <c r="AX5855" s="28"/>
      <c r="AY5855" s="28" t="n">
        <f aca="false">AX5855*$M5855</f>
        <v>0</v>
      </c>
      <c r="AZ5855" s="30" t="n">
        <f aca="false">57986/100</f>
        <v>579.86</v>
      </c>
      <c r="BA5855" s="11" t="n">
        <v>5799</v>
      </c>
      <c r="BB5855" s="31" t="n">
        <f aca="false">SUM(Q5855,S5855,U5855,W5855,Y5855,AA5855,AC5855,AE5855,AG5855,AI5855,AK5855,AM5855,AO5855,AQ5855,AS5855,AU5855,AW5855,AY5855)</f>
        <v>5799</v>
      </c>
      <c r="BC5855" s="28" t="n">
        <f aca="false">BA5855-BB5855</f>
        <v>0</v>
      </c>
      <c r="BD5855" s="32" t="n">
        <f aca="false">SUM(P5855,R5855,T5855,V5855,X5855,Z5855,AB5855,AD5855,AF5855,AH5855,AJ5855,AL5855,AN5855,AP5855,AR5855,AT5855,AV5855,AX5855)</f>
        <v>579.86</v>
      </c>
      <c r="BE5855" s="33" t="n">
        <f aca="false">AZ5855-BD5855</f>
        <v>0</v>
      </c>
      <c r="BF5855" s="34" t="n">
        <f aca="false">BD5855*M5855</f>
        <v>5798.6</v>
      </c>
      <c r="BG5855" s="35" t="n">
        <f aca="false">BA5855-BF5855</f>
        <v>0.399999999999636</v>
      </c>
      <c r="BH5855" s="19" t="str">
        <f aca="false">IF(BG5855=0,"",IF(BG5855&lt;&gt;BA5855,"erreur de calcul",IF(BD5855&lt;&gt;0,"pas de prix",IF(M5855&lt;&gt; 0,"pas de quantité","pas de prix, ni de quantité"))))</f>
        <v>erreur de calcul</v>
      </c>
      <c r="BI5855" s="19"/>
    </row>
    <row r="5856" customFormat="false" ht="15" hidden="false" customHeight="false" outlineLevel="0" collapsed="false">
      <c r="A5856" s="0" t="n">
        <v>30</v>
      </c>
      <c r="B5856" s="8" t="s">
        <v>24</v>
      </c>
      <c r="C5856" s="9" t="s">
        <v>25</v>
      </c>
      <c r="D5856" s="9" t="s">
        <v>26</v>
      </c>
      <c r="E5856" s="10" t="n">
        <v>1789</v>
      </c>
      <c r="F5856" s="9" t="s">
        <v>27</v>
      </c>
      <c r="G5856" s="9" t="s">
        <v>27</v>
      </c>
      <c r="H5856" s="11" t="n">
        <v>24</v>
      </c>
      <c r="I5856" s="11" t="s">
        <v>320</v>
      </c>
      <c r="J5856" s="14" t="n">
        <v>90</v>
      </c>
      <c r="K5856" s="14"/>
      <c r="L5856" s="16"/>
      <c r="M5856" s="27" t="n">
        <f aca="false">J5856+(K5856/20)+(L5856/240)</f>
        <v>90</v>
      </c>
      <c r="N5856" s="17" t="s">
        <v>64</v>
      </c>
      <c r="O5856" s="11"/>
      <c r="P5856" s="28"/>
      <c r="Q5856" s="28" t="n">
        <f aca="false">P5856*$M5856</f>
        <v>0</v>
      </c>
      <c r="R5856" s="28"/>
      <c r="S5856" s="28" t="n">
        <f aca="false">R5856*$M5856</f>
        <v>0</v>
      </c>
      <c r="T5856" s="28"/>
      <c r="U5856" s="28" t="n">
        <f aca="false">T5856*$M5856</f>
        <v>0</v>
      </c>
      <c r="V5856" s="28"/>
      <c r="W5856" s="28" t="n">
        <f aca="false">V5856*$M5856</f>
        <v>0</v>
      </c>
      <c r="X5856" s="28"/>
      <c r="Y5856" s="28" t="n">
        <f aca="false">X5856*$M5856</f>
        <v>0</v>
      </c>
      <c r="Z5856" s="28"/>
      <c r="AA5856" s="28" t="n">
        <f aca="false">Z5856*$M5856</f>
        <v>0</v>
      </c>
      <c r="AB5856" s="28"/>
      <c r="AC5856" s="28" t="n">
        <f aca="false">AB5856*$M5856</f>
        <v>0</v>
      </c>
      <c r="AD5856" s="28"/>
      <c r="AE5856" s="28" t="n">
        <f aca="false">AD5856*$M5856</f>
        <v>0</v>
      </c>
      <c r="AF5856" s="28"/>
      <c r="AG5856" s="28" t="n">
        <f aca="false">AF5856*$M5856</f>
        <v>0</v>
      </c>
      <c r="AH5856" s="28"/>
      <c r="AI5856" s="28" t="n">
        <f aca="false">AH5856*$M5856</f>
        <v>0</v>
      </c>
      <c r="AJ5856" s="28"/>
      <c r="AK5856" s="28" t="n">
        <f aca="false">AJ5856*$M5856</f>
        <v>0</v>
      </c>
      <c r="AL5856" s="28" t="n">
        <f aca="false">2950/100</f>
        <v>29.5</v>
      </c>
      <c r="AM5856" s="28" t="n">
        <v>2655</v>
      </c>
      <c r="AN5856" s="28"/>
      <c r="AO5856" s="28" t="n">
        <f aca="false">AN5856*$M5856</f>
        <v>0</v>
      </c>
      <c r="AP5856" s="28"/>
      <c r="AQ5856" s="28" t="n">
        <f aca="false">AP5856*$M5856</f>
        <v>0</v>
      </c>
      <c r="AR5856" s="28"/>
      <c r="AS5856" s="28" t="n">
        <f aca="false">AR5856*$M5856</f>
        <v>0</v>
      </c>
      <c r="AT5856" s="28"/>
      <c r="AU5856" s="28" t="n">
        <f aca="false">AT5856*$M5856</f>
        <v>0</v>
      </c>
      <c r="AV5856" s="28"/>
      <c r="AW5856" s="28" t="n">
        <f aca="false">AV5856*$M5856</f>
        <v>0</v>
      </c>
      <c r="AX5856" s="28"/>
      <c r="AY5856" s="28" t="n">
        <f aca="false">AX5856*$M5856</f>
        <v>0</v>
      </c>
      <c r="AZ5856" s="30" t="n">
        <f aca="false">2950/100</f>
        <v>29.5</v>
      </c>
      <c r="BA5856" s="11" t="n">
        <v>2655</v>
      </c>
      <c r="BB5856" s="31" t="n">
        <f aca="false">SUM(Q5856,S5856,U5856,W5856,Y5856,AA5856,AC5856,AE5856,AG5856,AI5856,AK5856,AM5856,AO5856,AQ5856,AS5856,AU5856,AW5856,AY5856)</f>
        <v>2655</v>
      </c>
      <c r="BC5856" s="28" t="n">
        <f aca="false">BA5856-BB5856</f>
        <v>0</v>
      </c>
      <c r="BD5856" s="32" t="n">
        <f aca="false">SUM(P5856,R5856,T5856,V5856,X5856,Z5856,AB5856,AD5856,AF5856,AH5856,AJ5856,AL5856,AN5856,AP5856,AR5856,AT5856,AV5856,AX5856)</f>
        <v>29.5</v>
      </c>
      <c r="BE5856" s="33" t="n">
        <f aca="false">AZ5856-BD5856</f>
        <v>0</v>
      </c>
      <c r="BF5856" s="34" t="n">
        <f aca="false">BD5856*M5856</f>
        <v>2655</v>
      </c>
      <c r="BG5856" s="35" t="n">
        <f aca="false">BA5856-BF5856</f>
        <v>0</v>
      </c>
      <c r="BH5856" s="19" t="str">
        <f aca="false">IF(BG5856=0,"",IF(BG5856&lt;&gt;BA5856,"erreur de calcul",IF(BD5856&lt;&gt;0,"pas de prix",IF(M5856&lt;&gt; 0,"pas de quantité","pas de prix, ni de quantité"))))</f>
        <v/>
      </c>
      <c r="BI5856" s="19"/>
    </row>
    <row r="5857" customFormat="false" ht="15" hidden="false" customHeight="false" outlineLevel="0" collapsed="false">
      <c r="A5857" s="0" t="n">
        <v>31</v>
      </c>
      <c r="B5857" s="8" t="s">
        <v>24</v>
      </c>
      <c r="C5857" s="9" t="s">
        <v>25</v>
      </c>
      <c r="D5857" s="9" t="s">
        <v>26</v>
      </c>
      <c r="E5857" s="10" t="n">
        <v>1789</v>
      </c>
      <c r="F5857" s="9" t="s">
        <v>27</v>
      </c>
      <c r="G5857" s="9" t="s">
        <v>27</v>
      </c>
      <c r="H5857" s="11" t="n">
        <v>24</v>
      </c>
      <c r="I5857" s="11" t="s">
        <v>321</v>
      </c>
      <c r="J5857" s="14" t="n">
        <v>50</v>
      </c>
      <c r="K5857" s="14"/>
      <c r="L5857" s="16"/>
      <c r="M5857" s="27" t="n">
        <f aca="false">J5857+(K5857/20)+(L5857/240)</f>
        <v>50</v>
      </c>
      <c r="N5857" s="17" t="s">
        <v>64</v>
      </c>
      <c r="O5857" s="11" t="s">
        <v>277</v>
      </c>
      <c r="P5857" s="28"/>
      <c r="Q5857" s="28" t="n">
        <f aca="false">P5857*$M5857</f>
        <v>0</v>
      </c>
      <c r="R5857" s="28"/>
      <c r="S5857" s="28" t="n">
        <f aca="false">R5857*$M5857</f>
        <v>0</v>
      </c>
      <c r="T5857" s="28" t="n">
        <f aca="false">2*288*0.02+153*0.02</f>
        <v>14.58</v>
      </c>
      <c r="U5857" s="28" t="n">
        <v>729</v>
      </c>
      <c r="V5857" s="28" t="n">
        <f aca="false">2*288*0.02+118*0.02</f>
        <v>13.88</v>
      </c>
      <c r="W5857" s="28" t="n">
        <v>694</v>
      </c>
      <c r="X5857" s="28" t="n">
        <f aca="false">25*288*0.02+103*0.02</f>
        <v>146.06</v>
      </c>
      <c r="Y5857" s="28" t="n">
        <v>7303</v>
      </c>
      <c r="Z5857" s="28"/>
      <c r="AA5857" s="28" t="n">
        <f aca="false">Z5857*$M5857</f>
        <v>0</v>
      </c>
      <c r="AB5857" s="28" t="n">
        <f aca="false">1*288*0.02+74*0.02</f>
        <v>7.24</v>
      </c>
      <c r="AC5857" s="28" t="n">
        <v>362</v>
      </c>
      <c r="AD5857" s="28" t="n">
        <f aca="false">276*0.02</f>
        <v>5.52</v>
      </c>
      <c r="AE5857" s="28" t="n">
        <v>276</v>
      </c>
      <c r="AF5857" s="28"/>
      <c r="AG5857" s="28" t="n">
        <f aca="false">AF5857*$M5857</f>
        <v>0</v>
      </c>
      <c r="AH5857" s="28" t="n">
        <f aca="false">1*288*0.02+75*0.02</f>
        <v>7.26</v>
      </c>
      <c r="AI5857" s="28" t="n">
        <v>363</v>
      </c>
      <c r="AJ5857" s="28" t="n">
        <f aca="false">2*288*0.02+176*0.02</f>
        <v>15.04</v>
      </c>
      <c r="AK5857" s="28" t="n">
        <v>752</v>
      </c>
      <c r="AL5857" s="28"/>
      <c r="AM5857" s="28" t="n">
        <f aca="false">AL5857*$M5857</f>
        <v>0</v>
      </c>
      <c r="AN5857" s="28"/>
      <c r="AO5857" s="28" t="n">
        <f aca="false">AN5857*$M5857</f>
        <v>0</v>
      </c>
      <c r="AP5857" s="28"/>
      <c r="AQ5857" s="28" t="n">
        <f aca="false">AP5857*$M5857</f>
        <v>0</v>
      </c>
      <c r="AR5857" s="28"/>
      <c r="AS5857" s="28" t="n">
        <f aca="false">AR5857*$M5857</f>
        <v>0</v>
      </c>
      <c r="AT5857" s="28"/>
      <c r="AU5857" s="28" t="n">
        <f aca="false">AT5857*$M5857</f>
        <v>0</v>
      </c>
      <c r="AV5857" s="28"/>
      <c r="AW5857" s="28" t="n">
        <f aca="false">AV5857*$M5857</f>
        <v>0</v>
      </c>
      <c r="AX5857" s="28"/>
      <c r="AY5857" s="28" t="n">
        <f aca="false">AX5857*$M5857</f>
        <v>0</v>
      </c>
      <c r="AZ5857" s="30" t="n">
        <f aca="false">36*288*0.02+111*0.02</f>
        <v>209.58</v>
      </c>
      <c r="BA5857" s="11" t="n">
        <v>10479</v>
      </c>
      <c r="BB5857" s="31" t="n">
        <f aca="false">SUM(Q5857,S5857,U5857,W5857,Y5857,AA5857,AC5857,AE5857,AG5857,AI5857,AK5857,AM5857,AO5857,AQ5857,AS5857,AU5857,AW5857,AY5857)</f>
        <v>10479</v>
      </c>
      <c r="BC5857" s="28" t="n">
        <f aca="false">BA5857-BB5857</f>
        <v>0</v>
      </c>
      <c r="BD5857" s="32" t="n">
        <f aca="false">SUM(P5857,R5857,T5857,V5857,X5857,Z5857,AB5857,AD5857,AF5857,AH5857,AJ5857,AL5857,AN5857,AP5857,AR5857,AT5857,AV5857,AX5857)</f>
        <v>209.58</v>
      </c>
      <c r="BE5857" s="33" t="n">
        <f aca="false">AZ5857-BD5857</f>
        <v>0</v>
      </c>
      <c r="BF5857" s="34" t="n">
        <f aca="false">BD5857*M5857</f>
        <v>10479</v>
      </c>
      <c r="BG5857" s="35" t="n">
        <f aca="false">BA5857-BF5857</f>
        <v>0</v>
      </c>
      <c r="BH5857" s="19" t="str">
        <f aca="false">IF(BG5857=0,"",IF(BG5857&lt;&gt;BA5857,"erreur de calcul",IF(BD5857&lt;&gt;0,"pas de prix",IF(M5857&lt;&gt; 0,"pas de quantité","pas de prix, ni de quantité"))))</f>
        <v/>
      </c>
      <c r="BI5857" s="19"/>
    </row>
    <row r="5858" customFormat="false" ht="15" hidden="false" customHeight="false" outlineLevel="0" collapsed="false">
      <c r="A5858" s="0" t="n">
        <v>32</v>
      </c>
      <c r="B5858" s="8" t="s">
        <v>24</v>
      </c>
      <c r="C5858" s="9" t="s">
        <v>25</v>
      </c>
      <c r="D5858" s="9" t="s">
        <v>26</v>
      </c>
      <c r="E5858" s="10" t="n">
        <v>1789</v>
      </c>
      <c r="F5858" s="9" t="s">
        <v>27</v>
      </c>
      <c r="G5858" s="9" t="s">
        <v>27</v>
      </c>
      <c r="H5858" s="11" t="n">
        <v>24</v>
      </c>
      <c r="I5858" s="11" t="s">
        <v>322</v>
      </c>
      <c r="J5858" s="14" t="n">
        <v>70</v>
      </c>
      <c r="K5858" s="14"/>
      <c r="L5858" s="16"/>
      <c r="M5858" s="27" t="n">
        <f aca="false">J5858+(K5858/20)+(L5858/240)</f>
        <v>70</v>
      </c>
      <c r="N5858" s="17" t="s">
        <v>64</v>
      </c>
      <c r="O5858" s="11"/>
      <c r="P5858" s="28"/>
      <c r="Q5858" s="28" t="n">
        <f aca="false">P5858*$M5858</f>
        <v>0</v>
      </c>
      <c r="R5858" s="28"/>
      <c r="S5858" s="28" t="n">
        <f aca="false">R5858*$M5858</f>
        <v>0</v>
      </c>
      <c r="T5858" s="28"/>
      <c r="U5858" s="28" t="n">
        <f aca="false">T5858*$M5858</f>
        <v>0</v>
      </c>
      <c r="V5858" s="28"/>
      <c r="W5858" s="28" t="n">
        <f aca="false">V5858*$M5858</f>
        <v>0</v>
      </c>
      <c r="X5858" s="28" t="n">
        <f aca="false">2*288*0.02+217*0.02</f>
        <v>15.86</v>
      </c>
      <c r="Y5858" s="28" t="n">
        <v>1111</v>
      </c>
      <c r="Z5858" s="28"/>
      <c r="AA5858" s="28" t="n">
        <f aca="false">Z5858*$M5858</f>
        <v>0</v>
      </c>
      <c r="AB5858" s="28"/>
      <c r="AC5858" s="28" t="n">
        <f aca="false">AB5858*$M5858</f>
        <v>0</v>
      </c>
      <c r="AD5858" s="28"/>
      <c r="AE5858" s="28" t="n">
        <f aca="false">AD5858*$M5858</f>
        <v>0</v>
      </c>
      <c r="AF5858" s="28"/>
      <c r="AG5858" s="28" t="n">
        <f aca="false">AF5858*$M5858</f>
        <v>0</v>
      </c>
      <c r="AH5858" s="28"/>
      <c r="AI5858" s="28" t="n">
        <f aca="false">AH5858*$M5858</f>
        <v>0</v>
      </c>
      <c r="AJ5858" s="28"/>
      <c r="AK5858" s="28" t="n">
        <f aca="false">AJ5858*$M5858</f>
        <v>0</v>
      </c>
      <c r="AL5858" s="28"/>
      <c r="AM5858" s="28" t="n">
        <f aca="false">AL5858*$M5858</f>
        <v>0</v>
      </c>
      <c r="AN5858" s="28"/>
      <c r="AO5858" s="28" t="n">
        <f aca="false">AN5858*$M5858</f>
        <v>0</v>
      </c>
      <c r="AP5858" s="28"/>
      <c r="AQ5858" s="28" t="n">
        <f aca="false">AP5858*$M5858</f>
        <v>0</v>
      </c>
      <c r="AR5858" s="28"/>
      <c r="AS5858" s="28" t="n">
        <f aca="false">AR5858*$M5858</f>
        <v>0</v>
      </c>
      <c r="AT5858" s="28"/>
      <c r="AU5858" s="28" t="n">
        <f aca="false">AT5858*$M5858</f>
        <v>0</v>
      </c>
      <c r="AV5858" s="28"/>
      <c r="AW5858" s="28" t="n">
        <f aca="false">AV5858*$M5858</f>
        <v>0</v>
      </c>
      <c r="AX5858" s="28"/>
      <c r="AY5858" s="28" t="n">
        <f aca="false">AX5858*$M5858</f>
        <v>0</v>
      </c>
      <c r="AZ5858" s="30" t="n">
        <f aca="false">2*288*0.02+217*0.02</f>
        <v>15.86</v>
      </c>
      <c r="BA5858" s="11" t="n">
        <v>1111</v>
      </c>
      <c r="BB5858" s="31" t="n">
        <f aca="false">SUM(Q5858,S5858,U5858,W5858,Y5858,AA5858,AC5858,AE5858,AG5858,AI5858,AK5858,AM5858,AO5858,AQ5858,AS5858,AU5858,AW5858,AY5858)</f>
        <v>1111</v>
      </c>
      <c r="BC5858" s="28" t="n">
        <f aca="false">BA5858-BB5858</f>
        <v>0</v>
      </c>
      <c r="BD5858" s="32" t="n">
        <f aca="false">SUM(P5858,R5858,T5858,V5858,X5858,Z5858,AB5858,AD5858,AF5858,AH5858,AJ5858,AL5858,AN5858,AP5858,AR5858,AT5858,AV5858,AX5858)</f>
        <v>15.86</v>
      </c>
      <c r="BE5858" s="33" t="n">
        <f aca="false">AZ5858-BD5858</f>
        <v>0</v>
      </c>
      <c r="BF5858" s="34" t="n">
        <f aca="false">BD5858*M5858</f>
        <v>1110.2</v>
      </c>
      <c r="BG5858" s="35" t="n">
        <f aca="false">BA5858-BF5858</f>
        <v>0.799999999999955</v>
      </c>
      <c r="BH5858" s="19" t="str">
        <f aca="false">IF(BG5858=0,"",IF(BG5858&lt;&gt;BA5858,"erreur de calcul",IF(BD5858&lt;&gt;0,"pas de prix",IF(M5858&lt;&gt; 0,"pas de quantité","pas de prix, ni de quantité"))))</f>
        <v>erreur de calcul</v>
      </c>
      <c r="BI5858" s="19"/>
    </row>
    <row r="5859" customFormat="false" ht="15" hidden="false" customHeight="false" outlineLevel="0" collapsed="false">
      <c r="A5859" s="0" t="n">
        <v>33</v>
      </c>
      <c r="B5859" s="8" t="s">
        <v>24</v>
      </c>
      <c r="C5859" s="9" t="s">
        <v>25</v>
      </c>
      <c r="D5859" s="9" t="s">
        <v>26</v>
      </c>
      <c r="E5859" s="10" t="n">
        <v>1789</v>
      </c>
      <c r="F5859" s="9" t="s">
        <v>27</v>
      </c>
      <c r="G5859" s="9" t="s">
        <v>27</v>
      </c>
      <c r="H5859" s="11" t="n">
        <v>24</v>
      </c>
      <c r="I5859" s="11" t="s">
        <v>323</v>
      </c>
      <c r="J5859" s="14"/>
      <c r="K5859" s="14" t="n">
        <v>40</v>
      </c>
      <c r="L5859" s="16"/>
      <c r="M5859" s="27" t="n">
        <f aca="false">J5859+(K5859/20)+(L5859/240)</f>
        <v>2</v>
      </c>
      <c r="N5859" s="17" t="s">
        <v>66</v>
      </c>
      <c r="O5859" s="11"/>
      <c r="P5859" s="28" t="n">
        <v>780</v>
      </c>
      <c r="Q5859" s="28" t="n">
        <v>1560</v>
      </c>
      <c r="R5859" s="28"/>
      <c r="S5859" s="28" t="n">
        <f aca="false">R5859*$M5859</f>
        <v>0</v>
      </c>
      <c r="T5859" s="28" t="n">
        <v>1552</v>
      </c>
      <c r="U5859" s="28" t="n">
        <v>3104</v>
      </c>
      <c r="V5859" s="28" t="n">
        <v>1051</v>
      </c>
      <c r="W5859" s="28" t="n">
        <v>2102</v>
      </c>
      <c r="X5859" s="28" t="n">
        <v>1486</v>
      </c>
      <c r="Y5859" s="28" t="n">
        <v>2972</v>
      </c>
      <c r="Z5859" s="28" t="n">
        <v>847</v>
      </c>
      <c r="AA5859" s="28" t="n">
        <v>1694</v>
      </c>
      <c r="AB5859" s="28" t="n">
        <v>114</v>
      </c>
      <c r="AC5859" s="28" t="n">
        <v>228</v>
      </c>
      <c r="AD5859" s="28" t="n">
        <v>407</v>
      </c>
      <c r="AE5859" s="28" t="n">
        <v>814</v>
      </c>
      <c r="AF5859" s="28"/>
      <c r="AG5859" s="28" t="n">
        <f aca="false">AF5859*$M5859</f>
        <v>0</v>
      </c>
      <c r="AH5859" s="28"/>
      <c r="AI5859" s="28" t="n">
        <f aca="false">AH5859*$M5859</f>
        <v>0</v>
      </c>
      <c r="AJ5859" s="28" t="n">
        <v>1297</v>
      </c>
      <c r="AK5859" s="28" t="n">
        <v>2594</v>
      </c>
      <c r="AL5859" s="28"/>
      <c r="AM5859" s="28" t="n">
        <f aca="false">AL5859*$M5859</f>
        <v>0</v>
      </c>
      <c r="AN5859" s="28"/>
      <c r="AO5859" s="28" t="n">
        <f aca="false">AN5859*$M5859</f>
        <v>0</v>
      </c>
      <c r="AP5859" s="28"/>
      <c r="AQ5859" s="28" t="n">
        <f aca="false">AP5859*$M5859</f>
        <v>0</v>
      </c>
      <c r="AR5859" s="28"/>
      <c r="AS5859" s="28" t="n">
        <f aca="false">AR5859*$M5859</f>
        <v>0</v>
      </c>
      <c r="AT5859" s="28"/>
      <c r="AU5859" s="28" t="n">
        <f aca="false">AT5859*$M5859</f>
        <v>0</v>
      </c>
      <c r="AV5859" s="28"/>
      <c r="AW5859" s="28" t="n">
        <f aca="false">AV5859*$M5859</f>
        <v>0</v>
      </c>
      <c r="AX5859" s="28"/>
      <c r="AY5859" s="28" t="n">
        <f aca="false">AX5859*$M5859</f>
        <v>0</v>
      </c>
      <c r="AZ5859" s="30" t="n">
        <v>7534</v>
      </c>
      <c r="BA5859" s="11" t="n">
        <v>15068</v>
      </c>
      <c r="BB5859" s="31" t="n">
        <f aca="false">SUM(Q5859,S5859,U5859,W5859,Y5859,AA5859,AC5859,AE5859,AG5859,AI5859,AK5859,AM5859,AO5859,AQ5859,AS5859,AU5859,AW5859,AY5859)</f>
        <v>15068</v>
      </c>
      <c r="BC5859" s="28" t="n">
        <f aca="false">BA5859-BB5859</f>
        <v>0</v>
      </c>
      <c r="BD5859" s="32" t="n">
        <f aca="false">SUM(P5859,R5859,T5859,V5859,X5859,Z5859,AB5859,AD5859,AF5859,AH5859,AJ5859,AL5859,AN5859,AP5859,AR5859,AT5859,AV5859,AX5859)</f>
        <v>7534</v>
      </c>
      <c r="BE5859" s="33" t="n">
        <f aca="false">AZ5859-BD5859</f>
        <v>0</v>
      </c>
      <c r="BF5859" s="34" t="n">
        <f aca="false">BD5859*M5859</f>
        <v>15068</v>
      </c>
      <c r="BG5859" s="35" t="n">
        <f aca="false">BA5859-BF5859</f>
        <v>0</v>
      </c>
      <c r="BH5859" s="19" t="str">
        <f aca="false">IF(BG5859=0,"",IF(BG5859&lt;&gt;BA5859,"erreur de calcul",IF(BD5859&lt;&gt;0,"pas de prix",IF(M5859&lt;&gt; 0,"pas de quantité","pas de prix, ni de quantité"))))</f>
        <v/>
      </c>
      <c r="BI5859" s="19"/>
    </row>
    <row r="5860" customFormat="false" ht="15" hidden="false" customHeight="false" outlineLevel="0" collapsed="false">
      <c r="A5860" s="0" t="n">
        <v>34</v>
      </c>
      <c r="B5860" s="8" t="s">
        <v>24</v>
      </c>
      <c r="C5860" s="9" t="s">
        <v>25</v>
      </c>
      <c r="D5860" s="9" t="s">
        <v>26</v>
      </c>
      <c r="E5860" s="10" t="n">
        <v>1789</v>
      </c>
      <c r="F5860" s="9" t="s">
        <v>27</v>
      </c>
      <c r="G5860" s="9" t="s">
        <v>27</v>
      </c>
      <c r="H5860" s="11" t="n">
        <v>24</v>
      </c>
      <c r="I5860" s="11" t="s">
        <v>324</v>
      </c>
      <c r="J5860" s="14" t="n">
        <v>15</v>
      </c>
      <c r="K5860" s="14"/>
      <c r="L5860" s="16"/>
      <c r="M5860" s="27" t="n">
        <f aca="false">J5860+(K5860/20)+(L5860/240)</f>
        <v>15</v>
      </c>
      <c r="N5860" s="17" t="s">
        <v>64</v>
      </c>
      <c r="O5860" s="11"/>
      <c r="P5860" s="28" t="n">
        <f aca="false">6834/100</f>
        <v>68.34</v>
      </c>
      <c r="Q5860" s="28" t="n">
        <v>1025</v>
      </c>
      <c r="R5860" s="28"/>
      <c r="S5860" s="28" t="n">
        <f aca="false">R5860*$M5860</f>
        <v>0</v>
      </c>
      <c r="T5860" s="28" t="n">
        <f aca="false">834/100</f>
        <v>8.34</v>
      </c>
      <c r="U5860" s="28" t="n">
        <v>125</v>
      </c>
      <c r="V5860" s="28" t="n">
        <f aca="false">197372/100</f>
        <v>1973.72</v>
      </c>
      <c r="W5860" s="28" t="n">
        <v>29606</v>
      </c>
      <c r="X5860" s="28" t="n">
        <f aca="false">2334702/100</f>
        <v>23347.02</v>
      </c>
      <c r="Y5860" s="28" t="n">
        <v>350205</v>
      </c>
      <c r="Z5860" s="28"/>
      <c r="AA5860" s="28" t="n">
        <f aca="false">Z5860*$M5860</f>
        <v>0</v>
      </c>
      <c r="AB5860" s="28" t="n">
        <f aca="false">1417/100</f>
        <v>14.17</v>
      </c>
      <c r="AC5860" s="28" t="n">
        <v>212</v>
      </c>
      <c r="AD5860" s="28"/>
      <c r="AE5860" s="28" t="n">
        <f aca="false">AD5860*$M5860</f>
        <v>0</v>
      </c>
      <c r="AF5860" s="28"/>
      <c r="AG5860" s="28" t="n">
        <f aca="false">AF5860*$M5860</f>
        <v>0</v>
      </c>
      <c r="AH5860" s="28"/>
      <c r="AI5860" s="28" t="n">
        <f aca="false">AH5860*$M5860</f>
        <v>0</v>
      </c>
      <c r="AJ5860" s="28"/>
      <c r="AK5860" s="28" t="n">
        <f aca="false">AJ5860*$M5860</f>
        <v>0</v>
      </c>
      <c r="AL5860" s="28"/>
      <c r="AM5860" s="28" t="n">
        <f aca="false">AL5860*$M5860</f>
        <v>0</v>
      </c>
      <c r="AN5860" s="28"/>
      <c r="AO5860" s="28" t="n">
        <f aca="false">AN5860*$M5860</f>
        <v>0</v>
      </c>
      <c r="AP5860" s="28"/>
      <c r="AQ5860" s="28" t="n">
        <f aca="false">AP5860*$M5860</f>
        <v>0</v>
      </c>
      <c r="AR5860" s="28"/>
      <c r="AS5860" s="28" t="n">
        <f aca="false">AR5860*$M5860</f>
        <v>0</v>
      </c>
      <c r="AT5860" s="28"/>
      <c r="AU5860" s="28" t="n">
        <f aca="false">AT5860*$M5860</f>
        <v>0</v>
      </c>
      <c r="AV5860" s="28"/>
      <c r="AW5860" s="28" t="n">
        <f aca="false">AV5860*$M5860</f>
        <v>0</v>
      </c>
      <c r="AX5860" s="28"/>
      <c r="AY5860" s="28" t="n">
        <f aca="false">AX5860*$M5860</f>
        <v>0</v>
      </c>
      <c r="AZ5860" s="30" t="n">
        <f aca="false">2541159/100</f>
        <v>25411.59</v>
      </c>
      <c r="BA5860" s="11" t="n">
        <v>381173</v>
      </c>
      <c r="BB5860" s="31" t="n">
        <f aca="false">SUM(Q5860,S5860,U5860,W5860,Y5860,AA5860,AC5860,AE5860,AG5860,AI5860,AK5860,AM5860,AO5860,AQ5860,AS5860,AU5860,AW5860,AY5860)</f>
        <v>381173</v>
      </c>
      <c r="BC5860" s="28" t="n">
        <f aca="false">BA5860-BB5860</f>
        <v>0</v>
      </c>
      <c r="BD5860" s="32" t="n">
        <f aca="false">SUM(P5860,R5860,T5860,V5860,X5860,Z5860,AB5860,AD5860,AF5860,AH5860,AJ5860,AL5860,AN5860,AP5860,AR5860,AT5860,AV5860,AX5860)</f>
        <v>25411.59</v>
      </c>
      <c r="BE5860" s="33" t="n">
        <f aca="false">AZ5860-BD5860</f>
        <v>0</v>
      </c>
      <c r="BF5860" s="34" t="n">
        <f aca="false">BD5860*M5860</f>
        <v>381173.85</v>
      </c>
      <c r="BG5860" s="35" t="n">
        <f aca="false">BA5860-BF5860</f>
        <v>-0.849999999976717</v>
      </c>
      <c r="BH5860" s="19" t="str">
        <f aca="false">IF(BG5860=0,"",IF(BG5860&lt;&gt;BA5860,"erreur de calcul",IF(BD5860&lt;&gt;0,"pas de prix",IF(M5860&lt;&gt; 0,"pas de quantité","pas de prix, ni de quantité"))))</f>
        <v>erreur de calcul</v>
      </c>
      <c r="BI5860" s="19"/>
    </row>
    <row r="5861" customFormat="false" ht="15" hidden="false" customHeight="false" outlineLevel="0" collapsed="false">
      <c r="A5861" s="0" t="n">
        <v>35</v>
      </c>
      <c r="B5861" s="8" t="s">
        <v>24</v>
      </c>
      <c r="C5861" s="9" t="s">
        <v>25</v>
      </c>
      <c r="D5861" s="9" t="s">
        <v>26</v>
      </c>
      <c r="E5861" s="10" t="n">
        <v>1789</v>
      </c>
      <c r="F5861" s="9" t="s">
        <v>27</v>
      </c>
      <c r="G5861" s="9" t="s">
        <v>27</v>
      </c>
      <c r="H5861" s="11" t="n">
        <v>24</v>
      </c>
      <c r="I5861" s="11" t="s">
        <v>325</v>
      </c>
      <c r="J5861" s="14" t="n">
        <v>25</v>
      </c>
      <c r="K5861" s="14"/>
      <c r="L5861" s="16"/>
      <c r="M5861" s="27" t="n">
        <f aca="false">J5861+(K5861/20)+(L5861/240)</f>
        <v>25</v>
      </c>
      <c r="N5861" s="17" t="s">
        <v>64</v>
      </c>
      <c r="O5861" s="11"/>
      <c r="P5861" s="28"/>
      <c r="Q5861" s="28" t="n">
        <f aca="false">P5861*$M5861</f>
        <v>0</v>
      </c>
      <c r="R5861" s="28"/>
      <c r="S5861" s="28" t="n">
        <f aca="false">R5861*$M5861</f>
        <v>0</v>
      </c>
      <c r="T5861" s="28"/>
      <c r="U5861" s="28" t="n">
        <f aca="false">T5861*$M5861</f>
        <v>0</v>
      </c>
      <c r="V5861" s="28"/>
      <c r="W5861" s="28" t="n">
        <f aca="false">V5861*$M5861</f>
        <v>0</v>
      </c>
      <c r="X5861" s="28" t="n">
        <f aca="false">4971/100</f>
        <v>49.71</v>
      </c>
      <c r="Y5861" s="28" t="n">
        <v>1243</v>
      </c>
      <c r="Z5861" s="28" t="n">
        <f aca="false">14812/100</f>
        <v>148.12</v>
      </c>
      <c r="AA5861" s="28" t="n">
        <v>3703</v>
      </c>
      <c r="AB5861" s="28"/>
      <c r="AC5861" s="28" t="n">
        <f aca="false">AB5861*$M5861</f>
        <v>0</v>
      </c>
      <c r="AD5861" s="28"/>
      <c r="AE5861" s="28" t="n">
        <f aca="false">AD5861*$M5861</f>
        <v>0</v>
      </c>
      <c r="AF5861" s="28"/>
      <c r="AG5861" s="28" t="n">
        <f aca="false">AF5861*$M5861</f>
        <v>0</v>
      </c>
      <c r="AH5861" s="28"/>
      <c r="AI5861" s="28" t="n">
        <f aca="false">AH5861*$M5861</f>
        <v>0</v>
      </c>
      <c r="AJ5861" s="28"/>
      <c r="AK5861" s="28" t="n">
        <f aca="false">AJ5861*$M5861</f>
        <v>0</v>
      </c>
      <c r="AL5861" s="28"/>
      <c r="AM5861" s="28" t="n">
        <f aca="false">AL5861*$M5861</f>
        <v>0</v>
      </c>
      <c r="AN5861" s="28"/>
      <c r="AO5861" s="28" t="n">
        <f aca="false">AN5861*$M5861</f>
        <v>0</v>
      </c>
      <c r="AP5861" s="28"/>
      <c r="AQ5861" s="28" t="n">
        <f aca="false">AP5861*$M5861</f>
        <v>0</v>
      </c>
      <c r="AR5861" s="28"/>
      <c r="AS5861" s="28" t="n">
        <f aca="false">AR5861*$M5861</f>
        <v>0</v>
      </c>
      <c r="AT5861" s="28"/>
      <c r="AU5861" s="28" t="n">
        <f aca="false">AT5861*$M5861</f>
        <v>0</v>
      </c>
      <c r="AV5861" s="28"/>
      <c r="AW5861" s="28" t="n">
        <f aca="false">AV5861*$M5861</f>
        <v>0</v>
      </c>
      <c r="AX5861" s="28"/>
      <c r="AY5861" s="28" t="n">
        <f aca="false">AX5861*$M5861</f>
        <v>0</v>
      </c>
      <c r="AZ5861" s="30" t="n">
        <f aca="false">19783/100</f>
        <v>197.83</v>
      </c>
      <c r="BA5861" s="11" t="n">
        <v>4946</v>
      </c>
      <c r="BB5861" s="31" t="n">
        <f aca="false">SUM(Q5861,S5861,U5861,W5861,Y5861,AA5861,AC5861,AE5861,AG5861,AI5861,AK5861,AM5861,AO5861,AQ5861,AS5861,AU5861,AW5861,AY5861)</f>
        <v>4946</v>
      </c>
      <c r="BC5861" s="28" t="n">
        <f aca="false">BA5861-BB5861</f>
        <v>0</v>
      </c>
      <c r="BD5861" s="32" t="n">
        <f aca="false">SUM(P5861,R5861,T5861,V5861,X5861,Z5861,AB5861,AD5861,AF5861,AH5861,AJ5861,AL5861,AN5861,AP5861,AR5861,AT5861,AV5861,AX5861)</f>
        <v>197.83</v>
      </c>
      <c r="BE5861" s="33" t="n">
        <f aca="false">AZ5861-BD5861</f>
        <v>0</v>
      </c>
      <c r="BF5861" s="34" t="n">
        <f aca="false">BD5861*M5861</f>
        <v>4945.75</v>
      </c>
      <c r="BG5861" s="35" t="n">
        <f aca="false">BA5861-BF5861</f>
        <v>0.25</v>
      </c>
      <c r="BH5861" s="19" t="str">
        <f aca="false">IF(BG5861=0,"",IF(BG5861&lt;&gt;BA5861,"erreur de calcul",IF(BD5861&lt;&gt;0,"pas de prix",IF(M5861&lt;&gt; 0,"pas de quantité","pas de prix, ni de quantité"))))</f>
        <v>erreur de calcul</v>
      </c>
      <c r="BI5861" s="19"/>
    </row>
    <row r="5862" customFormat="false" ht="15" hidden="false" customHeight="false" outlineLevel="0" collapsed="false">
      <c r="A5862" s="0" t="n">
        <v>36</v>
      </c>
      <c r="B5862" s="8" t="s">
        <v>24</v>
      </c>
      <c r="C5862" s="9" t="s">
        <v>25</v>
      </c>
      <c r="D5862" s="9" t="s">
        <v>26</v>
      </c>
      <c r="E5862" s="10" t="n">
        <v>1789</v>
      </c>
      <c r="F5862" s="9" t="s">
        <v>27</v>
      </c>
      <c r="G5862" s="9" t="s">
        <v>27</v>
      </c>
      <c r="H5862" s="11" t="n">
        <v>24</v>
      </c>
      <c r="I5862" s="11" t="s">
        <v>326</v>
      </c>
      <c r="J5862" s="14"/>
      <c r="K5862" s="14"/>
      <c r="L5862" s="16"/>
      <c r="M5862" s="27" t="n">
        <f aca="false">J5862+(K5862/20)+(L5862/240)</f>
        <v>0</v>
      </c>
      <c r="N5862" s="17"/>
      <c r="O5862" s="11" t="s">
        <v>77</v>
      </c>
      <c r="P5862" s="28"/>
      <c r="Q5862" s="28" t="n">
        <v>84</v>
      </c>
      <c r="R5862" s="28"/>
      <c r="S5862" s="28" t="n">
        <v>80</v>
      </c>
      <c r="T5862" s="28"/>
      <c r="U5862" s="28" t="n">
        <v>115</v>
      </c>
      <c r="V5862" s="28"/>
      <c r="W5862" s="28" t="n">
        <f aca="false">V5862*$M5862</f>
        <v>0</v>
      </c>
      <c r="X5862" s="28"/>
      <c r="Y5862" s="28" t="n">
        <v>82</v>
      </c>
      <c r="Z5862" s="28"/>
      <c r="AA5862" s="28" t="n">
        <v>32</v>
      </c>
      <c r="AB5862" s="28"/>
      <c r="AC5862" s="28" t="n">
        <v>82</v>
      </c>
      <c r="AD5862" s="28"/>
      <c r="AE5862" s="28" t="n">
        <f aca="false">AD5862*$M5862</f>
        <v>0</v>
      </c>
      <c r="AF5862" s="28"/>
      <c r="AG5862" s="28" t="n">
        <v>129</v>
      </c>
      <c r="AH5862" s="28"/>
      <c r="AI5862" s="28" t="n">
        <f aca="false">AH5862*$M5862</f>
        <v>0</v>
      </c>
      <c r="AJ5862" s="28"/>
      <c r="AK5862" s="28" t="n">
        <v>79</v>
      </c>
      <c r="AL5862" s="28"/>
      <c r="AM5862" s="28" t="n">
        <v>106</v>
      </c>
      <c r="AN5862" s="28"/>
      <c r="AO5862" s="28" t="n">
        <f aca="false">AN5862*$M5862</f>
        <v>0</v>
      </c>
      <c r="AP5862" s="28"/>
      <c r="AQ5862" s="28" t="n">
        <f aca="false">AP5862*$M5862</f>
        <v>0</v>
      </c>
      <c r="AR5862" s="28"/>
      <c r="AS5862" s="28" t="n">
        <f aca="false">AR5862*$M5862</f>
        <v>0</v>
      </c>
      <c r="AT5862" s="28"/>
      <c r="AU5862" s="28" t="n">
        <f aca="false">AT5862*$M5862</f>
        <v>0</v>
      </c>
      <c r="AV5862" s="28"/>
      <c r="AW5862" s="28" t="n">
        <f aca="false">AV5862*$M5862</f>
        <v>0</v>
      </c>
      <c r="AX5862" s="28"/>
      <c r="AY5862" s="28" t="n">
        <f aca="false">AX5862*$M5862</f>
        <v>0</v>
      </c>
      <c r="AZ5862" s="30"/>
      <c r="BA5862" s="11" t="n">
        <v>789</v>
      </c>
      <c r="BB5862" s="31" t="n">
        <f aca="false">SUM(Q5862,S5862,U5862,W5862,Y5862,AA5862,AC5862,AE5862,AG5862,AI5862,AK5862,AM5862,AO5862,AQ5862,AS5862,AU5862,AW5862,AY5862)</f>
        <v>789</v>
      </c>
      <c r="BC5862" s="28" t="n">
        <f aca="false">BA5862-BB5862</f>
        <v>0</v>
      </c>
      <c r="BD5862" s="32" t="n">
        <f aca="false">SUM(P5862,R5862,T5862,V5862,X5862,Z5862,AB5862,AD5862,AF5862,AH5862,AJ5862,AL5862,AN5862,AP5862,AR5862,AT5862,AV5862,AX5862)</f>
        <v>0</v>
      </c>
      <c r="BE5862" s="33" t="n">
        <f aca="false">AZ5862-BD5862</f>
        <v>0</v>
      </c>
      <c r="BF5862" s="34" t="n">
        <f aca="false">BD5862*M5862</f>
        <v>0</v>
      </c>
      <c r="BG5862" s="35" t="n">
        <f aca="false">BA5862-BF5862</f>
        <v>789</v>
      </c>
      <c r="BH5862" s="19" t="str">
        <f aca="false">IF(BG5862=0,"",IF(BG5862&lt;&gt;BA5862,"erreur de calcul",IF(BD5862&lt;&gt;0,"pas de prix",IF(M5862&lt;&gt; 0,"pas de quantité","pas de prix, ni de quantité"))))</f>
        <v>pas de prix, ni de quantité</v>
      </c>
      <c r="BI5862" s="19"/>
    </row>
    <row r="5863" customFormat="false" ht="15" hidden="false" customHeight="false" outlineLevel="0" collapsed="false">
      <c r="A5863" s="0" t="n">
        <v>37</v>
      </c>
      <c r="B5863" s="8" t="s">
        <v>24</v>
      </c>
      <c r="C5863" s="9" t="s">
        <v>25</v>
      </c>
      <c r="D5863" s="9" t="s">
        <v>26</v>
      </c>
      <c r="E5863" s="10" t="n">
        <v>1789</v>
      </c>
      <c r="F5863" s="9" t="s">
        <v>27</v>
      </c>
      <c r="G5863" s="9" t="s">
        <v>27</v>
      </c>
      <c r="H5863" s="11" t="n">
        <v>24</v>
      </c>
      <c r="I5863" s="11" t="s">
        <v>327</v>
      </c>
      <c r="J5863" s="14"/>
      <c r="K5863" s="14" t="n">
        <v>20</v>
      </c>
      <c r="L5863" s="16"/>
      <c r="M5863" s="27" t="n">
        <f aca="false">J5863+(K5863/20)+(L5863/240)</f>
        <v>1</v>
      </c>
      <c r="N5863" s="17" t="s">
        <v>66</v>
      </c>
      <c r="O5863" s="11"/>
      <c r="P5863" s="28"/>
      <c r="Q5863" s="28" t="n">
        <f aca="false">P5863*$M5863</f>
        <v>0</v>
      </c>
      <c r="R5863" s="28"/>
      <c r="S5863" s="28" t="n">
        <f aca="false">R5863*$M5863</f>
        <v>0</v>
      </c>
      <c r="T5863" s="28"/>
      <c r="U5863" s="28" t="n">
        <f aca="false">T5863*$M5863</f>
        <v>0</v>
      </c>
      <c r="V5863" s="28" t="n">
        <v>1705</v>
      </c>
      <c r="W5863" s="28" t="n">
        <v>1705</v>
      </c>
      <c r="X5863" s="28"/>
      <c r="Y5863" s="28" t="n">
        <f aca="false">X5863*$M5863</f>
        <v>0</v>
      </c>
      <c r="Z5863" s="28"/>
      <c r="AA5863" s="28" t="n">
        <f aca="false">Z5863*$M5863</f>
        <v>0</v>
      </c>
      <c r="AB5863" s="28" t="n">
        <v>226</v>
      </c>
      <c r="AC5863" s="28" t="n">
        <v>226</v>
      </c>
      <c r="AD5863" s="28"/>
      <c r="AE5863" s="28" t="n">
        <f aca="false">AD5863*$M5863</f>
        <v>0</v>
      </c>
      <c r="AF5863" s="28"/>
      <c r="AG5863" s="28" t="n">
        <f aca="false">AF5863*$M5863</f>
        <v>0</v>
      </c>
      <c r="AH5863" s="28"/>
      <c r="AI5863" s="28" t="n">
        <f aca="false">AH5863*$M5863</f>
        <v>0</v>
      </c>
      <c r="AJ5863" s="28"/>
      <c r="AK5863" s="28" t="n">
        <f aca="false">AJ5863*$M5863</f>
        <v>0</v>
      </c>
      <c r="AL5863" s="28"/>
      <c r="AM5863" s="28" t="n">
        <f aca="false">AL5863*$M5863</f>
        <v>0</v>
      </c>
      <c r="AN5863" s="28"/>
      <c r="AO5863" s="28" t="n">
        <f aca="false">AN5863*$M5863</f>
        <v>0</v>
      </c>
      <c r="AP5863" s="28"/>
      <c r="AQ5863" s="28" t="n">
        <f aca="false">AP5863*$M5863</f>
        <v>0</v>
      </c>
      <c r="AR5863" s="28"/>
      <c r="AS5863" s="28" t="n">
        <f aca="false">AR5863*$M5863</f>
        <v>0</v>
      </c>
      <c r="AT5863" s="28"/>
      <c r="AU5863" s="28" t="n">
        <f aca="false">AT5863*$M5863</f>
        <v>0</v>
      </c>
      <c r="AV5863" s="28"/>
      <c r="AW5863" s="28" t="n">
        <f aca="false">AV5863*$M5863</f>
        <v>0</v>
      </c>
      <c r="AX5863" s="28"/>
      <c r="AY5863" s="28" t="n">
        <f aca="false">AX5863*$M5863</f>
        <v>0</v>
      </c>
      <c r="AZ5863" s="30" t="n">
        <v>1931</v>
      </c>
      <c r="BA5863" s="11" t="n">
        <v>1931</v>
      </c>
      <c r="BB5863" s="31" t="n">
        <f aca="false">SUM(Q5863,S5863,U5863,W5863,Y5863,AA5863,AC5863,AE5863,AG5863,AI5863,AK5863,AM5863,AO5863,AQ5863,AS5863,AU5863,AW5863,AY5863)</f>
        <v>1931</v>
      </c>
      <c r="BC5863" s="28" t="n">
        <f aca="false">BA5863-BB5863</f>
        <v>0</v>
      </c>
      <c r="BD5863" s="32" t="n">
        <f aca="false">SUM(P5863,R5863,T5863,V5863,X5863,Z5863,AB5863,AD5863,AF5863,AH5863,AJ5863,AL5863,AN5863,AP5863,AR5863,AT5863,AV5863,AX5863)</f>
        <v>1931</v>
      </c>
      <c r="BE5863" s="33" t="n">
        <f aca="false">AZ5863-BD5863</f>
        <v>0</v>
      </c>
      <c r="BF5863" s="34" t="n">
        <f aca="false">BD5863*M5863</f>
        <v>1931</v>
      </c>
      <c r="BG5863" s="35" t="n">
        <f aca="false">BA5863-BF5863</f>
        <v>0</v>
      </c>
      <c r="BH5863" s="19" t="str">
        <f aca="false">IF(BG5863=0,"",IF(BG5863&lt;&gt;BA5863,"erreur de calcul",IF(BD5863&lt;&gt;0,"pas de prix",IF(M5863&lt;&gt; 0,"pas de quantité","pas de prix, ni de quantité"))))</f>
        <v/>
      </c>
      <c r="BI5863" s="19"/>
    </row>
    <row r="5864" customFormat="false" ht="15" hidden="false" customHeight="false" outlineLevel="0" collapsed="false">
      <c r="A5864" s="0" t="n">
        <v>38</v>
      </c>
      <c r="B5864" s="8" t="s">
        <v>24</v>
      </c>
      <c r="C5864" s="9" t="s">
        <v>25</v>
      </c>
      <c r="D5864" s="9" t="s">
        <v>26</v>
      </c>
      <c r="E5864" s="10" t="n">
        <v>1789</v>
      </c>
      <c r="F5864" s="9" t="s">
        <v>27</v>
      </c>
      <c r="G5864" s="9" t="s">
        <v>27</v>
      </c>
      <c r="H5864" s="11" t="n">
        <v>24</v>
      </c>
      <c r="I5864" s="11" t="s">
        <v>328</v>
      </c>
      <c r="J5864" s="14" t="n">
        <v>208</v>
      </c>
      <c r="K5864" s="14"/>
      <c r="L5864" s="16"/>
      <c r="M5864" s="27" t="n">
        <f aca="false">J5864+(K5864/20)+(L5864/240)</f>
        <v>208</v>
      </c>
      <c r="N5864" s="17" t="s">
        <v>64</v>
      </c>
      <c r="O5864" s="11" t="s">
        <v>277</v>
      </c>
      <c r="P5864" s="28"/>
      <c r="Q5864" s="28" t="n">
        <f aca="false">P5864*$M5864</f>
        <v>0</v>
      </c>
      <c r="R5864" s="28"/>
      <c r="S5864" s="28" t="n">
        <f aca="false">R5864*$M5864</f>
        <v>0</v>
      </c>
      <c r="T5864" s="28" t="n">
        <f aca="false">536/100</f>
        <v>5.36</v>
      </c>
      <c r="U5864" s="28" t="n">
        <v>1115</v>
      </c>
      <c r="V5864" s="28" t="n">
        <f aca="false">1983/100</f>
        <v>19.83</v>
      </c>
      <c r="W5864" s="28" t="n">
        <v>4125</v>
      </c>
      <c r="X5864" s="28" t="n">
        <f aca="false">37641/100</f>
        <v>376.41</v>
      </c>
      <c r="Y5864" s="28" t="n">
        <v>78293</v>
      </c>
      <c r="Z5864" s="28" t="n">
        <f aca="false">1281/100</f>
        <v>12.81</v>
      </c>
      <c r="AA5864" s="28" t="n">
        <v>2664</v>
      </c>
      <c r="AB5864" s="28"/>
      <c r="AC5864" s="28" t="n">
        <f aca="false">AB5864*$M5864</f>
        <v>0</v>
      </c>
      <c r="AD5864" s="28"/>
      <c r="AE5864" s="28" t="n">
        <f aca="false">AD5864*$M5864</f>
        <v>0</v>
      </c>
      <c r="AF5864" s="28"/>
      <c r="AG5864" s="28" t="n">
        <f aca="false">AF5864*$M5864</f>
        <v>0</v>
      </c>
      <c r="AH5864" s="28"/>
      <c r="AI5864" s="28" t="n">
        <f aca="false">AH5864*$M5864</f>
        <v>0</v>
      </c>
      <c r="AJ5864" s="28" t="n">
        <f aca="false">20789/100</f>
        <v>207.89</v>
      </c>
      <c r="AK5864" s="28" t="n">
        <v>43241</v>
      </c>
      <c r="AL5864" s="28" t="n">
        <f aca="false">2470/100</f>
        <v>24.7</v>
      </c>
      <c r="AM5864" s="28" t="n">
        <v>5138</v>
      </c>
      <c r="AN5864" s="28"/>
      <c r="AO5864" s="28" t="n">
        <f aca="false">AN5864*$M5864</f>
        <v>0</v>
      </c>
      <c r="AP5864" s="28"/>
      <c r="AQ5864" s="28" t="n">
        <f aca="false">AP5864*$M5864</f>
        <v>0</v>
      </c>
      <c r="AR5864" s="28"/>
      <c r="AS5864" s="28" t="n">
        <f aca="false">AR5864*$M5864</f>
        <v>0</v>
      </c>
      <c r="AT5864" s="28"/>
      <c r="AU5864" s="28" t="n">
        <f aca="false">AT5864*$M5864</f>
        <v>0</v>
      </c>
      <c r="AV5864" s="28"/>
      <c r="AW5864" s="28" t="n">
        <f aca="false">AV5864*$M5864</f>
        <v>0</v>
      </c>
      <c r="AX5864" s="28"/>
      <c r="AY5864" s="28" t="n">
        <f aca="false">AX5864*$M5864</f>
        <v>0</v>
      </c>
      <c r="AZ5864" s="30" t="n">
        <f aca="false">64700/100</f>
        <v>647</v>
      </c>
      <c r="BA5864" s="11" t="n">
        <v>134576</v>
      </c>
      <c r="BB5864" s="31" t="n">
        <f aca="false">SUM(Q5864,S5864,U5864,W5864,Y5864,AA5864,AC5864,AE5864,AG5864,AI5864,AK5864,AM5864,AO5864,AQ5864,AS5864,AU5864,AW5864,AY5864)</f>
        <v>134576</v>
      </c>
      <c r="BC5864" s="28" t="n">
        <f aca="false">BA5864-BB5864</f>
        <v>0</v>
      </c>
      <c r="BD5864" s="32" t="n">
        <f aca="false">SUM(P5864,R5864,T5864,V5864,X5864,Z5864,AB5864,AD5864,AF5864,AH5864,AJ5864,AL5864,AN5864,AP5864,AR5864,AT5864,AV5864,AX5864)</f>
        <v>647</v>
      </c>
      <c r="BE5864" s="33" t="n">
        <f aca="false">AZ5864-BD5864</f>
        <v>0</v>
      </c>
      <c r="BF5864" s="34" t="n">
        <f aca="false">BD5864*M5864</f>
        <v>134576</v>
      </c>
      <c r="BG5864" s="35" t="n">
        <f aca="false">BA5864-BF5864</f>
        <v>0</v>
      </c>
      <c r="BH5864" s="19" t="str">
        <f aca="false">IF(BG5864=0,"",IF(BG5864&lt;&gt;BA5864,"erreur de calcul",IF(BD5864&lt;&gt;0,"pas de prix",IF(M5864&lt;&gt; 0,"pas de quantité","pas de prix, ni de quantité"))))</f>
        <v/>
      </c>
      <c r="BI5864" s="19"/>
    </row>
    <row r="5865" customFormat="false" ht="15" hidden="false" customHeight="false" outlineLevel="0" collapsed="false">
      <c r="A5865" s="0" t="n">
        <v>1</v>
      </c>
      <c r="B5865" s="8" t="s">
        <v>24</v>
      </c>
      <c r="C5865" s="9" t="s">
        <v>25</v>
      </c>
      <c r="D5865" s="9" t="s">
        <v>26</v>
      </c>
      <c r="E5865" s="10" t="n">
        <v>1789</v>
      </c>
      <c r="F5865" s="9" t="s">
        <v>27</v>
      </c>
      <c r="G5865" s="9" t="s">
        <v>27</v>
      </c>
      <c r="H5865" s="11" t="n">
        <v>25</v>
      </c>
      <c r="I5865" s="11" t="s">
        <v>329</v>
      </c>
      <c r="J5865" s="14" t="n">
        <v>30</v>
      </c>
      <c r="K5865" s="14"/>
      <c r="L5865" s="16"/>
      <c r="M5865" s="27" t="n">
        <f aca="false">J5865+(K5865/20)+(L5865/240)</f>
        <v>30</v>
      </c>
      <c r="N5865" s="17" t="s">
        <v>64</v>
      </c>
      <c r="O5865" s="11"/>
      <c r="P5865" s="28" t="n">
        <f aca="false">888/100</f>
        <v>8.88</v>
      </c>
      <c r="Q5865" s="28" t="n">
        <v>266</v>
      </c>
      <c r="R5865" s="28"/>
      <c r="S5865" s="28" t="n">
        <f aca="false">R5865*$M5865</f>
        <v>0</v>
      </c>
      <c r="T5865" s="28" t="n">
        <f aca="false">1151/100</f>
        <v>11.51</v>
      </c>
      <c r="U5865" s="28" t="n">
        <v>345</v>
      </c>
      <c r="V5865" s="28"/>
      <c r="W5865" s="28" t="n">
        <f aca="false">V5865*$M5865</f>
        <v>0</v>
      </c>
      <c r="X5865" s="28"/>
      <c r="Y5865" s="28" t="n">
        <f aca="false">X5865*$M5865</f>
        <v>0</v>
      </c>
      <c r="Z5865" s="28"/>
      <c r="AA5865" s="28" t="n">
        <f aca="false">Z5865*$M5865</f>
        <v>0</v>
      </c>
      <c r="AB5865" s="28"/>
      <c r="AC5865" s="28" t="n">
        <f aca="false">AB5865*$M5865</f>
        <v>0</v>
      </c>
      <c r="AD5865" s="28"/>
      <c r="AE5865" s="28" t="n">
        <f aca="false">AD5865*$M5865</f>
        <v>0</v>
      </c>
      <c r="AF5865" s="28"/>
      <c r="AG5865" s="28" t="n">
        <f aca="false">AF5865*$M5865</f>
        <v>0</v>
      </c>
      <c r="AH5865" s="28"/>
      <c r="AI5865" s="28" t="n">
        <f aca="false">AH5865*$M5865</f>
        <v>0</v>
      </c>
      <c r="AJ5865" s="28"/>
      <c r="AK5865" s="28" t="n">
        <f aca="false">AJ5865*$M5865</f>
        <v>0</v>
      </c>
      <c r="AL5865" s="28"/>
      <c r="AM5865" s="28" t="n">
        <f aca="false">AL5865*$M5865</f>
        <v>0</v>
      </c>
      <c r="AN5865" s="28"/>
      <c r="AO5865" s="28" t="n">
        <f aca="false">AN5865*$M5865</f>
        <v>0</v>
      </c>
      <c r="AP5865" s="28"/>
      <c r="AQ5865" s="28" t="n">
        <f aca="false">AP5865*$M5865</f>
        <v>0</v>
      </c>
      <c r="AR5865" s="28"/>
      <c r="AS5865" s="28" t="n">
        <f aca="false">AR5865*$M5865</f>
        <v>0</v>
      </c>
      <c r="AT5865" s="28"/>
      <c r="AU5865" s="28" t="n">
        <f aca="false">AT5865*$M5865</f>
        <v>0</v>
      </c>
      <c r="AV5865" s="28"/>
      <c r="AW5865" s="28" t="n">
        <f aca="false">AV5865*$M5865</f>
        <v>0</v>
      </c>
      <c r="AX5865" s="28"/>
      <c r="AY5865" s="28" t="n">
        <f aca="false">AX5865*$M5865</f>
        <v>0</v>
      </c>
      <c r="AZ5865" s="30" t="n">
        <f aca="false">2039/100</f>
        <v>20.39</v>
      </c>
      <c r="BA5865" s="11" t="n">
        <v>611</v>
      </c>
      <c r="BB5865" s="31" t="n">
        <f aca="false">SUM(Q5865,S5865,U5865,W5865,Y5865,AA5865,AC5865,AE5865,AG5865,AI5865,AK5865,AM5865,AO5865,AQ5865,AS5865,AU5865,AW5865,AY5865)</f>
        <v>611</v>
      </c>
      <c r="BC5865" s="28" t="n">
        <f aca="false">BA5865-BB5865</f>
        <v>0</v>
      </c>
      <c r="BD5865" s="32" t="n">
        <f aca="false">SUM(P5865,R5865,T5865,V5865,X5865,Z5865,AB5865,AD5865,AF5865,AH5865,AJ5865,AL5865,AN5865,AP5865,AR5865,AT5865,AV5865,AX5865)</f>
        <v>20.39</v>
      </c>
      <c r="BE5865" s="33" t="n">
        <f aca="false">AZ5865-BD5865</f>
        <v>0</v>
      </c>
      <c r="BF5865" s="34" t="n">
        <f aca="false">BD5865*M5865</f>
        <v>611.7</v>
      </c>
      <c r="BG5865" s="35" t="n">
        <f aca="false">BA5865-BF5865</f>
        <v>-0.700000000000046</v>
      </c>
      <c r="BH5865" s="19" t="str">
        <f aca="false">IF(BG5865=0,"",IF(BG5865&lt;&gt;BA5865,"erreur de calcul",IF(BD5865&lt;&gt;0,"pas de prix",IF(M5865&lt;&gt; 0,"pas de quantité","pas de prix, ni de quantité"))))</f>
        <v>erreur de calcul</v>
      </c>
      <c r="BI5865" s="19"/>
    </row>
    <row r="5866" customFormat="false" ht="15" hidden="false" customHeight="false" outlineLevel="0" collapsed="false">
      <c r="A5866" s="0" t="n">
        <v>2</v>
      </c>
      <c r="B5866" s="8" t="s">
        <v>24</v>
      </c>
      <c r="C5866" s="9" t="s">
        <v>25</v>
      </c>
      <c r="D5866" s="9" t="s">
        <v>26</v>
      </c>
      <c r="E5866" s="10" t="n">
        <v>1789</v>
      </c>
      <c r="F5866" s="9" t="s">
        <v>27</v>
      </c>
      <c r="G5866" s="9" t="s">
        <v>27</v>
      </c>
      <c r="H5866" s="11" t="n">
        <v>25</v>
      </c>
      <c r="I5866" s="11" t="s">
        <v>330</v>
      </c>
      <c r="J5866" s="14"/>
      <c r="K5866" s="14" t="n">
        <v>20</v>
      </c>
      <c r="L5866" s="16"/>
      <c r="M5866" s="27" t="n">
        <f aca="false">J5866+(K5866/20)+(L5866/240)</f>
        <v>1</v>
      </c>
      <c r="N5866" s="17" t="s">
        <v>66</v>
      </c>
      <c r="O5866" s="11"/>
      <c r="P5866" s="28"/>
      <c r="Q5866" s="28" t="n">
        <f aca="false">P5866*$M5866</f>
        <v>0</v>
      </c>
      <c r="R5866" s="28"/>
      <c r="S5866" s="28" t="n">
        <f aca="false">R5866*$M5866</f>
        <v>0</v>
      </c>
      <c r="T5866" s="28"/>
      <c r="U5866" s="28" t="n">
        <f aca="false">T5866*$M5866</f>
        <v>0</v>
      </c>
      <c r="V5866" s="28"/>
      <c r="W5866" s="28" t="n">
        <f aca="false">V5866*$M5866</f>
        <v>0</v>
      </c>
      <c r="X5866" s="28"/>
      <c r="Y5866" s="28" t="n">
        <f aca="false">X5866*$M5866</f>
        <v>0</v>
      </c>
      <c r="Z5866" s="28"/>
      <c r="AA5866" s="28" t="n">
        <f aca="false">Z5866*$M5866</f>
        <v>0</v>
      </c>
      <c r="AB5866" s="28"/>
      <c r="AC5866" s="28" t="n">
        <f aca="false">AB5866*$M5866</f>
        <v>0</v>
      </c>
      <c r="AD5866" s="28"/>
      <c r="AE5866" s="28" t="n">
        <f aca="false">AD5866*$M5866</f>
        <v>0</v>
      </c>
      <c r="AF5866" s="28"/>
      <c r="AG5866" s="28" t="n">
        <f aca="false">AF5866*$M5866</f>
        <v>0</v>
      </c>
      <c r="AH5866" s="28"/>
      <c r="AI5866" s="28" t="n">
        <f aca="false">AH5866*$M5866</f>
        <v>0</v>
      </c>
      <c r="AJ5866" s="28" t="n">
        <v>4241</v>
      </c>
      <c r="AK5866" s="28" t="n">
        <v>4241</v>
      </c>
      <c r="AL5866" s="28"/>
      <c r="AM5866" s="28" t="n">
        <f aca="false">AL5866*$M5866</f>
        <v>0</v>
      </c>
      <c r="AN5866" s="28"/>
      <c r="AO5866" s="28" t="n">
        <f aca="false">AN5866*$M5866</f>
        <v>0</v>
      </c>
      <c r="AP5866" s="28"/>
      <c r="AQ5866" s="28" t="n">
        <f aca="false">AP5866*$M5866</f>
        <v>0</v>
      </c>
      <c r="AR5866" s="28"/>
      <c r="AS5866" s="28" t="n">
        <f aca="false">AR5866*$M5866</f>
        <v>0</v>
      </c>
      <c r="AT5866" s="28"/>
      <c r="AU5866" s="28" t="n">
        <f aca="false">AT5866*$M5866</f>
        <v>0</v>
      </c>
      <c r="AV5866" s="28"/>
      <c r="AW5866" s="28" t="n">
        <f aca="false">AV5866*$M5866</f>
        <v>0</v>
      </c>
      <c r="AX5866" s="28"/>
      <c r="AY5866" s="28" t="n">
        <f aca="false">AX5866*$M5866</f>
        <v>0</v>
      </c>
      <c r="AZ5866" s="30" t="n">
        <v>4241</v>
      </c>
      <c r="BA5866" s="11" t="n">
        <v>4241</v>
      </c>
      <c r="BB5866" s="31" t="n">
        <f aca="false">SUM(Q5866,S5866,U5866,W5866,Y5866,AA5866,AC5866,AE5866,AG5866,AI5866,AK5866,AM5866,AO5866,AQ5866,AS5866,AU5866,AW5866,AY5866)</f>
        <v>4241</v>
      </c>
      <c r="BC5866" s="28" t="n">
        <f aca="false">BA5866-BB5866</f>
        <v>0</v>
      </c>
      <c r="BD5866" s="32" t="n">
        <f aca="false">SUM(P5866,R5866,T5866,V5866,X5866,Z5866,AB5866,AD5866,AF5866,AH5866,AJ5866,AL5866,AN5866,AP5866,AR5866,AT5866,AV5866,AX5866)</f>
        <v>4241</v>
      </c>
      <c r="BE5866" s="33" t="n">
        <f aca="false">AZ5866-BD5866</f>
        <v>0</v>
      </c>
      <c r="BF5866" s="34" t="n">
        <f aca="false">BD5866*M5866</f>
        <v>4241</v>
      </c>
      <c r="BG5866" s="35" t="n">
        <f aca="false">BA5866-BF5866</f>
        <v>0</v>
      </c>
      <c r="BH5866" s="19" t="str">
        <f aca="false">IF(BG5866=0,"",IF(BG5866&lt;&gt;BA5866,"erreur de calcul",IF(BD5866&lt;&gt;0,"pas de prix",IF(M5866&lt;&gt; 0,"pas de quantité","pas de prix, ni de quantité"))))</f>
        <v/>
      </c>
      <c r="BI5866" s="19"/>
    </row>
    <row r="5867" customFormat="false" ht="15" hidden="false" customHeight="false" outlineLevel="0" collapsed="false">
      <c r="A5867" s="0" t="n">
        <v>3</v>
      </c>
      <c r="B5867" s="8" t="s">
        <v>24</v>
      </c>
      <c r="C5867" s="9" t="s">
        <v>25</v>
      </c>
      <c r="D5867" s="9" t="s">
        <v>26</v>
      </c>
      <c r="E5867" s="10" t="n">
        <v>1789</v>
      </c>
      <c r="F5867" s="9" t="s">
        <v>27</v>
      </c>
      <c r="G5867" s="9" t="s">
        <v>27</v>
      </c>
      <c r="H5867" s="11" t="n">
        <v>25</v>
      </c>
      <c r="I5867" s="11" t="s">
        <v>331</v>
      </c>
      <c r="J5867" s="14" t="n">
        <v>18</v>
      </c>
      <c r="K5867" s="14"/>
      <c r="L5867" s="16"/>
      <c r="M5867" s="27" t="n">
        <f aca="false">J5867+(K5867/20)+(L5867/240)</f>
        <v>18</v>
      </c>
      <c r="N5867" s="17" t="s">
        <v>66</v>
      </c>
      <c r="O5867" s="11" t="s">
        <v>98</v>
      </c>
      <c r="P5867" s="28"/>
      <c r="Q5867" s="28" t="n">
        <f aca="false">P5867*$M5867</f>
        <v>0</v>
      </c>
      <c r="R5867" s="28"/>
      <c r="S5867" s="28" t="n">
        <f aca="false">R5867*$M5867</f>
        <v>0</v>
      </c>
      <c r="T5867" s="28"/>
      <c r="U5867" s="28" t="n">
        <f aca="false">T5867*$M5867</f>
        <v>0</v>
      </c>
      <c r="V5867" s="28"/>
      <c r="W5867" s="28" t="n">
        <f aca="false">V5867*$M5867</f>
        <v>0</v>
      </c>
      <c r="X5867" s="28"/>
      <c r="Y5867" s="28" t="n">
        <f aca="false">X5867*$M5867</f>
        <v>0</v>
      </c>
      <c r="Z5867" s="28"/>
      <c r="AA5867" s="28" t="n">
        <f aca="false">Z5867*$M5867</f>
        <v>0</v>
      </c>
      <c r="AB5867" s="28"/>
      <c r="AC5867" s="28" t="n">
        <f aca="false">AB5867*$M5867</f>
        <v>0</v>
      </c>
      <c r="AD5867" s="28"/>
      <c r="AE5867" s="28" t="n">
        <f aca="false">AD5867*$M5867</f>
        <v>0</v>
      </c>
      <c r="AF5867" s="28"/>
      <c r="AG5867" s="28" t="n">
        <f aca="false">AF5867*$M5867</f>
        <v>0</v>
      </c>
      <c r="AH5867" s="28"/>
      <c r="AI5867" s="28" t="n">
        <f aca="false">AH5867*$M5867</f>
        <v>0</v>
      </c>
      <c r="AJ5867" s="28"/>
      <c r="AK5867" s="28" t="n">
        <f aca="false">AJ5867*$M5867</f>
        <v>0</v>
      </c>
      <c r="AL5867" s="28"/>
      <c r="AM5867" s="28" t="n">
        <f aca="false">AL5867*$M5867</f>
        <v>0</v>
      </c>
      <c r="AN5867" s="28"/>
      <c r="AO5867" s="28" t="n">
        <f aca="false">AN5867*$M5867</f>
        <v>0</v>
      </c>
      <c r="AP5867" s="28"/>
      <c r="AQ5867" s="28" t="n">
        <f aca="false">AP5867*$M5867</f>
        <v>0</v>
      </c>
      <c r="AR5867" s="28"/>
      <c r="AS5867" s="28" t="n">
        <f aca="false">AR5867*$M5867</f>
        <v>0</v>
      </c>
      <c r="AT5867" s="28"/>
      <c r="AU5867" s="28" t="n">
        <f aca="false">AT5867*$M5867</f>
        <v>0</v>
      </c>
      <c r="AV5867" s="28"/>
      <c r="AW5867" s="28" t="n">
        <f aca="false">AV5867*$M5867</f>
        <v>0</v>
      </c>
      <c r="AX5867" s="28"/>
      <c r="AY5867" s="28" t="n">
        <f aca="false">AX5867*$M5867</f>
        <v>0</v>
      </c>
      <c r="AZ5867" s="30"/>
      <c r="BA5867" s="11"/>
      <c r="BB5867" s="31" t="n">
        <f aca="false">SUM(Q5867,S5867,U5867,W5867,Y5867,AA5867,AC5867,AE5867,AG5867,AI5867,AK5867,AM5867,AO5867,AQ5867,AS5867,AU5867,AW5867,AY5867)</f>
        <v>0</v>
      </c>
      <c r="BC5867" s="28" t="n">
        <f aca="false">BA5867-BB5867</f>
        <v>0</v>
      </c>
      <c r="BD5867" s="32" t="n">
        <f aca="false">SUM(P5867,R5867,T5867,V5867,X5867,Z5867,AB5867,AD5867,AF5867,AH5867,AJ5867,AL5867,AN5867,AP5867,AR5867,AT5867,AV5867,AX5867)</f>
        <v>0</v>
      </c>
      <c r="BE5867" s="33" t="n">
        <f aca="false">AZ5867-BD5867</f>
        <v>0</v>
      </c>
      <c r="BF5867" s="34" t="n">
        <f aca="false">BD5867*M5867</f>
        <v>0</v>
      </c>
      <c r="BG5867" s="35" t="n">
        <f aca="false">BA5867-BF5867</f>
        <v>0</v>
      </c>
      <c r="BH5867" s="19" t="str">
        <f aca="false">IF(BG5867=0,"",IF(BG5867&lt;&gt;BA5867,"erreur de calcul",IF(BD5867&lt;&gt;0,"pas de prix",IF(M5867&lt;&gt; 0,"pas de quantité","pas de prix, ni de quantité"))))</f>
        <v/>
      </c>
      <c r="BI5867" s="19"/>
    </row>
    <row r="5868" customFormat="false" ht="15" hidden="false" customHeight="false" outlineLevel="0" collapsed="false">
      <c r="A5868" s="0" t="n">
        <v>4</v>
      </c>
      <c r="B5868" s="8" t="s">
        <v>24</v>
      </c>
      <c r="C5868" s="9" t="s">
        <v>25</v>
      </c>
      <c r="D5868" s="9" t="s">
        <v>26</v>
      </c>
      <c r="E5868" s="10" t="n">
        <v>1789</v>
      </c>
      <c r="F5868" s="9" t="s">
        <v>27</v>
      </c>
      <c r="G5868" s="9" t="s">
        <v>27</v>
      </c>
      <c r="H5868" s="11" t="n">
        <v>25</v>
      </c>
      <c r="I5868" s="11" t="s">
        <v>332</v>
      </c>
      <c r="J5868" s="14" t="n">
        <v>18</v>
      </c>
      <c r="K5868" s="14"/>
      <c r="L5868" s="16"/>
      <c r="M5868" s="27" t="n">
        <f aca="false">J5868+(K5868/20)+(L5868/240)</f>
        <v>18</v>
      </c>
      <c r="N5868" s="17" t="s">
        <v>66</v>
      </c>
      <c r="O5868" s="11" t="s">
        <v>98</v>
      </c>
      <c r="P5868" s="28"/>
      <c r="Q5868" s="28" t="n">
        <f aca="false">P5868*$M5868</f>
        <v>0</v>
      </c>
      <c r="R5868" s="28"/>
      <c r="S5868" s="28" t="n">
        <f aca="false">R5868*$M5868</f>
        <v>0</v>
      </c>
      <c r="T5868" s="28"/>
      <c r="U5868" s="28" t="n">
        <f aca="false">T5868*$M5868</f>
        <v>0</v>
      </c>
      <c r="V5868" s="28"/>
      <c r="W5868" s="28" t="n">
        <f aca="false">V5868*$M5868</f>
        <v>0</v>
      </c>
      <c r="X5868" s="28"/>
      <c r="Y5868" s="28" t="n">
        <f aca="false">X5868*$M5868</f>
        <v>0</v>
      </c>
      <c r="Z5868" s="28"/>
      <c r="AA5868" s="28" t="n">
        <f aca="false">Z5868*$M5868</f>
        <v>0</v>
      </c>
      <c r="AB5868" s="28"/>
      <c r="AC5868" s="28" t="n">
        <f aca="false">AB5868*$M5868</f>
        <v>0</v>
      </c>
      <c r="AD5868" s="28"/>
      <c r="AE5868" s="28" t="n">
        <f aca="false">AD5868*$M5868</f>
        <v>0</v>
      </c>
      <c r="AF5868" s="28"/>
      <c r="AG5868" s="28" t="n">
        <f aca="false">AF5868*$M5868</f>
        <v>0</v>
      </c>
      <c r="AH5868" s="28"/>
      <c r="AI5868" s="28" t="n">
        <f aca="false">AH5868*$M5868</f>
        <v>0</v>
      </c>
      <c r="AJ5868" s="28"/>
      <c r="AK5868" s="28" t="n">
        <f aca="false">AJ5868*$M5868</f>
        <v>0</v>
      </c>
      <c r="AL5868" s="28"/>
      <c r="AM5868" s="28" t="n">
        <f aca="false">AL5868*$M5868</f>
        <v>0</v>
      </c>
      <c r="AN5868" s="28"/>
      <c r="AO5868" s="28" t="n">
        <f aca="false">AN5868*$M5868</f>
        <v>0</v>
      </c>
      <c r="AP5868" s="28"/>
      <c r="AQ5868" s="28" t="n">
        <f aca="false">AP5868*$M5868</f>
        <v>0</v>
      </c>
      <c r="AR5868" s="28"/>
      <c r="AS5868" s="28" t="n">
        <f aca="false">AR5868*$M5868</f>
        <v>0</v>
      </c>
      <c r="AT5868" s="28"/>
      <c r="AU5868" s="28" t="n">
        <f aca="false">AT5868*$M5868</f>
        <v>0</v>
      </c>
      <c r="AV5868" s="28"/>
      <c r="AW5868" s="28" t="n">
        <f aca="false">AV5868*$M5868</f>
        <v>0</v>
      </c>
      <c r="AX5868" s="28"/>
      <c r="AY5868" s="28" t="n">
        <f aca="false">AX5868*$M5868</f>
        <v>0</v>
      </c>
      <c r="AZ5868" s="30"/>
      <c r="BA5868" s="11"/>
      <c r="BB5868" s="31" t="n">
        <f aca="false">SUM(Q5868,S5868,U5868,W5868,Y5868,AA5868,AC5868,AE5868,AG5868,AI5868,AK5868,AM5868,AO5868,AQ5868,AS5868,AU5868,AW5868,AY5868)</f>
        <v>0</v>
      </c>
      <c r="BC5868" s="28" t="n">
        <f aca="false">BA5868-BB5868</f>
        <v>0</v>
      </c>
      <c r="BD5868" s="32" t="n">
        <f aca="false">SUM(P5868,R5868,T5868,V5868,X5868,Z5868,AB5868,AD5868,AF5868,AH5868,AJ5868,AL5868,AN5868,AP5868,AR5868,AT5868,AV5868,AX5868)</f>
        <v>0</v>
      </c>
      <c r="BE5868" s="33" t="n">
        <f aca="false">AZ5868-BD5868</f>
        <v>0</v>
      </c>
      <c r="BF5868" s="34" t="n">
        <f aca="false">BD5868*M5868</f>
        <v>0</v>
      </c>
      <c r="BG5868" s="35" t="n">
        <f aca="false">BA5868-BF5868</f>
        <v>0</v>
      </c>
      <c r="BH5868" s="19" t="str">
        <f aca="false">IF(BG5868=0,"",IF(BG5868&lt;&gt;BA5868,"erreur de calcul",IF(BD5868&lt;&gt;0,"pas de prix",IF(M5868&lt;&gt; 0,"pas de quantité","pas de prix, ni de quantité"))))</f>
        <v/>
      </c>
      <c r="BI5868" s="19"/>
    </row>
    <row r="5869" customFormat="false" ht="15" hidden="false" customHeight="false" outlineLevel="0" collapsed="false">
      <c r="A5869" s="0" t="n">
        <v>5</v>
      </c>
      <c r="B5869" s="8" t="s">
        <v>24</v>
      </c>
      <c r="C5869" s="9" t="s">
        <v>25</v>
      </c>
      <c r="D5869" s="9" t="s">
        <v>26</v>
      </c>
      <c r="E5869" s="10" t="n">
        <v>1789</v>
      </c>
      <c r="F5869" s="9" t="s">
        <v>27</v>
      </c>
      <c r="G5869" s="9" t="s">
        <v>27</v>
      </c>
      <c r="H5869" s="11" t="n">
        <v>25</v>
      </c>
      <c r="I5869" s="11" t="s">
        <v>333</v>
      </c>
      <c r="J5869" s="14" t="n">
        <v>44</v>
      </c>
      <c r="K5869" s="14"/>
      <c r="L5869" s="16"/>
      <c r="M5869" s="27" t="n">
        <f aca="false">J5869+(K5869/20)+(L5869/240)</f>
        <v>44</v>
      </c>
      <c r="N5869" s="17" t="s">
        <v>66</v>
      </c>
      <c r="O5869" s="11"/>
      <c r="P5869" s="28" t="n">
        <v>1391</v>
      </c>
      <c r="Q5869" s="28" t="n">
        <v>61204</v>
      </c>
      <c r="R5869" s="28"/>
      <c r="S5869" s="28" t="n">
        <f aca="false">R5869*$M5869</f>
        <v>0</v>
      </c>
      <c r="T5869" s="28"/>
      <c r="U5869" s="28" t="n">
        <f aca="false">T5869*$M5869</f>
        <v>0</v>
      </c>
      <c r="V5869" s="28"/>
      <c r="W5869" s="28" t="n">
        <f aca="false">V5869*$M5869</f>
        <v>0</v>
      </c>
      <c r="X5869" s="28"/>
      <c r="Y5869" s="28" t="n">
        <f aca="false">X5869*$M5869</f>
        <v>0</v>
      </c>
      <c r="Z5869" s="28"/>
      <c r="AA5869" s="28" t="n">
        <f aca="false">Z5869*$M5869</f>
        <v>0</v>
      </c>
      <c r="AB5869" s="28"/>
      <c r="AC5869" s="28" t="n">
        <f aca="false">AB5869*$M5869</f>
        <v>0</v>
      </c>
      <c r="AD5869" s="28"/>
      <c r="AE5869" s="28" t="n">
        <f aca="false">AD5869*$M5869</f>
        <v>0</v>
      </c>
      <c r="AF5869" s="28"/>
      <c r="AG5869" s="28" t="n">
        <f aca="false">AF5869*$M5869</f>
        <v>0</v>
      </c>
      <c r="AH5869" s="28"/>
      <c r="AI5869" s="28" t="n">
        <f aca="false">AH5869*$M5869</f>
        <v>0</v>
      </c>
      <c r="AJ5869" s="28"/>
      <c r="AK5869" s="28" t="n">
        <f aca="false">AJ5869*$M5869</f>
        <v>0</v>
      </c>
      <c r="AL5869" s="28"/>
      <c r="AM5869" s="28" t="n">
        <f aca="false">AL5869*$M5869</f>
        <v>0</v>
      </c>
      <c r="AN5869" s="28"/>
      <c r="AO5869" s="28" t="n">
        <f aca="false">AN5869*$M5869</f>
        <v>0</v>
      </c>
      <c r="AP5869" s="28"/>
      <c r="AQ5869" s="28" t="n">
        <f aca="false">AP5869*$M5869</f>
        <v>0</v>
      </c>
      <c r="AR5869" s="28"/>
      <c r="AS5869" s="28" t="n">
        <f aca="false">AR5869*$M5869</f>
        <v>0</v>
      </c>
      <c r="AT5869" s="28"/>
      <c r="AU5869" s="28" t="n">
        <f aca="false">AT5869*$M5869</f>
        <v>0</v>
      </c>
      <c r="AV5869" s="28"/>
      <c r="AW5869" s="28" t="n">
        <f aca="false">AV5869*$M5869</f>
        <v>0</v>
      </c>
      <c r="AX5869" s="28"/>
      <c r="AY5869" s="28" t="n">
        <f aca="false">AX5869*$M5869</f>
        <v>0</v>
      </c>
      <c r="AZ5869" s="30" t="n">
        <v>1391</v>
      </c>
      <c r="BA5869" s="11" t="n">
        <v>61204</v>
      </c>
      <c r="BB5869" s="31" t="n">
        <f aca="false">SUM(Q5869,S5869,U5869,W5869,Y5869,AA5869,AC5869,AE5869,AG5869,AI5869,AK5869,AM5869,AO5869,AQ5869,AS5869,AU5869,AW5869,AY5869)</f>
        <v>61204</v>
      </c>
      <c r="BC5869" s="28" t="n">
        <f aca="false">BA5869-BB5869</f>
        <v>0</v>
      </c>
      <c r="BD5869" s="32" t="n">
        <f aca="false">SUM(P5869,R5869,T5869,V5869,X5869,Z5869,AB5869,AD5869,AF5869,AH5869,AJ5869,AL5869,AN5869,AP5869,AR5869,AT5869,AV5869,AX5869)</f>
        <v>1391</v>
      </c>
      <c r="BE5869" s="33" t="n">
        <f aca="false">AZ5869-BD5869</f>
        <v>0</v>
      </c>
      <c r="BF5869" s="34" t="n">
        <f aca="false">BD5869*M5869</f>
        <v>61204</v>
      </c>
      <c r="BG5869" s="35" t="n">
        <f aca="false">BA5869-BF5869</f>
        <v>0</v>
      </c>
      <c r="BH5869" s="19" t="str">
        <f aca="false">IF(BG5869=0,"",IF(BG5869&lt;&gt;BA5869,"erreur de calcul",IF(BD5869&lt;&gt;0,"pas de prix",IF(M5869&lt;&gt; 0,"pas de quantité","pas de prix, ni de quantité"))))</f>
        <v/>
      </c>
      <c r="BI5869" s="19"/>
    </row>
    <row r="5870" customFormat="false" ht="15" hidden="false" customHeight="false" outlineLevel="0" collapsed="false">
      <c r="A5870" s="0" t="n">
        <v>6</v>
      </c>
      <c r="B5870" s="8" t="s">
        <v>24</v>
      </c>
      <c r="C5870" s="9" t="s">
        <v>25</v>
      </c>
      <c r="D5870" s="9" t="s">
        <v>26</v>
      </c>
      <c r="E5870" s="10" t="n">
        <v>1789</v>
      </c>
      <c r="F5870" s="9" t="s">
        <v>27</v>
      </c>
      <c r="G5870" s="9" t="s">
        <v>27</v>
      </c>
      <c r="H5870" s="11" t="n">
        <v>25</v>
      </c>
      <c r="I5870" s="11" t="s">
        <v>334</v>
      </c>
      <c r="J5870" s="14" t="n">
        <v>12</v>
      </c>
      <c r="K5870" s="14"/>
      <c r="L5870" s="16"/>
      <c r="M5870" s="27" t="n">
        <f aca="false">J5870+(K5870/20)+(L5870/240)</f>
        <v>12</v>
      </c>
      <c r="N5870" s="17" t="s">
        <v>64</v>
      </c>
      <c r="O5870" s="11"/>
      <c r="P5870" s="28"/>
      <c r="Q5870" s="28" t="n">
        <f aca="false">P5870*$M5870</f>
        <v>0</v>
      </c>
      <c r="R5870" s="28"/>
      <c r="S5870" s="28" t="n">
        <f aca="false">R5870*$M5870</f>
        <v>0</v>
      </c>
      <c r="T5870" s="28"/>
      <c r="U5870" s="28" t="n">
        <f aca="false">T5870*$M5870</f>
        <v>0</v>
      </c>
      <c r="V5870" s="28"/>
      <c r="W5870" s="28" t="n">
        <f aca="false">V5870*$M5870</f>
        <v>0</v>
      </c>
      <c r="X5870" s="28" t="n">
        <f aca="false">1111/100</f>
        <v>11.11</v>
      </c>
      <c r="Y5870" s="28" t="n">
        <v>133</v>
      </c>
      <c r="Z5870" s="28"/>
      <c r="AA5870" s="28" t="n">
        <f aca="false">Z5870*$M5870</f>
        <v>0</v>
      </c>
      <c r="AB5870" s="28"/>
      <c r="AC5870" s="28" t="n">
        <f aca="false">AB5870*$M5870</f>
        <v>0</v>
      </c>
      <c r="AD5870" s="28"/>
      <c r="AE5870" s="28" t="n">
        <f aca="false">AD5870*$M5870</f>
        <v>0</v>
      </c>
      <c r="AF5870" s="28"/>
      <c r="AG5870" s="28" t="n">
        <f aca="false">AF5870*$M5870</f>
        <v>0</v>
      </c>
      <c r="AH5870" s="28"/>
      <c r="AI5870" s="28" t="n">
        <f aca="false">AH5870*$M5870</f>
        <v>0</v>
      </c>
      <c r="AJ5870" s="28"/>
      <c r="AK5870" s="28" t="n">
        <f aca="false">AJ5870*$M5870</f>
        <v>0</v>
      </c>
      <c r="AL5870" s="28"/>
      <c r="AM5870" s="28" t="n">
        <f aca="false">AL5870*$M5870</f>
        <v>0</v>
      </c>
      <c r="AN5870" s="28"/>
      <c r="AO5870" s="28" t="n">
        <f aca="false">AN5870*$M5870</f>
        <v>0</v>
      </c>
      <c r="AP5870" s="28"/>
      <c r="AQ5870" s="28" t="n">
        <f aca="false">AP5870*$M5870</f>
        <v>0</v>
      </c>
      <c r="AR5870" s="28"/>
      <c r="AS5870" s="28" t="n">
        <f aca="false">AR5870*$M5870</f>
        <v>0</v>
      </c>
      <c r="AT5870" s="28"/>
      <c r="AU5870" s="28" t="n">
        <f aca="false">AT5870*$M5870</f>
        <v>0</v>
      </c>
      <c r="AV5870" s="28"/>
      <c r="AW5870" s="28" t="n">
        <f aca="false">AV5870*$M5870</f>
        <v>0</v>
      </c>
      <c r="AX5870" s="28"/>
      <c r="AY5870" s="28" t="n">
        <f aca="false">AX5870*$M5870</f>
        <v>0</v>
      </c>
      <c r="AZ5870" s="30" t="n">
        <f aca="false">1111/100</f>
        <v>11.11</v>
      </c>
      <c r="BA5870" s="11" t="n">
        <v>133</v>
      </c>
      <c r="BB5870" s="31" t="n">
        <f aca="false">SUM(Q5870,S5870,U5870,W5870,Y5870,AA5870,AC5870,AE5870,AG5870,AI5870,AK5870,AM5870,AO5870,AQ5870,AS5870,AU5870,AW5870,AY5870)</f>
        <v>133</v>
      </c>
      <c r="BC5870" s="28" t="n">
        <f aca="false">BA5870-BB5870</f>
        <v>0</v>
      </c>
      <c r="BD5870" s="32" t="n">
        <f aca="false">SUM(P5870,R5870,T5870,V5870,X5870,Z5870,AB5870,AD5870,AF5870,AH5870,AJ5870,AL5870,AN5870,AP5870,AR5870,AT5870,AV5870,AX5870)</f>
        <v>11.11</v>
      </c>
      <c r="BE5870" s="33" t="n">
        <f aca="false">AZ5870-BD5870</f>
        <v>0</v>
      </c>
      <c r="BF5870" s="34" t="n">
        <f aca="false">BD5870*M5870</f>
        <v>133.32</v>
      </c>
      <c r="BG5870" s="35" t="n">
        <f aca="false">BA5870-BF5870</f>
        <v>-0.319999999999993</v>
      </c>
      <c r="BH5870" s="19" t="str">
        <f aca="false">IF(BG5870=0,"",IF(BG5870&lt;&gt;BA5870,"erreur de calcul",IF(BD5870&lt;&gt;0,"pas de prix",IF(M5870&lt;&gt; 0,"pas de quantité","pas de prix, ni de quantité"))))</f>
        <v>erreur de calcul</v>
      </c>
      <c r="BI5870" s="19"/>
    </row>
    <row r="5871" customFormat="false" ht="16.65" hidden="false" customHeight="false" outlineLevel="0" collapsed="false">
      <c r="A5871" s="0" t="n">
        <v>7</v>
      </c>
      <c r="B5871" s="8" t="s">
        <v>24</v>
      </c>
      <c r="C5871" s="9" t="s">
        <v>25</v>
      </c>
      <c r="D5871" s="9" t="s">
        <v>26</v>
      </c>
      <c r="E5871" s="10" t="n">
        <v>1789</v>
      </c>
      <c r="F5871" s="9" t="s">
        <v>27</v>
      </c>
      <c r="G5871" s="9" t="s">
        <v>27</v>
      </c>
      <c r="H5871" s="11" t="n">
        <v>25</v>
      </c>
      <c r="I5871" s="11" t="s">
        <v>335</v>
      </c>
      <c r="J5871" s="14" t="n">
        <v>4</v>
      </c>
      <c r="K5871" s="14" t="n">
        <v>10</v>
      </c>
      <c r="L5871" s="16"/>
      <c r="M5871" s="27" t="n">
        <f aca="false">J5871+(K5871/20)+(L5871/240)</f>
        <v>4.5</v>
      </c>
      <c r="N5871" s="17" t="s">
        <v>64</v>
      </c>
      <c r="O5871" s="11" t="s">
        <v>77</v>
      </c>
      <c r="P5871" s="28" t="n">
        <f aca="false">8366/100</f>
        <v>83.66</v>
      </c>
      <c r="Q5871" s="28" t="n">
        <v>376</v>
      </c>
      <c r="R5871" s="28"/>
      <c r="S5871" s="28" t="n">
        <f aca="false">R5871*$M5871</f>
        <v>0</v>
      </c>
      <c r="T5871" s="28"/>
      <c r="U5871" s="28" t="n">
        <f aca="false">T5871*$M5871</f>
        <v>0</v>
      </c>
      <c r="V5871" s="28"/>
      <c r="W5871" s="28" t="n">
        <f aca="false">V5871*$M5871</f>
        <v>0</v>
      </c>
      <c r="X5871" s="28"/>
      <c r="Y5871" s="28" t="n">
        <f aca="false">X5871*$M5871</f>
        <v>0</v>
      </c>
      <c r="Z5871" s="28"/>
      <c r="AA5871" s="28" t="n">
        <f aca="false">Z5871*$M5871</f>
        <v>0</v>
      </c>
      <c r="AB5871" s="28"/>
      <c r="AC5871" s="28" t="n">
        <f aca="false">AB5871*$M5871</f>
        <v>0</v>
      </c>
      <c r="AD5871" s="28"/>
      <c r="AE5871" s="28" t="n">
        <f aca="false">AD5871*$M5871</f>
        <v>0</v>
      </c>
      <c r="AF5871" s="28"/>
      <c r="AG5871" s="28" t="n">
        <f aca="false">AF5871*$M5871</f>
        <v>0</v>
      </c>
      <c r="AH5871" s="28"/>
      <c r="AI5871" s="28" t="n">
        <f aca="false">AH5871*$M5871</f>
        <v>0</v>
      </c>
      <c r="AJ5871" s="28"/>
      <c r="AK5871" s="28" t="n">
        <f aca="false">AJ5871*$M5871</f>
        <v>0</v>
      </c>
      <c r="AL5871" s="28"/>
      <c r="AM5871" s="28" t="n">
        <f aca="false">AL5871*$M5871</f>
        <v>0</v>
      </c>
      <c r="AN5871" s="28"/>
      <c r="AO5871" s="28" t="n">
        <f aca="false">AN5871*$M5871</f>
        <v>0</v>
      </c>
      <c r="AP5871" s="28"/>
      <c r="AQ5871" s="28" t="n">
        <f aca="false">AP5871*$M5871</f>
        <v>0</v>
      </c>
      <c r="AR5871" s="28"/>
      <c r="AS5871" s="28" t="n">
        <f aca="false">AR5871*$M5871</f>
        <v>0</v>
      </c>
      <c r="AT5871" s="28"/>
      <c r="AU5871" s="28" t="n">
        <f aca="false">AT5871*$M5871</f>
        <v>0</v>
      </c>
      <c r="AV5871" s="28"/>
      <c r="AW5871" s="28" t="n">
        <f aca="false">AV5871*$M5871</f>
        <v>0</v>
      </c>
      <c r="AX5871" s="28"/>
      <c r="AY5871" s="28" t="n">
        <f aca="false">AX5871*$M5871</f>
        <v>0</v>
      </c>
      <c r="AZ5871" s="30" t="n">
        <f aca="false">8366/100</f>
        <v>83.66</v>
      </c>
      <c r="BA5871" s="11" t="n">
        <v>376</v>
      </c>
      <c r="BB5871" s="31" t="n">
        <f aca="false">SUM(Q5871,S5871,U5871,W5871,Y5871,AA5871,AC5871,AE5871,AG5871,AI5871,AK5871,AM5871,AO5871,AQ5871,AS5871,AU5871,AW5871,AY5871)</f>
        <v>376</v>
      </c>
      <c r="BC5871" s="28" t="n">
        <f aca="false">BA5871-BB5871</f>
        <v>0</v>
      </c>
      <c r="BD5871" s="32" t="n">
        <f aca="false">SUM(P5871,R5871,T5871,V5871,X5871,Z5871,AB5871,AD5871,AF5871,AH5871,AJ5871,AL5871,AN5871,AP5871,AR5871,AT5871,AV5871,AX5871)</f>
        <v>83.66</v>
      </c>
      <c r="BE5871" s="33" t="n">
        <f aca="false">AZ5871-BD5871</f>
        <v>0</v>
      </c>
      <c r="BF5871" s="34" t="n">
        <f aca="false">BD5871*M5871</f>
        <v>376.47</v>
      </c>
      <c r="BG5871" s="35" t="n">
        <f aca="false">BA5871-BF5871</f>
        <v>-0.46999999999997</v>
      </c>
      <c r="BH5871" s="19" t="str">
        <f aca="false">IF(BG5871=0,"",IF(BG5871&lt;&gt;BA5871,"erreur de calcul",IF(BD5871&lt;&gt;0,"pas de prix",IF(M5871&lt;&gt; 0,"pas de quantité","pas de prix, ni de quantité"))))</f>
        <v>erreur de calcul</v>
      </c>
      <c r="BI5871" s="19"/>
    </row>
    <row r="5872" customFormat="false" ht="15" hidden="false" customHeight="false" outlineLevel="0" collapsed="false">
      <c r="A5872" s="0" t="n">
        <v>8</v>
      </c>
      <c r="B5872" s="8" t="s">
        <v>24</v>
      </c>
      <c r="C5872" s="9" t="s">
        <v>25</v>
      </c>
      <c r="D5872" s="9" t="s">
        <v>26</v>
      </c>
      <c r="E5872" s="10" t="n">
        <v>1789</v>
      </c>
      <c r="F5872" s="9" t="s">
        <v>27</v>
      </c>
      <c r="G5872" s="9" t="s">
        <v>27</v>
      </c>
      <c r="H5872" s="11" t="n">
        <v>25</v>
      </c>
      <c r="I5872" s="11" t="s">
        <v>336</v>
      </c>
      <c r="J5872" s="14" t="n">
        <v>64</v>
      </c>
      <c r="K5872" s="14"/>
      <c r="L5872" s="16"/>
      <c r="M5872" s="27" t="n">
        <f aca="false">J5872+(K5872/20)+(L5872/240)</f>
        <v>64</v>
      </c>
      <c r="N5872" s="17" t="s">
        <v>337</v>
      </c>
      <c r="O5872" s="11"/>
      <c r="P5872" s="28"/>
      <c r="Q5872" s="28" t="n">
        <f aca="false">P5872*$M5872</f>
        <v>0</v>
      </c>
      <c r="R5872" s="28"/>
      <c r="S5872" s="28" t="n">
        <f aca="false">R5872*$M5872</f>
        <v>0</v>
      </c>
      <c r="T5872" s="28" t="n">
        <v>42</v>
      </c>
      <c r="U5872" s="28" t="n">
        <v>2688</v>
      </c>
      <c r="V5872" s="28"/>
      <c r="W5872" s="28" t="n">
        <f aca="false">V5872*$M5872</f>
        <v>0</v>
      </c>
      <c r="X5872" s="28"/>
      <c r="Y5872" s="28" t="n">
        <f aca="false">X5872*$M5872</f>
        <v>0</v>
      </c>
      <c r="Z5872" s="28"/>
      <c r="AA5872" s="28" t="n">
        <f aca="false">Z5872*$M5872</f>
        <v>0</v>
      </c>
      <c r="AB5872" s="28" t="n">
        <v>66</v>
      </c>
      <c r="AC5872" s="28" t="n">
        <v>4224</v>
      </c>
      <c r="AD5872" s="28"/>
      <c r="AE5872" s="28" t="n">
        <f aca="false">AD5872*$M5872</f>
        <v>0</v>
      </c>
      <c r="AF5872" s="28"/>
      <c r="AG5872" s="28" t="n">
        <f aca="false">AF5872*$M5872</f>
        <v>0</v>
      </c>
      <c r="AH5872" s="28"/>
      <c r="AI5872" s="28" t="n">
        <f aca="false">AH5872*$M5872</f>
        <v>0</v>
      </c>
      <c r="AJ5872" s="28"/>
      <c r="AK5872" s="28" t="n">
        <f aca="false">AJ5872*$M5872</f>
        <v>0</v>
      </c>
      <c r="AL5872" s="28"/>
      <c r="AM5872" s="28" t="n">
        <f aca="false">AL5872*$M5872</f>
        <v>0</v>
      </c>
      <c r="AN5872" s="28"/>
      <c r="AO5872" s="28" t="n">
        <f aca="false">AN5872*$M5872</f>
        <v>0</v>
      </c>
      <c r="AP5872" s="28"/>
      <c r="AQ5872" s="28" t="n">
        <f aca="false">AP5872*$M5872</f>
        <v>0</v>
      </c>
      <c r="AR5872" s="28"/>
      <c r="AS5872" s="28" t="n">
        <f aca="false">AR5872*$M5872</f>
        <v>0</v>
      </c>
      <c r="AT5872" s="28"/>
      <c r="AU5872" s="28" t="n">
        <f aca="false">AT5872*$M5872</f>
        <v>0</v>
      </c>
      <c r="AV5872" s="28"/>
      <c r="AW5872" s="28" t="n">
        <f aca="false">AV5872*$M5872</f>
        <v>0</v>
      </c>
      <c r="AX5872" s="28"/>
      <c r="AY5872" s="28" t="n">
        <f aca="false">AX5872*$M5872</f>
        <v>0</v>
      </c>
      <c r="AZ5872" s="30" t="n">
        <v>108</v>
      </c>
      <c r="BA5872" s="11" t="n">
        <v>6912</v>
      </c>
      <c r="BB5872" s="31" t="n">
        <f aca="false">SUM(Q5872,S5872,U5872,W5872,Y5872,AA5872,AC5872,AE5872,AG5872,AI5872,AK5872,AM5872,AO5872,AQ5872,AS5872,AU5872,AW5872,AY5872)</f>
        <v>6912</v>
      </c>
      <c r="BC5872" s="28" t="n">
        <f aca="false">BA5872-BB5872</f>
        <v>0</v>
      </c>
      <c r="BD5872" s="32" t="n">
        <f aca="false">SUM(P5872,R5872,T5872,V5872,X5872,Z5872,AB5872,AD5872,AF5872,AH5872,AJ5872,AL5872,AN5872,AP5872,AR5872,AT5872,AV5872,AX5872)</f>
        <v>108</v>
      </c>
      <c r="BE5872" s="33" t="n">
        <f aca="false">AZ5872-BD5872</f>
        <v>0</v>
      </c>
      <c r="BF5872" s="34" t="n">
        <f aca="false">BD5872*M5872</f>
        <v>6912</v>
      </c>
      <c r="BG5872" s="35" t="n">
        <f aca="false">BA5872-BF5872</f>
        <v>0</v>
      </c>
      <c r="BH5872" s="19" t="str">
        <f aca="false">IF(BG5872=0,"",IF(BG5872&lt;&gt;BA5872,"erreur de calcul",IF(BD5872&lt;&gt;0,"pas de prix",IF(M5872&lt;&gt; 0,"pas de quantité","pas de prix, ni de quantité"))))</f>
        <v/>
      </c>
      <c r="BI5872" s="19"/>
    </row>
    <row r="5873" customFormat="false" ht="15" hidden="false" customHeight="false" outlineLevel="0" collapsed="false">
      <c r="A5873" s="0" t="n">
        <v>9</v>
      </c>
      <c r="B5873" s="8" t="s">
        <v>24</v>
      </c>
      <c r="C5873" s="9" t="s">
        <v>25</v>
      </c>
      <c r="D5873" s="9" t="s">
        <v>26</v>
      </c>
      <c r="E5873" s="10" t="n">
        <v>1789</v>
      </c>
      <c r="F5873" s="9" t="s">
        <v>27</v>
      </c>
      <c r="G5873" s="9" t="s">
        <v>27</v>
      </c>
      <c r="H5873" s="11" t="n">
        <v>25</v>
      </c>
      <c r="I5873" s="11" t="s">
        <v>338</v>
      </c>
      <c r="J5873" s="14"/>
      <c r="K5873" s="14"/>
      <c r="L5873" s="16"/>
      <c r="M5873" s="27" t="n">
        <f aca="false">J5873+(K5873/20)+(L5873/240)</f>
        <v>0</v>
      </c>
      <c r="N5873" s="17"/>
      <c r="O5873" s="11"/>
      <c r="P5873" s="28"/>
      <c r="Q5873" s="28" t="n">
        <f aca="false">P5873*$M5873</f>
        <v>0</v>
      </c>
      <c r="R5873" s="28"/>
      <c r="S5873" s="28" t="n">
        <f aca="false">R5873*$M5873</f>
        <v>0</v>
      </c>
      <c r="T5873" s="28"/>
      <c r="U5873" s="28" t="n">
        <v>135</v>
      </c>
      <c r="V5873" s="28"/>
      <c r="W5873" s="28" t="n">
        <v>642</v>
      </c>
      <c r="X5873" s="28"/>
      <c r="Y5873" s="28" t="n">
        <f aca="false">X5873*$M5873</f>
        <v>0</v>
      </c>
      <c r="Z5873" s="28"/>
      <c r="AA5873" s="28" t="n">
        <f aca="false">Z5873*$M5873</f>
        <v>0</v>
      </c>
      <c r="AB5873" s="28"/>
      <c r="AC5873" s="28" t="n">
        <f aca="false">AB5873*$M5873</f>
        <v>0</v>
      </c>
      <c r="AD5873" s="28"/>
      <c r="AE5873" s="28" t="n">
        <f aca="false">AD5873*$M5873</f>
        <v>0</v>
      </c>
      <c r="AF5873" s="28"/>
      <c r="AG5873" s="28" t="n">
        <f aca="false">AF5873*$M5873</f>
        <v>0</v>
      </c>
      <c r="AH5873" s="28"/>
      <c r="AI5873" s="28" t="n">
        <f aca="false">AH5873*$M5873</f>
        <v>0</v>
      </c>
      <c r="AJ5873" s="28"/>
      <c r="AK5873" s="28" t="n">
        <v>375</v>
      </c>
      <c r="AL5873" s="28"/>
      <c r="AM5873" s="28" t="n">
        <f aca="false">AL5873*$M5873</f>
        <v>0</v>
      </c>
      <c r="AN5873" s="28"/>
      <c r="AO5873" s="28" t="n">
        <f aca="false">AN5873*$M5873</f>
        <v>0</v>
      </c>
      <c r="AP5873" s="28"/>
      <c r="AQ5873" s="28" t="n">
        <f aca="false">AP5873*$M5873</f>
        <v>0</v>
      </c>
      <c r="AR5873" s="28"/>
      <c r="AS5873" s="28" t="n">
        <f aca="false">AR5873*$M5873</f>
        <v>0</v>
      </c>
      <c r="AT5873" s="28"/>
      <c r="AU5873" s="28" t="n">
        <f aca="false">AT5873*$M5873</f>
        <v>0</v>
      </c>
      <c r="AV5873" s="28"/>
      <c r="AW5873" s="28" t="n">
        <v>765</v>
      </c>
      <c r="AX5873" s="28"/>
      <c r="AY5873" s="28" t="n">
        <f aca="false">AX5873*$M5873</f>
        <v>0</v>
      </c>
      <c r="AZ5873" s="30"/>
      <c r="BA5873" s="11" t="n">
        <v>1917</v>
      </c>
      <c r="BB5873" s="31" t="n">
        <f aca="false">SUM(Q5873,S5873,U5873,W5873,Y5873,AA5873,AC5873,AE5873,AG5873,AI5873,AK5873,AM5873,AO5873,AQ5873,AS5873,AU5873,AW5873,AY5873)</f>
        <v>1917</v>
      </c>
      <c r="BC5873" s="28" t="n">
        <f aca="false">BA5873-BB5873</f>
        <v>0</v>
      </c>
      <c r="BD5873" s="32" t="n">
        <f aca="false">SUM(P5873,R5873,T5873,V5873,X5873,Z5873,AB5873,AD5873,AF5873,AH5873,AJ5873,AL5873,AN5873,AP5873,AR5873,AT5873,AV5873,AX5873)</f>
        <v>0</v>
      </c>
      <c r="BE5873" s="33" t="n">
        <f aca="false">AZ5873-BD5873</f>
        <v>0</v>
      </c>
      <c r="BF5873" s="34" t="n">
        <f aca="false">BD5873*M5873</f>
        <v>0</v>
      </c>
      <c r="BG5873" s="35" t="n">
        <f aca="false">BA5873-BF5873</f>
        <v>1917</v>
      </c>
      <c r="BH5873" s="19" t="str">
        <f aca="false">IF(BG5873=0,"",IF(BG5873&lt;&gt;BA5873,"erreur de calcul",IF(BD5873&lt;&gt;0,"pas de prix",IF(M5873&lt;&gt; 0,"pas de quantité","pas de prix, ni de quantité"))))</f>
        <v>pas de prix, ni de quantité</v>
      </c>
      <c r="BI5873" s="19"/>
    </row>
    <row r="5874" customFormat="false" ht="15" hidden="false" customHeight="false" outlineLevel="0" collapsed="false">
      <c r="A5874" s="0" t="n">
        <v>10</v>
      </c>
      <c r="B5874" s="8" t="s">
        <v>24</v>
      </c>
      <c r="C5874" s="9" t="s">
        <v>25</v>
      </c>
      <c r="D5874" s="9" t="s">
        <v>26</v>
      </c>
      <c r="E5874" s="10" t="n">
        <v>1789</v>
      </c>
      <c r="F5874" s="9" t="s">
        <v>27</v>
      </c>
      <c r="G5874" s="9" t="s">
        <v>27</v>
      </c>
      <c r="H5874" s="11" t="n">
        <v>25</v>
      </c>
      <c r="I5874" s="11" t="s">
        <v>339</v>
      </c>
      <c r="J5874" s="14" t="n">
        <v>7</v>
      </c>
      <c r="K5874" s="14"/>
      <c r="L5874" s="16"/>
      <c r="M5874" s="27" t="n">
        <f aca="false">J5874+(K5874/20)+(L5874/240)</f>
        <v>7</v>
      </c>
      <c r="N5874" s="17" t="s">
        <v>69</v>
      </c>
      <c r="O5874" s="11"/>
      <c r="P5874" s="28"/>
      <c r="Q5874" s="28" t="n">
        <f aca="false">P5874*$M5874</f>
        <v>0</v>
      </c>
      <c r="R5874" s="28"/>
      <c r="S5874" s="28" t="n">
        <f aca="false">R5874*$M5874</f>
        <v>0</v>
      </c>
      <c r="T5874" s="28"/>
      <c r="U5874" s="28" t="n">
        <f aca="false">T5874*$M5874</f>
        <v>0</v>
      </c>
      <c r="V5874" s="28" t="n">
        <v>554</v>
      </c>
      <c r="W5874" s="28" t="n">
        <v>3878</v>
      </c>
      <c r="X5874" s="28"/>
      <c r="Y5874" s="28" t="n">
        <f aca="false">X5874*$M5874</f>
        <v>0</v>
      </c>
      <c r="Z5874" s="28"/>
      <c r="AA5874" s="28" t="n">
        <f aca="false">Z5874*$M5874</f>
        <v>0</v>
      </c>
      <c r="AB5874" s="28"/>
      <c r="AC5874" s="28" t="n">
        <f aca="false">AB5874*$M5874</f>
        <v>0</v>
      </c>
      <c r="AD5874" s="28"/>
      <c r="AE5874" s="28" t="n">
        <f aca="false">AD5874*$M5874</f>
        <v>0</v>
      </c>
      <c r="AF5874" s="28"/>
      <c r="AG5874" s="28" t="n">
        <f aca="false">AF5874*$M5874</f>
        <v>0</v>
      </c>
      <c r="AH5874" s="28"/>
      <c r="AI5874" s="28" t="n">
        <f aca="false">AH5874*$M5874</f>
        <v>0</v>
      </c>
      <c r="AJ5874" s="28"/>
      <c r="AK5874" s="28" t="n">
        <f aca="false">AJ5874*$M5874</f>
        <v>0</v>
      </c>
      <c r="AL5874" s="28"/>
      <c r="AM5874" s="28" t="n">
        <f aca="false">AL5874*$M5874</f>
        <v>0</v>
      </c>
      <c r="AN5874" s="28"/>
      <c r="AO5874" s="28" t="n">
        <f aca="false">AN5874*$M5874</f>
        <v>0</v>
      </c>
      <c r="AP5874" s="28"/>
      <c r="AQ5874" s="28" t="n">
        <f aca="false">AP5874*$M5874</f>
        <v>0</v>
      </c>
      <c r="AR5874" s="28"/>
      <c r="AS5874" s="28" t="n">
        <f aca="false">AR5874*$M5874</f>
        <v>0</v>
      </c>
      <c r="AT5874" s="28"/>
      <c r="AU5874" s="28" t="n">
        <f aca="false">AT5874*$M5874</f>
        <v>0</v>
      </c>
      <c r="AV5874" s="28"/>
      <c r="AW5874" s="28" t="n">
        <f aca="false">AV5874*$M5874</f>
        <v>0</v>
      </c>
      <c r="AX5874" s="28"/>
      <c r="AY5874" s="28" t="n">
        <f aca="false">AX5874*$M5874</f>
        <v>0</v>
      </c>
      <c r="AZ5874" s="30" t="n">
        <v>554</v>
      </c>
      <c r="BA5874" s="11" t="n">
        <v>3878</v>
      </c>
      <c r="BB5874" s="31" t="n">
        <f aca="false">SUM(Q5874,S5874,U5874,W5874,Y5874,AA5874,AC5874,AE5874,AG5874,AI5874,AK5874,AM5874,AO5874,AQ5874,AS5874,AU5874,AW5874,AY5874)</f>
        <v>3878</v>
      </c>
      <c r="BC5874" s="28" t="n">
        <f aca="false">BA5874-BB5874</f>
        <v>0</v>
      </c>
      <c r="BD5874" s="32" t="n">
        <f aca="false">SUM(P5874,R5874,T5874,V5874,X5874,Z5874,AB5874,AD5874,AF5874,AH5874,AJ5874,AL5874,AN5874,AP5874,AR5874,AT5874,AV5874,AX5874)</f>
        <v>554</v>
      </c>
      <c r="BE5874" s="33" t="n">
        <f aca="false">AZ5874-BD5874</f>
        <v>0</v>
      </c>
      <c r="BF5874" s="34" t="n">
        <f aca="false">BD5874*M5874</f>
        <v>3878</v>
      </c>
      <c r="BG5874" s="35" t="n">
        <f aca="false">BA5874-BF5874</f>
        <v>0</v>
      </c>
      <c r="BH5874" s="19" t="str">
        <f aca="false">IF(BG5874=0,"",IF(BG5874&lt;&gt;BA5874,"erreur de calcul",IF(BD5874&lt;&gt;0,"pas de prix",IF(M5874&lt;&gt; 0,"pas de quantité","pas de prix, ni de quantité"))))</f>
        <v/>
      </c>
      <c r="BI5874" s="19"/>
    </row>
    <row r="5875" customFormat="false" ht="15" hidden="false" customHeight="false" outlineLevel="0" collapsed="false">
      <c r="A5875" s="0" t="n">
        <v>11</v>
      </c>
      <c r="B5875" s="8" t="s">
        <v>24</v>
      </c>
      <c r="C5875" s="9" t="s">
        <v>25</v>
      </c>
      <c r="D5875" s="9" t="s">
        <v>26</v>
      </c>
      <c r="E5875" s="10" t="n">
        <v>1789</v>
      </c>
      <c r="F5875" s="9" t="s">
        <v>27</v>
      </c>
      <c r="G5875" s="9" t="s">
        <v>27</v>
      </c>
      <c r="H5875" s="11" t="n">
        <v>25</v>
      </c>
      <c r="I5875" s="11" t="s">
        <v>340</v>
      </c>
      <c r="J5875" s="14" t="n">
        <v>15</v>
      </c>
      <c r="K5875" s="14"/>
      <c r="L5875" s="16"/>
      <c r="M5875" s="27" t="n">
        <f aca="false">J5875+(K5875/20)+(L5875/240)</f>
        <v>15</v>
      </c>
      <c r="N5875" s="17" t="s">
        <v>64</v>
      </c>
      <c r="O5875" s="11"/>
      <c r="P5875" s="28" t="n">
        <f aca="false">470959/100</f>
        <v>4709.59</v>
      </c>
      <c r="Q5875" s="28" t="n">
        <v>70644</v>
      </c>
      <c r="R5875" s="28"/>
      <c r="S5875" s="28" t="n">
        <f aca="false">R5875*$M5875</f>
        <v>0</v>
      </c>
      <c r="T5875" s="28"/>
      <c r="U5875" s="28" t="n">
        <f aca="false">T5875*$M5875</f>
        <v>0</v>
      </c>
      <c r="V5875" s="28"/>
      <c r="W5875" s="28" t="n">
        <f aca="false">V5875*$M5875</f>
        <v>0</v>
      </c>
      <c r="X5875" s="28"/>
      <c r="Y5875" s="28" t="n">
        <f aca="false">X5875*$M5875</f>
        <v>0</v>
      </c>
      <c r="Z5875" s="28"/>
      <c r="AA5875" s="28" t="n">
        <f aca="false">Z5875*$M5875</f>
        <v>0</v>
      </c>
      <c r="AB5875" s="28" t="n">
        <f aca="false">50000/100</f>
        <v>500</v>
      </c>
      <c r="AC5875" s="28" t="n">
        <v>7500</v>
      </c>
      <c r="AD5875" s="28"/>
      <c r="AE5875" s="28" t="n">
        <f aca="false">AD5875*$M5875</f>
        <v>0</v>
      </c>
      <c r="AF5875" s="28" t="n">
        <f aca="false">15584/100</f>
        <v>155.84</v>
      </c>
      <c r="AG5875" s="28" t="n">
        <v>2338</v>
      </c>
      <c r="AH5875" s="28"/>
      <c r="AI5875" s="28" t="n">
        <f aca="false">AH5875*$M5875</f>
        <v>0</v>
      </c>
      <c r="AJ5875" s="28"/>
      <c r="AK5875" s="28" t="n">
        <f aca="false">AJ5875*$M5875</f>
        <v>0</v>
      </c>
      <c r="AL5875" s="28"/>
      <c r="AM5875" s="28" t="n">
        <f aca="false">AL5875*$M5875</f>
        <v>0</v>
      </c>
      <c r="AN5875" s="28"/>
      <c r="AO5875" s="28" t="n">
        <f aca="false">AN5875*$M5875</f>
        <v>0</v>
      </c>
      <c r="AP5875" s="28"/>
      <c r="AQ5875" s="28" t="n">
        <f aca="false">AP5875*$M5875</f>
        <v>0</v>
      </c>
      <c r="AR5875" s="28"/>
      <c r="AS5875" s="28" t="n">
        <f aca="false">AR5875*$M5875</f>
        <v>0</v>
      </c>
      <c r="AT5875" s="28"/>
      <c r="AU5875" s="28" t="n">
        <f aca="false">AT5875*$M5875</f>
        <v>0</v>
      </c>
      <c r="AV5875" s="28"/>
      <c r="AW5875" s="28" t="n">
        <f aca="false">AV5875*$M5875</f>
        <v>0</v>
      </c>
      <c r="AX5875" s="28"/>
      <c r="AY5875" s="28" t="n">
        <f aca="false">AX5875*$M5875</f>
        <v>0</v>
      </c>
      <c r="AZ5875" s="30" t="n">
        <f aca="false">535959/100</f>
        <v>5359.59</v>
      </c>
      <c r="BA5875" s="11" t="n">
        <v>80482</v>
      </c>
      <c r="BB5875" s="31" t="n">
        <f aca="false">SUM(Q5875,S5875,U5875,W5875,Y5875,AA5875,AC5875,AE5875,AG5875,AI5875,AK5875,AM5875,AO5875,AQ5875,AS5875,AU5875,AW5875,AY5875)</f>
        <v>80482</v>
      </c>
      <c r="BC5875" s="28" t="n">
        <f aca="false">BA5875-BB5875</f>
        <v>0</v>
      </c>
      <c r="BD5875" s="32" t="n">
        <f aca="false">SUM(P5875,R5875,T5875,V5875,X5875,Z5875,AB5875,AD5875,AF5875,AH5875,AJ5875,AL5875,AN5875,AP5875,AR5875,AT5875,AV5875,AX5875)</f>
        <v>5365.43</v>
      </c>
      <c r="BE5875" s="33" t="n">
        <f aca="false">AZ5875-BD5875</f>
        <v>-5.84000000000015</v>
      </c>
      <c r="BF5875" s="34" t="n">
        <f aca="false">BD5875*M5875</f>
        <v>80481.45</v>
      </c>
      <c r="BG5875" s="35" t="n">
        <f aca="false">BA5875-BF5875</f>
        <v>0.549999999988359</v>
      </c>
      <c r="BH5875" s="19" t="str">
        <f aca="false">IF(BG5875=0,"",IF(BG5875&lt;&gt;BA5875,"erreur de calcul",IF(BD5875&lt;&gt;0,"pas de prix",IF(M5875&lt;&gt; 0,"pas de quantité","pas de prix, ni de quantité"))))</f>
        <v>erreur de calcul</v>
      </c>
      <c r="BI5875" s="19"/>
    </row>
    <row r="5876" customFormat="false" ht="15" hidden="false" customHeight="false" outlineLevel="0" collapsed="false">
      <c r="A5876" s="0" t="n">
        <v>12</v>
      </c>
      <c r="B5876" s="8" t="s">
        <v>24</v>
      </c>
      <c r="C5876" s="9" t="s">
        <v>25</v>
      </c>
      <c r="D5876" s="9" t="s">
        <v>26</v>
      </c>
      <c r="E5876" s="10" t="n">
        <v>1789</v>
      </c>
      <c r="F5876" s="9" t="s">
        <v>27</v>
      </c>
      <c r="G5876" s="9" t="s">
        <v>27</v>
      </c>
      <c r="H5876" s="11" t="n">
        <v>25</v>
      </c>
      <c r="I5876" s="11" t="s">
        <v>341</v>
      </c>
      <c r="J5876" s="14" t="n">
        <v>75</v>
      </c>
      <c r="K5876" s="14"/>
      <c r="L5876" s="16"/>
      <c r="M5876" s="27" t="n">
        <f aca="false">J5876+(K5876/20)+(L5876/240)</f>
        <v>75</v>
      </c>
      <c r="N5876" s="17" t="s">
        <v>85</v>
      </c>
      <c r="O5876" s="11"/>
      <c r="P5876" s="28"/>
      <c r="Q5876" s="28" t="n">
        <f aca="false">P5876*$M5876</f>
        <v>0</v>
      </c>
      <c r="R5876" s="28"/>
      <c r="S5876" s="28" t="n">
        <f aca="false">R5876*$M5876</f>
        <v>0</v>
      </c>
      <c r="T5876" s="28"/>
      <c r="U5876" s="28" t="n">
        <f aca="false">T5876*$M5876</f>
        <v>0</v>
      </c>
      <c r="V5876" s="28"/>
      <c r="W5876" s="28" t="n">
        <f aca="false">V5876*$M5876</f>
        <v>0</v>
      </c>
      <c r="X5876" s="28"/>
      <c r="Y5876" s="28" t="n">
        <f aca="false">X5876*$M5876</f>
        <v>0</v>
      </c>
      <c r="Z5876" s="28"/>
      <c r="AA5876" s="28" t="n">
        <f aca="false">Z5876*$M5876</f>
        <v>0</v>
      </c>
      <c r="AB5876" s="28"/>
      <c r="AC5876" s="28" t="n">
        <f aca="false">AB5876*$M5876</f>
        <v>0</v>
      </c>
      <c r="AD5876" s="28"/>
      <c r="AE5876" s="28" t="n">
        <f aca="false">AD5876*$M5876</f>
        <v>0</v>
      </c>
      <c r="AF5876" s="28"/>
      <c r="AG5876" s="28" t="n">
        <f aca="false">AF5876*$M5876</f>
        <v>0</v>
      </c>
      <c r="AH5876" s="28"/>
      <c r="AI5876" s="28" t="n">
        <f aca="false">AH5876*$M5876</f>
        <v>0</v>
      </c>
      <c r="AJ5876" s="28"/>
      <c r="AK5876" s="28" t="n">
        <f aca="false">AJ5876*$M5876</f>
        <v>0</v>
      </c>
      <c r="AL5876" s="28" t="n">
        <f aca="false">2584/100</f>
        <v>25.84</v>
      </c>
      <c r="AM5876" s="28" t="n">
        <v>1938</v>
      </c>
      <c r="AN5876" s="28"/>
      <c r="AO5876" s="28" t="n">
        <f aca="false">AN5876*$M5876</f>
        <v>0</v>
      </c>
      <c r="AP5876" s="28"/>
      <c r="AQ5876" s="28" t="n">
        <f aca="false">AP5876*$M5876</f>
        <v>0</v>
      </c>
      <c r="AR5876" s="28"/>
      <c r="AS5876" s="28" t="n">
        <f aca="false">AR5876*$M5876</f>
        <v>0</v>
      </c>
      <c r="AT5876" s="28"/>
      <c r="AU5876" s="28" t="n">
        <f aca="false">AT5876*$M5876</f>
        <v>0</v>
      </c>
      <c r="AV5876" s="28"/>
      <c r="AW5876" s="28" t="n">
        <f aca="false">AV5876*$M5876</f>
        <v>0</v>
      </c>
      <c r="AX5876" s="28"/>
      <c r="AY5876" s="28" t="n">
        <f aca="false">AX5876*$M5876</f>
        <v>0</v>
      </c>
      <c r="AZ5876" s="30" t="n">
        <f aca="false">2584/100</f>
        <v>25.84</v>
      </c>
      <c r="BA5876" s="11" t="n">
        <v>1938</v>
      </c>
      <c r="BB5876" s="31" t="n">
        <f aca="false">SUM(Q5876,S5876,U5876,W5876,Y5876,AA5876,AC5876,AE5876,AG5876,AI5876,AK5876,AM5876,AO5876,AQ5876,AS5876,AU5876,AW5876,AY5876)</f>
        <v>1938</v>
      </c>
      <c r="BC5876" s="28" t="n">
        <f aca="false">BA5876-BB5876</f>
        <v>0</v>
      </c>
      <c r="BD5876" s="32" t="n">
        <f aca="false">SUM(P5876,R5876,T5876,V5876,X5876,Z5876,AB5876,AD5876,AF5876,AH5876,AJ5876,AL5876,AN5876,AP5876,AR5876,AT5876,AV5876,AX5876)</f>
        <v>25.84</v>
      </c>
      <c r="BE5876" s="33" t="n">
        <f aca="false">AZ5876-BD5876</f>
        <v>0</v>
      </c>
      <c r="BF5876" s="34" t="n">
        <f aca="false">BD5876*M5876</f>
        <v>1938</v>
      </c>
      <c r="BG5876" s="35" t="n">
        <f aca="false">BA5876-BF5876</f>
        <v>0</v>
      </c>
      <c r="BH5876" s="19" t="str">
        <f aca="false">IF(BG5876=0,"",IF(BG5876&lt;&gt;BA5876,"erreur de calcul",IF(BD5876&lt;&gt;0,"pas de prix",IF(M5876&lt;&gt; 0,"pas de quantité","pas de prix, ni de quantité"))))</f>
        <v/>
      </c>
      <c r="BI5876" s="19"/>
    </row>
    <row r="5877" customFormat="false" ht="15" hidden="false" customHeight="false" outlineLevel="0" collapsed="false">
      <c r="A5877" s="0" t="n">
        <v>13</v>
      </c>
      <c r="B5877" s="8" t="s">
        <v>24</v>
      </c>
      <c r="C5877" s="9" t="s">
        <v>25</v>
      </c>
      <c r="D5877" s="9" t="s">
        <v>26</v>
      </c>
      <c r="E5877" s="10" t="n">
        <v>1789</v>
      </c>
      <c r="F5877" s="9" t="s">
        <v>27</v>
      </c>
      <c r="G5877" s="9" t="s">
        <v>27</v>
      </c>
      <c r="H5877" s="11" t="n">
        <v>25</v>
      </c>
      <c r="I5877" s="11" t="s">
        <v>342</v>
      </c>
      <c r="J5877" s="14" t="n">
        <v>10</v>
      </c>
      <c r="K5877" s="14"/>
      <c r="L5877" s="16"/>
      <c r="M5877" s="27" t="n">
        <f aca="false">J5877+(K5877/20)+(L5877/240)</f>
        <v>10</v>
      </c>
      <c r="N5877" s="17" t="s">
        <v>66</v>
      </c>
      <c r="O5877" s="11"/>
      <c r="P5877" s="28"/>
      <c r="Q5877" s="28" t="n">
        <f aca="false">P5877*$M5877</f>
        <v>0</v>
      </c>
      <c r="R5877" s="28" t="n">
        <v>827</v>
      </c>
      <c r="S5877" s="28" t="n">
        <v>8270</v>
      </c>
      <c r="T5877" s="28"/>
      <c r="U5877" s="28" t="n">
        <f aca="false">T5877*$M5877</f>
        <v>0</v>
      </c>
      <c r="V5877" s="28"/>
      <c r="W5877" s="28" t="n">
        <f aca="false">V5877*$M5877</f>
        <v>0</v>
      </c>
      <c r="X5877" s="28"/>
      <c r="Y5877" s="28" t="n">
        <f aca="false">X5877*$M5877</f>
        <v>0</v>
      </c>
      <c r="Z5877" s="28"/>
      <c r="AA5877" s="28" t="n">
        <f aca="false">Z5877*$M5877</f>
        <v>0</v>
      </c>
      <c r="AB5877" s="28"/>
      <c r="AC5877" s="28" t="n">
        <f aca="false">AB5877*$M5877</f>
        <v>0</v>
      </c>
      <c r="AD5877" s="28"/>
      <c r="AE5877" s="28" t="n">
        <f aca="false">AD5877*$M5877</f>
        <v>0</v>
      </c>
      <c r="AF5877" s="28"/>
      <c r="AG5877" s="28" t="n">
        <f aca="false">AF5877*$M5877</f>
        <v>0</v>
      </c>
      <c r="AH5877" s="28"/>
      <c r="AI5877" s="28" t="n">
        <f aca="false">AH5877*$M5877</f>
        <v>0</v>
      </c>
      <c r="AJ5877" s="28"/>
      <c r="AK5877" s="28" t="n">
        <f aca="false">AJ5877*$M5877</f>
        <v>0</v>
      </c>
      <c r="AL5877" s="28"/>
      <c r="AM5877" s="28" t="n">
        <f aca="false">AL5877*$M5877</f>
        <v>0</v>
      </c>
      <c r="AN5877" s="28"/>
      <c r="AO5877" s="28" t="n">
        <f aca="false">AN5877*$M5877</f>
        <v>0</v>
      </c>
      <c r="AP5877" s="28"/>
      <c r="AQ5877" s="28" t="n">
        <f aca="false">AP5877*$M5877</f>
        <v>0</v>
      </c>
      <c r="AR5877" s="28"/>
      <c r="AS5877" s="28" t="n">
        <f aca="false">AR5877*$M5877</f>
        <v>0</v>
      </c>
      <c r="AT5877" s="28"/>
      <c r="AU5877" s="28" t="n">
        <f aca="false">AT5877*$M5877</f>
        <v>0</v>
      </c>
      <c r="AV5877" s="28"/>
      <c r="AW5877" s="28" t="n">
        <f aca="false">AV5877*$M5877</f>
        <v>0</v>
      </c>
      <c r="AX5877" s="28"/>
      <c r="AY5877" s="28" t="n">
        <f aca="false">AX5877*$M5877</f>
        <v>0</v>
      </c>
      <c r="AZ5877" s="30" t="n">
        <v>827</v>
      </c>
      <c r="BA5877" s="11" t="n">
        <v>8270</v>
      </c>
      <c r="BB5877" s="31" t="n">
        <f aca="false">SUM(Q5877,S5877,U5877,W5877,Y5877,AA5877,AC5877,AE5877,AG5877,AI5877,AK5877,AM5877,AO5877,AQ5877,AS5877,AU5877,AW5877,AY5877)</f>
        <v>8270</v>
      </c>
      <c r="BC5877" s="28" t="n">
        <f aca="false">BA5877-BB5877</f>
        <v>0</v>
      </c>
      <c r="BD5877" s="32" t="n">
        <f aca="false">SUM(P5877,R5877,T5877,V5877,X5877,Z5877,AB5877,AD5877,AF5877,AH5877,AJ5877,AL5877,AN5877,AP5877,AR5877,AT5877,AV5877,AX5877)</f>
        <v>827</v>
      </c>
      <c r="BE5877" s="33" t="n">
        <f aca="false">AZ5877-BD5877</f>
        <v>0</v>
      </c>
      <c r="BF5877" s="34" t="n">
        <f aca="false">BD5877*M5877</f>
        <v>8270</v>
      </c>
      <c r="BG5877" s="35" t="n">
        <f aca="false">BA5877-BF5877</f>
        <v>0</v>
      </c>
      <c r="BH5877" s="19" t="str">
        <f aca="false">IF(BG5877=0,"",IF(BG5877&lt;&gt;BA5877,"erreur de calcul",IF(BD5877&lt;&gt;0,"pas de prix",IF(M5877&lt;&gt; 0,"pas de quantité","pas de prix, ni de quantité"))))</f>
        <v/>
      </c>
      <c r="BI5877" s="19"/>
    </row>
    <row r="5878" customFormat="false" ht="15" hidden="false" customHeight="false" outlineLevel="0" collapsed="false">
      <c r="A5878" s="0" t="n">
        <v>14</v>
      </c>
      <c r="B5878" s="8" t="s">
        <v>24</v>
      </c>
      <c r="C5878" s="9" t="s">
        <v>25</v>
      </c>
      <c r="D5878" s="9" t="s">
        <v>26</v>
      </c>
      <c r="E5878" s="10" t="n">
        <v>1789</v>
      </c>
      <c r="F5878" s="9" t="s">
        <v>27</v>
      </c>
      <c r="G5878" s="9" t="s">
        <v>27</v>
      </c>
      <c r="H5878" s="11" t="n">
        <v>25</v>
      </c>
      <c r="I5878" s="11" t="s">
        <v>343</v>
      </c>
      <c r="J5878" s="14" t="n">
        <v>4</v>
      </c>
      <c r="K5878" s="14"/>
      <c r="L5878" s="16"/>
      <c r="M5878" s="27" t="n">
        <f aca="false">J5878+(K5878/20)+(L5878/240)</f>
        <v>4</v>
      </c>
      <c r="N5878" s="17" t="s">
        <v>69</v>
      </c>
      <c r="O5878" s="11"/>
      <c r="P5878" s="28"/>
      <c r="Q5878" s="28" t="n">
        <f aca="false">P5878*$M5878</f>
        <v>0</v>
      </c>
      <c r="R5878" s="28"/>
      <c r="S5878" s="28" t="n">
        <f aca="false">R5878*$M5878</f>
        <v>0</v>
      </c>
      <c r="T5878" s="28"/>
      <c r="U5878" s="28" t="n">
        <f aca="false">T5878*$M5878</f>
        <v>0</v>
      </c>
      <c r="V5878" s="28" t="n">
        <v>2198</v>
      </c>
      <c r="W5878" s="28" t="n">
        <v>8792</v>
      </c>
      <c r="X5878" s="28"/>
      <c r="Y5878" s="28" t="n">
        <f aca="false">X5878*$M5878</f>
        <v>0</v>
      </c>
      <c r="Z5878" s="28"/>
      <c r="AA5878" s="28" t="n">
        <f aca="false">Z5878*$M5878</f>
        <v>0</v>
      </c>
      <c r="AB5878" s="28"/>
      <c r="AC5878" s="28" t="n">
        <f aca="false">AB5878*$M5878</f>
        <v>0</v>
      </c>
      <c r="AD5878" s="28"/>
      <c r="AE5878" s="28" t="n">
        <f aca="false">AD5878*$M5878</f>
        <v>0</v>
      </c>
      <c r="AF5878" s="28"/>
      <c r="AG5878" s="28" t="n">
        <f aca="false">AF5878*$M5878</f>
        <v>0</v>
      </c>
      <c r="AH5878" s="28"/>
      <c r="AI5878" s="28" t="n">
        <f aca="false">AH5878*$M5878</f>
        <v>0</v>
      </c>
      <c r="AJ5878" s="28"/>
      <c r="AK5878" s="28" t="n">
        <f aca="false">AJ5878*$M5878</f>
        <v>0</v>
      </c>
      <c r="AL5878" s="28"/>
      <c r="AM5878" s="28" t="n">
        <f aca="false">AL5878*$M5878</f>
        <v>0</v>
      </c>
      <c r="AN5878" s="28"/>
      <c r="AO5878" s="28" t="n">
        <f aca="false">AN5878*$M5878</f>
        <v>0</v>
      </c>
      <c r="AP5878" s="28"/>
      <c r="AQ5878" s="28" t="n">
        <f aca="false">AP5878*$M5878</f>
        <v>0</v>
      </c>
      <c r="AR5878" s="28"/>
      <c r="AS5878" s="28" t="n">
        <f aca="false">AR5878*$M5878</f>
        <v>0</v>
      </c>
      <c r="AT5878" s="28"/>
      <c r="AU5878" s="28" t="n">
        <f aca="false">AT5878*$M5878</f>
        <v>0</v>
      </c>
      <c r="AV5878" s="28"/>
      <c r="AW5878" s="28" t="n">
        <f aca="false">AV5878*$M5878</f>
        <v>0</v>
      </c>
      <c r="AX5878" s="28"/>
      <c r="AY5878" s="28" t="n">
        <f aca="false">AX5878*$M5878</f>
        <v>0</v>
      </c>
      <c r="AZ5878" s="30" t="n">
        <v>2198</v>
      </c>
      <c r="BA5878" s="11" t="n">
        <v>8792</v>
      </c>
      <c r="BB5878" s="31" t="n">
        <f aca="false">SUM(Q5878,S5878,U5878,W5878,Y5878,AA5878,AC5878,AE5878,AG5878,AI5878,AK5878,AM5878,AO5878,AQ5878,AS5878,AU5878,AW5878,AY5878)</f>
        <v>8792</v>
      </c>
      <c r="BC5878" s="28" t="n">
        <f aca="false">BA5878-BB5878</f>
        <v>0</v>
      </c>
      <c r="BD5878" s="32" t="n">
        <f aca="false">SUM(P5878,R5878,T5878,V5878,X5878,Z5878,AB5878,AD5878,AF5878,AH5878,AJ5878,AL5878,AN5878,AP5878,AR5878,AT5878,AV5878,AX5878)</f>
        <v>2198</v>
      </c>
      <c r="BE5878" s="33" t="n">
        <f aca="false">AZ5878-BD5878</f>
        <v>0</v>
      </c>
      <c r="BF5878" s="34" t="n">
        <f aca="false">BD5878*M5878</f>
        <v>8792</v>
      </c>
      <c r="BG5878" s="35" t="n">
        <f aca="false">BA5878-BF5878</f>
        <v>0</v>
      </c>
      <c r="BH5878" s="19" t="str">
        <f aca="false">IF(BG5878=0,"",IF(BG5878&lt;&gt;BA5878,"erreur de calcul",IF(BD5878&lt;&gt;0,"pas de prix",IF(M5878&lt;&gt; 0,"pas de quantité","pas de prix, ni de quantité"))))</f>
        <v/>
      </c>
      <c r="BI5878" s="19"/>
    </row>
    <row r="5879" customFormat="false" ht="15" hidden="false" customHeight="false" outlineLevel="0" collapsed="false">
      <c r="A5879" s="0" t="n">
        <v>15</v>
      </c>
      <c r="B5879" s="8" t="s">
        <v>24</v>
      </c>
      <c r="C5879" s="9" t="s">
        <v>25</v>
      </c>
      <c r="D5879" s="9" t="s">
        <v>26</v>
      </c>
      <c r="E5879" s="10" t="n">
        <v>1789</v>
      </c>
      <c r="F5879" s="9" t="s">
        <v>27</v>
      </c>
      <c r="G5879" s="9" t="s">
        <v>27</v>
      </c>
      <c r="H5879" s="11" t="n">
        <v>25</v>
      </c>
      <c r="I5879" s="11" t="s">
        <v>344</v>
      </c>
      <c r="J5879" s="14" t="n">
        <v>2000</v>
      </c>
      <c r="K5879" s="14"/>
      <c r="L5879" s="16"/>
      <c r="M5879" s="27" t="n">
        <f aca="false">J5879+(K5879/20)+(L5879/240)</f>
        <v>2000</v>
      </c>
      <c r="N5879" s="17" t="s">
        <v>64</v>
      </c>
      <c r="O5879" s="11" t="s">
        <v>277</v>
      </c>
      <c r="P5879" s="28"/>
      <c r="Q5879" s="28" t="n">
        <f aca="false">P5879*$M5879</f>
        <v>0</v>
      </c>
      <c r="R5879" s="28"/>
      <c r="S5879" s="28" t="n">
        <f aca="false">R5879*$M5879</f>
        <v>0</v>
      </c>
      <c r="T5879" s="28"/>
      <c r="U5879" s="28" t="n">
        <f aca="false">T5879*$M5879</f>
        <v>0</v>
      </c>
      <c r="V5879" s="28"/>
      <c r="W5879" s="28" t="n">
        <f aca="false">V5879*$M5879</f>
        <v>0</v>
      </c>
      <c r="X5879" s="28"/>
      <c r="Y5879" s="28" t="n">
        <f aca="false">X5879*$M5879</f>
        <v>0</v>
      </c>
      <c r="Z5879" s="28"/>
      <c r="AA5879" s="28" t="n">
        <f aca="false">Z5879*$M5879</f>
        <v>0</v>
      </c>
      <c r="AB5879" s="28"/>
      <c r="AC5879" s="28" t="n">
        <f aca="false">AB5879*$M5879</f>
        <v>0</v>
      </c>
      <c r="AD5879" s="28"/>
      <c r="AE5879" s="28" t="n">
        <f aca="false">AD5879*$M5879</f>
        <v>0</v>
      </c>
      <c r="AF5879" s="28"/>
      <c r="AG5879" s="28" t="n">
        <f aca="false">AF5879*$M5879</f>
        <v>0</v>
      </c>
      <c r="AH5879" s="28"/>
      <c r="AI5879" s="28" t="n">
        <f aca="false">AH5879*$M5879</f>
        <v>0</v>
      </c>
      <c r="AJ5879" s="28"/>
      <c r="AK5879" s="28" t="n">
        <f aca="false">AJ5879*$M5879</f>
        <v>0</v>
      </c>
      <c r="AL5879" s="28"/>
      <c r="AM5879" s="28" t="n">
        <f aca="false">AL5879*$M5879</f>
        <v>0</v>
      </c>
      <c r="AN5879" s="28"/>
      <c r="AO5879" s="28" t="n">
        <f aca="false">AN5879*$M5879</f>
        <v>0</v>
      </c>
      <c r="AP5879" s="28"/>
      <c r="AQ5879" s="28" t="n">
        <f aca="false">AP5879*$M5879</f>
        <v>0</v>
      </c>
      <c r="AR5879" s="28"/>
      <c r="AS5879" s="28" t="n">
        <f aca="false">AR5879*$M5879</f>
        <v>0</v>
      </c>
      <c r="AT5879" s="28"/>
      <c r="AU5879" s="28" t="n">
        <f aca="false">AT5879*$M5879</f>
        <v>0</v>
      </c>
      <c r="AV5879" s="28"/>
      <c r="AW5879" s="28" t="n">
        <f aca="false">AV5879*$M5879</f>
        <v>0</v>
      </c>
      <c r="AX5879" s="28"/>
      <c r="AY5879" s="28" t="n">
        <f aca="false">AX5879*$M5879</f>
        <v>0</v>
      </c>
      <c r="AZ5879" s="30"/>
      <c r="BA5879" s="11"/>
      <c r="BB5879" s="31" t="n">
        <f aca="false">SUM(Q5879,S5879,U5879,W5879,Y5879,AA5879,AC5879,AE5879,AG5879,AI5879,AK5879,AM5879,AO5879,AQ5879,AS5879,AU5879,AW5879,AY5879)</f>
        <v>0</v>
      </c>
      <c r="BC5879" s="28" t="n">
        <f aca="false">BA5879-BB5879</f>
        <v>0</v>
      </c>
      <c r="BD5879" s="32" t="n">
        <f aca="false">SUM(P5879,R5879,T5879,V5879,X5879,Z5879,AB5879,AD5879,AF5879,AH5879,AJ5879,AL5879,AN5879,AP5879,AR5879,AT5879,AV5879,AX5879)</f>
        <v>0</v>
      </c>
      <c r="BE5879" s="33" t="n">
        <f aca="false">AZ5879-BD5879</f>
        <v>0</v>
      </c>
      <c r="BF5879" s="34" t="n">
        <f aca="false">BD5879*M5879</f>
        <v>0</v>
      </c>
      <c r="BG5879" s="35" t="n">
        <f aca="false">BA5879-BF5879</f>
        <v>0</v>
      </c>
      <c r="BH5879" s="19" t="str">
        <f aca="false">IF(BG5879=0,"",IF(BG5879&lt;&gt;BA5879,"erreur de calcul",IF(BD5879&lt;&gt;0,"pas de prix",IF(M5879&lt;&gt; 0,"pas de quantité","pas de prix, ni de quantité"))))</f>
        <v/>
      </c>
      <c r="BI5879" s="19"/>
    </row>
    <row r="5880" customFormat="false" ht="15" hidden="false" customHeight="false" outlineLevel="0" collapsed="false">
      <c r="A5880" s="0" t="n">
        <v>16</v>
      </c>
      <c r="B5880" s="8" t="s">
        <v>24</v>
      </c>
      <c r="C5880" s="9" t="s">
        <v>25</v>
      </c>
      <c r="D5880" s="9" t="s">
        <v>26</v>
      </c>
      <c r="E5880" s="10" t="n">
        <v>1789</v>
      </c>
      <c r="F5880" s="9" t="s">
        <v>27</v>
      </c>
      <c r="G5880" s="9" t="s">
        <v>27</v>
      </c>
      <c r="H5880" s="11" t="n">
        <v>25</v>
      </c>
      <c r="I5880" s="11" t="s">
        <v>344</v>
      </c>
      <c r="J5880" s="14" t="n">
        <v>2000</v>
      </c>
      <c r="K5880" s="14"/>
      <c r="L5880" s="16"/>
      <c r="M5880" s="27" t="n">
        <f aca="false">J5880+(K5880/20)+(L5880/240)</f>
        <v>2000</v>
      </c>
      <c r="N5880" s="17" t="s">
        <v>64</v>
      </c>
      <c r="O5880" s="11" t="s">
        <v>98</v>
      </c>
      <c r="P5880" s="28"/>
      <c r="Q5880" s="28" t="n">
        <f aca="false">P5880*$M5880</f>
        <v>0</v>
      </c>
      <c r="R5880" s="28"/>
      <c r="S5880" s="28" t="n">
        <f aca="false">R5880*$M5880</f>
        <v>0</v>
      </c>
      <c r="T5880" s="28"/>
      <c r="U5880" s="28" t="n">
        <f aca="false">T5880*$M5880</f>
        <v>0</v>
      </c>
      <c r="V5880" s="28"/>
      <c r="W5880" s="28" t="n">
        <f aca="false">V5880*$M5880</f>
        <v>0</v>
      </c>
      <c r="X5880" s="28" t="n">
        <f aca="false">607/100</f>
        <v>6.07</v>
      </c>
      <c r="Y5880" s="28" t="n">
        <f aca="false">X5880*$M5880</f>
        <v>12140</v>
      </c>
      <c r="Z5880" s="28"/>
      <c r="AA5880" s="28" t="n">
        <f aca="false">Z5880*$M5880</f>
        <v>0</v>
      </c>
      <c r="AB5880" s="28"/>
      <c r="AC5880" s="28" t="n">
        <f aca="false">AB5880*$M5880</f>
        <v>0</v>
      </c>
      <c r="AD5880" s="28"/>
      <c r="AE5880" s="28" t="n">
        <f aca="false">AD5880*$M5880</f>
        <v>0</v>
      </c>
      <c r="AF5880" s="28"/>
      <c r="AG5880" s="28" t="n">
        <f aca="false">AF5880*$M5880</f>
        <v>0</v>
      </c>
      <c r="AH5880" s="28"/>
      <c r="AI5880" s="28" t="n">
        <f aca="false">AH5880*$M5880</f>
        <v>0</v>
      </c>
      <c r="AJ5880" s="28"/>
      <c r="AK5880" s="28" t="n">
        <f aca="false">AJ5880*$M5880</f>
        <v>0</v>
      </c>
      <c r="AL5880" s="28" t="n">
        <f aca="false">145/100</f>
        <v>1.45</v>
      </c>
      <c r="AM5880" s="28" t="n">
        <f aca="false">AL5880*$M5880</f>
        <v>2900</v>
      </c>
      <c r="AN5880" s="28" t="n">
        <f aca="false">3865/100</f>
        <v>38.65</v>
      </c>
      <c r="AO5880" s="28" t="n">
        <v>77300</v>
      </c>
      <c r="AP5880" s="28"/>
      <c r="AQ5880" s="28" t="n">
        <f aca="false">AP5880*$M5880</f>
        <v>0</v>
      </c>
      <c r="AR5880" s="28"/>
      <c r="AS5880" s="28" t="n">
        <f aca="false">AR5880*$M5880</f>
        <v>0</v>
      </c>
      <c r="AT5880" s="28"/>
      <c r="AU5880" s="28" t="n">
        <f aca="false">AT5880*$M5880</f>
        <v>0</v>
      </c>
      <c r="AV5880" s="28"/>
      <c r="AW5880" s="28" t="n">
        <f aca="false">AV5880*$M5880</f>
        <v>0</v>
      </c>
      <c r="AX5880" s="28"/>
      <c r="AY5880" s="28" t="n">
        <f aca="false">AX5880*$M5880</f>
        <v>0</v>
      </c>
      <c r="AZ5880" s="30" t="n">
        <f aca="false">4617/100</f>
        <v>46.17</v>
      </c>
      <c r="BA5880" s="11" t="n">
        <v>92340</v>
      </c>
      <c r="BB5880" s="31" t="n">
        <f aca="false">SUM(Q5880,S5880,U5880,W5880,Y5880,AA5880,AC5880,AE5880,AG5880,AI5880,AK5880,AM5880,AO5880,AQ5880,AS5880,AU5880,AW5880,AY5880)</f>
        <v>92340</v>
      </c>
      <c r="BC5880" s="28" t="n">
        <f aca="false">BA5880-BB5880</f>
        <v>0</v>
      </c>
      <c r="BD5880" s="32" t="n">
        <f aca="false">SUM(P5880,R5880,T5880,V5880,X5880,Z5880,AB5880,AD5880,AF5880,AH5880,AJ5880,AL5880,AN5880,AP5880,AR5880,AT5880,AV5880,AX5880)</f>
        <v>46.17</v>
      </c>
      <c r="BE5880" s="33" t="n">
        <f aca="false">AZ5880-BD5880</f>
        <v>0</v>
      </c>
      <c r="BF5880" s="34" t="n">
        <f aca="false">BD5880*M5880</f>
        <v>92340</v>
      </c>
      <c r="BG5880" s="35" t="n">
        <f aca="false">BA5880-BF5880</f>
        <v>0</v>
      </c>
      <c r="BH5880" s="19" t="str">
        <f aca="false">IF(BG5880=0,"",IF(BG5880&lt;&gt;BA5880,"erreur de calcul",IF(BD5880&lt;&gt;0,"pas de prix",IF(M5880&lt;&gt; 0,"pas de quantité","pas de prix, ni de quantité"))))</f>
        <v/>
      </c>
      <c r="BI5880" s="19"/>
    </row>
    <row r="5881" customFormat="false" ht="15" hidden="false" customHeight="false" outlineLevel="0" collapsed="false">
      <c r="A5881" s="0" t="n">
        <v>17</v>
      </c>
      <c r="B5881" s="8" t="s">
        <v>24</v>
      </c>
      <c r="C5881" s="9" t="s">
        <v>25</v>
      </c>
      <c r="D5881" s="9" t="s">
        <v>26</v>
      </c>
      <c r="E5881" s="10" t="n">
        <v>1789</v>
      </c>
      <c r="F5881" s="9" t="s">
        <v>27</v>
      </c>
      <c r="G5881" s="9" t="s">
        <v>27</v>
      </c>
      <c r="H5881" s="11" t="n">
        <v>25</v>
      </c>
      <c r="I5881" s="11" t="s">
        <v>345</v>
      </c>
      <c r="J5881" s="14"/>
      <c r="K5881" s="14" t="n">
        <v>12</v>
      </c>
      <c r="L5881" s="16"/>
      <c r="M5881" s="27" t="n">
        <f aca="false">J5881+(K5881/20)+(L5881/240)</f>
        <v>0.6</v>
      </c>
      <c r="N5881" s="17" t="s">
        <v>66</v>
      </c>
      <c r="O5881" s="11"/>
      <c r="P5881" s="28"/>
      <c r="Q5881" s="28" t="n">
        <f aca="false">P5881*$M5881</f>
        <v>0</v>
      </c>
      <c r="R5881" s="28"/>
      <c r="S5881" s="28" t="n">
        <f aca="false">R5881*$M5881</f>
        <v>0</v>
      </c>
      <c r="T5881" s="28"/>
      <c r="U5881" s="28" t="n">
        <f aca="false">T5881*$M5881</f>
        <v>0</v>
      </c>
      <c r="V5881" s="28"/>
      <c r="W5881" s="28" t="n">
        <f aca="false">V5881*$M5881</f>
        <v>0</v>
      </c>
      <c r="X5881" s="28"/>
      <c r="Y5881" s="28" t="n">
        <f aca="false">X5881*$M5881</f>
        <v>0</v>
      </c>
      <c r="Z5881" s="28"/>
      <c r="AA5881" s="28" t="n">
        <f aca="false">Z5881*$M5881</f>
        <v>0</v>
      </c>
      <c r="AB5881" s="28"/>
      <c r="AC5881" s="28" t="n">
        <f aca="false">AB5881*$M5881</f>
        <v>0</v>
      </c>
      <c r="AD5881" s="28"/>
      <c r="AE5881" s="28" t="n">
        <f aca="false">AD5881*$M5881</f>
        <v>0</v>
      </c>
      <c r="AF5881" s="28"/>
      <c r="AG5881" s="28" t="n">
        <f aca="false">AF5881*$M5881</f>
        <v>0</v>
      </c>
      <c r="AH5881" s="28"/>
      <c r="AI5881" s="28" t="n">
        <f aca="false">AH5881*$M5881</f>
        <v>0</v>
      </c>
      <c r="AJ5881" s="28" t="n">
        <v>41194</v>
      </c>
      <c r="AK5881" s="28" t="n">
        <v>24716</v>
      </c>
      <c r="AL5881" s="28"/>
      <c r="AM5881" s="28" t="n">
        <f aca="false">AL5881*$M5881</f>
        <v>0</v>
      </c>
      <c r="AN5881" s="28"/>
      <c r="AO5881" s="28" t="n">
        <f aca="false">AN5881*$M5881</f>
        <v>0</v>
      </c>
      <c r="AP5881" s="28"/>
      <c r="AQ5881" s="28" t="n">
        <f aca="false">AP5881*$M5881</f>
        <v>0</v>
      </c>
      <c r="AR5881" s="28"/>
      <c r="AS5881" s="28" t="n">
        <f aca="false">AR5881*$M5881</f>
        <v>0</v>
      </c>
      <c r="AT5881" s="28"/>
      <c r="AU5881" s="28" t="n">
        <f aca="false">AT5881*$M5881</f>
        <v>0</v>
      </c>
      <c r="AV5881" s="28"/>
      <c r="AW5881" s="28" t="n">
        <f aca="false">AV5881*$M5881</f>
        <v>0</v>
      </c>
      <c r="AX5881" s="28"/>
      <c r="AY5881" s="28" t="n">
        <f aca="false">AX5881*$M5881</f>
        <v>0</v>
      </c>
      <c r="AZ5881" s="30" t="n">
        <v>41194</v>
      </c>
      <c r="BA5881" s="11" t="n">
        <v>24716</v>
      </c>
      <c r="BB5881" s="31" t="n">
        <f aca="false">SUM(Q5881,S5881,U5881,W5881,Y5881,AA5881,AC5881,AE5881,AG5881,AI5881,AK5881,AM5881,AO5881,AQ5881,AS5881,AU5881,AW5881,AY5881)</f>
        <v>24716</v>
      </c>
      <c r="BC5881" s="28" t="n">
        <f aca="false">BA5881-BB5881</f>
        <v>0</v>
      </c>
      <c r="BD5881" s="32" t="n">
        <f aca="false">SUM(P5881,R5881,T5881,V5881,X5881,Z5881,AB5881,AD5881,AF5881,AH5881,AJ5881,AL5881,AN5881,AP5881,AR5881,AT5881,AV5881,AX5881)</f>
        <v>41194</v>
      </c>
      <c r="BE5881" s="33" t="n">
        <f aca="false">AZ5881-BD5881</f>
        <v>0</v>
      </c>
      <c r="BF5881" s="34" t="n">
        <f aca="false">BD5881*M5881</f>
        <v>24716.4</v>
      </c>
      <c r="BG5881" s="35" t="n">
        <f aca="false">BA5881-BF5881</f>
        <v>-0.399999999997817</v>
      </c>
      <c r="BH5881" s="19" t="str">
        <f aca="false">IF(BG5881=0,"",IF(BG5881&lt;&gt;BA5881,"erreur de calcul",IF(BD5881&lt;&gt;0,"pas de prix",IF(M5881&lt;&gt; 0,"pas de quantité","pas de prix, ni de quantité"))))</f>
        <v>erreur de calcul</v>
      </c>
      <c r="BI5881" s="19"/>
    </row>
    <row r="5882" customFormat="false" ht="15" hidden="false" customHeight="false" outlineLevel="0" collapsed="false">
      <c r="A5882" s="0" t="n">
        <v>18</v>
      </c>
      <c r="B5882" s="8" t="s">
        <v>24</v>
      </c>
      <c r="C5882" s="9" t="s">
        <v>25</v>
      </c>
      <c r="D5882" s="9" t="s">
        <v>26</v>
      </c>
      <c r="E5882" s="10" t="n">
        <v>1789</v>
      </c>
      <c r="F5882" s="9" t="s">
        <v>27</v>
      </c>
      <c r="G5882" s="9" t="s">
        <v>27</v>
      </c>
      <c r="H5882" s="11" t="n">
        <v>25</v>
      </c>
      <c r="I5882" s="11" t="s">
        <v>346</v>
      </c>
      <c r="J5882" s="14"/>
      <c r="K5882" s="14" t="n">
        <v>50</v>
      </c>
      <c r="L5882" s="16"/>
      <c r="M5882" s="27" t="n">
        <f aca="false">J5882+(K5882/20)+(L5882/240)</f>
        <v>2.5</v>
      </c>
      <c r="N5882" s="17" t="s">
        <v>85</v>
      </c>
      <c r="O5882" s="11"/>
      <c r="P5882" s="28" t="n">
        <f aca="false">371167/100</f>
        <v>3711.67</v>
      </c>
      <c r="Q5882" s="28" t="n">
        <v>9279</v>
      </c>
      <c r="R5882" s="28"/>
      <c r="S5882" s="28" t="n">
        <f aca="false">R5882*$M5882</f>
        <v>0</v>
      </c>
      <c r="T5882" s="28"/>
      <c r="U5882" s="28" t="n">
        <f aca="false">T5882*$M5882</f>
        <v>0</v>
      </c>
      <c r="V5882" s="28"/>
      <c r="W5882" s="28" t="n">
        <f aca="false">V5882*$M5882</f>
        <v>0</v>
      </c>
      <c r="X5882" s="28"/>
      <c r="Y5882" s="28" t="n">
        <f aca="false">X5882*$M5882</f>
        <v>0</v>
      </c>
      <c r="Z5882" s="28"/>
      <c r="AA5882" s="28" t="n">
        <f aca="false">Z5882*$M5882</f>
        <v>0</v>
      </c>
      <c r="AB5882" s="28"/>
      <c r="AC5882" s="28" t="n">
        <f aca="false">AB5882*$M5882</f>
        <v>0</v>
      </c>
      <c r="AD5882" s="28"/>
      <c r="AE5882" s="28" t="n">
        <f aca="false">AD5882*$M5882</f>
        <v>0</v>
      </c>
      <c r="AF5882" s="28"/>
      <c r="AG5882" s="28" t="n">
        <f aca="false">AF5882*$M5882</f>
        <v>0</v>
      </c>
      <c r="AH5882" s="28"/>
      <c r="AI5882" s="28" t="n">
        <f aca="false">AH5882*$M5882</f>
        <v>0</v>
      </c>
      <c r="AJ5882" s="28"/>
      <c r="AK5882" s="28" t="n">
        <f aca="false">AJ5882*$M5882</f>
        <v>0</v>
      </c>
      <c r="AL5882" s="28"/>
      <c r="AM5882" s="28" t="n">
        <f aca="false">AL5882*$M5882</f>
        <v>0</v>
      </c>
      <c r="AN5882" s="28"/>
      <c r="AO5882" s="28" t="n">
        <f aca="false">AN5882*$M5882</f>
        <v>0</v>
      </c>
      <c r="AP5882" s="28"/>
      <c r="AQ5882" s="28" t="n">
        <f aca="false">AP5882*$M5882</f>
        <v>0</v>
      </c>
      <c r="AR5882" s="28"/>
      <c r="AS5882" s="28" t="n">
        <f aca="false">AR5882*$M5882</f>
        <v>0</v>
      </c>
      <c r="AT5882" s="28"/>
      <c r="AU5882" s="28" t="n">
        <f aca="false">AT5882*$M5882</f>
        <v>0</v>
      </c>
      <c r="AV5882" s="28"/>
      <c r="AW5882" s="28" t="n">
        <f aca="false">AV5882*$M5882</f>
        <v>0</v>
      </c>
      <c r="AX5882" s="28"/>
      <c r="AY5882" s="28" t="n">
        <f aca="false">AX5882*$M5882</f>
        <v>0</v>
      </c>
      <c r="AZ5882" s="30" t="n">
        <f aca="false">371167/100</f>
        <v>3711.67</v>
      </c>
      <c r="BA5882" s="11" t="n">
        <v>9279</v>
      </c>
      <c r="BB5882" s="31" t="n">
        <f aca="false">SUM(Q5882,S5882,U5882,W5882,Y5882,AA5882,AC5882,AE5882,AG5882,AI5882,AK5882,AM5882,AO5882,AQ5882,AS5882,AU5882,AW5882,AY5882)</f>
        <v>9279</v>
      </c>
      <c r="BC5882" s="28" t="n">
        <f aca="false">BA5882-BB5882</f>
        <v>0</v>
      </c>
      <c r="BD5882" s="32" t="n">
        <f aca="false">SUM(P5882,R5882,T5882,V5882,X5882,Z5882,AB5882,AD5882,AF5882,AH5882,AJ5882,AL5882,AN5882,AP5882,AR5882,AT5882,AV5882,AX5882)</f>
        <v>3711.67</v>
      </c>
      <c r="BE5882" s="33" t="n">
        <f aca="false">AZ5882-BD5882</f>
        <v>0</v>
      </c>
      <c r="BF5882" s="34" t="n">
        <f aca="false">BD5882*M5882</f>
        <v>9279.175</v>
      </c>
      <c r="BG5882" s="35" t="n">
        <f aca="false">BA5882-BF5882</f>
        <v>-0.174999999999272</v>
      </c>
      <c r="BH5882" s="19" t="str">
        <f aca="false">IF(BG5882=0,"",IF(BG5882&lt;&gt;BA5882,"erreur de calcul",IF(BD5882&lt;&gt;0,"pas de prix",IF(M5882&lt;&gt; 0,"pas de quantité","pas de prix, ni de quantité"))))</f>
        <v>erreur de calcul</v>
      </c>
      <c r="BI5882" s="19"/>
    </row>
    <row r="5883" customFormat="false" ht="16.65" hidden="false" customHeight="false" outlineLevel="0" collapsed="false">
      <c r="A5883" s="0" t="n">
        <v>19</v>
      </c>
      <c r="B5883" s="8" t="s">
        <v>24</v>
      </c>
      <c r="C5883" s="9" t="s">
        <v>25</v>
      </c>
      <c r="D5883" s="9" t="s">
        <v>26</v>
      </c>
      <c r="E5883" s="10" t="n">
        <v>1789</v>
      </c>
      <c r="F5883" s="9" t="s">
        <v>27</v>
      </c>
      <c r="G5883" s="9" t="s">
        <v>27</v>
      </c>
      <c r="H5883" s="11" t="n">
        <v>25</v>
      </c>
      <c r="I5883" s="11" t="s">
        <v>347</v>
      </c>
      <c r="J5883" s="14" t="n">
        <v>60</v>
      </c>
      <c r="K5883" s="14"/>
      <c r="L5883" s="16"/>
      <c r="M5883" s="27" t="n">
        <f aca="false">J5883+(K5883/20)+(L5883/240)</f>
        <v>60</v>
      </c>
      <c r="N5883" s="17" t="s">
        <v>64</v>
      </c>
      <c r="O5883" s="11"/>
      <c r="P5883" s="28"/>
      <c r="Q5883" s="28" t="n">
        <f aca="false">P5883*$M5883</f>
        <v>0</v>
      </c>
      <c r="R5883" s="28"/>
      <c r="S5883" s="28" t="n">
        <f aca="false">R5883*$M5883</f>
        <v>0</v>
      </c>
      <c r="T5883" s="28"/>
      <c r="U5883" s="28" t="n">
        <f aca="false">T5883*$M5883</f>
        <v>0</v>
      </c>
      <c r="V5883" s="28" t="n">
        <f aca="false">4151/100</f>
        <v>41.51</v>
      </c>
      <c r="W5883" s="28" t="n">
        <v>2491</v>
      </c>
      <c r="X5883" s="28" t="n">
        <f aca="false">13344/100</f>
        <v>133.44</v>
      </c>
      <c r="Y5883" s="28" t="n">
        <v>8006</v>
      </c>
      <c r="Z5883" s="28" t="n">
        <f aca="false">3323/100</f>
        <v>33.23</v>
      </c>
      <c r="AA5883" s="28" t="n">
        <v>1994</v>
      </c>
      <c r="AB5883" s="28"/>
      <c r="AC5883" s="28" t="n">
        <f aca="false">AB5883*$M5883</f>
        <v>0</v>
      </c>
      <c r="AD5883" s="28" t="n">
        <f aca="false">15268/100</f>
        <v>152.68</v>
      </c>
      <c r="AE5883" s="28" t="n">
        <v>9161</v>
      </c>
      <c r="AF5883" s="28"/>
      <c r="AG5883" s="28" t="n">
        <f aca="false">AF5883*$M5883</f>
        <v>0</v>
      </c>
      <c r="AH5883" s="28"/>
      <c r="AI5883" s="28" t="n">
        <f aca="false">AH5883*$M5883</f>
        <v>0</v>
      </c>
      <c r="AJ5883" s="28"/>
      <c r="AK5883" s="28" t="n">
        <f aca="false">AJ5883*$M5883</f>
        <v>0</v>
      </c>
      <c r="AL5883" s="28"/>
      <c r="AM5883" s="28" t="n">
        <f aca="false">AL5883*$M5883</f>
        <v>0</v>
      </c>
      <c r="AN5883" s="28"/>
      <c r="AO5883" s="28" t="n">
        <f aca="false">AN5883*$M5883</f>
        <v>0</v>
      </c>
      <c r="AP5883" s="28"/>
      <c r="AQ5883" s="28" t="n">
        <f aca="false">AP5883*$M5883</f>
        <v>0</v>
      </c>
      <c r="AR5883" s="28"/>
      <c r="AS5883" s="28" t="n">
        <f aca="false">AR5883*$M5883</f>
        <v>0</v>
      </c>
      <c r="AT5883" s="28"/>
      <c r="AU5883" s="28" t="n">
        <f aca="false">AT5883*$M5883</f>
        <v>0</v>
      </c>
      <c r="AV5883" s="28"/>
      <c r="AW5883" s="28" t="n">
        <f aca="false">AV5883*$M5883</f>
        <v>0</v>
      </c>
      <c r="AX5883" s="28"/>
      <c r="AY5883" s="28" t="n">
        <f aca="false">AX5883*$M5883</f>
        <v>0</v>
      </c>
      <c r="AZ5883" s="30" t="n">
        <f aca="false">32763/100</f>
        <v>327.63</v>
      </c>
      <c r="BA5883" s="11" t="n">
        <v>21652</v>
      </c>
      <c r="BB5883" s="31" t="n">
        <f aca="false">SUM(Q5883,S5883,U5883,W5883,Y5883,AA5883,AC5883,AE5883,AG5883,AI5883,AK5883,AM5883,AO5883,AQ5883,AS5883,AU5883,AW5883,AY5883)</f>
        <v>21652</v>
      </c>
      <c r="BC5883" s="28" t="n">
        <f aca="false">BA5883-BB5883</f>
        <v>0</v>
      </c>
      <c r="BD5883" s="32" t="n">
        <f aca="false">SUM(P5883,R5883,T5883,V5883,X5883,Z5883,AB5883,AD5883,AF5883,AH5883,AJ5883,AL5883,AN5883,AP5883,AR5883,AT5883,AV5883,AX5883)</f>
        <v>360.86</v>
      </c>
      <c r="BE5883" s="33" t="n">
        <f aca="false">AZ5883-BD5883</f>
        <v>-33.23</v>
      </c>
      <c r="BF5883" s="34" t="n">
        <f aca="false">BD5883*M5883</f>
        <v>21651.6</v>
      </c>
      <c r="BG5883" s="35" t="n">
        <f aca="false">BA5883-BF5883</f>
        <v>0.399999999997817</v>
      </c>
      <c r="BH5883" s="19" t="str">
        <f aca="false">IF(BG5883=0,"",IF(BG5883&lt;&gt;BA5883,"erreur de calcul",IF(BD5883&lt;&gt;0,"pas de prix",IF(M5883&lt;&gt; 0,"pas de quantité","pas de prix, ni de quantité"))))</f>
        <v>erreur de calcul</v>
      </c>
      <c r="BI5883" s="19"/>
    </row>
    <row r="5884" customFormat="false" ht="15" hidden="false" customHeight="false" outlineLevel="0" collapsed="false">
      <c r="A5884" s="0" t="n">
        <v>20</v>
      </c>
      <c r="B5884" s="8" t="s">
        <v>24</v>
      </c>
      <c r="C5884" s="9" t="s">
        <v>25</v>
      </c>
      <c r="D5884" s="9" t="s">
        <v>26</v>
      </c>
      <c r="E5884" s="10" t="n">
        <v>1789</v>
      </c>
      <c r="F5884" s="9" t="s">
        <v>27</v>
      </c>
      <c r="G5884" s="9" t="s">
        <v>27</v>
      </c>
      <c r="H5884" s="11" t="n">
        <v>25</v>
      </c>
      <c r="I5884" s="11" t="s">
        <v>348</v>
      </c>
      <c r="J5884" s="14" t="n">
        <v>9</v>
      </c>
      <c r="K5884" s="14"/>
      <c r="L5884" s="16"/>
      <c r="M5884" s="27" t="n">
        <f aca="false">J5884+(K5884/20)+(L5884/240)</f>
        <v>9</v>
      </c>
      <c r="N5884" s="17" t="s">
        <v>349</v>
      </c>
      <c r="O5884" s="11"/>
      <c r="P5884" s="28"/>
      <c r="Q5884" s="28" t="n">
        <f aca="false">P5884*$M5884</f>
        <v>0</v>
      </c>
      <c r="R5884" s="28"/>
      <c r="S5884" s="28" t="n">
        <f aca="false">R5884*$M5884</f>
        <v>0</v>
      </c>
      <c r="T5884" s="28"/>
      <c r="U5884" s="28" t="n">
        <f aca="false">T5884*$M5884</f>
        <v>0</v>
      </c>
      <c r="V5884" s="28" t="n">
        <v>545</v>
      </c>
      <c r="W5884" s="28" t="n">
        <v>4905</v>
      </c>
      <c r="X5884" s="28"/>
      <c r="Y5884" s="28" t="n">
        <f aca="false">X5884*$M5884</f>
        <v>0</v>
      </c>
      <c r="Z5884" s="28"/>
      <c r="AA5884" s="28" t="n">
        <f aca="false">Z5884*$M5884</f>
        <v>0</v>
      </c>
      <c r="AB5884" s="28"/>
      <c r="AC5884" s="28" t="n">
        <f aca="false">AB5884*$M5884</f>
        <v>0</v>
      </c>
      <c r="AD5884" s="28"/>
      <c r="AE5884" s="28" t="n">
        <f aca="false">AD5884*$M5884</f>
        <v>0</v>
      </c>
      <c r="AF5884" s="28"/>
      <c r="AG5884" s="28" t="n">
        <f aca="false">AF5884*$M5884</f>
        <v>0</v>
      </c>
      <c r="AH5884" s="28"/>
      <c r="AI5884" s="28" t="n">
        <f aca="false">AH5884*$M5884</f>
        <v>0</v>
      </c>
      <c r="AJ5884" s="28" t="n">
        <v>592</v>
      </c>
      <c r="AK5884" s="28" t="n">
        <v>5328</v>
      </c>
      <c r="AL5884" s="28"/>
      <c r="AM5884" s="28" t="n">
        <f aca="false">AL5884*$M5884</f>
        <v>0</v>
      </c>
      <c r="AN5884" s="28"/>
      <c r="AO5884" s="28" t="n">
        <f aca="false">AN5884*$M5884</f>
        <v>0</v>
      </c>
      <c r="AP5884" s="28"/>
      <c r="AQ5884" s="28" t="n">
        <f aca="false">AP5884*$M5884</f>
        <v>0</v>
      </c>
      <c r="AR5884" s="28"/>
      <c r="AS5884" s="28" t="n">
        <f aca="false">AR5884*$M5884</f>
        <v>0</v>
      </c>
      <c r="AT5884" s="28"/>
      <c r="AU5884" s="28" t="n">
        <f aca="false">AT5884*$M5884</f>
        <v>0</v>
      </c>
      <c r="AV5884" s="28"/>
      <c r="AW5884" s="28" t="n">
        <f aca="false">AV5884*$M5884</f>
        <v>0</v>
      </c>
      <c r="AX5884" s="28"/>
      <c r="AY5884" s="28" t="n">
        <f aca="false">AX5884*$M5884</f>
        <v>0</v>
      </c>
      <c r="AZ5884" s="30" t="n">
        <v>1137</v>
      </c>
      <c r="BA5884" s="11" t="n">
        <v>10233</v>
      </c>
      <c r="BB5884" s="31" t="n">
        <f aca="false">SUM(Q5884,S5884,U5884,W5884,Y5884,AA5884,AC5884,AE5884,AG5884,AI5884,AK5884,AM5884,AO5884,AQ5884,AS5884,AU5884,AW5884,AY5884)</f>
        <v>10233</v>
      </c>
      <c r="BC5884" s="28" t="n">
        <f aca="false">BA5884-BB5884</f>
        <v>0</v>
      </c>
      <c r="BD5884" s="32" t="n">
        <f aca="false">SUM(P5884,R5884,T5884,V5884,X5884,Z5884,AB5884,AD5884,AF5884,AH5884,AJ5884,AL5884,AN5884,AP5884,AR5884,AT5884,AV5884,AX5884)</f>
        <v>1137</v>
      </c>
      <c r="BE5884" s="33" t="n">
        <f aca="false">AZ5884-BD5884</f>
        <v>0</v>
      </c>
      <c r="BF5884" s="34" t="n">
        <f aca="false">BD5884*M5884</f>
        <v>10233</v>
      </c>
      <c r="BG5884" s="35" t="n">
        <f aca="false">BA5884-BF5884</f>
        <v>0</v>
      </c>
      <c r="BH5884" s="19" t="str">
        <f aca="false">IF(BG5884=0,"",IF(BG5884&lt;&gt;BA5884,"erreur de calcul",IF(BD5884&lt;&gt;0,"pas de prix",IF(M5884&lt;&gt; 0,"pas de quantité","pas de prix, ni de quantité"))))</f>
        <v/>
      </c>
      <c r="BI5884" s="19"/>
    </row>
    <row r="5885" customFormat="false" ht="15" hidden="false" customHeight="false" outlineLevel="0" collapsed="false">
      <c r="A5885" s="0" t="n">
        <v>21</v>
      </c>
      <c r="B5885" s="8" t="s">
        <v>24</v>
      </c>
      <c r="C5885" s="9" t="s">
        <v>25</v>
      </c>
      <c r="D5885" s="9" t="s">
        <v>26</v>
      </c>
      <c r="E5885" s="10" t="n">
        <v>1789</v>
      </c>
      <c r="F5885" s="9" t="s">
        <v>27</v>
      </c>
      <c r="G5885" s="9" t="s">
        <v>27</v>
      </c>
      <c r="H5885" s="11" t="n">
        <v>25</v>
      </c>
      <c r="I5885" s="11" t="s">
        <v>350</v>
      </c>
      <c r="J5885" s="14"/>
      <c r="K5885" s="14" t="n">
        <v>40</v>
      </c>
      <c r="L5885" s="16"/>
      <c r="M5885" s="27" t="n">
        <f aca="false">J5885+(K5885/20)+(L5885/240)</f>
        <v>2</v>
      </c>
      <c r="N5885" s="17" t="s">
        <v>349</v>
      </c>
      <c r="O5885" s="11"/>
      <c r="P5885" s="28"/>
      <c r="Q5885" s="28" t="n">
        <f aca="false">P5885*$M5885</f>
        <v>0</v>
      </c>
      <c r="R5885" s="28"/>
      <c r="S5885" s="28" t="n">
        <f aca="false">R5885*$M5885</f>
        <v>0</v>
      </c>
      <c r="T5885" s="28"/>
      <c r="U5885" s="28" t="n">
        <f aca="false">T5885*$M5885</f>
        <v>0</v>
      </c>
      <c r="V5885" s="28" t="n">
        <v>2688</v>
      </c>
      <c r="W5885" s="28" t="n">
        <v>5376</v>
      </c>
      <c r="X5885" s="28" t="n">
        <v>775</v>
      </c>
      <c r="Y5885" s="28" t="n">
        <v>1550</v>
      </c>
      <c r="Z5885" s="28"/>
      <c r="AA5885" s="28" t="n">
        <f aca="false">Z5885*$M5885</f>
        <v>0</v>
      </c>
      <c r="AB5885" s="28"/>
      <c r="AC5885" s="28" t="n">
        <f aca="false">AB5885*$M5885</f>
        <v>0</v>
      </c>
      <c r="AD5885" s="28"/>
      <c r="AE5885" s="28" t="n">
        <f aca="false">AD5885*$M5885</f>
        <v>0</v>
      </c>
      <c r="AF5885" s="28"/>
      <c r="AG5885" s="28" t="n">
        <f aca="false">AF5885*$M5885</f>
        <v>0</v>
      </c>
      <c r="AH5885" s="28"/>
      <c r="AI5885" s="28" t="n">
        <f aca="false">AH5885*$M5885</f>
        <v>0</v>
      </c>
      <c r="AJ5885" s="28"/>
      <c r="AK5885" s="28" t="n">
        <f aca="false">AJ5885*$M5885</f>
        <v>0</v>
      </c>
      <c r="AL5885" s="28"/>
      <c r="AM5885" s="28" t="n">
        <f aca="false">AL5885*$M5885</f>
        <v>0</v>
      </c>
      <c r="AN5885" s="28"/>
      <c r="AO5885" s="28" t="n">
        <f aca="false">AN5885*$M5885</f>
        <v>0</v>
      </c>
      <c r="AP5885" s="28"/>
      <c r="AQ5885" s="28" t="n">
        <f aca="false">AP5885*$M5885</f>
        <v>0</v>
      </c>
      <c r="AR5885" s="28"/>
      <c r="AS5885" s="28" t="n">
        <f aca="false">AR5885*$M5885</f>
        <v>0</v>
      </c>
      <c r="AT5885" s="28"/>
      <c r="AU5885" s="28" t="n">
        <f aca="false">AT5885*$M5885</f>
        <v>0</v>
      </c>
      <c r="AV5885" s="28"/>
      <c r="AW5885" s="28" t="n">
        <f aca="false">AV5885*$M5885</f>
        <v>0</v>
      </c>
      <c r="AX5885" s="28"/>
      <c r="AY5885" s="28" t="n">
        <f aca="false">AX5885*$M5885</f>
        <v>0</v>
      </c>
      <c r="AZ5885" s="30" t="n">
        <v>3463</v>
      </c>
      <c r="BA5885" s="11" t="n">
        <v>6926</v>
      </c>
      <c r="BB5885" s="31" t="n">
        <f aca="false">SUM(Q5885,S5885,U5885,W5885,Y5885,AA5885,AC5885,AE5885,AG5885,AI5885,AK5885,AM5885,AO5885,AQ5885,AS5885,AU5885,AW5885,AY5885)</f>
        <v>6926</v>
      </c>
      <c r="BC5885" s="28" t="n">
        <f aca="false">BA5885-BB5885</f>
        <v>0</v>
      </c>
      <c r="BD5885" s="32" t="n">
        <f aca="false">SUM(P5885,R5885,T5885,V5885,X5885,Z5885,AB5885,AD5885,AF5885,AH5885,AJ5885,AL5885,AN5885,AP5885,AR5885,AT5885,AV5885,AX5885)</f>
        <v>3463</v>
      </c>
      <c r="BE5885" s="33" t="n">
        <f aca="false">AZ5885-BD5885</f>
        <v>0</v>
      </c>
      <c r="BF5885" s="34" t="n">
        <f aca="false">BD5885*M5885</f>
        <v>6926</v>
      </c>
      <c r="BG5885" s="35" t="n">
        <f aca="false">BA5885-BF5885</f>
        <v>0</v>
      </c>
      <c r="BH5885" s="19" t="str">
        <f aca="false">IF(BG5885=0,"",IF(BG5885&lt;&gt;BA5885,"erreur de calcul",IF(BD5885&lt;&gt;0,"pas de prix",IF(M5885&lt;&gt; 0,"pas de quantité","pas de prix, ni de quantité"))))</f>
        <v/>
      </c>
      <c r="BI5885" s="19"/>
    </row>
    <row r="5886" customFormat="false" ht="15" hidden="false" customHeight="false" outlineLevel="0" collapsed="false">
      <c r="A5886" s="0" t="n">
        <v>22</v>
      </c>
      <c r="B5886" s="8" t="s">
        <v>24</v>
      </c>
      <c r="C5886" s="9" t="s">
        <v>25</v>
      </c>
      <c r="D5886" s="9" t="s">
        <v>26</v>
      </c>
      <c r="E5886" s="10" t="n">
        <v>1789</v>
      </c>
      <c r="F5886" s="9" t="s">
        <v>27</v>
      </c>
      <c r="G5886" s="9" t="s">
        <v>27</v>
      </c>
      <c r="H5886" s="11" t="n">
        <v>25</v>
      </c>
      <c r="I5886" s="11" t="s">
        <v>351</v>
      </c>
      <c r="J5886" s="14" t="n">
        <v>60</v>
      </c>
      <c r="K5886" s="14"/>
      <c r="L5886" s="16"/>
      <c r="M5886" s="27" t="n">
        <f aca="false">J5886+(K5886/20)+(L5886/240)</f>
        <v>60</v>
      </c>
      <c r="N5886" s="17" t="s">
        <v>69</v>
      </c>
      <c r="O5886" s="11"/>
      <c r="P5886" s="28"/>
      <c r="Q5886" s="28" t="n">
        <f aca="false">P5886*$M5886</f>
        <v>0</v>
      </c>
      <c r="R5886" s="28"/>
      <c r="S5886" s="28" t="n">
        <f aca="false">R5886*$M5886</f>
        <v>0</v>
      </c>
      <c r="T5886" s="28" t="n">
        <v>20</v>
      </c>
      <c r="U5886" s="28" t="n">
        <v>1200</v>
      </c>
      <c r="V5886" s="28" t="n">
        <v>82</v>
      </c>
      <c r="W5886" s="28" t="n">
        <v>4920</v>
      </c>
      <c r="X5886" s="28"/>
      <c r="Y5886" s="28" t="n">
        <f aca="false">X5886*$M5886</f>
        <v>0</v>
      </c>
      <c r="Z5886" s="28"/>
      <c r="AA5886" s="28" t="n">
        <f aca="false">Z5886*$M5886</f>
        <v>0</v>
      </c>
      <c r="AB5886" s="28"/>
      <c r="AC5886" s="28" t="n">
        <f aca="false">AB5886*$M5886</f>
        <v>0</v>
      </c>
      <c r="AD5886" s="28"/>
      <c r="AE5886" s="28" t="n">
        <f aca="false">AD5886*$M5886</f>
        <v>0</v>
      </c>
      <c r="AF5886" s="28"/>
      <c r="AG5886" s="28" t="n">
        <f aca="false">AF5886*$M5886</f>
        <v>0</v>
      </c>
      <c r="AH5886" s="28"/>
      <c r="AI5886" s="28" t="n">
        <f aca="false">AH5886*$M5886</f>
        <v>0</v>
      </c>
      <c r="AJ5886" s="28"/>
      <c r="AK5886" s="28" t="n">
        <f aca="false">AJ5886*$M5886</f>
        <v>0</v>
      </c>
      <c r="AL5886" s="28"/>
      <c r="AM5886" s="28" t="n">
        <f aca="false">AL5886*$M5886</f>
        <v>0</v>
      </c>
      <c r="AN5886" s="28"/>
      <c r="AO5886" s="28" t="n">
        <f aca="false">AN5886*$M5886</f>
        <v>0</v>
      </c>
      <c r="AP5886" s="28"/>
      <c r="AQ5886" s="28" t="n">
        <f aca="false">AP5886*$M5886</f>
        <v>0</v>
      </c>
      <c r="AR5886" s="28"/>
      <c r="AS5886" s="28" t="n">
        <f aca="false">AR5886*$M5886</f>
        <v>0</v>
      </c>
      <c r="AT5886" s="28"/>
      <c r="AU5886" s="28" t="n">
        <f aca="false">AT5886*$M5886</f>
        <v>0</v>
      </c>
      <c r="AV5886" s="28"/>
      <c r="AW5886" s="28" t="n">
        <f aca="false">AV5886*$M5886</f>
        <v>0</v>
      </c>
      <c r="AX5886" s="28"/>
      <c r="AY5886" s="28" t="n">
        <f aca="false">AX5886*$M5886</f>
        <v>0</v>
      </c>
      <c r="AZ5886" s="30" t="n">
        <v>102</v>
      </c>
      <c r="BA5886" s="11" t="n">
        <v>6120</v>
      </c>
      <c r="BB5886" s="31" t="n">
        <f aca="false">SUM(Q5886,S5886,U5886,W5886,Y5886,AA5886,AC5886,AE5886,AG5886,AI5886,AK5886,AM5886,AO5886,AQ5886,AS5886,AU5886,AW5886,AY5886)</f>
        <v>6120</v>
      </c>
      <c r="BC5886" s="28" t="n">
        <f aca="false">BA5886-BB5886</f>
        <v>0</v>
      </c>
      <c r="BD5886" s="32" t="n">
        <f aca="false">SUM(P5886,R5886,T5886,V5886,X5886,Z5886,AB5886,AD5886,AF5886,AH5886,AJ5886,AL5886,AN5886,AP5886,AR5886,AT5886,AV5886,AX5886)</f>
        <v>102</v>
      </c>
      <c r="BE5886" s="33" t="n">
        <f aca="false">AZ5886-BD5886</f>
        <v>0</v>
      </c>
      <c r="BF5886" s="34" t="n">
        <f aca="false">BD5886*M5886</f>
        <v>6120</v>
      </c>
      <c r="BG5886" s="35" t="n">
        <f aca="false">BA5886-BF5886</f>
        <v>0</v>
      </c>
      <c r="BH5886" s="19" t="str">
        <f aca="false">IF(BG5886=0,"",IF(BG5886&lt;&gt;BA5886,"erreur de calcul",IF(BD5886&lt;&gt;0,"pas de prix",IF(M5886&lt;&gt; 0,"pas de quantité","pas de prix, ni de quantité"))))</f>
        <v/>
      </c>
      <c r="BI5886" s="19"/>
    </row>
    <row r="5887" customFormat="false" ht="15" hidden="false" customHeight="false" outlineLevel="0" collapsed="false">
      <c r="A5887" s="0" t="n">
        <v>23</v>
      </c>
      <c r="B5887" s="8" t="s">
        <v>24</v>
      </c>
      <c r="C5887" s="9" t="s">
        <v>25</v>
      </c>
      <c r="D5887" s="9" t="s">
        <v>26</v>
      </c>
      <c r="E5887" s="10" t="n">
        <v>1789</v>
      </c>
      <c r="F5887" s="9" t="s">
        <v>27</v>
      </c>
      <c r="G5887" s="9" t="s">
        <v>27</v>
      </c>
      <c r="H5887" s="11" t="n">
        <v>25</v>
      </c>
      <c r="I5887" s="11" t="s">
        <v>352</v>
      </c>
      <c r="J5887" s="14" t="n">
        <v>150</v>
      </c>
      <c r="K5887" s="14"/>
      <c r="L5887" s="16"/>
      <c r="M5887" s="27" t="n">
        <f aca="false">J5887+(K5887/20)+(L5887/240)</f>
        <v>150</v>
      </c>
      <c r="N5887" s="17" t="s">
        <v>64</v>
      </c>
      <c r="O5887" s="11"/>
      <c r="P5887" s="28" t="n">
        <f aca="false">274/100</f>
        <v>2.74</v>
      </c>
      <c r="Q5887" s="28" t="n">
        <v>411</v>
      </c>
      <c r="R5887" s="28"/>
      <c r="S5887" s="28" t="n">
        <f aca="false">R5887*$M5887</f>
        <v>0</v>
      </c>
      <c r="T5887" s="28" t="n">
        <f aca="false">3042/100</f>
        <v>30.42</v>
      </c>
      <c r="U5887" s="28" t="n">
        <v>4563</v>
      </c>
      <c r="V5887" s="28"/>
      <c r="W5887" s="28" t="n">
        <f aca="false">V5887*$M5887</f>
        <v>0</v>
      </c>
      <c r="X5887" s="28"/>
      <c r="Y5887" s="28" t="n">
        <f aca="false">X5887*$M5887</f>
        <v>0</v>
      </c>
      <c r="Z5887" s="28"/>
      <c r="AA5887" s="28" t="n">
        <f aca="false">Z5887*$M5887</f>
        <v>0</v>
      </c>
      <c r="AB5887" s="28" t="n">
        <f aca="false">92/100</f>
        <v>0.92</v>
      </c>
      <c r="AC5887" s="28" t="n">
        <v>138</v>
      </c>
      <c r="AD5887" s="28"/>
      <c r="AE5887" s="28" t="n">
        <f aca="false">AD5887*$M5887</f>
        <v>0</v>
      </c>
      <c r="AF5887" s="28"/>
      <c r="AG5887" s="28" t="n">
        <f aca="false">AF5887*$M5887</f>
        <v>0</v>
      </c>
      <c r="AH5887" s="28"/>
      <c r="AI5887" s="28" t="n">
        <f aca="false">AH5887*$M5887</f>
        <v>0</v>
      </c>
      <c r="AJ5887" s="28"/>
      <c r="AK5887" s="28" t="n">
        <f aca="false">AJ5887*$M5887</f>
        <v>0</v>
      </c>
      <c r="AL5887" s="28"/>
      <c r="AM5887" s="28" t="n">
        <f aca="false">AL5887*$M5887</f>
        <v>0</v>
      </c>
      <c r="AN5887" s="28"/>
      <c r="AO5887" s="28" t="n">
        <f aca="false">AN5887*$M5887</f>
        <v>0</v>
      </c>
      <c r="AP5887" s="28"/>
      <c r="AQ5887" s="28" t="n">
        <f aca="false">AP5887*$M5887</f>
        <v>0</v>
      </c>
      <c r="AR5887" s="28"/>
      <c r="AS5887" s="28" t="n">
        <f aca="false">AR5887*$M5887</f>
        <v>0</v>
      </c>
      <c r="AT5887" s="28"/>
      <c r="AU5887" s="28" t="n">
        <f aca="false">AT5887*$M5887</f>
        <v>0</v>
      </c>
      <c r="AV5887" s="28"/>
      <c r="AW5887" s="28" t="n">
        <f aca="false">AV5887*$M5887</f>
        <v>0</v>
      </c>
      <c r="AX5887" s="28"/>
      <c r="AY5887" s="28" t="n">
        <f aca="false">AX5887*$M5887</f>
        <v>0</v>
      </c>
      <c r="AZ5887" s="30" t="n">
        <f aca="false">3408/100</f>
        <v>34.08</v>
      </c>
      <c r="BA5887" s="11" t="n">
        <v>5112</v>
      </c>
      <c r="BB5887" s="31" t="n">
        <f aca="false">SUM(Q5887,S5887,U5887,W5887,Y5887,AA5887,AC5887,AE5887,AG5887,AI5887,AK5887,AM5887,AO5887,AQ5887,AS5887,AU5887,AW5887,AY5887)</f>
        <v>5112</v>
      </c>
      <c r="BC5887" s="28" t="n">
        <f aca="false">BA5887-BB5887</f>
        <v>0</v>
      </c>
      <c r="BD5887" s="32" t="n">
        <f aca="false">SUM(P5887,R5887,T5887,V5887,X5887,Z5887,AB5887,AD5887,AF5887,AH5887,AJ5887,AL5887,AN5887,AP5887,AR5887,AT5887,AV5887,AX5887)</f>
        <v>34.08</v>
      </c>
      <c r="BE5887" s="33" t="n">
        <f aca="false">AZ5887-BD5887</f>
        <v>0</v>
      </c>
      <c r="BF5887" s="34" t="n">
        <f aca="false">BD5887*M5887</f>
        <v>5112</v>
      </c>
      <c r="BG5887" s="35" t="n">
        <f aca="false">BA5887-BF5887</f>
        <v>0</v>
      </c>
      <c r="BH5887" s="19" t="str">
        <f aca="false">IF(BG5887=0,"",IF(BG5887&lt;&gt;BA5887,"erreur de calcul",IF(BD5887&lt;&gt;0,"pas de prix",IF(M5887&lt;&gt; 0,"pas de quantité","pas de prix, ni de quantité"))))</f>
        <v/>
      </c>
      <c r="BI5887" s="19"/>
    </row>
    <row r="5888" customFormat="false" ht="15" hidden="false" customHeight="false" outlineLevel="0" collapsed="false">
      <c r="A5888" s="0" t="n">
        <v>24</v>
      </c>
      <c r="B5888" s="8" t="s">
        <v>24</v>
      </c>
      <c r="C5888" s="9" t="s">
        <v>25</v>
      </c>
      <c r="D5888" s="9" t="s">
        <v>26</v>
      </c>
      <c r="E5888" s="10" t="n">
        <v>1789</v>
      </c>
      <c r="F5888" s="9" t="s">
        <v>27</v>
      </c>
      <c r="G5888" s="9" t="s">
        <v>27</v>
      </c>
      <c r="H5888" s="11" t="n">
        <v>25</v>
      </c>
      <c r="I5888" s="11" t="s">
        <v>353</v>
      </c>
      <c r="J5888" s="14" t="n">
        <v>40</v>
      </c>
      <c r="K5888" s="14"/>
      <c r="L5888" s="16"/>
      <c r="M5888" s="27" t="n">
        <f aca="false">J5888+(K5888/20)+(L5888/240)</f>
        <v>40</v>
      </c>
      <c r="N5888" s="17" t="s">
        <v>64</v>
      </c>
      <c r="O5888" s="11"/>
      <c r="P5888" s="28"/>
      <c r="Q5888" s="28" t="n">
        <f aca="false">P5888*$M5888</f>
        <v>0</v>
      </c>
      <c r="R5888" s="28"/>
      <c r="S5888" s="28" t="n">
        <f aca="false">R5888*$M5888</f>
        <v>0</v>
      </c>
      <c r="T5888" s="28"/>
      <c r="U5888" s="28" t="n">
        <f aca="false">T5888*$M5888</f>
        <v>0</v>
      </c>
      <c r="V5888" s="28" t="n">
        <f aca="false">4960/100</f>
        <v>49.6</v>
      </c>
      <c r="W5888" s="28" t="n">
        <v>1984</v>
      </c>
      <c r="X5888" s="28" t="n">
        <f aca="false">394/100</f>
        <v>3.94</v>
      </c>
      <c r="Y5888" s="28" t="n">
        <v>158</v>
      </c>
      <c r="Z5888" s="28"/>
      <c r="AA5888" s="28" t="n">
        <f aca="false">Z5888*$M5888</f>
        <v>0</v>
      </c>
      <c r="AB5888" s="28"/>
      <c r="AC5888" s="28" t="n">
        <f aca="false">AB5888*$M5888</f>
        <v>0</v>
      </c>
      <c r="AD5888" s="28"/>
      <c r="AE5888" s="28" t="n">
        <f aca="false">AD5888*$M5888</f>
        <v>0</v>
      </c>
      <c r="AF5888" s="28"/>
      <c r="AG5888" s="28" t="n">
        <f aca="false">AF5888*$M5888</f>
        <v>0</v>
      </c>
      <c r="AH5888" s="28"/>
      <c r="AI5888" s="28" t="n">
        <f aca="false">AH5888*$M5888</f>
        <v>0</v>
      </c>
      <c r="AJ5888" s="28"/>
      <c r="AK5888" s="28" t="n">
        <f aca="false">AJ5888*$M5888</f>
        <v>0</v>
      </c>
      <c r="AL5888" s="28"/>
      <c r="AM5888" s="28" t="n">
        <f aca="false">AL5888*$M5888</f>
        <v>0</v>
      </c>
      <c r="AN5888" s="28"/>
      <c r="AO5888" s="28" t="n">
        <f aca="false">AN5888*$M5888</f>
        <v>0</v>
      </c>
      <c r="AP5888" s="28"/>
      <c r="AQ5888" s="28" t="n">
        <f aca="false">AP5888*$M5888</f>
        <v>0</v>
      </c>
      <c r="AR5888" s="28"/>
      <c r="AS5888" s="28" t="n">
        <f aca="false">AR5888*$M5888</f>
        <v>0</v>
      </c>
      <c r="AT5888" s="28"/>
      <c r="AU5888" s="28" t="n">
        <f aca="false">AT5888*$M5888</f>
        <v>0</v>
      </c>
      <c r="AV5888" s="28"/>
      <c r="AW5888" s="28" t="n">
        <f aca="false">AV5888*$M5888</f>
        <v>0</v>
      </c>
      <c r="AX5888" s="28"/>
      <c r="AY5888" s="28" t="n">
        <f aca="false">AX5888*$M5888</f>
        <v>0</v>
      </c>
      <c r="AZ5888" s="30" t="n">
        <f aca="false">5354/100</f>
        <v>53.54</v>
      </c>
      <c r="BA5888" s="11" t="n">
        <v>2142</v>
      </c>
      <c r="BB5888" s="31" t="n">
        <f aca="false">SUM(Q5888,S5888,U5888,W5888,Y5888,AA5888,AC5888,AE5888,AG5888,AI5888,AK5888,AM5888,AO5888,AQ5888,AS5888,AU5888,AW5888,AY5888)</f>
        <v>2142</v>
      </c>
      <c r="BC5888" s="28" t="n">
        <f aca="false">BA5888-BB5888</f>
        <v>0</v>
      </c>
      <c r="BD5888" s="32" t="n">
        <f aca="false">SUM(P5888,R5888,T5888,V5888,X5888,Z5888,AB5888,AD5888,AF5888,AH5888,AJ5888,AL5888,AN5888,AP5888,AR5888,AT5888,AV5888,AX5888)</f>
        <v>53.54</v>
      </c>
      <c r="BE5888" s="33" t="n">
        <f aca="false">AZ5888-BD5888</f>
        <v>0</v>
      </c>
      <c r="BF5888" s="34" t="n">
        <f aca="false">BD5888*M5888</f>
        <v>2141.6</v>
      </c>
      <c r="BG5888" s="35" t="n">
        <f aca="false">BA5888-BF5888</f>
        <v>0.400000000000091</v>
      </c>
      <c r="BH5888" s="19" t="str">
        <f aca="false">IF(BG5888=0,"",IF(BG5888&lt;&gt;BA5888,"erreur de calcul",IF(BD5888&lt;&gt;0,"pas de prix",IF(M5888&lt;&gt; 0,"pas de quantité","pas de prix, ni de quantité"))))</f>
        <v>erreur de calcul</v>
      </c>
      <c r="BI5888" s="19"/>
    </row>
    <row r="5889" customFormat="false" ht="15" hidden="false" customHeight="false" outlineLevel="0" collapsed="false">
      <c r="A5889" s="0" t="n">
        <v>25</v>
      </c>
      <c r="B5889" s="8" t="s">
        <v>24</v>
      </c>
      <c r="C5889" s="9" t="s">
        <v>25</v>
      </c>
      <c r="D5889" s="9" t="s">
        <v>26</v>
      </c>
      <c r="E5889" s="10" t="n">
        <v>1789</v>
      </c>
      <c r="F5889" s="9" t="s">
        <v>27</v>
      </c>
      <c r="G5889" s="9" t="s">
        <v>27</v>
      </c>
      <c r="H5889" s="11" t="n">
        <v>25</v>
      </c>
      <c r="I5889" s="11" t="s">
        <v>354</v>
      </c>
      <c r="J5889" s="14" t="n">
        <v>200</v>
      </c>
      <c r="K5889" s="14"/>
      <c r="L5889" s="16"/>
      <c r="M5889" s="27" t="n">
        <f aca="false">J5889+(K5889/20)+(L5889/240)</f>
        <v>200</v>
      </c>
      <c r="N5889" s="17" t="s">
        <v>64</v>
      </c>
      <c r="O5889" s="11"/>
      <c r="P5889" s="28"/>
      <c r="Q5889" s="28" t="n">
        <f aca="false">P5889*$M5889</f>
        <v>0</v>
      </c>
      <c r="R5889" s="28"/>
      <c r="S5889" s="28" t="n">
        <f aca="false">R5889*$M5889</f>
        <v>0</v>
      </c>
      <c r="T5889" s="28" t="n">
        <f aca="false">4367/100</f>
        <v>43.67</v>
      </c>
      <c r="U5889" s="28" t="n">
        <v>8734</v>
      </c>
      <c r="V5889" s="28" t="n">
        <f aca="false">346/100</f>
        <v>3.46</v>
      </c>
      <c r="W5889" s="28" t="n">
        <v>692</v>
      </c>
      <c r="X5889" s="28"/>
      <c r="Y5889" s="28" t="n">
        <f aca="false">X5889*$M5889</f>
        <v>0</v>
      </c>
      <c r="Z5889" s="28"/>
      <c r="AA5889" s="28" t="n">
        <f aca="false">Z5889*$M5889</f>
        <v>0</v>
      </c>
      <c r="AB5889" s="28"/>
      <c r="AC5889" s="28" t="n">
        <f aca="false">AB5889*$M5889</f>
        <v>0</v>
      </c>
      <c r="AD5889" s="28"/>
      <c r="AE5889" s="28" t="n">
        <f aca="false">AD5889*$M5889</f>
        <v>0</v>
      </c>
      <c r="AF5889" s="28"/>
      <c r="AG5889" s="28" t="n">
        <f aca="false">AF5889*$M5889</f>
        <v>0</v>
      </c>
      <c r="AH5889" s="28"/>
      <c r="AI5889" s="28" t="n">
        <f aca="false">AH5889*$M5889</f>
        <v>0</v>
      </c>
      <c r="AJ5889" s="28"/>
      <c r="AK5889" s="28" t="n">
        <f aca="false">AJ5889*$M5889</f>
        <v>0</v>
      </c>
      <c r="AL5889" s="28"/>
      <c r="AM5889" s="28" t="n">
        <f aca="false">AL5889*$M5889</f>
        <v>0</v>
      </c>
      <c r="AN5889" s="28"/>
      <c r="AO5889" s="28" t="n">
        <f aca="false">AN5889*$M5889</f>
        <v>0</v>
      </c>
      <c r="AP5889" s="28"/>
      <c r="AQ5889" s="28" t="n">
        <f aca="false">AP5889*$M5889</f>
        <v>0</v>
      </c>
      <c r="AR5889" s="28"/>
      <c r="AS5889" s="28" t="n">
        <f aca="false">AR5889*$M5889</f>
        <v>0</v>
      </c>
      <c r="AT5889" s="28"/>
      <c r="AU5889" s="28" t="n">
        <f aca="false">AT5889*$M5889</f>
        <v>0</v>
      </c>
      <c r="AV5889" s="28"/>
      <c r="AW5889" s="28" t="n">
        <f aca="false">AV5889*$M5889</f>
        <v>0</v>
      </c>
      <c r="AX5889" s="28"/>
      <c r="AY5889" s="28" t="n">
        <f aca="false">AX5889*$M5889</f>
        <v>0</v>
      </c>
      <c r="AZ5889" s="30" t="n">
        <f aca="false">4713/100</f>
        <v>47.13</v>
      </c>
      <c r="BA5889" s="11" t="n">
        <v>9426</v>
      </c>
      <c r="BB5889" s="31" t="n">
        <f aca="false">SUM(Q5889,S5889,U5889,W5889,Y5889,AA5889,AC5889,AE5889,AG5889,AI5889,AK5889,AM5889,AO5889,AQ5889,AS5889,AU5889,AW5889,AY5889)</f>
        <v>9426</v>
      </c>
      <c r="BC5889" s="28" t="n">
        <f aca="false">BA5889-BB5889</f>
        <v>0</v>
      </c>
      <c r="BD5889" s="32" t="n">
        <f aca="false">SUM(P5889,R5889,T5889,V5889,X5889,Z5889,AB5889,AD5889,AF5889,AH5889,AJ5889,AL5889,AN5889,AP5889,AR5889,AT5889,AV5889,AX5889)</f>
        <v>47.13</v>
      </c>
      <c r="BE5889" s="33" t="n">
        <f aca="false">AZ5889-BD5889</f>
        <v>0</v>
      </c>
      <c r="BF5889" s="34" t="n">
        <f aca="false">BD5889*M5889</f>
        <v>9426</v>
      </c>
      <c r="BG5889" s="35" t="n">
        <f aca="false">BA5889-BF5889</f>
        <v>0</v>
      </c>
      <c r="BH5889" s="19" t="str">
        <f aca="false">IF(BG5889=0,"",IF(BG5889&lt;&gt;BA5889,"erreur de calcul",IF(BD5889&lt;&gt;0,"pas de prix",IF(M5889&lt;&gt; 0,"pas de quantité","pas de prix, ni de quantité"))))</f>
        <v/>
      </c>
      <c r="BI5889" s="19"/>
    </row>
    <row r="5890" customFormat="false" ht="15" hidden="false" customHeight="false" outlineLevel="0" collapsed="false">
      <c r="A5890" s="0" t="n">
        <v>26</v>
      </c>
      <c r="B5890" s="8" t="s">
        <v>24</v>
      </c>
      <c r="C5890" s="9" t="s">
        <v>25</v>
      </c>
      <c r="D5890" s="9" t="s">
        <v>26</v>
      </c>
      <c r="E5890" s="10" t="n">
        <v>1789</v>
      </c>
      <c r="F5890" s="9" t="s">
        <v>27</v>
      </c>
      <c r="G5890" s="9" t="s">
        <v>27</v>
      </c>
      <c r="H5890" s="11" t="n">
        <v>25</v>
      </c>
      <c r="I5890" s="11" t="s">
        <v>355</v>
      </c>
      <c r="J5890" s="14" t="n">
        <v>200</v>
      </c>
      <c r="K5890" s="14"/>
      <c r="L5890" s="16"/>
      <c r="M5890" s="27" t="n">
        <f aca="false">J5890+(K5890/20)+(L5890/240)</f>
        <v>200</v>
      </c>
      <c r="N5890" s="17" t="s">
        <v>64</v>
      </c>
      <c r="O5890" s="11"/>
      <c r="P5890" s="28"/>
      <c r="Q5890" s="28" t="n">
        <f aca="false">P5890*$M5890</f>
        <v>0</v>
      </c>
      <c r="R5890" s="28"/>
      <c r="S5890" s="28" t="n">
        <f aca="false">R5890*$M5890</f>
        <v>0</v>
      </c>
      <c r="T5890" s="28" t="n">
        <f aca="false">2471/100</f>
        <v>24.71</v>
      </c>
      <c r="U5890" s="28" t="n">
        <v>4942</v>
      </c>
      <c r="V5890" s="28"/>
      <c r="W5890" s="28" t="n">
        <f aca="false">V5890*$M5890</f>
        <v>0</v>
      </c>
      <c r="X5890" s="28"/>
      <c r="Y5890" s="28" t="n">
        <f aca="false">X5890*$M5890</f>
        <v>0</v>
      </c>
      <c r="Z5890" s="28"/>
      <c r="AA5890" s="28" t="n">
        <f aca="false">Z5890*$M5890</f>
        <v>0</v>
      </c>
      <c r="AB5890" s="28"/>
      <c r="AC5890" s="28" t="n">
        <f aca="false">AB5890*$M5890</f>
        <v>0</v>
      </c>
      <c r="AD5890" s="28"/>
      <c r="AE5890" s="28" t="n">
        <f aca="false">AD5890*$M5890</f>
        <v>0</v>
      </c>
      <c r="AF5890" s="28"/>
      <c r="AG5890" s="28" t="n">
        <f aca="false">AF5890*$M5890</f>
        <v>0</v>
      </c>
      <c r="AH5890" s="28"/>
      <c r="AI5890" s="28" t="n">
        <f aca="false">AH5890*$M5890</f>
        <v>0</v>
      </c>
      <c r="AJ5890" s="28"/>
      <c r="AK5890" s="28" t="n">
        <f aca="false">AJ5890*$M5890</f>
        <v>0</v>
      </c>
      <c r="AL5890" s="28"/>
      <c r="AM5890" s="28" t="n">
        <f aca="false">AL5890*$M5890</f>
        <v>0</v>
      </c>
      <c r="AN5890" s="28"/>
      <c r="AO5890" s="28" t="n">
        <f aca="false">AN5890*$M5890</f>
        <v>0</v>
      </c>
      <c r="AP5890" s="28"/>
      <c r="AQ5890" s="28" t="n">
        <f aca="false">AP5890*$M5890</f>
        <v>0</v>
      </c>
      <c r="AR5890" s="28"/>
      <c r="AS5890" s="28" t="n">
        <f aca="false">AR5890*$M5890</f>
        <v>0</v>
      </c>
      <c r="AT5890" s="28"/>
      <c r="AU5890" s="28" t="n">
        <f aca="false">AT5890*$M5890</f>
        <v>0</v>
      </c>
      <c r="AV5890" s="28"/>
      <c r="AW5890" s="28" t="n">
        <f aca="false">AV5890*$M5890</f>
        <v>0</v>
      </c>
      <c r="AX5890" s="28"/>
      <c r="AY5890" s="28" t="n">
        <f aca="false">AX5890*$M5890</f>
        <v>0</v>
      </c>
      <c r="AZ5890" s="30" t="n">
        <f aca="false">2471/100</f>
        <v>24.71</v>
      </c>
      <c r="BA5890" s="11" t="n">
        <v>4942</v>
      </c>
      <c r="BB5890" s="31" t="n">
        <f aca="false">SUM(Q5890,S5890,U5890,W5890,Y5890,AA5890,AC5890,AE5890,AG5890,AI5890,AK5890,AM5890,AO5890,AQ5890,AS5890,AU5890,AW5890,AY5890)</f>
        <v>4942</v>
      </c>
      <c r="BC5890" s="28" t="n">
        <f aca="false">BA5890-BB5890</f>
        <v>0</v>
      </c>
      <c r="BD5890" s="32" t="n">
        <f aca="false">SUM(P5890,R5890,T5890,V5890,X5890,Z5890,AB5890,AD5890,AF5890,AH5890,AJ5890,AL5890,AN5890,AP5890,AR5890,AT5890,AV5890,AX5890)</f>
        <v>24.71</v>
      </c>
      <c r="BE5890" s="33" t="n">
        <f aca="false">AZ5890-BD5890</f>
        <v>0</v>
      </c>
      <c r="BF5890" s="34" t="n">
        <f aca="false">BD5890*M5890</f>
        <v>4942</v>
      </c>
      <c r="BG5890" s="35" t="n">
        <f aca="false">BA5890-BF5890</f>
        <v>0</v>
      </c>
      <c r="BH5890" s="19" t="str">
        <f aca="false">IF(BG5890=0,"",IF(BG5890&lt;&gt;BA5890,"erreur de calcul",IF(BD5890&lt;&gt;0,"pas de prix",IF(M5890&lt;&gt; 0,"pas de quantité","pas de prix, ni de quantité"))))</f>
        <v/>
      </c>
      <c r="BI5890" s="19"/>
    </row>
    <row r="5891" customFormat="false" ht="15" hidden="false" customHeight="false" outlineLevel="0" collapsed="false">
      <c r="A5891" s="0" t="n">
        <v>27</v>
      </c>
      <c r="B5891" s="8" t="s">
        <v>24</v>
      </c>
      <c r="C5891" s="9" t="s">
        <v>25</v>
      </c>
      <c r="D5891" s="9" t="s">
        <v>26</v>
      </c>
      <c r="E5891" s="10" t="n">
        <v>1789</v>
      </c>
      <c r="F5891" s="9" t="s">
        <v>27</v>
      </c>
      <c r="G5891" s="9" t="s">
        <v>27</v>
      </c>
      <c r="H5891" s="11" t="n">
        <v>25</v>
      </c>
      <c r="I5891" s="11" t="s">
        <v>356</v>
      </c>
      <c r="J5891" s="14" t="n">
        <v>120</v>
      </c>
      <c r="K5891" s="14"/>
      <c r="L5891" s="16"/>
      <c r="M5891" s="27" t="n">
        <f aca="false">J5891+(K5891/20)+(L5891/240)</f>
        <v>120</v>
      </c>
      <c r="N5891" s="17" t="s">
        <v>64</v>
      </c>
      <c r="O5891" s="11"/>
      <c r="P5891" s="28"/>
      <c r="Q5891" s="28" t="n">
        <f aca="false">P5891*$M5891</f>
        <v>0</v>
      </c>
      <c r="R5891" s="28"/>
      <c r="S5891" s="28" t="n">
        <f aca="false">R5891*$M5891</f>
        <v>0</v>
      </c>
      <c r="T5891" s="28"/>
      <c r="U5891" s="28" t="n">
        <f aca="false">T5891*$M5891</f>
        <v>0</v>
      </c>
      <c r="V5891" s="28"/>
      <c r="W5891" s="28" t="n">
        <f aca="false">V5891*$M5891</f>
        <v>0</v>
      </c>
      <c r="X5891" s="28"/>
      <c r="Y5891" s="28" t="n">
        <f aca="false">X5891*$M5891</f>
        <v>0</v>
      </c>
      <c r="Z5891" s="28"/>
      <c r="AA5891" s="28" t="n">
        <f aca="false">Z5891*$M5891</f>
        <v>0</v>
      </c>
      <c r="AB5891" s="28"/>
      <c r="AC5891" s="28" t="n">
        <f aca="false">AB5891*$M5891</f>
        <v>0</v>
      </c>
      <c r="AD5891" s="28"/>
      <c r="AE5891" s="28" t="n">
        <f aca="false">AD5891*$M5891</f>
        <v>0</v>
      </c>
      <c r="AF5891" s="28"/>
      <c r="AG5891" s="28" t="n">
        <f aca="false">AF5891*$M5891</f>
        <v>0</v>
      </c>
      <c r="AH5891" s="28"/>
      <c r="AI5891" s="28" t="n">
        <f aca="false">AH5891*$M5891</f>
        <v>0</v>
      </c>
      <c r="AJ5891" s="28"/>
      <c r="AK5891" s="28" t="n">
        <f aca="false">AJ5891*$M5891</f>
        <v>0</v>
      </c>
      <c r="AL5891" s="28"/>
      <c r="AM5891" s="28" t="n">
        <f aca="false">AL5891*$M5891</f>
        <v>0</v>
      </c>
      <c r="AN5891" s="28" t="n">
        <f aca="false">407/100</f>
        <v>4.07</v>
      </c>
      <c r="AO5891" s="28" t="n">
        <v>488</v>
      </c>
      <c r="AP5891" s="28"/>
      <c r="AQ5891" s="28" t="n">
        <f aca="false">AP5891*$M5891</f>
        <v>0</v>
      </c>
      <c r="AR5891" s="28"/>
      <c r="AS5891" s="28" t="n">
        <f aca="false">AR5891*$M5891</f>
        <v>0</v>
      </c>
      <c r="AT5891" s="28"/>
      <c r="AU5891" s="28" t="n">
        <f aca="false">AT5891*$M5891</f>
        <v>0</v>
      </c>
      <c r="AV5891" s="28"/>
      <c r="AW5891" s="28" t="n">
        <f aca="false">AV5891*$M5891</f>
        <v>0</v>
      </c>
      <c r="AX5891" s="28"/>
      <c r="AY5891" s="28" t="n">
        <f aca="false">AX5891*$M5891</f>
        <v>0</v>
      </c>
      <c r="AZ5891" s="30" t="n">
        <f aca="false">407/100</f>
        <v>4.07</v>
      </c>
      <c r="BA5891" s="11" t="n">
        <v>488</v>
      </c>
      <c r="BB5891" s="31" t="n">
        <f aca="false">SUM(Q5891,S5891,U5891,W5891,Y5891,AA5891,AC5891,AE5891,AG5891,AI5891,AK5891,AM5891,AO5891,AQ5891,AS5891,AU5891,AW5891,AY5891)</f>
        <v>488</v>
      </c>
      <c r="BC5891" s="28" t="n">
        <f aca="false">BA5891-BB5891</f>
        <v>0</v>
      </c>
      <c r="BD5891" s="32" t="n">
        <f aca="false">SUM(P5891,R5891,T5891,V5891,X5891,Z5891,AB5891,AD5891,AF5891,AH5891,AJ5891,AL5891,AN5891,AP5891,AR5891,AT5891,AV5891,AX5891)</f>
        <v>4.07</v>
      </c>
      <c r="BE5891" s="33" t="n">
        <f aca="false">AZ5891-BD5891</f>
        <v>0</v>
      </c>
      <c r="BF5891" s="34" t="n">
        <f aca="false">BD5891*M5891</f>
        <v>488.4</v>
      </c>
      <c r="BG5891" s="35" t="n">
        <f aca="false">BA5891-BF5891</f>
        <v>-0.400000000000034</v>
      </c>
      <c r="BH5891" s="19" t="str">
        <f aca="false">IF(BG5891=0,"",IF(BG5891&lt;&gt;BA5891,"erreur de calcul",IF(BD5891&lt;&gt;0,"pas de prix",IF(M5891&lt;&gt; 0,"pas de quantité","pas de prix, ni de quantité"))))</f>
        <v>erreur de calcul</v>
      </c>
      <c r="BI5891" s="19"/>
    </row>
    <row r="5892" customFormat="false" ht="15" hidden="false" customHeight="false" outlineLevel="0" collapsed="false">
      <c r="A5892" s="0" t="n">
        <v>28</v>
      </c>
      <c r="B5892" s="8" t="s">
        <v>24</v>
      </c>
      <c r="C5892" s="9" t="s">
        <v>25</v>
      </c>
      <c r="D5892" s="9" t="s">
        <v>26</v>
      </c>
      <c r="E5892" s="10" t="n">
        <v>1789</v>
      </c>
      <c r="F5892" s="9" t="s">
        <v>27</v>
      </c>
      <c r="G5892" s="9" t="s">
        <v>27</v>
      </c>
      <c r="H5892" s="11" t="n">
        <v>25</v>
      </c>
      <c r="I5892" s="11" t="s">
        <v>357</v>
      </c>
      <c r="J5892" s="14" t="n">
        <v>30</v>
      </c>
      <c r="K5892" s="14"/>
      <c r="L5892" s="16"/>
      <c r="M5892" s="27" t="n">
        <f aca="false">J5892+(K5892/20)+(L5892/240)</f>
        <v>30</v>
      </c>
      <c r="N5892" s="17" t="s">
        <v>64</v>
      </c>
      <c r="O5892" s="11"/>
      <c r="P5892" s="28"/>
      <c r="Q5892" s="28" t="n">
        <f aca="false">P5892*$M5892</f>
        <v>0</v>
      </c>
      <c r="R5892" s="28"/>
      <c r="S5892" s="28" t="n">
        <f aca="false">R5892*$M5892</f>
        <v>0</v>
      </c>
      <c r="T5892" s="28" t="n">
        <f aca="false">8903/100</f>
        <v>89.03</v>
      </c>
      <c r="U5892" s="28" t="n">
        <v>2671</v>
      </c>
      <c r="V5892" s="28" t="n">
        <f aca="false">2591/100</f>
        <v>25.91</v>
      </c>
      <c r="W5892" s="28" t="n">
        <v>777</v>
      </c>
      <c r="X5892" s="28"/>
      <c r="Y5892" s="28" t="n">
        <f aca="false">X5892*$M5892</f>
        <v>0</v>
      </c>
      <c r="Z5892" s="28" t="n">
        <f aca="false">17041/100</f>
        <v>170.41</v>
      </c>
      <c r="AA5892" s="28" t="n">
        <v>5112</v>
      </c>
      <c r="AB5892" s="28" t="n">
        <f aca="false">42963/100</f>
        <v>429.63</v>
      </c>
      <c r="AC5892" s="28" t="n">
        <v>12889</v>
      </c>
      <c r="AD5892" s="28"/>
      <c r="AE5892" s="28" t="n">
        <f aca="false">AD5892*$M5892</f>
        <v>0</v>
      </c>
      <c r="AF5892" s="28" t="n">
        <f aca="false">138369/100</f>
        <v>1383.69</v>
      </c>
      <c r="AG5892" s="28" t="n">
        <v>41511</v>
      </c>
      <c r="AH5892" s="28"/>
      <c r="AI5892" s="28" t="n">
        <f aca="false">AH5892*$M5892</f>
        <v>0</v>
      </c>
      <c r="AJ5892" s="28"/>
      <c r="AK5892" s="28" t="n">
        <f aca="false">AJ5892*$M5892</f>
        <v>0</v>
      </c>
      <c r="AL5892" s="28"/>
      <c r="AM5892" s="28" t="n">
        <f aca="false">AL5892*$M5892</f>
        <v>0</v>
      </c>
      <c r="AN5892" s="28"/>
      <c r="AO5892" s="28" t="n">
        <f aca="false">AN5892*$M5892</f>
        <v>0</v>
      </c>
      <c r="AP5892" s="28"/>
      <c r="AQ5892" s="28" t="n">
        <f aca="false">AP5892*$M5892</f>
        <v>0</v>
      </c>
      <c r="AR5892" s="28"/>
      <c r="AS5892" s="28" t="n">
        <f aca="false">AR5892*$M5892</f>
        <v>0</v>
      </c>
      <c r="AT5892" s="28"/>
      <c r="AU5892" s="28" t="n">
        <f aca="false">AT5892*$M5892</f>
        <v>0</v>
      </c>
      <c r="AV5892" s="28"/>
      <c r="AW5892" s="28" t="n">
        <f aca="false">AV5892*$M5892</f>
        <v>0</v>
      </c>
      <c r="AX5892" s="28"/>
      <c r="AY5892" s="28" t="n">
        <f aca="false">AX5892*$M5892</f>
        <v>0</v>
      </c>
      <c r="AZ5892" s="30" t="n">
        <f aca="false">209867/100</f>
        <v>2098.67</v>
      </c>
      <c r="BA5892" s="11" t="n">
        <v>62960</v>
      </c>
      <c r="BB5892" s="31" t="n">
        <f aca="false">SUM(Q5892,S5892,U5892,W5892,Y5892,AA5892,AC5892,AE5892,AG5892,AI5892,AK5892,AM5892,AO5892,AQ5892,AS5892,AU5892,AW5892,AY5892)</f>
        <v>62960</v>
      </c>
      <c r="BC5892" s="28" t="n">
        <f aca="false">BA5892-BB5892</f>
        <v>0</v>
      </c>
      <c r="BD5892" s="32" t="n">
        <f aca="false">SUM(P5892,R5892,T5892,V5892,X5892,Z5892,AB5892,AD5892,AF5892,AH5892,AJ5892,AL5892,AN5892,AP5892,AR5892,AT5892,AV5892,AX5892)</f>
        <v>2098.67</v>
      </c>
      <c r="BE5892" s="33" t="n">
        <f aca="false">AZ5892-BD5892</f>
        <v>0</v>
      </c>
      <c r="BF5892" s="34" t="n">
        <f aca="false">BD5892*M5892</f>
        <v>62960.1</v>
      </c>
      <c r="BG5892" s="35" t="n">
        <f aca="false">BA5892-BF5892</f>
        <v>-0.100000000013097</v>
      </c>
      <c r="BH5892" s="19" t="str">
        <f aca="false">IF(BG5892=0,"",IF(BG5892&lt;&gt;BA5892,"erreur de calcul",IF(BD5892&lt;&gt;0,"pas de prix",IF(M5892&lt;&gt; 0,"pas de quantité","pas de prix, ni de quantité"))))</f>
        <v>erreur de calcul</v>
      </c>
      <c r="BI5892" s="19"/>
    </row>
    <row r="5893" customFormat="false" ht="15" hidden="false" customHeight="false" outlineLevel="0" collapsed="false">
      <c r="A5893" s="0" t="n">
        <v>29</v>
      </c>
      <c r="B5893" s="8" t="s">
        <v>24</v>
      </c>
      <c r="C5893" s="9" t="s">
        <v>25</v>
      </c>
      <c r="D5893" s="9" t="s">
        <v>26</v>
      </c>
      <c r="E5893" s="10" t="n">
        <v>1789</v>
      </c>
      <c r="F5893" s="9" t="s">
        <v>27</v>
      </c>
      <c r="G5893" s="9" t="s">
        <v>27</v>
      </c>
      <c r="H5893" s="11" t="n">
        <v>25</v>
      </c>
      <c r="I5893" s="11" t="s">
        <v>358</v>
      </c>
      <c r="J5893" s="14" t="n">
        <v>35</v>
      </c>
      <c r="K5893" s="14"/>
      <c r="L5893" s="16"/>
      <c r="M5893" s="27" t="n">
        <f aca="false">J5893+(K5893/20)+(L5893/240)</f>
        <v>35</v>
      </c>
      <c r="N5893" s="17" t="s">
        <v>64</v>
      </c>
      <c r="O5893" s="11"/>
      <c r="P5893" s="28"/>
      <c r="Q5893" s="28" t="n">
        <f aca="false">P5893*$M5893</f>
        <v>0</v>
      </c>
      <c r="R5893" s="28"/>
      <c r="S5893" s="28" t="n">
        <f aca="false">R5893*$M5893</f>
        <v>0</v>
      </c>
      <c r="T5893" s="28" t="n">
        <f aca="false">62095/100</f>
        <v>620.95</v>
      </c>
      <c r="U5893" s="28" t="n">
        <v>21733</v>
      </c>
      <c r="V5893" s="28" t="n">
        <f aca="false">257918/100</f>
        <v>2579.18</v>
      </c>
      <c r="W5893" s="28" t="n">
        <v>90271</v>
      </c>
      <c r="X5893" s="28" t="n">
        <f aca="false">10723/100</f>
        <v>107.23</v>
      </c>
      <c r="Y5893" s="28" t="n">
        <v>3753</v>
      </c>
      <c r="Z5893" s="28" t="n">
        <f aca="false">21191/100</f>
        <v>211.91</v>
      </c>
      <c r="AA5893" s="28" t="n">
        <v>7417</v>
      </c>
      <c r="AB5893" s="28" t="n">
        <f aca="false">308781/100</f>
        <v>3087.81</v>
      </c>
      <c r="AC5893" s="28" t="n">
        <v>108073</v>
      </c>
      <c r="AD5893" s="28"/>
      <c r="AE5893" s="28" t="n">
        <f aca="false">AD5893*$M5893</f>
        <v>0</v>
      </c>
      <c r="AF5893" s="28" t="n">
        <f aca="false">5225/100</f>
        <v>52.25</v>
      </c>
      <c r="AG5893" s="28" t="n">
        <v>1829</v>
      </c>
      <c r="AH5893" s="28"/>
      <c r="AI5893" s="28" t="n">
        <f aca="false">AH5893*$M5893</f>
        <v>0</v>
      </c>
      <c r="AJ5893" s="28"/>
      <c r="AK5893" s="28" t="n">
        <f aca="false">AJ5893*$M5893</f>
        <v>0</v>
      </c>
      <c r="AL5893" s="28"/>
      <c r="AM5893" s="28" t="n">
        <f aca="false">AL5893*$M5893</f>
        <v>0</v>
      </c>
      <c r="AN5893" s="28"/>
      <c r="AO5893" s="28" t="n">
        <f aca="false">AN5893*$M5893</f>
        <v>0</v>
      </c>
      <c r="AP5893" s="28"/>
      <c r="AQ5893" s="28" t="n">
        <f aca="false">AP5893*$M5893</f>
        <v>0</v>
      </c>
      <c r="AR5893" s="28"/>
      <c r="AS5893" s="28" t="n">
        <f aca="false">AR5893*$M5893</f>
        <v>0</v>
      </c>
      <c r="AT5893" s="28"/>
      <c r="AU5893" s="28" t="n">
        <f aca="false">AT5893*$M5893</f>
        <v>0</v>
      </c>
      <c r="AV5893" s="28"/>
      <c r="AW5893" s="28" t="n">
        <f aca="false">AV5893*$M5893</f>
        <v>0</v>
      </c>
      <c r="AX5893" s="28"/>
      <c r="AY5893" s="28" t="n">
        <f aca="false">AX5893*$M5893</f>
        <v>0</v>
      </c>
      <c r="AZ5893" s="30" t="n">
        <f aca="false">665933/100</f>
        <v>6659.33</v>
      </c>
      <c r="BA5893" s="11" t="n">
        <v>233076</v>
      </c>
      <c r="BB5893" s="31" t="n">
        <f aca="false">SUM(Q5893,S5893,U5893,W5893,Y5893,AA5893,AC5893,AE5893,AG5893,AI5893,AK5893,AM5893,AO5893,AQ5893,AS5893,AU5893,AW5893,AY5893)</f>
        <v>233076</v>
      </c>
      <c r="BC5893" s="28" t="n">
        <f aca="false">BA5893-BB5893</f>
        <v>0</v>
      </c>
      <c r="BD5893" s="32" t="n">
        <f aca="false">SUM(P5893,R5893,T5893,V5893,X5893,Z5893,AB5893,AD5893,AF5893,AH5893,AJ5893,AL5893,AN5893,AP5893,AR5893,AT5893,AV5893,AX5893)</f>
        <v>6659.33</v>
      </c>
      <c r="BE5893" s="33" t="n">
        <f aca="false">AZ5893-BD5893</f>
        <v>0</v>
      </c>
      <c r="BF5893" s="34" t="n">
        <f aca="false">BD5893*M5893</f>
        <v>233076.55</v>
      </c>
      <c r="BG5893" s="35" t="n">
        <f aca="false">BA5893-BF5893</f>
        <v>-0.549999999959255</v>
      </c>
      <c r="BH5893" s="19" t="str">
        <f aca="false">IF(BG5893=0,"",IF(BG5893&lt;&gt;BA5893,"erreur de calcul",IF(BD5893&lt;&gt;0,"pas de prix",IF(M5893&lt;&gt; 0,"pas de quantité","pas de prix, ni de quantité"))))</f>
        <v>erreur de calcul</v>
      </c>
      <c r="BI5893" s="19"/>
    </row>
    <row r="5894" customFormat="false" ht="15" hidden="false" customHeight="false" outlineLevel="0" collapsed="false">
      <c r="A5894" s="0" t="n">
        <v>30</v>
      </c>
      <c r="B5894" s="8" t="s">
        <v>24</v>
      </c>
      <c r="C5894" s="9" t="s">
        <v>25</v>
      </c>
      <c r="D5894" s="9" t="s">
        <v>26</v>
      </c>
      <c r="E5894" s="10" t="n">
        <v>1789</v>
      </c>
      <c r="F5894" s="9" t="s">
        <v>27</v>
      </c>
      <c r="G5894" s="9" t="s">
        <v>27</v>
      </c>
      <c r="H5894" s="11" t="n">
        <v>25</v>
      </c>
      <c r="I5894" s="11" t="s">
        <v>359</v>
      </c>
      <c r="J5894" s="14"/>
      <c r="K5894" s="14"/>
      <c r="L5894" s="16"/>
      <c r="M5894" s="27" t="n">
        <f aca="false">J5894+(K5894/20)+(L5894/240)</f>
        <v>0</v>
      </c>
      <c r="N5894" s="17"/>
      <c r="O5894" s="11" t="s">
        <v>109</v>
      </c>
      <c r="P5894" s="28"/>
      <c r="Q5894" s="28" t="n">
        <f aca="false">P5894*$M5894</f>
        <v>0</v>
      </c>
      <c r="R5894" s="28"/>
      <c r="S5894" s="28" t="n">
        <f aca="false">R5894*$M5894</f>
        <v>0</v>
      </c>
      <c r="T5894" s="28"/>
      <c r="U5894" s="28" t="n">
        <f aca="false">T5894*$M5894</f>
        <v>0</v>
      </c>
      <c r="V5894" s="28"/>
      <c r="W5894" s="28" t="n">
        <f aca="false">V5894*$M5894</f>
        <v>0</v>
      </c>
      <c r="X5894" s="28"/>
      <c r="Y5894" s="28" t="n">
        <f aca="false">X5894*$M5894</f>
        <v>0</v>
      </c>
      <c r="Z5894" s="28"/>
      <c r="AA5894" s="28" t="n">
        <f aca="false">Z5894*$M5894</f>
        <v>0</v>
      </c>
      <c r="AB5894" s="28"/>
      <c r="AC5894" s="28" t="n">
        <f aca="false">AB5894*$M5894</f>
        <v>0</v>
      </c>
      <c r="AD5894" s="28"/>
      <c r="AE5894" s="28" t="n">
        <f aca="false">AD5894*$M5894</f>
        <v>0</v>
      </c>
      <c r="AF5894" s="28"/>
      <c r="AG5894" s="28" t="n">
        <f aca="false">AF5894*$M5894</f>
        <v>0</v>
      </c>
      <c r="AH5894" s="28"/>
      <c r="AI5894" s="28" t="n">
        <f aca="false">AH5894*$M5894</f>
        <v>0</v>
      </c>
      <c r="AJ5894" s="28"/>
      <c r="AK5894" s="28" t="n">
        <f aca="false">AJ5894*$M5894</f>
        <v>0</v>
      </c>
      <c r="AL5894" s="28"/>
      <c r="AM5894" s="28" t="n">
        <f aca="false">AL5894*$M5894</f>
        <v>0</v>
      </c>
      <c r="AN5894" s="28"/>
      <c r="AO5894" s="28" t="n">
        <f aca="false">AN5894*$M5894</f>
        <v>0</v>
      </c>
      <c r="AP5894" s="28"/>
      <c r="AQ5894" s="28" t="n">
        <f aca="false">AP5894*$M5894</f>
        <v>0</v>
      </c>
      <c r="AR5894" s="28"/>
      <c r="AS5894" s="28" t="n">
        <f aca="false">AR5894*$M5894</f>
        <v>0</v>
      </c>
      <c r="AT5894" s="28"/>
      <c r="AU5894" s="28" t="n">
        <f aca="false">AT5894*$M5894</f>
        <v>0</v>
      </c>
      <c r="AV5894" s="28"/>
      <c r="AW5894" s="28" t="n">
        <f aca="false">AV5894*$M5894</f>
        <v>0</v>
      </c>
      <c r="AX5894" s="28"/>
      <c r="AY5894" s="28" t="n">
        <f aca="false">AX5894*$M5894</f>
        <v>0</v>
      </c>
      <c r="AZ5894" s="30"/>
      <c r="BA5894" s="11"/>
      <c r="BB5894" s="31" t="n">
        <f aca="false">SUM(Q5894,S5894,U5894,W5894,Y5894,AA5894,AC5894,AE5894,AG5894,AI5894,AK5894,AM5894,AO5894,AQ5894,AS5894,AU5894,AW5894,AY5894)</f>
        <v>0</v>
      </c>
      <c r="BC5894" s="28" t="n">
        <f aca="false">BA5894-BB5894</f>
        <v>0</v>
      </c>
      <c r="BD5894" s="32" t="n">
        <f aca="false">SUM(P5894,R5894,T5894,V5894,X5894,Z5894,AB5894,AD5894,AF5894,AH5894,AJ5894,AL5894,AN5894,AP5894,AR5894,AT5894,AV5894,AX5894)</f>
        <v>0</v>
      </c>
      <c r="BE5894" s="33" t="n">
        <f aca="false">AZ5894-BD5894</f>
        <v>0</v>
      </c>
      <c r="BF5894" s="34" t="n">
        <f aca="false">BD5894*M5894</f>
        <v>0</v>
      </c>
      <c r="BG5894" s="35" t="n">
        <f aca="false">BA5894-BF5894</f>
        <v>0</v>
      </c>
      <c r="BH5894" s="19" t="str">
        <f aca="false">IF(BG5894=0,"",IF(BG5894&lt;&gt;BA5894,"erreur de calcul",IF(BD5894&lt;&gt;0,"pas de prix",IF(M5894&lt;&gt; 0,"pas de quantité","pas de prix, ni de quantité"))))</f>
        <v/>
      </c>
      <c r="BI5894" s="19"/>
    </row>
    <row r="5895" customFormat="false" ht="15" hidden="false" customHeight="false" outlineLevel="0" collapsed="false">
      <c r="A5895" s="0" t="n">
        <v>31</v>
      </c>
      <c r="B5895" s="8" t="s">
        <v>24</v>
      </c>
      <c r="C5895" s="9" t="s">
        <v>25</v>
      </c>
      <c r="D5895" s="9" t="s">
        <v>26</v>
      </c>
      <c r="E5895" s="10" t="n">
        <v>1789</v>
      </c>
      <c r="F5895" s="9" t="s">
        <v>27</v>
      </c>
      <c r="G5895" s="9" t="s">
        <v>27</v>
      </c>
      <c r="H5895" s="11" t="n">
        <v>25</v>
      </c>
      <c r="I5895" s="11" t="s">
        <v>359</v>
      </c>
      <c r="J5895" s="14"/>
      <c r="K5895" s="14"/>
      <c r="L5895" s="16"/>
      <c r="M5895" s="27" t="n">
        <f aca="false">J5895+(K5895/20)+(L5895/240)</f>
        <v>0</v>
      </c>
      <c r="N5895" s="17"/>
      <c r="O5895" s="11" t="s">
        <v>277</v>
      </c>
      <c r="P5895" s="28"/>
      <c r="Q5895" s="28" t="n">
        <f aca="false">P5895*$M5895</f>
        <v>0</v>
      </c>
      <c r="R5895" s="28"/>
      <c r="S5895" s="28" t="n">
        <f aca="false">R5895*$M5895</f>
        <v>0</v>
      </c>
      <c r="T5895" s="28"/>
      <c r="U5895" s="28" t="n">
        <f aca="false">T5895*$M5895</f>
        <v>0</v>
      </c>
      <c r="V5895" s="28"/>
      <c r="W5895" s="28" t="n">
        <f aca="false">V5895*$M5895</f>
        <v>0</v>
      </c>
      <c r="X5895" s="28"/>
      <c r="Y5895" s="28" t="n">
        <v>1361</v>
      </c>
      <c r="Z5895" s="28"/>
      <c r="AA5895" s="28" t="n">
        <f aca="false">Z5895*$M5895</f>
        <v>0</v>
      </c>
      <c r="AB5895" s="28"/>
      <c r="AC5895" s="28" t="n">
        <v>1182</v>
      </c>
      <c r="AD5895" s="28"/>
      <c r="AE5895" s="28" t="n">
        <v>649</v>
      </c>
      <c r="AF5895" s="28"/>
      <c r="AG5895" s="28" t="n">
        <f aca="false">AF5895*$M5895</f>
        <v>0</v>
      </c>
      <c r="AH5895" s="28"/>
      <c r="AI5895" s="28" t="n">
        <v>862</v>
      </c>
      <c r="AJ5895" s="28"/>
      <c r="AK5895" s="28" t="n">
        <f aca="false">AJ5895*$M5895</f>
        <v>0</v>
      </c>
      <c r="AL5895" s="28"/>
      <c r="AM5895" s="28" t="n">
        <f aca="false">AL5895*$M5895</f>
        <v>0</v>
      </c>
      <c r="AN5895" s="28"/>
      <c r="AO5895" s="28" t="n">
        <f aca="false">AN5895*$M5895</f>
        <v>0</v>
      </c>
      <c r="AP5895" s="28"/>
      <c r="AQ5895" s="28" t="n">
        <f aca="false">AP5895*$M5895</f>
        <v>0</v>
      </c>
      <c r="AR5895" s="28"/>
      <c r="AS5895" s="28" t="n">
        <f aca="false">AR5895*$M5895</f>
        <v>0</v>
      </c>
      <c r="AT5895" s="28"/>
      <c r="AU5895" s="28" t="n">
        <f aca="false">AT5895*$M5895</f>
        <v>0</v>
      </c>
      <c r="AV5895" s="28"/>
      <c r="AW5895" s="28" t="n">
        <f aca="false">AV5895*$M5895</f>
        <v>0</v>
      </c>
      <c r="AX5895" s="28"/>
      <c r="AY5895" s="28" t="n">
        <f aca="false">AX5895*$M5895</f>
        <v>0</v>
      </c>
      <c r="AZ5895" s="30"/>
      <c r="BA5895" s="11" t="n">
        <v>4054</v>
      </c>
      <c r="BB5895" s="31" t="n">
        <f aca="false">SUM(Q5895,S5895,U5895,W5895,Y5895,AA5895,AC5895,AE5895,AG5895,AI5895,AK5895,AM5895,AO5895,AQ5895,AS5895,AU5895,AW5895,AY5895)</f>
        <v>4054</v>
      </c>
      <c r="BC5895" s="28" t="n">
        <f aca="false">BA5895-BB5895</f>
        <v>0</v>
      </c>
      <c r="BD5895" s="32" t="n">
        <f aca="false">SUM(P5895,R5895,T5895,V5895,X5895,Z5895,AB5895,AD5895,AF5895,AH5895,AJ5895,AL5895,AN5895,AP5895,AR5895,AT5895,AV5895,AX5895)</f>
        <v>0</v>
      </c>
      <c r="BE5895" s="33" t="n">
        <f aca="false">AZ5895-BD5895</f>
        <v>0</v>
      </c>
      <c r="BF5895" s="34" t="n">
        <f aca="false">BD5895*M5895</f>
        <v>0</v>
      </c>
      <c r="BG5895" s="35" t="n">
        <f aca="false">BA5895-BF5895</f>
        <v>4054</v>
      </c>
      <c r="BH5895" s="19" t="str">
        <f aca="false">IF(BG5895=0,"",IF(BG5895&lt;&gt;BA5895,"erreur de calcul",IF(BD5895&lt;&gt;0,"pas de prix",IF(M5895&lt;&gt; 0,"pas de quantité","pas de prix, ni de quantité"))))</f>
        <v>pas de prix, ni de quantité</v>
      </c>
      <c r="BI5895" s="19"/>
    </row>
    <row r="5896" customFormat="false" ht="15" hidden="false" customHeight="false" outlineLevel="0" collapsed="false">
      <c r="A5896" s="0" t="n">
        <v>32</v>
      </c>
      <c r="B5896" s="8" t="s">
        <v>24</v>
      </c>
      <c r="C5896" s="9" t="s">
        <v>25</v>
      </c>
      <c r="D5896" s="9" t="s">
        <v>26</v>
      </c>
      <c r="E5896" s="10" t="n">
        <v>1789</v>
      </c>
      <c r="F5896" s="9" t="s">
        <v>27</v>
      </c>
      <c r="G5896" s="9" t="s">
        <v>27</v>
      </c>
      <c r="H5896" s="11" t="n">
        <v>25</v>
      </c>
      <c r="I5896" s="11" t="s">
        <v>360</v>
      </c>
      <c r="J5896" s="14" t="n">
        <v>66</v>
      </c>
      <c r="K5896" s="14"/>
      <c r="L5896" s="16"/>
      <c r="M5896" s="27" t="n">
        <f aca="false">J5896+(K5896/20)+(L5896/240)</f>
        <v>66</v>
      </c>
      <c r="N5896" s="17" t="s">
        <v>64</v>
      </c>
      <c r="O5896" s="11"/>
      <c r="P5896" s="28"/>
      <c r="Q5896" s="28" t="n">
        <f aca="false">P5896*$M5896</f>
        <v>0</v>
      </c>
      <c r="R5896" s="28"/>
      <c r="S5896" s="28" t="n">
        <f aca="false">R5896*$M5896</f>
        <v>0</v>
      </c>
      <c r="T5896" s="28"/>
      <c r="U5896" s="28" t="n">
        <f aca="false">T5896*$M5896</f>
        <v>0</v>
      </c>
      <c r="V5896" s="28"/>
      <c r="W5896" s="28" t="n">
        <f aca="false">V5896*$M5896</f>
        <v>0</v>
      </c>
      <c r="X5896" s="28"/>
      <c r="Y5896" s="28" t="n">
        <f aca="false">X5896*$M5896</f>
        <v>0</v>
      </c>
      <c r="Z5896" s="28"/>
      <c r="AA5896" s="28" t="n">
        <f aca="false">Z5896*$M5896</f>
        <v>0</v>
      </c>
      <c r="AB5896" s="28"/>
      <c r="AC5896" s="28" t="n">
        <f aca="false">AB5896*$M5896</f>
        <v>0</v>
      </c>
      <c r="AD5896" s="28"/>
      <c r="AE5896" s="28" t="n">
        <f aca="false">AD5896*$M5896</f>
        <v>0</v>
      </c>
      <c r="AF5896" s="28"/>
      <c r="AG5896" s="28" t="n">
        <f aca="false">AF5896*$M5896</f>
        <v>0</v>
      </c>
      <c r="AH5896" s="28" t="n">
        <f aca="false">75475/100</f>
        <v>754.75</v>
      </c>
      <c r="AI5896" s="28" t="n">
        <v>49813</v>
      </c>
      <c r="AJ5896" s="28"/>
      <c r="AK5896" s="28" t="n">
        <f aca="false">AJ5896*$M5896</f>
        <v>0</v>
      </c>
      <c r="AL5896" s="28"/>
      <c r="AM5896" s="28" t="n">
        <f aca="false">AL5896*$M5896</f>
        <v>0</v>
      </c>
      <c r="AN5896" s="28"/>
      <c r="AO5896" s="28" t="n">
        <f aca="false">AN5896*$M5896</f>
        <v>0</v>
      </c>
      <c r="AP5896" s="28"/>
      <c r="AQ5896" s="28" t="n">
        <f aca="false">AP5896*$M5896</f>
        <v>0</v>
      </c>
      <c r="AR5896" s="28"/>
      <c r="AS5896" s="28" t="n">
        <f aca="false">AR5896*$M5896</f>
        <v>0</v>
      </c>
      <c r="AT5896" s="28"/>
      <c r="AU5896" s="28" t="n">
        <f aca="false">AT5896*$M5896</f>
        <v>0</v>
      </c>
      <c r="AV5896" s="28"/>
      <c r="AW5896" s="28" t="n">
        <f aca="false">AV5896*$M5896</f>
        <v>0</v>
      </c>
      <c r="AX5896" s="28"/>
      <c r="AY5896" s="28" t="n">
        <f aca="false">AX5896*$M5896</f>
        <v>0</v>
      </c>
      <c r="AZ5896" s="30" t="n">
        <f aca="false">75475/100</f>
        <v>754.75</v>
      </c>
      <c r="BA5896" s="11" t="n">
        <v>49813</v>
      </c>
      <c r="BB5896" s="31" t="n">
        <f aca="false">SUM(Q5896,S5896,U5896,W5896,Y5896,AA5896,AC5896,AE5896,AG5896,AI5896,AK5896,AM5896,AO5896,AQ5896,AS5896,AU5896,AW5896,AY5896)</f>
        <v>49813</v>
      </c>
      <c r="BC5896" s="28" t="n">
        <f aca="false">BA5896-BB5896</f>
        <v>0</v>
      </c>
      <c r="BD5896" s="32" t="n">
        <f aca="false">SUM(P5896,R5896,T5896,V5896,X5896,Z5896,AB5896,AD5896,AF5896,AH5896,AJ5896,AL5896,AN5896,AP5896,AR5896,AT5896,AV5896,AX5896)</f>
        <v>754.75</v>
      </c>
      <c r="BE5896" s="33" t="n">
        <f aca="false">AZ5896-BD5896</f>
        <v>0</v>
      </c>
      <c r="BF5896" s="34" t="n">
        <f aca="false">BD5896*M5896</f>
        <v>49813.5</v>
      </c>
      <c r="BG5896" s="35" t="n">
        <f aca="false">BA5896-BF5896</f>
        <v>-0.5</v>
      </c>
      <c r="BH5896" s="19" t="str">
        <f aca="false">IF(BG5896=0,"",IF(BG5896&lt;&gt;BA5896,"erreur de calcul",IF(BD5896&lt;&gt;0,"pas de prix",IF(M5896&lt;&gt; 0,"pas de quantité","pas de prix, ni de quantité"))))</f>
        <v>erreur de calcul</v>
      </c>
      <c r="BI5896" s="19"/>
    </row>
    <row r="5897" customFormat="false" ht="15" hidden="false" customHeight="false" outlineLevel="0" collapsed="false">
      <c r="A5897" s="0" t="n">
        <v>33</v>
      </c>
      <c r="B5897" s="8" t="s">
        <v>24</v>
      </c>
      <c r="C5897" s="9" t="s">
        <v>25</v>
      </c>
      <c r="D5897" s="9" t="s">
        <v>26</v>
      </c>
      <c r="E5897" s="10" t="n">
        <v>1789</v>
      </c>
      <c r="F5897" s="9" t="s">
        <v>27</v>
      </c>
      <c r="G5897" s="9" t="s">
        <v>27</v>
      </c>
      <c r="H5897" s="11" t="n">
        <v>25</v>
      </c>
      <c r="I5897" s="11" t="s">
        <v>361</v>
      </c>
      <c r="J5897" s="14" t="n">
        <v>175</v>
      </c>
      <c r="K5897" s="14"/>
      <c r="L5897" s="16"/>
      <c r="M5897" s="27" t="n">
        <f aca="false">J5897+(K5897/20)+(L5897/240)</f>
        <v>175</v>
      </c>
      <c r="N5897" s="17" t="s">
        <v>64</v>
      </c>
      <c r="O5897" s="11" t="s">
        <v>77</v>
      </c>
      <c r="P5897" s="28" t="n">
        <f aca="false">1514/100</f>
        <v>15.14</v>
      </c>
      <c r="Q5897" s="28" t="n">
        <v>2649</v>
      </c>
      <c r="R5897" s="28"/>
      <c r="S5897" s="28" t="n">
        <f aca="false">R5897*$M5897</f>
        <v>0</v>
      </c>
      <c r="T5897" s="28" t="n">
        <f aca="false">170926/100</f>
        <v>1709.26</v>
      </c>
      <c r="U5897" s="28" t="n">
        <v>299120</v>
      </c>
      <c r="V5897" s="28" t="n">
        <f aca="false">16985/100</f>
        <v>169.85</v>
      </c>
      <c r="W5897" s="28" t="n">
        <v>29724</v>
      </c>
      <c r="X5897" s="28" t="n">
        <f aca="false">4530/100</f>
        <v>45.3</v>
      </c>
      <c r="Y5897" s="28" t="n">
        <v>7927</v>
      </c>
      <c r="Z5897" s="28"/>
      <c r="AA5897" s="28" t="n">
        <f aca="false">Z5897*$M5897</f>
        <v>0</v>
      </c>
      <c r="AB5897" s="28" t="n">
        <f aca="false">33770/100</f>
        <v>337.7</v>
      </c>
      <c r="AC5897" s="28" t="n">
        <v>59097</v>
      </c>
      <c r="AD5897" s="28"/>
      <c r="AE5897" s="28" t="n">
        <f aca="false">AD5897*$M5897</f>
        <v>0</v>
      </c>
      <c r="AF5897" s="28" t="n">
        <f aca="false">4712/100</f>
        <v>47.12</v>
      </c>
      <c r="AG5897" s="28" t="n">
        <v>8246</v>
      </c>
      <c r="AH5897" s="28" t="n">
        <f aca="false">55822/100</f>
        <v>558.22</v>
      </c>
      <c r="AI5897" s="28" t="n">
        <v>97688</v>
      </c>
      <c r="AJ5897" s="28"/>
      <c r="AK5897" s="28" t="n">
        <f aca="false">AJ5897*$M5897</f>
        <v>0</v>
      </c>
      <c r="AL5897" s="28"/>
      <c r="AM5897" s="28" t="n">
        <f aca="false">AL5897*$M5897</f>
        <v>0</v>
      </c>
      <c r="AN5897" s="28"/>
      <c r="AO5897" s="28" t="n">
        <f aca="false">AN5897*$M5897</f>
        <v>0</v>
      </c>
      <c r="AP5897" s="28"/>
      <c r="AQ5897" s="28" t="n">
        <f aca="false">AP5897*$M5897</f>
        <v>0</v>
      </c>
      <c r="AR5897" s="28"/>
      <c r="AS5897" s="28" t="n">
        <f aca="false">AR5897*$M5897</f>
        <v>0</v>
      </c>
      <c r="AT5897" s="28"/>
      <c r="AU5897" s="28" t="n">
        <f aca="false">AT5897*$M5897</f>
        <v>0</v>
      </c>
      <c r="AV5897" s="28"/>
      <c r="AW5897" s="28" t="n">
        <f aca="false">AV5897*$M5897</f>
        <v>0</v>
      </c>
      <c r="AX5897" s="28"/>
      <c r="AY5897" s="28" t="n">
        <f aca="false">AX5897*$M5897</f>
        <v>0</v>
      </c>
      <c r="AZ5897" s="30" t="n">
        <f aca="false">288259/100</f>
        <v>2882.59</v>
      </c>
      <c r="BA5897" s="11" t="n">
        <v>504451</v>
      </c>
      <c r="BB5897" s="31" t="n">
        <f aca="false">SUM(Q5897,S5897,U5897,W5897,Y5897,AA5897,AC5897,AE5897,AG5897,AI5897,AK5897,AM5897,AO5897,AQ5897,AS5897,AU5897,AW5897,AY5897)</f>
        <v>504451</v>
      </c>
      <c r="BC5897" s="28" t="n">
        <f aca="false">BA5897-BB5897</f>
        <v>0</v>
      </c>
      <c r="BD5897" s="32" t="n">
        <f aca="false">SUM(P5897,R5897,T5897,V5897,X5897,Z5897,AB5897,AD5897,AF5897,AH5897,AJ5897,AL5897,AN5897,AP5897,AR5897,AT5897,AV5897,AX5897)</f>
        <v>2882.59</v>
      </c>
      <c r="BE5897" s="33" t="n">
        <f aca="false">AZ5897-BD5897</f>
        <v>0</v>
      </c>
      <c r="BF5897" s="34" t="n">
        <f aca="false">BD5897*M5897</f>
        <v>504453.25</v>
      </c>
      <c r="BG5897" s="35" t="n">
        <f aca="false">BA5897-BF5897</f>
        <v>-2.24999999994179</v>
      </c>
      <c r="BH5897" s="19" t="str">
        <f aca="false">IF(BG5897=0,"",IF(BG5897&lt;&gt;BA5897,"erreur de calcul",IF(BD5897&lt;&gt;0,"pas de prix",IF(M5897&lt;&gt; 0,"pas de quantité","pas de prix, ni de quantité"))))</f>
        <v>erreur de calcul</v>
      </c>
      <c r="BI5897" s="19"/>
    </row>
    <row r="5898" customFormat="false" ht="15" hidden="false" customHeight="false" outlineLevel="0" collapsed="false">
      <c r="A5898" s="0" t="n">
        <v>34</v>
      </c>
      <c r="B5898" s="8" t="s">
        <v>24</v>
      </c>
      <c r="C5898" s="9" t="s">
        <v>25</v>
      </c>
      <c r="D5898" s="9" t="s">
        <v>26</v>
      </c>
      <c r="E5898" s="10" t="n">
        <v>1789</v>
      </c>
      <c r="F5898" s="9" t="s">
        <v>27</v>
      </c>
      <c r="G5898" s="9" t="s">
        <v>27</v>
      </c>
      <c r="H5898" s="11" t="n">
        <v>25</v>
      </c>
      <c r="I5898" s="11" t="s">
        <v>362</v>
      </c>
      <c r="J5898" s="14" t="n">
        <v>150</v>
      </c>
      <c r="K5898" s="14"/>
      <c r="L5898" s="16"/>
      <c r="M5898" s="27" t="n">
        <f aca="false">J5898+(K5898/20)+(L5898/240)</f>
        <v>150</v>
      </c>
      <c r="N5898" s="17" t="s">
        <v>64</v>
      </c>
      <c r="O5898" s="11"/>
      <c r="P5898" s="28"/>
      <c r="Q5898" s="28" t="n">
        <f aca="false">P5898*$M5898</f>
        <v>0</v>
      </c>
      <c r="R5898" s="28"/>
      <c r="S5898" s="28" t="n">
        <f aca="false">R5898*$M5898</f>
        <v>0</v>
      </c>
      <c r="T5898" s="28" t="n">
        <f aca="false">1842/100</f>
        <v>18.42</v>
      </c>
      <c r="U5898" s="28" t="n">
        <v>2763</v>
      </c>
      <c r="V5898" s="28" t="n">
        <f aca="false">684/100</f>
        <v>6.84</v>
      </c>
      <c r="W5898" s="28" t="n">
        <v>1026</v>
      </c>
      <c r="X5898" s="28"/>
      <c r="Y5898" s="28" t="n">
        <f aca="false">X5898*$M5898</f>
        <v>0</v>
      </c>
      <c r="Z5898" s="28"/>
      <c r="AA5898" s="28" t="n">
        <f aca="false">Z5898*$M5898</f>
        <v>0</v>
      </c>
      <c r="AB5898" s="28"/>
      <c r="AC5898" s="28" t="n">
        <f aca="false">AB5898*$M5898</f>
        <v>0</v>
      </c>
      <c r="AD5898" s="28"/>
      <c r="AE5898" s="28" t="n">
        <f aca="false">AD5898*$M5898</f>
        <v>0</v>
      </c>
      <c r="AF5898" s="28"/>
      <c r="AG5898" s="28" t="n">
        <f aca="false">AF5898*$M5898</f>
        <v>0</v>
      </c>
      <c r="AH5898" s="28"/>
      <c r="AI5898" s="28" t="n">
        <f aca="false">AH5898*$M5898</f>
        <v>0</v>
      </c>
      <c r="AJ5898" s="28"/>
      <c r="AK5898" s="28" t="n">
        <f aca="false">AJ5898*$M5898</f>
        <v>0</v>
      </c>
      <c r="AL5898" s="28"/>
      <c r="AM5898" s="28" t="n">
        <f aca="false">AL5898*$M5898</f>
        <v>0</v>
      </c>
      <c r="AN5898" s="28"/>
      <c r="AO5898" s="28" t="n">
        <f aca="false">AN5898*$M5898</f>
        <v>0</v>
      </c>
      <c r="AP5898" s="28"/>
      <c r="AQ5898" s="28" t="n">
        <f aca="false">AP5898*$M5898</f>
        <v>0</v>
      </c>
      <c r="AR5898" s="28"/>
      <c r="AS5898" s="28" t="n">
        <f aca="false">AR5898*$M5898</f>
        <v>0</v>
      </c>
      <c r="AT5898" s="28"/>
      <c r="AU5898" s="28" t="n">
        <f aca="false">AT5898*$M5898</f>
        <v>0</v>
      </c>
      <c r="AV5898" s="28"/>
      <c r="AW5898" s="28" t="n">
        <f aca="false">AV5898*$M5898</f>
        <v>0</v>
      </c>
      <c r="AX5898" s="28"/>
      <c r="AY5898" s="28" t="n">
        <f aca="false">AX5898*$M5898</f>
        <v>0</v>
      </c>
      <c r="AZ5898" s="30" t="n">
        <f aca="false">2526/100</f>
        <v>25.26</v>
      </c>
      <c r="BA5898" s="11" t="n">
        <v>3789</v>
      </c>
      <c r="BB5898" s="31" t="n">
        <f aca="false">SUM(Q5898,S5898,U5898,W5898,Y5898,AA5898,AC5898,AE5898,AG5898,AI5898,AK5898,AM5898,AO5898,AQ5898,AS5898,AU5898,AW5898,AY5898)</f>
        <v>3789</v>
      </c>
      <c r="BC5898" s="28" t="n">
        <f aca="false">BA5898-BB5898</f>
        <v>0</v>
      </c>
      <c r="BD5898" s="32" t="n">
        <f aca="false">SUM(P5898,R5898,T5898,V5898,X5898,Z5898,AB5898,AD5898,AF5898,AH5898,AJ5898,AL5898,AN5898,AP5898,AR5898,AT5898,AV5898,AX5898)</f>
        <v>25.26</v>
      </c>
      <c r="BE5898" s="33" t="n">
        <f aca="false">AZ5898-BD5898</f>
        <v>0</v>
      </c>
      <c r="BF5898" s="34" t="n">
        <f aca="false">BD5898*M5898</f>
        <v>3789</v>
      </c>
      <c r="BG5898" s="35" t="n">
        <f aca="false">BA5898-BF5898</f>
        <v>0</v>
      </c>
      <c r="BH5898" s="19" t="str">
        <f aca="false">IF(BG5898=0,"",IF(BG5898&lt;&gt;BA5898,"erreur de calcul",IF(BD5898&lt;&gt;0,"pas de prix",IF(M5898&lt;&gt; 0,"pas de quantité","pas de prix, ni de quantité"))))</f>
        <v/>
      </c>
      <c r="BI5898" s="19"/>
    </row>
    <row r="5899" customFormat="false" ht="15" hidden="false" customHeight="false" outlineLevel="0" collapsed="false">
      <c r="A5899" s="0" t="n">
        <v>35</v>
      </c>
      <c r="B5899" s="8" t="s">
        <v>24</v>
      </c>
      <c r="C5899" s="9" t="s">
        <v>25</v>
      </c>
      <c r="D5899" s="9" t="s">
        <v>26</v>
      </c>
      <c r="E5899" s="10" t="n">
        <v>1789</v>
      </c>
      <c r="F5899" s="9" t="s">
        <v>27</v>
      </c>
      <c r="G5899" s="9" t="s">
        <v>27</v>
      </c>
      <c r="H5899" s="11" t="n">
        <v>25</v>
      </c>
      <c r="I5899" s="11" t="s">
        <v>363</v>
      </c>
      <c r="J5899" s="14" t="n">
        <v>150</v>
      </c>
      <c r="K5899" s="14"/>
      <c r="L5899" s="16"/>
      <c r="M5899" s="27" t="n">
        <f aca="false">J5899+(K5899/20)+(L5899/240)</f>
        <v>150</v>
      </c>
      <c r="N5899" s="17" t="s">
        <v>64</v>
      </c>
      <c r="O5899" s="11" t="s">
        <v>77</v>
      </c>
      <c r="P5899" s="28"/>
      <c r="Q5899" s="28" t="n">
        <f aca="false">P5899*$M5899</f>
        <v>0</v>
      </c>
      <c r="R5899" s="28"/>
      <c r="S5899" s="28" t="n">
        <f aca="false">R5899*$M5899</f>
        <v>0</v>
      </c>
      <c r="T5899" s="28"/>
      <c r="U5899" s="28" t="n">
        <f aca="false">T5899*$M5899</f>
        <v>0</v>
      </c>
      <c r="V5899" s="28" t="n">
        <f aca="false">1501/100</f>
        <v>15.01</v>
      </c>
      <c r="W5899" s="28" t="n">
        <v>2251</v>
      </c>
      <c r="X5899" s="28"/>
      <c r="Y5899" s="28" t="n">
        <f aca="false">X5899*$M5899</f>
        <v>0</v>
      </c>
      <c r="Z5899" s="28" t="n">
        <f aca="false">6420/100</f>
        <v>64.2</v>
      </c>
      <c r="AA5899" s="28" t="n">
        <v>9630</v>
      </c>
      <c r="AB5899" s="28"/>
      <c r="AC5899" s="28" t="n">
        <f aca="false">AB5899*$M5899</f>
        <v>0</v>
      </c>
      <c r="AD5899" s="28"/>
      <c r="AE5899" s="28" t="n">
        <f aca="false">AD5899*$M5899</f>
        <v>0</v>
      </c>
      <c r="AF5899" s="28"/>
      <c r="AG5899" s="28" t="n">
        <f aca="false">AF5899*$M5899</f>
        <v>0</v>
      </c>
      <c r="AH5899" s="28" t="n">
        <f aca="false">138039/100</f>
        <v>1380.39</v>
      </c>
      <c r="AI5899" s="28" t="n">
        <v>207058</v>
      </c>
      <c r="AJ5899" s="28"/>
      <c r="AK5899" s="28" t="n">
        <f aca="false">AJ5899*$M5899</f>
        <v>0</v>
      </c>
      <c r="AL5899" s="28" t="n">
        <f aca="false">917/100</f>
        <v>9.17</v>
      </c>
      <c r="AM5899" s="28" t="n">
        <v>1375</v>
      </c>
      <c r="AN5899" s="28"/>
      <c r="AO5899" s="28" t="n">
        <f aca="false">AN5899*$M5899</f>
        <v>0</v>
      </c>
      <c r="AP5899" s="28"/>
      <c r="AQ5899" s="28" t="n">
        <f aca="false">AP5899*$M5899</f>
        <v>0</v>
      </c>
      <c r="AR5899" s="28"/>
      <c r="AS5899" s="28" t="n">
        <f aca="false">AR5899*$M5899</f>
        <v>0</v>
      </c>
      <c r="AT5899" s="28"/>
      <c r="AU5899" s="28" t="n">
        <f aca="false">AT5899*$M5899</f>
        <v>0</v>
      </c>
      <c r="AV5899" s="28"/>
      <c r="AW5899" s="28" t="n">
        <f aca="false">AV5899*$M5899</f>
        <v>0</v>
      </c>
      <c r="AX5899" s="28"/>
      <c r="AY5899" s="28" t="n">
        <f aca="false">AX5899*$M5899</f>
        <v>0</v>
      </c>
      <c r="AZ5899" s="30" t="n">
        <f aca="false">146877/100</f>
        <v>1468.77</v>
      </c>
      <c r="BA5899" s="11" t="n">
        <v>220314</v>
      </c>
      <c r="BB5899" s="31" t="n">
        <f aca="false">SUM(Q5899,S5899,U5899,W5899,Y5899,AA5899,AC5899,AE5899,AG5899,AI5899,AK5899,AM5899,AO5899,AQ5899,AS5899,AU5899,AW5899,AY5899)</f>
        <v>220314</v>
      </c>
      <c r="BC5899" s="28" t="n">
        <f aca="false">BA5899-BB5899</f>
        <v>0</v>
      </c>
      <c r="BD5899" s="32" t="n">
        <f aca="false">SUM(P5899,R5899,T5899,V5899,X5899,Z5899,AB5899,AD5899,AF5899,AH5899,AJ5899,AL5899,AN5899,AP5899,AR5899,AT5899,AV5899,AX5899)</f>
        <v>1468.77</v>
      </c>
      <c r="BE5899" s="33" t="n">
        <f aca="false">AZ5899-BD5899</f>
        <v>0</v>
      </c>
      <c r="BF5899" s="34" t="n">
        <f aca="false">BD5899*M5899</f>
        <v>220315.5</v>
      </c>
      <c r="BG5899" s="35" t="n">
        <f aca="false">BA5899-BF5899</f>
        <v>-1.5000000000291</v>
      </c>
      <c r="BH5899" s="19" t="str">
        <f aca="false">IF(BG5899=0,"",IF(BG5899&lt;&gt;BA5899,"erreur de calcul",IF(BD5899&lt;&gt;0,"pas de prix",IF(M5899&lt;&gt; 0,"pas de quantité","pas de prix, ni de quantité"))))</f>
        <v>erreur de calcul</v>
      </c>
      <c r="BI5899" s="19"/>
    </row>
    <row r="5900" customFormat="false" ht="15" hidden="false" customHeight="false" outlineLevel="0" collapsed="false">
      <c r="A5900" s="0" t="n">
        <v>36</v>
      </c>
      <c r="B5900" s="8" t="s">
        <v>24</v>
      </c>
      <c r="C5900" s="9" t="s">
        <v>25</v>
      </c>
      <c r="D5900" s="9" t="s">
        <v>26</v>
      </c>
      <c r="E5900" s="10" t="n">
        <v>1789</v>
      </c>
      <c r="F5900" s="9" t="s">
        <v>27</v>
      </c>
      <c r="G5900" s="9" t="s">
        <v>27</v>
      </c>
      <c r="H5900" s="11" t="n">
        <v>25</v>
      </c>
      <c r="I5900" s="11" t="s">
        <v>364</v>
      </c>
      <c r="J5900" s="14" t="n">
        <v>122</v>
      </c>
      <c r="K5900" s="14"/>
      <c r="L5900" s="16"/>
      <c r="M5900" s="27" t="n">
        <f aca="false">J5900+(K5900/20)+(L5900/240)</f>
        <v>122</v>
      </c>
      <c r="N5900" s="17" t="s">
        <v>64</v>
      </c>
      <c r="O5900" s="11" t="s">
        <v>77</v>
      </c>
      <c r="P5900" s="28" t="n">
        <f aca="false">2402/100</f>
        <v>24.02</v>
      </c>
      <c r="Q5900" s="28" t="n">
        <v>2930</v>
      </c>
      <c r="R5900" s="28"/>
      <c r="S5900" s="28" t="n">
        <f aca="false">R5900*$M5900</f>
        <v>0</v>
      </c>
      <c r="T5900" s="28" t="n">
        <f aca="false">3566/100</f>
        <v>35.66</v>
      </c>
      <c r="U5900" s="36" t="n">
        <v>4550</v>
      </c>
      <c r="V5900" s="28" t="n">
        <f aca="false">917/100</f>
        <v>9.17</v>
      </c>
      <c r="W5900" s="28" t="n">
        <v>1119</v>
      </c>
      <c r="X5900" s="28"/>
      <c r="Y5900" s="28" t="n">
        <f aca="false">X5900*$M5900</f>
        <v>0</v>
      </c>
      <c r="Z5900" s="28"/>
      <c r="AA5900" s="28" t="n">
        <f aca="false">Z5900*$M5900</f>
        <v>0</v>
      </c>
      <c r="AB5900" s="28" t="n">
        <f aca="false">28087/100</f>
        <v>280.87</v>
      </c>
      <c r="AC5900" s="28" t="n">
        <v>34266</v>
      </c>
      <c r="AD5900" s="28" t="n">
        <f aca="false">1505/100</f>
        <v>15.05</v>
      </c>
      <c r="AE5900" s="28" t="n">
        <v>1836</v>
      </c>
      <c r="AF5900" s="28"/>
      <c r="AG5900" s="28" t="n">
        <f aca="false">AF5900*$M5900</f>
        <v>0</v>
      </c>
      <c r="AH5900" s="28" t="n">
        <f aca="false">15314/100</f>
        <v>153.14</v>
      </c>
      <c r="AI5900" s="28" t="n">
        <v>18683</v>
      </c>
      <c r="AJ5900" s="28"/>
      <c r="AK5900" s="28" t="n">
        <f aca="false">AJ5900*$M5900</f>
        <v>0</v>
      </c>
      <c r="AL5900" s="28"/>
      <c r="AM5900" s="28" t="n">
        <f aca="false">AL5900*$M5900</f>
        <v>0</v>
      </c>
      <c r="AN5900" s="28"/>
      <c r="AO5900" s="28" t="n">
        <f aca="false">AN5900*$M5900</f>
        <v>0</v>
      </c>
      <c r="AP5900" s="28"/>
      <c r="AQ5900" s="28" t="n">
        <f aca="false">AP5900*$M5900</f>
        <v>0</v>
      </c>
      <c r="AR5900" s="28"/>
      <c r="AS5900" s="28" t="n">
        <f aca="false">AR5900*$M5900</f>
        <v>0</v>
      </c>
      <c r="AT5900" s="28"/>
      <c r="AU5900" s="28" t="n">
        <f aca="false">AT5900*$M5900</f>
        <v>0</v>
      </c>
      <c r="AV5900" s="28"/>
      <c r="AW5900" s="28" t="n">
        <f aca="false">AV5900*$M5900</f>
        <v>0</v>
      </c>
      <c r="AX5900" s="28"/>
      <c r="AY5900" s="28" t="n">
        <f aca="false">AX5900*$M5900</f>
        <v>0</v>
      </c>
      <c r="AZ5900" s="30" t="n">
        <f aca="false">51791/100</f>
        <v>517.91</v>
      </c>
      <c r="BA5900" s="11" t="n">
        <v>63384</v>
      </c>
      <c r="BB5900" s="31" t="n">
        <f aca="false">SUM(Q5900,S5900,U5900,W5900,Y5900,AA5900,AC5900,AE5900,AG5900,AI5900,AK5900,AM5900,AO5900,AQ5900,AS5900,AU5900,AW5900,AY5900)</f>
        <v>63384</v>
      </c>
      <c r="BC5900" s="28" t="n">
        <f aca="false">BA5900-BB5900</f>
        <v>0</v>
      </c>
      <c r="BD5900" s="32" t="n">
        <f aca="false">SUM(P5900,R5900,T5900,V5900,X5900,Z5900,AB5900,AD5900,AF5900,AH5900,AJ5900,AL5900,AN5900,AP5900,AR5900,AT5900,AV5900,AX5900)</f>
        <v>517.91</v>
      </c>
      <c r="BE5900" s="33" t="n">
        <f aca="false">AZ5900-BD5900</f>
        <v>0</v>
      </c>
      <c r="BF5900" s="34" t="n">
        <f aca="false">BD5900*M5900</f>
        <v>63185.02</v>
      </c>
      <c r="BG5900" s="35" t="n">
        <f aca="false">BA5900-BF5900</f>
        <v>198.980000000003</v>
      </c>
      <c r="BH5900" s="19" t="str">
        <f aca="false">IF(BG5900=0,"",IF(BG5900&lt;&gt;BA5900,"erreur de calcul",IF(BD5900&lt;&gt;0,"pas de prix",IF(M5900&lt;&gt; 0,"pas de quantité","pas de prix, ni de quantité"))))</f>
        <v>erreur de calcul</v>
      </c>
      <c r="BI5900" s="19"/>
    </row>
    <row r="5901" customFormat="false" ht="15" hidden="false" customHeight="false" outlineLevel="0" collapsed="false">
      <c r="A5901" s="0" t="n">
        <v>37</v>
      </c>
      <c r="B5901" s="8" t="s">
        <v>24</v>
      </c>
      <c r="C5901" s="9" t="s">
        <v>25</v>
      </c>
      <c r="D5901" s="9" t="s">
        <v>26</v>
      </c>
      <c r="E5901" s="10" t="n">
        <v>1789</v>
      </c>
      <c r="F5901" s="9" t="s">
        <v>27</v>
      </c>
      <c r="G5901" s="9" t="s">
        <v>27</v>
      </c>
      <c r="H5901" s="11" t="n">
        <v>25</v>
      </c>
      <c r="I5901" s="11" t="s">
        <v>365</v>
      </c>
      <c r="J5901" s="14" t="n">
        <v>107</v>
      </c>
      <c r="K5901" s="14"/>
      <c r="L5901" s="16"/>
      <c r="M5901" s="27" t="n">
        <f aca="false">J5901+(K5901/20)+(L5901/240)</f>
        <v>107</v>
      </c>
      <c r="N5901" s="17" t="s">
        <v>64</v>
      </c>
      <c r="O5901" s="11" t="s">
        <v>77</v>
      </c>
      <c r="P5901" s="28"/>
      <c r="Q5901" s="28" t="n">
        <f aca="false">P5901*$M5901</f>
        <v>0</v>
      </c>
      <c r="R5901" s="28"/>
      <c r="S5901" s="28" t="n">
        <f aca="false">R5901*$M5901</f>
        <v>0</v>
      </c>
      <c r="T5901" s="28" t="n">
        <f aca="false">1834/100</f>
        <v>18.34</v>
      </c>
      <c r="U5901" s="28" t="n">
        <v>1962</v>
      </c>
      <c r="V5901" s="28"/>
      <c r="W5901" s="28" t="n">
        <f aca="false">V5901*$M5901</f>
        <v>0</v>
      </c>
      <c r="X5901" s="28"/>
      <c r="Y5901" s="28" t="n">
        <f aca="false">X5901*$M5901</f>
        <v>0</v>
      </c>
      <c r="Z5901" s="28"/>
      <c r="AA5901" s="28" t="n">
        <f aca="false">Z5901*$M5901</f>
        <v>0</v>
      </c>
      <c r="AB5901" s="28"/>
      <c r="AC5901" s="28" t="n">
        <f aca="false">AB5901*$M5901</f>
        <v>0</v>
      </c>
      <c r="AD5901" s="28"/>
      <c r="AE5901" s="28" t="n">
        <f aca="false">AD5901*$M5901</f>
        <v>0</v>
      </c>
      <c r="AF5901" s="28" t="n">
        <f aca="false">5202/100</f>
        <v>52.02</v>
      </c>
      <c r="AG5901" s="28" t="n">
        <v>5566</v>
      </c>
      <c r="AH5901" s="28"/>
      <c r="AI5901" s="28" t="n">
        <f aca="false">AH5901*$M5901</f>
        <v>0</v>
      </c>
      <c r="AJ5901" s="28" t="n">
        <f aca="false">3209/100</f>
        <v>32.09</v>
      </c>
      <c r="AK5901" s="28" t="n">
        <v>3434</v>
      </c>
      <c r="AL5901" s="28" t="n">
        <f aca="false">80682/100</f>
        <v>806.82</v>
      </c>
      <c r="AM5901" s="28" t="n">
        <v>86329</v>
      </c>
      <c r="AN5901" s="28"/>
      <c r="AO5901" s="28" t="n">
        <f aca="false">AN5901*$M5901</f>
        <v>0</v>
      </c>
      <c r="AP5901" s="28"/>
      <c r="AQ5901" s="28" t="n">
        <f aca="false">AP5901*$M5901</f>
        <v>0</v>
      </c>
      <c r="AR5901" s="28"/>
      <c r="AS5901" s="28" t="n">
        <f aca="false">AR5901*$M5901</f>
        <v>0</v>
      </c>
      <c r="AT5901" s="28"/>
      <c r="AU5901" s="28" t="n">
        <f aca="false">AT5901*$M5901</f>
        <v>0</v>
      </c>
      <c r="AV5901" s="28"/>
      <c r="AW5901" s="28" t="n">
        <f aca="false">AV5901*$M5901</f>
        <v>0</v>
      </c>
      <c r="AX5901" s="28"/>
      <c r="AY5901" s="28" t="n">
        <f aca="false">AX5901*$M5901</f>
        <v>0</v>
      </c>
      <c r="AZ5901" s="30" t="n">
        <f aca="false">90927/100</f>
        <v>909.27</v>
      </c>
      <c r="BA5901" s="11" t="n">
        <v>97291</v>
      </c>
      <c r="BB5901" s="31" t="n">
        <f aca="false">SUM(Q5901,S5901,U5901,W5901,Y5901,AA5901,AC5901,AE5901,AG5901,AI5901,AK5901,AM5901,AO5901,AQ5901,AS5901,AU5901,AW5901,AY5901)</f>
        <v>97291</v>
      </c>
      <c r="BC5901" s="28" t="n">
        <f aca="false">BA5901-BB5901</f>
        <v>0</v>
      </c>
      <c r="BD5901" s="32" t="n">
        <f aca="false">SUM(P5901,R5901,T5901,V5901,X5901,Z5901,AB5901,AD5901,AF5901,AH5901,AJ5901,AL5901,AN5901,AP5901,AR5901,AT5901,AV5901,AX5901)</f>
        <v>909.27</v>
      </c>
      <c r="BE5901" s="33" t="n">
        <f aca="false">AZ5901-BD5901</f>
        <v>0</v>
      </c>
      <c r="BF5901" s="34" t="n">
        <f aca="false">BD5901*M5901</f>
        <v>97291.89</v>
      </c>
      <c r="BG5901" s="35" t="n">
        <f aca="false">BA5901-BF5901</f>
        <v>-0.89000000001397</v>
      </c>
      <c r="BH5901" s="19" t="str">
        <f aca="false">IF(BG5901=0,"",IF(BG5901&lt;&gt;BA5901,"erreur de calcul",IF(BD5901&lt;&gt;0,"pas de prix",IF(M5901&lt;&gt; 0,"pas de quantité","pas de prix, ni de quantité"))))</f>
        <v>erreur de calcul</v>
      </c>
      <c r="BI5901" s="19"/>
    </row>
    <row r="5902" customFormat="false" ht="15" hidden="false" customHeight="false" outlineLevel="0" collapsed="false">
      <c r="A5902" s="0" t="n">
        <v>38</v>
      </c>
      <c r="B5902" s="8" t="s">
        <v>24</v>
      </c>
      <c r="C5902" s="9" t="s">
        <v>25</v>
      </c>
      <c r="D5902" s="9" t="s">
        <v>26</v>
      </c>
      <c r="E5902" s="10" t="n">
        <v>1789</v>
      </c>
      <c r="F5902" s="9" t="s">
        <v>27</v>
      </c>
      <c r="G5902" s="9" t="s">
        <v>27</v>
      </c>
      <c r="H5902" s="11" t="n">
        <v>25</v>
      </c>
      <c r="I5902" s="11" t="s">
        <v>366</v>
      </c>
      <c r="J5902" s="14"/>
      <c r="K5902" s="14"/>
      <c r="L5902" s="16"/>
      <c r="M5902" s="27" t="n">
        <f aca="false">J5902+(K5902/20)+(L5902/240)</f>
        <v>0</v>
      </c>
      <c r="N5902" s="17" t="s">
        <v>66</v>
      </c>
      <c r="O5902" s="11"/>
      <c r="P5902" s="28"/>
      <c r="Q5902" s="28" t="n">
        <f aca="false">P5902*$M5902</f>
        <v>0</v>
      </c>
      <c r="R5902" s="28"/>
      <c r="S5902" s="28" t="n">
        <f aca="false">R5902*$M5902</f>
        <v>0</v>
      </c>
      <c r="T5902" s="28"/>
      <c r="U5902" s="28" t="n">
        <f aca="false">T5902*$M5902</f>
        <v>0</v>
      </c>
      <c r="V5902" s="28" t="n">
        <v>797</v>
      </c>
      <c r="W5902" s="28" t="n">
        <v>720</v>
      </c>
      <c r="X5902" s="28"/>
      <c r="Y5902" s="28" t="n">
        <f aca="false">X5902*$M5902</f>
        <v>0</v>
      </c>
      <c r="Z5902" s="28"/>
      <c r="AA5902" s="28" t="n">
        <f aca="false">Z5902*$M5902</f>
        <v>0</v>
      </c>
      <c r="AB5902" s="28"/>
      <c r="AC5902" s="28" t="n">
        <f aca="false">AB5902*$M5902</f>
        <v>0</v>
      </c>
      <c r="AD5902" s="28"/>
      <c r="AE5902" s="28" t="n">
        <f aca="false">AD5902*$M5902</f>
        <v>0</v>
      </c>
      <c r="AF5902" s="28"/>
      <c r="AG5902" s="28" t="n">
        <f aca="false">AF5902*$M5902</f>
        <v>0</v>
      </c>
      <c r="AH5902" s="28"/>
      <c r="AI5902" s="28" t="n">
        <f aca="false">AH5902*$M5902</f>
        <v>0</v>
      </c>
      <c r="AJ5902" s="28"/>
      <c r="AK5902" s="28" t="n">
        <f aca="false">AJ5902*$M5902</f>
        <v>0</v>
      </c>
      <c r="AL5902" s="28"/>
      <c r="AM5902" s="28" t="n">
        <f aca="false">AL5902*$M5902</f>
        <v>0</v>
      </c>
      <c r="AN5902" s="28"/>
      <c r="AO5902" s="28" t="n">
        <f aca="false">AN5902*$M5902</f>
        <v>0</v>
      </c>
      <c r="AP5902" s="28"/>
      <c r="AQ5902" s="28" t="n">
        <f aca="false">AP5902*$M5902</f>
        <v>0</v>
      </c>
      <c r="AR5902" s="28"/>
      <c r="AS5902" s="28" t="n">
        <f aca="false">AR5902*$M5902</f>
        <v>0</v>
      </c>
      <c r="AT5902" s="28"/>
      <c r="AU5902" s="28" t="n">
        <f aca="false">AT5902*$M5902</f>
        <v>0</v>
      </c>
      <c r="AV5902" s="28"/>
      <c r="AW5902" s="28" t="n">
        <f aca="false">AV5902*$M5902</f>
        <v>0</v>
      </c>
      <c r="AX5902" s="28"/>
      <c r="AY5902" s="28" t="n">
        <f aca="false">AX5902*$M5902</f>
        <v>0</v>
      </c>
      <c r="AZ5902" s="30" t="n">
        <v>797</v>
      </c>
      <c r="BA5902" s="11" t="n">
        <v>720</v>
      </c>
      <c r="BB5902" s="31" t="n">
        <f aca="false">SUM(Q5902,S5902,U5902,W5902,Y5902,AA5902,AC5902,AE5902,AG5902,AI5902,AK5902,AM5902,AO5902,AQ5902,AS5902,AU5902,AW5902,AY5902)</f>
        <v>720</v>
      </c>
      <c r="BC5902" s="28" t="n">
        <f aca="false">BA5902-BB5902</f>
        <v>0</v>
      </c>
      <c r="BD5902" s="32" t="n">
        <f aca="false">SUM(P5902,R5902,T5902,V5902,X5902,Z5902,AB5902,AD5902,AF5902,AH5902,AJ5902,AL5902,AN5902,AP5902,AR5902,AT5902,AV5902,AX5902)</f>
        <v>797</v>
      </c>
      <c r="BE5902" s="33" t="n">
        <f aca="false">AZ5902-BD5902</f>
        <v>0</v>
      </c>
      <c r="BF5902" s="34" t="n">
        <f aca="false">BD5902*M5902</f>
        <v>0</v>
      </c>
      <c r="BG5902" s="35" t="n">
        <f aca="false">BA5902-BF5902</f>
        <v>720</v>
      </c>
      <c r="BH5902" s="19" t="str">
        <f aca="false">IF(BG5902=0,"",IF(BG5902&lt;&gt;BA5902,"erreur de calcul",IF(BD5902&lt;&gt;0,"pas de prix",IF(M5902&lt;&gt; 0,"pas de quantité","pas de prix, ni de quantité"))))</f>
        <v>pas de prix</v>
      </c>
      <c r="BI5902" s="19" t="s">
        <v>367</v>
      </c>
    </row>
    <row r="5903" customFormat="false" ht="15" hidden="false" customHeight="false" outlineLevel="0" collapsed="false">
      <c r="A5903" s="0" t="n">
        <v>39</v>
      </c>
      <c r="B5903" s="8" t="s">
        <v>24</v>
      </c>
      <c r="C5903" s="9" t="s">
        <v>25</v>
      </c>
      <c r="D5903" s="9" t="s">
        <v>26</v>
      </c>
      <c r="E5903" s="10" t="n">
        <v>1789</v>
      </c>
      <c r="F5903" s="9" t="s">
        <v>27</v>
      </c>
      <c r="G5903" s="9" t="s">
        <v>27</v>
      </c>
      <c r="H5903" s="11" t="n">
        <v>25</v>
      </c>
      <c r="I5903" s="11" t="s">
        <v>368</v>
      </c>
      <c r="J5903" s="14" t="n">
        <v>4</v>
      </c>
      <c r="K5903" s="14"/>
      <c r="L5903" s="16"/>
      <c r="M5903" s="27" t="n">
        <f aca="false">J5903+(K5903/20)+(L5903/240)</f>
        <v>4</v>
      </c>
      <c r="N5903" s="17" t="s">
        <v>64</v>
      </c>
      <c r="O5903" s="11"/>
      <c r="P5903" s="28"/>
      <c r="Q5903" s="28" t="n">
        <f aca="false">P5903*$M5903</f>
        <v>0</v>
      </c>
      <c r="R5903" s="28"/>
      <c r="S5903" s="28" t="n">
        <f aca="false">R5903*$M5903</f>
        <v>0</v>
      </c>
      <c r="T5903" s="28"/>
      <c r="U5903" s="28" t="n">
        <f aca="false">T5903*$M5903</f>
        <v>0</v>
      </c>
      <c r="V5903" s="28" t="n">
        <f aca="false">23693/100</f>
        <v>236.93</v>
      </c>
      <c r="W5903" s="28" t="n">
        <v>948</v>
      </c>
      <c r="X5903" s="28"/>
      <c r="Y5903" s="28" t="n">
        <f aca="false">X5903*$M5903</f>
        <v>0</v>
      </c>
      <c r="Z5903" s="28"/>
      <c r="AA5903" s="28" t="n">
        <f aca="false">Z5903*$M5903</f>
        <v>0</v>
      </c>
      <c r="AB5903" s="28"/>
      <c r="AC5903" s="28" t="n">
        <f aca="false">AB5903*$M5903</f>
        <v>0</v>
      </c>
      <c r="AD5903" s="28"/>
      <c r="AE5903" s="28" t="n">
        <f aca="false">AD5903*$M5903</f>
        <v>0</v>
      </c>
      <c r="AF5903" s="28"/>
      <c r="AG5903" s="28" t="n">
        <f aca="false">AF5903*$M5903</f>
        <v>0</v>
      </c>
      <c r="AH5903" s="28"/>
      <c r="AI5903" s="28" t="n">
        <f aca="false">AH5903*$M5903</f>
        <v>0</v>
      </c>
      <c r="AJ5903" s="28"/>
      <c r="AK5903" s="28" t="n">
        <f aca="false">AJ5903*$M5903</f>
        <v>0</v>
      </c>
      <c r="AL5903" s="28"/>
      <c r="AM5903" s="28" t="n">
        <f aca="false">AL5903*$M5903</f>
        <v>0</v>
      </c>
      <c r="AN5903" s="28"/>
      <c r="AO5903" s="28" t="n">
        <f aca="false">AN5903*$M5903</f>
        <v>0</v>
      </c>
      <c r="AP5903" s="28"/>
      <c r="AQ5903" s="28" t="n">
        <f aca="false">AP5903*$M5903</f>
        <v>0</v>
      </c>
      <c r="AR5903" s="28"/>
      <c r="AS5903" s="28" t="n">
        <f aca="false">AR5903*$M5903</f>
        <v>0</v>
      </c>
      <c r="AT5903" s="28"/>
      <c r="AU5903" s="28" t="n">
        <f aca="false">AT5903*$M5903</f>
        <v>0</v>
      </c>
      <c r="AV5903" s="28"/>
      <c r="AW5903" s="28" t="n">
        <f aca="false">AV5903*$M5903</f>
        <v>0</v>
      </c>
      <c r="AX5903" s="28"/>
      <c r="AY5903" s="28" t="n">
        <f aca="false">AX5903*$M5903</f>
        <v>0</v>
      </c>
      <c r="AZ5903" s="30" t="n">
        <f aca="false">23693/100</f>
        <v>236.93</v>
      </c>
      <c r="BA5903" s="11" t="n">
        <v>948</v>
      </c>
      <c r="BB5903" s="31" t="n">
        <f aca="false">SUM(Q5903,S5903,U5903,W5903,Y5903,AA5903,AC5903,AE5903,AG5903,AI5903,AK5903,AM5903,AO5903,AQ5903,AS5903,AU5903,AW5903,AY5903)</f>
        <v>948</v>
      </c>
      <c r="BC5903" s="28" t="n">
        <f aca="false">BA5903-BB5903</f>
        <v>0</v>
      </c>
      <c r="BD5903" s="32" t="n">
        <f aca="false">SUM(P5903,R5903,T5903,V5903,X5903,Z5903,AB5903,AD5903,AF5903,AH5903,AJ5903,AL5903,AN5903,AP5903,AR5903,AT5903,AV5903,AX5903)</f>
        <v>236.93</v>
      </c>
      <c r="BE5903" s="33" t="n">
        <f aca="false">AZ5903-BD5903</f>
        <v>0</v>
      </c>
      <c r="BF5903" s="34" t="n">
        <f aca="false">BD5903*M5903</f>
        <v>947.72</v>
      </c>
      <c r="BG5903" s="35" t="n">
        <f aca="false">BA5903-BF5903</f>
        <v>0.279999999999973</v>
      </c>
      <c r="BH5903" s="19" t="str">
        <f aca="false">IF(BG5903=0,"",IF(BG5903&lt;&gt;BA5903,"erreur de calcul",IF(BD5903&lt;&gt;0,"pas de prix",IF(M5903&lt;&gt; 0,"pas de quantité","pas de prix, ni de quantité"))))</f>
        <v>erreur de calcul</v>
      </c>
      <c r="BI5903" s="19"/>
    </row>
    <row r="5904" customFormat="false" ht="15" hidden="false" customHeight="false" outlineLevel="0" collapsed="false">
      <c r="A5904" s="0" t="n">
        <v>40</v>
      </c>
      <c r="B5904" s="8" t="s">
        <v>24</v>
      </c>
      <c r="C5904" s="9" t="s">
        <v>25</v>
      </c>
      <c r="D5904" s="9" t="s">
        <v>26</v>
      </c>
      <c r="E5904" s="10" t="n">
        <v>1789</v>
      </c>
      <c r="F5904" s="9" t="s">
        <v>27</v>
      </c>
      <c r="G5904" s="9" t="s">
        <v>27</v>
      </c>
      <c r="H5904" s="11" t="n">
        <v>25</v>
      </c>
      <c r="I5904" s="11" t="s">
        <v>369</v>
      </c>
      <c r="J5904" s="14" t="n">
        <v>92</v>
      </c>
      <c r="K5904" s="14"/>
      <c r="L5904" s="16"/>
      <c r="M5904" s="27" t="n">
        <f aca="false">J5904+(K5904/20)+(L5904/240)</f>
        <v>92</v>
      </c>
      <c r="N5904" s="17" t="s">
        <v>64</v>
      </c>
      <c r="O5904" s="11"/>
      <c r="P5904" s="28"/>
      <c r="Q5904" s="28" t="n">
        <f aca="false">P5904*$M5904</f>
        <v>0</v>
      </c>
      <c r="R5904" s="28"/>
      <c r="S5904" s="28" t="n">
        <f aca="false">R5904*$M5904</f>
        <v>0</v>
      </c>
      <c r="T5904" s="28"/>
      <c r="U5904" s="28" t="n">
        <f aca="false">T5904*$M5904</f>
        <v>0</v>
      </c>
      <c r="V5904" s="28" t="n">
        <f aca="false">82878/100</f>
        <v>828.78</v>
      </c>
      <c r="W5904" s="28" t="n">
        <v>76248</v>
      </c>
      <c r="X5904" s="28" t="n">
        <f aca="false">44264/100</f>
        <v>442.64</v>
      </c>
      <c r="Y5904" s="36" t="n">
        <v>41023</v>
      </c>
      <c r="Z5904" s="28"/>
      <c r="AA5904" s="28" t="n">
        <f aca="false">Z5904*$M5904</f>
        <v>0</v>
      </c>
      <c r="AB5904" s="28"/>
      <c r="AC5904" s="28" t="n">
        <f aca="false">AB5904*$M5904</f>
        <v>0</v>
      </c>
      <c r="AD5904" s="28"/>
      <c r="AE5904" s="28" t="n">
        <f aca="false">AD5904*$M5904</f>
        <v>0</v>
      </c>
      <c r="AF5904" s="28"/>
      <c r="AG5904" s="28" t="n">
        <f aca="false">AF5904*$M5904</f>
        <v>0</v>
      </c>
      <c r="AH5904" s="28"/>
      <c r="AI5904" s="28" t="n">
        <f aca="false">AH5904*$M5904</f>
        <v>0</v>
      </c>
      <c r="AJ5904" s="28"/>
      <c r="AK5904" s="28" t="n">
        <f aca="false">AJ5904*$M5904</f>
        <v>0</v>
      </c>
      <c r="AL5904" s="28"/>
      <c r="AM5904" s="28" t="n">
        <f aca="false">AL5904*$M5904</f>
        <v>0</v>
      </c>
      <c r="AN5904" s="28"/>
      <c r="AO5904" s="28" t="n">
        <f aca="false">AN5904*$M5904</f>
        <v>0</v>
      </c>
      <c r="AP5904" s="28"/>
      <c r="AQ5904" s="28" t="n">
        <f aca="false">AP5904*$M5904</f>
        <v>0</v>
      </c>
      <c r="AR5904" s="28"/>
      <c r="AS5904" s="28" t="n">
        <f aca="false">AR5904*$M5904</f>
        <v>0</v>
      </c>
      <c r="AT5904" s="28"/>
      <c r="AU5904" s="28" t="n">
        <f aca="false">AT5904*$M5904</f>
        <v>0</v>
      </c>
      <c r="AV5904" s="28"/>
      <c r="AW5904" s="28" t="n">
        <f aca="false">AV5904*$M5904</f>
        <v>0</v>
      </c>
      <c r="AX5904" s="28"/>
      <c r="AY5904" s="28" t="n">
        <f aca="false">AX5904*$M5904</f>
        <v>0</v>
      </c>
      <c r="AZ5904" s="30" t="n">
        <f aca="false">127142/100</f>
        <v>1271.42</v>
      </c>
      <c r="BA5904" s="11" t="n">
        <v>117271</v>
      </c>
      <c r="BB5904" s="31" t="n">
        <f aca="false">SUM(Q5904,S5904,U5904,W5904,Y5904,AA5904,AC5904,AE5904,AG5904,AI5904,AK5904,AM5904,AO5904,AQ5904,AS5904,AU5904,AW5904,AY5904)</f>
        <v>117271</v>
      </c>
      <c r="BC5904" s="28" t="n">
        <f aca="false">BA5904-BB5904</f>
        <v>0</v>
      </c>
      <c r="BD5904" s="32" t="n">
        <f aca="false">SUM(P5904,R5904,T5904,V5904,X5904,Z5904,AB5904,AD5904,AF5904,AH5904,AJ5904,AL5904,AN5904,AP5904,AR5904,AT5904,AV5904,AX5904)</f>
        <v>1271.42</v>
      </c>
      <c r="BE5904" s="33" t="n">
        <f aca="false">AZ5904-BD5904</f>
        <v>0</v>
      </c>
      <c r="BF5904" s="34" t="n">
        <f aca="false">BD5904*M5904</f>
        <v>116970.64</v>
      </c>
      <c r="BG5904" s="35" t="n">
        <f aca="false">BA5904-BF5904</f>
        <v>300.359999999986</v>
      </c>
      <c r="BH5904" s="19" t="str">
        <f aca="false">IF(BG5904=0,"",IF(BG5904&lt;&gt;BA5904,"erreur de calcul",IF(BD5904&lt;&gt;0,"pas de prix",IF(M5904&lt;&gt; 0,"pas de quantité","pas de prix, ni de quantité"))))</f>
        <v>erreur de calcul</v>
      </c>
      <c r="BI5904" s="19"/>
    </row>
    <row r="5905" customFormat="false" ht="15" hidden="false" customHeight="false" outlineLevel="0" collapsed="false">
      <c r="A5905" s="0" t="n">
        <v>41</v>
      </c>
      <c r="B5905" s="8" t="s">
        <v>24</v>
      </c>
      <c r="C5905" s="9" t="s">
        <v>25</v>
      </c>
      <c r="D5905" s="9" t="s">
        <v>26</v>
      </c>
      <c r="E5905" s="10" t="n">
        <v>1789</v>
      </c>
      <c r="F5905" s="9" t="s">
        <v>27</v>
      </c>
      <c r="G5905" s="9" t="s">
        <v>27</v>
      </c>
      <c r="H5905" s="11" t="n">
        <v>25</v>
      </c>
      <c r="I5905" s="11" t="s">
        <v>370</v>
      </c>
      <c r="J5905" s="14" t="n">
        <v>12</v>
      </c>
      <c r="K5905" s="14"/>
      <c r="L5905" s="16"/>
      <c r="M5905" s="27" t="n">
        <f aca="false">J5905+(K5905/20)+(L5905/240)</f>
        <v>12</v>
      </c>
      <c r="N5905" s="17" t="s">
        <v>64</v>
      </c>
      <c r="O5905" s="11"/>
      <c r="P5905" s="28"/>
      <c r="Q5905" s="28" t="n">
        <f aca="false">P5905*$M5905</f>
        <v>0</v>
      </c>
      <c r="R5905" s="28"/>
      <c r="S5905" s="28" t="n">
        <f aca="false">R5905*$M5905</f>
        <v>0</v>
      </c>
      <c r="T5905" s="28"/>
      <c r="U5905" s="28" t="n">
        <f aca="false">T5905*$M5905</f>
        <v>0</v>
      </c>
      <c r="V5905" s="28"/>
      <c r="W5905" s="28" t="n">
        <f aca="false">V5905*$M5905</f>
        <v>0</v>
      </c>
      <c r="X5905" s="28"/>
      <c r="Y5905" s="28" t="n">
        <f aca="false">X5905*$M5905</f>
        <v>0</v>
      </c>
      <c r="Z5905" s="28"/>
      <c r="AA5905" s="28" t="n">
        <f aca="false">Z5905*$M5905</f>
        <v>0</v>
      </c>
      <c r="AB5905" s="28"/>
      <c r="AC5905" s="28" t="n">
        <f aca="false">AB5905*$M5905</f>
        <v>0</v>
      </c>
      <c r="AD5905" s="28"/>
      <c r="AE5905" s="28" t="n">
        <f aca="false">AD5905*$M5905</f>
        <v>0</v>
      </c>
      <c r="AF5905" s="28"/>
      <c r="AG5905" s="28" t="n">
        <f aca="false">AF5905*$M5905</f>
        <v>0</v>
      </c>
      <c r="AH5905" s="28" t="n">
        <f aca="false">12168/100</f>
        <v>121.68</v>
      </c>
      <c r="AI5905" s="28" t="n">
        <v>1460</v>
      </c>
      <c r="AJ5905" s="28"/>
      <c r="AK5905" s="28" t="n">
        <f aca="false">AJ5905*$M5905</f>
        <v>0</v>
      </c>
      <c r="AL5905" s="28"/>
      <c r="AM5905" s="28" t="n">
        <f aca="false">AL5905*$M5905</f>
        <v>0</v>
      </c>
      <c r="AN5905" s="28"/>
      <c r="AO5905" s="28" t="n">
        <f aca="false">AN5905*$M5905</f>
        <v>0</v>
      </c>
      <c r="AP5905" s="28"/>
      <c r="AQ5905" s="28" t="n">
        <f aca="false">AP5905*$M5905</f>
        <v>0</v>
      </c>
      <c r="AR5905" s="28"/>
      <c r="AS5905" s="28" t="n">
        <f aca="false">AR5905*$M5905</f>
        <v>0</v>
      </c>
      <c r="AT5905" s="28"/>
      <c r="AU5905" s="28" t="n">
        <f aca="false">AT5905*$M5905</f>
        <v>0</v>
      </c>
      <c r="AV5905" s="28"/>
      <c r="AW5905" s="28" t="n">
        <f aca="false">AV5905*$M5905</f>
        <v>0</v>
      </c>
      <c r="AX5905" s="28"/>
      <c r="AY5905" s="28" t="n">
        <f aca="false">AX5905*$M5905</f>
        <v>0</v>
      </c>
      <c r="AZ5905" s="30" t="n">
        <f aca="false">12168/100</f>
        <v>121.68</v>
      </c>
      <c r="BA5905" s="11" t="n">
        <v>1460</v>
      </c>
      <c r="BB5905" s="31" t="n">
        <f aca="false">SUM(Q5905,S5905,U5905,W5905,Y5905,AA5905,AC5905,AE5905,AG5905,AI5905,AK5905,AM5905,AO5905,AQ5905,AS5905,AU5905,AW5905,AY5905)</f>
        <v>1460</v>
      </c>
      <c r="BC5905" s="28" t="n">
        <f aca="false">BA5905-BB5905</f>
        <v>0</v>
      </c>
      <c r="BD5905" s="32" t="n">
        <f aca="false">SUM(P5905,R5905,T5905,V5905,X5905,Z5905,AB5905,AD5905,AF5905,AH5905,AJ5905,AL5905,AN5905,AP5905,AR5905,AT5905,AV5905,AX5905)</f>
        <v>121.68</v>
      </c>
      <c r="BE5905" s="33" t="n">
        <f aca="false">AZ5905-BD5905</f>
        <v>0</v>
      </c>
      <c r="BF5905" s="34" t="n">
        <f aca="false">BD5905*M5905</f>
        <v>1460.16</v>
      </c>
      <c r="BG5905" s="35" t="n">
        <f aca="false">BA5905-BF5905</f>
        <v>-0.160000000000082</v>
      </c>
      <c r="BH5905" s="19" t="str">
        <f aca="false">IF(BG5905=0,"",IF(BG5905&lt;&gt;BA5905,"erreur de calcul",IF(BD5905&lt;&gt;0,"pas de prix",IF(M5905&lt;&gt; 0,"pas de quantité","pas de prix, ni de quantité"))))</f>
        <v>erreur de calcul</v>
      </c>
      <c r="BI5905" s="19"/>
    </row>
    <row r="5906" customFormat="false" ht="15" hidden="false" customHeight="false" outlineLevel="0" collapsed="false">
      <c r="A5906" s="0" t="n">
        <v>42</v>
      </c>
      <c r="B5906" s="8" t="s">
        <v>24</v>
      </c>
      <c r="C5906" s="9" t="s">
        <v>25</v>
      </c>
      <c r="D5906" s="9" t="s">
        <v>26</v>
      </c>
      <c r="E5906" s="10" t="n">
        <v>1789</v>
      </c>
      <c r="F5906" s="9" t="s">
        <v>27</v>
      </c>
      <c r="G5906" s="9" t="s">
        <v>27</v>
      </c>
      <c r="H5906" s="11" t="n">
        <v>25</v>
      </c>
      <c r="I5906" s="11" t="s">
        <v>371</v>
      </c>
      <c r="J5906" s="14" t="n">
        <v>7</v>
      </c>
      <c r="K5906" s="14"/>
      <c r="L5906" s="16"/>
      <c r="M5906" s="27" t="n">
        <f aca="false">J5906+(K5906/20)+(L5906/240)</f>
        <v>7</v>
      </c>
      <c r="N5906" s="17" t="s">
        <v>64</v>
      </c>
      <c r="O5906" s="11"/>
      <c r="P5906" s="28"/>
      <c r="Q5906" s="28" t="n">
        <f aca="false">P5906*$M5906</f>
        <v>0</v>
      </c>
      <c r="R5906" s="28"/>
      <c r="S5906" s="28" t="n">
        <f aca="false">R5906*$M5906</f>
        <v>0</v>
      </c>
      <c r="T5906" s="28"/>
      <c r="U5906" s="28" t="n">
        <f aca="false">T5906*$M5906</f>
        <v>0</v>
      </c>
      <c r="V5906" s="28"/>
      <c r="W5906" s="28" t="n">
        <f aca="false">V5906*$M5906</f>
        <v>0</v>
      </c>
      <c r="X5906" s="28"/>
      <c r="Y5906" s="28" t="n">
        <f aca="false">X5906*$M5906</f>
        <v>0</v>
      </c>
      <c r="Z5906" s="28"/>
      <c r="AA5906" s="28" t="n">
        <f aca="false">Z5906*$M5906</f>
        <v>0</v>
      </c>
      <c r="AB5906" s="28" t="n">
        <f aca="false">58003/100</f>
        <v>580.03</v>
      </c>
      <c r="AC5906" s="28" t="n">
        <v>4060</v>
      </c>
      <c r="AD5906" s="28"/>
      <c r="AE5906" s="28" t="n">
        <f aca="false">AD5906*$M5906</f>
        <v>0</v>
      </c>
      <c r="AF5906" s="28"/>
      <c r="AG5906" s="28" t="n">
        <f aca="false">AF5906*$M5906</f>
        <v>0</v>
      </c>
      <c r="AH5906" s="28"/>
      <c r="AI5906" s="28" t="n">
        <f aca="false">AH5906*$M5906</f>
        <v>0</v>
      </c>
      <c r="AJ5906" s="28"/>
      <c r="AK5906" s="28" t="n">
        <f aca="false">AJ5906*$M5906</f>
        <v>0</v>
      </c>
      <c r="AL5906" s="28"/>
      <c r="AM5906" s="28" t="n">
        <f aca="false">AL5906*$M5906</f>
        <v>0</v>
      </c>
      <c r="AN5906" s="28"/>
      <c r="AO5906" s="28" t="n">
        <f aca="false">AN5906*$M5906</f>
        <v>0</v>
      </c>
      <c r="AP5906" s="28"/>
      <c r="AQ5906" s="28" t="n">
        <f aca="false">AP5906*$M5906</f>
        <v>0</v>
      </c>
      <c r="AR5906" s="28"/>
      <c r="AS5906" s="28" t="n">
        <f aca="false">AR5906*$M5906</f>
        <v>0</v>
      </c>
      <c r="AT5906" s="28"/>
      <c r="AU5906" s="28" t="n">
        <f aca="false">AT5906*$M5906</f>
        <v>0</v>
      </c>
      <c r="AV5906" s="28"/>
      <c r="AW5906" s="28" t="n">
        <f aca="false">AV5906*$M5906</f>
        <v>0</v>
      </c>
      <c r="AX5906" s="28"/>
      <c r="AY5906" s="28" t="n">
        <f aca="false">AX5906*$M5906</f>
        <v>0</v>
      </c>
      <c r="AZ5906" s="30" t="n">
        <f aca="false">58003/100</f>
        <v>580.03</v>
      </c>
      <c r="BA5906" s="11" t="n">
        <v>4060</v>
      </c>
      <c r="BB5906" s="31" t="n">
        <f aca="false">SUM(Q5906,S5906,U5906,W5906,Y5906,AA5906,AC5906,AE5906,AG5906,AI5906,AK5906,AM5906,AO5906,AQ5906,AS5906,AU5906,AW5906,AY5906)</f>
        <v>4060</v>
      </c>
      <c r="BC5906" s="28" t="n">
        <f aca="false">BA5906-BB5906</f>
        <v>0</v>
      </c>
      <c r="BD5906" s="32" t="n">
        <f aca="false">SUM(P5906,R5906,T5906,V5906,X5906,Z5906,AB5906,AD5906,AF5906,AH5906,AJ5906,AL5906,AN5906,AP5906,AR5906,AT5906,AV5906,AX5906)</f>
        <v>580.03</v>
      </c>
      <c r="BE5906" s="33" t="n">
        <f aca="false">AZ5906-BD5906</f>
        <v>0</v>
      </c>
      <c r="BF5906" s="34" t="n">
        <f aca="false">BD5906*M5906</f>
        <v>4060.21</v>
      </c>
      <c r="BG5906" s="35" t="n">
        <f aca="false">BA5906-BF5906</f>
        <v>-0.210000000000036</v>
      </c>
      <c r="BH5906" s="19" t="str">
        <f aca="false">IF(BG5906=0,"",IF(BG5906&lt;&gt;BA5906,"erreur de calcul",IF(BD5906&lt;&gt;0,"pas de prix",IF(M5906&lt;&gt; 0,"pas de quantité","pas de prix, ni de quantité"))))</f>
        <v>erreur de calcul</v>
      </c>
      <c r="BI5906" s="19"/>
    </row>
    <row r="5907" customFormat="false" ht="15" hidden="false" customHeight="false" outlineLevel="0" collapsed="false">
      <c r="A5907" s="0" t="n">
        <v>1</v>
      </c>
      <c r="B5907" s="8" t="s">
        <v>24</v>
      </c>
      <c r="C5907" s="9" t="s">
        <v>25</v>
      </c>
      <c r="D5907" s="9" t="s">
        <v>26</v>
      </c>
      <c r="E5907" s="10" t="n">
        <v>1789</v>
      </c>
      <c r="F5907" s="9" t="s">
        <v>27</v>
      </c>
      <c r="G5907" s="9" t="s">
        <v>27</v>
      </c>
      <c r="H5907" s="11" t="n">
        <v>26</v>
      </c>
      <c r="I5907" s="11" t="s">
        <v>372</v>
      </c>
      <c r="J5907" s="14" t="n">
        <v>30</v>
      </c>
      <c r="K5907" s="14"/>
      <c r="L5907" s="16"/>
      <c r="M5907" s="27" t="n">
        <f aca="false">J5907+(K5907/20)+(L5907/240)</f>
        <v>30</v>
      </c>
      <c r="N5907" s="17" t="s">
        <v>64</v>
      </c>
      <c r="O5907" s="11"/>
      <c r="P5907" s="28"/>
      <c r="Q5907" s="28" t="n">
        <f aca="false">P5907*$M5907</f>
        <v>0</v>
      </c>
      <c r="R5907" s="28"/>
      <c r="S5907" s="28" t="n">
        <f aca="false">R5907*$M5907</f>
        <v>0</v>
      </c>
      <c r="T5907" s="28"/>
      <c r="U5907" s="28" t="n">
        <f aca="false">T5907*$M5907</f>
        <v>0</v>
      </c>
      <c r="V5907" s="28" t="n">
        <f aca="false">1500/100</f>
        <v>15</v>
      </c>
      <c r="W5907" s="28" t="n">
        <v>450</v>
      </c>
      <c r="X5907" s="28"/>
      <c r="Y5907" s="28" t="n">
        <f aca="false">X5907*$M5907</f>
        <v>0</v>
      </c>
      <c r="Z5907" s="28"/>
      <c r="AA5907" s="28" t="n">
        <f aca="false">Z5907*$M5907</f>
        <v>0</v>
      </c>
      <c r="AB5907" s="28"/>
      <c r="AC5907" s="28" t="n">
        <f aca="false">AB5907*$M5907</f>
        <v>0</v>
      </c>
      <c r="AD5907" s="28"/>
      <c r="AE5907" s="28" t="n">
        <f aca="false">AD5907*$M5907</f>
        <v>0</v>
      </c>
      <c r="AF5907" s="28"/>
      <c r="AG5907" s="28" t="n">
        <f aca="false">AF5907*$M5907</f>
        <v>0</v>
      </c>
      <c r="AH5907" s="28"/>
      <c r="AI5907" s="28" t="n">
        <f aca="false">AH5907*$M5907</f>
        <v>0</v>
      </c>
      <c r="AJ5907" s="28"/>
      <c r="AK5907" s="28" t="n">
        <f aca="false">AJ5907*$M5907</f>
        <v>0</v>
      </c>
      <c r="AL5907" s="28"/>
      <c r="AM5907" s="28" t="n">
        <f aca="false">AL5907*$M5907</f>
        <v>0</v>
      </c>
      <c r="AN5907" s="28"/>
      <c r="AO5907" s="28" t="n">
        <f aca="false">AN5907*$M5907</f>
        <v>0</v>
      </c>
      <c r="AP5907" s="28"/>
      <c r="AQ5907" s="28" t="n">
        <f aca="false">AP5907*$M5907</f>
        <v>0</v>
      </c>
      <c r="AR5907" s="28"/>
      <c r="AS5907" s="28" t="n">
        <f aca="false">AR5907*$M5907</f>
        <v>0</v>
      </c>
      <c r="AT5907" s="28"/>
      <c r="AU5907" s="28" t="n">
        <f aca="false">AT5907*$M5907</f>
        <v>0</v>
      </c>
      <c r="AV5907" s="28"/>
      <c r="AW5907" s="28" t="n">
        <f aca="false">AV5907*$M5907</f>
        <v>0</v>
      </c>
      <c r="AX5907" s="28"/>
      <c r="AY5907" s="28" t="n">
        <f aca="false">AX5907*$M5907</f>
        <v>0</v>
      </c>
      <c r="AZ5907" s="30" t="n">
        <f aca="false">1500/100</f>
        <v>15</v>
      </c>
      <c r="BA5907" s="11" t="n">
        <v>450</v>
      </c>
      <c r="BB5907" s="31" t="n">
        <f aca="false">SUM(Q5907,S5907,U5907,W5907,Y5907,AA5907,AC5907,AE5907,AG5907,AI5907,AK5907,AM5907,AO5907,AQ5907,AS5907,AU5907,AW5907,AY5907)</f>
        <v>450</v>
      </c>
      <c r="BC5907" s="28" t="n">
        <f aca="false">BA5907-BB5907</f>
        <v>0</v>
      </c>
      <c r="BD5907" s="32" t="n">
        <f aca="false">SUM(P5907,R5907,T5907,V5907,X5907,Z5907,AB5907,AD5907,AF5907,AH5907,AJ5907,AL5907,AN5907,AP5907,AR5907,AT5907,AV5907,AX5907)</f>
        <v>15</v>
      </c>
      <c r="BE5907" s="33" t="n">
        <f aca="false">AZ5907-BD5907</f>
        <v>0</v>
      </c>
      <c r="BF5907" s="34" t="n">
        <f aca="false">BD5907*M5907</f>
        <v>450</v>
      </c>
      <c r="BG5907" s="35" t="n">
        <f aca="false">BA5907-BF5907</f>
        <v>0</v>
      </c>
      <c r="BH5907" s="19" t="str">
        <f aca="false">IF(BG5907=0,"",IF(BG5907&lt;&gt;BA5907,"erreur de calcul",IF(BD5907&lt;&gt;0,"pas de prix",IF(M5907&lt;&gt; 0,"pas de quantité","pas de prix, ni de quantité"))))</f>
        <v/>
      </c>
      <c r="BI5907" s="19"/>
    </row>
    <row r="5908" customFormat="false" ht="15" hidden="false" customHeight="false" outlineLevel="0" collapsed="false">
      <c r="A5908" s="0" t="n">
        <v>2</v>
      </c>
      <c r="B5908" s="8" t="s">
        <v>24</v>
      </c>
      <c r="C5908" s="9" t="s">
        <v>25</v>
      </c>
      <c r="D5908" s="9" t="s">
        <v>26</v>
      </c>
      <c r="E5908" s="10" t="n">
        <v>1789</v>
      </c>
      <c r="F5908" s="9" t="s">
        <v>27</v>
      </c>
      <c r="G5908" s="9" t="s">
        <v>27</v>
      </c>
      <c r="H5908" s="11" t="n">
        <v>26</v>
      </c>
      <c r="I5908" s="11" t="s">
        <v>373</v>
      </c>
      <c r="J5908" s="14" t="n">
        <v>25</v>
      </c>
      <c r="K5908" s="14"/>
      <c r="L5908" s="16"/>
      <c r="M5908" s="27" t="n">
        <f aca="false">J5908+(K5908/20)+(L5908/240)</f>
        <v>25</v>
      </c>
      <c r="N5908" s="17" t="s">
        <v>64</v>
      </c>
      <c r="O5908" s="11"/>
      <c r="P5908" s="28"/>
      <c r="Q5908" s="28" t="n">
        <f aca="false">P5908*$M5908</f>
        <v>0</v>
      </c>
      <c r="R5908" s="28"/>
      <c r="S5908" s="28" t="n">
        <f aca="false">R5908*$M5908</f>
        <v>0</v>
      </c>
      <c r="T5908" s="28" t="n">
        <f aca="false">34168/100</f>
        <v>341.68</v>
      </c>
      <c r="U5908" s="28" t="n">
        <v>8542</v>
      </c>
      <c r="V5908" s="28" t="n">
        <f aca="false">128249/100</f>
        <v>1282.49</v>
      </c>
      <c r="W5908" s="28" t="n">
        <v>32062</v>
      </c>
      <c r="X5908" s="28" t="n">
        <f aca="false">21365/100</f>
        <v>213.65</v>
      </c>
      <c r="Y5908" s="28" t="n">
        <v>5341</v>
      </c>
      <c r="Z5908" s="28"/>
      <c r="AA5908" s="28" t="n">
        <f aca="false">Z5908*$M5908</f>
        <v>0</v>
      </c>
      <c r="AB5908" s="28"/>
      <c r="AC5908" s="28" t="n">
        <f aca="false">AB5908*$M5908</f>
        <v>0</v>
      </c>
      <c r="AD5908" s="28"/>
      <c r="AE5908" s="28" t="n">
        <f aca="false">AD5908*$M5908</f>
        <v>0</v>
      </c>
      <c r="AF5908" s="28"/>
      <c r="AG5908" s="28" t="n">
        <f aca="false">AF5908*$M5908</f>
        <v>0</v>
      </c>
      <c r="AH5908" s="28"/>
      <c r="AI5908" s="28" t="n">
        <f aca="false">AH5908*$M5908</f>
        <v>0</v>
      </c>
      <c r="AJ5908" s="28" t="n">
        <f aca="false">155251/100</f>
        <v>1552.51</v>
      </c>
      <c r="AK5908" s="28" t="n">
        <v>38813</v>
      </c>
      <c r="AL5908" s="28" t="n">
        <f aca="false">185000/100</f>
        <v>1850</v>
      </c>
      <c r="AM5908" s="28" t="n">
        <v>46250</v>
      </c>
      <c r="AN5908" s="28"/>
      <c r="AO5908" s="28" t="n">
        <f aca="false">AN5908*$M5908</f>
        <v>0</v>
      </c>
      <c r="AP5908" s="28"/>
      <c r="AQ5908" s="28" t="n">
        <f aca="false">AP5908*$M5908</f>
        <v>0</v>
      </c>
      <c r="AR5908" s="28"/>
      <c r="AS5908" s="28" t="n">
        <f aca="false">AR5908*$M5908</f>
        <v>0</v>
      </c>
      <c r="AT5908" s="28"/>
      <c r="AU5908" s="28" t="n">
        <f aca="false">AT5908*$M5908</f>
        <v>0</v>
      </c>
      <c r="AV5908" s="28"/>
      <c r="AW5908" s="28" t="n">
        <f aca="false">AV5908*$M5908</f>
        <v>0</v>
      </c>
      <c r="AX5908" s="28"/>
      <c r="AY5908" s="28" t="n">
        <f aca="false">AX5908*$M5908</f>
        <v>0</v>
      </c>
      <c r="AZ5908" s="30" t="n">
        <f aca="false">524033/100</f>
        <v>5240.33</v>
      </c>
      <c r="BA5908" s="11" t="n">
        <v>131008</v>
      </c>
      <c r="BB5908" s="31" t="n">
        <f aca="false">SUM(Q5908,S5908,U5908,W5908,Y5908,AA5908,AC5908,AE5908,AG5908,AI5908,AK5908,AM5908,AO5908,AQ5908,AS5908,AU5908,AW5908,AY5908)</f>
        <v>131008</v>
      </c>
      <c r="BC5908" s="28" t="n">
        <f aca="false">BA5908-BB5908</f>
        <v>0</v>
      </c>
      <c r="BD5908" s="32" t="n">
        <f aca="false">SUM(P5908,R5908,T5908,V5908,X5908,Z5908,AB5908,AD5908,AF5908,AH5908,AJ5908,AL5908,AN5908,AP5908,AR5908,AT5908,AV5908,AX5908)</f>
        <v>5240.33</v>
      </c>
      <c r="BE5908" s="33" t="n">
        <f aca="false">AZ5908-BD5908</f>
        <v>0</v>
      </c>
      <c r="BF5908" s="34" t="n">
        <f aca="false">BD5908*M5908</f>
        <v>131008.25</v>
      </c>
      <c r="BG5908" s="35" t="n">
        <f aca="false">BA5908-BF5908</f>
        <v>-0.250000000014552</v>
      </c>
      <c r="BH5908" s="19" t="str">
        <f aca="false">IF(BG5908=0,"",IF(BG5908&lt;&gt;BA5908,"erreur de calcul",IF(BD5908&lt;&gt;0,"pas de prix",IF(M5908&lt;&gt; 0,"pas de quantité","pas de prix, ni de quantité"))))</f>
        <v>erreur de calcul</v>
      </c>
      <c r="BI5908" s="19"/>
    </row>
    <row r="5909" customFormat="false" ht="15" hidden="false" customHeight="false" outlineLevel="0" collapsed="false">
      <c r="A5909" s="0" t="n">
        <v>3</v>
      </c>
      <c r="B5909" s="8" t="s">
        <v>24</v>
      </c>
      <c r="C5909" s="9" t="s">
        <v>25</v>
      </c>
      <c r="D5909" s="9" t="s">
        <v>26</v>
      </c>
      <c r="E5909" s="10" t="n">
        <v>1789</v>
      </c>
      <c r="F5909" s="9" t="s">
        <v>27</v>
      </c>
      <c r="G5909" s="9" t="s">
        <v>27</v>
      </c>
      <c r="H5909" s="11" t="n">
        <v>26</v>
      </c>
      <c r="I5909" s="11" t="s">
        <v>374</v>
      </c>
      <c r="J5909" s="14" t="n">
        <v>70</v>
      </c>
      <c r="K5909" s="14"/>
      <c r="L5909" s="16"/>
      <c r="M5909" s="27" t="n">
        <f aca="false">J5909+(K5909/20)+(L5909/240)</f>
        <v>70</v>
      </c>
      <c r="N5909" s="17" t="s">
        <v>64</v>
      </c>
      <c r="O5909" s="11"/>
      <c r="P5909" s="28"/>
      <c r="Q5909" s="28" t="n">
        <f aca="false">P5909*$M5909</f>
        <v>0</v>
      </c>
      <c r="R5909" s="28"/>
      <c r="S5909" s="28" t="n">
        <f aca="false">R5909*$M5909</f>
        <v>0</v>
      </c>
      <c r="T5909" s="28"/>
      <c r="U5909" s="28" t="n">
        <f aca="false">T5909*$M5909</f>
        <v>0</v>
      </c>
      <c r="V5909" s="28" t="n">
        <f aca="false">4560/100</f>
        <v>45.6</v>
      </c>
      <c r="W5909" s="28" t="n">
        <v>3192</v>
      </c>
      <c r="X5909" s="28" t="n">
        <f aca="false">1115/100</f>
        <v>11.15</v>
      </c>
      <c r="Y5909" s="28" t="n">
        <v>780</v>
      </c>
      <c r="Z5909" s="28"/>
      <c r="AA5909" s="28" t="n">
        <f aca="false">Z5909*$M5909</f>
        <v>0</v>
      </c>
      <c r="AB5909" s="28" t="n">
        <f aca="false">9431/100</f>
        <v>94.31</v>
      </c>
      <c r="AC5909" s="28" t="n">
        <v>6602</v>
      </c>
      <c r="AD5909" s="28"/>
      <c r="AE5909" s="28" t="n">
        <f aca="false">AD5909*$M5909</f>
        <v>0</v>
      </c>
      <c r="AF5909" s="28"/>
      <c r="AG5909" s="28" t="n">
        <f aca="false">AF5909*$M5909</f>
        <v>0</v>
      </c>
      <c r="AH5909" s="28"/>
      <c r="AI5909" s="28" t="n">
        <f aca="false">AH5909*$M5909</f>
        <v>0</v>
      </c>
      <c r="AJ5909" s="28"/>
      <c r="AK5909" s="28" t="n">
        <f aca="false">AJ5909*$M5909</f>
        <v>0</v>
      </c>
      <c r="AL5909" s="28"/>
      <c r="AM5909" s="28" t="n">
        <f aca="false">AL5909*$M5909</f>
        <v>0</v>
      </c>
      <c r="AN5909" s="28"/>
      <c r="AO5909" s="28" t="n">
        <f aca="false">AN5909*$M5909</f>
        <v>0</v>
      </c>
      <c r="AP5909" s="28"/>
      <c r="AQ5909" s="28" t="n">
        <f aca="false">AP5909*$M5909</f>
        <v>0</v>
      </c>
      <c r="AR5909" s="28"/>
      <c r="AS5909" s="28" t="n">
        <f aca="false">AR5909*$M5909</f>
        <v>0</v>
      </c>
      <c r="AT5909" s="28"/>
      <c r="AU5909" s="28" t="n">
        <f aca="false">AT5909*$M5909</f>
        <v>0</v>
      </c>
      <c r="AV5909" s="28"/>
      <c r="AW5909" s="28" t="n">
        <f aca="false">AV5909*$M5909</f>
        <v>0</v>
      </c>
      <c r="AX5909" s="28"/>
      <c r="AY5909" s="28" t="n">
        <f aca="false">AX5909*$M5909</f>
        <v>0</v>
      </c>
      <c r="AZ5909" s="30" t="n">
        <f aca="false">15106/100</f>
        <v>151.06</v>
      </c>
      <c r="BA5909" s="11" t="n">
        <v>10574</v>
      </c>
      <c r="BB5909" s="31" t="n">
        <f aca="false">SUM(Q5909,S5909,U5909,W5909,Y5909,AA5909,AC5909,AE5909,AG5909,AI5909,AK5909,AM5909,AO5909,AQ5909,AS5909,AU5909,AW5909,AY5909)</f>
        <v>10574</v>
      </c>
      <c r="BC5909" s="28" t="n">
        <f aca="false">BA5909-BB5909</f>
        <v>0</v>
      </c>
      <c r="BD5909" s="32" t="n">
        <f aca="false">SUM(P5909,R5909,T5909,V5909,X5909,Z5909,AB5909,AD5909,AF5909,AH5909,AJ5909,AL5909,AN5909,AP5909,AR5909,AT5909,AV5909,AX5909)</f>
        <v>151.06</v>
      </c>
      <c r="BE5909" s="33" t="n">
        <f aca="false">AZ5909-BD5909</f>
        <v>0</v>
      </c>
      <c r="BF5909" s="34" t="n">
        <f aca="false">BD5909*M5909</f>
        <v>10574.2</v>
      </c>
      <c r="BG5909" s="35" t="n">
        <f aca="false">BA5909-BF5909</f>
        <v>-0.200000000000728</v>
      </c>
      <c r="BH5909" s="19" t="str">
        <f aca="false">IF(BG5909=0,"",IF(BG5909&lt;&gt;BA5909,"erreur de calcul",IF(BD5909&lt;&gt;0,"pas de prix",IF(M5909&lt;&gt; 0,"pas de quantité","pas de prix, ni de quantité"))))</f>
        <v>erreur de calcul</v>
      </c>
      <c r="BI5909" s="19"/>
    </row>
    <row r="5910" customFormat="false" ht="15" hidden="false" customHeight="false" outlineLevel="0" collapsed="false">
      <c r="A5910" s="0" t="n">
        <v>4</v>
      </c>
      <c r="B5910" s="8" t="s">
        <v>24</v>
      </c>
      <c r="C5910" s="9" t="s">
        <v>25</v>
      </c>
      <c r="D5910" s="9" t="s">
        <v>26</v>
      </c>
      <c r="E5910" s="10" t="n">
        <v>1789</v>
      </c>
      <c r="F5910" s="9" t="s">
        <v>27</v>
      </c>
      <c r="G5910" s="9" t="s">
        <v>27</v>
      </c>
      <c r="H5910" s="11" t="n">
        <v>26</v>
      </c>
      <c r="I5910" s="11" t="s">
        <v>375</v>
      </c>
      <c r="J5910" s="14" t="n">
        <v>245</v>
      </c>
      <c r="K5910" s="14"/>
      <c r="L5910" s="16"/>
      <c r="M5910" s="27" t="n">
        <f aca="false">J5910+(K5910/20)+(L5910/240)</f>
        <v>245</v>
      </c>
      <c r="N5910" s="17" t="s">
        <v>64</v>
      </c>
      <c r="O5910" s="11"/>
      <c r="P5910" s="28"/>
      <c r="Q5910" s="28" t="n">
        <f aca="false">P5910*$M5910</f>
        <v>0</v>
      </c>
      <c r="R5910" s="28"/>
      <c r="S5910" s="28" t="n">
        <f aca="false">R5910*$M5910</f>
        <v>0</v>
      </c>
      <c r="T5910" s="28"/>
      <c r="U5910" s="28" t="n">
        <f aca="false">T5910*$M5910</f>
        <v>0</v>
      </c>
      <c r="V5910" s="28"/>
      <c r="W5910" s="28" t="n">
        <f aca="false">V5910*$M5910</f>
        <v>0</v>
      </c>
      <c r="X5910" s="28"/>
      <c r="Y5910" s="28" t="n">
        <f aca="false">X5910*$M5910</f>
        <v>0</v>
      </c>
      <c r="Z5910" s="28"/>
      <c r="AA5910" s="28" t="n">
        <f aca="false">Z5910*$M5910</f>
        <v>0</v>
      </c>
      <c r="AB5910" s="28"/>
      <c r="AC5910" s="28" t="n">
        <f aca="false">AB5910*$M5910</f>
        <v>0</v>
      </c>
      <c r="AD5910" s="28"/>
      <c r="AE5910" s="28" t="n">
        <f aca="false">AD5910*$M5910</f>
        <v>0</v>
      </c>
      <c r="AF5910" s="28"/>
      <c r="AG5910" s="28" t="n">
        <f aca="false">AF5910*$M5910</f>
        <v>0</v>
      </c>
      <c r="AH5910" s="28" t="n">
        <f aca="false">751/100</f>
        <v>7.51</v>
      </c>
      <c r="AI5910" s="28" t="n">
        <v>1840</v>
      </c>
      <c r="AJ5910" s="28"/>
      <c r="AK5910" s="28" t="n">
        <f aca="false">AJ5910*$M5910</f>
        <v>0</v>
      </c>
      <c r="AL5910" s="28"/>
      <c r="AM5910" s="28" t="n">
        <f aca="false">AL5910*$M5910</f>
        <v>0</v>
      </c>
      <c r="AN5910" s="28"/>
      <c r="AO5910" s="28" t="n">
        <f aca="false">AN5910*$M5910</f>
        <v>0</v>
      </c>
      <c r="AP5910" s="28"/>
      <c r="AQ5910" s="28" t="n">
        <f aca="false">AP5910*$M5910</f>
        <v>0</v>
      </c>
      <c r="AR5910" s="28"/>
      <c r="AS5910" s="28" t="n">
        <f aca="false">AR5910*$M5910</f>
        <v>0</v>
      </c>
      <c r="AT5910" s="28"/>
      <c r="AU5910" s="28" t="n">
        <f aca="false">AT5910*$M5910</f>
        <v>0</v>
      </c>
      <c r="AV5910" s="28"/>
      <c r="AW5910" s="28" t="n">
        <f aca="false">AV5910*$M5910</f>
        <v>0</v>
      </c>
      <c r="AX5910" s="28"/>
      <c r="AY5910" s="28" t="n">
        <f aca="false">AX5910*$M5910</f>
        <v>0</v>
      </c>
      <c r="AZ5910" s="30" t="n">
        <f aca="false">751/100</f>
        <v>7.51</v>
      </c>
      <c r="BA5910" s="11" t="n">
        <v>1840</v>
      </c>
      <c r="BB5910" s="31" t="n">
        <f aca="false">SUM(Q5910,S5910,U5910,W5910,Y5910,AA5910,AC5910,AE5910,AG5910,AI5910,AK5910,AM5910,AO5910,AQ5910,AS5910,AU5910,AW5910,AY5910)</f>
        <v>1840</v>
      </c>
      <c r="BC5910" s="28" t="n">
        <f aca="false">BA5910-BB5910</f>
        <v>0</v>
      </c>
      <c r="BD5910" s="32" t="n">
        <f aca="false">SUM(P5910,R5910,T5910,V5910,X5910,Z5910,AB5910,AD5910,AF5910,AH5910,AJ5910,AL5910,AN5910,AP5910,AR5910,AT5910,AV5910,AX5910)</f>
        <v>7.51</v>
      </c>
      <c r="BE5910" s="33" t="n">
        <f aca="false">AZ5910-BD5910</f>
        <v>0</v>
      </c>
      <c r="BF5910" s="34" t="n">
        <f aca="false">BD5910*M5910</f>
        <v>1839.95</v>
      </c>
      <c r="BG5910" s="35" t="n">
        <f aca="false">BA5910-BF5910</f>
        <v>0.0499999999999545</v>
      </c>
      <c r="BH5910" s="19" t="str">
        <f aca="false">IF(BG5910=0,"",IF(BG5910&lt;&gt;BA5910,"erreur de calcul",IF(BD5910&lt;&gt;0,"pas de prix",IF(M5910&lt;&gt; 0,"pas de quantité","pas de prix, ni de quantité"))))</f>
        <v>erreur de calcul</v>
      </c>
      <c r="BI5910" s="19"/>
    </row>
    <row r="5911" customFormat="false" ht="15" hidden="false" customHeight="false" outlineLevel="0" collapsed="false">
      <c r="A5911" s="0" t="n">
        <v>5</v>
      </c>
      <c r="B5911" s="8" t="s">
        <v>24</v>
      </c>
      <c r="C5911" s="9" t="s">
        <v>25</v>
      </c>
      <c r="D5911" s="9" t="s">
        <v>26</v>
      </c>
      <c r="E5911" s="10" t="n">
        <v>1789</v>
      </c>
      <c r="F5911" s="9" t="s">
        <v>27</v>
      </c>
      <c r="G5911" s="9" t="s">
        <v>27</v>
      </c>
      <c r="H5911" s="11" t="n">
        <v>26</v>
      </c>
      <c r="I5911" s="11" t="s">
        <v>376</v>
      </c>
      <c r="J5911" s="14" t="n">
        <v>550</v>
      </c>
      <c r="K5911" s="14"/>
      <c r="L5911" s="16"/>
      <c r="M5911" s="27" t="n">
        <f aca="false">J5911+(K5911/20)+(L5911/240)</f>
        <v>550</v>
      </c>
      <c r="N5911" s="17" t="s">
        <v>64</v>
      </c>
      <c r="O5911" s="11"/>
      <c r="P5911" s="28"/>
      <c r="Q5911" s="28" t="n">
        <f aca="false">P5911*$M5911</f>
        <v>0</v>
      </c>
      <c r="R5911" s="28"/>
      <c r="S5911" s="28" t="n">
        <f aca="false">R5911*$M5911</f>
        <v>0</v>
      </c>
      <c r="T5911" s="28"/>
      <c r="U5911" s="28" t="n">
        <f aca="false">T5911*$M5911</f>
        <v>0</v>
      </c>
      <c r="V5911" s="28"/>
      <c r="W5911" s="28" t="n">
        <f aca="false">V5911*$M5911</f>
        <v>0</v>
      </c>
      <c r="X5911" s="28"/>
      <c r="Y5911" s="28" t="n">
        <f aca="false">X5911*$M5911</f>
        <v>0</v>
      </c>
      <c r="Z5911" s="28"/>
      <c r="AA5911" s="28" t="n">
        <f aca="false">Z5911*$M5911</f>
        <v>0</v>
      </c>
      <c r="AB5911" s="28"/>
      <c r="AC5911" s="28" t="n">
        <f aca="false">AB5911*$M5911</f>
        <v>0</v>
      </c>
      <c r="AD5911" s="28"/>
      <c r="AE5911" s="28" t="n">
        <f aca="false">AD5911*$M5911</f>
        <v>0</v>
      </c>
      <c r="AF5911" s="28"/>
      <c r="AG5911" s="28" t="n">
        <f aca="false">AF5911*$M5911</f>
        <v>0</v>
      </c>
      <c r="AH5911" s="28" t="n">
        <f aca="false">215551/100</f>
        <v>2155.51</v>
      </c>
      <c r="AI5911" s="28" t="n">
        <v>1185530</v>
      </c>
      <c r="AJ5911" s="28"/>
      <c r="AK5911" s="28" t="n">
        <f aca="false">AJ5911*$M5911</f>
        <v>0</v>
      </c>
      <c r="AL5911" s="28"/>
      <c r="AM5911" s="28" t="n">
        <f aca="false">AL5911*$M5911</f>
        <v>0</v>
      </c>
      <c r="AN5911" s="28"/>
      <c r="AO5911" s="28" t="n">
        <f aca="false">AN5911*$M5911</f>
        <v>0</v>
      </c>
      <c r="AP5911" s="28"/>
      <c r="AQ5911" s="28" t="n">
        <f aca="false">AP5911*$M5911</f>
        <v>0</v>
      </c>
      <c r="AR5911" s="28"/>
      <c r="AS5911" s="28" t="n">
        <f aca="false">AR5911*$M5911</f>
        <v>0</v>
      </c>
      <c r="AT5911" s="28"/>
      <c r="AU5911" s="28" t="n">
        <f aca="false">AT5911*$M5911</f>
        <v>0</v>
      </c>
      <c r="AV5911" s="28"/>
      <c r="AW5911" s="28" t="n">
        <f aca="false">AV5911*$M5911</f>
        <v>0</v>
      </c>
      <c r="AX5911" s="28"/>
      <c r="AY5911" s="28" t="n">
        <f aca="false">AX5911*$M5911</f>
        <v>0</v>
      </c>
      <c r="AZ5911" s="30" t="n">
        <f aca="false">215551/100</f>
        <v>2155.51</v>
      </c>
      <c r="BA5911" s="11" t="n">
        <v>1185530</v>
      </c>
      <c r="BB5911" s="31" t="n">
        <f aca="false">SUM(Q5911,S5911,U5911,W5911,Y5911,AA5911,AC5911,AE5911,AG5911,AI5911,AK5911,AM5911,AO5911,AQ5911,AS5911,AU5911,AW5911,AY5911)</f>
        <v>1185530</v>
      </c>
      <c r="BC5911" s="28" t="n">
        <f aca="false">BA5911-BB5911</f>
        <v>0</v>
      </c>
      <c r="BD5911" s="32" t="n">
        <f aca="false">SUM(P5911,R5911,T5911,V5911,X5911,Z5911,AB5911,AD5911,AF5911,AH5911,AJ5911,AL5911,AN5911,AP5911,AR5911,AT5911,AV5911,AX5911)</f>
        <v>2155.51</v>
      </c>
      <c r="BE5911" s="33" t="n">
        <f aca="false">AZ5911-BD5911</f>
        <v>0</v>
      </c>
      <c r="BF5911" s="34" t="n">
        <f aca="false">BD5911*M5911</f>
        <v>1185530.5</v>
      </c>
      <c r="BG5911" s="35" t="n">
        <f aca="false">BA5911-BF5911</f>
        <v>-0.500000000232831</v>
      </c>
      <c r="BH5911" s="19" t="str">
        <f aca="false">IF(BG5911=0,"",IF(BG5911&lt;&gt;BA5911,"erreur de calcul",IF(BD5911&lt;&gt;0,"pas de prix",IF(M5911&lt;&gt; 0,"pas de quantité","pas de prix, ni de quantité"))))</f>
        <v>erreur de calcul</v>
      </c>
      <c r="BI5911" s="19"/>
    </row>
    <row r="5912" customFormat="false" ht="15" hidden="false" customHeight="false" outlineLevel="0" collapsed="false">
      <c r="A5912" s="0" t="n">
        <v>6</v>
      </c>
      <c r="B5912" s="8" t="s">
        <v>24</v>
      </c>
      <c r="C5912" s="9" t="s">
        <v>25</v>
      </c>
      <c r="D5912" s="9" t="s">
        <v>26</v>
      </c>
      <c r="E5912" s="10" t="n">
        <v>1789</v>
      </c>
      <c r="F5912" s="9" t="s">
        <v>27</v>
      </c>
      <c r="G5912" s="9" t="s">
        <v>27</v>
      </c>
      <c r="H5912" s="11" t="n">
        <v>26</v>
      </c>
      <c r="I5912" s="11" t="s">
        <v>377</v>
      </c>
      <c r="J5912" s="14"/>
      <c r="K5912" s="14"/>
      <c r="L5912" s="16"/>
      <c r="M5912" s="27" t="n">
        <f aca="false">J5912+(K5912/20)+(L5912/240)</f>
        <v>0</v>
      </c>
      <c r="N5912" s="17"/>
      <c r="O5912" s="11"/>
      <c r="P5912" s="28"/>
      <c r="Q5912" s="28" t="n">
        <f aca="false">P5912*$M5912</f>
        <v>0</v>
      </c>
      <c r="R5912" s="28"/>
      <c r="S5912" s="28" t="n">
        <f aca="false">R5912*$M5912</f>
        <v>0</v>
      </c>
      <c r="T5912" s="28"/>
      <c r="U5912" s="28" t="n">
        <v>517</v>
      </c>
      <c r="V5912" s="28"/>
      <c r="W5912" s="28" t="n">
        <v>1243</v>
      </c>
      <c r="X5912" s="28"/>
      <c r="Y5912" s="28" t="n">
        <f aca="false">X5912*$M5912</f>
        <v>0</v>
      </c>
      <c r="Z5912" s="28"/>
      <c r="AA5912" s="28" t="n">
        <f aca="false">Z5912*$M5912</f>
        <v>0</v>
      </c>
      <c r="AB5912" s="28"/>
      <c r="AC5912" s="28" t="n">
        <v>694</v>
      </c>
      <c r="AD5912" s="28"/>
      <c r="AE5912" s="28" t="n">
        <f aca="false">AD5912*$M5912</f>
        <v>0</v>
      </c>
      <c r="AF5912" s="28"/>
      <c r="AG5912" s="28" t="n">
        <f aca="false">AF5912*$M5912</f>
        <v>0</v>
      </c>
      <c r="AH5912" s="28"/>
      <c r="AI5912" s="28" t="n">
        <f aca="false">AH5912*$M5912</f>
        <v>0</v>
      </c>
      <c r="AJ5912" s="28"/>
      <c r="AK5912" s="28" t="n">
        <v>664</v>
      </c>
      <c r="AL5912" s="28"/>
      <c r="AM5912" s="28" t="n">
        <v>161</v>
      </c>
      <c r="AN5912" s="28"/>
      <c r="AO5912" s="28" t="n">
        <f aca="false">AN5912*$M5912</f>
        <v>0</v>
      </c>
      <c r="AP5912" s="28"/>
      <c r="AQ5912" s="28" t="n">
        <f aca="false">AP5912*$M5912</f>
        <v>0</v>
      </c>
      <c r="AR5912" s="28"/>
      <c r="AS5912" s="28" t="n">
        <f aca="false">AR5912*$M5912</f>
        <v>0</v>
      </c>
      <c r="AT5912" s="28"/>
      <c r="AU5912" s="28" t="n">
        <f aca="false">AT5912*$M5912</f>
        <v>0</v>
      </c>
      <c r="AV5912" s="28"/>
      <c r="AW5912" s="28" t="n">
        <f aca="false">AV5912*$M5912</f>
        <v>0</v>
      </c>
      <c r="AX5912" s="28"/>
      <c r="AY5912" s="28" t="n">
        <f aca="false">AX5912*$M5912</f>
        <v>0</v>
      </c>
      <c r="AZ5912" s="30"/>
      <c r="BA5912" s="11" t="n">
        <v>3279</v>
      </c>
      <c r="BB5912" s="31" t="n">
        <f aca="false">SUM(Q5912,S5912,U5912,W5912,Y5912,AA5912,AC5912,AE5912,AG5912,AI5912,AK5912,AM5912,AO5912,AQ5912,AS5912,AU5912,AW5912,AY5912)</f>
        <v>3279</v>
      </c>
      <c r="BC5912" s="28" t="n">
        <f aca="false">BA5912-BB5912</f>
        <v>0</v>
      </c>
      <c r="BD5912" s="32" t="n">
        <f aca="false">SUM(P5912,R5912,T5912,V5912,X5912,Z5912,AB5912,AD5912,AF5912,AH5912,AJ5912,AL5912,AN5912,AP5912,AR5912,AT5912,AV5912,AX5912)</f>
        <v>0</v>
      </c>
      <c r="BE5912" s="33" t="n">
        <f aca="false">AZ5912-BD5912</f>
        <v>0</v>
      </c>
      <c r="BF5912" s="34" t="n">
        <f aca="false">BD5912*M5912</f>
        <v>0</v>
      </c>
      <c r="BG5912" s="35" t="n">
        <f aca="false">BA5912-BF5912</f>
        <v>3279</v>
      </c>
      <c r="BH5912" s="19" t="str">
        <f aca="false">IF(BG5912=0,"",IF(BG5912&lt;&gt;BA5912,"erreur de calcul",IF(BD5912&lt;&gt;0,"pas de prix",IF(M5912&lt;&gt; 0,"pas de quantité","pas de prix, ni de quantité"))))</f>
        <v>pas de prix, ni de quantité</v>
      </c>
      <c r="BI5912" s="19"/>
    </row>
    <row r="5913" customFormat="false" ht="15" hidden="false" customHeight="false" outlineLevel="0" collapsed="false">
      <c r="A5913" s="0" t="n">
        <v>7</v>
      </c>
      <c r="B5913" s="8" t="s">
        <v>24</v>
      </c>
      <c r="C5913" s="9" t="s">
        <v>25</v>
      </c>
      <c r="D5913" s="9" t="s">
        <v>26</v>
      </c>
      <c r="E5913" s="10" t="n">
        <v>1789</v>
      </c>
      <c r="F5913" s="9" t="s">
        <v>27</v>
      </c>
      <c r="G5913" s="9" t="s">
        <v>27</v>
      </c>
      <c r="H5913" s="11" t="n">
        <v>26</v>
      </c>
      <c r="I5913" s="11" t="s">
        <v>378</v>
      </c>
      <c r="J5913" s="14" t="n">
        <v>27</v>
      </c>
      <c r="K5913" s="14"/>
      <c r="L5913" s="16"/>
      <c r="M5913" s="27" t="n">
        <f aca="false">J5913+(K5913/20)+(L5913/240)</f>
        <v>27</v>
      </c>
      <c r="N5913" s="17" t="s">
        <v>379</v>
      </c>
      <c r="O5913" s="11" t="s">
        <v>98</v>
      </c>
      <c r="P5913" s="28"/>
      <c r="Q5913" s="28" t="n">
        <f aca="false">P5913*$M5913</f>
        <v>0</v>
      </c>
      <c r="R5913" s="28"/>
      <c r="S5913" s="28" t="n">
        <f aca="false">R5913*$M5913</f>
        <v>0</v>
      </c>
      <c r="T5913" s="28"/>
      <c r="U5913" s="28" t="n">
        <f aca="false">T5913*$M5913</f>
        <v>0</v>
      </c>
      <c r="V5913" s="28"/>
      <c r="W5913" s="28" t="n">
        <f aca="false">V5913*$M5913</f>
        <v>0</v>
      </c>
      <c r="X5913" s="28"/>
      <c r="Y5913" s="28" t="n">
        <f aca="false">X5913*$M5913</f>
        <v>0</v>
      </c>
      <c r="Z5913" s="28"/>
      <c r="AA5913" s="28" t="n">
        <f aca="false">Z5913*$M5913</f>
        <v>0</v>
      </c>
      <c r="AB5913" s="28"/>
      <c r="AC5913" s="28" t="n">
        <f aca="false">AB5913*$M5913</f>
        <v>0</v>
      </c>
      <c r="AD5913" s="28"/>
      <c r="AE5913" s="28" t="n">
        <f aca="false">AD5913*$M5913</f>
        <v>0</v>
      </c>
      <c r="AF5913" s="28"/>
      <c r="AG5913" s="28" t="n">
        <f aca="false">AF5913*$M5913</f>
        <v>0</v>
      </c>
      <c r="AH5913" s="28"/>
      <c r="AI5913" s="28" t="n">
        <f aca="false">AH5913*$M5913</f>
        <v>0</v>
      </c>
      <c r="AJ5913" s="28"/>
      <c r="AK5913" s="28" t="n">
        <f aca="false">AJ5913*$M5913</f>
        <v>0</v>
      </c>
      <c r="AL5913" s="28"/>
      <c r="AM5913" s="28" t="n">
        <f aca="false">AL5913*$M5913</f>
        <v>0</v>
      </c>
      <c r="AN5913" s="28"/>
      <c r="AO5913" s="28" t="n">
        <f aca="false">AN5913*$M5913</f>
        <v>0</v>
      </c>
      <c r="AP5913" s="28"/>
      <c r="AQ5913" s="28" t="n">
        <f aca="false">AP5913*$M5913</f>
        <v>0</v>
      </c>
      <c r="AR5913" s="28"/>
      <c r="AS5913" s="28" t="n">
        <f aca="false">AR5913*$M5913</f>
        <v>0</v>
      </c>
      <c r="AT5913" s="28"/>
      <c r="AU5913" s="28" t="n">
        <f aca="false">AT5913*$M5913</f>
        <v>0</v>
      </c>
      <c r="AV5913" s="28"/>
      <c r="AW5913" s="28" t="n">
        <f aca="false">AV5913*$M5913</f>
        <v>0</v>
      </c>
      <c r="AX5913" s="28"/>
      <c r="AY5913" s="28" t="n">
        <f aca="false">AX5913*$M5913</f>
        <v>0</v>
      </c>
      <c r="AZ5913" s="30"/>
      <c r="BA5913" s="11"/>
      <c r="BB5913" s="31" t="n">
        <f aca="false">SUM(Q5913,S5913,U5913,W5913,Y5913,AA5913,AC5913,AE5913,AG5913,AI5913,AK5913,AM5913,AO5913,AQ5913,AS5913,AU5913,AW5913,AY5913)</f>
        <v>0</v>
      </c>
      <c r="BC5913" s="28" t="n">
        <f aca="false">BA5913-BB5913</f>
        <v>0</v>
      </c>
      <c r="BD5913" s="32" t="n">
        <f aca="false">SUM(P5913,R5913,T5913,V5913,X5913,Z5913,AB5913,AD5913,AF5913,AH5913,AJ5913,AL5913,AN5913,AP5913,AR5913,AT5913,AV5913,AX5913)</f>
        <v>0</v>
      </c>
      <c r="BE5913" s="33" t="n">
        <f aca="false">AZ5913-BD5913</f>
        <v>0</v>
      </c>
      <c r="BF5913" s="34" t="n">
        <f aca="false">BD5913*M5913</f>
        <v>0</v>
      </c>
      <c r="BG5913" s="35" t="n">
        <f aca="false">BA5913-BF5913</f>
        <v>0</v>
      </c>
      <c r="BH5913" s="19" t="str">
        <f aca="false">IF(BG5913=0,"",IF(BG5913&lt;&gt;BA5913,"erreur de calcul",IF(BD5913&lt;&gt;0,"pas de prix",IF(M5913&lt;&gt; 0,"pas de quantité","pas de prix, ni de quantité"))))</f>
        <v/>
      </c>
      <c r="BI5913" s="19"/>
    </row>
    <row r="5914" customFormat="false" ht="15" hidden="false" customHeight="false" outlineLevel="0" collapsed="false">
      <c r="A5914" s="0" t="n">
        <v>8</v>
      </c>
      <c r="B5914" s="8" t="s">
        <v>24</v>
      </c>
      <c r="C5914" s="9" t="s">
        <v>25</v>
      </c>
      <c r="D5914" s="9" t="s">
        <v>26</v>
      </c>
      <c r="E5914" s="10" t="n">
        <v>1789</v>
      </c>
      <c r="F5914" s="9" t="s">
        <v>27</v>
      </c>
      <c r="G5914" s="9" t="s">
        <v>27</v>
      </c>
      <c r="H5914" s="11" t="n">
        <v>26</v>
      </c>
      <c r="I5914" s="11" t="s">
        <v>380</v>
      </c>
      <c r="J5914" s="14" t="n">
        <v>30</v>
      </c>
      <c r="K5914" s="14"/>
      <c r="L5914" s="16"/>
      <c r="M5914" s="27" t="n">
        <f aca="false">J5914+(K5914/20)+(L5914/240)</f>
        <v>30</v>
      </c>
      <c r="N5914" s="17" t="s">
        <v>64</v>
      </c>
      <c r="O5914" s="11"/>
      <c r="P5914" s="28"/>
      <c r="Q5914" s="28" t="n">
        <f aca="false">P5914*$M5914</f>
        <v>0</v>
      </c>
      <c r="R5914" s="28"/>
      <c r="S5914" s="28" t="n">
        <f aca="false">R5914*$M5914</f>
        <v>0</v>
      </c>
      <c r="T5914" s="28"/>
      <c r="U5914" s="28" t="n">
        <f aca="false">T5914*$M5914</f>
        <v>0</v>
      </c>
      <c r="V5914" s="28"/>
      <c r="W5914" s="28" t="n">
        <f aca="false">V5914*$M5914</f>
        <v>0</v>
      </c>
      <c r="X5914" s="28"/>
      <c r="Y5914" s="28" t="n">
        <f aca="false">X5914*$M5914</f>
        <v>0</v>
      </c>
      <c r="Z5914" s="28"/>
      <c r="AA5914" s="28" t="n">
        <f aca="false">Z5914*$M5914</f>
        <v>0</v>
      </c>
      <c r="AB5914" s="28"/>
      <c r="AC5914" s="28" t="n">
        <f aca="false">AB5914*$M5914</f>
        <v>0</v>
      </c>
      <c r="AD5914" s="28"/>
      <c r="AE5914" s="28" t="n">
        <f aca="false">AD5914*$M5914</f>
        <v>0</v>
      </c>
      <c r="AF5914" s="28"/>
      <c r="AG5914" s="28" t="n">
        <f aca="false">AF5914*$M5914</f>
        <v>0</v>
      </c>
      <c r="AH5914" s="28"/>
      <c r="AI5914" s="28" t="n">
        <f aca="false">AH5914*$M5914</f>
        <v>0</v>
      </c>
      <c r="AJ5914" s="28"/>
      <c r="AK5914" s="28" t="n">
        <f aca="false">AJ5914*$M5914</f>
        <v>0</v>
      </c>
      <c r="AL5914" s="28"/>
      <c r="AM5914" s="28" t="n">
        <f aca="false">AL5914*$M5914</f>
        <v>0</v>
      </c>
      <c r="AN5914" s="28"/>
      <c r="AO5914" s="28" t="n">
        <f aca="false">AN5914*$M5914</f>
        <v>0</v>
      </c>
      <c r="AP5914" s="28"/>
      <c r="AQ5914" s="28" t="n">
        <f aca="false">AP5914*$M5914</f>
        <v>0</v>
      </c>
      <c r="AR5914" s="28"/>
      <c r="AS5914" s="28" t="n">
        <f aca="false">AR5914*$M5914</f>
        <v>0</v>
      </c>
      <c r="AT5914" s="28"/>
      <c r="AU5914" s="28" t="n">
        <f aca="false">AT5914*$M5914</f>
        <v>0</v>
      </c>
      <c r="AV5914" s="28" t="n">
        <f aca="false">5417/100</f>
        <v>54.17</v>
      </c>
      <c r="AW5914" s="28" t="n">
        <v>1625</v>
      </c>
      <c r="AX5914" s="28"/>
      <c r="AY5914" s="28" t="n">
        <f aca="false">AX5914*$M5914</f>
        <v>0</v>
      </c>
      <c r="AZ5914" s="30"/>
      <c r="BA5914" s="11" t="n">
        <v>1625</v>
      </c>
      <c r="BB5914" s="31" t="n">
        <f aca="false">SUM(Q5914,S5914,U5914,W5914,Y5914,AA5914,AC5914,AE5914,AG5914,AI5914,AK5914,AM5914,AO5914,AQ5914,AS5914,AU5914,AW5914,AY5914)</f>
        <v>1625</v>
      </c>
      <c r="BC5914" s="28" t="n">
        <f aca="false">BA5914-BB5914</f>
        <v>0</v>
      </c>
      <c r="BD5914" s="32" t="n">
        <f aca="false">SUM(P5914,R5914,T5914,V5914,X5914,Z5914,AB5914,AD5914,AF5914,AH5914,AJ5914,AL5914,AN5914,AP5914,AR5914,AT5914,AV5914,AX5914)</f>
        <v>54.17</v>
      </c>
      <c r="BE5914" s="33" t="n">
        <f aca="false">AZ5914-BD5914</f>
        <v>-54.17</v>
      </c>
      <c r="BF5914" s="34" t="n">
        <f aca="false">BD5914*M5914</f>
        <v>1625.1</v>
      </c>
      <c r="BG5914" s="35" t="n">
        <f aca="false">BA5914-BF5914</f>
        <v>-0.100000000000136</v>
      </c>
      <c r="BH5914" s="19" t="str">
        <f aca="false">IF(BG5914=0,"",IF(BG5914&lt;&gt;BA5914,"erreur de calcul",IF(BD5914&lt;&gt;0,"pas de prix",IF(M5914&lt;&gt; 0,"pas de quantité","pas de prix, ni de quantité"))))</f>
        <v>erreur de calcul</v>
      </c>
      <c r="BI5914" s="19"/>
    </row>
    <row r="5915" customFormat="false" ht="15" hidden="false" customHeight="false" outlineLevel="0" collapsed="false">
      <c r="A5915" s="0" t="n">
        <v>9</v>
      </c>
      <c r="B5915" s="8" t="s">
        <v>24</v>
      </c>
      <c r="C5915" s="9" t="s">
        <v>25</v>
      </c>
      <c r="D5915" s="9" t="s">
        <v>26</v>
      </c>
      <c r="E5915" s="10" t="n">
        <v>1789</v>
      </c>
      <c r="F5915" s="9" t="s">
        <v>27</v>
      </c>
      <c r="G5915" s="9" t="s">
        <v>27</v>
      </c>
      <c r="H5915" s="11" t="n">
        <v>26</v>
      </c>
      <c r="I5915" s="11" t="s">
        <v>381</v>
      </c>
      <c r="J5915" s="14" t="n">
        <v>6</v>
      </c>
      <c r="K5915" s="14"/>
      <c r="L5915" s="16"/>
      <c r="M5915" s="27" t="n">
        <f aca="false">J5915+(K5915/20)+(L5915/240)</f>
        <v>6</v>
      </c>
      <c r="N5915" s="17" t="s">
        <v>379</v>
      </c>
      <c r="O5915" s="11" t="s">
        <v>98</v>
      </c>
      <c r="P5915" s="28"/>
      <c r="Q5915" s="28" t="n">
        <f aca="false">P5915*$M5915</f>
        <v>0</v>
      </c>
      <c r="R5915" s="28"/>
      <c r="S5915" s="28" t="n">
        <f aca="false">R5915*$M5915</f>
        <v>0</v>
      </c>
      <c r="T5915" s="28"/>
      <c r="U5915" s="28" t="n">
        <f aca="false">T5915*$M5915</f>
        <v>0</v>
      </c>
      <c r="V5915" s="28"/>
      <c r="W5915" s="28" t="n">
        <f aca="false">V5915*$M5915</f>
        <v>0</v>
      </c>
      <c r="X5915" s="28"/>
      <c r="Y5915" s="28" t="n">
        <f aca="false">X5915*$M5915</f>
        <v>0</v>
      </c>
      <c r="Z5915" s="28"/>
      <c r="AA5915" s="28" t="n">
        <f aca="false">Z5915*$M5915</f>
        <v>0</v>
      </c>
      <c r="AB5915" s="28"/>
      <c r="AC5915" s="28" t="n">
        <f aca="false">AB5915*$M5915</f>
        <v>0</v>
      </c>
      <c r="AD5915" s="28"/>
      <c r="AE5915" s="28" t="n">
        <f aca="false">AD5915*$M5915</f>
        <v>0</v>
      </c>
      <c r="AF5915" s="28"/>
      <c r="AG5915" s="28" t="n">
        <f aca="false">AF5915*$M5915</f>
        <v>0</v>
      </c>
      <c r="AH5915" s="28"/>
      <c r="AI5915" s="28" t="n">
        <f aca="false">AH5915*$M5915</f>
        <v>0</v>
      </c>
      <c r="AJ5915" s="28"/>
      <c r="AK5915" s="28" t="n">
        <f aca="false">AJ5915*$M5915</f>
        <v>0</v>
      </c>
      <c r="AL5915" s="28"/>
      <c r="AM5915" s="28" t="n">
        <f aca="false">AL5915*$M5915</f>
        <v>0</v>
      </c>
      <c r="AN5915" s="28"/>
      <c r="AO5915" s="28" t="n">
        <f aca="false">AN5915*$M5915</f>
        <v>0</v>
      </c>
      <c r="AP5915" s="28"/>
      <c r="AQ5915" s="28" t="n">
        <f aca="false">AP5915*$M5915</f>
        <v>0</v>
      </c>
      <c r="AR5915" s="28"/>
      <c r="AS5915" s="28" t="n">
        <f aca="false">AR5915*$M5915</f>
        <v>0</v>
      </c>
      <c r="AT5915" s="28"/>
      <c r="AU5915" s="28" t="n">
        <f aca="false">AT5915*$M5915</f>
        <v>0</v>
      </c>
      <c r="AV5915" s="28"/>
      <c r="AW5915" s="28" t="n">
        <f aca="false">AV5915*$M5915</f>
        <v>0</v>
      </c>
      <c r="AX5915" s="28"/>
      <c r="AY5915" s="28" t="n">
        <f aca="false">AX5915*$M5915</f>
        <v>0</v>
      </c>
      <c r="AZ5915" s="30"/>
      <c r="BA5915" s="11"/>
      <c r="BB5915" s="31" t="n">
        <f aca="false">SUM(Q5915,S5915,U5915,W5915,Y5915,AA5915,AC5915,AE5915,AG5915,AI5915,AK5915,AM5915,AO5915,AQ5915,AS5915,AU5915,AW5915,AY5915)</f>
        <v>0</v>
      </c>
      <c r="BC5915" s="28" t="n">
        <f aca="false">BA5915-BB5915</f>
        <v>0</v>
      </c>
      <c r="BD5915" s="32" t="n">
        <f aca="false">SUM(P5915,R5915,T5915,V5915,X5915,Z5915,AB5915,AD5915,AF5915,AH5915,AJ5915,AL5915,AN5915,AP5915,AR5915,AT5915,AV5915,AX5915)</f>
        <v>0</v>
      </c>
      <c r="BE5915" s="33" t="n">
        <f aca="false">AZ5915-BD5915</f>
        <v>0</v>
      </c>
      <c r="BF5915" s="34" t="n">
        <f aca="false">BD5915*M5915</f>
        <v>0</v>
      </c>
      <c r="BG5915" s="35" t="n">
        <f aca="false">BA5915-BF5915</f>
        <v>0</v>
      </c>
      <c r="BH5915" s="19" t="str">
        <f aca="false">IF(BG5915=0,"",IF(BG5915&lt;&gt;BA5915,"erreur de calcul",IF(BD5915&lt;&gt;0,"pas de prix",IF(M5915&lt;&gt; 0,"pas de quantité","pas de prix, ni de quantité"))))</f>
        <v/>
      </c>
      <c r="BI5915" s="19"/>
    </row>
    <row r="5916" customFormat="false" ht="15" hidden="false" customHeight="false" outlineLevel="0" collapsed="false">
      <c r="A5916" s="0" t="n">
        <v>10</v>
      </c>
      <c r="B5916" s="8" t="s">
        <v>24</v>
      </c>
      <c r="C5916" s="9" t="s">
        <v>25</v>
      </c>
      <c r="D5916" s="9" t="s">
        <v>26</v>
      </c>
      <c r="E5916" s="10" t="n">
        <v>1789</v>
      </c>
      <c r="F5916" s="9" t="s">
        <v>27</v>
      </c>
      <c r="G5916" s="9" t="s">
        <v>27</v>
      </c>
      <c r="H5916" s="11" t="n">
        <v>26</v>
      </c>
      <c r="I5916" s="11" t="s">
        <v>381</v>
      </c>
      <c r="J5916" s="14" t="n">
        <v>40</v>
      </c>
      <c r="K5916" s="14"/>
      <c r="L5916" s="16"/>
      <c r="M5916" s="27" t="n">
        <f aca="false">J5916+(K5916/20)+(L5916/240)</f>
        <v>40</v>
      </c>
      <c r="N5916" s="17" t="s">
        <v>382</v>
      </c>
      <c r="O5916" s="11" t="s">
        <v>98</v>
      </c>
      <c r="P5916" s="28"/>
      <c r="Q5916" s="28" t="n">
        <f aca="false">P5916*$M5916</f>
        <v>0</v>
      </c>
      <c r="R5916" s="28"/>
      <c r="S5916" s="28" t="n">
        <f aca="false">R5916*$M5916</f>
        <v>0</v>
      </c>
      <c r="T5916" s="28"/>
      <c r="U5916" s="28" t="n">
        <f aca="false">T5916*$M5916</f>
        <v>0</v>
      </c>
      <c r="V5916" s="28"/>
      <c r="W5916" s="28" t="n">
        <f aca="false">V5916*$M5916</f>
        <v>0</v>
      </c>
      <c r="X5916" s="28"/>
      <c r="Y5916" s="28" t="n">
        <f aca="false">X5916*$M5916</f>
        <v>0</v>
      </c>
      <c r="Z5916" s="28"/>
      <c r="AA5916" s="28" t="n">
        <f aca="false">Z5916*$M5916</f>
        <v>0</v>
      </c>
      <c r="AB5916" s="28"/>
      <c r="AC5916" s="28" t="n">
        <f aca="false">AB5916*$M5916</f>
        <v>0</v>
      </c>
      <c r="AD5916" s="28"/>
      <c r="AE5916" s="28" t="n">
        <f aca="false">AD5916*$M5916</f>
        <v>0</v>
      </c>
      <c r="AF5916" s="28"/>
      <c r="AG5916" s="28" t="n">
        <f aca="false">AF5916*$M5916</f>
        <v>0</v>
      </c>
      <c r="AH5916" s="28"/>
      <c r="AI5916" s="28" t="n">
        <f aca="false">AH5916*$M5916</f>
        <v>0</v>
      </c>
      <c r="AJ5916" s="28"/>
      <c r="AK5916" s="28" t="n">
        <f aca="false">AJ5916*$M5916</f>
        <v>0</v>
      </c>
      <c r="AL5916" s="28"/>
      <c r="AM5916" s="28" t="n">
        <f aca="false">AL5916*$M5916</f>
        <v>0</v>
      </c>
      <c r="AN5916" s="28"/>
      <c r="AO5916" s="28" t="n">
        <f aca="false">AN5916*$M5916</f>
        <v>0</v>
      </c>
      <c r="AP5916" s="28"/>
      <c r="AQ5916" s="28" t="n">
        <f aca="false">AP5916*$M5916</f>
        <v>0</v>
      </c>
      <c r="AR5916" s="28"/>
      <c r="AS5916" s="28" t="n">
        <f aca="false">AR5916*$M5916</f>
        <v>0</v>
      </c>
      <c r="AT5916" s="28"/>
      <c r="AU5916" s="28" t="n">
        <f aca="false">AT5916*$M5916</f>
        <v>0</v>
      </c>
      <c r="AV5916" s="28"/>
      <c r="AW5916" s="28" t="n">
        <f aca="false">AV5916*$M5916</f>
        <v>0</v>
      </c>
      <c r="AX5916" s="28"/>
      <c r="AY5916" s="28" t="n">
        <f aca="false">AX5916*$M5916</f>
        <v>0</v>
      </c>
      <c r="AZ5916" s="30"/>
      <c r="BA5916" s="11"/>
      <c r="BB5916" s="31" t="n">
        <f aca="false">SUM(Q5916,S5916,U5916,W5916,Y5916,AA5916,AC5916,AE5916,AG5916,AI5916,AK5916,AM5916,AO5916,AQ5916,AS5916,AU5916,AW5916,AY5916)</f>
        <v>0</v>
      </c>
      <c r="BC5916" s="28" t="n">
        <f aca="false">BA5916-BB5916</f>
        <v>0</v>
      </c>
      <c r="BD5916" s="32" t="n">
        <f aca="false">SUM(P5916,R5916,T5916,V5916,X5916,Z5916,AB5916,AD5916,AF5916,AH5916,AJ5916,AL5916,AN5916,AP5916,AR5916,AT5916,AV5916,AX5916)</f>
        <v>0</v>
      </c>
      <c r="BE5916" s="33" t="n">
        <f aca="false">AZ5916-BD5916</f>
        <v>0</v>
      </c>
      <c r="BF5916" s="34" t="n">
        <f aca="false">BD5916*M5916</f>
        <v>0</v>
      </c>
      <c r="BG5916" s="35" t="n">
        <f aca="false">BA5916-BF5916</f>
        <v>0</v>
      </c>
      <c r="BH5916" s="19" t="str">
        <f aca="false">IF(BG5916=0,"",IF(BG5916&lt;&gt;BA5916,"erreur de calcul",IF(BD5916&lt;&gt;0,"pas de prix",IF(M5916&lt;&gt; 0,"pas de quantité","pas de prix, ni de quantité"))))</f>
        <v/>
      </c>
      <c r="BI5916" s="19"/>
    </row>
    <row r="5917" customFormat="false" ht="15" hidden="false" customHeight="false" outlineLevel="0" collapsed="false">
      <c r="A5917" s="0" t="n">
        <v>11</v>
      </c>
      <c r="B5917" s="8" t="s">
        <v>24</v>
      </c>
      <c r="C5917" s="9" t="s">
        <v>25</v>
      </c>
      <c r="D5917" s="9" t="s">
        <v>26</v>
      </c>
      <c r="E5917" s="10" t="n">
        <v>1789</v>
      </c>
      <c r="F5917" s="9" t="s">
        <v>27</v>
      </c>
      <c r="G5917" s="9" t="s">
        <v>27</v>
      </c>
      <c r="H5917" s="11" t="n">
        <v>26</v>
      </c>
      <c r="I5917" s="11" t="s">
        <v>383</v>
      </c>
      <c r="J5917" s="14" t="n">
        <v>50</v>
      </c>
      <c r="K5917" s="14"/>
      <c r="L5917" s="16"/>
      <c r="M5917" s="27" t="n">
        <f aca="false">J5917+(K5917/20)+(L5917/240)</f>
        <v>50</v>
      </c>
      <c r="N5917" s="17" t="s">
        <v>64</v>
      </c>
      <c r="O5917" s="11"/>
      <c r="P5917" s="28" t="n">
        <f aca="false">54967/100</f>
        <v>549.67</v>
      </c>
      <c r="Q5917" s="28" t="n">
        <v>27483</v>
      </c>
      <c r="R5917" s="28"/>
      <c r="S5917" s="28" t="n">
        <f aca="false">R5917*$M5917</f>
        <v>0</v>
      </c>
      <c r="T5917" s="28" t="n">
        <f aca="false">74693/100</f>
        <v>746.93</v>
      </c>
      <c r="U5917" s="28" t="n">
        <v>37346</v>
      </c>
      <c r="V5917" s="28" t="n">
        <f aca="false">161729/100</f>
        <v>1617.29</v>
      </c>
      <c r="W5917" s="28" t="n">
        <v>80864</v>
      </c>
      <c r="X5917" s="28" t="n">
        <f aca="false">106689/100</f>
        <v>1066.89</v>
      </c>
      <c r="Y5917" s="28" t="n">
        <v>53344</v>
      </c>
      <c r="Z5917" s="28"/>
      <c r="AA5917" s="28" t="n">
        <f aca="false">Z5917*$M5917</f>
        <v>0</v>
      </c>
      <c r="AB5917" s="28"/>
      <c r="AC5917" s="28" t="n">
        <f aca="false">AB5917*$M5917</f>
        <v>0</v>
      </c>
      <c r="AD5917" s="28"/>
      <c r="AE5917" s="28" t="n">
        <f aca="false">AD5917*$M5917</f>
        <v>0</v>
      </c>
      <c r="AF5917" s="28"/>
      <c r="AG5917" s="28" t="n">
        <f aca="false">AF5917*$M5917</f>
        <v>0</v>
      </c>
      <c r="AH5917" s="28"/>
      <c r="AI5917" s="28" t="n">
        <f aca="false">AH5917*$M5917</f>
        <v>0</v>
      </c>
      <c r="AJ5917" s="28"/>
      <c r="AK5917" s="28" t="n">
        <f aca="false">AJ5917*$M5917</f>
        <v>0</v>
      </c>
      <c r="AL5917" s="28"/>
      <c r="AM5917" s="28" t="n">
        <f aca="false">AL5917*$M5917</f>
        <v>0</v>
      </c>
      <c r="AN5917" s="28"/>
      <c r="AO5917" s="28" t="n">
        <f aca="false">AN5917*$M5917</f>
        <v>0</v>
      </c>
      <c r="AP5917" s="28"/>
      <c r="AQ5917" s="28" t="n">
        <f aca="false">AP5917*$M5917</f>
        <v>0</v>
      </c>
      <c r="AR5917" s="28"/>
      <c r="AS5917" s="28" t="n">
        <f aca="false">AR5917*$M5917</f>
        <v>0</v>
      </c>
      <c r="AT5917" s="28"/>
      <c r="AU5917" s="28" t="n">
        <f aca="false">AT5917*$M5917</f>
        <v>0</v>
      </c>
      <c r="AV5917" s="28"/>
      <c r="AW5917" s="28" t="n">
        <f aca="false">AV5917*$M5917</f>
        <v>0</v>
      </c>
      <c r="AX5917" s="28"/>
      <c r="AY5917" s="28" t="n">
        <f aca="false">AX5917*$M5917</f>
        <v>0</v>
      </c>
      <c r="AZ5917" s="30" t="n">
        <f aca="false">398078/100</f>
        <v>3980.78</v>
      </c>
      <c r="BA5917" s="11" t="n">
        <v>199037</v>
      </c>
      <c r="BB5917" s="31" t="n">
        <f aca="false">SUM(Q5917,S5917,U5917,W5917,Y5917,AA5917,AC5917,AE5917,AG5917,AI5917,AK5917,AM5917,AO5917,AQ5917,AS5917,AU5917,AW5917,AY5917)</f>
        <v>199037</v>
      </c>
      <c r="BC5917" s="28" t="n">
        <f aca="false">BA5917-BB5917</f>
        <v>0</v>
      </c>
      <c r="BD5917" s="32" t="n">
        <f aca="false">SUM(P5917,R5917,T5917,V5917,X5917,Z5917,AB5917,AD5917,AF5917,AH5917,AJ5917,AL5917,AN5917,AP5917,AR5917,AT5917,AV5917,AX5917)</f>
        <v>3980.78</v>
      </c>
      <c r="BE5917" s="33" t="n">
        <f aca="false">AZ5917-BD5917</f>
        <v>0</v>
      </c>
      <c r="BF5917" s="34" t="n">
        <f aca="false">BD5917*M5917</f>
        <v>199039</v>
      </c>
      <c r="BG5917" s="35" t="n">
        <f aca="false">BA5917-BF5917</f>
        <v>-2</v>
      </c>
      <c r="BH5917" s="19" t="str">
        <f aca="false">IF(BG5917=0,"",IF(BG5917&lt;&gt;BA5917,"erreur de calcul",IF(BD5917&lt;&gt;0,"pas de prix",IF(M5917&lt;&gt; 0,"pas de quantité","pas de prix, ni de quantité"))))</f>
        <v>erreur de calcul</v>
      </c>
      <c r="BI5917" s="19"/>
    </row>
    <row r="5918" customFormat="false" ht="15" hidden="false" customHeight="false" outlineLevel="0" collapsed="false">
      <c r="A5918" s="0" t="n">
        <v>12</v>
      </c>
      <c r="B5918" s="8" t="s">
        <v>24</v>
      </c>
      <c r="C5918" s="9" t="s">
        <v>25</v>
      </c>
      <c r="D5918" s="9" t="s">
        <v>26</v>
      </c>
      <c r="E5918" s="10" t="n">
        <v>1789</v>
      </c>
      <c r="F5918" s="9" t="s">
        <v>27</v>
      </c>
      <c r="G5918" s="9" t="s">
        <v>27</v>
      </c>
      <c r="H5918" s="11" t="n">
        <v>26</v>
      </c>
      <c r="I5918" s="11" t="s">
        <v>384</v>
      </c>
      <c r="J5918" s="14" t="n">
        <v>27</v>
      </c>
      <c r="K5918" s="14"/>
      <c r="L5918" s="16"/>
      <c r="M5918" s="27" t="n">
        <f aca="false">J5918+(K5918/20)+(L5918/240)</f>
        <v>27</v>
      </c>
      <c r="N5918" s="17" t="s">
        <v>64</v>
      </c>
      <c r="O5918" s="11"/>
      <c r="P5918" s="28"/>
      <c r="Q5918" s="28" t="n">
        <f aca="false">P5918*$M5918</f>
        <v>0</v>
      </c>
      <c r="R5918" s="28"/>
      <c r="S5918" s="28" t="n">
        <f aca="false">R5918*$M5918</f>
        <v>0</v>
      </c>
      <c r="T5918" s="28"/>
      <c r="U5918" s="28" t="n">
        <f aca="false">T5918*$M5918</f>
        <v>0</v>
      </c>
      <c r="V5918" s="28"/>
      <c r="W5918" s="28" t="n">
        <f aca="false">V5918*$M5918</f>
        <v>0</v>
      </c>
      <c r="X5918" s="28" t="n">
        <f aca="false">13334/100</f>
        <v>133.34</v>
      </c>
      <c r="Y5918" s="28" t="n">
        <v>3600</v>
      </c>
      <c r="Z5918" s="28"/>
      <c r="AA5918" s="28" t="n">
        <f aca="false">Z5918*$M5918</f>
        <v>0</v>
      </c>
      <c r="AB5918" s="28"/>
      <c r="AC5918" s="28" t="n">
        <f aca="false">AB5918*$M5918</f>
        <v>0</v>
      </c>
      <c r="AD5918" s="28"/>
      <c r="AE5918" s="28" t="n">
        <f aca="false">AD5918*$M5918</f>
        <v>0</v>
      </c>
      <c r="AF5918" s="28"/>
      <c r="AG5918" s="28" t="n">
        <f aca="false">AF5918*$M5918</f>
        <v>0</v>
      </c>
      <c r="AH5918" s="28"/>
      <c r="AI5918" s="28" t="n">
        <f aca="false">AH5918*$M5918</f>
        <v>0</v>
      </c>
      <c r="AJ5918" s="28"/>
      <c r="AK5918" s="28" t="n">
        <f aca="false">AJ5918*$M5918</f>
        <v>0</v>
      </c>
      <c r="AL5918" s="28"/>
      <c r="AM5918" s="28" t="n">
        <f aca="false">AL5918*$M5918</f>
        <v>0</v>
      </c>
      <c r="AN5918" s="28"/>
      <c r="AO5918" s="28" t="n">
        <f aca="false">AN5918*$M5918</f>
        <v>0</v>
      </c>
      <c r="AP5918" s="28"/>
      <c r="AQ5918" s="28" t="n">
        <f aca="false">AP5918*$M5918</f>
        <v>0</v>
      </c>
      <c r="AR5918" s="28"/>
      <c r="AS5918" s="28" t="n">
        <f aca="false">AR5918*$M5918</f>
        <v>0</v>
      </c>
      <c r="AT5918" s="28"/>
      <c r="AU5918" s="28" t="n">
        <f aca="false">AT5918*$M5918</f>
        <v>0</v>
      </c>
      <c r="AV5918" s="28"/>
      <c r="AW5918" s="28" t="n">
        <f aca="false">AV5918*$M5918</f>
        <v>0</v>
      </c>
      <c r="AX5918" s="28"/>
      <c r="AY5918" s="28" t="n">
        <f aca="false">AX5918*$M5918</f>
        <v>0</v>
      </c>
      <c r="AZ5918" s="30" t="n">
        <f aca="false">13334/100</f>
        <v>133.34</v>
      </c>
      <c r="BA5918" s="11" t="n">
        <v>3600</v>
      </c>
      <c r="BB5918" s="31" t="n">
        <f aca="false">SUM(Q5918,S5918,U5918,W5918,Y5918,AA5918,AC5918,AE5918,AG5918,AI5918,AK5918,AM5918,AO5918,AQ5918,AS5918,AU5918,AW5918,AY5918)</f>
        <v>3600</v>
      </c>
      <c r="BC5918" s="28" t="n">
        <f aca="false">BA5918-BB5918</f>
        <v>0</v>
      </c>
      <c r="BD5918" s="32" t="n">
        <f aca="false">SUM(P5918,R5918,T5918,V5918,X5918,Z5918,AB5918,AD5918,AF5918,AH5918,AJ5918,AL5918,AN5918,AP5918,AR5918,AT5918,AV5918,AX5918)</f>
        <v>133.34</v>
      </c>
      <c r="BE5918" s="33" t="n">
        <f aca="false">AZ5918-BD5918</f>
        <v>0</v>
      </c>
      <c r="BF5918" s="34" t="n">
        <f aca="false">BD5918*M5918</f>
        <v>3600.18</v>
      </c>
      <c r="BG5918" s="35" t="n">
        <f aca="false">BA5918-BF5918</f>
        <v>-0.180000000000291</v>
      </c>
      <c r="BH5918" s="19" t="str">
        <f aca="false">IF(BG5918=0,"",IF(BG5918&lt;&gt;BA5918,"erreur de calcul",IF(BD5918&lt;&gt;0,"pas de prix",IF(M5918&lt;&gt; 0,"pas de quantité","pas de prix, ni de quantité"))))</f>
        <v>erreur de calcul</v>
      </c>
      <c r="BI5918" s="19"/>
    </row>
    <row r="5919" customFormat="false" ht="15" hidden="false" customHeight="false" outlineLevel="0" collapsed="false">
      <c r="A5919" s="0" t="n">
        <v>13</v>
      </c>
      <c r="B5919" s="8" t="s">
        <v>24</v>
      </c>
      <c r="C5919" s="9" t="s">
        <v>25</v>
      </c>
      <c r="D5919" s="9" t="s">
        <v>26</v>
      </c>
      <c r="E5919" s="10" t="n">
        <v>1789</v>
      </c>
      <c r="F5919" s="9" t="s">
        <v>27</v>
      </c>
      <c r="G5919" s="9" t="s">
        <v>27</v>
      </c>
      <c r="H5919" s="11" t="n">
        <v>26</v>
      </c>
      <c r="I5919" s="11" t="s">
        <v>385</v>
      </c>
      <c r="J5919" s="14" t="n">
        <v>40</v>
      </c>
      <c r="K5919" s="14"/>
      <c r="L5919" s="16"/>
      <c r="M5919" s="27" t="n">
        <f aca="false">J5919+(K5919/20)+(L5919/240)</f>
        <v>40</v>
      </c>
      <c r="N5919" s="17" t="s">
        <v>64</v>
      </c>
      <c r="O5919" s="11"/>
      <c r="P5919" s="28"/>
      <c r="Q5919" s="28" t="n">
        <f aca="false">P5919*$M5919</f>
        <v>0</v>
      </c>
      <c r="R5919" s="28"/>
      <c r="S5919" s="28" t="n">
        <f aca="false">R5919*$M5919</f>
        <v>0</v>
      </c>
      <c r="T5919" s="28" t="n">
        <f aca="false">13801/100</f>
        <v>138.01</v>
      </c>
      <c r="U5919" s="28" t="n">
        <v>5520</v>
      </c>
      <c r="V5919" s="28"/>
      <c r="W5919" s="28" t="n">
        <f aca="false">V5919*$M5919</f>
        <v>0</v>
      </c>
      <c r="X5919" s="28"/>
      <c r="Y5919" s="28" t="n">
        <f aca="false">X5919*$M5919</f>
        <v>0</v>
      </c>
      <c r="Z5919" s="28"/>
      <c r="AA5919" s="28" t="n">
        <f aca="false">Z5919*$M5919</f>
        <v>0</v>
      </c>
      <c r="AB5919" s="28"/>
      <c r="AC5919" s="28" t="n">
        <f aca="false">AB5919*$M5919</f>
        <v>0</v>
      </c>
      <c r="AD5919" s="28"/>
      <c r="AE5919" s="28" t="n">
        <f aca="false">AD5919*$M5919</f>
        <v>0</v>
      </c>
      <c r="AF5919" s="28"/>
      <c r="AG5919" s="28" t="n">
        <f aca="false">AF5919*$M5919</f>
        <v>0</v>
      </c>
      <c r="AH5919" s="28"/>
      <c r="AI5919" s="28" t="n">
        <f aca="false">AH5919*$M5919</f>
        <v>0</v>
      </c>
      <c r="AJ5919" s="28"/>
      <c r="AK5919" s="28" t="n">
        <f aca="false">AJ5919*$M5919</f>
        <v>0</v>
      </c>
      <c r="AL5919" s="28"/>
      <c r="AM5919" s="28" t="n">
        <f aca="false">AL5919*$M5919</f>
        <v>0</v>
      </c>
      <c r="AN5919" s="28"/>
      <c r="AO5919" s="28" t="n">
        <f aca="false">AN5919*$M5919</f>
        <v>0</v>
      </c>
      <c r="AP5919" s="28"/>
      <c r="AQ5919" s="28" t="n">
        <f aca="false">AP5919*$M5919</f>
        <v>0</v>
      </c>
      <c r="AR5919" s="28"/>
      <c r="AS5919" s="28" t="n">
        <f aca="false">AR5919*$M5919</f>
        <v>0</v>
      </c>
      <c r="AT5919" s="28"/>
      <c r="AU5919" s="28" t="n">
        <f aca="false">AT5919*$M5919</f>
        <v>0</v>
      </c>
      <c r="AV5919" s="28"/>
      <c r="AW5919" s="28" t="n">
        <f aca="false">AV5919*$M5919</f>
        <v>0</v>
      </c>
      <c r="AX5919" s="28"/>
      <c r="AY5919" s="28" t="n">
        <f aca="false">AX5919*$M5919</f>
        <v>0</v>
      </c>
      <c r="AZ5919" s="30" t="n">
        <f aca="false">13801/100</f>
        <v>138.01</v>
      </c>
      <c r="BA5919" s="11" t="n">
        <v>5520</v>
      </c>
      <c r="BB5919" s="31" t="n">
        <f aca="false">SUM(Q5919,S5919,U5919,W5919,Y5919,AA5919,AC5919,AE5919,AG5919,AI5919,AK5919,AM5919,AO5919,AQ5919,AS5919,AU5919,AW5919,AY5919)</f>
        <v>5520</v>
      </c>
      <c r="BC5919" s="28" t="n">
        <f aca="false">BA5919-BB5919</f>
        <v>0</v>
      </c>
      <c r="BD5919" s="32" t="n">
        <f aca="false">SUM(P5919,R5919,T5919,V5919,X5919,Z5919,AB5919,AD5919,AF5919,AH5919,AJ5919,AL5919,AN5919,AP5919,AR5919,AT5919,AV5919,AX5919)</f>
        <v>138.01</v>
      </c>
      <c r="BE5919" s="33" t="n">
        <f aca="false">AZ5919-BD5919</f>
        <v>0</v>
      </c>
      <c r="BF5919" s="34" t="n">
        <f aca="false">BD5919*M5919</f>
        <v>5520.4</v>
      </c>
      <c r="BG5919" s="35" t="n">
        <f aca="false">BA5919-BF5919</f>
        <v>-0.399999999999636</v>
      </c>
      <c r="BH5919" s="19" t="str">
        <f aca="false">IF(BG5919=0,"",IF(BG5919&lt;&gt;BA5919,"erreur de calcul",IF(BD5919&lt;&gt;0,"pas de prix",IF(M5919&lt;&gt; 0,"pas de quantité","pas de prix, ni de quantité"))))</f>
        <v>erreur de calcul</v>
      </c>
      <c r="BI5919" s="19"/>
    </row>
    <row r="5920" customFormat="false" ht="15" hidden="false" customHeight="false" outlineLevel="0" collapsed="false">
      <c r="A5920" s="0" t="n">
        <v>14</v>
      </c>
      <c r="B5920" s="8" t="s">
        <v>24</v>
      </c>
      <c r="C5920" s="9" t="s">
        <v>25</v>
      </c>
      <c r="D5920" s="9" t="s">
        <v>26</v>
      </c>
      <c r="E5920" s="10" t="n">
        <v>1789</v>
      </c>
      <c r="F5920" s="9" t="s">
        <v>27</v>
      </c>
      <c r="G5920" s="9" t="s">
        <v>27</v>
      </c>
      <c r="H5920" s="11" t="n">
        <v>26</v>
      </c>
      <c r="I5920" s="11" t="s">
        <v>386</v>
      </c>
      <c r="J5920" s="14" t="n">
        <v>10</v>
      </c>
      <c r="K5920" s="14"/>
      <c r="L5920" s="16"/>
      <c r="M5920" s="27" t="n">
        <f aca="false">J5920+(K5920/20)+(L5920/240)</f>
        <v>10</v>
      </c>
      <c r="N5920" s="17" t="s">
        <v>387</v>
      </c>
      <c r="O5920" s="11" t="s">
        <v>77</v>
      </c>
      <c r="P5920" s="28" t="n">
        <v>30740</v>
      </c>
      <c r="Q5920" s="28" t="n">
        <v>307400</v>
      </c>
      <c r="R5920" s="28"/>
      <c r="S5920" s="28" t="n">
        <f aca="false">R5920*$M5920</f>
        <v>0</v>
      </c>
      <c r="T5920" s="28" t="n">
        <v>1357</v>
      </c>
      <c r="U5920" s="28" t="n">
        <v>13570</v>
      </c>
      <c r="V5920" s="28" t="n">
        <v>115</v>
      </c>
      <c r="W5920" s="28" t="n">
        <v>1150</v>
      </c>
      <c r="X5920" s="28"/>
      <c r="Y5920" s="28" t="n">
        <f aca="false">X5920*$M5920</f>
        <v>0</v>
      </c>
      <c r="Z5920" s="28"/>
      <c r="AA5920" s="28" t="n">
        <f aca="false">Z5920*$M5920</f>
        <v>0</v>
      </c>
      <c r="AB5920" s="28"/>
      <c r="AC5920" s="28" t="n">
        <f aca="false">AB5920*$M5920</f>
        <v>0</v>
      </c>
      <c r="AD5920" s="28"/>
      <c r="AE5920" s="28" t="n">
        <f aca="false">AD5920*$M5920</f>
        <v>0</v>
      </c>
      <c r="AF5920" s="28"/>
      <c r="AG5920" s="28" t="n">
        <f aca="false">AF5920*$M5920</f>
        <v>0</v>
      </c>
      <c r="AH5920" s="28"/>
      <c r="AI5920" s="28" t="n">
        <f aca="false">AH5920*$M5920</f>
        <v>0</v>
      </c>
      <c r="AJ5920" s="28"/>
      <c r="AK5920" s="28" t="n">
        <f aca="false">AJ5920*$M5920</f>
        <v>0</v>
      </c>
      <c r="AL5920" s="28"/>
      <c r="AM5920" s="28" t="n">
        <f aca="false">AL5920*$M5920</f>
        <v>0</v>
      </c>
      <c r="AN5920" s="28"/>
      <c r="AO5920" s="28" t="n">
        <f aca="false">AN5920*$M5920</f>
        <v>0</v>
      </c>
      <c r="AP5920" s="28"/>
      <c r="AQ5920" s="28" t="n">
        <f aca="false">AP5920*$M5920</f>
        <v>0</v>
      </c>
      <c r="AR5920" s="28"/>
      <c r="AS5920" s="28" t="n">
        <f aca="false">AR5920*$M5920</f>
        <v>0</v>
      </c>
      <c r="AT5920" s="28"/>
      <c r="AU5920" s="28" t="n">
        <f aca="false">AT5920*$M5920</f>
        <v>0</v>
      </c>
      <c r="AV5920" s="28"/>
      <c r="AW5920" s="28" t="n">
        <f aca="false">AV5920*$M5920</f>
        <v>0</v>
      </c>
      <c r="AX5920" s="28"/>
      <c r="AY5920" s="28" t="n">
        <f aca="false">AX5920*$M5920</f>
        <v>0</v>
      </c>
      <c r="AZ5920" s="30" t="n">
        <f aca="false">32212/100</f>
        <v>322.12</v>
      </c>
      <c r="BA5920" s="11" t="n">
        <v>322120</v>
      </c>
      <c r="BB5920" s="31" t="n">
        <f aca="false">SUM(Q5920,S5920,U5920,W5920,Y5920,AA5920,AC5920,AE5920,AG5920,AI5920,AK5920,AM5920,AO5920,AQ5920,AS5920,AU5920,AW5920,AY5920)</f>
        <v>322120</v>
      </c>
      <c r="BC5920" s="28" t="n">
        <f aca="false">BA5920-BB5920</f>
        <v>0</v>
      </c>
      <c r="BD5920" s="32" t="n">
        <f aca="false">SUM(P5920,R5920,T5920,V5920,X5920,Z5920,AB5920,AD5920,AF5920,AH5920,AJ5920,AL5920,AN5920,AP5920,AR5920,AT5920,AV5920,AX5920)</f>
        <v>32212</v>
      </c>
      <c r="BE5920" s="33" t="n">
        <f aca="false">AZ5920-BD5920</f>
        <v>-31889.88</v>
      </c>
      <c r="BF5920" s="34" t="n">
        <f aca="false">BD5920*M5920</f>
        <v>322120</v>
      </c>
      <c r="BG5920" s="35" t="n">
        <f aca="false">BA5920-BF5920</f>
        <v>0</v>
      </c>
      <c r="BH5920" s="19" t="str">
        <f aca="false">IF(BG5920=0,"",IF(BG5920&lt;&gt;BA5920,"erreur de calcul",IF(BD5920&lt;&gt;0,"pas de prix",IF(M5920&lt;&gt; 0,"pas de quantité","pas de prix, ni de quantité"))))</f>
        <v/>
      </c>
      <c r="BI5920" s="19"/>
    </row>
    <row r="5921" customFormat="false" ht="15" hidden="false" customHeight="false" outlineLevel="0" collapsed="false">
      <c r="A5921" s="0" t="n">
        <v>15</v>
      </c>
      <c r="B5921" s="8" t="s">
        <v>24</v>
      </c>
      <c r="C5921" s="9" t="s">
        <v>25</v>
      </c>
      <c r="D5921" s="9" t="s">
        <v>26</v>
      </c>
      <c r="E5921" s="10" t="n">
        <v>1789</v>
      </c>
      <c r="F5921" s="9" t="s">
        <v>27</v>
      </c>
      <c r="G5921" s="9" t="s">
        <v>27</v>
      </c>
      <c r="H5921" s="11" t="n">
        <v>26</v>
      </c>
      <c r="I5921" s="11" t="s">
        <v>385</v>
      </c>
      <c r="J5921" s="14" t="n">
        <v>60</v>
      </c>
      <c r="K5921" s="14"/>
      <c r="L5921" s="16"/>
      <c r="M5921" s="27" t="n">
        <f aca="false">J5921+(K5921/20)+(L5921/240)</f>
        <v>60</v>
      </c>
      <c r="N5921" s="17" t="s">
        <v>64</v>
      </c>
      <c r="O5921" s="11"/>
      <c r="P5921" s="28"/>
      <c r="Q5921" s="28" t="n">
        <f aca="false">P5921*$M5921</f>
        <v>0</v>
      </c>
      <c r="R5921" s="28"/>
      <c r="S5921" s="28" t="n">
        <f aca="false">R5921*$M5921</f>
        <v>0</v>
      </c>
      <c r="T5921" s="28" t="n">
        <f aca="false">204759/100</f>
        <v>2047.59</v>
      </c>
      <c r="U5921" s="28" t="n">
        <v>122855</v>
      </c>
      <c r="V5921" s="28"/>
      <c r="W5921" s="28" t="n">
        <f aca="false">V5921*$M5921</f>
        <v>0</v>
      </c>
      <c r="X5921" s="28"/>
      <c r="Y5921" s="28" t="n">
        <f aca="false">X5921*$M5921</f>
        <v>0</v>
      </c>
      <c r="Z5921" s="28"/>
      <c r="AA5921" s="28" t="n">
        <f aca="false">Z5921*$M5921</f>
        <v>0</v>
      </c>
      <c r="AB5921" s="28"/>
      <c r="AC5921" s="28" t="n">
        <f aca="false">AB5921*$M5921</f>
        <v>0</v>
      </c>
      <c r="AD5921" s="28"/>
      <c r="AE5921" s="28" t="n">
        <f aca="false">AD5921*$M5921</f>
        <v>0</v>
      </c>
      <c r="AF5921" s="28"/>
      <c r="AG5921" s="28" t="n">
        <f aca="false">AF5921*$M5921</f>
        <v>0</v>
      </c>
      <c r="AH5921" s="28"/>
      <c r="AI5921" s="28" t="n">
        <f aca="false">AH5921*$M5921</f>
        <v>0</v>
      </c>
      <c r="AJ5921" s="28"/>
      <c r="AK5921" s="28" t="n">
        <f aca="false">AJ5921*$M5921</f>
        <v>0</v>
      </c>
      <c r="AL5921" s="28"/>
      <c r="AM5921" s="28" t="n">
        <f aca="false">AL5921*$M5921</f>
        <v>0</v>
      </c>
      <c r="AN5921" s="28"/>
      <c r="AO5921" s="28" t="n">
        <f aca="false">AN5921*$M5921</f>
        <v>0</v>
      </c>
      <c r="AP5921" s="28"/>
      <c r="AQ5921" s="28" t="n">
        <f aca="false">AP5921*$M5921</f>
        <v>0</v>
      </c>
      <c r="AR5921" s="28"/>
      <c r="AS5921" s="28" t="n">
        <f aca="false">AR5921*$M5921</f>
        <v>0</v>
      </c>
      <c r="AT5921" s="28"/>
      <c r="AU5921" s="28" t="n">
        <f aca="false">AT5921*$M5921</f>
        <v>0</v>
      </c>
      <c r="AV5921" s="28"/>
      <c r="AW5921" s="28" t="n">
        <f aca="false">AV5921*$M5921</f>
        <v>0</v>
      </c>
      <c r="AX5921" s="28"/>
      <c r="AY5921" s="28" t="n">
        <f aca="false">AX5921*$M5921</f>
        <v>0</v>
      </c>
      <c r="AZ5921" s="30" t="n">
        <f aca="false">204759/100</f>
        <v>2047.59</v>
      </c>
      <c r="BA5921" s="11" t="n">
        <v>122855</v>
      </c>
      <c r="BB5921" s="31" t="n">
        <f aca="false">SUM(Q5921,S5921,U5921,W5921,Y5921,AA5921,AC5921,AE5921,AG5921,AI5921,AK5921,AM5921,AO5921,AQ5921,AS5921,AU5921,AW5921,AY5921)</f>
        <v>122855</v>
      </c>
      <c r="BC5921" s="28" t="n">
        <f aca="false">BA5921-BB5921</f>
        <v>0</v>
      </c>
      <c r="BD5921" s="32" t="n">
        <f aca="false">SUM(P5921,R5921,T5921,V5921,X5921,Z5921,AB5921,AD5921,AF5921,AH5921,AJ5921,AL5921,AN5921,AP5921,AR5921,AT5921,AV5921,AX5921)</f>
        <v>2047.59</v>
      </c>
      <c r="BE5921" s="33" t="n">
        <f aca="false">AZ5921-BD5921</f>
        <v>0</v>
      </c>
      <c r="BF5921" s="34" t="n">
        <f aca="false">BD5921*M5921</f>
        <v>122855.4</v>
      </c>
      <c r="BG5921" s="35" t="n">
        <f aca="false">BA5921-BF5921</f>
        <v>-0.399999999994179</v>
      </c>
      <c r="BH5921" s="19" t="str">
        <f aca="false">IF(BG5921=0,"",IF(BG5921&lt;&gt;BA5921,"erreur de calcul",IF(BD5921&lt;&gt;0,"pas de prix",IF(M5921&lt;&gt; 0,"pas de quantité","pas de prix, ni de quantité"))))</f>
        <v>erreur de calcul</v>
      </c>
      <c r="BI5921" s="19"/>
    </row>
    <row r="5922" customFormat="false" ht="15" hidden="false" customHeight="false" outlineLevel="0" collapsed="false">
      <c r="A5922" s="0" t="n">
        <v>16</v>
      </c>
      <c r="B5922" s="8" t="s">
        <v>24</v>
      </c>
      <c r="C5922" s="9" t="s">
        <v>25</v>
      </c>
      <c r="D5922" s="9" t="s">
        <v>26</v>
      </c>
      <c r="E5922" s="10" t="n">
        <v>1789</v>
      </c>
      <c r="F5922" s="9" t="s">
        <v>27</v>
      </c>
      <c r="G5922" s="9" t="s">
        <v>27</v>
      </c>
      <c r="H5922" s="11" t="n">
        <v>26</v>
      </c>
      <c r="I5922" s="11" t="s">
        <v>388</v>
      </c>
      <c r="J5922" s="14" t="n">
        <v>4</v>
      </c>
      <c r="K5922" s="14" t="n">
        <v>10</v>
      </c>
      <c r="L5922" s="16"/>
      <c r="M5922" s="27" t="n">
        <f aca="false">J5922+(K5922/20)+(L5922/240)</f>
        <v>4.5</v>
      </c>
      <c r="N5922" s="17" t="s">
        <v>66</v>
      </c>
      <c r="O5922" s="11"/>
      <c r="P5922" s="28" t="n">
        <v>20973</v>
      </c>
      <c r="Q5922" s="28" t="n">
        <v>94378</v>
      </c>
      <c r="R5922" s="28"/>
      <c r="S5922" s="28" t="n">
        <f aca="false">R5922*$M5922</f>
        <v>0</v>
      </c>
      <c r="T5922" s="28"/>
      <c r="U5922" s="28" t="n">
        <f aca="false">T5922*$M5922</f>
        <v>0</v>
      </c>
      <c r="V5922" s="28"/>
      <c r="W5922" s="28" t="n">
        <f aca="false">V5922*$M5922</f>
        <v>0</v>
      </c>
      <c r="X5922" s="28"/>
      <c r="Y5922" s="28" t="n">
        <f aca="false">X5922*$M5922</f>
        <v>0</v>
      </c>
      <c r="Z5922" s="28"/>
      <c r="AA5922" s="28" t="n">
        <f aca="false">Z5922*$M5922</f>
        <v>0</v>
      </c>
      <c r="AB5922" s="28"/>
      <c r="AC5922" s="28" t="n">
        <f aca="false">AB5922*$M5922</f>
        <v>0</v>
      </c>
      <c r="AD5922" s="28"/>
      <c r="AE5922" s="28" t="n">
        <f aca="false">AD5922*$M5922</f>
        <v>0</v>
      </c>
      <c r="AF5922" s="28"/>
      <c r="AG5922" s="28" t="n">
        <f aca="false">AF5922*$M5922</f>
        <v>0</v>
      </c>
      <c r="AH5922" s="28"/>
      <c r="AI5922" s="28" t="n">
        <f aca="false">AH5922*$M5922</f>
        <v>0</v>
      </c>
      <c r="AJ5922" s="28"/>
      <c r="AK5922" s="28" t="n">
        <f aca="false">AJ5922*$M5922</f>
        <v>0</v>
      </c>
      <c r="AL5922" s="28"/>
      <c r="AM5922" s="28" t="n">
        <f aca="false">AL5922*$M5922</f>
        <v>0</v>
      </c>
      <c r="AN5922" s="28"/>
      <c r="AO5922" s="28" t="n">
        <f aca="false">AN5922*$M5922</f>
        <v>0</v>
      </c>
      <c r="AP5922" s="28"/>
      <c r="AQ5922" s="28" t="n">
        <f aca="false">AP5922*$M5922</f>
        <v>0</v>
      </c>
      <c r="AR5922" s="28"/>
      <c r="AS5922" s="28" t="n">
        <f aca="false">AR5922*$M5922</f>
        <v>0</v>
      </c>
      <c r="AT5922" s="28"/>
      <c r="AU5922" s="28" t="n">
        <f aca="false">AT5922*$M5922</f>
        <v>0</v>
      </c>
      <c r="AV5922" s="28"/>
      <c r="AW5922" s="28" t="n">
        <f aca="false">AV5922*$M5922</f>
        <v>0</v>
      </c>
      <c r="AX5922" s="28"/>
      <c r="AY5922" s="28" t="n">
        <f aca="false">AX5922*$M5922</f>
        <v>0</v>
      </c>
      <c r="AZ5922" s="30" t="n">
        <v>20973</v>
      </c>
      <c r="BA5922" s="11" t="n">
        <v>94378</v>
      </c>
      <c r="BB5922" s="31" t="n">
        <f aca="false">SUM(Q5922,S5922,U5922,W5922,Y5922,AA5922,AC5922,AE5922,AG5922,AI5922,AK5922,AM5922,AO5922,AQ5922,AS5922,AU5922,AW5922,AY5922)</f>
        <v>94378</v>
      </c>
      <c r="BC5922" s="28" t="n">
        <f aca="false">BA5922-BB5922</f>
        <v>0</v>
      </c>
      <c r="BD5922" s="32" t="n">
        <f aca="false">SUM(P5922,R5922,T5922,V5922,X5922,Z5922,AB5922,AD5922,AF5922,AH5922,AJ5922,AL5922,AN5922,AP5922,AR5922,AT5922,AV5922,AX5922)</f>
        <v>20973</v>
      </c>
      <c r="BE5922" s="33" t="n">
        <f aca="false">AZ5922-BD5922</f>
        <v>0</v>
      </c>
      <c r="BF5922" s="34" t="n">
        <f aca="false">BD5922*M5922</f>
        <v>94378.5</v>
      </c>
      <c r="BG5922" s="35" t="n">
        <f aca="false">BA5922-BF5922</f>
        <v>-0.5</v>
      </c>
      <c r="BH5922" s="19" t="str">
        <f aca="false">IF(BG5922=0,"",IF(BG5922&lt;&gt;BA5922,"erreur de calcul",IF(BD5922&lt;&gt;0,"pas de prix",IF(M5922&lt;&gt; 0,"pas de quantité","pas de prix, ni de quantité"))))</f>
        <v>erreur de calcul</v>
      </c>
      <c r="BI5922" s="19"/>
    </row>
    <row r="5923" customFormat="false" ht="15" hidden="false" customHeight="false" outlineLevel="0" collapsed="false">
      <c r="A5923" s="0" t="n">
        <v>17</v>
      </c>
      <c r="B5923" s="8" t="s">
        <v>24</v>
      </c>
      <c r="C5923" s="9" t="s">
        <v>25</v>
      </c>
      <c r="D5923" s="9" t="s">
        <v>26</v>
      </c>
      <c r="E5923" s="10" t="n">
        <v>1789</v>
      </c>
      <c r="F5923" s="9" t="s">
        <v>27</v>
      </c>
      <c r="G5923" s="9" t="s">
        <v>27</v>
      </c>
      <c r="H5923" s="11" t="n">
        <v>26</v>
      </c>
      <c r="I5923" s="11" t="s">
        <v>389</v>
      </c>
      <c r="J5923" s="14"/>
      <c r="K5923" s="14"/>
      <c r="L5923" s="16"/>
      <c r="M5923" s="27" t="n">
        <f aca="false">J5923+(K5923/20)+(L5923/240)</f>
        <v>0</v>
      </c>
      <c r="N5923" s="17"/>
      <c r="O5923" s="11" t="s">
        <v>277</v>
      </c>
      <c r="P5923" s="28"/>
      <c r="Q5923" s="28" t="n">
        <f aca="false">P5923*$M5923</f>
        <v>0</v>
      </c>
      <c r="R5923" s="28"/>
      <c r="S5923" s="28" t="n">
        <f aca="false">R5923*$M5923</f>
        <v>0</v>
      </c>
      <c r="T5923" s="28"/>
      <c r="U5923" s="28" t="n">
        <v>189</v>
      </c>
      <c r="V5923" s="28"/>
      <c r="W5923" s="28" t="n">
        <v>540</v>
      </c>
      <c r="X5923" s="28"/>
      <c r="Y5923" s="28" t="n">
        <f aca="false">X5923*$M5923</f>
        <v>0</v>
      </c>
      <c r="Z5923" s="28"/>
      <c r="AA5923" s="28" t="n">
        <f aca="false">Z5923*$M5923</f>
        <v>0</v>
      </c>
      <c r="AB5923" s="28"/>
      <c r="AC5923" s="28" t="n">
        <f aca="false">AB5923*$M5923</f>
        <v>0</v>
      </c>
      <c r="AD5923" s="28"/>
      <c r="AE5923" s="28" t="n">
        <f aca="false">AD5923*$M5923</f>
        <v>0</v>
      </c>
      <c r="AF5923" s="28"/>
      <c r="AG5923" s="28" t="n">
        <f aca="false">AF5923*$M5923</f>
        <v>0</v>
      </c>
      <c r="AH5923" s="28"/>
      <c r="AI5923" s="28" t="n">
        <f aca="false">AH5923*$M5923</f>
        <v>0</v>
      </c>
      <c r="AJ5923" s="28"/>
      <c r="AK5923" s="28" t="n">
        <v>317</v>
      </c>
      <c r="AL5923" s="28"/>
      <c r="AM5923" s="28" t="n">
        <f aca="false">AL5923*$M5923</f>
        <v>0</v>
      </c>
      <c r="AN5923" s="28"/>
      <c r="AO5923" s="28" t="n">
        <f aca="false">AN5923*$M5923</f>
        <v>0</v>
      </c>
      <c r="AP5923" s="28"/>
      <c r="AQ5923" s="28" t="n">
        <f aca="false">AP5923*$M5923</f>
        <v>0</v>
      </c>
      <c r="AR5923" s="28"/>
      <c r="AS5923" s="28" t="n">
        <f aca="false">AR5923*$M5923</f>
        <v>0</v>
      </c>
      <c r="AT5923" s="28"/>
      <c r="AU5923" s="28" t="n">
        <f aca="false">AT5923*$M5923</f>
        <v>0</v>
      </c>
      <c r="AV5923" s="28"/>
      <c r="AW5923" s="28" t="n">
        <f aca="false">AV5923*$M5923</f>
        <v>0</v>
      </c>
      <c r="AX5923" s="28"/>
      <c r="AY5923" s="28" t="n">
        <f aca="false">AX5923*$M5923</f>
        <v>0</v>
      </c>
      <c r="AZ5923" s="30"/>
      <c r="BA5923" s="11" t="n">
        <v>1046</v>
      </c>
      <c r="BB5923" s="31" t="n">
        <f aca="false">SUM(Q5923,S5923,U5923,W5923,Y5923,AA5923,AC5923,AE5923,AG5923,AI5923,AK5923,AM5923,AO5923,AQ5923,AS5923,AU5923,AW5923,AY5923)</f>
        <v>1046</v>
      </c>
      <c r="BC5923" s="28" t="n">
        <f aca="false">BA5923-BB5923</f>
        <v>0</v>
      </c>
      <c r="BD5923" s="32" t="n">
        <f aca="false">SUM(P5923,R5923,T5923,V5923,X5923,Z5923,AB5923,AD5923,AF5923,AH5923,AJ5923,AL5923,AN5923,AP5923,AR5923,AT5923,AV5923,AX5923)</f>
        <v>0</v>
      </c>
      <c r="BE5923" s="33" t="n">
        <f aca="false">AZ5923-BD5923</f>
        <v>0</v>
      </c>
      <c r="BF5923" s="34" t="n">
        <f aca="false">BD5923*M5923</f>
        <v>0</v>
      </c>
      <c r="BG5923" s="35" t="n">
        <f aca="false">BA5923-BF5923</f>
        <v>1046</v>
      </c>
      <c r="BH5923" s="19" t="str">
        <f aca="false">IF(BG5923=0,"",IF(BG5923&lt;&gt;BA5923,"erreur de calcul",IF(BD5923&lt;&gt;0,"pas de prix",IF(M5923&lt;&gt; 0,"pas de quantité","pas de prix, ni de quantité"))))</f>
        <v>pas de prix, ni de quantité</v>
      </c>
      <c r="BI5923" s="19"/>
    </row>
    <row r="5924" customFormat="false" ht="15" hidden="false" customHeight="false" outlineLevel="0" collapsed="false">
      <c r="A5924" s="0" t="n">
        <v>18</v>
      </c>
      <c r="B5924" s="8" t="s">
        <v>24</v>
      </c>
      <c r="C5924" s="9" t="s">
        <v>25</v>
      </c>
      <c r="D5924" s="9" t="s">
        <v>26</v>
      </c>
      <c r="E5924" s="10" t="n">
        <v>1789</v>
      </c>
      <c r="F5924" s="9" t="s">
        <v>27</v>
      </c>
      <c r="G5924" s="9" t="s">
        <v>27</v>
      </c>
      <c r="H5924" s="11" t="n">
        <v>26</v>
      </c>
      <c r="I5924" s="11" t="s">
        <v>389</v>
      </c>
      <c r="J5924" s="14" t="n">
        <v>90</v>
      </c>
      <c r="K5924" s="14"/>
      <c r="L5924" s="16"/>
      <c r="M5924" s="27" t="n">
        <f aca="false">J5924+(K5924/20)+(L5924/240)</f>
        <v>90</v>
      </c>
      <c r="N5924" s="17" t="s">
        <v>64</v>
      </c>
      <c r="O5924" s="11"/>
      <c r="P5924" s="28"/>
      <c r="Q5924" s="28" t="n">
        <f aca="false">P5924*$M5924</f>
        <v>0</v>
      </c>
      <c r="R5924" s="28"/>
      <c r="S5924" s="28" t="n">
        <f aca="false">R5924*$M5924</f>
        <v>0</v>
      </c>
      <c r="T5924" s="28"/>
      <c r="U5924" s="28" t="n">
        <f aca="false">T5924*$M5924</f>
        <v>0</v>
      </c>
      <c r="V5924" s="28" t="n">
        <f aca="false">6341/100</f>
        <v>63.41</v>
      </c>
      <c r="W5924" s="28" t="n">
        <v>5707</v>
      </c>
      <c r="X5924" s="28" t="n">
        <f aca="false">10903/100</f>
        <v>109.03</v>
      </c>
      <c r="Y5924" s="28" t="n">
        <v>9813</v>
      </c>
      <c r="Z5924" s="28"/>
      <c r="AA5924" s="28" t="n">
        <f aca="false">Z5924*$M5924</f>
        <v>0</v>
      </c>
      <c r="AB5924" s="28"/>
      <c r="AC5924" s="28" t="n">
        <f aca="false">AB5924*$M5924</f>
        <v>0</v>
      </c>
      <c r="AD5924" s="28"/>
      <c r="AE5924" s="28" t="n">
        <f aca="false">AD5924*$M5924</f>
        <v>0</v>
      </c>
      <c r="AF5924" s="28"/>
      <c r="AG5924" s="28" t="n">
        <f aca="false">AF5924*$M5924</f>
        <v>0</v>
      </c>
      <c r="AH5924" s="28"/>
      <c r="AI5924" s="28" t="n">
        <f aca="false">AH5924*$M5924</f>
        <v>0</v>
      </c>
      <c r="AJ5924" s="28" t="n">
        <f aca="false">127232/100</f>
        <v>1272.32</v>
      </c>
      <c r="AK5924" s="28" t="n">
        <v>114509</v>
      </c>
      <c r="AL5924" s="28" t="n">
        <f aca="false">1835/100</f>
        <v>18.35</v>
      </c>
      <c r="AM5924" s="28" t="n">
        <v>1651</v>
      </c>
      <c r="AN5924" s="28"/>
      <c r="AO5924" s="28" t="n">
        <f aca="false">AN5924*$M5924</f>
        <v>0</v>
      </c>
      <c r="AP5924" s="28"/>
      <c r="AQ5924" s="28" t="n">
        <f aca="false">AP5924*$M5924</f>
        <v>0</v>
      </c>
      <c r="AR5924" s="28"/>
      <c r="AS5924" s="28" t="n">
        <f aca="false">AR5924*$M5924</f>
        <v>0</v>
      </c>
      <c r="AT5924" s="28"/>
      <c r="AU5924" s="28" t="n">
        <f aca="false">AT5924*$M5924</f>
        <v>0</v>
      </c>
      <c r="AV5924" s="28"/>
      <c r="AW5924" s="28" t="n">
        <f aca="false">AV5924*$M5924</f>
        <v>0</v>
      </c>
      <c r="AX5924" s="28"/>
      <c r="AY5924" s="28" t="n">
        <f aca="false">AX5924*$M5924</f>
        <v>0</v>
      </c>
      <c r="AZ5924" s="30" t="n">
        <f aca="false">146311/100</f>
        <v>1463.11</v>
      </c>
      <c r="BA5924" s="11" t="n">
        <v>131680</v>
      </c>
      <c r="BB5924" s="31" t="n">
        <f aca="false">SUM(Q5924,S5924,U5924,W5924,Y5924,AA5924,AC5924,AE5924,AG5924,AI5924,AK5924,AM5924,AO5924,AQ5924,AS5924,AU5924,AW5924,AY5924)</f>
        <v>131680</v>
      </c>
      <c r="BC5924" s="28" t="n">
        <f aca="false">BA5924-BB5924</f>
        <v>0</v>
      </c>
      <c r="BD5924" s="32" t="n">
        <f aca="false">SUM(P5924,R5924,T5924,V5924,X5924,Z5924,AB5924,AD5924,AF5924,AH5924,AJ5924,AL5924,AN5924,AP5924,AR5924,AT5924,AV5924,AX5924)</f>
        <v>1463.11</v>
      </c>
      <c r="BE5924" s="33" t="n">
        <f aca="false">AZ5924-BD5924</f>
        <v>0</v>
      </c>
      <c r="BF5924" s="34" t="n">
        <f aca="false">BD5924*M5924</f>
        <v>131679.9</v>
      </c>
      <c r="BG5924" s="35" t="n">
        <f aca="false">BA5924-BF5924</f>
        <v>0.100000000005821</v>
      </c>
      <c r="BH5924" s="19" t="str">
        <f aca="false">IF(BG5924=0,"",IF(BG5924&lt;&gt;BA5924,"erreur de calcul",IF(BD5924&lt;&gt;0,"pas de prix",IF(M5924&lt;&gt; 0,"pas de quantité","pas de prix, ni de quantité"))))</f>
        <v>erreur de calcul</v>
      </c>
      <c r="BI5924" s="19"/>
    </row>
    <row r="5925" customFormat="false" ht="15" hidden="false" customHeight="false" outlineLevel="0" collapsed="false">
      <c r="A5925" s="0" t="n">
        <v>19</v>
      </c>
      <c r="B5925" s="8" t="s">
        <v>24</v>
      </c>
      <c r="C5925" s="9" t="s">
        <v>25</v>
      </c>
      <c r="D5925" s="9" t="s">
        <v>26</v>
      </c>
      <c r="E5925" s="10" t="n">
        <v>1789</v>
      </c>
      <c r="F5925" s="9" t="s">
        <v>27</v>
      </c>
      <c r="G5925" s="9" t="s">
        <v>27</v>
      </c>
      <c r="H5925" s="11" t="n">
        <v>26</v>
      </c>
      <c r="I5925" s="11" t="s">
        <v>390</v>
      </c>
      <c r="J5925" s="14" t="n">
        <v>25</v>
      </c>
      <c r="K5925" s="14"/>
      <c r="L5925" s="16"/>
      <c r="M5925" s="27" t="n">
        <f aca="false">J5925+(K5925/20)+(L5925/240)</f>
        <v>25</v>
      </c>
      <c r="N5925" s="17" t="s">
        <v>64</v>
      </c>
      <c r="O5925" s="11" t="s">
        <v>277</v>
      </c>
      <c r="P5925" s="28"/>
      <c r="Q5925" s="28" t="n">
        <f aca="false">P5925*$M5925</f>
        <v>0</v>
      </c>
      <c r="R5925" s="28"/>
      <c r="S5925" s="28" t="n">
        <f aca="false">R5925*$M5925</f>
        <v>0</v>
      </c>
      <c r="T5925" s="28"/>
      <c r="U5925" s="28" t="n">
        <f aca="false">T5925*$M5925</f>
        <v>0</v>
      </c>
      <c r="V5925" s="28"/>
      <c r="W5925" s="28" t="n">
        <f aca="false">V5925*$M5925</f>
        <v>0</v>
      </c>
      <c r="X5925" s="28"/>
      <c r="Y5925" s="28" t="n">
        <f aca="false">X5925*$M5925</f>
        <v>0</v>
      </c>
      <c r="Z5925" s="28"/>
      <c r="AA5925" s="28" t="n">
        <f aca="false">Z5925*$M5925</f>
        <v>0</v>
      </c>
      <c r="AB5925" s="28"/>
      <c r="AC5925" s="28" t="n">
        <f aca="false">AB5925*$M5925</f>
        <v>0</v>
      </c>
      <c r="AD5925" s="28"/>
      <c r="AE5925" s="28" t="n">
        <f aca="false">AD5925*$M5925</f>
        <v>0</v>
      </c>
      <c r="AF5925" s="28"/>
      <c r="AG5925" s="28" t="n">
        <f aca="false">AF5925*$M5925</f>
        <v>0</v>
      </c>
      <c r="AH5925" s="28"/>
      <c r="AI5925" s="28" t="n">
        <f aca="false">AH5925*$M5925</f>
        <v>0</v>
      </c>
      <c r="AJ5925" s="28"/>
      <c r="AK5925" s="28" t="n">
        <f aca="false">AJ5925*$M5925</f>
        <v>0</v>
      </c>
      <c r="AL5925" s="28"/>
      <c r="AM5925" s="28" t="n">
        <f aca="false">AL5925*$M5925</f>
        <v>0</v>
      </c>
      <c r="AN5925" s="28"/>
      <c r="AO5925" s="28" t="n">
        <f aca="false">AN5925*$M5925</f>
        <v>0</v>
      </c>
      <c r="AP5925" s="28"/>
      <c r="AQ5925" s="28" t="n">
        <f aca="false">AP5925*$M5925</f>
        <v>0</v>
      </c>
      <c r="AR5925" s="28"/>
      <c r="AS5925" s="28" t="n">
        <f aca="false">AR5925*$M5925</f>
        <v>0</v>
      </c>
      <c r="AT5925" s="28"/>
      <c r="AU5925" s="28" t="n">
        <f aca="false">AT5925*$M5925</f>
        <v>0</v>
      </c>
      <c r="AV5925" s="28"/>
      <c r="AW5925" s="28" t="n">
        <f aca="false">AV5925*$M5925</f>
        <v>0</v>
      </c>
      <c r="AX5925" s="28"/>
      <c r="AY5925" s="28" t="n">
        <f aca="false">AX5925*$M5925</f>
        <v>0</v>
      </c>
      <c r="AZ5925" s="30"/>
      <c r="BA5925" s="11"/>
      <c r="BB5925" s="31" t="n">
        <f aca="false">SUM(Q5925,S5925,U5925,W5925,Y5925,AA5925,AC5925,AE5925,AG5925,AI5925,AK5925,AM5925,AO5925,AQ5925,AS5925,AU5925,AW5925,AY5925)</f>
        <v>0</v>
      </c>
      <c r="BC5925" s="28" t="n">
        <f aca="false">BA5925-BB5925</f>
        <v>0</v>
      </c>
      <c r="BD5925" s="32" t="n">
        <f aca="false">SUM(P5925,R5925,T5925,V5925,X5925,Z5925,AB5925,AD5925,AF5925,AH5925,AJ5925,AL5925,AN5925,AP5925,AR5925,AT5925,AV5925,AX5925)</f>
        <v>0</v>
      </c>
      <c r="BE5925" s="33" t="n">
        <f aca="false">AZ5925-BD5925</f>
        <v>0</v>
      </c>
      <c r="BF5925" s="34" t="n">
        <f aca="false">BD5925*M5925</f>
        <v>0</v>
      </c>
      <c r="BG5925" s="35" t="n">
        <f aca="false">BA5925-BF5925</f>
        <v>0</v>
      </c>
      <c r="BH5925" s="19" t="str">
        <f aca="false">IF(BG5925=0,"",IF(BG5925&lt;&gt;BA5925,"erreur de calcul",IF(BD5925&lt;&gt;0,"pas de prix",IF(M5925&lt;&gt; 0,"pas de quantité","pas de prix, ni de quantité"))))</f>
        <v/>
      </c>
      <c r="BI5925" s="19"/>
    </row>
    <row r="5926" customFormat="false" ht="15" hidden="false" customHeight="false" outlineLevel="0" collapsed="false">
      <c r="A5926" s="0" t="n">
        <v>20</v>
      </c>
      <c r="B5926" s="8" t="s">
        <v>24</v>
      </c>
      <c r="C5926" s="9" t="s">
        <v>25</v>
      </c>
      <c r="D5926" s="9" t="s">
        <v>26</v>
      </c>
      <c r="E5926" s="10" t="n">
        <v>1789</v>
      </c>
      <c r="F5926" s="9" t="s">
        <v>27</v>
      </c>
      <c r="G5926" s="9" t="s">
        <v>27</v>
      </c>
      <c r="H5926" s="11" t="n">
        <v>26</v>
      </c>
      <c r="I5926" s="11" t="s">
        <v>391</v>
      </c>
      <c r="J5926" s="14" t="n">
        <v>35</v>
      </c>
      <c r="K5926" s="14"/>
      <c r="L5926" s="16"/>
      <c r="M5926" s="27" t="n">
        <f aca="false">J5926+(K5926/20)+(L5926/240)</f>
        <v>35</v>
      </c>
      <c r="N5926" s="17" t="s">
        <v>64</v>
      </c>
      <c r="O5926" s="11"/>
      <c r="P5926" s="28"/>
      <c r="Q5926" s="28" t="n">
        <f aca="false">P5926*$M5926</f>
        <v>0</v>
      </c>
      <c r="R5926" s="28"/>
      <c r="S5926" s="28" t="n">
        <f aca="false">R5926*$M5926</f>
        <v>0</v>
      </c>
      <c r="T5926" s="28"/>
      <c r="U5926" s="28" t="n">
        <f aca="false">T5926*$M5926</f>
        <v>0</v>
      </c>
      <c r="V5926" s="28"/>
      <c r="W5926" s="28" t="n">
        <f aca="false">V5926*$M5926</f>
        <v>0</v>
      </c>
      <c r="X5926" s="28"/>
      <c r="Y5926" s="28" t="n">
        <f aca="false">X5926*$M5926</f>
        <v>0</v>
      </c>
      <c r="Z5926" s="28"/>
      <c r="AA5926" s="28" t="n">
        <f aca="false">Z5926*$M5926</f>
        <v>0</v>
      </c>
      <c r="AB5926" s="28"/>
      <c r="AC5926" s="28" t="n">
        <f aca="false">AB5926*$M5926</f>
        <v>0</v>
      </c>
      <c r="AD5926" s="28"/>
      <c r="AE5926" s="28" t="n">
        <f aca="false">AD5926*$M5926</f>
        <v>0</v>
      </c>
      <c r="AF5926" s="28"/>
      <c r="AG5926" s="28" t="n">
        <f aca="false">AF5926*$M5926</f>
        <v>0</v>
      </c>
      <c r="AH5926" s="28"/>
      <c r="AI5926" s="28" t="n">
        <f aca="false">AH5926*$M5926</f>
        <v>0</v>
      </c>
      <c r="AJ5926" s="28" t="n">
        <f aca="false">3950/100</f>
        <v>39.5</v>
      </c>
      <c r="AK5926" s="28" t="n">
        <v>1382</v>
      </c>
      <c r="AL5926" s="28"/>
      <c r="AM5926" s="28" t="n">
        <f aca="false">AL5926*$M5926</f>
        <v>0</v>
      </c>
      <c r="AN5926" s="28"/>
      <c r="AO5926" s="28" t="n">
        <f aca="false">AN5926*$M5926</f>
        <v>0</v>
      </c>
      <c r="AP5926" s="28"/>
      <c r="AQ5926" s="28" t="n">
        <f aca="false">AP5926*$M5926</f>
        <v>0</v>
      </c>
      <c r="AR5926" s="28"/>
      <c r="AS5926" s="28" t="n">
        <f aca="false">AR5926*$M5926</f>
        <v>0</v>
      </c>
      <c r="AT5926" s="28"/>
      <c r="AU5926" s="28" t="n">
        <f aca="false">AT5926*$M5926</f>
        <v>0</v>
      </c>
      <c r="AV5926" s="28"/>
      <c r="AW5926" s="28" t="n">
        <f aca="false">AV5926*$M5926</f>
        <v>0</v>
      </c>
      <c r="AX5926" s="28"/>
      <c r="AY5926" s="28" t="n">
        <f aca="false">AX5926*$M5926</f>
        <v>0</v>
      </c>
      <c r="AZ5926" s="30" t="n">
        <f aca="false">3950/100</f>
        <v>39.5</v>
      </c>
      <c r="BA5926" s="11" t="n">
        <v>1382</v>
      </c>
      <c r="BB5926" s="31" t="n">
        <f aca="false">SUM(Q5926,S5926,U5926,W5926,Y5926,AA5926,AC5926,AE5926,AG5926,AI5926,AK5926,AM5926,AO5926,AQ5926,AS5926,AU5926,AW5926,AY5926)</f>
        <v>1382</v>
      </c>
      <c r="BC5926" s="28" t="n">
        <f aca="false">BA5926-BB5926</f>
        <v>0</v>
      </c>
      <c r="BD5926" s="32" t="n">
        <f aca="false">SUM(P5926,R5926,T5926,V5926,X5926,Z5926,AB5926,AD5926,AF5926,AH5926,AJ5926,AL5926,AN5926,AP5926,AR5926,AT5926,AV5926,AX5926)</f>
        <v>39.5</v>
      </c>
      <c r="BE5926" s="33" t="n">
        <f aca="false">AZ5926-BD5926</f>
        <v>0</v>
      </c>
      <c r="BF5926" s="34" t="n">
        <f aca="false">BD5926*M5926</f>
        <v>1382.5</v>
      </c>
      <c r="BG5926" s="35" t="n">
        <f aca="false">BA5926-BF5926</f>
        <v>-0.5</v>
      </c>
      <c r="BH5926" s="19" t="str">
        <f aca="false">IF(BG5926=0,"",IF(BG5926&lt;&gt;BA5926,"erreur de calcul",IF(BD5926&lt;&gt;0,"pas de prix",IF(M5926&lt;&gt; 0,"pas de quantité","pas de prix, ni de quantité"))))</f>
        <v>erreur de calcul</v>
      </c>
      <c r="BI5926" s="19"/>
    </row>
    <row r="5927" customFormat="false" ht="15" hidden="false" customHeight="false" outlineLevel="0" collapsed="false">
      <c r="A5927" s="0" t="n">
        <v>21</v>
      </c>
      <c r="B5927" s="8" t="s">
        <v>24</v>
      </c>
      <c r="C5927" s="9" t="s">
        <v>25</v>
      </c>
      <c r="D5927" s="9" t="s">
        <v>26</v>
      </c>
      <c r="E5927" s="10" t="n">
        <v>1789</v>
      </c>
      <c r="F5927" s="9" t="s">
        <v>27</v>
      </c>
      <c r="G5927" s="9" t="s">
        <v>27</v>
      </c>
      <c r="H5927" s="11" t="n">
        <v>26</v>
      </c>
      <c r="I5927" s="11" t="s">
        <v>392</v>
      </c>
      <c r="J5927" s="14" t="n">
        <v>60</v>
      </c>
      <c r="K5927" s="14"/>
      <c r="L5927" s="16"/>
      <c r="M5927" s="27" t="n">
        <f aca="false">J5927+(K5927/20)+(L5927/240)</f>
        <v>60</v>
      </c>
      <c r="N5927" s="17" t="s">
        <v>64</v>
      </c>
      <c r="O5927" s="11"/>
      <c r="P5927" s="28"/>
      <c r="Q5927" s="28" t="n">
        <f aca="false">P5927*$M5927</f>
        <v>0</v>
      </c>
      <c r="R5927" s="28"/>
      <c r="S5927" s="28" t="n">
        <f aca="false">R5927*$M5927</f>
        <v>0</v>
      </c>
      <c r="T5927" s="28"/>
      <c r="U5927" s="28" t="n">
        <f aca="false">T5927*$M5927</f>
        <v>0</v>
      </c>
      <c r="V5927" s="28"/>
      <c r="W5927" s="28" t="n">
        <f aca="false">V5927*$M5927</f>
        <v>0</v>
      </c>
      <c r="X5927" s="28" t="n">
        <f aca="false">12306/100</f>
        <v>123.06</v>
      </c>
      <c r="Y5927" s="28" t="n">
        <v>7384</v>
      </c>
      <c r="Z5927" s="28"/>
      <c r="AA5927" s="28" t="n">
        <f aca="false">Z5927*$M5927</f>
        <v>0</v>
      </c>
      <c r="AB5927" s="28"/>
      <c r="AC5927" s="28" t="n">
        <f aca="false">AB5927*$M5927</f>
        <v>0</v>
      </c>
      <c r="AD5927" s="28"/>
      <c r="AE5927" s="28" t="n">
        <f aca="false">AD5927*$M5927</f>
        <v>0</v>
      </c>
      <c r="AF5927" s="28"/>
      <c r="AG5927" s="28" t="n">
        <f aca="false">AF5927*$M5927</f>
        <v>0</v>
      </c>
      <c r="AH5927" s="28"/>
      <c r="AI5927" s="28" t="n">
        <f aca="false">AH5927*$M5927</f>
        <v>0</v>
      </c>
      <c r="AJ5927" s="28" t="n">
        <f aca="false">2557/100</f>
        <v>25.57</v>
      </c>
      <c r="AK5927" s="28" t="n">
        <v>1534</v>
      </c>
      <c r="AL5927" s="28"/>
      <c r="AM5927" s="28" t="n">
        <f aca="false">AL5927*$M5927</f>
        <v>0</v>
      </c>
      <c r="AN5927" s="28"/>
      <c r="AO5927" s="28" t="n">
        <f aca="false">AN5927*$M5927</f>
        <v>0</v>
      </c>
      <c r="AP5927" s="28"/>
      <c r="AQ5927" s="28" t="n">
        <f aca="false">AP5927*$M5927</f>
        <v>0</v>
      </c>
      <c r="AR5927" s="28" t="n">
        <f aca="false">7204/100</f>
        <v>72.04</v>
      </c>
      <c r="AS5927" s="28" t="n">
        <v>4322</v>
      </c>
      <c r="AT5927" s="28"/>
      <c r="AU5927" s="28" t="n">
        <f aca="false">AT5927*$M5927</f>
        <v>0</v>
      </c>
      <c r="AV5927" s="28"/>
      <c r="AW5927" s="28" t="n">
        <f aca="false">AV5927*$M5927</f>
        <v>0</v>
      </c>
      <c r="AX5927" s="28"/>
      <c r="AY5927" s="28" t="n">
        <f aca="false">AX5927*$M5927</f>
        <v>0</v>
      </c>
      <c r="AZ5927" s="30" t="n">
        <f aca="false">22067/100</f>
        <v>220.67</v>
      </c>
      <c r="BA5927" s="11" t="n">
        <v>13240</v>
      </c>
      <c r="BB5927" s="31" t="n">
        <f aca="false">SUM(Q5927,S5927,U5927,W5927,Y5927,AA5927,AC5927,AE5927,AG5927,AI5927,AK5927,AM5927,AO5927,AQ5927,AS5927,AU5927,AW5927,AY5927)</f>
        <v>13240</v>
      </c>
      <c r="BC5927" s="28" t="n">
        <f aca="false">BA5927-BB5927</f>
        <v>0</v>
      </c>
      <c r="BD5927" s="32" t="n">
        <f aca="false">SUM(P5927,R5927,T5927,V5927,X5927,Z5927,AB5927,AD5927,AF5927,AH5927,AJ5927,AL5927,AN5927,AP5927,AR5927,AT5927,AV5927,AX5927)</f>
        <v>220.67</v>
      </c>
      <c r="BE5927" s="33" t="n">
        <f aca="false">AZ5927-BD5927</f>
        <v>0</v>
      </c>
      <c r="BF5927" s="34" t="n">
        <f aca="false">BD5927*M5927</f>
        <v>13240.2</v>
      </c>
      <c r="BG5927" s="35" t="n">
        <f aca="false">BA5927-BF5927</f>
        <v>-0.200000000000728</v>
      </c>
      <c r="BH5927" s="19" t="str">
        <f aca="false">IF(BG5927=0,"",IF(BG5927&lt;&gt;BA5927,"erreur de calcul",IF(BD5927&lt;&gt;0,"pas de prix",IF(M5927&lt;&gt; 0,"pas de quantité","pas de prix, ni de quantité"))))</f>
        <v>erreur de calcul</v>
      </c>
      <c r="BI5927" s="19"/>
    </row>
    <row r="5928" customFormat="false" ht="15" hidden="false" customHeight="false" outlineLevel="0" collapsed="false">
      <c r="A5928" s="0" t="n">
        <v>22</v>
      </c>
      <c r="B5928" s="8" t="s">
        <v>24</v>
      </c>
      <c r="C5928" s="9" t="s">
        <v>25</v>
      </c>
      <c r="D5928" s="9" t="s">
        <v>26</v>
      </c>
      <c r="E5928" s="10" t="n">
        <v>1789</v>
      </c>
      <c r="F5928" s="9" t="s">
        <v>27</v>
      </c>
      <c r="G5928" s="9" t="s">
        <v>27</v>
      </c>
      <c r="H5928" s="11" t="n">
        <v>26</v>
      </c>
      <c r="I5928" s="11" t="s">
        <v>393</v>
      </c>
      <c r="J5928" s="14" t="n">
        <v>120</v>
      </c>
      <c r="K5928" s="14"/>
      <c r="L5928" s="16"/>
      <c r="M5928" s="27" t="n">
        <f aca="false">J5928+(K5928/20)+(L5928/240)</f>
        <v>120</v>
      </c>
      <c r="N5928" s="17" t="s">
        <v>64</v>
      </c>
      <c r="O5928" s="11"/>
      <c r="P5928" s="28"/>
      <c r="Q5928" s="28" t="n">
        <f aca="false">P5928*$M5928</f>
        <v>0</v>
      </c>
      <c r="R5928" s="28"/>
      <c r="S5928" s="28" t="n">
        <f aca="false">R5928*$M5928</f>
        <v>0</v>
      </c>
      <c r="T5928" s="28"/>
      <c r="U5928" s="28" t="n">
        <f aca="false">T5928*$M5928</f>
        <v>0</v>
      </c>
      <c r="V5928" s="28"/>
      <c r="W5928" s="28" t="n">
        <f aca="false">V5928*$M5928</f>
        <v>0</v>
      </c>
      <c r="X5928" s="28"/>
      <c r="Y5928" s="28" t="n">
        <f aca="false">X5928*$M5928</f>
        <v>0</v>
      </c>
      <c r="Z5928" s="28"/>
      <c r="AA5928" s="28" t="n">
        <f aca="false">Z5928*$M5928</f>
        <v>0</v>
      </c>
      <c r="AB5928" s="28"/>
      <c r="AC5928" s="28" t="n">
        <f aca="false">AB5928*$M5928</f>
        <v>0</v>
      </c>
      <c r="AD5928" s="28"/>
      <c r="AE5928" s="28" t="n">
        <f aca="false">AD5928*$M5928</f>
        <v>0</v>
      </c>
      <c r="AF5928" s="28"/>
      <c r="AG5928" s="28" t="n">
        <f aca="false">AF5928*$M5928</f>
        <v>0</v>
      </c>
      <c r="AH5928" s="28" t="n">
        <f aca="false">1810/100</f>
        <v>18.1</v>
      </c>
      <c r="AI5928" s="28" t="n">
        <v>2172</v>
      </c>
      <c r="AJ5928" s="28"/>
      <c r="AK5928" s="28" t="n">
        <f aca="false">AJ5928*$M5928</f>
        <v>0</v>
      </c>
      <c r="AL5928" s="28"/>
      <c r="AM5928" s="28" t="n">
        <f aca="false">AL5928*$M5928</f>
        <v>0</v>
      </c>
      <c r="AN5928" s="28"/>
      <c r="AO5928" s="28" t="n">
        <f aca="false">AN5928*$M5928</f>
        <v>0</v>
      </c>
      <c r="AP5928" s="28"/>
      <c r="AQ5928" s="28" t="n">
        <f aca="false">AP5928*$M5928</f>
        <v>0</v>
      </c>
      <c r="AR5928" s="28"/>
      <c r="AS5928" s="28" t="n">
        <f aca="false">AR5928*$M5928</f>
        <v>0</v>
      </c>
      <c r="AT5928" s="28"/>
      <c r="AU5928" s="28" t="n">
        <f aca="false">AT5928*$M5928</f>
        <v>0</v>
      </c>
      <c r="AV5928" s="28"/>
      <c r="AW5928" s="28" t="n">
        <f aca="false">AV5928*$M5928</f>
        <v>0</v>
      </c>
      <c r="AX5928" s="28"/>
      <c r="AY5928" s="28" t="n">
        <f aca="false">AX5928*$M5928</f>
        <v>0</v>
      </c>
      <c r="AZ5928" s="30" t="n">
        <f aca="false">1810/100</f>
        <v>18.1</v>
      </c>
      <c r="BA5928" s="11" t="n">
        <v>2172</v>
      </c>
      <c r="BB5928" s="31" t="n">
        <f aca="false">SUM(Q5928,S5928,U5928,W5928,Y5928,AA5928,AC5928,AE5928,AG5928,AI5928,AK5928,AM5928,AO5928,AQ5928,AS5928,AU5928,AW5928,AY5928)</f>
        <v>2172</v>
      </c>
      <c r="BC5928" s="28" t="n">
        <f aca="false">BA5928-BB5928</f>
        <v>0</v>
      </c>
      <c r="BD5928" s="32" t="n">
        <f aca="false">SUM(P5928,R5928,T5928,V5928,X5928,Z5928,AB5928,AD5928,AF5928,AH5928,AJ5928,AL5928,AN5928,AP5928,AR5928,AT5928,AV5928,AX5928)</f>
        <v>18.1</v>
      </c>
      <c r="BE5928" s="33" t="n">
        <f aca="false">AZ5928-BD5928</f>
        <v>0</v>
      </c>
      <c r="BF5928" s="34" t="n">
        <f aca="false">BD5928*M5928</f>
        <v>2172</v>
      </c>
      <c r="BG5928" s="35" t="n">
        <f aca="false">BA5928-BF5928</f>
        <v>0</v>
      </c>
      <c r="BH5928" s="19" t="str">
        <f aca="false">IF(BG5928=0,"",IF(BG5928&lt;&gt;BA5928,"erreur de calcul",IF(BD5928&lt;&gt;0,"pas de prix",IF(M5928&lt;&gt; 0,"pas de quantité","pas de prix, ni de quantité"))))</f>
        <v/>
      </c>
      <c r="BI5928" s="19"/>
    </row>
    <row r="5929" customFormat="false" ht="15" hidden="false" customHeight="false" outlineLevel="0" collapsed="false">
      <c r="A5929" s="0" t="n">
        <v>23</v>
      </c>
      <c r="B5929" s="8" t="s">
        <v>24</v>
      </c>
      <c r="C5929" s="9" t="s">
        <v>25</v>
      </c>
      <c r="D5929" s="9" t="s">
        <v>26</v>
      </c>
      <c r="E5929" s="10" t="n">
        <v>1789</v>
      </c>
      <c r="F5929" s="9" t="s">
        <v>27</v>
      </c>
      <c r="G5929" s="9" t="s">
        <v>27</v>
      </c>
      <c r="H5929" s="11" t="n">
        <v>26</v>
      </c>
      <c r="I5929" s="41" t="s">
        <v>394</v>
      </c>
      <c r="J5929" s="14" t="n">
        <v>7</v>
      </c>
      <c r="K5929" s="14"/>
      <c r="L5929" s="16"/>
      <c r="M5929" s="27" t="n">
        <f aca="false">J5929+(K5929/20)+(L5929/240)</f>
        <v>7</v>
      </c>
      <c r="N5929" s="17" t="s">
        <v>64</v>
      </c>
      <c r="O5929" s="11"/>
      <c r="P5929" s="28" t="n">
        <f aca="false">11428/100</f>
        <v>114.28</v>
      </c>
      <c r="Q5929" s="28" t="n">
        <v>800</v>
      </c>
      <c r="R5929" s="28"/>
      <c r="S5929" s="28" t="n">
        <f aca="false">R5929*$M5929</f>
        <v>0</v>
      </c>
      <c r="T5929" s="28" t="n">
        <f aca="false">2084/100</f>
        <v>20.84</v>
      </c>
      <c r="U5929" s="36" t="n">
        <v>246</v>
      </c>
      <c r="V5929" s="28"/>
      <c r="W5929" s="28" t="n">
        <f aca="false">V5929*$M5929</f>
        <v>0</v>
      </c>
      <c r="X5929" s="28"/>
      <c r="Y5929" s="28" t="n">
        <f aca="false">X5929*$M5929</f>
        <v>0</v>
      </c>
      <c r="Z5929" s="28"/>
      <c r="AA5929" s="28" t="n">
        <f aca="false">Z5929*$M5929</f>
        <v>0</v>
      </c>
      <c r="AB5929" s="28"/>
      <c r="AC5929" s="28" t="n">
        <f aca="false">AB5929*$M5929</f>
        <v>0</v>
      </c>
      <c r="AD5929" s="28"/>
      <c r="AE5929" s="28" t="n">
        <f aca="false">AD5929*$M5929</f>
        <v>0</v>
      </c>
      <c r="AF5929" s="28" t="n">
        <f aca="false">6709/100</f>
        <v>67.09</v>
      </c>
      <c r="AG5929" s="28" t="n">
        <v>470</v>
      </c>
      <c r="AH5929" s="28"/>
      <c r="AI5929" s="28" t="n">
        <f aca="false">AH5929*$M5929</f>
        <v>0</v>
      </c>
      <c r="AJ5929" s="28"/>
      <c r="AK5929" s="28" t="n">
        <f aca="false">AJ5929*$M5929</f>
        <v>0</v>
      </c>
      <c r="AL5929" s="28"/>
      <c r="AM5929" s="28" t="n">
        <f aca="false">AL5929*$M5929</f>
        <v>0</v>
      </c>
      <c r="AN5929" s="28"/>
      <c r="AO5929" s="28" t="n">
        <f aca="false">AN5929*$M5929</f>
        <v>0</v>
      </c>
      <c r="AP5929" s="28"/>
      <c r="AQ5929" s="28" t="n">
        <f aca="false">AP5929*$M5929</f>
        <v>0</v>
      </c>
      <c r="AR5929" s="28"/>
      <c r="AS5929" s="28" t="n">
        <f aca="false">AR5929*$M5929</f>
        <v>0</v>
      </c>
      <c r="AT5929" s="28"/>
      <c r="AU5929" s="28" t="n">
        <f aca="false">AT5929*$M5929</f>
        <v>0</v>
      </c>
      <c r="AV5929" s="28"/>
      <c r="AW5929" s="28" t="n">
        <f aca="false">AV5929*$M5929</f>
        <v>0</v>
      </c>
      <c r="AX5929" s="28"/>
      <c r="AY5929" s="28" t="n">
        <f aca="false">AX5929*$M5929</f>
        <v>0</v>
      </c>
      <c r="AZ5929" s="30" t="n">
        <f aca="false">20221/100</f>
        <v>202.21</v>
      </c>
      <c r="BA5929" s="11" t="n">
        <v>1516</v>
      </c>
      <c r="BB5929" s="31" t="n">
        <f aca="false">SUM(Q5929,S5929,U5929,W5929,Y5929,AA5929,AC5929,AE5929,AG5929,AI5929,AK5929,AM5929,AO5929,AQ5929,AS5929,AU5929,AW5929,AY5929)</f>
        <v>1516</v>
      </c>
      <c r="BC5929" s="28" t="n">
        <f aca="false">BA5929-BB5929</f>
        <v>0</v>
      </c>
      <c r="BD5929" s="32" t="n">
        <f aca="false">SUM(P5929,R5929,T5929,V5929,X5929,Z5929,AB5929,AD5929,AF5929,AH5929,AJ5929,AL5929,AN5929,AP5929,AR5929,AT5929,AV5929,AX5929)</f>
        <v>202.21</v>
      </c>
      <c r="BE5929" s="33" t="n">
        <f aca="false">AZ5929-BD5929</f>
        <v>0</v>
      </c>
      <c r="BF5929" s="34" t="n">
        <f aca="false">BD5929*M5929</f>
        <v>1415.47</v>
      </c>
      <c r="BG5929" s="35" t="n">
        <f aca="false">BA5929-BF5929</f>
        <v>100.53</v>
      </c>
      <c r="BH5929" s="19" t="str">
        <f aca="false">IF(BG5929=0,"",IF(BG5929&lt;&gt;BA5929,"erreur de calcul",IF(BD5929&lt;&gt;0,"pas de prix",IF(M5929&lt;&gt; 0,"pas de quantité","pas de prix, ni de quantité"))))</f>
        <v>erreur de calcul</v>
      </c>
      <c r="BI5929" s="19"/>
    </row>
    <row r="5930" customFormat="false" ht="15" hidden="false" customHeight="false" outlineLevel="0" collapsed="false">
      <c r="A5930" s="0" t="n">
        <v>24</v>
      </c>
      <c r="B5930" s="8" t="s">
        <v>24</v>
      </c>
      <c r="C5930" s="9" t="s">
        <v>25</v>
      </c>
      <c r="D5930" s="9" t="s">
        <v>26</v>
      </c>
      <c r="E5930" s="10" t="n">
        <v>1789</v>
      </c>
      <c r="F5930" s="9" t="s">
        <v>27</v>
      </c>
      <c r="G5930" s="9" t="s">
        <v>27</v>
      </c>
      <c r="H5930" s="11" t="n">
        <v>26</v>
      </c>
      <c r="I5930" s="11" t="s">
        <v>395</v>
      </c>
      <c r="J5930" s="14" t="n">
        <v>40</v>
      </c>
      <c r="K5930" s="14"/>
      <c r="L5930" s="16"/>
      <c r="M5930" s="27" t="n">
        <f aca="false">J5930+(K5930/20)+(L5930/240)</f>
        <v>40</v>
      </c>
      <c r="N5930" s="17" t="s">
        <v>66</v>
      </c>
      <c r="O5930" s="11"/>
      <c r="P5930" s="28"/>
      <c r="Q5930" s="28" t="n">
        <f aca="false">P5930*$M5930</f>
        <v>0</v>
      </c>
      <c r="R5930" s="28"/>
      <c r="S5930" s="28" t="n">
        <f aca="false">R5930*$M5930</f>
        <v>0</v>
      </c>
      <c r="T5930" s="28" t="n">
        <v>2339</v>
      </c>
      <c r="U5930" s="28" t="n">
        <v>93560</v>
      </c>
      <c r="V5930" s="28" t="n">
        <v>38</v>
      </c>
      <c r="W5930" s="28" t="n">
        <v>1520</v>
      </c>
      <c r="X5930" s="28"/>
      <c r="Y5930" s="28" t="n">
        <f aca="false">X5930*$M5930</f>
        <v>0</v>
      </c>
      <c r="Z5930" s="28"/>
      <c r="AA5930" s="28" t="n">
        <f aca="false">Z5930*$M5930</f>
        <v>0</v>
      </c>
      <c r="AB5930" s="28"/>
      <c r="AC5930" s="28" t="n">
        <f aca="false">AB5930*$M5930</f>
        <v>0</v>
      </c>
      <c r="AD5930" s="28"/>
      <c r="AE5930" s="28" t="n">
        <f aca="false">AD5930*$M5930</f>
        <v>0</v>
      </c>
      <c r="AF5930" s="28"/>
      <c r="AG5930" s="28" t="n">
        <f aca="false">AF5930*$M5930</f>
        <v>0</v>
      </c>
      <c r="AH5930" s="28"/>
      <c r="AI5930" s="28" t="n">
        <f aca="false">AH5930*$M5930</f>
        <v>0</v>
      </c>
      <c r="AJ5930" s="28"/>
      <c r="AK5930" s="28" t="n">
        <f aca="false">AJ5930*$M5930</f>
        <v>0</v>
      </c>
      <c r="AL5930" s="28"/>
      <c r="AM5930" s="28" t="n">
        <f aca="false">AL5930*$M5930</f>
        <v>0</v>
      </c>
      <c r="AN5930" s="28"/>
      <c r="AO5930" s="28" t="n">
        <f aca="false">AN5930*$M5930</f>
        <v>0</v>
      </c>
      <c r="AP5930" s="28"/>
      <c r="AQ5930" s="28" t="n">
        <f aca="false">AP5930*$M5930</f>
        <v>0</v>
      </c>
      <c r="AR5930" s="28"/>
      <c r="AS5930" s="28" t="n">
        <f aca="false">AR5930*$M5930</f>
        <v>0</v>
      </c>
      <c r="AT5930" s="28"/>
      <c r="AU5930" s="28" t="n">
        <f aca="false">AT5930*$M5930</f>
        <v>0</v>
      </c>
      <c r="AV5930" s="28"/>
      <c r="AW5930" s="28" t="n">
        <f aca="false">AV5930*$M5930</f>
        <v>0</v>
      </c>
      <c r="AX5930" s="28"/>
      <c r="AY5930" s="28" t="n">
        <f aca="false">AX5930*$M5930</f>
        <v>0</v>
      </c>
      <c r="AZ5930" s="30" t="n">
        <v>2377</v>
      </c>
      <c r="BA5930" s="11" t="n">
        <v>95080</v>
      </c>
      <c r="BB5930" s="31" t="n">
        <f aca="false">SUM(Q5930,S5930,U5930,W5930,Y5930,AA5930,AC5930,AE5930,AG5930,AI5930,AK5930,AM5930,AO5930,AQ5930,AS5930,AU5930,AW5930,AY5930)</f>
        <v>95080</v>
      </c>
      <c r="BC5930" s="28" t="n">
        <f aca="false">BA5930-BB5930</f>
        <v>0</v>
      </c>
      <c r="BD5930" s="32" t="n">
        <f aca="false">SUM(P5930,R5930,T5930,V5930,X5930,Z5930,AB5930,AD5930,AF5930,AH5930,AJ5930,AL5930,AN5930,AP5930,AR5930,AT5930,AV5930,AX5930)</f>
        <v>2377</v>
      </c>
      <c r="BE5930" s="33" t="n">
        <f aca="false">AZ5930-BD5930</f>
        <v>0</v>
      </c>
      <c r="BF5930" s="34" t="n">
        <f aca="false">BD5930*M5930</f>
        <v>95080</v>
      </c>
      <c r="BG5930" s="35" t="n">
        <f aca="false">BA5930-BF5930</f>
        <v>0</v>
      </c>
      <c r="BH5930" s="19" t="str">
        <f aca="false">IF(BG5930=0,"",IF(BG5930&lt;&gt;BA5930,"erreur de calcul",IF(BD5930&lt;&gt;0,"pas de prix",IF(M5930&lt;&gt; 0,"pas de quantité","pas de prix, ni de quantité"))))</f>
        <v/>
      </c>
      <c r="BI5930" s="19"/>
    </row>
    <row r="5931" customFormat="false" ht="15" hidden="false" customHeight="false" outlineLevel="0" collapsed="false">
      <c r="A5931" s="0" t="n">
        <v>25</v>
      </c>
      <c r="B5931" s="8" t="s">
        <v>24</v>
      </c>
      <c r="C5931" s="9" t="s">
        <v>25</v>
      </c>
      <c r="D5931" s="9" t="s">
        <v>26</v>
      </c>
      <c r="E5931" s="10" t="n">
        <v>1789</v>
      </c>
      <c r="F5931" s="9" t="s">
        <v>27</v>
      </c>
      <c r="G5931" s="9" t="s">
        <v>27</v>
      </c>
      <c r="H5931" s="11" t="n">
        <v>26</v>
      </c>
      <c r="I5931" s="11" t="s">
        <v>396</v>
      </c>
      <c r="J5931" s="14" t="n">
        <v>2</v>
      </c>
      <c r="K5931" s="14" t="n">
        <v>10</v>
      </c>
      <c r="L5931" s="16"/>
      <c r="M5931" s="27" t="n">
        <f aca="false">J5931+(K5931/20)+(L5931/240)</f>
        <v>2.5</v>
      </c>
      <c r="N5931" s="17" t="s">
        <v>66</v>
      </c>
      <c r="O5931" s="11"/>
      <c r="P5931" s="28"/>
      <c r="Q5931" s="28" t="n">
        <f aca="false">P5931*$M5931</f>
        <v>0</v>
      </c>
      <c r="R5931" s="28"/>
      <c r="S5931" s="28" t="n">
        <f aca="false">R5931*$M5931</f>
        <v>0</v>
      </c>
      <c r="T5931" s="28"/>
      <c r="U5931" s="28" t="n">
        <f aca="false">T5931*$M5931</f>
        <v>0</v>
      </c>
      <c r="V5931" s="28"/>
      <c r="W5931" s="28" t="n">
        <f aca="false">V5931*$M5931</f>
        <v>0</v>
      </c>
      <c r="X5931" s="28"/>
      <c r="Y5931" s="28" t="n">
        <f aca="false">X5931*$M5931</f>
        <v>0</v>
      </c>
      <c r="Z5931" s="28"/>
      <c r="AA5931" s="28" t="n">
        <f aca="false">Z5931*$M5931</f>
        <v>0</v>
      </c>
      <c r="AB5931" s="28"/>
      <c r="AC5931" s="28" t="n">
        <f aca="false">AB5931*$M5931</f>
        <v>0</v>
      </c>
      <c r="AD5931" s="28"/>
      <c r="AE5931" s="28" t="n">
        <f aca="false">AD5931*$M5931</f>
        <v>0</v>
      </c>
      <c r="AF5931" s="28"/>
      <c r="AG5931" s="28" t="n">
        <f aca="false">AF5931*$M5931</f>
        <v>0</v>
      </c>
      <c r="AH5931" s="28"/>
      <c r="AI5931" s="28" t="n">
        <f aca="false">AH5931*$M5931</f>
        <v>0</v>
      </c>
      <c r="AJ5931" s="28" t="n">
        <v>7127</v>
      </c>
      <c r="AK5931" s="28" t="n">
        <v>17817</v>
      </c>
      <c r="AL5931" s="28"/>
      <c r="AM5931" s="28" t="n">
        <f aca="false">AL5931*$M5931</f>
        <v>0</v>
      </c>
      <c r="AN5931" s="28"/>
      <c r="AO5931" s="28" t="n">
        <f aca="false">AN5931*$M5931</f>
        <v>0</v>
      </c>
      <c r="AP5931" s="28"/>
      <c r="AQ5931" s="28" t="n">
        <f aca="false">AP5931*$M5931</f>
        <v>0</v>
      </c>
      <c r="AR5931" s="28"/>
      <c r="AS5931" s="28" t="n">
        <f aca="false">AR5931*$M5931</f>
        <v>0</v>
      </c>
      <c r="AT5931" s="28"/>
      <c r="AU5931" s="28" t="n">
        <f aca="false">AT5931*$M5931</f>
        <v>0</v>
      </c>
      <c r="AV5931" s="28"/>
      <c r="AW5931" s="28" t="n">
        <f aca="false">AV5931*$M5931</f>
        <v>0</v>
      </c>
      <c r="AX5931" s="28"/>
      <c r="AY5931" s="28" t="n">
        <f aca="false">AX5931*$M5931</f>
        <v>0</v>
      </c>
      <c r="AZ5931" s="30" t="n">
        <v>7127</v>
      </c>
      <c r="BA5931" s="11" t="n">
        <v>17817</v>
      </c>
      <c r="BB5931" s="31" t="n">
        <f aca="false">SUM(Q5931,S5931,U5931,W5931,Y5931,AA5931,AC5931,AE5931,AG5931,AI5931,AK5931,AM5931,AO5931,AQ5931,AS5931,AU5931,AW5931,AY5931)</f>
        <v>17817</v>
      </c>
      <c r="BC5931" s="28" t="n">
        <f aca="false">BA5931-BB5931</f>
        <v>0</v>
      </c>
      <c r="BD5931" s="32" t="n">
        <f aca="false">SUM(P5931,R5931,T5931,V5931,X5931,Z5931,AB5931,AD5931,AF5931,AH5931,AJ5931,AL5931,AN5931,AP5931,AR5931,AT5931,AV5931,AX5931)</f>
        <v>7127</v>
      </c>
      <c r="BE5931" s="33" t="n">
        <f aca="false">AZ5931-BD5931</f>
        <v>0</v>
      </c>
      <c r="BF5931" s="34" t="n">
        <f aca="false">BD5931*M5931</f>
        <v>17817.5</v>
      </c>
      <c r="BG5931" s="35" t="n">
        <f aca="false">BA5931-BF5931</f>
        <v>-0.5</v>
      </c>
      <c r="BH5931" s="19" t="str">
        <f aca="false">IF(BG5931=0,"",IF(BG5931&lt;&gt;BA5931,"erreur de calcul",IF(BD5931&lt;&gt;0,"pas de prix",IF(M5931&lt;&gt; 0,"pas de quantité","pas de prix, ni de quantité"))))</f>
        <v>erreur de calcul</v>
      </c>
      <c r="BI5931" s="19"/>
    </row>
    <row r="5932" customFormat="false" ht="15" hidden="false" customHeight="false" outlineLevel="0" collapsed="false">
      <c r="A5932" s="0" t="n">
        <v>26</v>
      </c>
      <c r="B5932" s="8" t="s">
        <v>24</v>
      </c>
      <c r="C5932" s="9" t="s">
        <v>25</v>
      </c>
      <c r="D5932" s="9" t="s">
        <v>26</v>
      </c>
      <c r="E5932" s="10" t="n">
        <v>1789</v>
      </c>
      <c r="F5932" s="9" t="s">
        <v>27</v>
      </c>
      <c r="G5932" s="9" t="s">
        <v>27</v>
      </c>
      <c r="H5932" s="11" t="n">
        <v>26</v>
      </c>
      <c r="I5932" s="11" t="s">
        <v>397</v>
      </c>
      <c r="J5932" s="14" t="n">
        <v>6</v>
      </c>
      <c r="K5932" s="14" t="n">
        <v>10</v>
      </c>
      <c r="L5932" s="16"/>
      <c r="M5932" s="27" t="n">
        <f aca="false">J5932+(K5932/20)+(L5932/240)</f>
        <v>6.5</v>
      </c>
      <c r="N5932" s="17" t="s">
        <v>64</v>
      </c>
      <c r="O5932" s="11"/>
      <c r="P5932" s="28"/>
      <c r="Q5932" s="28" t="n">
        <f aca="false">P5932*$M5932</f>
        <v>0</v>
      </c>
      <c r="R5932" s="28"/>
      <c r="S5932" s="28" t="n">
        <f aca="false">R5932*$M5932</f>
        <v>0</v>
      </c>
      <c r="T5932" s="28"/>
      <c r="U5932" s="28" t="n">
        <f aca="false">T5932*$M5932</f>
        <v>0</v>
      </c>
      <c r="V5932" s="28"/>
      <c r="W5932" s="28" t="n">
        <f aca="false">V5932*$M5932</f>
        <v>0</v>
      </c>
      <c r="X5932" s="28" t="n">
        <f aca="false">22000/100</f>
        <v>220</v>
      </c>
      <c r="Y5932" s="28" t="n">
        <v>1430</v>
      </c>
      <c r="Z5932" s="28"/>
      <c r="AA5932" s="28" t="n">
        <f aca="false">Z5932*$M5932</f>
        <v>0</v>
      </c>
      <c r="AB5932" s="28" t="n">
        <f aca="false">3575715/100</f>
        <v>35757.15</v>
      </c>
      <c r="AC5932" s="36" t="n">
        <v>214543</v>
      </c>
      <c r="AD5932" s="28"/>
      <c r="AE5932" s="28" t="n">
        <f aca="false">AD5932*$M5932</f>
        <v>0</v>
      </c>
      <c r="AF5932" s="28"/>
      <c r="AG5932" s="28" t="n">
        <f aca="false">AF5932*$M5932</f>
        <v>0</v>
      </c>
      <c r="AH5932" s="28"/>
      <c r="AI5932" s="28" t="n">
        <f aca="false">AH5932*$M5932</f>
        <v>0</v>
      </c>
      <c r="AJ5932" s="28"/>
      <c r="AK5932" s="28" t="n">
        <f aca="false">AJ5932*$M5932</f>
        <v>0</v>
      </c>
      <c r="AL5932" s="28"/>
      <c r="AM5932" s="28" t="n">
        <f aca="false">AL5932*$M5932</f>
        <v>0</v>
      </c>
      <c r="AN5932" s="28"/>
      <c r="AO5932" s="28" t="n">
        <f aca="false">AN5932*$M5932</f>
        <v>0</v>
      </c>
      <c r="AP5932" s="28"/>
      <c r="AQ5932" s="28" t="n">
        <f aca="false">AP5932*$M5932</f>
        <v>0</v>
      </c>
      <c r="AR5932" s="28"/>
      <c r="AS5932" s="28" t="n">
        <f aca="false">AR5932*$M5932</f>
        <v>0</v>
      </c>
      <c r="AT5932" s="28"/>
      <c r="AU5932" s="28" t="n">
        <f aca="false">AT5932*$M5932</f>
        <v>0</v>
      </c>
      <c r="AV5932" s="28"/>
      <c r="AW5932" s="28" t="n">
        <f aca="false">AV5932*$M5932</f>
        <v>0</v>
      </c>
      <c r="AX5932" s="28"/>
      <c r="AY5932" s="28" t="n">
        <f aca="false">AX5932*$M5932</f>
        <v>0</v>
      </c>
      <c r="AZ5932" s="30" t="n">
        <f aca="false">3597715/100</f>
        <v>35977.15</v>
      </c>
      <c r="BA5932" s="11" t="n">
        <v>215973</v>
      </c>
      <c r="BB5932" s="31" t="n">
        <f aca="false">SUM(Q5932,S5932,U5932,W5932,Y5932,AA5932,AC5932,AE5932,AG5932,AI5932,AK5932,AM5932,AO5932,AQ5932,AS5932,AU5932,AW5932,AY5932)</f>
        <v>215973</v>
      </c>
      <c r="BC5932" s="28" t="n">
        <f aca="false">BA5932-BB5932</f>
        <v>0</v>
      </c>
      <c r="BD5932" s="32" t="n">
        <f aca="false">SUM(P5932,R5932,T5932,V5932,X5932,Z5932,AB5932,AD5932,AF5932,AH5932,AJ5932,AL5932,AN5932,AP5932,AR5932,AT5932,AV5932,AX5932)</f>
        <v>35977.15</v>
      </c>
      <c r="BE5932" s="33" t="n">
        <f aca="false">AZ5932-BD5932</f>
        <v>0</v>
      </c>
      <c r="BF5932" s="34" t="n">
        <f aca="false">BD5932*M5932</f>
        <v>233851.475</v>
      </c>
      <c r="BG5932" s="35" t="n">
        <f aca="false">BA5932-BF5932</f>
        <v>-17878.475</v>
      </c>
      <c r="BH5932" s="19" t="str">
        <f aca="false">IF(BG5932=0,"",IF(BG5932&lt;&gt;BA5932,"erreur de calcul",IF(BD5932&lt;&gt;0,"pas de prix",IF(M5932&lt;&gt; 0,"pas de quantité","pas de prix, ni de quantité"))))</f>
        <v>erreur de calcul</v>
      </c>
      <c r="BI5932" s="19"/>
    </row>
    <row r="5933" customFormat="false" ht="15" hidden="false" customHeight="false" outlineLevel="0" collapsed="false">
      <c r="A5933" s="0" t="n">
        <v>27</v>
      </c>
      <c r="B5933" s="8" t="s">
        <v>24</v>
      </c>
      <c r="C5933" s="9" t="s">
        <v>25</v>
      </c>
      <c r="D5933" s="9" t="s">
        <v>26</v>
      </c>
      <c r="E5933" s="10" t="n">
        <v>1789</v>
      </c>
      <c r="F5933" s="9" t="s">
        <v>27</v>
      </c>
      <c r="G5933" s="9" t="s">
        <v>27</v>
      </c>
      <c r="H5933" s="11" t="n">
        <v>26</v>
      </c>
      <c r="I5933" s="11" t="s">
        <v>398</v>
      </c>
      <c r="J5933" s="14" t="n">
        <v>11</v>
      </c>
      <c r="K5933" s="14"/>
      <c r="L5933" s="16"/>
      <c r="M5933" s="27" t="n">
        <f aca="false">J5933+(K5933/20)+(L5933/240)</f>
        <v>11</v>
      </c>
      <c r="N5933" s="17" t="s">
        <v>64</v>
      </c>
      <c r="O5933" s="11"/>
      <c r="P5933" s="28" t="n">
        <f aca="false">166667/100</f>
        <v>1666.67</v>
      </c>
      <c r="Q5933" s="28" t="n">
        <v>18333</v>
      </c>
      <c r="R5933" s="28"/>
      <c r="S5933" s="28" t="n">
        <f aca="false">R5933*$M5933</f>
        <v>0</v>
      </c>
      <c r="T5933" s="28"/>
      <c r="U5933" s="28" t="n">
        <f aca="false">T5933*$M5933</f>
        <v>0</v>
      </c>
      <c r="V5933" s="28"/>
      <c r="W5933" s="28" t="n">
        <f aca="false">V5933*$M5933</f>
        <v>0</v>
      </c>
      <c r="X5933" s="28"/>
      <c r="Y5933" s="28" t="n">
        <f aca="false">X5933*$M5933</f>
        <v>0</v>
      </c>
      <c r="Z5933" s="28"/>
      <c r="AA5933" s="28" t="n">
        <f aca="false">Z5933*$M5933</f>
        <v>0</v>
      </c>
      <c r="AB5933" s="28" t="n">
        <f aca="false">3312/100</f>
        <v>33.12</v>
      </c>
      <c r="AC5933" s="28" t="n">
        <v>364</v>
      </c>
      <c r="AD5933" s="28"/>
      <c r="AE5933" s="28" t="n">
        <f aca="false">AD5933*$M5933</f>
        <v>0</v>
      </c>
      <c r="AF5933" s="28"/>
      <c r="AG5933" s="28" t="n">
        <f aca="false">AF5933*$M5933</f>
        <v>0</v>
      </c>
      <c r="AH5933" s="28"/>
      <c r="AI5933" s="28" t="n">
        <f aca="false">AH5933*$M5933</f>
        <v>0</v>
      </c>
      <c r="AJ5933" s="28"/>
      <c r="AK5933" s="28" t="n">
        <f aca="false">AJ5933*$M5933</f>
        <v>0</v>
      </c>
      <c r="AL5933" s="28"/>
      <c r="AM5933" s="28" t="n">
        <f aca="false">AL5933*$M5933</f>
        <v>0</v>
      </c>
      <c r="AN5933" s="28"/>
      <c r="AO5933" s="28" t="n">
        <f aca="false">AN5933*$M5933</f>
        <v>0</v>
      </c>
      <c r="AP5933" s="28"/>
      <c r="AQ5933" s="28" t="n">
        <f aca="false">AP5933*$M5933</f>
        <v>0</v>
      </c>
      <c r="AR5933" s="28"/>
      <c r="AS5933" s="28" t="n">
        <f aca="false">AR5933*$M5933</f>
        <v>0</v>
      </c>
      <c r="AT5933" s="28"/>
      <c r="AU5933" s="28" t="n">
        <f aca="false">AT5933*$M5933</f>
        <v>0</v>
      </c>
      <c r="AV5933" s="28"/>
      <c r="AW5933" s="28" t="n">
        <f aca="false">AV5933*$M5933</f>
        <v>0</v>
      </c>
      <c r="AX5933" s="28"/>
      <c r="AY5933" s="28" t="n">
        <f aca="false">AX5933*$M5933</f>
        <v>0</v>
      </c>
      <c r="AZ5933" s="30" t="n">
        <f aca="false">169979/100</f>
        <v>1699.79</v>
      </c>
      <c r="BA5933" s="11" t="n">
        <v>18697</v>
      </c>
      <c r="BB5933" s="31" t="n">
        <f aca="false">SUM(Q5933,S5933,U5933,W5933,Y5933,AA5933,AC5933,AE5933,AG5933,AI5933,AK5933,AM5933,AO5933,AQ5933,AS5933,AU5933,AW5933,AY5933)</f>
        <v>18697</v>
      </c>
      <c r="BC5933" s="28" t="n">
        <f aca="false">BA5933-BB5933</f>
        <v>0</v>
      </c>
      <c r="BD5933" s="32" t="n">
        <f aca="false">SUM(P5933,R5933,T5933,V5933,X5933,Z5933,AB5933,AD5933,AF5933,AH5933,AJ5933,AL5933,AN5933,AP5933,AR5933,AT5933,AV5933,AX5933)</f>
        <v>1699.79</v>
      </c>
      <c r="BE5933" s="33" t="n">
        <f aca="false">AZ5933-BD5933</f>
        <v>0</v>
      </c>
      <c r="BF5933" s="34" t="n">
        <f aca="false">BD5933*M5933</f>
        <v>18697.69</v>
      </c>
      <c r="BG5933" s="35" t="n">
        <f aca="false">BA5933-BF5933</f>
        <v>-0.68999999999869</v>
      </c>
      <c r="BH5933" s="19" t="str">
        <f aca="false">IF(BG5933=0,"",IF(BG5933&lt;&gt;BA5933,"erreur de calcul",IF(BD5933&lt;&gt;0,"pas de prix",IF(M5933&lt;&gt; 0,"pas de quantité","pas de prix, ni de quantité"))))</f>
        <v>erreur de calcul</v>
      </c>
      <c r="BI5933" s="19"/>
    </row>
    <row r="5934" customFormat="false" ht="15" hidden="false" customHeight="false" outlineLevel="0" collapsed="false">
      <c r="A5934" s="0" t="n">
        <v>28</v>
      </c>
      <c r="B5934" s="8" t="s">
        <v>24</v>
      </c>
      <c r="C5934" s="9" t="s">
        <v>25</v>
      </c>
      <c r="D5934" s="9" t="s">
        <v>26</v>
      </c>
      <c r="E5934" s="10" t="n">
        <v>1789</v>
      </c>
      <c r="F5934" s="9" t="s">
        <v>27</v>
      </c>
      <c r="G5934" s="9" t="s">
        <v>27</v>
      </c>
      <c r="H5934" s="11" t="n">
        <v>26</v>
      </c>
      <c r="I5934" s="11" t="s">
        <v>399</v>
      </c>
      <c r="J5934" s="14" t="n">
        <v>18</v>
      </c>
      <c r="K5934" s="14"/>
      <c r="L5934" s="16"/>
      <c r="M5934" s="27" t="n">
        <f aca="false">J5934+(K5934/20)+(L5934/240)</f>
        <v>18</v>
      </c>
      <c r="N5934" s="17" t="s">
        <v>66</v>
      </c>
      <c r="O5934" s="11"/>
      <c r="P5934" s="28"/>
      <c r="Q5934" s="28" t="n">
        <f aca="false">P5934*$M5934</f>
        <v>0</v>
      </c>
      <c r="R5934" s="28"/>
      <c r="S5934" s="28" t="n">
        <f aca="false">R5934*$M5934</f>
        <v>0</v>
      </c>
      <c r="T5934" s="28"/>
      <c r="U5934" s="28" t="n">
        <f aca="false">T5934*$M5934</f>
        <v>0</v>
      </c>
      <c r="V5934" s="28"/>
      <c r="W5934" s="28" t="n">
        <f aca="false">V5934*$M5934</f>
        <v>0</v>
      </c>
      <c r="X5934" s="28"/>
      <c r="Y5934" s="28" t="n">
        <f aca="false">X5934*$M5934</f>
        <v>0</v>
      </c>
      <c r="Z5934" s="28"/>
      <c r="AA5934" s="28" t="n">
        <f aca="false">Z5934*$M5934</f>
        <v>0</v>
      </c>
      <c r="AB5934" s="28"/>
      <c r="AC5934" s="28" t="n">
        <f aca="false">AB5934*$M5934</f>
        <v>0</v>
      </c>
      <c r="AD5934" s="28"/>
      <c r="AE5934" s="28" t="n">
        <f aca="false">AD5934*$M5934</f>
        <v>0</v>
      </c>
      <c r="AF5934" s="28"/>
      <c r="AG5934" s="28" t="n">
        <f aca="false">AF5934*$M5934</f>
        <v>0</v>
      </c>
      <c r="AH5934" s="28" t="n">
        <v>72036</v>
      </c>
      <c r="AI5934" s="28" t="n">
        <v>1296648</v>
      </c>
      <c r="AJ5934" s="28"/>
      <c r="AK5934" s="28" t="n">
        <f aca="false">AJ5934*$M5934</f>
        <v>0</v>
      </c>
      <c r="AL5934" s="28"/>
      <c r="AM5934" s="28" t="n">
        <f aca="false">AL5934*$M5934</f>
        <v>0</v>
      </c>
      <c r="AN5934" s="28"/>
      <c r="AO5934" s="28" t="n">
        <f aca="false">AN5934*$M5934</f>
        <v>0</v>
      </c>
      <c r="AP5934" s="28"/>
      <c r="AQ5934" s="28" t="n">
        <f aca="false">AP5934*$M5934</f>
        <v>0</v>
      </c>
      <c r="AR5934" s="28"/>
      <c r="AS5934" s="28" t="n">
        <f aca="false">AR5934*$M5934</f>
        <v>0</v>
      </c>
      <c r="AT5934" s="28"/>
      <c r="AU5934" s="28" t="n">
        <f aca="false">AT5934*$M5934</f>
        <v>0</v>
      </c>
      <c r="AV5934" s="28"/>
      <c r="AW5934" s="28" t="n">
        <f aca="false">AV5934*$M5934</f>
        <v>0</v>
      </c>
      <c r="AX5934" s="28"/>
      <c r="AY5934" s="28" t="n">
        <f aca="false">AX5934*$M5934</f>
        <v>0</v>
      </c>
      <c r="AZ5934" s="30" t="n">
        <v>72036</v>
      </c>
      <c r="BA5934" s="11" t="n">
        <v>1296648</v>
      </c>
      <c r="BB5934" s="31" t="n">
        <f aca="false">SUM(Q5934,S5934,U5934,W5934,Y5934,AA5934,AC5934,AE5934,AG5934,AI5934,AK5934,AM5934,AO5934,AQ5934,AS5934,AU5934,AW5934,AY5934)</f>
        <v>1296648</v>
      </c>
      <c r="BC5934" s="28" t="n">
        <f aca="false">BA5934-BB5934</f>
        <v>0</v>
      </c>
      <c r="BD5934" s="32" t="n">
        <f aca="false">SUM(P5934,R5934,T5934,V5934,X5934,Z5934,AB5934,AD5934,AF5934,AH5934,AJ5934,AL5934,AN5934,AP5934,AR5934,AT5934,AV5934,AX5934)</f>
        <v>72036</v>
      </c>
      <c r="BE5934" s="33" t="n">
        <f aca="false">AZ5934-BD5934</f>
        <v>0</v>
      </c>
      <c r="BF5934" s="34" t="n">
        <f aca="false">BD5934*M5934</f>
        <v>1296648</v>
      </c>
      <c r="BG5934" s="35" t="n">
        <f aca="false">BA5934-BF5934</f>
        <v>0</v>
      </c>
      <c r="BH5934" s="19" t="str">
        <f aca="false">IF(BG5934=0,"",IF(BG5934&lt;&gt;BA5934,"erreur de calcul",IF(BD5934&lt;&gt;0,"pas de prix",IF(M5934&lt;&gt; 0,"pas de quantité","pas de prix, ni de quantité"))))</f>
        <v/>
      </c>
      <c r="BI5934" s="19"/>
    </row>
    <row r="5935" customFormat="false" ht="15" hidden="false" customHeight="false" outlineLevel="0" collapsed="false">
      <c r="A5935" s="0" t="n">
        <v>29</v>
      </c>
      <c r="B5935" s="8" t="s">
        <v>24</v>
      </c>
      <c r="C5935" s="9" t="s">
        <v>25</v>
      </c>
      <c r="D5935" s="9" t="s">
        <v>26</v>
      </c>
      <c r="E5935" s="10" t="n">
        <v>1789</v>
      </c>
      <c r="F5935" s="9" t="s">
        <v>27</v>
      </c>
      <c r="G5935" s="9" t="s">
        <v>27</v>
      </c>
      <c r="H5935" s="11" t="n">
        <v>26</v>
      </c>
      <c r="I5935" s="11" t="s">
        <v>400</v>
      </c>
      <c r="J5935" s="14" t="n">
        <v>19</v>
      </c>
      <c r="K5935" s="14"/>
      <c r="L5935" s="16"/>
      <c r="M5935" s="27" t="n">
        <f aca="false">J5935+(K5935/20)+(L5935/240)</f>
        <v>19</v>
      </c>
      <c r="N5935" s="17" t="s">
        <v>66</v>
      </c>
      <c r="O5935" s="11"/>
      <c r="P5935" s="28"/>
      <c r="Q5935" s="28" t="n">
        <f aca="false">P5935*$M5935</f>
        <v>0</v>
      </c>
      <c r="R5935" s="28"/>
      <c r="S5935" s="28" t="n">
        <f aca="false">R5935*$M5935</f>
        <v>0</v>
      </c>
      <c r="T5935" s="28"/>
      <c r="U5935" s="28" t="n">
        <f aca="false">T5935*$M5935</f>
        <v>0</v>
      </c>
      <c r="V5935" s="28"/>
      <c r="W5935" s="28" t="n">
        <f aca="false">V5935*$M5935</f>
        <v>0</v>
      </c>
      <c r="X5935" s="28"/>
      <c r="Y5935" s="28" t="n">
        <f aca="false">X5935*$M5935</f>
        <v>0</v>
      </c>
      <c r="Z5935" s="28"/>
      <c r="AA5935" s="28" t="n">
        <f aca="false">Z5935*$M5935</f>
        <v>0</v>
      </c>
      <c r="AB5935" s="28" t="n">
        <v>1176</v>
      </c>
      <c r="AC5935" s="28" t="n">
        <v>22344</v>
      </c>
      <c r="AD5935" s="28"/>
      <c r="AE5935" s="28" t="n">
        <f aca="false">AD5935*$M5935</f>
        <v>0</v>
      </c>
      <c r="AF5935" s="28"/>
      <c r="AG5935" s="28" t="n">
        <f aca="false">AF5935*$M5935</f>
        <v>0</v>
      </c>
      <c r="AH5935" s="28"/>
      <c r="AI5935" s="28" t="n">
        <f aca="false">AH5935*$M5935</f>
        <v>0</v>
      </c>
      <c r="AJ5935" s="28"/>
      <c r="AK5935" s="28" t="n">
        <f aca="false">AJ5935*$M5935</f>
        <v>0</v>
      </c>
      <c r="AL5935" s="28"/>
      <c r="AM5935" s="28" t="n">
        <f aca="false">AL5935*$M5935</f>
        <v>0</v>
      </c>
      <c r="AN5935" s="28"/>
      <c r="AO5935" s="28" t="n">
        <f aca="false">AN5935*$M5935</f>
        <v>0</v>
      </c>
      <c r="AP5935" s="28"/>
      <c r="AQ5935" s="28" t="n">
        <f aca="false">AP5935*$M5935</f>
        <v>0</v>
      </c>
      <c r="AR5935" s="28"/>
      <c r="AS5935" s="28" t="n">
        <f aca="false">AR5935*$M5935</f>
        <v>0</v>
      </c>
      <c r="AT5935" s="28"/>
      <c r="AU5935" s="28" t="n">
        <f aca="false">AT5935*$M5935</f>
        <v>0</v>
      </c>
      <c r="AV5935" s="28"/>
      <c r="AW5935" s="28" t="n">
        <f aca="false">AV5935*$M5935</f>
        <v>0</v>
      </c>
      <c r="AX5935" s="28"/>
      <c r="AY5935" s="28" t="n">
        <f aca="false">AX5935*$M5935</f>
        <v>0</v>
      </c>
      <c r="AZ5935" s="30" t="n">
        <v>1176</v>
      </c>
      <c r="BA5935" s="11" t="n">
        <v>22344</v>
      </c>
      <c r="BB5935" s="31" t="n">
        <f aca="false">SUM(Q5935,S5935,U5935,W5935,Y5935,AA5935,AC5935,AE5935,AG5935,AI5935,AK5935,AM5935,AO5935,AQ5935,AS5935,AU5935,AW5935,AY5935)</f>
        <v>22344</v>
      </c>
      <c r="BC5935" s="28" t="n">
        <f aca="false">BA5935-BB5935</f>
        <v>0</v>
      </c>
      <c r="BD5935" s="32" t="n">
        <f aca="false">SUM(P5935,R5935,T5935,V5935,X5935,Z5935,AB5935,AD5935,AF5935,AH5935,AJ5935,AL5935,AN5935,AP5935,AR5935,AT5935,AV5935,AX5935)</f>
        <v>1176</v>
      </c>
      <c r="BE5935" s="33" t="n">
        <f aca="false">AZ5935-BD5935</f>
        <v>0</v>
      </c>
      <c r="BF5935" s="34" t="n">
        <f aca="false">BD5935*M5935</f>
        <v>22344</v>
      </c>
      <c r="BG5935" s="35" t="n">
        <f aca="false">BA5935-BF5935</f>
        <v>0</v>
      </c>
      <c r="BH5935" s="19" t="str">
        <f aca="false">IF(BG5935=0,"",IF(BG5935&lt;&gt;BA5935,"erreur de calcul",IF(BD5935&lt;&gt;0,"pas de prix",IF(M5935&lt;&gt; 0,"pas de quantité","pas de prix, ni de quantité"))))</f>
        <v/>
      </c>
      <c r="BI5935" s="19"/>
    </row>
    <row r="5936" customFormat="false" ht="15" hidden="false" customHeight="false" outlineLevel="0" collapsed="false">
      <c r="A5936" s="0" t="n">
        <v>30</v>
      </c>
      <c r="B5936" s="8" t="s">
        <v>24</v>
      </c>
      <c r="C5936" s="9" t="s">
        <v>25</v>
      </c>
      <c r="D5936" s="9" t="s">
        <v>26</v>
      </c>
      <c r="E5936" s="10" t="n">
        <v>1789</v>
      </c>
      <c r="F5936" s="9" t="s">
        <v>27</v>
      </c>
      <c r="G5936" s="9" t="s">
        <v>27</v>
      </c>
      <c r="H5936" s="11" t="n">
        <v>26</v>
      </c>
      <c r="I5936" s="11" t="s">
        <v>401</v>
      </c>
      <c r="J5936" s="14" t="n">
        <v>20</v>
      </c>
      <c r="K5936" s="14"/>
      <c r="L5936" s="16"/>
      <c r="M5936" s="27" t="n">
        <f aca="false">J5936+(K5936/20)+(L5936/240)</f>
        <v>20</v>
      </c>
      <c r="N5936" s="17" t="s">
        <v>66</v>
      </c>
      <c r="O5936" s="11"/>
      <c r="P5936" s="28"/>
      <c r="Q5936" s="28" t="n">
        <f aca="false">P5936*$M5936</f>
        <v>0</v>
      </c>
      <c r="R5936" s="28"/>
      <c r="S5936" s="28" t="n">
        <f aca="false">R5936*$M5936</f>
        <v>0</v>
      </c>
      <c r="T5936" s="28" t="n">
        <v>7478</v>
      </c>
      <c r="U5936" s="28" t="n">
        <v>149560</v>
      </c>
      <c r="V5936" s="28" t="n">
        <v>3386</v>
      </c>
      <c r="W5936" s="36" t="n">
        <v>66720</v>
      </c>
      <c r="X5936" s="28" t="n">
        <v>2233</v>
      </c>
      <c r="Y5936" s="28" t="n">
        <v>44660</v>
      </c>
      <c r="Z5936" s="28" t="n">
        <v>867</v>
      </c>
      <c r="AA5936" s="28" t="n">
        <v>17340</v>
      </c>
      <c r="AB5936" s="28" t="n">
        <v>32380</v>
      </c>
      <c r="AC5936" s="28" t="n">
        <v>647600</v>
      </c>
      <c r="AD5936" s="28"/>
      <c r="AE5936" s="28" t="n">
        <f aca="false">AD5936*$M5936</f>
        <v>0</v>
      </c>
      <c r="AF5936" s="28"/>
      <c r="AG5936" s="28" t="n">
        <f aca="false">AF5936*$M5936</f>
        <v>0</v>
      </c>
      <c r="AH5936" s="28" t="n">
        <v>12038</v>
      </c>
      <c r="AI5936" s="28" t="n">
        <v>240760</v>
      </c>
      <c r="AJ5936" s="28"/>
      <c r="AK5936" s="28" t="n">
        <f aca="false">AJ5936*$M5936</f>
        <v>0</v>
      </c>
      <c r="AL5936" s="28"/>
      <c r="AM5936" s="28" t="n">
        <f aca="false">AL5936*$M5936</f>
        <v>0</v>
      </c>
      <c r="AN5936" s="28"/>
      <c r="AO5936" s="28" t="n">
        <f aca="false">AN5936*$M5936</f>
        <v>0</v>
      </c>
      <c r="AP5936" s="28"/>
      <c r="AQ5936" s="28" t="n">
        <f aca="false">AP5936*$M5936</f>
        <v>0</v>
      </c>
      <c r="AR5936" s="28"/>
      <c r="AS5936" s="28" t="n">
        <f aca="false">AR5936*$M5936</f>
        <v>0</v>
      </c>
      <c r="AT5936" s="28"/>
      <c r="AU5936" s="28" t="n">
        <f aca="false">AT5936*$M5936</f>
        <v>0</v>
      </c>
      <c r="AV5936" s="28"/>
      <c r="AW5936" s="28" t="n">
        <f aca="false">AV5936*$M5936</f>
        <v>0</v>
      </c>
      <c r="AX5936" s="28"/>
      <c r="AY5936" s="28" t="n">
        <f aca="false">AX5936*$M5936</f>
        <v>0</v>
      </c>
      <c r="AZ5936" s="30" t="n">
        <v>58382</v>
      </c>
      <c r="BA5936" s="11" t="n">
        <v>1166640</v>
      </c>
      <c r="BB5936" s="31" t="n">
        <f aca="false">SUM(Q5936,S5936,U5936,W5936,Y5936,AA5936,AC5936,AE5936,AG5936,AI5936,AK5936,AM5936,AO5936,AQ5936,AS5936,AU5936,AW5936,AY5936)</f>
        <v>1166640</v>
      </c>
      <c r="BC5936" s="28" t="n">
        <f aca="false">BA5936-BB5936</f>
        <v>0</v>
      </c>
      <c r="BD5936" s="32" t="n">
        <f aca="false">SUM(P5936,R5936,T5936,V5936,X5936,Z5936,AB5936,AD5936,AF5936,AH5936,AJ5936,AL5936,AN5936,AP5936,AR5936,AT5936,AV5936,AX5936)</f>
        <v>58382</v>
      </c>
      <c r="BE5936" s="33" t="n">
        <f aca="false">AZ5936-BD5936</f>
        <v>0</v>
      </c>
      <c r="BF5936" s="34" t="n">
        <f aca="false">BD5936*M5936</f>
        <v>1167640</v>
      </c>
      <c r="BG5936" s="35" t="n">
        <f aca="false">BA5936-BF5936</f>
        <v>-1000</v>
      </c>
      <c r="BH5936" s="19" t="str">
        <f aca="false">IF(BG5936=0,"",IF(BG5936&lt;&gt;BA5936,"erreur de calcul",IF(BD5936&lt;&gt;0,"pas de prix",IF(M5936&lt;&gt; 0,"pas de quantité","pas de prix, ni de quantité"))))</f>
        <v>erreur de calcul</v>
      </c>
      <c r="BI5936" s="19"/>
    </row>
    <row r="5937" customFormat="false" ht="15" hidden="false" customHeight="false" outlineLevel="0" collapsed="false">
      <c r="A5937" s="0" t="n">
        <v>31</v>
      </c>
      <c r="B5937" s="8" t="s">
        <v>24</v>
      </c>
      <c r="C5937" s="9" t="s">
        <v>25</v>
      </c>
      <c r="D5937" s="9" t="s">
        <v>26</v>
      </c>
      <c r="E5937" s="10" t="n">
        <v>1789</v>
      </c>
      <c r="F5937" s="9" t="s">
        <v>27</v>
      </c>
      <c r="G5937" s="9" t="s">
        <v>27</v>
      </c>
      <c r="H5937" s="11" t="n">
        <v>26</v>
      </c>
      <c r="I5937" s="11" t="s">
        <v>402</v>
      </c>
      <c r="J5937" s="14" t="n">
        <v>17</v>
      </c>
      <c r="K5937" s="14"/>
      <c r="L5937" s="16"/>
      <c r="M5937" s="27" t="n">
        <f aca="false">J5937+(K5937/20)+(L5937/240)</f>
        <v>17</v>
      </c>
      <c r="N5937" s="17" t="s">
        <v>66</v>
      </c>
      <c r="O5937" s="11"/>
      <c r="P5937" s="28"/>
      <c r="Q5937" s="28" t="n">
        <f aca="false">P5937*$M5937</f>
        <v>0</v>
      </c>
      <c r="R5937" s="28"/>
      <c r="S5937" s="28" t="n">
        <f aca="false">R5937*$M5937</f>
        <v>0</v>
      </c>
      <c r="T5937" s="28" t="n">
        <v>126481</v>
      </c>
      <c r="U5937" s="28" t="n">
        <v>2150177</v>
      </c>
      <c r="V5937" s="28"/>
      <c r="W5937" s="28" t="n">
        <f aca="false">V5937*$M5937</f>
        <v>0</v>
      </c>
      <c r="X5937" s="28"/>
      <c r="Y5937" s="28" t="n">
        <f aca="false">X5937*$M5937</f>
        <v>0</v>
      </c>
      <c r="Z5937" s="28"/>
      <c r="AA5937" s="28" t="n">
        <f aca="false">Z5937*$M5937</f>
        <v>0</v>
      </c>
      <c r="AB5937" s="28"/>
      <c r="AC5937" s="28" t="n">
        <f aca="false">AB5937*$M5937</f>
        <v>0</v>
      </c>
      <c r="AD5937" s="28"/>
      <c r="AE5937" s="28" t="n">
        <f aca="false">AD5937*$M5937</f>
        <v>0</v>
      </c>
      <c r="AF5937" s="28"/>
      <c r="AG5937" s="28" t="n">
        <f aca="false">AF5937*$M5937</f>
        <v>0</v>
      </c>
      <c r="AH5937" s="28"/>
      <c r="AI5937" s="28" t="n">
        <f aca="false">AH5937*$M5937</f>
        <v>0</v>
      </c>
      <c r="AJ5937" s="28"/>
      <c r="AK5937" s="28" t="n">
        <f aca="false">AJ5937*$M5937</f>
        <v>0</v>
      </c>
      <c r="AL5937" s="28"/>
      <c r="AM5937" s="28" t="n">
        <f aca="false">AL5937*$M5937</f>
        <v>0</v>
      </c>
      <c r="AN5937" s="28"/>
      <c r="AO5937" s="28" t="n">
        <f aca="false">AN5937*$M5937</f>
        <v>0</v>
      </c>
      <c r="AP5937" s="28"/>
      <c r="AQ5937" s="28" t="n">
        <f aca="false">AP5937*$M5937</f>
        <v>0</v>
      </c>
      <c r="AR5937" s="28"/>
      <c r="AS5937" s="28" t="n">
        <f aca="false">AR5937*$M5937</f>
        <v>0</v>
      </c>
      <c r="AT5937" s="28"/>
      <c r="AU5937" s="28" t="n">
        <f aca="false">AT5937*$M5937</f>
        <v>0</v>
      </c>
      <c r="AV5937" s="28"/>
      <c r="AW5937" s="28" t="n">
        <f aca="false">AV5937*$M5937</f>
        <v>0</v>
      </c>
      <c r="AX5937" s="28"/>
      <c r="AY5937" s="28" t="n">
        <f aca="false">AX5937*$M5937</f>
        <v>0</v>
      </c>
      <c r="AZ5937" s="30" t="n">
        <v>126481</v>
      </c>
      <c r="BA5937" s="11" t="n">
        <v>2150177</v>
      </c>
      <c r="BB5937" s="31" t="n">
        <f aca="false">SUM(Q5937,S5937,U5937,W5937,Y5937,AA5937,AC5937,AE5937,AG5937,AI5937,AK5937,AM5937,AO5937,AQ5937,AS5937,AU5937,AW5937,AY5937)</f>
        <v>2150177</v>
      </c>
      <c r="BC5937" s="28" t="n">
        <f aca="false">BA5937-BB5937</f>
        <v>0</v>
      </c>
      <c r="BD5937" s="32" t="n">
        <f aca="false">SUM(P5937,R5937,T5937,V5937,X5937,Z5937,AB5937,AD5937,AF5937,AH5937,AJ5937,AL5937,AN5937,AP5937,AR5937,AT5937,AV5937,AX5937)</f>
        <v>126481</v>
      </c>
      <c r="BE5937" s="33" t="n">
        <f aca="false">AZ5937-BD5937</f>
        <v>0</v>
      </c>
      <c r="BF5937" s="34" t="n">
        <f aca="false">BD5937*M5937</f>
        <v>2150177</v>
      </c>
      <c r="BG5937" s="35" t="n">
        <f aca="false">BA5937-BF5937</f>
        <v>0</v>
      </c>
      <c r="BH5937" s="19" t="str">
        <f aca="false">IF(BG5937=0,"",IF(BG5937&lt;&gt;BA5937,"erreur de calcul",IF(BD5937&lt;&gt;0,"pas de prix",IF(M5937&lt;&gt; 0,"pas de quantité","pas de prix, ni de quantité"))))</f>
        <v/>
      </c>
      <c r="BI5937" s="19"/>
    </row>
    <row r="5938" customFormat="false" ht="15" hidden="false" customHeight="false" outlineLevel="0" collapsed="false">
      <c r="A5938" s="0" t="n">
        <v>32</v>
      </c>
      <c r="B5938" s="8" t="s">
        <v>24</v>
      </c>
      <c r="C5938" s="9" t="s">
        <v>25</v>
      </c>
      <c r="D5938" s="9" t="s">
        <v>26</v>
      </c>
      <c r="E5938" s="10" t="n">
        <v>1789</v>
      </c>
      <c r="F5938" s="9" t="s">
        <v>27</v>
      </c>
      <c r="G5938" s="9" t="s">
        <v>27</v>
      </c>
      <c r="H5938" s="11" t="n">
        <v>26</v>
      </c>
      <c r="I5938" s="11" t="s">
        <v>403</v>
      </c>
      <c r="J5938" s="14" t="n">
        <v>28</v>
      </c>
      <c r="K5938" s="14"/>
      <c r="L5938" s="16"/>
      <c r="M5938" s="27" t="n">
        <f aca="false">J5938+(K5938/20)+(L5938/240)</f>
        <v>28</v>
      </c>
      <c r="N5938" s="17" t="s">
        <v>66</v>
      </c>
      <c r="O5938" s="11"/>
      <c r="P5938" s="28"/>
      <c r="Q5938" s="28" t="n">
        <f aca="false">P5938*$M5938</f>
        <v>0</v>
      </c>
      <c r="R5938" s="28"/>
      <c r="S5938" s="28" t="n">
        <f aca="false">R5938*$M5938</f>
        <v>0</v>
      </c>
      <c r="T5938" s="28"/>
      <c r="U5938" s="28" t="n">
        <f aca="false">T5938*$M5938</f>
        <v>0</v>
      </c>
      <c r="V5938" s="28" t="n">
        <v>1923</v>
      </c>
      <c r="W5938" s="28" t="n">
        <v>53844</v>
      </c>
      <c r="X5938" s="28" t="n">
        <v>7280</v>
      </c>
      <c r="Y5938" s="36" t="n">
        <v>203860</v>
      </c>
      <c r="Z5938" s="28"/>
      <c r="AA5938" s="28" t="n">
        <f aca="false">Z5938*$M5938</f>
        <v>0</v>
      </c>
      <c r="AB5938" s="28" t="n">
        <v>128803</v>
      </c>
      <c r="AC5938" s="28" t="n">
        <v>3606484</v>
      </c>
      <c r="AD5938" s="28"/>
      <c r="AE5938" s="28" t="n">
        <f aca="false">AD5938*$M5938</f>
        <v>0</v>
      </c>
      <c r="AF5938" s="28"/>
      <c r="AG5938" s="28" t="n">
        <f aca="false">AF5938*$M5938</f>
        <v>0</v>
      </c>
      <c r="AH5938" s="28"/>
      <c r="AI5938" s="28" t="n">
        <f aca="false">AH5938*$M5938</f>
        <v>0</v>
      </c>
      <c r="AJ5938" s="28"/>
      <c r="AK5938" s="28" t="n">
        <f aca="false">AJ5938*$M5938</f>
        <v>0</v>
      </c>
      <c r="AL5938" s="28"/>
      <c r="AM5938" s="28" t="n">
        <f aca="false">AL5938*$M5938</f>
        <v>0</v>
      </c>
      <c r="AN5938" s="28"/>
      <c r="AO5938" s="28" t="n">
        <f aca="false">AN5938*$M5938</f>
        <v>0</v>
      </c>
      <c r="AP5938" s="28"/>
      <c r="AQ5938" s="28" t="n">
        <f aca="false">AP5938*$M5938</f>
        <v>0</v>
      </c>
      <c r="AR5938" s="28"/>
      <c r="AS5938" s="28" t="n">
        <f aca="false">AR5938*$M5938</f>
        <v>0</v>
      </c>
      <c r="AT5938" s="28"/>
      <c r="AU5938" s="28" t="n">
        <f aca="false">AT5938*$M5938</f>
        <v>0</v>
      </c>
      <c r="AV5938" s="28"/>
      <c r="AW5938" s="28" t="n">
        <f aca="false">AV5938*$M5938</f>
        <v>0</v>
      </c>
      <c r="AX5938" s="28"/>
      <c r="AY5938" s="28" t="n">
        <f aca="false">AX5938*$M5938</f>
        <v>0</v>
      </c>
      <c r="AZ5938" s="30" t="n">
        <v>138006</v>
      </c>
      <c r="BA5938" s="11" t="n">
        <v>3864188</v>
      </c>
      <c r="BB5938" s="31" t="n">
        <f aca="false">SUM(Q5938,S5938,U5938,W5938,Y5938,AA5938,AC5938,AE5938,AG5938,AI5938,AK5938,AM5938,AO5938,AQ5938,AS5938,AU5938,AW5938,AY5938)</f>
        <v>3864188</v>
      </c>
      <c r="BC5938" s="28" t="n">
        <f aca="false">BA5938-BB5938</f>
        <v>0</v>
      </c>
      <c r="BD5938" s="32" t="n">
        <f aca="false">SUM(P5938,R5938,T5938,V5938,X5938,Z5938,AB5938,AD5938,AF5938,AH5938,AJ5938,AL5938,AN5938,AP5938,AR5938,AT5938,AV5938,AX5938)</f>
        <v>138006</v>
      </c>
      <c r="BE5938" s="33" t="n">
        <f aca="false">AZ5938-BD5938</f>
        <v>0</v>
      </c>
      <c r="BF5938" s="34" t="n">
        <f aca="false">BD5938*M5938</f>
        <v>3864168</v>
      </c>
      <c r="BG5938" s="35" t="n">
        <f aca="false">BA5938-BF5938</f>
        <v>20</v>
      </c>
      <c r="BH5938" s="19" t="str">
        <f aca="false">IF(BG5938=0,"",IF(BG5938&lt;&gt;BA5938,"erreur de calcul",IF(BD5938&lt;&gt;0,"pas de prix",IF(M5938&lt;&gt; 0,"pas de quantité","pas de prix, ni de quantité"))))</f>
        <v>erreur de calcul</v>
      </c>
      <c r="BI5938" s="19"/>
    </row>
    <row r="5939" customFormat="false" ht="15" hidden="false" customHeight="false" outlineLevel="0" collapsed="false">
      <c r="A5939" s="0" t="n">
        <v>33</v>
      </c>
      <c r="B5939" s="8" t="s">
        <v>24</v>
      </c>
      <c r="C5939" s="9" t="s">
        <v>25</v>
      </c>
      <c r="D5939" s="9" t="s">
        <v>26</v>
      </c>
      <c r="E5939" s="10" t="n">
        <v>1789</v>
      </c>
      <c r="F5939" s="9" t="s">
        <v>27</v>
      </c>
      <c r="G5939" s="9" t="s">
        <v>27</v>
      </c>
      <c r="H5939" s="11" t="n">
        <v>26</v>
      </c>
      <c r="I5939" s="11" t="s">
        <v>404</v>
      </c>
      <c r="J5939" s="14"/>
      <c r="K5939" s="14" t="n">
        <v>30</v>
      </c>
      <c r="L5939" s="16"/>
      <c r="M5939" s="27" t="n">
        <f aca="false">J5939+(K5939/20)+(L5939/240)</f>
        <v>1.5</v>
      </c>
      <c r="N5939" s="17" t="s">
        <v>66</v>
      </c>
      <c r="O5939" s="11"/>
      <c r="P5939" s="28"/>
      <c r="Q5939" s="28" t="n">
        <f aca="false">P5939*$M5939</f>
        <v>0</v>
      </c>
      <c r="R5939" s="28"/>
      <c r="S5939" s="28" t="n">
        <f aca="false">R5939*$M5939</f>
        <v>0</v>
      </c>
      <c r="T5939" s="28" t="n">
        <v>11245</v>
      </c>
      <c r="U5939" s="28" t="n">
        <v>16867</v>
      </c>
      <c r="V5939" s="28"/>
      <c r="W5939" s="28" t="n">
        <f aca="false">V5939*$M5939</f>
        <v>0</v>
      </c>
      <c r="X5939" s="28"/>
      <c r="Y5939" s="28" t="n">
        <f aca="false">X5939*$M5939</f>
        <v>0</v>
      </c>
      <c r="Z5939" s="28"/>
      <c r="AA5939" s="28" t="n">
        <f aca="false">Z5939*$M5939</f>
        <v>0</v>
      </c>
      <c r="AB5939" s="28"/>
      <c r="AC5939" s="28" t="n">
        <f aca="false">AB5939*$M5939</f>
        <v>0</v>
      </c>
      <c r="AD5939" s="28"/>
      <c r="AE5939" s="28" t="n">
        <f aca="false">AD5939*$M5939</f>
        <v>0</v>
      </c>
      <c r="AF5939" s="28"/>
      <c r="AG5939" s="28" t="n">
        <f aca="false">AF5939*$M5939</f>
        <v>0</v>
      </c>
      <c r="AH5939" s="28"/>
      <c r="AI5939" s="28" t="n">
        <f aca="false">AH5939*$M5939</f>
        <v>0</v>
      </c>
      <c r="AJ5939" s="28"/>
      <c r="AK5939" s="28" t="n">
        <f aca="false">AJ5939*$M5939</f>
        <v>0</v>
      </c>
      <c r="AL5939" s="28"/>
      <c r="AM5939" s="28" t="n">
        <f aca="false">AL5939*$M5939</f>
        <v>0</v>
      </c>
      <c r="AN5939" s="28"/>
      <c r="AO5939" s="28" t="n">
        <f aca="false">AN5939*$M5939</f>
        <v>0</v>
      </c>
      <c r="AP5939" s="28"/>
      <c r="AQ5939" s="28" t="n">
        <f aca="false">AP5939*$M5939</f>
        <v>0</v>
      </c>
      <c r="AR5939" s="28"/>
      <c r="AS5939" s="28" t="n">
        <f aca="false">AR5939*$M5939</f>
        <v>0</v>
      </c>
      <c r="AT5939" s="28"/>
      <c r="AU5939" s="28" t="n">
        <f aca="false">AT5939*$M5939</f>
        <v>0</v>
      </c>
      <c r="AV5939" s="28"/>
      <c r="AW5939" s="28" t="n">
        <f aca="false">AV5939*$M5939</f>
        <v>0</v>
      </c>
      <c r="AX5939" s="28"/>
      <c r="AY5939" s="28" t="n">
        <f aca="false">AX5939*$M5939</f>
        <v>0</v>
      </c>
      <c r="AZ5939" s="30" t="n">
        <v>11245</v>
      </c>
      <c r="BA5939" s="11" t="n">
        <v>16867</v>
      </c>
      <c r="BB5939" s="31" t="n">
        <f aca="false">SUM(Q5939,S5939,U5939,W5939,Y5939,AA5939,AC5939,AE5939,AG5939,AI5939,AK5939,AM5939,AO5939,AQ5939,AS5939,AU5939,AW5939,AY5939)</f>
        <v>16867</v>
      </c>
      <c r="BC5939" s="28" t="n">
        <f aca="false">BA5939-BB5939</f>
        <v>0</v>
      </c>
      <c r="BD5939" s="32" t="n">
        <f aca="false">SUM(P5939,R5939,T5939,V5939,X5939,Z5939,AB5939,AD5939,AF5939,AH5939,AJ5939,AL5939,AN5939,AP5939,AR5939,AT5939,AV5939,AX5939)</f>
        <v>11245</v>
      </c>
      <c r="BE5939" s="33" t="n">
        <f aca="false">AZ5939-BD5939</f>
        <v>0</v>
      </c>
      <c r="BF5939" s="34" t="n">
        <f aca="false">BD5939*M5939</f>
        <v>16867.5</v>
      </c>
      <c r="BG5939" s="35" t="n">
        <f aca="false">BA5939-BF5939</f>
        <v>-0.5</v>
      </c>
      <c r="BH5939" s="19" t="str">
        <f aca="false">IF(BG5939=0,"",IF(BG5939&lt;&gt;BA5939,"erreur de calcul",IF(BD5939&lt;&gt;0,"pas de prix",IF(M5939&lt;&gt; 0,"pas de quantité","pas de prix, ni de quantité"))))</f>
        <v>erreur de calcul</v>
      </c>
      <c r="BI5939" s="19"/>
    </row>
    <row r="5940" customFormat="false" ht="15" hidden="false" customHeight="false" outlineLevel="0" collapsed="false">
      <c r="A5940" s="0" t="n">
        <v>34</v>
      </c>
      <c r="B5940" s="8" t="s">
        <v>24</v>
      </c>
      <c r="C5940" s="9" t="s">
        <v>25</v>
      </c>
      <c r="D5940" s="9" t="s">
        <v>26</v>
      </c>
      <c r="E5940" s="10" t="n">
        <v>1789</v>
      </c>
      <c r="F5940" s="9" t="s">
        <v>27</v>
      </c>
      <c r="G5940" s="9" t="s">
        <v>27</v>
      </c>
      <c r="H5940" s="11" t="n">
        <v>26</v>
      </c>
      <c r="I5940" s="11" t="s">
        <v>405</v>
      </c>
      <c r="J5940" s="14"/>
      <c r="K5940" s="14" t="n">
        <v>40</v>
      </c>
      <c r="L5940" s="16"/>
      <c r="M5940" s="27" t="n">
        <f aca="false">J5940+(K5940/20)+(L5940/240)</f>
        <v>2</v>
      </c>
      <c r="N5940" s="17" t="s">
        <v>66</v>
      </c>
      <c r="O5940" s="11"/>
      <c r="P5940" s="28"/>
      <c r="Q5940" s="28" t="n">
        <f aca="false">P5940*$M5940</f>
        <v>0</v>
      </c>
      <c r="R5940" s="28"/>
      <c r="S5940" s="28" t="n">
        <f aca="false">R5940*$M5940</f>
        <v>0</v>
      </c>
      <c r="T5940" s="28"/>
      <c r="U5940" s="28" t="n">
        <f aca="false">T5940*$M5940</f>
        <v>0</v>
      </c>
      <c r="V5940" s="28"/>
      <c r="W5940" s="28" t="n">
        <f aca="false">V5940*$M5940</f>
        <v>0</v>
      </c>
      <c r="X5940" s="28"/>
      <c r="Y5940" s="28" t="n">
        <f aca="false">X5940*$M5940</f>
        <v>0</v>
      </c>
      <c r="Z5940" s="28"/>
      <c r="AA5940" s="28" t="n">
        <f aca="false">Z5940*$M5940</f>
        <v>0</v>
      </c>
      <c r="AB5940" s="28"/>
      <c r="AC5940" s="28" t="n">
        <f aca="false">AB5940*$M5940</f>
        <v>0</v>
      </c>
      <c r="AD5940" s="28"/>
      <c r="AE5940" s="28" t="n">
        <f aca="false">AD5940*$M5940</f>
        <v>0</v>
      </c>
      <c r="AF5940" s="28"/>
      <c r="AG5940" s="28" t="n">
        <f aca="false">AF5940*$M5940</f>
        <v>0</v>
      </c>
      <c r="AH5940" s="28" t="n">
        <v>9380</v>
      </c>
      <c r="AI5940" s="28" t="n">
        <v>18760</v>
      </c>
      <c r="AJ5940" s="28"/>
      <c r="AK5940" s="28" t="n">
        <f aca="false">AJ5940*$M5940</f>
        <v>0</v>
      </c>
      <c r="AL5940" s="28"/>
      <c r="AM5940" s="28" t="n">
        <f aca="false">AL5940*$M5940</f>
        <v>0</v>
      </c>
      <c r="AN5940" s="28"/>
      <c r="AO5940" s="28" t="n">
        <f aca="false">AN5940*$M5940</f>
        <v>0</v>
      </c>
      <c r="AP5940" s="28"/>
      <c r="AQ5940" s="28" t="n">
        <f aca="false">AP5940*$M5940</f>
        <v>0</v>
      </c>
      <c r="AR5940" s="28"/>
      <c r="AS5940" s="28" t="n">
        <f aca="false">AR5940*$M5940</f>
        <v>0</v>
      </c>
      <c r="AT5940" s="28"/>
      <c r="AU5940" s="28" t="n">
        <f aca="false">AT5940*$M5940</f>
        <v>0</v>
      </c>
      <c r="AV5940" s="28"/>
      <c r="AW5940" s="28" t="n">
        <f aca="false">AV5940*$M5940</f>
        <v>0</v>
      </c>
      <c r="AX5940" s="28"/>
      <c r="AY5940" s="28" t="n">
        <f aca="false">AX5940*$M5940</f>
        <v>0</v>
      </c>
      <c r="AZ5940" s="30" t="n">
        <v>9380</v>
      </c>
      <c r="BA5940" s="11" t="n">
        <v>18760</v>
      </c>
      <c r="BB5940" s="31" t="n">
        <f aca="false">SUM(Q5940,S5940,U5940,W5940,Y5940,AA5940,AC5940,AE5940,AG5940,AI5940,AK5940,AM5940,AO5940,AQ5940,AS5940,AU5940,AW5940,AY5940)</f>
        <v>18760</v>
      </c>
      <c r="BC5940" s="28" t="n">
        <f aca="false">BA5940-BB5940</f>
        <v>0</v>
      </c>
      <c r="BD5940" s="32" t="n">
        <f aca="false">SUM(P5940,R5940,T5940,V5940,X5940,Z5940,AB5940,AD5940,AF5940,AH5940,AJ5940,AL5940,AN5940,AP5940,AR5940,AT5940,AV5940,AX5940)</f>
        <v>9380</v>
      </c>
      <c r="BE5940" s="33" t="n">
        <f aca="false">AZ5940-BD5940</f>
        <v>0</v>
      </c>
      <c r="BF5940" s="34" t="n">
        <f aca="false">BD5940*M5940</f>
        <v>18760</v>
      </c>
      <c r="BG5940" s="35" t="n">
        <f aca="false">BA5940-BF5940</f>
        <v>0</v>
      </c>
      <c r="BH5940" s="19" t="str">
        <f aca="false">IF(BG5940=0,"",IF(BG5940&lt;&gt;BA5940,"erreur de calcul",IF(BD5940&lt;&gt;0,"pas de prix",IF(M5940&lt;&gt; 0,"pas de quantité","pas de prix, ni de quantité"))))</f>
        <v/>
      </c>
      <c r="BI5940" s="19"/>
    </row>
    <row r="5941" customFormat="false" ht="15" hidden="false" customHeight="false" outlineLevel="0" collapsed="false">
      <c r="A5941" s="0" t="n">
        <v>35</v>
      </c>
      <c r="B5941" s="8" t="s">
        <v>24</v>
      </c>
      <c r="C5941" s="9" t="s">
        <v>25</v>
      </c>
      <c r="D5941" s="9" t="s">
        <v>26</v>
      </c>
      <c r="E5941" s="10" t="n">
        <v>1789</v>
      </c>
      <c r="F5941" s="9" t="s">
        <v>27</v>
      </c>
      <c r="G5941" s="9" t="s">
        <v>27</v>
      </c>
      <c r="H5941" s="11" t="n">
        <v>26</v>
      </c>
      <c r="I5941" s="11" t="s">
        <v>406</v>
      </c>
      <c r="J5941" s="14" t="n">
        <v>55</v>
      </c>
      <c r="K5941" s="14"/>
      <c r="L5941" s="16"/>
      <c r="M5941" s="27" t="n">
        <f aca="false">J5941+(K5941/20)+(L5941/240)</f>
        <v>55</v>
      </c>
      <c r="N5941" s="17" t="s">
        <v>64</v>
      </c>
      <c r="O5941" s="11"/>
      <c r="P5941" s="28" t="n">
        <f aca="false">634/100</f>
        <v>6.34</v>
      </c>
      <c r="Q5941" s="28" t="n">
        <v>349</v>
      </c>
      <c r="R5941" s="28"/>
      <c r="S5941" s="28" t="n">
        <f aca="false">R5941*$M5941</f>
        <v>0</v>
      </c>
      <c r="T5941" s="28" t="n">
        <f aca="false">2450/100</f>
        <v>24.5</v>
      </c>
      <c r="U5941" s="28" t="n">
        <v>1347</v>
      </c>
      <c r="V5941" s="28" t="n">
        <f aca="false">9685/100</f>
        <v>96.85</v>
      </c>
      <c r="W5941" s="28" t="n">
        <v>5327</v>
      </c>
      <c r="X5941" s="28"/>
      <c r="Y5941" s="28" t="n">
        <f aca="false">X5941*$M5941</f>
        <v>0</v>
      </c>
      <c r="Z5941" s="28"/>
      <c r="AA5941" s="28" t="n">
        <f aca="false">Z5941*$M5941</f>
        <v>0</v>
      </c>
      <c r="AB5941" s="28"/>
      <c r="AC5941" s="28" t="n">
        <f aca="false">AB5941*$M5941</f>
        <v>0</v>
      </c>
      <c r="AD5941" s="28"/>
      <c r="AE5941" s="28" t="n">
        <f aca="false">AD5941*$M5941</f>
        <v>0</v>
      </c>
      <c r="AF5941" s="28"/>
      <c r="AG5941" s="28" t="n">
        <f aca="false">AF5941*$M5941</f>
        <v>0</v>
      </c>
      <c r="AH5941" s="28"/>
      <c r="AI5941" s="28" t="n">
        <f aca="false">AH5941*$M5941</f>
        <v>0</v>
      </c>
      <c r="AJ5941" s="28"/>
      <c r="AK5941" s="28" t="n">
        <f aca="false">AJ5941*$M5941</f>
        <v>0</v>
      </c>
      <c r="AL5941" s="28"/>
      <c r="AM5941" s="28" t="n">
        <f aca="false">AL5941*$M5941</f>
        <v>0</v>
      </c>
      <c r="AN5941" s="28"/>
      <c r="AO5941" s="28" t="n">
        <f aca="false">AN5941*$M5941</f>
        <v>0</v>
      </c>
      <c r="AP5941" s="28"/>
      <c r="AQ5941" s="28" t="n">
        <f aca="false">AP5941*$M5941</f>
        <v>0</v>
      </c>
      <c r="AR5941" s="28"/>
      <c r="AS5941" s="28" t="n">
        <f aca="false">AR5941*$M5941</f>
        <v>0</v>
      </c>
      <c r="AT5941" s="28"/>
      <c r="AU5941" s="28" t="n">
        <f aca="false">AT5941*$M5941</f>
        <v>0</v>
      </c>
      <c r="AV5941" s="28"/>
      <c r="AW5941" s="28" t="n">
        <f aca="false">AV5941*$M5941</f>
        <v>0</v>
      </c>
      <c r="AX5941" s="28"/>
      <c r="AY5941" s="28" t="n">
        <f aca="false">AX5941*$M5941</f>
        <v>0</v>
      </c>
      <c r="AZ5941" s="30" t="n">
        <f aca="false">12769/100</f>
        <v>127.69</v>
      </c>
      <c r="BA5941" s="11" t="n">
        <v>7023</v>
      </c>
      <c r="BB5941" s="31" t="n">
        <f aca="false">SUM(Q5941,S5941,U5941,W5941,Y5941,AA5941,AC5941,AE5941,AG5941,AI5941,AK5941,AM5941,AO5941,AQ5941,AS5941,AU5941,AW5941,AY5941)</f>
        <v>7023</v>
      </c>
      <c r="BC5941" s="28" t="n">
        <f aca="false">BA5941-BB5941</f>
        <v>0</v>
      </c>
      <c r="BD5941" s="32" t="n">
        <f aca="false">SUM(P5941,R5941,T5941,V5941,X5941,Z5941,AB5941,AD5941,AF5941,AH5941,AJ5941,AL5941,AN5941,AP5941,AR5941,AT5941,AV5941,AX5941)</f>
        <v>127.69</v>
      </c>
      <c r="BE5941" s="33" t="n">
        <f aca="false">AZ5941-BD5941</f>
        <v>0</v>
      </c>
      <c r="BF5941" s="34" t="n">
        <f aca="false">BD5941*M5941</f>
        <v>7022.95</v>
      </c>
      <c r="BG5941" s="35" t="n">
        <f aca="false">BA5941-BF5941</f>
        <v>0.0500000000001819</v>
      </c>
      <c r="BH5941" s="19" t="str">
        <f aca="false">IF(BG5941=0,"",IF(BG5941&lt;&gt;BA5941,"erreur de calcul",IF(BD5941&lt;&gt;0,"pas de prix",IF(M5941&lt;&gt; 0,"pas de quantité","pas de prix, ni de quantité"))))</f>
        <v>erreur de calcul</v>
      </c>
      <c r="BI5941" s="19"/>
    </row>
    <row r="5942" customFormat="false" ht="15" hidden="false" customHeight="false" outlineLevel="0" collapsed="false">
      <c r="A5942" s="0" t="n">
        <v>36</v>
      </c>
      <c r="B5942" s="8" t="s">
        <v>24</v>
      </c>
      <c r="C5942" s="9" t="s">
        <v>25</v>
      </c>
      <c r="D5942" s="9" t="s">
        <v>26</v>
      </c>
      <c r="E5942" s="10" t="n">
        <v>1789</v>
      </c>
      <c r="F5942" s="9" t="s">
        <v>27</v>
      </c>
      <c r="G5942" s="9" t="s">
        <v>27</v>
      </c>
      <c r="H5942" s="11" t="n">
        <v>26</v>
      </c>
      <c r="I5942" s="11" t="s">
        <v>407</v>
      </c>
      <c r="J5942" s="14" t="n">
        <v>44</v>
      </c>
      <c r="K5942" s="14"/>
      <c r="L5942" s="16"/>
      <c r="M5942" s="27" t="n">
        <f aca="false">J5942+(K5942/20)+(L5942/240)</f>
        <v>44</v>
      </c>
      <c r="N5942" s="17" t="s">
        <v>64</v>
      </c>
      <c r="O5942" s="11" t="s">
        <v>77</v>
      </c>
      <c r="P5942" s="28" t="n">
        <f aca="false">68669/100</f>
        <v>686.69</v>
      </c>
      <c r="Q5942" s="28" t="n">
        <v>30214</v>
      </c>
      <c r="R5942" s="28"/>
      <c r="S5942" s="28" t="n">
        <f aca="false">R5942*$M5942</f>
        <v>0</v>
      </c>
      <c r="T5942" s="28" t="n">
        <f aca="false">7101/100</f>
        <v>71.01</v>
      </c>
      <c r="U5942" s="28" t="n">
        <v>3124</v>
      </c>
      <c r="V5942" s="28" t="n">
        <f aca="false">27549/100</f>
        <v>275.49</v>
      </c>
      <c r="W5942" s="28" t="n">
        <v>12121</v>
      </c>
      <c r="X5942" s="28" t="n">
        <f aca="false">947914/100</f>
        <v>9479.14</v>
      </c>
      <c r="Y5942" s="28" t="n">
        <v>417082</v>
      </c>
      <c r="Z5942" s="28" t="n">
        <f aca="false">183606/100</f>
        <v>1836.06</v>
      </c>
      <c r="AA5942" s="28" t="n">
        <v>80787</v>
      </c>
      <c r="AB5942" s="28" t="n">
        <f aca="false">36047/100</f>
        <v>360.47</v>
      </c>
      <c r="AC5942" s="28" t="n">
        <v>15861</v>
      </c>
      <c r="AD5942" s="28" t="n">
        <f aca="false">12322/100</f>
        <v>123.22</v>
      </c>
      <c r="AE5942" s="28" t="n">
        <v>5422</v>
      </c>
      <c r="AF5942" s="28"/>
      <c r="AG5942" s="28" t="n">
        <f aca="false">AF5942*$M5942</f>
        <v>0</v>
      </c>
      <c r="AH5942" s="28" t="n">
        <f aca="false">3318/100</f>
        <v>33.18</v>
      </c>
      <c r="AI5942" s="28" t="n">
        <v>1460</v>
      </c>
      <c r="AJ5942" s="28"/>
      <c r="AK5942" s="28" t="n">
        <f aca="false">AJ5942*$M5942</f>
        <v>0</v>
      </c>
      <c r="AL5942" s="28" t="n">
        <f aca="false">28260/100</f>
        <v>282.6</v>
      </c>
      <c r="AM5942" s="28" t="n">
        <v>12434</v>
      </c>
      <c r="AN5942" s="28"/>
      <c r="AO5942" s="28" t="n">
        <f aca="false">AN5942*$M5942</f>
        <v>0</v>
      </c>
      <c r="AP5942" s="28"/>
      <c r="AQ5942" s="28" t="n">
        <f aca="false">AP5942*$M5942</f>
        <v>0</v>
      </c>
      <c r="AR5942" s="28"/>
      <c r="AS5942" s="28" t="n">
        <f aca="false">AR5942*$M5942</f>
        <v>0</v>
      </c>
      <c r="AT5942" s="28"/>
      <c r="AU5942" s="28" t="n">
        <f aca="false">AT5942*$M5942</f>
        <v>0</v>
      </c>
      <c r="AV5942" s="28"/>
      <c r="AW5942" s="28" t="n">
        <f aca="false">AV5942*$M5942</f>
        <v>0</v>
      </c>
      <c r="AX5942" s="28"/>
      <c r="AY5942" s="28" t="n">
        <f aca="false">AX5942*$M5942</f>
        <v>0</v>
      </c>
      <c r="AZ5942" s="30" t="n">
        <f aca="false">1314786/100</f>
        <v>13147.86</v>
      </c>
      <c r="BA5942" s="11" t="n">
        <v>578505</v>
      </c>
      <c r="BB5942" s="31" t="n">
        <f aca="false">SUM(Q5942,S5942,U5942,W5942,Y5942,AA5942,AC5942,AE5942,AG5942,AI5942,AK5942,AM5942,AO5942,AQ5942,AS5942,AU5942,AW5942,AY5942)</f>
        <v>578505</v>
      </c>
      <c r="BC5942" s="28" t="n">
        <f aca="false">BA5942-BB5942</f>
        <v>0</v>
      </c>
      <c r="BD5942" s="32" t="n">
        <f aca="false">SUM(P5942,R5942,T5942,V5942,X5942,Z5942,AB5942,AD5942,AF5942,AH5942,AJ5942,AL5942,AN5942,AP5942,AR5942,AT5942,AV5942,AX5942)</f>
        <v>13147.86</v>
      </c>
      <c r="BE5942" s="33" t="n">
        <f aca="false">AZ5942-BD5942</f>
        <v>0</v>
      </c>
      <c r="BF5942" s="34" t="n">
        <f aca="false">BD5942*M5942</f>
        <v>578505.84</v>
      </c>
      <c r="BG5942" s="35" t="n">
        <f aca="false">BA5942-BF5942</f>
        <v>-0.839999999967404</v>
      </c>
      <c r="BH5942" s="19" t="str">
        <f aca="false">IF(BG5942=0,"",IF(BG5942&lt;&gt;BA5942,"erreur de calcul",IF(BD5942&lt;&gt;0,"pas de prix",IF(M5942&lt;&gt; 0,"pas de quantité","pas de prix, ni de quantité"))))</f>
        <v>erreur de calcul</v>
      </c>
      <c r="BI5942" s="19"/>
    </row>
    <row r="5943" customFormat="false" ht="15" hidden="false" customHeight="false" outlineLevel="0" collapsed="false">
      <c r="A5943" s="0" t="n">
        <v>37</v>
      </c>
      <c r="B5943" s="8" t="s">
        <v>24</v>
      </c>
      <c r="C5943" s="9" t="s">
        <v>25</v>
      </c>
      <c r="D5943" s="9" t="s">
        <v>26</v>
      </c>
      <c r="E5943" s="10" t="n">
        <v>1789</v>
      </c>
      <c r="F5943" s="9" t="s">
        <v>27</v>
      </c>
      <c r="G5943" s="9" t="s">
        <v>27</v>
      </c>
      <c r="H5943" s="11" t="n">
        <v>26</v>
      </c>
      <c r="I5943" s="11" t="s">
        <v>408</v>
      </c>
      <c r="J5943" s="14" t="n">
        <v>40</v>
      </c>
      <c r="K5943" s="14"/>
      <c r="L5943" s="16"/>
      <c r="M5943" s="27" t="n">
        <f aca="false">J5943+(K5943/20)+(L5943/240)</f>
        <v>40</v>
      </c>
      <c r="N5943" s="17" t="s">
        <v>64</v>
      </c>
      <c r="O5943" s="11"/>
      <c r="P5943" s="28"/>
      <c r="Q5943" s="28" t="n">
        <f aca="false">P5943*$M5943</f>
        <v>0</v>
      </c>
      <c r="R5943" s="28"/>
      <c r="S5943" s="28" t="n">
        <f aca="false">R5943*$M5943</f>
        <v>0</v>
      </c>
      <c r="T5943" s="28"/>
      <c r="U5943" s="28" t="n">
        <f aca="false">T5943*$M5943</f>
        <v>0</v>
      </c>
      <c r="V5943" s="28" t="n">
        <f aca="false">4827/100</f>
        <v>48.27</v>
      </c>
      <c r="W5943" s="28" t="n">
        <v>1931</v>
      </c>
      <c r="X5943" s="28"/>
      <c r="Y5943" s="28" t="n">
        <f aca="false">X5943*$M5943</f>
        <v>0</v>
      </c>
      <c r="Z5943" s="28"/>
      <c r="AA5943" s="28" t="n">
        <f aca="false">Z5943*$M5943</f>
        <v>0</v>
      </c>
      <c r="AB5943" s="28"/>
      <c r="AC5943" s="28" t="n">
        <f aca="false">AB5943*$M5943</f>
        <v>0</v>
      </c>
      <c r="AD5943" s="28"/>
      <c r="AE5943" s="28" t="n">
        <f aca="false">AD5943*$M5943</f>
        <v>0</v>
      </c>
      <c r="AF5943" s="28"/>
      <c r="AG5943" s="28" t="n">
        <f aca="false">AF5943*$M5943</f>
        <v>0</v>
      </c>
      <c r="AH5943" s="28"/>
      <c r="AI5943" s="28" t="n">
        <f aca="false">AH5943*$M5943</f>
        <v>0</v>
      </c>
      <c r="AJ5943" s="28"/>
      <c r="AK5943" s="28" t="n">
        <f aca="false">AJ5943*$M5943</f>
        <v>0</v>
      </c>
      <c r="AL5943" s="28"/>
      <c r="AM5943" s="28" t="n">
        <f aca="false">AL5943*$M5943</f>
        <v>0</v>
      </c>
      <c r="AN5943" s="28"/>
      <c r="AO5943" s="28" t="n">
        <f aca="false">AN5943*$M5943</f>
        <v>0</v>
      </c>
      <c r="AP5943" s="28"/>
      <c r="AQ5943" s="28" t="n">
        <f aca="false">AP5943*$M5943</f>
        <v>0</v>
      </c>
      <c r="AR5943" s="28"/>
      <c r="AS5943" s="28" t="n">
        <f aca="false">AR5943*$M5943</f>
        <v>0</v>
      </c>
      <c r="AT5943" s="28"/>
      <c r="AU5943" s="28" t="n">
        <f aca="false">AT5943*$M5943</f>
        <v>0</v>
      </c>
      <c r="AV5943" s="28"/>
      <c r="AW5943" s="28" t="n">
        <f aca="false">AV5943*$M5943</f>
        <v>0</v>
      </c>
      <c r="AX5943" s="28" t="n">
        <f aca="false">835109/100</f>
        <v>8351.09</v>
      </c>
      <c r="AY5943" s="28" t="n">
        <v>334044</v>
      </c>
      <c r="AZ5943" s="30" t="n">
        <f aca="false">839936/100</f>
        <v>8399.36</v>
      </c>
      <c r="BA5943" s="11" t="n">
        <v>335975</v>
      </c>
      <c r="BB5943" s="31" t="n">
        <f aca="false">SUM(Q5943,S5943,U5943,W5943,Y5943,AA5943,AC5943,AE5943,AG5943,AI5943,AK5943,AM5943,AO5943,AQ5943,AS5943,AU5943,AW5943,AY5943)</f>
        <v>335975</v>
      </c>
      <c r="BC5943" s="28" t="n">
        <f aca="false">BA5943-BB5943</f>
        <v>0</v>
      </c>
      <c r="BD5943" s="32" t="n">
        <f aca="false">SUM(P5943,R5943,T5943,V5943,X5943,Z5943,AB5943,AD5943,AF5943,AH5943,AJ5943,AL5943,AN5943,AP5943,AR5943,AT5943,AV5943,AX5943)</f>
        <v>8399.36</v>
      </c>
      <c r="BE5943" s="33" t="n">
        <f aca="false">AZ5943-BD5943</f>
        <v>0</v>
      </c>
      <c r="BF5943" s="34" t="n">
        <f aca="false">BD5943*M5943</f>
        <v>335974.4</v>
      </c>
      <c r="BG5943" s="35" t="n">
        <f aca="false">BA5943-BF5943</f>
        <v>0.599999999976717</v>
      </c>
      <c r="BH5943" s="19" t="str">
        <f aca="false">IF(BG5943=0,"",IF(BG5943&lt;&gt;BA5943,"erreur de calcul",IF(BD5943&lt;&gt;0,"pas de prix",IF(M5943&lt;&gt; 0,"pas de quantité","pas de prix, ni de quantité"))))</f>
        <v>erreur de calcul</v>
      </c>
      <c r="BI5943" s="19"/>
    </row>
    <row r="5944" customFormat="false" ht="16.65" hidden="false" customHeight="false" outlineLevel="0" collapsed="false">
      <c r="A5944" s="0" t="n">
        <v>38</v>
      </c>
      <c r="B5944" s="8" t="s">
        <v>24</v>
      </c>
      <c r="C5944" s="9" t="s">
        <v>25</v>
      </c>
      <c r="D5944" s="9" t="s">
        <v>26</v>
      </c>
      <c r="E5944" s="10" t="n">
        <v>1789</v>
      </c>
      <c r="F5944" s="9" t="s">
        <v>27</v>
      </c>
      <c r="G5944" s="9" t="s">
        <v>27</v>
      </c>
      <c r="H5944" s="11" t="n">
        <v>26</v>
      </c>
      <c r="I5944" s="11" t="s">
        <v>409</v>
      </c>
      <c r="J5944" s="14"/>
      <c r="K5944" s="14" t="n">
        <v>13</v>
      </c>
      <c r="L5944" s="16"/>
      <c r="M5944" s="27" t="n">
        <f aca="false">J5944+(K5944/20)+(L5944/240)</f>
        <v>0.65</v>
      </c>
      <c r="N5944" s="17" t="s">
        <v>64</v>
      </c>
      <c r="O5944" s="11"/>
      <c r="P5944" s="28"/>
      <c r="Q5944" s="28" t="n">
        <f aca="false">P5944*$M5944</f>
        <v>0</v>
      </c>
      <c r="R5944" s="28"/>
      <c r="S5944" s="28" t="n">
        <f aca="false">R5944*$M5944</f>
        <v>0</v>
      </c>
      <c r="T5944" s="28"/>
      <c r="U5944" s="28" t="n">
        <f aca="false">T5944*$M5944</f>
        <v>0</v>
      </c>
      <c r="V5944" s="28"/>
      <c r="W5944" s="28" t="n">
        <f aca="false">V5944*$M5944</f>
        <v>0</v>
      </c>
      <c r="X5944" s="28"/>
      <c r="Y5944" s="28" t="n">
        <f aca="false">X5944*$M5944</f>
        <v>0</v>
      </c>
      <c r="Z5944" s="28" t="n">
        <f aca="false">2471002/100</f>
        <v>24710.02</v>
      </c>
      <c r="AA5944" s="28" t="n">
        <v>16061</v>
      </c>
      <c r="AB5944" s="28"/>
      <c r="AC5944" s="28" t="n">
        <f aca="false">AB5944*$M5944</f>
        <v>0</v>
      </c>
      <c r="AD5944" s="28"/>
      <c r="AE5944" s="28" t="n">
        <f aca="false">AD5944*$M5944</f>
        <v>0</v>
      </c>
      <c r="AF5944" s="28"/>
      <c r="AG5944" s="28" t="n">
        <f aca="false">AF5944*$M5944</f>
        <v>0</v>
      </c>
      <c r="AH5944" s="28"/>
      <c r="AI5944" s="28" t="n">
        <f aca="false">AH5944*$M5944</f>
        <v>0</v>
      </c>
      <c r="AJ5944" s="28"/>
      <c r="AK5944" s="28" t="n">
        <f aca="false">AJ5944*$M5944</f>
        <v>0</v>
      </c>
      <c r="AL5944" s="28"/>
      <c r="AM5944" s="28" t="n">
        <f aca="false">AL5944*$M5944</f>
        <v>0</v>
      </c>
      <c r="AN5944" s="28"/>
      <c r="AO5944" s="28" t="n">
        <f aca="false">AN5944*$M5944</f>
        <v>0</v>
      </c>
      <c r="AP5944" s="28"/>
      <c r="AQ5944" s="28" t="n">
        <f aca="false">AP5944*$M5944</f>
        <v>0</v>
      </c>
      <c r="AR5944" s="28"/>
      <c r="AS5944" s="28" t="n">
        <f aca="false">AR5944*$M5944</f>
        <v>0</v>
      </c>
      <c r="AT5944" s="28"/>
      <c r="AU5944" s="28" t="n">
        <f aca="false">AT5944*$M5944</f>
        <v>0</v>
      </c>
      <c r="AV5944" s="28"/>
      <c r="AW5944" s="28" t="n">
        <f aca="false">AV5944*$M5944</f>
        <v>0</v>
      </c>
      <c r="AX5944" s="28"/>
      <c r="AY5944" s="28" t="n">
        <f aca="false">AX5944*$M5944</f>
        <v>0</v>
      </c>
      <c r="AZ5944" s="30" t="n">
        <f aca="false">2471002</f>
        <v>2471002</v>
      </c>
      <c r="BA5944" s="11" t="n">
        <v>16061</v>
      </c>
      <c r="BB5944" s="31" t="n">
        <f aca="false">SUM(Q5944,S5944,U5944,W5944,Y5944,AA5944,AC5944,AE5944,AG5944,AI5944,AK5944,AM5944,AO5944,AQ5944,AS5944,AU5944,AW5944,AY5944)</f>
        <v>16061</v>
      </c>
      <c r="BC5944" s="28" t="n">
        <f aca="false">BA5944-BB5944</f>
        <v>0</v>
      </c>
      <c r="BD5944" s="32" t="n">
        <f aca="false">SUM(P5944,R5944,T5944,V5944,X5944,Z5944,AB5944,AD5944,AF5944,AH5944,AJ5944,AL5944,AN5944,AP5944,AR5944,AT5944,AV5944,AX5944)</f>
        <v>24710.02</v>
      </c>
      <c r="BE5944" s="33" t="n">
        <f aca="false">AZ5944-BD5944</f>
        <v>2446291.98</v>
      </c>
      <c r="BF5944" s="34" t="n">
        <f aca="false">BD5944*M5944</f>
        <v>16061.513</v>
      </c>
      <c r="BG5944" s="35" t="n">
        <f aca="false">BA5944-BF5944</f>
        <v>-0.513000000000829</v>
      </c>
      <c r="BH5944" s="19" t="str">
        <f aca="false">IF(BG5944=0,"",IF(BG5944&lt;&gt;BA5944,"erreur de calcul",IF(BD5944&lt;&gt;0,"pas de prix",IF(M5944&lt;&gt; 0,"pas de quantité","pas de prix, ni de quantité"))))</f>
        <v>erreur de calcul</v>
      </c>
      <c r="BI5944" s="19"/>
    </row>
    <row r="5945" customFormat="false" ht="15" hidden="false" customHeight="false" outlineLevel="0" collapsed="false">
      <c r="A5945" s="0" t="n">
        <v>39</v>
      </c>
      <c r="B5945" s="8" t="s">
        <v>24</v>
      </c>
      <c r="C5945" s="9" t="s">
        <v>25</v>
      </c>
      <c r="D5945" s="9" t="s">
        <v>26</v>
      </c>
      <c r="E5945" s="10" t="n">
        <v>1789</v>
      </c>
      <c r="F5945" s="9" t="s">
        <v>27</v>
      </c>
      <c r="G5945" s="9" t="s">
        <v>27</v>
      </c>
      <c r="H5945" s="11" t="n">
        <v>26</v>
      </c>
      <c r="I5945" s="11" t="s">
        <v>410</v>
      </c>
      <c r="J5945" s="14" t="n">
        <v>10</v>
      </c>
      <c r="K5945" s="14"/>
      <c r="L5945" s="16"/>
      <c r="M5945" s="27" t="n">
        <f aca="false">J5945+(K5945/20)+(L5945/240)</f>
        <v>10</v>
      </c>
      <c r="N5945" s="17" t="s">
        <v>64</v>
      </c>
      <c r="O5945" s="11"/>
      <c r="P5945" s="28"/>
      <c r="Q5945" s="28" t="n">
        <f aca="false">P5945*$M5945</f>
        <v>0</v>
      </c>
      <c r="R5945" s="28"/>
      <c r="S5945" s="28" t="n">
        <f aca="false">R5945*$M5945</f>
        <v>0</v>
      </c>
      <c r="T5945" s="28"/>
      <c r="U5945" s="28" t="n">
        <f aca="false">T5945*$M5945</f>
        <v>0</v>
      </c>
      <c r="V5945" s="28"/>
      <c r="W5945" s="28" t="n">
        <f aca="false">V5945*$M5945</f>
        <v>0</v>
      </c>
      <c r="X5945" s="28" t="n">
        <f aca="false">2481/100</f>
        <v>24.81</v>
      </c>
      <c r="Y5945" s="28" t="n">
        <v>248</v>
      </c>
      <c r="Z5945" s="28"/>
      <c r="AA5945" s="28" t="n">
        <f aca="false">Z5945*$M5945</f>
        <v>0</v>
      </c>
      <c r="AB5945" s="28"/>
      <c r="AC5945" s="28" t="n">
        <f aca="false">AB5945*$M5945</f>
        <v>0</v>
      </c>
      <c r="AD5945" s="28"/>
      <c r="AE5945" s="28" t="n">
        <f aca="false">AD5945*$M5945</f>
        <v>0</v>
      </c>
      <c r="AF5945" s="28"/>
      <c r="AG5945" s="28" t="n">
        <f aca="false">AF5945*$M5945</f>
        <v>0</v>
      </c>
      <c r="AH5945" s="28"/>
      <c r="AI5945" s="28" t="n">
        <f aca="false">AH5945*$M5945</f>
        <v>0</v>
      </c>
      <c r="AJ5945" s="28"/>
      <c r="AK5945" s="28" t="n">
        <f aca="false">AJ5945*$M5945</f>
        <v>0</v>
      </c>
      <c r="AL5945" s="28"/>
      <c r="AM5945" s="28" t="n">
        <f aca="false">AL5945*$M5945</f>
        <v>0</v>
      </c>
      <c r="AN5945" s="28"/>
      <c r="AO5945" s="28" t="n">
        <f aca="false">AN5945*$M5945</f>
        <v>0</v>
      </c>
      <c r="AP5945" s="28"/>
      <c r="AQ5945" s="28" t="n">
        <f aca="false">AP5945*$M5945</f>
        <v>0</v>
      </c>
      <c r="AR5945" s="28"/>
      <c r="AS5945" s="28" t="n">
        <f aca="false">AR5945*$M5945</f>
        <v>0</v>
      </c>
      <c r="AT5945" s="28"/>
      <c r="AU5945" s="28" t="n">
        <f aca="false">AT5945*$M5945</f>
        <v>0</v>
      </c>
      <c r="AV5945" s="28"/>
      <c r="AW5945" s="28" t="n">
        <f aca="false">AV5945*$M5945</f>
        <v>0</v>
      </c>
      <c r="AX5945" s="28"/>
      <c r="AY5945" s="28" t="n">
        <f aca="false">AX5945*$M5945</f>
        <v>0</v>
      </c>
      <c r="AZ5945" s="30" t="n">
        <f aca="false">2481/100</f>
        <v>24.81</v>
      </c>
      <c r="BA5945" s="11" t="n">
        <v>248</v>
      </c>
      <c r="BB5945" s="31" t="n">
        <f aca="false">SUM(Q5945,S5945,U5945,W5945,Y5945,AA5945,AC5945,AE5945,AG5945,AI5945,AK5945,AM5945,AO5945,AQ5945,AS5945,AU5945,AW5945,AY5945)</f>
        <v>248</v>
      </c>
      <c r="BC5945" s="28" t="n">
        <f aca="false">BA5945-BB5945</f>
        <v>0</v>
      </c>
      <c r="BD5945" s="32" t="n">
        <f aca="false">SUM(P5945,R5945,T5945,V5945,X5945,Z5945,AB5945,AD5945,AF5945,AH5945,AJ5945,AL5945,AN5945,AP5945,AR5945,AT5945,AV5945,AX5945)</f>
        <v>24.81</v>
      </c>
      <c r="BE5945" s="33" t="n">
        <f aca="false">AZ5945-BD5945</f>
        <v>0</v>
      </c>
      <c r="BF5945" s="34" t="n">
        <f aca="false">BD5945*M5945</f>
        <v>248.1</v>
      </c>
      <c r="BG5945" s="35" t="n">
        <f aca="false">BA5945-BF5945</f>
        <v>-0.0999999999999943</v>
      </c>
      <c r="BH5945" s="19" t="str">
        <f aca="false">IF(BG5945=0,"",IF(BG5945&lt;&gt;BA5945,"erreur de calcul",IF(BD5945&lt;&gt;0,"pas de prix",IF(M5945&lt;&gt; 0,"pas de quantité","pas de prix, ni de quantité"))))</f>
        <v>erreur de calcul</v>
      </c>
      <c r="BI5945" s="19"/>
    </row>
    <row r="5946" customFormat="false" ht="15" hidden="false" customHeight="false" outlineLevel="0" collapsed="false">
      <c r="A5946" s="0" t="n">
        <v>40</v>
      </c>
      <c r="B5946" s="8" t="s">
        <v>24</v>
      </c>
      <c r="C5946" s="9" t="s">
        <v>25</v>
      </c>
      <c r="D5946" s="9" t="s">
        <v>26</v>
      </c>
      <c r="E5946" s="10" t="n">
        <v>1789</v>
      </c>
      <c r="F5946" s="9" t="s">
        <v>27</v>
      </c>
      <c r="G5946" s="9" t="s">
        <v>27</v>
      </c>
      <c r="H5946" s="11" t="n">
        <v>26</v>
      </c>
      <c r="I5946" s="11" t="s">
        <v>411</v>
      </c>
      <c r="J5946" s="14" t="n">
        <v>5</v>
      </c>
      <c r="K5946" s="14"/>
      <c r="L5946" s="16"/>
      <c r="M5946" s="27" t="n">
        <f aca="false">J5946+(K5946/20)+(L5946/240)</f>
        <v>5</v>
      </c>
      <c r="N5946" s="17" t="s">
        <v>66</v>
      </c>
      <c r="O5946" s="11" t="s">
        <v>98</v>
      </c>
      <c r="P5946" s="28"/>
      <c r="Q5946" s="28" t="n">
        <f aca="false">P5946*$M5946</f>
        <v>0</v>
      </c>
      <c r="R5946" s="28"/>
      <c r="S5946" s="28" t="n">
        <f aca="false">R5946*$M5946</f>
        <v>0</v>
      </c>
      <c r="T5946" s="28"/>
      <c r="U5946" s="28" t="n">
        <f aca="false">T5946*$M5946</f>
        <v>0</v>
      </c>
      <c r="V5946" s="28"/>
      <c r="W5946" s="28" t="n">
        <f aca="false">V5946*$M5946</f>
        <v>0</v>
      </c>
      <c r="X5946" s="28"/>
      <c r="Y5946" s="28" t="n">
        <f aca="false">X5946*$M5946</f>
        <v>0</v>
      </c>
      <c r="Z5946" s="28"/>
      <c r="AA5946" s="28" t="n">
        <f aca="false">Z5946*$M5946</f>
        <v>0</v>
      </c>
      <c r="AB5946" s="28"/>
      <c r="AC5946" s="28" t="n">
        <f aca="false">AB5946*$M5946</f>
        <v>0</v>
      </c>
      <c r="AD5946" s="28"/>
      <c r="AE5946" s="28" t="n">
        <f aca="false">AD5946*$M5946</f>
        <v>0</v>
      </c>
      <c r="AF5946" s="28" t="n">
        <v>22</v>
      </c>
      <c r="AG5946" s="28" t="n">
        <v>110</v>
      </c>
      <c r="AH5946" s="28" t="n">
        <v>2657</v>
      </c>
      <c r="AI5946" s="28" t="n">
        <v>13285</v>
      </c>
      <c r="AJ5946" s="28"/>
      <c r="AK5946" s="28" t="n">
        <f aca="false">AJ5946*$M5946</f>
        <v>0</v>
      </c>
      <c r="AL5946" s="28"/>
      <c r="AM5946" s="28" t="n">
        <f aca="false">AL5946*$M5946</f>
        <v>0</v>
      </c>
      <c r="AN5946" s="28"/>
      <c r="AO5946" s="28" t="n">
        <f aca="false">AN5946*$M5946</f>
        <v>0</v>
      </c>
      <c r="AP5946" s="28"/>
      <c r="AQ5946" s="28" t="n">
        <f aca="false">AP5946*$M5946</f>
        <v>0</v>
      </c>
      <c r="AR5946" s="28"/>
      <c r="AS5946" s="28" t="n">
        <f aca="false">AR5946*$M5946</f>
        <v>0</v>
      </c>
      <c r="AT5946" s="28"/>
      <c r="AU5946" s="28" t="n">
        <f aca="false">AT5946*$M5946</f>
        <v>0</v>
      </c>
      <c r="AV5946" s="28"/>
      <c r="AW5946" s="28" t="n">
        <f aca="false">AV5946*$M5946</f>
        <v>0</v>
      </c>
      <c r="AX5946" s="28"/>
      <c r="AY5946" s="28" t="n">
        <f aca="false">AX5946*$M5946</f>
        <v>0</v>
      </c>
      <c r="AZ5946" s="30" t="n">
        <v>2679</v>
      </c>
      <c r="BA5946" s="11" t="n">
        <v>13395</v>
      </c>
      <c r="BB5946" s="31" t="n">
        <f aca="false">SUM(Q5946,S5946,U5946,W5946,Y5946,AA5946,AC5946,AE5946,AG5946,AI5946,AK5946,AM5946,AO5946,AQ5946,AS5946,AU5946,AW5946,AY5946)</f>
        <v>13395</v>
      </c>
      <c r="BC5946" s="28" t="n">
        <f aca="false">BA5946-BB5946</f>
        <v>0</v>
      </c>
      <c r="BD5946" s="32" t="n">
        <f aca="false">SUM(P5946,R5946,T5946,V5946,X5946,Z5946,AB5946,AD5946,AF5946,AH5946,AJ5946,AL5946,AN5946,AP5946,AR5946,AT5946,AV5946,AX5946)</f>
        <v>2679</v>
      </c>
      <c r="BE5946" s="33" t="n">
        <f aca="false">AZ5946-BD5946</f>
        <v>0</v>
      </c>
      <c r="BF5946" s="34" t="n">
        <f aca="false">BD5946*M5946</f>
        <v>13395</v>
      </c>
      <c r="BG5946" s="35" t="n">
        <f aca="false">BA5946-BF5946</f>
        <v>0</v>
      </c>
      <c r="BH5946" s="19" t="str">
        <f aca="false">IF(BG5946=0,"",IF(BG5946&lt;&gt;BA5946,"erreur de calcul",IF(BD5946&lt;&gt;0,"pas de prix",IF(M5946&lt;&gt; 0,"pas de quantité","pas de prix, ni de quantité"))))</f>
        <v/>
      </c>
      <c r="BI5946" s="19"/>
    </row>
    <row r="5947" customFormat="false" ht="15" hidden="false" customHeight="false" outlineLevel="0" collapsed="false">
      <c r="A5947" s="0" t="n">
        <v>1</v>
      </c>
      <c r="B5947" s="8" t="s">
        <v>24</v>
      </c>
      <c r="C5947" s="9" t="s">
        <v>25</v>
      </c>
      <c r="D5947" s="9" t="s">
        <v>26</v>
      </c>
      <c r="E5947" s="10" t="n">
        <v>1789</v>
      </c>
      <c r="F5947" s="9" t="s">
        <v>27</v>
      </c>
      <c r="G5947" s="9" t="s">
        <v>27</v>
      </c>
      <c r="H5947" s="11" t="n">
        <v>27</v>
      </c>
      <c r="I5947" s="11" t="s">
        <v>412</v>
      </c>
      <c r="J5947" s="14" t="n">
        <v>7</v>
      </c>
      <c r="K5947" s="14" t="n">
        <v>10</v>
      </c>
      <c r="L5947" s="16"/>
      <c r="M5947" s="27" t="n">
        <f aca="false">J5947+(K5947/20)+(L5947/240)</f>
        <v>7.5</v>
      </c>
      <c r="N5947" s="17" t="s">
        <v>64</v>
      </c>
      <c r="O5947" s="11"/>
      <c r="P5947" s="28" t="n">
        <f aca="false">16667/100</f>
        <v>166.67</v>
      </c>
      <c r="Q5947" s="28" t="n">
        <v>1250</v>
      </c>
      <c r="R5947" s="28"/>
      <c r="S5947" s="28" t="n">
        <f aca="false">R5947*$M5947</f>
        <v>0</v>
      </c>
      <c r="T5947" s="28"/>
      <c r="U5947" s="28" t="n">
        <f aca="false">T5947*$M5947</f>
        <v>0</v>
      </c>
      <c r="V5947" s="28" t="n">
        <f aca="false">407887/100</f>
        <v>4078.87</v>
      </c>
      <c r="W5947" s="28" t="n">
        <v>30591</v>
      </c>
      <c r="X5947" s="28" t="n">
        <f aca="false">4444/100</f>
        <v>44.44</v>
      </c>
      <c r="Y5947" s="28" t="n">
        <v>333</v>
      </c>
      <c r="Z5947" s="28" t="n">
        <f aca="false">16084/100</f>
        <v>160.84</v>
      </c>
      <c r="AA5947" s="28" t="n">
        <v>1206</v>
      </c>
      <c r="AB5947" s="28" t="n">
        <f aca="false">20834/100</f>
        <v>208.34</v>
      </c>
      <c r="AC5947" s="28" t="n">
        <v>1562</v>
      </c>
      <c r="AD5947" s="28"/>
      <c r="AE5947" s="28" t="n">
        <f aca="false">AD5947*$M5947</f>
        <v>0</v>
      </c>
      <c r="AF5947" s="28"/>
      <c r="AG5947" s="28" t="n">
        <f aca="false">AF5947*$M5947</f>
        <v>0</v>
      </c>
      <c r="AH5947" s="28"/>
      <c r="AI5947" s="28" t="n">
        <f aca="false">AH5947*$M5947</f>
        <v>0</v>
      </c>
      <c r="AJ5947" s="28"/>
      <c r="AK5947" s="28" t="n">
        <f aca="false">AJ5947*$M5947</f>
        <v>0</v>
      </c>
      <c r="AL5947" s="28"/>
      <c r="AM5947" s="28" t="n">
        <f aca="false">AL5947*$M5947</f>
        <v>0</v>
      </c>
      <c r="AN5947" s="28"/>
      <c r="AO5947" s="28" t="n">
        <f aca="false">AN5947*$M5947</f>
        <v>0</v>
      </c>
      <c r="AP5947" s="28"/>
      <c r="AQ5947" s="28" t="n">
        <f aca="false">AP5947*$M5947</f>
        <v>0</v>
      </c>
      <c r="AR5947" s="28"/>
      <c r="AS5947" s="28" t="n">
        <f aca="false">AR5947*$M5947</f>
        <v>0</v>
      </c>
      <c r="AT5947" s="28"/>
      <c r="AU5947" s="28" t="n">
        <f aca="false">AT5947*$M5947</f>
        <v>0</v>
      </c>
      <c r="AV5947" s="28"/>
      <c r="AW5947" s="28" t="n">
        <f aca="false">AV5947*$M5947</f>
        <v>0</v>
      </c>
      <c r="AX5947" s="28"/>
      <c r="AY5947" s="28" t="n">
        <f aca="false">AX5947*$M5947</f>
        <v>0</v>
      </c>
      <c r="AZ5947" s="30" t="n">
        <f aca="false">465916/100</f>
        <v>4659.16</v>
      </c>
      <c r="BA5947" s="11" t="n">
        <v>34942</v>
      </c>
      <c r="BB5947" s="31" t="n">
        <f aca="false">SUM(Q5947,S5947,U5947,W5947,Y5947,AA5947,AC5947,AE5947,AG5947,AI5947,AK5947,AM5947,AO5947,AQ5947,AS5947,AU5947,AW5947,AY5947)</f>
        <v>34942</v>
      </c>
      <c r="BC5947" s="28" t="n">
        <f aca="false">BA5947-BB5947</f>
        <v>0</v>
      </c>
      <c r="BD5947" s="32" t="n">
        <f aca="false">SUM(P5947,R5947,T5947,V5947,X5947,Z5947,AB5947,AD5947,AF5947,AH5947,AJ5947,AL5947,AN5947,AP5947,AR5947,AT5947,AV5947,AX5947)</f>
        <v>4659.16</v>
      </c>
      <c r="BE5947" s="33" t="n">
        <f aca="false">AZ5947-BD5947</f>
        <v>0</v>
      </c>
      <c r="BF5947" s="34" t="n">
        <f aca="false">BD5947*M5947</f>
        <v>34943.7</v>
      </c>
      <c r="BG5947" s="35" t="n">
        <f aca="false">BA5947-BF5947</f>
        <v>-1.69999999999709</v>
      </c>
      <c r="BH5947" s="19" t="str">
        <f aca="false">IF(BG5947=0,"",IF(BG5947&lt;&gt;BA5947,"erreur de calcul",IF(BD5947&lt;&gt;0,"pas de prix",IF(M5947&lt;&gt; 0,"pas de quantité","pas de prix, ni de quantité"))))</f>
        <v>erreur de calcul</v>
      </c>
      <c r="BI5947" s="19"/>
    </row>
    <row r="5948" customFormat="false" ht="15" hidden="false" customHeight="false" outlineLevel="0" collapsed="false">
      <c r="A5948" s="0" t="n">
        <v>2</v>
      </c>
      <c r="B5948" s="8" t="s">
        <v>24</v>
      </c>
      <c r="C5948" s="9" t="s">
        <v>25</v>
      </c>
      <c r="D5948" s="9" t="s">
        <v>26</v>
      </c>
      <c r="E5948" s="10" t="n">
        <v>1789</v>
      </c>
      <c r="F5948" s="9" t="s">
        <v>27</v>
      </c>
      <c r="G5948" s="9" t="s">
        <v>27</v>
      </c>
      <c r="H5948" s="11" t="n">
        <v>27</v>
      </c>
      <c r="I5948" s="11" t="s">
        <v>413</v>
      </c>
      <c r="J5948" s="14" t="n">
        <v>3</v>
      </c>
      <c r="K5948" s="14"/>
      <c r="L5948" s="16"/>
      <c r="M5948" s="27" t="n">
        <f aca="false">J5948+(K5948/20)+(L5948/240)</f>
        <v>3</v>
      </c>
      <c r="N5948" s="17" t="s">
        <v>66</v>
      </c>
      <c r="O5948" s="11"/>
      <c r="P5948" s="28"/>
      <c r="Q5948" s="28" t="n">
        <f aca="false">P5948*$M5948</f>
        <v>0</v>
      </c>
      <c r="R5948" s="28"/>
      <c r="S5948" s="28" t="n">
        <f aca="false">R5948*$M5948</f>
        <v>0</v>
      </c>
      <c r="T5948" s="28"/>
      <c r="U5948" s="28" t="n">
        <f aca="false">T5948*$M5948</f>
        <v>0</v>
      </c>
      <c r="V5948" s="28"/>
      <c r="W5948" s="28" t="n">
        <f aca="false">V5948*$M5948</f>
        <v>0</v>
      </c>
      <c r="X5948" s="28"/>
      <c r="Y5948" s="28" t="n">
        <f aca="false">X5948*$M5948</f>
        <v>0</v>
      </c>
      <c r="Z5948" s="28"/>
      <c r="AA5948" s="28" t="n">
        <f aca="false">Z5948*$M5948</f>
        <v>0</v>
      </c>
      <c r="AB5948" s="28"/>
      <c r="AC5948" s="28" t="n">
        <f aca="false">AB5948*$M5948</f>
        <v>0</v>
      </c>
      <c r="AD5948" s="28"/>
      <c r="AE5948" s="28" t="n">
        <f aca="false">AD5948*$M5948</f>
        <v>0</v>
      </c>
      <c r="AF5948" s="28"/>
      <c r="AG5948" s="28" t="n">
        <f aca="false">AF5948*$M5948</f>
        <v>0</v>
      </c>
      <c r="AH5948" s="28" t="n">
        <v>58272</v>
      </c>
      <c r="AI5948" s="28" t="n">
        <v>174816</v>
      </c>
      <c r="AJ5948" s="28"/>
      <c r="AK5948" s="28" t="n">
        <f aca="false">AJ5948*$M5948</f>
        <v>0</v>
      </c>
      <c r="AL5948" s="28"/>
      <c r="AM5948" s="28" t="n">
        <f aca="false">AL5948*$M5948</f>
        <v>0</v>
      </c>
      <c r="AN5948" s="28"/>
      <c r="AO5948" s="28" t="n">
        <f aca="false">AN5948*$M5948</f>
        <v>0</v>
      </c>
      <c r="AP5948" s="28"/>
      <c r="AQ5948" s="28" t="n">
        <f aca="false">AP5948*$M5948</f>
        <v>0</v>
      </c>
      <c r="AR5948" s="28"/>
      <c r="AS5948" s="28" t="n">
        <f aca="false">AR5948*$M5948</f>
        <v>0</v>
      </c>
      <c r="AT5948" s="28"/>
      <c r="AU5948" s="28" t="n">
        <f aca="false">AT5948*$M5948</f>
        <v>0</v>
      </c>
      <c r="AV5948" s="28"/>
      <c r="AW5948" s="28" t="n">
        <f aca="false">AV5948*$M5948</f>
        <v>0</v>
      </c>
      <c r="AX5948" s="28"/>
      <c r="AY5948" s="28" t="n">
        <f aca="false">AX5948*$M5948</f>
        <v>0</v>
      </c>
      <c r="AZ5948" s="30" t="n">
        <f aca="false">58272</f>
        <v>58272</v>
      </c>
      <c r="BA5948" s="11" t="n">
        <v>174816</v>
      </c>
      <c r="BB5948" s="31" t="n">
        <f aca="false">SUM(Q5948,S5948,U5948,W5948,Y5948,AA5948,AC5948,AE5948,AG5948,AI5948,AK5948,AM5948,AO5948,AQ5948,AS5948,AU5948,AW5948,AY5948)</f>
        <v>174816</v>
      </c>
      <c r="BC5948" s="28" t="n">
        <f aca="false">BA5948-BB5948</f>
        <v>0</v>
      </c>
      <c r="BD5948" s="32" t="n">
        <f aca="false">SUM(P5948,R5948,T5948,V5948,X5948,Z5948,AB5948,AD5948,AF5948,AH5948,AJ5948,AL5948,AN5948,AP5948,AR5948,AT5948,AV5948,AX5948)</f>
        <v>58272</v>
      </c>
      <c r="BE5948" s="33" t="n">
        <f aca="false">AZ5948-BD5948</f>
        <v>0</v>
      </c>
      <c r="BF5948" s="34" t="n">
        <f aca="false">BD5948*M5948</f>
        <v>174816</v>
      </c>
      <c r="BG5948" s="35" t="n">
        <f aca="false">BA5948-BF5948</f>
        <v>0</v>
      </c>
      <c r="BH5948" s="19" t="str">
        <f aca="false">IF(BG5948=0,"",IF(BG5948&lt;&gt;BA5948,"erreur de calcul",IF(BD5948&lt;&gt;0,"pas de prix",IF(M5948&lt;&gt; 0,"pas de quantité","pas de prix, ni de quantité"))))</f>
        <v/>
      </c>
      <c r="BI5948" s="19"/>
    </row>
    <row r="5949" customFormat="false" ht="15" hidden="false" customHeight="false" outlineLevel="0" collapsed="false">
      <c r="A5949" s="0" t="n">
        <v>3</v>
      </c>
      <c r="B5949" s="8" t="s">
        <v>24</v>
      </c>
      <c r="C5949" s="9" t="s">
        <v>25</v>
      </c>
      <c r="D5949" s="9" t="s">
        <v>26</v>
      </c>
      <c r="E5949" s="10" t="n">
        <v>1789</v>
      </c>
      <c r="F5949" s="9" t="s">
        <v>27</v>
      </c>
      <c r="G5949" s="9" t="s">
        <v>27</v>
      </c>
      <c r="H5949" s="11" t="n">
        <v>27</v>
      </c>
      <c r="I5949" s="11" t="s">
        <v>414</v>
      </c>
      <c r="J5949" s="14" t="n">
        <v>3</v>
      </c>
      <c r="K5949" s="14"/>
      <c r="L5949" s="16"/>
      <c r="M5949" s="27" t="n">
        <f aca="false">J5949+(K5949/20)+(L5949/240)</f>
        <v>3</v>
      </c>
      <c r="N5949" s="17" t="s">
        <v>66</v>
      </c>
      <c r="O5949" s="11" t="s">
        <v>98</v>
      </c>
      <c r="P5949" s="28"/>
      <c r="Q5949" s="28" t="n">
        <f aca="false">P5949*$M5949</f>
        <v>0</v>
      </c>
      <c r="R5949" s="28"/>
      <c r="S5949" s="28" t="n">
        <f aca="false">R5949*$M5949</f>
        <v>0</v>
      </c>
      <c r="T5949" s="28"/>
      <c r="U5949" s="28" t="n">
        <f aca="false">T5949*$M5949</f>
        <v>0</v>
      </c>
      <c r="V5949" s="28"/>
      <c r="W5949" s="28" t="n">
        <f aca="false">V5949*$M5949</f>
        <v>0</v>
      </c>
      <c r="X5949" s="28"/>
      <c r="Y5949" s="28" t="n">
        <f aca="false">X5949*$M5949</f>
        <v>0</v>
      </c>
      <c r="Z5949" s="28"/>
      <c r="AA5949" s="28" t="n">
        <f aca="false">Z5949*$M5949</f>
        <v>0</v>
      </c>
      <c r="AB5949" s="28"/>
      <c r="AC5949" s="28" t="n">
        <f aca="false">AB5949*$M5949</f>
        <v>0</v>
      </c>
      <c r="AD5949" s="28"/>
      <c r="AE5949" s="28" t="n">
        <f aca="false">AD5949*$M5949</f>
        <v>0</v>
      </c>
      <c r="AF5949" s="28"/>
      <c r="AG5949" s="28" t="n">
        <f aca="false">AF5949*$M5949</f>
        <v>0</v>
      </c>
      <c r="AH5949" s="28" t="n">
        <v>110560</v>
      </c>
      <c r="AI5949" s="28" t="n">
        <v>331680</v>
      </c>
      <c r="AJ5949" s="28"/>
      <c r="AK5949" s="28" t="n">
        <f aca="false">AJ5949*$M5949</f>
        <v>0</v>
      </c>
      <c r="AL5949" s="28"/>
      <c r="AM5949" s="28" t="n">
        <f aca="false">AL5949*$M5949</f>
        <v>0</v>
      </c>
      <c r="AN5949" s="28"/>
      <c r="AO5949" s="28" t="n">
        <f aca="false">AN5949*$M5949</f>
        <v>0</v>
      </c>
      <c r="AP5949" s="28"/>
      <c r="AQ5949" s="28" t="n">
        <f aca="false">AP5949*$M5949</f>
        <v>0</v>
      </c>
      <c r="AR5949" s="28"/>
      <c r="AS5949" s="28" t="n">
        <f aca="false">AR5949*$M5949</f>
        <v>0</v>
      </c>
      <c r="AT5949" s="28"/>
      <c r="AU5949" s="28" t="n">
        <f aca="false">AT5949*$M5949</f>
        <v>0</v>
      </c>
      <c r="AV5949" s="28"/>
      <c r="AW5949" s="28" t="n">
        <f aca="false">AV5949*$M5949</f>
        <v>0</v>
      </c>
      <c r="AX5949" s="28"/>
      <c r="AY5949" s="28" t="n">
        <f aca="false">AX5949*$M5949</f>
        <v>0</v>
      </c>
      <c r="AZ5949" s="30" t="n">
        <v>110560</v>
      </c>
      <c r="BA5949" s="11" t="n">
        <v>331680</v>
      </c>
      <c r="BB5949" s="31" t="n">
        <f aca="false">SUM(Q5949,S5949,U5949,W5949,Y5949,AA5949,AC5949,AE5949,AG5949,AI5949,AK5949,AM5949,AO5949,AQ5949,AS5949,AU5949,AW5949,AY5949)</f>
        <v>331680</v>
      </c>
      <c r="BC5949" s="28" t="n">
        <f aca="false">BA5949-BB5949</f>
        <v>0</v>
      </c>
      <c r="BD5949" s="32" t="n">
        <f aca="false">SUM(P5949,R5949,T5949,V5949,X5949,Z5949,AB5949,AD5949,AF5949,AH5949,AJ5949,AL5949,AN5949,AP5949,AR5949,AT5949,AV5949,AX5949)</f>
        <v>110560</v>
      </c>
      <c r="BE5949" s="33" t="n">
        <f aca="false">AZ5949-BD5949</f>
        <v>0</v>
      </c>
      <c r="BF5949" s="34" t="n">
        <f aca="false">BD5949*M5949</f>
        <v>331680</v>
      </c>
      <c r="BG5949" s="35" t="n">
        <f aca="false">BA5949-BF5949</f>
        <v>0</v>
      </c>
      <c r="BH5949" s="19" t="str">
        <f aca="false">IF(BG5949=0,"",IF(BG5949&lt;&gt;BA5949,"erreur de calcul",IF(BD5949&lt;&gt;0,"pas de prix",IF(M5949&lt;&gt; 0,"pas de quantité","pas de prix, ni de quantité"))))</f>
        <v/>
      </c>
      <c r="BI5949" s="19"/>
    </row>
    <row r="5950" customFormat="false" ht="15" hidden="false" customHeight="false" outlineLevel="0" collapsed="false">
      <c r="A5950" s="0" t="n">
        <v>4</v>
      </c>
      <c r="B5950" s="8" t="s">
        <v>24</v>
      </c>
      <c r="C5950" s="9" t="s">
        <v>25</v>
      </c>
      <c r="D5950" s="9" t="s">
        <v>26</v>
      </c>
      <c r="E5950" s="10" t="n">
        <v>1789</v>
      </c>
      <c r="F5950" s="9" t="s">
        <v>27</v>
      </c>
      <c r="G5950" s="9" t="s">
        <v>27</v>
      </c>
      <c r="H5950" s="11" t="n">
        <v>27</v>
      </c>
      <c r="I5950" s="11" t="s">
        <v>415</v>
      </c>
      <c r="J5950" s="14" t="n">
        <v>3</v>
      </c>
      <c r="K5950" s="14" t="n">
        <v>10</v>
      </c>
      <c r="L5950" s="16"/>
      <c r="M5950" s="27" t="n">
        <f aca="false">J5950+(K5950/20)+(L5950/240)</f>
        <v>3.5</v>
      </c>
      <c r="N5950" s="17" t="s">
        <v>66</v>
      </c>
      <c r="O5950" s="11" t="s">
        <v>98</v>
      </c>
      <c r="P5950" s="28"/>
      <c r="Q5950" s="28" t="n">
        <f aca="false">P5950*$M5950</f>
        <v>0</v>
      </c>
      <c r="R5950" s="28"/>
      <c r="S5950" s="28" t="n">
        <f aca="false">R5950*$M5950</f>
        <v>0</v>
      </c>
      <c r="T5950" s="28"/>
      <c r="U5950" s="28" t="n">
        <f aca="false">T5950*$M5950</f>
        <v>0</v>
      </c>
      <c r="V5950" s="28"/>
      <c r="W5950" s="28" t="n">
        <f aca="false">V5950*$M5950</f>
        <v>0</v>
      </c>
      <c r="X5950" s="28" t="n">
        <v>218</v>
      </c>
      <c r="Y5950" s="28" t="n">
        <v>763</v>
      </c>
      <c r="Z5950" s="28"/>
      <c r="AA5950" s="28" t="n">
        <f aca="false">Z5950*$M5950</f>
        <v>0</v>
      </c>
      <c r="AB5950" s="28"/>
      <c r="AC5950" s="28" t="n">
        <f aca="false">AB5950*$M5950</f>
        <v>0</v>
      </c>
      <c r="AD5950" s="28"/>
      <c r="AE5950" s="28" t="n">
        <f aca="false">AD5950*$M5950</f>
        <v>0</v>
      </c>
      <c r="AF5950" s="28"/>
      <c r="AG5950" s="28" t="n">
        <f aca="false">AF5950*$M5950</f>
        <v>0</v>
      </c>
      <c r="AH5950" s="28" t="n">
        <v>25905</v>
      </c>
      <c r="AI5950" s="28" t="n">
        <v>90667</v>
      </c>
      <c r="AJ5950" s="28"/>
      <c r="AK5950" s="28" t="n">
        <f aca="false">AJ5950*$M5950</f>
        <v>0</v>
      </c>
      <c r="AL5950" s="28"/>
      <c r="AM5950" s="28" t="n">
        <f aca="false">AL5950*$M5950</f>
        <v>0</v>
      </c>
      <c r="AN5950" s="28"/>
      <c r="AO5950" s="28" t="n">
        <f aca="false">AN5950*$M5950</f>
        <v>0</v>
      </c>
      <c r="AP5950" s="28"/>
      <c r="AQ5950" s="28" t="n">
        <f aca="false">AP5950*$M5950</f>
        <v>0</v>
      </c>
      <c r="AR5950" s="28"/>
      <c r="AS5950" s="28" t="n">
        <f aca="false">AR5950*$M5950</f>
        <v>0</v>
      </c>
      <c r="AT5950" s="28"/>
      <c r="AU5950" s="28" t="n">
        <f aca="false">AT5950*$M5950</f>
        <v>0</v>
      </c>
      <c r="AV5950" s="28"/>
      <c r="AW5950" s="28" t="n">
        <f aca="false">AV5950*$M5950</f>
        <v>0</v>
      </c>
      <c r="AX5950" s="28"/>
      <c r="AY5950" s="28" t="n">
        <f aca="false">AX5950*$M5950</f>
        <v>0</v>
      </c>
      <c r="AZ5950" s="30" t="n">
        <v>26123</v>
      </c>
      <c r="BA5950" s="11" t="n">
        <v>91430</v>
      </c>
      <c r="BB5950" s="31" t="n">
        <f aca="false">SUM(Q5950,S5950,U5950,W5950,Y5950,AA5950,AC5950,AE5950,AG5950,AI5950,AK5950,AM5950,AO5950,AQ5950,AS5950,AU5950,AW5950,AY5950)</f>
        <v>91430</v>
      </c>
      <c r="BC5950" s="28" t="n">
        <f aca="false">BA5950-BB5950</f>
        <v>0</v>
      </c>
      <c r="BD5950" s="32" t="n">
        <f aca="false">SUM(P5950,R5950,T5950,V5950,X5950,Z5950,AB5950,AD5950,AF5950,AH5950,AJ5950,AL5950,AN5950,AP5950,AR5950,AT5950,AV5950,AX5950)</f>
        <v>26123</v>
      </c>
      <c r="BE5950" s="33" t="n">
        <f aca="false">AZ5950-BD5950</f>
        <v>0</v>
      </c>
      <c r="BF5950" s="34" t="n">
        <f aca="false">BD5950*M5950</f>
        <v>91430.5</v>
      </c>
      <c r="BG5950" s="35" t="n">
        <f aca="false">BA5950-BF5950</f>
        <v>-0.5</v>
      </c>
      <c r="BH5950" s="19" t="str">
        <f aca="false">IF(BG5950=0,"",IF(BG5950&lt;&gt;BA5950,"erreur de calcul",IF(BD5950&lt;&gt;0,"pas de prix",IF(M5950&lt;&gt; 0,"pas de quantité","pas de prix, ni de quantité"))))</f>
        <v>erreur de calcul</v>
      </c>
      <c r="BI5950" s="19"/>
    </row>
    <row r="5951" customFormat="false" ht="15" hidden="false" customHeight="false" outlineLevel="0" collapsed="false">
      <c r="A5951" s="0" t="n">
        <v>5</v>
      </c>
      <c r="B5951" s="8" t="s">
        <v>24</v>
      </c>
      <c r="C5951" s="9" t="s">
        <v>25</v>
      </c>
      <c r="D5951" s="9" t="s">
        <v>26</v>
      </c>
      <c r="E5951" s="10" t="n">
        <v>1789</v>
      </c>
      <c r="F5951" s="9" t="s">
        <v>27</v>
      </c>
      <c r="G5951" s="9" t="s">
        <v>27</v>
      </c>
      <c r="H5951" s="11" t="n">
        <v>27</v>
      </c>
      <c r="I5951" s="11" t="s">
        <v>416</v>
      </c>
      <c r="J5951" s="14"/>
      <c r="K5951" s="14" t="n">
        <v>30</v>
      </c>
      <c r="L5951" s="16"/>
      <c r="M5951" s="27" t="n">
        <f aca="false">J5951+(K5951/20)+(L5951/240)</f>
        <v>1.5</v>
      </c>
      <c r="N5951" s="17" t="s">
        <v>66</v>
      </c>
      <c r="O5951" s="11"/>
      <c r="P5951" s="28"/>
      <c r="Q5951" s="28" t="n">
        <f aca="false">P5951*$M5951</f>
        <v>0</v>
      </c>
      <c r="R5951" s="28"/>
      <c r="S5951" s="28" t="n">
        <f aca="false">R5951*$M5951</f>
        <v>0</v>
      </c>
      <c r="T5951" s="28"/>
      <c r="U5951" s="28" t="n">
        <f aca="false">T5951*$M5951</f>
        <v>0</v>
      </c>
      <c r="V5951" s="28"/>
      <c r="W5951" s="28" t="n">
        <f aca="false">V5951*$M5951</f>
        <v>0</v>
      </c>
      <c r="X5951" s="28"/>
      <c r="Y5951" s="28" t="n">
        <f aca="false">X5951*$M5951</f>
        <v>0</v>
      </c>
      <c r="Z5951" s="28"/>
      <c r="AA5951" s="28" t="n">
        <f aca="false">Z5951*$M5951</f>
        <v>0</v>
      </c>
      <c r="AB5951" s="28"/>
      <c r="AC5951" s="28" t="n">
        <f aca="false">AB5951*$M5951</f>
        <v>0</v>
      </c>
      <c r="AD5951" s="28"/>
      <c r="AE5951" s="28" t="n">
        <f aca="false">AD5951*$M5951</f>
        <v>0</v>
      </c>
      <c r="AF5951" s="28"/>
      <c r="AG5951" s="28" t="n">
        <f aca="false">AF5951*$M5951</f>
        <v>0</v>
      </c>
      <c r="AH5951" s="28" t="n">
        <v>75870</v>
      </c>
      <c r="AI5951" s="28" t="n">
        <v>113805</v>
      </c>
      <c r="AJ5951" s="28"/>
      <c r="AK5951" s="28" t="n">
        <f aca="false">AJ5951*$M5951</f>
        <v>0</v>
      </c>
      <c r="AL5951" s="28"/>
      <c r="AM5951" s="28" t="n">
        <f aca="false">AL5951*$M5951</f>
        <v>0</v>
      </c>
      <c r="AN5951" s="28"/>
      <c r="AO5951" s="28" t="n">
        <f aca="false">AN5951*$M5951</f>
        <v>0</v>
      </c>
      <c r="AP5951" s="28"/>
      <c r="AQ5951" s="28" t="n">
        <f aca="false">AP5951*$M5951</f>
        <v>0</v>
      </c>
      <c r="AR5951" s="28"/>
      <c r="AS5951" s="28" t="n">
        <f aca="false">AR5951*$M5951</f>
        <v>0</v>
      </c>
      <c r="AT5951" s="28"/>
      <c r="AU5951" s="28" t="n">
        <f aca="false">AT5951*$M5951</f>
        <v>0</v>
      </c>
      <c r="AV5951" s="28"/>
      <c r="AW5951" s="28" t="n">
        <f aca="false">AV5951*$M5951</f>
        <v>0</v>
      </c>
      <c r="AX5951" s="28"/>
      <c r="AY5951" s="28" t="n">
        <f aca="false">AX5951*$M5951</f>
        <v>0</v>
      </c>
      <c r="AZ5951" s="30" t="n">
        <v>75870</v>
      </c>
      <c r="BA5951" s="11" t="n">
        <v>113805</v>
      </c>
      <c r="BB5951" s="31" t="n">
        <f aca="false">SUM(Q5951,S5951,U5951,W5951,Y5951,AA5951,AC5951,AE5951,AG5951,AI5951,AK5951,AM5951,AO5951,AQ5951,AS5951,AU5951,AW5951,AY5951)</f>
        <v>113805</v>
      </c>
      <c r="BC5951" s="28" t="n">
        <f aca="false">BA5951-BB5951</f>
        <v>0</v>
      </c>
      <c r="BD5951" s="32" t="n">
        <f aca="false">SUM(P5951,R5951,T5951,V5951,X5951,Z5951,AB5951,AD5951,AF5951,AH5951,AJ5951,AL5951,AN5951,AP5951,AR5951,AT5951,AV5951,AX5951)</f>
        <v>75870</v>
      </c>
      <c r="BE5951" s="33" t="n">
        <f aca="false">AZ5951-BD5951</f>
        <v>0</v>
      </c>
      <c r="BF5951" s="34" t="n">
        <f aca="false">BD5951*M5951</f>
        <v>113805</v>
      </c>
      <c r="BG5951" s="35" t="n">
        <f aca="false">BA5951-BF5951</f>
        <v>0</v>
      </c>
      <c r="BH5951" s="19" t="str">
        <f aca="false">IF(BG5951=0,"",IF(BG5951&lt;&gt;BA5951,"erreur de calcul",IF(BD5951&lt;&gt;0,"pas de prix",IF(M5951&lt;&gt; 0,"pas de quantité","pas de prix, ni de quantité"))))</f>
        <v/>
      </c>
      <c r="BI5951" s="19"/>
    </row>
    <row r="5952" customFormat="false" ht="15" hidden="false" customHeight="false" outlineLevel="0" collapsed="false">
      <c r="A5952" s="0" t="n">
        <v>6</v>
      </c>
      <c r="B5952" s="8" t="s">
        <v>24</v>
      </c>
      <c r="C5952" s="9" t="s">
        <v>25</v>
      </c>
      <c r="D5952" s="9" t="s">
        <v>26</v>
      </c>
      <c r="E5952" s="10" t="n">
        <v>1789</v>
      </c>
      <c r="F5952" s="9" t="s">
        <v>27</v>
      </c>
      <c r="G5952" s="9" t="s">
        <v>27</v>
      </c>
      <c r="H5952" s="11" t="n">
        <v>27</v>
      </c>
      <c r="I5952" s="11" t="s">
        <v>417</v>
      </c>
      <c r="J5952" s="14" t="n">
        <v>3</v>
      </c>
      <c r="K5952" s="14"/>
      <c r="L5952" s="16"/>
      <c r="M5952" s="27" t="n">
        <f aca="false">J5952+(K5952/20)+(L5952/240)</f>
        <v>3</v>
      </c>
      <c r="N5952" s="17" t="s">
        <v>66</v>
      </c>
      <c r="O5952" s="11"/>
      <c r="P5952" s="28"/>
      <c r="Q5952" s="28" t="n">
        <f aca="false">P5952*$M5952</f>
        <v>0</v>
      </c>
      <c r="R5952" s="28"/>
      <c r="S5952" s="28" t="n">
        <f aca="false">R5952*$M5952</f>
        <v>0</v>
      </c>
      <c r="T5952" s="28"/>
      <c r="U5952" s="28" t="n">
        <f aca="false">T5952*$M5952</f>
        <v>0</v>
      </c>
      <c r="V5952" s="28"/>
      <c r="W5952" s="28" t="n">
        <f aca="false">V5952*$M5952</f>
        <v>0</v>
      </c>
      <c r="X5952" s="28"/>
      <c r="Y5952" s="28" t="n">
        <f aca="false">X5952*$M5952</f>
        <v>0</v>
      </c>
      <c r="Z5952" s="28"/>
      <c r="AA5952" s="28" t="n">
        <f aca="false">Z5952*$M5952</f>
        <v>0</v>
      </c>
      <c r="AB5952" s="28"/>
      <c r="AC5952" s="28" t="n">
        <f aca="false">AB5952*$M5952</f>
        <v>0</v>
      </c>
      <c r="AD5952" s="28"/>
      <c r="AE5952" s="28" t="n">
        <f aca="false">AD5952*$M5952</f>
        <v>0</v>
      </c>
      <c r="AF5952" s="28"/>
      <c r="AG5952" s="28" t="n">
        <f aca="false">AF5952*$M5952</f>
        <v>0</v>
      </c>
      <c r="AH5952" s="28" t="n">
        <v>121588</v>
      </c>
      <c r="AI5952" s="28" t="n">
        <v>364764</v>
      </c>
      <c r="AJ5952" s="28"/>
      <c r="AK5952" s="28" t="n">
        <f aca="false">AJ5952*$M5952</f>
        <v>0</v>
      </c>
      <c r="AL5952" s="28"/>
      <c r="AM5952" s="28" t="n">
        <f aca="false">AL5952*$M5952</f>
        <v>0</v>
      </c>
      <c r="AN5952" s="28"/>
      <c r="AO5952" s="28" t="n">
        <f aca="false">AN5952*$M5952</f>
        <v>0</v>
      </c>
      <c r="AP5952" s="28"/>
      <c r="AQ5952" s="28" t="n">
        <f aca="false">AP5952*$M5952</f>
        <v>0</v>
      </c>
      <c r="AR5952" s="28"/>
      <c r="AS5952" s="28" t="n">
        <f aca="false">AR5952*$M5952</f>
        <v>0</v>
      </c>
      <c r="AT5952" s="28"/>
      <c r="AU5952" s="28" t="n">
        <f aca="false">AT5952*$M5952</f>
        <v>0</v>
      </c>
      <c r="AV5952" s="28"/>
      <c r="AW5952" s="28" t="n">
        <f aca="false">AV5952*$M5952</f>
        <v>0</v>
      </c>
      <c r="AX5952" s="28"/>
      <c r="AY5952" s="28" t="n">
        <f aca="false">AX5952*$M5952</f>
        <v>0</v>
      </c>
      <c r="AZ5952" s="30" t="n">
        <v>121588</v>
      </c>
      <c r="BA5952" s="11" t="n">
        <v>364764</v>
      </c>
      <c r="BB5952" s="31" t="n">
        <f aca="false">SUM(Q5952,S5952,U5952,W5952,Y5952,AA5952,AC5952,AE5952,AG5952,AI5952,AK5952,AM5952,AO5952,AQ5952,AS5952,AU5952,AW5952,AY5952)</f>
        <v>364764</v>
      </c>
      <c r="BC5952" s="28" t="n">
        <f aca="false">BA5952-BB5952</f>
        <v>0</v>
      </c>
      <c r="BD5952" s="32" t="n">
        <f aca="false">SUM(P5952,R5952,T5952,V5952,X5952,Z5952,AB5952,AD5952,AF5952,AH5952,AJ5952,AL5952,AN5952,AP5952,AR5952,AT5952,AV5952,AX5952)</f>
        <v>121588</v>
      </c>
      <c r="BE5952" s="33" t="n">
        <f aca="false">AZ5952-BD5952</f>
        <v>0</v>
      </c>
      <c r="BF5952" s="34" t="n">
        <f aca="false">BD5952*M5952</f>
        <v>364764</v>
      </c>
      <c r="BG5952" s="35" t="n">
        <f aca="false">BA5952-BF5952</f>
        <v>0</v>
      </c>
      <c r="BH5952" s="19" t="str">
        <f aca="false">IF(BG5952=0,"",IF(BG5952&lt;&gt;BA5952,"erreur de calcul",IF(BD5952&lt;&gt;0,"pas de prix",IF(M5952&lt;&gt; 0,"pas de quantité","pas de prix, ni de quantité"))))</f>
        <v/>
      </c>
      <c r="BI5952" s="19"/>
    </row>
    <row r="5953" customFormat="false" ht="15" hidden="false" customHeight="false" outlineLevel="0" collapsed="false">
      <c r="A5953" s="0" t="n">
        <v>7</v>
      </c>
      <c r="B5953" s="8" t="s">
        <v>24</v>
      </c>
      <c r="C5953" s="9" t="s">
        <v>25</v>
      </c>
      <c r="D5953" s="9" t="s">
        <v>26</v>
      </c>
      <c r="E5953" s="10" t="n">
        <v>1789</v>
      </c>
      <c r="F5953" s="9" t="s">
        <v>27</v>
      </c>
      <c r="G5953" s="9" t="s">
        <v>27</v>
      </c>
      <c r="H5953" s="11" t="n">
        <v>27</v>
      </c>
      <c r="I5953" s="11" t="s">
        <v>418</v>
      </c>
      <c r="J5953" s="14"/>
      <c r="K5953" s="14" t="n">
        <v>24</v>
      </c>
      <c r="L5953" s="16"/>
      <c r="M5953" s="27" t="n">
        <f aca="false">J5953+(K5953/20)+(L5953/240)</f>
        <v>1.2</v>
      </c>
      <c r="N5953" s="17" t="s">
        <v>66</v>
      </c>
      <c r="O5953" s="11"/>
      <c r="P5953" s="28"/>
      <c r="Q5953" s="28" t="n">
        <f aca="false">P5953*$M5953</f>
        <v>0</v>
      </c>
      <c r="R5953" s="28"/>
      <c r="S5953" s="28" t="n">
        <f aca="false">R5953*$M5953</f>
        <v>0</v>
      </c>
      <c r="T5953" s="28"/>
      <c r="U5953" s="28" t="n">
        <f aca="false">T5953*$M5953</f>
        <v>0</v>
      </c>
      <c r="V5953" s="28"/>
      <c r="W5953" s="28" t="n">
        <f aca="false">V5953*$M5953</f>
        <v>0</v>
      </c>
      <c r="X5953" s="28"/>
      <c r="Y5953" s="28" t="n">
        <f aca="false">X5953*$M5953</f>
        <v>0</v>
      </c>
      <c r="Z5953" s="28"/>
      <c r="AA5953" s="28" t="n">
        <f aca="false">Z5953*$M5953</f>
        <v>0</v>
      </c>
      <c r="AB5953" s="28"/>
      <c r="AC5953" s="28" t="n">
        <f aca="false">AB5953*$M5953</f>
        <v>0</v>
      </c>
      <c r="AD5953" s="28"/>
      <c r="AE5953" s="28" t="n">
        <f aca="false">AD5953*$M5953</f>
        <v>0</v>
      </c>
      <c r="AF5953" s="28"/>
      <c r="AG5953" s="28" t="n">
        <f aca="false">AF5953*$M5953</f>
        <v>0</v>
      </c>
      <c r="AH5953" s="28" t="n">
        <v>50204</v>
      </c>
      <c r="AI5953" s="28" t="n">
        <v>60245</v>
      </c>
      <c r="AJ5953" s="28"/>
      <c r="AK5953" s="28" t="n">
        <f aca="false">AJ5953*$M5953</f>
        <v>0</v>
      </c>
      <c r="AL5953" s="28"/>
      <c r="AM5953" s="28" t="n">
        <f aca="false">AL5953*$M5953</f>
        <v>0</v>
      </c>
      <c r="AN5953" s="28"/>
      <c r="AO5953" s="28" t="n">
        <f aca="false">AN5953*$M5953</f>
        <v>0</v>
      </c>
      <c r="AP5953" s="28"/>
      <c r="AQ5953" s="28" t="n">
        <f aca="false">AP5953*$M5953</f>
        <v>0</v>
      </c>
      <c r="AR5953" s="28"/>
      <c r="AS5953" s="28" t="n">
        <f aca="false">AR5953*$M5953</f>
        <v>0</v>
      </c>
      <c r="AT5953" s="28"/>
      <c r="AU5953" s="28" t="n">
        <f aca="false">AT5953*$M5953</f>
        <v>0</v>
      </c>
      <c r="AV5953" s="28"/>
      <c r="AW5953" s="28" t="n">
        <f aca="false">AV5953*$M5953</f>
        <v>0</v>
      </c>
      <c r="AX5953" s="28"/>
      <c r="AY5953" s="28" t="n">
        <f aca="false">AX5953*$M5953</f>
        <v>0</v>
      </c>
      <c r="AZ5953" s="30" t="n">
        <v>50204</v>
      </c>
      <c r="BA5953" s="11" t="n">
        <v>60245</v>
      </c>
      <c r="BB5953" s="31" t="n">
        <f aca="false">SUM(Q5953,S5953,U5953,W5953,Y5953,AA5953,AC5953,AE5953,AG5953,AI5953,AK5953,AM5953,AO5953,AQ5953,AS5953,AU5953,AW5953,AY5953)</f>
        <v>60245</v>
      </c>
      <c r="BC5953" s="28" t="n">
        <f aca="false">BA5953-BB5953</f>
        <v>0</v>
      </c>
      <c r="BD5953" s="32" t="n">
        <f aca="false">SUM(P5953,R5953,T5953,V5953,X5953,Z5953,AB5953,AD5953,AF5953,AH5953,AJ5953,AL5953,AN5953,AP5953,AR5953,AT5953,AV5953,AX5953)</f>
        <v>50204</v>
      </c>
      <c r="BE5953" s="33" t="n">
        <f aca="false">AZ5953-BD5953</f>
        <v>0</v>
      </c>
      <c r="BF5953" s="34" t="n">
        <f aca="false">BD5953*M5953</f>
        <v>60244.8</v>
      </c>
      <c r="BG5953" s="35" t="n">
        <f aca="false">BA5953-BF5953</f>
        <v>0.200000000004366</v>
      </c>
      <c r="BH5953" s="19" t="str">
        <f aca="false">IF(BG5953=0,"",IF(BG5953&lt;&gt;BA5953,"erreur de calcul",IF(BD5953&lt;&gt;0,"pas de prix",IF(M5953&lt;&gt; 0,"pas de quantité","pas de prix, ni de quantité"))))</f>
        <v>erreur de calcul</v>
      </c>
      <c r="BI5953" s="19"/>
    </row>
    <row r="5954" customFormat="false" ht="15" hidden="false" customHeight="false" outlineLevel="0" collapsed="false">
      <c r="A5954" s="0" t="n">
        <v>8</v>
      </c>
      <c r="B5954" s="8" t="s">
        <v>24</v>
      </c>
      <c r="C5954" s="9" t="s">
        <v>25</v>
      </c>
      <c r="D5954" s="9" t="s">
        <v>26</v>
      </c>
      <c r="E5954" s="10" t="n">
        <v>1789</v>
      </c>
      <c r="F5954" s="9" t="s">
        <v>27</v>
      </c>
      <c r="G5954" s="9" t="s">
        <v>27</v>
      </c>
      <c r="H5954" s="11" t="n">
        <v>27</v>
      </c>
      <c r="I5954" s="11" t="s">
        <v>419</v>
      </c>
      <c r="J5954" s="14" t="n">
        <v>40</v>
      </c>
      <c r="K5954" s="14"/>
      <c r="L5954" s="16"/>
      <c r="M5954" s="27" t="n">
        <f aca="false">J5954+(K5954/20)+(L5954/240)</f>
        <v>40</v>
      </c>
      <c r="N5954" s="17" t="s">
        <v>66</v>
      </c>
      <c r="O5954" s="11" t="s">
        <v>98</v>
      </c>
      <c r="P5954" s="28"/>
      <c r="Q5954" s="28" t="n">
        <f aca="false">P5954*$M5954</f>
        <v>0</v>
      </c>
      <c r="R5954" s="28"/>
      <c r="S5954" s="28" t="n">
        <f aca="false">R5954*$M5954</f>
        <v>0</v>
      </c>
      <c r="T5954" s="28"/>
      <c r="U5954" s="28" t="n">
        <f aca="false">T5954*$M5954</f>
        <v>0</v>
      </c>
      <c r="V5954" s="28"/>
      <c r="W5954" s="28" t="n">
        <f aca="false">V5954*$M5954</f>
        <v>0</v>
      </c>
      <c r="X5954" s="28"/>
      <c r="Y5954" s="28" t="n">
        <f aca="false">X5954*$M5954</f>
        <v>0</v>
      </c>
      <c r="Z5954" s="28"/>
      <c r="AA5954" s="28" t="n">
        <f aca="false">Z5954*$M5954</f>
        <v>0</v>
      </c>
      <c r="AB5954" s="28"/>
      <c r="AC5954" s="28" t="n">
        <f aca="false">AB5954*$M5954</f>
        <v>0</v>
      </c>
      <c r="AD5954" s="28"/>
      <c r="AE5954" s="28" t="n">
        <f aca="false">AD5954*$M5954</f>
        <v>0</v>
      </c>
      <c r="AF5954" s="28"/>
      <c r="AG5954" s="28" t="n">
        <f aca="false">AF5954*$M5954</f>
        <v>0</v>
      </c>
      <c r="AH5954" s="28"/>
      <c r="AI5954" s="28" t="n">
        <f aca="false">AH5954*$M5954</f>
        <v>0</v>
      </c>
      <c r="AJ5954" s="28"/>
      <c r="AK5954" s="28" t="n">
        <f aca="false">AJ5954*$M5954</f>
        <v>0</v>
      </c>
      <c r="AL5954" s="28"/>
      <c r="AM5954" s="28" t="n">
        <f aca="false">AL5954*$M5954</f>
        <v>0</v>
      </c>
      <c r="AN5954" s="28"/>
      <c r="AO5954" s="28" t="n">
        <f aca="false">AN5954*$M5954</f>
        <v>0</v>
      </c>
      <c r="AP5954" s="28"/>
      <c r="AQ5954" s="28" t="n">
        <f aca="false">AP5954*$M5954</f>
        <v>0</v>
      </c>
      <c r="AR5954" s="28"/>
      <c r="AS5954" s="28" t="n">
        <f aca="false">AR5954*$M5954</f>
        <v>0</v>
      </c>
      <c r="AT5954" s="28"/>
      <c r="AU5954" s="28" t="n">
        <f aca="false">AT5954*$M5954</f>
        <v>0</v>
      </c>
      <c r="AV5954" s="28"/>
      <c r="AW5954" s="28" t="n">
        <f aca="false">AV5954*$M5954</f>
        <v>0</v>
      </c>
      <c r="AX5954" s="28"/>
      <c r="AY5954" s="28" t="n">
        <f aca="false">AX5954*$M5954</f>
        <v>0</v>
      </c>
      <c r="AZ5954" s="30"/>
      <c r="BA5954" s="11"/>
      <c r="BB5954" s="31" t="n">
        <f aca="false">SUM(Q5954,S5954,U5954,W5954,Y5954,AA5954,AC5954,AE5954,AG5954,AI5954,AK5954,AM5954,AO5954,AQ5954,AS5954,AU5954,AW5954,AY5954)</f>
        <v>0</v>
      </c>
      <c r="BC5954" s="28" t="n">
        <f aca="false">BA5954-BB5954</f>
        <v>0</v>
      </c>
      <c r="BD5954" s="32" t="n">
        <f aca="false">SUM(P5954,R5954,T5954,V5954,X5954,Z5954,AB5954,AD5954,AF5954,AH5954,AJ5954,AL5954,AN5954,AP5954,AR5954,AT5954,AV5954,AX5954)</f>
        <v>0</v>
      </c>
      <c r="BE5954" s="33" t="n">
        <f aca="false">AZ5954-BD5954</f>
        <v>0</v>
      </c>
      <c r="BF5954" s="34" t="n">
        <f aca="false">BD5954*M5954</f>
        <v>0</v>
      </c>
      <c r="BG5954" s="35" t="n">
        <f aca="false">BA5954-BF5954</f>
        <v>0</v>
      </c>
      <c r="BH5954" s="19" t="str">
        <f aca="false">IF(BG5954=0,"",IF(BG5954&lt;&gt;BA5954,"erreur de calcul",IF(BD5954&lt;&gt;0,"pas de prix",IF(M5954&lt;&gt; 0,"pas de quantité","pas de prix, ni de quantité"))))</f>
        <v/>
      </c>
      <c r="BI5954" s="19"/>
    </row>
    <row r="5955" customFormat="false" ht="15" hidden="false" customHeight="false" outlineLevel="0" collapsed="false">
      <c r="A5955" s="0" t="n">
        <v>9</v>
      </c>
      <c r="B5955" s="8" t="s">
        <v>24</v>
      </c>
      <c r="C5955" s="9" t="s">
        <v>25</v>
      </c>
      <c r="D5955" s="9" t="s">
        <v>26</v>
      </c>
      <c r="E5955" s="10" t="n">
        <v>1789</v>
      </c>
      <c r="F5955" s="9" t="s">
        <v>27</v>
      </c>
      <c r="G5955" s="9" t="s">
        <v>27</v>
      </c>
      <c r="H5955" s="11" t="n">
        <v>27</v>
      </c>
      <c r="I5955" s="11" t="s">
        <v>420</v>
      </c>
      <c r="J5955" s="14" t="n">
        <v>9</v>
      </c>
      <c r="K5955" s="14"/>
      <c r="L5955" s="16"/>
      <c r="M5955" s="27" t="n">
        <f aca="false">J5955+(K5955/20)+(L5955/240)</f>
        <v>9</v>
      </c>
      <c r="N5955" s="17" t="s">
        <v>81</v>
      </c>
      <c r="O5955" s="11" t="s">
        <v>98</v>
      </c>
      <c r="P5955" s="28"/>
      <c r="Q5955" s="28" t="n">
        <f aca="false">P5955*$M5955</f>
        <v>0</v>
      </c>
      <c r="R5955" s="28"/>
      <c r="S5955" s="28" t="n">
        <f aca="false">R5955*$M5955</f>
        <v>0</v>
      </c>
      <c r="T5955" s="28"/>
      <c r="U5955" s="28" t="n">
        <f aca="false">T5955*$M5955</f>
        <v>0</v>
      </c>
      <c r="V5955" s="28"/>
      <c r="W5955" s="28" t="n">
        <f aca="false">V5955*$M5955</f>
        <v>0</v>
      </c>
      <c r="X5955" s="28"/>
      <c r="Y5955" s="28" t="n">
        <f aca="false">X5955*$M5955</f>
        <v>0</v>
      </c>
      <c r="Z5955" s="28"/>
      <c r="AA5955" s="28" t="n">
        <f aca="false">Z5955*$M5955</f>
        <v>0</v>
      </c>
      <c r="AB5955" s="28"/>
      <c r="AC5955" s="28" t="n">
        <f aca="false">AB5955*$M5955</f>
        <v>0</v>
      </c>
      <c r="AD5955" s="28"/>
      <c r="AE5955" s="28" t="n">
        <f aca="false">AD5955*$M5955</f>
        <v>0</v>
      </c>
      <c r="AF5955" s="28"/>
      <c r="AG5955" s="28" t="n">
        <f aca="false">AF5955*$M5955</f>
        <v>0</v>
      </c>
      <c r="AH5955" s="28"/>
      <c r="AI5955" s="28" t="n">
        <f aca="false">AH5955*$M5955</f>
        <v>0</v>
      </c>
      <c r="AJ5955" s="28"/>
      <c r="AK5955" s="28" t="n">
        <f aca="false">AJ5955*$M5955</f>
        <v>0</v>
      </c>
      <c r="AL5955" s="28"/>
      <c r="AM5955" s="28" t="n">
        <f aca="false">AL5955*$M5955</f>
        <v>0</v>
      </c>
      <c r="AN5955" s="28"/>
      <c r="AO5955" s="28" t="n">
        <f aca="false">AN5955*$M5955</f>
        <v>0</v>
      </c>
      <c r="AP5955" s="28"/>
      <c r="AQ5955" s="28" t="n">
        <f aca="false">AP5955*$M5955</f>
        <v>0</v>
      </c>
      <c r="AR5955" s="28"/>
      <c r="AS5955" s="28" t="n">
        <f aca="false">AR5955*$M5955</f>
        <v>0</v>
      </c>
      <c r="AT5955" s="28"/>
      <c r="AU5955" s="28" t="n">
        <f aca="false">AT5955*$M5955</f>
        <v>0</v>
      </c>
      <c r="AV5955" s="28"/>
      <c r="AW5955" s="28" t="n">
        <f aca="false">AV5955*$M5955</f>
        <v>0</v>
      </c>
      <c r="AX5955" s="28"/>
      <c r="AY5955" s="28" t="n">
        <f aca="false">AX5955*$M5955</f>
        <v>0</v>
      </c>
      <c r="AZ5955" s="30"/>
      <c r="BA5955" s="11"/>
      <c r="BB5955" s="31" t="n">
        <f aca="false">SUM(Q5955,S5955,U5955,W5955,Y5955,AA5955,AC5955,AE5955,AG5955,AI5955,AK5955,AM5955,AO5955,AQ5955,AS5955,AU5955,AW5955,AY5955)</f>
        <v>0</v>
      </c>
      <c r="BC5955" s="28" t="n">
        <f aca="false">BA5955-BB5955</f>
        <v>0</v>
      </c>
      <c r="BD5955" s="32" t="n">
        <f aca="false">SUM(P5955,R5955,T5955,V5955,X5955,Z5955,AB5955,AD5955,AF5955,AH5955,AJ5955,AL5955,AN5955,AP5955,AR5955,AT5955,AV5955,AX5955)</f>
        <v>0</v>
      </c>
      <c r="BE5955" s="33" t="n">
        <f aca="false">AZ5955-BD5955</f>
        <v>0</v>
      </c>
      <c r="BF5955" s="34" t="n">
        <f aca="false">BD5955*M5955</f>
        <v>0</v>
      </c>
      <c r="BG5955" s="35" t="n">
        <f aca="false">BA5955-BF5955</f>
        <v>0</v>
      </c>
      <c r="BH5955" s="19" t="str">
        <f aca="false">IF(BG5955=0,"",IF(BG5955&lt;&gt;BA5955,"erreur de calcul",IF(BD5955&lt;&gt;0,"pas de prix",IF(M5955&lt;&gt; 0,"pas de quantité","pas de prix, ni de quantité"))))</f>
        <v/>
      </c>
      <c r="BI5955" s="19"/>
    </row>
    <row r="5956" customFormat="false" ht="15" hidden="false" customHeight="false" outlineLevel="0" collapsed="false">
      <c r="A5956" s="0" t="n">
        <v>10</v>
      </c>
      <c r="B5956" s="8" t="s">
        <v>24</v>
      </c>
      <c r="C5956" s="9" t="s">
        <v>25</v>
      </c>
      <c r="D5956" s="9" t="s">
        <v>26</v>
      </c>
      <c r="E5956" s="10" t="n">
        <v>1789</v>
      </c>
      <c r="F5956" s="9" t="s">
        <v>27</v>
      </c>
      <c r="G5956" s="9" t="s">
        <v>27</v>
      </c>
      <c r="H5956" s="11" t="n">
        <v>27</v>
      </c>
      <c r="I5956" s="11" t="s">
        <v>421</v>
      </c>
      <c r="J5956" s="14" t="n">
        <v>220</v>
      </c>
      <c r="K5956" s="14"/>
      <c r="L5956" s="16"/>
      <c r="M5956" s="27" t="n">
        <f aca="false">J5956+(K5956/20)+(L5956/240)</f>
        <v>220</v>
      </c>
      <c r="N5956" s="17" t="s">
        <v>64</v>
      </c>
      <c r="O5956" s="11" t="s">
        <v>277</v>
      </c>
      <c r="P5956" s="28" t="n">
        <f aca="false">245/100</f>
        <v>2.45</v>
      </c>
      <c r="Q5956" s="28" t="n">
        <v>539</v>
      </c>
      <c r="R5956" s="28"/>
      <c r="S5956" s="28" t="n">
        <f aca="false">R5956*$M5956</f>
        <v>0</v>
      </c>
      <c r="T5956" s="28" t="n">
        <f aca="false">40119/100</f>
        <v>401.19</v>
      </c>
      <c r="U5956" s="28" t="n">
        <v>88262</v>
      </c>
      <c r="V5956" s="28" t="n">
        <f aca="false">14285/100</f>
        <v>142.85</v>
      </c>
      <c r="W5956" s="28" t="n">
        <v>31427</v>
      </c>
      <c r="X5956" s="28" t="n">
        <f aca="false">62608/100</f>
        <v>626.08</v>
      </c>
      <c r="Y5956" s="28" t="n">
        <v>137738</v>
      </c>
      <c r="Z5956" s="28" t="n">
        <f aca="false">523/100</f>
        <v>5.23</v>
      </c>
      <c r="AA5956" s="28" t="n">
        <v>1151</v>
      </c>
      <c r="AB5956" s="28" t="n">
        <f aca="false">56/100</f>
        <v>0.56</v>
      </c>
      <c r="AC5956" s="28" t="n">
        <v>123</v>
      </c>
      <c r="AD5956" s="28"/>
      <c r="AE5956" s="28" t="n">
        <f aca="false">AD5956*$M5956</f>
        <v>0</v>
      </c>
      <c r="AF5956" s="28"/>
      <c r="AG5956" s="28" t="n">
        <f aca="false">AF5956*$M5956</f>
        <v>0</v>
      </c>
      <c r="AH5956" s="28"/>
      <c r="AI5956" s="28" t="n">
        <f aca="false">AH5956*$M5956</f>
        <v>0</v>
      </c>
      <c r="AJ5956" s="28" t="n">
        <f aca="false">3845/100</f>
        <v>38.45</v>
      </c>
      <c r="AK5956" s="28" t="n">
        <v>8459</v>
      </c>
      <c r="AL5956" s="28" t="n">
        <f aca="false">26510/100</f>
        <v>265.1</v>
      </c>
      <c r="AM5956" s="28" t="n">
        <v>58322</v>
      </c>
      <c r="AN5956" s="28" t="n">
        <f aca="false">330/100</f>
        <v>3.3</v>
      </c>
      <c r="AO5956" s="28" t="n">
        <v>726</v>
      </c>
      <c r="AP5956" s="28"/>
      <c r="AQ5956" s="28" t="n">
        <f aca="false">AP5956*$M5956</f>
        <v>0</v>
      </c>
      <c r="AR5956" s="28"/>
      <c r="AS5956" s="28" t="n">
        <f aca="false">AR5956*$M5956</f>
        <v>0</v>
      </c>
      <c r="AT5956" s="28"/>
      <c r="AU5956" s="28" t="n">
        <f aca="false">AT5956*$M5956</f>
        <v>0</v>
      </c>
      <c r="AV5956" s="28" t="n">
        <f aca="false">1487/100</f>
        <v>14.87</v>
      </c>
      <c r="AW5956" s="28" t="n">
        <v>3271</v>
      </c>
      <c r="AX5956" s="28"/>
      <c r="AY5956" s="28" t="n">
        <f aca="false">AX5956*$M5956</f>
        <v>0</v>
      </c>
      <c r="AZ5956" s="30" t="n">
        <f aca="false">150008/100</f>
        <v>1500.08</v>
      </c>
      <c r="BA5956" s="11" t="n">
        <v>330018</v>
      </c>
      <c r="BB5956" s="31" t="n">
        <f aca="false">SUM(Q5956,S5956,U5956,W5956,Y5956,AA5956,AC5956,AE5956,AG5956,AI5956,AK5956,AM5956,AO5956,AQ5956,AS5956,AU5956,AW5956,AY5956)</f>
        <v>330018</v>
      </c>
      <c r="BC5956" s="28" t="n">
        <f aca="false">BA5956-BB5956</f>
        <v>0</v>
      </c>
      <c r="BD5956" s="32" t="n">
        <f aca="false">SUM(P5956,R5956,T5956,V5956,X5956,Z5956,AB5956,AD5956,AF5956,AH5956,AJ5956,AL5956,AN5956,AP5956,AR5956,AT5956,AV5956,AX5956)</f>
        <v>1500.08</v>
      </c>
      <c r="BE5956" s="33" t="n">
        <f aca="false">AZ5956-BD5956</f>
        <v>0</v>
      </c>
      <c r="BF5956" s="34" t="n">
        <f aca="false">BD5956*M5956</f>
        <v>330017.6</v>
      </c>
      <c r="BG5956" s="35" t="n">
        <f aca="false">BA5956-BF5956</f>
        <v>0.399999999965075</v>
      </c>
      <c r="BH5956" s="19" t="str">
        <f aca="false">IF(BG5956=0,"",IF(BG5956&lt;&gt;BA5956,"erreur de calcul",IF(BD5956&lt;&gt;0,"pas de prix",IF(M5956&lt;&gt; 0,"pas de quantité","pas de prix, ni de quantité"))))</f>
        <v>erreur de calcul</v>
      </c>
      <c r="BI5956" s="19"/>
    </row>
    <row r="5957" customFormat="false" ht="15" hidden="false" customHeight="false" outlineLevel="0" collapsed="false">
      <c r="A5957" s="0" t="n">
        <v>11</v>
      </c>
      <c r="B5957" s="8" t="s">
        <v>24</v>
      </c>
      <c r="C5957" s="9" t="s">
        <v>25</v>
      </c>
      <c r="D5957" s="9" t="s">
        <v>26</v>
      </c>
      <c r="E5957" s="10" t="n">
        <v>1789</v>
      </c>
      <c r="F5957" s="9" t="s">
        <v>27</v>
      </c>
      <c r="G5957" s="9" t="s">
        <v>27</v>
      </c>
      <c r="H5957" s="11" t="n">
        <v>27</v>
      </c>
      <c r="I5957" s="11" t="s">
        <v>422</v>
      </c>
      <c r="J5957" s="14" t="n">
        <v>35</v>
      </c>
      <c r="K5957" s="14"/>
      <c r="L5957" s="16"/>
      <c r="M5957" s="27" t="n">
        <f aca="false">J5957+(K5957/20)+(L5957/240)</f>
        <v>35</v>
      </c>
      <c r="N5957" s="17" t="s">
        <v>64</v>
      </c>
      <c r="O5957" s="11"/>
      <c r="P5957" s="28"/>
      <c r="Q5957" s="28" t="n">
        <f aca="false">P5957*$M5957</f>
        <v>0</v>
      </c>
      <c r="R5957" s="28"/>
      <c r="S5957" s="28" t="n">
        <f aca="false">R5957*$M5957</f>
        <v>0</v>
      </c>
      <c r="T5957" s="28"/>
      <c r="U5957" s="28" t="n">
        <f aca="false">T5957*$M5957</f>
        <v>0</v>
      </c>
      <c r="V5957" s="28"/>
      <c r="W5957" s="28" t="n">
        <f aca="false">V5957*$M5957</f>
        <v>0</v>
      </c>
      <c r="X5957" s="28" t="n">
        <f aca="false">9982/100</f>
        <v>99.82</v>
      </c>
      <c r="Y5957" s="28" t="n">
        <v>3494</v>
      </c>
      <c r="Z5957" s="28"/>
      <c r="AA5957" s="28" t="n">
        <f aca="false">Z5957*$M5957</f>
        <v>0</v>
      </c>
      <c r="AB5957" s="28"/>
      <c r="AC5957" s="28" t="n">
        <f aca="false">AB5957*$M5957</f>
        <v>0</v>
      </c>
      <c r="AD5957" s="28"/>
      <c r="AE5957" s="28" t="n">
        <f aca="false">AD5957*$M5957</f>
        <v>0</v>
      </c>
      <c r="AF5957" s="28"/>
      <c r="AG5957" s="28" t="n">
        <f aca="false">AF5957*$M5957</f>
        <v>0</v>
      </c>
      <c r="AH5957" s="28"/>
      <c r="AI5957" s="28" t="n">
        <f aca="false">AH5957*$M5957</f>
        <v>0</v>
      </c>
      <c r="AJ5957" s="28" t="n">
        <f aca="false">28200/100</f>
        <v>282</v>
      </c>
      <c r="AK5957" s="28" t="n">
        <v>9870</v>
      </c>
      <c r="AL5957" s="28" t="n">
        <f aca="false">163472/100</f>
        <v>1634.72</v>
      </c>
      <c r="AM5957" s="28" t="n">
        <v>57215</v>
      </c>
      <c r="AN5957" s="28"/>
      <c r="AO5957" s="28" t="n">
        <f aca="false">AN5957*$M5957</f>
        <v>0</v>
      </c>
      <c r="AP5957" s="28"/>
      <c r="AQ5957" s="28" t="n">
        <f aca="false">AP5957*$M5957</f>
        <v>0</v>
      </c>
      <c r="AR5957" s="28"/>
      <c r="AS5957" s="28" t="n">
        <f aca="false">AR5957*$M5957</f>
        <v>0</v>
      </c>
      <c r="AT5957" s="28"/>
      <c r="AU5957" s="28" t="n">
        <f aca="false">AT5957*$M5957</f>
        <v>0</v>
      </c>
      <c r="AV5957" s="28" t="n">
        <f aca="false">49250/100</f>
        <v>492.5</v>
      </c>
      <c r="AW5957" s="28" t="n">
        <v>17237</v>
      </c>
      <c r="AX5957" s="28"/>
      <c r="AY5957" s="28" t="n">
        <f aca="false">AX5957*$M5957</f>
        <v>0</v>
      </c>
      <c r="AZ5957" s="30" t="n">
        <f aca="false">250904/100</f>
        <v>2509.04</v>
      </c>
      <c r="BA5957" s="11" t="n">
        <v>87816</v>
      </c>
      <c r="BB5957" s="31" t="n">
        <f aca="false">SUM(Q5957,S5957,U5957,W5957,Y5957,AA5957,AC5957,AE5957,AG5957,AI5957,AK5957,AM5957,AO5957,AQ5957,AS5957,AU5957,AW5957,AY5957)</f>
        <v>87816</v>
      </c>
      <c r="BC5957" s="28" t="n">
        <f aca="false">BA5957-BB5957</f>
        <v>0</v>
      </c>
      <c r="BD5957" s="32" t="n">
        <f aca="false">SUM(P5957,R5957,T5957,V5957,X5957,Z5957,AB5957,AD5957,AF5957,AH5957,AJ5957,AL5957,AN5957,AP5957,AR5957,AT5957,AV5957,AX5957)</f>
        <v>2509.04</v>
      </c>
      <c r="BE5957" s="33" t="n">
        <f aca="false">AZ5957-BD5957</f>
        <v>0</v>
      </c>
      <c r="BF5957" s="34" t="n">
        <f aca="false">BD5957*M5957</f>
        <v>87816.4</v>
      </c>
      <c r="BG5957" s="35" t="n">
        <f aca="false">BA5957-BF5957</f>
        <v>-0.400000000008731</v>
      </c>
      <c r="BH5957" s="19" t="str">
        <f aca="false">IF(BG5957=0,"",IF(BG5957&lt;&gt;BA5957,"erreur de calcul",IF(BD5957&lt;&gt;0,"pas de prix",IF(M5957&lt;&gt; 0,"pas de quantité","pas de prix, ni de quantité"))))</f>
        <v>erreur de calcul</v>
      </c>
      <c r="BI5957" s="19"/>
    </row>
    <row r="5958" customFormat="false" ht="15" hidden="false" customHeight="false" outlineLevel="0" collapsed="false">
      <c r="A5958" s="0" t="n">
        <v>12</v>
      </c>
      <c r="B5958" s="8" t="s">
        <v>24</v>
      </c>
      <c r="C5958" s="9" t="s">
        <v>25</v>
      </c>
      <c r="D5958" s="9" t="s">
        <v>26</v>
      </c>
      <c r="E5958" s="10" t="n">
        <v>1789</v>
      </c>
      <c r="F5958" s="9" t="s">
        <v>27</v>
      </c>
      <c r="G5958" s="9" t="s">
        <v>27</v>
      </c>
      <c r="H5958" s="11" t="n">
        <v>27</v>
      </c>
      <c r="I5958" s="11" t="s">
        <v>423</v>
      </c>
      <c r="J5958" s="14" t="n">
        <v>75</v>
      </c>
      <c r="K5958" s="14"/>
      <c r="L5958" s="16"/>
      <c r="M5958" s="27" t="n">
        <f aca="false">J5958+(K5958/20)+(L5958/240)</f>
        <v>75</v>
      </c>
      <c r="N5958" s="17" t="s">
        <v>64</v>
      </c>
      <c r="O5958" s="11"/>
      <c r="P5958" s="28"/>
      <c r="Q5958" s="28" t="n">
        <f aca="false">P5958*$M5958</f>
        <v>0</v>
      </c>
      <c r="R5958" s="28"/>
      <c r="S5958" s="28" t="n">
        <f aca="false">R5958*$M5958</f>
        <v>0</v>
      </c>
      <c r="T5958" s="28"/>
      <c r="U5958" s="28" t="n">
        <f aca="false">T5958*$M5958</f>
        <v>0</v>
      </c>
      <c r="V5958" s="28" t="n">
        <f aca="false">1030/100</f>
        <v>10.3</v>
      </c>
      <c r="W5958" s="28" t="n">
        <v>772</v>
      </c>
      <c r="X5958" s="28"/>
      <c r="Y5958" s="28" t="n">
        <f aca="false">X5958*$M5958</f>
        <v>0</v>
      </c>
      <c r="Z5958" s="28"/>
      <c r="AA5958" s="28" t="n">
        <f aca="false">Z5958*$M5958</f>
        <v>0</v>
      </c>
      <c r="AB5958" s="28"/>
      <c r="AC5958" s="28" t="n">
        <f aca="false">AB5958*$M5958</f>
        <v>0</v>
      </c>
      <c r="AD5958" s="28"/>
      <c r="AE5958" s="28" t="n">
        <f aca="false">AD5958*$M5958</f>
        <v>0</v>
      </c>
      <c r="AF5958" s="28"/>
      <c r="AG5958" s="28" t="n">
        <f aca="false">AF5958*$M5958</f>
        <v>0</v>
      </c>
      <c r="AH5958" s="28"/>
      <c r="AI5958" s="28" t="n">
        <f aca="false">AH5958*$M5958</f>
        <v>0</v>
      </c>
      <c r="AJ5958" s="28"/>
      <c r="AK5958" s="28" t="n">
        <f aca="false">AJ5958*$M5958</f>
        <v>0</v>
      </c>
      <c r="AL5958" s="28"/>
      <c r="AM5958" s="28" t="n">
        <f aca="false">AL5958*$M5958</f>
        <v>0</v>
      </c>
      <c r="AN5958" s="28"/>
      <c r="AO5958" s="28" t="n">
        <f aca="false">AN5958*$M5958</f>
        <v>0</v>
      </c>
      <c r="AP5958" s="28"/>
      <c r="AQ5958" s="28" t="n">
        <f aca="false">AP5958*$M5958</f>
        <v>0</v>
      </c>
      <c r="AR5958" s="28"/>
      <c r="AS5958" s="28" t="n">
        <f aca="false">AR5958*$M5958</f>
        <v>0</v>
      </c>
      <c r="AT5958" s="28"/>
      <c r="AU5958" s="28" t="n">
        <f aca="false">AT5958*$M5958</f>
        <v>0</v>
      </c>
      <c r="AV5958" s="28"/>
      <c r="AW5958" s="28" t="n">
        <f aca="false">AV5958*$M5958</f>
        <v>0</v>
      </c>
      <c r="AX5958" s="28"/>
      <c r="AY5958" s="28" t="n">
        <f aca="false">AX5958*$M5958</f>
        <v>0</v>
      </c>
      <c r="AZ5958" s="30" t="n">
        <f aca="false">1030/100</f>
        <v>10.3</v>
      </c>
      <c r="BA5958" s="11" t="n">
        <v>772</v>
      </c>
      <c r="BB5958" s="31" t="n">
        <f aca="false">SUM(Q5958,S5958,U5958,W5958,Y5958,AA5958,AC5958,AE5958,AG5958,AI5958,AK5958,AM5958,AO5958,AQ5958,AS5958,AU5958,AW5958,AY5958)</f>
        <v>772</v>
      </c>
      <c r="BC5958" s="28" t="n">
        <f aca="false">BA5958-BB5958</f>
        <v>0</v>
      </c>
      <c r="BD5958" s="32" t="n">
        <f aca="false">SUM(P5958,R5958,T5958,V5958,X5958,Z5958,AB5958,AD5958,AF5958,AH5958,AJ5958,AL5958,AN5958,AP5958,AR5958,AT5958,AV5958,AX5958)</f>
        <v>10.3</v>
      </c>
      <c r="BE5958" s="33" t="n">
        <f aca="false">AZ5958-BD5958</f>
        <v>0</v>
      </c>
      <c r="BF5958" s="34" t="n">
        <f aca="false">BD5958*M5958</f>
        <v>772.5</v>
      </c>
      <c r="BG5958" s="35" t="n">
        <f aca="false">BA5958-BF5958</f>
        <v>-0.5</v>
      </c>
      <c r="BH5958" s="19" t="str">
        <f aca="false">IF(BG5958=0,"",IF(BG5958&lt;&gt;BA5958,"erreur de calcul",IF(BD5958&lt;&gt;0,"pas de prix",IF(M5958&lt;&gt; 0,"pas de quantité","pas de prix, ni de quantité"))))</f>
        <v>erreur de calcul</v>
      </c>
      <c r="BI5958" s="19"/>
    </row>
    <row r="5959" customFormat="false" ht="15" hidden="false" customHeight="false" outlineLevel="0" collapsed="false">
      <c r="A5959" s="0" t="n">
        <v>13</v>
      </c>
      <c r="B5959" s="8" t="s">
        <v>24</v>
      </c>
      <c r="C5959" s="9" t="s">
        <v>25</v>
      </c>
      <c r="D5959" s="9" t="s">
        <v>26</v>
      </c>
      <c r="E5959" s="10" t="n">
        <v>1789</v>
      </c>
      <c r="F5959" s="9" t="s">
        <v>27</v>
      </c>
      <c r="G5959" s="9" t="s">
        <v>27</v>
      </c>
      <c r="H5959" s="11" t="n">
        <v>27</v>
      </c>
      <c r="I5959" s="11" t="s">
        <v>424</v>
      </c>
      <c r="J5959" s="14" t="n">
        <v>6</v>
      </c>
      <c r="K5959" s="14"/>
      <c r="L5959" s="16"/>
      <c r="M5959" s="27" t="n">
        <f aca="false">J5959+(K5959/20)+(L5959/240)</f>
        <v>6</v>
      </c>
      <c r="N5959" s="17" t="s">
        <v>64</v>
      </c>
      <c r="O5959" s="11" t="s">
        <v>277</v>
      </c>
      <c r="P5959" s="28"/>
      <c r="Q5959" s="28" t="n">
        <f aca="false">P5959*$M5959</f>
        <v>0</v>
      </c>
      <c r="R5959" s="28"/>
      <c r="S5959" s="28" t="n">
        <f aca="false">R5959*$M5959</f>
        <v>0</v>
      </c>
      <c r="T5959" s="28"/>
      <c r="U5959" s="28" t="n">
        <f aca="false">T5959*$M5959</f>
        <v>0</v>
      </c>
      <c r="V5959" s="28"/>
      <c r="W5959" s="28" t="n">
        <f aca="false">V5959*$M5959</f>
        <v>0</v>
      </c>
      <c r="X5959" s="28"/>
      <c r="Y5959" s="28" t="n">
        <f aca="false">X5959*$M5959</f>
        <v>0</v>
      </c>
      <c r="Z5959" s="28"/>
      <c r="AA5959" s="28" t="n">
        <f aca="false">Z5959*$M5959</f>
        <v>0</v>
      </c>
      <c r="AB5959" s="28"/>
      <c r="AC5959" s="28" t="n">
        <f aca="false">AB5959*$M5959</f>
        <v>0</v>
      </c>
      <c r="AD5959" s="28"/>
      <c r="AE5959" s="28" t="n">
        <f aca="false">AD5959*$M5959</f>
        <v>0</v>
      </c>
      <c r="AF5959" s="28"/>
      <c r="AG5959" s="28" t="n">
        <f aca="false">AF5959*$M5959</f>
        <v>0</v>
      </c>
      <c r="AH5959" s="28" t="n">
        <f aca="false">9050/100</f>
        <v>90.5</v>
      </c>
      <c r="AI5959" s="28" t="n">
        <v>543</v>
      </c>
      <c r="AJ5959" s="28"/>
      <c r="AK5959" s="28" t="n">
        <f aca="false">AJ5959*$M5959</f>
        <v>0</v>
      </c>
      <c r="AL5959" s="28" t="n">
        <f aca="false">48717/100</f>
        <v>487.17</v>
      </c>
      <c r="AM5959" s="28" t="n">
        <v>2923</v>
      </c>
      <c r="AN5959" s="28"/>
      <c r="AO5959" s="28" t="n">
        <f aca="false">AN5959*$M5959</f>
        <v>0</v>
      </c>
      <c r="AP5959" s="28"/>
      <c r="AQ5959" s="28" t="n">
        <f aca="false">AP5959*$M5959</f>
        <v>0</v>
      </c>
      <c r="AR5959" s="28"/>
      <c r="AS5959" s="28" t="n">
        <f aca="false">AR5959*$M5959</f>
        <v>0</v>
      </c>
      <c r="AT5959" s="28"/>
      <c r="AU5959" s="28" t="n">
        <f aca="false">AT5959*$M5959</f>
        <v>0</v>
      </c>
      <c r="AV5959" s="28"/>
      <c r="AW5959" s="28" t="n">
        <f aca="false">AV5959*$M5959</f>
        <v>0</v>
      </c>
      <c r="AX5959" s="28"/>
      <c r="AY5959" s="28" t="n">
        <f aca="false">AX5959*$M5959</f>
        <v>0</v>
      </c>
      <c r="AZ5959" s="30" t="n">
        <f aca="false">57767/100</f>
        <v>577.67</v>
      </c>
      <c r="BA5959" s="11" t="n">
        <v>3466</v>
      </c>
      <c r="BB5959" s="31" t="n">
        <f aca="false">SUM(Q5959,S5959,U5959,W5959,Y5959,AA5959,AC5959,AE5959,AG5959,AI5959,AK5959,AM5959,AO5959,AQ5959,AS5959,AU5959,AW5959,AY5959)</f>
        <v>3466</v>
      </c>
      <c r="BC5959" s="28" t="n">
        <f aca="false">BA5959-BB5959</f>
        <v>0</v>
      </c>
      <c r="BD5959" s="32" t="n">
        <f aca="false">SUM(P5959,R5959,T5959,V5959,X5959,Z5959,AB5959,AD5959,AF5959,AH5959,AJ5959,AL5959,AN5959,AP5959,AR5959,AT5959,AV5959,AX5959)</f>
        <v>577.67</v>
      </c>
      <c r="BE5959" s="33" t="n">
        <f aca="false">AZ5959-BD5959</f>
        <v>0</v>
      </c>
      <c r="BF5959" s="34" t="n">
        <f aca="false">BD5959*M5959</f>
        <v>3466.02</v>
      </c>
      <c r="BG5959" s="35" t="n">
        <f aca="false">BA5959-BF5959</f>
        <v>-0.0200000000004366</v>
      </c>
      <c r="BH5959" s="19" t="str">
        <f aca="false">IF(BG5959=0,"",IF(BG5959&lt;&gt;BA5959,"erreur de calcul",IF(BD5959&lt;&gt;0,"pas de prix",IF(M5959&lt;&gt; 0,"pas de quantité","pas de prix, ni de quantité"))))</f>
        <v>erreur de calcul</v>
      </c>
      <c r="BI5959" s="19"/>
    </row>
    <row r="5960" customFormat="false" ht="15" hidden="false" customHeight="false" outlineLevel="0" collapsed="false">
      <c r="A5960" s="0" t="n">
        <v>14</v>
      </c>
      <c r="B5960" s="8" t="s">
        <v>24</v>
      </c>
      <c r="C5960" s="9" t="s">
        <v>25</v>
      </c>
      <c r="D5960" s="9" t="s">
        <v>26</v>
      </c>
      <c r="E5960" s="10" t="n">
        <v>1789</v>
      </c>
      <c r="F5960" s="9" t="s">
        <v>27</v>
      </c>
      <c r="G5960" s="9" t="s">
        <v>27</v>
      </c>
      <c r="H5960" s="11" t="n">
        <v>27</v>
      </c>
      <c r="I5960" s="11" t="s">
        <v>425</v>
      </c>
      <c r="J5960" s="14" t="n">
        <v>25</v>
      </c>
      <c r="K5960" s="14"/>
      <c r="L5960" s="16"/>
      <c r="M5960" s="27" t="n">
        <f aca="false">J5960+(K5960/20)+(L5960/240)</f>
        <v>25</v>
      </c>
      <c r="N5960" s="17" t="s">
        <v>64</v>
      </c>
      <c r="O5960" s="11"/>
      <c r="P5960" s="28"/>
      <c r="Q5960" s="28" t="n">
        <f aca="false">P5960*$M5960</f>
        <v>0</v>
      </c>
      <c r="R5960" s="28"/>
      <c r="S5960" s="28" t="n">
        <f aca="false">R5960*$M5960</f>
        <v>0</v>
      </c>
      <c r="T5960" s="28" t="n">
        <f aca="false">10*288*0.02+114*0.02</f>
        <v>59.88</v>
      </c>
      <c r="U5960" s="28" t="n">
        <v>1497</v>
      </c>
      <c r="V5960" s="28"/>
      <c r="W5960" s="28" t="n">
        <f aca="false">V5960*$M5960</f>
        <v>0</v>
      </c>
      <c r="X5960" s="28"/>
      <c r="Y5960" s="28" t="n">
        <f aca="false">X5960*$M5960</f>
        <v>0</v>
      </c>
      <c r="Z5960" s="28"/>
      <c r="AA5960" s="28" t="n">
        <f aca="false">Z5960*$M5960</f>
        <v>0</v>
      </c>
      <c r="AB5960" s="28"/>
      <c r="AC5960" s="28" t="n">
        <f aca="false">AB5960*$M5960</f>
        <v>0</v>
      </c>
      <c r="AD5960" s="28"/>
      <c r="AE5960" s="28" t="n">
        <f aca="false">AD5960*$M5960</f>
        <v>0</v>
      </c>
      <c r="AF5960" s="28"/>
      <c r="AG5960" s="28" t="n">
        <f aca="false">AF5960*$M5960</f>
        <v>0</v>
      </c>
      <c r="AH5960" s="28"/>
      <c r="AI5960" s="28" t="n">
        <f aca="false">AH5960*$M5960</f>
        <v>0</v>
      </c>
      <c r="AJ5960" s="28"/>
      <c r="AK5960" s="28" t="n">
        <f aca="false">AJ5960*$M5960</f>
        <v>0</v>
      </c>
      <c r="AL5960" s="28"/>
      <c r="AM5960" s="28" t="n">
        <f aca="false">AL5960*$M5960</f>
        <v>0</v>
      </c>
      <c r="AN5960" s="28"/>
      <c r="AO5960" s="28" t="n">
        <f aca="false">AN5960*$M5960</f>
        <v>0</v>
      </c>
      <c r="AP5960" s="28"/>
      <c r="AQ5960" s="28" t="n">
        <f aca="false">AP5960*$M5960</f>
        <v>0</v>
      </c>
      <c r="AR5960" s="28"/>
      <c r="AS5960" s="28" t="n">
        <f aca="false">AR5960*$M5960</f>
        <v>0</v>
      </c>
      <c r="AT5960" s="28"/>
      <c r="AU5960" s="28" t="n">
        <f aca="false">AT5960*$M5960</f>
        <v>0</v>
      </c>
      <c r="AV5960" s="28"/>
      <c r="AW5960" s="28" t="n">
        <f aca="false">AV5960*$M5960</f>
        <v>0</v>
      </c>
      <c r="AX5960" s="28"/>
      <c r="AY5960" s="28" t="n">
        <f aca="false">AX5960*$M5960</f>
        <v>0</v>
      </c>
      <c r="AZ5960" s="30" t="n">
        <f aca="false">10*288*0.02+114*0.02</f>
        <v>59.88</v>
      </c>
      <c r="BA5960" s="11" t="n">
        <v>1497</v>
      </c>
      <c r="BB5960" s="31" t="n">
        <f aca="false">SUM(Q5960,S5960,U5960,W5960,Y5960,AA5960,AC5960,AE5960,AG5960,AI5960,AK5960,AM5960,AO5960,AQ5960,AS5960,AU5960,AW5960,AY5960)</f>
        <v>1497</v>
      </c>
      <c r="BC5960" s="28" t="n">
        <f aca="false">BA5960-BB5960</f>
        <v>0</v>
      </c>
      <c r="BD5960" s="32" t="n">
        <f aca="false">SUM(P5960,R5960,T5960,V5960,X5960,Z5960,AB5960,AD5960,AF5960,AH5960,AJ5960,AL5960,AN5960,AP5960,AR5960,AT5960,AV5960,AX5960)</f>
        <v>59.88</v>
      </c>
      <c r="BE5960" s="33" t="n">
        <f aca="false">AZ5960-BD5960</f>
        <v>0</v>
      </c>
      <c r="BF5960" s="34" t="n">
        <f aca="false">BD5960*M5960</f>
        <v>1497</v>
      </c>
      <c r="BG5960" s="35" t="n">
        <f aca="false">BA5960-BF5960</f>
        <v>0</v>
      </c>
      <c r="BH5960" s="19" t="str">
        <f aca="false">IF(BG5960=0,"",IF(BG5960&lt;&gt;BA5960,"erreur de calcul",IF(BD5960&lt;&gt;0,"pas de prix",IF(M5960&lt;&gt; 0,"pas de quantité","pas de prix, ni de quantité"))))</f>
        <v/>
      </c>
      <c r="BI5960" s="19"/>
    </row>
    <row r="5961" customFormat="false" ht="15" hidden="false" customHeight="false" outlineLevel="0" collapsed="false">
      <c r="A5961" s="0" t="n">
        <v>15</v>
      </c>
      <c r="B5961" s="8" t="s">
        <v>24</v>
      </c>
      <c r="C5961" s="9" t="s">
        <v>25</v>
      </c>
      <c r="D5961" s="9" t="s">
        <v>26</v>
      </c>
      <c r="E5961" s="10" t="n">
        <v>1789</v>
      </c>
      <c r="F5961" s="9" t="s">
        <v>27</v>
      </c>
      <c r="G5961" s="9" t="s">
        <v>27</v>
      </c>
      <c r="H5961" s="11" t="n">
        <v>27</v>
      </c>
      <c r="I5961" s="11" t="s">
        <v>426</v>
      </c>
      <c r="J5961" s="14" t="n">
        <v>40</v>
      </c>
      <c r="K5961" s="14"/>
      <c r="L5961" s="16"/>
      <c r="M5961" s="27" t="n">
        <f aca="false">J5961+(K5961/20)+(L5961/240)</f>
        <v>40</v>
      </c>
      <c r="N5961" s="17" t="s">
        <v>64</v>
      </c>
      <c r="O5961" s="11"/>
      <c r="P5961" s="28"/>
      <c r="Q5961" s="28" t="n">
        <f aca="false">P5961*$M5961</f>
        <v>0</v>
      </c>
      <c r="R5961" s="28"/>
      <c r="S5961" s="28" t="n">
        <f aca="false">R5961*$M5961</f>
        <v>0</v>
      </c>
      <c r="T5961" s="28"/>
      <c r="U5961" s="28" t="n">
        <f aca="false">T5961*$M5961</f>
        <v>0</v>
      </c>
      <c r="V5961" s="28"/>
      <c r="W5961" s="28" t="n">
        <f aca="false">V5961*$M5961</f>
        <v>0</v>
      </c>
      <c r="X5961" s="28"/>
      <c r="Y5961" s="28" t="n">
        <f aca="false">X5961*$M5961</f>
        <v>0</v>
      </c>
      <c r="Z5961" s="28"/>
      <c r="AA5961" s="28" t="n">
        <f aca="false">Z5961*$M5961</f>
        <v>0</v>
      </c>
      <c r="AB5961" s="28"/>
      <c r="AC5961" s="28" t="n">
        <f aca="false">AB5961*$M5961</f>
        <v>0</v>
      </c>
      <c r="AD5961" s="28"/>
      <c r="AE5961" s="28" t="n">
        <f aca="false">AD5961*$M5961</f>
        <v>0</v>
      </c>
      <c r="AF5961" s="28"/>
      <c r="AG5961" s="28" t="n">
        <f aca="false">AF5961*$M5961</f>
        <v>0</v>
      </c>
      <c r="AH5961" s="28" t="n">
        <f aca="false">1*288*0.02+59*0.02</f>
        <v>6.94</v>
      </c>
      <c r="AI5961" s="28" t="n">
        <v>278</v>
      </c>
      <c r="AJ5961" s="28"/>
      <c r="AK5961" s="28" t="n">
        <f aca="false">AJ5961*$M5961</f>
        <v>0</v>
      </c>
      <c r="AL5961" s="28"/>
      <c r="AM5961" s="28" t="n">
        <f aca="false">AL5961*$M5961</f>
        <v>0</v>
      </c>
      <c r="AN5961" s="28"/>
      <c r="AO5961" s="28" t="n">
        <f aca="false">AN5961*$M5961</f>
        <v>0</v>
      </c>
      <c r="AP5961" s="28"/>
      <c r="AQ5961" s="28" t="n">
        <f aca="false">AP5961*$M5961</f>
        <v>0</v>
      </c>
      <c r="AR5961" s="28"/>
      <c r="AS5961" s="28" t="n">
        <f aca="false">AR5961*$M5961</f>
        <v>0</v>
      </c>
      <c r="AT5961" s="28"/>
      <c r="AU5961" s="28" t="n">
        <f aca="false">AT5961*$M5961</f>
        <v>0</v>
      </c>
      <c r="AV5961" s="28"/>
      <c r="AW5961" s="28" t="n">
        <f aca="false">AV5961*$M5961</f>
        <v>0</v>
      </c>
      <c r="AX5961" s="28"/>
      <c r="AY5961" s="28" t="n">
        <f aca="false">AX5961*$M5961</f>
        <v>0</v>
      </c>
      <c r="AZ5961" s="30" t="n">
        <f aca="false">1*288*0.02+59*0.02</f>
        <v>6.94</v>
      </c>
      <c r="BA5961" s="11" t="n">
        <v>278</v>
      </c>
      <c r="BB5961" s="31" t="n">
        <f aca="false">SUM(Q5961,S5961,U5961,W5961,Y5961,AA5961,AC5961,AE5961,AG5961,AI5961,AK5961,AM5961,AO5961,AQ5961,AS5961,AU5961,AW5961,AY5961)</f>
        <v>278</v>
      </c>
      <c r="BC5961" s="28" t="n">
        <f aca="false">BA5961-BB5961</f>
        <v>0</v>
      </c>
      <c r="BD5961" s="32" t="n">
        <f aca="false">SUM(P5961,R5961,T5961,V5961,X5961,Z5961,AB5961,AD5961,AF5961,AH5961,AJ5961,AL5961,AN5961,AP5961,AR5961,AT5961,AV5961,AX5961)</f>
        <v>6.94</v>
      </c>
      <c r="BE5961" s="33" t="n">
        <f aca="false">AZ5961-BD5961</f>
        <v>0</v>
      </c>
      <c r="BF5961" s="34" t="n">
        <f aca="false">BD5961*M5961</f>
        <v>277.6</v>
      </c>
      <c r="BG5961" s="35" t="n">
        <f aca="false">BA5961-BF5961</f>
        <v>0.400000000000034</v>
      </c>
      <c r="BH5961" s="19" t="str">
        <f aca="false">IF(BG5961=0,"",IF(BG5961&lt;&gt;BA5961,"erreur de calcul",IF(BD5961&lt;&gt;0,"pas de prix",IF(M5961&lt;&gt; 0,"pas de quantité","pas de prix, ni de quantité"))))</f>
        <v>erreur de calcul</v>
      </c>
      <c r="BI5961" s="19"/>
    </row>
    <row r="5962" customFormat="false" ht="15" hidden="false" customHeight="false" outlineLevel="0" collapsed="false">
      <c r="A5962" s="0" t="n">
        <v>16</v>
      </c>
      <c r="B5962" s="8" t="s">
        <v>24</v>
      </c>
      <c r="C5962" s="9" t="s">
        <v>25</v>
      </c>
      <c r="D5962" s="9" t="s">
        <v>26</v>
      </c>
      <c r="E5962" s="10" t="n">
        <v>1789</v>
      </c>
      <c r="F5962" s="9" t="s">
        <v>27</v>
      </c>
      <c r="G5962" s="9" t="s">
        <v>27</v>
      </c>
      <c r="H5962" s="11" t="n">
        <v>27</v>
      </c>
      <c r="I5962" s="11" t="s">
        <v>427</v>
      </c>
      <c r="J5962" s="14" t="n">
        <v>32</v>
      </c>
      <c r="K5962" s="14"/>
      <c r="L5962" s="16"/>
      <c r="M5962" s="27" t="n">
        <f aca="false">J5962+(K5962/20)+(L5962/240)</f>
        <v>32</v>
      </c>
      <c r="N5962" s="17" t="s">
        <v>64</v>
      </c>
      <c r="O5962" s="11"/>
      <c r="P5962" s="28" t="n">
        <f aca="false">33*288*0.02+179*0.02</f>
        <v>193.66</v>
      </c>
      <c r="Q5962" s="28" t="n">
        <v>6197</v>
      </c>
      <c r="R5962" s="28"/>
      <c r="S5962" s="28" t="n">
        <f aca="false">R5962*$M5962</f>
        <v>0</v>
      </c>
      <c r="T5962" s="28"/>
      <c r="U5962" s="28" t="n">
        <f aca="false">T5962*$M5962</f>
        <v>0</v>
      </c>
      <c r="V5962" s="28"/>
      <c r="W5962" s="28" t="n">
        <f aca="false">V5962*$M5962</f>
        <v>0</v>
      </c>
      <c r="X5962" s="28"/>
      <c r="Y5962" s="28" t="n">
        <f aca="false">X5962*$M5962</f>
        <v>0</v>
      </c>
      <c r="Z5962" s="28"/>
      <c r="AA5962" s="28" t="n">
        <f aca="false">Z5962*$M5962</f>
        <v>0</v>
      </c>
      <c r="AB5962" s="28"/>
      <c r="AC5962" s="28" t="n">
        <f aca="false">AB5962*$M5962</f>
        <v>0</v>
      </c>
      <c r="AD5962" s="28"/>
      <c r="AE5962" s="28" t="n">
        <f aca="false">AD5962*$M5962</f>
        <v>0</v>
      </c>
      <c r="AF5962" s="28"/>
      <c r="AG5962" s="28" t="n">
        <f aca="false">AF5962*$M5962</f>
        <v>0</v>
      </c>
      <c r="AH5962" s="28"/>
      <c r="AI5962" s="28" t="n">
        <f aca="false">AH5962*$M5962</f>
        <v>0</v>
      </c>
      <c r="AJ5962" s="28"/>
      <c r="AK5962" s="28" t="n">
        <f aca="false">AJ5962*$M5962</f>
        <v>0</v>
      </c>
      <c r="AL5962" s="28"/>
      <c r="AM5962" s="28" t="n">
        <f aca="false">AL5962*$M5962</f>
        <v>0</v>
      </c>
      <c r="AN5962" s="28"/>
      <c r="AO5962" s="28" t="n">
        <f aca="false">AN5962*$M5962</f>
        <v>0</v>
      </c>
      <c r="AP5962" s="28"/>
      <c r="AQ5962" s="28" t="n">
        <f aca="false">AP5962*$M5962</f>
        <v>0</v>
      </c>
      <c r="AR5962" s="28"/>
      <c r="AS5962" s="28" t="n">
        <f aca="false">AR5962*$M5962</f>
        <v>0</v>
      </c>
      <c r="AT5962" s="28"/>
      <c r="AU5962" s="28" t="n">
        <f aca="false">AT5962*$M5962</f>
        <v>0</v>
      </c>
      <c r="AV5962" s="28"/>
      <c r="AW5962" s="28" t="n">
        <f aca="false">AV5962*$M5962</f>
        <v>0</v>
      </c>
      <c r="AX5962" s="28"/>
      <c r="AY5962" s="28" t="n">
        <f aca="false">AX5962*$M5962</f>
        <v>0</v>
      </c>
      <c r="AZ5962" s="30" t="n">
        <f aca="false">33*288*0.02+179*0.02</f>
        <v>193.66</v>
      </c>
      <c r="BA5962" s="11" t="n">
        <v>6197</v>
      </c>
      <c r="BB5962" s="31" t="n">
        <f aca="false">SUM(Q5962,S5962,U5962,W5962,Y5962,AA5962,AC5962,AE5962,AG5962,AI5962,AK5962,AM5962,AO5962,AQ5962,AS5962,AU5962,AW5962,AY5962)</f>
        <v>6197</v>
      </c>
      <c r="BC5962" s="28" t="n">
        <f aca="false">BA5962-BB5962</f>
        <v>0</v>
      </c>
      <c r="BD5962" s="32" t="n">
        <f aca="false">SUM(P5962,R5962,T5962,V5962,X5962,Z5962,AB5962,AD5962,AF5962,AH5962,AJ5962,AL5962,AN5962,AP5962,AR5962,AT5962,AV5962,AX5962)</f>
        <v>193.66</v>
      </c>
      <c r="BE5962" s="33" t="n">
        <f aca="false">AZ5962-BD5962</f>
        <v>0</v>
      </c>
      <c r="BF5962" s="34" t="n">
        <f aca="false">BD5962*M5962</f>
        <v>6197.12</v>
      </c>
      <c r="BG5962" s="35" t="n">
        <f aca="false">BA5962-BF5962</f>
        <v>-0.1200000000008</v>
      </c>
      <c r="BH5962" s="19" t="str">
        <f aca="false">IF(BG5962=0,"",IF(BG5962&lt;&gt;BA5962,"erreur de calcul",IF(BD5962&lt;&gt;0,"pas de prix",IF(M5962&lt;&gt; 0,"pas de quantité","pas de prix, ni de quantité"))))</f>
        <v>erreur de calcul</v>
      </c>
      <c r="BI5962" s="19"/>
    </row>
    <row r="5963" customFormat="false" ht="15" hidden="false" customHeight="false" outlineLevel="0" collapsed="false">
      <c r="A5963" s="0" t="n">
        <v>17</v>
      </c>
      <c r="B5963" s="8" t="s">
        <v>24</v>
      </c>
      <c r="C5963" s="9" t="s">
        <v>25</v>
      </c>
      <c r="D5963" s="9" t="s">
        <v>26</v>
      </c>
      <c r="E5963" s="10" t="n">
        <v>1789</v>
      </c>
      <c r="F5963" s="9" t="s">
        <v>27</v>
      </c>
      <c r="G5963" s="9" t="s">
        <v>27</v>
      </c>
      <c r="H5963" s="11" t="n">
        <v>27</v>
      </c>
      <c r="I5963" s="11" t="s">
        <v>428</v>
      </c>
      <c r="J5963" s="14"/>
      <c r="K5963" s="14" t="n">
        <v>12</v>
      </c>
      <c r="L5963" s="16"/>
      <c r="M5963" s="27" t="n">
        <f aca="false">J5963+(K5963/20)+(L5963/240)</f>
        <v>0.6</v>
      </c>
      <c r="N5963" s="17" t="s">
        <v>429</v>
      </c>
      <c r="O5963" s="11"/>
      <c r="P5963" s="28" t="n">
        <f aca="false">620*288+173</f>
        <v>178733</v>
      </c>
      <c r="Q5963" s="28" t="n">
        <v>107240</v>
      </c>
      <c r="R5963" s="28"/>
      <c r="S5963" s="28" t="n">
        <f aca="false">R5963*$M5963</f>
        <v>0</v>
      </c>
      <c r="T5963" s="28"/>
      <c r="U5963" s="28" t="n">
        <f aca="false">T5963*$M5963</f>
        <v>0</v>
      </c>
      <c r="V5963" s="28" t="n">
        <f aca="false">4*288+179</f>
        <v>1331</v>
      </c>
      <c r="W5963" s="28" t="n">
        <v>799</v>
      </c>
      <c r="X5963" s="28"/>
      <c r="Y5963" s="28" t="n">
        <f aca="false">X5963*$M5963</f>
        <v>0</v>
      </c>
      <c r="Z5963" s="28"/>
      <c r="AA5963" s="28" t="n">
        <f aca="false">Z5963*$M5963</f>
        <v>0</v>
      </c>
      <c r="AB5963" s="28"/>
      <c r="AC5963" s="28" t="n">
        <f aca="false">AB5963*$M5963</f>
        <v>0</v>
      </c>
      <c r="AD5963" s="28"/>
      <c r="AE5963" s="28" t="n">
        <f aca="false">AD5963*$M5963</f>
        <v>0</v>
      </c>
      <c r="AF5963" s="28"/>
      <c r="AG5963" s="28" t="n">
        <f aca="false">AF5963*$M5963</f>
        <v>0</v>
      </c>
      <c r="AH5963" s="28" t="n">
        <f aca="false">12*288+227</f>
        <v>3683</v>
      </c>
      <c r="AI5963" s="28" t="n">
        <v>2210</v>
      </c>
      <c r="AJ5963" s="28"/>
      <c r="AK5963" s="28" t="n">
        <f aca="false">AJ5963*$M5963</f>
        <v>0</v>
      </c>
      <c r="AL5963" s="28"/>
      <c r="AM5963" s="28" t="n">
        <f aca="false">AL5963*$M5963</f>
        <v>0</v>
      </c>
      <c r="AN5963" s="28"/>
      <c r="AO5963" s="28" t="n">
        <f aca="false">AN5963*$M5963</f>
        <v>0</v>
      </c>
      <c r="AP5963" s="28"/>
      <c r="AQ5963" s="28" t="n">
        <f aca="false">AP5963*$M5963</f>
        <v>0</v>
      </c>
      <c r="AR5963" s="28"/>
      <c r="AS5963" s="28" t="n">
        <f aca="false">AR5963*$M5963</f>
        <v>0</v>
      </c>
      <c r="AT5963" s="28"/>
      <c r="AU5963" s="28" t="n">
        <f aca="false">AT5963*$M5963</f>
        <v>0</v>
      </c>
      <c r="AV5963" s="28"/>
      <c r="AW5963" s="28" t="n">
        <f aca="false">AV5963*$M5963</f>
        <v>0</v>
      </c>
      <c r="AX5963" s="28"/>
      <c r="AY5963" s="28" t="n">
        <f aca="false">AX5963*$M5963</f>
        <v>0</v>
      </c>
      <c r="AZ5963" s="30" t="n">
        <f aca="false">638*288+3</f>
        <v>183747</v>
      </c>
      <c r="BA5963" s="11" t="n">
        <v>110249</v>
      </c>
      <c r="BB5963" s="31" t="n">
        <f aca="false">SUM(Q5963,S5963,U5963,W5963,Y5963,AA5963,AC5963,AE5963,AG5963,AI5963,AK5963,AM5963,AO5963,AQ5963,AS5963,AU5963,AW5963,AY5963)</f>
        <v>110249</v>
      </c>
      <c r="BC5963" s="28" t="n">
        <f aca="false">BA5963-BB5963</f>
        <v>0</v>
      </c>
      <c r="BD5963" s="32" t="n">
        <f aca="false">SUM(P5963,R5963,T5963,V5963,X5963,Z5963,AB5963,AD5963,AF5963,AH5963,AJ5963,AL5963,AN5963,AP5963,AR5963,AT5963,AV5963,AX5963)</f>
        <v>183747</v>
      </c>
      <c r="BE5963" s="33" t="n">
        <f aca="false">AZ5963-BD5963</f>
        <v>0</v>
      </c>
      <c r="BF5963" s="34" t="n">
        <f aca="false">BD5963*M5963</f>
        <v>110248.2</v>
      </c>
      <c r="BG5963" s="35" t="n">
        <f aca="false">BA5963-BF5963</f>
        <v>0.80000000000291</v>
      </c>
      <c r="BH5963" s="19" t="str">
        <f aca="false">IF(BG5963=0,"",IF(BG5963&lt;&gt;BA5963,"erreur de calcul",IF(BD5963&lt;&gt;0,"pas de prix",IF(M5963&lt;&gt; 0,"pas de quantité","pas de prix, ni de quantité"))))</f>
        <v>erreur de calcul</v>
      </c>
      <c r="BI5963" s="19"/>
    </row>
    <row r="5964" customFormat="false" ht="15" hidden="false" customHeight="false" outlineLevel="0" collapsed="false">
      <c r="A5964" s="0" t="n">
        <v>18</v>
      </c>
      <c r="B5964" s="8" t="s">
        <v>24</v>
      </c>
      <c r="C5964" s="9" t="s">
        <v>25</v>
      </c>
      <c r="D5964" s="9" t="s">
        <v>26</v>
      </c>
      <c r="E5964" s="10" t="n">
        <v>1789</v>
      </c>
      <c r="F5964" s="9" t="s">
        <v>27</v>
      </c>
      <c r="G5964" s="9" t="s">
        <v>27</v>
      </c>
      <c r="H5964" s="11" t="n">
        <v>27</v>
      </c>
      <c r="I5964" s="11" t="s">
        <v>430</v>
      </c>
      <c r="J5964" s="14" t="n">
        <v>30</v>
      </c>
      <c r="K5964" s="14"/>
      <c r="L5964" s="16"/>
      <c r="M5964" s="27" t="n">
        <f aca="false">J5964+(K5964/20)+(L5964/240)</f>
        <v>30</v>
      </c>
      <c r="N5964" s="17" t="s">
        <v>64</v>
      </c>
      <c r="O5964" s="11" t="s">
        <v>77</v>
      </c>
      <c r="P5964" s="28"/>
      <c r="Q5964" s="28" t="n">
        <f aca="false">P5964*$M5964</f>
        <v>0</v>
      </c>
      <c r="R5964" s="28"/>
      <c r="S5964" s="28" t="n">
        <f aca="false">R5964*$M5964</f>
        <v>0</v>
      </c>
      <c r="T5964" s="28" t="n">
        <f aca="false">3*288*0.02+162*0.02</f>
        <v>20.52</v>
      </c>
      <c r="U5964" s="28" t="n">
        <v>616</v>
      </c>
      <c r="V5964" s="28"/>
      <c r="W5964" s="28" t="n">
        <f aca="false">V5964*$M5964</f>
        <v>0</v>
      </c>
      <c r="X5964" s="28" t="n">
        <f aca="false">4*288*0.02+17*0.02</f>
        <v>23.38</v>
      </c>
      <c r="Y5964" s="28" t="n">
        <v>702</v>
      </c>
      <c r="Z5964" s="28" t="n">
        <f aca="false">3*288*0.02+169*0.02</f>
        <v>20.66</v>
      </c>
      <c r="AA5964" s="28" t="n">
        <v>620</v>
      </c>
      <c r="AB5964" s="28" t="n">
        <f aca="false">10*288*0.02+224*0.02</f>
        <v>62.08</v>
      </c>
      <c r="AC5964" s="28" t="n">
        <v>1863</v>
      </c>
      <c r="AD5964" s="28"/>
      <c r="AE5964" s="28" t="n">
        <f aca="false">AD5964*$M5964</f>
        <v>0</v>
      </c>
      <c r="AF5964" s="28"/>
      <c r="AG5964" s="28" t="n">
        <f aca="false">AF5964*$M5964</f>
        <v>0</v>
      </c>
      <c r="AH5964" s="28" t="n">
        <f aca="false">200*0.02</f>
        <v>4</v>
      </c>
      <c r="AI5964" s="28" t="n">
        <v>120</v>
      </c>
      <c r="AJ5964" s="28"/>
      <c r="AK5964" s="28" t="n">
        <f aca="false">AJ5964*$M5964</f>
        <v>0</v>
      </c>
      <c r="AL5964" s="28"/>
      <c r="AM5964" s="28" t="n">
        <f aca="false">AL5964*$M5964</f>
        <v>0</v>
      </c>
      <c r="AN5964" s="28"/>
      <c r="AO5964" s="28" t="n">
        <f aca="false">AN5964*$M5964</f>
        <v>0</v>
      </c>
      <c r="AP5964" s="28"/>
      <c r="AQ5964" s="28" t="n">
        <f aca="false">AP5964*$M5964</f>
        <v>0</v>
      </c>
      <c r="AR5964" s="28"/>
      <c r="AS5964" s="28" t="n">
        <f aca="false">AR5964*$M5964</f>
        <v>0</v>
      </c>
      <c r="AT5964" s="28"/>
      <c r="AU5964" s="28" t="n">
        <f aca="false">AT5964*$M5964</f>
        <v>0</v>
      </c>
      <c r="AV5964" s="28"/>
      <c r="AW5964" s="28" t="n">
        <f aca="false">AV5964*$M5964</f>
        <v>0</v>
      </c>
      <c r="AX5964" s="28"/>
      <c r="AY5964" s="28" t="n">
        <f aca="false">AX5964*$M5964</f>
        <v>0</v>
      </c>
      <c r="AZ5964" s="30" t="n">
        <f aca="false">22*288*0.02+196*0.02</f>
        <v>130.64</v>
      </c>
      <c r="BA5964" s="11" t="n">
        <v>3921</v>
      </c>
      <c r="BB5964" s="31" t="n">
        <f aca="false">SUM(Q5964,S5964,U5964,W5964,Y5964,AA5964,AC5964,AE5964,AG5964,AI5964,AK5964,AM5964,AO5964,AQ5964,AS5964,AU5964,AW5964,AY5964)</f>
        <v>3921</v>
      </c>
      <c r="BC5964" s="28" t="n">
        <f aca="false">BA5964-BB5964</f>
        <v>0</v>
      </c>
      <c r="BD5964" s="32" t="n">
        <f aca="false">SUM(P5964,R5964,T5964,V5964,X5964,Z5964,AB5964,AD5964,AF5964,AH5964,AJ5964,AL5964,AN5964,AP5964,AR5964,AT5964,AV5964,AX5964)</f>
        <v>130.64</v>
      </c>
      <c r="BE5964" s="33" t="n">
        <f aca="false">AZ5964-BD5964</f>
        <v>0</v>
      </c>
      <c r="BF5964" s="34" t="n">
        <f aca="false">BD5964*M5964</f>
        <v>3919.2</v>
      </c>
      <c r="BG5964" s="35" t="n">
        <f aca="false">BA5964-BF5964</f>
        <v>1.80000000000018</v>
      </c>
      <c r="BH5964" s="19" t="str">
        <f aca="false">IF(BG5964=0,"",IF(BG5964&lt;&gt;BA5964,"erreur de calcul",IF(BD5964&lt;&gt;0,"pas de prix",IF(M5964&lt;&gt; 0,"pas de quantité","pas de prix, ni de quantité"))))</f>
        <v>erreur de calcul</v>
      </c>
      <c r="BI5964" s="19"/>
    </row>
    <row r="5965" customFormat="false" ht="15" hidden="false" customHeight="false" outlineLevel="0" collapsed="false">
      <c r="A5965" s="0" t="n">
        <v>19</v>
      </c>
      <c r="B5965" s="8" t="s">
        <v>24</v>
      </c>
      <c r="C5965" s="9" t="s">
        <v>25</v>
      </c>
      <c r="D5965" s="9" t="s">
        <v>26</v>
      </c>
      <c r="E5965" s="10" t="n">
        <v>1789</v>
      </c>
      <c r="F5965" s="9" t="s">
        <v>27</v>
      </c>
      <c r="G5965" s="9" t="s">
        <v>27</v>
      </c>
      <c r="H5965" s="11" t="n">
        <v>27</v>
      </c>
      <c r="I5965" s="11" t="s">
        <v>431</v>
      </c>
      <c r="J5965" s="14" t="n">
        <v>10</v>
      </c>
      <c r="K5965" s="14"/>
      <c r="L5965" s="16"/>
      <c r="M5965" s="27" t="n">
        <f aca="false">J5965+(K5965/20)+(L5965/240)</f>
        <v>10</v>
      </c>
      <c r="N5965" s="17" t="s">
        <v>432</v>
      </c>
      <c r="O5965" s="11" t="s">
        <v>109</v>
      </c>
      <c r="P5965" s="28" t="n">
        <f aca="false">105*(288/62.5)+135/62.5</f>
        <v>486</v>
      </c>
      <c r="Q5965" s="28" t="n">
        <v>4860</v>
      </c>
      <c r="R5965" s="28"/>
      <c r="S5965" s="28" t="n">
        <f aca="false">R5965*$M5965</f>
        <v>0</v>
      </c>
      <c r="T5965" s="28" t="n">
        <f aca="false">8*(288/62.5)+196/62.5</f>
        <v>40</v>
      </c>
      <c r="U5965" s="28" t="n">
        <v>400</v>
      </c>
      <c r="V5965" s="28"/>
      <c r="W5965" s="28" t="n">
        <f aca="false">V5965*$M5965</f>
        <v>0</v>
      </c>
      <c r="X5965" s="28"/>
      <c r="Y5965" s="28" t="n">
        <f aca="false">X5965*$M5965</f>
        <v>0</v>
      </c>
      <c r="Z5965" s="28"/>
      <c r="AA5965" s="28" t="n">
        <f aca="false">Z5965*$M5965</f>
        <v>0</v>
      </c>
      <c r="AB5965" s="28"/>
      <c r="AC5965" s="28" t="n">
        <f aca="false">AB5965*$M5965</f>
        <v>0</v>
      </c>
      <c r="AD5965" s="28"/>
      <c r="AE5965" s="28" t="n">
        <f aca="false">AD5965*$M5965</f>
        <v>0</v>
      </c>
      <c r="AF5965" s="28"/>
      <c r="AG5965" s="28" t="n">
        <f aca="false">AF5965*$M5965</f>
        <v>0</v>
      </c>
      <c r="AH5965" s="28"/>
      <c r="AI5965" s="28" t="n">
        <f aca="false">AH5965*$M5965</f>
        <v>0</v>
      </c>
      <c r="AJ5965" s="28"/>
      <c r="AK5965" s="28" t="n">
        <f aca="false">AJ5965*$M5965</f>
        <v>0</v>
      </c>
      <c r="AL5965" s="28"/>
      <c r="AM5965" s="28" t="n">
        <f aca="false">AL5965*$M5965</f>
        <v>0</v>
      </c>
      <c r="AN5965" s="28"/>
      <c r="AO5965" s="28" t="n">
        <f aca="false">AN5965*$M5965</f>
        <v>0</v>
      </c>
      <c r="AP5965" s="28"/>
      <c r="AQ5965" s="28" t="n">
        <f aca="false">AP5965*$M5965</f>
        <v>0</v>
      </c>
      <c r="AR5965" s="28"/>
      <c r="AS5965" s="28" t="n">
        <f aca="false">AR5965*$M5965</f>
        <v>0</v>
      </c>
      <c r="AT5965" s="28"/>
      <c r="AU5965" s="28" t="n">
        <f aca="false">AT5965*$M5965</f>
        <v>0</v>
      </c>
      <c r="AV5965" s="28"/>
      <c r="AW5965" s="28" t="n">
        <f aca="false">AV5965*$M5965</f>
        <v>0</v>
      </c>
      <c r="AX5965" s="28"/>
      <c r="AY5965" s="28" t="n">
        <f aca="false">AX5965*$M5965</f>
        <v>0</v>
      </c>
      <c r="AZ5965" s="30" t="n">
        <f aca="false">114*(288/62.5)+43/62.5</f>
        <v>526</v>
      </c>
      <c r="BA5965" s="11" t="n">
        <v>5260</v>
      </c>
      <c r="BB5965" s="31" t="n">
        <f aca="false">SUM(Q5965,S5965,U5965,W5965,Y5965,AA5965,AC5965,AE5965,AG5965,AI5965,AK5965,AM5965,AO5965,AQ5965,AS5965,AU5965,AW5965,AY5965)</f>
        <v>5260</v>
      </c>
      <c r="BC5965" s="28" t="n">
        <f aca="false">BA5965-BB5965</f>
        <v>0</v>
      </c>
      <c r="BD5965" s="32" t="n">
        <f aca="false">SUM(P5965,R5965,T5965,V5965,X5965,Z5965,AB5965,AD5965,AF5965,AH5965,AJ5965,AL5965,AN5965,AP5965,AR5965,AT5965,AV5965,AX5965)</f>
        <v>526</v>
      </c>
      <c r="BE5965" s="33" t="n">
        <f aca="false">AZ5965-BD5965</f>
        <v>0</v>
      </c>
      <c r="BF5965" s="34" t="n">
        <f aca="false">BD5965*M5965</f>
        <v>5260</v>
      </c>
      <c r="BG5965" s="35" t="n">
        <f aca="false">BA5965-BF5965</f>
        <v>0</v>
      </c>
      <c r="BH5965" s="19" t="str">
        <f aca="false">IF(BG5965=0,"",IF(BG5965&lt;&gt;BA5965,"erreur de calcul",IF(BD5965&lt;&gt;0,"pas de prix",IF(M5965&lt;&gt; 0,"pas de quantité","pas de prix, ni de quantité"))))</f>
        <v/>
      </c>
      <c r="BI5965" s="19"/>
    </row>
    <row r="5966" customFormat="false" ht="15" hidden="false" customHeight="false" outlineLevel="0" collapsed="false">
      <c r="A5966" s="0" t="n">
        <v>20</v>
      </c>
      <c r="B5966" s="8" t="s">
        <v>24</v>
      </c>
      <c r="C5966" s="9" t="s">
        <v>25</v>
      </c>
      <c r="D5966" s="9" t="s">
        <v>26</v>
      </c>
      <c r="E5966" s="10" t="n">
        <v>1789</v>
      </c>
      <c r="F5966" s="9" t="s">
        <v>27</v>
      </c>
      <c r="G5966" s="9" t="s">
        <v>27</v>
      </c>
      <c r="H5966" s="11" t="n">
        <v>27</v>
      </c>
      <c r="I5966" s="11" t="s">
        <v>433</v>
      </c>
      <c r="J5966" s="14"/>
      <c r="K5966" s="14" t="n">
        <v>14</v>
      </c>
      <c r="L5966" s="16"/>
      <c r="M5966" s="27" t="n">
        <f aca="false">J5966+(K5966/20)+(L5966/240)</f>
        <v>0.7</v>
      </c>
      <c r="N5966" s="17" t="s">
        <v>429</v>
      </c>
      <c r="O5966" s="11"/>
      <c r="P5966" s="28" t="n">
        <f aca="false">103*288+190</f>
        <v>29854</v>
      </c>
      <c r="Q5966" s="28" t="n">
        <v>20898</v>
      </c>
      <c r="R5966" s="28"/>
      <c r="S5966" s="28" t="n">
        <f aca="false">R5966*$M5966</f>
        <v>0</v>
      </c>
      <c r="T5966" s="28"/>
      <c r="U5966" s="28" t="n">
        <f aca="false">T5966*$M5966</f>
        <v>0</v>
      </c>
      <c r="V5966" s="28"/>
      <c r="W5966" s="28" t="n">
        <f aca="false">V5966*$M5966</f>
        <v>0</v>
      </c>
      <c r="X5966" s="28"/>
      <c r="Y5966" s="28" t="n">
        <f aca="false">X5966*$M5966</f>
        <v>0</v>
      </c>
      <c r="Z5966" s="28"/>
      <c r="AA5966" s="28" t="n">
        <f aca="false">Z5966*$M5966</f>
        <v>0</v>
      </c>
      <c r="AB5966" s="28"/>
      <c r="AC5966" s="28" t="n">
        <f aca="false">AB5966*$M5966</f>
        <v>0</v>
      </c>
      <c r="AD5966" s="28"/>
      <c r="AE5966" s="28" t="n">
        <f aca="false">AD5966*$M5966</f>
        <v>0</v>
      </c>
      <c r="AF5966" s="28"/>
      <c r="AG5966" s="28" t="n">
        <f aca="false">AF5966*$M5966</f>
        <v>0</v>
      </c>
      <c r="AH5966" s="28"/>
      <c r="AI5966" s="28" t="n">
        <f aca="false">AH5966*$M5966</f>
        <v>0</v>
      </c>
      <c r="AJ5966" s="28"/>
      <c r="AK5966" s="28" t="n">
        <f aca="false">AJ5966*$M5966</f>
        <v>0</v>
      </c>
      <c r="AL5966" s="28"/>
      <c r="AM5966" s="28" t="n">
        <f aca="false">AL5966*$M5966</f>
        <v>0</v>
      </c>
      <c r="AN5966" s="28"/>
      <c r="AO5966" s="28" t="n">
        <f aca="false">AN5966*$M5966</f>
        <v>0</v>
      </c>
      <c r="AP5966" s="28"/>
      <c r="AQ5966" s="28" t="n">
        <f aca="false">AP5966*$M5966</f>
        <v>0</v>
      </c>
      <c r="AR5966" s="28"/>
      <c r="AS5966" s="28" t="n">
        <f aca="false">AR5966*$M5966</f>
        <v>0</v>
      </c>
      <c r="AT5966" s="28"/>
      <c r="AU5966" s="28" t="n">
        <f aca="false">AT5966*$M5966</f>
        <v>0</v>
      </c>
      <c r="AV5966" s="28"/>
      <c r="AW5966" s="28" t="n">
        <f aca="false">AV5966*$M5966</f>
        <v>0</v>
      </c>
      <c r="AX5966" s="28"/>
      <c r="AY5966" s="28" t="n">
        <f aca="false">AX5966*$M5966</f>
        <v>0</v>
      </c>
      <c r="AZ5966" s="30" t="n">
        <f aca="false">103*288+190</f>
        <v>29854</v>
      </c>
      <c r="BA5966" s="11" t="n">
        <v>20898</v>
      </c>
      <c r="BB5966" s="31" t="n">
        <f aca="false">SUM(Q5966,S5966,U5966,W5966,Y5966,AA5966,AC5966,AE5966,AG5966,AI5966,AK5966,AM5966,AO5966,AQ5966,AS5966,AU5966,AW5966,AY5966)</f>
        <v>20898</v>
      </c>
      <c r="BC5966" s="28" t="n">
        <f aca="false">BA5966-BB5966</f>
        <v>0</v>
      </c>
      <c r="BD5966" s="32" t="n">
        <f aca="false">SUM(P5966,R5966,T5966,V5966,X5966,Z5966,AB5966,AD5966,AF5966,AH5966,AJ5966,AL5966,AN5966,AP5966,AR5966,AT5966,AV5966,AX5966)</f>
        <v>29854</v>
      </c>
      <c r="BE5966" s="33" t="n">
        <f aca="false">AZ5966-BD5966</f>
        <v>0</v>
      </c>
      <c r="BF5966" s="34" t="n">
        <f aca="false">BD5966*M5966</f>
        <v>20897.8</v>
      </c>
      <c r="BG5966" s="35" t="n">
        <f aca="false">BA5966-BF5966</f>
        <v>0.200000000000728</v>
      </c>
      <c r="BH5966" s="19" t="str">
        <f aca="false">IF(BG5966=0,"",IF(BG5966&lt;&gt;BA5966,"erreur de calcul",IF(BD5966&lt;&gt;0,"pas de prix",IF(M5966&lt;&gt; 0,"pas de quantité","pas de prix, ni de quantité"))))</f>
        <v>erreur de calcul</v>
      </c>
      <c r="BI5966" s="19"/>
    </row>
    <row r="5967" customFormat="false" ht="15" hidden="false" customHeight="false" outlineLevel="0" collapsed="false">
      <c r="A5967" s="0" t="n">
        <v>21</v>
      </c>
      <c r="B5967" s="8" t="s">
        <v>24</v>
      </c>
      <c r="C5967" s="9" t="s">
        <v>25</v>
      </c>
      <c r="D5967" s="9" t="s">
        <v>26</v>
      </c>
      <c r="E5967" s="10" t="n">
        <v>1789</v>
      </c>
      <c r="F5967" s="9" t="s">
        <v>27</v>
      </c>
      <c r="G5967" s="9" t="s">
        <v>27</v>
      </c>
      <c r="H5967" s="11" t="n">
        <v>27</v>
      </c>
      <c r="I5967" s="11" t="s">
        <v>434</v>
      </c>
      <c r="J5967" s="14"/>
      <c r="K5967" s="14" t="n">
        <v>5</v>
      </c>
      <c r="L5967" s="16"/>
      <c r="M5967" s="27" t="n">
        <f aca="false">J5967+(K5967/20)+(L5967/240)</f>
        <v>0.25</v>
      </c>
      <c r="N5967" s="17" t="s">
        <v>79</v>
      </c>
      <c r="O5967" s="11"/>
      <c r="P5967" s="28" t="n">
        <v>300402</v>
      </c>
      <c r="Q5967" s="28" t="n">
        <v>75100</v>
      </c>
      <c r="R5967" s="28"/>
      <c r="S5967" s="28" t="n">
        <f aca="false">R5967*$M5967</f>
        <v>0</v>
      </c>
      <c r="T5967" s="28"/>
      <c r="U5967" s="28" t="n">
        <f aca="false">T5967*$M5967</f>
        <v>0</v>
      </c>
      <c r="V5967" s="28" t="n">
        <v>448</v>
      </c>
      <c r="W5967" s="28" t="n">
        <v>112</v>
      </c>
      <c r="X5967" s="28"/>
      <c r="Y5967" s="28" t="n">
        <f aca="false">X5967*$M5967</f>
        <v>0</v>
      </c>
      <c r="Z5967" s="28"/>
      <c r="AA5967" s="28" t="n">
        <f aca="false">Z5967*$M5967</f>
        <v>0</v>
      </c>
      <c r="AB5967" s="28"/>
      <c r="AC5967" s="28" t="n">
        <f aca="false">AB5967*$M5967</f>
        <v>0</v>
      </c>
      <c r="AD5967" s="28"/>
      <c r="AE5967" s="28" t="n">
        <f aca="false">AD5967*$M5967</f>
        <v>0</v>
      </c>
      <c r="AF5967" s="28"/>
      <c r="AG5967" s="28" t="n">
        <f aca="false">AF5967*$M5967</f>
        <v>0</v>
      </c>
      <c r="AH5967" s="28"/>
      <c r="AI5967" s="28" t="n">
        <f aca="false">AH5967*$M5967</f>
        <v>0</v>
      </c>
      <c r="AJ5967" s="28"/>
      <c r="AK5967" s="28" t="n">
        <f aca="false">AJ5967*$M5967</f>
        <v>0</v>
      </c>
      <c r="AL5967" s="28"/>
      <c r="AM5967" s="28" t="n">
        <f aca="false">AL5967*$M5967</f>
        <v>0</v>
      </c>
      <c r="AN5967" s="28"/>
      <c r="AO5967" s="28" t="n">
        <f aca="false">AN5967*$M5967</f>
        <v>0</v>
      </c>
      <c r="AP5967" s="28"/>
      <c r="AQ5967" s="28" t="n">
        <f aca="false">AP5967*$M5967</f>
        <v>0</v>
      </c>
      <c r="AR5967" s="28"/>
      <c r="AS5967" s="28" t="n">
        <f aca="false">AR5967*$M5967</f>
        <v>0</v>
      </c>
      <c r="AT5967" s="28"/>
      <c r="AU5967" s="28" t="n">
        <f aca="false">AT5967*$M5967</f>
        <v>0</v>
      </c>
      <c r="AV5967" s="28"/>
      <c r="AW5967" s="28" t="n">
        <f aca="false">AV5967*$M5967</f>
        <v>0</v>
      </c>
      <c r="AX5967" s="28"/>
      <c r="AY5967" s="28" t="n">
        <f aca="false">AX5967*$M5967</f>
        <v>0</v>
      </c>
      <c r="AZ5967" s="30" t="n">
        <v>300850</v>
      </c>
      <c r="BA5967" s="11" t="n">
        <v>75212</v>
      </c>
      <c r="BB5967" s="31" t="n">
        <f aca="false">SUM(Q5967,S5967,U5967,W5967,Y5967,AA5967,AC5967,AE5967,AG5967,AI5967,AK5967,AM5967,AO5967,AQ5967,AS5967,AU5967,AW5967,AY5967)</f>
        <v>75212</v>
      </c>
      <c r="BC5967" s="28" t="n">
        <f aca="false">BA5967-BB5967</f>
        <v>0</v>
      </c>
      <c r="BD5967" s="32" t="n">
        <f aca="false">SUM(P5967,R5967,T5967,V5967,X5967,Z5967,AB5967,AD5967,AF5967,AH5967,AJ5967,AL5967,AN5967,AP5967,AR5967,AT5967,AV5967,AX5967)</f>
        <v>300850</v>
      </c>
      <c r="BE5967" s="33" t="n">
        <f aca="false">AZ5967-BD5967</f>
        <v>0</v>
      </c>
      <c r="BF5967" s="34" t="n">
        <f aca="false">BD5967*M5967</f>
        <v>75212.5</v>
      </c>
      <c r="BG5967" s="35" t="n">
        <f aca="false">BA5967-BF5967</f>
        <v>-0.5</v>
      </c>
      <c r="BH5967" s="19" t="str">
        <f aca="false">IF(BG5967=0,"",IF(BG5967&lt;&gt;BA5967,"erreur de calcul",IF(BD5967&lt;&gt;0,"pas de prix",IF(M5967&lt;&gt; 0,"pas de quantité","pas de prix, ni de quantité"))))</f>
        <v>erreur de calcul</v>
      </c>
      <c r="BI5967" s="19"/>
    </row>
  </sheetData>
  <mergeCells count="326">
    <mergeCell ref="O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E1"/>
    <mergeCell ref="O352:Q352"/>
    <mergeCell ref="R352:S352"/>
    <mergeCell ref="T352:U352"/>
    <mergeCell ref="V352:W352"/>
    <mergeCell ref="X352:Y352"/>
    <mergeCell ref="Z352:AA352"/>
    <mergeCell ref="AB352:AC352"/>
    <mergeCell ref="AD352:AE352"/>
    <mergeCell ref="AF352:AG352"/>
    <mergeCell ref="AH352:AI352"/>
    <mergeCell ref="AJ352:AK352"/>
    <mergeCell ref="AL352:AM352"/>
    <mergeCell ref="AN352:AO352"/>
    <mergeCell ref="AP352:AQ352"/>
    <mergeCell ref="AR352:AS352"/>
    <mergeCell ref="AT352:AU352"/>
    <mergeCell ref="AV352:AW352"/>
    <mergeCell ref="AX352:AY352"/>
    <mergeCell ref="AZ352:BA352"/>
    <mergeCell ref="BB352:BE352"/>
    <mergeCell ref="O703:Q703"/>
    <mergeCell ref="R703:S703"/>
    <mergeCell ref="T703:U703"/>
    <mergeCell ref="V703:W703"/>
    <mergeCell ref="X703:Y703"/>
    <mergeCell ref="Z703:AA703"/>
    <mergeCell ref="AB703:AC703"/>
    <mergeCell ref="AD703:AE703"/>
    <mergeCell ref="AF703:AG703"/>
    <mergeCell ref="AH703:AI703"/>
    <mergeCell ref="AJ703:AK703"/>
    <mergeCell ref="AL703:AM703"/>
    <mergeCell ref="AN703:AO703"/>
    <mergeCell ref="AP703:AQ703"/>
    <mergeCell ref="AR703:AS703"/>
    <mergeCell ref="AT703:AU703"/>
    <mergeCell ref="AV703:AW703"/>
    <mergeCell ref="AX703:AY703"/>
    <mergeCell ref="AZ703:BA703"/>
    <mergeCell ref="BB703:BE703"/>
    <mergeCell ref="P1054:Q1054"/>
    <mergeCell ref="R1054:S1054"/>
    <mergeCell ref="T1054:U1054"/>
    <mergeCell ref="V1054:W1054"/>
    <mergeCell ref="X1054:Y1054"/>
    <mergeCell ref="Z1054:AA1054"/>
    <mergeCell ref="AB1054:AC1054"/>
    <mergeCell ref="AD1054:AE1054"/>
    <mergeCell ref="AF1054:AG1054"/>
    <mergeCell ref="AH1054:AI1054"/>
    <mergeCell ref="AJ1054:AK1054"/>
    <mergeCell ref="AL1054:AM1054"/>
    <mergeCell ref="AN1054:AO1054"/>
    <mergeCell ref="AP1054:AQ1054"/>
    <mergeCell ref="AR1054:AS1054"/>
    <mergeCell ref="AT1054:AU1054"/>
    <mergeCell ref="AV1054:AW1054"/>
    <mergeCell ref="AX1054:AY1054"/>
    <mergeCell ref="AZ1054:BC1054"/>
    <mergeCell ref="P1405:Q1405"/>
    <mergeCell ref="R1405:S1405"/>
    <mergeCell ref="T1405:U1405"/>
    <mergeCell ref="V1405:W1405"/>
    <mergeCell ref="X1405:Y1405"/>
    <mergeCell ref="Z1405:AA1405"/>
    <mergeCell ref="AB1405:AC1405"/>
    <mergeCell ref="AD1405:AE1405"/>
    <mergeCell ref="AF1405:AG1405"/>
    <mergeCell ref="AH1405:AI1405"/>
    <mergeCell ref="AJ1405:AK1405"/>
    <mergeCell ref="AL1405:AM1405"/>
    <mergeCell ref="AN1405:AO1405"/>
    <mergeCell ref="AP1405:AQ1405"/>
    <mergeCell ref="AR1405:AS1405"/>
    <mergeCell ref="AT1405:AU1405"/>
    <mergeCell ref="AV1405:AW1405"/>
    <mergeCell ref="AX1405:AY1405"/>
    <mergeCell ref="AZ1405:BC1405"/>
    <mergeCell ref="P1756:Q1756"/>
    <mergeCell ref="R1756:S1756"/>
    <mergeCell ref="T1756:U1756"/>
    <mergeCell ref="V1756:W1756"/>
    <mergeCell ref="X1756:Y1756"/>
    <mergeCell ref="Z1756:AA1756"/>
    <mergeCell ref="AB1756:AC1756"/>
    <mergeCell ref="AD1756:AE1756"/>
    <mergeCell ref="AF1756:AG1756"/>
    <mergeCell ref="AH1756:AI1756"/>
    <mergeCell ref="AJ1756:AK1756"/>
    <mergeCell ref="AL1756:AM1756"/>
    <mergeCell ref="AN1756:AO1756"/>
    <mergeCell ref="AP1756:AQ1756"/>
    <mergeCell ref="AR1756:AS1756"/>
    <mergeCell ref="AT1756:AU1756"/>
    <mergeCell ref="AV1756:AW1756"/>
    <mergeCell ref="AX1756:AY1756"/>
    <mergeCell ref="AZ1756:BC1756"/>
    <mergeCell ref="P2107:Q2107"/>
    <mergeCell ref="R2107:S2107"/>
    <mergeCell ref="T2107:U2107"/>
    <mergeCell ref="V2107:W2107"/>
    <mergeCell ref="X2107:Y2107"/>
    <mergeCell ref="Z2107:AA2107"/>
    <mergeCell ref="AB2107:AC2107"/>
    <mergeCell ref="AD2107:AE2107"/>
    <mergeCell ref="AF2107:AG2107"/>
    <mergeCell ref="AH2107:AI2107"/>
    <mergeCell ref="AJ2107:AK2107"/>
    <mergeCell ref="AL2107:AM2107"/>
    <mergeCell ref="AN2107:AO2107"/>
    <mergeCell ref="AP2107:AQ2107"/>
    <mergeCell ref="AR2107:AS2107"/>
    <mergeCell ref="AT2107:AU2107"/>
    <mergeCell ref="AV2107:AW2107"/>
    <mergeCell ref="AX2107:AY2107"/>
    <mergeCell ref="AZ2107:BC2107"/>
    <mergeCell ref="P2458:Q2458"/>
    <mergeCell ref="R2458:S2458"/>
    <mergeCell ref="T2458:U2458"/>
    <mergeCell ref="V2458:W2458"/>
    <mergeCell ref="X2458:Y2458"/>
    <mergeCell ref="Z2458:AA2458"/>
    <mergeCell ref="AB2458:AC2458"/>
    <mergeCell ref="AD2458:AE2458"/>
    <mergeCell ref="AF2458:AG2458"/>
    <mergeCell ref="AH2458:AI2458"/>
    <mergeCell ref="AJ2458:AK2458"/>
    <mergeCell ref="AL2458:AM2458"/>
    <mergeCell ref="AN2458:AO2458"/>
    <mergeCell ref="AP2458:AQ2458"/>
    <mergeCell ref="AR2458:AS2458"/>
    <mergeCell ref="AT2458:AU2458"/>
    <mergeCell ref="AV2458:AW2458"/>
    <mergeCell ref="AX2458:AY2458"/>
    <mergeCell ref="AZ2458:BC2458"/>
    <mergeCell ref="P2809:Q2809"/>
    <mergeCell ref="R2809:S2809"/>
    <mergeCell ref="T2809:U2809"/>
    <mergeCell ref="V2809:W2809"/>
    <mergeCell ref="X2809:Y2809"/>
    <mergeCell ref="Z2809:AA2809"/>
    <mergeCell ref="AB2809:AC2809"/>
    <mergeCell ref="AD2809:AE2809"/>
    <mergeCell ref="AF2809:AG2809"/>
    <mergeCell ref="AH2809:AI2809"/>
    <mergeCell ref="AJ2809:AK2809"/>
    <mergeCell ref="AL2809:AM2809"/>
    <mergeCell ref="AN2809:AO2809"/>
    <mergeCell ref="AP2809:AQ2809"/>
    <mergeCell ref="AR2809:AS2809"/>
    <mergeCell ref="AT2809:AU2809"/>
    <mergeCell ref="AV2809:AW2809"/>
    <mergeCell ref="AX2809:AY2809"/>
    <mergeCell ref="AZ2809:BC2809"/>
    <mergeCell ref="P3160:Q3160"/>
    <mergeCell ref="R3160:S3160"/>
    <mergeCell ref="T3160:U3160"/>
    <mergeCell ref="V3160:W3160"/>
    <mergeCell ref="X3160:Y3160"/>
    <mergeCell ref="Z3160:AA3160"/>
    <mergeCell ref="AB3160:AC3160"/>
    <mergeCell ref="AD3160:AE3160"/>
    <mergeCell ref="AF3160:AG3160"/>
    <mergeCell ref="AH3160:AI3160"/>
    <mergeCell ref="AJ3160:AK3160"/>
    <mergeCell ref="AL3160:AM3160"/>
    <mergeCell ref="AN3160:AO3160"/>
    <mergeCell ref="AP3160:AQ3160"/>
    <mergeCell ref="AR3160:AS3160"/>
    <mergeCell ref="AT3160:AU3160"/>
    <mergeCell ref="AV3160:AW3160"/>
    <mergeCell ref="AX3160:AY3160"/>
    <mergeCell ref="AZ3160:BC3160"/>
    <mergeCell ref="P3511:Q3511"/>
    <mergeCell ref="R3511:S3511"/>
    <mergeCell ref="T3511:U3511"/>
    <mergeCell ref="V3511:W3511"/>
    <mergeCell ref="X3511:Y3511"/>
    <mergeCell ref="Z3511:AA3511"/>
    <mergeCell ref="AB3511:AC3511"/>
    <mergeCell ref="AD3511:AE3511"/>
    <mergeCell ref="AF3511:AG3511"/>
    <mergeCell ref="AH3511:AI3511"/>
    <mergeCell ref="AJ3511:AK3511"/>
    <mergeCell ref="AL3511:AM3511"/>
    <mergeCell ref="AN3511:AO3511"/>
    <mergeCell ref="AP3511:AQ3511"/>
    <mergeCell ref="AR3511:AS3511"/>
    <mergeCell ref="AT3511:AU3511"/>
    <mergeCell ref="AV3511:AW3511"/>
    <mergeCell ref="AX3511:AY3511"/>
    <mergeCell ref="AZ3511:BC3511"/>
    <mergeCell ref="P3862:Q3862"/>
    <mergeCell ref="R3862:S3862"/>
    <mergeCell ref="T3862:U3862"/>
    <mergeCell ref="V3862:W3862"/>
    <mergeCell ref="X3862:Y3862"/>
    <mergeCell ref="Z3862:AA3862"/>
    <mergeCell ref="AB3862:AC3862"/>
    <mergeCell ref="AD3862:AE3862"/>
    <mergeCell ref="AF3862:AG3862"/>
    <mergeCell ref="AH3862:AI3862"/>
    <mergeCell ref="AJ3862:AK3862"/>
    <mergeCell ref="AL3862:AM3862"/>
    <mergeCell ref="AN3862:AO3862"/>
    <mergeCell ref="AP3862:AQ3862"/>
    <mergeCell ref="AR3862:AS3862"/>
    <mergeCell ref="AT3862:AU3862"/>
    <mergeCell ref="AV3862:AW3862"/>
    <mergeCell ref="AX3862:AY3862"/>
    <mergeCell ref="AZ3862:BC3862"/>
    <mergeCell ref="P4213:Q4213"/>
    <mergeCell ref="R4213:S4213"/>
    <mergeCell ref="T4213:U4213"/>
    <mergeCell ref="V4213:W4213"/>
    <mergeCell ref="X4213:Y4213"/>
    <mergeCell ref="Z4213:AA4213"/>
    <mergeCell ref="AB4213:AC4213"/>
    <mergeCell ref="AD4213:AE4213"/>
    <mergeCell ref="AF4213:AG4213"/>
    <mergeCell ref="AH4213:AI4213"/>
    <mergeCell ref="AJ4213:AK4213"/>
    <mergeCell ref="AL4213:AM4213"/>
    <mergeCell ref="AN4213:AO4213"/>
    <mergeCell ref="AP4213:AQ4213"/>
    <mergeCell ref="AR4213:AS4213"/>
    <mergeCell ref="AT4213:AU4213"/>
    <mergeCell ref="AV4213:AW4213"/>
    <mergeCell ref="AX4213:AY4213"/>
    <mergeCell ref="AZ4213:BC4213"/>
    <mergeCell ref="P4564:Q4564"/>
    <mergeCell ref="R4564:S4564"/>
    <mergeCell ref="T4564:U4564"/>
    <mergeCell ref="V4564:W4564"/>
    <mergeCell ref="X4564:Y4564"/>
    <mergeCell ref="Z4564:AA4564"/>
    <mergeCell ref="AB4564:AC4564"/>
    <mergeCell ref="AD4564:AE4564"/>
    <mergeCell ref="AF4564:AG4564"/>
    <mergeCell ref="AH4564:AI4564"/>
    <mergeCell ref="AJ4564:AK4564"/>
    <mergeCell ref="AL4564:AM4564"/>
    <mergeCell ref="AN4564:AO4564"/>
    <mergeCell ref="AP4564:AQ4564"/>
    <mergeCell ref="AR4564:AS4564"/>
    <mergeCell ref="AT4564:AU4564"/>
    <mergeCell ref="AV4564:AW4564"/>
    <mergeCell ref="AX4564:AY4564"/>
    <mergeCell ref="AZ4564:BC4564"/>
    <mergeCell ref="P4915:Q4915"/>
    <mergeCell ref="R4915:S4915"/>
    <mergeCell ref="T4915:U4915"/>
    <mergeCell ref="V4915:W4915"/>
    <mergeCell ref="X4915:Y4915"/>
    <mergeCell ref="Z4915:AA4915"/>
    <mergeCell ref="AB4915:AC4915"/>
    <mergeCell ref="AD4915:AE4915"/>
    <mergeCell ref="AF4915:AG4915"/>
    <mergeCell ref="AH4915:AI4915"/>
    <mergeCell ref="AJ4915:AK4915"/>
    <mergeCell ref="AL4915:AM4915"/>
    <mergeCell ref="AN4915:AO4915"/>
    <mergeCell ref="AP4915:AQ4915"/>
    <mergeCell ref="AR4915:AS4915"/>
    <mergeCell ref="AT4915:AU4915"/>
    <mergeCell ref="AV4915:AW4915"/>
    <mergeCell ref="AX4915:AY4915"/>
    <mergeCell ref="AZ4915:BC4915"/>
    <mergeCell ref="P5266:Q5266"/>
    <mergeCell ref="R5266:S5266"/>
    <mergeCell ref="T5266:U5266"/>
    <mergeCell ref="V5266:W5266"/>
    <mergeCell ref="X5266:Y5266"/>
    <mergeCell ref="Z5266:AA5266"/>
    <mergeCell ref="AB5266:AC5266"/>
    <mergeCell ref="AD5266:AE5266"/>
    <mergeCell ref="AF5266:AG5266"/>
    <mergeCell ref="AH5266:AI5266"/>
    <mergeCell ref="AJ5266:AK5266"/>
    <mergeCell ref="AL5266:AM5266"/>
    <mergeCell ref="AN5266:AO5266"/>
    <mergeCell ref="AP5266:AQ5266"/>
    <mergeCell ref="AR5266:AS5266"/>
    <mergeCell ref="AT5266:AU5266"/>
    <mergeCell ref="AV5266:AW5266"/>
    <mergeCell ref="AX5266:AY5266"/>
    <mergeCell ref="AZ5266:BC5266"/>
    <mergeCell ref="P5617:Q5617"/>
    <mergeCell ref="R5617:S5617"/>
    <mergeCell ref="T5617:U5617"/>
    <mergeCell ref="V5617:W5617"/>
    <mergeCell ref="X5617:Y5617"/>
    <mergeCell ref="Z5617:AA5617"/>
    <mergeCell ref="AB5617:AC5617"/>
    <mergeCell ref="AD5617:AE5617"/>
    <mergeCell ref="AF5617:AG5617"/>
    <mergeCell ref="AH5617:AI5617"/>
    <mergeCell ref="AJ5617:AK5617"/>
    <mergeCell ref="AL5617:AM5617"/>
    <mergeCell ref="AN5617:AO5617"/>
    <mergeCell ref="AP5617:AQ5617"/>
    <mergeCell ref="AR5617:AS5617"/>
    <mergeCell ref="AT5617:AU5617"/>
    <mergeCell ref="AV5617:AW5617"/>
    <mergeCell ref="AX5617:AY5617"/>
    <mergeCell ref="AZ5617:BC5617"/>
  </mergeCells>
  <conditionalFormatting sqref="BI3:BI351">
    <cfRule type="cellIs" priority="2" operator="equal" aboveAverage="0" equalAverage="0" bottom="0" percent="0" rank="0" text="" dxfId="0">
      <formula>0</formula>
    </cfRule>
  </conditionalFormatting>
  <conditionalFormatting sqref="BI3:BI351">
    <cfRule type="cellIs" priority="3" operator="notEqual" aboveAverage="0" equalAverage="0" bottom="0" percent="0" rank="0" text="" dxfId="1">
      <formula>0</formula>
    </cfRule>
  </conditionalFormatting>
  <conditionalFormatting sqref="BG3:BG351">
    <cfRule type="cellIs" priority="4" operator="equal" aboveAverage="0" equalAverage="0" bottom="0" percent="0" rank="0" text="" dxfId="2">
      <formula>0</formula>
    </cfRule>
    <cfRule type="cellIs" priority="5" operator="notEqual" aboveAverage="0" equalAverage="0" bottom="0" percent="0" rank="0" text="" dxfId="3">
      <formula>"à"</formula>
    </cfRule>
  </conditionalFormatting>
  <conditionalFormatting sqref="BE3:BE351">
    <cfRule type="cellIs" priority="6" operator="notEqual" aboveAverage="0" equalAverage="0" bottom="0" percent="0" rank="0" text="" dxfId="4">
      <formula>0</formula>
    </cfRule>
    <cfRule type="cellIs" priority="7" operator="equal" aboveAverage="0" equalAverage="0" bottom="0" percent="0" rank="0" text="" dxfId="5">
      <formula>0</formula>
    </cfRule>
  </conditionalFormatting>
  <conditionalFormatting sqref="BG354:BG702">
    <cfRule type="cellIs" priority="8" operator="equal" aboveAverage="0" equalAverage="0" bottom="0" percent="0" rank="0" text="" dxfId="6">
      <formula>0</formula>
    </cfRule>
  </conditionalFormatting>
  <conditionalFormatting sqref="BG354:BG702">
    <cfRule type="cellIs" priority="9" operator="notEqual" aboveAverage="0" equalAverage="0" bottom="0" percent="0" rank="0" text="" dxfId="7">
      <formula>0</formula>
    </cfRule>
  </conditionalFormatting>
  <conditionalFormatting sqref="BE354:BE702">
    <cfRule type="cellIs" priority="10" operator="equal" aboveAverage="0" equalAverage="0" bottom="0" percent="0" rank="0" text="" dxfId="8">
      <formula>0</formula>
    </cfRule>
    <cfRule type="cellIs" priority="11" operator="notEqual" aboveAverage="0" equalAverage="0" bottom="0" percent="0" rank="0" text="" dxfId="9">
      <formula>"à"</formula>
    </cfRule>
  </conditionalFormatting>
  <conditionalFormatting sqref="BC354:BC702">
    <cfRule type="cellIs" priority="12" operator="notEqual" aboveAverage="0" equalAverage="0" bottom="0" percent="0" rank="0" text="" dxfId="10">
      <formula>0</formula>
    </cfRule>
    <cfRule type="cellIs" priority="13" operator="equal" aboveAverage="0" equalAverage="0" bottom="0" percent="0" rank="0" text="" dxfId="11">
      <formula>0</formula>
    </cfRule>
  </conditionalFormatting>
  <conditionalFormatting sqref="BG705:BG1053">
    <cfRule type="cellIs" priority="14" operator="equal" aboveAverage="0" equalAverage="0" bottom="0" percent="0" rank="0" text="" dxfId="12">
      <formula>0</formula>
    </cfRule>
  </conditionalFormatting>
  <conditionalFormatting sqref="BG705:BG1053">
    <cfRule type="cellIs" priority="15" operator="notEqual" aboveAverage="0" equalAverage="0" bottom="0" percent="0" rank="0" text="" dxfId="13">
      <formula>0</formula>
    </cfRule>
  </conditionalFormatting>
  <conditionalFormatting sqref="BE705:BE1053">
    <cfRule type="cellIs" priority="16" operator="equal" aboveAverage="0" equalAverage="0" bottom="0" percent="0" rank="0" text="" dxfId="14">
      <formula>0</formula>
    </cfRule>
    <cfRule type="cellIs" priority="17" operator="notEqual" aboveAverage="0" equalAverage="0" bottom="0" percent="0" rank="0" text="" dxfId="15">
      <formula>"à"</formula>
    </cfRule>
  </conditionalFormatting>
  <conditionalFormatting sqref="BC705:BC1053">
    <cfRule type="cellIs" priority="18" operator="notEqual" aboveAverage="0" equalAverage="0" bottom="0" percent="0" rank="0" text="" dxfId="16">
      <formula>0</formula>
    </cfRule>
    <cfRule type="cellIs" priority="19" operator="equal" aboveAverage="0" equalAverage="0" bottom="0" percent="0" rank="0" text="" dxfId="17">
      <formula>0</formula>
    </cfRule>
  </conditionalFormatting>
  <conditionalFormatting sqref="BG1056:BG1404">
    <cfRule type="cellIs" priority="20" operator="equal" aboveAverage="0" equalAverage="0" bottom="0" percent="0" rank="0" text="" dxfId="18">
      <formula>0</formula>
    </cfRule>
  </conditionalFormatting>
  <conditionalFormatting sqref="BG1056:BG1404">
    <cfRule type="cellIs" priority="21" operator="notEqual" aboveAverage="0" equalAverage="0" bottom="0" percent="0" rank="0" text="" dxfId="19">
      <formula>0</formula>
    </cfRule>
  </conditionalFormatting>
  <conditionalFormatting sqref="BE1056:BE1404">
    <cfRule type="cellIs" priority="22" operator="equal" aboveAverage="0" equalAverage="0" bottom="0" percent="0" rank="0" text="" dxfId="20">
      <formula>0</formula>
    </cfRule>
    <cfRule type="cellIs" priority="23" operator="notEqual" aboveAverage="0" equalAverage="0" bottom="0" percent="0" rank="0" text="" dxfId="21">
      <formula>"à"</formula>
    </cfRule>
  </conditionalFormatting>
  <conditionalFormatting sqref="BC1056:BC1404">
    <cfRule type="cellIs" priority="24" operator="notEqual" aboveAverage="0" equalAverage="0" bottom="0" percent="0" rank="0" text="" dxfId="22">
      <formula>0</formula>
    </cfRule>
    <cfRule type="cellIs" priority="25" operator="equal" aboveAverage="0" equalAverage="0" bottom="0" percent="0" rank="0" text="" dxfId="23">
      <formula>0</formula>
    </cfRule>
  </conditionalFormatting>
  <conditionalFormatting sqref="BG1407:BG1755">
    <cfRule type="cellIs" priority="26" operator="equal" aboveAverage="0" equalAverage="0" bottom="0" percent="0" rank="0" text="" dxfId="24">
      <formula>0</formula>
    </cfRule>
  </conditionalFormatting>
  <conditionalFormatting sqref="BG1407:BG1755">
    <cfRule type="cellIs" priority="27" operator="notEqual" aboveAverage="0" equalAverage="0" bottom="0" percent="0" rank="0" text="" dxfId="25">
      <formula>0</formula>
    </cfRule>
  </conditionalFormatting>
  <conditionalFormatting sqref="BE1407:BE1755">
    <cfRule type="cellIs" priority="28" operator="equal" aboveAverage="0" equalAverage="0" bottom="0" percent="0" rank="0" text="" dxfId="26">
      <formula>0</formula>
    </cfRule>
    <cfRule type="cellIs" priority="29" operator="notEqual" aboveAverage="0" equalAverage="0" bottom="0" percent="0" rank="0" text="" dxfId="27">
      <formula>"à"</formula>
    </cfRule>
  </conditionalFormatting>
  <conditionalFormatting sqref="BC1407:BC1755">
    <cfRule type="cellIs" priority="30" operator="notEqual" aboveAverage="0" equalAverage="0" bottom="0" percent="0" rank="0" text="" dxfId="28">
      <formula>0</formula>
    </cfRule>
    <cfRule type="cellIs" priority="31" operator="equal" aboveAverage="0" equalAverage="0" bottom="0" percent="0" rank="0" text="" dxfId="29">
      <formula>0</formula>
    </cfRule>
  </conditionalFormatting>
  <conditionalFormatting sqref="BG1758:BG2106">
    <cfRule type="cellIs" priority="32" operator="equal" aboveAverage="0" equalAverage="0" bottom="0" percent="0" rank="0" text="" dxfId="30">
      <formula>0</formula>
    </cfRule>
  </conditionalFormatting>
  <conditionalFormatting sqref="BG1758:BG2106">
    <cfRule type="cellIs" priority="33" operator="notEqual" aboveAverage="0" equalAverage="0" bottom="0" percent="0" rank="0" text="" dxfId="31">
      <formula>0</formula>
    </cfRule>
  </conditionalFormatting>
  <conditionalFormatting sqref="BE1758:BE2106">
    <cfRule type="cellIs" priority="34" operator="equal" aboveAverage="0" equalAverage="0" bottom="0" percent="0" rank="0" text="" dxfId="32">
      <formula>0</formula>
    </cfRule>
    <cfRule type="cellIs" priority="35" operator="notEqual" aboveAverage="0" equalAverage="0" bottom="0" percent="0" rank="0" text="" dxfId="33">
      <formula>"à"</formula>
    </cfRule>
  </conditionalFormatting>
  <conditionalFormatting sqref="BC1758:BC2106">
    <cfRule type="cellIs" priority="36" operator="notEqual" aboveAverage="0" equalAverage="0" bottom="0" percent="0" rank="0" text="" dxfId="34">
      <formula>0</formula>
    </cfRule>
    <cfRule type="cellIs" priority="37" operator="equal" aboveAverage="0" equalAverage="0" bottom="0" percent="0" rank="0" text="" dxfId="35">
      <formula>0</formula>
    </cfRule>
  </conditionalFormatting>
  <conditionalFormatting sqref="BG2109:BG2457">
    <cfRule type="cellIs" priority="38" operator="equal" aboveAverage="0" equalAverage="0" bottom="0" percent="0" rank="0" text="" dxfId="36">
      <formula>0</formula>
    </cfRule>
  </conditionalFormatting>
  <conditionalFormatting sqref="BG2109:BG2457">
    <cfRule type="cellIs" priority="39" operator="notEqual" aboveAverage="0" equalAverage="0" bottom="0" percent="0" rank="0" text="" dxfId="37">
      <formula>0</formula>
    </cfRule>
  </conditionalFormatting>
  <conditionalFormatting sqref="BE2109:BE2457">
    <cfRule type="cellIs" priority="40" operator="equal" aboveAverage="0" equalAverage="0" bottom="0" percent="0" rank="0" text="" dxfId="38">
      <formula>0</formula>
    </cfRule>
    <cfRule type="cellIs" priority="41" operator="notEqual" aboveAverage="0" equalAverage="0" bottom="0" percent="0" rank="0" text="" dxfId="39">
      <formula>"à"</formula>
    </cfRule>
  </conditionalFormatting>
  <conditionalFormatting sqref="BC2109:BC2457">
    <cfRule type="cellIs" priority="42" operator="notEqual" aboveAverage="0" equalAverage="0" bottom="0" percent="0" rank="0" text="" dxfId="40">
      <formula>0</formula>
    </cfRule>
    <cfRule type="cellIs" priority="43" operator="equal" aboveAverage="0" equalAverage="0" bottom="0" percent="0" rank="0" text="" dxfId="41">
      <formula>0</formula>
    </cfRule>
  </conditionalFormatting>
  <conditionalFormatting sqref="BG2460:BG2808">
    <cfRule type="cellIs" priority="44" operator="equal" aboveAverage="0" equalAverage="0" bottom="0" percent="0" rank="0" text="" dxfId="42">
      <formula>0</formula>
    </cfRule>
  </conditionalFormatting>
  <conditionalFormatting sqref="BG2460:BG2808">
    <cfRule type="cellIs" priority="45" operator="notEqual" aboveAverage="0" equalAverage="0" bottom="0" percent="0" rank="0" text="" dxfId="43">
      <formula>0</formula>
    </cfRule>
  </conditionalFormatting>
  <conditionalFormatting sqref="BE2460:BE2808">
    <cfRule type="cellIs" priority="46" operator="equal" aboveAverage="0" equalAverage="0" bottom="0" percent="0" rank="0" text="" dxfId="44">
      <formula>0</formula>
    </cfRule>
    <cfRule type="cellIs" priority="47" operator="notEqual" aboveAverage="0" equalAverage="0" bottom="0" percent="0" rank="0" text="" dxfId="45">
      <formula>"à"</formula>
    </cfRule>
  </conditionalFormatting>
  <conditionalFormatting sqref="BC2460:BC2808">
    <cfRule type="cellIs" priority="48" operator="notEqual" aboveAverage="0" equalAverage="0" bottom="0" percent="0" rank="0" text="" dxfId="46">
      <formula>0</formula>
    </cfRule>
    <cfRule type="cellIs" priority="49" operator="equal" aboveAverage="0" equalAverage="0" bottom="0" percent="0" rank="0" text="" dxfId="47">
      <formula>0</formula>
    </cfRule>
  </conditionalFormatting>
  <conditionalFormatting sqref="BG2811:BG3159">
    <cfRule type="cellIs" priority="50" operator="equal" aboveAverage="0" equalAverage="0" bottom="0" percent="0" rank="0" text="" dxfId="48">
      <formula>0</formula>
    </cfRule>
  </conditionalFormatting>
  <conditionalFormatting sqref="BG2811:BG3159">
    <cfRule type="cellIs" priority="51" operator="notEqual" aboveAverage="0" equalAverage="0" bottom="0" percent="0" rank="0" text="" dxfId="49">
      <formula>0</formula>
    </cfRule>
  </conditionalFormatting>
  <conditionalFormatting sqref="BE2811:BE3159">
    <cfRule type="cellIs" priority="52" operator="equal" aboveAverage="0" equalAverage="0" bottom="0" percent="0" rank="0" text="" dxfId="50">
      <formula>0</formula>
    </cfRule>
    <cfRule type="cellIs" priority="53" operator="notEqual" aboveAverage="0" equalAverage="0" bottom="0" percent="0" rank="0" text="" dxfId="51">
      <formula>"à"</formula>
    </cfRule>
  </conditionalFormatting>
  <conditionalFormatting sqref="BC2811:BC3159">
    <cfRule type="cellIs" priority="54" operator="notEqual" aboveAverage="0" equalAverage="0" bottom="0" percent="0" rank="0" text="" dxfId="52">
      <formula>0</formula>
    </cfRule>
    <cfRule type="cellIs" priority="55" operator="equal" aboveAverage="0" equalAverage="0" bottom="0" percent="0" rank="0" text="" dxfId="53">
      <formula>0</formula>
    </cfRule>
  </conditionalFormatting>
  <conditionalFormatting sqref="BG3162:BG3510">
    <cfRule type="cellIs" priority="56" operator="equal" aboveAverage="0" equalAverage="0" bottom="0" percent="0" rank="0" text="" dxfId="54">
      <formula>0</formula>
    </cfRule>
  </conditionalFormatting>
  <conditionalFormatting sqref="BG3162:BG3510">
    <cfRule type="cellIs" priority="57" operator="notEqual" aboveAverage="0" equalAverage="0" bottom="0" percent="0" rank="0" text="" dxfId="55">
      <formula>0</formula>
    </cfRule>
  </conditionalFormatting>
  <conditionalFormatting sqref="BE3162:BE3510">
    <cfRule type="cellIs" priority="58" operator="equal" aboveAverage="0" equalAverage="0" bottom="0" percent="0" rank="0" text="" dxfId="56">
      <formula>0</formula>
    </cfRule>
    <cfRule type="cellIs" priority="59" operator="notEqual" aboveAverage="0" equalAverage="0" bottom="0" percent="0" rank="0" text="" dxfId="57">
      <formula>"à"</formula>
    </cfRule>
  </conditionalFormatting>
  <conditionalFormatting sqref="BC3162:BC3510">
    <cfRule type="cellIs" priority="60" operator="notEqual" aboveAverage="0" equalAverage="0" bottom="0" percent="0" rank="0" text="" dxfId="58">
      <formula>0</formula>
    </cfRule>
    <cfRule type="cellIs" priority="61" operator="equal" aboveAverage="0" equalAverage="0" bottom="0" percent="0" rank="0" text="" dxfId="59">
      <formula>0</formula>
    </cfRule>
  </conditionalFormatting>
  <conditionalFormatting sqref="BG3513:BG3861">
    <cfRule type="cellIs" priority="62" operator="equal" aboveAverage="0" equalAverage="0" bottom="0" percent="0" rank="0" text="" dxfId="60">
      <formula>0</formula>
    </cfRule>
  </conditionalFormatting>
  <conditionalFormatting sqref="BG3513:BG3861">
    <cfRule type="cellIs" priority="63" operator="notEqual" aboveAverage="0" equalAverage="0" bottom="0" percent="0" rank="0" text="" dxfId="61">
      <formula>0</formula>
    </cfRule>
  </conditionalFormatting>
  <conditionalFormatting sqref="BE3513:BE3861">
    <cfRule type="cellIs" priority="64" operator="equal" aboveAverage="0" equalAverage="0" bottom="0" percent="0" rank="0" text="" dxfId="62">
      <formula>0</formula>
    </cfRule>
    <cfRule type="cellIs" priority="65" operator="notEqual" aboveAverage="0" equalAverage="0" bottom="0" percent="0" rank="0" text="" dxfId="63">
      <formula>"à"</formula>
    </cfRule>
  </conditionalFormatting>
  <conditionalFormatting sqref="BC3513:BC3861">
    <cfRule type="cellIs" priority="66" operator="notEqual" aboveAverage="0" equalAverage="0" bottom="0" percent="0" rank="0" text="" dxfId="64">
      <formula>0</formula>
    </cfRule>
    <cfRule type="cellIs" priority="67" operator="equal" aboveAverage="0" equalAverage="0" bottom="0" percent="0" rank="0" text="" dxfId="65">
      <formula>0</formula>
    </cfRule>
  </conditionalFormatting>
  <conditionalFormatting sqref="BG3864:BG4212">
    <cfRule type="cellIs" priority="68" operator="equal" aboveAverage="0" equalAverage="0" bottom="0" percent="0" rank="0" text="" dxfId="66">
      <formula>0</formula>
    </cfRule>
  </conditionalFormatting>
  <conditionalFormatting sqref="BG3864:BG4212">
    <cfRule type="cellIs" priority="69" operator="notEqual" aboveAverage="0" equalAverage="0" bottom="0" percent="0" rank="0" text="" dxfId="67">
      <formula>0</formula>
    </cfRule>
  </conditionalFormatting>
  <conditionalFormatting sqref="BE3864:BE4212">
    <cfRule type="cellIs" priority="70" operator="equal" aboveAverage="0" equalAverage="0" bottom="0" percent="0" rank="0" text="" dxfId="68">
      <formula>0</formula>
    </cfRule>
    <cfRule type="cellIs" priority="71" operator="notEqual" aboveAverage="0" equalAverage="0" bottom="0" percent="0" rank="0" text="" dxfId="69">
      <formula>"à"</formula>
    </cfRule>
  </conditionalFormatting>
  <conditionalFormatting sqref="BC3864:BC4212">
    <cfRule type="cellIs" priority="72" operator="notEqual" aboveAverage="0" equalAverage="0" bottom="0" percent="0" rank="0" text="" dxfId="70">
      <formula>0</formula>
    </cfRule>
    <cfRule type="cellIs" priority="73" operator="equal" aboveAverage="0" equalAverage="0" bottom="0" percent="0" rank="0" text="" dxfId="71">
      <formula>0</formula>
    </cfRule>
  </conditionalFormatting>
  <conditionalFormatting sqref="BG4215:BG4563">
    <cfRule type="cellIs" priority="74" operator="equal" aboveAverage="0" equalAverage="0" bottom="0" percent="0" rank="0" text="" dxfId="72">
      <formula>0</formula>
    </cfRule>
  </conditionalFormatting>
  <conditionalFormatting sqref="BG4215:BG4563">
    <cfRule type="cellIs" priority="75" operator="notEqual" aboveAverage="0" equalAverage="0" bottom="0" percent="0" rank="0" text="" dxfId="73">
      <formula>0</formula>
    </cfRule>
  </conditionalFormatting>
  <conditionalFormatting sqref="BE4215:BE4563">
    <cfRule type="cellIs" priority="76" operator="equal" aboveAverage="0" equalAverage="0" bottom="0" percent="0" rank="0" text="" dxfId="74">
      <formula>0</formula>
    </cfRule>
    <cfRule type="cellIs" priority="77" operator="notEqual" aboveAverage="0" equalAverage="0" bottom="0" percent="0" rank="0" text="" dxfId="75">
      <formula>"à"</formula>
    </cfRule>
  </conditionalFormatting>
  <conditionalFormatting sqref="BC4215:BC4563">
    <cfRule type="cellIs" priority="78" operator="notEqual" aboveAverage="0" equalAverage="0" bottom="0" percent="0" rank="0" text="" dxfId="76">
      <formula>0</formula>
    </cfRule>
    <cfRule type="cellIs" priority="79" operator="equal" aboveAverage="0" equalAverage="0" bottom="0" percent="0" rank="0" text="" dxfId="77">
      <formula>0</formula>
    </cfRule>
  </conditionalFormatting>
  <conditionalFormatting sqref="BG4566:BG4914">
    <cfRule type="cellIs" priority="80" operator="equal" aboveAverage="0" equalAverage="0" bottom="0" percent="0" rank="0" text="" dxfId="78">
      <formula>0</formula>
    </cfRule>
  </conditionalFormatting>
  <conditionalFormatting sqref="BG4566:BG4914">
    <cfRule type="cellIs" priority="81" operator="notEqual" aboveAverage="0" equalAverage="0" bottom="0" percent="0" rank="0" text="" dxfId="79">
      <formula>0</formula>
    </cfRule>
  </conditionalFormatting>
  <conditionalFormatting sqref="BE4566:BE4914">
    <cfRule type="cellIs" priority="82" operator="equal" aboveAverage="0" equalAverage="0" bottom="0" percent="0" rank="0" text="" dxfId="80">
      <formula>0</formula>
    </cfRule>
    <cfRule type="cellIs" priority="83" operator="notEqual" aboveAverage="0" equalAverage="0" bottom="0" percent="0" rank="0" text="" dxfId="81">
      <formula>"à"</formula>
    </cfRule>
  </conditionalFormatting>
  <conditionalFormatting sqref="BC4566:BC4914">
    <cfRule type="cellIs" priority="84" operator="notEqual" aboveAverage="0" equalAverage="0" bottom="0" percent="0" rank="0" text="" dxfId="82">
      <formula>0</formula>
    </cfRule>
    <cfRule type="cellIs" priority="85" operator="equal" aboveAverage="0" equalAverage="0" bottom="0" percent="0" rank="0" text="" dxfId="83">
      <formula>0</formula>
    </cfRule>
  </conditionalFormatting>
  <conditionalFormatting sqref="BG4917:BG5265">
    <cfRule type="cellIs" priority="86" operator="equal" aboveAverage="0" equalAverage="0" bottom="0" percent="0" rank="0" text="" dxfId="84">
      <formula>0</formula>
    </cfRule>
  </conditionalFormatting>
  <conditionalFormatting sqref="BG4917:BG5265">
    <cfRule type="cellIs" priority="87" operator="notEqual" aboveAverage="0" equalAverage="0" bottom="0" percent="0" rank="0" text="" dxfId="85">
      <formula>0</formula>
    </cfRule>
  </conditionalFormatting>
  <conditionalFormatting sqref="BE4917:BE5265">
    <cfRule type="cellIs" priority="88" operator="equal" aboveAverage="0" equalAverage="0" bottom="0" percent="0" rank="0" text="" dxfId="86">
      <formula>0</formula>
    </cfRule>
    <cfRule type="cellIs" priority="89" operator="notEqual" aboveAverage="0" equalAverage="0" bottom="0" percent="0" rank="0" text="" dxfId="87">
      <formula>"à"</formula>
    </cfRule>
  </conditionalFormatting>
  <conditionalFormatting sqref="BC4917:BC5265">
    <cfRule type="cellIs" priority="90" operator="notEqual" aboveAverage="0" equalAverage="0" bottom="0" percent="0" rank="0" text="" dxfId="88">
      <formula>0</formula>
    </cfRule>
    <cfRule type="cellIs" priority="91" operator="equal" aboveAverage="0" equalAverage="0" bottom="0" percent="0" rank="0" text="" dxfId="89">
      <formula>0</formula>
    </cfRule>
  </conditionalFormatting>
  <conditionalFormatting sqref="BG5268:BG5616">
    <cfRule type="cellIs" priority="92" operator="equal" aboveAverage="0" equalAverage="0" bottom="0" percent="0" rank="0" text="" dxfId="90">
      <formula>0</formula>
    </cfRule>
  </conditionalFormatting>
  <conditionalFormatting sqref="BG5268:BG5616">
    <cfRule type="cellIs" priority="93" operator="notEqual" aboveAverage="0" equalAverage="0" bottom="0" percent="0" rank="0" text="" dxfId="91">
      <formula>0</formula>
    </cfRule>
  </conditionalFormatting>
  <conditionalFormatting sqref="BE5268:BE5616">
    <cfRule type="cellIs" priority="94" operator="equal" aboveAverage="0" equalAverage="0" bottom="0" percent="0" rank="0" text="" dxfId="92">
      <formula>0</formula>
    </cfRule>
    <cfRule type="cellIs" priority="95" operator="notEqual" aboveAverage="0" equalAverage="0" bottom="0" percent="0" rank="0" text="" dxfId="93">
      <formula>"à"</formula>
    </cfRule>
  </conditionalFormatting>
  <conditionalFormatting sqref="BC5268:BC5616">
    <cfRule type="cellIs" priority="96" operator="notEqual" aboveAverage="0" equalAverage="0" bottom="0" percent="0" rank="0" text="" dxfId="94">
      <formula>0</formula>
    </cfRule>
    <cfRule type="cellIs" priority="97" operator="equal" aboveAverage="0" equalAverage="0" bottom="0" percent="0" rank="0" text="" dxfId="95">
      <formula>0</formula>
    </cfRule>
  </conditionalFormatting>
  <conditionalFormatting sqref="BG5619:BG5967">
    <cfRule type="cellIs" priority="98" operator="equal" aboveAverage="0" equalAverage="0" bottom="0" percent="0" rank="0" text="" dxfId="96">
      <formula>0</formula>
    </cfRule>
  </conditionalFormatting>
  <conditionalFormatting sqref="BG5619:BG5967">
    <cfRule type="cellIs" priority="99" operator="notEqual" aboveAverage="0" equalAverage="0" bottom="0" percent="0" rank="0" text="" dxfId="97">
      <formula>0</formula>
    </cfRule>
  </conditionalFormatting>
  <conditionalFormatting sqref="BE5619:BE5967">
    <cfRule type="cellIs" priority="100" operator="equal" aboveAverage="0" equalAverage="0" bottom="0" percent="0" rank="0" text="" dxfId="98">
      <formula>0</formula>
    </cfRule>
    <cfRule type="cellIs" priority="101" operator="notEqual" aboveAverage="0" equalAverage="0" bottom="0" percent="0" rank="0" text="" dxfId="99">
      <formula>"à"</formula>
    </cfRule>
  </conditionalFormatting>
  <conditionalFormatting sqref="BC5619:BC5967">
    <cfRule type="cellIs" priority="102" operator="notEqual" aboveAverage="0" equalAverage="0" bottom="0" percent="0" rank="0" text="" dxfId="100">
      <formula>0</formula>
    </cfRule>
    <cfRule type="cellIs" priority="103" operator="equal" aboveAverage="0" equalAverage="0" bottom="0" percent="0" rank="0" text="" dxfId="101">
      <formula>0</formula>
    </cfRule>
  </conditionalFormatting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45" zoomScaleNormal="45" zoomScalePageLayoutView="100" workbookViewId="0">
      <selection pane="topLeft" activeCell="H31" activeCellId="0" sqref="H31"/>
    </sheetView>
  </sheetViews>
  <sheetFormatPr defaultRowHeight="16"/>
  <cols>
    <col collapsed="false" hidden="false" max="1" min="1" style="0" width="14.924882629108"/>
    <col collapsed="false" hidden="false" max="2" min="2" style="0" width="8.6056338028169"/>
    <col collapsed="false" hidden="false" max="3" min="3" style="0" width="12.4976525821596"/>
    <col collapsed="false" hidden="false" max="4" min="4" style="0" width="6.73239436619718"/>
    <col collapsed="false" hidden="false" max="5" min="5" style="0" width="9.32394366197183"/>
    <col collapsed="false" hidden="false" max="6" min="6" style="0" width="8.92488262910798"/>
    <col collapsed="false" hidden="false" max="7" min="7" style="0" width="5.1924882629108"/>
    <col collapsed="false" hidden="false" max="8" min="8" style="0" width="24.4225352112676"/>
    <col collapsed="false" hidden="false" max="9" min="9" style="0" width="29.6901408450704"/>
    <col collapsed="false" hidden="false" max="10" min="10" style="0" width="10.1455399061033"/>
    <col collapsed="false" hidden="false" max="11" min="11" style="0" width="7.94835680751174"/>
    <col collapsed="false" hidden="false" max="13" min="12" style="0" width="10.3004694835681"/>
    <col collapsed="false" hidden="false" max="14" min="14" style="1" width="18.6572769953052"/>
    <col collapsed="false" hidden="false" max="16" min="15" style="0" width="8.11737089201878"/>
    <col collapsed="false" hidden="false" max="17" min="17" style="0" width="9.81220657276995"/>
    <col collapsed="false" hidden="false" max="18" min="18" style="0" width="10.3004694835681"/>
    <col collapsed="false" hidden="false" max="19" min="19" style="0" width="7.79342723004695"/>
    <col collapsed="false" hidden="false" max="20" min="20" style="0" width="6.89671361502347"/>
    <col collapsed="false" hidden="false" max="21" min="21" style="0" width="11.5211267605634"/>
    <col collapsed="false" hidden="false" max="22" min="22" style="0" width="9.48826291079812"/>
    <col collapsed="false" hidden="false" max="23" min="23" style="0" width="10.4694835680751"/>
    <col collapsed="false" hidden="false" max="24" min="24" style="0" width="10.6338028169014"/>
    <col collapsed="false" hidden="false" max="25" min="25" style="0" width="11.0328638497653"/>
    <col collapsed="false" hidden="false" max="26" min="26" style="0" width="9.81220657276995"/>
    <col collapsed="false" hidden="false" max="27" min="27" style="0" width="9.32394366197183"/>
    <col collapsed="false" hidden="false" max="34" min="28" style="0" width="9.81220657276995"/>
    <col collapsed="false" hidden="false" max="35" min="35" style="0" width="9.32394366197183"/>
    <col collapsed="false" hidden="false" max="37" min="36" style="0" width="9.81220657276995"/>
    <col collapsed="false" hidden="false" max="38" min="38" style="0" width="10.8638497652582"/>
    <col collapsed="false" hidden="false" max="39" min="39" style="0" width="12.7370892018779"/>
    <col collapsed="false" hidden="false" max="40" min="40" style="0" width="8.27230046948357"/>
    <col collapsed="false" hidden="false" max="41" min="41" style="0" width="15.5774647887324"/>
    <col collapsed="false" hidden="false" max="42" min="42" style="0" width="8.43661971830986"/>
    <col collapsed="false" hidden="false" max="43" min="43" style="0" width="18.8215962441315"/>
    <col collapsed="false" hidden="false" max="44" min="44" style="0" width="14.1924882629108"/>
    <col collapsed="false" hidden="false" max="45" min="45" style="0" width="15.5774647887324"/>
    <col collapsed="false" hidden="false" max="46" min="46" style="0" width="17.4413145539906"/>
    <col collapsed="false" hidden="false" max="47" min="47" style="0" width="23.6103286384977"/>
    <col collapsed="false" hidden="false" max="1025" min="48" style="0" width="10.5399061032864"/>
  </cols>
  <sheetData>
    <row r="1" customFormat="false" ht="84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435</v>
      </c>
      <c r="I1" s="3" t="s">
        <v>7</v>
      </c>
      <c r="J1" s="4" t="s">
        <v>8</v>
      </c>
      <c r="K1" s="4" t="s">
        <v>9</v>
      </c>
      <c r="L1" s="5" t="s">
        <v>10</v>
      </c>
      <c r="M1" s="6" t="s">
        <v>11</v>
      </c>
      <c r="N1" s="5" t="s">
        <v>12</v>
      </c>
      <c r="O1" s="5" t="s">
        <v>13</v>
      </c>
      <c r="P1" s="5" t="s">
        <v>14</v>
      </c>
      <c r="Q1" s="7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5" t="s">
        <v>21</v>
      </c>
      <c r="X1" s="6" t="s">
        <v>22</v>
      </c>
      <c r="Y1" s="6" t="s">
        <v>23</v>
      </c>
    </row>
    <row r="2" customFormat="false" ht="16" hidden="false" customHeight="false" outlineLevel="0" collapsed="false">
      <c r="A2" s="8" t="s">
        <v>24</v>
      </c>
      <c r="B2" s="9" t="s">
        <v>25</v>
      </c>
      <c r="C2" s="9" t="s">
        <v>26</v>
      </c>
      <c r="D2" s="10" t="n">
        <v>1789</v>
      </c>
      <c r="E2" s="9" t="s">
        <v>27</v>
      </c>
      <c r="F2" s="9" t="s">
        <v>27</v>
      </c>
      <c r="G2" s="9" t="n">
        <v>27</v>
      </c>
      <c r="H2" s="9" t="s">
        <v>436</v>
      </c>
      <c r="I2" s="12" t="s">
        <v>63</v>
      </c>
      <c r="J2" s="13" t="s">
        <v>437</v>
      </c>
      <c r="K2" s="13"/>
      <c r="L2" s="14" t="n">
        <v>100</v>
      </c>
      <c r="M2" s="15" t="s">
        <v>66</v>
      </c>
      <c r="N2" s="14"/>
      <c r="O2" s="14"/>
      <c r="P2" s="16"/>
      <c r="Q2" s="17" t="n">
        <f aca="false">N2+(0.05*O2)+(P2/240)</f>
        <v>0</v>
      </c>
      <c r="R2" s="14" t="n">
        <v>30</v>
      </c>
      <c r="S2" s="14"/>
      <c r="T2" s="14"/>
      <c r="U2" s="14" t="n">
        <f aca="false">R2+(S2*0.05)+(T2/240)</f>
        <v>30</v>
      </c>
      <c r="V2" s="14" t="n">
        <f aca="false">L2*Q2</f>
        <v>0</v>
      </c>
      <c r="W2" s="18" t="n">
        <f aca="false">U2-V2</f>
        <v>30</v>
      </c>
      <c r="X2" s="19"/>
      <c r="Y2" s="19"/>
    </row>
    <row r="3" customFormat="false" ht="16" hidden="false" customHeight="false" outlineLevel="0" collapsed="false">
      <c r="A3" s="8" t="s">
        <v>24</v>
      </c>
      <c r="B3" s="9" t="s">
        <v>25</v>
      </c>
      <c r="C3" s="9" t="s">
        <v>26</v>
      </c>
      <c r="D3" s="10" t="n">
        <v>1789</v>
      </c>
      <c r="E3" s="9" t="s">
        <v>27</v>
      </c>
      <c r="F3" s="9" t="s">
        <v>27</v>
      </c>
      <c r="G3" s="9" t="n">
        <v>27</v>
      </c>
      <c r="H3" s="9" t="s">
        <v>436</v>
      </c>
      <c r="I3" s="12" t="s">
        <v>438</v>
      </c>
      <c r="J3" s="13" t="s">
        <v>437</v>
      </c>
      <c r="K3" s="13"/>
      <c r="L3" s="14" t="n">
        <v>5250</v>
      </c>
      <c r="M3" s="15" t="s">
        <v>439</v>
      </c>
      <c r="N3" s="14"/>
      <c r="O3" s="14"/>
      <c r="P3" s="16"/>
      <c r="Q3" s="17" t="n">
        <f aca="false">N3+(0.05*O3)+(P3/240)</f>
        <v>0</v>
      </c>
      <c r="R3" s="14" t="n">
        <v>800</v>
      </c>
      <c r="S3" s="14"/>
      <c r="T3" s="14"/>
      <c r="U3" s="14" t="n">
        <f aca="false">R3+(S3*0.05)+(T3/240)</f>
        <v>800</v>
      </c>
      <c r="V3" s="14" t="n">
        <f aca="false">L3*Q3</f>
        <v>0</v>
      </c>
      <c r="W3" s="18" t="n">
        <f aca="false">U3-V3</f>
        <v>800</v>
      </c>
      <c r="X3" s="19"/>
      <c r="Y3" s="19"/>
    </row>
    <row r="4" customFormat="false" ht="16" hidden="false" customHeight="false" outlineLevel="0" collapsed="false">
      <c r="A4" s="8" t="s">
        <v>24</v>
      </c>
      <c r="B4" s="9" t="s">
        <v>25</v>
      </c>
      <c r="C4" s="9" t="s">
        <v>26</v>
      </c>
      <c r="D4" s="10" t="n">
        <v>1789</v>
      </c>
      <c r="E4" s="9" t="s">
        <v>27</v>
      </c>
      <c r="F4" s="9" t="s">
        <v>27</v>
      </c>
      <c r="G4" s="9" t="n">
        <v>27</v>
      </c>
      <c r="H4" s="9" t="s">
        <v>436</v>
      </c>
      <c r="I4" s="12" t="s">
        <v>440</v>
      </c>
      <c r="J4" s="13" t="s">
        <v>437</v>
      </c>
      <c r="K4" s="13"/>
      <c r="L4" s="14" t="n">
        <v>130000</v>
      </c>
      <c r="M4" s="15" t="s">
        <v>66</v>
      </c>
      <c r="N4" s="14"/>
      <c r="O4" s="14"/>
      <c r="P4" s="16"/>
      <c r="Q4" s="17" t="n">
        <f aca="false">N4+(0.05*O4)+(P4/240)</f>
        <v>0</v>
      </c>
      <c r="R4" s="14" t="n">
        <v>20400</v>
      </c>
      <c r="S4" s="14"/>
      <c r="T4" s="14"/>
      <c r="U4" s="14" t="n">
        <f aca="false">R4+(S4*0.05)+(T4/240)</f>
        <v>20400</v>
      </c>
      <c r="V4" s="14" t="n">
        <f aca="false">L4*Q4</f>
        <v>0</v>
      </c>
      <c r="W4" s="18" t="n">
        <f aca="false">U4-V4</f>
        <v>20400</v>
      </c>
      <c r="X4" s="19"/>
      <c r="Y4" s="19"/>
    </row>
    <row r="5" customFormat="false" ht="16" hidden="false" customHeight="false" outlineLevel="0" collapsed="false">
      <c r="A5" s="8" t="s">
        <v>24</v>
      </c>
      <c r="B5" s="9" t="s">
        <v>25</v>
      </c>
      <c r="C5" s="9" t="s">
        <v>26</v>
      </c>
      <c r="D5" s="10" t="n">
        <v>1789</v>
      </c>
      <c r="E5" s="9" t="s">
        <v>27</v>
      </c>
      <c r="F5" s="9" t="s">
        <v>27</v>
      </c>
      <c r="G5" s="9" t="n">
        <v>27</v>
      </c>
      <c r="H5" s="9" t="s">
        <v>436</v>
      </c>
      <c r="I5" s="12" t="s">
        <v>132</v>
      </c>
      <c r="J5" s="13" t="s">
        <v>437</v>
      </c>
      <c r="K5" s="13"/>
      <c r="L5" s="14"/>
      <c r="M5" s="15" t="s">
        <v>66</v>
      </c>
      <c r="N5" s="14"/>
      <c r="O5" s="14"/>
      <c r="P5" s="16"/>
      <c r="Q5" s="17" t="n">
        <f aca="false">N5+(0.05*O5)+(P5/240)</f>
        <v>0</v>
      </c>
      <c r="R5" s="14" t="n">
        <v>10250</v>
      </c>
      <c r="S5" s="14"/>
      <c r="T5" s="14"/>
      <c r="U5" s="14" t="n">
        <f aca="false">R5+(S5*0.05)+(T5/240)</f>
        <v>10250</v>
      </c>
      <c r="V5" s="14" t="n">
        <f aca="false">L5*Q5</f>
        <v>0</v>
      </c>
      <c r="W5" s="18" t="n">
        <f aca="false">U5-V5</f>
        <v>10250</v>
      </c>
      <c r="X5" s="19"/>
      <c r="Y5" s="19"/>
    </row>
    <row r="6" customFormat="false" ht="16" hidden="false" customHeight="false" outlineLevel="0" collapsed="false">
      <c r="A6" s="8" t="s">
        <v>24</v>
      </c>
      <c r="B6" s="9" t="s">
        <v>25</v>
      </c>
      <c r="C6" s="9" t="s">
        <v>26</v>
      </c>
      <c r="D6" s="10" t="n">
        <v>1789</v>
      </c>
      <c r="E6" s="9" t="s">
        <v>27</v>
      </c>
      <c r="F6" s="9" t="s">
        <v>27</v>
      </c>
      <c r="G6" s="9" t="n">
        <v>27</v>
      </c>
      <c r="H6" s="9" t="s">
        <v>436</v>
      </c>
      <c r="I6" s="12" t="s">
        <v>151</v>
      </c>
      <c r="J6" s="13" t="s">
        <v>437</v>
      </c>
      <c r="K6" s="13"/>
      <c r="L6" s="14" t="n">
        <v>377773</v>
      </c>
      <c r="M6" s="15" t="s">
        <v>66</v>
      </c>
      <c r="N6" s="14"/>
      <c r="O6" s="14"/>
      <c r="P6" s="16"/>
      <c r="Q6" s="17" t="n">
        <f aca="false">N6+(0.05*O6)+(P6/240)</f>
        <v>0</v>
      </c>
      <c r="R6" s="42" t="n">
        <v>301260</v>
      </c>
      <c r="S6" s="14"/>
      <c r="T6" s="14"/>
      <c r="U6" s="14" t="n">
        <f aca="false">R6+(S6*0.05)+(T6/240)</f>
        <v>301260</v>
      </c>
      <c r="V6" s="14" t="n">
        <f aca="false">L6*Q6</f>
        <v>0</v>
      </c>
      <c r="W6" s="18" t="n">
        <f aca="false">U6-V6</f>
        <v>301260</v>
      </c>
      <c r="X6" s="19"/>
      <c r="Y6" s="19"/>
    </row>
    <row r="7" customFormat="false" ht="16" hidden="false" customHeight="false" outlineLevel="0" collapsed="false">
      <c r="A7" s="8" t="s">
        <v>24</v>
      </c>
      <c r="B7" s="9" t="s">
        <v>25</v>
      </c>
      <c r="C7" s="9" t="s">
        <v>26</v>
      </c>
      <c r="D7" s="10" t="n">
        <v>1789</v>
      </c>
      <c r="E7" s="9" t="s">
        <v>27</v>
      </c>
      <c r="F7" s="9" t="s">
        <v>27</v>
      </c>
      <c r="G7" s="9" t="n">
        <v>27</v>
      </c>
      <c r="H7" s="9" t="s">
        <v>436</v>
      </c>
      <c r="I7" s="12" t="s">
        <v>441</v>
      </c>
      <c r="J7" s="13" t="s">
        <v>437</v>
      </c>
      <c r="K7" s="13"/>
      <c r="L7" s="14" t="n">
        <v>172600</v>
      </c>
      <c r="M7" s="15" t="s">
        <v>66</v>
      </c>
      <c r="N7" s="14"/>
      <c r="O7" s="14"/>
      <c r="P7" s="16"/>
      <c r="Q7" s="17" t="n">
        <f aca="false">N7+(0.05*O7)+(P7/240)</f>
        <v>0</v>
      </c>
      <c r="R7" s="14" t="n">
        <v>98260</v>
      </c>
      <c r="S7" s="14"/>
      <c r="T7" s="14"/>
      <c r="U7" s="14" t="n">
        <f aca="false">R7+(S7*0.05)+(T7/240)</f>
        <v>98260</v>
      </c>
      <c r="V7" s="14" t="n">
        <f aca="false">L7*Q7</f>
        <v>0</v>
      </c>
      <c r="W7" s="18" t="n">
        <f aca="false">U7-V7</f>
        <v>98260</v>
      </c>
      <c r="X7" s="19"/>
      <c r="Y7" s="19"/>
    </row>
    <row r="8" customFormat="false" ht="16" hidden="false" customHeight="false" outlineLevel="0" collapsed="false">
      <c r="A8" s="8" t="s">
        <v>24</v>
      </c>
      <c r="B8" s="9" t="s">
        <v>25</v>
      </c>
      <c r="C8" s="9" t="s">
        <v>26</v>
      </c>
      <c r="D8" s="10" t="n">
        <v>1789</v>
      </c>
      <c r="E8" s="9" t="s">
        <v>27</v>
      </c>
      <c r="F8" s="9" t="s">
        <v>27</v>
      </c>
      <c r="G8" s="9" t="n">
        <v>27</v>
      </c>
      <c r="H8" s="9" t="s">
        <v>436</v>
      </c>
      <c r="I8" s="12" t="s">
        <v>442</v>
      </c>
      <c r="J8" s="13" t="s">
        <v>437</v>
      </c>
      <c r="K8" s="13"/>
      <c r="L8" s="14" t="n">
        <v>52580</v>
      </c>
      <c r="M8" s="15" t="s">
        <v>66</v>
      </c>
      <c r="N8" s="14"/>
      <c r="O8" s="14"/>
      <c r="P8" s="16"/>
      <c r="Q8" s="17" t="n">
        <f aca="false">N8+(0.05*O8)+(P8/240)</f>
        <v>0</v>
      </c>
      <c r="R8" s="14" t="n">
        <v>37984</v>
      </c>
      <c r="S8" s="14"/>
      <c r="T8" s="14"/>
      <c r="U8" s="14" t="n">
        <f aca="false">R8+(S8*0.05)+(T8/240)</f>
        <v>37984</v>
      </c>
      <c r="V8" s="14" t="n">
        <f aca="false">L8*Q8</f>
        <v>0</v>
      </c>
      <c r="W8" s="18" t="n">
        <f aca="false">U8-V8</f>
        <v>37984</v>
      </c>
      <c r="X8" s="19"/>
      <c r="Y8" s="19"/>
    </row>
    <row r="9" customFormat="false" ht="16" hidden="false" customHeight="false" outlineLevel="0" collapsed="false">
      <c r="A9" s="8" t="s">
        <v>24</v>
      </c>
      <c r="B9" s="9" t="s">
        <v>25</v>
      </c>
      <c r="C9" s="9" t="s">
        <v>26</v>
      </c>
      <c r="D9" s="10" t="n">
        <v>1789</v>
      </c>
      <c r="E9" s="9" t="s">
        <v>27</v>
      </c>
      <c r="F9" s="9" t="s">
        <v>27</v>
      </c>
      <c r="G9" s="9" t="n">
        <v>27</v>
      </c>
      <c r="H9" s="9" t="s">
        <v>436</v>
      </c>
      <c r="I9" s="12" t="s">
        <v>443</v>
      </c>
      <c r="J9" s="13" t="s">
        <v>437</v>
      </c>
      <c r="K9" s="13"/>
      <c r="L9" s="14" t="n">
        <v>192513</v>
      </c>
      <c r="M9" s="15" t="s">
        <v>66</v>
      </c>
      <c r="N9" s="14"/>
      <c r="O9" s="14"/>
      <c r="P9" s="16"/>
      <c r="Q9" s="17" t="n">
        <f aca="false">N9+(0.05*O9)+(P9/240)</f>
        <v>0</v>
      </c>
      <c r="R9" s="14" t="n">
        <v>140316</v>
      </c>
      <c r="S9" s="14"/>
      <c r="T9" s="14"/>
      <c r="U9" s="14" t="n">
        <f aca="false">R9+(S9*0.05)+(T9/240)</f>
        <v>140316</v>
      </c>
      <c r="V9" s="14" t="n">
        <f aca="false">L9*Q9</f>
        <v>0</v>
      </c>
      <c r="W9" s="18" t="n">
        <f aca="false">U9-V9</f>
        <v>140316</v>
      </c>
      <c r="X9" s="19"/>
      <c r="Y9" s="19"/>
    </row>
    <row r="10" customFormat="false" ht="16" hidden="false" customHeight="false" outlineLevel="0" collapsed="false">
      <c r="A10" s="8" t="s">
        <v>24</v>
      </c>
      <c r="B10" s="9" t="s">
        <v>25</v>
      </c>
      <c r="C10" s="9" t="s">
        <v>26</v>
      </c>
      <c r="D10" s="10" t="n">
        <v>1789</v>
      </c>
      <c r="E10" s="9" t="s">
        <v>27</v>
      </c>
      <c r="F10" s="9" t="s">
        <v>27</v>
      </c>
      <c r="G10" s="9" t="n">
        <v>27</v>
      </c>
      <c r="H10" s="9" t="s">
        <v>436</v>
      </c>
      <c r="I10" s="12" t="s">
        <v>444</v>
      </c>
      <c r="J10" s="13" t="s">
        <v>437</v>
      </c>
      <c r="K10" s="13"/>
      <c r="L10" s="14" t="n">
        <v>301200</v>
      </c>
      <c r="M10" s="15" t="s">
        <v>66</v>
      </c>
      <c r="N10" s="14"/>
      <c r="O10" s="14"/>
      <c r="P10" s="16"/>
      <c r="Q10" s="17" t="n">
        <f aca="false">N10+(0.05*O10)+(P10/240)</f>
        <v>0</v>
      </c>
      <c r="R10" s="14" t="n">
        <v>39640</v>
      </c>
      <c r="S10" s="14"/>
      <c r="T10" s="14"/>
      <c r="U10" s="14" t="n">
        <f aca="false">R10+(S10*0.05)+(T10/240)</f>
        <v>39640</v>
      </c>
      <c r="V10" s="14" t="n">
        <f aca="false">L10*Q10</f>
        <v>0</v>
      </c>
      <c r="W10" s="18" t="n">
        <f aca="false">U10-V10</f>
        <v>39640</v>
      </c>
      <c r="X10" s="19"/>
      <c r="Y10" s="19"/>
    </row>
    <row r="11" customFormat="false" ht="16" hidden="false" customHeight="false" outlineLevel="0" collapsed="false">
      <c r="A11" s="8" t="s">
        <v>24</v>
      </c>
      <c r="B11" s="9" t="s">
        <v>25</v>
      </c>
      <c r="C11" s="9" t="s">
        <v>26</v>
      </c>
      <c r="D11" s="10" t="n">
        <v>1789</v>
      </c>
      <c r="E11" s="9" t="s">
        <v>27</v>
      </c>
      <c r="F11" s="9" t="s">
        <v>27</v>
      </c>
      <c r="G11" s="9" t="n">
        <v>27</v>
      </c>
      <c r="H11" s="9" t="s">
        <v>436</v>
      </c>
      <c r="I11" s="12" t="s">
        <v>445</v>
      </c>
      <c r="J11" s="13" t="s">
        <v>437</v>
      </c>
      <c r="K11" s="13"/>
      <c r="L11" s="14" t="n">
        <v>17500</v>
      </c>
      <c r="M11" s="15" t="s">
        <v>66</v>
      </c>
      <c r="N11" s="14"/>
      <c r="O11" s="14"/>
      <c r="P11" s="16"/>
      <c r="Q11" s="17" t="n">
        <f aca="false">N11+(0.05*O11)+(P11/240)</f>
        <v>0</v>
      </c>
      <c r="R11" s="14" t="n">
        <v>1990</v>
      </c>
      <c r="S11" s="14"/>
      <c r="T11" s="14"/>
      <c r="U11" s="14" t="n">
        <f aca="false">R11+(S11*0.05)+(T11/240)</f>
        <v>1990</v>
      </c>
      <c r="V11" s="14" t="n">
        <f aca="false">L11*Q11</f>
        <v>0</v>
      </c>
      <c r="W11" s="18" t="n">
        <f aca="false">U11-V11</f>
        <v>1990</v>
      </c>
      <c r="X11" s="19"/>
      <c r="Y11" s="19"/>
    </row>
    <row r="12" customFormat="false" ht="16" hidden="false" customHeight="false" outlineLevel="0" collapsed="false">
      <c r="A12" s="8" t="s">
        <v>24</v>
      </c>
      <c r="B12" s="9" t="s">
        <v>25</v>
      </c>
      <c r="C12" s="9" t="s">
        <v>26</v>
      </c>
      <c r="D12" s="10" t="n">
        <v>1789</v>
      </c>
      <c r="E12" s="9" t="s">
        <v>27</v>
      </c>
      <c r="F12" s="9" t="s">
        <v>27</v>
      </c>
      <c r="G12" s="9" t="n">
        <v>27</v>
      </c>
      <c r="H12" s="9" t="s">
        <v>436</v>
      </c>
      <c r="I12" s="12" t="s">
        <v>446</v>
      </c>
      <c r="J12" s="13" t="s">
        <v>437</v>
      </c>
      <c r="K12" s="13"/>
      <c r="L12" s="14" t="n">
        <v>900</v>
      </c>
      <c r="M12" s="15" t="s">
        <v>66</v>
      </c>
      <c r="N12" s="14"/>
      <c r="O12" s="14"/>
      <c r="P12" s="16"/>
      <c r="Q12" s="17" t="n">
        <f aca="false">N12+(0.05*O12)+(P12/240)</f>
        <v>0</v>
      </c>
      <c r="R12" s="14" t="n">
        <v>720</v>
      </c>
      <c r="S12" s="14"/>
      <c r="T12" s="14"/>
      <c r="U12" s="14" t="n">
        <f aca="false">R12+(S12*0.05)+(T12/240)</f>
        <v>720</v>
      </c>
      <c r="V12" s="14" t="n">
        <f aca="false">L12*Q12</f>
        <v>0</v>
      </c>
      <c r="W12" s="18" t="n">
        <f aca="false">U12-V12</f>
        <v>720</v>
      </c>
      <c r="X12" s="19"/>
      <c r="Y12" s="19"/>
    </row>
    <row r="13" customFormat="false" ht="16" hidden="false" customHeight="false" outlineLevel="0" collapsed="false">
      <c r="A13" s="8" t="s">
        <v>24</v>
      </c>
      <c r="B13" s="9" t="s">
        <v>25</v>
      </c>
      <c r="C13" s="9" t="s">
        <v>26</v>
      </c>
      <c r="D13" s="10" t="n">
        <v>1789</v>
      </c>
      <c r="E13" s="9" t="s">
        <v>27</v>
      </c>
      <c r="F13" s="9" t="s">
        <v>27</v>
      </c>
      <c r="G13" s="9" t="n">
        <v>27</v>
      </c>
      <c r="H13" s="9" t="s">
        <v>436</v>
      </c>
      <c r="I13" s="12" t="s">
        <v>447</v>
      </c>
      <c r="J13" s="13" t="s">
        <v>437</v>
      </c>
      <c r="K13" s="13"/>
      <c r="L13" s="14" t="n">
        <v>27000</v>
      </c>
      <c r="M13" s="15" t="s">
        <v>66</v>
      </c>
      <c r="N13" s="14"/>
      <c r="O13" s="14"/>
      <c r="P13" s="16"/>
      <c r="Q13" s="17" t="n">
        <f aca="false">N13+(0.05*O13)+(P13/240)</f>
        <v>0</v>
      </c>
      <c r="R13" s="14" t="n">
        <v>6210</v>
      </c>
      <c r="S13" s="14"/>
      <c r="T13" s="14"/>
      <c r="U13" s="14" t="n">
        <f aca="false">R13+(S13*0.05)+(T13/240)</f>
        <v>6210</v>
      </c>
      <c r="V13" s="14" t="n">
        <f aca="false">L13*Q13</f>
        <v>0</v>
      </c>
      <c r="W13" s="18" t="n">
        <f aca="false">U13-V13</f>
        <v>6210</v>
      </c>
      <c r="X13" s="19"/>
      <c r="Y13" s="19"/>
    </row>
    <row r="14" customFormat="false" ht="16" hidden="false" customHeight="false" outlineLevel="0" collapsed="false">
      <c r="A14" s="8" t="s">
        <v>24</v>
      </c>
      <c r="B14" s="9" t="s">
        <v>25</v>
      </c>
      <c r="C14" s="9" t="s">
        <v>26</v>
      </c>
      <c r="D14" s="10" t="n">
        <v>1789</v>
      </c>
      <c r="E14" s="9" t="s">
        <v>27</v>
      </c>
      <c r="F14" s="9" t="s">
        <v>27</v>
      </c>
      <c r="G14" s="9" t="n">
        <v>27</v>
      </c>
      <c r="H14" s="9" t="s">
        <v>436</v>
      </c>
      <c r="I14" s="12" t="s">
        <v>448</v>
      </c>
      <c r="J14" s="13" t="s">
        <v>437</v>
      </c>
      <c r="K14" s="13"/>
      <c r="L14" s="14" t="n">
        <v>329555</v>
      </c>
      <c r="M14" s="15" t="s">
        <v>66</v>
      </c>
      <c r="N14" s="14"/>
      <c r="O14" s="14"/>
      <c r="P14" s="16"/>
      <c r="Q14" s="17" t="n">
        <f aca="false">N14+(0.05*O14)+(P14/240)</f>
        <v>0</v>
      </c>
      <c r="R14" s="14" t="n">
        <v>65348</v>
      </c>
      <c r="S14" s="14"/>
      <c r="T14" s="14"/>
      <c r="U14" s="14" t="n">
        <f aca="false">R14+(S14*0.05)+(T14/240)</f>
        <v>65348</v>
      </c>
      <c r="V14" s="14" t="n">
        <f aca="false">L14*Q14</f>
        <v>0</v>
      </c>
      <c r="W14" s="18" t="n">
        <f aca="false">U14-V14</f>
        <v>65348</v>
      </c>
      <c r="X14" s="19"/>
      <c r="Y14" s="19"/>
    </row>
    <row r="15" customFormat="false" ht="16" hidden="false" customHeight="false" outlineLevel="0" collapsed="false">
      <c r="A15" s="8" t="s">
        <v>24</v>
      </c>
      <c r="B15" s="9" t="s">
        <v>25</v>
      </c>
      <c r="C15" s="9" t="s">
        <v>26</v>
      </c>
      <c r="D15" s="10" t="n">
        <v>1789</v>
      </c>
      <c r="E15" s="9" t="s">
        <v>27</v>
      </c>
      <c r="F15" s="9" t="s">
        <v>27</v>
      </c>
      <c r="G15" s="9" t="n">
        <v>27</v>
      </c>
      <c r="H15" s="9" t="s">
        <v>436</v>
      </c>
      <c r="I15" s="12" t="s">
        <v>449</v>
      </c>
      <c r="J15" s="13" t="s">
        <v>437</v>
      </c>
      <c r="K15" s="13"/>
      <c r="L15" s="14" t="n">
        <v>27880</v>
      </c>
      <c r="M15" s="15" t="s">
        <v>66</v>
      </c>
      <c r="N15" s="14"/>
      <c r="O15" s="14"/>
      <c r="P15" s="16"/>
      <c r="Q15" s="17" t="n">
        <f aca="false">N15+(0.05*O15)+(P15/240)</f>
        <v>0</v>
      </c>
      <c r="R15" s="14" t="n">
        <v>12267</v>
      </c>
      <c r="S15" s="14"/>
      <c r="T15" s="14"/>
      <c r="U15" s="14" t="n">
        <f aca="false">R15+(S15*0.05)+(T15/240)</f>
        <v>12267</v>
      </c>
      <c r="V15" s="14" t="n">
        <f aca="false">L15*Q15</f>
        <v>0</v>
      </c>
      <c r="W15" s="18" t="n">
        <f aca="false">U15-V15</f>
        <v>12267</v>
      </c>
      <c r="X15" s="19"/>
      <c r="Y15" s="19"/>
    </row>
    <row r="16" customFormat="false" ht="16" hidden="false" customHeight="false" outlineLevel="0" collapsed="false">
      <c r="A16" s="8" t="s">
        <v>24</v>
      </c>
      <c r="B16" s="9" t="s">
        <v>25</v>
      </c>
      <c r="C16" s="9" t="s">
        <v>26</v>
      </c>
      <c r="D16" s="10" t="n">
        <v>1789</v>
      </c>
      <c r="E16" s="9" t="s">
        <v>27</v>
      </c>
      <c r="F16" s="9" t="s">
        <v>27</v>
      </c>
      <c r="G16" s="9" t="n">
        <v>27</v>
      </c>
      <c r="H16" s="9" t="s">
        <v>450</v>
      </c>
      <c r="I16" s="12" t="s">
        <v>241</v>
      </c>
      <c r="J16" s="13" t="s">
        <v>437</v>
      </c>
      <c r="K16" s="13"/>
      <c r="L16" s="14" t="n">
        <v>97500</v>
      </c>
      <c r="M16" s="15" t="s">
        <v>66</v>
      </c>
      <c r="N16" s="14"/>
      <c r="O16" s="14"/>
      <c r="P16" s="16"/>
      <c r="Q16" s="17" t="n">
        <f aca="false">N16+(0.05*O16)+(P16/240)</f>
        <v>0</v>
      </c>
      <c r="R16" s="14" t="n">
        <v>19470</v>
      </c>
      <c r="S16" s="14"/>
      <c r="T16" s="14"/>
      <c r="U16" s="14" t="n">
        <f aca="false">R16+(S16*0.05)+(T16/240)</f>
        <v>19470</v>
      </c>
      <c r="V16" s="14" t="n">
        <f aca="false">L16*Q16</f>
        <v>0</v>
      </c>
      <c r="W16" s="18" t="n">
        <f aca="false">U16-V16</f>
        <v>19470</v>
      </c>
      <c r="X16" s="19"/>
      <c r="Y16" s="19"/>
    </row>
    <row r="17" customFormat="false" ht="16" hidden="false" customHeight="false" outlineLevel="0" collapsed="false">
      <c r="A17" s="8" t="s">
        <v>24</v>
      </c>
      <c r="B17" s="9" t="s">
        <v>25</v>
      </c>
      <c r="C17" s="9" t="s">
        <v>26</v>
      </c>
      <c r="D17" s="10" t="n">
        <v>1789</v>
      </c>
      <c r="E17" s="9" t="s">
        <v>27</v>
      </c>
      <c r="F17" s="9" t="s">
        <v>27</v>
      </c>
      <c r="G17" s="9" t="n">
        <v>27</v>
      </c>
      <c r="H17" s="9" t="s">
        <v>450</v>
      </c>
      <c r="I17" s="12" t="s">
        <v>451</v>
      </c>
      <c r="J17" s="13" t="s">
        <v>437</v>
      </c>
      <c r="K17" s="13"/>
      <c r="L17" s="14" t="n">
        <v>363</v>
      </c>
      <c r="M17" s="15" t="s">
        <v>66</v>
      </c>
      <c r="N17" s="14"/>
      <c r="O17" s="14"/>
      <c r="P17" s="16"/>
      <c r="Q17" s="17" t="n">
        <f aca="false">N17+(0.05*O17)+(P17/240)</f>
        <v>0</v>
      </c>
      <c r="R17" s="14" t="n">
        <v>84</v>
      </c>
      <c r="S17" s="14"/>
      <c r="T17" s="14"/>
      <c r="U17" s="14" t="n">
        <f aca="false">R17+(S17*0.05)+(T17/240)</f>
        <v>84</v>
      </c>
      <c r="V17" s="14" t="n">
        <f aca="false">L17*Q17</f>
        <v>0</v>
      </c>
      <c r="W17" s="18" t="n">
        <f aca="false">U17-V17</f>
        <v>84</v>
      </c>
      <c r="X17" s="19"/>
      <c r="Y17" s="19"/>
    </row>
    <row r="18" customFormat="false" ht="16" hidden="false" customHeight="false" outlineLevel="0" collapsed="false">
      <c r="A18" s="8" t="s">
        <v>24</v>
      </c>
      <c r="B18" s="9" t="s">
        <v>25</v>
      </c>
      <c r="C18" s="9" t="s">
        <v>26</v>
      </c>
      <c r="D18" s="10" t="n">
        <v>1789</v>
      </c>
      <c r="E18" s="9" t="s">
        <v>27</v>
      </c>
      <c r="F18" s="9" t="s">
        <v>27</v>
      </c>
      <c r="G18" s="9" t="n">
        <v>27</v>
      </c>
      <c r="H18" s="9" t="s">
        <v>452</v>
      </c>
      <c r="I18" s="12" t="s">
        <v>453</v>
      </c>
      <c r="J18" s="13" t="s">
        <v>437</v>
      </c>
      <c r="K18" s="13"/>
      <c r="L18" s="14" t="n">
        <v>250969</v>
      </c>
      <c r="M18" s="15" t="s">
        <v>66</v>
      </c>
      <c r="N18" s="14"/>
      <c r="O18" s="14"/>
      <c r="P18" s="16"/>
      <c r="Q18" s="17" t="n">
        <f aca="false">N18+(0.05*O18)+(P18/240)</f>
        <v>0</v>
      </c>
      <c r="R18" s="14" t="n">
        <v>50210</v>
      </c>
      <c r="S18" s="14"/>
      <c r="T18" s="14"/>
      <c r="U18" s="14" t="n">
        <f aca="false">R18+(S18*0.05)+(T18/240)</f>
        <v>50210</v>
      </c>
      <c r="V18" s="14" t="n">
        <f aca="false">L18*Q18</f>
        <v>0</v>
      </c>
      <c r="W18" s="18" t="n">
        <f aca="false">U18-V18</f>
        <v>50210</v>
      </c>
      <c r="X18" s="19"/>
      <c r="Y18" s="19"/>
    </row>
    <row r="19" customFormat="false" ht="16" hidden="false" customHeight="false" outlineLevel="0" collapsed="false">
      <c r="A19" s="8" t="s">
        <v>24</v>
      </c>
      <c r="B19" s="9" t="s">
        <v>25</v>
      </c>
      <c r="C19" s="9" t="s">
        <v>26</v>
      </c>
      <c r="D19" s="10" t="n">
        <v>1789</v>
      </c>
      <c r="E19" s="9" t="s">
        <v>27</v>
      </c>
      <c r="F19" s="9" t="s">
        <v>27</v>
      </c>
      <c r="G19" s="9" t="n">
        <v>27</v>
      </c>
      <c r="H19" s="9" t="s">
        <v>452</v>
      </c>
      <c r="I19" s="12" t="s">
        <v>454</v>
      </c>
      <c r="J19" s="13" t="s">
        <v>437</v>
      </c>
      <c r="K19" s="13"/>
      <c r="L19" s="14" t="n">
        <v>744</v>
      </c>
      <c r="M19" s="15" t="s">
        <v>66</v>
      </c>
      <c r="N19" s="14"/>
      <c r="O19" s="14"/>
      <c r="P19" s="16"/>
      <c r="Q19" s="17" t="n">
        <f aca="false">N19+(0.05*O19)+(P19/240)</f>
        <v>0</v>
      </c>
      <c r="R19" s="14" t="n">
        <v>890</v>
      </c>
      <c r="S19" s="14"/>
      <c r="T19" s="14"/>
      <c r="U19" s="14" t="n">
        <f aca="false">R19+(S19*0.05)+(T19/240)</f>
        <v>890</v>
      </c>
      <c r="V19" s="14" t="n">
        <f aca="false">L19*Q19</f>
        <v>0</v>
      </c>
      <c r="W19" s="18" t="n">
        <f aca="false">U19-V19</f>
        <v>890</v>
      </c>
      <c r="X19" s="19"/>
      <c r="Y19" s="19"/>
    </row>
    <row r="20" customFormat="false" ht="16" hidden="false" customHeight="false" outlineLevel="0" collapsed="false">
      <c r="A20" s="8" t="s">
        <v>24</v>
      </c>
      <c r="B20" s="9" t="s">
        <v>25</v>
      </c>
      <c r="C20" s="9" t="s">
        <v>26</v>
      </c>
      <c r="D20" s="10" t="n">
        <v>1789</v>
      </c>
      <c r="E20" s="9" t="s">
        <v>27</v>
      </c>
      <c r="F20" s="9" t="s">
        <v>27</v>
      </c>
      <c r="G20" s="9" t="n">
        <v>27</v>
      </c>
      <c r="H20" s="9" t="s">
        <v>452</v>
      </c>
      <c r="I20" s="12" t="s">
        <v>455</v>
      </c>
      <c r="J20" s="13" t="s">
        <v>437</v>
      </c>
      <c r="K20" s="13"/>
      <c r="L20" s="14" t="n">
        <v>1624</v>
      </c>
      <c r="M20" s="15" t="s">
        <v>66</v>
      </c>
      <c r="N20" s="14"/>
      <c r="O20" s="14"/>
      <c r="P20" s="16"/>
      <c r="Q20" s="17" t="n">
        <f aca="false">N20+(0.05*O20)+(P20/240)</f>
        <v>0</v>
      </c>
      <c r="R20" s="14" t="n">
        <v>3995</v>
      </c>
      <c r="S20" s="14"/>
      <c r="T20" s="14"/>
      <c r="U20" s="14" t="n">
        <f aca="false">R20+(S20*0.05)+(T20/240)</f>
        <v>3995</v>
      </c>
      <c r="V20" s="14" t="n">
        <f aca="false">L20*Q20</f>
        <v>0</v>
      </c>
      <c r="W20" s="18" t="n">
        <f aca="false">U20-V20</f>
        <v>3995</v>
      </c>
      <c r="X20" s="19"/>
      <c r="Y20" s="19"/>
    </row>
    <row r="21" customFormat="false" ht="16" hidden="false" customHeight="false" outlineLevel="0" collapsed="false">
      <c r="A21" s="8" t="s">
        <v>24</v>
      </c>
      <c r="B21" s="9" t="s">
        <v>25</v>
      </c>
      <c r="C21" s="9" t="s">
        <v>26</v>
      </c>
      <c r="D21" s="10" t="n">
        <v>1789</v>
      </c>
      <c r="E21" s="9" t="s">
        <v>27</v>
      </c>
      <c r="F21" s="9" t="s">
        <v>27</v>
      </c>
      <c r="G21" s="9" t="n">
        <v>27</v>
      </c>
      <c r="H21" s="9" t="s">
        <v>452</v>
      </c>
      <c r="I21" s="12" t="s">
        <v>456</v>
      </c>
      <c r="J21" s="13" t="s">
        <v>437</v>
      </c>
      <c r="K21" s="13"/>
      <c r="L21" s="14" t="n">
        <v>2300</v>
      </c>
      <c r="M21" s="15" t="s">
        <v>66</v>
      </c>
      <c r="N21" s="14"/>
      <c r="O21" s="14"/>
      <c r="P21" s="16"/>
      <c r="Q21" s="17" t="n">
        <f aca="false">N21+(0.05*O21)+(P21/240)</f>
        <v>0</v>
      </c>
      <c r="R21" s="14" t="n">
        <v>3030</v>
      </c>
      <c r="S21" s="14"/>
      <c r="T21" s="14"/>
      <c r="U21" s="14" t="n">
        <f aca="false">R21+(S21*0.05)+(T21/240)</f>
        <v>3030</v>
      </c>
      <c r="V21" s="14" t="n">
        <f aca="false">L21*Q21</f>
        <v>0</v>
      </c>
      <c r="W21" s="18" t="n">
        <f aca="false">U21-V21</f>
        <v>3030</v>
      </c>
      <c r="X21" s="19"/>
      <c r="Y21" s="19"/>
    </row>
    <row r="22" customFormat="false" ht="16" hidden="false" customHeight="false" outlineLevel="0" collapsed="false">
      <c r="A22" s="8" t="s">
        <v>24</v>
      </c>
      <c r="B22" s="9" t="s">
        <v>25</v>
      </c>
      <c r="C22" s="9" t="s">
        <v>26</v>
      </c>
      <c r="D22" s="10" t="n">
        <v>1789</v>
      </c>
      <c r="E22" s="9" t="s">
        <v>27</v>
      </c>
      <c r="F22" s="9" t="s">
        <v>27</v>
      </c>
      <c r="G22" s="9" t="n">
        <v>27</v>
      </c>
      <c r="H22" s="9" t="s">
        <v>452</v>
      </c>
      <c r="I22" s="12" t="s">
        <v>457</v>
      </c>
      <c r="J22" s="13" t="s">
        <v>437</v>
      </c>
      <c r="K22" s="13"/>
      <c r="L22" s="14" t="n">
        <v>60</v>
      </c>
      <c r="M22" s="15" t="s">
        <v>66</v>
      </c>
      <c r="N22" s="14"/>
      <c r="O22" s="14"/>
      <c r="P22" s="16"/>
      <c r="Q22" s="17" t="n">
        <f aca="false">N22+(0.05*O22)+(P22/240)</f>
        <v>0</v>
      </c>
      <c r="R22" s="14" t="n">
        <v>900</v>
      </c>
      <c r="S22" s="14"/>
      <c r="T22" s="14"/>
      <c r="U22" s="14" t="n">
        <f aca="false">R22+(S22*0.05)+(T22/240)</f>
        <v>900</v>
      </c>
      <c r="V22" s="14" t="n">
        <f aca="false">L22*Q22</f>
        <v>0</v>
      </c>
      <c r="W22" s="18" t="n">
        <f aca="false">U22-V22</f>
        <v>900</v>
      </c>
      <c r="X22" s="19"/>
      <c r="Y22" s="19"/>
    </row>
    <row r="23" customFormat="false" ht="16" hidden="false" customHeight="false" outlineLevel="0" collapsed="false">
      <c r="A23" s="8" t="s">
        <v>24</v>
      </c>
      <c r="B23" s="9" t="s">
        <v>25</v>
      </c>
      <c r="C23" s="9" t="s">
        <v>26</v>
      </c>
      <c r="D23" s="10" t="n">
        <v>1789</v>
      </c>
      <c r="E23" s="9" t="s">
        <v>27</v>
      </c>
      <c r="F23" s="9" t="s">
        <v>27</v>
      </c>
      <c r="G23" s="9" t="n">
        <v>27</v>
      </c>
      <c r="H23" s="9" t="s">
        <v>452</v>
      </c>
      <c r="I23" s="12" t="s">
        <v>458</v>
      </c>
      <c r="J23" s="13" t="s">
        <v>437</v>
      </c>
      <c r="K23" s="13"/>
      <c r="L23" s="14" t="n">
        <v>5574</v>
      </c>
      <c r="M23" s="15" t="s">
        <v>66</v>
      </c>
      <c r="N23" s="14"/>
      <c r="O23" s="14"/>
      <c r="P23" s="16"/>
      <c r="Q23" s="17" t="n">
        <f aca="false">N23+(0.05*O23)+(P23/240)</f>
        <v>0</v>
      </c>
      <c r="R23" s="14" t="n">
        <v>39014</v>
      </c>
      <c r="S23" s="14"/>
      <c r="T23" s="14"/>
      <c r="U23" s="14" t="n">
        <f aca="false">R23+(S23*0.05)+(T23/240)</f>
        <v>39014</v>
      </c>
      <c r="V23" s="14" t="n">
        <f aca="false">L23*Q23</f>
        <v>0</v>
      </c>
      <c r="W23" s="18" t="n">
        <f aca="false">U23-V23</f>
        <v>39014</v>
      </c>
      <c r="X23" s="19"/>
      <c r="Y23" s="19"/>
    </row>
    <row r="24" customFormat="false" ht="16" hidden="false" customHeight="false" outlineLevel="0" collapsed="false">
      <c r="A24" s="8" t="s">
        <v>24</v>
      </c>
      <c r="B24" s="9" t="s">
        <v>25</v>
      </c>
      <c r="C24" s="9" t="s">
        <v>26</v>
      </c>
      <c r="D24" s="10" t="n">
        <v>1789</v>
      </c>
      <c r="E24" s="9" t="s">
        <v>27</v>
      </c>
      <c r="F24" s="9" t="s">
        <v>27</v>
      </c>
      <c r="G24" s="9" t="n">
        <v>27</v>
      </c>
      <c r="H24" s="9" t="s">
        <v>452</v>
      </c>
      <c r="I24" s="12" t="s">
        <v>459</v>
      </c>
      <c r="J24" s="13" t="s">
        <v>437</v>
      </c>
      <c r="K24" s="13"/>
      <c r="L24" s="14" t="n">
        <v>20000</v>
      </c>
      <c r="M24" s="15" t="s">
        <v>66</v>
      </c>
      <c r="N24" s="14"/>
      <c r="O24" s="14"/>
      <c r="P24" s="16"/>
      <c r="Q24" s="17" t="n">
        <f aca="false">N24+(0.05*O24)+(P24/240)</f>
        <v>0</v>
      </c>
      <c r="R24" s="14" t="n">
        <v>3400</v>
      </c>
      <c r="S24" s="14"/>
      <c r="T24" s="14"/>
      <c r="U24" s="14" t="n">
        <f aca="false">R24+(S24*0.05)+(T24/240)</f>
        <v>3400</v>
      </c>
      <c r="V24" s="14" t="n">
        <f aca="false">L24*Q24</f>
        <v>0</v>
      </c>
      <c r="W24" s="18" t="n">
        <f aca="false">U24-V24</f>
        <v>3400</v>
      </c>
      <c r="X24" s="19"/>
      <c r="Y24" s="19"/>
    </row>
    <row r="25" customFormat="false" ht="16" hidden="false" customHeight="false" outlineLevel="0" collapsed="false">
      <c r="A25" s="8" t="s">
        <v>24</v>
      </c>
      <c r="B25" s="9" t="s">
        <v>25</v>
      </c>
      <c r="C25" s="9" t="s">
        <v>26</v>
      </c>
      <c r="D25" s="10" t="n">
        <v>1789</v>
      </c>
      <c r="E25" s="9" t="s">
        <v>27</v>
      </c>
      <c r="F25" s="9" t="s">
        <v>27</v>
      </c>
      <c r="G25" s="9" t="n">
        <v>27</v>
      </c>
      <c r="H25" s="9" t="s">
        <v>452</v>
      </c>
      <c r="I25" s="12" t="s">
        <v>460</v>
      </c>
      <c r="J25" s="13" t="s">
        <v>437</v>
      </c>
      <c r="K25" s="13"/>
      <c r="L25" s="14" t="n">
        <v>4195</v>
      </c>
      <c r="M25" s="15" t="s">
        <v>66</v>
      </c>
      <c r="N25" s="14"/>
      <c r="O25" s="14"/>
      <c r="P25" s="16"/>
      <c r="Q25" s="17" t="n">
        <f aca="false">N25+(0.05*O25)+(P25/240)</f>
        <v>0</v>
      </c>
      <c r="R25" s="14" t="n">
        <v>924</v>
      </c>
      <c r="S25" s="14"/>
      <c r="T25" s="14"/>
      <c r="U25" s="14" t="n">
        <f aca="false">R25+(S25*0.05)+(T25/240)</f>
        <v>924</v>
      </c>
      <c r="V25" s="14" t="n">
        <f aca="false">L25*Q25</f>
        <v>0</v>
      </c>
      <c r="W25" s="18" t="n">
        <f aca="false">U25-V25</f>
        <v>924</v>
      </c>
      <c r="X25" s="19"/>
      <c r="Y25" s="19"/>
    </row>
    <row r="26" customFormat="false" ht="16" hidden="false" customHeight="false" outlineLevel="0" collapsed="false">
      <c r="A26" s="8" t="s">
        <v>24</v>
      </c>
      <c r="B26" s="9" t="s">
        <v>25</v>
      </c>
      <c r="C26" s="9" t="s">
        <v>26</v>
      </c>
      <c r="D26" s="10" t="n">
        <v>1789</v>
      </c>
      <c r="E26" s="9" t="s">
        <v>27</v>
      </c>
      <c r="F26" s="9" t="s">
        <v>27</v>
      </c>
      <c r="G26" s="9" t="n">
        <v>27</v>
      </c>
      <c r="H26" s="9" t="s">
        <v>452</v>
      </c>
      <c r="I26" s="12" t="s">
        <v>461</v>
      </c>
      <c r="J26" s="13" t="s">
        <v>437</v>
      </c>
      <c r="K26" s="13"/>
      <c r="L26" s="14" t="n">
        <v>640</v>
      </c>
      <c r="M26" s="15" t="s">
        <v>66</v>
      </c>
      <c r="N26" s="14"/>
      <c r="O26" s="14"/>
      <c r="P26" s="16"/>
      <c r="Q26" s="17" t="n">
        <f aca="false">N26+(0.05*O26)+(P26/240)</f>
        <v>0</v>
      </c>
      <c r="R26" s="14" t="n">
        <v>640</v>
      </c>
      <c r="S26" s="14"/>
      <c r="T26" s="14"/>
      <c r="U26" s="14" t="n">
        <f aca="false">R26+(S26*0.05)+(T26/240)</f>
        <v>640</v>
      </c>
      <c r="V26" s="14" t="n">
        <f aca="false">L26*Q26</f>
        <v>0</v>
      </c>
      <c r="W26" s="18" t="n">
        <f aca="false">U26-V26</f>
        <v>640</v>
      </c>
      <c r="X26" s="19"/>
      <c r="Y26" s="19"/>
    </row>
    <row r="27" customFormat="false" ht="16" hidden="false" customHeight="false" outlineLevel="0" collapsed="false">
      <c r="A27" s="8" t="s">
        <v>24</v>
      </c>
      <c r="B27" s="9" t="s">
        <v>25</v>
      </c>
      <c r="C27" s="9" t="s">
        <v>26</v>
      </c>
      <c r="D27" s="10" t="n">
        <v>1789</v>
      </c>
      <c r="E27" s="9" t="s">
        <v>27</v>
      </c>
      <c r="F27" s="9" t="s">
        <v>27</v>
      </c>
      <c r="G27" s="9" t="n">
        <v>27</v>
      </c>
      <c r="H27" s="9" t="s">
        <v>452</v>
      </c>
      <c r="I27" s="12" t="s">
        <v>462</v>
      </c>
      <c r="J27" s="13" t="s">
        <v>437</v>
      </c>
      <c r="K27" s="13"/>
      <c r="L27" s="14" t="n">
        <v>19000</v>
      </c>
      <c r="M27" s="15" t="s">
        <v>66</v>
      </c>
      <c r="N27" s="14"/>
      <c r="O27" s="14"/>
      <c r="P27" s="16"/>
      <c r="Q27" s="17" t="n">
        <f aca="false">N27+(0.05*O27)+(P27/240)</f>
        <v>0</v>
      </c>
      <c r="R27" s="14" t="n">
        <v>24800</v>
      </c>
      <c r="S27" s="14"/>
      <c r="T27" s="14"/>
      <c r="U27" s="14" t="n">
        <f aca="false">R27+(S27*0.05)+(T27/240)</f>
        <v>24800</v>
      </c>
      <c r="V27" s="14" t="n">
        <f aca="false">L27*Q27</f>
        <v>0</v>
      </c>
      <c r="W27" s="18" t="n">
        <f aca="false">U27-V27</f>
        <v>24800</v>
      </c>
      <c r="X27" s="19"/>
      <c r="Y27" s="19"/>
    </row>
    <row r="28" customFormat="false" ht="16" hidden="false" customHeight="false" outlineLevel="0" collapsed="false">
      <c r="A28" s="8" t="s">
        <v>24</v>
      </c>
      <c r="B28" s="9" t="s">
        <v>25</v>
      </c>
      <c r="C28" s="9" t="s">
        <v>26</v>
      </c>
      <c r="D28" s="10" t="n">
        <v>1789</v>
      </c>
      <c r="E28" s="9" t="s">
        <v>27</v>
      </c>
      <c r="F28" s="9" t="s">
        <v>27</v>
      </c>
      <c r="G28" s="9" t="n">
        <v>27</v>
      </c>
      <c r="H28" s="9" t="s">
        <v>452</v>
      </c>
      <c r="I28" s="12" t="s">
        <v>463</v>
      </c>
      <c r="J28" s="13" t="s">
        <v>437</v>
      </c>
      <c r="K28" s="13"/>
      <c r="L28" s="14" t="n">
        <v>8780</v>
      </c>
      <c r="M28" s="15" t="s">
        <v>66</v>
      </c>
      <c r="N28" s="14"/>
      <c r="O28" s="14"/>
      <c r="P28" s="16"/>
      <c r="Q28" s="17" t="n">
        <f aca="false">N28+(0.05*O28)+(P28/240)</f>
        <v>0</v>
      </c>
      <c r="R28" s="14" t="n">
        <v>5528</v>
      </c>
      <c r="S28" s="14"/>
      <c r="T28" s="14"/>
      <c r="U28" s="14" t="n">
        <f aca="false">R28+(S28*0.05)+(T28/240)</f>
        <v>5528</v>
      </c>
      <c r="V28" s="14" t="n">
        <f aca="false">L28*Q28</f>
        <v>0</v>
      </c>
      <c r="W28" s="18" t="n">
        <f aca="false">U28-V28</f>
        <v>5528</v>
      </c>
      <c r="X28" s="19"/>
      <c r="Y28" s="19"/>
    </row>
    <row r="29" customFormat="false" ht="16" hidden="false" customHeight="false" outlineLevel="0" collapsed="false">
      <c r="A29" s="8" t="s">
        <v>24</v>
      </c>
      <c r="B29" s="9" t="s">
        <v>25</v>
      </c>
      <c r="C29" s="9" t="s">
        <v>26</v>
      </c>
      <c r="D29" s="10" t="n">
        <v>1789</v>
      </c>
      <c r="E29" s="9" t="s">
        <v>27</v>
      </c>
      <c r="F29" s="9" t="s">
        <v>27</v>
      </c>
      <c r="G29" s="9" t="n">
        <v>28</v>
      </c>
      <c r="H29" s="9" t="s">
        <v>464</v>
      </c>
      <c r="I29" s="12" t="s">
        <v>465</v>
      </c>
      <c r="J29" s="13" t="s">
        <v>437</v>
      </c>
      <c r="K29" s="13"/>
      <c r="L29" s="14"/>
      <c r="M29" s="15" t="s">
        <v>66</v>
      </c>
      <c r="N29" s="14"/>
      <c r="O29" s="14"/>
      <c r="P29" s="16"/>
      <c r="Q29" s="17" t="n">
        <f aca="false">N29+(0.05*O29)+(P29/240)</f>
        <v>0</v>
      </c>
      <c r="R29" s="14" t="n">
        <v>2698</v>
      </c>
      <c r="S29" s="14"/>
      <c r="T29" s="14"/>
      <c r="U29" s="14" t="n">
        <f aca="false">R29+(S29*0.05)+(T29/240)</f>
        <v>2698</v>
      </c>
      <c r="V29" s="14" t="n">
        <f aca="false">L29*Q29</f>
        <v>0</v>
      </c>
      <c r="W29" s="18" t="n">
        <f aca="false">U29-V29</f>
        <v>2698</v>
      </c>
      <c r="X29" s="19"/>
      <c r="Y29" s="19"/>
    </row>
    <row r="30" customFormat="false" ht="16" hidden="false" customHeight="false" outlineLevel="0" collapsed="false">
      <c r="A30" s="8" t="s">
        <v>24</v>
      </c>
      <c r="B30" s="9" t="s">
        <v>25</v>
      </c>
      <c r="C30" s="9" t="s">
        <v>26</v>
      </c>
      <c r="D30" s="10" t="n">
        <v>1789</v>
      </c>
      <c r="E30" s="9" t="s">
        <v>27</v>
      </c>
      <c r="F30" s="9" t="s">
        <v>27</v>
      </c>
      <c r="G30" s="9" t="n">
        <v>28</v>
      </c>
      <c r="H30" s="9" t="s">
        <v>464</v>
      </c>
      <c r="I30" s="12" t="s">
        <v>466</v>
      </c>
      <c r="J30" s="13" t="s">
        <v>437</v>
      </c>
      <c r="K30" s="13"/>
      <c r="L30" s="14"/>
      <c r="M30" s="15" t="s">
        <v>66</v>
      </c>
      <c r="N30" s="14"/>
      <c r="O30" s="14"/>
      <c r="P30" s="16"/>
      <c r="Q30" s="17" t="n">
        <f aca="false">N30+(0.05*O30)+(P30/240)</f>
        <v>0</v>
      </c>
      <c r="R30" s="14" t="n">
        <v>624</v>
      </c>
      <c r="S30" s="14"/>
      <c r="T30" s="14"/>
      <c r="U30" s="14" t="n">
        <f aca="false">R30+(S30*0.05)+(T30/240)</f>
        <v>624</v>
      </c>
      <c r="V30" s="14" t="n">
        <f aca="false">L30*Q30</f>
        <v>0</v>
      </c>
      <c r="W30" s="18" t="n">
        <f aca="false">U30-V30</f>
        <v>624</v>
      </c>
      <c r="X30" s="19"/>
      <c r="Y30" s="19"/>
    </row>
    <row r="31" customFormat="false" ht="16" hidden="false" customHeight="false" outlineLevel="0" collapsed="false">
      <c r="A31" s="8" t="s">
        <v>24</v>
      </c>
      <c r="B31" s="9" t="s">
        <v>25</v>
      </c>
      <c r="C31" s="9" t="s">
        <v>26</v>
      </c>
      <c r="D31" s="10" t="n">
        <v>1789</v>
      </c>
      <c r="E31" s="9" t="s">
        <v>27</v>
      </c>
      <c r="F31" s="9" t="s">
        <v>27</v>
      </c>
      <c r="G31" s="9" t="n">
        <v>28</v>
      </c>
      <c r="H31" s="9" t="s">
        <v>464</v>
      </c>
      <c r="I31" s="12" t="s">
        <v>467</v>
      </c>
      <c r="J31" s="13" t="s">
        <v>437</v>
      </c>
      <c r="K31" s="13"/>
      <c r="L31" s="14"/>
      <c r="M31" s="15" t="s">
        <v>66</v>
      </c>
      <c r="N31" s="14"/>
      <c r="O31" s="14"/>
      <c r="P31" s="16"/>
      <c r="Q31" s="17" t="n">
        <f aca="false">N31+(0.05*O31)+(P31/240)</f>
        <v>0</v>
      </c>
      <c r="R31" s="14" t="n">
        <v>11371</v>
      </c>
      <c r="S31" s="14"/>
      <c r="T31" s="14"/>
      <c r="U31" s="14" t="n">
        <f aca="false">R31+(S31*0.05)+(T31/240)</f>
        <v>11371</v>
      </c>
      <c r="V31" s="14" t="n">
        <f aca="false">L31*Q31</f>
        <v>0</v>
      </c>
      <c r="W31" s="18" t="n">
        <f aca="false">U31-V31</f>
        <v>11371</v>
      </c>
      <c r="X31" s="19"/>
      <c r="Y31" s="19"/>
    </row>
    <row r="32" customFormat="false" ht="16" hidden="false" customHeight="false" outlineLevel="0" collapsed="false">
      <c r="A32" s="8" t="s">
        <v>24</v>
      </c>
      <c r="B32" s="9" t="s">
        <v>25</v>
      </c>
      <c r="C32" s="9" t="s">
        <v>26</v>
      </c>
      <c r="D32" s="10" t="n">
        <v>1789</v>
      </c>
      <c r="E32" s="9" t="s">
        <v>27</v>
      </c>
      <c r="F32" s="9" t="s">
        <v>27</v>
      </c>
      <c r="G32" s="9" t="n">
        <v>28</v>
      </c>
      <c r="H32" s="9" t="s">
        <v>464</v>
      </c>
      <c r="I32" s="12" t="s">
        <v>468</v>
      </c>
      <c r="J32" s="13" t="s">
        <v>437</v>
      </c>
      <c r="K32" s="13"/>
      <c r="L32" s="14"/>
      <c r="M32" s="15" t="s">
        <v>66</v>
      </c>
      <c r="N32" s="14"/>
      <c r="O32" s="14"/>
      <c r="P32" s="16"/>
      <c r="Q32" s="17" t="n">
        <f aca="false">N32+(0.05*O32)+(P32/240)</f>
        <v>0</v>
      </c>
      <c r="R32" s="14" t="n">
        <v>17012</v>
      </c>
      <c r="S32" s="14"/>
      <c r="T32" s="14"/>
      <c r="U32" s="14" t="n">
        <f aca="false">R32+(S32*0.05)+(T32/240)</f>
        <v>17012</v>
      </c>
      <c r="V32" s="14" t="n">
        <f aca="false">L32*Q32</f>
        <v>0</v>
      </c>
      <c r="W32" s="18" t="n">
        <f aca="false">U32-V32</f>
        <v>17012</v>
      </c>
      <c r="X32" s="19"/>
      <c r="Y32" s="19"/>
    </row>
    <row r="33" customFormat="false" ht="16" hidden="false" customHeight="false" outlineLevel="0" collapsed="false">
      <c r="A33" s="8" t="s">
        <v>24</v>
      </c>
      <c r="B33" s="9" t="s">
        <v>25</v>
      </c>
      <c r="C33" s="9" t="s">
        <v>26</v>
      </c>
      <c r="D33" s="10" t="n">
        <v>1789</v>
      </c>
      <c r="E33" s="9" t="s">
        <v>27</v>
      </c>
      <c r="F33" s="9" t="s">
        <v>27</v>
      </c>
      <c r="G33" s="9" t="n">
        <v>28</v>
      </c>
      <c r="H33" s="9" t="s">
        <v>464</v>
      </c>
      <c r="I33" s="12" t="s">
        <v>469</v>
      </c>
      <c r="J33" s="13" t="s">
        <v>437</v>
      </c>
      <c r="K33" s="13"/>
      <c r="L33" s="14"/>
      <c r="M33" s="15" t="s">
        <v>66</v>
      </c>
      <c r="N33" s="14"/>
      <c r="O33" s="14"/>
      <c r="P33" s="16"/>
      <c r="Q33" s="17" t="n">
        <f aca="false">N33+(0.05*O33)+(P33/240)</f>
        <v>0</v>
      </c>
      <c r="R33" s="14" t="n">
        <v>5442</v>
      </c>
      <c r="S33" s="14"/>
      <c r="T33" s="14"/>
      <c r="U33" s="14" t="n">
        <f aca="false">R33+(S33*0.05)+(T33/240)</f>
        <v>5442</v>
      </c>
      <c r="V33" s="14" t="n">
        <f aca="false">L33*Q33</f>
        <v>0</v>
      </c>
      <c r="W33" s="18" t="n">
        <f aca="false">U33-V33</f>
        <v>5442</v>
      </c>
      <c r="X33" s="19"/>
      <c r="Y33" s="19"/>
    </row>
    <row r="34" customFormat="false" ht="16" hidden="false" customHeight="false" outlineLevel="0" collapsed="false">
      <c r="A34" s="8" t="s">
        <v>24</v>
      </c>
      <c r="B34" s="9" t="s">
        <v>25</v>
      </c>
      <c r="C34" s="9" t="s">
        <v>26</v>
      </c>
      <c r="D34" s="10" t="n">
        <v>1789</v>
      </c>
      <c r="E34" s="9" t="s">
        <v>27</v>
      </c>
      <c r="F34" s="9" t="s">
        <v>27</v>
      </c>
      <c r="G34" s="9" t="n">
        <v>28</v>
      </c>
      <c r="H34" s="9" t="s">
        <v>470</v>
      </c>
      <c r="I34" s="12" t="s">
        <v>471</v>
      </c>
      <c r="J34" s="13" t="s">
        <v>437</v>
      </c>
      <c r="K34" s="13"/>
      <c r="L34" s="14" t="n">
        <v>160</v>
      </c>
      <c r="M34" s="15" t="s">
        <v>66</v>
      </c>
      <c r="N34" s="14"/>
      <c r="O34" s="14"/>
      <c r="P34" s="16"/>
      <c r="Q34" s="17" t="n">
        <f aca="false">N34+(0.05*O34)+(P34/240)</f>
        <v>0</v>
      </c>
      <c r="R34" s="14" t="n">
        <v>800</v>
      </c>
      <c r="S34" s="14"/>
      <c r="T34" s="14"/>
      <c r="U34" s="14" t="n">
        <f aca="false">R34+(S34*0.05)+(T34/240)</f>
        <v>800</v>
      </c>
      <c r="V34" s="14" t="n">
        <f aca="false">L34*Q34</f>
        <v>0</v>
      </c>
      <c r="W34" s="18" t="n">
        <f aca="false">U34-V34</f>
        <v>800</v>
      </c>
      <c r="X34" s="19"/>
      <c r="Y34" s="19"/>
    </row>
    <row r="35" customFormat="false" ht="16" hidden="false" customHeight="false" outlineLevel="0" collapsed="false">
      <c r="A35" s="8" t="s">
        <v>24</v>
      </c>
      <c r="B35" s="9" t="s">
        <v>25</v>
      </c>
      <c r="C35" s="9" t="s">
        <v>26</v>
      </c>
      <c r="D35" s="10" t="n">
        <v>1789</v>
      </c>
      <c r="E35" s="9" t="s">
        <v>27</v>
      </c>
      <c r="F35" s="9" t="s">
        <v>27</v>
      </c>
      <c r="G35" s="9" t="n">
        <v>28</v>
      </c>
      <c r="H35" s="9" t="s">
        <v>470</v>
      </c>
      <c r="I35" s="9" t="s">
        <v>242</v>
      </c>
      <c r="J35" s="13" t="s">
        <v>437</v>
      </c>
      <c r="K35" s="13"/>
      <c r="L35" s="14"/>
      <c r="M35" s="15" t="s">
        <v>66</v>
      </c>
      <c r="N35" s="14"/>
      <c r="O35" s="14"/>
      <c r="P35" s="16"/>
      <c r="Q35" s="17" t="n">
        <f aca="false">N35+(0.05*O35)+(P35/240)</f>
        <v>0</v>
      </c>
      <c r="R35" s="14" t="n">
        <v>11175</v>
      </c>
      <c r="S35" s="14"/>
      <c r="T35" s="14"/>
      <c r="U35" s="14" t="n">
        <f aca="false">R35+(S35*0.05)+(T35/240)</f>
        <v>11175</v>
      </c>
      <c r="V35" s="14" t="n">
        <f aca="false">L35*Q35</f>
        <v>0</v>
      </c>
      <c r="W35" s="18" t="n">
        <f aca="false">U35-V35</f>
        <v>11175</v>
      </c>
      <c r="X35" s="19"/>
      <c r="Y35" s="19"/>
    </row>
    <row r="36" customFormat="false" ht="16" hidden="false" customHeight="false" outlineLevel="0" collapsed="false">
      <c r="A36" s="8" t="s">
        <v>24</v>
      </c>
      <c r="B36" s="9" t="s">
        <v>25</v>
      </c>
      <c r="C36" s="9" t="s">
        <v>26</v>
      </c>
      <c r="D36" s="10" t="n">
        <v>1789</v>
      </c>
      <c r="E36" s="9" t="s">
        <v>27</v>
      </c>
      <c r="F36" s="9" t="s">
        <v>27</v>
      </c>
      <c r="G36" s="9" t="n">
        <v>28</v>
      </c>
      <c r="H36" s="9" t="s">
        <v>470</v>
      </c>
      <c r="I36" s="9" t="s">
        <v>472</v>
      </c>
      <c r="J36" s="13" t="s">
        <v>437</v>
      </c>
      <c r="K36" s="13"/>
      <c r="L36" s="14"/>
      <c r="M36" s="15" t="s">
        <v>66</v>
      </c>
      <c r="N36" s="14"/>
      <c r="O36" s="14"/>
      <c r="P36" s="16"/>
      <c r="Q36" s="17" t="n">
        <f aca="false">N36+(0.05*O36)+(P36/240)</f>
        <v>0</v>
      </c>
      <c r="R36" s="14" t="n">
        <v>60</v>
      </c>
      <c r="S36" s="14"/>
      <c r="T36" s="14"/>
      <c r="U36" s="14" t="n">
        <f aca="false">R36+(S36*0.05)+(T36/240)</f>
        <v>60</v>
      </c>
      <c r="V36" s="14" t="n">
        <f aca="false">L36*Q36</f>
        <v>0</v>
      </c>
      <c r="W36" s="18" t="n">
        <f aca="false">U36-V36</f>
        <v>60</v>
      </c>
      <c r="X36" s="19"/>
      <c r="Y36" s="19"/>
    </row>
    <row r="37" customFormat="false" ht="16" hidden="false" customHeight="false" outlineLevel="0" collapsed="false">
      <c r="A37" s="8" t="s">
        <v>24</v>
      </c>
      <c r="B37" s="9" t="s">
        <v>25</v>
      </c>
      <c r="C37" s="9" t="s">
        <v>26</v>
      </c>
      <c r="D37" s="10" t="n">
        <v>1789</v>
      </c>
      <c r="E37" s="9" t="s">
        <v>27</v>
      </c>
      <c r="F37" s="9" t="s">
        <v>27</v>
      </c>
      <c r="G37" s="9" t="n">
        <v>28</v>
      </c>
      <c r="H37" s="9" t="s">
        <v>470</v>
      </c>
      <c r="I37" s="12" t="s">
        <v>473</v>
      </c>
      <c r="J37" s="13" t="s">
        <v>437</v>
      </c>
      <c r="K37" s="13"/>
      <c r="L37" s="14" t="n">
        <v>680</v>
      </c>
      <c r="M37" s="15" t="s">
        <v>66</v>
      </c>
      <c r="N37" s="14"/>
      <c r="O37" s="14"/>
      <c r="P37" s="16"/>
      <c r="Q37" s="17" t="n">
        <f aca="false">N37+(0.05*O37)+(P37/240)</f>
        <v>0</v>
      </c>
      <c r="R37" s="14" t="n">
        <v>126</v>
      </c>
      <c r="S37" s="14"/>
      <c r="T37" s="14"/>
      <c r="U37" s="14" t="n">
        <f aca="false">R37+(S37*0.05)+(T37/240)</f>
        <v>126</v>
      </c>
      <c r="V37" s="14" t="n">
        <f aca="false">L37*Q37</f>
        <v>0</v>
      </c>
      <c r="W37" s="18" t="n">
        <f aca="false">U37-V37</f>
        <v>126</v>
      </c>
      <c r="X37" s="19"/>
      <c r="Y37" s="19"/>
    </row>
    <row r="38" customFormat="false" ht="16" hidden="false" customHeight="false" outlineLevel="0" collapsed="false">
      <c r="A38" s="8" t="s">
        <v>24</v>
      </c>
      <c r="B38" s="9" t="s">
        <v>25</v>
      </c>
      <c r="C38" s="9" t="s">
        <v>26</v>
      </c>
      <c r="D38" s="10" t="n">
        <v>1789</v>
      </c>
      <c r="E38" s="9" t="s">
        <v>27</v>
      </c>
      <c r="F38" s="9" t="s">
        <v>27</v>
      </c>
      <c r="G38" s="9" t="n">
        <v>28</v>
      </c>
      <c r="H38" s="9" t="s">
        <v>470</v>
      </c>
      <c r="I38" s="12" t="s">
        <v>474</v>
      </c>
      <c r="J38" s="13" t="s">
        <v>437</v>
      </c>
      <c r="K38" s="13"/>
      <c r="L38" s="14"/>
      <c r="M38" s="15" t="s">
        <v>66</v>
      </c>
      <c r="N38" s="14"/>
      <c r="O38" s="14"/>
      <c r="P38" s="16"/>
      <c r="Q38" s="17" t="n">
        <f aca="false">N38+(0.05*O38)+(P38/240)</f>
        <v>0</v>
      </c>
      <c r="R38" s="14" t="n">
        <v>1500</v>
      </c>
      <c r="S38" s="14"/>
      <c r="T38" s="14"/>
      <c r="U38" s="14" t="n">
        <f aca="false">R38+(S38*0.05)+(T38/240)</f>
        <v>1500</v>
      </c>
      <c r="V38" s="14" t="n">
        <f aca="false">L38*Q38</f>
        <v>0</v>
      </c>
      <c r="W38" s="18" t="n">
        <f aca="false">U38-V38</f>
        <v>1500</v>
      </c>
      <c r="X38" s="19"/>
      <c r="Y38" s="19"/>
    </row>
    <row r="39" customFormat="false" ht="16" hidden="false" customHeight="false" outlineLevel="0" collapsed="false">
      <c r="A39" s="8" t="s">
        <v>24</v>
      </c>
      <c r="B39" s="9" t="s">
        <v>25</v>
      </c>
      <c r="C39" s="9" t="s">
        <v>26</v>
      </c>
      <c r="D39" s="10" t="n">
        <v>1789</v>
      </c>
      <c r="E39" s="9" t="s">
        <v>27</v>
      </c>
      <c r="F39" s="9" t="s">
        <v>27</v>
      </c>
      <c r="G39" s="9" t="n">
        <v>28</v>
      </c>
      <c r="H39" s="9" t="s">
        <v>470</v>
      </c>
      <c r="I39" s="12" t="s">
        <v>290</v>
      </c>
      <c r="J39" s="13" t="s">
        <v>437</v>
      </c>
      <c r="K39" s="13"/>
      <c r="L39" s="14"/>
      <c r="M39" s="15" t="s">
        <v>66</v>
      </c>
      <c r="N39" s="14"/>
      <c r="O39" s="14"/>
      <c r="P39" s="16"/>
      <c r="Q39" s="17" t="n">
        <f aca="false">N39+(0.05*O39)+(P39/240)</f>
        <v>0</v>
      </c>
      <c r="R39" s="14" t="n">
        <v>50000</v>
      </c>
      <c r="S39" s="14"/>
      <c r="T39" s="14"/>
      <c r="U39" s="14" t="n">
        <f aca="false">R39+(S39*0.05)+(T39/240)</f>
        <v>50000</v>
      </c>
      <c r="V39" s="14" t="n">
        <f aca="false">L39*Q39</f>
        <v>0</v>
      </c>
      <c r="W39" s="18" t="n">
        <f aca="false">U39-V39</f>
        <v>50000</v>
      </c>
      <c r="X39" s="19"/>
      <c r="Y39" s="19"/>
    </row>
    <row r="40" customFormat="false" ht="16" hidden="false" customHeight="false" outlineLevel="0" collapsed="false">
      <c r="A40" s="8" t="s">
        <v>24</v>
      </c>
      <c r="B40" s="9" t="s">
        <v>25</v>
      </c>
      <c r="C40" s="9" t="s">
        <v>26</v>
      </c>
      <c r="D40" s="10" t="n">
        <v>1789</v>
      </c>
      <c r="E40" s="9" t="s">
        <v>27</v>
      </c>
      <c r="F40" s="9" t="s">
        <v>27</v>
      </c>
      <c r="G40" s="9" t="n">
        <v>28</v>
      </c>
      <c r="H40" s="9" t="s">
        <v>470</v>
      </c>
      <c r="I40" s="12" t="s">
        <v>475</v>
      </c>
      <c r="J40" s="13" t="s">
        <v>437</v>
      </c>
      <c r="K40" s="13"/>
      <c r="L40" s="14" t="n">
        <v>3398</v>
      </c>
      <c r="M40" s="15" t="s">
        <v>66</v>
      </c>
      <c r="N40" s="14"/>
      <c r="O40" s="14"/>
      <c r="P40" s="16"/>
      <c r="Q40" s="17" t="n">
        <f aca="false">N40+(0.05*O40)+(P40/240)</f>
        <v>0</v>
      </c>
      <c r="R40" s="14" t="n">
        <v>13538</v>
      </c>
      <c r="S40" s="14"/>
      <c r="T40" s="14"/>
      <c r="U40" s="14" t="n">
        <f aca="false">R40+(S40*0.05)+(T40/240)</f>
        <v>13538</v>
      </c>
      <c r="V40" s="14" t="n">
        <f aca="false">L40*Q40</f>
        <v>0</v>
      </c>
      <c r="W40" s="18" t="n">
        <f aca="false">U40-V40</f>
        <v>13538</v>
      </c>
      <c r="X40" s="19"/>
      <c r="Y40" s="19"/>
    </row>
    <row r="41" customFormat="false" ht="16" hidden="false" customHeight="false" outlineLevel="0" collapsed="false">
      <c r="A41" s="8" t="s">
        <v>24</v>
      </c>
      <c r="B41" s="9" t="s">
        <v>25</v>
      </c>
      <c r="C41" s="9" t="s">
        <v>26</v>
      </c>
      <c r="D41" s="10" t="n">
        <v>1789</v>
      </c>
      <c r="E41" s="9" t="s">
        <v>27</v>
      </c>
      <c r="F41" s="9" t="s">
        <v>27</v>
      </c>
      <c r="G41" s="9" t="n">
        <v>28</v>
      </c>
      <c r="H41" s="9" t="s">
        <v>470</v>
      </c>
      <c r="I41" s="12" t="s">
        <v>476</v>
      </c>
      <c r="J41" s="13" t="s">
        <v>437</v>
      </c>
      <c r="K41" s="13"/>
      <c r="L41" s="14"/>
      <c r="M41" s="15" t="s">
        <v>66</v>
      </c>
      <c r="N41" s="14"/>
      <c r="O41" s="14"/>
      <c r="P41" s="16"/>
      <c r="Q41" s="17" t="n">
        <f aca="false">N41+(0.05*O41)+(P41/240)</f>
        <v>0</v>
      </c>
      <c r="R41" s="14" t="n">
        <v>549</v>
      </c>
      <c r="S41" s="14"/>
      <c r="T41" s="14"/>
      <c r="U41" s="14" t="n">
        <f aca="false">R41+(S41*0.05)+(T41/240)</f>
        <v>549</v>
      </c>
      <c r="V41" s="14" t="n">
        <f aca="false">L41*Q41</f>
        <v>0</v>
      </c>
      <c r="W41" s="18" t="n">
        <f aca="false">U41-V41</f>
        <v>549</v>
      </c>
      <c r="X41" s="19"/>
      <c r="Y41" s="19"/>
    </row>
    <row r="42" customFormat="false" ht="16" hidden="false" customHeight="false" outlineLevel="0" collapsed="false">
      <c r="A42" s="8" t="s">
        <v>24</v>
      </c>
      <c r="B42" s="9" t="s">
        <v>25</v>
      </c>
      <c r="C42" s="9" t="s">
        <v>26</v>
      </c>
      <c r="D42" s="10" t="n">
        <v>1789</v>
      </c>
      <c r="E42" s="9" t="s">
        <v>27</v>
      </c>
      <c r="F42" s="9" t="s">
        <v>27</v>
      </c>
      <c r="G42" s="9" t="n">
        <v>28</v>
      </c>
      <c r="H42" s="9" t="s">
        <v>470</v>
      </c>
      <c r="I42" s="12" t="s">
        <v>477</v>
      </c>
      <c r="J42" s="13" t="s">
        <v>437</v>
      </c>
      <c r="K42" s="13"/>
      <c r="L42" s="14" t="n">
        <v>300</v>
      </c>
      <c r="M42" s="15" t="s">
        <v>66</v>
      </c>
      <c r="N42" s="14"/>
      <c r="O42" s="14"/>
      <c r="P42" s="16"/>
      <c r="Q42" s="17" t="n">
        <f aca="false">N42+(0.05*O42)+(P42/240)</f>
        <v>0</v>
      </c>
      <c r="R42" s="14" t="n">
        <v>3000</v>
      </c>
      <c r="S42" s="14"/>
      <c r="T42" s="14"/>
      <c r="U42" s="14" t="n">
        <f aca="false">R42+(S42*0.05)+(T42/240)</f>
        <v>3000</v>
      </c>
      <c r="V42" s="14" t="n">
        <f aca="false">L42*Q42</f>
        <v>0</v>
      </c>
      <c r="W42" s="18" t="n">
        <f aca="false">U42-V42</f>
        <v>3000</v>
      </c>
      <c r="X42" s="19"/>
      <c r="Y42" s="19"/>
    </row>
    <row r="43" customFormat="false" ht="16" hidden="false" customHeight="false" outlineLevel="0" collapsed="false">
      <c r="A43" s="8" t="s">
        <v>24</v>
      </c>
      <c r="B43" s="9" t="s">
        <v>25</v>
      </c>
      <c r="C43" s="9" t="s">
        <v>26</v>
      </c>
      <c r="D43" s="10" t="n">
        <v>1789</v>
      </c>
      <c r="E43" s="9" t="s">
        <v>27</v>
      </c>
      <c r="F43" s="9" t="s">
        <v>27</v>
      </c>
      <c r="G43" s="9" t="n">
        <v>28</v>
      </c>
      <c r="H43" s="9" t="s">
        <v>470</v>
      </c>
      <c r="I43" s="12" t="s">
        <v>478</v>
      </c>
      <c r="J43" s="13" t="s">
        <v>437</v>
      </c>
      <c r="K43" s="13"/>
      <c r="L43" s="14" t="n">
        <v>18896</v>
      </c>
      <c r="M43" s="15" t="s">
        <v>66</v>
      </c>
      <c r="N43" s="14"/>
      <c r="O43" s="14"/>
      <c r="P43" s="16"/>
      <c r="Q43" s="17" t="n">
        <f aca="false">N43+(0.05*O43)+(P43/240)</f>
        <v>0</v>
      </c>
      <c r="R43" s="14" t="n">
        <v>3428</v>
      </c>
      <c r="S43" s="14"/>
      <c r="T43" s="14"/>
      <c r="U43" s="14" t="n">
        <f aca="false">R43+(S43*0.05)+(T43/240)</f>
        <v>3428</v>
      </c>
      <c r="V43" s="14" t="n">
        <f aca="false">L43*Q43</f>
        <v>0</v>
      </c>
      <c r="W43" s="18" t="n">
        <f aca="false">U43-V43</f>
        <v>3428</v>
      </c>
      <c r="X43" s="19"/>
      <c r="Y43" s="19"/>
    </row>
    <row r="44" customFormat="false" ht="16" hidden="false" customHeight="false" outlineLevel="0" collapsed="false">
      <c r="A44" s="8" t="s">
        <v>24</v>
      </c>
      <c r="B44" s="9" t="s">
        <v>25</v>
      </c>
      <c r="C44" s="9" t="s">
        <v>26</v>
      </c>
      <c r="D44" s="10" t="n">
        <v>1789</v>
      </c>
      <c r="E44" s="9" t="s">
        <v>27</v>
      </c>
      <c r="F44" s="9" t="s">
        <v>27</v>
      </c>
      <c r="G44" s="9" t="n">
        <v>28</v>
      </c>
      <c r="H44" s="9" t="s">
        <v>470</v>
      </c>
      <c r="I44" s="12" t="s">
        <v>479</v>
      </c>
      <c r="J44" s="13" t="s">
        <v>437</v>
      </c>
      <c r="K44" s="13"/>
      <c r="L44" s="14" t="n">
        <v>38469</v>
      </c>
      <c r="M44" s="15" t="s">
        <v>66</v>
      </c>
      <c r="N44" s="14"/>
      <c r="O44" s="14"/>
      <c r="P44" s="16"/>
      <c r="Q44" s="17" t="n">
        <f aca="false">N44+(0.05*O44)+(P44/240)</f>
        <v>0</v>
      </c>
      <c r="R44" s="14" t="n">
        <v>34582</v>
      </c>
      <c r="S44" s="14"/>
      <c r="T44" s="14"/>
      <c r="U44" s="14" t="n">
        <f aca="false">R44+(S44*0.05)+(T44/240)</f>
        <v>34582</v>
      </c>
      <c r="V44" s="14" t="n">
        <f aca="false">L44*Q44</f>
        <v>0</v>
      </c>
      <c r="W44" s="18" t="n">
        <f aca="false">U44-V44</f>
        <v>34582</v>
      </c>
      <c r="X44" s="19"/>
      <c r="Y44" s="19"/>
    </row>
    <row r="45" customFormat="false" ht="16" hidden="false" customHeight="false" outlineLevel="0" collapsed="false">
      <c r="A45" s="8" t="s">
        <v>24</v>
      </c>
      <c r="B45" s="9" t="s">
        <v>25</v>
      </c>
      <c r="C45" s="9" t="s">
        <v>26</v>
      </c>
      <c r="D45" s="10" t="n">
        <v>1789</v>
      </c>
      <c r="E45" s="9" t="s">
        <v>27</v>
      </c>
      <c r="F45" s="9" t="s">
        <v>27</v>
      </c>
      <c r="G45" s="9" t="n">
        <v>28</v>
      </c>
      <c r="H45" s="9" t="s">
        <v>470</v>
      </c>
      <c r="I45" s="12" t="s">
        <v>480</v>
      </c>
      <c r="J45" s="13" t="s">
        <v>437</v>
      </c>
      <c r="K45" s="13"/>
      <c r="L45" s="14"/>
      <c r="M45" s="15" t="s">
        <v>66</v>
      </c>
      <c r="N45" s="14"/>
      <c r="O45" s="14"/>
      <c r="P45" s="16"/>
      <c r="Q45" s="17" t="n">
        <f aca="false">N45+(0.05*O45)+(P45/240)</f>
        <v>0</v>
      </c>
      <c r="R45" s="14" t="n">
        <v>1022</v>
      </c>
      <c r="S45" s="14"/>
      <c r="T45" s="14"/>
      <c r="U45" s="14" t="n">
        <f aca="false">R45+(S45*0.05)+(T45/240)</f>
        <v>1022</v>
      </c>
      <c r="V45" s="14" t="n">
        <f aca="false">L45*Q45</f>
        <v>0</v>
      </c>
      <c r="W45" s="18" t="n">
        <f aca="false">U45-V45</f>
        <v>1022</v>
      </c>
      <c r="X45" s="19"/>
      <c r="Y45" s="19"/>
    </row>
    <row r="46" customFormat="false" ht="16" hidden="false" customHeight="false" outlineLevel="0" collapsed="false">
      <c r="A46" s="8" t="s">
        <v>24</v>
      </c>
      <c r="B46" s="9" t="s">
        <v>25</v>
      </c>
      <c r="C46" s="9" t="s">
        <v>26</v>
      </c>
      <c r="D46" s="10" t="n">
        <v>1789</v>
      </c>
      <c r="E46" s="9" t="s">
        <v>27</v>
      </c>
      <c r="F46" s="9" t="s">
        <v>27</v>
      </c>
      <c r="G46" s="9" t="n">
        <v>28</v>
      </c>
      <c r="H46" s="9" t="s">
        <v>481</v>
      </c>
      <c r="I46" s="12" t="s">
        <v>72</v>
      </c>
      <c r="J46" s="13" t="s">
        <v>437</v>
      </c>
      <c r="K46" s="13"/>
      <c r="L46" s="14" t="n">
        <v>856</v>
      </c>
      <c r="M46" s="15" t="s">
        <v>66</v>
      </c>
      <c r="N46" s="14"/>
      <c r="O46" s="14"/>
      <c r="P46" s="16"/>
      <c r="Q46" s="17" t="n">
        <f aca="false">N46+(0.05*O46)+(P46/240)</f>
        <v>0</v>
      </c>
      <c r="R46" s="14" t="n">
        <v>146</v>
      </c>
      <c r="S46" s="14"/>
      <c r="T46" s="14"/>
      <c r="U46" s="14" t="n">
        <f aca="false">R46+(S46*0.05)+(T46/240)</f>
        <v>146</v>
      </c>
      <c r="V46" s="14" t="n">
        <f aca="false">L46*Q46</f>
        <v>0</v>
      </c>
      <c r="W46" s="18" t="n">
        <f aca="false">U46-V46</f>
        <v>146</v>
      </c>
      <c r="X46" s="19"/>
      <c r="Y46" s="19"/>
    </row>
    <row r="47" customFormat="false" ht="16" hidden="false" customHeight="false" outlineLevel="0" collapsed="false">
      <c r="A47" s="8" t="s">
        <v>24</v>
      </c>
      <c r="B47" s="9" t="s">
        <v>25</v>
      </c>
      <c r="C47" s="9" t="s">
        <v>26</v>
      </c>
      <c r="D47" s="10" t="n">
        <v>1789</v>
      </c>
      <c r="E47" s="9" t="s">
        <v>27</v>
      </c>
      <c r="F47" s="9" t="s">
        <v>27</v>
      </c>
      <c r="G47" s="9" t="n">
        <v>28</v>
      </c>
      <c r="H47" s="9" t="s">
        <v>482</v>
      </c>
      <c r="I47" s="12" t="s">
        <v>483</v>
      </c>
      <c r="J47" s="13" t="s">
        <v>437</v>
      </c>
      <c r="K47" s="13"/>
      <c r="L47" s="14"/>
      <c r="M47" s="15" t="s">
        <v>66</v>
      </c>
      <c r="N47" s="14"/>
      <c r="O47" s="14"/>
      <c r="P47" s="16"/>
      <c r="Q47" s="17" t="n">
        <f aca="false">N47+(0.05*O47)+(P47/240)</f>
        <v>0</v>
      </c>
      <c r="R47" s="14" t="n">
        <v>900</v>
      </c>
      <c r="S47" s="14"/>
      <c r="T47" s="14"/>
      <c r="U47" s="14" t="n">
        <f aca="false">R47+(S47*0.05)+(T47/240)</f>
        <v>900</v>
      </c>
      <c r="V47" s="14" t="n">
        <f aca="false">L47*Q47</f>
        <v>0</v>
      </c>
      <c r="W47" s="18" t="n">
        <f aca="false">U47-V47</f>
        <v>900</v>
      </c>
      <c r="X47" s="19"/>
      <c r="Y47" s="19"/>
    </row>
  </sheetData>
  <conditionalFormatting sqref="W2:W47">
    <cfRule type="cellIs" priority="2" operator="greaterThan" aboveAverage="0" equalAverage="0" bottom="0" percent="0" rank="0" text="" dxfId="0">
      <formula>0</formula>
    </cfRule>
  </conditionalFormatting>
  <conditionalFormatting sqref="W1">
    <cfRule type="cellIs" priority="3" operator="greaterThan" aboveAverage="0" equalAverage="0" bottom="0" percent="0" rank="0" text="" dxfId="1">
      <formula>0</formula>
    </cfRule>
  </conditionalFormatting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9</TotalTime>
  <Application>LibreOffice/5.0.2.2$MacOSX_X86_64 LibreOffice_project/37b43f919e4de5eeaca9b9755ed688758a8251fe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2014-05-20T06:34:57Z</dcterms:created>
  <dc:creator>Loïc Charles</dc:creator>
  <dc:language>fr-FR</dc:language>
  <dcterms:modified xsi:type="dcterms:W3CDTF">2015-11-16T17:16:20Z</dcterms:modified>
  <cp:revision>1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